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MENSUALES" sheetId="1" r:id="rId5"/>
    <sheet state="visible" name="TK" sheetId="2" r:id="rId6"/>
    <sheet state="visible" name="FB" sheetId="3" r:id="rId7"/>
    <sheet state="hidden" name="SupermetricsQueries" sheetId="4" r:id="rId8"/>
    <sheet state="visible" name="NOMBRE DE PRODUCTOS" sheetId="5" r:id="rId9"/>
    <sheet state="visible" name="DEVOLUCION" sheetId="6" r:id="rId10"/>
    <sheet state="visible" name="PLANTILLAS" sheetId="7" r:id="rId11"/>
    <sheet state="visible" name="PENDIENTES" sheetId="8" r:id="rId12"/>
    <sheet state="visible" name="MAPA_ESTADOS" sheetId="9" r:id="rId13"/>
    <sheet state="visible" name="REPORTE_DROPI" sheetId="10" r:id="rId14"/>
    <sheet state="visible" name="ENERO WHT" sheetId="11" r:id="rId15"/>
    <sheet state="visible" name="ENERO" sheetId="12" r:id="rId16"/>
    <sheet state="visible" name="FEBRERO" sheetId="13" r:id="rId17"/>
    <sheet state="visible" name="MARZO" sheetId="14" r:id="rId18"/>
    <sheet state="visible" name="MARZO - LOCAL - WHATSAPP" sheetId="15" r:id="rId19"/>
  </sheets>
  <definedNames>
    <definedName name="zsupermetrics_refreshAll">SupermetricsQueries!$H$5</definedName>
    <definedName name="zsupermetrics_xhBK48cDeYRNkKTgEkN3NSS83QBpNp">TK!$H$6:$S$65</definedName>
    <definedName name="zsupermetrics_forceRefresh">SupermetricsQueries!$H$4</definedName>
    <definedName name="zsupermetrics_refreshAllSilent">SupermetricsQueries!$H$6</definedName>
    <definedName hidden="1" localSheetId="1" name="_xlnm._FilterDatabase">TK!$I$1:$I$1000</definedName>
    <definedName hidden="1" localSheetId="11" name="_xlnm._FilterDatabase">ENERO!$A$1:$U$1062</definedName>
    <definedName hidden="1" localSheetId="12" name="_xlnm._FilterDatabase">FEBRERO!$A$1:$V$728</definedName>
    <definedName hidden="1" localSheetId="13" name="_xlnm._FilterDatabase">MARZO!$A$1:$Z$391</definedName>
    <definedName hidden="1" localSheetId="14" name="_xlnm._FilterDatabase">'MARZO - LOCAL - WHATSAPP'!$A$1:$K$19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2026/02/02 10:36 PM when it detected changes in the data source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28">
      <text>
        <t xml:space="preserve">4631597</t>
      </text>
    </comment>
    <comment authorId="0" ref="F128">
      <text>
        <t xml:space="preserve">4631597</t>
      </text>
    </comment>
    <comment authorId="0" ref="G128">
      <text>
        <t xml:space="preserve">4631597</t>
      </text>
    </comment>
    <comment authorId="0" ref="H128">
      <text>
        <t xml:space="preserve">
</t>
      </text>
    </comment>
  </commentList>
</comments>
</file>

<file path=xl/sharedStrings.xml><?xml version="1.0" encoding="utf-8"?>
<sst xmlns="http://schemas.openxmlformats.org/spreadsheetml/2006/main" count="26990" uniqueCount="9207">
  <si>
    <t>ENERO</t>
  </si>
  <si>
    <t>PRODUCTO</t>
  </si>
  <si>
    <t>VENTAS</t>
  </si>
  <si>
    <t>PROVEEDOR</t>
  </si>
  <si>
    <t>LOGISTICA</t>
  </si>
  <si>
    <t>DEVOLUCION</t>
  </si>
  <si>
    <t>TIK TOK ADS</t>
  </si>
  <si>
    <t>FACEBOOK ADS</t>
  </si>
  <si>
    <t>M PRIMA</t>
  </si>
  <si>
    <t>UTILIDAD</t>
  </si>
  <si>
    <t xml:space="preserve">TOTAL </t>
  </si>
  <si>
    <t>FEBRERO</t>
  </si>
  <si>
    <t>MARZO</t>
  </si>
  <si>
    <t>Nombre de la campaña</t>
  </si>
  <si>
    <t>Coste</t>
  </si>
  <si>
    <t>Moneda</t>
  </si>
  <si>
    <t>22/01/2026 - FilmPro®  - ABO</t>
  </si>
  <si>
    <t>127.08</t>
  </si>
  <si>
    <t>USD</t>
  </si>
  <si>
    <t>23/01/2025 - FURBLADE™ - ABO</t>
  </si>
  <si>
    <t>25/01/2025 - Llave Multifuncional 360™ - ABO</t>
  </si>
  <si>
    <t>Total: 3 resultados</t>
  </si>
  <si>
    <t>154.09</t>
  </si>
  <si>
    <t>10/01 DUPLICADO 09/11/2025-Cuchillo Tazaki™- ABO -  16/11/2025</t>
  </si>
  <si>
    <t>17/01/2026 - FilmPro® - CBO</t>
  </si>
  <si>
    <t>27/12/2025 / DUPLICADO CBO / 22/12/2025 /Llave Multifuncional 360™/  ABO</t>
  </si>
  <si>
    <t>06/01/2026- FilmPro® - ABO</t>
  </si>
  <si>
    <t>25/01/2026- Llave Multifuncional 360™-CBO</t>
  </si>
  <si>
    <t>04/01/2026- FLORA FRESH PRO™- ABO</t>
  </si>
  <si>
    <t>27/01/2026 - FURBLADE™  -ABO</t>
  </si>
  <si>
    <t>JBL / 20-01 / WHATSAPP</t>
  </si>
  <si>
    <t>06/01/2026- FLORA FRESH PRO™- ESCALADO -CBO</t>
  </si>
  <si>
    <t xml:space="preserve">FEBRERO </t>
  </si>
  <si>
    <t xml:space="preserve">23/02/2026- FilmPro®  - ABO </t>
  </si>
  <si>
    <t>54.26</t>
  </si>
  <si>
    <t xml:space="preserve">22/02/2026 - FilmPro®  - ABO - 
</t>
  </si>
  <si>
    <t>51.54</t>
  </si>
  <si>
    <t xml:space="preserve">18/02/2026 -  FilmPro®  - ABO - 
</t>
  </si>
  <si>
    <t>46.05</t>
  </si>
  <si>
    <t xml:space="preserve">21/02/2026 - FilmPro®  - ABO - 
</t>
  </si>
  <si>
    <t>40.27</t>
  </si>
  <si>
    <t xml:space="preserve">19/02/2026 - FilmPro®  - ABO - 
</t>
  </si>
  <si>
    <t>39.87</t>
  </si>
  <si>
    <t xml:space="preserve">17/02/2026- FilmPro®  - ABO - 
</t>
  </si>
  <si>
    <t>36.39</t>
  </si>
  <si>
    <t>20/02/2026 - FilmPro®  - ABO -</t>
  </si>
  <si>
    <t>32.33</t>
  </si>
  <si>
    <t>Nombre de la cuenta</t>
  </si>
  <si>
    <t>Divisa</t>
  </si>
  <si>
    <t>Importe gastado (USD)</t>
  </si>
  <si>
    <t>Inicio del informe</t>
  </si>
  <si>
    <t>Fin del informe</t>
  </si>
  <si>
    <t>2855.86</t>
  </si>
  <si>
    <t>2 IMPORTEX MODA 2025 CTA PUBLICITARIA</t>
  </si>
  <si>
    <t>10/01/ DUPLICADO / 06/01/ FilmPro® - CBO</t>
  </si>
  <si>
    <t>853.59</t>
  </si>
  <si>
    <t xml:space="preserve">IMPORTEX MODA 2025 CTA PUBLICITARIA </t>
  </si>
  <si>
    <t>757.5</t>
  </si>
  <si>
    <t>539.77</t>
  </si>
  <si>
    <t>237.98</t>
  </si>
  <si>
    <t>199.99</t>
  </si>
  <si>
    <t>169.83</t>
  </si>
  <si>
    <t>66.58</t>
  </si>
  <si>
    <t>13.57</t>
  </si>
  <si>
    <t xml:space="preserve">3 IMPORTEX 2025 CTA PUBLICITARIA </t>
  </si>
  <si>
    <t>10.77</t>
  </si>
  <si>
    <t>6.28</t>
  </si>
  <si>
    <t>849.36</t>
  </si>
  <si>
    <t>849.16</t>
  </si>
  <si>
    <t>17/02/2026 - Cuchillo Tazaki™ - CBO</t>
  </si>
  <si>
    <t>338.32</t>
  </si>
  <si>
    <t>12/11/2025- FilmPro®- ABO - / DUPLICADO CBO $50 - 25/02</t>
  </si>
  <si>
    <t>189.58</t>
  </si>
  <si>
    <t>01/02/2026 - Llave Multifuncional 360™- CBO</t>
  </si>
  <si>
    <t>158.89</t>
  </si>
  <si>
    <t>27/02/2026 - FreeBeat Adapter - ABO</t>
  </si>
  <si>
    <t>24.57</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</si>
  <si>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</si>
  <si>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</si>
  <si>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</si>
  <si>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</si>
  <si>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</si>
  <si>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America/Bogota</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</si>
  <si>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</si>
  <si>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</si>
  <si>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</si>
  <si>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</si>
  <si>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</si>
  <si>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</si>
  <si>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</si>
  <si>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</si>
  <si>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</si>
  <si>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</si>
  <si>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</si>
  <si>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</si>
  <si>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</si>
  <si>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</si>
  <si>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</si>
  <si>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</si>
  <si>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</si>
  <si>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</si>
  <si>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</si>
  <si>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</si>
  <si>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</si>
  <si>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</si>
  <si>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</si>
  <si>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</si>
  <si>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</si>
  <si>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</si>
  <si>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</si>
  <si>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</si>
  <si>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</si>
  <si>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</si>
  <si>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</si>
  <si>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</si>
  <si>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</si>
  <si>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</si>
  <si>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</si>
  <si>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</si>
  <si>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</si>
  <si>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</si>
  <si>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</si>
  <si>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</si>
  <si>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</si>
  <si>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</si>
  <si>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</si>
  <si>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</si>
  <si>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</si>
  <si>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</si>
  <si>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</si>
  <si>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</si>
  <si>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</si>
  <si>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</si>
  <si>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</si>
  <si>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</si>
  <si>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</si>
  <si>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</si>
  <si>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</si>
  <si>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</si>
  <si>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</si>
  <si>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</si>
  <si>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</si>
  <si>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</si>
  <si>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</si>
  <si>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</si>
  <si>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</si>
  <si>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</si>
  <si>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</si>
  <si>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</si>
  <si>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</si>
  <si>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</si>
  <si>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</si>
  <si>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</si>
  <si>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</si>
  <si>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</si>
  <si>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</si>
  <si>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</si>
  <si>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</si>
  <si>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</si>
  <si>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</si>
  <si>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</si>
  <si>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</si>
  <si>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</si>
  <si>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</si>
  <si>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</si>
  <si>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</si>
  <si>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</si>
  <si>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xhBK48cDeYRNkKTgEkN3NSS83QBpNp</t>
  </si>
  <si>
    <t>2026-01-27 18:00:03.0</t>
  </si>
  <si>
    <t>Refreshed successfully by trigger iP2uL1zbWwAyCOtK9hl6RHQIBb4wLt</t>
  </si>
  <si>
    <t>TABLE</t>
  </si>
  <si>
    <t>FA</t>
  </si>
  <si>
    <t>custom</t>
  </si>
  <si>
    <t>["act_771085292027587`2 IMPORTEX MODA 2025 CTA PUBLICITARIA","act_2201688663608851`3 IMPORTEX 2025 CTA PUBLICITARIA ","act_3035690929930583`IMPORTEX MODA 2025 CTA PUBLICITARIA "]</t>
  </si>
  <si>
    <t>["cost"]</t>
  </si>
  <si>
    <t>["Date","campaign_group_name"]</t>
  </si>
  <si>
    <t>["campaign_group_name"]</t>
  </si>
  <si>
    <t>[]</t>
  </si>
  <si>
    <t>["BLANKS_TO_ZERO","SHOW_ALL_TIME_VALUES","ACTION_REPORT_TIME_conversion"]</t>
  </si>
  <si>
    <t>{}</t>
  </si>
  <si>
    <t>TK'!H6:S65</t>
  </si>
  <si>
    <t xml:space="preserve">NOMBRE DE PRODUCTO </t>
  </si>
  <si>
    <t xml:space="preserve">NOMBRE COMERCIAL </t>
  </si>
  <si>
    <t>LLAVE TRINQUETE</t>
  </si>
  <si>
    <t>Llave Multifuncional 360™</t>
  </si>
  <si>
    <t>PARABRISA</t>
  </si>
  <si>
    <t>FilmPro®</t>
  </si>
  <si>
    <t>GEL</t>
  </si>
  <si>
    <t>FLORA FRESH PRO™</t>
  </si>
  <si>
    <t>CUCHILLO</t>
  </si>
  <si>
    <t>Cuchillo Tazaki™</t>
  </si>
  <si>
    <t>GUANTE</t>
  </si>
  <si>
    <t>FURBLADE™</t>
  </si>
  <si>
    <t xml:space="preserve">FILTRO </t>
  </si>
  <si>
    <t>DrainGuard Pro™</t>
  </si>
  <si>
    <t>Receptor Bluetooth</t>
  </si>
  <si>
    <t>FreeBeat Adapter</t>
  </si>
  <si>
    <t>JBL</t>
  </si>
  <si>
    <t>JBL GO 4</t>
  </si>
  <si>
    <t>ID</t>
  </si>
  <si>
    <t>FECHA</t>
  </si>
  <si>
    <t>TIPO</t>
  </si>
  <si>
    <t>MONTO</t>
  </si>
  <si>
    <t>MONTO PREVIO</t>
  </si>
  <si>
    <t>ORDEN ID</t>
  </si>
  <si>
    <t>NUMERO DE GUIA</t>
  </si>
  <si>
    <t>DESCRIPCIÓN</t>
  </si>
  <si>
    <t>CUENTA</t>
  </si>
  <si>
    <t>CONCEPTO DE RETIRO</t>
  </si>
  <si>
    <t>28-02-2026 00:48</t>
  </si>
  <si>
    <t>ENTRADA</t>
  </si>
  <si>
    <t>D001362823</t>
  </si>
  <si>
    <t>ENTRADA POR GANANCIA EN LA ORDEN COMO DROPSHIPPER: 4622643* GUIA: *D001362823*</t>
  </si>
  <si>
    <t>D001362824</t>
  </si>
  <si>
    <t>ENTRADA POR GANANCIA EN LA ORDEN COMO DROPSHIPPER: 4622389* GUIA: *D001362824*</t>
  </si>
  <si>
    <t>28-02-2026 00:46</t>
  </si>
  <si>
    <t>D001359468</t>
  </si>
  <si>
    <t>ENTRADA POR GANANCIA EN LA ORDEN COMO DROPSHIPPER: 4617199* GUIA: *D001359468*</t>
  </si>
  <si>
    <t>28-02-2026 00:42</t>
  </si>
  <si>
    <t>D001359560</t>
  </si>
  <si>
    <t>ENTRADA POR GANANCIA EN LA ORDEN COMO DROPSHIPPER: 4598492* GUIA: *D001359560*</t>
  </si>
  <si>
    <t>28-02-2026 00:41</t>
  </si>
  <si>
    <t>D001353667</t>
  </si>
  <si>
    <t>ENTRADA POR GANANCIA EN LA ORDEN COMO DROPSHIPPER: 4586637* GUIA: *D001353667*</t>
  </si>
  <si>
    <t>D001353670</t>
  </si>
  <si>
    <t>ENTRADA POR GANANCIA EN LA ORDEN COMO DROPSHIPPER: 4586613* GUIA: *D001353670*</t>
  </si>
  <si>
    <t>D001353673</t>
  </si>
  <si>
    <t>ENTRADA POR GANANCIA EN LA ORDEN COMO DROPSHIPPER: 4586582* GUIA: *D001353673*</t>
  </si>
  <si>
    <t>D001353675</t>
  </si>
  <si>
    <t>ENTRADA POR GANANCIA EN LA ORDEN COMO DROPSHIPPER: 4586535* GUIA: *D001353675*</t>
  </si>
  <si>
    <t>28-02-2026 00:40</t>
  </si>
  <si>
    <t>D001354500</t>
  </si>
  <si>
    <t>ENTRADA POR GANANCIA EN LA ORDEN COMO DROPSHIPPER: 4578106* GUIA: *D001354500*</t>
  </si>
  <si>
    <t>D001354509</t>
  </si>
  <si>
    <t>ENTRADA POR GANANCIA EN LA ORDEN COMO DROPSHIPPER: 4576899* GUIA: *D001354509*</t>
  </si>
  <si>
    <t>28-02-2026 00:39</t>
  </si>
  <si>
    <t>D001355665</t>
  </si>
  <si>
    <t>ENTRADA POR GANANCIA EN LA ORDEN COMO DROPSHIPPER: 4550422* GUIA: *D001355665*</t>
  </si>
  <si>
    <t>D001344693</t>
  </si>
  <si>
    <t>ENTRADA POR GANANCIA EN LA ORDEN COMO DROPSHIPPER: 4550182* GUIA: *D001344693*</t>
  </si>
  <si>
    <t>ENTRADA POR GANANCIA EN LA ORDEN COMO DROPSHIPPER: 4548322* GUIA: *186796386*</t>
  </si>
  <si>
    <t>28-02-2026 00:38</t>
  </si>
  <si>
    <t>D001339560</t>
  </si>
  <si>
    <t>ENTRADA POR GANANCIA EN LA ORDEN COMO DROPSHIPPER: 4523482* GUIA: *D001339560*</t>
  </si>
  <si>
    <t>D001340310</t>
  </si>
  <si>
    <t>ENTRADA POR GANANCIA EN LA ORDEN COMO DROPSHIPPER: 4521408* GUIA: *D001340310*</t>
  </si>
  <si>
    <t>27-02-2026 14:04</t>
  </si>
  <si>
    <t>SALIDA</t>
  </si>
  <si>
    <t>LC52905133</t>
  </si>
  <si>
    <t>SALIDA POR COBRO DE FLETE INICIAL: 4507232</t>
  </si>
  <si>
    <t>27-02-2026 03:07</t>
  </si>
  <si>
    <t>D001339559</t>
  </si>
  <si>
    <t>SALIDA DE COBRO DE DEVOLUCIÓN POR ENTREGA NO EFECTIVA: 4523515</t>
  </si>
  <si>
    <t>D001339556</t>
  </si>
  <si>
    <t>SALIDA DE COBRO DE DEVOLUCIÓN POR ENTREGA NO EFECTIVA: 4523546</t>
  </si>
  <si>
    <t>27-02-2026 03:01</t>
  </si>
  <si>
    <t>D001324356</t>
  </si>
  <si>
    <t>SALIDA DE COBRO DE DEVOLUCIÓN POR ENTREGA NO EFECTIVA: 4484391</t>
  </si>
  <si>
    <t>D001324354</t>
  </si>
  <si>
    <t>SALIDA DE COBRO DE DEVOLUCIÓN POR ENTREGA NO EFECTIVA: 4484661</t>
  </si>
  <si>
    <t>D001324351</t>
  </si>
  <si>
    <t>SALIDA DE COBRO DE DEVOLUCIÓN POR ENTREGA NO EFECTIVA: 4485107</t>
  </si>
  <si>
    <t>D001324346</t>
  </si>
  <si>
    <t>SALIDA DE COBRO DE DEVOLUCIÓN POR ENTREGA NO EFECTIVA: 4486265</t>
  </si>
  <si>
    <t>D001324338</t>
  </si>
  <si>
    <t>SALIDA DE COBRO DE DEVOLUCIÓN POR ENTREGA NO EFECTIVA: 4486979</t>
  </si>
  <si>
    <t>D001324337</t>
  </si>
  <si>
    <t>SALIDA DE COBRO DE DEVOLUCIÓN POR ENTREGA NO EFECTIVA: 4487345</t>
  </si>
  <si>
    <t>D001324326</t>
  </si>
  <si>
    <t>SALIDA DE COBRO DE DEVOLUCIÓN POR ENTREGA NO EFECTIVA: 4489045</t>
  </si>
  <si>
    <t>D001324325</t>
  </si>
  <si>
    <t>SALIDA DE COBRO DE DEVOLUCIÓN POR ENTREGA NO EFECTIVA: 4489117</t>
  </si>
  <si>
    <t>D001324290</t>
  </si>
  <si>
    <t>SALIDA DE COBRO DE DEVOLUCIÓN POR ENTREGA NO EFECTIVA: 4494540</t>
  </si>
  <si>
    <t>D001322964</t>
  </si>
  <si>
    <t>SALIDA DE COBRO DE DEVOLUCIÓN POR ENTREGA NO EFECTIVA: 4482478</t>
  </si>
  <si>
    <t>D001322955</t>
  </si>
  <si>
    <t>SALIDA DE COBRO DE DEVOLUCIÓN POR ENTREGA NO EFECTIVA: 4490717</t>
  </si>
  <si>
    <t>27-02-2026 01:01</t>
  </si>
  <si>
    <t>SALIDA POR COBRO DE FLETE INICIAL: 4350109</t>
  </si>
  <si>
    <t>27-02-2026 00:53</t>
  </si>
  <si>
    <t>D001359464</t>
  </si>
  <si>
    <t>ENTRADA POR GANANCIA EN LA ORDEN COMO DROPSHIPPER: 4617647* GUIA: *D001359464*</t>
  </si>
  <si>
    <t>D001359469</t>
  </si>
  <si>
    <t>ENTRADA POR GANANCIA EN LA ORDEN COMO DROPSHIPPER: 4617195* GUIA: *D001359469*</t>
  </si>
  <si>
    <t>27-02-2026 00:46</t>
  </si>
  <si>
    <t>ENTRADA POR GANANCIA EN LA ORDEN COMO DROPSHIPPER: 4596067* GUIA: *186573343*</t>
  </si>
  <si>
    <t>27-02-2026 00:44</t>
  </si>
  <si>
    <t>D001353674</t>
  </si>
  <si>
    <t>ENTRADA POR GANANCIA EN LA ORDEN COMO DROPSHIPPER: 4586569* GUIA: *D001353674*</t>
  </si>
  <si>
    <t>LC52934417</t>
  </si>
  <si>
    <t>ENTRADA POR GANANCIA EN LA ORDEN COMO DROPSHIPPER: 4586325* GUIA: *LC52934417*</t>
  </si>
  <si>
    <t>27-02-2026 00:43</t>
  </si>
  <si>
    <t>D001355719</t>
  </si>
  <si>
    <t>ENTRADA POR GANANCIA EN LA ORDEN COMO DROPSHIPPER: 4579105* GUIA: *D001355719*</t>
  </si>
  <si>
    <t>27-02-2026 00:41</t>
  </si>
  <si>
    <t>D001344685</t>
  </si>
  <si>
    <t>ENTRADA POR GANANCIA EN LA ORDEN COMO DROPSHIPPER: 4559544* GUIA: *D001344685*</t>
  </si>
  <si>
    <t>27-02-2026 00:40</t>
  </si>
  <si>
    <t>ENTRADA POR GANANCIA EN LA ORDEN COMO DROPSHIPPER: 4549546* GUIA: *186793629*</t>
  </si>
  <si>
    <t>D001340292</t>
  </si>
  <si>
    <t>ENTRADA POR GANANCIA EN LA ORDEN COMO DROPSHIPPER: 4535081* GUIA: *D001340292*</t>
  </si>
  <si>
    <t>27-02-2026 00:39</t>
  </si>
  <si>
    <t>D001339554</t>
  </si>
  <si>
    <t>ENTRADA POR GANANCIA EN LA ORDEN COMO DROPSHIPPER: 4523556* GUIA: *D001339554*</t>
  </si>
  <si>
    <t>D001340340</t>
  </si>
  <si>
    <t>ENTRADA POR GANANCIA EN LA ORDEN COMO DROPSHIPPER: 4507478* GUIA: *D001340340*</t>
  </si>
  <si>
    <t>27-02-2026 00:38</t>
  </si>
  <si>
    <t>D001343633</t>
  </si>
  <si>
    <t>ENTRADA POR GANANCIA EN LA ORDEN COMO DROPSHIPPER: 4502915* GUIA: *D001343633*</t>
  </si>
  <si>
    <t>ENTRADA POR GANANCIA EN LA ORDEN COMO DROPSHIPPER: 4493703* GUIA: *187049570*</t>
  </si>
  <si>
    <t>WYB167549543</t>
  </si>
  <si>
    <t>ENTRADA POR GANANCIA EN LA ORDEN COMO DROPSHIPPER: 4484575* GUIA: *WYB167549543*</t>
  </si>
  <si>
    <t>26-02-2026 16:18</t>
  </si>
  <si>
    <t>LC52899222</t>
  </si>
  <si>
    <t>SALIDA POR COBRO DE FLETE INICIAL: 4523430</t>
  </si>
  <si>
    <t>26-02-2026 00:45</t>
  </si>
  <si>
    <t>ENTRADA POR GANANCIA EN LA ORDEN COMO DROPSHIPPER: 4578984* GUIA: *186573716*</t>
  </si>
  <si>
    <t>26-02-2026 00:44</t>
  </si>
  <si>
    <t>D001354498</t>
  </si>
  <si>
    <t>ENTRADA POR GANANCIA EN LA ORDEN COMO DROPSHIPPER: 4578164* GUIA: *D001354498*</t>
  </si>
  <si>
    <t>D001354503</t>
  </si>
  <si>
    <t>ENTRADA POR GANANCIA EN LA ORDEN COMO DROPSHIPPER: 4577757* GUIA: *D001354503*</t>
  </si>
  <si>
    <t>26-02-2026 00:43</t>
  </si>
  <si>
    <t>D001354512</t>
  </si>
  <si>
    <t>ENTRADA POR GANANCIA EN LA ORDEN COMO DROPSHIPPER: 4575074* GUIA: *D001354512*</t>
  </si>
  <si>
    <t>D001352902</t>
  </si>
  <si>
    <t>ENTRADA POR GANANCIA EN LA ORDEN COMO DROPSHIPPER: 4574109* GUIA: *D001352902*</t>
  </si>
  <si>
    <t>26-02-2026 00:40</t>
  </si>
  <si>
    <t>D001340245</t>
  </si>
  <si>
    <t>ENTRADA POR GANANCIA EN LA ORDEN COMO DROPSHIPPER: 4547590* GUIA: *D001340245*</t>
  </si>
  <si>
    <t>26-02-2026 00:39</t>
  </si>
  <si>
    <t>D001339531</t>
  </si>
  <si>
    <t>ENTRADA POR GANANCIA EN LA ORDEN COMO DROPSHIPPER: 4534331* GUIA: *D001339531*</t>
  </si>
  <si>
    <t>D001339547</t>
  </si>
  <si>
    <t>ENTRADA POR GANANCIA EN LA ORDEN COMO DROPSHIPPER: 4523623* GUIA: *D001339547*</t>
  </si>
  <si>
    <t>D001339551</t>
  </si>
  <si>
    <t>ENTRADA POR GANANCIA EN LA ORDEN COMO DROPSHIPPER: 4523608* GUIA: *D001339551*</t>
  </si>
  <si>
    <t>D001339561</t>
  </si>
  <si>
    <t>ENTRADA POR GANANCIA EN LA ORDEN COMO DROPSHIPPER: 4523421* GUIA: *D001339561*</t>
  </si>
  <si>
    <t>D001343264</t>
  </si>
  <si>
    <t>ENTRADA POR GANANCIA EN LA ORDEN COMO DROPSHIPPER: 4523416* GUIA: *D001343264*</t>
  </si>
  <si>
    <t>D001346109</t>
  </si>
  <si>
    <t>ENTRADA POR GANANCIA EN LA ORDEN COMO DROPSHIPPER: 4523392* GUIA: *D001346109*</t>
  </si>
  <si>
    <t>26-02-2026 00:38</t>
  </si>
  <si>
    <t>D001340328</t>
  </si>
  <si>
    <t>ENTRADA POR GANANCIA EN LA ORDEN COMO DROPSHIPPER: 4513873* GUIA: *D001340328*</t>
  </si>
  <si>
    <t>D001340332</t>
  </si>
  <si>
    <t>ENTRADA POR GANANCIA EN LA ORDEN COMO DROPSHIPPER: 4512455* GUIA: *D001340332*</t>
  </si>
  <si>
    <t>D001340348</t>
  </si>
  <si>
    <t>ENTRADA POR GANANCIA EN LA ORDEN COMO DROPSHIPPER: 4506570* GUIA: *D001340348*</t>
  </si>
  <si>
    <t>D001340373</t>
  </si>
  <si>
    <t>ENTRADA POR GANANCIA EN LA ORDEN COMO DROPSHIPPER: 4497583* GUIA: *D001340373*</t>
  </si>
  <si>
    <t>D001324311</t>
  </si>
  <si>
    <t>ENTRADA POR GANANCIA EN LA ORDEN COMO DROPSHIPPER: 4493094* GUIA: *D001324311*</t>
  </si>
  <si>
    <t>D001322965</t>
  </si>
  <si>
    <t>ENTRADA POR GANANCIA EN LA ORDEN COMO DROPSHIPPER: 4482226* GUIA: *D001322965*</t>
  </si>
  <si>
    <t>25-02-2026 13:37</t>
  </si>
  <si>
    <t>LC52844505</t>
  </si>
  <si>
    <t>SALIDA POR COBRO DE FLETE INICIAL: 4442399</t>
  </si>
  <si>
    <t>25-02-2026 09:51</t>
  </si>
  <si>
    <t>SALIDA POR PETICION DE RETIRO DE SALDO EN CARTERA</t>
  </si>
  <si>
    <t>RETORO</t>
  </si>
  <si>
    <t>25-02-2026 03:03</t>
  </si>
  <si>
    <t>D001324359</t>
  </si>
  <si>
    <t>SALIDA DE COBRO DE DEVOLUCIÓN POR ENTREGA NO EFECTIVA: 4484051</t>
  </si>
  <si>
    <t>D001324340</t>
  </si>
  <si>
    <t>SALIDA DE COBRO DE DEVOLUCIÓN POR ENTREGA NO EFECTIVA: 4486712</t>
  </si>
  <si>
    <t>D001324334</t>
  </si>
  <si>
    <t>SALIDA DE COBRO DE DEVOLUCIÓN POR ENTREGA NO EFECTIVA: 4487546</t>
  </si>
  <si>
    <t>25-02-2026 00:46</t>
  </si>
  <si>
    <t>ENTRADA POR GANANCIA EN LA ORDEN COMO DROPSHIPPER: 4596610* GUIA: *186573850*</t>
  </si>
  <si>
    <t>25-02-2026 00:41</t>
  </si>
  <si>
    <t>D001344681</t>
  </si>
  <si>
    <t>ENTRADA POR GANANCIA EN LA ORDEN COMO DROPSHIPPER: 4562311* GUIA: *D001344681*</t>
  </si>
  <si>
    <t>D001344687</t>
  </si>
  <si>
    <t>ENTRADA POR GANANCIA EN LA ORDEN COMO DROPSHIPPER: 4558764* GUIA: *D001344687*</t>
  </si>
  <si>
    <t>D001344690</t>
  </si>
  <si>
    <t>ENTRADA POR GANANCIA EN LA ORDEN COMO DROPSHIPPER: 4554820* GUIA: *D001344690*</t>
  </si>
  <si>
    <t>25-02-2026 00:39</t>
  </si>
  <si>
    <t>D001340302</t>
  </si>
  <si>
    <t>ENTRADA POR GANANCIA EN LA ORDEN COMO DROPSHIPPER: 4523600* GUIA: *D001340302*</t>
  </si>
  <si>
    <t>25-02-2026 00:38</t>
  </si>
  <si>
    <t>D001340343</t>
  </si>
  <si>
    <t>ENTRADA POR GANANCIA EN LA ORDEN COMO DROPSHIPPER: 4507155* GUIA: *D001340343*</t>
  </si>
  <si>
    <t>D001340355</t>
  </si>
  <si>
    <t>ENTRADA POR GANANCIA EN LA ORDEN COMO DROPSHIPPER: 4503806* GUIA: *D001340355*</t>
  </si>
  <si>
    <t>D001340357</t>
  </si>
  <si>
    <t>ENTRADA POR GANANCIA EN LA ORDEN COMO DROPSHIPPER: 4503257* GUIA: *D001340357*</t>
  </si>
  <si>
    <t>D001320043</t>
  </si>
  <si>
    <t>ENTRADA POR GANANCIA EN LA ORDEN COMO DROPSHIPPER: 4442348* GUIA: *D001320043*</t>
  </si>
  <si>
    <t>24-02-2026 13:25</t>
  </si>
  <si>
    <t>LC52831895</t>
  </si>
  <si>
    <t>SALIDA POR COBRO DE FLETE INICIAL: 4442323</t>
  </si>
  <si>
    <t>24-02-2026 03:04</t>
  </si>
  <si>
    <t>D001324342</t>
  </si>
  <si>
    <t>SALIDA DE COBRO DE DEVOLUCIÓN POR ENTREGA NO EFECTIVA: 4486574</t>
  </si>
  <si>
    <t>24-02-2026 03:01</t>
  </si>
  <si>
    <t>D001318309</t>
  </si>
  <si>
    <t>SALIDA DE COBRO DE DEVOLUCIÓN POR ENTREGA NO EFECTIVA: 4442366</t>
  </si>
  <si>
    <t>D001316925</t>
  </si>
  <si>
    <t>SALIDA DE COBRO DE DEVOLUCIÓN POR ENTREGA NO EFECTIVA: 4432079</t>
  </si>
  <si>
    <t>24-02-2026 00:42</t>
  </si>
  <si>
    <t>D001344689</t>
  </si>
  <si>
    <t>ENTRADA POR GANANCIA EN LA ORDEN COMO DROPSHIPPER: 4555047* GUIA: *D001344689*</t>
  </si>
  <si>
    <t>24-02-2026 00:41</t>
  </si>
  <si>
    <t>ENTRADA POR GANANCIA EN LA ORDEN COMO DROPSHIPPER: 4546452* GUIA: *186796403*</t>
  </si>
  <si>
    <t>24-02-2026 00:40</t>
  </si>
  <si>
    <t>D001339553</t>
  </si>
  <si>
    <t>ENTRADA POR GANANCIA EN LA ORDEN COMO DROPSHIPPER: 4523574* GUIA: *D001339553*</t>
  </si>
  <si>
    <t>D001339563</t>
  </si>
  <si>
    <t>ENTRADA POR GANANCIA EN LA ORDEN COMO DROPSHIPPER: 4523351* GUIA: *D001339563*</t>
  </si>
  <si>
    <t>D001343627</t>
  </si>
  <si>
    <t>ENTRADA POR GANANCIA EN LA ORDEN COMO DROPSHIPPER: 4523329* GUIA: *D001343627*</t>
  </si>
  <si>
    <t>D001340311</t>
  </si>
  <si>
    <t>ENTRADA POR GANANCIA EN LA ORDEN COMO DROPSHIPPER: 4521284* GUIA: *D001340311*</t>
  </si>
  <si>
    <t>LC52905130</t>
  </si>
  <si>
    <t>ENTRADA POR GANANCIA EN LA ORDEN COMO DROPSHIPPER: 4521137* GUIA: *LC52905130*</t>
  </si>
  <si>
    <t>24-02-2026 00:39</t>
  </si>
  <si>
    <t>D001340317</t>
  </si>
  <si>
    <t>ENTRADA POR GANANCIA EN LA ORDEN COMO DROPSHIPPER: 4519287* GUIA: *D001340317*</t>
  </si>
  <si>
    <t>D001343629</t>
  </si>
  <si>
    <t>ENTRADA POR GANANCIA EN LA ORDEN COMO DROPSHIPPER: 4518664* GUIA: *D001343629*</t>
  </si>
  <si>
    <t>ENTRADA POR GANANCIA EN LA ORDEN COMO DROPSHIPPER: 4514796* GUIA: *186793784*</t>
  </si>
  <si>
    <t>D001343632</t>
  </si>
  <si>
    <t>ENTRADA POR GANANCIA EN LA ORDEN COMO DROPSHIPPER: 4510725* GUIA: *D001343632*</t>
  </si>
  <si>
    <t>D001340347</t>
  </si>
  <si>
    <t>ENTRADA POR GANANCIA EN LA ORDEN COMO DROPSHIPPER: 4506785* GUIA: *D001340347*</t>
  </si>
  <si>
    <t>D001346406</t>
  </si>
  <si>
    <t>ENTRADA POR GANANCIA EN LA ORDEN COMO DROPSHIPPER: 4505102* GUIA: *D001346406*</t>
  </si>
  <si>
    <t>D001340362</t>
  </si>
  <si>
    <t>ENTRADA POR GANANCIA EN LA ORDEN COMO DROPSHIPPER: 4500637* GUIA: *D001340362*</t>
  </si>
  <si>
    <t>LC52905137</t>
  </si>
  <si>
    <t>ENTRADA POR GANANCIA EN LA ORDEN COMO DROPSHIPPER: 4498638* GUIA: *LC52905137*</t>
  </si>
  <si>
    <t>D001340370</t>
  </si>
  <si>
    <t>ENTRADA POR GANANCIA EN LA ORDEN COMO DROPSHIPPER: 4498245* GUIA: *D001340370*</t>
  </si>
  <si>
    <t>LC52905138</t>
  </si>
  <si>
    <t>ENTRADA POR GANANCIA EN LA ORDEN COMO DROPSHIPPER: 4498089* GUIA: *LC52905138*</t>
  </si>
  <si>
    <t>D001343634</t>
  </si>
  <si>
    <t>ENTRADA POR GANANCIA EN LA ORDEN COMO DROPSHIPPER: 4497942* GUIA: *D001343634*</t>
  </si>
  <si>
    <t>D001340371</t>
  </si>
  <si>
    <t>ENTRADA POR GANANCIA EN LA ORDEN COMO DROPSHIPPER: 4497761* GUIA: *D001340371*</t>
  </si>
  <si>
    <t>23-02-2026 11:40</t>
  </si>
  <si>
    <t>LC52831534</t>
  </si>
  <si>
    <t>SALIDA POR COBRO DE FLETE INICIAL: 4432022</t>
  </si>
  <si>
    <t>23-02-2026 03:03</t>
  </si>
  <si>
    <t>D001316570</t>
  </si>
  <si>
    <t>SALIDA DE COBRO DE DEVOLUCIÓN POR ENTREGA NO EFECTIVA: 4442315</t>
  </si>
  <si>
    <t>23-02-2026 03:02</t>
  </si>
  <si>
    <t>D001315543</t>
  </si>
  <si>
    <t>SALIDA DE COBRO DE DEVOLUCIÓN POR ENTREGA NO EFECTIVA: 4442305</t>
  </si>
  <si>
    <t>D001315529</t>
  </si>
  <si>
    <t>SALIDA DE COBRO DE DEVOLUCIÓN POR ENTREGA NO EFECTIVA: 4451889</t>
  </si>
  <si>
    <t>D001315176</t>
  </si>
  <si>
    <t>SALIDA DE COBRO DE DEVOLUCIÓN POR ENTREGA NO EFECTIVA: 4431991</t>
  </si>
  <si>
    <t>D001315169</t>
  </si>
  <si>
    <t>SALIDA DE COBRO DE DEVOLUCIÓN POR ENTREGA NO EFECTIVA: 4432096</t>
  </si>
  <si>
    <t>D001315161</t>
  </si>
  <si>
    <t>SALIDA DE COBRO DE DEVOLUCIÓN POR ENTREGA NO EFECTIVA: 4442329</t>
  </si>
  <si>
    <t>D001315141</t>
  </si>
  <si>
    <t>SALIDA DE COBRO DE DEVOLUCIÓN POR ENTREGA NO EFECTIVA: 4457174</t>
  </si>
  <si>
    <t>D001315140</t>
  </si>
  <si>
    <t>SALIDA DE COBRO DE DEVOLUCIÓN POR ENTREGA NO EFECTIVA: 4458112</t>
  </si>
  <si>
    <t>23-02-2026 03:01</t>
  </si>
  <si>
    <t>D001313034</t>
  </si>
  <si>
    <t>SALIDA DE COBRO DE DEVOLUCIÓN POR ENTREGA NO EFECTIVA: 4432048</t>
  </si>
  <si>
    <t>D001313024</t>
  </si>
  <si>
    <t>SALIDA DE COBRO DE DEVOLUCIÓN POR ENTREGA NO EFECTIVA: 4432090</t>
  </si>
  <si>
    <t>D001312993</t>
  </si>
  <si>
    <t>SALIDA DE COBRO DE DEVOLUCIÓN POR ENTREGA NO EFECTIVA: 4442379</t>
  </si>
  <si>
    <t>D001312629</t>
  </si>
  <si>
    <t>SALIDA DE COBRO DE DEVOLUCIÓN POR ENTREGA NO EFECTIVA: 4431995</t>
  </si>
  <si>
    <t>23-02-2026 00:38</t>
  </si>
  <si>
    <t>D001340244</t>
  </si>
  <si>
    <t>ENTRADA POR GANANCIA EN LA ORDEN COMO DROPSHIPPER: 4547597* GUIA: *D001340244*</t>
  </si>
  <si>
    <t>D001341845</t>
  </si>
  <si>
    <t>ENTRADA POR GANANCIA EN LA ORDEN COMO DROPSHIPPER: 4534178* GUIA: *D001341845*</t>
  </si>
  <si>
    <t>D001340327</t>
  </si>
  <si>
    <t>ENTRADA POR GANANCIA EN LA ORDEN COMO DROPSHIPPER: 4513942* GUIA: *D001340327*</t>
  </si>
  <si>
    <t>22-02-2026 03:05</t>
  </si>
  <si>
    <t>D001315174</t>
  </si>
  <si>
    <t>SALIDA DE COBRO DE DEVOLUCIÓN POR ENTREGA NO EFECTIVA: 4432008</t>
  </si>
  <si>
    <t>22-02-2026 03:04</t>
  </si>
  <si>
    <t>D001313031</t>
  </si>
  <si>
    <t>SALIDA DE COBRO DE DEVOLUCIÓN POR ENTREGA NO EFECTIVA: 4432058</t>
  </si>
  <si>
    <t>D001313023</t>
  </si>
  <si>
    <t>SALIDA DE COBRO DE DEVOLUCIÓN POR ENTREGA NO EFECTIVA: 4432091</t>
  </si>
  <si>
    <t>22-02-2026 01:04</t>
  </si>
  <si>
    <t>SALIDA POR COBRO DE FLETE INICIAL: 4352545</t>
  </si>
  <si>
    <t>22-02-2026 00:42</t>
  </si>
  <si>
    <t>D001344688</t>
  </si>
  <si>
    <t>ENTRADA POR GANANCIA EN LA ORDEN COMO DROPSHIPPER: 4556140* GUIA: *D001344688*</t>
  </si>
  <si>
    <t>22-02-2026 00:41</t>
  </si>
  <si>
    <t>D001344692</t>
  </si>
  <si>
    <t>ENTRADA POR GANANCIA EN LA ORDEN COMO DROPSHIPPER: 4551240* GUIA: *D001344692*</t>
  </si>
  <si>
    <t>ENTRADA POR GANANCIA EN LA ORDEN COMO DROPSHIPPER: 4547129* GUIA: *186796391*</t>
  </si>
  <si>
    <t>22-02-2026 00:40</t>
  </si>
  <si>
    <t>D001340278</t>
  </si>
  <si>
    <t>ENTRADA POR GANANCIA EN LA ORDEN COMO DROPSHIPPER: 4539537* GUIA: *D001340278*</t>
  </si>
  <si>
    <t>D001340279</t>
  </si>
  <si>
    <t>ENTRADA POR GANANCIA EN LA ORDEN COMO DROPSHIPPER: 4539516* GUIA: *D001340279*</t>
  </si>
  <si>
    <t>D001340289</t>
  </si>
  <si>
    <t>ENTRADA POR GANANCIA EN LA ORDEN COMO DROPSHIPPER: 4536861* GUIA: *D001340289*</t>
  </si>
  <si>
    <t>22-02-2026 00:39</t>
  </si>
  <si>
    <t>D001339550</t>
  </si>
  <si>
    <t>ENTRADA POR GANANCIA EN LA ORDEN COMO DROPSHIPPER: 4523616* GUIA: *D001339550*</t>
  </si>
  <si>
    <t>D001340304</t>
  </si>
  <si>
    <t>ENTRADA POR GANANCIA EN LA ORDEN COMO DROPSHIPPER: 4523508* GUIA: *D001340304*</t>
  </si>
  <si>
    <t>D001343261</t>
  </si>
  <si>
    <t>ENTRADA POR GANANCIA EN LA ORDEN COMO DROPSHIPPER: 4523494* GUIA: *D001343261*</t>
  </si>
  <si>
    <t>D001340306</t>
  </si>
  <si>
    <t>ENTRADA POR GANANCIA EN LA ORDEN COMO DROPSHIPPER: 4523401* GUIA: *D001340306*</t>
  </si>
  <si>
    <t>WYB167816983</t>
  </si>
  <si>
    <t>ENTRADA POR GANANCIA EN LA ORDEN COMO DROPSHIPPER: 4523303* GUIA: *WYB167816983*</t>
  </si>
  <si>
    <t>D001340307</t>
  </si>
  <si>
    <t>ENTRADA POR GANANCIA EN LA ORDEN COMO DROPSHIPPER: 4522139* GUIA: *D001340307*</t>
  </si>
  <si>
    <t>D001340312</t>
  </si>
  <si>
    <t>ENTRADA POR GANANCIA EN LA ORDEN COMO DROPSHIPPER: 4521015* GUIA: *D001340312*</t>
  </si>
  <si>
    <t>D001340313</t>
  </si>
  <si>
    <t>ENTRADA POR GANANCIA EN LA ORDEN COMO DROPSHIPPER: 4520841* GUIA: *D001340313*</t>
  </si>
  <si>
    <t>D001340314</t>
  </si>
  <si>
    <t>ENTRADA POR GANANCIA EN LA ORDEN COMO DROPSHIPPER: 4520816* GUIA: *D001340314*</t>
  </si>
  <si>
    <t>D001340316</t>
  </si>
  <si>
    <t>ENTRADA POR GANANCIA EN LA ORDEN COMO DROPSHIPPER: 4519817* GUIA: *D001340316*</t>
  </si>
  <si>
    <t>D001340320</t>
  </si>
  <si>
    <t>ENTRADA POR GANANCIA EN LA ORDEN COMO DROPSHIPPER: 4517483* GUIA: *D001340320*</t>
  </si>
  <si>
    <t>ENTRADA POR GANANCIA EN LA ORDEN COMO DROPSHIPPER: 4517110* GUIA: *186793783*</t>
  </si>
  <si>
    <t>D001340336</t>
  </si>
  <si>
    <t>ENTRADA POR GANANCIA EN LA ORDEN COMO DROPSHIPPER: 4511215* GUIA: *D001340336*</t>
  </si>
  <si>
    <t>D001340346</t>
  </si>
  <si>
    <t>ENTRADA POR GANANCIA EN LA ORDEN COMO DROPSHIPPER: 4506814* GUIA: *D001340346*</t>
  </si>
  <si>
    <t>D001340350</t>
  </si>
  <si>
    <t>ENTRADA POR GANANCIA EN LA ORDEN COMO DROPSHIPPER: 4505883* GUIA: *D001340350*</t>
  </si>
  <si>
    <t>D001340351</t>
  </si>
  <si>
    <t>ENTRADA POR GANANCIA EN LA ORDEN COMO DROPSHIPPER: 4505682* GUIA: *D001340351*</t>
  </si>
  <si>
    <t>D001340352</t>
  </si>
  <si>
    <t>ENTRADA POR GANANCIA EN LA ORDEN COMO DROPSHIPPER: 4505267* GUIA: *D001340352*</t>
  </si>
  <si>
    <t>22-02-2026 00:38</t>
  </si>
  <si>
    <t>D001340359</t>
  </si>
  <si>
    <t>ENTRADA POR GANANCIA EN LA ORDEN COMO DROPSHIPPER: 4502158* GUIA: *D001340359*</t>
  </si>
  <si>
    <t>D001340364</t>
  </si>
  <si>
    <t>ENTRADA POR GANANCIA EN LA ORDEN COMO DROPSHIPPER: 4500271* GUIA: *D001340364*</t>
  </si>
  <si>
    <t>D001340366</t>
  </si>
  <si>
    <t>ENTRADA POR GANANCIA EN LA ORDEN COMO DROPSHIPPER: 4499244* GUIA: *D001340366*</t>
  </si>
  <si>
    <t>D001340369</t>
  </si>
  <si>
    <t>ENTRADA POR GANANCIA EN LA ORDEN COMO DROPSHIPPER: 4498452* GUIA: *D001340369*</t>
  </si>
  <si>
    <t>D001340374</t>
  </si>
  <si>
    <t>ENTRADA POR GANANCIA EN LA ORDEN COMO DROPSHIPPER: 4496692* GUIA: *D001340374*</t>
  </si>
  <si>
    <t>D001340375</t>
  </si>
  <si>
    <t>ENTRADA POR GANANCIA EN LA ORDEN COMO DROPSHIPPER: 4496389* GUIA: *D001340375*</t>
  </si>
  <si>
    <t>D001324332</t>
  </si>
  <si>
    <t>ENTRADA POR GANANCIA EN LA ORDEN COMO DROPSHIPPER: 4487722* GUIA: *D001324332*</t>
  </si>
  <si>
    <t>21-02-2026 03:01</t>
  </si>
  <si>
    <t>D001304724</t>
  </si>
  <si>
    <t>SALIDA DE COBRO DE DEVOLUCIÓN POR ENTREGA NO EFECTIVA: 4418522</t>
  </si>
  <si>
    <t>21-02-2026 00:46</t>
  </si>
  <si>
    <t>ENTRADA POR GANANCIA EN LA ORDEN COMO DROPSHIPPER: 4550133* GUIA: *186793620*</t>
  </si>
  <si>
    <t>21-02-2026 00:45</t>
  </si>
  <si>
    <t>ENTRADA POR GANANCIA EN LA ORDEN COMO DROPSHIPPER: 4548818* GUIA: *186796374*</t>
  </si>
  <si>
    <t>D001339432</t>
  </si>
  <si>
    <t>ENTRADA POR GANANCIA EN LA ORDEN COMO DROPSHIPPER: 4548342* GUIA: *D001339432*</t>
  </si>
  <si>
    <t>21-02-2026 00:44</t>
  </si>
  <si>
    <t>D001340280</t>
  </si>
  <si>
    <t>ENTRADA POR GANANCIA EN LA ORDEN COMO DROPSHIPPER: 4539167* GUIA: *D001340280*</t>
  </si>
  <si>
    <t>D001340285</t>
  </si>
  <si>
    <t>ENTRADA POR GANANCIA EN LA ORDEN COMO DROPSHIPPER: 4538278* GUIA: *D001340285*</t>
  </si>
  <si>
    <t>21-02-2026 00:43</t>
  </si>
  <si>
    <t>D001339529</t>
  </si>
  <si>
    <t>ENTRADA POR GANANCIA EN LA ORDEN COMO DROPSHIPPER: 4534334* GUIA: *D001339529*</t>
  </si>
  <si>
    <t>D001339535</t>
  </si>
  <si>
    <t>ENTRADA POR GANANCIA EN LA ORDEN COMO DROPSHIPPER: 4533488* GUIA: *D001339535*</t>
  </si>
  <si>
    <t>21-02-2026 00:42</t>
  </si>
  <si>
    <t>D001339543</t>
  </si>
  <si>
    <t>ENTRADA POR GANANCIA EN LA ORDEN COMO DROPSHIPPER: 4525379* GUIA: *D001339543*</t>
  </si>
  <si>
    <t>D001339545</t>
  </si>
  <si>
    <t>ENTRADA POR GANANCIA EN LA ORDEN COMO DROPSHIPPER: 4525185* GUIA: *D001339545*</t>
  </si>
  <si>
    <t>D001339552</t>
  </si>
  <si>
    <t>ENTRADA POR GANANCIA EN LA ORDEN COMO DROPSHIPPER: 4523603* GUIA: *D001339552*</t>
  </si>
  <si>
    <t>D001339555</t>
  </si>
  <si>
    <t>ENTRADA POR GANANCIA EN LA ORDEN COMO DROPSHIPPER: 4523548* GUIA: *D001339555*</t>
  </si>
  <si>
    <t>D001339557</t>
  </si>
  <si>
    <t>ENTRADA POR GANANCIA EN LA ORDEN COMO DROPSHIPPER: 4523537* GUIA: *D001339557*</t>
  </si>
  <si>
    <t>D001339558</t>
  </si>
  <si>
    <t>ENTRADA POR GANANCIA EN LA ORDEN COMO DROPSHIPPER: 4523521* GUIA: *D001339558*</t>
  </si>
  <si>
    <t>V4002260007</t>
  </si>
  <si>
    <t>ENTRADA POR GANANCIA EN LA ORDEN COMO DROPSHIPPER: 4523344* GUIA: *V4002260007*</t>
  </si>
  <si>
    <t>D001340308</t>
  </si>
  <si>
    <t>ENTRADA POR GANANCIA EN LA ORDEN COMO DROPSHIPPER: 4522138* GUIA: *D001340308*</t>
  </si>
  <si>
    <t>D001340315</t>
  </si>
  <si>
    <t>ENTRADA POR GANANCIA EN LA ORDEN COMO DROPSHIPPER: 4520771* GUIA: *D001340315*</t>
  </si>
  <si>
    <t>21-02-2026 00:41</t>
  </si>
  <si>
    <t>D001340325</t>
  </si>
  <si>
    <t>ENTRADA POR GANANCIA EN LA ORDEN COMO DROPSHIPPER: 4514740* GUIA: *D001340325*</t>
  </si>
  <si>
    <t>21-02-2026 00:40</t>
  </si>
  <si>
    <t>D001340337</t>
  </si>
  <si>
    <t>ENTRADA POR GANANCIA EN LA ORDEN COMO DROPSHIPPER: 4510908* GUIA: *D001340337*</t>
  </si>
  <si>
    <t>D001340339</t>
  </si>
  <si>
    <t>ENTRADA POR GANANCIA EN LA ORDEN COMO DROPSHIPPER: 4509734* GUIA: *D001340339*</t>
  </si>
  <si>
    <t>LC52905254</t>
  </si>
  <si>
    <t>ENTRADA POR GANANCIA EN LA ORDEN COMO DROPSHIPPER: 4507830* GUIA: *LC52905254*</t>
  </si>
  <si>
    <t>D001340342</t>
  </si>
  <si>
    <t>ENTRADA POR GANANCIA EN LA ORDEN COMO DROPSHIPPER: 4507249* GUIA: *D001340342*</t>
  </si>
  <si>
    <t>D001340344</t>
  </si>
  <si>
    <t>ENTRADA POR GANANCIA EN LA ORDEN COMO DROPSHIPPER: 4506847* GUIA: *D001340344*</t>
  </si>
  <si>
    <t>D001340349</t>
  </si>
  <si>
    <t>ENTRADA POR GANANCIA EN LA ORDEN COMO DROPSHIPPER: 4506426* GUIA: *D001340349*</t>
  </si>
  <si>
    <t>D001340354</t>
  </si>
  <si>
    <t>ENTRADA POR GANANCIA EN LA ORDEN COMO DROPSHIPPER: 4504457* GUIA: *D001340354*</t>
  </si>
  <si>
    <t>D001340358</t>
  </si>
  <si>
    <t>ENTRADA POR GANANCIA EN LA ORDEN COMO DROPSHIPPER: 4503209* GUIA: *D001340358*</t>
  </si>
  <si>
    <t>D001340360</t>
  </si>
  <si>
    <t>ENTRADA POR GANANCIA EN LA ORDEN COMO DROPSHIPPER: 4501793* GUIA: *D001340360*</t>
  </si>
  <si>
    <t>LC52905135</t>
  </si>
  <si>
    <t>ENTRADA POR GANANCIA EN LA ORDEN COMO DROPSHIPPER: 4501338* GUIA: *LC52905135*</t>
  </si>
  <si>
    <t>21-02-2026 00:39</t>
  </si>
  <si>
    <t>D001340365</t>
  </si>
  <si>
    <t>ENTRADA POR GANANCIA EN LA ORDEN COMO DROPSHIPPER: 4499702* GUIA: *D001340365*</t>
  </si>
  <si>
    <t>LC52905141</t>
  </si>
  <si>
    <t>ENTRADA POR GANANCIA EN LA ORDEN COMO DROPSHIPPER: 4497580* GUIA: *LC52905141*</t>
  </si>
  <si>
    <t>21-02-2026 00:38</t>
  </si>
  <si>
    <t>D001318653</t>
  </si>
  <si>
    <t>ENTRADA POR GANANCIA EN LA ORDEN COMO DROPSHIPPER: 4451903* GUIA: *D001318653*</t>
  </si>
  <si>
    <t>D001313695</t>
  </si>
  <si>
    <t>ENTRADA POR GANANCIA EN LA ORDEN COMO DROPSHIPPER: 4442327* GUIA: *D001313695*</t>
  </si>
  <si>
    <t>20-02-2026 03:08</t>
  </si>
  <si>
    <t>D001313027</t>
  </si>
  <si>
    <t>SALIDA DE COBRO DE DEVOLUCIÓN POR ENTREGA NO EFECTIVA: 4432078</t>
  </si>
  <si>
    <t>20-02-2026 03:03</t>
  </si>
  <si>
    <t>D001304721</t>
  </si>
  <si>
    <t>SALIDA DE COBRO DE DEVOLUCIÓN POR ENTREGA NO EFECTIVA: 4418721</t>
  </si>
  <si>
    <t>20-02-2026 03:02</t>
  </si>
  <si>
    <t>D001303437</t>
  </si>
  <si>
    <t>SALIDA DE COBRO DE DEVOLUCIÓN POR ENTREGA NO EFECTIVA: 4418764</t>
  </si>
  <si>
    <t>20-02-2026 03:01</t>
  </si>
  <si>
    <t>D001302757</t>
  </si>
  <si>
    <t>SALIDA DE COBRO DE DEVOLUCIÓN POR ENTREGA NO EFECTIVA: 4406617</t>
  </si>
  <si>
    <t>20-02-2026 03:00</t>
  </si>
  <si>
    <t>D001291474</t>
  </si>
  <si>
    <t>SALIDA DE COBRO DE DEVOLUCIÓN POR ENTREGA NO EFECTIVA: 4363796</t>
  </si>
  <si>
    <t>20-02-2026 01:02</t>
  </si>
  <si>
    <t>SALIDA POR COBRO DE FLETE INICIAL: 4348506</t>
  </si>
  <si>
    <t>20-02-2026 00:43</t>
  </si>
  <si>
    <t>LC52899108</t>
  </si>
  <si>
    <t>ENTRADA POR GANANCIA EN LA ORDEN COMO DROPSHIPPER: 4523386* GUIA: *LC52899108*</t>
  </si>
  <si>
    <t>20-02-2026 00:40</t>
  </si>
  <si>
    <t>D001324322</t>
  </si>
  <si>
    <t>ENTRADA POR GANANCIA EN LA ORDEN COMO DROPSHIPPER: 4489527* GUIA: *D001324322*</t>
  </si>
  <si>
    <t>D001325888</t>
  </si>
  <si>
    <t>ENTRADA POR GANANCIA EN LA ORDEN COMO DROPSHIPPER: 4483280* GUIA: *D001325888*</t>
  </si>
  <si>
    <t>LC52860568</t>
  </si>
  <si>
    <t>ENTRADA POR GANANCIA EN LA ORDEN COMO DROPSHIPPER: 4482562* GUIA: *LC52860568*</t>
  </si>
  <si>
    <t>20-02-2026 00:38</t>
  </si>
  <si>
    <t>D001315167</t>
  </si>
  <si>
    <t>ENTRADA POR GANANCIA EN LA ORDEN COMO DROPSHIPPER: 4432104* GUIA: *D001315167*</t>
  </si>
  <si>
    <t>D001313036</t>
  </si>
  <si>
    <t>ENTRADA POR GANANCIA EN LA ORDEN COMO DROPSHIPPER: 4432024* GUIA: *D001313036*</t>
  </si>
  <si>
    <t>19-02-2026 03:00</t>
  </si>
  <si>
    <t>D001304718</t>
  </si>
  <si>
    <t>SALIDA DE COBRO DE DEVOLUCIÓN POR ENTREGA NO EFECTIVA: 4418735</t>
  </si>
  <si>
    <t>19-02-2026 00:42</t>
  </si>
  <si>
    <t>D001324288</t>
  </si>
  <si>
    <t>ENTRADA POR GANANCIA EN LA ORDEN COMO DROPSHIPPER: 4494573* GUIA: *D001324288*</t>
  </si>
  <si>
    <t>D001324315</t>
  </si>
  <si>
    <t>ENTRADA POR GANANCIA EN LA ORDEN COMO DROPSHIPPER: 4492210* GUIA: *D001324315*</t>
  </si>
  <si>
    <t>19-02-2026 00:41</t>
  </si>
  <si>
    <t>LC52869832</t>
  </si>
  <si>
    <t>ENTRADA POR GANANCIA EN LA ORDEN COMO DROPSHIPPER: 4490176* GUIA: *LC52869832*</t>
  </si>
  <si>
    <t>D001324318</t>
  </si>
  <si>
    <t>ENTRADA POR GANANCIA EN LA ORDEN COMO DROPSHIPPER: 4490141* GUIA: *D001324318*</t>
  </si>
  <si>
    <t>D001324319</t>
  </si>
  <si>
    <t>ENTRADA POR GANANCIA EN LA ORDEN COMO DROPSHIPPER: 4489941* GUIA: *D001324319*</t>
  </si>
  <si>
    <t>D001325890</t>
  </si>
  <si>
    <t>ENTRADA POR GANANCIA EN LA ORDEN COMO DROPSHIPPER: 4488195* GUIA: *D001325890*</t>
  </si>
  <si>
    <t>D001324343</t>
  </si>
  <si>
    <t>ENTRADA POR GANANCIA EN LA ORDEN COMO DROPSHIPPER: 4486357* GUIA: *D001324343*</t>
  </si>
  <si>
    <t>D001324349</t>
  </si>
  <si>
    <t>ENTRADA POR GANANCIA EN LA ORDEN COMO DROPSHIPPER: 4485606* GUIA: *D001324349*</t>
  </si>
  <si>
    <t>D001324355</t>
  </si>
  <si>
    <t>ENTRADA POR GANANCIA EN LA ORDEN COMO DROPSHIPPER: 4484419* GUIA: *D001324355*</t>
  </si>
  <si>
    <t>D001324357</t>
  </si>
  <si>
    <t>ENTRADA POR GANANCIA EN LA ORDEN COMO DROPSHIPPER: 4484130* GUIA: *D001324357*</t>
  </si>
  <si>
    <t>19-02-2026 00:40</t>
  </si>
  <si>
    <t>D001322578</t>
  </si>
  <si>
    <t>ENTRADA POR GANANCIA EN LA ORDEN COMO DROPSHIPPER: 4480883* GUIA: *D001322578*</t>
  </si>
  <si>
    <t>19-02-2026 00:38</t>
  </si>
  <si>
    <t>LC52832256</t>
  </si>
  <si>
    <t>ENTRADA POR GANANCIA EN LA ORDEN COMO DROPSHIPPER: 4432087* GUIA: *LC52832256*</t>
  </si>
  <si>
    <t>D001312625</t>
  </si>
  <si>
    <t>ENTRADA POR GANANCIA EN LA ORDEN COMO DROPSHIPPER: 4432005* GUIA: *D001312625*</t>
  </si>
  <si>
    <t>18-02-2026 23:56</t>
  </si>
  <si>
    <t>SALIDA POR COBRO DE FLETE INICIAL: 4366701</t>
  </si>
  <si>
    <t>18-02-2026 23:42</t>
  </si>
  <si>
    <t>SALIDA POR COBRO DE FLETE INICIAL: 4287032</t>
  </si>
  <si>
    <t>18-02-2026 23:35</t>
  </si>
  <si>
    <t>SALIDA POR COBRO DE FLETE INICIAL: 4187558</t>
  </si>
  <si>
    <t>18-02-2026 23:34</t>
  </si>
  <si>
    <t>SALIDA POR COBRO DE FLETE INICIAL: 4232226</t>
  </si>
  <si>
    <t>18-02-2026 23:28</t>
  </si>
  <si>
    <t>SALIDA POR COBRO DE FLETE INICIAL: 4266641</t>
  </si>
  <si>
    <t>18-02-2026 23:27</t>
  </si>
  <si>
    <t>SALIDA POR COBRO DE FLETE INICIAL: 4184660</t>
  </si>
  <si>
    <t>18-02-2026 10:21</t>
  </si>
  <si>
    <t>retiro</t>
  </si>
  <si>
    <t>18-02-2026 03:00</t>
  </si>
  <si>
    <t>D001288618</t>
  </si>
  <si>
    <t>SALIDA DE COBRO DE DEVOLUCIÓN POR ENTREGA NO EFECTIVA: 4326620</t>
  </si>
  <si>
    <t>18-02-2026 00:39</t>
  </si>
  <si>
    <t>D001325871</t>
  </si>
  <si>
    <t>ENTRADA POR GANANCIA EN LA ORDEN COMO DROPSHIPPER: 4501089* GUIA: *D001325871*</t>
  </si>
  <si>
    <t>18-02-2026 00:38</t>
  </si>
  <si>
    <t>D001324283</t>
  </si>
  <si>
    <t>ENTRADA POR GANANCIA EN LA ORDEN COMO DROPSHIPPER: 4494772* GUIA: *D001324283*</t>
  </si>
  <si>
    <t>D001326790</t>
  </si>
  <si>
    <t>ENTRADA POR GANANCIA EN LA ORDEN COMO DROPSHIPPER: 4492594* GUIA: *D001326790*</t>
  </si>
  <si>
    <t>D001325887</t>
  </si>
  <si>
    <t>ENTRADA POR GANANCIA EN LA ORDEN COMO DROPSHIPPER: 4490256* GUIA: *D001325887*</t>
  </si>
  <si>
    <t>D001324321</t>
  </si>
  <si>
    <t>ENTRADA POR GANANCIA EN LA ORDEN COMO DROPSHIPPER: 4489607* GUIA: *D001324321*</t>
  </si>
  <si>
    <t>D001324329</t>
  </si>
  <si>
    <t>ENTRADA POR GANANCIA EN LA ORDEN COMO DROPSHIPPER: 4487920* GUIA: *D001324329*</t>
  </si>
  <si>
    <t>D001324339</t>
  </si>
  <si>
    <t>ENTRADA POR GANANCIA EN LA ORDEN COMO DROPSHIPPER: 4486805* GUIA: *D001324339*</t>
  </si>
  <si>
    <t>D001324348</t>
  </si>
  <si>
    <t>ENTRADA POR GANANCIA EN LA ORDEN COMO DROPSHIPPER: 4485943* GUIA: *D001324348*</t>
  </si>
  <si>
    <t>D001324361</t>
  </si>
  <si>
    <t>ENTRADA POR GANANCIA EN LA ORDEN COMO DROPSHIPPER: 4483482* GUIA: *D001324361*</t>
  </si>
  <si>
    <t>D001325889</t>
  </si>
  <si>
    <t>ENTRADA POR GANANCIA EN LA ORDEN COMO DROPSHIPPER: 4479830* GUIA: *D001325889*</t>
  </si>
  <si>
    <t>D001313694</t>
  </si>
  <si>
    <t>ENTRADA POR GANANCIA EN LA ORDEN COMO DROPSHIPPER: 4442330* GUIA: *D001313694*</t>
  </si>
  <si>
    <t>D001315162</t>
  </si>
  <si>
    <t>ENTRADA POR GANANCIA EN LA ORDEN COMO DROPSHIPPER: 4442317* GUIA: *D001315162*</t>
  </si>
  <si>
    <t>ENTRADA POR GANANCIA EN LA ORDEN COMO DROPSHIPPER: 4349132* GUIA: *186991801*</t>
  </si>
  <si>
    <t>17-02-2026 16:48</t>
  </si>
  <si>
    <t>ENTRADA POR INDEMNIZACION ORDEN: 3944444. MOTIVO: PROVEEDOR NO DESPACHA EN 72 HORAS, TIPO: PROFIT</t>
  </si>
  <si>
    <t>WYB164257576</t>
  </si>
  <si>
    <t>ENTRADA POR INDEMNIZACION ORDEN: 3958976. MOTIVO: PROVEEDOR NO DESPACHA EN 72 HORAS, TIPO: PROFIT</t>
  </si>
  <si>
    <t>WYB164186441</t>
  </si>
  <si>
    <t>ENTRADA POR INDEMNIZACION ORDEN: 3951242. MOTIVO: PROVEEDOR NO DESPACHA EN 72 HORAS, TIPO: PROFIT</t>
  </si>
  <si>
    <t>WYB164095177</t>
  </si>
  <si>
    <t>ENTRADA POR INDEMNIZACION ORDEN: 3940035. MOTIVO: PROVEEDOR NO DESPACHA EN 72 HORAS, TIPO: PROFIT</t>
  </si>
  <si>
    <t>17-02-2026 03:09</t>
  </si>
  <si>
    <t>D001304707</t>
  </si>
  <si>
    <t>SALIDA DE COBRO DE DEVOLUCIÓN POR ENTREGA NO EFECTIVA: 4421198</t>
  </si>
  <si>
    <t>17-02-2026 03:02</t>
  </si>
  <si>
    <t>D001294606</t>
  </si>
  <si>
    <t>SALIDA DE COBRO DE DEVOLUCIÓN POR ENTREGA NO EFECTIVA: 4371257</t>
  </si>
  <si>
    <t>D001294465</t>
  </si>
  <si>
    <t>SALIDA DE COBRO DE DEVOLUCIÓN POR ENTREGA NO EFECTIVA: 4383686</t>
  </si>
  <si>
    <t>17-02-2026 03:01</t>
  </si>
  <si>
    <t>D001291486</t>
  </si>
  <si>
    <t>SALIDA DE COBRO DE DEVOLUCIÓN POR ENTREGA NO EFECTIVA: 4359299</t>
  </si>
  <si>
    <t>17-02-2026 03:00</t>
  </si>
  <si>
    <t>D001288609</t>
  </si>
  <si>
    <t>SALIDA DE COBRO DE DEVOLUCIÓN POR ENTREGA NO EFECTIVA: 4337342</t>
  </si>
  <si>
    <t>D001288599</t>
  </si>
  <si>
    <t>SALIDA DE COBRO DE DEVOLUCIÓN POR ENTREGA NO EFECTIVA: 4339845</t>
  </si>
  <si>
    <t>D001288589</t>
  </si>
  <si>
    <t>SALIDA DE COBRO DE DEVOLUCIÓN POR ENTREGA NO EFECTIVA: 4345823</t>
  </si>
  <si>
    <t>16-02-2026 21:33</t>
  </si>
  <si>
    <t>SALIDA POR COBRO DE FLETE INICIAL: 3645618</t>
  </si>
  <si>
    <t>15-02-2026 03:03</t>
  </si>
  <si>
    <t>D001291487</t>
  </si>
  <si>
    <t>SALIDA DE COBRO DE DEVOLUCIÓN POR ENTREGA NO EFECTIVA: 4359117</t>
  </si>
  <si>
    <t>D001290859</t>
  </si>
  <si>
    <t>SALIDA DE COBRO DE DEVOLUCIÓN POR ENTREGA NO EFECTIVA: 4348882</t>
  </si>
  <si>
    <t>D001290809</t>
  </si>
  <si>
    <t>SALIDA DE COBRO DE DEVOLUCIÓN POR ENTREGA NO EFECTIVA: 4357229</t>
  </si>
  <si>
    <t>D001290802</t>
  </si>
  <si>
    <t>SALIDA DE COBRO DE DEVOLUCIÓN POR ENTREGA NO EFECTIVA: 4357814</t>
  </si>
  <si>
    <t>D001290797</t>
  </si>
  <si>
    <t>SALIDA DE COBRO DE DEVOLUCIÓN POR ENTREGA NO EFECTIVA: 4361504</t>
  </si>
  <si>
    <t>D001290774</t>
  </si>
  <si>
    <t>SALIDA DE COBRO DE DEVOLUCIÓN POR ENTREGA NO EFECTIVA: 4348457</t>
  </si>
  <si>
    <t>D001290766</t>
  </si>
  <si>
    <t>SALIDA DE COBRO DE DEVOLUCIÓN POR ENTREGA NO EFECTIVA: 4357755</t>
  </si>
  <si>
    <t>D001290764</t>
  </si>
  <si>
    <t>SALIDA DE COBRO DE DEVOLUCIÓN POR ENTREGA NO EFECTIVA: 4362190</t>
  </si>
  <si>
    <t>15-02-2026 03:02</t>
  </si>
  <si>
    <t>D001288606</t>
  </si>
  <si>
    <t>SALIDA DE COBRO DE DEVOLUCIÓN POR ENTREGA NO EFECTIVA: 4355458</t>
  </si>
  <si>
    <t>D001288581</t>
  </si>
  <si>
    <t>SALIDA DE COBRO DE DEVOLUCIÓN POR ENTREGA NO EFECTIVA: 4348391</t>
  </si>
  <si>
    <t>15-02-2026 00:41</t>
  </si>
  <si>
    <t>D001324314</t>
  </si>
  <si>
    <t>ENTRADA POR GANANCIA EN LA ORDEN COMO DROPSHIPPER: 4492364* GUIA: *D001324314*</t>
  </si>
  <si>
    <t>D001324316</t>
  </si>
  <si>
    <t>ENTRADA POR GANANCIA EN LA ORDEN COMO DROPSHIPPER: 4491759* GUIA: *D001324316*</t>
  </si>
  <si>
    <t>D001324324</t>
  </si>
  <si>
    <t>ENTRADA POR GANANCIA EN LA ORDEN COMO DROPSHIPPER: 4489410* GUIA: *D001324324*</t>
  </si>
  <si>
    <t>15-02-2026 00:40</t>
  </si>
  <si>
    <t>D001324352</t>
  </si>
  <si>
    <t>ENTRADA POR GANANCIA EN LA ORDEN COMO DROPSHIPPER: 4484663* GUIA: *D001324352*</t>
  </si>
  <si>
    <t>D001324360</t>
  </si>
  <si>
    <t>ENTRADA POR GANANCIA EN LA ORDEN COMO DROPSHIPPER: 4483651* GUIA: *D001324360*</t>
  </si>
  <si>
    <t>D001322963</t>
  </si>
  <si>
    <t>ENTRADA POR GANANCIA EN LA ORDEN COMO DROPSHIPPER: 4482922* GUIA: *D001322963*</t>
  </si>
  <si>
    <t>D001322577</t>
  </si>
  <si>
    <t>ENTRADA POR GANANCIA EN LA ORDEN COMO DROPSHIPPER: 4481400* GUIA: *D001322577*</t>
  </si>
  <si>
    <t>D001322580</t>
  </si>
  <si>
    <t>ENTRADA POR GANANCIA EN LA ORDEN COMO DROPSHIPPER: 4479660* GUIA: *D001322580*</t>
  </si>
  <si>
    <t>15-02-2026 00:39</t>
  </si>
  <si>
    <t>ENTRADA POR GANANCIA EN LA ORDEN COMO DROPSHIPPER: 4460273* GUIA: *187033386*</t>
  </si>
  <si>
    <t>15-02-2026 00:38</t>
  </si>
  <si>
    <t>D001315178</t>
  </si>
  <si>
    <t>ENTRADA POR GANANCIA EN LA ORDEN COMO DROPSHIPPER: 4431988* GUIA: *D001315178*</t>
  </si>
  <si>
    <t>D001318311</t>
  </si>
  <si>
    <t>ENTRADA POR GANANCIA EN LA ORDEN COMO DROPSHIPPER: 4421755* GUIA: *D001318311*</t>
  </si>
  <si>
    <t>D001303436</t>
  </si>
  <si>
    <t>ENTRADA POR GANANCIA EN LA ORDEN COMO DROPSHIPPER: 4418770* GUIA: *D001303436*</t>
  </si>
  <si>
    <t>14-02-2026 03:05</t>
  </si>
  <si>
    <t>D001290855</t>
  </si>
  <si>
    <t>SALIDA DE COBRO DE DEVOLUCIÓN POR ENTREGA NO EFECTIVA: 4350658</t>
  </si>
  <si>
    <t>D001290793</t>
  </si>
  <si>
    <t>SALIDA DE COBRO DE DEVOLUCIÓN POR ENTREGA NO EFECTIVA: 4335785</t>
  </si>
  <si>
    <t>D001290789</t>
  </si>
  <si>
    <t>SALIDA DE COBRO DE DEVOLUCIÓN POR ENTREGA NO EFECTIVA: 4337156</t>
  </si>
  <si>
    <t>D001290784</t>
  </si>
  <si>
    <t>SALIDA DE COBRO DE DEVOLUCIÓN POR ENTREGA NO EFECTIVA: 4341361</t>
  </si>
  <si>
    <t>D001290777</t>
  </si>
  <si>
    <t>SALIDA DE COBRO DE DEVOLUCIÓN POR ENTREGA NO EFECTIVA: 4343159</t>
  </si>
  <si>
    <t>14-02-2026 03:03</t>
  </si>
  <si>
    <t>D001287600</t>
  </si>
  <si>
    <t>SALIDA DE COBRO DE DEVOLUCIÓN POR ENTREGA NO EFECTIVA: 4346670</t>
  </si>
  <si>
    <t>D001287597</t>
  </si>
  <si>
    <t>SALIDA DE COBRO DE DEVOLUCIÓN POR ENTREGA NO EFECTIVA: 4347010</t>
  </si>
  <si>
    <t>14-02-2026 00:44</t>
  </si>
  <si>
    <t>D001322579</t>
  </si>
  <si>
    <t>ENTRADA POR GANANCIA EN LA ORDEN COMO DROPSHIPPER: 4480601* GUIA: *D001322579*</t>
  </si>
  <si>
    <t>14-02-2026 00:41</t>
  </si>
  <si>
    <t>D001318305</t>
  </si>
  <si>
    <t>ENTRADA POR GANANCIA EN LA ORDEN COMO DROPSHIPPER: 4458418* GUIA: *D001318305*</t>
  </si>
  <si>
    <t>D001318306</t>
  </si>
  <si>
    <t>ENTRADA POR GANANCIA EN LA ORDEN COMO DROPSHIPPER: 4458181* GUIA: *D001318306*</t>
  </si>
  <si>
    <t>ENTRADA POR GANANCIA EN LA ORDEN COMO DROPSHIPPER: 4458057* GUIA: *187033453*</t>
  </si>
  <si>
    <t>14-02-2026 00:40</t>
  </si>
  <si>
    <t>D001318652</t>
  </si>
  <si>
    <t>ENTRADA POR GANANCIA EN LA ORDEN COMO DROPSHIPPER: 4451911* GUIA: *D001318652*</t>
  </si>
  <si>
    <t>D001316566</t>
  </si>
  <si>
    <t>ENTRADA POR GANANCIA EN LA ORDEN COMO DROPSHIPPER: 4442392* GUIA: *D001316566*</t>
  </si>
  <si>
    <t>D001312992</t>
  </si>
  <si>
    <t>ENTRADA POR GANANCIA EN LA ORDEN COMO DROPSHIPPER: 4442384* GUIA: *D001312992*</t>
  </si>
  <si>
    <t>D001312994</t>
  </si>
  <si>
    <t>ENTRADA POR GANANCIA EN LA ORDEN COMO DROPSHIPPER: 4442358* GUIA: *D001312994*</t>
  </si>
  <si>
    <t>D001315160</t>
  </si>
  <si>
    <t>ENTRADA POR GANANCIA EN LA ORDEN COMO DROPSHIPPER: 4442344* GUIA: *D001315160*</t>
  </si>
  <si>
    <t>14-02-2026 00:39</t>
  </si>
  <si>
    <t>D001313025</t>
  </si>
  <si>
    <t>ENTRADA POR GANANCIA EN LA ORDEN COMO DROPSHIPPER: 4432083* GUIA: *D001313025*</t>
  </si>
  <si>
    <t>D001319434</t>
  </si>
  <si>
    <t>ENTRADA POR GANANCIA EN LA ORDEN COMO DROPSHIPPER: 4432038* GUIA: *D001319434*</t>
  </si>
  <si>
    <t>V4002231738</t>
  </si>
  <si>
    <t>ENTRADA POR GANANCIA EN LA ORDEN COMO DROPSHIPPER: 4422094* GUIA: *V4002231738*</t>
  </si>
  <si>
    <t>D001312639</t>
  </si>
  <si>
    <t>ENTRADA POR GANANCIA EN LA ORDEN COMO DROPSHIPPER: 4421914* GUIA: *D001312639*</t>
  </si>
  <si>
    <t>14-02-2026 00:38</t>
  </si>
  <si>
    <t>D001302759</t>
  </si>
  <si>
    <t>ENTRADA POR GANANCIA EN LA ORDEN COMO DROPSHIPPER: 4405543* GUIA: *D001302759*</t>
  </si>
  <si>
    <t>D001288577</t>
  </si>
  <si>
    <t>ENTRADA POR GANANCIA EN LA ORDEN COMO DROPSHIPPER: 4353792* GUIA: *D001288577*</t>
  </si>
  <si>
    <t>13-02-2026 03:12</t>
  </si>
  <si>
    <t>D001288604</t>
  </si>
  <si>
    <t>SALIDA DE COBRO DE DEVOLUCIÓN POR ENTREGA NO EFECTIVA: 4339125</t>
  </si>
  <si>
    <t>13-02-2026 03:05</t>
  </si>
  <si>
    <t>D001285287</t>
  </si>
  <si>
    <t>SALIDA DE COBRO DE DEVOLUCIÓN POR ENTREGA NO EFECTIVA: 4322561</t>
  </si>
  <si>
    <t>13-02-2026 01:03</t>
  </si>
  <si>
    <t>SALIDA POR COBRO DE FLETE INICIAL: 4177020</t>
  </si>
  <si>
    <t>13-02-2026 01:02</t>
  </si>
  <si>
    <t>SALIDA POR COBRO DE FLETE INICIAL: 4307785</t>
  </si>
  <si>
    <t>SALIDA POR COBRO DE FLETE INICIAL: 4330008</t>
  </si>
  <si>
    <t>13-02-2026 00:42</t>
  </si>
  <si>
    <t>ENTRADA POR GANANCIA EN LA ORDEN COMO DROPSHIPPER: 4457045* GUIA: *187033471*</t>
  </si>
  <si>
    <t>ENTRADA POR GANANCIA EN LA ORDEN COMO DROPSHIPPER: 4455728* GUIA: *187033499*</t>
  </si>
  <si>
    <t>D001315527</t>
  </si>
  <si>
    <t>ENTRADA POR GANANCIA EN LA ORDEN COMO DROPSHIPPER: 4451908* GUIA: *D001315527*</t>
  </si>
  <si>
    <t>13-02-2026 00:41</t>
  </si>
  <si>
    <t>D001312988</t>
  </si>
  <si>
    <t>ENTRADA POR GANANCIA EN LA ORDEN COMO DROPSHIPPER: 4442397* GUIA: *D001312988*</t>
  </si>
  <si>
    <t>LC52832255</t>
  </si>
  <si>
    <t>ENTRADA POR GANANCIA EN LA ORDEN COMO DROPSHIPPER: 4442395* GUIA: *LC52832255*</t>
  </si>
  <si>
    <t>D001312989</t>
  </si>
  <si>
    <t>ENTRADA POR GANANCIA EN LA ORDEN COMO DROPSHIPPER: 4442394* GUIA: *D001312989*</t>
  </si>
  <si>
    <t>D001312990</t>
  </si>
  <si>
    <t>ENTRADA POR GANANCIA EN LA ORDEN COMO DROPSHIPPER: 4442390* GUIA: *D001312990*</t>
  </si>
  <si>
    <t>D001315156</t>
  </si>
  <si>
    <t>ENTRADA POR GANANCIA EN LA ORDEN COMO DROPSHIPPER: 4442382* GUIA: *D001315156*</t>
  </si>
  <si>
    <t>D001315157</t>
  </si>
  <si>
    <t>ENTRADA POR GANANCIA EN LA ORDEN COMO DROPSHIPPER: 4442356* GUIA: *D001315157*</t>
  </si>
  <si>
    <t>D001315158</t>
  </si>
  <si>
    <t>ENTRADA POR GANANCIA EN LA ORDEN COMO DROPSHIPPER: 4442352* GUIA: *D001315158*</t>
  </si>
  <si>
    <t>D001315159</t>
  </si>
  <si>
    <t>ENTRADA POR GANANCIA EN LA ORDEN COMO DROPSHIPPER: 4442346* GUIA: *D001315159*</t>
  </si>
  <si>
    <t>D001318310</t>
  </si>
  <si>
    <t>ENTRADA POR GANANCIA EN LA ORDEN COMO DROPSHIPPER: 4442340* GUIA: *D001318310*</t>
  </si>
  <si>
    <t>D001316568</t>
  </si>
  <si>
    <t>ENTRADA POR GANANCIA EN LA ORDEN COMO DROPSHIPPER: 4442335* GUIA: *D001316568*</t>
  </si>
  <si>
    <t>D001315163</t>
  </si>
  <si>
    <t>ENTRADA POR GANANCIA EN LA ORDEN COMO DROPSHIPPER: 4442316* GUIA: *D001315163*</t>
  </si>
  <si>
    <t>D001315164</t>
  </si>
  <si>
    <t>ENTRADA POR GANANCIA EN LA ORDEN COMO DROPSHIPPER: 4442313* GUIA: *D001315164*</t>
  </si>
  <si>
    <t>D001313696</t>
  </si>
  <si>
    <t>ENTRADA POR GANANCIA EN LA ORDEN COMO DROPSHIPPER: 4442312* GUIA: *D001313696*</t>
  </si>
  <si>
    <t>D001315541</t>
  </si>
  <si>
    <t>ENTRADA POR GANANCIA EN LA ORDEN COMO DROPSHIPPER: 4442308* GUIA: *D001315541*</t>
  </si>
  <si>
    <t>13-02-2026 00:40</t>
  </si>
  <si>
    <t>D001315166</t>
  </si>
  <si>
    <t>ENTRADA POR GANANCIA EN LA ORDEN COMO DROPSHIPPER: 4432111* GUIA: *D001315166*</t>
  </si>
  <si>
    <t>D001313021</t>
  </si>
  <si>
    <t>ENTRADA POR GANANCIA EN LA ORDEN COMO DROPSHIPPER: 4432100* GUIA: *D001313021*</t>
  </si>
  <si>
    <t>D001315168</t>
  </si>
  <si>
    <t>ENTRADA POR GANANCIA EN LA ORDEN COMO DROPSHIPPER: 4432098* GUIA: *D001315168*</t>
  </si>
  <si>
    <t>D001313032</t>
  </si>
  <si>
    <t>ENTRADA POR GANANCIA EN LA ORDEN COMO DROPSHIPPER: 4432054* GUIA: *D001313032*</t>
  </si>
  <si>
    <t>D001315171</t>
  </si>
  <si>
    <t>ENTRADA POR GANANCIA EN LA ORDEN COMO DROPSHIPPER: 4432044* GUIA: *D001315171*</t>
  </si>
  <si>
    <t>D001315173</t>
  </si>
  <si>
    <t>ENTRADA POR GANANCIA EN LA ORDEN COMO DROPSHIPPER: 4432031* GUIA: *D001315173*</t>
  </si>
  <si>
    <t>D001313037</t>
  </si>
  <si>
    <t>ENTRADA POR GANANCIA EN LA ORDEN COMO DROPSHIPPER: 4432019* GUIA: *D001313037*</t>
  </si>
  <si>
    <t>D001312626</t>
  </si>
  <si>
    <t>ENTRADA POR GANANCIA EN LA ORDEN COMO DROPSHIPPER: 4432001* GUIA: *D001312626*</t>
  </si>
  <si>
    <t>D001312627</t>
  </si>
  <si>
    <t>ENTRADA POR GANANCIA EN LA ORDEN COMO DROPSHIPPER: 4431998* GUIA: *D001312627*</t>
  </si>
  <si>
    <t>D001315177</t>
  </si>
  <si>
    <t>ENTRADA POR GANANCIA EN LA ORDEN COMO DROPSHIPPER: 4431989* GUIA: *D001315177*</t>
  </si>
  <si>
    <t>13-02-2026 00:39</t>
  </si>
  <si>
    <t>D001302988</t>
  </si>
  <si>
    <t>ENTRADA POR GANANCIA EN LA ORDEN COMO DROPSHIPPER: 4406065* GUIA: *D001302988*</t>
  </si>
  <si>
    <t>13-02-2026 00:38</t>
  </si>
  <si>
    <t>D001290769</t>
  </si>
  <si>
    <t>ENTRADA POR GANANCIA EN LA ORDEN COMO DROPSHIPPER: 4354082* GUIA: *D001290769*</t>
  </si>
  <si>
    <t>D001294613</t>
  </si>
  <si>
    <t>ENTRADA POR GANANCIA EN LA ORDEN COMO DROPSHIPPER: 4350570* GUIA: *D001294613*</t>
  </si>
  <si>
    <t>D001288613</t>
  </si>
  <si>
    <t>ENTRADA POR GANANCIA EN LA ORDEN COMO DROPSHIPPER: 4334275* GUIA: *D001288613*</t>
  </si>
  <si>
    <t>12-02-2026 03:04</t>
  </si>
  <si>
    <t>D001279964</t>
  </si>
  <si>
    <t>SALIDA DE COBRO DE DEVOLUCIÓN POR ENTREGA NO EFECTIVA: 4330471</t>
  </si>
  <si>
    <t>12-02-2026 03:02</t>
  </si>
  <si>
    <t>D001277212</t>
  </si>
  <si>
    <t>SALIDA DE COBRO DE DEVOLUCIÓN POR ENTREGA NO EFECTIVA: 4122118</t>
  </si>
  <si>
    <t>D001277209</t>
  </si>
  <si>
    <t>SALIDA DE COBRO DE DEVOLUCIÓN POR ENTREGA NO EFECTIVA: 4136748</t>
  </si>
  <si>
    <t>D001277156</t>
  </si>
  <si>
    <t>SALIDA DE COBRO DE DEVOLUCIÓN POR ENTREGA NO EFECTIVA: 4319018</t>
  </si>
  <si>
    <t>D001277151</t>
  </si>
  <si>
    <t>SALIDA DE COBRO DE DEVOLUCIÓN POR ENTREGA NO EFECTIVA: 4319201</t>
  </si>
  <si>
    <t>D001277014</t>
  </si>
  <si>
    <t>SALIDA DE COBRO DE DEVOLUCIÓN POR ENTREGA NO EFECTIVA: 4325809</t>
  </si>
  <si>
    <t>D001277002</t>
  </si>
  <si>
    <t>SALIDA DE COBRO DE DEVOLUCIÓN POR ENTREGA NO EFECTIVA: 4326257</t>
  </si>
  <si>
    <t>12-02-2026 03:00</t>
  </si>
  <si>
    <t>D001273770</t>
  </si>
  <si>
    <t>SALIDA DE COBRO DE DEVOLUCIÓN POR ENTREGA NO EFECTIVA: 4318302</t>
  </si>
  <si>
    <t>12-02-2026 00:45</t>
  </si>
  <si>
    <t>D001315528</t>
  </si>
  <si>
    <t>ENTRADA POR GANANCIA EN LA ORDEN COMO DROPSHIPPER: 4451896* GUIA: *D001315528*</t>
  </si>
  <si>
    <t>12-02-2026 00:43</t>
  </si>
  <si>
    <t>D001312991</t>
  </si>
  <si>
    <t>ENTRADA POR GANANCIA EN LA ORDEN COMO DROPSHIPPER: 4442386* GUIA: *D001312991*</t>
  </si>
  <si>
    <t>D001312995</t>
  </si>
  <si>
    <t>ENTRADA POR GANANCIA EN LA ORDEN COMO DROPSHIPPER: 4442337* GUIA: *D001312995*</t>
  </si>
  <si>
    <t>D001315540</t>
  </si>
  <si>
    <t>ENTRADA POR GANANCIA EN LA ORDEN COMO DROPSHIPPER: 4442310* GUIA: *D001315540*</t>
  </si>
  <si>
    <t>D001315542</t>
  </si>
  <si>
    <t>ENTRADA POR GANANCIA EN LA ORDEN COMO DROPSHIPPER: 4442307* GUIA: *D001315542*</t>
  </si>
  <si>
    <t>12-02-2026 00:42</t>
  </si>
  <si>
    <t>D001313019</t>
  </si>
  <si>
    <t>ENTRADA POR GANANCIA EN LA ORDEN COMO DROPSHIPPER: 4432108* GUIA: *D001313019*</t>
  </si>
  <si>
    <t>D001313020</t>
  </si>
  <si>
    <t>ENTRADA POR GANANCIA EN LA ORDEN COMO DROPSHIPPER: 4432106* GUIA: *D001313020*</t>
  </si>
  <si>
    <t>LC52831532</t>
  </si>
  <si>
    <t>ENTRADA POR GANANCIA EN LA ORDEN COMO DROPSHIPPER: 4432102* GUIA: *LC52831532*</t>
  </si>
  <si>
    <t>D001313022</t>
  </si>
  <si>
    <t>ENTRADA POR GANANCIA EN LA ORDEN COMO DROPSHIPPER: 4432097* GUIA: *D001313022*</t>
  </si>
  <si>
    <t>D001315170</t>
  </si>
  <si>
    <t>ENTRADA POR GANANCIA EN LA ORDEN COMO DROPSHIPPER: 4432094* GUIA: *D001315170*</t>
  </si>
  <si>
    <t>D001313026</t>
  </si>
  <si>
    <t>ENTRADA POR GANANCIA EN LA ORDEN COMO DROPSHIPPER: 4432081* GUIA: *D001313026*</t>
  </si>
  <si>
    <t>D001313028</t>
  </si>
  <si>
    <t>ENTRADA POR GANANCIA EN LA ORDEN COMO DROPSHIPPER: 4432077* GUIA: *D001313028*</t>
  </si>
  <si>
    <t>D001313029</t>
  </si>
  <si>
    <t>ENTRADA POR GANANCIA EN LA ORDEN COMO DROPSHIPPER: 4432074* GUIA: *D001313029*</t>
  </si>
  <si>
    <t>D001313030</t>
  </si>
  <si>
    <t>ENTRADA POR GANANCIA EN LA ORDEN COMO DROPSHIPPER: 4432061* GUIA: *D001313030*</t>
  </si>
  <si>
    <t>D001313033</t>
  </si>
  <si>
    <t>ENTRADA POR GANANCIA EN LA ORDEN COMO DROPSHIPPER: 4432052* GUIA: *D001313033*</t>
  </si>
  <si>
    <t>D001313035</t>
  </si>
  <si>
    <t>ENTRADA POR GANANCIA EN LA ORDEN COMO DROPSHIPPER: 4432041* GUIA: *D001313035*</t>
  </si>
  <si>
    <t>D001315172</t>
  </si>
  <si>
    <t>ENTRADA POR GANANCIA EN LA ORDEN COMO DROPSHIPPER: 4432035* GUIA: *D001315172*</t>
  </si>
  <si>
    <t>D001315175</t>
  </si>
  <si>
    <t>ENTRADA POR GANANCIA EN LA ORDEN COMO DROPSHIPPER: 4431992* GUIA: *D001315175*</t>
  </si>
  <si>
    <t>12-02-2026 00:38</t>
  </si>
  <si>
    <t>ENTRADA POR GANANCIA EN LA ORDEN COMO DROPSHIPPER: 4361648* GUIA: *186994733*</t>
  </si>
  <si>
    <t>WYB166676398</t>
  </si>
  <si>
    <t>ENTRADA POR GANANCIA EN LA ORDEN COMO DROPSHIPPER: 4359690* GUIA: *WYB166676398*</t>
  </si>
  <si>
    <t>D001290800</t>
  </si>
  <si>
    <t>ENTRADA POR GANANCIA EN LA ORDEN COMO DROPSHIPPER: 4358002* GUIA: *D001290800*</t>
  </si>
  <si>
    <t>LC52775887</t>
  </si>
  <si>
    <t>ENTRADA POR GANANCIA EN LA ORDEN COMO DROPSHIPPER: 4352751* GUIA: *LC52775887*</t>
  </si>
  <si>
    <t>ENTRADA POR GANANCIA EN LA ORDEN COMO DROPSHIPPER: 4340118* GUIA: *186991786*</t>
  </si>
  <si>
    <t>D001288600</t>
  </si>
  <si>
    <t>ENTRADA POR GANANCIA EN LA ORDEN COMO DROPSHIPPER: 4339702* GUIA: *D001288600*</t>
  </si>
  <si>
    <t>D001173227</t>
  </si>
  <si>
    <t>ENTRADA POR GANANCIA EN LA ORDEN COMO DROPSHIPPER: 3950388* GUIA: *D001173227*</t>
  </si>
  <si>
    <t>11-02-2026 15:10</t>
  </si>
  <si>
    <t>LC52720104</t>
  </si>
  <si>
    <t>SALIDA POR COBRO DE FLETE INICIAL: 4285171</t>
  </si>
  <si>
    <t>11-02-2026 10:33</t>
  </si>
  <si>
    <t>pago</t>
  </si>
  <si>
    <t>11-02-2026 02:03</t>
  </si>
  <si>
    <t>WYB166035341</t>
  </si>
  <si>
    <t>SALIDA DE COBRO DE DEVOLUCIÓN POR ENTREGA NO EFECTIVA: 4261277</t>
  </si>
  <si>
    <t>11-02-2026 00:42</t>
  </si>
  <si>
    <t>D001304708</t>
  </si>
  <si>
    <t>ENTRADA POR GANANCIA EN LA ORDEN COMO DROPSHIPPER: 4421193* GUIA: *D001304708*</t>
  </si>
  <si>
    <t>11-02-2026 00:41</t>
  </si>
  <si>
    <t>D001303438</t>
  </si>
  <si>
    <t>ENTRADA POR GANANCIA EN LA ORDEN COMO DROPSHIPPER: 4418758* GUIA: *D001303438*</t>
  </si>
  <si>
    <t>D001303439</t>
  </si>
  <si>
    <t>ENTRADA POR GANANCIA EN LA ORDEN COMO DROPSHIPPER: 4418751* GUIA: *D001303439*</t>
  </si>
  <si>
    <t>D001304719</t>
  </si>
  <si>
    <t>ENTRADA POR GANANCIA EN LA ORDEN COMO DROPSHIPPER: 4418726* GUIA: *D001304719*</t>
  </si>
  <si>
    <t>LC52818849</t>
  </si>
  <si>
    <t>ENTRADA POR GANANCIA EN LA ORDEN COMO DROPSHIPPER: 4418667* GUIA: *LC52818849*</t>
  </si>
  <si>
    <t>D001304722</t>
  </si>
  <si>
    <t>ENTRADA POR GANANCIA EN LA ORDEN COMO DROPSHIPPER: 4418661* GUIA: *D001304722*</t>
  </si>
  <si>
    <t>D001303442</t>
  </si>
  <si>
    <t>ENTRADA POR GANANCIA EN LA ORDEN COMO DROPSHIPPER: 4418651* GUIA: *D001303442*</t>
  </si>
  <si>
    <t>D001303443</t>
  </si>
  <si>
    <t>ENTRADA POR GANANCIA EN LA ORDEN COMO DROPSHIPPER: 4418649* GUIA: *D001303443*</t>
  </si>
  <si>
    <t>D001303444</t>
  </si>
  <si>
    <t>ENTRADA POR GANANCIA EN LA ORDEN COMO DROPSHIPPER: 4418629* GUIA: *D001303444*</t>
  </si>
  <si>
    <t>11-02-2026 00:40</t>
  </si>
  <si>
    <t>D001302986</t>
  </si>
  <si>
    <t>ENTRADA POR GANANCIA EN LA ORDEN COMO DROPSHIPPER: 4406819* GUIA: *D001302986*</t>
  </si>
  <si>
    <t>11-02-2026 00:38</t>
  </si>
  <si>
    <t>ENTRADA POR GANANCIA EN LA ORDEN COMO DROPSHIPPER: 4344956* GUIA: *186995647*</t>
  </si>
  <si>
    <t>D001277159</t>
  </si>
  <si>
    <t>ENTRADA POR GANANCIA EN LA ORDEN COMO DROPSHIPPER: 4318906* GUIA: *D001277159*</t>
  </si>
  <si>
    <t>D001277194</t>
  </si>
  <si>
    <t>ENTRADA POR GANANCIA EN LA ORDEN COMO DROPSHIPPER: 4303450* GUIA: *D001277194*</t>
  </si>
  <si>
    <t>10-02-2026 03:04</t>
  </si>
  <si>
    <t>D001277356</t>
  </si>
  <si>
    <t>SALIDA DE COBRO DE DEVOLUCIÓN POR ENTREGA NO EFECTIVA: 4318772</t>
  </si>
  <si>
    <t>10-02-2026 03:03</t>
  </si>
  <si>
    <t>D001276279</t>
  </si>
  <si>
    <t>SALIDA DE COBRO DE DEVOLUCIÓN POR ENTREGA NO EFECTIVA: 4326197</t>
  </si>
  <si>
    <t>10-02-2026 03:01</t>
  </si>
  <si>
    <t>D001273692</t>
  </si>
  <si>
    <t>SALIDA DE COBRO DE DEVOLUCIÓN POR ENTREGA NO EFECTIVA: 4300698</t>
  </si>
  <si>
    <t>10-02-2026 02:03</t>
  </si>
  <si>
    <t>WYB166112265</t>
  </si>
  <si>
    <t>SALIDA DE COBRO DE DEVOLUCIÓN POR ENTREGA NO EFECTIVA: 4274146</t>
  </si>
  <si>
    <t>10-02-2026 00:45</t>
  </si>
  <si>
    <t>D001304716</t>
  </si>
  <si>
    <t>ENTRADA POR GANANCIA EN LA ORDEN COMO DROPSHIPPER: 4418777* GUIA: *D001304716*</t>
  </si>
  <si>
    <t>D001303435</t>
  </si>
  <si>
    <t>ENTRADA POR GANANCIA EN LA ORDEN COMO DROPSHIPPER: 4418774* GUIA: *D001303435*</t>
  </si>
  <si>
    <t>D001304717</t>
  </si>
  <si>
    <t>ENTRADA POR GANANCIA EN LA ORDEN COMO DROPSHIPPER: 4418747* GUIA: *D001304717*</t>
  </si>
  <si>
    <t>D001304720</t>
  </si>
  <si>
    <t>ENTRADA POR GANANCIA EN LA ORDEN COMO DROPSHIPPER: 4418725* GUIA: *D001304720*</t>
  </si>
  <si>
    <t>D001303440</t>
  </si>
  <si>
    <t>ENTRADA POR GANANCIA EN LA ORDEN COMO DROPSHIPPER: 4418699* GUIA: *D001303440*</t>
  </si>
  <si>
    <t>D001303441</t>
  </si>
  <si>
    <t>ENTRADA POR GANANCIA EN LA ORDEN COMO DROPSHIPPER: 4418656* GUIA: *D001303441*</t>
  </si>
  <si>
    <t>D001304723</t>
  </si>
  <si>
    <t>ENTRADA POR GANANCIA EN LA ORDEN COMO DROPSHIPPER: 4418640* GUIA: *D001304723*</t>
  </si>
  <si>
    <t>D001304725</t>
  </si>
  <si>
    <t>ENTRADA POR GANANCIA EN LA ORDEN COMO DROPSHIPPER: 4418490* GUIA: *D001304725*</t>
  </si>
  <si>
    <t>10-02-2026 00:42</t>
  </si>
  <si>
    <t>D001302758</t>
  </si>
  <si>
    <t>ENTRADA POR GANANCIA EN LA ORDEN COMO DROPSHIPPER: 4405554* GUIA: *D001302758*</t>
  </si>
  <si>
    <t>D001302989</t>
  </si>
  <si>
    <t>ENTRADA POR GANANCIA EN LA ORDEN COMO DROPSHIPPER: 4404376* GUIA: *D001302989*</t>
  </si>
  <si>
    <t>10-02-2026 00:40</t>
  </si>
  <si>
    <t>ENTRADA POR GANANCIA EN LA ORDEN COMO DROPSHIPPER: 4372643* GUIA: *186994290*</t>
  </si>
  <si>
    <t>10-02-2026 00:39</t>
  </si>
  <si>
    <t>D001291484</t>
  </si>
  <si>
    <t>ENTRADA POR GANANCIA EN LA ORDEN COMO DROPSHIPPER: 4360035* GUIA: *D001291484*</t>
  </si>
  <si>
    <t>ENTRADA POR GANANCIA EN LA ORDEN COMO DROPSHIPPER: 4345867* GUIA: *186991783*</t>
  </si>
  <si>
    <t>10-02-2026 00:38</t>
  </si>
  <si>
    <t>D001288616</t>
  </si>
  <si>
    <t>ENTRADA POR GANANCIA EN LA ORDEN COMO DROPSHIPPER: 4327857* GUIA: *D001288616*</t>
  </si>
  <si>
    <t>ENTRADA POR GANANCIA EN LA ORDEN COMO DROPSHIPPER: 4277071* GUIA: *186553307*</t>
  </si>
  <si>
    <t>D001276552</t>
  </si>
  <si>
    <t>ENTRADA POR GANANCIA EN LA ORDEN COMO DROPSHIPPER: 4099962* GUIA: *D001276552*</t>
  </si>
  <si>
    <t>09-02-2026 12:34</t>
  </si>
  <si>
    <t>RETIRO</t>
  </si>
  <si>
    <t>09-02-2026 12:19</t>
  </si>
  <si>
    <t>ENTRADA POR TRANSFERENCIA DE WALLET DESDE EL USUARIO importex120622@gmail.com</t>
  </si>
  <si>
    <t>09-02-2026 03:05</t>
  </si>
  <si>
    <t>D001276379</t>
  </si>
  <si>
    <t>SALIDA DE COBRO DE DEVOLUCIÓN POR ENTREGA NO EFECTIVA: 4294046</t>
  </si>
  <si>
    <t>D001276282</t>
  </si>
  <si>
    <t>SALIDA DE COBRO DE DEVOLUCIÓN POR ENTREGA NO EFECTIVA: 4318001</t>
  </si>
  <si>
    <t>09-02-2026 03:02</t>
  </si>
  <si>
    <t>D001270128</t>
  </si>
  <si>
    <t>SALIDA DE COBRO DE DEVOLUCIÓN POR ENTREGA NO EFECTIVA: 4294360</t>
  </si>
  <si>
    <t>08-02-2026 03:03</t>
  </si>
  <si>
    <t>D001270143</t>
  </si>
  <si>
    <t>SALIDA DE COBRO DE DEVOLUCIÓN POR ENTREGA NO EFECTIVA: 4289528</t>
  </si>
  <si>
    <t>08-02-2026 03:01</t>
  </si>
  <si>
    <t>D001266750</t>
  </si>
  <si>
    <t>SALIDA DE COBRO DE DEVOLUCIÓN POR ENTREGA NO EFECTIVA: 4262407</t>
  </si>
  <si>
    <t>D001266736</t>
  </si>
  <si>
    <t>SALIDA DE COBRO DE DEVOLUCIÓN POR ENTREGA NO EFECTIVA: 4265752</t>
  </si>
  <si>
    <t>D001266129</t>
  </si>
  <si>
    <t>SALIDA DE COBRO DE DEVOLUCIÓN POR ENTREGA NO EFECTIVA: 4273026</t>
  </si>
  <si>
    <t>D001266128</t>
  </si>
  <si>
    <t>SALIDA DE COBRO DE DEVOLUCIÓN POR ENTREGA NO EFECTIVA: 4273036</t>
  </si>
  <si>
    <t>D001266100</t>
  </si>
  <si>
    <t>SALIDA DE COBRO DE DEVOLUCIÓN POR ENTREGA NO EFECTIVA: 4292453</t>
  </si>
  <si>
    <t>08-02-2026 01:01</t>
  </si>
  <si>
    <t>SALIDA POR COBRO DE FLETE INICIAL: 4281032</t>
  </si>
  <si>
    <t>08-02-2026 00:39</t>
  </si>
  <si>
    <t>D001291472</t>
  </si>
  <si>
    <t>ENTRADA POR GANANCIA EN LA ORDEN COMO DROPSHIPPER: 4363928* GUIA: *D001291472*</t>
  </si>
  <si>
    <t>D001291473</t>
  </si>
  <si>
    <t>ENTRADA POR GANANCIA EN LA ORDEN COMO DROPSHIPPER: 4363809* GUIA: *D001291473*</t>
  </si>
  <si>
    <t>D001294982</t>
  </si>
  <si>
    <t>ENTRADA POR GANANCIA EN LA ORDEN COMO DROPSHIPPER: 4362954* GUIA: *D001294982*</t>
  </si>
  <si>
    <t>D001295494</t>
  </si>
  <si>
    <t>ENTRADA POR GANANCIA EN LA ORDEN COMO DROPSHIPPER: 4362938* GUIA: *D001295494*</t>
  </si>
  <si>
    <t>D001291478</t>
  </si>
  <si>
    <t>ENTRADA POR GANANCIA EN LA ORDEN COMO DROPSHIPPER: 4361987* GUIA: *D001291478*</t>
  </si>
  <si>
    <t>D001294611</t>
  </si>
  <si>
    <t>ENTRADA POR GANANCIA EN LA ORDEN COMO DROPSHIPPER: 4355512* GUIA: *D001294611*</t>
  </si>
  <si>
    <t>08-02-2026 00:38</t>
  </si>
  <si>
    <t>ENTRADA POR GANANCIA EN LA ORDEN COMO DROPSHIPPER: 4351036* GUIA: *186994368*</t>
  </si>
  <si>
    <t>D001288575</t>
  </si>
  <si>
    <t>ENTRADA POR GANANCIA EN LA ORDEN COMO DROPSHIPPER: 4349348* GUIA: *D001288575*</t>
  </si>
  <si>
    <t>D001288580</t>
  </si>
  <si>
    <t>ENTRADA POR GANANCIA EN LA ORDEN COMO DROPSHIPPER: 4348584* GUIA: *D001288580*</t>
  </si>
  <si>
    <t>D001290775</t>
  </si>
  <si>
    <t>ENTRADA POR GANANCIA EN LA ORDEN COMO DROPSHIPPER: 4343977* GUIA: *D001290775*</t>
  </si>
  <si>
    <t>D001290776</t>
  </si>
  <si>
    <t>ENTRADA POR GANANCIA EN LA ORDEN COMO DROPSHIPPER: 4343499* GUIA: *D001290776*</t>
  </si>
  <si>
    <t>D001290786</t>
  </si>
  <si>
    <t>ENTRADA POR GANANCIA EN LA ORDEN COMO DROPSHIPPER: 4341268* GUIA: *D001290786*</t>
  </si>
  <si>
    <t>D001288601</t>
  </si>
  <si>
    <t>ENTRADA POR GANANCIA EN LA ORDEN COMO DROPSHIPPER: 4339599* GUIA: *D001288601*</t>
  </si>
  <si>
    <t>D001288602</t>
  </si>
  <si>
    <t>ENTRADA POR GANANCIA EN LA ORDEN COMO DROPSHIPPER: 4339482* GUIA: *D001288602*</t>
  </si>
  <si>
    <t>D001288603</t>
  </si>
  <si>
    <t>ENTRADA POR GANANCIA EN LA ORDEN COMO DROPSHIPPER: 4339399* GUIA: *D001288603*</t>
  </si>
  <si>
    <t>D001288607</t>
  </si>
  <si>
    <t>ENTRADA POR GANANCIA EN LA ORDEN COMO DROPSHIPPER: 4338090* GUIA: *D001288607*</t>
  </si>
  <si>
    <t>D001288617</t>
  </si>
  <si>
    <t>ENTRADA POR GANANCIA EN LA ORDEN COMO DROPSHIPPER: 4327073* GUIA: *D001288617*</t>
  </si>
  <si>
    <t>D001273774</t>
  </si>
  <si>
    <t>ENTRADA POR GANANCIA EN LA ORDEN COMO DROPSHIPPER: 4316656* GUIA: *D001273774*</t>
  </si>
  <si>
    <t>D001266118</t>
  </si>
  <si>
    <t>ENTRADA POR GANANCIA EN LA ORDEN COMO DROPSHIPPER: 4283134* GUIA: *D001266118*</t>
  </si>
  <si>
    <t>WYB166112273</t>
  </si>
  <si>
    <t>ENTRADA POR GANANCIA EN LA ORDEN COMO DROPSHIPPER: 4273607* GUIA: *WYB166112273*</t>
  </si>
  <si>
    <t>D001266743</t>
  </si>
  <si>
    <t>ENTRADA POR GANANCIA EN LA ORDEN COMO DROPSHIPPER: 4264064* GUIA: *D001266743*</t>
  </si>
  <si>
    <t>07-02-2026 03:05</t>
  </si>
  <si>
    <t>D001266747</t>
  </si>
  <si>
    <t>SALIDA DE COBRO DE DEVOLUCIÓN POR ENTREGA NO EFECTIVA: 4263340</t>
  </si>
  <si>
    <t>D001266735</t>
  </si>
  <si>
    <t>SALIDA DE COBRO DE DEVOLUCIÓN POR ENTREGA NO EFECTIVA: 4266159</t>
  </si>
  <si>
    <t>D001266729</t>
  </si>
  <si>
    <t>SALIDA DE COBRO DE DEVOLUCIÓN POR ENTREGA NO EFECTIVA: 4268391</t>
  </si>
  <si>
    <t>D001266418</t>
  </si>
  <si>
    <t>SALIDA DE COBRO DE DEVOLUCIÓN POR ENTREGA NO EFECTIVA: 4293210</t>
  </si>
  <si>
    <t>07-02-2026 03:02</t>
  </si>
  <si>
    <t>D001262356</t>
  </si>
  <si>
    <t>SALIDA DE COBRO DE DEVOLUCIÓN POR ENTREGA NO EFECTIVA: 4260626</t>
  </si>
  <si>
    <t>07-02-2026 00:42</t>
  </si>
  <si>
    <t>ENTRADA POR GANANCIA EN LA ORDEN COMO DROPSHIPPER: 4371109* GUIA: *186994286*</t>
  </si>
  <si>
    <t>D001295483</t>
  </si>
  <si>
    <t>ENTRADA POR GANANCIA EN LA ORDEN COMO DROPSHIPPER: 4370326* GUIA: *D001295483*</t>
  </si>
  <si>
    <t>ENTRADA POR GANANCIA EN LA ORDEN COMO DROPSHIPPER: 4369387* GUIA: *186992023*</t>
  </si>
  <si>
    <t>07-02-2026 00:41</t>
  </si>
  <si>
    <t>ENTRADA POR GANANCIA EN LA ORDEN COMO DROPSHIPPER: 4367065* GUIA: *186991734*</t>
  </si>
  <si>
    <t>D001290737</t>
  </si>
  <si>
    <t>ENTRADA POR GANANCIA EN LA ORDEN COMO DROPSHIPPER: 4364428* GUIA: *D001290737*</t>
  </si>
  <si>
    <t>D001291475</t>
  </si>
  <si>
    <t>ENTRADA POR GANANCIA EN LA ORDEN COMO DROPSHIPPER: 4363548* GUIA: *D001291475*</t>
  </si>
  <si>
    <t>D001285344</t>
  </si>
  <si>
    <t>ENTRADA POR GANANCIA EN LA ORDEN COMO DROPSHIPPER: 4360777* GUIA: *D001285344*</t>
  </si>
  <si>
    <t>D001291485</t>
  </si>
  <si>
    <t>ENTRADA POR GANANCIA EN LA ORDEN COMO DROPSHIPPER: 4359526* GUIA: *D001291485*</t>
  </si>
  <si>
    <t>D001290799</t>
  </si>
  <si>
    <t>ENTRADA POR GANANCIA EN LA ORDEN COMO DROPSHIPPER: 4358278* GUIA: *D001290799*</t>
  </si>
  <si>
    <t>D001290765</t>
  </si>
  <si>
    <t>ENTRADA POR GANANCIA EN LA ORDEN COMO DROPSHIPPER: 4358161* GUIA: *D001290765*</t>
  </si>
  <si>
    <t>D001295504</t>
  </si>
  <si>
    <t>ENTRADA POR GANANCIA EN LA ORDEN COMO DROPSHIPPER: 4357920* GUIA: *D001295504*</t>
  </si>
  <si>
    <t>07-02-2026 00:40</t>
  </si>
  <si>
    <t>D001291488</t>
  </si>
  <si>
    <t>ENTRADA POR GANANCIA EN LA ORDEN COMO DROPSHIPPER: 4357562* GUIA: *D001291488*</t>
  </si>
  <si>
    <t>D001291489</t>
  </si>
  <si>
    <t>ENTRADA POR GANANCIA EN LA ORDEN COMO DROPSHIPPER: 4357086* GUIA: *D001291489*</t>
  </si>
  <si>
    <t>D001291490</t>
  </si>
  <si>
    <t>ENTRADA POR GANANCIA EN LA ORDEN COMO DROPSHIPPER: 4356183* GUIA: *D001291490*</t>
  </si>
  <si>
    <t>D001291491</t>
  </si>
  <si>
    <t>ENTRADA POR GANANCIA EN LA ORDEN COMO DROPSHIPPER: 4356007* GUIA: *D001291491*</t>
  </si>
  <si>
    <t>D001290770</t>
  </si>
  <si>
    <t>ENTRADA POR GANANCIA EN LA ORDEN COMO DROPSHIPPER: 4353035* GUIA: *D001290770*</t>
  </si>
  <si>
    <t>D001290771</t>
  </si>
  <si>
    <t>ENTRADA POR GANANCIA EN LA ORDEN COMO DROPSHIPPER: 4352673* GUIA: *D001290771*</t>
  </si>
  <si>
    <t>D001288569</t>
  </si>
  <si>
    <t>ENTRADA POR GANANCIA EN LA ORDEN COMO DROPSHIPPER: 4351699* GUIA: *D001288569*</t>
  </si>
  <si>
    <t>D001290811</t>
  </si>
  <si>
    <t>ENTRADA POR GANANCIA EN LA ORDEN COMO DROPSHIPPER: 4351154* GUIA: *D001290811*</t>
  </si>
  <si>
    <t>D001288571</t>
  </si>
  <si>
    <t>ENTRADA POR GANANCIA EN LA ORDEN COMO DROPSHIPPER: 4350341* GUIA: *D001288571*</t>
  </si>
  <si>
    <t>D001288573</t>
  </si>
  <si>
    <t>ENTRADA POR GANANCIA EN LA ORDEN COMO DROPSHIPPER: 4349853* GUIA: *D001288573*</t>
  </si>
  <si>
    <t>D001288574</t>
  </si>
  <si>
    <t>ENTRADA POR GANANCIA EN LA ORDEN COMO DROPSHIPPER: 4349604* GUIA: *D001288574*</t>
  </si>
  <si>
    <t>D001290773</t>
  </si>
  <si>
    <t>ENTRADA POR GANANCIA EN LA ORDEN COMO DROPSHIPPER: 4349452* GUIA: *D001290773*</t>
  </si>
  <si>
    <t>D001288578</t>
  </si>
  <si>
    <t>ENTRADA POR GANANCIA EN LA ORDEN COMO DROPSHIPPER: 4348771* GUIA: *D001288578*</t>
  </si>
  <si>
    <t>D001288582</t>
  </si>
  <si>
    <t>ENTRADA POR GANANCIA EN LA ORDEN COMO DROPSHIPPER: 4348312* GUIA: *D001288582*</t>
  </si>
  <si>
    <t>D001287592</t>
  </si>
  <si>
    <t>ENTRADA POR GANANCIA EN LA ORDEN COMO DROPSHIPPER: 4347500* GUIA: *D001287592*</t>
  </si>
  <si>
    <t>D001288585</t>
  </si>
  <si>
    <t>ENTRADA POR GANANCIA EN LA ORDEN COMO DROPSHIPPER: 4347089* GUIA: *D001288585*</t>
  </si>
  <si>
    <t>D001288586</t>
  </si>
  <si>
    <t>ENTRADA POR GANANCIA EN LA ORDEN COMO DROPSHIPPER: 4346042* GUIA: *D001288586*</t>
  </si>
  <si>
    <t>D001288587</t>
  </si>
  <si>
    <t>ENTRADA POR GANANCIA EN LA ORDEN COMO DROPSHIPPER: 4345887* GUIA: *D001288587*</t>
  </si>
  <si>
    <t>07-02-2026 00:39</t>
  </si>
  <si>
    <t>D001290778</t>
  </si>
  <si>
    <t>ENTRADA POR GANANCIA EN LA ORDEN COMO DROPSHIPPER: 4343002* GUIA: *D001290778*</t>
  </si>
  <si>
    <t>D001290780</t>
  </si>
  <si>
    <t>ENTRADA POR GANANCIA EN LA ORDEN COMO DROPSHIPPER: 4342606* GUIA: *D001290780*</t>
  </si>
  <si>
    <t>D001290782</t>
  </si>
  <si>
    <t>ENTRADA POR GANANCIA EN LA ORDEN COMO DROPSHIPPER: 4341747* GUIA: *D001290782*</t>
  </si>
  <si>
    <t>D001288597</t>
  </si>
  <si>
    <t>ENTRADA POR GANANCIA EN LA ORDEN COMO DROPSHIPPER: 4340752* GUIA: *D001288597*</t>
  </si>
  <si>
    <t>D001288605</t>
  </si>
  <si>
    <t>ENTRADA POR GANANCIA EN LA ORDEN COMO DROPSHIPPER: 4338216* GUIA: *D001288605*</t>
  </si>
  <si>
    <t>D001290787</t>
  </si>
  <si>
    <t>ENTRADA POR GANANCIA EN LA ORDEN COMO DROPSHIPPER: 4337316* GUIA: *D001290787*</t>
  </si>
  <si>
    <t>D001288610</t>
  </si>
  <si>
    <t>ENTRADA POR GANANCIA EN LA ORDEN COMO DROPSHIPPER: 4336432* GUIA: *D001288610*</t>
  </si>
  <si>
    <t>D001288611</t>
  </si>
  <si>
    <t>ENTRADA POR GANANCIA EN LA ORDEN COMO DROPSHIPPER: 4335778* GUIA: *D001288611*</t>
  </si>
  <si>
    <t>ENTRADA POR GANANCIA EN LA ORDEN COMO DROPSHIPPER: 4333654* GUIA: *186558015*</t>
  </si>
  <si>
    <t>D001288614</t>
  </si>
  <si>
    <t>ENTRADA POR GANANCIA EN LA ORDEN COMO DROPSHIPPER: 4329132* GUIA: *D001288614*</t>
  </si>
  <si>
    <t>D001288615</t>
  </si>
  <si>
    <t>ENTRADA POR GANANCIA EN LA ORDEN COMO DROPSHIPPER: 4328879* GUIA: *D001288615*</t>
  </si>
  <si>
    <t>D001290795</t>
  </si>
  <si>
    <t>ENTRADA POR GANANCIA EN LA ORDEN COMO DROPSHIPPER: 4328571* GUIA: *D001290795*</t>
  </si>
  <si>
    <t>D001277006</t>
  </si>
  <si>
    <t>ENTRADA POR GANANCIA EN LA ORDEN COMO DROPSHIPPER: 4326126* GUIA: *D001277006*</t>
  </si>
  <si>
    <t>07-02-2026 00:38</t>
  </si>
  <si>
    <t>D001273616</t>
  </si>
  <si>
    <t>ENTRADA POR GANANCIA EN LA ORDEN COMO DROPSHIPPER: 4308225* GUIA: *D001273616*</t>
  </si>
  <si>
    <t>D001277196</t>
  </si>
  <si>
    <t>ENTRADA POR GANANCIA EN LA ORDEN COMO DROPSHIPPER: 4300347* GUIA: *D001277196*</t>
  </si>
  <si>
    <t>D001266732</t>
  </si>
  <si>
    <t>ENTRADA POR GANANCIA EN LA ORDEN COMO DROPSHIPPER: 4266542* GUIA: *D001266732*</t>
  </si>
  <si>
    <t>06-02-2026 14:06</t>
  </si>
  <si>
    <t>LC52732467</t>
  </si>
  <si>
    <t>SALIDA POR COBRO DE FLETE INICIAL: 4298137</t>
  </si>
  <si>
    <t>06-02-2026 12:37</t>
  </si>
  <si>
    <t>V4002043443</t>
  </si>
  <si>
    <t>SALIDA DE COBRO DE DEVOLUCIÓN POR ENTREGA NO EFECTIVA: 3939144</t>
  </si>
  <si>
    <t>06-02-2026 01:35</t>
  </si>
  <si>
    <t>D001233691</t>
  </si>
  <si>
    <t>SALIDA DE COBRO DE DEVOLUCIÓN POR ENTREGA NO EFECTIVA: 4164479</t>
  </si>
  <si>
    <t>D001254663</t>
  </si>
  <si>
    <t>SALIDA DE COBRO DE DEVOLUCIÓN POR ENTREGA NO EFECTIVA: 4239610</t>
  </si>
  <si>
    <t>D001254675</t>
  </si>
  <si>
    <t>SALIDA DE COBRO DE DEVOLUCIÓN POR ENTREGA NO EFECTIVA: 4236237</t>
  </si>
  <si>
    <t>D001251057</t>
  </si>
  <si>
    <t>SALIDA DE COBRO DE DEVOLUCIÓN POR ENTREGA NO EFECTIVA: 4122077</t>
  </si>
  <si>
    <t>06-02-2026 01:34</t>
  </si>
  <si>
    <t>D001251056</t>
  </si>
  <si>
    <t>SALIDA DE COBRO DE DEVOLUCIÓN POR ENTREGA NO EFECTIVA: 4137488</t>
  </si>
  <si>
    <t>D001254544</t>
  </si>
  <si>
    <t>SALIDA DE COBRO DE DEVOLUCIÓN POR ENTREGA NO EFECTIVA: 4246793</t>
  </si>
  <si>
    <t>D001254542</t>
  </si>
  <si>
    <t>SALIDA DE COBRO DE DEVOLUCIÓN POR ENTREGA NO EFECTIVA: 4246908</t>
  </si>
  <si>
    <t>D001251050</t>
  </si>
  <si>
    <t>SALIDA DE COBRO DE DEVOLUCIÓN POR ENTREGA NO EFECTIVA: 4143986</t>
  </si>
  <si>
    <t>D001250917</t>
  </si>
  <si>
    <t>SALIDA DE COBRO DE DEVOLUCIÓN POR ENTREGA NO EFECTIVA: 4230606</t>
  </si>
  <si>
    <t>D001254648</t>
  </si>
  <si>
    <t>SALIDA DE COBRO DE DEVOLUCIÓN POR ENTREGA NO EFECTIVA: 4242335</t>
  </si>
  <si>
    <t>D001254704</t>
  </si>
  <si>
    <t>SALIDA DE COBRO DE DEVOLUCIÓN POR ENTREGA NO EFECTIVA: 4221900</t>
  </si>
  <si>
    <t>D001254651</t>
  </si>
  <si>
    <t>SALIDA DE COBRO DE DEVOLUCIÓN POR ENTREGA NO EFECTIVA: 4241362</t>
  </si>
  <si>
    <t>D001270130</t>
  </si>
  <si>
    <t>SALIDA DE COBRO DE DEVOLUCIÓN POR ENTREGA NO EFECTIVA: 4294153</t>
  </si>
  <si>
    <t>D001254676</t>
  </si>
  <si>
    <t>SALIDA DE COBRO DE DEVOLUCIÓN POR ENTREGA NO EFECTIVA: 4236228</t>
  </si>
  <si>
    <t>D001254667</t>
  </si>
  <si>
    <t>SALIDA DE COBRO DE DEVOLUCIÓN POR ENTREGA NO EFECTIVA: 4238109</t>
  </si>
  <si>
    <t>06-02-2026 01:33</t>
  </si>
  <si>
    <t>D001254550</t>
  </si>
  <si>
    <t>SALIDA DE COBRO DE DEVOLUCIÓN POR ENTREGA NO EFECTIVA: 4244542</t>
  </si>
  <si>
    <t>06-02-2026 00:44</t>
  </si>
  <si>
    <t>ENTRADA POR GANANCIA EN LA ORDEN COMO DROPSHIPPER: 4371441* GUIA: *186991689*</t>
  </si>
  <si>
    <t>06-02-2026 00:43</t>
  </si>
  <si>
    <t>ENTRADA POR GANANCIA EN LA ORDEN COMO DROPSHIPPER: 4367391* GUIA: *186994302*</t>
  </si>
  <si>
    <t>06-02-2026 00:41</t>
  </si>
  <si>
    <t>ENTRADA POR GANANCIA EN LA ORDEN COMO DROPSHIPPER: 4350802* GUIA: *186991781*</t>
  </si>
  <si>
    <t>ENTRADA POR GANANCIA EN LA ORDEN COMO DROPSHIPPER: 4349336* GUIA: *186994372*</t>
  </si>
  <si>
    <t>D001290857</t>
  </si>
  <si>
    <t>ENTRADA POR GANANCIA EN LA ORDEN COMO DROPSHIPPER: 4349017* GUIA: *D001290857*</t>
  </si>
  <si>
    <t>D001287608</t>
  </si>
  <si>
    <t>ENTRADA POR GANANCIA EN LA ORDEN COMO DROPSHIPPER: 4346381* GUIA: *D001287608*</t>
  </si>
  <si>
    <t>06-02-2026 00:40</t>
  </si>
  <si>
    <t>LC52763470</t>
  </si>
  <si>
    <t>ENTRADA POR GANANCIA EN LA ORDEN COMO DROPSHIPPER: 4339582* GUIA: *LC52763470*</t>
  </si>
  <si>
    <t>D001290791</t>
  </si>
  <si>
    <t>ENTRADA POR GANANCIA EN LA ORDEN COMO DROPSHIPPER: 4335801* GUIA: *D001290791*</t>
  </si>
  <si>
    <t>ENTRADA POR GANANCIA EN LA ORDEN COMO DROPSHIPPER: 4335681* GUIA: *186995651*</t>
  </si>
  <si>
    <t>06-02-2026 00:38</t>
  </si>
  <si>
    <t>ENTRADA POR GANANCIA EN LA ORDEN COMO DROPSHIPPER: 4097724* GUIA: *186964457*</t>
  </si>
  <si>
    <t>05-02-2026 09:34</t>
  </si>
  <si>
    <t>SALIDA POR TRANSFERENCIA DE WALLET AL USUARIO wallet@chateapro.com</t>
  </si>
  <si>
    <t>05-02-2026 01:32</t>
  </si>
  <si>
    <t>D001254545</t>
  </si>
  <si>
    <t>SALIDA DE COBRO DE DEVOLUCIÓN POR ENTREGA NO EFECTIVA: 4246346</t>
  </si>
  <si>
    <t>05-02-2026 01:01</t>
  </si>
  <si>
    <t>SALIDA POR COBRO DE FLETE INICIAL: 4175758</t>
  </si>
  <si>
    <t>05-02-2026 00:42</t>
  </si>
  <si>
    <t>D001287616</t>
  </si>
  <si>
    <t>ENTRADA POR GANANCIA EN LA ORDEN COMO DROPSHIPPER: 4345698* GUIA: *D001287616*</t>
  </si>
  <si>
    <t>05-02-2026 00:41</t>
  </si>
  <si>
    <t>ENTRADA POR GANANCIA EN LA ORDEN COMO DROPSHIPPER: 4336605* GUIA: *186991787*</t>
  </si>
  <si>
    <t>05-02-2026 00:40</t>
  </si>
  <si>
    <t>D001279780</t>
  </si>
  <si>
    <t>ENTRADA POR GANANCIA EN LA ORDEN COMO DROPSHIPPER: 4333252* GUIA: *D001279780*</t>
  </si>
  <si>
    <t>05-02-2026 00:39</t>
  </si>
  <si>
    <t>D001277157</t>
  </si>
  <si>
    <t>ENTRADA POR GANANCIA EN LA ORDEN COMO DROPSHIPPER: 4318932* GUIA: *D001277157*</t>
  </si>
  <si>
    <t>D001273768</t>
  </si>
  <si>
    <t>ENTRADA POR GANANCIA EN LA ORDEN COMO DROPSHIPPER: 4318330* GUIA: *D001273768*</t>
  </si>
  <si>
    <t>D001277189</t>
  </si>
  <si>
    <t>ENTRADA POR GANANCIA EN LA ORDEN COMO DROPSHIPPER: 4307059* GUIA: *D001277189*</t>
  </si>
  <si>
    <t>05-02-2026 00:38</t>
  </si>
  <si>
    <t>D001266739</t>
  </si>
  <si>
    <t>ENTRADA POR GANANCIA EN LA ORDEN COMO DROPSHIPPER: 4264663* GUIA: *D001266739*</t>
  </si>
  <si>
    <t>ENTRADA POR GANANCIA EN LA ORDEN COMO DROPSHIPPER: 4264203* GUIA: *186537102*</t>
  </si>
  <si>
    <t>D001266762</t>
  </si>
  <si>
    <t>ENTRADA POR GANANCIA EN LA ORDEN COMO DROPSHIPPER: 4258973* GUIA: *D001266762*</t>
  </si>
  <si>
    <t>04-02-2026 01:35</t>
  </si>
  <si>
    <t>D001250512</t>
  </si>
  <si>
    <t>SALIDA DE COBRO DE DEVOLUCIÓN POR ENTREGA NO EFECTIVA: 4090707</t>
  </si>
  <si>
    <t>D001247736</t>
  </si>
  <si>
    <t>SALIDA DE COBRO DE DEVOLUCIÓN POR ENTREGA NO EFECTIVA: 4184291</t>
  </si>
  <si>
    <t>D001247735</t>
  </si>
  <si>
    <t>SALIDA DE COBRO DE DEVOLUCIÓN POR ENTREGA NO EFECTIVA: 4184477</t>
  </si>
  <si>
    <t>D001251019</t>
  </si>
  <si>
    <t>SALIDA DE COBRO DE DEVOLUCIÓN POR ENTREGA NO EFECTIVA: 4175299</t>
  </si>
  <si>
    <t>D001250507</t>
  </si>
  <si>
    <t>SALIDA DE COBRO DE DEVOLUCIÓN POR ENTREGA NO EFECTIVA: 4091721</t>
  </si>
  <si>
    <t>D001247727</t>
  </si>
  <si>
    <t>SALIDA DE COBRO DE DEVOLUCIÓN POR ENTREGA NO EFECTIVA: 4186515</t>
  </si>
  <si>
    <t>04-02-2026 01:34</t>
  </si>
  <si>
    <t>D001247748</t>
  </si>
  <si>
    <t>SALIDA DE COBRO DE DEVOLUCIÓN POR ENTREGA NO EFECTIVA: 4176964</t>
  </si>
  <si>
    <t>D001251021</t>
  </si>
  <si>
    <t>SALIDA DE COBRO DE DEVOLUCIÓN POR ENTREGA NO EFECTIVA: 4172400</t>
  </si>
  <si>
    <t>D001247749</t>
  </si>
  <si>
    <t>SALIDA DE COBRO DE DEVOLUCIÓN POR ENTREGA NO EFECTIVA: 4176961</t>
  </si>
  <si>
    <t>04-02-2026 01:33</t>
  </si>
  <si>
    <t>D001247724</t>
  </si>
  <si>
    <t>SALIDA DE COBRO DE DEVOLUCIÓN POR ENTREGA NO EFECTIVA: 4187094</t>
  </si>
  <si>
    <t>04-02-2026 01:30</t>
  </si>
  <si>
    <t>D001250505</t>
  </si>
  <si>
    <t>SALIDA DE COBRO DE DEVOLUCIÓN POR ENTREGA NO EFECTIVA: 4095053</t>
  </si>
  <si>
    <t>04-02-2026 01:02</t>
  </si>
  <si>
    <t>SALIDA POR COBRO DE FLETE INICIAL: 3957112</t>
  </si>
  <si>
    <t>04-02-2026 01:00</t>
  </si>
  <si>
    <t>SALIDA POR COBRO DE FLETE INICIAL: 4159015</t>
  </si>
  <si>
    <t>SALIDA POR COBRO DE FLETE INICIAL: 4183822</t>
  </si>
  <si>
    <t>SALIDA POR COBRO DE FLETE INICIAL: 4160037</t>
  </si>
  <si>
    <t>04-02-2026 00:43</t>
  </si>
  <si>
    <t>D001279949</t>
  </si>
  <si>
    <t>ENTRADA POR GANANCIA EN LA ORDEN COMO DROPSHIPPER: 4336473* GUIA: *D001279949*</t>
  </si>
  <si>
    <t>ENTRADA POR GANANCIA EN LA ORDEN COMO DROPSHIPPER: 4335635* GUIA: *186556558*</t>
  </si>
  <si>
    <t>D001279952</t>
  </si>
  <si>
    <t>ENTRADA POR GANANCIA EN LA ORDEN COMO DROPSHIPPER: 4335450* GUIA: *D001279952*</t>
  </si>
  <si>
    <t>04-02-2026 00:42</t>
  </si>
  <si>
    <t>D001279783</t>
  </si>
  <si>
    <t>ENTRADA POR GANANCIA EN LA ORDEN COMO DROPSHIPPER: 4332272* GUIA: *D001279783*</t>
  </si>
  <si>
    <t>04-02-2026 00:41</t>
  </si>
  <si>
    <t>D001277003</t>
  </si>
  <si>
    <t>ENTRADA POR GANANCIA EN LA ORDEN COMO DROPSHIPPER: 4326176* GUIA: *D001277003*</t>
  </si>
  <si>
    <t>D001277008</t>
  </si>
  <si>
    <t>ENTRADA POR GANANCIA EN LA ORDEN COMO DROPSHIPPER: 4326098* GUIA: *D001277008*</t>
  </si>
  <si>
    <t>ENTRADA POR GANANCIA EN LA ORDEN COMO DROPSHIPPER: 4325580* GUIA: *186553259*</t>
  </si>
  <si>
    <t>D001277017</t>
  </si>
  <si>
    <t>ENTRADA POR GANANCIA EN LA ORDEN COMO DROPSHIPPER: 4325551* GUIA: *D001277017*</t>
  </si>
  <si>
    <t>04-02-2026 00:40</t>
  </si>
  <si>
    <t>ENTRADA POR GANANCIA EN LA ORDEN COMO DROPSHIPPER: 4319173* GUIA: *186553304*</t>
  </si>
  <si>
    <t>D001277155</t>
  </si>
  <si>
    <t>ENTRADA POR GANANCIA EN LA ORDEN COMO DROPSHIPPER: 4319114* GUIA: *D001277155*</t>
  </si>
  <si>
    <t>D001277160</t>
  </si>
  <si>
    <t>ENTRADA POR GANANCIA EN LA ORDEN COMO DROPSHIPPER: 4318900* GUIA: *D001277160*</t>
  </si>
  <si>
    <t>D001277162</t>
  </si>
  <si>
    <t>ENTRADA POR GANANCIA EN LA ORDEN COMO DROPSHIPPER: 4318885* GUIA: *D001277162*</t>
  </si>
  <si>
    <t>D001277165</t>
  </si>
  <si>
    <t>ENTRADA POR GANANCIA EN LA ORDEN COMO DROPSHIPPER: 4318809* GUIA: *D001277165*</t>
  </si>
  <si>
    <t>D001273552</t>
  </si>
  <si>
    <t>ENTRADA POR GANANCIA EN LA ORDEN COMO DROPSHIPPER: 4316924* GUIA: *D001273552*</t>
  </si>
  <si>
    <t>D001273772</t>
  </si>
  <si>
    <t>ENTRADA POR GANANCIA EN LA ORDEN COMO DROPSHIPPER: 4316750* GUIA: *D001273772*</t>
  </si>
  <si>
    <t>04-02-2026 00:39</t>
  </si>
  <si>
    <t>D001277191</t>
  </si>
  <si>
    <t>ENTRADA POR GANANCIA EN LA ORDEN COMO DROPSHIPPER: 4305797* GUIA: *D001277191*</t>
  </si>
  <si>
    <t>ENTRADA POR GANANCIA EN LA ORDEN COMO DROPSHIPPER: 4299478* GUIA: *186542742*</t>
  </si>
  <si>
    <t>D001276362</t>
  </si>
  <si>
    <t>ENTRADA POR GANANCIA EN LA ORDEN COMO DROPSHIPPER: 4295947* GUIA: *D001276362*</t>
  </si>
  <si>
    <t>D001270132</t>
  </si>
  <si>
    <t>ENTRADA POR GANANCIA EN LA ORDEN COMO DROPSHIPPER: 4294029* GUIA: *D001270132*</t>
  </si>
  <si>
    <t>D001277206</t>
  </si>
  <si>
    <t>ENTRADA POR GANANCIA EN LA ORDEN COMO DROPSHIPPER: 4283071* GUIA: *D001277206*</t>
  </si>
  <si>
    <t>04-02-2026 00:38</t>
  </si>
  <si>
    <t>D001266130</t>
  </si>
  <si>
    <t>ENTRADA POR GANANCIA EN LA ORDEN COMO DROPSHIPPER: 4273008* GUIA: *D001266130*</t>
  </si>
  <si>
    <t>D001276550</t>
  </si>
  <si>
    <t>ENTRADA POR GANANCIA EN LA ORDEN COMO DROPSHIPPER: 4100111* GUIA: *D001276550*</t>
  </si>
  <si>
    <t>03-02-2026 01:34</t>
  </si>
  <si>
    <t>D001243999</t>
  </si>
  <si>
    <t>SALIDA DE COBRO DE DEVOLUCIÓN POR ENTREGA NO EFECTIVA: 4175342</t>
  </si>
  <si>
    <t>D001250518</t>
  </si>
  <si>
    <t>SALIDA DE COBRO DE DEVOLUCIÓN POR ENTREGA NO EFECTIVA: 4057880</t>
  </si>
  <si>
    <t>D001244018</t>
  </si>
  <si>
    <t>SALIDA DE COBRO DE DEVOLUCIÓN POR ENTREGA NO EFECTIVA: 4176664</t>
  </si>
  <si>
    <t>D001247729</t>
  </si>
  <si>
    <t>SALIDA DE COBRO DE DEVOLUCIÓN POR ENTREGA NO EFECTIVA: 4185466</t>
  </si>
  <si>
    <t>D001250504</t>
  </si>
  <si>
    <t>SALIDA DE COBRO DE DEVOLUCIÓN POR ENTREGA NO EFECTIVA: 4122017</t>
  </si>
  <si>
    <t>D001247731</t>
  </si>
  <si>
    <t>SALIDA DE COBRO DE DEVOLUCIÓN POR ENTREGA NO EFECTIVA: 4185404</t>
  </si>
  <si>
    <t>D001250506</t>
  </si>
  <si>
    <t>SALIDA DE COBRO DE DEVOLUCIÓN POR ENTREGA NO EFECTIVA: 4091966</t>
  </si>
  <si>
    <t>D001250508</t>
  </si>
  <si>
    <t>SALIDA DE COBRO DE DEVOLUCIÓN POR ENTREGA NO EFECTIVA: 4091671</t>
  </si>
  <si>
    <t>D001248492</t>
  </si>
  <si>
    <t>SALIDA DE COBRO DE DEVOLUCIÓN POR ENTREGA NO EFECTIVA: 4081294</t>
  </si>
  <si>
    <t>D001248493</t>
  </si>
  <si>
    <t>SALIDA DE COBRO DE DEVOLUCIÓN POR ENTREGA NO EFECTIVA: 4051232</t>
  </si>
  <si>
    <t>D001244003</t>
  </si>
  <si>
    <t>SALIDA DE COBRO DE DEVOLUCIÓN POR ENTREGA NO EFECTIVA: 4174977</t>
  </si>
  <si>
    <t>03-02-2026 01:33</t>
  </si>
  <si>
    <t>D001244015</t>
  </si>
  <si>
    <t>SALIDA DE COBRO DE DEVOLUCIÓN POR ENTREGA NO EFECTIVA: 4172382</t>
  </si>
  <si>
    <t>D001244000</t>
  </si>
  <si>
    <t>SALIDA DE COBRO DE DEVOLUCIÓN POR ENTREGA NO EFECTIVA: 4175305</t>
  </si>
  <si>
    <t>D001254693</t>
  </si>
  <si>
    <t>SALIDA DE COBRO DE DEVOLUCIÓN POR ENTREGA NO EFECTIVA: 4236197</t>
  </si>
  <si>
    <t>D001254646</t>
  </si>
  <si>
    <t>SALIDA DE COBRO DE DEVOLUCIÓN POR ENTREGA NO EFECTIVA: 4248733</t>
  </si>
  <si>
    <t>D001250502</t>
  </si>
  <si>
    <t>SALIDA DE COBRO DE DEVOLUCIÓN POR ENTREGA NO EFECTIVA: 4152134</t>
  </si>
  <si>
    <t>03-02-2026 01:00</t>
  </si>
  <si>
    <t>SALIDA POR COBRO DE FULFILLMENT POR ENTREGA NO EFECTIVA: 3823410</t>
  </si>
  <si>
    <t>SALIDA POR COBRO DE FLETE INICIAL: 3823410</t>
  </si>
  <si>
    <t>03-02-2026 00:41</t>
  </si>
  <si>
    <t>ENTRADA POR GANANCIA EN LA ORDEN COMO DROPSHIPPER: 4318031* GUIA: *186548270*</t>
  </si>
  <si>
    <t>03-02-2026 00:39</t>
  </si>
  <si>
    <t>ENTRADA POR GANANCIA EN LA ORDEN COMO DROPSHIPPER: 4293933* GUIA: *186536960*</t>
  </si>
  <si>
    <t>03-02-2026 00:38</t>
  </si>
  <si>
    <t>ENTRADA POR GANANCIA EN LA ORDEN COMO DROPSHIPPER: 4129827* GUIA: *186973343*</t>
  </si>
  <si>
    <t>ENTRADA POR GANANCIA EN LA ORDEN COMO DROPSHIPPER: 4098781* GUIA: *186973350*</t>
  </si>
  <si>
    <t>02-02-2026 14:42</t>
  </si>
  <si>
    <t>PAGOS</t>
  </si>
  <si>
    <t>02-02-2026 00:40</t>
  </si>
  <si>
    <t>D001277015</t>
  </si>
  <si>
    <t>ENTRADA POR GANANCIA EN LA ORDEN COMO DROPSHIPPER: 4325616* GUIA: *D001277015*</t>
  </si>
  <si>
    <t>02-02-2026 00:39</t>
  </si>
  <si>
    <t>D001273767</t>
  </si>
  <si>
    <t>ENTRADA POR GANANCIA EN LA ORDEN COMO DROPSHIPPER: 4318392* GUIA: *D001273767*</t>
  </si>
  <si>
    <t>D001276285</t>
  </si>
  <si>
    <t>ENTRADA POR GANANCIA EN LA ORDEN COMO DROPSHIPPER: 4317828* GUIA: *D001276285*</t>
  </si>
  <si>
    <t>02-02-2026 00:38</t>
  </si>
  <si>
    <t>D001277192</t>
  </si>
  <si>
    <t>ENTRADA POR GANANCIA EN LA ORDEN COMO DROPSHIPPER: 4303857* GUIA: *D001277192*</t>
  </si>
  <si>
    <t>D001273687</t>
  </si>
  <si>
    <t>ENTRADA POR GANANCIA EN LA ORDEN COMO DROPSHIPPER: 4301115* GUIA: *D001273687*</t>
  </si>
  <si>
    <t>D001276359</t>
  </si>
  <si>
    <t>ENTRADA POR GANANCIA EN LA ORDEN COMO DROPSHIPPER: 4300527* GUIA: *D001276359*</t>
  </si>
  <si>
    <t>D001270094</t>
  </si>
  <si>
    <t>ENTRADA POR GANANCIA EN LA ORDEN COMO DROPSHIPPER: 4299985* GUIA: *D001270094*</t>
  </si>
  <si>
    <t>D001266121</t>
  </si>
  <si>
    <t>ENTRADA POR GANANCIA EN LA ORDEN COMO DROPSHIPPER: 4274981* GUIA: *D001266121*</t>
  </si>
  <si>
    <t>01-02-2026 01:35</t>
  </si>
  <si>
    <t>D001240826</t>
  </si>
  <si>
    <t>SALIDA DE COBRO DE DEVOLUCIÓN POR ENTREGA NO EFECTIVA: 4161859</t>
  </si>
  <si>
    <t>D001218389</t>
  </si>
  <si>
    <t>SALIDA DE COBRO DE DEVOLUCIÓN POR ENTREGA NO EFECTIVA: 4106885</t>
  </si>
  <si>
    <t>D001234343</t>
  </si>
  <si>
    <t>SALIDA DE COBRO DE DEVOLUCIÓN POR ENTREGA NO EFECTIVA: 4164664</t>
  </si>
  <si>
    <t>D001240822</t>
  </si>
  <si>
    <t>SALIDA DE COBRO DE DEVOLUCIÓN POR ENTREGA NO EFECTIVA: 4161945</t>
  </si>
  <si>
    <t>D001234348</t>
  </si>
  <si>
    <t>SALIDA DE COBRO DE DEVOLUCIÓN POR ENTREGA NO EFECTIVA: 4157641</t>
  </si>
  <si>
    <t>D001234360</t>
  </si>
  <si>
    <t>SALIDA DE COBRO DE DEVOLUCIÓN POR ENTREGA NO EFECTIVA: 4152639</t>
  </si>
  <si>
    <t>D001240819</t>
  </si>
  <si>
    <t>SALIDA DE COBRO DE DEVOLUCIÓN POR ENTREGA NO EFECTIVA: 4162280</t>
  </si>
  <si>
    <t>D001240153</t>
  </si>
  <si>
    <t>SALIDA DE COBRO DE DEVOLUCIÓN POR ENTREGA NO EFECTIVA: 4163042</t>
  </si>
  <si>
    <t>01-02-2026 01:34</t>
  </si>
  <si>
    <t>D001240148</t>
  </si>
  <si>
    <t>SALIDA DE COBRO DE DEVOLUCIÓN POR ENTREGA NO EFECTIVA: 4163443</t>
  </si>
  <si>
    <t>D001240152</t>
  </si>
  <si>
    <t>SALIDA DE COBRO DE DEVOLUCIÓN POR ENTREGA NO EFECTIVA: 4163059</t>
  </si>
  <si>
    <t>D001238345</t>
  </si>
  <si>
    <t>SALIDA DE COBRO DE DEVOLUCIÓN POR ENTREGA NO EFECTIVA: 4160884</t>
  </si>
  <si>
    <t>01-02-2026 01:02</t>
  </si>
  <si>
    <t>SALIDA POR COBRO DE FLETE INICIAL: 4144895</t>
  </si>
  <si>
    <t>01-02-2026 00:42</t>
  </si>
  <si>
    <t>ENTRADA POR GANANCIA EN LA ORDEN COMO DROPSHIPPER: 4330329* GUIA: *186553175*</t>
  </si>
  <si>
    <t>01-02-2026 00:41</t>
  </si>
  <si>
    <t>D001273619</t>
  </si>
  <si>
    <t>ENTRADA POR GANANCIA EN LA ORDEN COMO DROPSHIPPER: 4308019* GUIA: *D001273619*</t>
  </si>
  <si>
    <t>01-02-2026 00:40</t>
  </si>
  <si>
    <t>D001270097</t>
  </si>
  <si>
    <t>ENTRADA POR GANANCIA EN LA ORDEN COMO DROPSHIPPER: 4299624* GUIA: *D001270097*</t>
  </si>
  <si>
    <t>D001269818</t>
  </si>
  <si>
    <t>ENTRADA POR GANANCIA EN LA ORDEN COMO DROPSHIPPER: 4297531* GUIA: *D001269818*</t>
  </si>
  <si>
    <t>D001270129</t>
  </si>
  <si>
    <t>ENTRADA POR GANANCIA EN LA ORDEN COMO DROPSHIPPER: 4294182* GUIA: *D001270129*</t>
  </si>
  <si>
    <t>01-02-2026 00:39</t>
  </si>
  <si>
    <t>D001266420</t>
  </si>
  <si>
    <t>ENTRADA POR GANANCIA EN LA ORDEN COMO DROPSHIPPER: 4292190* GUIA: *D001266420*</t>
  </si>
  <si>
    <t>D001266120</t>
  </si>
  <si>
    <t>ENTRADA POR GANANCIA EN LA ORDEN COMO DROPSHIPPER: 4278529* GUIA: *D001266120*</t>
  </si>
  <si>
    <t>D001270156</t>
  </si>
  <si>
    <t>ENTRADA POR GANANCIA EN LA ORDEN COMO DROPSHIPPER: 4268468* GUIA: *D001270156*</t>
  </si>
  <si>
    <t>01-02-2026 00:38</t>
  </si>
  <si>
    <t>D001266749</t>
  </si>
  <si>
    <t>ENTRADA POR GANANCIA EN LA ORDEN COMO DROPSHIPPER: 4263204* GUIA: *D001266749*</t>
  </si>
  <si>
    <t>ENTRADA POR GANANCIA EN LA ORDEN COMO DROPSHIPPER: 4245744* GUIA: *186518364*</t>
  </si>
  <si>
    <t>D001254692</t>
  </si>
  <si>
    <t>ENTRADA POR GANANCIA EN LA ORDEN COMO DROPSHIPPER: 4236198* GUIA: *D001254692*</t>
  </si>
  <si>
    <t>D001254703</t>
  </si>
  <si>
    <t>ENTRADA POR GANANCIA EN LA ORDEN COMO DROPSHIPPER: 4221972* GUIA: *D001254703*</t>
  </si>
  <si>
    <t>D001247723</t>
  </si>
  <si>
    <t>ENTRADA POR GANANCIA EN LA ORDEN COMO DROPSHIPPER: 4187207* GUIA: *D001247723*</t>
  </si>
  <si>
    <t>D001269722</t>
  </si>
  <si>
    <t>ENTRADA POR GANANCIA EN LA ORDEN COMO DROPSHIPPER: 4135930* GUIA: *D001269722*</t>
  </si>
  <si>
    <t>31-01-2026 01:35</t>
  </si>
  <si>
    <t>D001233734</t>
  </si>
  <si>
    <t>SALIDA DE COBRO DE DEVOLUCIÓN POR ENTREGA NO EFECTIVA: 4152312</t>
  </si>
  <si>
    <t>D001231754</t>
  </si>
  <si>
    <t>SALIDA DE COBRO DE DEVOLUCIÓN POR ENTREGA NO EFECTIVA: 4141731</t>
  </si>
  <si>
    <t>D001233724</t>
  </si>
  <si>
    <t>SALIDA DE COBRO DE DEVOLUCIÓN POR ENTREGA NO EFECTIVA: 4156224</t>
  </si>
  <si>
    <t>31-01-2026 01:34</t>
  </si>
  <si>
    <t>D001233706</t>
  </si>
  <si>
    <t>SALIDA DE COBRO DE DEVOLUCIÓN POR ENTREGA NO EFECTIVA: 4158761</t>
  </si>
  <si>
    <t>D001240150</t>
  </si>
  <si>
    <t>SALIDA DE COBRO DE DEVOLUCIÓN POR ENTREGA NO EFECTIVA: 4163193</t>
  </si>
  <si>
    <t>D001240111</t>
  </si>
  <si>
    <t>SALIDA DE COBRO DE DEVOLUCIÓN POR ENTREGA NO EFECTIVA: 4166804</t>
  </si>
  <si>
    <t>31-01-2026 01:30</t>
  </si>
  <si>
    <t>D001234305</t>
  </si>
  <si>
    <t>SALIDA DE COBRO DE DEVOLUCIÓN POR ENTREGA NO EFECTIVA: 4166036</t>
  </si>
  <si>
    <t>31-01-2026 01:02</t>
  </si>
  <si>
    <t>SALIDA POR COBRO DE FLETE INICIAL: 4186821</t>
  </si>
  <si>
    <t>31-01-2026 00:44</t>
  </si>
  <si>
    <t>D001270063</t>
  </si>
  <si>
    <t>ENTRADA POR GANANCIA EN LA ORDEN COMO DROPSHIPPER: 4305176* GUIA: *D001270063*</t>
  </si>
  <si>
    <t>31-01-2026 00:43</t>
  </si>
  <si>
    <t>D001269816</t>
  </si>
  <si>
    <t>ENTRADA POR GANANCIA EN LA ORDEN COMO DROPSHIPPER: 4299779* GUIA: *D001269816*</t>
  </si>
  <si>
    <t>D001269817</t>
  </si>
  <si>
    <t>ENTRADA POR GANANCIA EN LA ORDEN COMO DROPSHIPPER: 4299365* GUIA: *D001269817*</t>
  </si>
  <si>
    <t>D001269819</t>
  </si>
  <si>
    <t>ENTRADA POR GANANCIA EN LA ORDEN COMO DROPSHIPPER: 4297453* GUIA: *D001269819*</t>
  </si>
  <si>
    <t>31-01-2026 00:42</t>
  </si>
  <si>
    <t>D001269820</t>
  </si>
  <si>
    <t>ENTRADA POR GANANCIA EN LA ORDEN COMO DROPSHIPPER: 4294997* GUIA: *D001269820*</t>
  </si>
  <si>
    <t>D001266097</t>
  </si>
  <si>
    <t>ENTRADA POR GANANCIA EN LA ORDEN COMO DROPSHIPPER: 4292594* GUIA: *D001266097*</t>
  </si>
  <si>
    <t>D001266098</t>
  </si>
  <si>
    <t>ENTRADA POR GANANCIA EN LA ORDEN COMO DROPSHIPPER: 4292529* GUIA: *D001266098*</t>
  </si>
  <si>
    <t>D001266099</t>
  </si>
  <si>
    <t>ENTRADA POR GANANCIA EN LA ORDEN COMO DROPSHIPPER: 4292499* GUIA: *D001266099*</t>
  </si>
  <si>
    <t>D001266101</t>
  </si>
  <si>
    <t>ENTRADA POR GANANCIA EN LA ORDEN COMO DROPSHIPPER: 4292379* GUIA: *D001266101*</t>
  </si>
  <si>
    <t>D001266102</t>
  </si>
  <si>
    <t>ENTRADA POR GANANCIA EN LA ORDEN COMO DROPSHIPPER: 4292285* GUIA: *D001266102*</t>
  </si>
  <si>
    <t>D001266103</t>
  </si>
  <si>
    <t>ENTRADA POR GANANCIA EN LA ORDEN COMO DROPSHIPPER: 4292261* GUIA: *D001266103*</t>
  </si>
  <si>
    <t>D001266104</t>
  </si>
  <si>
    <t>ENTRADA POR GANANCIA EN LA ORDEN COMO DROPSHIPPER: 4292212* GUIA: *D001266104*</t>
  </si>
  <si>
    <t>D001266105</t>
  </si>
  <si>
    <t>ENTRADA POR GANANCIA EN LA ORDEN COMO DROPSHIPPER: 4292155* GUIA: *D001266105*</t>
  </si>
  <si>
    <t>D001266115</t>
  </si>
  <si>
    <t>ENTRADA POR GANANCIA EN LA ORDEN COMO DROPSHIPPER: 4291947* GUIA: *D001266115*</t>
  </si>
  <si>
    <t>D001270140</t>
  </si>
  <si>
    <t>ENTRADA POR GANANCIA EN LA ORDEN COMO DROPSHIPPER: 4290784* GUIA: *D001270140*</t>
  </si>
  <si>
    <t>31-01-2026 00:41</t>
  </si>
  <si>
    <t>D001266116</t>
  </si>
  <si>
    <t>ENTRADA POR GANANCIA EN LA ORDEN COMO DROPSHIPPER: 4284551* GUIA: *D001266116*</t>
  </si>
  <si>
    <t>D001266119</t>
  </si>
  <si>
    <t>ENTRADA POR GANANCIA EN LA ORDEN COMO DROPSHIPPER: 4280620* GUIA: *D001266119*</t>
  </si>
  <si>
    <t>31-01-2026 00:40</t>
  </si>
  <si>
    <t>D001266122</t>
  </si>
  <si>
    <t>ENTRADA POR GANANCIA EN LA ORDEN COMO DROPSHIPPER: 4274708* GUIA: *D001266122*</t>
  </si>
  <si>
    <t>D001270157</t>
  </si>
  <si>
    <t>ENTRADA POR GANANCIA EN LA ORDEN COMO DROPSHIPPER: 4268146* GUIA: *D001270157*</t>
  </si>
  <si>
    <t>D001266731</t>
  </si>
  <si>
    <t>ENTRADA POR GANANCIA EN LA ORDEN COMO DROPSHIPPER: 4266556* GUIA: *D001266731*</t>
  </si>
  <si>
    <t>D001266738</t>
  </si>
  <si>
    <t>ENTRADA POR GANANCIA EN LA ORDEN COMO DROPSHIPPER: 4265681* GUIA: *D001266738*</t>
  </si>
  <si>
    <t>31-01-2026 00:39</t>
  </si>
  <si>
    <t>D001266741</t>
  </si>
  <si>
    <t>ENTRADA POR GANANCIA EN LA ORDEN COMO DROPSHIPPER: 4264601* GUIA: *D001266741*</t>
  </si>
  <si>
    <t>D001266745</t>
  </si>
  <si>
    <t>ENTRADA POR GANANCIA EN LA ORDEN COMO DROPSHIPPER: 4263768* GUIA: *D001266745*</t>
  </si>
  <si>
    <t>D001266746</t>
  </si>
  <si>
    <t>ENTRADA POR GANANCIA EN LA ORDEN COMO DROPSHIPPER: 4263579* GUIA: *D001266746*</t>
  </si>
  <si>
    <t>D001266752</t>
  </si>
  <si>
    <t>ENTRADA POR GANANCIA EN LA ORDEN COMO DROPSHIPPER: 4262404* GUIA: *D001266752*</t>
  </si>
  <si>
    <t>D001266753</t>
  </si>
  <si>
    <t>ENTRADA POR GANANCIA EN LA ORDEN COMO DROPSHIPPER: 4261910* GUIA: *D001266753*</t>
  </si>
  <si>
    <t>D001266755</t>
  </si>
  <si>
    <t>ENTRADA POR GANANCIA EN LA ORDEN COMO DROPSHIPPER: 4261890* GUIA: *D001266755*</t>
  </si>
  <si>
    <t>D001266756</t>
  </si>
  <si>
    <t>ENTRADA POR GANANCIA EN LA ORDEN COMO DROPSHIPPER: 4261394* GUIA: *D001266756*</t>
  </si>
  <si>
    <t>D001266758</t>
  </si>
  <si>
    <t>ENTRADA POR GANANCIA EN LA ORDEN COMO DROPSHIPPER: 4261046* GUIA: *D001266758*</t>
  </si>
  <si>
    <t>D001266760</t>
  </si>
  <si>
    <t>ENTRADA POR GANANCIA EN LA ORDEN COMO DROPSHIPPER: 4260555* GUIA: *D001266760*</t>
  </si>
  <si>
    <t>D001266764</t>
  </si>
  <si>
    <t>ENTRADA POR GANANCIA EN LA ORDEN COMO DROPSHIPPER: 4256978* GUIA: *D001266764*</t>
  </si>
  <si>
    <t>D001262626</t>
  </si>
  <si>
    <t>ENTRADA POR GANANCIA EN LA ORDEN COMO DROPSHIPPER: 4250682* GUIA: *D001262626*</t>
  </si>
  <si>
    <t>31-01-2026 00:38</t>
  </si>
  <si>
    <t>D001247728</t>
  </si>
  <si>
    <t>ENTRADA POR GANANCIA EN LA ORDEN COMO DROPSHIPPER: 4186470* GUIA: *D001247728*</t>
  </si>
  <si>
    <t>D001234350</t>
  </si>
  <si>
    <t>ENTRADA POR GANANCIA EN LA ORDEN COMO DROPSHIPPER: 4157343* GUIA: *D001234350*</t>
  </si>
  <si>
    <t>D001267790</t>
  </si>
  <si>
    <t>ENTRADA POR GANANCIA EN LA ORDEN COMO DROPSHIPPER: 4130873* GUIA: *D001267790*</t>
  </si>
  <si>
    <t>ENTRADA POR GANANCIA EN LA ORDEN COMO DROPSHIPPER: 4077822* GUIA: *186516860*</t>
  </si>
  <si>
    <t>30-01-2026 01:34</t>
  </si>
  <si>
    <t>D001231761</t>
  </si>
  <si>
    <t>SALIDA DE COBRO DE DEVOLUCIÓN POR ENTREGA NO EFECTIVA: 4140952</t>
  </si>
  <si>
    <t>D001231760</t>
  </si>
  <si>
    <t>SALIDA DE COBRO DE DEVOLUCIÓN POR ENTREGA NO EFECTIVA: 4141108</t>
  </si>
  <si>
    <t>D001231756</t>
  </si>
  <si>
    <t>SALIDA DE COBRO DE DEVOLUCIÓN POR ENTREGA NO EFECTIVA: 4141408</t>
  </si>
  <si>
    <t>D001233702</t>
  </si>
  <si>
    <t>SALIDA DE COBRO DE DEVOLUCIÓN POR ENTREGA NO EFECTIVA: 4158920</t>
  </si>
  <si>
    <t>D001233718</t>
  </si>
  <si>
    <t>SALIDA DE COBRO DE DEVOLUCIÓN POR ENTREGA NO EFECTIVA: 4156337</t>
  </si>
  <si>
    <t>D001233708</t>
  </si>
  <si>
    <t>SALIDA DE COBRO DE DEVOLUCIÓN POR ENTREGA NO EFECTIVA: 4158658</t>
  </si>
  <si>
    <t>D001231745</t>
  </si>
  <si>
    <t>SALIDA DE COBRO DE DEVOLUCIÓN POR ENTREGA NO EFECTIVA: 4145656</t>
  </si>
  <si>
    <t>D001231765</t>
  </si>
  <si>
    <t>SALIDA DE COBRO DE DEVOLUCIÓN POR ENTREGA NO EFECTIVA: 4138697</t>
  </si>
  <si>
    <t>D001233730</t>
  </si>
  <si>
    <t>SALIDA DE COBRO DE DEVOLUCIÓN POR ENTREGA NO EFECTIVA: 4152907</t>
  </si>
  <si>
    <t>D001233715</t>
  </si>
  <si>
    <t>SALIDA DE COBRO DE DEVOLUCIÓN POR ENTREGA NO EFECTIVA: 4156566</t>
  </si>
  <si>
    <t>D001231662</t>
  </si>
  <si>
    <t>SALIDA DE COBRO DE DEVOLUCIÓN POR ENTREGA NO EFECTIVA: 4149782</t>
  </si>
  <si>
    <t>D001231740</t>
  </si>
  <si>
    <t>SALIDA DE COBRO DE DEVOLUCIÓN POR ENTREGA NO EFECTIVA: 4149501</t>
  </si>
  <si>
    <t>D001231772</t>
  </si>
  <si>
    <t>SALIDA DE COBRO DE DEVOLUCIÓN POR ENTREGA NO EFECTIVA: 4152067</t>
  </si>
  <si>
    <t>30-01-2026 01:33</t>
  </si>
  <si>
    <t>D001231741</t>
  </si>
  <si>
    <t>SALIDA DE COBRO DE DEVOLUCIÓN POR ENTREGA NO EFECTIVA: 4149269</t>
  </si>
  <si>
    <t>30-01-2026 01:03</t>
  </si>
  <si>
    <t>SALIDA POR COBRO DE FLETE INICIAL: 4137795</t>
  </si>
  <si>
    <t>SALIDA POR COBRO DE FLETE INICIAL: 4129754</t>
  </si>
  <si>
    <t>SALIDA POR COBRO DE FLETE INICIAL: 4130588</t>
  </si>
  <si>
    <t>30-01-2026 01:01</t>
  </si>
  <si>
    <t>SALIDA POR COBRO DE FLETE INICIAL: 4136808</t>
  </si>
  <si>
    <t>30-01-2026 00:38</t>
  </si>
  <si>
    <t>ENTRADA POR GANANCIA EN LA ORDEN COMO DROPSHIPPER: 4109603* GUIA: *186966927*</t>
  </si>
  <si>
    <t>29-01-2026 01:14</t>
  </si>
  <si>
    <t>SALIDA POR COBRO DE FLETE INICIAL: 3898712</t>
  </si>
  <si>
    <t>SALIDA POR COBRO DE FLETE INICIAL: 3949049</t>
  </si>
  <si>
    <t>29-01-2026 01:13</t>
  </si>
  <si>
    <t>SALIDA POR COBRO DE FLETE INICIAL: 3985574</t>
  </si>
  <si>
    <t>29-01-2026 01:11</t>
  </si>
  <si>
    <t>SALIDA POR COBRO DE FLETE INICIAL: 4112009</t>
  </si>
  <si>
    <t>SALIDA POR COBRO DE FLETE INICIAL: 4048599</t>
  </si>
  <si>
    <t>SALIDA POR COBRO DE FLETE INICIAL: 4127249</t>
  </si>
  <si>
    <t>SALIDA POR COBRO DE FLETE INICIAL: 3948464</t>
  </si>
  <si>
    <t>SALIDA POR COBRO DE FLETE INICIAL: 3987954</t>
  </si>
  <si>
    <t>SALIDA POR COBRO DE FLETE INICIAL: 3987654</t>
  </si>
  <si>
    <t>29-01-2026 01:05</t>
  </si>
  <si>
    <t>SALIDA POR COBRO DE FULFILLMENT POR ENTREGA NO EFECTIVA: 3780495</t>
  </si>
  <si>
    <t>SALIDA POR COBRO DE FLETE INICIAL: 3780495</t>
  </si>
  <si>
    <t>29-01-2026 01:04</t>
  </si>
  <si>
    <t>SALIDA POR COBRO DE FLETE INICIAL: 4131335</t>
  </si>
  <si>
    <t>SALIDA POR COBRO DE FLETE INICIAL: 4134328</t>
  </si>
  <si>
    <t>SALIDA POR COBRO DE FLETE INICIAL: 4096576</t>
  </si>
  <si>
    <t>SALIDA POR COBRO DE FLETE INICIAL: 4101301</t>
  </si>
  <si>
    <t>SALIDA POR COBRO DE FLETE INICIAL: 4110496</t>
  </si>
  <si>
    <t>29-01-2026 01:02</t>
  </si>
  <si>
    <t>SALIDA POR COBRO DE FLETE INICIAL: 3973268</t>
  </si>
  <si>
    <t>SALIDA POR COBRO DE FLETE INICIAL: 4120524</t>
  </si>
  <si>
    <t>SALIDA POR COBRO DE FLETE INICIAL: 4093451</t>
  </si>
  <si>
    <t>29-01-2026 01:01</t>
  </si>
  <si>
    <t>SALIDA POR COBRO DE FLETE INICIAL: 4075153</t>
  </si>
  <si>
    <t>SALIDA POR COBRO DE FLETE INICIAL: 4135730</t>
  </si>
  <si>
    <t>29-01-2026 01:00</t>
  </si>
  <si>
    <t>SALIDA POR COBRO DE FLETE INICIAL: 4174209</t>
  </si>
  <si>
    <t>29-01-2026 00:42</t>
  </si>
  <si>
    <t>ENTRADA POR GANANCIA EN LA ORDEN COMO DROPSHIPPER: 4280071* GUIA: *186535569*</t>
  </si>
  <si>
    <t>29-01-2026 00:41</t>
  </si>
  <si>
    <t>D001266733</t>
  </si>
  <si>
    <t>ENTRADA POR GANANCIA EN LA ORDEN COMO DROPSHIPPER: 4266245* GUIA: *D001266733*</t>
  </si>
  <si>
    <t>29-01-2026 00:40</t>
  </si>
  <si>
    <t>D001262360</t>
  </si>
  <si>
    <t>ENTRADA POR GANANCIA EN LA ORDEN COMO DROPSHIPPER: 4260175* GUIA: *D001262360*</t>
  </si>
  <si>
    <t>ENTRADA POR GANANCIA EN LA ORDEN COMO DROPSHIPPER: 4250753* GUIA: *186530283*</t>
  </si>
  <si>
    <t>29-01-2026 00:38</t>
  </si>
  <si>
    <t>D001234341</t>
  </si>
  <si>
    <t>ENTRADA POR GANANCIA EN LA ORDEN COMO DROPSHIPPER: 4165556* GUIA: *D001234341*</t>
  </si>
  <si>
    <t>28-01-2026 01:01</t>
  </si>
  <si>
    <t>SALIDA POR COBRO DE FLETE INICIAL: 4115695</t>
  </si>
  <si>
    <t>28-01-2026 00:44</t>
  </si>
  <si>
    <t>ENTRADA POR GANANCIA EN LA ORDEN COMO DROPSHIPPER: 4281888* GUIA: *186530043*</t>
  </si>
  <si>
    <t>28-01-2026 00:40</t>
  </si>
  <si>
    <t>D001254650</t>
  </si>
  <si>
    <t>ENTRADA POR GANANCIA EN LA ORDEN COMO DROPSHIPPER: 4241553* GUIA: *D001254650*</t>
  </si>
  <si>
    <t>ENTRADA POR GANANCIA EN LA ORDEN COMO DROPSHIPPER: 4236432* GUIA: *186518393*</t>
  </si>
  <si>
    <t>D001254690</t>
  </si>
  <si>
    <t>ENTRADA POR GANANCIA EN LA ORDEN COMO DROPSHIPPER: 4236207* GUIA: *D001254690*</t>
  </si>
  <si>
    <t>D001254691</t>
  </si>
  <si>
    <t>ENTRADA POR GANANCIA EN LA ORDEN COMO DROPSHIPPER: 4236204* GUIA: *D001254691*</t>
  </si>
  <si>
    <t>28-01-2026 00:38</t>
  </si>
  <si>
    <t>D001233739</t>
  </si>
  <si>
    <t>ENTRADA POR GANANCIA EN LA ORDEN COMO DROPSHIPPER: 4152126* GUIA: *D001233739*</t>
  </si>
  <si>
    <t>D001251053</t>
  </si>
  <si>
    <t>ENTRADA POR GANANCIA EN LA ORDEN COMO DROPSHIPPER: 4141718* GUIA: *D001251053*</t>
  </si>
  <si>
    <t>D001224257</t>
  </si>
  <si>
    <t>ENTRADA POR GANANCIA EN LA ORDEN COMO DROPSHIPPER: 4123647* GUIA: *D001224257*</t>
  </si>
  <si>
    <t>27-01-2026 03:05</t>
  </si>
  <si>
    <t>D001233736</t>
  </si>
  <si>
    <t>SALIDA DE COBRO DE DEVOLUCIÓN POR ENTREGA NO EFECTIVA: 4152183</t>
  </si>
  <si>
    <t>27-01-2026 03:04</t>
  </si>
  <si>
    <t>D001231922</t>
  </si>
  <si>
    <t>SALIDA DE COBRO DE DEVOLUCIÓN POR ENTREGA NO EFECTIVA: 4150323</t>
  </si>
  <si>
    <t>D001230395</t>
  </si>
  <si>
    <t>SALIDA DE COBRO DE DEVOLUCIÓN POR ENTREGA NO EFECTIVA: 4104190</t>
  </si>
  <si>
    <t>27-01-2026 03:02</t>
  </si>
  <si>
    <t>D001227668</t>
  </si>
  <si>
    <t>SALIDA DE COBRO DE DEVOLUCIÓN POR ENTREGA NO EFECTIVA: 4138308</t>
  </si>
  <si>
    <t>27-01-2026 03:01</t>
  </si>
  <si>
    <t>D001224227</t>
  </si>
  <si>
    <t>SALIDA DE COBRO DE DEVOLUCIÓN POR ENTREGA NO EFECTIVA: 4128548</t>
  </si>
  <si>
    <t>27-01-2026 03:00</t>
  </si>
  <si>
    <t>D001223597</t>
  </si>
  <si>
    <t>SALIDA DE COBRO DE DEVOLUCIÓN POR ENTREGA NO EFECTIVA: 4141967</t>
  </si>
  <si>
    <t>D001223154</t>
  </si>
  <si>
    <t>SALIDA DE COBRO DE DEVOLUCIÓN POR ENTREGA NO EFECTIVA: 4099017</t>
  </si>
  <si>
    <t>27-01-2026 00:43</t>
  </si>
  <si>
    <t>D001257535</t>
  </si>
  <si>
    <t>ENTRADA POR GANANCIA EN LA ORDEN COMO DROPSHIPPER: 4250074* GUIA: *D001257535*</t>
  </si>
  <si>
    <t>D001254547</t>
  </si>
  <si>
    <t>ENTRADA POR GANANCIA EN LA ORDEN COMO DROPSHIPPER: 4245664* GUIA: *D001254547*</t>
  </si>
  <si>
    <t>D001254549</t>
  </si>
  <si>
    <t>ENTRADA POR GANANCIA EN LA ORDEN COMO DROPSHIPPER: 4245136* GUIA: *D001254549*</t>
  </si>
  <si>
    <t>27-01-2026 00:42</t>
  </si>
  <si>
    <t>D001254647</t>
  </si>
  <si>
    <t>ENTRADA POR GANANCIA EN LA ORDEN COMO DROPSHIPPER: 4242970* GUIA: *D001254647*</t>
  </si>
  <si>
    <t>D001254661</t>
  </si>
  <si>
    <t>ENTRADA POR GANANCIA EN LA ORDEN COMO DROPSHIPPER: 4240895* GUIA: *D001254661*</t>
  </si>
  <si>
    <t>D001254666</t>
  </si>
  <si>
    <t>ENTRADA POR GANANCIA EN LA ORDEN COMO DROPSHIPPER: 4238545* GUIA: *D001254666*</t>
  </si>
  <si>
    <t>27-01-2026 00:41</t>
  </si>
  <si>
    <t>D001254671</t>
  </si>
  <si>
    <t>ENTRADA POR GANANCIA EN LA ORDEN COMO DROPSHIPPER: 4236370* GUIA: *D001254671*</t>
  </si>
  <si>
    <t>D001254672</t>
  </si>
  <si>
    <t>ENTRADA POR GANANCIA EN LA ORDEN COMO DROPSHIPPER: 4236364* GUIA: *D001254672*</t>
  </si>
  <si>
    <t>D001254673</t>
  </si>
  <si>
    <t>ENTRADA POR GANANCIA EN LA ORDEN COMO DROPSHIPPER: 4236286* GUIA: *D001254673*</t>
  </si>
  <si>
    <t>D001254694</t>
  </si>
  <si>
    <t>ENTRADA POR GANANCIA EN LA ORDEN COMO DROPSHIPPER: 4236123* GUIA: *D001254694*</t>
  </si>
  <si>
    <t>D001254695</t>
  </si>
  <si>
    <t>ENTRADA POR GANANCIA EN LA ORDEN COMO DROPSHIPPER: 4236117* GUIA: *D001254695*</t>
  </si>
  <si>
    <t>27-01-2026 00:39</t>
  </si>
  <si>
    <t>D001247738</t>
  </si>
  <si>
    <t>ENTRADA POR GANANCIA EN LA ORDEN COMO DROPSHIPPER: 4184141* GUIA: *D001247738*</t>
  </si>
  <si>
    <t>27-01-2026 00:38</t>
  </si>
  <si>
    <t>D001247747</t>
  </si>
  <si>
    <t>ENTRADA POR GANANCIA EN LA ORDEN COMO DROPSHIPPER: 4177369* GUIA: *D001247747*</t>
  </si>
  <si>
    <t>ENTRADA POR GANANCIA EN LA ORDEN COMO DROPSHIPPER: 4174706* GUIA: *186988654*</t>
  </si>
  <si>
    <t>D001252177</t>
  </si>
  <si>
    <t>ENTRADA POR GANANCIA EN LA ORDEN COMO DROPSHIPPER: 4167077* GUIA: *D001252177*</t>
  </si>
  <si>
    <t>D001240145</t>
  </si>
  <si>
    <t>ENTRADA POR GANANCIA EN LA ORDEN COMO DROPSHIPPER: 4163833* GUIA: *D001240145*</t>
  </si>
  <si>
    <t>ENTRADA POR GANANCIA EN LA ORDEN COMO DROPSHIPPER: 4157740* GUIA: *186988720*</t>
  </si>
  <si>
    <t>ENTRADA POR GANANCIA EN LA ORDEN COMO DROPSHIPPER: 4156621* GUIA: *186988722*</t>
  </si>
  <si>
    <t>D001251023</t>
  </si>
  <si>
    <t>ENTRADA POR GANANCIA EN LA ORDEN COMO DROPSHIPPER: 4154453* GUIA: *D001251023*</t>
  </si>
  <si>
    <t>D001250501</t>
  </si>
  <si>
    <t>ENTRADA POR GANANCIA EN LA ORDEN COMO DROPSHIPPER: 4152246* GUIA: *D001250501*</t>
  </si>
  <si>
    <t>D001251055</t>
  </si>
  <si>
    <t>ENTRADA POR GANANCIA EN LA ORDEN COMO DROPSHIPPER: 4137946* GUIA: *D001251055*</t>
  </si>
  <si>
    <t>D001250503</t>
  </si>
  <si>
    <t>ENTRADA POR GANANCIA EN LA ORDEN COMO DROPSHIPPER: 4130907* GUIA: *D001250503*</t>
  </si>
  <si>
    <t>D001254065</t>
  </si>
  <si>
    <t>ENTRADA POR GANANCIA EN LA ORDEN COMO DROPSHIPPER: 4122001* GUIA: *D001254065*</t>
  </si>
  <si>
    <t>D001250509</t>
  </si>
  <si>
    <t>ENTRADA POR GANANCIA EN LA ORDEN COMO DROPSHIPPER: 4091256* GUIA: *D001250509*</t>
  </si>
  <si>
    <t>26-01-2026 10:54</t>
  </si>
  <si>
    <t>Retiro</t>
  </si>
  <si>
    <t>26-01-2026 08:26</t>
  </si>
  <si>
    <t>SALIDA DE COBRO DE DEVOLUCIÓN POR ENTREGA NO EFECTIVA: 4123647</t>
  </si>
  <si>
    <t>D001224246</t>
  </si>
  <si>
    <t>SALIDA DE COBRO DE DEVOLUCIÓN POR ENTREGA NO EFECTIVA: 4125351</t>
  </si>
  <si>
    <t>D001224231</t>
  </si>
  <si>
    <t>SALIDA DE COBRO DE DEVOLUCIÓN POR ENTREGA NO EFECTIVA: 4127847</t>
  </si>
  <si>
    <t>D001223312</t>
  </si>
  <si>
    <t>SALIDA DE COBRO DE DEVOLUCIÓN POR ENTREGA NO EFECTIVA: 4090197</t>
  </si>
  <si>
    <t>D001223278</t>
  </si>
  <si>
    <t>SALIDA DE COBRO DE DEVOLUCIÓN POR ENTREGA NO EFECTIVA: 4092068</t>
  </si>
  <si>
    <t>D001223263</t>
  </si>
  <si>
    <t>SALIDA DE COBRO DE DEVOLUCIÓN POR ENTREGA NO EFECTIVA: 4093261</t>
  </si>
  <si>
    <t>D001223246</t>
  </si>
  <si>
    <t>SALIDA DE COBRO DE DEVOLUCIÓN POR ENTREGA NO EFECTIVA: 4094433</t>
  </si>
  <si>
    <t>D001223232</t>
  </si>
  <si>
    <t>SALIDA DE COBRO DE DEVOLUCIÓN POR ENTREGA NO EFECTIVA: 4095722</t>
  </si>
  <si>
    <t>D001223226</t>
  </si>
  <si>
    <t>SALIDA DE COBRO DE DEVOLUCIÓN POR ENTREGA NO EFECTIVA: 4096737</t>
  </si>
  <si>
    <t>D001223184</t>
  </si>
  <si>
    <t>SALIDA DE COBRO DE DEVOLUCIÓN POR ENTREGA NO EFECTIVA: 4097980</t>
  </si>
  <si>
    <t>D001223169</t>
  </si>
  <si>
    <t>SALIDA DE COBRO DE DEVOLUCIÓN POR ENTREGA NO EFECTIVA: 4098406</t>
  </si>
  <si>
    <t>D001223163</t>
  </si>
  <si>
    <t>SALIDA DE COBRO DE DEVOLUCIÓN POR ENTREGA NO EFECTIVA: 4098530</t>
  </si>
  <si>
    <t>D001223151</t>
  </si>
  <si>
    <t>SALIDA DE COBRO DE DEVOLUCIÓN POR ENTREGA NO EFECTIVA: 4099190</t>
  </si>
  <si>
    <t>D001222986</t>
  </si>
  <si>
    <t>SALIDA DE COBRO DE DEVOLUCIÓN POR ENTREGA NO EFECTIVA: 4128979</t>
  </si>
  <si>
    <t>26-01-2026 08:25</t>
  </si>
  <si>
    <t>D001218390</t>
  </si>
  <si>
    <t>SALIDA DE COBRO DE DEVOLUCIÓN POR ENTREGA NO EFECTIVA: 4106662</t>
  </si>
  <si>
    <t>D001218312</t>
  </si>
  <si>
    <t>SALIDA DE COBRO DE DEVOLUCIÓN POR ENTREGA NO EFECTIVA: 4122350</t>
  </si>
  <si>
    <t>26-01-2026 01:33</t>
  </si>
  <si>
    <t>D001223206</t>
  </si>
  <si>
    <t>SALIDA DE COBRO DE DEVOLUCIÓN POR ENTREGA NO EFECTIVA: 4097106</t>
  </si>
  <si>
    <t>D001223188</t>
  </si>
  <si>
    <t>SALIDA DE COBRO DE DEVOLUCIÓN POR ENTREGA NO EFECTIVA: 4097791</t>
  </si>
  <si>
    <t>D001218398</t>
  </si>
  <si>
    <t>SALIDA DE COBRO DE DEVOLUCIÓN POR ENTREGA NO EFECTIVA: 4105987</t>
  </si>
  <si>
    <t>D001224306</t>
  </si>
  <si>
    <t>SALIDA DE COBRO DE DEVOLUCIÓN POR ENTREGA NO EFECTIVA: 4104576</t>
  </si>
  <si>
    <t>D001218384</t>
  </si>
  <si>
    <t>SALIDA DE COBRO DE DEVOLUCIÓN POR ENTREGA NO EFECTIVA: 4108195</t>
  </si>
  <si>
    <t>D001218348</t>
  </si>
  <si>
    <t>SALIDA DE COBRO DE DEVOLUCIÓN POR ENTREGA NO EFECTIVA: 4113614</t>
  </si>
  <si>
    <t>D001223041</t>
  </si>
  <si>
    <t>SALIDA DE COBRO DE DEVOLUCIÓN POR ENTREGA NO EFECTIVA: 4123011</t>
  </si>
  <si>
    <t>D001219582</t>
  </si>
  <si>
    <t>SALIDA DE COBRO DE DEVOLUCIÓN POR ENTREGA NO EFECTIVA: 4116205</t>
  </si>
  <si>
    <t>D001224167</t>
  </si>
  <si>
    <t>SALIDA DE COBRO DE DEVOLUCIÓN POR ENTREGA NO EFECTIVA: 4130480</t>
  </si>
  <si>
    <t>D001218350</t>
  </si>
  <si>
    <t>SALIDA DE COBRO DE DEVOLUCIÓN POR ENTREGA NO EFECTIVA: 4113220</t>
  </si>
  <si>
    <t>D001220163</t>
  </si>
  <si>
    <t>SALIDA DE COBRO DE DEVOLUCIÓN POR ENTREGA NO EFECTIVA: 4089973</t>
  </si>
  <si>
    <t>26-01-2026 01:32</t>
  </si>
  <si>
    <t>D001223220</t>
  </si>
  <si>
    <t>SALIDA DE COBRO DE DEVOLUCIÓN POR ENTREGA NO EFECTIVA: 4096809</t>
  </si>
  <si>
    <t>D001220640</t>
  </si>
  <si>
    <t>SALIDA DE COBRO DE DEVOLUCIÓN POR ENTREGA NO EFECTIVA: 4090295</t>
  </si>
  <si>
    <t>D001223303</t>
  </si>
  <si>
    <t>SALIDA DE COBRO DE DEVOLUCIÓN POR ENTREGA NO EFECTIVA: 4090275</t>
  </si>
  <si>
    <t>D001223308</t>
  </si>
  <si>
    <t>SALIDA DE COBRO DE DEVOLUCIÓN POR ENTREGA NO EFECTIVA: 4090232</t>
  </si>
  <si>
    <t>26-01-2026 01:30</t>
  </si>
  <si>
    <t>D001223315</t>
  </si>
  <si>
    <t>SALIDA DE COBRO DE DEVOLUCIÓN POR ENTREGA NO EFECTIVA: 4089914</t>
  </si>
  <si>
    <t>25-01-2026 00:38</t>
  </si>
  <si>
    <t>D001247726</t>
  </si>
  <si>
    <t>ENTRADA POR GANANCIA EN LA ORDEN COMO DROPSHIPPER: 4186716* GUIA: *D001247726*</t>
  </si>
  <si>
    <t>D001247733</t>
  </si>
  <si>
    <t>ENTRADA POR GANANCIA EN LA ORDEN COMO DROPSHIPPER: 4185201* GUIA: *D001247733*</t>
  </si>
  <si>
    <t>D001247742</t>
  </si>
  <si>
    <t>ENTRADA POR GANANCIA EN LA ORDEN COMO DROPSHIPPER: 4177784* GUIA: *D001247742*</t>
  </si>
  <si>
    <t>D001247746</t>
  </si>
  <si>
    <t>ENTRADA POR GANANCIA EN LA ORDEN COMO DROPSHIPPER: 4177568* GUIA: *D001247746*</t>
  </si>
  <si>
    <t>ENTRADA POR GANANCIA EN LA ORDEN COMO DROPSHIPPER: 4177149* GUIA: *186507662*</t>
  </si>
  <si>
    <t>D001240114</t>
  </si>
  <si>
    <t>ENTRADA POR GANANCIA EN LA ORDEN COMO DROPSHIPPER: 4162060* GUIA: *D001240114*</t>
  </si>
  <si>
    <t>D001224254</t>
  </si>
  <si>
    <t>ENTRADA POR GANANCIA EN LA ORDEN COMO DROPSHIPPER: 4124012* GUIA: *D001224254*</t>
  </si>
  <si>
    <t>D001223126</t>
  </si>
  <si>
    <t>ENTRADA POR GANANCIA EN LA ORDEN COMO DROPSHIPPER: 4101444* GUIA: *D001223126*</t>
  </si>
  <si>
    <t>ENTRADA POR GANANCIA EN LA ORDEN COMO DROPSHIPPER: 4090544* GUIA: *186509216*</t>
  </si>
  <si>
    <t>D001250514</t>
  </si>
  <si>
    <t>ENTRADA POR GANANCIA EN LA ORDEN COMO DROPSHIPPER: 4084131* GUIA: *D001250514*</t>
  </si>
  <si>
    <t>D001250516</t>
  </si>
  <si>
    <t>ENTRADA POR GANANCIA EN LA ORDEN COMO DROPSHIPPER: 4081210* GUIA: *D001250516*</t>
  </si>
  <si>
    <t>24-01-2026 03:09</t>
  </si>
  <si>
    <t>D001233689</t>
  </si>
  <si>
    <t>SALIDA DE COBRO DE DEVOLUCIÓN POR ENTREGA NO EFECTIVA: 4165019</t>
  </si>
  <si>
    <t>D001223243</t>
  </si>
  <si>
    <t>SALIDA DE COBRO DE DEVOLUCIÓN POR ENTREGA NO EFECTIVA: 4095202</t>
  </si>
  <si>
    <t>D001223065</t>
  </si>
  <si>
    <t>SALIDA DE COBRO DE DEVOLUCIÓN POR ENTREGA NO EFECTIVA: 4118031</t>
  </si>
  <si>
    <t>24-01-2026 03:07</t>
  </si>
  <si>
    <t>D001224235</t>
  </si>
  <si>
    <t>SALIDA DE COBRO DE DEVOLUCIÓN POR ENTREGA NO EFECTIVA: 4127461</t>
  </si>
  <si>
    <t>D001223237</t>
  </si>
  <si>
    <t>SALIDA DE COBRO DE DEVOLUCIÓN POR ENTREGA NO EFECTIVA: 4095491</t>
  </si>
  <si>
    <t>D001223215</t>
  </si>
  <si>
    <t>SALIDA DE COBRO DE DEVOLUCIÓN POR ENTREGA NO EFECTIVA: 4096860</t>
  </si>
  <si>
    <t>D001223142</t>
  </si>
  <si>
    <t>SALIDA DE COBRO DE DEVOLUCIÓN POR ENTREGA NO EFECTIVA: 4100582</t>
  </si>
  <si>
    <t>24-01-2026 03:06</t>
  </si>
  <si>
    <t>D001220639</t>
  </si>
  <si>
    <t>SALIDA DE COBRO DE DEVOLUCIÓN POR ENTREGA NO EFECTIVA: 4090304</t>
  </si>
  <si>
    <t>D001218369</t>
  </si>
  <si>
    <t>SALIDA DE COBRO DE DEVOLUCIÓN POR ENTREGA NO EFECTIVA: 4110684</t>
  </si>
  <si>
    <t>24-01-2026 03:05</t>
  </si>
  <si>
    <t>D001218366</t>
  </si>
  <si>
    <t>SALIDA DE COBRO DE DEVOLUCIÓN POR ENTREGA NO EFECTIVA: 4111355</t>
  </si>
  <si>
    <t>D001218349</t>
  </si>
  <si>
    <t>SALIDA DE COBRO DE DEVOLUCIÓN POR ENTREGA NO EFECTIVA: 4113550</t>
  </si>
  <si>
    <t>D001218320</t>
  </si>
  <si>
    <t>SALIDA DE COBRO DE DEVOLUCIÓN POR ENTREGA NO EFECTIVA: 4121676</t>
  </si>
  <si>
    <t>24-01-2026 03:02</t>
  </si>
  <si>
    <t>D001213521</t>
  </si>
  <si>
    <t>SALIDA DE COBRO DE DEVOLUCIÓN POR ENTREGA NO EFECTIVA: 4074136</t>
  </si>
  <si>
    <t>24-01-2026 00:41</t>
  </si>
  <si>
    <t>D001247130</t>
  </si>
  <si>
    <t>ENTRADA POR GANANCIA EN LA ORDEN COMO DROPSHIPPER: 4190595* GUIA: *D001247130*</t>
  </si>
  <si>
    <t>D001247734</t>
  </si>
  <si>
    <t>ENTRADA POR GANANCIA EN LA ORDEN COMO DROPSHIPPER: 4184898* GUIA: *D001247734*</t>
  </si>
  <si>
    <t>24-01-2026 00:40</t>
  </si>
  <si>
    <t>ENTRADA POR GANANCIA EN LA ORDEN COMO DROPSHIPPER: 4176975* GUIA: *186507664*</t>
  </si>
  <si>
    <t>D001244019</t>
  </si>
  <si>
    <t>ENTRADA POR GANANCIA EN LA ORDEN COMO DROPSHIPPER: 4176522* GUIA: *D001244019*</t>
  </si>
  <si>
    <t>D001244020</t>
  </si>
  <si>
    <t>ENTRADA POR GANANCIA EN LA ORDEN COMO DROPSHIPPER: 4175796* GUIA: *D001244020*</t>
  </si>
  <si>
    <t>D001243998</t>
  </si>
  <si>
    <t>ENTRADA POR GANANCIA EN LA ORDEN COMO DROPSHIPPER: 4175757* GUIA: *D001243998*</t>
  </si>
  <si>
    <t>D001244002</t>
  </si>
  <si>
    <t>ENTRADA POR GANANCIA EN LA ORDEN COMO DROPSHIPPER: 4175168* GUIA: *D001244002*</t>
  </si>
  <si>
    <t>ENTRADA POR GANANCIA EN LA ORDEN COMO DROPSHIPPER: 4168924* GUIA: *186986059*</t>
  </si>
  <si>
    <t>D001240814</t>
  </si>
  <si>
    <t>ENTRADA POR GANANCIA EN LA ORDEN COMO DROPSHIPPER: 4168304* GUIA: *D001240814*</t>
  </si>
  <si>
    <t>24-01-2026 00:39</t>
  </si>
  <si>
    <t>D001233677</t>
  </si>
  <si>
    <t>ENTRADA POR GANANCIA EN LA ORDEN COMO DROPSHIPPER: 4166077* GUIA: *D001233677*</t>
  </si>
  <si>
    <t>ENTRADA POR GANANCIA EN LA ORDEN COMO DROPSHIPPER: 4165247* GUIA: *186487426*</t>
  </si>
  <si>
    <t>D001233694</t>
  </si>
  <si>
    <t>ENTRADA POR GANANCIA EN LA ORDEN COMO DROPSHIPPER: 4164088* GUIA: *D001233694*</t>
  </si>
  <si>
    <t>D001234347</t>
  </si>
  <si>
    <t>ENTRADA POR GANANCIA EN LA ORDEN COMO DROPSHIPPER: 4158470* GUIA: *D001234347*</t>
  </si>
  <si>
    <t>D001234351</t>
  </si>
  <si>
    <t>ENTRADA POR GANANCIA EN LA ORDEN COMO DROPSHIPPER: 4156752* GUIA: *D001234351*</t>
  </si>
  <si>
    <t>ENTRADA POR GANANCIA EN LA ORDEN COMO DROPSHIPPER: 4155810* GUIA: *186487431*</t>
  </si>
  <si>
    <t>D001234355</t>
  </si>
  <si>
    <t>ENTRADA POR GANANCIA EN LA ORDEN COMO DROPSHIPPER: 4153810* GUIA: *D001234355*</t>
  </si>
  <si>
    <t>D001233743</t>
  </si>
  <si>
    <t>ENTRADA POR GANANCIA EN LA ORDEN COMO DROPSHIPPER: 4151939* GUIA: *D001233743*</t>
  </si>
  <si>
    <t>ENTRADA POR GANANCIA EN LA ORDEN COMO DROPSHIPPER: 4142429* GUIA: *186974702*</t>
  </si>
  <si>
    <t>24-01-2026 00:38</t>
  </si>
  <si>
    <t>D001218342</t>
  </si>
  <si>
    <t>ENTRADA POR GANANCIA EN LA ORDEN COMO DROPSHIPPER: 4113979* GUIA: *D001218342*</t>
  </si>
  <si>
    <t>ENTRADA POR GANANCIA EN LA ORDEN COMO DROPSHIPPER: 4113567* GUIA: *186966911*</t>
  </si>
  <si>
    <t>D001218358</t>
  </si>
  <si>
    <t>ENTRADA POR GANANCIA EN LA ORDEN COMO DROPSHIPPER: 4112195* GUIA: *D001218358*</t>
  </si>
  <si>
    <t>D001218375</t>
  </si>
  <si>
    <t>ENTRADA POR GANANCIA EN LA ORDEN COMO DROPSHIPPER: 4109817* GUIA: *D001218375*</t>
  </si>
  <si>
    <t>D001216220</t>
  </si>
  <si>
    <t>ENTRADA POR GANANCIA EN LA ORDEN COMO DROPSHIPPER: 4106967* GUIA: *D001216220*</t>
  </si>
  <si>
    <t>D001218392</t>
  </si>
  <si>
    <t>ENTRADA POR GANANCIA EN LA ORDEN COMO DROPSHIPPER: 4106636* GUIA: *D001218392*</t>
  </si>
  <si>
    <t>ENTRADA POR GANANCIA EN LA ORDEN COMO DROPSHIPPER: 4096790* GUIA: *186973356*</t>
  </si>
  <si>
    <t>23-01-2026 10:34</t>
  </si>
  <si>
    <t>WYB163137021</t>
  </si>
  <si>
    <t>SALIDA POR COBRO DE FULFILLMENT POR ENTREGA NO EFECTIVA: 3818294</t>
  </si>
  <si>
    <t>SALIDA DE COBRO DE DEVOLUCIÓN POR ENTREGA NO EFECTIVA: 3818294</t>
  </si>
  <si>
    <t>23-01-2026 09:46</t>
  </si>
  <si>
    <t>WYB161873888</t>
  </si>
  <si>
    <t>SALIDA POR COBRO DE FULFILLMENT POR ENTREGA NO EFECTIVA: 3640980</t>
  </si>
  <si>
    <t>SALIDA DE COBRO DE DEVOLUCIÓN POR ENTREGA NO EFECTIVA: 3640980</t>
  </si>
  <si>
    <t>23-01-2026 09:45</t>
  </si>
  <si>
    <t>WYB161489751</t>
  </si>
  <si>
    <t>SALIDA POR COBRO DE FULFILLMENT POR ENTREGA NO EFECTIVA: 3597967</t>
  </si>
  <si>
    <t>SALIDA DE COBRO DE DEVOLUCIÓN POR ENTREGA NO EFECTIVA: 3597967</t>
  </si>
  <si>
    <t>23-01-2026 03:07</t>
  </si>
  <si>
    <t>D001223257</t>
  </si>
  <si>
    <t>SALIDA DE COBRO DE DEVOLUCIÓN POR ENTREGA NO EFECTIVA: 4093448</t>
  </si>
  <si>
    <t>D001227669</t>
  </si>
  <si>
    <t>SALIDA DE COBRO DE DEVOLUCIÓN POR ENTREGA NO EFECTIVA: 4138258</t>
  </si>
  <si>
    <t>D001227685</t>
  </si>
  <si>
    <t>SALIDA DE COBRO DE DEVOLUCIÓN POR ENTREGA NO EFECTIVA: 4136790</t>
  </si>
  <si>
    <t>23-01-2026 03:04</t>
  </si>
  <si>
    <t>D001218282</t>
  </si>
  <si>
    <t>SALIDA DE COBRO DE DEVOLUCIÓN POR ENTREGA NO EFECTIVA: 4128666</t>
  </si>
  <si>
    <t>23-01-2026 00:40</t>
  </si>
  <si>
    <t>D001244017</t>
  </si>
  <si>
    <t>ENTRADA POR GANANCIA EN LA ORDEN COMO DROPSHIPPER: 4176880* GUIA: *D001244017*</t>
  </si>
  <si>
    <t>23-01-2026 00:39</t>
  </si>
  <si>
    <t>ENTRADA POR GANANCIA EN LA ORDEN COMO DROPSHIPPER: 4174116* GUIA: *186988426*</t>
  </si>
  <si>
    <t>ENTRADA POR GANANCIA EN LA ORDEN COMO DROPSHIPPER: 4174082* GUIA: *186487391*</t>
  </si>
  <si>
    <t>D001244012</t>
  </si>
  <si>
    <t>ENTRADA POR GANANCIA EN LA ORDEN COMO DROPSHIPPER: 4173557* GUIA: *D001244012*</t>
  </si>
  <si>
    <t>D001234306</t>
  </si>
  <si>
    <t>ENTRADA POR GANANCIA EN LA ORDEN COMO DROPSHIPPER: 4165783* GUIA: *D001234306*</t>
  </si>
  <si>
    <t>ENTRADA POR GANANCIA EN LA ORDEN COMO DROPSHIPPER: 4163990* GUIA: *186495146*</t>
  </si>
  <si>
    <t>D001240146</t>
  </si>
  <si>
    <t>ENTRADA POR GANANCIA EN LA ORDEN COMO DROPSHIPPER: 4163653* GUIA: *D001240146*</t>
  </si>
  <si>
    <t>D001240817</t>
  </si>
  <si>
    <t>ENTRADA POR GANANCIA EN LA ORDEN COMO DROPSHIPPER: 4162316* GUIA: *D001240817*</t>
  </si>
  <si>
    <t>ENTRADA POR GANANCIA EN LA ORDEN COMO DROPSHIPPER: 4160601* GUIA: *186986087*</t>
  </si>
  <si>
    <t>D001234358</t>
  </si>
  <si>
    <t>ENTRADA POR GANANCIA EN LA ORDEN COMO DROPSHIPPER: 4153156* GUIA: *D001234358*</t>
  </si>
  <si>
    <t>D001234359</t>
  </si>
  <si>
    <t>ENTRADA POR GANANCIA EN LA ORDEN COMO DROPSHIPPER: 4153118* GUIA: *D001234359*</t>
  </si>
  <si>
    <t>ENTRADA POR GANANCIA EN LA ORDEN COMO DROPSHIPPER: 4150846* GUIA: *186985782*</t>
  </si>
  <si>
    <t>23-01-2026 00:38</t>
  </si>
  <si>
    <t>ENTRADA POR GANANCIA EN LA ORDEN COMO DROPSHIPPER: 4137669* GUIA: *186980442*</t>
  </si>
  <si>
    <t>D001227683</t>
  </si>
  <si>
    <t>ENTRADA POR GANANCIA EN LA ORDEN COMO DROPSHIPPER: 4137387* GUIA: *D001227683*</t>
  </si>
  <si>
    <t>D001222995</t>
  </si>
  <si>
    <t>ENTRADA POR GANANCIA EN LA ORDEN COMO DROPSHIPPER: 4127740* GUIA: *D001222995*</t>
  </si>
  <si>
    <t>ENTRADA POR GANANCIA EN LA ORDEN COMO DROPSHIPPER: 4125597* GUIA: *186966826*</t>
  </si>
  <si>
    <t>D001223036</t>
  </si>
  <si>
    <t>ENTRADA POR GANANCIA EN LA ORDEN COMO DROPSHIPPER: 4123800* GUIA: *D001223036*</t>
  </si>
  <si>
    <t>22-01-2026 03:07</t>
  </si>
  <si>
    <t>D001227671</t>
  </si>
  <si>
    <t>SALIDA DE COBRO DE DEVOLUCIÓN POR ENTREGA NO EFECTIVA: 4137865</t>
  </si>
  <si>
    <t>D001224157</t>
  </si>
  <si>
    <t>SALIDA DE COBRO DE DEVOLUCIÓN POR ENTREGA NO EFECTIVA: 4131890</t>
  </si>
  <si>
    <t>D001218357</t>
  </si>
  <si>
    <t>SALIDA DE COBRO DE DEVOLUCIÓN POR ENTREGA NO EFECTIVA: 4112227</t>
  </si>
  <si>
    <t>D001215501</t>
  </si>
  <si>
    <t>SALIDA DE COBRO DE DEVOLUCIÓN POR ENTREGA NO EFECTIVA: 4109699</t>
  </si>
  <si>
    <t>D001218404</t>
  </si>
  <si>
    <t>SALIDA DE COBRO DE DEVOLUCIÓN POR ENTREGA NO EFECTIVA: 4103859</t>
  </si>
  <si>
    <t>D001223167</t>
  </si>
  <si>
    <t>SALIDA DE COBRO DE DEVOLUCIÓN POR ENTREGA NO EFECTIVA: 4098482</t>
  </si>
  <si>
    <t>D001223251</t>
  </si>
  <si>
    <t>SALIDA DE COBRO DE DEVOLUCIÓN POR ENTREGA NO EFECTIVA: 4094254</t>
  </si>
  <si>
    <t>D001220637</t>
  </si>
  <si>
    <t>SALIDA DE COBRO DE DEVOLUCIÓN POR ENTREGA NO EFECTIVA: 4091008</t>
  </si>
  <si>
    <t>22-01-2026 03:01</t>
  </si>
  <si>
    <t>D001203838</t>
  </si>
  <si>
    <t>SALIDA DE COBRO DE DEVOLUCIÓN POR ENTREGA NO EFECTIVA: 4074389</t>
  </si>
  <si>
    <t>22-01-2026 00:41</t>
  </si>
  <si>
    <t>D001240108</t>
  </si>
  <si>
    <t>ENTRADA POR GANANCIA EN LA ORDEN COMO DROPSHIPPER: 4167770* GUIA: *D001240108*</t>
  </si>
  <si>
    <t>D001238333</t>
  </si>
  <si>
    <t>ENTRADA POR GANANCIA EN LA ORDEN COMO DROPSHIPPER: 4167486* GUIA: *D001238333*</t>
  </si>
  <si>
    <t>D001240110</t>
  </si>
  <si>
    <t>ENTRADA POR GANANCIA EN LA ORDEN COMO DROPSHIPPER: 4166820* GUIA: *D001240110*</t>
  </si>
  <si>
    <t>D001240112</t>
  </si>
  <si>
    <t>ENTRADA POR GANANCIA EN LA ORDEN COMO DROPSHIPPER: 4166346* GUIA: *D001240112*</t>
  </si>
  <si>
    <t>D001233678</t>
  </si>
  <si>
    <t>ENTRADA POR GANANCIA EN LA ORDEN COMO DROPSHIPPER: 4165858* GUIA: *D001233678*</t>
  </si>
  <si>
    <t>D001233681</t>
  </si>
  <si>
    <t>ENTRADA POR GANANCIA EN LA ORDEN COMO DROPSHIPPER: 4165797* GUIA: *D001233681*</t>
  </si>
  <si>
    <t>D001234342</t>
  </si>
  <si>
    <t>ENTRADA POR GANANCIA EN LA ORDEN COMO DROPSHIPPER: 4165226* GUIA: *D001234342*</t>
  </si>
  <si>
    <t>D001234344</t>
  </si>
  <si>
    <t>ENTRADA POR GANANCIA EN LA ORDEN COMO DROPSHIPPER: 4164247* GUIA: *D001234344*</t>
  </si>
  <si>
    <t>D001233693</t>
  </si>
  <si>
    <t>ENTRADA POR GANANCIA EN LA ORDEN COMO DROPSHIPPER: 4164106* GUIA: *D001233693*</t>
  </si>
  <si>
    <t>D001240155</t>
  </si>
  <si>
    <t>ENTRADA POR GANANCIA EN LA ORDEN COMO DROPSHIPPER: 4163040* GUIA: *D001240155*</t>
  </si>
  <si>
    <t>D001240113</t>
  </si>
  <si>
    <t>ENTRADA POR GANANCIA EN LA ORDEN COMO DROPSHIPPER: 4162820* GUIA: *D001240113*</t>
  </si>
  <si>
    <t>D001240815</t>
  </si>
  <si>
    <t>ENTRADA POR GANANCIA EN LA ORDEN COMO DROPSHIPPER: 4162745* GUIA: *D001240815*</t>
  </si>
  <si>
    <t>22-01-2026 00:40</t>
  </si>
  <si>
    <t>D001240824</t>
  </si>
  <si>
    <t>ENTRADA POR GANANCIA EN LA ORDEN COMO DROPSHIPPER: 4161918* GUIA: *D001240824*</t>
  </si>
  <si>
    <t>D001238343</t>
  </si>
  <si>
    <t>ENTRADA POR GANANCIA EN LA ORDEN COMO DROPSHIPPER: 4161679* GUIA: *D001238343*</t>
  </si>
  <si>
    <t>D001240115</t>
  </si>
  <si>
    <t>ENTRADA POR GANANCIA EN LA ORDEN COMO DROPSHIPPER: 4161444* GUIA: *D001240115*</t>
  </si>
  <si>
    <t>D001240116</t>
  </si>
  <si>
    <t>ENTRADA POR GANANCIA EN LA ORDEN COMO DROPSHIPPER: 4160806* GUIA: *D001240116*</t>
  </si>
  <si>
    <t>D001233698</t>
  </si>
  <si>
    <t>ENTRADA POR GANANCIA EN LA ORDEN COMO DROPSHIPPER: 4160532* GUIA: *D001233698*</t>
  </si>
  <si>
    <t>D001234345</t>
  </si>
  <si>
    <t>ENTRADA POR GANANCIA EN LA ORDEN COMO DROPSHIPPER: 4159503* GUIA: *D001234345*</t>
  </si>
  <si>
    <t>D001234346</t>
  </si>
  <si>
    <t>ENTRADA POR GANANCIA EN LA ORDEN COMO DROPSHIPPER: 4159242* GUIA: *D001234346*</t>
  </si>
  <si>
    <t>D001233704</t>
  </si>
  <si>
    <t>ENTRADA POR GANANCIA EN LA ORDEN COMO DROPSHIPPER: 4158913* GUIA: *D001233704*</t>
  </si>
  <si>
    <t>D001233709</t>
  </si>
  <si>
    <t>ENTRADA POR GANANCIA EN LA ORDEN COMO DROPSHIPPER: 4158279* GUIA: *D001233709*</t>
  </si>
  <si>
    <t>D001234349</t>
  </si>
  <si>
    <t>ENTRADA POR GANANCIA EN LA ORDEN COMO DROPSHIPPER: 4157486* GUIA: *D001234349*</t>
  </si>
  <si>
    <t>D001233713</t>
  </si>
  <si>
    <t>ENTRADA POR GANANCIA EN LA ORDEN COMO DROPSHIPPER: 4157018* GUIA: *D001233713*</t>
  </si>
  <si>
    <t>ENTRADA POR GANANCIA EN LA ORDEN COMO DROPSHIPPER: 4156928* GUIA: *186487429*</t>
  </si>
  <si>
    <t>D001233719</t>
  </si>
  <si>
    <t>ENTRADA POR GANANCIA EN LA ORDEN COMO DROPSHIPPER: 4156297* GUIA: *D001233719*</t>
  </si>
  <si>
    <t>D001233722</t>
  </si>
  <si>
    <t>ENTRADA POR GANANCIA EN LA ORDEN COMO DROPSHIPPER: 4156234* GUIA: *D001233722*</t>
  </si>
  <si>
    <t>D001234352</t>
  </si>
  <si>
    <t>ENTRADA POR GANANCIA EN LA ORDEN COMO DROPSHIPPER: 4156194* GUIA: *D001234352*</t>
  </si>
  <si>
    <t>D001234353</t>
  </si>
  <si>
    <t>ENTRADA POR GANANCIA EN LA ORDEN COMO DROPSHIPPER: 4155781* GUIA: *D001234353*</t>
  </si>
  <si>
    <t>D001233726</t>
  </si>
  <si>
    <t>ENTRADA POR GANANCIA EN LA ORDEN COMO DROPSHIPPER: 4155012* GUIA: *D001233726*</t>
  </si>
  <si>
    <t>D001234354</t>
  </si>
  <si>
    <t>ENTRADA POR GANANCIA EN LA ORDEN COMO DROPSHIPPER: 4153876* GUIA: *D001234354*</t>
  </si>
  <si>
    <t>D001234356</t>
  </si>
  <si>
    <t>ENTRADA POR GANANCIA EN LA ORDEN COMO DROPSHIPPER: 4153426* GUIA: *D001234356*</t>
  </si>
  <si>
    <t>D001234357</t>
  </si>
  <si>
    <t>ENTRADA POR GANANCIA EN LA ORDEN COMO DROPSHIPPER: 4153243* GUIA: *D001234357*</t>
  </si>
  <si>
    <t>D001231771</t>
  </si>
  <si>
    <t>ENTRADA POR GANANCIA EN LA ORDEN COMO DROPSHIPPER: 4152159* GUIA: *D001231771*</t>
  </si>
  <si>
    <t>D001233745</t>
  </si>
  <si>
    <t>ENTRADA POR GANANCIA EN LA ORDEN COMO DROPSHIPPER: 4151754* GUIA: *D001233745*</t>
  </si>
  <si>
    <t>D001233747</t>
  </si>
  <si>
    <t>ENTRADA POR GANANCIA EN LA ORDEN COMO DROPSHIPPER: 4151039* GUIA: *D001233747*</t>
  </si>
  <si>
    <t>D001231920</t>
  </si>
  <si>
    <t>ENTRADA POR GANANCIA EN LA ORDEN COMO DROPSHIPPER: 4150611* GUIA: *D001231920*</t>
  </si>
  <si>
    <t>D001231921</t>
  </si>
  <si>
    <t>ENTRADA POR GANANCIA EN LA ORDEN COMO DROPSHIPPER: 4150368* GUIA: *D001231921*</t>
  </si>
  <si>
    <t>D001231923</t>
  </si>
  <si>
    <t>ENTRADA POR GANANCIA EN LA ORDEN COMO DROPSHIPPER: 4150287* GUIA: *D001231923*</t>
  </si>
  <si>
    <t>D001231926</t>
  </si>
  <si>
    <t>ENTRADA POR GANANCIA EN LA ORDEN COMO DROPSHIPPER: 4150183* GUIA: *D001231926*</t>
  </si>
  <si>
    <t>D001231928</t>
  </si>
  <si>
    <t>ENTRADA POR GANANCIA EN LA ORDEN COMO DROPSHIPPER: 4150067* GUIA: *D001231928*</t>
  </si>
  <si>
    <t>D001231739</t>
  </si>
  <si>
    <t>ENTRADA POR GANANCIA EN LA ORDEN COMO DROPSHIPPER: 4149560* GUIA: *D001231739*</t>
  </si>
  <si>
    <t>22-01-2026 00:39</t>
  </si>
  <si>
    <t>D001231746</t>
  </si>
  <si>
    <t>ENTRADA POR GANANCIA EN LA ORDEN COMO DROPSHIPPER: 4144851* GUIA: *D001231746*</t>
  </si>
  <si>
    <t>D001231747</t>
  </si>
  <si>
    <t>ENTRADA POR GANANCIA EN LA ORDEN COMO DROPSHIPPER: 4144117* GUIA: *D001231747*</t>
  </si>
  <si>
    <t>D001231752</t>
  </si>
  <si>
    <t>ENTRADA POR GANANCIA EN LA ORDEN COMO DROPSHIPPER: 4142192* GUIA: *D001231752*</t>
  </si>
  <si>
    <t>D001231753</t>
  </si>
  <si>
    <t>ENTRADA POR GANANCIA EN LA ORDEN COMO DROPSHIPPER: 4142111* GUIA: *D001231753*</t>
  </si>
  <si>
    <t>D001231758</t>
  </si>
  <si>
    <t>ENTRADA POR GANANCIA EN LA ORDEN COMO DROPSHIPPER: 4141181* GUIA: *D001231758*</t>
  </si>
  <si>
    <t>D001231762</t>
  </si>
  <si>
    <t>ENTRADA POR GANANCIA EN LA ORDEN COMO DROPSHIPPER: 4140625* GUIA: *D001231762*</t>
  </si>
  <si>
    <t>D001231763</t>
  </si>
  <si>
    <t>ENTRADA POR GANANCIA EN LA ORDEN COMO DROPSHIPPER: 4140595* GUIA: *D001231763*</t>
  </si>
  <si>
    <t>D001231764</t>
  </si>
  <si>
    <t>ENTRADA POR GANANCIA EN LA ORDEN COMO DROPSHIPPER: 4138832* GUIA: *D001231764*</t>
  </si>
  <si>
    <t>D001231767</t>
  </si>
  <si>
    <t>ENTRADA POR GANANCIA EN LA ORDEN COMO DROPSHIPPER: 4138403* GUIA: *D001231767*</t>
  </si>
  <si>
    <t>D001227673</t>
  </si>
  <si>
    <t>ENTRADA POR GANANCIA EN LA ORDEN COMO DROPSHIPPER: 4137580* GUIA: *D001227673*</t>
  </si>
  <si>
    <t>D001227680</t>
  </si>
  <si>
    <t>ENTRADA POR GANANCIA EN LA ORDEN COMO DROPSHIPPER: 4137451* GUIA: *D001227680*</t>
  </si>
  <si>
    <t>D001227687</t>
  </si>
  <si>
    <t>ENTRADA POR GANANCIA EN LA ORDEN COMO DROPSHIPPER: 4136718* GUIA: *D001227687*</t>
  </si>
  <si>
    <t>D001230385</t>
  </si>
  <si>
    <t>ENTRADA POR GANANCIA EN LA ORDEN COMO DROPSHIPPER: 4131401* GUIA: *D001230385*</t>
  </si>
  <si>
    <t>D001230390</t>
  </si>
  <si>
    <t>ENTRADA POR GANANCIA EN LA ORDEN COMO DROPSHIPPER: 4129426* GUIA: *D001230390*</t>
  </si>
  <si>
    <t>D001230393</t>
  </si>
  <si>
    <t>ENTRADA POR GANANCIA EN LA ORDEN COMO DROPSHIPPER: 4128894* GUIA: *D001230393*</t>
  </si>
  <si>
    <t>D001219433</t>
  </si>
  <si>
    <t>ENTRADA POR GANANCIA EN LA ORDEN COMO DROPSHIPPER: 4126582* GUIA: *D001219433*</t>
  </si>
  <si>
    <t>D001219465</t>
  </si>
  <si>
    <t>ENTRADA POR GANANCIA EN LA ORDEN COMO DROPSHIPPER: 4125528* GUIA: *D001219465*</t>
  </si>
  <si>
    <t>D001223032</t>
  </si>
  <si>
    <t>ENTRADA POR GANANCIA EN LA ORDEN COMO DROPSHIPPER: 4125246* GUIA: *D001223032*</t>
  </si>
  <si>
    <t>D001218313</t>
  </si>
  <si>
    <t>ENTRADA POR GANANCIA EN LA ORDEN COMO DROPSHIPPER: 4122164* GUIA: *D001218313*</t>
  </si>
  <si>
    <t>22-01-2026 00:38</t>
  </si>
  <si>
    <t>D001218374</t>
  </si>
  <si>
    <t>ENTRADA POR GANANCIA EN LA ORDEN COMO DROPSHIPPER: 4109818* GUIA: *D001218374*</t>
  </si>
  <si>
    <t>D001230397</t>
  </si>
  <si>
    <t>ENTRADA POR GANANCIA EN LA ORDEN COMO DROPSHIPPER: 4104064* GUIA: *D001230397*</t>
  </si>
  <si>
    <t>D001223122</t>
  </si>
  <si>
    <t>ENTRADA POR GANANCIA EN LA ORDEN COMO DROPSHIPPER: 4102279* GUIA: *D001223122*</t>
  </si>
  <si>
    <t>D001223125</t>
  </si>
  <si>
    <t>ENTRADA POR GANANCIA EN LA ORDEN COMO DROPSHIPPER: 4101643* GUIA: *D001223125*</t>
  </si>
  <si>
    <t>D001223181</t>
  </si>
  <si>
    <t>ENTRADA POR GANANCIA EN LA ORDEN COMO DROPSHIPPER: 4098082* GUIA: *D001223181*</t>
  </si>
  <si>
    <t>ENTRADA POR GANANCIA EN LA ORDEN COMO DROPSHIPPER: 4097456* GUIA: *186973354*</t>
  </si>
  <si>
    <t>D001230402</t>
  </si>
  <si>
    <t>ENTRADA POR GANANCIA EN LA ORDEN COMO DROPSHIPPER: 4096889* GUIA: *D001230402*</t>
  </si>
  <si>
    <t>D001223260</t>
  </si>
  <si>
    <t>ENTRADA POR GANANCIA EN LA ORDEN COMO DROPSHIPPER: 4093391* GUIA: *D001223260*</t>
  </si>
  <si>
    <t>D001220638</t>
  </si>
  <si>
    <t>ENTRADA POR GANANCIA EN LA ORDEN COMO DROPSHIPPER: 4090524* GUIA: *D001220638*</t>
  </si>
  <si>
    <t>ENTRADA POR GANANCIA EN LA ORDEN COMO DROPSHIPPER: 4080812* GUIA: *186973370*</t>
  </si>
  <si>
    <t>ENTRADA POR GANANCIA EN LA ORDEN COMO DROPSHIPPER: 3971228* GUIA: *186943182*</t>
  </si>
  <si>
    <t>21-01-2026 03:03</t>
  </si>
  <si>
    <t>D001215519</t>
  </si>
  <si>
    <t>SALIDA DE COBRO DE DEVOLUCIÓN POR ENTREGA NO EFECTIVA: 4101508</t>
  </si>
  <si>
    <t>21-01-2026 01:33</t>
  </si>
  <si>
    <t>D001201085</t>
  </si>
  <si>
    <t>SALIDA DE COBRO DE DEVOLUCIÓN POR ENTREGA NO EFECTIVA: 4058295</t>
  </si>
  <si>
    <t>D001204691</t>
  </si>
  <si>
    <t>SALIDA DE COBRO DE DEVOLUCIÓN POR ENTREGA NO EFECTIVA: 4068625</t>
  </si>
  <si>
    <t>D001204686</t>
  </si>
  <si>
    <t>SALIDA DE COBRO DE DEVOLUCIÓN POR ENTREGA NO EFECTIVA: 4075411</t>
  </si>
  <si>
    <t>D001204687</t>
  </si>
  <si>
    <t>SALIDA DE COBRO DE DEVOLUCIÓN POR ENTREGA NO EFECTIVA: 4075065</t>
  </si>
  <si>
    <t>D001218325</t>
  </si>
  <si>
    <t>SALIDA DE COBRO DE DEVOLUCIÓN POR ENTREGA NO EFECTIVA: 4120624</t>
  </si>
  <si>
    <t>D001204837</t>
  </si>
  <si>
    <t>SALIDA DE COBRO DE DEVOLUCIÓN POR ENTREGA NO EFECTIVA: 4058578</t>
  </si>
  <si>
    <t>D001201086</t>
  </si>
  <si>
    <t>SALIDA DE COBRO DE DEVOLUCIÓN POR ENTREGA NO EFECTIVA: 4056866</t>
  </si>
  <si>
    <t>21-01-2026 01:31</t>
  </si>
  <si>
    <t>D001201090</t>
  </si>
  <si>
    <t>SALIDA DE COBRO DE DEVOLUCIÓN POR ENTREGA NO EFECTIVA: 4054620</t>
  </si>
  <si>
    <t>21-01-2026 01:11</t>
  </si>
  <si>
    <t>SALIDA POR COBRO DE FLETE INICIAL: 3944406</t>
  </si>
  <si>
    <t>SALIDA POR COBRO DE FLETE INICIAL: 3945785</t>
  </si>
  <si>
    <t>21-01-2026 01:07</t>
  </si>
  <si>
    <t>SALIDA POR COBRO DE FLETE INICIAL: 4111351</t>
  </si>
  <si>
    <t>21-01-2026 01:06</t>
  </si>
  <si>
    <t>SALIDA POR COBRO DE FLETE INICIAL: 3949447</t>
  </si>
  <si>
    <t>21-01-2026 01:03</t>
  </si>
  <si>
    <t>SALIDA POR COBRO DE FLETE INICIAL: 3988218</t>
  </si>
  <si>
    <t>21-01-2026 00:41</t>
  </si>
  <si>
    <t>D001234304</t>
  </si>
  <si>
    <t>ENTRADA POR GANANCIA EN LA ORDEN COMO DROPSHIPPER: 4166122* GUIA: *D001234304*</t>
  </si>
  <si>
    <t>ENTRADA POR GANANCIA EN LA ORDEN COMO DROPSHIPPER: 4165894* GUIA: *186487425*</t>
  </si>
  <si>
    <t>D001238367</t>
  </si>
  <si>
    <t>ENTRADA POR GANANCIA EN LA ORDEN COMO DROPSHIPPER: 4161719* GUIA: *D001238367*</t>
  </si>
  <si>
    <t>21-01-2026 00:40</t>
  </si>
  <si>
    <t>ENTRADA POR GANANCIA EN LA ORDEN COMO DROPSHIPPER: 4155975* GUIA: *186487430*</t>
  </si>
  <si>
    <t>D001233731</t>
  </si>
  <si>
    <t>ENTRADA POR GANANCIA EN LA ORDEN COMO DROPSHIPPER: 4152490* GUIA: *D001233731*</t>
  </si>
  <si>
    <t>D001233735</t>
  </si>
  <si>
    <t>ENTRADA POR GANANCIA EN LA ORDEN COMO DROPSHIPPER: 4152256* GUIA: *D001233735*</t>
  </si>
  <si>
    <t>D001231925</t>
  </si>
  <si>
    <t>ENTRADA POR GANANCIA EN LA ORDEN COMO DROPSHIPPER: 4150204* GUIA: *D001231925*</t>
  </si>
  <si>
    <t>21-01-2026 00:39</t>
  </si>
  <si>
    <t>D001231766</t>
  </si>
  <si>
    <t>ENTRADA POR GANANCIA EN LA ORDEN COMO DROPSHIPPER: 4138443* GUIA: *D001231766*</t>
  </si>
  <si>
    <t>ENTRADA POR GANANCIA EN LA ORDEN COMO DROPSHIPPER: 4132318* GUIA: *186973340*</t>
  </si>
  <si>
    <t>D001224255</t>
  </si>
  <si>
    <t>ENTRADA POR GANANCIA EN LA ORDEN COMO DROPSHIPPER: 4123998* GUIA: *D001224255*</t>
  </si>
  <si>
    <t>ENTRADA POR GANANCIA EN LA ORDEN COMO DROPSHIPPER: 4123883* GUIA: *186973374*</t>
  </si>
  <si>
    <t>D001218352</t>
  </si>
  <si>
    <t>ENTRADA POR GANANCIA EN LA ORDEN COMO DROPSHIPPER: 4112931* GUIA: *D001218352*</t>
  </si>
  <si>
    <t>21-01-2026 00:38</t>
  </si>
  <si>
    <t>D001218397</t>
  </si>
  <si>
    <t>ENTRADA POR GANANCIA EN LA ORDEN COMO DROPSHIPPER: 4106161* GUIA: *D001218397*</t>
  </si>
  <si>
    <t>D001218400</t>
  </si>
  <si>
    <t>ENTRADA POR GANANCIA EN LA ORDEN COMO DROPSHIPPER: 4105575* GUIA: *D001218400*</t>
  </si>
  <si>
    <t>D001230400</t>
  </si>
  <si>
    <t>ENTRADA POR GANANCIA EN LA ORDEN COMO DROPSHIPPER: 4102546* GUIA: *D001230400*</t>
  </si>
  <si>
    <t>D001223130</t>
  </si>
  <si>
    <t>ENTRADA POR GANANCIA EN LA ORDEN COMO DROPSHIPPER: 4101053* GUIA: *D001223130*</t>
  </si>
  <si>
    <t>D001223223</t>
  </si>
  <si>
    <t>ENTRADA POR GANANCIA EN LA ORDEN COMO DROPSHIPPER: 4096796* GUIA: *D001223223*</t>
  </si>
  <si>
    <t>D001223292</t>
  </si>
  <si>
    <t>ENTRADA POR GANANCIA EN LA ORDEN COMO DROPSHIPPER: 4091574* GUIA: *D001223292*</t>
  </si>
  <si>
    <t>D001218410</t>
  </si>
  <si>
    <t>ENTRADA POR GANANCIA EN LA ORDEN COMO DROPSHIPPER: 4090150* GUIA: *D001218410*</t>
  </si>
  <si>
    <t>D001232280</t>
  </si>
  <si>
    <t>ENTRADA POR GANANCIA EN LA ORDEN COMO DROPSHIPPER: 4080919* GUIA: *D001232280*</t>
  </si>
  <si>
    <t>20-01-2026 00:40</t>
  </si>
  <si>
    <t>D001233728</t>
  </si>
  <si>
    <t>ENTRADA POR GANANCIA EN LA ORDEN COMO DROPSHIPPER: 4153819* GUIA: *D001233728*</t>
  </si>
  <si>
    <t>ENTRADA POR GANANCIA EN LA ORDEN COMO DROPSHIPPER: 4152287* GUIA: *186986103*</t>
  </si>
  <si>
    <t>ENTRADA POR GANANCIA EN LA ORDEN COMO DROPSHIPPER: 4152179* GUIA: *186988783*</t>
  </si>
  <si>
    <t>D001233741</t>
  </si>
  <si>
    <t>ENTRADA POR GANANCIA EN LA ORDEN COMO DROPSHIPPER: 4152084* GUIA: *D001233741*</t>
  </si>
  <si>
    <t>ENTRADA POR GANANCIA EN LA ORDEN COMO DROPSHIPPER: 4151375* GUIA: *186988724*</t>
  </si>
  <si>
    <t>ENTRADA POR GANANCIA EN LA ORDEN COMO DROPSHIPPER: 4145960* GUIA: *186986105*</t>
  </si>
  <si>
    <t>20-01-2026 00:39</t>
  </si>
  <si>
    <t>D001231748</t>
  </si>
  <si>
    <t>ENTRADA POR GANANCIA EN LA ORDEN COMO DROPSHIPPER: 4144076* GUIA: *D001231748*</t>
  </si>
  <si>
    <t>D001231749</t>
  </si>
  <si>
    <t>ENTRADA POR GANANCIA EN LA ORDEN COMO DROPSHIPPER: 4143861* GUIA: *D001231749*</t>
  </si>
  <si>
    <t>D001231750</t>
  </si>
  <si>
    <t>ENTRADA POR GANANCIA EN LA ORDEN COMO DROPSHIPPER: 4142850* GUIA: *D001231750*</t>
  </si>
  <si>
    <t>D001231751</t>
  </si>
  <si>
    <t>ENTRADA POR GANANCIA EN LA ORDEN COMO DROPSHIPPER: 4142773* GUIA: *D001231751*</t>
  </si>
  <si>
    <t>V4002133317</t>
  </si>
  <si>
    <t>ENTRADA POR GANANCIA EN LA ORDEN COMO DROPSHIPPER: 4142281* GUIA: *V4002133317*</t>
  </si>
  <si>
    <t>D001231755</t>
  </si>
  <si>
    <t>ENTRADA POR GANANCIA EN LA ORDEN COMO DROPSHIPPER: 4141549* GUIA: *D001231755*</t>
  </si>
  <si>
    <t>D001231757</t>
  </si>
  <si>
    <t>ENTRADA POR GANANCIA EN LA ORDEN COMO DROPSHIPPER: 4141324* GUIA: *D001231757*</t>
  </si>
  <si>
    <t>D001231759</t>
  </si>
  <si>
    <t>ENTRADA POR GANANCIA EN LA ORDEN COMO DROPSHIPPER: 4141110* GUIA: *D001231759*</t>
  </si>
  <si>
    <t>ENTRADA POR GANANCIA EN LA ORDEN COMO DROPSHIPPER: 4124567* GUIA: *186966843*</t>
  </si>
  <si>
    <t>ENTRADA POR GANANCIA EN LA ORDEN COMO DROPSHIPPER: 4118141* GUIA: *186964433*</t>
  </si>
  <si>
    <t>ENTRADA POR GANANCIA EN LA ORDEN COMO DROPSHIPPER: 4117132* GUIA: *186969379*</t>
  </si>
  <si>
    <t>ENTRADA POR GANANCIA EN LA ORDEN COMO DROPSHIPPER: 4114647* GUIA: *186966909*</t>
  </si>
  <si>
    <t>20-01-2026 00:38</t>
  </si>
  <si>
    <t>D001223110</t>
  </si>
  <si>
    <t>ENTRADA POR GANANCIA EN LA ORDEN COMO DROPSHIPPER: 4103968* GUIA: *D001223110*</t>
  </si>
  <si>
    <t>ENTRADA POR GANANCIA EN LA ORDEN COMO DROPSHIPPER: 4072980* GUIA: *186947291*</t>
  </si>
  <si>
    <t>ENTRADA POR GANANCIA EN LA ORDEN COMO DROPSHIPPER: 4067264* GUIA: *186948120*</t>
  </si>
  <si>
    <t>19-01-2026 11:30</t>
  </si>
  <si>
    <t>19-01-2026 03:06</t>
  </si>
  <si>
    <t>D001204684</t>
  </si>
  <si>
    <t>SALIDA DE COBRO DE DEVOLUCIÓN POR ENTREGA NO EFECTIVA: 4075460</t>
  </si>
  <si>
    <t>19-01-2026 03:05</t>
  </si>
  <si>
    <t>D001201103</t>
  </si>
  <si>
    <t>SALIDA DE COBRO DE DEVOLUCIÓN POR ENTREGA NO EFECTIVA: 4032097</t>
  </si>
  <si>
    <t>19-01-2026 03:04</t>
  </si>
  <si>
    <t>D001201096</t>
  </si>
  <si>
    <t>SALIDA DE COBRO DE DEVOLUCIÓN POR ENTREGA NO EFECTIVA: 4054021</t>
  </si>
  <si>
    <t>19-01-2026 03:03</t>
  </si>
  <si>
    <t>D001199221</t>
  </si>
  <si>
    <t>SALIDA DE COBRO DE DEVOLUCIÓN POR ENTREGA NO EFECTIVA: 4053649</t>
  </si>
  <si>
    <t>D001199210</t>
  </si>
  <si>
    <t>SALIDA DE COBRO DE DEVOLUCIÓN POR ENTREGA NO EFECTIVA: 4055672</t>
  </si>
  <si>
    <t>19-01-2026 03:02</t>
  </si>
  <si>
    <t>D001195814</t>
  </si>
  <si>
    <t>SALIDA DE COBRO DE DEVOLUCIÓN POR ENTREGA NO EFECTIVA: 4037533</t>
  </si>
  <si>
    <t>19-01-2026 00:38</t>
  </si>
  <si>
    <t>D001227649</t>
  </si>
  <si>
    <t>ENTRADA POR GANANCIA EN LA ORDEN COMO DROPSHIPPER: 4143923* GUIA: *D001227649*</t>
  </si>
  <si>
    <t>D001220166</t>
  </si>
  <si>
    <t>ENTRADA POR GANANCIA EN LA ORDEN COMO DROPSHIPPER: 4089899* GUIA: *D001220166*</t>
  </si>
  <si>
    <t>18-01-2026 03:07</t>
  </si>
  <si>
    <t>D001197678</t>
  </si>
  <si>
    <t>SALIDA DE COBRO DE DEVOLUCIÓN POR ENTREGA NO EFECTIVA: 4038499</t>
  </si>
  <si>
    <t>18-01-2026 03:05</t>
  </si>
  <si>
    <t>D001195833</t>
  </si>
  <si>
    <t>SALIDA DE COBRO DE DEVOLUCIÓN POR ENTREGA NO EFECTIVA: 4033377</t>
  </si>
  <si>
    <t>D001195822</t>
  </si>
  <si>
    <t>SALIDA DE COBRO DE DEVOLUCIÓN POR ENTREGA NO EFECTIVA: 4020519</t>
  </si>
  <si>
    <t>18-01-2026 00:40</t>
  </si>
  <si>
    <t>ENTRADA POR GANANCIA EN LA ORDEN COMO DROPSHIPPER: 4139881* GUIA: *186980627*</t>
  </si>
  <si>
    <t>D001227676</t>
  </si>
  <si>
    <t>ENTRADA POR GANANCIA EN LA ORDEN COMO DROPSHIPPER: 4137526* GUIA: *D001227676*</t>
  </si>
  <si>
    <t>18-01-2026 00:39</t>
  </si>
  <si>
    <t>D001230388</t>
  </si>
  <si>
    <t>ENTRADA POR GANANCIA EN LA ORDEN COMO DROPSHIPPER: 4131234* GUIA: *D001230388*</t>
  </si>
  <si>
    <t>D001218284</t>
  </si>
  <si>
    <t>ENTRADA POR GANANCIA EN LA ORDEN COMO DROPSHIPPER: 4127239* GUIA: *D001218284*</t>
  </si>
  <si>
    <t>D001218334</t>
  </si>
  <si>
    <t>ENTRADA POR GANANCIA EN LA ORDEN COMO DROPSHIPPER: 4117622* GUIA: *D001218334*</t>
  </si>
  <si>
    <t>D001218339</t>
  </si>
  <si>
    <t>ENTRADA POR GANANCIA EN LA ORDEN COMO DROPSHIPPER: 4116004* GUIA: *D001218339*</t>
  </si>
  <si>
    <t>18-01-2026 00:38</t>
  </si>
  <si>
    <t>D001223107</t>
  </si>
  <si>
    <t>ENTRADA POR GANANCIA EN LA ORDEN COMO DROPSHIPPER: 4104170* GUIA: *D001223107*</t>
  </si>
  <si>
    <t>D001224311</t>
  </si>
  <si>
    <t>ENTRADA POR GANANCIA EN LA ORDEN COMO DROPSHIPPER: 4103079* GUIA: *D001224311*</t>
  </si>
  <si>
    <t>D001223131</t>
  </si>
  <si>
    <t>ENTRADA POR GANANCIA EN LA ORDEN COMO DROPSHIPPER: 4101442* GUIA: *D001223131*</t>
  </si>
  <si>
    <t>D001223134</t>
  </si>
  <si>
    <t>ENTRADA POR GANANCIA EN LA ORDEN COMO DROPSHIPPER: 4100950* GUIA: *D001223134*</t>
  </si>
  <si>
    <t>D001223138</t>
  </si>
  <si>
    <t>ENTRADA POR GANANCIA EN LA ORDEN COMO DROPSHIPPER: 4100839* GUIA: *D001223138*</t>
  </si>
  <si>
    <t>D001223193</t>
  </si>
  <si>
    <t>ENTRADA POR GANANCIA EN LA ORDEN COMO DROPSHIPPER: 4097628* GUIA: *D001223193*</t>
  </si>
  <si>
    <t>D001223209</t>
  </si>
  <si>
    <t>ENTRADA POR GANANCIA EN LA ORDEN COMO DROPSHIPPER: 4097092* GUIA: *D001223209*</t>
  </si>
  <si>
    <t>D001223250</t>
  </si>
  <si>
    <t>ENTRADA POR GANANCIA EN LA ORDEN COMO DROPSHIPPER: 4094385* GUIA: *D001223250*</t>
  </si>
  <si>
    <t>D001220635</t>
  </si>
  <si>
    <t>ENTRADA POR GANANCIA EN LA ORDEN COMO DROPSHIPPER: 4091448* GUIA: *D001220635*</t>
  </si>
  <si>
    <t>ENTRADA POR GANANCIA EN LA ORDEN COMO DROPSHIPPER: 4091206* GUIA: *186966932*</t>
  </si>
  <si>
    <t>17-01-2026 12:51</t>
  </si>
  <si>
    <t>V4001891448</t>
  </si>
  <si>
    <t>SALIDA POR COBRO DE FULFILLMENT POR ENTREGA NO EFECTIVA: 3653452</t>
  </si>
  <si>
    <t>SALIDA DE COBRO DE DEVOLUCIÓN POR ENTREGA NO EFECTIVA: 3653452</t>
  </si>
  <si>
    <t>V4001992825</t>
  </si>
  <si>
    <t>SALIDA POR COBRO DE FULFILLMENT POR ENTREGA NO EFECTIVA: 3827086</t>
  </si>
  <si>
    <t>SALIDA DE COBRO DE DEVOLUCIÓN POR ENTREGA NO EFECTIVA: 3827086</t>
  </si>
  <si>
    <t>17-01-2026 03:09</t>
  </si>
  <si>
    <t>D001194572</t>
  </si>
  <si>
    <t>SALIDA DE COBRO DE DEVOLUCIÓN POR ENTREGA NO EFECTIVA: 4026059</t>
  </si>
  <si>
    <t>17-01-2026 03:00</t>
  </si>
  <si>
    <t>D001177706</t>
  </si>
  <si>
    <t>SALIDA DE COBRO DE DEVOLUCIÓN POR ENTREGA NO EFECTIVA: 3946502</t>
  </si>
  <si>
    <t>17-01-2026 00:43</t>
  </si>
  <si>
    <t>D001222895</t>
  </si>
  <si>
    <t>ENTRADA POR GANANCIA EN LA ORDEN COMO DROPSHIPPER: 4141346* GUIA: *D001222895*</t>
  </si>
  <si>
    <t>17-01-2026 00:42</t>
  </si>
  <si>
    <t>D001224152</t>
  </si>
  <si>
    <t>ENTRADA POR GANANCIA EN LA ORDEN COMO DROPSHIPPER: 4132419* GUIA: *D001224152*</t>
  </si>
  <si>
    <t>ENTRADA POR GANANCIA EN LA ORDEN COMO DROPSHIPPER: 4130488* GUIA: *186975384*</t>
  </si>
  <si>
    <t>D001224262</t>
  </si>
  <si>
    <t>ENTRADA POR GANANCIA EN LA ORDEN COMO DROPSHIPPER: 4130118* GUIA: *D001224262*</t>
  </si>
  <si>
    <t>D001222983</t>
  </si>
  <si>
    <t>ENTRADA POR GANANCIA EN LA ORDEN COMO DROPSHIPPER: 4129796* GUIA: *D001222983*</t>
  </si>
  <si>
    <t>17-01-2026 00:41</t>
  </si>
  <si>
    <t>D001224226</t>
  </si>
  <si>
    <t>ENTRADA POR GANANCIA EN LA ORDEN COMO DROPSHIPPER: 4128642* GUIA: *D001224226*</t>
  </si>
  <si>
    <t>ENTRADA POR GANANCIA EN LA ORDEN COMO DROPSHIPPER: 4128310* GUIA: *186974741*</t>
  </si>
  <si>
    <t>ENTRADA POR GANANCIA EN LA ORDEN COMO DROPSHIPPER: 4128187* GUIA: *186973345*</t>
  </si>
  <si>
    <t>D001222989</t>
  </si>
  <si>
    <t>ENTRADA POR GANANCIA EN LA ORDEN COMO DROPSHIPPER: 4128050* GUIA: *D001222989*</t>
  </si>
  <si>
    <t>D001224237</t>
  </si>
  <si>
    <t>ENTRADA POR GANANCIA EN LA ORDEN COMO DROPSHIPPER: 4127217* GUIA: *D001224237*</t>
  </si>
  <si>
    <t>D001223016</t>
  </si>
  <si>
    <t>ENTRADA POR GANANCIA EN LA ORDEN COMO DROPSHIPPER: 4126396* GUIA: *D001223016*</t>
  </si>
  <si>
    <t>D001223031</t>
  </si>
  <si>
    <t>ENTRADA POR GANANCIA EN LA ORDEN COMO DROPSHIPPER: 4125302* GUIA: *D001223031*</t>
  </si>
  <si>
    <t>D001224249</t>
  </si>
  <si>
    <t>ENTRADA POR GANANCIA EN LA ORDEN COMO DROPSHIPPER: 4125178* GUIA: *D001224249*</t>
  </si>
  <si>
    <t>D001224250</t>
  </si>
  <si>
    <t>ENTRADA POR GANANCIA EN LA ORDEN COMO DROPSHIPPER: 4125172* GUIA: *D001224250*</t>
  </si>
  <si>
    <t>D001224256</t>
  </si>
  <si>
    <t>ENTRADA POR GANANCIA EN LA ORDEN COMO DROPSHIPPER: 4123784* GUIA: *D001224256*</t>
  </si>
  <si>
    <t>D001224258</t>
  </si>
  <si>
    <t>ENTRADA POR GANANCIA EN LA ORDEN COMO DROPSHIPPER: 4122861* GUIA: *D001224258*</t>
  </si>
  <si>
    <t>ENTRADA POR GANANCIA EN LA ORDEN COMO DROPSHIPPER: 4122686* GUIA: *186966862*</t>
  </si>
  <si>
    <t>D001218318</t>
  </si>
  <si>
    <t>ENTRADA POR GANANCIA EN LA ORDEN COMO DROPSHIPPER: 4121695* GUIA: *D001218318*</t>
  </si>
  <si>
    <t>D001218333</t>
  </si>
  <si>
    <t>ENTRADA POR GANANCIA EN LA ORDEN COMO DROPSHIPPER: 4118671* GUIA: *D001218333*</t>
  </si>
  <si>
    <t>D001223061</t>
  </si>
  <si>
    <t>ENTRADA POR GANANCIA EN LA ORDEN COMO DROPSHIPPER: 4118592* GUIA: *D001223061*</t>
  </si>
  <si>
    <t>D001219545</t>
  </si>
  <si>
    <t>ENTRADA POR GANANCIA EN LA ORDEN COMO DROPSHIPPER: 4118444* GUIA: *D001219545*</t>
  </si>
  <si>
    <t>17-01-2026 00:40</t>
  </si>
  <si>
    <t>ENTRADA POR GANANCIA EN LA ORDEN COMO DROPSHIPPER: 4116867* GUIA: *186969381*</t>
  </si>
  <si>
    <t>D001219581</t>
  </si>
  <si>
    <t>ENTRADA POR GANANCIA EN LA ORDEN COMO DROPSHIPPER: 4116210* GUIA: *D001219581*</t>
  </si>
  <si>
    <t>D001218346</t>
  </si>
  <si>
    <t>ENTRADA POR GANANCIA EN LA ORDEN COMO DROPSHIPPER: 4113906* GUIA: *D001218346*</t>
  </si>
  <si>
    <t>D001218354</t>
  </si>
  <si>
    <t>ENTRADA POR GANANCIA EN LA ORDEN COMO DROPSHIPPER: 4112473* GUIA: *D001218354*</t>
  </si>
  <si>
    <t>D001218363</t>
  </si>
  <si>
    <t>ENTRADA POR GANANCIA EN LA ORDEN COMO DROPSHIPPER: 4112045* GUIA: *D001218363*</t>
  </si>
  <si>
    <t>D001218377</t>
  </si>
  <si>
    <t>ENTRADA POR GANANCIA EN LA ORDEN COMO DROPSHIPPER: 4109667* GUIA: *D001218377*</t>
  </si>
  <si>
    <t>D001218379</t>
  </si>
  <si>
    <t>ENTRADA POR GANANCIA EN LA ORDEN COMO DROPSHIPPER: 4109419* GUIA: *D001218379*</t>
  </si>
  <si>
    <t>D001218382</t>
  </si>
  <si>
    <t>ENTRADA POR GANANCIA EN LA ORDEN COMO DROPSHIPPER: 4108960* GUIA: *D001218382*</t>
  </si>
  <si>
    <t>ENTRADA POR GANANCIA EN LA ORDEN COMO DROPSHIPPER: 4108668* GUIA: *186966929*</t>
  </si>
  <si>
    <t>D001218383</t>
  </si>
  <si>
    <t>ENTRADA POR GANANCIA EN LA ORDEN COMO DROPSHIPPER: 4108600* GUIA: *D001218383*</t>
  </si>
  <si>
    <t>D001218399</t>
  </si>
  <si>
    <t>ENTRADA POR GANANCIA EN LA ORDEN COMO DROPSHIPPER: 4105728* GUIA: *D001218399*</t>
  </si>
  <si>
    <t>D001223116</t>
  </si>
  <si>
    <t>ENTRADA POR GANANCIA EN LA ORDEN COMO DROPSHIPPER: 4103920* GUIA: *D001223116*</t>
  </si>
  <si>
    <t>D001224309</t>
  </si>
  <si>
    <t>ENTRADA POR GANANCIA EN LA ORDEN COMO DROPSHIPPER: 4103356* GUIA: *D001224309*</t>
  </si>
  <si>
    <t>D001224310</t>
  </si>
  <si>
    <t>ENTRADA POR GANANCIA EN LA ORDEN COMO DROPSHIPPER: 4103105* GUIA: *D001224310*</t>
  </si>
  <si>
    <t>D001223139</t>
  </si>
  <si>
    <t>ENTRADA POR GANANCIA EN LA ORDEN COMO DROPSHIPPER: 4100663* GUIA: *D001223139*</t>
  </si>
  <si>
    <t>17-01-2026 00:39</t>
  </si>
  <si>
    <t>D001223158</t>
  </si>
  <si>
    <t>ENTRADA POR GANANCIA EN LA ORDEN COMO DROPSHIPPER: 4098868* GUIA: *D001223158*</t>
  </si>
  <si>
    <t>D001223172</t>
  </si>
  <si>
    <t>ENTRADA POR GANANCIA EN LA ORDEN COMO DROPSHIPPER: 4098374* GUIA: *D001223172*</t>
  </si>
  <si>
    <t>D001223177</t>
  </si>
  <si>
    <t>ENTRADA POR GANANCIA EN LA ORDEN COMO DROPSHIPPER: 4098370* GUIA: *D001223177*</t>
  </si>
  <si>
    <t>ENTRADA POR GANANCIA EN LA ORDEN COMO DROPSHIPPER: 4097562* GUIA: *186973352*</t>
  </si>
  <si>
    <t>D001215544</t>
  </si>
  <si>
    <t>ENTRADA POR GANANCIA EN LA ORDEN COMO DROPSHIPPER: 4097492* GUIA: *D001215544*</t>
  </si>
  <si>
    <t>D001223200</t>
  </si>
  <si>
    <t>ENTRADA POR GANANCIA EN LA ORDEN COMO DROPSHIPPER: 4097316* GUIA: *D001223200*</t>
  </si>
  <si>
    <t>D001223203</t>
  </si>
  <si>
    <t>ENTRADA POR GANANCIA EN LA ORDEN COMO DROPSHIPPER: 4097126* GUIA: *D001223203*</t>
  </si>
  <si>
    <t>D001223212</t>
  </si>
  <si>
    <t>ENTRADA POR GANANCIA EN LA ORDEN COMO DROPSHIPPER: 4097030* GUIA: *D001223212*</t>
  </si>
  <si>
    <t>D001226767</t>
  </si>
  <si>
    <t>ENTRADA POR GANANCIA EN LA ORDEN COMO DROPSHIPPER: 4096925* GUIA: *D001226767*</t>
  </si>
  <si>
    <t>D001223217</t>
  </si>
  <si>
    <t>ENTRADA POR GANANCIA EN LA ORDEN COMO DROPSHIPPER: 4096859* GUIA: *D001223217*</t>
  </si>
  <si>
    <t>D001223240</t>
  </si>
  <si>
    <t>ENTRADA POR GANANCIA EN LA ORDEN COMO DROPSHIPPER: 4095486* GUIA: *D001223240*</t>
  </si>
  <si>
    <t>D001223245</t>
  </si>
  <si>
    <t>ENTRADA POR GANANCIA EN LA ORDEN COMO DROPSHIPPER: 4094689* GUIA: *D001223245*</t>
  </si>
  <si>
    <t>D001223266</t>
  </si>
  <si>
    <t>ENTRADA POR GANANCIA EN LA ORDEN COMO DROPSHIPPER: 4093223* GUIA: *D001223266*</t>
  </si>
  <si>
    <t>ENTRADA POR GANANCIA EN LA ORDEN COMO DROPSHIPPER: 4092536* GUIA: *186973364*</t>
  </si>
  <si>
    <t>ENTRADA POR GANANCIA EN LA ORDEN COMO DROPSHIPPER: 4092499* GUIA: *186973366*</t>
  </si>
  <si>
    <t>D001223272</t>
  </si>
  <si>
    <t>ENTRADA POR GANANCIA EN LA ORDEN COMO DROPSHIPPER: 4092436* GUIA: *D001223272*</t>
  </si>
  <si>
    <t>ENTRADA POR GANANCIA EN LA ORDEN COMO DROPSHIPPER: 4092251* GUIA: *186973368*</t>
  </si>
  <si>
    <t>D001223281</t>
  </si>
  <si>
    <t>ENTRADA POR GANANCIA EN LA ORDEN COMO DROPSHIPPER: 4091919* GUIA: *D001223281*</t>
  </si>
  <si>
    <t>D001223285</t>
  </si>
  <si>
    <t>ENTRADA POR GANANCIA EN LA ORDEN COMO DROPSHIPPER: 4091664* GUIA: *D001223285*</t>
  </si>
  <si>
    <t>D001223289</t>
  </si>
  <si>
    <t>ENTRADA POR GANANCIA EN LA ORDEN COMO DROPSHIPPER: 4091651* GUIA: *D001223289*</t>
  </si>
  <si>
    <t>D001223295</t>
  </si>
  <si>
    <t>ENTRADA POR GANANCIA EN LA ORDEN COMO DROPSHIPPER: 4091264* GUIA: *D001223295*</t>
  </si>
  <si>
    <t>D001220636</t>
  </si>
  <si>
    <t>ENTRADA POR GANANCIA EN LA ORDEN COMO DROPSHIPPER: 4091130* GUIA: *D001220636*</t>
  </si>
  <si>
    <t>D001220641</t>
  </si>
  <si>
    <t>ENTRADA POR GANANCIA EN LA ORDEN COMO DROPSHIPPER: 4090291* GUIA: *D001220641*</t>
  </si>
  <si>
    <t>17-01-2026 00:38</t>
  </si>
  <si>
    <t>ENTRADA POR GANANCIA EN LA ORDEN COMO DROPSHIPPER: 4066961* GUIA: *186944684*</t>
  </si>
  <si>
    <t>ENTRADA POR GANANCIA EN LA ORDEN COMO DROPSHIPPER: 3944022* GUIA: *186896239*</t>
  </si>
  <si>
    <t>16-01-2026 08:44</t>
  </si>
  <si>
    <t>16-01-2026 03:05</t>
  </si>
  <si>
    <t>D001188034</t>
  </si>
  <si>
    <t>SALIDA DE COBRO DE DEVOLUCIÓN POR ENTREGA NO EFECTIVA: 3971381</t>
  </si>
  <si>
    <t>D001187970</t>
  </si>
  <si>
    <t>SALIDA DE COBRO DE DEVOLUCIÓN POR ENTREGA NO EFECTIVA: 3972266</t>
  </si>
  <si>
    <t>D001187879</t>
  </si>
  <si>
    <t>SALIDA DE COBRO DE DEVOLUCIÓN POR ENTREGA NO EFECTIVA: 3985845</t>
  </si>
  <si>
    <t>D001187876</t>
  </si>
  <si>
    <t>SALIDA DE COBRO DE DEVOLUCIÓN POR ENTREGA NO EFECTIVA: 3986016</t>
  </si>
  <si>
    <t>D001187865</t>
  </si>
  <si>
    <t>SALIDA DE COBRO DE DEVOLUCIÓN POR ENTREGA NO EFECTIVA: 3990636</t>
  </si>
  <si>
    <t>D001187729</t>
  </si>
  <si>
    <t>SALIDA DE COBRO DE DEVOLUCIÓN POR ENTREGA NO EFECTIVA: 3990674</t>
  </si>
  <si>
    <t>D001187727</t>
  </si>
  <si>
    <t>SALIDA DE COBRO DE DEVOLUCIÓN POR ENTREGA NO EFECTIVA: 3991013</t>
  </si>
  <si>
    <t>D001187716</t>
  </si>
  <si>
    <t>SALIDA DE COBRO DE DEVOLUCIÓN POR ENTREGA NO EFECTIVA: 3991238</t>
  </si>
  <si>
    <t>16-01-2026 03:00</t>
  </si>
  <si>
    <t>D001177717</t>
  </si>
  <si>
    <t>SALIDA DE COBRO DE DEVOLUCIÓN POR ENTREGA NO EFECTIVA: 3944338</t>
  </si>
  <si>
    <t>D001177716</t>
  </si>
  <si>
    <t>SALIDA DE COBRO DE DEVOLUCIÓN POR ENTREGA NO EFECTIVA: 3944685</t>
  </si>
  <si>
    <t>D001177667</t>
  </si>
  <si>
    <t>SALIDA DE COBRO DE DEVOLUCIÓN POR ENTREGA NO EFECTIVA: 3955019</t>
  </si>
  <si>
    <t>D001177650</t>
  </si>
  <si>
    <t>SALIDA DE COBRO DE DEVOLUCIÓN POR ENTREGA NO EFECTIVA: 3955708</t>
  </si>
  <si>
    <t>D001177648</t>
  </si>
  <si>
    <t>SALIDA DE COBRO DE DEVOLUCIÓN POR ENTREGA NO EFECTIVA: 3956370</t>
  </si>
  <si>
    <t>D001177598</t>
  </si>
  <si>
    <t>SALIDA DE COBRO DE DEVOLUCIÓN POR ENTREGA NO EFECTIVA: 3960578</t>
  </si>
  <si>
    <t>D001177588</t>
  </si>
  <si>
    <t>SALIDA DE COBRO DE DEVOLUCIÓN POR ENTREGA NO EFECTIVA: 3962410</t>
  </si>
  <si>
    <t>D001177587</t>
  </si>
  <si>
    <t>SALIDA DE COBRO DE DEVOLUCIÓN POR ENTREGA NO EFECTIVA: 3962534</t>
  </si>
  <si>
    <t>D001177582</t>
  </si>
  <si>
    <t>SALIDA DE COBRO DE DEVOLUCIÓN POR ENTREGA NO EFECTIVA: 3963692</t>
  </si>
  <si>
    <t>D001177568</t>
  </si>
  <si>
    <t>SALIDA DE COBRO DE DEVOLUCIÓN POR ENTREGA NO EFECTIVA: 3966435</t>
  </si>
  <si>
    <t>16-01-2026 00:44</t>
  </si>
  <si>
    <t>ENTRADA POR GANANCIA EN LA ORDEN COMO DROPSHIPPER: 4132012* GUIA: *186973339*</t>
  </si>
  <si>
    <t>D001224224</t>
  </si>
  <si>
    <t>ENTRADA POR GANANCIA EN LA ORDEN COMO DROPSHIPPER: 4129445* GUIA: *D001224224*</t>
  </si>
  <si>
    <t>16-01-2026 00:43</t>
  </si>
  <si>
    <t>D001224225</t>
  </si>
  <si>
    <t>ENTRADA POR GANANCIA EN LA ORDEN COMO DROPSHIPPER: 4128704* GUIA: *D001224225*</t>
  </si>
  <si>
    <t>ENTRADA POR GANANCIA EN LA ORDEN COMO DROPSHIPPER: 4126196* GUIA: *186973347*</t>
  </si>
  <si>
    <t>D001219457</t>
  </si>
  <si>
    <t>ENTRADA POR GANANCIA EN LA ORDEN COMO DROPSHIPPER: 4125966* GUIA: *D001219457*</t>
  </si>
  <si>
    <t>D001224248</t>
  </si>
  <si>
    <t>ENTRADA POR GANANCIA EN LA ORDEN COMO DROPSHIPPER: 4125319* GUIA: *D001224248*</t>
  </si>
  <si>
    <t>D001219477</t>
  </si>
  <si>
    <t>ENTRADA POR GANANCIA EN LA ORDEN COMO DROPSHIPPER: 4125046* GUIA: *D001219477*</t>
  </si>
  <si>
    <t>D001218289</t>
  </si>
  <si>
    <t>ENTRADA POR GANANCIA EN LA ORDEN COMO DROPSHIPPER: 4124975* GUIA: *D001218289*</t>
  </si>
  <si>
    <t>ENTRADA POR GANANCIA EN LA ORDEN COMO DROPSHIPPER: 4124448* GUIA: *186968962*</t>
  </si>
  <si>
    <t>D001218305</t>
  </si>
  <si>
    <t>ENTRADA POR GANANCIA EN LA ORDEN COMO DROPSHIPPER: 4123234* GUIA: *D001218305*</t>
  </si>
  <si>
    <t>D001218307</t>
  </si>
  <si>
    <t>ENTRADA POR GANANCIA EN LA ORDEN COMO DROPSHIPPER: 4123014* GUIA: *D001218307*</t>
  </si>
  <si>
    <t>D001218311</t>
  </si>
  <si>
    <t>ENTRADA POR GANANCIA EN LA ORDEN COMO DROPSHIPPER: 4122372* GUIA: *D001218311*</t>
  </si>
  <si>
    <t>D001219527</t>
  </si>
  <si>
    <t>ENTRADA POR GANANCIA EN LA ORDEN COMO DROPSHIPPER: 4122031* GUIA: *D001219527*</t>
  </si>
  <si>
    <t>D001218319</t>
  </si>
  <si>
    <t>ENTRADA POR GANANCIA EN LA ORDEN COMO DROPSHIPPER: 4121687* GUIA: *D001218319*</t>
  </si>
  <si>
    <t>16-01-2026 00:42</t>
  </si>
  <si>
    <t>ENTRADA POR GANANCIA EN LA ORDEN COMO DROPSHIPPER: 4118957* GUIA: *186964428*</t>
  </si>
  <si>
    <t>D001219552</t>
  </si>
  <si>
    <t>ENTRADA POR GANANCIA EN LA ORDEN COMO DROPSHIPPER: 4117075* GUIA: *D001219552*</t>
  </si>
  <si>
    <t>ENTRADA POR GANANCIA EN LA ORDEN COMO DROPSHIPPER: 4116974* GUIA: *186969380*</t>
  </si>
  <si>
    <t>D001219583</t>
  </si>
  <si>
    <t>ENTRADA POR GANANCIA EN LA ORDEN COMO DROPSHIPPER: 4116200* GUIA: *D001219583*</t>
  </si>
  <si>
    <t>D001219585</t>
  </si>
  <si>
    <t>ENTRADA POR GANANCIA EN LA ORDEN COMO DROPSHIPPER: 4116165* GUIA: *D001219585*</t>
  </si>
  <si>
    <t>D001218341</t>
  </si>
  <si>
    <t>ENTRADA POR GANANCIA EN LA ORDEN COMO DROPSHIPPER: 4115555* GUIA: *D001218341*</t>
  </si>
  <si>
    <t>D001219595</t>
  </si>
  <si>
    <t>ENTRADA POR GANANCIA EN LA ORDEN COMO DROPSHIPPER: 4115307* GUIA: *D001219595*</t>
  </si>
  <si>
    <t>LC52605073</t>
  </si>
  <si>
    <t>ENTRADA POR GANANCIA EN LA ORDEN COMO DROPSHIPPER: 4115176* GUIA: *LC52605073*</t>
  </si>
  <si>
    <t>D001219603</t>
  </si>
  <si>
    <t>ENTRADA POR GANANCIA EN LA ORDEN COMO DROPSHIPPER: 4114583* GUIA: *D001219603*</t>
  </si>
  <si>
    <t>D001218344</t>
  </si>
  <si>
    <t>ENTRADA POR GANANCIA EN LA ORDEN COMO DROPSHIPPER: 4113923* GUIA: *D001218344*</t>
  </si>
  <si>
    <t>D001218351</t>
  </si>
  <si>
    <t>ENTRADA POR GANANCIA EN LA ORDEN COMO DROPSHIPPER: 4113110* GUIA: *D001218351*</t>
  </si>
  <si>
    <t>D001218353</t>
  </si>
  <si>
    <t>ENTRADA POR GANANCIA EN LA ORDEN COMO DROPSHIPPER: 4112847* GUIA: *D001218353*</t>
  </si>
  <si>
    <t>16-01-2026 00:41</t>
  </si>
  <si>
    <t>D001218371</t>
  </si>
  <si>
    <t>ENTRADA POR GANANCIA EN LA ORDEN COMO DROPSHIPPER: 4110470* GUIA: *D001218371*</t>
  </si>
  <si>
    <t>D001218372</t>
  </si>
  <si>
    <t>ENTRADA POR GANANCIA EN LA ORDEN COMO DROPSHIPPER: 4110106* GUIA: *D001218372*</t>
  </si>
  <si>
    <t>D001215507</t>
  </si>
  <si>
    <t>ENTRADA POR GANANCIA EN LA ORDEN COMO DROPSHIPPER: 4106558* GUIA: *D001215507*</t>
  </si>
  <si>
    <t>ENTRADA POR GANANCIA EN LA ORDEN COMO DROPSHIPPER: 4106548* GUIA: *186966931*</t>
  </si>
  <si>
    <t>D001218393</t>
  </si>
  <si>
    <t>ENTRADA POR GANANCIA EN LA ORDEN COMO DROPSHIPPER: 4106431* GUIA: *D001218393*</t>
  </si>
  <si>
    <t>D001218395</t>
  </si>
  <si>
    <t>ENTRADA POR GANANCIA EN LA ORDEN COMO DROPSHIPPER: 4106397* GUIA: *D001218395*</t>
  </si>
  <si>
    <t>D001218401</t>
  </si>
  <si>
    <t>ENTRADA POR GANANCIA EN LA ORDEN COMO DROPSHIPPER: 4105428* GUIA: *D001218401*</t>
  </si>
  <si>
    <t>D001218402</t>
  </si>
  <si>
    <t>ENTRADA POR GANANCIA EN LA ORDEN COMO DROPSHIPPER: 4105365* GUIA: *D001218402*</t>
  </si>
  <si>
    <t>D001224307</t>
  </si>
  <si>
    <t>ENTRADA POR GANANCIA EN LA ORDEN COMO DROPSHIPPER: 4104468* GUIA: *D001224307*</t>
  </si>
  <si>
    <t>D001224308</t>
  </si>
  <si>
    <t>ENTRADA POR GANANCIA EN LA ORDEN COMO DROPSHIPPER: 4104216* GUIA: *D001224308*</t>
  </si>
  <si>
    <t>D001218405</t>
  </si>
  <si>
    <t>ENTRADA POR GANANCIA EN LA ORDEN COMO DROPSHIPPER: 4103331* GUIA: *D001218405*</t>
  </si>
  <si>
    <t>D001224312</t>
  </si>
  <si>
    <t>ENTRADA POR GANANCIA EN LA ORDEN COMO DROPSHIPPER: 4101837* GUIA: *D001224312*</t>
  </si>
  <si>
    <t>16-01-2026 00:40</t>
  </si>
  <si>
    <t>D001223148</t>
  </si>
  <si>
    <t>ENTRADA POR GANANCIA EN LA ORDEN COMO DROPSHIPPER: 4099270* GUIA: *D001223148*</t>
  </si>
  <si>
    <t>D001223160</t>
  </si>
  <si>
    <t>ENTRADA POR GANANCIA EN LA ORDEN COMO DROPSHIPPER: 4098768* GUIA: *D001223160*</t>
  </si>
  <si>
    <t>D001216235</t>
  </si>
  <si>
    <t>ENTRADA POR GANANCIA EN LA ORDEN COMO DROPSHIPPER: 4098489* GUIA: *D001216235*</t>
  </si>
  <si>
    <t>D001223187</t>
  </si>
  <si>
    <t>ENTRADA POR GANANCIA EN LA ORDEN COMO DROPSHIPPER: 4097878* GUIA: *D001223187*</t>
  </si>
  <si>
    <t>D001223197</t>
  </si>
  <si>
    <t>ENTRADA POR GANANCIA EN LA ORDEN COMO DROPSHIPPER: 4097507* GUIA: *D001223197*</t>
  </si>
  <si>
    <t>D001215551</t>
  </si>
  <si>
    <t>ENTRADA POR GANANCIA EN LA ORDEN COMO DROPSHIPPER: 4096404* GUIA: *D001215551*</t>
  </si>
  <si>
    <t>ENTRADA POR GANANCIA EN LA ORDEN COMO DROPSHIPPER: 4096288* GUIA: *186973360*</t>
  </si>
  <si>
    <t>D001223227</t>
  </si>
  <si>
    <t>ENTRADA POR GANANCIA EN LA ORDEN COMO DROPSHIPPER: 4095748* GUIA: *D001223227*</t>
  </si>
  <si>
    <t>D001223235</t>
  </si>
  <si>
    <t>ENTRADA POR GANANCIA EN LA ORDEN COMO DROPSHIPPER: 4095628* GUIA: *D001223235*</t>
  </si>
  <si>
    <t>D001216238</t>
  </si>
  <si>
    <t>ENTRADA POR GANANCIA EN LA ORDEN COMO DROPSHIPPER: 4094106* GUIA: *D001216238*</t>
  </si>
  <si>
    <t>D001223254</t>
  </si>
  <si>
    <t>ENTRADA POR GANANCIA EN LA ORDEN COMO DROPSHIPPER: 4093954* GUIA: *D001223254*</t>
  </si>
  <si>
    <t>D001215559</t>
  </si>
  <si>
    <t>ENTRADA POR GANANCIA EN LA ORDEN COMO DROPSHIPPER: 4093677* GUIA: *D001215559*</t>
  </si>
  <si>
    <t>D001223269</t>
  </si>
  <si>
    <t>ENTRADA POR GANANCIA EN LA ORDEN COMO DROPSHIPPER: 4093222* GUIA: *D001223269*</t>
  </si>
  <si>
    <t>D001223273</t>
  </si>
  <si>
    <t>ENTRADA POR GANANCIA EN LA ORDEN COMO DROPSHIPPER: 4092315* GUIA: *D001223273*</t>
  </si>
  <si>
    <t>D001218409</t>
  </si>
  <si>
    <t>ENTRADA POR GANANCIA EN LA ORDEN COMO DROPSHIPPER: 4091874* GUIA: *D001218409*</t>
  </si>
  <si>
    <t>D001223284</t>
  </si>
  <si>
    <t>ENTRADA POR GANANCIA EN LA ORDEN COMO DROPSHIPPER: 4091727* GUIA: *D001223284*</t>
  </si>
  <si>
    <t>D001223297</t>
  </si>
  <si>
    <t>ENTRADA POR GANANCIA EN LA ORDEN COMO DROPSHIPPER: 4091134* GUIA: *D001223297*</t>
  </si>
  <si>
    <t>D001223299</t>
  </si>
  <si>
    <t>ENTRADA POR GANANCIA EN LA ORDEN COMO DROPSHIPPER: 4090717* GUIA: *D001223299*</t>
  </si>
  <si>
    <t>D001223306</t>
  </si>
  <si>
    <t>ENTRADA POR GANANCIA EN LA ORDEN COMO DROPSHIPPER: 4090238* GUIA: *D001223306*</t>
  </si>
  <si>
    <t>D001216240</t>
  </si>
  <si>
    <t>ENTRADA POR GANANCIA EN LA ORDEN COMO DROPSHIPPER: 4090118* GUIA: *D001216240*</t>
  </si>
  <si>
    <t>16-01-2026 00:39</t>
  </si>
  <si>
    <t>ENTRADA POR GANANCIA EN LA ORDEN COMO DROPSHIPPER: 4069008* GUIA: *186950216*</t>
  </si>
  <si>
    <t>16-01-2026 00:38</t>
  </si>
  <si>
    <t>D001188037</t>
  </si>
  <si>
    <t>ENTRADA POR GANANCIA EN LA ORDEN COMO DROPSHIPPER: 3969105* GUIA: *D001188037*</t>
  </si>
  <si>
    <t>15-01-2026 10:21</t>
  </si>
  <si>
    <t>SALIDA POR COBRO DE FLETE INICIAL: 4115176</t>
  </si>
  <si>
    <t>15-01-2026 07:44</t>
  </si>
  <si>
    <t>LC52605066</t>
  </si>
  <si>
    <t>SALIDA POR COBRO DE FLETE INICIAL: 4117843</t>
  </si>
  <si>
    <t>15-01-2026 03:07</t>
  </si>
  <si>
    <t>D001177596</t>
  </si>
  <si>
    <t>SALIDA DE COBRO DE DEVOLUCIÓN POR ENTREGA NO EFECTIVA: 3961057</t>
  </si>
  <si>
    <t>15-01-2026 03:06</t>
  </si>
  <si>
    <t>D001188079</t>
  </si>
  <si>
    <t>SALIDA DE COBRO DE DEVOLUCIÓN POR ENTREGA NO EFECTIVA: 3967605</t>
  </si>
  <si>
    <t>15-01-2026 03:02</t>
  </si>
  <si>
    <t>D001177736</t>
  </si>
  <si>
    <t>SALIDA DE COBRO DE DEVOLUCIÓN POR ENTREGA NO EFECTIVA: 3939442</t>
  </si>
  <si>
    <t>D001177646</t>
  </si>
  <si>
    <t>SALIDA DE COBRO DE DEVOLUCIÓN POR ENTREGA NO EFECTIVA: 3957539</t>
  </si>
  <si>
    <t>D001177581</t>
  </si>
  <si>
    <t>SALIDA DE COBRO DE DEVOLUCIÓN POR ENTREGA NO EFECTIVA: 3963714</t>
  </si>
  <si>
    <t>15-01-2026 03:01</t>
  </si>
  <si>
    <t>D001173272</t>
  </si>
  <si>
    <t>SALIDA DE COBRO DE DEVOLUCIÓN POR ENTREGA NO EFECTIVA: 3945967</t>
  </si>
  <si>
    <t>15-01-2026 00:45</t>
  </si>
  <si>
    <t>D001218310</t>
  </si>
  <si>
    <t>ENTRADA POR GANANCIA EN LA ORDEN COMO DROPSHIPPER: 4122381* GUIA: *D001218310*</t>
  </si>
  <si>
    <t>D001218331</t>
  </si>
  <si>
    <t>ENTRADA POR GANANCIA EN LA ORDEN COMO DROPSHIPPER: 4119061* GUIA: *D001218331*</t>
  </si>
  <si>
    <t>D001219544</t>
  </si>
  <si>
    <t>ENTRADA POR GANANCIA EN LA ORDEN COMO DROPSHIPPER: 4118643* GUIA: *D001219544*</t>
  </si>
  <si>
    <t>15-01-2026 00:44</t>
  </si>
  <si>
    <t>D001218343</t>
  </si>
  <si>
    <t>ENTRADA POR GANANCIA EN LA ORDEN COMO DROPSHIPPER: 4113964* GUIA: *D001218343*</t>
  </si>
  <si>
    <t>D001218359</t>
  </si>
  <si>
    <t>ENTRADA POR GANANCIA EN LA ORDEN COMO DROPSHIPPER: 4112182* GUIA: *D001218359*</t>
  </si>
  <si>
    <t>D001218364</t>
  </si>
  <si>
    <t>ENTRADA POR GANANCIA EN LA ORDEN COMO DROPSHIPPER: 4111844* GUIA: *D001218364*</t>
  </si>
  <si>
    <t>ENTRADA POR GANANCIA EN LA ORDEN COMO DROPSHIPPER: 4111749* GUIA: *186966916*</t>
  </si>
  <si>
    <t>ENTRADA POR GANANCIA EN LA ORDEN COMO DROPSHIPPER: 4111142* GUIA: *186966922*</t>
  </si>
  <si>
    <t>D001218368</t>
  </si>
  <si>
    <t>ENTRADA POR GANANCIA EN LA ORDEN COMO DROPSHIPPER: 4111136* GUIA: *D001218368*</t>
  </si>
  <si>
    <t>15-01-2026 00:43</t>
  </si>
  <si>
    <t>D001218373</t>
  </si>
  <si>
    <t>ENTRADA POR GANANCIA EN LA ORDEN COMO DROPSHIPPER: 4110065* GUIA: *D001218373*</t>
  </si>
  <si>
    <t>D001218378</t>
  </si>
  <si>
    <t>ENTRADA POR GANANCIA EN LA ORDEN COMO DROPSHIPPER: 4109588* GUIA: *D001218378*</t>
  </si>
  <si>
    <t>D001218386</t>
  </si>
  <si>
    <t>ENTRADA POR GANANCIA EN LA ORDEN COMO DROPSHIPPER: 4107474* GUIA: *D001218386*</t>
  </si>
  <si>
    <t>D001218388</t>
  </si>
  <si>
    <t>ENTRADA POR GANANCIA EN LA ORDEN COMO DROPSHIPPER: 4107056* GUIA: *D001218388*</t>
  </si>
  <si>
    <t>D001218396</t>
  </si>
  <si>
    <t>ENTRADA POR GANANCIA EN LA ORDEN COMO DROPSHIPPER: 4106275* GUIA: *D001218396*</t>
  </si>
  <si>
    <t>D001216221</t>
  </si>
  <si>
    <t>ENTRADA POR GANANCIA EN LA ORDEN COMO DROPSHIPPER: 4105659* GUIA: *D001216221*</t>
  </si>
  <si>
    <t>D001218403</t>
  </si>
  <si>
    <t>ENTRADA POR GANANCIA EN LA ORDEN COMO DROPSHIPPER: 4105213* GUIA: *D001218403*</t>
  </si>
  <si>
    <t>15-01-2026 00:41</t>
  </si>
  <si>
    <t>D001216237</t>
  </si>
  <si>
    <t>ENTRADA POR GANANCIA EN LA ORDEN COMO DROPSHIPPER: 4095349* GUIA: *D001216237*</t>
  </si>
  <si>
    <t>ENTRADA POR GANANCIA EN LA ORDEN COMO DROPSHIPPER: 4094043* GUIA: *186959597*</t>
  </si>
  <si>
    <t>D001213549</t>
  </si>
  <si>
    <t>ENTRADA POR GANANCIA EN LA ORDEN COMO DROPSHIPPER: 4090077* GUIA: *D001213549*</t>
  </si>
  <si>
    <t>D001220165</t>
  </si>
  <si>
    <t>ENTRADA POR GANANCIA EN LA ORDEN COMO DROPSHIPPER: 4089919* GUIA: *D001220165*</t>
  </si>
  <si>
    <t>15-01-2026 00:39</t>
  </si>
  <si>
    <t>ENTRADA POR GANANCIA EN LA ORDEN COMO DROPSHIPPER: 4068157* GUIA: *186944663*</t>
  </si>
  <si>
    <t>ENTRADA POR GANANCIA EN LA ORDEN COMO DROPSHIPPER: 4061341* GUIA: *186942486*</t>
  </si>
  <si>
    <t>15-01-2026 00:38</t>
  </si>
  <si>
    <t>ENTRADA POR GANANCIA EN LA ORDEN COMO DROPSHIPPER: 4016910* GUIA: *186943070*</t>
  </si>
  <si>
    <t>D001201386</t>
  </si>
  <si>
    <t>ENTRADA POR GANANCIA EN LA ORDEN COMO DROPSHIPPER: 4016252* GUIA: *D001201386*</t>
  </si>
  <si>
    <t>D001159738</t>
  </si>
  <si>
    <t>ENTRADA POR GANANCIA EN LA ORDEN COMO DROPSHIPPER: 3894676* GUIA: *D001159738*</t>
  </si>
  <si>
    <t>14-01-2026 12:06</t>
  </si>
  <si>
    <t>WYB163247305</t>
  </si>
  <si>
    <t>SALIDA POR COBRO DE FULFILLMENT POR ENTREGA NO EFECTIVA: 3828256</t>
  </si>
  <si>
    <t>SALIDA DE COBRO DE DEVOLUCIÓN POR ENTREGA NO EFECTIVA: 3828256</t>
  </si>
  <si>
    <t>14-01-2026 00:44</t>
  </si>
  <si>
    <t>D001216212</t>
  </si>
  <si>
    <t>ENTRADA POR GANANCIA EN LA ORDEN COMO DROPSHIPPER: 4111565* GUIA: *D001216212*</t>
  </si>
  <si>
    <t>D001216214</t>
  </si>
  <si>
    <t>ENTRADA POR GANANCIA EN LA ORDEN COMO DROPSHIPPER: 4108356* GUIA: *D001216214*</t>
  </si>
  <si>
    <t>D001216215</t>
  </si>
  <si>
    <t>ENTRADA POR GANANCIA EN LA ORDEN COMO DROPSHIPPER: 4108335* GUIA: *D001216215*</t>
  </si>
  <si>
    <t>D001216218</t>
  </si>
  <si>
    <t>ENTRADA POR GANANCIA EN LA ORDEN COMO DROPSHIPPER: 4107692* GUIA: *D001216218*</t>
  </si>
  <si>
    <t>D001216225</t>
  </si>
  <si>
    <t>ENTRADA POR GANANCIA EN LA ORDEN COMO DROPSHIPPER: 4105350* GUIA: *D001216225*</t>
  </si>
  <si>
    <t>D001215510</t>
  </si>
  <si>
    <t>ENTRADA POR GANANCIA EN LA ORDEN COMO DROPSHIPPER: 4103211* GUIA: *D001215510*</t>
  </si>
  <si>
    <t>14-01-2026 00:43</t>
  </si>
  <si>
    <t>D001216232</t>
  </si>
  <si>
    <t>ENTRADA POR GANANCIA EN LA ORDEN COMO DROPSHIPPER: 4100099* GUIA: *D001216232*</t>
  </si>
  <si>
    <t>D001216236</t>
  </si>
  <si>
    <t>ENTRADA POR GANANCIA EN LA ORDEN COMO DROPSHIPPER: 4095817* GUIA: *D001216236*</t>
  </si>
  <si>
    <t>14-01-2026 00:40</t>
  </si>
  <si>
    <t>ENTRADA POR GANANCIA EN LA ORDEN COMO DROPSHIPPER: 4067753* GUIA: *186944664*</t>
  </si>
  <si>
    <t>14-01-2026 00:39</t>
  </si>
  <si>
    <t>D001202893</t>
  </si>
  <si>
    <t>ENTRADA POR GANANCIA EN LA ORDEN COMO DROPSHIPPER: 4048651* GUIA: *D001202893*</t>
  </si>
  <si>
    <t>D001194573</t>
  </si>
  <si>
    <t>ENTRADA POR GANANCIA EN LA ORDEN COMO DROPSHIPPER: 4025940* GUIA: *D001194573*</t>
  </si>
  <si>
    <t>13-01-2026 03:10</t>
  </si>
  <si>
    <t>D001188044</t>
  </si>
  <si>
    <t>SALIDA DE COBRO DE DEVOLUCIÓN POR ENTREGA NO EFECTIVA: 3970010</t>
  </si>
  <si>
    <t>13-01-2026 03:05</t>
  </si>
  <si>
    <t>D001177734</t>
  </si>
  <si>
    <t>SALIDA DE COBRO DE DEVOLUCIÓN POR ENTREGA NO EFECTIVA: 3940339</t>
  </si>
  <si>
    <t>D001177689</t>
  </si>
  <si>
    <t>SALIDA DE COBRO DE DEVOLUCIÓN POR ENTREGA NO EFECTIVA: 3954729</t>
  </si>
  <si>
    <t>D001177577</t>
  </si>
  <si>
    <t>SALIDA DE COBRO DE DEVOLUCIÓN POR ENTREGA NO EFECTIVA: 3964462</t>
  </si>
  <si>
    <t>D001177576</t>
  </si>
  <si>
    <t>SALIDA DE COBRO DE DEVOLUCIÓN POR ENTREGA NO EFECTIVA: 3965238</t>
  </si>
  <si>
    <t>D001177553</t>
  </si>
  <si>
    <t>SALIDA DE COBRO DE DEVOLUCIÓN POR ENTREGA NO EFECTIVA: 3973843</t>
  </si>
  <si>
    <t>D001177552</t>
  </si>
  <si>
    <t>SALIDA DE COBRO DE DEVOLUCIÓN POR ENTREGA NO EFECTIVA: 3979853</t>
  </si>
  <si>
    <t>13-01-2026 03:02</t>
  </si>
  <si>
    <t>D001173292</t>
  </si>
  <si>
    <t>SALIDA DE COBRO DE DEVOLUCIÓN POR ENTREGA NO EFECTIVA: 3945064</t>
  </si>
  <si>
    <t>D001173303</t>
  </si>
  <si>
    <t>SALIDA DE COBRO DE DEVOLUCIÓN POR ENTREGA NO EFECTIVA: 3940384</t>
  </si>
  <si>
    <t>D001173302</t>
  </si>
  <si>
    <t>SALIDA DE COBRO DE DEVOLUCIÓN POR ENTREGA NO EFECTIVA: 3942455</t>
  </si>
  <si>
    <t>D001173279</t>
  </si>
  <si>
    <t>SALIDA DE COBRO DE DEVOLUCIÓN POR ENTREGA NO EFECTIVA: 3945865</t>
  </si>
  <si>
    <t>D001173260</t>
  </si>
  <si>
    <t>SALIDA DE COBRO DE DEVOLUCIÓN POR ENTREGA NO EFECTIVA: 3946948</t>
  </si>
  <si>
    <t>13-01-2026 00:44</t>
  </si>
  <si>
    <t>D001205989</t>
  </si>
  <si>
    <t>ENTRADA POR GANANCIA EN LA ORDEN COMO DROPSHIPPER: 4079397* GUIA: *D001205989*</t>
  </si>
  <si>
    <t>13-01-2026 00:43</t>
  </si>
  <si>
    <t>D001206005</t>
  </si>
  <si>
    <t>ENTRADA POR GANANCIA EN LA ORDEN COMO DROPSHIPPER: 4076198* GUIA: *D001206005*</t>
  </si>
  <si>
    <t>D001204682</t>
  </si>
  <si>
    <t>ENTRADA POR GANANCIA EN LA ORDEN COMO DROPSHIPPER: 4075604* GUIA: *D001204682*</t>
  </si>
  <si>
    <t>ENTRADA POR GANANCIA EN LA ORDEN COMO DROPSHIPPER: 4075080* GUIA: *186947240*</t>
  </si>
  <si>
    <t>ENTRADA POR GANANCIA EN LA ORDEN COMO DROPSHIPPER: 4074226* GUIA: *186947256*</t>
  </si>
  <si>
    <t>13-01-2026 00:42</t>
  </si>
  <si>
    <t>D001204689</t>
  </si>
  <si>
    <t>ENTRADA POR GANANCIA EN LA ORDEN COMO DROPSHIPPER: 4068764* GUIA: *D001204689*</t>
  </si>
  <si>
    <t>D001202879</t>
  </si>
  <si>
    <t>ENTRADA POR GANANCIA EN LA ORDEN COMO DROPSHIPPER: 4066610* GUIA: *D001202879*</t>
  </si>
  <si>
    <t>13-01-2026 00:41</t>
  </si>
  <si>
    <t>D001201087</t>
  </si>
  <si>
    <t>ENTRADA POR GANANCIA EN LA ORDEN COMO DROPSHIPPER: 4055943* GUIA: *D001201087*</t>
  </si>
  <si>
    <t>D001201095</t>
  </si>
  <si>
    <t>ENTRADA POR GANANCIA EN LA ORDEN COMO DROPSHIPPER: 4054504* GUIA: *D001201095*</t>
  </si>
  <si>
    <t>13-01-2026 00:40</t>
  </si>
  <si>
    <t>D001201350</t>
  </si>
  <si>
    <t>ENTRADA POR GANANCIA EN LA ORDEN COMO DROPSHIPPER: 4051601* GUIA: *D001201350*</t>
  </si>
  <si>
    <t>ENTRADA POR GANANCIA EN LA ORDEN COMO DROPSHIPPER: 4051432* GUIA: *186944439*</t>
  </si>
  <si>
    <t>ENTRADA POR GANANCIA EN LA ORDEN COMO DROPSHIPPER: 4049718* GUIA: *186942567*</t>
  </si>
  <si>
    <t>13-01-2026 00:39</t>
  </si>
  <si>
    <t>D001201383</t>
  </si>
  <si>
    <t>ENTRADA POR GANANCIA EN LA ORDEN COMO DROPSHIPPER: 4017323* GUIA: *D001201383*</t>
  </si>
  <si>
    <t>D001201385</t>
  </si>
  <si>
    <t>ENTRADA POR GANANCIA EN LA ORDEN COMO DROPSHIPPER: 4016650* GUIA: *D001201385*</t>
  </si>
  <si>
    <t>13-01-2026 00:38</t>
  </si>
  <si>
    <t>D001187720</t>
  </si>
  <si>
    <t>ENTRADA POR GANANCIA EN LA ORDEN COMO DROPSHIPPER: 3991201* GUIA: *D001187720*</t>
  </si>
  <si>
    <t>D001177593</t>
  </si>
  <si>
    <t>ENTRADA POR GANANCIA EN LA ORDEN COMO DROPSHIPPER: 3961769* GUIA: *D001177593*</t>
  </si>
  <si>
    <t>12-01-2026 12:07</t>
  </si>
  <si>
    <t>LC52531960</t>
  </si>
  <si>
    <t>SALIDA POR COBRO DE FLETE INICIAL: 3985637</t>
  </si>
  <si>
    <t>12-01-2026 10:19</t>
  </si>
  <si>
    <t>RETRIO</t>
  </si>
  <si>
    <t>12-01-2026 03:04</t>
  </si>
  <si>
    <t>D001173301</t>
  </si>
  <si>
    <t>SALIDA DE COBRO DE DEVOLUCIÓN POR ENTREGA NO EFECTIVA: 3942469</t>
  </si>
  <si>
    <t>D001173290</t>
  </si>
  <si>
    <t>SALIDA DE COBRO DE DEVOLUCIÓN POR ENTREGA NO EFECTIVA: 3945390</t>
  </si>
  <si>
    <t>D001173288</t>
  </si>
  <si>
    <t>SALIDA DE COBRO DE DEVOLUCIÓN POR ENTREGA NO EFECTIVA: 3945577</t>
  </si>
  <si>
    <t>D001173286</t>
  </si>
  <si>
    <t>SALIDA DE COBRO DE DEVOLUCIÓN POR ENTREGA NO EFECTIVA: 3945589</t>
  </si>
  <si>
    <t>D001173271</t>
  </si>
  <si>
    <t>SALIDA DE COBRO DE DEVOLUCIÓN POR ENTREGA NO EFECTIVA: 3946135</t>
  </si>
  <si>
    <t>D001173257</t>
  </si>
  <si>
    <t>SALIDA DE COBRO DE DEVOLUCIÓN POR ENTREGA NO EFECTIVA: 3947038</t>
  </si>
  <si>
    <t>D001173256</t>
  </si>
  <si>
    <t>SALIDA DE COBRO DE DEVOLUCIÓN POR ENTREGA NO EFECTIVA: 3947268</t>
  </si>
  <si>
    <t>D001173254</t>
  </si>
  <si>
    <t>SALIDA DE COBRO DE DEVOLUCIÓN POR ENTREGA NO EFECTIVA: 3947276</t>
  </si>
  <si>
    <t>D001173238</t>
  </si>
  <si>
    <t>SALIDA DE COBRO DE DEVOLUCIÓN POR ENTREGA NO EFECTIVA: 3949412</t>
  </si>
  <si>
    <t>SALIDA DE COBRO DE DEVOLUCIÓN POR ENTREGA NO EFECTIVA: 3950388</t>
  </si>
  <si>
    <t>D001173192</t>
  </si>
  <si>
    <t>SALIDA DE COBRO DE DEVOLUCIÓN POR ENTREGA NO EFECTIVA: 3955167</t>
  </si>
  <si>
    <t>D001173174</t>
  </si>
  <si>
    <t>SALIDA DE COBRO DE DEVOLUCIÓN POR ENTREGA NO EFECTIVA: 3956392</t>
  </si>
  <si>
    <t>D001173171</t>
  </si>
  <si>
    <t>SALIDA DE COBRO DE DEVOLUCIÓN POR ENTREGA NO EFECTIVA: 3956422</t>
  </si>
  <si>
    <t>D001173165</t>
  </si>
  <si>
    <t>SALIDA DE COBRO DE DEVOLUCIÓN POR ENTREGA NO EFECTIVA: 3956455</t>
  </si>
  <si>
    <t>11-01-2026 03:04</t>
  </si>
  <si>
    <t>D001173183</t>
  </si>
  <si>
    <t>SALIDA DE COBRO DE DEVOLUCIÓN POR ENTREGA NO EFECTIVA: 3956004</t>
  </si>
  <si>
    <t>D001173168</t>
  </si>
  <si>
    <t>SALIDA DE COBRO DE DEVOLUCIÓN POR ENTREGA NO EFECTIVA: 3956454</t>
  </si>
  <si>
    <t>D001173159</t>
  </si>
  <si>
    <t>SALIDA DE COBRO DE DEVOLUCIÓN POR ENTREGA NO EFECTIVA: 3956627</t>
  </si>
  <si>
    <t>11-01-2026 03:00</t>
  </si>
  <si>
    <t>D001159710</t>
  </si>
  <si>
    <t>SALIDA DE COBRO DE DEVOLUCIÓN POR ENTREGA NO EFECTIVA: 3900595</t>
  </si>
  <si>
    <t>D001159698</t>
  </si>
  <si>
    <t>SALIDA DE COBRO DE DEVOLUCIÓN POR ENTREGA NO EFECTIVA: 3903476</t>
  </si>
  <si>
    <t>11-01-2026 00:42</t>
  </si>
  <si>
    <t>D001205998</t>
  </si>
  <si>
    <t>ENTRADA POR GANANCIA EN LA ORDEN COMO DROPSHIPPER: 4077917* GUIA: *D001205998*</t>
  </si>
  <si>
    <t>ENTRADA POR GANANCIA EN LA ORDEN COMO DROPSHIPPER: 4075288* GUIA: *186947870*</t>
  </si>
  <si>
    <t>11-01-2026 00:41</t>
  </si>
  <si>
    <t>D001204834</t>
  </si>
  <si>
    <t>ENTRADA POR GANANCIA EN LA ORDEN COMO DROPSHIPPER: 4067178* GUIA: *D001204834*</t>
  </si>
  <si>
    <t>D001202881</t>
  </si>
  <si>
    <t>ENTRADA POR GANANCIA EN LA ORDEN COMO DROPSHIPPER: 4065320* GUIA: *D001202881*</t>
  </si>
  <si>
    <t>D001201084</t>
  </si>
  <si>
    <t>ENTRADA POR GANANCIA EN LA ORDEN COMO DROPSHIPPER: 4061651* GUIA: *D001201084*</t>
  </si>
  <si>
    <t>D001204835</t>
  </si>
  <si>
    <t>ENTRADA POR GANANCIA EN LA ORDEN COMO DROPSHIPPER: 4061575* GUIA: *D001204835*</t>
  </si>
  <si>
    <t>D001204836</t>
  </si>
  <si>
    <t>ENTRADA POR GANANCIA EN LA ORDEN COMO DROPSHIPPER: 4061410* GUIA: *D001204836*</t>
  </si>
  <si>
    <t>11-01-2026 00:40</t>
  </si>
  <si>
    <t>D001201089</t>
  </si>
  <si>
    <t>ENTRADA POR GANANCIA EN LA ORDEN COMO DROPSHIPPER: 4054987* GUIA: *D001201089*</t>
  </si>
  <si>
    <t>ENTRADA POR GANANCIA EN LA ORDEN COMO DROPSHIPPER: 4051220* GUIA: *186942561*</t>
  </si>
  <si>
    <t>D001201098</t>
  </si>
  <si>
    <t>ENTRADA POR GANANCIA EN LA ORDEN COMO DROPSHIPPER: 4050324* GUIA: *D001201098*</t>
  </si>
  <si>
    <t>D001201099</t>
  </si>
  <si>
    <t>ENTRADA POR GANANCIA EN LA ORDEN COMO DROPSHIPPER: 4045739* GUIA: *D001201099*</t>
  </si>
  <si>
    <t>11-01-2026 00:39</t>
  </si>
  <si>
    <t>D001201384</t>
  </si>
  <si>
    <t>ENTRADA POR GANANCIA EN LA ORDEN COMO DROPSHIPPER: 4016709* GUIA: *D001201384*</t>
  </si>
  <si>
    <t>10-01-2026 22:43</t>
  </si>
  <si>
    <t>WYB161470694</t>
  </si>
  <si>
    <t>SALIDA DE COBRO DE DEVOLUCIÓN POR ENTREGA NO EFECTIVA: 3605838</t>
  </si>
  <si>
    <t>10-01-2026 22:34</t>
  </si>
  <si>
    <t>WYB160738162</t>
  </si>
  <si>
    <t>SALIDA POR COBRO DE FULFILLMENT POR ENTREGA NO EFECTIVA: 3518047</t>
  </si>
  <si>
    <t>SALIDA DE COBRO DE DEVOLUCIÓN POR ENTREGA NO EFECTIVA: 3518047</t>
  </si>
  <si>
    <t>10-01-2026 02:04</t>
  </si>
  <si>
    <t>WYB162852620</t>
  </si>
  <si>
    <t>SALIDA POR COBRO DE FULFILLMENT POR ENTREGA NO EFECTIVA: 3775909</t>
  </si>
  <si>
    <t>SALIDA DE COBRO DE DEVOLUCIÓN POR ENTREGA NO EFECTIVA: 3775909</t>
  </si>
  <si>
    <t>10-01-2026 00:46</t>
  </si>
  <si>
    <t>ENTRADA POR GANANCIA EN LA ORDEN COMO DROPSHIPPER: 4066860* GUIA: *186945153*</t>
  </si>
  <si>
    <t>D001201079</t>
  </si>
  <si>
    <t>ENTRADA POR GANANCIA EN LA ORDEN COMO DROPSHIPPER: 4061881* GUIA: *D001201079*</t>
  </si>
  <si>
    <t>D001201082</t>
  </si>
  <si>
    <t>ENTRADA POR GANANCIA EN LA ORDEN COMO DROPSHIPPER: 4061797* GUIA: *D001201082*</t>
  </si>
  <si>
    <t>D001201083</t>
  </si>
  <si>
    <t>ENTRADA POR GANANCIA EN LA ORDEN COMO DROPSHIPPER: 4061743* GUIA: *D001201083*</t>
  </si>
  <si>
    <t>10-01-2026 00:45</t>
  </si>
  <si>
    <t>D001201097</t>
  </si>
  <si>
    <t>ENTRADA POR GANANCIA EN LA ORDEN COMO DROPSHIPPER: 4053813* GUIA: *D001201097*</t>
  </si>
  <si>
    <t>10-01-2026 00:44</t>
  </si>
  <si>
    <t>D001201356</t>
  </si>
  <si>
    <t>ENTRADA POR GANANCIA EN LA ORDEN COMO DROPSHIPPER: 4046403* GUIA: *D001201356*</t>
  </si>
  <si>
    <t>D001201100</t>
  </si>
  <si>
    <t>ENTRADA POR GANANCIA EN LA ORDEN COMO DROPSHIPPER: 4044974* GUIA: *D001201100*</t>
  </si>
  <si>
    <t>D001197670</t>
  </si>
  <si>
    <t>ENTRADA POR GANANCIA EN LA ORDEN COMO DROPSHIPPER: 4044804* GUIA: *D001197670*</t>
  </si>
  <si>
    <t>10-01-2026 00:43</t>
  </si>
  <si>
    <t>D001197022</t>
  </si>
  <si>
    <t>ENTRADA POR GANANCIA EN LA ORDEN COMO DROPSHIPPER: 4039891* GUIA: *D001197022*</t>
  </si>
  <si>
    <t>D001195806</t>
  </si>
  <si>
    <t>ENTRADA POR GANANCIA EN LA ORDEN COMO DROPSHIPPER: 4038540* GUIA: *D001195806*</t>
  </si>
  <si>
    <t>D001195907</t>
  </si>
  <si>
    <t>ENTRADA POR GANANCIA EN LA ORDEN COMO DROPSHIPPER: 4038396* GUIA: *D001195907*</t>
  </si>
  <si>
    <t>10-01-2026 00:42</t>
  </si>
  <si>
    <t>D001201102</t>
  </si>
  <si>
    <t>ENTRADA POR GANANCIA EN LA ORDEN COMO DROPSHIPPER: 4033136* GUIA: *D001201102*</t>
  </si>
  <si>
    <t>D001201376</t>
  </si>
  <si>
    <t>ENTRADA POR GANANCIA EN LA ORDEN COMO DROPSHIPPER: 4030898* GUIA: *D001201376*</t>
  </si>
  <si>
    <t>10-01-2026 00:41</t>
  </si>
  <si>
    <t>D001197046</t>
  </si>
  <si>
    <t>ENTRADA POR GANANCIA EN LA ORDEN COMO DROPSHIPPER: 4022093* GUIA: *D001197046*</t>
  </si>
  <si>
    <t>D001195820</t>
  </si>
  <si>
    <t>ENTRADA POR GANANCIA EN LA ORDEN COMO DROPSHIPPER: 4021467* GUIA: *D001195820*</t>
  </si>
  <si>
    <t>D001194575</t>
  </si>
  <si>
    <t>ENTRADA POR GANANCIA EN LA ORDEN COMO DROPSHIPPER: 4018399* GUIA: *D001194575*</t>
  </si>
  <si>
    <t>D001201377</t>
  </si>
  <si>
    <t>ENTRADA POR GANANCIA EN LA ORDEN COMO DROPSHIPPER: 4018274* GUIA: *D001201377*</t>
  </si>
  <si>
    <t>10-01-2026 00:39</t>
  </si>
  <si>
    <t>ENTRADA POR GANANCIA EN LA ORDEN COMO DROPSHIPPER: 3991045* GUIA: *186922048*</t>
  </si>
  <si>
    <t>10-01-2026 00:38</t>
  </si>
  <si>
    <t>D001177589</t>
  </si>
  <si>
    <t>ENTRADA POR GANANCIA EN LA ORDEN COMO DROPSHIPPER: 3962320* GUIA: *D001177589*</t>
  </si>
  <si>
    <t>ENTRADA POR GANANCIA EN LA ORDEN COMO DROPSHIPPER: 3893724* GUIA: *186885813*</t>
  </si>
  <si>
    <t>D001149539</t>
  </si>
  <si>
    <t>ENTRADA POR GANANCIA EN LA ORDEN COMO DROPSHIPPER: 3873012* GUIA: *D001149539*</t>
  </si>
  <si>
    <t>09-01-2026 03:03</t>
  </si>
  <si>
    <t>D001166709</t>
  </si>
  <si>
    <t>SALIDA DE COBRO DE DEVOLUCIÓN POR ENTREGA NO EFECTIVA: 3938448</t>
  </si>
  <si>
    <t>D001166702</t>
  </si>
  <si>
    <t>SALIDA DE COBRO DE DEVOLUCIÓN POR ENTREGA NO EFECTIVA: 3939222</t>
  </si>
  <si>
    <t>D001166701</t>
  </si>
  <si>
    <t>SALIDA DE COBRO DE DEVOLUCIÓN POR ENTREGA NO EFECTIVA: 3939263</t>
  </si>
  <si>
    <t>D001166680</t>
  </si>
  <si>
    <t>SALIDA DE COBRO DE DEVOLUCIÓN POR ENTREGA NO EFECTIVA: 3940208</t>
  </si>
  <si>
    <t>D001166673</t>
  </si>
  <si>
    <t>SALIDA DE COBRO DE DEVOLUCIÓN POR ENTREGA NO EFECTIVA: 3940897</t>
  </si>
  <si>
    <t>D001166653</t>
  </si>
  <si>
    <t>SALIDA DE COBRO DE DEVOLUCIÓN POR ENTREGA NO EFECTIVA: 3943295</t>
  </si>
  <si>
    <t>09-01-2026 03:01</t>
  </si>
  <si>
    <t>D001162565</t>
  </si>
  <si>
    <t>SALIDA DE COBRO DE DEVOLUCIÓN POR ENTREGA NO EFECTIVA: 3923744</t>
  </si>
  <si>
    <t>D001159756</t>
  </si>
  <si>
    <t>SALIDA DE COBRO DE DEVOLUCIÓN POR ENTREGA NO EFECTIVA: 3889142</t>
  </si>
  <si>
    <t>D001159755</t>
  </si>
  <si>
    <t>SALIDA DE COBRO DE DEVOLUCIÓN POR ENTREGA NO EFECTIVA: 3889257</t>
  </si>
  <si>
    <t>D001159727</t>
  </si>
  <si>
    <t>SALIDA DE COBRO DE DEVOLUCIÓN POR ENTREGA NO EFECTIVA: 3896017</t>
  </si>
  <si>
    <t>D001159723</t>
  </si>
  <si>
    <t>SALIDA DE COBRO DE DEVOLUCIÓN POR ENTREGA NO EFECTIVA: 3896484</t>
  </si>
  <si>
    <t>09-01-2026 03:00</t>
  </si>
  <si>
    <t>D001159705</t>
  </si>
  <si>
    <t>SALIDA DE COBRO DE DEVOLUCIÓN POR ENTREGA NO EFECTIVA: 3901620</t>
  </si>
  <si>
    <t>D001159694</t>
  </si>
  <si>
    <t>SALIDA DE COBRO DE DEVOLUCIÓN POR ENTREGA NO EFECTIVA: 3904873</t>
  </si>
  <si>
    <t>D001159683</t>
  </si>
  <si>
    <t>SALIDA DE COBRO DE DEVOLUCIÓN POR ENTREGA NO EFECTIVA: 3917655</t>
  </si>
  <si>
    <t>D001159682</t>
  </si>
  <si>
    <t>SALIDA DE COBRO DE DEVOLUCIÓN POR ENTREGA NO EFECTIVA: 3917721</t>
  </si>
  <si>
    <t>09-01-2026 01:31</t>
  </si>
  <si>
    <t>D001166719</t>
  </si>
  <si>
    <t>SALIDA DE COBRO DE DEVOLUCIÓN POR ENTREGA NO EFECTIVA: 3937870</t>
  </si>
  <si>
    <t>09-01-2026 00:47</t>
  </si>
  <si>
    <t>D001197663</t>
  </si>
  <si>
    <t>ENTRADA POR GANANCIA EN LA ORDEN COMO DROPSHIPPER: 4046238* GUIA: *D001197663*</t>
  </si>
  <si>
    <t>09-01-2026 00:46</t>
  </si>
  <si>
    <t>D001197676</t>
  </si>
  <si>
    <t>ENTRADA POR GANANCIA EN LA ORDEN COMO DROPSHIPPER: 4040194* GUIA: *D001197676*</t>
  </si>
  <si>
    <t>09-01-2026 00:44</t>
  </si>
  <si>
    <t>ENTRADA POR GANANCIA EN LA ORDEN COMO DROPSHIPPER: 4024220* GUIA: *186936294*</t>
  </si>
  <si>
    <t>09-01-2026 00:43</t>
  </si>
  <si>
    <t>D001194576</t>
  </si>
  <si>
    <t>ENTRADA POR GANANCIA EN LA ORDEN COMO DROPSHIPPER: 4018011* GUIA: *D001194576*</t>
  </si>
  <si>
    <t>D001187704</t>
  </si>
  <si>
    <t>ENTRADA POR GANANCIA EN LA ORDEN COMO DROPSHIPPER: 4017260* GUIA: *D001187704*</t>
  </si>
  <si>
    <t>D001194581</t>
  </si>
  <si>
    <t>ENTRADA POR GANANCIA EN LA ORDEN COMO DROPSHIPPER: 4015886* GUIA: *D001194581*</t>
  </si>
  <si>
    <t>D001194582</t>
  </si>
  <si>
    <t>ENTRADA POR GANANCIA EN LA ORDEN COMO DROPSHIPPER: 4014082* GUIA: *D001194582*</t>
  </si>
  <si>
    <t>D001187705</t>
  </si>
  <si>
    <t>ENTRADA POR GANANCIA EN LA ORDEN COMO DROPSHIPPER: 4013976* GUIA: *D001187705*</t>
  </si>
  <si>
    <t>09-01-2026 00:40</t>
  </si>
  <si>
    <t>D001187706</t>
  </si>
  <si>
    <t>ENTRADA POR GANANCIA EN LA ORDEN COMO DROPSHIPPER: 3991343* GUIA: *D001187706*</t>
  </si>
  <si>
    <t>D001187723</t>
  </si>
  <si>
    <t>ENTRADA POR GANANCIA EN LA ORDEN COMO DROPSHIPPER: 3991158* GUIA: *D001187723*</t>
  </si>
  <si>
    <t>ENTRADA POR GANANCIA EN LA ORDEN COMO DROPSHIPPER: 3988259* GUIA: *186922115*</t>
  </si>
  <si>
    <t>09-01-2026 00:39</t>
  </si>
  <si>
    <t>D001187966</t>
  </si>
  <si>
    <t>ENTRADA POR GANANCIA EN LA ORDEN COMO DROPSHIPPER: 3985453* GUIA: *D001187966*</t>
  </si>
  <si>
    <t>D001187968</t>
  </si>
  <si>
    <t>ENTRADA POR GANANCIA EN LA ORDEN COMO DROPSHIPPER: 3985112* GUIA: *D001187968*</t>
  </si>
  <si>
    <t>D001177558</t>
  </si>
  <si>
    <t>ENTRADA POR GANANCIA EN LA ORDEN COMO DROPSHIPPER: 3969562* GUIA: *D001177558*</t>
  </si>
  <si>
    <t>D001177561</t>
  </si>
  <si>
    <t>ENTRADA POR GANANCIA EN LA ORDEN COMO DROPSHIPPER: 3969097* GUIA: *D001177561*</t>
  </si>
  <si>
    <t>D001177563</t>
  </si>
  <si>
    <t>ENTRADA POR GANANCIA EN LA ORDEN COMO DROPSHIPPER: 3968531* GUIA: *D001177563*</t>
  </si>
  <si>
    <t>D001177567</t>
  </si>
  <si>
    <t>ENTRADA POR GANANCIA EN LA ORDEN COMO DROPSHIPPER: 3966849* GUIA: *D001177567*</t>
  </si>
  <si>
    <t>D001177569</t>
  </si>
  <si>
    <t>ENTRADA POR GANANCIA EN LA ORDEN COMO DROPSHIPPER: 3966421* GUIA: *D001177569*</t>
  </si>
  <si>
    <t>D001177570</t>
  </si>
  <si>
    <t>ENTRADA POR GANANCIA EN LA ORDEN COMO DROPSHIPPER: 3966242* GUIA: *D001177570*</t>
  </si>
  <si>
    <t>D001177574</t>
  </si>
  <si>
    <t>ENTRADA POR GANANCIA EN LA ORDEN COMO DROPSHIPPER: 3965574* GUIA: *D001177574*</t>
  </si>
  <si>
    <t>09-01-2026 00:38</t>
  </si>
  <si>
    <t>D001177579</t>
  </si>
  <si>
    <t>ENTRADA POR GANANCIA EN LA ORDEN COMO DROPSHIPPER: 3963802* GUIA: *D001177579*</t>
  </si>
  <si>
    <t>D001177584</t>
  </si>
  <si>
    <t>ENTRADA POR GANANCIA EN LA ORDEN COMO DROPSHIPPER: 3963304* GUIA: *D001177584*</t>
  </si>
  <si>
    <t>D001177585</t>
  </si>
  <si>
    <t>ENTRADA POR GANANCIA EN LA ORDEN COMO DROPSHIPPER: 3963126* GUIA: *D001177585*</t>
  </si>
  <si>
    <t>D001177590</t>
  </si>
  <si>
    <t>ENTRADA POR GANANCIA EN LA ORDEN COMO DROPSHIPPER: 3962284* GUIA: *D001177590*</t>
  </si>
  <si>
    <t>D001177591</t>
  </si>
  <si>
    <t>ENTRADA POR GANANCIA EN LA ORDEN COMO DROPSHIPPER: 3962264* GUIA: *D001177591*</t>
  </si>
  <si>
    <t>D001177599</t>
  </si>
  <si>
    <t>ENTRADA POR GANANCIA EN LA ORDEN COMO DROPSHIPPER: 3960230* GUIA: *D001177599*</t>
  </si>
  <si>
    <t>D001177600</t>
  </si>
  <si>
    <t>ENTRADA POR GANANCIA EN LA ORDEN COMO DROPSHIPPER: 3960161* GUIA: *D001177600*</t>
  </si>
  <si>
    <t>D001177601</t>
  </si>
  <si>
    <t>ENTRADA POR GANANCIA EN LA ORDEN COMO DROPSHIPPER: 3959925* GUIA: *D001177601*</t>
  </si>
  <si>
    <t>ENTRADA POR GANANCIA EN LA ORDEN COMO DROPSHIPPER: 3959919* GUIA: *186910774*</t>
  </si>
  <si>
    <t>D001177602</t>
  </si>
  <si>
    <t>ENTRADA POR GANANCIA EN LA ORDEN COMO DROPSHIPPER: 3959550* GUIA: *D001177602*</t>
  </si>
  <si>
    <t>D001177613</t>
  </si>
  <si>
    <t>ENTRADA POR GANANCIA EN LA ORDEN COMO DROPSHIPPER: 3958763* GUIA: *D001177613*</t>
  </si>
  <si>
    <t>D001177615</t>
  </si>
  <si>
    <t>ENTRADA POR GANANCIA EN LA ORDEN COMO DROPSHIPPER: 3958459* GUIA: *D001177615*</t>
  </si>
  <si>
    <t>D001177617</t>
  </si>
  <si>
    <t>ENTRADA POR GANANCIA EN LA ORDEN COMO DROPSHIPPER: 3958323* GUIA: *D001177617*</t>
  </si>
  <si>
    <t>D001177618</t>
  </si>
  <si>
    <t>ENTRADA POR GANANCIA EN LA ORDEN COMO DROPSHIPPER: 3958202* GUIA: *D001177618*</t>
  </si>
  <si>
    <t>D001177696</t>
  </si>
  <si>
    <t>ENTRADA POR GANANCIA EN LA ORDEN COMO DROPSHIPPER: 3952203* GUIA: *D001177696*</t>
  </si>
  <si>
    <t>ENTRADA POR GANANCIA EN LA ORDEN COMO DROPSHIPPER: 3944492* GUIA: *186896236*</t>
  </si>
  <si>
    <t>ENTRADA POR GANANCIA EN LA ORDEN COMO DROPSHIPPER: 3939648* GUIA: *186896243*</t>
  </si>
  <si>
    <t>ENTRADA POR GANANCIA EN LA ORDEN COMO DROPSHIPPER: 3881970* GUIA: *186871705*</t>
  </si>
  <si>
    <t>08-01-2026 17:11</t>
  </si>
  <si>
    <t>D001159760</t>
  </si>
  <si>
    <t>SALIDA DE COBRO DE DEVOLUCIÓN POR ENTREGA NO EFECTIVA: 3887597</t>
  </si>
  <si>
    <t>D001166020</t>
  </si>
  <si>
    <t>SALIDA DE COBRO DE DEVOLUCIÓN POR ENTREGA NO EFECTIVA: 3940213</t>
  </si>
  <si>
    <t>08-01-2026 17:10</t>
  </si>
  <si>
    <t>D001166657</t>
  </si>
  <si>
    <t>SALIDA DE COBRO DE DEVOLUCIÓN POR ENTREGA NO EFECTIVA: 3942763</t>
  </si>
  <si>
    <t>D001159728</t>
  </si>
  <si>
    <t>SALIDA DE COBRO DE DEVOLUCIÓN POR ENTREGA NO EFECTIVA: 3895877</t>
  </si>
  <si>
    <t>08-01-2026 17:09</t>
  </si>
  <si>
    <t>D001159711</t>
  </si>
  <si>
    <t>SALIDA DE COBRO DE DEVOLUCIÓN POR ENTREGA NO EFECTIVA: 3900576</t>
  </si>
  <si>
    <t>D001173263</t>
  </si>
  <si>
    <t>SALIDA DE COBRO DE DEVOLUCIÓN POR ENTREGA NO EFECTIVA: 3946808</t>
  </si>
  <si>
    <t>08-01-2026 17:08</t>
  </si>
  <si>
    <t>D001159747</t>
  </si>
  <si>
    <t>SALIDA DE COBRO DE DEVOLUCIÓN POR ENTREGA NO EFECTIVA: 3892645</t>
  </si>
  <si>
    <t>08-01-2026 17:07</t>
  </si>
  <si>
    <t>D001159706</t>
  </si>
  <si>
    <t>SALIDA DE COBRO DE DEVOLUCIÓN POR ENTREGA NO EFECTIVA: 3901549</t>
  </si>
  <si>
    <t>D001166675</t>
  </si>
  <si>
    <t>SALIDA DE COBRO DE DEVOLUCIÓN POR ENTREGA NO EFECTIVA: 3940452</t>
  </si>
  <si>
    <t>D001162566</t>
  </si>
  <si>
    <t>SALIDA DE COBRO DE DEVOLUCIÓN POR ENTREGA NO EFECTIVA: 3923737</t>
  </si>
  <si>
    <t>08-01-2026 02:05</t>
  </si>
  <si>
    <t>WYB161869090</t>
  </si>
  <si>
    <t>SALIDA DE COBRO DE DEVOLUCIÓN POR ENTREGA NO EFECTIVA: 3633963</t>
  </si>
  <si>
    <t>08-01-2026 01:36</t>
  </si>
  <si>
    <t>SALIDA DE COBRO DE DEVOLUCIÓN POR ENTREGA NO EFECTIVA: 3894676</t>
  </si>
  <si>
    <t>D001159691</t>
  </si>
  <si>
    <t>SALIDA DE COBRO DE DEVOLUCIÓN POR ENTREGA NO EFECTIVA: 3906885</t>
  </si>
  <si>
    <t>D001159742</t>
  </si>
  <si>
    <t>SALIDA DE COBRO DE DEVOLUCIÓN POR ENTREGA NO EFECTIVA: 3893910</t>
  </si>
  <si>
    <t>D001159700</t>
  </si>
  <si>
    <t>SALIDA DE COBRO DE DEVOLUCIÓN POR ENTREGA NO EFECTIVA: 3902656</t>
  </si>
  <si>
    <t>D001158307</t>
  </si>
  <si>
    <t>SALIDA DE COBRO DE DEVOLUCIÓN POR ENTREGA NO EFECTIVA: 3887846</t>
  </si>
  <si>
    <t>D001159721</t>
  </si>
  <si>
    <t>SALIDA DE COBRO DE DEVOLUCIÓN POR ENTREGA NO EFECTIVA: 3896731</t>
  </si>
  <si>
    <t>D001159704</t>
  </si>
  <si>
    <t>SALIDA DE COBRO DE DEVOLUCIÓN POR ENTREGA NO EFECTIVA: 3901659</t>
  </si>
  <si>
    <t>D001159767</t>
  </si>
  <si>
    <t>SALIDA DE COBRO DE DEVOLUCIÓN POR ENTREGA NO EFECTIVA: 3885047</t>
  </si>
  <si>
    <t>08-01-2026 01:34</t>
  </si>
  <si>
    <t>D001159690</t>
  </si>
  <si>
    <t>SALIDA DE COBRO DE DEVOLUCIÓN POR ENTREGA NO EFECTIVA: 3911111</t>
  </si>
  <si>
    <t>D001159766</t>
  </si>
  <si>
    <t>SALIDA DE COBRO DE DEVOLUCIÓN POR ENTREGA NO EFECTIVA: 3885155</t>
  </si>
  <si>
    <t>D001159737</t>
  </si>
  <si>
    <t>SALIDA DE COBRO DE DEVOLUCIÓN POR ENTREGA NO EFECTIVA: 3894778</t>
  </si>
  <si>
    <t>D001159769</t>
  </si>
  <si>
    <t>SALIDA DE COBRO DE DEVOLUCIÓN POR ENTREGA NO EFECTIVA: 3884440</t>
  </si>
  <si>
    <t>D001159686</t>
  </si>
  <si>
    <t>SALIDA DE COBRO DE DEVOLUCIÓN POR ENTREGA NO EFECTIVA: 3915822</t>
  </si>
  <si>
    <t>D001159763</t>
  </si>
  <si>
    <t>SALIDA DE COBRO DE DEVOLUCIÓN POR ENTREGA NO EFECTIVA: 3885958</t>
  </si>
  <si>
    <t>D001159739</t>
  </si>
  <si>
    <t>SALIDA DE COBRO DE DEVOLUCIÓN POR ENTREGA NO EFECTIVA: 3894644</t>
  </si>
  <si>
    <t>D001159762</t>
  </si>
  <si>
    <t>SALIDA DE COBRO DE DEVOLUCIÓN POR ENTREGA NO EFECTIVA: 3886951</t>
  </si>
  <si>
    <t>D001159717</t>
  </si>
  <si>
    <t>SALIDA DE COBRO DE DEVOLUCIÓN POR ENTREGA NO EFECTIVA: 3898244</t>
  </si>
  <si>
    <t>08-01-2026 01:32</t>
  </si>
  <si>
    <t>D001159685</t>
  </si>
  <si>
    <t>SALIDA DE COBRO DE DEVOLUCIÓN POR ENTREGA NO EFECTIVA: 3915830</t>
  </si>
  <si>
    <t>08-01-2026 01:31</t>
  </si>
  <si>
    <t>D001159732</t>
  </si>
  <si>
    <t>SALIDA DE COBRO DE DEVOLUCIÓN POR ENTREGA NO EFECTIVA: 3895653</t>
  </si>
  <si>
    <t>08-01-2026 00:42</t>
  </si>
  <si>
    <t>ENTRADA POR GANANCIA EN LA ORDEN COMO DROPSHIPPER: 4027724* GUIA: *186932100*</t>
  </si>
  <si>
    <t>08-01-2026 00:39</t>
  </si>
  <si>
    <t>ENTRADA POR GANANCIA EN LA ORDEN COMO DROPSHIPPER: 3966881* GUIA: *186910773*</t>
  </si>
  <si>
    <t>08-01-2026 00:38</t>
  </si>
  <si>
    <t>D001173186</t>
  </si>
  <si>
    <t>ENTRADA POR GANANCIA EN LA ORDEN COMO DROPSHIPPER: 3955558* GUIA: *D001173186*</t>
  </si>
  <si>
    <t>D001159709</t>
  </si>
  <si>
    <t>ENTRADA POR GANANCIA EN LA ORDEN COMO DROPSHIPPER: 3900989* GUIA: *D001159709*</t>
  </si>
  <si>
    <t>ENTRADA POR GANANCIA EN LA ORDEN COMO DROPSHIPPER: 3691411* GUIA: *187295774*</t>
  </si>
  <si>
    <t>07-01-2026 09:33</t>
  </si>
  <si>
    <t>pgo</t>
  </si>
  <si>
    <t>07-01-2026 01:01</t>
  </si>
  <si>
    <t>SALIDA POR COBRO DE FULFILLMENT POR ENTREGA NO EFECTIVA: 3845274</t>
  </si>
  <si>
    <t>SALIDA POR COBRO DE FLETE INICIAL: 3845274</t>
  </si>
  <si>
    <t>SALIDA POR COBRO DE FULFILLMENT POR ENTREGA NO EFECTIVA: 3871735</t>
  </si>
  <si>
    <t>SALIDA POR COBRO DE FLETE INICIAL: 3871735</t>
  </si>
  <si>
    <t>07-01-2026 00:41</t>
  </si>
  <si>
    <t>D001187712</t>
  </si>
  <si>
    <t>ENTRADA POR GANANCIA EN LA ORDEN COMO DROPSHIPPER: 3991275* GUIA: *D001187712*</t>
  </si>
  <si>
    <t>07-01-2026 00:40</t>
  </si>
  <si>
    <t>D001187875</t>
  </si>
  <si>
    <t>ENTRADA POR GANANCIA EN LA ORDEN COMO DROPSHIPPER: 3986293* GUIA: *D001187875*</t>
  </si>
  <si>
    <t>07-01-2026 00:39</t>
  </si>
  <si>
    <t>D001177560</t>
  </si>
  <si>
    <t>ENTRADA POR GANANCIA EN LA ORDEN COMO DROPSHIPPER: 3969348* GUIA: *D001177560*</t>
  </si>
  <si>
    <t>D001177564</t>
  </si>
  <si>
    <t>ENTRADA POR GANANCIA EN LA ORDEN COMO DROPSHIPPER: 3968379* GUIA: *D001177564*</t>
  </si>
  <si>
    <t>D001177573</t>
  </si>
  <si>
    <t>ENTRADA POR GANANCIA EN LA ORDEN COMO DROPSHIPPER: 3965603* GUIA: *D001177573*</t>
  </si>
  <si>
    <t>D001177575</t>
  </si>
  <si>
    <t>ENTRADA POR GANANCIA EN LA ORDEN COMO DROPSHIPPER: 3965560* GUIA: *D001177575*</t>
  </si>
  <si>
    <t>D001177578</t>
  </si>
  <si>
    <t>ENTRADA POR GANANCIA EN LA ORDEN COMO DROPSHIPPER: 3964428* GUIA: *D001177578*</t>
  </si>
  <si>
    <t>D001177586</t>
  </si>
  <si>
    <t>ENTRADA POR GANANCIA EN LA ORDEN COMO DROPSHIPPER: 3962717* GUIA: *D001177586*</t>
  </si>
  <si>
    <t>D001177592</t>
  </si>
  <si>
    <t>ENTRADA POR GANANCIA EN LA ORDEN COMO DROPSHIPPER: 3962066* GUIA: *D001177592*</t>
  </si>
  <si>
    <t>D001177595</t>
  </si>
  <si>
    <t>ENTRADA POR GANANCIA EN LA ORDEN COMO DROPSHIPPER: 3961502* GUIA: *D001177595*</t>
  </si>
  <si>
    <t>D001177612</t>
  </si>
  <si>
    <t>ENTRADA POR GANANCIA EN LA ORDEN COMO DROPSHIPPER: 3958858* GUIA: *D001177612*</t>
  </si>
  <si>
    <t>D001177649</t>
  </si>
  <si>
    <t>ENTRADA POR GANANCIA EN LA ORDEN COMO DROPSHIPPER: 3955860* GUIA: *D001177649*</t>
  </si>
  <si>
    <t>D001177666</t>
  </si>
  <si>
    <t>ENTRADA POR GANANCIA EN LA ORDEN COMO DROPSHIPPER: 3955210* GUIA: *D001177666*</t>
  </si>
  <si>
    <t>07-01-2026 00:38</t>
  </si>
  <si>
    <t>D001173208</t>
  </si>
  <si>
    <t>ENTRADA POR GANANCIA EN LA ORDEN COMO DROPSHIPPER: 3953614* GUIA: *D001173208*</t>
  </si>
  <si>
    <t>D001173220</t>
  </si>
  <si>
    <t>ENTRADA POR GANANCIA EN LA ORDEN COMO DROPSHIPPER: 3951105* GUIA: *D001173220*</t>
  </si>
  <si>
    <t>D001177699</t>
  </si>
  <si>
    <t>ENTRADA POR GANANCIA EN LA ORDEN COMO DROPSHIPPER: 3949313* GUIA: *D001177699*</t>
  </si>
  <si>
    <t>ENTRADA POR GANANCIA EN LA ORDEN COMO DROPSHIPPER: 3948725* GUIA: *186904607*</t>
  </si>
  <si>
    <t>ENTRADA POR GANANCIA EN LA ORDEN COMO DROPSHIPPER: 3946669* GUIA: *186904618*</t>
  </si>
  <si>
    <t>D001173270</t>
  </si>
  <si>
    <t>ENTRADA POR GANANCIA EN LA ORDEN COMO DROPSHIPPER: 3946484* GUIA: *D001173270*</t>
  </si>
  <si>
    <t>ENTRADA POR GANANCIA EN LA ORDEN COMO DROPSHIPPER: 3944119* GUIA: *186904623*</t>
  </si>
  <si>
    <t>ENTRADA POR GANANCIA EN LA ORDEN COMO DROPSHIPPER: 3943478* GUIA: *186904625*</t>
  </si>
  <si>
    <t>D001159744</t>
  </si>
  <si>
    <t>ENTRADA POR GANANCIA EN LA ORDEN COMO DROPSHIPPER: 3893511* GUIA: *D001159744*</t>
  </si>
  <si>
    <t>06-01-2026 23:15</t>
  </si>
  <si>
    <t>WYB162243225</t>
  </si>
  <si>
    <t>SALIDA DE COBRO DE DEVOLUCIÓN POR ENTREGA NO EFECTIVA: 3693274</t>
  </si>
  <si>
    <t>06-01-2026 03:05</t>
  </si>
  <si>
    <t>D001159716</t>
  </si>
  <si>
    <t>SALIDA DE COBRO DE DEVOLUCIÓN POR ENTREGA NO EFECTIVA: 3898592</t>
  </si>
  <si>
    <t>D001159688</t>
  </si>
  <si>
    <t>SALIDA DE COBRO DE DEVOLUCIÓN POR ENTREGA NO EFECTIVA: 3912296</t>
  </si>
  <si>
    <t>06-01-2026 00:41</t>
  </si>
  <si>
    <t>D001177556</t>
  </si>
  <si>
    <t>ENTRADA POR GANANCIA EN LA ORDEN COMO DROPSHIPPER: 3972041* GUIA: *D001177556*</t>
  </si>
  <si>
    <t>06-01-2026 00:40</t>
  </si>
  <si>
    <t>D001177594</t>
  </si>
  <si>
    <t>ENTRADA POR GANANCIA EN LA ORDEN COMO DROPSHIPPER: 3961622* GUIA: *D001177594*</t>
  </si>
  <si>
    <t>06-01-2026 00:39</t>
  </si>
  <si>
    <t>D001177673</t>
  </si>
  <si>
    <t>ENTRADA POR GANANCIA EN LA ORDEN COMO DROPSHIPPER: 3954855* GUIA: *D001177673*</t>
  </si>
  <si>
    <t>D001173211</t>
  </si>
  <si>
    <t>ENTRADA POR GANANCIA EN LA ORDEN COMO DROPSHIPPER: 3953542* GUIA: *D001173211*</t>
  </si>
  <si>
    <t>D001173228</t>
  </si>
  <si>
    <t>ENTRADA POR GANANCIA EN LA ORDEN COMO DROPSHIPPER: 3949695* GUIA: *D001173228*</t>
  </si>
  <si>
    <t>D001173253</t>
  </si>
  <si>
    <t>ENTRADA POR GANANCIA EN LA ORDEN COMO DROPSHIPPER: 3947287* GUIA: *D001173253*</t>
  </si>
  <si>
    <t>D001173291</t>
  </si>
  <si>
    <t>ENTRADA POR GANANCIA EN LA ORDEN COMO DROPSHIPPER: 3945299* GUIA: *D001173291*</t>
  </si>
  <si>
    <t>D001173305</t>
  </si>
  <si>
    <t>ENTRADA POR GANANCIA EN LA ORDEN COMO DROPSHIPPER: 3938534* GUIA: *D001173305*</t>
  </si>
  <si>
    <t>D001166712</t>
  </si>
  <si>
    <t>ENTRADA POR GANANCIA EN LA ORDEN COMO DROPSHIPPER: 3938140* GUIA: *D001166712*</t>
  </si>
  <si>
    <t>06-01-2026 00:38</t>
  </si>
  <si>
    <t>D001159696</t>
  </si>
  <si>
    <t>ENTRADA POR GANANCIA EN LA ORDEN COMO DROPSHIPPER: 3903630* GUIA: *D001159696*</t>
  </si>
  <si>
    <t>D001159731</t>
  </si>
  <si>
    <t>ENTRADA POR GANANCIA EN LA ORDEN COMO DROPSHIPPER: 3895698* GUIA: *D001159731*</t>
  </si>
  <si>
    <t>05-01-2026 12:57</t>
  </si>
  <si>
    <t>SALIDA POR COBRO DE FULFILLMENT POR ENTREGA NO EFECTIVA: 3864926</t>
  </si>
  <si>
    <t>SALIDA POR COBRO DE FLETE INICIAL: 3864926</t>
  </si>
  <si>
    <t>05-01-2026 12:56</t>
  </si>
  <si>
    <t>SALIDA POR COBRO DE FULFILLMENT POR ENTREGA NO EFECTIVA: 3864653</t>
  </si>
  <si>
    <t>SALIDA POR COBRO DE FLETE INICIAL: 3864653</t>
  </si>
  <si>
    <t>05-01-2026 11:21</t>
  </si>
  <si>
    <t>LC52434355</t>
  </si>
  <si>
    <t>SALIDA POR COBRO DE FULFILLMENT POR ENTREGA NO EFECTIVA: 3854542</t>
  </si>
  <si>
    <t>SALIDA POR COBRO DE FLETE INICIAL: 3854542</t>
  </si>
  <si>
    <t>05-01-2026 03:01</t>
  </si>
  <si>
    <t>D001150333</t>
  </si>
  <si>
    <t>SALIDA DE COBRO DE DEVOLUCIÓN POR ENTREGA NO EFECTIVA: 3881767</t>
  </si>
  <si>
    <t>D001150331</t>
  </si>
  <si>
    <t>SALIDA DE COBRO DE DEVOLUCIÓN POR ENTREGA NO EFECTIVA: 3882051</t>
  </si>
  <si>
    <t>D001149533</t>
  </si>
  <si>
    <t>SALIDA POR COBRO DE FULFILLMENT POR ENTREGA NO EFECTIVA: 3873428</t>
  </si>
  <si>
    <t>SALIDA DE COBRO DE DEVOLUCIÓN POR ENTREGA NO EFECTIVA: 3873428</t>
  </si>
  <si>
    <t>D001148427</t>
  </si>
  <si>
    <t>SALIDA DE COBRO DE DEVOLUCIÓN POR ENTREGA NO EFECTIVA: 3877953</t>
  </si>
  <si>
    <t>05-01-2026 03:00</t>
  </si>
  <si>
    <t>D001146569</t>
  </si>
  <si>
    <t>SALIDA POR COBRO DE FULFILLMENT POR ENTREGA NO EFECTIVA: 3824811</t>
  </si>
  <si>
    <t>SALIDA DE COBRO DE DEVOLUCIÓN POR ENTREGA NO EFECTIVA: 3824811</t>
  </si>
  <si>
    <t>04-01-2026 09:02</t>
  </si>
  <si>
    <t>04-01-2026 03:00</t>
  </si>
  <si>
    <t>D001146408</t>
  </si>
  <si>
    <t>SALIDA POR COBRO DE FULFILLMENT POR ENTREGA NO EFECTIVA: 3871444</t>
  </si>
  <si>
    <t>SALIDA DE COBRO DE DEVOLUCIÓN POR ENTREGA NO EFECTIVA: 3871444</t>
  </si>
  <si>
    <t>04-01-2026 00:39</t>
  </si>
  <si>
    <t>D001177557</t>
  </si>
  <si>
    <t>ENTRADA POR GANANCIA EN LA ORDEN COMO DROPSHIPPER: 3970319* GUIA: *D001177557*</t>
  </si>
  <si>
    <t>04-01-2026 00:38</t>
  </si>
  <si>
    <t>D001177566</t>
  </si>
  <si>
    <t>ENTRADA POR GANANCIA EN LA ORDEN COMO DROPSHIPPER: 3967446* GUIA: *D001177566*</t>
  </si>
  <si>
    <t>D001177608</t>
  </si>
  <si>
    <t>ENTRADA POR GANANCIA EN LA ORDEN COMO DROPSHIPPER: 3959518* GUIA: *D001177608*</t>
  </si>
  <si>
    <t>D001173180</t>
  </si>
  <si>
    <t>ENTRADA POR GANANCIA EN LA ORDEN COMO DROPSHIPPER: 3956251* GUIA: *D001173180*</t>
  </si>
  <si>
    <t>D001173189</t>
  </si>
  <si>
    <t>ENTRADA POR GANANCIA EN LA ORDEN COMO DROPSHIPPER: 3955267* GUIA: *D001173189*</t>
  </si>
  <si>
    <t>D001177669</t>
  </si>
  <si>
    <t>ENTRADA POR GANANCIA EN LA ORDEN COMO DROPSHIPPER: 3954882* GUIA: *D001177669*</t>
  </si>
  <si>
    <t>D001173198</t>
  </si>
  <si>
    <t>ENTRADA POR GANANCIA EN LA ORDEN COMO DROPSHIPPER: 3954790* GUIA: *D001173198*</t>
  </si>
  <si>
    <t>D001173200</t>
  </si>
  <si>
    <t>ENTRADA POR GANANCIA EN LA ORDEN COMO DROPSHIPPER: 3953937* GUIA: *D001173200*</t>
  </si>
  <si>
    <t>D001173214</t>
  </si>
  <si>
    <t>ENTRADA POR GANANCIA EN LA ORDEN COMO DROPSHIPPER: 3953520* GUIA: *D001173214*</t>
  </si>
  <si>
    <t>D001173216</t>
  </si>
  <si>
    <t>ENTRADA POR GANANCIA EN LA ORDEN COMO DROPSHIPPER: 3952989* GUIA: *D001173216*</t>
  </si>
  <si>
    <t>D001173246</t>
  </si>
  <si>
    <t>ENTRADA POR GANANCIA EN LA ORDEN COMO DROPSHIPPER: 3948313* GUIA: *D001173246*</t>
  </si>
  <si>
    <t>D001173251</t>
  </si>
  <si>
    <t>ENTRADA POR GANANCIA EN LA ORDEN COMO DROPSHIPPER: 3947545* GUIA: *D001173251*</t>
  </si>
  <si>
    <t>D001173267</t>
  </si>
  <si>
    <t>ENTRADA POR GANANCIA EN LA ORDEN COMO DROPSHIPPER: 3946640* GUIA: *D001173267*</t>
  </si>
  <si>
    <t>D001173274</t>
  </si>
  <si>
    <t>ENTRADA POR GANANCIA EN LA ORDEN COMO DROPSHIPPER: 3945896* GUIA: *D001173274*</t>
  </si>
  <si>
    <t>D001173278</t>
  </si>
  <si>
    <t>ENTRADA POR GANANCIA EN LA ORDEN COMO DROPSHIPPER: 3945882* GUIA: *D001173278*</t>
  </si>
  <si>
    <t>D001173289</t>
  </si>
  <si>
    <t>ENTRADA POR GANANCIA EN LA ORDEN COMO DROPSHIPPER: 3945570* GUIA: *D001173289*</t>
  </si>
  <si>
    <t>D001173293</t>
  </si>
  <si>
    <t>ENTRADA POR GANANCIA EN LA ORDEN COMO DROPSHIPPER: 3944116* GUIA: *D001173293*</t>
  </si>
  <si>
    <t>D001173304</t>
  </si>
  <si>
    <t>ENTRADA POR GANANCIA EN LA ORDEN COMO DROPSHIPPER: 3939539* GUIA: *D001173304*</t>
  </si>
  <si>
    <t>D001166722</t>
  </si>
  <si>
    <t>ENTRADA POR GANANCIA EN LA ORDEN COMO DROPSHIPPER: 3937544* GUIA: *D001166722*</t>
  </si>
  <si>
    <t>D001150318</t>
  </si>
  <si>
    <t>ENTRADA POR GANANCIA EN LA ORDEN COMO DROPSHIPPER: 3883674* GUIA: *D001150318*</t>
  </si>
  <si>
    <t>03-01-2026 03:07</t>
  </si>
  <si>
    <t>D001159748</t>
  </si>
  <si>
    <t>SALIDA DE COBRO DE DEVOLUCIÓN POR ENTREGA NO EFECTIVA: 3892529</t>
  </si>
  <si>
    <t>03-01-2026 03:06</t>
  </si>
  <si>
    <t>D001159724</t>
  </si>
  <si>
    <t>SALIDA DE COBRO DE DEVOLUCIÓN POR ENTREGA NO EFECTIVA: 3896235</t>
  </si>
  <si>
    <t>03-01-2026 03:04</t>
  </si>
  <si>
    <t>D001150334</t>
  </si>
  <si>
    <t>SALIDA DE COBRO DE DEVOLUCIÓN POR ENTREGA NO EFECTIVA: 3881651</t>
  </si>
  <si>
    <t>03-01-2026 03:03</t>
  </si>
  <si>
    <t>D001149553</t>
  </si>
  <si>
    <t>SALIDA POR COBRO DE FULFILLMENT POR ENTREGA NO EFECTIVA: 3872307</t>
  </si>
  <si>
    <t>SALIDA DE COBRO DE DEVOLUCIÓN POR ENTREGA NO EFECTIVA: 3872307</t>
  </si>
  <si>
    <t>D001149550</t>
  </si>
  <si>
    <t>SALIDA POR COBRO DE FULFILLMENT POR ENTREGA NO EFECTIVA: 3872462</t>
  </si>
  <si>
    <t>SALIDA DE COBRO DE DEVOLUCIÓN POR ENTREGA NO EFECTIVA: 3872462</t>
  </si>
  <si>
    <t>D001149548</t>
  </si>
  <si>
    <t>SALIDA POR COBRO DE FULFILLMENT POR ENTREGA NO EFECTIVA: 3872595</t>
  </si>
  <si>
    <t>SALIDA DE COBRO DE DEVOLUCIÓN POR ENTREGA NO EFECTIVA: 3872595</t>
  </si>
  <si>
    <t>D001149547</t>
  </si>
  <si>
    <t>SALIDA POR COBRO DE FULFILLMENT POR ENTREGA NO EFECTIVA: 3872612</t>
  </si>
  <si>
    <t>SALIDA DE COBRO DE DEVOLUCIÓN POR ENTREGA NO EFECTIVA: 3872612</t>
  </si>
  <si>
    <t>D001149543</t>
  </si>
  <si>
    <t>SALIDA POR COBRO DE FULFILLMENT POR ENTREGA NO EFECTIVA: 3872913</t>
  </si>
  <si>
    <t>SALIDA DE COBRO DE DEVOLUCIÓN POR ENTREGA NO EFECTIVA: 3872913</t>
  </si>
  <si>
    <t>D001149542</t>
  </si>
  <si>
    <t>SALIDA POR COBRO DE FULFILLMENT POR ENTREGA NO EFECTIVA: 3872967</t>
  </si>
  <si>
    <t>SALIDA DE COBRO DE DEVOLUCIÓN POR ENTREGA NO EFECTIVA: 3872967</t>
  </si>
  <si>
    <t>D001149540</t>
  </si>
  <si>
    <t>SALIDA POR COBRO DE FULFILLMENT POR ENTREGA NO EFECTIVA: 3872992</t>
  </si>
  <si>
    <t>SALIDA DE COBRO DE DEVOLUCIÓN POR ENTREGA NO EFECTIVA: 3872992</t>
  </si>
  <si>
    <t>SALIDA POR COBRO DE FULFILLMENT POR ENTREGA NO EFECTIVA: 3873012</t>
  </si>
  <si>
    <t>SALIDA DE COBRO DE DEVOLUCIÓN POR ENTREGA NO EFECTIVA: 3873012</t>
  </si>
  <si>
    <t>D001149537</t>
  </si>
  <si>
    <t>SALIDA POR COBRO DE FULFILLMENT POR ENTREGA NO EFECTIVA: 3873063</t>
  </si>
  <si>
    <t>SALIDA DE COBRO DE DEVOLUCIÓN POR ENTREGA NO EFECTIVA: 3873063</t>
  </si>
  <si>
    <t>D001149523</t>
  </si>
  <si>
    <t>SALIDA POR COBRO DE FULFILLMENT POR ENTREGA NO EFECTIVA: 3873897</t>
  </si>
  <si>
    <t>SALIDA DE COBRO DE DEVOLUCIÓN POR ENTREGA NO EFECTIVA: 3873897</t>
  </si>
  <si>
    <t>D001149522</t>
  </si>
  <si>
    <t>SALIDA POR COBRO DE FULFILLMENT POR ENTREGA NO EFECTIVA: 3873956</t>
  </si>
  <si>
    <t>SALIDA DE COBRO DE DEVOLUCIÓN POR ENTREGA NO EFECTIVA: 3873956</t>
  </si>
  <si>
    <t>03-01-2026 03:01</t>
  </si>
  <si>
    <t>D001146574</t>
  </si>
  <si>
    <t>SALIDA POR COBRO DE FULFILLMENT POR ENTREGA NO EFECTIVA: 3815796</t>
  </si>
  <si>
    <t>SALIDA DE COBRO DE DEVOLUCIÓN POR ENTREGA NO EFECTIVA: 3815796</t>
  </si>
  <si>
    <t>D001146565</t>
  </si>
  <si>
    <t>SALIDA POR COBRO DE FULFILLMENT POR ENTREGA NO EFECTIVA: 3826021</t>
  </si>
  <si>
    <t>SALIDA DE COBRO DE DEVOLUCIÓN POR ENTREGA NO EFECTIVA: 3826021</t>
  </si>
  <si>
    <t>D001146542</t>
  </si>
  <si>
    <t>SALIDA POR COBRO DE FULFILLMENT POR ENTREGA NO EFECTIVA: 3871789</t>
  </si>
  <si>
    <t>SALIDA DE COBRO DE DEVOLUCIÓN POR ENTREGA NO EFECTIVA: 3871789</t>
  </si>
  <si>
    <t>D001146541</t>
  </si>
  <si>
    <t>SALIDA POR COBRO DE FULFILLMENT POR ENTREGA NO EFECTIVA: 3871876</t>
  </si>
  <si>
    <t>SALIDA DE COBRO DE DEVOLUCIÓN POR ENTREGA NO EFECTIVA: 3871876</t>
  </si>
  <si>
    <t>D001146534</t>
  </si>
  <si>
    <t>SALIDA POR COBRO DE FULFILLMENT POR ENTREGA NO EFECTIVA: 3871955</t>
  </si>
  <si>
    <t>SALIDA DE COBRO DE DEVOLUCIÓN POR ENTREGA NO EFECTIVA: 3871955</t>
  </si>
  <si>
    <t>D001146508</t>
  </si>
  <si>
    <t>SALIDA POR COBRO DE FULFILLMENT POR ENTREGA NO EFECTIVA: 3826453</t>
  </si>
  <si>
    <t>SALIDA DE COBRO DE DEVOLUCIÓN POR ENTREGA NO EFECTIVA: 3826453</t>
  </si>
  <si>
    <t>D001146506</t>
  </si>
  <si>
    <t>SALIDA POR COBRO DE FULFILLMENT POR ENTREGA NO EFECTIVA: 3827719</t>
  </si>
  <si>
    <t>SALIDA DE COBRO DE DEVOLUCIÓN POR ENTREGA NO EFECTIVA: 3827719</t>
  </si>
  <si>
    <t>D001146505</t>
  </si>
  <si>
    <t>SALIDA POR COBRO DE FULFILLMENT POR ENTREGA NO EFECTIVA: 3827723</t>
  </si>
  <si>
    <t>SALIDA DE COBRO DE DEVOLUCIÓN POR ENTREGA NO EFECTIVA: 3827723</t>
  </si>
  <si>
    <t>D001146503</t>
  </si>
  <si>
    <t>SALIDA POR COBRO DE FULFILLMENT POR ENTREGA NO EFECTIVA: 3831384</t>
  </si>
  <si>
    <t>SALIDA DE COBRO DE DEVOLUCIÓN POR ENTREGA NO EFECTIVA: 3831384</t>
  </si>
  <si>
    <t>D001146495</t>
  </si>
  <si>
    <t>SALIDA POR COBRO DE FULFILLMENT POR ENTREGA NO EFECTIVA: 3851266</t>
  </si>
  <si>
    <t>SALIDA DE COBRO DE DEVOLUCIÓN POR ENTREGA NO EFECTIVA: 3851266</t>
  </si>
  <si>
    <t>D001146494</t>
  </si>
  <si>
    <t>SALIDA POR COBRO DE FULFILLMENT POR ENTREGA NO EFECTIVA: 3852464</t>
  </si>
  <si>
    <t>SALIDA DE COBRO DE DEVOLUCIÓN POR ENTREGA NO EFECTIVA: 3852464</t>
  </si>
  <si>
    <t>01-01-2026 01:00</t>
  </si>
  <si>
    <t>SALIDA POR COBRO DE FULFILLMENT POR ENTREGA NO EFECTIVA: 3682161</t>
  </si>
  <si>
    <t>SALIDA POR COBRO DE FLETE INICIAL: 3682161</t>
  </si>
  <si>
    <t>01-01-2026 00:38</t>
  </si>
  <si>
    <t>ENTRADA POR GANANCIA EN LA ORDEN COMO DROPSHIPPER: 3943699* GUIA: *186896241*</t>
  </si>
  <si>
    <t xml:space="preserve">PRODUCTO </t>
  </si>
  <si>
    <t xml:space="preserve">CONFIRMACION 1 </t>
  </si>
  <si>
    <t xml:space="preserve">CONFIRMACION 2 </t>
  </si>
  <si>
    <t>CONFIRMACION 3</t>
  </si>
  <si>
    <t>NOVEDAD 1</t>
  </si>
  <si>
    <t xml:space="preserve">NOVEDAD 2 </t>
  </si>
  <si>
    <t>NOVEDAD 3</t>
  </si>
  <si>
    <t>Hola, {NOMBRE}
Queremos confirmar los detalles de tu pedido y la direccion en donde sera entregado:
Producto: {CANTIDAD} {PRODUCTO}
Valor: ${VALOR}
Direccion: {DIRECCION}, {CIUDAD} - {PROVINCIA}
Confirmanos si todo esta correcto respondiendo CONFIRMADO</t>
  </si>
  <si>
    <t xml:space="preserve">FECHA </t>
  </si>
  <si>
    <t xml:space="preserve">NOMBRE </t>
  </si>
  <si>
    <t xml:space="preserve">ESTADO </t>
  </si>
  <si>
    <t xml:space="preserve">ID </t>
  </si>
  <si>
    <t xml:space="preserve">CONTACTO </t>
  </si>
  <si>
    <t xml:space="preserve">LINK WHASAPP </t>
  </si>
  <si>
    <t xml:space="preserve">OBSERBACIONES </t>
  </si>
  <si>
    <t>593969076621</t>
  </si>
  <si>
    <t>593983713271</t>
  </si>
  <si>
    <t>593983076106</t>
  </si>
  <si>
    <t>593967599083</t>
  </si>
  <si>
    <t>593969345643</t>
  </si>
  <si>
    <t>593991271195</t>
  </si>
  <si>
    <t>593999909284</t>
  </si>
  <si>
    <t>593994961093</t>
  </si>
  <si>
    <t>593998148020</t>
  </si>
  <si>
    <t>593995649035</t>
  </si>
  <si>
    <t>593985391767</t>
  </si>
  <si>
    <t>593987912213</t>
  </si>
  <si>
    <t>593987691121</t>
  </si>
  <si>
    <t>593969958828</t>
  </si>
  <si>
    <t>593997233084</t>
  </si>
  <si>
    <t>593984645032</t>
  </si>
  <si>
    <t>593999646105</t>
  </si>
  <si>
    <t>593992777624</t>
  </si>
  <si>
    <t>593995414068</t>
  </si>
  <si>
    <t>593993223824</t>
  </si>
  <si>
    <t>593994181004</t>
  </si>
  <si>
    <t>593988810361</t>
  </si>
  <si>
    <t>593983960630</t>
  </si>
  <si>
    <t>593981673958</t>
  </si>
  <si>
    <t>593998844838</t>
  </si>
  <si>
    <t>593993044886</t>
  </si>
  <si>
    <t>593998930648</t>
  </si>
  <si>
    <t>593996124553</t>
  </si>
  <si>
    <t>593988017052</t>
  </si>
  <si>
    <t>593988335015</t>
  </si>
  <si>
    <t>593986139409</t>
  </si>
  <si>
    <t>593969236976</t>
  </si>
  <si>
    <t>593984977721</t>
  </si>
  <si>
    <t>593999456597</t>
  </si>
  <si>
    <t>593989625886</t>
  </si>
  <si>
    <t>593996343002</t>
  </si>
  <si>
    <t>593993728114</t>
  </si>
  <si>
    <t>593958650644</t>
  </si>
  <si>
    <t>593999661577</t>
  </si>
  <si>
    <t>593984053575</t>
  </si>
  <si>
    <t>593997148250</t>
  </si>
  <si>
    <t>593961044285</t>
  </si>
  <si>
    <t>593999633817</t>
  </si>
  <si>
    <t>593962872062</t>
  </si>
  <si>
    <t>593978800030</t>
  </si>
  <si>
    <t>593999708099</t>
  </si>
  <si>
    <t>593967011199</t>
  </si>
  <si>
    <t>593998431659</t>
  </si>
  <si>
    <t>593963763707</t>
  </si>
  <si>
    <t>593986019433</t>
  </si>
  <si>
    <t>593994568229</t>
  </si>
  <si>
    <t>593963478988</t>
  </si>
  <si>
    <t>593987667518</t>
  </si>
  <si>
    <t>593968553378</t>
  </si>
  <si>
    <t>593998055705</t>
  </si>
  <si>
    <t>593980143787</t>
  </si>
  <si>
    <t>593979879512</t>
  </si>
  <si>
    <t>593991287604</t>
  </si>
  <si>
    <t>593990524711</t>
  </si>
  <si>
    <t>593960207439</t>
  </si>
  <si>
    <t>593967935298</t>
  </si>
  <si>
    <t>593980988097</t>
  </si>
  <si>
    <t>593990022748</t>
  </si>
  <si>
    <t>593995612120</t>
  </si>
  <si>
    <t>593990686703</t>
  </si>
  <si>
    <t>593994896232</t>
  </si>
  <si>
    <t>593992579210</t>
  </si>
  <si>
    <t>593986406970</t>
  </si>
  <si>
    <t>593967629742</t>
  </si>
  <si>
    <t>593984162851</t>
  </si>
  <si>
    <t>593939578560</t>
  </si>
  <si>
    <t>593983029548</t>
  </si>
  <si>
    <t>593996215180</t>
  </si>
  <si>
    <t>593996477023</t>
  </si>
  <si>
    <t>593997468330</t>
  </si>
  <si>
    <t>593982905505</t>
  </si>
  <si>
    <t>593981268434</t>
  </si>
  <si>
    <t>593959898815</t>
  </si>
  <si>
    <t>593981890586</t>
  </si>
  <si>
    <t>593992868172</t>
  </si>
  <si>
    <t>593991101095</t>
  </si>
  <si>
    <t>593981401730</t>
  </si>
  <si>
    <t>593996782585</t>
  </si>
  <si>
    <t>593994074409</t>
  </si>
  <si>
    <t>593992315938</t>
  </si>
  <si>
    <t>593999337297</t>
  </si>
  <si>
    <t>593985755887</t>
  </si>
  <si>
    <t>593992618226</t>
  </si>
  <si>
    <t>593962042029</t>
  </si>
  <si>
    <t>593994229984</t>
  </si>
  <si>
    <t>593968948141</t>
  </si>
  <si>
    <t>593995888637</t>
  </si>
  <si>
    <t>593992100352</t>
  </si>
  <si>
    <t>593988511385</t>
  </si>
  <si>
    <t>593959889626</t>
  </si>
  <si>
    <t>593981497095</t>
  </si>
  <si>
    <t>593992987410</t>
  </si>
  <si>
    <t>593995443289</t>
  </si>
  <si>
    <t>593995440209</t>
  </si>
  <si>
    <t>593982847371</t>
  </si>
  <si>
    <t>593980928708</t>
  </si>
  <si>
    <t>593996055655</t>
  </si>
  <si>
    <t>593985627602</t>
  </si>
  <si>
    <t>593968509801</t>
  </si>
  <si>
    <t>593983962929</t>
  </si>
  <si>
    <t>593991169547</t>
  </si>
  <si>
    <t>593993232133</t>
  </si>
  <si>
    <t>593939625693</t>
  </si>
  <si>
    <t>593999582553</t>
  </si>
  <si>
    <t>593968686954</t>
  </si>
  <si>
    <t>593968646192</t>
  </si>
  <si>
    <t>593998660689</t>
  </si>
  <si>
    <t>593983684366</t>
  </si>
  <si>
    <t>593997589661</t>
  </si>
  <si>
    <t>593986728479</t>
  </si>
  <si>
    <t>593969136804</t>
  </si>
  <si>
    <t>593995625480</t>
  </si>
  <si>
    <t>593969085032</t>
  </si>
  <si>
    <t>593984496502</t>
  </si>
  <si>
    <t>593998278658</t>
  </si>
  <si>
    <t>593960469678</t>
  </si>
  <si>
    <t>593999369822</t>
  </si>
  <si>
    <t>593999718577</t>
  </si>
  <si>
    <t>593958833931</t>
  </si>
  <si>
    <t>593989248818</t>
  </si>
  <si>
    <t>593994876494</t>
  </si>
  <si>
    <t>593986926674</t>
  </si>
  <si>
    <t xml:space="preserve">1 MENSAJE </t>
  </si>
  <si>
    <t>593984748609</t>
  </si>
  <si>
    <t>593964021915</t>
  </si>
  <si>
    <t>593967009756</t>
  </si>
  <si>
    <t>593990148075</t>
  </si>
  <si>
    <t>593994208302</t>
  </si>
  <si>
    <t>593998055678</t>
  </si>
  <si>
    <t>593984217578</t>
  </si>
  <si>
    <t>593990260010</t>
  </si>
  <si>
    <t>593998199330</t>
  </si>
  <si>
    <t>593981255561</t>
  </si>
  <si>
    <t>593981110928</t>
  </si>
  <si>
    <t>593968572160</t>
  </si>
  <si>
    <t>593994427946</t>
  </si>
  <si>
    <t>593939859850</t>
  </si>
  <si>
    <t>593969361405</t>
  </si>
  <si>
    <t>593999344315</t>
  </si>
  <si>
    <t>593998308778</t>
  </si>
  <si>
    <t>593991119553</t>
  </si>
  <si>
    <t>593980041440</t>
  </si>
  <si>
    <t>593995076008</t>
  </si>
  <si>
    <t>593969962854</t>
  </si>
  <si>
    <t>593990389561</t>
  </si>
  <si>
    <t>593983307251</t>
  </si>
  <si>
    <t>593986317045</t>
  </si>
  <si>
    <t>593994363091</t>
  </si>
  <si>
    <t>593969385695</t>
  </si>
  <si>
    <t>593998088510</t>
  </si>
  <si>
    <t>593991268241</t>
  </si>
  <si>
    <t>593991343247</t>
  </si>
  <si>
    <t>593993976328</t>
  </si>
  <si>
    <t>593980680449</t>
  </si>
  <si>
    <t>593995620203</t>
  </si>
  <si>
    <t xml:space="preserve">No tiene whatsapp </t>
  </si>
  <si>
    <t>593963121544</t>
  </si>
  <si>
    <t>593987422039</t>
  </si>
  <si>
    <t>593989538161</t>
  </si>
  <si>
    <t>593997955473</t>
  </si>
  <si>
    <t>593960112607</t>
  </si>
  <si>
    <t>593962037570</t>
  </si>
  <si>
    <t>593962558506</t>
  </si>
  <si>
    <t>593999912349</t>
  </si>
  <si>
    <t>593997470815</t>
  </si>
  <si>
    <t>593963109022</t>
  </si>
  <si>
    <t>593993459950</t>
  </si>
  <si>
    <t>593987827785</t>
  </si>
  <si>
    <t>593959019051</t>
  </si>
  <si>
    <t>593980092483</t>
  </si>
  <si>
    <t>593967258971</t>
  </si>
  <si>
    <t>593978683951</t>
  </si>
  <si>
    <t>593959104899</t>
  </si>
  <si>
    <t>593959127265</t>
  </si>
  <si>
    <t>593962881946</t>
  </si>
  <si>
    <t>593997446869</t>
  </si>
  <si>
    <t>593959593157</t>
  </si>
  <si>
    <t>593969121535</t>
  </si>
  <si>
    <t>593988728099</t>
  </si>
  <si>
    <t>593968389959</t>
  </si>
  <si>
    <t>593959268087</t>
  </si>
  <si>
    <t>593988802131</t>
  </si>
  <si>
    <t>593998421850</t>
  </si>
  <si>
    <t>593998480480</t>
  </si>
  <si>
    <t>593989439490</t>
  </si>
  <si>
    <t>593981574916</t>
  </si>
  <si>
    <t>593986725948</t>
  </si>
  <si>
    <t>593991124094</t>
  </si>
  <si>
    <t>593967361322</t>
  </si>
  <si>
    <t>593979660565</t>
  </si>
  <si>
    <t>593981299351</t>
  </si>
  <si>
    <t>593990423564</t>
  </si>
  <si>
    <t>593997378707</t>
  </si>
  <si>
    <t>593984654150</t>
  </si>
  <si>
    <t>593986358514</t>
  </si>
  <si>
    <t>593996821392</t>
  </si>
  <si>
    <t>593990623377</t>
  </si>
  <si>
    <t>593986776013</t>
  </si>
  <si>
    <t>593993678840</t>
  </si>
  <si>
    <t>593991722743</t>
  </si>
  <si>
    <t>593939980534</t>
  </si>
  <si>
    <t>593990846486</t>
  </si>
  <si>
    <t>593995401414</t>
  </si>
  <si>
    <t>593991471780</t>
  </si>
  <si>
    <t>593960528099</t>
  </si>
  <si>
    <t>593995235820</t>
  </si>
  <si>
    <t>593939356053</t>
  </si>
  <si>
    <t>593994329091</t>
  </si>
  <si>
    <t>593992840596</t>
  </si>
  <si>
    <t>593995628630</t>
  </si>
  <si>
    <t>593997112639</t>
  </si>
  <si>
    <t>593992333169</t>
  </si>
  <si>
    <t>593983489344</t>
  </si>
  <si>
    <t>593993171712</t>
  </si>
  <si>
    <t>593997047188</t>
  </si>
  <si>
    <t>593984122690</t>
  </si>
  <si>
    <t>593980729099</t>
  </si>
  <si>
    <t>593996501959</t>
  </si>
  <si>
    <t>593979110761</t>
  </si>
  <si>
    <t>593959203242</t>
  </si>
  <si>
    <t>593990778062</t>
  </si>
  <si>
    <t>593985747364</t>
  </si>
  <si>
    <t>593969199972</t>
  </si>
  <si>
    <t>59398798022</t>
  </si>
  <si>
    <t>593999179310</t>
  </si>
  <si>
    <t>593960214154</t>
  </si>
  <si>
    <t>593939576665</t>
  </si>
  <si>
    <t>593998025031</t>
  </si>
  <si>
    <t>593968412758</t>
  </si>
  <si>
    <t>593981017807</t>
  </si>
  <si>
    <t>593998675041</t>
  </si>
  <si>
    <t>593995187530</t>
  </si>
  <si>
    <t>593992144935</t>
  </si>
  <si>
    <t>593981107507</t>
  </si>
  <si>
    <t>593982918279</t>
  </si>
  <si>
    <t>593998060965</t>
  </si>
  <si>
    <t>593987233298</t>
  </si>
  <si>
    <t>593985992365</t>
  </si>
  <si>
    <t>593986860264</t>
  </si>
  <si>
    <t>593993034467</t>
  </si>
  <si>
    <t>593999459383</t>
  </si>
  <si>
    <t>593981263532</t>
  </si>
  <si>
    <t>593982856884</t>
  </si>
  <si>
    <t>593991393778</t>
  </si>
  <si>
    <t>593978738187</t>
  </si>
  <si>
    <t>593997914127</t>
  </si>
  <si>
    <t>593984444705</t>
  </si>
  <si>
    <t>593989147228</t>
  </si>
  <si>
    <t>593958964033</t>
  </si>
  <si>
    <t>593986729725</t>
  </si>
  <si>
    <t>593995336267</t>
  </si>
  <si>
    <t>593967582617</t>
  </si>
  <si>
    <t>593939130538</t>
  </si>
  <si>
    <t>593994767785</t>
  </si>
  <si>
    <t/>
  </si>
  <si>
    <t>Estado fuente</t>
  </si>
  <si>
    <t>Estado final</t>
  </si>
  <si>
    <t>PENDIENTE CONFIRMACION</t>
  </si>
  <si>
    <t>PENDIENTE</t>
  </si>
  <si>
    <t>PROCESO</t>
  </si>
  <si>
    <t>DESPACHADAS A SU DESTINO</t>
  </si>
  <si>
    <t>GUIA_GENERADA</t>
  </si>
  <si>
    <t>DEVOLUCION EN BODEGA</t>
  </si>
  <si>
    <t>SALIO A RUTA</t>
  </si>
  <si>
    <t>EN REPARTO</t>
  </si>
  <si>
    <t>EN CAMINO</t>
  </si>
  <si>
    <t>EN BODEGA</t>
  </si>
  <si>
    <t>EN BODEGA ORIGEN</t>
  </si>
  <si>
    <t>DESTINATARIO RE-PROGRAMA FECHA DE ENTREGA</t>
  </si>
  <si>
    <t>EN DISTRIBUCION PARA ENTREGA EN AGENCIA</t>
  </si>
  <si>
    <t>EN DISTRIBUCIÓN A CLIENTE</t>
  </si>
  <si>
    <t>PARA RETIRO EN AGENCIA SERVIENTREGA</t>
  </si>
  <si>
    <t>EN RUTA A CONCESION</t>
  </si>
  <si>
    <t>INGRESANDO DE RECOLECCION A</t>
  </si>
  <si>
    <t>INGRESANDO OPERATIVO A</t>
  </si>
  <si>
    <t>MERCANCÍA CON AVERÍA EN REPARTO. INDEMNIZACIÓN</t>
  </si>
  <si>
    <t>PREPARADO PARA TRANSPORTADORA</t>
  </si>
  <si>
    <t>CANCELADO</t>
  </si>
  <si>
    <t>CANCELADA POR TRANSPORTADORA</t>
  </si>
  <si>
    <t>ENTREGADO</t>
  </si>
  <si>
    <t>FUERA DE COBERTURA, NO COINCIDE LA CIUDAD REAL DESTINO CON LA CIUDAD INGRESADA</t>
  </si>
  <si>
    <t>NOVEDAD</t>
  </si>
  <si>
    <t>SOLUCION APROBADA</t>
  </si>
  <si>
    <t>SOLUCION INCORRECTA</t>
  </si>
  <si>
    <t>DEVOLUCIÓN</t>
  </si>
  <si>
    <t>NOVEDAD SOLUCIONADA</t>
  </si>
  <si>
    <t>EN TRÁNSITO</t>
  </si>
  <si>
    <t>N°</t>
  </si>
  <si>
    <t xml:space="preserve"> ESTADO </t>
  </si>
  <si>
    <t>user_ns</t>
  </si>
  <si>
    <t>NOMBRE USUARIO</t>
  </si>
  <si>
    <t xml:space="preserve">AGENTE </t>
  </si>
  <si>
    <t>FRASES INUSUALES DE USUARIOS AL BOOT</t>
  </si>
  <si>
    <t xml:space="preserve">PENDIENTE </t>
  </si>
  <si>
    <t>ESPERANDO RESPUESTA</t>
  </si>
  <si>
    <t>f223059u536122465</t>
  </si>
  <si>
    <t>A COMO SALEN!</t>
  </si>
  <si>
    <t>f223059u536143691</t>
  </si>
  <si>
    <t xml:space="preserve">LOCAL FISICO </t>
  </si>
  <si>
    <t>f223059u536149715</t>
  </si>
  <si>
    <t xml:space="preserve">OTROS MODELOS </t>
  </si>
  <si>
    <t>f223059u536213511</t>
  </si>
  <si>
    <t>f223059u536327977</t>
  </si>
  <si>
    <t>f223059u536442951</t>
  </si>
  <si>
    <t>RESUELTO</t>
  </si>
  <si>
    <t>NO COMPRA</t>
  </si>
  <si>
    <t>POR CONFIRMAR (MONITOREAR)</t>
  </si>
  <si>
    <t xml:space="preserve">RESUELTO </t>
  </si>
  <si>
    <t xml:space="preserve">VISITA LOCAL </t>
  </si>
  <si>
    <t xml:space="preserve">EN PROCESO </t>
  </si>
  <si>
    <t xml:space="preserve"> ENVIO EN PROCESO</t>
  </si>
  <si>
    <t>JBL BOOMBOX 3 AAA</t>
  </si>
  <si>
    <t>Félix Roberts</t>
  </si>
  <si>
    <t>AB</t>
  </si>
  <si>
    <t xml:space="preserve">NOMBRES Y PELLIDOS </t>
  </si>
  <si>
    <t>COSTO PROVEDOR</t>
  </si>
  <si>
    <t>CANTIDAD</t>
  </si>
  <si>
    <t>PRECIO TOTAL</t>
  </si>
  <si>
    <t xml:space="preserve">PLATAFORMA </t>
  </si>
  <si>
    <t xml:space="preserve">PROVINCIA </t>
  </si>
  <si>
    <t xml:space="preserve">CSTENVIO </t>
  </si>
  <si>
    <t>CST DEV</t>
  </si>
  <si>
    <t>ASESOR</t>
  </si>
  <si>
    <t># PEDIDO</t>
  </si>
  <si>
    <t>ESTADO</t>
  </si>
  <si>
    <t>OBSERBACION</t>
  </si>
  <si>
    <t>DIFERENCIA</t>
  </si>
  <si>
    <t>DEVOLUCIONES</t>
  </si>
  <si>
    <t xml:space="preserve"># DEV </t>
  </si>
  <si>
    <t>IP</t>
  </si>
  <si>
    <t>Cristian Gabriel Alcivar loor</t>
  </si>
  <si>
    <t>DROPI</t>
  </si>
  <si>
    <t>MANABI</t>
  </si>
  <si>
    <t xml:space="preserve">
Bayron Gomez</t>
  </si>
  <si>
    <t>Luis Robayo</t>
  </si>
  <si>
    <t>PICHINCHA</t>
  </si>
  <si>
    <t>Jorge Washington Arias Espín</t>
  </si>
  <si>
    <t xml:space="preserve">TUNGURAHUA </t>
  </si>
  <si>
    <t>Segundo Edgar Morejon Salazar</t>
  </si>
  <si>
    <t>COTOPAXI</t>
  </si>
  <si>
    <t>Roberto Cantos</t>
  </si>
  <si>
    <t>Diego Leonardo Capurro grefa</t>
  </si>
  <si>
    <t>NAPO</t>
  </si>
  <si>
    <t>Ronald Jackson Álvarez Bravo</t>
  </si>
  <si>
    <t>GUAYAS</t>
  </si>
  <si>
    <t>Patricia janeth Rojas</t>
  </si>
  <si>
    <t>LOJA</t>
  </si>
  <si>
    <t>Yuli Intriago</t>
  </si>
  <si>
    <t>SANTO DOMINGO</t>
  </si>
  <si>
    <t>Monica Lopez Caicedo</t>
  </si>
  <si>
    <t>Luis Alfonso Cedeño Palacios</t>
  </si>
  <si>
    <t>Franklin Cueva Rodríguez</t>
  </si>
  <si>
    <t>Patricio schettino Faubla Schettino faubla</t>
  </si>
  <si>
    <t>Milton Armando</t>
  </si>
  <si>
    <t>Edgar Marcelo Rodríguez</t>
  </si>
  <si>
    <t xml:space="preserve">PASTAZA </t>
  </si>
  <si>
    <t>Milena Valdez</t>
  </si>
  <si>
    <t>Cardenas Diego</t>
  </si>
  <si>
    <t>Edison Tapia</t>
  </si>
  <si>
    <t>Luis Pilataxi</t>
  </si>
  <si>
    <t>ORLY jose Rivera Burnhan</t>
  </si>
  <si>
    <t>Víctor Guerrero Guerrero</t>
  </si>
  <si>
    <t>Ninon Quintero Castillo</t>
  </si>
  <si>
    <t>ESMERALDAS</t>
  </si>
  <si>
    <t>Víctor Holguin</t>
  </si>
  <si>
    <t>Isaías Poveda</t>
  </si>
  <si>
    <t>Jajaira Rivera</t>
  </si>
  <si>
    <t>CLIENTE NO CONTESTA LLAMADAS</t>
  </si>
  <si>
    <t>José Chicaiza</t>
  </si>
  <si>
    <t>Cenia Yadira Choez Jiménez</t>
  </si>
  <si>
    <t>Susana Aguirre Maldonado Aguirre Maldonado</t>
  </si>
  <si>
    <t>Freya Pazmiño</t>
  </si>
  <si>
    <t xml:space="preserve">ORELLANA </t>
  </si>
  <si>
    <t>Marcelo Castanier</t>
  </si>
  <si>
    <t>CAÑAR</t>
  </si>
  <si>
    <t>María Chávez Chávez</t>
  </si>
  <si>
    <t>AZUAY</t>
  </si>
  <si>
    <t>Jhonny Demera</t>
  </si>
  <si>
    <t>Feliz chavez Chavez</t>
  </si>
  <si>
    <t xml:space="preserve">MANABI </t>
  </si>
  <si>
    <t>Luis Zuniga</t>
  </si>
  <si>
    <t>JUAN RAMÍREZ</t>
  </si>
  <si>
    <t>EL ORO</t>
  </si>
  <si>
    <t>Isabel Cueva arias</t>
  </si>
  <si>
    <t>Lionso Rigoberto Holguin Moreno</t>
  </si>
  <si>
    <t>CLIENTE PIDIO 2 X $25 (EN OFICINA 2X$30)</t>
  </si>
  <si>
    <t>Enrique Vasconez</t>
  </si>
  <si>
    <t>RAMIRO MENESES</t>
  </si>
  <si>
    <t>IMBABURA</t>
  </si>
  <si>
    <t>Betsabeth Gonzalez</t>
  </si>
  <si>
    <t>Jorge Sánchez</t>
  </si>
  <si>
    <t>Jose segundo Castaneda potosi</t>
  </si>
  <si>
    <t>Regulo Perea Tello</t>
  </si>
  <si>
    <t xml:space="preserve">SUCUMBIOS </t>
  </si>
  <si>
    <t>CLIENTE MOLESTO CON IA</t>
  </si>
  <si>
    <t>César Augusto LLUMIQUINGA</t>
  </si>
  <si>
    <t>Cristian Sigcha</t>
  </si>
  <si>
    <t>Santiago guaman Guaman</t>
  </si>
  <si>
    <t>NO SOLUCIONADO CON SHOPIFY / ZONA ROJA</t>
  </si>
  <si>
    <t>LUIS Vinueza</t>
  </si>
  <si>
    <t>Gerardo Haro</t>
  </si>
  <si>
    <t>Oriol Valenzuela</t>
  </si>
  <si>
    <t>MORONA SANTIAGO</t>
  </si>
  <si>
    <t xml:space="preserve">NO SOLUCIONADO CON SHOPIFY </t>
  </si>
  <si>
    <t>Armando Briones</t>
  </si>
  <si>
    <t>LOS RIOS</t>
  </si>
  <si>
    <t>Joaquín Bolívar Parrales Alcívar</t>
  </si>
  <si>
    <t>Tomas Hidalgo</t>
  </si>
  <si>
    <t>CHIMBORAZO</t>
  </si>
  <si>
    <t>NO ES LO QUE SOLICITO</t>
  </si>
  <si>
    <t>Ingri martinez 0992226503</t>
  </si>
  <si>
    <t>Fernando Medina</t>
  </si>
  <si>
    <t>Luis Verdezoto</t>
  </si>
  <si>
    <t>BOLIVAR</t>
  </si>
  <si>
    <t>Almir Sancán</t>
  </si>
  <si>
    <t>Mayra Gamboa</t>
  </si>
  <si>
    <t>Andres Verswyvel</t>
  </si>
  <si>
    <t>Ernesto Gallo</t>
  </si>
  <si>
    <t>Apablo Aguayo</t>
  </si>
  <si>
    <t>Cesar Cabrera</t>
  </si>
  <si>
    <t>Rene Moreira Manuel</t>
  </si>
  <si>
    <t>Carlos Cotacachi</t>
  </si>
  <si>
    <t>Walter Mendoza Navarro Mendoza Navarro</t>
  </si>
  <si>
    <t>Marco Flores</t>
  </si>
  <si>
    <t>Antonio García</t>
  </si>
  <si>
    <t>Iván Trujillo</t>
  </si>
  <si>
    <t>rolando Castro Alvarado</t>
  </si>
  <si>
    <t>Marco antonio Alvarado roman</t>
  </si>
  <si>
    <t>Ricardo King</t>
  </si>
  <si>
    <t>Flavio polivio Andrade Maldonado</t>
  </si>
  <si>
    <t>Santiago Garrido</t>
  </si>
  <si>
    <t xml:space="preserve">FilmPro® </t>
  </si>
  <si>
    <t>Wendy Tatiana Alvarado Vargas</t>
  </si>
  <si>
    <t>Wilson Javier Toro Alava Toro Alava</t>
  </si>
  <si>
    <t>STA ELENA</t>
  </si>
  <si>
    <t>GUSTAVO Luna</t>
  </si>
  <si>
    <t xml:space="preserve">Lauro Cedeño Cobeña
</t>
  </si>
  <si>
    <t>Victor arguello Arguello</t>
  </si>
  <si>
    <t>Alejandra Gavela</t>
  </si>
  <si>
    <t>Klever Eduardo cedeño parraga</t>
  </si>
  <si>
    <t>Alfonso Roldan</t>
  </si>
  <si>
    <t>Washington Díaz</t>
  </si>
  <si>
    <t>Yohanna Rosales</t>
  </si>
  <si>
    <t xml:space="preserve">EL ORO </t>
  </si>
  <si>
    <t>Luis Alvaro Ricaurte Velez</t>
  </si>
  <si>
    <t>Ángel Cuenca</t>
  </si>
  <si>
    <t>Edwing Santillan</t>
  </si>
  <si>
    <t>Ramon Andres Normand Santana Normand Santana</t>
  </si>
  <si>
    <t>Carlos Rea</t>
  </si>
  <si>
    <t>Franklin Espinoza</t>
  </si>
  <si>
    <t xml:space="preserve">Carlos Miranda </t>
  </si>
  <si>
    <t xml:space="preserve">PORTOVIEJO </t>
  </si>
  <si>
    <t>Jose Elias Vallejo Montoya</t>
  </si>
  <si>
    <t xml:space="preserve">
</t>
  </si>
  <si>
    <t>CLIENTE NO DESEA PRODUCTO</t>
  </si>
  <si>
    <t>Juan Carlos Rivera</t>
  </si>
  <si>
    <t xml:space="preserve">SANTO DOMINGO </t>
  </si>
  <si>
    <t>Patricio Rodriguez Rodriguez</t>
  </si>
  <si>
    <t>Jorge Washington Figueroa Hernández</t>
  </si>
  <si>
    <t>SUCUMBIOS</t>
  </si>
  <si>
    <t>Juan orellana</t>
  </si>
  <si>
    <t>Jaime Tiro Encalada Guerrero</t>
  </si>
  <si>
    <t>Andrés Valarezo</t>
  </si>
  <si>
    <t>Mireya Caiza</t>
  </si>
  <si>
    <t>Kevin Aguirre</t>
  </si>
  <si>
    <t>Alvaro Maximiliano Tutiven Rodríguez</t>
  </si>
  <si>
    <t>#4733</t>
  </si>
  <si>
    <t>Sandy Jose</t>
  </si>
  <si>
    <t>SANTA ELENA</t>
  </si>
  <si>
    <t>#4734</t>
  </si>
  <si>
    <t>CLIENTE NO RESPONDE TELEFONO</t>
  </si>
  <si>
    <t>Wladimir malave</t>
  </si>
  <si>
    <t>#4735</t>
  </si>
  <si>
    <t>Rodriguez Rubén</t>
  </si>
  <si>
    <t>Bayron Gomez</t>
  </si>
  <si>
    <t>#4736</t>
  </si>
  <si>
    <t>Carlos Cuasquer</t>
  </si>
  <si>
    <t>#4737</t>
  </si>
  <si>
    <t>José Luis Villavicencio Falcones</t>
  </si>
  <si>
    <t>#4738</t>
  </si>
  <si>
    <t>Walther Jerry Ortega Veliz</t>
  </si>
  <si>
    <t>#4739</t>
  </si>
  <si>
    <t>#4740</t>
  </si>
  <si>
    <t>Dalton Colorado</t>
  </si>
  <si>
    <t>#4741</t>
  </si>
  <si>
    <t>Israel Alexander Carrion Torres</t>
  </si>
  <si>
    <t>ZAMORA</t>
  </si>
  <si>
    <t>#4742</t>
  </si>
  <si>
    <t>Gabriel Bravo</t>
  </si>
  <si>
    <t>#4743</t>
  </si>
  <si>
    <t>Darwin Aveiga</t>
  </si>
  <si>
    <t>#4744</t>
  </si>
  <si>
    <t>SERVIENTREGA - ADJUNTAR GUIA</t>
  </si>
  <si>
    <t>Martha Ortiz</t>
  </si>
  <si>
    <t>#4745</t>
  </si>
  <si>
    <t>SIN RESPUESTA</t>
  </si>
  <si>
    <t>JUAN CARLOS CARRILLO</t>
  </si>
  <si>
    <t>#4746</t>
  </si>
  <si>
    <t>Jimmy Moreira medina</t>
  </si>
  <si>
    <t>#4747</t>
  </si>
  <si>
    <t>REQUIERE PARA LLUVIA ACIDA</t>
  </si>
  <si>
    <t xml:space="preserve">Clara hernandez </t>
  </si>
  <si>
    <t>#4748</t>
  </si>
  <si>
    <t>Tomas Abarca</t>
  </si>
  <si>
    <t>#4749</t>
  </si>
  <si>
    <t>Ruben Jacome Jácome Angueta</t>
  </si>
  <si>
    <t>#4750</t>
  </si>
  <si>
    <t>JOSE sansur</t>
  </si>
  <si>
    <t>#4751</t>
  </si>
  <si>
    <t>FReDDy JaVieR</t>
  </si>
  <si>
    <t>#4752</t>
  </si>
  <si>
    <t>Walter Stalin Aguirre Mayo</t>
  </si>
  <si>
    <t>#4753</t>
  </si>
  <si>
    <t>Jose Paguay Barrionuevo</t>
  </si>
  <si>
    <t>#4754</t>
  </si>
  <si>
    <t>Diego Miranda Miranda</t>
  </si>
  <si>
    <t>TUNGURAHUA</t>
  </si>
  <si>
    <t>#4755</t>
  </si>
  <si>
    <t>Jaime Maldonado</t>
  </si>
  <si>
    <t>#4756</t>
  </si>
  <si>
    <t>Juan CANGUI Cangui</t>
  </si>
  <si>
    <t>#4757</t>
  </si>
  <si>
    <t>Maria Ruby Guevara</t>
  </si>
  <si>
    <t>#4758</t>
  </si>
  <si>
    <t>Tamara Janeth Alban martinez</t>
  </si>
  <si>
    <t>#4759</t>
  </si>
  <si>
    <t>Liberato Delgado Delgado</t>
  </si>
  <si>
    <t>#4760</t>
  </si>
  <si>
    <t>Miguel Herrera</t>
  </si>
  <si>
    <t>#4761</t>
  </si>
  <si>
    <t>Edison Marcelo Matamoros Gavilanes</t>
  </si>
  <si>
    <t>#4762</t>
  </si>
  <si>
    <t>Luis Alarcon</t>
  </si>
  <si>
    <t>#4763</t>
  </si>
  <si>
    <t>Oscar Fernandez</t>
  </si>
  <si>
    <t>#4765</t>
  </si>
  <si>
    <t>Hilda Pérez Imbaqui</t>
  </si>
  <si>
    <t>#4766</t>
  </si>
  <si>
    <t>Nelson Yerovi</t>
  </si>
  <si>
    <t>#4767</t>
  </si>
  <si>
    <t>Marcelo Barrera</t>
  </si>
  <si>
    <t>#4768</t>
  </si>
  <si>
    <t>Fernando Córdova Gómez</t>
  </si>
  <si>
    <t>#4769</t>
  </si>
  <si>
    <t>Juan Muñoz</t>
  </si>
  <si>
    <t>#4770</t>
  </si>
  <si>
    <t>Jorge luis Cantos Cedeño</t>
  </si>
  <si>
    <t>#4771</t>
  </si>
  <si>
    <t>Juan Guerrero</t>
  </si>
  <si>
    <t>#4772</t>
  </si>
  <si>
    <t>Alex Acosta</t>
  </si>
  <si>
    <t>#4773</t>
  </si>
  <si>
    <t>Cesar Silva guerrero</t>
  </si>
  <si>
    <t>#4774</t>
  </si>
  <si>
    <t>Cecilia Caballero</t>
  </si>
  <si>
    <t>SANTO DOMINGO DE LOS TSACHILAS</t>
  </si>
  <si>
    <t>#4775</t>
  </si>
  <si>
    <t>Mauricio Navarrete Dávila</t>
  </si>
  <si>
    <t>#4776</t>
  </si>
  <si>
    <t>ACTUALIZADO - PROCESO</t>
  </si>
  <si>
    <t>Jefferson Chimarro</t>
  </si>
  <si>
    <t>#4777</t>
  </si>
  <si>
    <t>Jose luis. Moran Palacios</t>
  </si>
  <si>
    <t>#4778</t>
  </si>
  <si>
    <t xml:space="preserve">ACTUALIZADO </t>
  </si>
  <si>
    <t>Geovanny Llagsha</t>
  </si>
  <si>
    <t>CARCHI</t>
  </si>
  <si>
    <t>#4779</t>
  </si>
  <si>
    <t>Joffre José Buste Barrio  malecón del rio blanco( aldea)</t>
  </si>
  <si>
    <t>#4780</t>
  </si>
  <si>
    <t>Zonnia Armas</t>
  </si>
  <si>
    <t>#4781</t>
  </si>
  <si>
    <t>Lida Sánchez</t>
  </si>
  <si>
    <t>ORELLANA</t>
  </si>
  <si>
    <t>#4782</t>
  </si>
  <si>
    <t>CLIENTE QUIERE SU PEDIDO PARA YA</t>
  </si>
  <si>
    <t>Enrique ZhIrzhan 0996961434</t>
  </si>
  <si>
    <t>#4783</t>
  </si>
  <si>
    <t>Maria Elena Oquendo</t>
  </si>
  <si>
    <t>#4784</t>
  </si>
  <si>
    <t>Magdalena Ortiz</t>
  </si>
  <si>
    <t>#4785</t>
  </si>
  <si>
    <t>MILTON SERBANTIO CALLERA NACAIM</t>
  </si>
  <si>
    <t>PASTAZA</t>
  </si>
  <si>
    <t>#4786</t>
  </si>
  <si>
    <t>Ricardo Ugarte</t>
  </si>
  <si>
    <t>#4787</t>
  </si>
  <si>
    <t>Walter Castillo Palacios</t>
  </si>
  <si>
    <t>#4788</t>
  </si>
  <si>
    <t>Yecenia Alexandra Garcia Lopez</t>
  </si>
  <si>
    <t>#4789</t>
  </si>
  <si>
    <t>CLIENTE NO PASA EN CASA Y VIVE SOLA</t>
  </si>
  <si>
    <t>Roberta Sarango Jiménez Sarango Jiménez</t>
  </si>
  <si>
    <t>#4790</t>
  </si>
  <si>
    <t>CLIENTE NO RESPONDE</t>
  </si>
  <si>
    <t>Edelmar Baquero</t>
  </si>
  <si>
    <t>#4791</t>
  </si>
  <si>
    <t>Miguel Nicolalde Nicolalde</t>
  </si>
  <si>
    <t>#4792</t>
  </si>
  <si>
    <t>Jose vicente Pino Negron</t>
  </si>
  <si>
    <t>#4793</t>
  </si>
  <si>
    <t>Carlos Abril</t>
  </si>
  <si>
    <t>#4794</t>
  </si>
  <si>
    <t>Segundo guerrero gorozabel</t>
  </si>
  <si>
    <t>#4795</t>
  </si>
  <si>
    <t xml:space="preserve">ACTUALIZADO - ENVIADO </t>
  </si>
  <si>
    <t>Armando Baque P</t>
  </si>
  <si>
    <t>#4796</t>
  </si>
  <si>
    <t>fatima garcia</t>
  </si>
  <si>
    <t>#4797</t>
  </si>
  <si>
    <t>Delia  lavayen lavayen</t>
  </si>
  <si>
    <t>#4798</t>
  </si>
  <si>
    <t>Danny Martínez</t>
  </si>
  <si>
    <t>#4799</t>
  </si>
  <si>
    <t>Jhon Tedy Barreiro Navarrete</t>
  </si>
  <si>
    <t>#4800</t>
  </si>
  <si>
    <t>Ana Escudero Escudero Durán</t>
  </si>
  <si>
    <t>#4801</t>
  </si>
  <si>
    <t>Raúl Marcelo Cadenas</t>
  </si>
  <si>
    <t>#4802</t>
  </si>
  <si>
    <t>Johnny Mendoza</t>
  </si>
  <si>
    <t>#4803</t>
  </si>
  <si>
    <t>PEDIDO DUPLICADO 5553</t>
  </si>
  <si>
    <t>Samuel Tsuink</t>
  </si>
  <si>
    <t>#4804</t>
  </si>
  <si>
    <t>Mónica Macías Macias Vera</t>
  </si>
  <si>
    <t>#4805</t>
  </si>
  <si>
    <t>diego rueda</t>
  </si>
  <si>
    <t>#4806</t>
  </si>
  <si>
    <t xml:space="preserve">CLIENTE SOLICITA CANCELAR </t>
  </si>
  <si>
    <t>Jorge Eladio Mina Balarezo</t>
  </si>
  <si>
    <t>#4807</t>
  </si>
  <si>
    <t>Jenny Romero</t>
  </si>
  <si>
    <t>#4808</t>
  </si>
  <si>
    <t>Luis Paredes Cruz</t>
  </si>
  <si>
    <t>#4809</t>
  </si>
  <si>
    <t>Washington Granda</t>
  </si>
  <si>
    <t>#4810</t>
  </si>
  <si>
    <t>Ernesto Wilfrido Flores Mayorga</t>
  </si>
  <si>
    <t>#4811</t>
  </si>
  <si>
    <t>Luis López</t>
  </si>
  <si>
    <t>#4812</t>
  </si>
  <si>
    <t>CLIENTE INCONFORME</t>
  </si>
  <si>
    <t>Delfin Nestor Calderon Garcia</t>
  </si>
  <si>
    <t>#4813</t>
  </si>
  <si>
    <t>Angel Eduardo Remache</t>
  </si>
  <si>
    <t>#4814</t>
  </si>
  <si>
    <t>Patrick Pinzon</t>
  </si>
  <si>
    <t>#4815</t>
  </si>
  <si>
    <t xml:space="preserve">CANCELAR PEDIDO POSTERGA </t>
  </si>
  <si>
    <t>Pedro Vera</t>
  </si>
  <si>
    <t>#4816</t>
  </si>
  <si>
    <t xml:space="preserve"> Gonzalo Salazar vera
</t>
  </si>
  <si>
    <t>José  A Tobar R</t>
  </si>
  <si>
    <t>#4818</t>
  </si>
  <si>
    <t>Eugenio Bermeo Arevalo</t>
  </si>
  <si>
    <t>#4819</t>
  </si>
  <si>
    <t xml:space="preserve">CANCELADO PEDIDO DUPLICADO 5032 </t>
  </si>
  <si>
    <t>Mercedes Macas</t>
  </si>
  <si>
    <t>#4820</t>
  </si>
  <si>
    <t xml:space="preserve">CONFIRMAR MAR DIRECCION </t>
  </si>
  <si>
    <t>Angel Ortiz</t>
  </si>
  <si>
    <t>#4821</t>
  </si>
  <si>
    <t>NUNCA LLAMO LA TRANSPORTADORA Y CANCELA</t>
  </si>
  <si>
    <t>Jairo Gabriel Paladines frias</t>
  </si>
  <si>
    <t>#4822</t>
  </si>
  <si>
    <t>NO CONFIRMA</t>
  </si>
  <si>
    <t>Segundo Miguel Zhañay Piña</t>
  </si>
  <si>
    <t>#4823</t>
  </si>
  <si>
    <t>Marlon Jara</t>
  </si>
  <si>
    <t>#4824</t>
  </si>
  <si>
    <t>Yolanda Isabel Plaza Garcia</t>
  </si>
  <si>
    <t>#4825</t>
  </si>
  <si>
    <t>CLIENTE CONFLICTIVO</t>
  </si>
  <si>
    <t>Priscilla Albornoz</t>
  </si>
  <si>
    <t>#4826</t>
  </si>
  <si>
    <t xml:space="preserve">CANCELADO POSTERGA FECHA </t>
  </si>
  <si>
    <t>Diego A. Rincón A.</t>
  </si>
  <si>
    <t>#4827</t>
  </si>
  <si>
    <t>Cesar Valverde</t>
  </si>
  <si>
    <t>#4828</t>
  </si>
  <si>
    <t>No hay cobertura, duplicado 4829</t>
  </si>
  <si>
    <t xml:space="preserve">Cesar Valverde
</t>
  </si>
  <si>
    <t>#4829</t>
  </si>
  <si>
    <t>No hay cobertura, duplicado 4828</t>
  </si>
  <si>
    <t>Monica Mayalica</t>
  </si>
  <si>
    <t>#4830</t>
  </si>
  <si>
    <t>Jose Mullo</t>
  </si>
  <si>
    <t>#4831</t>
  </si>
  <si>
    <t>Luis Alejandro Cáceres Benítez</t>
  </si>
  <si>
    <t>#4832</t>
  </si>
  <si>
    <t>Samuel bagua</t>
  </si>
  <si>
    <t>#4833</t>
  </si>
  <si>
    <t xml:space="preserve"> Olga  Paredes Maldonado
</t>
  </si>
  <si>
    <t>#4834</t>
  </si>
  <si>
    <t>Leon Bosquez</t>
  </si>
  <si>
    <t>#4835</t>
  </si>
  <si>
    <t>Abel Salazar Salazar</t>
  </si>
  <si>
    <t>#4836</t>
  </si>
  <si>
    <t>José Suarez</t>
  </si>
  <si>
    <t>#4837</t>
  </si>
  <si>
    <t>Ufredo Santamaría</t>
  </si>
  <si>
    <t>#4838</t>
  </si>
  <si>
    <t>Miguel Fernando Maldonado Barba Maldonado Barba</t>
  </si>
  <si>
    <t>#4839</t>
  </si>
  <si>
    <t>Silvio Alfredo Durán</t>
  </si>
  <si>
    <t>#4840</t>
  </si>
  <si>
    <t>Eduardo Efrain Ruiz Murillo</t>
  </si>
  <si>
    <t>#4841</t>
  </si>
  <si>
    <t>Oscar Moyano</t>
  </si>
  <si>
    <t>#4842</t>
  </si>
  <si>
    <t>Jair Zea</t>
  </si>
  <si>
    <t>#4843</t>
  </si>
  <si>
    <t>ANGEL ATIENCIA</t>
  </si>
  <si>
    <t>#4844</t>
  </si>
  <si>
    <t>Leonidas Guaman</t>
  </si>
  <si>
    <t>#4845</t>
  </si>
  <si>
    <t>Jairo López</t>
  </si>
  <si>
    <t>#4846</t>
  </si>
  <si>
    <t>Aldhair Quiñonez</t>
  </si>
  <si>
    <t>#4847</t>
  </si>
  <si>
    <t>Raquel Herrera</t>
  </si>
  <si>
    <t>#4848</t>
  </si>
  <si>
    <t>Oscar Osvaldo Asas Landa</t>
  </si>
  <si>
    <t>#4849</t>
  </si>
  <si>
    <t>Consuelo Pensilbania Galarza Vera</t>
  </si>
  <si>
    <t>#4850</t>
  </si>
  <si>
    <t>Mery Pesantez</t>
  </si>
  <si>
    <t>#4851</t>
  </si>
  <si>
    <t xml:space="preserve">CANCELADO </t>
  </si>
  <si>
    <t>Jose arturo Zambrano molina</t>
  </si>
  <si>
    <t>#4852</t>
  </si>
  <si>
    <t>Carlos Ortega Matute</t>
  </si>
  <si>
    <t>#4853</t>
  </si>
  <si>
    <t>Fausto Sánchez</t>
  </si>
  <si>
    <t>#4854</t>
  </si>
  <si>
    <t>Milton Guerrero</t>
  </si>
  <si>
    <t>#4855</t>
  </si>
  <si>
    <t>Héctor Guillermo Baren Valencia</t>
  </si>
  <si>
    <t>#4856</t>
  </si>
  <si>
    <t>Miguel Mora</t>
  </si>
  <si>
    <t>#4857</t>
  </si>
  <si>
    <t>Cristofher Klinger</t>
  </si>
  <si>
    <t>#4858</t>
  </si>
  <si>
    <t>Ysmael Rodriguez</t>
  </si>
  <si>
    <t>#4859</t>
  </si>
  <si>
    <t>Miler Bravo Azanza</t>
  </si>
  <si>
    <t>#4860</t>
  </si>
  <si>
    <t>Luis Bautista</t>
  </si>
  <si>
    <t>#4861</t>
  </si>
  <si>
    <t>Dr kleber Mejía</t>
  </si>
  <si>
    <t>#4862</t>
  </si>
  <si>
    <t>Julio Bermudes</t>
  </si>
  <si>
    <t>#4863</t>
  </si>
  <si>
    <t xml:space="preserve">ACTUALIZADO - PROCESO - SERVIENTREGA </t>
  </si>
  <si>
    <t>Carlos Inca</t>
  </si>
  <si>
    <t>#4864</t>
  </si>
  <si>
    <t>Ana Lucia Ruiz</t>
  </si>
  <si>
    <t>#4865</t>
  </si>
  <si>
    <t>Tomas Eusebio Loor Vinces</t>
  </si>
  <si>
    <t>#4866</t>
  </si>
  <si>
    <t>Rodison Castillo</t>
  </si>
  <si>
    <t>#4867</t>
  </si>
  <si>
    <t>Carlos Amendaño</t>
  </si>
  <si>
    <t>#4868</t>
  </si>
  <si>
    <t>Luis Franklin Pico Chango</t>
  </si>
  <si>
    <t>#4869</t>
  </si>
  <si>
    <t>Lidia Esterilla</t>
  </si>
  <si>
    <t>#4870</t>
  </si>
  <si>
    <t>Jesus Orobio</t>
  </si>
  <si>
    <t>#4871</t>
  </si>
  <si>
    <t>Ana valverde Valverde</t>
  </si>
  <si>
    <t>#4872</t>
  </si>
  <si>
    <t>Raúl Fernando</t>
  </si>
  <si>
    <t>#4873</t>
  </si>
  <si>
    <t>Líder Jaramillo</t>
  </si>
  <si>
    <t>#4874</t>
  </si>
  <si>
    <t>Paul Rivadeneira Santamaria</t>
  </si>
  <si>
    <t>#4875</t>
  </si>
  <si>
    <t>CLIENTE NO DESA PRODUCTO</t>
  </si>
  <si>
    <t>Oswaldo Yaucan</t>
  </si>
  <si>
    <t>#4876</t>
  </si>
  <si>
    <t>Isabel Sampedro</t>
  </si>
  <si>
    <t>#4877</t>
  </si>
  <si>
    <t>Angela Beatriz Mata Vallejo</t>
  </si>
  <si>
    <t>#4878</t>
  </si>
  <si>
    <t>Pablo Panchi</t>
  </si>
  <si>
    <t>#4879</t>
  </si>
  <si>
    <t>Ricardo Olmedo Pincay Olmedo Pincay</t>
  </si>
  <si>
    <t>#4880</t>
  </si>
  <si>
    <t>Jorge Jerez</t>
  </si>
  <si>
    <t>#4881</t>
  </si>
  <si>
    <t>CLIENTE YA NO DESEA PRODUCTO</t>
  </si>
  <si>
    <t>Freddy Silva</t>
  </si>
  <si>
    <t>#4882</t>
  </si>
  <si>
    <t>Roberto  lopez López</t>
  </si>
  <si>
    <t>#4883</t>
  </si>
  <si>
    <t>Jorge Steven Merchan Janeta</t>
  </si>
  <si>
    <t>#4884</t>
  </si>
  <si>
    <t>Eduardo Ulco</t>
  </si>
  <si>
    <t>#4885</t>
  </si>
  <si>
    <t>Jacky Ramos</t>
  </si>
  <si>
    <t>#4886</t>
  </si>
  <si>
    <t>HOLGER ASISCLO SERRANO HIDALGO</t>
  </si>
  <si>
    <t>#4887</t>
  </si>
  <si>
    <t>Silvio Rolan Sarango Sarango Soto</t>
  </si>
  <si>
    <t>#4888</t>
  </si>
  <si>
    <t>Guadalupe Barreto</t>
  </si>
  <si>
    <t>#4889</t>
  </si>
  <si>
    <t>Verónica Miño</t>
  </si>
  <si>
    <t>#4890</t>
  </si>
  <si>
    <t>Jose Mejia</t>
  </si>
  <si>
    <t>#4891</t>
  </si>
  <si>
    <t>Walter. Alberto Sellan. Macias</t>
  </si>
  <si>
    <t>#4892</t>
  </si>
  <si>
    <t>Marcelo Oviedo</t>
  </si>
  <si>
    <t>#4893</t>
  </si>
  <si>
    <t>Julio Peñafiel</t>
  </si>
  <si>
    <t>#4894</t>
  </si>
  <si>
    <t>Julio Aimacaña</t>
  </si>
  <si>
    <t>#4895</t>
  </si>
  <si>
    <t>PEDIDO DUPLICADO 5438</t>
  </si>
  <si>
    <t>Mariana guncay Guncay</t>
  </si>
  <si>
    <t>#4896</t>
  </si>
  <si>
    <t>Humberto Bladimir Bladimir</t>
  </si>
  <si>
    <t>#4897</t>
  </si>
  <si>
    <t>Diego Balladares</t>
  </si>
  <si>
    <t>#4898</t>
  </si>
  <si>
    <t xml:space="preserve">CONFIRMANDO DIRECCION </t>
  </si>
  <si>
    <t>Consuelo Vega</t>
  </si>
  <si>
    <t>#4899</t>
  </si>
  <si>
    <t>José Luis Poveda German</t>
  </si>
  <si>
    <t>#4900</t>
  </si>
  <si>
    <t>Braulio Roberto</t>
  </si>
  <si>
    <t>#4901</t>
  </si>
  <si>
    <t>Maricela Durán</t>
  </si>
  <si>
    <t>#4902</t>
  </si>
  <si>
    <t>Laura Carrera</t>
  </si>
  <si>
    <t>#4903</t>
  </si>
  <si>
    <t>Hector Villavicencio</t>
  </si>
  <si>
    <t>#4904</t>
  </si>
  <si>
    <t>Carlo bagui Bagui</t>
  </si>
  <si>
    <t>#4905</t>
  </si>
  <si>
    <t>Eloy Cardenas</t>
  </si>
  <si>
    <t>#4907</t>
  </si>
  <si>
    <t>Armando Tarira</t>
  </si>
  <si>
    <t>#4908</t>
  </si>
  <si>
    <t>Diego Quelal</t>
  </si>
  <si>
    <t>#4909</t>
  </si>
  <si>
    <t>David Morales Bahamontes</t>
  </si>
  <si>
    <t>#4910</t>
  </si>
  <si>
    <t>Amparo Paulina Ramos</t>
  </si>
  <si>
    <t>#4911</t>
  </si>
  <si>
    <t>Francisco  Fernando Vega Contreras</t>
  </si>
  <si>
    <t>#4912</t>
  </si>
  <si>
    <t>Luis Álava loor Alava loor</t>
  </si>
  <si>
    <t>#4913</t>
  </si>
  <si>
    <t>Monica Andrade</t>
  </si>
  <si>
    <t>#4914</t>
  </si>
  <si>
    <t>Tarquino Márquez</t>
  </si>
  <si>
    <t>#4915</t>
  </si>
  <si>
    <t>Raúl Noboa Cadena</t>
  </si>
  <si>
    <t>#4916</t>
  </si>
  <si>
    <t>Verónica Castro Villacrez</t>
  </si>
  <si>
    <t>#4917</t>
  </si>
  <si>
    <t>Luis Robalino</t>
  </si>
  <si>
    <t>#4918</t>
  </si>
  <si>
    <t>Diego Cruz</t>
  </si>
  <si>
    <t>#4919</t>
  </si>
  <si>
    <t>Elsa Judith Ordoñez Ocampo</t>
  </si>
  <si>
    <t>#4920</t>
  </si>
  <si>
    <t>johanna Leon</t>
  </si>
  <si>
    <t>#4921</t>
  </si>
  <si>
    <t>Jandry Vera</t>
  </si>
  <si>
    <t>#4922</t>
  </si>
  <si>
    <t>Marino Mejia</t>
  </si>
  <si>
    <t>#4923</t>
  </si>
  <si>
    <t>Diego Aucapiña</t>
  </si>
  <si>
    <t>#4924</t>
  </si>
  <si>
    <t xml:space="preserve">CONFIRMAR DIRECCION </t>
  </si>
  <si>
    <t>Jorgue Vélez</t>
  </si>
  <si>
    <t>#4925</t>
  </si>
  <si>
    <t>Patricia Carrillo</t>
  </si>
  <si>
    <t>#4926</t>
  </si>
  <si>
    <t>Carlos Tipan Tipan</t>
  </si>
  <si>
    <t>#4927</t>
  </si>
  <si>
    <t>Juan Carlos Viscarra</t>
  </si>
  <si>
    <t>#4928</t>
  </si>
  <si>
    <t>Kelvin Alcivar</t>
  </si>
  <si>
    <t>#4929</t>
  </si>
  <si>
    <t>Augusto Mendoza</t>
  </si>
  <si>
    <t>#4930</t>
  </si>
  <si>
    <t>Melania Elizabeth León Puchaicela</t>
  </si>
  <si>
    <t>#4931</t>
  </si>
  <si>
    <t>Marco Calero Hidalgo</t>
  </si>
  <si>
    <t>#4932</t>
  </si>
  <si>
    <t>Luis Miguel Bassante Ampudia</t>
  </si>
  <si>
    <t>#4933</t>
  </si>
  <si>
    <t>Martha Roldan Roldan</t>
  </si>
  <si>
    <t>#4934</t>
  </si>
  <si>
    <t>ACTUALIZADO PROCESO</t>
  </si>
  <si>
    <t>José intriago</t>
  </si>
  <si>
    <t>#4935</t>
  </si>
  <si>
    <t>Gerardo Florentino Pozo Calderón</t>
  </si>
  <si>
    <t>#4936</t>
  </si>
  <si>
    <t>Octavio Trujillo</t>
  </si>
  <si>
    <t>#4937</t>
  </si>
  <si>
    <t>Francisco Efrain Delgado Macías</t>
  </si>
  <si>
    <t>#4938</t>
  </si>
  <si>
    <t>Leonardo Zevallos Macías</t>
  </si>
  <si>
    <t>#4939</t>
  </si>
  <si>
    <t>Jorge Baez</t>
  </si>
  <si>
    <t>#4940</t>
  </si>
  <si>
    <t>Néstor Ortega</t>
  </si>
  <si>
    <t>#4941</t>
  </si>
  <si>
    <t>Carlos Altafuya</t>
  </si>
  <si>
    <t>#4942</t>
  </si>
  <si>
    <t>Gloria Soriano</t>
  </si>
  <si>
    <t>#4943</t>
  </si>
  <si>
    <t>Fernando Naula</t>
  </si>
  <si>
    <t>#4944</t>
  </si>
  <si>
    <t>Carlos Jiménez</t>
  </si>
  <si>
    <t>#4945</t>
  </si>
  <si>
    <t>Xavier Carpio</t>
  </si>
  <si>
    <t>#4946</t>
  </si>
  <si>
    <t>Víctor Oto</t>
  </si>
  <si>
    <t>#4947</t>
  </si>
  <si>
    <t>Simon Morales Zavala</t>
  </si>
  <si>
    <t>#4948</t>
  </si>
  <si>
    <t>Fernando Pavón</t>
  </si>
  <si>
    <t>#4949</t>
  </si>
  <si>
    <t>Jorge Acan</t>
  </si>
  <si>
    <t>#4950</t>
  </si>
  <si>
    <t>Rosa Marín</t>
  </si>
  <si>
    <t>#4951</t>
  </si>
  <si>
    <t xml:space="preserve">PENDIENTE DIRECCION </t>
  </si>
  <si>
    <t>Juan Raza</t>
  </si>
  <si>
    <t>#4952</t>
  </si>
  <si>
    <t>GEOVANNY Lascano</t>
  </si>
  <si>
    <t>#4953</t>
  </si>
  <si>
    <t>Bustamante Fernando</t>
  </si>
  <si>
    <t>#4954</t>
  </si>
  <si>
    <t>Cristian Condo</t>
  </si>
  <si>
    <t>#4955</t>
  </si>
  <si>
    <t>CARMEN Elizabeth MACKLIFF VALDEZ</t>
  </si>
  <si>
    <t>#4956</t>
  </si>
  <si>
    <t>Maria Monge</t>
  </si>
  <si>
    <t>#4957</t>
  </si>
  <si>
    <t>Jhonny Alexander Morocho Jiménez</t>
  </si>
  <si>
    <t>#4958</t>
  </si>
  <si>
    <t>Oscar Castro</t>
  </si>
  <si>
    <t>#4959</t>
  </si>
  <si>
    <t>Cristian Guano</t>
  </si>
  <si>
    <t>#4960</t>
  </si>
  <si>
    <t xml:space="preserve">ACTUALIZADO - PENDIENTE </t>
  </si>
  <si>
    <t>Fernando Mendieta</t>
  </si>
  <si>
    <t>#4961</t>
  </si>
  <si>
    <t>Luis Fuela</t>
  </si>
  <si>
    <t>#4962</t>
  </si>
  <si>
    <t>Edwin Chiza</t>
  </si>
  <si>
    <t>#4963</t>
  </si>
  <si>
    <t>Jurmedy Tobar</t>
  </si>
  <si>
    <t>#4964</t>
  </si>
  <si>
    <t>Edgar lara</t>
  </si>
  <si>
    <t>#4965</t>
  </si>
  <si>
    <t>Cesar Díaz Zumba</t>
  </si>
  <si>
    <t>#4966</t>
  </si>
  <si>
    <t>CLIENTE NO DESEA EL PRODUCTO</t>
  </si>
  <si>
    <t>Jonni Moreno</t>
  </si>
  <si>
    <t>#4967</t>
  </si>
  <si>
    <t>CARLOS HUMBERTO CAISAGUANO TUQUERES</t>
  </si>
  <si>
    <t>#4968</t>
  </si>
  <si>
    <t>Nicolai Guerrero</t>
  </si>
  <si>
    <t>#4969</t>
  </si>
  <si>
    <t>Luis Nieto</t>
  </si>
  <si>
    <t>#4970</t>
  </si>
  <si>
    <t>Raul Fabian Molina Soria</t>
  </si>
  <si>
    <t>#4972</t>
  </si>
  <si>
    <t>Patricia Cruz</t>
  </si>
  <si>
    <t>#4974</t>
  </si>
  <si>
    <t>Ángel López</t>
  </si>
  <si>
    <t>#4975</t>
  </si>
  <si>
    <t xml:space="preserve">ACTUALIZADO PROCESO - SERVIENTREGA </t>
  </si>
  <si>
    <t>Dorian Echeverria</t>
  </si>
  <si>
    <t>#4976</t>
  </si>
  <si>
    <t>Pablo Zurita</t>
  </si>
  <si>
    <t>#4977</t>
  </si>
  <si>
    <t>Juan Obando</t>
  </si>
  <si>
    <t>#4978</t>
  </si>
  <si>
    <t>Ivan Basantes</t>
  </si>
  <si>
    <t>#4979</t>
  </si>
  <si>
    <t>Pedro Ruiz Silva</t>
  </si>
  <si>
    <t>#4981</t>
  </si>
  <si>
    <t>Simón  Jacinto Chávez farias</t>
  </si>
  <si>
    <t>#4982</t>
  </si>
  <si>
    <t>Marco Huaca Sánchez</t>
  </si>
  <si>
    <t>#4983</t>
  </si>
  <si>
    <t>Elvis Recuenco</t>
  </si>
  <si>
    <t>#4984</t>
  </si>
  <si>
    <t>Steban Jimenez</t>
  </si>
  <si>
    <t>#4985</t>
  </si>
  <si>
    <t>Jose Luis Velarde Solari</t>
  </si>
  <si>
    <t>#4986</t>
  </si>
  <si>
    <t>Ruth Ramírez Ramirez Loor</t>
  </si>
  <si>
    <t>#4987</t>
  </si>
  <si>
    <t>Juan Ernesto García Miñaca</t>
  </si>
  <si>
    <t>#4988</t>
  </si>
  <si>
    <t>Sergio Ivan Paucar</t>
  </si>
  <si>
    <t>#4989</t>
  </si>
  <si>
    <t>Alejandro Toapanta</t>
  </si>
  <si>
    <t>#4990</t>
  </si>
  <si>
    <t>Jefferson eduardo Zambrano Rodriguez</t>
  </si>
  <si>
    <t>#4991</t>
  </si>
  <si>
    <t>Rogelio Loor Tobar</t>
  </si>
  <si>
    <t>#4992</t>
  </si>
  <si>
    <t>Roberto López alvan López</t>
  </si>
  <si>
    <t>#4993</t>
  </si>
  <si>
    <t>Israel Rodrigo Calle Gonzalez</t>
  </si>
  <si>
    <t>#4994</t>
  </si>
  <si>
    <t>Jorge rosero rosero</t>
  </si>
  <si>
    <t>#4995</t>
  </si>
  <si>
    <t>Luis alfredo farinango tuquerres</t>
  </si>
  <si>
    <t>#4996</t>
  </si>
  <si>
    <t>María Isabel Camacho Espinosa</t>
  </si>
  <si>
    <t>#4997</t>
  </si>
  <si>
    <t>Wilson Borja Coloma</t>
  </si>
  <si>
    <t>#4998</t>
  </si>
  <si>
    <t>Mauro Chiriboga López</t>
  </si>
  <si>
    <t>#4999</t>
  </si>
  <si>
    <t xml:space="preserve">CLIENTE SOLICITA CANCELADO </t>
  </si>
  <si>
    <t>Henry Aguirre</t>
  </si>
  <si>
    <t>#5000</t>
  </si>
  <si>
    <t>Wilber Mora</t>
  </si>
  <si>
    <t>#5001</t>
  </si>
  <si>
    <t>Ramiro Analuiza</t>
  </si>
  <si>
    <t>#5002</t>
  </si>
  <si>
    <t>Jose manuel campo guajan</t>
  </si>
  <si>
    <t>#5003</t>
  </si>
  <si>
    <t>María del Carmen Soria Valle</t>
  </si>
  <si>
    <t>#5004</t>
  </si>
  <si>
    <t>Juan Sebastian Galarza Riofrio</t>
  </si>
  <si>
    <t>#5005</t>
  </si>
  <si>
    <t>Óscar Belalcazar</t>
  </si>
  <si>
    <t>#5006</t>
  </si>
  <si>
    <t>Alba Pumayugra</t>
  </si>
  <si>
    <t>#5007</t>
  </si>
  <si>
    <t>Christian Solis</t>
  </si>
  <si>
    <t>#5008</t>
  </si>
  <si>
    <t>Olger Velasco</t>
  </si>
  <si>
    <t>#5009</t>
  </si>
  <si>
    <t>Luis zuñiga</t>
  </si>
  <si>
    <t>#5010</t>
  </si>
  <si>
    <t>Viviana Carolina Quiroz</t>
  </si>
  <si>
    <t>#5011</t>
  </si>
  <si>
    <t>Denisse Layana</t>
  </si>
  <si>
    <t>#5012</t>
  </si>
  <si>
    <t>Gladys Olivia Delgado</t>
  </si>
  <si>
    <t>#5013</t>
  </si>
  <si>
    <t xml:space="preserve">ACTUALIZADO PROCESO - ADJUNTAR GUIA SERVIENTREGA </t>
  </si>
  <si>
    <t>Claudio Ortiz</t>
  </si>
  <si>
    <t>#5014</t>
  </si>
  <si>
    <t>Jhony Rodriguez</t>
  </si>
  <si>
    <t>#5015</t>
  </si>
  <si>
    <t>Vanesa Goyes</t>
  </si>
  <si>
    <t>#5016</t>
  </si>
  <si>
    <t>Vladimir Delgado Delgado</t>
  </si>
  <si>
    <t>#5017</t>
  </si>
  <si>
    <t>Marcelo Vicuña</t>
  </si>
  <si>
    <t>#5018</t>
  </si>
  <si>
    <t>Monica Puebla</t>
  </si>
  <si>
    <t>#5019</t>
  </si>
  <si>
    <t>Juan Carlos Morán</t>
  </si>
  <si>
    <t>#5020</t>
  </si>
  <si>
    <t>Carlos reinel Carrera</t>
  </si>
  <si>
    <t>#5021</t>
  </si>
  <si>
    <t>Maria Eulalia Toral</t>
  </si>
  <si>
    <t>#5022</t>
  </si>
  <si>
    <t>Jorge Figueroa</t>
  </si>
  <si>
    <t>#5023</t>
  </si>
  <si>
    <t>Alex Toapanta</t>
  </si>
  <si>
    <t>#5024</t>
  </si>
  <si>
    <t>Jimmy Bajaña</t>
  </si>
  <si>
    <t>#5025</t>
  </si>
  <si>
    <t>Nery Merizalde</t>
  </si>
  <si>
    <t>#5026</t>
  </si>
  <si>
    <t>Jose Toala</t>
  </si>
  <si>
    <t>#5028</t>
  </si>
  <si>
    <t>Leyla Baños</t>
  </si>
  <si>
    <t>#5029</t>
  </si>
  <si>
    <t>Jorge Cofre</t>
  </si>
  <si>
    <t>#5030</t>
  </si>
  <si>
    <t>jose Avila Reyes</t>
  </si>
  <si>
    <t>#5031</t>
  </si>
  <si>
    <t>Eugenio Bermeo A. 1-64</t>
  </si>
  <si>
    <t>#5032</t>
  </si>
  <si>
    <t>ACTUALIZADO  PROCESO - PEDIDO DUPLICADO #4819</t>
  </si>
  <si>
    <t>LUIYI TYRONE CASTILLO BRIONES</t>
  </si>
  <si>
    <t>#5033</t>
  </si>
  <si>
    <t>María Fernanda Proaño</t>
  </si>
  <si>
    <t>#5034</t>
  </si>
  <si>
    <t>Consuelo Carreño</t>
  </si>
  <si>
    <t>#5035</t>
  </si>
  <si>
    <t>Yisella Valero</t>
  </si>
  <si>
    <t>#5036</t>
  </si>
  <si>
    <t>Patricio Lopez</t>
  </si>
  <si>
    <t>#5037</t>
  </si>
  <si>
    <t>Jissella Elizabeth Cardenas Infante</t>
  </si>
  <si>
    <t>#5038</t>
  </si>
  <si>
    <t xml:space="preserve">CONFIRMACION DE DIRECCION </t>
  </si>
  <si>
    <t>Leonardo Espinoza</t>
  </si>
  <si>
    <t>#5040</t>
  </si>
  <si>
    <t>Osvin Rolando Andrade Friend</t>
  </si>
  <si>
    <t>#5041</t>
  </si>
  <si>
    <t>Segundo Segundo Cuji</t>
  </si>
  <si>
    <t>#5042</t>
  </si>
  <si>
    <t>Edizon Díaz</t>
  </si>
  <si>
    <t>#5043</t>
  </si>
  <si>
    <t>Enrique Alvarez Gaspar</t>
  </si>
  <si>
    <t>#5044</t>
  </si>
  <si>
    <t>Venni Vega</t>
  </si>
  <si>
    <t>#5045</t>
  </si>
  <si>
    <t>Gabriel Cartagena</t>
  </si>
  <si>
    <t>#5046</t>
  </si>
  <si>
    <t>MARIA BERMEJO</t>
  </si>
  <si>
    <t>#5047</t>
  </si>
  <si>
    <t>José.cunbal. Cunbal.herrera</t>
  </si>
  <si>
    <t>#5048</t>
  </si>
  <si>
    <t xml:space="preserve">PENDIENTE DE CONFIRMACION DE DIRECCION </t>
  </si>
  <si>
    <t>Leo Antonio gomez Gomez</t>
  </si>
  <si>
    <t>#5049</t>
  </si>
  <si>
    <t>Joel Zamora</t>
  </si>
  <si>
    <t>#5050</t>
  </si>
  <si>
    <t>Diego Martinez</t>
  </si>
  <si>
    <t>#5051</t>
  </si>
  <si>
    <t>Gregorio Tomás Cobeña Moreira</t>
  </si>
  <si>
    <t>#5052</t>
  </si>
  <si>
    <t>Geovanny Santiago Sánchez Loor</t>
  </si>
  <si>
    <t>#5053</t>
  </si>
  <si>
    <t>MARIO GILBERTO</t>
  </si>
  <si>
    <t>#5054</t>
  </si>
  <si>
    <t>Ivan Torres Salinas</t>
  </si>
  <si>
    <t>#5055</t>
  </si>
  <si>
    <t>Fabricio Garcia</t>
  </si>
  <si>
    <t>#5056</t>
  </si>
  <si>
    <t>LUIS LOPEZ</t>
  </si>
  <si>
    <t>#5057</t>
  </si>
  <si>
    <t>Rosa Elvira Sibri Paucar</t>
  </si>
  <si>
    <t>#5058</t>
  </si>
  <si>
    <t>Piedad Virginia Correa Jaramillo</t>
  </si>
  <si>
    <t>#5059</t>
  </si>
  <si>
    <t xml:space="preserve">ACTUALIZADO - PROCESO - SERVIENTREGA - ADJUNTAR GUIA </t>
  </si>
  <si>
    <t>Xavier Abarca</t>
  </si>
  <si>
    <t>#5060</t>
  </si>
  <si>
    <t>Victor Vela</t>
  </si>
  <si>
    <t>#5061</t>
  </si>
  <si>
    <t>Jorge Iniguez</t>
  </si>
  <si>
    <t>#5062</t>
  </si>
  <si>
    <t>Barnaby Jiménez Córdova</t>
  </si>
  <si>
    <t>#5064</t>
  </si>
  <si>
    <t>Ronny Farinango Salazar</t>
  </si>
  <si>
    <t>#5065</t>
  </si>
  <si>
    <t>Fernando Jaramillo</t>
  </si>
  <si>
    <t>#5066</t>
  </si>
  <si>
    <t>Pedro Silvera</t>
  </si>
  <si>
    <t>#5067</t>
  </si>
  <si>
    <t>Norma Villanueva Rizo Villanueva Rizo</t>
  </si>
  <si>
    <t>#5068</t>
  </si>
  <si>
    <t>LUCAS GARCÍA OROZCO</t>
  </si>
  <si>
    <t>#5069</t>
  </si>
  <si>
    <t>Jorge Montalvo</t>
  </si>
  <si>
    <t>#5070</t>
  </si>
  <si>
    <t>Julio Tomala Zarate</t>
  </si>
  <si>
    <t>#5071</t>
  </si>
  <si>
    <t>Edgar Villalba</t>
  </si>
  <si>
    <t>#5072</t>
  </si>
  <si>
    <t>Juan Bernardino De la Cruz Villacís</t>
  </si>
  <si>
    <t>#5073</t>
  </si>
  <si>
    <t>Patricio Vaca</t>
  </si>
  <si>
    <t>#5074</t>
  </si>
  <si>
    <t>Marcelo Menéndez</t>
  </si>
  <si>
    <t>#5075</t>
  </si>
  <si>
    <t>Douglas Johny Heredia Parra</t>
  </si>
  <si>
    <t>#5076</t>
  </si>
  <si>
    <t>Sebastian Marín</t>
  </si>
  <si>
    <t>#5077</t>
  </si>
  <si>
    <t>Solange Arcos</t>
  </si>
  <si>
    <t>#5078</t>
  </si>
  <si>
    <t>Karina Romero</t>
  </si>
  <si>
    <t>#5079</t>
  </si>
  <si>
    <t>Jessica Salguero</t>
  </si>
  <si>
    <t>#5080</t>
  </si>
  <si>
    <t>Silvia Beatriz Ormaza torres</t>
  </si>
  <si>
    <t>#5081</t>
  </si>
  <si>
    <t>Jonathan Andrade</t>
  </si>
  <si>
    <t>#5082</t>
  </si>
  <si>
    <t>Julio España solis</t>
  </si>
  <si>
    <t>#5083</t>
  </si>
  <si>
    <t>Dean Ott</t>
  </si>
  <si>
    <t>#5084</t>
  </si>
  <si>
    <t>Juan Carlos Osorio</t>
  </si>
  <si>
    <t>#5085</t>
  </si>
  <si>
    <t>Darwin Huacón Nieto</t>
  </si>
  <si>
    <t>#5086</t>
  </si>
  <si>
    <t>Teresa Castillo</t>
  </si>
  <si>
    <t>#5087</t>
  </si>
  <si>
    <t>Victor Cornejo</t>
  </si>
  <si>
    <t>#5088</t>
  </si>
  <si>
    <t>Walther Geovanny Vera Vera</t>
  </si>
  <si>
    <t>#5089</t>
  </si>
  <si>
    <t>Christian Gonzalo Morocho freire</t>
  </si>
  <si>
    <t>#5090</t>
  </si>
  <si>
    <t>Mabel Vélez</t>
  </si>
  <si>
    <t>#5091</t>
  </si>
  <si>
    <t>Cecilia Calderón</t>
  </si>
  <si>
    <t>#5092</t>
  </si>
  <si>
    <t>Nicol Garzón Cisneros</t>
  </si>
  <si>
    <t>#5093</t>
  </si>
  <si>
    <t>Ernesto Valentin Calispa Uvillus</t>
  </si>
  <si>
    <t>#5094</t>
  </si>
  <si>
    <t>Robert Tutivén Tutivén Chonillo</t>
  </si>
  <si>
    <t>#5095</t>
  </si>
  <si>
    <t>Juan Carlos Lucero</t>
  </si>
  <si>
    <t>#5096</t>
  </si>
  <si>
    <t>Sonia Sanchez</t>
  </si>
  <si>
    <t>#5097</t>
  </si>
  <si>
    <t>Amparito Mayorga</t>
  </si>
  <si>
    <t>#5098</t>
  </si>
  <si>
    <t>Byron Gallo</t>
  </si>
  <si>
    <t>#5099</t>
  </si>
  <si>
    <t>Carlos Garzon</t>
  </si>
  <si>
    <t>#5100</t>
  </si>
  <si>
    <t>Jose Falcones parrales</t>
  </si>
  <si>
    <t>#5101</t>
  </si>
  <si>
    <t>Andreina Báez</t>
  </si>
  <si>
    <t>#5102</t>
  </si>
  <si>
    <t>Rebeca Vargas Vargas</t>
  </si>
  <si>
    <t>#5103</t>
  </si>
  <si>
    <t>Hugo Carrera</t>
  </si>
  <si>
    <t>#5104</t>
  </si>
  <si>
    <t>Luis campoverde 0990685387</t>
  </si>
  <si>
    <t>#5105</t>
  </si>
  <si>
    <t>Veronica 171563309$</t>
  </si>
  <si>
    <t>#5106</t>
  </si>
  <si>
    <t>Jessica Villafuerte</t>
  </si>
  <si>
    <t>#5107</t>
  </si>
  <si>
    <t>César Carrera</t>
  </si>
  <si>
    <t>#5108</t>
  </si>
  <si>
    <t>Yolanda Sanchez</t>
  </si>
  <si>
    <t>#5110</t>
  </si>
  <si>
    <t>Favian Fernández Ramírez</t>
  </si>
  <si>
    <t>#5111</t>
  </si>
  <si>
    <t>Zayda Zaruma</t>
  </si>
  <si>
    <t>#5112</t>
  </si>
  <si>
    <t>Lorena Cuellar Cuellar</t>
  </si>
  <si>
    <t>#5113</t>
  </si>
  <si>
    <t>Rosa Vaquilema</t>
  </si>
  <si>
    <t>#5114</t>
  </si>
  <si>
    <t>Mario Piedra</t>
  </si>
  <si>
    <t>#5115</t>
  </si>
  <si>
    <t>Carlos Miranda</t>
  </si>
  <si>
    <t>#5116</t>
  </si>
  <si>
    <t>Angel vizcaino</t>
  </si>
  <si>
    <t>#5118</t>
  </si>
  <si>
    <t>Luisa Paucar</t>
  </si>
  <si>
    <t>#5119</t>
  </si>
  <si>
    <t>Piedad Zhuma</t>
  </si>
  <si>
    <t>#5120</t>
  </si>
  <si>
    <t>Juan carlos Barzallo chavez</t>
  </si>
  <si>
    <t>#5121</t>
  </si>
  <si>
    <t>Paulette Mora</t>
  </si>
  <si>
    <t>#5122</t>
  </si>
  <si>
    <t xml:space="preserve">CLIENTE NO CONTESTA </t>
  </si>
  <si>
    <t>Ronald vera</t>
  </si>
  <si>
    <t>#5123</t>
  </si>
  <si>
    <t>Asbel Vicente</t>
  </si>
  <si>
    <t>#5124</t>
  </si>
  <si>
    <t>Damian Bravo</t>
  </si>
  <si>
    <t>#5125</t>
  </si>
  <si>
    <t>Jinson Cuero</t>
  </si>
  <si>
    <t>#5126</t>
  </si>
  <si>
    <t>Emilio Santillan</t>
  </si>
  <si>
    <t>#5127</t>
  </si>
  <si>
    <t>Juan Carlos Coronel Valencia</t>
  </si>
  <si>
    <t>#5128</t>
  </si>
  <si>
    <t>Daniel Vargas</t>
  </si>
  <si>
    <t>#5129</t>
  </si>
  <si>
    <t>Victor Vedeño</t>
  </si>
  <si>
    <t>#5130</t>
  </si>
  <si>
    <t>Sofia Orozco</t>
  </si>
  <si>
    <t>#5131</t>
  </si>
  <si>
    <t>Gabriela Armijos</t>
  </si>
  <si>
    <t>#5132</t>
  </si>
  <si>
    <t>Jose Blanco</t>
  </si>
  <si>
    <t>#5133</t>
  </si>
  <si>
    <t>Euler Quiñónez freíre</t>
  </si>
  <si>
    <t>#5134</t>
  </si>
  <si>
    <t>Marco Ivan Endara Becerra</t>
  </si>
  <si>
    <t>#5135</t>
  </si>
  <si>
    <t>Carlos Bonozo</t>
  </si>
  <si>
    <t>#5136</t>
  </si>
  <si>
    <t>Jaqueline Pérez Pérez</t>
  </si>
  <si>
    <t>#5137</t>
  </si>
  <si>
    <t>Albaro Trajano Espinosa Padilla</t>
  </si>
  <si>
    <t>#5138</t>
  </si>
  <si>
    <t>Genesis Elizabeth Quinchuqui aria</t>
  </si>
  <si>
    <t>#5139</t>
  </si>
  <si>
    <t>ESTEBAN ESPIN</t>
  </si>
  <si>
    <t>#5140</t>
  </si>
  <si>
    <t>Jaime Hidalgo</t>
  </si>
  <si>
    <t>#5141</t>
  </si>
  <si>
    <t>Verónica Espinoza</t>
  </si>
  <si>
    <t>#5142</t>
  </si>
  <si>
    <t>Joaquín Caba</t>
  </si>
  <si>
    <t>#5143</t>
  </si>
  <si>
    <t>Armando Endara</t>
  </si>
  <si>
    <t>#5144</t>
  </si>
  <si>
    <t>Gustavo Linares</t>
  </si>
  <si>
    <t>#5145</t>
  </si>
  <si>
    <t>Cesar Roberto CASTRO Quiroz</t>
  </si>
  <si>
    <t>#5146</t>
  </si>
  <si>
    <t>Daniel Cantos Cantos mejia</t>
  </si>
  <si>
    <t>#5147</t>
  </si>
  <si>
    <t>Inés Báez</t>
  </si>
  <si>
    <t>#5148</t>
  </si>
  <si>
    <t>Eduardo Chalacama</t>
  </si>
  <si>
    <t>#5149</t>
  </si>
  <si>
    <t>Angel Criollo Cahueñas</t>
  </si>
  <si>
    <t>#5150</t>
  </si>
  <si>
    <t>Bryan Ojeda</t>
  </si>
  <si>
    <t>#5151</t>
  </si>
  <si>
    <t>Marian Mogro Mogro</t>
  </si>
  <si>
    <t>#5152</t>
  </si>
  <si>
    <t>Haylis Palacios</t>
  </si>
  <si>
    <t>#5153</t>
  </si>
  <si>
    <t>Jimmy Santander</t>
  </si>
  <si>
    <t>#5155</t>
  </si>
  <si>
    <t>SINO RESPONDE, ES PORQUE NO DESEA</t>
  </si>
  <si>
    <t>Lady loor Loor Zambrano</t>
  </si>
  <si>
    <t>#5156</t>
  </si>
  <si>
    <t>Soraya Perez</t>
  </si>
  <si>
    <t>#5157</t>
  </si>
  <si>
    <t>Calva cristian Calva Ojeda</t>
  </si>
  <si>
    <t>#5158</t>
  </si>
  <si>
    <t>Ivan Vera</t>
  </si>
  <si>
    <t>#5159</t>
  </si>
  <si>
    <t>Milton Yanqui</t>
  </si>
  <si>
    <t>#5160</t>
  </si>
  <si>
    <t>Leslie Arteaga</t>
  </si>
  <si>
    <t>#5161</t>
  </si>
  <si>
    <t>Joffre Hidalgo</t>
  </si>
  <si>
    <t>#5162</t>
  </si>
  <si>
    <t>Nelson Valencia</t>
  </si>
  <si>
    <t>#5163</t>
  </si>
  <si>
    <t>Victor Vargas</t>
  </si>
  <si>
    <t>#5164</t>
  </si>
  <si>
    <t>Jorge Rodas</t>
  </si>
  <si>
    <t>#5165</t>
  </si>
  <si>
    <t>Andrea Almeida Cordero</t>
  </si>
  <si>
    <t>#5166</t>
  </si>
  <si>
    <t>Edwin Rodolfo Ayala cordova</t>
  </si>
  <si>
    <t>#5167</t>
  </si>
  <si>
    <t>Maurico Ruiz</t>
  </si>
  <si>
    <t>#5168</t>
  </si>
  <si>
    <t>SEGUNDO MENSAJE / DIRECION INCOMPLETA</t>
  </si>
  <si>
    <t>Ricardo Gabriel Moyota Barreno</t>
  </si>
  <si>
    <t>#5169</t>
  </si>
  <si>
    <t>Cristina Sánchez Sánchez Moreno</t>
  </si>
  <si>
    <t>#5170</t>
  </si>
  <si>
    <t>Carlos Emanuele</t>
  </si>
  <si>
    <t>#5171</t>
  </si>
  <si>
    <t>CLIENTE CON MALA CALIFICACION</t>
  </si>
  <si>
    <t>Michael Constante</t>
  </si>
  <si>
    <t>#5172</t>
  </si>
  <si>
    <t>Gino Retamal</t>
  </si>
  <si>
    <t>#5173</t>
  </si>
  <si>
    <t>Miguel Avendaño</t>
  </si>
  <si>
    <t>#5174</t>
  </si>
  <si>
    <t>Angie Hernandez</t>
  </si>
  <si>
    <t>#5175</t>
  </si>
  <si>
    <t>BeatrizSanabria Sanabria</t>
  </si>
  <si>
    <t>#5176</t>
  </si>
  <si>
    <t>Nancy Salazar</t>
  </si>
  <si>
    <t>#5177</t>
  </si>
  <si>
    <t>Nicole Calderón</t>
  </si>
  <si>
    <t>#5178</t>
  </si>
  <si>
    <t>Gardeña Fernández</t>
  </si>
  <si>
    <t>#5179</t>
  </si>
  <si>
    <t>Fausto Arellano</t>
  </si>
  <si>
    <t>#5180</t>
  </si>
  <si>
    <t>Miryan Parra</t>
  </si>
  <si>
    <t>#5181</t>
  </si>
  <si>
    <t>Gladys Esthela Moya</t>
  </si>
  <si>
    <t>#5182</t>
  </si>
  <si>
    <t>Oswaldo Klever Alarcon ordoñez</t>
  </si>
  <si>
    <t>#5183</t>
  </si>
  <si>
    <t>Marlon Duran</t>
  </si>
  <si>
    <t>#5184</t>
  </si>
  <si>
    <t>Marco Granja</t>
  </si>
  <si>
    <t>#5185</t>
  </si>
  <si>
    <t>Luis Ángel Arias Jara Arias Jara</t>
  </si>
  <si>
    <t>#5186</t>
  </si>
  <si>
    <t>CLIENTE NO CONFIABLE</t>
  </si>
  <si>
    <t>Joffre Bermeo</t>
  </si>
  <si>
    <t>#5187</t>
  </si>
  <si>
    <t>Wshington Vela</t>
  </si>
  <si>
    <t>#5188</t>
  </si>
  <si>
    <t>Mario Buenaño</t>
  </si>
  <si>
    <t>#5189</t>
  </si>
  <si>
    <t>Jonathan Pomader</t>
  </si>
  <si>
    <t>#5190</t>
  </si>
  <si>
    <t>Victor Wilfrido Ruiz Ibarra</t>
  </si>
  <si>
    <t>#5191</t>
  </si>
  <si>
    <t>Oscar Espinoza Burgos</t>
  </si>
  <si>
    <t>#5192</t>
  </si>
  <si>
    <t>Rosa orfelina Chavez</t>
  </si>
  <si>
    <t>#5193</t>
  </si>
  <si>
    <t>Kilmer Villalba</t>
  </si>
  <si>
    <t>#5194</t>
  </si>
  <si>
    <t>Patricia Lara</t>
  </si>
  <si>
    <t>#5195</t>
  </si>
  <si>
    <t>Teresa Medina</t>
  </si>
  <si>
    <t>#5196</t>
  </si>
  <si>
    <t>CLIENTE NO ESPONDE</t>
  </si>
  <si>
    <t>Victor Mina</t>
  </si>
  <si>
    <t>#5197</t>
  </si>
  <si>
    <t>Tomas Alberto Gomez Cedeñodata</t>
  </si>
  <si>
    <t>#5198</t>
  </si>
  <si>
    <t>Héctor Romero</t>
  </si>
  <si>
    <t>#5199</t>
  </si>
  <si>
    <t>Rene Patricio Paneuisa Pilicita</t>
  </si>
  <si>
    <t>#5200</t>
  </si>
  <si>
    <t>José Ariel Olives Canchingre</t>
  </si>
  <si>
    <t>#5201</t>
  </si>
  <si>
    <t>Leonel Miguel Ruiz Arriciaga Ruiz arriciaga</t>
  </si>
  <si>
    <t>#5202</t>
  </si>
  <si>
    <t>REVISAR</t>
  </si>
  <si>
    <t>Wilson Barreto Reyes</t>
  </si>
  <si>
    <t>#5203</t>
  </si>
  <si>
    <t>Olga Portilla</t>
  </si>
  <si>
    <t>#5204</t>
  </si>
  <si>
    <t>Manuel Torres</t>
  </si>
  <si>
    <t>#5205</t>
  </si>
  <si>
    <t>Ariel Rodriguez</t>
  </si>
  <si>
    <t>#5206</t>
  </si>
  <si>
    <t>Elvis Farino</t>
  </si>
  <si>
    <t>#5207</t>
  </si>
  <si>
    <t>Brandon Mauricio Almeida cedeño</t>
  </si>
  <si>
    <t>#5208</t>
  </si>
  <si>
    <t>Santiago Loiaza Loaiza</t>
  </si>
  <si>
    <t>#5209</t>
  </si>
  <si>
    <t>Byron Cortez</t>
  </si>
  <si>
    <t>#5210</t>
  </si>
  <si>
    <t>Moises Alvarado</t>
  </si>
  <si>
    <t>#5211</t>
  </si>
  <si>
    <t>Sara Molina Cevallos</t>
  </si>
  <si>
    <t>#5212</t>
  </si>
  <si>
    <t>Jose Francisco Arreaga Sotomayor</t>
  </si>
  <si>
    <t>#5213</t>
  </si>
  <si>
    <t>Milton Geovani Vinocunga Viracucha</t>
  </si>
  <si>
    <t>#5214</t>
  </si>
  <si>
    <t>Antonio Holguín</t>
  </si>
  <si>
    <t>#5215</t>
  </si>
  <si>
    <t>Lewis Douglas Quevedo prieto</t>
  </si>
  <si>
    <t>#5216</t>
  </si>
  <si>
    <t>Francisco mathias Pinos</t>
  </si>
  <si>
    <t>#5218</t>
  </si>
  <si>
    <t>Franzua Freire</t>
  </si>
  <si>
    <t>#5219</t>
  </si>
  <si>
    <t>José Tobar</t>
  </si>
  <si>
    <t>#5220</t>
  </si>
  <si>
    <t>Xavier Quevedo</t>
  </si>
  <si>
    <t>#5221</t>
  </si>
  <si>
    <t>DARIO SALDAÑA</t>
  </si>
  <si>
    <t>#5222</t>
  </si>
  <si>
    <t>Cristian Camacho</t>
  </si>
  <si>
    <t>#5223</t>
  </si>
  <si>
    <t>Sergio Mendoza</t>
  </si>
  <si>
    <t>#5224</t>
  </si>
  <si>
    <t>Rafael Lozano</t>
  </si>
  <si>
    <t>#5225</t>
  </si>
  <si>
    <t>Pedro Edison Hurtado</t>
  </si>
  <si>
    <t>#5226</t>
  </si>
  <si>
    <t>Jareck Jair Bermudez Pesantez</t>
  </si>
  <si>
    <t>#5227</t>
  </si>
  <si>
    <t>MARIELLA VERÓNICA VILLACIS VERA</t>
  </si>
  <si>
    <t>#5228</t>
  </si>
  <si>
    <t>Fatima Vera</t>
  </si>
  <si>
    <t>#5230</t>
  </si>
  <si>
    <t>Victor Zambrano</t>
  </si>
  <si>
    <t>#5231</t>
  </si>
  <si>
    <t>Jimmy Córdova</t>
  </si>
  <si>
    <t>#5232</t>
  </si>
  <si>
    <t>Olga Lozano</t>
  </si>
  <si>
    <t>#5233</t>
  </si>
  <si>
    <t>Diego Palacios Mieles</t>
  </si>
  <si>
    <t>#5235</t>
  </si>
  <si>
    <t>SEGUNDO MENSAJE</t>
  </si>
  <si>
    <t>Carlos Lucas</t>
  </si>
  <si>
    <t>#5236</t>
  </si>
  <si>
    <t>Christian Moreta</t>
  </si>
  <si>
    <t>#5238</t>
  </si>
  <si>
    <t>Jhonatan Largo</t>
  </si>
  <si>
    <t>#5239</t>
  </si>
  <si>
    <t>SIN STOCK / SERVIENTREGA</t>
  </si>
  <si>
    <t>Karen Jama</t>
  </si>
  <si>
    <t>#5240</t>
  </si>
  <si>
    <t>Dennis Tatiana Ganchozo Mesias</t>
  </si>
  <si>
    <t>#5241</t>
  </si>
  <si>
    <t>Sonia Carvajal</t>
  </si>
  <si>
    <t>#5242</t>
  </si>
  <si>
    <t>ivan Zapatier</t>
  </si>
  <si>
    <t>#5243</t>
  </si>
  <si>
    <t>Bolívar Molina</t>
  </si>
  <si>
    <t>#5244</t>
  </si>
  <si>
    <t>Doris Garzon</t>
  </si>
  <si>
    <t>#5245</t>
  </si>
  <si>
    <t>Héctor Milton Acosta</t>
  </si>
  <si>
    <t>#5246</t>
  </si>
  <si>
    <t>CLIENTE CONFLICTIVO / NO DESEA</t>
  </si>
  <si>
    <t>Claudio Calderon Calderon</t>
  </si>
  <si>
    <t>#5248</t>
  </si>
  <si>
    <t>Jimmy carlos Olvera Cordova</t>
  </si>
  <si>
    <t>#5249</t>
  </si>
  <si>
    <t>Wilson Valencia</t>
  </si>
  <si>
    <t>#5250</t>
  </si>
  <si>
    <t>Juan Zambrano</t>
  </si>
  <si>
    <t>#5251</t>
  </si>
  <si>
    <t>Nelly Sandoval</t>
  </si>
  <si>
    <t>#5252</t>
  </si>
  <si>
    <t>Margarita Rojas</t>
  </si>
  <si>
    <t>#5253</t>
  </si>
  <si>
    <t>Miguel Durán</t>
  </si>
  <si>
    <t>#5254</t>
  </si>
  <si>
    <t>Vinicio Sarmiento</t>
  </si>
  <si>
    <t>#5256</t>
  </si>
  <si>
    <t>Erika tatiana Sanchez feijoo</t>
  </si>
  <si>
    <t>#5257</t>
  </si>
  <si>
    <t>Oscar Mieles</t>
  </si>
  <si>
    <t>#5258</t>
  </si>
  <si>
    <t>Santos Vega Narvaez</t>
  </si>
  <si>
    <t>#5259</t>
  </si>
  <si>
    <t>Andrés Moreira Briones</t>
  </si>
  <si>
    <t>#5260</t>
  </si>
  <si>
    <t>Andres Rabascall</t>
  </si>
  <si>
    <t>#5261</t>
  </si>
  <si>
    <t>Washington Pazmiño</t>
  </si>
  <si>
    <t>#5262</t>
  </si>
  <si>
    <t>Daniel Dario López Dias</t>
  </si>
  <si>
    <t>#5263</t>
  </si>
  <si>
    <t>Gabriel Arcenio Huertas</t>
  </si>
  <si>
    <t>#5264</t>
  </si>
  <si>
    <t>Carlos Duque</t>
  </si>
  <si>
    <t>#5265</t>
  </si>
  <si>
    <t>Jhoan Miramag</t>
  </si>
  <si>
    <t>#5266</t>
  </si>
  <si>
    <t>Tatiana Huerta</t>
  </si>
  <si>
    <t>#5267</t>
  </si>
  <si>
    <t>Carlos Carpio</t>
  </si>
  <si>
    <t>#5268</t>
  </si>
  <si>
    <t>Stalin anibal Montes quiñonez</t>
  </si>
  <si>
    <t>#5269</t>
  </si>
  <si>
    <t>pedro jose zamora benavides</t>
  </si>
  <si>
    <t>#5270</t>
  </si>
  <si>
    <t>Pedro Aviles</t>
  </si>
  <si>
    <t>#5271</t>
  </si>
  <si>
    <t>CLIENTE NO PASA EN CASA</t>
  </si>
  <si>
    <t>Henry agualongo</t>
  </si>
  <si>
    <t>#5272</t>
  </si>
  <si>
    <t>JOHNNY SATAMA</t>
  </si>
  <si>
    <t>#5273</t>
  </si>
  <si>
    <t>Mauro Mauro silva</t>
  </si>
  <si>
    <t>#5274</t>
  </si>
  <si>
    <t>José David no Palma</t>
  </si>
  <si>
    <t>#5275</t>
  </si>
  <si>
    <t>Hugo caceres</t>
  </si>
  <si>
    <t>#5277</t>
  </si>
  <si>
    <t>Fernanda Albornoz</t>
  </si>
  <si>
    <t>#5278</t>
  </si>
  <si>
    <t>Nancy Maribel Piña</t>
  </si>
  <si>
    <t>#5279</t>
  </si>
  <si>
    <t>Ignacio Parra</t>
  </si>
  <si>
    <t>#5280</t>
  </si>
  <si>
    <t>Andrea Basurto Basurto</t>
  </si>
  <si>
    <t>#5281</t>
  </si>
  <si>
    <t>Javier Rolando Morales Moyano</t>
  </si>
  <si>
    <t>#5282</t>
  </si>
  <si>
    <t>Wilson Rivera</t>
  </si>
  <si>
    <t>#5283</t>
  </si>
  <si>
    <t>Bolivar Muñoz</t>
  </si>
  <si>
    <t>#5284</t>
  </si>
  <si>
    <t>Cecilia Belén Carrión Amaya</t>
  </si>
  <si>
    <t>#5285</t>
  </si>
  <si>
    <t>Carlos Rodriguez</t>
  </si>
  <si>
    <t>#5286</t>
  </si>
  <si>
    <t>Añexander Matecki</t>
  </si>
  <si>
    <t>#5289</t>
  </si>
  <si>
    <t>Arturo Tutiven</t>
  </si>
  <si>
    <t>#5290</t>
  </si>
  <si>
    <t>fricson Cervantes</t>
  </si>
  <si>
    <t>#5291</t>
  </si>
  <si>
    <t>Ricardo Mendez</t>
  </si>
  <si>
    <t>#5292</t>
  </si>
  <si>
    <t>Génesis Benavides Rengifo</t>
  </si>
  <si>
    <t>#5293</t>
  </si>
  <si>
    <t>Fabian Valarezo Carpio</t>
  </si>
  <si>
    <t>#5294</t>
  </si>
  <si>
    <t>Errol Estupiñan</t>
  </si>
  <si>
    <t>#5295</t>
  </si>
  <si>
    <t>Víctor Antonio Sanchez Espinoza</t>
  </si>
  <si>
    <t>#5296</t>
  </si>
  <si>
    <t>Ángela Chica</t>
  </si>
  <si>
    <t>#5297</t>
  </si>
  <si>
    <t>Mauricio Vera</t>
  </si>
  <si>
    <t>#5298</t>
  </si>
  <si>
    <t>Nidson Cecilio Peña Anchundia</t>
  </si>
  <si>
    <t>#5299</t>
  </si>
  <si>
    <t>Washington Montenegro</t>
  </si>
  <si>
    <t>#5301</t>
  </si>
  <si>
    <t xml:space="preserve"> </t>
  </si>
  <si>
    <t>WILSON VINCES</t>
  </si>
  <si>
    <t>#5302</t>
  </si>
  <si>
    <t>Tomas Muentes</t>
  </si>
  <si>
    <t>#5303</t>
  </si>
  <si>
    <t xml:space="preserve">PENDIENTE - REVISAR </t>
  </si>
  <si>
    <t>Juan Carlos Huilcamaigua Lema</t>
  </si>
  <si>
    <t>#5304</t>
  </si>
  <si>
    <t>Walter Elíasi Solórzano Zambrano</t>
  </si>
  <si>
    <t>#5305</t>
  </si>
  <si>
    <t xml:space="preserve">PENDIENTE  </t>
  </si>
  <si>
    <t>Almeida Israel Pichincha</t>
  </si>
  <si>
    <t>#5306</t>
  </si>
  <si>
    <t>Ruben Toro</t>
  </si>
  <si>
    <t>#5307</t>
  </si>
  <si>
    <t>Christian Stalyn Carrera de la cruz</t>
  </si>
  <si>
    <t>#5308</t>
  </si>
  <si>
    <t>Armando Goya</t>
  </si>
  <si>
    <t>#5310</t>
  </si>
  <si>
    <t>Mario Torres Velasquez</t>
  </si>
  <si>
    <t>#5311</t>
  </si>
  <si>
    <t>German Bonilla</t>
  </si>
  <si>
    <t>#5312</t>
  </si>
  <si>
    <t>Dario Zares</t>
  </si>
  <si>
    <t>#5313</t>
  </si>
  <si>
    <t>Nestor Naula</t>
  </si>
  <si>
    <t>#5314</t>
  </si>
  <si>
    <t>Alex Eduardo Puga Lascano</t>
  </si>
  <si>
    <t>#5315</t>
  </si>
  <si>
    <t>Leandro Briones</t>
  </si>
  <si>
    <t>#5316</t>
  </si>
  <si>
    <t>Felipe Llanos Alarcon</t>
  </si>
  <si>
    <t>#5317</t>
  </si>
  <si>
    <t>David Salguero</t>
  </si>
  <si>
    <t>#5318</t>
  </si>
  <si>
    <t>Lenin Quintero</t>
  </si>
  <si>
    <t>#5319</t>
  </si>
  <si>
    <t>Klever Miguel Torres Arcos</t>
  </si>
  <si>
    <t>#5320</t>
  </si>
  <si>
    <t>Andrea Estupiñan</t>
  </si>
  <si>
    <t>#5321</t>
  </si>
  <si>
    <t>Sixto moran Avilés</t>
  </si>
  <si>
    <t>#5322</t>
  </si>
  <si>
    <t>Edgar Bermeo</t>
  </si>
  <si>
    <t>#5323</t>
  </si>
  <si>
    <t>Segundo Bernabe Gualoto Álvaro</t>
  </si>
  <si>
    <t>#5324</t>
  </si>
  <si>
    <t>Carlos Palma</t>
  </si>
  <si>
    <t>#5325</t>
  </si>
  <si>
    <t>Felipe Jiménez</t>
  </si>
  <si>
    <t>#5326</t>
  </si>
  <si>
    <t>Jhonny Calva</t>
  </si>
  <si>
    <t>#5327</t>
  </si>
  <si>
    <t>Angie Baena</t>
  </si>
  <si>
    <t>#5328</t>
  </si>
  <si>
    <t>Maria Jose Cevallos</t>
  </si>
  <si>
    <t>#5329</t>
  </si>
  <si>
    <t>DORYS Cuero</t>
  </si>
  <si>
    <t>#5330</t>
  </si>
  <si>
    <t>ANA MARIA Vargas Rosado</t>
  </si>
  <si>
    <t>#5331</t>
  </si>
  <si>
    <t>Andres Romero</t>
  </si>
  <si>
    <t>#5332</t>
  </si>
  <si>
    <t>Luis Encalada</t>
  </si>
  <si>
    <t>#5333</t>
  </si>
  <si>
    <t>Victor Vera Figueroa</t>
  </si>
  <si>
    <t>#5334</t>
  </si>
  <si>
    <t>Fabricio Mayorga</t>
  </si>
  <si>
    <t>#5335</t>
  </si>
  <si>
    <t>Martha Camacho</t>
  </si>
  <si>
    <t>#5336</t>
  </si>
  <si>
    <t>Daniel Soria</t>
  </si>
  <si>
    <t>#5337</t>
  </si>
  <si>
    <t>Roddy Davila</t>
  </si>
  <si>
    <t>#5338</t>
  </si>
  <si>
    <t>María Andrea Salvador</t>
  </si>
  <si>
    <t>#5339</t>
  </si>
  <si>
    <t>Juan Perez</t>
  </si>
  <si>
    <t>#5340</t>
  </si>
  <si>
    <t>CLIENTE SIN RESPUESTA</t>
  </si>
  <si>
    <t>Fanny Rojas</t>
  </si>
  <si>
    <t>#5341</t>
  </si>
  <si>
    <t>Edison Ortiz</t>
  </si>
  <si>
    <t>#5342</t>
  </si>
  <si>
    <t>DIRECCION INSUFICIENTE / CLIENTE NO RESPONDE</t>
  </si>
  <si>
    <t>Margarita Cantu</t>
  </si>
  <si>
    <t>#5343</t>
  </si>
  <si>
    <t>Dayana Romero</t>
  </si>
  <si>
    <t>#5344</t>
  </si>
  <si>
    <t>Danilo Castillo</t>
  </si>
  <si>
    <t>#5345</t>
  </si>
  <si>
    <t>Fabian Veliz</t>
  </si>
  <si>
    <t>#5346</t>
  </si>
  <si>
    <t>INFORMACION INCOMPLETA</t>
  </si>
  <si>
    <t>Lenin Fernando Gómez Moreira</t>
  </si>
  <si>
    <t>#5347</t>
  </si>
  <si>
    <t xml:space="preserve">NOVEDAD - SISTEMA </t>
  </si>
  <si>
    <t>Telmo Gomez</t>
  </si>
  <si>
    <t>#5348</t>
  </si>
  <si>
    <t>Jorge Ortiz</t>
  </si>
  <si>
    <t>#5349</t>
  </si>
  <si>
    <t>Elizabeth Párraga</t>
  </si>
  <si>
    <t>#5350</t>
  </si>
  <si>
    <t>Blanca Pilaluisa</t>
  </si>
  <si>
    <t>#5351</t>
  </si>
  <si>
    <t>Gabriel Gimeno</t>
  </si>
  <si>
    <t>#5352</t>
  </si>
  <si>
    <t>Johe Calva</t>
  </si>
  <si>
    <t>#5354</t>
  </si>
  <si>
    <t>CLIENTE CANCELA / SE EQUIVOCO</t>
  </si>
  <si>
    <t>Blanca Navas Navas</t>
  </si>
  <si>
    <t>#5355</t>
  </si>
  <si>
    <t>José luis Quiroz pin</t>
  </si>
  <si>
    <t>#5356</t>
  </si>
  <si>
    <t>Winston Muñoz</t>
  </si>
  <si>
    <t>#5357</t>
  </si>
  <si>
    <t>WILSON ZEA Hola  me gusta el produto</t>
  </si>
  <si>
    <t>#5358</t>
  </si>
  <si>
    <t>Álvaro Amaguaña</t>
  </si>
  <si>
    <t>#5359</t>
  </si>
  <si>
    <t>Wilmer Avilez</t>
  </si>
  <si>
    <t>#5360</t>
  </si>
  <si>
    <t>Azucena Arias Arias</t>
  </si>
  <si>
    <t>#5361</t>
  </si>
  <si>
    <t>#5362</t>
  </si>
  <si>
    <t xml:space="preserve">CLIENTE CIERRA EL TELEFONO </t>
  </si>
  <si>
    <t>Ana Padilla</t>
  </si>
  <si>
    <t>#5363</t>
  </si>
  <si>
    <t>Darwin Añazco</t>
  </si>
  <si>
    <t>#5364</t>
  </si>
  <si>
    <t>Jackson David Palacios ZUÑA</t>
  </si>
  <si>
    <t>#5365</t>
  </si>
  <si>
    <t>MERCY Elizabeth AILLA CHACHA</t>
  </si>
  <si>
    <t>#5366</t>
  </si>
  <si>
    <t>Walter Siza</t>
  </si>
  <si>
    <t>#5367</t>
  </si>
  <si>
    <t>Gabriel Quinchiguango</t>
  </si>
  <si>
    <t>#5368</t>
  </si>
  <si>
    <t>Lenin Montesdeoca</t>
  </si>
  <si>
    <t>#5369</t>
  </si>
  <si>
    <t>Angel Caicedo</t>
  </si>
  <si>
    <t>#5370</t>
  </si>
  <si>
    <t>Vicente Goya</t>
  </si>
  <si>
    <t>#5371</t>
  </si>
  <si>
    <t>Misael Uquiña</t>
  </si>
  <si>
    <t>#5372</t>
  </si>
  <si>
    <t>José López Arreaga</t>
  </si>
  <si>
    <t>#5373</t>
  </si>
  <si>
    <t>Gabriela Hurtado Hurtado</t>
  </si>
  <si>
    <t>#5374</t>
  </si>
  <si>
    <t>Miguel Orlando Guatemal Pupiales</t>
  </si>
  <si>
    <t>#5375</t>
  </si>
  <si>
    <t>Jessica Quelal</t>
  </si>
  <si>
    <t>#5376</t>
  </si>
  <si>
    <t>Alex Cevallos Rodriguez</t>
  </si>
  <si>
    <t>#5377</t>
  </si>
  <si>
    <t>Santiago Trujillo Mullo</t>
  </si>
  <si>
    <t>#5379</t>
  </si>
  <si>
    <t>Christian Mantilla</t>
  </si>
  <si>
    <t>#5380</t>
  </si>
  <si>
    <t>Danny Guaman</t>
  </si>
  <si>
    <t>#5381</t>
  </si>
  <si>
    <t>Manuel Alcivar</t>
  </si>
  <si>
    <t>#5382</t>
  </si>
  <si>
    <t>Henry Geovanny Hurtado Loja</t>
  </si>
  <si>
    <t>#5383</t>
  </si>
  <si>
    <t>Patricio Pazmiño</t>
  </si>
  <si>
    <t>#5384</t>
  </si>
  <si>
    <t>Vicente González</t>
  </si>
  <si>
    <t>#5385</t>
  </si>
  <si>
    <t>Geovanny Chasipanta</t>
  </si>
  <si>
    <t>#5386</t>
  </si>
  <si>
    <t>Alberto Jami</t>
  </si>
  <si>
    <t>#5387</t>
  </si>
  <si>
    <t>CLIENTE MOLESTO POR IA</t>
  </si>
  <si>
    <t>Ángela Leon Leon</t>
  </si>
  <si>
    <t>#5388</t>
  </si>
  <si>
    <t>CLIENTE YA NO DESEA</t>
  </si>
  <si>
    <t>Milton Roberto Pucha Pilco</t>
  </si>
  <si>
    <t>#5389</t>
  </si>
  <si>
    <t>Mauricio Castellanos</t>
  </si>
  <si>
    <t>#5390</t>
  </si>
  <si>
    <t>Alex Gordon</t>
  </si>
  <si>
    <t>#5391</t>
  </si>
  <si>
    <t>Jorge Baque</t>
  </si>
  <si>
    <t>#5392</t>
  </si>
  <si>
    <t>Sonnia María Sicouret</t>
  </si>
  <si>
    <t>#5393</t>
  </si>
  <si>
    <t>Washington Raza</t>
  </si>
  <si>
    <t>#5394</t>
  </si>
  <si>
    <t>Nilsen Pineda</t>
  </si>
  <si>
    <t>#5395</t>
  </si>
  <si>
    <t>Víctor Changoluisa</t>
  </si>
  <si>
    <t>#5396</t>
  </si>
  <si>
    <t>David Polit</t>
  </si>
  <si>
    <t>#5397</t>
  </si>
  <si>
    <t>Diego Fernando Salas Murillo</t>
  </si>
  <si>
    <t>#5398</t>
  </si>
  <si>
    <t>Julio Venancio Rodriguez Nogales</t>
  </si>
  <si>
    <t>#5399</t>
  </si>
  <si>
    <t>CLIENTE NO COLABORA CON INFORMACION</t>
  </si>
  <si>
    <t>Danny Tomala</t>
  </si>
  <si>
    <t>#5400</t>
  </si>
  <si>
    <t>Patricio Guanoluisa Guaman</t>
  </si>
  <si>
    <t>#5401</t>
  </si>
  <si>
    <t>Susana Changoluisa Changoluisa</t>
  </si>
  <si>
    <t>#5402</t>
  </si>
  <si>
    <t>Ninoska Farías</t>
  </si>
  <si>
    <t>#5403</t>
  </si>
  <si>
    <t>Carlina Toledo</t>
  </si>
  <si>
    <t>#5404</t>
  </si>
  <si>
    <t>David Carpio</t>
  </si>
  <si>
    <t>#5405</t>
  </si>
  <si>
    <t>Karina Garcia Estrada</t>
  </si>
  <si>
    <t>#5406</t>
  </si>
  <si>
    <t>Willan augusto Pachar</t>
  </si>
  <si>
    <t>#5407</t>
  </si>
  <si>
    <t>Elizabeth Ramos</t>
  </si>
  <si>
    <t>#5408</t>
  </si>
  <si>
    <t>Jairo Fabricio Manzano González</t>
  </si>
  <si>
    <t>#5409</t>
  </si>
  <si>
    <t>Jhon Velasco</t>
  </si>
  <si>
    <t>#5410</t>
  </si>
  <si>
    <t>JOSE LUIS GONZALEZ BOLAÑOS</t>
  </si>
  <si>
    <t>#5411</t>
  </si>
  <si>
    <t>David Amores</t>
  </si>
  <si>
    <t>#5412</t>
  </si>
  <si>
    <t>Ruth Quinto</t>
  </si>
  <si>
    <t>#5413</t>
  </si>
  <si>
    <t>Andres Davalos</t>
  </si>
  <si>
    <t>#5414</t>
  </si>
  <si>
    <t>Luis Miguel Hurtado</t>
  </si>
  <si>
    <t>#5415</t>
  </si>
  <si>
    <t>Manuel de Jesús Medina lafebre</t>
  </si>
  <si>
    <t>#5416</t>
  </si>
  <si>
    <t>Christian Chango</t>
  </si>
  <si>
    <t>#5417</t>
  </si>
  <si>
    <t>German Vallejo</t>
  </si>
  <si>
    <t>#5418</t>
  </si>
  <si>
    <t>Freddy Lasso</t>
  </si>
  <si>
    <t>#5419</t>
  </si>
  <si>
    <t>Miguel maridueña Barreto</t>
  </si>
  <si>
    <t>#5420</t>
  </si>
  <si>
    <t>William yepez</t>
  </si>
  <si>
    <t>#5422</t>
  </si>
  <si>
    <t>Walter Chonillo</t>
  </si>
  <si>
    <t>#5423</t>
  </si>
  <si>
    <t>Juan zenon Mera sosa</t>
  </si>
  <si>
    <t>#5424</t>
  </si>
  <si>
    <t>José Román</t>
  </si>
  <si>
    <t>#5425</t>
  </si>
  <si>
    <t>Edison Andrade</t>
  </si>
  <si>
    <t>#5426</t>
  </si>
  <si>
    <t>Alex Fernando Rodriguez Felix</t>
  </si>
  <si>
    <t>#5427</t>
  </si>
  <si>
    <t>Danny Buñay</t>
  </si>
  <si>
    <t>#5428</t>
  </si>
  <si>
    <t>Juan Acan</t>
  </si>
  <si>
    <t>#5430</t>
  </si>
  <si>
    <t>Richard Tenezaca</t>
  </si>
  <si>
    <t>#5431</t>
  </si>
  <si>
    <t>Darwin Castro</t>
  </si>
  <si>
    <t>#5432</t>
  </si>
  <si>
    <t>Emidio Wilfrido Sacoto Mendoza</t>
  </si>
  <si>
    <t>#5433</t>
  </si>
  <si>
    <t>Jorge Ganan</t>
  </si>
  <si>
    <t>#5435</t>
  </si>
  <si>
    <t>José Taday</t>
  </si>
  <si>
    <t>#5436</t>
  </si>
  <si>
    <t>Javier Lino</t>
  </si>
  <si>
    <t>#5437</t>
  </si>
  <si>
    <t>#5438</t>
  </si>
  <si>
    <t>Santiago Angulo</t>
  </si>
  <si>
    <t>#5439</t>
  </si>
  <si>
    <t>RECUPERADO DE SHOPIFY</t>
  </si>
  <si>
    <t>Jorge Arias</t>
  </si>
  <si>
    <t>#5440</t>
  </si>
  <si>
    <t>Natalia Lozano Aguilar</t>
  </si>
  <si>
    <t>#5441</t>
  </si>
  <si>
    <t>Gabriel Delgado</t>
  </si>
  <si>
    <t>#5442</t>
  </si>
  <si>
    <t>Freddy Jhoan Peralta Rivera</t>
  </si>
  <si>
    <t>#5443</t>
  </si>
  <si>
    <t>Roberto Caregua</t>
  </si>
  <si>
    <t>#5444</t>
  </si>
  <si>
    <t>Juan Carlos Pianda Cobeña</t>
  </si>
  <si>
    <t>#5445</t>
  </si>
  <si>
    <t>Ricardo Cruz</t>
  </si>
  <si>
    <t>#5446</t>
  </si>
  <si>
    <t>Roberto Sánchez</t>
  </si>
  <si>
    <t>#5447</t>
  </si>
  <si>
    <t>José Luis Macías sacros</t>
  </si>
  <si>
    <t>#5448</t>
  </si>
  <si>
    <t>Luis Aizaga</t>
  </si>
  <si>
    <t>#5449</t>
  </si>
  <si>
    <t>Asigno pedido a la competencia 4X30</t>
  </si>
  <si>
    <t>Miguel Montesdeoca</t>
  </si>
  <si>
    <t>#5450</t>
  </si>
  <si>
    <t>Eduardo Cueva</t>
  </si>
  <si>
    <t>#5451</t>
  </si>
  <si>
    <t>Fausto Vaca</t>
  </si>
  <si>
    <t>#5452</t>
  </si>
  <si>
    <t>Erika Alexandra Chamba Ronquillo</t>
  </si>
  <si>
    <t>#5453</t>
  </si>
  <si>
    <t>Mauricio Lopez</t>
  </si>
  <si>
    <t>#5454</t>
  </si>
  <si>
    <t>Paul Cornejo</t>
  </si>
  <si>
    <t>#5455</t>
  </si>
  <si>
    <t>Manuel enrique Romero Menéndez</t>
  </si>
  <si>
    <t>#5456</t>
  </si>
  <si>
    <t>MARIA Armijos</t>
  </si>
  <si>
    <t>#5457</t>
  </si>
  <si>
    <t>Tito Moreano</t>
  </si>
  <si>
    <t>#5458</t>
  </si>
  <si>
    <t>Daniel Salazar</t>
  </si>
  <si>
    <t>#5459</t>
  </si>
  <si>
    <t>Carlos Siguenza</t>
  </si>
  <si>
    <t>#5460</t>
  </si>
  <si>
    <t>Martha Esperanza Ramos Muñoz</t>
  </si>
  <si>
    <t>#5461</t>
  </si>
  <si>
    <t>David Parra</t>
  </si>
  <si>
    <t>#5462</t>
  </si>
  <si>
    <t>DARWIN MICHAEL Mendoza</t>
  </si>
  <si>
    <t>#5463</t>
  </si>
  <si>
    <t>LUGAR INSEGURO</t>
  </si>
  <si>
    <t>Pedro Orellana</t>
  </si>
  <si>
    <t>#5464</t>
  </si>
  <si>
    <t>Veronica Basantes</t>
  </si>
  <si>
    <t>#5465</t>
  </si>
  <si>
    <t>Rony Zuñiga</t>
  </si>
  <si>
    <t>#5466</t>
  </si>
  <si>
    <t>Romulo Lopez</t>
  </si>
  <si>
    <t>#5467</t>
  </si>
  <si>
    <t>Angel Palacios</t>
  </si>
  <si>
    <t>#5468</t>
  </si>
  <si>
    <t>PROCESO - ADJUNTAR GUIA</t>
  </si>
  <si>
    <t>Cesar Bravo</t>
  </si>
  <si>
    <t>#5469</t>
  </si>
  <si>
    <t>edwingarciar123233@gmail.com Garcia</t>
  </si>
  <si>
    <t>#5470</t>
  </si>
  <si>
    <t>Diego Murillo</t>
  </si>
  <si>
    <t>#5471</t>
  </si>
  <si>
    <t>Karla Jamileth Vaca Ocampo 1207349901</t>
  </si>
  <si>
    <t>#5472</t>
  </si>
  <si>
    <t>Juan Fuentes</t>
  </si>
  <si>
    <t>#5473</t>
  </si>
  <si>
    <t>Byron Barragan</t>
  </si>
  <si>
    <t>#5474</t>
  </si>
  <si>
    <t>Luis Olaya</t>
  </si>
  <si>
    <t>#5476</t>
  </si>
  <si>
    <t>Milton Antonio parrales anchundia</t>
  </si>
  <si>
    <t>#5477</t>
  </si>
  <si>
    <t>Klever Guerrero</t>
  </si>
  <si>
    <t>#5478</t>
  </si>
  <si>
    <t>Luís Vinicio Cabezas Luna</t>
  </si>
  <si>
    <t>#5479</t>
  </si>
  <si>
    <t>Edison Escobar</t>
  </si>
  <si>
    <t>#5480</t>
  </si>
  <si>
    <t>Leo Cedeño</t>
  </si>
  <si>
    <t>#5481</t>
  </si>
  <si>
    <t>Eduardo Maldonado</t>
  </si>
  <si>
    <t>#5482</t>
  </si>
  <si>
    <t>Félix Xavier Vinueza Tutivem</t>
  </si>
  <si>
    <t>#5483</t>
  </si>
  <si>
    <t>Romel Abalco</t>
  </si>
  <si>
    <t>#5484</t>
  </si>
  <si>
    <t>Wilson murillo Murillo</t>
  </si>
  <si>
    <t>#5485</t>
  </si>
  <si>
    <t>Mario Narváez Narvaez</t>
  </si>
  <si>
    <t>#5486</t>
  </si>
  <si>
    <t>Fredy Naranjo</t>
  </si>
  <si>
    <t>#5487</t>
  </si>
  <si>
    <t>Alexander Córdova</t>
  </si>
  <si>
    <t>#5489</t>
  </si>
  <si>
    <t>Pablo Mora</t>
  </si>
  <si>
    <t>#5490</t>
  </si>
  <si>
    <t>Cinthya Mejia</t>
  </si>
  <si>
    <t>#5491</t>
  </si>
  <si>
    <t>Mercedes Andrango 0968569988</t>
  </si>
  <si>
    <t>#5492</t>
  </si>
  <si>
    <t>Cristian Flores</t>
  </si>
  <si>
    <t>#5493</t>
  </si>
  <si>
    <t>Edison Ludeña</t>
  </si>
  <si>
    <t>#5494</t>
  </si>
  <si>
    <t>Sandra Farfán</t>
  </si>
  <si>
    <t>#5495</t>
  </si>
  <si>
    <t>Andres Collaguazo</t>
  </si>
  <si>
    <t>#5496</t>
  </si>
  <si>
    <t>cristian arce</t>
  </si>
  <si>
    <t>#5497</t>
  </si>
  <si>
    <t>CHOQUE INESPERADO CANCELA PEDIDO</t>
  </si>
  <si>
    <t>Veronika Acosta</t>
  </si>
  <si>
    <t>#5498</t>
  </si>
  <si>
    <t>Carlos Zúñiga Zuñiga</t>
  </si>
  <si>
    <t>#5499</t>
  </si>
  <si>
    <t>Stefan moran Aviles</t>
  </si>
  <si>
    <t>#5500</t>
  </si>
  <si>
    <t>Viviana Tipan</t>
  </si>
  <si>
    <t>#5501</t>
  </si>
  <si>
    <t>Ismael Ayovi</t>
  </si>
  <si>
    <t>#5502</t>
  </si>
  <si>
    <t>Glenda Cuenca Cuenca</t>
  </si>
  <si>
    <t>#5503</t>
  </si>
  <si>
    <t>Karina Noboa</t>
  </si>
  <si>
    <t>#5504</t>
  </si>
  <si>
    <t>Monica Miño</t>
  </si>
  <si>
    <t>#5505</t>
  </si>
  <si>
    <t>Pablo Lita</t>
  </si>
  <si>
    <t>#5506</t>
  </si>
  <si>
    <t>Fabian Autocargable</t>
  </si>
  <si>
    <t>#5507</t>
  </si>
  <si>
    <t>Xavier Estrada</t>
  </si>
  <si>
    <t>#5508</t>
  </si>
  <si>
    <t>Ángel mendoza</t>
  </si>
  <si>
    <t>#5509</t>
  </si>
  <si>
    <t>Juan Orozco</t>
  </si>
  <si>
    <t>#5510</t>
  </si>
  <si>
    <t>#5511</t>
  </si>
  <si>
    <t>PEDIDO DUPLICADO 5519</t>
  </si>
  <si>
    <t>Aldair Ignacio Muñoz Barreiro</t>
  </si>
  <si>
    <t>#5513</t>
  </si>
  <si>
    <t>Danny Villacis</t>
  </si>
  <si>
    <t>#5514</t>
  </si>
  <si>
    <t>patricio lema</t>
  </si>
  <si>
    <t>#5515</t>
  </si>
  <si>
    <t>Estalin Calderón</t>
  </si>
  <si>
    <t>#5516</t>
  </si>
  <si>
    <t>Gerardo Vaca</t>
  </si>
  <si>
    <t>#5517</t>
  </si>
  <si>
    <t>Roberto Cadena</t>
  </si>
  <si>
    <t>#5518</t>
  </si>
  <si>
    <t>#5519</t>
  </si>
  <si>
    <t>Víctor Arias</t>
  </si>
  <si>
    <t>#5520</t>
  </si>
  <si>
    <t>Ricardo Rosero</t>
  </si>
  <si>
    <t>#5521</t>
  </si>
  <si>
    <t>Rodrigo Tobar</t>
  </si>
  <si>
    <t>#5522</t>
  </si>
  <si>
    <t>Victor Orlando Vicente Aguilar</t>
  </si>
  <si>
    <t>#5523</t>
  </si>
  <si>
    <t>Edison Harman Carrion Ordóñez</t>
  </si>
  <si>
    <t>#5524</t>
  </si>
  <si>
    <t>Santos mosquera Marcos Gonzalo</t>
  </si>
  <si>
    <t>#5525</t>
  </si>
  <si>
    <t>Francisco Sánchez</t>
  </si>
  <si>
    <t>#5526</t>
  </si>
  <si>
    <t>Orlando Cueva</t>
  </si>
  <si>
    <t>#5527</t>
  </si>
  <si>
    <t>Carlos bravo</t>
  </si>
  <si>
    <t>#5528</t>
  </si>
  <si>
    <t>Pablo Uquillas Uquillas</t>
  </si>
  <si>
    <t>#5529</t>
  </si>
  <si>
    <t>#5530</t>
  </si>
  <si>
    <t>PEDIDO DUPLICADO 5515</t>
  </si>
  <si>
    <t>Victor  Hugo Cúsme Anzules</t>
  </si>
  <si>
    <t>#5531</t>
  </si>
  <si>
    <t>Wendy Cacao</t>
  </si>
  <si>
    <t>#5532</t>
  </si>
  <si>
    <t>DIANA López</t>
  </si>
  <si>
    <t>#5533</t>
  </si>
  <si>
    <t>Vanessa Alexandra Alava Moreira</t>
  </si>
  <si>
    <t>#5534</t>
  </si>
  <si>
    <t>José Fernando Guerrero Burneo</t>
  </si>
  <si>
    <t>#5535</t>
  </si>
  <si>
    <t>Fausto Medina</t>
  </si>
  <si>
    <t>#5536</t>
  </si>
  <si>
    <t>VICTOR INTRIAGO</t>
  </si>
  <si>
    <t>#5537</t>
  </si>
  <si>
    <t>Gabriela Estefanía Robalino Morales</t>
  </si>
  <si>
    <t>#5538</t>
  </si>
  <si>
    <t>Ruth Ivanna Abril López</t>
  </si>
  <si>
    <t>#5539</t>
  </si>
  <si>
    <t>Fernando Jarrin</t>
  </si>
  <si>
    <t>#5540</t>
  </si>
  <si>
    <t>Sebastián Morales</t>
  </si>
  <si>
    <t>#5541</t>
  </si>
  <si>
    <t>Víctor Aymara</t>
  </si>
  <si>
    <t>#5542</t>
  </si>
  <si>
    <t>ronald roldan</t>
  </si>
  <si>
    <t>#5543</t>
  </si>
  <si>
    <t>Vicente Castelo</t>
  </si>
  <si>
    <t>#5544</t>
  </si>
  <si>
    <t>Jhonny López López</t>
  </si>
  <si>
    <t>#5545</t>
  </si>
  <si>
    <t>Leonardo Loor</t>
  </si>
  <si>
    <t>#5546</t>
  </si>
  <si>
    <t>#5547</t>
  </si>
  <si>
    <t>Victor Hugo Nupia Macias</t>
  </si>
  <si>
    <t>#5548</t>
  </si>
  <si>
    <t>Cyndi Villacis</t>
  </si>
  <si>
    <t>#5549</t>
  </si>
  <si>
    <t>Alexandra Valarezo 0960508513</t>
  </si>
  <si>
    <t>#5550</t>
  </si>
  <si>
    <t>Mirian Fajardo</t>
  </si>
  <si>
    <t>#5551</t>
  </si>
  <si>
    <t>Alex Vergara</t>
  </si>
  <si>
    <t>#5552</t>
  </si>
  <si>
    <t>#5553</t>
  </si>
  <si>
    <t>#5554</t>
  </si>
  <si>
    <t>José García</t>
  </si>
  <si>
    <t>#5555</t>
  </si>
  <si>
    <t>Ricardo Millán</t>
  </si>
  <si>
    <t>#5556</t>
  </si>
  <si>
    <t>Pamela Onofre</t>
  </si>
  <si>
    <t>#5557</t>
  </si>
  <si>
    <t>Nubia Azucena Arce peralta</t>
  </si>
  <si>
    <t>#5558</t>
  </si>
  <si>
    <t>Daniel Sanchez</t>
  </si>
  <si>
    <t>#5559</t>
  </si>
  <si>
    <t>RECUPERADO DESDE SHOPIFY</t>
  </si>
  <si>
    <t>Daniela Sigcha</t>
  </si>
  <si>
    <t>#5560</t>
  </si>
  <si>
    <t>Franklin Alberto Ruiz Cordova</t>
  </si>
  <si>
    <t>#5561</t>
  </si>
  <si>
    <t>Roberto Cadena Cabrera</t>
  </si>
  <si>
    <t>#5563</t>
  </si>
  <si>
    <t>Roberto Ugalde</t>
  </si>
  <si>
    <t>#5564</t>
  </si>
  <si>
    <t>Holger Johnjones puentes Holger Johnjones puentes</t>
  </si>
  <si>
    <t>GALAPAGOS</t>
  </si>
  <si>
    <t>#5565</t>
  </si>
  <si>
    <t>PROVINCIA SIN COBERTURA</t>
  </si>
  <si>
    <t>#5566</t>
  </si>
  <si>
    <t>PEDIDO DUPLICADO 4700</t>
  </si>
  <si>
    <t>Mario ORTIZ</t>
  </si>
  <si>
    <t>#5567</t>
  </si>
  <si>
    <t>EN CONFIRMACION DIRECCÓN COMPLETA</t>
  </si>
  <si>
    <t>Fausto Bazantes</t>
  </si>
  <si>
    <t>#5568</t>
  </si>
  <si>
    <t>Marcos Ochoa</t>
  </si>
  <si>
    <t>#5569</t>
  </si>
  <si>
    <t>Fernando Gomez</t>
  </si>
  <si>
    <t>#5570</t>
  </si>
  <si>
    <t>Sandra Vanessa Girón Camacho</t>
  </si>
  <si>
    <t>#5571</t>
  </si>
  <si>
    <t>Luis Ortiz</t>
  </si>
  <si>
    <t>#5573</t>
  </si>
  <si>
    <t>CHUNG CHUNG</t>
  </si>
  <si>
    <t>#5574</t>
  </si>
  <si>
    <t>Joege luis Torres Guayanay</t>
  </si>
  <si>
    <t>#5575</t>
  </si>
  <si>
    <t>#5576</t>
  </si>
  <si>
    <t>Nelson Valladarez</t>
  </si>
  <si>
    <t>#5577</t>
  </si>
  <si>
    <t>Freddy Cueva</t>
  </si>
  <si>
    <t>#5578</t>
  </si>
  <si>
    <t>Yohany Rodas londoño</t>
  </si>
  <si>
    <t>#5579</t>
  </si>
  <si>
    <t xml:space="preserve">SIN RESPUESTA </t>
  </si>
  <si>
    <t>RAÚL TAFFUR</t>
  </si>
  <si>
    <t>#5580</t>
  </si>
  <si>
    <t>Maydee Tamayo</t>
  </si>
  <si>
    <t>#5581</t>
  </si>
  <si>
    <t>Tania Farinango Farinango</t>
  </si>
  <si>
    <t>#5582</t>
  </si>
  <si>
    <t>JOSE LUCAS</t>
  </si>
  <si>
    <t>#5583</t>
  </si>
  <si>
    <t>CLIENTE NO SOLICITO NINGUN PEDIDO</t>
  </si>
  <si>
    <t>Freddy Barros Barros</t>
  </si>
  <si>
    <t>#5584</t>
  </si>
  <si>
    <t>Nelson Blacio Miranay tres antenas juntas en el local</t>
  </si>
  <si>
    <t>#5585</t>
  </si>
  <si>
    <t>NO SE PUEDE RECUPERAR DE SHOPIFY</t>
  </si>
  <si>
    <t>VIVIANNA CORTEZ</t>
  </si>
  <si>
    <t>#5586</t>
  </si>
  <si>
    <t>Javier Hualinga</t>
  </si>
  <si>
    <t>#5587</t>
  </si>
  <si>
    <t>Xavier Muñoz</t>
  </si>
  <si>
    <t>#5588</t>
  </si>
  <si>
    <t>angel19942019@gmail.com Zuleta</t>
  </si>
  <si>
    <t>#5589</t>
  </si>
  <si>
    <t>Ricardo Calle</t>
  </si>
  <si>
    <t>#5590</t>
  </si>
  <si>
    <t>Jimmy flores flores</t>
  </si>
  <si>
    <t>#5591</t>
  </si>
  <si>
    <t>Silvia Anchapaxi</t>
  </si>
  <si>
    <t>#5592</t>
  </si>
  <si>
    <t>MALA ACTITUD CLIENTE SUSPENDE PEDIDO</t>
  </si>
  <si>
    <t>Aracelly Zambrano Metrópolis 2</t>
  </si>
  <si>
    <t>#5593</t>
  </si>
  <si>
    <t>Jaime Morocho</t>
  </si>
  <si>
    <t>#5594</t>
  </si>
  <si>
    <t>Roberto Briones</t>
  </si>
  <si>
    <t>#5595</t>
  </si>
  <si>
    <t>Ana valiente</t>
  </si>
  <si>
    <t>#5596</t>
  </si>
  <si>
    <t>Stefanania Arias</t>
  </si>
  <si>
    <t>#5597</t>
  </si>
  <si>
    <t>Johanna Pilco</t>
  </si>
  <si>
    <t>#5598</t>
  </si>
  <si>
    <t>Andres Gallegos</t>
  </si>
  <si>
    <t>#5599</t>
  </si>
  <si>
    <t>TRES MENSAJES Y UNA LLAMADA</t>
  </si>
  <si>
    <t>Leónidas Loor</t>
  </si>
  <si>
    <t>#5600</t>
  </si>
  <si>
    <t>Julian Curicama</t>
  </si>
  <si>
    <t>#5602</t>
  </si>
  <si>
    <t>Angel Benigo Cárdenas Calderón</t>
  </si>
  <si>
    <t>#5603</t>
  </si>
  <si>
    <t>Fatima Tung San</t>
  </si>
  <si>
    <t>#5604</t>
  </si>
  <si>
    <t>Paola Velin</t>
  </si>
  <si>
    <t>#5605</t>
  </si>
  <si>
    <t>Carlos Moreno</t>
  </si>
  <si>
    <t>#5606</t>
  </si>
  <si>
    <t>Giovanni Cisneros</t>
  </si>
  <si>
    <t>#5607</t>
  </si>
  <si>
    <t>Pablo Xavier Bermeo Guzman</t>
  </si>
  <si>
    <t>#5608</t>
  </si>
  <si>
    <t>Cristian Mañay</t>
  </si>
  <si>
    <t>#5609</t>
  </si>
  <si>
    <t>Jose Benitez</t>
  </si>
  <si>
    <t>#5610</t>
  </si>
  <si>
    <t>Ehuri Moreira</t>
  </si>
  <si>
    <t>#5611</t>
  </si>
  <si>
    <t>Manolo Ortiz</t>
  </si>
  <si>
    <t>#5612</t>
  </si>
  <si>
    <t>Sergio alirio Paz espinoza</t>
  </si>
  <si>
    <t>#5613</t>
  </si>
  <si>
    <t>Fabian pita</t>
  </si>
  <si>
    <t>#5614</t>
  </si>
  <si>
    <t>Juan Diego Palacios Ordóñez</t>
  </si>
  <si>
    <t>#5615</t>
  </si>
  <si>
    <t>Francisco Ponton Pontón</t>
  </si>
  <si>
    <t>#5616</t>
  </si>
  <si>
    <t>TRES MENSAJES UNA LLAMADA</t>
  </si>
  <si>
    <t>Marco Iza</t>
  </si>
  <si>
    <t>#5617</t>
  </si>
  <si>
    <t>Fernando Miño</t>
  </si>
  <si>
    <t>#5618</t>
  </si>
  <si>
    <t>Stalin Bolivar Rios</t>
  </si>
  <si>
    <t>#5619</t>
  </si>
  <si>
    <t>Johanna Balcazar Sanchez</t>
  </si>
  <si>
    <t>#5620</t>
  </si>
  <si>
    <t>Peter Vargas</t>
  </si>
  <si>
    <t>#5621</t>
  </si>
  <si>
    <t>Leodan Abelardo vERA CHÁVEZ</t>
  </si>
  <si>
    <t>#5622</t>
  </si>
  <si>
    <t>Felix Pichucho</t>
  </si>
  <si>
    <t>#5624</t>
  </si>
  <si>
    <t>Xavier Hermida</t>
  </si>
  <si>
    <t>#5625</t>
  </si>
  <si>
    <t>POR COMENTARIOS EN LA PAGINA</t>
  </si>
  <si>
    <t>Cristhian Andres Gonzalez Santos</t>
  </si>
  <si>
    <t>#5626</t>
  </si>
  <si>
    <t>Diana Velez</t>
  </si>
  <si>
    <t>#5627</t>
  </si>
  <si>
    <t>Anibal Urriola</t>
  </si>
  <si>
    <t>#5628</t>
  </si>
  <si>
    <t>Bolivar Hernan</t>
  </si>
  <si>
    <t>#5629</t>
  </si>
  <si>
    <t>Guillermo Acurio</t>
  </si>
  <si>
    <t>#5630</t>
  </si>
  <si>
    <t>Carmelo Macías</t>
  </si>
  <si>
    <t>#5631</t>
  </si>
  <si>
    <t>Angel stalin Yaguachi zumba</t>
  </si>
  <si>
    <t>#5632</t>
  </si>
  <si>
    <t>Ángel Suárez</t>
  </si>
  <si>
    <t xml:space="preserve">Alex Borja </t>
  </si>
  <si>
    <t>#5633</t>
  </si>
  <si>
    <t>CARRITO ABANDONADO - PROCESO</t>
  </si>
  <si>
    <t>#</t>
  </si>
  <si>
    <t>July Yanez</t>
  </si>
  <si>
    <t>#5634</t>
  </si>
  <si>
    <t>David Sanchez</t>
  </si>
  <si>
    <t>#5635</t>
  </si>
  <si>
    <t>NO REALIZO NINGUN PEDIDO</t>
  </si>
  <si>
    <t>JORGE Cascante Bruno</t>
  </si>
  <si>
    <t>#5636</t>
  </si>
  <si>
    <t>Luis Eduardo Yunga 0994854379</t>
  </si>
  <si>
    <t>#5637</t>
  </si>
  <si>
    <t>ENTREGAD</t>
  </si>
  <si>
    <t>Joaquin Gualapuro</t>
  </si>
  <si>
    <t>#5638</t>
  </si>
  <si>
    <t>Calixto Waney Anchundia Meza Anchundia Meza</t>
  </si>
  <si>
    <t>#5639</t>
  </si>
  <si>
    <t>Mauricio Veliz</t>
  </si>
  <si>
    <t>#5640</t>
  </si>
  <si>
    <t xml:space="preserve">PROCESO </t>
  </si>
  <si>
    <t>Velasco Nelson</t>
  </si>
  <si>
    <t>#5641</t>
  </si>
  <si>
    <t>Jesus Rodriguez</t>
  </si>
  <si>
    <t>#5642</t>
  </si>
  <si>
    <t xml:space="preserve">PROCEOS </t>
  </si>
  <si>
    <t>Ivan Ricardo</t>
  </si>
  <si>
    <t>#5643</t>
  </si>
  <si>
    <t>Nestor Salazar</t>
  </si>
  <si>
    <t>#5644</t>
  </si>
  <si>
    <t>Carmen Sanchez</t>
  </si>
  <si>
    <t>#5645</t>
  </si>
  <si>
    <t>Dario Aguirre</t>
  </si>
  <si>
    <t>#5646</t>
  </si>
  <si>
    <t>JUAN CARLOS PEREZ</t>
  </si>
  <si>
    <t>#5647</t>
  </si>
  <si>
    <t>ÉDgar Patricio Fuentes Calderón</t>
  </si>
  <si>
    <t>#5648</t>
  </si>
  <si>
    <t xml:space="preserve">Solicita 3 por mail - PENDIENTE DIRECCION </t>
  </si>
  <si>
    <t>William Mora</t>
  </si>
  <si>
    <t>#5649</t>
  </si>
  <si>
    <t>Ariana Ramírez Tanzo</t>
  </si>
  <si>
    <t>#5650</t>
  </si>
  <si>
    <t>Vicente Maroto</t>
  </si>
  <si>
    <t>#5651</t>
  </si>
  <si>
    <t>Vilma Rogel</t>
  </si>
  <si>
    <t>#5652</t>
  </si>
  <si>
    <t>Hipólito Silva</t>
  </si>
  <si>
    <t>#5653</t>
  </si>
  <si>
    <t>Ruben Garcia</t>
  </si>
  <si>
    <t>#5654</t>
  </si>
  <si>
    <t>Monica Tirira</t>
  </si>
  <si>
    <t>#5655</t>
  </si>
  <si>
    <t>Luis rogelio Cedeño Castro</t>
  </si>
  <si>
    <t>#5656</t>
  </si>
  <si>
    <t>Luis Chiriboga</t>
  </si>
  <si>
    <t>#5657</t>
  </si>
  <si>
    <t>Wilson Torres Alarcón</t>
  </si>
  <si>
    <t>#5658</t>
  </si>
  <si>
    <t>#5659</t>
  </si>
  <si>
    <t xml:space="preserve">PENDINETE </t>
  </si>
  <si>
    <t>Kervin Campos</t>
  </si>
  <si>
    <t>#5660</t>
  </si>
  <si>
    <t>Edison Pillco</t>
  </si>
  <si>
    <t>#5661</t>
  </si>
  <si>
    <t>Cesar Naranjo</t>
  </si>
  <si>
    <t>#5662</t>
  </si>
  <si>
    <t>Johana Martinez</t>
  </si>
  <si>
    <t>#5663</t>
  </si>
  <si>
    <t>#5664</t>
  </si>
  <si>
    <t>Jacqueline Vallejo</t>
  </si>
  <si>
    <t>#5665</t>
  </si>
  <si>
    <t>Gaston Campuzano</t>
  </si>
  <si>
    <t>#5666</t>
  </si>
  <si>
    <t>Luis García</t>
  </si>
  <si>
    <t>#5667</t>
  </si>
  <si>
    <t>José Arroyo</t>
  </si>
  <si>
    <t>#5668</t>
  </si>
  <si>
    <t xml:space="preserve">PENDIENTE - DIRECION </t>
  </si>
  <si>
    <t>Zolanya Toledo</t>
  </si>
  <si>
    <t>#5669</t>
  </si>
  <si>
    <t>Jimmy jasmany Jumbo bailón</t>
  </si>
  <si>
    <t>#5670</t>
  </si>
  <si>
    <t>luis Ochoa</t>
  </si>
  <si>
    <t>#5671</t>
  </si>
  <si>
    <t>Ángel Enrique Sesme veas</t>
  </si>
  <si>
    <t>#5672</t>
  </si>
  <si>
    <t>Mario Patiño</t>
  </si>
  <si>
    <t>#5673</t>
  </si>
  <si>
    <t>Luis Alfredo Montalvan Montalvan</t>
  </si>
  <si>
    <t>#5674</t>
  </si>
  <si>
    <t>Jeiny Zambrano</t>
  </si>
  <si>
    <t>#5675</t>
  </si>
  <si>
    <t xml:space="preserve">PENDIENTE - DIRECCION </t>
  </si>
  <si>
    <t>Jefferson hernandez</t>
  </si>
  <si>
    <t>#5676</t>
  </si>
  <si>
    <t>Marcos alcivar Alcivar</t>
  </si>
  <si>
    <t>#5677</t>
  </si>
  <si>
    <t>Darío Calles</t>
  </si>
  <si>
    <t>#5678</t>
  </si>
  <si>
    <t>FRANCISCO YANEZ LEON</t>
  </si>
  <si>
    <t>#5679</t>
  </si>
  <si>
    <t>Ronal Alberto Lapo ramirez</t>
  </si>
  <si>
    <t>#5680</t>
  </si>
  <si>
    <t>Hernan Jiménez Vergara</t>
  </si>
  <si>
    <t>#5681</t>
  </si>
  <si>
    <t>Richard Reye</t>
  </si>
  <si>
    <t>#5682</t>
  </si>
  <si>
    <t>Yolanda Arciniega</t>
  </si>
  <si>
    <t>#5683</t>
  </si>
  <si>
    <t>Bryn Damian Cevallos Tovar</t>
  </si>
  <si>
    <t>#5684</t>
  </si>
  <si>
    <t>Martha  Sánchez SÁNCHEZ</t>
  </si>
  <si>
    <t>#5685</t>
  </si>
  <si>
    <t>Bernandino Ollaban</t>
  </si>
  <si>
    <t>#5686</t>
  </si>
  <si>
    <t>Leodan Vivas Narvaez</t>
  </si>
  <si>
    <t>#5687</t>
  </si>
  <si>
    <t>Angel Muzo</t>
  </si>
  <si>
    <t>#5688</t>
  </si>
  <si>
    <t>Juan Freire</t>
  </si>
  <si>
    <t>#5689</t>
  </si>
  <si>
    <t>Jessica Alvarado</t>
  </si>
  <si>
    <t>#5690</t>
  </si>
  <si>
    <t>Silvano Suárez Murillo</t>
  </si>
  <si>
    <t>#5691</t>
  </si>
  <si>
    <t>Jenniffer Cornejo</t>
  </si>
  <si>
    <t>#5692</t>
  </si>
  <si>
    <t>Diego Alvarado</t>
  </si>
  <si>
    <t>#5693</t>
  </si>
  <si>
    <t>edgar zapata</t>
  </si>
  <si>
    <t>#5694</t>
  </si>
  <si>
    <t>Danny Fabián Rodríguez Herrera</t>
  </si>
  <si>
    <t>#5695</t>
  </si>
  <si>
    <t>Narcisa Valverde</t>
  </si>
  <si>
    <t>#5696</t>
  </si>
  <si>
    <t>Byron Andrade Verdezoto</t>
  </si>
  <si>
    <t>#5697</t>
  </si>
  <si>
    <t>Jaime Segovia</t>
  </si>
  <si>
    <t>#5698</t>
  </si>
  <si>
    <t>Alberto Rosillo</t>
  </si>
  <si>
    <t>#5699</t>
  </si>
  <si>
    <t>Amparo Chaves</t>
  </si>
  <si>
    <t>#5700</t>
  </si>
  <si>
    <t>PROCESO -</t>
  </si>
  <si>
    <t xml:space="preserve">
Armando Unaucho</t>
  </si>
  <si>
    <t xml:space="preserve">Pichincha </t>
  </si>
  <si>
    <t>#5701</t>
  </si>
  <si>
    <t xml:space="preserve">PROCESO - ENVIO SERVIENTREGA </t>
  </si>
  <si>
    <t>Yovana Armijos Celi</t>
  </si>
  <si>
    <t>#5702</t>
  </si>
  <si>
    <t xml:space="preserve">CANCELADO - CA </t>
  </si>
  <si>
    <t>Wilson Corrales</t>
  </si>
  <si>
    <t>#5703</t>
  </si>
  <si>
    <t>Oscar Antero Franco Alvarado</t>
  </si>
  <si>
    <t>#5704</t>
  </si>
  <si>
    <t>Juan Jose Arias</t>
  </si>
  <si>
    <t>#5705</t>
  </si>
  <si>
    <t>Tito Jalka</t>
  </si>
  <si>
    <t>#5706</t>
  </si>
  <si>
    <t>Jordi Vinueza</t>
  </si>
  <si>
    <t>#5707</t>
  </si>
  <si>
    <t>Maria Zambrano</t>
  </si>
  <si>
    <t>#5708</t>
  </si>
  <si>
    <t>Marlon Guerron</t>
  </si>
  <si>
    <t>#5709</t>
  </si>
  <si>
    <t>Iván Játiva</t>
  </si>
  <si>
    <t>#5710</t>
  </si>
  <si>
    <t xml:space="preserve">PENDIENTE - SOLICITAR DIRECCION </t>
  </si>
  <si>
    <t>Christian Almeida</t>
  </si>
  <si>
    <t>#5711</t>
  </si>
  <si>
    <t>Luis Alfredo Sanmartin Medina</t>
  </si>
  <si>
    <t>#5712</t>
  </si>
  <si>
    <t xml:space="preserve">Jhonny Carlos Valdivieso Pizarro
</t>
  </si>
  <si>
    <t>#5713</t>
  </si>
  <si>
    <t xml:space="preserve">CA - ENVIO SERVIENTREGA </t>
  </si>
  <si>
    <t>Claudio Orlando Zambrano</t>
  </si>
  <si>
    <t>#5714</t>
  </si>
  <si>
    <t>Edwin Vera</t>
  </si>
  <si>
    <t>#5715</t>
  </si>
  <si>
    <t>Luz Elena Lezcano Arcos</t>
  </si>
  <si>
    <t>#5716</t>
  </si>
  <si>
    <t>Edilberto Vera vidal</t>
  </si>
  <si>
    <t>#5717</t>
  </si>
  <si>
    <t>Roberto Herrera</t>
  </si>
  <si>
    <t>#5718</t>
  </si>
  <si>
    <t>Gabriel Guevara</t>
  </si>
  <si>
    <t>#5719</t>
  </si>
  <si>
    <t>Gonzalo Mendoza</t>
  </si>
  <si>
    <t>#5720</t>
  </si>
  <si>
    <t>Gloria Herrera Herrera</t>
  </si>
  <si>
    <t>#5721</t>
  </si>
  <si>
    <t>#5722</t>
  </si>
  <si>
    <t>Aida  Yolanda Paredes Meza</t>
  </si>
  <si>
    <t>#5723</t>
  </si>
  <si>
    <t>Jessica narcisa Avila cacierra</t>
  </si>
  <si>
    <t>#5724</t>
  </si>
  <si>
    <t xml:space="preserve">PROCESADO </t>
  </si>
  <si>
    <t>Gabriel Bernal Bernal</t>
  </si>
  <si>
    <t>#5725</t>
  </si>
  <si>
    <t>Susana Avila</t>
  </si>
  <si>
    <t>#5726</t>
  </si>
  <si>
    <t>Columna 4</t>
  </si>
  <si>
    <t>Columna 1</t>
  </si>
  <si>
    <t>Francisco Ormaza</t>
  </si>
  <si>
    <t xml:space="preserve">ABS </t>
  </si>
  <si>
    <t>#5727</t>
  </si>
  <si>
    <t>Venus Rodriguez</t>
  </si>
  <si>
    <t>#5728</t>
  </si>
  <si>
    <t>Verónica Flores</t>
  </si>
  <si>
    <t>#5729</t>
  </si>
  <si>
    <t>Roxana Zambrano Mendoza</t>
  </si>
  <si>
    <t>#5730</t>
  </si>
  <si>
    <t>Angel Balcazar</t>
  </si>
  <si>
    <t>#5731</t>
  </si>
  <si>
    <t>Ricardo Wuilfrido Quimis castro</t>
  </si>
  <si>
    <t>#5732</t>
  </si>
  <si>
    <t>Cristian Suarez</t>
  </si>
  <si>
    <t>#5733</t>
  </si>
  <si>
    <t>NO TIENE WHATSAPP 992766120</t>
  </si>
  <si>
    <t>Cecilia Tapia</t>
  </si>
  <si>
    <t>#5734</t>
  </si>
  <si>
    <t xml:space="preserve">PENDIENTE - ENVIO 1 MENSAJE </t>
  </si>
  <si>
    <t>Mario Cardona</t>
  </si>
  <si>
    <t>#5735</t>
  </si>
  <si>
    <t>Jorge H.</t>
  </si>
  <si>
    <t>#5736</t>
  </si>
  <si>
    <t>PENDIENTE - CONFR. PRECIO - ENVIA MENSAJE 1 - PROCESO</t>
  </si>
  <si>
    <t>Javier Delgado</t>
  </si>
  <si>
    <t>#5737</t>
  </si>
  <si>
    <t>Julio Quito</t>
  </si>
  <si>
    <t>#5738</t>
  </si>
  <si>
    <t xml:space="preserve">CONFIRMAR DIRECCION - ENVIA MENSAJE 1 - CANCELAR FUERA COBERTURA </t>
  </si>
  <si>
    <t>Fernanda Flores</t>
  </si>
  <si>
    <t>#5739</t>
  </si>
  <si>
    <t>Carlos Jimenez Arturo</t>
  </si>
  <si>
    <t>#5740</t>
  </si>
  <si>
    <t xml:space="preserve">PENDIENTE - PROCESO </t>
  </si>
  <si>
    <t>Luis colina</t>
  </si>
  <si>
    <t>#5741</t>
  </si>
  <si>
    <t>Akex Geovany Salinas Peñaloza</t>
  </si>
  <si>
    <t>#5742</t>
  </si>
  <si>
    <t>Fabricio Alcivar</t>
  </si>
  <si>
    <t>#5743</t>
  </si>
  <si>
    <t>Jose Cabrera Maya Cabrera Maya</t>
  </si>
  <si>
    <t>#5744</t>
  </si>
  <si>
    <t xml:space="preserve">PENDIENTE - MENSAJE 1 </t>
  </si>
  <si>
    <t>Fabian Molina Molina</t>
  </si>
  <si>
    <t>#5745</t>
  </si>
  <si>
    <t>Wilson Guerrero</t>
  </si>
  <si>
    <t>#5747</t>
  </si>
  <si>
    <t>#5746</t>
  </si>
  <si>
    <t>Bismar Antonio Ullaguari Piuri</t>
  </si>
  <si>
    <t>#5748</t>
  </si>
  <si>
    <t>Jasson Pinargote</t>
  </si>
  <si>
    <t>#5749</t>
  </si>
  <si>
    <t>Jean Carlos Suikoski pico</t>
  </si>
  <si>
    <t>#5750</t>
  </si>
  <si>
    <t>Luis Guerrero</t>
  </si>
  <si>
    <t>#5751</t>
  </si>
  <si>
    <t xml:space="preserve">PENDIENTE - MENSAJE 1 - PROCESO </t>
  </si>
  <si>
    <t>Patricios Duque</t>
  </si>
  <si>
    <t>#5752</t>
  </si>
  <si>
    <t>Miguel avecilla avecilla pincay</t>
  </si>
  <si>
    <t>#5753</t>
  </si>
  <si>
    <t>Edward Guzman</t>
  </si>
  <si>
    <t>#5754</t>
  </si>
  <si>
    <t>Segundo Ruben Cevallos Zambrano</t>
  </si>
  <si>
    <t>#5755</t>
  </si>
  <si>
    <t>Medardo Punina</t>
  </si>
  <si>
    <t>#5756</t>
  </si>
  <si>
    <t>Byron Peña</t>
  </si>
  <si>
    <t>#5757</t>
  </si>
  <si>
    <t>PENDIENTE - NO TIENE WH 969345643</t>
  </si>
  <si>
    <t>Maria Crespo</t>
  </si>
  <si>
    <t>#5758</t>
  </si>
  <si>
    <t>Darwin Lopez</t>
  </si>
  <si>
    <t>#5759</t>
  </si>
  <si>
    <t>Luis Macias</t>
  </si>
  <si>
    <t>#5760</t>
  </si>
  <si>
    <t xml:space="preserve">CANCELADO - CLIENTE SOLICITA </t>
  </si>
  <si>
    <t>Angel Quimis Pin</t>
  </si>
  <si>
    <t>#5761</t>
  </si>
  <si>
    <t>Nube  del Rocio Bermeo Saula</t>
  </si>
  <si>
    <t>#5762</t>
  </si>
  <si>
    <t>Edith Castillo</t>
  </si>
  <si>
    <t>#5763</t>
  </si>
  <si>
    <t>Zoila María Cadena María</t>
  </si>
  <si>
    <t>#5764</t>
  </si>
  <si>
    <t>Erika Luzvenia Alvarado Shiguango</t>
  </si>
  <si>
    <t>#5765</t>
  </si>
  <si>
    <t>Joel Alexander Burgos Anaguano</t>
  </si>
  <si>
    <t>#5766</t>
  </si>
  <si>
    <t xml:space="preserve">PENDIENTE - CANCELAR  </t>
  </si>
  <si>
    <t xml:space="preserve"> Jaime Eduardo Guanopatin silva
</t>
  </si>
  <si>
    <t>#5767</t>
  </si>
  <si>
    <t>Ana Julia Bravo Julia Bravo</t>
  </si>
  <si>
    <t>#5768</t>
  </si>
  <si>
    <t>LUIS BECERRA</t>
  </si>
  <si>
    <t>#5769</t>
  </si>
  <si>
    <t xml:space="preserve">PENDIENTE - MENSAJE 1 - CANCELAR  , NO HAY DIRECCION </t>
  </si>
  <si>
    <t>Cinthia Zambrano Varela</t>
  </si>
  <si>
    <t>#5770</t>
  </si>
  <si>
    <t>Monica Argudo</t>
  </si>
  <si>
    <t>#5771</t>
  </si>
  <si>
    <t>RODRIGO FERNANDEZ</t>
  </si>
  <si>
    <t>#5772</t>
  </si>
  <si>
    <t xml:space="preserve">CANCELAR </t>
  </si>
  <si>
    <t>Galo Macas</t>
  </si>
  <si>
    <t>#5773</t>
  </si>
  <si>
    <t xml:space="preserve">Hamilton Zamora
</t>
  </si>
  <si>
    <t>#5774</t>
  </si>
  <si>
    <t>PENDIENTE - DIRECCION - PROCESO</t>
  </si>
  <si>
    <t>Jhanet Allaico</t>
  </si>
  <si>
    <t>#5775</t>
  </si>
  <si>
    <t>Paulina Palacios</t>
  </si>
  <si>
    <t>#5776</t>
  </si>
  <si>
    <t>Anibal Tipantasi</t>
  </si>
  <si>
    <t>#5777</t>
  </si>
  <si>
    <t xml:space="preserve">PENDIENTE - CONF - MENSAJE1 </t>
  </si>
  <si>
    <t>Pablo De La Cruz</t>
  </si>
  <si>
    <t>#5778</t>
  </si>
  <si>
    <t>PENDIENTE - CONF -MENSAJE 1</t>
  </si>
  <si>
    <t>Fabricio Toapanta</t>
  </si>
  <si>
    <t>#5779</t>
  </si>
  <si>
    <t>Luis Kleber Andrango</t>
  </si>
  <si>
    <t>#5780</t>
  </si>
  <si>
    <t xml:space="preserve">Luis Hugo salau Salau
</t>
  </si>
  <si>
    <t>#5781</t>
  </si>
  <si>
    <t>PENDIENTE - DIRECCION - MENSAJE 1 - CANCELADO FUERA C</t>
  </si>
  <si>
    <t xml:space="preserve">Luis Garzón
</t>
  </si>
  <si>
    <t>#5782</t>
  </si>
  <si>
    <t xml:space="preserve">Elsa Narvaez Prado
</t>
  </si>
  <si>
    <t>#5783</t>
  </si>
  <si>
    <t xml:space="preserve">Angel Acosta
</t>
  </si>
  <si>
    <t>#5784</t>
  </si>
  <si>
    <t xml:space="preserve">Victor Suárez
</t>
  </si>
  <si>
    <t>#5785</t>
  </si>
  <si>
    <t xml:space="preserve">Leonel Lara s Lara Santana
</t>
  </si>
  <si>
    <t>#5786</t>
  </si>
  <si>
    <t xml:space="preserve">PENDIENTE - DIRECCION - PROCESO </t>
  </si>
  <si>
    <t xml:space="preserve">Luís Zambrano
</t>
  </si>
  <si>
    <t>#5787</t>
  </si>
  <si>
    <t xml:space="preserve">PENDIENTE - DIRECCION - MENSAJE 1 </t>
  </si>
  <si>
    <t xml:space="preserve">Agripino Milciades Fernandez Nupia
</t>
  </si>
  <si>
    <t>#5788</t>
  </si>
  <si>
    <t xml:space="preserve">Patricio Vargas
</t>
  </si>
  <si>
    <t>#5789</t>
  </si>
  <si>
    <t>Juan jose Ramos fonte</t>
  </si>
  <si>
    <t>#5790</t>
  </si>
  <si>
    <t>Rafael Buñay</t>
  </si>
  <si>
    <t>#5791</t>
  </si>
  <si>
    <t>2800:bf0:81e9:100f:b815:2f95:fe53:1b4</t>
  </si>
  <si>
    <t>Patricio Cayo</t>
  </si>
  <si>
    <t>#5792</t>
  </si>
  <si>
    <t>Dennis Morejon Morejon</t>
  </si>
  <si>
    <t>#5793</t>
  </si>
  <si>
    <t>179.60.190.160</t>
  </si>
  <si>
    <t>Milton Marquez Reyes</t>
  </si>
  <si>
    <t>#5794</t>
  </si>
  <si>
    <t>177.234.193.21</t>
  </si>
  <si>
    <t>Amilcar Rubio</t>
  </si>
  <si>
    <t>#5795</t>
  </si>
  <si>
    <t>Jimmy Villavicencio</t>
  </si>
  <si>
    <t>#5796</t>
  </si>
  <si>
    <t xml:space="preserve">PENDIENTE - CONFIRMACION - MENSAJE 1 </t>
  </si>
  <si>
    <t>María Jose Yánez</t>
  </si>
  <si>
    <t>#5797</t>
  </si>
  <si>
    <t>2800:bf0:8a:10bb:ddf9:72fa:e16:9ea8</t>
  </si>
  <si>
    <t>Jordan Torres</t>
  </si>
  <si>
    <t>#5798</t>
  </si>
  <si>
    <t>200.24.131.13</t>
  </si>
  <si>
    <t>Nexar Antonio Mero López</t>
  </si>
  <si>
    <t>#5799</t>
  </si>
  <si>
    <r>
      <rPr>
        <rFont val="Arial"/>
        <color theme="1"/>
        <sz val="11.0"/>
      </rPr>
      <t xml:space="preserve">PENDIENTE - CONFIRMACION - </t>
    </r>
    <r>
      <rPr>
        <rFont val="Arial"/>
        <b/>
        <color theme="1"/>
        <sz val="23.0"/>
      </rPr>
      <t xml:space="preserve">PARA VIERNES 06 </t>
    </r>
  </si>
  <si>
    <t>Marino Alexis RESTREPO ARCILA</t>
  </si>
  <si>
    <t>#5800</t>
  </si>
  <si>
    <t>200.7.234.168</t>
  </si>
  <si>
    <t>Ronald Duque</t>
  </si>
  <si>
    <t>#5801</t>
  </si>
  <si>
    <t>Jorge Portilla</t>
  </si>
  <si>
    <t>#5802</t>
  </si>
  <si>
    <t>2800:440:1012:9800:8be:feae:b353:acad</t>
  </si>
  <si>
    <t>Pablo Velastegui</t>
  </si>
  <si>
    <t>#5803</t>
  </si>
  <si>
    <t>2</t>
  </si>
  <si>
    <t>179.51.143.175</t>
  </si>
  <si>
    <t>Avelino Herman Villon</t>
  </si>
  <si>
    <t>#5804</t>
  </si>
  <si>
    <t>2800:bf0:82d5:43:c4e:bb6d:8e06:e3d4</t>
  </si>
  <si>
    <t>Roberto Romero</t>
  </si>
  <si>
    <t>-</t>
  </si>
  <si>
    <t>#D467</t>
  </si>
  <si>
    <t>2800:5f0:520:6c2f:e555:c43b:588b:210b</t>
  </si>
  <si>
    <t>Rocio Analuisa</t>
  </si>
  <si>
    <t>#5805</t>
  </si>
  <si>
    <t>186.69.112.244</t>
  </si>
  <si>
    <t>Manuel Moreira</t>
  </si>
  <si>
    <t>#5806</t>
  </si>
  <si>
    <t>186.65.21.78</t>
  </si>
  <si>
    <t>Jose Carrillo Cedeño</t>
  </si>
  <si>
    <t>#5807</t>
  </si>
  <si>
    <t>PENDIENTE - CONFIRMCION- MENSAJE 1</t>
  </si>
  <si>
    <t>2800:bf0:3009:fd6:9c0:bdcd:32d6:b051</t>
  </si>
  <si>
    <t>Washo Arias</t>
  </si>
  <si>
    <t>#D468</t>
  </si>
  <si>
    <t xml:space="preserve">PENDIENTE - CONFIRMACION </t>
  </si>
  <si>
    <t>- -</t>
  </si>
  <si>
    <t>#D469</t>
  </si>
  <si>
    <t xml:space="preserve">PENDIENTE - DATOS </t>
  </si>
  <si>
    <t>Wilman Galarraga</t>
  </si>
  <si>
    <t>#5808</t>
  </si>
  <si>
    <t xml:space="preserve">PENDINETE - CONFIRMACION - MENSAJE 1 - PROCESO </t>
  </si>
  <si>
    <t>2800:bf0:2ac0:f36:dd66:e571:949e:cd5b</t>
  </si>
  <si>
    <t>Daniela Pástor</t>
  </si>
  <si>
    <t>#5809</t>
  </si>
  <si>
    <t>Jhon Burgos</t>
  </si>
  <si>
    <t>#5810</t>
  </si>
  <si>
    <t>2800:430:1382:f80d:d32:3331:a226:26af</t>
  </si>
  <si>
    <t>Parroquia San Ignacio de Loyola</t>
  </si>
  <si>
    <t>#D470</t>
  </si>
  <si>
    <t>38.51.36.59</t>
  </si>
  <si>
    <t>Martín Rivera</t>
  </si>
  <si>
    <t>#5811</t>
  </si>
  <si>
    <t>2800:bf0:4583:f0bb:74b7:7f30:3259:7794</t>
  </si>
  <si>
    <t>Alfonso Chacha</t>
  </si>
  <si>
    <t>#5812</t>
  </si>
  <si>
    <t xml:space="preserve">PENDIENTE CONFIRMACION - MENSAJE 1 </t>
  </si>
  <si>
    <t>66.231.73.5</t>
  </si>
  <si>
    <t>Xavier Aguirre</t>
  </si>
  <si>
    <t>#D471</t>
  </si>
  <si>
    <t>2800:bf0:be41:4168:75d7:eb03:b888:1d33</t>
  </si>
  <si>
    <t>Luis Paredes Zambrano</t>
  </si>
  <si>
    <t>#5813</t>
  </si>
  <si>
    <t>2800:5f0:1520:2d40:e134:99aa:6f45:2ce0</t>
  </si>
  <si>
    <t>Edgar Rodrigo</t>
  </si>
  <si>
    <t>#5814</t>
  </si>
  <si>
    <t>2800:430:b200:1c0e:675f:29a7:5040:deb3</t>
  </si>
  <si>
    <t>Luis Rubén</t>
  </si>
  <si>
    <t>#5815</t>
  </si>
  <si>
    <t xml:space="preserve">PENDINETE - CONFIRMACION  - MENSAJE 1 </t>
  </si>
  <si>
    <t>186.65.52.46</t>
  </si>
  <si>
    <t>Fernando Coronel</t>
  </si>
  <si>
    <t>#5816</t>
  </si>
  <si>
    <t>191.99.24.199</t>
  </si>
  <si>
    <t>Wilson del pozo</t>
  </si>
  <si>
    <t>#D472</t>
  </si>
  <si>
    <t>160.20.167.150</t>
  </si>
  <si>
    <t>Deivid castaño</t>
  </si>
  <si>
    <t>#5817</t>
  </si>
  <si>
    <t>2800:bf0:8080:1064:1947:69ca:ed00:f7b7</t>
  </si>
  <si>
    <t>Jose luis ibujes</t>
  </si>
  <si>
    <t>#D473</t>
  </si>
  <si>
    <t>2800:430:b200:160b:1:0:c430:bb25</t>
  </si>
  <si>
    <t>#D474</t>
  </si>
  <si>
    <t>210.211.56.4</t>
  </si>
  <si>
    <t>César Acosta</t>
  </si>
  <si>
    <t>#5819</t>
  </si>
  <si>
    <t>2800:bf0:2c21:fd0:8015:8758:1a54:64e</t>
  </si>
  <si>
    <t>José Joaquín Cando Calderón</t>
  </si>
  <si>
    <t>#5821</t>
  </si>
  <si>
    <t>2800:5f0:520:e1d8:945e:f12:5c62:6069</t>
  </si>
  <si>
    <t>Franklin Mauricio Sanmartín Fajardo</t>
  </si>
  <si>
    <t>#5822</t>
  </si>
  <si>
    <t>2800:430:1386:80db:1:0:615e:b9ca</t>
  </si>
  <si>
    <t>Verónica Moncayo</t>
  </si>
  <si>
    <t>#5823</t>
  </si>
  <si>
    <t>José Bernabé Alcivar Vera</t>
  </si>
  <si>
    <t>#5824</t>
  </si>
  <si>
    <t>2800:430:120f:8a77:1:0:f2e5:e1f2</t>
  </si>
  <si>
    <t>Elvis Vicuña</t>
  </si>
  <si>
    <t>#5825</t>
  </si>
  <si>
    <t>2800:4f0:5e:aac0:fd67:7f8b:1451:f73a</t>
  </si>
  <si>
    <t>Jean Paul Latorre</t>
  </si>
  <si>
    <t>#5826</t>
  </si>
  <si>
    <t>2800:440:9c67:5100:f0cd:a543:3b5:ac08</t>
  </si>
  <si>
    <t>Luisa Castro</t>
  </si>
  <si>
    <t>#5827</t>
  </si>
  <si>
    <t>45.170.46.152</t>
  </si>
  <si>
    <t>Gabriela Estefanía Vince mora 0981673958</t>
  </si>
  <si>
    <t>#5828</t>
  </si>
  <si>
    <t>179.63.149.69</t>
  </si>
  <si>
    <t>Patricio Cevallos seme Cevallos</t>
  </si>
  <si>
    <t>#5829</t>
  </si>
  <si>
    <t>179.0.41.228</t>
  </si>
  <si>
    <t>ISIDRO QUIMIS</t>
  </si>
  <si>
    <t>#5830</t>
  </si>
  <si>
    <t>186.65.35.156</t>
  </si>
  <si>
    <t>Yisela Valarezo</t>
  </si>
  <si>
    <t>#5831</t>
  </si>
  <si>
    <t>190.63.237.90</t>
  </si>
  <si>
    <t>Juan Calle</t>
  </si>
  <si>
    <t>#5832</t>
  </si>
  <si>
    <t>179.49.41.81</t>
  </si>
  <si>
    <t>Alexis Mero</t>
  </si>
  <si>
    <t>#5833</t>
  </si>
  <si>
    <t>186.70.173.56</t>
  </si>
  <si>
    <t>WILSON CRUZ</t>
  </si>
  <si>
    <t>#5834</t>
  </si>
  <si>
    <t>200.85.80.59</t>
  </si>
  <si>
    <t>Roberto Cepeda</t>
  </si>
  <si>
    <t>#5835</t>
  </si>
  <si>
    <t>2800:430:1385:c14:1:0:5b94:dd1a</t>
  </si>
  <si>
    <t>Tito Andrade</t>
  </si>
  <si>
    <t>#5836</t>
  </si>
  <si>
    <t>2803:87c0:f:6c7:c038:89e3:cc10:57e7</t>
  </si>
  <si>
    <t>Pablo Herrera</t>
  </si>
  <si>
    <t>#5837</t>
  </si>
  <si>
    <t>191.99.42.155</t>
  </si>
  <si>
    <t>Ronald David Campoverde</t>
  </si>
  <si>
    <t>#5838</t>
  </si>
  <si>
    <t>45.70.200.210</t>
  </si>
  <si>
    <t>Luis Criollo</t>
  </si>
  <si>
    <t>#5839</t>
  </si>
  <si>
    <t>2800:4f0:507:5d10:5070:d0e3:a5d7:28c8</t>
  </si>
  <si>
    <t>Francisco Torres</t>
  </si>
  <si>
    <t>#5840</t>
  </si>
  <si>
    <t>Erik Obando</t>
  </si>
  <si>
    <t>#5841</t>
  </si>
  <si>
    <t>2800:440:9c6b:3a00:7c1e:abfe:c547:1594</t>
  </si>
  <si>
    <t>Fabiola Leon Cabrera del Rocio León Cabrera</t>
  </si>
  <si>
    <t>#5842</t>
  </si>
  <si>
    <t>2800:5f0:1520:4ffa:986:a8ff:e599:c221</t>
  </si>
  <si>
    <t>Hugo Espinoza</t>
  </si>
  <si>
    <t>#5843</t>
  </si>
  <si>
    <t>200.85.80.222</t>
  </si>
  <si>
    <t>Gloria Aracely Rivas Torres</t>
  </si>
  <si>
    <t>#5844</t>
  </si>
  <si>
    <t>2803:1e10:100:218:2e66:8bea:9898:f73e</t>
  </si>
  <si>
    <t>Dalton Maldonado</t>
  </si>
  <si>
    <t>#5845</t>
  </si>
  <si>
    <t>181.119.97.116</t>
  </si>
  <si>
    <t>Angel Rea</t>
  </si>
  <si>
    <t>#5846</t>
  </si>
  <si>
    <t>190.63.127.209</t>
  </si>
  <si>
    <t>Martha Arellano</t>
  </si>
  <si>
    <t>#5848</t>
  </si>
  <si>
    <t>66.231.79.59</t>
  </si>
  <si>
    <t>Diego Zhindon</t>
  </si>
  <si>
    <t>#5849</t>
  </si>
  <si>
    <t>179.49.41.220</t>
  </si>
  <si>
    <t>Cristóbal Eras</t>
  </si>
  <si>
    <t>#5850</t>
  </si>
  <si>
    <t>2800:440:98a3:c500:f754:3e9f:ae4:40a</t>
  </si>
  <si>
    <t>Diego Fernando Barros criollo</t>
  </si>
  <si>
    <t>#5851</t>
  </si>
  <si>
    <t>2800:430:120f:ce12:1:0:f962:8849</t>
  </si>
  <si>
    <t>Norma Vera Zambrano</t>
  </si>
  <si>
    <t>#5852</t>
  </si>
  <si>
    <t xml:space="preserve">PENDIENTE DIRECION </t>
  </si>
  <si>
    <t>179.51.143.106</t>
  </si>
  <si>
    <t>Lauro Patiño</t>
  </si>
  <si>
    <t>#5853</t>
  </si>
  <si>
    <t>2800:430:1397:d17c:1:0:6427:cbaf</t>
  </si>
  <si>
    <t>Olga Chuya</t>
  </si>
  <si>
    <t>#5854</t>
  </si>
  <si>
    <t>186.66.162.80</t>
  </si>
  <si>
    <t>Carlos Guato</t>
  </si>
  <si>
    <t>#5855</t>
  </si>
  <si>
    <t>2800:bf0:80e8:d67c:4477:4b3d:2c0:e2c7</t>
  </si>
  <si>
    <t>Henry Patiño</t>
  </si>
  <si>
    <t>#5856</t>
  </si>
  <si>
    <t>181.78.199.140</t>
  </si>
  <si>
    <t>Baldemar Alfredo Guerra García Guerra García</t>
  </si>
  <si>
    <t>#5857</t>
  </si>
  <si>
    <t>186.70.211.135</t>
  </si>
  <si>
    <t>Enrique Ramón Dàger Rivera</t>
  </si>
  <si>
    <t>#5858</t>
  </si>
  <si>
    <t>191.99.42.227</t>
  </si>
  <si>
    <t>Fernando Acosta</t>
  </si>
  <si>
    <t>#5859</t>
  </si>
  <si>
    <t>Jaime Gomez</t>
  </si>
  <si>
    <t>#5860</t>
  </si>
  <si>
    <t>2800:430:1395:e234:5ce6:dcff:feb5:2626</t>
  </si>
  <si>
    <t>Marina Natividad Puma Yauri</t>
  </si>
  <si>
    <t>#5861</t>
  </si>
  <si>
    <t>157.100.52.74</t>
  </si>
  <si>
    <t>Alexandra Contrera</t>
  </si>
  <si>
    <t>#5862</t>
  </si>
  <si>
    <t>200.112.219.37</t>
  </si>
  <si>
    <t>isabel cedeño</t>
  </si>
  <si>
    <t>#5863</t>
  </si>
  <si>
    <t>181.199.59.125</t>
  </si>
  <si>
    <t>Estela Rodriguez</t>
  </si>
  <si>
    <t>#5864</t>
  </si>
  <si>
    <t>2800:bf0:a108:f6a:a1c8:6147:23ca:fdbc</t>
  </si>
  <si>
    <t>Jorge risco</t>
  </si>
  <si>
    <t>#5865</t>
  </si>
  <si>
    <t xml:space="preserve">CANCELADO - FUERA COBERTURA </t>
  </si>
  <si>
    <t>157.100.88.31</t>
  </si>
  <si>
    <t>Maria Carrera</t>
  </si>
  <si>
    <t>#5866</t>
  </si>
  <si>
    <t>2800:370:12e:6e30:d41a:a5be:ca0d:aa4b</t>
  </si>
  <si>
    <t>Leandro Olivero Hurtado Herdoiza</t>
  </si>
  <si>
    <t>#5867</t>
  </si>
  <si>
    <t>186.65.21.21</t>
  </si>
  <si>
    <t>Junior Marcillo</t>
  </si>
  <si>
    <t>#5868</t>
  </si>
  <si>
    <t>2800:370:d1:c500:d7e:5261:f199:ab8</t>
  </si>
  <si>
    <t>Juan carlos Garcia</t>
  </si>
  <si>
    <t>#5869</t>
  </si>
  <si>
    <t>2800:440:902b:6400:d97:85eb:b7ae:fef7</t>
  </si>
  <si>
    <t>RICARDO pastor ZAMORA Tarira</t>
  </si>
  <si>
    <t>#5870</t>
  </si>
  <si>
    <t>45.173.229.66</t>
  </si>
  <si>
    <t xml:space="preserve"> Norma Vera Zambrano
</t>
  </si>
  <si>
    <t xml:space="preserve">LOS RIOS </t>
  </si>
  <si>
    <t>#5871</t>
  </si>
  <si>
    <t>Lucia Morales</t>
  </si>
  <si>
    <t>#5872</t>
  </si>
  <si>
    <t>2800:bf0:14e:9c1:dd9c:a4e:9cc1:f3e2</t>
  </si>
  <si>
    <t>Shirley Moreira</t>
  </si>
  <si>
    <t>#5873</t>
  </si>
  <si>
    <t>Lissette Machare</t>
  </si>
  <si>
    <t>#5874</t>
  </si>
  <si>
    <t>181.199.44.26</t>
  </si>
  <si>
    <t xml:space="preserve">Walter ballesteros
</t>
  </si>
  <si>
    <t>#5875</t>
  </si>
  <si>
    <t>Nelly Acosta</t>
  </si>
  <si>
    <t>#5876</t>
  </si>
  <si>
    <t>181.78.197.101</t>
  </si>
  <si>
    <t>Richard Benavides</t>
  </si>
  <si>
    <t>#5877</t>
  </si>
  <si>
    <t xml:space="preserve">PENDIENTE - 1 MENSAJE </t>
  </si>
  <si>
    <t>190.63.65.99</t>
  </si>
  <si>
    <t>Washington Manosalvas</t>
  </si>
  <si>
    <t>#5878</t>
  </si>
  <si>
    <t>2800:430:b20a:e64e:c0ef:e7ff:fe7c:1bc5</t>
  </si>
  <si>
    <t>Joner Barahona</t>
  </si>
  <si>
    <t>#5879</t>
  </si>
  <si>
    <t>2800:430:b381:4179:1:0:6280:d97a</t>
  </si>
  <si>
    <t>José Luis. Díaz Salazar</t>
  </si>
  <si>
    <t>#5880</t>
  </si>
  <si>
    <t>179.51.137.224</t>
  </si>
  <si>
    <t>Patricio Dávalos</t>
  </si>
  <si>
    <t>#5881</t>
  </si>
  <si>
    <t xml:space="preserve">PENDIENTE - 1MENSAJE </t>
  </si>
  <si>
    <t>186.65.52.184</t>
  </si>
  <si>
    <t>Byron René Díaz</t>
  </si>
  <si>
    <t>#5882</t>
  </si>
  <si>
    <t>2800:430:1380:93f3:1:0:688b:2d2e</t>
  </si>
  <si>
    <t>Daniel Humberto Albán Arias</t>
  </si>
  <si>
    <t>#5883</t>
  </si>
  <si>
    <t>2800:430:b390:ec1:1:0:61ad:2340</t>
  </si>
  <si>
    <t>PEDRO HAZ ALVARADO</t>
  </si>
  <si>
    <t>#5884</t>
  </si>
  <si>
    <t>2800:430:1380:8610:68ee:dac5:1e1c:961f</t>
  </si>
  <si>
    <t>Ruth Gómez 0991586104</t>
  </si>
  <si>
    <t>#5885</t>
  </si>
  <si>
    <t>2800:bf0:be40:80ad:a9d4:80e5:e7b9:b772</t>
  </si>
  <si>
    <t>Ivan Moya</t>
  </si>
  <si>
    <t>#5886</t>
  </si>
  <si>
    <t>190.10.162.234</t>
  </si>
  <si>
    <t>Cristian Alejandro Cuesta Leon</t>
  </si>
  <si>
    <t>#5887</t>
  </si>
  <si>
    <t>186.4.166.252</t>
  </si>
  <si>
    <t>Luis feijoo Feijoo</t>
  </si>
  <si>
    <t>#5888</t>
  </si>
  <si>
    <t>38.92.31.153</t>
  </si>
  <si>
    <t>Sevilla Mile</t>
  </si>
  <si>
    <t>#5889</t>
  </si>
  <si>
    <t>190.10.203.1</t>
  </si>
  <si>
    <t xml:space="preserve">Teodora Melendrez Mosquera Echeverria
</t>
  </si>
  <si>
    <t>#5890</t>
  </si>
  <si>
    <t>Raul Guerrero</t>
  </si>
  <si>
    <t>#5891</t>
  </si>
  <si>
    <t>186.43.221.190</t>
  </si>
  <si>
    <t>Norma Sánchez</t>
  </si>
  <si>
    <t>#5892</t>
  </si>
  <si>
    <t>200.7.207.179</t>
  </si>
  <si>
    <t>Isabel Velásquez Reyes</t>
  </si>
  <si>
    <t>#5893</t>
  </si>
  <si>
    <t>2803:6320:2a:3660:910d:af95:3ead:125e</t>
  </si>
  <si>
    <t>Sixto Moreno</t>
  </si>
  <si>
    <t>#5894</t>
  </si>
  <si>
    <t>2800:370:ca:79e0:1c34:93b1:28be:d711</t>
  </si>
  <si>
    <t>Alexandra Macias</t>
  </si>
  <si>
    <t>#5895</t>
  </si>
  <si>
    <t>2800:bf0:826b:33f:7537:ecaf:11e0:3297</t>
  </si>
  <si>
    <t>Juan Villa</t>
  </si>
  <si>
    <t>#5896</t>
  </si>
  <si>
    <t>186.42.18.131</t>
  </si>
  <si>
    <t>Edgar Cilo Fernández Piza</t>
  </si>
  <si>
    <t>#5897</t>
  </si>
  <si>
    <t>Efrain Bajaña</t>
  </si>
  <si>
    <t>#5898</t>
  </si>
  <si>
    <t>190.10.128.58</t>
  </si>
  <si>
    <t>Jimena Rojas</t>
  </si>
  <si>
    <t>#5899</t>
  </si>
  <si>
    <t>2800:370:147:85b0:2802:b524:37c6:73eb</t>
  </si>
  <si>
    <t>José eduardo Salazar cueva</t>
  </si>
  <si>
    <t>#5900</t>
  </si>
  <si>
    <t xml:space="preserve">PENDIENTE  CONFIRMACION - 1MENSAJE </t>
  </si>
  <si>
    <t>179.51.143.88</t>
  </si>
  <si>
    <t>Segundo Alejandro Albacando ramos</t>
  </si>
  <si>
    <t>#5901</t>
  </si>
  <si>
    <t>45.164.64.123</t>
  </si>
  <si>
    <t>Ibeth Rendón</t>
  </si>
  <si>
    <t>#5902</t>
  </si>
  <si>
    <t>2800:bf0:4583:b169:bc1b:4fe4:434b:65b5</t>
  </si>
  <si>
    <t>Edgar G Arias Quizhpe</t>
  </si>
  <si>
    <t>#5903</t>
  </si>
  <si>
    <t>2800:bf0:19:1232:b187:d5b1:644f:91b5</t>
  </si>
  <si>
    <t>Cecilia Villarreal</t>
  </si>
  <si>
    <t>#5904</t>
  </si>
  <si>
    <t>2800:bf0:24b:ce3:8565:45f5:4b5e:f836</t>
  </si>
  <si>
    <t>Luciano Abad Leon</t>
  </si>
  <si>
    <t>#5905</t>
  </si>
  <si>
    <t>2800:430:1204:3258:1:0:32f:3c3a</t>
  </si>
  <si>
    <t>Isabel Cristina SUR</t>
  </si>
  <si>
    <t>#5906</t>
  </si>
  <si>
    <t>Eva Jacome</t>
  </si>
  <si>
    <t>#5907</t>
  </si>
  <si>
    <t>Paola Cedeño Cedeño</t>
  </si>
  <si>
    <t>#5908</t>
  </si>
  <si>
    <t>2800:bf0:a7:ed7:31d2:3bba:7ee9:315c</t>
  </si>
  <si>
    <t>Miguel Ángel Morocho</t>
  </si>
  <si>
    <t>#5909</t>
  </si>
  <si>
    <t>201.182.242.69</t>
  </si>
  <si>
    <t>Miguel marcos Morocho Morocho</t>
  </si>
  <si>
    <t>#5910</t>
  </si>
  <si>
    <t>179.60.53.14</t>
  </si>
  <si>
    <t>Ramón Pacheco</t>
  </si>
  <si>
    <t>#5911</t>
  </si>
  <si>
    <t>2800:440:9c38:e000:9810:9494:4c4d:7cab</t>
  </si>
  <si>
    <t>Tamara Alvarez</t>
  </si>
  <si>
    <t>#5912</t>
  </si>
  <si>
    <t>2800:bf0:29a:1210:4d93:7fd6:16cf:d91</t>
  </si>
  <si>
    <t>ELIECER NOE Camacho Vite</t>
  </si>
  <si>
    <t>#5913</t>
  </si>
  <si>
    <t>201.183.57.148</t>
  </si>
  <si>
    <t>Byron Quimbiamba Quishpe Quimbiamba</t>
  </si>
  <si>
    <t>#5914</t>
  </si>
  <si>
    <t xml:space="preserve">PENDIENTE - SOLICITAR DIRECCION - 1 MENSAJE - PROCESO </t>
  </si>
  <si>
    <t>Galo Tamayo</t>
  </si>
  <si>
    <t>#5915</t>
  </si>
  <si>
    <t>157.100.89.93</t>
  </si>
  <si>
    <t>Andres Andrade</t>
  </si>
  <si>
    <t>#5916</t>
  </si>
  <si>
    <t>Victor Vaca</t>
  </si>
  <si>
    <t>#5917</t>
  </si>
  <si>
    <t>157.100.61.117</t>
  </si>
  <si>
    <t>Jean Garzón</t>
  </si>
  <si>
    <t>#5918</t>
  </si>
  <si>
    <t xml:space="preserve">PENDIENTE CONFORMACION - 1 MENSAJE </t>
  </si>
  <si>
    <t>2800:bf0:98:c17:e474:122b:afa1:df6e</t>
  </si>
  <si>
    <t>Karla POGO</t>
  </si>
  <si>
    <t>#5919</t>
  </si>
  <si>
    <t>2800:bf0:b883:fe4:f3b9:2090:3b0f:cd66</t>
  </si>
  <si>
    <t xml:space="preserve">Marlene Gonzales
</t>
  </si>
  <si>
    <t>#5920</t>
  </si>
  <si>
    <t>Gladys Oquendo</t>
  </si>
  <si>
    <t>#5921</t>
  </si>
  <si>
    <t>2800:4f0:57:1ba0:7caf:ee32:432e:efe</t>
  </si>
  <si>
    <t>Renzo Alva</t>
  </si>
  <si>
    <t>#5922</t>
  </si>
  <si>
    <t>Lucia Ramos Ramos</t>
  </si>
  <si>
    <t>#5923</t>
  </si>
  <si>
    <t>2800:430:b20b:880b:1:0:e0e0:a1ff</t>
  </si>
  <si>
    <t>Diego CALLE</t>
  </si>
  <si>
    <t>#5924</t>
  </si>
  <si>
    <t>179.49.41.113</t>
  </si>
  <si>
    <t>Julio Amaguaña</t>
  </si>
  <si>
    <t>#5925</t>
  </si>
  <si>
    <t>186.209.212.84</t>
  </si>
  <si>
    <t>Lourdes Guerrero</t>
  </si>
  <si>
    <t>#5926</t>
  </si>
  <si>
    <t xml:space="preserve">CANCELADO CLTE SOLICITA </t>
  </si>
  <si>
    <t>José Encalada</t>
  </si>
  <si>
    <t>#5927</t>
  </si>
  <si>
    <t>2800:440:9833:8600:dd45:c17d:1a47:9fe5</t>
  </si>
  <si>
    <t>Carmen Ordoñez Ordoñez</t>
  </si>
  <si>
    <t>#5928</t>
  </si>
  <si>
    <t>LUIS CABASCANGO</t>
  </si>
  <si>
    <t>#5929</t>
  </si>
  <si>
    <t>190.63.114.205</t>
  </si>
  <si>
    <t>Ivanna Zamora</t>
  </si>
  <si>
    <t>#5930</t>
  </si>
  <si>
    <t>2800:bf0:8041:1026:7952:2996:773c:5028</t>
  </si>
  <si>
    <t>Verónica Camacho</t>
  </si>
  <si>
    <t>#5931</t>
  </si>
  <si>
    <t>186.69.67.114</t>
  </si>
  <si>
    <t>Carlos Patricio Velez Merchan</t>
  </si>
  <si>
    <t>#5932</t>
  </si>
  <si>
    <t xml:space="preserve">PENDIENTE CONFIRMACION - 1 MENSAJE - PROCESO </t>
  </si>
  <si>
    <t>186.42.140.240</t>
  </si>
  <si>
    <t>JORGE Maldonado</t>
  </si>
  <si>
    <t>#5933</t>
  </si>
  <si>
    <t>186.65.19.100</t>
  </si>
  <si>
    <t>Oswaldo Pimboza</t>
  </si>
  <si>
    <t>#5934</t>
  </si>
  <si>
    <t xml:space="preserve">CANCELADO FUERA DE COBERTURA </t>
  </si>
  <si>
    <t>45.70.196.9</t>
  </si>
  <si>
    <t>Mariell Gomez</t>
  </si>
  <si>
    <t>#5935</t>
  </si>
  <si>
    <t>45.238.216.71</t>
  </si>
  <si>
    <t>Carlos Yerovi</t>
  </si>
  <si>
    <t>#5936</t>
  </si>
  <si>
    <t>45.239.49.124</t>
  </si>
  <si>
    <t>Ángel Guerra</t>
  </si>
  <si>
    <t>#5937</t>
  </si>
  <si>
    <t xml:space="preserve">PENDIENTE CONFIRMACION - 1MENSAJE </t>
  </si>
  <si>
    <t>2800:bf0:be42:81f8:2888:d338:7a01:28c3</t>
  </si>
  <si>
    <t>Wilton Ramon</t>
  </si>
  <si>
    <t>#5938</t>
  </si>
  <si>
    <t>#5939</t>
  </si>
  <si>
    <t>2800:5f0:520:6c2f:895d:4191:6254:5f93</t>
  </si>
  <si>
    <t>Aurelio Enrique Vélez Galarza</t>
  </si>
  <si>
    <t>#5940</t>
  </si>
  <si>
    <t xml:space="preserve">PENDIENTE CONFIRMACION - PROCESO </t>
  </si>
  <si>
    <t>2800:440:980f:ad00:cb05:d458:dfac:19e2</t>
  </si>
  <si>
    <t>Andres cobos</t>
  </si>
  <si>
    <t>#5941</t>
  </si>
  <si>
    <t>45.225.47.69</t>
  </si>
  <si>
    <t>Willian Loayza</t>
  </si>
  <si>
    <t>#5942</t>
  </si>
  <si>
    <t>2800:4f0:504:cd20:2475:204f:c94b:22fd</t>
  </si>
  <si>
    <t>Javier Escobar</t>
  </si>
  <si>
    <t>#5943</t>
  </si>
  <si>
    <t xml:space="preserve">PENDIENTE SOLICITAR DIRECCION - 1MENSAJE </t>
  </si>
  <si>
    <t>Marco Bautista</t>
  </si>
  <si>
    <t>#5944</t>
  </si>
  <si>
    <t xml:space="preserve">PENDIENTE SOLICITAR DIRECCION - 1 MENSAJE </t>
  </si>
  <si>
    <t>2800:430:b206:8b98:1:0:dea3:201</t>
  </si>
  <si>
    <t>Edison Garcia</t>
  </si>
  <si>
    <t>#5945</t>
  </si>
  <si>
    <t>190.63.97.209</t>
  </si>
  <si>
    <t>Marco GUAMAN</t>
  </si>
  <si>
    <t>#5946</t>
  </si>
  <si>
    <t>190.154.211.11</t>
  </si>
  <si>
    <t>Armando Fuentes</t>
  </si>
  <si>
    <t>#5947</t>
  </si>
  <si>
    <t xml:space="preserve">PENDIENTE - 1 MENSAJE - PROCESO </t>
  </si>
  <si>
    <t>177.53.215.26</t>
  </si>
  <si>
    <t>Cristian Palacios</t>
  </si>
  <si>
    <t>#5948</t>
  </si>
  <si>
    <t>190.99.78.156</t>
  </si>
  <si>
    <t>Maria Toala</t>
  </si>
  <si>
    <t>#5949</t>
  </si>
  <si>
    <t>193.30.13.72</t>
  </si>
  <si>
    <t>Gisela Navia</t>
  </si>
  <si>
    <t>#5950</t>
  </si>
  <si>
    <t>181.199.42.254</t>
  </si>
  <si>
    <t>Santiago Perez</t>
  </si>
  <si>
    <t>#5952</t>
  </si>
  <si>
    <t>200.63.106.103</t>
  </si>
  <si>
    <t>Leonardo Rodríguez</t>
  </si>
  <si>
    <t>#5953</t>
  </si>
  <si>
    <t>2800:5f0:520:3774:d74:e0f1:61bf:12e3</t>
  </si>
  <si>
    <t>Veronica Guerra Ramirez</t>
  </si>
  <si>
    <t>#5955</t>
  </si>
  <si>
    <t>186.65.52.183</t>
  </si>
  <si>
    <t>Roberto Pillajo</t>
  </si>
  <si>
    <t>#5956</t>
  </si>
  <si>
    <t>2800:5f0:520:d6e7:cc57:2079:4a31:b3db</t>
  </si>
  <si>
    <t>Claudio Collaguazo</t>
  </si>
  <si>
    <t>#5957</t>
  </si>
  <si>
    <t>Pablo Sánchez</t>
  </si>
  <si>
    <t>#5958</t>
  </si>
  <si>
    <t>200.85.83.226</t>
  </si>
  <si>
    <t>Luis Montalvo</t>
  </si>
  <si>
    <t>#5959</t>
  </si>
  <si>
    <t xml:space="preserve">PENDIENTE CONFIRMACION </t>
  </si>
  <si>
    <t>2800:370:12d:da20:21c8:4a1e:84be:6c77</t>
  </si>
  <si>
    <t>Elias Briones  parraga</t>
  </si>
  <si>
    <t>#5960</t>
  </si>
  <si>
    <t>CLIENTE SOLICITA LA CANCELACION</t>
  </si>
  <si>
    <t>181.199.41.15</t>
  </si>
  <si>
    <t>Ramiro Delgado</t>
  </si>
  <si>
    <t>#5961</t>
  </si>
  <si>
    <t xml:space="preserve">PENDIENTE CONFIRMACION - 1 MENSAJE- PROCESO </t>
  </si>
  <si>
    <t>2803:ab10:4023:2020:24b2:277c:617b:ac16</t>
  </si>
  <si>
    <t>Elsa Castro</t>
  </si>
  <si>
    <t>#5962</t>
  </si>
  <si>
    <t>PENDIENTE SOLICITAR DIRECCION - 1 MENSAJE - PARA 20 FEBRERO</t>
  </si>
  <si>
    <t>Christian Daniel Michilena Alcívar</t>
  </si>
  <si>
    <t>#5963</t>
  </si>
  <si>
    <t>190.63.236.100</t>
  </si>
  <si>
    <t>César Mayorga Abril</t>
  </si>
  <si>
    <t>#5964</t>
  </si>
  <si>
    <t>157.100.143.35</t>
  </si>
  <si>
    <t>Elin Corsa</t>
  </si>
  <si>
    <t>#5965</t>
  </si>
  <si>
    <t>200.24.138.204</t>
  </si>
  <si>
    <t>Beatriz Osorio Oviedo</t>
  </si>
  <si>
    <t>#5966</t>
  </si>
  <si>
    <t xml:space="preserve">PENDIENTE CONFIRMACION -1 MENSAJE - PROCESO </t>
  </si>
  <si>
    <t>2800:bf0:a811:a:b07b:b839:4982:ad85</t>
  </si>
  <si>
    <t>Marylin Figueroa</t>
  </si>
  <si>
    <t>#5967</t>
  </si>
  <si>
    <t>190.110.44.2</t>
  </si>
  <si>
    <t>Juan Carlos Jiménez</t>
  </si>
  <si>
    <t>#5968</t>
  </si>
  <si>
    <t>190.63.114.235</t>
  </si>
  <si>
    <t>Marco Benalcazar</t>
  </si>
  <si>
    <t>#5969</t>
  </si>
  <si>
    <t xml:space="preserve">PENDIENTE CONFIRMACION - 1 MENSAJE </t>
  </si>
  <si>
    <t>181.78.196.58</t>
  </si>
  <si>
    <t xml:space="preserve"> Luis Sototo
</t>
  </si>
  <si>
    <t xml:space="preserve">PENDIENTE CONFIRMAR DIRECCION - 1 MENSAJE - PROCESO </t>
  </si>
  <si>
    <t>Dennis Rojas</t>
  </si>
  <si>
    <t>#5971</t>
  </si>
  <si>
    <t>2800:bf0:8027:142a:1006:db05:2ab0:3b13</t>
  </si>
  <si>
    <t>Angélica palacios</t>
  </si>
  <si>
    <t>#5972</t>
  </si>
  <si>
    <t>PENDIENTE CONFIRMACION - 1MENSAJE - PROCESO</t>
  </si>
  <si>
    <t>45.225.106.84</t>
  </si>
  <si>
    <t>María sarango Sarango</t>
  </si>
  <si>
    <t>#5973</t>
  </si>
  <si>
    <t>200.50.232.66</t>
  </si>
  <si>
    <t>Luis Guaman</t>
  </si>
  <si>
    <t>#5974</t>
  </si>
  <si>
    <t>186.42.1.80</t>
  </si>
  <si>
    <t>Frenando Lopez</t>
  </si>
  <si>
    <t>#5975</t>
  </si>
  <si>
    <t>Paola Ferraro</t>
  </si>
  <si>
    <t>#5976</t>
  </si>
  <si>
    <t>157.100.134.66</t>
  </si>
  <si>
    <t>German Villao</t>
  </si>
  <si>
    <t>#5977</t>
  </si>
  <si>
    <t>157.100.58.203</t>
  </si>
  <si>
    <t>Juan Carlos Guerrero Veliz</t>
  </si>
  <si>
    <t>#5978</t>
  </si>
  <si>
    <t>190.95.236.147</t>
  </si>
  <si>
    <t>Carlos Byron BERMEO LEÓN</t>
  </si>
  <si>
    <t>#5979</t>
  </si>
  <si>
    <t>157.100.198.37</t>
  </si>
  <si>
    <t>Tannia Abril</t>
  </si>
  <si>
    <t>#5980</t>
  </si>
  <si>
    <t>2800:bf0:300b:fb2:7577:6f41:253b:badb</t>
  </si>
  <si>
    <t>César Poveda</t>
  </si>
  <si>
    <t>#5981</t>
  </si>
  <si>
    <t>2800:bf0:10:149e:dd16:a492:4a4b:3691</t>
  </si>
  <si>
    <t>Ginger Galarza Sarasti</t>
  </si>
  <si>
    <t>#5982</t>
  </si>
  <si>
    <t>186.68.53.22</t>
  </si>
  <si>
    <t>Rafael Cornejo</t>
  </si>
  <si>
    <t>#5983</t>
  </si>
  <si>
    <t>Luis Melo</t>
  </si>
  <si>
    <t>#5984</t>
  </si>
  <si>
    <t>2800:370:13f:d220:ad33:f9b3:75c7:e389</t>
  </si>
  <si>
    <t>FRANCISCO OCHOA</t>
  </si>
  <si>
    <t>#5985</t>
  </si>
  <si>
    <t>Freddy Intriago</t>
  </si>
  <si>
    <t>#5986</t>
  </si>
  <si>
    <t>2800:bf0:a40d:11d3:f83b:845b:908f:b791</t>
  </si>
  <si>
    <t>Cesar Salvador</t>
  </si>
  <si>
    <t>#5987</t>
  </si>
  <si>
    <t>179.49.33.168</t>
  </si>
  <si>
    <t>Diego Xavier Cisneros Echeverría</t>
  </si>
  <si>
    <t>#5988</t>
  </si>
  <si>
    <t>2800:bf0:3706:fe2:dc23:212e:4ec9:fff9</t>
  </si>
  <si>
    <t>Francisco Gamboa</t>
  </si>
  <si>
    <t>#5989</t>
  </si>
  <si>
    <t>190.63.236.9</t>
  </si>
  <si>
    <t>Luis Servando Pérez Cabascango</t>
  </si>
  <si>
    <t>#5990</t>
  </si>
  <si>
    <t>190.63.115.90</t>
  </si>
  <si>
    <t>Marco Aníbal Trávez García</t>
  </si>
  <si>
    <t>#5991</t>
  </si>
  <si>
    <t>2800:370:145:e780:3d86:91e2:c093:a3cd</t>
  </si>
  <si>
    <t>Jose Avila</t>
  </si>
  <si>
    <t>#5992</t>
  </si>
  <si>
    <t xml:space="preserve">PENDIENTE CONFIRMAR DIRECCION - 1 MENSAJE </t>
  </si>
  <si>
    <t>190.155.87.31</t>
  </si>
  <si>
    <t>juan carlos lainez segovia</t>
  </si>
  <si>
    <t>#5993</t>
  </si>
  <si>
    <t xml:space="preserve">PENDIENTE CONFIRMACION - 1 mensaje  - PROCESO </t>
  </si>
  <si>
    <t>2800:bf0:81f0:a67:8035:b7d0:642c:5b59</t>
  </si>
  <si>
    <t>Luis Jiukam</t>
  </si>
  <si>
    <t>#5994</t>
  </si>
  <si>
    <t>1</t>
  </si>
  <si>
    <t>45.71.202.203</t>
  </si>
  <si>
    <t>Galo Véliz</t>
  </si>
  <si>
    <t>#5995</t>
  </si>
  <si>
    <t>190.11.29.4</t>
  </si>
  <si>
    <t>Vinicio Montaluisa</t>
  </si>
  <si>
    <t>#5996</t>
  </si>
  <si>
    <t xml:space="preserve">PENDIENTE CONFIRMACION - 1 mensaje  -PROCESO </t>
  </si>
  <si>
    <t>2800:430:b208:d5fe:f0f6:da5a:d78c:626a</t>
  </si>
  <si>
    <t>Renato Andrade</t>
  </si>
  <si>
    <t>#5997</t>
  </si>
  <si>
    <t>186.65.54.11</t>
  </si>
  <si>
    <t>Rodrigo Jaramillo</t>
  </si>
  <si>
    <t>#5998</t>
  </si>
  <si>
    <t>2800:440:9c57:1500:d246:deb4:6512:5d87</t>
  </si>
  <si>
    <t>Mireya Fernández</t>
  </si>
  <si>
    <t>#5999</t>
  </si>
  <si>
    <t>157.100.142.56</t>
  </si>
  <si>
    <t>Ingrid Cedeño</t>
  </si>
  <si>
    <t>#6000</t>
  </si>
  <si>
    <t>200.24.154.82</t>
  </si>
  <si>
    <t>Sócrates Junior Merejildo Laínez</t>
  </si>
  <si>
    <t>#6001</t>
  </si>
  <si>
    <t>PENDIENTE SOLICITAR DIRECCION - 1 MENSAJE - PROCESO</t>
  </si>
  <si>
    <t>38.51.36.25</t>
  </si>
  <si>
    <t>Francisco Rodríguez</t>
  </si>
  <si>
    <t>#6002</t>
  </si>
  <si>
    <t>Verónica Ochoa</t>
  </si>
  <si>
    <t>#6003</t>
  </si>
  <si>
    <t>190.96.98.110</t>
  </si>
  <si>
    <t>Sandra López</t>
  </si>
  <si>
    <t>#6004</t>
  </si>
  <si>
    <t xml:space="preserve">CANCELADO - CLTE SOLICITA </t>
  </si>
  <si>
    <t>2803:3490:a21:0:d89f:e6e:b4d:43f2</t>
  </si>
  <si>
    <t>Calixta Teresa Zambrano Alcivar.</t>
  </si>
  <si>
    <t>#6005</t>
  </si>
  <si>
    <t>2800:bf0:a102:10ba:5dda:881d:a939:36c5</t>
  </si>
  <si>
    <t>José Guachamin</t>
  </si>
  <si>
    <t>#6006</t>
  </si>
  <si>
    <t>2800:bf0:2c7:36:6c18:60e6:e605:5090</t>
  </si>
  <si>
    <t>jorge ochoa</t>
  </si>
  <si>
    <t>#6007</t>
  </si>
  <si>
    <t>210.211.62.120</t>
  </si>
  <si>
    <t>Danilo Calero</t>
  </si>
  <si>
    <t>#6008</t>
  </si>
  <si>
    <t>2800:bf0:b08d:1156:4035:a3e1:cded:40d8</t>
  </si>
  <si>
    <t>José Franco</t>
  </si>
  <si>
    <t>#6009</t>
  </si>
  <si>
    <t>2800:bf0:830a:f5b:b6bd:242e:2dbd:9620</t>
  </si>
  <si>
    <t>LELIO QUEVEDO</t>
  </si>
  <si>
    <t>#6010</t>
  </si>
  <si>
    <t>191.99.52.191</t>
  </si>
  <si>
    <t>Pedro Parreño</t>
  </si>
  <si>
    <t>#6011</t>
  </si>
  <si>
    <t>2800:430:120c:8ae0:1:0:199b:6b91</t>
  </si>
  <si>
    <t>Wilson salazar</t>
  </si>
  <si>
    <t>#6012</t>
  </si>
  <si>
    <t>2800:bf0:83:1201:d967:d72c:f97d:2c06</t>
  </si>
  <si>
    <t>Mauricio Junez</t>
  </si>
  <si>
    <t>#6013</t>
  </si>
  <si>
    <t>2800:440:9c0c:6700:59f1:2dd0:1cad:b1d1</t>
  </si>
  <si>
    <t>Edgar Pucuji</t>
  </si>
  <si>
    <t>#6014</t>
  </si>
  <si>
    <t>2800:440:9054:da00:fd61:9caf:d975:be6e</t>
  </si>
  <si>
    <t>Welinton Torres</t>
  </si>
  <si>
    <t>#6015</t>
  </si>
  <si>
    <t>177.234.249.88</t>
  </si>
  <si>
    <t>Roberto Cristobal Cristobal</t>
  </si>
  <si>
    <t>#6016</t>
  </si>
  <si>
    <t xml:space="preserve">PENDIENTE DIRECCION  - 1 MENSAJE </t>
  </si>
  <si>
    <t>177.234.223.98</t>
  </si>
  <si>
    <t>Jorge Omar Macarlupo Parra</t>
  </si>
  <si>
    <t>#6017</t>
  </si>
  <si>
    <t>2800:bf0:81f0:a23:d997:b8e4:bed7:de1e</t>
  </si>
  <si>
    <t>Paola Sevilla</t>
  </si>
  <si>
    <t>#6018</t>
  </si>
  <si>
    <t>2800:bf0:281:10e3:5025:c413:a41c:ba5</t>
  </si>
  <si>
    <t xml:space="preserve"> Juvenal Muñoz
</t>
  </si>
  <si>
    <t>#6019</t>
  </si>
  <si>
    <t xml:space="preserve">PROCESO - CA </t>
  </si>
  <si>
    <t>Rodrigo Palacios</t>
  </si>
  <si>
    <t>#6020</t>
  </si>
  <si>
    <t>2800:440:9897:c900:8272:6966:9dfa:cdbd</t>
  </si>
  <si>
    <t xml:space="preserve"> Ligia Gonzalez
</t>
  </si>
  <si>
    <t>#6021</t>
  </si>
  <si>
    <t>Cruz Mabel Estupiñan Rivera</t>
  </si>
  <si>
    <t>#6022</t>
  </si>
  <si>
    <t>190.12.150.120</t>
  </si>
  <si>
    <t>Milton Montesdeoca</t>
  </si>
  <si>
    <t>#6023</t>
  </si>
  <si>
    <t>190.63.115.45</t>
  </si>
  <si>
    <t>Eduardo Cabezas</t>
  </si>
  <si>
    <t>#6024</t>
  </si>
  <si>
    <t>181.199.58.84</t>
  </si>
  <si>
    <t>Daysi Salazar</t>
  </si>
  <si>
    <t>#6025</t>
  </si>
  <si>
    <t xml:space="preserve">PRCOESO </t>
  </si>
  <si>
    <t>171.22.167.25</t>
  </si>
  <si>
    <t>Victor lecni Moreira delgado</t>
  </si>
  <si>
    <t>#6026</t>
  </si>
  <si>
    <t>179.49.53.176</t>
  </si>
  <si>
    <t>Edisson Cadena Cadena Lopez</t>
  </si>
  <si>
    <t>#6027</t>
  </si>
  <si>
    <t>2800:bf0:8002:159e:9808:d99d:8a66:d698</t>
  </si>
  <si>
    <t>Patricio Moreta</t>
  </si>
  <si>
    <t>#6028</t>
  </si>
  <si>
    <t>2800:440:9877:e000:b89d:b42f:cf0c:4483</t>
  </si>
  <si>
    <t>Alberto Estupiñan</t>
  </si>
  <si>
    <t>#6029</t>
  </si>
  <si>
    <t>2800:440:9092:4200:e141:c5ce:5b70:929d</t>
  </si>
  <si>
    <t>Freddy Valarezo</t>
  </si>
  <si>
    <t>#6030</t>
  </si>
  <si>
    <t>190.110.44.52</t>
  </si>
  <si>
    <t>Ralph quiñonez solis quiñonez solis</t>
  </si>
  <si>
    <t>#6031</t>
  </si>
  <si>
    <t>38.44.109.51</t>
  </si>
  <si>
    <t>Fernando Ruiz Reyes</t>
  </si>
  <si>
    <t>#6032</t>
  </si>
  <si>
    <t>171.22.167.29</t>
  </si>
  <si>
    <t>Luis Enrique Barroso Romero</t>
  </si>
  <si>
    <t>#6033</t>
  </si>
  <si>
    <t>186.42.25.72</t>
  </si>
  <si>
    <t>Samuel Elías Mosquera santiana</t>
  </si>
  <si>
    <t>#6034</t>
  </si>
  <si>
    <t>157.100.64.232</t>
  </si>
  <si>
    <t>SERGIO Ortiz Enriquez</t>
  </si>
  <si>
    <t>#6035</t>
  </si>
  <si>
    <t>Victor Paguay</t>
  </si>
  <si>
    <t>#6036</t>
  </si>
  <si>
    <t>190.63.121.110</t>
  </si>
  <si>
    <t>Luis Humala Humala</t>
  </si>
  <si>
    <t>#6037</t>
  </si>
  <si>
    <t>64.81.174.154</t>
  </si>
  <si>
    <t>David Tandayamo</t>
  </si>
  <si>
    <t>#6038</t>
  </si>
  <si>
    <t>2803:dda0:31:0:48a2:d9fd:a8a2:d50f</t>
  </si>
  <si>
    <t>Mario Nunez</t>
  </si>
  <si>
    <t>#6039</t>
  </si>
  <si>
    <t>PENDIENTE CONFIRMACION - 1MENSAJE - PARA EL 23 FEBRERO</t>
  </si>
  <si>
    <t>186.70.72.184</t>
  </si>
  <si>
    <t>Graciela Mendoza</t>
  </si>
  <si>
    <t>#6040</t>
  </si>
  <si>
    <t>2800:bf0:8002:12bf:e693:6c7e:8ebc:e235</t>
  </si>
  <si>
    <t>Ricardo Solis Nogales</t>
  </si>
  <si>
    <t>#6041</t>
  </si>
  <si>
    <t>Carlos De la cruz</t>
  </si>
  <si>
    <t>#6042</t>
  </si>
  <si>
    <t>186.69.77.71</t>
  </si>
  <si>
    <t>Anita Maldonado</t>
  </si>
  <si>
    <t>#6043</t>
  </si>
  <si>
    <t>2800:440:9095:7100:4dfc:100a:5313:990d</t>
  </si>
  <si>
    <t>Peter Aichholzer</t>
  </si>
  <si>
    <t>#6044</t>
  </si>
  <si>
    <t xml:space="preserve">PENDIENTE CONFIRMACION - NO TIENE  WHATSAPP : 996215180 </t>
  </si>
  <si>
    <t>186.43.175.117</t>
  </si>
  <si>
    <t>Jeaneth Flores</t>
  </si>
  <si>
    <t>#6045</t>
  </si>
  <si>
    <t>45.169.145.95</t>
  </si>
  <si>
    <t>Erika Orozco</t>
  </si>
  <si>
    <t>#6046</t>
  </si>
  <si>
    <t>José Morocho Arturo</t>
  </si>
  <si>
    <t>#6047</t>
  </si>
  <si>
    <t>190.63.96.133</t>
  </si>
  <si>
    <t>JESSICA OCAMPO</t>
  </si>
  <si>
    <t>#6048</t>
  </si>
  <si>
    <t>45.70.58.12</t>
  </si>
  <si>
    <t>Juan Mantilla</t>
  </si>
  <si>
    <t>#6049</t>
  </si>
  <si>
    <t>2800:440:920a:3900:796c:9135:33e2:5fe2</t>
  </si>
  <si>
    <t>Viviana Llumiquinga</t>
  </si>
  <si>
    <t>#6050</t>
  </si>
  <si>
    <t>2800:370:d1:8370:7ac8:9ad1:ef03:41fa</t>
  </si>
  <si>
    <t xml:space="preserve"> Carlos Touma
</t>
  </si>
  <si>
    <t>#6051</t>
  </si>
  <si>
    <t xml:space="preserve">PENDIENTE PROMOCION  - PROCESO </t>
  </si>
  <si>
    <t>Gabriel Paez</t>
  </si>
  <si>
    <t>#6052</t>
  </si>
  <si>
    <t>190.63.239.82</t>
  </si>
  <si>
    <t>Magdalena Mayorga Mayorga</t>
  </si>
  <si>
    <t>#6053</t>
  </si>
  <si>
    <t>157.100.87.140</t>
  </si>
  <si>
    <t>Maribel Zambrano</t>
  </si>
  <si>
    <t>#6054</t>
  </si>
  <si>
    <t>190.63.241.242</t>
  </si>
  <si>
    <t>Ñusta Carmelina Poma González</t>
  </si>
  <si>
    <t>#6055</t>
  </si>
  <si>
    <t xml:space="preserve">PENDIENTE - SOLICITAR DIRECCION - 1 MENSAJE </t>
  </si>
  <si>
    <t>157.100.54.118</t>
  </si>
  <si>
    <t>Jennifer Barrios</t>
  </si>
  <si>
    <t>#6056</t>
  </si>
  <si>
    <t>190.63.236.131</t>
  </si>
  <si>
    <t>José Avelino Valencia Avelino Valencia</t>
  </si>
  <si>
    <t>#6057</t>
  </si>
  <si>
    <t>2800:430:1384:798a:1:0:6731:f377</t>
  </si>
  <si>
    <t>Aparicio Sanmartin</t>
  </si>
  <si>
    <t>#6058</t>
  </si>
  <si>
    <t>Gabriel Garcia</t>
  </si>
  <si>
    <t>#6059</t>
  </si>
  <si>
    <t>157.100.198.80</t>
  </si>
  <si>
    <t>Gladys judith Encalada Aguilar</t>
  </si>
  <si>
    <t>#6060</t>
  </si>
  <si>
    <t>2800:bf0:3c08:1a:8871:1cff:fe51:ccdb</t>
  </si>
  <si>
    <t>Betty Landivar</t>
  </si>
  <si>
    <t>#6061</t>
  </si>
  <si>
    <t>38.51.36.95</t>
  </si>
  <si>
    <t>Vilma Verdezoto</t>
  </si>
  <si>
    <t>#6062</t>
  </si>
  <si>
    <t>PENDIENTE - SOLICITAR DIRECCION - PROCESO</t>
  </si>
  <si>
    <t>38.44.111.69</t>
  </si>
  <si>
    <t>Javier Muñiz</t>
  </si>
  <si>
    <t>#6063</t>
  </si>
  <si>
    <t xml:space="preserve">PENDINTE CONFIRMACION  -PROCESO </t>
  </si>
  <si>
    <t>200.0.74.177</t>
  </si>
  <si>
    <t>Christian Barragán</t>
  </si>
  <si>
    <t>#6064</t>
  </si>
  <si>
    <t>190.63.241.182</t>
  </si>
  <si>
    <t xml:space="preserve"> Luis Francisco Sánchez Lima
</t>
  </si>
  <si>
    <t>#6065</t>
  </si>
  <si>
    <t xml:space="preserve"> Antoñia Tanguila
</t>
  </si>
  <si>
    <t>#6066</t>
  </si>
  <si>
    <t>Jorge Peralta</t>
  </si>
  <si>
    <t>#6067</t>
  </si>
  <si>
    <t>149.50.204.88</t>
  </si>
  <si>
    <t>Franklin Perez</t>
  </si>
  <si>
    <t>#6068</t>
  </si>
  <si>
    <t>186.66.222.224</t>
  </si>
  <si>
    <t>Pedro Antonio Pizarro Cárdenas</t>
  </si>
  <si>
    <t>#6069</t>
  </si>
  <si>
    <t>179.49.34.96</t>
  </si>
  <si>
    <t>Lenin Vivanco</t>
  </si>
  <si>
    <t>#6070</t>
  </si>
  <si>
    <t>200.85.83.50</t>
  </si>
  <si>
    <t>Alba Valle Mendoza</t>
  </si>
  <si>
    <t>#6071</t>
  </si>
  <si>
    <t>2800:430:1213:8db5:1:0:c8d3:580d</t>
  </si>
  <si>
    <t>Kevin Macias</t>
  </si>
  <si>
    <t>#6072</t>
  </si>
  <si>
    <t>186.66.35.15</t>
  </si>
  <si>
    <t>Juan dalgo</t>
  </si>
  <si>
    <t>#6073</t>
  </si>
  <si>
    <t>190.12.151.23</t>
  </si>
  <si>
    <t>Fabian Pacheco</t>
  </si>
  <si>
    <t>#6074</t>
  </si>
  <si>
    <t>2800:bf0:b821:1078:a017:2def:3b8c:2a50</t>
  </si>
  <si>
    <t>Alberto Auad</t>
  </si>
  <si>
    <t>#6075</t>
  </si>
  <si>
    <t>Diego Cholca</t>
  </si>
  <si>
    <t>#6076</t>
  </si>
  <si>
    <t>2800:440:9623:e00:b18d:e71f:e031:4ef8</t>
  </si>
  <si>
    <t>Hugo Morales</t>
  </si>
  <si>
    <t>#6077</t>
  </si>
  <si>
    <t>2800:440:9614:6500:92f:6a40:61a5:e3fb</t>
  </si>
  <si>
    <t>Mariuxi Briones</t>
  </si>
  <si>
    <t>#6078</t>
  </si>
  <si>
    <t>2803:2540:84:0:832:f625:6c38:ee3c</t>
  </si>
  <si>
    <t>Andrés Cedeño</t>
  </si>
  <si>
    <t>#6079</t>
  </si>
  <si>
    <t>181.199.41.247</t>
  </si>
  <si>
    <t>Pablo lelis Olmedo olmedo</t>
  </si>
  <si>
    <t>#6080</t>
  </si>
  <si>
    <t>45.70.239.102</t>
  </si>
  <si>
    <t>Darwin Ramiro Ramón Gordillo</t>
  </si>
  <si>
    <t>#6081</t>
  </si>
  <si>
    <t>2803:ab10:4845:1b0:8065:ec1b:7a36:e3c0</t>
  </si>
  <si>
    <t>Patricio Guevara</t>
  </si>
  <si>
    <t>#6082</t>
  </si>
  <si>
    <t>2800:440:9854:b900:eb94:ddaf:a1b5:108f</t>
  </si>
  <si>
    <t>Sara Sarmiento</t>
  </si>
  <si>
    <t>#6083</t>
  </si>
  <si>
    <t>45.229.7.0</t>
  </si>
  <si>
    <t>Daniela Ontaneda correa</t>
  </si>
  <si>
    <t>#6084</t>
  </si>
  <si>
    <t>45.70.200.41</t>
  </si>
  <si>
    <t>Nancy serrano Serrano</t>
  </si>
  <si>
    <t>#6085</t>
  </si>
  <si>
    <t>191.100.243.62</t>
  </si>
  <si>
    <t>Mauricio Alberto Avila ullaure</t>
  </si>
  <si>
    <t>#6086</t>
  </si>
  <si>
    <t>2800:bf0:b08d:10e8:947f:fce7:22f0:98d0</t>
  </si>
  <si>
    <t>Miriam Elayne Vasquez</t>
  </si>
  <si>
    <t>#6087</t>
  </si>
  <si>
    <t>2800:440:9c5d:8400:2c3d:9b1a:a1ed:ffe6</t>
  </si>
  <si>
    <t>Francisco pico pico</t>
  </si>
  <si>
    <t>#6088</t>
  </si>
  <si>
    <t>191.99.24.133</t>
  </si>
  <si>
    <t>Guadalupe Terán</t>
  </si>
  <si>
    <t>#6089</t>
  </si>
  <si>
    <t>179.49.52.243</t>
  </si>
  <si>
    <t>Daniela Aguilar Aguilar Silva</t>
  </si>
  <si>
    <t>#6090</t>
  </si>
  <si>
    <t>2800:bf0:a460:fd0:c9f5:4147:3349:e88d</t>
  </si>
  <si>
    <t>Oscar David Alcívar pluas</t>
  </si>
  <si>
    <t>#6091</t>
  </si>
  <si>
    <t>186.70.170.135</t>
  </si>
  <si>
    <t>Alex Lara</t>
  </si>
  <si>
    <t>#6092</t>
  </si>
  <si>
    <t>190.63.65.136</t>
  </si>
  <si>
    <t>Carlos Martinez</t>
  </si>
  <si>
    <t>#6093</t>
  </si>
  <si>
    <t>190.63.96.203</t>
  </si>
  <si>
    <t xml:space="preserve">Maritza Chicaiza
</t>
  </si>
  <si>
    <t>#6094</t>
  </si>
  <si>
    <t xml:space="preserve">CA - PROCESO </t>
  </si>
  <si>
    <t>Aníbal Calderón R Calderón Rodríguez</t>
  </si>
  <si>
    <t>#6095</t>
  </si>
  <si>
    <t>45.161.33.120</t>
  </si>
  <si>
    <t>Diego Donoso</t>
  </si>
  <si>
    <t>#6096</t>
  </si>
  <si>
    <t xml:space="preserve">PENDIENMTE - SOLICITAR DIRECCION - 1MENSAJE </t>
  </si>
  <si>
    <t>2800:370:d1:3d80:6442:239a:4375:d4e6</t>
  </si>
  <si>
    <t>Sandra Portilla</t>
  </si>
  <si>
    <t>#6097</t>
  </si>
  <si>
    <t>179.51.137.146</t>
  </si>
  <si>
    <t>Diego Onate</t>
  </si>
  <si>
    <t>#6098</t>
  </si>
  <si>
    <t>190.12.21.194</t>
  </si>
  <si>
    <t>Ximena Burneo</t>
  </si>
  <si>
    <t>#6099</t>
  </si>
  <si>
    <t>181.39.134.189</t>
  </si>
  <si>
    <t>Joe Duran</t>
  </si>
  <si>
    <t>#6100</t>
  </si>
  <si>
    <t>157.100.89.55</t>
  </si>
  <si>
    <t>Richard Ortiz Vergara</t>
  </si>
  <si>
    <t>#6101</t>
  </si>
  <si>
    <t>157.100.120.52</t>
  </si>
  <si>
    <t>Luis Martinez Martinez</t>
  </si>
  <si>
    <t>#6102</t>
  </si>
  <si>
    <t>177.234.198.47</t>
  </si>
  <si>
    <t>Mauro pezo</t>
  </si>
  <si>
    <t>#6103</t>
  </si>
  <si>
    <t>2800:440:1425:a800:919a:fbc2:3f3a:f1b7</t>
  </si>
  <si>
    <t>Carlos Maldonado Ruiz</t>
  </si>
  <si>
    <t>#6104</t>
  </si>
  <si>
    <t>186.65.55.196</t>
  </si>
  <si>
    <t>Freddy Daniel Luzón Pérez</t>
  </si>
  <si>
    <t>#6105</t>
  </si>
  <si>
    <t>186.65.53.185</t>
  </si>
  <si>
    <t>Alex Patricio Castro Perez</t>
  </si>
  <si>
    <t>#6106</t>
  </si>
  <si>
    <t>2800:430:b382:e49f:1:0:8759:d476</t>
  </si>
  <si>
    <t>Adriana Sandoval</t>
  </si>
  <si>
    <t>#6107</t>
  </si>
  <si>
    <t>45.236.104.26</t>
  </si>
  <si>
    <t>Esteban Guerrero</t>
  </si>
  <si>
    <t>#6108</t>
  </si>
  <si>
    <t>2800:440:924b:4700:3440:b113:bbdb:4f5a</t>
  </si>
  <si>
    <t>Teresa Medina Rivera</t>
  </si>
  <si>
    <t>#6109</t>
  </si>
  <si>
    <t>2800:bf0:8267:353:120:c502:3760:b40b</t>
  </si>
  <si>
    <t>Héctor jdrovo</t>
  </si>
  <si>
    <t>#6110</t>
  </si>
  <si>
    <t xml:space="preserve">CANCELDO - FUERA DE ZONA PELIGRO </t>
  </si>
  <si>
    <t>181.78.207.186</t>
  </si>
  <si>
    <t>Edgar Borja</t>
  </si>
  <si>
    <t>#6111</t>
  </si>
  <si>
    <t xml:space="preserve">PENDIENTE - SOLICITAR DIRECCION - 1 MENAJE </t>
  </si>
  <si>
    <t>2800:bf0:4303:501d:e137:7d6f:4e83:b3b0</t>
  </si>
  <si>
    <t>Fernando Flores Morales</t>
  </si>
  <si>
    <t>#6112</t>
  </si>
  <si>
    <r>
      <rPr>
        <rFont val="Arial"/>
        <color theme="1"/>
        <sz val="11.0"/>
      </rPr>
      <t xml:space="preserve">PENDIENTE CONFIRMACION - 1 MENSAJE - </t>
    </r>
    <r>
      <rPr>
        <rFont val="Arial"/>
        <b/>
        <color theme="1"/>
        <sz val="11.0"/>
      </rPr>
      <t xml:space="preserve">20 FEBRERO - PROCESO </t>
    </r>
  </si>
  <si>
    <t>177.53.215.156</t>
  </si>
  <si>
    <t>Valeria Valladares</t>
  </si>
  <si>
    <t>#6113</t>
  </si>
  <si>
    <t>2803:a010:f929:6400:b439:27d1:51cb:b1ed</t>
  </si>
  <si>
    <t>Freddy Raúl Quijije Bravo</t>
  </si>
  <si>
    <t>#6114</t>
  </si>
  <si>
    <t>179.49.63.77</t>
  </si>
  <si>
    <t xml:space="preserve">Miguel Toapanta
</t>
  </si>
  <si>
    <t>#6115</t>
  </si>
  <si>
    <t xml:space="preserve">CA- PENDINETE SOLICITAR DIRECCION - 1 MENSAJE - FUERA COBERTURA </t>
  </si>
  <si>
    <t>Galo Chicaiza</t>
  </si>
  <si>
    <t>#6116</t>
  </si>
  <si>
    <t xml:space="preserve">PENDIENTE CONFIRMACION- NO TIENE WHATSAPP: 962042029 </t>
  </si>
  <si>
    <t>2800:440:1206:2300:eabf:3aaf:e724:3c03</t>
  </si>
  <si>
    <t>Germania Quevedo</t>
  </si>
  <si>
    <t>#6117</t>
  </si>
  <si>
    <t>38.44.110.33</t>
  </si>
  <si>
    <t>roberto barbera</t>
  </si>
  <si>
    <t>#6118</t>
  </si>
  <si>
    <t>190.109.120.12</t>
  </si>
  <si>
    <t>rghtrgffg tbhyujhtrbfdb</t>
  </si>
  <si>
    <t>#6119</t>
  </si>
  <si>
    <t>157.100.55.217</t>
  </si>
  <si>
    <t xml:space="preserve">Alex Urbano Estacio
</t>
  </si>
  <si>
    <t>#6120</t>
  </si>
  <si>
    <t xml:space="preserve">CA - PENDIENTE - SOLICITAR DIRECCION - 1 MENSAJE - PROCESO </t>
  </si>
  <si>
    <t>Carlos Oswaldo Zapata Zapata Endara</t>
  </si>
  <si>
    <t>#6121</t>
  </si>
  <si>
    <t>2800:440:9875:e300:9df3:9ac4:ec3d:22d3</t>
  </si>
  <si>
    <t>Noris Delgado</t>
  </si>
  <si>
    <t>#6122</t>
  </si>
  <si>
    <t>2800:bf0:8043:1072:6188:9843:8b4e:3c22</t>
  </si>
  <si>
    <t>#6123</t>
  </si>
  <si>
    <t>CA</t>
  </si>
  <si>
    <t>Douglas Henry Quiroz Metiga</t>
  </si>
  <si>
    <t>#6124</t>
  </si>
  <si>
    <t>59.153.44.171</t>
  </si>
  <si>
    <t>Juan Palomo</t>
  </si>
  <si>
    <t>#6125</t>
  </si>
  <si>
    <t>186.121.165.81</t>
  </si>
  <si>
    <t>Fxlz Lz</t>
  </si>
  <si>
    <t>#6126</t>
  </si>
  <si>
    <t>179.49.18.241</t>
  </si>
  <si>
    <t>Tanya Guicela Araujo Amador</t>
  </si>
  <si>
    <t>#6127</t>
  </si>
  <si>
    <t>179.51.143.199</t>
  </si>
  <si>
    <t>Lenin Casco</t>
  </si>
  <si>
    <t>#6128</t>
  </si>
  <si>
    <t>179.49.27.193</t>
  </si>
  <si>
    <t>Jefferson Alfonso Carchi Guaman</t>
  </si>
  <si>
    <t>#6129</t>
  </si>
  <si>
    <t>45.70.200.104</t>
  </si>
  <si>
    <t>Alex Alarcon</t>
  </si>
  <si>
    <t>#6130</t>
  </si>
  <si>
    <t>186.69.42.77</t>
  </si>
  <si>
    <t>Efren Maldonado</t>
  </si>
  <si>
    <t>#6131</t>
  </si>
  <si>
    <t>186.65.54.244</t>
  </si>
  <si>
    <t>Leonardo Murillo</t>
  </si>
  <si>
    <t>#6132</t>
  </si>
  <si>
    <t>2800:bf0:4581:cf34:89c:d893:b366:cbdb</t>
  </si>
  <si>
    <t>Juan cruz Lemos molina</t>
  </si>
  <si>
    <t>#6133</t>
  </si>
  <si>
    <t>181.199.62.175</t>
  </si>
  <si>
    <t>Jorge Males</t>
  </si>
  <si>
    <t>#6134</t>
  </si>
  <si>
    <t>190.57.186.10</t>
  </si>
  <si>
    <t>Mayra Lorena Shigla Yumaglla</t>
  </si>
  <si>
    <t>#6135</t>
  </si>
  <si>
    <t>45.71.200.168</t>
  </si>
  <si>
    <t>Raul Antonio Murillo loor</t>
  </si>
  <si>
    <t>#6136</t>
  </si>
  <si>
    <t>177.53.214.53</t>
  </si>
  <si>
    <t>Pedro Cornejo</t>
  </si>
  <si>
    <t>#6137</t>
  </si>
  <si>
    <t>2800:370:c2:98b0:2417:ad44:b4e0:b9f1</t>
  </si>
  <si>
    <t>Fabian Polit</t>
  </si>
  <si>
    <t>#6138</t>
  </si>
  <si>
    <t xml:space="preserve">PENDUENTE - PROCESO </t>
  </si>
  <si>
    <t>Eugenio Moreira</t>
  </si>
  <si>
    <t>#6139</t>
  </si>
  <si>
    <t xml:space="preserve">PENDIENTE - CANCELADO - CLIENTE SOLICITA </t>
  </si>
  <si>
    <t>45.171.163.90</t>
  </si>
  <si>
    <t>Daniel Valdez</t>
  </si>
  <si>
    <t>#6140</t>
  </si>
  <si>
    <t>2800:440:120a:1400:8e7:4be2:9869:4cae</t>
  </si>
  <si>
    <t>Antony smith García García</t>
  </si>
  <si>
    <t>#6141</t>
  </si>
  <si>
    <t>177.234.193.5</t>
  </si>
  <si>
    <t>Pablo Miñarcaja</t>
  </si>
  <si>
    <t>#6142</t>
  </si>
  <si>
    <t>181.198.46.222</t>
  </si>
  <si>
    <t>Diego Sacoto Arias</t>
  </si>
  <si>
    <t>#6143</t>
  </si>
  <si>
    <t xml:space="preserve">PENDIENTE - CONFIRMACION - 1 MENSAJE </t>
  </si>
  <si>
    <t>2800:bf0:91:fa3:107e:8ed9:fed8:cbd6</t>
  </si>
  <si>
    <t>WEBSTER Sellan</t>
  </si>
  <si>
    <t>#6144</t>
  </si>
  <si>
    <t>2800:440:182f:a900:9ad7:ef2e:890:d83e</t>
  </si>
  <si>
    <t>Edison Javier Macías Yanez</t>
  </si>
  <si>
    <t>#6145</t>
  </si>
  <si>
    <t>PENDIENTE - SOLICITAR DIRECCION - 1 MENSAJE</t>
  </si>
  <si>
    <t>Jose Lenin</t>
  </si>
  <si>
    <t>#6146</t>
  </si>
  <si>
    <t>164.163.48.15</t>
  </si>
  <si>
    <t>Irene Murillo Murillo</t>
  </si>
  <si>
    <t>#6147</t>
  </si>
  <si>
    <r>
      <rPr>
        <rFont val="Arial"/>
        <color theme="1"/>
        <sz val="11.0"/>
      </rPr>
      <t>PENDIENTE CONFIRMACION - 1 MENSAJE -</t>
    </r>
    <r>
      <rPr>
        <rFont val="Arial"/>
        <b/>
        <color theme="1"/>
        <sz val="17.0"/>
      </rPr>
      <t xml:space="preserve"> 20 FEBRERO </t>
    </r>
  </si>
  <si>
    <t>190.57.184.133</t>
  </si>
  <si>
    <t>Victor Dominguez</t>
  </si>
  <si>
    <t>#6148</t>
  </si>
  <si>
    <t>PENDIENTE - PROCESO</t>
  </si>
  <si>
    <t>38.44.234.186</t>
  </si>
  <si>
    <t>Milton Escobar chicaiza</t>
  </si>
  <si>
    <t>#6149</t>
  </si>
  <si>
    <t xml:space="preserve">PENDIENTE - CONFIRMACION - 1 MENSAJE - PROCESO </t>
  </si>
  <si>
    <t>2800:430:b386:1519:1:0:8bee:3a47</t>
  </si>
  <si>
    <t>Eduardo Soto</t>
  </si>
  <si>
    <t>#6150</t>
  </si>
  <si>
    <t>Magno Aviles Aviles</t>
  </si>
  <si>
    <t>#6151</t>
  </si>
  <si>
    <t>2800:bf0:8287:1152:15ed:7fbb:9b87:5221</t>
  </si>
  <si>
    <t>Rafael Troya N 5 Troya Herrera</t>
  </si>
  <si>
    <t>#6152</t>
  </si>
  <si>
    <t>2800:430:b207:17e6:1:0:30e:f349</t>
  </si>
  <si>
    <t>Marcelo Gudiño</t>
  </si>
  <si>
    <t>#6153</t>
  </si>
  <si>
    <t>186.42.18.3</t>
  </si>
  <si>
    <t>Jorge Mera</t>
  </si>
  <si>
    <t>#6154</t>
  </si>
  <si>
    <t>186.33.44.241</t>
  </si>
  <si>
    <t>Hugo Fiallos</t>
  </si>
  <si>
    <t>#6155</t>
  </si>
  <si>
    <t>157.100.134.17</t>
  </si>
  <si>
    <t>Luis Guacho</t>
  </si>
  <si>
    <t>#6156</t>
  </si>
  <si>
    <t>201.182.150.98</t>
  </si>
  <si>
    <t>Jorge Baldeon</t>
  </si>
  <si>
    <t>#6157</t>
  </si>
  <si>
    <t xml:space="preserve">PENDIENTE -SOLICITAR DIRECCION - 1 MENSAJE </t>
  </si>
  <si>
    <t>2800:4f0:56:6b00:c5bf:849d:d9c2:857b</t>
  </si>
  <si>
    <t>Juan Montenegro</t>
  </si>
  <si>
    <t>#6158</t>
  </si>
  <si>
    <t>186.3.211.78</t>
  </si>
  <si>
    <t xml:space="preserve">Felix collantes
</t>
  </si>
  <si>
    <t>#6159</t>
  </si>
  <si>
    <t>Teresita Barre</t>
  </si>
  <si>
    <t>#6160</t>
  </si>
  <si>
    <t>200.24.130.170</t>
  </si>
  <si>
    <t>Manuel Baez</t>
  </si>
  <si>
    <t>#6161</t>
  </si>
  <si>
    <t>2800:bf0:7e:1062:c162:ef46:8830:670d</t>
  </si>
  <si>
    <t>Nilgen Celia Pineda Montes</t>
  </si>
  <si>
    <t>#6162</t>
  </si>
  <si>
    <t xml:space="preserve">CANCELADO  - CLIENTE SOLICITA </t>
  </si>
  <si>
    <t>2803:a010:f945:9200:909d:55fc:108c:9db7</t>
  </si>
  <si>
    <t>Sebastian Saenz</t>
  </si>
  <si>
    <t>#6163</t>
  </si>
  <si>
    <t>181.199.58.217</t>
  </si>
  <si>
    <t>Luis Alberto Quishpe García</t>
  </si>
  <si>
    <t>#6164</t>
  </si>
  <si>
    <t>186.209.212.81</t>
  </si>
  <si>
    <t>lopez José</t>
  </si>
  <si>
    <t>#6165</t>
  </si>
  <si>
    <t>179.49.30.10</t>
  </si>
  <si>
    <t>José Luis</t>
  </si>
  <si>
    <t>#6166</t>
  </si>
  <si>
    <t>190.154.132.34</t>
  </si>
  <si>
    <t>Marcelo Yépez</t>
  </si>
  <si>
    <t>#6167</t>
  </si>
  <si>
    <t>186.4.151.236</t>
  </si>
  <si>
    <t>Yaneth carolina Chipre</t>
  </si>
  <si>
    <t>#6168</t>
  </si>
  <si>
    <t xml:space="preserve">CANCELACION - CLIENTE SOLICITA </t>
  </si>
  <si>
    <t>45.224.96.171</t>
  </si>
  <si>
    <t>Francisco Parodi</t>
  </si>
  <si>
    <t>#6169</t>
  </si>
  <si>
    <t>2800:bf0:8001:9cc:24d0:bc00:d7b2:bd22</t>
  </si>
  <si>
    <t>Luis Granda</t>
  </si>
  <si>
    <t>#6170</t>
  </si>
  <si>
    <t>190.57.151.196</t>
  </si>
  <si>
    <t>Fausto Ricardo Mendez Angamarca</t>
  </si>
  <si>
    <t>#6171</t>
  </si>
  <si>
    <t>Abel Montero</t>
  </si>
  <si>
    <t>#6172</t>
  </si>
  <si>
    <t>186.65.39.217</t>
  </si>
  <si>
    <t>Virginia Ortega</t>
  </si>
  <si>
    <t>#6173</t>
  </si>
  <si>
    <t>2800:440:183e:b700:991e:f58c:a5e9:a371</t>
  </si>
  <si>
    <t>Douglas Barona Lozada</t>
  </si>
  <si>
    <t>#6174</t>
  </si>
  <si>
    <t xml:space="preserve">PENDINTE - CONFIRMAR DIRECCION - 1MENSAJE - PROCESO </t>
  </si>
  <si>
    <t>186.42.10.101</t>
  </si>
  <si>
    <t>#6175</t>
  </si>
  <si>
    <t xml:space="preserve">CA - DUPLICADO #6174 </t>
  </si>
  <si>
    <t>Ivan Molina</t>
  </si>
  <si>
    <t>#6176</t>
  </si>
  <si>
    <t>186.65.20.144</t>
  </si>
  <si>
    <t>Luis Alberto Gualle Ibujes</t>
  </si>
  <si>
    <t>#6177</t>
  </si>
  <si>
    <t>2800:430:b38b:c796:1:0:8f26:cd5f</t>
  </si>
  <si>
    <t>Jasmanny Juela</t>
  </si>
  <si>
    <t>#6178</t>
  </si>
  <si>
    <t>Ray Davila</t>
  </si>
  <si>
    <t>#6179</t>
  </si>
  <si>
    <t>2800:bf0:3428:f58:f6b6:4924:858c:42e0</t>
  </si>
  <si>
    <t>leonardo mendoza mendoza</t>
  </si>
  <si>
    <t>#6180</t>
  </si>
  <si>
    <t>45.239.50.3</t>
  </si>
  <si>
    <t>Wilson Urquizo</t>
  </si>
  <si>
    <t>#6181</t>
  </si>
  <si>
    <t>2800:bf0:2204:f20:7825:da0d:3ed:cbbe</t>
  </si>
  <si>
    <t>Byron Duarte</t>
  </si>
  <si>
    <t>#6182</t>
  </si>
  <si>
    <t>200.85.80.14</t>
  </si>
  <si>
    <t>Tamy Chimbo</t>
  </si>
  <si>
    <t>#6183</t>
  </si>
  <si>
    <t>2800:2f0:116:9b00:7995:2cad:afd5:c5be</t>
  </si>
  <si>
    <t>Gabriela Mera Verduga</t>
  </si>
  <si>
    <t>#6184</t>
  </si>
  <si>
    <t>2800:430:b202:a604:4ef:abff:fe02:43af</t>
  </si>
  <si>
    <t xml:space="preserve">JORGE ENRIQUE CAICEDO HERNANDEZ
</t>
  </si>
  <si>
    <t>#6185</t>
  </si>
  <si>
    <t xml:space="preserve">CA - PENDIENTE - PROMOCION </t>
  </si>
  <si>
    <t>ADALBERTO JOSE GONZALEZ RODRIGUEZ</t>
  </si>
  <si>
    <t>#6186</t>
  </si>
  <si>
    <t>2800:440:9c58:9b00:76ec:77eb:d5bd:c19c</t>
  </si>
  <si>
    <t>Luis Hernández Hernández</t>
  </si>
  <si>
    <t>#6187</t>
  </si>
  <si>
    <t>181.78.192.55</t>
  </si>
  <si>
    <t>Nancy Cevallos</t>
  </si>
  <si>
    <t>#6188</t>
  </si>
  <si>
    <t>2800:430:b38d:7dfd:1:0:91da:45c1</t>
  </si>
  <si>
    <t>Carlos Torres Betancourt</t>
  </si>
  <si>
    <t>#6189</t>
  </si>
  <si>
    <t>2800:430:120d:57ef:80c0:880e:17b:5a30</t>
  </si>
  <si>
    <t>Hector Paredes burbano</t>
  </si>
  <si>
    <t>#6190</t>
  </si>
  <si>
    <t>Delfín Ruiz</t>
  </si>
  <si>
    <t>#6191</t>
  </si>
  <si>
    <t>157.100.199.45</t>
  </si>
  <si>
    <t>Diego Vaca</t>
  </si>
  <si>
    <t>#6192</t>
  </si>
  <si>
    <t>186.71.80.228</t>
  </si>
  <si>
    <t>Jader Julian Villamil vargas</t>
  </si>
  <si>
    <t>#6193</t>
  </si>
  <si>
    <t>Katherinne Belén Zamora Andrade</t>
  </si>
  <si>
    <t>#6194</t>
  </si>
  <si>
    <t>170.244.209.26</t>
  </si>
  <si>
    <t>Luis Ayala</t>
  </si>
  <si>
    <t>#6195</t>
  </si>
  <si>
    <t>45.71.37.133</t>
  </si>
  <si>
    <t>Juan Castro</t>
  </si>
  <si>
    <t>#6196</t>
  </si>
  <si>
    <t>190.154.93.209</t>
  </si>
  <si>
    <t>Victor Remache</t>
  </si>
  <si>
    <t>#6197</t>
  </si>
  <si>
    <t>200.7.235.73</t>
  </si>
  <si>
    <t>Silvia Eugenia solorzano Zambrano</t>
  </si>
  <si>
    <t>#6198</t>
  </si>
  <si>
    <t>Margarita Zapata</t>
  </si>
  <si>
    <t>#6199</t>
  </si>
  <si>
    <t>2800:bf0:3409:11a6:f4b9:c40a:ab74:b04a</t>
  </si>
  <si>
    <t>Galo Rosero Rosero</t>
  </si>
  <si>
    <t>#6200</t>
  </si>
  <si>
    <t xml:space="preserve">PENDIENTE CONFIRMACION - 1 MENSAJE - UERA DE COBERTURA </t>
  </si>
  <si>
    <t>181.119.97.26</t>
  </si>
  <si>
    <t>Karla Zorrilla</t>
  </si>
  <si>
    <t>#6201</t>
  </si>
  <si>
    <t>210.211.57.36</t>
  </si>
  <si>
    <t>Carlos Álava</t>
  </si>
  <si>
    <t>#6202</t>
  </si>
  <si>
    <t>2800:440:983b:5c00:2941:26d6:df39:94e9</t>
  </si>
  <si>
    <t>Jose Cartagena</t>
  </si>
  <si>
    <t>#6203</t>
  </si>
  <si>
    <t>181.78.198.178</t>
  </si>
  <si>
    <t>Miguel Garcia</t>
  </si>
  <si>
    <t>#6204</t>
  </si>
  <si>
    <t>200.63.104.119</t>
  </si>
  <si>
    <t>Jefferson Valverde</t>
  </si>
  <si>
    <t>#6205</t>
  </si>
  <si>
    <t>2803:a010:f911:8e00:18ae:110c:d0b0:2721</t>
  </si>
  <si>
    <t>Diana Fabiola Avila Cordova Ávila Cordova</t>
  </si>
  <si>
    <t>#6206</t>
  </si>
  <si>
    <t>2800:bf0:ac23:27:f6e7:e3f3:46e3:e9da</t>
  </si>
  <si>
    <t>Myriam jaguaco</t>
  </si>
  <si>
    <t>#6207</t>
  </si>
  <si>
    <t>45.236.105.58</t>
  </si>
  <si>
    <t>Jessica Misquero</t>
  </si>
  <si>
    <t>#6208</t>
  </si>
  <si>
    <t>2803:87e0:c00b:1789:8d1e:6380:e732:97a2</t>
  </si>
  <si>
    <t>Juan Rivas</t>
  </si>
  <si>
    <t>#6209</t>
  </si>
  <si>
    <t>2800:bf0:b820:f9e:2ccd:844e:9a9:e338</t>
  </si>
  <si>
    <t>Elías Isaac Constantine</t>
  </si>
  <si>
    <t>#6210</t>
  </si>
  <si>
    <t>200.24.213.71</t>
  </si>
  <si>
    <t>David Tutasig</t>
  </si>
  <si>
    <t>#6211</t>
  </si>
  <si>
    <t>Luis Noteno</t>
  </si>
  <si>
    <t>#6212</t>
  </si>
  <si>
    <t>38.44.111.68</t>
  </si>
  <si>
    <t>Catherine Rivera</t>
  </si>
  <si>
    <t>#6213</t>
  </si>
  <si>
    <t>186.71.117.181</t>
  </si>
  <si>
    <t>Jeni Tamay</t>
  </si>
  <si>
    <t>#6214</t>
  </si>
  <si>
    <t>186.43.192.201</t>
  </si>
  <si>
    <t>roberto zea</t>
  </si>
  <si>
    <t>#6215</t>
  </si>
  <si>
    <t>PENDIENTE CONFIRMACION - NO TIENE  WHATSAPP :  996055655</t>
  </si>
  <si>
    <t>181.199.58.184</t>
  </si>
  <si>
    <t>Pedro sisney Marcillo Pisco</t>
  </si>
  <si>
    <t>#6216</t>
  </si>
  <si>
    <t>27.50.12.181</t>
  </si>
  <si>
    <t>#6217</t>
  </si>
  <si>
    <t xml:space="preserve">DUPLICADO #6216 </t>
  </si>
  <si>
    <t>María Belén Noboa Reyes</t>
  </si>
  <si>
    <t>#6218</t>
  </si>
  <si>
    <t>2800:bf0:8c:41:4d83:9497:c2b2:dca7</t>
  </si>
  <si>
    <t>Magus Yutillo</t>
  </si>
  <si>
    <t>#6219</t>
  </si>
  <si>
    <t>2800:bf0:106:da5:5032:c9cc:4fe1:a62</t>
  </si>
  <si>
    <t>Victoria sarmiento</t>
  </si>
  <si>
    <t>#6220</t>
  </si>
  <si>
    <t>200.24.157.92</t>
  </si>
  <si>
    <t>Dixon Mina</t>
  </si>
  <si>
    <t>#6221</t>
  </si>
  <si>
    <t>190.63.238.70</t>
  </si>
  <si>
    <t>Jorge Escandon</t>
  </si>
  <si>
    <t>#6222</t>
  </si>
  <si>
    <t>2800:430:138b:7049:1:0:97bd:3f44</t>
  </si>
  <si>
    <t>Jose gomez Gomez</t>
  </si>
  <si>
    <t>#6223</t>
  </si>
  <si>
    <t xml:space="preserve">PENDIENTE CONFIRMACION - 1MENSAJE - </t>
  </si>
  <si>
    <t>2800:bf0:a829:2001:e6b0:48d7:5df7:88d5</t>
  </si>
  <si>
    <t>GUSTAVO REVELO</t>
  </si>
  <si>
    <t>#6224</t>
  </si>
  <si>
    <t>181.196.14.112</t>
  </si>
  <si>
    <t>Cristian León</t>
  </si>
  <si>
    <t>#6225</t>
  </si>
  <si>
    <t xml:space="preserve">PENDIENTE  CONFIRMACION - 1 MENSAJE </t>
  </si>
  <si>
    <t>2800:430:1203:1340:1:0:341e:aec7</t>
  </si>
  <si>
    <t>Edison Cobos</t>
  </si>
  <si>
    <t>#6226</t>
  </si>
  <si>
    <t>45.71.185.133</t>
  </si>
  <si>
    <t>JOSE BRAVO</t>
  </si>
  <si>
    <t>#6227</t>
  </si>
  <si>
    <t xml:space="preserve">CANCELAR - CLIENTE SOLICITA </t>
  </si>
  <si>
    <t>45.164.67.36</t>
  </si>
  <si>
    <t>Eudelia Plua</t>
  </si>
  <si>
    <t>#6228</t>
  </si>
  <si>
    <t>191.99.16.22</t>
  </si>
  <si>
    <t>Lorenzo Salomon Trejo Macias</t>
  </si>
  <si>
    <t>#6229</t>
  </si>
  <si>
    <t>45.235.15.13</t>
  </si>
  <si>
    <t>Maria Neli Mina Velasco</t>
  </si>
  <si>
    <t>#6230</t>
  </si>
  <si>
    <t>190.11.3.129</t>
  </si>
  <si>
    <t>José Luis Navarrete</t>
  </si>
  <si>
    <t>#6231</t>
  </si>
  <si>
    <t>2800:430:1388:2e0b:1:0:9c4a:ad8</t>
  </si>
  <si>
    <t>Luis E Caisapanta F</t>
  </si>
  <si>
    <t>#6232</t>
  </si>
  <si>
    <t>Paty Corrales</t>
  </si>
  <si>
    <t>#6233</t>
  </si>
  <si>
    <t>2800:430:b20e:dd72:1:0:15f9:1c06</t>
  </si>
  <si>
    <t>Alodia Jhony Encarnación Girón</t>
  </si>
  <si>
    <t>#6234</t>
  </si>
  <si>
    <t>Victor Martinez</t>
  </si>
  <si>
    <t>#6235</t>
  </si>
  <si>
    <t>186.65.55.105</t>
  </si>
  <si>
    <t>Fabricio Cusme</t>
  </si>
  <si>
    <t>#6236</t>
  </si>
  <si>
    <t>Ivan Pulles</t>
  </si>
  <si>
    <t>#6237</t>
  </si>
  <si>
    <t>190.57.186.138</t>
  </si>
  <si>
    <t>freddy saraguro</t>
  </si>
  <si>
    <t>#6238</t>
  </si>
  <si>
    <t>186.70.90.164</t>
  </si>
  <si>
    <t>Manuel Cabrera</t>
  </si>
  <si>
    <t>#6239</t>
  </si>
  <si>
    <t>200.50.234.15</t>
  </si>
  <si>
    <t>Gloria Velasco Velasco</t>
  </si>
  <si>
    <t>#6240</t>
  </si>
  <si>
    <t xml:space="preserve">PENDIENTE - SOLICITAR DIRECCION - CLIENTE SOLICITA LA CANCELACION </t>
  </si>
  <si>
    <t>2800:430:b203:949d:1:0:15c4:deb6</t>
  </si>
  <si>
    <t>Ricardo Morocho</t>
  </si>
  <si>
    <t>#6241</t>
  </si>
  <si>
    <t>177.234.211.34</t>
  </si>
  <si>
    <t>Luis Mendez</t>
  </si>
  <si>
    <t>#6242</t>
  </si>
  <si>
    <t>2800:bf0:a804:e2a:80ec:ea51:6c04:ca39</t>
  </si>
  <si>
    <t>Elsa Bautista villacis</t>
  </si>
  <si>
    <t>#6243</t>
  </si>
  <si>
    <t>186.47.139.74</t>
  </si>
  <si>
    <t>Ricardo velez</t>
  </si>
  <si>
    <t>#6244</t>
  </si>
  <si>
    <t>191.99.52.120</t>
  </si>
  <si>
    <t>Nataly Monar</t>
  </si>
  <si>
    <t>#6245</t>
  </si>
  <si>
    <t>2800:bf0:2412:124f:789:4b74:26c:bd0f</t>
  </si>
  <si>
    <t>Marcelo Angulo</t>
  </si>
  <si>
    <t>#6246</t>
  </si>
  <si>
    <t>2800:440:1465:1d00:e388:5170:81d0:9f0</t>
  </si>
  <si>
    <t>Patricio Antamba</t>
  </si>
  <si>
    <t>#6247</t>
  </si>
  <si>
    <t>2800:bf0:4580:3090:212f:3cf1:3b4d:8856</t>
  </si>
  <si>
    <t>Jorge benjamin Rojas</t>
  </si>
  <si>
    <t>#6248</t>
  </si>
  <si>
    <t>Edgar Correa</t>
  </si>
  <si>
    <t>#6249</t>
  </si>
  <si>
    <t>186.3.34.248</t>
  </si>
  <si>
    <t>Rodrigo Armas</t>
  </si>
  <si>
    <t>#6250</t>
  </si>
  <si>
    <t>Carlos Cevallos</t>
  </si>
  <si>
    <t>#6251</t>
  </si>
  <si>
    <t>2800:430:b383:8e46:1:0:9c5c:85cc</t>
  </si>
  <si>
    <t>Fernando Feijóo</t>
  </si>
  <si>
    <t>#6252</t>
  </si>
  <si>
    <t>190.63.241.123</t>
  </si>
  <si>
    <t>Esteban Antamba</t>
  </si>
  <si>
    <t>#6253</t>
  </si>
  <si>
    <t>181.78.204.133</t>
  </si>
  <si>
    <t>Fulton Ivan Avila Alulema</t>
  </si>
  <si>
    <t>#6254</t>
  </si>
  <si>
    <t>181.199.61.10</t>
  </si>
  <si>
    <t>Jaime Farfan</t>
  </si>
  <si>
    <t>#6255</t>
  </si>
  <si>
    <t>2803:1f60:500:16:3408:5d43:625f:679a</t>
  </si>
  <si>
    <t>Lila Chabla</t>
  </si>
  <si>
    <t>#6256</t>
  </si>
  <si>
    <t>190.154.10.245</t>
  </si>
  <si>
    <t>Carlos Moreno Moreno</t>
  </si>
  <si>
    <t>#6257</t>
  </si>
  <si>
    <t>2800:bf0:2829:111e:1bce:c4bb:9931:4eec</t>
  </si>
  <si>
    <t>Mario Monta</t>
  </si>
  <si>
    <t>#6258</t>
  </si>
  <si>
    <t>186.33.44.247</t>
  </si>
  <si>
    <t>Jose Luis Ortega</t>
  </si>
  <si>
    <t>#6259</t>
  </si>
  <si>
    <t>45.70.15.122</t>
  </si>
  <si>
    <t>Angel Taday</t>
  </si>
  <si>
    <t>#6260</t>
  </si>
  <si>
    <t>José Dumes</t>
  </si>
  <si>
    <t>#6261</t>
  </si>
  <si>
    <t xml:space="preserve">PENDIENTE CONFIRMACION- 1 MENSAJE </t>
  </si>
  <si>
    <t>200.24.139.37</t>
  </si>
  <si>
    <t>Xavier Valladarez</t>
  </si>
  <si>
    <t>#6262</t>
  </si>
  <si>
    <t>2800:4f0:50c:46c0:5a44:2819:49f6:8687</t>
  </si>
  <si>
    <t>Wilfrido washington Garcia martinez</t>
  </si>
  <si>
    <t>#6263</t>
  </si>
  <si>
    <t>186.65.55.180</t>
  </si>
  <si>
    <t>Edwin Palacios</t>
  </si>
  <si>
    <t>#6264</t>
  </si>
  <si>
    <t>2800:bf0:4580:5363:284f:a31f:150f:a42a</t>
  </si>
  <si>
    <t>Wilson Hernan Macias Bravo</t>
  </si>
  <si>
    <t>#6265</t>
  </si>
  <si>
    <t>200.85.83.117</t>
  </si>
  <si>
    <t>Jimmy Javier Rivadeneira Mera</t>
  </si>
  <si>
    <t>#6266</t>
  </si>
  <si>
    <t xml:space="preserve">PENDIENTE CONDIRMACION- 1 MENSAJE </t>
  </si>
  <si>
    <t>190.63.115.236</t>
  </si>
  <si>
    <t>Alexis Tubon</t>
  </si>
  <si>
    <t>#6267</t>
  </si>
  <si>
    <t>2800:430:1215:e094:f0f4:83ff:fe00:d9b</t>
  </si>
  <si>
    <t>David Sebastián Luna Erraez</t>
  </si>
  <si>
    <t>#6268</t>
  </si>
  <si>
    <t>2800:430:1200:4265:1:0:4668:3a83</t>
  </si>
  <si>
    <t>#6269</t>
  </si>
  <si>
    <t xml:space="preserve">CANCELADO - CLIENTE CON DEVOLUCIONES ANTERIOES </t>
  </si>
  <si>
    <t>2800:430:b204:a18c:1:0:2017:ce68</t>
  </si>
  <si>
    <t>Norma Miranda</t>
  </si>
  <si>
    <t>#6270</t>
  </si>
  <si>
    <t>#6271</t>
  </si>
  <si>
    <t xml:space="preserve">CANCELADO - MALA CALIFICACION </t>
  </si>
  <si>
    <t>190.63.237.15</t>
  </si>
  <si>
    <t>Lourdes García</t>
  </si>
  <si>
    <t>#6272</t>
  </si>
  <si>
    <t>Jose Moreira</t>
  </si>
  <si>
    <t>#6273</t>
  </si>
  <si>
    <t>179.49.27.207</t>
  </si>
  <si>
    <t>Juana María Contreras</t>
  </si>
  <si>
    <t>#6274</t>
  </si>
  <si>
    <t>Marlene Ponce</t>
  </si>
  <si>
    <t>#6275</t>
  </si>
  <si>
    <t>2800:430:b20f:370f:c436:143d:5308:cd44</t>
  </si>
  <si>
    <t>Cinthya Rosero</t>
  </si>
  <si>
    <t>#6276</t>
  </si>
  <si>
    <t>Jaime Hurtado</t>
  </si>
  <si>
    <t>#6277</t>
  </si>
  <si>
    <t>186.70.78.157</t>
  </si>
  <si>
    <t>Lina Espin Espin</t>
  </si>
  <si>
    <t>#6278</t>
  </si>
  <si>
    <t>186.65.20.182</t>
  </si>
  <si>
    <t>Mauricio Correa</t>
  </si>
  <si>
    <t>#6279</t>
  </si>
  <si>
    <t>2800:bf0:10e:ec6:812f:5f5c:4bb8:eb65</t>
  </si>
  <si>
    <t>Jorge Benites</t>
  </si>
  <si>
    <t>#6280</t>
  </si>
  <si>
    <t>PENDIENTE CONFIRMACION  - 1MENSA</t>
  </si>
  <si>
    <t>Willy Almeida Espinoza Almeida</t>
  </si>
  <si>
    <t>#6281</t>
  </si>
  <si>
    <t>181.78.202.26</t>
  </si>
  <si>
    <t>Wllian Jurado</t>
  </si>
  <si>
    <t>#6282</t>
  </si>
  <si>
    <t>Paul Montaño Montaño Casanova</t>
  </si>
  <si>
    <t>#6283</t>
  </si>
  <si>
    <t>2800:bf0:280c:1004:c437:320b:26d2:63c6</t>
  </si>
  <si>
    <t>Walter Ivan Avila Demera</t>
  </si>
  <si>
    <t>#6284</t>
  </si>
  <si>
    <t>45.224.23.116</t>
  </si>
  <si>
    <t>Nazati Manuel</t>
  </si>
  <si>
    <t>#6285</t>
  </si>
  <si>
    <t>2800:430:b209:9ede:b4e9:eaff:fe1c:ad52</t>
  </si>
  <si>
    <t>Mayra Castillo</t>
  </si>
  <si>
    <t>#6286</t>
  </si>
  <si>
    <t>201.182.87.50</t>
  </si>
  <si>
    <t>Luis Eduardo Rodriguez</t>
  </si>
  <si>
    <t>#6287</t>
  </si>
  <si>
    <t>Julieta Veliz</t>
  </si>
  <si>
    <t>#6288</t>
  </si>
  <si>
    <t>45.230.243.55</t>
  </si>
  <si>
    <t>Eddye reyes</t>
  </si>
  <si>
    <t>#6289</t>
  </si>
  <si>
    <t>2800:5f0:1520:2e1:e5eb:d0cf:466b:301</t>
  </si>
  <si>
    <t>Jose Vicente Guaraca José guaraca</t>
  </si>
  <si>
    <t>#6290</t>
  </si>
  <si>
    <t>2800:430:b389:5276:1:0:b0db:2791</t>
  </si>
  <si>
    <t>Fernando Caiza</t>
  </si>
  <si>
    <t>#6291</t>
  </si>
  <si>
    <t xml:space="preserve">PENDIENTE - CANCELAR , SOLICITA  CLTE </t>
  </si>
  <si>
    <t>2800:bf0:2c06:11eb:ac27:96bb:9163:58c2</t>
  </si>
  <si>
    <t xml:space="preserve">Ramón Florencio Saldaña González
</t>
  </si>
  <si>
    <t>#6292</t>
  </si>
  <si>
    <t>Kléber Valencia</t>
  </si>
  <si>
    <t>#6293</t>
  </si>
  <si>
    <t>2800:370:ca:be60:4706:8aa3:7d02:d038</t>
  </si>
  <si>
    <t>José Víctor Castro</t>
  </si>
  <si>
    <t>#6294</t>
  </si>
  <si>
    <t>2800:bf0:2a8:1111:e8c8:cecc:fc6b:9ac8</t>
  </si>
  <si>
    <t>Paul Carrera</t>
  </si>
  <si>
    <t>#6295</t>
  </si>
  <si>
    <t>2800:430:b20b:6c48:1:0:159e:2057</t>
  </si>
  <si>
    <t>Angel MONTALVAN</t>
  </si>
  <si>
    <t>#6296</t>
  </si>
  <si>
    <t>2800:430:b206:4cf8:1:0:2adc:62eb</t>
  </si>
  <si>
    <t>Freddy Aroca Zurita</t>
  </si>
  <si>
    <t>#6297</t>
  </si>
  <si>
    <t>179.60.189.248</t>
  </si>
  <si>
    <t>Hiter Zambrano</t>
  </si>
  <si>
    <t>#6298</t>
  </si>
  <si>
    <t>2800:bf0:8270:1056:f8a0:7e57:8ab6:df67</t>
  </si>
  <si>
    <t>Gustavo Mora Venner</t>
  </si>
  <si>
    <t>#6299</t>
  </si>
  <si>
    <t>2800:bf0:4580:4772:4cf8:2aba:6fa8:af98</t>
  </si>
  <si>
    <t>Jose Montece</t>
  </si>
  <si>
    <t>#6300</t>
  </si>
  <si>
    <t>131.196.62.8</t>
  </si>
  <si>
    <t>Juan Pereira</t>
  </si>
  <si>
    <t>#6301</t>
  </si>
  <si>
    <t xml:space="preserve">PENDIENTE CONFIRMACION - NO TIENE WHATSAPP : 995625480 </t>
  </si>
  <si>
    <t>2800:bf0:aa:f1e:72a3:8cfc:80fa:939e</t>
  </si>
  <si>
    <t>Kimen Barrio</t>
  </si>
  <si>
    <t>#6302</t>
  </si>
  <si>
    <t xml:space="preserve">PENDIENTE- PROCESO </t>
  </si>
  <si>
    <t>200.7.235.14</t>
  </si>
  <si>
    <t>Mario david Suárez posligua</t>
  </si>
  <si>
    <t>#6303</t>
  </si>
  <si>
    <t>2800:bf0:3780:108e:c9b4:530e:4782:ef4e</t>
  </si>
  <si>
    <t>Francisca Parrales</t>
  </si>
  <si>
    <t>#6304</t>
  </si>
  <si>
    <t>200.24.154.202</t>
  </si>
  <si>
    <t>Alvaro Cobos</t>
  </si>
  <si>
    <t>#6305</t>
  </si>
  <si>
    <t>177.234.230.4</t>
  </si>
  <si>
    <t>Maximo Salas</t>
  </si>
  <si>
    <t>#6306</t>
  </si>
  <si>
    <t>157.100.113.59</t>
  </si>
  <si>
    <t>Angel Acosta</t>
  </si>
  <si>
    <t>#6307</t>
  </si>
  <si>
    <t>190.63.241.10</t>
  </si>
  <si>
    <t>#6308</t>
  </si>
  <si>
    <t>2800:430:1212:1958:1:0:53dd:130c</t>
  </si>
  <si>
    <t>Javier Simba</t>
  </si>
  <si>
    <t>#6309</t>
  </si>
  <si>
    <t>45.239.49.182</t>
  </si>
  <si>
    <t>Juan Ramón Gavilanes</t>
  </si>
  <si>
    <t>#6310</t>
  </si>
  <si>
    <t>190.155.62.93</t>
  </si>
  <si>
    <t>Luis Eduardo Valencia Acosta</t>
  </si>
  <si>
    <t>#6311</t>
  </si>
  <si>
    <t>200.85.80.145</t>
  </si>
  <si>
    <t>Miguel Rodrigo Jaramillo</t>
  </si>
  <si>
    <t>#6312</t>
  </si>
  <si>
    <t>186.65.55.13</t>
  </si>
  <si>
    <t>Manuel Ortiz</t>
  </si>
  <si>
    <t>#6313</t>
  </si>
  <si>
    <t xml:space="preserve">PENDIENTE SOLICITAR DIRECCION - PROCESO </t>
  </si>
  <si>
    <t>2800:430:1393:1266:c7b:a1b4:f7f5:4199</t>
  </si>
  <si>
    <t>Adrián Alarcón</t>
  </si>
  <si>
    <t>#6314</t>
  </si>
  <si>
    <t>2800:440:1434:f400:f565:e2fa:aed8:c303</t>
  </si>
  <si>
    <t>Gabriel Gallo Cifuentes</t>
  </si>
  <si>
    <t>#6315</t>
  </si>
  <si>
    <t>2800:440:9a14:8900:b548:4b14:e233:a5d6</t>
  </si>
  <si>
    <t>Bolivar Mena</t>
  </si>
  <si>
    <t>#6316</t>
  </si>
  <si>
    <t>2800:bf0:be41:218e:f856:b6d7:972f:3db2</t>
  </si>
  <si>
    <t>Carlos Alberto Ponce Jimènez</t>
  </si>
  <si>
    <t>#6317</t>
  </si>
  <si>
    <t xml:space="preserve">PENDIENTE CONFIRMMACION - 1 MENSAJE </t>
  </si>
  <si>
    <t>2800:370:135:c940:1424:269c:adb7:b5cb</t>
  </si>
  <si>
    <t>Yesenia Medina</t>
  </si>
  <si>
    <t>#6318</t>
  </si>
  <si>
    <t xml:space="preserve">PENDIENTE CONFIRMMACION - 1 MENSAJE - CANCELADO - FUERA DE COBERTURA </t>
  </si>
  <si>
    <t>157.100.65.31</t>
  </si>
  <si>
    <t>Pablo segundo Cavezas</t>
  </si>
  <si>
    <t>#6319</t>
  </si>
  <si>
    <t xml:space="preserve">PENDIENTE CONFIRMMACION - PROCESO </t>
  </si>
  <si>
    <t>Juan Chusin</t>
  </si>
  <si>
    <t>#6320</t>
  </si>
  <si>
    <t>193.30.14.124</t>
  </si>
  <si>
    <t>Francisco Venegas</t>
  </si>
  <si>
    <t>#6321</t>
  </si>
  <si>
    <t>177.234.213.62</t>
  </si>
  <si>
    <t>ÁNGEL PACHECO CUEVA</t>
  </si>
  <si>
    <t>#6322</t>
  </si>
  <si>
    <t>179.60.191.88</t>
  </si>
  <si>
    <t>Araveya Mendoza C. Mendoza</t>
  </si>
  <si>
    <t>#6323</t>
  </si>
  <si>
    <t>2800:440:9608:ec00:6ffa:22ce:87d1:3651</t>
  </si>
  <si>
    <t>Luis Felipe Armijos Carpio</t>
  </si>
  <si>
    <t>#6324</t>
  </si>
  <si>
    <t>PENDIENTE CONFIRMMACION - 1 MENSAJE -</t>
  </si>
  <si>
    <t>2800:430:1393:7f5a:1:0:cb5a:6df</t>
  </si>
  <si>
    <t>neicer reasco</t>
  </si>
  <si>
    <t>#6325</t>
  </si>
  <si>
    <t xml:space="preserve">PENDIENTE CONFIRMMACION - 1 MENSAJE - PROCESO </t>
  </si>
  <si>
    <t>2800:bf0:4581:f1fb:d175:241:6bf1:988b</t>
  </si>
  <si>
    <t>Marisol Tuba</t>
  </si>
  <si>
    <t>#6326</t>
  </si>
  <si>
    <t>PENDIENTE - SOLICITAR DIRECCION - 1 MENSAJE - PROCESO</t>
  </si>
  <si>
    <t>2800:430:120e:2693:babf:fc70:2573:612b</t>
  </si>
  <si>
    <t>Hipólito Jiménez reyes</t>
  </si>
  <si>
    <t>#6327</t>
  </si>
  <si>
    <t>179.49.19.103</t>
  </si>
  <si>
    <t>Efren Arnoldo Macas Román</t>
  </si>
  <si>
    <t>#6328</t>
  </si>
  <si>
    <t>Leo Riofrio</t>
  </si>
  <si>
    <t>#6329</t>
  </si>
  <si>
    <t>2800:4f0:507:1d70:4c2e:22c8:8df5:b13f</t>
  </si>
  <si>
    <t>Ab. Francisco Sandoval</t>
  </si>
  <si>
    <t>#6330</t>
  </si>
  <si>
    <t>Rafael Herrera</t>
  </si>
  <si>
    <t>#6331</t>
  </si>
  <si>
    <t>2800:430:1394:2baa:34a0:76ff:fe5c:e698</t>
  </si>
  <si>
    <t>Carlos Munoz</t>
  </si>
  <si>
    <t>#6332</t>
  </si>
  <si>
    <t>186.66.185.87</t>
  </si>
  <si>
    <t>#6333</t>
  </si>
  <si>
    <t>Armando Alvarado</t>
  </si>
  <si>
    <t>#6334</t>
  </si>
  <si>
    <t>2800:440:1676:5c00:5b76:a875:c6b3:b4aa</t>
  </si>
  <si>
    <t>Mauricio Almeida</t>
  </si>
  <si>
    <t>#6335</t>
  </si>
  <si>
    <t>185.181.33.21</t>
  </si>
  <si>
    <t>Jorge Farez</t>
  </si>
  <si>
    <t>#6336</t>
  </si>
  <si>
    <t>2803:87e0:c000:454d:8d49:e2fa:c66f:ad6f</t>
  </si>
  <si>
    <t>Leydy Malagon</t>
  </si>
  <si>
    <t>#6337</t>
  </si>
  <si>
    <t>131.196.14.108</t>
  </si>
  <si>
    <t>Ramón Cardenas</t>
  </si>
  <si>
    <t>#6338</t>
  </si>
  <si>
    <t>181.199.42.171</t>
  </si>
  <si>
    <t>Alexandra Sánchez</t>
  </si>
  <si>
    <t>#6339</t>
  </si>
  <si>
    <t>157.100.89.163</t>
  </si>
  <si>
    <t>Patricia Juris</t>
  </si>
  <si>
    <t>#6340</t>
  </si>
  <si>
    <t>Edison Chipantiza</t>
  </si>
  <si>
    <t>#6341</t>
  </si>
  <si>
    <t>2800:440:981d:700:2f32:7188:2761:dae1</t>
  </si>
  <si>
    <t>Sergio Enrique</t>
  </si>
  <si>
    <t>#6342</t>
  </si>
  <si>
    <t>2800:430:1200:e563:1:0:5f1a:7917</t>
  </si>
  <si>
    <t>Carlos Cherres Quiroz</t>
  </si>
  <si>
    <t>#6343</t>
  </si>
  <si>
    <t>SHAOHUI QIU</t>
  </si>
  <si>
    <t>#6344</t>
  </si>
  <si>
    <t>Edison Sanmartin Ortega Sanmartin</t>
  </si>
  <si>
    <t>#6345</t>
  </si>
  <si>
    <t>45.173.230.75</t>
  </si>
  <si>
    <t>Luis Amilcar Mármol</t>
  </si>
  <si>
    <t>#6346</t>
  </si>
  <si>
    <t>Reyna Palomeque</t>
  </si>
  <si>
    <t>#6347</t>
  </si>
  <si>
    <t>201.182.87.170</t>
  </si>
  <si>
    <t>Limber Tayron Moreira veliz</t>
  </si>
  <si>
    <t>#6348</t>
  </si>
  <si>
    <t xml:space="preserve">PENDIENTE CONFIRMACION * - PROCESO </t>
  </si>
  <si>
    <t>2800:bf0:8104:2047:b386:7b94:7ae0:c8db</t>
  </si>
  <si>
    <t>Edgar Raúl Arguero Arguero</t>
  </si>
  <si>
    <t>#6349</t>
  </si>
  <si>
    <t>2800:370:d1:8640:1188:d8fe:e835:7209</t>
  </si>
  <si>
    <t>Miguel Ángel Torres</t>
  </si>
  <si>
    <t>#6350</t>
  </si>
  <si>
    <t>179.51.143.208</t>
  </si>
  <si>
    <t>Lisbeth Paredes</t>
  </si>
  <si>
    <t>#6351</t>
  </si>
  <si>
    <t xml:space="preserve">PENDIENTE -  PENDIENTE CONFIRMACION * - PROCESO </t>
  </si>
  <si>
    <t>181.199.58.20</t>
  </si>
  <si>
    <t>Nelson Darwin León González</t>
  </si>
  <si>
    <t>#6352</t>
  </si>
  <si>
    <t xml:space="preserve">PENDIENTE CONFIRMACION * </t>
  </si>
  <si>
    <t>190.83.12.250</t>
  </si>
  <si>
    <t>Juan Jara</t>
  </si>
  <si>
    <t>#6353</t>
  </si>
  <si>
    <t>181.199.59.158</t>
  </si>
  <si>
    <t>#6354</t>
  </si>
  <si>
    <t>Edwin Rolando Toapanta Uvillus</t>
  </si>
  <si>
    <t>#6355</t>
  </si>
  <si>
    <t>131.196.9.196</t>
  </si>
  <si>
    <t>Arbey Limón Choéz</t>
  </si>
  <si>
    <t>#6356</t>
  </si>
  <si>
    <t>PENDIENTE -  PENDIENTE CONFIRMACION * - SOLICITAR DIRECION</t>
  </si>
  <si>
    <t>Brian Eduardo Cárdenas Rea</t>
  </si>
  <si>
    <t>#6357</t>
  </si>
  <si>
    <t>186.43.204.147</t>
  </si>
  <si>
    <t>Montaño Montaño Fariño</t>
  </si>
  <si>
    <t>#6358</t>
  </si>
  <si>
    <t>PENDIENTE CONFIRMACION * - SOLICITAR DIRECCION</t>
  </si>
  <si>
    <t>131.196.12.153</t>
  </si>
  <si>
    <t>Marco Marcelo Guamba</t>
  </si>
  <si>
    <t>#6359</t>
  </si>
  <si>
    <t>157.100.142.11</t>
  </si>
  <si>
    <t>Juan Carlos Vera</t>
  </si>
  <si>
    <t>#6360</t>
  </si>
  <si>
    <t xml:space="preserve">PENDIENTE - PENDIENTE CONFIRMACION * </t>
  </si>
  <si>
    <t>2800:4f0:11:b720:e457:e90d:1429:ad88</t>
  </si>
  <si>
    <t>Romel Cedeño</t>
  </si>
  <si>
    <t>#6361</t>
  </si>
  <si>
    <t>186.65.20.209</t>
  </si>
  <si>
    <t>Richard Espinoza</t>
  </si>
  <si>
    <t>#6362</t>
  </si>
  <si>
    <t>186.68.168.28</t>
  </si>
  <si>
    <t>Wilfrido Salazar</t>
  </si>
  <si>
    <t>#6363</t>
  </si>
  <si>
    <t>2800:430:1395:b95c:1:0:cdfe:58b2</t>
  </si>
  <si>
    <t>Blanca Macías Alarcón</t>
  </si>
  <si>
    <t>#6364</t>
  </si>
  <si>
    <t>2800:bf0:830a:3028:e4b0:35a8:f97a:404c</t>
  </si>
  <si>
    <t>Jaime Eras</t>
  </si>
  <si>
    <t>#6365</t>
  </si>
  <si>
    <t>PENDIENTE CONFIRMACION * - CANCELADO - MALA CALIFICACION</t>
  </si>
  <si>
    <t>2800:bf0:bc21:100e:e3b9:eaae:89b0:3b66</t>
  </si>
  <si>
    <t>Franklin Cáceres</t>
  </si>
  <si>
    <t>#6366</t>
  </si>
  <si>
    <t xml:space="preserve">PENDIENTE - PENDIENTE CONFIRMACION * - PROCESO </t>
  </si>
  <si>
    <t>2800:430:b208:13b1:7a3e:eaea:b775:51ec</t>
  </si>
  <si>
    <t>Fernando Paz</t>
  </si>
  <si>
    <t>#6367</t>
  </si>
  <si>
    <t>Pedro Fuentes</t>
  </si>
  <si>
    <t>#6368</t>
  </si>
  <si>
    <t>2800:bf0:3414:fd1:a5ba:3368:8f93:7b8d</t>
  </si>
  <si>
    <t>Jose Pesantez Farfan Pesantez Farfàn</t>
  </si>
  <si>
    <t>#6369</t>
  </si>
  <si>
    <t>191.99.51.112</t>
  </si>
  <si>
    <t>Magaly Campoverde</t>
  </si>
  <si>
    <t>#6370</t>
  </si>
  <si>
    <t>Vicente Troya troya</t>
  </si>
  <si>
    <t>#6371</t>
  </si>
  <si>
    <t>2803:f6a0:142:99:ca3:9353:e671:757a</t>
  </si>
  <si>
    <t>Andrés Coello</t>
  </si>
  <si>
    <t>#6372</t>
  </si>
  <si>
    <t xml:space="preserve">PENDIENTE - PENDIENTE CONFIRMACION * - CANCELADO - CLIENTE SOLICITA </t>
  </si>
  <si>
    <t>2800:bf0:4581:40b7:ecae:b34f:73d0:53ba</t>
  </si>
  <si>
    <t>Jaime Ramiro Mariscal Tusa</t>
  </si>
  <si>
    <t>#6373</t>
  </si>
  <si>
    <t>186.219.49.86</t>
  </si>
  <si>
    <t>Anderson Medina</t>
  </si>
  <si>
    <t>#6374</t>
  </si>
  <si>
    <t>2800:430:1204:c82:9488:23ff:fe0c:1b01</t>
  </si>
  <si>
    <t>Carlos Mero M</t>
  </si>
  <si>
    <t>#6375</t>
  </si>
  <si>
    <t>2800:bf0:83c7:1054:1c61:fe01:a607:a0d3</t>
  </si>
  <si>
    <t>Sara Choto</t>
  </si>
  <si>
    <t>#6376</t>
  </si>
  <si>
    <t>179.0.41.86</t>
  </si>
  <si>
    <t>Egidio Eugenio Manchay Castillo</t>
  </si>
  <si>
    <t>#6377</t>
  </si>
  <si>
    <t xml:space="preserve">PENDIENTE CONFIRMACION * - SOLICITAR DIRECCION </t>
  </si>
  <si>
    <t>38.44.111.10</t>
  </si>
  <si>
    <t>Franklin Sanchez</t>
  </si>
  <si>
    <t>#6378</t>
  </si>
  <si>
    <t>2800:bf0:2410:1006:fb3c:2c8b:e7d:31cd</t>
  </si>
  <si>
    <t>Rubén Guachamin</t>
  </si>
  <si>
    <t>#6379</t>
  </si>
  <si>
    <t>2800:430:b209:abde:1:0:4781:e8f1</t>
  </si>
  <si>
    <t>Guillermo Edwar Ríos abad</t>
  </si>
  <si>
    <t>#6380</t>
  </si>
  <si>
    <t xml:space="preserve">PENDIENTE CONFIRMACION * -CANCELADO - CLIENTE SOLICITA </t>
  </si>
  <si>
    <t>2800:bf0:8263:151e:813:ee8b:c35:dff1</t>
  </si>
  <si>
    <t>Eduardo Miranda</t>
  </si>
  <si>
    <t>#6381</t>
  </si>
  <si>
    <t>157.100.64.133</t>
  </si>
  <si>
    <t>Mariana Rosillo</t>
  </si>
  <si>
    <t>#6382</t>
  </si>
  <si>
    <t>2800:4f0:50d:f0f0:7017:a739:da5:3f10</t>
  </si>
  <si>
    <t>Lorena Estacio</t>
  </si>
  <si>
    <t>#6383</t>
  </si>
  <si>
    <t>CANCELADO -DUPLICADO #6384</t>
  </si>
  <si>
    <t>María Estacio</t>
  </si>
  <si>
    <t>#6384</t>
  </si>
  <si>
    <t>Danny Yerovi</t>
  </si>
  <si>
    <t>#6385</t>
  </si>
  <si>
    <t>190.63.64.146</t>
  </si>
  <si>
    <t>Elvis Martínez</t>
  </si>
  <si>
    <t>#6386</t>
  </si>
  <si>
    <t xml:space="preserve">PENDIENTE CONFIRMACION * - NO TIENE WHATSAPP </t>
  </si>
  <si>
    <t>Nelly Caluña</t>
  </si>
  <si>
    <t>#6387</t>
  </si>
  <si>
    <t>186.3.44.139</t>
  </si>
  <si>
    <t>Estefania Magaly</t>
  </si>
  <si>
    <t>#6388</t>
  </si>
  <si>
    <t>2800:bf0:81f0:c59:1260:9f61:9a0b:5152</t>
  </si>
  <si>
    <t>Cristian Siguencia</t>
  </si>
  <si>
    <t>#6389</t>
  </si>
  <si>
    <t>2800:5f0:520:a380:30e1:2b24:e70e:4f01</t>
  </si>
  <si>
    <t>Juana Marilú Delgado Lopez</t>
  </si>
  <si>
    <t>#6390</t>
  </si>
  <si>
    <t>181.78.197.163</t>
  </si>
  <si>
    <t>Seider Rodriguez</t>
  </si>
  <si>
    <t>#6391</t>
  </si>
  <si>
    <t>179.49.38.143</t>
  </si>
  <si>
    <t>Jhonny Angel</t>
  </si>
  <si>
    <t>#6392</t>
  </si>
  <si>
    <t>PENDIENTE - PROCES O</t>
  </si>
  <si>
    <t>2800:bf0:a001:12b7:be18:12d2:3988:c780</t>
  </si>
  <si>
    <t>manuel sislema</t>
  </si>
  <si>
    <t>#6393</t>
  </si>
  <si>
    <t xml:space="preserve">PENDIENTE - SOLICITAR DIDIRECCION </t>
  </si>
  <si>
    <t>200.24.201.90</t>
  </si>
  <si>
    <t>Diego Armando Orellana Quezada</t>
  </si>
  <si>
    <t>#6394</t>
  </si>
  <si>
    <t>45.188.228.64</t>
  </si>
  <si>
    <t>#6395</t>
  </si>
  <si>
    <t>2800:bf0:7a:10cf:6562:21d4:f97f:aa3b</t>
  </si>
  <si>
    <t>Gladys Quisaguano</t>
  </si>
  <si>
    <t>#6396</t>
  </si>
  <si>
    <t>45.189.56.76</t>
  </si>
  <si>
    <t>Miguel Yanchatipan</t>
  </si>
  <si>
    <t>#6397</t>
  </si>
  <si>
    <t>PENDIENTE  SOLICITAR DIRECCION</t>
  </si>
  <si>
    <t>Asalia Báez</t>
  </si>
  <si>
    <t>#6398</t>
  </si>
  <si>
    <t>2800:bf0:287:f23:4dcd:eb81:98ef:ba95</t>
  </si>
  <si>
    <t>Damian Eduardo Ballén Loor</t>
  </si>
  <si>
    <t>#6399</t>
  </si>
  <si>
    <t>Jabe Maldonado</t>
  </si>
  <si>
    <t>#6400</t>
  </si>
  <si>
    <t>190.130.137.28</t>
  </si>
  <si>
    <t>Víctor Rosas Rosas</t>
  </si>
  <si>
    <t>#6401</t>
  </si>
  <si>
    <t>Jose ninasunta</t>
  </si>
  <si>
    <t>#6402</t>
  </si>
  <si>
    <t>200.7.251.183</t>
  </si>
  <si>
    <t>Juan Malliquinga</t>
  </si>
  <si>
    <t>#6403</t>
  </si>
  <si>
    <t xml:space="preserve">PENDIENTE SOLICITAR DIRECCION - </t>
  </si>
  <si>
    <t>200.24.137.105</t>
  </si>
  <si>
    <t>Gina Loor</t>
  </si>
  <si>
    <t>#6404</t>
  </si>
  <si>
    <t>181.224.175.71</t>
  </si>
  <si>
    <t>Alejandro Narvaez</t>
  </si>
  <si>
    <t>#6405</t>
  </si>
  <si>
    <t>Gabriel Pozo</t>
  </si>
  <si>
    <t>#6406</t>
  </si>
  <si>
    <t>45.239.48.141</t>
  </si>
  <si>
    <t>Victor Hugo Cobos Yagual</t>
  </si>
  <si>
    <t>#6407</t>
  </si>
  <si>
    <t>2800:440:1415:be00:d983:7d2a:ef27:7897</t>
  </si>
  <si>
    <t>Karina Castillo</t>
  </si>
  <si>
    <t>#6408</t>
  </si>
  <si>
    <t xml:space="preserve">PENDIENTE  CONFIRMACION </t>
  </si>
  <si>
    <t>181.198.2.171</t>
  </si>
  <si>
    <t>Aldana Quiroz</t>
  </si>
  <si>
    <t>#6409</t>
  </si>
  <si>
    <t>2800:440:9c00:8f00:e7a1:448e:5fc5:d096</t>
  </si>
  <si>
    <t>Juan Juan Daniel chuquimarca</t>
  </si>
  <si>
    <t>#6410</t>
  </si>
  <si>
    <t>2800:bf0:10a:d0e:3933:163a:1e6f:3006</t>
  </si>
  <si>
    <t>Alejandro Jaramillo</t>
  </si>
  <si>
    <t>#6411</t>
  </si>
  <si>
    <t>45.162.74.26</t>
  </si>
  <si>
    <t>Christian Cueva</t>
  </si>
  <si>
    <t>#6412</t>
  </si>
  <si>
    <t>Marlon Zambrano</t>
  </si>
  <si>
    <t>#6413</t>
  </si>
  <si>
    <t>Bolivar Casares</t>
  </si>
  <si>
    <t>#6414</t>
  </si>
  <si>
    <t>181.112.92.173</t>
  </si>
  <si>
    <t>David Piedra</t>
  </si>
  <si>
    <t>#6415</t>
  </si>
  <si>
    <t>190.110.46.41</t>
  </si>
  <si>
    <t>Marcelo Carrasco</t>
  </si>
  <si>
    <t>#6416</t>
  </si>
  <si>
    <t>200.63.105.153</t>
  </si>
  <si>
    <t>Jhon Elizalde</t>
  </si>
  <si>
    <t>#6417</t>
  </si>
  <si>
    <t>170.246.85.68</t>
  </si>
  <si>
    <t>Narciso Valentín Asencio Torres</t>
  </si>
  <si>
    <t>#6418</t>
  </si>
  <si>
    <t>190.63.97.195</t>
  </si>
  <si>
    <t>Santos Holguin</t>
  </si>
  <si>
    <t>#6419</t>
  </si>
  <si>
    <t>2800:bf0:a003:100a:7551:7325:d875:1e2a</t>
  </si>
  <si>
    <t>Ernesto Ernestoivansalbatierradelao</t>
  </si>
  <si>
    <t>#6420</t>
  </si>
  <si>
    <t>2800:430:1394:eac7:481c:2eff:fe5e:cc2f</t>
  </si>
  <si>
    <t>Daniel Alvarado</t>
  </si>
  <si>
    <t>#6421</t>
  </si>
  <si>
    <t>2800:440:9207:a00:d945:8ecd:5902:90e7</t>
  </si>
  <si>
    <t>gladys Vargas</t>
  </si>
  <si>
    <t>#6422</t>
  </si>
  <si>
    <t xml:space="preserve">PENDIENTE SOLICITAR DIRECCION </t>
  </si>
  <si>
    <t>2800:440:9882:1300:81b5:b91f:798f:37b</t>
  </si>
  <si>
    <t>Lory Paredes Paredes</t>
  </si>
  <si>
    <t>#6423</t>
  </si>
  <si>
    <t>200.85.83.229</t>
  </si>
  <si>
    <t>Cristian Calle</t>
  </si>
  <si>
    <t>#6424</t>
  </si>
  <si>
    <t>160.20.166.187</t>
  </si>
  <si>
    <t>Betsy Pachito</t>
  </si>
  <si>
    <t>#6425</t>
  </si>
  <si>
    <t>200.112.219.63</t>
  </si>
  <si>
    <t>#6426</t>
  </si>
  <si>
    <t>186.65.37.139</t>
  </si>
  <si>
    <t>Gina Rizzo Rizzo</t>
  </si>
  <si>
    <t>#6427</t>
  </si>
  <si>
    <t>2800:430:138c:454:d560:957a:a416:20a9</t>
  </si>
  <si>
    <t>Jhonny Crespo</t>
  </si>
  <si>
    <t>#6428</t>
  </si>
  <si>
    <t xml:space="preserve">PENDIENTE SOLICITAR  DIRECCION </t>
  </si>
  <si>
    <t>45.71.186.231</t>
  </si>
  <si>
    <t>Jaime Jimenez</t>
  </si>
  <si>
    <t>#6429</t>
  </si>
  <si>
    <t xml:space="preserve">CONFIRMAR PROMOCIONM </t>
  </si>
  <si>
    <t>2800:430:1397:354c:1:0:d420:fcac</t>
  </si>
  <si>
    <t>Fernando Gualli</t>
  </si>
  <si>
    <t>#6430</t>
  </si>
  <si>
    <t>2800:bf0:8102:c9a:290e:7a28:444d:bd9a</t>
  </si>
  <si>
    <t>Pamela Vanegas</t>
  </si>
  <si>
    <t>#6431</t>
  </si>
  <si>
    <t>186.68.251.87</t>
  </si>
  <si>
    <t>Joffre Alexander García calva</t>
  </si>
  <si>
    <t>#6432</t>
  </si>
  <si>
    <t xml:space="preserve">PENDIENTE SOLICITAR DIRECION </t>
  </si>
  <si>
    <t>2800:bf0:3786:1022:889c:b7c3:9ad1:1fa0</t>
  </si>
  <si>
    <t>Magus Segovia</t>
  </si>
  <si>
    <t>#6433</t>
  </si>
  <si>
    <t>2800:bf0:4580:1100:75a4:ec88:49ba:db19</t>
  </si>
  <si>
    <t>Eduardo Ullauri S</t>
  </si>
  <si>
    <t>#6434</t>
  </si>
  <si>
    <t>2800:440:1220:2c00:bd0e:52bb:7f73:3bd</t>
  </si>
  <si>
    <t>Santiago Yumbla</t>
  </si>
  <si>
    <t>#6435</t>
  </si>
  <si>
    <t>190.154.90.88</t>
  </si>
  <si>
    <t>#6436</t>
  </si>
  <si>
    <t>200.7.235.192</t>
  </si>
  <si>
    <t>FLOR GARZÓN</t>
  </si>
  <si>
    <t>#6437</t>
  </si>
  <si>
    <t>2800:bf0:82a9:37:5966:becc:c553:e0ea</t>
  </si>
  <si>
    <t>Elvis Vélez</t>
  </si>
  <si>
    <t>#6438</t>
  </si>
  <si>
    <t>2800:430:1204:3e3:504e:7bff:fe08:2807</t>
  </si>
  <si>
    <t>Bryan Sánchez Sánchez</t>
  </si>
  <si>
    <t>#6439</t>
  </si>
  <si>
    <t xml:space="preserve">SOLICITAR DIRECCION  </t>
  </si>
  <si>
    <t>2800:bf0:a806:1d1:692b:1878:6b1c:af0</t>
  </si>
  <si>
    <t>Milagros Abril</t>
  </si>
  <si>
    <t>#6440</t>
  </si>
  <si>
    <t>2800:bf0:6:1289:1258:2b9b:8f08:a04a</t>
  </si>
  <si>
    <t xml:space="preserve">Fernando Raul Tacle veloz
</t>
  </si>
  <si>
    <t>#6441</t>
  </si>
  <si>
    <t>Leonel Galarraga</t>
  </si>
  <si>
    <t>#6442</t>
  </si>
  <si>
    <t>2800:440:1020:c500:e599:a8b1:8be:22ab</t>
  </si>
  <si>
    <t>Guillermo Antonio Salguero Olmedo</t>
  </si>
  <si>
    <t>#6443</t>
  </si>
  <si>
    <t>2800:430:b200:8910:1:0:4f66:21eb</t>
  </si>
  <si>
    <t>Ricardo Calderon</t>
  </si>
  <si>
    <t>#6444</t>
  </si>
  <si>
    <t>2800:440:9224:2000:6170:745f:83:766b</t>
  </si>
  <si>
    <t>Alex Sánchez</t>
  </si>
  <si>
    <t>#6445</t>
  </si>
  <si>
    <t>2800:bf0:4360:200e:6b0c:ff6b:8a1f:c719</t>
  </si>
  <si>
    <t>Héctor Manuel Cedeño Vélez</t>
  </si>
  <si>
    <t>#6446</t>
  </si>
  <si>
    <t>2803:92d0:1:84ae:ff88:a3f8:b41d:2848</t>
  </si>
  <si>
    <t>Edmundo Ruiz</t>
  </si>
  <si>
    <t>#6447</t>
  </si>
  <si>
    <t>2800:bf0:3008:2004:55b7:4a38:38f2:cc0c</t>
  </si>
  <si>
    <t>Denisse Cruz Yance</t>
  </si>
  <si>
    <t>#6448</t>
  </si>
  <si>
    <t xml:space="preserve">PENDIENTE CONFIRMAR </t>
  </si>
  <si>
    <t>2800:5f0:1500:a0b0:4d81:5d37:8d9a:64ab</t>
  </si>
  <si>
    <t>Cesar Alberto Peñaranda Pucha</t>
  </si>
  <si>
    <t>#6449</t>
  </si>
  <si>
    <t>727</t>
  </si>
  <si>
    <t>28/02/2026</t>
  </si>
  <si>
    <t>Jessica Solano</t>
  </si>
  <si>
    <t>#6450</t>
  </si>
  <si>
    <t xml:space="preserve">PRIOCESO </t>
  </si>
  <si>
    <t>45.189.57.12</t>
  </si>
  <si>
    <t>OBSERVACIÓN</t>
  </si>
  <si>
    <t>Column 22</t>
  </si>
  <si>
    <t>Column 23</t>
  </si>
  <si>
    <t>Column 24</t>
  </si>
  <si>
    <t>Column 25</t>
  </si>
  <si>
    <t>Column 26</t>
  </si>
  <si>
    <t>Josi Elizalde</t>
  </si>
  <si>
    <t>#6451</t>
  </si>
  <si>
    <t>190.63.241.95</t>
  </si>
  <si>
    <t>Raul Rodriguez</t>
  </si>
  <si>
    <t>#6452</t>
  </si>
  <si>
    <t>2800:370:154:c030:827d:cad0:2fe6:8159</t>
  </si>
  <si>
    <t>Juan Recalde</t>
  </si>
  <si>
    <t>#6453</t>
  </si>
  <si>
    <t>181.119.97.35</t>
  </si>
  <si>
    <t>Luis Alfredo Avemañay Pilamunga</t>
  </si>
  <si>
    <t>#6454</t>
  </si>
  <si>
    <t>191.99.71.14</t>
  </si>
  <si>
    <t>Roberto Aragón</t>
  </si>
  <si>
    <t>#6455</t>
  </si>
  <si>
    <t>2800:440:900a:b500:b1ca:a108:10fa:5f96</t>
  </si>
  <si>
    <t>ANGEL Cedillo</t>
  </si>
  <si>
    <t>#6456</t>
  </si>
  <si>
    <t>PENDIENTE - 1MENSAJE</t>
  </si>
  <si>
    <t>179.63.149.130</t>
  </si>
  <si>
    <t>Jorge Aguinda</t>
  </si>
  <si>
    <t>#6457</t>
  </si>
  <si>
    <t>200.85.80.101</t>
  </si>
  <si>
    <t>Freddy Chávez</t>
  </si>
  <si>
    <t>#6458</t>
  </si>
  <si>
    <t>Fanny Castillo</t>
  </si>
  <si>
    <t>#6459</t>
  </si>
  <si>
    <t>38.44.110.19</t>
  </si>
  <si>
    <t>NELSON ELIAS BODERO M.</t>
  </si>
  <si>
    <t>#6460</t>
  </si>
  <si>
    <t>Marco González González</t>
  </si>
  <si>
    <t>#6461</t>
  </si>
  <si>
    <t>149.50.200.105</t>
  </si>
  <si>
    <t>Ricardo Ordonez</t>
  </si>
  <si>
    <t>#6462</t>
  </si>
  <si>
    <t>186.65.3.103</t>
  </si>
  <si>
    <t>Luis Angel sangopanta Sangopanta</t>
  </si>
  <si>
    <t>#6463</t>
  </si>
  <si>
    <t>Jaime Aimara</t>
  </si>
  <si>
    <t>#6464</t>
  </si>
  <si>
    <t>190.63.127.215</t>
  </si>
  <si>
    <t>TANDAZO GRANDA TEDDY</t>
  </si>
  <si>
    <t>#6465</t>
  </si>
  <si>
    <t>2800:bf0:7e:fc9:ac29:979c:ebf0:1a9f</t>
  </si>
  <si>
    <t>Alberto yacelga Yacelga lechon</t>
  </si>
  <si>
    <t>#6466</t>
  </si>
  <si>
    <t>190.107.233.34</t>
  </si>
  <si>
    <t>Fabrizio Infante</t>
  </si>
  <si>
    <t>#6467</t>
  </si>
  <si>
    <t>186.69.232.199</t>
  </si>
  <si>
    <t>Danny Peas Casa blanca</t>
  </si>
  <si>
    <t>#6468</t>
  </si>
  <si>
    <t>45.161.35.4</t>
  </si>
  <si>
    <t>Cinthya Ramirez</t>
  </si>
  <si>
    <t>#6469</t>
  </si>
  <si>
    <t>181.199.61.228</t>
  </si>
  <si>
    <t>Alex rojas</t>
  </si>
  <si>
    <t>#6470</t>
  </si>
  <si>
    <t>66.231.76.19</t>
  </si>
  <si>
    <t>Pedro Rivadeneira</t>
  </si>
  <si>
    <t>#6471</t>
  </si>
  <si>
    <t>Alejandra Moreno</t>
  </si>
  <si>
    <t>#6472</t>
  </si>
  <si>
    <t>186.65.38.88</t>
  </si>
  <si>
    <t>Edison Edmundo Moreno Páez</t>
  </si>
  <si>
    <t>#6473</t>
  </si>
  <si>
    <t>2800:bf0:2a5:cb9:ff2a:ebc3:b6c2:4a9d</t>
  </si>
  <si>
    <t>Jorge Lara</t>
  </si>
  <si>
    <t>#6474</t>
  </si>
  <si>
    <t>2800:bf0:1a1:10e7:6122:ddec:e2b7:93e8</t>
  </si>
  <si>
    <t>Laura Hidalgo Romero</t>
  </si>
  <si>
    <t>#6475</t>
  </si>
  <si>
    <t>2800:bf0:b008:4a:d5e7:ddc7:7adb:3580</t>
  </si>
  <si>
    <t>Eustorgio Tandazo</t>
  </si>
  <si>
    <t>#6476</t>
  </si>
  <si>
    <t>2800:430:1382:d514:806c:6122:89e1:6b22</t>
  </si>
  <si>
    <t>Roberto Arriaga</t>
  </si>
  <si>
    <t>#6477</t>
  </si>
  <si>
    <t>186.101.24.196</t>
  </si>
  <si>
    <t>Jefferson Fuentes</t>
  </si>
  <si>
    <t>#6478</t>
  </si>
  <si>
    <t>PENDIENTE 1 MENSAJE</t>
  </si>
  <si>
    <t>190.12.151.112</t>
  </si>
  <si>
    <t>ANGEL ENRIQUE JARA SALAZAR</t>
  </si>
  <si>
    <t>#6479</t>
  </si>
  <si>
    <t>PENDIENTE - PROCESO - REVISAR ENVIO</t>
  </si>
  <si>
    <t>2800:bf0:2205:12:b99a:259d:bc85:ca3d</t>
  </si>
  <si>
    <t>Daniel Briones</t>
  </si>
  <si>
    <t>#6480</t>
  </si>
  <si>
    <t>2800:bf0:80ec:1247:762c:64b2:b790:3099</t>
  </si>
  <si>
    <t>Christian Carpio</t>
  </si>
  <si>
    <t>#6481</t>
  </si>
  <si>
    <t>181.78.197.11</t>
  </si>
  <si>
    <t>Jorge Vega</t>
  </si>
  <si>
    <t>#6482</t>
  </si>
  <si>
    <t>2800:2f0:1bc:fa00:d00b:86cf:fa60:188c</t>
  </si>
  <si>
    <t>Mercedes Alegría</t>
  </si>
  <si>
    <t>#6483</t>
  </si>
  <si>
    <t>PENDIENTE 1MENSAJE</t>
  </si>
  <si>
    <t>66.231.77.142</t>
  </si>
  <si>
    <t>Ricardo Ganchoso</t>
  </si>
  <si>
    <t>#6484</t>
  </si>
  <si>
    <t>2800:440:101d:ad00:298a:96ec:ad4d:21c2</t>
  </si>
  <si>
    <t>Luis Baños</t>
  </si>
  <si>
    <t>#6485</t>
  </si>
  <si>
    <t>2800:430:1216:5bb0:1:0:7366:66ce</t>
  </si>
  <si>
    <t>Silvio Haro</t>
  </si>
  <si>
    <t>#6486</t>
  </si>
  <si>
    <t>2800:bf0:340a:ff2:9056:605f:f0c0:32b8</t>
  </si>
  <si>
    <t>Sergio Rea Tabares</t>
  </si>
  <si>
    <t>#6487</t>
  </si>
  <si>
    <t>2800:430:1212:5700:1:0:7809:326c</t>
  </si>
  <si>
    <t>Jhonny Cabello</t>
  </si>
  <si>
    <t>#6488</t>
  </si>
  <si>
    <t>2800:430:138f:9615:1:0:dec7:df43</t>
  </si>
  <si>
    <t>William Francisco Álava Morante</t>
  </si>
  <si>
    <t>#6489</t>
  </si>
  <si>
    <t>200.50.234.160</t>
  </si>
  <si>
    <t>Jefferson Ismael Tello Govea</t>
  </si>
  <si>
    <t>#6490</t>
  </si>
  <si>
    <t>Eddy Aguavil</t>
  </si>
  <si>
    <t>#6491</t>
  </si>
  <si>
    <t>CONFIRMADO</t>
  </si>
  <si>
    <t>190.95.132.251</t>
  </si>
  <si>
    <t>Carlos Solorzano</t>
  </si>
  <si>
    <t>#6492</t>
  </si>
  <si>
    <t>190.63.97.79</t>
  </si>
  <si>
    <t>Edwin Israel Arturo Loor</t>
  </si>
  <si>
    <t>#6493</t>
  </si>
  <si>
    <t>27.50.12.13</t>
  </si>
  <si>
    <t>Luis Cagua</t>
  </si>
  <si>
    <t>#6494</t>
  </si>
  <si>
    <t>181.78.206.17</t>
  </si>
  <si>
    <t>Jesus Bermello</t>
  </si>
  <si>
    <t>#6495</t>
  </si>
  <si>
    <t>Lourdes Zambrano Loor</t>
  </si>
  <si>
    <t>#6496</t>
  </si>
  <si>
    <t>2800:bf0:a10b:102a:7b57:d3a5:7154:4e59</t>
  </si>
  <si>
    <t>Juan Andres Ube</t>
  </si>
  <si>
    <t>#6497</t>
  </si>
  <si>
    <t>179.51.143.48</t>
  </si>
  <si>
    <t>David Alberto Bustillos Castillo</t>
  </si>
  <si>
    <t>#6498</t>
  </si>
  <si>
    <t>2800:bf0:82d3:105e:183a:c968:d640:d549</t>
  </si>
  <si>
    <t>Marco Simbaña</t>
  </si>
  <si>
    <t>#6499</t>
  </si>
  <si>
    <t>157.100.55.13</t>
  </si>
  <si>
    <t>Emily Loor</t>
  </si>
  <si>
    <t>#6500</t>
  </si>
  <si>
    <t>190.83.105.39</t>
  </si>
  <si>
    <t>Cesar Beroy</t>
  </si>
  <si>
    <t>#6501</t>
  </si>
  <si>
    <t>Claudia Villamagua</t>
  </si>
  <si>
    <t>#6502</t>
  </si>
  <si>
    <t>157.100.53.74</t>
  </si>
  <si>
    <t>Daniel Cárdenas</t>
  </si>
  <si>
    <t>#6503</t>
  </si>
  <si>
    <t>2800:430:1208:1752:c9df:300a:7488:6004</t>
  </si>
  <si>
    <t>FRANCISCO POVEDA</t>
  </si>
  <si>
    <t>#6504</t>
  </si>
  <si>
    <t>2800:bf0:4585:70ad:f18c:9f56:7584:7361</t>
  </si>
  <si>
    <t xml:space="preserve">Pedro Castillo
</t>
  </si>
  <si>
    <t>#6505</t>
  </si>
  <si>
    <t>#6506</t>
  </si>
  <si>
    <t>186.43.219.23</t>
  </si>
  <si>
    <t>DIGNA MARISOL ROSERO GAVILANEZ</t>
  </si>
  <si>
    <t>#6507</t>
  </si>
  <si>
    <t>Braulio Cisneros</t>
  </si>
  <si>
    <t>#6508</t>
  </si>
  <si>
    <t>2800:bf0:a831:e82:4494:5f6e:1d57:a27c</t>
  </si>
  <si>
    <t>Ronald fernando mosquera matute</t>
  </si>
  <si>
    <t>#6509</t>
  </si>
  <si>
    <t xml:space="preserve">PENDIENTE SOLICITAR DIRECCION - 11 MENSAJE - CANCELADO FUERA DE COBERTURA </t>
  </si>
  <si>
    <t>2800:bf0:830e:e25:7445:ce41:1eaa:ca4f</t>
  </si>
  <si>
    <t>Mario Segura</t>
  </si>
  <si>
    <t>#6510</t>
  </si>
  <si>
    <t>PENDIENTE , SOLICITAR DIRECCION - 1MENSAJE</t>
  </si>
  <si>
    <t>Jhon Loor</t>
  </si>
  <si>
    <t>#6511</t>
  </si>
  <si>
    <t>2800:bf0:80ed:eb3:2be:eb5:e71a:5ac6</t>
  </si>
  <si>
    <t>Hector Lenin Gallardo Robalino</t>
  </si>
  <si>
    <t>#6512</t>
  </si>
  <si>
    <t>190.10.162.94</t>
  </si>
  <si>
    <t>Irina Mejia</t>
  </si>
  <si>
    <t>#6513</t>
  </si>
  <si>
    <t xml:space="preserve">PENDIENTE CONFIRMACION- 1MENSAJE - PROCESO </t>
  </si>
  <si>
    <t>Edison Gualoto</t>
  </si>
  <si>
    <t>#6514</t>
  </si>
  <si>
    <t xml:space="preserve">CANCELADO - FUERA DE COBERTURA </t>
  </si>
  <si>
    <t>2803:cb90:1b:6f00:49bc:44a:374c:b2e3</t>
  </si>
  <si>
    <t>Jorge bunay Buñay</t>
  </si>
  <si>
    <t>#6515</t>
  </si>
  <si>
    <t>157.100.61.85</t>
  </si>
  <si>
    <t>Líder Eduardo Mendoza Garcia Eduardo Mendoza Garcia</t>
  </si>
  <si>
    <t>#6516</t>
  </si>
  <si>
    <t>2800:430:1208:7754:1:0:6d81:28a8</t>
  </si>
  <si>
    <t>Xavier Andrés Encarnación</t>
  </si>
  <si>
    <t>#6517</t>
  </si>
  <si>
    <t xml:space="preserve">PENDIENTE CONFIRMACION - 1 MENSAJE - CANCELACION  FUERA DE COBERTURA </t>
  </si>
  <si>
    <t>2803:4e60:4:1528:424b:7408:f952:5c15</t>
  </si>
  <si>
    <t>Carlos Guaman</t>
  </si>
  <si>
    <t>#6518</t>
  </si>
  <si>
    <t>2800:bf0:2426:fe3:6554:f684:1439:f504</t>
  </si>
  <si>
    <t>Jack Melendez</t>
  </si>
  <si>
    <t>#6519</t>
  </si>
  <si>
    <t xml:space="preserve">PENDIENTE CONFIRMA- 1 MENSAJE </t>
  </si>
  <si>
    <t>2800:5f0:520:6b2a:5115:e096:402f:b7de</t>
  </si>
  <si>
    <t>Gunter Velasquez</t>
  </si>
  <si>
    <t>Manabí</t>
  </si>
  <si>
    <t>#6520</t>
  </si>
  <si>
    <t>PENDIENTE 1 MENSAJE- PROCESO</t>
  </si>
  <si>
    <t>27.50.14.39</t>
  </si>
  <si>
    <t>Alvaro Peñaherrera Peñaherrera</t>
  </si>
  <si>
    <t>Napo</t>
  </si>
  <si>
    <t>#6521</t>
  </si>
  <si>
    <t>PENDIENTE 3 MENSAJE</t>
  </si>
  <si>
    <t>200.7.250.186</t>
  </si>
  <si>
    <t>PEDRO SILVA CASTRO</t>
  </si>
  <si>
    <t>Guayas</t>
  </si>
  <si>
    <t>#6522</t>
  </si>
  <si>
    <t>2800:430:1208:f7a4:58e2:ddff:fe33:e6ef</t>
  </si>
  <si>
    <t>Néstor Vásquez</t>
  </si>
  <si>
    <t>Pichincha</t>
  </si>
  <si>
    <t>#6523</t>
  </si>
  <si>
    <t>186.71.37.4</t>
  </si>
  <si>
    <t>Ana Simisterra Simisterra</t>
  </si>
  <si>
    <t>Esmeraldas</t>
  </si>
  <si>
    <t>#6524</t>
  </si>
  <si>
    <t>2800:370:13c:7270:6aba:e1b:7f74:f345</t>
  </si>
  <si>
    <t>Marcos Avila</t>
  </si>
  <si>
    <t>Cañar</t>
  </si>
  <si>
    <t>#6525</t>
  </si>
  <si>
    <t>190.63.239.102</t>
  </si>
  <si>
    <t>Elvis Stalin Vera mera</t>
  </si>
  <si>
    <t>#6526</t>
  </si>
  <si>
    <t>190.63.98.117</t>
  </si>
  <si>
    <t>Abel Castillo</t>
  </si>
  <si>
    <t>#6527</t>
  </si>
  <si>
    <t>2800:440:1217:2b00:2518:3ce9:63dc:55eb</t>
  </si>
  <si>
    <t>hugo ponce</t>
  </si>
  <si>
    <t>Azuay</t>
  </si>
  <si>
    <t>#6528</t>
  </si>
  <si>
    <t>200.63.252.225</t>
  </si>
  <si>
    <t>Yomar Suarez</t>
  </si>
  <si>
    <t>#6529</t>
  </si>
  <si>
    <t>EN PROCESO</t>
  </si>
  <si>
    <t>2800:440:1606:1d00:e181:8fbc:992a:20aa</t>
  </si>
  <si>
    <t>Galo Catucuamba</t>
  </si>
  <si>
    <t>#6530</t>
  </si>
  <si>
    <t>Freddy EMILIANO Guerrero hidalgo</t>
  </si>
  <si>
    <t>#6531</t>
  </si>
  <si>
    <t>2800:440:1476:9000:cbcc:ff6a:8132:bb91</t>
  </si>
  <si>
    <t>David Cañar</t>
  </si>
  <si>
    <t>#6532</t>
  </si>
  <si>
    <t>177.234.212.10</t>
  </si>
  <si>
    <t>Jorge Lenin Intriago pico</t>
  </si>
  <si>
    <t>Los Ríos</t>
  </si>
  <si>
    <t>#6533</t>
  </si>
  <si>
    <t>190.83.104.5</t>
  </si>
  <si>
    <t>Deber Ibarra</t>
  </si>
  <si>
    <t>#6534</t>
  </si>
  <si>
    <t>45.70.196.135</t>
  </si>
  <si>
    <t>José Sucunuta</t>
  </si>
  <si>
    <t>Zamora Chinchipe</t>
  </si>
  <si>
    <t>#6535</t>
  </si>
  <si>
    <t>190.83.12.234</t>
  </si>
  <si>
    <t>Milton zambrano zambrano</t>
  </si>
  <si>
    <t>#6536</t>
  </si>
  <si>
    <t>200.24.135.158</t>
  </si>
  <si>
    <t>GUARANDA</t>
  </si>
  <si>
    <t>#6537</t>
  </si>
  <si>
    <t>CA - 1 MENSAJE - CANCELADO - PEDIDO DUPLICADO #6533</t>
  </si>
  <si>
    <t>Victor Hurtado</t>
  </si>
  <si>
    <t>#6538</t>
  </si>
  <si>
    <t>CANCELADO - CLIENTE NO DESEA PRODUCTO</t>
  </si>
  <si>
    <t>190.155.68.217</t>
  </si>
  <si>
    <t>Luis Enrique V v v</t>
  </si>
  <si>
    <t>#6539</t>
  </si>
  <si>
    <t>ENTREGADI</t>
  </si>
  <si>
    <t>2800:440:181e:b500:2ed9:ee8a:ec86:5ec0</t>
  </si>
  <si>
    <t>Dario Panchi</t>
  </si>
  <si>
    <t>Cotopaxi</t>
  </si>
  <si>
    <t>#6540</t>
  </si>
  <si>
    <t>Patricio Sanchez</t>
  </si>
  <si>
    <t>#6541</t>
  </si>
  <si>
    <t>190.12.21.250</t>
  </si>
  <si>
    <t>Carlos Eduardo Macías Santana</t>
  </si>
  <si>
    <t>#6542</t>
  </si>
  <si>
    <t>2800:430:b20a:d215:1:0:6bd5:8a9d</t>
  </si>
  <si>
    <t>Ronald Rondon</t>
  </si>
  <si>
    <t>#6543</t>
  </si>
  <si>
    <t>181.199.54.53</t>
  </si>
  <si>
    <t>Margarita Gallo</t>
  </si>
  <si>
    <t>#6544</t>
  </si>
  <si>
    <t>German Mosquera</t>
  </si>
  <si>
    <t>Santa Elena</t>
  </si>
  <si>
    <t>#6545</t>
  </si>
  <si>
    <t>2800:430:138b:c10a:21ef:9f27:75ac:1511</t>
  </si>
  <si>
    <t>Alexander Pilaguano</t>
  </si>
  <si>
    <t>#6546</t>
  </si>
  <si>
    <t>179.60.191.49</t>
  </si>
  <si>
    <t>Jose david Coveñas</t>
  </si>
  <si>
    <t>#6547</t>
  </si>
  <si>
    <t>2800:430:1204:8db0:4c7b:8ebc:c8b6:5eff</t>
  </si>
  <si>
    <t>Freddy Cortez</t>
  </si>
  <si>
    <t>#6548</t>
  </si>
  <si>
    <t>191.99.24.102</t>
  </si>
  <si>
    <t>Paulino Barbecho Barbecho</t>
  </si>
  <si>
    <t>#6549</t>
  </si>
  <si>
    <t>200.63.104.5</t>
  </si>
  <si>
    <t>#6550</t>
  </si>
  <si>
    <t>2800:430:b20a:4cf0:1:0:6c20:17a3</t>
  </si>
  <si>
    <t>Luis Coronel</t>
  </si>
  <si>
    <t>#6551</t>
  </si>
  <si>
    <t>186.65.21.166</t>
  </si>
  <si>
    <t>Rigoberto González</t>
  </si>
  <si>
    <t>#6552</t>
  </si>
  <si>
    <t>2800:bf0:8267:1794:f565:d370:4cd8:b386</t>
  </si>
  <si>
    <t>Alberto Yajamin</t>
  </si>
  <si>
    <t>#6553</t>
  </si>
  <si>
    <t>PENDIENTE - STOCK PRODUCTO</t>
  </si>
  <si>
    <t>179.60.56.12</t>
  </si>
  <si>
    <t>Tomás Alarcón</t>
  </si>
  <si>
    <t>#6554</t>
  </si>
  <si>
    <t>Marilyn Mera</t>
  </si>
  <si>
    <t>#6555</t>
  </si>
  <si>
    <t>Maribel Aguilar</t>
  </si>
  <si>
    <t>El Oro</t>
  </si>
  <si>
    <t>#6556</t>
  </si>
  <si>
    <t>186.69.233.6</t>
  </si>
  <si>
    <t>Oswaldo Agoti</t>
  </si>
  <si>
    <t>#6557</t>
  </si>
  <si>
    <t>NO DESEA PRODUCTO DEMORA MUCHO TIEMPO</t>
  </si>
  <si>
    <t>186.65.54.28</t>
  </si>
  <si>
    <t>Manuel Guzmán</t>
  </si>
  <si>
    <t>Tungurahua</t>
  </si>
  <si>
    <t>#6558</t>
  </si>
  <si>
    <t>190.110.202.8</t>
  </si>
  <si>
    <t>Patricia Proaño</t>
  </si>
  <si>
    <t>#6559</t>
  </si>
  <si>
    <t>CLIENTE NO DESEA PRODUCTO YA COMPRO</t>
  </si>
  <si>
    <t>2800:bf0:8027:1041:cbb3:2dc6:2217:fdca</t>
  </si>
  <si>
    <t>Favio García</t>
  </si>
  <si>
    <t>#6560</t>
  </si>
  <si>
    <t>PEDIDO CANCELADO</t>
  </si>
  <si>
    <t>190.12.151.232</t>
  </si>
  <si>
    <t>Diego De la Cruz</t>
  </si>
  <si>
    <t>Santo Domingo de los Tsáchilas</t>
  </si>
  <si>
    <t>#6561</t>
  </si>
  <si>
    <t>149.50.197.86</t>
  </si>
  <si>
    <t>victor Kronfle</t>
  </si>
  <si>
    <t>#6562</t>
  </si>
  <si>
    <t>CLIENTE NO DESEA PRODUCTO  -  YA COMPRO</t>
  </si>
  <si>
    <t>2800:bf0:8002:278:d6a:a969:85c5:fff1</t>
  </si>
  <si>
    <t>romel fueltala</t>
  </si>
  <si>
    <t>#6563</t>
  </si>
  <si>
    <t>190.130.220.50</t>
  </si>
  <si>
    <t>Anthoni Moncayo</t>
  </si>
  <si>
    <t>#6564</t>
  </si>
  <si>
    <t>Martinez Martinez</t>
  </si>
  <si>
    <t>#6565</t>
  </si>
  <si>
    <t>181.175.73.18</t>
  </si>
  <si>
    <t>Juan Bonilla</t>
  </si>
  <si>
    <t>#6566</t>
  </si>
  <si>
    <t>45.4.203.48</t>
  </si>
  <si>
    <t>CarlosXavier Pera</t>
  </si>
  <si>
    <t>#6567</t>
  </si>
  <si>
    <t>2800:bf0:8009:90f:194:d7c:d018:244c</t>
  </si>
  <si>
    <t>Marina Flores</t>
  </si>
  <si>
    <t>#6568</t>
  </si>
  <si>
    <t>179.49.42.150</t>
  </si>
  <si>
    <t>Evelyn CHAFLA</t>
  </si>
  <si>
    <t>#6569</t>
  </si>
  <si>
    <t>45.170.46.190</t>
  </si>
  <si>
    <t>Daniel MEDINA</t>
  </si>
  <si>
    <t>#6570</t>
  </si>
  <si>
    <t>157.100.88.160</t>
  </si>
  <si>
    <t>#6571</t>
  </si>
  <si>
    <t>Pablo Leonardo Salazar Justicia</t>
  </si>
  <si>
    <t>Carchi</t>
  </si>
  <si>
    <t>#6572</t>
  </si>
  <si>
    <t>45.70.13.65</t>
  </si>
  <si>
    <t>Hernan Jimenez</t>
  </si>
  <si>
    <t>#6573</t>
  </si>
  <si>
    <t>8.242.90.59</t>
  </si>
  <si>
    <t>Geovanny Coba</t>
  </si>
  <si>
    <t>#6574</t>
  </si>
  <si>
    <t>2800:bf0:2a3:383:9091:6c93:1a14:9091</t>
  </si>
  <si>
    <t>Alfonso Estrada Peña</t>
  </si>
  <si>
    <t>#6575</t>
  </si>
  <si>
    <t>186.65.52.239</t>
  </si>
  <si>
    <t>Eduardo Rivadeneira Rivadeneira</t>
  </si>
  <si>
    <t>#6576</t>
  </si>
  <si>
    <t>2800:5f0:833:542:53c3:7729:3c4d:c3d6</t>
  </si>
  <si>
    <t>Jonathan Castro</t>
  </si>
  <si>
    <t>#6577</t>
  </si>
  <si>
    <t>Catalina Cordero</t>
  </si>
  <si>
    <t>#6578</t>
  </si>
  <si>
    <t>186.43.253.255</t>
  </si>
  <si>
    <t>Edison Flores</t>
  </si>
  <si>
    <t>#6579</t>
  </si>
  <si>
    <t>190.89.128.25</t>
  </si>
  <si>
    <t>Job Avilés</t>
  </si>
  <si>
    <t>#6580</t>
  </si>
  <si>
    <t>2800:bf0:b4a1:1058:d0bf:bfd3:9a8b:143e</t>
  </si>
  <si>
    <t>jorge Jefferson Ortiz Caicedo</t>
  </si>
  <si>
    <t>#6581</t>
  </si>
  <si>
    <t>2800:370:13c:2ff0:687:a070:4f7f:6813</t>
  </si>
  <si>
    <t>Cristian Yépez</t>
  </si>
  <si>
    <t>#6582</t>
  </si>
  <si>
    <t>181.199.38.224</t>
  </si>
  <si>
    <t>Nascha Bermello</t>
  </si>
  <si>
    <t>#6583</t>
  </si>
  <si>
    <t>PENDIENTE CONFIRMACION PARA ENVIAR - 15 DIAS</t>
  </si>
  <si>
    <t>181.199.42.196</t>
  </si>
  <si>
    <t>Carlos Eduardo Galarza Asanza</t>
  </si>
  <si>
    <t>#6584</t>
  </si>
  <si>
    <t>Wilson García</t>
  </si>
  <si>
    <t>Bolívar</t>
  </si>
  <si>
    <t>#6585</t>
  </si>
  <si>
    <t>200.24.134.82</t>
  </si>
  <si>
    <t>Ricardo Yangua</t>
  </si>
  <si>
    <t>Morona Santiago</t>
  </si>
  <si>
    <t>#6586</t>
  </si>
  <si>
    <t>Julio Hernandez</t>
  </si>
  <si>
    <t>#6587</t>
  </si>
  <si>
    <t>45.71.184.53</t>
  </si>
  <si>
    <t>Hugo Ortiz</t>
  </si>
  <si>
    <t>Chimborazo</t>
  </si>
  <si>
    <t>#6588</t>
  </si>
  <si>
    <t>2800:370:c1:9510:64e4:9ec8:26c3:b955</t>
  </si>
  <si>
    <t>Roberto tapia Mejía</t>
  </si>
  <si>
    <t>#6589</t>
  </si>
  <si>
    <t>181.196.89.205</t>
  </si>
  <si>
    <t>Boris Marquez</t>
  </si>
  <si>
    <t>#6590</t>
  </si>
  <si>
    <t>Ale Castillo Mosquera</t>
  </si>
  <si>
    <t>#6591</t>
  </si>
  <si>
    <t>186.65.53.213</t>
  </si>
  <si>
    <t>Cristian Clavijo</t>
  </si>
  <si>
    <t>#6592</t>
  </si>
  <si>
    <t>181.188.201.8</t>
  </si>
  <si>
    <t>Rolando Mario Villegas Aguiler Villegas Aguilera</t>
  </si>
  <si>
    <t>#6593</t>
  </si>
  <si>
    <t>179.51.143.172</t>
  </si>
  <si>
    <t>Diego Alquinga Alquinga paredes</t>
  </si>
  <si>
    <t>#6594</t>
  </si>
  <si>
    <t>Diego Mosquera Ayala</t>
  </si>
  <si>
    <t>#6595</t>
  </si>
  <si>
    <t>181.78.197.178</t>
  </si>
  <si>
    <t>Walter Cortez mora cortez</t>
  </si>
  <si>
    <t>#6596</t>
  </si>
  <si>
    <t>Javier Viteri</t>
  </si>
  <si>
    <t>#6597</t>
  </si>
  <si>
    <t>2803:9810:c123:9908:c486:18d4:a72e:16e8</t>
  </si>
  <si>
    <t>Jorge Guevara</t>
  </si>
  <si>
    <t>#6598</t>
  </si>
  <si>
    <t>PROCESO - RASTREAR ENVIO</t>
  </si>
  <si>
    <t>#6599</t>
  </si>
  <si>
    <t>Jeny Bustamante</t>
  </si>
  <si>
    <t>#6600</t>
  </si>
  <si>
    <t>2800:bf0:108:1586:f869:b625:4cc1:f4c2</t>
  </si>
  <si>
    <t>Patricio Luciano Avila Avila0980937466</t>
  </si>
  <si>
    <t>#6601</t>
  </si>
  <si>
    <t>CANCELADO NO COMPRO</t>
  </si>
  <si>
    <t>191.99.24.59</t>
  </si>
  <si>
    <t>Liborio Abdon Hurtado Cabeza</t>
  </si>
  <si>
    <t>#6602</t>
  </si>
  <si>
    <t>45.233.92.152</t>
  </si>
  <si>
    <t>Humberto Francisco Figueroa orrala</t>
  </si>
  <si>
    <t>#6603</t>
  </si>
  <si>
    <t>157.100.65.212</t>
  </si>
  <si>
    <t>Cristhian Antonio Potes Pilalo</t>
  </si>
  <si>
    <t>#6604</t>
  </si>
  <si>
    <t>190.63.236.27</t>
  </si>
  <si>
    <t>García Narváez Fredy FredyGarcia</t>
  </si>
  <si>
    <t>Imbabura</t>
  </si>
  <si>
    <t>#6605</t>
  </si>
  <si>
    <t>2800:370:12c:4260:7374:b634:e73:54a1</t>
  </si>
  <si>
    <t>Nathaly Gomez</t>
  </si>
  <si>
    <t>#6606</t>
  </si>
  <si>
    <t>191.99.24.162</t>
  </si>
  <si>
    <t>Manuel Quille Quille</t>
  </si>
  <si>
    <t>#6607</t>
  </si>
  <si>
    <t>181.39.43.244</t>
  </si>
  <si>
    <t>Jusn Zambrano</t>
  </si>
  <si>
    <t>#6608</t>
  </si>
  <si>
    <t>PENDIENTE - POR CONFIRMAR PEDIDO</t>
  </si>
  <si>
    <t>Victor Patiño</t>
  </si>
  <si>
    <t>#6609</t>
  </si>
  <si>
    <t>200.24.158.28</t>
  </si>
  <si>
    <t>Lorena Buitron</t>
  </si>
  <si>
    <t>#6610</t>
  </si>
  <si>
    <t>Ipatia Rojas</t>
  </si>
  <si>
    <t>#6611</t>
  </si>
  <si>
    <t>NO DESEA PRODUCTO - NO COMPRO</t>
  </si>
  <si>
    <t>2800:440:9a18:6a00:1b0:2bf3:de90:c021</t>
  </si>
  <si>
    <t>Franklin Borbor Cochea</t>
  </si>
  <si>
    <t>#6612</t>
  </si>
  <si>
    <t>Serena Samaniego</t>
  </si>
  <si>
    <t>#6613</t>
  </si>
  <si>
    <t xml:space="preserve">PROCESO - VERIFICAR ID </t>
  </si>
  <si>
    <t>2800:bf0:4581:d234:f7ab:a934:42f8:beb0</t>
  </si>
  <si>
    <t>Julio Canelos</t>
  </si>
  <si>
    <t>#6614</t>
  </si>
  <si>
    <t>2800:370:11f:ec80:2850:7174:f7f2:e271</t>
  </si>
  <si>
    <t>WELINTON VARGAS</t>
  </si>
  <si>
    <t>#6615</t>
  </si>
  <si>
    <t>186.68.215.101</t>
  </si>
  <si>
    <t>Luis Paez</t>
  </si>
  <si>
    <t>#6616</t>
  </si>
  <si>
    <t>2800:2f0:104:6a00:656a:26fa:d29e:d1ae</t>
  </si>
  <si>
    <t>Oswaldo Velástegui</t>
  </si>
  <si>
    <t>#6617</t>
  </si>
  <si>
    <t>2800:bf0:3001:1121:dbab:635:3f33:fac2</t>
  </si>
  <si>
    <t>Alejandro Castillo</t>
  </si>
  <si>
    <t>#6618</t>
  </si>
  <si>
    <t>186.65.53.18</t>
  </si>
  <si>
    <t>José Chaluisa</t>
  </si>
  <si>
    <t>#6619</t>
  </si>
  <si>
    <t>Milton Quinaucho</t>
  </si>
  <si>
    <t>#6620</t>
  </si>
  <si>
    <t>2800:430:b380:46c6:1:0:3ae:80ef</t>
  </si>
  <si>
    <t>Jerson Criollo</t>
  </si>
  <si>
    <t>#6621</t>
  </si>
  <si>
    <t>Christian Muñoz</t>
  </si>
  <si>
    <t>#6622</t>
  </si>
  <si>
    <t>Martha Espinel</t>
  </si>
  <si>
    <t>#6623</t>
  </si>
  <si>
    <t>190.57.151.236</t>
  </si>
  <si>
    <t>Byron Viteri</t>
  </si>
  <si>
    <t>#6624</t>
  </si>
  <si>
    <t>2803:3490:a08:0:eb8a:dd8a:7eb8:723e</t>
  </si>
  <si>
    <t>Iván Solorzano</t>
  </si>
  <si>
    <t>#6625</t>
  </si>
  <si>
    <t>190.12.47.90</t>
  </si>
  <si>
    <t>María Ponce</t>
  </si>
  <si>
    <t>#6626</t>
  </si>
  <si>
    <t>2800:bf0:81e1:10c6:4c92:7484:b11b:c94b</t>
  </si>
  <si>
    <t>Fausto Naranjo Gomez</t>
  </si>
  <si>
    <t>#6627</t>
  </si>
  <si>
    <t>2800:440:9c73:a900:a6f4:c903:d589:86c5</t>
  </si>
  <si>
    <t>Edilma Valencia</t>
  </si>
  <si>
    <t>#6628</t>
  </si>
  <si>
    <t>179.49.14.239</t>
  </si>
  <si>
    <t>Diana Solorzano</t>
  </si>
  <si>
    <t>#6629</t>
  </si>
  <si>
    <t>186.70.75.18</t>
  </si>
  <si>
    <t>Jose Chango</t>
  </si>
  <si>
    <t>#6630</t>
  </si>
  <si>
    <t>149.50.197.149</t>
  </si>
  <si>
    <t>Sandra Guerrero</t>
  </si>
  <si>
    <t>#6631</t>
  </si>
  <si>
    <t>186.65.21.201</t>
  </si>
  <si>
    <t>Marco Lozada</t>
  </si>
  <si>
    <t>#6632</t>
  </si>
  <si>
    <t xml:space="preserve">CANCELADO - NUEVO PEDIDO </t>
  </si>
  <si>
    <t>Walter Guam baña</t>
  </si>
  <si>
    <t>#6633</t>
  </si>
  <si>
    <t>190.63.236.168</t>
  </si>
  <si>
    <t>Sebastián Torres</t>
  </si>
  <si>
    <t>#6634</t>
  </si>
  <si>
    <t xml:space="preserve">PROCESO - RASTREAR GUIA </t>
  </si>
  <si>
    <t>2800:430:1395:e874:1:0:110c:aaef</t>
  </si>
  <si>
    <t>Hernán Chipantiza</t>
  </si>
  <si>
    <t>#6635</t>
  </si>
  <si>
    <t>2800:430:b205:933:1:0:8236:770b</t>
  </si>
  <si>
    <t>Luis Madera</t>
  </si>
  <si>
    <t>#6636</t>
  </si>
  <si>
    <t xml:space="preserve">PROCEO </t>
  </si>
  <si>
    <t>2800:430:b20f:7450:1:0:8016:cd72</t>
  </si>
  <si>
    <t>Michell Castro</t>
  </si>
  <si>
    <t>#6637</t>
  </si>
  <si>
    <t>177.234.254.37</t>
  </si>
  <si>
    <t>#6638</t>
  </si>
  <si>
    <t>CANCELADO - ORDEN DUPLICADA</t>
  </si>
  <si>
    <t>2800:bf0:8270:1056:5477:505b:196c:a49d</t>
  </si>
  <si>
    <t>Fausto Llori</t>
  </si>
  <si>
    <t>#6639</t>
  </si>
  <si>
    <t>CANCELADO - YA COMPRO</t>
  </si>
  <si>
    <t>45.224.97.174</t>
  </si>
  <si>
    <t>Alexander Peñafiel</t>
  </si>
  <si>
    <t>#6640</t>
  </si>
  <si>
    <t>Frank Quevedo</t>
  </si>
  <si>
    <t>#6641</t>
  </si>
  <si>
    <t>177.234.231.5</t>
  </si>
  <si>
    <t>Mariana Ayllon</t>
  </si>
  <si>
    <t>#6642</t>
  </si>
  <si>
    <t>2800:430:1393:a726:14dc:bbff:fe6b:c307</t>
  </si>
  <si>
    <t>Angel Enrique Bautista Guerrero</t>
  </si>
  <si>
    <t>#6643</t>
  </si>
  <si>
    <t>2800:440:900d:ff00:78e0:563b:8830:b36e</t>
  </si>
  <si>
    <t>Ivan Montalvo Cajas</t>
  </si>
  <si>
    <t>#6644</t>
  </si>
  <si>
    <t>2800:430:b38d:957d:a7f9:7ae5:e1c8:5b39</t>
  </si>
  <si>
    <t>Diego ORDOÑEZ</t>
  </si>
  <si>
    <t>#6645</t>
  </si>
  <si>
    <t>186.65.39.14</t>
  </si>
  <si>
    <t>Eduardo Ayala</t>
  </si>
  <si>
    <t>#6646</t>
  </si>
  <si>
    <t>Maicol Ante</t>
  </si>
  <si>
    <t>#6647</t>
  </si>
  <si>
    <t>2800:bf0:25e:356:af49:d680:5040:6a9f</t>
  </si>
  <si>
    <t>Maria Saltos</t>
  </si>
  <si>
    <t>#6648</t>
  </si>
  <si>
    <t>2800:bf0:d:de6:30f8:a9ca:494a:3085</t>
  </si>
  <si>
    <t>Enrique Enrique Rivera</t>
  </si>
  <si>
    <t>#6649</t>
  </si>
  <si>
    <t>Milton Calle</t>
  </si>
  <si>
    <t>#6650</t>
  </si>
  <si>
    <t>186.178.109.47</t>
  </si>
  <si>
    <t>Yandry Cedeño</t>
  </si>
  <si>
    <t>#6651</t>
  </si>
  <si>
    <t>45.224.99.68</t>
  </si>
  <si>
    <t>Oscar Dario Mindiola Totoy</t>
  </si>
  <si>
    <t>#6652</t>
  </si>
  <si>
    <t>2800:440:145c:6700:e746:1d5b:4f07:176c</t>
  </si>
  <si>
    <t>Cristina Orellana</t>
  </si>
  <si>
    <t>#6653</t>
  </si>
  <si>
    <t>2800:430:1212:74ab:1:0:b0d4:508f</t>
  </si>
  <si>
    <t>Adriana Camacho</t>
  </si>
  <si>
    <t>#6654</t>
  </si>
  <si>
    <t>CANCELADO - NO LE INTERESA</t>
  </si>
  <si>
    <t>2800:bf0:4581:e08c:d0ec:9e35:cac8:eec7</t>
  </si>
  <si>
    <t>Bertha Balladares Bazurto</t>
  </si>
  <si>
    <t>#6655</t>
  </si>
  <si>
    <t>190.12.150.121</t>
  </si>
  <si>
    <t>Eugenio Vaca</t>
  </si>
  <si>
    <t>Sucumbíos</t>
  </si>
  <si>
    <t>#6656</t>
  </si>
  <si>
    <t>2800:370:147:32f0:db68:1aa7:7710:597</t>
  </si>
  <si>
    <t>Juan Farez</t>
  </si>
  <si>
    <t>#6657</t>
  </si>
  <si>
    <t>2800:430:1215:ddcd:1:0:b190:296d</t>
  </si>
  <si>
    <t>Jorge Delgado</t>
  </si>
  <si>
    <t>#6658</t>
  </si>
  <si>
    <t>190.63.97.252</t>
  </si>
  <si>
    <t>Javier Pilco</t>
  </si>
  <si>
    <t>#6659</t>
  </si>
  <si>
    <t>2800:370:159:ad00:5a8:91cd:97f5:3ed1</t>
  </si>
  <si>
    <t>Marco Galarza</t>
  </si>
  <si>
    <t>#6660</t>
  </si>
  <si>
    <t>2800:bf0:3001:10ca:65a9:c6fd:11c:4855</t>
  </si>
  <si>
    <t>Eduardo Martínez</t>
  </si>
  <si>
    <t>#6661</t>
  </si>
  <si>
    <t>Jeniffer Mendoza</t>
  </si>
  <si>
    <t>#6662</t>
  </si>
  <si>
    <t>Dora Guerrero</t>
  </si>
  <si>
    <t>#6663</t>
  </si>
  <si>
    <t>179.49.33.167</t>
  </si>
  <si>
    <t>Nelly Raquel Vera Gomez</t>
  </si>
  <si>
    <t>#6664</t>
  </si>
  <si>
    <t>191.99.28.54</t>
  </si>
  <si>
    <t>Harley García</t>
  </si>
  <si>
    <t>Loja</t>
  </si>
  <si>
    <t>#6665</t>
  </si>
  <si>
    <t>2800:bf0:b80d:fe7:8905:f9fe:8962:36b0</t>
  </si>
  <si>
    <t>Andees yamusca</t>
  </si>
  <si>
    <t>#6666</t>
  </si>
  <si>
    <t>César Sanabria</t>
  </si>
  <si>
    <t>#6667</t>
  </si>
  <si>
    <t>CANCELACION - NO DESEA PRODUCTO</t>
  </si>
  <si>
    <t>2800:bf0:4080:2d:9005:e0e8:17ef:cca0</t>
  </si>
  <si>
    <t>JIM LUMONA</t>
  </si>
  <si>
    <t>#6668</t>
  </si>
  <si>
    <t>190.63.240.148</t>
  </si>
  <si>
    <t>Armando Monteverde</t>
  </si>
  <si>
    <t>#6669</t>
  </si>
  <si>
    <t>2800:bf0:72:fa3:81d4:d0e5:acac:84a1</t>
  </si>
  <si>
    <t>Fernando Yavar</t>
  </si>
  <si>
    <t>#6670</t>
  </si>
  <si>
    <t>2800:bf0:8002:14c4:fd57:14c1:794e:196b</t>
  </si>
  <si>
    <t>Luis Loor</t>
  </si>
  <si>
    <t>#6671</t>
  </si>
  <si>
    <t>190.83.105.38</t>
  </si>
  <si>
    <t>Marco Oñate</t>
  </si>
  <si>
    <t>#6672</t>
  </si>
  <si>
    <t>186.65.38.98</t>
  </si>
  <si>
    <t>Pablo Davila</t>
  </si>
  <si>
    <t>#6673</t>
  </si>
  <si>
    <t>2800:bf0:4580:40c2:e939:585c:ef7a:efc3</t>
  </si>
  <si>
    <t>Jorge Mendez</t>
  </si>
  <si>
    <t>#6674</t>
  </si>
  <si>
    <t>PROCESO | ENTREGADO POR SERVIENTREGA</t>
  </si>
  <si>
    <t>186.66.173.116</t>
  </si>
  <si>
    <t>Monica Dominguez</t>
  </si>
  <si>
    <t>#6675</t>
  </si>
  <si>
    <t>66.231.74.197</t>
  </si>
  <si>
    <t>Carlos Cesar Alvares Alvarado</t>
  </si>
  <si>
    <t>#6676</t>
  </si>
  <si>
    <t>2803:cb90:e:9e00:4ec5:ed1e:f541:ea3d</t>
  </si>
  <si>
    <t>Cesar Galarza</t>
  </si>
  <si>
    <t>#6677</t>
  </si>
  <si>
    <t>190.63.117.86</t>
  </si>
  <si>
    <t>Javier Zurita</t>
  </si>
  <si>
    <t>#6678</t>
  </si>
  <si>
    <t>2800:440:1467:1900:2140:3fe5:7b7c:1b11</t>
  </si>
  <si>
    <t>Lourdes Figueroa</t>
  </si>
  <si>
    <t>#6679</t>
  </si>
  <si>
    <t>2800:bf0:10:122f:6980:56cf:530:dc34</t>
  </si>
  <si>
    <t>Martha Velasco</t>
  </si>
  <si>
    <t>#6680</t>
  </si>
  <si>
    <t>66.231.78.8</t>
  </si>
  <si>
    <t>Abel Viteri</t>
  </si>
  <si>
    <t>#6681</t>
  </si>
  <si>
    <t>Santiago Mena</t>
  </si>
  <si>
    <t>#6682</t>
  </si>
  <si>
    <t>186.65.38.224</t>
  </si>
  <si>
    <t>#6683</t>
  </si>
  <si>
    <t>2800:370:d8:b2f0:1cad:fc73:dd17:33d8</t>
  </si>
  <si>
    <t>Abraham Moreira Zamora</t>
  </si>
  <si>
    <t>#6684</t>
  </si>
  <si>
    <t>Juan Carlos Escobar Perez</t>
  </si>
  <si>
    <t>#6685</t>
  </si>
  <si>
    <t>157.100.110.85</t>
  </si>
  <si>
    <t>Marcia Echeverría</t>
  </si>
  <si>
    <t>#6686</t>
  </si>
  <si>
    <t>186.66.225.107</t>
  </si>
  <si>
    <t>Anthony Ganchozo</t>
  </si>
  <si>
    <t>#6687</t>
  </si>
  <si>
    <t>2803:a010:f800::1d7c</t>
  </si>
  <si>
    <t>gina cobeña</t>
  </si>
  <si>
    <t>#6688</t>
  </si>
  <si>
    <t>210.211.57.217</t>
  </si>
  <si>
    <t>Daniela Delgado</t>
  </si>
  <si>
    <t>#6689</t>
  </si>
  <si>
    <t>190.99.76.237</t>
  </si>
  <si>
    <t>Ana Mora</t>
  </si>
  <si>
    <t>#6690</t>
  </si>
  <si>
    <t>157.100.53.201</t>
  </si>
  <si>
    <t>Juan Piñuela</t>
  </si>
  <si>
    <t>#6691</t>
  </si>
  <si>
    <t>186.65.53.88</t>
  </si>
  <si>
    <t>Valery Elizabeth Contreras Paredes</t>
  </si>
  <si>
    <t>#6692</t>
  </si>
  <si>
    <t>200.50.235.39</t>
  </si>
  <si>
    <t>Geovanny Gaona</t>
  </si>
  <si>
    <t>Galápagos</t>
  </si>
  <si>
    <t>#6693</t>
  </si>
  <si>
    <t xml:space="preserve">CANCELADO - PEDIDO A GALAPAGOS </t>
  </si>
  <si>
    <t>2803:9810:c17d:e810:9623:3f81:eb54:e555</t>
  </si>
  <si>
    <t>ALFREDO PATRICIO DÁVILA CARVAJAL</t>
  </si>
  <si>
    <t>#6694</t>
  </si>
  <si>
    <t>186.65.3.151</t>
  </si>
  <si>
    <t>Carlos Daniel ordoñes Calle</t>
  </si>
  <si>
    <t>#6695</t>
  </si>
  <si>
    <t>PENDIENTE - CONFIRMAR COMPRA - VOLVER A LLAMAR</t>
  </si>
  <si>
    <t>38.44.234.184</t>
  </si>
  <si>
    <t>Marcelo ivan Lopez mera López mera</t>
  </si>
  <si>
    <t>#6696</t>
  </si>
  <si>
    <t>186.71.176.243</t>
  </si>
  <si>
    <t>Francisca Cortez Cortez cortez</t>
  </si>
  <si>
    <t>#6697</t>
  </si>
  <si>
    <t>PENDIENTE 2 MENSAJE</t>
  </si>
  <si>
    <t>181.175.49.7</t>
  </si>
  <si>
    <t>Jefferson Huerta</t>
  </si>
  <si>
    <t>#6698</t>
  </si>
  <si>
    <t>2800:430:b20f:f04:1:0:9a8b:9050</t>
  </si>
  <si>
    <t>Cynthia Villarreal</t>
  </si>
  <si>
    <t>#6699</t>
  </si>
  <si>
    <t>2800:bf0:b42d:1034:1862:9fd0:629b:89e3</t>
  </si>
  <si>
    <t>Manuel antonio Bone espinoza</t>
  </si>
  <si>
    <t>#6700</t>
  </si>
  <si>
    <t>181.199.61.47</t>
  </si>
  <si>
    <t>Jesus Vega</t>
  </si>
  <si>
    <t>#6701</t>
  </si>
  <si>
    <t>2800:bf0:62:1710:22b8:503c:912:f978</t>
  </si>
  <si>
    <t>Geovanni Naranjo</t>
  </si>
  <si>
    <t>#6702</t>
  </si>
  <si>
    <t>170.238.1.92</t>
  </si>
  <si>
    <t>Mauricio Ortega</t>
  </si>
  <si>
    <t>#6703</t>
  </si>
  <si>
    <t>2800:5f0:520:e61f:ac08:b57:a390:fddf</t>
  </si>
  <si>
    <t>Galo Erazo</t>
  </si>
  <si>
    <t>#6704</t>
  </si>
  <si>
    <t>Eduardo Verdezoto</t>
  </si>
  <si>
    <t>#6705</t>
  </si>
  <si>
    <t>CANCELADO - NO DESEA PRODUCTO</t>
  </si>
  <si>
    <t>190.63.125.88</t>
  </si>
  <si>
    <t>ELVIS ILLESCAS</t>
  </si>
  <si>
    <t>#6706</t>
  </si>
  <si>
    <t>2800:bf0:8124:ea4:417e:ae51:31e0:5b2c</t>
  </si>
  <si>
    <t>Holger Ortega Vega</t>
  </si>
  <si>
    <t>#6707</t>
  </si>
  <si>
    <t>179.60.52.32</t>
  </si>
  <si>
    <t>Alexis lozano</t>
  </si>
  <si>
    <t>#6708</t>
  </si>
  <si>
    <t>2800:bf0:3014:1034:70a3:6e2:aa15:83da</t>
  </si>
  <si>
    <t>José Gamboa briones</t>
  </si>
  <si>
    <t>#6709</t>
  </si>
  <si>
    <t>CANCELADO - PEDIDO DUPLICADO</t>
  </si>
  <si>
    <t>45.235.13.252</t>
  </si>
  <si>
    <t>#6710</t>
  </si>
  <si>
    <t>Ivan Bravo</t>
  </si>
  <si>
    <t>#6711</t>
  </si>
  <si>
    <t>66.231.78.12</t>
  </si>
  <si>
    <t>Gina Chavez Chavez</t>
  </si>
  <si>
    <t>#6712</t>
  </si>
  <si>
    <t>2800:bf0:108:1173:add7:1de3:19de:baa5</t>
  </si>
  <si>
    <t>Jose Mendoza Mendoza</t>
  </si>
  <si>
    <t>#6713</t>
  </si>
  <si>
    <t>190.12.20.153</t>
  </si>
  <si>
    <t>Rina valarezo torres</t>
  </si>
  <si>
    <t>#6714</t>
  </si>
  <si>
    <t>2800:430:138e:8652:4cd0:75ff:fe0b:6b89</t>
  </si>
  <si>
    <t>Stalin Tituaña</t>
  </si>
  <si>
    <t>#6715</t>
  </si>
  <si>
    <t>186.65.54.94</t>
  </si>
  <si>
    <t>Marina Vinces</t>
  </si>
  <si>
    <t>#6716</t>
  </si>
  <si>
    <t>192.140.95.164</t>
  </si>
  <si>
    <t>Rudy Ramiro Maiquez Baque</t>
  </si>
  <si>
    <t>#6717</t>
  </si>
  <si>
    <t>Franck Banguera</t>
  </si>
  <si>
    <t>#6718</t>
  </si>
  <si>
    <t>186.65.19.125</t>
  </si>
  <si>
    <t>Alonso García</t>
  </si>
  <si>
    <t>#6719</t>
  </si>
  <si>
    <t>181.199.54.135</t>
  </si>
  <si>
    <t>Willan Soria</t>
  </si>
  <si>
    <t>#6720</t>
  </si>
  <si>
    <t>190.154.95.34</t>
  </si>
  <si>
    <t>Aleksiey Ramón Zambrano Arteaga</t>
  </si>
  <si>
    <t>#6721</t>
  </si>
  <si>
    <t>2800:bf0:a480:1077:d494:da98:9bff:32a6</t>
  </si>
  <si>
    <t>Fausto Leonardo Espinoza  Paredes</t>
  </si>
  <si>
    <t>#6722</t>
  </si>
  <si>
    <t>Jonathan Roldan</t>
  </si>
  <si>
    <t>#6723</t>
  </si>
  <si>
    <t>PENDIENTE - CONFIRMAR DIRECCION</t>
  </si>
  <si>
    <t>ELDER DUEÑAS</t>
  </si>
  <si>
    <t>#6724</t>
  </si>
  <si>
    <t>186.68.206.162</t>
  </si>
  <si>
    <t>Katty Muñoz</t>
  </si>
  <si>
    <t>#6725</t>
  </si>
  <si>
    <t>Juan guamanjuancarlos2020@gmail.com</t>
  </si>
  <si>
    <t>#6726</t>
  </si>
  <si>
    <t>2800:370:125:d000:a3b3:9b9e:23f5:5fb5</t>
  </si>
  <si>
    <t>Anibal Guamba</t>
  </si>
  <si>
    <t>#6727</t>
  </si>
  <si>
    <t>Javier Paredes</t>
  </si>
  <si>
    <t>#6728</t>
  </si>
  <si>
    <t>190.110.43.193</t>
  </si>
  <si>
    <t>Patricia posligua Ortiz</t>
  </si>
  <si>
    <t>#6729</t>
  </si>
  <si>
    <t>181.199.41.4</t>
  </si>
  <si>
    <t>Leopoldo Merino</t>
  </si>
  <si>
    <t>#6730</t>
  </si>
  <si>
    <t>2800:430:b38b:4828:1:0:21b6:c16f</t>
  </si>
  <si>
    <t>Carlos Campoverde</t>
  </si>
  <si>
    <t>#6731</t>
  </si>
  <si>
    <t>CANCELADO NUEVA ORDEN - CAMBIO LOGISTICA</t>
  </si>
  <si>
    <t>2803:ab10:4033:53c0:348e:6a82:2103:9ed9</t>
  </si>
  <si>
    <t>Paul Troya</t>
  </si>
  <si>
    <t>#6732</t>
  </si>
  <si>
    <t>CANCELADO NO DESEA</t>
  </si>
  <si>
    <t>2800:440:985a:3000:5cd2:6dcc:a988:c82c</t>
  </si>
  <si>
    <t>ALEX BORJA</t>
  </si>
  <si>
    <t>#6733</t>
  </si>
  <si>
    <t>PRUEBA ALEX</t>
  </si>
  <si>
    <t>2800:bf0:1cf:e60:3c7a:a890:6a77:fadf</t>
  </si>
  <si>
    <t>Rosalía Campuzano Araujo</t>
  </si>
  <si>
    <t>#6734</t>
  </si>
  <si>
    <t>190.10.130.125</t>
  </si>
  <si>
    <t>Elvis Castro</t>
  </si>
  <si>
    <t>#6735</t>
  </si>
  <si>
    <t>2800:bf0:434d:6f49:89c8:8054:56de:1476</t>
  </si>
  <si>
    <t>Fernando Portilla</t>
  </si>
  <si>
    <t>#6736</t>
  </si>
  <si>
    <t>181.199.54.157</t>
  </si>
  <si>
    <t>Lenin Macias</t>
  </si>
  <si>
    <t>#6737</t>
  </si>
  <si>
    <t>45.71.184.154</t>
  </si>
  <si>
    <t>Lester Alberto Jara vasquez</t>
  </si>
  <si>
    <t>#6738</t>
  </si>
  <si>
    <t>2803:6320:48:6e50:7f6:1708:bee0:a41b</t>
  </si>
  <si>
    <t>Jaider Celorio</t>
  </si>
  <si>
    <t>#6739</t>
  </si>
  <si>
    <t>María disnarda calberto Calberto Tello</t>
  </si>
  <si>
    <t>#6740</t>
  </si>
  <si>
    <t>64.81.174.241</t>
  </si>
  <si>
    <t>Monica Miño Miño</t>
  </si>
  <si>
    <t>#6741</t>
  </si>
  <si>
    <t>Denture Rosendo</t>
  </si>
  <si>
    <t>#6742</t>
  </si>
  <si>
    <t>Cesar Ayala</t>
  </si>
  <si>
    <t>#6743</t>
  </si>
  <si>
    <t>181.199.54.59</t>
  </si>
  <si>
    <t>Ricardo Carrera</t>
  </si>
  <si>
    <t>#6744</t>
  </si>
  <si>
    <t>181.199.41.127</t>
  </si>
  <si>
    <t>Patricia Soto Soto</t>
  </si>
  <si>
    <t>#6745</t>
  </si>
  <si>
    <t>Viviana Cepeda</t>
  </si>
  <si>
    <t>#6746</t>
  </si>
  <si>
    <t>2800:bf0:1da:30f6:99d:38c0:7849:1581</t>
  </si>
  <si>
    <t>Eduardo Correa</t>
  </si>
  <si>
    <t>#6747</t>
  </si>
  <si>
    <t>2800:bf0:ac2c:ff8:9a58:86fe:c6df:46c1</t>
  </si>
  <si>
    <t>Flor Murillo</t>
  </si>
  <si>
    <t>#6748</t>
  </si>
  <si>
    <t>157.100.105.3</t>
  </si>
  <si>
    <t>Henry Cabrera</t>
  </si>
  <si>
    <t>#6749</t>
  </si>
  <si>
    <t>181.113.67.22</t>
  </si>
  <si>
    <t>Victor Poma</t>
  </si>
  <si>
    <t>#6750</t>
  </si>
  <si>
    <t>2803:87e0:8003:7968:1798:92a1:b80c:1c13</t>
  </si>
  <si>
    <t>Cecilia Cevallos</t>
  </si>
  <si>
    <t>#6751</t>
  </si>
  <si>
    <t>200.85.80.243</t>
  </si>
  <si>
    <t>Angel Moya</t>
  </si>
  <si>
    <t>#6752</t>
  </si>
  <si>
    <t>2800:440:1224:7b00:ed50:eac9:2184:fb01</t>
  </si>
  <si>
    <t>Witson Ortega</t>
  </si>
  <si>
    <t>#6753</t>
  </si>
  <si>
    <t>190.89.128.16</t>
  </si>
  <si>
    <t>Josei Salem</t>
  </si>
  <si>
    <t>MANTA</t>
  </si>
  <si>
    <t>#6754</t>
  </si>
  <si>
    <t xml:space="preserve">C.A </t>
  </si>
  <si>
    <t>Aníbal Matteucci</t>
  </si>
  <si>
    <t>#6755</t>
  </si>
  <si>
    <t>2800:bf0:8070:1390:edb9:4845:5fec:3ddb</t>
  </si>
  <si>
    <t>Andrea Patiño</t>
  </si>
  <si>
    <t>#6756</t>
  </si>
  <si>
    <t>2800:bf0:81c2:d14:44ad:8bc:a6e8:ef4c</t>
  </si>
  <si>
    <t>Manuel Fuentes Sterling</t>
  </si>
  <si>
    <t>#6757</t>
  </si>
  <si>
    <t>186.65.20.239</t>
  </si>
  <si>
    <t>Cristian Sanchez</t>
  </si>
  <si>
    <t>#6758</t>
  </si>
  <si>
    <t>27.50.13.123</t>
  </si>
  <si>
    <t>EDWIN ANGUISACA LOBATO</t>
  </si>
  <si>
    <t>#6759</t>
  </si>
  <si>
    <t>181.39.19.30</t>
  </si>
  <si>
    <t>Carlos Enrique Proaño Castro</t>
  </si>
  <si>
    <t>#6760</t>
  </si>
  <si>
    <t>2800:bf0:b587:0:adf9:623e:bb69:e01f</t>
  </si>
  <si>
    <t>Tania Maritza Suárez Tigrero</t>
  </si>
  <si>
    <t>#6761</t>
  </si>
  <si>
    <t>200.85.80.98</t>
  </si>
  <si>
    <t>Diana Rodriguez</t>
  </si>
  <si>
    <t>#6762</t>
  </si>
  <si>
    <t>2800:bf0:80e2:1114:c199:48f7:f4ba:b388</t>
  </si>
  <si>
    <t>Pamela León Leon</t>
  </si>
  <si>
    <t>#6763</t>
  </si>
  <si>
    <t>2800:370:c8:bfe0:bc95:5520:31c9:881d</t>
  </si>
  <si>
    <t>Celso Ortiz</t>
  </si>
  <si>
    <t>#6764</t>
  </si>
  <si>
    <t>2800:bf0:3021:122c:e5e3:fad8:6fe6:9f81</t>
  </si>
  <si>
    <t>Ginger Coveña</t>
  </si>
  <si>
    <t>#6765</t>
  </si>
  <si>
    <t>2800:bf0:bf60:1002:85f4:146:e367:5c33</t>
  </si>
  <si>
    <t>Sergio Beltrán García</t>
  </si>
  <si>
    <t>#6766</t>
  </si>
  <si>
    <t>200.24.149.13</t>
  </si>
  <si>
    <t>Lenin Proaño</t>
  </si>
  <si>
    <t>#6767</t>
  </si>
  <si>
    <t>2800:bf0:1da:11e5:81ed:6e1e:fcc6:180d</t>
  </si>
  <si>
    <t>Lus Figuero</t>
  </si>
  <si>
    <t>#6768</t>
  </si>
  <si>
    <t>Edgar Suculanda</t>
  </si>
  <si>
    <t>#6769</t>
  </si>
  <si>
    <t>181.78.207.228</t>
  </si>
  <si>
    <t>Fernando Ochoa</t>
  </si>
  <si>
    <t>Orellana</t>
  </si>
  <si>
    <t>#6770</t>
  </si>
  <si>
    <t>190.12.33.90</t>
  </si>
  <si>
    <t>Juan  Carlos Dávila Cruz</t>
  </si>
  <si>
    <t>#6771</t>
  </si>
  <si>
    <t>2800:bf0:244:134a:b0b3:f622:a64b:aee5</t>
  </si>
  <si>
    <t>German Custodio</t>
  </si>
  <si>
    <t>#6772</t>
  </si>
  <si>
    <t>Héctor Aguilar</t>
  </si>
  <si>
    <t>#6773</t>
  </si>
  <si>
    <t>2800:430:1385:7d94:e8fa:dff:fead:9a40</t>
  </si>
  <si>
    <t>Saona Santillan</t>
  </si>
  <si>
    <t>#6774</t>
  </si>
  <si>
    <t>2803:8950:104:11c:bf47:19c9:96c8:9290</t>
  </si>
  <si>
    <t>Marco Villacis</t>
  </si>
  <si>
    <t>#6775</t>
  </si>
  <si>
    <t>157.100.87.195</t>
  </si>
  <si>
    <t>Byron Vasco Chuquilla</t>
  </si>
  <si>
    <t>#6776</t>
  </si>
  <si>
    <t>157.100.105.99</t>
  </si>
  <si>
    <t>Santiago Nuñez</t>
  </si>
  <si>
    <t>LATACUNGA</t>
  </si>
  <si>
    <t>#6777</t>
  </si>
  <si>
    <t>Hugo Galarraga</t>
  </si>
  <si>
    <t>#6778</t>
  </si>
  <si>
    <t>2800:370:c1:5160:89e1:7fcb:5b6d:c49b</t>
  </si>
  <si>
    <t>Julio montesdeoca</t>
  </si>
  <si>
    <t>#6779</t>
  </si>
  <si>
    <t>2800:bf0:41c1:100e:543e:e68a:628f:41b7</t>
  </si>
  <si>
    <t>Hector Barahona</t>
  </si>
  <si>
    <t>#6780</t>
  </si>
  <si>
    <t>2800:440:9008:8e01:a037:7892:bd80:9c72</t>
  </si>
  <si>
    <t>Fausto chango Chango caizabanda</t>
  </si>
  <si>
    <t>#6781</t>
  </si>
  <si>
    <t>190.63.112.187</t>
  </si>
  <si>
    <t>Soledad Coloma</t>
  </si>
  <si>
    <t>#6782</t>
  </si>
  <si>
    <t>2800:bf0:142:1061:51be:f0f5:3a93:dc10</t>
  </si>
  <si>
    <t>Guido Ordóñez</t>
  </si>
  <si>
    <t>#6783</t>
  </si>
  <si>
    <t>186.43.185.184</t>
  </si>
  <si>
    <t>Elieser Francis Clavijo</t>
  </si>
  <si>
    <t>#6784</t>
  </si>
  <si>
    <t>Maria viteri Viteri</t>
  </si>
  <si>
    <t>#6785</t>
  </si>
  <si>
    <t>186.65.3.252</t>
  </si>
  <si>
    <t>PAOLO PARDUCCI V</t>
  </si>
  <si>
    <t>#6786</t>
  </si>
  <si>
    <t>2800:bf0:a811:e0:3525:9940:df75:55bb</t>
  </si>
  <si>
    <t>Jessica Morocho</t>
  </si>
  <si>
    <t>#6787</t>
  </si>
  <si>
    <t>2800:bf0:b844:11:5561:69bb:1b58:f07f</t>
  </si>
  <si>
    <t>Fabián Puenchera</t>
  </si>
  <si>
    <t>#6788</t>
  </si>
  <si>
    <t>2800:bf0:bf76:fd4:c412:2c85:8eac:fd4f</t>
  </si>
  <si>
    <t>Loor Jorge</t>
  </si>
  <si>
    <t>#6789</t>
  </si>
  <si>
    <t>200.24.152.179</t>
  </si>
  <si>
    <t>Oliver Córdova</t>
  </si>
  <si>
    <t>#6790</t>
  </si>
  <si>
    <t>2800:430:120a:3f5b:4fc:41ff:fec9:40a6</t>
  </si>
  <si>
    <t>Daniela Monserrate</t>
  </si>
  <si>
    <t>#6791</t>
  </si>
  <si>
    <t>45.189.57.142</t>
  </si>
  <si>
    <t>ERMINSON ALBERTO ALVAREZ Acuña ALVAREZ ACUÑA</t>
  </si>
  <si>
    <t>#6792</t>
  </si>
  <si>
    <t>2803:ab10:4830:7020:64c2:bd71:f924:9ad9</t>
  </si>
  <si>
    <t>Ricardo Mendoza</t>
  </si>
  <si>
    <t>#6793</t>
  </si>
  <si>
    <t>2800:430:1200:5cd5:1:0:dd85:5b9</t>
  </si>
  <si>
    <t>Cesar Patiño</t>
  </si>
  <si>
    <t>#6794</t>
  </si>
  <si>
    <t>Xavier Pascual Perdomo Lozano</t>
  </si>
  <si>
    <t>#6795</t>
  </si>
  <si>
    <t>2800:bf0:4581:e13f:f837:c53a:3c22:8b49</t>
  </si>
  <si>
    <t>#6796</t>
  </si>
  <si>
    <t>27.50.12.20</t>
  </si>
  <si>
    <t>Raul Vinicio Jacome</t>
  </si>
  <si>
    <t>#6797</t>
  </si>
  <si>
    <t>179.0.41.41</t>
  </si>
  <si>
    <t>José Antonio Jaguaco Bonifa Jaguaco Bonifa</t>
  </si>
  <si>
    <t>#6798</t>
  </si>
  <si>
    <t>45.225.90.183</t>
  </si>
  <si>
    <t>Verito Posligua</t>
  </si>
  <si>
    <t>#6799</t>
  </si>
  <si>
    <t>186.70.190.3</t>
  </si>
  <si>
    <t>Bryam Jara</t>
  </si>
  <si>
    <t>#6800</t>
  </si>
  <si>
    <t>191.99.51.36</t>
  </si>
  <si>
    <t>Erika Jiménez jimenez</t>
  </si>
  <si>
    <t>#6801</t>
  </si>
  <si>
    <t>45.164.64.238</t>
  </si>
  <si>
    <t>Juan Patricio Fernandez Almache</t>
  </si>
  <si>
    <t>#6802</t>
  </si>
  <si>
    <t>Fabian villa Villa</t>
  </si>
  <si>
    <t>#6803</t>
  </si>
  <si>
    <t>186.70.87.27</t>
  </si>
  <si>
    <t>Jaime Eduardo Alcívar Cobeña</t>
  </si>
  <si>
    <t>#6804</t>
  </si>
  <si>
    <t>2803:5810:6:563:7c29:131a:fd76:f1d6</t>
  </si>
  <si>
    <t>Nexar Gende</t>
  </si>
  <si>
    <t>#6805</t>
  </si>
  <si>
    <t>2800:5f0:1520:116f:7c2c:3bb8:9d77:7cbb</t>
  </si>
  <si>
    <t>María Alexandra Loor</t>
  </si>
  <si>
    <t>#6806</t>
  </si>
  <si>
    <t>2800:4f0:539:8cf0:dddd:4a30:d789:b455</t>
  </si>
  <si>
    <t>Paul Suasnavas</t>
  </si>
  <si>
    <t>#6807</t>
  </si>
  <si>
    <t>45.162.72.40</t>
  </si>
  <si>
    <t>José Luis Berrezueta Merchan</t>
  </si>
  <si>
    <t>#6808</t>
  </si>
  <si>
    <t>157.100.136.38</t>
  </si>
  <si>
    <t>Vinicio Díaz</t>
  </si>
  <si>
    <t>#6809</t>
  </si>
  <si>
    <t>186.65.20.171</t>
  </si>
  <si>
    <t>Gerardo Esparza</t>
  </si>
  <si>
    <t>#6810</t>
  </si>
  <si>
    <t>186.70.128.100</t>
  </si>
  <si>
    <t>Judit Naranjo</t>
  </si>
  <si>
    <t>#6811</t>
  </si>
  <si>
    <t>200.50.233.87</t>
  </si>
  <si>
    <t>José luis Santana cedeño</t>
  </si>
  <si>
    <t>#6812</t>
  </si>
  <si>
    <t>181.199.63.128</t>
  </si>
  <si>
    <t>Jackson Diomedes Portocarrero Vásquez</t>
  </si>
  <si>
    <t>#6813</t>
  </si>
  <si>
    <t>Blanca Pilatuña</t>
  </si>
  <si>
    <t>#6814</t>
  </si>
  <si>
    <t>Fernando Zamora</t>
  </si>
  <si>
    <t>#6815</t>
  </si>
  <si>
    <t>2800:bf0:80ed:10ed:f734:4048:6f8e:c33d</t>
  </si>
  <si>
    <t>Javier Rambay</t>
  </si>
  <si>
    <t>#6816</t>
  </si>
  <si>
    <t>191.99.23.132</t>
  </si>
  <si>
    <t>Luis Lema</t>
  </si>
  <si>
    <t>#6817</t>
  </si>
  <si>
    <t>200.105.254.93</t>
  </si>
  <si>
    <t>Guisela Aguirre</t>
  </si>
  <si>
    <t>#6818</t>
  </si>
  <si>
    <t>200.85.83.105</t>
  </si>
  <si>
    <t>FERNANDO ORTIZ</t>
  </si>
  <si>
    <t>#6819</t>
  </si>
  <si>
    <t>200.85.83.194</t>
  </si>
  <si>
    <t>Felipe Condo</t>
  </si>
  <si>
    <t>#6820</t>
  </si>
  <si>
    <t>190.63.98.206</t>
  </si>
  <si>
    <t>Francisco Caceres</t>
  </si>
  <si>
    <t>#6821</t>
  </si>
  <si>
    <t>190.63.98.123</t>
  </si>
  <si>
    <t>Pedro Milton Reyes Gonzalez</t>
  </si>
  <si>
    <t>#6822</t>
  </si>
  <si>
    <t>2800:bf0:82f3:f2:e649:82de:581a:ce7f</t>
  </si>
  <si>
    <t>Jefferson Arguello bajaña</t>
  </si>
  <si>
    <t>#6823</t>
  </si>
  <si>
    <t>2800:4f0:5f:d40:8861:15df:81f7:12c2</t>
  </si>
  <si>
    <t>Hernando Enriquez</t>
  </si>
  <si>
    <t>#6824</t>
  </si>
  <si>
    <t>201.182.150.58</t>
  </si>
  <si>
    <t>Michel Campoverde</t>
  </si>
  <si>
    <t>#6825</t>
  </si>
  <si>
    <t>2800:4f0:505:a560:d9db:aa3c:45bf:33a7</t>
  </si>
  <si>
    <t>Lupe Hidalgo</t>
  </si>
  <si>
    <t>#6826</t>
  </si>
  <si>
    <t>45.70.58.113</t>
  </si>
  <si>
    <t>Margarita León</t>
  </si>
  <si>
    <t>#6827</t>
  </si>
  <si>
    <t>2800:440:1641:9200:2ad4:e9e:c3b8:e094</t>
  </si>
  <si>
    <t>Angel humberto Lopez zambrano</t>
  </si>
  <si>
    <t>#6828</t>
  </si>
  <si>
    <t>45.163.205.61</t>
  </si>
  <si>
    <t>Antonio Sánchez</t>
  </si>
  <si>
    <t>#6829</t>
  </si>
  <si>
    <t>Gloria Sigcha</t>
  </si>
  <si>
    <t>#6830</t>
  </si>
  <si>
    <t>#6831</t>
  </si>
  <si>
    <t>38.51.36.99</t>
  </si>
  <si>
    <t>Néstor Rodriguez</t>
  </si>
  <si>
    <t>#6833</t>
  </si>
  <si>
    <t>157.100.87.56</t>
  </si>
  <si>
    <t>María celnda Topon</t>
  </si>
  <si>
    <t>#6834</t>
  </si>
  <si>
    <t>190.152.191.10</t>
  </si>
  <si>
    <t>Jhonny Alberto Cojitambo balón</t>
  </si>
  <si>
    <t>#6835</t>
  </si>
  <si>
    <t>2800:bf0:a811:af:ec58:3f6b:4605:494f</t>
  </si>
  <si>
    <t>Mercedes Betancourt Bustos</t>
  </si>
  <si>
    <t>#6836</t>
  </si>
  <si>
    <t>177.53.213.109</t>
  </si>
  <si>
    <t>Jorge García</t>
  </si>
  <si>
    <t>#6837</t>
  </si>
  <si>
    <t>200.63.106.205</t>
  </si>
  <si>
    <t>Javier Trejo</t>
  </si>
  <si>
    <t>#6838</t>
  </si>
  <si>
    <t>2800:370:13c:f460:d665:8164:2314:1542</t>
  </si>
  <si>
    <t>Yolanda Salomé Cuasquer Lita</t>
  </si>
  <si>
    <t>#6839</t>
  </si>
  <si>
    <t>2800:440:9a08:9400:c58b:dd42:30da:d381</t>
  </si>
  <si>
    <t>Enrique Loor</t>
  </si>
  <si>
    <t>#6840</t>
  </si>
  <si>
    <t>181.188.201.10</t>
  </si>
  <si>
    <t>Nombre y Apellido</t>
  </si>
  <si>
    <t xml:space="preserve">PRECIO </t>
  </si>
  <si>
    <t>TOTAL</t>
  </si>
  <si>
    <t>PLATAFORMA</t>
  </si>
  <si>
    <t>CARGADO SISTEMA</t>
  </si>
  <si>
    <t>$5</t>
  </si>
  <si>
    <t>LOCAL</t>
  </si>
  <si>
    <t>SI</t>
  </si>
  <si>
    <t xml:space="preserve">Ronal Alexander Mosquera feijoo
</t>
  </si>
  <si>
    <t xml:space="preserve">MP - FB </t>
  </si>
  <si>
    <t xml:space="preserve">Julio Muñoz  </t>
  </si>
  <si>
    <t xml:space="preserve">Jheison Delgado
</t>
  </si>
  <si>
    <t>Luis Bonilla</t>
  </si>
  <si>
    <t>FB ADS</t>
  </si>
  <si>
    <t>Germán Jiménez</t>
  </si>
  <si>
    <t>GEOVA FB</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</si>
</sst>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dd.mm"/>
    <numFmt numFmtId="166" formatCode="yyyy-mm-dd h:mm:ss"/>
    <numFmt numFmtId="167" formatCode="d/MM/yyyy"/>
    <numFmt numFmtId="168" formatCode="dd/mm/yyyy"/>
    <numFmt numFmtId="169" formatCode="[$$]#,##0.00"/>
    <numFmt numFmtId="170" formatCode="d - mmmm"/>
  </numFmts>
  <fonts count="51">
    <font>
      <sz val="10.0"/>
      <color rgb="FF000000"/>
      <name val="Arial"/>
      <scheme val="minor"/>
    </font>
    <font>
      <b/>
      <sz val="26.0"/>
      <color rgb="FFFFFFFF"/>
      <name val="Arial"/>
    </font>
    <font/>
    <font>
      <b/>
      <sz val="13.0"/>
      <color rgb="FFFFFFFF"/>
      <name val="&quot;Aptos Narrow&quot;"/>
    </font>
    <font>
      <b/>
      <sz val="13.0"/>
      <color rgb="FFFFFFFF"/>
      <name val="Arial"/>
    </font>
    <font>
      <sz val="13.0"/>
      <color theme="1"/>
      <name val="Arial"/>
      <scheme val="minor"/>
    </font>
    <font>
      <sz val="11.0"/>
      <color rgb="FF000000"/>
      <name val="&quot;Aptos Narrow&quot;"/>
    </font>
    <font>
      <sz val="11.0"/>
      <color rgb="FF000000"/>
      <name val="Arial"/>
    </font>
    <font>
      <color theme="1"/>
      <name val="Arial"/>
      <scheme val="minor"/>
    </font>
    <font>
      <b/>
      <sz val="13.0"/>
      <color theme="1"/>
      <name val="Arial"/>
      <scheme val="minor"/>
    </font>
    <font>
      <color theme="1"/>
      <name val="Arial"/>
    </font>
    <font>
      <sz val="12.0"/>
      <color theme="1"/>
      <name val="Arial"/>
    </font>
    <font>
      <b/>
      <sz val="16.0"/>
      <color theme="1"/>
      <name val="Arial"/>
    </font>
    <font>
      <b/>
      <sz val="20.0"/>
      <color theme="1"/>
      <name val="Arial"/>
      <scheme val="minor"/>
    </font>
    <font>
      <color rgb="FFEEEEEE"/>
      <name val="Arial"/>
      <scheme val="minor"/>
    </font>
    <font>
      <color rgb="FFFFFFFF"/>
      <name val="Arial"/>
      <scheme val="minor"/>
    </font>
    <font>
      <b/>
      <color theme="1"/>
      <name val="Arial"/>
      <scheme val="minor"/>
    </font>
    <font>
      <color rgb="FF000000"/>
      <name val="Arial"/>
      <scheme val="minor"/>
    </font>
    <font>
      <color rgb="FF008000"/>
      <name val="Arial"/>
      <scheme val="minor"/>
    </font>
    <font>
      <sz val="11.0"/>
      <color theme="1"/>
      <name val="Arial"/>
      <scheme val="minor"/>
    </font>
    <font>
      <sz val="11.0"/>
      <color theme="1"/>
      <name val="Calibri"/>
    </font>
    <font>
      <b/>
      <sz val="12.0"/>
      <color rgb="FFFFFFFF"/>
      <name val="Arial"/>
      <scheme val="minor"/>
    </font>
    <font>
      <b/>
      <sz val="12.0"/>
      <color theme="1"/>
      <name val="Arial"/>
      <scheme val="minor"/>
    </font>
    <font>
      <color rgb="FF000000"/>
      <name val="Roboto"/>
    </font>
    <font>
      <u/>
      <color rgb="FF0000FF"/>
    </font>
    <font>
      <b/>
      <sz val="10.0"/>
      <color rgb="FFFFFFFF"/>
      <name val="Arial"/>
      <scheme val="minor"/>
    </font>
    <font>
      <b/>
      <sz val="11.0"/>
      <color rgb="FFFFFFFF"/>
      <name val="Arial"/>
      <scheme val="minor"/>
    </font>
    <font>
      <b/>
      <sz val="12.0"/>
      <color theme="0"/>
      <name val="Arial"/>
      <scheme val="minor"/>
    </font>
    <font>
      <b/>
      <sz val="10.0"/>
      <color theme="1"/>
      <name val="Arial"/>
      <scheme val="minor"/>
    </font>
    <font>
      <sz val="11.0"/>
      <color rgb="FFFFFFFF"/>
      <name val="Arial"/>
      <scheme val="minor"/>
    </font>
    <font>
      <sz val="11.0"/>
      <color theme="0"/>
      <name val="Arial"/>
    </font>
    <font>
      <sz val="11.0"/>
      <color theme="0"/>
      <name val="Arial"/>
      <scheme val="minor"/>
    </font>
    <font>
      <b/>
      <sz val="11.0"/>
      <color theme="0"/>
      <name val="&quot;Aptos Narrow&quot;"/>
    </font>
    <font>
      <b/>
      <sz val="11.0"/>
      <color theme="0"/>
      <name val="Arial"/>
      <scheme val="minor"/>
    </font>
    <font>
      <sz val="11.0"/>
      <color theme="0"/>
      <name val="&quot;Aptos Narrow&quot;"/>
    </font>
    <font>
      <color theme="0"/>
      <name val="Arial"/>
      <scheme val="minor"/>
    </font>
    <font>
      <sz val="11.0"/>
      <color rgb="FF000000"/>
      <name val="Arial"/>
      <scheme val="minor"/>
    </font>
    <font>
      <b/>
      <sz val="11.0"/>
      <color theme="1"/>
      <name val="Arial"/>
      <scheme val="minor"/>
    </font>
    <font>
      <sz val="11.0"/>
      <color theme="1"/>
      <name val="Roboto"/>
    </font>
    <font>
      <b/>
      <sz val="14.0"/>
      <color theme="1"/>
      <name val="Arial"/>
      <scheme val="minor"/>
    </font>
    <font>
      <b/>
      <sz val="14.0"/>
      <color theme="1"/>
      <name val="Roboto"/>
    </font>
    <font>
      <sz val="10.0"/>
      <color theme="1"/>
      <name val="Arial"/>
      <scheme val="minor"/>
    </font>
    <font>
      <sz val="11.0"/>
      <color rgb="FFFF0000"/>
      <name val="Arial"/>
      <scheme val="minor"/>
    </font>
    <font>
      <b/>
      <sz val="14.0"/>
      <color rgb="FFFF0000"/>
      <name val="Arial"/>
      <scheme val="minor"/>
    </font>
    <font>
      <sz val="11.0"/>
      <color rgb="FF495057"/>
      <name val="Inter"/>
    </font>
    <font>
      <b/>
      <sz val="24.0"/>
      <color theme="1"/>
      <name val="Arial"/>
      <scheme val="minor"/>
    </font>
    <font>
      <b/>
      <sz val="11.0"/>
      <color rgb="FF9900FF"/>
      <name val="Arial"/>
      <scheme val="minor"/>
    </font>
    <font>
      <color rgb="FF303030"/>
      <name val="Inter"/>
    </font>
    <font>
      <b/>
      <sz val="11.0"/>
      <color rgb="FFFF0000"/>
      <name val="Arial"/>
      <scheme val="minor"/>
    </font>
    <font>
      <b/>
      <sz val="11.0"/>
      <color rgb="FF0B5394"/>
      <name val="Arial"/>
      <scheme val="minor"/>
    </font>
    <font>
      <b/>
      <sz val="11.0"/>
      <color rgb="FF1155CC"/>
      <name val="Arial"/>
      <scheme val="minor"/>
    </font>
  </fonts>
  <fills count="17">
    <fill>
      <patternFill patternType="none"/>
    </fill>
    <fill>
      <patternFill patternType="lightGray"/>
    </fill>
    <fill>
      <patternFill patternType="solid">
        <fgColor rgb="FF000000"/>
        <bgColor rgb="FF000000"/>
      </patternFill>
    </fill>
    <fill>
      <patternFill patternType="solid">
        <fgColor rgb="FFFF0000"/>
        <bgColor rgb="FFFF0000"/>
      </patternFill>
    </fill>
    <fill>
      <patternFill patternType="solid">
        <fgColor rgb="FFC9DAF8"/>
        <bgColor rgb="FFC9DAF8"/>
      </patternFill>
    </fill>
    <fill>
      <patternFill patternType="solid">
        <fgColor rgb="FF9900FF"/>
        <bgColor rgb="FF9900FF"/>
      </patternFill>
    </fill>
    <fill>
      <patternFill patternType="solid">
        <fgColor rgb="FFFFFF00"/>
        <bgColor rgb="FFFFFF00"/>
      </patternFill>
    </fill>
    <fill>
      <patternFill patternType="solid">
        <fgColor rgb="FF00FF00"/>
        <bgColor rgb="FF00FF00"/>
      </patternFill>
    </fill>
    <fill>
      <patternFill patternType="solid">
        <fgColor rgb="FF4A86E8"/>
        <bgColor rgb="FF4A86E8"/>
      </patternFill>
    </fill>
    <fill>
      <patternFill patternType="solid">
        <fgColor rgb="FFCC4125"/>
        <bgColor rgb="FFCC4125"/>
      </patternFill>
    </fill>
    <fill>
      <patternFill patternType="solid">
        <fgColor rgb="FFEA9999"/>
        <bgColor rgb="FFEA9999"/>
      </patternFill>
    </fill>
    <fill>
      <patternFill patternType="solid">
        <fgColor rgb="FF00FFFF"/>
        <bgColor rgb="FF00FFFF"/>
      </patternFill>
    </fill>
    <fill>
      <patternFill patternType="solid">
        <fgColor theme="0"/>
        <bgColor theme="0"/>
      </patternFill>
    </fill>
    <fill>
      <patternFill patternType="solid">
        <fgColor rgb="FFFFFFFF"/>
        <bgColor rgb="FFFFFFFF"/>
      </patternFill>
    </fill>
    <fill>
      <patternFill patternType="solid">
        <fgColor rgb="FF741B47"/>
        <bgColor rgb="FF741B47"/>
      </patternFill>
    </fill>
    <fill>
      <patternFill patternType="solid">
        <fgColor rgb="FFFFF2CC"/>
        <bgColor rgb="FFFFF2CC"/>
      </patternFill>
    </fill>
    <fill>
      <patternFill patternType="solid">
        <fgColor rgb="FFE06666"/>
        <bgColor rgb="FFE06666"/>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readingOrder="0" shrinkToFit="0" vertical="bottom" wrapText="0"/>
    </xf>
    <xf borderId="7" fillId="3" fontId="4" numFmtId="0" xfId="0" applyAlignment="1" applyBorder="1" applyFont="1">
      <alignment horizontal="center" readingOrder="0" shrinkToFit="0" vertical="bottom" wrapText="0"/>
    </xf>
    <xf borderId="7" fillId="3" fontId="4" numFmtId="0" xfId="0" applyAlignment="1" applyBorder="1" applyFont="1">
      <alignment readingOrder="0" shrinkToFit="0" vertical="bottom" wrapText="0"/>
    </xf>
    <xf borderId="0" fillId="0" fontId="5" numFmtId="0" xfId="0" applyFont="1"/>
    <xf borderId="7" fillId="0" fontId="6" numFmtId="0" xfId="0" applyAlignment="1" applyBorder="1" applyFont="1">
      <alignment horizontal="center" readingOrder="0" shrinkToFit="0" vertical="bottom" wrapText="0"/>
    </xf>
    <xf borderId="7" fillId="0" fontId="7" numFmtId="2" xfId="0" applyAlignment="1" applyBorder="1" applyFont="1" applyNumberFormat="1">
      <alignment horizontal="center" readingOrder="0" shrinkToFit="0" vertical="bottom" wrapText="0"/>
    </xf>
    <xf borderId="7" fillId="0" fontId="7" numFmtId="0" xfId="0" applyAlignment="1" applyBorder="1" applyFont="1">
      <alignment horizontal="center" readingOrder="0" shrinkToFit="0" vertical="bottom" wrapText="0"/>
    </xf>
    <xf borderId="7" fillId="0" fontId="6" numFmtId="2" xfId="0" applyAlignment="1" applyBorder="1" applyFont="1" applyNumberFormat="1">
      <alignment horizontal="center" readingOrder="0" shrinkToFit="0" vertical="bottom" wrapText="0"/>
    </xf>
    <xf borderId="7" fillId="0" fontId="8" numFmtId="0" xfId="0" applyAlignment="1" applyBorder="1" applyFont="1">
      <alignment horizontal="center"/>
    </xf>
    <xf borderId="7" fillId="0" fontId="6" numFmtId="0" xfId="0" applyAlignment="1" applyBorder="1" applyFont="1">
      <alignment horizontal="center" shrinkToFit="0" vertical="bottom" wrapText="0"/>
    </xf>
    <xf borderId="7" fillId="0" fontId="6" numFmtId="0" xfId="0" applyAlignment="1" applyBorder="1" applyFont="1">
      <alignment horizontal="center" readingOrder="0" shrinkToFit="0" vertical="bottom" wrapText="0"/>
    </xf>
    <xf borderId="7" fillId="0" fontId="8" numFmtId="0" xfId="0" applyBorder="1" applyFont="1"/>
    <xf borderId="7" fillId="0" fontId="9" numFmtId="0" xfId="0" applyAlignment="1" applyBorder="1" applyFont="1">
      <alignment horizontal="center" readingOrder="0"/>
    </xf>
    <xf borderId="7" fillId="0" fontId="9" numFmtId="0" xfId="0" applyAlignment="1" applyBorder="1" applyFont="1">
      <alignment horizontal="center"/>
    </xf>
    <xf borderId="7" fillId="0" fontId="9" numFmtId="2" xfId="0" applyAlignment="1" applyBorder="1" applyFont="1" applyNumberFormat="1">
      <alignment horizontal="center"/>
    </xf>
    <xf borderId="0" fillId="0" fontId="10" numFmtId="0" xfId="0" applyAlignment="1" applyFont="1">
      <alignment vertical="bottom"/>
    </xf>
    <xf borderId="0" fillId="0" fontId="10" numFmtId="0" xfId="0" applyAlignment="1" applyFont="1">
      <alignment readingOrder="0" vertical="bottom"/>
    </xf>
    <xf borderId="0" fillId="0" fontId="10" numFmtId="164" xfId="0" applyAlignment="1" applyFont="1" applyNumberFormat="1">
      <alignment vertical="bottom"/>
    </xf>
    <xf borderId="0" fillId="0" fontId="10" numFmtId="165" xfId="0" applyAlignment="1" applyFont="1" applyNumberFormat="1">
      <alignment horizontal="right" vertical="bottom"/>
    </xf>
    <xf borderId="0" fillId="0" fontId="10" numFmtId="0" xfId="0" applyAlignment="1" applyFont="1">
      <alignment vertical="bottom"/>
    </xf>
    <xf borderId="0" fillId="0" fontId="10" numFmtId="164" xfId="0" applyAlignment="1" applyFont="1" applyNumberFormat="1">
      <alignment readingOrder="0" vertical="bottom"/>
    </xf>
    <xf borderId="0" fillId="0" fontId="10" numFmtId="0" xfId="0" applyAlignment="1" applyFont="1">
      <alignment readingOrder="0" vertical="bottom"/>
    </xf>
    <xf borderId="0" fillId="0" fontId="11" numFmtId="0" xfId="0" applyAlignment="1" applyFont="1">
      <alignment readingOrder="0" vertical="bottom"/>
    </xf>
    <xf borderId="0" fillId="0" fontId="11" numFmtId="0" xfId="0" applyAlignment="1" applyFont="1">
      <alignment vertical="bottom"/>
    </xf>
    <xf borderId="0" fillId="0" fontId="10" numFmtId="4" xfId="0" applyAlignment="1" applyFont="1" applyNumberFormat="1">
      <alignment vertical="bottom"/>
    </xf>
    <xf borderId="0" fillId="0" fontId="10" numFmtId="4" xfId="0" applyAlignment="1" applyFont="1" applyNumberFormat="1">
      <alignment readingOrder="0" vertical="bottom"/>
    </xf>
    <xf borderId="0" fillId="0" fontId="10" numFmtId="164" xfId="0" applyAlignment="1" applyFont="1" applyNumberFormat="1">
      <alignment horizontal="right" vertical="bottom"/>
    </xf>
    <xf borderId="0" fillId="0" fontId="10" numFmtId="0" xfId="0" applyAlignment="1" applyFont="1">
      <alignment textRotation="0" vertical="bottom"/>
    </xf>
    <xf borderId="0" fillId="0" fontId="10" numFmtId="164" xfId="0" applyAlignment="1" applyFont="1" applyNumberFormat="1">
      <alignment textRotation="0" vertical="bottom"/>
    </xf>
    <xf borderId="0" fillId="0" fontId="10" numFmtId="4" xfId="0" applyAlignment="1" applyFont="1" applyNumberFormat="1">
      <alignment textRotation="0" vertical="bottom"/>
    </xf>
    <xf borderId="0" fillId="0" fontId="10" numFmtId="164" xfId="0" applyAlignment="1" applyFont="1" applyNumberFormat="1">
      <alignment horizontal="right" textRotation="0" vertical="bottom"/>
    </xf>
    <xf borderId="0" fillId="0" fontId="12" numFmtId="0" xfId="0" applyAlignment="1" applyFont="1">
      <alignment horizontal="left" readingOrder="0" vertical="bottom"/>
    </xf>
    <xf borderId="0" fillId="0" fontId="13" numFmtId="0" xfId="0" applyAlignment="1" applyFont="1">
      <alignment readingOrder="0"/>
    </xf>
    <xf borderId="0" fillId="0" fontId="8" numFmtId="0" xfId="0" applyAlignment="1" applyFont="1">
      <alignment readingOrder="0" vertical="top"/>
    </xf>
    <xf borderId="0" fillId="0" fontId="14" numFmtId="0" xfId="0" applyAlignment="1" applyFont="1">
      <alignment readingOrder="0"/>
    </xf>
    <xf borderId="0" fillId="0" fontId="8" numFmtId="0" xfId="0" applyAlignment="1" applyFont="1">
      <alignment readingOrder="0"/>
    </xf>
    <xf borderId="0" fillId="0" fontId="14" numFmtId="0" xfId="0" applyFont="1"/>
    <xf borderId="0" fillId="0" fontId="8" numFmtId="0" xfId="0" applyAlignment="1" applyFont="1">
      <alignment readingOrder="0" shrinkToFit="0" vertical="top" wrapText="1"/>
    </xf>
    <xf borderId="0" fillId="0" fontId="15" numFmtId="0" xfId="0" applyAlignment="1" applyFont="1">
      <alignment readingOrder="0"/>
    </xf>
    <xf borderId="0" fillId="4" fontId="16" numFmtId="0" xfId="0" applyAlignment="1" applyFill="1" applyFont="1">
      <alignment readingOrder="0"/>
    </xf>
    <xf borderId="0" fillId="4" fontId="16" numFmtId="0" xfId="0" applyFont="1"/>
    <xf borderId="0" fillId="0" fontId="17" numFmtId="0" xfId="0" applyAlignment="1" applyFont="1">
      <alignment readingOrder="0"/>
    </xf>
    <xf borderId="0" fillId="0" fontId="17" numFmtId="0" xfId="0" applyFont="1"/>
    <xf borderId="0" fillId="0" fontId="17" numFmtId="166" xfId="0" applyAlignment="1" applyFont="1" applyNumberFormat="1">
      <alignment readingOrder="0"/>
    </xf>
    <xf borderId="0" fillId="0" fontId="18" numFmtId="0" xfId="0" applyAlignment="1" applyFont="1">
      <alignment readingOrder="0"/>
    </xf>
    <xf borderId="0" fillId="0" fontId="17" numFmtId="0" xfId="0" applyAlignment="1" applyFont="1">
      <alignment readingOrder="0"/>
    </xf>
    <xf borderId="0" fillId="0" fontId="17" numFmtId="164" xfId="0" applyAlignment="1" applyFont="1" applyNumberFormat="1">
      <alignment readingOrder="0"/>
    </xf>
    <xf quotePrefix="1" borderId="0" fillId="0" fontId="17" numFmtId="0" xfId="0" applyAlignment="1" applyFont="1">
      <alignment readingOrder="0"/>
    </xf>
    <xf borderId="7" fillId="0" fontId="19" numFmtId="0" xfId="0" applyAlignment="1" applyBorder="1" applyFont="1">
      <alignment horizontal="left" readingOrder="0"/>
    </xf>
    <xf borderId="0" fillId="0" fontId="8" numFmtId="0" xfId="0" applyAlignment="1" applyFont="1">
      <alignment horizontal="left" readingOrder="0"/>
    </xf>
    <xf borderId="0" fillId="0" fontId="20" numFmtId="0" xfId="0" applyAlignment="1" applyFont="1">
      <alignment vertical="bottom"/>
    </xf>
    <xf borderId="0" fillId="0" fontId="20" numFmtId="0" xfId="0" applyAlignment="1" applyFont="1">
      <alignment horizontal="right" vertical="bottom"/>
    </xf>
    <xf borderId="7" fillId="5" fontId="21" numFmtId="0" xfId="0" applyAlignment="1" applyBorder="1" applyFill="1" applyFont="1">
      <alignment horizontal="center" readingOrder="0"/>
    </xf>
    <xf borderId="0" fillId="0" fontId="8" numFmtId="0" xfId="0" applyAlignment="1" applyFont="1">
      <alignment horizontal="center"/>
    </xf>
    <xf borderId="0" fillId="0" fontId="22" numFmtId="0" xfId="0" applyAlignment="1" applyFont="1">
      <alignment horizontal="center"/>
    </xf>
    <xf borderId="7" fillId="0" fontId="8" numFmtId="167" xfId="0" applyAlignment="1" applyBorder="1" applyFont="1" applyNumberFormat="1">
      <alignment horizontal="center"/>
    </xf>
    <xf borderId="0" fillId="0" fontId="8" numFmtId="0" xfId="0" applyAlignment="1" applyFont="1">
      <alignment horizontal="center" readingOrder="0"/>
    </xf>
    <xf borderId="7" fillId="0" fontId="8" numFmtId="0" xfId="0" applyAlignment="1" applyBorder="1" applyFont="1">
      <alignment horizontal="center" readingOrder="0"/>
    </xf>
    <xf borderId="0" fillId="0" fontId="8" numFmtId="0" xfId="0" applyFont="1"/>
    <xf borderId="0" fillId="0" fontId="23" numFmtId="0" xfId="0" applyAlignment="1" applyFont="1">
      <alignment horizontal="left" readingOrder="0"/>
    </xf>
    <xf borderId="0" fillId="6" fontId="8" numFmtId="0" xfId="0" applyFill="1" applyFont="1"/>
    <xf borderId="0" fillId="0" fontId="24" numFmtId="0" xfId="0" applyFont="1"/>
    <xf borderId="7" fillId="3" fontId="25" numFmtId="0" xfId="0" applyAlignment="1" applyBorder="1" applyFont="1">
      <alignment horizontal="center" readingOrder="0" vertical="center"/>
    </xf>
    <xf borderId="7" fillId="3" fontId="21" numFmtId="0" xfId="0" applyAlignment="1" applyBorder="1" applyFont="1">
      <alignment horizontal="center" readingOrder="0"/>
    </xf>
    <xf borderId="7" fillId="3" fontId="26" numFmtId="0" xfId="0" applyAlignment="1" applyBorder="1" applyFont="1">
      <alignment horizontal="center" readingOrder="0"/>
    </xf>
    <xf borderId="7" fillId="3" fontId="27" numFmtId="0" xfId="0" applyAlignment="1" applyBorder="1" applyFont="1">
      <alignment horizontal="center" readingOrder="0"/>
    </xf>
    <xf borderId="0" fillId="0" fontId="21" numFmtId="0" xfId="0" applyAlignment="1" applyFont="1">
      <alignment horizontal="center"/>
    </xf>
    <xf borderId="0" fillId="7" fontId="22" numFmtId="0" xfId="0" applyAlignment="1" applyFill="1" applyFont="1">
      <alignment horizontal="center" readingOrder="0"/>
    </xf>
    <xf borderId="7" fillId="0" fontId="28" numFmtId="0" xfId="0" applyAlignment="1" applyBorder="1" applyFont="1">
      <alignment horizontal="center" readingOrder="0" vertical="center"/>
    </xf>
    <xf borderId="7" fillId="0" fontId="7" numFmtId="168" xfId="0" applyAlignment="1" applyBorder="1" applyFont="1" applyNumberFormat="1">
      <alignment horizontal="center" readingOrder="0" shrinkToFit="0" vertical="bottom" wrapText="0"/>
    </xf>
    <xf borderId="7" fillId="5" fontId="29" numFmtId="0" xfId="0" applyAlignment="1" applyBorder="1" applyFont="1">
      <alignment horizontal="center" readingOrder="0"/>
    </xf>
    <xf borderId="7" fillId="0" fontId="19" numFmtId="0" xfId="0" applyAlignment="1" applyBorder="1" applyFont="1">
      <alignment horizontal="center" readingOrder="0"/>
    </xf>
    <xf borderId="7" fillId="0" fontId="19" numFmtId="0" xfId="0" applyAlignment="1" applyBorder="1" applyFont="1">
      <alignment horizontal="center"/>
    </xf>
    <xf borderId="7" fillId="8" fontId="30" numFmtId="0" xfId="0" applyAlignment="1" applyBorder="1" applyFill="1" applyFont="1">
      <alignment horizontal="center" readingOrder="0" shrinkToFit="0" vertical="bottom" wrapText="0"/>
    </xf>
    <xf borderId="7" fillId="8" fontId="31" numFmtId="0" xfId="0" applyAlignment="1" applyBorder="1" applyFont="1">
      <alignment horizontal="center" readingOrder="0"/>
    </xf>
    <xf borderId="7" fillId="5" fontId="26" numFmtId="0" xfId="0" applyAlignment="1" applyBorder="1" applyFont="1">
      <alignment horizontal="center" readingOrder="0"/>
    </xf>
    <xf borderId="7" fillId="9" fontId="32" numFmtId="0" xfId="0" applyAlignment="1" applyBorder="1" applyFill="1" applyFont="1">
      <alignment horizontal="center" readingOrder="0" shrinkToFit="0" vertical="bottom" wrapText="0"/>
    </xf>
    <xf borderId="7" fillId="9" fontId="33" numFmtId="0" xfId="0" applyAlignment="1" applyBorder="1" applyFont="1">
      <alignment horizontal="center" readingOrder="0"/>
    </xf>
    <xf borderId="7" fillId="7" fontId="28" numFmtId="0" xfId="0" applyAlignment="1" applyBorder="1" applyFont="1">
      <alignment horizontal="center" readingOrder="0" vertical="center"/>
    </xf>
    <xf borderId="7" fillId="7" fontId="19" numFmtId="168" xfId="0" applyAlignment="1" applyBorder="1" applyFont="1" applyNumberFormat="1">
      <alignment horizontal="center" readingOrder="0"/>
    </xf>
    <xf borderId="7" fillId="7" fontId="6" numFmtId="0" xfId="0" applyAlignment="1" applyBorder="1" applyFont="1">
      <alignment horizontal="center" readingOrder="0" shrinkToFit="0" vertical="bottom" wrapText="0"/>
    </xf>
    <xf borderId="7" fillId="7" fontId="29" numFmtId="0" xfId="0" applyAlignment="1" applyBorder="1" applyFont="1">
      <alignment horizontal="center" readingOrder="0"/>
    </xf>
    <xf borderId="7" fillId="7" fontId="19" numFmtId="0" xfId="0" applyAlignment="1" applyBorder="1" applyFont="1">
      <alignment horizontal="center"/>
    </xf>
    <xf borderId="7" fillId="7" fontId="19" numFmtId="0" xfId="0" applyBorder="1" applyFont="1"/>
    <xf borderId="7" fillId="0" fontId="19" numFmtId="168" xfId="0" applyAlignment="1" applyBorder="1" applyFont="1" applyNumberFormat="1">
      <alignment horizontal="center" readingOrder="0"/>
    </xf>
    <xf borderId="7" fillId="0" fontId="19" numFmtId="0" xfId="0" applyBorder="1" applyFont="1"/>
    <xf borderId="7" fillId="8" fontId="34" numFmtId="0" xfId="0" applyAlignment="1" applyBorder="1" applyFont="1">
      <alignment horizontal="center" readingOrder="0" shrinkToFit="0" vertical="bottom" wrapText="0"/>
    </xf>
    <xf borderId="7" fillId="8" fontId="35" numFmtId="0" xfId="0" applyAlignment="1" applyBorder="1" applyFont="1">
      <alignment horizontal="center" readingOrder="0"/>
    </xf>
    <xf borderId="7" fillId="10" fontId="34" numFmtId="0" xfId="0" applyAlignment="1" applyBorder="1" applyFill="1" applyFont="1">
      <alignment horizontal="center" readingOrder="0" shrinkToFit="0" vertical="bottom" wrapText="0"/>
    </xf>
    <xf borderId="7" fillId="10" fontId="29" numFmtId="0" xfId="0" applyAlignment="1" applyBorder="1" applyFont="1">
      <alignment horizontal="center" readingOrder="0"/>
    </xf>
    <xf borderId="7" fillId="10" fontId="35" numFmtId="0" xfId="0" applyAlignment="1" applyBorder="1" applyFont="1">
      <alignment horizontal="center" readingOrder="0"/>
    </xf>
    <xf borderId="7" fillId="9" fontId="26" numFmtId="0" xfId="0" applyAlignment="1" applyBorder="1" applyFont="1">
      <alignment horizontal="center" readingOrder="0"/>
    </xf>
    <xf borderId="7" fillId="10" fontId="31" numFmtId="0" xfId="0" applyAlignment="1" applyBorder="1" applyFont="1">
      <alignment horizontal="center" readingOrder="0"/>
    </xf>
    <xf borderId="7" fillId="7" fontId="8" numFmtId="0" xfId="0" applyAlignment="1" applyBorder="1" applyFont="1">
      <alignment horizontal="center"/>
    </xf>
    <xf borderId="7" fillId="7" fontId="8" numFmtId="0" xfId="0" applyBorder="1" applyFont="1"/>
    <xf borderId="7" fillId="11" fontId="36" numFmtId="0" xfId="0" applyAlignment="1" applyBorder="1" applyFill="1" applyFont="1">
      <alignment horizontal="center" readingOrder="0"/>
    </xf>
    <xf borderId="7" fillId="11" fontId="17" numFmtId="0" xfId="0" applyAlignment="1" applyBorder="1" applyFont="1">
      <alignment horizontal="center" readingOrder="0"/>
    </xf>
    <xf borderId="7" fillId="11" fontId="17" numFmtId="0" xfId="0" applyAlignment="1" applyBorder="1" applyFont="1">
      <alignment horizontal="center"/>
    </xf>
    <xf borderId="7" fillId="11" fontId="8" numFmtId="0" xfId="0" applyAlignment="1" applyBorder="1" applyFont="1">
      <alignment horizontal="center" readingOrder="0"/>
    </xf>
    <xf borderId="7" fillId="12" fontId="28" numFmtId="0" xfId="0" applyAlignment="1" applyBorder="1" applyFill="1" applyFont="1">
      <alignment horizontal="center" readingOrder="0" vertical="center"/>
    </xf>
    <xf borderId="7" fillId="12" fontId="19" numFmtId="168" xfId="0" applyAlignment="1" applyBorder="1" applyFont="1" applyNumberFormat="1">
      <alignment horizontal="center" readingOrder="0"/>
    </xf>
    <xf borderId="7" fillId="12" fontId="6" numFmtId="0" xfId="0" applyAlignment="1" applyBorder="1" applyFont="1">
      <alignment horizontal="center" readingOrder="0" shrinkToFit="0" vertical="bottom" wrapText="0"/>
    </xf>
    <xf borderId="7" fillId="12" fontId="8" numFmtId="0" xfId="0" applyBorder="1" applyFont="1"/>
    <xf borderId="7" fillId="12" fontId="8" numFmtId="0" xfId="0" applyAlignment="1" applyBorder="1" applyFont="1">
      <alignment horizontal="center"/>
    </xf>
    <xf borderId="0" fillId="12" fontId="8" numFmtId="0" xfId="0" applyFont="1"/>
    <xf borderId="7" fillId="0" fontId="28" numFmtId="0" xfId="0" applyAlignment="1" applyBorder="1" applyFont="1">
      <alignment horizontal="center" vertical="center"/>
    </xf>
    <xf borderId="7" fillId="3" fontId="19" numFmtId="49" xfId="0" applyAlignment="1" applyBorder="1" applyFont="1" applyNumberFormat="1">
      <alignment horizontal="center" readingOrder="0" shrinkToFit="0" vertical="center" wrapText="0"/>
    </xf>
    <xf borderId="7" fillId="3" fontId="37" numFmtId="49" xfId="0" applyAlignment="1" applyBorder="1" applyFont="1" applyNumberFormat="1">
      <alignment horizontal="center" readingOrder="0" shrinkToFit="0" vertical="center" wrapText="0"/>
    </xf>
    <xf borderId="7" fillId="3" fontId="19" numFmtId="49" xfId="0" applyAlignment="1" applyBorder="1" applyFont="1" applyNumberFormat="1">
      <alignment horizontal="center" readingOrder="0" shrinkToFit="0" textRotation="0" vertical="center" wrapText="1"/>
    </xf>
    <xf borderId="7" fillId="3" fontId="19" numFmtId="49" xfId="0" applyAlignment="1" applyBorder="1" applyFont="1" applyNumberFormat="1">
      <alignment horizontal="center" readingOrder="0" shrinkToFit="0" vertical="center" wrapText="1"/>
    </xf>
    <xf borderId="0" fillId="13" fontId="19" numFmtId="0" xfId="0" applyAlignment="1" applyFill="1" applyFont="1">
      <alignment horizontal="center" readingOrder="0" shrinkToFit="0" wrapText="0"/>
    </xf>
    <xf borderId="7" fillId="0" fontId="19" numFmtId="0" xfId="0" applyAlignment="1" applyBorder="1" applyFont="1">
      <alignment horizontal="center" readingOrder="0" shrinkToFit="0" vertical="center" wrapText="0"/>
    </xf>
    <xf borderId="7" fillId="0" fontId="19" numFmtId="167" xfId="0" applyAlignment="1" applyBorder="1" applyFont="1" applyNumberFormat="1">
      <alignment horizontal="center" readingOrder="0" shrinkToFit="0" vertical="center" wrapText="0"/>
    </xf>
    <xf borderId="7" fillId="0" fontId="19" numFmtId="4" xfId="0" applyAlignment="1" applyBorder="1" applyFont="1" applyNumberFormat="1">
      <alignment horizontal="center" readingOrder="0" shrinkToFit="0" vertical="center" wrapText="0"/>
    </xf>
    <xf borderId="7" fillId="0" fontId="19" numFmtId="0" xfId="0" applyAlignment="1" applyBorder="1" applyFont="1">
      <alignment horizontal="center" readingOrder="0" shrinkToFit="0" vertical="center" wrapText="0"/>
    </xf>
    <xf borderId="7" fillId="0" fontId="19" numFmtId="169" xfId="0" applyAlignment="1" applyBorder="1" applyFont="1" applyNumberFormat="1">
      <alignment horizontal="center" readingOrder="0" shrinkToFit="0" vertical="center" wrapText="0"/>
    </xf>
    <xf borderId="7" fillId="0" fontId="19" numFmtId="0" xfId="0" applyAlignment="1" applyBorder="1" applyFont="1">
      <alignment horizontal="left" readingOrder="0" shrinkToFit="0" vertical="top" wrapText="0"/>
    </xf>
    <xf borderId="0" fillId="0" fontId="19" numFmtId="0" xfId="0" applyAlignment="1" applyFont="1">
      <alignment horizontal="center" readingOrder="0"/>
    </xf>
    <xf borderId="8" fillId="0" fontId="19" numFmtId="0" xfId="0" applyAlignment="1" applyBorder="1" applyFont="1">
      <alignment horizontal="center" readingOrder="0"/>
    </xf>
    <xf borderId="7" fillId="0" fontId="37" numFmtId="0" xfId="0" applyAlignment="1" applyBorder="1" applyFont="1">
      <alignment horizontal="center" readingOrder="0" shrinkToFit="0" vertical="center" wrapText="0"/>
    </xf>
    <xf borderId="7" fillId="0" fontId="9" numFmtId="0" xfId="0" applyAlignment="1" applyBorder="1" applyFont="1">
      <alignment horizontal="center" readingOrder="0" shrinkToFit="0" vertical="center" wrapText="0"/>
    </xf>
    <xf borderId="7" fillId="11" fontId="19" numFmtId="0" xfId="0" applyAlignment="1" applyBorder="1" applyFont="1">
      <alignment horizontal="center" readingOrder="0" shrinkToFit="0" vertical="center" wrapText="0"/>
    </xf>
    <xf borderId="7" fillId="0" fontId="37" numFmtId="169" xfId="0" applyAlignment="1" applyBorder="1" applyFont="1" applyNumberFormat="1">
      <alignment horizontal="center" readingOrder="0" shrinkToFit="0" vertical="center" wrapText="0"/>
    </xf>
    <xf borderId="7" fillId="12" fontId="19" numFmtId="0" xfId="0" applyAlignment="1" applyBorder="1" applyFont="1">
      <alignment horizontal="center" readingOrder="0" shrinkToFit="0" vertical="center" wrapText="0"/>
    </xf>
    <xf borderId="7" fillId="0" fontId="37" numFmtId="167" xfId="0" applyAlignment="1" applyBorder="1" applyFont="1" applyNumberFormat="1">
      <alignment horizontal="center" readingOrder="0" shrinkToFit="0" vertical="center" wrapText="0"/>
    </xf>
    <xf borderId="7" fillId="6" fontId="19" numFmtId="0" xfId="0" applyAlignment="1" applyBorder="1" applyFont="1">
      <alignment horizontal="center" readingOrder="0" shrinkToFit="0" vertical="center" wrapText="0"/>
    </xf>
    <xf borderId="7" fillId="13" fontId="19" numFmtId="0" xfId="0" applyAlignment="1" applyBorder="1" applyFont="1">
      <alignment horizontal="center" readingOrder="0" shrinkToFit="0" vertical="center" wrapText="0"/>
    </xf>
    <xf borderId="7" fillId="6" fontId="37" numFmtId="0" xfId="0" applyAlignment="1" applyBorder="1" applyFont="1">
      <alignment horizontal="center" readingOrder="0" shrinkToFit="0" vertical="center" wrapText="0"/>
    </xf>
    <xf borderId="0" fillId="0" fontId="8" numFmtId="0" xfId="0" applyAlignment="1" applyFont="1">
      <alignment horizontal="center" readingOrder="0" shrinkToFit="0" vertical="center" wrapText="0"/>
    </xf>
    <xf borderId="7" fillId="0" fontId="38" numFmtId="0" xfId="0" applyAlignment="1" applyBorder="1" applyFont="1">
      <alignment horizontal="center" readingOrder="0" shrinkToFit="0" vertical="center" wrapText="0"/>
    </xf>
    <xf borderId="7" fillId="0" fontId="37" numFmtId="0" xfId="0" applyAlignment="1" applyBorder="1" applyFont="1">
      <alignment horizontal="center" readingOrder="0" shrinkToFit="0" vertical="top" wrapText="0"/>
    </xf>
    <xf borderId="7" fillId="0" fontId="37" numFmtId="0" xfId="0" applyAlignment="1" applyBorder="1" applyFont="1">
      <alignment horizontal="center" readingOrder="0"/>
    </xf>
    <xf borderId="7" fillId="0" fontId="19" numFmtId="4" xfId="0" applyAlignment="1" applyBorder="1" applyFont="1" applyNumberFormat="1">
      <alignment horizontal="center" readingOrder="0"/>
    </xf>
    <xf borderId="7" fillId="0" fontId="19" numFmtId="169" xfId="0" applyAlignment="1" applyBorder="1" applyFont="1" applyNumberFormat="1">
      <alignment horizontal="center" readingOrder="0"/>
    </xf>
    <xf borderId="7" fillId="0" fontId="38" numFmtId="0" xfId="0" applyAlignment="1" applyBorder="1" applyFont="1">
      <alignment horizontal="center" readingOrder="0"/>
    </xf>
    <xf borderId="7" fillId="0" fontId="19" numFmtId="0" xfId="0" applyAlignment="1" applyBorder="1" applyFont="1">
      <alignment horizontal="center" readingOrder="0"/>
    </xf>
    <xf borderId="7" fillId="0" fontId="39" numFmtId="4" xfId="0" applyAlignment="1" applyBorder="1" applyFont="1" applyNumberFormat="1">
      <alignment horizontal="center" readingOrder="0"/>
    </xf>
    <xf borderId="7" fillId="0" fontId="39" numFmtId="0" xfId="0" applyAlignment="1" applyBorder="1" applyFont="1">
      <alignment horizontal="center" readingOrder="0"/>
    </xf>
    <xf borderId="7" fillId="0" fontId="40" numFmtId="0" xfId="0" applyAlignment="1" applyBorder="1" applyFont="1">
      <alignment horizontal="center" readingOrder="0"/>
    </xf>
    <xf borderId="0" fillId="0" fontId="16" numFmtId="0" xfId="0" applyFont="1"/>
    <xf borderId="0" fillId="0" fontId="37" numFmtId="0" xfId="0" applyAlignment="1" applyFont="1">
      <alignment horizontal="center" readingOrder="0"/>
    </xf>
    <xf borderId="7" fillId="3" fontId="16" numFmtId="49" xfId="0" applyAlignment="1" applyBorder="1" applyFont="1" applyNumberFormat="1">
      <alignment horizontal="center" readingOrder="0" shrinkToFit="0" vertical="center" wrapText="0"/>
    </xf>
    <xf borderId="7" fillId="3" fontId="37" numFmtId="49" xfId="0" applyAlignment="1" applyBorder="1" applyFont="1" applyNumberFormat="1">
      <alignment horizontal="center" readingOrder="0" shrinkToFit="0" textRotation="0" vertical="center" wrapText="1"/>
    </xf>
    <xf borderId="7" fillId="3" fontId="37" numFmtId="49" xfId="0" applyAlignment="1" applyBorder="1" applyFont="1" applyNumberFormat="1">
      <alignment horizontal="center" readingOrder="0" shrinkToFit="0" vertical="center" wrapText="1"/>
    </xf>
    <xf borderId="7" fillId="3" fontId="37" numFmtId="0" xfId="0" applyAlignment="1" applyBorder="1" applyFont="1">
      <alignment horizontal="center" readingOrder="0" shrinkToFit="0" vertical="center" wrapText="0"/>
    </xf>
    <xf borderId="7" fillId="3" fontId="37" numFmtId="0" xfId="0" applyAlignment="1" applyBorder="1" applyFont="1">
      <alignment horizontal="center" readingOrder="0" shrinkToFit="0" wrapText="0"/>
    </xf>
    <xf borderId="7" fillId="0" fontId="41" numFmtId="169" xfId="0" applyAlignment="1" applyBorder="1" applyFont="1" applyNumberFormat="1">
      <alignment horizontal="center" readingOrder="0" shrinkToFit="0" vertical="center" wrapText="0"/>
    </xf>
    <xf borderId="7" fillId="0" fontId="19" numFmtId="0" xfId="0" applyAlignment="1" applyBorder="1" applyFont="1">
      <alignment horizontal="center" readingOrder="0" shrinkToFit="0" vertical="center" wrapText="0"/>
    </xf>
    <xf borderId="7" fillId="0" fontId="8" numFmtId="0" xfId="0" applyAlignment="1" applyBorder="1" applyFont="1">
      <alignment horizontal="center" readingOrder="0" shrinkToFit="0" vertical="center" wrapText="0"/>
    </xf>
    <xf borderId="7" fillId="0" fontId="8" numFmtId="0" xfId="0" applyAlignment="1" applyBorder="1" applyFont="1">
      <alignment horizontal="center" readingOrder="0" shrinkToFit="0" vertical="center" wrapText="0"/>
    </xf>
    <xf borderId="7" fillId="0" fontId="8" numFmtId="0" xfId="0" applyAlignment="1" applyBorder="1" applyFont="1">
      <alignment shrinkToFit="0" vertical="center" wrapText="0"/>
    </xf>
    <xf borderId="7" fillId="0" fontId="8" numFmtId="3" xfId="0" applyAlignment="1" applyBorder="1" applyFont="1" applyNumberFormat="1">
      <alignment readingOrder="0" shrinkToFit="0" vertical="center" wrapText="0"/>
    </xf>
    <xf borderId="0" fillId="0" fontId="8" numFmtId="0" xfId="0" applyAlignment="1" applyFont="1">
      <alignment readingOrder="0" shrinkToFit="0" vertical="center" wrapText="0"/>
    </xf>
    <xf borderId="7" fillId="0" fontId="8" numFmtId="0" xfId="0" applyAlignment="1" applyBorder="1" applyFont="1">
      <alignment readingOrder="0" shrinkToFit="0" vertical="center" wrapText="0"/>
    </xf>
    <xf borderId="7" fillId="13" fontId="19" numFmtId="0" xfId="0" applyAlignment="1" applyBorder="1" applyFont="1">
      <alignment horizontal="center" readingOrder="0" shrinkToFit="0" vertical="center" wrapText="0"/>
    </xf>
    <xf borderId="7" fillId="13" fontId="19" numFmtId="0" xfId="0" applyAlignment="1" applyBorder="1" applyFont="1">
      <alignment horizontal="center" readingOrder="0" shrinkToFit="0" vertical="center" wrapText="0"/>
    </xf>
    <xf borderId="7" fillId="13" fontId="19" numFmtId="49" xfId="0" applyAlignment="1" applyBorder="1" applyFont="1" applyNumberFormat="1">
      <alignment horizontal="center" readingOrder="0" shrinkToFit="0" vertical="center" wrapText="0"/>
    </xf>
    <xf borderId="0" fillId="13" fontId="19" numFmtId="0" xfId="0" applyAlignment="1" applyFont="1">
      <alignment horizontal="center" readingOrder="0" shrinkToFit="0" vertical="center" wrapText="0"/>
    </xf>
    <xf borderId="7" fillId="5" fontId="19" numFmtId="0" xfId="0" applyAlignment="1" applyBorder="1" applyFont="1">
      <alignment horizontal="center" readingOrder="0" shrinkToFit="0" vertical="center" wrapText="0"/>
    </xf>
    <xf borderId="7" fillId="13" fontId="19" numFmtId="0" xfId="0" applyAlignment="1" applyBorder="1" applyFont="1">
      <alignment horizontal="center" readingOrder="0" shrinkToFit="0" vertical="center" wrapText="0"/>
    </xf>
    <xf borderId="7" fillId="13" fontId="19" numFmtId="49" xfId="0" applyAlignment="1" applyBorder="1" applyFont="1" applyNumberFormat="1">
      <alignment horizontal="center" readingOrder="0" shrinkToFit="0" wrapText="0"/>
    </xf>
    <xf borderId="7" fillId="0" fontId="42" numFmtId="0" xfId="0" applyAlignment="1" applyBorder="1" applyFont="1">
      <alignment horizontal="center" readingOrder="0" shrinkToFit="0" vertical="center" wrapText="0"/>
    </xf>
    <xf borderId="7" fillId="13" fontId="19" numFmtId="0" xfId="0" applyAlignment="1" applyBorder="1" applyFont="1">
      <alignment horizontal="center" readingOrder="0" shrinkToFit="0" vertical="center" wrapText="0"/>
    </xf>
    <xf borderId="7" fillId="0" fontId="19" numFmtId="167" xfId="0" applyAlignment="1" applyBorder="1" applyFont="1" applyNumberFormat="1">
      <alignment horizontal="center" readingOrder="0" shrinkToFit="0" vertical="center" wrapText="0"/>
    </xf>
    <xf borderId="7" fillId="13" fontId="19" numFmtId="0" xfId="0" applyAlignment="1" applyBorder="1" applyFont="1">
      <alignment horizontal="center" readingOrder="0" shrinkToFit="0" vertical="center" wrapText="0"/>
    </xf>
    <xf borderId="7" fillId="13" fontId="19" numFmtId="49" xfId="0" applyAlignment="1" applyBorder="1" applyFont="1" applyNumberFormat="1">
      <alignment horizontal="center" readingOrder="0" shrinkToFit="0" vertical="center" wrapText="0"/>
    </xf>
    <xf borderId="7" fillId="13" fontId="19" numFmtId="3" xfId="0" applyAlignment="1" applyBorder="1" applyFont="1" applyNumberFormat="1">
      <alignment horizontal="center" readingOrder="0" shrinkToFit="0" vertical="center" wrapText="0"/>
    </xf>
    <xf borderId="7" fillId="13" fontId="43" numFmtId="0" xfId="0" applyAlignment="1" applyBorder="1" applyFont="1">
      <alignment horizontal="center" readingOrder="0" shrinkToFit="0" vertical="center" wrapText="0"/>
    </xf>
    <xf borderId="0" fillId="13" fontId="44" numFmtId="0" xfId="0" applyAlignment="1" applyFont="1">
      <alignment horizontal="center" readingOrder="0" shrinkToFit="0" vertical="center" wrapText="0"/>
    </xf>
    <xf borderId="7" fillId="0" fontId="45" numFmtId="170" xfId="0" applyAlignment="1" applyBorder="1" applyFont="1" applyNumberFormat="1">
      <alignment horizontal="center" readingOrder="0" shrinkToFit="0" vertical="center" wrapText="0"/>
    </xf>
    <xf borderId="7" fillId="0" fontId="39" numFmtId="0" xfId="0" applyBorder="1" applyFont="1"/>
    <xf borderId="7" fillId="0" fontId="39" numFmtId="164" xfId="0" applyAlignment="1" applyBorder="1" applyFont="1" applyNumberFormat="1">
      <alignment horizontal="center" readingOrder="0"/>
    </xf>
    <xf borderId="7" fillId="0" fontId="39" numFmtId="4" xfId="0" applyAlignment="1" applyBorder="1" applyFont="1" applyNumberFormat="1">
      <alignment horizontal="center"/>
    </xf>
    <xf borderId="7" fillId="0" fontId="39" numFmtId="0" xfId="0" applyAlignment="1" applyBorder="1" applyFont="1">
      <alignment horizontal="center"/>
    </xf>
    <xf borderId="7" fillId="0" fontId="39" numFmtId="169" xfId="0" applyAlignment="1" applyBorder="1" applyFont="1" applyNumberFormat="1">
      <alignment horizontal="center"/>
    </xf>
    <xf borderId="7" fillId="0" fontId="39" numFmtId="0" xfId="0" applyAlignment="1" applyBorder="1" applyFont="1">
      <alignment horizontal="center"/>
    </xf>
    <xf borderId="7" fillId="0" fontId="39" numFmtId="49" xfId="0" applyAlignment="1" applyBorder="1" applyFont="1" applyNumberFormat="1">
      <alignment horizontal="center"/>
    </xf>
    <xf borderId="7" fillId="0" fontId="39" numFmtId="169" xfId="0" applyBorder="1" applyFont="1" applyNumberFormat="1"/>
    <xf borderId="7" fillId="0" fontId="8" numFmtId="164" xfId="0" applyAlignment="1" applyBorder="1" applyFont="1" applyNumberFormat="1">
      <alignment horizontal="center" readingOrder="0"/>
    </xf>
    <xf borderId="0" fillId="0" fontId="16" numFmtId="0" xfId="0" applyAlignment="1" applyFont="1">
      <alignment horizontal="left" readingOrder="0" shrinkToFit="0" vertical="center" wrapText="0"/>
    </xf>
    <xf borderId="0" fillId="3" fontId="37" numFmtId="49" xfId="0" applyAlignment="1" applyFont="1" applyNumberFormat="1">
      <alignment horizontal="center" readingOrder="0" shrinkToFit="0" vertical="center" wrapText="0"/>
    </xf>
    <xf borderId="7" fillId="0" fontId="19" numFmtId="4" xfId="0" applyAlignment="1" applyBorder="1" applyFont="1" applyNumberFormat="1">
      <alignment horizontal="center" readingOrder="0" shrinkToFit="0" vertical="center" wrapText="0"/>
    </xf>
    <xf borderId="7" fillId="0" fontId="19" numFmtId="0" xfId="0" applyAlignment="1" applyBorder="1" applyFont="1">
      <alignment horizontal="center" readingOrder="0" shrinkToFit="0" vertical="center" wrapText="0"/>
    </xf>
    <xf borderId="7" fillId="0" fontId="19" numFmtId="169" xfId="0" applyAlignment="1" applyBorder="1" applyFont="1" applyNumberFormat="1">
      <alignment horizontal="center" readingOrder="0" shrinkToFit="0" vertical="center" wrapText="0"/>
    </xf>
    <xf borderId="7" fillId="0" fontId="41" numFmtId="0" xfId="0" applyAlignment="1" applyBorder="1" applyFont="1">
      <alignment horizontal="center" readingOrder="0" shrinkToFit="0" vertical="center" wrapText="0"/>
    </xf>
    <xf borderId="0" fillId="0" fontId="19" numFmtId="167" xfId="0" applyAlignment="1" applyFont="1" applyNumberFormat="1">
      <alignment horizontal="center" readingOrder="0" shrinkToFit="0" vertical="center" wrapText="0"/>
    </xf>
    <xf borderId="7" fillId="6" fontId="19" numFmtId="167" xfId="0" applyAlignment="1" applyBorder="1" applyFont="1" applyNumberFormat="1">
      <alignment horizontal="center" readingOrder="0" shrinkToFit="0" vertical="center" wrapText="0"/>
    </xf>
    <xf borderId="7" fillId="0" fontId="19" numFmtId="3" xfId="0" applyAlignment="1" applyBorder="1" applyFont="1" applyNumberFormat="1">
      <alignment horizontal="center" readingOrder="0" shrinkToFit="0" vertical="center" wrapText="0"/>
    </xf>
    <xf borderId="7" fillId="14" fontId="26" numFmtId="0" xfId="0" applyAlignment="1" applyBorder="1" applyFill="1" applyFont="1">
      <alignment horizontal="center" readingOrder="0" shrinkToFit="0" vertical="center" wrapText="0"/>
    </xf>
    <xf borderId="7" fillId="14" fontId="26" numFmtId="167" xfId="0" applyAlignment="1" applyBorder="1" applyFont="1" applyNumberFormat="1">
      <alignment horizontal="center" readingOrder="0" shrinkToFit="0" vertical="center" wrapText="0"/>
    </xf>
    <xf borderId="7" fillId="14" fontId="26" numFmtId="4" xfId="0" applyAlignment="1" applyBorder="1" applyFont="1" applyNumberFormat="1">
      <alignment horizontal="center" readingOrder="0" shrinkToFit="0" vertical="center" wrapText="0"/>
    </xf>
    <xf borderId="7" fillId="14" fontId="26" numFmtId="0" xfId="0" applyAlignment="1" applyBorder="1" applyFont="1">
      <alignment horizontal="center" readingOrder="0" shrinkToFit="0" vertical="center" wrapText="0"/>
    </xf>
    <xf borderId="7" fillId="14" fontId="26" numFmtId="169" xfId="0" applyAlignment="1" applyBorder="1" applyFont="1" applyNumberFormat="1">
      <alignment horizontal="center" readingOrder="0" shrinkToFit="0" vertical="center" wrapText="0"/>
    </xf>
    <xf borderId="7" fillId="14" fontId="25" numFmtId="0" xfId="0" applyAlignment="1" applyBorder="1" applyFont="1">
      <alignment horizontal="center" readingOrder="0" shrinkToFit="0" vertical="center" wrapText="0"/>
    </xf>
    <xf borderId="0" fillId="0" fontId="37" numFmtId="167" xfId="0" applyAlignment="1" applyFont="1" applyNumberFormat="1">
      <alignment horizontal="center" readingOrder="0" shrinkToFit="0" vertical="center" wrapText="0"/>
    </xf>
    <xf borderId="7" fillId="0" fontId="46" numFmtId="0" xfId="0" applyAlignment="1" applyBorder="1" applyFont="1">
      <alignment horizontal="center" readingOrder="0" shrinkToFit="0" vertical="center" wrapText="0"/>
    </xf>
    <xf borderId="0" fillId="0" fontId="19" numFmtId="167" xfId="0" applyAlignment="1" applyFont="1" applyNumberFormat="1">
      <alignment horizontal="center" readingOrder="0" shrinkToFit="0" vertical="center" wrapText="0"/>
    </xf>
    <xf borderId="0" fillId="0" fontId="47" numFmtId="0" xfId="0" applyAlignment="1" applyFont="1">
      <alignment readingOrder="0" shrinkToFit="0" vertical="center" wrapText="0"/>
    </xf>
    <xf borderId="7" fillId="0" fontId="48" numFmtId="0" xfId="0" applyAlignment="1" applyBorder="1" applyFont="1">
      <alignment horizontal="center" readingOrder="0" shrinkToFit="0" vertical="center" wrapText="0"/>
    </xf>
    <xf borderId="7" fillId="15" fontId="19" numFmtId="0" xfId="0" applyAlignment="1" applyBorder="1" applyFill="1" applyFont="1">
      <alignment horizontal="center" readingOrder="0" shrinkToFit="0" vertical="center" wrapText="0"/>
    </xf>
    <xf borderId="0" fillId="13" fontId="47" numFmtId="0" xfId="0" applyAlignment="1" applyFont="1">
      <alignment readingOrder="0" shrinkToFit="0" vertical="center" wrapText="0"/>
    </xf>
    <xf borderId="7" fillId="7" fontId="26" numFmtId="0" xfId="0" applyAlignment="1" applyBorder="1" applyFont="1">
      <alignment horizontal="center" readingOrder="0" shrinkToFit="0" vertical="center" wrapText="0"/>
    </xf>
    <xf borderId="7" fillId="0" fontId="49" numFmtId="0" xfId="0" applyAlignment="1" applyBorder="1" applyFont="1">
      <alignment horizontal="center" readingOrder="0" shrinkToFit="0" vertical="center" wrapText="0"/>
    </xf>
    <xf borderId="7" fillId="0" fontId="50" numFmtId="0" xfId="0" applyAlignment="1" applyBorder="1" applyFont="1">
      <alignment horizontal="center" readingOrder="0" shrinkToFit="0" vertical="center" wrapText="0"/>
    </xf>
    <xf borderId="7" fillId="16" fontId="29" numFmtId="0" xfId="0" applyAlignment="1" applyBorder="1" applyFill="1" applyFont="1">
      <alignment horizontal="center" readingOrder="0" shrinkToFit="0" vertical="center" wrapText="0"/>
    </xf>
    <xf borderId="7" fillId="3" fontId="19" numFmtId="0" xfId="0" applyAlignment="1" applyBorder="1" applyFont="1">
      <alignment horizontal="center" readingOrder="0" shrinkToFit="0" vertical="center" wrapText="0"/>
    </xf>
    <xf borderId="7" fillId="3" fontId="19" numFmtId="167" xfId="0" applyAlignment="1" applyBorder="1" applyFont="1" applyNumberFormat="1">
      <alignment horizontal="center" readingOrder="0" shrinkToFit="0" vertical="center" wrapText="0"/>
    </xf>
    <xf borderId="7" fillId="3" fontId="19" numFmtId="4" xfId="0" applyAlignment="1" applyBorder="1" applyFont="1" applyNumberFormat="1">
      <alignment horizontal="center" readingOrder="0" shrinkToFit="0" vertical="center" wrapText="0"/>
    </xf>
    <xf borderId="7" fillId="3" fontId="19" numFmtId="0" xfId="0" applyAlignment="1" applyBorder="1" applyFont="1">
      <alignment horizontal="center" readingOrder="0" shrinkToFit="0" vertical="center" wrapText="0"/>
    </xf>
    <xf borderId="7" fillId="3" fontId="19" numFmtId="169" xfId="0" applyAlignment="1" applyBorder="1" applyFont="1" applyNumberFormat="1">
      <alignment horizontal="center" readingOrder="0" shrinkToFit="0" vertical="center" wrapText="0"/>
    </xf>
    <xf borderId="7" fillId="3" fontId="41" numFmtId="0" xfId="0" applyAlignment="1" applyBorder="1" applyFont="1">
      <alignment horizontal="center" readingOrder="0" shrinkToFit="0" vertical="center" wrapText="0"/>
    </xf>
    <xf borderId="0" fillId="3" fontId="19" numFmtId="167" xfId="0" applyAlignment="1" applyFont="1" applyNumberFormat="1">
      <alignment horizontal="center" readingOrder="0" shrinkToFit="0" vertical="center" wrapText="0"/>
    </xf>
    <xf borderId="7" fillId="0" fontId="19" numFmtId="167" xfId="0" applyAlignment="1" applyBorder="1" applyFont="1" applyNumberFormat="1">
      <alignment horizontal="center" readingOrder="0"/>
    </xf>
    <xf borderId="7" fillId="0" fontId="19" numFmtId="0" xfId="0" applyAlignment="1" applyBorder="1" applyFont="1">
      <alignment horizontal="center" readingOrder="0"/>
    </xf>
    <xf borderId="0" fillId="0" fontId="19" numFmtId="167" xfId="0" applyAlignment="1" applyFont="1" applyNumberFormat="1">
      <alignment horizontal="center" readingOrder="0"/>
    </xf>
    <xf borderId="7" fillId="0" fontId="9" numFmtId="0" xfId="0" applyAlignment="1" applyBorder="1" applyFont="1">
      <alignment horizontal="center" readingOrder="0"/>
    </xf>
    <xf borderId="7" fillId="0" fontId="9" numFmtId="164" xfId="0" applyAlignment="1" applyBorder="1" applyFont="1" applyNumberFormat="1">
      <alignment horizontal="center" readingOrder="0"/>
    </xf>
    <xf borderId="7" fillId="0" fontId="9" numFmtId="0" xfId="0" applyAlignment="1" applyBorder="1" applyFont="1">
      <alignment horizontal="center" readingOrder="0"/>
    </xf>
    <xf borderId="7" fillId="0" fontId="9" numFmtId="49" xfId="0" applyAlignment="1" applyBorder="1" applyFont="1" applyNumberFormat="1">
      <alignment horizontal="center" readingOrder="0"/>
    </xf>
    <xf borderId="0" fillId="0" fontId="9" numFmtId="0" xfId="0" applyAlignment="1" applyFont="1">
      <alignment horizontal="center" readingOrder="0"/>
    </xf>
    <xf borderId="0" fillId="0" fontId="9" numFmtId="164" xfId="0" applyAlignment="1" applyFont="1" applyNumberFormat="1">
      <alignment horizontal="center" readingOrder="0"/>
    </xf>
    <xf borderId="0" fillId="0" fontId="9" numFmtId="0" xfId="0" applyAlignment="1" applyFont="1">
      <alignment horizontal="center" readingOrder="0"/>
    </xf>
    <xf borderId="0" fillId="0" fontId="8" numFmtId="164" xfId="0" applyAlignment="1" applyFont="1" applyNumberFormat="1">
      <alignment readingOrder="0"/>
    </xf>
    <xf borderId="0" fillId="0" fontId="8" numFmtId="0" xfId="0" applyFont="1"/>
    <xf borderId="0" fillId="0" fontId="8" numFmtId="169" xfId="0" applyAlignment="1" applyFont="1" applyNumberFormat="1">
      <alignment horizontal="center" readingOrder="0" shrinkToFit="0" vertical="center" wrapText="0"/>
    </xf>
    <xf borderId="0" fillId="0" fontId="8" numFmtId="0" xfId="0" applyAlignment="1" applyFont="1">
      <alignment horizontal="center" readingOrder="0" shrinkToFit="0" vertical="center" wrapText="1"/>
    </xf>
    <xf borderId="7" fillId="0" fontId="8" numFmtId="167" xfId="0" applyAlignment="1" applyBorder="1" applyFont="1" applyNumberFormat="1">
      <alignment horizontal="center" readingOrder="0" shrinkToFit="0" vertical="center" wrapText="0"/>
    </xf>
    <xf borderId="7" fillId="0" fontId="8" numFmtId="0" xfId="0" applyAlignment="1" applyBorder="1" applyFont="1">
      <alignment horizontal="left" readingOrder="0" shrinkToFit="0" vertical="center" wrapText="0"/>
    </xf>
    <xf borderId="7" fillId="0" fontId="8" numFmtId="169" xfId="0" applyAlignment="1" applyBorder="1" applyFont="1" applyNumberFormat="1">
      <alignment horizontal="center" readingOrder="0" shrinkToFit="0" vertical="center" wrapText="0"/>
    </xf>
    <xf borderId="7" fillId="0" fontId="8" numFmtId="0" xfId="0" applyAlignment="1" applyBorder="1" applyFont="1">
      <alignment readingOrder="0" shrinkToFit="0" vertical="center" wrapText="0"/>
    </xf>
    <xf borderId="7" fillId="0" fontId="8" numFmtId="0" xfId="0" applyAlignment="1" applyBorder="1" applyFont="1">
      <alignment horizontal="center" shrinkToFit="0" vertical="center" wrapText="0"/>
    </xf>
    <xf borderId="7" fillId="0" fontId="8" numFmtId="0" xfId="0" applyAlignment="1" applyBorder="1" applyFont="1">
      <alignment readingOrder="0" shrinkToFit="0" vertical="center" wrapText="0"/>
    </xf>
    <xf borderId="7" fillId="0" fontId="8" numFmtId="0" xfId="0" applyAlignment="1" applyBorder="1" applyFont="1">
      <alignment horizontal="left" shrinkToFit="0" vertical="center" wrapText="0"/>
    </xf>
    <xf borderId="7" fillId="0" fontId="8" numFmtId="169" xfId="0" applyAlignment="1" applyBorder="1" applyFont="1" applyNumberFormat="1">
      <alignment horizontal="center" shrinkToFit="0" vertical="center" wrapText="0"/>
    </xf>
    <xf borderId="7" fillId="13" fontId="44" numFmtId="0" xfId="0" applyAlignment="1" applyBorder="1" applyFont="1">
      <alignment horizontal="left" readingOrder="0" shrinkToFit="0" vertical="center" wrapText="0"/>
    </xf>
    <xf borderId="7" fillId="0" fontId="8" numFmtId="0" xfId="0" applyAlignment="1" applyBorder="1" applyFont="1">
      <alignment readingOrder="0" shrinkToFit="0" vertical="center" wrapText="0"/>
    </xf>
    <xf borderId="7" fillId="0" fontId="8" numFmtId="0" xfId="0" applyAlignment="1" applyBorder="1" applyFont="1">
      <alignment horizontal="center" shrinkToFit="0" vertical="center" wrapText="0"/>
    </xf>
    <xf borderId="7" fillId="0" fontId="8" numFmtId="167" xfId="0" applyAlignment="1" applyBorder="1" applyFont="1" applyNumberFormat="1">
      <alignment horizontal="center" shrinkToFit="0" vertical="center" wrapText="0"/>
    </xf>
    <xf borderId="7" fillId="0" fontId="8" numFmtId="0" xfId="0" applyAlignment="1" applyBorder="1" applyFont="1">
      <alignment horizontal="left" shrinkToFit="0" vertical="center" wrapText="0"/>
    </xf>
    <xf borderId="7" fillId="0" fontId="8" numFmtId="169" xfId="0" applyAlignment="1" applyBorder="1" applyFont="1" applyNumberFormat="1">
      <alignment horizontal="center" shrinkToFit="0" vertical="center" wrapText="0"/>
    </xf>
    <xf borderId="7" fillId="0" fontId="8" numFmtId="0" xfId="0" applyAlignment="1" applyBorder="1" applyFont="1">
      <alignment shrinkToFit="0" vertical="center" wrapText="0"/>
    </xf>
    <xf borderId="7" fillId="0" fontId="8" numFmtId="0" xfId="0" applyAlignment="1" applyBorder="1" applyFont="1">
      <alignment horizontal="center" shrinkToFit="0" vertical="center" wrapText="0"/>
    </xf>
    <xf borderId="7" fillId="0" fontId="8" numFmtId="0" xfId="0" applyAlignment="1" applyBorder="1" applyFont="1">
      <alignment horizontal="left"/>
    </xf>
    <xf borderId="7" fillId="0" fontId="8" numFmtId="169" xfId="0" applyAlignment="1" applyBorder="1" applyFont="1" applyNumberFormat="1">
      <alignment horizontal="center"/>
    </xf>
    <xf borderId="7" fillId="0" fontId="8" numFmtId="0" xfId="0" applyAlignment="1" applyBorder="1" applyFont="1">
      <alignment horizontal="center"/>
    </xf>
    <xf borderId="0" fillId="0" fontId="8" numFmtId="0" xfId="0" applyAlignment="1" applyFont="1">
      <alignment horizontal="left"/>
    </xf>
    <xf borderId="0" fillId="0" fontId="8" numFmtId="169" xfId="0" applyAlignment="1" applyFont="1" applyNumberFormat="1">
      <alignment horizontal="center"/>
    </xf>
    <xf borderId="0" fillId="0" fontId="8" numFmtId="0" xfId="0" applyAlignment="1" applyFont="1">
      <alignment horizontal="center"/>
    </xf>
  </cellXfs>
  <cellStyles count="1">
    <cellStyle xfId="0" name="Normal" builtinId="0"/>
  </cellStyles>
  <dxfs count="17">
    <dxf>
      <font>
        <b/>
      </font>
      <fill>
        <patternFill patternType="solid">
          <fgColor rgb="FFFFFF00"/>
          <bgColor rgb="FFFFFF00"/>
        </patternFill>
      </fill>
      <border/>
    </dxf>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color rgb="FFFFFFFF"/>
      </font>
      <fill>
        <patternFill patternType="solid">
          <fgColor rgb="FF9900FF"/>
          <bgColor rgb="FF9900FF"/>
        </patternFill>
      </fill>
      <border/>
    </dxf>
    <dxf>
      <font>
        <b/>
        <color rgb="FFFFFFFF"/>
      </font>
      <fill>
        <patternFill patternType="solid">
          <fgColor rgb="FF3C78D8"/>
          <bgColor rgb="FF3C78D8"/>
        </patternFill>
      </fill>
      <border/>
    </dxf>
    <dxf>
      <font>
        <b/>
        <color rgb="FFFFFFFF"/>
      </font>
      <fill>
        <patternFill patternType="solid">
          <fgColor rgb="FFCC0000"/>
          <bgColor rgb="FFCC0000"/>
        </patternFill>
      </fill>
      <border/>
    </dxf>
    <dxf>
      <font>
        <b/>
        <color rgb="FFFFFFFF"/>
      </font>
      <fill>
        <patternFill patternType="solid">
          <fgColor rgb="FFFFFF00"/>
          <bgColor rgb="FFFFFF00"/>
        </patternFill>
      </fill>
      <border/>
    </dxf>
    <dxf>
      <font>
        <b/>
        <color rgb="FFFFFFFF"/>
      </font>
      <fill>
        <patternFill patternType="solid">
          <fgColor rgb="FF00FF00"/>
          <bgColor rgb="FF00FF00"/>
        </patternFill>
      </fill>
      <border/>
    </dxf>
    <dxf>
      <font>
        <b/>
        <color rgb="FFFFFFFF"/>
      </font>
      <fill>
        <patternFill patternType="solid">
          <fgColor theme="6"/>
          <bgColor theme="6"/>
        </patternFill>
      </fill>
      <border/>
    </dxf>
    <dxf>
      <font>
        <b/>
        <color rgb="FFFFFFFF"/>
      </font>
      <fill>
        <patternFill patternType="solid">
          <fgColor rgb="FFFF0000"/>
          <bgColor rgb="FFFF0000"/>
        </patternFill>
      </fill>
      <border/>
    </dxf>
    <dxf>
      <font/>
      <fill>
        <patternFill patternType="solid">
          <fgColor rgb="FFFF0000"/>
          <bgColor rgb="FFFF0000"/>
        </patternFill>
      </fill>
      <border/>
    </dxf>
    <dxf>
      <font/>
      <fill>
        <patternFill patternType="solid">
          <fgColor rgb="FFCCD9D4"/>
          <bgColor rgb="FFCCD9D4"/>
        </patternFill>
      </fill>
      <border/>
    </dxf>
    <dxf>
      <font>
        <b/>
        <color rgb="FFFFFFFF"/>
      </font>
      <fill>
        <patternFill patternType="solid">
          <fgColor rgb="FFFBBC04"/>
          <bgColor rgb="FFFBBC04"/>
        </patternFill>
      </fill>
      <border/>
    </dxf>
  </dxfs>
  <tableStyles count="5">
    <tableStyle count="4" pivot="0" name="ENERO-style">
      <tableStyleElement dxfId="3" type="headerRow"/>
      <tableStyleElement dxfId="4" type="firstRowStripe"/>
      <tableStyleElement dxfId="5" type="secondRowStripe"/>
      <tableStyleElement dxfId="6" size="0" type="wholeTable"/>
    </tableStyle>
    <tableStyle count="5" pivot="0" name="FEBRERO-style">
      <tableStyleElement dxfId="3" type="headerRow"/>
      <tableStyleElement dxfId="4" type="firstRowStripe"/>
      <tableStyleElement dxfId="5" type="secondRowStripe"/>
      <tableStyleElement dxfId="15" type="totalRow"/>
      <tableStyleElement dxfId="6" size="0" type="wholeTable"/>
    </tableStyle>
    <tableStyle count="4" pivot="0" name="MARZO-style">
      <tableStyleElement dxfId="3" type="headerRow"/>
      <tableStyleElement dxfId="4" type="firstRowStripe"/>
      <tableStyleElement dxfId="5" type="secondRowStripe"/>
      <tableStyleElement dxfId="6" size="0" type="wholeTable"/>
    </tableStyle>
    <tableStyle count="2" pivot="0" name="MARZO-style 2">
      <tableStyleElement dxfId="4" type="firstRowStripe"/>
      <tableStyleElement dxfId="5" type="secondRowStripe"/>
    </tableStyle>
    <tableStyle count="4" pivot="0" name="MARZO - LOCAL - WHATSAPP-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1062" displayName="Tabla_1" name="Tabla_1" id="1">
  <autoFilter ref="$A$1:$U$1062"/>
  <tableColumns count="21">
    <tableColumn name="N°" id="1"/>
    <tableColumn name="FECHA " id="2"/>
    <tableColumn name="NOMBRES Y PELLIDOS " id="3"/>
    <tableColumn name="PRODUCTO " id="4"/>
    <tableColumn name="COSTO PROVEDOR" id="5"/>
    <tableColumn name="CANTIDAD" id="6"/>
    <tableColumn name="PRECIO TOTAL" id="7"/>
    <tableColumn name="PLATAFORMA " id="8"/>
    <tableColumn name="PROVINCIA " id="9"/>
    <tableColumn name="CSTENVIO " id="10"/>
    <tableColumn name="UTILIDAD" id="11"/>
    <tableColumn name="CST DEV" id="12"/>
    <tableColumn name="ASESOR" id="13"/>
    <tableColumn name="# PEDIDO" id="14"/>
    <tableColumn name="ESTADO" id="15"/>
    <tableColumn name="OBSERBACION" id="16"/>
    <tableColumn name="DIFERENCIA" id="17"/>
    <tableColumn name="DEVOLUCIONES" id="18"/>
    <tableColumn name="# DEV " id="19"/>
    <tableColumn name="ID" id="20"/>
    <tableColumn name="IP" id="21"/>
  </tableColumns>
  <tableStyleInfo name="ENERO-style" showColumnStripes="0" showFirstColumn="1" showLastColumn="1" showRowStripes="1"/>
</table>
</file>

<file path=xl/tables/table2.xml><?xml version="1.0" encoding="utf-8"?>
<table xmlns="http://schemas.openxmlformats.org/spreadsheetml/2006/main" totalsRowCount="1" ref="A1:V728" displayName="Tabla_2" name="Tabla_2" id="2">
  <autoFilter ref="$A$1:$V$728">
    <filterColumn colId="3">
      <filters>
        <filter val="FreeBeat Adapter"/>
      </filters>
    </filterColumn>
  </autoFilter>
  <tableColumns count="22">
    <tableColumn totalsRowLabel="727" name="N°" id="1"/>
    <tableColumn totalsRowLabel="28/02/2026" name="FECHA " id="2"/>
    <tableColumn totalsRowLabel="Jessica Solano" name="NOMBRES Y PELLIDOS " id="3"/>
    <tableColumn totalsRowFunction="custom" name="Columna 4" id="4"/>
    <tableColumn totalsRowFunction="custom" name="COSTO PROVEDOR" id="5"/>
    <tableColumn totalsRowLabel="2" name="CANTIDAD" id="6"/>
    <tableColumn totalsRowFunction="custom" name="PRECIO TOTAL" id="7"/>
    <tableColumn totalsRowLabel="DROPI" name="PLATAFORMA " id="8"/>
    <tableColumn totalsRowLabel="EL ORO" name="PROVINCIA " id="9"/>
    <tableColumn totalsRowFunction="custom" name="CSTENVIO " id="10"/>
    <tableColumn totalsRowFunction="custom" name="UTILIDAD" id="11"/>
    <tableColumn totalsRowFunction="custom" name="CST DEV" id="12"/>
    <tableColumn totalsRowLabel="ABS " name="ASESOR" id="13"/>
    <tableColumn totalsRowLabel="#6450" name="# PEDIDO" id="14"/>
    <tableColumn totalsRowFunction="custom" name="ESTADO" id="15"/>
    <tableColumn totalsRowLabel="PRIOCESO " name="OBSERBACION" id="16"/>
    <tableColumn totalsRowFunction="custom" name="DIFERENCIA" id="17"/>
    <tableColumn name="DEVOLUCIONES" id="18"/>
    <tableColumn name="# DEV " id="19"/>
    <tableColumn totalsRowFunction="custom" name="ID" id="20"/>
    <tableColumn totalsRowLabel="45.189.57.12" name="IP" id="21"/>
    <tableColumn name="Columna 1" id="22"/>
  </tableColumns>
  <tableStyleInfo name="FEBRERO-style" showColumnStripes="0" showFirstColumn="1" showLastColumn="1" showRowStripes="1"/>
</table>
</file>

<file path=xl/tables/table3.xml><?xml version="1.0" encoding="utf-8"?>
<table xmlns="http://schemas.openxmlformats.org/spreadsheetml/2006/main" ref="A1:Z391" displayName="Tabla_3" name="Tabla_3" id="3">
  <autoFilter ref="$A$1:$Z$391"/>
  <tableColumns count="26">
    <tableColumn name="Columna 1" id="1"/>
    <tableColumn name="N°" id="2"/>
    <tableColumn name="NOMBRES Y PELLIDOS " id="3"/>
    <tableColumn name="PRODUCTO " id="4"/>
    <tableColumn name="COSTO PROVEDOR" id="5"/>
    <tableColumn name="CANTIDAD" id="6"/>
    <tableColumn name="PRECIO TOTAL" id="7"/>
    <tableColumn name="PLATAFORMA " id="8"/>
    <tableColumn name="PROVINCIA " id="9"/>
    <tableColumn name="CSTENVIO " id="10"/>
    <tableColumn name="UTILIDAD" id="11"/>
    <tableColumn name="CST DEV" id="12"/>
    <tableColumn name="ASESOR" id="13"/>
    <tableColumn name="# PEDIDO" id="14"/>
    <tableColumn name="ESTADO" id="15"/>
    <tableColumn name="OBSERVACIÓN" id="16"/>
    <tableColumn name="DIFERENCIA" id="17"/>
    <tableColumn name="DEVOLUCIONES" id="18"/>
    <tableColumn name="# DEV " id="19"/>
    <tableColumn name="ID" id="20"/>
    <tableColumn name="IP" id="21"/>
    <tableColumn name="Column 22" id="22"/>
    <tableColumn name="Column 23" id="23"/>
    <tableColumn name="Column 24" id="24"/>
    <tableColumn name="Column 25" id="25"/>
    <tableColumn name="Column 26" id="26"/>
  </tableColumns>
  <tableStyleInfo name="MARZO-style" showColumnStripes="0" showFirstColumn="1" showLastColumn="1" showRowStripes="1"/>
</table>
</file>

<file path=xl/tables/table4.xml><?xml version="1.0" encoding="utf-8"?>
<table xmlns="http://schemas.openxmlformats.org/spreadsheetml/2006/main" headerRowCount="0" ref="A392:Z394" displayName="Table_1" name="Table_1"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MARZO-style 2" showColumnStripes="0" showFirstColumn="1" showLastColumn="1" showRowStripes="1"/>
</table>
</file>

<file path=xl/tables/table5.xml><?xml version="1.0" encoding="utf-8"?>
<table xmlns="http://schemas.openxmlformats.org/spreadsheetml/2006/main" ref="A1:K19" displayName="Tabla_4" name="Tabla_4" id="5">
  <autoFilter ref="$A$1:$K$19"/>
  <tableColumns count="11">
    <tableColumn name="N°" id="1"/>
    <tableColumn name="FECHA " id="2"/>
    <tableColumn name="Nombre y Apellido" id="3"/>
    <tableColumn name="PRODUCTO" id="4"/>
    <tableColumn name="PRECIO " id="5"/>
    <tableColumn name="CANTIDAD" id="6"/>
    <tableColumn name="TOTAL" id="7"/>
    <tableColumn name="ESTADO " id="8"/>
    <tableColumn name="PLATAFORMA" id="9"/>
    <tableColumn name="ID " id="10"/>
    <tableColumn name="CARGADO SISTEMA" id="11"/>
  </tableColumns>
  <tableStyleInfo name="MARZO - LOCAL - WHATSAP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ogle.com/maps/place/1%C2%B030'09.8%22S+77%C2%B058'54.9%22W/@-1.502904,-77.9822402,18.25z/data=!4m4!3m3!8m2!3d-1.5027248!4d-77.9819107?entry=ttu&amp;g_ep=EgoyMDI2MDEyOC4wIKXMDSoASAFQAw%3D%3D" TargetMode="External"/><Relationship Id="rId2" Type="http://schemas.openxmlformats.org/officeDocument/2006/relationships/hyperlink" Target="https://www.google.com/maps/place/0%C2%B013'32.8%22S+78%C2%B030'15.9%22W/@-0.2258944,-78.5047726,20.5z/data=!4m4!3m3!8m2!3d-0.2257765!4d-78.50442?entry=ttu&amp;g_ep=EgoyMDI2MDEyOC4wIKXMDSoASAFQAw%3D%3D" TargetMode="External"/><Relationship Id="rId3" Type="http://schemas.openxmlformats.org/officeDocument/2006/relationships/hyperlink" Target="https://www.google.com/maps/place/0%C2%B016'50.0%22S+78%C2%B028'12.5%22W/@-0.2806852,-78.4703682,3a,35.9y,332.39h,97.55t/data=!3m7!1e1!3m5!1sRkMogptyCInAosDHG-chrg!2e0!6shttps:%2F%2Fstreetviewpixels-pa.googleapis.com%2Fv1%2Fthumbnail%3Fcb_client%3Dmaps_sv.tactile%26w%3D900%26h%3D600%26pitch%3D-7.554337423855301%26panoid%3DRkMogptyCInAosDHG-chrg%26yaw%3D332.39278509059704!7i16384!8i8192!4m4!3m3!8m2!3d-0.2805645!4d-78.4701462?entry=ttu&amp;g_ep=EgoyMDI2MDEyOC4wIKXMDSoASAFQAw%3D%3D" TargetMode="External"/><Relationship Id="rId4" Type="http://schemas.openxmlformats.org/officeDocument/2006/relationships/hyperlink" Target="https://www.google.com/maps/place/2%C2%B014'02.7%22S+79%C2%B053'31.1%22W/@-2.234206,-79.8921612,21z/data=!4m4!3m3!8m2!3d-2.2340833!4d-79.8919722?entry=ttu&amp;g_ep=EgoyMDI2MDEyOC4wIKXMDSoASAFQAw%3D%3D" TargetMode="External"/><Relationship Id="rId11" Type="http://schemas.openxmlformats.org/officeDocument/2006/relationships/hyperlink" Target="https://www.google.com/maps/place/1%C2%B057'25.0%22S+79%C2%B043'41.2%22W/@-1.9572401,-79.7315454,16.04z/data=!4m4!3m3!8m2!3d-1.9569445!4d-79.7281189?entry=ttu&amp;g_ep=EgoyMDI2MDEwNy4wIKXMDSoASAFQAw%3D%3D" TargetMode="External"/><Relationship Id="rId10" Type="http://schemas.openxmlformats.org/officeDocument/2006/relationships/hyperlink" Target="https://www.google.com/maps/place/Radio+Eco+FM/@-0.2766119,-79.4707652,3a,75y,263.01h,99.67t/data=!3m7!1e1!3m5!1sjqAW-o8V9vgXTcdCRZEByQ!2e0!6shttps:%2F%2Fstreetviewpixels-pa.googleapis.com%2Fv1%2Fthumbnail%3Fcb_client%3Dmaps_sv.tactile%26w%3D900%26h%3D600%26pitch%3D-9.673145462797478%26panoid%3DjqAW-o8V9vgXTcdCRZEByQ%26yaw%3D263.0128846719606!7i13312!8i6656!4m6!3m5!1s0x902ab71ce152c221:0x517bc08a50426ead!8m2!3d-0.2764438!4d-79.4704142!16s%2Fg%2F11gmfxk51l?entry=ttu&amp;g_ep=EgoyMDI2MDEwNy4wIKXMDSoASAFQAw%3D%3D" TargetMode="External"/><Relationship Id="rId12" Type="http://schemas.openxmlformats.org/officeDocument/2006/relationships/drawing" Target="../drawings/drawing10.xml"/><Relationship Id="rId9" Type="http://schemas.openxmlformats.org/officeDocument/2006/relationships/hyperlink" Target="https://www.google.com/maps/place/1%C2%B020'10.5%22S+78%C2%B034'12.2%22W/@-1.3364166,-78.5700737,3a,75y,173.85h,90.9t/data=!3m7!1e1!3m5!1sq0LkJ3kAhnbrI4MgmMxJiQ!2e0!6shttps:%2F%2Fstreetviewpixels-pa.googleapis.com%2Fv1%2Fthumbnail%3Fcb_client%3Dmaps_sv.tactile%26w%3D900%26h%3D600%26pitch%3D-0.9014629423983962%26panoid%3Dq0LkJ3kAhnbrI4MgmMxJiQ%26yaw%3D173.8515063341803!7i16384!8i8192!4m4!3m3!8m2!3d-1.3362591!4d-78.5700531?entry=ttu&amp;g_ep=EgoyMDI2MDEwNy4wIKXMDSoASAFQAw%3D%3D" TargetMode="External"/><Relationship Id="rId5" Type="http://schemas.openxmlformats.org/officeDocument/2006/relationships/hyperlink" Target="https://www.google.com/maps/place/0%C2%B019'32.1%22N+78%C2%B013'29.2%22W/@0.3259404,-78.2248314,18.83z/data=!4m4!3m3!8m2!3d0.3255833!4d-78.2247733?entry=ttu&amp;g_ep=EgoyMDI2MDEyOC4wIKXMDSoASAFQAw%3D%3D" TargetMode="External"/><Relationship Id="rId6" Type="http://schemas.openxmlformats.org/officeDocument/2006/relationships/hyperlink" Target="https://www.google.com/maps/place/Exclusividades+VICMAR/@-3.6809786,-79.6835818,869m/data=!3m2!1e3!4b1!4m6!3m5!1s0x90335f6256088059:0xff1a1fb8fa207107!8m2!3d-3.6809786!4d-79.6810069!16s%2Fg%2F11cmsf2n_k?entry=ttu&amp;g_ep=EgoyMDI2MDExMy4wIKXMDSoASAFQAw%3D%3D" TargetMode="External"/><Relationship Id="rId7" Type="http://schemas.openxmlformats.org/officeDocument/2006/relationships/hyperlink" Target="https://www.google.com/maps/place/Exclusividades+VICMAR/@-3.6808702,-79.6813244,158m/data=!3m1!1e3!4m6!3m5!1s0x90335f6256088059:0xff1a1fb8fa207107!8m2!3d-3.6809786!4d-79.6810069!16s%2Fg%2F11cmsf2n_k?entry=ttu&amp;g_ep=EgoyMDI2MDExMy4wIKXMDSoASAFQAw%3D%3D" TargetMode="External"/><Relationship Id="rId8" Type="http://schemas.openxmlformats.org/officeDocument/2006/relationships/hyperlink" Target="https://www.google.com/maps/place/0%C2%B016'18.3%22S+78%C2%B031'19.6%22W/@-0.2718172,-78.5222227,19.25z/data=!4m4!3m3!8m2!3d-0.2717524!4d-78.522123?hl=es&amp;entry=ttu&amp;g_ep=EgoyMDI2MDEwNy4wIKXMDSoASAFQAw%3D%3D"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3.xml"/><Relationship Id="rId5"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13.5"/>
    <col customWidth="1" min="3" max="3" width="18.38"/>
    <col customWidth="1" min="4" max="4" width="15.13"/>
    <col customWidth="1" min="5" max="5" width="19.0"/>
    <col customWidth="1" min="6" max="6" width="14.38"/>
    <col customWidth="1" min="7" max="7" width="20.25"/>
    <col customWidth="1" min="9" max="9" width="14.75"/>
    <col customWidth="1" min="10" max="10" width="17.63"/>
    <col customWidth="1" min="11" max="11" width="18.88"/>
    <col customWidth="1" min="12" max="12" width="16.88"/>
    <col customWidth="1" min="13" max="13" width="16.63"/>
    <col customWidth="1" min="14" max="14" width="20.25"/>
    <col customWidth="1" min="15" max="15" width="19.75"/>
    <col customWidth="1" min="16" max="16" width="16.38"/>
  </cols>
  <sheetData>
    <row r="1">
      <c r="A1" s="1" t="s">
        <v>0</v>
      </c>
      <c r="B1" s="2"/>
      <c r="C1" s="2"/>
      <c r="D1" s="2"/>
      <c r="E1" s="2"/>
      <c r="F1" s="2"/>
      <c r="G1" s="2"/>
      <c r="H1" s="2"/>
      <c r="I1" s="2"/>
      <c r="J1" s="2"/>
      <c r="K1" s="2"/>
      <c r="L1" s="2"/>
      <c r="M1" s="2"/>
      <c r="N1" s="2"/>
      <c r="O1" s="2"/>
      <c r="P1" s="3"/>
    </row>
    <row r="2">
      <c r="A2" s="4"/>
      <c r="B2" s="5"/>
      <c r="C2" s="5"/>
      <c r="D2" s="5"/>
      <c r="E2" s="5"/>
      <c r="F2" s="5"/>
      <c r="G2" s="5"/>
      <c r="H2" s="5"/>
      <c r="I2" s="5"/>
      <c r="J2" s="5"/>
      <c r="K2" s="5"/>
      <c r="L2" s="5"/>
      <c r="M2" s="5"/>
      <c r="N2" s="5"/>
      <c r="O2" s="5"/>
      <c r="P2" s="6"/>
    </row>
    <row r="3" ht="18.75" customHeight="1">
      <c r="A3" s="7" t="s">
        <v>1</v>
      </c>
      <c r="B3" s="7" t="s">
        <v>2</v>
      </c>
      <c r="C3" s="7" t="s">
        <v>3</v>
      </c>
      <c r="D3" s="7" t="s">
        <v>4</v>
      </c>
      <c r="E3" s="7" t="s">
        <v>5</v>
      </c>
      <c r="F3" s="8" t="s">
        <v>6</v>
      </c>
      <c r="G3" s="8" t="s">
        <v>7</v>
      </c>
      <c r="H3" s="7" t="s">
        <v>8</v>
      </c>
      <c r="I3" s="8" t="s">
        <v>9</v>
      </c>
      <c r="J3" s="8" t="str">
        <f>IFERROR(
IF(OR($K10=0, SUM($J10:P10)=0), "", 
"ENTREGAS "&amp;TEXT(J10/SUM($J10:P10), "0%"))
,"")
</f>
        <v>ENTREGAS 54%</v>
      </c>
      <c r="K3" s="8" t="str">
        <f>IFERROR(
IF(OR($K10=0, SUM($J10:P10)=0), "", 
"DEVOLUCION "&amp;TEXT(K10/SUM($J10:P10), "0%"))
,"")</f>
        <v>DEVOLUCION 22%</v>
      </c>
      <c r="L3" s="8" t="str">
        <f>IFERROR(
IF(OR($K10=0, SUM($J10:P10)=0), "", 
"PROCESO "&amp;TEXT(L10/SUM($J10:P10), "0%"))
,"")</f>
        <v>PROCESO 0%</v>
      </c>
      <c r="M3" s="8" t="str">
        <f>IFERROR(
IF(OR($K10=0, SUM($J10:P10)=0), "", 
"NOVEDAD "&amp;TEXT(M10/SUM($J10:P10), "0%"))
,"")</f>
        <v>NOVEDAD 0%</v>
      </c>
      <c r="N3" s="8" t="str">
        <f>IFERROR(
IF(OR($K10=0, SUM($J10:P10)=0), "", 
"PENDIENTES "&amp;TEXT(N10/SUM($J10:P10), "0%"))
,"")</f>
        <v>PENDIENTES 14%</v>
      </c>
      <c r="O3" s="9" t="str">
        <f>IFERROR(
IF(OR($K10=0, SUM($J10:P10)=0), "", 
"CANCELADOS "&amp;TEXT(O10/SUM($J10:P10), "0%"))
,"")</f>
        <v>CANCELADOS 7%</v>
      </c>
      <c r="P3" s="9" t="str">
        <f>IFERROR(
IF(OR($K10=0, SUM($J10:P10)=0), "", 
"REVISAR "&amp;TEXT(P10/SUM($J10:P10), "0%"))
,"")</f>
        <v>REVISAR 3%</v>
      </c>
      <c r="Q3" s="10"/>
      <c r="R3" s="10"/>
      <c r="S3" s="10"/>
      <c r="T3" s="10"/>
      <c r="U3" s="10"/>
      <c r="V3" s="10"/>
      <c r="W3" s="10"/>
      <c r="X3" s="10"/>
      <c r="Y3" s="10"/>
      <c r="Z3" s="10"/>
      <c r="AA3" s="10"/>
    </row>
    <row r="4">
      <c r="A4" s="11" t="str">
        <f>IFERROR(__xludf.DUMMYFUNCTION("UNIQUE(
  FILTER(
    TRIM(
      FLATTEN(
        SPLIT(ENERO!D2:D1000, "";"")
      )
    ),
    FLATTEN(
      SPLIT(ENERO!D2:D1000, "";"")
    )&lt;&gt;""""
  )
)"),"Llave Multifuncional 360™")</f>
        <v>Llave Multifuncional 360™</v>
      </c>
      <c r="B4" s="11">
        <f>IF(A4="","",SUMIF(ENERO!D:D, A4, ENERO!G:G))
</f>
        <v>1519.75</v>
      </c>
      <c r="C4" s="11">
        <f>IF(A4="","",SUMIF(ENERO!D:D, A4, ENERO!E:E))
</f>
        <v>485</v>
      </c>
      <c r="D4" s="11">
        <f>IF(A4="","",SUMIF(ENERO!D:D, A4, ENERO!J:J))
</f>
        <v>345.33</v>
      </c>
      <c r="E4" s="11">
        <f>IF(A4="","",SUMIF(ENERO!D:D, A4, ENERO!L:L))
</f>
        <v>115.45</v>
      </c>
      <c r="F4" s="12">
        <f>IFERROR(__xludf.DUMMYFUNCTION("IFERROR(
IF(A4="""","""",SUM(
FILTER(
VALUE(SUBSTITUTE(TK!B:B,""."","","")), 
REGEXMATCH(TK!A:A,A4),
MONTH(
DATE(
VALUE(RIGHT(LEFT(TK!A:A,10),4)),
VALUE(MID(TK!A:A,4,2)),
VALUE(LEFT(TK!A:A,2))
)
)=1
)
)),
"""")
"),0.0)</f>
        <v>0</v>
      </c>
      <c r="G4" s="12">
        <f>IFERROR(__xludf.DUMMYFUNCTION("IF(
  A4="""",
  """",
  SUM(
    FILTER(
      VALUE(SUBSTITUTE(FB!D:D, ""."", "","")),
      REGEXMATCH(FB!B:B, A4),
      MONTH(FB!E:E)=1
    )
  ) * 1.2
)
"),525.564)</f>
        <v>525.564</v>
      </c>
      <c r="H4" s="13"/>
      <c r="I4" s="14">
        <f t="shared" ref="I4:I9" si="1">IF(A4="","",B4-SUM(C4:G4))</f>
        <v>48.406</v>
      </c>
      <c r="J4" s="11">
        <f>IF(A4="","",COUNTIFS(ENERO!D:D,A4,ENERO!O:O,"ENTREGADO"))
</f>
        <v>61</v>
      </c>
      <c r="K4" s="11">
        <f>IF(A4="","",COUNTIFS(ENERO!D:D,A4,ENERO!O:O,"DEVOLUCION"))</f>
        <v>23</v>
      </c>
      <c r="L4" s="11">
        <f>IF(A4="","",COUNTIFS(ENERO!D:D,A4,ENERO!O:O,"PROCESO"))</f>
        <v>0</v>
      </c>
      <c r="M4" s="11">
        <f>IF(A4="","",COUNTIFS(ENERO!D:D,A4,ENERO!O:O,"NOVEDAD"))</f>
        <v>0</v>
      </c>
      <c r="N4" s="11">
        <f>IF(A4="","",COUNTIFS(ENERO!D:D,A4,ENERO!O:O,"PENDIENTE"))</f>
        <v>6</v>
      </c>
      <c r="O4" s="11">
        <f>IF(A4="","",COUNTIFS(ENERO!D:D,A4,ENERO!O:O,"CANCELADO"))</f>
        <v>12</v>
      </c>
      <c r="P4" s="15">
        <f>IF(A4="","",COUNTIFS(ENERO!D:D,A4,ENERO!O:O,"REVISAR"))</f>
        <v>7</v>
      </c>
    </row>
    <row r="5">
      <c r="A5" s="11" t="str">
        <f>IFERROR(__xludf.DUMMYFUNCTION("""COMPUTED_VALUE"""),"FilmPro®")</f>
        <v>FilmPro®</v>
      </c>
      <c r="B5" s="11">
        <f>IF(A5="","",SUMIF(ENERO!D:D, A5, ENERO!G:G))
</f>
        <v>8355</v>
      </c>
      <c r="C5" s="11">
        <f>IF(A5="","",SUMIF(ENERO!D:D, A5, ENERO!E:E))
</f>
        <v>1694.37</v>
      </c>
      <c r="D5" s="11">
        <f>IF(A5="","",SUMIF(ENERO!D:D, A5, ENERO!J:J))
</f>
        <v>1972.23</v>
      </c>
      <c r="E5" s="11">
        <f>IF(A5="","",SUMIF(ENERO!D:D, A5, ENERO!L:L))
</f>
        <v>683.79</v>
      </c>
      <c r="F5" s="12">
        <f>IFERROR(__xludf.DUMMYFUNCTION("IFERROR(
IF(A5="""","""",SUM(
FILTER(
VALUE(SUBSTITUTE(TK!B:B,""."","","")), 
REGEXMATCH(TK!A:A,A5),
MONTH(
DATE(
VALUE(RIGHT(LEFT(TK!A:A,10),4)),
VALUE(MID(TK!A:A,4,2)),
VALUE(LEFT(TK!A:A,2))
)
)=1
)
)),
"""")
"),127.08)</f>
        <v>127.08</v>
      </c>
      <c r="G5" s="12">
        <f>IFERROR(__xludf.DUMMYFUNCTION("IF(
  A5="""",
  """",
  SUM(
    FILTER(
      VALUE(SUBSTITUTE(FB!D:D, ""."", "","")),
      REGEXMATCH(FB!B:B, A5),
      MONTH(FB!E:E)=1
    )
  ) * 1.2
)
"),1875.828)</f>
        <v>1875.828</v>
      </c>
      <c r="H5" s="16"/>
      <c r="I5" s="14">
        <f t="shared" si="1"/>
        <v>2001.702</v>
      </c>
      <c r="J5" s="11">
        <f>IF(A5="","",COUNTIFS(ENERO!D:D,A5,ENERO!O:O,"ENTREGADO"))
</f>
        <v>329</v>
      </c>
      <c r="K5" s="11">
        <f>IF(A5="","",COUNTIFS(ENERO!D:D,A5,ENERO!O:O,"DEVOLUCION"))</f>
        <v>133</v>
      </c>
      <c r="L5" s="11">
        <f>IF(A5="","",COUNTIFS(ENERO!D:D,A5,ENERO!O:O,"PROCESO"))</f>
        <v>0</v>
      </c>
      <c r="M5" s="11">
        <f>IF(A5="","",COUNTIFS(ENERO!D:D,A5,ENERO!O:O,"NOVEDAD"))</f>
        <v>0</v>
      </c>
      <c r="N5" s="11">
        <f>IF(A5="","",COUNTIFS(ENERO!D:D,A5,ENERO!O:O,"PENDIENTE"))</f>
        <v>107</v>
      </c>
      <c r="O5" s="11">
        <f>IF(A5="","",COUNTIFS(ENERO!D:D,A5,ENERO!O:O,"CANCELADO"))</f>
        <v>48</v>
      </c>
      <c r="P5" s="15">
        <f>IF(A5="","",COUNTIFS(ENERO!D:D,A5,ENERO!O:O,"REVISAR"))</f>
        <v>0</v>
      </c>
    </row>
    <row r="6">
      <c r="A6" s="11" t="str">
        <f>IFERROR(__xludf.DUMMYFUNCTION("""COMPUTED_VALUE"""),"FLORA FRESH PRO™")</f>
        <v>FLORA FRESH PRO™</v>
      </c>
      <c r="B6" s="11">
        <f>IF(A6="","",SUMIF(ENERO!D:D, A6, ENERO!G:G))
</f>
        <v>194</v>
      </c>
      <c r="C6" s="11">
        <f>IF(A6="","",SUMIF(ENERO!D:D, A6, ENERO!E:E))
</f>
        <v>55</v>
      </c>
      <c r="D6" s="11">
        <f>IF(A6="","",SUMIF(ENERO!D:D, A6, ENERO!J:J))
</f>
        <v>42.79</v>
      </c>
      <c r="E6" s="11">
        <f>IF(A6="","",SUMIF(ENERO!D:D, A6, ENERO!L:L))
</f>
        <v>34.17</v>
      </c>
      <c r="F6" s="12" t="str">
        <f>IFERROR(__xludf.DUMMYFUNCTION("IFERROR(
IF(A6="""","""",SUM(
FILTER(
VALUE(SUBSTITUTE(TK!B:B,""."","","")), 
REGEXMATCH(TK!A:A,A6),
MONTH(
DATE(
VALUE(RIGHT(LEFT(TK!A:A,10),4)),
VALUE(MID(TK!A:A,4,2)),
VALUE(LEFT(TK!A:A,2))
)
)=1
)
)),
"""")
"),"")</f>
        <v/>
      </c>
      <c r="G6" s="12">
        <f>IFERROR(__xludf.DUMMYFUNCTION("IF(
  A6="""",
  """",
  SUM(
    FILTER(
      VALUE(SUBSTITUTE(FB!D:D, ""."", "","")),
      REGEXMATCH(FB!B:B, A6),
      MONTH(FB!E:E)=1
    )
  ) * 1.2
)
"),87.432)</f>
        <v>87.432</v>
      </c>
      <c r="H6" s="16"/>
      <c r="I6" s="14">
        <f t="shared" si="1"/>
        <v>-25.392</v>
      </c>
      <c r="J6" s="11">
        <f>IF(A6="","",COUNTIFS(ENERO!D:D,A6,ENERO!O:O,"ENTREGADO"))
</f>
        <v>7</v>
      </c>
      <c r="K6" s="11">
        <f>IF(A6="","",COUNTIFS(ENERO!D:D,A6,ENERO!O:O,"DEVOLUCION"))</f>
        <v>7</v>
      </c>
      <c r="L6" s="11">
        <f>IF(A6="","",COUNTIFS(ENERO!D:D,A6,ENERO!O:O,"PROCESO"))</f>
        <v>0</v>
      </c>
      <c r="M6" s="11">
        <f>IF(A6="","",COUNTIFS(ENERO!D:D,A6,ENERO!O:O,"NOVEDAD"))</f>
        <v>0</v>
      </c>
      <c r="N6" s="11">
        <f>IF(A6="","",COUNTIFS(ENERO!D:D,A6,ENERO!O:O,"PENDIENTE"))</f>
        <v>0</v>
      </c>
      <c r="O6" s="11">
        <f>IF(A6="","",COUNTIFS(ENERO!D:D,A6,ENERO!O:O,"CANCELADO"))</f>
        <v>3</v>
      </c>
      <c r="P6" s="15">
        <f>IF(A6="","",COUNTIFS(ENERO!D:D,A6,ENERO!O:O,"REVISAR"))</f>
        <v>0</v>
      </c>
    </row>
    <row r="7">
      <c r="A7" s="11" t="str">
        <f>IFERROR(__xludf.DUMMYFUNCTION("""COMPUTED_VALUE"""),"Cuchillo Tazaki™")</f>
        <v>Cuchillo Tazaki™</v>
      </c>
      <c r="B7" s="11">
        <f>IF(A7="","",SUMIF(ENERO!D:D, A7, ENERO!G:G))
</f>
        <v>4104.9</v>
      </c>
      <c r="C7" s="11">
        <f>IF(A7="","",SUMIF(ENERO!D:D, A7, ENERO!E:E))
</f>
        <v>1086.4</v>
      </c>
      <c r="D7" s="11">
        <f>IF(A7="","",SUMIF(ENERO!D:D, A7, ENERO!J:J))
</f>
        <v>1017.41</v>
      </c>
      <c r="E7" s="11">
        <f>IF(A7="","",SUMIF(ENERO!D:D, A7, ENERO!L:L))
</f>
        <v>343.16</v>
      </c>
      <c r="F7" s="12" t="str">
        <f>IFERROR(__xludf.DUMMYFUNCTION("IFERROR(
IF(A7="""","""",SUM(
FILTER(
VALUE(SUBSTITUTE(TK!B:B,""."","","")), 
REGEXMATCH(TK!A:A,A7),
MONTH(
DATE(
VALUE(RIGHT(LEFT(TK!A:A,10),4)),
VALUE(MID(TK!A:A,4,2)),
VALUE(LEFT(TK!A:A,2))
)
)=1
)
)),
"""")
"),"")</f>
        <v/>
      </c>
      <c r="G7" s="12">
        <f>IFERROR(__xludf.DUMMYFUNCTION("IF(
  A7="""",
  """",
  SUM(
    FILTER(
      VALUE(SUBSTITUTE(FB!D:D, ""."", "","")),
      REGEXMATCH(FB!B:B, A7),
      MONTH(FB!E:E)=1
    )
  ) * 1.2
)
"),909.0)</f>
        <v>909</v>
      </c>
      <c r="H7" s="11"/>
      <c r="I7" s="14">
        <f t="shared" si="1"/>
        <v>748.93</v>
      </c>
      <c r="J7" s="11">
        <f>IF(A7="","",COUNTIFS(ENERO!D:D,A7,ENERO!O:O,"ENTREGADO"))
</f>
        <v>168</v>
      </c>
      <c r="K7" s="11">
        <f>IF(A7="","",COUNTIFS(ENERO!D:D,A7,ENERO!O:O,"DEVOLUCION"))</f>
        <v>66</v>
      </c>
      <c r="L7" s="11">
        <f>IF(A7="","",COUNTIFS(ENERO!D:D,A7,ENERO!O:O,"PROCESO"))</f>
        <v>0</v>
      </c>
      <c r="M7" s="11">
        <f>IF(A7="","",COUNTIFS(ENERO!D:D,A7,ENERO!O:O,"NOVEDAD"))</f>
        <v>0</v>
      </c>
      <c r="N7" s="11">
        <f>IF(A7="","",COUNTIFS(ENERO!D:D,A7,ENERO!O:O,"PENDIENTE"))</f>
        <v>37</v>
      </c>
      <c r="O7" s="11">
        <f>IF(A7="","",COUNTIFS(ENERO!D:D,A7,ENERO!O:O,"CANCELADO"))</f>
        <v>16</v>
      </c>
      <c r="P7" s="15">
        <f>IF(A7="","",COUNTIFS(ENERO!D:D,A7,ENERO!O:O,"REVISAR"))</f>
        <v>6</v>
      </c>
    </row>
    <row r="8">
      <c r="A8" s="17" t="str">
        <f>IFERROR(__xludf.DUMMYFUNCTION("""COMPUTED_VALUE"""),"FURBLADE™")</f>
        <v>FURBLADE™</v>
      </c>
      <c r="B8" s="11">
        <f>IF(A8="","",SUMIF(ENERO!D:D, A8, ENERO!G:G))
</f>
        <v>39.99</v>
      </c>
      <c r="C8" s="11">
        <f>IF(A8="","",SUMIF(ENERO!D:D, A8, ENERO!E:E))
</f>
        <v>7</v>
      </c>
      <c r="D8" s="11">
        <f>IF(A8="","",SUMIF(ENERO!D:D, A8, ENERO!J:J))
</f>
        <v>9.9</v>
      </c>
      <c r="E8" s="11">
        <f>IF(A8="","",SUMIF(ENERO!D:D, A8, ENERO!L:L))
</f>
        <v>0</v>
      </c>
      <c r="F8" s="12">
        <f>IFERROR(__xludf.DUMMYFUNCTION("IFERROR(
IF(A8="""","""",SUM(
FILTER(
VALUE(SUBSTITUTE(TK!B:B,""."","","")), 
REGEXMATCH(TK!A:A,A8),
MONTH(
DATE(
VALUE(RIGHT(LEFT(TK!A:A,10),4)),
VALUE(MID(TK!A:A,4,2)),
VALUE(LEFT(TK!A:A,2))
)
)=1
)
)),
"""")
"),27.01)</f>
        <v>27.01</v>
      </c>
      <c r="G8" s="12">
        <f>IFERROR(__xludf.DUMMYFUNCTION("IF(
  A8="""",
  """",
  SUM(
    FILTER(
      VALUE(SUBSTITUTE(FB!D:D, ""."", "","")),
      REGEXMATCH(FB!B:B, A8),
      MONTH(FB!E:E)=1
    )
  ) * 1.2
)
"),16.284)</f>
        <v>16.284</v>
      </c>
      <c r="H8" s="17"/>
      <c r="I8" s="14">
        <f t="shared" si="1"/>
        <v>-20.204</v>
      </c>
      <c r="J8" s="11">
        <f>IF(A8="","",COUNTIFS(ENERO!D:D,A8,ENERO!O:O,"ENTREGADO"))
</f>
        <v>2</v>
      </c>
      <c r="K8" s="11">
        <f>IF(A8="","",COUNTIFS(ENERO!D:D,A8,ENERO!O:O,"DEVOLUCION"))</f>
        <v>0</v>
      </c>
      <c r="L8" s="11">
        <f>IF(A8="","",COUNTIFS(ENERO!D:D,A8,ENERO!O:O,"PROCESO"))</f>
        <v>0</v>
      </c>
      <c r="M8" s="11">
        <f>IF(A8="","",COUNTIFS(ENERO!D:D,A8,ENERO!O:O,"NOVEDAD"))</f>
        <v>0</v>
      </c>
      <c r="N8" s="11">
        <f>IF(A8="","",COUNTIFS(ENERO!D:D,A8,ENERO!O:O,"PENDIENTE"))</f>
        <v>2</v>
      </c>
      <c r="O8" s="11">
        <f>IF(A8="","",COUNTIFS(ENERO!D:D,A8,ENERO!O:O,"CANCELADO"))</f>
        <v>0</v>
      </c>
      <c r="P8" s="15">
        <f>IF(A8="","",COUNTIFS(ENERO!D:D,A8,ENERO!O:O,"REVISAR"))</f>
        <v>0</v>
      </c>
    </row>
    <row r="9">
      <c r="A9" s="18" t="str">
        <f>IFERROR(__xludf.DUMMYFUNCTION("""COMPUTED_VALUE"""),"REVISAR")</f>
        <v>REVISAR</v>
      </c>
      <c r="B9" s="11">
        <f>IF(A9="","",SUMIF(ENERO!D:D, A9, ENERO!G:G))
</f>
        <v>0</v>
      </c>
      <c r="C9" s="18"/>
      <c r="D9" s="11">
        <f>IF(A9="","",SUMIF(ENERO!D:D, A9, ENERO!J:J))
</f>
        <v>0</v>
      </c>
      <c r="E9" s="18"/>
      <c r="F9" s="18"/>
      <c r="G9" s="12"/>
      <c r="H9" s="18"/>
      <c r="I9" s="14">
        <f t="shared" si="1"/>
        <v>0</v>
      </c>
      <c r="J9" s="11">
        <f>IF(A9="","",COUNTIFS(ENERO!D:D,A9,ENERO!O:O,"ENTREGADO"))
</f>
        <v>0</v>
      </c>
      <c r="K9" s="18"/>
      <c r="L9" s="11">
        <f>IF(A9="","",COUNTIFS(ENERO!D:D,A9,ENERO!O:O,"PROCESO"))</f>
        <v>0</v>
      </c>
      <c r="M9" s="11">
        <f>IF(A9="","",COUNTIFS(ENERO!D:D,A9,ENERO!O:O,"NOVEDAD"))</f>
        <v>0</v>
      </c>
      <c r="N9" s="11">
        <f>IF(A9="","",COUNTIFS(ENERO!D:D,A9,ENERO!O:O,"PENDIENTE"))</f>
        <v>0</v>
      </c>
      <c r="O9" s="11">
        <f>IF(A9="","",COUNTIFS(ENERO!D:D,A9,ENERO!O:O,"CANCELADO"))</f>
        <v>0</v>
      </c>
      <c r="P9" s="15">
        <f>IF(A9="","",COUNTIFS(ENERO!D:D,A9,ENERO!O:O,"REVISAR"))</f>
        <v>15</v>
      </c>
    </row>
    <row r="10">
      <c r="A10" s="19" t="s">
        <v>10</v>
      </c>
      <c r="B10" s="20">
        <f t="shared" ref="B10:P10" si="2">SUM(B4:B9)</f>
        <v>14213.64</v>
      </c>
      <c r="C10" s="20">
        <f t="shared" si="2"/>
        <v>3327.77</v>
      </c>
      <c r="D10" s="20">
        <f t="shared" si="2"/>
        <v>3387.66</v>
      </c>
      <c r="E10" s="20">
        <f t="shared" si="2"/>
        <v>1176.57</v>
      </c>
      <c r="F10" s="21">
        <f t="shared" si="2"/>
        <v>154.09</v>
      </c>
      <c r="G10" s="21">
        <f t="shared" si="2"/>
        <v>3414.108</v>
      </c>
      <c r="H10" s="20">
        <f t="shared" si="2"/>
        <v>0</v>
      </c>
      <c r="I10" s="21">
        <f t="shared" si="2"/>
        <v>2753.442</v>
      </c>
      <c r="J10" s="20">
        <f t="shared" si="2"/>
        <v>567</v>
      </c>
      <c r="K10" s="20">
        <f t="shared" si="2"/>
        <v>229</v>
      </c>
      <c r="L10" s="20">
        <f t="shared" si="2"/>
        <v>0</v>
      </c>
      <c r="M10" s="20">
        <f t="shared" si="2"/>
        <v>0</v>
      </c>
      <c r="N10" s="20">
        <f t="shared" si="2"/>
        <v>152</v>
      </c>
      <c r="O10" s="20">
        <f t="shared" si="2"/>
        <v>79</v>
      </c>
      <c r="P10" s="20">
        <f t="shared" si="2"/>
        <v>28</v>
      </c>
    </row>
    <row r="11">
      <c r="A11" s="1" t="s">
        <v>11</v>
      </c>
      <c r="B11" s="2"/>
      <c r="C11" s="2"/>
      <c r="D11" s="2"/>
      <c r="E11" s="2"/>
      <c r="F11" s="2"/>
      <c r="G11" s="2"/>
      <c r="H11" s="2"/>
      <c r="I11" s="2"/>
      <c r="J11" s="2"/>
      <c r="K11" s="2"/>
      <c r="L11" s="2"/>
      <c r="M11" s="2"/>
      <c r="N11" s="2"/>
      <c r="O11" s="2"/>
      <c r="P11" s="3"/>
    </row>
    <row r="12">
      <c r="A12" s="4"/>
      <c r="B12" s="5"/>
      <c r="C12" s="5"/>
      <c r="D12" s="5"/>
      <c r="E12" s="5"/>
      <c r="F12" s="5"/>
      <c r="G12" s="5"/>
      <c r="H12" s="5"/>
      <c r="I12" s="5"/>
      <c r="J12" s="5"/>
      <c r="K12" s="5"/>
      <c r="L12" s="5"/>
      <c r="M12" s="5"/>
      <c r="N12" s="5"/>
      <c r="O12" s="5"/>
      <c r="P12" s="6"/>
    </row>
    <row r="13">
      <c r="A13" s="7" t="s">
        <v>1</v>
      </c>
      <c r="B13" s="7" t="s">
        <v>2</v>
      </c>
      <c r="C13" s="7" t="s">
        <v>3</v>
      </c>
      <c r="D13" s="7" t="s">
        <v>4</v>
      </c>
      <c r="E13" s="7" t="s">
        <v>5</v>
      </c>
      <c r="F13" s="8" t="s">
        <v>6</v>
      </c>
      <c r="G13" s="8" t="s">
        <v>7</v>
      </c>
      <c r="H13" s="7" t="s">
        <v>8</v>
      </c>
      <c r="I13" s="8" t="s">
        <v>9</v>
      </c>
      <c r="J13" s="8" t="str">
        <f>IFERROR(
  IF(
    SUM($J20:P20)=0,
    "",
    "ENTREGAS "&amp;TEXT(J20/SUM($J20:P20), "0%")
  ),
  ""
)
</f>
        <v>ENTREGAS 53%</v>
      </c>
      <c r="K13" s="8" t="str">
        <f>IFERROR(
  IF(
    SUM($J20:P20)=0,
    "",
    "DEVOLUCION "&amp;TEXT(K20/SUM($J20:P20), "0%")
  ),
  ""
)
</f>
        <v>DEVOLUCION 17%</v>
      </c>
      <c r="L13" s="8" t="str">
        <f>IFERROR(
  IF(
    SUM($J20:P20)=0,
    "",
    "PROCESO "&amp;TEXT(L20/SUM($J20:P20), "0%")
  ),
  ""
)
</f>
        <v>PROCESO 0%</v>
      </c>
      <c r="M13" s="8" t="str">
        <f>IFERROR(
  IF(
    SUM($J20:P20)=0,
    "",
    "NOVEDAD "&amp;TEXT(M20/SUM($J20:P20), "0%")
  ),
  ""
)
</f>
        <v>NOVEDAD 0%</v>
      </c>
      <c r="N13" s="8" t="str">
        <f>IFERROR(
  IF(
    SUM($J20:P20)=0,
    "",
    "PENDIENTES "&amp;TEXT(N20/SUM($J20:P20), "0%")
  ),
  ""
)
</f>
        <v>PENDIENTES 23%</v>
      </c>
      <c r="O13" s="9" t="str">
        <f>IFERROR(
  IF(
    SUM($J20:P20)=0,
    "",
    "CANCELADOS "&amp;TEXT(O20/SUM($J20:P20), "0%")
  ),
  ""
)
</f>
        <v>CANCELADOS 6%</v>
      </c>
      <c r="P13" s="9" t="str">
        <f>IFERROR(
  IF(
    SUM($J20:P20)=0,
    "",
    "REVISAR "&amp;TEXT(P20/SUM($J20:P20), "0%")
  ),
  ""
)
</f>
        <v>REVISAR 2%</v>
      </c>
    </row>
    <row r="14">
      <c r="A14" s="11" t="str">
        <f>IFERROR(__xludf.DUMMYFUNCTION("UNIQUE(
  FILTER(
    TRIM(
      FLATTEN(
        SPLIT(FEBRERO!D12:D1000, "";"")
      )
    ),
    FLATTEN(
      SPLIT(FEBRERO!D12:D1000, "";"")
    )&lt;&gt;""""
  )
)"),"Llave Multifuncional 360™")</f>
        <v>Llave Multifuncional 360™</v>
      </c>
      <c r="B14" s="11">
        <f>IF(A14="","",SUMIF(FEBRERO!D:D, A14, FEBRERO!G:G))
</f>
        <v>431.86</v>
      </c>
      <c r="C14" s="11">
        <f>IF(A14="","",SUMIF(FEBRERO!D:D, A14, FEBRERO!E:E))
</f>
        <v>114</v>
      </c>
      <c r="D14" s="11">
        <f>IF(A14="","",SUMIF(FEBRERO!D:D, A14, FEBRERO!J:J))
</f>
        <v>119.29</v>
      </c>
      <c r="E14" s="11">
        <f>IF(A14="","",SUMIF(FEBRERO!D:D, A14, FEBRERO!L:L))
</f>
        <v>53.61</v>
      </c>
      <c r="F14" s="12" t="str">
        <f>IFERROR(__xludf.DUMMYFUNCTION("IFERROR(
IF(A14="""","""",SUM(
FILTER(
VALUE(SUBSTITUTE(TK!B:B,""."","","")), 
REGEXMATCH(TK!A:A,A14),
MONTH(
DATE(
VALUE(RIGHT(LEFT(TK!A:A,10),4)),
VALUE(MID(TK!A:A,4,2)),
VALUE(LEFT(TK!A:A,2))
)
)=2
)
)),
"""")
"),"")</f>
        <v/>
      </c>
      <c r="G14" s="12">
        <f>IFERROR(__xludf.DUMMYFUNCTION("IF(
  A4="""",
  """",
  SUM(
    FILTER(
      VALUE(SUBSTITUTE(FB!D:D, ""."", "","")),
      REGEXMATCH(FB!B:B, A14),
      MONTH(FB!E:E)=2
    )
  ) * 1.2
)
"),190.66799999999998)</f>
        <v>190.668</v>
      </c>
      <c r="H14" s="13"/>
      <c r="I14" s="14">
        <f t="shared" ref="I14:I19" si="3">IF(A14="","",B14-SUM(C14:G14))</f>
        <v>-45.708</v>
      </c>
      <c r="J14" s="11">
        <f>IF(A14="","",COUNTIFS(FEBRERO!D:D,A14,FEBRERO!O:O,"ENTREGADO"))
</f>
        <v>20</v>
      </c>
      <c r="K14" s="11">
        <f>IF(A14="","",COUNTIFS(FEBRERO!D:D,A14,FEBRERO!O:O,"DEVOLUCION"))</f>
        <v>11</v>
      </c>
      <c r="L14" s="11">
        <f>IF(A14="","",COUNTIFS(FEBRERO!D:D,A14,FEBRERO!O:O,"PROCESO"))</f>
        <v>0</v>
      </c>
      <c r="M14" s="11">
        <f>IF(A14="","",COUNTIFS(FEBRERO!D:D,A14,FEBRERO!O:O,"NOVEDAD"))</f>
        <v>0</v>
      </c>
      <c r="N14" s="11">
        <f>IF(A14="","",COUNTIFS(FEBRERO!D:D,A14,FEBRERO!O:O,"PENDIENTE"))</f>
        <v>7</v>
      </c>
      <c r="O14" s="11">
        <f>IF(A14="","",COUNTIFS(FEBRERO!D:D,A14,FEBRERO!O:O,"CANCELADO"))</f>
        <v>1</v>
      </c>
      <c r="P14" s="15">
        <f>IF(A14="","",COUNTIFS(FEBRERO!D:D,A14,FEBRERO!O:O,"REVISAR"))</f>
        <v>0</v>
      </c>
    </row>
    <row r="15">
      <c r="A15" s="11" t="str">
        <f>IFERROR(__xludf.DUMMYFUNCTION("""COMPUTED_VALUE"""),"Cuchillo Tazaki™")</f>
        <v>Cuchillo Tazaki™</v>
      </c>
      <c r="B15" s="11">
        <f>IF(A15="","",SUMIF(FEBRERO!D:D, A15, FEBRERO!G:G))
</f>
        <v>3869.68</v>
      </c>
      <c r="C15" s="11">
        <f>IF(A15="","",SUMIF(FEBRERO!D:D, A15, FEBRERO!E:E))
</f>
        <v>1214.4</v>
      </c>
      <c r="D15" s="11">
        <f>IF(A15="","",SUMIF(FEBRERO!D:D, A15, FEBRERO!J:J))
</f>
        <v>938.37</v>
      </c>
      <c r="E15" s="11">
        <f>IF(A15="","",SUMIF(FEBRERO!D:D, A15, FEBRERO!L:L))
</f>
        <v>145.53</v>
      </c>
      <c r="F15" s="12" t="str">
        <f>IFERROR(__xludf.DUMMYFUNCTION("IFERROR(
IF(A15="""","""",SUM(
FILTER(
VALUE(SUBSTITUTE(TK!B:B,""."","","")), 
REGEXMATCH(TK!A:A,A15),
MONTH(
DATE(
VALUE(RIGHT(LEFT(TK!A:A,10),4)),
VALUE(MID(TK!A:A,4,2)),
VALUE(LEFT(TK!A:A,2))
)
)=2
)
)),
"""")
"),"")</f>
        <v/>
      </c>
      <c r="G15" s="12">
        <f>IFERROR(__xludf.DUMMYFUNCTION("IF(
  A5="""",
  """",
  SUM(
    FILTER(
      VALUE(SUBSTITUTE(FB!D:D, ""."", "","")),
      REGEXMATCH(FB!B:B, A15),
      MONTH(FB!E:E)=2
    )
  ) * 1.2
)
"),1425.2160000000001)</f>
        <v>1425.216</v>
      </c>
      <c r="H15" s="16"/>
      <c r="I15" s="14">
        <f t="shared" si="3"/>
        <v>146.164</v>
      </c>
      <c r="J15" s="11">
        <f>IF(A15="","",COUNTIFS(FEBRERO!D:D,A15,FEBRERO!O:O,"ENTREGADO"))
</f>
        <v>159</v>
      </c>
      <c r="K15" s="11">
        <f>IF(A15="","",COUNTIFS(FEBRERO!D:D,A15,FEBRERO!O:O,"DEVOLUCION"))</f>
        <v>57</v>
      </c>
      <c r="L15" s="11">
        <f>IF(A15="","",COUNTIFS(FEBRERO!D:D,A15,FEBRERO!O:O,"PROCESO"))</f>
        <v>0</v>
      </c>
      <c r="M15" s="11">
        <f>IF(A15="","",COUNTIFS(FEBRERO!D:D,A15,FEBRERO!O:O,"NOVEDAD"))</f>
        <v>0</v>
      </c>
      <c r="N15" s="11">
        <f>IF(A15="","",COUNTIFS(FEBRERO!D:D,A15,FEBRERO!O:O,"PENDIENTE"))</f>
        <v>79</v>
      </c>
      <c r="O15" s="11">
        <f>IF(A15="","",COUNTIFS(FEBRERO!D:D,A15,FEBRERO!O:O,"CANCELADO"))</f>
        <v>17</v>
      </c>
      <c r="P15" s="15">
        <f>IF(A15="","",COUNTIFS(FEBRERO!D:D,A15,FEBRERO!O:O,"REVISAR"))</f>
        <v>1</v>
      </c>
    </row>
    <row r="16">
      <c r="A16" s="11" t="str">
        <f>IFERROR(__xludf.DUMMYFUNCTION("""COMPUTED_VALUE"""),"FilmPro®")</f>
        <v>FilmPro®</v>
      </c>
      <c r="B16" s="11">
        <f>IF(A16="","",SUMIF(FEBRERO!D:D, A16, FEBRERO!G:G))
</f>
        <v>4990</v>
      </c>
      <c r="C16" s="11">
        <f>IF(A16="","",SUMIF(FEBRERO!D:D, A16, FEBRERO!E:E))
</f>
        <v>952.7</v>
      </c>
      <c r="D16" s="11">
        <f>IF(A16="","",SUMIF(FEBRERO!D:D, A16, FEBRERO!J:J))
</f>
        <v>1132.38</v>
      </c>
      <c r="E16" s="11">
        <f>IF(A16="","",SUMIF(FEBRERO!D:D, A16, FEBRERO!L:L))
</f>
        <v>116.18</v>
      </c>
      <c r="F16" s="12">
        <f>IFERROR(__xludf.DUMMYFUNCTION("IFERROR(
IF(A16="""","""",SUM(
FILTER(
VALUE(SUBSTITUTE(TK!B:B,""."","","")), 
REGEXMATCH(TK!A:A,A16),
MONTH(
DATE(
VALUE(RIGHT(LEFT(TK!A:A,10),4)),
VALUE(MID(TK!A:A,4,2)),
VALUE(LEFT(TK!A:A,2))
)
)=2
)
)),
"""")
"),300.71)</f>
        <v>300.71</v>
      </c>
      <c r="G16" s="12">
        <f>IFERROR(__xludf.DUMMYFUNCTION("IF(
  A6="""",
  """",
  SUM(
    FILTER(
      VALUE(SUBSTITUTE(FB!D:D, ""."", "","")),
      REGEXMATCH(FB!B:B, A16),
      MONTH(FB!E:E)=2
    )
  ) * 1.2
)
"),1246.488)</f>
        <v>1246.488</v>
      </c>
      <c r="H16" s="16"/>
      <c r="I16" s="14">
        <f t="shared" si="3"/>
        <v>1241.542</v>
      </c>
      <c r="J16" s="11">
        <f>IF(A16="","",COUNTIFS(FEBRERO!D:D,A16,FEBRERO!O:O,"ENTREGADO"))
</f>
        <v>197</v>
      </c>
      <c r="K16" s="11">
        <f>IF(A16="","",COUNTIFS(FEBRERO!D:D,A16,FEBRERO!O:O,"DEVOLUCION"))</f>
        <v>52</v>
      </c>
      <c r="L16" s="11">
        <f>IF(A16="","",COUNTIFS(FEBRERO!D:D,A16,FEBRERO!O:O,"PROCESO"))</f>
        <v>1</v>
      </c>
      <c r="M16" s="11">
        <f>IF(A16="","",COUNTIFS(FEBRERO!D:D,A16,FEBRERO!O:O,"NOVEDAD"))</f>
        <v>1</v>
      </c>
      <c r="N16" s="11">
        <f>IF(A16="","",COUNTIFS(FEBRERO!D:D,A16,FEBRERO!O:O,"PENDIENTE"))</f>
        <v>74</v>
      </c>
      <c r="O16" s="11">
        <f>IF(A16="","",COUNTIFS(FEBRERO!D:D,A16,FEBRERO!O:O,"CANCELADO"))</f>
        <v>22</v>
      </c>
      <c r="P16" s="15">
        <f>IF(A16="","",COUNTIFS(FEBRERO!D:D,A16,FEBRERO!O:O,"REVISAR"))</f>
        <v>1</v>
      </c>
    </row>
    <row r="17">
      <c r="A17" s="11" t="str">
        <f>IFERROR(__xludf.DUMMYFUNCTION("""COMPUTED_VALUE"""),"REVISAR")</f>
        <v>REVISAR</v>
      </c>
      <c r="B17" s="11">
        <f>IF(A17="","",SUMIF(FEBRERO!D:D, A17, FEBRERO!G:G))
</f>
        <v>0</v>
      </c>
      <c r="C17" s="11">
        <f>IF(A17="","",SUMIF(FEBRERO!D:D, A17, FEBRERO!E:E))
</f>
        <v>0</v>
      </c>
      <c r="D17" s="11">
        <f>IF(A17="","",SUMIF(FEBRERO!D:D, A17, FEBRERO!J:J))
</f>
        <v>0</v>
      </c>
      <c r="E17" s="11">
        <f>IF(A17="","",SUMIF(FEBRERO!D:D, A17, FEBRERO!L:L))
</f>
        <v>0</v>
      </c>
      <c r="F17" s="12" t="str">
        <f>IFERROR(__xludf.DUMMYFUNCTION("IFERROR(
IF(A17="""","""",SUM(
FILTER(
VALUE(SUBSTITUTE(TK!B:B,""."","","")), 
REGEXMATCH(TK!A:A,A17),
MONTH(
DATE(
VALUE(RIGHT(LEFT(TK!A:A,10),4)),
VALUE(MID(TK!A:A,4,2)),
VALUE(LEFT(TK!A:A,2))
)
)=2
)
)),
"""")
"),"")</f>
        <v/>
      </c>
      <c r="G17" s="12"/>
      <c r="H17" s="11"/>
      <c r="I17" s="14">
        <f t="shared" si="3"/>
        <v>0</v>
      </c>
      <c r="J17" s="11">
        <f>IF(A17="","",COUNTIFS(FEBRERO!D:D,A17,FEBRERO!O:O,"ENTREGADO"))
</f>
        <v>0</v>
      </c>
      <c r="K17" s="11">
        <f>IF(A17="","",COUNTIFS(FEBRERO!D:D,A17,FEBRERO!O:O,"DEVOLUCION"))</f>
        <v>0</v>
      </c>
      <c r="L17" s="11">
        <f>IF(A17="","",COUNTIFS(FEBRERO!D:D,A17,FEBRERO!O:O,"PROCESO"))</f>
        <v>0</v>
      </c>
      <c r="M17" s="11">
        <f>IF(A17="","",COUNTIFS(FEBRERO!D:D,A17,FEBRERO!O:O,"NOVEDAD"))</f>
        <v>0</v>
      </c>
      <c r="N17" s="11">
        <f>IF(A17="","",COUNTIFS(FEBRERO!D:D,A17,FEBRERO!O:O,"PENDIENTE"))</f>
        <v>0</v>
      </c>
      <c r="O17" s="11">
        <f>IF(A17="","",COUNTIFS(FEBRERO!D:D,A17,FEBRERO!O:O,"CANCELADO"))</f>
        <v>0</v>
      </c>
      <c r="P17" s="15">
        <f>IF(A17="","",COUNTIFS(FEBRERO!D:D,A17,FEBRERO!O:O,"REVISAR"))</f>
        <v>12</v>
      </c>
    </row>
    <row r="18">
      <c r="A18" s="17" t="str">
        <f>IFERROR(__xludf.DUMMYFUNCTION("""COMPUTED_VALUE"""),"FreeBeat Adapter")</f>
        <v>FreeBeat Adapter</v>
      </c>
      <c r="B18" s="11">
        <f>IF(A18="","",SUMIF(FEBRERO!D:D, A18, FEBRERO!G:G))
</f>
        <v>152.92</v>
      </c>
      <c r="C18" s="11">
        <f>IF(A18="","",SUMIF(FEBRERO!D:D, A18, FEBRERO!E:E))
</f>
        <v>70</v>
      </c>
      <c r="D18" s="11">
        <f>IF(A18="","",SUMIF(FEBRERO!D:D, A18, FEBRERO!J:J))
</f>
        <v>37.85</v>
      </c>
      <c r="E18" s="11">
        <f>IF(A18="","",SUMIF(FEBRERO!D:D, A18, FEBRERO!L:L))
</f>
        <v>0</v>
      </c>
      <c r="F18" s="12" t="str">
        <f>IFERROR(__xludf.DUMMYFUNCTION("IFERROR(
IF(A18="""","""",SUM(
FILTER(
VALUE(SUBSTITUTE(TK!B:B,""."","","")), 
REGEXMATCH(TK!A:A,A18),
MONTH(
DATE(
VALUE(RIGHT(LEFT(TK!A:A,10),4)),
VALUE(MID(TK!A:A,4,2)),
VALUE(LEFT(TK!A:A,2))
)
)=2
)
)),
"""")
"),"")</f>
        <v/>
      </c>
      <c r="G18" s="12">
        <f>IFERROR(__xludf.DUMMYFUNCTION("IF(
  A8="""",
  """",
  SUM(
    FILTER(
      VALUE(SUBSTITUTE(FB!D:D, ""."", "","")),
      REGEXMATCH(FB!B:B, A18),
      MONTH(FB!E:E)=2
    )
  ) * 1.2
)
"),29.483999999999998)</f>
        <v>29.484</v>
      </c>
      <c r="H18" s="17"/>
      <c r="I18" s="14">
        <f t="shared" si="3"/>
        <v>15.586</v>
      </c>
      <c r="J18" s="11">
        <f>IF(A18="","",COUNTIFS(FEBRERO!D:D,A18,FEBRERO!O:O,"ENTREGADO"))
</f>
        <v>6</v>
      </c>
      <c r="K18" s="11">
        <f>IF(A18="","",COUNTIFS(FEBRERO!D:D,A18,FEBRERO!O:O,"DEVOLUCION"))</f>
        <v>1</v>
      </c>
      <c r="L18" s="11">
        <f>IF(A18="","",COUNTIFS(FEBRERO!D:D,A18,FEBRERO!O:O,"PROCESO"))</f>
        <v>0</v>
      </c>
      <c r="M18" s="11">
        <f>IF(A18="","",COUNTIFS(FEBRERO!D:D,A18,FEBRERO!O:O,"NOVEDAD"))</f>
        <v>0</v>
      </c>
      <c r="N18" s="11">
        <f>IF(A18="","",COUNTIFS(FEBRERO!D:D,A18,FEBRERO!O:O,"PENDIENTE"))</f>
        <v>6</v>
      </c>
      <c r="O18" s="11">
        <f>IF(A18="","",COUNTIFS(FEBRERO!D:D,A18,FEBRERO!O:O,"CANCELADO"))</f>
        <v>0</v>
      </c>
      <c r="P18" s="15">
        <f>IF(A18="","",COUNTIFS(FEBRERO!D:D,A18,FEBRERO!O:O,"REVISAR"))</f>
        <v>0</v>
      </c>
    </row>
    <row r="19">
      <c r="A19" s="15" t="str">
        <f>IFERROR(__xludf.DUMMYFUNCTION("""COMPUTED_VALUE"""),"DrainGuard Pro™")</f>
        <v>DrainGuard Pro™</v>
      </c>
      <c r="B19" s="11">
        <f>IF(A19="","",SUMIF(FEBRERO!D:D, A19, FEBRERO!G:G))
</f>
        <v>57.01</v>
      </c>
      <c r="C19" s="11">
        <f>IF(A19="","",SUMIF(FEBRERO!D:D, A19, FEBRERO!E:E))
</f>
        <v>20</v>
      </c>
      <c r="D19" s="11">
        <f>IF(A19="","",SUMIF(FEBRERO!D:D, A19, FEBRERO!J:J))
</f>
        <v>8.98</v>
      </c>
      <c r="E19" s="11">
        <f>IF(A19="","",SUMIF(FEBRERO!D:D, A19, FEBRERO!L:L))
</f>
        <v>0</v>
      </c>
      <c r="F19" s="12" t="str">
        <f>IFERROR(__xludf.DUMMYFUNCTION("IFERROR(
IF(A19="""","""",SUM(
FILTER(
VALUE(SUBSTITUTE(TK!B:B,""."","","")), 
REGEXMATCH(TK!A:A,A19),
MONTH(
DATE(
VALUE(RIGHT(LEFT(TK!A:A,10),4)),
VALUE(MID(TK!A:A,4,2)),
VALUE(LEFT(TK!A:A,2))
)
)=2
)
)),
"""")
"),"")</f>
        <v/>
      </c>
      <c r="G19" s="12" t="str">
        <f>IFERROR(__xludf.DUMMYFUNCTION("IF(
  A9="""",
  """",
  SUM(
    FILTER(
      VALUE(SUBSTITUTE(FB!D:D, ""."", "","")),
      REGEXMATCH(FB!B:B, A19),
      MONTH(FB!E:E)=2
    )
  ) * 1.2
)
"),"#N/A")</f>
        <v>#N/A</v>
      </c>
      <c r="H19" s="18"/>
      <c r="I19" s="14" t="str">
        <f t="shared" si="3"/>
        <v>#N/A</v>
      </c>
      <c r="J19" s="11">
        <f>IF(A19="","",COUNTIFS(FEBRERO!D:D,A19,FEBRERO!O:O,"ENTREGADO"))
</f>
        <v>2</v>
      </c>
      <c r="K19" s="11">
        <f>IF(A19="","",COUNTIFS(FEBRERO!D:D,A19,FEBRERO!O:O,"DEVOLUCION"))</f>
        <v>0</v>
      </c>
      <c r="L19" s="11">
        <f>IF(A19="","",COUNTIFS(FEBRERO!D:D,A19,FEBRERO!O:O,"PROCESO"))</f>
        <v>0</v>
      </c>
      <c r="M19" s="11">
        <f>IF(A19="","",COUNTIFS(FEBRERO!D:D,A19,FEBRERO!O:O,"NOVEDAD"))</f>
        <v>0</v>
      </c>
      <c r="N19" s="11">
        <f>IF(A19="","",COUNTIFS(FEBRERO!D:D,A19,FEBRERO!O:O,"PENDIENTE"))</f>
        <v>0</v>
      </c>
      <c r="O19" s="11">
        <f>IF(A19="","",COUNTIFS(FEBRERO!D:D,A19,FEBRERO!O:O,"CANCELADO"))</f>
        <v>0</v>
      </c>
      <c r="P19" s="15">
        <f>IF(A19="","",COUNTIFS(FEBRERO!D:D,A19,FEBRERO!O:O,"REVISAR"))</f>
        <v>0</v>
      </c>
    </row>
    <row r="20">
      <c r="A20" s="19" t="s">
        <v>10</v>
      </c>
      <c r="B20" s="20">
        <f t="shared" ref="B20:P20" si="4">SUM(B14:B19)</f>
        <v>9501.47</v>
      </c>
      <c r="C20" s="20">
        <f t="shared" si="4"/>
        <v>2371.1</v>
      </c>
      <c r="D20" s="20">
        <f t="shared" si="4"/>
        <v>2236.87</v>
      </c>
      <c r="E20" s="20">
        <f t="shared" si="4"/>
        <v>315.32</v>
      </c>
      <c r="F20" s="21">
        <f t="shared" si="4"/>
        <v>300.71</v>
      </c>
      <c r="G20" s="20" t="str">
        <f t="shared" si="4"/>
        <v>#N/A</v>
      </c>
      <c r="H20" s="20">
        <f t="shared" si="4"/>
        <v>0</v>
      </c>
      <c r="I20" s="20" t="str">
        <f t="shared" si="4"/>
        <v>#N/A</v>
      </c>
      <c r="J20" s="20">
        <f t="shared" si="4"/>
        <v>384</v>
      </c>
      <c r="K20" s="20">
        <f t="shared" si="4"/>
        <v>121</v>
      </c>
      <c r="L20" s="20">
        <f t="shared" si="4"/>
        <v>1</v>
      </c>
      <c r="M20" s="20">
        <f t="shared" si="4"/>
        <v>1</v>
      </c>
      <c r="N20" s="20">
        <f t="shared" si="4"/>
        <v>166</v>
      </c>
      <c r="O20" s="20">
        <f t="shared" si="4"/>
        <v>40</v>
      </c>
      <c r="P20" s="20">
        <f t="shared" si="4"/>
        <v>14</v>
      </c>
    </row>
    <row r="21">
      <c r="A21" s="1" t="s">
        <v>12</v>
      </c>
      <c r="B21" s="2"/>
      <c r="C21" s="2"/>
      <c r="D21" s="2"/>
      <c r="E21" s="2"/>
      <c r="F21" s="2"/>
      <c r="G21" s="2"/>
      <c r="H21" s="2"/>
      <c r="I21" s="2"/>
      <c r="J21" s="2"/>
      <c r="K21" s="2"/>
      <c r="L21" s="2"/>
      <c r="M21" s="2"/>
      <c r="N21" s="2"/>
      <c r="O21" s="2"/>
      <c r="P21" s="3"/>
    </row>
    <row r="22">
      <c r="A22" s="4"/>
      <c r="B22" s="5"/>
      <c r="C22" s="5"/>
      <c r="D22" s="5"/>
      <c r="E22" s="5"/>
      <c r="F22" s="5"/>
      <c r="G22" s="5"/>
      <c r="H22" s="5"/>
      <c r="I22" s="5"/>
      <c r="J22" s="5"/>
      <c r="K22" s="5"/>
      <c r="L22" s="5"/>
      <c r="M22" s="5"/>
      <c r="N22" s="5"/>
      <c r="O22" s="5"/>
      <c r="P22" s="6"/>
    </row>
    <row r="23">
      <c r="A23" s="7" t="s">
        <v>1</v>
      </c>
      <c r="B23" s="7" t="s">
        <v>2</v>
      </c>
      <c r="C23" s="7" t="s">
        <v>3</v>
      </c>
      <c r="D23" s="7" t="s">
        <v>4</v>
      </c>
      <c r="E23" s="7" t="s">
        <v>5</v>
      </c>
      <c r="F23" s="8" t="s">
        <v>6</v>
      </c>
      <c r="G23" s="8" t="s">
        <v>7</v>
      </c>
      <c r="H23" s="7" t="s">
        <v>8</v>
      </c>
      <c r="I23" s="8" t="s">
        <v>9</v>
      </c>
      <c r="J23" s="8" t="str">
        <f>IFERROR(
  IF(
    SUM($J30:P30)=0,
    "",
    "ENTREGAS "&amp;TEXT(J30/SUM($J30:P30), "0%")
  ),
  ""
)
</f>
        <v>ENTREGAS 49%</v>
      </c>
      <c r="K23" s="8" t="str">
        <f>IFERROR(
  IF(
    SUM($J30:P30)=0,
    "",
    "DEVOLUCION "&amp;TEXT(K30/SUM($J30:P30), "0%")
  ),
  ""
)
</f>
        <v>DEVOLUCION 8%</v>
      </c>
      <c r="L23" s="8" t="str">
        <f>IFERROR(
  IF(
    SUM($J30:P30)=0,
    "",
    "PROCESO "&amp;TEXT(L30/SUM($J30:P30), "0%")
  ),
  ""
)
</f>
        <v>PROCESO 8%</v>
      </c>
      <c r="M23" s="8" t="str">
        <f>IFERROR(
  IF(
    SUM($J30:P30)=0,
    "",
    "NOVEDAD "&amp;TEXT(M30/SUM($J30:P30), "0%")
  ),
  ""
)
</f>
        <v>NOVEDAD 5%</v>
      </c>
      <c r="N23" s="8" t="str">
        <f>IFERROR(
  IF(
    SUM($J30:P30)=0,
    "",
    "PENDIENTES "&amp;TEXT(N30/SUM($J30:P30), "0%")
  ),
  ""
)
</f>
        <v>PENDIENTES 24%</v>
      </c>
      <c r="O23" s="9" t="str">
        <f>IFERROR(
  IF(
    SUM($J30:P30)=0,
    "",
    "CANCELADOS "&amp;TEXT(O30/SUM($J30:P30), "0%")
  ),
  ""
)
</f>
        <v>CANCELADOS 5%</v>
      </c>
      <c r="P23" s="9" t="str">
        <f>IFERROR(
  IF(
    SUM($J30:P30)=0,
    "",
    "REVISAR "&amp;TEXT(P30/SUM($J30:P30), "0%")
  ),
  ""
)
</f>
        <v>REVISAR 1%</v>
      </c>
    </row>
    <row r="24">
      <c r="A24" s="11" t="str">
        <f>IFERROR(__xludf.DUMMYFUNCTION("UNIQUE(
  FILTER(
    TRIM(
      FLATTEN(
        SPLIT(MARZO!D22:D1000, "";"")
      )
    ),
    FLATTEN(
      SPLIT(MARZO!D22:D1000, "";"")
    )&lt;&gt;""""
  )
)"),"FilmPro®")</f>
        <v>FilmPro®</v>
      </c>
      <c r="B24" s="11">
        <f>IF(A24="","",SUMIF(MARZO!D:D, A24, MARZO!G:G))
</f>
        <v>3424.94</v>
      </c>
      <c r="C24" s="11">
        <f>IF(A24="","",SUMIF(MARZO!D:D, A24, MARZO!E:E))
</f>
        <v>683.82</v>
      </c>
      <c r="D24" s="11">
        <f>IF(A24="","",SUMIF(MARZO!D:D, A24, MARZO!J:J))
</f>
        <v>795.02</v>
      </c>
      <c r="E24" s="11">
        <f>IF(A24="","",SUMIF(MARZO!D:D, A24, MARZO!L:L))
</f>
        <v>0</v>
      </c>
      <c r="F24" s="12" t="str">
        <f>IFERROR(__xludf.DUMMYFUNCTION("IFERROR(
IF(A24="""","""",SUM(
FILTER(
VALUE(SUBSTITUTE(TK!B:B,""."","","")), 
REGEXMATCH(TK!A:A,A24),
MONTH(
DATE(
VALUE(RIGHT(LEFT(TK!A:A,10),4)),
VALUE(MID(TK!A:A,4,2)),
VALUE(LEFT(TK!A:A,2))
)
)=3
)
)),
"""")
"),"")</f>
        <v/>
      </c>
      <c r="G24" s="12"/>
      <c r="H24" s="13"/>
      <c r="I24" s="14">
        <f t="shared" ref="I24:I29" si="5">IF(A24="","",B24-SUM(C24:G24))</f>
        <v>1946.1</v>
      </c>
      <c r="J24" s="11">
        <f>IF(A24="","",COUNTIFS(MARZO!D:D,A24,MARZO!O:O,"ENTREGADO"))
</f>
        <v>135</v>
      </c>
      <c r="K24" s="11">
        <f>IF(A24="","",COUNTIFS(MARZO!D:D,A24,MARZO!O:O,"DEVOLUCION"))</f>
        <v>24</v>
      </c>
      <c r="L24" s="11">
        <f>IF(A24="","",COUNTIFS(MARZO!D:D,A24,MARZO!O:O,"PROCESO"))</f>
        <v>24</v>
      </c>
      <c r="M24" s="11">
        <f>IF(A24="","",COUNTIFS(MARZO!D:D,A24,MARZO!O:O,"NOVEDAD"))</f>
        <v>12</v>
      </c>
      <c r="N24" s="11">
        <f>IF(A24="","",COUNTIFS(MARZO!D:D,A24,MARZO!O:O,"PENDIENTE"))</f>
        <v>52</v>
      </c>
      <c r="O24" s="11">
        <f>IF(A24="","",COUNTIFS(MARZO!D:D,A24,MARZO!O:O,"CANCELADO"))</f>
        <v>15</v>
      </c>
      <c r="P24" s="15">
        <f>IF(A24="","",COUNTIFS(MARZO!D:D,A24,MARZO!O:O,"REVISAR"))</f>
        <v>1</v>
      </c>
    </row>
    <row r="25">
      <c r="A25" s="11" t="str">
        <f>IFERROR(__xludf.DUMMYFUNCTION("""COMPUTED_VALUE"""),"Cuchillo Tazaki™")</f>
        <v>Cuchillo Tazaki™</v>
      </c>
      <c r="B25" s="11">
        <f>IF(A25="","",SUMIF(MARZO!D:D, A25, MARZO!G:G))
</f>
        <v>465</v>
      </c>
      <c r="C25" s="11">
        <f>IF(A25="","",SUMIF(MARZO!D:D, A25, MARZO!E:E))
</f>
        <v>152.55</v>
      </c>
      <c r="D25" s="11">
        <f>IF(A25="","",SUMIF(MARZO!D:D, A25, MARZO!J:J))
</f>
        <v>116.31</v>
      </c>
      <c r="E25" s="11">
        <f>IF(A25="","",SUMIF(MARZO!D:D, A25, MARZO!L:L))
</f>
        <v>0</v>
      </c>
      <c r="F25" s="12" t="str">
        <f>IFERROR(__xludf.DUMMYFUNCTION("IFERROR(
IF(A25="""","""",SUM(
FILTER(
VALUE(SUBSTITUTE(TK!B:B,""."","","")), 
REGEXMATCH(TK!A:A,A25),
MONTH(
DATE(
VALUE(RIGHT(LEFT(TK!A:A,10),4)),
VALUE(MID(TK!A:A,4,2)),
VALUE(LEFT(TK!A:A,2))
)
)=2
)
)),
"""")
"),"")</f>
        <v/>
      </c>
      <c r="G25" s="12"/>
      <c r="H25" s="16"/>
      <c r="I25" s="14">
        <f t="shared" si="5"/>
        <v>196.14</v>
      </c>
      <c r="J25" s="11">
        <f>IF(A25="","",COUNTIFS(MARZO!D:D,A25,MARZO!O:O,"ENTREGADO"))
</f>
        <v>20</v>
      </c>
      <c r="K25" s="11">
        <f>IF(A25="","",COUNTIFS(MARZO!D:D,A25,MARZO!O:O,"DEVOLUCION"))</f>
        <v>1</v>
      </c>
      <c r="L25" s="11">
        <f>IF(A25="","",COUNTIFS(MARZO!D:D,A25,MARZO!O:O,"PROCESO"))</f>
        <v>5</v>
      </c>
      <c r="M25" s="11">
        <f>IF(A25="","",COUNTIFS(MARZO!D:D,A25,MARZO!O:O,"NOVEDAD"))</f>
        <v>7</v>
      </c>
      <c r="N25" s="11">
        <f>IF(A25="","",COUNTIFS(MARZO!D:D,A25,MARZO!O:O,"PENDIENTE"))</f>
        <v>25</v>
      </c>
      <c r="O25" s="11">
        <f>IF(A25="","",COUNTIFS(MARZO!D:D,A25,MARZO!O:O,"CANCELADO"))</f>
        <v>1</v>
      </c>
      <c r="P25" s="15">
        <f>IF(A25="","",COUNTIFS(MARZO!D:D,A25,MARZO!O:O,"REVISAR"))</f>
        <v>0</v>
      </c>
    </row>
    <row r="26">
      <c r="A26" s="11" t="str">
        <f>IFERROR(__xludf.DUMMYFUNCTION("""COMPUTED_VALUE"""),"FreeBeat Adapter")</f>
        <v>FreeBeat Adapter</v>
      </c>
      <c r="B26" s="11">
        <f>IF(A26="","",SUMIF(MARZO!D:D, A26, MARZO!G:G))
</f>
        <v>276.78</v>
      </c>
      <c r="C26" s="11">
        <f>IF(A26="","",SUMIF(MARZO!D:D, A26, MARZO!E:E))
</f>
        <v>130</v>
      </c>
      <c r="D26" s="11">
        <f>IF(A26="","",SUMIF(MARZO!D:D, A26, MARZO!J:J))
</f>
        <v>66.33</v>
      </c>
      <c r="E26" s="11">
        <f>IF(A26="","",SUMIF(MARZO!D:D, A26, MARZO!L:L))
</f>
        <v>0</v>
      </c>
      <c r="F26" s="12" t="str">
        <f>IFERROR(__xludf.DUMMYFUNCTION("IFERROR(
IF(A26="""","""",SUM(
FILTER(
VALUE(SUBSTITUTE(TK!B:B,""."","","")), 
REGEXMATCH(TK!A:A,A26),
MONTH(
DATE(
VALUE(RIGHT(LEFT(TK!A:A,10),4)),
VALUE(MID(TK!A:A,4,2)),
VALUE(LEFT(TK!A:A,2))
)
)=2
)
)),
"""")
"),"")</f>
        <v/>
      </c>
      <c r="G26" s="12"/>
      <c r="H26" s="16"/>
      <c r="I26" s="14">
        <f t="shared" si="5"/>
        <v>80.45</v>
      </c>
      <c r="J26" s="11">
        <f>IF(A26="","",COUNTIFS(MARZO!D:D,A26,MARZO!O:O,"ENTREGADO"))
</f>
        <v>11</v>
      </c>
      <c r="K26" s="11">
        <f>IF(A26="","",COUNTIFS(MARZO!D:D,A26,MARZO!O:O,"DEVOLUCION"))</f>
        <v>2</v>
      </c>
      <c r="L26" s="11">
        <f>IF(A26="","",COUNTIFS(MARZO!D:D,A26,MARZO!O:O,"PROCESO"))</f>
        <v>0</v>
      </c>
      <c r="M26" s="11">
        <f>IF(A26="","",COUNTIFS(MARZO!D:D,A26,MARZO!O:O,"NOVEDAD"))</f>
        <v>0</v>
      </c>
      <c r="N26" s="11">
        <f>IF(A26="","",COUNTIFS(MARZO!D:D,A26,MARZO!O:O,"PENDIENTE"))</f>
        <v>9</v>
      </c>
      <c r="O26" s="11">
        <f>IF(A26="","",COUNTIFS(MARZO!D:D,A26,MARZO!O:O,"CANCELADO"))</f>
        <v>0</v>
      </c>
      <c r="P26" s="15">
        <f>IF(A26="","",COUNTIFS(MARZO!D:D,A26,MARZO!O:O,"REVISAR"))</f>
        <v>1</v>
      </c>
    </row>
    <row r="27">
      <c r="A27" s="11" t="str">
        <f>IFERROR(__xludf.DUMMYFUNCTION("""COMPUTED_VALUE"""),"DrainGuard Pro™")</f>
        <v>DrainGuard Pro™</v>
      </c>
      <c r="B27" s="11">
        <f>IF(A27="","",SUMIF(MARZO!D:D, A27, MARZO!G:G))
</f>
        <v>510.05</v>
      </c>
      <c r="C27" s="11">
        <f>IF(A27="","",SUMIF(MARZO!D:D, A27, MARZO!E:E))
</f>
        <v>156.5</v>
      </c>
      <c r="D27" s="11">
        <f>IF(A27="","",SUMIF(MARZO!D:D, A27, MARZO!J:J))
</f>
        <v>108.68</v>
      </c>
      <c r="E27" s="11">
        <f>IF(A27="","",SUMIF(MARZO!D:D, A27, MARZO!L:L))
</f>
        <v>0</v>
      </c>
      <c r="F27" s="12" t="str">
        <f>IFERROR(__xludf.DUMMYFUNCTION("IFERROR(
IF(A27="""","""",SUM(
FILTER(
VALUE(SUBSTITUTE(TK!B:B,""."","","")), 
REGEXMATCH(TK!A:A,A27),
MONTH(
DATE(
VALUE(RIGHT(LEFT(TK!A:A,10),4)),
VALUE(MID(TK!A:A,4,2)),
VALUE(LEFT(TK!A:A,2))
)
)=2
)
)),
"""")
"),"")</f>
        <v/>
      </c>
      <c r="G27" s="12"/>
      <c r="H27" s="11"/>
      <c r="I27" s="14">
        <f t="shared" si="5"/>
        <v>244.87</v>
      </c>
      <c r="J27" s="11">
        <f>IF(A27="","",COUNTIFS(MARZO!D:D,A27,MARZO!O:O,"ENTREGADO"))
</f>
        <v>19</v>
      </c>
      <c r="K27" s="11">
        <f>IF(A27="","",COUNTIFS(MARZO!D:D,A27,MARZO!O:O,"DEVOLUCION"))</f>
        <v>4</v>
      </c>
      <c r="L27" s="11">
        <f>IF(A27="","",COUNTIFS(MARZO!D:D,A27,MARZO!O:O,"PROCESO"))</f>
        <v>0</v>
      </c>
      <c r="M27" s="11">
        <f>IF(A27="","",COUNTIFS(MARZO!D:D,A27,MARZO!O:O,"NOVEDAD"))</f>
        <v>0</v>
      </c>
      <c r="N27" s="11">
        <f>IF(A27="","",COUNTIFS(MARZO!D:D,A27,MARZO!O:O,"PENDIENTE"))</f>
        <v>5</v>
      </c>
      <c r="O27" s="11">
        <f>IF(A27="","",COUNTIFS(MARZO!D:D,A27,MARZO!O:O,"CANCELADO"))</f>
        <v>4</v>
      </c>
      <c r="P27" s="15">
        <f>IF(A27="","",COUNTIFS(MARZO!D:D,A27,MARZO!O:O,"REVISAR"))</f>
        <v>0</v>
      </c>
    </row>
    <row r="28">
      <c r="A28" s="17" t="str">
        <f>IFERROR(__xludf.DUMMYFUNCTION("""COMPUTED_VALUE"""),"JBL GO 4")</f>
        <v>JBL GO 4</v>
      </c>
      <c r="B28" s="11">
        <f>IF(A28="","",SUMIF(FEBRERO!D:D, A28, FEBRERO!G:G))
</f>
        <v>0</v>
      </c>
      <c r="C28" s="11">
        <f>IF(A28="","",SUMIF(MARZO!D:D, A28, MARZO!E:E))
</f>
        <v>0</v>
      </c>
      <c r="D28" s="11">
        <f>IF(A28="","",SUMIF(MARZO!D:D, A28, MARZO!J:J))
</f>
        <v>0</v>
      </c>
      <c r="E28" s="11">
        <f>IF(A28="","",SUMIF(MARZO!D:D, A28, MARZO!L:L))
</f>
        <v>0</v>
      </c>
      <c r="F28" s="12" t="str">
        <f>IFERROR(__xludf.DUMMYFUNCTION("IFERROR(
IF(A28="""","""",SUM(
FILTER(
VALUE(SUBSTITUTE(TK!B:B,""."","","")), 
REGEXMATCH(TK!A:A,A28),
MONTH(
DATE(
VALUE(RIGHT(LEFT(TK!A:A,10),4)),
VALUE(MID(TK!A:A,4,2)),
VALUE(LEFT(TK!A:A,2))
)
)=2
)
)),
"""")
"),"")</f>
        <v/>
      </c>
      <c r="G28" s="12"/>
      <c r="H28" s="17"/>
      <c r="I28" s="14">
        <f t="shared" si="5"/>
        <v>0</v>
      </c>
      <c r="J28" s="11">
        <f>IF(A28="","",COUNTIFS(MARZO!D:D,A28,MARZO!O:O,"ENTREGADO"))
</f>
        <v>0</v>
      </c>
      <c r="K28" s="11">
        <f>IF(A28="","",COUNTIFS(MARZO!D:D,A28,MARZO!O:O,"DEVOLUCION"))</f>
        <v>1</v>
      </c>
      <c r="L28" s="11">
        <f>IF(A28="","",COUNTIFS(MARZO!D:D,A28,MARZO!O:O,"PROCESO"))</f>
        <v>0</v>
      </c>
      <c r="M28" s="11">
        <f>IF(A28="","",COUNTIFS(MARZO!D:D,A28,MARZO!O:O,"NOVEDAD"))</f>
        <v>0</v>
      </c>
      <c r="N28" s="11">
        <f>IF(A28="","",COUNTIFS(MARZO!D:D,A28,MARZO!O:O,"PENDIENTE"))</f>
        <v>0</v>
      </c>
      <c r="O28" s="11">
        <f>IF(A28="","",COUNTIFS(MARZO!D:D,A28,MARZO!O:O,"CANCELADO"))</f>
        <v>0</v>
      </c>
      <c r="P28" s="15">
        <f>IF(A28="","",COUNTIFS(FEBRERO!D:D,A28,FEBRERO!O:O,"REVISAR"))</f>
        <v>0</v>
      </c>
    </row>
    <row r="29">
      <c r="A29" s="15"/>
      <c r="B29" s="11" t="str">
        <f>IF(A29="","",SUMIF(FEBRERO!D:D, A29, FEBRERO!G:G))
</f>
        <v/>
      </c>
      <c r="C29" s="11" t="str">
        <f>IF(A29="","",SUMIF(FEBRERO!D:D, A29, FEBRERO!E:E))
</f>
        <v/>
      </c>
      <c r="D29" s="11" t="str">
        <f>IF(A29="","",SUMIF(MARZO!D:D, A29, MARZO!J:J))
</f>
        <v/>
      </c>
      <c r="E29" s="11" t="str">
        <f>IF(A29="","",SUMIF(FEBRERO!D:D, A29, FEBRERO!L:L))
</f>
        <v/>
      </c>
      <c r="F29" s="12" t="str">
        <f>IFERROR(__xludf.DUMMYFUNCTION("IFERROR(
IF(A29="""","""",SUM(
FILTER(
VALUE(SUBSTITUTE(TK!B:B,""."","","")), 
REGEXMATCH(TK!A:A,A29),
MONTH(
DATE(
VALUE(RIGHT(LEFT(TK!A:A,10),4)),
VALUE(MID(TK!A:A,4,2)),
VALUE(LEFT(TK!A:A,2))
)
)=2
)
)),
"""")
"),"")</f>
        <v/>
      </c>
      <c r="G29" s="12"/>
      <c r="H29" s="18"/>
      <c r="I29" s="14" t="str">
        <f t="shared" si="5"/>
        <v/>
      </c>
      <c r="J29" s="11" t="str">
        <f>IF(A29="","",COUNTIFS(MARZO!D:D,A29,MARZO!O:O,"ENTREGADO"))
</f>
        <v/>
      </c>
      <c r="K29" s="11" t="str">
        <f>IF(A29="","",COUNTIFS(FEBRERO!D:D,A29,FEBRERO!O:O,"DEVOLUCION"))</f>
        <v/>
      </c>
      <c r="L29" s="11" t="str">
        <f>IF(A29="","",COUNTIFS(FEBRERO!D:D,A29,FEBRERO!O:O,"PROCESO"))</f>
        <v/>
      </c>
      <c r="M29" s="11" t="str">
        <f>IF(A29="","",COUNTIFS(FEBRERO!D:D,A29,FEBRERO!O:O,"NOVEDAD"))</f>
        <v/>
      </c>
      <c r="N29" s="11" t="str">
        <f>IF(A29="","",COUNTIFS(FEBRERO!D:D,A29,FEBRERO!O:O,"PENDIENTE"))</f>
        <v/>
      </c>
      <c r="O29" s="11" t="str">
        <f>IF(A29="","",COUNTIFS(FEBRERO!D:D,A29,FEBRERO!O:O,"CANCELADO"))</f>
        <v/>
      </c>
      <c r="P29" s="15" t="str">
        <f>IF(A29="","",COUNTIFS(FEBRERO!D:D,A29,FEBRERO!O:O,"REVISAR"))</f>
        <v/>
      </c>
    </row>
    <row r="30">
      <c r="A30" s="19" t="s">
        <v>10</v>
      </c>
      <c r="B30" s="20">
        <f t="shared" ref="B30:P30" si="6">SUM(B24:B29)</f>
        <v>4676.77</v>
      </c>
      <c r="C30" s="20">
        <f t="shared" si="6"/>
        <v>1122.87</v>
      </c>
      <c r="D30" s="20">
        <f t="shared" si="6"/>
        <v>1086.34</v>
      </c>
      <c r="E30" s="20">
        <f t="shared" si="6"/>
        <v>0</v>
      </c>
      <c r="F30" s="21">
        <f t="shared" si="6"/>
        <v>0</v>
      </c>
      <c r="G30" s="21">
        <f t="shared" si="6"/>
        <v>0</v>
      </c>
      <c r="H30" s="20">
        <f t="shared" si="6"/>
        <v>0</v>
      </c>
      <c r="I30" s="21">
        <f t="shared" si="6"/>
        <v>2467.56</v>
      </c>
      <c r="J30" s="20">
        <f t="shared" si="6"/>
        <v>185</v>
      </c>
      <c r="K30" s="20">
        <f t="shared" si="6"/>
        <v>32</v>
      </c>
      <c r="L30" s="20">
        <f t="shared" si="6"/>
        <v>29</v>
      </c>
      <c r="M30" s="20">
        <f t="shared" si="6"/>
        <v>19</v>
      </c>
      <c r="N30" s="20">
        <f t="shared" si="6"/>
        <v>91</v>
      </c>
      <c r="O30" s="20">
        <f t="shared" si="6"/>
        <v>20</v>
      </c>
      <c r="P30" s="20">
        <f t="shared" si="6"/>
        <v>2</v>
      </c>
    </row>
  </sheetData>
  <mergeCells count="3">
    <mergeCell ref="A1:P2"/>
    <mergeCell ref="A11:P12"/>
    <mergeCell ref="A21:P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13"/>
    <col customWidth="1" min="2" max="2" width="25.38"/>
    <col customWidth="1" min="4" max="4" width="23.13"/>
    <col customWidth="1" min="8" max="8" width="22.0"/>
    <col customWidth="1" min="9" max="9" width="66.63"/>
    <col customWidth="1" min="10" max="10" width="33.5"/>
    <col customWidth="1" min="11" max="11" width="30.13"/>
    <col customWidth="1" min="12" max="12" width="29.0"/>
    <col customWidth="1" min="15" max="15" width="39.25"/>
    <col customWidth="1" min="20" max="20" width="20.63"/>
  </cols>
  <sheetData>
    <row r="1">
      <c r="A1" s="22" t="s">
        <v>13</v>
      </c>
      <c r="B1" s="22" t="s">
        <v>14</v>
      </c>
      <c r="C1" s="22" t="s">
        <v>15</v>
      </c>
      <c r="D1" s="22"/>
      <c r="E1" s="22"/>
      <c r="F1" s="22"/>
      <c r="G1" s="22"/>
      <c r="H1" s="22"/>
      <c r="I1" s="22"/>
      <c r="J1" s="22"/>
      <c r="K1" s="22"/>
      <c r="L1" s="22"/>
      <c r="M1" s="22"/>
      <c r="N1" s="22"/>
      <c r="O1" s="22"/>
      <c r="P1" s="22"/>
      <c r="Q1" s="22"/>
      <c r="R1" s="22"/>
      <c r="S1" s="22"/>
      <c r="T1" s="22"/>
      <c r="U1" s="22"/>
      <c r="V1" s="22"/>
      <c r="W1" s="22"/>
      <c r="X1" s="22"/>
      <c r="Y1" s="22"/>
      <c r="Z1" s="22"/>
    </row>
    <row r="2">
      <c r="A2" s="23" t="s">
        <v>16</v>
      </c>
      <c r="B2" s="22" t="s">
        <v>17</v>
      </c>
      <c r="C2" s="22" t="s">
        <v>18</v>
      </c>
      <c r="D2" s="22"/>
      <c r="E2" s="22"/>
      <c r="F2" s="22"/>
      <c r="G2" s="22"/>
      <c r="H2" s="22"/>
      <c r="I2" s="22"/>
      <c r="J2" s="22"/>
      <c r="K2" s="22"/>
      <c r="L2" s="22"/>
      <c r="M2" s="22"/>
      <c r="N2" s="22"/>
      <c r="O2" s="22"/>
      <c r="P2" s="22"/>
      <c r="Q2" s="22"/>
      <c r="R2" s="22"/>
      <c r="S2" s="22"/>
      <c r="T2" s="22"/>
      <c r="U2" s="22"/>
      <c r="V2" s="22"/>
      <c r="W2" s="22"/>
      <c r="X2" s="22"/>
      <c r="Y2" s="22"/>
      <c r="Z2" s="22"/>
    </row>
    <row r="3">
      <c r="A3" s="24" t="s">
        <v>19</v>
      </c>
      <c r="B3" s="25">
        <v>46049.0</v>
      </c>
      <c r="C3" s="22" t="s">
        <v>18</v>
      </c>
      <c r="D3" s="22"/>
      <c r="E3" s="22"/>
      <c r="F3" s="22"/>
      <c r="G3" s="22"/>
      <c r="H3" s="22"/>
      <c r="I3" s="22"/>
      <c r="J3" s="22"/>
      <c r="K3" s="22"/>
      <c r="L3" s="22"/>
      <c r="M3" s="22"/>
      <c r="N3" s="22"/>
      <c r="O3" s="22"/>
      <c r="P3" s="22"/>
      <c r="Q3" s="22"/>
      <c r="R3" s="22"/>
      <c r="S3" s="22"/>
      <c r="T3" s="22"/>
      <c r="U3" s="22"/>
      <c r="V3" s="22"/>
      <c r="W3" s="22"/>
      <c r="X3" s="22"/>
      <c r="Y3" s="22"/>
      <c r="Z3" s="22"/>
    </row>
    <row r="4">
      <c r="A4" s="24" t="s">
        <v>20</v>
      </c>
      <c r="B4" s="23">
        <v>0.0</v>
      </c>
      <c r="C4" s="22" t="s">
        <v>18</v>
      </c>
      <c r="D4" s="22"/>
      <c r="E4" s="22"/>
      <c r="F4" s="22"/>
      <c r="G4" s="22"/>
      <c r="H4" s="22"/>
      <c r="I4" s="22"/>
      <c r="J4" s="22"/>
      <c r="K4" s="22"/>
      <c r="L4" s="22"/>
      <c r="M4" s="22"/>
      <c r="N4" s="22"/>
      <c r="O4" s="22"/>
      <c r="P4" s="22"/>
      <c r="Q4" s="22"/>
      <c r="R4" s="22"/>
      <c r="S4" s="22"/>
      <c r="T4" s="22"/>
      <c r="U4" s="22"/>
      <c r="V4" s="22"/>
      <c r="W4" s="22"/>
      <c r="X4" s="22"/>
      <c r="Y4" s="22"/>
      <c r="Z4" s="22"/>
    </row>
    <row r="5">
      <c r="A5" s="24" t="s">
        <v>21</v>
      </c>
      <c r="B5" s="22" t="s">
        <v>22</v>
      </c>
      <c r="C5" s="22" t="s">
        <v>18</v>
      </c>
      <c r="D5" s="22"/>
      <c r="E5" s="22"/>
      <c r="F5" s="22"/>
      <c r="G5" s="22"/>
      <c r="H5" s="22"/>
      <c r="I5" s="22"/>
      <c r="J5" s="22"/>
      <c r="K5" s="22"/>
      <c r="L5" s="22"/>
      <c r="M5" s="22"/>
      <c r="N5" s="22"/>
      <c r="O5" s="22"/>
      <c r="P5" s="22"/>
      <c r="Q5" s="22"/>
      <c r="R5" s="22"/>
      <c r="S5" s="22"/>
      <c r="T5" s="22"/>
      <c r="U5" s="22"/>
      <c r="V5" s="22"/>
      <c r="W5" s="22"/>
      <c r="X5" s="22"/>
      <c r="Y5" s="22"/>
      <c r="Z5" s="22"/>
    </row>
    <row r="6">
      <c r="A6" s="23"/>
      <c r="B6" s="23"/>
      <c r="C6" s="22"/>
      <c r="D6" s="22"/>
      <c r="E6" s="22"/>
      <c r="F6" s="22"/>
      <c r="G6" s="22"/>
      <c r="H6" s="23"/>
      <c r="I6" s="23"/>
      <c r="J6" s="23"/>
      <c r="K6" s="23" t="s">
        <v>23</v>
      </c>
      <c r="L6" s="23" t="s">
        <v>24</v>
      </c>
      <c r="M6" s="23" t="s">
        <v>25</v>
      </c>
      <c r="N6" s="23" t="s">
        <v>26</v>
      </c>
      <c r="O6" s="23" t="s">
        <v>27</v>
      </c>
      <c r="P6" s="23" t="s">
        <v>28</v>
      </c>
      <c r="Q6" s="23" t="s">
        <v>29</v>
      </c>
      <c r="R6" s="23" t="s">
        <v>30</v>
      </c>
      <c r="S6" s="23" t="s">
        <v>31</v>
      </c>
      <c r="T6" s="26"/>
      <c r="U6" s="22"/>
      <c r="V6" s="22"/>
      <c r="W6" s="22"/>
      <c r="X6" s="22"/>
      <c r="Y6" s="22"/>
      <c r="Z6" s="22"/>
    </row>
    <row r="7">
      <c r="A7" s="23" t="s">
        <v>32</v>
      </c>
      <c r="B7" s="22"/>
      <c r="C7" s="22"/>
      <c r="D7" s="22"/>
      <c r="E7" s="22"/>
      <c r="F7" s="22"/>
      <c r="G7" s="22"/>
      <c r="H7" s="27"/>
      <c r="I7" s="22"/>
      <c r="J7" s="28">
        <v>0.0</v>
      </c>
      <c r="K7" s="28">
        <v>0.0</v>
      </c>
      <c r="L7" s="28">
        <v>0.0</v>
      </c>
      <c r="M7" s="28">
        <v>0.0</v>
      </c>
      <c r="N7" s="28">
        <v>0.0</v>
      </c>
      <c r="O7" s="28">
        <v>0.0</v>
      </c>
      <c r="P7" s="28">
        <v>0.0</v>
      </c>
      <c r="Q7" s="28">
        <v>0.0</v>
      </c>
      <c r="R7" s="28">
        <v>0.0</v>
      </c>
      <c r="S7" s="28">
        <v>0.0</v>
      </c>
      <c r="T7" s="22"/>
      <c r="U7" s="22"/>
      <c r="V7" s="22"/>
      <c r="W7" s="22"/>
      <c r="X7" s="22"/>
      <c r="Y7" s="22"/>
      <c r="Z7" s="22"/>
    </row>
    <row r="8">
      <c r="A8" s="29" t="s">
        <v>33</v>
      </c>
      <c r="B8" s="29" t="s">
        <v>34</v>
      </c>
      <c r="C8" s="22"/>
      <c r="D8" s="22"/>
      <c r="E8" s="22"/>
      <c r="F8" s="22"/>
      <c r="G8" s="22"/>
      <c r="H8" s="27"/>
      <c r="I8" s="22"/>
      <c r="J8" s="28">
        <v>0.0</v>
      </c>
      <c r="K8" s="28">
        <v>0.0</v>
      </c>
      <c r="L8" s="28">
        <v>0.0</v>
      </c>
      <c r="M8" s="28">
        <v>0.0</v>
      </c>
      <c r="N8" s="28">
        <v>0.0</v>
      </c>
      <c r="O8" s="28">
        <v>0.0</v>
      </c>
      <c r="P8" s="28">
        <v>0.0</v>
      </c>
      <c r="Q8" s="28">
        <v>0.0</v>
      </c>
      <c r="R8" s="28">
        <v>0.0</v>
      </c>
      <c r="S8" s="28">
        <v>0.0</v>
      </c>
      <c r="T8" s="22"/>
      <c r="U8" s="22"/>
      <c r="V8" s="22"/>
      <c r="W8" s="22"/>
      <c r="X8" s="22"/>
      <c r="Y8" s="22"/>
      <c r="Z8" s="22"/>
    </row>
    <row r="9">
      <c r="A9" s="29" t="s">
        <v>35</v>
      </c>
      <c r="B9" s="30" t="s">
        <v>36</v>
      </c>
      <c r="C9" s="22"/>
      <c r="D9" s="22"/>
      <c r="E9" s="22"/>
      <c r="F9" s="22"/>
      <c r="G9" s="22"/>
      <c r="H9" s="27"/>
      <c r="I9" s="22"/>
      <c r="J9" s="28">
        <v>0.0</v>
      </c>
      <c r="K9" s="28">
        <v>0.0</v>
      </c>
      <c r="L9" s="28">
        <v>0.0</v>
      </c>
      <c r="M9" s="28">
        <v>0.0</v>
      </c>
      <c r="N9" s="28">
        <v>0.0</v>
      </c>
      <c r="O9" s="28">
        <v>0.0</v>
      </c>
      <c r="P9" s="28">
        <v>0.0</v>
      </c>
      <c r="Q9" s="28">
        <v>0.0</v>
      </c>
      <c r="R9" s="28">
        <v>0.0</v>
      </c>
      <c r="S9" s="28">
        <v>0.0</v>
      </c>
      <c r="T9" s="22"/>
      <c r="U9" s="22"/>
      <c r="V9" s="22"/>
      <c r="W9" s="22"/>
      <c r="X9" s="22"/>
      <c r="Y9" s="22"/>
      <c r="Z9" s="22"/>
    </row>
    <row r="10">
      <c r="A10" s="29" t="s">
        <v>37</v>
      </c>
      <c r="B10" s="30" t="s">
        <v>38</v>
      </c>
      <c r="C10" s="22"/>
      <c r="D10" s="22"/>
      <c r="E10" s="22"/>
      <c r="F10" s="22"/>
      <c r="G10" s="22"/>
      <c r="H10" s="27"/>
      <c r="I10" s="23"/>
      <c r="J10" s="23">
        <v>0.0</v>
      </c>
      <c r="K10" s="28">
        <v>0.0</v>
      </c>
      <c r="L10" s="28">
        <v>0.0</v>
      </c>
      <c r="M10" s="28">
        <v>0.0</v>
      </c>
      <c r="N10" s="28">
        <v>0.0</v>
      </c>
      <c r="O10" s="28">
        <v>0.0</v>
      </c>
      <c r="P10" s="28">
        <v>20.64</v>
      </c>
      <c r="Q10" s="28">
        <v>0.0</v>
      </c>
      <c r="R10" s="28">
        <v>0.0</v>
      </c>
      <c r="S10" s="28">
        <v>0.0</v>
      </c>
      <c r="T10" s="22"/>
      <c r="U10" s="22"/>
      <c r="V10" s="22"/>
      <c r="W10" s="22"/>
      <c r="X10" s="22"/>
      <c r="Y10" s="22"/>
      <c r="Z10" s="22"/>
    </row>
    <row r="11">
      <c r="A11" s="29" t="s">
        <v>39</v>
      </c>
      <c r="B11" s="30" t="s">
        <v>40</v>
      </c>
      <c r="C11" s="22"/>
      <c r="D11" s="22"/>
      <c r="E11" s="22"/>
      <c r="F11" s="22"/>
      <c r="G11" s="22"/>
      <c r="H11" s="27"/>
      <c r="I11" s="23"/>
      <c r="J11" s="23">
        <v>0.0</v>
      </c>
      <c r="K11" s="28">
        <v>0.0</v>
      </c>
      <c r="L11" s="28">
        <v>0.0</v>
      </c>
      <c r="M11" s="28">
        <v>41.55</v>
      </c>
      <c r="N11" s="28">
        <v>0.0</v>
      </c>
      <c r="O11" s="28">
        <v>0.0</v>
      </c>
      <c r="P11" s="28">
        <v>0.0</v>
      </c>
      <c r="Q11" s="28">
        <v>0.0</v>
      </c>
      <c r="R11" s="28">
        <v>0.0</v>
      </c>
      <c r="S11" s="28">
        <v>0.0</v>
      </c>
      <c r="T11" s="22"/>
      <c r="U11" s="22"/>
      <c r="V11" s="22"/>
      <c r="W11" s="22"/>
      <c r="X11" s="22"/>
      <c r="Y11" s="22"/>
      <c r="Z11" s="22"/>
    </row>
    <row r="12">
      <c r="A12" s="29" t="s">
        <v>41</v>
      </c>
      <c r="B12" s="30" t="s">
        <v>42</v>
      </c>
      <c r="C12" s="22"/>
      <c r="D12" s="22"/>
      <c r="E12" s="22"/>
      <c r="F12" s="22"/>
      <c r="G12" s="22"/>
      <c r="H12" s="27"/>
      <c r="I12" s="23"/>
      <c r="J12" s="23">
        <v>0.0</v>
      </c>
      <c r="K12" s="28">
        <v>0.0</v>
      </c>
      <c r="L12" s="28">
        <v>0.0</v>
      </c>
      <c r="M12" s="28">
        <v>0.0</v>
      </c>
      <c r="N12" s="28">
        <v>0.0</v>
      </c>
      <c r="O12" s="28">
        <v>0.0</v>
      </c>
      <c r="P12" s="28">
        <v>17.81</v>
      </c>
      <c r="Q12" s="28">
        <v>0.0</v>
      </c>
      <c r="R12" s="28">
        <v>0.0</v>
      </c>
      <c r="S12" s="28">
        <v>0.0</v>
      </c>
      <c r="T12" s="22"/>
      <c r="U12" s="22"/>
      <c r="V12" s="22"/>
      <c r="W12" s="22"/>
      <c r="X12" s="22"/>
      <c r="Y12" s="22"/>
      <c r="Z12" s="22"/>
    </row>
    <row r="13">
      <c r="A13" s="29" t="s">
        <v>43</v>
      </c>
      <c r="B13" s="30" t="s">
        <v>44</v>
      </c>
      <c r="C13" s="22"/>
      <c r="D13" s="22"/>
      <c r="E13" s="22"/>
      <c r="F13" s="22"/>
      <c r="G13" s="22"/>
      <c r="H13" s="27"/>
      <c r="I13" s="23"/>
      <c r="J13" s="23">
        <v>0.0</v>
      </c>
      <c r="K13" s="28">
        <v>0.0</v>
      </c>
      <c r="L13" s="28">
        <v>0.0</v>
      </c>
      <c r="M13" s="28">
        <v>54.25</v>
      </c>
      <c r="N13" s="28">
        <v>0.0</v>
      </c>
      <c r="O13" s="28">
        <v>0.0</v>
      </c>
      <c r="P13" s="28">
        <v>0.0</v>
      </c>
      <c r="Q13" s="28">
        <v>0.0</v>
      </c>
      <c r="R13" s="28">
        <v>0.0</v>
      </c>
      <c r="S13" s="28">
        <v>0.0</v>
      </c>
      <c r="T13" s="22"/>
      <c r="U13" s="22"/>
      <c r="V13" s="22"/>
      <c r="W13" s="22"/>
      <c r="X13" s="22"/>
      <c r="Y13" s="22"/>
      <c r="Z13" s="22"/>
    </row>
    <row r="14">
      <c r="A14" s="29" t="s">
        <v>45</v>
      </c>
      <c r="B14" s="30" t="s">
        <v>46</v>
      </c>
      <c r="C14" s="22"/>
      <c r="D14" s="22"/>
      <c r="E14" s="22"/>
      <c r="F14" s="22"/>
      <c r="G14" s="22"/>
      <c r="H14" s="27"/>
      <c r="I14" s="23"/>
      <c r="J14" s="23">
        <v>0.0</v>
      </c>
      <c r="K14" s="28">
        <v>0.0</v>
      </c>
      <c r="L14" s="28">
        <v>0.0</v>
      </c>
      <c r="M14" s="28">
        <v>0.0</v>
      </c>
      <c r="N14" s="28">
        <v>0.0</v>
      </c>
      <c r="O14" s="28">
        <v>0.0</v>
      </c>
      <c r="P14" s="28">
        <v>9.33</v>
      </c>
      <c r="Q14" s="28">
        <v>0.0</v>
      </c>
      <c r="R14" s="28">
        <v>0.0</v>
      </c>
      <c r="S14" s="28">
        <v>0.0</v>
      </c>
      <c r="T14" s="22"/>
      <c r="U14" s="22"/>
      <c r="V14" s="22"/>
      <c r="W14" s="22"/>
      <c r="X14" s="22"/>
      <c r="Y14" s="22"/>
      <c r="Z14" s="22"/>
    </row>
    <row r="15">
      <c r="A15" s="24"/>
      <c r="B15" s="22"/>
      <c r="C15" s="22"/>
      <c r="D15" s="22"/>
      <c r="E15" s="22"/>
      <c r="F15" s="22"/>
      <c r="G15" s="22"/>
      <c r="H15" s="27"/>
      <c r="I15" s="23"/>
      <c r="J15" s="23">
        <v>0.0</v>
      </c>
      <c r="K15" s="28">
        <v>0.0</v>
      </c>
      <c r="L15" s="28">
        <v>0.0</v>
      </c>
      <c r="M15" s="28">
        <v>0.0</v>
      </c>
      <c r="N15" s="28">
        <v>17.96</v>
      </c>
      <c r="O15" s="28">
        <v>0.0</v>
      </c>
      <c r="P15" s="28">
        <v>0.0</v>
      </c>
      <c r="Q15" s="28">
        <v>0.0</v>
      </c>
      <c r="R15" s="28">
        <v>0.0</v>
      </c>
      <c r="S15" s="28">
        <v>0.0</v>
      </c>
      <c r="T15" s="22"/>
      <c r="U15" s="22"/>
      <c r="V15" s="22"/>
      <c r="W15" s="22"/>
      <c r="X15" s="22"/>
      <c r="Y15" s="22"/>
      <c r="Z15" s="22"/>
    </row>
    <row r="16">
      <c r="A16" s="24"/>
      <c r="B16" s="22"/>
      <c r="C16" s="22"/>
      <c r="D16" s="22"/>
      <c r="E16" s="22"/>
      <c r="F16" s="22"/>
      <c r="G16" s="22"/>
      <c r="H16" s="27"/>
      <c r="I16" s="23"/>
      <c r="J16" s="23">
        <v>0.0</v>
      </c>
      <c r="K16" s="28">
        <v>0.0</v>
      </c>
      <c r="L16" s="28">
        <v>0.0</v>
      </c>
      <c r="M16" s="28">
        <v>0.0</v>
      </c>
      <c r="N16" s="28">
        <v>0.0</v>
      </c>
      <c r="O16" s="28">
        <v>0.0</v>
      </c>
      <c r="P16" s="28">
        <v>0.0</v>
      </c>
      <c r="Q16" s="28">
        <v>0.0</v>
      </c>
      <c r="R16" s="28">
        <v>0.0</v>
      </c>
      <c r="S16" s="28">
        <v>6.28</v>
      </c>
      <c r="T16" s="22"/>
      <c r="U16" s="22"/>
      <c r="V16" s="22"/>
      <c r="W16" s="22"/>
      <c r="X16" s="22"/>
      <c r="Y16" s="22"/>
      <c r="Z16" s="22"/>
    </row>
    <row r="17">
      <c r="A17" s="24"/>
      <c r="B17" s="22"/>
      <c r="C17" s="22"/>
      <c r="D17" s="22"/>
      <c r="E17" s="22"/>
      <c r="F17" s="22"/>
      <c r="G17" s="22"/>
      <c r="H17" s="27"/>
      <c r="I17" s="23"/>
      <c r="J17" s="23">
        <v>0.0</v>
      </c>
      <c r="K17" s="28">
        <v>0.0</v>
      </c>
      <c r="L17" s="28">
        <v>0.0</v>
      </c>
      <c r="M17" s="28">
        <v>51.74</v>
      </c>
      <c r="N17" s="28">
        <v>0.0</v>
      </c>
      <c r="O17" s="28">
        <v>0.0</v>
      </c>
      <c r="P17" s="28">
        <v>0.0</v>
      </c>
      <c r="Q17" s="28">
        <v>0.0</v>
      </c>
      <c r="R17" s="28">
        <v>0.0</v>
      </c>
      <c r="S17" s="28">
        <v>0.0</v>
      </c>
      <c r="T17" s="22"/>
      <c r="U17" s="22"/>
      <c r="V17" s="22"/>
      <c r="W17" s="22"/>
      <c r="X17" s="22"/>
      <c r="Y17" s="22"/>
      <c r="Z17" s="22"/>
    </row>
    <row r="18">
      <c r="A18" s="24"/>
      <c r="B18" s="22"/>
      <c r="C18" s="22"/>
      <c r="D18" s="22"/>
      <c r="E18" s="22"/>
      <c r="F18" s="22"/>
      <c r="G18" s="22"/>
      <c r="H18" s="27"/>
      <c r="I18" s="23"/>
      <c r="J18" s="23">
        <v>0.0</v>
      </c>
      <c r="K18" s="28">
        <v>0.0</v>
      </c>
      <c r="L18" s="28">
        <v>0.0</v>
      </c>
      <c r="M18" s="28">
        <v>0.0</v>
      </c>
      <c r="N18" s="28">
        <v>0.0</v>
      </c>
      <c r="O18" s="28">
        <v>0.0</v>
      </c>
      <c r="P18" s="28">
        <v>5.89</v>
      </c>
      <c r="Q18" s="28">
        <v>0.0</v>
      </c>
      <c r="R18" s="28">
        <v>0.0</v>
      </c>
      <c r="S18" s="28">
        <v>0.0</v>
      </c>
      <c r="T18" s="22"/>
      <c r="U18" s="22"/>
      <c r="V18" s="22"/>
      <c r="W18" s="22"/>
      <c r="X18" s="22"/>
      <c r="Y18" s="22"/>
      <c r="Z18" s="22"/>
    </row>
    <row r="19">
      <c r="A19" s="24"/>
      <c r="B19" s="22"/>
      <c r="C19" s="22"/>
      <c r="D19" s="22"/>
      <c r="E19" s="22"/>
      <c r="F19" s="22"/>
      <c r="G19" s="22"/>
      <c r="H19" s="27"/>
      <c r="I19" s="23"/>
      <c r="J19" s="23">
        <v>0.0</v>
      </c>
      <c r="K19" s="28">
        <v>0.0</v>
      </c>
      <c r="L19" s="28">
        <v>0.0</v>
      </c>
      <c r="M19" s="28">
        <v>0.0</v>
      </c>
      <c r="N19" s="28">
        <v>19.44</v>
      </c>
      <c r="O19" s="28">
        <v>0.0</v>
      </c>
      <c r="P19" s="28">
        <v>0.0</v>
      </c>
      <c r="Q19" s="28">
        <v>0.0</v>
      </c>
      <c r="R19" s="28">
        <v>0.0</v>
      </c>
      <c r="S19" s="28">
        <v>0.0</v>
      </c>
      <c r="T19" s="22"/>
      <c r="U19" s="22"/>
      <c r="V19" s="22"/>
      <c r="W19" s="22"/>
      <c r="X19" s="22"/>
      <c r="Y19" s="22"/>
      <c r="Z19" s="22"/>
    </row>
    <row r="20">
      <c r="A20" s="24"/>
      <c r="B20" s="22"/>
      <c r="C20" s="22"/>
      <c r="D20" s="22"/>
      <c r="E20" s="22"/>
      <c r="F20" s="22"/>
      <c r="G20" s="22"/>
      <c r="H20" s="27"/>
      <c r="I20" s="23"/>
      <c r="J20" s="23">
        <v>0.0</v>
      </c>
      <c r="K20" s="28">
        <v>0.0</v>
      </c>
      <c r="L20" s="28">
        <v>0.0</v>
      </c>
      <c r="M20" s="28">
        <v>52.45</v>
      </c>
      <c r="N20" s="28">
        <v>0.0</v>
      </c>
      <c r="O20" s="28">
        <v>0.0</v>
      </c>
      <c r="P20" s="28">
        <v>0.0</v>
      </c>
      <c r="Q20" s="28">
        <v>0.0</v>
      </c>
      <c r="R20" s="28">
        <v>0.0</v>
      </c>
      <c r="S20" s="28">
        <v>0.0</v>
      </c>
      <c r="T20" s="22"/>
      <c r="U20" s="22"/>
      <c r="V20" s="22"/>
      <c r="W20" s="22"/>
      <c r="X20" s="22"/>
      <c r="Y20" s="22"/>
      <c r="Z20" s="22"/>
    </row>
    <row r="21">
      <c r="A21" s="24"/>
      <c r="B21" s="22"/>
      <c r="C21" s="22"/>
      <c r="D21" s="22"/>
      <c r="E21" s="22"/>
      <c r="F21" s="22"/>
      <c r="G21" s="22"/>
      <c r="H21" s="27"/>
      <c r="I21" s="23"/>
      <c r="J21" s="23">
        <v>0.0</v>
      </c>
      <c r="K21" s="28">
        <v>0.0</v>
      </c>
      <c r="L21" s="28">
        <v>0.0</v>
      </c>
      <c r="M21" s="28">
        <v>0.0</v>
      </c>
      <c r="N21" s="28">
        <v>0.0</v>
      </c>
      <c r="O21" s="28">
        <v>0.0</v>
      </c>
      <c r="P21" s="28">
        <v>5.96</v>
      </c>
      <c r="Q21" s="28">
        <v>0.0</v>
      </c>
      <c r="R21" s="28">
        <v>0.0</v>
      </c>
      <c r="S21" s="28">
        <v>0.0</v>
      </c>
      <c r="T21" s="22"/>
      <c r="U21" s="22"/>
      <c r="V21" s="22"/>
      <c r="W21" s="22"/>
      <c r="X21" s="22"/>
      <c r="Y21" s="22"/>
      <c r="Z21" s="22"/>
    </row>
    <row r="22">
      <c r="A22" s="24"/>
      <c r="B22" s="22"/>
      <c r="C22" s="22"/>
      <c r="D22" s="22"/>
      <c r="E22" s="22"/>
      <c r="F22" s="22"/>
      <c r="G22" s="22"/>
      <c r="H22" s="27"/>
      <c r="I22" s="23"/>
      <c r="J22" s="23">
        <v>0.0</v>
      </c>
      <c r="K22" s="28">
        <v>0.0</v>
      </c>
      <c r="L22" s="28">
        <v>0.0</v>
      </c>
      <c r="M22" s="28">
        <v>0.0</v>
      </c>
      <c r="N22" s="28">
        <v>17.63</v>
      </c>
      <c r="O22" s="28">
        <v>0.0</v>
      </c>
      <c r="P22" s="28">
        <v>0.0</v>
      </c>
      <c r="Q22" s="28">
        <v>0.0</v>
      </c>
      <c r="R22" s="28">
        <v>0.0</v>
      </c>
      <c r="S22" s="28">
        <v>0.0</v>
      </c>
      <c r="T22" s="22"/>
      <c r="U22" s="22"/>
      <c r="V22" s="22"/>
      <c r="W22" s="22"/>
      <c r="X22" s="22"/>
      <c r="Y22" s="22"/>
      <c r="Z22" s="22"/>
    </row>
    <row r="23">
      <c r="A23" s="24"/>
      <c r="B23" s="22"/>
      <c r="C23" s="22"/>
      <c r="D23" s="22"/>
      <c r="E23" s="22"/>
      <c r="F23" s="22"/>
      <c r="G23" s="22"/>
      <c r="H23" s="27"/>
      <c r="I23" s="23"/>
      <c r="J23" s="23">
        <v>0.0</v>
      </c>
      <c r="K23" s="28">
        <v>0.0</v>
      </c>
      <c r="L23" s="28">
        <v>0.0</v>
      </c>
      <c r="M23" s="28">
        <v>0.0</v>
      </c>
      <c r="N23" s="28">
        <v>0.0</v>
      </c>
      <c r="O23" s="28">
        <v>0.0</v>
      </c>
      <c r="P23" s="28">
        <v>4.72</v>
      </c>
      <c r="Q23" s="28">
        <v>0.0</v>
      </c>
      <c r="R23" s="28">
        <v>0.0</v>
      </c>
      <c r="S23" s="28">
        <v>0.0</v>
      </c>
      <c r="T23" s="22"/>
      <c r="U23" s="22"/>
      <c r="V23" s="22"/>
      <c r="W23" s="22"/>
      <c r="X23" s="22"/>
      <c r="Y23" s="22"/>
      <c r="Z23" s="22"/>
    </row>
    <row r="24">
      <c r="A24" s="24"/>
      <c r="B24" s="22"/>
      <c r="C24" s="22"/>
      <c r="D24" s="22"/>
      <c r="E24" s="22"/>
      <c r="F24" s="22"/>
      <c r="G24" s="22"/>
      <c r="H24" s="27"/>
      <c r="I24" s="23"/>
      <c r="J24" s="23">
        <v>0.0</v>
      </c>
      <c r="K24" s="28">
        <v>0.0</v>
      </c>
      <c r="L24" s="28">
        <v>0.0</v>
      </c>
      <c r="M24" s="28">
        <v>0.0</v>
      </c>
      <c r="N24" s="28">
        <v>15.94</v>
      </c>
      <c r="O24" s="28">
        <v>0.0</v>
      </c>
      <c r="P24" s="28">
        <v>0.0</v>
      </c>
      <c r="Q24" s="28">
        <v>0.0</v>
      </c>
      <c r="R24" s="28">
        <v>0.0</v>
      </c>
      <c r="S24" s="28">
        <v>0.0</v>
      </c>
      <c r="T24" s="22"/>
      <c r="U24" s="22"/>
      <c r="V24" s="22"/>
      <c r="W24" s="22"/>
      <c r="X24" s="22"/>
      <c r="Y24" s="22"/>
      <c r="Z24" s="22"/>
    </row>
    <row r="25">
      <c r="A25" s="24"/>
      <c r="B25" s="22"/>
      <c r="C25" s="22"/>
      <c r="D25" s="22"/>
      <c r="E25" s="22"/>
      <c r="F25" s="22"/>
      <c r="G25" s="22"/>
      <c r="H25" s="27"/>
      <c r="I25" s="23"/>
      <c r="J25" s="23">
        <v>0.0</v>
      </c>
      <c r="K25" s="28">
        <v>0.0</v>
      </c>
      <c r="L25" s="28">
        <v>0.0</v>
      </c>
      <c r="M25" s="28">
        <v>0.0</v>
      </c>
      <c r="N25" s="28">
        <v>0.0</v>
      </c>
      <c r="O25" s="28">
        <v>0.0</v>
      </c>
      <c r="P25" s="28">
        <v>2.23</v>
      </c>
      <c r="Q25" s="28">
        <v>0.0</v>
      </c>
      <c r="R25" s="28">
        <v>0.0</v>
      </c>
      <c r="S25" s="28">
        <v>0.0</v>
      </c>
      <c r="T25" s="22"/>
      <c r="U25" s="22"/>
      <c r="V25" s="22"/>
      <c r="W25" s="22"/>
      <c r="X25" s="22"/>
      <c r="Y25" s="22"/>
      <c r="Z25" s="22"/>
    </row>
    <row r="26">
      <c r="A26" s="24"/>
      <c r="B26" s="22"/>
      <c r="C26" s="22"/>
      <c r="D26" s="22"/>
      <c r="E26" s="22"/>
      <c r="F26" s="22"/>
      <c r="G26" s="22"/>
      <c r="H26" s="27"/>
      <c r="I26" s="23"/>
      <c r="J26" s="23">
        <v>0.0</v>
      </c>
      <c r="K26" s="28">
        <v>0.0</v>
      </c>
      <c r="L26" s="28">
        <v>0.0</v>
      </c>
      <c r="M26" s="28">
        <v>0.0</v>
      </c>
      <c r="N26" s="28">
        <v>11.26</v>
      </c>
      <c r="O26" s="28">
        <v>0.0</v>
      </c>
      <c r="P26" s="28">
        <v>0.0</v>
      </c>
      <c r="Q26" s="28">
        <v>0.0</v>
      </c>
      <c r="R26" s="28">
        <v>0.0</v>
      </c>
      <c r="S26" s="28">
        <v>0.0</v>
      </c>
      <c r="T26" s="22"/>
      <c r="U26" s="22"/>
      <c r="V26" s="22"/>
      <c r="W26" s="22"/>
      <c r="X26" s="22"/>
      <c r="Y26" s="22"/>
      <c r="Z26" s="22"/>
    </row>
    <row r="27">
      <c r="A27" s="24"/>
      <c r="B27" s="22"/>
      <c r="C27" s="22"/>
      <c r="D27" s="22"/>
      <c r="E27" s="22"/>
      <c r="F27" s="22"/>
      <c r="G27" s="22"/>
      <c r="H27" s="27"/>
      <c r="I27" s="23"/>
      <c r="J27" s="23">
        <v>0.0</v>
      </c>
      <c r="K27" s="28">
        <v>117.78</v>
      </c>
      <c r="L27" s="28">
        <v>0.0</v>
      </c>
      <c r="M27" s="28">
        <v>0.0</v>
      </c>
      <c r="N27" s="28">
        <v>0.0</v>
      </c>
      <c r="O27" s="28">
        <v>0.0</v>
      </c>
      <c r="P27" s="28">
        <v>0.0</v>
      </c>
      <c r="Q27" s="28">
        <v>0.0</v>
      </c>
      <c r="R27" s="28">
        <v>0.0</v>
      </c>
      <c r="S27" s="28">
        <v>0.0</v>
      </c>
      <c r="T27" s="22"/>
      <c r="U27" s="22"/>
      <c r="V27" s="22"/>
      <c r="W27" s="22"/>
      <c r="X27" s="22"/>
      <c r="Y27" s="22"/>
      <c r="Z27" s="22"/>
    </row>
    <row r="28">
      <c r="A28" s="24"/>
      <c r="B28" s="22"/>
      <c r="C28" s="22"/>
      <c r="D28" s="22"/>
      <c r="E28" s="22"/>
      <c r="F28" s="22"/>
      <c r="G28" s="22"/>
      <c r="H28" s="27"/>
      <c r="I28" s="23"/>
      <c r="J28" s="23">
        <v>119.62</v>
      </c>
      <c r="K28" s="28">
        <v>0.0</v>
      </c>
      <c r="L28" s="28">
        <v>0.0</v>
      </c>
      <c r="M28" s="28">
        <v>0.0</v>
      </c>
      <c r="N28" s="28">
        <v>0.0</v>
      </c>
      <c r="O28" s="28">
        <v>0.0</v>
      </c>
      <c r="P28" s="28">
        <v>0.0</v>
      </c>
      <c r="Q28" s="28">
        <v>0.0</v>
      </c>
      <c r="R28" s="28">
        <v>0.0</v>
      </c>
      <c r="S28" s="28">
        <v>0.0</v>
      </c>
      <c r="T28" s="22"/>
      <c r="U28" s="22"/>
      <c r="V28" s="22"/>
      <c r="W28" s="22"/>
      <c r="X28" s="22"/>
      <c r="Y28" s="22"/>
      <c r="Z28" s="22"/>
    </row>
    <row r="29">
      <c r="A29" s="22"/>
      <c r="B29" s="22"/>
      <c r="C29" s="22"/>
      <c r="D29" s="22"/>
      <c r="E29" s="22"/>
      <c r="F29" s="22"/>
      <c r="G29" s="22"/>
      <c r="H29" s="27"/>
      <c r="I29" s="23"/>
      <c r="J29" s="28">
        <v>0.0</v>
      </c>
      <c r="K29" s="28">
        <v>0.0</v>
      </c>
      <c r="L29" s="28">
        <v>0.0</v>
      </c>
      <c r="M29" s="28">
        <v>0.0</v>
      </c>
      <c r="N29" s="28">
        <v>12.57</v>
      </c>
      <c r="O29" s="28">
        <v>0.0</v>
      </c>
      <c r="P29" s="28">
        <v>0.0</v>
      </c>
      <c r="Q29" s="28">
        <v>0.0</v>
      </c>
      <c r="R29" s="28">
        <v>0.0</v>
      </c>
      <c r="S29" s="28">
        <v>0.0</v>
      </c>
      <c r="T29" s="22"/>
      <c r="U29" s="22"/>
      <c r="V29" s="22"/>
      <c r="W29" s="22"/>
      <c r="X29" s="22"/>
      <c r="Y29" s="22"/>
      <c r="Z29" s="22"/>
    </row>
    <row r="30">
      <c r="A30" s="22"/>
      <c r="B30" s="22"/>
      <c r="C30" s="22"/>
      <c r="D30" s="22"/>
      <c r="E30" s="22"/>
      <c r="F30" s="22"/>
      <c r="G30" s="22"/>
      <c r="H30" s="27"/>
      <c r="I30" s="23"/>
      <c r="J30" s="28">
        <v>0.0</v>
      </c>
      <c r="K30" s="28">
        <v>108.98</v>
      </c>
      <c r="L30" s="28">
        <v>0.0</v>
      </c>
      <c r="M30" s="28">
        <v>0.0</v>
      </c>
      <c r="N30" s="28">
        <v>0.0</v>
      </c>
      <c r="O30" s="28">
        <v>0.0</v>
      </c>
      <c r="P30" s="28">
        <v>0.0</v>
      </c>
      <c r="Q30" s="28">
        <v>0.0</v>
      </c>
      <c r="R30" s="28">
        <v>0.0</v>
      </c>
      <c r="S30" s="28">
        <v>0.0</v>
      </c>
      <c r="T30" s="22"/>
      <c r="U30" s="22"/>
      <c r="V30" s="22"/>
      <c r="W30" s="22"/>
      <c r="X30" s="22"/>
      <c r="Y30" s="22"/>
      <c r="Z30" s="22"/>
    </row>
    <row r="31">
      <c r="A31" s="22"/>
      <c r="B31" s="22"/>
      <c r="C31" s="22"/>
      <c r="D31" s="22"/>
      <c r="E31" s="22"/>
      <c r="F31" s="22"/>
      <c r="G31" s="22"/>
      <c r="H31" s="27"/>
      <c r="I31" s="23"/>
      <c r="J31" s="28">
        <v>108.66</v>
      </c>
      <c r="K31" s="28">
        <v>0.0</v>
      </c>
      <c r="L31" s="28">
        <v>0.0</v>
      </c>
      <c r="M31" s="28">
        <v>0.0</v>
      </c>
      <c r="N31" s="28">
        <v>0.0</v>
      </c>
      <c r="O31" s="28">
        <v>0.0</v>
      </c>
      <c r="P31" s="28">
        <v>0.0</v>
      </c>
      <c r="Q31" s="28">
        <v>0.0</v>
      </c>
      <c r="R31" s="28">
        <v>0.0</v>
      </c>
      <c r="S31" s="28">
        <v>0.0</v>
      </c>
      <c r="T31" s="22"/>
      <c r="U31" s="22"/>
      <c r="V31" s="22"/>
      <c r="W31" s="22"/>
      <c r="X31" s="22"/>
      <c r="Y31" s="22"/>
      <c r="Z31" s="22"/>
    </row>
    <row r="32">
      <c r="A32" s="22"/>
      <c r="B32" s="22"/>
      <c r="C32" s="22"/>
      <c r="D32" s="22"/>
      <c r="E32" s="22"/>
      <c r="F32" s="22"/>
      <c r="G32" s="22"/>
      <c r="H32" s="27"/>
      <c r="I32" s="23"/>
      <c r="J32" s="28">
        <v>0.0</v>
      </c>
      <c r="K32" s="28">
        <v>0.0</v>
      </c>
      <c r="L32" s="28">
        <v>0.0</v>
      </c>
      <c r="M32" s="28">
        <v>0.0</v>
      </c>
      <c r="N32" s="28">
        <v>12.39</v>
      </c>
      <c r="O32" s="28">
        <v>0.0</v>
      </c>
      <c r="P32" s="28">
        <v>0.0</v>
      </c>
      <c r="Q32" s="28">
        <v>0.0</v>
      </c>
      <c r="R32" s="28">
        <v>0.0</v>
      </c>
      <c r="S32" s="28">
        <v>0.0</v>
      </c>
      <c r="T32" s="22"/>
      <c r="U32" s="22"/>
      <c r="V32" s="22"/>
      <c r="W32" s="22"/>
      <c r="X32" s="22"/>
      <c r="Y32" s="22"/>
      <c r="Z32" s="22"/>
    </row>
    <row r="33">
      <c r="A33" s="22"/>
      <c r="B33" s="22"/>
      <c r="C33" s="22"/>
      <c r="D33" s="22"/>
      <c r="E33" s="22"/>
      <c r="F33" s="22"/>
      <c r="G33" s="22"/>
      <c r="H33" s="27"/>
      <c r="I33" s="23"/>
      <c r="J33" s="28">
        <v>0.0</v>
      </c>
      <c r="K33" s="28">
        <v>98.32</v>
      </c>
      <c r="L33" s="28">
        <v>0.0</v>
      </c>
      <c r="M33" s="28">
        <v>0.0</v>
      </c>
      <c r="N33" s="28">
        <v>0.0</v>
      </c>
      <c r="O33" s="28">
        <v>0.0</v>
      </c>
      <c r="P33" s="28">
        <v>0.0</v>
      </c>
      <c r="Q33" s="28">
        <v>0.0</v>
      </c>
      <c r="R33" s="28">
        <v>0.0</v>
      </c>
      <c r="S33" s="28">
        <v>0.0</v>
      </c>
      <c r="T33" s="22"/>
      <c r="U33" s="22"/>
      <c r="V33" s="22"/>
      <c r="W33" s="22"/>
      <c r="X33" s="22"/>
      <c r="Y33" s="22"/>
      <c r="Z33" s="22"/>
    </row>
    <row r="34">
      <c r="A34" s="22"/>
      <c r="B34" s="22"/>
      <c r="C34" s="22"/>
      <c r="D34" s="22"/>
      <c r="E34" s="22"/>
      <c r="F34" s="22"/>
      <c r="G34" s="22"/>
      <c r="H34" s="27"/>
      <c r="I34" s="23"/>
      <c r="J34" s="28">
        <v>103.1</v>
      </c>
      <c r="K34" s="28">
        <v>0.0</v>
      </c>
      <c r="L34" s="28">
        <v>0.0</v>
      </c>
      <c r="M34" s="28">
        <v>0.0</v>
      </c>
      <c r="N34" s="28">
        <v>0.0</v>
      </c>
      <c r="O34" s="28">
        <v>0.0</v>
      </c>
      <c r="P34" s="28">
        <v>0.0</v>
      </c>
      <c r="Q34" s="28">
        <v>0.0</v>
      </c>
      <c r="R34" s="28">
        <v>0.0</v>
      </c>
      <c r="S34" s="28">
        <v>0.0</v>
      </c>
      <c r="T34" s="22"/>
      <c r="U34" s="22"/>
      <c r="V34" s="22"/>
      <c r="W34" s="22"/>
      <c r="X34" s="22"/>
      <c r="Y34" s="22"/>
      <c r="Z34" s="22"/>
    </row>
    <row r="35">
      <c r="A35" s="22"/>
      <c r="B35" s="22"/>
      <c r="C35" s="22"/>
      <c r="D35" s="22"/>
      <c r="E35" s="22"/>
      <c r="F35" s="22"/>
      <c r="G35" s="22"/>
      <c r="H35" s="27"/>
      <c r="I35" s="23"/>
      <c r="J35" s="28">
        <v>0.0</v>
      </c>
      <c r="K35" s="28">
        <v>0.0</v>
      </c>
      <c r="L35" s="28">
        <v>0.0</v>
      </c>
      <c r="M35" s="28">
        <v>0.0</v>
      </c>
      <c r="N35" s="28">
        <v>11.8</v>
      </c>
      <c r="O35" s="28">
        <v>0.0</v>
      </c>
      <c r="P35" s="28">
        <v>0.0</v>
      </c>
      <c r="Q35" s="28">
        <v>0.0</v>
      </c>
      <c r="R35" s="28">
        <v>0.0</v>
      </c>
      <c r="S35" s="28">
        <v>0.0</v>
      </c>
      <c r="T35" s="22"/>
      <c r="U35" s="22"/>
      <c r="V35" s="22"/>
      <c r="W35" s="22"/>
      <c r="X35" s="22"/>
      <c r="Y35" s="22"/>
      <c r="Z35" s="22"/>
    </row>
    <row r="36">
      <c r="A36" s="22"/>
      <c r="B36" s="22"/>
      <c r="C36" s="22"/>
      <c r="D36" s="22"/>
      <c r="E36" s="22"/>
      <c r="F36" s="22"/>
      <c r="G36" s="22"/>
      <c r="H36" s="27"/>
      <c r="I36" s="23"/>
      <c r="J36" s="28">
        <v>0.0</v>
      </c>
      <c r="K36" s="28">
        <v>50.34</v>
      </c>
      <c r="L36" s="28">
        <v>0.0</v>
      </c>
      <c r="M36" s="28">
        <v>0.0</v>
      </c>
      <c r="N36" s="28">
        <v>0.0</v>
      </c>
      <c r="O36" s="28">
        <v>0.0</v>
      </c>
      <c r="P36" s="28">
        <v>0.0</v>
      </c>
      <c r="Q36" s="28">
        <v>0.0</v>
      </c>
      <c r="R36" s="28">
        <v>0.0</v>
      </c>
      <c r="S36" s="28">
        <v>0.0</v>
      </c>
      <c r="T36" s="22"/>
      <c r="U36" s="22"/>
      <c r="V36" s="22"/>
      <c r="W36" s="22"/>
      <c r="X36" s="22"/>
      <c r="Y36" s="22"/>
      <c r="Z36" s="22"/>
    </row>
    <row r="37">
      <c r="A37" s="22"/>
      <c r="B37" s="22"/>
      <c r="C37" s="22"/>
      <c r="D37" s="22"/>
      <c r="E37" s="22"/>
      <c r="F37" s="22"/>
      <c r="G37" s="22"/>
      <c r="H37" s="27"/>
      <c r="I37" s="23"/>
      <c r="J37" s="28">
        <v>102.94</v>
      </c>
      <c r="K37" s="28">
        <v>0.0</v>
      </c>
      <c r="L37" s="28">
        <v>0.0</v>
      </c>
      <c r="M37" s="28">
        <v>0.0</v>
      </c>
      <c r="N37" s="28">
        <v>0.0</v>
      </c>
      <c r="O37" s="28">
        <v>0.0</v>
      </c>
      <c r="P37" s="28">
        <v>0.0</v>
      </c>
      <c r="Q37" s="28">
        <v>0.0</v>
      </c>
      <c r="R37" s="28">
        <v>0.0</v>
      </c>
      <c r="S37" s="28">
        <v>0.0</v>
      </c>
      <c r="T37" s="22"/>
      <c r="U37" s="22"/>
      <c r="V37" s="22"/>
      <c r="W37" s="22"/>
      <c r="X37" s="22"/>
      <c r="Y37" s="22"/>
      <c r="Z37" s="22"/>
    </row>
    <row r="38">
      <c r="A38" s="22"/>
      <c r="B38" s="22"/>
      <c r="C38" s="22"/>
      <c r="D38" s="22"/>
      <c r="E38" s="22"/>
      <c r="F38" s="22"/>
      <c r="G38" s="22"/>
      <c r="H38" s="27"/>
      <c r="I38" s="23"/>
      <c r="J38" s="28">
        <v>0.0</v>
      </c>
      <c r="K38" s="28">
        <v>0.0</v>
      </c>
      <c r="L38" s="28">
        <v>0.0</v>
      </c>
      <c r="M38" s="28">
        <v>0.0</v>
      </c>
      <c r="N38" s="28">
        <v>11.74</v>
      </c>
      <c r="O38" s="28">
        <v>0.0</v>
      </c>
      <c r="P38" s="28">
        <v>0.0</v>
      </c>
      <c r="Q38" s="28">
        <v>0.0</v>
      </c>
      <c r="R38" s="28">
        <v>0.0</v>
      </c>
      <c r="S38" s="28">
        <v>0.0</v>
      </c>
      <c r="T38" s="22"/>
      <c r="U38" s="22"/>
      <c r="V38" s="22"/>
      <c r="W38" s="22"/>
      <c r="X38" s="22"/>
      <c r="Y38" s="22"/>
      <c r="Z38" s="22"/>
    </row>
    <row r="39">
      <c r="A39" s="22"/>
      <c r="B39" s="22"/>
      <c r="C39" s="22"/>
      <c r="D39" s="22"/>
      <c r="E39" s="22"/>
      <c r="F39" s="22"/>
      <c r="G39" s="22"/>
      <c r="H39" s="27"/>
      <c r="I39" s="23"/>
      <c r="J39" s="28">
        <v>0.0</v>
      </c>
      <c r="K39" s="28">
        <v>112.64</v>
      </c>
      <c r="L39" s="28">
        <v>0.0</v>
      </c>
      <c r="M39" s="28">
        <v>0.0</v>
      </c>
      <c r="N39" s="28">
        <v>0.0</v>
      </c>
      <c r="O39" s="28">
        <v>0.0</v>
      </c>
      <c r="P39" s="28">
        <v>0.0</v>
      </c>
      <c r="Q39" s="28">
        <v>0.0</v>
      </c>
      <c r="R39" s="28">
        <v>0.0</v>
      </c>
      <c r="S39" s="28">
        <v>0.0</v>
      </c>
      <c r="T39" s="22"/>
      <c r="U39" s="22"/>
      <c r="V39" s="22"/>
      <c r="W39" s="22"/>
      <c r="X39" s="22"/>
      <c r="Y39" s="22"/>
      <c r="Z39" s="22"/>
    </row>
    <row r="40">
      <c r="A40" s="22"/>
      <c r="B40" s="22"/>
      <c r="C40" s="22"/>
      <c r="D40" s="22"/>
      <c r="E40" s="22"/>
      <c r="F40" s="22"/>
      <c r="G40" s="22"/>
      <c r="H40" s="27"/>
      <c r="I40" s="23"/>
      <c r="J40" s="28">
        <v>94.94</v>
      </c>
      <c r="K40" s="28">
        <v>0.0</v>
      </c>
      <c r="L40" s="28">
        <v>0.0</v>
      </c>
      <c r="M40" s="28">
        <v>0.0</v>
      </c>
      <c r="N40" s="28">
        <v>0.0</v>
      </c>
      <c r="O40" s="28">
        <v>0.0</v>
      </c>
      <c r="P40" s="28">
        <v>0.0</v>
      </c>
      <c r="Q40" s="28">
        <v>0.0</v>
      </c>
      <c r="R40" s="28">
        <v>0.0</v>
      </c>
      <c r="S40" s="28">
        <v>0.0</v>
      </c>
      <c r="T40" s="22"/>
      <c r="U40" s="22"/>
      <c r="V40" s="22"/>
      <c r="W40" s="22"/>
      <c r="X40" s="22"/>
      <c r="Y40" s="22"/>
      <c r="Z40" s="22"/>
    </row>
    <row r="41">
      <c r="A41" s="22"/>
      <c r="B41" s="22"/>
      <c r="C41" s="22"/>
      <c r="D41" s="22"/>
      <c r="E41" s="22"/>
      <c r="F41" s="22"/>
      <c r="G41" s="22"/>
      <c r="H41" s="27"/>
      <c r="I41" s="23"/>
      <c r="J41" s="28">
        <v>0.0</v>
      </c>
      <c r="K41" s="28">
        <v>0.0</v>
      </c>
      <c r="L41" s="28">
        <v>0.0</v>
      </c>
      <c r="M41" s="28">
        <v>0.0</v>
      </c>
      <c r="N41" s="28">
        <v>11.87</v>
      </c>
      <c r="O41" s="28">
        <v>0.0</v>
      </c>
      <c r="P41" s="28">
        <v>0.0</v>
      </c>
      <c r="Q41" s="28">
        <v>0.0</v>
      </c>
      <c r="R41" s="28">
        <v>0.0</v>
      </c>
      <c r="S41" s="28">
        <v>0.0</v>
      </c>
      <c r="T41" s="22"/>
      <c r="U41" s="22"/>
      <c r="V41" s="22"/>
      <c r="W41" s="22"/>
      <c r="X41" s="22"/>
      <c r="Y41" s="22"/>
      <c r="Z41" s="22"/>
    </row>
    <row r="42">
      <c r="A42" s="22"/>
      <c r="B42" s="22"/>
      <c r="C42" s="22"/>
      <c r="D42" s="22"/>
      <c r="E42" s="22"/>
      <c r="F42" s="22"/>
      <c r="G42" s="22"/>
      <c r="H42" s="27"/>
      <c r="I42" s="23"/>
      <c r="J42" s="28">
        <v>0.0</v>
      </c>
      <c r="K42" s="28">
        <v>134.41</v>
      </c>
      <c r="L42" s="28">
        <v>0.0</v>
      </c>
      <c r="M42" s="28">
        <v>0.0</v>
      </c>
      <c r="N42" s="28">
        <v>0.0</v>
      </c>
      <c r="O42" s="28">
        <v>0.0</v>
      </c>
      <c r="P42" s="28">
        <v>0.0</v>
      </c>
      <c r="Q42" s="28">
        <v>0.0</v>
      </c>
      <c r="R42" s="28">
        <v>0.0</v>
      </c>
      <c r="S42" s="28">
        <v>0.0</v>
      </c>
      <c r="T42" s="22"/>
      <c r="U42" s="22"/>
      <c r="V42" s="22"/>
      <c r="W42" s="22"/>
      <c r="X42" s="22"/>
      <c r="Y42" s="22"/>
      <c r="Z42" s="22"/>
    </row>
    <row r="43">
      <c r="A43" s="22"/>
      <c r="B43" s="22"/>
      <c r="C43" s="22"/>
      <c r="D43" s="22"/>
      <c r="E43" s="22"/>
      <c r="F43" s="22"/>
      <c r="G43" s="22"/>
      <c r="H43" s="27"/>
      <c r="I43" s="23"/>
      <c r="J43" s="28">
        <v>98.89</v>
      </c>
      <c r="K43" s="28">
        <v>0.0</v>
      </c>
      <c r="L43" s="28">
        <v>0.0</v>
      </c>
      <c r="M43" s="28">
        <v>0.0</v>
      </c>
      <c r="N43" s="28">
        <v>0.0</v>
      </c>
      <c r="O43" s="28">
        <v>0.0</v>
      </c>
      <c r="P43" s="28">
        <v>0.0</v>
      </c>
      <c r="Q43" s="28">
        <v>0.0</v>
      </c>
      <c r="R43" s="28">
        <v>0.0</v>
      </c>
      <c r="S43" s="28">
        <v>0.0</v>
      </c>
      <c r="T43" s="22"/>
      <c r="U43" s="22"/>
      <c r="V43" s="22"/>
      <c r="W43" s="22"/>
      <c r="X43" s="22"/>
      <c r="Y43" s="22"/>
      <c r="Z43" s="22"/>
    </row>
    <row r="44">
      <c r="A44" s="22"/>
      <c r="B44" s="22"/>
      <c r="C44" s="22"/>
      <c r="D44" s="22"/>
      <c r="E44" s="22"/>
      <c r="F44" s="22"/>
      <c r="G44" s="22"/>
      <c r="H44" s="27"/>
      <c r="I44" s="23"/>
      <c r="J44" s="28">
        <v>0.0</v>
      </c>
      <c r="K44" s="28">
        <v>0.0</v>
      </c>
      <c r="L44" s="28">
        <v>0.0</v>
      </c>
      <c r="M44" s="28">
        <v>0.0</v>
      </c>
      <c r="N44" s="28">
        <v>12.28</v>
      </c>
      <c r="O44" s="28">
        <v>0.0</v>
      </c>
      <c r="P44" s="28">
        <v>0.0</v>
      </c>
      <c r="Q44" s="28">
        <v>0.0</v>
      </c>
      <c r="R44" s="28">
        <v>0.0</v>
      </c>
      <c r="S44" s="28">
        <v>0.0</v>
      </c>
      <c r="T44" s="22"/>
      <c r="U44" s="22"/>
      <c r="V44" s="22"/>
      <c r="W44" s="22"/>
      <c r="X44" s="22"/>
      <c r="Y44" s="22"/>
      <c r="Z44" s="22"/>
    </row>
    <row r="45">
      <c r="A45" s="22"/>
      <c r="B45" s="22"/>
      <c r="C45" s="22"/>
      <c r="D45" s="22"/>
      <c r="E45" s="22"/>
      <c r="F45" s="22"/>
      <c r="G45" s="22"/>
      <c r="H45" s="27"/>
      <c r="I45" s="23"/>
      <c r="J45" s="28">
        <v>0.0</v>
      </c>
      <c r="K45" s="28">
        <v>33.09</v>
      </c>
      <c r="L45" s="28">
        <v>0.0</v>
      </c>
      <c r="M45" s="28">
        <v>0.0</v>
      </c>
      <c r="N45" s="28">
        <v>0.0</v>
      </c>
      <c r="O45" s="28">
        <v>0.0</v>
      </c>
      <c r="P45" s="28">
        <v>0.0</v>
      </c>
      <c r="Q45" s="28">
        <v>0.0</v>
      </c>
      <c r="R45" s="28">
        <v>0.0</v>
      </c>
      <c r="S45" s="28">
        <v>0.0</v>
      </c>
      <c r="T45" s="22"/>
      <c r="U45" s="22"/>
      <c r="V45" s="22"/>
      <c r="W45" s="22"/>
      <c r="X45" s="22"/>
      <c r="Y45" s="22"/>
      <c r="Z45" s="22"/>
    </row>
    <row r="46">
      <c r="A46" s="22"/>
      <c r="B46" s="22"/>
      <c r="C46" s="22"/>
      <c r="D46" s="22"/>
      <c r="E46" s="22"/>
      <c r="F46" s="22"/>
      <c r="G46" s="22"/>
      <c r="H46" s="27"/>
      <c r="I46" s="23"/>
      <c r="J46" s="28">
        <v>98.11</v>
      </c>
      <c r="K46" s="28">
        <v>0.0</v>
      </c>
      <c r="L46" s="28">
        <v>0.0</v>
      </c>
      <c r="M46" s="28">
        <v>0.0</v>
      </c>
      <c r="N46" s="28">
        <v>0.0</v>
      </c>
      <c r="O46" s="28">
        <v>0.0</v>
      </c>
      <c r="P46" s="28">
        <v>0.0</v>
      </c>
      <c r="Q46" s="28">
        <v>0.0</v>
      </c>
      <c r="R46" s="28">
        <v>0.0</v>
      </c>
      <c r="S46" s="28">
        <v>0.0</v>
      </c>
      <c r="T46" s="22"/>
      <c r="U46" s="22"/>
      <c r="V46" s="22"/>
      <c r="W46" s="22"/>
      <c r="X46" s="22"/>
      <c r="Y46" s="22"/>
      <c r="Z46" s="22"/>
    </row>
    <row r="47">
      <c r="A47" s="22"/>
      <c r="B47" s="22"/>
      <c r="C47" s="22"/>
      <c r="D47" s="22"/>
      <c r="E47" s="22"/>
      <c r="F47" s="22"/>
      <c r="G47" s="22"/>
      <c r="H47" s="27"/>
      <c r="I47" s="23"/>
      <c r="J47" s="28">
        <v>0.0</v>
      </c>
      <c r="K47" s="28">
        <v>0.0</v>
      </c>
      <c r="L47" s="28">
        <v>0.0</v>
      </c>
      <c r="M47" s="28">
        <v>0.0</v>
      </c>
      <c r="N47" s="28">
        <v>3.17</v>
      </c>
      <c r="O47" s="28">
        <v>0.0</v>
      </c>
      <c r="P47" s="28">
        <v>0.0</v>
      </c>
      <c r="Q47" s="28">
        <v>0.0</v>
      </c>
      <c r="R47" s="28">
        <v>0.0</v>
      </c>
      <c r="S47" s="28">
        <v>0.0</v>
      </c>
      <c r="T47" s="22"/>
      <c r="U47" s="22"/>
      <c r="V47" s="22"/>
      <c r="W47" s="22"/>
      <c r="X47" s="22"/>
      <c r="Y47" s="22"/>
      <c r="Z47" s="22"/>
    </row>
    <row r="48">
      <c r="A48" s="22"/>
      <c r="B48" s="22"/>
      <c r="C48" s="22"/>
      <c r="D48" s="22"/>
      <c r="E48" s="22"/>
      <c r="F48" s="22"/>
      <c r="G48" s="22"/>
      <c r="H48" s="27"/>
      <c r="I48" s="23"/>
      <c r="J48" s="28">
        <v>22.72</v>
      </c>
      <c r="K48" s="28">
        <v>0.0</v>
      </c>
      <c r="L48" s="28">
        <v>0.0</v>
      </c>
      <c r="M48" s="28">
        <v>0.0</v>
      </c>
      <c r="N48" s="28">
        <v>0.0</v>
      </c>
      <c r="O48" s="28">
        <v>0.0</v>
      </c>
      <c r="P48" s="28">
        <v>0.0</v>
      </c>
      <c r="Q48" s="28">
        <v>0.0</v>
      </c>
      <c r="R48" s="28">
        <v>0.0</v>
      </c>
      <c r="S48" s="28">
        <v>0.0</v>
      </c>
      <c r="T48" s="22"/>
      <c r="U48" s="22"/>
      <c r="V48" s="22"/>
      <c r="W48" s="22"/>
      <c r="X48" s="22"/>
      <c r="Y48" s="22"/>
      <c r="Z48" s="22"/>
    </row>
    <row r="49">
      <c r="A49" s="22"/>
      <c r="B49" s="22"/>
      <c r="C49" s="22"/>
      <c r="D49" s="22"/>
      <c r="E49" s="22"/>
      <c r="F49" s="22"/>
      <c r="G49" s="22"/>
      <c r="H49" s="27"/>
      <c r="I49" s="23"/>
      <c r="J49" s="28">
        <v>0.0</v>
      </c>
      <c r="K49" s="28">
        <v>0.0</v>
      </c>
      <c r="L49" s="28">
        <v>79.16</v>
      </c>
      <c r="M49" s="28">
        <v>0.0</v>
      </c>
      <c r="N49" s="28">
        <v>0.0</v>
      </c>
      <c r="O49" s="28">
        <v>0.0</v>
      </c>
      <c r="P49" s="28">
        <v>0.0</v>
      </c>
      <c r="Q49" s="28">
        <v>0.0</v>
      </c>
      <c r="R49" s="28">
        <v>0.0</v>
      </c>
      <c r="S49" s="28">
        <v>0.0</v>
      </c>
      <c r="T49" s="22"/>
      <c r="U49" s="22"/>
      <c r="V49" s="22"/>
      <c r="W49" s="22"/>
      <c r="X49" s="22"/>
      <c r="Y49" s="22"/>
      <c r="Z49" s="22"/>
    </row>
    <row r="50">
      <c r="A50" s="22"/>
      <c r="B50" s="22"/>
      <c r="C50" s="22"/>
      <c r="D50" s="22"/>
      <c r="E50" s="22"/>
      <c r="F50" s="22"/>
      <c r="G50" s="22"/>
      <c r="H50" s="27"/>
      <c r="I50" s="23"/>
      <c r="J50" s="28">
        <v>0.0</v>
      </c>
      <c r="K50" s="28">
        <v>0.0</v>
      </c>
      <c r="L50" s="28">
        <v>30.6</v>
      </c>
      <c r="M50" s="28">
        <v>0.0</v>
      </c>
      <c r="N50" s="28">
        <v>0.0</v>
      </c>
      <c r="O50" s="28">
        <v>0.0</v>
      </c>
      <c r="P50" s="28">
        <v>0.0</v>
      </c>
      <c r="Q50" s="28">
        <v>0.0</v>
      </c>
      <c r="R50" s="28">
        <v>0.0</v>
      </c>
      <c r="S50" s="28">
        <v>0.0</v>
      </c>
      <c r="T50" s="22"/>
      <c r="U50" s="22"/>
      <c r="V50" s="22"/>
      <c r="W50" s="22"/>
      <c r="X50" s="22"/>
      <c r="Y50" s="22"/>
      <c r="Z50" s="22"/>
    </row>
    <row r="51">
      <c r="A51" s="22"/>
      <c r="B51" s="22"/>
      <c r="C51" s="22"/>
      <c r="D51" s="22"/>
      <c r="E51" s="22"/>
      <c r="F51" s="22"/>
      <c r="G51" s="22"/>
      <c r="H51" s="27"/>
      <c r="I51" s="22"/>
      <c r="J51" s="28">
        <v>0.0</v>
      </c>
      <c r="K51" s="28">
        <v>0.0</v>
      </c>
      <c r="L51" s="28">
        <v>0.0</v>
      </c>
      <c r="M51" s="28">
        <v>0.0</v>
      </c>
      <c r="N51" s="28">
        <v>0.0</v>
      </c>
      <c r="O51" s="28">
        <v>0.0</v>
      </c>
      <c r="P51" s="28">
        <v>0.0</v>
      </c>
      <c r="Q51" s="28">
        <v>0.0</v>
      </c>
      <c r="R51" s="28">
        <v>0.0</v>
      </c>
      <c r="S51" s="28">
        <v>0.0</v>
      </c>
      <c r="T51" s="22"/>
      <c r="U51" s="22"/>
      <c r="V51" s="22"/>
      <c r="W51" s="22"/>
      <c r="X51" s="22"/>
      <c r="Y51" s="22"/>
      <c r="Z51" s="22"/>
    </row>
    <row r="52">
      <c r="A52" s="22"/>
      <c r="B52" s="22"/>
      <c r="C52" s="22"/>
      <c r="D52" s="22"/>
      <c r="E52" s="22"/>
      <c r="F52" s="22"/>
      <c r="G52" s="22"/>
      <c r="H52" s="27"/>
      <c r="I52" s="23"/>
      <c r="J52" s="28">
        <v>0.0</v>
      </c>
      <c r="K52" s="28">
        <v>0.0</v>
      </c>
      <c r="L52" s="28">
        <v>0.0</v>
      </c>
      <c r="M52" s="28">
        <v>0.0</v>
      </c>
      <c r="N52" s="28">
        <v>0.0</v>
      </c>
      <c r="O52" s="28">
        <v>0.0</v>
      </c>
      <c r="P52" s="28">
        <v>0.0</v>
      </c>
      <c r="Q52" s="28">
        <v>0.0</v>
      </c>
      <c r="R52" s="28">
        <v>4.32</v>
      </c>
      <c r="S52" s="28">
        <v>0.0</v>
      </c>
      <c r="T52" s="22"/>
      <c r="U52" s="22"/>
      <c r="V52" s="22"/>
      <c r="W52" s="22"/>
      <c r="X52" s="22"/>
      <c r="Y52" s="22"/>
      <c r="Z52" s="22"/>
    </row>
    <row r="53">
      <c r="A53" s="22"/>
      <c r="B53" s="22"/>
      <c r="C53" s="22"/>
      <c r="D53" s="22"/>
      <c r="E53" s="22"/>
      <c r="F53" s="22"/>
      <c r="G53" s="22"/>
      <c r="H53" s="27"/>
      <c r="I53" s="23"/>
      <c r="J53" s="28">
        <v>0.0</v>
      </c>
      <c r="K53" s="28">
        <v>0.0</v>
      </c>
      <c r="L53" s="28">
        <v>0.0</v>
      </c>
      <c r="M53" s="28">
        <v>0.0</v>
      </c>
      <c r="N53" s="28">
        <v>0.0</v>
      </c>
      <c r="O53" s="28">
        <v>0.0</v>
      </c>
      <c r="P53" s="28">
        <v>0.0</v>
      </c>
      <c r="Q53" s="28">
        <v>0.0</v>
      </c>
      <c r="R53" s="28">
        <v>4.14</v>
      </c>
      <c r="S53" s="28">
        <v>0.0</v>
      </c>
      <c r="T53" s="22"/>
      <c r="U53" s="22"/>
      <c r="V53" s="22"/>
      <c r="W53" s="22"/>
      <c r="X53" s="22"/>
      <c r="Y53" s="22"/>
      <c r="Z53" s="22"/>
    </row>
    <row r="54">
      <c r="A54" s="22"/>
      <c r="B54" s="22"/>
      <c r="C54" s="22"/>
      <c r="D54" s="22"/>
      <c r="E54" s="22"/>
      <c r="F54" s="22"/>
      <c r="G54" s="22"/>
      <c r="H54" s="27"/>
      <c r="I54" s="23"/>
      <c r="J54" s="28">
        <v>0.0</v>
      </c>
      <c r="K54" s="28">
        <v>0.0</v>
      </c>
      <c r="L54" s="28">
        <v>0.0</v>
      </c>
      <c r="M54" s="28">
        <v>0.0</v>
      </c>
      <c r="N54" s="28">
        <v>11.78</v>
      </c>
      <c r="O54" s="28">
        <v>0.0</v>
      </c>
      <c r="P54" s="28">
        <v>0.0</v>
      </c>
      <c r="Q54" s="28">
        <v>0.0</v>
      </c>
      <c r="R54" s="28">
        <v>0.0</v>
      </c>
      <c r="S54" s="28">
        <v>0.0</v>
      </c>
      <c r="T54" s="22"/>
      <c r="U54" s="22"/>
      <c r="V54" s="22"/>
      <c r="W54" s="22"/>
      <c r="X54" s="22"/>
      <c r="Y54" s="22"/>
      <c r="Z54" s="22"/>
    </row>
    <row r="55">
      <c r="A55" s="22"/>
      <c r="B55" s="22"/>
      <c r="C55" s="22"/>
      <c r="D55" s="22"/>
      <c r="E55" s="22"/>
      <c r="F55" s="22"/>
      <c r="G55" s="22"/>
      <c r="H55" s="27"/>
      <c r="I55" s="23"/>
      <c r="J55" s="28">
        <v>104.61</v>
      </c>
      <c r="K55" s="28">
        <v>0.0</v>
      </c>
      <c r="L55" s="28">
        <v>0.0</v>
      </c>
      <c r="M55" s="28">
        <v>0.0</v>
      </c>
      <c r="N55" s="28">
        <v>0.0</v>
      </c>
      <c r="O55" s="28">
        <v>0.0</v>
      </c>
      <c r="P55" s="28">
        <v>0.0</v>
      </c>
      <c r="Q55" s="28">
        <v>0.0</v>
      </c>
      <c r="R55" s="28">
        <v>0.0</v>
      </c>
      <c r="S55" s="28">
        <v>0.0</v>
      </c>
      <c r="T55" s="22"/>
      <c r="U55" s="22"/>
      <c r="V55" s="22"/>
      <c r="W55" s="22"/>
      <c r="X55" s="22"/>
      <c r="Y55" s="22"/>
      <c r="Z55" s="22"/>
    </row>
    <row r="56">
      <c r="A56" s="22"/>
      <c r="B56" s="22"/>
      <c r="C56" s="22"/>
      <c r="D56" s="22"/>
      <c r="E56" s="22"/>
      <c r="F56" s="22"/>
      <c r="G56" s="22"/>
      <c r="H56" s="27"/>
      <c r="I56" s="23"/>
      <c r="J56" s="28">
        <v>0.0</v>
      </c>
      <c r="K56" s="28">
        <v>0.0</v>
      </c>
      <c r="L56" s="28">
        <v>0.0</v>
      </c>
      <c r="M56" s="28">
        <v>0.0</v>
      </c>
      <c r="N56" s="28">
        <v>0.0</v>
      </c>
      <c r="O56" s="28">
        <v>0.0</v>
      </c>
      <c r="P56" s="28">
        <v>0.0</v>
      </c>
      <c r="Q56" s="28">
        <v>0.0</v>
      </c>
      <c r="R56" s="28">
        <v>2.31</v>
      </c>
      <c r="S56" s="28">
        <v>0.0</v>
      </c>
      <c r="T56" s="22"/>
      <c r="U56" s="22"/>
      <c r="V56" s="22"/>
      <c r="W56" s="22"/>
      <c r="X56" s="22"/>
      <c r="Y56" s="22"/>
      <c r="Z56" s="22"/>
    </row>
    <row r="57">
      <c r="A57" s="22"/>
      <c r="B57" s="22"/>
      <c r="C57" s="22"/>
      <c r="D57" s="22"/>
      <c r="E57" s="22"/>
      <c r="F57" s="22"/>
      <c r="G57" s="22"/>
      <c r="H57" s="27"/>
      <c r="I57" s="23"/>
      <c r="J57" s="28">
        <v>0.0</v>
      </c>
      <c r="K57" s="28">
        <v>0.0</v>
      </c>
      <c r="L57" s="28">
        <v>32.34</v>
      </c>
      <c r="M57" s="28">
        <v>0.0</v>
      </c>
      <c r="N57" s="28">
        <v>0.0</v>
      </c>
      <c r="O57" s="28">
        <v>0.0</v>
      </c>
      <c r="P57" s="28">
        <v>0.0</v>
      </c>
      <c r="Q57" s="28">
        <v>0.0</v>
      </c>
      <c r="R57" s="28">
        <v>0.0</v>
      </c>
      <c r="S57" s="28">
        <v>0.0</v>
      </c>
      <c r="T57" s="22"/>
      <c r="U57" s="22"/>
      <c r="V57" s="22"/>
      <c r="W57" s="22"/>
      <c r="X57" s="22"/>
      <c r="Y57" s="22"/>
      <c r="Z57" s="22"/>
    </row>
    <row r="58">
      <c r="A58" s="22"/>
      <c r="B58" s="22"/>
      <c r="C58" s="22"/>
      <c r="D58" s="22"/>
      <c r="E58" s="22"/>
      <c r="F58" s="22"/>
      <c r="G58" s="22"/>
      <c r="H58" s="27"/>
      <c r="I58" s="23"/>
      <c r="J58" s="28">
        <v>0.0</v>
      </c>
      <c r="K58" s="28">
        <v>0.0</v>
      </c>
      <c r="L58" s="28">
        <v>34.64</v>
      </c>
      <c r="M58" s="28">
        <v>0.0</v>
      </c>
      <c r="N58" s="28">
        <v>0.0</v>
      </c>
      <c r="O58" s="28">
        <v>0.0</v>
      </c>
      <c r="P58" s="28">
        <v>0.0</v>
      </c>
      <c r="Q58" s="28">
        <v>0.0</v>
      </c>
      <c r="R58" s="28">
        <v>0.0</v>
      </c>
      <c r="S58" s="28">
        <v>0.0</v>
      </c>
      <c r="T58" s="22"/>
      <c r="U58" s="22"/>
      <c r="V58" s="22"/>
      <c r="W58" s="22"/>
      <c r="X58" s="22"/>
      <c r="Y58" s="22"/>
      <c r="Z58" s="22"/>
    </row>
    <row r="59">
      <c r="A59" s="22"/>
      <c r="B59" s="22"/>
      <c r="C59" s="22"/>
      <c r="D59" s="22"/>
      <c r="E59" s="22"/>
      <c r="F59" s="22"/>
      <c r="G59" s="22"/>
      <c r="H59" s="27"/>
      <c r="I59" s="23"/>
      <c r="J59" s="28">
        <v>0.0</v>
      </c>
      <c r="K59" s="28">
        <v>0.0</v>
      </c>
      <c r="L59" s="28">
        <v>58.34</v>
      </c>
      <c r="M59" s="28">
        <v>0.0</v>
      </c>
      <c r="N59" s="28">
        <v>0.0</v>
      </c>
      <c r="O59" s="28">
        <v>0.0</v>
      </c>
      <c r="P59" s="28">
        <v>0.0</v>
      </c>
      <c r="Q59" s="28">
        <v>0.0</v>
      </c>
      <c r="R59" s="28">
        <v>0.0</v>
      </c>
      <c r="S59" s="28">
        <v>0.0</v>
      </c>
      <c r="T59" s="22"/>
      <c r="U59" s="22"/>
      <c r="V59" s="22"/>
      <c r="W59" s="22"/>
      <c r="X59" s="22"/>
      <c r="Y59" s="22"/>
      <c r="Z59" s="22"/>
    </row>
    <row r="60">
      <c r="A60" s="22"/>
      <c r="B60" s="22"/>
      <c r="C60" s="22"/>
      <c r="D60" s="22"/>
      <c r="E60" s="22"/>
      <c r="F60" s="22"/>
      <c r="G60" s="22"/>
      <c r="H60" s="27"/>
      <c r="I60" s="23"/>
      <c r="J60" s="28">
        <v>0.0</v>
      </c>
      <c r="K60" s="28">
        <v>0.0</v>
      </c>
      <c r="L60" s="28">
        <v>0.0</v>
      </c>
      <c r="M60" s="28">
        <v>0.0</v>
      </c>
      <c r="N60" s="28">
        <v>0.0</v>
      </c>
      <c r="O60" s="28">
        <v>38.61</v>
      </c>
      <c r="P60" s="28">
        <v>0.0</v>
      </c>
      <c r="Q60" s="28">
        <v>0.0</v>
      </c>
      <c r="R60" s="28">
        <v>0.0</v>
      </c>
      <c r="S60" s="28">
        <v>0.0</v>
      </c>
      <c r="T60" s="22"/>
      <c r="U60" s="22"/>
      <c r="V60" s="22"/>
      <c r="W60" s="22"/>
      <c r="X60" s="22"/>
      <c r="Y60" s="22"/>
      <c r="Z60" s="22"/>
    </row>
    <row r="61">
      <c r="A61" s="22"/>
      <c r="B61" s="22"/>
      <c r="C61" s="22"/>
      <c r="D61" s="22"/>
      <c r="E61" s="22"/>
      <c r="F61" s="22"/>
      <c r="G61" s="22"/>
      <c r="H61" s="27"/>
      <c r="I61" s="23"/>
      <c r="J61" s="28">
        <v>0.0</v>
      </c>
      <c r="K61" s="28">
        <v>0.0</v>
      </c>
      <c r="L61" s="28">
        <v>51.41</v>
      </c>
      <c r="M61" s="28">
        <v>0.0</v>
      </c>
      <c r="N61" s="28">
        <v>0.0</v>
      </c>
      <c r="O61" s="28">
        <v>0.0</v>
      </c>
      <c r="P61" s="28">
        <v>0.0</v>
      </c>
      <c r="Q61" s="28">
        <v>0.0</v>
      </c>
      <c r="R61" s="28">
        <v>0.0</v>
      </c>
      <c r="S61" s="28">
        <v>0.0</v>
      </c>
      <c r="T61" s="22"/>
      <c r="U61" s="22"/>
      <c r="V61" s="22"/>
      <c r="W61" s="22"/>
      <c r="X61" s="22"/>
      <c r="Y61" s="22"/>
      <c r="Z61" s="22"/>
    </row>
    <row r="62">
      <c r="A62" s="22"/>
      <c r="B62" s="22"/>
      <c r="C62" s="22"/>
      <c r="D62" s="22"/>
      <c r="E62" s="22"/>
      <c r="F62" s="22"/>
      <c r="G62" s="22"/>
      <c r="H62" s="27"/>
      <c r="I62" s="23"/>
      <c r="J62" s="28">
        <v>0.0</v>
      </c>
      <c r="K62" s="28">
        <v>0.0</v>
      </c>
      <c r="L62" s="28">
        <v>0.0</v>
      </c>
      <c r="M62" s="28">
        <v>0.0</v>
      </c>
      <c r="N62" s="28">
        <v>0.0</v>
      </c>
      <c r="O62" s="28">
        <v>47.88</v>
      </c>
      <c r="P62" s="28">
        <v>0.0</v>
      </c>
      <c r="Q62" s="28">
        <v>0.0</v>
      </c>
      <c r="R62" s="28">
        <v>0.0</v>
      </c>
      <c r="S62" s="28">
        <v>0.0</v>
      </c>
      <c r="T62" s="22"/>
      <c r="U62" s="22"/>
      <c r="V62" s="22"/>
      <c r="W62" s="22"/>
      <c r="X62" s="22"/>
      <c r="Y62" s="22"/>
      <c r="Z62" s="22"/>
    </row>
    <row r="63">
      <c r="A63" s="22"/>
      <c r="B63" s="22"/>
      <c r="C63" s="22"/>
      <c r="D63" s="22"/>
      <c r="E63" s="22"/>
      <c r="F63" s="22"/>
      <c r="G63" s="22"/>
      <c r="H63" s="27"/>
      <c r="I63" s="23"/>
      <c r="J63" s="28">
        <v>0.0</v>
      </c>
      <c r="K63" s="28">
        <v>0.0</v>
      </c>
      <c r="L63" s="28">
        <v>51.0</v>
      </c>
      <c r="M63" s="28">
        <v>0.0</v>
      </c>
      <c r="N63" s="28">
        <v>0.0</v>
      </c>
      <c r="O63" s="28">
        <v>0.0</v>
      </c>
      <c r="P63" s="28">
        <v>0.0</v>
      </c>
      <c r="Q63" s="28">
        <v>0.0</v>
      </c>
      <c r="R63" s="28">
        <v>0.0</v>
      </c>
      <c r="S63" s="28">
        <v>0.0</v>
      </c>
      <c r="T63" s="22"/>
      <c r="U63" s="22"/>
      <c r="V63" s="22"/>
      <c r="W63" s="22"/>
      <c r="X63" s="22"/>
      <c r="Y63" s="22"/>
      <c r="Z63" s="22"/>
    </row>
    <row r="64">
      <c r="A64" s="22"/>
      <c r="B64" s="22"/>
      <c r="C64" s="22"/>
      <c r="D64" s="22"/>
      <c r="E64" s="22"/>
      <c r="F64" s="22"/>
      <c r="G64" s="22"/>
      <c r="H64" s="27"/>
      <c r="I64" s="23"/>
      <c r="J64" s="28">
        <v>0.0</v>
      </c>
      <c r="K64" s="28">
        <v>0.0</v>
      </c>
      <c r="L64" s="28">
        <v>0.0</v>
      </c>
      <c r="M64" s="28">
        <v>0.0</v>
      </c>
      <c r="N64" s="28">
        <v>0.0</v>
      </c>
      <c r="O64" s="28">
        <v>49.03</v>
      </c>
      <c r="P64" s="28">
        <v>0.0</v>
      </c>
      <c r="Q64" s="28">
        <v>0.0</v>
      </c>
      <c r="R64" s="28">
        <v>0.0</v>
      </c>
      <c r="S64" s="28">
        <v>0.0</v>
      </c>
      <c r="T64" s="22"/>
      <c r="U64" s="22"/>
      <c r="V64" s="22"/>
      <c r="W64" s="22"/>
      <c r="X64" s="22"/>
      <c r="Y64" s="22"/>
      <c r="Z64" s="22"/>
    </row>
    <row r="65">
      <c r="A65" s="22"/>
      <c r="B65" s="22"/>
      <c r="C65" s="22"/>
      <c r="D65" s="22"/>
      <c r="E65" s="22"/>
      <c r="F65" s="22"/>
      <c r="G65" s="22"/>
      <c r="H65" s="27"/>
      <c r="I65" s="23"/>
      <c r="J65" s="28">
        <v>0.0</v>
      </c>
      <c r="K65" s="28">
        <v>0.0</v>
      </c>
      <c r="L65" s="28">
        <v>0.0</v>
      </c>
      <c r="M65" s="28">
        <v>0.0</v>
      </c>
      <c r="N65" s="28">
        <v>0.0</v>
      </c>
      <c r="O65" s="28">
        <v>0.0</v>
      </c>
      <c r="P65" s="28">
        <v>0.0</v>
      </c>
      <c r="Q65" s="28">
        <v>13.57</v>
      </c>
      <c r="R65" s="28">
        <v>0.0</v>
      </c>
      <c r="S65" s="28">
        <v>0.0</v>
      </c>
      <c r="T65" s="22"/>
      <c r="U65" s="22"/>
      <c r="V65" s="22"/>
      <c r="W65" s="22"/>
      <c r="X65" s="22"/>
      <c r="Y65" s="22"/>
      <c r="Z65" s="22"/>
    </row>
    <row r="66">
      <c r="A66" s="22"/>
      <c r="B66" s="22"/>
      <c r="C66" s="22"/>
      <c r="D66" s="22"/>
      <c r="E66" s="22"/>
      <c r="F66" s="22"/>
      <c r="G66" s="22"/>
      <c r="H66" s="24"/>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4"/>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4"/>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4"/>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4"/>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4"/>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4"/>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4"/>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4"/>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4"/>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4"/>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4"/>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4"/>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4"/>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4"/>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4"/>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4"/>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4"/>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4"/>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4"/>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4"/>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4"/>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4"/>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4"/>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4"/>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4"/>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4"/>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4"/>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4"/>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4"/>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4"/>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4"/>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4"/>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4"/>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4"/>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4"/>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4"/>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4"/>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4"/>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4"/>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4"/>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4"/>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4"/>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4"/>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4"/>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4"/>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4"/>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4"/>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4"/>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4"/>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4"/>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4"/>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4"/>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4"/>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4"/>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4"/>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4"/>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4"/>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4"/>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4"/>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4"/>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4"/>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4"/>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4"/>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4"/>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4"/>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4"/>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4"/>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4"/>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4"/>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4"/>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4"/>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4"/>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4"/>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4"/>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4"/>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4"/>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4"/>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4"/>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4"/>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4"/>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4"/>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4"/>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4"/>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4"/>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4"/>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4"/>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4"/>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4"/>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4"/>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4"/>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4"/>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4"/>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4"/>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4"/>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4"/>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4"/>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4"/>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4"/>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4"/>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4"/>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4"/>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4"/>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4"/>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4"/>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4"/>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4"/>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4"/>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4"/>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4"/>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4"/>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4"/>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4"/>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4"/>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4"/>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4"/>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4"/>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4"/>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4"/>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4"/>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4"/>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4"/>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4"/>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4"/>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4"/>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4"/>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4"/>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4"/>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4"/>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autoFilter ref="$I$1:$I$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48.13"/>
    <col customWidth="1" min="3" max="3" width="59.0"/>
  </cols>
  <sheetData>
    <row r="1">
      <c r="A1" s="26" t="s">
        <v>47</v>
      </c>
      <c r="B1" s="26" t="s">
        <v>13</v>
      </c>
      <c r="C1" s="26" t="s">
        <v>48</v>
      </c>
      <c r="D1" s="31" t="s">
        <v>49</v>
      </c>
      <c r="E1" s="26" t="s">
        <v>50</v>
      </c>
      <c r="F1" s="26" t="s">
        <v>51</v>
      </c>
      <c r="G1" s="26"/>
      <c r="H1" s="26"/>
      <c r="I1" s="26"/>
      <c r="J1" s="26"/>
      <c r="K1" s="26"/>
      <c r="L1" s="22"/>
      <c r="M1" s="22"/>
      <c r="N1" s="22"/>
      <c r="O1" s="22"/>
      <c r="P1" s="22"/>
      <c r="Q1" s="22"/>
      <c r="R1" s="22"/>
      <c r="S1" s="22"/>
      <c r="T1" s="22"/>
      <c r="U1" s="22"/>
      <c r="V1" s="22"/>
      <c r="W1" s="22"/>
      <c r="X1" s="22"/>
      <c r="Y1" s="22"/>
      <c r="Z1" s="22"/>
    </row>
    <row r="2">
      <c r="A2" s="22"/>
      <c r="B2" s="24"/>
      <c r="C2" s="22" t="s">
        <v>18</v>
      </c>
      <c r="D2" s="32" t="s">
        <v>52</v>
      </c>
      <c r="E2" s="33">
        <v>46023.0</v>
      </c>
      <c r="F2" s="33">
        <v>46053.0</v>
      </c>
      <c r="G2" s="22"/>
      <c r="H2" s="22"/>
      <c r="I2" s="24"/>
      <c r="J2" s="24"/>
      <c r="K2" s="22"/>
      <c r="L2" s="22"/>
      <c r="M2" s="22"/>
      <c r="N2" s="22"/>
      <c r="O2" s="22"/>
      <c r="P2" s="22"/>
      <c r="Q2" s="22"/>
      <c r="R2" s="22"/>
      <c r="S2" s="22"/>
      <c r="T2" s="22"/>
      <c r="U2" s="22"/>
      <c r="V2" s="22"/>
      <c r="W2" s="22"/>
      <c r="X2" s="22"/>
      <c r="Y2" s="22"/>
      <c r="Z2" s="22"/>
    </row>
    <row r="3">
      <c r="A3" s="22" t="s">
        <v>53</v>
      </c>
      <c r="B3" s="24" t="s">
        <v>54</v>
      </c>
      <c r="C3" s="22" t="s">
        <v>18</v>
      </c>
      <c r="D3" s="32" t="s">
        <v>55</v>
      </c>
      <c r="E3" s="33">
        <v>46023.0</v>
      </c>
      <c r="F3" s="33">
        <v>46053.0</v>
      </c>
      <c r="G3" s="22"/>
      <c r="H3" s="22"/>
      <c r="I3" s="24"/>
      <c r="J3" s="24"/>
      <c r="K3" s="22"/>
      <c r="L3" s="22"/>
      <c r="M3" s="22"/>
      <c r="N3" s="22"/>
      <c r="O3" s="22"/>
      <c r="P3" s="22"/>
      <c r="Q3" s="22"/>
      <c r="R3" s="22"/>
      <c r="S3" s="22"/>
      <c r="T3" s="22"/>
      <c r="U3" s="22"/>
      <c r="V3" s="22"/>
      <c r="W3" s="22"/>
      <c r="X3" s="22"/>
      <c r="Y3" s="22"/>
      <c r="Z3" s="22"/>
    </row>
    <row r="4">
      <c r="A4" s="22" t="s">
        <v>56</v>
      </c>
      <c r="B4" s="24" t="s">
        <v>23</v>
      </c>
      <c r="C4" s="22" t="s">
        <v>18</v>
      </c>
      <c r="D4" s="32" t="s">
        <v>57</v>
      </c>
      <c r="E4" s="33">
        <v>46023.0</v>
      </c>
      <c r="F4" s="33">
        <v>46053.0</v>
      </c>
      <c r="G4" s="22"/>
      <c r="H4" s="22"/>
      <c r="I4" s="24"/>
      <c r="J4" s="24"/>
      <c r="K4" s="22"/>
      <c r="L4" s="22"/>
      <c r="M4" s="22"/>
      <c r="N4" s="22"/>
      <c r="O4" s="22"/>
      <c r="P4" s="22"/>
      <c r="Q4" s="22"/>
      <c r="R4" s="22"/>
      <c r="S4" s="22"/>
      <c r="T4" s="22"/>
      <c r="U4" s="22"/>
      <c r="V4" s="22"/>
      <c r="W4" s="22"/>
      <c r="X4" s="22"/>
      <c r="Y4" s="22"/>
      <c r="Z4" s="22"/>
    </row>
    <row r="5">
      <c r="A5" s="22" t="s">
        <v>56</v>
      </c>
      <c r="B5" s="24" t="s">
        <v>24</v>
      </c>
      <c r="C5" s="22" t="s">
        <v>18</v>
      </c>
      <c r="D5" s="32" t="s">
        <v>58</v>
      </c>
      <c r="E5" s="33">
        <v>46023.0</v>
      </c>
      <c r="F5" s="33">
        <v>46053.0</v>
      </c>
      <c r="G5" s="22"/>
      <c r="H5" s="22"/>
      <c r="I5" s="24"/>
      <c r="J5" s="24"/>
      <c r="K5" s="22"/>
      <c r="L5" s="22"/>
      <c r="M5" s="22"/>
      <c r="N5" s="22"/>
      <c r="O5" s="22"/>
      <c r="P5" s="22"/>
      <c r="Q5" s="22"/>
      <c r="R5" s="22"/>
      <c r="S5" s="22"/>
      <c r="T5" s="22"/>
      <c r="U5" s="22"/>
      <c r="V5" s="22"/>
      <c r="W5" s="22"/>
      <c r="X5" s="22"/>
      <c r="Y5" s="22"/>
      <c r="Z5" s="22"/>
    </row>
    <row r="6">
      <c r="A6" s="22" t="s">
        <v>53</v>
      </c>
      <c r="B6" s="24" t="s">
        <v>27</v>
      </c>
      <c r="C6" s="22" t="s">
        <v>18</v>
      </c>
      <c r="D6" s="32" t="s">
        <v>59</v>
      </c>
      <c r="E6" s="33">
        <v>46023.0</v>
      </c>
      <c r="F6" s="33">
        <v>46053.0</v>
      </c>
      <c r="G6" s="22"/>
      <c r="H6" s="22"/>
      <c r="I6" s="24"/>
      <c r="J6" s="24"/>
      <c r="K6" s="22"/>
      <c r="L6" s="22"/>
      <c r="M6" s="22"/>
      <c r="N6" s="22"/>
      <c r="O6" s="22"/>
      <c r="P6" s="22"/>
      <c r="Q6" s="22"/>
      <c r="R6" s="22"/>
      <c r="S6" s="22"/>
      <c r="T6" s="22"/>
      <c r="U6" s="22"/>
      <c r="V6" s="22"/>
      <c r="W6" s="22"/>
      <c r="X6" s="22"/>
      <c r="Y6" s="22"/>
      <c r="Z6" s="22"/>
    </row>
    <row r="7">
      <c r="A7" s="22" t="s">
        <v>56</v>
      </c>
      <c r="B7" s="24" t="s">
        <v>25</v>
      </c>
      <c r="C7" s="22" t="s">
        <v>18</v>
      </c>
      <c r="D7" s="32" t="s">
        <v>60</v>
      </c>
      <c r="E7" s="33">
        <v>46023.0</v>
      </c>
      <c r="F7" s="33">
        <v>46053.0</v>
      </c>
      <c r="G7" s="22"/>
      <c r="H7" s="22"/>
      <c r="I7" s="24"/>
      <c r="J7" s="24"/>
      <c r="K7" s="22"/>
      <c r="L7" s="22"/>
      <c r="M7" s="22"/>
      <c r="N7" s="22"/>
      <c r="O7" s="22"/>
      <c r="P7" s="22"/>
      <c r="Q7" s="22"/>
      <c r="R7" s="22"/>
      <c r="S7" s="22"/>
      <c r="T7" s="22"/>
      <c r="U7" s="22"/>
      <c r="V7" s="22"/>
      <c r="W7" s="22"/>
      <c r="X7" s="22"/>
      <c r="Y7" s="22"/>
      <c r="Z7" s="22"/>
    </row>
    <row r="8">
      <c r="A8" s="22" t="s">
        <v>53</v>
      </c>
      <c r="B8" s="24" t="s">
        <v>26</v>
      </c>
      <c r="C8" s="22" t="s">
        <v>18</v>
      </c>
      <c r="D8" s="32" t="s">
        <v>61</v>
      </c>
      <c r="E8" s="33">
        <v>46023.0</v>
      </c>
      <c r="F8" s="33">
        <v>46053.0</v>
      </c>
      <c r="G8" s="22"/>
      <c r="H8" s="22"/>
      <c r="I8" s="24"/>
      <c r="J8" s="24"/>
      <c r="K8" s="22"/>
      <c r="L8" s="22"/>
      <c r="M8" s="22"/>
      <c r="N8" s="22"/>
      <c r="O8" s="22"/>
      <c r="P8" s="22"/>
      <c r="Q8" s="22"/>
      <c r="R8" s="22"/>
      <c r="S8" s="22"/>
      <c r="T8" s="22"/>
      <c r="U8" s="22"/>
      <c r="V8" s="22"/>
      <c r="W8" s="22"/>
      <c r="X8" s="22"/>
      <c r="Y8" s="22"/>
      <c r="Z8" s="22"/>
    </row>
    <row r="9">
      <c r="A9" s="22" t="s">
        <v>53</v>
      </c>
      <c r="B9" s="24" t="s">
        <v>28</v>
      </c>
      <c r="C9" s="22" t="s">
        <v>18</v>
      </c>
      <c r="D9" s="32" t="s">
        <v>62</v>
      </c>
      <c r="E9" s="33">
        <v>46023.0</v>
      </c>
      <c r="F9" s="33">
        <v>46053.0</v>
      </c>
      <c r="G9" s="22"/>
      <c r="H9" s="22"/>
      <c r="I9" s="24"/>
      <c r="J9" s="24"/>
      <c r="K9" s="22"/>
      <c r="L9" s="22"/>
      <c r="M9" s="22"/>
      <c r="N9" s="22"/>
      <c r="O9" s="22"/>
      <c r="P9" s="22"/>
      <c r="Q9" s="22"/>
      <c r="R9" s="22"/>
      <c r="S9" s="22"/>
      <c r="T9" s="22"/>
      <c r="U9" s="22"/>
      <c r="V9" s="22"/>
      <c r="W9" s="22"/>
      <c r="X9" s="22"/>
      <c r="Y9" s="22"/>
      <c r="Z9" s="22"/>
    </row>
    <row r="10">
      <c r="A10" s="22" t="s">
        <v>56</v>
      </c>
      <c r="B10" s="24" t="s">
        <v>29</v>
      </c>
      <c r="C10" s="22" t="s">
        <v>18</v>
      </c>
      <c r="D10" s="32" t="s">
        <v>63</v>
      </c>
      <c r="E10" s="33">
        <v>46023.0</v>
      </c>
      <c r="F10" s="33">
        <v>46053.0</v>
      </c>
      <c r="G10" s="22"/>
      <c r="H10" s="22"/>
      <c r="I10" s="24"/>
      <c r="J10" s="24"/>
      <c r="K10" s="22"/>
      <c r="L10" s="22"/>
      <c r="M10" s="22"/>
      <c r="N10" s="22"/>
      <c r="O10" s="22"/>
      <c r="P10" s="22"/>
      <c r="Q10" s="22"/>
      <c r="R10" s="22"/>
      <c r="S10" s="22"/>
      <c r="T10" s="22"/>
      <c r="U10" s="22"/>
      <c r="V10" s="22"/>
      <c r="W10" s="22"/>
      <c r="X10" s="22"/>
      <c r="Y10" s="22"/>
      <c r="Z10" s="22"/>
    </row>
    <row r="11">
      <c r="A11" s="22" t="s">
        <v>64</v>
      </c>
      <c r="B11" s="24" t="s">
        <v>30</v>
      </c>
      <c r="C11" s="22" t="s">
        <v>18</v>
      </c>
      <c r="D11" s="32" t="s">
        <v>65</v>
      </c>
      <c r="E11" s="33">
        <v>46023.0</v>
      </c>
      <c r="F11" s="33">
        <v>46053.0</v>
      </c>
      <c r="G11" s="22"/>
      <c r="H11" s="22"/>
      <c r="I11" s="24"/>
      <c r="J11" s="24"/>
      <c r="K11" s="22"/>
      <c r="L11" s="22"/>
      <c r="M11" s="22"/>
      <c r="N11" s="22"/>
      <c r="O11" s="22"/>
      <c r="P11" s="22"/>
      <c r="Q11" s="22"/>
      <c r="R11" s="22"/>
      <c r="S11" s="22"/>
      <c r="T11" s="22"/>
      <c r="U11" s="22"/>
      <c r="V11" s="22"/>
      <c r="W11" s="22"/>
      <c r="X11" s="22"/>
      <c r="Y11" s="22"/>
      <c r="Z11" s="22"/>
    </row>
    <row r="12">
      <c r="A12" s="22" t="s">
        <v>53</v>
      </c>
      <c r="B12" s="24" t="s">
        <v>31</v>
      </c>
      <c r="C12" s="22" t="s">
        <v>18</v>
      </c>
      <c r="D12" s="32" t="s">
        <v>66</v>
      </c>
      <c r="E12" s="33">
        <v>46023.0</v>
      </c>
      <c r="F12" s="33">
        <v>46053.0</v>
      </c>
      <c r="G12" s="22"/>
      <c r="H12" s="22"/>
      <c r="I12" s="24"/>
      <c r="J12" s="24"/>
      <c r="K12" s="22"/>
      <c r="L12" s="22"/>
      <c r="M12" s="22"/>
      <c r="N12" s="22"/>
      <c r="O12" s="22"/>
      <c r="P12" s="22"/>
      <c r="Q12" s="22"/>
      <c r="R12" s="22"/>
      <c r="S12" s="22"/>
      <c r="T12" s="22"/>
      <c r="U12" s="22"/>
      <c r="V12" s="22"/>
      <c r="W12" s="22"/>
      <c r="X12" s="22"/>
      <c r="Y12" s="22"/>
      <c r="Z12" s="22"/>
    </row>
    <row r="13">
      <c r="A13" s="34"/>
      <c r="B13" s="35"/>
      <c r="C13" s="34"/>
      <c r="D13" s="36"/>
      <c r="E13" s="37"/>
      <c r="F13" s="37"/>
      <c r="G13" s="34"/>
      <c r="H13" s="34"/>
      <c r="I13" s="34"/>
      <c r="J13" s="34"/>
      <c r="K13" s="34"/>
      <c r="L13" s="34"/>
      <c r="M13" s="34"/>
      <c r="N13" s="34"/>
      <c r="O13" s="34"/>
      <c r="P13" s="34"/>
      <c r="Q13" s="34"/>
      <c r="R13" s="34"/>
      <c r="S13" s="34"/>
      <c r="T13" s="34"/>
      <c r="U13" s="34"/>
      <c r="V13" s="34"/>
      <c r="W13" s="34"/>
      <c r="X13" s="34"/>
      <c r="Y13" s="34"/>
      <c r="Z13" s="34"/>
    </row>
    <row r="14">
      <c r="A14" s="38" t="s">
        <v>32</v>
      </c>
    </row>
    <row r="15">
      <c r="A15" s="22"/>
      <c r="B15" s="24"/>
      <c r="C15" s="22"/>
      <c r="D15" s="31"/>
      <c r="E15" s="33"/>
      <c r="F15" s="33"/>
      <c r="G15" s="22"/>
      <c r="H15" s="22"/>
      <c r="I15" s="22"/>
      <c r="J15" s="22"/>
      <c r="K15" s="22"/>
      <c r="L15" s="22"/>
      <c r="M15" s="22"/>
      <c r="N15" s="22"/>
      <c r="O15" s="22"/>
      <c r="P15" s="22"/>
      <c r="Q15" s="22"/>
      <c r="R15" s="22"/>
      <c r="S15" s="22"/>
      <c r="T15" s="22"/>
      <c r="U15" s="22"/>
      <c r="V15" s="22"/>
      <c r="W15" s="22"/>
      <c r="X15" s="22"/>
      <c r="Y15" s="22"/>
      <c r="Z15" s="22"/>
    </row>
    <row r="16">
      <c r="A16" s="22" t="s">
        <v>56</v>
      </c>
      <c r="B16" s="24" t="s">
        <v>23</v>
      </c>
      <c r="C16" s="22" t="s">
        <v>18</v>
      </c>
      <c r="D16" s="31" t="s">
        <v>67</v>
      </c>
      <c r="E16" s="33">
        <v>46054.0</v>
      </c>
      <c r="F16" s="33">
        <v>46081.0</v>
      </c>
      <c r="G16" s="22"/>
      <c r="H16" s="22"/>
      <c r="I16" s="22"/>
      <c r="J16" s="22"/>
      <c r="K16" s="22"/>
      <c r="L16" s="22"/>
      <c r="M16" s="22"/>
      <c r="N16" s="22"/>
      <c r="O16" s="22"/>
      <c r="P16" s="22"/>
      <c r="Q16" s="22"/>
      <c r="R16" s="22"/>
      <c r="S16" s="22"/>
      <c r="T16" s="22"/>
      <c r="U16" s="22"/>
      <c r="V16" s="22"/>
      <c r="W16" s="22"/>
      <c r="X16" s="22"/>
      <c r="Y16" s="22"/>
      <c r="Z16" s="22"/>
    </row>
    <row r="17">
      <c r="A17" s="22" t="s">
        <v>56</v>
      </c>
      <c r="B17" s="24" t="s">
        <v>24</v>
      </c>
      <c r="C17" s="26" t="s">
        <v>18</v>
      </c>
      <c r="D17" s="31" t="s">
        <v>68</v>
      </c>
      <c r="E17" s="33">
        <v>46054.0</v>
      </c>
      <c r="F17" s="33">
        <v>46081.0</v>
      </c>
      <c r="G17" s="22"/>
      <c r="H17" s="22"/>
      <c r="I17" s="22"/>
      <c r="J17" s="22"/>
      <c r="K17" s="22"/>
      <c r="L17" s="22"/>
      <c r="M17" s="22"/>
      <c r="N17" s="22"/>
      <c r="O17" s="22"/>
      <c r="P17" s="22"/>
      <c r="Q17" s="22"/>
      <c r="R17" s="22"/>
      <c r="S17" s="22"/>
      <c r="T17" s="22"/>
      <c r="U17" s="22"/>
      <c r="V17" s="22"/>
      <c r="W17" s="22"/>
      <c r="X17" s="22"/>
      <c r="Y17" s="22"/>
      <c r="Z17" s="22"/>
    </row>
    <row r="18">
      <c r="A18" s="22" t="s">
        <v>53</v>
      </c>
      <c r="B18" s="24" t="s">
        <v>69</v>
      </c>
      <c r="C18" s="22" t="s">
        <v>18</v>
      </c>
      <c r="D18" s="31" t="s">
        <v>70</v>
      </c>
      <c r="E18" s="33">
        <v>46054.0</v>
      </c>
      <c r="F18" s="33">
        <v>46081.0</v>
      </c>
      <c r="G18" s="22"/>
      <c r="H18" s="22"/>
      <c r="I18" s="22"/>
      <c r="J18" s="22"/>
      <c r="K18" s="22"/>
      <c r="L18" s="22"/>
      <c r="M18" s="22"/>
      <c r="N18" s="22"/>
      <c r="O18" s="22"/>
      <c r="P18" s="22"/>
      <c r="Q18" s="22"/>
      <c r="R18" s="22"/>
      <c r="S18" s="22"/>
      <c r="T18" s="22"/>
      <c r="U18" s="22"/>
      <c r="V18" s="22"/>
      <c r="W18" s="22"/>
      <c r="X18" s="22"/>
      <c r="Y18" s="22"/>
      <c r="Z18" s="22"/>
    </row>
    <row r="19">
      <c r="A19" s="22" t="s">
        <v>56</v>
      </c>
      <c r="B19" s="24" t="s">
        <v>71</v>
      </c>
      <c r="C19" s="22" t="s">
        <v>18</v>
      </c>
      <c r="D19" s="31" t="s">
        <v>72</v>
      </c>
      <c r="E19" s="33">
        <v>46054.0</v>
      </c>
      <c r="F19" s="33">
        <v>46081.0</v>
      </c>
      <c r="G19" s="22"/>
      <c r="H19" s="22"/>
      <c r="I19" s="22"/>
      <c r="J19" s="22"/>
      <c r="K19" s="22"/>
      <c r="L19" s="22"/>
      <c r="M19" s="22"/>
      <c r="N19" s="22"/>
      <c r="O19" s="22"/>
      <c r="P19" s="22"/>
      <c r="Q19" s="22"/>
      <c r="R19" s="22"/>
      <c r="S19" s="22"/>
      <c r="T19" s="22"/>
      <c r="U19" s="22"/>
      <c r="V19" s="22"/>
      <c r="W19" s="22"/>
      <c r="X19" s="22"/>
      <c r="Y19" s="22"/>
      <c r="Z19" s="22"/>
    </row>
    <row r="20">
      <c r="A20" s="22" t="s">
        <v>53</v>
      </c>
      <c r="B20" s="24" t="s">
        <v>73</v>
      </c>
      <c r="C20" s="22" t="s">
        <v>18</v>
      </c>
      <c r="D20" s="31" t="s">
        <v>74</v>
      </c>
      <c r="E20" s="33">
        <v>46054.0</v>
      </c>
      <c r="F20" s="33">
        <v>46081.0</v>
      </c>
      <c r="G20" s="22"/>
      <c r="H20" s="22"/>
      <c r="I20" s="22"/>
      <c r="J20" s="22"/>
      <c r="K20" s="22"/>
      <c r="L20" s="22"/>
      <c r="M20" s="22"/>
      <c r="N20" s="22"/>
      <c r="O20" s="22"/>
      <c r="P20" s="22"/>
      <c r="Q20" s="22"/>
      <c r="R20" s="22"/>
      <c r="S20" s="22"/>
      <c r="T20" s="22"/>
      <c r="U20" s="22"/>
      <c r="V20" s="22"/>
      <c r="W20" s="22"/>
      <c r="X20" s="22"/>
      <c r="Y20" s="22"/>
      <c r="Z20" s="22"/>
    </row>
    <row r="21">
      <c r="A21" s="22" t="s">
        <v>56</v>
      </c>
      <c r="B21" s="24" t="s">
        <v>75</v>
      </c>
      <c r="C21" s="22" t="s">
        <v>18</v>
      </c>
      <c r="D21" s="31" t="s">
        <v>76</v>
      </c>
      <c r="E21" s="33">
        <v>46054.0</v>
      </c>
      <c r="F21" s="33">
        <v>46081.0</v>
      </c>
      <c r="G21" s="22"/>
      <c r="H21" s="22"/>
      <c r="I21" s="22"/>
      <c r="J21" s="22"/>
      <c r="K21" s="22"/>
      <c r="L21" s="22"/>
      <c r="M21" s="22"/>
      <c r="N21" s="22"/>
      <c r="O21" s="22"/>
      <c r="P21" s="22"/>
      <c r="Q21" s="22"/>
      <c r="R21" s="22"/>
      <c r="S21" s="22"/>
      <c r="T21" s="22"/>
      <c r="U21" s="22"/>
      <c r="V21" s="22"/>
      <c r="W21" s="22"/>
      <c r="X21" s="22"/>
      <c r="Y21" s="22"/>
      <c r="Z21" s="22"/>
    </row>
    <row r="22">
      <c r="A22" s="22"/>
      <c r="B22" s="24"/>
      <c r="C22" s="22"/>
      <c r="D22" s="31"/>
      <c r="E22" s="22"/>
      <c r="F22" s="22"/>
      <c r="G22" s="22"/>
      <c r="H22" s="22"/>
      <c r="I22" s="22"/>
      <c r="J22" s="22"/>
      <c r="K22" s="22"/>
      <c r="L22" s="22"/>
      <c r="M22" s="22"/>
      <c r="N22" s="22"/>
      <c r="O22" s="22"/>
      <c r="P22" s="22"/>
      <c r="Q22" s="22"/>
      <c r="R22" s="22"/>
      <c r="S22" s="22"/>
      <c r="T22" s="22"/>
      <c r="U22" s="22"/>
      <c r="V22" s="22"/>
      <c r="W22" s="22"/>
      <c r="X22" s="22"/>
      <c r="Y22" s="22"/>
      <c r="Z22" s="22"/>
    </row>
    <row r="23">
      <c r="A23" s="22"/>
      <c r="B23" s="24"/>
      <c r="C23" s="22"/>
      <c r="D23" s="31"/>
      <c r="E23" s="22"/>
      <c r="F23" s="22"/>
      <c r="G23" s="22"/>
      <c r="H23" s="22"/>
      <c r="I23" s="22"/>
      <c r="J23" s="22"/>
      <c r="K23" s="22"/>
      <c r="L23" s="22"/>
      <c r="M23" s="22"/>
      <c r="N23" s="22"/>
      <c r="O23" s="22"/>
      <c r="P23" s="22"/>
      <c r="Q23" s="22"/>
      <c r="R23" s="22"/>
      <c r="S23" s="22"/>
      <c r="T23" s="22"/>
      <c r="U23" s="22"/>
      <c r="V23" s="22"/>
      <c r="W23" s="22"/>
      <c r="X23" s="22"/>
      <c r="Y23" s="22"/>
      <c r="Z23" s="22"/>
    </row>
    <row r="24">
      <c r="A24" s="22"/>
      <c r="B24" s="24"/>
      <c r="C24" s="22"/>
      <c r="D24" s="31"/>
      <c r="E24" s="22"/>
      <c r="F24" s="22"/>
      <c r="G24" s="22"/>
      <c r="H24" s="22"/>
      <c r="I24" s="22"/>
      <c r="J24" s="22"/>
      <c r="K24" s="22"/>
      <c r="L24" s="22"/>
      <c r="M24" s="22"/>
      <c r="N24" s="22"/>
      <c r="O24" s="22"/>
      <c r="P24" s="22"/>
      <c r="Q24" s="22"/>
      <c r="R24" s="22"/>
      <c r="S24" s="22"/>
      <c r="T24" s="22"/>
      <c r="U24" s="22"/>
      <c r="V24" s="22"/>
      <c r="W24" s="22"/>
      <c r="X24" s="22"/>
      <c r="Y24" s="22"/>
      <c r="Z24" s="22"/>
    </row>
    <row r="25">
      <c r="A25" s="22"/>
      <c r="B25" s="24"/>
      <c r="C25" s="22"/>
      <c r="D25" s="31"/>
      <c r="E25" s="22"/>
      <c r="F25" s="22"/>
      <c r="G25" s="22"/>
      <c r="H25" s="22"/>
      <c r="I25" s="22"/>
      <c r="J25" s="22"/>
      <c r="K25" s="22"/>
      <c r="L25" s="22"/>
      <c r="M25" s="22"/>
      <c r="N25" s="22"/>
      <c r="O25" s="22"/>
      <c r="P25" s="22"/>
      <c r="Q25" s="22"/>
      <c r="R25" s="22"/>
      <c r="S25" s="22"/>
      <c r="T25" s="22"/>
      <c r="U25" s="22"/>
      <c r="V25" s="22"/>
      <c r="W25" s="22"/>
      <c r="X25" s="22"/>
      <c r="Y25" s="22"/>
      <c r="Z25" s="22"/>
    </row>
    <row r="26">
      <c r="A26" s="22"/>
      <c r="B26" s="24"/>
      <c r="C26" s="22"/>
      <c r="D26" s="31"/>
      <c r="E26" s="22"/>
      <c r="F26" s="22"/>
      <c r="G26" s="22"/>
      <c r="H26" s="22"/>
      <c r="I26" s="22"/>
      <c r="J26" s="22"/>
      <c r="K26" s="22"/>
      <c r="L26" s="22"/>
      <c r="M26" s="22"/>
      <c r="N26" s="22"/>
      <c r="O26" s="22"/>
      <c r="P26" s="22"/>
      <c r="Q26" s="22"/>
      <c r="R26" s="22"/>
      <c r="S26" s="22"/>
      <c r="T26" s="22"/>
      <c r="U26" s="22"/>
      <c r="V26" s="22"/>
      <c r="W26" s="22"/>
      <c r="X26" s="22"/>
      <c r="Y26" s="22"/>
      <c r="Z26" s="22"/>
    </row>
    <row r="27">
      <c r="A27" s="22"/>
      <c r="B27" s="24"/>
      <c r="C27" s="22"/>
      <c r="D27" s="31"/>
      <c r="E27" s="22"/>
      <c r="F27" s="22"/>
      <c r="G27" s="22"/>
      <c r="H27" s="22"/>
      <c r="I27" s="22"/>
      <c r="J27" s="22"/>
      <c r="K27" s="22"/>
      <c r="L27" s="22"/>
      <c r="M27" s="22"/>
      <c r="N27" s="22"/>
      <c r="O27" s="22"/>
      <c r="P27" s="22"/>
      <c r="Q27" s="22"/>
      <c r="R27" s="22"/>
      <c r="S27" s="22"/>
      <c r="T27" s="22"/>
      <c r="U27" s="22"/>
      <c r="V27" s="22"/>
      <c r="W27" s="22"/>
      <c r="X27" s="22"/>
      <c r="Y27" s="22"/>
      <c r="Z27" s="22"/>
    </row>
    <row r="28">
      <c r="A28" s="22"/>
      <c r="B28" s="24"/>
      <c r="C28" s="22"/>
      <c r="D28" s="31"/>
      <c r="E28" s="22"/>
      <c r="F28" s="22"/>
      <c r="G28" s="22"/>
      <c r="H28" s="22"/>
      <c r="I28" s="22"/>
      <c r="J28" s="22"/>
      <c r="K28" s="22"/>
      <c r="L28" s="22"/>
      <c r="M28" s="22"/>
      <c r="N28" s="22"/>
      <c r="O28" s="22"/>
      <c r="P28" s="22"/>
      <c r="Q28" s="22"/>
      <c r="R28" s="22"/>
      <c r="S28" s="22"/>
      <c r="T28" s="22"/>
      <c r="U28" s="22"/>
      <c r="V28" s="22"/>
      <c r="W28" s="22"/>
      <c r="X28" s="22"/>
      <c r="Y28" s="22"/>
      <c r="Z28" s="22"/>
    </row>
    <row r="29">
      <c r="A29" s="22"/>
      <c r="B29" s="24"/>
      <c r="C29" s="22"/>
      <c r="D29" s="31"/>
      <c r="E29" s="22"/>
      <c r="F29" s="22"/>
      <c r="G29" s="22"/>
      <c r="H29" s="22"/>
      <c r="I29" s="22"/>
      <c r="J29" s="22"/>
      <c r="K29" s="22"/>
      <c r="L29" s="22"/>
      <c r="M29" s="22"/>
      <c r="N29" s="22"/>
      <c r="O29" s="22"/>
      <c r="P29" s="22"/>
      <c r="Q29" s="22"/>
      <c r="R29" s="22"/>
      <c r="S29" s="22"/>
      <c r="T29" s="22"/>
      <c r="U29" s="22"/>
      <c r="V29" s="22"/>
      <c r="W29" s="22"/>
      <c r="X29" s="22"/>
      <c r="Y29" s="22"/>
      <c r="Z29" s="22"/>
    </row>
    <row r="30">
      <c r="A30" s="22"/>
      <c r="B30" s="24"/>
      <c r="C30" s="22"/>
      <c r="D30" s="31"/>
      <c r="E30" s="22"/>
      <c r="F30" s="22"/>
      <c r="G30" s="22"/>
      <c r="H30" s="22"/>
      <c r="I30" s="22"/>
      <c r="J30" s="22"/>
      <c r="K30" s="22"/>
      <c r="L30" s="22"/>
      <c r="M30" s="22"/>
      <c r="N30" s="22"/>
      <c r="O30" s="22"/>
      <c r="P30" s="22"/>
      <c r="Q30" s="22"/>
      <c r="R30" s="22"/>
      <c r="S30" s="22"/>
      <c r="T30" s="22"/>
      <c r="U30" s="22"/>
      <c r="V30" s="22"/>
      <c r="W30" s="22"/>
      <c r="X30" s="22"/>
      <c r="Y30" s="22"/>
      <c r="Z30" s="22"/>
    </row>
    <row r="31">
      <c r="A31" s="22"/>
      <c r="B31" s="24"/>
      <c r="C31" s="22"/>
      <c r="D31" s="31"/>
      <c r="E31" s="22"/>
      <c r="F31" s="22"/>
      <c r="G31" s="22"/>
      <c r="H31" s="22"/>
      <c r="I31" s="22"/>
      <c r="J31" s="22"/>
      <c r="K31" s="22"/>
      <c r="L31" s="22"/>
      <c r="M31" s="22"/>
      <c r="N31" s="22"/>
      <c r="O31" s="22"/>
      <c r="P31" s="22"/>
      <c r="Q31" s="22"/>
      <c r="R31" s="22"/>
      <c r="S31" s="22"/>
      <c r="T31" s="22"/>
      <c r="U31" s="22"/>
      <c r="V31" s="22"/>
      <c r="W31" s="22"/>
      <c r="X31" s="22"/>
      <c r="Y31" s="22"/>
      <c r="Z31" s="22"/>
    </row>
    <row r="32">
      <c r="A32" s="22"/>
      <c r="B32" s="24"/>
      <c r="C32" s="22"/>
      <c r="D32" s="31"/>
      <c r="E32" s="22"/>
      <c r="F32" s="22"/>
      <c r="G32" s="22"/>
      <c r="H32" s="22"/>
      <c r="I32" s="22"/>
      <c r="J32" s="22"/>
      <c r="K32" s="22"/>
      <c r="L32" s="22"/>
      <c r="M32" s="22"/>
      <c r="N32" s="22"/>
      <c r="O32" s="22"/>
      <c r="P32" s="22"/>
      <c r="Q32" s="22"/>
      <c r="R32" s="22"/>
      <c r="S32" s="22"/>
      <c r="T32" s="22"/>
      <c r="U32" s="22"/>
      <c r="V32" s="22"/>
      <c r="W32" s="22"/>
      <c r="X32" s="22"/>
      <c r="Y32" s="22"/>
      <c r="Z32" s="22"/>
    </row>
    <row r="33">
      <c r="A33" s="22"/>
      <c r="B33" s="24"/>
      <c r="C33" s="22"/>
      <c r="D33" s="31"/>
      <c r="E33" s="22"/>
      <c r="F33" s="22"/>
      <c r="G33" s="22"/>
      <c r="H33" s="22"/>
      <c r="I33" s="22"/>
      <c r="J33" s="22"/>
      <c r="K33" s="22"/>
      <c r="L33" s="22"/>
      <c r="M33" s="22"/>
      <c r="N33" s="22"/>
      <c r="O33" s="22"/>
      <c r="P33" s="22"/>
      <c r="Q33" s="22"/>
      <c r="R33" s="22"/>
      <c r="S33" s="22"/>
      <c r="T33" s="22"/>
      <c r="U33" s="22"/>
      <c r="V33" s="22"/>
      <c r="W33" s="22"/>
      <c r="X33" s="22"/>
      <c r="Y33" s="22"/>
      <c r="Z33" s="22"/>
    </row>
    <row r="34">
      <c r="A34" s="22"/>
      <c r="B34" s="24"/>
      <c r="C34" s="22"/>
      <c r="D34" s="31"/>
      <c r="E34" s="22"/>
      <c r="F34" s="22"/>
      <c r="G34" s="22"/>
      <c r="H34" s="22"/>
      <c r="I34" s="22"/>
      <c r="J34" s="22"/>
      <c r="K34" s="22"/>
      <c r="L34" s="22"/>
      <c r="M34" s="22"/>
      <c r="N34" s="22"/>
      <c r="O34" s="22"/>
      <c r="P34" s="22"/>
      <c r="Q34" s="22"/>
      <c r="R34" s="22"/>
      <c r="S34" s="22"/>
      <c r="T34" s="22"/>
      <c r="U34" s="22"/>
      <c r="V34" s="22"/>
      <c r="W34" s="22"/>
      <c r="X34" s="22"/>
      <c r="Y34" s="22"/>
      <c r="Z34" s="22"/>
    </row>
    <row r="35">
      <c r="A35" s="22"/>
      <c r="B35" s="24"/>
      <c r="C35" s="22"/>
      <c r="D35" s="31"/>
      <c r="E35" s="22"/>
      <c r="F35" s="22"/>
      <c r="G35" s="22"/>
      <c r="H35" s="22"/>
      <c r="I35" s="22"/>
      <c r="J35" s="22"/>
      <c r="K35" s="22"/>
      <c r="L35" s="22"/>
      <c r="M35" s="22"/>
      <c r="N35" s="22"/>
      <c r="O35" s="22"/>
      <c r="P35" s="22"/>
      <c r="Q35" s="22"/>
      <c r="R35" s="22"/>
      <c r="S35" s="22"/>
      <c r="T35" s="22"/>
      <c r="U35" s="22"/>
      <c r="V35" s="22"/>
      <c r="W35" s="22"/>
      <c r="X35" s="22"/>
      <c r="Y35" s="22"/>
      <c r="Z35" s="22"/>
    </row>
    <row r="36">
      <c r="A36" s="22"/>
      <c r="B36" s="24"/>
      <c r="C36" s="22"/>
      <c r="D36" s="31"/>
      <c r="E36" s="22"/>
      <c r="F36" s="22"/>
      <c r="G36" s="22"/>
      <c r="H36" s="22"/>
      <c r="I36" s="22"/>
      <c r="J36" s="22"/>
      <c r="K36" s="22"/>
      <c r="L36" s="22"/>
      <c r="M36" s="22"/>
      <c r="N36" s="22"/>
      <c r="O36" s="22"/>
      <c r="P36" s="22"/>
      <c r="Q36" s="22"/>
      <c r="R36" s="22"/>
      <c r="S36" s="22"/>
      <c r="T36" s="22"/>
      <c r="U36" s="22"/>
      <c r="V36" s="22"/>
      <c r="W36" s="22"/>
      <c r="X36" s="22"/>
      <c r="Y36" s="22"/>
      <c r="Z36" s="22"/>
    </row>
    <row r="37">
      <c r="A37" s="22"/>
      <c r="B37" s="24"/>
      <c r="C37" s="22"/>
      <c r="D37" s="31"/>
      <c r="E37" s="22"/>
      <c r="F37" s="22"/>
      <c r="G37" s="22"/>
      <c r="H37" s="22"/>
      <c r="I37" s="22"/>
      <c r="J37" s="22"/>
      <c r="K37" s="22"/>
      <c r="L37" s="22"/>
      <c r="M37" s="22"/>
      <c r="N37" s="22"/>
      <c r="O37" s="22"/>
      <c r="P37" s="22"/>
      <c r="Q37" s="22"/>
      <c r="R37" s="22"/>
      <c r="S37" s="22"/>
      <c r="T37" s="22"/>
      <c r="U37" s="22"/>
      <c r="V37" s="22"/>
      <c r="W37" s="22"/>
      <c r="X37" s="22"/>
      <c r="Y37" s="22"/>
      <c r="Z37" s="22"/>
    </row>
    <row r="38">
      <c r="A38" s="22"/>
      <c r="B38" s="24"/>
      <c r="C38" s="22"/>
      <c r="D38" s="31"/>
      <c r="E38" s="22"/>
      <c r="F38" s="22"/>
      <c r="G38" s="22"/>
      <c r="H38" s="22"/>
      <c r="I38" s="22"/>
      <c r="J38" s="22"/>
      <c r="K38" s="22"/>
      <c r="L38" s="22"/>
      <c r="M38" s="22"/>
      <c r="N38" s="22"/>
      <c r="O38" s="22"/>
      <c r="P38" s="22"/>
      <c r="Q38" s="22"/>
      <c r="R38" s="22"/>
      <c r="S38" s="22"/>
      <c r="T38" s="22"/>
      <c r="U38" s="22"/>
      <c r="V38" s="22"/>
      <c r="W38" s="22"/>
      <c r="X38" s="22"/>
      <c r="Y38" s="22"/>
      <c r="Z38" s="22"/>
    </row>
    <row r="39">
      <c r="A39" s="22"/>
      <c r="B39" s="24"/>
      <c r="C39" s="22"/>
      <c r="D39" s="31"/>
      <c r="E39" s="22"/>
      <c r="F39" s="22"/>
      <c r="G39" s="22"/>
      <c r="H39" s="22"/>
      <c r="I39" s="22"/>
      <c r="J39" s="22"/>
      <c r="K39" s="22"/>
      <c r="L39" s="22"/>
      <c r="M39" s="22"/>
      <c r="N39" s="22"/>
      <c r="O39" s="22"/>
      <c r="P39" s="22"/>
      <c r="Q39" s="22"/>
      <c r="R39" s="22"/>
      <c r="S39" s="22"/>
      <c r="T39" s="22"/>
      <c r="U39" s="22"/>
      <c r="V39" s="22"/>
      <c r="W39" s="22"/>
      <c r="X39" s="22"/>
      <c r="Y39" s="22"/>
      <c r="Z39" s="22"/>
    </row>
    <row r="40">
      <c r="A40" s="22"/>
      <c r="B40" s="24"/>
      <c r="C40" s="22"/>
      <c r="D40" s="31"/>
      <c r="E40" s="22"/>
      <c r="F40" s="22"/>
      <c r="G40" s="22"/>
      <c r="H40" s="22"/>
      <c r="I40" s="22"/>
      <c r="J40" s="22"/>
      <c r="K40" s="22"/>
      <c r="L40" s="22"/>
      <c r="M40" s="22"/>
      <c r="N40" s="22"/>
      <c r="O40" s="22"/>
      <c r="P40" s="22"/>
      <c r="Q40" s="22"/>
      <c r="R40" s="22"/>
      <c r="S40" s="22"/>
      <c r="T40" s="22"/>
      <c r="U40" s="22"/>
      <c r="V40" s="22"/>
      <c r="W40" s="22"/>
      <c r="X40" s="22"/>
      <c r="Y40" s="22"/>
      <c r="Z40" s="22"/>
    </row>
    <row r="41">
      <c r="A41" s="22"/>
      <c r="B41" s="24"/>
      <c r="C41" s="22"/>
      <c r="D41" s="31"/>
      <c r="E41" s="22"/>
      <c r="F41" s="22"/>
      <c r="G41" s="22"/>
      <c r="H41" s="22"/>
      <c r="I41" s="22"/>
      <c r="J41" s="22"/>
      <c r="K41" s="22"/>
      <c r="L41" s="22"/>
      <c r="M41" s="22"/>
      <c r="N41" s="22"/>
      <c r="O41" s="22"/>
      <c r="P41" s="22"/>
      <c r="Q41" s="22"/>
      <c r="R41" s="22"/>
      <c r="S41" s="22"/>
      <c r="T41" s="22"/>
      <c r="U41" s="22"/>
      <c r="V41" s="22"/>
      <c r="W41" s="22"/>
      <c r="X41" s="22"/>
      <c r="Y41" s="22"/>
      <c r="Z41" s="22"/>
    </row>
    <row r="42">
      <c r="A42" s="22"/>
      <c r="B42" s="24"/>
      <c r="C42" s="22"/>
      <c r="D42" s="31"/>
      <c r="E42" s="22"/>
      <c r="F42" s="22"/>
      <c r="G42" s="22"/>
      <c r="H42" s="22"/>
      <c r="I42" s="22"/>
      <c r="J42" s="22"/>
      <c r="K42" s="22"/>
      <c r="L42" s="22"/>
      <c r="M42" s="22"/>
      <c r="N42" s="22"/>
      <c r="O42" s="22"/>
      <c r="P42" s="22"/>
      <c r="Q42" s="22"/>
      <c r="R42" s="22"/>
      <c r="S42" s="22"/>
      <c r="T42" s="22"/>
      <c r="U42" s="22"/>
      <c r="V42" s="22"/>
      <c r="W42" s="22"/>
      <c r="X42" s="22"/>
      <c r="Y42" s="22"/>
      <c r="Z42" s="22"/>
    </row>
    <row r="43">
      <c r="A43" s="22"/>
      <c r="B43" s="24"/>
      <c r="C43" s="22"/>
      <c r="D43" s="31"/>
      <c r="E43" s="22"/>
      <c r="F43" s="22"/>
      <c r="G43" s="22"/>
      <c r="H43" s="22"/>
      <c r="I43" s="22"/>
      <c r="J43" s="22"/>
      <c r="K43" s="22"/>
      <c r="L43" s="22"/>
      <c r="M43" s="22"/>
      <c r="N43" s="22"/>
      <c r="O43" s="22"/>
      <c r="P43" s="22"/>
      <c r="Q43" s="22"/>
      <c r="R43" s="22"/>
      <c r="S43" s="22"/>
      <c r="T43" s="22"/>
      <c r="U43" s="22"/>
      <c r="V43" s="22"/>
      <c r="W43" s="22"/>
      <c r="X43" s="22"/>
      <c r="Y43" s="22"/>
      <c r="Z43" s="22"/>
    </row>
    <row r="44">
      <c r="A44" s="22"/>
      <c r="B44" s="24"/>
      <c r="C44" s="22"/>
      <c r="D44" s="31"/>
      <c r="E44" s="22"/>
      <c r="F44" s="22"/>
      <c r="G44" s="22"/>
      <c r="H44" s="22"/>
      <c r="I44" s="22"/>
      <c r="J44" s="22"/>
      <c r="K44" s="22"/>
      <c r="L44" s="22"/>
      <c r="M44" s="22"/>
      <c r="N44" s="22"/>
      <c r="O44" s="22"/>
      <c r="P44" s="22"/>
      <c r="Q44" s="22"/>
      <c r="R44" s="22"/>
      <c r="S44" s="22"/>
      <c r="T44" s="22"/>
      <c r="U44" s="22"/>
      <c r="V44" s="22"/>
      <c r="W44" s="22"/>
      <c r="X44" s="22"/>
      <c r="Y44" s="22"/>
      <c r="Z44" s="22"/>
    </row>
    <row r="45">
      <c r="A45" s="22"/>
      <c r="B45" s="24"/>
      <c r="C45" s="22"/>
      <c r="D45" s="31"/>
      <c r="E45" s="22"/>
      <c r="F45" s="22"/>
      <c r="G45" s="22"/>
      <c r="H45" s="22"/>
      <c r="I45" s="22"/>
      <c r="J45" s="22"/>
      <c r="K45" s="22"/>
      <c r="L45" s="22"/>
      <c r="M45" s="22"/>
      <c r="N45" s="22"/>
      <c r="O45" s="22"/>
      <c r="P45" s="22"/>
      <c r="Q45" s="22"/>
      <c r="R45" s="22"/>
      <c r="S45" s="22"/>
      <c r="T45" s="22"/>
      <c r="U45" s="22"/>
      <c r="V45" s="22"/>
      <c r="W45" s="22"/>
      <c r="X45" s="22"/>
      <c r="Y45" s="22"/>
      <c r="Z45" s="22"/>
    </row>
    <row r="46">
      <c r="A46" s="22"/>
      <c r="B46" s="24"/>
      <c r="C46" s="22"/>
      <c r="D46" s="31"/>
      <c r="E46" s="22"/>
      <c r="F46" s="22"/>
      <c r="G46" s="22"/>
      <c r="H46" s="22"/>
      <c r="I46" s="22"/>
      <c r="J46" s="22"/>
      <c r="K46" s="22"/>
      <c r="L46" s="22"/>
      <c r="M46" s="22"/>
      <c r="N46" s="22"/>
      <c r="O46" s="22"/>
      <c r="P46" s="22"/>
      <c r="Q46" s="22"/>
      <c r="R46" s="22"/>
      <c r="S46" s="22"/>
      <c r="T46" s="22"/>
      <c r="U46" s="22"/>
      <c r="V46" s="22"/>
      <c r="W46" s="22"/>
      <c r="X46" s="22"/>
      <c r="Y46" s="22"/>
      <c r="Z46" s="22"/>
    </row>
    <row r="47">
      <c r="A47" s="22"/>
      <c r="B47" s="24"/>
      <c r="C47" s="22"/>
      <c r="D47" s="31"/>
      <c r="E47" s="22"/>
      <c r="F47" s="22"/>
      <c r="G47" s="22"/>
      <c r="H47" s="22"/>
      <c r="I47" s="22"/>
      <c r="J47" s="22"/>
      <c r="K47" s="22"/>
      <c r="L47" s="22"/>
      <c r="M47" s="22"/>
      <c r="N47" s="22"/>
      <c r="O47" s="22"/>
      <c r="P47" s="22"/>
      <c r="Q47" s="22"/>
      <c r="R47" s="22"/>
      <c r="S47" s="22"/>
      <c r="T47" s="22"/>
      <c r="U47" s="22"/>
      <c r="V47" s="22"/>
      <c r="W47" s="22"/>
      <c r="X47" s="22"/>
      <c r="Y47" s="22"/>
      <c r="Z47" s="22"/>
    </row>
    <row r="48">
      <c r="A48" s="22"/>
      <c r="B48" s="24"/>
      <c r="C48" s="22"/>
      <c r="D48" s="31"/>
      <c r="E48" s="22"/>
      <c r="F48" s="22"/>
      <c r="G48" s="22"/>
      <c r="H48" s="22"/>
      <c r="I48" s="22"/>
      <c r="J48" s="22"/>
      <c r="K48" s="22"/>
      <c r="L48" s="22"/>
      <c r="M48" s="22"/>
      <c r="N48" s="22"/>
      <c r="O48" s="22"/>
      <c r="P48" s="22"/>
      <c r="Q48" s="22"/>
      <c r="R48" s="22"/>
      <c r="S48" s="22"/>
      <c r="T48" s="22"/>
      <c r="U48" s="22"/>
      <c r="V48" s="22"/>
      <c r="W48" s="22"/>
      <c r="X48" s="22"/>
      <c r="Y48" s="22"/>
      <c r="Z48" s="22"/>
    </row>
    <row r="49">
      <c r="A49" s="22"/>
      <c r="B49" s="24"/>
      <c r="C49" s="22"/>
      <c r="D49" s="31"/>
      <c r="E49" s="22"/>
      <c r="F49" s="22"/>
      <c r="G49" s="22"/>
      <c r="H49" s="22"/>
      <c r="I49" s="22"/>
      <c r="J49" s="22"/>
      <c r="K49" s="22"/>
      <c r="L49" s="22"/>
      <c r="M49" s="22"/>
      <c r="N49" s="22"/>
      <c r="O49" s="22"/>
      <c r="P49" s="22"/>
      <c r="Q49" s="22"/>
      <c r="R49" s="22"/>
      <c r="S49" s="22"/>
      <c r="T49" s="22"/>
      <c r="U49" s="22"/>
      <c r="V49" s="22"/>
      <c r="W49" s="22"/>
      <c r="X49" s="22"/>
      <c r="Y49" s="22"/>
      <c r="Z49" s="22"/>
    </row>
    <row r="50">
      <c r="A50" s="22"/>
      <c r="B50" s="24"/>
      <c r="C50" s="22"/>
      <c r="D50" s="31"/>
      <c r="E50" s="22"/>
      <c r="F50" s="22"/>
      <c r="G50" s="22"/>
      <c r="H50" s="22"/>
      <c r="I50" s="22"/>
      <c r="J50" s="22"/>
      <c r="K50" s="22"/>
      <c r="L50" s="22"/>
      <c r="M50" s="22"/>
      <c r="N50" s="22"/>
      <c r="O50" s="22"/>
      <c r="P50" s="22"/>
      <c r="Q50" s="22"/>
      <c r="R50" s="22"/>
      <c r="S50" s="22"/>
      <c r="T50" s="22"/>
      <c r="U50" s="22"/>
      <c r="V50" s="22"/>
      <c r="W50" s="22"/>
      <c r="X50" s="22"/>
      <c r="Y50" s="22"/>
      <c r="Z50" s="22"/>
    </row>
    <row r="51">
      <c r="A51" s="22"/>
      <c r="B51" s="24"/>
      <c r="C51" s="22"/>
      <c r="D51" s="31"/>
      <c r="E51" s="22"/>
      <c r="F51" s="22"/>
      <c r="G51" s="22"/>
      <c r="H51" s="22"/>
      <c r="I51" s="22"/>
      <c r="J51" s="22"/>
      <c r="K51" s="22"/>
      <c r="L51" s="22"/>
      <c r="M51" s="22"/>
      <c r="N51" s="22"/>
      <c r="O51" s="22"/>
      <c r="P51" s="22"/>
      <c r="Q51" s="22"/>
      <c r="R51" s="22"/>
      <c r="S51" s="22"/>
      <c r="T51" s="22"/>
      <c r="U51" s="22"/>
      <c r="V51" s="22"/>
      <c r="W51" s="22"/>
      <c r="X51" s="22"/>
      <c r="Y51" s="22"/>
      <c r="Z51" s="22"/>
    </row>
    <row r="52">
      <c r="A52" s="22"/>
      <c r="B52" s="24"/>
      <c r="C52" s="22"/>
      <c r="D52" s="31"/>
      <c r="E52" s="22"/>
      <c r="F52" s="22"/>
      <c r="G52" s="22"/>
      <c r="H52" s="22"/>
      <c r="I52" s="22"/>
      <c r="J52" s="22"/>
      <c r="K52" s="22"/>
      <c r="L52" s="22"/>
      <c r="M52" s="22"/>
      <c r="N52" s="22"/>
      <c r="O52" s="22"/>
      <c r="P52" s="22"/>
      <c r="Q52" s="22"/>
      <c r="R52" s="22"/>
      <c r="S52" s="22"/>
      <c r="T52" s="22"/>
      <c r="U52" s="22"/>
      <c r="V52" s="22"/>
      <c r="W52" s="22"/>
      <c r="X52" s="22"/>
      <c r="Y52" s="22"/>
      <c r="Z52" s="22"/>
    </row>
    <row r="53">
      <c r="A53" s="22"/>
      <c r="B53" s="24"/>
      <c r="C53" s="22"/>
      <c r="D53" s="31"/>
      <c r="E53" s="22"/>
      <c r="F53" s="22"/>
      <c r="G53" s="22"/>
      <c r="H53" s="22"/>
      <c r="I53" s="22"/>
      <c r="J53" s="22"/>
      <c r="K53" s="22"/>
      <c r="L53" s="22"/>
      <c r="M53" s="22"/>
      <c r="N53" s="22"/>
      <c r="O53" s="22"/>
      <c r="P53" s="22"/>
      <c r="Q53" s="22"/>
      <c r="R53" s="22"/>
      <c r="S53" s="22"/>
      <c r="T53" s="22"/>
      <c r="U53" s="22"/>
      <c r="V53" s="22"/>
      <c r="W53" s="22"/>
      <c r="X53" s="22"/>
      <c r="Y53" s="22"/>
      <c r="Z53" s="22"/>
    </row>
    <row r="54">
      <c r="A54" s="22"/>
      <c r="B54" s="24"/>
      <c r="C54" s="22"/>
      <c r="D54" s="31"/>
      <c r="E54" s="22"/>
      <c r="F54" s="22"/>
      <c r="G54" s="22"/>
      <c r="H54" s="22"/>
      <c r="I54" s="22"/>
      <c r="J54" s="22"/>
      <c r="K54" s="22"/>
      <c r="L54" s="22"/>
      <c r="M54" s="22"/>
      <c r="N54" s="22"/>
      <c r="O54" s="22"/>
      <c r="P54" s="22"/>
      <c r="Q54" s="22"/>
      <c r="R54" s="22"/>
      <c r="S54" s="22"/>
      <c r="T54" s="22"/>
      <c r="U54" s="22"/>
      <c r="V54" s="22"/>
      <c r="W54" s="22"/>
      <c r="X54" s="22"/>
      <c r="Y54" s="22"/>
      <c r="Z54" s="22"/>
    </row>
    <row r="55">
      <c r="A55" s="22"/>
      <c r="B55" s="24"/>
      <c r="C55" s="22"/>
      <c r="D55" s="31"/>
      <c r="E55" s="22"/>
      <c r="F55" s="22"/>
      <c r="G55" s="22"/>
      <c r="H55" s="22"/>
      <c r="I55" s="22"/>
      <c r="J55" s="22"/>
      <c r="K55" s="22"/>
      <c r="L55" s="22"/>
      <c r="M55" s="22"/>
      <c r="N55" s="22"/>
      <c r="O55" s="22"/>
      <c r="P55" s="22"/>
      <c r="Q55" s="22"/>
      <c r="R55" s="22"/>
      <c r="S55" s="22"/>
      <c r="T55" s="22"/>
      <c r="U55" s="22"/>
      <c r="V55" s="22"/>
      <c r="W55" s="22"/>
      <c r="X55" s="22"/>
      <c r="Y55" s="22"/>
      <c r="Z55" s="22"/>
    </row>
    <row r="56">
      <c r="A56" s="22"/>
      <c r="B56" s="24"/>
      <c r="C56" s="22"/>
      <c r="D56" s="31"/>
      <c r="E56" s="22"/>
      <c r="F56" s="22"/>
      <c r="G56" s="22"/>
      <c r="H56" s="22"/>
      <c r="I56" s="22"/>
      <c r="J56" s="22"/>
      <c r="K56" s="22"/>
      <c r="L56" s="22"/>
      <c r="M56" s="22"/>
      <c r="N56" s="22"/>
      <c r="O56" s="22"/>
      <c r="P56" s="22"/>
      <c r="Q56" s="22"/>
      <c r="R56" s="22"/>
      <c r="S56" s="22"/>
      <c r="T56" s="22"/>
      <c r="U56" s="22"/>
      <c r="V56" s="22"/>
      <c r="W56" s="22"/>
      <c r="X56" s="22"/>
      <c r="Y56" s="22"/>
      <c r="Z56" s="22"/>
    </row>
    <row r="57">
      <c r="A57" s="22"/>
      <c r="B57" s="24"/>
      <c r="C57" s="22"/>
      <c r="D57" s="31"/>
      <c r="E57" s="22"/>
      <c r="F57" s="22"/>
      <c r="G57" s="22"/>
      <c r="H57" s="22"/>
      <c r="I57" s="22"/>
      <c r="J57" s="22"/>
      <c r="K57" s="22"/>
      <c r="L57" s="22"/>
      <c r="M57" s="22"/>
      <c r="N57" s="22"/>
      <c r="O57" s="22"/>
      <c r="P57" s="22"/>
      <c r="Q57" s="22"/>
      <c r="R57" s="22"/>
      <c r="S57" s="22"/>
      <c r="T57" s="22"/>
      <c r="U57" s="22"/>
      <c r="V57" s="22"/>
      <c r="W57" s="22"/>
      <c r="X57" s="22"/>
      <c r="Y57" s="22"/>
      <c r="Z57" s="22"/>
    </row>
    <row r="58">
      <c r="A58" s="22"/>
      <c r="B58" s="24"/>
      <c r="C58" s="22"/>
      <c r="D58" s="31"/>
      <c r="E58" s="22"/>
      <c r="F58" s="22"/>
      <c r="G58" s="22"/>
      <c r="H58" s="22"/>
      <c r="I58" s="22"/>
      <c r="J58" s="22"/>
      <c r="K58" s="22"/>
      <c r="L58" s="22"/>
      <c r="M58" s="22"/>
      <c r="N58" s="22"/>
      <c r="O58" s="22"/>
      <c r="P58" s="22"/>
      <c r="Q58" s="22"/>
      <c r="R58" s="22"/>
      <c r="S58" s="22"/>
      <c r="T58" s="22"/>
      <c r="U58" s="22"/>
      <c r="V58" s="22"/>
      <c r="W58" s="22"/>
      <c r="X58" s="22"/>
      <c r="Y58" s="22"/>
      <c r="Z58" s="22"/>
    </row>
    <row r="59">
      <c r="A59" s="22"/>
      <c r="B59" s="24"/>
      <c r="C59" s="22"/>
      <c r="D59" s="31"/>
      <c r="E59" s="22"/>
      <c r="F59" s="22"/>
      <c r="G59" s="22"/>
      <c r="H59" s="22"/>
      <c r="I59" s="22"/>
      <c r="J59" s="22"/>
      <c r="K59" s="22"/>
      <c r="L59" s="22"/>
      <c r="M59" s="22"/>
      <c r="N59" s="22"/>
      <c r="O59" s="22"/>
      <c r="P59" s="22"/>
      <c r="Q59" s="22"/>
      <c r="R59" s="22"/>
      <c r="S59" s="22"/>
      <c r="T59" s="22"/>
      <c r="U59" s="22"/>
      <c r="V59" s="22"/>
      <c r="W59" s="22"/>
      <c r="X59" s="22"/>
      <c r="Y59" s="22"/>
      <c r="Z59" s="22"/>
    </row>
    <row r="60">
      <c r="A60" s="22"/>
      <c r="B60" s="24"/>
      <c r="C60" s="22"/>
      <c r="D60" s="31"/>
      <c r="E60" s="22"/>
      <c r="F60" s="22"/>
      <c r="G60" s="22"/>
      <c r="H60" s="22"/>
      <c r="I60" s="22"/>
      <c r="J60" s="22"/>
      <c r="K60" s="22"/>
      <c r="L60" s="22"/>
      <c r="M60" s="22"/>
      <c r="N60" s="22"/>
      <c r="O60" s="22"/>
      <c r="P60" s="22"/>
      <c r="Q60" s="22"/>
      <c r="R60" s="22"/>
      <c r="S60" s="22"/>
      <c r="T60" s="22"/>
      <c r="U60" s="22"/>
      <c r="V60" s="22"/>
      <c r="W60" s="22"/>
      <c r="X60" s="22"/>
      <c r="Y60" s="22"/>
      <c r="Z60" s="22"/>
    </row>
    <row r="61">
      <c r="A61" s="22"/>
      <c r="B61" s="24"/>
      <c r="C61" s="22"/>
      <c r="D61" s="31"/>
      <c r="E61" s="22"/>
      <c r="F61" s="22"/>
      <c r="G61" s="22"/>
      <c r="H61" s="22"/>
      <c r="I61" s="22"/>
      <c r="J61" s="22"/>
      <c r="K61" s="22"/>
      <c r="L61" s="22"/>
      <c r="M61" s="22"/>
      <c r="N61" s="22"/>
      <c r="O61" s="22"/>
      <c r="P61" s="22"/>
      <c r="Q61" s="22"/>
      <c r="R61" s="22"/>
      <c r="S61" s="22"/>
      <c r="T61" s="22"/>
      <c r="U61" s="22"/>
      <c r="V61" s="22"/>
      <c r="W61" s="22"/>
      <c r="X61" s="22"/>
      <c r="Y61" s="22"/>
      <c r="Z61" s="22"/>
    </row>
    <row r="62">
      <c r="A62" s="22"/>
      <c r="B62" s="24"/>
      <c r="C62" s="22"/>
      <c r="D62" s="31"/>
      <c r="E62" s="22"/>
      <c r="F62" s="22"/>
      <c r="G62" s="22"/>
      <c r="H62" s="22"/>
      <c r="I62" s="22"/>
      <c r="J62" s="22"/>
      <c r="K62" s="22"/>
      <c r="L62" s="22"/>
      <c r="M62" s="22"/>
      <c r="N62" s="22"/>
      <c r="O62" s="22"/>
      <c r="P62" s="22"/>
      <c r="Q62" s="22"/>
      <c r="R62" s="22"/>
      <c r="S62" s="22"/>
      <c r="T62" s="22"/>
      <c r="U62" s="22"/>
      <c r="V62" s="22"/>
      <c r="W62" s="22"/>
      <c r="X62" s="22"/>
      <c r="Y62" s="22"/>
      <c r="Z62" s="22"/>
    </row>
    <row r="63">
      <c r="A63" s="22"/>
      <c r="B63" s="24"/>
      <c r="C63" s="22"/>
      <c r="D63" s="31"/>
      <c r="E63" s="22"/>
      <c r="F63" s="22"/>
      <c r="G63" s="22"/>
      <c r="H63" s="22"/>
      <c r="I63" s="22"/>
      <c r="J63" s="22"/>
      <c r="K63" s="22"/>
      <c r="L63" s="22"/>
      <c r="M63" s="22"/>
      <c r="N63" s="22"/>
      <c r="O63" s="22"/>
      <c r="P63" s="22"/>
      <c r="Q63" s="22"/>
      <c r="R63" s="22"/>
      <c r="S63" s="22"/>
      <c r="T63" s="22"/>
      <c r="U63" s="22"/>
      <c r="V63" s="22"/>
      <c r="W63" s="22"/>
      <c r="X63" s="22"/>
      <c r="Y63" s="22"/>
      <c r="Z63" s="22"/>
    </row>
    <row r="64">
      <c r="A64" s="22"/>
      <c r="B64" s="24"/>
      <c r="C64" s="22"/>
      <c r="D64" s="31"/>
      <c r="E64" s="22"/>
      <c r="F64" s="22"/>
      <c r="G64" s="22"/>
      <c r="H64" s="22"/>
      <c r="I64" s="22"/>
      <c r="J64" s="22"/>
      <c r="K64" s="22"/>
      <c r="L64" s="22"/>
      <c r="M64" s="22"/>
      <c r="N64" s="22"/>
      <c r="O64" s="22"/>
      <c r="P64" s="22"/>
      <c r="Q64" s="22"/>
      <c r="R64" s="22"/>
      <c r="S64" s="22"/>
      <c r="T64" s="22"/>
      <c r="U64" s="22"/>
      <c r="V64" s="22"/>
      <c r="W64" s="22"/>
      <c r="X64" s="22"/>
      <c r="Y64" s="22"/>
      <c r="Z64" s="22"/>
    </row>
    <row r="65">
      <c r="A65" s="22"/>
      <c r="B65" s="24"/>
      <c r="C65" s="22"/>
      <c r="D65" s="31"/>
      <c r="E65" s="22"/>
      <c r="F65" s="22"/>
      <c r="G65" s="22"/>
      <c r="H65" s="22"/>
      <c r="I65" s="22"/>
      <c r="J65" s="22"/>
      <c r="K65" s="22"/>
      <c r="L65" s="22"/>
      <c r="M65" s="22"/>
      <c r="N65" s="22"/>
      <c r="O65" s="22"/>
      <c r="P65" s="22"/>
      <c r="Q65" s="22"/>
      <c r="R65" s="22"/>
      <c r="S65" s="22"/>
      <c r="T65" s="22"/>
      <c r="U65" s="22"/>
      <c r="V65" s="22"/>
      <c r="W65" s="22"/>
      <c r="X65" s="22"/>
      <c r="Y65" s="22"/>
      <c r="Z65" s="22"/>
    </row>
    <row r="66">
      <c r="A66" s="22"/>
      <c r="B66" s="24"/>
      <c r="C66" s="22"/>
      <c r="D66" s="31"/>
      <c r="E66" s="22"/>
      <c r="F66" s="22"/>
      <c r="G66" s="22"/>
      <c r="H66" s="22"/>
      <c r="I66" s="22"/>
      <c r="J66" s="22"/>
      <c r="K66" s="22"/>
      <c r="L66" s="22"/>
      <c r="M66" s="22"/>
      <c r="N66" s="22"/>
      <c r="O66" s="22"/>
      <c r="P66" s="22"/>
      <c r="Q66" s="22"/>
      <c r="R66" s="22"/>
      <c r="S66" s="22"/>
      <c r="T66" s="22"/>
      <c r="U66" s="22"/>
      <c r="V66" s="22"/>
      <c r="W66" s="22"/>
      <c r="X66" s="22"/>
      <c r="Y66" s="22"/>
      <c r="Z66" s="22"/>
    </row>
    <row r="67">
      <c r="A67" s="22"/>
      <c r="B67" s="24"/>
      <c r="C67" s="22"/>
      <c r="D67" s="31"/>
      <c r="E67" s="22"/>
      <c r="F67" s="22"/>
      <c r="G67" s="22"/>
      <c r="H67" s="22"/>
      <c r="I67" s="22"/>
      <c r="J67" s="22"/>
      <c r="K67" s="22"/>
      <c r="L67" s="22"/>
      <c r="M67" s="22"/>
      <c r="N67" s="22"/>
      <c r="O67" s="22"/>
      <c r="P67" s="22"/>
      <c r="Q67" s="22"/>
      <c r="R67" s="22"/>
      <c r="S67" s="22"/>
      <c r="T67" s="22"/>
      <c r="U67" s="22"/>
      <c r="V67" s="22"/>
      <c r="W67" s="22"/>
      <c r="X67" s="22"/>
      <c r="Y67" s="22"/>
      <c r="Z67" s="22"/>
    </row>
    <row r="68">
      <c r="A68" s="22"/>
      <c r="B68" s="24"/>
      <c r="C68" s="22"/>
      <c r="D68" s="31"/>
      <c r="E68" s="22"/>
      <c r="F68" s="22"/>
      <c r="G68" s="22"/>
      <c r="H68" s="22"/>
      <c r="I68" s="22"/>
      <c r="J68" s="22"/>
      <c r="K68" s="22"/>
      <c r="L68" s="22"/>
      <c r="M68" s="22"/>
      <c r="N68" s="22"/>
      <c r="O68" s="22"/>
      <c r="P68" s="22"/>
      <c r="Q68" s="22"/>
      <c r="R68" s="22"/>
      <c r="S68" s="22"/>
      <c r="T68" s="22"/>
      <c r="U68" s="22"/>
      <c r="V68" s="22"/>
      <c r="W68" s="22"/>
      <c r="X68" s="22"/>
      <c r="Y68" s="22"/>
      <c r="Z68" s="22"/>
    </row>
    <row r="69">
      <c r="A69" s="22"/>
      <c r="B69" s="24"/>
      <c r="C69" s="22"/>
      <c r="D69" s="31"/>
      <c r="E69" s="22"/>
      <c r="F69" s="22"/>
      <c r="G69" s="22"/>
      <c r="H69" s="22"/>
      <c r="I69" s="22"/>
      <c r="J69" s="22"/>
      <c r="K69" s="22"/>
      <c r="L69" s="22"/>
      <c r="M69" s="22"/>
      <c r="N69" s="22"/>
      <c r="O69" s="22"/>
      <c r="P69" s="22"/>
      <c r="Q69" s="22"/>
      <c r="R69" s="22"/>
      <c r="S69" s="22"/>
      <c r="T69" s="22"/>
      <c r="U69" s="22"/>
      <c r="V69" s="22"/>
      <c r="W69" s="22"/>
      <c r="X69" s="22"/>
      <c r="Y69" s="22"/>
      <c r="Z69" s="22"/>
    </row>
    <row r="70">
      <c r="A70" s="22"/>
      <c r="B70" s="24"/>
      <c r="C70" s="22"/>
      <c r="D70" s="31"/>
      <c r="E70" s="22"/>
      <c r="F70" s="22"/>
      <c r="G70" s="22"/>
      <c r="H70" s="22"/>
      <c r="I70" s="22"/>
      <c r="J70" s="22"/>
      <c r="K70" s="22"/>
      <c r="L70" s="22"/>
      <c r="M70" s="22"/>
      <c r="N70" s="22"/>
      <c r="O70" s="22"/>
      <c r="P70" s="22"/>
      <c r="Q70" s="22"/>
      <c r="R70" s="22"/>
      <c r="S70" s="22"/>
      <c r="T70" s="22"/>
      <c r="U70" s="22"/>
      <c r="V70" s="22"/>
      <c r="W70" s="22"/>
      <c r="X70" s="22"/>
      <c r="Y70" s="22"/>
      <c r="Z70" s="22"/>
    </row>
    <row r="71">
      <c r="A71" s="22"/>
      <c r="B71" s="24"/>
      <c r="C71" s="22"/>
      <c r="D71" s="31"/>
      <c r="E71" s="22"/>
      <c r="F71" s="22"/>
      <c r="G71" s="22"/>
      <c r="H71" s="22"/>
      <c r="I71" s="22"/>
      <c r="J71" s="22"/>
      <c r="K71" s="22"/>
      <c r="L71" s="22"/>
      <c r="M71" s="22"/>
      <c r="N71" s="22"/>
      <c r="O71" s="22"/>
      <c r="P71" s="22"/>
      <c r="Q71" s="22"/>
      <c r="R71" s="22"/>
      <c r="S71" s="22"/>
      <c r="T71" s="22"/>
      <c r="U71" s="22"/>
      <c r="V71" s="22"/>
      <c r="W71" s="22"/>
      <c r="X71" s="22"/>
      <c r="Y71" s="22"/>
      <c r="Z71" s="22"/>
    </row>
    <row r="72">
      <c r="A72" s="22"/>
      <c r="B72" s="24"/>
      <c r="C72" s="22"/>
      <c r="D72" s="31"/>
      <c r="E72" s="22"/>
      <c r="F72" s="22"/>
      <c r="G72" s="22"/>
      <c r="H72" s="22"/>
      <c r="I72" s="22"/>
      <c r="J72" s="22"/>
      <c r="K72" s="22"/>
      <c r="L72" s="22"/>
      <c r="M72" s="22"/>
      <c r="N72" s="22"/>
      <c r="O72" s="22"/>
      <c r="P72" s="22"/>
      <c r="Q72" s="22"/>
      <c r="R72" s="22"/>
      <c r="S72" s="22"/>
      <c r="T72" s="22"/>
      <c r="U72" s="22"/>
      <c r="V72" s="22"/>
      <c r="W72" s="22"/>
      <c r="X72" s="22"/>
      <c r="Y72" s="22"/>
      <c r="Z72" s="22"/>
    </row>
    <row r="73">
      <c r="A73" s="22"/>
      <c r="B73" s="24"/>
      <c r="C73" s="22"/>
      <c r="D73" s="31"/>
      <c r="E73" s="22"/>
      <c r="F73" s="22"/>
      <c r="G73" s="22"/>
      <c r="H73" s="22"/>
      <c r="I73" s="22"/>
      <c r="J73" s="22"/>
      <c r="K73" s="22"/>
      <c r="L73" s="22"/>
      <c r="M73" s="22"/>
      <c r="N73" s="22"/>
      <c r="O73" s="22"/>
      <c r="P73" s="22"/>
      <c r="Q73" s="22"/>
      <c r="R73" s="22"/>
      <c r="S73" s="22"/>
      <c r="T73" s="22"/>
      <c r="U73" s="22"/>
      <c r="V73" s="22"/>
      <c r="W73" s="22"/>
      <c r="X73" s="22"/>
      <c r="Y73" s="22"/>
      <c r="Z73" s="22"/>
    </row>
    <row r="74">
      <c r="A74" s="22"/>
      <c r="B74" s="24"/>
      <c r="C74" s="22"/>
      <c r="D74" s="31"/>
      <c r="E74" s="22"/>
      <c r="F74" s="22"/>
      <c r="G74" s="22"/>
      <c r="H74" s="22"/>
      <c r="I74" s="22"/>
      <c r="J74" s="22"/>
      <c r="K74" s="22"/>
      <c r="L74" s="22"/>
      <c r="M74" s="22"/>
      <c r="N74" s="22"/>
      <c r="O74" s="22"/>
      <c r="P74" s="22"/>
      <c r="Q74" s="22"/>
      <c r="R74" s="22"/>
      <c r="S74" s="22"/>
      <c r="T74" s="22"/>
      <c r="U74" s="22"/>
      <c r="V74" s="22"/>
      <c r="W74" s="22"/>
      <c r="X74" s="22"/>
      <c r="Y74" s="22"/>
      <c r="Z74" s="22"/>
    </row>
    <row r="75">
      <c r="A75" s="22"/>
      <c r="B75" s="24"/>
      <c r="C75" s="22"/>
      <c r="D75" s="31"/>
      <c r="E75" s="22"/>
      <c r="F75" s="22"/>
      <c r="G75" s="22"/>
      <c r="H75" s="22"/>
      <c r="I75" s="22"/>
      <c r="J75" s="22"/>
      <c r="K75" s="22"/>
      <c r="L75" s="22"/>
      <c r="M75" s="22"/>
      <c r="N75" s="22"/>
      <c r="O75" s="22"/>
      <c r="P75" s="22"/>
      <c r="Q75" s="22"/>
      <c r="R75" s="22"/>
      <c r="S75" s="22"/>
      <c r="T75" s="22"/>
      <c r="U75" s="22"/>
      <c r="V75" s="22"/>
      <c r="W75" s="22"/>
      <c r="X75" s="22"/>
      <c r="Y75" s="22"/>
      <c r="Z75" s="22"/>
    </row>
    <row r="76">
      <c r="A76" s="22"/>
      <c r="B76" s="24"/>
      <c r="C76" s="22"/>
      <c r="D76" s="31"/>
      <c r="E76" s="22"/>
      <c r="F76" s="22"/>
      <c r="G76" s="22"/>
      <c r="H76" s="22"/>
      <c r="I76" s="22"/>
      <c r="J76" s="22"/>
      <c r="K76" s="22"/>
      <c r="L76" s="22"/>
      <c r="M76" s="22"/>
      <c r="N76" s="22"/>
      <c r="O76" s="22"/>
      <c r="P76" s="22"/>
      <c r="Q76" s="22"/>
      <c r="R76" s="22"/>
      <c r="S76" s="22"/>
      <c r="T76" s="22"/>
      <c r="U76" s="22"/>
      <c r="V76" s="22"/>
      <c r="W76" s="22"/>
      <c r="X76" s="22"/>
      <c r="Y76" s="22"/>
      <c r="Z76" s="22"/>
    </row>
    <row r="77">
      <c r="A77" s="22"/>
      <c r="B77" s="24"/>
      <c r="C77" s="22"/>
      <c r="D77" s="31"/>
      <c r="E77" s="22"/>
      <c r="F77" s="22"/>
      <c r="G77" s="22"/>
      <c r="H77" s="22"/>
      <c r="I77" s="22"/>
      <c r="J77" s="22"/>
      <c r="K77" s="22"/>
      <c r="L77" s="22"/>
      <c r="M77" s="22"/>
      <c r="N77" s="22"/>
      <c r="O77" s="22"/>
      <c r="P77" s="22"/>
      <c r="Q77" s="22"/>
      <c r="R77" s="22"/>
      <c r="S77" s="22"/>
      <c r="T77" s="22"/>
      <c r="U77" s="22"/>
      <c r="V77" s="22"/>
      <c r="W77" s="22"/>
      <c r="X77" s="22"/>
      <c r="Y77" s="22"/>
      <c r="Z77" s="22"/>
    </row>
    <row r="78">
      <c r="A78" s="22"/>
      <c r="B78" s="24"/>
      <c r="C78" s="22"/>
      <c r="D78" s="31"/>
      <c r="E78" s="22"/>
      <c r="F78" s="22"/>
      <c r="G78" s="22"/>
      <c r="H78" s="22"/>
      <c r="I78" s="22"/>
      <c r="J78" s="22"/>
      <c r="K78" s="22"/>
      <c r="L78" s="22"/>
      <c r="M78" s="22"/>
      <c r="N78" s="22"/>
      <c r="O78" s="22"/>
      <c r="P78" s="22"/>
      <c r="Q78" s="22"/>
      <c r="R78" s="22"/>
      <c r="S78" s="22"/>
      <c r="T78" s="22"/>
      <c r="U78" s="22"/>
      <c r="V78" s="22"/>
      <c r="W78" s="22"/>
      <c r="X78" s="22"/>
      <c r="Y78" s="22"/>
      <c r="Z78" s="22"/>
    </row>
    <row r="79">
      <c r="A79" s="22"/>
      <c r="B79" s="24"/>
      <c r="C79" s="22"/>
      <c r="D79" s="31"/>
      <c r="E79" s="22"/>
      <c r="F79" s="22"/>
      <c r="G79" s="22"/>
      <c r="H79" s="22"/>
      <c r="I79" s="22"/>
      <c r="J79" s="22"/>
      <c r="K79" s="22"/>
      <c r="L79" s="22"/>
      <c r="M79" s="22"/>
      <c r="N79" s="22"/>
      <c r="O79" s="22"/>
      <c r="P79" s="22"/>
      <c r="Q79" s="22"/>
      <c r="R79" s="22"/>
      <c r="S79" s="22"/>
      <c r="T79" s="22"/>
      <c r="U79" s="22"/>
      <c r="V79" s="22"/>
      <c r="W79" s="22"/>
      <c r="X79" s="22"/>
      <c r="Y79" s="22"/>
      <c r="Z79" s="22"/>
    </row>
    <row r="80">
      <c r="A80" s="22"/>
      <c r="B80" s="24"/>
      <c r="C80" s="22"/>
      <c r="D80" s="31"/>
      <c r="E80" s="22"/>
      <c r="F80" s="22"/>
      <c r="G80" s="22"/>
      <c r="H80" s="22"/>
      <c r="I80" s="22"/>
      <c r="J80" s="22"/>
      <c r="K80" s="22"/>
      <c r="L80" s="22"/>
      <c r="M80" s="22"/>
      <c r="N80" s="22"/>
      <c r="O80" s="22"/>
      <c r="P80" s="22"/>
      <c r="Q80" s="22"/>
      <c r="R80" s="22"/>
      <c r="S80" s="22"/>
      <c r="T80" s="22"/>
      <c r="U80" s="22"/>
      <c r="V80" s="22"/>
      <c r="W80" s="22"/>
      <c r="X80" s="22"/>
      <c r="Y80" s="22"/>
      <c r="Z80" s="22"/>
    </row>
    <row r="81">
      <c r="A81" s="22"/>
      <c r="B81" s="24"/>
      <c r="C81" s="22"/>
      <c r="D81" s="31"/>
      <c r="E81" s="22"/>
      <c r="F81" s="22"/>
      <c r="G81" s="22"/>
      <c r="H81" s="22"/>
      <c r="I81" s="22"/>
      <c r="J81" s="22"/>
      <c r="K81" s="22"/>
      <c r="L81" s="22"/>
      <c r="M81" s="22"/>
      <c r="N81" s="22"/>
      <c r="O81" s="22"/>
      <c r="P81" s="22"/>
      <c r="Q81" s="22"/>
      <c r="R81" s="22"/>
      <c r="S81" s="22"/>
      <c r="T81" s="22"/>
      <c r="U81" s="22"/>
      <c r="V81" s="22"/>
      <c r="W81" s="22"/>
      <c r="X81" s="22"/>
      <c r="Y81" s="22"/>
      <c r="Z81" s="22"/>
    </row>
    <row r="82">
      <c r="A82" s="22"/>
      <c r="B82" s="24"/>
      <c r="C82" s="22"/>
      <c r="D82" s="31"/>
      <c r="E82" s="22"/>
      <c r="F82" s="22"/>
      <c r="G82" s="22"/>
      <c r="H82" s="22"/>
      <c r="I82" s="22"/>
      <c r="J82" s="22"/>
      <c r="K82" s="22"/>
      <c r="L82" s="22"/>
      <c r="M82" s="22"/>
      <c r="N82" s="22"/>
      <c r="O82" s="22"/>
      <c r="P82" s="22"/>
      <c r="Q82" s="22"/>
      <c r="R82" s="22"/>
      <c r="S82" s="22"/>
      <c r="T82" s="22"/>
      <c r="U82" s="22"/>
      <c r="V82" s="22"/>
      <c r="W82" s="22"/>
      <c r="X82" s="22"/>
      <c r="Y82" s="22"/>
      <c r="Z82" s="22"/>
    </row>
    <row r="83">
      <c r="A83" s="22"/>
      <c r="B83" s="24"/>
      <c r="C83" s="22"/>
      <c r="D83" s="31"/>
      <c r="E83" s="22"/>
      <c r="F83" s="22"/>
      <c r="G83" s="22"/>
      <c r="H83" s="22"/>
      <c r="I83" s="22"/>
      <c r="J83" s="22"/>
      <c r="K83" s="22"/>
      <c r="L83" s="22"/>
      <c r="M83" s="22"/>
      <c r="N83" s="22"/>
      <c r="O83" s="22"/>
      <c r="P83" s="22"/>
      <c r="Q83" s="22"/>
      <c r="R83" s="22"/>
      <c r="S83" s="22"/>
      <c r="T83" s="22"/>
      <c r="U83" s="22"/>
      <c r="V83" s="22"/>
      <c r="W83" s="22"/>
      <c r="X83" s="22"/>
      <c r="Y83" s="22"/>
      <c r="Z83" s="22"/>
    </row>
    <row r="84">
      <c r="A84" s="22"/>
      <c r="B84" s="24"/>
      <c r="C84" s="22"/>
      <c r="D84" s="31"/>
      <c r="E84" s="22"/>
      <c r="F84" s="22"/>
      <c r="G84" s="22"/>
      <c r="H84" s="22"/>
      <c r="I84" s="22"/>
      <c r="J84" s="22"/>
      <c r="K84" s="22"/>
      <c r="L84" s="22"/>
      <c r="M84" s="22"/>
      <c r="N84" s="22"/>
      <c r="O84" s="22"/>
      <c r="P84" s="22"/>
      <c r="Q84" s="22"/>
      <c r="R84" s="22"/>
      <c r="S84" s="22"/>
      <c r="T84" s="22"/>
      <c r="U84" s="22"/>
      <c r="V84" s="22"/>
      <c r="W84" s="22"/>
      <c r="X84" s="22"/>
      <c r="Y84" s="22"/>
      <c r="Z84" s="22"/>
    </row>
    <row r="85">
      <c r="A85" s="22"/>
      <c r="B85" s="24"/>
      <c r="C85" s="22"/>
      <c r="D85" s="31"/>
      <c r="E85" s="22"/>
      <c r="F85" s="22"/>
      <c r="G85" s="22"/>
      <c r="H85" s="22"/>
      <c r="I85" s="22"/>
      <c r="J85" s="22"/>
      <c r="K85" s="22"/>
      <c r="L85" s="22"/>
      <c r="M85" s="22"/>
      <c r="N85" s="22"/>
      <c r="O85" s="22"/>
      <c r="P85" s="22"/>
      <c r="Q85" s="22"/>
      <c r="R85" s="22"/>
      <c r="S85" s="22"/>
      <c r="T85" s="22"/>
      <c r="U85" s="22"/>
      <c r="V85" s="22"/>
      <c r="W85" s="22"/>
      <c r="X85" s="22"/>
      <c r="Y85" s="22"/>
      <c r="Z85" s="22"/>
    </row>
    <row r="86">
      <c r="A86" s="22"/>
      <c r="B86" s="24"/>
      <c r="C86" s="22"/>
      <c r="D86" s="31"/>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31"/>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31"/>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31"/>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31"/>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31"/>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31"/>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31"/>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31"/>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31"/>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31"/>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31"/>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31"/>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31"/>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31"/>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31"/>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31"/>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31"/>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31"/>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31"/>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31"/>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31"/>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31"/>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31"/>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31"/>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31"/>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31"/>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31"/>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31"/>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31"/>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31"/>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31"/>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31"/>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31"/>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31"/>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31"/>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31"/>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31"/>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31"/>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31"/>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31"/>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31"/>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31"/>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31"/>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31"/>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31"/>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31"/>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31"/>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31"/>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31"/>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31"/>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31"/>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31"/>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31"/>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31"/>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31"/>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31"/>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31"/>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31"/>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31"/>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31"/>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31"/>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31"/>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31"/>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31"/>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31"/>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31"/>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31"/>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31"/>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31"/>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31"/>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31"/>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31"/>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31"/>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31"/>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31"/>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31"/>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31"/>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31"/>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31"/>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31"/>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31"/>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31"/>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31"/>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31"/>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31"/>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31"/>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31"/>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31"/>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31"/>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31"/>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31"/>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31"/>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31"/>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31"/>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31"/>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31"/>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31"/>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31"/>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31"/>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31"/>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31"/>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31"/>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31"/>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31"/>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31"/>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31"/>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31"/>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31"/>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31"/>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31"/>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31"/>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31"/>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31"/>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31"/>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31"/>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31"/>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31"/>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31"/>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31"/>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31"/>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31"/>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31"/>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31"/>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31"/>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31"/>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31"/>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31"/>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31"/>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31"/>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31"/>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31"/>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31"/>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31"/>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31"/>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31"/>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31"/>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31"/>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31"/>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31"/>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31"/>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31"/>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31"/>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31"/>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31"/>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31"/>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31"/>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31"/>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31"/>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31"/>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31"/>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31"/>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31"/>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31"/>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31"/>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31"/>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31"/>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31"/>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31"/>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31"/>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31"/>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31"/>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31"/>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31"/>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31"/>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31"/>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31"/>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31"/>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31"/>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31"/>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31"/>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31"/>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31"/>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31"/>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31"/>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31"/>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31"/>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31"/>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31"/>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31"/>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31"/>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31"/>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31"/>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31"/>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31"/>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31"/>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31"/>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31"/>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31"/>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31"/>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31"/>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31"/>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31"/>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31"/>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31"/>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31"/>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31"/>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31"/>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31"/>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31"/>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31"/>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31"/>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31"/>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31"/>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31"/>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31"/>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31"/>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31"/>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31"/>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31"/>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31"/>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31"/>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31"/>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31"/>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31"/>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31"/>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31"/>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31"/>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31"/>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31"/>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31"/>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31"/>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31"/>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31"/>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31"/>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31"/>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31"/>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31"/>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31"/>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31"/>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31"/>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31"/>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31"/>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31"/>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31"/>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31"/>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31"/>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31"/>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31"/>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31"/>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31"/>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31"/>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31"/>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31"/>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31"/>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31"/>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31"/>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31"/>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31"/>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31"/>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31"/>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31"/>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31"/>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31"/>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31"/>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31"/>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31"/>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31"/>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31"/>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31"/>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31"/>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31"/>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31"/>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31"/>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31"/>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31"/>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31"/>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31"/>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31"/>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31"/>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31"/>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31"/>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31"/>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31"/>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31"/>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31"/>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31"/>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31"/>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31"/>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31"/>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31"/>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31"/>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31"/>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31"/>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31"/>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31"/>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31"/>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31"/>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31"/>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31"/>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31"/>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31"/>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31"/>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31"/>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31"/>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31"/>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31"/>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31"/>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31"/>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31"/>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31"/>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31"/>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31"/>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31"/>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31"/>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31"/>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31"/>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31"/>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31"/>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31"/>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31"/>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31"/>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31"/>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31"/>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31"/>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31"/>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31"/>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31"/>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31"/>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31"/>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31"/>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31"/>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31"/>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31"/>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31"/>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31"/>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31"/>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31"/>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31"/>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31"/>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31"/>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31"/>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31"/>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31"/>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31"/>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31"/>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31"/>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31"/>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31"/>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31"/>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31"/>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31"/>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31"/>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31"/>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31"/>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31"/>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31"/>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31"/>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31"/>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31"/>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31"/>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31"/>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31"/>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31"/>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31"/>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31"/>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31"/>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31"/>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31"/>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31"/>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31"/>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31"/>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31"/>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31"/>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31"/>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31"/>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31"/>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31"/>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31"/>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31"/>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31"/>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31"/>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31"/>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31"/>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31"/>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31"/>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31"/>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31"/>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31"/>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31"/>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31"/>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31"/>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31"/>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31"/>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31"/>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31"/>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31"/>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31"/>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31"/>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31"/>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31"/>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31"/>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31"/>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31"/>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31"/>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31"/>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31"/>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31"/>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31"/>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31"/>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31"/>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31"/>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31"/>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31"/>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31"/>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31"/>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31"/>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31"/>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31"/>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31"/>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31"/>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31"/>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31"/>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31"/>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31"/>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31"/>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31"/>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31"/>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31"/>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31"/>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31"/>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31"/>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31"/>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31"/>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31"/>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31"/>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31"/>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31"/>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31"/>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31"/>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31"/>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31"/>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31"/>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31"/>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31"/>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31"/>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31"/>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31"/>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31"/>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31"/>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31"/>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31"/>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31"/>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31"/>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31"/>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31"/>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31"/>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31"/>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31"/>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31"/>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31"/>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31"/>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31"/>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31"/>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31"/>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31"/>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31"/>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31"/>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31"/>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31"/>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31"/>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31"/>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31"/>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31"/>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31"/>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31"/>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31"/>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31"/>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31"/>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31"/>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31"/>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31"/>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31"/>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31"/>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31"/>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31"/>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31"/>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31"/>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31"/>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31"/>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31"/>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31"/>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31"/>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31"/>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31"/>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31"/>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31"/>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31"/>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31"/>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31"/>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31"/>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31"/>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31"/>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31"/>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31"/>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31"/>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31"/>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31"/>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31"/>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31"/>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31"/>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31"/>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31"/>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31"/>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31"/>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31"/>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31"/>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31"/>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31"/>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31"/>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31"/>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31"/>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31"/>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31"/>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31"/>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31"/>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31"/>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31"/>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31"/>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31"/>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31"/>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31"/>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31"/>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31"/>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31"/>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31"/>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31"/>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31"/>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31"/>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31"/>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31"/>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31"/>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31"/>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31"/>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31"/>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31"/>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31"/>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31"/>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31"/>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31"/>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31"/>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31"/>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31"/>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31"/>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31"/>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31"/>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31"/>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31"/>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31"/>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31"/>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31"/>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31"/>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31"/>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31"/>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31"/>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31"/>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31"/>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31"/>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31"/>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31"/>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31"/>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31"/>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31"/>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31"/>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31"/>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31"/>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31"/>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31"/>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31"/>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31"/>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31"/>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31"/>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31"/>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31"/>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31"/>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31"/>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31"/>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31"/>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31"/>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31"/>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31"/>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31"/>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31"/>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31"/>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31"/>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31"/>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31"/>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31"/>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31"/>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31"/>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31"/>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31"/>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31"/>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31"/>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31"/>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31"/>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31"/>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31"/>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31"/>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31"/>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31"/>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31"/>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31"/>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31"/>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31"/>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31"/>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31"/>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31"/>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31"/>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31"/>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31"/>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31"/>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31"/>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31"/>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31"/>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31"/>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31"/>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31"/>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31"/>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31"/>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31"/>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31"/>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31"/>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31"/>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31"/>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31"/>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31"/>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31"/>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31"/>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31"/>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31"/>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31"/>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31"/>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31"/>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31"/>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31"/>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31"/>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31"/>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31"/>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31"/>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31"/>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31"/>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31"/>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31"/>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31"/>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31"/>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31"/>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31"/>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31"/>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31"/>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31"/>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31"/>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31"/>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31"/>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31"/>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31"/>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31"/>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31"/>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31"/>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31"/>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31"/>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31"/>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31"/>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31"/>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31"/>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31"/>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31"/>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31"/>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31"/>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31"/>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31"/>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31"/>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31"/>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31"/>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31"/>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31"/>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31"/>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31"/>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31"/>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31"/>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31"/>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31"/>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31"/>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31"/>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31"/>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31"/>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31"/>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31"/>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31"/>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31"/>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31"/>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31"/>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31"/>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31"/>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31"/>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31"/>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31"/>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31"/>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31"/>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31"/>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31"/>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31"/>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31"/>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31"/>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31"/>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31"/>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31"/>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31"/>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31"/>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31"/>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31"/>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31"/>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31"/>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31"/>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31"/>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31"/>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31"/>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31"/>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31"/>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31"/>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31"/>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31"/>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31"/>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31"/>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31"/>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31"/>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31"/>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31"/>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31"/>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31"/>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31"/>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31"/>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31"/>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31"/>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31"/>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31"/>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31"/>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31"/>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31"/>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31"/>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31"/>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31"/>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31"/>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31"/>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31"/>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31"/>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31"/>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31"/>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31"/>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31"/>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31"/>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31"/>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31"/>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31"/>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31"/>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31"/>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31"/>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31"/>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31"/>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31"/>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31"/>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31"/>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31"/>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31"/>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31"/>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31"/>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31"/>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31"/>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31"/>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31"/>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31"/>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31"/>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31"/>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31"/>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31"/>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31"/>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31"/>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31"/>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31"/>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31"/>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31"/>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31"/>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31"/>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31"/>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31"/>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31"/>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31"/>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31"/>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31"/>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31"/>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31"/>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31"/>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31"/>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31"/>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31"/>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31"/>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31"/>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31"/>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31"/>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31"/>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31"/>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31"/>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31"/>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31"/>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31"/>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31"/>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31"/>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31"/>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31"/>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31"/>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31"/>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31"/>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31"/>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31"/>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31"/>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31"/>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31"/>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31"/>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31"/>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31"/>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31"/>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31"/>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31"/>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31"/>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31"/>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31"/>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31"/>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31"/>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31"/>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31"/>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31"/>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31"/>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31"/>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31"/>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31"/>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31"/>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31"/>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31"/>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31"/>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31"/>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31"/>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31"/>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31"/>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31"/>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31"/>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31"/>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31"/>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31"/>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31"/>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31"/>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31"/>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31"/>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31"/>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31"/>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31"/>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31"/>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31"/>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31"/>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31"/>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31"/>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31"/>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31"/>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31"/>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31"/>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31"/>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31"/>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31"/>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31"/>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31"/>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31"/>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31"/>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31"/>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31"/>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31"/>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31"/>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31"/>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31"/>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31"/>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31"/>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31"/>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31"/>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31"/>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31"/>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31"/>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31"/>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31"/>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31"/>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31"/>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31"/>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31"/>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31"/>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31"/>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31"/>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31"/>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31"/>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31"/>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31"/>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31"/>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31"/>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31"/>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31"/>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31"/>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31"/>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31"/>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31"/>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31"/>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31"/>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31"/>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31"/>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31"/>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31"/>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31"/>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31"/>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31"/>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31"/>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31"/>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2"/>
      <c r="B1002" s="22"/>
      <c r="C1002" s="22"/>
      <c r="D1002" s="31"/>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2"/>
      <c r="B1003" s="22"/>
      <c r="C1003" s="22"/>
      <c r="D1003" s="31"/>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 r="A1004" s="22"/>
      <c r="B1004" s="22"/>
      <c r="C1004" s="22"/>
      <c r="D1004" s="31"/>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c r="A1005" s="22"/>
      <c r="B1005" s="22"/>
      <c r="C1005" s="22"/>
      <c r="D1005" s="31"/>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c r="A1006" s="22"/>
      <c r="B1006" s="22"/>
      <c r="C1006" s="22"/>
      <c r="D1006" s="31"/>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c r="A1007" s="22"/>
      <c r="B1007" s="22"/>
      <c r="C1007" s="22"/>
      <c r="D1007" s="31"/>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c r="A1008" s="22"/>
      <c r="B1008" s="22"/>
      <c r="C1008" s="22"/>
      <c r="D1008" s="31"/>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row>
    <row r="1009">
      <c r="A1009" s="22"/>
      <c r="B1009" s="22"/>
      <c r="C1009" s="22"/>
      <c r="D1009" s="31"/>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row>
    <row r="1010">
      <c r="A1010" s="22"/>
      <c r="B1010" s="22"/>
      <c r="C1010" s="22"/>
      <c r="D1010" s="31"/>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row>
    <row r="1011">
      <c r="A1011" s="22"/>
      <c r="B1011" s="22"/>
      <c r="C1011" s="22"/>
      <c r="D1011" s="31"/>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row>
  </sheetData>
  <mergeCells count="1">
    <mergeCell ref="A14:Z14"/>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77</v>
      </c>
    </row>
    <row r="3">
      <c r="A3" s="40" t="s">
        <v>78</v>
      </c>
    </row>
    <row r="4">
      <c r="H4" s="41">
        <v>1.7707215E7</v>
      </c>
    </row>
    <row r="5">
      <c r="A5" s="42" t="s">
        <v>79</v>
      </c>
      <c r="H5" s="43"/>
    </row>
    <row r="6">
      <c r="A6" s="44" t="s">
        <v>80</v>
      </c>
      <c r="H6" s="43"/>
    </row>
    <row r="8">
      <c r="A8" s="44" t="s">
        <v>81</v>
      </c>
      <c r="H8" s="45" t="s">
        <v>82</v>
      </c>
    </row>
    <row r="10">
      <c r="A10" s="44" t="s">
        <v>83</v>
      </c>
    </row>
    <row r="13">
      <c r="A13" s="44" t="s">
        <v>84</v>
      </c>
    </row>
    <row r="16">
      <c r="A16" s="44" t="s">
        <v>85</v>
      </c>
    </row>
    <row r="19">
      <c r="A19" s="46" t="s">
        <v>86</v>
      </c>
      <c r="B19" s="47"/>
      <c r="C19" s="47"/>
      <c r="D19" s="46" t="s">
        <v>87</v>
      </c>
      <c r="E19" s="46" t="s">
        <v>88</v>
      </c>
      <c r="F19" s="47"/>
      <c r="G19" s="46" t="s">
        <v>89</v>
      </c>
      <c r="H19" s="46" t="s">
        <v>90</v>
      </c>
      <c r="I19" s="46" t="s">
        <v>91</v>
      </c>
      <c r="J19" s="46" t="s">
        <v>92</v>
      </c>
      <c r="K19" s="46" t="s">
        <v>93</v>
      </c>
      <c r="L19" s="46" t="s">
        <v>94</v>
      </c>
      <c r="M19" s="46" t="s">
        <v>95</v>
      </c>
      <c r="N19" s="46" t="s">
        <v>96</v>
      </c>
      <c r="O19" s="46" t="s">
        <v>97</v>
      </c>
      <c r="P19" s="47"/>
      <c r="Q19" s="46" t="s">
        <v>98</v>
      </c>
      <c r="R19" s="46" t="s">
        <v>99</v>
      </c>
      <c r="S19" s="46" t="s">
        <v>100</v>
      </c>
      <c r="T19" s="46" t="s">
        <v>101</v>
      </c>
      <c r="U19" s="46" t="s">
        <v>102</v>
      </c>
      <c r="V19" s="47"/>
      <c r="W19" s="46" t="s">
        <v>103</v>
      </c>
      <c r="X19" s="46" t="s">
        <v>104</v>
      </c>
      <c r="Y19" s="46" t="s">
        <v>105</v>
      </c>
      <c r="Z19" s="46" t="s">
        <v>106</v>
      </c>
      <c r="AA19" s="46" t="s">
        <v>107</v>
      </c>
      <c r="AB19" s="46" t="s">
        <v>108</v>
      </c>
      <c r="AC19" s="46" t="s">
        <v>109</v>
      </c>
      <c r="AD19" s="46" t="s">
        <v>110</v>
      </c>
      <c r="AE19" s="46" t="s">
        <v>111</v>
      </c>
      <c r="AF19" s="46" t="s">
        <v>112</v>
      </c>
      <c r="AG19" s="46" t="s">
        <v>113</v>
      </c>
      <c r="AH19" s="47"/>
      <c r="AI19" s="47"/>
      <c r="AJ19" s="46" t="s">
        <v>114</v>
      </c>
      <c r="AK19" s="46" t="s">
        <v>115</v>
      </c>
      <c r="AL19" s="46" t="s">
        <v>116</v>
      </c>
      <c r="AM19" s="47"/>
      <c r="AN19" s="46" t="s">
        <v>117</v>
      </c>
      <c r="AO19" s="46" t="s">
        <v>118</v>
      </c>
      <c r="AP19" s="46" t="s">
        <v>119</v>
      </c>
      <c r="AQ19" s="46" t="s">
        <v>120</v>
      </c>
      <c r="AR19" s="47"/>
      <c r="AS19" s="47"/>
      <c r="AT19" s="46" t="s">
        <v>121</v>
      </c>
      <c r="AU19" s="46" t="s">
        <v>122</v>
      </c>
      <c r="AV19" s="46" t="s">
        <v>123</v>
      </c>
      <c r="AW19" s="46" t="s">
        <v>124</v>
      </c>
      <c r="AX19" s="47"/>
      <c r="AY19" s="47"/>
      <c r="AZ19" s="47"/>
      <c r="BA19" s="47"/>
      <c r="BB19" s="47"/>
      <c r="BC19" s="47"/>
      <c r="BD19" s="47"/>
      <c r="BE19" s="47"/>
      <c r="BF19" s="47"/>
      <c r="BG19" s="47"/>
      <c r="BH19" s="47"/>
      <c r="BI19" s="47"/>
      <c r="BJ19" s="47"/>
      <c r="BK19" s="47"/>
      <c r="BL19" s="47"/>
      <c r="BM19" s="47"/>
    </row>
    <row r="20" hidden="1">
      <c r="A20" s="42" t="s">
        <v>125</v>
      </c>
      <c r="C20" s="42" t="s">
        <v>126</v>
      </c>
      <c r="D20" s="42" t="s">
        <v>127</v>
      </c>
      <c r="E20" s="42" t="s">
        <v>128</v>
      </c>
      <c r="G20" s="42" t="s">
        <v>129</v>
      </c>
      <c r="H20" s="42" t="s">
        <v>130</v>
      </c>
      <c r="I20" s="42" t="s">
        <v>131</v>
      </c>
      <c r="J20" s="42" t="s">
        <v>132</v>
      </c>
      <c r="K20" s="42" t="s">
        <v>133</v>
      </c>
      <c r="L20" s="42" t="s">
        <v>134</v>
      </c>
      <c r="M20" s="42" t="s">
        <v>135</v>
      </c>
      <c r="N20" s="42" t="s">
        <v>136</v>
      </c>
      <c r="O20" s="42" t="s">
        <v>137</v>
      </c>
      <c r="Q20" s="42" t="s">
        <v>138</v>
      </c>
      <c r="R20" s="42" t="s">
        <v>139</v>
      </c>
      <c r="S20" s="42" t="s">
        <v>140</v>
      </c>
      <c r="T20" s="42" t="s">
        <v>141</v>
      </c>
      <c r="U20" s="42" t="s">
        <v>142</v>
      </c>
      <c r="W20" s="42" t="s">
        <v>143</v>
      </c>
      <c r="X20" s="42" t="s">
        <v>144</v>
      </c>
      <c r="Y20" s="42" t="s">
        <v>145</v>
      </c>
      <c r="Z20" s="42" t="s">
        <v>146</v>
      </c>
      <c r="AA20" s="42" t="s">
        <v>147</v>
      </c>
      <c r="AB20" s="42" t="s">
        <v>148</v>
      </c>
      <c r="AC20" s="42" t="s">
        <v>149</v>
      </c>
      <c r="AD20" s="42" t="s">
        <v>150</v>
      </c>
      <c r="AE20" s="42" t="s">
        <v>151</v>
      </c>
      <c r="AF20" s="42" t="s">
        <v>152</v>
      </c>
      <c r="AG20" s="42" t="s">
        <v>153</v>
      </c>
      <c r="AJ20" s="42" t="s">
        <v>154</v>
      </c>
      <c r="AK20" s="42" t="s">
        <v>155</v>
      </c>
      <c r="AL20" s="42" t="s">
        <v>156</v>
      </c>
      <c r="AN20" s="42" t="s">
        <v>157</v>
      </c>
      <c r="AO20" s="42" t="s">
        <v>158</v>
      </c>
      <c r="AP20" s="42" t="s">
        <v>159</v>
      </c>
      <c r="AQ20" s="42" t="s">
        <v>160</v>
      </c>
      <c r="AR20" s="42" t="s">
        <v>161</v>
      </c>
      <c r="AS20" s="42" t="s">
        <v>162</v>
      </c>
      <c r="AT20" s="42" t="s">
        <v>163</v>
      </c>
      <c r="AU20" s="42" t="s">
        <v>164</v>
      </c>
      <c r="AV20" s="42" t="s">
        <v>165</v>
      </c>
      <c r="AW20" s="42" t="s">
        <v>166</v>
      </c>
    </row>
    <row r="21">
      <c r="A21" s="48" t="s">
        <v>167</v>
      </c>
      <c r="B21" s="49"/>
      <c r="C21" s="49"/>
      <c r="D21" s="48" t="str">
        <f>IFERROR(__xludf.DUMMYFUNCTION("ARRAY_CONSTRAIN(split(CELL(""ADDRESS"",zsupermetrics_xhBK48cDeYRNkKTgEkN3NSS83QBpNp),""!""),1,1)"),"TK")</f>
        <v>TK</v>
      </c>
      <c r="E21" s="48" t="str">
        <f>CELL("ADDRESS",zsupermetrics_xhBK48cDeYRNkKTgEkN3NSS83QBpNp)&amp;":"&amp;address(row(zsupermetrics_xhBK48cDeYRNkKTgEkN3NSS83QBpNp)+rows(zsupermetrics_xhBK48cDeYRNkKTgEkN3NSS83QBpNp)-1,column(zsupermetrics_xhBK48cDeYRNkKTgEkN3NSS83QBpNp)+COLUMNS(zsupermetrics_xhBK48cDeYRNkKTgEkN3NSS83QBpNp)-1)</f>
        <v>TK!$H$6:$S$65</v>
      </c>
      <c r="F21" s="49"/>
      <c r="G21" s="48" t="s">
        <v>168</v>
      </c>
      <c r="H21" s="50">
        <v>46063.25349537037</v>
      </c>
      <c r="I21" s="51" t="s">
        <v>169</v>
      </c>
      <c r="J21" s="52">
        <v>1.770721480942E12</v>
      </c>
      <c r="K21" s="48" t="b">
        <v>0</v>
      </c>
      <c r="L21" s="52">
        <v>12.0</v>
      </c>
      <c r="M21" s="48" t="s">
        <v>170</v>
      </c>
      <c r="N21" s="49"/>
      <c r="O21" s="48" t="s">
        <v>171</v>
      </c>
      <c r="P21" s="49"/>
      <c r="Q21" s="48" t="s">
        <v>172</v>
      </c>
      <c r="R21" s="53">
        <v>46023.0</v>
      </c>
      <c r="S21" s="53">
        <v>46049.0</v>
      </c>
      <c r="T21" s="49"/>
      <c r="U21" s="49"/>
      <c r="V21" s="49"/>
      <c r="W21" s="48" t="s">
        <v>173</v>
      </c>
      <c r="X21" s="48" t="s">
        <v>174</v>
      </c>
      <c r="Y21" s="48" t="s">
        <v>175</v>
      </c>
      <c r="Z21" s="48" t="s">
        <v>176</v>
      </c>
      <c r="AA21" s="48" t="s">
        <v>177</v>
      </c>
      <c r="AB21" s="48" t="s">
        <v>177</v>
      </c>
      <c r="AC21" s="49"/>
      <c r="AD21" s="48">
        <v>10000.0</v>
      </c>
      <c r="AE21" s="48">
        <v>50.0</v>
      </c>
      <c r="AF21" s="48" t="s">
        <v>178</v>
      </c>
      <c r="AG21" s="48" t="s">
        <v>179</v>
      </c>
      <c r="AH21" s="49"/>
      <c r="AI21" s="49"/>
      <c r="AJ21" s="49"/>
      <c r="AK21" s="49"/>
      <c r="AL21" s="49"/>
      <c r="AM21" s="49"/>
      <c r="AN21" s="49"/>
      <c r="AO21" s="49"/>
      <c r="AP21" s="54" t="s">
        <v>180</v>
      </c>
      <c r="AQ21" s="49"/>
      <c r="AR21" s="49"/>
      <c r="AS21" s="49"/>
      <c r="AT21" s="49"/>
      <c r="AU21" s="48">
        <v>9.03837718759499E14</v>
      </c>
      <c r="AV21" s="49"/>
      <c r="AW21" s="49"/>
      <c r="AX21" s="49"/>
    </row>
  </sheetData>
  <mergeCells count="5">
    <mergeCell ref="A6:G7"/>
    <mergeCell ref="A8:G9"/>
    <mergeCell ref="A10:G11"/>
    <mergeCell ref="A13:H15"/>
    <mergeCell ref="A16:H17"/>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2.63"/>
  </cols>
  <sheetData>
    <row r="1">
      <c r="A1" s="42" t="s">
        <v>181</v>
      </c>
      <c r="B1" s="42" t="s">
        <v>182</v>
      </c>
    </row>
    <row r="2">
      <c r="A2" s="55" t="s">
        <v>183</v>
      </c>
      <c r="B2" s="56" t="s">
        <v>184</v>
      </c>
    </row>
    <row r="3">
      <c r="A3" s="56" t="s">
        <v>185</v>
      </c>
      <c r="B3" s="56" t="s">
        <v>186</v>
      </c>
    </row>
    <row r="4">
      <c r="A4" s="56" t="s">
        <v>187</v>
      </c>
      <c r="B4" s="56" t="s">
        <v>188</v>
      </c>
    </row>
    <row r="5">
      <c r="A5" s="56" t="s">
        <v>189</v>
      </c>
      <c r="B5" s="56" t="s">
        <v>190</v>
      </c>
    </row>
    <row r="6">
      <c r="A6" s="42" t="s">
        <v>191</v>
      </c>
      <c r="B6" s="42" t="s">
        <v>192</v>
      </c>
    </row>
    <row r="7">
      <c r="A7" s="42" t="s">
        <v>193</v>
      </c>
      <c r="B7" s="42" t="s">
        <v>194</v>
      </c>
    </row>
    <row r="8">
      <c r="A8" s="42" t="s">
        <v>195</v>
      </c>
      <c r="B8" s="42" t="s">
        <v>196</v>
      </c>
    </row>
    <row r="9">
      <c r="A9" s="42" t="s">
        <v>197</v>
      </c>
      <c r="B9" s="42" t="s">
        <v>198</v>
      </c>
    </row>
  </sheetData>
  <conditionalFormatting sqref="A2">
    <cfRule type="expression" dxfId="0" priority="1">
      <formula>CONTAR.SI_CONJUNTO( $U:$U, S2, $T:$T, "&lt;&gt;"&amp;$T2 ) &gt; 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7" t="s">
        <v>199</v>
      </c>
      <c r="B1" s="57" t="s">
        <v>200</v>
      </c>
      <c r="C1" s="57" t="s">
        <v>201</v>
      </c>
      <c r="D1" s="57" t="s">
        <v>202</v>
      </c>
      <c r="E1" s="57" t="s">
        <v>203</v>
      </c>
      <c r="F1" s="57" t="s">
        <v>204</v>
      </c>
      <c r="G1" s="57" t="s">
        <v>205</v>
      </c>
      <c r="H1" s="57" t="s">
        <v>206</v>
      </c>
      <c r="I1" s="57" t="s">
        <v>207</v>
      </c>
      <c r="J1" s="57" t="s">
        <v>208</v>
      </c>
      <c r="K1" s="57"/>
      <c r="L1" s="57"/>
      <c r="M1" s="57"/>
      <c r="N1" s="57"/>
      <c r="O1" s="57"/>
      <c r="P1" s="57"/>
      <c r="Q1" s="57"/>
      <c r="R1" s="57"/>
      <c r="S1" s="57"/>
      <c r="T1" s="57"/>
      <c r="U1" s="57"/>
      <c r="V1" s="57"/>
      <c r="W1" s="57"/>
      <c r="X1" s="57"/>
      <c r="Y1" s="57"/>
      <c r="Z1" s="57"/>
    </row>
    <row r="2">
      <c r="A2" s="58">
        <v>1.0115973E7</v>
      </c>
      <c r="B2" s="57" t="s">
        <v>209</v>
      </c>
      <c r="C2" s="57" t="s">
        <v>210</v>
      </c>
      <c r="D2" s="58">
        <v>8.66</v>
      </c>
      <c r="E2" s="58">
        <v>2518.43</v>
      </c>
      <c r="F2" s="58">
        <v>4622643.0</v>
      </c>
      <c r="G2" s="57" t="s">
        <v>211</v>
      </c>
      <c r="H2" s="57" t="s">
        <v>212</v>
      </c>
      <c r="I2" s="57"/>
      <c r="J2" s="57"/>
      <c r="K2" s="57"/>
      <c r="L2" s="57"/>
      <c r="M2" s="57"/>
      <c r="N2" s="57"/>
      <c r="O2" s="57"/>
      <c r="P2" s="57"/>
      <c r="Q2" s="57"/>
      <c r="R2" s="57"/>
      <c r="S2" s="57"/>
      <c r="T2" s="57"/>
      <c r="U2" s="57"/>
      <c r="V2" s="57"/>
      <c r="W2" s="57"/>
      <c r="X2" s="57"/>
      <c r="Y2" s="57"/>
      <c r="Z2" s="57"/>
    </row>
    <row r="3">
      <c r="A3" s="58">
        <v>1.0115604E7</v>
      </c>
      <c r="B3" s="57" t="s">
        <v>209</v>
      </c>
      <c r="C3" s="57" t="s">
        <v>210</v>
      </c>
      <c r="D3" s="58">
        <v>7.61</v>
      </c>
      <c r="E3" s="58">
        <v>2510.82</v>
      </c>
      <c r="F3" s="58">
        <v>4622389.0</v>
      </c>
      <c r="G3" s="57" t="s">
        <v>213</v>
      </c>
      <c r="H3" s="57" t="s">
        <v>214</v>
      </c>
      <c r="I3" s="57"/>
      <c r="J3" s="57"/>
      <c r="K3" s="57"/>
      <c r="L3" s="57"/>
      <c r="M3" s="57"/>
      <c r="N3" s="57"/>
      <c r="O3" s="57"/>
      <c r="P3" s="57"/>
      <c r="Q3" s="57"/>
      <c r="R3" s="57"/>
      <c r="S3" s="57"/>
      <c r="T3" s="57"/>
      <c r="U3" s="57"/>
      <c r="V3" s="57"/>
      <c r="W3" s="57"/>
      <c r="X3" s="57"/>
      <c r="Y3" s="57"/>
      <c r="Z3" s="57"/>
    </row>
    <row r="4">
      <c r="A4" s="58">
        <v>1.0108235E7</v>
      </c>
      <c r="B4" s="57" t="s">
        <v>215</v>
      </c>
      <c r="C4" s="57" t="s">
        <v>210</v>
      </c>
      <c r="D4" s="58">
        <v>14.34</v>
      </c>
      <c r="E4" s="58">
        <v>2496.48</v>
      </c>
      <c r="F4" s="58">
        <v>4617199.0</v>
      </c>
      <c r="G4" s="57" t="s">
        <v>216</v>
      </c>
      <c r="H4" s="57" t="s">
        <v>217</v>
      </c>
      <c r="I4" s="57"/>
      <c r="J4" s="57"/>
      <c r="K4" s="57"/>
      <c r="L4" s="57"/>
      <c r="M4" s="57"/>
      <c r="N4" s="57"/>
      <c r="O4" s="57"/>
      <c r="P4" s="57"/>
      <c r="Q4" s="57"/>
      <c r="R4" s="57"/>
      <c r="S4" s="57"/>
      <c r="T4" s="57"/>
      <c r="U4" s="57"/>
      <c r="V4" s="57"/>
      <c r="W4" s="57"/>
      <c r="X4" s="57"/>
      <c r="Y4" s="57"/>
      <c r="Z4" s="57"/>
    </row>
    <row r="5">
      <c r="A5" s="58">
        <v>1.0090635E7</v>
      </c>
      <c r="B5" s="57" t="s">
        <v>218</v>
      </c>
      <c r="C5" s="57" t="s">
        <v>210</v>
      </c>
      <c r="D5" s="58">
        <v>16.79</v>
      </c>
      <c r="E5" s="58">
        <v>2479.69</v>
      </c>
      <c r="F5" s="58">
        <v>4598492.0</v>
      </c>
      <c r="G5" s="57" t="s">
        <v>219</v>
      </c>
      <c r="H5" s="57" t="s">
        <v>220</v>
      </c>
      <c r="I5" s="57"/>
      <c r="J5" s="57"/>
      <c r="K5" s="57"/>
      <c r="L5" s="57"/>
      <c r="M5" s="57"/>
      <c r="N5" s="57"/>
      <c r="O5" s="57"/>
      <c r="P5" s="57"/>
      <c r="Q5" s="57"/>
      <c r="R5" s="57"/>
      <c r="S5" s="57"/>
      <c r="T5" s="57"/>
      <c r="U5" s="57"/>
      <c r="V5" s="57"/>
      <c r="W5" s="57"/>
      <c r="X5" s="57"/>
      <c r="Y5" s="57"/>
      <c r="Z5" s="57"/>
    </row>
    <row r="6">
      <c r="A6" s="58">
        <v>1.008444E7</v>
      </c>
      <c r="B6" s="57" t="s">
        <v>221</v>
      </c>
      <c r="C6" s="57" t="s">
        <v>210</v>
      </c>
      <c r="D6" s="58">
        <v>16.79</v>
      </c>
      <c r="E6" s="58">
        <v>2462.9</v>
      </c>
      <c r="F6" s="58">
        <v>4586637.0</v>
      </c>
      <c r="G6" s="57" t="s">
        <v>222</v>
      </c>
      <c r="H6" s="57" t="s">
        <v>223</v>
      </c>
      <c r="I6" s="57"/>
      <c r="J6" s="57"/>
      <c r="K6" s="57"/>
      <c r="L6" s="57"/>
      <c r="M6" s="57"/>
      <c r="N6" s="57"/>
      <c r="O6" s="57"/>
      <c r="P6" s="57"/>
      <c r="Q6" s="57"/>
      <c r="R6" s="57"/>
      <c r="S6" s="57"/>
      <c r="T6" s="57"/>
      <c r="U6" s="57"/>
      <c r="V6" s="57"/>
      <c r="W6" s="57"/>
      <c r="X6" s="57"/>
      <c r="Y6" s="57"/>
      <c r="Z6" s="57"/>
    </row>
    <row r="7">
      <c r="A7" s="58">
        <v>1.0084419E7</v>
      </c>
      <c r="B7" s="57" t="s">
        <v>221</v>
      </c>
      <c r="C7" s="57" t="s">
        <v>210</v>
      </c>
      <c r="D7" s="58">
        <v>15.95</v>
      </c>
      <c r="E7" s="58">
        <v>2446.95</v>
      </c>
      <c r="F7" s="58">
        <v>4586613.0</v>
      </c>
      <c r="G7" s="57" t="s">
        <v>224</v>
      </c>
      <c r="H7" s="57" t="s">
        <v>225</v>
      </c>
      <c r="I7" s="57"/>
      <c r="J7" s="57"/>
      <c r="K7" s="57"/>
      <c r="L7" s="57"/>
      <c r="M7" s="57"/>
      <c r="N7" s="57"/>
      <c r="O7" s="57"/>
      <c r="P7" s="57"/>
      <c r="Q7" s="57"/>
      <c r="R7" s="57"/>
      <c r="S7" s="57"/>
      <c r="T7" s="57"/>
      <c r="U7" s="57"/>
      <c r="V7" s="57"/>
      <c r="W7" s="57"/>
      <c r="X7" s="57"/>
      <c r="Y7" s="57"/>
      <c r="Z7" s="57"/>
    </row>
    <row r="8">
      <c r="A8" s="58">
        <v>1.0084412E7</v>
      </c>
      <c r="B8" s="57" t="s">
        <v>221</v>
      </c>
      <c r="C8" s="57" t="s">
        <v>210</v>
      </c>
      <c r="D8" s="58">
        <v>17.83</v>
      </c>
      <c r="E8" s="58">
        <v>2429.12</v>
      </c>
      <c r="F8" s="58">
        <v>4586582.0</v>
      </c>
      <c r="G8" s="57" t="s">
        <v>226</v>
      </c>
      <c r="H8" s="57" t="s">
        <v>227</v>
      </c>
      <c r="I8" s="57"/>
      <c r="J8" s="57"/>
      <c r="K8" s="57"/>
      <c r="L8" s="57"/>
      <c r="M8" s="57"/>
      <c r="N8" s="57"/>
      <c r="O8" s="57"/>
      <c r="P8" s="57"/>
      <c r="Q8" s="57"/>
      <c r="R8" s="57"/>
      <c r="S8" s="57"/>
      <c r="T8" s="57"/>
      <c r="U8" s="57"/>
      <c r="V8" s="57"/>
      <c r="W8" s="57"/>
      <c r="X8" s="57"/>
      <c r="Y8" s="57"/>
      <c r="Z8" s="57"/>
    </row>
    <row r="9">
      <c r="A9" s="58">
        <v>1.0084391E7</v>
      </c>
      <c r="B9" s="57" t="s">
        <v>221</v>
      </c>
      <c r="C9" s="57" t="s">
        <v>210</v>
      </c>
      <c r="D9" s="58">
        <v>16.79</v>
      </c>
      <c r="E9" s="58">
        <v>2412.33</v>
      </c>
      <c r="F9" s="58">
        <v>4586535.0</v>
      </c>
      <c r="G9" s="57" t="s">
        <v>228</v>
      </c>
      <c r="H9" s="57" t="s">
        <v>229</v>
      </c>
      <c r="I9" s="57"/>
      <c r="J9" s="57"/>
      <c r="K9" s="57"/>
      <c r="L9" s="57"/>
      <c r="M9" s="57"/>
      <c r="N9" s="57"/>
      <c r="O9" s="57"/>
      <c r="P9" s="57"/>
      <c r="Q9" s="57"/>
      <c r="R9" s="57"/>
      <c r="S9" s="57"/>
      <c r="T9" s="57"/>
      <c r="U9" s="57"/>
      <c r="V9" s="57"/>
      <c r="W9" s="57"/>
      <c r="X9" s="57"/>
      <c r="Y9" s="57"/>
      <c r="Z9" s="57"/>
    </row>
    <row r="10">
      <c r="A10" s="58">
        <v>1.008129E7</v>
      </c>
      <c r="B10" s="57" t="s">
        <v>230</v>
      </c>
      <c r="C10" s="57" t="s">
        <v>210</v>
      </c>
      <c r="D10" s="58">
        <v>8.66</v>
      </c>
      <c r="E10" s="58">
        <v>2403.67</v>
      </c>
      <c r="F10" s="58">
        <v>4578106.0</v>
      </c>
      <c r="G10" s="57" t="s">
        <v>231</v>
      </c>
      <c r="H10" s="57" t="s">
        <v>232</v>
      </c>
      <c r="I10" s="57"/>
      <c r="J10" s="57"/>
      <c r="K10" s="57"/>
      <c r="L10" s="57"/>
      <c r="M10" s="57"/>
      <c r="N10" s="57"/>
      <c r="O10" s="57"/>
      <c r="P10" s="57"/>
      <c r="Q10" s="57"/>
      <c r="R10" s="57"/>
      <c r="S10" s="57"/>
      <c r="T10" s="57"/>
      <c r="U10" s="57"/>
      <c r="V10" s="57"/>
      <c r="W10" s="57"/>
      <c r="X10" s="57"/>
      <c r="Y10" s="57"/>
      <c r="Z10" s="57"/>
    </row>
    <row r="11">
      <c r="A11" s="58">
        <v>1.0080805E7</v>
      </c>
      <c r="B11" s="57" t="s">
        <v>230</v>
      </c>
      <c r="C11" s="57" t="s">
        <v>210</v>
      </c>
      <c r="D11" s="58">
        <v>8.66</v>
      </c>
      <c r="E11" s="58">
        <v>2395.01</v>
      </c>
      <c r="F11" s="58">
        <v>4576899.0</v>
      </c>
      <c r="G11" s="57" t="s">
        <v>233</v>
      </c>
      <c r="H11" s="57" t="s">
        <v>234</v>
      </c>
      <c r="I11" s="57"/>
      <c r="J11" s="57"/>
      <c r="K11" s="57"/>
      <c r="L11" s="57"/>
      <c r="M11" s="57"/>
      <c r="N11" s="57"/>
      <c r="O11" s="57"/>
      <c r="P11" s="57"/>
      <c r="Q11" s="57"/>
      <c r="R11" s="57"/>
      <c r="S11" s="57"/>
      <c r="T11" s="57"/>
      <c r="U11" s="57"/>
      <c r="V11" s="57"/>
      <c r="W11" s="57"/>
      <c r="X11" s="57"/>
      <c r="Y11" s="57"/>
      <c r="Z11" s="57"/>
    </row>
    <row r="12">
      <c r="A12" s="58">
        <v>1.0074574E7</v>
      </c>
      <c r="B12" s="57" t="s">
        <v>235</v>
      </c>
      <c r="C12" s="57" t="s">
        <v>210</v>
      </c>
      <c r="D12" s="58">
        <v>16.64</v>
      </c>
      <c r="E12" s="58">
        <v>2378.37</v>
      </c>
      <c r="F12" s="58">
        <v>4550422.0</v>
      </c>
      <c r="G12" s="57" t="s">
        <v>236</v>
      </c>
      <c r="H12" s="57" t="s">
        <v>237</v>
      </c>
      <c r="I12" s="57"/>
      <c r="J12" s="57"/>
      <c r="K12" s="57"/>
      <c r="L12" s="57"/>
      <c r="M12" s="57"/>
      <c r="N12" s="57"/>
      <c r="O12" s="57"/>
      <c r="P12" s="57"/>
      <c r="Q12" s="57"/>
      <c r="R12" s="57"/>
      <c r="S12" s="57"/>
      <c r="T12" s="57"/>
      <c r="U12" s="57"/>
      <c r="V12" s="57"/>
      <c r="W12" s="57"/>
      <c r="X12" s="57"/>
      <c r="Y12" s="57"/>
      <c r="Z12" s="57"/>
    </row>
    <row r="13">
      <c r="A13" s="58">
        <v>1.0074538E7</v>
      </c>
      <c r="B13" s="57" t="s">
        <v>235</v>
      </c>
      <c r="C13" s="57" t="s">
        <v>210</v>
      </c>
      <c r="D13" s="58">
        <v>13.45</v>
      </c>
      <c r="E13" s="58">
        <v>2364.92</v>
      </c>
      <c r="F13" s="58">
        <v>4550182.0</v>
      </c>
      <c r="G13" s="57" t="s">
        <v>238</v>
      </c>
      <c r="H13" s="57" t="s">
        <v>239</v>
      </c>
      <c r="I13" s="57"/>
      <c r="J13" s="57"/>
      <c r="K13" s="57"/>
      <c r="L13" s="57"/>
      <c r="M13" s="57"/>
      <c r="N13" s="57"/>
      <c r="O13" s="57"/>
      <c r="P13" s="57"/>
      <c r="Q13" s="57"/>
      <c r="R13" s="57"/>
      <c r="S13" s="57"/>
      <c r="T13" s="57"/>
      <c r="U13" s="57"/>
      <c r="V13" s="57"/>
      <c r="W13" s="57"/>
      <c r="X13" s="57"/>
      <c r="Y13" s="57"/>
      <c r="Z13" s="57"/>
    </row>
    <row r="14">
      <c r="A14" s="58">
        <v>1.0074268E7</v>
      </c>
      <c r="B14" s="57" t="s">
        <v>235</v>
      </c>
      <c r="C14" s="57" t="s">
        <v>210</v>
      </c>
      <c r="D14" s="58">
        <v>6.8</v>
      </c>
      <c r="E14" s="58">
        <v>2358.12</v>
      </c>
      <c r="F14" s="58">
        <v>4548322.0</v>
      </c>
      <c r="G14" s="58">
        <v>1.86796386E8</v>
      </c>
      <c r="H14" s="57" t="s">
        <v>240</v>
      </c>
      <c r="I14" s="57"/>
      <c r="J14" s="57"/>
      <c r="K14" s="57"/>
      <c r="L14" s="57"/>
      <c r="M14" s="57"/>
      <c r="N14" s="57"/>
      <c r="O14" s="57"/>
      <c r="P14" s="57"/>
      <c r="Q14" s="57"/>
      <c r="R14" s="57"/>
      <c r="S14" s="57"/>
      <c r="T14" s="57"/>
      <c r="U14" s="57"/>
      <c r="V14" s="57"/>
      <c r="W14" s="57"/>
      <c r="X14" s="57"/>
      <c r="Y14" s="57"/>
      <c r="Z14" s="57"/>
    </row>
    <row r="15">
      <c r="A15" s="58">
        <v>1.007205E7</v>
      </c>
      <c r="B15" s="57" t="s">
        <v>241</v>
      </c>
      <c r="C15" s="57" t="s">
        <v>210</v>
      </c>
      <c r="D15" s="58">
        <v>9.7</v>
      </c>
      <c r="E15" s="58">
        <v>2348.42</v>
      </c>
      <c r="F15" s="58">
        <v>4523482.0</v>
      </c>
      <c r="G15" s="57" t="s">
        <v>242</v>
      </c>
      <c r="H15" s="57" t="s">
        <v>243</v>
      </c>
      <c r="I15" s="57"/>
      <c r="J15" s="57"/>
      <c r="K15" s="57"/>
      <c r="L15" s="57"/>
      <c r="M15" s="57"/>
      <c r="N15" s="57"/>
      <c r="O15" s="57"/>
      <c r="P15" s="57"/>
      <c r="Q15" s="57"/>
      <c r="R15" s="57"/>
      <c r="S15" s="57"/>
      <c r="T15" s="57"/>
      <c r="U15" s="57"/>
      <c r="V15" s="57"/>
      <c r="W15" s="57"/>
      <c r="X15" s="57"/>
      <c r="Y15" s="57"/>
      <c r="Z15" s="57"/>
    </row>
    <row r="16">
      <c r="A16" s="58">
        <v>1.0071828E7</v>
      </c>
      <c r="B16" s="57" t="s">
        <v>241</v>
      </c>
      <c r="C16" s="57" t="s">
        <v>210</v>
      </c>
      <c r="D16" s="58">
        <v>15.85</v>
      </c>
      <c r="E16" s="58">
        <v>2332.57</v>
      </c>
      <c r="F16" s="58">
        <v>4521408.0</v>
      </c>
      <c r="G16" s="57" t="s">
        <v>244</v>
      </c>
      <c r="H16" s="57" t="s">
        <v>245</v>
      </c>
      <c r="I16" s="57"/>
      <c r="J16" s="57"/>
      <c r="K16" s="57"/>
      <c r="L16" s="57"/>
      <c r="M16" s="57"/>
      <c r="N16" s="57"/>
      <c r="O16" s="57"/>
      <c r="P16" s="57"/>
      <c r="Q16" s="57"/>
      <c r="R16" s="57"/>
      <c r="S16" s="57"/>
      <c r="T16" s="57"/>
      <c r="U16" s="57"/>
      <c r="V16" s="57"/>
      <c r="W16" s="57"/>
      <c r="X16" s="57"/>
      <c r="Y16" s="57"/>
      <c r="Z16" s="57"/>
    </row>
    <row r="17">
      <c r="A17" s="58">
        <v>1.0067051E7</v>
      </c>
      <c r="B17" s="57" t="s">
        <v>246</v>
      </c>
      <c r="C17" s="57" t="s">
        <v>247</v>
      </c>
      <c r="D17" s="58">
        <v>7.19</v>
      </c>
      <c r="E17" s="58">
        <v>2339.76</v>
      </c>
      <c r="F17" s="58">
        <v>4507232.0</v>
      </c>
      <c r="G17" s="57" t="s">
        <v>248</v>
      </c>
      <c r="H17" s="57" t="s">
        <v>249</v>
      </c>
      <c r="I17" s="57"/>
      <c r="J17" s="57"/>
      <c r="K17" s="57"/>
      <c r="L17" s="57"/>
      <c r="M17" s="57"/>
      <c r="N17" s="57"/>
      <c r="O17" s="57"/>
      <c r="P17" s="57"/>
      <c r="Q17" s="57"/>
      <c r="R17" s="57"/>
      <c r="S17" s="57"/>
      <c r="T17" s="57"/>
      <c r="U17" s="57"/>
      <c r="V17" s="57"/>
      <c r="W17" s="57"/>
      <c r="X17" s="57"/>
      <c r="Y17" s="57"/>
      <c r="Z17" s="57"/>
    </row>
    <row r="18">
      <c r="A18" s="58">
        <v>1.0065674E7</v>
      </c>
      <c r="B18" s="57" t="s">
        <v>250</v>
      </c>
      <c r="C18" s="57" t="s">
        <v>247</v>
      </c>
      <c r="D18" s="58">
        <v>5.65</v>
      </c>
      <c r="E18" s="58">
        <v>2345.41</v>
      </c>
      <c r="F18" s="58">
        <v>4523515.0</v>
      </c>
      <c r="G18" s="57" t="s">
        <v>251</v>
      </c>
      <c r="H18" s="57" t="s">
        <v>252</v>
      </c>
      <c r="I18" s="57"/>
      <c r="J18" s="57"/>
      <c r="K18" s="57"/>
      <c r="L18" s="57"/>
      <c r="M18" s="57"/>
      <c r="N18" s="57"/>
      <c r="O18" s="57"/>
      <c r="P18" s="57"/>
      <c r="Q18" s="57"/>
      <c r="R18" s="57"/>
      <c r="S18" s="57"/>
      <c r="T18" s="57"/>
      <c r="U18" s="57"/>
      <c r="V18" s="57"/>
      <c r="W18" s="57"/>
      <c r="X18" s="57"/>
      <c r="Y18" s="57"/>
      <c r="Z18" s="57"/>
    </row>
    <row r="19">
      <c r="A19" s="58">
        <v>1.0065673E7</v>
      </c>
      <c r="B19" s="57" t="s">
        <v>250</v>
      </c>
      <c r="C19" s="57" t="s">
        <v>247</v>
      </c>
      <c r="D19" s="58">
        <v>5.13</v>
      </c>
      <c r="E19" s="58">
        <v>2350.54</v>
      </c>
      <c r="F19" s="58">
        <v>4523546.0</v>
      </c>
      <c r="G19" s="57" t="s">
        <v>253</v>
      </c>
      <c r="H19" s="57" t="s">
        <v>254</v>
      </c>
      <c r="I19" s="57"/>
      <c r="J19" s="57"/>
      <c r="K19" s="57"/>
      <c r="L19" s="57"/>
      <c r="M19" s="57"/>
      <c r="N19" s="57"/>
      <c r="O19" s="57"/>
      <c r="P19" s="57"/>
      <c r="Q19" s="57"/>
      <c r="R19" s="57"/>
      <c r="S19" s="57"/>
      <c r="T19" s="57"/>
      <c r="U19" s="57"/>
      <c r="V19" s="57"/>
      <c r="W19" s="57"/>
      <c r="X19" s="57"/>
      <c r="Y19" s="57"/>
      <c r="Z19" s="57"/>
    </row>
    <row r="20">
      <c r="A20" s="58">
        <v>1.0064705E7</v>
      </c>
      <c r="B20" s="57" t="s">
        <v>255</v>
      </c>
      <c r="C20" s="57" t="s">
        <v>247</v>
      </c>
      <c r="D20" s="58">
        <v>5.07</v>
      </c>
      <c r="E20" s="58">
        <v>2355.61</v>
      </c>
      <c r="F20" s="58">
        <v>4484391.0</v>
      </c>
      <c r="G20" s="57" t="s">
        <v>256</v>
      </c>
      <c r="H20" s="57" t="s">
        <v>257</v>
      </c>
      <c r="I20" s="57"/>
      <c r="J20" s="57"/>
      <c r="K20" s="57"/>
      <c r="L20" s="57"/>
      <c r="M20" s="57"/>
      <c r="N20" s="57"/>
      <c r="O20" s="57"/>
      <c r="P20" s="57"/>
      <c r="Q20" s="57"/>
      <c r="R20" s="57"/>
      <c r="S20" s="57"/>
      <c r="T20" s="57"/>
      <c r="U20" s="57"/>
      <c r="V20" s="57"/>
      <c r="W20" s="57"/>
      <c r="X20" s="57"/>
      <c r="Y20" s="57"/>
      <c r="Z20" s="57"/>
    </row>
    <row r="21">
      <c r="A21" s="58">
        <v>1.0064704E7</v>
      </c>
      <c r="B21" s="57" t="s">
        <v>255</v>
      </c>
      <c r="C21" s="57" t="s">
        <v>247</v>
      </c>
      <c r="D21" s="58">
        <v>5.13</v>
      </c>
      <c r="E21" s="58">
        <v>2360.74</v>
      </c>
      <c r="F21" s="58">
        <v>4484661.0</v>
      </c>
      <c r="G21" s="57" t="s">
        <v>258</v>
      </c>
      <c r="H21" s="57" t="s">
        <v>259</v>
      </c>
      <c r="I21" s="57"/>
      <c r="J21" s="57"/>
      <c r="K21" s="57"/>
      <c r="L21" s="57"/>
      <c r="M21" s="57"/>
      <c r="N21" s="57"/>
      <c r="O21" s="57"/>
      <c r="P21" s="57"/>
      <c r="Q21" s="57"/>
      <c r="R21" s="57"/>
      <c r="S21" s="57"/>
      <c r="T21" s="57"/>
      <c r="U21" s="57"/>
      <c r="V21" s="57"/>
      <c r="W21" s="57"/>
      <c r="X21" s="57"/>
      <c r="Y21" s="57"/>
      <c r="Z21" s="57"/>
    </row>
    <row r="22">
      <c r="A22" s="58">
        <v>1.0064703E7</v>
      </c>
      <c r="B22" s="57" t="s">
        <v>255</v>
      </c>
      <c r="C22" s="57" t="s">
        <v>247</v>
      </c>
      <c r="D22" s="58">
        <v>5.13</v>
      </c>
      <c r="E22" s="58">
        <v>2365.87</v>
      </c>
      <c r="F22" s="58">
        <v>4485107.0</v>
      </c>
      <c r="G22" s="57" t="s">
        <v>260</v>
      </c>
      <c r="H22" s="57" t="s">
        <v>261</v>
      </c>
      <c r="I22" s="57"/>
      <c r="J22" s="57"/>
      <c r="K22" s="57"/>
      <c r="L22" s="57"/>
      <c r="M22" s="57"/>
      <c r="N22" s="57"/>
      <c r="O22" s="57"/>
      <c r="P22" s="57"/>
      <c r="Q22" s="57"/>
      <c r="R22" s="57"/>
      <c r="S22" s="57"/>
      <c r="T22" s="57"/>
      <c r="U22" s="57"/>
      <c r="V22" s="57"/>
      <c r="W22" s="57"/>
      <c r="X22" s="57"/>
      <c r="Y22" s="57"/>
      <c r="Z22" s="57"/>
    </row>
    <row r="23">
      <c r="A23" s="58">
        <v>1.0064701E7</v>
      </c>
      <c r="B23" s="57" t="s">
        <v>255</v>
      </c>
      <c r="C23" s="57" t="s">
        <v>247</v>
      </c>
      <c r="D23" s="58">
        <v>5.12</v>
      </c>
      <c r="E23" s="58">
        <v>2370.99</v>
      </c>
      <c r="F23" s="58">
        <v>4486265.0</v>
      </c>
      <c r="G23" s="57" t="s">
        <v>262</v>
      </c>
      <c r="H23" s="57" t="s">
        <v>263</v>
      </c>
      <c r="I23" s="57"/>
      <c r="J23" s="57"/>
      <c r="K23" s="57"/>
      <c r="L23" s="57"/>
      <c r="M23" s="57"/>
      <c r="N23" s="57"/>
      <c r="O23" s="57"/>
      <c r="P23" s="57"/>
      <c r="Q23" s="57"/>
      <c r="R23" s="57"/>
      <c r="S23" s="57"/>
      <c r="T23" s="57"/>
      <c r="U23" s="57"/>
      <c r="V23" s="57"/>
      <c r="W23" s="57"/>
      <c r="X23" s="57"/>
      <c r="Y23" s="57"/>
      <c r="Z23" s="57"/>
    </row>
    <row r="24">
      <c r="A24" s="58">
        <v>1.00647E7</v>
      </c>
      <c r="B24" s="57" t="s">
        <v>255</v>
      </c>
      <c r="C24" s="57" t="s">
        <v>247</v>
      </c>
      <c r="D24" s="58">
        <v>5.07</v>
      </c>
      <c r="E24" s="58">
        <v>2376.06</v>
      </c>
      <c r="F24" s="58">
        <v>4486979.0</v>
      </c>
      <c r="G24" s="57" t="s">
        <v>264</v>
      </c>
      <c r="H24" s="57" t="s">
        <v>265</v>
      </c>
      <c r="I24" s="57"/>
      <c r="J24" s="57"/>
      <c r="K24" s="57"/>
      <c r="L24" s="57"/>
      <c r="M24" s="57"/>
      <c r="N24" s="57"/>
      <c r="O24" s="57"/>
      <c r="P24" s="57"/>
      <c r="Q24" s="57"/>
      <c r="R24" s="57"/>
      <c r="S24" s="57"/>
      <c r="T24" s="57"/>
      <c r="U24" s="57"/>
      <c r="V24" s="57"/>
      <c r="W24" s="57"/>
      <c r="X24" s="57"/>
      <c r="Y24" s="57"/>
      <c r="Z24" s="57"/>
    </row>
    <row r="25">
      <c r="A25" s="58">
        <v>1.0064699E7</v>
      </c>
      <c r="B25" s="57" t="s">
        <v>255</v>
      </c>
      <c r="C25" s="57" t="s">
        <v>247</v>
      </c>
      <c r="D25" s="58">
        <v>5.07</v>
      </c>
      <c r="E25" s="58">
        <v>2381.13</v>
      </c>
      <c r="F25" s="58">
        <v>4487345.0</v>
      </c>
      <c r="G25" s="57" t="s">
        <v>266</v>
      </c>
      <c r="H25" s="57" t="s">
        <v>267</v>
      </c>
      <c r="I25" s="57"/>
      <c r="J25" s="57"/>
      <c r="K25" s="57"/>
      <c r="L25" s="57"/>
      <c r="M25" s="57"/>
      <c r="N25" s="57"/>
      <c r="O25" s="57"/>
      <c r="P25" s="57"/>
      <c r="Q25" s="57"/>
      <c r="R25" s="57"/>
      <c r="S25" s="57"/>
      <c r="T25" s="57"/>
      <c r="U25" s="57"/>
      <c r="V25" s="57"/>
      <c r="W25" s="57"/>
      <c r="X25" s="57"/>
      <c r="Y25" s="57"/>
      <c r="Z25" s="57"/>
    </row>
    <row r="26">
      <c r="A26" s="58">
        <v>1.0064698E7</v>
      </c>
      <c r="B26" s="57" t="s">
        <v>255</v>
      </c>
      <c r="C26" s="57" t="s">
        <v>247</v>
      </c>
      <c r="D26" s="58">
        <v>5.07</v>
      </c>
      <c r="E26" s="58">
        <v>2386.2</v>
      </c>
      <c r="F26" s="58">
        <v>4489045.0</v>
      </c>
      <c r="G26" s="57" t="s">
        <v>268</v>
      </c>
      <c r="H26" s="57" t="s">
        <v>269</v>
      </c>
      <c r="I26" s="57"/>
      <c r="J26" s="57"/>
      <c r="K26" s="57"/>
      <c r="L26" s="57"/>
      <c r="M26" s="57"/>
      <c r="N26" s="57"/>
      <c r="O26" s="57"/>
      <c r="P26" s="57"/>
      <c r="Q26" s="57"/>
      <c r="R26" s="57"/>
      <c r="S26" s="57"/>
      <c r="T26" s="57"/>
      <c r="U26" s="57"/>
      <c r="V26" s="57"/>
      <c r="W26" s="57"/>
      <c r="X26" s="57"/>
      <c r="Y26" s="57"/>
      <c r="Z26" s="57"/>
    </row>
    <row r="27">
      <c r="A27" s="58">
        <v>1.0064697E7</v>
      </c>
      <c r="B27" s="57" t="s">
        <v>255</v>
      </c>
      <c r="C27" s="57" t="s">
        <v>247</v>
      </c>
      <c r="D27" s="58">
        <v>5.09</v>
      </c>
      <c r="E27" s="58">
        <v>2391.29</v>
      </c>
      <c r="F27" s="58">
        <v>4489117.0</v>
      </c>
      <c r="G27" s="57" t="s">
        <v>270</v>
      </c>
      <c r="H27" s="57" t="s">
        <v>271</v>
      </c>
      <c r="I27" s="57"/>
      <c r="J27" s="57"/>
      <c r="K27" s="57"/>
      <c r="L27" s="57"/>
      <c r="M27" s="57"/>
      <c r="N27" s="57"/>
      <c r="O27" s="57"/>
      <c r="P27" s="57"/>
      <c r="Q27" s="57"/>
      <c r="R27" s="57"/>
      <c r="S27" s="57"/>
      <c r="T27" s="57"/>
      <c r="U27" s="57"/>
      <c r="V27" s="57"/>
      <c r="W27" s="57"/>
      <c r="X27" s="57"/>
      <c r="Y27" s="57"/>
      <c r="Z27" s="57"/>
    </row>
    <row r="28">
      <c r="A28" s="58">
        <v>1.0064689E7</v>
      </c>
      <c r="B28" s="57" t="s">
        <v>255</v>
      </c>
      <c r="C28" s="57" t="s">
        <v>247</v>
      </c>
      <c r="D28" s="58">
        <v>5.07</v>
      </c>
      <c r="E28" s="58">
        <v>2396.36</v>
      </c>
      <c r="F28" s="58">
        <v>4494540.0</v>
      </c>
      <c r="G28" s="57" t="s">
        <v>272</v>
      </c>
      <c r="H28" s="57" t="s">
        <v>273</v>
      </c>
      <c r="I28" s="57"/>
      <c r="J28" s="57"/>
      <c r="K28" s="57"/>
      <c r="L28" s="57"/>
      <c r="M28" s="57"/>
      <c r="N28" s="57"/>
      <c r="O28" s="57"/>
      <c r="P28" s="57"/>
      <c r="Q28" s="57"/>
      <c r="R28" s="57"/>
      <c r="S28" s="57"/>
      <c r="T28" s="57"/>
      <c r="U28" s="57"/>
      <c r="V28" s="57"/>
      <c r="W28" s="57"/>
      <c r="X28" s="57"/>
      <c r="Y28" s="57"/>
      <c r="Z28" s="57"/>
    </row>
    <row r="29">
      <c r="A29" s="58">
        <v>1.0064572E7</v>
      </c>
      <c r="B29" s="57" t="s">
        <v>255</v>
      </c>
      <c r="C29" s="57" t="s">
        <v>247</v>
      </c>
      <c r="D29" s="58">
        <v>4.52</v>
      </c>
      <c r="E29" s="58">
        <v>2400.88</v>
      </c>
      <c r="F29" s="58">
        <v>4482478.0</v>
      </c>
      <c r="G29" s="57" t="s">
        <v>274</v>
      </c>
      <c r="H29" s="57" t="s">
        <v>275</v>
      </c>
      <c r="I29" s="57"/>
      <c r="J29" s="57"/>
      <c r="K29" s="57"/>
      <c r="L29" s="57"/>
      <c r="M29" s="57"/>
      <c r="N29" s="57"/>
      <c r="O29" s="57"/>
      <c r="P29" s="57"/>
      <c r="Q29" s="57"/>
      <c r="R29" s="57"/>
      <c r="S29" s="57"/>
      <c r="T29" s="57"/>
      <c r="U29" s="57"/>
      <c r="V29" s="57"/>
      <c r="W29" s="57"/>
      <c r="X29" s="57"/>
      <c r="Y29" s="57"/>
      <c r="Z29" s="57"/>
    </row>
    <row r="30">
      <c r="A30" s="58">
        <v>1.0064569E7</v>
      </c>
      <c r="B30" s="57" t="s">
        <v>255</v>
      </c>
      <c r="C30" s="57" t="s">
        <v>247</v>
      </c>
      <c r="D30" s="58">
        <v>5.11</v>
      </c>
      <c r="E30" s="58">
        <v>2405.99</v>
      </c>
      <c r="F30" s="58">
        <v>4490717.0</v>
      </c>
      <c r="G30" s="57" t="s">
        <v>276</v>
      </c>
      <c r="H30" s="57" t="s">
        <v>277</v>
      </c>
      <c r="I30" s="57"/>
      <c r="J30" s="57"/>
      <c r="K30" s="57"/>
      <c r="L30" s="57"/>
      <c r="M30" s="57"/>
      <c r="N30" s="57"/>
      <c r="O30" s="57"/>
      <c r="P30" s="57"/>
      <c r="Q30" s="57"/>
      <c r="R30" s="57"/>
      <c r="S30" s="57"/>
      <c r="T30" s="57"/>
      <c r="U30" s="57"/>
      <c r="V30" s="57"/>
      <c r="W30" s="57"/>
      <c r="X30" s="57"/>
      <c r="Y30" s="57"/>
      <c r="Z30" s="57"/>
    </row>
    <row r="31">
      <c r="A31" s="58">
        <v>1.0063636E7</v>
      </c>
      <c r="B31" s="57" t="s">
        <v>278</v>
      </c>
      <c r="C31" s="57" t="s">
        <v>247</v>
      </c>
      <c r="D31" s="58">
        <v>7.67</v>
      </c>
      <c r="E31" s="58">
        <v>2413.66</v>
      </c>
      <c r="F31" s="58">
        <v>4350109.0</v>
      </c>
      <c r="G31" s="58">
        <v>1.86994371E8</v>
      </c>
      <c r="H31" s="57" t="s">
        <v>279</v>
      </c>
      <c r="I31" s="57"/>
      <c r="J31" s="57"/>
      <c r="K31" s="57"/>
      <c r="L31" s="57"/>
      <c r="M31" s="57"/>
      <c r="N31" s="57"/>
      <c r="O31" s="57"/>
      <c r="P31" s="57"/>
      <c r="Q31" s="57"/>
      <c r="R31" s="57"/>
      <c r="S31" s="57"/>
      <c r="T31" s="57"/>
      <c r="U31" s="57"/>
      <c r="V31" s="57"/>
      <c r="W31" s="57"/>
      <c r="X31" s="57"/>
      <c r="Y31" s="57"/>
      <c r="Z31" s="57"/>
    </row>
    <row r="32">
      <c r="A32" s="58">
        <v>1.0059773E7</v>
      </c>
      <c r="B32" s="57" t="s">
        <v>280</v>
      </c>
      <c r="C32" s="57" t="s">
        <v>210</v>
      </c>
      <c r="D32" s="58">
        <v>18.4</v>
      </c>
      <c r="E32" s="58">
        <v>2395.26</v>
      </c>
      <c r="F32" s="58">
        <v>4617647.0</v>
      </c>
      <c r="G32" s="57" t="s">
        <v>281</v>
      </c>
      <c r="H32" s="57" t="s">
        <v>282</v>
      </c>
      <c r="I32" s="57"/>
      <c r="J32" s="57"/>
      <c r="K32" s="57"/>
      <c r="L32" s="57"/>
      <c r="M32" s="57"/>
      <c r="N32" s="57"/>
      <c r="O32" s="57"/>
      <c r="P32" s="57"/>
      <c r="Q32" s="57"/>
      <c r="R32" s="57"/>
      <c r="S32" s="57"/>
      <c r="T32" s="57"/>
      <c r="U32" s="57"/>
      <c r="V32" s="57"/>
      <c r="W32" s="57"/>
      <c r="X32" s="57"/>
      <c r="Y32" s="57"/>
      <c r="Z32" s="57"/>
    </row>
    <row r="33">
      <c r="A33" s="58">
        <v>1.0059512E7</v>
      </c>
      <c r="B33" s="57" t="s">
        <v>280</v>
      </c>
      <c r="C33" s="57" t="s">
        <v>210</v>
      </c>
      <c r="D33" s="58">
        <v>15.95</v>
      </c>
      <c r="E33" s="58">
        <v>2379.31</v>
      </c>
      <c r="F33" s="58">
        <v>4617195.0</v>
      </c>
      <c r="G33" s="57" t="s">
        <v>283</v>
      </c>
      <c r="H33" s="57" t="s">
        <v>284</v>
      </c>
      <c r="I33" s="57"/>
      <c r="J33" s="57"/>
      <c r="K33" s="57"/>
      <c r="L33" s="57"/>
      <c r="M33" s="57"/>
      <c r="N33" s="57"/>
      <c r="O33" s="57"/>
      <c r="P33" s="57"/>
      <c r="Q33" s="57"/>
      <c r="R33" s="57"/>
      <c r="S33" s="57"/>
      <c r="T33" s="57"/>
      <c r="U33" s="57"/>
      <c r="V33" s="57"/>
      <c r="W33" s="57"/>
      <c r="X33" s="57"/>
      <c r="Y33" s="57"/>
      <c r="Z33" s="57"/>
    </row>
    <row r="34">
      <c r="A34" s="58">
        <v>1.003275E7</v>
      </c>
      <c r="B34" s="57" t="s">
        <v>285</v>
      </c>
      <c r="C34" s="57" t="s">
        <v>210</v>
      </c>
      <c r="D34" s="58">
        <v>6.8</v>
      </c>
      <c r="E34" s="58">
        <v>2372.51</v>
      </c>
      <c r="F34" s="58">
        <v>4596067.0</v>
      </c>
      <c r="G34" s="58">
        <v>1.86573343E8</v>
      </c>
      <c r="H34" s="57" t="s">
        <v>286</v>
      </c>
      <c r="I34" s="57"/>
      <c r="J34" s="57"/>
      <c r="K34" s="57"/>
      <c r="L34" s="57"/>
      <c r="M34" s="57"/>
      <c r="N34" s="57"/>
      <c r="O34" s="57"/>
      <c r="P34" s="57"/>
      <c r="Q34" s="57"/>
      <c r="R34" s="57"/>
      <c r="S34" s="57"/>
      <c r="T34" s="57"/>
      <c r="U34" s="57"/>
      <c r="V34" s="57"/>
      <c r="W34" s="57"/>
      <c r="X34" s="57"/>
      <c r="Y34" s="57"/>
      <c r="Z34" s="57"/>
    </row>
    <row r="35">
      <c r="A35" s="58">
        <v>1.0024293E7</v>
      </c>
      <c r="B35" s="57" t="s">
        <v>287</v>
      </c>
      <c r="C35" s="57" t="s">
        <v>210</v>
      </c>
      <c r="D35" s="58">
        <v>17.83</v>
      </c>
      <c r="E35" s="58">
        <v>2354.68</v>
      </c>
      <c r="F35" s="58">
        <v>4586569.0</v>
      </c>
      <c r="G35" s="57" t="s">
        <v>288</v>
      </c>
      <c r="H35" s="57" t="s">
        <v>289</v>
      </c>
      <c r="I35" s="57"/>
      <c r="J35" s="57"/>
      <c r="K35" s="57"/>
      <c r="L35" s="57"/>
      <c r="M35" s="57"/>
      <c r="N35" s="57"/>
      <c r="O35" s="57"/>
      <c r="P35" s="57"/>
      <c r="Q35" s="57"/>
      <c r="R35" s="57"/>
      <c r="S35" s="57"/>
      <c r="T35" s="57"/>
      <c r="U35" s="57"/>
      <c r="V35" s="57"/>
      <c r="W35" s="57"/>
      <c r="X35" s="57"/>
      <c r="Y35" s="57"/>
      <c r="Z35" s="57"/>
    </row>
    <row r="36">
      <c r="A36" s="58">
        <v>1.0024112E7</v>
      </c>
      <c r="B36" s="57" t="s">
        <v>287</v>
      </c>
      <c r="C36" s="57" t="s">
        <v>210</v>
      </c>
      <c r="D36" s="58">
        <v>7.2</v>
      </c>
      <c r="E36" s="58">
        <v>2347.48</v>
      </c>
      <c r="F36" s="58">
        <v>4586325.0</v>
      </c>
      <c r="G36" s="57" t="s">
        <v>290</v>
      </c>
      <c r="H36" s="57" t="s">
        <v>291</v>
      </c>
      <c r="I36" s="57"/>
      <c r="J36" s="57"/>
      <c r="K36" s="57"/>
      <c r="L36" s="57"/>
      <c r="M36" s="57"/>
      <c r="N36" s="57"/>
      <c r="O36" s="57"/>
      <c r="P36" s="57"/>
      <c r="Q36" s="57"/>
      <c r="R36" s="57"/>
      <c r="S36" s="57"/>
      <c r="T36" s="57"/>
      <c r="U36" s="57"/>
      <c r="V36" s="57"/>
      <c r="W36" s="57"/>
      <c r="X36" s="57"/>
      <c r="Y36" s="57"/>
      <c r="Z36" s="57"/>
    </row>
    <row r="37">
      <c r="A37" s="58">
        <v>1.0018888E7</v>
      </c>
      <c r="B37" s="57" t="s">
        <v>292</v>
      </c>
      <c r="C37" s="57" t="s">
        <v>210</v>
      </c>
      <c r="D37" s="58">
        <v>12.65</v>
      </c>
      <c r="E37" s="58">
        <v>2334.83</v>
      </c>
      <c r="F37" s="58">
        <v>4579105.0</v>
      </c>
      <c r="G37" s="57" t="s">
        <v>293</v>
      </c>
      <c r="H37" s="57" t="s">
        <v>294</v>
      </c>
      <c r="I37" s="57"/>
      <c r="J37" s="57"/>
      <c r="K37" s="57"/>
      <c r="L37" s="57"/>
      <c r="M37" s="57"/>
      <c r="N37" s="57"/>
      <c r="O37" s="57"/>
      <c r="P37" s="57"/>
      <c r="Q37" s="57"/>
      <c r="R37" s="57"/>
      <c r="S37" s="57"/>
      <c r="T37" s="57"/>
      <c r="U37" s="57"/>
      <c r="V37" s="57"/>
      <c r="W37" s="57"/>
      <c r="X37" s="57"/>
      <c r="Y37" s="57"/>
      <c r="Z37" s="57"/>
    </row>
    <row r="38">
      <c r="A38" s="58">
        <v>1.0009913E7</v>
      </c>
      <c r="B38" s="57" t="s">
        <v>295</v>
      </c>
      <c r="C38" s="57" t="s">
        <v>210</v>
      </c>
      <c r="D38" s="58">
        <v>13.45</v>
      </c>
      <c r="E38" s="58">
        <v>2321.38</v>
      </c>
      <c r="F38" s="58">
        <v>4559544.0</v>
      </c>
      <c r="G38" s="57" t="s">
        <v>296</v>
      </c>
      <c r="H38" s="57" t="s">
        <v>297</v>
      </c>
      <c r="I38" s="57"/>
      <c r="J38" s="57"/>
      <c r="K38" s="57"/>
      <c r="L38" s="57"/>
      <c r="M38" s="57"/>
      <c r="N38" s="57"/>
      <c r="O38" s="57"/>
      <c r="P38" s="57"/>
      <c r="Q38" s="57"/>
      <c r="R38" s="57"/>
      <c r="S38" s="57"/>
      <c r="T38" s="57"/>
      <c r="U38" s="57"/>
      <c r="V38" s="57"/>
      <c r="W38" s="57"/>
      <c r="X38" s="57"/>
      <c r="Y38" s="57"/>
      <c r="Z38" s="57"/>
    </row>
    <row r="39">
      <c r="A39" s="58">
        <v>1.0007401E7</v>
      </c>
      <c r="B39" s="57" t="s">
        <v>298</v>
      </c>
      <c r="C39" s="57" t="s">
        <v>210</v>
      </c>
      <c r="D39" s="58">
        <v>14.16</v>
      </c>
      <c r="E39" s="58">
        <v>2307.22</v>
      </c>
      <c r="F39" s="58">
        <v>4549546.0</v>
      </c>
      <c r="G39" s="58">
        <v>1.86793629E8</v>
      </c>
      <c r="H39" s="57" t="s">
        <v>299</v>
      </c>
      <c r="I39" s="57"/>
      <c r="J39" s="57"/>
      <c r="K39" s="57"/>
      <c r="L39" s="57"/>
      <c r="M39" s="57"/>
      <c r="N39" s="57"/>
      <c r="O39" s="57"/>
      <c r="P39" s="57"/>
      <c r="Q39" s="57"/>
      <c r="R39" s="57"/>
      <c r="S39" s="57"/>
      <c r="T39" s="57"/>
      <c r="U39" s="57"/>
      <c r="V39" s="57"/>
      <c r="W39" s="57"/>
      <c r="X39" s="57"/>
      <c r="Y39" s="57"/>
      <c r="Z39" s="57"/>
    </row>
    <row r="40">
      <c r="A40" s="58">
        <v>1.0003829E7</v>
      </c>
      <c r="B40" s="57" t="s">
        <v>298</v>
      </c>
      <c r="C40" s="57" t="s">
        <v>210</v>
      </c>
      <c r="D40" s="58">
        <v>13.67</v>
      </c>
      <c r="E40" s="58">
        <v>2293.55</v>
      </c>
      <c r="F40" s="58">
        <v>4535081.0</v>
      </c>
      <c r="G40" s="57" t="s">
        <v>300</v>
      </c>
      <c r="H40" s="57" t="s">
        <v>301</v>
      </c>
      <c r="I40" s="57"/>
      <c r="J40" s="57"/>
      <c r="K40" s="57"/>
      <c r="L40" s="57"/>
      <c r="M40" s="57"/>
      <c r="N40" s="57"/>
      <c r="O40" s="57"/>
      <c r="P40" s="57"/>
      <c r="Q40" s="57"/>
      <c r="R40" s="57"/>
      <c r="S40" s="57"/>
      <c r="T40" s="57"/>
      <c r="U40" s="57"/>
      <c r="V40" s="57"/>
      <c r="W40" s="57"/>
      <c r="X40" s="57"/>
      <c r="Y40" s="57"/>
      <c r="Z40" s="57"/>
    </row>
    <row r="41">
      <c r="A41" s="58">
        <v>1.0001604E7</v>
      </c>
      <c r="B41" s="57" t="s">
        <v>302</v>
      </c>
      <c r="C41" s="57" t="s">
        <v>210</v>
      </c>
      <c r="D41" s="58">
        <v>8.66</v>
      </c>
      <c r="E41" s="58">
        <v>2284.89</v>
      </c>
      <c r="F41" s="58">
        <v>4523556.0</v>
      </c>
      <c r="G41" s="57" t="s">
        <v>303</v>
      </c>
      <c r="H41" s="57" t="s">
        <v>304</v>
      </c>
      <c r="I41" s="57"/>
      <c r="J41" s="57"/>
      <c r="K41" s="57"/>
      <c r="L41" s="57"/>
      <c r="M41" s="57"/>
      <c r="N41" s="57"/>
      <c r="O41" s="57"/>
      <c r="P41" s="57"/>
      <c r="Q41" s="57"/>
      <c r="R41" s="57"/>
      <c r="S41" s="57"/>
      <c r="T41" s="57"/>
      <c r="U41" s="57"/>
      <c r="V41" s="57"/>
      <c r="W41" s="57"/>
      <c r="X41" s="57"/>
      <c r="Y41" s="57"/>
      <c r="Z41" s="57"/>
    </row>
    <row r="42">
      <c r="A42" s="58">
        <v>1.0000114E7</v>
      </c>
      <c r="B42" s="57" t="s">
        <v>302</v>
      </c>
      <c r="C42" s="57" t="s">
        <v>210</v>
      </c>
      <c r="D42" s="58">
        <v>10.96</v>
      </c>
      <c r="E42" s="58">
        <v>2273.93</v>
      </c>
      <c r="F42" s="58">
        <v>4507478.0</v>
      </c>
      <c r="G42" s="57" t="s">
        <v>305</v>
      </c>
      <c r="H42" s="57" t="s">
        <v>306</v>
      </c>
      <c r="I42" s="57"/>
      <c r="J42" s="57"/>
      <c r="K42" s="57"/>
      <c r="L42" s="57"/>
      <c r="M42" s="57"/>
      <c r="N42" s="57"/>
      <c r="O42" s="57"/>
      <c r="P42" s="57"/>
      <c r="Q42" s="57"/>
      <c r="R42" s="57"/>
      <c r="S42" s="57"/>
      <c r="T42" s="57"/>
      <c r="U42" s="57"/>
      <c r="V42" s="57"/>
      <c r="W42" s="57"/>
      <c r="X42" s="57"/>
      <c r="Y42" s="57"/>
      <c r="Z42" s="57"/>
    </row>
    <row r="43">
      <c r="A43" s="58">
        <v>9999795.0</v>
      </c>
      <c r="B43" s="57" t="s">
        <v>307</v>
      </c>
      <c r="C43" s="57" t="s">
        <v>210</v>
      </c>
      <c r="D43" s="58">
        <v>13.45</v>
      </c>
      <c r="E43" s="58">
        <v>2260.48</v>
      </c>
      <c r="F43" s="58">
        <v>4502915.0</v>
      </c>
      <c r="G43" s="57" t="s">
        <v>308</v>
      </c>
      <c r="H43" s="57" t="s">
        <v>309</v>
      </c>
      <c r="I43" s="57"/>
      <c r="J43" s="57"/>
      <c r="K43" s="57"/>
      <c r="L43" s="57"/>
      <c r="M43" s="57"/>
      <c r="N43" s="57"/>
      <c r="O43" s="57"/>
      <c r="P43" s="57"/>
      <c r="Q43" s="57"/>
      <c r="R43" s="57"/>
      <c r="S43" s="57"/>
      <c r="T43" s="57"/>
      <c r="U43" s="57"/>
      <c r="V43" s="57"/>
      <c r="W43" s="57"/>
      <c r="X43" s="57"/>
      <c r="Y43" s="57"/>
      <c r="Z43" s="57"/>
    </row>
    <row r="44">
      <c r="A44" s="58">
        <v>9999337.0</v>
      </c>
      <c r="B44" s="57" t="s">
        <v>307</v>
      </c>
      <c r="C44" s="57" t="s">
        <v>210</v>
      </c>
      <c r="D44" s="58">
        <v>10.8</v>
      </c>
      <c r="E44" s="58">
        <v>2249.68</v>
      </c>
      <c r="F44" s="58">
        <v>4493703.0</v>
      </c>
      <c r="G44" s="58">
        <v>1.8704957E8</v>
      </c>
      <c r="H44" s="57" t="s">
        <v>310</v>
      </c>
      <c r="I44" s="57"/>
      <c r="J44" s="57"/>
      <c r="K44" s="57"/>
      <c r="L44" s="57"/>
      <c r="M44" s="57"/>
      <c r="N44" s="57"/>
      <c r="O44" s="57"/>
      <c r="P44" s="57"/>
      <c r="Q44" s="57"/>
      <c r="R44" s="57"/>
      <c r="S44" s="57"/>
      <c r="T44" s="57"/>
      <c r="U44" s="57"/>
      <c r="V44" s="57"/>
      <c r="W44" s="57"/>
      <c r="X44" s="57"/>
      <c r="Y44" s="57"/>
      <c r="Z44" s="57"/>
    </row>
    <row r="45">
      <c r="A45" s="58">
        <v>9999023.0</v>
      </c>
      <c r="B45" s="57" t="s">
        <v>307</v>
      </c>
      <c r="C45" s="57" t="s">
        <v>210</v>
      </c>
      <c r="D45" s="58">
        <v>11.31</v>
      </c>
      <c r="E45" s="58">
        <v>2238.37</v>
      </c>
      <c r="F45" s="58">
        <v>4484575.0</v>
      </c>
      <c r="G45" s="57" t="s">
        <v>311</v>
      </c>
      <c r="H45" s="57" t="s">
        <v>312</v>
      </c>
      <c r="I45" s="57"/>
      <c r="J45" s="57"/>
      <c r="K45" s="57"/>
      <c r="L45" s="57"/>
      <c r="M45" s="57"/>
      <c r="N45" s="57"/>
      <c r="O45" s="57"/>
      <c r="P45" s="57"/>
      <c r="Q45" s="57"/>
      <c r="R45" s="57"/>
      <c r="S45" s="57"/>
      <c r="T45" s="57"/>
      <c r="U45" s="57"/>
      <c r="V45" s="57"/>
      <c r="W45" s="57"/>
      <c r="X45" s="57"/>
      <c r="Y45" s="57"/>
      <c r="Z45" s="57"/>
    </row>
    <row r="46">
      <c r="A46" s="58">
        <v>9996976.0</v>
      </c>
      <c r="B46" s="57" t="s">
        <v>313</v>
      </c>
      <c r="C46" s="57" t="s">
        <v>247</v>
      </c>
      <c r="D46" s="58">
        <v>7.13</v>
      </c>
      <c r="E46" s="58">
        <v>2245.5</v>
      </c>
      <c r="F46" s="58">
        <v>4523430.0</v>
      </c>
      <c r="G46" s="57" t="s">
        <v>314</v>
      </c>
      <c r="H46" s="57" t="s">
        <v>315</v>
      </c>
      <c r="I46" s="57"/>
      <c r="J46" s="57"/>
      <c r="K46" s="57"/>
      <c r="L46" s="57"/>
      <c r="M46" s="57"/>
      <c r="N46" s="57"/>
      <c r="O46" s="57"/>
      <c r="P46" s="57"/>
      <c r="Q46" s="57"/>
      <c r="R46" s="57"/>
      <c r="S46" s="57"/>
      <c r="T46" s="57"/>
      <c r="U46" s="57"/>
      <c r="V46" s="57"/>
      <c r="W46" s="57"/>
      <c r="X46" s="57"/>
      <c r="Y46" s="57"/>
      <c r="Z46" s="57"/>
    </row>
    <row r="47">
      <c r="A47" s="58">
        <v>9957629.0</v>
      </c>
      <c r="B47" s="57" t="s">
        <v>316</v>
      </c>
      <c r="C47" s="57" t="s">
        <v>210</v>
      </c>
      <c r="D47" s="58">
        <v>7.98</v>
      </c>
      <c r="E47" s="58">
        <v>2237.52</v>
      </c>
      <c r="F47" s="58">
        <v>4578984.0</v>
      </c>
      <c r="G47" s="58">
        <v>1.86573716E8</v>
      </c>
      <c r="H47" s="57" t="s">
        <v>317</v>
      </c>
      <c r="I47" s="57"/>
      <c r="J47" s="57"/>
      <c r="K47" s="57"/>
      <c r="L47" s="57"/>
      <c r="M47" s="57"/>
      <c r="N47" s="57"/>
      <c r="O47" s="57"/>
      <c r="P47" s="57"/>
      <c r="Q47" s="57"/>
      <c r="R47" s="57"/>
      <c r="S47" s="57"/>
      <c r="T47" s="57"/>
      <c r="U47" s="57"/>
      <c r="V47" s="57"/>
      <c r="W47" s="57"/>
      <c r="X47" s="57"/>
      <c r="Y47" s="57"/>
      <c r="Z47" s="57"/>
    </row>
    <row r="48">
      <c r="A48" s="58">
        <v>9956833.0</v>
      </c>
      <c r="B48" s="57" t="s">
        <v>318</v>
      </c>
      <c r="C48" s="57" t="s">
        <v>210</v>
      </c>
      <c r="D48" s="58">
        <v>9.72</v>
      </c>
      <c r="E48" s="58">
        <v>2227.8</v>
      </c>
      <c r="F48" s="58">
        <v>4578164.0</v>
      </c>
      <c r="G48" s="57" t="s">
        <v>319</v>
      </c>
      <c r="H48" s="57" t="s">
        <v>320</v>
      </c>
      <c r="I48" s="57"/>
      <c r="J48" s="57"/>
      <c r="K48" s="57"/>
      <c r="L48" s="57"/>
      <c r="M48" s="57"/>
      <c r="N48" s="57"/>
      <c r="O48" s="57"/>
      <c r="P48" s="57"/>
      <c r="Q48" s="57"/>
      <c r="R48" s="57"/>
      <c r="S48" s="57"/>
      <c r="T48" s="57"/>
      <c r="U48" s="57"/>
      <c r="V48" s="57"/>
      <c r="W48" s="57"/>
      <c r="X48" s="57"/>
      <c r="Y48" s="57"/>
      <c r="Z48" s="57"/>
    </row>
    <row r="49">
      <c r="A49" s="58">
        <v>9956342.0</v>
      </c>
      <c r="B49" s="57" t="s">
        <v>318</v>
      </c>
      <c r="C49" s="57" t="s">
        <v>210</v>
      </c>
      <c r="D49" s="58">
        <v>10.27</v>
      </c>
      <c r="E49" s="58">
        <v>2217.53</v>
      </c>
      <c r="F49" s="58">
        <v>4577757.0</v>
      </c>
      <c r="G49" s="57" t="s">
        <v>321</v>
      </c>
      <c r="H49" s="57" t="s">
        <v>322</v>
      </c>
      <c r="I49" s="57"/>
      <c r="J49" s="57"/>
      <c r="K49" s="57"/>
      <c r="L49" s="57"/>
      <c r="M49" s="57"/>
      <c r="N49" s="57"/>
      <c r="O49" s="57"/>
      <c r="P49" s="57"/>
      <c r="Q49" s="57"/>
      <c r="R49" s="57"/>
      <c r="S49" s="57"/>
      <c r="T49" s="57"/>
      <c r="U49" s="57"/>
      <c r="V49" s="57"/>
      <c r="W49" s="57"/>
      <c r="X49" s="57"/>
      <c r="Y49" s="57"/>
      <c r="Z49" s="57"/>
    </row>
    <row r="50">
      <c r="A50" s="58">
        <v>9953295.0</v>
      </c>
      <c r="B50" s="57" t="s">
        <v>323</v>
      </c>
      <c r="C50" s="57" t="s">
        <v>210</v>
      </c>
      <c r="D50" s="58">
        <v>11.33</v>
      </c>
      <c r="E50" s="58">
        <v>2206.2</v>
      </c>
      <c r="F50" s="58">
        <v>4575074.0</v>
      </c>
      <c r="G50" s="57" t="s">
        <v>324</v>
      </c>
      <c r="H50" s="57" t="s">
        <v>325</v>
      </c>
      <c r="I50" s="57"/>
      <c r="J50" s="57"/>
      <c r="K50" s="57"/>
      <c r="L50" s="57"/>
      <c r="M50" s="57"/>
      <c r="N50" s="57"/>
      <c r="O50" s="57"/>
      <c r="P50" s="57"/>
      <c r="Q50" s="57"/>
      <c r="R50" s="57"/>
      <c r="S50" s="57"/>
      <c r="T50" s="57"/>
      <c r="U50" s="57"/>
      <c r="V50" s="57"/>
      <c r="W50" s="57"/>
      <c r="X50" s="57"/>
      <c r="Y50" s="57"/>
      <c r="Z50" s="57"/>
    </row>
    <row r="51">
      <c r="A51" s="58">
        <v>9952476.0</v>
      </c>
      <c r="B51" s="57" t="s">
        <v>323</v>
      </c>
      <c r="C51" s="57" t="s">
        <v>210</v>
      </c>
      <c r="D51" s="58">
        <v>11.84</v>
      </c>
      <c r="E51" s="58">
        <v>2194.36</v>
      </c>
      <c r="F51" s="58">
        <v>4574109.0</v>
      </c>
      <c r="G51" s="57" t="s">
        <v>326</v>
      </c>
      <c r="H51" s="57" t="s">
        <v>327</v>
      </c>
      <c r="I51" s="57"/>
      <c r="J51" s="57"/>
      <c r="K51" s="57"/>
      <c r="L51" s="57"/>
      <c r="M51" s="57"/>
      <c r="N51" s="57"/>
      <c r="O51" s="57"/>
      <c r="P51" s="57"/>
      <c r="Q51" s="57"/>
      <c r="R51" s="57"/>
      <c r="S51" s="57"/>
      <c r="T51" s="57"/>
      <c r="U51" s="57"/>
      <c r="V51" s="57"/>
      <c r="W51" s="57"/>
      <c r="X51" s="57"/>
      <c r="Y51" s="57"/>
      <c r="Z51" s="57"/>
    </row>
    <row r="52">
      <c r="A52" s="58">
        <v>9939451.0</v>
      </c>
      <c r="B52" s="57" t="s">
        <v>328</v>
      </c>
      <c r="C52" s="57" t="s">
        <v>210</v>
      </c>
      <c r="D52" s="58">
        <v>16.64</v>
      </c>
      <c r="E52" s="58">
        <v>2177.72</v>
      </c>
      <c r="F52" s="58">
        <v>4547590.0</v>
      </c>
      <c r="G52" s="57" t="s">
        <v>329</v>
      </c>
      <c r="H52" s="57" t="s">
        <v>330</v>
      </c>
      <c r="I52" s="57"/>
      <c r="J52" s="57"/>
      <c r="K52" s="57"/>
      <c r="L52" s="57"/>
      <c r="M52" s="57"/>
      <c r="N52" s="57"/>
      <c r="O52" s="57"/>
      <c r="P52" s="57"/>
      <c r="Q52" s="57"/>
      <c r="R52" s="57"/>
      <c r="S52" s="57"/>
      <c r="T52" s="57"/>
      <c r="U52" s="57"/>
      <c r="V52" s="57"/>
      <c r="W52" s="57"/>
      <c r="X52" s="57"/>
      <c r="Y52" s="57"/>
      <c r="Z52" s="57"/>
    </row>
    <row r="53">
      <c r="A53" s="58">
        <v>9936504.0</v>
      </c>
      <c r="B53" s="57" t="s">
        <v>331</v>
      </c>
      <c r="C53" s="57" t="s">
        <v>210</v>
      </c>
      <c r="D53" s="58">
        <v>8.66</v>
      </c>
      <c r="E53" s="58">
        <v>2169.06</v>
      </c>
      <c r="F53" s="58">
        <v>4534331.0</v>
      </c>
      <c r="G53" s="57" t="s">
        <v>332</v>
      </c>
      <c r="H53" s="57" t="s">
        <v>333</v>
      </c>
      <c r="I53" s="57"/>
      <c r="J53" s="57"/>
      <c r="K53" s="57"/>
      <c r="L53" s="57"/>
      <c r="M53" s="57"/>
      <c r="N53" s="57"/>
      <c r="O53" s="57"/>
      <c r="P53" s="57"/>
      <c r="Q53" s="57"/>
      <c r="R53" s="57"/>
      <c r="S53" s="57"/>
      <c r="T53" s="57"/>
      <c r="U53" s="57"/>
      <c r="V53" s="57"/>
      <c r="W53" s="57"/>
      <c r="X53" s="57"/>
      <c r="Y53" s="57"/>
      <c r="Z53" s="57"/>
    </row>
    <row r="54">
      <c r="A54" s="58">
        <v>9934460.0</v>
      </c>
      <c r="B54" s="57" t="s">
        <v>331</v>
      </c>
      <c r="C54" s="57" t="s">
        <v>210</v>
      </c>
      <c r="D54" s="58">
        <v>10.76</v>
      </c>
      <c r="E54" s="58">
        <v>2158.3</v>
      </c>
      <c r="F54" s="58">
        <v>4523623.0</v>
      </c>
      <c r="G54" s="57" t="s">
        <v>334</v>
      </c>
      <c r="H54" s="57" t="s">
        <v>335</v>
      </c>
      <c r="I54" s="57"/>
      <c r="J54" s="57"/>
      <c r="K54" s="57"/>
      <c r="L54" s="57"/>
      <c r="M54" s="57"/>
      <c r="N54" s="57"/>
      <c r="O54" s="57"/>
      <c r="P54" s="57"/>
      <c r="Q54" s="57"/>
      <c r="R54" s="57"/>
      <c r="S54" s="57"/>
      <c r="T54" s="57"/>
      <c r="U54" s="57"/>
      <c r="V54" s="57"/>
      <c r="W54" s="57"/>
      <c r="X54" s="57"/>
      <c r="Y54" s="57"/>
      <c r="Z54" s="57"/>
    </row>
    <row r="55">
      <c r="A55" s="58">
        <v>9934444.0</v>
      </c>
      <c r="B55" s="57" t="s">
        <v>331</v>
      </c>
      <c r="C55" s="57" t="s">
        <v>210</v>
      </c>
      <c r="D55" s="58">
        <v>11.33</v>
      </c>
      <c r="E55" s="58">
        <v>2146.97</v>
      </c>
      <c r="F55" s="58">
        <v>4523608.0</v>
      </c>
      <c r="G55" s="57" t="s">
        <v>336</v>
      </c>
      <c r="H55" s="57" t="s">
        <v>337</v>
      </c>
      <c r="I55" s="57"/>
      <c r="J55" s="57"/>
      <c r="K55" s="57"/>
      <c r="L55" s="57"/>
      <c r="M55" s="57"/>
      <c r="N55" s="57"/>
      <c r="O55" s="57"/>
      <c r="P55" s="57"/>
      <c r="Q55" s="57"/>
      <c r="R55" s="57"/>
      <c r="S55" s="57"/>
      <c r="T55" s="57"/>
      <c r="U55" s="57"/>
      <c r="V55" s="57"/>
      <c r="W55" s="57"/>
      <c r="X55" s="57"/>
      <c r="Y55" s="57"/>
      <c r="Z55" s="57"/>
    </row>
    <row r="56">
      <c r="A56" s="58">
        <v>9934404.0</v>
      </c>
      <c r="B56" s="57" t="s">
        <v>331</v>
      </c>
      <c r="C56" s="57" t="s">
        <v>210</v>
      </c>
      <c r="D56" s="58">
        <v>10.27</v>
      </c>
      <c r="E56" s="58">
        <v>2136.7</v>
      </c>
      <c r="F56" s="58">
        <v>4523421.0</v>
      </c>
      <c r="G56" s="57" t="s">
        <v>338</v>
      </c>
      <c r="H56" s="57" t="s">
        <v>339</v>
      </c>
      <c r="I56" s="57"/>
      <c r="J56" s="57"/>
      <c r="K56" s="57"/>
      <c r="L56" s="57"/>
      <c r="M56" s="57"/>
      <c r="N56" s="57"/>
      <c r="O56" s="57"/>
      <c r="P56" s="57"/>
      <c r="Q56" s="57"/>
      <c r="R56" s="57"/>
      <c r="S56" s="57"/>
      <c r="T56" s="57"/>
      <c r="U56" s="57"/>
      <c r="V56" s="57"/>
      <c r="W56" s="57"/>
      <c r="X56" s="57"/>
      <c r="Y56" s="57"/>
      <c r="Z56" s="57"/>
    </row>
    <row r="57">
      <c r="A57" s="58">
        <v>9934397.0</v>
      </c>
      <c r="B57" s="57" t="s">
        <v>331</v>
      </c>
      <c r="C57" s="57" t="s">
        <v>210</v>
      </c>
      <c r="D57" s="58">
        <v>12.37</v>
      </c>
      <c r="E57" s="58">
        <v>2124.33</v>
      </c>
      <c r="F57" s="58">
        <v>4523416.0</v>
      </c>
      <c r="G57" s="57" t="s">
        <v>340</v>
      </c>
      <c r="H57" s="57" t="s">
        <v>341</v>
      </c>
      <c r="I57" s="57"/>
      <c r="J57" s="57"/>
      <c r="K57" s="57"/>
      <c r="L57" s="57"/>
      <c r="M57" s="57"/>
      <c r="N57" s="57"/>
      <c r="O57" s="57"/>
      <c r="P57" s="57"/>
      <c r="Q57" s="57"/>
      <c r="R57" s="57"/>
      <c r="S57" s="57"/>
      <c r="T57" s="57"/>
      <c r="U57" s="57"/>
      <c r="V57" s="57"/>
      <c r="W57" s="57"/>
      <c r="X57" s="57"/>
      <c r="Y57" s="57"/>
      <c r="Z57" s="57"/>
    </row>
    <row r="58">
      <c r="A58" s="58">
        <v>9934382.0</v>
      </c>
      <c r="B58" s="57" t="s">
        <v>331</v>
      </c>
      <c r="C58" s="57" t="s">
        <v>210</v>
      </c>
      <c r="D58" s="58">
        <v>8.66</v>
      </c>
      <c r="E58" s="58">
        <v>2115.67</v>
      </c>
      <c r="F58" s="58">
        <v>4523392.0</v>
      </c>
      <c r="G58" s="57" t="s">
        <v>342</v>
      </c>
      <c r="H58" s="57" t="s">
        <v>343</v>
      </c>
      <c r="I58" s="57"/>
      <c r="J58" s="57"/>
      <c r="K58" s="57"/>
      <c r="L58" s="57"/>
      <c r="M58" s="57"/>
      <c r="N58" s="57"/>
      <c r="O58" s="57"/>
      <c r="P58" s="57"/>
      <c r="Q58" s="57"/>
      <c r="R58" s="57"/>
      <c r="S58" s="57"/>
      <c r="T58" s="57"/>
      <c r="U58" s="57"/>
      <c r="V58" s="57"/>
      <c r="W58" s="57"/>
      <c r="X58" s="57"/>
      <c r="Y58" s="57"/>
      <c r="Z58" s="57"/>
    </row>
    <row r="59">
      <c r="A59" s="58">
        <v>9933518.0</v>
      </c>
      <c r="B59" s="57" t="s">
        <v>344</v>
      </c>
      <c r="C59" s="57" t="s">
        <v>210</v>
      </c>
      <c r="D59" s="58">
        <v>16.64</v>
      </c>
      <c r="E59" s="58">
        <v>2099.03</v>
      </c>
      <c r="F59" s="58">
        <v>4513873.0</v>
      </c>
      <c r="G59" s="57" t="s">
        <v>345</v>
      </c>
      <c r="H59" s="57" t="s">
        <v>346</v>
      </c>
      <c r="I59" s="57"/>
      <c r="J59" s="57"/>
      <c r="K59" s="57"/>
      <c r="L59" s="57"/>
      <c r="M59" s="57"/>
      <c r="N59" s="57"/>
      <c r="O59" s="57"/>
      <c r="P59" s="57"/>
      <c r="Q59" s="57"/>
      <c r="R59" s="57"/>
      <c r="S59" s="57"/>
      <c r="T59" s="57"/>
      <c r="U59" s="57"/>
      <c r="V59" s="57"/>
      <c r="W59" s="57"/>
      <c r="X59" s="57"/>
      <c r="Y59" s="57"/>
      <c r="Z59" s="57"/>
    </row>
    <row r="60">
      <c r="A60" s="58">
        <v>9933420.0</v>
      </c>
      <c r="B60" s="57" t="s">
        <v>344</v>
      </c>
      <c r="C60" s="57" t="s">
        <v>210</v>
      </c>
      <c r="D60" s="58">
        <v>14.24</v>
      </c>
      <c r="E60" s="58">
        <v>2084.79</v>
      </c>
      <c r="F60" s="58">
        <v>4512455.0</v>
      </c>
      <c r="G60" s="57" t="s">
        <v>347</v>
      </c>
      <c r="H60" s="57" t="s">
        <v>348</v>
      </c>
      <c r="I60" s="57"/>
      <c r="J60" s="57"/>
      <c r="K60" s="57"/>
      <c r="L60" s="57"/>
      <c r="M60" s="57"/>
      <c r="N60" s="57"/>
      <c r="O60" s="57"/>
      <c r="P60" s="57"/>
      <c r="Q60" s="57"/>
      <c r="R60" s="57"/>
      <c r="S60" s="57"/>
      <c r="T60" s="57"/>
      <c r="U60" s="57"/>
      <c r="V60" s="57"/>
      <c r="W60" s="57"/>
      <c r="X60" s="57"/>
      <c r="Y60" s="57"/>
      <c r="Z60" s="57"/>
    </row>
    <row r="61">
      <c r="A61" s="58">
        <v>9932957.0</v>
      </c>
      <c r="B61" s="57" t="s">
        <v>344</v>
      </c>
      <c r="C61" s="57" t="s">
        <v>210</v>
      </c>
      <c r="D61" s="58">
        <v>11.54</v>
      </c>
      <c r="E61" s="58">
        <v>2073.25</v>
      </c>
      <c r="F61" s="58">
        <v>4506570.0</v>
      </c>
      <c r="G61" s="57" t="s">
        <v>349</v>
      </c>
      <c r="H61" s="57" t="s">
        <v>350</v>
      </c>
      <c r="I61" s="57"/>
      <c r="J61" s="57"/>
      <c r="K61" s="57"/>
      <c r="L61" s="57"/>
      <c r="M61" s="57"/>
      <c r="N61" s="57"/>
      <c r="O61" s="57"/>
      <c r="P61" s="57"/>
      <c r="Q61" s="57"/>
      <c r="R61" s="57"/>
      <c r="S61" s="57"/>
      <c r="T61" s="57"/>
      <c r="U61" s="57"/>
      <c r="V61" s="57"/>
      <c r="W61" s="57"/>
      <c r="X61" s="57"/>
      <c r="Y61" s="57"/>
      <c r="Z61" s="57"/>
    </row>
    <row r="62">
      <c r="A62" s="58">
        <v>9932718.0</v>
      </c>
      <c r="B62" s="57" t="s">
        <v>344</v>
      </c>
      <c r="C62" s="57" t="s">
        <v>210</v>
      </c>
      <c r="D62" s="58">
        <v>14.24</v>
      </c>
      <c r="E62" s="58">
        <v>2059.01</v>
      </c>
      <c r="F62" s="58">
        <v>4497583.0</v>
      </c>
      <c r="G62" s="57" t="s">
        <v>351</v>
      </c>
      <c r="H62" s="57" t="s">
        <v>352</v>
      </c>
      <c r="I62" s="57"/>
      <c r="J62" s="57"/>
      <c r="K62" s="57"/>
      <c r="L62" s="57"/>
      <c r="M62" s="57"/>
      <c r="N62" s="57"/>
      <c r="O62" s="57"/>
      <c r="P62" s="57"/>
      <c r="Q62" s="57"/>
      <c r="R62" s="57"/>
      <c r="S62" s="57"/>
      <c r="T62" s="57"/>
      <c r="U62" s="57"/>
      <c r="V62" s="57"/>
      <c r="W62" s="57"/>
      <c r="X62" s="57"/>
      <c r="Y62" s="57"/>
      <c r="Z62" s="57"/>
    </row>
    <row r="63">
      <c r="A63" s="58">
        <v>9932638.0</v>
      </c>
      <c r="B63" s="57" t="s">
        <v>344</v>
      </c>
      <c r="C63" s="57" t="s">
        <v>210</v>
      </c>
      <c r="D63" s="58">
        <v>15.36</v>
      </c>
      <c r="E63" s="58">
        <v>2043.65</v>
      </c>
      <c r="F63" s="58">
        <v>4493094.0</v>
      </c>
      <c r="G63" s="57" t="s">
        <v>353</v>
      </c>
      <c r="H63" s="57" t="s">
        <v>354</v>
      </c>
      <c r="I63" s="57"/>
      <c r="J63" s="57"/>
      <c r="K63" s="57"/>
      <c r="L63" s="57"/>
      <c r="M63" s="57"/>
      <c r="N63" s="57"/>
      <c r="O63" s="57"/>
      <c r="P63" s="57"/>
      <c r="Q63" s="57"/>
      <c r="R63" s="57"/>
      <c r="S63" s="57"/>
      <c r="T63" s="57"/>
      <c r="U63" s="57"/>
      <c r="V63" s="57"/>
      <c r="W63" s="57"/>
      <c r="X63" s="57"/>
      <c r="Y63" s="57"/>
      <c r="Z63" s="57"/>
    </row>
    <row r="64">
      <c r="A64" s="58">
        <v>9932471.0</v>
      </c>
      <c r="B64" s="57" t="s">
        <v>344</v>
      </c>
      <c r="C64" s="57" t="s">
        <v>210</v>
      </c>
      <c r="D64" s="58">
        <v>16.64</v>
      </c>
      <c r="E64" s="58">
        <v>2027.01</v>
      </c>
      <c r="F64" s="58">
        <v>4482226.0</v>
      </c>
      <c r="G64" s="57" t="s">
        <v>355</v>
      </c>
      <c r="H64" s="57" t="s">
        <v>356</v>
      </c>
      <c r="I64" s="57"/>
      <c r="J64" s="57"/>
      <c r="K64" s="57"/>
      <c r="L64" s="57"/>
      <c r="M64" s="57"/>
      <c r="N64" s="57"/>
      <c r="O64" s="57"/>
      <c r="P64" s="57"/>
      <c r="Q64" s="57"/>
      <c r="R64" s="57"/>
      <c r="S64" s="57"/>
      <c r="T64" s="57"/>
      <c r="U64" s="57"/>
      <c r="V64" s="57"/>
      <c r="W64" s="57"/>
      <c r="X64" s="57"/>
      <c r="Y64" s="57"/>
      <c r="Z64" s="57"/>
    </row>
    <row r="65">
      <c r="A65" s="58">
        <v>9930815.0</v>
      </c>
      <c r="B65" s="57" t="s">
        <v>357</v>
      </c>
      <c r="C65" s="57" t="s">
        <v>247</v>
      </c>
      <c r="D65" s="58">
        <v>7.01</v>
      </c>
      <c r="E65" s="58">
        <v>2034.02</v>
      </c>
      <c r="F65" s="58">
        <v>4442399.0</v>
      </c>
      <c r="G65" s="57" t="s">
        <v>358</v>
      </c>
      <c r="H65" s="57" t="s">
        <v>359</v>
      </c>
      <c r="I65" s="57"/>
      <c r="J65" s="57"/>
      <c r="K65" s="57"/>
      <c r="L65" s="57"/>
      <c r="M65" s="57"/>
      <c r="N65" s="57"/>
      <c r="O65" s="57"/>
      <c r="P65" s="57"/>
      <c r="Q65" s="57"/>
      <c r="R65" s="57"/>
      <c r="S65" s="57"/>
      <c r="T65" s="57"/>
      <c r="U65" s="57"/>
      <c r="V65" s="57"/>
      <c r="W65" s="57"/>
      <c r="X65" s="57"/>
      <c r="Y65" s="57"/>
      <c r="Z65" s="57"/>
    </row>
    <row r="66">
      <c r="A66" s="58">
        <v>9930355.0</v>
      </c>
      <c r="B66" s="57" t="s">
        <v>360</v>
      </c>
      <c r="C66" s="57" t="s">
        <v>247</v>
      </c>
      <c r="D66" s="58">
        <v>300.0</v>
      </c>
      <c r="E66" s="58">
        <v>2334.02</v>
      </c>
      <c r="F66" s="57"/>
      <c r="G66" s="57"/>
      <c r="H66" s="57" t="s">
        <v>361</v>
      </c>
      <c r="I66" s="57"/>
      <c r="J66" s="57" t="s">
        <v>362</v>
      </c>
      <c r="K66" s="57"/>
      <c r="L66" s="57"/>
      <c r="M66" s="57"/>
      <c r="N66" s="57"/>
      <c r="O66" s="57"/>
      <c r="P66" s="57"/>
      <c r="Q66" s="57"/>
      <c r="R66" s="57"/>
      <c r="S66" s="57"/>
      <c r="T66" s="57"/>
      <c r="U66" s="57"/>
      <c r="V66" s="57"/>
      <c r="W66" s="57"/>
      <c r="X66" s="57"/>
      <c r="Y66" s="57"/>
      <c r="Z66" s="57"/>
    </row>
    <row r="67">
      <c r="A67" s="58">
        <v>9929377.0</v>
      </c>
      <c r="B67" s="57" t="s">
        <v>363</v>
      </c>
      <c r="C67" s="57" t="s">
        <v>247</v>
      </c>
      <c r="D67" s="58">
        <v>3.46</v>
      </c>
      <c r="E67" s="58">
        <v>2337.48</v>
      </c>
      <c r="F67" s="58">
        <v>4484051.0</v>
      </c>
      <c r="G67" s="57" t="s">
        <v>364</v>
      </c>
      <c r="H67" s="57" t="s">
        <v>365</v>
      </c>
      <c r="I67" s="57"/>
      <c r="J67" s="57"/>
      <c r="K67" s="57"/>
      <c r="L67" s="57"/>
      <c r="M67" s="57"/>
      <c r="N67" s="57"/>
      <c r="O67" s="57"/>
      <c r="P67" s="57"/>
      <c r="Q67" s="57"/>
      <c r="R67" s="57"/>
      <c r="S67" s="57"/>
      <c r="T67" s="57"/>
      <c r="U67" s="57"/>
      <c r="V67" s="57"/>
      <c r="W67" s="57"/>
      <c r="X67" s="57"/>
      <c r="Y67" s="57"/>
      <c r="Z67" s="57"/>
    </row>
    <row r="68">
      <c r="A68" s="58">
        <v>9929376.0</v>
      </c>
      <c r="B68" s="57" t="s">
        <v>363</v>
      </c>
      <c r="C68" s="57" t="s">
        <v>247</v>
      </c>
      <c r="D68" s="58">
        <v>3.51</v>
      </c>
      <c r="E68" s="58">
        <v>2340.99</v>
      </c>
      <c r="F68" s="58">
        <v>4486712.0</v>
      </c>
      <c r="G68" s="57" t="s">
        <v>366</v>
      </c>
      <c r="H68" s="57" t="s">
        <v>367</v>
      </c>
      <c r="I68" s="57"/>
      <c r="J68" s="57"/>
      <c r="K68" s="57"/>
      <c r="L68" s="57"/>
      <c r="M68" s="57"/>
      <c r="N68" s="57"/>
      <c r="O68" s="57"/>
      <c r="P68" s="57"/>
      <c r="Q68" s="57"/>
      <c r="R68" s="57"/>
      <c r="S68" s="57"/>
      <c r="T68" s="57"/>
      <c r="U68" s="57"/>
      <c r="V68" s="57"/>
      <c r="W68" s="57"/>
      <c r="X68" s="57"/>
      <c r="Y68" s="57"/>
      <c r="Z68" s="57"/>
    </row>
    <row r="69">
      <c r="A69" s="58">
        <v>9929375.0</v>
      </c>
      <c r="B69" s="57" t="s">
        <v>363</v>
      </c>
      <c r="C69" s="57" t="s">
        <v>247</v>
      </c>
      <c r="D69" s="58">
        <v>3.46</v>
      </c>
      <c r="E69" s="58">
        <v>2344.45</v>
      </c>
      <c r="F69" s="58">
        <v>4487546.0</v>
      </c>
      <c r="G69" s="57" t="s">
        <v>368</v>
      </c>
      <c r="H69" s="57" t="s">
        <v>369</v>
      </c>
      <c r="I69" s="57"/>
      <c r="J69" s="57"/>
      <c r="K69" s="57"/>
      <c r="L69" s="57"/>
      <c r="M69" s="57"/>
      <c r="N69" s="57"/>
      <c r="O69" s="57"/>
      <c r="P69" s="57"/>
      <c r="Q69" s="57"/>
      <c r="R69" s="57"/>
      <c r="S69" s="57"/>
      <c r="T69" s="57"/>
      <c r="U69" s="57"/>
      <c r="V69" s="57"/>
      <c r="W69" s="57"/>
      <c r="X69" s="57"/>
      <c r="Y69" s="57"/>
      <c r="Z69" s="57"/>
    </row>
    <row r="70">
      <c r="A70" s="58">
        <v>9925406.0</v>
      </c>
      <c r="B70" s="57" t="s">
        <v>370</v>
      </c>
      <c r="C70" s="57" t="s">
        <v>210</v>
      </c>
      <c r="D70" s="58">
        <v>16.68</v>
      </c>
      <c r="E70" s="58">
        <v>2327.77</v>
      </c>
      <c r="F70" s="58">
        <v>4596610.0</v>
      </c>
      <c r="G70" s="58">
        <v>1.8657385E8</v>
      </c>
      <c r="H70" s="57" t="s">
        <v>371</v>
      </c>
      <c r="I70" s="57"/>
      <c r="J70" s="57"/>
      <c r="K70" s="57"/>
      <c r="L70" s="57"/>
      <c r="M70" s="57"/>
      <c r="N70" s="57"/>
      <c r="O70" s="57"/>
      <c r="P70" s="57"/>
      <c r="Q70" s="57"/>
      <c r="R70" s="57"/>
      <c r="S70" s="57"/>
      <c r="T70" s="57"/>
      <c r="U70" s="57"/>
      <c r="V70" s="57"/>
      <c r="W70" s="57"/>
      <c r="X70" s="57"/>
      <c r="Y70" s="57"/>
      <c r="Z70" s="57"/>
    </row>
    <row r="71">
      <c r="A71" s="58">
        <v>9910319.0</v>
      </c>
      <c r="B71" s="57" t="s">
        <v>372</v>
      </c>
      <c r="C71" s="57" t="s">
        <v>210</v>
      </c>
      <c r="D71" s="58">
        <v>16.64</v>
      </c>
      <c r="E71" s="58">
        <v>2311.13</v>
      </c>
      <c r="F71" s="58">
        <v>4562311.0</v>
      </c>
      <c r="G71" s="57" t="s">
        <v>373</v>
      </c>
      <c r="H71" s="57" t="s">
        <v>374</v>
      </c>
      <c r="I71" s="57"/>
      <c r="J71" s="57"/>
      <c r="K71" s="57"/>
      <c r="L71" s="57"/>
      <c r="M71" s="57"/>
      <c r="N71" s="57"/>
      <c r="O71" s="57"/>
      <c r="P71" s="57"/>
      <c r="Q71" s="57"/>
      <c r="R71" s="57"/>
      <c r="S71" s="57"/>
      <c r="T71" s="57"/>
      <c r="U71" s="57"/>
      <c r="V71" s="57"/>
      <c r="W71" s="57"/>
      <c r="X71" s="57"/>
      <c r="Y71" s="57"/>
      <c r="Z71" s="57"/>
    </row>
    <row r="72">
      <c r="A72" s="58">
        <v>9909119.0</v>
      </c>
      <c r="B72" s="57" t="s">
        <v>372</v>
      </c>
      <c r="C72" s="57" t="s">
        <v>210</v>
      </c>
      <c r="D72" s="58">
        <v>11.84</v>
      </c>
      <c r="E72" s="58">
        <v>2299.29</v>
      </c>
      <c r="F72" s="58">
        <v>4558764.0</v>
      </c>
      <c r="G72" s="57" t="s">
        <v>375</v>
      </c>
      <c r="H72" s="57" t="s">
        <v>376</v>
      </c>
      <c r="I72" s="57"/>
      <c r="J72" s="57"/>
      <c r="K72" s="57"/>
      <c r="L72" s="57"/>
      <c r="M72" s="57"/>
      <c r="N72" s="57"/>
      <c r="O72" s="57"/>
      <c r="P72" s="57"/>
      <c r="Q72" s="57"/>
      <c r="R72" s="57"/>
      <c r="S72" s="57"/>
      <c r="T72" s="57"/>
      <c r="U72" s="57"/>
      <c r="V72" s="57"/>
      <c r="W72" s="57"/>
      <c r="X72" s="57"/>
      <c r="Y72" s="57"/>
      <c r="Z72" s="57"/>
    </row>
    <row r="73">
      <c r="A73" s="58">
        <v>9907794.0</v>
      </c>
      <c r="B73" s="57" t="s">
        <v>372</v>
      </c>
      <c r="C73" s="57" t="s">
        <v>210</v>
      </c>
      <c r="D73" s="58">
        <v>11.84</v>
      </c>
      <c r="E73" s="58">
        <v>2287.45</v>
      </c>
      <c r="F73" s="58">
        <v>4554820.0</v>
      </c>
      <c r="G73" s="57" t="s">
        <v>377</v>
      </c>
      <c r="H73" s="57" t="s">
        <v>378</v>
      </c>
      <c r="I73" s="57"/>
      <c r="J73" s="57"/>
      <c r="K73" s="57"/>
      <c r="L73" s="57"/>
      <c r="M73" s="57"/>
      <c r="N73" s="57"/>
      <c r="O73" s="57"/>
      <c r="P73" s="57"/>
      <c r="Q73" s="57"/>
      <c r="R73" s="57"/>
      <c r="S73" s="57"/>
      <c r="T73" s="57"/>
      <c r="U73" s="57"/>
      <c r="V73" s="57"/>
      <c r="W73" s="57"/>
      <c r="X73" s="57"/>
      <c r="Y73" s="57"/>
      <c r="Z73" s="57"/>
    </row>
    <row r="74">
      <c r="A74" s="58">
        <v>9901998.0</v>
      </c>
      <c r="B74" s="57" t="s">
        <v>379</v>
      </c>
      <c r="C74" s="57" t="s">
        <v>210</v>
      </c>
      <c r="D74" s="58">
        <v>11.84</v>
      </c>
      <c r="E74" s="58">
        <v>2275.61</v>
      </c>
      <c r="F74" s="58">
        <v>4523600.0</v>
      </c>
      <c r="G74" s="57" t="s">
        <v>380</v>
      </c>
      <c r="H74" s="57" t="s">
        <v>381</v>
      </c>
      <c r="I74" s="57"/>
      <c r="J74" s="57"/>
      <c r="K74" s="57"/>
      <c r="L74" s="57"/>
      <c r="M74" s="57"/>
      <c r="N74" s="57"/>
      <c r="O74" s="57"/>
      <c r="P74" s="57"/>
      <c r="Q74" s="57"/>
      <c r="R74" s="57"/>
      <c r="S74" s="57"/>
      <c r="T74" s="57"/>
      <c r="U74" s="57"/>
      <c r="V74" s="57"/>
      <c r="W74" s="57"/>
      <c r="X74" s="57"/>
      <c r="Y74" s="57"/>
      <c r="Z74" s="57"/>
    </row>
    <row r="75">
      <c r="A75" s="58">
        <v>9900012.0</v>
      </c>
      <c r="B75" s="57" t="s">
        <v>382</v>
      </c>
      <c r="C75" s="57" t="s">
        <v>210</v>
      </c>
      <c r="D75" s="58">
        <v>14.24</v>
      </c>
      <c r="E75" s="58">
        <v>2261.37</v>
      </c>
      <c r="F75" s="58">
        <v>4507155.0</v>
      </c>
      <c r="G75" s="57" t="s">
        <v>383</v>
      </c>
      <c r="H75" s="57" t="s">
        <v>384</v>
      </c>
      <c r="I75" s="57"/>
      <c r="J75" s="57"/>
      <c r="K75" s="57"/>
      <c r="L75" s="57"/>
      <c r="M75" s="57"/>
      <c r="N75" s="57"/>
      <c r="O75" s="57"/>
      <c r="P75" s="57"/>
      <c r="Q75" s="57"/>
      <c r="R75" s="57"/>
      <c r="S75" s="57"/>
      <c r="T75" s="57"/>
      <c r="U75" s="57"/>
      <c r="V75" s="57"/>
      <c r="W75" s="57"/>
      <c r="X75" s="57"/>
      <c r="Y75" s="57"/>
      <c r="Z75" s="57"/>
    </row>
    <row r="76">
      <c r="A76" s="58">
        <v>9899722.0</v>
      </c>
      <c r="B76" s="57" t="s">
        <v>382</v>
      </c>
      <c r="C76" s="57" t="s">
        <v>210</v>
      </c>
      <c r="D76" s="58">
        <v>10.39</v>
      </c>
      <c r="E76" s="58">
        <v>2250.98</v>
      </c>
      <c r="F76" s="58">
        <v>4503806.0</v>
      </c>
      <c r="G76" s="57" t="s">
        <v>385</v>
      </c>
      <c r="H76" s="57" t="s">
        <v>386</v>
      </c>
      <c r="I76" s="57"/>
      <c r="J76" s="57"/>
      <c r="K76" s="57"/>
      <c r="L76" s="57"/>
      <c r="M76" s="57"/>
      <c r="N76" s="57"/>
      <c r="O76" s="57"/>
      <c r="P76" s="57"/>
      <c r="Q76" s="57"/>
      <c r="R76" s="57"/>
      <c r="S76" s="57"/>
      <c r="T76" s="57"/>
      <c r="U76" s="57"/>
      <c r="V76" s="57"/>
      <c r="W76" s="57"/>
      <c r="X76" s="57"/>
      <c r="Y76" s="57"/>
      <c r="Z76" s="57"/>
    </row>
    <row r="77">
      <c r="A77" s="58">
        <v>9899671.0</v>
      </c>
      <c r="B77" s="57" t="s">
        <v>382</v>
      </c>
      <c r="C77" s="57" t="s">
        <v>210</v>
      </c>
      <c r="D77" s="58">
        <v>16.64</v>
      </c>
      <c r="E77" s="58">
        <v>2234.34</v>
      </c>
      <c r="F77" s="58">
        <v>4503257.0</v>
      </c>
      <c r="G77" s="57" t="s">
        <v>387</v>
      </c>
      <c r="H77" s="57" t="s">
        <v>388</v>
      </c>
      <c r="I77" s="57"/>
      <c r="J77" s="57"/>
      <c r="K77" s="57"/>
      <c r="L77" s="57"/>
      <c r="M77" s="57"/>
      <c r="N77" s="57"/>
      <c r="O77" s="57"/>
      <c r="P77" s="57"/>
      <c r="Q77" s="57"/>
      <c r="R77" s="57"/>
      <c r="S77" s="57"/>
      <c r="T77" s="57"/>
      <c r="U77" s="57"/>
      <c r="V77" s="57"/>
      <c r="W77" s="57"/>
      <c r="X77" s="57"/>
      <c r="Y77" s="57"/>
      <c r="Z77" s="57"/>
    </row>
    <row r="78">
      <c r="A78" s="58">
        <v>9898153.0</v>
      </c>
      <c r="B78" s="57" t="s">
        <v>382</v>
      </c>
      <c r="C78" s="57" t="s">
        <v>210</v>
      </c>
      <c r="D78" s="58">
        <v>12.57</v>
      </c>
      <c r="E78" s="58">
        <v>2221.77</v>
      </c>
      <c r="F78" s="58">
        <v>4442348.0</v>
      </c>
      <c r="G78" s="57" t="s">
        <v>389</v>
      </c>
      <c r="H78" s="57" t="s">
        <v>390</v>
      </c>
      <c r="I78" s="57"/>
      <c r="J78" s="57"/>
      <c r="K78" s="57"/>
      <c r="L78" s="57"/>
      <c r="M78" s="57"/>
      <c r="N78" s="57"/>
      <c r="O78" s="57"/>
      <c r="P78" s="57"/>
      <c r="Q78" s="57"/>
      <c r="R78" s="57"/>
      <c r="S78" s="57"/>
      <c r="T78" s="57"/>
      <c r="U78" s="57"/>
      <c r="V78" s="57"/>
      <c r="W78" s="57"/>
      <c r="X78" s="57"/>
      <c r="Y78" s="57"/>
      <c r="Z78" s="57"/>
    </row>
    <row r="79">
      <c r="A79" s="58">
        <v>9896564.0</v>
      </c>
      <c r="B79" s="57" t="s">
        <v>391</v>
      </c>
      <c r="C79" s="57" t="s">
        <v>247</v>
      </c>
      <c r="D79" s="58">
        <v>6.9</v>
      </c>
      <c r="E79" s="58">
        <v>2228.67</v>
      </c>
      <c r="F79" s="58">
        <v>4442323.0</v>
      </c>
      <c r="G79" s="57" t="s">
        <v>392</v>
      </c>
      <c r="H79" s="57" t="s">
        <v>393</v>
      </c>
      <c r="I79" s="57"/>
      <c r="J79" s="57"/>
      <c r="K79" s="57"/>
      <c r="L79" s="57"/>
      <c r="M79" s="57"/>
      <c r="N79" s="57"/>
      <c r="O79" s="57"/>
      <c r="P79" s="57"/>
      <c r="Q79" s="57"/>
      <c r="R79" s="57"/>
      <c r="S79" s="57"/>
      <c r="T79" s="57"/>
      <c r="U79" s="57"/>
      <c r="V79" s="57"/>
      <c r="W79" s="57"/>
      <c r="X79" s="57"/>
      <c r="Y79" s="57"/>
      <c r="Z79" s="57"/>
    </row>
    <row r="80">
      <c r="A80" s="58">
        <v>9894780.0</v>
      </c>
      <c r="B80" s="57" t="s">
        <v>394</v>
      </c>
      <c r="C80" s="57" t="s">
        <v>247</v>
      </c>
      <c r="D80" s="58">
        <v>4.54</v>
      </c>
      <c r="E80" s="58">
        <v>2233.21</v>
      </c>
      <c r="F80" s="58">
        <v>4486574.0</v>
      </c>
      <c r="G80" s="57" t="s">
        <v>395</v>
      </c>
      <c r="H80" s="57" t="s">
        <v>396</v>
      </c>
      <c r="I80" s="57"/>
      <c r="J80" s="57"/>
      <c r="K80" s="57"/>
      <c r="L80" s="57"/>
      <c r="M80" s="57"/>
      <c r="N80" s="57"/>
      <c r="O80" s="57"/>
      <c r="P80" s="57"/>
      <c r="Q80" s="57"/>
      <c r="R80" s="57"/>
      <c r="S80" s="57"/>
      <c r="T80" s="57"/>
      <c r="U80" s="57"/>
      <c r="V80" s="57"/>
      <c r="W80" s="57"/>
      <c r="X80" s="57"/>
      <c r="Y80" s="57"/>
      <c r="Z80" s="57"/>
    </row>
    <row r="81">
      <c r="A81" s="58">
        <v>9894048.0</v>
      </c>
      <c r="B81" s="57" t="s">
        <v>397</v>
      </c>
      <c r="C81" s="57" t="s">
        <v>247</v>
      </c>
      <c r="D81" s="58">
        <v>5.13</v>
      </c>
      <c r="E81" s="58">
        <v>2238.34</v>
      </c>
      <c r="F81" s="58">
        <v>4442366.0</v>
      </c>
      <c r="G81" s="57" t="s">
        <v>398</v>
      </c>
      <c r="H81" s="57" t="s">
        <v>399</v>
      </c>
      <c r="I81" s="57"/>
      <c r="J81" s="57"/>
      <c r="K81" s="57"/>
      <c r="L81" s="57"/>
      <c r="M81" s="57"/>
      <c r="N81" s="57"/>
      <c r="O81" s="57"/>
      <c r="P81" s="57"/>
      <c r="Q81" s="57"/>
      <c r="R81" s="57"/>
      <c r="S81" s="57"/>
      <c r="T81" s="57"/>
      <c r="U81" s="57"/>
      <c r="V81" s="57"/>
      <c r="W81" s="57"/>
      <c r="X81" s="57"/>
      <c r="Y81" s="57"/>
      <c r="Z81" s="57"/>
    </row>
    <row r="82">
      <c r="A82" s="58">
        <v>9893923.0</v>
      </c>
      <c r="B82" s="57" t="s">
        <v>397</v>
      </c>
      <c r="C82" s="57" t="s">
        <v>247</v>
      </c>
      <c r="D82" s="58">
        <v>5.12</v>
      </c>
      <c r="E82" s="58">
        <v>2243.46</v>
      </c>
      <c r="F82" s="58">
        <v>4432079.0</v>
      </c>
      <c r="G82" s="57" t="s">
        <v>400</v>
      </c>
      <c r="H82" s="57" t="s">
        <v>401</v>
      </c>
      <c r="I82" s="57"/>
      <c r="J82" s="57"/>
      <c r="K82" s="57"/>
      <c r="L82" s="57"/>
      <c r="M82" s="57"/>
      <c r="N82" s="57"/>
      <c r="O82" s="57"/>
      <c r="P82" s="57"/>
      <c r="Q82" s="57"/>
      <c r="R82" s="57"/>
      <c r="S82" s="57"/>
      <c r="T82" s="57"/>
      <c r="U82" s="57"/>
      <c r="V82" s="57"/>
      <c r="W82" s="57"/>
      <c r="X82" s="57"/>
      <c r="Y82" s="57"/>
      <c r="Z82" s="57"/>
    </row>
    <row r="83">
      <c r="A83" s="58">
        <v>9882065.0</v>
      </c>
      <c r="B83" s="57" t="s">
        <v>402</v>
      </c>
      <c r="C83" s="57" t="s">
        <v>210</v>
      </c>
      <c r="D83" s="58">
        <v>16.64</v>
      </c>
      <c r="E83" s="58">
        <v>2226.82</v>
      </c>
      <c r="F83" s="58">
        <v>4555047.0</v>
      </c>
      <c r="G83" s="57" t="s">
        <v>403</v>
      </c>
      <c r="H83" s="57" t="s">
        <v>404</v>
      </c>
      <c r="I83" s="57"/>
      <c r="J83" s="57"/>
      <c r="K83" s="57"/>
      <c r="L83" s="57"/>
      <c r="M83" s="57"/>
      <c r="N83" s="57"/>
      <c r="O83" s="57"/>
      <c r="P83" s="57"/>
      <c r="Q83" s="57"/>
      <c r="R83" s="57"/>
      <c r="S83" s="57"/>
      <c r="T83" s="57"/>
      <c r="U83" s="57"/>
      <c r="V83" s="57"/>
      <c r="W83" s="57"/>
      <c r="X83" s="57"/>
      <c r="Y83" s="57"/>
      <c r="Z83" s="57"/>
    </row>
    <row r="84">
      <c r="A84" s="58">
        <v>9878164.0</v>
      </c>
      <c r="B84" s="57" t="s">
        <v>405</v>
      </c>
      <c r="C84" s="57" t="s">
        <v>210</v>
      </c>
      <c r="D84" s="58">
        <v>8.24</v>
      </c>
      <c r="E84" s="58">
        <v>2218.58</v>
      </c>
      <c r="F84" s="58">
        <v>4546452.0</v>
      </c>
      <c r="G84" s="58">
        <v>1.86796403E8</v>
      </c>
      <c r="H84" s="57" t="s">
        <v>406</v>
      </c>
      <c r="I84" s="57"/>
      <c r="J84" s="57"/>
      <c r="K84" s="57"/>
      <c r="L84" s="57"/>
      <c r="M84" s="57"/>
      <c r="N84" s="57"/>
      <c r="O84" s="57"/>
      <c r="P84" s="57"/>
      <c r="Q84" s="57"/>
      <c r="R84" s="57"/>
      <c r="S84" s="57"/>
      <c r="T84" s="57"/>
      <c r="U84" s="57"/>
      <c r="V84" s="57"/>
      <c r="W84" s="57"/>
      <c r="X84" s="57"/>
      <c r="Y84" s="57"/>
      <c r="Z84" s="57"/>
    </row>
    <row r="85">
      <c r="A85" s="58">
        <v>9872155.0</v>
      </c>
      <c r="B85" s="57" t="s">
        <v>407</v>
      </c>
      <c r="C85" s="57" t="s">
        <v>210</v>
      </c>
      <c r="D85" s="58">
        <v>10.27</v>
      </c>
      <c r="E85" s="58">
        <v>2208.31</v>
      </c>
      <c r="F85" s="58">
        <v>4523574.0</v>
      </c>
      <c r="G85" s="57" t="s">
        <v>408</v>
      </c>
      <c r="H85" s="57" t="s">
        <v>409</v>
      </c>
      <c r="I85" s="57"/>
      <c r="J85" s="57"/>
      <c r="K85" s="57"/>
      <c r="L85" s="57"/>
      <c r="M85" s="57"/>
      <c r="N85" s="57"/>
      <c r="O85" s="57"/>
      <c r="P85" s="57"/>
      <c r="Q85" s="57"/>
      <c r="R85" s="57"/>
      <c r="S85" s="57"/>
      <c r="T85" s="57"/>
      <c r="U85" s="57"/>
      <c r="V85" s="57"/>
      <c r="W85" s="57"/>
      <c r="X85" s="57"/>
      <c r="Y85" s="57"/>
      <c r="Z85" s="57"/>
    </row>
    <row r="86">
      <c r="A86" s="58">
        <v>9872103.0</v>
      </c>
      <c r="B86" s="57" t="s">
        <v>407</v>
      </c>
      <c r="C86" s="57" t="s">
        <v>210</v>
      </c>
      <c r="D86" s="58">
        <v>10.27</v>
      </c>
      <c r="E86" s="58">
        <v>2198.04</v>
      </c>
      <c r="F86" s="58">
        <v>4523351.0</v>
      </c>
      <c r="G86" s="57" t="s">
        <v>410</v>
      </c>
      <c r="H86" s="57" t="s">
        <v>411</v>
      </c>
      <c r="I86" s="57"/>
      <c r="J86" s="57"/>
      <c r="K86" s="57"/>
      <c r="L86" s="57"/>
      <c r="M86" s="57"/>
      <c r="N86" s="57"/>
      <c r="O86" s="57"/>
      <c r="P86" s="57"/>
      <c r="Q86" s="57"/>
      <c r="R86" s="57"/>
      <c r="S86" s="57"/>
      <c r="T86" s="57"/>
      <c r="U86" s="57"/>
      <c r="V86" s="57"/>
      <c r="W86" s="57"/>
      <c r="X86" s="57"/>
      <c r="Y86" s="57"/>
      <c r="Z86" s="57"/>
    </row>
    <row r="87">
      <c r="A87" s="58">
        <v>9872094.0</v>
      </c>
      <c r="B87" s="57" t="s">
        <v>407</v>
      </c>
      <c r="C87" s="57" t="s">
        <v>210</v>
      </c>
      <c r="D87" s="58">
        <v>14.24</v>
      </c>
      <c r="E87" s="58">
        <v>2183.8</v>
      </c>
      <c r="F87" s="58">
        <v>4523329.0</v>
      </c>
      <c r="G87" s="57" t="s">
        <v>412</v>
      </c>
      <c r="H87" s="57" t="s">
        <v>413</v>
      </c>
      <c r="I87" s="57"/>
      <c r="J87" s="57"/>
      <c r="K87" s="57"/>
      <c r="L87" s="57"/>
      <c r="M87" s="57"/>
      <c r="N87" s="57"/>
      <c r="O87" s="57"/>
      <c r="P87" s="57"/>
      <c r="Q87" s="57"/>
      <c r="R87" s="57"/>
      <c r="S87" s="57"/>
      <c r="T87" s="57"/>
      <c r="U87" s="57"/>
      <c r="V87" s="57"/>
      <c r="W87" s="57"/>
      <c r="X87" s="57"/>
      <c r="Y87" s="57"/>
      <c r="Z87" s="57"/>
    </row>
    <row r="88">
      <c r="A88" s="58">
        <v>9871713.0</v>
      </c>
      <c r="B88" s="57" t="s">
        <v>407</v>
      </c>
      <c r="C88" s="57" t="s">
        <v>210</v>
      </c>
      <c r="D88" s="58">
        <v>11.84</v>
      </c>
      <c r="E88" s="58">
        <v>2171.96</v>
      </c>
      <c r="F88" s="58">
        <v>4521284.0</v>
      </c>
      <c r="G88" s="57" t="s">
        <v>414</v>
      </c>
      <c r="H88" s="57" t="s">
        <v>415</v>
      </c>
      <c r="I88" s="57"/>
      <c r="J88" s="57"/>
      <c r="K88" s="57"/>
      <c r="L88" s="57"/>
      <c r="M88" s="57"/>
      <c r="N88" s="57"/>
      <c r="O88" s="57"/>
      <c r="P88" s="57"/>
      <c r="Q88" s="57"/>
      <c r="R88" s="57"/>
      <c r="S88" s="57"/>
      <c r="T88" s="57"/>
      <c r="U88" s="57"/>
      <c r="V88" s="57"/>
      <c r="W88" s="57"/>
      <c r="X88" s="57"/>
      <c r="Y88" s="57"/>
      <c r="Z88" s="57"/>
    </row>
    <row r="89">
      <c r="A89" s="58">
        <v>9871697.0</v>
      </c>
      <c r="B89" s="57" t="s">
        <v>407</v>
      </c>
      <c r="C89" s="57" t="s">
        <v>210</v>
      </c>
      <c r="D89" s="58">
        <v>15.32</v>
      </c>
      <c r="E89" s="58">
        <v>2156.64</v>
      </c>
      <c r="F89" s="58">
        <v>4521137.0</v>
      </c>
      <c r="G89" s="57" t="s">
        <v>416</v>
      </c>
      <c r="H89" s="57" t="s">
        <v>417</v>
      </c>
      <c r="I89" s="57"/>
      <c r="J89" s="57"/>
      <c r="K89" s="57"/>
      <c r="L89" s="57"/>
      <c r="M89" s="57"/>
      <c r="N89" s="57"/>
      <c r="O89" s="57"/>
      <c r="P89" s="57"/>
      <c r="Q89" s="57"/>
      <c r="R89" s="57"/>
      <c r="S89" s="57"/>
      <c r="T89" s="57"/>
      <c r="U89" s="57"/>
      <c r="V89" s="57"/>
      <c r="W89" s="57"/>
      <c r="X89" s="57"/>
      <c r="Y89" s="57"/>
      <c r="Z89" s="57"/>
    </row>
    <row r="90">
      <c r="A90" s="58">
        <v>9871378.0</v>
      </c>
      <c r="B90" s="57" t="s">
        <v>418</v>
      </c>
      <c r="C90" s="57" t="s">
        <v>210</v>
      </c>
      <c r="D90" s="58">
        <v>14.24</v>
      </c>
      <c r="E90" s="58">
        <v>2142.4</v>
      </c>
      <c r="F90" s="58">
        <v>4519287.0</v>
      </c>
      <c r="G90" s="57" t="s">
        <v>419</v>
      </c>
      <c r="H90" s="57" t="s">
        <v>420</v>
      </c>
      <c r="I90" s="57"/>
      <c r="J90" s="57"/>
      <c r="K90" s="57"/>
      <c r="L90" s="57"/>
      <c r="M90" s="57"/>
      <c r="N90" s="57"/>
      <c r="O90" s="57"/>
      <c r="P90" s="57"/>
      <c r="Q90" s="57"/>
      <c r="R90" s="57"/>
      <c r="S90" s="57"/>
      <c r="T90" s="57"/>
      <c r="U90" s="57"/>
      <c r="V90" s="57"/>
      <c r="W90" s="57"/>
      <c r="X90" s="57"/>
      <c r="Y90" s="57"/>
      <c r="Z90" s="57"/>
    </row>
    <row r="91">
      <c r="A91" s="58">
        <v>9871244.0</v>
      </c>
      <c r="B91" s="57" t="s">
        <v>418</v>
      </c>
      <c r="C91" s="57" t="s">
        <v>210</v>
      </c>
      <c r="D91" s="58">
        <v>11.84</v>
      </c>
      <c r="E91" s="58">
        <v>2130.56</v>
      </c>
      <c r="F91" s="58">
        <v>4518664.0</v>
      </c>
      <c r="G91" s="57" t="s">
        <v>421</v>
      </c>
      <c r="H91" s="57" t="s">
        <v>422</v>
      </c>
      <c r="I91" s="57"/>
      <c r="J91" s="57"/>
      <c r="K91" s="57"/>
      <c r="L91" s="57"/>
      <c r="M91" s="57"/>
      <c r="N91" s="57"/>
      <c r="O91" s="57"/>
      <c r="P91" s="57"/>
      <c r="Q91" s="57"/>
      <c r="R91" s="57"/>
      <c r="S91" s="57"/>
      <c r="T91" s="57"/>
      <c r="U91" s="57"/>
      <c r="V91" s="57"/>
      <c r="W91" s="57"/>
      <c r="X91" s="57"/>
      <c r="Y91" s="57"/>
      <c r="Z91" s="57"/>
    </row>
    <row r="92">
      <c r="A92" s="58">
        <v>9870416.0</v>
      </c>
      <c r="B92" s="57" t="s">
        <v>418</v>
      </c>
      <c r="C92" s="57" t="s">
        <v>210</v>
      </c>
      <c r="D92" s="58">
        <v>14.98</v>
      </c>
      <c r="E92" s="58">
        <v>2115.58</v>
      </c>
      <c r="F92" s="58">
        <v>4514796.0</v>
      </c>
      <c r="G92" s="58">
        <v>1.86793784E8</v>
      </c>
      <c r="H92" s="57" t="s">
        <v>423</v>
      </c>
      <c r="I92" s="57"/>
      <c r="J92" s="57"/>
      <c r="K92" s="57"/>
      <c r="L92" s="57"/>
      <c r="M92" s="57"/>
      <c r="N92" s="57"/>
      <c r="O92" s="57"/>
      <c r="P92" s="57"/>
      <c r="Q92" s="57"/>
      <c r="R92" s="57"/>
      <c r="S92" s="57"/>
      <c r="T92" s="57"/>
      <c r="U92" s="57"/>
      <c r="V92" s="57"/>
      <c r="W92" s="57"/>
      <c r="X92" s="57"/>
      <c r="Y92" s="57"/>
      <c r="Z92" s="57"/>
    </row>
    <row r="93">
      <c r="A93" s="58">
        <v>9869700.0</v>
      </c>
      <c r="B93" s="57" t="s">
        <v>418</v>
      </c>
      <c r="C93" s="57" t="s">
        <v>210</v>
      </c>
      <c r="D93" s="58">
        <v>16.64</v>
      </c>
      <c r="E93" s="58">
        <v>2098.94</v>
      </c>
      <c r="F93" s="58">
        <v>4510725.0</v>
      </c>
      <c r="G93" s="57" t="s">
        <v>424</v>
      </c>
      <c r="H93" s="57" t="s">
        <v>425</v>
      </c>
      <c r="I93" s="57"/>
      <c r="J93" s="57"/>
      <c r="K93" s="57"/>
      <c r="L93" s="57"/>
      <c r="M93" s="57"/>
      <c r="N93" s="57"/>
      <c r="O93" s="57"/>
      <c r="P93" s="57"/>
      <c r="Q93" s="57"/>
      <c r="R93" s="57"/>
      <c r="S93" s="57"/>
      <c r="T93" s="57"/>
      <c r="U93" s="57"/>
      <c r="V93" s="57"/>
      <c r="W93" s="57"/>
      <c r="X93" s="57"/>
      <c r="Y93" s="57"/>
      <c r="Z93" s="57"/>
    </row>
    <row r="94">
      <c r="A94" s="58">
        <v>9868907.0</v>
      </c>
      <c r="B94" s="57" t="s">
        <v>418</v>
      </c>
      <c r="C94" s="57" t="s">
        <v>210</v>
      </c>
      <c r="D94" s="58">
        <v>14.24</v>
      </c>
      <c r="E94" s="58">
        <v>2084.7</v>
      </c>
      <c r="F94" s="58">
        <v>4506785.0</v>
      </c>
      <c r="G94" s="57" t="s">
        <v>426</v>
      </c>
      <c r="H94" s="57" t="s">
        <v>427</v>
      </c>
      <c r="I94" s="57"/>
      <c r="J94" s="57"/>
      <c r="K94" s="57"/>
      <c r="L94" s="57"/>
      <c r="M94" s="57"/>
      <c r="N94" s="57"/>
      <c r="O94" s="57"/>
      <c r="P94" s="57"/>
      <c r="Q94" s="57"/>
      <c r="R94" s="57"/>
      <c r="S94" s="57"/>
      <c r="T94" s="57"/>
      <c r="U94" s="57"/>
      <c r="V94" s="57"/>
      <c r="W94" s="57"/>
      <c r="X94" s="57"/>
      <c r="Y94" s="57"/>
      <c r="Z94" s="57"/>
    </row>
    <row r="95">
      <c r="A95" s="58">
        <v>9868669.0</v>
      </c>
      <c r="B95" s="57" t="s">
        <v>418</v>
      </c>
      <c r="C95" s="57" t="s">
        <v>210</v>
      </c>
      <c r="D95" s="58">
        <v>10.96</v>
      </c>
      <c r="E95" s="58">
        <v>2073.74</v>
      </c>
      <c r="F95" s="58">
        <v>4505102.0</v>
      </c>
      <c r="G95" s="57" t="s">
        <v>428</v>
      </c>
      <c r="H95" s="57" t="s">
        <v>429</v>
      </c>
      <c r="I95" s="57"/>
      <c r="J95" s="57"/>
      <c r="K95" s="57"/>
      <c r="L95" s="57"/>
      <c r="M95" s="57"/>
      <c r="N95" s="57"/>
      <c r="O95" s="57"/>
      <c r="P95" s="57"/>
      <c r="Q95" s="57"/>
      <c r="R95" s="57"/>
      <c r="S95" s="57"/>
      <c r="T95" s="57"/>
      <c r="U95" s="57"/>
      <c r="V95" s="57"/>
      <c r="W95" s="57"/>
      <c r="X95" s="57"/>
      <c r="Y95" s="57"/>
      <c r="Z95" s="57"/>
    </row>
    <row r="96">
      <c r="A96" s="58">
        <v>9867974.0</v>
      </c>
      <c r="B96" s="57" t="s">
        <v>418</v>
      </c>
      <c r="C96" s="57" t="s">
        <v>210</v>
      </c>
      <c r="D96" s="58">
        <v>11.84</v>
      </c>
      <c r="E96" s="58">
        <v>2061.9</v>
      </c>
      <c r="F96" s="58">
        <v>4500637.0</v>
      </c>
      <c r="G96" s="57" t="s">
        <v>430</v>
      </c>
      <c r="H96" s="57" t="s">
        <v>431</v>
      </c>
      <c r="I96" s="57"/>
      <c r="J96" s="57"/>
      <c r="K96" s="57"/>
      <c r="L96" s="57"/>
      <c r="M96" s="57"/>
      <c r="N96" s="57"/>
      <c r="O96" s="57"/>
      <c r="P96" s="57"/>
      <c r="Q96" s="57"/>
      <c r="R96" s="57"/>
      <c r="S96" s="57"/>
      <c r="T96" s="57"/>
      <c r="U96" s="57"/>
      <c r="V96" s="57"/>
      <c r="W96" s="57"/>
      <c r="X96" s="57"/>
      <c r="Y96" s="57"/>
      <c r="Z96" s="57"/>
    </row>
    <row r="97">
      <c r="A97" s="58">
        <v>9867785.0</v>
      </c>
      <c r="B97" s="57" t="s">
        <v>418</v>
      </c>
      <c r="C97" s="57" t="s">
        <v>210</v>
      </c>
      <c r="D97" s="58">
        <v>12.86</v>
      </c>
      <c r="E97" s="58">
        <v>2049.04</v>
      </c>
      <c r="F97" s="58">
        <v>4498638.0</v>
      </c>
      <c r="G97" s="57" t="s">
        <v>432</v>
      </c>
      <c r="H97" s="57" t="s">
        <v>433</v>
      </c>
      <c r="I97" s="57"/>
      <c r="J97" s="57"/>
      <c r="K97" s="57"/>
      <c r="L97" s="57"/>
      <c r="M97" s="57"/>
      <c r="N97" s="57"/>
      <c r="O97" s="57"/>
      <c r="P97" s="57"/>
      <c r="Q97" s="57"/>
      <c r="R97" s="57"/>
      <c r="S97" s="57"/>
      <c r="T97" s="57"/>
      <c r="U97" s="57"/>
      <c r="V97" s="57"/>
      <c r="W97" s="57"/>
      <c r="X97" s="57"/>
      <c r="Y97" s="57"/>
      <c r="Z97" s="57"/>
    </row>
    <row r="98">
      <c r="A98" s="58">
        <v>9867759.0</v>
      </c>
      <c r="B98" s="57" t="s">
        <v>418</v>
      </c>
      <c r="C98" s="57" t="s">
        <v>210</v>
      </c>
      <c r="D98" s="58">
        <v>16.64</v>
      </c>
      <c r="E98" s="58">
        <v>2032.4</v>
      </c>
      <c r="F98" s="58">
        <v>4498245.0</v>
      </c>
      <c r="G98" s="57" t="s">
        <v>434</v>
      </c>
      <c r="H98" s="57" t="s">
        <v>435</v>
      </c>
      <c r="I98" s="57"/>
      <c r="J98" s="57"/>
      <c r="K98" s="57"/>
      <c r="L98" s="57"/>
      <c r="M98" s="57"/>
      <c r="N98" s="57"/>
      <c r="O98" s="57"/>
      <c r="P98" s="57"/>
      <c r="Q98" s="57"/>
      <c r="R98" s="57"/>
      <c r="S98" s="57"/>
      <c r="T98" s="57"/>
      <c r="U98" s="57"/>
      <c r="V98" s="57"/>
      <c r="W98" s="57"/>
      <c r="X98" s="57"/>
      <c r="Y98" s="57"/>
      <c r="Z98" s="57"/>
    </row>
    <row r="99">
      <c r="A99" s="58">
        <v>9867734.0</v>
      </c>
      <c r="B99" s="57" t="s">
        <v>418</v>
      </c>
      <c r="C99" s="57" t="s">
        <v>210</v>
      </c>
      <c r="D99" s="58">
        <v>11.86</v>
      </c>
      <c r="E99" s="58">
        <v>2020.54</v>
      </c>
      <c r="F99" s="58">
        <v>4498089.0</v>
      </c>
      <c r="G99" s="57" t="s">
        <v>436</v>
      </c>
      <c r="H99" s="57" t="s">
        <v>437</v>
      </c>
      <c r="I99" s="57"/>
      <c r="J99" s="57"/>
      <c r="K99" s="57"/>
      <c r="L99" s="57"/>
      <c r="M99" s="57"/>
      <c r="N99" s="57"/>
      <c r="O99" s="57"/>
      <c r="P99" s="57"/>
      <c r="Q99" s="57"/>
      <c r="R99" s="57"/>
      <c r="S99" s="57"/>
      <c r="T99" s="57"/>
      <c r="U99" s="57"/>
      <c r="V99" s="57"/>
      <c r="W99" s="57"/>
      <c r="X99" s="57"/>
      <c r="Y99" s="57"/>
      <c r="Z99" s="57"/>
    </row>
    <row r="100">
      <c r="A100" s="58">
        <v>9867711.0</v>
      </c>
      <c r="B100" s="57" t="s">
        <v>418</v>
      </c>
      <c r="C100" s="57" t="s">
        <v>210</v>
      </c>
      <c r="D100" s="58">
        <v>13.17</v>
      </c>
      <c r="E100" s="58">
        <v>2007.37</v>
      </c>
      <c r="F100" s="58">
        <v>4497942.0</v>
      </c>
      <c r="G100" s="57" t="s">
        <v>438</v>
      </c>
      <c r="H100" s="57" t="s">
        <v>439</v>
      </c>
      <c r="I100" s="57"/>
      <c r="J100" s="57"/>
      <c r="K100" s="57"/>
      <c r="L100" s="57"/>
      <c r="M100" s="57"/>
      <c r="N100" s="57"/>
      <c r="O100" s="57"/>
      <c r="P100" s="57"/>
      <c r="Q100" s="57"/>
      <c r="R100" s="57"/>
      <c r="S100" s="57"/>
      <c r="T100" s="57"/>
      <c r="U100" s="57"/>
      <c r="V100" s="57"/>
      <c r="W100" s="57"/>
      <c r="X100" s="57"/>
      <c r="Y100" s="57"/>
      <c r="Z100" s="57"/>
    </row>
    <row r="101">
      <c r="A101" s="58">
        <v>9867687.0</v>
      </c>
      <c r="B101" s="57" t="s">
        <v>418</v>
      </c>
      <c r="C101" s="57" t="s">
        <v>210</v>
      </c>
      <c r="D101" s="58">
        <v>10.96</v>
      </c>
      <c r="E101" s="58">
        <v>1996.41</v>
      </c>
      <c r="F101" s="58">
        <v>4497761.0</v>
      </c>
      <c r="G101" s="57" t="s">
        <v>440</v>
      </c>
      <c r="H101" s="57" t="s">
        <v>441</v>
      </c>
      <c r="I101" s="57"/>
      <c r="J101" s="57"/>
      <c r="K101" s="57"/>
      <c r="L101" s="57"/>
      <c r="M101" s="57"/>
      <c r="N101" s="57"/>
      <c r="O101" s="57"/>
      <c r="P101" s="57"/>
      <c r="Q101" s="57"/>
      <c r="R101" s="57"/>
      <c r="S101" s="57"/>
      <c r="T101" s="57"/>
      <c r="U101" s="57"/>
      <c r="V101" s="57"/>
      <c r="W101" s="57"/>
      <c r="X101" s="57"/>
      <c r="Y101" s="57"/>
      <c r="Z101" s="57"/>
    </row>
    <row r="102">
      <c r="A102" s="58">
        <v>9863759.0</v>
      </c>
      <c r="B102" s="57" t="s">
        <v>442</v>
      </c>
      <c r="C102" s="57" t="s">
        <v>247</v>
      </c>
      <c r="D102" s="58">
        <v>6.9</v>
      </c>
      <c r="E102" s="58">
        <v>2003.31</v>
      </c>
      <c r="F102" s="58">
        <v>4432022.0</v>
      </c>
      <c r="G102" s="57" t="s">
        <v>443</v>
      </c>
      <c r="H102" s="57" t="s">
        <v>444</v>
      </c>
      <c r="I102" s="57"/>
      <c r="J102" s="57"/>
      <c r="K102" s="57"/>
      <c r="L102" s="57"/>
      <c r="M102" s="57"/>
      <c r="N102" s="57"/>
      <c r="O102" s="57"/>
      <c r="P102" s="57"/>
      <c r="Q102" s="57"/>
      <c r="R102" s="57"/>
      <c r="S102" s="57"/>
      <c r="T102" s="57"/>
      <c r="U102" s="57"/>
      <c r="V102" s="57"/>
      <c r="W102" s="57"/>
      <c r="X102" s="57"/>
      <c r="Y102" s="57"/>
      <c r="Z102" s="57"/>
    </row>
    <row r="103">
      <c r="A103" s="58">
        <v>9862183.0</v>
      </c>
      <c r="B103" s="57" t="s">
        <v>445</v>
      </c>
      <c r="C103" s="57" t="s">
        <v>247</v>
      </c>
      <c r="D103" s="58">
        <v>4.52</v>
      </c>
      <c r="E103" s="58">
        <v>2007.83</v>
      </c>
      <c r="F103" s="58">
        <v>4442315.0</v>
      </c>
      <c r="G103" s="57" t="s">
        <v>446</v>
      </c>
      <c r="H103" s="57" t="s">
        <v>447</v>
      </c>
      <c r="I103" s="57"/>
      <c r="J103" s="57"/>
      <c r="K103" s="57"/>
      <c r="L103" s="57"/>
      <c r="M103" s="57"/>
      <c r="N103" s="57"/>
      <c r="O103" s="57"/>
      <c r="P103" s="57"/>
      <c r="Q103" s="57"/>
      <c r="R103" s="57"/>
      <c r="S103" s="57"/>
      <c r="T103" s="57"/>
      <c r="U103" s="57"/>
      <c r="V103" s="57"/>
      <c r="W103" s="57"/>
      <c r="X103" s="57"/>
      <c r="Y103" s="57"/>
      <c r="Z103" s="57"/>
    </row>
    <row r="104">
      <c r="A104" s="58">
        <v>9862052.0</v>
      </c>
      <c r="B104" s="57" t="s">
        <v>448</v>
      </c>
      <c r="C104" s="57" t="s">
        <v>247</v>
      </c>
      <c r="D104" s="58">
        <v>5.11</v>
      </c>
      <c r="E104" s="58">
        <v>2012.94</v>
      </c>
      <c r="F104" s="58">
        <v>4442305.0</v>
      </c>
      <c r="G104" s="57" t="s">
        <v>449</v>
      </c>
      <c r="H104" s="57" t="s">
        <v>450</v>
      </c>
      <c r="I104" s="57"/>
      <c r="J104" s="57"/>
      <c r="K104" s="57"/>
      <c r="L104" s="57"/>
      <c r="M104" s="57"/>
      <c r="N104" s="57"/>
      <c r="O104" s="57"/>
      <c r="P104" s="57"/>
      <c r="Q104" s="57"/>
      <c r="R104" s="57"/>
      <c r="S104" s="57"/>
      <c r="T104" s="57"/>
      <c r="U104" s="57"/>
      <c r="V104" s="57"/>
      <c r="W104" s="57"/>
      <c r="X104" s="57"/>
      <c r="Y104" s="57"/>
      <c r="Z104" s="57"/>
    </row>
    <row r="105">
      <c r="A105" s="58">
        <v>9862051.0</v>
      </c>
      <c r="B105" s="57" t="s">
        <v>448</v>
      </c>
      <c r="C105" s="57" t="s">
        <v>247</v>
      </c>
      <c r="D105" s="58">
        <v>5.11</v>
      </c>
      <c r="E105" s="58">
        <v>2018.05</v>
      </c>
      <c r="F105" s="58">
        <v>4451889.0</v>
      </c>
      <c r="G105" s="57" t="s">
        <v>451</v>
      </c>
      <c r="H105" s="57" t="s">
        <v>452</v>
      </c>
      <c r="I105" s="57"/>
      <c r="J105" s="57"/>
      <c r="K105" s="57"/>
      <c r="L105" s="57"/>
      <c r="M105" s="57"/>
      <c r="N105" s="57"/>
      <c r="O105" s="57"/>
      <c r="P105" s="57"/>
      <c r="Q105" s="57"/>
      <c r="R105" s="57"/>
      <c r="S105" s="57"/>
      <c r="T105" s="57"/>
      <c r="U105" s="57"/>
      <c r="V105" s="57"/>
      <c r="W105" s="57"/>
      <c r="X105" s="57"/>
      <c r="Y105" s="57"/>
      <c r="Z105" s="57"/>
    </row>
    <row r="106">
      <c r="A106" s="58">
        <v>9862007.0</v>
      </c>
      <c r="B106" s="57" t="s">
        <v>448</v>
      </c>
      <c r="C106" s="57" t="s">
        <v>247</v>
      </c>
      <c r="D106" s="58">
        <v>5.13</v>
      </c>
      <c r="E106" s="58">
        <v>2023.18</v>
      </c>
      <c r="F106" s="58">
        <v>4431991.0</v>
      </c>
      <c r="G106" s="57" t="s">
        <v>453</v>
      </c>
      <c r="H106" s="57" t="s">
        <v>454</v>
      </c>
      <c r="I106" s="57"/>
      <c r="J106" s="57"/>
      <c r="K106" s="57"/>
      <c r="L106" s="57"/>
      <c r="M106" s="57"/>
      <c r="N106" s="57"/>
      <c r="O106" s="57"/>
      <c r="P106" s="57"/>
      <c r="Q106" s="57"/>
      <c r="R106" s="57"/>
      <c r="S106" s="57"/>
      <c r="T106" s="57"/>
      <c r="U106" s="57"/>
      <c r="V106" s="57"/>
      <c r="W106" s="57"/>
      <c r="X106" s="57"/>
      <c r="Y106" s="57"/>
      <c r="Z106" s="57"/>
    </row>
    <row r="107">
      <c r="A107" s="58">
        <v>9862006.0</v>
      </c>
      <c r="B107" s="57" t="s">
        <v>448</v>
      </c>
      <c r="C107" s="57" t="s">
        <v>247</v>
      </c>
      <c r="D107" s="58">
        <v>5.07</v>
      </c>
      <c r="E107" s="58">
        <v>2028.25</v>
      </c>
      <c r="F107" s="58">
        <v>4432096.0</v>
      </c>
      <c r="G107" s="57" t="s">
        <v>455</v>
      </c>
      <c r="H107" s="57" t="s">
        <v>456</v>
      </c>
      <c r="I107" s="57"/>
      <c r="J107" s="57"/>
      <c r="K107" s="57"/>
      <c r="L107" s="57"/>
      <c r="M107" s="57"/>
      <c r="N107" s="57"/>
      <c r="O107" s="57"/>
      <c r="P107" s="57"/>
      <c r="Q107" s="57"/>
      <c r="R107" s="57"/>
      <c r="S107" s="57"/>
      <c r="T107" s="57"/>
      <c r="U107" s="57"/>
      <c r="V107" s="57"/>
      <c r="W107" s="57"/>
      <c r="X107" s="57"/>
      <c r="Y107" s="57"/>
      <c r="Z107" s="57"/>
    </row>
    <row r="108">
      <c r="A108" s="58">
        <v>9862005.0</v>
      </c>
      <c r="B108" s="57" t="s">
        <v>448</v>
      </c>
      <c r="C108" s="57" t="s">
        <v>247</v>
      </c>
      <c r="D108" s="58">
        <v>5.07</v>
      </c>
      <c r="E108" s="58">
        <v>2033.32</v>
      </c>
      <c r="F108" s="58">
        <v>4442329.0</v>
      </c>
      <c r="G108" s="57" t="s">
        <v>457</v>
      </c>
      <c r="H108" s="57" t="s">
        <v>458</v>
      </c>
      <c r="I108" s="57"/>
      <c r="J108" s="57"/>
      <c r="K108" s="57"/>
      <c r="L108" s="57"/>
      <c r="M108" s="57"/>
      <c r="N108" s="57"/>
      <c r="O108" s="57"/>
      <c r="P108" s="57"/>
      <c r="Q108" s="57"/>
      <c r="R108" s="57"/>
      <c r="S108" s="57"/>
      <c r="T108" s="57"/>
      <c r="U108" s="57"/>
      <c r="V108" s="57"/>
      <c r="W108" s="57"/>
      <c r="X108" s="57"/>
      <c r="Y108" s="57"/>
      <c r="Z108" s="57"/>
    </row>
    <row r="109">
      <c r="A109" s="58">
        <v>9862001.0</v>
      </c>
      <c r="B109" s="57" t="s">
        <v>448</v>
      </c>
      <c r="C109" s="57" t="s">
        <v>247</v>
      </c>
      <c r="D109" s="58">
        <v>5.12</v>
      </c>
      <c r="E109" s="58">
        <v>2038.44</v>
      </c>
      <c r="F109" s="58">
        <v>4457174.0</v>
      </c>
      <c r="G109" s="57" t="s">
        <v>459</v>
      </c>
      <c r="H109" s="57" t="s">
        <v>460</v>
      </c>
      <c r="I109" s="57"/>
      <c r="J109" s="57"/>
      <c r="K109" s="57"/>
      <c r="L109" s="57"/>
      <c r="M109" s="57"/>
      <c r="N109" s="57"/>
      <c r="O109" s="57"/>
      <c r="P109" s="57"/>
      <c r="Q109" s="57"/>
      <c r="R109" s="57"/>
      <c r="S109" s="57"/>
      <c r="T109" s="57"/>
      <c r="U109" s="57"/>
      <c r="V109" s="57"/>
      <c r="W109" s="57"/>
      <c r="X109" s="57"/>
      <c r="Y109" s="57"/>
      <c r="Z109" s="57"/>
    </row>
    <row r="110">
      <c r="A110" s="58">
        <v>9862000.0</v>
      </c>
      <c r="B110" s="57" t="s">
        <v>448</v>
      </c>
      <c r="C110" s="57" t="s">
        <v>247</v>
      </c>
      <c r="D110" s="58">
        <v>5.07</v>
      </c>
      <c r="E110" s="58">
        <v>2043.51</v>
      </c>
      <c r="F110" s="58">
        <v>4458112.0</v>
      </c>
      <c r="G110" s="57" t="s">
        <v>461</v>
      </c>
      <c r="H110" s="57" t="s">
        <v>462</v>
      </c>
      <c r="I110" s="57"/>
      <c r="J110" s="57"/>
      <c r="K110" s="57"/>
      <c r="L110" s="57"/>
      <c r="M110" s="57"/>
      <c r="N110" s="57"/>
      <c r="O110" s="57"/>
      <c r="P110" s="57"/>
      <c r="Q110" s="57"/>
      <c r="R110" s="57"/>
      <c r="S110" s="57"/>
      <c r="T110" s="57"/>
      <c r="U110" s="57"/>
      <c r="V110" s="57"/>
      <c r="W110" s="57"/>
      <c r="X110" s="57"/>
      <c r="Y110" s="57"/>
      <c r="Z110" s="57"/>
    </row>
    <row r="111">
      <c r="A111" s="58">
        <v>9861739.0</v>
      </c>
      <c r="B111" s="57" t="s">
        <v>463</v>
      </c>
      <c r="C111" s="57" t="s">
        <v>247</v>
      </c>
      <c r="D111" s="58">
        <v>5.09</v>
      </c>
      <c r="E111" s="58">
        <v>2048.6</v>
      </c>
      <c r="F111" s="58">
        <v>4432048.0</v>
      </c>
      <c r="G111" s="57" t="s">
        <v>464</v>
      </c>
      <c r="H111" s="57" t="s">
        <v>465</v>
      </c>
      <c r="I111" s="57"/>
      <c r="J111" s="57"/>
      <c r="K111" s="57"/>
      <c r="L111" s="57"/>
      <c r="M111" s="57"/>
      <c r="N111" s="57"/>
      <c r="O111" s="57"/>
      <c r="P111" s="57"/>
      <c r="Q111" s="57"/>
      <c r="R111" s="57"/>
      <c r="S111" s="57"/>
      <c r="T111" s="57"/>
      <c r="U111" s="57"/>
      <c r="V111" s="57"/>
      <c r="W111" s="57"/>
      <c r="X111" s="57"/>
      <c r="Y111" s="57"/>
      <c r="Z111" s="57"/>
    </row>
    <row r="112">
      <c r="A112" s="58">
        <v>9861738.0</v>
      </c>
      <c r="B112" s="57" t="s">
        <v>463</v>
      </c>
      <c r="C112" s="57" t="s">
        <v>247</v>
      </c>
      <c r="D112" s="58">
        <v>5.06</v>
      </c>
      <c r="E112" s="58">
        <v>2053.66</v>
      </c>
      <c r="F112" s="58">
        <v>4432090.0</v>
      </c>
      <c r="G112" s="57" t="s">
        <v>466</v>
      </c>
      <c r="H112" s="57" t="s">
        <v>467</v>
      </c>
      <c r="I112" s="57"/>
      <c r="J112" s="57"/>
      <c r="K112" s="57"/>
      <c r="L112" s="57"/>
      <c r="M112" s="57"/>
      <c r="N112" s="57"/>
      <c r="O112" s="57"/>
      <c r="P112" s="57"/>
      <c r="Q112" s="57"/>
      <c r="R112" s="57"/>
      <c r="S112" s="57"/>
      <c r="T112" s="57"/>
      <c r="U112" s="57"/>
      <c r="V112" s="57"/>
      <c r="W112" s="57"/>
      <c r="X112" s="57"/>
      <c r="Y112" s="57"/>
      <c r="Z112" s="57"/>
    </row>
    <row r="113">
      <c r="A113" s="58">
        <v>9861731.0</v>
      </c>
      <c r="B113" s="57" t="s">
        <v>463</v>
      </c>
      <c r="C113" s="57" t="s">
        <v>247</v>
      </c>
      <c r="D113" s="58">
        <v>5.12</v>
      </c>
      <c r="E113" s="58">
        <v>2058.78</v>
      </c>
      <c r="F113" s="58">
        <v>4442379.0</v>
      </c>
      <c r="G113" s="57" t="s">
        <v>468</v>
      </c>
      <c r="H113" s="57" t="s">
        <v>469</v>
      </c>
      <c r="I113" s="57"/>
      <c r="J113" s="57"/>
      <c r="K113" s="57"/>
      <c r="L113" s="57"/>
      <c r="M113" s="57"/>
      <c r="N113" s="57"/>
      <c r="O113" s="57"/>
      <c r="P113" s="57"/>
      <c r="Q113" s="57"/>
      <c r="R113" s="57"/>
      <c r="S113" s="57"/>
      <c r="T113" s="57"/>
      <c r="U113" s="57"/>
      <c r="V113" s="57"/>
      <c r="W113" s="57"/>
      <c r="X113" s="57"/>
      <c r="Y113" s="57"/>
      <c r="Z113" s="57"/>
    </row>
    <row r="114">
      <c r="A114" s="58">
        <v>9861705.0</v>
      </c>
      <c r="B114" s="57" t="s">
        <v>463</v>
      </c>
      <c r="C114" s="57" t="s">
        <v>247</v>
      </c>
      <c r="D114" s="58">
        <v>5.09</v>
      </c>
      <c r="E114" s="58">
        <v>2063.87</v>
      </c>
      <c r="F114" s="58">
        <v>4431995.0</v>
      </c>
      <c r="G114" s="57" t="s">
        <v>470</v>
      </c>
      <c r="H114" s="57" t="s">
        <v>471</v>
      </c>
      <c r="I114" s="57"/>
      <c r="J114" s="57"/>
      <c r="K114" s="57"/>
      <c r="L114" s="57"/>
      <c r="M114" s="57"/>
      <c r="N114" s="57"/>
      <c r="O114" s="57"/>
      <c r="P114" s="57"/>
      <c r="Q114" s="57"/>
      <c r="R114" s="57"/>
      <c r="S114" s="57"/>
      <c r="T114" s="57"/>
      <c r="U114" s="57"/>
      <c r="V114" s="57"/>
      <c r="W114" s="57"/>
      <c r="X114" s="57"/>
      <c r="Y114" s="57"/>
      <c r="Z114" s="57"/>
    </row>
    <row r="115">
      <c r="A115" s="58">
        <v>9860877.0</v>
      </c>
      <c r="B115" s="57" t="s">
        <v>472</v>
      </c>
      <c r="C115" s="57" t="s">
        <v>210</v>
      </c>
      <c r="D115" s="58">
        <v>14.24</v>
      </c>
      <c r="E115" s="58">
        <v>2049.63</v>
      </c>
      <c r="F115" s="58">
        <v>4547597.0</v>
      </c>
      <c r="G115" s="57" t="s">
        <v>473</v>
      </c>
      <c r="H115" s="57" t="s">
        <v>474</v>
      </c>
      <c r="I115" s="57"/>
      <c r="J115" s="57"/>
      <c r="K115" s="57"/>
      <c r="L115" s="57"/>
      <c r="M115" s="57"/>
      <c r="N115" s="57"/>
      <c r="O115" s="57"/>
      <c r="P115" s="57"/>
      <c r="Q115" s="57"/>
      <c r="R115" s="57"/>
      <c r="S115" s="57"/>
      <c r="T115" s="57"/>
      <c r="U115" s="57"/>
      <c r="V115" s="57"/>
      <c r="W115" s="57"/>
      <c r="X115" s="57"/>
      <c r="Y115" s="57"/>
      <c r="Z115" s="57"/>
    </row>
    <row r="116">
      <c r="A116" s="58">
        <v>9860679.0</v>
      </c>
      <c r="B116" s="57" t="s">
        <v>472</v>
      </c>
      <c r="C116" s="57" t="s">
        <v>210</v>
      </c>
      <c r="D116" s="58">
        <v>14.24</v>
      </c>
      <c r="E116" s="58">
        <v>2035.39</v>
      </c>
      <c r="F116" s="58">
        <v>4534178.0</v>
      </c>
      <c r="G116" s="57" t="s">
        <v>475</v>
      </c>
      <c r="H116" s="57" t="s">
        <v>476</v>
      </c>
      <c r="I116" s="57"/>
      <c r="J116" s="57"/>
      <c r="K116" s="57"/>
      <c r="L116" s="57"/>
      <c r="M116" s="57"/>
      <c r="N116" s="57"/>
      <c r="O116" s="57"/>
      <c r="P116" s="57"/>
      <c r="Q116" s="57"/>
      <c r="R116" s="57"/>
      <c r="S116" s="57"/>
      <c r="T116" s="57"/>
      <c r="U116" s="57"/>
      <c r="V116" s="57"/>
      <c r="W116" s="57"/>
      <c r="X116" s="57"/>
      <c r="Y116" s="57"/>
      <c r="Z116" s="57"/>
    </row>
    <row r="117">
      <c r="A117" s="58">
        <v>9860495.0</v>
      </c>
      <c r="B117" s="57" t="s">
        <v>472</v>
      </c>
      <c r="C117" s="57" t="s">
        <v>210</v>
      </c>
      <c r="D117" s="58">
        <v>16.64</v>
      </c>
      <c r="E117" s="58">
        <v>2018.75</v>
      </c>
      <c r="F117" s="58">
        <v>4513942.0</v>
      </c>
      <c r="G117" s="57" t="s">
        <v>477</v>
      </c>
      <c r="H117" s="57" t="s">
        <v>478</v>
      </c>
      <c r="I117" s="57"/>
      <c r="J117" s="57"/>
      <c r="K117" s="57"/>
      <c r="L117" s="57"/>
      <c r="M117" s="57"/>
      <c r="N117" s="57"/>
      <c r="O117" s="57"/>
      <c r="P117" s="57"/>
      <c r="Q117" s="57"/>
      <c r="R117" s="57"/>
      <c r="S117" s="57"/>
      <c r="T117" s="57"/>
      <c r="U117" s="57"/>
      <c r="V117" s="57"/>
      <c r="W117" s="57"/>
      <c r="X117" s="57"/>
      <c r="Y117" s="57"/>
      <c r="Z117" s="57"/>
    </row>
    <row r="118">
      <c r="A118" s="58">
        <v>9859672.0</v>
      </c>
      <c r="B118" s="57" t="s">
        <v>479</v>
      </c>
      <c r="C118" s="57" t="s">
        <v>247</v>
      </c>
      <c r="D118" s="58">
        <v>3.46</v>
      </c>
      <c r="E118" s="58">
        <v>2022.21</v>
      </c>
      <c r="F118" s="58">
        <v>4432008.0</v>
      </c>
      <c r="G118" s="57" t="s">
        <v>480</v>
      </c>
      <c r="H118" s="57" t="s">
        <v>481</v>
      </c>
      <c r="I118" s="57"/>
      <c r="J118" s="57"/>
      <c r="K118" s="57"/>
      <c r="L118" s="57"/>
      <c r="M118" s="57"/>
      <c r="N118" s="57"/>
      <c r="O118" s="57"/>
      <c r="P118" s="57"/>
      <c r="Q118" s="57"/>
      <c r="R118" s="57"/>
      <c r="S118" s="57"/>
      <c r="T118" s="57"/>
      <c r="U118" s="57"/>
      <c r="V118" s="57"/>
      <c r="W118" s="57"/>
      <c r="X118" s="57"/>
      <c r="Y118" s="57"/>
      <c r="Z118" s="57"/>
    </row>
    <row r="119">
      <c r="A119" s="58">
        <v>9859320.0</v>
      </c>
      <c r="B119" s="57" t="s">
        <v>482</v>
      </c>
      <c r="C119" s="57" t="s">
        <v>247</v>
      </c>
      <c r="D119" s="58">
        <v>4.49</v>
      </c>
      <c r="E119" s="58">
        <v>2026.69</v>
      </c>
      <c r="F119" s="58">
        <v>4432058.0</v>
      </c>
      <c r="G119" s="57" t="s">
        <v>483</v>
      </c>
      <c r="H119" s="57" t="s">
        <v>484</v>
      </c>
      <c r="I119" s="57"/>
      <c r="J119" s="57"/>
      <c r="K119" s="57"/>
      <c r="L119" s="57"/>
      <c r="M119" s="57"/>
      <c r="N119" s="57"/>
      <c r="O119" s="57"/>
      <c r="P119" s="57"/>
      <c r="Q119" s="57"/>
      <c r="R119" s="57"/>
      <c r="S119" s="57"/>
      <c r="T119" s="57"/>
      <c r="U119" s="57"/>
      <c r="V119" s="57"/>
      <c r="W119" s="57"/>
      <c r="X119" s="57"/>
      <c r="Y119" s="57"/>
      <c r="Z119" s="57"/>
    </row>
    <row r="120">
      <c r="A120" s="58">
        <v>9859319.0</v>
      </c>
      <c r="B120" s="57" t="s">
        <v>482</v>
      </c>
      <c r="C120" s="57" t="s">
        <v>247</v>
      </c>
      <c r="D120" s="58">
        <v>3.45</v>
      </c>
      <c r="E120" s="58">
        <v>2030.14</v>
      </c>
      <c r="F120" s="58">
        <v>4432091.0</v>
      </c>
      <c r="G120" s="57" t="s">
        <v>485</v>
      </c>
      <c r="H120" s="57" t="s">
        <v>486</v>
      </c>
      <c r="I120" s="57"/>
      <c r="J120" s="57"/>
      <c r="K120" s="57"/>
      <c r="L120" s="57"/>
      <c r="M120" s="57"/>
      <c r="N120" s="57"/>
      <c r="O120" s="57"/>
      <c r="P120" s="57"/>
      <c r="Q120" s="57"/>
      <c r="R120" s="57"/>
      <c r="S120" s="57"/>
      <c r="T120" s="57"/>
      <c r="U120" s="57"/>
      <c r="V120" s="57"/>
      <c r="W120" s="57"/>
      <c r="X120" s="57"/>
      <c r="Y120" s="57"/>
      <c r="Z120" s="57"/>
    </row>
    <row r="121">
      <c r="A121" s="58">
        <v>9858337.0</v>
      </c>
      <c r="B121" s="57" t="s">
        <v>487</v>
      </c>
      <c r="C121" s="57" t="s">
        <v>247</v>
      </c>
      <c r="D121" s="58">
        <v>6.24</v>
      </c>
      <c r="E121" s="58">
        <v>2036.38</v>
      </c>
      <c r="F121" s="58">
        <v>4352545.0</v>
      </c>
      <c r="G121" s="58">
        <v>1.87001271E8</v>
      </c>
      <c r="H121" s="57" t="s">
        <v>488</v>
      </c>
      <c r="I121" s="57"/>
      <c r="J121" s="57"/>
      <c r="K121" s="57"/>
      <c r="L121" s="57"/>
      <c r="M121" s="57"/>
      <c r="N121" s="57"/>
      <c r="O121" s="57"/>
      <c r="P121" s="57"/>
      <c r="Q121" s="57"/>
      <c r="R121" s="57"/>
      <c r="S121" s="57"/>
      <c r="T121" s="57"/>
      <c r="U121" s="57"/>
      <c r="V121" s="57"/>
      <c r="W121" s="57"/>
      <c r="X121" s="57"/>
      <c r="Y121" s="57"/>
      <c r="Z121" s="57"/>
    </row>
    <row r="122">
      <c r="A122" s="58">
        <v>9854961.0</v>
      </c>
      <c r="B122" s="57" t="s">
        <v>489</v>
      </c>
      <c r="C122" s="57" t="s">
        <v>210</v>
      </c>
      <c r="D122" s="58">
        <v>11.84</v>
      </c>
      <c r="E122" s="58">
        <v>2024.54</v>
      </c>
      <c r="F122" s="58">
        <v>4556140.0</v>
      </c>
      <c r="G122" s="57" t="s">
        <v>490</v>
      </c>
      <c r="H122" s="57" t="s">
        <v>491</v>
      </c>
      <c r="I122" s="57"/>
      <c r="J122" s="57"/>
      <c r="K122" s="57"/>
      <c r="L122" s="57"/>
      <c r="M122" s="57"/>
      <c r="N122" s="57"/>
      <c r="O122" s="57"/>
      <c r="P122" s="57"/>
      <c r="Q122" s="57"/>
      <c r="R122" s="57"/>
      <c r="S122" s="57"/>
      <c r="T122" s="57"/>
      <c r="U122" s="57"/>
      <c r="V122" s="57"/>
      <c r="W122" s="57"/>
      <c r="X122" s="57"/>
      <c r="Y122" s="57"/>
      <c r="Z122" s="57"/>
    </row>
    <row r="123">
      <c r="A123" s="58">
        <v>9852956.0</v>
      </c>
      <c r="B123" s="57" t="s">
        <v>492</v>
      </c>
      <c r="C123" s="57" t="s">
        <v>210</v>
      </c>
      <c r="D123" s="58">
        <v>14.24</v>
      </c>
      <c r="E123" s="58">
        <v>2010.3</v>
      </c>
      <c r="F123" s="58">
        <v>4551240.0</v>
      </c>
      <c r="G123" s="57" t="s">
        <v>493</v>
      </c>
      <c r="H123" s="57" t="s">
        <v>494</v>
      </c>
      <c r="I123" s="57"/>
      <c r="J123" s="57"/>
      <c r="K123" s="57"/>
      <c r="L123" s="57"/>
      <c r="M123" s="57"/>
      <c r="N123" s="57"/>
      <c r="O123" s="57"/>
      <c r="P123" s="57"/>
      <c r="Q123" s="57"/>
      <c r="R123" s="57"/>
      <c r="S123" s="57"/>
      <c r="T123" s="57"/>
      <c r="U123" s="57"/>
      <c r="V123" s="57"/>
      <c r="W123" s="57"/>
      <c r="X123" s="57"/>
      <c r="Y123" s="57"/>
      <c r="Z123" s="57"/>
    </row>
    <row r="124">
      <c r="A124" s="58">
        <v>9851469.0</v>
      </c>
      <c r="B124" s="57" t="s">
        <v>492</v>
      </c>
      <c r="C124" s="57" t="s">
        <v>210</v>
      </c>
      <c r="D124" s="58">
        <v>8.24</v>
      </c>
      <c r="E124" s="58">
        <v>2002.06</v>
      </c>
      <c r="F124" s="58">
        <v>4547129.0</v>
      </c>
      <c r="G124" s="58">
        <v>1.86796391E8</v>
      </c>
      <c r="H124" s="57" t="s">
        <v>495</v>
      </c>
      <c r="I124" s="57"/>
      <c r="J124" s="57"/>
      <c r="K124" s="57"/>
      <c r="L124" s="57"/>
      <c r="M124" s="57"/>
      <c r="N124" s="57"/>
      <c r="O124" s="57"/>
      <c r="P124" s="57"/>
      <c r="Q124" s="57"/>
      <c r="R124" s="57"/>
      <c r="S124" s="57"/>
      <c r="T124" s="57"/>
      <c r="U124" s="57"/>
      <c r="V124" s="57"/>
      <c r="W124" s="57"/>
      <c r="X124" s="57"/>
      <c r="Y124" s="57"/>
      <c r="Z124" s="57"/>
    </row>
    <row r="125">
      <c r="A125" s="58">
        <v>9849036.0</v>
      </c>
      <c r="B125" s="57" t="s">
        <v>496</v>
      </c>
      <c r="C125" s="57" t="s">
        <v>210</v>
      </c>
      <c r="D125" s="58">
        <v>16.64</v>
      </c>
      <c r="E125" s="58">
        <v>1985.42</v>
      </c>
      <c r="F125" s="58">
        <v>4539537.0</v>
      </c>
      <c r="G125" s="57" t="s">
        <v>497</v>
      </c>
      <c r="H125" s="57" t="s">
        <v>498</v>
      </c>
      <c r="I125" s="57"/>
      <c r="J125" s="57"/>
      <c r="K125" s="57"/>
      <c r="L125" s="57"/>
      <c r="M125" s="57"/>
      <c r="N125" s="57"/>
      <c r="O125" s="57"/>
      <c r="P125" s="57"/>
      <c r="Q125" s="57"/>
      <c r="R125" s="57"/>
      <c r="S125" s="57"/>
      <c r="T125" s="57"/>
      <c r="U125" s="57"/>
      <c r="V125" s="57"/>
      <c r="W125" s="57"/>
      <c r="X125" s="57"/>
      <c r="Y125" s="57"/>
      <c r="Z125" s="57"/>
    </row>
    <row r="126">
      <c r="A126" s="58">
        <v>9849033.0</v>
      </c>
      <c r="B126" s="57" t="s">
        <v>496</v>
      </c>
      <c r="C126" s="57" t="s">
        <v>210</v>
      </c>
      <c r="D126" s="58">
        <v>16.64</v>
      </c>
      <c r="E126" s="58">
        <v>1968.78</v>
      </c>
      <c r="F126" s="58">
        <v>4539516.0</v>
      </c>
      <c r="G126" s="57" t="s">
        <v>499</v>
      </c>
      <c r="H126" s="57" t="s">
        <v>500</v>
      </c>
      <c r="I126" s="57"/>
      <c r="J126" s="57"/>
      <c r="K126" s="57"/>
      <c r="L126" s="57"/>
      <c r="M126" s="57"/>
      <c r="N126" s="57"/>
      <c r="O126" s="57"/>
      <c r="P126" s="57"/>
      <c r="Q126" s="57"/>
      <c r="R126" s="57"/>
      <c r="S126" s="57"/>
      <c r="T126" s="57"/>
      <c r="U126" s="57"/>
      <c r="V126" s="57"/>
      <c r="W126" s="57"/>
      <c r="X126" s="57"/>
      <c r="Y126" s="57"/>
      <c r="Z126" s="57"/>
    </row>
    <row r="127">
      <c r="A127" s="58">
        <v>9848346.0</v>
      </c>
      <c r="B127" s="57" t="s">
        <v>496</v>
      </c>
      <c r="C127" s="57" t="s">
        <v>210</v>
      </c>
      <c r="D127" s="58">
        <v>14.24</v>
      </c>
      <c r="E127" s="58">
        <v>1954.54</v>
      </c>
      <c r="F127" s="58">
        <v>4536861.0</v>
      </c>
      <c r="G127" s="57" t="s">
        <v>501</v>
      </c>
      <c r="H127" s="57" t="s">
        <v>502</v>
      </c>
      <c r="I127" s="57"/>
      <c r="J127" s="57"/>
      <c r="K127" s="57"/>
      <c r="L127" s="57"/>
      <c r="M127" s="57"/>
      <c r="N127" s="57"/>
      <c r="O127" s="57"/>
      <c r="P127" s="57"/>
      <c r="Q127" s="57"/>
      <c r="R127" s="57"/>
      <c r="S127" s="57"/>
      <c r="T127" s="57"/>
      <c r="U127" s="57"/>
      <c r="V127" s="57"/>
      <c r="W127" s="57"/>
      <c r="X127" s="57"/>
      <c r="Y127" s="57"/>
      <c r="Z127" s="57"/>
    </row>
    <row r="128">
      <c r="A128" s="58">
        <v>9845303.0</v>
      </c>
      <c r="B128" s="57" t="s">
        <v>503</v>
      </c>
      <c r="C128" s="57" t="s">
        <v>210</v>
      </c>
      <c r="D128" s="58">
        <v>10.76</v>
      </c>
      <c r="E128" s="58">
        <v>1943.78</v>
      </c>
      <c r="F128" s="58">
        <v>4523616.0</v>
      </c>
      <c r="G128" s="57" t="s">
        <v>504</v>
      </c>
      <c r="H128" s="57" t="s">
        <v>505</v>
      </c>
      <c r="I128" s="57"/>
      <c r="J128" s="57"/>
      <c r="K128" s="57"/>
      <c r="L128" s="57"/>
      <c r="M128" s="57"/>
      <c r="N128" s="57"/>
      <c r="O128" s="57"/>
      <c r="P128" s="57"/>
      <c r="Q128" s="57"/>
      <c r="R128" s="57"/>
      <c r="S128" s="57"/>
      <c r="T128" s="57"/>
      <c r="U128" s="57"/>
      <c r="V128" s="57"/>
      <c r="W128" s="57"/>
      <c r="X128" s="57"/>
      <c r="Y128" s="57"/>
      <c r="Z128" s="57"/>
    </row>
    <row r="129">
      <c r="A129" s="58">
        <v>9845265.0</v>
      </c>
      <c r="B129" s="57" t="s">
        <v>503</v>
      </c>
      <c r="C129" s="57" t="s">
        <v>210</v>
      </c>
      <c r="D129" s="58">
        <v>11.84</v>
      </c>
      <c r="E129" s="58">
        <v>1931.94</v>
      </c>
      <c r="F129" s="58">
        <v>4523508.0</v>
      </c>
      <c r="G129" s="57" t="s">
        <v>506</v>
      </c>
      <c r="H129" s="57" t="s">
        <v>507</v>
      </c>
      <c r="I129" s="57"/>
      <c r="J129" s="57"/>
      <c r="K129" s="57"/>
      <c r="L129" s="57"/>
      <c r="M129" s="57"/>
      <c r="N129" s="57"/>
      <c r="O129" s="57"/>
      <c r="P129" s="57"/>
      <c r="Q129" s="57"/>
      <c r="R129" s="57"/>
      <c r="S129" s="57"/>
      <c r="T129" s="57"/>
      <c r="U129" s="57"/>
      <c r="V129" s="57"/>
      <c r="W129" s="57"/>
      <c r="X129" s="57"/>
      <c r="Y129" s="57"/>
      <c r="Z129" s="57"/>
    </row>
    <row r="130">
      <c r="A130" s="58">
        <v>9845262.0</v>
      </c>
      <c r="B130" s="57" t="s">
        <v>503</v>
      </c>
      <c r="C130" s="57" t="s">
        <v>210</v>
      </c>
      <c r="D130" s="58">
        <v>8.66</v>
      </c>
      <c r="E130" s="58">
        <v>1923.28</v>
      </c>
      <c r="F130" s="58">
        <v>4523494.0</v>
      </c>
      <c r="G130" s="57" t="s">
        <v>508</v>
      </c>
      <c r="H130" s="57" t="s">
        <v>509</v>
      </c>
      <c r="I130" s="57"/>
      <c r="J130" s="57"/>
      <c r="K130" s="57"/>
      <c r="L130" s="57"/>
      <c r="M130" s="57"/>
      <c r="N130" s="57"/>
      <c r="O130" s="57"/>
      <c r="P130" s="57"/>
      <c r="Q130" s="57"/>
      <c r="R130" s="57"/>
      <c r="S130" s="57"/>
      <c r="T130" s="57"/>
      <c r="U130" s="57"/>
      <c r="V130" s="57"/>
      <c r="W130" s="57"/>
      <c r="X130" s="57"/>
      <c r="Y130" s="57"/>
      <c r="Z130" s="57"/>
    </row>
    <row r="131">
      <c r="A131" s="58">
        <v>9845250.0</v>
      </c>
      <c r="B131" s="57" t="s">
        <v>503</v>
      </c>
      <c r="C131" s="57" t="s">
        <v>210</v>
      </c>
      <c r="D131" s="58">
        <v>14.24</v>
      </c>
      <c r="E131" s="58">
        <v>1909.04</v>
      </c>
      <c r="F131" s="58">
        <v>4523401.0</v>
      </c>
      <c r="G131" s="57" t="s">
        <v>510</v>
      </c>
      <c r="H131" s="57" t="s">
        <v>511</v>
      </c>
      <c r="I131" s="57"/>
      <c r="J131" s="57"/>
      <c r="K131" s="57"/>
      <c r="L131" s="57"/>
      <c r="M131" s="57"/>
      <c r="N131" s="57"/>
      <c r="O131" s="57"/>
      <c r="P131" s="57"/>
      <c r="Q131" s="57"/>
      <c r="R131" s="57"/>
      <c r="S131" s="57"/>
      <c r="T131" s="57"/>
      <c r="U131" s="57"/>
      <c r="V131" s="57"/>
      <c r="W131" s="57"/>
      <c r="X131" s="57"/>
      <c r="Y131" s="57"/>
      <c r="Z131" s="57"/>
    </row>
    <row r="132">
      <c r="A132" s="58">
        <v>9845220.0</v>
      </c>
      <c r="B132" s="57" t="s">
        <v>503</v>
      </c>
      <c r="C132" s="57" t="s">
        <v>210</v>
      </c>
      <c r="D132" s="58">
        <v>14.59</v>
      </c>
      <c r="E132" s="58">
        <v>1894.45</v>
      </c>
      <c r="F132" s="58">
        <v>4523303.0</v>
      </c>
      <c r="G132" s="57" t="s">
        <v>512</v>
      </c>
      <c r="H132" s="57" t="s">
        <v>513</v>
      </c>
      <c r="I132" s="57"/>
      <c r="J132" s="57"/>
      <c r="K132" s="57"/>
      <c r="L132" s="57"/>
      <c r="M132" s="57"/>
      <c r="N132" s="57"/>
      <c r="O132" s="57"/>
      <c r="P132" s="57"/>
      <c r="Q132" s="57"/>
      <c r="R132" s="57"/>
      <c r="S132" s="57"/>
      <c r="T132" s="57"/>
      <c r="U132" s="57"/>
      <c r="V132" s="57"/>
      <c r="W132" s="57"/>
      <c r="X132" s="57"/>
      <c r="Y132" s="57"/>
      <c r="Z132" s="57"/>
    </row>
    <row r="133">
      <c r="A133" s="58">
        <v>9844925.0</v>
      </c>
      <c r="B133" s="57" t="s">
        <v>503</v>
      </c>
      <c r="C133" s="57" t="s">
        <v>210</v>
      </c>
      <c r="D133" s="58">
        <v>11.84</v>
      </c>
      <c r="E133" s="58">
        <v>1882.61</v>
      </c>
      <c r="F133" s="58">
        <v>4522139.0</v>
      </c>
      <c r="G133" s="57" t="s">
        <v>514</v>
      </c>
      <c r="H133" s="57" t="s">
        <v>515</v>
      </c>
      <c r="I133" s="57"/>
      <c r="J133" s="57"/>
      <c r="K133" s="57"/>
      <c r="L133" s="57"/>
      <c r="M133" s="57"/>
      <c r="N133" s="57"/>
      <c r="O133" s="57"/>
      <c r="P133" s="57"/>
      <c r="Q133" s="57"/>
      <c r="R133" s="57"/>
      <c r="S133" s="57"/>
      <c r="T133" s="57"/>
      <c r="U133" s="57"/>
      <c r="V133" s="57"/>
      <c r="W133" s="57"/>
      <c r="X133" s="57"/>
      <c r="Y133" s="57"/>
      <c r="Z133" s="57"/>
    </row>
    <row r="134">
      <c r="A134" s="58">
        <v>9844686.0</v>
      </c>
      <c r="B134" s="57" t="s">
        <v>503</v>
      </c>
      <c r="C134" s="57" t="s">
        <v>210</v>
      </c>
      <c r="D134" s="58">
        <v>16.64</v>
      </c>
      <c r="E134" s="58">
        <v>1865.97</v>
      </c>
      <c r="F134" s="58">
        <v>4521015.0</v>
      </c>
      <c r="G134" s="57" t="s">
        <v>516</v>
      </c>
      <c r="H134" s="57" t="s">
        <v>517</v>
      </c>
      <c r="I134" s="57"/>
      <c r="J134" s="57"/>
      <c r="K134" s="57"/>
      <c r="L134" s="57"/>
      <c r="M134" s="57"/>
      <c r="N134" s="57"/>
      <c r="O134" s="57"/>
      <c r="P134" s="57"/>
      <c r="Q134" s="57"/>
      <c r="R134" s="57"/>
      <c r="S134" s="57"/>
      <c r="T134" s="57"/>
      <c r="U134" s="57"/>
      <c r="V134" s="57"/>
      <c r="W134" s="57"/>
      <c r="X134" s="57"/>
      <c r="Y134" s="57"/>
      <c r="Z134" s="57"/>
    </row>
    <row r="135">
      <c r="A135" s="58">
        <v>9844651.0</v>
      </c>
      <c r="B135" s="57" t="s">
        <v>503</v>
      </c>
      <c r="C135" s="57" t="s">
        <v>210</v>
      </c>
      <c r="D135" s="58">
        <v>16.64</v>
      </c>
      <c r="E135" s="58">
        <v>1849.33</v>
      </c>
      <c r="F135" s="58">
        <v>4520841.0</v>
      </c>
      <c r="G135" s="57" t="s">
        <v>518</v>
      </c>
      <c r="H135" s="57" t="s">
        <v>519</v>
      </c>
      <c r="I135" s="57"/>
      <c r="J135" s="57"/>
      <c r="K135" s="57"/>
      <c r="L135" s="57"/>
      <c r="M135" s="57"/>
      <c r="N135" s="57"/>
      <c r="O135" s="57"/>
      <c r="P135" s="57"/>
      <c r="Q135" s="57"/>
      <c r="R135" s="57"/>
      <c r="S135" s="57"/>
      <c r="T135" s="57"/>
      <c r="U135" s="57"/>
      <c r="V135" s="57"/>
      <c r="W135" s="57"/>
      <c r="X135" s="57"/>
      <c r="Y135" s="57"/>
      <c r="Z135" s="57"/>
    </row>
    <row r="136">
      <c r="A136" s="58">
        <v>9844648.0</v>
      </c>
      <c r="B136" s="57" t="s">
        <v>503</v>
      </c>
      <c r="C136" s="57" t="s">
        <v>210</v>
      </c>
      <c r="D136" s="58">
        <v>14.24</v>
      </c>
      <c r="E136" s="58">
        <v>1835.09</v>
      </c>
      <c r="F136" s="58">
        <v>4520816.0</v>
      </c>
      <c r="G136" s="57" t="s">
        <v>520</v>
      </c>
      <c r="H136" s="57" t="s">
        <v>521</v>
      </c>
      <c r="I136" s="57"/>
      <c r="J136" s="57"/>
      <c r="K136" s="57"/>
      <c r="L136" s="57"/>
      <c r="M136" s="57"/>
      <c r="N136" s="57"/>
      <c r="O136" s="57"/>
      <c r="P136" s="57"/>
      <c r="Q136" s="57"/>
      <c r="R136" s="57"/>
      <c r="S136" s="57"/>
      <c r="T136" s="57"/>
      <c r="U136" s="57"/>
      <c r="V136" s="57"/>
      <c r="W136" s="57"/>
      <c r="X136" s="57"/>
      <c r="Y136" s="57"/>
      <c r="Z136" s="57"/>
    </row>
    <row r="137">
      <c r="A137" s="58">
        <v>9844442.0</v>
      </c>
      <c r="B137" s="57" t="s">
        <v>503</v>
      </c>
      <c r="C137" s="57" t="s">
        <v>210</v>
      </c>
      <c r="D137" s="58">
        <v>11.84</v>
      </c>
      <c r="E137" s="58">
        <v>1823.25</v>
      </c>
      <c r="F137" s="58">
        <v>4519817.0</v>
      </c>
      <c r="G137" s="57" t="s">
        <v>522</v>
      </c>
      <c r="H137" s="57" t="s">
        <v>523</v>
      </c>
      <c r="I137" s="57"/>
      <c r="J137" s="57"/>
      <c r="K137" s="57"/>
      <c r="L137" s="57"/>
      <c r="M137" s="57"/>
      <c r="N137" s="57"/>
      <c r="O137" s="57"/>
      <c r="P137" s="57"/>
      <c r="Q137" s="57"/>
      <c r="R137" s="57"/>
      <c r="S137" s="57"/>
      <c r="T137" s="57"/>
      <c r="U137" s="57"/>
      <c r="V137" s="57"/>
      <c r="W137" s="57"/>
      <c r="X137" s="57"/>
      <c r="Y137" s="57"/>
      <c r="Z137" s="57"/>
    </row>
    <row r="138">
      <c r="A138" s="58">
        <v>9843936.0</v>
      </c>
      <c r="B138" s="57" t="s">
        <v>503</v>
      </c>
      <c r="C138" s="57" t="s">
        <v>210</v>
      </c>
      <c r="D138" s="58">
        <v>16.64</v>
      </c>
      <c r="E138" s="58">
        <v>1806.61</v>
      </c>
      <c r="F138" s="58">
        <v>4517483.0</v>
      </c>
      <c r="G138" s="57" t="s">
        <v>524</v>
      </c>
      <c r="H138" s="57" t="s">
        <v>525</v>
      </c>
      <c r="I138" s="57"/>
      <c r="J138" s="57"/>
      <c r="K138" s="57"/>
      <c r="L138" s="57"/>
      <c r="M138" s="57"/>
      <c r="N138" s="57"/>
      <c r="O138" s="57"/>
      <c r="P138" s="57"/>
      <c r="Q138" s="57"/>
      <c r="R138" s="57"/>
      <c r="S138" s="57"/>
      <c r="T138" s="57"/>
      <c r="U138" s="57"/>
      <c r="V138" s="57"/>
      <c r="W138" s="57"/>
      <c r="X138" s="57"/>
      <c r="Y138" s="57"/>
      <c r="Z138" s="57"/>
    </row>
    <row r="139">
      <c r="A139" s="58">
        <v>9843854.0</v>
      </c>
      <c r="B139" s="57" t="s">
        <v>503</v>
      </c>
      <c r="C139" s="57" t="s">
        <v>210</v>
      </c>
      <c r="D139" s="58">
        <v>14.98</v>
      </c>
      <c r="E139" s="58">
        <v>1791.63</v>
      </c>
      <c r="F139" s="58">
        <v>4517110.0</v>
      </c>
      <c r="G139" s="58">
        <v>1.86793783E8</v>
      </c>
      <c r="H139" s="57" t="s">
        <v>526</v>
      </c>
      <c r="I139" s="57"/>
      <c r="J139" s="57"/>
      <c r="K139" s="57"/>
      <c r="L139" s="57"/>
      <c r="M139" s="57"/>
      <c r="N139" s="57"/>
      <c r="O139" s="57"/>
      <c r="P139" s="57"/>
      <c r="Q139" s="57"/>
      <c r="R139" s="57"/>
      <c r="S139" s="57"/>
      <c r="T139" s="57"/>
      <c r="U139" s="57"/>
      <c r="V139" s="57"/>
      <c r="W139" s="57"/>
      <c r="X139" s="57"/>
      <c r="Y139" s="57"/>
      <c r="Z139" s="57"/>
    </row>
    <row r="140">
      <c r="A140" s="58">
        <v>9842751.0</v>
      </c>
      <c r="B140" s="57" t="s">
        <v>503</v>
      </c>
      <c r="C140" s="57" t="s">
        <v>210</v>
      </c>
      <c r="D140" s="58">
        <v>14.24</v>
      </c>
      <c r="E140" s="58">
        <v>1777.39</v>
      </c>
      <c r="F140" s="58">
        <v>4511215.0</v>
      </c>
      <c r="G140" s="57" t="s">
        <v>527</v>
      </c>
      <c r="H140" s="57" t="s">
        <v>528</v>
      </c>
      <c r="I140" s="57"/>
      <c r="J140" s="57"/>
      <c r="K140" s="57"/>
      <c r="L140" s="57"/>
      <c r="M140" s="57"/>
      <c r="N140" s="57"/>
      <c r="O140" s="57"/>
      <c r="P140" s="57"/>
      <c r="Q140" s="57"/>
      <c r="R140" s="57"/>
      <c r="S140" s="57"/>
      <c r="T140" s="57"/>
      <c r="U140" s="57"/>
      <c r="V140" s="57"/>
      <c r="W140" s="57"/>
      <c r="X140" s="57"/>
      <c r="Y140" s="57"/>
      <c r="Z140" s="57"/>
    </row>
    <row r="141">
      <c r="A141" s="58">
        <v>9841917.0</v>
      </c>
      <c r="B141" s="57" t="s">
        <v>503</v>
      </c>
      <c r="C141" s="57" t="s">
        <v>210</v>
      </c>
      <c r="D141" s="58">
        <v>11.84</v>
      </c>
      <c r="E141" s="58">
        <v>1765.55</v>
      </c>
      <c r="F141" s="58">
        <v>4506814.0</v>
      </c>
      <c r="G141" s="57" t="s">
        <v>529</v>
      </c>
      <c r="H141" s="57" t="s">
        <v>530</v>
      </c>
      <c r="I141" s="57"/>
      <c r="J141" s="57"/>
      <c r="K141" s="57"/>
      <c r="L141" s="57"/>
      <c r="M141" s="57"/>
      <c r="N141" s="57"/>
      <c r="O141" s="57"/>
      <c r="P141" s="57"/>
      <c r="Q141" s="57"/>
      <c r="R141" s="57"/>
      <c r="S141" s="57"/>
      <c r="T141" s="57"/>
      <c r="U141" s="57"/>
      <c r="V141" s="57"/>
      <c r="W141" s="57"/>
      <c r="X141" s="57"/>
      <c r="Y141" s="57"/>
      <c r="Z141" s="57"/>
    </row>
    <row r="142">
      <c r="A142" s="58">
        <v>9841773.0</v>
      </c>
      <c r="B142" s="57" t="s">
        <v>503</v>
      </c>
      <c r="C142" s="57" t="s">
        <v>210</v>
      </c>
      <c r="D142" s="58">
        <v>10.96</v>
      </c>
      <c r="E142" s="58">
        <v>1754.59</v>
      </c>
      <c r="F142" s="58">
        <v>4505883.0</v>
      </c>
      <c r="G142" s="57" t="s">
        <v>531</v>
      </c>
      <c r="H142" s="57" t="s">
        <v>532</v>
      </c>
      <c r="I142" s="57"/>
      <c r="J142" s="57"/>
      <c r="K142" s="57"/>
      <c r="L142" s="57"/>
      <c r="M142" s="57"/>
      <c r="N142" s="57"/>
      <c r="O142" s="57"/>
      <c r="P142" s="57"/>
      <c r="Q142" s="57"/>
      <c r="R142" s="57"/>
      <c r="S142" s="57"/>
      <c r="T142" s="57"/>
      <c r="U142" s="57"/>
      <c r="V142" s="57"/>
      <c r="W142" s="57"/>
      <c r="X142" s="57"/>
      <c r="Y142" s="57"/>
      <c r="Z142" s="57"/>
    </row>
    <row r="143">
      <c r="A143" s="58">
        <v>9841745.0</v>
      </c>
      <c r="B143" s="57" t="s">
        <v>503</v>
      </c>
      <c r="C143" s="57" t="s">
        <v>210</v>
      </c>
      <c r="D143" s="58">
        <v>15.36</v>
      </c>
      <c r="E143" s="58">
        <v>1739.23</v>
      </c>
      <c r="F143" s="58">
        <v>4505682.0</v>
      </c>
      <c r="G143" s="57" t="s">
        <v>533</v>
      </c>
      <c r="H143" s="57" t="s">
        <v>534</v>
      </c>
      <c r="I143" s="57"/>
      <c r="J143" s="57"/>
      <c r="K143" s="57"/>
      <c r="L143" s="57"/>
      <c r="M143" s="57"/>
      <c r="N143" s="57"/>
      <c r="O143" s="57"/>
      <c r="P143" s="57"/>
      <c r="Q143" s="57"/>
      <c r="R143" s="57"/>
      <c r="S143" s="57"/>
      <c r="T143" s="57"/>
      <c r="U143" s="57"/>
      <c r="V143" s="57"/>
      <c r="W143" s="57"/>
      <c r="X143" s="57"/>
      <c r="Y143" s="57"/>
      <c r="Z143" s="57"/>
    </row>
    <row r="144">
      <c r="A144" s="58">
        <v>9841692.0</v>
      </c>
      <c r="B144" s="57" t="s">
        <v>503</v>
      </c>
      <c r="C144" s="57" t="s">
        <v>210</v>
      </c>
      <c r="D144" s="58">
        <v>10.96</v>
      </c>
      <c r="E144" s="58">
        <v>1728.27</v>
      </c>
      <c r="F144" s="58">
        <v>4505267.0</v>
      </c>
      <c r="G144" s="57" t="s">
        <v>535</v>
      </c>
      <c r="H144" s="57" t="s">
        <v>536</v>
      </c>
      <c r="I144" s="57"/>
      <c r="J144" s="57"/>
      <c r="K144" s="57"/>
      <c r="L144" s="57"/>
      <c r="M144" s="57"/>
      <c r="N144" s="57"/>
      <c r="O144" s="57"/>
      <c r="P144" s="57"/>
      <c r="Q144" s="57"/>
      <c r="R144" s="57"/>
      <c r="S144" s="57"/>
      <c r="T144" s="57"/>
      <c r="U144" s="57"/>
      <c r="V144" s="57"/>
      <c r="W144" s="57"/>
      <c r="X144" s="57"/>
      <c r="Y144" s="57"/>
      <c r="Z144" s="57"/>
    </row>
    <row r="145">
      <c r="A145" s="58">
        <v>9841331.0</v>
      </c>
      <c r="B145" s="57" t="s">
        <v>537</v>
      </c>
      <c r="C145" s="57" t="s">
        <v>210</v>
      </c>
      <c r="D145" s="58">
        <v>11.84</v>
      </c>
      <c r="E145" s="58">
        <v>1716.43</v>
      </c>
      <c r="F145" s="58">
        <v>4502158.0</v>
      </c>
      <c r="G145" s="57" t="s">
        <v>538</v>
      </c>
      <c r="H145" s="57" t="s">
        <v>539</v>
      </c>
      <c r="I145" s="57"/>
      <c r="J145" s="57"/>
      <c r="K145" s="57"/>
      <c r="L145" s="57"/>
      <c r="M145" s="57"/>
      <c r="N145" s="57"/>
      <c r="O145" s="57"/>
      <c r="P145" s="57"/>
      <c r="Q145" s="57"/>
      <c r="R145" s="57"/>
      <c r="S145" s="57"/>
      <c r="T145" s="57"/>
      <c r="U145" s="57"/>
      <c r="V145" s="57"/>
      <c r="W145" s="57"/>
      <c r="X145" s="57"/>
      <c r="Y145" s="57"/>
      <c r="Z145" s="57"/>
    </row>
    <row r="146">
      <c r="A146" s="58">
        <v>9841116.0</v>
      </c>
      <c r="B146" s="57" t="s">
        <v>537</v>
      </c>
      <c r="C146" s="57" t="s">
        <v>210</v>
      </c>
      <c r="D146" s="58">
        <v>11.84</v>
      </c>
      <c r="E146" s="58">
        <v>1704.59</v>
      </c>
      <c r="F146" s="58">
        <v>4500271.0</v>
      </c>
      <c r="G146" s="57" t="s">
        <v>540</v>
      </c>
      <c r="H146" s="57" t="s">
        <v>541</v>
      </c>
      <c r="I146" s="57"/>
      <c r="J146" s="57"/>
      <c r="K146" s="57"/>
      <c r="L146" s="57"/>
      <c r="M146" s="57"/>
      <c r="N146" s="57"/>
      <c r="O146" s="57"/>
      <c r="P146" s="57"/>
      <c r="Q146" s="57"/>
      <c r="R146" s="57"/>
      <c r="S146" s="57"/>
      <c r="T146" s="57"/>
      <c r="U146" s="57"/>
      <c r="V146" s="57"/>
      <c r="W146" s="57"/>
      <c r="X146" s="57"/>
      <c r="Y146" s="57"/>
      <c r="Z146" s="57"/>
    </row>
    <row r="147">
      <c r="A147" s="58">
        <v>9840994.0</v>
      </c>
      <c r="B147" s="57" t="s">
        <v>537</v>
      </c>
      <c r="C147" s="57" t="s">
        <v>210</v>
      </c>
      <c r="D147" s="58">
        <v>14.24</v>
      </c>
      <c r="E147" s="58">
        <v>1690.35</v>
      </c>
      <c r="F147" s="58">
        <v>4499244.0</v>
      </c>
      <c r="G147" s="57" t="s">
        <v>542</v>
      </c>
      <c r="H147" s="57" t="s">
        <v>543</v>
      </c>
      <c r="I147" s="57"/>
      <c r="J147" s="57"/>
      <c r="K147" s="57"/>
      <c r="L147" s="57"/>
      <c r="M147" s="57"/>
      <c r="N147" s="57"/>
      <c r="O147" s="57"/>
      <c r="P147" s="57"/>
      <c r="Q147" s="57"/>
      <c r="R147" s="57"/>
      <c r="S147" s="57"/>
      <c r="T147" s="57"/>
      <c r="U147" s="57"/>
      <c r="V147" s="57"/>
      <c r="W147" s="57"/>
      <c r="X147" s="57"/>
      <c r="Y147" s="57"/>
      <c r="Z147" s="57"/>
    </row>
    <row r="148">
      <c r="A148" s="58">
        <v>9840909.0</v>
      </c>
      <c r="B148" s="57" t="s">
        <v>537</v>
      </c>
      <c r="C148" s="57" t="s">
        <v>210</v>
      </c>
      <c r="D148" s="58">
        <v>10.96</v>
      </c>
      <c r="E148" s="58">
        <v>1679.39</v>
      </c>
      <c r="F148" s="58">
        <v>4498452.0</v>
      </c>
      <c r="G148" s="57" t="s">
        <v>544</v>
      </c>
      <c r="H148" s="57" t="s">
        <v>545</v>
      </c>
      <c r="I148" s="57"/>
      <c r="J148" s="57"/>
      <c r="K148" s="57"/>
      <c r="L148" s="57"/>
      <c r="M148" s="57"/>
      <c r="N148" s="57"/>
      <c r="O148" s="57"/>
      <c r="P148" s="57"/>
      <c r="Q148" s="57"/>
      <c r="R148" s="57"/>
      <c r="S148" s="57"/>
      <c r="T148" s="57"/>
      <c r="U148" s="57"/>
      <c r="V148" s="57"/>
      <c r="W148" s="57"/>
      <c r="X148" s="57"/>
      <c r="Y148" s="57"/>
      <c r="Z148" s="57"/>
    </row>
    <row r="149">
      <c r="A149" s="58">
        <v>9840815.0</v>
      </c>
      <c r="B149" s="57" t="s">
        <v>537</v>
      </c>
      <c r="C149" s="57" t="s">
        <v>210</v>
      </c>
      <c r="D149" s="58">
        <v>13.17</v>
      </c>
      <c r="E149" s="58">
        <v>1666.22</v>
      </c>
      <c r="F149" s="58">
        <v>4496692.0</v>
      </c>
      <c r="G149" s="57" t="s">
        <v>546</v>
      </c>
      <c r="H149" s="57" t="s">
        <v>547</v>
      </c>
      <c r="I149" s="57"/>
      <c r="J149" s="57"/>
      <c r="K149" s="57"/>
      <c r="L149" s="57"/>
      <c r="M149" s="57"/>
      <c r="N149" s="57"/>
      <c r="O149" s="57"/>
      <c r="P149" s="57"/>
      <c r="Q149" s="57"/>
      <c r="R149" s="57"/>
      <c r="S149" s="57"/>
      <c r="T149" s="57"/>
      <c r="U149" s="57"/>
      <c r="V149" s="57"/>
      <c r="W149" s="57"/>
      <c r="X149" s="57"/>
      <c r="Y149" s="57"/>
      <c r="Z149" s="57"/>
    </row>
    <row r="150">
      <c r="A150" s="58">
        <v>9840781.0</v>
      </c>
      <c r="B150" s="57" t="s">
        <v>537</v>
      </c>
      <c r="C150" s="57" t="s">
        <v>210</v>
      </c>
      <c r="D150" s="58">
        <v>13.45</v>
      </c>
      <c r="E150" s="58">
        <v>1652.77</v>
      </c>
      <c r="F150" s="58">
        <v>4496389.0</v>
      </c>
      <c r="G150" s="57" t="s">
        <v>548</v>
      </c>
      <c r="H150" s="57" t="s">
        <v>549</v>
      </c>
      <c r="I150" s="57"/>
      <c r="J150" s="57"/>
      <c r="K150" s="57"/>
      <c r="L150" s="57"/>
      <c r="M150" s="57"/>
      <c r="N150" s="57"/>
      <c r="O150" s="57"/>
      <c r="P150" s="57"/>
      <c r="Q150" s="57"/>
      <c r="R150" s="57"/>
      <c r="S150" s="57"/>
      <c r="T150" s="57"/>
      <c r="U150" s="57"/>
      <c r="V150" s="57"/>
      <c r="W150" s="57"/>
      <c r="X150" s="57"/>
      <c r="Y150" s="57"/>
      <c r="Z150" s="57"/>
    </row>
    <row r="151">
      <c r="A151" s="58">
        <v>9840264.0</v>
      </c>
      <c r="B151" s="57" t="s">
        <v>537</v>
      </c>
      <c r="C151" s="57" t="s">
        <v>210</v>
      </c>
      <c r="D151" s="58">
        <v>11.84</v>
      </c>
      <c r="E151" s="58">
        <v>1640.93</v>
      </c>
      <c r="F151" s="58">
        <v>4487722.0</v>
      </c>
      <c r="G151" s="57" t="s">
        <v>550</v>
      </c>
      <c r="H151" s="57" t="s">
        <v>551</v>
      </c>
      <c r="I151" s="57"/>
      <c r="J151" s="57"/>
      <c r="K151" s="57"/>
      <c r="L151" s="57"/>
      <c r="M151" s="57"/>
      <c r="N151" s="57"/>
      <c r="O151" s="57"/>
      <c r="P151" s="57"/>
      <c r="Q151" s="57"/>
      <c r="R151" s="57"/>
      <c r="S151" s="57"/>
      <c r="T151" s="57"/>
      <c r="U151" s="57"/>
      <c r="V151" s="57"/>
      <c r="W151" s="57"/>
      <c r="X151" s="57"/>
      <c r="Y151" s="57"/>
      <c r="Z151" s="57"/>
    </row>
    <row r="152">
      <c r="A152" s="58">
        <v>9836489.0</v>
      </c>
      <c r="B152" s="57" t="s">
        <v>552</v>
      </c>
      <c r="C152" s="57" t="s">
        <v>247</v>
      </c>
      <c r="D152" s="58">
        <v>4.52</v>
      </c>
      <c r="E152" s="58">
        <v>1645.45</v>
      </c>
      <c r="F152" s="58">
        <v>4418522.0</v>
      </c>
      <c r="G152" s="57" t="s">
        <v>553</v>
      </c>
      <c r="H152" s="57" t="s">
        <v>554</v>
      </c>
      <c r="I152" s="57"/>
      <c r="J152" s="57"/>
      <c r="K152" s="57"/>
      <c r="L152" s="57"/>
      <c r="M152" s="57"/>
      <c r="N152" s="57"/>
      <c r="O152" s="57"/>
      <c r="P152" s="57"/>
      <c r="Q152" s="57"/>
      <c r="R152" s="57"/>
      <c r="S152" s="57"/>
      <c r="T152" s="57"/>
      <c r="U152" s="57"/>
      <c r="V152" s="57"/>
      <c r="W152" s="57"/>
      <c r="X152" s="57"/>
      <c r="Y152" s="57"/>
      <c r="Z152" s="57"/>
    </row>
    <row r="153">
      <c r="A153" s="58">
        <v>9833366.0</v>
      </c>
      <c r="B153" s="57" t="s">
        <v>555</v>
      </c>
      <c r="C153" s="57" t="s">
        <v>210</v>
      </c>
      <c r="D153" s="58">
        <v>17.91</v>
      </c>
      <c r="E153" s="58">
        <v>1627.54</v>
      </c>
      <c r="F153" s="58">
        <v>4550133.0</v>
      </c>
      <c r="G153" s="58">
        <v>1.8679362E8</v>
      </c>
      <c r="H153" s="57" t="s">
        <v>556</v>
      </c>
      <c r="I153" s="57"/>
      <c r="J153" s="57"/>
      <c r="K153" s="57"/>
      <c r="L153" s="57"/>
      <c r="M153" s="57"/>
      <c r="N153" s="57"/>
      <c r="O153" s="57"/>
      <c r="P153" s="57"/>
      <c r="Q153" s="57"/>
      <c r="R153" s="57"/>
      <c r="S153" s="57"/>
      <c r="T153" s="57"/>
      <c r="U153" s="57"/>
      <c r="V153" s="57"/>
      <c r="W153" s="57"/>
      <c r="X153" s="57"/>
      <c r="Y153" s="57"/>
      <c r="Z153" s="57"/>
    </row>
    <row r="154">
      <c r="A154" s="58">
        <v>9832836.0</v>
      </c>
      <c r="B154" s="57" t="s">
        <v>557</v>
      </c>
      <c r="C154" s="57" t="s">
        <v>210</v>
      </c>
      <c r="D154" s="58">
        <v>9.41</v>
      </c>
      <c r="E154" s="58">
        <v>1618.13</v>
      </c>
      <c r="F154" s="58">
        <v>4548818.0</v>
      </c>
      <c r="G154" s="58">
        <v>1.86796374E8</v>
      </c>
      <c r="H154" s="57" t="s">
        <v>558</v>
      </c>
      <c r="I154" s="57"/>
      <c r="J154" s="57"/>
      <c r="K154" s="57"/>
      <c r="L154" s="57"/>
      <c r="M154" s="57"/>
      <c r="N154" s="57"/>
      <c r="O154" s="57"/>
      <c r="P154" s="57"/>
      <c r="Q154" s="57"/>
      <c r="R154" s="57"/>
      <c r="S154" s="57"/>
      <c r="T154" s="57"/>
      <c r="U154" s="57"/>
      <c r="V154" s="57"/>
      <c r="W154" s="57"/>
      <c r="X154" s="57"/>
      <c r="Y154" s="57"/>
      <c r="Z154" s="57"/>
    </row>
    <row r="155">
      <c r="A155" s="58">
        <v>9832649.0</v>
      </c>
      <c r="B155" s="57" t="s">
        <v>557</v>
      </c>
      <c r="C155" s="57" t="s">
        <v>210</v>
      </c>
      <c r="D155" s="58">
        <v>9.7</v>
      </c>
      <c r="E155" s="58">
        <v>1608.43</v>
      </c>
      <c r="F155" s="58">
        <v>4548342.0</v>
      </c>
      <c r="G155" s="57" t="s">
        <v>559</v>
      </c>
      <c r="H155" s="57" t="s">
        <v>560</v>
      </c>
      <c r="I155" s="57"/>
      <c r="J155" s="57"/>
      <c r="K155" s="57"/>
      <c r="L155" s="57"/>
      <c r="M155" s="57"/>
      <c r="N155" s="57"/>
      <c r="O155" s="57"/>
      <c r="P155" s="57"/>
      <c r="Q155" s="57"/>
      <c r="R155" s="57"/>
      <c r="S155" s="57"/>
      <c r="T155" s="57"/>
      <c r="U155" s="57"/>
      <c r="V155" s="57"/>
      <c r="W155" s="57"/>
      <c r="X155" s="57"/>
      <c r="Y155" s="57"/>
      <c r="Z155" s="57"/>
    </row>
    <row r="156">
      <c r="A156" s="58">
        <v>9827514.0</v>
      </c>
      <c r="B156" s="57" t="s">
        <v>561</v>
      </c>
      <c r="C156" s="57" t="s">
        <v>210</v>
      </c>
      <c r="D156" s="58">
        <v>16.64</v>
      </c>
      <c r="E156" s="58">
        <v>1591.79</v>
      </c>
      <c r="F156" s="58">
        <v>4539167.0</v>
      </c>
      <c r="G156" s="57" t="s">
        <v>562</v>
      </c>
      <c r="H156" s="57" t="s">
        <v>563</v>
      </c>
      <c r="I156" s="57"/>
      <c r="J156" s="57"/>
      <c r="K156" s="57"/>
      <c r="L156" s="57"/>
      <c r="M156" s="57"/>
      <c r="N156" s="57"/>
      <c r="O156" s="57"/>
      <c r="P156" s="57"/>
      <c r="Q156" s="57"/>
      <c r="R156" s="57"/>
      <c r="S156" s="57"/>
      <c r="T156" s="57"/>
      <c r="U156" s="57"/>
      <c r="V156" s="57"/>
      <c r="W156" s="57"/>
      <c r="X156" s="57"/>
      <c r="Y156" s="57"/>
      <c r="Z156" s="57"/>
    </row>
    <row r="157">
      <c r="A157" s="58">
        <v>9827019.0</v>
      </c>
      <c r="B157" s="57" t="s">
        <v>561</v>
      </c>
      <c r="C157" s="57" t="s">
        <v>210</v>
      </c>
      <c r="D157" s="58">
        <v>15.85</v>
      </c>
      <c r="E157" s="58">
        <v>1575.94</v>
      </c>
      <c r="F157" s="58">
        <v>4538278.0</v>
      </c>
      <c r="G157" s="57" t="s">
        <v>564</v>
      </c>
      <c r="H157" s="57" t="s">
        <v>565</v>
      </c>
      <c r="I157" s="57"/>
      <c r="J157" s="57"/>
      <c r="K157" s="57"/>
      <c r="L157" s="57"/>
      <c r="M157" s="57"/>
      <c r="N157" s="57"/>
      <c r="O157" s="57"/>
      <c r="P157" s="57"/>
      <c r="Q157" s="57"/>
      <c r="R157" s="57"/>
      <c r="S157" s="57"/>
      <c r="T157" s="57"/>
      <c r="U157" s="57"/>
      <c r="V157" s="57"/>
      <c r="W157" s="57"/>
      <c r="X157" s="57"/>
      <c r="Y157" s="57"/>
      <c r="Z157" s="57"/>
    </row>
    <row r="158">
      <c r="A158" s="58">
        <v>9824613.0</v>
      </c>
      <c r="B158" s="57" t="s">
        <v>566</v>
      </c>
      <c r="C158" s="57" t="s">
        <v>210</v>
      </c>
      <c r="D158" s="58">
        <v>8.66</v>
      </c>
      <c r="E158" s="58">
        <v>1567.28</v>
      </c>
      <c r="F158" s="58">
        <v>4534334.0</v>
      </c>
      <c r="G158" s="57" t="s">
        <v>567</v>
      </c>
      <c r="H158" s="57" t="s">
        <v>568</v>
      </c>
      <c r="I158" s="57"/>
      <c r="J158" s="57"/>
      <c r="K158" s="57"/>
      <c r="L158" s="57"/>
      <c r="M158" s="57"/>
      <c r="N158" s="57"/>
      <c r="O158" s="57"/>
      <c r="P158" s="57"/>
      <c r="Q158" s="57"/>
      <c r="R158" s="57"/>
      <c r="S158" s="57"/>
      <c r="T158" s="57"/>
      <c r="U158" s="57"/>
      <c r="V158" s="57"/>
      <c r="W158" s="57"/>
      <c r="X158" s="57"/>
      <c r="Y158" s="57"/>
      <c r="Z158" s="57"/>
    </row>
    <row r="159">
      <c r="A159" s="58">
        <v>9824146.0</v>
      </c>
      <c r="B159" s="57" t="s">
        <v>566</v>
      </c>
      <c r="C159" s="57" t="s">
        <v>210</v>
      </c>
      <c r="D159" s="58">
        <v>8.66</v>
      </c>
      <c r="E159" s="58">
        <v>1558.62</v>
      </c>
      <c r="F159" s="58">
        <v>4533488.0</v>
      </c>
      <c r="G159" s="57" t="s">
        <v>569</v>
      </c>
      <c r="H159" s="57" t="s">
        <v>570</v>
      </c>
      <c r="I159" s="57"/>
      <c r="J159" s="57"/>
      <c r="K159" s="57"/>
      <c r="L159" s="57"/>
      <c r="M159" s="57"/>
      <c r="N159" s="57"/>
      <c r="O159" s="57"/>
      <c r="P159" s="57"/>
      <c r="Q159" s="57"/>
      <c r="R159" s="57"/>
      <c r="S159" s="57"/>
      <c r="T159" s="57"/>
      <c r="U159" s="57"/>
      <c r="V159" s="57"/>
      <c r="W159" s="57"/>
      <c r="X159" s="57"/>
      <c r="Y159" s="57"/>
      <c r="Z159" s="57"/>
    </row>
    <row r="160">
      <c r="A160" s="58">
        <v>9820282.0</v>
      </c>
      <c r="B160" s="57" t="s">
        <v>571</v>
      </c>
      <c r="C160" s="57" t="s">
        <v>210</v>
      </c>
      <c r="D160" s="58">
        <v>10.27</v>
      </c>
      <c r="E160" s="58">
        <v>1548.35</v>
      </c>
      <c r="F160" s="58">
        <v>4525379.0</v>
      </c>
      <c r="G160" s="57" t="s">
        <v>572</v>
      </c>
      <c r="H160" s="57" t="s">
        <v>573</v>
      </c>
      <c r="I160" s="57"/>
      <c r="J160" s="57"/>
      <c r="K160" s="57"/>
      <c r="L160" s="57"/>
      <c r="M160" s="57"/>
      <c r="N160" s="57"/>
      <c r="O160" s="57"/>
      <c r="P160" s="57"/>
      <c r="Q160" s="57"/>
      <c r="R160" s="57"/>
      <c r="S160" s="57"/>
      <c r="T160" s="57"/>
      <c r="U160" s="57"/>
      <c r="V160" s="57"/>
      <c r="W160" s="57"/>
      <c r="X160" s="57"/>
      <c r="Y160" s="57"/>
      <c r="Z160" s="57"/>
    </row>
    <row r="161">
      <c r="A161" s="58">
        <v>9820212.0</v>
      </c>
      <c r="B161" s="57" t="s">
        <v>571</v>
      </c>
      <c r="C161" s="57" t="s">
        <v>210</v>
      </c>
      <c r="D161" s="58">
        <v>8.66</v>
      </c>
      <c r="E161" s="58">
        <v>1539.69</v>
      </c>
      <c r="F161" s="58">
        <v>4525185.0</v>
      </c>
      <c r="G161" s="57" t="s">
        <v>574</v>
      </c>
      <c r="H161" s="57" t="s">
        <v>575</v>
      </c>
      <c r="I161" s="57"/>
      <c r="J161" s="57"/>
      <c r="K161" s="57"/>
      <c r="L161" s="57"/>
      <c r="M161" s="57"/>
      <c r="N161" s="57"/>
      <c r="O161" s="57"/>
      <c r="P161" s="57"/>
      <c r="Q161" s="57"/>
      <c r="R161" s="57"/>
      <c r="S161" s="57"/>
      <c r="T161" s="57"/>
      <c r="U161" s="57"/>
      <c r="V161" s="57"/>
      <c r="W161" s="57"/>
      <c r="X161" s="57"/>
      <c r="Y161" s="57"/>
      <c r="Z161" s="57"/>
    </row>
    <row r="162">
      <c r="A162" s="58">
        <v>9819489.0</v>
      </c>
      <c r="B162" s="57" t="s">
        <v>571</v>
      </c>
      <c r="C162" s="57" t="s">
        <v>210</v>
      </c>
      <c r="D162" s="58">
        <v>10.76</v>
      </c>
      <c r="E162" s="58">
        <v>1528.93</v>
      </c>
      <c r="F162" s="58">
        <v>4523603.0</v>
      </c>
      <c r="G162" s="57" t="s">
        <v>576</v>
      </c>
      <c r="H162" s="57" t="s">
        <v>577</v>
      </c>
      <c r="I162" s="57"/>
      <c r="J162" s="57"/>
      <c r="K162" s="57"/>
      <c r="L162" s="57"/>
      <c r="M162" s="57"/>
      <c r="N162" s="57"/>
      <c r="O162" s="57"/>
      <c r="P162" s="57"/>
      <c r="Q162" s="57"/>
      <c r="R162" s="57"/>
      <c r="S162" s="57"/>
      <c r="T162" s="57"/>
      <c r="U162" s="57"/>
      <c r="V162" s="57"/>
      <c r="W162" s="57"/>
      <c r="X162" s="57"/>
      <c r="Y162" s="57"/>
      <c r="Z162" s="57"/>
    </row>
    <row r="163">
      <c r="A163" s="58">
        <v>9819442.0</v>
      </c>
      <c r="B163" s="57" t="s">
        <v>571</v>
      </c>
      <c r="C163" s="57" t="s">
        <v>210</v>
      </c>
      <c r="D163" s="58">
        <v>8.66</v>
      </c>
      <c r="E163" s="58">
        <v>1520.27</v>
      </c>
      <c r="F163" s="58">
        <v>4523548.0</v>
      </c>
      <c r="G163" s="57" t="s">
        <v>578</v>
      </c>
      <c r="H163" s="57" t="s">
        <v>579</v>
      </c>
      <c r="I163" s="57"/>
      <c r="J163" s="57"/>
      <c r="K163" s="57"/>
      <c r="L163" s="57"/>
      <c r="M163" s="57"/>
      <c r="N163" s="57"/>
      <c r="O163" s="57"/>
      <c r="P163" s="57"/>
      <c r="Q163" s="57"/>
      <c r="R163" s="57"/>
      <c r="S163" s="57"/>
      <c r="T163" s="57"/>
      <c r="U163" s="57"/>
      <c r="V163" s="57"/>
      <c r="W163" s="57"/>
      <c r="X163" s="57"/>
      <c r="Y163" s="57"/>
      <c r="Z163" s="57"/>
    </row>
    <row r="164">
      <c r="A164" s="58">
        <v>9819432.0</v>
      </c>
      <c r="B164" s="57" t="s">
        <v>571</v>
      </c>
      <c r="C164" s="57" t="s">
        <v>210</v>
      </c>
      <c r="D164" s="58">
        <v>10.76</v>
      </c>
      <c r="E164" s="58">
        <v>1509.51</v>
      </c>
      <c r="F164" s="58">
        <v>4523537.0</v>
      </c>
      <c r="G164" s="57" t="s">
        <v>580</v>
      </c>
      <c r="H164" s="57" t="s">
        <v>581</v>
      </c>
      <c r="I164" s="57"/>
      <c r="J164" s="57"/>
      <c r="K164" s="57"/>
      <c r="L164" s="57"/>
      <c r="M164" s="57"/>
      <c r="N164" s="57"/>
      <c r="O164" s="57"/>
      <c r="P164" s="57"/>
      <c r="Q164" s="57"/>
      <c r="R164" s="57"/>
      <c r="S164" s="57"/>
      <c r="T164" s="57"/>
      <c r="U164" s="57"/>
      <c r="V164" s="57"/>
      <c r="W164" s="57"/>
      <c r="X164" s="57"/>
      <c r="Y164" s="57"/>
      <c r="Z164" s="57"/>
    </row>
    <row r="165">
      <c r="A165" s="58">
        <v>9819422.0</v>
      </c>
      <c r="B165" s="57" t="s">
        <v>571</v>
      </c>
      <c r="C165" s="57" t="s">
        <v>210</v>
      </c>
      <c r="D165" s="58">
        <v>10.76</v>
      </c>
      <c r="E165" s="58">
        <v>1498.75</v>
      </c>
      <c r="F165" s="58">
        <v>4523521.0</v>
      </c>
      <c r="G165" s="57" t="s">
        <v>582</v>
      </c>
      <c r="H165" s="57" t="s">
        <v>583</v>
      </c>
      <c r="I165" s="57"/>
      <c r="J165" s="57"/>
      <c r="K165" s="57"/>
      <c r="L165" s="57"/>
      <c r="M165" s="57"/>
      <c r="N165" s="57"/>
      <c r="O165" s="57"/>
      <c r="P165" s="57"/>
      <c r="Q165" s="57"/>
      <c r="R165" s="57"/>
      <c r="S165" s="57"/>
      <c r="T165" s="57"/>
      <c r="U165" s="57"/>
      <c r="V165" s="57"/>
      <c r="W165" s="57"/>
      <c r="X165" s="57"/>
      <c r="Y165" s="57"/>
      <c r="Z165" s="57"/>
    </row>
    <row r="166">
      <c r="A166" s="58">
        <v>9819333.0</v>
      </c>
      <c r="B166" s="57" t="s">
        <v>571</v>
      </c>
      <c r="C166" s="57" t="s">
        <v>210</v>
      </c>
      <c r="D166" s="58">
        <v>12.12</v>
      </c>
      <c r="E166" s="58">
        <v>1486.63</v>
      </c>
      <c r="F166" s="58">
        <v>4523344.0</v>
      </c>
      <c r="G166" s="57" t="s">
        <v>584</v>
      </c>
      <c r="H166" s="57" t="s">
        <v>585</v>
      </c>
      <c r="I166" s="57"/>
      <c r="J166" s="57"/>
      <c r="K166" s="57"/>
      <c r="L166" s="57"/>
      <c r="M166" s="57"/>
      <c r="N166" s="57"/>
      <c r="O166" s="57"/>
      <c r="P166" s="57"/>
      <c r="Q166" s="57"/>
      <c r="R166" s="57"/>
      <c r="S166" s="57"/>
      <c r="T166" s="57"/>
      <c r="U166" s="57"/>
      <c r="V166" s="57"/>
      <c r="W166" s="57"/>
      <c r="X166" s="57"/>
      <c r="Y166" s="57"/>
      <c r="Z166" s="57"/>
    </row>
    <row r="167">
      <c r="A167" s="58">
        <v>9818729.0</v>
      </c>
      <c r="B167" s="57" t="s">
        <v>571</v>
      </c>
      <c r="C167" s="57" t="s">
        <v>210</v>
      </c>
      <c r="D167" s="58">
        <v>16.64</v>
      </c>
      <c r="E167" s="58">
        <v>1469.99</v>
      </c>
      <c r="F167" s="58">
        <v>4522138.0</v>
      </c>
      <c r="G167" s="57" t="s">
        <v>586</v>
      </c>
      <c r="H167" s="57" t="s">
        <v>587</v>
      </c>
      <c r="I167" s="57"/>
      <c r="J167" s="57"/>
      <c r="K167" s="57"/>
      <c r="L167" s="57"/>
      <c r="M167" s="57"/>
      <c r="N167" s="57"/>
      <c r="O167" s="57"/>
      <c r="P167" s="57"/>
      <c r="Q167" s="57"/>
      <c r="R167" s="57"/>
      <c r="S167" s="57"/>
      <c r="T167" s="57"/>
      <c r="U167" s="57"/>
      <c r="V167" s="57"/>
      <c r="W167" s="57"/>
      <c r="X167" s="57"/>
      <c r="Y167" s="57"/>
      <c r="Z167" s="57"/>
    </row>
    <row r="168">
      <c r="A168" s="58">
        <v>9818155.0</v>
      </c>
      <c r="B168" s="57" t="s">
        <v>571</v>
      </c>
      <c r="C168" s="57" t="s">
        <v>210</v>
      </c>
      <c r="D168" s="58">
        <v>14.24</v>
      </c>
      <c r="E168" s="58">
        <v>1455.75</v>
      </c>
      <c r="F168" s="58">
        <v>4520771.0</v>
      </c>
      <c r="G168" s="57" t="s">
        <v>588</v>
      </c>
      <c r="H168" s="57" t="s">
        <v>589</v>
      </c>
      <c r="I168" s="57"/>
      <c r="J168" s="57"/>
      <c r="K168" s="57"/>
      <c r="L168" s="57"/>
      <c r="M168" s="57"/>
      <c r="N168" s="57"/>
      <c r="O168" s="57"/>
      <c r="P168" s="57"/>
      <c r="Q168" s="57"/>
      <c r="R168" s="57"/>
      <c r="S168" s="57"/>
      <c r="T168" s="57"/>
      <c r="U168" s="57"/>
      <c r="V168" s="57"/>
      <c r="W168" s="57"/>
      <c r="X168" s="57"/>
      <c r="Y168" s="57"/>
      <c r="Z168" s="57"/>
    </row>
    <row r="169">
      <c r="A169" s="58">
        <v>9815429.0</v>
      </c>
      <c r="B169" s="57" t="s">
        <v>590</v>
      </c>
      <c r="C169" s="57" t="s">
        <v>210</v>
      </c>
      <c r="D169" s="58">
        <v>16.64</v>
      </c>
      <c r="E169" s="58">
        <v>1439.11</v>
      </c>
      <c r="F169" s="58">
        <v>4514740.0</v>
      </c>
      <c r="G169" s="57" t="s">
        <v>591</v>
      </c>
      <c r="H169" s="57" t="s">
        <v>592</v>
      </c>
      <c r="I169" s="57"/>
      <c r="J169" s="57"/>
      <c r="K169" s="57"/>
      <c r="L169" s="57"/>
      <c r="M169" s="57"/>
      <c r="N169" s="57"/>
      <c r="O169" s="57"/>
      <c r="P169" s="57"/>
      <c r="Q169" s="57"/>
      <c r="R169" s="57"/>
      <c r="S169" s="57"/>
      <c r="T169" s="57"/>
      <c r="U169" s="57"/>
      <c r="V169" s="57"/>
      <c r="W169" s="57"/>
      <c r="X169" s="57"/>
      <c r="Y169" s="57"/>
      <c r="Z169" s="57"/>
    </row>
    <row r="170">
      <c r="A170" s="58">
        <v>9813878.0</v>
      </c>
      <c r="B170" s="57" t="s">
        <v>593</v>
      </c>
      <c r="C170" s="57" t="s">
        <v>210</v>
      </c>
      <c r="D170" s="58">
        <v>13.45</v>
      </c>
      <c r="E170" s="58">
        <v>1425.66</v>
      </c>
      <c r="F170" s="58">
        <v>4510908.0</v>
      </c>
      <c r="G170" s="57" t="s">
        <v>594</v>
      </c>
      <c r="H170" s="57" t="s">
        <v>595</v>
      </c>
      <c r="I170" s="57"/>
      <c r="J170" s="57"/>
      <c r="K170" s="57"/>
      <c r="L170" s="57"/>
      <c r="M170" s="57"/>
      <c r="N170" s="57"/>
      <c r="O170" s="57"/>
      <c r="P170" s="57"/>
      <c r="Q170" s="57"/>
      <c r="R170" s="57"/>
      <c r="S170" s="57"/>
      <c r="T170" s="57"/>
      <c r="U170" s="57"/>
      <c r="V170" s="57"/>
      <c r="W170" s="57"/>
      <c r="X170" s="57"/>
      <c r="Y170" s="57"/>
      <c r="Z170" s="57"/>
    </row>
    <row r="171">
      <c r="A171" s="58">
        <v>9813303.0</v>
      </c>
      <c r="B171" s="57" t="s">
        <v>593</v>
      </c>
      <c r="C171" s="57" t="s">
        <v>210</v>
      </c>
      <c r="D171" s="58">
        <v>18.25</v>
      </c>
      <c r="E171" s="58">
        <v>1407.41</v>
      </c>
      <c r="F171" s="58">
        <v>4509734.0</v>
      </c>
      <c r="G171" s="57" t="s">
        <v>596</v>
      </c>
      <c r="H171" s="57" t="s">
        <v>597</v>
      </c>
      <c r="I171" s="57"/>
      <c r="J171" s="57"/>
      <c r="K171" s="57"/>
      <c r="L171" s="57"/>
      <c r="M171" s="57"/>
      <c r="N171" s="57"/>
      <c r="O171" s="57"/>
      <c r="P171" s="57"/>
      <c r="Q171" s="57"/>
      <c r="R171" s="57"/>
      <c r="S171" s="57"/>
      <c r="T171" s="57"/>
      <c r="U171" s="57"/>
      <c r="V171" s="57"/>
      <c r="W171" s="57"/>
      <c r="X171" s="57"/>
      <c r="Y171" s="57"/>
      <c r="Z171" s="57"/>
    </row>
    <row r="172">
      <c r="A172" s="58">
        <v>9812549.0</v>
      </c>
      <c r="B172" s="57" t="s">
        <v>593</v>
      </c>
      <c r="C172" s="57" t="s">
        <v>210</v>
      </c>
      <c r="D172" s="58">
        <v>11.45</v>
      </c>
      <c r="E172" s="58">
        <v>1395.96</v>
      </c>
      <c r="F172" s="58">
        <v>4507830.0</v>
      </c>
      <c r="G172" s="57" t="s">
        <v>598</v>
      </c>
      <c r="H172" s="57" t="s">
        <v>599</v>
      </c>
      <c r="I172" s="57"/>
      <c r="J172" s="57"/>
      <c r="K172" s="57"/>
      <c r="L172" s="57"/>
      <c r="M172" s="57"/>
      <c r="N172" s="57"/>
      <c r="O172" s="57"/>
      <c r="P172" s="57"/>
      <c r="Q172" s="57"/>
      <c r="R172" s="57"/>
      <c r="S172" s="57"/>
      <c r="T172" s="57"/>
      <c r="U172" s="57"/>
      <c r="V172" s="57"/>
      <c r="W172" s="57"/>
      <c r="X172" s="57"/>
      <c r="Y172" s="57"/>
      <c r="Z172" s="57"/>
    </row>
    <row r="173">
      <c r="A173" s="58">
        <v>9812350.0</v>
      </c>
      <c r="B173" s="57" t="s">
        <v>593</v>
      </c>
      <c r="C173" s="57" t="s">
        <v>210</v>
      </c>
      <c r="D173" s="58">
        <v>14.24</v>
      </c>
      <c r="E173" s="58">
        <v>1381.72</v>
      </c>
      <c r="F173" s="58">
        <v>4507249.0</v>
      </c>
      <c r="G173" s="57" t="s">
        <v>600</v>
      </c>
      <c r="H173" s="57" t="s">
        <v>601</v>
      </c>
      <c r="I173" s="57"/>
      <c r="J173" s="57"/>
      <c r="K173" s="57"/>
      <c r="L173" s="57"/>
      <c r="M173" s="57"/>
      <c r="N173" s="57"/>
      <c r="O173" s="57"/>
      <c r="P173" s="57"/>
      <c r="Q173" s="57"/>
      <c r="R173" s="57"/>
      <c r="S173" s="57"/>
      <c r="T173" s="57"/>
      <c r="U173" s="57"/>
      <c r="V173" s="57"/>
      <c r="W173" s="57"/>
      <c r="X173" s="57"/>
      <c r="Y173" s="57"/>
      <c r="Z173" s="57"/>
    </row>
    <row r="174">
      <c r="A174" s="58">
        <v>9812247.0</v>
      </c>
      <c r="B174" s="57" t="s">
        <v>593</v>
      </c>
      <c r="C174" s="57" t="s">
        <v>210</v>
      </c>
      <c r="D174" s="58">
        <v>13.17</v>
      </c>
      <c r="E174" s="58">
        <v>1368.55</v>
      </c>
      <c r="F174" s="58">
        <v>4506847.0</v>
      </c>
      <c r="G174" s="57" t="s">
        <v>602</v>
      </c>
      <c r="H174" s="57" t="s">
        <v>603</v>
      </c>
      <c r="I174" s="57"/>
      <c r="J174" s="57"/>
      <c r="K174" s="57"/>
      <c r="L174" s="57"/>
      <c r="M174" s="57"/>
      <c r="N174" s="57"/>
      <c r="O174" s="57"/>
      <c r="P174" s="57"/>
      <c r="Q174" s="57"/>
      <c r="R174" s="57"/>
      <c r="S174" s="57"/>
      <c r="T174" s="57"/>
      <c r="U174" s="57"/>
      <c r="V174" s="57"/>
      <c r="W174" s="57"/>
      <c r="X174" s="57"/>
      <c r="Y174" s="57"/>
      <c r="Z174" s="57"/>
    </row>
    <row r="175">
      <c r="A175" s="58">
        <v>9812104.0</v>
      </c>
      <c r="B175" s="57" t="s">
        <v>593</v>
      </c>
      <c r="C175" s="57" t="s">
        <v>210</v>
      </c>
      <c r="D175" s="58">
        <v>14.24</v>
      </c>
      <c r="E175" s="58">
        <v>1354.31</v>
      </c>
      <c r="F175" s="58">
        <v>4506426.0</v>
      </c>
      <c r="G175" s="57" t="s">
        <v>604</v>
      </c>
      <c r="H175" s="57" t="s">
        <v>605</v>
      </c>
      <c r="I175" s="57"/>
      <c r="J175" s="57"/>
      <c r="K175" s="57"/>
      <c r="L175" s="57"/>
      <c r="M175" s="57"/>
      <c r="N175" s="57"/>
      <c r="O175" s="57"/>
      <c r="P175" s="57"/>
      <c r="Q175" s="57"/>
      <c r="R175" s="57"/>
      <c r="S175" s="57"/>
      <c r="T175" s="57"/>
      <c r="U175" s="57"/>
      <c r="V175" s="57"/>
      <c r="W175" s="57"/>
      <c r="X175" s="57"/>
      <c r="Y175" s="57"/>
      <c r="Z175" s="57"/>
    </row>
    <row r="176">
      <c r="A176" s="58">
        <v>9811449.0</v>
      </c>
      <c r="B176" s="57" t="s">
        <v>593</v>
      </c>
      <c r="C176" s="57" t="s">
        <v>210</v>
      </c>
      <c r="D176" s="58">
        <v>9.91</v>
      </c>
      <c r="E176" s="58">
        <v>1344.4</v>
      </c>
      <c r="F176" s="58">
        <v>4504457.0</v>
      </c>
      <c r="G176" s="57" t="s">
        <v>606</v>
      </c>
      <c r="H176" s="57" t="s">
        <v>607</v>
      </c>
      <c r="I176" s="57"/>
      <c r="J176" s="57"/>
      <c r="K176" s="57"/>
      <c r="L176" s="57"/>
      <c r="M176" s="57"/>
      <c r="N176" s="57"/>
      <c r="O176" s="57"/>
      <c r="P176" s="57"/>
      <c r="Q176" s="57"/>
      <c r="R176" s="57"/>
      <c r="S176" s="57"/>
      <c r="T176" s="57"/>
      <c r="U176" s="57"/>
      <c r="V176" s="57"/>
      <c r="W176" s="57"/>
      <c r="X176" s="57"/>
      <c r="Y176" s="57"/>
      <c r="Z176" s="57"/>
    </row>
    <row r="177">
      <c r="A177" s="58">
        <v>9811089.0</v>
      </c>
      <c r="B177" s="57" t="s">
        <v>593</v>
      </c>
      <c r="C177" s="57" t="s">
        <v>210</v>
      </c>
      <c r="D177" s="58">
        <v>10.96</v>
      </c>
      <c r="E177" s="58">
        <v>1333.44</v>
      </c>
      <c r="F177" s="58">
        <v>4503209.0</v>
      </c>
      <c r="G177" s="57" t="s">
        <v>608</v>
      </c>
      <c r="H177" s="57" t="s">
        <v>609</v>
      </c>
      <c r="I177" s="57"/>
      <c r="J177" s="57"/>
      <c r="K177" s="57"/>
      <c r="L177" s="57"/>
      <c r="M177" s="57"/>
      <c r="N177" s="57"/>
      <c r="O177" s="57"/>
      <c r="P177" s="57"/>
      <c r="Q177" s="57"/>
      <c r="R177" s="57"/>
      <c r="S177" s="57"/>
      <c r="T177" s="57"/>
      <c r="U177" s="57"/>
      <c r="V177" s="57"/>
      <c r="W177" s="57"/>
      <c r="X177" s="57"/>
      <c r="Y177" s="57"/>
      <c r="Z177" s="57"/>
    </row>
    <row r="178">
      <c r="A178" s="58">
        <v>9810631.0</v>
      </c>
      <c r="B178" s="57" t="s">
        <v>593</v>
      </c>
      <c r="C178" s="57" t="s">
        <v>210</v>
      </c>
      <c r="D178" s="58">
        <v>11.84</v>
      </c>
      <c r="E178" s="58">
        <v>1321.6</v>
      </c>
      <c r="F178" s="58">
        <v>4501793.0</v>
      </c>
      <c r="G178" s="57" t="s">
        <v>610</v>
      </c>
      <c r="H178" s="57" t="s">
        <v>611</v>
      </c>
      <c r="I178" s="57"/>
      <c r="J178" s="57"/>
      <c r="K178" s="57"/>
      <c r="L178" s="57"/>
      <c r="M178" s="57"/>
      <c r="N178" s="57"/>
      <c r="O178" s="57"/>
      <c r="P178" s="57"/>
      <c r="Q178" s="57"/>
      <c r="R178" s="57"/>
      <c r="S178" s="57"/>
      <c r="T178" s="57"/>
      <c r="U178" s="57"/>
      <c r="V178" s="57"/>
      <c r="W178" s="57"/>
      <c r="X178" s="57"/>
      <c r="Y178" s="57"/>
      <c r="Z178" s="57"/>
    </row>
    <row r="179">
      <c r="A179" s="58">
        <v>9810485.0</v>
      </c>
      <c r="B179" s="57" t="s">
        <v>593</v>
      </c>
      <c r="C179" s="57" t="s">
        <v>210</v>
      </c>
      <c r="D179" s="58">
        <v>14.17</v>
      </c>
      <c r="E179" s="58">
        <v>1307.43</v>
      </c>
      <c r="F179" s="58">
        <v>4501338.0</v>
      </c>
      <c r="G179" s="57" t="s">
        <v>612</v>
      </c>
      <c r="H179" s="57" t="s">
        <v>613</v>
      </c>
      <c r="I179" s="57"/>
      <c r="J179" s="57"/>
      <c r="K179" s="57"/>
      <c r="L179" s="57"/>
      <c r="M179" s="57"/>
      <c r="N179" s="57"/>
      <c r="O179" s="57"/>
      <c r="P179" s="57"/>
      <c r="Q179" s="57"/>
      <c r="R179" s="57"/>
      <c r="S179" s="57"/>
      <c r="T179" s="57"/>
      <c r="U179" s="57"/>
      <c r="V179" s="57"/>
      <c r="W179" s="57"/>
      <c r="X179" s="57"/>
      <c r="Y179" s="57"/>
      <c r="Z179" s="57"/>
    </row>
    <row r="180">
      <c r="A180" s="58">
        <v>9809961.0</v>
      </c>
      <c r="B180" s="57" t="s">
        <v>614</v>
      </c>
      <c r="C180" s="57" t="s">
        <v>210</v>
      </c>
      <c r="D180" s="58">
        <v>15.36</v>
      </c>
      <c r="E180" s="58">
        <v>1292.07</v>
      </c>
      <c r="F180" s="58">
        <v>4499702.0</v>
      </c>
      <c r="G180" s="57" t="s">
        <v>615</v>
      </c>
      <c r="H180" s="57" t="s">
        <v>616</v>
      </c>
      <c r="I180" s="57"/>
      <c r="J180" s="57"/>
      <c r="K180" s="57"/>
      <c r="L180" s="57"/>
      <c r="M180" s="57"/>
      <c r="N180" s="57"/>
      <c r="O180" s="57"/>
      <c r="P180" s="57"/>
      <c r="Q180" s="57"/>
      <c r="R180" s="57"/>
      <c r="S180" s="57"/>
      <c r="T180" s="57"/>
      <c r="U180" s="57"/>
      <c r="V180" s="57"/>
      <c r="W180" s="57"/>
      <c r="X180" s="57"/>
      <c r="Y180" s="57"/>
      <c r="Z180" s="57"/>
    </row>
    <row r="181">
      <c r="A181" s="58">
        <v>9809442.0</v>
      </c>
      <c r="B181" s="57" t="s">
        <v>614</v>
      </c>
      <c r="C181" s="57" t="s">
        <v>210</v>
      </c>
      <c r="D181" s="58">
        <v>15.32</v>
      </c>
      <c r="E181" s="58">
        <v>1276.75</v>
      </c>
      <c r="F181" s="58">
        <v>4497580.0</v>
      </c>
      <c r="G181" s="57" t="s">
        <v>617</v>
      </c>
      <c r="H181" s="57" t="s">
        <v>618</v>
      </c>
      <c r="I181" s="57"/>
      <c r="J181" s="57"/>
      <c r="K181" s="57"/>
      <c r="L181" s="57"/>
      <c r="M181" s="57"/>
      <c r="N181" s="57"/>
      <c r="O181" s="57"/>
      <c r="P181" s="57"/>
      <c r="Q181" s="57"/>
      <c r="R181" s="57"/>
      <c r="S181" s="57"/>
      <c r="T181" s="57"/>
      <c r="U181" s="57"/>
      <c r="V181" s="57"/>
      <c r="W181" s="57"/>
      <c r="X181" s="57"/>
      <c r="Y181" s="57"/>
      <c r="Z181" s="57"/>
    </row>
    <row r="182">
      <c r="A182" s="58">
        <v>9804980.0</v>
      </c>
      <c r="B182" s="57" t="s">
        <v>619</v>
      </c>
      <c r="C182" s="57" t="s">
        <v>210</v>
      </c>
      <c r="D182" s="58">
        <v>10.74</v>
      </c>
      <c r="E182" s="58">
        <v>1266.01</v>
      </c>
      <c r="F182" s="58">
        <v>4451903.0</v>
      </c>
      <c r="G182" s="57" t="s">
        <v>620</v>
      </c>
      <c r="H182" s="57" t="s">
        <v>621</v>
      </c>
      <c r="I182" s="57"/>
      <c r="J182" s="57"/>
      <c r="K182" s="57"/>
      <c r="L182" s="57"/>
      <c r="M182" s="57"/>
      <c r="N182" s="57"/>
      <c r="O182" s="57"/>
      <c r="P182" s="57"/>
      <c r="Q182" s="57"/>
      <c r="R182" s="57"/>
      <c r="S182" s="57"/>
      <c r="T182" s="57"/>
      <c r="U182" s="57"/>
      <c r="V182" s="57"/>
      <c r="W182" s="57"/>
      <c r="X182" s="57"/>
      <c r="Y182" s="57"/>
      <c r="Z182" s="57"/>
    </row>
    <row r="183">
      <c r="A183" s="58">
        <v>9804644.0</v>
      </c>
      <c r="B183" s="57" t="s">
        <v>619</v>
      </c>
      <c r="C183" s="57" t="s">
        <v>210</v>
      </c>
      <c r="D183" s="58">
        <v>14.64</v>
      </c>
      <c r="E183" s="58">
        <v>1251.37</v>
      </c>
      <c r="F183" s="58">
        <v>4442327.0</v>
      </c>
      <c r="G183" s="57" t="s">
        <v>622</v>
      </c>
      <c r="H183" s="57" t="s">
        <v>623</v>
      </c>
      <c r="I183" s="57"/>
      <c r="J183" s="57"/>
      <c r="K183" s="57"/>
      <c r="L183" s="57"/>
      <c r="M183" s="57"/>
      <c r="N183" s="57"/>
      <c r="O183" s="57"/>
      <c r="P183" s="57"/>
      <c r="Q183" s="57"/>
      <c r="R183" s="57"/>
      <c r="S183" s="57"/>
      <c r="T183" s="57"/>
      <c r="U183" s="57"/>
      <c r="V183" s="57"/>
      <c r="W183" s="57"/>
      <c r="X183" s="57"/>
      <c r="Y183" s="57"/>
      <c r="Z183" s="57"/>
    </row>
    <row r="184">
      <c r="A184" s="58">
        <v>9801126.0</v>
      </c>
      <c r="B184" s="57" t="s">
        <v>624</v>
      </c>
      <c r="C184" s="57" t="s">
        <v>247</v>
      </c>
      <c r="D184" s="58">
        <v>5.12</v>
      </c>
      <c r="E184" s="58">
        <v>1256.49</v>
      </c>
      <c r="F184" s="58">
        <v>4432078.0</v>
      </c>
      <c r="G184" s="57" t="s">
        <v>625</v>
      </c>
      <c r="H184" s="57" t="s">
        <v>626</v>
      </c>
      <c r="I184" s="57"/>
      <c r="J184" s="57"/>
      <c r="K184" s="57"/>
      <c r="L184" s="57"/>
      <c r="M184" s="57"/>
      <c r="N184" s="57"/>
      <c r="O184" s="57"/>
      <c r="P184" s="57"/>
      <c r="Q184" s="57"/>
      <c r="R184" s="57"/>
      <c r="S184" s="57"/>
      <c r="T184" s="57"/>
      <c r="U184" s="57"/>
      <c r="V184" s="57"/>
      <c r="W184" s="57"/>
      <c r="X184" s="57"/>
      <c r="Y184" s="57"/>
      <c r="Z184" s="57"/>
    </row>
    <row r="185">
      <c r="A185" s="58">
        <v>9800611.0</v>
      </c>
      <c r="B185" s="57" t="s">
        <v>627</v>
      </c>
      <c r="C185" s="57" t="s">
        <v>247</v>
      </c>
      <c r="D185" s="58">
        <v>5.09</v>
      </c>
      <c r="E185" s="58">
        <v>1261.58</v>
      </c>
      <c r="F185" s="58">
        <v>4418721.0</v>
      </c>
      <c r="G185" s="57" t="s">
        <v>628</v>
      </c>
      <c r="H185" s="57" t="s">
        <v>629</v>
      </c>
      <c r="I185" s="57"/>
      <c r="J185" s="57"/>
      <c r="K185" s="57"/>
      <c r="L185" s="57"/>
      <c r="M185" s="57"/>
      <c r="N185" s="57"/>
      <c r="O185" s="57"/>
      <c r="P185" s="57"/>
      <c r="Q185" s="57"/>
      <c r="R185" s="57"/>
      <c r="S185" s="57"/>
      <c r="T185" s="57"/>
      <c r="U185" s="57"/>
      <c r="V185" s="57"/>
      <c r="W185" s="57"/>
      <c r="X185" s="57"/>
      <c r="Y185" s="57"/>
      <c r="Z185" s="57"/>
    </row>
    <row r="186">
      <c r="A186" s="58">
        <v>9800274.0</v>
      </c>
      <c r="B186" s="57" t="s">
        <v>630</v>
      </c>
      <c r="C186" s="57" t="s">
        <v>247</v>
      </c>
      <c r="D186" s="58">
        <v>5.09</v>
      </c>
      <c r="E186" s="58">
        <v>1266.67</v>
      </c>
      <c r="F186" s="58">
        <v>4418764.0</v>
      </c>
      <c r="G186" s="57" t="s">
        <v>631</v>
      </c>
      <c r="H186" s="57" t="s">
        <v>632</v>
      </c>
      <c r="I186" s="57"/>
      <c r="J186" s="57"/>
      <c r="K186" s="57"/>
      <c r="L186" s="57"/>
      <c r="M186" s="57"/>
      <c r="N186" s="57"/>
      <c r="O186" s="57"/>
      <c r="P186" s="57"/>
      <c r="Q186" s="57"/>
      <c r="R186" s="57"/>
      <c r="S186" s="57"/>
      <c r="T186" s="57"/>
      <c r="U186" s="57"/>
      <c r="V186" s="57"/>
      <c r="W186" s="57"/>
      <c r="X186" s="57"/>
      <c r="Y186" s="57"/>
      <c r="Z186" s="57"/>
    </row>
    <row r="187">
      <c r="A187" s="58">
        <v>9800192.0</v>
      </c>
      <c r="B187" s="57" t="s">
        <v>633</v>
      </c>
      <c r="C187" s="57" t="s">
        <v>247</v>
      </c>
      <c r="D187" s="58">
        <v>4.5</v>
      </c>
      <c r="E187" s="58">
        <v>1271.17</v>
      </c>
      <c r="F187" s="58">
        <v>4406617.0</v>
      </c>
      <c r="G187" s="57" t="s">
        <v>634</v>
      </c>
      <c r="H187" s="57" t="s">
        <v>635</v>
      </c>
      <c r="I187" s="57"/>
      <c r="J187" s="57"/>
      <c r="K187" s="57"/>
      <c r="L187" s="57"/>
      <c r="M187" s="57"/>
      <c r="N187" s="57"/>
      <c r="O187" s="57"/>
      <c r="P187" s="57"/>
      <c r="Q187" s="57"/>
      <c r="R187" s="57"/>
      <c r="S187" s="57"/>
      <c r="T187" s="57"/>
      <c r="U187" s="57"/>
      <c r="V187" s="57"/>
      <c r="W187" s="57"/>
      <c r="X187" s="57"/>
      <c r="Y187" s="57"/>
      <c r="Z187" s="57"/>
    </row>
    <row r="188">
      <c r="A188" s="58">
        <v>9799917.0</v>
      </c>
      <c r="B188" s="57" t="s">
        <v>636</v>
      </c>
      <c r="C188" s="57" t="s">
        <v>247</v>
      </c>
      <c r="D188" s="58">
        <v>5.09</v>
      </c>
      <c r="E188" s="58">
        <v>1276.26</v>
      </c>
      <c r="F188" s="58">
        <v>4363796.0</v>
      </c>
      <c r="G188" s="57" t="s">
        <v>637</v>
      </c>
      <c r="H188" s="57" t="s">
        <v>638</v>
      </c>
      <c r="I188" s="57"/>
      <c r="J188" s="57"/>
      <c r="K188" s="57"/>
      <c r="L188" s="57"/>
      <c r="M188" s="57"/>
      <c r="N188" s="57"/>
      <c r="O188" s="57"/>
      <c r="P188" s="57"/>
      <c r="Q188" s="57"/>
      <c r="R188" s="57"/>
      <c r="S188" s="57"/>
      <c r="T188" s="57"/>
      <c r="U188" s="57"/>
      <c r="V188" s="57"/>
      <c r="W188" s="57"/>
      <c r="X188" s="57"/>
      <c r="Y188" s="57"/>
      <c r="Z188" s="57"/>
    </row>
    <row r="189">
      <c r="A189" s="58">
        <v>9799635.0</v>
      </c>
      <c r="B189" s="57" t="s">
        <v>639</v>
      </c>
      <c r="C189" s="57" t="s">
        <v>247</v>
      </c>
      <c r="D189" s="58">
        <v>7.75</v>
      </c>
      <c r="E189" s="58">
        <v>1284.01</v>
      </c>
      <c r="F189" s="58">
        <v>4348506.0</v>
      </c>
      <c r="G189" s="58">
        <v>1.86995637E8</v>
      </c>
      <c r="H189" s="57" t="s">
        <v>640</v>
      </c>
      <c r="I189" s="57"/>
      <c r="J189" s="57"/>
      <c r="K189" s="57"/>
      <c r="L189" s="57"/>
      <c r="M189" s="57"/>
      <c r="N189" s="57"/>
      <c r="O189" s="57"/>
      <c r="P189" s="57"/>
      <c r="Q189" s="57"/>
      <c r="R189" s="57"/>
      <c r="S189" s="57"/>
      <c r="T189" s="57"/>
      <c r="U189" s="57"/>
      <c r="V189" s="57"/>
      <c r="W189" s="57"/>
      <c r="X189" s="57"/>
      <c r="Y189" s="57"/>
      <c r="Z189" s="57"/>
    </row>
    <row r="190">
      <c r="A190" s="58">
        <v>9791734.0</v>
      </c>
      <c r="B190" s="57" t="s">
        <v>641</v>
      </c>
      <c r="C190" s="57" t="s">
        <v>210</v>
      </c>
      <c r="D190" s="58">
        <v>7.49</v>
      </c>
      <c r="E190" s="58">
        <v>1276.52</v>
      </c>
      <c r="F190" s="58">
        <v>4523386.0</v>
      </c>
      <c r="G190" s="57" t="s">
        <v>642</v>
      </c>
      <c r="H190" s="57" t="s">
        <v>643</v>
      </c>
      <c r="I190" s="57"/>
      <c r="J190" s="57"/>
      <c r="K190" s="57"/>
      <c r="L190" s="57"/>
      <c r="M190" s="57"/>
      <c r="N190" s="57"/>
      <c r="O190" s="57"/>
      <c r="P190" s="57"/>
      <c r="Q190" s="57"/>
      <c r="R190" s="57"/>
      <c r="S190" s="57"/>
      <c r="T190" s="57"/>
      <c r="U190" s="57"/>
      <c r="V190" s="57"/>
      <c r="W190" s="57"/>
      <c r="X190" s="57"/>
      <c r="Y190" s="57"/>
      <c r="Z190" s="57"/>
    </row>
    <row r="191">
      <c r="A191" s="58">
        <v>9779280.0</v>
      </c>
      <c r="B191" s="57" t="s">
        <v>644</v>
      </c>
      <c r="C191" s="57" t="s">
        <v>210</v>
      </c>
      <c r="D191" s="58">
        <v>10.96</v>
      </c>
      <c r="E191" s="58">
        <v>1265.56</v>
      </c>
      <c r="F191" s="58">
        <v>4489527.0</v>
      </c>
      <c r="G191" s="57" t="s">
        <v>645</v>
      </c>
      <c r="H191" s="57" t="s">
        <v>646</v>
      </c>
      <c r="I191" s="57"/>
      <c r="J191" s="57"/>
      <c r="K191" s="57"/>
      <c r="L191" s="57"/>
      <c r="M191" s="57"/>
      <c r="N191" s="57"/>
      <c r="O191" s="57"/>
      <c r="P191" s="57"/>
      <c r="Q191" s="57"/>
      <c r="R191" s="57"/>
      <c r="S191" s="57"/>
      <c r="T191" s="57"/>
      <c r="U191" s="57"/>
      <c r="V191" s="57"/>
      <c r="W191" s="57"/>
      <c r="X191" s="57"/>
      <c r="Y191" s="57"/>
      <c r="Z191" s="57"/>
    </row>
    <row r="192">
      <c r="A192" s="58">
        <v>9777842.0</v>
      </c>
      <c r="B192" s="57" t="s">
        <v>644</v>
      </c>
      <c r="C192" s="57" t="s">
        <v>210</v>
      </c>
      <c r="D192" s="58">
        <v>14.24</v>
      </c>
      <c r="E192" s="58">
        <v>1251.32</v>
      </c>
      <c r="F192" s="58">
        <v>4483280.0</v>
      </c>
      <c r="G192" s="57" t="s">
        <v>647</v>
      </c>
      <c r="H192" s="57" t="s">
        <v>648</v>
      </c>
      <c r="I192" s="57"/>
      <c r="J192" s="57"/>
      <c r="K192" s="57"/>
      <c r="L192" s="57"/>
      <c r="M192" s="57"/>
      <c r="N192" s="57"/>
      <c r="O192" s="57"/>
      <c r="P192" s="57"/>
      <c r="Q192" s="57"/>
      <c r="R192" s="57"/>
      <c r="S192" s="57"/>
      <c r="T192" s="57"/>
      <c r="U192" s="57"/>
      <c r="V192" s="57"/>
      <c r="W192" s="57"/>
      <c r="X192" s="57"/>
      <c r="Y192" s="57"/>
      <c r="Z192" s="57"/>
    </row>
    <row r="193">
      <c r="A193" s="58">
        <v>9777684.0</v>
      </c>
      <c r="B193" s="57" t="s">
        <v>644</v>
      </c>
      <c r="C193" s="57" t="s">
        <v>210</v>
      </c>
      <c r="D193" s="58">
        <v>9.79</v>
      </c>
      <c r="E193" s="58">
        <v>1241.53</v>
      </c>
      <c r="F193" s="58">
        <v>4482562.0</v>
      </c>
      <c r="G193" s="57" t="s">
        <v>649</v>
      </c>
      <c r="H193" s="57" t="s">
        <v>650</v>
      </c>
      <c r="I193" s="57"/>
      <c r="J193" s="57"/>
      <c r="K193" s="57"/>
      <c r="L193" s="57"/>
      <c r="M193" s="57"/>
      <c r="N193" s="57"/>
      <c r="O193" s="57"/>
      <c r="P193" s="57"/>
      <c r="Q193" s="57"/>
      <c r="R193" s="57"/>
      <c r="S193" s="57"/>
      <c r="T193" s="57"/>
      <c r="U193" s="57"/>
      <c r="V193" s="57"/>
      <c r="W193" s="57"/>
      <c r="X193" s="57"/>
      <c r="Y193" s="57"/>
      <c r="Z193" s="57"/>
    </row>
    <row r="194">
      <c r="A194" s="58">
        <v>9772544.0</v>
      </c>
      <c r="B194" s="57" t="s">
        <v>651</v>
      </c>
      <c r="C194" s="57" t="s">
        <v>210</v>
      </c>
      <c r="D194" s="58">
        <v>13.17</v>
      </c>
      <c r="E194" s="58">
        <v>1228.36</v>
      </c>
      <c r="F194" s="58">
        <v>4432104.0</v>
      </c>
      <c r="G194" s="57" t="s">
        <v>652</v>
      </c>
      <c r="H194" s="57" t="s">
        <v>653</v>
      </c>
      <c r="I194" s="57"/>
      <c r="J194" s="57"/>
      <c r="K194" s="57"/>
      <c r="L194" s="57"/>
      <c r="M194" s="57"/>
      <c r="N194" s="57"/>
      <c r="O194" s="57"/>
      <c r="P194" s="57"/>
      <c r="Q194" s="57"/>
      <c r="R194" s="57"/>
      <c r="S194" s="57"/>
      <c r="T194" s="57"/>
      <c r="U194" s="57"/>
      <c r="V194" s="57"/>
      <c r="W194" s="57"/>
      <c r="X194" s="57"/>
      <c r="Y194" s="57"/>
      <c r="Z194" s="57"/>
    </row>
    <row r="195">
      <c r="A195" s="58">
        <v>9772541.0</v>
      </c>
      <c r="B195" s="57" t="s">
        <v>651</v>
      </c>
      <c r="C195" s="57" t="s">
        <v>210</v>
      </c>
      <c r="D195" s="58">
        <v>17.24</v>
      </c>
      <c r="E195" s="58">
        <v>1211.12</v>
      </c>
      <c r="F195" s="58">
        <v>4432024.0</v>
      </c>
      <c r="G195" s="57" t="s">
        <v>654</v>
      </c>
      <c r="H195" s="57" t="s">
        <v>655</v>
      </c>
      <c r="I195" s="57"/>
      <c r="J195" s="57"/>
      <c r="K195" s="57"/>
      <c r="L195" s="57"/>
      <c r="M195" s="57"/>
      <c r="N195" s="57"/>
      <c r="O195" s="57"/>
      <c r="P195" s="57"/>
      <c r="Q195" s="57"/>
      <c r="R195" s="57"/>
      <c r="S195" s="57"/>
      <c r="T195" s="57"/>
      <c r="U195" s="57"/>
      <c r="V195" s="57"/>
      <c r="W195" s="57"/>
      <c r="X195" s="57"/>
      <c r="Y195" s="57"/>
      <c r="Z195" s="57"/>
    </row>
    <row r="196">
      <c r="A196" s="58">
        <v>9768449.0</v>
      </c>
      <c r="B196" s="57" t="s">
        <v>656</v>
      </c>
      <c r="C196" s="57" t="s">
        <v>247</v>
      </c>
      <c r="D196" s="58">
        <v>5.07</v>
      </c>
      <c r="E196" s="58">
        <v>1216.19</v>
      </c>
      <c r="F196" s="58">
        <v>4418735.0</v>
      </c>
      <c r="G196" s="57" t="s">
        <v>657</v>
      </c>
      <c r="H196" s="57" t="s">
        <v>658</v>
      </c>
      <c r="I196" s="57"/>
      <c r="J196" s="57"/>
      <c r="K196" s="57"/>
      <c r="L196" s="57"/>
      <c r="M196" s="57"/>
      <c r="N196" s="57"/>
      <c r="O196" s="57"/>
      <c r="P196" s="57"/>
      <c r="Q196" s="57"/>
      <c r="R196" s="57"/>
      <c r="S196" s="57"/>
      <c r="T196" s="57"/>
      <c r="U196" s="57"/>
      <c r="V196" s="57"/>
      <c r="W196" s="57"/>
      <c r="X196" s="57"/>
      <c r="Y196" s="57"/>
      <c r="Z196" s="57"/>
    </row>
    <row r="197">
      <c r="A197" s="58">
        <v>9759898.0</v>
      </c>
      <c r="B197" s="57" t="s">
        <v>659</v>
      </c>
      <c r="C197" s="57" t="s">
        <v>210</v>
      </c>
      <c r="D197" s="58">
        <v>18.25</v>
      </c>
      <c r="E197" s="58">
        <v>1197.94</v>
      </c>
      <c r="F197" s="58">
        <v>4494573.0</v>
      </c>
      <c r="G197" s="57" t="s">
        <v>660</v>
      </c>
      <c r="H197" s="57" t="s">
        <v>661</v>
      </c>
      <c r="I197" s="57"/>
      <c r="J197" s="57"/>
      <c r="K197" s="57"/>
      <c r="L197" s="57"/>
      <c r="M197" s="57"/>
      <c r="N197" s="57"/>
      <c r="O197" s="57"/>
      <c r="P197" s="57"/>
      <c r="Q197" s="57"/>
      <c r="R197" s="57"/>
      <c r="S197" s="57"/>
      <c r="T197" s="57"/>
      <c r="U197" s="57"/>
      <c r="V197" s="57"/>
      <c r="W197" s="57"/>
      <c r="X197" s="57"/>
      <c r="Y197" s="57"/>
      <c r="Z197" s="57"/>
    </row>
    <row r="198">
      <c r="A198" s="58">
        <v>9758601.0</v>
      </c>
      <c r="B198" s="57" t="s">
        <v>659</v>
      </c>
      <c r="C198" s="57" t="s">
        <v>210</v>
      </c>
      <c r="D198" s="58">
        <v>15.36</v>
      </c>
      <c r="E198" s="58">
        <v>1182.58</v>
      </c>
      <c r="F198" s="58">
        <v>4492210.0</v>
      </c>
      <c r="G198" s="57" t="s">
        <v>662</v>
      </c>
      <c r="H198" s="57" t="s">
        <v>663</v>
      </c>
      <c r="I198" s="57"/>
      <c r="J198" s="57"/>
      <c r="K198" s="57"/>
      <c r="L198" s="57"/>
      <c r="M198" s="57"/>
      <c r="N198" s="57"/>
      <c r="O198" s="57"/>
      <c r="P198" s="57"/>
      <c r="Q198" s="57"/>
      <c r="R198" s="57"/>
      <c r="S198" s="57"/>
      <c r="T198" s="57"/>
      <c r="U198" s="57"/>
      <c r="V198" s="57"/>
      <c r="W198" s="57"/>
      <c r="X198" s="57"/>
      <c r="Y198" s="57"/>
      <c r="Z198" s="57"/>
    </row>
    <row r="199">
      <c r="A199" s="58">
        <v>9757581.0</v>
      </c>
      <c r="B199" s="57" t="s">
        <v>664</v>
      </c>
      <c r="C199" s="57" t="s">
        <v>210</v>
      </c>
      <c r="D199" s="58">
        <v>8.64</v>
      </c>
      <c r="E199" s="58">
        <v>1173.94</v>
      </c>
      <c r="F199" s="58">
        <v>4490176.0</v>
      </c>
      <c r="G199" s="57" t="s">
        <v>665</v>
      </c>
      <c r="H199" s="57" t="s">
        <v>666</v>
      </c>
      <c r="I199" s="57"/>
      <c r="J199" s="57"/>
      <c r="K199" s="57"/>
      <c r="L199" s="57"/>
      <c r="M199" s="57"/>
      <c r="N199" s="57"/>
      <c r="O199" s="57"/>
      <c r="P199" s="57"/>
      <c r="Q199" s="57"/>
      <c r="R199" s="57"/>
      <c r="S199" s="57"/>
      <c r="T199" s="57"/>
      <c r="U199" s="57"/>
      <c r="V199" s="57"/>
      <c r="W199" s="57"/>
      <c r="X199" s="57"/>
      <c r="Y199" s="57"/>
      <c r="Z199" s="57"/>
    </row>
    <row r="200">
      <c r="A200" s="58">
        <v>9757560.0</v>
      </c>
      <c r="B200" s="57" t="s">
        <v>664</v>
      </c>
      <c r="C200" s="57" t="s">
        <v>210</v>
      </c>
      <c r="D200" s="58">
        <v>16.64</v>
      </c>
      <c r="E200" s="58">
        <v>1157.3</v>
      </c>
      <c r="F200" s="58">
        <v>4490141.0</v>
      </c>
      <c r="G200" s="57" t="s">
        <v>667</v>
      </c>
      <c r="H200" s="57" t="s">
        <v>668</v>
      </c>
      <c r="I200" s="57"/>
      <c r="J200" s="57"/>
      <c r="K200" s="57"/>
      <c r="L200" s="57"/>
      <c r="M200" s="57"/>
      <c r="N200" s="57"/>
      <c r="O200" s="57"/>
      <c r="P200" s="57"/>
      <c r="Q200" s="57"/>
      <c r="R200" s="57"/>
      <c r="S200" s="57"/>
      <c r="T200" s="57"/>
      <c r="U200" s="57"/>
      <c r="V200" s="57"/>
      <c r="W200" s="57"/>
      <c r="X200" s="57"/>
      <c r="Y200" s="57"/>
      <c r="Z200" s="57"/>
    </row>
    <row r="201">
      <c r="A201" s="58">
        <v>9757479.0</v>
      </c>
      <c r="B201" s="57" t="s">
        <v>664</v>
      </c>
      <c r="C201" s="57" t="s">
        <v>210</v>
      </c>
      <c r="D201" s="58">
        <v>18.25</v>
      </c>
      <c r="E201" s="58">
        <v>1139.05</v>
      </c>
      <c r="F201" s="58">
        <v>4489941.0</v>
      </c>
      <c r="G201" s="57" t="s">
        <v>669</v>
      </c>
      <c r="H201" s="57" t="s">
        <v>670</v>
      </c>
      <c r="I201" s="57"/>
      <c r="J201" s="57"/>
      <c r="K201" s="57"/>
      <c r="L201" s="57"/>
      <c r="M201" s="57"/>
      <c r="N201" s="57"/>
      <c r="O201" s="57"/>
      <c r="P201" s="57"/>
      <c r="Q201" s="57"/>
      <c r="R201" s="57"/>
      <c r="S201" s="57"/>
      <c r="T201" s="57"/>
      <c r="U201" s="57"/>
      <c r="V201" s="57"/>
      <c r="W201" s="57"/>
      <c r="X201" s="57"/>
      <c r="Y201" s="57"/>
      <c r="Z201" s="57"/>
    </row>
    <row r="202">
      <c r="A202" s="58">
        <v>9756612.0</v>
      </c>
      <c r="B202" s="57" t="s">
        <v>664</v>
      </c>
      <c r="C202" s="57" t="s">
        <v>210</v>
      </c>
      <c r="D202" s="58">
        <v>11.84</v>
      </c>
      <c r="E202" s="58">
        <v>1127.21</v>
      </c>
      <c r="F202" s="58">
        <v>4488195.0</v>
      </c>
      <c r="G202" s="57" t="s">
        <v>671</v>
      </c>
      <c r="H202" s="57" t="s">
        <v>672</v>
      </c>
      <c r="I202" s="57"/>
      <c r="J202" s="57"/>
      <c r="K202" s="57"/>
      <c r="L202" s="57"/>
      <c r="M202" s="57"/>
      <c r="N202" s="57"/>
      <c r="O202" s="57"/>
      <c r="P202" s="57"/>
      <c r="Q202" s="57"/>
      <c r="R202" s="57"/>
      <c r="S202" s="57"/>
      <c r="T202" s="57"/>
      <c r="U202" s="57"/>
      <c r="V202" s="57"/>
      <c r="W202" s="57"/>
      <c r="X202" s="57"/>
      <c r="Y202" s="57"/>
      <c r="Z202" s="57"/>
    </row>
    <row r="203">
      <c r="A203" s="58">
        <v>9755911.0</v>
      </c>
      <c r="B203" s="57" t="s">
        <v>664</v>
      </c>
      <c r="C203" s="57" t="s">
        <v>210</v>
      </c>
      <c r="D203" s="58">
        <v>14.24</v>
      </c>
      <c r="E203" s="58">
        <v>1112.97</v>
      </c>
      <c r="F203" s="58">
        <v>4486357.0</v>
      </c>
      <c r="G203" s="57" t="s">
        <v>673</v>
      </c>
      <c r="H203" s="57" t="s">
        <v>674</v>
      </c>
      <c r="I203" s="57"/>
      <c r="J203" s="57"/>
      <c r="K203" s="57"/>
      <c r="L203" s="57"/>
      <c r="M203" s="57"/>
      <c r="N203" s="57"/>
      <c r="O203" s="57"/>
      <c r="P203" s="57"/>
      <c r="Q203" s="57"/>
      <c r="R203" s="57"/>
      <c r="S203" s="57"/>
      <c r="T203" s="57"/>
      <c r="U203" s="57"/>
      <c r="V203" s="57"/>
      <c r="W203" s="57"/>
      <c r="X203" s="57"/>
      <c r="Y203" s="57"/>
      <c r="Z203" s="57"/>
    </row>
    <row r="204">
      <c r="A204" s="58">
        <v>9755685.0</v>
      </c>
      <c r="B204" s="57" t="s">
        <v>664</v>
      </c>
      <c r="C204" s="57" t="s">
        <v>210</v>
      </c>
      <c r="D204" s="58">
        <v>10.96</v>
      </c>
      <c r="E204" s="58">
        <v>1102.01</v>
      </c>
      <c r="F204" s="58">
        <v>4485606.0</v>
      </c>
      <c r="G204" s="57" t="s">
        <v>675</v>
      </c>
      <c r="H204" s="57" t="s">
        <v>676</v>
      </c>
      <c r="I204" s="57"/>
      <c r="J204" s="57"/>
      <c r="K204" s="57"/>
      <c r="L204" s="57"/>
      <c r="M204" s="57"/>
      <c r="N204" s="57"/>
      <c r="O204" s="57"/>
      <c r="P204" s="57"/>
      <c r="Q204" s="57"/>
      <c r="R204" s="57"/>
      <c r="S204" s="57"/>
      <c r="T204" s="57"/>
      <c r="U204" s="57"/>
      <c r="V204" s="57"/>
      <c r="W204" s="57"/>
      <c r="X204" s="57"/>
      <c r="Y204" s="57"/>
      <c r="Z204" s="57"/>
    </row>
    <row r="205">
      <c r="A205" s="58">
        <v>9755205.0</v>
      </c>
      <c r="B205" s="57" t="s">
        <v>664</v>
      </c>
      <c r="C205" s="57" t="s">
        <v>210</v>
      </c>
      <c r="D205" s="58">
        <v>14.24</v>
      </c>
      <c r="E205" s="58">
        <v>1087.77</v>
      </c>
      <c r="F205" s="58">
        <v>4484419.0</v>
      </c>
      <c r="G205" s="57" t="s">
        <v>677</v>
      </c>
      <c r="H205" s="57" t="s">
        <v>678</v>
      </c>
      <c r="I205" s="57"/>
      <c r="J205" s="57"/>
      <c r="K205" s="57"/>
      <c r="L205" s="57"/>
      <c r="M205" s="57"/>
      <c r="N205" s="57"/>
      <c r="O205" s="57"/>
      <c r="P205" s="57"/>
      <c r="Q205" s="57"/>
      <c r="R205" s="57"/>
      <c r="S205" s="57"/>
      <c r="T205" s="57"/>
      <c r="U205" s="57"/>
      <c r="V205" s="57"/>
      <c r="W205" s="57"/>
      <c r="X205" s="57"/>
      <c r="Y205" s="57"/>
      <c r="Z205" s="57"/>
    </row>
    <row r="206">
      <c r="A206" s="58">
        <v>9755072.0</v>
      </c>
      <c r="B206" s="57" t="s">
        <v>664</v>
      </c>
      <c r="C206" s="57" t="s">
        <v>210</v>
      </c>
      <c r="D206" s="58">
        <v>14.24</v>
      </c>
      <c r="E206" s="58">
        <v>1073.53</v>
      </c>
      <c r="F206" s="58">
        <v>4484130.0</v>
      </c>
      <c r="G206" s="57" t="s">
        <v>679</v>
      </c>
      <c r="H206" s="57" t="s">
        <v>680</v>
      </c>
      <c r="I206" s="57"/>
      <c r="J206" s="57"/>
      <c r="K206" s="57"/>
      <c r="L206" s="57"/>
      <c r="M206" s="57"/>
      <c r="N206" s="57"/>
      <c r="O206" s="57"/>
      <c r="P206" s="57"/>
      <c r="Q206" s="57"/>
      <c r="R206" s="57"/>
      <c r="S206" s="57"/>
      <c r="T206" s="57"/>
      <c r="U206" s="57"/>
      <c r="V206" s="57"/>
      <c r="W206" s="57"/>
      <c r="X206" s="57"/>
      <c r="Y206" s="57"/>
      <c r="Z206" s="57"/>
    </row>
    <row r="207">
      <c r="A207" s="58">
        <v>9753925.0</v>
      </c>
      <c r="B207" s="57" t="s">
        <v>681</v>
      </c>
      <c r="C207" s="57" t="s">
        <v>210</v>
      </c>
      <c r="D207" s="58">
        <v>14.24</v>
      </c>
      <c r="E207" s="58">
        <v>1059.29</v>
      </c>
      <c r="F207" s="58">
        <v>4480883.0</v>
      </c>
      <c r="G207" s="57" t="s">
        <v>682</v>
      </c>
      <c r="H207" s="57" t="s">
        <v>683</v>
      </c>
      <c r="I207" s="57"/>
      <c r="J207" s="57"/>
      <c r="K207" s="57"/>
      <c r="L207" s="57"/>
      <c r="M207" s="57"/>
      <c r="N207" s="57"/>
      <c r="O207" s="57"/>
      <c r="P207" s="57"/>
      <c r="Q207" s="57"/>
      <c r="R207" s="57"/>
      <c r="S207" s="57"/>
      <c r="T207" s="57"/>
      <c r="U207" s="57"/>
      <c r="V207" s="57"/>
      <c r="W207" s="57"/>
      <c r="X207" s="57"/>
      <c r="Y207" s="57"/>
      <c r="Z207" s="57"/>
    </row>
    <row r="208">
      <c r="A208" s="58">
        <v>9746295.0</v>
      </c>
      <c r="B208" s="57" t="s">
        <v>684</v>
      </c>
      <c r="C208" s="57" t="s">
        <v>210</v>
      </c>
      <c r="D208" s="58">
        <v>9.79</v>
      </c>
      <c r="E208" s="58">
        <v>1049.5</v>
      </c>
      <c r="F208" s="58">
        <v>4432087.0</v>
      </c>
      <c r="G208" s="57" t="s">
        <v>685</v>
      </c>
      <c r="H208" s="57" t="s">
        <v>686</v>
      </c>
      <c r="I208" s="57"/>
      <c r="J208" s="57"/>
      <c r="K208" s="57"/>
      <c r="L208" s="57"/>
      <c r="M208" s="57"/>
      <c r="N208" s="57"/>
      <c r="O208" s="57"/>
      <c r="P208" s="57"/>
      <c r="Q208" s="57"/>
      <c r="R208" s="57"/>
      <c r="S208" s="57"/>
      <c r="T208" s="57"/>
      <c r="U208" s="57"/>
      <c r="V208" s="57"/>
      <c r="W208" s="57"/>
      <c r="X208" s="57"/>
      <c r="Y208" s="57"/>
      <c r="Z208" s="57"/>
    </row>
    <row r="209">
      <c r="A209" s="58">
        <v>9746289.0</v>
      </c>
      <c r="B209" s="57" t="s">
        <v>684</v>
      </c>
      <c r="C209" s="57" t="s">
        <v>210</v>
      </c>
      <c r="D209" s="58">
        <v>12.04</v>
      </c>
      <c r="E209" s="58">
        <v>1037.46</v>
      </c>
      <c r="F209" s="58">
        <v>4432005.0</v>
      </c>
      <c r="G209" s="57" t="s">
        <v>687</v>
      </c>
      <c r="H209" s="57" t="s">
        <v>688</v>
      </c>
      <c r="I209" s="57"/>
      <c r="J209" s="57"/>
      <c r="K209" s="57"/>
      <c r="L209" s="57"/>
      <c r="M209" s="57"/>
      <c r="N209" s="57"/>
      <c r="O209" s="57"/>
      <c r="P209" s="57"/>
      <c r="Q209" s="57"/>
      <c r="R209" s="57"/>
      <c r="S209" s="57"/>
      <c r="T209" s="57"/>
      <c r="U209" s="57"/>
      <c r="V209" s="57"/>
      <c r="W209" s="57"/>
      <c r="X209" s="57"/>
      <c r="Y209" s="57"/>
      <c r="Z209" s="57"/>
    </row>
    <row r="210">
      <c r="A210" s="58">
        <v>9741566.0</v>
      </c>
      <c r="B210" s="57" t="s">
        <v>689</v>
      </c>
      <c r="C210" s="57" t="s">
        <v>247</v>
      </c>
      <c r="D210" s="58">
        <v>7.67</v>
      </c>
      <c r="E210" s="58">
        <v>1045.13</v>
      </c>
      <c r="F210" s="58">
        <v>4366701.0</v>
      </c>
      <c r="G210" s="58">
        <v>1.86792346E8</v>
      </c>
      <c r="H210" s="57" t="s">
        <v>690</v>
      </c>
      <c r="I210" s="57"/>
      <c r="J210" s="57"/>
      <c r="K210" s="57"/>
      <c r="L210" s="57"/>
      <c r="M210" s="57"/>
      <c r="N210" s="57"/>
      <c r="O210" s="57"/>
      <c r="P210" s="57"/>
      <c r="Q210" s="57"/>
      <c r="R210" s="57"/>
      <c r="S210" s="57"/>
      <c r="T210" s="57"/>
      <c r="U210" s="57"/>
      <c r="V210" s="57"/>
      <c r="W210" s="57"/>
      <c r="X210" s="57"/>
      <c r="Y210" s="57"/>
      <c r="Z210" s="57"/>
    </row>
    <row r="211">
      <c r="A211" s="58">
        <v>9738100.0</v>
      </c>
      <c r="B211" s="57" t="s">
        <v>691</v>
      </c>
      <c r="C211" s="57" t="s">
        <v>247</v>
      </c>
      <c r="D211" s="58">
        <v>7.67</v>
      </c>
      <c r="E211" s="58">
        <v>1052.8</v>
      </c>
      <c r="F211" s="58">
        <v>4287032.0</v>
      </c>
      <c r="G211" s="58">
        <v>1.86537056E8</v>
      </c>
      <c r="H211" s="57" t="s">
        <v>692</v>
      </c>
      <c r="I211" s="57"/>
      <c r="J211" s="57"/>
      <c r="K211" s="57"/>
      <c r="L211" s="57"/>
      <c r="M211" s="57"/>
      <c r="N211" s="57"/>
      <c r="O211" s="57"/>
      <c r="P211" s="57"/>
      <c r="Q211" s="57"/>
      <c r="R211" s="57"/>
      <c r="S211" s="57"/>
      <c r="T211" s="57"/>
      <c r="U211" s="57"/>
      <c r="V211" s="57"/>
      <c r="W211" s="57"/>
      <c r="X211" s="57"/>
      <c r="Y211" s="57"/>
      <c r="Z211" s="57"/>
    </row>
    <row r="212">
      <c r="A212" s="58">
        <v>9729632.0</v>
      </c>
      <c r="B212" s="57" t="s">
        <v>693</v>
      </c>
      <c r="C212" s="57" t="s">
        <v>247</v>
      </c>
      <c r="D212" s="58">
        <v>7.82</v>
      </c>
      <c r="E212" s="58">
        <v>1060.62</v>
      </c>
      <c r="F212" s="58">
        <v>4187558.0</v>
      </c>
      <c r="G212" s="58">
        <v>1.86507656E8</v>
      </c>
      <c r="H212" s="57" t="s">
        <v>694</v>
      </c>
      <c r="I212" s="57"/>
      <c r="J212" s="57"/>
      <c r="K212" s="57"/>
      <c r="L212" s="57"/>
      <c r="M212" s="57"/>
      <c r="N212" s="57"/>
      <c r="O212" s="57"/>
      <c r="P212" s="57"/>
      <c r="Q212" s="57"/>
      <c r="R212" s="57"/>
      <c r="S212" s="57"/>
      <c r="T212" s="57"/>
      <c r="U212" s="57"/>
      <c r="V212" s="57"/>
      <c r="W212" s="57"/>
      <c r="X212" s="57"/>
      <c r="Y212" s="57"/>
      <c r="Z212" s="57"/>
    </row>
    <row r="213">
      <c r="A213" s="58">
        <v>9729371.0</v>
      </c>
      <c r="B213" s="57" t="s">
        <v>695</v>
      </c>
      <c r="C213" s="57" t="s">
        <v>247</v>
      </c>
      <c r="D213" s="58">
        <v>7.75</v>
      </c>
      <c r="E213" s="58">
        <v>1068.37</v>
      </c>
      <c r="F213" s="58">
        <v>4232226.0</v>
      </c>
      <c r="G213" s="58">
        <v>1.86513155E8</v>
      </c>
      <c r="H213" s="57" t="s">
        <v>696</v>
      </c>
      <c r="I213" s="57"/>
      <c r="J213" s="57"/>
      <c r="K213" s="57"/>
      <c r="L213" s="57"/>
      <c r="M213" s="57"/>
      <c r="N213" s="57"/>
      <c r="O213" s="57"/>
      <c r="P213" s="57"/>
      <c r="Q213" s="57"/>
      <c r="R213" s="57"/>
      <c r="S213" s="57"/>
      <c r="T213" s="57"/>
      <c r="U213" s="57"/>
      <c r="V213" s="57"/>
      <c r="W213" s="57"/>
      <c r="X213" s="57"/>
      <c r="Y213" s="57"/>
      <c r="Z213" s="57"/>
    </row>
    <row r="214">
      <c r="A214" s="58">
        <v>9726388.0</v>
      </c>
      <c r="B214" s="57" t="s">
        <v>697</v>
      </c>
      <c r="C214" s="57" t="s">
        <v>247</v>
      </c>
      <c r="D214" s="58">
        <v>7.82</v>
      </c>
      <c r="E214" s="58">
        <v>1076.19</v>
      </c>
      <c r="F214" s="58">
        <v>4266641.0</v>
      </c>
      <c r="G214" s="58">
        <v>1.865371E8</v>
      </c>
      <c r="H214" s="57" t="s">
        <v>698</v>
      </c>
      <c r="I214" s="57"/>
      <c r="J214" s="57"/>
      <c r="K214" s="57"/>
      <c r="L214" s="57"/>
      <c r="M214" s="57"/>
      <c r="N214" s="57"/>
      <c r="O214" s="57"/>
      <c r="P214" s="57"/>
      <c r="Q214" s="57"/>
      <c r="R214" s="57"/>
      <c r="S214" s="57"/>
      <c r="T214" s="57"/>
      <c r="U214" s="57"/>
      <c r="V214" s="57"/>
      <c r="W214" s="57"/>
      <c r="X214" s="57"/>
      <c r="Y214" s="57"/>
      <c r="Z214" s="57"/>
    </row>
    <row r="215">
      <c r="A215" s="58">
        <v>9725677.0</v>
      </c>
      <c r="B215" s="57" t="s">
        <v>699</v>
      </c>
      <c r="C215" s="57" t="s">
        <v>247</v>
      </c>
      <c r="D215" s="58">
        <v>6.24</v>
      </c>
      <c r="E215" s="58">
        <v>1082.43</v>
      </c>
      <c r="F215" s="58">
        <v>4184660.0</v>
      </c>
      <c r="G215" s="58">
        <v>1.86507658E8</v>
      </c>
      <c r="H215" s="57" t="s">
        <v>700</v>
      </c>
      <c r="I215" s="57"/>
      <c r="J215" s="57"/>
      <c r="K215" s="57"/>
      <c r="L215" s="57"/>
      <c r="M215" s="57"/>
      <c r="N215" s="57"/>
      <c r="O215" s="57"/>
      <c r="P215" s="57"/>
      <c r="Q215" s="57"/>
      <c r="R215" s="57"/>
      <c r="S215" s="57"/>
      <c r="T215" s="57"/>
      <c r="U215" s="57"/>
      <c r="V215" s="57"/>
      <c r="W215" s="57"/>
      <c r="X215" s="57"/>
      <c r="Y215" s="57"/>
      <c r="Z215" s="57"/>
    </row>
    <row r="216">
      <c r="A216" s="58">
        <v>9723327.0</v>
      </c>
      <c r="B216" s="57" t="s">
        <v>701</v>
      </c>
      <c r="C216" s="57" t="s">
        <v>247</v>
      </c>
      <c r="D216" s="58">
        <v>1500.0</v>
      </c>
      <c r="E216" s="58">
        <v>2582.43</v>
      </c>
      <c r="F216" s="57"/>
      <c r="G216" s="57"/>
      <c r="H216" s="57" t="s">
        <v>361</v>
      </c>
      <c r="I216" s="57"/>
      <c r="J216" s="57" t="s">
        <v>702</v>
      </c>
      <c r="K216" s="57"/>
      <c r="L216" s="57"/>
      <c r="M216" s="57"/>
      <c r="N216" s="57"/>
      <c r="O216" s="57"/>
      <c r="P216" s="57"/>
      <c r="Q216" s="57"/>
      <c r="R216" s="57"/>
      <c r="S216" s="57"/>
      <c r="T216" s="57"/>
      <c r="U216" s="57"/>
      <c r="V216" s="57"/>
      <c r="W216" s="57"/>
      <c r="X216" s="57"/>
      <c r="Y216" s="57"/>
      <c r="Z216" s="57"/>
    </row>
    <row r="217">
      <c r="A217" s="58">
        <v>9721538.0</v>
      </c>
      <c r="B217" s="57" t="s">
        <v>703</v>
      </c>
      <c r="C217" s="57" t="s">
        <v>247</v>
      </c>
      <c r="D217" s="58">
        <v>5.12</v>
      </c>
      <c r="E217" s="58">
        <v>2587.55</v>
      </c>
      <c r="F217" s="58">
        <v>4326620.0</v>
      </c>
      <c r="G217" s="57" t="s">
        <v>704</v>
      </c>
      <c r="H217" s="57" t="s">
        <v>705</v>
      </c>
      <c r="I217" s="57"/>
      <c r="J217" s="57"/>
      <c r="K217" s="57"/>
      <c r="L217" s="57"/>
      <c r="M217" s="57"/>
      <c r="N217" s="57"/>
      <c r="O217" s="57"/>
      <c r="P217" s="57"/>
      <c r="Q217" s="57"/>
      <c r="R217" s="57"/>
      <c r="S217" s="57"/>
      <c r="T217" s="57"/>
      <c r="U217" s="57"/>
      <c r="V217" s="57"/>
      <c r="W217" s="57"/>
      <c r="X217" s="57"/>
      <c r="Y217" s="57"/>
      <c r="Z217" s="57"/>
    </row>
    <row r="218">
      <c r="A218" s="58">
        <v>9720576.0</v>
      </c>
      <c r="B218" s="57" t="s">
        <v>706</v>
      </c>
      <c r="C218" s="57" t="s">
        <v>210</v>
      </c>
      <c r="D218" s="58">
        <v>10.96</v>
      </c>
      <c r="E218" s="58">
        <v>2576.59</v>
      </c>
      <c r="F218" s="58">
        <v>4501089.0</v>
      </c>
      <c r="G218" s="57" t="s">
        <v>707</v>
      </c>
      <c r="H218" s="57" t="s">
        <v>708</v>
      </c>
      <c r="I218" s="57"/>
      <c r="J218" s="57"/>
      <c r="K218" s="57"/>
      <c r="L218" s="57"/>
      <c r="M218" s="57"/>
      <c r="N218" s="57"/>
      <c r="O218" s="57"/>
      <c r="P218" s="57"/>
      <c r="Q218" s="57"/>
      <c r="R218" s="57"/>
      <c r="S218" s="57"/>
      <c r="T218" s="57"/>
      <c r="U218" s="57"/>
      <c r="V218" s="57"/>
      <c r="W218" s="57"/>
      <c r="X218" s="57"/>
      <c r="Y218" s="57"/>
      <c r="Z218" s="57"/>
    </row>
    <row r="219">
      <c r="A219" s="58">
        <v>9719567.0</v>
      </c>
      <c r="B219" s="57" t="s">
        <v>709</v>
      </c>
      <c r="C219" s="57" t="s">
        <v>210</v>
      </c>
      <c r="D219" s="58">
        <v>10.96</v>
      </c>
      <c r="E219" s="58">
        <v>2565.63</v>
      </c>
      <c r="F219" s="58">
        <v>4494772.0</v>
      </c>
      <c r="G219" s="57" t="s">
        <v>710</v>
      </c>
      <c r="H219" s="57" t="s">
        <v>711</v>
      </c>
      <c r="I219" s="57"/>
      <c r="J219" s="57"/>
      <c r="K219" s="57"/>
      <c r="L219" s="57"/>
      <c r="M219" s="57"/>
      <c r="N219" s="57"/>
      <c r="O219" s="57"/>
      <c r="P219" s="57"/>
      <c r="Q219" s="57"/>
      <c r="R219" s="57"/>
      <c r="S219" s="57"/>
      <c r="T219" s="57"/>
      <c r="U219" s="57"/>
      <c r="V219" s="57"/>
      <c r="W219" s="57"/>
      <c r="X219" s="57"/>
      <c r="Y219" s="57"/>
      <c r="Z219" s="57"/>
    </row>
    <row r="220">
      <c r="A220" s="58">
        <v>9719309.0</v>
      </c>
      <c r="B220" s="57" t="s">
        <v>709</v>
      </c>
      <c r="C220" s="57" t="s">
        <v>210</v>
      </c>
      <c r="D220" s="58">
        <v>16.97</v>
      </c>
      <c r="E220" s="58">
        <v>2548.66</v>
      </c>
      <c r="F220" s="58">
        <v>4492594.0</v>
      </c>
      <c r="G220" s="57" t="s">
        <v>712</v>
      </c>
      <c r="H220" s="57" t="s">
        <v>713</v>
      </c>
      <c r="I220" s="57"/>
      <c r="J220" s="57"/>
      <c r="K220" s="57"/>
      <c r="L220" s="57"/>
      <c r="M220" s="57"/>
      <c r="N220" s="57"/>
      <c r="O220" s="57"/>
      <c r="P220" s="57"/>
      <c r="Q220" s="57"/>
      <c r="R220" s="57"/>
      <c r="S220" s="57"/>
      <c r="T220" s="57"/>
      <c r="U220" s="57"/>
      <c r="V220" s="57"/>
      <c r="W220" s="57"/>
      <c r="X220" s="57"/>
      <c r="Y220" s="57"/>
      <c r="Z220" s="57"/>
    </row>
    <row r="221">
      <c r="A221" s="58">
        <v>9719037.0</v>
      </c>
      <c r="B221" s="57" t="s">
        <v>709</v>
      </c>
      <c r="C221" s="57" t="s">
        <v>210</v>
      </c>
      <c r="D221" s="58">
        <v>15.36</v>
      </c>
      <c r="E221" s="58">
        <v>2533.3</v>
      </c>
      <c r="F221" s="58">
        <v>4490256.0</v>
      </c>
      <c r="G221" s="57" t="s">
        <v>714</v>
      </c>
      <c r="H221" s="57" t="s">
        <v>715</v>
      </c>
      <c r="I221" s="57"/>
      <c r="J221" s="57"/>
      <c r="K221" s="57"/>
      <c r="L221" s="57"/>
      <c r="M221" s="57"/>
      <c r="N221" s="57"/>
      <c r="O221" s="57"/>
      <c r="P221" s="57"/>
      <c r="Q221" s="57"/>
      <c r="R221" s="57"/>
      <c r="S221" s="57"/>
      <c r="T221" s="57"/>
      <c r="U221" s="57"/>
      <c r="V221" s="57"/>
      <c r="W221" s="57"/>
      <c r="X221" s="57"/>
      <c r="Y221" s="57"/>
      <c r="Z221" s="57"/>
    </row>
    <row r="222">
      <c r="A222" s="58">
        <v>9718979.0</v>
      </c>
      <c r="B222" s="57" t="s">
        <v>709</v>
      </c>
      <c r="C222" s="57" t="s">
        <v>210</v>
      </c>
      <c r="D222" s="58">
        <v>16.64</v>
      </c>
      <c r="E222" s="58">
        <v>2516.66</v>
      </c>
      <c r="F222" s="58">
        <v>4489607.0</v>
      </c>
      <c r="G222" s="57" t="s">
        <v>716</v>
      </c>
      <c r="H222" s="57" t="s">
        <v>717</v>
      </c>
      <c r="I222" s="57"/>
      <c r="J222" s="57"/>
      <c r="K222" s="57"/>
      <c r="L222" s="57"/>
      <c r="M222" s="57"/>
      <c r="N222" s="57"/>
      <c r="O222" s="57"/>
      <c r="P222" s="57"/>
      <c r="Q222" s="57"/>
      <c r="R222" s="57"/>
      <c r="S222" s="57"/>
      <c r="T222" s="57"/>
      <c r="U222" s="57"/>
      <c r="V222" s="57"/>
      <c r="W222" s="57"/>
      <c r="X222" s="57"/>
      <c r="Y222" s="57"/>
      <c r="Z222" s="57"/>
    </row>
    <row r="223">
      <c r="A223" s="58">
        <v>9718840.0</v>
      </c>
      <c r="B223" s="57" t="s">
        <v>709</v>
      </c>
      <c r="C223" s="57" t="s">
        <v>210</v>
      </c>
      <c r="D223" s="58">
        <v>10.39</v>
      </c>
      <c r="E223" s="58">
        <v>2506.27</v>
      </c>
      <c r="F223" s="58">
        <v>4487920.0</v>
      </c>
      <c r="G223" s="57" t="s">
        <v>718</v>
      </c>
      <c r="H223" s="57" t="s">
        <v>719</v>
      </c>
      <c r="I223" s="57"/>
      <c r="J223" s="57"/>
      <c r="K223" s="57"/>
      <c r="L223" s="57"/>
      <c r="M223" s="57"/>
      <c r="N223" s="57"/>
      <c r="O223" s="57"/>
      <c r="P223" s="57"/>
      <c r="Q223" s="57"/>
      <c r="R223" s="57"/>
      <c r="S223" s="57"/>
      <c r="T223" s="57"/>
      <c r="U223" s="57"/>
      <c r="V223" s="57"/>
      <c r="W223" s="57"/>
      <c r="X223" s="57"/>
      <c r="Y223" s="57"/>
      <c r="Z223" s="57"/>
    </row>
    <row r="224">
      <c r="A224" s="58">
        <v>9718760.0</v>
      </c>
      <c r="B224" s="57" t="s">
        <v>709</v>
      </c>
      <c r="C224" s="57" t="s">
        <v>210</v>
      </c>
      <c r="D224" s="58">
        <v>15.36</v>
      </c>
      <c r="E224" s="58">
        <v>2490.91</v>
      </c>
      <c r="F224" s="58">
        <v>4486805.0</v>
      </c>
      <c r="G224" s="57" t="s">
        <v>720</v>
      </c>
      <c r="H224" s="57" t="s">
        <v>721</v>
      </c>
      <c r="I224" s="57"/>
      <c r="J224" s="57"/>
      <c r="K224" s="57"/>
      <c r="L224" s="57"/>
      <c r="M224" s="57"/>
      <c r="N224" s="57"/>
      <c r="O224" s="57"/>
      <c r="P224" s="57"/>
      <c r="Q224" s="57"/>
      <c r="R224" s="57"/>
      <c r="S224" s="57"/>
      <c r="T224" s="57"/>
      <c r="U224" s="57"/>
      <c r="V224" s="57"/>
      <c r="W224" s="57"/>
      <c r="X224" s="57"/>
      <c r="Y224" s="57"/>
      <c r="Z224" s="57"/>
    </row>
    <row r="225">
      <c r="A225" s="58">
        <v>9718696.0</v>
      </c>
      <c r="B225" s="57" t="s">
        <v>709</v>
      </c>
      <c r="C225" s="57" t="s">
        <v>210</v>
      </c>
      <c r="D225" s="58">
        <v>10.96</v>
      </c>
      <c r="E225" s="58">
        <v>2479.95</v>
      </c>
      <c r="F225" s="58">
        <v>4485943.0</v>
      </c>
      <c r="G225" s="57" t="s">
        <v>722</v>
      </c>
      <c r="H225" s="57" t="s">
        <v>723</v>
      </c>
      <c r="I225" s="57"/>
      <c r="J225" s="57"/>
      <c r="K225" s="57"/>
      <c r="L225" s="57"/>
      <c r="M225" s="57"/>
      <c r="N225" s="57"/>
      <c r="O225" s="57"/>
      <c r="P225" s="57"/>
      <c r="Q225" s="57"/>
      <c r="R225" s="57"/>
      <c r="S225" s="57"/>
      <c r="T225" s="57"/>
      <c r="U225" s="57"/>
      <c r="V225" s="57"/>
      <c r="W225" s="57"/>
      <c r="X225" s="57"/>
      <c r="Y225" s="57"/>
      <c r="Z225" s="57"/>
    </row>
    <row r="226">
      <c r="A226" s="58">
        <v>9718546.0</v>
      </c>
      <c r="B226" s="57" t="s">
        <v>709</v>
      </c>
      <c r="C226" s="57" t="s">
        <v>210</v>
      </c>
      <c r="D226" s="58">
        <v>10.96</v>
      </c>
      <c r="E226" s="58">
        <v>2468.99</v>
      </c>
      <c r="F226" s="58">
        <v>4483482.0</v>
      </c>
      <c r="G226" s="57" t="s">
        <v>724</v>
      </c>
      <c r="H226" s="57" t="s">
        <v>725</v>
      </c>
      <c r="I226" s="57"/>
      <c r="J226" s="57"/>
      <c r="K226" s="57"/>
      <c r="L226" s="57"/>
      <c r="M226" s="57"/>
      <c r="N226" s="57"/>
      <c r="O226" s="57"/>
      <c r="P226" s="57"/>
      <c r="Q226" s="57"/>
      <c r="R226" s="57"/>
      <c r="S226" s="57"/>
      <c r="T226" s="57"/>
      <c r="U226" s="57"/>
      <c r="V226" s="57"/>
      <c r="W226" s="57"/>
      <c r="X226" s="57"/>
      <c r="Y226" s="57"/>
      <c r="Z226" s="57"/>
    </row>
    <row r="227">
      <c r="A227" s="58">
        <v>9718402.0</v>
      </c>
      <c r="B227" s="57" t="s">
        <v>709</v>
      </c>
      <c r="C227" s="57" t="s">
        <v>210</v>
      </c>
      <c r="D227" s="58">
        <v>10.39</v>
      </c>
      <c r="E227" s="58">
        <v>2458.6</v>
      </c>
      <c r="F227" s="58">
        <v>4479830.0</v>
      </c>
      <c r="G227" s="57" t="s">
        <v>726</v>
      </c>
      <c r="H227" s="57" t="s">
        <v>727</v>
      </c>
      <c r="I227" s="57"/>
      <c r="J227" s="57"/>
      <c r="K227" s="57"/>
      <c r="L227" s="57"/>
      <c r="M227" s="57"/>
      <c r="N227" s="57"/>
      <c r="O227" s="57"/>
      <c r="P227" s="57"/>
      <c r="Q227" s="57"/>
      <c r="R227" s="57"/>
      <c r="S227" s="57"/>
      <c r="T227" s="57"/>
      <c r="U227" s="57"/>
      <c r="V227" s="57"/>
      <c r="W227" s="57"/>
      <c r="X227" s="57"/>
      <c r="Y227" s="57"/>
      <c r="Z227" s="57"/>
    </row>
    <row r="228">
      <c r="A228" s="58">
        <v>9717728.0</v>
      </c>
      <c r="B228" s="57" t="s">
        <v>709</v>
      </c>
      <c r="C228" s="57" t="s">
        <v>210</v>
      </c>
      <c r="D228" s="58">
        <v>16.67</v>
      </c>
      <c r="E228" s="58">
        <v>2441.93</v>
      </c>
      <c r="F228" s="58">
        <v>4442330.0</v>
      </c>
      <c r="G228" s="57" t="s">
        <v>728</v>
      </c>
      <c r="H228" s="57" t="s">
        <v>729</v>
      </c>
      <c r="I228" s="57"/>
      <c r="J228" s="57"/>
      <c r="K228" s="57"/>
      <c r="L228" s="57"/>
      <c r="M228" s="57"/>
      <c r="N228" s="57"/>
      <c r="O228" s="57"/>
      <c r="P228" s="57"/>
      <c r="Q228" s="57"/>
      <c r="R228" s="57"/>
      <c r="S228" s="57"/>
      <c r="T228" s="57"/>
      <c r="U228" s="57"/>
      <c r="V228" s="57"/>
      <c r="W228" s="57"/>
      <c r="X228" s="57"/>
      <c r="Y228" s="57"/>
      <c r="Z228" s="57"/>
    </row>
    <row r="229">
      <c r="A229" s="58">
        <v>9717725.0</v>
      </c>
      <c r="B229" s="57" t="s">
        <v>709</v>
      </c>
      <c r="C229" s="57" t="s">
        <v>210</v>
      </c>
      <c r="D229" s="58">
        <v>13.17</v>
      </c>
      <c r="E229" s="58">
        <v>2428.76</v>
      </c>
      <c r="F229" s="58">
        <v>4442317.0</v>
      </c>
      <c r="G229" s="57" t="s">
        <v>730</v>
      </c>
      <c r="H229" s="57" t="s">
        <v>731</v>
      </c>
      <c r="I229" s="57"/>
      <c r="J229" s="57"/>
      <c r="K229" s="57"/>
      <c r="L229" s="57"/>
      <c r="M229" s="57"/>
      <c r="N229" s="57"/>
      <c r="O229" s="57"/>
      <c r="P229" s="57"/>
      <c r="Q229" s="57"/>
      <c r="R229" s="57"/>
      <c r="S229" s="57"/>
      <c r="T229" s="57"/>
      <c r="U229" s="57"/>
      <c r="V229" s="57"/>
      <c r="W229" s="57"/>
      <c r="X229" s="57"/>
      <c r="Y229" s="57"/>
      <c r="Z229" s="57"/>
    </row>
    <row r="230">
      <c r="A230" s="58">
        <v>9717374.0</v>
      </c>
      <c r="B230" s="57" t="s">
        <v>709</v>
      </c>
      <c r="C230" s="57" t="s">
        <v>210</v>
      </c>
      <c r="D230" s="58">
        <v>11.43</v>
      </c>
      <c r="E230" s="58">
        <v>2417.33</v>
      </c>
      <c r="F230" s="58">
        <v>4349132.0</v>
      </c>
      <c r="G230" s="58">
        <v>1.86991801E8</v>
      </c>
      <c r="H230" s="57" t="s">
        <v>732</v>
      </c>
      <c r="I230" s="57"/>
      <c r="J230" s="57"/>
      <c r="K230" s="57"/>
      <c r="L230" s="57"/>
      <c r="M230" s="57"/>
      <c r="N230" s="57"/>
      <c r="O230" s="57"/>
      <c r="P230" s="57"/>
      <c r="Q230" s="57"/>
      <c r="R230" s="57"/>
      <c r="S230" s="57"/>
      <c r="T230" s="57"/>
      <c r="U230" s="57"/>
      <c r="V230" s="57"/>
      <c r="W230" s="57"/>
      <c r="X230" s="57"/>
      <c r="Y230" s="57"/>
      <c r="Z230" s="57"/>
    </row>
    <row r="231">
      <c r="A231" s="58">
        <v>9716655.0</v>
      </c>
      <c r="B231" s="57" t="s">
        <v>733</v>
      </c>
      <c r="C231" s="57" t="s">
        <v>210</v>
      </c>
      <c r="D231" s="58">
        <v>12.0</v>
      </c>
      <c r="E231" s="58">
        <v>2405.33</v>
      </c>
      <c r="F231" s="58">
        <v>3944444.0</v>
      </c>
      <c r="G231" s="58">
        <v>1.86896237E8</v>
      </c>
      <c r="H231" s="57" t="s">
        <v>734</v>
      </c>
      <c r="I231" s="57"/>
      <c r="J231" s="57"/>
      <c r="K231" s="57"/>
      <c r="L231" s="57"/>
      <c r="M231" s="57"/>
      <c r="N231" s="57"/>
      <c r="O231" s="57"/>
      <c r="P231" s="57"/>
      <c r="Q231" s="57"/>
      <c r="R231" s="57"/>
      <c r="S231" s="57"/>
      <c r="T231" s="57"/>
      <c r="U231" s="57"/>
      <c r="V231" s="57"/>
      <c r="W231" s="57"/>
      <c r="X231" s="57"/>
      <c r="Y231" s="57"/>
      <c r="Z231" s="57"/>
    </row>
    <row r="232">
      <c r="A232" s="58">
        <v>9716479.0</v>
      </c>
      <c r="B232" s="57" t="s">
        <v>733</v>
      </c>
      <c r="C232" s="57" t="s">
        <v>210</v>
      </c>
      <c r="D232" s="58">
        <v>4.0</v>
      </c>
      <c r="E232" s="58">
        <v>2401.33</v>
      </c>
      <c r="F232" s="58">
        <v>3958976.0</v>
      </c>
      <c r="G232" s="57" t="s">
        <v>735</v>
      </c>
      <c r="H232" s="57" t="s">
        <v>736</v>
      </c>
      <c r="I232" s="57"/>
      <c r="J232" s="57"/>
      <c r="K232" s="57"/>
      <c r="L232" s="57"/>
      <c r="M232" s="57"/>
      <c r="N232" s="57"/>
      <c r="O232" s="57"/>
      <c r="P232" s="57"/>
      <c r="Q232" s="57"/>
      <c r="R232" s="57"/>
      <c r="S232" s="57"/>
      <c r="T232" s="57"/>
      <c r="U232" s="57"/>
      <c r="V232" s="57"/>
      <c r="W232" s="57"/>
      <c r="X232" s="57"/>
      <c r="Y232" s="57"/>
      <c r="Z232" s="57"/>
    </row>
    <row r="233">
      <c r="A233" s="58">
        <v>9716477.0</v>
      </c>
      <c r="B233" s="57" t="s">
        <v>733</v>
      </c>
      <c r="C233" s="57" t="s">
        <v>210</v>
      </c>
      <c r="D233" s="58">
        <v>4.0</v>
      </c>
      <c r="E233" s="58">
        <v>2397.33</v>
      </c>
      <c r="F233" s="58">
        <v>3951242.0</v>
      </c>
      <c r="G233" s="57" t="s">
        <v>737</v>
      </c>
      <c r="H233" s="57" t="s">
        <v>738</v>
      </c>
      <c r="I233" s="57"/>
      <c r="J233" s="57"/>
      <c r="K233" s="57"/>
      <c r="L233" s="57"/>
      <c r="M233" s="57"/>
      <c r="N233" s="57"/>
      <c r="O233" s="57"/>
      <c r="P233" s="57"/>
      <c r="Q233" s="57"/>
      <c r="R233" s="57"/>
      <c r="S233" s="57"/>
      <c r="T233" s="57"/>
      <c r="U233" s="57"/>
      <c r="V233" s="57"/>
      <c r="W233" s="57"/>
      <c r="X233" s="57"/>
      <c r="Y233" s="57"/>
      <c r="Z233" s="57"/>
    </row>
    <row r="234">
      <c r="A234" s="58">
        <v>9716473.0</v>
      </c>
      <c r="B234" s="57" t="s">
        <v>733</v>
      </c>
      <c r="C234" s="57" t="s">
        <v>210</v>
      </c>
      <c r="D234" s="58">
        <v>4.0</v>
      </c>
      <c r="E234" s="58">
        <v>2393.33</v>
      </c>
      <c r="F234" s="58">
        <v>3940035.0</v>
      </c>
      <c r="G234" s="57" t="s">
        <v>739</v>
      </c>
      <c r="H234" s="57" t="s">
        <v>740</v>
      </c>
      <c r="I234" s="57"/>
      <c r="J234" s="57"/>
      <c r="K234" s="57"/>
      <c r="L234" s="57"/>
      <c r="M234" s="57"/>
      <c r="N234" s="57"/>
      <c r="O234" s="57"/>
      <c r="P234" s="57"/>
      <c r="Q234" s="57"/>
      <c r="R234" s="57"/>
      <c r="S234" s="57"/>
      <c r="T234" s="57"/>
      <c r="U234" s="57"/>
      <c r="V234" s="57"/>
      <c r="W234" s="57"/>
      <c r="X234" s="57"/>
      <c r="Y234" s="57"/>
      <c r="Z234" s="57"/>
    </row>
    <row r="235">
      <c r="A235" s="58">
        <v>9715826.0</v>
      </c>
      <c r="B235" s="57" t="s">
        <v>741</v>
      </c>
      <c r="C235" s="57" t="s">
        <v>247</v>
      </c>
      <c r="D235" s="58">
        <v>5.07</v>
      </c>
      <c r="E235" s="58">
        <v>2398.4</v>
      </c>
      <c r="F235" s="58">
        <v>4421198.0</v>
      </c>
      <c r="G235" s="57" t="s">
        <v>742</v>
      </c>
      <c r="H235" s="57" t="s">
        <v>743</v>
      </c>
      <c r="I235" s="57"/>
      <c r="J235" s="57"/>
      <c r="K235" s="57"/>
      <c r="L235" s="57"/>
      <c r="M235" s="57"/>
      <c r="N235" s="57"/>
      <c r="O235" s="57"/>
      <c r="P235" s="57"/>
      <c r="Q235" s="57"/>
      <c r="R235" s="57"/>
      <c r="S235" s="57"/>
      <c r="T235" s="57"/>
      <c r="U235" s="57"/>
      <c r="V235" s="57"/>
      <c r="W235" s="57"/>
      <c r="X235" s="57"/>
      <c r="Y235" s="57"/>
      <c r="Z235" s="57"/>
    </row>
    <row r="236">
      <c r="A236" s="58">
        <v>9714880.0</v>
      </c>
      <c r="B236" s="57" t="s">
        <v>744</v>
      </c>
      <c r="C236" s="57" t="s">
        <v>247</v>
      </c>
      <c r="D236" s="58">
        <v>5.13</v>
      </c>
      <c r="E236" s="58">
        <v>2403.53</v>
      </c>
      <c r="F236" s="58">
        <v>4371257.0</v>
      </c>
      <c r="G236" s="57" t="s">
        <v>745</v>
      </c>
      <c r="H236" s="57" t="s">
        <v>746</v>
      </c>
      <c r="I236" s="57"/>
      <c r="J236" s="57"/>
      <c r="K236" s="57"/>
      <c r="L236" s="57"/>
      <c r="M236" s="57"/>
      <c r="N236" s="57"/>
      <c r="O236" s="57"/>
      <c r="P236" s="57"/>
      <c r="Q236" s="57"/>
      <c r="R236" s="57"/>
      <c r="S236" s="57"/>
      <c r="T236" s="57"/>
      <c r="U236" s="57"/>
      <c r="V236" s="57"/>
      <c r="W236" s="57"/>
      <c r="X236" s="57"/>
      <c r="Y236" s="57"/>
      <c r="Z236" s="57"/>
    </row>
    <row r="237">
      <c r="A237" s="58">
        <v>9714869.0</v>
      </c>
      <c r="B237" s="57" t="s">
        <v>744</v>
      </c>
      <c r="C237" s="57" t="s">
        <v>247</v>
      </c>
      <c r="D237" s="58">
        <v>5.11</v>
      </c>
      <c r="E237" s="58">
        <v>2408.64</v>
      </c>
      <c r="F237" s="58">
        <v>4383686.0</v>
      </c>
      <c r="G237" s="57" t="s">
        <v>747</v>
      </c>
      <c r="H237" s="57" t="s">
        <v>748</v>
      </c>
      <c r="I237" s="57"/>
      <c r="J237" s="57"/>
      <c r="K237" s="57"/>
      <c r="L237" s="57"/>
      <c r="M237" s="57"/>
      <c r="N237" s="57"/>
      <c r="O237" s="57"/>
      <c r="P237" s="57"/>
      <c r="Q237" s="57"/>
      <c r="R237" s="57"/>
      <c r="S237" s="57"/>
      <c r="T237" s="57"/>
      <c r="U237" s="57"/>
      <c r="V237" s="57"/>
      <c r="W237" s="57"/>
      <c r="X237" s="57"/>
      <c r="Y237" s="57"/>
      <c r="Z237" s="57"/>
    </row>
    <row r="238">
      <c r="A238" s="58">
        <v>9714681.0</v>
      </c>
      <c r="B238" s="57" t="s">
        <v>749</v>
      </c>
      <c r="C238" s="57" t="s">
        <v>247</v>
      </c>
      <c r="D238" s="58">
        <v>3.51</v>
      </c>
      <c r="E238" s="58">
        <v>2412.15</v>
      </c>
      <c r="F238" s="58">
        <v>4359299.0</v>
      </c>
      <c r="G238" s="57" t="s">
        <v>750</v>
      </c>
      <c r="H238" s="57" t="s">
        <v>751</v>
      </c>
      <c r="I238" s="57"/>
      <c r="J238" s="57"/>
      <c r="K238" s="57"/>
      <c r="L238" s="57"/>
      <c r="M238" s="57"/>
      <c r="N238" s="57"/>
      <c r="O238" s="57"/>
      <c r="P238" s="57"/>
      <c r="Q238" s="57"/>
      <c r="R238" s="57"/>
      <c r="S238" s="57"/>
      <c r="T238" s="57"/>
      <c r="U238" s="57"/>
      <c r="V238" s="57"/>
      <c r="W238" s="57"/>
      <c r="X238" s="57"/>
      <c r="Y238" s="57"/>
      <c r="Z238" s="57"/>
    </row>
    <row r="239">
      <c r="A239" s="58">
        <v>9714604.0</v>
      </c>
      <c r="B239" s="57" t="s">
        <v>752</v>
      </c>
      <c r="C239" s="57" t="s">
        <v>247</v>
      </c>
      <c r="D239" s="58">
        <v>5.12</v>
      </c>
      <c r="E239" s="58">
        <v>2417.27</v>
      </c>
      <c r="F239" s="58">
        <v>4337342.0</v>
      </c>
      <c r="G239" s="57" t="s">
        <v>753</v>
      </c>
      <c r="H239" s="57" t="s">
        <v>754</v>
      </c>
      <c r="I239" s="57"/>
      <c r="J239" s="57"/>
      <c r="K239" s="57"/>
      <c r="L239" s="57"/>
      <c r="M239" s="57"/>
      <c r="N239" s="57"/>
      <c r="O239" s="57"/>
      <c r="P239" s="57"/>
      <c r="Q239" s="57"/>
      <c r="R239" s="57"/>
      <c r="S239" s="57"/>
      <c r="T239" s="57"/>
      <c r="U239" s="57"/>
      <c r="V239" s="57"/>
      <c r="W239" s="57"/>
      <c r="X239" s="57"/>
      <c r="Y239" s="57"/>
      <c r="Z239" s="57"/>
    </row>
    <row r="240">
      <c r="A240" s="58">
        <v>9714603.0</v>
      </c>
      <c r="B240" s="57" t="s">
        <v>752</v>
      </c>
      <c r="C240" s="57" t="s">
        <v>247</v>
      </c>
      <c r="D240" s="58">
        <v>3.45</v>
      </c>
      <c r="E240" s="58">
        <v>2420.72</v>
      </c>
      <c r="F240" s="58">
        <v>4339845.0</v>
      </c>
      <c r="G240" s="57" t="s">
        <v>755</v>
      </c>
      <c r="H240" s="57" t="s">
        <v>756</v>
      </c>
      <c r="I240" s="57"/>
      <c r="J240" s="57"/>
      <c r="K240" s="57"/>
      <c r="L240" s="57"/>
      <c r="M240" s="57"/>
      <c r="N240" s="57"/>
      <c r="O240" s="57"/>
      <c r="P240" s="57"/>
      <c r="Q240" s="57"/>
      <c r="R240" s="57"/>
      <c r="S240" s="57"/>
      <c r="T240" s="57"/>
      <c r="U240" s="57"/>
      <c r="V240" s="57"/>
      <c r="W240" s="57"/>
      <c r="X240" s="57"/>
      <c r="Y240" s="57"/>
      <c r="Z240" s="57"/>
    </row>
    <row r="241">
      <c r="A241" s="58">
        <v>9714602.0</v>
      </c>
      <c r="B241" s="57" t="s">
        <v>752</v>
      </c>
      <c r="C241" s="57" t="s">
        <v>247</v>
      </c>
      <c r="D241" s="58">
        <v>5.12</v>
      </c>
      <c r="E241" s="58">
        <v>2425.84</v>
      </c>
      <c r="F241" s="58">
        <v>4345823.0</v>
      </c>
      <c r="G241" s="57" t="s">
        <v>757</v>
      </c>
      <c r="H241" s="57" t="s">
        <v>758</v>
      </c>
      <c r="I241" s="57"/>
      <c r="J241" s="57"/>
      <c r="K241" s="57"/>
      <c r="L241" s="57"/>
      <c r="M241" s="57"/>
      <c r="N241" s="57"/>
      <c r="O241" s="57"/>
      <c r="P241" s="57"/>
      <c r="Q241" s="57"/>
      <c r="R241" s="57"/>
      <c r="S241" s="57"/>
      <c r="T241" s="57"/>
      <c r="U241" s="57"/>
      <c r="V241" s="57"/>
      <c r="W241" s="57"/>
      <c r="X241" s="57"/>
      <c r="Y241" s="57"/>
      <c r="Z241" s="57"/>
    </row>
    <row r="242">
      <c r="A242" s="58">
        <v>9713908.0</v>
      </c>
      <c r="B242" s="57" t="s">
        <v>759</v>
      </c>
      <c r="C242" s="57" t="s">
        <v>247</v>
      </c>
      <c r="D242" s="58">
        <v>7.75</v>
      </c>
      <c r="E242" s="58">
        <v>2433.59</v>
      </c>
      <c r="F242" s="58">
        <v>3645618.0</v>
      </c>
      <c r="G242" s="58">
        <v>1.87319462E8</v>
      </c>
      <c r="H242" s="57" t="s">
        <v>760</v>
      </c>
      <c r="I242" s="57"/>
      <c r="J242" s="57"/>
      <c r="K242" s="57"/>
      <c r="L242" s="57"/>
      <c r="M242" s="57"/>
      <c r="N242" s="57"/>
      <c r="O242" s="57"/>
      <c r="P242" s="57"/>
      <c r="Q242" s="57"/>
      <c r="R242" s="57"/>
      <c r="S242" s="57"/>
      <c r="T242" s="57"/>
      <c r="U242" s="57"/>
      <c r="V242" s="57"/>
      <c r="W242" s="57"/>
      <c r="X242" s="57"/>
      <c r="Y242" s="57"/>
      <c r="Z242" s="57"/>
    </row>
    <row r="243">
      <c r="A243" s="58">
        <v>9711421.0</v>
      </c>
      <c r="B243" s="57" t="s">
        <v>761</v>
      </c>
      <c r="C243" s="57" t="s">
        <v>247</v>
      </c>
      <c r="D243" s="58">
        <v>5.67</v>
      </c>
      <c r="E243" s="58">
        <v>2439.26</v>
      </c>
      <c r="F243" s="58">
        <v>4359117.0</v>
      </c>
      <c r="G243" s="57" t="s">
        <v>762</v>
      </c>
      <c r="H243" s="57" t="s">
        <v>763</v>
      </c>
      <c r="I243" s="57"/>
      <c r="J243" s="57"/>
      <c r="K243" s="57"/>
      <c r="L243" s="57"/>
      <c r="M243" s="57"/>
      <c r="N243" s="57"/>
      <c r="O243" s="57"/>
      <c r="P243" s="57"/>
      <c r="Q243" s="57"/>
      <c r="R243" s="57"/>
      <c r="S243" s="57"/>
      <c r="T243" s="57"/>
      <c r="U243" s="57"/>
      <c r="V243" s="57"/>
      <c r="W243" s="57"/>
      <c r="X243" s="57"/>
      <c r="Y243" s="57"/>
      <c r="Z243" s="57"/>
    </row>
    <row r="244">
      <c r="A244" s="58">
        <v>9711335.0</v>
      </c>
      <c r="B244" s="57" t="s">
        <v>761</v>
      </c>
      <c r="C244" s="57" t="s">
        <v>247</v>
      </c>
      <c r="D244" s="58">
        <v>5.06</v>
      </c>
      <c r="E244" s="58">
        <v>2444.32</v>
      </c>
      <c r="F244" s="58">
        <v>4348882.0</v>
      </c>
      <c r="G244" s="57" t="s">
        <v>764</v>
      </c>
      <c r="H244" s="57" t="s">
        <v>765</v>
      </c>
      <c r="I244" s="57"/>
      <c r="J244" s="57"/>
      <c r="K244" s="57"/>
      <c r="L244" s="57"/>
      <c r="M244" s="57"/>
      <c r="N244" s="57"/>
      <c r="O244" s="57"/>
      <c r="P244" s="57"/>
      <c r="Q244" s="57"/>
      <c r="R244" s="57"/>
      <c r="S244" s="57"/>
      <c r="T244" s="57"/>
      <c r="U244" s="57"/>
      <c r="V244" s="57"/>
      <c r="W244" s="57"/>
      <c r="X244" s="57"/>
      <c r="Y244" s="57"/>
      <c r="Z244" s="57"/>
    </row>
    <row r="245">
      <c r="A245" s="58">
        <v>9711329.0</v>
      </c>
      <c r="B245" s="57" t="s">
        <v>761</v>
      </c>
      <c r="C245" s="57" t="s">
        <v>247</v>
      </c>
      <c r="D245" s="58">
        <v>5.06</v>
      </c>
      <c r="E245" s="58">
        <v>2449.38</v>
      </c>
      <c r="F245" s="58">
        <v>4357229.0</v>
      </c>
      <c r="G245" s="57" t="s">
        <v>766</v>
      </c>
      <c r="H245" s="57" t="s">
        <v>767</v>
      </c>
      <c r="I245" s="57"/>
      <c r="J245" s="57"/>
      <c r="K245" s="57"/>
      <c r="L245" s="57"/>
      <c r="M245" s="57"/>
      <c r="N245" s="57"/>
      <c r="O245" s="57"/>
      <c r="P245" s="57"/>
      <c r="Q245" s="57"/>
      <c r="R245" s="57"/>
      <c r="S245" s="57"/>
      <c r="T245" s="57"/>
      <c r="U245" s="57"/>
      <c r="V245" s="57"/>
      <c r="W245" s="57"/>
      <c r="X245" s="57"/>
      <c r="Y245" s="57"/>
      <c r="Z245" s="57"/>
    </row>
    <row r="246">
      <c r="A246" s="58">
        <v>9711328.0</v>
      </c>
      <c r="B246" s="57" t="s">
        <v>761</v>
      </c>
      <c r="C246" s="57" t="s">
        <v>247</v>
      </c>
      <c r="D246" s="58">
        <v>5.11</v>
      </c>
      <c r="E246" s="58">
        <v>2454.49</v>
      </c>
      <c r="F246" s="58">
        <v>4357814.0</v>
      </c>
      <c r="G246" s="57" t="s">
        <v>768</v>
      </c>
      <c r="H246" s="57" t="s">
        <v>769</v>
      </c>
      <c r="I246" s="57"/>
      <c r="J246" s="57"/>
      <c r="K246" s="57"/>
      <c r="L246" s="57"/>
      <c r="M246" s="57"/>
      <c r="N246" s="57"/>
      <c r="O246" s="57"/>
      <c r="P246" s="57"/>
      <c r="Q246" s="57"/>
      <c r="R246" s="57"/>
      <c r="S246" s="57"/>
      <c r="T246" s="57"/>
      <c r="U246" s="57"/>
      <c r="V246" s="57"/>
      <c r="W246" s="57"/>
      <c r="X246" s="57"/>
      <c r="Y246" s="57"/>
      <c r="Z246" s="57"/>
    </row>
    <row r="247">
      <c r="A247" s="58">
        <v>9711327.0</v>
      </c>
      <c r="B247" s="57" t="s">
        <v>761</v>
      </c>
      <c r="C247" s="57" t="s">
        <v>247</v>
      </c>
      <c r="D247" s="58">
        <v>5.11</v>
      </c>
      <c r="E247" s="58">
        <v>2459.6</v>
      </c>
      <c r="F247" s="58">
        <v>4361504.0</v>
      </c>
      <c r="G247" s="57" t="s">
        <v>770</v>
      </c>
      <c r="H247" s="57" t="s">
        <v>771</v>
      </c>
      <c r="I247" s="57"/>
      <c r="J247" s="57"/>
      <c r="K247" s="57"/>
      <c r="L247" s="57"/>
      <c r="M247" s="57"/>
      <c r="N247" s="57"/>
      <c r="O247" s="57"/>
      <c r="P247" s="57"/>
      <c r="Q247" s="57"/>
      <c r="R247" s="57"/>
      <c r="S247" s="57"/>
      <c r="T247" s="57"/>
      <c r="U247" s="57"/>
      <c r="V247" s="57"/>
      <c r="W247" s="57"/>
      <c r="X247" s="57"/>
      <c r="Y247" s="57"/>
      <c r="Z247" s="57"/>
    </row>
    <row r="248">
      <c r="A248" s="58">
        <v>9711326.0</v>
      </c>
      <c r="B248" s="57" t="s">
        <v>761</v>
      </c>
      <c r="C248" s="57" t="s">
        <v>247</v>
      </c>
      <c r="D248" s="58">
        <v>5.07</v>
      </c>
      <c r="E248" s="58">
        <v>2464.67</v>
      </c>
      <c r="F248" s="58">
        <v>4348457.0</v>
      </c>
      <c r="G248" s="57" t="s">
        <v>772</v>
      </c>
      <c r="H248" s="57" t="s">
        <v>773</v>
      </c>
      <c r="I248" s="57"/>
      <c r="J248" s="57"/>
      <c r="K248" s="57"/>
      <c r="L248" s="57"/>
      <c r="M248" s="57"/>
      <c r="N248" s="57"/>
      <c r="O248" s="57"/>
      <c r="P248" s="57"/>
      <c r="Q248" s="57"/>
      <c r="R248" s="57"/>
      <c r="S248" s="57"/>
      <c r="T248" s="57"/>
      <c r="U248" s="57"/>
      <c r="V248" s="57"/>
      <c r="W248" s="57"/>
      <c r="X248" s="57"/>
      <c r="Y248" s="57"/>
      <c r="Z248" s="57"/>
    </row>
    <row r="249">
      <c r="A249" s="58">
        <v>9711324.0</v>
      </c>
      <c r="B249" s="57" t="s">
        <v>761</v>
      </c>
      <c r="C249" s="57" t="s">
        <v>247</v>
      </c>
      <c r="D249" s="58">
        <v>5.07</v>
      </c>
      <c r="E249" s="58">
        <v>2469.74</v>
      </c>
      <c r="F249" s="58">
        <v>4357755.0</v>
      </c>
      <c r="G249" s="57" t="s">
        <v>774</v>
      </c>
      <c r="H249" s="57" t="s">
        <v>775</v>
      </c>
      <c r="I249" s="57"/>
      <c r="J249" s="57"/>
      <c r="K249" s="57"/>
      <c r="L249" s="57"/>
      <c r="M249" s="57"/>
      <c r="N249" s="57"/>
      <c r="O249" s="57"/>
      <c r="P249" s="57"/>
      <c r="Q249" s="57"/>
      <c r="R249" s="57"/>
      <c r="S249" s="57"/>
      <c r="T249" s="57"/>
      <c r="U249" s="57"/>
      <c r="V249" s="57"/>
      <c r="W249" s="57"/>
      <c r="X249" s="57"/>
      <c r="Y249" s="57"/>
      <c r="Z249" s="57"/>
    </row>
    <row r="250">
      <c r="A250" s="58">
        <v>9711323.0</v>
      </c>
      <c r="B250" s="57" t="s">
        <v>761</v>
      </c>
      <c r="C250" s="57" t="s">
        <v>247</v>
      </c>
      <c r="D250" s="58">
        <v>5.07</v>
      </c>
      <c r="E250" s="58">
        <v>2474.81</v>
      </c>
      <c r="F250" s="58">
        <v>4362190.0</v>
      </c>
      <c r="G250" s="57" t="s">
        <v>776</v>
      </c>
      <c r="H250" s="57" t="s">
        <v>777</v>
      </c>
      <c r="I250" s="57"/>
      <c r="J250" s="57"/>
      <c r="K250" s="57"/>
      <c r="L250" s="57"/>
      <c r="M250" s="57"/>
      <c r="N250" s="57"/>
      <c r="O250" s="57"/>
      <c r="P250" s="57"/>
      <c r="Q250" s="57"/>
      <c r="R250" s="57"/>
      <c r="S250" s="57"/>
      <c r="T250" s="57"/>
      <c r="U250" s="57"/>
      <c r="V250" s="57"/>
      <c r="W250" s="57"/>
      <c r="X250" s="57"/>
      <c r="Y250" s="57"/>
      <c r="Z250" s="57"/>
    </row>
    <row r="251">
      <c r="A251" s="58">
        <v>9711071.0</v>
      </c>
      <c r="B251" s="57" t="s">
        <v>778</v>
      </c>
      <c r="C251" s="57" t="s">
        <v>247</v>
      </c>
      <c r="D251" s="58">
        <v>5.09</v>
      </c>
      <c r="E251" s="58">
        <v>2479.9</v>
      </c>
      <c r="F251" s="58">
        <v>4355458.0</v>
      </c>
      <c r="G251" s="57" t="s">
        <v>779</v>
      </c>
      <c r="H251" s="57" t="s">
        <v>780</v>
      </c>
      <c r="I251" s="57"/>
      <c r="J251" s="57"/>
      <c r="K251" s="57"/>
      <c r="L251" s="57"/>
      <c r="M251" s="57"/>
      <c r="N251" s="57"/>
      <c r="O251" s="57"/>
      <c r="P251" s="57"/>
      <c r="Q251" s="57"/>
      <c r="R251" s="57"/>
      <c r="S251" s="57"/>
      <c r="T251" s="57"/>
      <c r="U251" s="57"/>
      <c r="V251" s="57"/>
      <c r="W251" s="57"/>
      <c r="X251" s="57"/>
      <c r="Y251" s="57"/>
      <c r="Z251" s="57"/>
    </row>
    <row r="252">
      <c r="A252" s="58">
        <v>9711068.0</v>
      </c>
      <c r="B252" s="57" t="s">
        <v>778</v>
      </c>
      <c r="C252" s="57" t="s">
        <v>247</v>
      </c>
      <c r="D252" s="58">
        <v>3.45</v>
      </c>
      <c r="E252" s="58">
        <v>2483.35</v>
      </c>
      <c r="F252" s="58">
        <v>4348391.0</v>
      </c>
      <c r="G252" s="57" t="s">
        <v>781</v>
      </c>
      <c r="H252" s="57" t="s">
        <v>782</v>
      </c>
      <c r="I252" s="57"/>
      <c r="J252" s="57"/>
      <c r="K252" s="57"/>
      <c r="L252" s="57"/>
      <c r="M252" s="57"/>
      <c r="N252" s="57"/>
      <c r="O252" s="57"/>
      <c r="P252" s="57"/>
      <c r="Q252" s="57"/>
      <c r="R252" s="57"/>
      <c r="S252" s="57"/>
      <c r="T252" s="57"/>
      <c r="U252" s="57"/>
      <c r="V252" s="57"/>
      <c r="W252" s="57"/>
      <c r="X252" s="57"/>
      <c r="Y252" s="57"/>
      <c r="Z252" s="57"/>
    </row>
    <row r="253">
      <c r="A253" s="58">
        <v>9707721.0</v>
      </c>
      <c r="B253" s="57" t="s">
        <v>783</v>
      </c>
      <c r="C253" s="57" t="s">
        <v>210</v>
      </c>
      <c r="D253" s="58">
        <v>12.57</v>
      </c>
      <c r="E253" s="58">
        <v>2470.78</v>
      </c>
      <c r="F253" s="58">
        <v>4492364.0</v>
      </c>
      <c r="G253" s="57" t="s">
        <v>784</v>
      </c>
      <c r="H253" s="57" t="s">
        <v>785</v>
      </c>
      <c r="I253" s="57"/>
      <c r="J253" s="57"/>
      <c r="K253" s="57"/>
      <c r="L253" s="57"/>
      <c r="M253" s="57"/>
      <c r="N253" s="57"/>
      <c r="O253" s="57"/>
      <c r="P253" s="57"/>
      <c r="Q253" s="57"/>
      <c r="R253" s="57"/>
      <c r="S253" s="57"/>
      <c r="T253" s="57"/>
      <c r="U253" s="57"/>
      <c r="V253" s="57"/>
      <c r="W253" s="57"/>
      <c r="X253" s="57"/>
      <c r="Y253" s="57"/>
      <c r="Z253" s="57"/>
    </row>
    <row r="254">
      <c r="A254" s="58">
        <v>9707523.0</v>
      </c>
      <c r="B254" s="57" t="s">
        <v>783</v>
      </c>
      <c r="C254" s="57" t="s">
        <v>210</v>
      </c>
      <c r="D254" s="58">
        <v>18.25</v>
      </c>
      <c r="E254" s="58">
        <v>2452.53</v>
      </c>
      <c r="F254" s="58">
        <v>4491759.0</v>
      </c>
      <c r="G254" s="57" t="s">
        <v>786</v>
      </c>
      <c r="H254" s="57" t="s">
        <v>787</v>
      </c>
      <c r="I254" s="57"/>
      <c r="J254" s="57"/>
      <c r="K254" s="57"/>
      <c r="L254" s="57"/>
      <c r="M254" s="57"/>
      <c r="N254" s="57"/>
      <c r="O254" s="57"/>
      <c r="P254" s="57"/>
      <c r="Q254" s="57"/>
      <c r="R254" s="57"/>
      <c r="S254" s="57"/>
      <c r="T254" s="57"/>
      <c r="U254" s="57"/>
      <c r="V254" s="57"/>
      <c r="W254" s="57"/>
      <c r="X254" s="57"/>
      <c r="Y254" s="57"/>
      <c r="Z254" s="57"/>
    </row>
    <row r="255">
      <c r="A255" s="58">
        <v>9706770.0</v>
      </c>
      <c r="B255" s="57" t="s">
        <v>783</v>
      </c>
      <c r="C255" s="57" t="s">
        <v>210</v>
      </c>
      <c r="D255" s="58">
        <v>13.45</v>
      </c>
      <c r="E255" s="58">
        <v>2439.08</v>
      </c>
      <c r="F255" s="58">
        <v>4489410.0</v>
      </c>
      <c r="G255" s="57" t="s">
        <v>788</v>
      </c>
      <c r="H255" s="57" t="s">
        <v>789</v>
      </c>
      <c r="I255" s="57"/>
      <c r="J255" s="57"/>
      <c r="K255" s="57"/>
      <c r="L255" s="57"/>
      <c r="M255" s="57"/>
      <c r="N255" s="57"/>
      <c r="O255" s="57"/>
      <c r="P255" s="57"/>
      <c r="Q255" s="57"/>
      <c r="R255" s="57"/>
      <c r="S255" s="57"/>
      <c r="T255" s="57"/>
      <c r="U255" s="57"/>
      <c r="V255" s="57"/>
      <c r="W255" s="57"/>
      <c r="X255" s="57"/>
      <c r="Y255" s="57"/>
      <c r="Z255" s="57"/>
    </row>
    <row r="256">
      <c r="A256" s="58">
        <v>9705107.0</v>
      </c>
      <c r="B256" s="57" t="s">
        <v>790</v>
      </c>
      <c r="C256" s="57" t="s">
        <v>210</v>
      </c>
      <c r="D256" s="58">
        <v>17.22</v>
      </c>
      <c r="E256" s="58">
        <v>2421.86</v>
      </c>
      <c r="F256" s="58">
        <v>4484663.0</v>
      </c>
      <c r="G256" s="57" t="s">
        <v>791</v>
      </c>
      <c r="H256" s="57" t="s">
        <v>792</v>
      </c>
      <c r="I256" s="57"/>
      <c r="J256" s="57"/>
      <c r="K256" s="57"/>
      <c r="L256" s="57"/>
      <c r="M256" s="57"/>
      <c r="N256" s="57"/>
      <c r="O256" s="57"/>
      <c r="P256" s="57"/>
      <c r="Q256" s="57"/>
      <c r="R256" s="57"/>
      <c r="S256" s="57"/>
      <c r="T256" s="57"/>
      <c r="U256" s="57"/>
      <c r="V256" s="57"/>
      <c r="W256" s="57"/>
      <c r="X256" s="57"/>
      <c r="Y256" s="57"/>
      <c r="Z256" s="57"/>
    </row>
    <row r="257">
      <c r="A257" s="58">
        <v>9704833.0</v>
      </c>
      <c r="B257" s="57" t="s">
        <v>790</v>
      </c>
      <c r="C257" s="57" t="s">
        <v>210</v>
      </c>
      <c r="D257" s="58">
        <v>14.78</v>
      </c>
      <c r="E257" s="58">
        <v>2407.08</v>
      </c>
      <c r="F257" s="58">
        <v>4483651.0</v>
      </c>
      <c r="G257" s="57" t="s">
        <v>793</v>
      </c>
      <c r="H257" s="57" t="s">
        <v>794</v>
      </c>
      <c r="I257" s="57"/>
      <c r="J257" s="57"/>
      <c r="K257" s="57"/>
      <c r="L257" s="57"/>
      <c r="M257" s="57"/>
      <c r="N257" s="57"/>
      <c r="O257" s="57"/>
      <c r="P257" s="57"/>
      <c r="Q257" s="57"/>
      <c r="R257" s="57"/>
      <c r="S257" s="57"/>
      <c r="T257" s="57"/>
      <c r="U257" s="57"/>
      <c r="V257" s="57"/>
      <c r="W257" s="57"/>
      <c r="X257" s="57"/>
      <c r="Y257" s="57"/>
      <c r="Z257" s="57"/>
    </row>
    <row r="258">
      <c r="A258" s="58">
        <v>9704601.0</v>
      </c>
      <c r="B258" s="57" t="s">
        <v>790</v>
      </c>
      <c r="C258" s="57" t="s">
        <v>210</v>
      </c>
      <c r="D258" s="58">
        <v>12.57</v>
      </c>
      <c r="E258" s="58">
        <v>2394.51</v>
      </c>
      <c r="F258" s="58">
        <v>4482922.0</v>
      </c>
      <c r="G258" s="57" t="s">
        <v>795</v>
      </c>
      <c r="H258" s="57" t="s">
        <v>796</v>
      </c>
      <c r="I258" s="57"/>
      <c r="J258" s="57"/>
      <c r="K258" s="57"/>
      <c r="L258" s="57"/>
      <c r="M258" s="57"/>
      <c r="N258" s="57"/>
      <c r="O258" s="57"/>
      <c r="P258" s="57"/>
      <c r="Q258" s="57"/>
      <c r="R258" s="57"/>
      <c r="S258" s="57"/>
      <c r="T258" s="57"/>
      <c r="U258" s="57"/>
      <c r="V258" s="57"/>
      <c r="W258" s="57"/>
      <c r="X258" s="57"/>
      <c r="Y258" s="57"/>
      <c r="Z258" s="57"/>
    </row>
    <row r="259">
      <c r="A259" s="58">
        <v>9704152.0</v>
      </c>
      <c r="B259" s="57" t="s">
        <v>790</v>
      </c>
      <c r="C259" s="57" t="s">
        <v>210</v>
      </c>
      <c r="D259" s="58">
        <v>10.39</v>
      </c>
      <c r="E259" s="58">
        <v>2384.12</v>
      </c>
      <c r="F259" s="58">
        <v>4481400.0</v>
      </c>
      <c r="G259" s="57" t="s">
        <v>797</v>
      </c>
      <c r="H259" s="57" t="s">
        <v>798</v>
      </c>
      <c r="I259" s="57"/>
      <c r="J259" s="57"/>
      <c r="K259" s="57"/>
      <c r="L259" s="57"/>
      <c r="M259" s="57"/>
      <c r="N259" s="57"/>
      <c r="O259" s="57"/>
      <c r="P259" s="57"/>
      <c r="Q259" s="57"/>
      <c r="R259" s="57"/>
      <c r="S259" s="57"/>
      <c r="T259" s="57"/>
      <c r="U259" s="57"/>
      <c r="V259" s="57"/>
      <c r="W259" s="57"/>
      <c r="X259" s="57"/>
      <c r="Y259" s="57"/>
      <c r="Z259" s="57"/>
    </row>
    <row r="260">
      <c r="A260" s="58">
        <v>9703615.0</v>
      </c>
      <c r="B260" s="57" t="s">
        <v>790</v>
      </c>
      <c r="C260" s="57" t="s">
        <v>210</v>
      </c>
      <c r="D260" s="58">
        <v>13.67</v>
      </c>
      <c r="E260" s="58">
        <v>2370.45</v>
      </c>
      <c r="F260" s="58">
        <v>4479660.0</v>
      </c>
      <c r="G260" s="57" t="s">
        <v>799</v>
      </c>
      <c r="H260" s="57" t="s">
        <v>800</v>
      </c>
      <c r="I260" s="57"/>
      <c r="J260" s="57"/>
      <c r="K260" s="57"/>
      <c r="L260" s="57"/>
      <c r="M260" s="57"/>
      <c r="N260" s="57"/>
      <c r="O260" s="57"/>
      <c r="P260" s="57"/>
      <c r="Q260" s="57"/>
      <c r="R260" s="57"/>
      <c r="S260" s="57"/>
      <c r="T260" s="57"/>
      <c r="U260" s="57"/>
      <c r="V260" s="57"/>
      <c r="W260" s="57"/>
      <c r="X260" s="57"/>
      <c r="Y260" s="57"/>
      <c r="Z260" s="57"/>
    </row>
    <row r="261">
      <c r="A261" s="58">
        <v>9699716.0</v>
      </c>
      <c r="B261" s="57" t="s">
        <v>801</v>
      </c>
      <c r="C261" s="57" t="s">
        <v>210</v>
      </c>
      <c r="D261" s="58">
        <v>13.75</v>
      </c>
      <c r="E261" s="58">
        <v>2356.7</v>
      </c>
      <c r="F261" s="58">
        <v>4460273.0</v>
      </c>
      <c r="G261" s="58">
        <v>1.87033386E8</v>
      </c>
      <c r="H261" s="57" t="s">
        <v>802</v>
      </c>
      <c r="I261" s="57"/>
      <c r="J261" s="57"/>
      <c r="K261" s="57"/>
      <c r="L261" s="57"/>
      <c r="M261" s="57"/>
      <c r="N261" s="57"/>
      <c r="O261" s="57"/>
      <c r="P261" s="57"/>
      <c r="Q261" s="57"/>
      <c r="R261" s="57"/>
      <c r="S261" s="57"/>
      <c r="T261" s="57"/>
      <c r="U261" s="57"/>
      <c r="V261" s="57"/>
      <c r="W261" s="57"/>
      <c r="X261" s="57"/>
      <c r="Y261" s="57"/>
      <c r="Z261" s="57"/>
    </row>
    <row r="262">
      <c r="A262" s="58">
        <v>9697001.0</v>
      </c>
      <c r="B262" s="57" t="s">
        <v>803</v>
      </c>
      <c r="C262" s="57" t="s">
        <v>210</v>
      </c>
      <c r="D262" s="58">
        <v>10.96</v>
      </c>
      <c r="E262" s="58">
        <v>2345.74</v>
      </c>
      <c r="F262" s="58">
        <v>4431988.0</v>
      </c>
      <c r="G262" s="57" t="s">
        <v>804</v>
      </c>
      <c r="H262" s="57" t="s">
        <v>805</v>
      </c>
      <c r="I262" s="57"/>
      <c r="J262" s="57"/>
      <c r="K262" s="57"/>
      <c r="L262" s="57"/>
      <c r="M262" s="57"/>
      <c r="N262" s="57"/>
      <c r="O262" s="57"/>
      <c r="P262" s="57"/>
      <c r="Q262" s="57"/>
      <c r="R262" s="57"/>
      <c r="S262" s="57"/>
      <c r="T262" s="57"/>
      <c r="U262" s="57"/>
      <c r="V262" s="57"/>
      <c r="W262" s="57"/>
      <c r="X262" s="57"/>
      <c r="Y262" s="57"/>
      <c r="Z262" s="57"/>
    </row>
    <row r="263">
      <c r="A263" s="58">
        <v>9696389.0</v>
      </c>
      <c r="B263" s="57" t="s">
        <v>803</v>
      </c>
      <c r="C263" s="57" t="s">
        <v>210</v>
      </c>
      <c r="D263" s="58">
        <v>10.96</v>
      </c>
      <c r="E263" s="58">
        <v>2334.78</v>
      </c>
      <c r="F263" s="58">
        <v>4421755.0</v>
      </c>
      <c r="G263" s="57" t="s">
        <v>806</v>
      </c>
      <c r="H263" s="57" t="s">
        <v>807</v>
      </c>
      <c r="I263" s="57"/>
      <c r="J263" s="57"/>
      <c r="K263" s="57"/>
      <c r="L263" s="57"/>
      <c r="M263" s="57"/>
      <c r="N263" s="57"/>
      <c r="O263" s="57"/>
      <c r="P263" s="57"/>
      <c r="Q263" s="57"/>
      <c r="R263" s="57"/>
      <c r="S263" s="57"/>
      <c r="T263" s="57"/>
      <c r="U263" s="57"/>
      <c r="V263" s="57"/>
      <c r="W263" s="57"/>
      <c r="X263" s="57"/>
      <c r="Y263" s="57"/>
      <c r="Z263" s="57"/>
    </row>
    <row r="264">
      <c r="A264" s="58">
        <v>9696209.0</v>
      </c>
      <c r="B264" s="57" t="s">
        <v>803</v>
      </c>
      <c r="C264" s="57" t="s">
        <v>210</v>
      </c>
      <c r="D264" s="58">
        <v>18.85</v>
      </c>
      <c r="E264" s="58">
        <v>2315.93</v>
      </c>
      <c r="F264" s="58">
        <v>4418770.0</v>
      </c>
      <c r="G264" s="57" t="s">
        <v>808</v>
      </c>
      <c r="H264" s="57" t="s">
        <v>809</v>
      </c>
      <c r="I264" s="57"/>
      <c r="J264" s="57"/>
      <c r="K264" s="57"/>
      <c r="L264" s="57"/>
      <c r="M264" s="57"/>
      <c r="N264" s="57"/>
      <c r="O264" s="57"/>
      <c r="P264" s="57"/>
      <c r="Q264" s="57"/>
      <c r="R264" s="57"/>
      <c r="S264" s="57"/>
      <c r="T264" s="57"/>
      <c r="U264" s="57"/>
      <c r="V264" s="57"/>
      <c r="W264" s="57"/>
      <c r="X264" s="57"/>
      <c r="Y264" s="57"/>
      <c r="Z264" s="57"/>
    </row>
    <row r="265">
      <c r="A265" s="58">
        <v>9693668.0</v>
      </c>
      <c r="B265" s="57" t="s">
        <v>810</v>
      </c>
      <c r="C265" s="57" t="s">
        <v>247</v>
      </c>
      <c r="D265" s="58">
        <v>4.03</v>
      </c>
      <c r="E265" s="58">
        <v>2319.95</v>
      </c>
      <c r="F265" s="58">
        <v>4350658.0</v>
      </c>
      <c r="G265" s="57" t="s">
        <v>811</v>
      </c>
      <c r="H265" s="57" t="s">
        <v>812</v>
      </c>
      <c r="I265" s="57"/>
      <c r="J265" s="57"/>
      <c r="K265" s="57"/>
      <c r="L265" s="57"/>
      <c r="M265" s="57"/>
      <c r="N265" s="57"/>
      <c r="O265" s="57"/>
      <c r="P265" s="57"/>
      <c r="Q265" s="57"/>
      <c r="R265" s="57"/>
      <c r="S265" s="57"/>
      <c r="T265" s="57"/>
      <c r="U265" s="57"/>
      <c r="V265" s="57"/>
      <c r="W265" s="57"/>
      <c r="X265" s="57"/>
      <c r="Y265" s="57"/>
      <c r="Z265" s="57"/>
    </row>
    <row r="266">
      <c r="A266" s="58">
        <v>9693659.0</v>
      </c>
      <c r="B266" s="57" t="s">
        <v>810</v>
      </c>
      <c r="C266" s="57" t="s">
        <v>247</v>
      </c>
      <c r="D266" s="58">
        <v>3.46</v>
      </c>
      <c r="E266" s="58">
        <v>2323.41</v>
      </c>
      <c r="F266" s="58">
        <v>4335785.0</v>
      </c>
      <c r="G266" s="57" t="s">
        <v>813</v>
      </c>
      <c r="H266" s="57" t="s">
        <v>814</v>
      </c>
      <c r="I266" s="57"/>
      <c r="J266" s="57"/>
      <c r="K266" s="57"/>
      <c r="L266" s="57"/>
      <c r="M266" s="57"/>
      <c r="N266" s="57"/>
      <c r="O266" s="57"/>
      <c r="P266" s="57"/>
      <c r="Q266" s="57"/>
      <c r="R266" s="57"/>
      <c r="S266" s="57"/>
      <c r="T266" s="57"/>
      <c r="U266" s="57"/>
      <c r="V266" s="57"/>
      <c r="W266" s="57"/>
      <c r="X266" s="57"/>
      <c r="Y266" s="57"/>
      <c r="Z266" s="57"/>
    </row>
    <row r="267">
      <c r="A267" s="58">
        <v>9693658.0</v>
      </c>
      <c r="B267" s="57" t="s">
        <v>810</v>
      </c>
      <c r="C267" s="57" t="s">
        <v>247</v>
      </c>
      <c r="D267" s="58">
        <v>3.46</v>
      </c>
      <c r="E267" s="58">
        <v>2326.87</v>
      </c>
      <c r="F267" s="58">
        <v>4337156.0</v>
      </c>
      <c r="G267" s="57" t="s">
        <v>815</v>
      </c>
      <c r="H267" s="57" t="s">
        <v>816</v>
      </c>
      <c r="I267" s="57"/>
      <c r="J267" s="57"/>
      <c r="K267" s="57"/>
      <c r="L267" s="57"/>
      <c r="M267" s="57"/>
      <c r="N267" s="57"/>
      <c r="O267" s="57"/>
      <c r="P267" s="57"/>
      <c r="Q267" s="57"/>
      <c r="R267" s="57"/>
      <c r="S267" s="57"/>
      <c r="T267" s="57"/>
      <c r="U267" s="57"/>
      <c r="V267" s="57"/>
      <c r="W267" s="57"/>
      <c r="X267" s="57"/>
      <c r="Y267" s="57"/>
      <c r="Z267" s="57"/>
    </row>
    <row r="268">
      <c r="A268" s="58">
        <v>9693657.0</v>
      </c>
      <c r="B268" s="57" t="s">
        <v>810</v>
      </c>
      <c r="C268" s="57" t="s">
        <v>247</v>
      </c>
      <c r="D268" s="58">
        <v>3.46</v>
      </c>
      <c r="E268" s="58">
        <v>2330.33</v>
      </c>
      <c r="F268" s="58">
        <v>4341361.0</v>
      </c>
      <c r="G268" s="57" t="s">
        <v>817</v>
      </c>
      <c r="H268" s="57" t="s">
        <v>818</v>
      </c>
      <c r="I268" s="57"/>
      <c r="J268" s="57"/>
      <c r="K268" s="57"/>
      <c r="L268" s="57"/>
      <c r="M268" s="57"/>
      <c r="N268" s="57"/>
      <c r="O268" s="57"/>
      <c r="P268" s="57"/>
      <c r="Q268" s="57"/>
      <c r="R268" s="57"/>
      <c r="S268" s="57"/>
      <c r="T268" s="57"/>
      <c r="U268" s="57"/>
      <c r="V268" s="57"/>
      <c r="W268" s="57"/>
      <c r="X268" s="57"/>
      <c r="Y268" s="57"/>
      <c r="Z268" s="57"/>
    </row>
    <row r="269">
      <c r="A269" s="58">
        <v>9693656.0</v>
      </c>
      <c r="B269" s="57" t="s">
        <v>810</v>
      </c>
      <c r="C269" s="57" t="s">
        <v>247</v>
      </c>
      <c r="D269" s="58">
        <v>3.46</v>
      </c>
      <c r="E269" s="58">
        <v>2333.79</v>
      </c>
      <c r="F269" s="58">
        <v>4343159.0</v>
      </c>
      <c r="G269" s="57" t="s">
        <v>819</v>
      </c>
      <c r="H269" s="57" t="s">
        <v>820</v>
      </c>
      <c r="I269" s="57"/>
      <c r="J269" s="57"/>
      <c r="K269" s="57"/>
      <c r="L269" s="57"/>
      <c r="M269" s="57"/>
      <c r="N269" s="57"/>
      <c r="O269" s="57"/>
      <c r="P269" s="57"/>
      <c r="Q269" s="57"/>
      <c r="R269" s="57"/>
      <c r="S269" s="57"/>
      <c r="T269" s="57"/>
      <c r="U269" s="57"/>
      <c r="V269" s="57"/>
      <c r="W269" s="57"/>
      <c r="X269" s="57"/>
      <c r="Y269" s="57"/>
      <c r="Z269" s="57"/>
    </row>
    <row r="270">
      <c r="A270" s="58">
        <v>9693249.0</v>
      </c>
      <c r="B270" s="57" t="s">
        <v>821</v>
      </c>
      <c r="C270" s="57" t="s">
        <v>247</v>
      </c>
      <c r="D270" s="58">
        <v>5.07</v>
      </c>
      <c r="E270" s="58">
        <v>2338.86</v>
      </c>
      <c r="F270" s="58">
        <v>4346670.0</v>
      </c>
      <c r="G270" s="57" t="s">
        <v>822</v>
      </c>
      <c r="H270" s="57" t="s">
        <v>823</v>
      </c>
      <c r="I270" s="57"/>
      <c r="J270" s="57"/>
      <c r="K270" s="57"/>
      <c r="L270" s="57"/>
      <c r="M270" s="57"/>
      <c r="N270" s="57"/>
      <c r="O270" s="57"/>
      <c r="P270" s="57"/>
      <c r="Q270" s="57"/>
      <c r="R270" s="57"/>
      <c r="S270" s="57"/>
      <c r="T270" s="57"/>
      <c r="U270" s="57"/>
      <c r="V270" s="57"/>
      <c r="W270" s="57"/>
      <c r="X270" s="57"/>
      <c r="Y270" s="57"/>
      <c r="Z270" s="57"/>
    </row>
    <row r="271">
      <c r="A271" s="58">
        <v>9693248.0</v>
      </c>
      <c r="B271" s="57" t="s">
        <v>821</v>
      </c>
      <c r="C271" s="57" t="s">
        <v>247</v>
      </c>
      <c r="D271" s="58">
        <v>5.07</v>
      </c>
      <c r="E271" s="58">
        <v>2343.93</v>
      </c>
      <c r="F271" s="58">
        <v>4347010.0</v>
      </c>
      <c r="G271" s="57" t="s">
        <v>824</v>
      </c>
      <c r="H271" s="57" t="s">
        <v>825</v>
      </c>
      <c r="I271" s="57"/>
      <c r="J271" s="57"/>
      <c r="K271" s="57"/>
      <c r="L271" s="57"/>
      <c r="M271" s="57"/>
      <c r="N271" s="57"/>
      <c r="O271" s="57"/>
      <c r="P271" s="57"/>
      <c r="Q271" s="57"/>
      <c r="R271" s="57"/>
      <c r="S271" s="57"/>
      <c r="T271" s="57"/>
      <c r="U271" s="57"/>
      <c r="V271" s="57"/>
      <c r="W271" s="57"/>
      <c r="X271" s="57"/>
      <c r="Y271" s="57"/>
      <c r="Z271" s="57"/>
    </row>
    <row r="272">
      <c r="A272" s="58">
        <v>9687561.0</v>
      </c>
      <c r="B272" s="57" t="s">
        <v>826</v>
      </c>
      <c r="C272" s="57" t="s">
        <v>210</v>
      </c>
      <c r="D272" s="58">
        <v>10.96</v>
      </c>
      <c r="E272" s="58">
        <v>2332.97</v>
      </c>
      <c r="F272" s="58">
        <v>4480601.0</v>
      </c>
      <c r="G272" s="57" t="s">
        <v>827</v>
      </c>
      <c r="H272" s="57" t="s">
        <v>828</v>
      </c>
      <c r="I272" s="57"/>
      <c r="J272" s="57"/>
      <c r="K272" s="57"/>
      <c r="L272" s="57"/>
      <c r="M272" s="57"/>
      <c r="N272" s="57"/>
      <c r="O272" s="57"/>
      <c r="P272" s="57"/>
      <c r="Q272" s="57"/>
      <c r="R272" s="57"/>
      <c r="S272" s="57"/>
      <c r="T272" s="57"/>
      <c r="U272" s="57"/>
      <c r="V272" s="57"/>
      <c r="W272" s="57"/>
      <c r="X272" s="57"/>
      <c r="Y272" s="57"/>
      <c r="Z272" s="57"/>
    </row>
    <row r="273">
      <c r="A273" s="58">
        <v>9676040.0</v>
      </c>
      <c r="B273" s="57" t="s">
        <v>829</v>
      </c>
      <c r="C273" s="57" t="s">
        <v>210</v>
      </c>
      <c r="D273" s="58">
        <v>10.96</v>
      </c>
      <c r="E273" s="58">
        <v>2322.01</v>
      </c>
      <c r="F273" s="58">
        <v>4458418.0</v>
      </c>
      <c r="G273" s="57" t="s">
        <v>830</v>
      </c>
      <c r="H273" s="57" t="s">
        <v>831</v>
      </c>
      <c r="I273" s="57"/>
      <c r="J273" s="57"/>
      <c r="K273" s="57"/>
      <c r="L273" s="57"/>
      <c r="M273" s="57"/>
      <c r="N273" s="57"/>
      <c r="O273" s="57"/>
      <c r="P273" s="57"/>
      <c r="Q273" s="57"/>
      <c r="R273" s="57"/>
      <c r="S273" s="57"/>
      <c r="T273" s="57"/>
      <c r="U273" s="57"/>
      <c r="V273" s="57"/>
      <c r="W273" s="57"/>
      <c r="X273" s="57"/>
      <c r="Y273" s="57"/>
      <c r="Z273" s="57"/>
    </row>
    <row r="274">
      <c r="A274" s="58">
        <v>9675968.0</v>
      </c>
      <c r="B274" s="57" t="s">
        <v>829</v>
      </c>
      <c r="C274" s="57" t="s">
        <v>210</v>
      </c>
      <c r="D274" s="58">
        <v>13.17</v>
      </c>
      <c r="E274" s="58">
        <v>2308.84</v>
      </c>
      <c r="F274" s="58">
        <v>4458181.0</v>
      </c>
      <c r="G274" s="57" t="s">
        <v>832</v>
      </c>
      <c r="H274" s="57" t="s">
        <v>833</v>
      </c>
      <c r="I274" s="57"/>
      <c r="J274" s="57"/>
      <c r="K274" s="57"/>
      <c r="L274" s="57"/>
      <c r="M274" s="57"/>
      <c r="N274" s="57"/>
      <c r="O274" s="57"/>
      <c r="P274" s="57"/>
      <c r="Q274" s="57"/>
      <c r="R274" s="57"/>
      <c r="S274" s="57"/>
      <c r="T274" s="57"/>
      <c r="U274" s="57"/>
      <c r="V274" s="57"/>
      <c r="W274" s="57"/>
      <c r="X274" s="57"/>
      <c r="Y274" s="57"/>
      <c r="Z274" s="57"/>
    </row>
    <row r="275">
      <c r="A275" s="58">
        <v>9675912.0</v>
      </c>
      <c r="B275" s="57" t="s">
        <v>829</v>
      </c>
      <c r="C275" s="57" t="s">
        <v>210</v>
      </c>
      <c r="D275" s="58">
        <v>11.43</v>
      </c>
      <c r="E275" s="58">
        <v>2297.41</v>
      </c>
      <c r="F275" s="58">
        <v>4458057.0</v>
      </c>
      <c r="G275" s="58">
        <v>1.87033453E8</v>
      </c>
      <c r="H275" s="57" t="s">
        <v>834</v>
      </c>
      <c r="I275" s="57"/>
      <c r="J275" s="57"/>
      <c r="K275" s="57"/>
      <c r="L275" s="57"/>
      <c r="M275" s="57"/>
      <c r="N275" s="57"/>
      <c r="O275" s="57"/>
      <c r="P275" s="57"/>
      <c r="Q275" s="57"/>
      <c r="R275" s="57"/>
      <c r="S275" s="57"/>
      <c r="T275" s="57"/>
      <c r="U275" s="57"/>
      <c r="V275" s="57"/>
      <c r="W275" s="57"/>
      <c r="X275" s="57"/>
      <c r="Y275" s="57"/>
      <c r="Z275" s="57"/>
    </row>
    <row r="276">
      <c r="A276" s="58">
        <v>9673796.0</v>
      </c>
      <c r="B276" s="57" t="s">
        <v>835</v>
      </c>
      <c r="C276" s="57" t="s">
        <v>210</v>
      </c>
      <c r="D276" s="58">
        <v>12.35</v>
      </c>
      <c r="E276" s="58">
        <v>2285.06</v>
      </c>
      <c r="F276" s="58">
        <v>4451911.0</v>
      </c>
      <c r="G276" s="57" t="s">
        <v>836</v>
      </c>
      <c r="H276" s="57" t="s">
        <v>837</v>
      </c>
      <c r="I276" s="57"/>
      <c r="J276" s="57"/>
      <c r="K276" s="57"/>
      <c r="L276" s="57"/>
      <c r="M276" s="57"/>
      <c r="N276" s="57"/>
      <c r="O276" s="57"/>
      <c r="P276" s="57"/>
      <c r="Q276" s="57"/>
      <c r="R276" s="57"/>
      <c r="S276" s="57"/>
      <c r="T276" s="57"/>
      <c r="U276" s="57"/>
      <c r="V276" s="57"/>
      <c r="W276" s="57"/>
      <c r="X276" s="57"/>
      <c r="Y276" s="57"/>
      <c r="Z276" s="57"/>
    </row>
    <row r="277">
      <c r="A277" s="58">
        <v>9671500.0</v>
      </c>
      <c r="B277" s="57" t="s">
        <v>835</v>
      </c>
      <c r="C277" s="57" t="s">
        <v>210</v>
      </c>
      <c r="D277" s="58">
        <v>17.24</v>
      </c>
      <c r="E277" s="58">
        <v>2267.82</v>
      </c>
      <c r="F277" s="58">
        <v>4442392.0</v>
      </c>
      <c r="G277" s="57" t="s">
        <v>838</v>
      </c>
      <c r="H277" s="57" t="s">
        <v>839</v>
      </c>
      <c r="I277" s="57"/>
      <c r="J277" s="57"/>
      <c r="K277" s="57"/>
      <c r="L277" s="57"/>
      <c r="M277" s="57"/>
      <c r="N277" s="57"/>
      <c r="O277" s="57"/>
      <c r="P277" s="57"/>
      <c r="Q277" s="57"/>
      <c r="R277" s="57"/>
      <c r="S277" s="57"/>
      <c r="T277" s="57"/>
      <c r="U277" s="57"/>
      <c r="V277" s="57"/>
      <c r="W277" s="57"/>
      <c r="X277" s="57"/>
      <c r="Y277" s="57"/>
      <c r="Z277" s="57"/>
    </row>
    <row r="278">
      <c r="A278" s="58">
        <v>9671497.0</v>
      </c>
      <c r="B278" s="57" t="s">
        <v>835</v>
      </c>
      <c r="C278" s="57" t="s">
        <v>210</v>
      </c>
      <c r="D278" s="58">
        <v>14.64</v>
      </c>
      <c r="E278" s="58">
        <v>2253.18</v>
      </c>
      <c r="F278" s="58">
        <v>4442384.0</v>
      </c>
      <c r="G278" s="57" t="s">
        <v>840</v>
      </c>
      <c r="H278" s="57" t="s">
        <v>841</v>
      </c>
      <c r="I278" s="57"/>
      <c r="J278" s="57"/>
      <c r="K278" s="57"/>
      <c r="L278" s="57"/>
      <c r="M278" s="57"/>
      <c r="N278" s="57"/>
      <c r="O278" s="57"/>
      <c r="P278" s="57"/>
      <c r="Q278" s="57"/>
      <c r="R278" s="57"/>
      <c r="S278" s="57"/>
      <c r="T278" s="57"/>
      <c r="U278" s="57"/>
      <c r="V278" s="57"/>
      <c r="W278" s="57"/>
      <c r="X278" s="57"/>
      <c r="Y278" s="57"/>
      <c r="Z278" s="57"/>
    </row>
    <row r="279">
      <c r="A279" s="58">
        <v>9671494.0</v>
      </c>
      <c r="B279" s="57" t="s">
        <v>835</v>
      </c>
      <c r="C279" s="57" t="s">
        <v>210</v>
      </c>
      <c r="D279" s="58">
        <v>12.04</v>
      </c>
      <c r="E279" s="58">
        <v>2241.14</v>
      </c>
      <c r="F279" s="58">
        <v>4442358.0</v>
      </c>
      <c r="G279" s="57" t="s">
        <v>842</v>
      </c>
      <c r="H279" s="57" t="s">
        <v>843</v>
      </c>
      <c r="I279" s="57"/>
      <c r="J279" s="57"/>
      <c r="K279" s="57"/>
      <c r="L279" s="57"/>
      <c r="M279" s="57"/>
      <c r="N279" s="57"/>
      <c r="O279" s="57"/>
      <c r="P279" s="57"/>
      <c r="Q279" s="57"/>
      <c r="R279" s="57"/>
      <c r="S279" s="57"/>
      <c r="T279" s="57"/>
      <c r="U279" s="57"/>
      <c r="V279" s="57"/>
      <c r="W279" s="57"/>
      <c r="X279" s="57"/>
      <c r="Y279" s="57"/>
      <c r="Z279" s="57"/>
    </row>
    <row r="280">
      <c r="A280" s="58">
        <v>9671491.0</v>
      </c>
      <c r="B280" s="57" t="s">
        <v>835</v>
      </c>
      <c r="C280" s="57" t="s">
        <v>210</v>
      </c>
      <c r="D280" s="58">
        <v>10.96</v>
      </c>
      <c r="E280" s="58">
        <v>2230.18</v>
      </c>
      <c r="F280" s="58">
        <v>4442344.0</v>
      </c>
      <c r="G280" s="57" t="s">
        <v>844</v>
      </c>
      <c r="H280" s="57" t="s">
        <v>845</v>
      </c>
      <c r="I280" s="57"/>
      <c r="J280" s="57"/>
      <c r="K280" s="57"/>
      <c r="L280" s="57"/>
      <c r="M280" s="57"/>
      <c r="N280" s="57"/>
      <c r="O280" s="57"/>
      <c r="P280" s="57"/>
      <c r="Q280" s="57"/>
      <c r="R280" s="57"/>
      <c r="S280" s="57"/>
      <c r="T280" s="57"/>
      <c r="U280" s="57"/>
      <c r="V280" s="57"/>
      <c r="W280" s="57"/>
      <c r="X280" s="57"/>
      <c r="Y280" s="57"/>
      <c r="Z280" s="57"/>
    </row>
    <row r="281">
      <c r="A281" s="58">
        <v>9669630.0</v>
      </c>
      <c r="B281" s="57" t="s">
        <v>846</v>
      </c>
      <c r="C281" s="57" t="s">
        <v>210</v>
      </c>
      <c r="D281" s="58">
        <v>12.04</v>
      </c>
      <c r="E281" s="58">
        <v>2218.14</v>
      </c>
      <c r="F281" s="58">
        <v>4432083.0</v>
      </c>
      <c r="G281" s="57" t="s">
        <v>847</v>
      </c>
      <c r="H281" s="57" t="s">
        <v>848</v>
      </c>
      <c r="I281" s="57"/>
      <c r="J281" s="57"/>
      <c r="K281" s="57"/>
      <c r="L281" s="57"/>
      <c r="M281" s="57"/>
      <c r="N281" s="57"/>
      <c r="O281" s="57"/>
      <c r="P281" s="57"/>
      <c r="Q281" s="57"/>
      <c r="R281" s="57"/>
      <c r="S281" s="57"/>
      <c r="T281" s="57"/>
      <c r="U281" s="57"/>
      <c r="V281" s="57"/>
      <c r="W281" s="57"/>
      <c r="X281" s="57"/>
      <c r="Y281" s="57"/>
      <c r="Z281" s="57"/>
    </row>
    <row r="282">
      <c r="A282" s="58">
        <v>9669621.0</v>
      </c>
      <c r="B282" s="57" t="s">
        <v>846</v>
      </c>
      <c r="C282" s="57" t="s">
        <v>210</v>
      </c>
      <c r="D282" s="58">
        <v>10.96</v>
      </c>
      <c r="E282" s="58">
        <v>2207.18</v>
      </c>
      <c r="F282" s="58">
        <v>4432038.0</v>
      </c>
      <c r="G282" s="57" t="s">
        <v>849</v>
      </c>
      <c r="H282" s="57" t="s">
        <v>850</v>
      </c>
      <c r="I282" s="57"/>
      <c r="J282" s="57"/>
      <c r="K282" s="57"/>
      <c r="L282" s="57"/>
      <c r="M282" s="57"/>
      <c r="N282" s="57"/>
      <c r="O282" s="57"/>
      <c r="P282" s="57"/>
      <c r="Q282" s="57"/>
      <c r="R282" s="57"/>
      <c r="S282" s="57"/>
      <c r="T282" s="57"/>
      <c r="U282" s="57"/>
      <c r="V282" s="57"/>
      <c r="W282" s="57"/>
      <c r="X282" s="57"/>
      <c r="Y282" s="57"/>
      <c r="Z282" s="57"/>
    </row>
    <row r="283">
      <c r="A283" s="58">
        <v>9668106.0</v>
      </c>
      <c r="B283" s="57" t="s">
        <v>846</v>
      </c>
      <c r="C283" s="57" t="s">
        <v>210</v>
      </c>
      <c r="D283" s="58">
        <v>13.29</v>
      </c>
      <c r="E283" s="58">
        <v>2193.89</v>
      </c>
      <c r="F283" s="58">
        <v>4422094.0</v>
      </c>
      <c r="G283" s="57" t="s">
        <v>851</v>
      </c>
      <c r="H283" s="57" t="s">
        <v>852</v>
      </c>
      <c r="I283" s="57"/>
      <c r="J283" s="57"/>
      <c r="K283" s="57"/>
      <c r="L283" s="57"/>
      <c r="M283" s="57"/>
      <c r="N283" s="57"/>
      <c r="O283" s="57"/>
      <c r="P283" s="57"/>
      <c r="Q283" s="57"/>
      <c r="R283" s="57"/>
      <c r="S283" s="57"/>
      <c r="T283" s="57"/>
      <c r="U283" s="57"/>
      <c r="V283" s="57"/>
      <c r="W283" s="57"/>
      <c r="X283" s="57"/>
      <c r="Y283" s="57"/>
      <c r="Z283" s="57"/>
    </row>
    <row r="284">
      <c r="A284" s="58">
        <v>9668071.0</v>
      </c>
      <c r="B284" s="57" t="s">
        <v>846</v>
      </c>
      <c r="C284" s="57" t="s">
        <v>210</v>
      </c>
      <c r="D284" s="58">
        <v>13.65</v>
      </c>
      <c r="E284" s="58">
        <v>2180.24</v>
      </c>
      <c r="F284" s="58">
        <v>4421914.0</v>
      </c>
      <c r="G284" s="57" t="s">
        <v>853</v>
      </c>
      <c r="H284" s="57" t="s">
        <v>854</v>
      </c>
      <c r="I284" s="57"/>
      <c r="J284" s="57"/>
      <c r="K284" s="57"/>
      <c r="L284" s="57"/>
      <c r="M284" s="57"/>
      <c r="N284" s="57"/>
      <c r="O284" s="57"/>
      <c r="P284" s="57"/>
      <c r="Q284" s="57"/>
      <c r="R284" s="57"/>
      <c r="S284" s="57"/>
      <c r="T284" s="57"/>
      <c r="U284" s="57"/>
      <c r="V284" s="57"/>
      <c r="W284" s="57"/>
      <c r="X284" s="57"/>
      <c r="Y284" s="57"/>
      <c r="Z284" s="57"/>
    </row>
    <row r="285">
      <c r="A285" s="58">
        <v>9666370.0</v>
      </c>
      <c r="B285" s="57" t="s">
        <v>855</v>
      </c>
      <c r="C285" s="57" t="s">
        <v>210</v>
      </c>
      <c r="D285" s="58">
        <v>13.75</v>
      </c>
      <c r="E285" s="58">
        <v>2166.49</v>
      </c>
      <c r="F285" s="58">
        <v>4405543.0</v>
      </c>
      <c r="G285" s="57" t="s">
        <v>856</v>
      </c>
      <c r="H285" s="57" t="s">
        <v>857</v>
      </c>
      <c r="I285" s="57"/>
      <c r="J285" s="57"/>
      <c r="K285" s="57"/>
      <c r="L285" s="57"/>
      <c r="M285" s="57"/>
      <c r="N285" s="57"/>
      <c r="O285" s="57"/>
      <c r="P285" s="57"/>
      <c r="Q285" s="57"/>
      <c r="R285" s="57"/>
      <c r="S285" s="57"/>
      <c r="T285" s="57"/>
      <c r="U285" s="57"/>
      <c r="V285" s="57"/>
      <c r="W285" s="57"/>
      <c r="X285" s="57"/>
      <c r="Y285" s="57"/>
      <c r="Z285" s="57"/>
    </row>
    <row r="286">
      <c r="A286" s="58">
        <v>9664603.0</v>
      </c>
      <c r="B286" s="57" t="s">
        <v>855</v>
      </c>
      <c r="C286" s="57" t="s">
        <v>210</v>
      </c>
      <c r="D286" s="58">
        <v>14.34</v>
      </c>
      <c r="E286" s="58">
        <v>2152.15</v>
      </c>
      <c r="F286" s="58">
        <v>4353792.0</v>
      </c>
      <c r="G286" s="57" t="s">
        <v>858</v>
      </c>
      <c r="H286" s="57" t="s">
        <v>859</v>
      </c>
      <c r="I286" s="57"/>
      <c r="J286" s="57"/>
      <c r="K286" s="57"/>
      <c r="L286" s="57"/>
      <c r="M286" s="57"/>
      <c r="N286" s="57"/>
      <c r="O286" s="57"/>
      <c r="P286" s="57"/>
      <c r="Q286" s="57"/>
      <c r="R286" s="57"/>
      <c r="S286" s="57"/>
      <c r="T286" s="57"/>
      <c r="U286" s="57"/>
      <c r="V286" s="57"/>
      <c r="W286" s="57"/>
      <c r="X286" s="57"/>
      <c r="Y286" s="57"/>
      <c r="Z286" s="57"/>
    </row>
    <row r="287">
      <c r="A287" s="58">
        <v>9662405.0</v>
      </c>
      <c r="B287" s="57" t="s">
        <v>860</v>
      </c>
      <c r="C287" s="57" t="s">
        <v>247</v>
      </c>
      <c r="D287" s="58">
        <v>5.06</v>
      </c>
      <c r="E287" s="58">
        <v>2157.21</v>
      </c>
      <c r="F287" s="58">
        <v>4339125.0</v>
      </c>
      <c r="G287" s="57" t="s">
        <v>861</v>
      </c>
      <c r="H287" s="57" t="s">
        <v>862</v>
      </c>
      <c r="I287" s="57"/>
      <c r="J287" s="57"/>
      <c r="K287" s="57"/>
      <c r="L287" s="57"/>
      <c r="M287" s="57"/>
      <c r="N287" s="57"/>
      <c r="O287" s="57"/>
      <c r="P287" s="57"/>
      <c r="Q287" s="57"/>
      <c r="R287" s="57"/>
      <c r="S287" s="57"/>
      <c r="T287" s="57"/>
      <c r="U287" s="57"/>
      <c r="V287" s="57"/>
      <c r="W287" s="57"/>
      <c r="X287" s="57"/>
      <c r="Y287" s="57"/>
      <c r="Z287" s="57"/>
    </row>
    <row r="288">
      <c r="A288" s="58">
        <v>9661665.0</v>
      </c>
      <c r="B288" s="57" t="s">
        <v>863</v>
      </c>
      <c r="C288" s="57" t="s">
        <v>247</v>
      </c>
      <c r="D288" s="58">
        <v>3.46</v>
      </c>
      <c r="E288" s="58">
        <v>2160.67</v>
      </c>
      <c r="F288" s="58">
        <v>4322561.0</v>
      </c>
      <c r="G288" s="57" t="s">
        <v>864</v>
      </c>
      <c r="H288" s="57" t="s">
        <v>865</v>
      </c>
      <c r="I288" s="57"/>
      <c r="J288" s="57"/>
      <c r="K288" s="57"/>
      <c r="L288" s="57"/>
      <c r="M288" s="57"/>
      <c r="N288" s="57"/>
      <c r="O288" s="57"/>
      <c r="P288" s="57"/>
      <c r="Q288" s="57"/>
      <c r="R288" s="57"/>
      <c r="S288" s="57"/>
      <c r="T288" s="57"/>
      <c r="U288" s="57"/>
      <c r="V288" s="57"/>
      <c r="W288" s="57"/>
      <c r="X288" s="57"/>
      <c r="Y288" s="57"/>
      <c r="Z288" s="57"/>
    </row>
    <row r="289">
      <c r="A289" s="58">
        <v>9660234.0</v>
      </c>
      <c r="B289" s="57" t="s">
        <v>866</v>
      </c>
      <c r="C289" s="57" t="s">
        <v>247</v>
      </c>
      <c r="D289" s="58">
        <v>7.75</v>
      </c>
      <c r="E289" s="58">
        <v>2168.42</v>
      </c>
      <c r="F289" s="58">
        <v>4177020.0</v>
      </c>
      <c r="G289" s="58">
        <v>1.86507663E8</v>
      </c>
      <c r="H289" s="57" t="s">
        <v>867</v>
      </c>
      <c r="I289" s="57"/>
      <c r="J289" s="57"/>
      <c r="K289" s="57"/>
      <c r="L289" s="57"/>
      <c r="M289" s="57"/>
      <c r="N289" s="57"/>
      <c r="O289" s="57"/>
      <c r="P289" s="57"/>
      <c r="Q289" s="57"/>
      <c r="R289" s="57"/>
      <c r="S289" s="57"/>
      <c r="T289" s="57"/>
      <c r="U289" s="57"/>
      <c r="V289" s="57"/>
      <c r="W289" s="57"/>
      <c r="X289" s="57"/>
      <c r="Y289" s="57"/>
      <c r="Z289" s="57"/>
    </row>
    <row r="290">
      <c r="A290" s="58">
        <v>9660127.0</v>
      </c>
      <c r="B290" s="57" t="s">
        <v>868</v>
      </c>
      <c r="C290" s="57" t="s">
        <v>247</v>
      </c>
      <c r="D290" s="58">
        <v>7.75</v>
      </c>
      <c r="E290" s="58">
        <v>2176.17</v>
      </c>
      <c r="F290" s="58">
        <v>4307785.0</v>
      </c>
      <c r="G290" s="58">
        <v>1.86548342E8</v>
      </c>
      <c r="H290" s="57" t="s">
        <v>869</v>
      </c>
      <c r="I290" s="57"/>
      <c r="J290" s="57"/>
      <c r="K290" s="57"/>
      <c r="L290" s="57"/>
      <c r="M290" s="57"/>
      <c r="N290" s="57"/>
      <c r="O290" s="57"/>
      <c r="P290" s="57"/>
      <c r="Q290" s="57"/>
      <c r="R290" s="57"/>
      <c r="S290" s="57"/>
      <c r="T290" s="57"/>
      <c r="U290" s="57"/>
      <c r="V290" s="57"/>
      <c r="W290" s="57"/>
      <c r="X290" s="57"/>
      <c r="Y290" s="57"/>
      <c r="Z290" s="57"/>
    </row>
    <row r="291">
      <c r="A291" s="58">
        <v>9660000.0</v>
      </c>
      <c r="B291" s="57" t="s">
        <v>868</v>
      </c>
      <c r="C291" s="57" t="s">
        <v>247</v>
      </c>
      <c r="D291" s="58">
        <v>7.7</v>
      </c>
      <c r="E291" s="58">
        <v>2183.87</v>
      </c>
      <c r="F291" s="58">
        <v>4330008.0</v>
      </c>
      <c r="G291" s="58">
        <v>1.86555362E8</v>
      </c>
      <c r="H291" s="57" t="s">
        <v>870</v>
      </c>
      <c r="I291" s="57"/>
      <c r="J291" s="57"/>
      <c r="K291" s="57"/>
      <c r="L291" s="57"/>
      <c r="M291" s="57"/>
      <c r="N291" s="57"/>
      <c r="O291" s="57"/>
      <c r="P291" s="57"/>
      <c r="Q291" s="57"/>
      <c r="R291" s="57"/>
      <c r="S291" s="57"/>
      <c r="T291" s="57"/>
      <c r="U291" s="57"/>
      <c r="V291" s="57"/>
      <c r="W291" s="57"/>
      <c r="X291" s="57"/>
      <c r="Y291" s="57"/>
      <c r="Z291" s="57"/>
    </row>
    <row r="292">
      <c r="A292" s="58">
        <v>9649094.0</v>
      </c>
      <c r="B292" s="57" t="s">
        <v>871</v>
      </c>
      <c r="C292" s="57" t="s">
        <v>210</v>
      </c>
      <c r="D292" s="58">
        <v>10.54</v>
      </c>
      <c r="E292" s="58">
        <v>2173.33</v>
      </c>
      <c r="F292" s="58">
        <v>4457045.0</v>
      </c>
      <c r="G292" s="58">
        <v>1.87033471E8</v>
      </c>
      <c r="H292" s="57" t="s">
        <v>872</v>
      </c>
      <c r="I292" s="57"/>
      <c r="J292" s="57"/>
      <c r="K292" s="57"/>
      <c r="L292" s="57"/>
      <c r="M292" s="57"/>
      <c r="N292" s="57"/>
      <c r="O292" s="57"/>
      <c r="P292" s="57"/>
      <c r="Q292" s="57"/>
      <c r="R292" s="57"/>
      <c r="S292" s="57"/>
      <c r="T292" s="57"/>
      <c r="U292" s="57"/>
      <c r="V292" s="57"/>
      <c r="W292" s="57"/>
      <c r="X292" s="57"/>
      <c r="Y292" s="57"/>
      <c r="Z292" s="57"/>
    </row>
    <row r="293">
      <c r="A293" s="58">
        <v>9648424.0</v>
      </c>
      <c r="B293" s="57" t="s">
        <v>871</v>
      </c>
      <c r="C293" s="57" t="s">
        <v>210</v>
      </c>
      <c r="D293" s="58">
        <v>9.1</v>
      </c>
      <c r="E293" s="58">
        <v>2164.23</v>
      </c>
      <c r="F293" s="58">
        <v>4455728.0</v>
      </c>
      <c r="G293" s="58">
        <v>1.87033499E8</v>
      </c>
      <c r="H293" s="57" t="s">
        <v>873</v>
      </c>
      <c r="I293" s="57"/>
      <c r="J293" s="57"/>
      <c r="K293" s="57"/>
      <c r="L293" s="57"/>
      <c r="M293" s="57"/>
      <c r="N293" s="57"/>
      <c r="O293" s="57"/>
      <c r="P293" s="57"/>
      <c r="Q293" s="57"/>
      <c r="R293" s="57"/>
      <c r="S293" s="57"/>
      <c r="T293" s="57"/>
      <c r="U293" s="57"/>
      <c r="V293" s="57"/>
      <c r="W293" s="57"/>
      <c r="X293" s="57"/>
      <c r="Y293" s="57"/>
      <c r="Z293" s="57"/>
    </row>
    <row r="294">
      <c r="A294" s="58">
        <v>9646543.0</v>
      </c>
      <c r="B294" s="57" t="s">
        <v>871</v>
      </c>
      <c r="C294" s="57" t="s">
        <v>210</v>
      </c>
      <c r="D294" s="58">
        <v>10.74</v>
      </c>
      <c r="E294" s="58">
        <v>2153.49</v>
      </c>
      <c r="F294" s="58">
        <v>4451908.0</v>
      </c>
      <c r="G294" s="57" t="s">
        <v>874</v>
      </c>
      <c r="H294" s="57" t="s">
        <v>875</v>
      </c>
      <c r="I294" s="57"/>
      <c r="J294" s="57"/>
      <c r="K294" s="57"/>
      <c r="L294" s="57"/>
      <c r="M294" s="57"/>
      <c r="N294" s="57"/>
      <c r="O294" s="57"/>
      <c r="P294" s="57"/>
      <c r="Q294" s="57"/>
      <c r="R294" s="57"/>
      <c r="S294" s="57"/>
      <c r="T294" s="57"/>
      <c r="U294" s="57"/>
      <c r="V294" s="57"/>
      <c r="W294" s="57"/>
      <c r="X294" s="57"/>
      <c r="Y294" s="57"/>
      <c r="Z294" s="57"/>
    </row>
    <row r="295">
      <c r="A295" s="58">
        <v>9642731.0</v>
      </c>
      <c r="B295" s="57" t="s">
        <v>876</v>
      </c>
      <c r="C295" s="57" t="s">
        <v>210</v>
      </c>
      <c r="D295" s="58">
        <v>12.04</v>
      </c>
      <c r="E295" s="58">
        <v>2141.45</v>
      </c>
      <c r="F295" s="58">
        <v>4442397.0</v>
      </c>
      <c r="G295" s="57" t="s">
        <v>877</v>
      </c>
      <c r="H295" s="57" t="s">
        <v>878</v>
      </c>
      <c r="I295" s="57"/>
      <c r="J295" s="57"/>
      <c r="K295" s="57"/>
      <c r="L295" s="57"/>
      <c r="M295" s="57"/>
      <c r="N295" s="57"/>
      <c r="O295" s="57"/>
      <c r="P295" s="57"/>
      <c r="Q295" s="57"/>
      <c r="R295" s="57"/>
      <c r="S295" s="57"/>
      <c r="T295" s="57"/>
      <c r="U295" s="57"/>
      <c r="V295" s="57"/>
      <c r="W295" s="57"/>
      <c r="X295" s="57"/>
      <c r="Y295" s="57"/>
      <c r="Z295" s="57"/>
    </row>
    <row r="296">
      <c r="A296" s="58">
        <v>9642728.0</v>
      </c>
      <c r="B296" s="57" t="s">
        <v>876</v>
      </c>
      <c r="C296" s="57" t="s">
        <v>210</v>
      </c>
      <c r="D296" s="58">
        <v>9.79</v>
      </c>
      <c r="E296" s="58">
        <v>2131.66</v>
      </c>
      <c r="F296" s="58">
        <v>4442395.0</v>
      </c>
      <c r="G296" s="57" t="s">
        <v>879</v>
      </c>
      <c r="H296" s="57" t="s">
        <v>880</v>
      </c>
      <c r="I296" s="57"/>
      <c r="J296" s="57"/>
      <c r="K296" s="57"/>
      <c r="L296" s="57"/>
      <c r="M296" s="57"/>
      <c r="N296" s="57"/>
      <c r="O296" s="57"/>
      <c r="P296" s="57"/>
      <c r="Q296" s="57"/>
      <c r="R296" s="57"/>
      <c r="S296" s="57"/>
      <c r="T296" s="57"/>
      <c r="U296" s="57"/>
      <c r="V296" s="57"/>
      <c r="W296" s="57"/>
      <c r="X296" s="57"/>
      <c r="Y296" s="57"/>
      <c r="Z296" s="57"/>
    </row>
    <row r="297">
      <c r="A297" s="58">
        <v>9642725.0</v>
      </c>
      <c r="B297" s="57" t="s">
        <v>876</v>
      </c>
      <c r="C297" s="57" t="s">
        <v>210</v>
      </c>
      <c r="D297" s="58">
        <v>13.65</v>
      </c>
      <c r="E297" s="58">
        <v>2118.01</v>
      </c>
      <c r="F297" s="58">
        <v>4442394.0</v>
      </c>
      <c r="G297" s="57" t="s">
        <v>881</v>
      </c>
      <c r="H297" s="57" t="s">
        <v>882</v>
      </c>
      <c r="I297" s="57"/>
      <c r="J297" s="57"/>
      <c r="K297" s="57"/>
      <c r="L297" s="57"/>
      <c r="M297" s="57"/>
      <c r="N297" s="57"/>
      <c r="O297" s="57"/>
      <c r="P297" s="57"/>
      <c r="Q297" s="57"/>
      <c r="R297" s="57"/>
      <c r="S297" s="57"/>
      <c r="T297" s="57"/>
      <c r="U297" s="57"/>
      <c r="V297" s="57"/>
      <c r="W297" s="57"/>
      <c r="X297" s="57"/>
      <c r="Y297" s="57"/>
      <c r="Z297" s="57"/>
    </row>
    <row r="298">
      <c r="A298" s="58">
        <v>9642722.0</v>
      </c>
      <c r="B298" s="57" t="s">
        <v>876</v>
      </c>
      <c r="C298" s="57" t="s">
        <v>210</v>
      </c>
      <c r="D298" s="58">
        <v>17.24</v>
      </c>
      <c r="E298" s="58">
        <v>2100.77</v>
      </c>
      <c r="F298" s="58">
        <v>4442390.0</v>
      </c>
      <c r="G298" s="57" t="s">
        <v>883</v>
      </c>
      <c r="H298" s="57" t="s">
        <v>884</v>
      </c>
      <c r="I298" s="57"/>
      <c r="J298" s="57"/>
      <c r="K298" s="57"/>
      <c r="L298" s="57"/>
      <c r="M298" s="57"/>
      <c r="N298" s="57"/>
      <c r="O298" s="57"/>
      <c r="P298" s="57"/>
      <c r="Q298" s="57"/>
      <c r="R298" s="57"/>
      <c r="S298" s="57"/>
      <c r="T298" s="57"/>
      <c r="U298" s="57"/>
      <c r="V298" s="57"/>
      <c r="W298" s="57"/>
      <c r="X298" s="57"/>
      <c r="Y298" s="57"/>
      <c r="Z298" s="57"/>
    </row>
    <row r="299">
      <c r="A299" s="58">
        <v>9642719.0</v>
      </c>
      <c r="B299" s="57" t="s">
        <v>876</v>
      </c>
      <c r="C299" s="57" t="s">
        <v>210</v>
      </c>
      <c r="D299" s="58">
        <v>10.96</v>
      </c>
      <c r="E299" s="58">
        <v>2089.81</v>
      </c>
      <c r="F299" s="58">
        <v>4442382.0</v>
      </c>
      <c r="G299" s="57" t="s">
        <v>885</v>
      </c>
      <c r="H299" s="57" t="s">
        <v>886</v>
      </c>
      <c r="I299" s="57"/>
      <c r="J299" s="57"/>
      <c r="K299" s="57"/>
      <c r="L299" s="57"/>
      <c r="M299" s="57"/>
      <c r="N299" s="57"/>
      <c r="O299" s="57"/>
      <c r="P299" s="57"/>
      <c r="Q299" s="57"/>
      <c r="R299" s="57"/>
      <c r="S299" s="57"/>
      <c r="T299" s="57"/>
      <c r="U299" s="57"/>
      <c r="V299" s="57"/>
      <c r="W299" s="57"/>
      <c r="X299" s="57"/>
      <c r="Y299" s="57"/>
      <c r="Z299" s="57"/>
    </row>
    <row r="300">
      <c r="A300" s="58">
        <v>9642698.0</v>
      </c>
      <c r="B300" s="57" t="s">
        <v>876</v>
      </c>
      <c r="C300" s="57" t="s">
        <v>210</v>
      </c>
      <c r="D300" s="58">
        <v>10.96</v>
      </c>
      <c r="E300" s="58">
        <v>2078.85</v>
      </c>
      <c r="F300" s="58">
        <v>4442356.0</v>
      </c>
      <c r="G300" s="57" t="s">
        <v>887</v>
      </c>
      <c r="H300" s="57" t="s">
        <v>888</v>
      </c>
      <c r="I300" s="57"/>
      <c r="J300" s="57"/>
      <c r="K300" s="57"/>
      <c r="L300" s="57"/>
      <c r="M300" s="57"/>
      <c r="N300" s="57"/>
      <c r="O300" s="57"/>
      <c r="P300" s="57"/>
      <c r="Q300" s="57"/>
      <c r="R300" s="57"/>
      <c r="S300" s="57"/>
      <c r="T300" s="57"/>
      <c r="U300" s="57"/>
      <c r="V300" s="57"/>
      <c r="W300" s="57"/>
      <c r="X300" s="57"/>
      <c r="Y300" s="57"/>
      <c r="Z300" s="57"/>
    </row>
    <row r="301">
      <c r="A301" s="58">
        <v>9642695.0</v>
      </c>
      <c r="B301" s="57" t="s">
        <v>876</v>
      </c>
      <c r="C301" s="57" t="s">
        <v>210</v>
      </c>
      <c r="D301" s="58">
        <v>10.96</v>
      </c>
      <c r="E301" s="58">
        <v>2067.89</v>
      </c>
      <c r="F301" s="58">
        <v>4442352.0</v>
      </c>
      <c r="G301" s="57" t="s">
        <v>889</v>
      </c>
      <c r="H301" s="57" t="s">
        <v>890</v>
      </c>
      <c r="I301" s="57"/>
      <c r="J301" s="57"/>
      <c r="K301" s="57"/>
      <c r="L301" s="57"/>
      <c r="M301" s="57"/>
      <c r="N301" s="57"/>
      <c r="O301" s="57"/>
      <c r="P301" s="57"/>
      <c r="Q301" s="57"/>
      <c r="R301" s="57"/>
      <c r="S301" s="57"/>
      <c r="T301" s="57"/>
      <c r="U301" s="57"/>
      <c r="V301" s="57"/>
      <c r="W301" s="57"/>
      <c r="X301" s="57"/>
      <c r="Y301" s="57"/>
      <c r="Z301" s="57"/>
    </row>
    <row r="302">
      <c r="A302" s="58">
        <v>9642692.0</v>
      </c>
      <c r="B302" s="57" t="s">
        <v>876</v>
      </c>
      <c r="C302" s="57" t="s">
        <v>210</v>
      </c>
      <c r="D302" s="58">
        <v>13.17</v>
      </c>
      <c r="E302" s="58">
        <v>2054.72</v>
      </c>
      <c r="F302" s="58">
        <v>4442346.0</v>
      </c>
      <c r="G302" s="57" t="s">
        <v>891</v>
      </c>
      <c r="H302" s="57" t="s">
        <v>892</v>
      </c>
      <c r="I302" s="57"/>
      <c r="J302" s="57"/>
      <c r="K302" s="57"/>
      <c r="L302" s="57"/>
      <c r="M302" s="57"/>
      <c r="N302" s="57"/>
      <c r="O302" s="57"/>
      <c r="P302" s="57"/>
      <c r="Q302" s="57"/>
      <c r="R302" s="57"/>
      <c r="S302" s="57"/>
      <c r="T302" s="57"/>
      <c r="U302" s="57"/>
      <c r="V302" s="57"/>
      <c r="W302" s="57"/>
      <c r="X302" s="57"/>
      <c r="Y302" s="57"/>
      <c r="Z302" s="57"/>
    </row>
    <row r="303">
      <c r="A303" s="58">
        <v>9642689.0</v>
      </c>
      <c r="B303" s="57" t="s">
        <v>876</v>
      </c>
      <c r="C303" s="57" t="s">
        <v>210</v>
      </c>
      <c r="D303" s="58">
        <v>13.55</v>
      </c>
      <c r="E303" s="58">
        <v>2041.17</v>
      </c>
      <c r="F303" s="58">
        <v>4442340.0</v>
      </c>
      <c r="G303" s="57" t="s">
        <v>893</v>
      </c>
      <c r="H303" s="57" t="s">
        <v>894</v>
      </c>
      <c r="I303" s="57"/>
      <c r="J303" s="57"/>
      <c r="K303" s="57"/>
      <c r="L303" s="57"/>
      <c r="M303" s="57"/>
      <c r="N303" s="57"/>
      <c r="O303" s="57"/>
      <c r="P303" s="57"/>
      <c r="Q303" s="57"/>
      <c r="R303" s="57"/>
      <c r="S303" s="57"/>
      <c r="T303" s="57"/>
      <c r="U303" s="57"/>
      <c r="V303" s="57"/>
      <c r="W303" s="57"/>
      <c r="X303" s="57"/>
      <c r="Y303" s="57"/>
      <c r="Z303" s="57"/>
    </row>
    <row r="304">
      <c r="A304" s="58">
        <v>9642686.0</v>
      </c>
      <c r="B304" s="57" t="s">
        <v>876</v>
      </c>
      <c r="C304" s="57" t="s">
        <v>210</v>
      </c>
      <c r="D304" s="58">
        <v>17.24</v>
      </c>
      <c r="E304" s="58">
        <v>2023.93</v>
      </c>
      <c r="F304" s="58">
        <v>4442335.0</v>
      </c>
      <c r="G304" s="57" t="s">
        <v>895</v>
      </c>
      <c r="H304" s="57" t="s">
        <v>896</v>
      </c>
      <c r="I304" s="57"/>
      <c r="J304" s="57"/>
      <c r="K304" s="57"/>
      <c r="L304" s="57"/>
      <c r="M304" s="57"/>
      <c r="N304" s="57"/>
      <c r="O304" s="57"/>
      <c r="P304" s="57"/>
      <c r="Q304" s="57"/>
      <c r="R304" s="57"/>
      <c r="S304" s="57"/>
      <c r="T304" s="57"/>
      <c r="U304" s="57"/>
      <c r="V304" s="57"/>
      <c r="W304" s="57"/>
      <c r="X304" s="57"/>
      <c r="Y304" s="57"/>
      <c r="Z304" s="57"/>
    </row>
    <row r="305">
      <c r="A305" s="58">
        <v>9642672.0</v>
      </c>
      <c r="B305" s="57" t="s">
        <v>876</v>
      </c>
      <c r="C305" s="57" t="s">
        <v>210</v>
      </c>
      <c r="D305" s="58">
        <v>10.96</v>
      </c>
      <c r="E305" s="58">
        <v>2012.97</v>
      </c>
      <c r="F305" s="58">
        <v>4442316.0</v>
      </c>
      <c r="G305" s="57" t="s">
        <v>897</v>
      </c>
      <c r="H305" s="57" t="s">
        <v>898</v>
      </c>
      <c r="I305" s="57"/>
      <c r="J305" s="57"/>
      <c r="K305" s="57"/>
      <c r="L305" s="57"/>
      <c r="M305" s="57"/>
      <c r="N305" s="57"/>
      <c r="O305" s="57"/>
      <c r="P305" s="57"/>
      <c r="Q305" s="57"/>
      <c r="R305" s="57"/>
      <c r="S305" s="57"/>
      <c r="T305" s="57"/>
      <c r="U305" s="57"/>
      <c r="V305" s="57"/>
      <c r="W305" s="57"/>
      <c r="X305" s="57"/>
      <c r="Y305" s="57"/>
      <c r="Z305" s="57"/>
    </row>
    <row r="306">
      <c r="A306" s="58">
        <v>9642669.0</v>
      </c>
      <c r="B306" s="57" t="s">
        <v>876</v>
      </c>
      <c r="C306" s="57" t="s">
        <v>210</v>
      </c>
      <c r="D306" s="58">
        <v>10.96</v>
      </c>
      <c r="E306" s="58">
        <v>2002.01</v>
      </c>
      <c r="F306" s="58">
        <v>4442313.0</v>
      </c>
      <c r="G306" s="57" t="s">
        <v>899</v>
      </c>
      <c r="H306" s="57" t="s">
        <v>900</v>
      </c>
      <c r="I306" s="57"/>
      <c r="J306" s="57"/>
      <c r="K306" s="57"/>
      <c r="L306" s="57"/>
      <c r="M306" s="57"/>
      <c r="N306" s="57"/>
      <c r="O306" s="57"/>
      <c r="P306" s="57"/>
      <c r="Q306" s="57"/>
      <c r="R306" s="57"/>
      <c r="S306" s="57"/>
      <c r="T306" s="57"/>
      <c r="U306" s="57"/>
      <c r="V306" s="57"/>
      <c r="W306" s="57"/>
      <c r="X306" s="57"/>
      <c r="Y306" s="57"/>
      <c r="Z306" s="57"/>
    </row>
    <row r="307">
      <c r="A307" s="58">
        <v>9642666.0</v>
      </c>
      <c r="B307" s="57" t="s">
        <v>876</v>
      </c>
      <c r="C307" s="57" t="s">
        <v>210</v>
      </c>
      <c r="D307" s="58">
        <v>14.64</v>
      </c>
      <c r="E307" s="58">
        <v>1987.37</v>
      </c>
      <c r="F307" s="58">
        <v>4442312.0</v>
      </c>
      <c r="G307" s="57" t="s">
        <v>901</v>
      </c>
      <c r="H307" s="57" t="s">
        <v>902</v>
      </c>
      <c r="I307" s="57"/>
      <c r="J307" s="57"/>
      <c r="K307" s="57"/>
      <c r="L307" s="57"/>
      <c r="M307" s="57"/>
      <c r="N307" s="57"/>
      <c r="O307" s="57"/>
      <c r="P307" s="57"/>
      <c r="Q307" s="57"/>
      <c r="R307" s="57"/>
      <c r="S307" s="57"/>
      <c r="T307" s="57"/>
      <c r="U307" s="57"/>
      <c r="V307" s="57"/>
      <c r="W307" s="57"/>
      <c r="X307" s="57"/>
      <c r="Y307" s="57"/>
      <c r="Z307" s="57"/>
    </row>
    <row r="308">
      <c r="A308" s="58">
        <v>9642663.0</v>
      </c>
      <c r="B308" s="57" t="s">
        <v>876</v>
      </c>
      <c r="C308" s="57" t="s">
        <v>210</v>
      </c>
      <c r="D308" s="58">
        <v>11.92</v>
      </c>
      <c r="E308" s="58">
        <v>1975.45</v>
      </c>
      <c r="F308" s="58">
        <v>4442308.0</v>
      </c>
      <c r="G308" s="57" t="s">
        <v>903</v>
      </c>
      <c r="H308" s="57" t="s">
        <v>904</v>
      </c>
      <c r="I308" s="57"/>
      <c r="J308" s="57"/>
      <c r="K308" s="57"/>
      <c r="L308" s="57"/>
      <c r="M308" s="57"/>
      <c r="N308" s="57"/>
      <c r="O308" s="57"/>
      <c r="P308" s="57"/>
      <c r="Q308" s="57"/>
      <c r="R308" s="57"/>
      <c r="S308" s="57"/>
      <c r="T308" s="57"/>
      <c r="U308" s="57"/>
      <c r="V308" s="57"/>
      <c r="W308" s="57"/>
      <c r="X308" s="57"/>
      <c r="Y308" s="57"/>
      <c r="Z308" s="57"/>
    </row>
    <row r="309">
      <c r="A309" s="58">
        <v>9639170.0</v>
      </c>
      <c r="B309" s="57" t="s">
        <v>905</v>
      </c>
      <c r="C309" s="57" t="s">
        <v>210</v>
      </c>
      <c r="D309" s="58">
        <v>10.96</v>
      </c>
      <c r="E309" s="58">
        <v>1964.49</v>
      </c>
      <c r="F309" s="58">
        <v>4432111.0</v>
      </c>
      <c r="G309" s="57" t="s">
        <v>906</v>
      </c>
      <c r="H309" s="57" t="s">
        <v>907</v>
      </c>
      <c r="I309" s="57"/>
      <c r="J309" s="57"/>
      <c r="K309" s="57"/>
      <c r="L309" s="57"/>
      <c r="M309" s="57"/>
      <c r="N309" s="57"/>
      <c r="O309" s="57"/>
      <c r="P309" s="57"/>
      <c r="Q309" s="57"/>
      <c r="R309" s="57"/>
      <c r="S309" s="57"/>
      <c r="T309" s="57"/>
      <c r="U309" s="57"/>
      <c r="V309" s="57"/>
      <c r="W309" s="57"/>
      <c r="X309" s="57"/>
      <c r="Y309" s="57"/>
      <c r="Z309" s="57"/>
    </row>
    <row r="310">
      <c r="A310" s="58">
        <v>9639167.0</v>
      </c>
      <c r="B310" s="57" t="s">
        <v>905</v>
      </c>
      <c r="C310" s="57" t="s">
        <v>210</v>
      </c>
      <c r="D310" s="58">
        <v>12.04</v>
      </c>
      <c r="E310" s="58">
        <v>1952.45</v>
      </c>
      <c r="F310" s="58">
        <v>4432100.0</v>
      </c>
      <c r="G310" s="57" t="s">
        <v>908</v>
      </c>
      <c r="H310" s="57" t="s">
        <v>909</v>
      </c>
      <c r="I310" s="57"/>
      <c r="J310" s="57"/>
      <c r="K310" s="57"/>
      <c r="L310" s="57"/>
      <c r="M310" s="57"/>
      <c r="N310" s="57"/>
      <c r="O310" s="57"/>
      <c r="P310" s="57"/>
      <c r="Q310" s="57"/>
      <c r="R310" s="57"/>
      <c r="S310" s="57"/>
      <c r="T310" s="57"/>
      <c r="U310" s="57"/>
      <c r="V310" s="57"/>
      <c r="W310" s="57"/>
      <c r="X310" s="57"/>
      <c r="Y310" s="57"/>
      <c r="Z310" s="57"/>
    </row>
    <row r="311">
      <c r="A311" s="58">
        <v>9639164.0</v>
      </c>
      <c r="B311" s="57" t="s">
        <v>905</v>
      </c>
      <c r="C311" s="57" t="s">
        <v>210</v>
      </c>
      <c r="D311" s="58">
        <v>10.96</v>
      </c>
      <c r="E311" s="58">
        <v>1941.49</v>
      </c>
      <c r="F311" s="58">
        <v>4432098.0</v>
      </c>
      <c r="G311" s="57" t="s">
        <v>910</v>
      </c>
      <c r="H311" s="57" t="s">
        <v>911</v>
      </c>
      <c r="I311" s="57"/>
      <c r="J311" s="57"/>
      <c r="K311" s="57"/>
      <c r="L311" s="57"/>
      <c r="M311" s="57"/>
      <c r="N311" s="57"/>
      <c r="O311" s="57"/>
      <c r="P311" s="57"/>
      <c r="Q311" s="57"/>
      <c r="R311" s="57"/>
      <c r="S311" s="57"/>
      <c r="T311" s="57"/>
      <c r="U311" s="57"/>
      <c r="V311" s="57"/>
      <c r="W311" s="57"/>
      <c r="X311" s="57"/>
      <c r="Y311" s="57"/>
      <c r="Z311" s="57"/>
    </row>
    <row r="312">
      <c r="A312" s="58">
        <v>9639152.0</v>
      </c>
      <c r="B312" s="57" t="s">
        <v>905</v>
      </c>
      <c r="C312" s="57" t="s">
        <v>210</v>
      </c>
      <c r="D312" s="58">
        <v>17.24</v>
      </c>
      <c r="E312" s="58">
        <v>1924.25</v>
      </c>
      <c r="F312" s="58">
        <v>4432054.0</v>
      </c>
      <c r="G312" s="57" t="s">
        <v>912</v>
      </c>
      <c r="H312" s="57" t="s">
        <v>913</v>
      </c>
      <c r="I312" s="57"/>
      <c r="J312" s="57"/>
      <c r="K312" s="57"/>
      <c r="L312" s="57"/>
      <c r="M312" s="57"/>
      <c r="N312" s="57"/>
      <c r="O312" s="57"/>
      <c r="P312" s="57"/>
      <c r="Q312" s="57"/>
      <c r="R312" s="57"/>
      <c r="S312" s="57"/>
      <c r="T312" s="57"/>
      <c r="U312" s="57"/>
      <c r="V312" s="57"/>
      <c r="W312" s="57"/>
      <c r="X312" s="57"/>
      <c r="Y312" s="57"/>
      <c r="Z312" s="57"/>
    </row>
    <row r="313">
      <c r="A313" s="58">
        <v>9639146.0</v>
      </c>
      <c r="B313" s="57" t="s">
        <v>905</v>
      </c>
      <c r="C313" s="57" t="s">
        <v>210</v>
      </c>
      <c r="D313" s="58">
        <v>10.96</v>
      </c>
      <c r="E313" s="58">
        <v>1913.29</v>
      </c>
      <c r="F313" s="58">
        <v>4432044.0</v>
      </c>
      <c r="G313" s="57" t="s">
        <v>914</v>
      </c>
      <c r="H313" s="57" t="s">
        <v>915</v>
      </c>
      <c r="I313" s="57"/>
      <c r="J313" s="57"/>
      <c r="K313" s="57"/>
      <c r="L313" s="57"/>
      <c r="M313" s="57"/>
      <c r="N313" s="57"/>
      <c r="O313" s="57"/>
      <c r="P313" s="57"/>
      <c r="Q313" s="57"/>
      <c r="R313" s="57"/>
      <c r="S313" s="57"/>
      <c r="T313" s="57"/>
      <c r="U313" s="57"/>
      <c r="V313" s="57"/>
      <c r="W313" s="57"/>
      <c r="X313" s="57"/>
      <c r="Y313" s="57"/>
      <c r="Z313" s="57"/>
    </row>
    <row r="314">
      <c r="A314" s="58">
        <v>9639139.0</v>
      </c>
      <c r="B314" s="57" t="s">
        <v>905</v>
      </c>
      <c r="C314" s="57" t="s">
        <v>210</v>
      </c>
      <c r="D314" s="58">
        <v>10.96</v>
      </c>
      <c r="E314" s="58">
        <v>1902.33</v>
      </c>
      <c r="F314" s="58">
        <v>4432031.0</v>
      </c>
      <c r="G314" s="57" t="s">
        <v>916</v>
      </c>
      <c r="H314" s="57" t="s">
        <v>917</v>
      </c>
      <c r="I314" s="57"/>
      <c r="J314" s="57"/>
      <c r="K314" s="57"/>
      <c r="L314" s="57"/>
      <c r="M314" s="57"/>
      <c r="N314" s="57"/>
      <c r="O314" s="57"/>
      <c r="P314" s="57"/>
      <c r="Q314" s="57"/>
      <c r="R314" s="57"/>
      <c r="S314" s="57"/>
      <c r="T314" s="57"/>
      <c r="U314" s="57"/>
      <c r="V314" s="57"/>
      <c r="W314" s="57"/>
      <c r="X314" s="57"/>
      <c r="Y314" s="57"/>
      <c r="Z314" s="57"/>
    </row>
    <row r="315">
      <c r="A315" s="58">
        <v>9639128.0</v>
      </c>
      <c r="B315" s="57" t="s">
        <v>905</v>
      </c>
      <c r="C315" s="57" t="s">
        <v>210</v>
      </c>
      <c r="D315" s="58">
        <v>14.64</v>
      </c>
      <c r="E315" s="58">
        <v>1887.69</v>
      </c>
      <c r="F315" s="58">
        <v>4432019.0</v>
      </c>
      <c r="G315" s="57" t="s">
        <v>918</v>
      </c>
      <c r="H315" s="57" t="s">
        <v>919</v>
      </c>
      <c r="I315" s="57"/>
      <c r="J315" s="57"/>
      <c r="K315" s="57"/>
      <c r="L315" s="57"/>
      <c r="M315" s="57"/>
      <c r="N315" s="57"/>
      <c r="O315" s="57"/>
      <c r="P315" s="57"/>
      <c r="Q315" s="57"/>
      <c r="R315" s="57"/>
      <c r="S315" s="57"/>
      <c r="T315" s="57"/>
      <c r="U315" s="57"/>
      <c r="V315" s="57"/>
      <c r="W315" s="57"/>
      <c r="X315" s="57"/>
      <c r="Y315" s="57"/>
      <c r="Z315" s="57"/>
    </row>
    <row r="316">
      <c r="A316" s="58">
        <v>9639122.0</v>
      </c>
      <c r="B316" s="57" t="s">
        <v>905</v>
      </c>
      <c r="C316" s="57" t="s">
        <v>210</v>
      </c>
      <c r="D316" s="58">
        <v>17.24</v>
      </c>
      <c r="E316" s="58">
        <v>1870.45</v>
      </c>
      <c r="F316" s="58">
        <v>4432001.0</v>
      </c>
      <c r="G316" s="57" t="s">
        <v>920</v>
      </c>
      <c r="H316" s="57" t="s">
        <v>921</v>
      </c>
      <c r="I316" s="57"/>
      <c r="J316" s="57"/>
      <c r="K316" s="57"/>
      <c r="L316" s="57"/>
      <c r="M316" s="57"/>
      <c r="N316" s="57"/>
      <c r="O316" s="57"/>
      <c r="P316" s="57"/>
      <c r="Q316" s="57"/>
      <c r="R316" s="57"/>
      <c r="S316" s="57"/>
      <c r="T316" s="57"/>
      <c r="U316" s="57"/>
      <c r="V316" s="57"/>
      <c r="W316" s="57"/>
      <c r="X316" s="57"/>
      <c r="Y316" s="57"/>
      <c r="Z316" s="57"/>
    </row>
    <row r="317">
      <c r="A317" s="58">
        <v>9639119.0</v>
      </c>
      <c r="B317" s="57" t="s">
        <v>905</v>
      </c>
      <c r="C317" s="57" t="s">
        <v>210</v>
      </c>
      <c r="D317" s="58">
        <v>14.64</v>
      </c>
      <c r="E317" s="58">
        <v>1855.81</v>
      </c>
      <c r="F317" s="58">
        <v>4431998.0</v>
      </c>
      <c r="G317" s="57" t="s">
        <v>922</v>
      </c>
      <c r="H317" s="57" t="s">
        <v>923</v>
      </c>
      <c r="I317" s="57"/>
      <c r="J317" s="57"/>
      <c r="K317" s="57"/>
      <c r="L317" s="57"/>
      <c r="M317" s="57"/>
      <c r="N317" s="57"/>
      <c r="O317" s="57"/>
      <c r="P317" s="57"/>
      <c r="Q317" s="57"/>
      <c r="R317" s="57"/>
      <c r="S317" s="57"/>
      <c r="T317" s="57"/>
      <c r="U317" s="57"/>
      <c r="V317" s="57"/>
      <c r="W317" s="57"/>
      <c r="X317" s="57"/>
      <c r="Y317" s="57"/>
      <c r="Z317" s="57"/>
    </row>
    <row r="318">
      <c r="A318" s="58">
        <v>9639116.0</v>
      </c>
      <c r="B318" s="57" t="s">
        <v>905</v>
      </c>
      <c r="C318" s="57" t="s">
        <v>210</v>
      </c>
      <c r="D318" s="58">
        <v>10.96</v>
      </c>
      <c r="E318" s="58">
        <v>1844.85</v>
      </c>
      <c r="F318" s="58">
        <v>4431989.0</v>
      </c>
      <c r="G318" s="57" t="s">
        <v>924</v>
      </c>
      <c r="H318" s="57" t="s">
        <v>925</v>
      </c>
      <c r="I318" s="57"/>
      <c r="J318" s="57"/>
      <c r="K318" s="57"/>
      <c r="L318" s="57"/>
      <c r="M318" s="57"/>
      <c r="N318" s="57"/>
      <c r="O318" s="57"/>
      <c r="P318" s="57"/>
      <c r="Q318" s="57"/>
      <c r="R318" s="57"/>
      <c r="S318" s="57"/>
      <c r="T318" s="57"/>
      <c r="U318" s="57"/>
      <c r="V318" s="57"/>
      <c r="W318" s="57"/>
      <c r="X318" s="57"/>
      <c r="Y318" s="57"/>
      <c r="Z318" s="57"/>
    </row>
    <row r="319">
      <c r="A319" s="58">
        <v>9634122.0</v>
      </c>
      <c r="B319" s="57" t="s">
        <v>926</v>
      </c>
      <c r="C319" s="57" t="s">
        <v>210</v>
      </c>
      <c r="D319" s="58">
        <v>17.24</v>
      </c>
      <c r="E319" s="58">
        <v>1827.61</v>
      </c>
      <c r="F319" s="58">
        <v>4406065.0</v>
      </c>
      <c r="G319" s="57" t="s">
        <v>927</v>
      </c>
      <c r="H319" s="57" t="s">
        <v>928</v>
      </c>
      <c r="I319" s="57"/>
      <c r="J319" s="57"/>
      <c r="K319" s="57"/>
      <c r="L319" s="57"/>
      <c r="M319" s="57"/>
      <c r="N319" s="57"/>
      <c r="O319" s="57"/>
      <c r="P319" s="57"/>
      <c r="Q319" s="57"/>
      <c r="R319" s="57"/>
      <c r="S319" s="57"/>
      <c r="T319" s="57"/>
      <c r="U319" s="57"/>
      <c r="V319" s="57"/>
      <c r="W319" s="57"/>
      <c r="X319" s="57"/>
      <c r="Y319" s="57"/>
      <c r="Z319" s="57"/>
    </row>
    <row r="320">
      <c r="A320" s="58">
        <v>9631353.0</v>
      </c>
      <c r="B320" s="57" t="s">
        <v>929</v>
      </c>
      <c r="C320" s="57" t="s">
        <v>210</v>
      </c>
      <c r="D320" s="58">
        <v>10.96</v>
      </c>
      <c r="E320" s="58">
        <v>1816.65</v>
      </c>
      <c r="F320" s="58">
        <v>4354082.0</v>
      </c>
      <c r="G320" s="57" t="s">
        <v>930</v>
      </c>
      <c r="H320" s="57" t="s">
        <v>931</v>
      </c>
      <c r="I320" s="57"/>
      <c r="J320" s="57"/>
      <c r="K320" s="57"/>
      <c r="L320" s="57"/>
      <c r="M320" s="57"/>
      <c r="N320" s="57"/>
      <c r="O320" s="57"/>
      <c r="P320" s="57"/>
      <c r="Q320" s="57"/>
      <c r="R320" s="57"/>
      <c r="S320" s="57"/>
      <c r="T320" s="57"/>
      <c r="U320" s="57"/>
      <c r="V320" s="57"/>
      <c r="W320" s="57"/>
      <c r="X320" s="57"/>
      <c r="Y320" s="57"/>
      <c r="Z320" s="57"/>
    </row>
    <row r="321">
      <c r="A321" s="58">
        <v>9631247.0</v>
      </c>
      <c r="B321" s="57" t="s">
        <v>929</v>
      </c>
      <c r="C321" s="57" t="s">
        <v>210</v>
      </c>
      <c r="D321" s="58">
        <v>10.39</v>
      </c>
      <c r="E321" s="58">
        <v>1806.26</v>
      </c>
      <c r="F321" s="58">
        <v>4350570.0</v>
      </c>
      <c r="G321" s="57" t="s">
        <v>932</v>
      </c>
      <c r="H321" s="57" t="s">
        <v>933</v>
      </c>
      <c r="I321" s="57"/>
      <c r="J321" s="57"/>
      <c r="K321" s="57"/>
      <c r="L321" s="57"/>
      <c r="M321" s="57"/>
      <c r="N321" s="57"/>
      <c r="O321" s="57"/>
      <c r="P321" s="57"/>
      <c r="Q321" s="57"/>
      <c r="R321" s="57"/>
      <c r="S321" s="57"/>
      <c r="T321" s="57"/>
      <c r="U321" s="57"/>
      <c r="V321" s="57"/>
      <c r="W321" s="57"/>
      <c r="X321" s="57"/>
      <c r="Y321" s="57"/>
      <c r="Z321" s="57"/>
    </row>
    <row r="322">
      <c r="A322" s="58">
        <v>9630869.0</v>
      </c>
      <c r="B322" s="57" t="s">
        <v>929</v>
      </c>
      <c r="C322" s="57" t="s">
        <v>210</v>
      </c>
      <c r="D322" s="58">
        <v>14.34</v>
      </c>
      <c r="E322" s="58">
        <v>1791.92</v>
      </c>
      <c r="F322" s="58">
        <v>4334275.0</v>
      </c>
      <c r="G322" s="57" t="s">
        <v>934</v>
      </c>
      <c r="H322" s="57" t="s">
        <v>935</v>
      </c>
      <c r="I322" s="57"/>
      <c r="J322" s="57"/>
      <c r="K322" s="57"/>
      <c r="L322" s="57"/>
      <c r="M322" s="57"/>
      <c r="N322" s="57"/>
      <c r="O322" s="57"/>
      <c r="P322" s="57"/>
      <c r="Q322" s="57"/>
      <c r="R322" s="57"/>
      <c r="S322" s="57"/>
      <c r="T322" s="57"/>
      <c r="U322" s="57"/>
      <c r="V322" s="57"/>
      <c r="W322" s="57"/>
      <c r="X322" s="57"/>
      <c r="Y322" s="57"/>
      <c r="Z322" s="57"/>
    </row>
    <row r="323">
      <c r="A323" s="58">
        <v>9627671.0</v>
      </c>
      <c r="B323" s="57" t="s">
        <v>936</v>
      </c>
      <c r="C323" s="57" t="s">
        <v>247</v>
      </c>
      <c r="D323" s="58">
        <v>5.12</v>
      </c>
      <c r="E323" s="58">
        <v>1797.04</v>
      </c>
      <c r="F323" s="58">
        <v>4330471.0</v>
      </c>
      <c r="G323" s="57" t="s">
        <v>937</v>
      </c>
      <c r="H323" s="57" t="s">
        <v>938</v>
      </c>
      <c r="I323" s="57"/>
      <c r="J323" s="57"/>
      <c r="K323" s="57"/>
      <c r="L323" s="57"/>
      <c r="M323" s="57"/>
      <c r="N323" s="57"/>
      <c r="O323" s="57"/>
      <c r="P323" s="57"/>
      <c r="Q323" s="57"/>
      <c r="R323" s="57"/>
      <c r="S323" s="57"/>
      <c r="T323" s="57"/>
      <c r="U323" s="57"/>
      <c r="V323" s="57"/>
      <c r="W323" s="57"/>
      <c r="X323" s="57"/>
      <c r="Y323" s="57"/>
      <c r="Z323" s="57"/>
    </row>
    <row r="324">
      <c r="A324" s="58">
        <v>9627176.0</v>
      </c>
      <c r="B324" s="57" t="s">
        <v>939</v>
      </c>
      <c r="C324" s="57" t="s">
        <v>247</v>
      </c>
      <c r="D324" s="58">
        <v>3.45</v>
      </c>
      <c r="E324" s="58">
        <v>1800.49</v>
      </c>
      <c r="F324" s="58">
        <v>4122118.0</v>
      </c>
      <c r="G324" s="57" t="s">
        <v>940</v>
      </c>
      <c r="H324" s="57" t="s">
        <v>941</v>
      </c>
      <c r="I324" s="57"/>
      <c r="J324" s="57"/>
      <c r="K324" s="57"/>
      <c r="L324" s="57"/>
      <c r="M324" s="57"/>
      <c r="N324" s="57"/>
      <c r="O324" s="57"/>
      <c r="P324" s="57"/>
      <c r="Q324" s="57"/>
      <c r="R324" s="57"/>
      <c r="S324" s="57"/>
      <c r="T324" s="57"/>
      <c r="U324" s="57"/>
      <c r="V324" s="57"/>
      <c r="W324" s="57"/>
      <c r="X324" s="57"/>
      <c r="Y324" s="57"/>
      <c r="Z324" s="57"/>
    </row>
    <row r="325">
      <c r="A325" s="58">
        <v>9627175.0</v>
      </c>
      <c r="B325" s="57" t="s">
        <v>939</v>
      </c>
      <c r="C325" s="57" t="s">
        <v>247</v>
      </c>
      <c r="D325" s="58">
        <v>5.06</v>
      </c>
      <c r="E325" s="58">
        <v>1805.55</v>
      </c>
      <c r="F325" s="58">
        <v>4136748.0</v>
      </c>
      <c r="G325" s="57" t="s">
        <v>942</v>
      </c>
      <c r="H325" s="57" t="s">
        <v>943</v>
      </c>
      <c r="I325" s="57"/>
      <c r="J325" s="57"/>
      <c r="K325" s="57"/>
      <c r="L325" s="57"/>
      <c r="M325" s="57"/>
      <c r="N325" s="57"/>
      <c r="O325" s="57"/>
      <c r="P325" s="57"/>
      <c r="Q325" s="57"/>
      <c r="R325" s="57"/>
      <c r="S325" s="57"/>
      <c r="T325" s="57"/>
      <c r="U325" s="57"/>
      <c r="V325" s="57"/>
      <c r="W325" s="57"/>
      <c r="X325" s="57"/>
      <c r="Y325" s="57"/>
      <c r="Z325" s="57"/>
    </row>
    <row r="326">
      <c r="A326" s="58">
        <v>9627173.0</v>
      </c>
      <c r="B326" s="57" t="s">
        <v>939</v>
      </c>
      <c r="C326" s="57" t="s">
        <v>247</v>
      </c>
      <c r="D326" s="58">
        <v>5.69</v>
      </c>
      <c r="E326" s="58">
        <v>1811.24</v>
      </c>
      <c r="F326" s="58">
        <v>4319018.0</v>
      </c>
      <c r="G326" s="57" t="s">
        <v>944</v>
      </c>
      <c r="H326" s="57" t="s">
        <v>945</v>
      </c>
      <c r="I326" s="57"/>
      <c r="J326" s="57"/>
      <c r="K326" s="57"/>
      <c r="L326" s="57"/>
      <c r="M326" s="57"/>
      <c r="N326" s="57"/>
      <c r="O326" s="57"/>
      <c r="P326" s="57"/>
      <c r="Q326" s="57"/>
      <c r="R326" s="57"/>
      <c r="S326" s="57"/>
      <c r="T326" s="57"/>
      <c r="U326" s="57"/>
      <c r="V326" s="57"/>
      <c r="W326" s="57"/>
      <c r="X326" s="57"/>
      <c r="Y326" s="57"/>
      <c r="Z326" s="57"/>
    </row>
    <row r="327">
      <c r="A327" s="58">
        <v>9627172.0</v>
      </c>
      <c r="B327" s="57" t="s">
        <v>939</v>
      </c>
      <c r="C327" s="57" t="s">
        <v>247</v>
      </c>
      <c r="D327" s="58">
        <v>5.06</v>
      </c>
      <c r="E327" s="58">
        <v>1816.3</v>
      </c>
      <c r="F327" s="58">
        <v>4319201.0</v>
      </c>
      <c r="G327" s="57" t="s">
        <v>946</v>
      </c>
      <c r="H327" s="57" t="s">
        <v>947</v>
      </c>
      <c r="I327" s="57"/>
      <c r="J327" s="57"/>
      <c r="K327" s="57"/>
      <c r="L327" s="57"/>
      <c r="M327" s="57"/>
      <c r="N327" s="57"/>
      <c r="O327" s="57"/>
      <c r="P327" s="57"/>
      <c r="Q327" s="57"/>
      <c r="R327" s="57"/>
      <c r="S327" s="57"/>
      <c r="T327" s="57"/>
      <c r="U327" s="57"/>
      <c r="V327" s="57"/>
      <c r="W327" s="57"/>
      <c r="X327" s="57"/>
      <c r="Y327" s="57"/>
      <c r="Z327" s="57"/>
    </row>
    <row r="328">
      <c r="A328" s="58">
        <v>9627164.0</v>
      </c>
      <c r="B328" s="57" t="s">
        <v>939</v>
      </c>
      <c r="C328" s="57" t="s">
        <v>247</v>
      </c>
      <c r="D328" s="58">
        <v>5.06</v>
      </c>
      <c r="E328" s="58">
        <v>1821.36</v>
      </c>
      <c r="F328" s="58">
        <v>4325809.0</v>
      </c>
      <c r="G328" s="57" t="s">
        <v>948</v>
      </c>
      <c r="H328" s="57" t="s">
        <v>949</v>
      </c>
      <c r="I328" s="57"/>
      <c r="J328" s="57"/>
      <c r="K328" s="57"/>
      <c r="L328" s="57"/>
      <c r="M328" s="57"/>
      <c r="N328" s="57"/>
      <c r="O328" s="57"/>
      <c r="P328" s="57"/>
      <c r="Q328" s="57"/>
      <c r="R328" s="57"/>
      <c r="S328" s="57"/>
      <c r="T328" s="57"/>
      <c r="U328" s="57"/>
      <c r="V328" s="57"/>
      <c r="W328" s="57"/>
      <c r="X328" s="57"/>
      <c r="Y328" s="57"/>
      <c r="Z328" s="57"/>
    </row>
    <row r="329">
      <c r="A329" s="58">
        <v>9627162.0</v>
      </c>
      <c r="B329" s="57" t="s">
        <v>939</v>
      </c>
      <c r="C329" s="57" t="s">
        <v>247</v>
      </c>
      <c r="D329" s="58">
        <v>5.09</v>
      </c>
      <c r="E329" s="58">
        <v>1826.45</v>
      </c>
      <c r="F329" s="58">
        <v>4326257.0</v>
      </c>
      <c r="G329" s="57" t="s">
        <v>950</v>
      </c>
      <c r="H329" s="57" t="s">
        <v>951</v>
      </c>
      <c r="I329" s="57"/>
      <c r="J329" s="57"/>
      <c r="K329" s="57"/>
      <c r="L329" s="57"/>
      <c r="M329" s="57"/>
      <c r="N329" s="57"/>
      <c r="O329" s="57"/>
      <c r="P329" s="57"/>
      <c r="Q329" s="57"/>
      <c r="R329" s="57"/>
      <c r="S329" s="57"/>
      <c r="T329" s="57"/>
      <c r="U329" s="57"/>
      <c r="V329" s="57"/>
      <c r="W329" s="57"/>
      <c r="X329" s="57"/>
      <c r="Y329" s="57"/>
      <c r="Z329" s="57"/>
    </row>
    <row r="330">
      <c r="A330" s="58">
        <v>9626931.0</v>
      </c>
      <c r="B330" s="57" t="s">
        <v>952</v>
      </c>
      <c r="C330" s="57" t="s">
        <v>247</v>
      </c>
      <c r="D330" s="58">
        <v>5.06</v>
      </c>
      <c r="E330" s="58">
        <v>1831.51</v>
      </c>
      <c r="F330" s="58">
        <v>4318302.0</v>
      </c>
      <c r="G330" s="57" t="s">
        <v>953</v>
      </c>
      <c r="H330" s="57" t="s">
        <v>954</v>
      </c>
      <c r="I330" s="57"/>
      <c r="J330" s="57"/>
      <c r="K330" s="57"/>
      <c r="L330" s="57"/>
      <c r="M330" s="57"/>
      <c r="N330" s="57"/>
      <c r="O330" s="57"/>
      <c r="P330" s="57"/>
      <c r="Q330" s="57"/>
      <c r="R330" s="57"/>
      <c r="S330" s="57"/>
      <c r="T330" s="57"/>
      <c r="U330" s="57"/>
      <c r="V330" s="57"/>
      <c r="W330" s="57"/>
      <c r="X330" s="57"/>
      <c r="Y330" s="57"/>
      <c r="Z330" s="57"/>
    </row>
    <row r="331">
      <c r="A331" s="58">
        <v>9619857.0</v>
      </c>
      <c r="B331" s="57" t="s">
        <v>955</v>
      </c>
      <c r="C331" s="57" t="s">
        <v>210</v>
      </c>
      <c r="D331" s="58">
        <v>10.74</v>
      </c>
      <c r="E331" s="58">
        <v>1820.77</v>
      </c>
      <c r="F331" s="58">
        <v>4451896.0</v>
      </c>
      <c r="G331" s="57" t="s">
        <v>956</v>
      </c>
      <c r="H331" s="57" t="s">
        <v>957</v>
      </c>
      <c r="I331" s="57"/>
      <c r="J331" s="57"/>
      <c r="K331" s="57"/>
      <c r="L331" s="57"/>
      <c r="M331" s="57"/>
      <c r="N331" s="57"/>
      <c r="O331" s="57"/>
      <c r="P331" s="57"/>
      <c r="Q331" s="57"/>
      <c r="R331" s="57"/>
      <c r="S331" s="57"/>
      <c r="T331" s="57"/>
      <c r="U331" s="57"/>
      <c r="V331" s="57"/>
      <c r="W331" s="57"/>
      <c r="X331" s="57"/>
      <c r="Y331" s="57"/>
      <c r="Z331" s="57"/>
    </row>
    <row r="332">
      <c r="A332" s="58">
        <v>9614248.0</v>
      </c>
      <c r="B332" s="57" t="s">
        <v>958</v>
      </c>
      <c r="C332" s="57" t="s">
        <v>210</v>
      </c>
      <c r="D332" s="58">
        <v>14.64</v>
      </c>
      <c r="E332" s="58">
        <v>1806.13</v>
      </c>
      <c r="F332" s="58">
        <v>4442386.0</v>
      </c>
      <c r="G332" s="57" t="s">
        <v>959</v>
      </c>
      <c r="H332" s="57" t="s">
        <v>960</v>
      </c>
      <c r="I332" s="57"/>
      <c r="J332" s="57"/>
      <c r="K332" s="57"/>
      <c r="L332" s="57"/>
      <c r="M332" s="57"/>
      <c r="N332" s="57"/>
      <c r="O332" s="57"/>
      <c r="P332" s="57"/>
      <c r="Q332" s="57"/>
      <c r="R332" s="57"/>
      <c r="S332" s="57"/>
      <c r="T332" s="57"/>
      <c r="U332" s="57"/>
      <c r="V332" s="57"/>
      <c r="W332" s="57"/>
      <c r="X332" s="57"/>
      <c r="Y332" s="57"/>
      <c r="Z332" s="57"/>
    </row>
    <row r="333">
      <c r="A333" s="58">
        <v>9614228.0</v>
      </c>
      <c r="B333" s="57" t="s">
        <v>958</v>
      </c>
      <c r="C333" s="57" t="s">
        <v>210</v>
      </c>
      <c r="D333" s="58">
        <v>15.22</v>
      </c>
      <c r="E333" s="58">
        <v>1790.91</v>
      </c>
      <c r="F333" s="58">
        <v>4442337.0</v>
      </c>
      <c r="G333" s="57" t="s">
        <v>961</v>
      </c>
      <c r="H333" s="57" t="s">
        <v>962</v>
      </c>
      <c r="I333" s="57"/>
      <c r="J333" s="57"/>
      <c r="K333" s="57"/>
      <c r="L333" s="57"/>
      <c r="M333" s="57"/>
      <c r="N333" s="57"/>
      <c r="O333" s="57"/>
      <c r="P333" s="57"/>
      <c r="Q333" s="57"/>
      <c r="R333" s="57"/>
      <c r="S333" s="57"/>
      <c r="T333" s="57"/>
      <c r="U333" s="57"/>
      <c r="V333" s="57"/>
      <c r="W333" s="57"/>
      <c r="X333" s="57"/>
      <c r="Y333" s="57"/>
      <c r="Z333" s="57"/>
    </row>
    <row r="334">
      <c r="A334" s="58">
        <v>9614211.0</v>
      </c>
      <c r="B334" s="57" t="s">
        <v>958</v>
      </c>
      <c r="C334" s="57" t="s">
        <v>210</v>
      </c>
      <c r="D334" s="58">
        <v>11.92</v>
      </c>
      <c r="E334" s="58">
        <v>1778.99</v>
      </c>
      <c r="F334" s="58">
        <v>4442310.0</v>
      </c>
      <c r="G334" s="57" t="s">
        <v>963</v>
      </c>
      <c r="H334" s="57" t="s">
        <v>964</v>
      </c>
      <c r="I334" s="57"/>
      <c r="J334" s="57"/>
      <c r="K334" s="57"/>
      <c r="L334" s="57"/>
      <c r="M334" s="57"/>
      <c r="N334" s="57"/>
      <c r="O334" s="57"/>
      <c r="P334" s="57"/>
      <c r="Q334" s="57"/>
      <c r="R334" s="57"/>
      <c r="S334" s="57"/>
      <c r="T334" s="57"/>
      <c r="U334" s="57"/>
      <c r="V334" s="57"/>
      <c r="W334" s="57"/>
      <c r="X334" s="57"/>
      <c r="Y334" s="57"/>
      <c r="Z334" s="57"/>
    </row>
    <row r="335">
      <c r="A335" s="58">
        <v>9614208.0</v>
      </c>
      <c r="B335" s="57" t="s">
        <v>958</v>
      </c>
      <c r="C335" s="57" t="s">
        <v>210</v>
      </c>
      <c r="D335" s="58">
        <v>9.82</v>
      </c>
      <c r="E335" s="58">
        <v>1769.17</v>
      </c>
      <c r="F335" s="58">
        <v>4442307.0</v>
      </c>
      <c r="G335" s="57" t="s">
        <v>965</v>
      </c>
      <c r="H335" s="57" t="s">
        <v>966</v>
      </c>
      <c r="I335" s="57"/>
      <c r="J335" s="57"/>
      <c r="K335" s="57"/>
      <c r="L335" s="57"/>
      <c r="M335" s="57"/>
      <c r="N335" s="57"/>
      <c r="O335" s="57"/>
      <c r="P335" s="57"/>
      <c r="Q335" s="57"/>
      <c r="R335" s="57"/>
      <c r="S335" s="57"/>
      <c r="T335" s="57"/>
      <c r="U335" s="57"/>
      <c r="V335" s="57"/>
      <c r="W335" s="57"/>
      <c r="X335" s="57"/>
      <c r="Y335" s="57"/>
      <c r="Z335" s="57"/>
    </row>
    <row r="336">
      <c r="A336" s="58">
        <v>9609128.0</v>
      </c>
      <c r="B336" s="57" t="s">
        <v>967</v>
      </c>
      <c r="C336" s="57" t="s">
        <v>210</v>
      </c>
      <c r="D336" s="58">
        <v>16.25</v>
      </c>
      <c r="E336" s="58">
        <v>1752.92</v>
      </c>
      <c r="F336" s="58">
        <v>4432108.0</v>
      </c>
      <c r="G336" s="57" t="s">
        <v>968</v>
      </c>
      <c r="H336" s="57" t="s">
        <v>969</v>
      </c>
      <c r="I336" s="57"/>
      <c r="J336" s="57"/>
      <c r="K336" s="57"/>
      <c r="L336" s="57"/>
      <c r="M336" s="57"/>
      <c r="N336" s="57"/>
      <c r="O336" s="57"/>
      <c r="P336" s="57"/>
      <c r="Q336" s="57"/>
      <c r="R336" s="57"/>
      <c r="S336" s="57"/>
      <c r="T336" s="57"/>
      <c r="U336" s="57"/>
      <c r="V336" s="57"/>
      <c r="W336" s="57"/>
      <c r="X336" s="57"/>
      <c r="Y336" s="57"/>
      <c r="Z336" s="57"/>
    </row>
    <row r="337">
      <c r="A337" s="58">
        <v>9609125.0</v>
      </c>
      <c r="B337" s="57" t="s">
        <v>967</v>
      </c>
      <c r="C337" s="57" t="s">
        <v>210</v>
      </c>
      <c r="D337" s="58">
        <v>17.24</v>
      </c>
      <c r="E337" s="58">
        <v>1735.68</v>
      </c>
      <c r="F337" s="58">
        <v>4432106.0</v>
      </c>
      <c r="G337" s="57" t="s">
        <v>970</v>
      </c>
      <c r="H337" s="57" t="s">
        <v>971</v>
      </c>
      <c r="I337" s="57"/>
      <c r="J337" s="57"/>
      <c r="K337" s="57"/>
      <c r="L337" s="57"/>
      <c r="M337" s="57"/>
      <c r="N337" s="57"/>
      <c r="O337" s="57"/>
      <c r="P337" s="57"/>
      <c r="Q337" s="57"/>
      <c r="R337" s="57"/>
      <c r="S337" s="57"/>
      <c r="T337" s="57"/>
      <c r="U337" s="57"/>
      <c r="V337" s="57"/>
      <c r="W337" s="57"/>
      <c r="X337" s="57"/>
      <c r="Y337" s="57"/>
      <c r="Z337" s="57"/>
    </row>
    <row r="338">
      <c r="A338" s="58">
        <v>9609118.0</v>
      </c>
      <c r="B338" s="57" t="s">
        <v>967</v>
      </c>
      <c r="C338" s="57" t="s">
        <v>210</v>
      </c>
      <c r="D338" s="58">
        <v>15.92</v>
      </c>
      <c r="E338" s="58">
        <v>1719.76</v>
      </c>
      <c r="F338" s="58">
        <v>4432102.0</v>
      </c>
      <c r="G338" s="57" t="s">
        <v>972</v>
      </c>
      <c r="H338" s="57" t="s">
        <v>973</v>
      </c>
      <c r="I338" s="57"/>
      <c r="J338" s="57"/>
      <c r="K338" s="57"/>
      <c r="L338" s="57"/>
      <c r="M338" s="57"/>
      <c r="N338" s="57"/>
      <c r="O338" s="57"/>
      <c r="P338" s="57"/>
      <c r="Q338" s="57"/>
      <c r="R338" s="57"/>
      <c r="S338" s="57"/>
      <c r="T338" s="57"/>
      <c r="U338" s="57"/>
      <c r="V338" s="57"/>
      <c r="W338" s="57"/>
      <c r="X338" s="57"/>
      <c r="Y338" s="57"/>
      <c r="Z338" s="57"/>
    </row>
    <row r="339">
      <c r="A339" s="58">
        <v>9609112.0</v>
      </c>
      <c r="B339" s="57" t="s">
        <v>967</v>
      </c>
      <c r="C339" s="57" t="s">
        <v>210</v>
      </c>
      <c r="D339" s="58">
        <v>12.04</v>
      </c>
      <c r="E339" s="58">
        <v>1707.72</v>
      </c>
      <c r="F339" s="58">
        <v>4432097.0</v>
      </c>
      <c r="G339" s="57" t="s">
        <v>974</v>
      </c>
      <c r="H339" s="57" t="s">
        <v>975</v>
      </c>
      <c r="I339" s="57"/>
      <c r="J339" s="57"/>
      <c r="K339" s="57"/>
      <c r="L339" s="57"/>
      <c r="M339" s="57"/>
      <c r="N339" s="57"/>
      <c r="O339" s="57"/>
      <c r="P339" s="57"/>
      <c r="Q339" s="57"/>
      <c r="R339" s="57"/>
      <c r="S339" s="57"/>
      <c r="T339" s="57"/>
      <c r="U339" s="57"/>
      <c r="V339" s="57"/>
      <c r="W339" s="57"/>
      <c r="X339" s="57"/>
      <c r="Y339" s="57"/>
      <c r="Z339" s="57"/>
    </row>
    <row r="340">
      <c r="A340" s="58">
        <v>9609109.0</v>
      </c>
      <c r="B340" s="57" t="s">
        <v>967</v>
      </c>
      <c r="C340" s="57" t="s">
        <v>210</v>
      </c>
      <c r="D340" s="58">
        <v>12.57</v>
      </c>
      <c r="E340" s="58">
        <v>1695.15</v>
      </c>
      <c r="F340" s="58">
        <v>4432094.0</v>
      </c>
      <c r="G340" s="57" t="s">
        <v>976</v>
      </c>
      <c r="H340" s="57" t="s">
        <v>977</v>
      </c>
      <c r="I340" s="57"/>
      <c r="J340" s="57"/>
      <c r="K340" s="57"/>
      <c r="L340" s="57"/>
      <c r="M340" s="57"/>
      <c r="N340" s="57"/>
      <c r="O340" s="57"/>
      <c r="P340" s="57"/>
      <c r="Q340" s="57"/>
      <c r="R340" s="57"/>
      <c r="S340" s="57"/>
      <c r="T340" s="57"/>
      <c r="U340" s="57"/>
      <c r="V340" s="57"/>
      <c r="W340" s="57"/>
      <c r="X340" s="57"/>
      <c r="Y340" s="57"/>
      <c r="Z340" s="57"/>
    </row>
    <row r="341">
      <c r="A341" s="58">
        <v>9609103.0</v>
      </c>
      <c r="B341" s="57" t="s">
        <v>967</v>
      </c>
      <c r="C341" s="57" t="s">
        <v>210</v>
      </c>
      <c r="D341" s="58">
        <v>17.82</v>
      </c>
      <c r="E341" s="58">
        <v>1677.33</v>
      </c>
      <c r="F341" s="58">
        <v>4432081.0</v>
      </c>
      <c r="G341" s="57" t="s">
        <v>978</v>
      </c>
      <c r="H341" s="57" t="s">
        <v>979</v>
      </c>
      <c r="I341" s="57"/>
      <c r="J341" s="57"/>
      <c r="K341" s="57"/>
      <c r="L341" s="57"/>
      <c r="M341" s="57"/>
      <c r="N341" s="57"/>
      <c r="O341" s="57"/>
      <c r="P341" s="57"/>
      <c r="Q341" s="57"/>
      <c r="R341" s="57"/>
      <c r="S341" s="57"/>
      <c r="T341" s="57"/>
      <c r="U341" s="57"/>
      <c r="V341" s="57"/>
      <c r="W341" s="57"/>
      <c r="X341" s="57"/>
      <c r="Y341" s="57"/>
      <c r="Z341" s="57"/>
    </row>
    <row r="342">
      <c r="A342" s="58">
        <v>9609100.0</v>
      </c>
      <c r="B342" s="57" t="s">
        <v>967</v>
      </c>
      <c r="C342" s="57" t="s">
        <v>210</v>
      </c>
      <c r="D342" s="58">
        <v>14.64</v>
      </c>
      <c r="E342" s="58">
        <v>1662.69</v>
      </c>
      <c r="F342" s="58">
        <v>4432077.0</v>
      </c>
      <c r="G342" s="57" t="s">
        <v>980</v>
      </c>
      <c r="H342" s="57" t="s">
        <v>981</v>
      </c>
      <c r="I342" s="57"/>
      <c r="J342" s="57"/>
      <c r="K342" s="57"/>
      <c r="L342" s="57"/>
      <c r="M342" s="57"/>
      <c r="N342" s="57"/>
      <c r="O342" s="57"/>
      <c r="P342" s="57"/>
      <c r="Q342" s="57"/>
      <c r="R342" s="57"/>
      <c r="S342" s="57"/>
      <c r="T342" s="57"/>
      <c r="U342" s="57"/>
      <c r="V342" s="57"/>
      <c r="W342" s="57"/>
      <c r="X342" s="57"/>
      <c r="Y342" s="57"/>
      <c r="Z342" s="57"/>
    </row>
    <row r="343">
      <c r="A343" s="58">
        <v>9609097.0</v>
      </c>
      <c r="B343" s="57" t="s">
        <v>967</v>
      </c>
      <c r="C343" s="57" t="s">
        <v>210</v>
      </c>
      <c r="D343" s="58">
        <v>17.24</v>
      </c>
      <c r="E343" s="58">
        <v>1645.45</v>
      </c>
      <c r="F343" s="58">
        <v>4432074.0</v>
      </c>
      <c r="G343" s="57" t="s">
        <v>982</v>
      </c>
      <c r="H343" s="57" t="s">
        <v>983</v>
      </c>
      <c r="I343" s="57"/>
      <c r="J343" s="57"/>
      <c r="K343" s="57"/>
      <c r="L343" s="57"/>
      <c r="M343" s="57"/>
      <c r="N343" s="57"/>
      <c r="O343" s="57"/>
      <c r="P343" s="57"/>
      <c r="Q343" s="57"/>
      <c r="R343" s="57"/>
      <c r="S343" s="57"/>
      <c r="T343" s="57"/>
      <c r="U343" s="57"/>
      <c r="V343" s="57"/>
      <c r="W343" s="57"/>
      <c r="X343" s="57"/>
      <c r="Y343" s="57"/>
      <c r="Z343" s="57"/>
    </row>
    <row r="344">
      <c r="A344" s="58">
        <v>9609091.0</v>
      </c>
      <c r="B344" s="57" t="s">
        <v>967</v>
      </c>
      <c r="C344" s="57" t="s">
        <v>210</v>
      </c>
      <c r="D344" s="58">
        <v>14.64</v>
      </c>
      <c r="E344" s="58">
        <v>1630.81</v>
      </c>
      <c r="F344" s="58">
        <v>4432061.0</v>
      </c>
      <c r="G344" s="57" t="s">
        <v>984</v>
      </c>
      <c r="H344" s="57" t="s">
        <v>985</v>
      </c>
      <c r="I344" s="57"/>
      <c r="J344" s="57"/>
      <c r="K344" s="57"/>
      <c r="L344" s="57"/>
      <c r="M344" s="57"/>
      <c r="N344" s="57"/>
      <c r="O344" s="57"/>
      <c r="P344" s="57"/>
      <c r="Q344" s="57"/>
      <c r="R344" s="57"/>
      <c r="S344" s="57"/>
      <c r="T344" s="57"/>
      <c r="U344" s="57"/>
      <c r="V344" s="57"/>
      <c r="W344" s="57"/>
      <c r="X344" s="57"/>
      <c r="Y344" s="57"/>
      <c r="Z344" s="57"/>
    </row>
    <row r="345">
      <c r="A345" s="58">
        <v>9609085.0</v>
      </c>
      <c r="B345" s="57" t="s">
        <v>967</v>
      </c>
      <c r="C345" s="57" t="s">
        <v>210</v>
      </c>
      <c r="D345" s="58">
        <v>14.64</v>
      </c>
      <c r="E345" s="58">
        <v>1616.17</v>
      </c>
      <c r="F345" s="58">
        <v>4432052.0</v>
      </c>
      <c r="G345" s="57" t="s">
        <v>986</v>
      </c>
      <c r="H345" s="57" t="s">
        <v>987</v>
      </c>
      <c r="I345" s="57"/>
      <c r="J345" s="57"/>
      <c r="K345" s="57"/>
      <c r="L345" s="57"/>
      <c r="M345" s="57"/>
      <c r="N345" s="57"/>
      <c r="O345" s="57"/>
      <c r="P345" s="57"/>
      <c r="Q345" s="57"/>
      <c r="R345" s="57"/>
      <c r="S345" s="57"/>
      <c r="T345" s="57"/>
      <c r="U345" s="57"/>
      <c r="V345" s="57"/>
      <c r="W345" s="57"/>
      <c r="X345" s="57"/>
      <c r="Y345" s="57"/>
      <c r="Z345" s="57"/>
    </row>
    <row r="346">
      <c r="A346" s="58">
        <v>9609082.0</v>
      </c>
      <c r="B346" s="57" t="s">
        <v>967</v>
      </c>
      <c r="C346" s="57" t="s">
        <v>210</v>
      </c>
      <c r="D346" s="58">
        <v>15.22</v>
      </c>
      <c r="E346" s="58">
        <v>1600.95</v>
      </c>
      <c r="F346" s="58">
        <v>4432041.0</v>
      </c>
      <c r="G346" s="57" t="s">
        <v>988</v>
      </c>
      <c r="H346" s="57" t="s">
        <v>989</v>
      </c>
      <c r="I346" s="57"/>
      <c r="J346" s="57"/>
      <c r="K346" s="57"/>
      <c r="L346" s="57"/>
      <c r="M346" s="57"/>
      <c r="N346" s="57"/>
      <c r="O346" s="57"/>
      <c r="P346" s="57"/>
      <c r="Q346" s="57"/>
      <c r="R346" s="57"/>
      <c r="S346" s="57"/>
      <c r="T346" s="57"/>
      <c r="U346" s="57"/>
      <c r="V346" s="57"/>
      <c r="W346" s="57"/>
      <c r="X346" s="57"/>
      <c r="Y346" s="57"/>
      <c r="Z346" s="57"/>
    </row>
    <row r="347">
      <c r="A347" s="58">
        <v>9609073.0</v>
      </c>
      <c r="B347" s="57" t="s">
        <v>967</v>
      </c>
      <c r="C347" s="57" t="s">
        <v>210</v>
      </c>
      <c r="D347" s="58">
        <v>14.78</v>
      </c>
      <c r="E347" s="58">
        <v>1586.17</v>
      </c>
      <c r="F347" s="58">
        <v>4432035.0</v>
      </c>
      <c r="G347" s="57" t="s">
        <v>990</v>
      </c>
      <c r="H347" s="57" t="s">
        <v>991</v>
      </c>
      <c r="I347" s="57"/>
      <c r="J347" s="57"/>
      <c r="K347" s="57"/>
      <c r="L347" s="57"/>
      <c r="M347" s="57"/>
      <c r="N347" s="57"/>
      <c r="O347" s="57"/>
      <c r="P347" s="57"/>
      <c r="Q347" s="57"/>
      <c r="R347" s="57"/>
      <c r="S347" s="57"/>
      <c r="T347" s="57"/>
      <c r="U347" s="57"/>
      <c r="V347" s="57"/>
      <c r="W347" s="57"/>
      <c r="X347" s="57"/>
      <c r="Y347" s="57"/>
      <c r="Z347" s="57"/>
    </row>
    <row r="348">
      <c r="A348" s="58">
        <v>9609049.0</v>
      </c>
      <c r="B348" s="57" t="s">
        <v>967</v>
      </c>
      <c r="C348" s="57" t="s">
        <v>210</v>
      </c>
      <c r="D348" s="58">
        <v>12.57</v>
      </c>
      <c r="E348" s="58">
        <v>1573.6</v>
      </c>
      <c r="F348" s="58">
        <v>4431992.0</v>
      </c>
      <c r="G348" s="57" t="s">
        <v>992</v>
      </c>
      <c r="H348" s="57" t="s">
        <v>993</v>
      </c>
      <c r="I348" s="57"/>
      <c r="J348" s="57"/>
      <c r="K348" s="57"/>
      <c r="L348" s="57"/>
      <c r="M348" s="57"/>
      <c r="N348" s="57"/>
      <c r="O348" s="57"/>
      <c r="P348" s="57"/>
      <c r="Q348" s="57"/>
      <c r="R348" s="57"/>
      <c r="S348" s="57"/>
      <c r="T348" s="57"/>
      <c r="U348" s="57"/>
      <c r="V348" s="57"/>
      <c r="W348" s="57"/>
      <c r="X348" s="57"/>
      <c r="Y348" s="57"/>
      <c r="Z348" s="57"/>
    </row>
    <row r="349">
      <c r="A349" s="58">
        <v>9596089.0</v>
      </c>
      <c r="B349" s="57" t="s">
        <v>994</v>
      </c>
      <c r="C349" s="57" t="s">
        <v>210</v>
      </c>
      <c r="D349" s="58">
        <v>9.1</v>
      </c>
      <c r="E349" s="58">
        <v>1564.5</v>
      </c>
      <c r="F349" s="58">
        <v>4361648.0</v>
      </c>
      <c r="G349" s="58">
        <v>1.86994733E8</v>
      </c>
      <c r="H349" s="57" t="s">
        <v>995</v>
      </c>
      <c r="I349" s="57"/>
      <c r="J349" s="57"/>
      <c r="K349" s="57"/>
      <c r="L349" s="57"/>
      <c r="M349" s="57"/>
      <c r="N349" s="57"/>
      <c r="O349" s="57"/>
      <c r="P349" s="57"/>
      <c r="Q349" s="57"/>
      <c r="R349" s="57"/>
      <c r="S349" s="57"/>
      <c r="T349" s="57"/>
      <c r="U349" s="57"/>
      <c r="V349" s="57"/>
      <c r="W349" s="57"/>
      <c r="X349" s="57"/>
      <c r="Y349" s="57"/>
      <c r="Z349" s="57"/>
    </row>
    <row r="350">
      <c r="A350" s="58">
        <v>9595996.0</v>
      </c>
      <c r="B350" s="57" t="s">
        <v>994</v>
      </c>
      <c r="C350" s="57" t="s">
        <v>210</v>
      </c>
      <c r="D350" s="58">
        <v>12.27</v>
      </c>
      <c r="E350" s="58">
        <v>1552.23</v>
      </c>
      <c r="F350" s="58">
        <v>4359690.0</v>
      </c>
      <c r="G350" s="57" t="s">
        <v>996</v>
      </c>
      <c r="H350" s="57" t="s">
        <v>997</v>
      </c>
      <c r="I350" s="57"/>
      <c r="J350" s="57"/>
      <c r="K350" s="57"/>
      <c r="L350" s="57"/>
      <c r="M350" s="57"/>
      <c r="N350" s="57"/>
      <c r="O350" s="57"/>
      <c r="P350" s="57"/>
      <c r="Q350" s="57"/>
      <c r="R350" s="57"/>
      <c r="S350" s="57"/>
      <c r="T350" s="57"/>
      <c r="U350" s="57"/>
      <c r="V350" s="57"/>
      <c r="W350" s="57"/>
      <c r="X350" s="57"/>
      <c r="Y350" s="57"/>
      <c r="Z350" s="57"/>
    </row>
    <row r="351">
      <c r="A351" s="58">
        <v>9595904.0</v>
      </c>
      <c r="B351" s="57" t="s">
        <v>994</v>
      </c>
      <c r="C351" s="57" t="s">
        <v>210</v>
      </c>
      <c r="D351" s="58">
        <v>9.24</v>
      </c>
      <c r="E351" s="58">
        <v>1542.99</v>
      </c>
      <c r="F351" s="58">
        <v>4358002.0</v>
      </c>
      <c r="G351" s="57" t="s">
        <v>998</v>
      </c>
      <c r="H351" s="57" t="s">
        <v>999</v>
      </c>
      <c r="I351" s="57"/>
      <c r="J351" s="57"/>
      <c r="K351" s="57"/>
      <c r="L351" s="57"/>
      <c r="M351" s="57"/>
      <c r="N351" s="57"/>
      <c r="O351" s="57"/>
      <c r="P351" s="57"/>
      <c r="Q351" s="57"/>
      <c r="R351" s="57"/>
      <c r="S351" s="57"/>
      <c r="T351" s="57"/>
      <c r="U351" s="57"/>
      <c r="V351" s="57"/>
      <c r="W351" s="57"/>
      <c r="X351" s="57"/>
      <c r="Y351" s="57"/>
      <c r="Z351" s="57"/>
    </row>
    <row r="352">
      <c r="A352" s="58">
        <v>9595695.0</v>
      </c>
      <c r="B352" s="57" t="s">
        <v>994</v>
      </c>
      <c r="C352" s="57" t="s">
        <v>210</v>
      </c>
      <c r="D352" s="58">
        <v>11.96</v>
      </c>
      <c r="E352" s="58">
        <v>1531.03</v>
      </c>
      <c r="F352" s="58">
        <v>4352751.0</v>
      </c>
      <c r="G352" s="57" t="s">
        <v>1000</v>
      </c>
      <c r="H352" s="57" t="s">
        <v>1001</v>
      </c>
      <c r="I352" s="57"/>
      <c r="J352" s="57"/>
      <c r="K352" s="57"/>
      <c r="L352" s="57"/>
      <c r="M352" s="57"/>
      <c r="N352" s="57"/>
      <c r="O352" s="57"/>
      <c r="P352" s="57"/>
      <c r="Q352" s="57"/>
      <c r="R352" s="57"/>
      <c r="S352" s="57"/>
      <c r="T352" s="57"/>
      <c r="U352" s="57"/>
      <c r="V352" s="57"/>
      <c r="W352" s="57"/>
      <c r="X352" s="57"/>
      <c r="Y352" s="57"/>
      <c r="Z352" s="57"/>
    </row>
    <row r="353">
      <c r="A353" s="58">
        <v>9595140.0</v>
      </c>
      <c r="B353" s="57" t="s">
        <v>994</v>
      </c>
      <c r="C353" s="57" t="s">
        <v>210</v>
      </c>
      <c r="D353" s="58">
        <v>11.13</v>
      </c>
      <c r="E353" s="58">
        <v>1519.9</v>
      </c>
      <c r="F353" s="58">
        <v>4340118.0</v>
      </c>
      <c r="G353" s="58">
        <v>1.86991786E8</v>
      </c>
      <c r="H353" s="57" t="s">
        <v>1002</v>
      </c>
      <c r="I353" s="57"/>
      <c r="J353" s="57"/>
      <c r="K353" s="57"/>
      <c r="L353" s="57"/>
      <c r="M353" s="57"/>
      <c r="N353" s="57"/>
      <c r="O353" s="57"/>
      <c r="P353" s="57"/>
      <c r="Q353" s="57"/>
      <c r="R353" s="57"/>
      <c r="S353" s="57"/>
      <c r="T353" s="57"/>
      <c r="U353" s="57"/>
      <c r="V353" s="57"/>
      <c r="W353" s="57"/>
      <c r="X353" s="57"/>
      <c r="Y353" s="57"/>
      <c r="Z353" s="57"/>
    </row>
    <row r="354">
      <c r="A354" s="58">
        <v>9595134.0</v>
      </c>
      <c r="B354" s="57" t="s">
        <v>994</v>
      </c>
      <c r="C354" s="57" t="s">
        <v>210</v>
      </c>
      <c r="D354" s="58">
        <v>18.4</v>
      </c>
      <c r="E354" s="58">
        <v>1501.5</v>
      </c>
      <c r="F354" s="58">
        <v>4339702.0</v>
      </c>
      <c r="G354" s="57" t="s">
        <v>1003</v>
      </c>
      <c r="H354" s="57" t="s">
        <v>1004</v>
      </c>
      <c r="I354" s="57"/>
      <c r="J354" s="57"/>
      <c r="K354" s="57"/>
      <c r="L354" s="57"/>
      <c r="M354" s="57"/>
      <c r="N354" s="57"/>
      <c r="O354" s="57"/>
      <c r="P354" s="57"/>
      <c r="Q354" s="57"/>
      <c r="R354" s="57"/>
      <c r="S354" s="57"/>
      <c r="T354" s="57"/>
      <c r="U354" s="57"/>
      <c r="V354" s="57"/>
      <c r="W354" s="57"/>
      <c r="X354" s="57"/>
      <c r="Y354" s="57"/>
      <c r="Z354" s="57"/>
    </row>
    <row r="355">
      <c r="A355" s="58">
        <v>9594259.0</v>
      </c>
      <c r="B355" s="57" t="s">
        <v>994</v>
      </c>
      <c r="C355" s="57" t="s">
        <v>210</v>
      </c>
      <c r="D355" s="58">
        <v>9.24</v>
      </c>
      <c r="E355" s="58">
        <v>1492.26</v>
      </c>
      <c r="F355" s="58">
        <v>3950388.0</v>
      </c>
      <c r="G355" s="57" t="s">
        <v>1005</v>
      </c>
      <c r="H355" s="57" t="s">
        <v>1006</v>
      </c>
      <c r="I355" s="57"/>
      <c r="J355" s="57"/>
      <c r="K355" s="57"/>
      <c r="L355" s="57"/>
      <c r="M355" s="57"/>
      <c r="N355" s="57"/>
      <c r="O355" s="57"/>
      <c r="P355" s="57"/>
      <c r="Q355" s="57"/>
      <c r="R355" s="57"/>
      <c r="S355" s="57"/>
      <c r="T355" s="57"/>
      <c r="U355" s="57"/>
      <c r="V355" s="57"/>
      <c r="W355" s="57"/>
      <c r="X355" s="57"/>
      <c r="Y355" s="57"/>
      <c r="Z355" s="57"/>
    </row>
    <row r="356">
      <c r="A356" s="58">
        <v>9593645.0</v>
      </c>
      <c r="B356" s="57" t="s">
        <v>1007</v>
      </c>
      <c r="C356" s="57" t="s">
        <v>247</v>
      </c>
      <c r="D356" s="58">
        <v>9.57</v>
      </c>
      <c r="E356" s="58">
        <v>1501.83</v>
      </c>
      <c r="F356" s="58">
        <v>4285171.0</v>
      </c>
      <c r="G356" s="57" t="s">
        <v>1008</v>
      </c>
      <c r="H356" s="57" t="s">
        <v>1009</v>
      </c>
      <c r="I356" s="57"/>
      <c r="J356" s="57"/>
      <c r="K356" s="57"/>
      <c r="L356" s="57"/>
      <c r="M356" s="57"/>
      <c r="N356" s="57"/>
      <c r="O356" s="57"/>
      <c r="P356" s="57"/>
      <c r="Q356" s="57"/>
      <c r="R356" s="57"/>
      <c r="S356" s="57"/>
      <c r="T356" s="57"/>
      <c r="U356" s="57"/>
      <c r="V356" s="57"/>
      <c r="W356" s="57"/>
      <c r="X356" s="57"/>
      <c r="Y356" s="57"/>
      <c r="Z356" s="57"/>
    </row>
    <row r="357">
      <c r="A357" s="58">
        <v>9592830.0</v>
      </c>
      <c r="B357" s="57" t="s">
        <v>1010</v>
      </c>
      <c r="C357" s="57" t="s">
        <v>247</v>
      </c>
      <c r="D357" s="58">
        <v>230.0</v>
      </c>
      <c r="E357" s="58">
        <v>1731.83</v>
      </c>
      <c r="F357" s="57"/>
      <c r="G357" s="57"/>
      <c r="H357" s="57" t="s">
        <v>361</v>
      </c>
      <c r="I357" s="57"/>
      <c r="J357" s="57" t="s">
        <v>1011</v>
      </c>
      <c r="K357" s="57"/>
      <c r="L357" s="57"/>
      <c r="M357" s="57"/>
      <c r="N357" s="57"/>
      <c r="O357" s="57"/>
      <c r="P357" s="57"/>
      <c r="Q357" s="57"/>
      <c r="R357" s="57"/>
      <c r="S357" s="57"/>
      <c r="T357" s="57"/>
      <c r="U357" s="57"/>
      <c r="V357" s="57"/>
      <c r="W357" s="57"/>
      <c r="X357" s="57"/>
      <c r="Y357" s="57"/>
      <c r="Z357" s="57"/>
    </row>
    <row r="358">
      <c r="A358" s="58">
        <v>9591817.0</v>
      </c>
      <c r="B358" s="57" t="s">
        <v>1012</v>
      </c>
      <c r="C358" s="57" t="s">
        <v>247</v>
      </c>
      <c r="D358" s="58">
        <v>4.75</v>
      </c>
      <c r="E358" s="58">
        <v>1736.58</v>
      </c>
      <c r="F358" s="58">
        <v>4261277.0</v>
      </c>
      <c r="G358" s="57" t="s">
        <v>1013</v>
      </c>
      <c r="H358" s="57" t="s">
        <v>1014</v>
      </c>
      <c r="I358" s="57"/>
      <c r="J358" s="57"/>
      <c r="K358" s="57"/>
      <c r="L358" s="57"/>
      <c r="M358" s="57"/>
      <c r="N358" s="57"/>
      <c r="O358" s="57"/>
      <c r="P358" s="57"/>
      <c r="Q358" s="57"/>
      <c r="R358" s="57"/>
      <c r="S358" s="57"/>
      <c r="T358" s="57"/>
      <c r="U358" s="57"/>
      <c r="V358" s="57"/>
      <c r="W358" s="57"/>
      <c r="X358" s="57"/>
      <c r="Y358" s="57"/>
      <c r="Z358" s="57"/>
    </row>
    <row r="359">
      <c r="A359" s="58">
        <v>9577332.0</v>
      </c>
      <c r="B359" s="57" t="s">
        <v>1015</v>
      </c>
      <c r="C359" s="57" t="s">
        <v>210</v>
      </c>
      <c r="D359" s="58">
        <v>10.96</v>
      </c>
      <c r="E359" s="58">
        <v>1725.62</v>
      </c>
      <c r="F359" s="58">
        <v>4421193.0</v>
      </c>
      <c r="G359" s="57" t="s">
        <v>1016</v>
      </c>
      <c r="H359" s="57" t="s">
        <v>1017</v>
      </c>
      <c r="I359" s="57"/>
      <c r="J359" s="57"/>
      <c r="K359" s="57"/>
      <c r="L359" s="57"/>
      <c r="M359" s="57"/>
      <c r="N359" s="57"/>
      <c r="O359" s="57"/>
      <c r="P359" s="57"/>
      <c r="Q359" s="57"/>
      <c r="R359" s="57"/>
      <c r="S359" s="57"/>
      <c r="T359" s="57"/>
      <c r="U359" s="57"/>
      <c r="V359" s="57"/>
      <c r="W359" s="57"/>
      <c r="X359" s="57"/>
      <c r="Y359" s="57"/>
      <c r="Z359" s="57"/>
    </row>
    <row r="360">
      <c r="A360" s="58">
        <v>9576164.0</v>
      </c>
      <c r="B360" s="57" t="s">
        <v>1018</v>
      </c>
      <c r="C360" s="57" t="s">
        <v>210</v>
      </c>
      <c r="D360" s="58">
        <v>12.04</v>
      </c>
      <c r="E360" s="58">
        <v>1713.58</v>
      </c>
      <c r="F360" s="58">
        <v>4418758.0</v>
      </c>
      <c r="G360" s="57" t="s">
        <v>1019</v>
      </c>
      <c r="H360" s="57" t="s">
        <v>1020</v>
      </c>
      <c r="I360" s="57"/>
      <c r="J360" s="57"/>
      <c r="K360" s="57"/>
      <c r="L360" s="57"/>
      <c r="M360" s="57"/>
      <c r="N360" s="57"/>
      <c r="O360" s="57"/>
      <c r="P360" s="57"/>
      <c r="Q360" s="57"/>
      <c r="R360" s="57"/>
      <c r="S360" s="57"/>
      <c r="T360" s="57"/>
      <c r="U360" s="57"/>
      <c r="V360" s="57"/>
      <c r="W360" s="57"/>
      <c r="X360" s="57"/>
      <c r="Y360" s="57"/>
      <c r="Z360" s="57"/>
    </row>
    <row r="361">
      <c r="A361" s="58">
        <v>9576158.0</v>
      </c>
      <c r="B361" s="57" t="s">
        <v>1018</v>
      </c>
      <c r="C361" s="57" t="s">
        <v>210</v>
      </c>
      <c r="D361" s="58">
        <v>18.85</v>
      </c>
      <c r="E361" s="58">
        <v>1694.73</v>
      </c>
      <c r="F361" s="58">
        <v>4418751.0</v>
      </c>
      <c r="G361" s="57" t="s">
        <v>1021</v>
      </c>
      <c r="H361" s="57" t="s">
        <v>1022</v>
      </c>
      <c r="I361" s="57"/>
      <c r="J361" s="57"/>
      <c r="K361" s="57"/>
      <c r="L361" s="57"/>
      <c r="M361" s="57"/>
      <c r="N361" s="57"/>
      <c r="O361" s="57"/>
      <c r="P361" s="57"/>
      <c r="Q361" s="57"/>
      <c r="R361" s="57"/>
      <c r="S361" s="57"/>
      <c r="T361" s="57"/>
      <c r="U361" s="57"/>
      <c r="V361" s="57"/>
      <c r="W361" s="57"/>
      <c r="X361" s="57"/>
      <c r="Y361" s="57"/>
      <c r="Z361" s="57"/>
    </row>
    <row r="362">
      <c r="A362" s="58">
        <v>9576145.0</v>
      </c>
      <c r="B362" s="57" t="s">
        <v>1018</v>
      </c>
      <c r="C362" s="57" t="s">
        <v>210</v>
      </c>
      <c r="D362" s="58">
        <v>12.57</v>
      </c>
      <c r="E362" s="58">
        <v>1682.16</v>
      </c>
      <c r="F362" s="58">
        <v>4418726.0</v>
      </c>
      <c r="G362" s="57" t="s">
        <v>1023</v>
      </c>
      <c r="H362" s="57" t="s">
        <v>1024</v>
      </c>
      <c r="I362" s="57"/>
      <c r="J362" s="57"/>
      <c r="K362" s="57"/>
      <c r="L362" s="57"/>
      <c r="M362" s="57"/>
      <c r="N362" s="57"/>
      <c r="O362" s="57"/>
      <c r="P362" s="57"/>
      <c r="Q362" s="57"/>
      <c r="R362" s="57"/>
      <c r="S362" s="57"/>
      <c r="T362" s="57"/>
      <c r="U362" s="57"/>
      <c r="V362" s="57"/>
      <c r="W362" s="57"/>
      <c r="X362" s="57"/>
      <c r="Y362" s="57"/>
      <c r="Z362" s="57"/>
    </row>
    <row r="363">
      <c r="A363" s="58">
        <v>9576136.0</v>
      </c>
      <c r="B363" s="57" t="s">
        <v>1018</v>
      </c>
      <c r="C363" s="57" t="s">
        <v>210</v>
      </c>
      <c r="D363" s="58">
        <v>14.01</v>
      </c>
      <c r="E363" s="58">
        <v>1668.15</v>
      </c>
      <c r="F363" s="58">
        <v>4418667.0</v>
      </c>
      <c r="G363" s="57" t="s">
        <v>1025</v>
      </c>
      <c r="H363" s="57" t="s">
        <v>1026</v>
      </c>
      <c r="I363" s="57"/>
      <c r="J363" s="57"/>
      <c r="K363" s="57"/>
      <c r="L363" s="57"/>
      <c r="M363" s="57"/>
      <c r="N363" s="57"/>
      <c r="O363" s="57"/>
      <c r="P363" s="57"/>
      <c r="Q363" s="57"/>
      <c r="R363" s="57"/>
      <c r="S363" s="57"/>
      <c r="T363" s="57"/>
      <c r="U363" s="57"/>
      <c r="V363" s="57"/>
      <c r="W363" s="57"/>
      <c r="X363" s="57"/>
      <c r="Y363" s="57"/>
      <c r="Z363" s="57"/>
    </row>
    <row r="364">
      <c r="A364" s="58">
        <v>9576130.0</v>
      </c>
      <c r="B364" s="57" t="s">
        <v>1018</v>
      </c>
      <c r="C364" s="57" t="s">
        <v>210</v>
      </c>
      <c r="D364" s="58">
        <v>10.96</v>
      </c>
      <c r="E364" s="58">
        <v>1657.19</v>
      </c>
      <c r="F364" s="58">
        <v>4418661.0</v>
      </c>
      <c r="G364" s="57" t="s">
        <v>1027</v>
      </c>
      <c r="H364" s="57" t="s">
        <v>1028</v>
      </c>
      <c r="I364" s="57"/>
      <c r="J364" s="57"/>
      <c r="K364" s="57"/>
      <c r="L364" s="57"/>
      <c r="M364" s="57"/>
      <c r="N364" s="57"/>
      <c r="O364" s="57"/>
      <c r="P364" s="57"/>
      <c r="Q364" s="57"/>
      <c r="R364" s="57"/>
      <c r="S364" s="57"/>
      <c r="T364" s="57"/>
      <c r="U364" s="57"/>
      <c r="V364" s="57"/>
      <c r="W364" s="57"/>
      <c r="X364" s="57"/>
      <c r="Y364" s="57"/>
      <c r="Z364" s="57"/>
    </row>
    <row r="365">
      <c r="A365" s="58">
        <v>9576119.0</v>
      </c>
      <c r="B365" s="57" t="s">
        <v>1018</v>
      </c>
      <c r="C365" s="57" t="s">
        <v>210</v>
      </c>
      <c r="D365" s="58">
        <v>13.65</v>
      </c>
      <c r="E365" s="58">
        <v>1643.54</v>
      </c>
      <c r="F365" s="58">
        <v>4418651.0</v>
      </c>
      <c r="G365" s="57" t="s">
        <v>1029</v>
      </c>
      <c r="H365" s="57" t="s">
        <v>1030</v>
      </c>
      <c r="I365" s="57"/>
      <c r="J365" s="57"/>
      <c r="K365" s="57"/>
      <c r="L365" s="57"/>
      <c r="M365" s="57"/>
      <c r="N365" s="57"/>
      <c r="O365" s="57"/>
      <c r="P365" s="57"/>
      <c r="Q365" s="57"/>
      <c r="R365" s="57"/>
      <c r="S365" s="57"/>
      <c r="T365" s="57"/>
      <c r="U365" s="57"/>
      <c r="V365" s="57"/>
      <c r="W365" s="57"/>
      <c r="X365" s="57"/>
      <c r="Y365" s="57"/>
      <c r="Z365" s="57"/>
    </row>
    <row r="366">
      <c r="A366" s="58">
        <v>9576113.0</v>
      </c>
      <c r="B366" s="57" t="s">
        <v>1018</v>
      </c>
      <c r="C366" s="57" t="s">
        <v>210</v>
      </c>
      <c r="D366" s="58">
        <v>13.65</v>
      </c>
      <c r="E366" s="58">
        <v>1629.89</v>
      </c>
      <c r="F366" s="58">
        <v>4418649.0</v>
      </c>
      <c r="G366" s="57" t="s">
        <v>1031</v>
      </c>
      <c r="H366" s="57" t="s">
        <v>1032</v>
      </c>
      <c r="I366" s="57"/>
      <c r="J366" s="57"/>
      <c r="K366" s="57"/>
      <c r="L366" s="57"/>
      <c r="M366" s="57"/>
      <c r="N366" s="57"/>
      <c r="O366" s="57"/>
      <c r="P366" s="57"/>
      <c r="Q366" s="57"/>
      <c r="R366" s="57"/>
      <c r="S366" s="57"/>
      <c r="T366" s="57"/>
      <c r="U366" s="57"/>
      <c r="V366" s="57"/>
      <c r="W366" s="57"/>
      <c r="X366" s="57"/>
      <c r="Y366" s="57"/>
      <c r="Z366" s="57"/>
    </row>
    <row r="367">
      <c r="A367" s="58">
        <v>9576091.0</v>
      </c>
      <c r="B367" s="57" t="s">
        <v>1018</v>
      </c>
      <c r="C367" s="57" t="s">
        <v>210</v>
      </c>
      <c r="D367" s="58">
        <v>14.64</v>
      </c>
      <c r="E367" s="58">
        <v>1615.25</v>
      </c>
      <c r="F367" s="58">
        <v>4418629.0</v>
      </c>
      <c r="G367" s="57" t="s">
        <v>1033</v>
      </c>
      <c r="H367" s="57" t="s">
        <v>1034</v>
      </c>
      <c r="I367" s="57"/>
      <c r="J367" s="57"/>
      <c r="K367" s="57"/>
      <c r="L367" s="57"/>
      <c r="M367" s="57"/>
      <c r="N367" s="57"/>
      <c r="O367" s="57"/>
      <c r="P367" s="57"/>
      <c r="Q367" s="57"/>
      <c r="R367" s="57"/>
      <c r="S367" s="57"/>
      <c r="T367" s="57"/>
      <c r="U367" s="57"/>
      <c r="V367" s="57"/>
      <c r="W367" s="57"/>
      <c r="X367" s="57"/>
      <c r="Y367" s="57"/>
      <c r="Z367" s="57"/>
    </row>
    <row r="368">
      <c r="A368" s="58">
        <v>9571571.0</v>
      </c>
      <c r="B368" s="57" t="s">
        <v>1035</v>
      </c>
      <c r="C368" s="57" t="s">
        <v>210</v>
      </c>
      <c r="D368" s="58">
        <v>12.04</v>
      </c>
      <c r="E368" s="58">
        <v>1603.21</v>
      </c>
      <c r="F368" s="58">
        <v>4406819.0</v>
      </c>
      <c r="G368" s="57" t="s">
        <v>1036</v>
      </c>
      <c r="H368" s="57" t="s">
        <v>1037</v>
      </c>
      <c r="I368" s="57"/>
      <c r="J368" s="57"/>
      <c r="K368" s="57"/>
      <c r="L368" s="57"/>
      <c r="M368" s="57"/>
      <c r="N368" s="57"/>
      <c r="O368" s="57"/>
      <c r="P368" s="57"/>
      <c r="Q368" s="57"/>
      <c r="R368" s="57"/>
      <c r="S368" s="57"/>
      <c r="T368" s="57"/>
      <c r="U368" s="57"/>
      <c r="V368" s="57"/>
      <c r="W368" s="57"/>
      <c r="X368" s="57"/>
      <c r="Y368" s="57"/>
      <c r="Z368" s="57"/>
    </row>
    <row r="369">
      <c r="A369" s="58">
        <v>9563557.0</v>
      </c>
      <c r="B369" s="57" t="s">
        <v>1038</v>
      </c>
      <c r="C369" s="57" t="s">
        <v>210</v>
      </c>
      <c r="D369" s="58">
        <v>9.98</v>
      </c>
      <c r="E369" s="58">
        <v>1593.23</v>
      </c>
      <c r="F369" s="58">
        <v>4344956.0</v>
      </c>
      <c r="G369" s="58">
        <v>1.86995647E8</v>
      </c>
      <c r="H369" s="57" t="s">
        <v>1039</v>
      </c>
      <c r="I369" s="57"/>
      <c r="J369" s="57"/>
      <c r="K369" s="57"/>
      <c r="L369" s="57"/>
      <c r="M369" s="57"/>
      <c r="N369" s="57"/>
      <c r="O369" s="57"/>
      <c r="P369" s="57"/>
      <c r="Q369" s="57"/>
      <c r="R369" s="57"/>
      <c r="S369" s="57"/>
      <c r="T369" s="57"/>
      <c r="U369" s="57"/>
      <c r="V369" s="57"/>
      <c r="W369" s="57"/>
      <c r="X369" s="57"/>
      <c r="Y369" s="57"/>
      <c r="Z369" s="57"/>
    </row>
    <row r="370">
      <c r="A370" s="58">
        <v>9562579.0</v>
      </c>
      <c r="B370" s="57" t="s">
        <v>1038</v>
      </c>
      <c r="C370" s="57" t="s">
        <v>210</v>
      </c>
      <c r="D370" s="58">
        <v>14.34</v>
      </c>
      <c r="E370" s="58">
        <v>1578.89</v>
      </c>
      <c r="F370" s="58">
        <v>4318906.0</v>
      </c>
      <c r="G370" s="57" t="s">
        <v>1040</v>
      </c>
      <c r="H370" s="57" t="s">
        <v>1041</v>
      </c>
      <c r="I370" s="57"/>
      <c r="J370" s="57"/>
      <c r="K370" s="57"/>
      <c r="L370" s="57"/>
      <c r="M370" s="57"/>
      <c r="N370" s="57"/>
      <c r="O370" s="57"/>
      <c r="P370" s="57"/>
      <c r="Q370" s="57"/>
      <c r="R370" s="57"/>
      <c r="S370" s="57"/>
      <c r="T370" s="57"/>
      <c r="U370" s="57"/>
      <c r="V370" s="57"/>
      <c r="W370" s="57"/>
      <c r="X370" s="57"/>
      <c r="Y370" s="57"/>
      <c r="Z370" s="57"/>
    </row>
    <row r="371">
      <c r="A371" s="58">
        <v>9562330.0</v>
      </c>
      <c r="B371" s="57" t="s">
        <v>1038</v>
      </c>
      <c r="C371" s="57" t="s">
        <v>210</v>
      </c>
      <c r="D371" s="58">
        <v>11.89</v>
      </c>
      <c r="E371" s="58">
        <v>1567.0</v>
      </c>
      <c r="F371" s="58">
        <v>4303450.0</v>
      </c>
      <c r="G371" s="57" t="s">
        <v>1042</v>
      </c>
      <c r="H371" s="57" t="s">
        <v>1043</v>
      </c>
      <c r="I371" s="57"/>
      <c r="J371" s="57"/>
      <c r="K371" s="57"/>
      <c r="L371" s="57"/>
      <c r="M371" s="57"/>
      <c r="N371" s="57"/>
      <c r="O371" s="57"/>
      <c r="P371" s="57"/>
      <c r="Q371" s="57"/>
      <c r="R371" s="57"/>
      <c r="S371" s="57"/>
      <c r="T371" s="57"/>
      <c r="U371" s="57"/>
      <c r="V371" s="57"/>
      <c r="W371" s="57"/>
      <c r="X371" s="57"/>
      <c r="Y371" s="57"/>
      <c r="Z371" s="57"/>
    </row>
    <row r="372">
      <c r="A372" s="58">
        <v>9559057.0</v>
      </c>
      <c r="B372" s="57" t="s">
        <v>1044</v>
      </c>
      <c r="C372" s="57" t="s">
        <v>247</v>
      </c>
      <c r="D372" s="58">
        <v>5.07</v>
      </c>
      <c r="E372" s="58">
        <v>1572.07</v>
      </c>
      <c r="F372" s="58">
        <v>4318772.0</v>
      </c>
      <c r="G372" s="57" t="s">
        <v>1045</v>
      </c>
      <c r="H372" s="57" t="s">
        <v>1046</v>
      </c>
      <c r="I372" s="57"/>
      <c r="J372" s="57"/>
      <c r="K372" s="57"/>
      <c r="L372" s="57"/>
      <c r="M372" s="57"/>
      <c r="N372" s="57"/>
      <c r="O372" s="57"/>
      <c r="P372" s="57"/>
      <c r="Q372" s="57"/>
      <c r="R372" s="57"/>
      <c r="S372" s="57"/>
      <c r="T372" s="57"/>
      <c r="U372" s="57"/>
      <c r="V372" s="57"/>
      <c r="W372" s="57"/>
      <c r="X372" s="57"/>
      <c r="Y372" s="57"/>
      <c r="Z372" s="57"/>
    </row>
    <row r="373">
      <c r="A373" s="58">
        <v>9558937.0</v>
      </c>
      <c r="B373" s="57" t="s">
        <v>1047</v>
      </c>
      <c r="C373" s="57" t="s">
        <v>247</v>
      </c>
      <c r="D373" s="58">
        <v>5.13</v>
      </c>
      <c r="E373" s="58">
        <v>1577.2</v>
      </c>
      <c r="F373" s="58">
        <v>4326197.0</v>
      </c>
      <c r="G373" s="57" t="s">
        <v>1048</v>
      </c>
      <c r="H373" s="57" t="s">
        <v>1049</v>
      </c>
      <c r="I373" s="57"/>
      <c r="J373" s="57"/>
      <c r="K373" s="57"/>
      <c r="L373" s="57"/>
      <c r="M373" s="57"/>
      <c r="N373" s="57"/>
      <c r="O373" s="57"/>
      <c r="P373" s="57"/>
      <c r="Q373" s="57"/>
      <c r="R373" s="57"/>
      <c r="S373" s="57"/>
      <c r="T373" s="57"/>
      <c r="U373" s="57"/>
      <c r="V373" s="57"/>
      <c r="W373" s="57"/>
      <c r="X373" s="57"/>
      <c r="Y373" s="57"/>
      <c r="Z373" s="57"/>
    </row>
    <row r="374">
      <c r="A374" s="58">
        <v>9558509.0</v>
      </c>
      <c r="B374" s="57" t="s">
        <v>1050</v>
      </c>
      <c r="C374" s="57" t="s">
        <v>247</v>
      </c>
      <c r="D374" s="58">
        <v>4.49</v>
      </c>
      <c r="E374" s="58">
        <v>1581.68</v>
      </c>
      <c r="F374" s="58">
        <v>4300698.0</v>
      </c>
      <c r="G374" s="57" t="s">
        <v>1051</v>
      </c>
      <c r="H374" s="57" t="s">
        <v>1052</v>
      </c>
      <c r="I374" s="57"/>
      <c r="J374" s="57"/>
      <c r="K374" s="57"/>
      <c r="L374" s="57"/>
      <c r="M374" s="57"/>
      <c r="N374" s="57"/>
      <c r="O374" s="57"/>
      <c r="P374" s="57"/>
      <c r="Q374" s="57"/>
      <c r="R374" s="57"/>
      <c r="S374" s="57"/>
      <c r="T374" s="57"/>
      <c r="U374" s="57"/>
      <c r="V374" s="57"/>
      <c r="W374" s="57"/>
      <c r="X374" s="57"/>
      <c r="Y374" s="57"/>
      <c r="Z374" s="57"/>
    </row>
    <row r="375">
      <c r="A375" s="58">
        <v>9558223.0</v>
      </c>
      <c r="B375" s="57" t="s">
        <v>1053</v>
      </c>
      <c r="C375" s="57" t="s">
        <v>247</v>
      </c>
      <c r="D375" s="58">
        <v>4.78</v>
      </c>
      <c r="E375" s="58">
        <v>1586.46</v>
      </c>
      <c r="F375" s="58">
        <v>4274146.0</v>
      </c>
      <c r="G375" s="57" t="s">
        <v>1054</v>
      </c>
      <c r="H375" s="57" t="s">
        <v>1055</v>
      </c>
      <c r="I375" s="57"/>
      <c r="J375" s="57"/>
      <c r="K375" s="57"/>
      <c r="L375" s="57"/>
      <c r="M375" s="57"/>
      <c r="N375" s="57"/>
      <c r="O375" s="57"/>
      <c r="P375" s="57"/>
      <c r="Q375" s="57"/>
      <c r="R375" s="57"/>
      <c r="S375" s="57"/>
      <c r="T375" s="57"/>
      <c r="U375" s="57"/>
      <c r="V375" s="57"/>
      <c r="W375" s="57"/>
      <c r="X375" s="57"/>
      <c r="Y375" s="57"/>
      <c r="Z375" s="57"/>
    </row>
    <row r="376">
      <c r="A376" s="58">
        <v>9554248.0</v>
      </c>
      <c r="B376" s="57" t="s">
        <v>1056</v>
      </c>
      <c r="C376" s="57" t="s">
        <v>210</v>
      </c>
      <c r="D376" s="58">
        <v>13.17</v>
      </c>
      <c r="E376" s="58">
        <v>1573.29</v>
      </c>
      <c r="F376" s="58">
        <v>4418777.0</v>
      </c>
      <c r="G376" s="57" t="s">
        <v>1057</v>
      </c>
      <c r="H376" s="57" t="s">
        <v>1058</v>
      </c>
      <c r="I376" s="57"/>
      <c r="J376" s="57"/>
      <c r="K376" s="57"/>
      <c r="L376" s="57"/>
      <c r="M376" s="57"/>
      <c r="N376" s="57"/>
      <c r="O376" s="57"/>
      <c r="P376" s="57"/>
      <c r="Q376" s="57"/>
      <c r="R376" s="57"/>
      <c r="S376" s="57"/>
      <c r="T376" s="57"/>
      <c r="U376" s="57"/>
      <c r="V376" s="57"/>
      <c r="W376" s="57"/>
      <c r="X376" s="57"/>
      <c r="Y376" s="57"/>
      <c r="Z376" s="57"/>
    </row>
    <row r="377">
      <c r="A377" s="58">
        <v>9554245.0</v>
      </c>
      <c r="B377" s="57" t="s">
        <v>1056</v>
      </c>
      <c r="C377" s="57" t="s">
        <v>210</v>
      </c>
      <c r="D377" s="58">
        <v>17.24</v>
      </c>
      <c r="E377" s="58">
        <v>1556.05</v>
      </c>
      <c r="F377" s="58">
        <v>4418774.0</v>
      </c>
      <c r="G377" s="57" t="s">
        <v>1059</v>
      </c>
      <c r="H377" s="57" t="s">
        <v>1060</v>
      </c>
      <c r="I377" s="57"/>
      <c r="J377" s="57"/>
      <c r="K377" s="57"/>
      <c r="L377" s="57"/>
      <c r="M377" s="57"/>
      <c r="N377" s="57"/>
      <c r="O377" s="57"/>
      <c r="P377" s="57"/>
      <c r="Q377" s="57"/>
      <c r="R377" s="57"/>
      <c r="S377" s="57"/>
      <c r="T377" s="57"/>
      <c r="U377" s="57"/>
      <c r="V377" s="57"/>
      <c r="W377" s="57"/>
      <c r="X377" s="57"/>
      <c r="Y377" s="57"/>
      <c r="Z377" s="57"/>
    </row>
    <row r="378">
      <c r="A378" s="58">
        <v>9554224.0</v>
      </c>
      <c r="B378" s="57" t="s">
        <v>1056</v>
      </c>
      <c r="C378" s="57" t="s">
        <v>210</v>
      </c>
      <c r="D378" s="58">
        <v>10.96</v>
      </c>
      <c r="E378" s="58">
        <v>1545.09</v>
      </c>
      <c r="F378" s="58">
        <v>4418747.0</v>
      </c>
      <c r="G378" s="57" t="s">
        <v>1061</v>
      </c>
      <c r="H378" s="57" t="s">
        <v>1062</v>
      </c>
      <c r="I378" s="57"/>
      <c r="J378" s="57"/>
      <c r="K378" s="57"/>
      <c r="L378" s="57"/>
      <c r="M378" s="57"/>
      <c r="N378" s="57"/>
      <c r="O378" s="57"/>
      <c r="P378" s="57"/>
      <c r="Q378" s="57"/>
      <c r="R378" s="57"/>
      <c r="S378" s="57"/>
      <c r="T378" s="57"/>
      <c r="U378" s="57"/>
      <c r="V378" s="57"/>
      <c r="W378" s="57"/>
      <c r="X378" s="57"/>
      <c r="Y378" s="57"/>
      <c r="Z378" s="57"/>
    </row>
    <row r="379">
      <c r="A379" s="58">
        <v>9554213.0</v>
      </c>
      <c r="B379" s="57" t="s">
        <v>1056</v>
      </c>
      <c r="C379" s="57" t="s">
        <v>210</v>
      </c>
      <c r="D379" s="58">
        <v>10.96</v>
      </c>
      <c r="E379" s="58">
        <v>1534.13</v>
      </c>
      <c r="F379" s="58">
        <v>4418725.0</v>
      </c>
      <c r="G379" s="57" t="s">
        <v>1063</v>
      </c>
      <c r="H379" s="57" t="s">
        <v>1064</v>
      </c>
      <c r="I379" s="57"/>
      <c r="J379" s="57"/>
      <c r="K379" s="57"/>
      <c r="L379" s="57"/>
      <c r="M379" s="57"/>
      <c r="N379" s="57"/>
      <c r="O379" s="57"/>
      <c r="P379" s="57"/>
      <c r="Q379" s="57"/>
      <c r="R379" s="57"/>
      <c r="S379" s="57"/>
      <c r="T379" s="57"/>
      <c r="U379" s="57"/>
      <c r="V379" s="57"/>
      <c r="W379" s="57"/>
      <c r="X379" s="57"/>
      <c r="Y379" s="57"/>
      <c r="Z379" s="57"/>
    </row>
    <row r="380">
      <c r="A380" s="58">
        <v>9554210.0</v>
      </c>
      <c r="B380" s="57" t="s">
        <v>1056</v>
      </c>
      <c r="C380" s="57" t="s">
        <v>210</v>
      </c>
      <c r="D380" s="58">
        <v>16.25</v>
      </c>
      <c r="E380" s="58">
        <v>1517.88</v>
      </c>
      <c r="F380" s="58">
        <v>4418699.0</v>
      </c>
      <c r="G380" s="57" t="s">
        <v>1065</v>
      </c>
      <c r="H380" s="57" t="s">
        <v>1066</v>
      </c>
      <c r="I380" s="57"/>
      <c r="J380" s="57"/>
      <c r="K380" s="57"/>
      <c r="L380" s="57"/>
      <c r="M380" s="57"/>
      <c r="N380" s="57"/>
      <c r="O380" s="57"/>
      <c r="P380" s="57"/>
      <c r="Q380" s="57"/>
      <c r="R380" s="57"/>
      <c r="S380" s="57"/>
      <c r="T380" s="57"/>
      <c r="U380" s="57"/>
      <c r="V380" s="57"/>
      <c r="W380" s="57"/>
      <c r="X380" s="57"/>
      <c r="Y380" s="57"/>
      <c r="Z380" s="57"/>
    </row>
    <row r="381">
      <c r="A381" s="58">
        <v>9554195.0</v>
      </c>
      <c r="B381" s="57" t="s">
        <v>1056</v>
      </c>
      <c r="C381" s="57" t="s">
        <v>210</v>
      </c>
      <c r="D381" s="58">
        <v>12.04</v>
      </c>
      <c r="E381" s="58">
        <v>1505.84</v>
      </c>
      <c r="F381" s="58">
        <v>4418656.0</v>
      </c>
      <c r="G381" s="57" t="s">
        <v>1067</v>
      </c>
      <c r="H381" s="57" t="s">
        <v>1068</v>
      </c>
      <c r="I381" s="57"/>
      <c r="J381" s="57"/>
      <c r="K381" s="57"/>
      <c r="L381" s="57"/>
      <c r="M381" s="57"/>
      <c r="N381" s="57"/>
      <c r="O381" s="57"/>
      <c r="P381" s="57"/>
      <c r="Q381" s="57"/>
      <c r="R381" s="57"/>
      <c r="S381" s="57"/>
      <c r="T381" s="57"/>
      <c r="U381" s="57"/>
      <c r="V381" s="57"/>
      <c r="W381" s="57"/>
      <c r="X381" s="57"/>
      <c r="Y381" s="57"/>
      <c r="Z381" s="57"/>
    </row>
    <row r="382">
      <c r="A382" s="58">
        <v>9554189.0</v>
      </c>
      <c r="B382" s="57" t="s">
        <v>1056</v>
      </c>
      <c r="C382" s="57" t="s">
        <v>210</v>
      </c>
      <c r="D382" s="58">
        <v>10.96</v>
      </c>
      <c r="E382" s="58">
        <v>1494.88</v>
      </c>
      <c r="F382" s="58">
        <v>4418640.0</v>
      </c>
      <c r="G382" s="57" t="s">
        <v>1069</v>
      </c>
      <c r="H382" s="57" t="s">
        <v>1070</v>
      </c>
      <c r="I382" s="57"/>
      <c r="J382" s="57"/>
      <c r="K382" s="57"/>
      <c r="L382" s="57"/>
      <c r="M382" s="57"/>
      <c r="N382" s="57"/>
      <c r="O382" s="57"/>
      <c r="P382" s="57"/>
      <c r="Q382" s="57"/>
      <c r="R382" s="57"/>
      <c r="S382" s="57"/>
      <c r="T382" s="57"/>
      <c r="U382" s="57"/>
      <c r="V382" s="57"/>
      <c r="W382" s="57"/>
      <c r="X382" s="57"/>
      <c r="Y382" s="57"/>
      <c r="Z382" s="57"/>
    </row>
    <row r="383">
      <c r="A383" s="58">
        <v>9554119.0</v>
      </c>
      <c r="B383" s="57" t="s">
        <v>1056</v>
      </c>
      <c r="C383" s="57" t="s">
        <v>210</v>
      </c>
      <c r="D383" s="58">
        <v>13.17</v>
      </c>
      <c r="E383" s="58">
        <v>1481.71</v>
      </c>
      <c r="F383" s="58">
        <v>4418490.0</v>
      </c>
      <c r="G383" s="57" t="s">
        <v>1071</v>
      </c>
      <c r="H383" s="57" t="s">
        <v>1072</v>
      </c>
      <c r="I383" s="57"/>
      <c r="J383" s="57"/>
      <c r="K383" s="57"/>
      <c r="L383" s="57"/>
      <c r="M383" s="57"/>
      <c r="N383" s="57"/>
      <c r="O383" s="57"/>
      <c r="P383" s="57"/>
      <c r="Q383" s="57"/>
      <c r="R383" s="57"/>
      <c r="S383" s="57"/>
      <c r="T383" s="57"/>
      <c r="U383" s="57"/>
      <c r="V383" s="57"/>
      <c r="W383" s="57"/>
      <c r="X383" s="57"/>
      <c r="Y383" s="57"/>
      <c r="Z383" s="57"/>
    </row>
    <row r="384">
      <c r="A384" s="58">
        <v>9545938.0</v>
      </c>
      <c r="B384" s="57" t="s">
        <v>1073</v>
      </c>
      <c r="C384" s="57" t="s">
        <v>210</v>
      </c>
      <c r="D384" s="58">
        <v>11.54</v>
      </c>
      <c r="E384" s="58">
        <v>1470.17</v>
      </c>
      <c r="F384" s="58">
        <v>4405554.0</v>
      </c>
      <c r="G384" s="57" t="s">
        <v>1074</v>
      </c>
      <c r="H384" s="57" t="s">
        <v>1075</v>
      </c>
      <c r="I384" s="57"/>
      <c r="J384" s="57"/>
      <c r="K384" s="57"/>
      <c r="L384" s="57"/>
      <c r="M384" s="57"/>
      <c r="N384" s="57"/>
      <c r="O384" s="57"/>
      <c r="P384" s="57"/>
      <c r="Q384" s="57"/>
      <c r="R384" s="57"/>
      <c r="S384" s="57"/>
      <c r="T384" s="57"/>
      <c r="U384" s="57"/>
      <c r="V384" s="57"/>
      <c r="W384" s="57"/>
      <c r="X384" s="57"/>
      <c r="Y384" s="57"/>
      <c r="Z384" s="57"/>
    </row>
    <row r="385">
      <c r="A385" s="58">
        <v>9545262.0</v>
      </c>
      <c r="B385" s="57" t="s">
        <v>1073</v>
      </c>
      <c r="C385" s="57" t="s">
        <v>210</v>
      </c>
      <c r="D385" s="58">
        <v>12.04</v>
      </c>
      <c r="E385" s="58">
        <v>1458.13</v>
      </c>
      <c r="F385" s="58">
        <v>4404376.0</v>
      </c>
      <c r="G385" s="57" t="s">
        <v>1076</v>
      </c>
      <c r="H385" s="57" t="s">
        <v>1077</v>
      </c>
      <c r="I385" s="57"/>
      <c r="J385" s="57"/>
      <c r="K385" s="57"/>
      <c r="L385" s="57"/>
      <c r="M385" s="57"/>
      <c r="N385" s="57"/>
      <c r="O385" s="57"/>
      <c r="P385" s="57"/>
      <c r="Q385" s="57"/>
      <c r="R385" s="57"/>
      <c r="S385" s="57"/>
      <c r="T385" s="57"/>
      <c r="U385" s="57"/>
      <c r="V385" s="57"/>
      <c r="W385" s="57"/>
      <c r="X385" s="57"/>
      <c r="Y385" s="57"/>
      <c r="Z385" s="57"/>
    </row>
    <row r="386">
      <c r="A386" s="58">
        <v>9535794.0</v>
      </c>
      <c r="B386" s="57" t="s">
        <v>1078</v>
      </c>
      <c r="C386" s="57" t="s">
        <v>210</v>
      </c>
      <c r="D386" s="58">
        <v>9.03</v>
      </c>
      <c r="E386" s="58">
        <v>1449.1</v>
      </c>
      <c r="F386" s="58">
        <v>4372643.0</v>
      </c>
      <c r="G386" s="58">
        <v>1.8699429E8</v>
      </c>
      <c r="H386" s="57" t="s">
        <v>1079</v>
      </c>
      <c r="I386" s="57"/>
      <c r="J386" s="57"/>
      <c r="K386" s="57"/>
      <c r="L386" s="57"/>
      <c r="M386" s="57"/>
      <c r="N386" s="57"/>
      <c r="O386" s="57"/>
      <c r="P386" s="57"/>
      <c r="Q386" s="57"/>
      <c r="R386" s="57"/>
      <c r="S386" s="57"/>
      <c r="T386" s="57"/>
      <c r="U386" s="57"/>
      <c r="V386" s="57"/>
      <c r="W386" s="57"/>
      <c r="X386" s="57"/>
      <c r="Y386" s="57"/>
      <c r="Z386" s="57"/>
    </row>
    <row r="387">
      <c r="A387" s="58">
        <v>9533891.0</v>
      </c>
      <c r="B387" s="57" t="s">
        <v>1080</v>
      </c>
      <c r="C387" s="57" t="s">
        <v>210</v>
      </c>
      <c r="D387" s="58">
        <v>16.79</v>
      </c>
      <c r="E387" s="58">
        <v>1432.31</v>
      </c>
      <c r="F387" s="58">
        <v>4360035.0</v>
      </c>
      <c r="G387" s="57" t="s">
        <v>1081</v>
      </c>
      <c r="H387" s="57" t="s">
        <v>1082</v>
      </c>
      <c r="I387" s="57"/>
      <c r="J387" s="57"/>
      <c r="K387" s="57"/>
      <c r="L387" s="57"/>
      <c r="M387" s="57"/>
      <c r="N387" s="57"/>
      <c r="O387" s="57"/>
      <c r="P387" s="57"/>
      <c r="Q387" s="57"/>
      <c r="R387" s="57"/>
      <c r="S387" s="57"/>
      <c r="T387" s="57"/>
      <c r="U387" s="57"/>
      <c r="V387" s="57"/>
      <c r="W387" s="57"/>
      <c r="X387" s="57"/>
      <c r="Y387" s="57"/>
      <c r="Z387" s="57"/>
    </row>
    <row r="388">
      <c r="A388" s="58">
        <v>9532179.0</v>
      </c>
      <c r="B388" s="57" t="s">
        <v>1080</v>
      </c>
      <c r="C388" s="57" t="s">
        <v>210</v>
      </c>
      <c r="D388" s="58">
        <v>13.75</v>
      </c>
      <c r="E388" s="58">
        <v>1418.56</v>
      </c>
      <c r="F388" s="58">
        <v>4345867.0</v>
      </c>
      <c r="G388" s="58">
        <v>1.86991783E8</v>
      </c>
      <c r="H388" s="57" t="s">
        <v>1083</v>
      </c>
      <c r="I388" s="57"/>
      <c r="J388" s="57"/>
      <c r="K388" s="57"/>
      <c r="L388" s="57"/>
      <c r="M388" s="57"/>
      <c r="N388" s="57"/>
      <c r="O388" s="57"/>
      <c r="P388" s="57"/>
      <c r="Q388" s="57"/>
      <c r="R388" s="57"/>
      <c r="S388" s="57"/>
      <c r="T388" s="57"/>
      <c r="U388" s="57"/>
      <c r="V388" s="57"/>
      <c r="W388" s="57"/>
      <c r="X388" s="57"/>
      <c r="Y388" s="57"/>
      <c r="Z388" s="57"/>
    </row>
    <row r="389">
      <c r="A389" s="58">
        <v>9530581.0</v>
      </c>
      <c r="B389" s="57" t="s">
        <v>1084</v>
      </c>
      <c r="C389" s="57" t="s">
        <v>210</v>
      </c>
      <c r="D389" s="58">
        <v>14.34</v>
      </c>
      <c r="E389" s="58">
        <v>1404.22</v>
      </c>
      <c r="F389" s="58">
        <v>4327857.0</v>
      </c>
      <c r="G389" s="57" t="s">
        <v>1085</v>
      </c>
      <c r="H389" s="57" t="s">
        <v>1086</v>
      </c>
      <c r="I389" s="57"/>
      <c r="J389" s="57"/>
      <c r="K389" s="57"/>
      <c r="L389" s="57"/>
      <c r="M389" s="57"/>
      <c r="N389" s="57"/>
      <c r="O389" s="57"/>
      <c r="P389" s="57"/>
      <c r="Q389" s="57"/>
      <c r="R389" s="57"/>
      <c r="S389" s="57"/>
      <c r="T389" s="57"/>
      <c r="U389" s="57"/>
      <c r="V389" s="57"/>
      <c r="W389" s="57"/>
      <c r="X389" s="57"/>
      <c r="Y389" s="57"/>
      <c r="Z389" s="57"/>
    </row>
    <row r="390">
      <c r="A390" s="58">
        <v>9529358.0</v>
      </c>
      <c r="B390" s="57" t="s">
        <v>1084</v>
      </c>
      <c r="C390" s="57" t="s">
        <v>210</v>
      </c>
      <c r="D390" s="58">
        <v>12.55</v>
      </c>
      <c r="E390" s="58">
        <v>1391.67</v>
      </c>
      <c r="F390" s="58">
        <v>4277071.0</v>
      </c>
      <c r="G390" s="58">
        <v>1.86553307E8</v>
      </c>
      <c r="H390" s="57" t="s">
        <v>1087</v>
      </c>
      <c r="I390" s="57"/>
      <c r="J390" s="57"/>
      <c r="K390" s="57"/>
      <c r="L390" s="57"/>
      <c r="M390" s="57"/>
      <c r="N390" s="57"/>
      <c r="O390" s="57"/>
      <c r="P390" s="57"/>
      <c r="Q390" s="57"/>
      <c r="R390" s="57"/>
      <c r="S390" s="57"/>
      <c r="T390" s="57"/>
      <c r="U390" s="57"/>
      <c r="V390" s="57"/>
      <c r="W390" s="57"/>
      <c r="X390" s="57"/>
      <c r="Y390" s="57"/>
      <c r="Z390" s="57"/>
    </row>
    <row r="391">
      <c r="A391" s="58">
        <v>9528804.0</v>
      </c>
      <c r="B391" s="57" t="s">
        <v>1084</v>
      </c>
      <c r="C391" s="57" t="s">
        <v>210</v>
      </c>
      <c r="D391" s="58">
        <v>13.17</v>
      </c>
      <c r="E391" s="58">
        <v>1378.5</v>
      </c>
      <c r="F391" s="58">
        <v>4099962.0</v>
      </c>
      <c r="G391" s="57" t="s">
        <v>1088</v>
      </c>
      <c r="H391" s="57" t="s">
        <v>1089</v>
      </c>
      <c r="I391" s="57"/>
      <c r="J391" s="57"/>
      <c r="K391" s="57"/>
      <c r="L391" s="57"/>
      <c r="M391" s="57"/>
      <c r="N391" s="57"/>
      <c r="O391" s="57"/>
      <c r="P391" s="57"/>
      <c r="Q391" s="57"/>
      <c r="R391" s="57"/>
      <c r="S391" s="57"/>
      <c r="T391" s="57"/>
      <c r="U391" s="57"/>
      <c r="V391" s="57"/>
      <c r="W391" s="57"/>
      <c r="X391" s="57"/>
      <c r="Y391" s="57"/>
      <c r="Z391" s="57"/>
    </row>
    <row r="392">
      <c r="A392" s="58">
        <v>9527450.0</v>
      </c>
      <c r="B392" s="57" t="s">
        <v>1090</v>
      </c>
      <c r="C392" s="57" t="s">
        <v>247</v>
      </c>
      <c r="D392" s="58">
        <v>1846.0</v>
      </c>
      <c r="E392" s="58">
        <v>3224.5</v>
      </c>
      <c r="F392" s="57"/>
      <c r="G392" s="57"/>
      <c r="H392" s="57" t="s">
        <v>361</v>
      </c>
      <c r="I392" s="57"/>
      <c r="J392" s="57" t="s">
        <v>1091</v>
      </c>
      <c r="K392" s="57"/>
      <c r="L392" s="57"/>
      <c r="M392" s="57"/>
      <c r="N392" s="57"/>
      <c r="O392" s="57"/>
      <c r="P392" s="57"/>
      <c r="Q392" s="57"/>
      <c r="R392" s="57"/>
      <c r="S392" s="57"/>
      <c r="T392" s="57"/>
      <c r="U392" s="57"/>
      <c r="V392" s="57"/>
      <c r="W392" s="57"/>
      <c r="X392" s="57"/>
      <c r="Y392" s="57"/>
      <c r="Z392" s="57"/>
    </row>
    <row r="393">
      <c r="A393" s="58">
        <v>9527392.0</v>
      </c>
      <c r="B393" s="57" t="s">
        <v>1092</v>
      </c>
      <c r="C393" s="57" t="s">
        <v>210</v>
      </c>
      <c r="D393" s="58">
        <v>846.0</v>
      </c>
      <c r="E393" s="58">
        <v>2378.5</v>
      </c>
      <c r="F393" s="57"/>
      <c r="G393" s="57"/>
      <c r="H393" s="57" t="s">
        <v>1093</v>
      </c>
      <c r="I393" s="57"/>
      <c r="J393" s="57"/>
      <c r="K393" s="57"/>
      <c r="L393" s="57"/>
      <c r="M393" s="57"/>
      <c r="N393" s="57"/>
      <c r="O393" s="57"/>
      <c r="P393" s="57"/>
      <c r="Q393" s="57"/>
      <c r="R393" s="57"/>
      <c r="S393" s="57"/>
      <c r="T393" s="57"/>
      <c r="U393" s="57"/>
      <c r="V393" s="57"/>
      <c r="W393" s="57"/>
      <c r="X393" s="57"/>
      <c r="Y393" s="57"/>
      <c r="Z393" s="57"/>
    </row>
    <row r="394">
      <c r="A394" s="58">
        <v>9526089.0</v>
      </c>
      <c r="B394" s="57" t="s">
        <v>1094</v>
      </c>
      <c r="C394" s="57" t="s">
        <v>247</v>
      </c>
      <c r="D394" s="58">
        <v>4.04</v>
      </c>
      <c r="E394" s="58">
        <v>2382.54</v>
      </c>
      <c r="F394" s="58">
        <v>4294046.0</v>
      </c>
      <c r="G394" s="57" t="s">
        <v>1095</v>
      </c>
      <c r="H394" s="57" t="s">
        <v>1096</v>
      </c>
      <c r="I394" s="57"/>
      <c r="J394" s="57"/>
      <c r="K394" s="57"/>
      <c r="L394" s="57"/>
      <c r="M394" s="57"/>
      <c r="N394" s="57"/>
      <c r="O394" s="57"/>
      <c r="P394" s="57"/>
      <c r="Q394" s="57"/>
      <c r="R394" s="57"/>
      <c r="S394" s="57"/>
      <c r="T394" s="57"/>
      <c r="U394" s="57"/>
      <c r="V394" s="57"/>
      <c r="W394" s="57"/>
      <c r="X394" s="57"/>
      <c r="Y394" s="57"/>
      <c r="Z394" s="57"/>
    </row>
    <row r="395">
      <c r="A395" s="58">
        <v>9526084.0</v>
      </c>
      <c r="B395" s="57" t="s">
        <v>1094</v>
      </c>
      <c r="C395" s="57" t="s">
        <v>247</v>
      </c>
      <c r="D395" s="58">
        <v>5.07</v>
      </c>
      <c r="E395" s="58">
        <v>2387.61</v>
      </c>
      <c r="F395" s="58">
        <v>4318001.0</v>
      </c>
      <c r="G395" s="57" t="s">
        <v>1097</v>
      </c>
      <c r="H395" s="57" t="s">
        <v>1098</v>
      </c>
      <c r="I395" s="57"/>
      <c r="J395" s="57"/>
      <c r="K395" s="57"/>
      <c r="L395" s="57"/>
      <c r="M395" s="57"/>
      <c r="N395" s="57"/>
      <c r="O395" s="57"/>
      <c r="P395" s="57"/>
      <c r="Q395" s="57"/>
      <c r="R395" s="57"/>
      <c r="S395" s="57"/>
      <c r="T395" s="57"/>
      <c r="U395" s="57"/>
      <c r="V395" s="57"/>
      <c r="W395" s="57"/>
      <c r="X395" s="57"/>
      <c r="Y395" s="57"/>
      <c r="Z395" s="57"/>
    </row>
    <row r="396">
      <c r="A396" s="58">
        <v>9525293.0</v>
      </c>
      <c r="B396" s="57" t="s">
        <v>1099</v>
      </c>
      <c r="C396" s="57" t="s">
        <v>247</v>
      </c>
      <c r="D396" s="58">
        <v>5.06</v>
      </c>
      <c r="E396" s="58">
        <v>2392.67</v>
      </c>
      <c r="F396" s="58">
        <v>4294360.0</v>
      </c>
      <c r="G396" s="57" t="s">
        <v>1100</v>
      </c>
      <c r="H396" s="57" t="s">
        <v>1101</v>
      </c>
      <c r="I396" s="57"/>
      <c r="J396" s="57"/>
      <c r="K396" s="57"/>
      <c r="L396" s="57"/>
      <c r="M396" s="57"/>
      <c r="N396" s="57"/>
      <c r="O396" s="57"/>
      <c r="P396" s="57"/>
      <c r="Q396" s="57"/>
      <c r="R396" s="57"/>
      <c r="S396" s="57"/>
      <c r="T396" s="57"/>
      <c r="U396" s="57"/>
      <c r="V396" s="57"/>
      <c r="W396" s="57"/>
      <c r="X396" s="57"/>
      <c r="Y396" s="57"/>
      <c r="Z396" s="57"/>
    </row>
    <row r="397">
      <c r="A397" s="58">
        <v>9522543.0</v>
      </c>
      <c r="B397" s="57" t="s">
        <v>1102</v>
      </c>
      <c r="C397" s="57" t="s">
        <v>247</v>
      </c>
      <c r="D397" s="58">
        <v>3.51</v>
      </c>
      <c r="E397" s="58">
        <v>2396.18</v>
      </c>
      <c r="F397" s="58">
        <v>4289528.0</v>
      </c>
      <c r="G397" s="57" t="s">
        <v>1103</v>
      </c>
      <c r="H397" s="57" t="s">
        <v>1104</v>
      </c>
      <c r="I397" s="57"/>
      <c r="J397" s="57"/>
      <c r="K397" s="57"/>
      <c r="L397" s="57"/>
      <c r="M397" s="57"/>
      <c r="N397" s="57"/>
      <c r="O397" s="57"/>
      <c r="P397" s="57"/>
      <c r="Q397" s="57"/>
      <c r="R397" s="57"/>
      <c r="S397" s="57"/>
      <c r="T397" s="57"/>
      <c r="U397" s="57"/>
      <c r="V397" s="57"/>
      <c r="W397" s="57"/>
      <c r="X397" s="57"/>
      <c r="Y397" s="57"/>
      <c r="Z397" s="57"/>
    </row>
    <row r="398">
      <c r="A398" s="58">
        <v>9522079.0</v>
      </c>
      <c r="B398" s="57" t="s">
        <v>1105</v>
      </c>
      <c r="C398" s="57" t="s">
        <v>247</v>
      </c>
      <c r="D398" s="58">
        <v>4.03</v>
      </c>
      <c r="E398" s="58">
        <v>2400.2</v>
      </c>
      <c r="F398" s="58">
        <v>4262407.0</v>
      </c>
      <c r="G398" s="57" t="s">
        <v>1106</v>
      </c>
      <c r="H398" s="57" t="s">
        <v>1107</v>
      </c>
      <c r="I398" s="57"/>
      <c r="J398" s="57"/>
      <c r="K398" s="57"/>
      <c r="L398" s="57"/>
      <c r="M398" s="57"/>
      <c r="N398" s="57"/>
      <c r="O398" s="57"/>
      <c r="P398" s="57"/>
      <c r="Q398" s="57"/>
      <c r="R398" s="57"/>
      <c r="S398" s="57"/>
      <c r="T398" s="57"/>
      <c r="U398" s="57"/>
      <c r="V398" s="57"/>
      <c r="W398" s="57"/>
      <c r="X398" s="57"/>
      <c r="Y398" s="57"/>
      <c r="Z398" s="57"/>
    </row>
    <row r="399">
      <c r="A399" s="58">
        <v>9522077.0</v>
      </c>
      <c r="B399" s="57" t="s">
        <v>1105</v>
      </c>
      <c r="C399" s="57" t="s">
        <v>247</v>
      </c>
      <c r="D399" s="58">
        <v>4.03</v>
      </c>
      <c r="E399" s="58">
        <v>2404.22</v>
      </c>
      <c r="F399" s="58">
        <v>4265752.0</v>
      </c>
      <c r="G399" s="57" t="s">
        <v>1108</v>
      </c>
      <c r="H399" s="57" t="s">
        <v>1109</v>
      </c>
      <c r="I399" s="57"/>
      <c r="J399" s="57"/>
      <c r="K399" s="57"/>
      <c r="L399" s="57"/>
      <c r="M399" s="57"/>
      <c r="N399" s="57"/>
      <c r="O399" s="57"/>
      <c r="P399" s="57"/>
      <c r="Q399" s="57"/>
      <c r="R399" s="57"/>
      <c r="S399" s="57"/>
      <c r="T399" s="57"/>
      <c r="U399" s="57"/>
      <c r="V399" s="57"/>
      <c r="W399" s="57"/>
      <c r="X399" s="57"/>
      <c r="Y399" s="57"/>
      <c r="Z399" s="57"/>
    </row>
    <row r="400">
      <c r="A400" s="58">
        <v>9522014.0</v>
      </c>
      <c r="B400" s="57" t="s">
        <v>1105</v>
      </c>
      <c r="C400" s="57" t="s">
        <v>247</v>
      </c>
      <c r="D400" s="58">
        <v>5.07</v>
      </c>
      <c r="E400" s="58">
        <v>2409.29</v>
      </c>
      <c r="F400" s="58">
        <v>4273026.0</v>
      </c>
      <c r="G400" s="57" t="s">
        <v>1110</v>
      </c>
      <c r="H400" s="57" t="s">
        <v>1111</v>
      </c>
      <c r="I400" s="57"/>
      <c r="J400" s="57"/>
      <c r="K400" s="57"/>
      <c r="L400" s="57"/>
      <c r="M400" s="57"/>
      <c r="N400" s="57"/>
      <c r="O400" s="57"/>
      <c r="P400" s="57"/>
      <c r="Q400" s="57"/>
      <c r="R400" s="57"/>
      <c r="S400" s="57"/>
      <c r="T400" s="57"/>
      <c r="U400" s="57"/>
      <c r="V400" s="57"/>
      <c r="W400" s="57"/>
      <c r="X400" s="57"/>
      <c r="Y400" s="57"/>
      <c r="Z400" s="57"/>
    </row>
    <row r="401">
      <c r="A401" s="58">
        <v>9522013.0</v>
      </c>
      <c r="B401" s="57" t="s">
        <v>1105</v>
      </c>
      <c r="C401" s="57" t="s">
        <v>247</v>
      </c>
      <c r="D401" s="58">
        <v>5.65</v>
      </c>
      <c r="E401" s="58">
        <v>2414.94</v>
      </c>
      <c r="F401" s="58">
        <v>4273036.0</v>
      </c>
      <c r="G401" s="57" t="s">
        <v>1112</v>
      </c>
      <c r="H401" s="57" t="s">
        <v>1113</v>
      </c>
      <c r="I401" s="57"/>
      <c r="J401" s="57"/>
      <c r="K401" s="57"/>
      <c r="L401" s="57"/>
      <c r="M401" s="57"/>
      <c r="N401" s="57"/>
      <c r="O401" s="57"/>
      <c r="P401" s="57"/>
      <c r="Q401" s="57"/>
      <c r="R401" s="57"/>
      <c r="S401" s="57"/>
      <c r="T401" s="57"/>
      <c r="U401" s="57"/>
      <c r="V401" s="57"/>
      <c r="W401" s="57"/>
      <c r="X401" s="57"/>
      <c r="Y401" s="57"/>
      <c r="Z401" s="57"/>
    </row>
    <row r="402">
      <c r="A402" s="58">
        <v>9522012.0</v>
      </c>
      <c r="B402" s="57" t="s">
        <v>1105</v>
      </c>
      <c r="C402" s="57" t="s">
        <v>247</v>
      </c>
      <c r="D402" s="58">
        <v>5.07</v>
      </c>
      <c r="E402" s="58">
        <v>2420.01</v>
      </c>
      <c r="F402" s="58">
        <v>4292453.0</v>
      </c>
      <c r="G402" s="57" t="s">
        <v>1114</v>
      </c>
      <c r="H402" s="57" t="s">
        <v>1115</v>
      </c>
      <c r="I402" s="57"/>
      <c r="J402" s="57"/>
      <c r="K402" s="57"/>
      <c r="L402" s="57"/>
      <c r="M402" s="57"/>
      <c r="N402" s="57"/>
      <c r="O402" s="57"/>
      <c r="P402" s="57"/>
      <c r="Q402" s="57"/>
      <c r="R402" s="57"/>
      <c r="S402" s="57"/>
      <c r="T402" s="57"/>
      <c r="U402" s="57"/>
      <c r="V402" s="57"/>
      <c r="W402" s="57"/>
      <c r="X402" s="57"/>
      <c r="Y402" s="57"/>
      <c r="Z402" s="57"/>
    </row>
    <row r="403">
      <c r="A403" s="58">
        <v>9520982.0</v>
      </c>
      <c r="B403" s="57" t="s">
        <v>1116</v>
      </c>
      <c r="C403" s="57" t="s">
        <v>247</v>
      </c>
      <c r="D403" s="58">
        <v>7.7</v>
      </c>
      <c r="E403" s="58">
        <v>2427.71</v>
      </c>
      <c r="F403" s="58">
        <v>4281032.0</v>
      </c>
      <c r="G403" s="58">
        <v>1.86535592E8</v>
      </c>
      <c r="H403" s="57" t="s">
        <v>1117</v>
      </c>
      <c r="I403" s="57"/>
      <c r="J403" s="57"/>
      <c r="K403" s="57"/>
      <c r="L403" s="57"/>
      <c r="M403" s="57"/>
      <c r="N403" s="57"/>
      <c r="O403" s="57"/>
      <c r="P403" s="57"/>
      <c r="Q403" s="57"/>
      <c r="R403" s="57"/>
      <c r="S403" s="57"/>
      <c r="T403" s="57"/>
      <c r="U403" s="57"/>
      <c r="V403" s="57"/>
      <c r="W403" s="57"/>
      <c r="X403" s="57"/>
      <c r="Y403" s="57"/>
      <c r="Z403" s="57"/>
    </row>
    <row r="404">
      <c r="A404" s="58">
        <v>9505790.0</v>
      </c>
      <c r="B404" s="57" t="s">
        <v>1118</v>
      </c>
      <c r="C404" s="57" t="s">
        <v>210</v>
      </c>
      <c r="D404" s="58">
        <v>13.77</v>
      </c>
      <c r="E404" s="58">
        <v>2413.94</v>
      </c>
      <c r="F404" s="58">
        <v>4363928.0</v>
      </c>
      <c r="G404" s="57" t="s">
        <v>1119</v>
      </c>
      <c r="H404" s="57" t="s">
        <v>1120</v>
      </c>
      <c r="I404" s="57"/>
      <c r="J404" s="57"/>
      <c r="K404" s="57"/>
      <c r="L404" s="57"/>
      <c r="M404" s="57"/>
      <c r="N404" s="57"/>
      <c r="O404" s="57"/>
      <c r="P404" s="57"/>
      <c r="Q404" s="57"/>
      <c r="R404" s="57"/>
      <c r="S404" s="57"/>
      <c r="T404" s="57"/>
      <c r="U404" s="57"/>
      <c r="V404" s="57"/>
      <c r="W404" s="57"/>
      <c r="X404" s="57"/>
      <c r="Y404" s="57"/>
      <c r="Z404" s="57"/>
    </row>
    <row r="405">
      <c r="A405" s="58">
        <v>9505777.0</v>
      </c>
      <c r="B405" s="57" t="s">
        <v>1118</v>
      </c>
      <c r="C405" s="57" t="s">
        <v>210</v>
      </c>
      <c r="D405" s="58">
        <v>16.79</v>
      </c>
      <c r="E405" s="58">
        <v>2397.15</v>
      </c>
      <c r="F405" s="58">
        <v>4363809.0</v>
      </c>
      <c r="G405" s="57" t="s">
        <v>1121</v>
      </c>
      <c r="H405" s="57" t="s">
        <v>1122</v>
      </c>
      <c r="I405" s="57"/>
      <c r="J405" s="57"/>
      <c r="K405" s="57"/>
      <c r="L405" s="57"/>
      <c r="M405" s="57"/>
      <c r="N405" s="57"/>
      <c r="O405" s="57"/>
      <c r="P405" s="57"/>
      <c r="Q405" s="57"/>
      <c r="R405" s="57"/>
      <c r="S405" s="57"/>
      <c r="T405" s="57"/>
      <c r="U405" s="57"/>
      <c r="V405" s="57"/>
      <c r="W405" s="57"/>
      <c r="X405" s="57"/>
      <c r="Y405" s="57"/>
      <c r="Z405" s="57"/>
    </row>
    <row r="406">
      <c r="A406" s="58">
        <v>9505627.0</v>
      </c>
      <c r="B406" s="57" t="s">
        <v>1118</v>
      </c>
      <c r="C406" s="57" t="s">
        <v>210</v>
      </c>
      <c r="D406" s="58">
        <v>16.79</v>
      </c>
      <c r="E406" s="58">
        <v>2380.36</v>
      </c>
      <c r="F406" s="58">
        <v>4362954.0</v>
      </c>
      <c r="G406" s="57" t="s">
        <v>1123</v>
      </c>
      <c r="H406" s="57" t="s">
        <v>1124</v>
      </c>
      <c r="I406" s="57"/>
      <c r="J406" s="57"/>
      <c r="K406" s="57"/>
      <c r="L406" s="57"/>
      <c r="M406" s="57"/>
      <c r="N406" s="57"/>
      <c r="O406" s="57"/>
      <c r="P406" s="57"/>
      <c r="Q406" s="57"/>
      <c r="R406" s="57"/>
      <c r="S406" s="57"/>
      <c r="T406" s="57"/>
      <c r="U406" s="57"/>
      <c r="V406" s="57"/>
      <c r="W406" s="57"/>
      <c r="X406" s="57"/>
      <c r="Y406" s="57"/>
      <c r="Z406" s="57"/>
    </row>
    <row r="407">
      <c r="A407" s="58">
        <v>9505624.0</v>
      </c>
      <c r="B407" s="57" t="s">
        <v>1118</v>
      </c>
      <c r="C407" s="57" t="s">
        <v>210</v>
      </c>
      <c r="D407" s="58">
        <v>8.67</v>
      </c>
      <c r="E407" s="58">
        <v>2371.69</v>
      </c>
      <c r="F407" s="58">
        <v>4362938.0</v>
      </c>
      <c r="G407" s="57" t="s">
        <v>1125</v>
      </c>
      <c r="H407" s="57" t="s">
        <v>1126</v>
      </c>
      <c r="I407" s="57"/>
      <c r="J407" s="57"/>
      <c r="K407" s="57"/>
      <c r="L407" s="57"/>
      <c r="M407" s="57"/>
      <c r="N407" s="57"/>
      <c r="O407" s="57"/>
      <c r="P407" s="57"/>
      <c r="Q407" s="57"/>
      <c r="R407" s="57"/>
      <c r="S407" s="57"/>
      <c r="T407" s="57"/>
      <c r="U407" s="57"/>
      <c r="V407" s="57"/>
      <c r="W407" s="57"/>
      <c r="X407" s="57"/>
      <c r="Y407" s="57"/>
      <c r="Z407" s="57"/>
    </row>
    <row r="408">
      <c r="A408" s="58">
        <v>9505489.0</v>
      </c>
      <c r="B408" s="57" t="s">
        <v>1118</v>
      </c>
      <c r="C408" s="57" t="s">
        <v>210</v>
      </c>
      <c r="D408" s="58">
        <v>17.83</v>
      </c>
      <c r="E408" s="58">
        <v>2353.86</v>
      </c>
      <c r="F408" s="58">
        <v>4361987.0</v>
      </c>
      <c r="G408" s="57" t="s">
        <v>1127</v>
      </c>
      <c r="H408" s="57" t="s">
        <v>1128</v>
      </c>
      <c r="I408" s="57"/>
      <c r="J408" s="57"/>
      <c r="K408" s="57"/>
      <c r="L408" s="57"/>
      <c r="M408" s="57"/>
      <c r="N408" s="57"/>
      <c r="O408" s="57"/>
      <c r="P408" s="57"/>
      <c r="Q408" s="57"/>
      <c r="R408" s="57"/>
      <c r="S408" s="57"/>
      <c r="T408" s="57"/>
      <c r="U408" s="57"/>
      <c r="V408" s="57"/>
      <c r="W408" s="57"/>
      <c r="X408" s="57"/>
      <c r="Y408" s="57"/>
      <c r="Z408" s="57"/>
    </row>
    <row r="409">
      <c r="A409" s="58">
        <v>9504732.0</v>
      </c>
      <c r="B409" s="57" t="s">
        <v>1118</v>
      </c>
      <c r="C409" s="57" t="s">
        <v>210</v>
      </c>
      <c r="D409" s="58">
        <v>10.39</v>
      </c>
      <c r="E409" s="58">
        <v>2343.47</v>
      </c>
      <c r="F409" s="58">
        <v>4355512.0</v>
      </c>
      <c r="G409" s="57" t="s">
        <v>1129</v>
      </c>
      <c r="H409" s="57" t="s">
        <v>1130</v>
      </c>
      <c r="I409" s="57"/>
      <c r="J409" s="57"/>
      <c r="K409" s="57"/>
      <c r="L409" s="57"/>
      <c r="M409" s="57"/>
      <c r="N409" s="57"/>
      <c r="O409" s="57"/>
      <c r="P409" s="57"/>
      <c r="Q409" s="57"/>
      <c r="R409" s="57"/>
      <c r="S409" s="57"/>
      <c r="T409" s="57"/>
      <c r="U409" s="57"/>
      <c r="V409" s="57"/>
      <c r="W409" s="57"/>
      <c r="X409" s="57"/>
      <c r="Y409" s="57"/>
      <c r="Z409" s="57"/>
    </row>
    <row r="410">
      <c r="A410" s="58">
        <v>9504199.0</v>
      </c>
      <c r="B410" s="57" t="s">
        <v>1131</v>
      </c>
      <c r="C410" s="57" t="s">
        <v>210</v>
      </c>
      <c r="D410" s="58">
        <v>7.32</v>
      </c>
      <c r="E410" s="58">
        <v>2336.15</v>
      </c>
      <c r="F410" s="58">
        <v>4351036.0</v>
      </c>
      <c r="G410" s="58">
        <v>1.86994368E8</v>
      </c>
      <c r="H410" s="57" t="s">
        <v>1132</v>
      </c>
      <c r="I410" s="57"/>
      <c r="J410" s="57"/>
      <c r="K410" s="57"/>
      <c r="L410" s="57"/>
      <c r="M410" s="57"/>
      <c r="N410" s="57"/>
      <c r="O410" s="57"/>
      <c r="P410" s="57"/>
      <c r="Q410" s="57"/>
      <c r="R410" s="57"/>
      <c r="S410" s="57"/>
      <c r="T410" s="57"/>
      <c r="U410" s="57"/>
      <c r="V410" s="57"/>
      <c r="W410" s="57"/>
      <c r="X410" s="57"/>
      <c r="Y410" s="57"/>
      <c r="Z410" s="57"/>
    </row>
    <row r="411">
      <c r="A411" s="58">
        <v>9504068.0</v>
      </c>
      <c r="B411" s="57" t="s">
        <v>1131</v>
      </c>
      <c r="C411" s="57" t="s">
        <v>210</v>
      </c>
      <c r="D411" s="58">
        <v>11.89</v>
      </c>
      <c r="E411" s="58">
        <v>2324.26</v>
      </c>
      <c r="F411" s="58">
        <v>4349348.0</v>
      </c>
      <c r="G411" s="57" t="s">
        <v>1133</v>
      </c>
      <c r="H411" s="57" t="s">
        <v>1134</v>
      </c>
      <c r="I411" s="57"/>
      <c r="J411" s="57"/>
      <c r="K411" s="57"/>
      <c r="L411" s="57"/>
      <c r="M411" s="57"/>
      <c r="N411" s="57"/>
      <c r="O411" s="57"/>
      <c r="P411" s="57"/>
      <c r="Q411" s="57"/>
      <c r="R411" s="57"/>
      <c r="S411" s="57"/>
      <c r="T411" s="57"/>
      <c r="U411" s="57"/>
      <c r="V411" s="57"/>
      <c r="W411" s="57"/>
      <c r="X411" s="57"/>
      <c r="Y411" s="57"/>
      <c r="Z411" s="57"/>
    </row>
    <row r="412">
      <c r="A412" s="58">
        <v>9503981.0</v>
      </c>
      <c r="B412" s="57" t="s">
        <v>1131</v>
      </c>
      <c r="C412" s="57" t="s">
        <v>210</v>
      </c>
      <c r="D412" s="58">
        <v>14.34</v>
      </c>
      <c r="E412" s="58">
        <v>2309.92</v>
      </c>
      <c r="F412" s="58">
        <v>4348584.0</v>
      </c>
      <c r="G412" s="57" t="s">
        <v>1135</v>
      </c>
      <c r="H412" s="57" t="s">
        <v>1136</v>
      </c>
      <c r="I412" s="57"/>
      <c r="J412" s="57"/>
      <c r="K412" s="57"/>
      <c r="L412" s="57"/>
      <c r="M412" s="57"/>
      <c r="N412" s="57"/>
      <c r="O412" s="57"/>
      <c r="P412" s="57"/>
      <c r="Q412" s="57"/>
      <c r="R412" s="57"/>
      <c r="S412" s="57"/>
      <c r="T412" s="57"/>
      <c r="U412" s="57"/>
      <c r="V412" s="57"/>
      <c r="W412" s="57"/>
      <c r="X412" s="57"/>
      <c r="Y412" s="57"/>
      <c r="Z412" s="57"/>
    </row>
    <row r="413">
      <c r="A413" s="58">
        <v>9503552.0</v>
      </c>
      <c r="B413" s="57" t="s">
        <v>1131</v>
      </c>
      <c r="C413" s="57" t="s">
        <v>210</v>
      </c>
      <c r="D413" s="58">
        <v>15.36</v>
      </c>
      <c r="E413" s="58">
        <v>2294.56</v>
      </c>
      <c r="F413" s="58">
        <v>4343977.0</v>
      </c>
      <c r="G413" s="57" t="s">
        <v>1137</v>
      </c>
      <c r="H413" s="57" t="s">
        <v>1138</v>
      </c>
      <c r="I413" s="57"/>
      <c r="J413" s="57"/>
      <c r="K413" s="57"/>
      <c r="L413" s="57"/>
      <c r="M413" s="57"/>
      <c r="N413" s="57"/>
      <c r="O413" s="57"/>
      <c r="P413" s="57"/>
      <c r="Q413" s="57"/>
      <c r="R413" s="57"/>
      <c r="S413" s="57"/>
      <c r="T413" s="57"/>
      <c r="U413" s="57"/>
      <c r="V413" s="57"/>
      <c r="W413" s="57"/>
      <c r="X413" s="57"/>
      <c r="Y413" s="57"/>
      <c r="Z413" s="57"/>
    </row>
    <row r="414">
      <c r="A414" s="58">
        <v>9503514.0</v>
      </c>
      <c r="B414" s="57" t="s">
        <v>1131</v>
      </c>
      <c r="C414" s="57" t="s">
        <v>210</v>
      </c>
      <c r="D414" s="58">
        <v>13.17</v>
      </c>
      <c r="E414" s="58">
        <v>2281.39</v>
      </c>
      <c r="F414" s="58">
        <v>4343499.0</v>
      </c>
      <c r="G414" s="57" t="s">
        <v>1139</v>
      </c>
      <c r="H414" s="57" t="s">
        <v>1140</v>
      </c>
      <c r="I414" s="57"/>
      <c r="J414" s="57"/>
      <c r="K414" s="57"/>
      <c r="L414" s="57"/>
      <c r="M414" s="57"/>
      <c r="N414" s="57"/>
      <c r="O414" s="57"/>
      <c r="P414" s="57"/>
      <c r="Q414" s="57"/>
      <c r="R414" s="57"/>
      <c r="S414" s="57"/>
      <c r="T414" s="57"/>
      <c r="U414" s="57"/>
      <c r="V414" s="57"/>
      <c r="W414" s="57"/>
      <c r="X414" s="57"/>
      <c r="Y414" s="57"/>
      <c r="Z414" s="57"/>
    </row>
    <row r="415">
      <c r="A415" s="58">
        <v>9503309.0</v>
      </c>
      <c r="B415" s="57" t="s">
        <v>1131</v>
      </c>
      <c r="C415" s="57" t="s">
        <v>210</v>
      </c>
      <c r="D415" s="58">
        <v>10.39</v>
      </c>
      <c r="E415" s="58">
        <v>2271.0</v>
      </c>
      <c r="F415" s="58">
        <v>4341268.0</v>
      </c>
      <c r="G415" s="57" t="s">
        <v>1141</v>
      </c>
      <c r="H415" s="57" t="s">
        <v>1142</v>
      </c>
      <c r="I415" s="57"/>
      <c r="J415" s="57"/>
      <c r="K415" s="57"/>
      <c r="L415" s="57"/>
      <c r="M415" s="57"/>
      <c r="N415" s="57"/>
      <c r="O415" s="57"/>
      <c r="P415" s="57"/>
      <c r="Q415" s="57"/>
      <c r="R415" s="57"/>
      <c r="S415" s="57"/>
      <c r="T415" s="57"/>
      <c r="U415" s="57"/>
      <c r="V415" s="57"/>
      <c r="W415" s="57"/>
      <c r="X415" s="57"/>
      <c r="Y415" s="57"/>
      <c r="Z415" s="57"/>
    </row>
    <row r="416">
      <c r="A416" s="58">
        <v>9503164.0</v>
      </c>
      <c r="B416" s="57" t="s">
        <v>1131</v>
      </c>
      <c r="C416" s="57" t="s">
        <v>210</v>
      </c>
      <c r="D416" s="58">
        <v>16.79</v>
      </c>
      <c r="E416" s="58">
        <v>2254.21</v>
      </c>
      <c r="F416" s="58">
        <v>4339599.0</v>
      </c>
      <c r="G416" s="57" t="s">
        <v>1143</v>
      </c>
      <c r="H416" s="57" t="s">
        <v>1144</v>
      </c>
      <c r="I416" s="57"/>
      <c r="J416" s="57"/>
      <c r="K416" s="57"/>
      <c r="L416" s="57"/>
      <c r="M416" s="57"/>
      <c r="N416" s="57"/>
      <c r="O416" s="57"/>
      <c r="P416" s="57"/>
      <c r="Q416" s="57"/>
      <c r="R416" s="57"/>
      <c r="S416" s="57"/>
      <c r="T416" s="57"/>
      <c r="U416" s="57"/>
      <c r="V416" s="57"/>
      <c r="W416" s="57"/>
      <c r="X416" s="57"/>
      <c r="Y416" s="57"/>
      <c r="Z416" s="57"/>
    </row>
    <row r="417">
      <c r="A417" s="58">
        <v>9503155.0</v>
      </c>
      <c r="B417" s="57" t="s">
        <v>1131</v>
      </c>
      <c r="C417" s="57" t="s">
        <v>210</v>
      </c>
      <c r="D417" s="58">
        <v>11.89</v>
      </c>
      <c r="E417" s="58">
        <v>2242.32</v>
      </c>
      <c r="F417" s="58">
        <v>4339482.0</v>
      </c>
      <c r="G417" s="57" t="s">
        <v>1145</v>
      </c>
      <c r="H417" s="57" t="s">
        <v>1146</v>
      </c>
      <c r="I417" s="57"/>
      <c r="J417" s="57"/>
      <c r="K417" s="57"/>
      <c r="L417" s="57"/>
      <c r="M417" s="57"/>
      <c r="N417" s="57"/>
      <c r="O417" s="57"/>
      <c r="P417" s="57"/>
      <c r="Q417" s="57"/>
      <c r="R417" s="57"/>
      <c r="S417" s="57"/>
      <c r="T417" s="57"/>
      <c r="U417" s="57"/>
      <c r="V417" s="57"/>
      <c r="W417" s="57"/>
      <c r="X417" s="57"/>
      <c r="Y417" s="57"/>
      <c r="Z417" s="57"/>
    </row>
    <row r="418">
      <c r="A418" s="58">
        <v>9503147.0</v>
      </c>
      <c r="B418" s="57" t="s">
        <v>1131</v>
      </c>
      <c r="C418" s="57" t="s">
        <v>210</v>
      </c>
      <c r="D418" s="58">
        <v>14.34</v>
      </c>
      <c r="E418" s="58">
        <v>2227.98</v>
      </c>
      <c r="F418" s="58">
        <v>4339399.0</v>
      </c>
      <c r="G418" s="57" t="s">
        <v>1147</v>
      </c>
      <c r="H418" s="57" t="s">
        <v>1148</v>
      </c>
      <c r="I418" s="57"/>
      <c r="J418" s="57"/>
      <c r="K418" s="57"/>
      <c r="L418" s="57"/>
      <c r="M418" s="57"/>
      <c r="N418" s="57"/>
      <c r="O418" s="57"/>
      <c r="P418" s="57"/>
      <c r="Q418" s="57"/>
      <c r="R418" s="57"/>
      <c r="S418" s="57"/>
      <c r="T418" s="57"/>
      <c r="U418" s="57"/>
      <c r="V418" s="57"/>
      <c r="W418" s="57"/>
      <c r="X418" s="57"/>
      <c r="Y418" s="57"/>
      <c r="Z418" s="57"/>
    </row>
    <row r="419">
      <c r="A419" s="58">
        <v>9503035.0</v>
      </c>
      <c r="B419" s="57" t="s">
        <v>1131</v>
      </c>
      <c r="C419" s="57" t="s">
        <v>210</v>
      </c>
      <c r="D419" s="58">
        <v>11.89</v>
      </c>
      <c r="E419" s="58">
        <v>2216.09</v>
      </c>
      <c r="F419" s="58">
        <v>4338090.0</v>
      </c>
      <c r="G419" s="57" t="s">
        <v>1149</v>
      </c>
      <c r="H419" s="57" t="s">
        <v>1150</v>
      </c>
      <c r="I419" s="57"/>
      <c r="J419" s="57"/>
      <c r="K419" s="57"/>
      <c r="L419" s="57"/>
      <c r="M419" s="57"/>
      <c r="N419" s="57"/>
      <c r="O419" s="57"/>
      <c r="P419" s="57"/>
      <c r="Q419" s="57"/>
      <c r="R419" s="57"/>
      <c r="S419" s="57"/>
      <c r="T419" s="57"/>
      <c r="U419" s="57"/>
      <c r="V419" s="57"/>
      <c r="W419" s="57"/>
      <c r="X419" s="57"/>
      <c r="Y419" s="57"/>
      <c r="Z419" s="57"/>
    </row>
    <row r="420">
      <c r="A420" s="58">
        <v>9502363.0</v>
      </c>
      <c r="B420" s="57" t="s">
        <v>1131</v>
      </c>
      <c r="C420" s="57" t="s">
        <v>210</v>
      </c>
      <c r="D420" s="58">
        <v>16.79</v>
      </c>
      <c r="E420" s="58">
        <v>2199.3</v>
      </c>
      <c r="F420" s="58">
        <v>4327073.0</v>
      </c>
      <c r="G420" s="57" t="s">
        <v>1151</v>
      </c>
      <c r="H420" s="57" t="s">
        <v>1152</v>
      </c>
      <c r="I420" s="57"/>
      <c r="J420" s="57"/>
      <c r="K420" s="57"/>
      <c r="L420" s="57"/>
      <c r="M420" s="57"/>
      <c r="N420" s="57"/>
      <c r="O420" s="57"/>
      <c r="P420" s="57"/>
      <c r="Q420" s="57"/>
      <c r="R420" s="57"/>
      <c r="S420" s="57"/>
      <c r="T420" s="57"/>
      <c r="U420" s="57"/>
      <c r="V420" s="57"/>
      <c r="W420" s="57"/>
      <c r="X420" s="57"/>
      <c r="Y420" s="57"/>
      <c r="Z420" s="57"/>
    </row>
    <row r="421">
      <c r="A421" s="58">
        <v>9502039.0</v>
      </c>
      <c r="B421" s="57" t="s">
        <v>1131</v>
      </c>
      <c r="C421" s="57" t="s">
        <v>210</v>
      </c>
      <c r="D421" s="58">
        <v>14.34</v>
      </c>
      <c r="E421" s="58">
        <v>2184.96</v>
      </c>
      <c r="F421" s="58">
        <v>4316656.0</v>
      </c>
      <c r="G421" s="57" t="s">
        <v>1153</v>
      </c>
      <c r="H421" s="57" t="s">
        <v>1154</v>
      </c>
      <c r="I421" s="57"/>
      <c r="J421" s="57"/>
      <c r="K421" s="57"/>
      <c r="L421" s="57"/>
      <c r="M421" s="57"/>
      <c r="N421" s="57"/>
      <c r="O421" s="57"/>
      <c r="P421" s="57"/>
      <c r="Q421" s="57"/>
      <c r="R421" s="57"/>
      <c r="S421" s="57"/>
      <c r="T421" s="57"/>
      <c r="U421" s="57"/>
      <c r="V421" s="57"/>
      <c r="W421" s="57"/>
      <c r="X421" s="57"/>
      <c r="Y421" s="57"/>
      <c r="Z421" s="57"/>
    </row>
    <row r="422">
      <c r="A422" s="58">
        <v>9501438.0</v>
      </c>
      <c r="B422" s="57" t="s">
        <v>1131</v>
      </c>
      <c r="C422" s="57" t="s">
        <v>210</v>
      </c>
      <c r="D422" s="58">
        <v>12.76</v>
      </c>
      <c r="E422" s="58">
        <v>2172.2</v>
      </c>
      <c r="F422" s="58">
        <v>4283134.0</v>
      </c>
      <c r="G422" s="57" t="s">
        <v>1155</v>
      </c>
      <c r="H422" s="57" t="s">
        <v>1156</v>
      </c>
      <c r="I422" s="57"/>
      <c r="J422" s="57"/>
      <c r="K422" s="57"/>
      <c r="L422" s="57"/>
      <c r="M422" s="57"/>
      <c r="N422" s="57"/>
      <c r="O422" s="57"/>
      <c r="P422" s="57"/>
      <c r="Q422" s="57"/>
      <c r="R422" s="57"/>
      <c r="S422" s="57"/>
      <c r="T422" s="57"/>
      <c r="U422" s="57"/>
      <c r="V422" s="57"/>
      <c r="W422" s="57"/>
      <c r="X422" s="57"/>
      <c r="Y422" s="57"/>
      <c r="Z422" s="57"/>
    </row>
    <row r="423">
      <c r="A423" s="58">
        <v>9501398.0</v>
      </c>
      <c r="B423" s="57" t="s">
        <v>1131</v>
      </c>
      <c r="C423" s="57" t="s">
        <v>210</v>
      </c>
      <c r="D423" s="58">
        <v>16.11</v>
      </c>
      <c r="E423" s="58">
        <v>2156.09</v>
      </c>
      <c r="F423" s="58">
        <v>4273607.0</v>
      </c>
      <c r="G423" s="57" t="s">
        <v>1157</v>
      </c>
      <c r="H423" s="57" t="s">
        <v>1158</v>
      </c>
      <c r="I423" s="57"/>
      <c r="J423" s="57"/>
      <c r="K423" s="57"/>
      <c r="L423" s="57"/>
      <c r="M423" s="57"/>
      <c r="N423" s="57"/>
      <c r="O423" s="57"/>
      <c r="P423" s="57"/>
      <c r="Q423" s="57"/>
      <c r="R423" s="57"/>
      <c r="S423" s="57"/>
      <c r="T423" s="57"/>
      <c r="U423" s="57"/>
      <c r="V423" s="57"/>
      <c r="W423" s="57"/>
      <c r="X423" s="57"/>
      <c r="Y423" s="57"/>
      <c r="Z423" s="57"/>
    </row>
    <row r="424">
      <c r="A424" s="58">
        <v>9501333.0</v>
      </c>
      <c r="B424" s="57" t="s">
        <v>1131</v>
      </c>
      <c r="C424" s="57" t="s">
        <v>210</v>
      </c>
      <c r="D424" s="58">
        <v>11.89</v>
      </c>
      <c r="E424" s="58">
        <v>2144.2</v>
      </c>
      <c r="F424" s="58">
        <v>4264064.0</v>
      </c>
      <c r="G424" s="57" t="s">
        <v>1159</v>
      </c>
      <c r="H424" s="57" t="s">
        <v>1160</v>
      </c>
      <c r="I424" s="57"/>
      <c r="J424" s="57"/>
      <c r="K424" s="57"/>
      <c r="L424" s="57"/>
      <c r="M424" s="57"/>
      <c r="N424" s="57"/>
      <c r="O424" s="57"/>
      <c r="P424" s="57"/>
      <c r="Q424" s="57"/>
      <c r="R424" s="57"/>
      <c r="S424" s="57"/>
      <c r="T424" s="57"/>
      <c r="U424" s="57"/>
      <c r="V424" s="57"/>
      <c r="W424" s="57"/>
      <c r="X424" s="57"/>
      <c r="Y424" s="57"/>
      <c r="Z424" s="57"/>
    </row>
    <row r="425">
      <c r="A425" s="58">
        <v>9499604.0</v>
      </c>
      <c r="B425" s="57" t="s">
        <v>1161</v>
      </c>
      <c r="C425" s="57" t="s">
        <v>247</v>
      </c>
      <c r="D425" s="58">
        <v>5.09</v>
      </c>
      <c r="E425" s="58">
        <v>2149.29</v>
      </c>
      <c r="F425" s="58">
        <v>4263340.0</v>
      </c>
      <c r="G425" s="57" t="s">
        <v>1162</v>
      </c>
      <c r="H425" s="57" t="s">
        <v>1163</v>
      </c>
      <c r="I425" s="57"/>
      <c r="J425" s="57"/>
      <c r="K425" s="57"/>
      <c r="L425" s="57"/>
      <c r="M425" s="57"/>
      <c r="N425" s="57"/>
      <c r="O425" s="57"/>
      <c r="P425" s="57"/>
      <c r="Q425" s="57"/>
      <c r="R425" s="57"/>
      <c r="S425" s="57"/>
      <c r="T425" s="57"/>
      <c r="U425" s="57"/>
      <c r="V425" s="57"/>
      <c r="W425" s="57"/>
      <c r="X425" s="57"/>
      <c r="Y425" s="57"/>
      <c r="Z425" s="57"/>
    </row>
    <row r="426">
      <c r="A426" s="58">
        <v>9499603.0</v>
      </c>
      <c r="B426" s="57" t="s">
        <v>1161</v>
      </c>
      <c r="C426" s="57" t="s">
        <v>247</v>
      </c>
      <c r="D426" s="58">
        <v>3.51</v>
      </c>
      <c r="E426" s="58">
        <v>2152.8</v>
      </c>
      <c r="F426" s="58">
        <v>4266159.0</v>
      </c>
      <c r="G426" s="57" t="s">
        <v>1164</v>
      </c>
      <c r="H426" s="57" t="s">
        <v>1165</v>
      </c>
      <c r="I426" s="57"/>
      <c r="J426" s="57"/>
      <c r="K426" s="57"/>
      <c r="L426" s="57"/>
      <c r="M426" s="57"/>
      <c r="N426" s="57"/>
      <c r="O426" s="57"/>
      <c r="P426" s="57"/>
      <c r="Q426" s="57"/>
      <c r="R426" s="57"/>
      <c r="S426" s="57"/>
      <c r="T426" s="57"/>
      <c r="U426" s="57"/>
      <c r="V426" s="57"/>
      <c r="W426" s="57"/>
      <c r="X426" s="57"/>
      <c r="Y426" s="57"/>
      <c r="Z426" s="57"/>
    </row>
    <row r="427">
      <c r="A427" s="58">
        <v>9499602.0</v>
      </c>
      <c r="B427" s="57" t="s">
        <v>1161</v>
      </c>
      <c r="C427" s="57" t="s">
        <v>247</v>
      </c>
      <c r="D427" s="58">
        <v>5.12</v>
      </c>
      <c r="E427" s="58">
        <v>2157.92</v>
      </c>
      <c r="F427" s="58">
        <v>4268391.0</v>
      </c>
      <c r="G427" s="57" t="s">
        <v>1166</v>
      </c>
      <c r="H427" s="57" t="s">
        <v>1167</v>
      </c>
      <c r="I427" s="57"/>
      <c r="J427" s="57"/>
      <c r="K427" s="57"/>
      <c r="L427" s="57"/>
      <c r="M427" s="57"/>
      <c r="N427" s="57"/>
      <c r="O427" s="57"/>
      <c r="P427" s="57"/>
      <c r="Q427" s="57"/>
      <c r="R427" s="57"/>
      <c r="S427" s="57"/>
      <c r="T427" s="57"/>
      <c r="U427" s="57"/>
      <c r="V427" s="57"/>
      <c r="W427" s="57"/>
      <c r="X427" s="57"/>
      <c r="Y427" s="57"/>
      <c r="Z427" s="57"/>
    </row>
    <row r="428">
      <c r="A428" s="58">
        <v>9499578.0</v>
      </c>
      <c r="B428" s="57" t="s">
        <v>1161</v>
      </c>
      <c r="C428" s="57" t="s">
        <v>247</v>
      </c>
      <c r="D428" s="58">
        <v>5.13</v>
      </c>
      <c r="E428" s="58">
        <v>2163.05</v>
      </c>
      <c r="F428" s="58">
        <v>4293210.0</v>
      </c>
      <c r="G428" s="57" t="s">
        <v>1168</v>
      </c>
      <c r="H428" s="57" t="s">
        <v>1169</v>
      </c>
      <c r="I428" s="57"/>
      <c r="J428" s="57"/>
      <c r="K428" s="57"/>
      <c r="L428" s="57"/>
      <c r="M428" s="57"/>
      <c r="N428" s="57"/>
      <c r="O428" s="57"/>
      <c r="P428" s="57"/>
      <c r="Q428" s="57"/>
      <c r="R428" s="57"/>
      <c r="S428" s="57"/>
      <c r="T428" s="57"/>
      <c r="U428" s="57"/>
      <c r="V428" s="57"/>
      <c r="W428" s="57"/>
      <c r="X428" s="57"/>
      <c r="Y428" s="57"/>
      <c r="Z428" s="57"/>
    </row>
    <row r="429">
      <c r="A429" s="58">
        <v>9498924.0</v>
      </c>
      <c r="B429" s="57" t="s">
        <v>1170</v>
      </c>
      <c r="C429" s="57" t="s">
        <v>247</v>
      </c>
      <c r="D429" s="58">
        <v>3.48</v>
      </c>
      <c r="E429" s="58">
        <v>2166.53</v>
      </c>
      <c r="F429" s="58">
        <v>4260626.0</v>
      </c>
      <c r="G429" s="57" t="s">
        <v>1171</v>
      </c>
      <c r="H429" s="57" t="s">
        <v>1172</v>
      </c>
      <c r="I429" s="57"/>
      <c r="J429" s="57"/>
      <c r="K429" s="57"/>
      <c r="L429" s="57"/>
      <c r="M429" s="57"/>
      <c r="N429" s="57"/>
      <c r="O429" s="57"/>
      <c r="P429" s="57"/>
      <c r="Q429" s="57"/>
      <c r="R429" s="57"/>
      <c r="S429" s="57"/>
      <c r="T429" s="57"/>
      <c r="U429" s="57"/>
      <c r="V429" s="57"/>
      <c r="W429" s="57"/>
      <c r="X429" s="57"/>
      <c r="Y429" s="57"/>
      <c r="Z429" s="57"/>
    </row>
    <row r="430">
      <c r="A430" s="58">
        <v>9476599.0</v>
      </c>
      <c r="B430" s="57" t="s">
        <v>1173</v>
      </c>
      <c r="C430" s="57" t="s">
        <v>210</v>
      </c>
      <c r="D430" s="58">
        <v>7.33</v>
      </c>
      <c r="E430" s="58">
        <v>2159.2</v>
      </c>
      <c r="F430" s="58">
        <v>4371109.0</v>
      </c>
      <c r="G430" s="58">
        <v>1.86994286E8</v>
      </c>
      <c r="H430" s="57" t="s">
        <v>1174</v>
      </c>
      <c r="I430" s="57"/>
      <c r="J430" s="57"/>
      <c r="K430" s="57"/>
      <c r="L430" s="57"/>
      <c r="M430" s="57"/>
      <c r="N430" s="57"/>
      <c r="O430" s="57"/>
      <c r="P430" s="57"/>
      <c r="Q430" s="57"/>
      <c r="R430" s="57"/>
      <c r="S430" s="57"/>
      <c r="T430" s="57"/>
      <c r="U430" s="57"/>
      <c r="V430" s="57"/>
      <c r="W430" s="57"/>
      <c r="X430" s="57"/>
      <c r="Y430" s="57"/>
      <c r="Z430" s="57"/>
    </row>
    <row r="431">
      <c r="A431" s="58">
        <v>9476234.0</v>
      </c>
      <c r="B431" s="57" t="s">
        <v>1173</v>
      </c>
      <c r="C431" s="57" t="s">
        <v>210</v>
      </c>
      <c r="D431" s="58">
        <v>9.24</v>
      </c>
      <c r="E431" s="58">
        <v>2149.96</v>
      </c>
      <c r="F431" s="58">
        <v>4370326.0</v>
      </c>
      <c r="G431" s="57" t="s">
        <v>1175</v>
      </c>
      <c r="H431" s="57" t="s">
        <v>1176</v>
      </c>
      <c r="I431" s="57"/>
      <c r="J431" s="57"/>
      <c r="K431" s="57"/>
      <c r="L431" s="57"/>
      <c r="M431" s="57"/>
      <c r="N431" s="57"/>
      <c r="O431" s="57"/>
      <c r="P431" s="57"/>
      <c r="Q431" s="57"/>
      <c r="R431" s="57"/>
      <c r="S431" s="57"/>
      <c r="T431" s="57"/>
      <c r="U431" s="57"/>
      <c r="V431" s="57"/>
      <c r="W431" s="57"/>
      <c r="X431" s="57"/>
      <c r="Y431" s="57"/>
      <c r="Z431" s="57"/>
    </row>
    <row r="432">
      <c r="A432" s="58">
        <v>9475769.0</v>
      </c>
      <c r="B432" s="57" t="s">
        <v>1173</v>
      </c>
      <c r="C432" s="57" t="s">
        <v>210</v>
      </c>
      <c r="D432" s="58">
        <v>11.83</v>
      </c>
      <c r="E432" s="58">
        <v>2138.13</v>
      </c>
      <c r="F432" s="58">
        <v>4369387.0</v>
      </c>
      <c r="G432" s="58">
        <v>1.86992023E8</v>
      </c>
      <c r="H432" s="57" t="s">
        <v>1177</v>
      </c>
      <c r="I432" s="57"/>
      <c r="J432" s="57"/>
      <c r="K432" s="57"/>
      <c r="L432" s="57"/>
      <c r="M432" s="57"/>
      <c r="N432" s="57"/>
      <c r="O432" s="57"/>
      <c r="P432" s="57"/>
      <c r="Q432" s="57"/>
      <c r="R432" s="57"/>
      <c r="S432" s="57"/>
      <c r="T432" s="57"/>
      <c r="U432" s="57"/>
      <c r="V432" s="57"/>
      <c r="W432" s="57"/>
      <c r="X432" s="57"/>
      <c r="Y432" s="57"/>
      <c r="Z432" s="57"/>
    </row>
    <row r="433">
      <c r="A433" s="58">
        <v>9474765.0</v>
      </c>
      <c r="B433" s="57" t="s">
        <v>1178</v>
      </c>
      <c r="C433" s="57" t="s">
        <v>210</v>
      </c>
      <c r="D433" s="58">
        <v>9.1</v>
      </c>
      <c r="E433" s="58">
        <v>2129.03</v>
      </c>
      <c r="F433" s="58">
        <v>4367065.0</v>
      </c>
      <c r="G433" s="58">
        <v>1.86991734E8</v>
      </c>
      <c r="H433" s="57" t="s">
        <v>1179</v>
      </c>
      <c r="I433" s="57"/>
      <c r="J433" s="57"/>
      <c r="K433" s="57"/>
      <c r="L433" s="57"/>
      <c r="M433" s="57"/>
      <c r="N433" s="57"/>
      <c r="O433" s="57"/>
      <c r="P433" s="57"/>
      <c r="Q433" s="57"/>
      <c r="R433" s="57"/>
      <c r="S433" s="57"/>
      <c r="T433" s="57"/>
      <c r="U433" s="57"/>
      <c r="V433" s="57"/>
      <c r="W433" s="57"/>
      <c r="X433" s="57"/>
      <c r="Y433" s="57"/>
      <c r="Z433" s="57"/>
    </row>
    <row r="434">
      <c r="A434" s="58">
        <v>9473596.0</v>
      </c>
      <c r="B434" s="57" t="s">
        <v>1178</v>
      </c>
      <c r="C434" s="57" t="s">
        <v>210</v>
      </c>
      <c r="D434" s="58">
        <v>11.92</v>
      </c>
      <c r="E434" s="58">
        <v>2117.11</v>
      </c>
      <c r="F434" s="58">
        <v>4364428.0</v>
      </c>
      <c r="G434" s="57" t="s">
        <v>1180</v>
      </c>
      <c r="H434" s="57" t="s">
        <v>1181</v>
      </c>
      <c r="I434" s="57"/>
      <c r="J434" s="57"/>
      <c r="K434" s="57"/>
      <c r="L434" s="57"/>
      <c r="M434" s="57"/>
      <c r="N434" s="57"/>
      <c r="O434" s="57"/>
      <c r="P434" s="57"/>
      <c r="Q434" s="57"/>
      <c r="R434" s="57"/>
      <c r="S434" s="57"/>
      <c r="T434" s="57"/>
      <c r="U434" s="57"/>
      <c r="V434" s="57"/>
      <c r="W434" s="57"/>
      <c r="X434" s="57"/>
      <c r="Y434" s="57"/>
      <c r="Z434" s="57"/>
    </row>
    <row r="435">
      <c r="A435" s="58">
        <v>9473246.0</v>
      </c>
      <c r="B435" s="57" t="s">
        <v>1178</v>
      </c>
      <c r="C435" s="57" t="s">
        <v>210</v>
      </c>
      <c r="D435" s="58">
        <v>16.79</v>
      </c>
      <c r="E435" s="58">
        <v>2100.32</v>
      </c>
      <c r="F435" s="58">
        <v>4363548.0</v>
      </c>
      <c r="G435" s="57" t="s">
        <v>1182</v>
      </c>
      <c r="H435" s="57" t="s">
        <v>1183</v>
      </c>
      <c r="I435" s="57"/>
      <c r="J435" s="57"/>
      <c r="K435" s="57"/>
      <c r="L435" s="57"/>
      <c r="M435" s="57"/>
      <c r="N435" s="57"/>
      <c r="O435" s="57"/>
      <c r="P435" s="57"/>
      <c r="Q435" s="57"/>
      <c r="R435" s="57"/>
      <c r="S435" s="57"/>
      <c r="T435" s="57"/>
      <c r="U435" s="57"/>
      <c r="V435" s="57"/>
      <c r="W435" s="57"/>
      <c r="X435" s="57"/>
      <c r="Y435" s="57"/>
      <c r="Z435" s="57"/>
    </row>
    <row r="436">
      <c r="A436" s="58">
        <v>9472080.0</v>
      </c>
      <c r="B436" s="57" t="s">
        <v>1178</v>
      </c>
      <c r="C436" s="57" t="s">
        <v>210</v>
      </c>
      <c r="D436" s="58">
        <v>14.34</v>
      </c>
      <c r="E436" s="58">
        <v>2085.98</v>
      </c>
      <c r="F436" s="58">
        <v>4360777.0</v>
      </c>
      <c r="G436" s="57" t="s">
        <v>1184</v>
      </c>
      <c r="H436" s="57" t="s">
        <v>1185</v>
      </c>
      <c r="I436" s="57"/>
      <c r="J436" s="57"/>
      <c r="K436" s="57"/>
      <c r="L436" s="57"/>
      <c r="M436" s="57"/>
      <c r="N436" s="57"/>
      <c r="O436" s="57"/>
      <c r="P436" s="57"/>
      <c r="Q436" s="57"/>
      <c r="R436" s="57"/>
      <c r="S436" s="57"/>
      <c r="T436" s="57"/>
      <c r="U436" s="57"/>
      <c r="V436" s="57"/>
      <c r="W436" s="57"/>
      <c r="X436" s="57"/>
      <c r="Y436" s="57"/>
      <c r="Z436" s="57"/>
    </row>
    <row r="437">
      <c r="A437" s="58">
        <v>9471547.0</v>
      </c>
      <c r="B437" s="57" t="s">
        <v>1178</v>
      </c>
      <c r="C437" s="57" t="s">
        <v>210</v>
      </c>
      <c r="D437" s="58">
        <v>11.89</v>
      </c>
      <c r="E437" s="58">
        <v>2074.09</v>
      </c>
      <c r="F437" s="58">
        <v>4359526.0</v>
      </c>
      <c r="G437" s="57" t="s">
        <v>1186</v>
      </c>
      <c r="H437" s="57" t="s">
        <v>1187</v>
      </c>
      <c r="I437" s="57"/>
      <c r="J437" s="57"/>
      <c r="K437" s="57"/>
      <c r="L437" s="57"/>
      <c r="M437" s="57"/>
      <c r="N437" s="57"/>
      <c r="O437" s="57"/>
      <c r="P437" s="57"/>
      <c r="Q437" s="57"/>
      <c r="R437" s="57"/>
      <c r="S437" s="57"/>
      <c r="T437" s="57"/>
      <c r="U437" s="57"/>
      <c r="V437" s="57"/>
      <c r="W437" s="57"/>
      <c r="X437" s="57"/>
      <c r="Y437" s="57"/>
      <c r="Z437" s="57"/>
    </row>
    <row r="438">
      <c r="A438" s="58">
        <v>9471162.0</v>
      </c>
      <c r="B438" s="57" t="s">
        <v>1178</v>
      </c>
      <c r="C438" s="57" t="s">
        <v>210</v>
      </c>
      <c r="D438" s="58">
        <v>9.24</v>
      </c>
      <c r="E438" s="58">
        <v>2064.85</v>
      </c>
      <c r="F438" s="58">
        <v>4358278.0</v>
      </c>
      <c r="G438" s="57" t="s">
        <v>1188</v>
      </c>
      <c r="H438" s="57" t="s">
        <v>1189</v>
      </c>
      <c r="I438" s="57"/>
      <c r="J438" s="57"/>
      <c r="K438" s="57"/>
      <c r="L438" s="57"/>
      <c r="M438" s="57"/>
      <c r="N438" s="57"/>
      <c r="O438" s="57"/>
      <c r="P438" s="57"/>
      <c r="Q438" s="57"/>
      <c r="R438" s="57"/>
      <c r="S438" s="57"/>
      <c r="T438" s="57"/>
      <c r="U438" s="57"/>
      <c r="V438" s="57"/>
      <c r="W438" s="57"/>
      <c r="X438" s="57"/>
      <c r="Y438" s="57"/>
      <c r="Z438" s="57"/>
    </row>
    <row r="439">
      <c r="A439" s="58">
        <v>9471112.0</v>
      </c>
      <c r="B439" s="57" t="s">
        <v>1178</v>
      </c>
      <c r="C439" s="57" t="s">
        <v>210</v>
      </c>
      <c r="D439" s="58">
        <v>10.96</v>
      </c>
      <c r="E439" s="58">
        <v>2053.89</v>
      </c>
      <c r="F439" s="58">
        <v>4358161.0</v>
      </c>
      <c r="G439" s="57" t="s">
        <v>1190</v>
      </c>
      <c r="H439" s="57" t="s">
        <v>1191</v>
      </c>
      <c r="I439" s="57"/>
      <c r="J439" s="57"/>
      <c r="K439" s="57"/>
      <c r="L439" s="57"/>
      <c r="M439" s="57"/>
      <c r="N439" s="57"/>
      <c r="O439" s="57"/>
      <c r="P439" s="57"/>
      <c r="Q439" s="57"/>
      <c r="R439" s="57"/>
      <c r="S439" s="57"/>
      <c r="T439" s="57"/>
      <c r="U439" s="57"/>
      <c r="V439" s="57"/>
      <c r="W439" s="57"/>
      <c r="X439" s="57"/>
      <c r="Y439" s="57"/>
      <c r="Z439" s="57"/>
    </row>
    <row r="440">
      <c r="A440" s="58">
        <v>9471045.0</v>
      </c>
      <c r="B440" s="57" t="s">
        <v>1178</v>
      </c>
      <c r="C440" s="57" t="s">
        <v>210</v>
      </c>
      <c r="D440" s="58">
        <v>9.24</v>
      </c>
      <c r="E440" s="58">
        <v>2044.65</v>
      </c>
      <c r="F440" s="58">
        <v>4357920.0</v>
      </c>
      <c r="G440" s="57" t="s">
        <v>1192</v>
      </c>
      <c r="H440" s="57" t="s">
        <v>1193</v>
      </c>
      <c r="I440" s="57"/>
      <c r="J440" s="57"/>
      <c r="K440" s="57"/>
      <c r="L440" s="57"/>
      <c r="M440" s="57"/>
      <c r="N440" s="57"/>
      <c r="O440" s="57"/>
      <c r="P440" s="57"/>
      <c r="Q440" s="57"/>
      <c r="R440" s="57"/>
      <c r="S440" s="57"/>
      <c r="T440" s="57"/>
      <c r="U440" s="57"/>
      <c r="V440" s="57"/>
      <c r="W440" s="57"/>
      <c r="X440" s="57"/>
      <c r="Y440" s="57"/>
      <c r="Z440" s="57"/>
    </row>
    <row r="441">
      <c r="A441" s="58">
        <v>9470951.0</v>
      </c>
      <c r="B441" s="57" t="s">
        <v>1194</v>
      </c>
      <c r="C441" s="57" t="s">
        <v>210</v>
      </c>
      <c r="D441" s="58">
        <v>13.5</v>
      </c>
      <c r="E441" s="58">
        <v>2031.15</v>
      </c>
      <c r="F441" s="58">
        <v>4357562.0</v>
      </c>
      <c r="G441" s="57" t="s">
        <v>1195</v>
      </c>
      <c r="H441" s="57" t="s">
        <v>1196</v>
      </c>
      <c r="I441" s="57"/>
      <c r="J441" s="57"/>
      <c r="K441" s="57"/>
      <c r="L441" s="57"/>
      <c r="M441" s="57"/>
      <c r="N441" s="57"/>
      <c r="O441" s="57"/>
      <c r="P441" s="57"/>
      <c r="Q441" s="57"/>
      <c r="R441" s="57"/>
      <c r="S441" s="57"/>
      <c r="T441" s="57"/>
      <c r="U441" s="57"/>
      <c r="V441" s="57"/>
      <c r="W441" s="57"/>
      <c r="X441" s="57"/>
      <c r="Y441" s="57"/>
      <c r="Z441" s="57"/>
    </row>
    <row r="442">
      <c r="A442" s="58">
        <v>9470766.0</v>
      </c>
      <c r="B442" s="57" t="s">
        <v>1194</v>
      </c>
      <c r="C442" s="57" t="s">
        <v>210</v>
      </c>
      <c r="D442" s="58">
        <v>18.4</v>
      </c>
      <c r="E442" s="58">
        <v>2012.75</v>
      </c>
      <c r="F442" s="58">
        <v>4357086.0</v>
      </c>
      <c r="G442" s="57" t="s">
        <v>1197</v>
      </c>
      <c r="H442" s="57" t="s">
        <v>1198</v>
      </c>
      <c r="I442" s="57"/>
      <c r="J442" s="57"/>
      <c r="K442" s="57"/>
      <c r="L442" s="57"/>
      <c r="M442" s="57"/>
      <c r="N442" s="57"/>
      <c r="O442" s="57"/>
      <c r="P442" s="57"/>
      <c r="Q442" s="57"/>
      <c r="R442" s="57"/>
      <c r="S442" s="57"/>
      <c r="T442" s="57"/>
      <c r="U442" s="57"/>
      <c r="V442" s="57"/>
      <c r="W442" s="57"/>
      <c r="X442" s="57"/>
      <c r="Y442" s="57"/>
      <c r="Z442" s="57"/>
    </row>
    <row r="443">
      <c r="A443" s="58">
        <v>9470487.0</v>
      </c>
      <c r="B443" s="57" t="s">
        <v>1194</v>
      </c>
      <c r="C443" s="57" t="s">
        <v>210</v>
      </c>
      <c r="D443" s="58">
        <v>14.34</v>
      </c>
      <c r="E443" s="58">
        <v>1998.41</v>
      </c>
      <c r="F443" s="58">
        <v>4356183.0</v>
      </c>
      <c r="G443" s="57" t="s">
        <v>1199</v>
      </c>
      <c r="H443" s="57" t="s">
        <v>1200</v>
      </c>
      <c r="I443" s="57"/>
      <c r="J443" s="57"/>
      <c r="K443" s="57"/>
      <c r="L443" s="57"/>
      <c r="M443" s="57"/>
      <c r="N443" s="57"/>
      <c r="O443" s="57"/>
      <c r="P443" s="57"/>
      <c r="Q443" s="57"/>
      <c r="R443" s="57"/>
      <c r="S443" s="57"/>
      <c r="T443" s="57"/>
      <c r="U443" s="57"/>
      <c r="V443" s="57"/>
      <c r="W443" s="57"/>
      <c r="X443" s="57"/>
      <c r="Y443" s="57"/>
      <c r="Z443" s="57"/>
    </row>
    <row r="444">
      <c r="A444" s="58">
        <v>9470428.0</v>
      </c>
      <c r="B444" s="57" t="s">
        <v>1194</v>
      </c>
      <c r="C444" s="57" t="s">
        <v>210</v>
      </c>
      <c r="D444" s="58">
        <v>11.89</v>
      </c>
      <c r="E444" s="58">
        <v>1986.52</v>
      </c>
      <c r="F444" s="58">
        <v>4356007.0</v>
      </c>
      <c r="G444" s="57" t="s">
        <v>1201</v>
      </c>
      <c r="H444" s="57" t="s">
        <v>1202</v>
      </c>
      <c r="I444" s="57"/>
      <c r="J444" s="57"/>
      <c r="K444" s="57"/>
      <c r="L444" s="57"/>
      <c r="M444" s="57"/>
      <c r="N444" s="57"/>
      <c r="O444" s="57"/>
      <c r="P444" s="57"/>
      <c r="Q444" s="57"/>
      <c r="R444" s="57"/>
      <c r="S444" s="57"/>
      <c r="T444" s="57"/>
      <c r="U444" s="57"/>
      <c r="V444" s="57"/>
      <c r="W444" s="57"/>
      <c r="X444" s="57"/>
      <c r="Y444" s="57"/>
      <c r="Z444" s="57"/>
    </row>
    <row r="445">
      <c r="A445" s="58">
        <v>9469446.0</v>
      </c>
      <c r="B445" s="57" t="s">
        <v>1194</v>
      </c>
      <c r="C445" s="57" t="s">
        <v>210</v>
      </c>
      <c r="D445" s="58">
        <v>10.96</v>
      </c>
      <c r="E445" s="58">
        <v>1975.56</v>
      </c>
      <c r="F445" s="58">
        <v>4353035.0</v>
      </c>
      <c r="G445" s="57" t="s">
        <v>1203</v>
      </c>
      <c r="H445" s="57" t="s">
        <v>1204</v>
      </c>
      <c r="I445" s="57"/>
      <c r="J445" s="57"/>
      <c r="K445" s="57"/>
      <c r="L445" s="57"/>
      <c r="M445" s="57"/>
      <c r="N445" s="57"/>
      <c r="O445" s="57"/>
      <c r="P445" s="57"/>
      <c r="Q445" s="57"/>
      <c r="R445" s="57"/>
      <c r="S445" s="57"/>
      <c r="T445" s="57"/>
      <c r="U445" s="57"/>
      <c r="V445" s="57"/>
      <c r="W445" s="57"/>
      <c r="X445" s="57"/>
      <c r="Y445" s="57"/>
      <c r="Z445" s="57"/>
    </row>
    <row r="446">
      <c r="A446" s="58">
        <v>9469324.0</v>
      </c>
      <c r="B446" s="57" t="s">
        <v>1194</v>
      </c>
      <c r="C446" s="57" t="s">
        <v>210</v>
      </c>
      <c r="D446" s="58">
        <v>12.6</v>
      </c>
      <c r="E446" s="58">
        <v>1962.96</v>
      </c>
      <c r="F446" s="58">
        <v>4352673.0</v>
      </c>
      <c r="G446" s="57" t="s">
        <v>1205</v>
      </c>
      <c r="H446" s="57" t="s">
        <v>1206</v>
      </c>
      <c r="I446" s="57"/>
      <c r="J446" s="57"/>
      <c r="K446" s="57"/>
      <c r="L446" s="57"/>
      <c r="M446" s="57"/>
      <c r="N446" s="57"/>
      <c r="O446" s="57"/>
      <c r="P446" s="57"/>
      <c r="Q446" s="57"/>
      <c r="R446" s="57"/>
      <c r="S446" s="57"/>
      <c r="T446" s="57"/>
      <c r="U446" s="57"/>
      <c r="V446" s="57"/>
      <c r="W446" s="57"/>
      <c r="X446" s="57"/>
      <c r="Y446" s="57"/>
      <c r="Z446" s="57"/>
    </row>
    <row r="447">
      <c r="A447" s="58">
        <v>9469039.0</v>
      </c>
      <c r="B447" s="57" t="s">
        <v>1194</v>
      </c>
      <c r="C447" s="57" t="s">
        <v>210</v>
      </c>
      <c r="D447" s="58">
        <v>16.79</v>
      </c>
      <c r="E447" s="58">
        <v>1946.17</v>
      </c>
      <c r="F447" s="58">
        <v>4351699.0</v>
      </c>
      <c r="G447" s="57" t="s">
        <v>1207</v>
      </c>
      <c r="H447" s="57" t="s">
        <v>1208</v>
      </c>
      <c r="I447" s="57"/>
      <c r="J447" s="57"/>
      <c r="K447" s="57"/>
      <c r="L447" s="57"/>
      <c r="M447" s="57"/>
      <c r="N447" s="57"/>
      <c r="O447" s="57"/>
      <c r="P447" s="57"/>
      <c r="Q447" s="57"/>
      <c r="R447" s="57"/>
      <c r="S447" s="57"/>
      <c r="T447" s="57"/>
      <c r="U447" s="57"/>
      <c r="V447" s="57"/>
      <c r="W447" s="57"/>
      <c r="X447" s="57"/>
      <c r="Y447" s="57"/>
      <c r="Z447" s="57"/>
    </row>
    <row r="448">
      <c r="A448" s="58">
        <v>9468881.0</v>
      </c>
      <c r="B448" s="57" t="s">
        <v>1194</v>
      </c>
      <c r="C448" s="57" t="s">
        <v>210</v>
      </c>
      <c r="D448" s="58">
        <v>8.67</v>
      </c>
      <c r="E448" s="58">
        <v>1937.5</v>
      </c>
      <c r="F448" s="58">
        <v>4351154.0</v>
      </c>
      <c r="G448" s="57" t="s">
        <v>1209</v>
      </c>
      <c r="H448" s="57" t="s">
        <v>1210</v>
      </c>
      <c r="I448" s="57"/>
      <c r="J448" s="57"/>
      <c r="K448" s="57"/>
      <c r="L448" s="57"/>
      <c r="M448" s="57"/>
      <c r="N448" s="57"/>
      <c r="O448" s="57"/>
      <c r="P448" s="57"/>
      <c r="Q448" s="57"/>
      <c r="R448" s="57"/>
      <c r="S448" s="57"/>
      <c r="T448" s="57"/>
      <c r="U448" s="57"/>
      <c r="V448" s="57"/>
      <c r="W448" s="57"/>
      <c r="X448" s="57"/>
      <c r="Y448" s="57"/>
      <c r="Z448" s="57"/>
    </row>
    <row r="449">
      <c r="A449" s="58">
        <v>9468613.0</v>
      </c>
      <c r="B449" s="57" t="s">
        <v>1194</v>
      </c>
      <c r="C449" s="57" t="s">
        <v>210</v>
      </c>
      <c r="D449" s="58">
        <v>11.89</v>
      </c>
      <c r="E449" s="58">
        <v>1925.61</v>
      </c>
      <c r="F449" s="58">
        <v>4350341.0</v>
      </c>
      <c r="G449" s="57" t="s">
        <v>1211</v>
      </c>
      <c r="H449" s="57" t="s">
        <v>1212</v>
      </c>
      <c r="I449" s="57"/>
      <c r="J449" s="57"/>
      <c r="K449" s="57"/>
      <c r="L449" s="57"/>
      <c r="M449" s="57"/>
      <c r="N449" s="57"/>
      <c r="O449" s="57"/>
      <c r="P449" s="57"/>
      <c r="Q449" s="57"/>
      <c r="R449" s="57"/>
      <c r="S449" s="57"/>
      <c r="T449" s="57"/>
      <c r="U449" s="57"/>
      <c r="V449" s="57"/>
      <c r="W449" s="57"/>
      <c r="X449" s="57"/>
      <c r="Y449" s="57"/>
      <c r="Z449" s="57"/>
    </row>
    <row r="450">
      <c r="A450" s="58">
        <v>9468456.0</v>
      </c>
      <c r="B450" s="57" t="s">
        <v>1194</v>
      </c>
      <c r="C450" s="57" t="s">
        <v>210</v>
      </c>
      <c r="D450" s="58">
        <v>14.34</v>
      </c>
      <c r="E450" s="58">
        <v>1911.27</v>
      </c>
      <c r="F450" s="58">
        <v>4349853.0</v>
      </c>
      <c r="G450" s="57" t="s">
        <v>1213</v>
      </c>
      <c r="H450" s="57" t="s">
        <v>1214</v>
      </c>
      <c r="I450" s="57"/>
      <c r="J450" s="57"/>
      <c r="K450" s="57"/>
      <c r="L450" s="57"/>
      <c r="M450" s="57"/>
      <c r="N450" s="57"/>
      <c r="O450" s="57"/>
      <c r="P450" s="57"/>
      <c r="Q450" s="57"/>
      <c r="R450" s="57"/>
      <c r="S450" s="57"/>
      <c r="T450" s="57"/>
      <c r="U450" s="57"/>
      <c r="V450" s="57"/>
      <c r="W450" s="57"/>
      <c r="X450" s="57"/>
      <c r="Y450" s="57"/>
      <c r="Z450" s="57"/>
    </row>
    <row r="451">
      <c r="A451" s="58">
        <v>9468378.0</v>
      </c>
      <c r="B451" s="57" t="s">
        <v>1194</v>
      </c>
      <c r="C451" s="57" t="s">
        <v>210</v>
      </c>
      <c r="D451" s="58">
        <v>14.34</v>
      </c>
      <c r="E451" s="58">
        <v>1896.93</v>
      </c>
      <c r="F451" s="58">
        <v>4349604.0</v>
      </c>
      <c r="G451" s="57" t="s">
        <v>1215</v>
      </c>
      <c r="H451" s="57" t="s">
        <v>1216</v>
      </c>
      <c r="I451" s="57"/>
      <c r="J451" s="57"/>
      <c r="K451" s="57"/>
      <c r="L451" s="57"/>
      <c r="M451" s="57"/>
      <c r="N451" s="57"/>
      <c r="O451" s="57"/>
      <c r="P451" s="57"/>
      <c r="Q451" s="57"/>
      <c r="R451" s="57"/>
      <c r="S451" s="57"/>
      <c r="T451" s="57"/>
      <c r="U451" s="57"/>
      <c r="V451" s="57"/>
      <c r="W451" s="57"/>
      <c r="X451" s="57"/>
      <c r="Y451" s="57"/>
      <c r="Z451" s="57"/>
    </row>
    <row r="452">
      <c r="A452" s="58">
        <v>9468319.0</v>
      </c>
      <c r="B452" s="57" t="s">
        <v>1194</v>
      </c>
      <c r="C452" s="57" t="s">
        <v>210</v>
      </c>
      <c r="D452" s="58">
        <v>14.79</v>
      </c>
      <c r="E452" s="58">
        <v>1882.14</v>
      </c>
      <c r="F452" s="58">
        <v>4349452.0</v>
      </c>
      <c r="G452" s="57" t="s">
        <v>1217</v>
      </c>
      <c r="H452" s="57" t="s">
        <v>1218</v>
      </c>
      <c r="I452" s="57"/>
      <c r="J452" s="57"/>
      <c r="K452" s="57"/>
      <c r="L452" s="57"/>
      <c r="M452" s="57"/>
      <c r="N452" s="57"/>
      <c r="O452" s="57"/>
      <c r="P452" s="57"/>
      <c r="Q452" s="57"/>
      <c r="R452" s="57"/>
      <c r="S452" s="57"/>
      <c r="T452" s="57"/>
      <c r="U452" s="57"/>
      <c r="V452" s="57"/>
      <c r="W452" s="57"/>
      <c r="X452" s="57"/>
      <c r="Y452" s="57"/>
      <c r="Z452" s="57"/>
    </row>
    <row r="453">
      <c r="A453" s="58">
        <v>9468131.0</v>
      </c>
      <c r="B453" s="57" t="s">
        <v>1194</v>
      </c>
      <c r="C453" s="57" t="s">
        <v>210</v>
      </c>
      <c r="D453" s="58">
        <v>11.89</v>
      </c>
      <c r="E453" s="58">
        <v>1870.25</v>
      </c>
      <c r="F453" s="58">
        <v>4348771.0</v>
      </c>
      <c r="G453" s="57" t="s">
        <v>1219</v>
      </c>
      <c r="H453" s="57" t="s">
        <v>1220</v>
      </c>
      <c r="I453" s="57"/>
      <c r="J453" s="57"/>
      <c r="K453" s="57"/>
      <c r="L453" s="57"/>
      <c r="M453" s="57"/>
      <c r="N453" s="57"/>
      <c r="O453" s="57"/>
      <c r="P453" s="57"/>
      <c r="Q453" s="57"/>
      <c r="R453" s="57"/>
      <c r="S453" s="57"/>
      <c r="T453" s="57"/>
      <c r="U453" s="57"/>
      <c r="V453" s="57"/>
      <c r="W453" s="57"/>
      <c r="X453" s="57"/>
      <c r="Y453" s="57"/>
      <c r="Z453" s="57"/>
    </row>
    <row r="454">
      <c r="A454" s="58">
        <v>9467993.0</v>
      </c>
      <c r="B454" s="57" t="s">
        <v>1194</v>
      </c>
      <c r="C454" s="57" t="s">
        <v>210</v>
      </c>
      <c r="D454" s="58">
        <v>13.77</v>
      </c>
      <c r="E454" s="58">
        <v>1856.48</v>
      </c>
      <c r="F454" s="58">
        <v>4348312.0</v>
      </c>
      <c r="G454" s="57" t="s">
        <v>1221</v>
      </c>
      <c r="H454" s="57" t="s">
        <v>1222</v>
      </c>
      <c r="I454" s="57"/>
      <c r="J454" s="57"/>
      <c r="K454" s="57"/>
      <c r="L454" s="57"/>
      <c r="M454" s="57"/>
      <c r="N454" s="57"/>
      <c r="O454" s="57"/>
      <c r="P454" s="57"/>
      <c r="Q454" s="57"/>
      <c r="R454" s="57"/>
      <c r="S454" s="57"/>
      <c r="T454" s="57"/>
      <c r="U454" s="57"/>
      <c r="V454" s="57"/>
      <c r="W454" s="57"/>
      <c r="X454" s="57"/>
      <c r="Y454" s="57"/>
      <c r="Z454" s="57"/>
    </row>
    <row r="455">
      <c r="A455" s="58">
        <v>9467769.0</v>
      </c>
      <c r="B455" s="57" t="s">
        <v>1194</v>
      </c>
      <c r="C455" s="57" t="s">
        <v>210</v>
      </c>
      <c r="D455" s="58">
        <v>15.36</v>
      </c>
      <c r="E455" s="58">
        <v>1841.12</v>
      </c>
      <c r="F455" s="58">
        <v>4347500.0</v>
      </c>
      <c r="G455" s="57" t="s">
        <v>1223</v>
      </c>
      <c r="H455" s="57" t="s">
        <v>1224</v>
      </c>
      <c r="I455" s="57"/>
      <c r="J455" s="57"/>
      <c r="K455" s="57"/>
      <c r="L455" s="57"/>
      <c r="M455" s="57"/>
      <c r="N455" s="57"/>
      <c r="O455" s="57"/>
      <c r="P455" s="57"/>
      <c r="Q455" s="57"/>
      <c r="R455" s="57"/>
      <c r="S455" s="57"/>
      <c r="T455" s="57"/>
      <c r="U455" s="57"/>
      <c r="V455" s="57"/>
      <c r="W455" s="57"/>
      <c r="X455" s="57"/>
      <c r="Y455" s="57"/>
      <c r="Z455" s="57"/>
    </row>
    <row r="456">
      <c r="A456" s="58">
        <v>9467660.0</v>
      </c>
      <c r="B456" s="57" t="s">
        <v>1194</v>
      </c>
      <c r="C456" s="57" t="s">
        <v>210</v>
      </c>
      <c r="D456" s="58">
        <v>16.79</v>
      </c>
      <c r="E456" s="58">
        <v>1824.33</v>
      </c>
      <c r="F456" s="58">
        <v>4347089.0</v>
      </c>
      <c r="G456" s="57" t="s">
        <v>1225</v>
      </c>
      <c r="H456" s="57" t="s">
        <v>1226</v>
      </c>
      <c r="I456" s="57"/>
      <c r="J456" s="57"/>
      <c r="K456" s="57"/>
      <c r="L456" s="57"/>
      <c r="M456" s="57"/>
      <c r="N456" s="57"/>
      <c r="O456" s="57"/>
      <c r="P456" s="57"/>
      <c r="Q456" s="57"/>
      <c r="R456" s="57"/>
      <c r="S456" s="57"/>
      <c r="T456" s="57"/>
      <c r="U456" s="57"/>
      <c r="V456" s="57"/>
      <c r="W456" s="57"/>
      <c r="X456" s="57"/>
      <c r="Y456" s="57"/>
      <c r="Z456" s="57"/>
    </row>
    <row r="457">
      <c r="A457" s="58">
        <v>9467316.0</v>
      </c>
      <c r="B457" s="57" t="s">
        <v>1194</v>
      </c>
      <c r="C457" s="57" t="s">
        <v>210</v>
      </c>
      <c r="D457" s="58">
        <v>16.79</v>
      </c>
      <c r="E457" s="58">
        <v>1807.54</v>
      </c>
      <c r="F457" s="58">
        <v>4346042.0</v>
      </c>
      <c r="G457" s="57" t="s">
        <v>1227</v>
      </c>
      <c r="H457" s="57" t="s">
        <v>1228</v>
      </c>
      <c r="I457" s="57"/>
      <c r="J457" s="57"/>
      <c r="K457" s="57"/>
      <c r="L457" s="57"/>
      <c r="M457" s="57"/>
      <c r="N457" s="57"/>
      <c r="O457" s="57"/>
      <c r="P457" s="57"/>
      <c r="Q457" s="57"/>
      <c r="R457" s="57"/>
      <c r="S457" s="57"/>
      <c r="T457" s="57"/>
      <c r="U457" s="57"/>
      <c r="V457" s="57"/>
      <c r="W457" s="57"/>
      <c r="X457" s="57"/>
      <c r="Y457" s="57"/>
      <c r="Z457" s="57"/>
    </row>
    <row r="458">
      <c r="A458" s="58">
        <v>9467255.0</v>
      </c>
      <c r="B458" s="57" t="s">
        <v>1194</v>
      </c>
      <c r="C458" s="57" t="s">
        <v>210</v>
      </c>
      <c r="D458" s="58">
        <v>15.38</v>
      </c>
      <c r="E458" s="58">
        <v>1792.16</v>
      </c>
      <c r="F458" s="58">
        <v>4345887.0</v>
      </c>
      <c r="G458" s="57" t="s">
        <v>1229</v>
      </c>
      <c r="H458" s="57" t="s">
        <v>1230</v>
      </c>
      <c r="I458" s="57"/>
      <c r="J458" s="57"/>
      <c r="K458" s="57"/>
      <c r="L458" s="57"/>
      <c r="M458" s="57"/>
      <c r="N458" s="57"/>
      <c r="O458" s="57"/>
      <c r="P458" s="57"/>
      <c r="Q458" s="57"/>
      <c r="R458" s="57"/>
      <c r="S458" s="57"/>
      <c r="T458" s="57"/>
      <c r="U458" s="57"/>
      <c r="V458" s="57"/>
      <c r="W458" s="57"/>
      <c r="X458" s="57"/>
      <c r="Y458" s="57"/>
      <c r="Z458" s="57"/>
    </row>
    <row r="459">
      <c r="A459" s="58">
        <v>9466344.0</v>
      </c>
      <c r="B459" s="57" t="s">
        <v>1231</v>
      </c>
      <c r="C459" s="57" t="s">
        <v>210</v>
      </c>
      <c r="D459" s="58">
        <v>10.96</v>
      </c>
      <c r="E459" s="58">
        <v>1781.2</v>
      </c>
      <c r="F459" s="58">
        <v>4343002.0</v>
      </c>
      <c r="G459" s="57" t="s">
        <v>1232</v>
      </c>
      <c r="H459" s="57" t="s">
        <v>1233</v>
      </c>
      <c r="I459" s="57"/>
      <c r="J459" s="57"/>
      <c r="K459" s="57"/>
      <c r="L459" s="57"/>
      <c r="M459" s="57"/>
      <c r="N459" s="57"/>
      <c r="O459" s="57"/>
      <c r="P459" s="57"/>
      <c r="Q459" s="57"/>
      <c r="R459" s="57"/>
      <c r="S459" s="57"/>
      <c r="T459" s="57"/>
      <c r="U459" s="57"/>
      <c r="V459" s="57"/>
      <c r="W459" s="57"/>
      <c r="X459" s="57"/>
      <c r="Y459" s="57"/>
      <c r="Z459" s="57"/>
    </row>
    <row r="460">
      <c r="A460" s="58">
        <v>9466212.0</v>
      </c>
      <c r="B460" s="57" t="s">
        <v>1231</v>
      </c>
      <c r="C460" s="57" t="s">
        <v>210</v>
      </c>
      <c r="D460" s="58">
        <v>10.96</v>
      </c>
      <c r="E460" s="58">
        <v>1770.24</v>
      </c>
      <c r="F460" s="58">
        <v>4342606.0</v>
      </c>
      <c r="G460" s="57" t="s">
        <v>1234</v>
      </c>
      <c r="H460" s="57" t="s">
        <v>1235</v>
      </c>
      <c r="I460" s="57"/>
      <c r="J460" s="57"/>
      <c r="K460" s="57"/>
      <c r="L460" s="57"/>
      <c r="M460" s="57"/>
      <c r="N460" s="57"/>
      <c r="O460" s="57"/>
      <c r="P460" s="57"/>
      <c r="Q460" s="57"/>
      <c r="R460" s="57"/>
      <c r="S460" s="57"/>
      <c r="T460" s="57"/>
      <c r="U460" s="57"/>
      <c r="V460" s="57"/>
      <c r="W460" s="57"/>
      <c r="X460" s="57"/>
      <c r="Y460" s="57"/>
      <c r="Z460" s="57"/>
    </row>
    <row r="461">
      <c r="A461" s="58">
        <v>9466000.0</v>
      </c>
      <c r="B461" s="57" t="s">
        <v>1231</v>
      </c>
      <c r="C461" s="57" t="s">
        <v>210</v>
      </c>
      <c r="D461" s="58">
        <v>10.96</v>
      </c>
      <c r="E461" s="58">
        <v>1759.28</v>
      </c>
      <c r="F461" s="58">
        <v>4341747.0</v>
      </c>
      <c r="G461" s="57" t="s">
        <v>1236</v>
      </c>
      <c r="H461" s="57" t="s">
        <v>1237</v>
      </c>
      <c r="I461" s="57"/>
      <c r="J461" s="57"/>
      <c r="K461" s="57"/>
      <c r="L461" s="57"/>
      <c r="M461" s="57"/>
      <c r="N461" s="57"/>
      <c r="O461" s="57"/>
      <c r="P461" s="57"/>
      <c r="Q461" s="57"/>
      <c r="R461" s="57"/>
      <c r="S461" s="57"/>
      <c r="T461" s="57"/>
      <c r="U461" s="57"/>
      <c r="V461" s="57"/>
      <c r="W461" s="57"/>
      <c r="X461" s="57"/>
      <c r="Y461" s="57"/>
      <c r="Z461" s="57"/>
    </row>
    <row r="462">
      <c r="A462" s="58">
        <v>9465722.0</v>
      </c>
      <c r="B462" s="57" t="s">
        <v>1231</v>
      </c>
      <c r="C462" s="57" t="s">
        <v>210</v>
      </c>
      <c r="D462" s="58">
        <v>14.34</v>
      </c>
      <c r="E462" s="58">
        <v>1744.94</v>
      </c>
      <c r="F462" s="58">
        <v>4340752.0</v>
      </c>
      <c r="G462" s="57" t="s">
        <v>1238</v>
      </c>
      <c r="H462" s="57" t="s">
        <v>1239</v>
      </c>
      <c r="I462" s="57"/>
      <c r="J462" s="57"/>
      <c r="K462" s="57"/>
      <c r="L462" s="57"/>
      <c r="M462" s="57"/>
      <c r="N462" s="57"/>
      <c r="O462" s="57"/>
      <c r="P462" s="57"/>
      <c r="Q462" s="57"/>
      <c r="R462" s="57"/>
      <c r="S462" s="57"/>
      <c r="T462" s="57"/>
      <c r="U462" s="57"/>
      <c r="V462" s="57"/>
      <c r="W462" s="57"/>
      <c r="X462" s="57"/>
      <c r="Y462" s="57"/>
      <c r="Z462" s="57"/>
    </row>
    <row r="463">
      <c r="A463" s="58">
        <v>9465211.0</v>
      </c>
      <c r="B463" s="57" t="s">
        <v>1231</v>
      </c>
      <c r="C463" s="57" t="s">
        <v>210</v>
      </c>
      <c r="D463" s="58">
        <v>16.79</v>
      </c>
      <c r="E463" s="58">
        <v>1728.15</v>
      </c>
      <c r="F463" s="58">
        <v>4338216.0</v>
      </c>
      <c r="G463" s="57" t="s">
        <v>1240</v>
      </c>
      <c r="H463" s="57" t="s">
        <v>1241</v>
      </c>
      <c r="I463" s="57"/>
      <c r="J463" s="57"/>
      <c r="K463" s="57"/>
      <c r="L463" s="57"/>
      <c r="M463" s="57"/>
      <c r="N463" s="57"/>
      <c r="O463" s="57"/>
      <c r="P463" s="57"/>
      <c r="Q463" s="57"/>
      <c r="R463" s="57"/>
      <c r="S463" s="57"/>
      <c r="T463" s="57"/>
      <c r="U463" s="57"/>
      <c r="V463" s="57"/>
      <c r="W463" s="57"/>
      <c r="X463" s="57"/>
      <c r="Y463" s="57"/>
      <c r="Z463" s="57"/>
    </row>
    <row r="464">
      <c r="A464" s="58">
        <v>9464987.0</v>
      </c>
      <c r="B464" s="57" t="s">
        <v>1231</v>
      </c>
      <c r="C464" s="57" t="s">
        <v>210</v>
      </c>
      <c r="D464" s="58">
        <v>10.96</v>
      </c>
      <c r="E464" s="58">
        <v>1717.19</v>
      </c>
      <c r="F464" s="58">
        <v>4337316.0</v>
      </c>
      <c r="G464" s="57" t="s">
        <v>1242</v>
      </c>
      <c r="H464" s="57" t="s">
        <v>1243</v>
      </c>
      <c r="I464" s="57"/>
      <c r="J464" s="57"/>
      <c r="K464" s="57"/>
      <c r="L464" s="57"/>
      <c r="M464" s="57"/>
      <c r="N464" s="57"/>
      <c r="O464" s="57"/>
      <c r="P464" s="57"/>
      <c r="Q464" s="57"/>
      <c r="R464" s="57"/>
      <c r="S464" s="57"/>
      <c r="T464" s="57"/>
      <c r="U464" s="57"/>
      <c r="V464" s="57"/>
      <c r="W464" s="57"/>
      <c r="X464" s="57"/>
      <c r="Y464" s="57"/>
      <c r="Z464" s="57"/>
    </row>
    <row r="465">
      <c r="A465" s="58">
        <v>9464787.0</v>
      </c>
      <c r="B465" s="57" t="s">
        <v>1231</v>
      </c>
      <c r="C465" s="57" t="s">
        <v>210</v>
      </c>
      <c r="D465" s="58">
        <v>11.89</v>
      </c>
      <c r="E465" s="58">
        <v>1705.3</v>
      </c>
      <c r="F465" s="58">
        <v>4336432.0</v>
      </c>
      <c r="G465" s="57" t="s">
        <v>1244</v>
      </c>
      <c r="H465" s="57" t="s">
        <v>1245</v>
      </c>
      <c r="I465" s="57"/>
      <c r="J465" s="57"/>
      <c r="K465" s="57"/>
      <c r="L465" s="57"/>
      <c r="M465" s="57"/>
      <c r="N465" s="57"/>
      <c r="O465" s="57"/>
      <c r="P465" s="57"/>
      <c r="Q465" s="57"/>
      <c r="R465" s="57"/>
      <c r="S465" s="57"/>
      <c r="T465" s="57"/>
      <c r="U465" s="57"/>
      <c r="V465" s="57"/>
      <c r="W465" s="57"/>
      <c r="X465" s="57"/>
      <c r="Y465" s="57"/>
      <c r="Z465" s="57"/>
    </row>
    <row r="466">
      <c r="A466" s="58">
        <v>9464650.0</v>
      </c>
      <c r="B466" s="57" t="s">
        <v>1231</v>
      </c>
      <c r="C466" s="57" t="s">
        <v>210</v>
      </c>
      <c r="D466" s="58">
        <v>14.34</v>
      </c>
      <c r="E466" s="58">
        <v>1690.96</v>
      </c>
      <c r="F466" s="58">
        <v>4335778.0</v>
      </c>
      <c r="G466" s="57" t="s">
        <v>1246</v>
      </c>
      <c r="H466" s="57" t="s">
        <v>1247</v>
      </c>
      <c r="I466" s="57"/>
      <c r="J466" s="57"/>
      <c r="K466" s="57"/>
      <c r="L466" s="57"/>
      <c r="M466" s="57"/>
      <c r="N466" s="57"/>
      <c r="O466" s="57"/>
      <c r="P466" s="57"/>
      <c r="Q466" s="57"/>
      <c r="R466" s="57"/>
      <c r="S466" s="57"/>
      <c r="T466" s="57"/>
      <c r="U466" s="57"/>
      <c r="V466" s="57"/>
      <c r="W466" s="57"/>
      <c r="X466" s="57"/>
      <c r="Y466" s="57"/>
      <c r="Z466" s="57"/>
    </row>
    <row r="467">
      <c r="A467" s="58">
        <v>9464264.0</v>
      </c>
      <c r="B467" s="57" t="s">
        <v>1231</v>
      </c>
      <c r="C467" s="57" t="s">
        <v>210</v>
      </c>
      <c r="D467" s="58">
        <v>12.55</v>
      </c>
      <c r="E467" s="58">
        <v>1678.41</v>
      </c>
      <c r="F467" s="58">
        <v>4333654.0</v>
      </c>
      <c r="G467" s="58">
        <v>1.86558015E8</v>
      </c>
      <c r="H467" s="57" t="s">
        <v>1248</v>
      </c>
      <c r="I467" s="57"/>
      <c r="J467" s="57"/>
      <c r="K467" s="57"/>
      <c r="L467" s="57"/>
      <c r="M467" s="57"/>
      <c r="N467" s="57"/>
      <c r="O467" s="57"/>
      <c r="P467" s="57"/>
      <c r="Q467" s="57"/>
      <c r="R467" s="57"/>
      <c r="S467" s="57"/>
      <c r="T467" s="57"/>
      <c r="U467" s="57"/>
      <c r="V467" s="57"/>
      <c r="W467" s="57"/>
      <c r="X467" s="57"/>
      <c r="Y467" s="57"/>
      <c r="Z467" s="57"/>
    </row>
    <row r="468">
      <c r="A468" s="58">
        <v>9463643.0</v>
      </c>
      <c r="B468" s="57" t="s">
        <v>1231</v>
      </c>
      <c r="C468" s="57" t="s">
        <v>210</v>
      </c>
      <c r="D468" s="58">
        <v>16.79</v>
      </c>
      <c r="E468" s="58">
        <v>1661.62</v>
      </c>
      <c r="F468" s="58">
        <v>4329132.0</v>
      </c>
      <c r="G468" s="57" t="s">
        <v>1249</v>
      </c>
      <c r="H468" s="57" t="s">
        <v>1250</v>
      </c>
      <c r="I468" s="57"/>
      <c r="J468" s="57"/>
      <c r="K468" s="57"/>
      <c r="L468" s="57"/>
      <c r="M468" s="57"/>
      <c r="N468" s="57"/>
      <c r="O468" s="57"/>
      <c r="P468" s="57"/>
      <c r="Q468" s="57"/>
      <c r="R468" s="57"/>
      <c r="S468" s="57"/>
      <c r="T468" s="57"/>
      <c r="U468" s="57"/>
      <c r="V468" s="57"/>
      <c r="W468" s="57"/>
      <c r="X468" s="57"/>
      <c r="Y468" s="57"/>
      <c r="Z468" s="57"/>
    </row>
    <row r="469">
      <c r="A469" s="58">
        <v>9463618.0</v>
      </c>
      <c r="B469" s="57" t="s">
        <v>1231</v>
      </c>
      <c r="C469" s="57" t="s">
        <v>210</v>
      </c>
      <c r="D469" s="58">
        <v>16.79</v>
      </c>
      <c r="E469" s="58">
        <v>1644.83</v>
      </c>
      <c r="F469" s="58">
        <v>4328879.0</v>
      </c>
      <c r="G469" s="57" t="s">
        <v>1251</v>
      </c>
      <c r="H469" s="57" t="s">
        <v>1252</v>
      </c>
      <c r="I469" s="57"/>
      <c r="J469" s="57"/>
      <c r="K469" s="57"/>
      <c r="L469" s="57"/>
      <c r="M469" s="57"/>
      <c r="N469" s="57"/>
      <c r="O469" s="57"/>
      <c r="P469" s="57"/>
      <c r="Q469" s="57"/>
      <c r="R469" s="57"/>
      <c r="S469" s="57"/>
      <c r="T469" s="57"/>
      <c r="U469" s="57"/>
      <c r="V469" s="57"/>
      <c r="W469" s="57"/>
      <c r="X469" s="57"/>
      <c r="Y469" s="57"/>
      <c r="Z469" s="57"/>
    </row>
    <row r="470">
      <c r="A470" s="58">
        <v>9463593.0</v>
      </c>
      <c r="B470" s="57" t="s">
        <v>1231</v>
      </c>
      <c r="C470" s="57" t="s">
        <v>210</v>
      </c>
      <c r="D470" s="58">
        <v>10.96</v>
      </c>
      <c r="E470" s="58">
        <v>1633.87</v>
      </c>
      <c r="F470" s="58">
        <v>4328571.0</v>
      </c>
      <c r="G470" s="57" t="s">
        <v>1253</v>
      </c>
      <c r="H470" s="57" t="s">
        <v>1254</v>
      </c>
      <c r="I470" s="57"/>
      <c r="J470" s="57"/>
      <c r="K470" s="57"/>
      <c r="L470" s="57"/>
      <c r="M470" s="57"/>
      <c r="N470" s="57"/>
      <c r="O470" s="57"/>
      <c r="P470" s="57"/>
      <c r="Q470" s="57"/>
      <c r="R470" s="57"/>
      <c r="S470" s="57"/>
      <c r="T470" s="57"/>
      <c r="U470" s="57"/>
      <c r="V470" s="57"/>
      <c r="W470" s="57"/>
      <c r="X470" s="57"/>
      <c r="Y470" s="57"/>
      <c r="Z470" s="57"/>
    </row>
    <row r="471">
      <c r="A471" s="58">
        <v>9463297.0</v>
      </c>
      <c r="B471" s="57" t="s">
        <v>1231</v>
      </c>
      <c r="C471" s="57" t="s">
        <v>210</v>
      </c>
      <c r="D471" s="58">
        <v>14.34</v>
      </c>
      <c r="E471" s="58">
        <v>1619.53</v>
      </c>
      <c r="F471" s="58">
        <v>4326126.0</v>
      </c>
      <c r="G471" s="57" t="s">
        <v>1255</v>
      </c>
      <c r="H471" s="57" t="s">
        <v>1256</v>
      </c>
      <c r="I471" s="57"/>
      <c r="J471" s="57"/>
      <c r="K471" s="57"/>
      <c r="L471" s="57"/>
      <c r="M471" s="57"/>
      <c r="N471" s="57"/>
      <c r="O471" s="57"/>
      <c r="P471" s="57"/>
      <c r="Q471" s="57"/>
      <c r="R471" s="57"/>
      <c r="S471" s="57"/>
      <c r="T471" s="57"/>
      <c r="U471" s="57"/>
      <c r="V471" s="57"/>
      <c r="W471" s="57"/>
      <c r="X471" s="57"/>
      <c r="Y471" s="57"/>
      <c r="Z471" s="57"/>
    </row>
    <row r="472">
      <c r="A472" s="58">
        <v>9461895.0</v>
      </c>
      <c r="B472" s="57" t="s">
        <v>1257</v>
      </c>
      <c r="C472" s="57" t="s">
        <v>210</v>
      </c>
      <c r="D472" s="58">
        <v>11.89</v>
      </c>
      <c r="E472" s="58">
        <v>1607.64</v>
      </c>
      <c r="F472" s="58">
        <v>4308225.0</v>
      </c>
      <c r="G472" s="57" t="s">
        <v>1258</v>
      </c>
      <c r="H472" s="57" t="s">
        <v>1259</v>
      </c>
      <c r="I472" s="57"/>
      <c r="J472" s="57"/>
      <c r="K472" s="57"/>
      <c r="L472" s="57"/>
      <c r="M472" s="57"/>
      <c r="N472" s="57"/>
      <c r="O472" s="57"/>
      <c r="P472" s="57"/>
      <c r="Q472" s="57"/>
      <c r="R472" s="57"/>
      <c r="S472" s="57"/>
      <c r="T472" s="57"/>
      <c r="U472" s="57"/>
      <c r="V472" s="57"/>
      <c r="W472" s="57"/>
      <c r="X472" s="57"/>
      <c r="Y472" s="57"/>
      <c r="Z472" s="57"/>
    </row>
    <row r="473">
      <c r="A473" s="58">
        <v>9461447.0</v>
      </c>
      <c r="B473" s="57" t="s">
        <v>1257</v>
      </c>
      <c r="C473" s="57" t="s">
        <v>210</v>
      </c>
      <c r="D473" s="58">
        <v>16.22</v>
      </c>
      <c r="E473" s="58">
        <v>1591.42</v>
      </c>
      <c r="F473" s="58">
        <v>4300347.0</v>
      </c>
      <c r="G473" s="57" t="s">
        <v>1260</v>
      </c>
      <c r="H473" s="57" t="s">
        <v>1261</v>
      </c>
      <c r="I473" s="57"/>
      <c r="J473" s="57"/>
      <c r="K473" s="57"/>
      <c r="L473" s="57"/>
      <c r="M473" s="57"/>
      <c r="N473" s="57"/>
      <c r="O473" s="57"/>
      <c r="P473" s="57"/>
      <c r="Q473" s="57"/>
      <c r="R473" s="57"/>
      <c r="S473" s="57"/>
      <c r="T473" s="57"/>
      <c r="U473" s="57"/>
      <c r="V473" s="57"/>
      <c r="W473" s="57"/>
      <c r="X473" s="57"/>
      <c r="Y473" s="57"/>
      <c r="Z473" s="57"/>
    </row>
    <row r="474">
      <c r="A474" s="58">
        <v>9460467.0</v>
      </c>
      <c r="B474" s="57" t="s">
        <v>1257</v>
      </c>
      <c r="C474" s="57" t="s">
        <v>210</v>
      </c>
      <c r="D474" s="58">
        <v>14.34</v>
      </c>
      <c r="E474" s="58">
        <v>1577.08</v>
      </c>
      <c r="F474" s="58">
        <v>4266542.0</v>
      </c>
      <c r="G474" s="57" t="s">
        <v>1262</v>
      </c>
      <c r="H474" s="57" t="s">
        <v>1263</v>
      </c>
      <c r="I474" s="57"/>
      <c r="J474" s="57"/>
      <c r="K474" s="57"/>
      <c r="L474" s="57"/>
      <c r="M474" s="57"/>
      <c r="N474" s="57"/>
      <c r="O474" s="57"/>
      <c r="P474" s="57"/>
      <c r="Q474" s="57"/>
      <c r="R474" s="57"/>
      <c r="S474" s="57"/>
      <c r="T474" s="57"/>
      <c r="U474" s="57"/>
      <c r="V474" s="57"/>
      <c r="W474" s="57"/>
      <c r="X474" s="57"/>
      <c r="Y474" s="57"/>
      <c r="Z474" s="57"/>
    </row>
    <row r="475">
      <c r="A475" s="58">
        <v>9459133.0</v>
      </c>
      <c r="B475" s="57" t="s">
        <v>1264</v>
      </c>
      <c r="C475" s="57" t="s">
        <v>247</v>
      </c>
      <c r="D475" s="58">
        <v>9.57</v>
      </c>
      <c r="E475" s="58">
        <v>1586.65</v>
      </c>
      <c r="F475" s="58">
        <v>4298137.0</v>
      </c>
      <c r="G475" s="57" t="s">
        <v>1265</v>
      </c>
      <c r="H475" s="57" t="s">
        <v>1266</v>
      </c>
      <c r="I475" s="57"/>
      <c r="J475" s="57"/>
      <c r="K475" s="57"/>
      <c r="L475" s="57"/>
      <c r="M475" s="57"/>
      <c r="N475" s="57"/>
      <c r="O475" s="57"/>
      <c r="P475" s="57"/>
      <c r="Q475" s="57"/>
      <c r="R475" s="57"/>
      <c r="S475" s="57"/>
      <c r="T475" s="57"/>
      <c r="U475" s="57"/>
      <c r="V475" s="57"/>
      <c r="W475" s="57"/>
      <c r="X475" s="57"/>
      <c r="Y475" s="57"/>
      <c r="Z475" s="57"/>
    </row>
    <row r="476">
      <c r="A476" s="58">
        <v>9458888.0</v>
      </c>
      <c r="B476" s="57" t="s">
        <v>1267</v>
      </c>
      <c r="C476" s="57" t="s">
        <v>247</v>
      </c>
      <c r="D476" s="58">
        <v>4.14</v>
      </c>
      <c r="E476" s="58">
        <v>1590.79</v>
      </c>
      <c r="F476" s="58">
        <v>3939144.0</v>
      </c>
      <c r="G476" s="57" t="s">
        <v>1268</v>
      </c>
      <c r="H476" s="57" t="s">
        <v>1269</v>
      </c>
      <c r="I476" s="57"/>
      <c r="J476" s="57"/>
      <c r="K476" s="57"/>
      <c r="L476" s="57"/>
      <c r="M476" s="57"/>
      <c r="N476" s="57"/>
      <c r="O476" s="57"/>
      <c r="P476" s="57"/>
      <c r="Q476" s="57"/>
      <c r="R476" s="57"/>
      <c r="S476" s="57"/>
      <c r="T476" s="57"/>
      <c r="U476" s="57"/>
      <c r="V476" s="57"/>
      <c r="W476" s="57"/>
      <c r="X476" s="57"/>
      <c r="Y476" s="57"/>
      <c r="Z476" s="57"/>
    </row>
    <row r="477">
      <c r="A477" s="58">
        <v>9457875.0</v>
      </c>
      <c r="B477" s="57" t="s">
        <v>1270</v>
      </c>
      <c r="C477" s="57" t="s">
        <v>247</v>
      </c>
      <c r="D477" s="58">
        <v>5.07</v>
      </c>
      <c r="E477" s="58">
        <v>1595.86</v>
      </c>
      <c r="F477" s="58">
        <v>4164479.0</v>
      </c>
      <c r="G477" s="57" t="s">
        <v>1271</v>
      </c>
      <c r="H477" s="57" t="s">
        <v>1272</v>
      </c>
      <c r="I477" s="57"/>
      <c r="J477" s="57"/>
      <c r="K477" s="57"/>
      <c r="L477" s="57"/>
      <c r="M477" s="57"/>
      <c r="N477" s="57"/>
      <c r="O477" s="57"/>
      <c r="P477" s="57"/>
      <c r="Q477" s="57"/>
      <c r="R477" s="57"/>
      <c r="S477" s="57"/>
      <c r="T477" s="57"/>
      <c r="U477" s="57"/>
      <c r="V477" s="57"/>
      <c r="W477" s="57"/>
      <c r="X477" s="57"/>
      <c r="Y477" s="57"/>
      <c r="Z477" s="57"/>
    </row>
    <row r="478">
      <c r="A478" s="58">
        <v>9457867.0</v>
      </c>
      <c r="B478" s="57" t="s">
        <v>1270</v>
      </c>
      <c r="C478" s="57" t="s">
        <v>247</v>
      </c>
      <c r="D478" s="58">
        <v>5.06</v>
      </c>
      <c r="E478" s="58">
        <v>1600.92</v>
      </c>
      <c r="F478" s="58">
        <v>4239610.0</v>
      </c>
      <c r="G478" s="57" t="s">
        <v>1273</v>
      </c>
      <c r="H478" s="57" t="s">
        <v>1274</v>
      </c>
      <c r="I478" s="57"/>
      <c r="J478" s="57"/>
      <c r="K478" s="57"/>
      <c r="L478" s="57"/>
      <c r="M478" s="57"/>
      <c r="N478" s="57"/>
      <c r="O478" s="57"/>
      <c r="P478" s="57"/>
      <c r="Q478" s="57"/>
      <c r="R478" s="57"/>
      <c r="S478" s="57"/>
      <c r="T478" s="57"/>
      <c r="U478" s="57"/>
      <c r="V478" s="57"/>
      <c r="W478" s="57"/>
      <c r="X478" s="57"/>
      <c r="Y478" s="57"/>
      <c r="Z478" s="57"/>
    </row>
    <row r="479">
      <c r="A479" s="58">
        <v>9457854.0</v>
      </c>
      <c r="B479" s="57" t="s">
        <v>1270</v>
      </c>
      <c r="C479" s="57" t="s">
        <v>247</v>
      </c>
      <c r="D479" s="58">
        <v>3.48</v>
      </c>
      <c r="E479" s="58">
        <v>1604.4</v>
      </c>
      <c r="F479" s="58">
        <v>4236237.0</v>
      </c>
      <c r="G479" s="57" t="s">
        <v>1275</v>
      </c>
      <c r="H479" s="57" t="s">
        <v>1276</v>
      </c>
      <c r="I479" s="57"/>
      <c r="J479" s="57"/>
      <c r="K479" s="57"/>
      <c r="L479" s="57"/>
      <c r="M479" s="57"/>
      <c r="N479" s="57"/>
      <c r="O479" s="57"/>
      <c r="P479" s="57"/>
      <c r="Q479" s="57"/>
      <c r="R479" s="57"/>
      <c r="S479" s="57"/>
      <c r="T479" s="57"/>
      <c r="U479" s="57"/>
      <c r="V479" s="57"/>
      <c r="W479" s="57"/>
      <c r="X479" s="57"/>
      <c r="Y479" s="57"/>
      <c r="Z479" s="57"/>
    </row>
    <row r="480">
      <c r="A480" s="58">
        <v>9457850.0</v>
      </c>
      <c r="B480" s="57" t="s">
        <v>1270</v>
      </c>
      <c r="C480" s="57" t="s">
        <v>247</v>
      </c>
      <c r="D480" s="58">
        <v>5.09</v>
      </c>
      <c r="E480" s="58">
        <v>1609.49</v>
      </c>
      <c r="F480" s="58">
        <v>4122077.0</v>
      </c>
      <c r="G480" s="57" t="s">
        <v>1277</v>
      </c>
      <c r="H480" s="57" t="s">
        <v>1278</v>
      </c>
      <c r="I480" s="57"/>
      <c r="J480" s="57"/>
      <c r="K480" s="57"/>
      <c r="L480" s="57"/>
      <c r="M480" s="57"/>
      <c r="N480" s="57"/>
      <c r="O480" s="57"/>
      <c r="P480" s="57"/>
      <c r="Q480" s="57"/>
      <c r="R480" s="57"/>
      <c r="S480" s="57"/>
      <c r="T480" s="57"/>
      <c r="U480" s="57"/>
      <c r="V480" s="57"/>
      <c r="W480" s="57"/>
      <c r="X480" s="57"/>
      <c r="Y480" s="57"/>
      <c r="Z480" s="57"/>
    </row>
    <row r="481">
      <c r="A481" s="58">
        <v>9457690.0</v>
      </c>
      <c r="B481" s="57" t="s">
        <v>1279</v>
      </c>
      <c r="C481" s="57" t="s">
        <v>247</v>
      </c>
      <c r="D481" s="58">
        <v>4.49</v>
      </c>
      <c r="E481" s="58">
        <v>1613.97</v>
      </c>
      <c r="F481" s="58">
        <v>4137488.0</v>
      </c>
      <c r="G481" s="57" t="s">
        <v>1280</v>
      </c>
      <c r="H481" s="57" t="s">
        <v>1281</v>
      </c>
      <c r="I481" s="57"/>
      <c r="J481" s="57"/>
      <c r="K481" s="57"/>
      <c r="L481" s="57"/>
      <c r="M481" s="57"/>
      <c r="N481" s="57"/>
      <c r="O481" s="57"/>
      <c r="P481" s="57"/>
      <c r="Q481" s="57"/>
      <c r="R481" s="57"/>
      <c r="S481" s="57"/>
      <c r="T481" s="57"/>
      <c r="U481" s="57"/>
      <c r="V481" s="57"/>
      <c r="W481" s="57"/>
      <c r="X481" s="57"/>
      <c r="Y481" s="57"/>
      <c r="Z481" s="57"/>
    </row>
    <row r="482">
      <c r="A482" s="58">
        <v>9457635.0</v>
      </c>
      <c r="B482" s="57" t="s">
        <v>1279</v>
      </c>
      <c r="C482" s="57" t="s">
        <v>247</v>
      </c>
      <c r="D482" s="58">
        <v>5.12</v>
      </c>
      <c r="E482" s="58">
        <v>1619.09</v>
      </c>
      <c r="F482" s="58">
        <v>4246793.0</v>
      </c>
      <c r="G482" s="57" t="s">
        <v>1282</v>
      </c>
      <c r="H482" s="57" t="s">
        <v>1283</v>
      </c>
      <c r="I482" s="57"/>
      <c r="J482" s="57"/>
      <c r="K482" s="57"/>
      <c r="L482" s="57"/>
      <c r="M482" s="57"/>
      <c r="N482" s="57"/>
      <c r="O482" s="57"/>
      <c r="P482" s="57"/>
      <c r="Q482" s="57"/>
      <c r="R482" s="57"/>
      <c r="S482" s="57"/>
      <c r="T482" s="57"/>
      <c r="U482" s="57"/>
      <c r="V482" s="57"/>
      <c r="W482" s="57"/>
      <c r="X482" s="57"/>
      <c r="Y482" s="57"/>
      <c r="Z482" s="57"/>
    </row>
    <row r="483">
      <c r="A483" s="58">
        <v>9457627.0</v>
      </c>
      <c r="B483" s="57" t="s">
        <v>1279</v>
      </c>
      <c r="C483" s="57" t="s">
        <v>247</v>
      </c>
      <c r="D483" s="58">
        <v>5.06</v>
      </c>
      <c r="E483" s="58">
        <v>1624.15</v>
      </c>
      <c r="F483" s="58">
        <v>4246908.0</v>
      </c>
      <c r="G483" s="57" t="s">
        <v>1284</v>
      </c>
      <c r="H483" s="57" t="s">
        <v>1285</v>
      </c>
      <c r="I483" s="57"/>
      <c r="J483" s="57"/>
      <c r="K483" s="57"/>
      <c r="L483" s="57"/>
      <c r="M483" s="57"/>
      <c r="N483" s="57"/>
      <c r="O483" s="57"/>
      <c r="P483" s="57"/>
      <c r="Q483" s="57"/>
      <c r="R483" s="57"/>
      <c r="S483" s="57"/>
      <c r="T483" s="57"/>
      <c r="U483" s="57"/>
      <c r="V483" s="57"/>
      <c r="W483" s="57"/>
      <c r="X483" s="57"/>
      <c r="Y483" s="57"/>
      <c r="Z483" s="57"/>
    </row>
    <row r="484">
      <c r="A484" s="58">
        <v>9457620.0</v>
      </c>
      <c r="B484" s="57" t="s">
        <v>1279</v>
      </c>
      <c r="C484" s="57" t="s">
        <v>247</v>
      </c>
      <c r="D484" s="58">
        <v>5.12</v>
      </c>
      <c r="E484" s="58">
        <v>1629.27</v>
      </c>
      <c r="F484" s="58">
        <v>4143986.0</v>
      </c>
      <c r="G484" s="57" t="s">
        <v>1286</v>
      </c>
      <c r="H484" s="57" t="s">
        <v>1287</v>
      </c>
      <c r="I484" s="57"/>
      <c r="J484" s="57"/>
      <c r="K484" s="57"/>
      <c r="L484" s="57"/>
      <c r="M484" s="57"/>
      <c r="N484" s="57"/>
      <c r="O484" s="57"/>
      <c r="P484" s="57"/>
      <c r="Q484" s="57"/>
      <c r="R484" s="57"/>
      <c r="S484" s="57"/>
      <c r="T484" s="57"/>
      <c r="U484" s="57"/>
      <c r="V484" s="57"/>
      <c r="W484" s="57"/>
      <c r="X484" s="57"/>
      <c r="Y484" s="57"/>
      <c r="Z484" s="57"/>
    </row>
    <row r="485">
      <c r="A485" s="58">
        <v>9457608.0</v>
      </c>
      <c r="B485" s="57" t="s">
        <v>1279</v>
      </c>
      <c r="C485" s="57" t="s">
        <v>247</v>
      </c>
      <c r="D485" s="58">
        <v>5.12</v>
      </c>
      <c r="E485" s="58">
        <v>1634.39</v>
      </c>
      <c r="F485" s="58">
        <v>4230606.0</v>
      </c>
      <c r="G485" s="57" t="s">
        <v>1288</v>
      </c>
      <c r="H485" s="57" t="s">
        <v>1289</v>
      </c>
      <c r="I485" s="57"/>
      <c r="J485" s="57"/>
      <c r="K485" s="57"/>
      <c r="L485" s="57"/>
      <c r="M485" s="57"/>
      <c r="N485" s="57"/>
      <c r="O485" s="57"/>
      <c r="P485" s="57"/>
      <c r="Q485" s="57"/>
      <c r="R485" s="57"/>
      <c r="S485" s="57"/>
      <c r="T485" s="57"/>
      <c r="U485" s="57"/>
      <c r="V485" s="57"/>
      <c r="W485" s="57"/>
      <c r="X485" s="57"/>
      <c r="Y485" s="57"/>
      <c r="Z485" s="57"/>
    </row>
    <row r="486">
      <c r="A486" s="58">
        <v>9457607.0</v>
      </c>
      <c r="B486" s="57" t="s">
        <v>1279</v>
      </c>
      <c r="C486" s="57" t="s">
        <v>247</v>
      </c>
      <c r="D486" s="58">
        <v>5.06</v>
      </c>
      <c r="E486" s="58">
        <v>1639.45</v>
      </c>
      <c r="F486" s="58">
        <v>4242335.0</v>
      </c>
      <c r="G486" s="57" t="s">
        <v>1290</v>
      </c>
      <c r="H486" s="57" t="s">
        <v>1291</v>
      </c>
      <c r="I486" s="57"/>
      <c r="J486" s="57"/>
      <c r="K486" s="57"/>
      <c r="L486" s="57"/>
      <c r="M486" s="57"/>
      <c r="N486" s="57"/>
      <c r="O486" s="57"/>
      <c r="P486" s="57"/>
      <c r="Q486" s="57"/>
      <c r="R486" s="57"/>
      <c r="S486" s="57"/>
      <c r="T486" s="57"/>
      <c r="U486" s="57"/>
      <c r="V486" s="57"/>
      <c r="W486" s="57"/>
      <c r="X486" s="57"/>
      <c r="Y486" s="57"/>
      <c r="Z486" s="57"/>
    </row>
    <row r="487">
      <c r="A487" s="58">
        <v>9457605.0</v>
      </c>
      <c r="B487" s="57" t="s">
        <v>1279</v>
      </c>
      <c r="C487" s="57" t="s">
        <v>247</v>
      </c>
      <c r="D487" s="58">
        <v>3.51</v>
      </c>
      <c r="E487" s="58">
        <v>1642.96</v>
      </c>
      <c r="F487" s="58">
        <v>4221900.0</v>
      </c>
      <c r="G487" s="57" t="s">
        <v>1292</v>
      </c>
      <c r="H487" s="57" t="s">
        <v>1293</v>
      </c>
      <c r="I487" s="57"/>
      <c r="J487" s="57"/>
      <c r="K487" s="57"/>
      <c r="L487" s="57"/>
      <c r="M487" s="57"/>
      <c r="N487" s="57"/>
      <c r="O487" s="57"/>
      <c r="P487" s="57"/>
      <c r="Q487" s="57"/>
      <c r="R487" s="57"/>
      <c r="S487" s="57"/>
      <c r="T487" s="57"/>
      <c r="U487" s="57"/>
      <c r="V487" s="57"/>
      <c r="W487" s="57"/>
      <c r="X487" s="57"/>
      <c r="Y487" s="57"/>
      <c r="Z487" s="57"/>
    </row>
    <row r="488">
      <c r="A488" s="58">
        <v>9457598.0</v>
      </c>
      <c r="B488" s="57" t="s">
        <v>1279</v>
      </c>
      <c r="C488" s="57" t="s">
        <v>247</v>
      </c>
      <c r="D488" s="58">
        <v>5.06</v>
      </c>
      <c r="E488" s="58">
        <v>1648.02</v>
      </c>
      <c r="F488" s="58">
        <v>4241362.0</v>
      </c>
      <c r="G488" s="57" t="s">
        <v>1294</v>
      </c>
      <c r="H488" s="57" t="s">
        <v>1295</v>
      </c>
      <c r="I488" s="57"/>
      <c r="J488" s="57"/>
      <c r="K488" s="57"/>
      <c r="L488" s="57"/>
      <c r="M488" s="57"/>
      <c r="N488" s="57"/>
      <c r="O488" s="57"/>
      <c r="P488" s="57"/>
      <c r="Q488" s="57"/>
      <c r="R488" s="57"/>
      <c r="S488" s="57"/>
      <c r="T488" s="57"/>
      <c r="U488" s="57"/>
      <c r="V488" s="57"/>
      <c r="W488" s="57"/>
      <c r="X488" s="57"/>
      <c r="Y488" s="57"/>
      <c r="Z488" s="57"/>
    </row>
    <row r="489">
      <c r="A489" s="58">
        <v>9457518.0</v>
      </c>
      <c r="B489" s="57" t="s">
        <v>1279</v>
      </c>
      <c r="C489" s="57" t="s">
        <v>247</v>
      </c>
      <c r="D489" s="58">
        <v>3.51</v>
      </c>
      <c r="E489" s="58">
        <v>1651.53</v>
      </c>
      <c r="F489" s="58">
        <v>4294153.0</v>
      </c>
      <c r="G489" s="57" t="s">
        <v>1296</v>
      </c>
      <c r="H489" s="57" t="s">
        <v>1297</v>
      </c>
      <c r="I489" s="57"/>
      <c r="J489" s="57"/>
      <c r="K489" s="57"/>
      <c r="L489" s="57"/>
      <c r="M489" s="57"/>
      <c r="N489" s="57"/>
      <c r="O489" s="57"/>
      <c r="P489" s="57"/>
      <c r="Q489" s="57"/>
      <c r="R489" s="57"/>
      <c r="S489" s="57"/>
      <c r="T489" s="57"/>
      <c r="U489" s="57"/>
      <c r="V489" s="57"/>
      <c r="W489" s="57"/>
      <c r="X489" s="57"/>
      <c r="Y489" s="57"/>
      <c r="Z489" s="57"/>
    </row>
    <row r="490">
      <c r="A490" s="58">
        <v>9457486.0</v>
      </c>
      <c r="B490" s="57" t="s">
        <v>1279</v>
      </c>
      <c r="C490" s="57" t="s">
        <v>247</v>
      </c>
      <c r="D490" s="58">
        <v>4.08</v>
      </c>
      <c r="E490" s="58">
        <v>1655.61</v>
      </c>
      <c r="F490" s="58">
        <v>4236228.0</v>
      </c>
      <c r="G490" s="57" t="s">
        <v>1298</v>
      </c>
      <c r="H490" s="57" t="s">
        <v>1299</v>
      </c>
      <c r="I490" s="57"/>
      <c r="J490" s="57"/>
      <c r="K490" s="57"/>
      <c r="L490" s="57"/>
      <c r="M490" s="57"/>
      <c r="N490" s="57"/>
      <c r="O490" s="57"/>
      <c r="P490" s="57"/>
      <c r="Q490" s="57"/>
      <c r="R490" s="57"/>
      <c r="S490" s="57"/>
      <c r="T490" s="57"/>
      <c r="U490" s="57"/>
      <c r="V490" s="57"/>
      <c r="W490" s="57"/>
      <c r="X490" s="57"/>
      <c r="Y490" s="57"/>
      <c r="Z490" s="57"/>
    </row>
    <row r="491">
      <c r="A491" s="58">
        <v>9457396.0</v>
      </c>
      <c r="B491" s="57" t="s">
        <v>1279</v>
      </c>
      <c r="C491" s="57" t="s">
        <v>247</v>
      </c>
      <c r="D491" s="58">
        <v>4.08</v>
      </c>
      <c r="E491" s="58">
        <v>1659.69</v>
      </c>
      <c r="F491" s="58">
        <v>4238109.0</v>
      </c>
      <c r="G491" s="57" t="s">
        <v>1300</v>
      </c>
      <c r="H491" s="57" t="s">
        <v>1301</v>
      </c>
      <c r="I491" s="57"/>
      <c r="J491" s="57"/>
      <c r="K491" s="57"/>
      <c r="L491" s="57"/>
      <c r="M491" s="57"/>
      <c r="N491" s="57"/>
      <c r="O491" s="57"/>
      <c r="P491" s="57"/>
      <c r="Q491" s="57"/>
      <c r="R491" s="57"/>
      <c r="S491" s="57"/>
      <c r="T491" s="57"/>
      <c r="U491" s="57"/>
      <c r="V491" s="57"/>
      <c r="W491" s="57"/>
      <c r="X491" s="57"/>
      <c r="Y491" s="57"/>
      <c r="Z491" s="57"/>
    </row>
    <row r="492">
      <c r="A492" s="58">
        <v>9457301.0</v>
      </c>
      <c r="B492" s="57" t="s">
        <v>1302</v>
      </c>
      <c r="C492" s="57" t="s">
        <v>247</v>
      </c>
      <c r="D492" s="58">
        <v>5.09</v>
      </c>
      <c r="E492" s="58">
        <v>1664.78</v>
      </c>
      <c r="F492" s="58">
        <v>4244542.0</v>
      </c>
      <c r="G492" s="57" t="s">
        <v>1303</v>
      </c>
      <c r="H492" s="57" t="s">
        <v>1304</v>
      </c>
      <c r="I492" s="57"/>
      <c r="J492" s="57"/>
      <c r="K492" s="57"/>
      <c r="L492" s="57"/>
      <c r="M492" s="57"/>
      <c r="N492" s="57"/>
      <c r="O492" s="57"/>
      <c r="P492" s="57"/>
      <c r="Q492" s="57"/>
      <c r="R492" s="57"/>
      <c r="S492" s="57"/>
      <c r="T492" s="57"/>
      <c r="U492" s="57"/>
      <c r="V492" s="57"/>
      <c r="W492" s="57"/>
      <c r="X492" s="57"/>
      <c r="Y492" s="57"/>
      <c r="Z492" s="57"/>
    </row>
    <row r="493">
      <c r="A493" s="58">
        <v>9443365.0</v>
      </c>
      <c r="B493" s="57" t="s">
        <v>1305</v>
      </c>
      <c r="C493" s="57" t="s">
        <v>210</v>
      </c>
      <c r="D493" s="58">
        <v>9.1</v>
      </c>
      <c r="E493" s="58">
        <v>1655.68</v>
      </c>
      <c r="F493" s="58">
        <v>4371441.0</v>
      </c>
      <c r="G493" s="58">
        <v>1.86991689E8</v>
      </c>
      <c r="H493" s="57" t="s">
        <v>1306</v>
      </c>
      <c r="I493" s="57"/>
      <c r="J493" s="57"/>
      <c r="K493" s="57"/>
      <c r="L493" s="57"/>
      <c r="M493" s="57"/>
      <c r="N493" s="57"/>
      <c r="O493" s="57"/>
      <c r="P493" s="57"/>
      <c r="Q493" s="57"/>
      <c r="R493" s="57"/>
      <c r="S493" s="57"/>
      <c r="T493" s="57"/>
      <c r="U493" s="57"/>
      <c r="V493" s="57"/>
      <c r="W493" s="57"/>
      <c r="X493" s="57"/>
      <c r="Y493" s="57"/>
      <c r="Z493" s="57"/>
    </row>
    <row r="494">
      <c r="A494" s="58">
        <v>9441325.0</v>
      </c>
      <c r="B494" s="57" t="s">
        <v>1307</v>
      </c>
      <c r="C494" s="57" t="s">
        <v>210</v>
      </c>
      <c r="D494" s="58">
        <v>17.09</v>
      </c>
      <c r="E494" s="58">
        <v>1638.59</v>
      </c>
      <c r="F494" s="58">
        <v>4367391.0</v>
      </c>
      <c r="G494" s="58">
        <v>1.86994302E8</v>
      </c>
      <c r="H494" s="57" t="s">
        <v>1308</v>
      </c>
      <c r="I494" s="57"/>
      <c r="J494" s="57"/>
      <c r="K494" s="57"/>
      <c r="L494" s="57"/>
      <c r="M494" s="57"/>
      <c r="N494" s="57"/>
      <c r="O494" s="57"/>
      <c r="P494" s="57"/>
      <c r="Q494" s="57"/>
      <c r="R494" s="57"/>
      <c r="S494" s="57"/>
      <c r="T494" s="57"/>
      <c r="U494" s="57"/>
      <c r="V494" s="57"/>
      <c r="W494" s="57"/>
      <c r="X494" s="57"/>
      <c r="Y494" s="57"/>
      <c r="Z494" s="57"/>
    </row>
    <row r="495">
      <c r="A495" s="58">
        <v>9433537.0</v>
      </c>
      <c r="B495" s="57" t="s">
        <v>1309</v>
      </c>
      <c r="C495" s="57" t="s">
        <v>210</v>
      </c>
      <c r="D495" s="58">
        <v>9.1</v>
      </c>
      <c r="E495" s="58">
        <v>1629.49</v>
      </c>
      <c r="F495" s="58">
        <v>4350802.0</v>
      </c>
      <c r="G495" s="58">
        <v>1.86991781E8</v>
      </c>
      <c r="H495" s="57" t="s">
        <v>1310</v>
      </c>
      <c r="I495" s="57"/>
      <c r="J495" s="57"/>
      <c r="K495" s="57"/>
      <c r="L495" s="57"/>
      <c r="M495" s="57"/>
      <c r="N495" s="57"/>
      <c r="O495" s="57"/>
      <c r="P495" s="57"/>
      <c r="Q495" s="57"/>
      <c r="R495" s="57"/>
      <c r="S495" s="57"/>
      <c r="T495" s="57"/>
      <c r="U495" s="57"/>
      <c r="V495" s="57"/>
      <c r="W495" s="57"/>
      <c r="X495" s="57"/>
      <c r="Y495" s="57"/>
      <c r="Z495" s="57"/>
    </row>
    <row r="496">
      <c r="A496" s="58">
        <v>9432883.0</v>
      </c>
      <c r="B496" s="57" t="s">
        <v>1309</v>
      </c>
      <c r="C496" s="57" t="s">
        <v>210</v>
      </c>
      <c r="D496" s="58">
        <v>7.32</v>
      </c>
      <c r="E496" s="58">
        <v>1622.17</v>
      </c>
      <c r="F496" s="58">
        <v>4349336.0</v>
      </c>
      <c r="G496" s="58">
        <v>1.86994372E8</v>
      </c>
      <c r="H496" s="57" t="s">
        <v>1311</v>
      </c>
      <c r="I496" s="57"/>
      <c r="J496" s="57"/>
      <c r="K496" s="57"/>
      <c r="L496" s="57"/>
      <c r="M496" s="57"/>
      <c r="N496" s="57"/>
      <c r="O496" s="57"/>
      <c r="P496" s="57"/>
      <c r="Q496" s="57"/>
      <c r="R496" s="57"/>
      <c r="S496" s="57"/>
      <c r="T496" s="57"/>
      <c r="U496" s="57"/>
      <c r="V496" s="57"/>
      <c r="W496" s="57"/>
      <c r="X496" s="57"/>
      <c r="Y496" s="57"/>
      <c r="Z496" s="57"/>
    </row>
    <row r="497">
      <c r="A497" s="58">
        <v>9432764.0</v>
      </c>
      <c r="B497" s="57" t="s">
        <v>1309</v>
      </c>
      <c r="C497" s="57" t="s">
        <v>210</v>
      </c>
      <c r="D497" s="58">
        <v>10.85</v>
      </c>
      <c r="E497" s="58">
        <v>1611.32</v>
      </c>
      <c r="F497" s="58">
        <v>4349017.0</v>
      </c>
      <c r="G497" s="57" t="s">
        <v>1312</v>
      </c>
      <c r="H497" s="57" t="s">
        <v>1313</v>
      </c>
      <c r="I497" s="57"/>
      <c r="J497" s="57"/>
      <c r="K497" s="57"/>
      <c r="L497" s="57"/>
      <c r="M497" s="57"/>
      <c r="N497" s="57"/>
      <c r="O497" s="57"/>
      <c r="P497" s="57"/>
      <c r="Q497" s="57"/>
      <c r="R497" s="57"/>
      <c r="S497" s="57"/>
      <c r="T497" s="57"/>
      <c r="U497" s="57"/>
      <c r="V497" s="57"/>
      <c r="W497" s="57"/>
      <c r="X497" s="57"/>
      <c r="Y497" s="57"/>
      <c r="Z497" s="57"/>
    </row>
    <row r="498">
      <c r="A498" s="58">
        <v>9431558.0</v>
      </c>
      <c r="B498" s="57" t="s">
        <v>1309</v>
      </c>
      <c r="C498" s="57" t="s">
        <v>210</v>
      </c>
      <c r="D498" s="58">
        <v>13.17</v>
      </c>
      <c r="E498" s="58">
        <v>1598.15</v>
      </c>
      <c r="F498" s="58">
        <v>4346381.0</v>
      </c>
      <c r="G498" s="57" t="s">
        <v>1314</v>
      </c>
      <c r="H498" s="57" t="s">
        <v>1315</v>
      </c>
      <c r="I498" s="57"/>
      <c r="J498" s="57"/>
      <c r="K498" s="57"/>
      <c r="L498" s="57"/>
      <c r="M498" s="57"/>
      <c r="N498" s="57"/>
      <c r="O498" s="57"/>
      <c r="P498" s="57"/>
      <c r="Q498" s="57"/>
      <c r="R498" s="57"/>
      <c r="S498" s="57"/>
      <c r="T498" s="57"/>
      <c r="U498" s="57"/>
      <c r="V498" s="57"/>
      <c r="W498" s="57"/>
      <c r="X498" s="57"/>
      <c r="Y498" s="57"/>
      <c r="Z498" s="57"/>
    </row>
    <row r="499">
      <c r="A499" s="58">
        <v>9428704.0</v>
      </c>
      <c r="B499" s="57" t="s">
        <v>1316</v>
      </c>
      <c r="C499" s="57" t="s">
        <v>210</v>
      </c>
      <c r="D499" s="58">
        <v>11.9</v>
      </c>
      <c r="E499" s="58">
        <v>1586.25</v>
      </c>
      <c r="F499" s="58">
        <v>4339582.0</v>
      </c>
      <c r="G499" s="57" t="s">
        <v>1317</v>
      </c>
      <c r="H499" s="57" t="s">
        <v>1318</v>
      </c>
      <c r="I499" s="57"/>
      <c r="J499" s="57"/>
      <c r="K499" s="57"/>
      <c r="L499" s="57"/>
      <c r="M499" s="57"/>
      <c r="N499" s="57"/>
      <c r="O499" s="57"/>
      <c r="P499" s="57"/>
      <c r="Q499" s="57"/>
      <c r="R499" s="57"/>
      <c r="S499" s="57"/>
      <c r="T499" s="57"/>
      <c r="U499" s="57"/>
      <c r="V499" s="57"/>
      <c r="W499" s="57"/>
      <c r="X499" s="57"/>
      <c r="Y499" s="57"/>
      <c r="Z499" s="57"/>
    </row>
    <row r="500">
      <c r="A500" s="58">
        <v>9427435.0</v>
      </c>
      <c r="B500" s="57" t="s">
        <v>1316</v>
      </c>
      <c r="C500" s="57" t="s">
        <v>210</v>
      </c>
      <c r="D500" s="58">
        <v>12.57</v>
      </c>
      <c r="E500" s="58">
        <v>1573.68</v>
      </c>
      <c r="F500" s="58">
        <v>4335801.0</v>
      </c>
      <c r="G500" s="57" t="s">
        <v>1319</v>
      </c>
      <c r="H500" s="57" t="s">
        <v>1320</v>
      </c>
      <c r="I500" s="57"/>
      <c r="J500" s="57"/>
      <c r="K500" s="57"/>
      <c r="L500" s="57"/>
      <c r="M500" s="57"/>
      <c r="N500" s="57"/>
      <c r="O500" s="57"/>
      <c r="P500" s="57"/>
      <c r="Q500" s="57"/>
      <c r="R500" s="57"/>
      <c r="S500" s="57"/>
      <c r="T500" s="57"/>
      <c r="U500" s="57"/>
      <c r="V500" s="57"/>
      <c r="W500" s="57"/>
      <c r="X500" s="57"/>
      <c r="Y500" s="57"/>
      <c r="Z500" s="57"/>
    </row>
    <row r="501">
      <c r="A501" s="58">
        <v>9427388.0</v>
      </c>
      <c r="B501" s="57" t="s">
        <v>1316</v>
      </c>
      <c r="C501" s="57" t="s">
        <v>210</v>
      </c>
      <c r="D501" s="58">
        <v>9.98</v>
      </c>
      <c r="E501" s="58">
        <v>1563.7</v>
      </c>
      <c r="F501" s="58">
        <v>4335681.0</v>
      </c>
      <c r="G501" s="58">
        <v>1.86995651E8</v>
      </c>
      <c r="H501" s="57" t="s">
        <v>1321</v>
      </c>
      <c r="I501" s="57"/>
      <c r="J501" s="57"/>
      <c r="K501" s="57"/>
      <c r="L501" s="57"/>
      <c r="M501" s="57"/>
      <c r="N501" s="57"/>
      <c r="O501" s="57"/>
      <c r="P501" s="57"/>
      <c r="Q501" s="57"/>
      <c r="R501" s="57"/>
      <c r="S501" s="57"/>
      <c r="T501" s="57"/>
      <c r="U501" s="57"/>
      <c r="V501" s="57"/>
      <c r="W501" s="57"/>
      <c r="X501" s="57"/>
      <c r="Y501" s="57"/>
      <c r="Z501" s="57"/>
    </row>
    <row r="502">
      <c r="A502" s="58">
        <v>9420693.0</v>
      </c>
      <c r="B502" s="57" t="s">
        <v>1322</v>
      </c>
      <c r="C502" s="57" t="s">
        <v>210</v>
      </c>
      <c r="D502" s="58">
        <v>11.43</v>
      </c>
      <c r="E502" s="58">
        <v>1552.27</v>
      </c>
      <c r="F502" s="58">
        <v>4097724.0</v>
      </c>
      <c r="G502" s="58">
        <v>1.86964457E8</v>
      </c>
      <c r="H502" s="57" t="s">
        <v>1323</v>
      </c>
      <c r="I502" s="57"/>
      <c r="J502" s="57"/>
      <c r="K502" s="57"/>
      <c r="L502" s="57"/>
      <c r="M502" s="57"/>
      <c r="N502" s="57"/>
      <c r="O502" s="57"/>
      <c r="P502" s="57"/>
      <c r="Q502" s="57"/>
      <c r="R502" s="57"/>
      <c r="S502" s="57"/>
      <c r="T502" s="57"/>
      <c r="U502" s="57"/>
      <c r="V502" s="57"/>
      <c r="W502" s="57"/>
      <c r="X502" s="57"/>
      <c r="Y502" s="57"/>
      <c r="Z502" s="57"/>
    </row>
    <row r="503">
      <c r="A503" s="58">
        <v>9419158.0</v>
      </c>
      <c r="B503" s="57" t="s">
        <v>1324</v>
      </c>
      <c r="C503" s="57" t="s">
        <v>247</v>
      </c>
      <c r="D503" s="58">
        <v>49.0</v>
      </c>
      <c r="E503" s="58">
        <v>1601.27</v>
      </c>
      <c r="F503" s="57"/>
      <c r="G503" s="57"/>
      <c r="H503" s="57" t="s">
        <v>1325</v>
      </c>
      <c r="I503" s="57"/>
      <c r="J503" s="57"/>
      <c r="K503" s="57"/>
      <c r="L503" s="57"/>
      <c r="M503" s="57"/>
      <c r="N503" s="57"/>
      <c r="O503" s="57"/>
      <c r="P503" s="57"/>
      <c r="Q503" s="57"/>
      <c r="R503" s="57"/>
      <c r="S503" s="57"/>
      <c r="T503" s="57"/>
      <c r="U503" s="57"/>
      <c r="V503" s="57"/>
      <c r="W503" s="57"/>
      <c r="X503" s="57"/>
      <c r="Y503" s="57"/>
      <c r="Z503" s="57"/>
    </row>
    <row r="504">
      <c r="A504" s="58">
        <v>9418112.0</v>
      </c>
      <c r="B504" s="57" t="s">
        <v>1326</v>
      </c>
      <c r="C504" s="57" t="s">
        <v>247</v>
      </c>
      <c r="D504" s="58">
        <v>5.64</v>
      </c>
      <c r="E504" s="58">
        <v>1606.9</v>
      </c>
      <c r="F504" s="58">
        <v>4246346.0</v>
      </c>
      <c r="G504" s="57" t="s">
        <v>1327</v>
      </c>
      <c r="H504" s="57" t="s">
        <v>1328</v>
      </c>
      <c r="I504" s="57"/>
      <c r="J504" s="57"/>
      <c r="K504" s="57"/>
      <c r="L504" s="57"/>
      <c r="M504" s="57"/>
      <c r="N504" s="57"/>
      <c r="O504" s="57"/>
      <c r="P504" s="57"/>
      <c r="Q504" s="57"/>
      <c r="R504" s="57"/>
      <c r="S504" s="57"/>
      <c r="T504" s="57"/>
      <c r="U504" s="57"/>
      <c r="V504" s="57"/>
      <c r="W504" s="57"/>
      <c r="X504" s="57"/>
      <c r="Y504" s="57"/>
      <c r="Z504" s="57"/>
    </row>
    <row r="505">
      <c r="A505" s="58">
        <v>9416296.0</v>
      </c>
      <c r="B505" s="57" t="s">
        <v>1329</v>
      </c>
      <c r="C505" s="57" t="s">
        <v>247</v>
      </c>
      <c r="D505" s="58">
        <v>6.31</v>
      </c>
      <c r="E505" s="58">
        <v>1613.21</v>
      </c>
      <c r="F505" s="58">
        <v>4175758.0</v>
      </c>
      <c r="G505" s="58">
        <v>1.86487381E8</v>
      </c>
      <c r="H505" s="57" t="s">
        <v>1330</v>
      </c>
      <c r="I505" s="57"/>
      <c r="J505" s="57"/>
      <c r="K505" s="57"/>
      <c r="L505" s="57"/>
      <c r="M505" s="57"/>
      <c r="N505" s="57"/>
      <c r="O505" s="57"/>
      <c r="P505" s="57"/>
      <c r="Q505" s="57"/>
      <c r="R505" s="57"/>
      <c r="S505" s="57"/>
      <c r="T505" s="57"/>
      <c r="U505" s="57"/>
      <c r="V505" s="57"/>
      <c r="W505" s="57"/>
      <c r="X505" s="57"/>
      <c r="Y505" s="57"/>
      <c r="Z505" s="57"/>
    </row>
    <row r="506">
      <c r="A506" s="58">
        <v>9401265.0</v>
      </c>
      <c r="B506" s="57" t="s">
        <v>1331</v>
      </c>
      <c r="C506" s="57" t="s">
        <v>210</v>
      </c>
      <c r="D506" s="58">
        <v>12.57</v>
      </c>
      <c r="E506" s="58">
        <v>1600.64</v>
      </c>
      <c r="F506" s="58">
        <v>4345698.0</v>
      </c>
      <c r="G506" s="57" t="s">
        <v>1332</v>
      </c>
      <c r="H506" s="57" t="s">
        <v>1333</v>
      </c>
      <c r="I506" s="57"/>
      <c r="J506" s="57"/>
      <c r="K506" s="57"/>
      <c r="L506" s="57"/>
      <c r="M506" s="57"/>
      <c r="N506" s="57"/>
      <c r="O506" s="57"/>
      <c r="P506" s="57"/>
      <c r="Q506" s="57"/>
      <c r="R506" s="57"/>
      <c r="S506" s="57"/>
      <c r="T506" s="57"/>
      <c r="U506" s="57"/>
      <c r="V506" s="57"/>
      <c r="W506" s="57"/>
      <c r="X506" s="57"/>
      <c r="Y506" s="57"/>
      <c r="Z506" s="57"/>
    </row>
    <row r="507">
      <c r="A507" s="58">
        <v>9397060.0</v>
      </c>
      <c r="B507" s="57" t="s">
        <v>1334</v>
      </c>
      <c r="C507" s="57" t="s">
        <v>210</v>
      </c>
      <c r="D507" s="58">
        <v>11.43</v>
      </c>
      <c r="E507" s="58">
        <v>1589.21</v>
      </c>
      <c r="F507" s="58">
        <v>4336605.0</v>
      </c>
      <c r="G507" s="58">
        <v>1.86991787E8</v>
      </c>
      <c r="H507" s="57" t="s">
        <v>1335</v>
      </c>
      <c r="I507" s="57"/>
      <c r="J507" s="57"/>
      <c r="K507" s="57"/>
      <c r="L507" s="57"/>
      <c r="M507" s="57"/>
      <c r="N507" s="57"/>
      <c r="O507" s="57"/>
      <c r="P507" s="57"/>
      <c r="Q507" s="57"/>
      <c r="R507" s="57"/>
      <c r="S507" s="57"/>
      <c r="T507" s="57"/>
      <c r="U507" s="57"/>
      <c r="V507" s="57"/>
      <c r="W507" s="57"/>
      <c r="X507" s="57"/>
      <c r="Y507" s="57"/>
      <c r="Z507" s="57"/>
    </row>
    <row r="508">
      <c r="A508" s="58">
        <v>9395683.0</v>
      </c>
      <c r="B508" s="57" t="s">
        <v>1336</v>
      </c>
      <c r="C508" s="57" t="s">
        <v>210</v>
      </c>
      <c r="D508" s="58">
        <v>10.96</v>
      </c>
      <c r="E508" s="58">
        <v>1578.25</v>
      </c>
      <c r="F508" s="58">
        <v>4333252.0</v>
      </c>
      <c r="G508" s="57" t="s">
        <v>1337</v>
      </c>
      <c r="H508" s="57" t="s">
        <v>1338</v>
      </c>
      <c r="I508" s="57"/>
      <c r="J508" s="57"/>
      <c r="K508" s="57"/>
      <c r="L508" s="57"/>
      <c r="M508" s="57"/>
      <c r="N508" s="57"/>
      <c r="O508" s="57"/>
      <c r="P508" s="57"/>
      <c r="Q508" s="57"/>
      <c r="R508" s="57"/>
      <c r="S508" s="57"/>
      <c r="T508" s="57"/>
      <c r="U508" s="57"/>
      <c r="V508" s="57"/>
      <c r="W508" s="57"/>
      <c r="X508" s="57"/>
      <c r="Y508" s="57"/>
      <c r="Z508" s="57"/>
    </row>
    <row r="509">
      <c r="A509" s="58">
        <v>9391903.0</v>
      </c>
      <c r="B509" s="57" t="s">
        <v>1339</v>
      </c>
      <c r="C509" s="57" t="s">
        <v>210</v>
      </c>
      <c r="D509" s="58">
        <v>14.34</v>
      </c>
      <c r="E509" s="58">
        <v>1563.91</v>
      </c>
      <c r="F509" s="58">
        <v>4318932.0</v>
      </c>
      <c r="G509" s="57" t="s">
        <v>1340</v>
      </c>
      <c r="H509" s="57" t="s">
        <v>1341</v>
      </c>
      <c r="I509" s="57"/>
      <c r="J509" s="57"/>
      <c r="K509" s="57"/>
      <c r="L509" s="57"/>
      <c r="M509" s="57"/>
      <c r="N509" s="57"/>
      <c r="O509" s="57"/>
      <c r="P509" s="57"/>
      <c r="Q509" s="57"/>
      <c r="R509" s="57"/>
      <c r="S509" s="57"/>
      <c r="T509" s="57"/>
      <c r="U509" s="57"/>
      <c r="V509" s="57"/>
      <c r="W509" s="57"/>
      <c r="X509" s="57"/>
      <c r="Y509" s="57"/>
      <c r="Z509" s="57"/>
    </row>
    <row r="510">
      <c r="A510" s="58">
        <v>9391777.0</v>
      </c>
      <c r="B510" s="57" t="s">
        <v>1339</v>
      </c>
      <c r="C510" s="57" t="s">
        <v>210</v>
      </c>
      <c r="D510" s="58">
        <v>14.34</v>
      </c>
      <c r="E510" s="58">
        <v>1549.57</v>
      </c>
      <c r="F510" s="58">
        <v>4318330.0</v>
      </c>
      <c r="G510" s="57" t="s">
        <v>1342</v>
      </c>
      <c r="H510" s="57" t="s">
        <v>1343</v>
      </c>
      <c r="I510" s="57"/>
      <c r="J510" s="57"/>
      <c r="K510" s="57"/>
      <c r="L510" s="57"/>
      <c r="M510" s="57"/>
      <c r="N510" s="57"/>
      <c r="O510" s="57"/>
      <c r="P510" s="57"/>
      <c r="Q510" s="57"/>
      <c r="R510" s="57"/>
      <c r="S510" s="57"/>
      <c r="T510" s="57"/>
      <c r="U510" s="57"/>
      <c r="V510" s="57"/>
      <c r="W510" s="57"/>
      <c r="X510" s="57"/>
      <c r="Y510" s="57"/>
      <c r="Z510" s="57"/>
    </row>
    <row r="511">
      <c r="A511" s="58">
        <v>9390248.0</v>
      </c>
      <c r="B511" s="57" t="s">
        <v>1339</v>
      </c>
      <c r="C511" s="57" t="s">
        <v>210</v>
      </c>
      <c r="D511" s="58">
        <v>11.89</v>
      </c>
      <c r="E511" s="58">
        <v>1537.68</v>
      </c>
      <c r="F511" s="58">
        <v>4307059.0</v>
      </c>
      <c r="G511" s="57" t="s">
        <v>1344</v>
      </c>
      <c r="H511" s="57" t="s">
        <v>1345</v>
      </c>
      <c r="I511" s="57"/>
      <c r="J511" s="57"/>
      <c r="K511" s="57"/>
      <c r="L511" s="57"/>
      <c r="M511" s="57"/>
      <c r="N511" s="57"/>
      <c r="O511" s="57"/>
      <c r="P511" s="57"/>
      <c r="Q511" s="57"/>
      <c r="R511" s="57"/>
      <c r="S511" s="57"/>
      <c r="T511" s="57"/>
      <c r="U511" s="57"/>
      <c r="V511" s="57"/>
      <c r="W511" s="57"/>
      <c r="X511" s="57"/>
      <c r="Y511" s="57"/>
      <c r="Z511" s="57"/>
    </row>
    <row r="512">
      <c r="A512" s="58">
        <v>9387163.0</v>
      </c>
      <c r="B512" s="57" t="s">
        <v>1346</v>
      </c>
      <c r="C512" s="57" t="s">
        <v>210</v>
      </c>
      <c r="D512" s="58">
        <v>16.79</v>
      </c>
      <c r="E512" s="58">
        <v>1520.89</v>
      </c>
      <c r="F512" s="58">
        <v>4264663.0</v>
      </c>
      <c r="G512" s="57" t="s">
        <v>1347</v>
      </c>
      <c r="H512" s="57" t="s">
        <v>1348</v>
      </c>
      <c r="I512" s="57"/>
      <c r="J512" s="57"/>
      <c r="K512" s="57"/>
      <c r="L512" s="57"/>
      <c r="M512" s="57"/>
      <c r="N512" s="57"/>
      <c r="O512" s="57"/>
      <c r="P512" s="57"/>
      <c r="Q512" s="57"/>
      <c r="R512" s="57"/>
      <c r="S512" s="57"/>
      <c r="T512" s="57"/>
      <c r="U512" s="57"/>
      <c r="V512" s="57"/>
      <c r="W512" s="57"/>
      <c r="X512" s="57"/>
      <c r="Y512" s="57"/>
      <c r="Z512" s="57"/>
    </row>
    <row r="513">
      <c r="A513" s="58">
        <v>9387131.0</v>
      </c>
      <c r="B513" s="57" t="s">
        <v>1346</v>
      </c>
      <c r="C513" s="57" t="s">
        <v>210</v>
      </c>
      <c r="D513" s="58">
        <v>15.13</v>
      </c>
      <c r="E513" s="58">
        <v>1505.76</v>
      </c>
      <c r="F513" s="58">
        <v>4264203.0</v>
      </c>
      <c r="G513" s="58">
        <v>1.86537102E8</v>
      </c>
      <c r="H513" s="57" t="s">
        <v>1349</v>
      </c>
      <c r="I513" s="57"/>
      <c r="J513" s="57"/>
      <c r="K513" s="57"/>
      <c r="L513" s="57"/>
      <c r="M513" s="57"/>
      <c r="N513" s="57"/>
      <c r="O513" s="57"/>
      <c r="P513" s="57"/>
      <c r="Q513" s="57"/>
      <c r="R513" s="57"/>
      <c r="S513" s="57"/>
      <c r="T513" s="57"/>
      <c r="U513" s="57"/>
      <c r="V513" s="57"/>
      <c r="W513" s="57"/>
      <c r="X513" s="57"/>
      <c r="Y513" s="57"/>
      <c r="Z513" s="57"/>
    </row>
    <row r="514">
      <c r="A514" s="58">
        <v>9386863.0</v>
      </c>
      <c r="B514" s="57" t="s">
        <v>1346</v>
      </c>
      <c r="C514" s="57" t="s">
        <v>210</v>
      </c>
      <c r="D514" s="58">
        <v>14.34</v>
      </c>
      <c r="E514" s="58">
        <v>1491.42</v>
      </c>
      <c r="F514" s="58">
        <v>4258973.0</v>
      </c>
      <c r="G514" s="57" t="s">
        <v>1350</v>
      </c>
      <c r="H514" s="57" t="s">
        <v>1351</v>
      </c>
      <c r="I514" s="57"/>
      <c r="J514" s="57"/>
      <c r="K514" s="57"/>
      <c r="L514" s="57"/>
      <c r="M514" s="57"/>
      <c r="N514" s="57"/>
      <c r="O514" s="57"/>
      <c r="P514" s="57"/>
      <c r="Q514" s="57"/>
      <c r="R514" s="57"/>
      <c r="S514" s="57"/>
      <c r="T514" s="57"/>
      <c r="U514" s="57"/>
      <c r="V514" s="57"/>
      <c r="W514" s="57"/>
      <c r="X514" s="57"/>
      <c r="Y514" s="57"/>
      <c r="Z514" s="57"/>
    </row>
    <row r="515">
      <c r="A515" s="58">
        <v>9383837.0</v>
      </c>
      <c r="B515" s="57" t="s">
        <v>1352</v>
      </c>
      <c r="C515" s="57" t="s">
        <v>247</v>
      </c>
      <c r="D515" s="58">
        <v>5.09</v>
      </c>
      <c r="E515" s="58">
        <v>1496.51</v>
      </c>
      <c r="F515" s="58">
        <v>4090707.0</v>
      </c>
      <c r="G515" s="57" t="s">
        <v>1353</v>
      </c>
      <c r="H515" s="57" t="s">
        <v>1354</v>
      </c>
      <c r="I515" s="57"/>
      <c r="J515" s="57"/>
      <c r="K515" s="57"/>
      <c r="L515" s="57"/>
      <c r="M515" s="57"/>
      <c r="N515" s="57"/>
      <c r="O515" s="57"/>
      <c r="P515" s="57"/>
      <c r="Q515" s="57"/>
      <c r="R515" s="57"/>
      <c r="S515" s="57"/>
      <c r="T515" s="57"/>
      <c r="U515" s="57"/>
      <c r="V515" s="57"/>
      <c r="W515" s="57"/>
      <c r="X515" s="57"/>
      <c r="Y515" s="57"/>
      <c r="Z515" s="57"/>
    </row>
    <row r="516">
      <c r="A516" s="58">
        <v>9383827.0</v>
      </c>
      <c r="B516" s="57" t="s">
        <v>1352</v>
      </c>
      <c r="C516" s="57" t="s">
        <v>247</v>
      </c>
      <c r="D516" s="58">
        <v>5.06</v>
      </c>
      <c r="E516" s="58">
        <v>1501.57</v>
      </c>
      <c r="F516" s="58">
        <v>4184291.0</v>
      </c>
      <c r="G516" s="57" t="s">
        <v>1355</v>
      </c>
      <c r="H516" s="57" t="s">
        <v>1356</v>
      </c>
      <c r="I516" s="57"/>
      <c r="J516" s="57"/>
      <c r="K516" s="57"/>
      <c r="L516" s="57"/>
      <c r="M516" s="57"/>
      <c r="N516" s="57"/>
      <c r="O516" s="57"/>
      <c r="P516" s="57"/>
      <c r="Q516" s="57"/>
      <c r="R516" s="57"/>
      <c r="S516" s="57"/>
      <c r="T516" s="57"/>
      <c r="U516" s="57"/>
      <c r="V516" s="57"/>
      <c r="W516" s="57"/>
      <c r="X516" s="57"/>
      <c r="Y516" s="57"/>
      <c r="Z516" s="57"/>
    </row>
    <row r="517">
      <c r="A517" s="58">
        <v>9383765.0</v>
      </c>
      <c r="B517" s="57" t="s">
        <v>1352</v>
      </c>
      <c r="C517" s="57" t="s">
        <v>247</v>
      </c>
      <c r="D517" s="58">
        <v>5.12</v>
      </c>
      <c r="E517" s="58">
        <v>1506.69</v>
      </c>
      <c r="F517" s="58">
        <v>4184477.0</v>
      </c>
      <c r="G517" s="57" t="s">
        <v>1357</v>
      </c>
      <c r="H517" s="57" t="s">
        <v>1358</v>
      </c>
      <c r="I517" s="57"/>
      <c r="J517" s="57"/>
      <c r="K517" s="57"/>
      <c r="L517" s="57"/>
      <c r="M517" s="57"/>
      <c r="N517" s="57"/>
      <c r="O517" s="57"/>
      <c r="P517" s="57"/>
      <c r="Q517" s="57"/>
      <c r="R517" s="57"/>
      <c r="S517" s="57"/>
      <c r="T517" s="57"/>
      <c r="U517" s="57"/>
      <c r="V517" s="57"/>
      <c r="W517" s="57"/>
      <c r="X517" s="57"/>
      <c r="Y517" s="57"/>
      <c r="Z517" s="57"/>
    </row>
    <row r="518">
      <c r="A518" s="58">
        <v>9383727.0</v>
      </c>
      <c r="B518" s="57" t="s">
        <v>1352</v>
      </c>
      <c r="C518" s="57" t="s">
        <v>247</v>
      </c>
      <c r="D518" s="58">
        <v>3.48</v>
      </c>
      <c r="E518" s="58">
        <v>1510.17</v>
      </c>
      <c r="F518" s="58">
        <v>4175299.0</v>
      </c>
      <c r="G518" s="57" t="s">
        <v>1359</v>
      </c>
      <c r="H518" s="57" t="s">
        <v>1360</v>
      </c>
      <c r="I518" s="57"/>
      <c r="J518" s="57"/>
      <c r="K518" s="57"/>
      <c r="L518" s="57"/>
      <c r="M518" s="57"/>
      <c r="N518" s="57"/>
      <c r="O518" s="57"/>
      <c r="P518" s="57"/>
      <c r="Q518" s="57"/>
      <c r="R518" s="57"/>
      <c r="S518" s="57"/>
      <c r="T518" s="57"/>
      <c r="U518" s="57"/>
      <c r="V518" s="57"/>
      <c r="W518" s="57"/>
      <c r="X518" s="57"/>
      <c r="Y518" s="57"/>
      <c r="Z518" s="57"/>
    </row>
    <row r="519">
      <c r="A519" s="58">
        <v>9383678.0</v>
      </c>
      <c r="B519" s="57" t="s">
        <v>1352</v>
      </c>
      <c r="C519" s="57" t="s">
        <v>247</v>
      </c>
      <c r="D519" s="58">
        <v>5.06</v>
      </c>
      <c r="E519" s="58">
        <v>1515.23</v>
      </c>
      <c r="F519" s="58">
        <v>4091721.0</v>
      </c>
      <c r="G519" s="57" t="s">
        <v>1361</v>
      </c>
      <c r="H519" s="57" t="s">
        <v>1362</v>
      </c>
      <c r="I519" s="57"/>
      <c r="J519" s="57"/>
      <c r="K519" s="57"/>
      <c r="L519" s="57"/>
      <c r="M519" s="57"/>
      <c r="N519" s="57"/>
      <c r="O519" s="57"/>
      <c r="P519" s="57"/>
      <c r="Q519" s="57"/>
      <c r="R519" s="57"/>
      <c r="S519" s="57"/>
      <c r="T519" s="57"/>
      <c r="U519" s="57"/>
      <c r="V519" s="57"/>
      <c r="W519" s="57"/>
      <c r="X519" s="57"/>
      <c r="Y519" s="57"/>
      <c r="Z519" s="57"/>
    </row>
    <row r="520">
      <c r="A520" s="58">
        <v>9383665.0</v>
      </c>
      <c r="B520" s="57" t="s">
        <v>1352</v>
      </c>
      <c r="C520" s="57" t="s">
        <v>247</v>
      </c>
      <c r="D520" s="58">
        <v>5.06</v>
      </c>
      <c r="E520" s="58">
        <v>1520.29</v>
      </c>
      <c r="F520" s="58">
        <v>4186515.0</v>
      </c>
      <c r="G520" s="57" t="s">
        <v>1363</v>
      </c>
      <c r="H520" s="57" t="s">
        <v>1364</v>
      </c>
      <c r="I520" s="57"/>
      <c r="J520" s="57"/>
      <c r="K520" s="57"/>
      <c r="L520" s="57"/>
      <c r="M520" s="57"/>
      <c r="N520" s="57"/>
      <c r="O520" s="57"/>
      <c r="P520" s="57"/>
      <c r="Q520" s="57"/>
      <c r="R520" s="57"/>
      <c r="S520" s="57"/>
      <c r="T520" s="57"/>
      <c r="U520" s="57"/>
      <c r="V520" s="57"/>
      <c r="W520" s="57"/>
      <c r="X520" s="57"/>
      <c r="Y520" s="57"/>
      <c r="Z520" s="57"/>
    </row>
    <row r="521">
      <c r="A521" s="58">
        <v>9383454.0</v>
      </c>
      <c r="B521" s="57" t="s">
        <v>1365</v>
      </c>
      <c r="C521" s="57" t="s">
        <v>247</v>
      </c>
      <c r="D521" s="58">
        <v>5.12</v>
      </c>
      <c r="E521" s="58">
        <v>1525.41</v>
      </c>
      <c r="F521" s="58">
        <v>4176964.0</v>
      </c>
      <c r="G521" s="57" t="s">
        <v>1366</v>
      </c>
      <c r="H521" s="57" t="s">
        <v>1367</v>
      </c>
      <c r="I521" s="57"/>
      <c r="J521" s="57"/>
      <c r="K521" s="57"/>
      <c r="L521" s="57"/>
      <c r="M521" s="57"/>
      <c r="N521" s="57"/>
      <c r="O521" s="57"/>
      <c r="P521" s="57"/>
      <c r="Q521" s="57"/>
      <c r="R521" s="57"/>
      <c r="S521" s="57"/>
      <c r="T521" s="57"/>
      <c r="U521" s="57"/>
      <c r="V521" s="57"/>
      <c r="W521" s="57"/>
      <c r="X521" s="57"/>
      <c r="Y521" s="57"/>
      <c r="Z521" s="57"/>
    </row>
    <row r="522">
      <c r="A522" s="58">
        <v>9383452.0</v>
      </c>
      <c r="B522" s="57" t="s">
        <v>1365</v>
      </c>
      <c r="C522" s="57" t="s">
        <v>247</v>
      </c>
      <c r="D522" s="58">
        <v>3.45</v>
      </c>
      <c r="E522" s="58">
        <v>1528.86</v>
      </c>
      <c r="F522" s="58">
        <v>4172400.0</v>
      </c>
      <c r="G522" s="57" t="s">
        <v>1368</v>
      </c>
      <c r="H522" s="57" t="s">
        <v>1369</v>
      </c>
      <c r="I522" s="57"/>
      <c r="J522" s="57"/>
      <c r="K522" s="57"/>
      <c r="L522" s="57"/>
      <c r="M522" s="57"/>
      <c r="N522" s="57"/>
      <c r="O522" s="57"/>
      <c r="P522" s="57"/>
      <c r="Q522" s="57"/>
      <c r="R522" s="57"/>
      <c r="S522" s="57"/>
      <c r="T522" s="57"/>
      <c r="U522" s="57"/>
      <c r="V522" s="57"/>
      <c r="W522" s="57"/>
      <c r="X522" s="57"/>
      <c r="Y522" s="57"/>
      <c r="Z522" s="57"/>
    </row>
    <row r="523">
      <c r="A523" s="58">
        <v>9383411.0</v>
      </c>
      <c r="B523" s="57" t="s">
        <v>1365</v>
      </c>
      <c r="C523" s="57" t="s">
        <v>247</v>
      </c>
      <c r="D523" s="58">
        <v>5.67</v>
      </c>
      <c r="E523" s="58">
        <v>1534.53</v>
      </c>
      <c r="F523" s="58">
        <v>4176961.0</v>
      </c>
      <c r="G523" s="57" t="s">
        <v>1370</v>
      </c>
      <c r="H523" s="57" t="s">
        <v>1371</v>
      </c>
      <c r="I523" s="57"/>
      <c r="J523" s="57"/>
      <c r="K523" s="57"/>
      <c r="L523" s="57"/>
      <c r="M523" s="57"/>
      <c r="N523" s="57"/>
      <c r="O523" s="57"/>
      <c r="P523" s="57"/>
      <c r="Q523" s="57"/>
      <c r="R523" s="57"/>
      <c r="S523" s="57"/>
      <c r="T523" s="57"/>
      <c r="U523" s="57"/>
      <c r="V523" s="57"/>
      <c r="W523" s="57"/>
      <c r="X523" s="57"/>
      <c r="Y523" s="57"/>
      <c r="Z523" s="57"/>
    </row>
    <row r="524">
      <c r="A524" s="58">
        <v>9383282.0</v>
      </c>
      <c r="B524" s="57" t="s">
        <v>1372</v>
      </c>
      <c r="C524" s="57" t="s">
        <v>247</v>
      </c>
      <c r="D524" s="58">
        <v>5.09</v>
      </c>
      <c r="E524" s="58">
        <v>1539.62</v>
      </c>
      <c r="F524" s="58">
        <v>4187094.0</v>
      </c>
      <c r="G524" s="57" t="s">
        <v>1373</v>
      </c>
      <c r="H524" s="57" t="s">
        <v>1374</v>
      </c>
      <c r="I524" s="57"/>
      <c r="J524" s="57"/>
      <c r="K524" s="57"/>
      <c r="L524" s="57"/>
      <c r="M524" s="57"/>
      <c r="N524" s="57"/>
      <c r="O524" s="57"/>
      <c r="P524" s="57"/>
      <c r="Q524" s="57"/>
      <c r="R524" s="57"/>
      <c r="S524" s="57"/>
      <c r="T524" s="57"/>
      <c r="U524" s="57"/>
      <c r="V524" s="57"/>
      <c r="W524" s="57"/>
      <c r="X524" s="57"/>
      <c r="Y524" s="57"/>
      <c r="Z524" s="57"/>
    </row>
    <row r="525">
      <c r="A525" s="58">
        <v>9382881.0</v>
      </c>
      <c r="B525" s="57" t="s">
        <v>1375</v>
      </c>
      <c r="C525" s="57" t="s">
        <v>247</v>
      </c>
      <c r="D525" s="58">
        <v>5.13</v>
      </c>
      <c r="E525" s="58">
        <v>1544.75</v>
      </c>
      <c r="F525" s="58">
        <v>4095053.0</v>
      </c>
      <c r="G525" s="57" t="s">
        <v>1376</v>
      </c>
      <c r="H525" s="57" t="s">
        <v>1377</v>
      </c>
      <c r="I525" s="57"/>
      <c r="J525" s="57"/>
      <c r="K525" s="57"/>
      <c r="L525" s="57"/>
      <c r="M525" s="57"/>
      <c r="N525" s="57"/>
      <c r="O525" s="57"/>
      <c r="P525" s="57"/>
      <c r="Q525" s="57"/>
      <c r="R525" s="57"/>
      <c r="S525" s="57"/>
      <c r="T525" s="57"/>
      <c r="U525" s="57"/>
      <c r="V525" s="57"/>
      <c r="W525" s="57"/>
      <c r="X525" s="57"/>
      <c r="Y525" s="57"/>
      <c r="Z525" s="57"/>
    </row>
    <row r="526">
      <c r="A526" s="58">
        <v>9380335.0</v>
      </c>
      <c r="B526" s="57" t="s">
        <v>1378</v>
      </c>
      <c r="C526" s="57" t="s">
        <v>247</v>
      </c>
      <c r="D526" s="58">
        <v>7.67</v>
      </c>
      <c r="E526" s="58">
        <v>1552.42</v>
      </c>
      <c r="F526" s="58">
        <v>3957112.0</v>
      </c>
      <c r="G526" s="58">
        <v>1.86904586E8</v>
      </c>
      <c r="H526" s="57" t="s">
        <v>1379</v>
      </c>
      <c r="I526" s="57"/>
      <c r="J526" s="57"/>
      <c r="K526" s="57"/>
      <c r="L526" s="57"/>
      <c r="M526" s="57"/>
      <c r="N526" s="57"/>
      <c r="O526" s="57"/>
      <c r="P526" s="57"/>
      <c r="Q526" s="57"/>
      <c r="R526" s="57"/>
      <c r="S526" s="57"/>
      <c r="T526" s="57"/>
      <c r="U526" s="57"/>
      <c r="V526" s="57"/>
      <c r="W526" s="57"/>
      <c r="X526" s="57"/>
      <c r="Y526" s="57"/>
      <c r="Z526" s="57"/>
    </row>
    <row r="527">
      <c r="A527" s="58">
        <v>9376619.0</v>
      </c>
      <c r="B527" s="57" t="s">
        <v>1380</v>
      </c>
      <c r="C527" s="57" t="s">
        <v>247</v>
      </c>
      <c r="D527" s="58">
        <v>7.67</v>
      </c>
      <c r="E527" s="58">
        <v>1560.09</v>
      </c>
      <c r="F527" s="58">
        <v>4159015.0</v>
      </c>
      <c r="G527" s="58">
        <v>1.86487428E8</v>
      </c>
      <c r="H527" s="57" t="s">
        <v>1381</v>
      </c>
      <c r="I527" s="57"/>
      <c r="J527" s="57"/>
      <c r="K527" s="57"/>
      <c r="L527" s="57"/>
      <c r="M527" s="57"/>
      <c r="N527" s="57"/>
      <c r="O527" s="57"/>
      <c r="P527" s="57"/>
      <c r="Q527" s="57"/>
      <c r="R527" s="57"/>
      <c r="S527" s="57"/>
      <c r="T527" s="57"/>
      <c r="U527" s="57"/>
      <c r="V527" s="57"/>
      <c r="W527" s="57"/>
      <c r="X527" s="57"/>
      <c r="Y527" s="57"/>
      <c r="Z527" s="57"/>
    </row>
    <row r="528">
      <c r="A528" s="58">
        <v>9376605.0</v>
      </c>
      <c r="B528" s="57" t="s">
        <v>1380</v>
      </c>
      <c r="C528" s="57" t="s">
        <v>247</v>
      </c>
      <c r="D528" s="58">
        <v>6.38</v>
      </c>
      <c r="E528" s="58">
        <v>1566.47</v>
      </c>
      <c r="F528" s="58">
        <v>4183822.0</v>
      </c>
      <c r="G528" s="58">
        <v>1.86507659E8</v>
      </c>
      <c r="H528" s="57" t="s">
        <v>1382</v>
      </c>
      <c r="I528" s="57"/>
      <c r="J528" s="57"/>
      <c r="K528" s="57"/>
      <c r="L528" s="57"/>
      <c r="M528" s="57"/>
      <c r="N528" s="57"/>
      <c r="O528" s="57"/>
      <c r="P528" s="57"/>
      <c r="Q528" s="57"/>
      <c r="R528" s="57"/>
      <c r="S528" s="57"/>
      <c r="T528" s="57"/>
      <c r="U528" s="57"/>
      <c r="V528" s="57"/>
      <c r="W528" s="57"/>
      <c r="X528" s="57"/>
      <c r="Y528" s="57"/>
      <c r="Z528" s="57"/>
    </row>
    <row r="529">
      <c r="A529" s="58">
        <v>9376571.0</v>
      </c>
      <c r="B529" s="57" t="s">
        <v>1380</v>
      </c>
      <c r="C529" s="57" t="s">
        <v>247</v>
      </c>
      <c r="D529" s="58">
        <v>7.75</v>
      </c>
      <c r="E529" s="58">
        <v>1574.22</v>
      </c>
      <c r="F529" s="58">
        <v>4160037.0</v>
      </c>
      <c r="G529" s="58">
        <v>1.86487427E8</v>
      </c>
      <c r="H529" s="57" t="s">
        <v>1383</v>
      </c>
      <c r="I529" s="57"/>
      <c r="J529" s="57"/>
      <c r="K529" s="57"/>
      <c r="L529" s="57"/>
      <c r="M529" s="57"/>
      <c r="N529" s="57"/>
      <c r="O529" s="57"/>
      <c r="P529" s="57"/>
      <c r="Q529" s="57"/>
      <c r="R529" s="57"/>
      <c r="S529" s="57"/>
      <c r="T529" s="57"/>
      <c r="U529" s="57"/>
      <c r="V529" s="57"/>
      <c r="W529" s="57"/>
      <c r="X529" s="57"/>
      <c r="Y529" s="57"/>
      <c r="Z529" s="57"/>
    </row>
    <row r="530">
      <c r="A530" s="58">
        <v>9368843.0</v>
      </c>
      <c r="B530" s="57" t="s">
        <v>1384</v>
      </c>
      <c r="C530" s="57" t="s">
        <v>210</v>
      </c>
      <c r="D530" s="58">
        <v>14.34</v>
      </c>
      <c r="E530" s="58">
        <v>1559.88</v>
      </c>
      <c r="F530" s="58">
        <v>4336473.0</v>
      </c>
      <c r="G530" s="57" t="s">
        <v>1385</v>
      </c>
      <c r="H530" s="57" t="s">
        <v>1386</v>
      </c>
      <c r="I530" s="57"/>
      <c r="J530" s="57"/>
      <c r="K530" s="57"/>
      <c r="L530" s="57"/>
      <c r="M530" s="57"/>
      <c r="N530" s="57"/>
      <c r="O530" s="57"/>
      <c r="P530" s="57"/>
      <c r="Q530" s="57"/>
      <c r="R530" s="57"/>
      <c r="S530" s="57"/>
      <c r="T530" s="57"/>
      <c r="U530" s="57"/>
      <c r="V530" s="57"/>
      <c r="W530" s="57"/>
      <c r="X530" s="57"/>
      <c r="Y530" s="57"/>
      <c r="Z530" s="57"/>
    </row>
    <row r="531">
      <c r="A531" s="58">
        <v>9368438.0</v>
      </c>
      <c r="B531" s="57" t="s">
        <v>1384</v>
      </c>
      <c r="C531" s="57" t="s">
        <v>210</v>
      </c>
      <c r="D531" s="58">
        <v>9.1</v>
      </c>
      <c r="E531" s="58">
        <v>1550.78</v>
      </c>
      <c r="F531" s="58">
        <v>4335635.0</v>
      </c>
      <c r="G531" s="58">
        <v>1.86556558E8</v>
      </c>
      <c r="H531" s="57" t="s">
        <v>1387</v>
      </c>
      <c r="I531" s="57"/>
      <c r="J531" s="57"/>
      <c r="K531" s="57"/>
      <c r="L531" s="57"/>
      <c r="M531" s="57"/>
      <c r="N531" s="57"/>
      <c r="O531" s="57"/>
      <c r="P531" s="57"/>
      <c r="Q531" s="57"/>
      <c r="R531" s="57"/>
      <c r="S531" s="57"/>
      <c r="T531" s="57"/>
      <c r="U531" s="57"/>
      <c r="V531" s="57"/>
      <c r="W531" s="57"/>
      <c r="X531" s="57"/>
      <c r="Y531" s="57"/>
      <c r="Z531" s="57"/>
    </row>
    <row r="532">
      <c r="A532" s="58">
        <v>9368356.0</v>
      </c>
      <c r="B532" s="57" t="s">
        <v>1384</v>
      </c>
      <c r="C532" s="57" t="s">
        <v>210</v>
      </c>
      <c r="D532" s="58">
        <v>11.89</v>
      </c>
      <c r="E532" s="58">
        <v>1538.89</v>
      </c>
      <c r="F532" s="58">
        <v>4335450.0</v>
      </c>
      <c r="G532" s="57" t="s">
        <v>1388</v>
      </c>
      <c r="H532" s="57" t="s">
        <v>1389</v>
      </c>
      <c r="I532" s="57"/>
      <c r="J532" s="57"/>
      <c r="K532" s="57"/>
      <c r="L532" s="57"/>
      <c r="M532" s="57"/>
      <c r="N532" s="57"/>
      <c r="O532" s="57"/>
      <c r="P532" s="57"/>
      <c r="Q532" s="57"/>
      <c r="R532" s="57"/>
      <c r="S532" s="57"/>
      <c r="T532" s="57"/>
      <c r="U532" s="57"/>
      <c r="V532" s="57"/>
      <c r="W532" s="57"/>
      <c r="X532" s="57"/>
      <c r="Y532" s="57"/>
      <c r="Z532" s="57"/>
    </row>
    <row r="533">
      <c r="A533" s="58">
        <v>9366437.0</v>
      </c>
      <c r="B533" s="57" t="s">
        <v>1390</v>
      </c>
      <c r="C533" s="57" t="s">
        <v>210</v>
      </c>
      <c r="D533" s="58">
        <v>13.17</v>
      </c>
      <c r="E533" s="58">
        <v>1525.72</v>
      </c>
      <c r="F533" s="58">
        <v>4332272.0</v>
      </c>
      <c r="G533" s="57" t="s">
        <v>1391</v>
      </c>
      <c r="H533" s="57" t="s">
        <v>1392</v>
      </c>
      <c r="I533" s="57"/>
      <c r="J533" s="57"/>
      <c r="K533" s="57"/>
      <c r="L533" s="57"/>
      <c r="M533" s="57"/>
      <c r="N533" s="57"/>
      <c r="O533" s="57"/>
      <c r="P533" s="57"/>
      <c r="Q533" s="57"/>
      <c r="R533" s="57"/>
      <c r="S533" s="57"/>
      <c r="T533" s="57"/>
      <c r="U533" s="57"/>
      <c r="V533" s="57"/>
      <c r="W533" s="57"/>
      <c r="X533" s="57"/>
      <c r="Y533" s="57"/>
      <c r="Z533" s="57"/>
    </row>
    <row r="534">
      <c r="A534" s="58">
        <v>9362844.0</v>
      </c>
      <c r="B534" s="57" t="s">
        <v>1393</v>
      </c>
      <c r="C534" s="57" t="s">
        <v>210</v>
      </c>
      <c r="D534" s="58">
        <v>14.34</v>
      </c>
      <c r="E534" s="58">
        <v>1511.38</v>
      </c>
      <c r="F534" s="58">
        <v>4326176.0</v>
      </c>
      <c r="G534" s="57" t="s">
        <v>1394</v>
      </c>
      <c r="H534" s="57" t="s">
        <v>1395</v>
      </c>
      <c r="I534" s="57"/>
      <c r="J534" s="57"/>
      <c r="K534" s="57"/>
      <c r="L534" s="57"/>
      <c r="M534" s="57"/>
      <c r="N534" s="57"/>
      <c r="O534" s="57"/>
      <c r="P534" s="57"/>
      <c r="Q534" s="57"/>
      <c r="R534" s="57"/>
      <c r="S534" s="57"/>
      <c r="T534" s="57"/>
      <c r="U534" s="57"/>
      <c r="V534" s="57"/>
      <c r="W534" s="57"/>
      <c r="X534" s="57"/>
      <c r="Y534" s="57"/>
      <c r="Z534" s="57"/>
    </row>
    <row r="535">
      <c r="A535" s="58">
        <v>9362787.0</v>
      </c>
      <c r="B535" s="57" t="s">
        <v>1393</v>
      </c>
      <c r="C535" s="57" t="s">
        <v>210</v>
      </c>
      <c r="D535" s="58">
        <v>16.79</v>
      </c>
      <c r="E535" s="58">
        <v>1494.59</v>
      </c>
      <c r="F535" s="58">
        <v>4326098.0</v>
      </c>
      <c r="G535" s="57" t="s">
        <v>1396</v>
      </c>
      <c r="H535" s="57" t="s">
        <v>1397</v>
      </c>
      <c r="I535" s="57"/>
      <c r="J535" s="57"/>
      <c r="K535" s="57"/>
      <c r="L535" s="57"/>
      <c r="M535" s="57"/>
      <c r="N535" s="57"/>
      <c r="O535" s="57"/>
      <c r="P535" s="57"/>
      <c r="Q535" s="57"/>
      <c r="R535" s="57"/>
      <c r="S535" s="57"/>
      <c r="T535" s="57"/>
      <c r="U535" s="57"/>
      <c r="V535" s="57"/>
      <c r="W535" s="57"/>
      <c r="X535" s="57"/>
      <c r="Y535" s="57"/>
      <c r="Z535" s="57"/>
    </row>
    <row r="536">
      <c r="A536" s="58">
        <v>9362512.0</v>
      </c>
      <c r="B536" s="57" t="s">
        <v>1393</v>
      </c>
      <c r="C536" s="57" t="s">
        <v>210</v>
      </c>
      <c r="D536" s="58">
        <v>12.55</v>
      </c>
      <c r="E536" s="58">
        <v>1482.04</v>
      </c>
      <c r="F536" s="58">
        <v>4325580.0</v>
      </c>
      <c r="G536" s="58">
        <v>1.86553259E8</v>
      </c>
      <c r="H536" s="57" t="s">
        <v>1398</v>
      </c>
      <c r="I536" s="57"/>
      <c r="J536" s="57"/>
      <c r="K536" s="57"/>
      <c r="L536" s="57"/>
      <c r="M536" s="57"/>
      <c r="N536" s="57"/>
      <c r="O536" s="57"/>
      <c r="P536" s="57"/>
      <c r="Q536" s="57"/>
      <c r="R536" s="57"/>
      <c r="S536" s="57"/>
      <c r="T536" s="57"/>
      <c r="U536" s="57"/>
      <c r="V536" s="57"/>
      <c r="W536" s="57"/>
      <c r="X536" s="57"/>
      <c r="Y536" s="57"/>
      <c r="Z536" s="57"/>
    </row>
    <row r="537">
      <c r="A537" s="58">
        <v>9362504.0</v>
      </c>
      <c r="B537" s="57" t="s">
        <v>1393</v>
      </c>
      <c r="C537" s="57" t="s">
        <v>210</v>
      </c>
      <c r="D537" s="58">
        <v>11.89</v>
      </c>
      <c r="E537" s="58">
        <v>1470.15</v>
      </c>
      <c r="F537" s="58">
        <v>4325551.0</v>
      </c>
      <c r="G537" s="57" t="s">
        <v>1399</v>
      </c>
      <c r="H537" s="57" t="s">
        <v>1400</v>
      </c>
      <c r="I537" s="57"/>
      <c r="J537" s="57"/>
      <c r="K537" s="57"/>
      <c r="L537" s="57"/>
      <c r="M537" s="57"/>
      <c r="N537" s="57"/>
      <c r="O537" s="57"/>
      <c r="P537" s="57"/>
      <c r="Q537" s="57"/>
      <c r="R537" s="57"/>
      <c r="S537" s="57"/>
      <c r="T537" s="57"/>
      <c r="U537" s="57"/>
      <c r="V537" s="57"/>
      <c r="W537" s="57"/>
      <c r="X537" s="57"/>
      <c r="Y537" s="57"/>
      <c r="Z537" s="57"/>
    </row>
    <row r="538">
      <c r="A538" s="58">
        <v>9359538.0</v>
      </c>
      <c r="B538" s="57" t="s">
        <v>1401</v>
      </c>
      <c r="C538" s="57" t="s">
        <v>210</v>
      </c>
      <c r="D538" s="58">
        <v>13.99</v>
      </c>
      <c r="E538" s="58">
        <v>1456.16</v>
      </c>
      <c r="F538" s="58">
        <v>4319173.0</v>
      </c>
      <c r="G538" s="58">
        <v>1.86553304E8</v>
      </c>
      <c r="H538" s="57" t="s">
        <v>1402</v>
      </c>
      <c r="I538" s="57"/>
      <c r="J538" s="57"/>
      <c r="K538" s="57"/>
      <c r="L538" s="57"/>
      <c r="M538" s="57"/>
      <c r="N538" s="57"/>
      <c r="O538" s="57"/>
      <c r="P538" s="57"/>
      <c r="Q538" s="57"/>
      <c r="R538" s="57"/>
      <c r="S538" s="57"/>
      <c r="T538" s="57"/>
      <c r="U538" s="57"/>
      <c r="V538" s="57"/>
      <c r="W538" s="57"/>
      <c r="X538" s="57"/>
      <c r="Y538" s="57"/>
      <c r="Z538" s="57"/>
    </row>
    <row r="539">
      <c r="A539" s="58">
        <v>9359507.0</v>
      </c>
      <c r="B539" s="57" t="s">
        <v>1401</v>
      </c>
      <c r="C539" s="57" t="s">
        <v>210</v>
      </c>
      <c r="D539" s="58">
        <v>15.95</v>
      </c>
      <c r="E539" s="58">
        <v>1440.21</v>
      </c>
      <c r="F539" s="58">
        <v>4319114.0</v>
      </c>
      <c r="G539" s="57" t="s">
        <v>1403</v>
      </c>
      <c r="H539" s="57" t="s">
        <v>1404</v>
      </c>
      <c r="I539" s="57"/>
      <c r="J539" s="57"/>
      <c r="K539" s="57"/>
      <c r="L539" s="57"/>
      <c r="M539" s="57"/>
      <c r="N539" s="57"/>
      <c r="O539" s="57"/>
      <c r="P539" s="57"/>
      <c r="Q539" s="57"/>
      <c r="R539" s="57"/>
      <c r="S539" s="57"/>
      <c r="T539" s="57"/>
      <c r="U539" s="57"/>
      <c r="V539" s="57"/>
      <c r="W539" s="57"/>
      <c r="X539" s="57"/>
      <c r="Y539" s="57"/>
      <c r="Z539" s="57"/>
    </row>
    <row r="540">
      <c r="A540" s="58">
        <v>9359413.0</v>
      </c>
      <c r="B540" s="57" t="s">
        <v>1401</v>
      </c>
      <c r="C540" s="57" t="s">
        <v>210</v>
      </c>
      <c r="D540" s="58">
        <v>14.34</v>
      </c>
      <c r="E540" s="58">
        <v>1425.87</v>
      </c>
      <c r="F540" s="58">
        <v>4318900.0</v>
      </c>
      <c r="G540" s="57" t="s">
        <v>1405</v>
      </c>
      <c r="H540" s="57" t="s">
        <v>1406</v>
      </c>
      <c r="I540" s="57"/>
      <c r="J540" s="57"/>
      <c r="K540" s="57"/>
      <c r="L540" s="57"/>
      <c r="M540" s="57"/>
      <c r="N540" s="57"/>
      <c r="O540" s="57"/>
      <c r="P540" s="57"/>
      <c r="Q540" s="57"/>
      <c r="R540" s="57"/>
      <c r="S540" s="57"/>
      <c r="T540" s="57"/>
      <c r="U540" s="57"/>
      <c r="V540" s="57"/>
      <c r="W540" s="57"/>
      <c r="X540" s="57"/>
      <c r="Y540" s="57"/>
      <c r="Z540" s="57"/>
    </row>
    <row r="541">
      <c r="A541" s="58">
        <v>9359403.0</v>
      </c>
      <c r="B541" s="57" t="s">
        <v>1401</v>
      </c>
      <c r="C541" s="57" t="s">
        <v>210</v>
      </c>
      <c r="D541" s="58">
        <v>14.34</v>
      </c>
      <c r="E541" s="58">
        <v>1411.53</v>
      </c>
      <c r="F541" s="58">
        <v>4318885.0</v>
      </c>
      <c r="G541" s="57" t="s">
        <v>1407</v>
      </c>
      <c r="H541" s="57" t="s">
        <v>1408</v>
      </c>
      <c r="I541" s="57"/>
      <c r="J541" s="57"/>
      <c r="K541" s="57"/>
      <c r="L541" s="57"/>
      <c r="M541" s="57"/>
      <c r="N541" s="57"/>
      <c r="O541" s="57"/>
      <c r="P541" s="57"/>
      <c r="Q541" s="57"/>
      <c r="R541" s="57"/>
      <c r="S541" s="57"/>
      <c r="T541" s="57"/>
      <c r="U541" s="57"/>
      <c r="V541" s="57"/>
      <c r="W541" s="57"/>
      <c r="X541" s="57"/>
      <c r="Y541" s="57"/>
      <c r="Z541" s="57"/>
    </row>
    <row r="542">
      <c r="A542" s="58">
        <v>9359360.0</v>
      </c>
      <c r="B542" s="57" t="s">
        <v>1401</v>
      </c>
      <c r="C542" s="57" t="s">
        <v>210</v>
      </c>
      <c r="D542" s="58">
        <v>17.83</v>
      </c>
      <c r="E542" s="58">
        <v>1393.7</v>
      </c>
      <c r="F542" s="58">
        <v>4318809.0</v>
      </c>
      <c r="G542" s="57" t="s">
        <v>1409</v>
      </c>
      <c r="H542" s="57" t="s">
        <v>1410</v>
      </c>
      <c r="I542" s="57"/>
      <c r="J542" s="57"/>
      <c r="K542" s="57"/>
      <c r="L542" s="57"/>
      <c r="M542" s="57"/>
      <c r="N542" s="57"/>
      <c r="O542" s="57"/>
      <c r="P542" s="57"/>
      <c r="Q542" s="57"/>
      <c r="R542" s="57"/>
      <c r="S542" s="57"/>
      <c r="T542" s="57"/>
      <c r="U542" s="57"/>
      <c r="V542" s="57"/>
      <c r="W542" s="57"/>
      <c r="X542" s="57"/>
      <c r="Y542" s="57"/>
      <c r="Z542" s="57"/>
    </row>
    <row r="543">
      <c r="A543" s="58">
        <v>9358732.0</v>
      </c>
      <c r="B543" s="57" t="s">
        <v>1401</v>
      </c>
      <c r="C543" s="57" t="s">
        <v>210</v>
      </c>
      <c r="D543" s="58">
        <v>14.34</v>
      </c>
      <c r="E543" s="58">
        <v>1379.36</v>
      </c>
      <c r="F543" s="58">
        <v>4316924.0</v>
      </c>
      <c r="G543" s="57" t="s">
        <v>1411</v>
      </c>
      <c r="H543" s="57" t="s">
        <v>1412</v>
      </c>
      <c r="I543" s="57"/>
      <c r="J543" s="57"/>
      <c r="K543" s="57"/>
      <c r="L543" s="57"/>
      <c r="M543" s="57"/>
      <c r="N543" s="57"/>
      <c r="O543" s="57"/>
      <c r="P543" s="57"/>
      <c r="Q543" s="57"/>
      <c r="R543" s="57"/>
      <c r="S543" s="57"/>
      <c r="T543" s="57"/>
      <c r="U543" s="57"/>
      <c r="V543" s="57"/>
      <c r="W543" s="57"/>
      <c r="X543" s="57"/>
      <c r="Y543" s="57"/>
      <c r="Z543" s="57"/>
    </row>
    <row r="544">
      <c r="A544" s="58">
        <v>9358679.0</v>
      </c>
      <c r="B544" s="57" t="s">
        <v>1401</v>
      </c>
      <c r="C544" s="57" t="s">
        <v>210</v>
      </c>
      <c r="D544" s="58">
        <v>14.34</v>
      </c>
      <c r="E544" s="58">
        <v>1365.02</v>
      </c>
      <c r="F544" s="58">
        <v>4316750.0</v>
      </c>
      <c r="G544" s="57" t="s">
        <v>1413</v>
      </c>
      <c r="H544" s="57" t="s">
        <v>1414</v>
      </c>
      <c r="I544" s="57"/>
      <c r="J544" s="57"/>
      <c r="K544" s="57"/>
      <c r="L544" s="57"/>
      <c r="M544" s="57"/>
      <c r="N544" s="57"/>
      <c r="O544" s="57"/>
      <c r="P544" s="57"/>
      <c r="Q544" s="57"/>
      <c r="R544" s="57"/>
      <c r="S544" s="57"/>
      <c r="T544" s="57"/>
      <c r="U544" s="57"/>
      <c r="V544" s="57"/>
      <c r="W544" s="57"/>
      <c r="X544" s="57"/>
      <c r="Y544" s="57"/>
      <c r="Z544" s="57"/>
    </row>
    <row r="545">
      <c r="A545" s="58">
        <v>9355711.0</v>
      </c>
      <c r="B545" s="57" t="s">
        <v>1415</v>
      </c>
      <c r="C545" s="57" t="s">
        <v>210</v>
      </c>
      <c r="D545" s="58">
        <v>11.89</v>
      </c>
      <c r="E545" s="58">
        <v>1353.13</v>
      </c>
      <c r="F545" s="58">
        <v>4305797.0</v>
      </c>
      <c r="G545" s="57" t="s">
        <v>1416</v>
      </c>
      <c r="H545" s="57" t="s">
        <v>1417</v>
      </c>
      <c r="I545" s="57"/>
      <c r="J545" s="57"/>
      <c r="K545" s="57"/>
      <c r="L545" s="57"/>
      <c r="M545" s="57"/>
      <c r="N545" s="57"/>
      <c r="O545" s="57"/>
      <c r="P545" s="57"/>
      <c r="Q545" s="57"/>
      <c r="R545" s="57"/>
      <c r="S545" s="57"/>
      <c r="T545" s="57"/>
      <c r="U545" s="57"/>
      <c r="V545" s="57"/>
      <c r="W545" s="57"/>
      <c r="X545" s="57"/>
      <c r="Y545" s="57"/>
      <c r="Z545" s="57"/>
    </row>
    <row r="546">
      <c r="A546" s="58">
        <v>9354651.0</v>
      </c>
      <c r="B546" s="57" t="s">
        <v>1415</v>
      </c>
      <c r="C546" s="57" t="s">
        <v>210</v>
      </c>
      <c r="D546" s="58">
        <v>9.98</v>
      </c>
      <c r="E546" s="58">
        <v>1343.15</v>
      </c>
      <c r="F546" s="58">
        <v>4299478.0</v>
      </c>
      <c r="G546" s="58">
        <v>1.86542742E8</v>
      </c>
      <c r="H546" s="57" t="s">
        <v>1418</v>
      </c>
      <c r="I546" s="57"/>
      <c r="J546" s="57"/>
      <c r="K546" s="57"/>
      <c r="L546" s="57"/>
      <c r="M546" s="57"/>
      <c r="N546" s="57"/>
      <c r="O546" s="57"/>
      <c r="P546" s="57"/>
      <c r="Q546" s="57"/>
      <c r="R546" s="57"/>
      <c r="S546" s="57"/>
      <c r="T546" s="57"/>
      <c r="U546" s="57"/>
      <c r="V546" s="57"/>
      <c r="W546" s="57"/>
      <c r="X546" s="57"/>
      <c r="Y546" s="57"/>
      <c r="Z546" s="57"/>
    </row>
    <row r="547">
      <c r="A547" s="58">
        <v>9354111.0</v>
      </c>
      <c r="B547" s="57" t="s">
        <v>1415</v>
      </c>
      <c r="C547" s="57" t="s">
        <v>210</v>
      </c>
      <c r="D547" s="58">
        <v>15.76</v>
      </c>
      <c r="E547" s="58">
        <v>1327.39</v>
      </c>
      <c r="F547" s="58">
        <v>4295947.0</v>
      </c>
      <c r="G547" s="57" t="s">
        <v>1419</v>
      </c>
      <c r="H547" s="57" t="s">
        <v>1420</v>
      </c>
      <c r="I547" s="57"/>
      <c r="J547" s="57"/>
      <c r="K547" s="57"/>
      <c r="L547" s="57"/>
      <c r="M547" s="57"/>
      <c r="N547" s="57"/>
      <c r="O547" s="57"/>
      <c r="P547" s="57"/>
      <c r="Q547" s="57"/>
      <c r="R547" s="57"/>
      <c r="S547" s="57"/>
      <c r="T547" s="57"/>
      <c r="U547" s="57"/>
      <c r="V547" s="57"/>
      <c r="W547" s="57"/>
      <c r="X547" s="57"/>
      <c r="Y547" s="57"/>
      <c r="Z547" s="57"/>
    </row>
    <row r="548">
      <c r="A548" s="58">
        <v>9353847.0</v>
      </c>
      <c r="B548" s="57" t="s">
        <v>1415</v>
      </c>
      <c r="C548" s="57" t="s">
        <v>210</v>
      </c>
      <c r="D548" s="58">
        <v>14.34</v>
      </c>
      <c r="E548" s="58">
        <v>1313.05</v>
      </c>
      <c r="F548" s="58">
        <v>4294029.0</v>
      </c>
      <c r="G548" s="57" t="s">
        <v>1421</v>
      </c>
      <c r="H548" s="57" t="s">
        <v>1422</v>
      </c>
      <c r="I548" s="57"/>
      <c r="J548" s="57"/>
      <c r="K548" s="57"/>
      <c r="L548" s="57"/>
      <c r="M548" s="57"/>
      <c r="N548" s="57"/>
      <c r="O548" s="57"/>
      <c r="P548" s="57"/>
      <c r="Q548" s="57"/>
      <c r="R548" s="57"/>
      <c r="S548" s="57"/>
      <c r="T548" s="57"/>
      <c r="U548" s="57"/>
      <c r="V548" s="57"/>
      <c r="W548" s="57"/>
      <c r="X548" s="57"/>
      <c r="Y548" s="57"/>
      <c r="Z548" s="57"/>
    </row>
    <row r="549">
      <c r="A549" s="58">
        <v>9352665.0</v>
      </c>
      <c r="B549" s="57" t="s">
        <v>1415</v>
      </c>
      <c r="C549" s="57" t="s">
        <v>210</v>
      </c>
      <c r="D549" s="58">
        <v>14.34</v>
      </c>
      <c r="E549" s="58">
        <v>1298.71</v>
      </c>
      <c r="F549" s="58">
        <v>4283071.0</v>
      </c>
      <c r="G549" s="57" t="s">
        <v>1423</v>
      </c>
      <c r="H549" s="57" t="s">
        <v>1424</v>
      </c>
      <c r="I549" s="57"/>
      <c r="J549" s="57"/>
      <c r="K549" s="57"/>
      <c r="L549" s="57"/>
      <c r="M549" s="57"/>
      <c r="N549" s="57"/>
      <c r="O549" s="57"/>
      <c r="P549" s="57"/>
      <c r="Q549" s="57"/>
      <c r="R549" s="57"/>
      <c r="S549" s="57"/>
      <c r="T549" s="57"/>
      <c r="U549" s="57"/>
      <c r="V549" s="57"/>
      <c r="W549" s="57"/>
      <c r="X549" s="57"/>
      <c r="Y549" s="57"/>
      <c r="Z549" s="57"/>
    </row>
    <row r="550">
      <c r="A550" s="58">
        <v>9351752.0</v>
      </c>
      <c r="B550" s="57" t="s">
        <v>1425</v>
      </c>
      <c r="C550" s="57" t="s">
        <v>210</v>
      </c>
      <c r="D550" s="58">
        <v>16.8</v>
      </c>
      <c r="E550" s="58">
        <v>1281.91</v>
      </c>
      <c r="F550" s="58">
        <v>4273008.0</v>
      </c>
      <c r="G550" s="57" t="s">
        <v>1426</v>
      </c>
      <c r="H550" s="57" t="s">
        <v>1427</v>
      </c>
      <c r="I550" s="57"/>
      <c r="J550" s="57"/>
      <c r="K550" s="57"/>
      <c r="L550" s="57"/>
      <c r="M550" s="57"/>
      <c r="N550" s="57"/>
      <c r="O550" s="57"/>
      <c r="P550" s="57"/>
      <c r="Q550" s="57"/>
      <c r="R550" s="57"/>
      <c r="S550" s="57"/>
      <c r="T550" s="57"/>
      <c r="U550" s="57"/>
      <c r="V550" s="57"/>
      <c r="W550" s="57"/>
      <c r="X550" s="57"/>
      <c r="Y550" s="57"/>
      <c r="Z550" s="57"/>
    </row>
    <row r="551">
      <c r="A551" s="58">
        <v>9348943.0</v>
      </c>
      <c r="B551" s="57" t="s">
        <v>1425</v>
      </c>
      <c r="C551" s="57" t="s">
        <v>210</v>
      </c>
      <c r="D551" s="58">
        <v>16.05</v>
      </c>
      <c r="E551" s="58">
        <v>1265.86</v>
      </c>
      <c r="F551" s="58">
        <v>4100111.0</v>
      </c>
      <c r="G551" s="57" t="s">
        <v>1428</v>
      </c>
      <c r="H551" s="57" t="s">
        <v>1429</v>
      </c>
      <c r="I551" s="57"/>
      <c r="J551" s="57"/>
      <c r="K551" s="57"/>
      <c r="L551" s="57"/>
      <c r="M551" s="57"/>
      <c r="N551" s="57"/>
      <c r="O551" s="57"/>
      <c r="P551" s="57"/>
      <c r="Q551" s="57"/>
      <c r="R551" s="57"/>
      <c r="S551" s="57"/>
      <c r="T551" s="57"/>
      <c r="U551" s="57"/>
      <c r="V551" s="57"/>
      <c r="W551" s="57"/>
      <c r="X551" s="57"/>
      <c r="Y551" s="57"/>
      <c r="Z551" s="57"/>
    </row>
    <row r="552">
      <c r="A552" s="58">
        <v>9346612.0</v>
      </c>
      <c r="B552" s="57" t="s">
        <v>1430</v>
      </c>
      <c r="C552" s="57" t="s">
        <v>247</v>
      </c>
      <c r="D552" s="58">
        <v>5.09</v>
      </c>
      <c r="E552" s="58">
        <v>1270.95</v>
      </c>
      <c r="F552" s="58">
        <v>4175342.0</v>
      </c>
      <c r="G552" s="57" t="s">
        <v>1431</v>
      </c>
      <c r="H552" s="57" t="s">
        <v>1432</v>
      </c>
      <c r="I552" s="57"/>
      <c r="J552" s="57"/>
      <c r="K552" s="57"/>
      <c r="L552" s="57"/>
      <c r="M552" s="57"/>
      <c r="N552" s="57"/>
      <c r="O552" s="57"/>
      <c r="P552" s="57"/>
      <c r="Q552" s="57"/>
      <c r="R552" s="57"/>
      <c r="S552" s="57"/>
      <c r="T552" s="57"/>
      <c r="U552" s="57"/>
      <c r="V552" s="57"/>
      <c r="W552" s="57"/>
      <c r="X552" s="57"/>
      <c r="Y552" s="57"/>
      <c r="Z552" s="57"/>
    </row>
    <row r="553">
      <c r="A553" s="58">
        <v>9346582.0</v>
      </c>
      <c r="B553" s="57" t="s">
        <v>1430</v>
      </c>
      <c r="C553" s="57" t="s">
        <v>247</v>
      </c>
      <c r="D553" s="58">
        <v>3.51</v>
      </c>
      <c r="E553" s="58">
        <v>1274.46</v>
      </c>
      <c r="F553" s="58">
        <v>4057880.0</v>
      </c>
      <c r="G553" s="57" t="s">
        <v>1433</v>
      </c>
      <c r="H553" s="57" t="s">
        <v>1434</v>
      </c>
      <c r="I553" s="57"/>
      <c r="J553" s="57"/>
      <c r="K553" s="57"/>
      <c r="L553" s="57"/>
      <c r="M553" s="57"/>
      <c r="N553" s="57"/>
      <c r="O553" s="57"/>
      <c r="P553" s="57"/>
      <c r="Q553" s="57"/>
      <c r="R553" s="57"/>
      <c r="S553" s="57"/>
      <c r="T553" s="57"/>
      <c r="U553" s="57"/>
      <c r="V553" s="57"/>
      <c r="W553" s="57"/>
      <c r="X553" s="57"/>
      <c r="Y553" s="57"/>
      <c r="Z553" s="57"/>
    </row>
    <row r="554">
      <c r="A554" s="58">
        <v>9346550.0</v>
      </c>
      <c r="B554" s="57" t="s">
        <v>1430</v>
      </c>
      <c r="C554" s="57" t="s">
        <v>247</v>
      </c>
      <c r="D554" s="58">
        <v>5.06</v>
      </c>
      <c r="E554" s="58">
        <v>1279.52</v>
      </c>
      <c r="F554" s="58">
        <v>4176664.0</v>
      </c>
      <c r="G554" s="57" t="s">
        <v>1435</v>
      </c>
      <c r="H554" s="57" t="s">
        <v>1436</v>
      </c>
      <c r="I554" s="57"/>
      <c r="J554" s="57"/>
      <c r="K554" s="57"/>
      <c r="L554" s="57"/>
      <c r="M554" s="57"/>
      <c r="N554" s="57"/>
      <c r="O554" s="57"/>
      <c r="P554" s="57"/>
      <c r="Q554" s="57"/>
      <c r="R554" s="57"/>
      <c r="S554" s="57"/>
      <c r="T554" s="57"/>
      <c r="U554" s="57"/>
      <c r="V554" s="57"/>
      <c r="W554" s="57"/>
      <c r="X554" s="57"/>
      <c r="Y554" s="57"/>
      <c r="Z554" s="57"/>
    </row>
    <row r="555">
      <c r="A555" s="58">
        <v>9346516.0</v>
      </c>
      <c r="B555" s="57" t="s">
        <v>1430</v>
      </c>
      <c r="C555" s="57" t="s">
        <v>247</v>
      </c>
      <c r="D555" s="58">
        <v>3.51</v>
      </c>
      <c r="E555" s="58">
        <v>1283.03</v>
      </c>
      <c r="F555" s="58">
        <v>4185466.0</v>
      </c>
      <c r="G555" s="57" t="s">
        <v>1437</v>
      </c>
      <c r="H555" s="57" t="s">
        <v>1438</v>
      </c>
      <c r="I555" s="57"/>
      <c r="J555" s="57"/>
      <c r="K555" s="57"/>
      <c r="L555" s="57"/>
      <c r="M555" s="57"/>
      <c r="N555" s="57"/>
      <c r="O555" s="57"/>
      <c r="P555" s="57"/>
      <c r="Q555" s="57"/>
      <c r="R555" s="57"/>
      <c r="S555" s="57"/>
      <c r="T555" s="57"/>
      <c r="U555" s="57"/>
      <c r="V555" s="57"/>
      <c r="W555" s="57"/>
      <c r="X555" s="57"/>
      <c r="Y555" s="57"/>
      <c r="Z555" s="57"/>
    </row>
    <row r="556">
      <c r="A556" s="58">
        <v>9346461.0</v>
      </c>
      <c r="B556" s="57" t="s">
        <v>1430</v>
      </c>
      <c r="C556" s="57" t="s">
        <v>247</v>
      </c>
      <c r="D556" s="58">
        <v>5.09</v>
      </c>
      <c r="E556" s="58">
        <v>1288.12</v>
      </c>
      <c r="F556" s="58">
        <v>4122017.0</v>
      </c>
      <c r="G556" s="57" t="s">
        <v>1439</v>
      </c>
      <c r="H556" s="57" t="s">
        <v>1440</v>
      </c>
      <c r="I556" s="57"/>
      <c r="J556" s="57"/>
      <c r="K556" s="57"/>
      <c r="L556" s="57"/>
      <c r="M556" s="57"/>
      <c r="N556" s="57"/>
      <c r="O556" s="57"/>
      <c r="P556" s="57"/>
      <c r="Q556" s="57"/>
      <c r="R556" s="57"/>
      <c r="S556" s="57"/>
      <c r="T556" s="57"/>
      <c r="U556" s="57"/>
      <c r="V556" s="57"/>
      <c r="W556" s="57"/>
      <c r="X556" s="57"/>
      <c r="Y556" s="57"/>
      <c r="Z556" s="57"/>
    </row>
    <row r="557">
      <c r="A557" s="58">
        <v>9346427.0</v>
      </c>
      <c r="B557" s="57" t="s">
        <v>1430</v>
      </c>
      <c r="C557" s="57" t="s">
        <v>247</v>
      </c>
      <c r="D557" s="58">
        <v>3.48</v>
      </c>
      <c r="E557" s="58">
        <v>1291.6</v>
      </c>
      <c r="F557" s="58">
        <v>4185404.0</v>
      </c>
      <c r="G557" s="57" t="s">
        <v>1441</v>
      </c>
      <c r="H557" s="57" t="s">
        <v>1442</v>
      </c>
      <c r="I557" s="57"/>
      <c r="J557" s="57"/>
      <c r="K557" s="57"/>
      <c r="L557" s="57"/>
      <c r="M557" s="57"/>
      <c r="N557" s="57"/>
      <c r="O557" s="57"/>
      <c r="P557" s="57"/>
      <c r="Q557" s="57"/>
      <c r="R557" s="57"/>
      <c r="S557" s="57"/>
      <c r="T557" s="57"/>
      <c r="U557" s="57"/>
      <c r="V557" s="57"/>
      <c r="W557" s="57"/>
      <c r="X557" s="57"/>
      <c r="Y557" s="57"/>
      <c r="Z557" s="57"/>
    </row>
    <row r="558">
      <c r="A558" s="58">
        <v>9346410.0</v>
      </c>
      <c r="B558" s="57" t="s">
        <v>1430</v>
      </c>
      <c r="C558" s="57" t="s">
        <v>247</v>
      </c>
      <c r="D558" s="58">
        <v>3.48</v>
      </c>
      <c r="E558" s="58">
        <v>1295.08</v>
      </c>
      <c r="F558" s="58">
        <v>4091966.0</v>
      </c>
      <c r="G558" s="57" t="s">
        <v>1443</v>
      </c>
      <c r="H558" s="57" t="s">
        <v>1444</v>
      </c>
      <c r="I558" s="57"/>
      <c r="J558" s="57"/>
      <c r="K558" s="57"/>
      <c r="L558" s="57"/>
      <c r="M558" s="57"/>
      <c r="N558" s="57"/>
      <c r="O558" s="57"/>
      <c r="P558" s="57"/>
      <c r="Q558" s="57"/>
      <c r="R558" s="57"/>
      <c r="S558" s="57"/>
      <c r="T558" s="57"/>
      <c r="U558" s="57"/>
      <c r="V558" s="57"/>
      <c r="W558" s="57"/>
      <c r="X558" s="57"/>
      <c r="Y558" s="57"/>
      <c r="Z558" s="57"/>
    </row>
    <row r="559">
      <c r="A559" s="58">
        <v>9346409.0</v>
      </c>
      <c r="B559" s="57" t="s">
        <v>1430</v>
      </c>
      <c r="C559" s="57" t="s">
        <v>247</v>
      </c>
      <c r="D559" s="58">
        <v>5.07</v>
      </c>
      <c r="E559" s="58">
        <v>1300.15</v>
      </c>
      <c r="F559" s="58">
        <v>4091671.0</v>
      </c>
      <c r="G559" s="57" t="s">
        <v>1445</v>
      </c>
      <c r="H559" s="57" t="s">
        <v>1446</v>
      </c>
      <c r="I559" s="57"/>
      <c r="J559" s="57"/>
      <c r="K559" s="57"/>
      <c r="L559" s="57"/>
      <c r="M559" s="57"/>
      <c r="N559" s="57"/>
      <c r="O559" s="57"/>
      <c r="P559" s="57"/>
      <c r="Q559" s="57"/>
      <c r="R559" s="57"/>
      <c r="S559" s="57"/>
      <c r="T559" s="57"/>
      <c r="U559" s="57"/>
      <c r="V559" s="57"/>
      <c r="W559" s="57"/>
      <c r="X559" s="57"/>
      <c r="Y559" s="57"/>
      <c r="Z559" s="57"/>
    </row>
    <row r="560">
      <c r="A560" s="58">
        <v>9346401.0</v>
      </c>
      <c r="B560" s="57" t="s">
        <v>1430</v>
      </c>
      <c r="C560" s="57" t="s">
        <v>247</v>
      </c>
      <c r="D560" s="58">
        <v>5.07</v>
      </c>
      <c r="E560" s="58">
        <v>1305.22</v>
      </c>
      <c r="F560" s="58">
        <v>4081294.0</v>
      </c>
      <c r="G560" s="57" t="s">
        <v>1447</v>
      </c>
      <c r="H560" s="57" t="s">
        <v>1448</v>
      </c>
      <c r="I560" s="57"/>
      <c r="J560" s="57"/>
      <c r="K560" s="57"/>
      <c r="L560" s="57"/>
      <c r="M560" s="57"/>
      <c r="N560" s="57"/>
      <c r="O560" s="57"/>
      <c r="P560" s="57"/>
      <c r="Q560" s="57"/>
      <c r="R560" s="57"/>
      <c r="S560" s="57"/>
      <c r="T560" s="57"/>
      <c r="U560" s="57"/>
      <c r="V560" s="57"/>
      <c r="W560" s="57"/>
      <c r="X560" s="57"/>
      <c r="Y560" s="57"/>
      <c r="Z560" s="57"/>
    </row>
    <row r="561">
      <c r="A561" s="58">
        <v>9346394.0</v>
      </c>
      <c r="B561" s="57" t="s">
        <v>1430</v>
      </c>
      <c r="C561" s="57" t="s">
        <v>247</v>
      </c>
      <c r="D561" s="58">
        <v>5.07</v>
      </c>
      <c r="E561" s="58">
        <v>1310.29</v>
      </c>
      <c r="F561" s="58">
        <v>4051232.0</v>
      </c>
      <c r="G561" s="57" t="s">
        <v>1449</v>
      </c>
      <c r="H561" s="57" t="s">
        <v>1450</v>
      </c>
      <c r="I561" s="57"/>
      <c r="J561" s="57"/>
      <c r="K561" s="57"/>
      <c r="L561" s="57"/>
      <c r="M561" s="57"/>
      <c r="N561" s="57"/>
      <c r="O561" s="57"/>
      <c r="P561" s="57"/>
      <c r="Q561" s="57"/>
      <c r="R561" s="57"/>
      <c r="S561" s="57"/>
      <c r="T561" s="57"/>
      <c r="U561" s="57"/>
      <c r="V561" s="57"/>
      <c r="W561" s="57"/>
      <c r="X561" s="57"/>
      <c r="Y561" s="57"/>
      <c r="Z561" s="57"/>
    </row>
    <row r="562">
      <c r="A562" s="58">
        <v>9346388.0</v>
      </c>
      <c r="B562" s="57" t="s">
        <v>1430</v>
      </c>
      <c r="C562" s="57" t="s">
        <v>247</v>
      </c>
      <c r="D562" s="58">
        <v>5.06</v>
      </c>
      <c r="E562" s="58">
        <v>1315.35</v>
      </c>
      <c r="F562" s="58">
        <v>4174977.0</v>
      </c>
      <c r="G562" s="57" t="s">
        <v>1451</v>
      </c>
      <c r="H562" s="57" t="s">
        <v>1452</v>
      </c>
      <c r="I562" s="57"/>
      <c r="J562" s="57"/>
      <c r="K562" s="57"/>
      <c r="L562" s="57"/>
      <c r="M562" s="57"/>
      <c r="N562" s="57"/>
      <c r="O562" s="57"/>
      <c r="P562" s="57"/>
      <c r="Q562" s="57"/>
      <c r="R562" s="57"/>
      <c r="S562" s="57"/>
      <c r="T562" s="57"/>
      <c r="U562" s="57"/>
      <c r="V562" s="57"/>
      <c r="W562" s="57"/>
      <c r="X562" s="57"/>
      <c r="Y562" s="57"/>
      <c r="Z562" s="57"/>
    </row>
    <row r="563">
      <c r="A563" s="58">
        <v>9346299.0</v>
      </c>
      <c r="B563" s="57" t="s">
        <v>1453</v>
      </c>
      <c r="C563" s="57" t="s">
        <v>247</v>
      </c>
      <c r="D563" s="58">
        <v>5.12</v>
      </c>
      <c r="E563" s="58">
        <v>1320.47</v>
      </c>
      <c r="F563" s="58">
        <v>4172382.0</v>
      </c>
      <c r="G563" s="57" t="s">
        <v>1454</v>
      </c>
      <c r="H563" s="57" t="s">
        <v>1455</v>
      </c>
      <c r="I563" s="57"/>
      <c r="J563" s="57"/>
      <c r="K563" s="57"/>
      <c r="L563" s="57"/>
      <c r="M563" s="57"/>
      <c r="N563" s="57"/>
      <c r="O563" s="57"/>
      <c r="P563" s="57"/>
      <c r="Q563" s="57"/>
      <c r="R563" s="57"/>
      <c r="S563" s="57"/>
      <c r="T563" s="57"/>
      <c r="U563" s="57"/>
      <c r="V563" s="57"/>
      <c r="W563" s="57"/>
      <c r="X563" s="57"/>
      <c r="Y563" s="57"/>
      <c r="Z563" s="57"/>
    </row>
    <row r="564">
      <c r="A564" s="58">
        <v>9346219.0</v>
      </c>
      <c r="B564" s="57" t="s">
        <v>1453</v>
      </c>
      <c r="C564" s="57" t="s">
        <v>247</v>
      </c>
      <c r="D564" s="58">
        <v>5.06</v>
      </c>
      <c r="E564" s="58">
        <v>1325.53</v>
      </c>
      <c r="F564" s="58">
        <v>4175305.0</v>
      </c>
      <c r="G564" s="57" t="s">
        <v>1456</v>
      </c>
      <c r="H564" s="57" t="s">
        <v>1457</v>
      </c>
      <c r="I564" s="57"/>
      <c r="J564" s="57"/>
      <c r="K564" s="57"/>
      <c r="L564" s="57"/>
      <c r="M564" s="57"/>
      <c r="N564" s="57"/>
      <c r="O564" s="57"/>
      <c r="P564" s="57"/>
      <c r="Q564" s="57"/>
      <c r="R564" s="57"/>
      <c r="S564" s="57"/>
      <c r="T564" s="57"/>
      <c r="U564" s="57"/>
      <c r="V564" s="57"/>
      <c r="W564" s="57"/>
      <c r="X564" s="57"/>
      <c r="Y564" s="57"/>
      <c r="Z564" s="57"/>
    </row>
    <row r="565">
      <c r="A565" s="58">
        <v>9346123.0</v>
      </c>
      <c r="B565" s="57" t="s">
        <v>1453</v>
      </c>
      <c r="C565" s="57" t="s">
        <v>247</v>
      </c>
      <c r="D565" s="58">
        <v>5.06</v>
      </c>
      <c r="E565" s="58">
        <v>1330.59</v>
      </c>
      <c r="F565" s="58">
        <v>4236197.0</v>
      </c>
      <c r="G565" s="57" t="s">
        <v>1458</v>
      </c>
      <c r="H565" s="57" t="s">
        <v>1459</v>
      </c>
      <c r="I565" s="57"/>
      <c r="J565" s="57"/>
      <c r="K565" s="57"/>
      <c r="L565" s="57"/>
      <c r="M565" s="57"/>
      <c r="N565" s="57"/>
      <c r="O565" s="57"/>
      <c r="P565" s="57"/>
      <c r="Q565" s="57"/>
      <c r="R565" s="57"/>
      <c r="S565" s="57"/>
      <c r="T565" s="57"/>
      <c r="U565" s="57"/>
      <c r="V565" s="57"/>
      <c r="W565" s="57"/>
      <c r="X565" s="57"/>
      <c r="Y565" s="57"/>
      <c r="Z565" s="57"/>
    </row>
    <row r="566">
      <c r="A566" s="58">
        <v>9346120.0</v>
      </c>
      <c r="B566" s="57" t="s">
        <v>1453</v>
      </c>
      <c r="C566" s="57" t="s">
        <v>247</v>
      </c>
      <c r="D566" s="58">
        <v>5.12</v>
      </c>
      <c r="E566" s="58">
        <v>1335.71</v>
      </c>
      <c r="F566" s="58">
        <v>4248733.0</v>
      </c>
      <c r="G566" s="57" t="s">
        <v>1460</v>
      </c>
      <c r="H566" s="57" t="s">
        <v>1461</v>
      </c>
      <c r="I566" s="57"/>
      <c r="J566" s="57"/>
      <c r="K566" s="57"/>
      <c r="L566" s="57"/>
      <c r="M566" s="57"/>
      <c r="N566" s="57"/>
      <c r="O566" s="57"/>
      <c r="P566" s="57"/>
      <c r="Q566" s="57"/>
      <c r="R566" s="57"/>
      <c r="S566" s="57"/>
      <c r="T566" s="57"/>
      <c r="U566" s="57"/>
      <c r="V566" s="57"/>
      <c r="W566" s="57"/>
      <c r="X566" s="57"/>
      <c r="Y566" s="57"/>
      <c r="Z566" s="57"/>
    </row>
    <row r="567">
      <c r="A567" s="58">
        <v>9345971.0</v>
      </c>
      <c r="B567" s="57" t="s">
        <v>1453</v>
      </c>
      <c r="C567" s="57" t="s">
        <v>247</v>
      </c>
      <c r="D567" s="58">
        <v>5.09</v>
      </c>
      <c r="E567" s="58">
        <v>1340.8</v>
      </c>
      <c r="F567" s="58">
        <v>4152134.0</v>
      </c>
      <c r="G567" s="57" t="s">
        <v>1462</v>
      </c>
      <c r="H567" s="57" t="s">
        <v>1463</v>
      </c>
      <c r="I567" s="57"/>
      <c r="J567" s="57"/>
      <c r="K567" s="57"/>
      <c r="L567" s="57"/>
      <c r="M567" s="57"/>
      <c r="N567" s="57"/>
      <c r="O567" s="57"/>
      <c r="P567" s="57"/>
      <c r="Q567" s="57"/>
      <c r="R567" s="57"/>
      <c r="S567" s="57"/>
      <c r="T567" s="57"/>
      <c r="U567" s="57"/>
      <c r="V567" s="57"/>
      <c r="W567" s="57"/>
      <c r="X567" s="57"/>
      <c r="Y567" s="57"/>
      <c r="Z567" s="57"/>
    </row>
    <row r="568">
      <c r="A568" s="58">
        <v>9344388.0</v>
      </c>
      <c r="B568" s="57" t="s">
        <v>1464</v>
      </c>
      <c r="C568" s="57" t="s">
        <v>247</v>
      </c>
      <c r="D568" s="58">
        <v>0.85</v>
      </c>
      <c r="E568" s="58">
        <v>1341.65</v>
      </c>
      <c r="F568" s="58">
        <v>3823410.0</v>
      </c>
      <c r="G568" s="58">
        <v>1.87360112E8</v>
      </c>
      <c r="H568" s="57" t="s">
        <v>1465</v>
      </c>
      <c r="I568" s="57"/>
      <c r="J568" s="57"/>
      <c r="K568" s="57"/>
      <c r="L568" s="57"/>
      <c r="M568" s="57"/>
      <c r="N568" s="57"/>
      <c r="O568" s="57"/>
      <c r="P568" s="57"/>
      <c r="Q568" s="57"/>
      <c r="R568" s="57"/>
      <c r="S568" s="57"/>
      <c r="T568" s="57"/>
      <c r="U568" s="57"/>
      <c r="V568" s="57"/>
      <c r="W568" s="57"/>
      <c r="X568" s="57"/>
      <c r="Y568" s="57"/>
      <c r="Z568" s="57"/>
    </row>
    <row r="569">
      <c r="A569" s="58">
        <v>9344387.0</v>
      </c>
      <c r="B569" s="57" t="s">
        <v>1464</v>
      </c>
      <c r="C569" s="57" t="s">
        <v>247</v>
      </c>
      <c r="D569" s="58">
        <v>7.7</v>
      </c>
      <c r="E569" s="58">
        <v>1349.35</v>
      </c>
      <c r="F569" s="58">
        <v>3823410.0</v>
      </c>
      <c r="G569" s="58">
        <v>1.87360112E8</v>
      </c>
      <c r="H569" s="57" t="s">
        <v>1466</v>
      </c>
      <c r="I569" s="57"/>
      <c r="J569" s="57"/>
      <c r="K569" s="57"/>
      <c r="L569" s="57"/>
      <c r="M569" s="57"/>
      <c r="N569" s="57"/>
      <c r="O569" s="57"/>
      <c r="P569" s="57"/>
      <c r="Q569" s="57"/>
      <c r="R569" s="57"/>
      <c r="S569" s="57"/>
      <c r="T569" s="57"/>
      <c r="U569" s="57"/>
      <c r="V569" s="57"/>
      <c r="W569" s="57"/>
      <c r="X569" s="57"/>
      <c r="Y569" s="57"/>
      <c r="Z569" s="57"/>
    </row>
    <row r="570">
      <c r="A570" s="58">
        <v>9337559.0</v>
      </c>
      <c r="B570" s="57" t="s">
        <v>1467</v>
      </c>
      <c r="C570" s="57" t="s">
        <v>210</v>
      </c>
      <c r="D570" s="58">
        <v>12.55</v>
      </c>
      <c r="E570" s="58">
        <v>1336.8</v>
      </c>
      <c r="F570" s="58">
        <v>4318031.0</v>
      </c>
      <c r="G570" s="58">
        <v>1.8654827E8</v>
      </c>
      <c r="H570" s="57" t="s">
        <v>1468</v>
      </c>
      <c r="I570" s="57"/>
      <c r="J570" s="57"/>
      <c r="K570" s="57"/>
      <c r="L570" s="57"/>
      <c r="M570" s="57"/>
      <c r="N570" s="57"/>
      <c r="O570" s="57"/>
      <c r="P570" s="57"/>
      <c r="Q570" s="57"/>
      <c r="R570" s="57"/>
      <c r="S570" s="57"/>
      <c r="T570" s="57"/>
      <c r="U570" s="57"/>
      <c r="V570" s="57"/>
      <c r="W570" s="57"/>
      <c r="X570" s="57"/>
      <c r="Y570" s="57"/>
      <c r="Z570" s="57"/>
    </row>
    <row r="571">
      <c r="A571" s="58">
        <v>9331835.0</v>
      </c>
      <c r="B571" s="57" t="s">
        <v>1469</v>
      </c>
      <c r="C571" s="57" t="s">
        <v>210</v>
      </c>
      <c r="D571" s="58">
        <v>12.55</v>
      </c>
      <c r="E571" s="58">
        <v>1324.25</v>
      </c>
      <c r="F571" s="58">
        <v>4293933.0</v>
      </c>
      <c r="G571" s="58">
        <v>1.8653696E8</v>
      </c>
      <c r="H571" s="57" t="s">
        <v>1470</v>
      </c>
      <c r="I571" s="57"/>
      <c r="J571" s="57"/>
      <c r="K571" s="57"/>
      <c r="L571" s="57"/>
      <c r="M571" s="57"/>
      <c r="N571" s="57"/>
      <c r="O571" s="57"/>
      <c r="P571" s="57"/>
      <c r="Q571" s="57"/>
      <c r="R571" s="57"/>
      <c r="S571" s="57"/>
      <c r="T571" s="57"/>
      <c r="U571" s="57"/>
      <c r="V571" s="57"/>
      <c r="W571" s="57"/>
      <c r="X571" s="57"/>
      <c r="Y571" s="57"/>
      <c r="Z571" s="57"/>
    </row>
    <row r="572">
      <c r="A572" s="58">
        <v>9326292.0</v>
      </c>
      <c r="B572" s="57" t="s">
        <v>1471</v>
      </c>
      <c r="C572" s="57" t="s">
        <v>210</v>
      </c>
      <c r="D572" s="58">
        <v>13.75</v>
      </c>
      <c r="E572" s="58">
        <v>1310.5</v>
      </c>
      <c r="F572" s="58">
        <v>4129827.0</v>
      </c>
      <c r="G572" s="58">
        <v>1.86973343E8</v>
      </c>
      <c r="H572" s="57" t="s">
        <v>1472</v>
      </c>
      <c r="I572" s="57"/>
      <c r="J572" s="57"/>
      <c r="K572" s="57"/>
      <c r="L572" s="57"/>
      <c r="M572" s="57"/>
      <c r="N572" s="57"/>
      <c r="O572" s="57"/>
      <c r="P572" s="57"/>
      <c r="Q572" s="57"/>
      <c r="R572" s="57"/>
      <c r="S572" s="57"/>
      <c r="T572" s="57"/>
      <c r="U572" s="57"/>
      <c r="V572" s="57"/>
      <c r="W572" s="57"/>
      <c r="X572" s="57"/>
      <c r="Y572" s="57"/>
      <c r="Z572" s="57"/>
    </row>
    <row r="573">
      <c r="A573" s="58">
        <v>9326267.0</v>
      </c>
      <c r="B573" s="57" t="s">
        <v>1471</v>
      </c>
      <c r="C573" s="57" t="s">
        <v>210</v>
      </c>
      <c r="D573" s="58">
        <v>13.81</v>
      </c>
      <c r="E573" s="58">
        <v>1296.69</v>
      </c>
      <c r="F573" s="58">
        <v>4098781.0</v>
      </c>
      <c r="G573" s="58">
        <v>1.8697335E8</v>
      </c>
      <c r="H573" s="57" t="s">
        <v>1473</v>
      </c>
      <c r="I573" s="57"/>
      <c r="J573" s="57"/>
      <c r="K573" s="57"/>
      <c r="L573" s="57"/>
      <c r="M573" s="57"/>
      <c r="N573" s="57"/>
      <c r="O573" s="57"/>
      <c r="P573" s="57"/>
      <c r="Q573" s="57"/>
      <c r="R573" s="57"/>
      <c r="S573" s="57"/>
      <c r="T573" s="57"/>
      <c r="U573" s="57"/>
      <c r="V573" s="57"/>
      <c r="W573" s="57"/>
      <c r="X573" s="57"/>
      <c r="Y573" s="57"/>
      <c r="Z573" s="57"/>
    </row>
    <row r="574">
      <c r="A574" s="58">
        <v>9325379.0</v>
      </c>
      <c r="B574" s="57" t="s">
        <v>1474</v>
      </c>
      <c r="C574" s="57" t="s">
        <v>247</v>
      </c>
      <c r="D574" s="58">
        <v>1280.0</v>
      </c>
      <c r="E574" s="58">
        <v>2576.69</v>
      </c>
      <c r="F574" s="57"/>
      <c r="G574" s="57"/>
      <c r="H574" s="57" t="s">
        <v>361</v>
      </c>
      <c r="I574" s="57"/>
      <c r="J574" s="57" t="s">
        <v>1475</v>
      </c>
      <c r="K574" s="57"/>
      <c r="L574" s="57"/>
      <c r="M574" s="57"/>
      <c r="N574" s="57"/>
      <c r="O574" s="57"/>
      <c r="P574" s="57"/>
      <c r="Q574" s="57"/>
      <c r="R574" s="57"/>
      <c r="S574" s="57"/>
      <c r="T574" s="57"/>
      <c r="U574" s="57"/>
      <c r="V574" s="57"/>
      <c r="W574" s="57"/>
      <c r="X574" s="57"/>
      <c r="Y574" s="57"/>
      <c r="Z574" s="57"/>
    </row>
    <row r="575">
      <c r="A575" s="58">
        <v>9321407.0</v>
      </c>
      <c r="B575" s="57" t="s">
        <v>1476</v>
      </c>
      <c r="C575" s="57" t="s">
        <v>210</v>
      </c>
      <c r="D575" s="58">
        <v>17.83</v>
      </c>
      <c r="E575" s="58">
        <v>2558.86</v>
      </c>
      <c r="F575" s="58">
        <v>4325616.0</v>
      </c>
      <c r="G575" s="57" t="s">
        <v>1477</v>
      </c>
      <c r="H575" s="57" t="s">
        <v>1478</v>
      </c>
      <c r="I575" s="57"/>
      <c r="J575" s="57"/>
      <c r="K575" s="57"/>
      <c r="L575" s="57"/>
      <c r="M575" s="57"/>
      <c r="N575" s="57"/>
      <c r="O575" s="57"/>
      <c r="P575" s="57"/>
      <c r="Q575" s="57"/>
      <c r="R575" s="57"/>
      <c r="S575" s="57"/>
      <c r="T575" s="57"/>
      <c r="U575" s="57"/>
      <c r="V575" s="57"/>
      <c r="W575" s="57"/>
      <c r="X575" s="57"/>
      <c r="Y575" s="57"/>
      <c r="Z575" s="57"/>
    </row>
    <row r="576">
      <c r="A576" s="58">
        <v>9319997.0</v>
      </c>
      <c r="B576" s="57" t="s">
        <v>1479</v>
      </c>
      <c r="C576" s="57" t="s">
        <v>210</v>
      </c>
      <c r="D576" s="58">
        <v>16.79</v>
      </c>
      <c r="E576" s="58">
        <v>2542.07</v>
      </c>
      <c r="F576" s="58">
        <v>4318392.0</v>
      </c>
      <c r="G576" s="57" t="s">
        <v>1480</v>
      </c>
      <c r="H576" s="57" t="s">
        <v>1481</v>
      </c>
      <c r="I576" s="57"/>
      <c r="J576" s="57"/>
      <c r="K576" s="57"/>
      <c r="L576" s="57"/>
      <c r="M576" s="57"/>
      <c r="N576" s="57"/>
      <c r="O576" s="57"/>
      <c r="P576" s="57"/>
      <c r="Q576" s="57"/>
      <c r="R576" s="57"/>
      <c r="S576" s="57"/>
      <c r="T576" s="57"/>
      <c r="U576" s="57"/>
      <c r="V576" s="57"/>
      <c r="W576" s="57"/>
      <c r="X576" s="57"/>
      <c r="Y576" s="57"/>
      <c r="Z576" s="57"/>
    </row>
    <row r="577">
      <c r="A577" s="58">
        <v>9319867.0</v>
      </c>
      <c r="B577" s="57" t="s">
        <v>1479</v>
      </c>
      <c r="C577" s="57" t="s">
        <v>210</v>
      </c>
      <c r="D577" s="58">
        <v>12.76</v>
      </c>
      <c r="E577" s="58">
        <v>2529.31</v>
      </c>
      <c r="F577" s="58">
        <v>4317828.0</v>
      </c>
      <c r="G577" s="57" t="s">
        <v>1482</v>
      </c>
      <c r="H577" s="57" t="s">
        <v>1483</v>
      </c>
      <c r="I577" s="57"/>
      <c r="J577" s="57"/>
      <c r="K577" s="57"/>
      <c r="L577" s="57"/>
      <c r="M577" s="57"/>
      <c r="N577" s="57"/>
      <c r="O577" s="57"/>
      <c r="P577" s="57"/>
      <c r="Q577" s="57"/>
      <c r="R577" s="57"/>
      <c r="S577" s="57"/>
      <c r="T577" s="57"/>
      <c r="U577" s="57"/>
      <c r="V577" s="57"/>
      <c r="W577" s="57"/>
      <c r="X577" s="57"/>
      <c r="Y577" s="57"/>
      <c r="Z577" s="57"/>
    </row>
    <row r="578">
      <c r="A578" s="58">
        <v>9317635.0</v>
      </c>
      <c r="B578" s="57" t="s">
        <v>1484</v>
      </c>
      <c r="C578" s="57" t="s">
        <v>210</v>
      </c>
      <c r="D578" s="58">
        <v>18.4</v>
      </c>
      <c r="E578" s="58">
        <v>2510.91</v>
      </c>
      <c r="F578" s="58">
        <v>4303857.0</v>
      </c>
      <c r="G578" s="57" t="s">
        <v>1485</v>
      </c>
      <c r="H578" s="57" t="s">
        <v>1486</v>
      </c>
      <c r="I578" s="57"/>
      <c r="J578" s="57"/>
      <c r="K578" s="57"/>
      <c r="L578" s="57"/>
      <c r="M578" s="57"/>
      <c r="N578" s="57"/>
      <c r="O578" s="57"/>
      <c r="P578" s="57"/>
      <c r="Q578" s="57"/>
      <c r="R578" s="57"/>
      <c r="S578" s="57"/>
      <c r="T578" s="57"/>
      <c r="U578" s="57"/>
      <c r="V578" s="57"/>
      <c r="W578" s="57"/>
      <c r="X578" s="57"/>
      <c r="Y578" s="57"/>
      <c r="Z578" s="57"/>
    </row>
    <row r="579">
      <c r="A579" s="58">
        <v>9317358.0</v>
      </c>
      <c r="B579" s="57" t="s">
        <v>1484</v>
      </c>
      <c r="C579" s="57" t="s">
        <v>210</v>
      </c>
      <c r="D579" s="58">
        <v>14.34</v>
      </c>
      <c r="E579" s="58">
        <v>2496.57</v>
      </c>
      <c r="F579" s="58">
        <v>4301115.0</v>
      </c>
      <c r="G579" s="57" t="s">
        <v>1487</v>
      </c>
      <c r="H579" s="57" t="s">
        <v>1488</v>
      </c>
      <c r="I579" s="57"/>
      <c r="J579" s="57"/>
      <c r="K579" s="57"/>
      <c r="L579" s="57"/>
      <c r="M579" s="57"/>
      <c r="N579" s="57"/>
      <c r="O579" s="57"/>
      <c r="P579" s="57"/>
      <c r="Q579" s="57"/>
      <c r="R579" s="57"/>
      <c r="S579" s="57"/>
      <c r="T579" s="57"/>
      <c r="U579" s="57"/>
      <c r="V579" s="57"/>
      <c r="W579" s="57"/>
      <c r="X579" s="57"/>
      <c r="Y579" s="57"/>
      <c r="Z579" s="57"/>
    </row>
    <row r="580">
      <c r="A580" s="58">
        <v>9317298.0</v>
      </c>
      <c r="B580" s="57" t="s">
        <v>1484</v>
      </c>
      <c r="C580" s="57" t="s">
        <v>210</v>
      </c>
      <c r="D580" s="58">
        <v>10.74</v>
      </c>
      <c r="E580" s="58">
        <v>2485.83</v>
      </c>
      <c r="F580" s="58">
        <v>4300527.0</v>
      </c>
      <c r="G580" s="57" t="s">
        <v>1489</v>
      </c>
      <c r="H580" s="57" t="s">
        <v>1490</v>
      </c>
      <c r="I580" s="57"/>
      <c r="J580" s="57"/>
      <c r="K580" s="57"/>
      <c r="L580" s="57"/>
      <c r="M580" s="57"/>
      <c r="N580" s="57"/>
      <c r="O580" s="57"/>
      <c r="P580" s="57"/>
      <c r="Q580" s="57"/>
      <c r="R580" s="57"/>
      <c r="S580" s="57"/>
      <c r="T580" s="57"/>
      <c r="U580" s="57"/>
      <c r="V580" s="57"/>
      <c r="W580" s="57"/>
      <c r="X580" s="57"/>
      <c r="Y580" s="57"/>
      <c r="Z580" s="57"/>
    </row>
    <row r="581">
      <c r="A581" s="58">
        <v>9317252.0</v>
      </c>
      <c r="B581" s="57" t="s">
        <v>1484</v>
      </c>
      <c r="C581" s="57" t="s">
        <v>210</v>
      </c>
      <c r="D581" s="58">
        <v>14.34</v>
      </c>
      <c r="E581" s="58">
        <v>2471.49</v>
      </c>
      <c r="F581" s="58">
        <v>4299985.0</v>
      </c>
      <c r="G581" s="57" t="s">
        <v>1491</v>
      </c>
      <c r="H581" s="57" t="s">
        <v>1492</v>
      </c>
      <c r="I581" s="57"/>
      <c r="J581" s="57"/>
      <c r="K581" s="57"/>
      <c r="L581" s="57"/>
      <c r="M581" s="57"/>
      <c r="N581" s="57"/>
      <c r="O581" s="57"/>
      <c r="P581" s="57"/>
      <c r="Q581" s="57"/>
      <c r="R581" s="57"/>
      <c r="S581" s="57"/>
      <c r="T581" s="57"/>
      <c r="U581" s="57"/>
      <c r="V581" s="57"/>
      <c r="W581" s="57"/>
      <c r="X581" s="57"/>
      <c r="Y581" s="57"/>
      <c r="Z581" s="57"/>
    </row>
    <row r="582">
      <c r="A582" s="58">
        <v>9316298.0</v>
      </c>
      <c r="B582" s="57" t="s">
        <v>1484</v>
      </c>
      <c r="C582" s="57" t="s">
        <v>210</v>
      </c>
      <c r="D582" s="58">
        <v>11.15</v>
      </c>
      <c r="E582" s="58">
        <v>2460.34</v>
      </c>
      <c r="F582" s="58">
        <v>4274981.0</v>
      </c>
      <c r="G582" s="57" t="s">
        <v>1493</v>
      </c>
      <c r="H582" s="57" t="s">
        <v>1494</v>
      </c>
      <c r="I582" s="57"/>
      <c r="J582" s="57"/>
      <c r="K582" s="57"/>
      <c r="L582" s="57"/>
      <c r="M582" s="57"/>
      <c r="N582" s="57"/>
      <c r="O582" s="57"/>
      <c r="P582" s="57"/>
      <c r="Q582" s="57"/>
      <c r="R582" s="57"/>
      <c r="S582" s="57"/>
      <c r="T582" s="57"/>
      <c r="U582" s="57"/>
      <c r="V582" s="57"/>
      <c r="W582" s="57"/>
      <c r="X582" s="57"/>
      <c r="Y582" s="57"/>
      <c r="Z582" s="57"/>
    </row>
    <row r="583">
      <c r="A583" s="58">
        <v>9314275.0</v>
      </c>
      <c r="B583" s="57" t="s">
        <v>1495</v>
      </c>
      <c r="C583" s="57" t="s">
        <v>247</v>
      </c>
      <c r="D583" s="58">
        <v>5.09</v>
      </c>
      <c r="E583" s="58">
        <v>2465.43</v>
      </c>
      <c r="F583" s="58">
        <v>4161859.0</v>
      </c>
      <c r="G583" s="57" t="s">
        <v>1496</v>
      </c>
      <c r="H583" s="57" t="s">
        <v>1497</v>
      </c>
      <c r="I583" s="57"/>
      <c r="J583" s="57"/>
      <c r="K583" s="57"/>
      <c r="L583" s="57"/>
      <c r="M583" s="57"/>
      <c r="N583" s="57"/>
      <c r="O583" s="57"/>
      <c r="P583" s="57"/>
      <c r="Q583" s="57"/>
      <c r="R583" s="57"/>
      <c r="S583" s="57"/>
      <c r="T583" s="57"/>
      <c r="U583" s="57"/>
      <c r="V583" s="57"/>
      <c r="W583" s="57"/>
      <c r="X583" s="57"/>
      <c r="Y583" s="57"/>
      <c r="Z583" s="57"/>
    </row>
    <row r="584">
      <c r="A584" s="58">
        <v>9314272.0</v>
      </c>
      <c r="B584" s="57" t="s">
        <v>1495</v>
      </c>
      <c r="C584" s="57" t="s">
        <v>247</v>
      </c>
      <c r="D584" s="58">
        <v>5.07</v>
      </c>
      <c r="E584" s="58">
        <v>2470.5</v>
      </c>
      <c r="F584" s="58">
        <v>4106885.0</v>
      </c>
      <c r="G584" s="57" t="s">
        <v>1498</v>
      </c>
      <c r="H584" s="57" t="s">
        <v>1499</v>
      </c>
      <c r="I584" s="57"/>
      <c r="J584" s="57"/>
      <c r="K584" s="57"/>
      <c r="L584" s="57"/>
      <c r="M584" s="57"/>
      <c r="N584" s="57"/>
      <c r="O584" s="57"/>
      <c r="P584" s="57"/>
      <c r="Q584" s="57"/>
      <c r="R584" s="57"/>
      <c r="S584" s="57"/>
      <c r="T584" s="57"/>
      <c r="U584" s="57"/>
      <c r="V584" s="57"/>
      <c r="W584" s="57"/>
      <c r="X584" s="57"/>
      <c r="Y584" s="57"/>
      <c r="Z584" s="57"/>
    </row>
    <row r="585">
      <c r="A585" s="58">
        <v>9314262.0</v>
      </c>
      <c r="B585" s="57" t="s">
        <v>1495</v>
      </c>
      <c r="C585" s="57" t="s">
        <v>247</v>
      </c>
      <c r="D585" s="58">
        <v>5.12</v>
      </c>
      <c r="E585" s="58">
        <v>2475.62</v>
      </c>
      <c r="F585" s="58">
        <v>4164664.0</v>
      </c>
      <c r="G585" s="57" t="s">
        <v>1500</v>
      </c>
      <c r="H585" s="57" t="s">
        <v>1501</v>
      </c>
      <c r="I585" s="57"/>
      <c r="J585" s="57"/>
      <c r="K585" s="57"/>
      <c r="L585" s="57"/>
      <c r="M585" s="57"/>
      <c r="N585" s="57"/>
      <c r="O585" s="57"/>
      <c r="P585" s="57"/>
      <c r="Q585" s="57"/>
      <c r="R585" s="57"/>
      <c r="S585" s="57"/>
      <c r="T585" s="57"/>
      <c r="U585" s="57"/>
      <c r="V585" s="57"/>
      <c r="W585" s="57"/>
      <c r="X585" s="57"/>
      <c r="Y585" s="57"/>
      <c r="Z585" s="57"/>
    </row>
    <row r="586">
      <c r="A586" s="58">
        <v>9314211.0</v>
      </c>
      <c r="B586" s="57" t="s">
        <v>1495</v>
      </c>
      <c r="C586" s="57" t="s">
        <v>247</v>
      </c>
      <c r="D586" s="58">
        <v>5.07</v>
      </c>
      <c r="E586" s="58">
        <v>2480.69</v>
      </c>
      <c r="F586" s="58">
        <v>4161945.0</v>
      </c>
      <c r="G586" s="57" t="s">
        <v>1502</v>
      </c>
      <c r="H586" s="57" t="s">
        <v>1503</v>
      </c>
      <c r="I586" s="57"/>
      <c r="J586" s="57"/>
      <c r="K586" s="57"/>
      <c r="L586" s="57"/>
      <c r="M586" s="57"/>
      <c r="N586" s="57"/>
      <c r="O586" s="57"/>
      <c r="P586" s="57"/>
      <c r="Q586" s="57"/>
      <c r="R586" s="57"/>
      <c r="S586" s="57"/>
      <c r="T586" s="57"/>
      <c r="U586" s="57"/>
      <c r="V586" s="57"/>
      <c r="W586" s="57"/>
      <c r="X586" s="57"/>
      <c r="Y586" s="57"/>
      <c r="Z586" s="57"/>
    </row>
    <row r="587">
      <c r="A587" s="58">
        <v>9314131.0</v>
      </c>
      <c r="B587" s="57" t="s">
        <v>1495</v>
      </c>
      <c r="C587" s="57" t="s">
        <v>247</v>
      </c>
      <c r="D587" s="58">
        <v>5.09</v>
      </c>
      <c r="E587" s="58">
        <v>2485.78</v>
      </c>
      <c r="F587" s="58">
        <v>4157641.0</v>
      </c>
      <c r="G587" s="57" t="s">
        <v>1504</v>
      </c>
      <c r="H587" s="57" t="s">
        <v>1505</v>
      </c>
      <c r="I587" s="57"/>
      <c r="J587" s="57"/>
      <c r="K587" s="57"/>
      <c r="L587" s="57"/>
      <c r="M587" s="57"/>
      <c r="N587" s="57"/>
      <c r="O587" s="57"/>
      <c r="P587" s="57"/>
      <c r="Q587" s="57"/>
      <c r="R587" s="57"/>
      <c r="S587" s="57"/>
      <c r="T587" s="57"/>
      <c r="U587" s="57"/>
      <c r="V587" s="57"/>
      <c r="W587" s="57"/>
      <c r="X587" s="57"/>
      <c r="Y587" s="57"/>
      <c r="Z587" s="57"/>
    </row>
    <row r="588">
      <c r="A588" s="58">
        <v>9314116.0</v>
      </c>
      <c r="B588" s="57" t="s">
        <v>1495</v>
      </c>
      <c r="C588" s="57" t="s">
        <v>247</v>
      </c>
      <c r="D588" s="58">
        <v>5.09</v>
      </c>
      <c r="E588" s="58">
        <v>2490.87</v>
      </c>
      <c r="F588" s="58">
        <v>4152639.0</v>
      </c>
      <c r="G588" s="57" t="s">
        <v>1506</v>
      </c>
      <c r="H588" s="57" t="s">
        <v>1507</v>
      </c>
      <c r="I588" s="57"/>
      <c r="J588" s="57"/>
      <c r="K588" s="57"/>
      <c r="L588" s="57"/>
      <c r="M588" s="57"/>
      <c r="N588" s="57"/>
      <c r="O588" s="57"/>
      <c r="P588" s="57"/>
      <c r="Q588" s="57"/>
      <c r="R588" s="57"/>
      <c r="S588" s="57"/>
      <c r="T588" s="57"/>
      <c r="U588" s="57"/>
      <c r="V588" s="57"/>
      <c r="W588" s="57"/>
      <c r="X588" s="57"/>
      <c r="Y588" s="57"/>
      <c r="Z588" s="57"/>
    </row>
    <row r="589">
      <c r="A589" s="58">
        <v>9314002.0</v>
      </c>
      <c r="B589" s="57" t="s">
        <v>1495</v>
      </c>
      <c r="C589" s="57" t="s">
        <v>247</v>
      </c>
      <c r="D589" s="58">
        <v>5.07</v>
      </c>
      <c r="E589" s="58">
        <v>2495.94</v>
      </c>
      <c r="F589" s="58">
        <v>4162280.0</v>
      </c>
      <c r="G589" s="57" t="s">
        <v>1508</v>
      </c>
      <c r="H589" s="57" t="s">
        <v>1509</v>
      </c>
      <c r="I589" s="57"/>
      <c r="J589" s="57"/>
      <c r="K589" s="57"/>
      <c r="L589" s="57"/>
      <c r="M589" s="57"/>
      <c r="N589" s="57"/>
      <c r="O589" s="57"/>
      <c r="P589" s="57"/>
      <c r="Q589" s="57"/>
      <c r="R589" s="57"/>
      <c r="S589" s="57"/>
      <c r="T589" s="57"/>
      <c r="U589" s="57"/>
      <c r="V589" s="57"/>
      <c r="W589" s="57"/>
      <c r="X589" s="57"/>
      <c r="Y589" s="57"/>
      <c r="Z589" s="57"/>
    </row>
    <row r="590">
      <c r="A590" s="58">
        <v>9313987.0</v>
      </c>
      <c r="B590" s="57" t="s">
        <v>1495</v>
      </c>
      <c r="C590" s="57" t="s">
        <v>247</v>
      </c>
      <c r="D590" s="58">
        <v>5.09</v>
      </c>
      <c r="E590" s="58">
        <v>2501.03</v>
      </c>
      <c r="F590" s="58">
        <v>4163042.0</v>
      </c>
      <c r="G590" s="57" t="s">
        <v>1510</v>
      </c>
      <c r="H590" s="57" t="s">
        <v>1511</v>
      </c>
      <c r="I590" s="57"/>
      <c r="J590" s="57"/>
      <c r="K590" s="57"/>
      <c r="L590" s="57"/>
      <c r="M590" s="57"/>
      <c r="N590" s="57"/>
      <c r="O590" s="57"/>
      <c r="P590" s="57"/>
      <c r="Q590" s="57"/>
      <c r="R590" s="57"/>
      <c r="S590" s="57"/>
      <c r="T590" s="57"/>
      <c r="U590" s="57"/>
      <c r="V590" s="57"/>
      <c r="W590" s="57"/>
      <c r="X590" s="57"/>
      <c r="Y590" s="57"/>
      <c r="Z590" s="57"/>
    </row>
    <row r="591">
      <c r="A591" s="58">
        <v>9313956.0</v>
      </c>
      <c r="B591" s="57" t="s">
        <v>1512</v>
      </c>
      <c r="C591" s="57" t="s">
        <v>247</v>
      </c>
      <c r="D591" s="58">
        <v>5.12</v>
      </c>
      <c r="E591" s="58">
        <v>2506.15</v>
      </c>
      <c r="F591" s="58">
        <v>4163443.0</v>
      </c>
      <c r="G591" s="57" t="s">
        <v>1513</v>
      </c>
      <c r="H591" s="57" t="s">
        <v>1514</v>
      </c>
      <c r="I591" s="57"/>
      <c r="J591" s="57"/>
      <c r="K591" s="57"/>
      <c r="L591" s="57"/>
      <c r="M591" s="57"/>
      <c r="N591" s="57"/>
      <c r="O591" s="57"/>
      <c r="P591" s="57"/>
      <c r="Q591" s="57"/>
      <c r="R591" s="57"/>
      <c r="S591" s="57"/>
      <c r="T591" s="57"/>
      <c r="U591" s="57"/>
      <c r="V591" s="57"/>
      <c r="W591" s="57"/>
      <c r="X591" s="57"/>
      <c r="Y591" s="57"/>
      <c r="Z591" s="57"/>
    </row>
    <row r="592">
      <c r="A592" s="58">
        <v>9313895.0</v>
      </c>
      <c r="B592" s="57" t="s">
        <v>1512</v>
      </c>
      <c r="C592" s="57" t="s">
        <v>247</v>
      </c>
      <c r="D592" s="58">
        <v>5.09</v>
      </c>
      <c r="E592" s="58">
        <v>2511.24</v>
      </c>
      <c r="F592" s="58">
        <v>4163059.0</v>
      </c>
      <c r="G592" s="57" t="s">
        <v>1515</v>
      </c>
      <c r="H592" s="57" t="s">
        <v>1516</v>
      </c>
      <c r="I592" s="57"/>
      <c r="J592" s="57"/>
      <c r="K592" s="57"/>
      <c r="L592" s="57"/>
      <c r="M592" s="57"/>
      <c r="N592" s="57"/>
      <c r="O592" s="57"/>
      <c r="P592" s="57"/>
      <c r="Q592" s="57"/>
      <c r="R592" s="57"/>
      <c r="S592" s="57"/>
      <c r="T592" s="57"/>
      <c r="U592" s="57"/>
      <c r="V592" s="57"/>
      <c r="W592" s="57"/>
      <c r="X592" s="57"/>
      <c r="Y592" s="57"/>
      <c r="Z592" s="57"/>
    </row>
    <row r="593">
      <c r="A593" s="58">
        <v>9313871.0</v>
      </c>
      <c r="B593" s="57" t="s">
        <v>1512</v>
      </c>
      <c r="C593" s="57" t="s">
        <v>247</v>
      </c>
      <c r="D593" s="58">
        <v>5.07</v>
      </c>
      <c r="E593" s="58">
        <v>2516.31</v>
      </c>
      <c r="F593" s="58">
        <v>4160884.0</v>
      </c>
      <c r="G593" s="57" t="s">
        <v>1517</v>
      </c>
      <c r="H593" s="57" t="s">
        <v>1518</v>
      </c>
      <c r="I593" s="57"/>
      <c r="J593" s="57"/>
      <c r="K593" s="57"/>
      <c r="L593" s="57"/>
      <c r="M593" s="57"/>
      <c r="N593" s="57"/>
      <c r="O593" s="57"/>
      <c r="P593" s="57"/>
      <c r="Q593" s="57"/>
      <c r="R593" s="57"/>
      <c r="S593" s="57"/>
      <c r="T593" s="57"/>
      <c r="U593" s="57"/>
      <c r="V593" s="57"/>
      <c r="W593" s="57"/>
      <c r="X593" s="57"/>
      <c r="Y593" s="57"/>
      <c r="Z593" s="57"/>
    </row>
    <row r="594">
      <c r="A594" s="58">
        <v>9310536.0</v>
      </c>
      <c r="B594" s="57" t="s">
        <v>1519</v>
      </c>
      <c r="C594" s="57" t="s">
        <v>247</v>
      </c>
      <c r="D594" s="58">
        <v>7.82</v>
      </c>
      <c r="E594" s="58">
        <v>2524.13</v>
      </c>
      <c r="F594" s="58">
        <v>4144895.0</v>
      </c>
      <c r="G594" s="58">
        <v>1.86986107E8</v>
      </c>
      <c r="H594" s="57" t="s">
        <v>1520</v>
      </c>
      <c r="I594" s="57"/>
      <c r="J594" s="57"/>
      <c r="K594" s="57"/>
      <c r="L594" s="57"/>
      <c r="M594" s="57"/>
      <c r="N594" s="57"/>
      <c r="O594" s="57"/>
      <c r="P594" s="57"/>
      <c r="Q594" s="57"/>
      <c r="R594" s="57"/>
      <c r="S594" s="57"/>
      <c r="T594" s="57"/>
      <c r="U594" s="57"/>
      <c r="V594" s="57"/>
      <c r="W594" s="57"/>
      <c r="X594" s="57"/>
      <c r="Y594" s="57"/>
      <c r="Z594" s="57"/>
    </row>
    <row r="595">
      <c r="A595" s="58">
        <v>9307416.0</v>
      </c>
      <c r="B595" s="57" t="s">
        <v>1521</v>
      </c>
      <c r="C595" s="57" t="s">
        <v>210</v>
      </c>
      <c r="D595" s="58">
        <v>12.01</v>
      </c>
      <c r="E595" s="58">
        <v>2512.12</v>
      </c>
      <c r="F595" s="58">
        <v>4330329.0</v>
      </c>
      <c r="G595" s="58">
        <v>1.86553175E8</v>
      </c>
      <c r="H595" s="57" t="s">
        <v>1522</v>
      </c>
      <c r="I595" s="57"/>
      <c r="J595" s="57"/>
      <c r="K595" s="57"/>
      <c r="L595" s="57"/>
      <c r="M595" s="57"/>
      <c r="N595" s="57"/>
      <c r="O595" s="57"/>
      <c r="P595" s="57"/>
      <c r="Q595" s="57"/>
      <c r="R595" s="57"/>
      <c r="S595" s="57"/>
      <c r="T595" s="57"/>
      <c r="U595" s="57"/>
      <c r="V595" s="57"/>
      <c r="W595" s="57"/>
      <c r="X595" s="57"/>
      <c r="Y595" s="57"/>
      <c r="Z595" s="57"/>
    </row>
    <row r="596">
      <c r="A596" s="58">
        <v>9302078.0</v>
      </c>
      <c r="B596" s="57" t="s">
        <v>1523</v>
      </c>
      <c r="C596" s="57" t="s">
        <v>210</v>
      </c>
      <c r="D596" s="58">
        <v>13.5</v>
      </c>
      <c r="E596" s="58">
        <v>2498.62</v>
      </c>
      <c r="F596" s="58">
        <v>4308019.0</v>
      </c>
      <c r="G596" s="57" t="s">
        <v>1524</v>
      </c>
      <c r="H596" s="57" t="s">
        <v>1525</v>
      </c>
      <c r="I596" s="57"/>
      <c r="J596" s="57"/>
      <c r="K596" s="57"/>
      <c r="L596" s="57"/>
      <c r="M596" s="57"/>
      <c r="N596" s="57"/>
      <c r="O596" s="57"/>
      <c r="P596" s="57"/>
      <c r="Q596" s="57"/>
      <c r="R596" s="57"/>
      <c r="S596" s="57"/>
      <c r="T596" s="57"/>
      <c r="U596" s="57"/>
      <c r="V596" s="57"/>
      <c r="W596" s="57"/>
      <c r="X596" s="57"/>
      <c r="Y596" s="57"/>
      <c r="Z596" s="57"/>
    </row>
    <row r="597">
      <c r="A597" s="58">
        <v>9298953.0</v>
      </c>
      <c r="B597" s="57" t="s">
        <v>1526</v>
      </c>
      <c r="C597" s="57" t="s">
        <v>210</v>
      </c>
      <c r="D597" s="58">
        <v>11.32</v>
      </c>
      <c r="E597" s="58">
        <v>2487.3</v>
      </c>
      <c r="F597" s="58">
        <v>4299624.0</v>
      </c>
      <c r="G597" s="57" t="s">
        <v>1527</v>
      </c>
      <c r="H597" s="57" t="s">
        <v>1528</v>
      </c>
      <c r="I597" s="57"/>
      <c r="J597" s="57"/>
      <c r="K597" s="57"/>
      <c r="L597" s="57"/>
      <c r="M597" s="57"/>
      <c r="N597" s="57"/>
      <c r="O597" s="57"/>
      <c r="P597" s="57"/>
      <c r="Q597" s="57"/>
      <c r="R597" s="57"/>
      <c r="S597" s="57"/>
      <c r="T597" s="57"/>
      <c r="U597" s="57"/>
      <c r="V597" s="57"/>
      <c r="W597" s="57"/>
      <c r="X597" s="57"/>
      <c r="Y597" s="57"/>
      <c r="Z597" s="57"/>
    </row>
    <row r="598">
      <c r="A598" s="58">
        <v>9298320.0</v>
      </c>
      <c r="B598" s="57" t="s">
        <v>1526</v>
      </c>
      <c r="C598" s="57" t="s">
        <v>210</v>
      </c>
      <c r="D598" s="58">
        <v>12.19</v>
      </c>
      <c r="E598" s="58">
        <v>2475.11</v>
      </c>
      <c r="F598" s="58">
        <v>4297531.0</v>
      </c>
      <c r="G598" s="57" t="s">
        <v>1529</v>
      </c>
      <c r="H598" s="57" t="s">
        <v>1530</v>
      </c>
      <c r="I598" s="57"/>
      <c r="J598" s="57"/>
      <c r="K598" s="57"/>
      <c r="L598" s="57"/>
      <c r="M598" s="57"/>
      <c r="N598" s="57"/>
      <c r="O598" s="57"/>
      <c r="P598" s="57"/>
      <c r="Q598" s="57"/>
      <c r="R598" s="57"/>
      <c r="S598" s="57"/>
      <c r="T598" s="57"/>
      <c r="U598" s="57"/>
      <c r="V598" s="57"/>
      <c r="W598" s="57"/>
      <c r="X598" s="57"/>
      <c r="Y598" s="57"/>
      <c r="Z598" s="57"/>
    </row>
    <row r="599">
      <c r="A599" s="58">
        <v>9297322.0</v>
      </c>
      <c r="B599" s="57" t="s">
        <v>1526</v>
      </c>
      <c r="C599" s="57" t="s">
        <v>210</v>
      </c>
      <c r="D599" s="58">
        <v>14.34</v>
      </c>
      <c r="E599" s="58">
        <v>2460.77</v>
      </c>
      <c r="F599" s="58">
        <v>4294182.0</v>
      </c>
      <c r="G599" s="57" t="s">
        <v>1531</v>
      </c>
      <c r="H599" s="57" t="s">
        <v>1532</v>
      </c>
      <c r="I599" s="57"/>
      <c r="J599" s="57"/>
      <c r="K599" s="57"/>
      <c r="L599" s="57"/>
      <c r="M599" s="57"/>
      <c r="N599" s="57"/>
      <c r="O599" s="57"/>
      <c r="P599" s="57"/>
      <c r="Q599" s="57"/>
      <c r="R599" s="57"/>
      <c r="S599" s="57"/>
      <c r="T599" s="57"/>
      <c r="U599" s="57"/>
      <c r="V599" s="57"/>
      <c r="W599" s="57"/>
      <c r="X599" s="57"/>
      <c r="Y599" s="57"/>
      <c r="Z599" s="57"/>
    </row>
    <row r="600">
      <c r="A600" s="58">
        <v>9296789.0</v>
      </c>
      <c r="B600" s="57" t="s">
        <v>1533</v>
      </c>
      <c r="C600" s="57" t="s">
        <v>210</v>
      </c>
      <c r="D600" s="58">
        <v>12.76</v>
      </c>
      <c r="E600" s="58">
        <v>2448.01</v>
      </c>
      <c r="F600" s="58">
        <v>4292190.0</v>
      </c>
      <c r="G600" s="57" t="s">
        <v>1534</v>
      </c>
      <c r="H600" s="57" t="s">
        <v>1535</v>
      </c>
      <c r="I600" s="57"/>
      <c r="J600" s="57"/>
      <c r="K600" s="57"/>
      <c r="L600" s="57"/>
      <c r="M600" s="57"/>
      <c r="N600" s="57"/>
      <c r="O600" s="57"/>
      <c r="P600" s="57"/>
      <c r="Q600" s="57"/>
      <c r="R600" s="57"/>
      <c r="S600" s="57"/>
      <c r="T600" s="57"/>
      <c r="U600" s="57"/>
      <c r="V600" s="57"/>
      <c r="W600" s="57"/>
      <c r="X600" s="57"/>
      <c r="Y600" s="57"/>
      <c r="Z600" s="57"/>
    </row>
    <row r="601">
      <c r="A601" s="58">
        <v>9294550.0</v>
      </c>
      <c r="B601" s="57" t="s">
        <v>1533</v>
      </c>
      <c r="C601" s="57" t="s">
        <v>210</v>
      </c>
      <c r="D601" s="58">
        <v>15.76</v>
      </c>
      <c r="E601" s="58">
        <v>2432.25</v>
      </c>
      <c r="F601" s="58">
        <v>4278529.0</v>
      </c>
      <c r="G601" s="57" t="s">
        <v>1536</v>
      </c>
      <c r="H601" s="57" t="s">
        <v>1537</v>
      </c>
      <c r="I601" s="57"/>
      <c r="J601" s="57"/>
      <c r="K601" s="57"/>
      <c r="L601" s="57"/>
      <c r="M601" s="57"/>
      <c r="N601" s="57"/>
      <c r="O601" s="57"/>
      <c r="P601" s="57"/>
      <c r="Q601" s="57"/>
      <c r="R601" s="57"/>
      <c r="S601" s="57"/>
      <c r="T601" s="57"/>
      <c r="U601" s="57"/>
      <c r="V601" s="57"/>
      <c r="W601" s="57"/>
      <c r="X601" s="57"/>
      <c r="Y601" s="57"/>
      <c r="Z601" s="57"/>
    </row>
    <row r="602">
      <c r="A602" s="58">
        <v>9293446.0</v>
      </c>
      <c r="B602" s="57" t="s">
        <v>1533</v>
      </c>
      <c r="C602" s="57" t="s">
        <v>210</v>
      </c>
      <c r="D602" s="58">
        <v>14.92</v>
      </c>
      <c r="E602" s="58">
        <v>2417.33</v>
      </c>
      <c r="F602" s="58">
        <v>4268468.0</v>
      </c>
      <c r="G602" s="57" t="s">
        <v>1538</v>
      </c>
      <c r="H602" s="57" t="s">
        <v>1539</v>
      </c>
      <c r="I602" s="57"/>
      <c r="J602" s="57"/>
      <c r="K602" s="57"/>
      <c r="L602" s="57"/>
      <c r="M602" s="57"/>
      <c r="N602" s="57"/>
      <c r="O602" s="57"/>
      <c r="P602" s="57"/>
      <c r="Q602" s="57"/>
      <c r="R602" s="57"/>
      <c r="S602" s="57"/>
      <c r="T602" s="57"/>
      <c r="U602" s="57"/>
      <c r="V602" s="57"/>
      <c r="W602" s="57"/>
      <c r="X602" s="57"/>
      <c r="Y602" s="57"/>
      <c r="Z602" s="57"/>
    </row>
    <row r="603">
      <c r="A603" s="58">
        <v>9292882.0</v>
      </c>
      <c r="B603" s="57" t="s">
        <v>1540</v>
      </c>
      <c r="C603" s="57" t="s">
        <v>210</v>
      </c>
      <c r="D603" s="58">
        <v>14.34</v>
      </c>
      <c r="E603" s="58">
        <v>2402.99</v>
      </c>
      <c r="F603" s="58">
        <v>4263204.0</v>
      </c>
      <c r="G603" s="57" t="s">
        <v>1541</v>
      </c>
      <c r="H603" s="57" t="s">
        <v>1542</v>
      </c>
      <c r="I603" s="57"/>
      <c r="J603" s="57"/>
      <c r="K603" s="57"/>
      <c r="L603" s="57"/>
      <c r="M603" s="57"/>
      <c r="N603" s="57"/>
      <c r="O603" s="57"/>
      <c r="P603" s="57"/>
      <c r="Q603" s="57"/>
      <c r="R603" s="57"/>
      <c r="S603" s="57"/>
      <c r="T603" s="57"/>
      <c r="U603" s="57"/>
      <c r="V603" s="57"/>
      <c r="W603" s="57"/>
      <c r="X603" s="57"/>
      <c r="Y603" s="57"/>
      <c r="Z603" s="57"/>
    </row>
    <row r="604">
      <c r="A604" s="58">
        <v>9291745.0</v>
      </c>
      <c r="B604" s="57" t="s">
        <v>1540</v>
      </c>
      <c r="C604" s="57" t="s">
        <v>210</v>
      </c>
      <c r="D604" s="58">
        <v>9.98</v>
      </c>
      <c r="E604" s="58">
        <v>2393.01</v>
      </c>
      <c r="F604" s="58">
        <v>4245744.0</v>
      </c>
      <c r="G604" s="58">
        <v>1.86518364E8</v>
      </c>
      <c r="H604" s="57" t="s">
        <v>1543</v>
      </c>
      <c r="I604" s="57"/>
      <c r="J604" s="57"/>
      <c r="K604" s="57"/>
      <c r="L604" s="57"/>
      <c r="M604" s="57"/>
      <c r="N604" s="57"/>
      <c r="O604" s="57"/>
      <c r="P604" s="57"/>
      <c r="Q604" s="57"/>
      <c r="R604" s="57"/>
      <c r="S604" s="57"/>
      <c r="T604" s="57"/>
      <c r="U604" s="57"/>
      <c r="V604" s="57"/>
      <c r="W604" s="57"/>
      <c r="X604" s="57"/>
      <c r="Y604" s="57"/>
      <c r="Z604" s="57"/>
    </row>
    <row r="605">
      <c r="A605" s="58">
        <v>9291396.0</v>
      </c>
      <c r="B605" s="57" t="s">
        <v>1540</v>
      </c>
      <c r="C605" s="57" t="s">
        <v>210</v>
      </c>
      <c r="D605" s="58">
        <v>14.34</v>
      </c>
      <c r="E605" s="58">
        <v>2378.67</v>
      </c>
      <c r="F605" s="58">
        <v>4236198.0</v>
      </c>
      <c r="G605" s="57" t="s">
        <v>1544</v>
      </c>
      <c r="H605" s="57" t="s">
        <v>1545</v>
      </c>
      <c r="I605" s="57"/>
      <c r="J605" s="57"/>
      <c r="K605" s="57"/>
      <c r="L605" s="57"/>
      <c r="M605" s="57"/>
      <c r="N605" s="57"/>
      <c r="O605" s="57"/>
      <c r="P605" s="57"/>
      <c r="Q605" s="57"/>
      <c r="R605" s="57"/>
      <c r="S605" s="57"/>
      <c r="T605" s="57"/>
      <c r="U605" s="57"/>
      <c r="V605" s="57"/>
      <c r="W605" s="57"/>
      <c r="X605" s="57"/>
      <c r="Y605" s="57"/>
      <c r="Z605" s="57"/>
    </row>
    <row r="606">
      <c r="A606" s="58">
        <v>9291030.0</v>
      </c>
      <c r="B606" s="57" t="s">
        <v>1540</v>
      </c>
      <c r="C606" s="57" t="s">
        <v>210</v>
      </c>
      <c r="D606" s="58">
        <v>14.34</v>
      </c>
      <c r="E606" s="58">
        <v>2364.33</v>
      </c>
      <c r="F606" s="58">
        <v>4221972.0</v>
      </c>
      <c r="G606" s="57" t="s">
        <v>1546</v>
      </c>
      <c r="H606" s="57" t="s">
        <v>1547</v>
      </c>
      <c r="I606" s="57"/>
      <c r="J606" s="57"/>
      <c r="K606" s="57"/>
      <c r="L606" s="57"/>
      <c r="M606" s="57"/>
      <c r="N606" s="57"/>
      <c r="O606" s="57"/>
      <c r="P606" s="57"/>
      <c r="Q606" s="57"/>
      <c r="R606" s="57"/>
      <c r="S606" s="57"/>
      <c r="T606" s="57"/>
      <c r="U606" s="57"/>
      <c r="V606" s="57"/>
      <c r="W606" s="57"/>
      <c r="X606" s="57"/>
      <c r="Y606" s="57"/>
      <c r="Z606" s="57"/>
    </row>
    <row r="607">
      <c r="A607" s="58">
        <v>9290613.0</v>
      </c>
      <c r="B607" s="57" t="s">
        <v>1540</v>
      </c>
      <c r="C607" s="57" t="s">
        <v>210</v>
      </c>
      <c r="D607" s="58">
        <v>15.38</v>
      </c>
      <c r="E607" s="58">
        <v>2348.95</v>
      </c>
      <c r="F607" s="58">
        <v>4187207.0</v>
      </c>
      <c r="G607" s="57" t="s">
        <v>1548</v>
      </c>
      <c r="H607" s="57" t="s">
        <v>1549</v>
      </c>
      <c r="I607" s="57"/>
      <c r="J607" s="57"/>
      <c r="K607" s="57"/>
      <c r="L607" s="57"/>
      <c r="M607" s="57"/>
      <c r="N607" s="57"/>
      <c r="O607" s="57"/>
      <c r="P607" s="57"/>
      <c r="Q607" s="57"/>
      <c r="R607" s="57"/>
      <c r="S607" s="57"/>
      <c r="T607" s="57"/>
      <c r="U607" s="57"/>
      <c r="V607" s="57"/>
      <c r="W607" s="57"/>
      <c r="X607" s="57"/>
      <c r="Y607" s="57"/>
      <c r="Z607" s="57"/>
    </row>
    <row r="608">
      <c r="A608" s="58">
        <v>9290388.0</v>
      </c>
      <c r="B608" s="57" t="s">
        <v>1540</v>
      </c>
      <c r="C608" s="57" t="s">
        <v>210</v>
      </c>
      <c r="D608" s="58">
        <v>12.59</v>
      </c>
      <c r="E608" s="58">
        <v>2336.36</v>
      </c>
      <c r="F608" s="58">
        <v>4135930.0</v>
      </c>
      <c r="G608" s="57" t="s">
        <v>1550</v>
      </c>
      <c r="H608" s="57" t="s">
        <v>1551</v>
      </c>
      <c r="I608" s="57"/>
      <c r="J608" s="57"/>
      <c r="K608" s="57"/>
      <c r="L608" s="57"/>
      <c r="M608" s="57"/>
      <c r="N608" s="57"/>
      <c r="O608" s="57"/>
      <c r="P608" s="57"/>
      <c r="Q608" s="57"/>
      <c r="R608" s="57"/>
      <c r="S608" s="57"/>
      <c r="T608" s="57"/>
      <c r="U608" s="57"/>
      <c r="V608" s="57"/>
      <c r="W608" s="57"/>
      <c r="X608" s="57"/>
      <c r="Y608" s="57"/>
      <c r="Z608" s="57"/>
    </row>
    <row r="609">
      <c r="A609" s="58">
        <v>9289026.0</v>
      </c>
      <c r="B609" s="57" t="s">
        <v>1552</v>
      </c>
      <c r="C609" s="57" t="s">
        <v>247</v>
      </c>
      <c r="D609" s="58">
        <v>5.09</v>
      </c>
      <c r="E609" s="58">
        <v>2341.45</v>
      </c>
      <c r="F609" s="58">
        <v>4152312.0</v>
      </c>
      <c r="G609" s="57" t="s">
        <v>1553</v>
      </c>
      <c r="H609" s="57" t="s">
        <v>1554</v>
      </c>
      <c r="I609" s="57"/>
      <c r="J609" s="57"/>
      <c r="K609" s="57"/>
      <c r="L609" s="57"/>
      <c r="M609" s="57"/>
      <c r="N609" s="57"/>
      <c r="O609" s="57"/>
      <c r="P609" s="57"/>
      <c r="Q609" s="57"/>
      <c r="R609" s="57"/>
      <c r="S609" s="57"/>
      <c r="T609" s="57"/>
      <c r="U609" s="57"/>
      <c r="V609" s="57"/>
      <c r="W609" s="57"/>
      <c r="X609" s="57"/>
      <c r="Y609" s="57"/>
      <c r="Z609" s="57"/>
    </row>
    <row r="610">
      <c r="A610" s="58">
        <v>9288906.0</v>
      </c>
      <c r="B610" s="57" t="s">
        <v>1552</v>
      </c>
      <c r="C610" s="57" t="s">
        <v>247</v>
      </c>
      <c r="D610" s="58">
        <v>5.12</v>
      </c>
      <c r="E610" s="58">
        <v>2346.57</v>
      </c>
      <c r="F610" s="58">
        <v>4141731.0</v>
      </c>
      <c r="G610" s="57" t="s">
        <v>1555</v>
      </c>
      <c r="H610" s="57" t="s">
        <v>1556</v>
      </c>
      <c r="I610" s="57"/>
      <c r="J610" s="57"/>
      <c r="K610" s="57"/>
      <c r="L610" s="57"/>
      <c r="M610" s="57"/>
      <c r="N610" s="57"/>
      <c r="O610" s="57"/>
      <c r="P610" s="57"/>
      <c r="Q610" s="57"/>
      <c r="R610" s="57"/>
      <c r="S610" s="57"/>
      <c r="T610" s="57"/>
      <c r="U610" s="57"/>
      <c r="V610" s="57"/>
      <c r="W610" s="57"/>
      <c r="X610" s="57"/>
      <c r="Y610" s="57"/>
      <c r="Z610" s="57"/>
    </row>
    <row r="611">
      <c r="A611" s="58">
        <v>9288897.0</v>
      </c>
      <c r="B611" s="57" t="s">
        <v>1552</v>
      </c>
      <c r="C611" s="57" t="s">
        <v>247</v>
      </c>
      <c r="D611" s="58">
        <v>5.07</v>
      </c>
      <c r="E611" s="58">
        <v>2351.64</v>
      </c>
      <c r="F611" s="58">
        <v>4156224.0</v>
      </c>
      <c r="G611" s="57" t="s">
        <v>1557</v>
      </c>
      <c r="H611" s="57" t="s">
        <v>1558</v>
      </c>
      <c r="I611" s="57"/>
      <c r="J611" s="57"/>
      <c r="K611" s="57"/>
      <c r="L611" s="57"/>
      <c r="M611" s="57"/>
      <c r="N611" s="57"/>
      <c r="O611" s="57"/>
      <c r="P611" s="57"/>
      <c r="Q611" s="57"/>
      <c r="R611" s="57"/>
      <c r="S611" s="57"/>
      <c r="T611" s="57"/>
      <c r="U611" s="57"/>
      <c r="V611" s="57"/>
      <c r="W611" s="57"/>
      <c r="X611" s="57"/>
      <c r="Y611" s="57"/>
      <c r="Z611" s="57"/>
    </row>
    <row r="612">
      <c r="A612" s="58">
        <v>9288814.0</v>
      </c>
      <c r="B612" s="57" t="s">
        <v>1559</v>
      </c>
      <c r="C612" s="57" t="s">
        <v>247</v>
      </c>
      <c r="D612" s="58">
        <v>5.07</v>
      </c>
      <c r="E612" s="58">
        <v>2356.71</v>
      </c>
      <c r="F612" s="58">
        <v>4158761.0</v>
      </c>
      <c r="G612" s="57" t="s">
        <v>1560</v>
      </c>
      <c r="H612" s="57" t="s">
        <v>1561</v>
      </c>
      <c r="I612" s="57"/>
      <c r="J612" s="57"/>
      <c r="K612" s="57"/>
      <c r="L612" s="57"/>
      <c r="M612" s="57"/>
      <c r="N612" s="57"/>
      <c r="O612" s="57"/>
      <c r="P612" s="57"/>
      <c r="Q612" s="57"/>
      <c r="R612" s="57"/>
      <c r="S612" s="57"/>
      <c r="T612" s="57"/>
      <c r="U612" s="57"/>
      <c r="V612" s="57"/>
      <c r="W612" s="57"/>
      <c r="X612" s="57"/>
      <c r="Y612" s="57"/>
      <c r="Z612" s="57"/>
    </row>
    <row r="613">
      <c r="A613" s="58">
        <v>9288765.0</v>
      </c>
      <c r="B613" s="57" t="s">
        <v>1559</v>
      </c>
      <c r="C613" s="57" t="s">
        <v>247</v>
      </c>
      <c r="D613" s="58">
        <v>3.51</v>
      </c>
      <c r="E613" s="58">
        <v>2360.22</v>
      </c>
      <c r="F613" s="58">
        <v>4163193.0</v>
      </c>
      <c r="G613" s="57" t="s">
        <v>1562</v>
      </c>
      <c r="H613" s="57" t="s">
        <v>1563</v>
      </c>
      <c r="I613" s="57"/>
      <c r="J613" s="57"/>
      <c r="K613" s="57"/>
      <c r="L613" s="57"/>
      <c r="M613" s="57"/>
      <c r="N613" s="57"/>
      <c r="O613" s="57"/>
      <c r="P613" s="57"/>
      <c r="Q613" s="57"/>
      <c r="R613" s="57"/>
      <c r="S613" s="57"/>
      <c r="T613" s="57"/>
      <c r="U613" s="57"/>
      <c r="V613" s="57"/>
      <c r="W613" s="57"/>
      <c r="X613" s="57"/>
      <c r="Y613" s="57"/>
      <c r="Z613" s="57"/>
    </row>
    <row r="614">
      <c r="A614" s="58">
        <v>9288594.0</v>
      </c>
      <c r="B614" s="57" t="s">
        <v>1559</v>
      </c>
      <c r="C614" s="57" t="s">
        <v>247</v>
      </c>
      <c r="D614" s="58">
        <v>3.48</v>
      </c>
      <c r="E614" s="58">
        <v>2363.7</v>
      </c>
      <c r="F614" s="58">
        <v>4166804.0</v>
      </c>
      <c r="G614" s="57" t="s">
        <v>1564</v>
      </c>
      <c r="H614" s="57" t="s">
        <v>1565</v>
      </c>
      <c r="I614" s="57"/>
      <c r="J614" s="57"/>
      <c r="K614" s="57"/>
      <c r="L614" s="57"/>
      <c r="M614" s="57"/>
      <c r="N614" s="57"/>
      <c r="O614" s="57"/>
      <c r="P614" s="57"/>
      <c r="Q614" s="57"/>
      <c r="R614" s="57"/>
      <c r="S614" s="57"/>
      <c r="T614" s="57"/>
      <c r="U614" s="57"/>
      <c r="V614" s="57"/>
      <c r="W614" s="57"/>
      <c r="X614" s="57"/>
      <c r="Y614" s="57"/>
      <c r="Z614" s="57"/>
    </row>
    <row r="615">
      <c r="A615" s="58">
        <v>9287512.0</v>
      </c>
      <c r="B615" s="57" t="s">
        <v>1566</v>
      </c>
      <c r="C615" s="57" t="s">
        <v>247</v>
      </c>
      <c r="D615" s="58">
        <v>3.48</v>
      </c>
      <c r="E615" s="58">
        <v>2367.18</v>
      </c>
      <c r="F615" s="58">
        <v>4166036.0</v>
      </c>
      <c r="G615" s="57" t="s">
        <v>1567</v>
      </c>
      <c r="H615" s="57" t="s">
        <v>1568</v>
      </c>
      <c r="I615" s="57"/>
      <c r="J615" s="57"/>
      <c r="K615" s="57"/>
      <c r="L615" s="57"/>
      <c r="M615" s="57"/>
      <c r="N615" s="57"/>
      <c r="O615" s="57"/>
      <c r="P615" s="57"/>
      <c r="Q615" s="57"/>
      <c r="R615" s="57"/>
      <c r="S615" s="57"/>
      <c r="T615" s="57"/>
      <c r="U615" s="57"/>
      <c r="V615" s="57"/>
      <c r="W615" s="57"/>
      <c r="X615" s="57"/>
      <c r="Y615" s="57"/>
      <c r="Z615" s="57"/>
    </row>
    <row r="616">
      <c r="A616" s="58">
        <v>9285501.0</v>
      </c>
      <c r="B616" s="57" t="s">
        <v>1569</v>
      </c>
      <c r="C616" s="57" t="s">
        <v>247</v>
      </c>
      <c r="D616" s="58">
        <v>5.71</v>
      </c>
      <c r="E616" s="58">
        <v>2372.89</v>
      </c>
      <c r="F616" s="58">
        <v>4186821.0</v>
      </c>
      <c r="G616" s="58">
        <v>1.86507657E8</v>
      </c>
      <c r="H616" s="57" t="s">
        <v>1570</v>
      </c>
      <c r="I616" s="57"/>
      <c r="J616" s="57"/>
      <c r="K616" s="57"/>
      <c r="L616" s="57"/>
      <c r="M616" s="57"/>
      <c r="N616" s="57"/>
      <c r="O616" s="57"/>
      <c r="P616" s="57"/>
      <c r="Q616" s="57"/>
      <c r="R616" s="57"/>
      <c r="S616" s="57"/>
      <c r="T616" s="57"/>
      <c r="U616" s="57"/>
      <c r="V616" s="57"/>
      <c r="W616" s="57"/>
      <c r="X616" s="57"/>
      <c r="Y616" s="57"/>
      <c r="Z616" s="57"/>
    </row>
    <row r="617">
      <c r="A617" s="58">
        <v>9275963.0</v>
      </c>
      <c r="B617" s="57" t="s">
        <v>1571</v>
      </c>
      <c r="C617" s="57" t="s">
        <v>210</v>
      </c>
      <c r="D617" s="58">
        <v>13.5</v>
      </c>
      <c r="E617" s="58">
        <v>2359.39</v>
      </c>
      <c r="F617" s="58">
        <v>4305176.0</v>
      </c>
      <c r="G617" s="57" t="s">
        <v>1572</v>
      </c>
      <c r="H617" s="57" t="s">
        <v>1573</v>
      </c>
      <c r="I617" s="57"/>
      <c r="J617" s="57"/>
      <c r="K617" s="57"/>
      <c r="L617" s="57"/>
      <c r="M617" s="57"/>
      <c r="N617" s="57"/>
      <c r="O617" s="57"/>
      <c r="P617" s="57"/>
      <c r="Q617" s="57"/>
      <c r="R617" s="57"/>
      <c r="S617" s="57"/>
      <c r="T617" s="57"/>
      <c r="U617" s="57"/>
      <c r="V617" s="57"/>
      <c r="W617" s="57"/>
      <c r="X617" s="57"/>
      <c r="Y617" s="57"/>
      <c r="Z617" s="57"/>
    </row>
    <row r="618">
      <c r="A618" s="58">
        <v>9273292.0</v>
      </c>
      <c r="B618" s="57" t="s">
        <v>1574</v>
      </c>
      <c r="C618" s="57" t="s">
        <v>210</v>
      </c>
      <c r="D618" s="58">
        <v>11.15</v>
      </c>
      <c r="E618" s="58">
        <v>2348.24</v>
      </c>
      <c r="F618" s="58">
        <v>4299779.0</v>
      </c>
      <c r="G618" s="57" t="s">
        <v>1575</v>
      </c>
      <c r="H618" s="57" t="s">
        <v>1576</v>
      </c>
      <c r="I618" s="57"/>
      <c r="J618" s="57"/>
      <c r="K618" s="57"/>
      <c r="L618" s="57"/>
      <c r="M618" s="57"/>
      <c r="N618" s="57"/>
      <c r="O618" s="57"/>
      <c r="P618" s="57"/>
      <c r="Q618" s="57"/>
      <c r="R618" s="57"/>
      <c r="S618" s="57"/>
      <c r="T618" s="57"/>
      <c r="U618" s="57"/>
      <c r="V618" s="57"/>
      <c r="W618" s="57"/>
      <c r="X618" s="57"/>
      <c r="Y618" s="57"/>
      <c r="Z618" s="57"/>
    </row>
    <row r="619">
      <c r="A619" s="58">
        <v>9273072.0</v>
      </c>
      <c r="B619" s="57" t="s">
        <v>1574</v>
      </c>
      <c r="C619" s="57" t="s">
        <v>210</v>
      </c>
      <c r="D619" s="58">
        <v>12.76</v>
      </c>
      <c r="E619" s="58">
        <v>2335.48</v>
      </c>
      <c r="F619" s="58">
        <v>4299365.0</v>
      </c>
      <c r="G619" s="57" t="s">
        <v>1577</v>
      </c>
      <c r="H619" s="57" t="s">
        <v>1578</v>
      </c>
      <c r="I619" s="57"/>
      <c r="J619" s="57"/>
      <c r="K619" s="57"/>
      <c r="L619" s="57"/>
      <c r="M619" s="57"/>
      <c r="N619" s="57"/>
      <c r="O619" s="57"/>
      <c r="P619" s="57"/>
      <c r="Q619" s="57"/>
      <c r="R619" s="57"/>
      <c r="S619" s="57"/>
      <c r="T619" s="57"/>
      <c r="U619" s="57"/>
      <c r="V619" s="57"/>
      <c r="W619" s="57"/>
      <c r="X619" s="57"/>
      <c r="Y619" s="57"/>
      <c r="Z619" s="57"/>
    </row>
    <row r="620">
      <c r="A620" s="58">
        <v>9272086.0</v>
      </c>
      <c r="B620" s="57" t="s">
        <v>1574</v>
      </c>
      <c r="C620" s="57" t="s">
        <v>210</v>
      </c>
      <c r="D620" s="58">
        <v>12.35</v>
      </c>
      <c r="E620" s="58">
        <v>2323.13</v>
      </c>
      <c r="F620" s="58">
        <v>4297453.0</v>
      </c>
      <c r="G620" s="57" t="s">
        <v>1579</v>
      </c>
      <c r="H620" s="57" t="s">
        <v>1580</v>
      </c>
      <c r="I620" s="57"/>
      <c r="J620" s="57"/>
      <c r="K620" s="57"/>
      <c r="L620" s="57"/>
      <c r="M620" s="57"/>
      <c r="N620" s="57"/>
      <c r="O620" s="57"/>
      <c r="P620" s="57"/>
      <c r="Q620" s="57"/>
      <c r="R620" s="57"/>
      <c r="S620" s="57"/>
      <c r="T620" s="57"/>
      <c r="U620" s="57"/>
      <c r="V620" s="57"/>
      <c r="W620" s="57"/>
      <c r="X620" s="57"/>
      <c r="Y620" s="57"/>
      <c r="Z620" s="57"/>
    </row>
    <row r="621">
      <c r="A621" s="58">
        <v>9270694.0</v>
      </c>
      <c r="B621" s="57" t="s">
        <v>1581</v>
      </c>
      <c r="C621" s="57" t="s">
        <v>210</v>
      </c>
      <c r="D621" s="58">
        <v>11.15</v>
      </c>
      <c r="E621" s="58">
        <v>2311.98</v>
      </c>
      <c r="F621" s="58">
        <v>4294997.0</v>
      </c>
      <c r="G621" s="57" t="s">
        <v>1582</v>
      </c>
      <c r="H621" s="57" t="s">
        <v>1583</v>
      </c>
      <c r="I621" s="57"/>
      <c r="J621" s="57"/>
      <c r="K621" s="57"/>
      <c r="L621" s="57"/>
      <c r="M621" s="57"/>
      <c r="N621" s="57"/>
      <c r="O621" s="57"/>
      <c r="P621" s="57"/>
      <c r="Q621" s="57"/>
      <c r="R621" s="57"/>
      <c r="S621" s="57"/>
      <c r="T621" s="57"/>
      <c r="U621" s="57"/>
      <c r="V621" s="57"/>
      <c r="W621" s="57"/>
      <c r="X621" s="57"/>
      <c r="Y621" s="57"/>
      <c r="Z621" s="57"/>
    </row>
    <row r="622">
      <c r="A622" s="58">
        <v>9269360.0</v>
      </c>
      <c r="B622" s="57" t="s">
        <v>1581</v>
      </c>
      <c r="C622" s="57" t="s">
        <v>210</v>
      </c>
      <c r="D622" s="58">
        <v>11.15</v>
      </c>
      <c r="E622" s="58">
        <v>2300.83</v>
      </c>
      <c r="F622" s="58">
        <v>4292594.0</v>
      </c>
      <c r="G622" s="57" t="s">
        <v>1584</v>
      </c>
      <c r="H622" s="57" t="s">
        <v>1585</v>
      </c>
      <c r="I622" s="57"/>
      <c r="J622" s="57"/>
      <c r="K622" s="57"/>
      <c r="L622" s="57"/>
      <c r="M622" s="57"/>
      <c r="N622" s="57"/>
      <c r="O622" s="57"/>
      <c r="P622" s="57"/>
      <c r="Q622" s="57"/>
      <c r="R622" s="57"/>
      <c r="S622" s="57"/>
      <c r="T622" s="57"/>
      <c r="U622" s="57"/>
      <c r="V622" s="57"/>
      <c r="W622" s="57"/>
      <c r="X622" s="57"/>
      <c r="Y622" s="57"/>
      <c r="Z622" s="57"/>
    </row>
    <row r="623">
      <c r="A623" s="58">
        <v>9269298.0</v>
      </c>
      <c r="B623" s="57" t="s">
        <v>1581</v>
      </c>
      <c r="C623" s="57" t="s">
        <v>210</v>
      </c>
      <c r="D623" s="58">
        <v>10.58</v>
      </c>
      <c r="E623" s="58">
        <v>2290.25</v>
      </c>
      <c r="F623" s="58">
        <v>4292529.0</v>
      </c>
      <c r="G623" s="57" t="s">
        <v>1586</v>
      </c>
      <c r="H623" s="57" t="s">
        <v>1587</v>
      </c>
      <c r="I623" s="57"/>
      <c r="J623" s="57"/>
      <c r="K623" s="57"/>
      <c r="L623" s="57"/>
      <c r="M623" s="57"/>
      <c r="N623" s="57"/>
      <c r="O623" s="57"/>
      <c r="P623" s="57"/>
      <c r="Q623" s="57"/>
      <c r="R623" s="57"/>
      <c r="S623" s="57"/>
      <c r="T623" s="57"/>
      <c r="U623" s="57"/>
      <c r="V623" s="57"/>
      <c r="W623" s="57"/>
      <c r="X623" s="57"/>
      <c r="Y623" s="57"/>
      <c r="Z623" s="57"/>
    </row>
    <row r="624">
      <c r="A624" s="58">
        <v>9269290.0</v>
      </c>
      <c r="B624" s="57" t="s">
        <v>1581</v>
      </c>
      <c r="C624" s="57" t="s">
        <v>210</v>
      </c>
      <c r="D624" s="58">
        <v>11.15</v>
      </c>
      <c r="E624" s="58">
        <v>2279.1</v>
      </c>
      <c r="F624" s="58">
        <v>4292499.0</v>
      </c>
      <c r="G624" s="57" t="s">
        <v>1588</v>
      </c>
      <c r="H624" s="57" t="s">
        <v>1589</v>
      </c>
      <c r="I624" s="57"/>
      <c r="J624" s="57"/>
      <c r="K624" s="57"/>
      <c r="L624" s="57"/>
      <c r="M624" s="57"/>
      <c r="N624" s="57"/>
      <c r="O624" s="57"/>
      <c r="P624" s="57"/>
      <c r="Q624" s="57"/>
      <c r="R624" s="57"/>
      <c r="S624" s="57"/>
      <c r="T624" s="57"/>
      <c r="U624" s="57"/>
      <c r="V624" s="57"/>
      <c r="W624" s="57"/>
      <c r="X624" s="57"/>
      <c r="Y624" s="57"/>
      <c r="Z624" s="57"/>
    </row>
    <row r="625">
      <c r="A625" s="58">
        <v>9269217.0</v>
      </c>
      <c r="B625" s="57" t="s">
        <v>1581</v>
      </c>
      <c r="C625" s="57" t="s">
        <v>210</v>
      </c>
      <c r="D625" s="58">
        <v>11.15</v>
      </c>
      <c r="E625" s="58">
        <v>2267.95</v>
      </c>
      <c r="F625" s="58">
        <v>4292379.0</v>
      </c>
      <c r="G625" s="57" t="s">
        <v>1590</v>
      </c>
      <c r="H625" s="57" t="s">
        <v>1591</v>
      </c>
      <c r="I625" s="57"/>
      <c r="J625" s="57"/>
      <c r="K625" s="57"/>
      <c r="L625" s="57"/>
      <c r="M625" s="57"/>
      <c r="N625" s="57"/>
      <c r="O625" s="57"/>
      <c r="P625" s="57"/>
      <c r="Q625" s="57"/>
      <c r="R625" s="57"/>
      <c r="S625" s="57"/>
      <c r="T625" s="57"/>
      <c r="U625" s="57"/>
      <c r="V625" s="57"/>
      <c r="W625" s="57"/>
      <c r="X625" s="57"/>
      <c r="Y625" s="57"/>
      <c r="Z625" s="57"/>
    </row>
    <row r="626">
      <c r="A626" s="58">
        <v>9269176.0</v>
      </c>
      <c r="B626" s="57" t="s">
        <v>1581</v>
      </c>
      <c r="C626" s="57" t="s">
        <v>210</v>
      </c>
      <c r="D626" s="58">
        <v>11.15</v>
      </c>
      <c r="E626" s="58">
        <v>2256.8</v>
      </c>
      <c r="F626" s="58">
        <v>4292285.0</v>
      </c>
      <c r="G626" s="57" t="s">
        <v>1592</v>
      </c>
      <c r="H626" s="57" t="s">
        <v>1593</v>
      </c>
      <c r="I626" s="57"/>
      <c r="J626" s="57"/>
      <c r="K626" s="57"/>
      <c r="L626" s="57"/>
      <c r="M626" s="57"/>
      <c r="N626" s="57"/>
      <c r="O626" s="57"/>
      <c r="P626" s="57"/>
      <c r="Q626" s="57"/>
      <c r="R626" s="57"/>
      <c r="S626" s="57"/>
      <c r="T626" s="57"/>
      <c r="U626" s="57"/>
      <c r="V626" s="57"/>
      <c r="W626" s="57"/>
      <c r="X626" s="57"/>
      <c r="Y626" s="57"/>
      <c r="Z626" s="57"/>
    </row>
    <row r="627">
      <c r="A627" s="58">
        <v>9269169.0</v>
      </c>
      <c r="B627" s="57" t="s">
        <v>1581</v>
      </c>
      <c r="C627" s="57" t="s">
        <v>210</v>
      </c>
      <c r="D627" s="58">
        <v>12.76</v>
      </c>
      <c r="E627" s="58">
        <v>2244.04</v>
      </c>
      <c r="F627" s="58">
        <v>4292261.0</v>
      </c>
      <c r="G627" s="57" t="s">
        <v>1594</v>
      </c>
      <c r="H627" s="57" t="s">
        <v>1595</v>
      </c>
      <c r="I627" s="57"/>
      <c r="J627" s="57"/>
      <c r="K627" s="57"/>
      <c r="L627" s="57"/>
      <c r="M627" s="57"/>
      <c r="N627" s="57"/>
      <c r="O627" s="57"/>
      <c r="P627" s="57"/>
      <c r="Q627" s="57"/>
      <c r="R627" s="57"/>
      <c r="S627" s="57"/>
      <c r="T627" s="57"/>
      <c r="U627" s="57"/>
      <c r="V627" s="57"/>
      <c r="W627" s="57"/>
      <c r="X627" s="57"/>
      <c r="Y627" s="57"/>
      <c r="Z627" s="57"/>
    </row>
    <row r="628">
      <c r="A628" s="58">
        <v>9269143.0</v>
      </c>
      <c r="B628" s="57" t="s">
        <v>1581</v>
      </c>
      <c r="C628" s="57" t="s">
        <v>210</v>
      </c>
      <c r="D628" s="58">
        <v>11.15</v>
      </c>
      <c r="E628" s="58">
        <v>2232.89</v>
      </c>
      <c r="F628" s="58">
        <v>4292212.0</v>
      </c>
      <c r="G628" s="57" t="s">
        <v>1596</v>
      </c>
      <c r="H628" s="57" t="s">
        <v>1597</v>
      </c>
      <c r="I628" s="57"/>
      <c r="J628" s="57"/>
      <c r="K628" s="57"/>
      <c r="L628" s="57"/>
      <c r="M628" s="57"/>
      <c r="N628" s="57"/>
      <c r="O628" s="57"/>
      <c r="P628" s="57"/>
      <c r="Q628" s="57"/>
      <c r="R628" s="57"/>
      <c r="S628" s="57"/>
      <c r="T628" s="57"/>
      <c r="U628" s="57"/>
      <c r="V628" s="57"/>
      <c r="W628" s="57"/>
      <c r="X628" s="57"/>
      <c r="Y628" s="57"/>
      <c r="Z628" s="57"/>
    </row>
    <row r="629">
      <c r="A629" s="58">
        <v>9269103.0</v>
      </c>
      <c r="B629" s="57" t="s">
        <v>1581</v>
      </c>
      <c r="C629" s="57" t="s">
        <v>210</v>
      </c>
      <c r="D629" s="58">
        <v>15.76</v>
      </c>
      <c r="E629" s="58">
        <v>2217.13</v>
      </c>
      <c r="F629" s="58">
        <v>4292155.0</v>
      </c>
      <c r="G629" s="57" t="s">
        <v>1598</v>
      </c>
      <c r="H629" s="57" t="s">
        <v>1599</v>
      </c>
      <c r="I629" s="57"/>
      <c r="J629" s="57"/>
      <c r="K629" s="57"/>
      <c r="L629" s="57"/>
      <c r="M629" s="57"/>
      <c r="N629" s="57"/>
      <c r="O629" s="57"/>
      <c r="P629" s="57"/>
      <c r="Q629" s="57"/>
      <c r="R629" s="57"/>
      <c r="S629" s="57"/>
      <c r="T629" s="57"/>
      <c r="U629" s="57"/>
      <c r="V629" s="57"/>
      <c r="W629" s="57"/>
      <c r="X629" s="57"/>
      <c r="Y629" s="57"/>
      <c r="Z629" s="57"/>
    </row>
    <row r="630">
      <c r="A630" s="58">
        <v>9269006.0</v>
      </c>
      <c r="B630" s="57" t="s">
        <v>1581</v>
      </c>
      <c r="C630" s="57" t="s">
        <v>210</v>
      </c>
      <c r="D630" s="58">
        <v>12.76</v>
      </c>
      <c r="E630" s="58">
        <v>2204.37</v>
      </c>
      <c r="F630" s="58">
        <v>4291947.0</v>
      </c>
      <c r="G630" s="57" t="s">
        <v>1600</v>
      </c>
      <c r="H630" s="57" t="s">
        <v>1601</v>
      </c>
      <c r="I630" s="57"/>
      <c r="J630" s="57"/>
      <c r="K630" s="57"/>
      <c r="L630" s="57"/>
      <c r="M630" s="57"/>
      <c r="N630" s="57"/>
      <c r="O630" s="57"/>
      <c r="P630" s="57"/>
      <c r="Q630" s="57"/>
      <c r="R630" s="57"/>
      <c r="S630" s="57"/>
      <c r="T630" s="57"/>
      <c r="U630" s="57"/>
      <c r="V630" s="57"/>
      <c r="W630" s="57"/>
      <c r="X630" s="57"/>
      <c r="Y630" s="57"/>
      <c r="Z630" s="57"/>
    </row>
    <row r="631">
      <c r="A631" s="58">
        <v>9268386.0</v>
      </c>
      <c r="B631" s="57" t="s">
        <v>1581</v>
      </c>
      <c r="C631" s="57" t="s">
        <v>210</v>
      </c>
      <c r="D631" s="58">
        <v>18.4</v>
      </c>
      <c r="E631" s="58">
        <v>2185.97</v>
      </c>
      <c r="F631" s="58">
        <v>4290784.0</v>
      </c>
      <c r="G631" s="57" t="s">
        <v>1602</v>
      </c>
      <c r="H631" s="57" t="s">
        <v>1603</v>
      </c>
      <c r="I631" s="57"/>
      <c r="J631" s="57"/>
      <c r="K631" s="57"/>
      <c r="L631" s="57"/>
      <c r="M631" s="57"/>
      <c r="N631" s="57"/>
      <c r="O631" s="57"/>
      <c r="P631" s="57"/>
      <c r="Q631" s="57"/>
      <c r="R631" s="57"/>
      <c r="S631" s="57"/>
      <c r="T631" s="57"/>
      <c r="U631" s="57"/>
      <c r="V631" s="57"/>
      <c r="W631" s="57"/>
      <c r="X631" s="57"/>
      <c r="Y631" s="57"/>
      <c r="Z631" s="57"/>
    </row>
    <row r="632">
      <c r="A632" s="58">
        <v>9265513.0</v>
      </c>
      <c r="B632" s="57" t="s">
        <v>1604</v>
      </c>
      <c r="C632" s="57" t="s">
        <v>210</v>
      </c>
      <c r="D632" s="58">
        <v>10.58</v>
      </c>
      <c r="E632" s="58">
        <v>2175.39</v>
      </c>
      <c r="F632" s="58">
        <v>4284551.0</v>
      </c>
      <c r="G632" s="57" t="s">
        <v>1605</v>
      </c>
      <c r="H632" s="57" t="s">
        <v>1606</v>
      </c>
      <c r="I632" s="57"/>
      <c r="J632" s="57"/>
      <c r="K632" s="57"/>
      <c r="L632" s="57"/>
      <c r="M632" s="57"/>
      <c r="N632" s="57"/>
      <c r="O632" s="57"/>
      <c r="P632" s="57"/>
      <c r="Q632" s="57"/>
      <c r="R632" s="57"/>
      <c r="S632" s="57"/>
      <c r="T632" s="57"/>
      <c r="U632" s="57"/>
      <c r="V632" s="57"/>
      <c r="W632" s="57"/>
      <c r="X632" s="57"/>
      <c r="Y632" s="57"/>
      <c r="Z632" s="57"/>
    </row>
    <row r="633">
      <c r="A633" s="58">
        <v>9263664.0</v>
      </c>
      <c r="B633" s="57" t="s">
        <v>1604</v>
      </c>
      <c r="C633" s="57" t="s">
        <v>210</v>
      </c>
      <c r="D633" s="58">
        <v>11.15</v>
      </c>
      <c r="E633" s="58">
        <v>2164.24</v>
      </c>
      <c r="F633" s="58">
        <v>4280620.0</v>
      </c>
      <c r="G633" s="57" t="s">
        <v>1607</v>
      </c>
      <c r="H633" s="57" t="s">
        <v>1608</v>
      </c>
      <c r="I633" s="57"/>
      <c r="J633" s="57"/>
      <c r="K633" s="57"/>
      <c r="L633" s="57"/>
      <c r="M633" s="57"/>
      <c r="N633" s="57"/>
      <c r="O633" s="57"/>
      <c r="P633" s="57"/>
      <c r="Q633" s="57"/>
      <c r="R633" s="57"/>
      <c r="S633" s="57"/>
      <c r="T633" s="57"/>
      <c r="U633" s="57"/>
      <c r="V633" s="57"/>
      <c r="W633" s="57"/>
      <c r="X633" s="57"/>
      <c r="Y633" s="57"/>
      <c r="Z633" s="57"/>
    </row>
    <row r="634">
      <c r="A634" s="58">
        <v>9261607.0</v>
      </c>
      <c r="B634" s="57" t="s">
        <v>1609</v>
      </c>
      <c r="C634" s="57" t="s">
        <v>210</v>
      </c>
      <c r="D634" s="58">
        <v>15.76</v>
      </c>
      <c r="E634" s="58">
        <v>2148.48</v>
      </c>
      <c r="F634" s="58">
        <v>4274708.0</v>
      </c>
      <c r="G634" s="57" t="s">
        <v>1610</v>
      </c>
      <c r="H634" s="57" t="s">
        <v>1611</v>
      </c>
      <c r="I634" s="57"/>
      <c r="J634" s="57"/>
      <c r="K634" s="57"/>
      <c r="L634" s="57"/>
      <c r="M634" s="57"/>
      <c r="N634" s="57"/>
      <c r="O634" s="57"/>
      <c r="P634" s="57"/>
      <c r="Q634" s="57"/>
      <c r="R634" s="57"/>
      <c r="S634" s="57"/>
      <c r="T634" s="57"/>
      <c r="U634" s="57"/>
      <c r="V634" s="57"/>
      <c r="W634" s="57"/>
      <c r="X634" s="57"/>
      <c r="Y634" s="57"/>
      <c r="Z634" s="57"/>
    </row>
    <row r="635">
      <c r="A635" s="58">
        <v>9259800.0</v>
      </c>
      <c r="B635" s="57" t="s">
        <v>1609</v>
      </c>
      <c r="C635" s="57" t="s">
        <v>210</v>
      </c>
      <c r="D635" s="58">
        <v>13.5</v>
      </c>
      <c r="E635" s="58">
        <v>2134.98</v>
      </c>
      <c r="F635" s="58">
        <v>4268146.0</v>
      </c>
      <c r="G635" s="57" t="s">
        <v>1612</v>
      </c>
      <c r="H635" s="57" t="s">
        <v>1613</v>
      </c>
      <c r="I635" s="57"/>
      <c r="J635" s="57"/>
      <c r="K635" s="57"/>
      <c r="L635" s="57"/>
      <c r="M635" s="57"/>
      <c r="N635" s="57"/>
      <c r="O635" s="57"/>
      <c r="P635" s="57"/>
      <c r="Q635" s="57"/>
      <c r="R635" s="57"/>
      <c r="S635" s="57"/>
      <c r="T635" s="57"/>
      <c r="U635" s="57"/>
      <c r="V635" s="57"/>
      <c r="W635" s="57"/>
      <c r="X635" s="57"/>
      <c r="Y635" s="57"/>
      <c r="Z635" s="57"/>
    </row>
    <row r="636">
      <c r="A636" s="58">
        <v>9259388.0</v>
      </c>
      <c r="B636" s="57" t="s">
        <v>1609</v>
      </c>
      <c r="C636" s="57" t="s">
        <v>210</v>
      </c>
      <c r="D636" s="58">
        <v>14.34</v>
      </c>
      <c r="E636" s="58">
        <v>2120.64</v>
      </c>
      <c r="F636" s="58">
        <v>4266556.0</v>
      </c>
      <c r="G636" s="57" t="s">
        <v>1614</v>
      </c>
      <c r="H636" s="57" t="s">
        <v>1615</v>
      </c>
      <c r="I636" s="57"/>
      <c r="J636" s="57"/>
      <c r="K636" s="57"/>
      <c r="L636" s="57"/>
      <c r="M636" s="57"/>
      <c r="N636" s="57"/>
      <c r="O636" s="57"/>
      <c r="P636" s="57"/>
      <c r="Q636" s="57"/>
      <c r="R636" s="57"/>
      <c r="S636" s="57"/>
      <c r="T636" s="57"/>
      <c r="U636" s="57"/>
      <c r="V636" s="57"/>
      <c r="W636" s="57"/>
      <c r="X636" s="57"/>
      <c r="Y636" s="57"/>
      <c r="Z636" s="57"/>
    </row>
    <row r="637">
      <c r="A637" s="58">
        <v>9259169.0</v>
      </c>
      <c r="B637" s="57" t="s">
        <v>1609</v>
      </c>
      <c r="C637" s="57" t="s">
        <v>210</v>
      </c>
      <c r="D637" s="58">
        <v>16.79</v>
      </c>
      <c r="E637" s="58">
        <v>2103.85</v>
      </c>
      <c r="F637" s="58">
        <v>4265681.0</v>
      </c>
      <c r="G637" s="57" t="s">
        <v>1616</v>
      </c>
      <c r="H637" s="57" t="s">
        <v>1617</v>
      </c>
      <c r="I637" s="57"/>
      <c r="J637" s="57"/>
      <c r="K637" s="57"/>
      <c r="L637" s="57"/>
      <c r="M637" s="57"/>
      <c r="N637" s="57"/>
      <c r="O637" s="57"/>
      <c r="P637" s="57"/>
      <c r="Q637" s="57"/>
      <c r="R637" s="57"/>
      <c r="S637" s="57"/>
      <c r="T637" s="57"/>
      <c r="U637" s="57"/>
      <c r="V637" s="57"/>
      <c r="W637" s="57"/>
      <c r="X637" s="57"/>
      <c r="Y637" s="57"/>
      <c r="Z637" s="57"/>
    </row>
    <row r="638">
      <c r="A638" s="58">
        <v>9258861.0</v>
      </c>
      <c r="B638" s="57" t="s">
        <v>1618</v>
      </c>
      <c r="C638" s="57" t="s">
        <v>210</v>
      </c>
      <c r="D638" s="58">
        <v>11.89</v>
      </c>
      <c r="E638" s="58">
        <v>2091.96</v>
      </c>
      <c r="F638" s="58">
        <v>4264601.0</v>
      </c>
      <c r="G638" s="57" t="s">
        <v>1619</v>
      </c>
      <c r="H638" s="57" t="s">
        <v>1620</v>
      </c>
      <c r="I638" s="57"/>
      <c r="J638" s="57"/>
      <c r="K638" s="57"/>
      <c r="L638" s="57"/>
      <c r="M638" s="57"/>
      <c r="N638" s="57"/>
      <c r="O638" s="57"/>
      <c r="P638" s="57"/>
      <c r="Q638" s="57"/>
      <c r="R638" s="57"/>
      <c r="S638" s="57"/>
      <c r="T638" s="57"/>
      <c r="U638" s="57"/>
      <c r="V638" s="57"/>
      <c r="W638" s="57"/>
      <c r="X638" s="57"/>
      <c r="Y638" s="57"/>
      <c r="Z638" s="57"/>
    </row>
    <row r="639">
      <c r="A639" s="58">
        <v>9258633.0</v>
      </c>
      <c r="B639" s="57" t="s">
        <v>1618</v>
      </c>
      <c r="C639" s="57" t="s">
        <v>210</v>
      </c>
      <c r="D639" s="58">
        <v>16.79</v>
      </c>
      <c r="E639" s="58">
        <v>2075.17</v>
      </c>
      <c r="F639" s="58">
        <v>4263768.0</v>
      </c>
      <c r="G639" s="57" t="s">
        <v>1621</v>
      </c>
      <c r="H639" s="57" t="s">
        <v>1622</v>
      </c>
      <c r="I639" s="57"/>
      <c r="J639" s="57"/>
      <c r="K639" s="57"/>
      <c r="L639" s="57"/>
      <c r="M639" s="57"/>
      <c r="N639" s="57"/>
      <c r="O639" s="57"/>
      <c r="P639" s="57"/>
      <c r="Q639" s="57"/>
      <c r="R639" s="57"/>
      <c r="S639" s="57"/>
      <c r="T639" s="57"/>
      <c r="U639" s="57"/>
      <c r="V639" s="57"/>
      <c r="W639" s="57"/>
      <c r="X639" s="57"/>
      <c r="Y639" s="57"/>
      <c r="Z639" s="57"/>
    </row>
    <row r="640">
      <c r="A640" s="58">
        <v>9258590.0</v>
      </c>
      <c r="B640" s="57" t="s">
        <v>1618</v>
      </c>
      <c r="C640" s="57" t="s">
        <v>210</v>
      </c>
      <c r="D640" s="58">
        <v>15.95</v>
      </c>
      <c r="E640" s="58">
        <v>2059.22</v>
      </c>
      <c r="F640" s="58">
        <v>4263579.0</v>
      </c>
      <c r="G640" s="57" t="s">
        <v>1623</v>
      </c>
      <c r="H640" s="57" t="s">
        <v>1624</v>
      </c>
      <c r="I640" s="57"/>
      <c r="J640" s="57"/>
      <c r="K640" s="57"/>
      <c r="L640" s="57"/>
      <c r="M640" s="57"/>
      <c r="N640" s="57"/>
      <c r="O640" s="57"/>
      <c r="P640" s="57"/>
      <c r="Q640" s="57"/>
      <c r="R640" s="57"/>
      <c r="S640" s="57"/>
      <c r="T640" s="57"/>
      <c r="U640" s="57"/>
      <c r="V640" s="57"/>
      <c r="W640" s="57"/>
      <c r="X640" s="57"/>
      <c r="Y640" s="57"/>
      <c r="Z640" s="57"/>
    </row>
    <row r="641">
      <c r="A641" s="58">
        <v>9258259.0</v>
      </c>
      <c r="B641" s="57" t="s">
        <v>1618</v>
      </c>
      <c r="C641" s="57" t="s">
        <v>210</v>
      </c>
      <c r="D641" s="58">
        <v>14.34</v>
      </c>
      <c r="E641" s="58">
        <v>2044.88</v>
      </c>
      <c r="F641" s="58">
        <v>4262404.0</v>
      </c>
      <c r="G641" s="57" t="s">
        <v>1625</v>
      </c>
      <c r="H641" s="57" t="s">
        <v>1626</v>
      </c>
      <c r="I641" s="57"/>
      <c r="J641" s="57"/>
      <c r="K641" s="57"/>
      <c r="L641" s="57"/>
      <c r="M641" s="57"/>
      <c r="N641" s="57"/>
      <c r="O641" s="57"/>
      <c r="P641" s="57"/>
      <c r="Q641" s="57"/>
      <c r="R641" s="57"/>
      <c r="S641" s="57"/>
      <c r="T641" s="57"/>
      <c r="U641" s="57"/>
      <c r="V641" s="57"/>
      <c r="W641" s="57"/>
      <c r="X641" s="57"/>
      <c r="Y641" s="57"/>
      <c r="Z641" s="57"/>
    </row>
    <row r="642">
      <c r="A642" s="58">
        <v>9258116.0</v>
      </c>
      <c r="B642" s="57" t="s">
        <v>1618</v>
      </c>
      <c r="C642" s="57" t="s">
        <v>210</v>
      </c>
      <c r="D642" s="58">
        <v>14.34</v>
      </c>
      <c r="E642" s="58">
        <v>2030.54</v>
      </c>
      <c r="F642" s="58">
        <v>4261910.0</v>
      </c>
      <c r="G642" s="57" t="s">
        <v>1627</v>
      </c>
      <c r="H642" s="57" t="s">
        <v>1628</v>
      </c>
      <c r="I642" s="57"/>
      <c r="J642" s="57"/>
      <c r="K642" s="57"/>
      <c r="L642" s="57"/>
      <c r="M642" s="57"/>
      <c r="N642" s="57"/>
      <c r="O642" s="57"/>
      <c r="P642" s="57"/>
      <c r="Q642" s="57"/>
      <c r="R642" s="57"/>
      <c r="S642" s="57"/>
      <c r="T642" s="57"/>
      <c r="U642" s="57"/>
      <c r="V642" s="57"/>
      <c r="W642" s="57"/>
      <c r="X642" s="57"/>
      <c r="Y642" s="57"/>
      <c r="Z642" s="57"/>
    </row>
    <row r="643">
      <c r="A643" s="58">
        <v>9258107.0</v>
      </c>
      <c r="B643" s="57" t="s">
        <v>1618</v>
      </c>
      <c r="C643" s="57" t="s">
        <v>210</v>
      </c>
      <c r="D643" s="58">
        <v>14.34</v>
      </c>
      <c r="E643" s="58">
        <v>2016.2</v>
      </c>
      <c r="F643" s="58">
        <v>4261890.0</v>
      </c>
      <c r="G643" s="57" t="s">
        <v>1629</v>
      </c>
      <c r="H643" s="57" t="s">
        <v>1630</v>
      </c>
      <c r="I643" s="57"/>
      <c r="J643" s="57"/>
      <c r="K643" s="57"/>
      <c r="L643" s="57"/>
      <c r="M643" s="57"/>
      <c r="N643" s="57"/>
      <c r="O643" s="57"/>
      <c r="P643" s="57"/>
      <c r="Q643" s="57"/>
      <c r="R643" s="57"/>
      <c r="S643" s="57"/>
      <c r="T643" s="57"/>
      <c r="U643" s="57"/>
      <c r="V643" s="57"/>
      <c r="W643" s="57"/>
      <c r="X643" s="57"/>
      <c r="Y643" s="57"/>
      <c r="Z643" s="57"/>
    </row>
    <row r="644">
      <c r="A644" s="58">
        <v>9257964.0</v>
      </c>
      <c r="B644" s="57" t="s">
        <v>1618</v>
      </c>
      <c r="C644" s="57" t="s">
        <v>210</v>
      </c>
      <c r="D644" s="58">
        <v>11.89</v>
      </c>
      <c r="E644" s="58">
        <v>2004.31</v>
      </c>
      <c r="F644" s="58">
        <v>4261394.0</v>
      </c>
      <c r="G644" s="57" t="s">
        <v>1631</v>
      </c>
      <c r="H644" s="57" t="s">
        <v>1632</v>
      </c>
      <c r="I644" s="57"/>
      <c r="J644" s="57"/>
      <c r="K644" s="57"/>
      <c r="L644" s="57"/>
      <c r="M644" s="57"/>
      <c r="N644" s="57"/>
      <c r="O644" s="57"/>
      <c r="P644" s="57"/>
      <c r="Q644" s="57"/>
      <c r="R644" s="57"/>
      <c r="S644" s="57"/>
      <c r="T644" s="57"/>
      <c r="U644" s="57"/>
      <c r="V644" s="57"/>
      <c r="W644" s="57"/>
      <c r="X644" s="57"/>
      <c r="Y644" s="57"/>
      <c r="Z644" s="57"/>
    </row>
    <row r="645">
      <c r="A645" s="58">
        <v>9257873.0</v>
      </c>
      <c r="B645" s="57" t="s">
        <v>1618</v>
      </c>
      <c r="C645" s="57" t="s">
        <v>210</v>
      </c>
      <c r="D645" s="58">
        <v>14.34</v>
      </c>
      <c r="E645" s="58">
        <v>1989.97</v>
      </c>
      <c r="F645" s="58">
        <v>4261046.0</v>
      </c>
      <c r="G645" s="57" t="s">
        <v>1633</v>
      </c>
      <c r="H645" s="57" t="s">
        <v>1634</v>
      </c>
      <c r="I645" s="57"/>
      <c r="J645" s="57"/>
      <c r="K645" s="57"/>
      <c r="L645" s="57"/>
      <c r="M645" s="57"/>
      <c r="N645" s="57"/>
      <c r="O645" s="57"/>
      <c r="P645" s="57"/>
      <c r="Q645" s="57"/>
      <c r="R645" s="57"/>
      <c r="S645" s="57"/>
      <c r="T645" s="57"/>
      <c r="U645" s="57"/>
      <c r="V645" s="57"/>
      <c r="W645" s="57"/>
      <c r="X645" s="57"/>
      <c r="Y645" s="57"/>
      <c r="Z645" s="57"/>
    </row>
    <row r="646">
      <c r="A646" s="58">
        <v>9257736.0</v>
      </c>
      <c r="B646" s="57" t="s">
        <v>1618</v>
      </c>
      <c r="C646" s="57" t="s">
        <v>210</v>
      </c>
      <c r="D646" s="58">
        <v>14.34</v>
      </c>
      <c r="E646" s="58">
        <v>1975.63</v>
      </c>
      <c r="F646" s="58">
        <v>4260555.0</v>
      </c>
      <c r="G646" s="57" t="s">
        <v>1635</v>
      </c>
      <c r="H646" s="57" t="s">
        <v>1636</v>
      </c>
      <c r="I646" s="57"/>
      <c r="J646" s="57"/>
      <c r="K646" s="57"/>
      <c r="L646" s="57"/>
      <c r="M646" s="57"/>
      <c r="N646" s="57"/>
      <c r="O646" s="57"/>
      <c r="P646" s="57"/>
      <c r="Q646" s="57"/>
      <c r="R646" s="57"/>
      <c r="S646" s="57"/>
      <c r="T646" s="57"/>
      <c r="U646" s="57"/>
      <c r="V646" s="57"/>
      <c r="W646" s="57"/>
      <c r="X646" s="57"/>
      <c r="Y646" s="57"/>
      <c r="Z646" s="57"/>
    </row>
    <row r="647">
      <c r="A647" s="58">
        <v>9256902.0</v>
      </c>
      <c r="B647" s="57" t="s">
        <v>1618</v>
      </c>
      <c r="C647" s="57" t="s">
        <v>210</v>
      </c>
      <c r="D647" s="58">
        <v>11.89</v>
      </c>
      <c r="E647" s="58">
        <v>1963.74</v>
      </c>
      <c r="F647" s="58">
        <v>4256978.0</v>
      </c>
      <c r="G647" s="57" t="s">
        <v>1637</v>
      </c>
      <c r="H647" s="57" t="s">
        <v>1638</v>
      </c>
      <c r="I647" s="57"/>
      <c r="J647" s="57"/>
      <c r="K647" s="57"/>
      <c r="L647" s="57"/>
      <c r="M647" s="57"/>
      <c r="N647" s="57"/>
      <c r="O647" s="57"/>
      <c r="P647" s="57"/>
      <c r="Q647" s="57"/>
      <c r="R647" s="57"/>
      <c r="S647" s="57"/>
      <c r="T647" s="57"/>
      <c r="U647" s="57"/>
      <c r="V647" s="57"/>
      <c r="W647" s="57"/>
      <c r="X647" s="57"/>
      <c r="Y647" s="57"/>
      <c r="Z647" s="57"/>
    </row>
    <row r="648">
      <c r="A648" s="58">
        <v>9255833.0</v>
      </c>
      <c r="B648" s="57" t="s">
        <v>1618</v>
      </c>
      <c r="C648" s="57" t="s">
        <v>210</v>
      </c>
      <c r="D648" s="58">
        <v>16.22</v>
      </c>
      <c r="E648" s="58">
        <v>1947.52</v>
      </c>
      <c r="F648" s="58">
        <v>4250682.0</v>
      </c>
      <c r="G648" s="57" t="s">
        <v>1639</v>
      </c>
      <c r="H648" s="57" t="s">
        <v>1640</v>
      </c>
      <c r="I648" s="57"/>
      <c r="J648" s="57"/>
      <c r="K648" s="57"/>
      <c r="L648" s="57"/>
      <c r="M648" s="57"/>
      <c r="N648" s="57"/>
      <c r="O648" s="57"/>
      <c r="P648" s="57"/>
      <c r="Q648" s="57"/>
      <c r="R648" s="57"/>
      <c r="S648" s="57"/>
      <c r="T648" s="57"/>
      <c r="U648" s="57"/>
      <c r="V648" s="57"/>
      <c r="W648" s="57"/>
      <c r="X648" s="57"/>
      <c r="Y648" s="57"/>
      <c r="Z648" s="57"/>
    </row>
    <row r="649">
      <c r="A649" s="58">
        <v>9252685.0</v>
      </c>
      <c r="B649" s="57" t="s">
        <v>1641</v>
      </c>
      <c r="C649" s="57" t="s">
        <v>210</v>
      </c>
      <c r="D649" s="58">
        <v>11.89</v>
      </c>
      <c r="E649" s="58">
        <v>1935.63</v>
      </c>
      <c r="F649" s="58">
        <v>4186470.0</v>
      </c>
      <c r="G649" s="57" t="s">
        <v>1642</v>
      </c>
      <c r="H649" s="57" t="s">
        <v>1643</v>
      </c>
      <c r="I649" s="57"/>
      <c r="J649" s="57"/>
      <c r="K649" s="57"/>
      <c r="L649" s="57"/>
      <c r="M649" s="57"/>
      <c r="N649" s="57"/>
      <c r="O649" s="57"/>
      <c r="P649" s="57"/>
      <c r="Q649" s="57"/>
      <c r="R649" s="57"/>
      <c r="S649" s="57"/>
      <c r="T649" s="57"/>
      <c r="U649" s="57"/>
      <c r="V649" s="57"/>
      <c r="W649" s="57"/>
      <c r="X649" s="57"/>
      <c r="Y649" s="57"/>
      <c r="Z649" s="57"/>
    </row>
    <row r="650">
      <c r="A650" s="58">
        <v>9252354.0</v>
      </c>
      <c r="B650" s="57" t="s">
        <v>1641</v>
      </c>
      <c r="C650" s="57" t="s">
        <v>210</v>
      </c>
      <c r="D650" s="58">
        <v>16.79</v>
      </c>
      <c r="E650" s="58">
        <v>1918.84</v>
      </c>
      <c r="F650" s="58">
        <v>4157343.0</v>
      </c>
      <c r="G650" s="57" t="s">
        <v>1644</v>
      </c>
      <c r="H650" s="57" t="s">
        <v>1645</v>
      </c>
      <c r="I650" s="57"/>
      <c r="J650" s="57"/>
      <c r="K650" s="57"/>
      <c r="L650" s="57"/>
      <c r="M650" s="57"/>
      <c r="N650" s="57"/>
      <c r="O650" s="57"/>
      <c r="P650" s="57"/>
      <c r="Q650" s="57"/>
      <c r="R650" s="57"/>
      <c r="S650" s="57"/>
      <c r="T650" s="57"/>
      <c r="U650" s="57"/>
      <c r="V650" s="57"/>
      <c r="W650" s="57"/>
      <c r="X650" s="57"/>
      <c r="Y650" s="57"/>
      <c r="Z650" s="57"/>
    </row>
    <row r="651">
      <c r="A651" s="58">
        <v>9252262.0</v>
      </c>
      <c r="B651" s="57" t="s">
        <v>1641</v>
      </c>
      <c r="C651" s="57" t="s">
        <v>210</v>
      </c>
      <c r="D651" s="58">
        <v>12.57</v>
      </c>
      <c r="E651" s="58">
        <v>1906.27</v>
      </c>
      <c r="F651" s="58">
        <v>4130873.0</v>
      </c>
      <c r="G651" s="57" t="s">
        <v>1646</v>
      </c>
      <c r="H651" s="57" t="s">
        <v>1647</v>
      </c>
      <c r="I651" s="57"/>
      <c r="J651" s="57"/>
      <c r="K651" s="57"/>
      <c r="L651" s="57"/>
      <c r="M651" s="57"/>
      <c r="N651" s="57"/>
      <c r="O651" s="57"/>
      <c r="P651" s="57"/>
      <c r="Q651" s="57"/>
      <c r="R651" s="57"/>
      <c r="S651" s="57"/>
      <c r="T651" s="57"/>
      <c r="U651" s="57"/>
      <c r="V651" s="57"/>
      <c r="W651" s="57"/>
      <c r="X651" s="57"/>
      <c r="Y651" s="57"/>
      <c r="Z651" s="57"/>
    </row>
    <row r="652">
      <c r="A652" s="58">
        <v>9252140.0</v>
      </c>
      <c r="B652" s="57" t="s">
        <v>1641</v>
      </c>
      <c r="C652" s="57" t="s">
        <v>210</v>
      </c>
      <c r="D652" s="58">
        <v>11.24</v>
      </c>
      <c r="E652" s="58">
        <v>1895.03</v>
      </c>
      <c r="F652" s="58">
        <v>4077822.0</v>
      </c>
      <c r="G652" s="58">
        <v>1.8651686E8</v>
      </c>
      <c r="H652" s="57" t="s">
        <v>1648</v>
      </c>
      <c r="I652" s="57"/>
      <c r="J652" s="57"/>
      <c r="K652" s="57"/>
      <c r="L652" s="57"/>
      <c r="M652" s="57"/>
      <c r="N652" s="57"/>
      <c r="O652" s="57"/>
      <c r="P652" s="57"/>
      <c r="Q652" s="57"/>
      <c r="R652" s="57"/>
      <c r="S652" s="57"/>
      <c r="T652" s="57"/>
      <c r="U652" s="57"/>
      <c r="V652" s="57"/>
      <c r="W652" s="57"/>
      <c r="X652" s="57"/>
      <c r="Y652" s="57"/>
      <c r="Z652" s="57"/>
    </row>
    <row r="653">
      <c r="A653" s="58">
        <v>9249699.0</v>
      </c>
      <c r="B653" s="57" t="s">
        <v>1649</v>
      </c>
      <c r="C653" s="57" t="s">
        <v>247</v>
      </c>
      <c r="D653" s="58">
        <v>5.09</v>
      </c>
      <c r="E653" s="58">
        <v>1900.12</v>
      </c>
      <c r="F653" s="58">
        <v>4140952.0</v>
      </c>
      <c r="G653" s="57" t="s">
        <v>1650</v>
      </c>
      <c r="H653" s="57" t="s">
        <v>1651</v>
      </c>
      <c r="I653" s="57"/>
      <c r="J653" s="57"/>
      <c r="K653" s="57"/>
      <c r="L653" s="57"/>
      <c r="M653" s="57"/>
      <c r="N653" s="57"/>
      <c r="O653" s="57"/>
      <c r="P653" s="57"/>
      <c r="Q653" s="57"/>
      <c r="R653" s="57"/>
      <c r="S653" s="57"/>
      <c r="T653" s="57"/>
      <c r="U653" s="57"/>
      <c r="V653" s="57"/>
      <c r="W653" s="57"/>
      <c r="X653" s="57"/>
      <c r="Y653" s="57"/>
      <c r="Z653" s="57"/>
    </row>
    <row r="654">
      <c r="A654" s="58">
        <v>9249691.0</v>
      </c>
      <c r="B654" s="57" t="s">
        <v>1649</v>
      </c>
      <c r="C654" s="57" t="s">
        <v>247</v>
      </c>
      <c r="D654" s="58">
        <v>5.06</v>
      </c>
      <c r="E654" s="58">
        <v>1905.18</v>
      </c>
      <c r="F654" s="58">
        <v>4141108.0</v>
      </c>
      <c r="G654" s="57" t="s">
        <v>1652</v>
      </c>
      <c r="H654" s="57" t="s">
        <v>1653</v>
      </c>
      <c r="I654" s="57"/>
      <c r="J654" s="57"/>
      <c r="K654" s="57"/>
      <c r="L654" s="57"/>
      <c r="M654" s="57"/>
      <c r="N654" s="57"/>
      <c r="O654" s="57"/>
      <c r="P654" s="57"/>
      <c r="Q654" s="57"/>
      <c r="R654" s="57"/>
      <c r="S654" s="57"/>
      <c r="T654" s="57"/>
      <c r="U654" s="57"/>
      <c r="V654" s="57"/>
      <c r="W654" s="57"/>
      <c r="X654" s="57"/>
      <c r="Y654" s="57"/>
      <c r="Z654" s="57"/>
    </row>
    <row r="655">
      <c r="A655" s="58">
        <v>9249665.0</v>
      </c>
      <c r="B655" s="57" t="s">
        <v>1649</v>
      </c>
      <c r="C655" s="57" t="s">
        <v>247</v>
      </c>
      <c r="D655" s="58">
        <v>5.06</v>
      </c>
      <c r="E655" s="58">
        <v>1910.24</v>
      </c>
      <c r="F655" s="58">
        <v>4141408.0</v>
      </c>
      <c r="G655" s="57" t="s">
        <v>1654</v>
      </c>
      <c r="H655" s="57" t="s">
        <v>1655</v>
      </c>
      <c r="I655" s="57"/>
      <c r="J655" s="57"/>
      <c r="K655" s="57"/>
      <c r="L655" s="57"/>
      <c r="M655" s="57"/>
      <c r="N655" s="57"/>
      <c r="O655" s="57"/>
      <c r="P655" s="57"/>
      <c r="Q655" s="57"/>
      <c r="R655" s="57"/>
      <c r="S655" s="57"/>
      <c r="T655" s="57"/>
      <c r="U655" s="57"/>
      <c r="V655" s="57"/>
      <c r="W655" s="57"/>
      <c r="X655" s="57"/>
      <c r="Y655" s="57"/>
      <c r="Z655" s="57"/>
    </row>
    <row r="656">
      <c r="A656" s="58">
        <v>9249632.0</v>
      </c>
      <c r="B656" s="57" t="s">
        <v>1649</v>
      </c>
      <c r="C656" s="57" t="s">
        <v>247</v>
      </c>
      <c r="D656" s="58">
        <v>5.07</v>
      </c>
      <c r="E656" s="58">
        <v>1915.31</v>
      </c>
      <c r="F656" s="58">
        <v>4158920.0</v>
      </c>
      <c r="G656" s="57" t="s">
        <v>1656</v>
      </c>
      <c r="H656" s="57" t="s">
        <v>1657</v>
      </c>
      <c r="I656" s="57"/>
      <c r="J656" s="57"/>
      <c r="K656" s="57"/>
      <c r="L656" s="57"/>
      <c r="M656" s="57"/>
      <c r="N656" s="57"/>
      <c r="O656" s="57"/>
      <c r="P656" s="57"/>
      <c r="Q656" s="57"/>
      <c r="R656" s="57"/>
      <c r="S656" s="57"/>
      <c r="T656" s="57"/>
      <c r="U656" s="57"/>
      <c r="V656" s="57"/>
      <c r="W656" s="57"/>
      <c r="X656" s="57"/>
      <c r="Y656" s="57"/>
      <c r="Z656" s="57"/>
    </row>
    <row r="657">
      <c r="A657" s="58">
        <v>9249617.0</v>
      </c>
      <c r="B657" s="57" t="s">
        <v>1649</v>
      </c>
      <c r="C657" s="57" t="s">
        <v>247</v>
      </c>
      <c r="D657" s="58">
        <v>5.07</v>
      </c>
      <c r="E657" s="58">
        <v>1920.38</v>
      </c>
      <c r="F657" s="58">
        <v>4156337.0</v>
      </c>
      <c r="G657" s="57" t="s">
        <v>1658</v>
      </c>
      <c r="H657" s="57" t="s">
        <v>1659</v>
      </c>
      <c r="I657" s="57"/>
      <c r="J657" s="57"/>
      <c r="K657" s="57"/>
      <c r="L657" s="57"/>
      <c r="M657" s="57"/>
      <c r="N657" s="57"/>
      <c r="O657" s="57"/>
      <c r="P657" s="57"/>
      <c r="Q657" s="57"/>
      <c r="R657" s="57"/>
      <c r="S657" s="57"/>
      <c r="T657" s="57"/>
      <c r="U657" s="57"/>
      <c r="V657" s="57"/>
      <c r="W657" s="57"/>
      <c r="X657" s="57"/>
      <c r="Y657" s="57"/>
      <c r="Z657" s="57"/>
    </row>
    <row r="658">
      <c r="A658" s="58">
        <v>9249597.0</v>
      </c>
      <c r="B658" s="57" t="s">
        <v>1649</v>
      </c>
      <c r="C658" s="57" t="s">
        <v>247</v>
      </c>
      <c r="D658" s="58">
        <v>5.07</v>
      </c>
      <c r="E658" s="58">
        <v>1925.45</v>
      </c>
      <c r="F658" s="58">
        <v>4158658.0</v>
      </c>
      <c r="G658" s="57" t="s">
        <v>1660</v>
      </c>
      <c r="H658" s="57" t="s">
        <v>1661</v>
      </c>
      <c r="I658" s="57"/>
      <c r="J658" s="57"/>
      <c r="K658" s="57"/>
      <c r="L658" s="57"/>
      <c r="M658" s="57"/>
      <c r="N658" s="57"/>
      <c r="O658" s="57"/>
      <c r="P658" s="57"/>
      <c r="Q658" s="57"/>
      <c r="R658" s="57"/>
      <c r="S658" s="57"/>
      <c r="T658" s="57"/>
      <c r="U658" s="57"/>
      <c r="V658" s="57"/>
      <c r="W658" s="57"/>
      <c r="X658" s="57"/>
      <c r="Y658" s="57"/>
      <c r="Z658" s="57"/>
    </row>
    <row r="659">
      <c r="A659" s="58">
        <v>9249579.0</v>
      </c>
      <c r="B659" s="57" t="s">
        <v>1649</v>
      </c>
      <c r="C659" s="57" t="s">
        <v>247</v>
      </c>
      <c r="D659" s="58">
        <v>3.51</v>
      </c>
      <c r="E659" s="58">
        <v>1928.96</v>
      </c>
      <c r="F659" s="58">
        <v>4145656.0</v>
      </c>
      <c r="G659" s="57" t="s">
        <v>1662</v>
      </c>
      <c r="H659" s="57" t="s">
        <v>1663</v>
      </c>
      <c r="I659" s="57"/>
      <c r="J659" s="57"/>
      <c r="K659" s="57"/>
      <c r="L659" s="57"/>
      <c r="M659" s="57"/>
      <c r="N659" s="57"/>
      <c r="O659" s="57"/>
      <c r="P659" s="57"/>
      <c r="Q659" s="57"/>
      <c r="R659" s="57"/>
      <c r="S659" s="57"/>
      <c r="T659" s="57"/>
      <c r="U659" s="57"/>
      <c r="V659" s="57"/>
      <c r="W659" s="57"/>
      <c r="X659" s="57"/>
      <c r="Y659" s="57"/>
      <c r="Z659" s="57"/>
    </row>
    <row r="660">
      <c r="A660" s="58">
        <v>9249537.0</v>
      </c>
      <c r="B660" s="57" t="s">
        <v>1649</v>
      </c>
      <c r="C660" s="57" t="s">
        <v>247</v>
      </c>
      <c r="D660" s="58">
        <v>5.06</v>
      </c>
      <c r="E660" s="58">
        <v>1934.02</v>
      </c>
      <c r="F660" s="58">
        <v>4138697.0</v>
      </c>
      <c r="G660" s="57" t="s">
        <v>1664</v>
      </c>
      <c r="H660" s="57" t="s">
        <v>1665</v>
      </c>
      <c r="I660" s="57"/>
      <c r="J660" s="57"/>
      <c r="K660" s="57"/>
      <c r="L660" s="57"/>
      <c r="M660" s="57"/>
      <c r="N660" s="57"/>
      <c r="O660" s="57"/>
      <c r="P660" s="57"/>
      <c r="Q660" s="57"/>
      <c r="R660" s="57"/>
      <c r="S660" s="57"/>
      <c r="T660" s="57"/>
      <c r="U660" s="57"/>
      <c r="V660" s="57"/>
      <c r="W660" s="57"/>
      <c r="X660" s="57"/>
      <c r="Y660" s="57"/>
      <c r="Z660" s="57"/>
    </row>
    <row r="661">
      <c r="A661" s="58">
        <v>9249480.0</v>
      </c>
      <c r="B661" s="57" t="s">
        <v>1649</v>
      </c>
      <c r="C661" s="57" t="s">
        <v>247</v>
      </c>
      <c r="D661" s="58">
        <v>5.13</v>
      </c>
      <c r="E661" s="58">
        <v>1939.15</v>
      </c>
      <c r="F661" s="58">
        <v>4152907.0</v>
      </c>
      <c r="G661" s="57" t="s">
        <v>1666</v>
      </c>
      <c r="H661" s="57" t="s">
        <v>1667</v>
      </c>
      <c r="I661" s="57"/>
      <c r="J661" s="57"/>
      <c r="K661" s="57"/>
      <c r="L661" s="57"/>
      <c r="M661" s="57"/>
      <c r="N661" s="57"/>
      <c r="O661" s="57"/>
      <c r="P661" s="57"/>
      <c r="Q661" s="57"/>
      <c r="R661" s="57"/>
      <c r="S661" s="57"/>
      <c r="T661" s="57"/>
      <c r="U661" s="57"/>
      <c r="V661" s="57"/>
      <c r="W661" s="57"/>
      <c r="X661" s="57"/>
      <c r="Y661" s="57"/>
      <c r="Z661" s="57"/>
    </row>
    <row r="662">
      <c r="A662" s="58">
        <v>9249327.0</v>
      </c>
      <c r="B662" s="57" t="s">
        <v>1649</v>
      </c>
      <c r="C662" s="57" t="s">
        <v>247</v>
      </c>
      <c r="D662" s="58">
        <v>5.07</v>
      </c>
      <c r="E662" s="58">
        <v>1944.22</v>
      </c>
      <c r="F662" s="58">
        <v>4156566.0</v>
      </c>
      <c r="G662" s="57" t="s">
        <v>1668</v>
      </c>
      <c r="H662" s="57" t="s">
        <v>1669</v>
      </c>
      <c r="I662" s="57"/>
      <c r="J662" s="57"/>
      <c r="K662" s="57"/>
      <c r="L662" s="57"/>
      <c r="M662" s="57"/>
      <c r="N662" s="57"/>
      <c r="O662" s="57"/>
      <c r="P662" s="57"/>
      <c r="Q662" s="57"/>
      <c r="R662" s="57"/>
      <c r="S662" s="57"/>
      <c r="T662" s="57"/>
      <c r="U662" s="57"/>
      <c r="V662" s="57"/>
      <c r="W662" s="57"/>
      <c r="X662" s="57"/>
      <c r="Y662" s="57"/>
      <c r="Z662" s="57"/>
    </row>
    <row r="663">
      <c r="A663" s="58">
        <v>9249259.0</v>
      </c>
      <c r="B663" s="57" t="s">
        <v>1649</v>
      </c>
      <c r="C663" s="57" t="s">
        <v>247</v>
      </c>
      <c r="D663" s="58">
        <v>5.64</v>
      </c>
      <c r="E663" s="58">
        <v>1949.85</v>
      </c>
      <c r="F663" s="58">
        <v>4149782.0</v>
      </c>
      <c r="G663" s="57" t="s">
        <v>1670</v>
      </c>
      <c r="H663" s="57" t="s">
        <v>1671</v>
      </c>
      <c r="I663" s="57"/>
      <c r="J663" s="57"/>
      <c r="K663" s="57"/>
      <c r="L663" s="57"/>
      <c r="M663" s="57"/>
      <c r="N663" s="57"/>
      <c r="O663" s="57"/>
      <c r="P663" s="57"/>
      <c r="Q663" s="57"/>
      <c r="R663" s="57"/>
      <c r="S663" s="57"/>
      <c r="T663" s="57"/>
      <c r="U663" s="57"/>
      <c r="V663" s="57"/>
      <c r="W663" s="57"/>
      <c r="X663" s="57"/>
      <c r="Y663" s="57"/>
      <c r="Z663" s="57"/>
    </row>
    <row r="664">
      <c r="A664" s="58">
        <v>9249258.0</v>
      </c>
      <c r="B664" s="57" t="s">
        <v>1649</v>
      </c>
      <c r="C664" s="57" t="s">
        <v>247</v>
      </c>
      <c r="D664" s="58">
        <v>5.12</v>
      </c>
      <c r="E664" s="58">
        <v>1954.97</v>
      </c>
      <c r="F664" s="58">
        <v>4149501.0</v>
      </c>
      <c r="G664" s="57" t="s">
        <v>1672</v>
      </c>
      <c r="H664" s="57" t="s">
        <v>1673</v>
      </c>
      <c r="I664" s="57"/>
      <c r="J664" s="57"/>
      <c r="K664" s="57"/>
      <c r="L664" s="57"/>
      <c r="M664" s="57"/>
      <c r="N664" s="57"/>
      <c r="O664" s="57"/>
      <c r="P664" s="57"/>
      <c r="Q664" s="57"/>
      <c r="R664" s="57"/>
      <c r="S664" s="57"/>
      <c r="T664" s="57"/>
      <c r="U664" s="57"/>
      <c r="V664" s="57"/>
      <c r="W664" s="57"/>
      <c r="X664" s="57"/>
      <c r="Y664" s="57"/>
      <c r="Z664" s="57"/>
    </row>
    <row r="665">
      <c r="A665" s="58">
        <v>9249217.0</v>
      </c>
      <c r="B665" s="57" t="s">
        <v>1649</v>
      </c>
      <c r="C665" s="57" t="s">
        <v>247</v>
      </c>
      <c r="D665" s="58">
        <v>5.09</v>
      </c>
      <c r="E665" s="58">
        <v>1960.06</v>
      </c>
      <c r="F665" s="58">
        <v>4152067.0</v>
      </c>
      <c r="G665" s="57" t="s">
        <v>1674</v>
      </c>
      <c r="H665" s="57" t="s">
        <v>1675</v>
      </c>
      <c r="I665" s="57"/>
      <c r="J665" s="57"/>
      <c r="K665" s="57"/>
      <c r="L665" s="57"/>
      <c r="M665" s="57"/>
      <c r="N665" s="57"/>
      <c r="O665" s="57"/>
      <c r="P665" s="57"/>
      <c r="Q665" s="57"/>
      <c r="R665" s="57"/>
      <c r="S665" s="57"/>
      <c r="T665" s="57"/>
      <c r="U665" s="57"/>
      <c r="V665" s="57"/>
      <c r="W665" s="57"/>
      <c r="X665" s="57"/>
      <c r="Y665" s="57"/>
      <c r="Z665" s="57"/>
    </row>
    <row r="666">
      <c r="A666" s="58">
        <v>9249167.0</v>
      </c>
      <c r="B666" s="57" t="s">
        <v>1676</v>
      </c>
      <c r="C666" s="57" t="s">
        <v>247</v>
      </c>
      <c r="D666" s="58">
        <v>5.09</v>
      </c>
      <c r="E666" s="58">
        <v>1965.15</v>
      </c>
      <c r="F666" s="58">
        <v>4149269.0</v>
      </c>
      <c r="G666" s="57" t="s">
        <v>1677</v>
      </c>
      <c r="H666" s="57" t="s">
        <v>1678</v>
      </c>
      <c r="I666" s="57"/>
      <c r="J666" s="57"/>
      <c r="K666" s="57"/>
      <c r="L666" s="57"/>
      <c r="M666" s="57"/>
      <c r="N666" s="57"/>
      <c r="O666" s="57"/>
      <c r="P666" s="57"/>
      <c r="Q666" s="57"/>
      <c r="R666" s="57"/>
      <c r="S666" s="57"/>
      <c r="T666" s="57"/>
      <c r="U666" s="57"/>
      <c r="V666" s="57"/>
      <c r="W666" s="57"/>
      <c r="X666" s="57"/>
      <c r="Y666" s="57"/>
      <c r="Z666" s="57"/>
    </row>
    <row r="667">
      <c r="A667" s="58">
        <v>9248008.0</v>
      </c>
      <c r="B667" s="57" t="s">
        <v>1679</v>
      </c>
      <c r="C667" s="57" t="s">
        <v>247</v>
      </c>
      <c r="D667" s="58">
        <v>7.67</v>
      </c>
      <c r="E667" s="58">
        <v>1972.82</v>
      </c>
      <c r="F667" s="58">
        <v>4137795.0</v>
      </c>
      <c r="G667" s="58">
        <v>1.86974716E8</v>
      </c>
      <c r="H667" s="57" t="s">
        <v>1680</v>
      </c>
      <c r="I667" s="57"/>
      <c r="J667" s="57"/>
      <c r="K667" s="57"/>
      <c r="L667" s="57"/>
      <c r="M667" s="57"/>
      <c r="N667" s="57"/>
      <c r="O667" s="57"/>
      <c r="P667" s="57"/>
      <c r="Q667" s="57"/>
      <c r="R667" s="57"/>
      <c r="S667" s="57"/>
      <c r="T667" s="57"/>
      <c r="U667" s="57"/>
      <c r="V667" s="57"/>
      <c r="W667" s="57"/>
      <c r="X667" s="57"/>
      <c r="Y667" s="57"/>
      <c r="Z667" s="57"/>
    </row>
    <row r="668">
      <c r="A668" s="58">
        <v>9248007.0</v>
      </c>
      <c r="B668" s="57" t="s">
        <v>1679</v>
      </c>
      <c r="C668" s="57" t="s">
        <v>247</v>
      </c>
      <c r="D668" s="58">
        <v>7.75</v>
      </c>
      <c r="E668" s="58">
        <v>1980.57</v>
      </c>
      <c r="F668" s="58">
        <v>4129754.0</v>
      </c>
      <c r="G668" s="58">
        <v>1.86974739E8</v>
      </c>
      <c r="H668" s="57" t="s">
        <v>1681</v>
      </c>
      <c r="I668" s="57"/>
      <c r="J668" s="57"/>
      <c r="K668" s="57"/>
      <c r="L668" s="57"/>
      <c r="M668" s="57"/>
      <c r="N668" s="57"/>
      <c r="O668" s="57"/>
      <c r="P668" s="57"/>
      <c r="Q668" s="57"/>
      <c r="R668" s="57"/>
      <c r="S668" s="57"/>
      <c r="T668" s="57"/>
      <c r="U668" s="57"/>
      <c r="V668" s="57"/>
      <c r="W668" s="57"/>
      <c r="X668" s="57"/>
      <c r="Y668" s="57"/>
      <c r="Z668" s="57"/>
    </row>
    <row r="669">
      <c r="A669" s="58">
        <v>9248003.0</v>
      </c>
      <c r="B669" s="57" t="s">
        <v>1679</v>
      </c>
      <c r="C669" s="57" t="s">
        <v>247</v>
      </c>
      <c r="D669" s="58">
        <v>7.82</v>
      </c>
      <c r="E669" s="58">
        <v>1988.39</v>
      </c>
      <c r="F669" s="58">
        <v>4130588.0</v>
      </c>
      <c r="G669" s="58">
        <v>1.86974738E8</v>
      </c>
      <c r="H669" s="57" t="s">
        <v>1682</v>
      </c>
      <c r="I669" s="57"/>
      <c r="J669" s="57"/>
      <c r="K669" s="57"/>
      <c r="L669" s="57"/>
      <c r="M669" s="57"/>
      <c r="N669" s="57"/>
      <c r="O669" s="57"/>
      <c r="P669" s="57"/>
      <c r="Q669" s="57"/>
      <c r="R669" s="57"/>
      <c r="S669" s="57"/>
      <c r="T669" s="57"/>
      <c r="U669" s="57"/>
      <c r="V669" s="57"/>
      <c r="W669" s="57"/>
      <c r="X669" s="57"/>
      <c r="Y669" s="57"/>
      <c r="Z669" s="57"/>
    </row>
    <row r="670">
      <c r="A670" s="58">
        <v>9246452.0</v>
      </c>
      <c r="B670" s="57" t="s">
        <v>1683</v>
      </c>
      <c r="C670" s="57" t="s">
        <v>247</v>
      </c>
      <c r="D670" s="58">
        <v>7.82</v>
      </c>
      <c r="E670" s="58">
        <v>1996.21</v>
      </c>
      <c r="F670" s="58">
        <v>4136808.0</v>
      </c>
      <c r="G670" s="58">
        <v>1.86980443E8</v>
      </c>
      <c r="H670" s="57" t="s">
        <v>1684</v>
      </c>
      <c r="I670" s="57"/>
      <c r="J670" s="57"/>
      <c r="K670" s="57"/>
      <c r="L670" s="57"/>
      <c r="M670" s="57"/>
      <c r="N670" s="57"/>
      <c r="O670" s="57"/>
      <c r="P670" s="57"/>
      <c r="Q670" s="57"/>
      <c r="R670" s="57"/>
      <c r="S670" s="57"/>
      <c r="T670" s="57"/>
      <c r="U670" s="57"/>
      <c r="V670" s="57"/>
      <c r="W670" s="57"/>
      <c r="X670" s="57"/>
      <c r="Y670" s="57"/>
      <c r="Z670" s="57"/>
    </row>
    <row r="671">
      <c r="A671" s="58">
        <v>9225347.0</v>
      </c>
      <c r="B671" s="57" t="s">
        <v>1685</v>
      </c>
      <c r="C671" s="57" t="s">
        <v>210</v>
      </c>
      <c r="D671" s="58">
        <v>11.67</v>
      </c>
      <c r="E671" s="58">
        <v>1984.54</v>
      </c>
      <c r="F671" s="58">
        <v>4109603.0</v>
      </c>
      <c r="G671" s="58">
        <v>1.86966927E8</v>
      </c>
      <c r="H671" s="57" t="s">
        <v>1686</v>
      </c>
      <c r="I671" s="57"/>
      <c r="J671" s="57"/>
      <c r="K671" s="57"/>
      <c r="L671" s="57"/>
      <c r="M671" s="57"/>
      <c r="N671" s="57"/>
      <c r="O671" s="57"/>
      <c r="P671" s="57"/>
      <c r="Q671" s="57"/>
      <c r="R671" s="57"/>
      <c r="S671" s="57"/>
      <c r="T671" s="57"/>
      <c r="U671" s="57"/>
      <c r="V671" s="57"/>
      <c r="W671" s="57"/>
      <c r="X671" s="57"/>
      <c r="Y671" s="57"/>
      <c r="Z671" s="57"/>
    </row>
    <row r="672">
      <c r="A672" s="58">
        <v>9213347.0</v>
      </c>
      <c r="B672" s="57" t="s">
        <v>1687</v>
      </c>
      <c r="C672" s="57" t="s">
        <v>247</v>
      </c>
      <c r="D672" s="58">
        <v>5.97</v>
      </c>
      <c r="E672" s="58">
        <v>1990.51</v>
      </c>
      <c r="F672" s="58">
        <v>3898712.0</v>
      </c>
      <c r="G672" s="58">
        <v>1.8688581E8</v>
      </c>
      <c r="H672" s="57" t="s">
        <v>1688</v>
      </c>
      <c r="I672" s="57"/>
      <c r="J672" s="57"/>
      <c r="K672" s="57"/>
      <c r="L672" s="57"/>
      <c r="M672" s="57"/>
      <c r="N672" s="57"/>
      <c r="O672" s="57"/>
      <c r="P672" s="57"/>
      <c r="Q672" s="57"/>
      <c r="R672" s="57"/>
      <c r="S672" s="57"/>
      <c r="T672" s="57"/>
      <c r="U672" s="57"/>
      <c r="V672" s="57"/>
      <c r="W672" s="57"/>
      <c r="X672" s="57"/>
      <c r="Y672" s="57"/>
      <c r="Z672" s="57"/>
    </row>
    <row r="673">
      <c r="A673" s="58">
        <v>9212894.0</v>
      </c>
      <c r="B673" s="57" t="s">
        <v>1687</v>
      </c>
      <c r="C673" s="57" t="s">
        <v>247</v>
      </c>
      <c r="D673" s="58">
        <v>6.24</v>
      </c>
      <c r="E673" s="58">
        <v>1996.75</v>
      </c>
      <c r="F673" s="58">
        <v>3949049.0</v>
      </c>
      <c r="G673" s="58">
        <v>1.86904605E8</v>
      </c>
      <c r="H673" s="57" t="s">
        <v>1689</v>
      </c>
      <c r="I673" s="57"/>
      <c r="J673" s="57"/>
      <c r="K673" s="57"/>
      <c r="L673" s="57"/>
      <c r="M673" s="57"/>
      <c r="N673" s="57"/>
      <c r="O673" s="57"/>
      <c r="P673" s="57"/>
      <c r="Q673" s="57"/>
      <c r="R673" s="57"/>
      <c r="S673" s="57"/>
      <c r="T673" s="57"/>
      <c r="U673" s="57"/>
      <c r="V673" s="57"/>
      <c r="W673" s="57"/>
      <c r="X673" s="57"/>
      <c r="Y673" s="57"/>
      <c r="Z673" s="57"/>
    </row>
    <row r="674">
      <c r="A674" s="58">
        <v>9212475.0</v>
      </c>
      <c r="B674" s="57" t="s">
        <v>1690</v>
      </c>
      <c r="C674" s="57" t="s">
        <v>247</v>
      </c>
      <c r="D674" s="58">
        <v>7.67</v>
      </c>
      <c r="E674" s="58">
        <v>2004.42</v>
      </c>
      <c r="F674" s="58">
        <v>3985574.0</v>
      </c>
      <c r="G674" s="58">
        <v>1.86922127E8</v>
      </c>
      <c r="H674" s="57" t="s">
        <v>1691</v>
      </c>
      <c r="I674" s="57"/>
      <c r="J674" s="57"/>
      <c r="K674" s="57"/>
      <c r="L674" s="57"/>
      <c r="M674" s="57"/>
      <c r="N674" s="57"/>
      <c r="O674" s="57"/>
      <c r="P674" s="57"/>
      <c r="Q674" s="57"/>
      <c r="R674" s="57"/>
      <c r="S674" s="57"/>
      <c r="T674" s="57"/>
      <c r="U674" s="57"/>
      <c r="V674" s="57"/>
      <c r="W674" s="57"/>
      <c r="X674" s="57"/>
      <c r="Y674" s="57"/>
      <c r="Z674" s="57"/>
    </row>
    <row r="675">
      <c r="A675" s="58">
        <v>9208159.0</v>
      </c>
      <c r="B675" s="57" t="s">
        <v>1692</v>
      </c>
      <c r="C675" s="57" t="s">
        <v>247</v>
      </c>
      <c r="D675" s="58">
        <v>7.7</v>
      </c>
      <c r="E675" s="58">
        <v>2012.12</v>
      </c>
      <c r="F675" s="58">
        <v>4112009.0</v>
      </c>
      <c r="G675" s="58">
        <v>1.86966915E8</v>
      </c>
      <c r="H675" s="57" t="s">
        <v>1693</v>
      </c>
      <c r="I675" s="57"/>
      <c r="J675" s="57"/>
      <c r="K675" s="57"/>
      <c r="L675" s="57"/>
      <c r="M675" s="57"/>
      <c r="N675" s="57"/>
      <c r="O675" s="57"/>
      <c r="P675" s="57"/>
      <c r="Q675" s="57"/>
      <c r="R675" s="57"/>
      <c r="S675" s="57"/>
      <c r="T675" s="57"/>
      <c r="U675" s="57"/>
      <c r="V675" s="57"/>
      <c r="W675" s="57"/>
      <c r="X675" s="57"/>
      <c r="Y675" s="57"/>
      <c r="Z675" s="57"/>
    </row>
    <row r="676">
      <c r="A676" s="58">
        <v>9208051.0</v>
      </c>
      <c r="B676" s="57" t="s">
        <v>1692</v>
      </c>
      <c r="C676" s="57" t="s">
        <v>247</v>
      </c>
      <c r="D676" s="58">
        <v>7.75</v>
      </c>
      <c r="E676" s="58">
        <v>2019.87</v>
      </c>
      <c r="F676" s="58">
        <v>4048599.0</v>
      </c>
      <c r="G676" s="58">
        <v>1.86939949E8</v>
      </c>
      <c r="H676" s="57" t="s">
        <v>1694</v>
      </c>
      <c r="I676" s="57"/>
      <c r="J676" s="57"/>
      <c r="K676" s="57"/>
      <c r="L676" s="57"/>
      <c r="M676" s="57"/>
      <c r="N676" s="57"/>
      <c r="O676" s="57"/>
      <c r="P676" s="57"/>
      <c r="Q676" s="57"/>
      <c r="R676" s="57"/>
      <c r="S676" s="57"/>
      <c r="T676" s="57"/>
      <c r="U676" s="57"/>
      <c r="V676" s="57"/>
      <c r="W676" s="57"/>
      <c r="X676" s="57"/>
      <c r="Y676" s="57"/>
      <c r="Z676" s="57"/>
    </row>
    <row r="677">
      <c r="A677" s="58">
        <v>9207988.0</v>
      </c>
      <c r="B677" s="57" t="s">
        <v>1692</v>
      </c>
      <c r="C677" s="57" t="s">
        <v>247</v>
      </c>
      <c r="D677" s="58">
        <v>7.77</v>
      </c>
      <c r="E677" s="58">
        <v>2027.64</v>
      </c>
      <c r="F677" s="58">
        <v>4127249.0</v>
      </c>
      <c r="G677" s="58">
        <v>1.86966804E8</v>
      </c>
      <c r="H677" s="57" t="s">
        <v>1695</v>
      </c>
      <c r="I677" s="57"/>
      <c r="J677" s="57"/>
      <c r="K677" s="57"/>
      <c r="L677" s="57"/>
      <c r="M677" s="57"/>
      <c r="N677" s="57"/>
      <c r="O677" s="57"/>
      <c r="P677" s="57"/>
      <c r="Q677" s="57"/>
      <c r="R677" s="57"/>
      <c r="S677" s="57"/>
      <c r="T677" s="57"/>
      <c r="U677" s="57"/>
      <c r="V677" s="57"/>
      <c r="W677" s="57"/>
      <c r="X677" s="57"/>
      <c r="Y677" s="57"/>
      <c r="Z677" s="57"/>
    </row>
    <row r="678">
      <c r="A678" s="58">
        <v>9207828.0</v>
      </c>
      <c r="B678" s="57" t="s">
        <v>1692</v>
      </c>
      <c r="C678" s="57" t="s">
        <v>247</v>
      </c>
      <c r="D678" s="58">
        <v>7.67</v>
      </c>
      <c r="E678" s="58">
        <v>2035.31</v>
      </c>
      <c r="F678" s="58">
        <v>3948464.0</v>
      </c>
      <c r="G678" s="58">
        <v>1.86904683E8</v>
      </c>
      <c r="H678" s="57" t="s">
        <v>1696</v>
      </c>
      <c r="I678" s="57"/>
      <c r="J678" s="57"/>
      <c r="K678" s="57"/>
      <c r="L678" s="57"/>
      <c r="M678" s="57"/>
      <c r="N678" s="57"/>
      <c r="O678" s="57"/>
      <c r="P678" s="57"/>
      <c r="Q678" s="57"/>
      <c r="R678" s="57"/>
      <c r="S678" s="57"/>
      <c r="T678" s="57"/>
      <c r="U678" s="57"/>
      <c r="V678" s="57"/>
      <c r="W678" s="57"/>
      <c r="X678" s="57"/>
      <c r="Y678" s="57"/>
      <c r="Z678" s="57"/>
    </row>
    <row r="679">
      <c r="A679" s="58">
        <v>9207361.0</v>
      </c>
      <c r="B679" s="57" t="s">
        <v>1692</v>
      </c>
      <c r="C679" s="57" t="s">
        <v>247</v>
      </c>
      <c r="D679" s="58">
        <v>7.67</v>
      </c>
      <c r="E679" s="58">
        <v>2042.98</v>
      </c>
      <c r="F679" s="58">
        <v>3987954.0</v>
      </c>
      <c r="G679" s="58">
        <v>1.86922119E8</v>
      </c>
      <c r="H679" s="57" t="s">
        <v>1697</v>
      </c>
      <c r="I679" s="57"/>
      <c r="J679" s="57"/>
      <c r="K679" s="57"/>
      <c r="L679" s="57"/>
      <c r="M679" s="57"/>
      <c r="N679" s="57"/>
      <c r="O679" s="57"/>
      <c r="P679" s="57"/>
      <c r="Q679" s="57"/>
      <c r="R679" s="57"/>
      <c r="S679" s="57"/>
      <c r="T679" s="57"/>
      <c r="U679" s="57"/>
      <c r="V679" s="57"/>
      <c r="W679" s="57"/>
      <c r="X679" s="57"/>
      <c r="Y679" s="57"/>
      <c r="Z679" s="57"/>
    </row>
    <row r="680">
      <c r="A680" s="58">
        <v>9207359.0</v>
      </c>
      <c r="B680" s="57" t="s">
        <v>1692</v>
      </c>
      <c r="C680" s="57" t="s">
        <v>247</v>
      </c>
      <c r="D680" s="58">
        <v>6.24</v>
      </c>
      <c r="E680" s="58">
        <v>2049.22</v>
      </c>
      <c r="F680" s="58">
        <v>3987654.0</v>
      </c>
      <c r="G680" s="58">
        <v>1.86922121E8</v>
      </c>
      <c r="H680" s="57" t="s">
        <v>1698</v>
      </c>
      <c r="I680" s="57"/>
      <c r="J680" s="57"/>
      <c r="K680" s="57"/>
      <c r="L680" s="57"/>
      <c r="M680" s="57"/>
      <c r="N680" s="57"/>
      <c r="O680" s="57"/>
      <c r="P680" s="57"/>
      <c r="Q680" s="57"/>
      <c r="R680" s="57"/>
      <c r="S680" s="57"/>
      <c r="T680" s="57"/>
      <c r="U680" s="57"/>
      <c r="V680" s="57"/>
      <c r="W680" s="57"/>
      <c r="X680" s="57"/>
      <c r="Y680" s="57"/>
      <c r="Z680" s="57"/>
    </row>
    <row r="681">
      <c r="A681" s="58">
        <v>9201209.0</v>
      </c>
      <c r="B681" s="57" t="s">
        <v>1699</v>
      </c>
      <c r="C681" s="57" t="s">
        <v>247</v>
      </c>
      <c r="D681" s="58">
        <v>0.85</v>
      </c>
      <c r="E681" s="58">
        <v>2050.07</v>
      </c>
      <c r="F681" s="58">
        <v>3780495.0</v>
      </c>
      <c r="G681" s="58">
        <v>1.87329568E8</v>
      </c>
      <c r="H681" s="57" t="s">
        <v>1700</v>
      </c>
      <c r="I681" s="57"/>
      <c r="J681" s="57"/>
      <c r="K681" s="57"/>
      <c r="L681" s="57"/>
      <c r="M681" s="57"/>
      <c r="N681" s="57"/>
      <c r="O681" s="57"/>
      <c r="P681" s="57"/>
      <c r="Q681" s="57"/>
      <c r="R681" s="57"/>
      <c r="S681" s="57"/>
      <c r="T681" s="57"/>
      <c r="U681" s="57"/>
      <c r="V681" s="57"/>
      <c r="W681" s="57"/>
      <c r="X681" s="57"/>
      <c r="Y681" s="57"/>
      <c r="Z681" s="57"/>
    </row>
    <row r="682">
      <c r="A682" s="58">
        <v>9201208.0</v>
      </c>
      <c r="B682" s="57" t="s">
        <v>1699</v>
      </c>
      <c r="C682" s="57" t="s">
        <v>247</v>
      </c>
      <c r="D682" s="58">
        <v>6.07</v>
      </c>
      <c r="E682" s="58">
        <v>2056.14</v>
      </c>
      <c r="F682" s="58">
        <v>3780495.0</v>
      </c>
      <c r="G682" s="58">
        <v>1.87329568E8</v>
      </c>
      <c r="H682" s="57" t="s">
        <v>1701</v>
      </c>
      <c r="I682" s="57"/>
      <c r="J682" s="57"/>
      <c r="K682" s="57"/>
      <c r="L682" s="57"/>
      <c r="M682" s="57"/>
      <c r="N682" s="57"/>
      <c r="O682" s="57"/>
      <c r="P682" s="57"/>
      <c r="Q682" s="57"/>
      <c r="R682" s="57"/>
      <c r="S682" s="57"/>
      <c r="T682" s="57"/>
      <c r="U682" s="57"/>
      <c r="V682" s="57"/>
      <c r="W682" s="57"/>
      <c r="X682" s="57"/>
      <c r="Y682" s="57"/>
      <c r="Z682" s="57"/>
    </row>
    <row r="683">
      <c r="A683" s="58">
        <v>9200132.0</v>
      </c>
      <c r="B683" s="57" t="s">
        <v>1702</v>
      </c>
      <c r="C683" s="57" t="s">
        <v>247</v>
      </c>
      <c r="D683" s="58">
        <v>7.7</v>
      </c>
      <c r="E683" s="58">
        <v>2063.84</v>
      </c>
      <c r="F683" s="58">
        <v>4131335.0</v>
      </c>
      <c r="G683" s="58">
        <v>1.86983831E8</v>
      </c>
      <c r="H683" s="57" t="s">
        <v>1703</v>
      </c>
      <c r="I683" s="57"/>
      <c r="J683" s="57"/>
      <c r="K683" s="57"/>
      <c r="L683" s="57"/>
      <c r="M683" s="57"/>
      <c r="N683" s="57"/>
      <c r="O683" s="57"/>
      <c r="P683" s="57"/>
      <c r="Q683" s="57"/>
      <c r="R683" s="57"/>
      <c r="S683" s="57"/>
      <c r="T683" s="57"/>
      <c r="U683" s="57"/>
      <c r="V683" s="57"/>
      <c r="W683" s="57"/>
      <c r="X683" s="57"/>
      <c r="Y683" s="57"/>
      <c r="Z683" s="57"/>
    </row>
    <row r="684">
      <c r="A684" s="58">
        <v>9199988.0</v>
      </c>
      <c r="B684" s="57" t="s">
        <v>1702</v>
      </c>
      <c r="C684" s="57" t="s">
        <v>247</v>
      </c>
      <c r="D684" s="58">
        <v>4.77</v>
      </c>
      <c r="E684" s="58">
        <v>2068.61</v>
      </c>
      <c r="F684" s="58">
        <v>4134328.0</v>
      </c>
      <c r="G684" s="58">
        <v>1.86973323E8</v>
      </c>
      <c r="H684" s="57" t="s">
        <v>1704</v>
      </c>
      <c r="I684" s="57"/>
      <c r="J684" s="57"/>
      <c r="K684" s="57"/>
      <c r="L684" s="57"/>
      <c r="M684" s="57"/>
      <c r="N684" s="57"/>
      <c r="O684" s="57"/>
      <c r="P684" s="57"/>
      <c r="Q684" s="57"/>
      <c r="R684" s="57"/>
      <c r="S684" s="57"/>
      <c r="T684" s="57"/>
      <c r="U684" s="57"/>
      <c r="V684" s="57"/>
      <c r="W684" s="57"/>
      <c r="X684" s="57"/>
      <c r="Y684" s="57"/>
      <c r="Z684" s="57"/>
    </row>
    <row r="685">
      <c r="A685" s="58">
        <v>9199987.0</v>
      </c>
      <c r="B685" s="57" t="s">
        <v>1702</v>
      </c>
      <c r="C685" s="57" t="s">
        <v>247</v>
      </c>
      <c r="D685" s="58">
        <v>7.67</v>
      </c>
      <c r="E685" s="58">
        <v>2076.28</v>
      </c>
      <c r="F685" s="58">
        <v>4096576.0</v>
      </c>
      <c r="G685" s="58">
        <v>1.86973358E8</v>
      </c>
      <c r="H685" s="57" t="s">
        <v>1705</v>
      </c>
      <c r="I685" s="57"/>
      <c r="J685" s="57"/>
      <c r="K685" s="57"/>
      <c r="L685" s="57"/>
      <c r="M685" s="57"/>
      <c r="N685" s="57"/>
      <c r="O685" s="57"/>
      <c r="P685" s="57"/>
      <c r="Q685" s="57"/>
      <c r="R685" s="57"/>
      <c r="S685" s="57"/>
      <c r="T685" s="57"/>
      <c r="U685" s="57"/>
      <c r="V685" s="57"/>
      <c r="W685" s="57"/>
      <c r="X685" s="57"/>
      <c r="Y685" s="57"/>
      <c r="Z685" s="57"/>
    </row>
    <row r="686">
      <c r="A686" s="58">
        <v>9199985.0</v>
      </c>
      <c r="B686" s="57" t="s">
        <v>1702</v>
      </c>
      <c r="C686" s="57" t="s">
        <v>247</v>
      </c>
      <c r="D686" s="58">
        <v>7.7</v>
      </c>
      <c r="E686" s="58">
        <v>2083.98</v>
      </c>
      <c r="F686" s="58">
        <v>4101301.0</v>
      </c>
      <c r="G686" s="58">
        <v>1.86973348E8</v>
      </c>
      <c r="H686" s="57" t="s">
        <v>1706</v>
      </c>
      <c r="I686" s="57"/>
      <c r="J686" s="57"/>
      <c r="K686" s="57"/>
      <c r="L686" s="57"/>
      <c r="M686" s="57"/>
      <c r="N686" s="57"/>
      <c r="O686" s="57"/>
      <c r="P686" s="57"/>
      <c r="Q686" s="57"/>
      <c r="R686" s="57"/>
      <c r="S686" s="57"/>
      <c r="T686" s="57"/>
      <c r="U686" s="57"/>
      <c r="V686" s="57"/>
      <c r="W686" s="57"/>
      <c r="X686" s="57"/>
      <c r="Y686" s="57"/>
      <c r="Z686" s="57"/>
    </row>
    <row r="687">
      <c r="A687" s="58">
        <v>9199760.0</v>
      </c>
      <c r="B687" s="57" t="s">
        <v>1702</v>
      </c>
      <c r="C687" s="57" t="s">
        <v>247</v>
      </c>
      <c r="D687" s="58">
        <v>7.7</v>
      </c>
      <c r="E687" s="58">
        <v>2091.68</v>
      </c>
      <c r="F687" s="58">
        <v>4110496.0</v>
      </c>
      <c r="G687" s="58">
        <v>1.86966925E8</v>
      </c>
      <c r="H687" s="57" t="s">
        <v>1707</v>
      </c>
      <c r="I687" s="57"/>
      <c r="J687" s="57"/>
      <c r="K687" s="57"/>
      <c r="L687" s="57"/>
      <c r="M687" s="57"/>
      <c r="N687" s="57"/>
      <c r="O687" s="57"/>
      <c r="P687" s="57"/>
      <c r="Q687" s="57"/>
      <c r="R687" s="57"/>
      <c r="S687" s="57"/>
      <c r="T687" s="57"/>
      <c r="U687" s="57"/>
      <c r="V687" s="57"/>
      <c r="W687" s="57"/>
      <c r="X687" s="57"/>
      <c r="Y687" s="57"/>
      <c r="Z687" s="57"/>
    </row>
    <row r="688">
      <c r="A688" s="58">
        <v>9199028.0</v>
      </c>
      <c r="B688" s="57" t="s">
        <v>1708</v>
      </c>
      <c r="C688" s="57" t="s">
        <v>247</v>
      </c>
      <c r="D688" s="58">
        <v>7.67</v>
      </c>
      <c r="E688" s="58">
        <v>2099.35</v>
      </c>
      <c r="F688" s="58">
        <v>3973268.0</v>
      </c>
      <c r="G688" s="58">
        <v>1.86910758E8</v>
      </c>
      <c r="H688" s="57" t="s">
        <v>1709</v>
      </c>
      <c r="I688" s="57"/>
      <c r="J688" s="57"/>
      <c r="K688" s="57"/>
      <c r="L688" s="57"/>
      <c r="M688" s="57"/>
      <c r="N688" s="57"/>
      <c r="O688" s="57"/>
      <c r="P688" s="57"/>
      <c r="Q688" s="57"/>
      <c r="R688" s="57"/>
      <c r="S688" s="57"/>
      <c r="T688" s="57"/>
      <c r="U688" s="57"/>
      <c r="V688" s="57"/>
      <c r="W688" s="57"/>
      <c r="X688" s="57"/>
      <c r="Y688" s="57"/>
      <c r="Z688" s="57"/>
    </row>
    <row r="689">
      <c r="A689" s="58">
        <v>9198936.0</v>
      </c>
      <c r="B689" s="57" t="s">
        <v>1708</v>
      </c>
      <c r="C689" s="57" t="s">
        <v>247</v>
      </c>
      <c r="D689" s="58">
        <v>7.7</v>
      </c>
      <c r="E689" s="58">
        <v>2107.05</v>
      </c>
      <c r="F689" s="58">
        <v>4120524.0</v>
      </c>
      <c r="G689" s="58">
        <v>1.86966896E8</v>
      </c>
      <c r="H689" s="57" t="s">
        <v>1710</v>
      </c>
      <c r="I689" s="57"/>
      <c r="J689" s="57"/>
      <c r="K689" s="57"/>
      <c r="L689" s="57"/>
      <c r="M689" s="57"/>
      <c r="N689" s="57"/>
      <c r="O689" s="57"/>
      <c r="P689" s="57"/>
      <c r="Q689" s="57"/>
      <c r="R689" s="57"/>
      <c r="S689" s="57"/>
      <c r="T689" s="57"/>
      <c r="U689" s="57"/>
      <c r="V689" s="57"/>
      <c r="W689" s="57"/>
      <c r="X689" s="57"/>
      <c r="Y689" s="57"/>
      <c r="Z689" s="57"/>
    </row>
    <row r="690">
      <c r="A690" s="58">
        <v>9198924.0</v>
      </c>
      <c r="B690" s="57" t="s">
        <v>1708</v>
      </c>
      <c r="C690" s="57" t="s">
        <v>247</v>
      </c>
      <c r="D690" s="58">
        <v>7.7</v>
      </c>
      <c r="E690" s="58">
        <v>2114.75</v>
      </c>
      <c r="F690" s="58">
        <v>4093451.0</v>
      </c>
      <c r="G690" s="58">
        <v>1.86973362E8</v>
      </c>
      <c r="H690" s="57" t="s">
        <v>1711</v>
      </c>
      <c r="I690" s="57"/>
      <c r="J690" s="57"/>
      <c r="K690" s="57"/>
      <c r="L690" s="57"/>
      <c r="M690" s="57"/>
      <c r="N690" s="57"/>
      <c r="O690" s="57"/>
      <c r="P690" s="57"/>
      <c r="Q690" s="57"/>
      <c r="R690" s="57"/>
      <c r="S690" s="57"/>
      <c r="T690" s="57"/>
      <c r="U690" s="57"/>
      <c r="V690" s="57"/>
      <c r="W690" s="57"/>
      <c r="X690" s="57"/>
      <c r="Y690" s="57"/>
      <c r="Z690" s="57"/>
    </row>
    <row r="691">
      <c r="A691" s="58">
        <v>9198855.0</v>
      </c>
      <c r="B691" s="57" t="s">
        <v>1712</v>
      </c>
      <c r="C691" s="57" t="s">
        <v>247</v>
      </c>
      <c r="D691" s="58">
        <v>7.67</v>
      </c>
      <c r="E691" s="58">
        <v>2122.42</v>
      </c>
      <c r="F691" s="58">
        <v>4075153.0</v>
      </c>
      <c r="G691" s="58">
        <v>1.86947872E8</v>
      </c>
      <c r="H691" s="57" t="s">
        <v>1713</v>
      </c>
      <c r="I691" s="57"/>
      <c r="J691" s="57"/>
      <c r="K691" s="57"/>
      <c r="L691" s="57"/>
      <c r="M691" s="57"/>
      <c r="N691" s="57"/>
      <c r="O691" s="57"/>
      <c r="P691" s="57"/>
      <c r="Q691" s="57"/>
      <c r="R691" s="57"/>
      <c r="S691" s="57"/>
      <c r="T691" s="57"/>
      <c r="U691" s="57"/>
      <c r="V691" s="57"/>
      <c r="W691" s="57"/>
      <c r="X691" s="57"/>
      <c r="Y691" s="57"/>
      <c r="Z691" s="57"/>
    </row>
    <row r="692">
      <c r="A692" s="58">
        <v>9198521.0</v>
      </c>
      <c r="B692" s="57" t="s">
        <v>1712</v>
      </c>
      <c r="C692" s="57" t="s">
        <v>247</v>
      </c>
      <c r="D692" s="58">
        <v>5.74</v>
      </c>
      <c r="E692" s="58">
        <v>2128.16</v>
      </c>
      <c r="F692" s="58">
        <v>4135730.0</v>
      </c>
      <c r="G692" s="58">
        <v>1.86973289E8</v>
      </c>
      <c r="H692" s="57" t="s">
        <v>1714</v>
      </c>
      <c r="I692" s="57"/>
      <c r="J692" s="57"/>
      <c r="K692" s="57"/>
      <c r="L692" s="57"/>
      <c r="M692" s="57"/>
      <c r="N692" s="57"/>
      <c r="O692" s="57"/>
      <c r="P692" s="57"/>
      <c r="Q692" s="57"/>
      <c r="R692" s="57"/>
      <c r="S692" s="57"/>
      <c r="T692" s="57"/>
      <c r="U692" s="57"/>
      <c r="V692" s="57"/>
      <c r="W692" s="57"/>
      <c r="X692" s="57"/>
      <c r="Y692" s="57"/>
      <c r="Z692" s="57"/>
    </row>
    <row r="693">
      <c r="A693" s="58">
        <v>9198275.0</v>
      </c>
      <c r="B693" s="57" t="s">
        <v>1715</v>
      </c>
      <c r="C693" s="57" t="s">
        <v>247</v>
      </c>
      <c r="D693" s="58">
        <v>7.7</v>
      </c>
      <c r="E693" s="58">
        <v>2135.86</v>
      </c>
      <c r="F693" s="58">
        <v>4174209.0</v>
      </c>
      <c r="G693" s="58">
        <v>1.86988775E8</v>
      </c>
      <c r="H693" s="57" t="s">
        <v>1716</v>
      </c>
      <c r="I693" s="57"/>
      <c r="J693" s="57"/>
      <c r="K693" s="57"/>
      <c r="L693" s="57"/>
      <c r="M693" s="57"/>
      <c r="N693" s="57"/>
      <c r="O693" s="57"/>
      <c r="P693" s="57"/>
      <c r="Q693" s="57"/>
      <c r="R693" s="57"/>
      <c r="S693" s="57"/>
      <c r="T693" s="57"/>
      <c r="U693" s="57"/>
      <c r="V693" s="57"/>
      <c r="W693" s="57"/>
      <c r="X693" s="57"/>
      <c r="Y693" s="57"/>
      <c r="Z693" s="57"/>
    </row>
    <row r="694">
      <c r="A694" s="58">
        <v>9192107.0</v>
      </c>
      <c r="B694" s="57" t="s">
        <v>1717</v>
      </c>
      <c r="C694" s="57" t="s">
        <v>210</v>
      </c>
      <c r="D694" s="58">
        <v>9.29</v>
      </c>
      <c r="E694" s="58">
        <v>2126.57</v>
      </c>
      <c r="F694" s="58">
        <v>4280071.0</v>
      </c>
      <c r="G694" s="58">
        <v>1.86535569E8</v>
      </c>
      <c r="H694" s="57" t="s">
        <v>1718</v>
      </c>
      <c r="I694" s="57"/>
      <c r="J694" s="57"/>
      <c r="K694" s="57"/>
      <c r="L694" s="57"/>
      <c r="M694" s="57"/>
      <c r="N694" s="57"/>
      <c r="O694" s="57"/>
      <c r="P694" s="57"/>
      <c r="Q694" s="57"/>
      <c r="R694" s="57"/>
      <c r="S694" s="57"/>
      <c r="T694" s="57"/>
      <c r="U694" s="57"/>
      <c r="V694" s="57"/>
      <c r="W694" s="57"/>
      <c r="X694" s="57"/>
      <c r="Y694" s="57"/>
      <c r="Z694" s="57"/>
    </row>
    <row r="695">
      <c r="A695" s="58">
        <v>9186411.0</v>
      </c>
      <c r="B695" s="57" t="s">
        <v>1719</v>
      </c>
      <c r="C695" s="57" t="s">
        <v>210</v>
      </c>
      <c r="D695" s="58">
        <v>15.95</v>
      </c>
      <c r="E695" s="58">
        <v>2110.62</v>
      </c>
      <c r="F695" s="58">
        <v>4266245.0</v>
      </c>
      <c r="G695" s="57" t="s">
        <v>1720</v>
      </c>
      <c r="H695" s="57" t="s">
        <v>1721</v>
      </c>
      <c r="I695" s="57"/>
      <c r="J695" s="57"/>
      <c r="K695" s="57"/>
      <c r="L695" s="57"/>
      <c r="M695" s="57"/>
      <c r="N695" s="57"/>
      <c r="O695" s="57"/>
      <c r="P695" s="57"/>
      <c r="Q695" s="57"/>
      <c r="R695" s="57"/>
      <c r="S695" s="57"/>
      <c r="T695" s="57"/>
      <c r="U695" s="57"/>
      <c r="V695" s="57"/>
      <c r="W695" s="57"/>
      <c r="X695" s="57"/>
      <c r="Y695" s="57"/>
      <c r="Z695" s="57"/>
    </row>
    <row r="696">
      <c r="A696" s="58">
        <v>9183941.0</v>
      </c>
      <c r="B696" s="57" t="s">
        <v>1722</v>
      </c>
      <c r="C696" s="57" t="s">
        <v>210</v>
      </c>
      <c r="D696" s="58">
        <v>15.38</v>
      </c>
      <c r="E696" s="58">
        <v>2095.24</v>
      </c>
      <c r="F696" s="58">
        <v>4260175.0</v>
      </c>
      <c r="G696" s="57" t="s">
        <v>1723</v>
      </c>
      <c r="H696" s="57" t="s">
        <v>1724</v>
      </c>
      <c r="I696" s="57"/>
      <c r="J696" s="57"/>
      <c r="K696" s="57"/>
      <c r="L696" s="57"/>
      <c r="M696" s="57"/>
      <c r="N696" s="57"/>
      <c r="O696" s="57"/>
      <c r="P696" s="57"/>
      <c r="Q696" s="57"/>
      <c r="R696" s="57"/>
      <c r="S696" s="57"/>
      <c r="T696" s="57"/>
      <c r="U696" s="57"/>
      <c r="V696" s="57"/>
      <c r="W696" s="57"/>
      <c r="X696" s="57"/>
      <c r="Y696" s="57"/>
      <c r="Z696" s="57"/>
    </row>
    <row r="697">
      <c r="A697" s="58">
        <v>9181009.0</v>
      </c>
      <c r="B697" s="57" t="s">
        <v>1722</v>
      </c>
      <c r="C697" s="57" t="s">
        <v>210</v>
      </c>
      <c r="D697" s="58">
        <v>15.13</v>
      </c>
      <c r="E697" s="58">
        <v>2080.11</v>
      </c>
      <c r="F697" s="58">
        <v>4250753.0</v>
      </c>
      <c r="G697" s="58">
        <v>1.86530283E8</v>
      </c>
      <c r="H697" s="57" t="s">
        <v>1725</v>
      </c>
      <c r="I697" s="57"/>
      <c r="J697" s="57"/>
      <c r="K697" s="57"/>
      <c r="L697" s="57"/>
      <c r="M697" s="57"/>
      <c r="N697" s="57"/>
      <c r="O697" s="57"/>
      <c r="P697" s="57"/>
      <c r="Q697" s="57"/>
      <c r="R697" s="57"/>
      <c r="S697" s="57"/>
      <c r="T697" s="57"/>
      <c r="U697" s="57"/>
      <c r="V697" s="57"/>
      <c r="W697" s="57"/>
      <c r="X697" s="57"/>
      <c r="Y697" s="57"/>
      <c r="Z697" s="57"/>
    </row>
    <row r="698">
      <c r="A698" s="58">
        <v>9174631.0</v>
      </c>
      <c r="B698" s="57" t="s">
        <v>1726</v>
      </c>
      <c r="C698" s="57" t="s">
        <v>210</v>
      </c>
      <c r="D698" s="58">
        <v>11.89</v>
      </c>
      <c r="E698" s="58">
        <v>2068.22</v>
      </c>
      <c r="F698" s="58">
        <v>4165556.0</v>
      </c>
      <c r="G698" s="57" t="s">
        <v>1727</v>
      </c>
      <c r="H698" s="57" t="s">
        <v>1728</v>
      </c>
      <c r="I698" s="57"/>
      <c r="J698" s="57"/>
      <c r="K698" s="57"/>
      <c r="L698" s="57"/>
      <c r="M698" s="57"/>
      <c r="N698" s="57"/>
      <c r="O698" s="57"/>
      <c r="P698" s="57"/>
      <c r="Q698" s="57"/>
      <c r="R698" s="57"/>
      <c r="S698" s="57"/>
      <c r="T698" s="57"/>
      <c r="U698" s="57"/>
      <c r="V698" s="57"/>
      <c r="W698" s="57"/>
      <c r="X698" s="57"/>
      <c r="Y698" s="57"/>
      <c r="Z698" s="57"/>
    </row>
    <row r="699">
      <c r="A699" s="58">
        <v>9171267.0</v>
      </c>
      <c r="B699" s="57" t="s">
        <v>1729</v>
      </c>
      <c r="C699" s="57" t="s">
        <v>247</v>
      </c>
      <c r="D699" s="58">
        <v>6.24</v>
      </c>
      <c r="E699" s="58">
        <v>2074.46</v>
      </c>
      <c r="F699" s="58">
        <v>4115695.0</v>
      </c>
      <c r="G699" s="58">
        <v>1.86963291E8</v>
      </c>
      <c r="H699" s="57" t="s">
        <v>1730</v>
      </c>
      <c r="I699" s="57"/>
      <c r="J699" s="57"/>
      <c r="K699" s="57"/>
      <c r="L699" s="57"/>
      <c r="M699" s="57"/>
      <c r="N699" s="57"/>
      <c r="O699" s="57"/>
      <c r="P699" s="57"/>
      <c r="Q699" s="57"/>
      <c r="R699" s="57"/>
      <c r="S699" s="57"/>
      <c r="T699" s="57"/>
      <c r="U699" s="57"/>
      <c r="V699" s="57"/>
      <c r="W699" s="57"/>
      <c r="X699" s="57"/>
      <c r="Y699" s="57"/>
      <c r="Z699" s="57"/>
    </row>
    <row r="700">
      <c r="A700" s="58">
        <v>9170152.0</v>
      </c>
      <c r="B700" s="57" t="s">
        <v>1731</v>
      </c>
      <c r="C700" s="57" t="s">
        <v>210</v>
      </c>
      <c r="D700" s="58">
        <v>12.55</v>
      </c>
      <c r="E700" s="58">
        <v>2061.91</v>
      </c>
      <c r="F700" s="58">
        <v>4281888.0</v>
      </c>
      <c r="G700" s="58">
        <v>1.86530043E8</v>
      </c>
      <c r="H700" s="57" t="s">
        <v>1732</v>
      </c>
      <c r="I700" s="57"/>
      <c r="J700" s="57"/>
      <c r="K700" s="57"/>
      <c r="L700" s="57"/>
      <c r="M700" s="57"/>
      <c r="N700" s="57"/>
      <c r="O700" s="57"/>
      <c r="P700" s="57"/>
      <c r="Q700" s="57"/>
      <c r="R700" s="57"/>
      <c r="S700" s="57"/>
      <c r="T700" s="57"/>
      <c r="U700" s="57"/>
      <c r="V700" s="57"/>
      <c r="W700" s="57"/>
      <c r="X700" s="57"/>
      <c r="Y700" s="57"/>
      <c r="Z700" s="57"/>
    </row>
    <row r="701">
      <c r="A701" s="58">
        <v>9154768.0</v>
      </c>
      <c r="B701" s="57" t="s">
        <v>1733</v>
      </c>
      <c r="C701" s="57" t="s">
        <v>210</v>
      </c>
      <c r="D701" s="58">
        <v>16.22</v>
      </c>
      <c r="E701" s="58">
        <v>2045.69</v>
      </c>
      <c r="F701" s="58">
        <v>4241553.0</v>
      </c>
      <c r="G701" s="57" t="s">
        <v>1734</v>
      </c>
      <c r="H701" s="57" t="s">
        <v>1735</v>
      </c>
      <c r="I701" s="57"/>
      <c r="J701" s="57"/>
      <c r="K701" s="57"/>
      <c r="L701" s="57"/>
      <c r="M701" s="57"/>
      <c r="N701" s="57"/>
      <c r="O701" s="57"/>
      <c r="P701" s="57"/>
      <c r="Q701" s="57"/>
      <c r="R701" s="57"/>
      <c r="S701" s="57"/>
      <c r="T701" s="57"/>
      <c r="U701" s="57"/>
      <c r="V701" s="57"/>
      <c r="W701" s="57"/>
      <c r="X701" s="57"/>
      <c r="Y701" s="57"/>
      <c r="Z701" s="57"/>
    </row>
    <row r="702">
      <c r="A702" s="58">
        <v>9153192.0</v>
      </c>
      <c r="B702" s="57" t="s">
        <v>1733</v>
      </c>
      <c r="C702" s="57" t="s">
        <v>210</v>
      </c>
      <c r="D702" s="58">
        <v>9.98</v>
      </c>
      <c r="E702" s="58">
        <v>2035.71</v>
      </c>
      <c r="F702" s="58">
        <v>4236432.0</v>
      </c>
      <c r="G702" s="58">
        <v>1.86518393E8</v>
      </c>
      <c r="H702" s="57" t="s">
        <v>1736</v>
      </c>
      <c r="I702" s="57"/>
      <c r="J702" s="57"/>
      <c r="K702" s="57"/>
      <c r="L702" s="57"/>
      <c r="M702" s="57"/>
      <c r="N702" s="57"/>
      <c r="O702" s="57"/>
      <c r="P702" s="57"/>
      <c r="Q702" s="57"/>
      <c r="R702" s="57"/>
      <c r="S702" s="57"/>
      <c r="T702" s="57"/>
      <c r="U702" s="57"/>
      <c r="V702" s="57"/>
      <c r="W702" s="57"/>
      <c r="X702" s="57"/>
      <c r="Y702" s="57"/>
      <c r="Z702" s="57"/>
    </row>
    <row r="703">
      <c r="A703" s="58">
        <v>9153136.0</v>
      </c>
      <c r="B703" s="57" t="s">
        <v>1733</v>
      </c>
      <c r="C703" s="57" t="s">
        <v>210</v>
      </c>
      <c r="D703" s="58">
        <v>16.79</v>
      </c>
      <c r="E703" s="58">
        <v>2018.92</v>
      </c>
      <c r="F703" s="58">
        <v>4236207.0</v>
      </c>
      <c r="G703" s="57" t="s">
        <v>1737</v>
      </c>
      <c r="H703" s="57" t="s">
        <v>1738</v>
      </c>
      <c r="I703" s="57"/>
      <c r="J703" s="57"/>
      <c r="K703" s="57"/>
      <c r="L703" s="57"/>
      <c r="M703" s="57"/>
      <c r="N703" s="57"/>
      <c r="O703" s="57"/>
      <c r="P703" s="57"/>
      <c r="Q703" s="57"/>
      <c r="R703" s="57"/>
      <c r="S703" s="57"/>
      <c r="T703" s="57"/>
      <c r="U703" s="57"/>
      <c r="V703" s="57"/>
      <c r="W703" s="57"/>
      <c r="X703" s="57"/>
      <c r="Y703" s="57"/>
      <c r="Z703" s="57"/>
    </row>
    <row r="704">
      <c r="A704" s="58">
        <v>9153130.0</v>
      </c>
      <c r="B704" s="57" t="s">
        <v>1733</v>
      </c>
      <c r="C704" s="57" t="s">
        <v>210</v>
      </c>
      <c r="D704" s="58">
        <v>16.79</v>
      </c>
      <c r="E704" s="58">
        <v>2002.13</v>
      </c>
      <c r="F704" s="58">
        <v>4236204.0</v>
      </c>
      <c r="G704" s="57" t="s">
        <v>1739</v>
      </c>
      <c r="H704" s="57" t="s">
        <v>1740</v>
      </c>
      <c r="I704" s="57"/>
      <c r="J704" s="57"/>
      <c r="K704" s="57"/>
      <c r="L704" s="57"/>
      <c r="M704" s="57"/>
      <c r="N704" s="57"/>
      <c r="O704" s="57"/>
      <c r="P704" s="57"/>
      <c r="Q704" s="57"/>
      <c r="R704" s="57"/>
      <c r="S704" s="57"/>
      <c r="T704" s="57"/>
      <c r="U704" s="57"/>
      <c r="V704" s="57"/>
      <c r="W704" s="57"/>
      <c r="X704" s="57"/>
      <c r="Y704" s="57"/>
      <c r="Z704" s="57"/>
    </row>
    <row r="705">
      <c r="A705" s="58">
        <v>9145387.0</v>
      </c>
      <c r="B705" s="57" t="s">
        <v>1741</v>
      </c>
      <c r="C705" s="57" t="s">
        <v>210</v>
      </c>
      <c r="D705" s="58">
        <v>13.17</v>
      </c>
      <c r="E705" s="58">
        <v>1988.96</v>
      </c>
      <c r="F705" s="58">
        <v>4152126.0</v>
      </c>
      <c r="G705" s="57" t="s">
        <v>1742</v>
      </c>
      <c r="H705" s="57" t="s">
        <v>1743</v>
      </c>
      <c r="I705" s="57"/>
      <c r="J705" s="57"/>
      <c r="K705" s="57"/>
      <c r="L705" s="57"/>
      <c r="M705" s="57"/>
      <c r="N705" s="57"/>
      <c r="O705" s="57"/>
      <c r="P705" s="57"/>
      <c r="Q705" s="57"/>
      <c r="R705" s="57"/>
      <c r="S705" s="57"/>
      <c r="T705" s="57"/>
      <c r="U705" s="57"/>
      <c r="V705" s="57"/>
      <c r="W705" s="57"/>
      <c r="X705" s="57"/>
      <c r="Y705" s="57"/>
      <c r="Z705" s="57"/>
    </row>
    <row r="706">
      <c r="A706" s="58">
        <v>9145225.0</v>
      </c>
      <c r="B706" s="57" t="s">
        <v>1741</v>
      </c>
      <c r="C706" s="57" t="s">
        <v>210</v>
      </c>
      <c r="D706" s="58">
        <v>18.4</v>
      </c>
      <c r="E706" s="58">
        <v>1970.56</v>
      </c>
      <c r="F706" s="58">
        <v>4141718.0</v>
      </c>
      <c r="G706" s="57" t="s">
        <v>1744</v>
      </c>
      <c r="H706" s="57" t="s">
        <v>1745</v>
      </c>
      <c r="I706" s="57"/>
      <c r="J706" s="57"/>
      <c r="K706" s="57"/>
      <c r="L706" s="57"/>
      <c r="M706" s="57"/>
      <c r="N706" s="57"/>
      <c r="O706" s="57"/>
      <c r="P706" s="57"/>
      <c r="Q706" s="57"/>
      <c r="R706" s="57"/>
      <c r="S706" s="57"/>
      <c r="T706" s="57"/>
      <c r="U706" s="57"/>
      <c r="V706" s="57"/>
      <c r="W706" s="57"/>
      <c r="X706" s="57"/>
      <c r="Y706" s="57"/>
      <c r="Z706" s="57"/>
    </row>
    <row r="707">
      <c r="A707" s="58">
        <v>9145037.0</v>
      </c>
      <c r="B707" s="57" t="s">
        <v>1741</v>
      </c>
      <c r="C707" s="57" t="s">
        <v>210</v>
      </c>
      <c r="D707" s="58">
        <v>16.79</v>
      </c>
      <c r="E707" s="58">
        <v>1953.77</v>
      </c>
      <c r="F707" s="58">
        <v>4123647.0</v>
      </c>
      <c r="G707" s="57" t="s">
        <v>1746</v>
      </c>
      <c r="H707" s="57" t="s">
        <v>1747</v>
      </c>
      <c r="I707" s="57"/>
      <c r="J707" s="57"/>
      <c r="K707" s="57"/>
      <c r="L707" s="57"/>
      <c r="M707" s="57"/>
      <c r="N707" s="57"/>
      <c r="O707" s="57"/>
      <c r="P707" s="57"/>
      <c r="Q707" s="57"/>
      <c r="R707" s="57"/>
      <c r="S707" s="57"/>
      <c r="T707" s="57"/>
      <c r="U707" s="57"/>
      <c r="V707" s="57"/>
      <c r="W707" s="57"/>
      <c r="X707" s="57"/>
      <c r="Y707" s="57"/>
      <c r="Z707" s="57"/>
    </row>
    <row r="708">
      <c r="A708" s="58">
        <v>9141711.0</v>
      </c>
      <c r="B708" s="57" t="s">
        <v>1748</v>
      </c>
      <c r="C708" s="57" t="s">
        <v>247</v>
      </c>
      <c r="D708" s="58">
        <v>5.65</v>
      </c>
      <c r="E708" s="58">
        <v>1959.42</v>
      </c>
      <c r="F708" s="58">
        <v>4152183.0</v>
      </c>
      <c r="G708" s="57" t="s">
        <v>1749</v>
      </c>
      <c r="H708" s="57" t="s">
        <v>1750</v>
      </c>
      <c r="I708" s="57"/>
      <c r="J708" s="57"/>
      <c r="K708" s="57"/>
      <c r="L708" s="57"/>
      <c r="M708" s="57"/>
      <c r="N708" s="57"/>
      <c r="O708" s="57"/>
      <c r="P708" s="57"/>
      <c r="Q708" s="57"/>
      <c r="R708" s="57"/>
      <c r="S708" s="57"/>
      <c r="T708" s="57"/>
      <c r="U708" s="57"/>
      <c r="V708" s="57"/>
      <c r="W708" s="57"/>
      <c r="X708" s="57"/>
      <c r="Y708" s="57"/>
      <c r="Z708" s="57"/>
    </row>
    <row r="709">
      <c r="A709" s="58">
        <v>9141642.0</v>
      </c>
      <c r="B709" s="57" t="s">
        <v>1751</v>
      </c>
      <c r="C709" s="57" t="s">
        <v>247</v>
      </c>
      <c r="D709" s="58">
        <v>5.07</v>
      </c>
      <c r="E709" s="58">
        <v>1964.49</v>
      </c>
      <c r="F709" s="58">
        <v>4150323.0</v>
      </c>
      <c r="G709" s="57" t="s">
        <v>1752</v>
      </c>
      <c r="H709" s="57" t="s">
        <v>1753</v>
      </c>
      <c r="I709" s="57"/>
      <c r="J709" s="57"/>
      <c r="K709" s="57"/>
      <c r="L709" s="57"/>
      <c r="M709" s="57"/>
      <c r="N709" s="57"/>
      <c r="O709" s="57"/>
      <c r="P709" s="57"/>
      <c r="Q709" s="57"/>
      <c r="R709" s="57"/>
      <c r="S709" s="57"/>
      <c r="T709" s="57"/>
      <c r="U709" s="57"/>
      <c r="V709" s="57"/>
      <c r="W709" s="57"/>
      <c r="X709" s="57"/>
      <c r="Y709" s="57"/>
      <c r="Z709" s="57"/>
    </row>
    <row r="710">
      <c r="A710" s="58">
        <v>9141495.0</v>
      </c>
      <c r="B710" s="57" t="s">
        <v>1751</v>
      </c>
      <c r="C710" s="57" t="s">
        <v>247</v>
      </c>
      <c r="D710" s="58">
        <v>5.07</v>
      </c>
      <c r="E710" s="58">
        <v>1969.56</v>
      </c>
      <c r="F710" s="58">
        <v>4104190.0</v>
      </c>
      <c r="G710" s="57" t="s">
        <v>1754</v>
      </c>
      <c r="H710" s="57" t="s">
        <v>1755</v>
      </c>
      <c r="I710" s="57"/>
      <c r="J710" s="57"/>
      <c r="K710" s="57"/>
      <c r="L710" s="57"/>
      <c r="M710" s="57"/>
      <c r="N710" s="57"/>
      <c r="O710" s="57"/>
      <c r="P710" s="57"/>
      <c r="Q710" s="57"/>
      <c r="R710" s="57"/>
      <c r="S710" s="57"/>
      <c r="T710" s="57"/>
      <c r="U710" s="57"/>
      <c r="V710" s="57"/>
      <c r="W710" s="57"/>
      <c r="X710" s="57"/>
      <c r="Y710" s="57"/>
      <c r="Z710" s="57"/>
    </row>
    <row r="711">
      <c r="A711" s="58">
        <v>9140999.0</v>
      </c>
      <c r="B711" s="57" t="s">
        <v>1756</v>
      </c>
      <c r="C711" s="57" t="s">
        <v>247</v>
      </c>
      <c r="D711" s="58">
        <v>5.69</v>
      </c>
      <c r="E711" s="58">
        <v>1975.25</v>
      </c>
      <c r="F711" s="58">
        <v>4138308.0</v>
      </c>
      <c r="G711" s="57" t="s">
        <v>1757</v>
      </c>
      <c r="H711" s="57" t="s">
        <v>1758</v>
      </c>
      <c r="I711" s="57"/>
      <c r="J711" s="57"/>
      <c r="K711" s="57"/>
      <c r="L711" s="57"/>
      <c r="M711" s="57"/>
      <c r="N711" s="57"/>
      <c r="O711" s="57"/>
      <c r="P711" s="57"/>
      <c r="Q711" s="57"/>
      <c r="R711" s="57"/>
      <c r="S711" s="57"/>
      <c r="T711" s="57"/>
      <c r="U711" s="57"/>
      <c r="V711" s="57"/>
      <c r="W711" s="57"/>
      <c r="X711" s="57"/>
      <c r="Y711" s="57"/>
      <c r="Z711" s="57"/>
    </row>
    <row r="712">
      <c r="A712" s="58">
        <v>9140735.0</v>
      </c>
      <c r="B712" s="57" t="s">
        <v>1759</v>
      </c>
      <c r="C712" s="57" t="s">
        <v>247</v>
      </c>
      <c r="D712" s="58">
        <v>3.51</v>
      </c>
      <c r="E712" s="58">
        <v>1978.76</v>
      </c>
      <c r="F712" s="58">
        <v>4128548.0</v>
      </c>
      <c r="G712" s="57" t="s">
        <v>1760</v>
      </c>
      <c r="H712" s="57" t="s">
        <v>1761</v>
      </c>
      <c r="I712" s="57"/>
      <c r="J712" s="57"/>
      <c r="K712" s="57"/>
      <c r="L712" s="57"/>
      <c r="M712" s="57"/>
      <c r="N712" s="57"/>
      <c r="O712" s="57"/>
      <c r="P712" s="57"/>
      <c r="Q712" s="57"/>
      <c r="R712" s="57"/>
      <c r="S712" s="57"/>
      <c r="T712" s="57"/>
      <c r="U712" s="57"/>
      <c r="V712" s="57"/>
      <c r="W712" s="57"/>
      <c r="X712" s="57"/>
      <c r="Y712" s="57"/>
      <c r="Z712" s="57"/>
    </row>
    <row r="713">
      <c r="A713" s="58">
        <v>9140725.0</v>
      </c>
      <c r="B713" s="57" t="s">
        <v>1762</v>
      </c>
      <c r="C713" s="57" t="s">
        <v>247</v>
      </c>
      <c r="D713" s="58">
        <v>5.07</v>
      </c>
      <c r="E713" s="58">
        <v>1983.83</v>
      </c>
      <c r="F713" s="58">
        <v>4141967.0</v>
      </c>
      <c r="G713" s="57" t="s">
        <v>1763</v>
      </c>
      <c r="H713" s="57" t="s">
        <v>1764</v>
      </c>
      <c r="I713" s="57"/>
      <c r="J713" s="57"/>
      <c r="K713" s="57"/>
      <c r="L713" s="57"/>
      <c r="M713" s="57"/>
      <c r="N713" s="57"/>
      <c r="O713" s="57"/>
      <c r="P713" s="57"/>
      <c r="Q713" s="57"/>
      <c r="R713" s="57"/>
      <c r="S713" s="57"/>
      <c r="T713" s="57"/>
      <c r="U713" s="57"/>
      <c r="V713" s="57"/>
      <c r="W713" s="57"/>
      <c r="X713" s="57"/>
      <c r="Y713" s="57"/>
      <c r="Z713" s="57"/>
    </row>
    <row r="714">
      <c r="A714" s="58">
        <v>9140719.0</v>
      </c>
      <c r="B714" s="57" t="s">
        <v>1762</v>
      </c>
      <c r="C714" s="57" t="s">
        <v>247</v>
      </c>
      <c r="D714" s="58">
        <v>5.09</v>
      </c>
      <c r="E714" s="58">
        <v>1988.92</v>
      </c>
      <c r="F714" s="58">
        <v>4099017.0</v>
      </c>
      <c r="G714" s="57" t="s">
        <v>1765</v>
      </c>
      <c r="H714" s="57" t="s">
        <v>1766</v>
      </c>
      <c r="I714" s="57"/>
      <c r="J714" s="57"/>
      <c r="K714" s="57"/>
      <c r="L714" s="57"/>
      <c r="M714" s="57"/>
      <c r="N714" s="57"/>
      <c r="O714" s="57"/>
      <c r="P714" s="57"/>
      <c r="Q714" s="57"/>
      <c r="R714" s="57"/>
      <c r="S714" s="57"/>
      <c r="T714" s="57"/>
      <c r="U714" s="57"/>
      <c r="V714" s="57"/>
      <c r="W714" s="57"/>
      <c r="X714" s="57"/>
      <c r="Y714" s="57"/>
      <c r="Z714" s="57"/>
    </row>
    <row r="715">
      <c r="A715" s="58">
        <v>9135466.0</v>
      </c>
      <c r="B715" s="57" t="s">
        <v>1767</v>
      </c>
      <c r="C715" s="57" t="s">
        <v>210</v>
      </c>
      <c r="D715" s="58">
        <v>16.79</v>
      </c>
      <c r="E715" s="58">
        <v>1972.13</v>
      </c>
      <c r="F715" s="58">
        <v>4250074.0</v>
      </c>
      <c r="G715" s="57" t="s">
        <v>1768</v>
      </c>
      <c r="H715" s="57" t="s">
        <v>1769</v>
      </c>
      <c r="I715" s="57"/>
      <c r="J715" s="57"/>
      <c r="K715" s="57"/>
      <c r="L715" s="57"/>
      <c r="M715" s="57"/>
      <c r="N715" s="57"/>
      <c r="O715" s="57"/>
      <c r="P715" s="57"/>
      <c r="Q715" s="57"/>
      <c r="R715" s="57"/>
      <c r="S715" s="57"/>
      <c r="T715" s="57"/>
      <c r="U715" s="57"/>
      <c r="V715" s="57"/>
      <c r="W715" s="57"/>
      <c r="X715" s="57"/>
      <c r="Y715" s="57"/>
      <c r="Z715" s="57"/>
    </row>
    <row r="716">
      <c r="A716" s="58">
        <v>9133175.0</v>
      </c>
      <c r="B716" s="57" t="s">
        <v>1767</v>
      </c>
      <c r="C716" s="57" t="s">
        <v>210</v>
      </c>
      <c r="D716" s="58">
        <v>16.79</v>
      </c>
      <c r="E716" s="58">
        <v>1955.34</v>
      </c>
      <c r="F716" s="58">
        <v>4245664.0</v>
      </c>
      <c r="G716" s="57" t="s">
        <v>1770</v>
      </c>
      <c r="H716" s="57" t="s">
        <v>1771</v>
      </c>
      <c r="I716" s="57"/>
      <c r="J716" s="57"/>
      <c r="K716" s="57"/>
      <c r="L716" s="57"/>
      <c r="M716" s="57"/>
      <c r="N716" s="57"/>
      <c r="O716" s="57"/>
      <c r="P716" s="57"/>
      <c r="Q716" s="57"/>
      <c r="R716" s="57"/>
      <c r="S716" s="57"/>
      <c r="T716" s="57"/>
      <c r="U716" s="57"/>
      <c r="V716" s="57"/>
      <c r="W716" s="57"/>
      <c r="X716" s="57"/>
      <c r="Y716" s="57"/>
      <c r="Z716" s="57"/>
    </row>
    <row r="717">
      <c r="A717" s="58">
        <v>9132886.0</v>
      </c>
      <c r="B717" s="57" t="s">
        <v>1767</v>
      </c>
      <c r="C717" s="57" t="s">
        <v>210</v>
      </c>
      <c r="D717" s="58">
        <v>14.34</v>
      </c>
      <c r="E717" s="58">
        <v>1941.0</v>
      </c>
      <c r="F717" s="58">
        <v>4245136.0</v>
      </c>
      <c r="G717" s="57" t="s">
        <v>1772</v>
      </c>
      <c r="H717" s="57" t="s">
        <v>1773</v>
      </c>
      <c r="I717" s="57"/>
      <c r="J717" s="57"/>
      <c r="K717" s="57"/>
      <c r="L717" s="57"/>
      <c r="M717" s="57"/>
      <c r="N717" s="57"/>
      <c r="O717" s="57"/>
      <c r="P717" s="57"/>
      <c r="Q717" s="57"/>
      <c r="R717" s="57"/>
      <c r="S717" s="57"/>
      <c r="T717" s="57"/>
      <c r="U717" s="57"/>
      <c r="V717" s="57"/>
      <c r="W717" s="57"/>
      <c r="X717" s="57"/>
      <c r="Y717" s="57"/>
      <c r="Z717" s="57"/>
    </row>
    <row r="718">
      <c r="A718" s="58">
        <v>9131663.0</v>
      </c>
      <c r="B718" s="57" t="s">
        <v>1774</v>
      </c>
      <c r="C718" s="57" t="s">
        <v>210</v>
      </c>
      <c r="D718" s="58">
        <v>11.89</v>
      </c>
      <c r="E718" s="58">
        <v>1929.11</v>
      </c>
      <c r="F718" s="58">
        <v>4242970.0</v>
      </c>
      <c r="G718" s="57" t="s">
        <v>1775</v>
      </c>
      <c r="H718" s="57" t="s">
        <v>1776</v>
      </c>
      <c r="I718" s="57"/>
      <c r="J718" s="57"/>
      <c r="K718" s="57"/>
      <c r="L718" s="57"/>
      <c r="M718" s="57"/>
      <c r="N718" s="57"/>
      <c r="O718" s="57"/>
      <c r="P718" s="57"/>
      <c r="Q718" s="57"/>
      <c r="R718" s="57"/>
      <c r="S718" s="57"/>
      <c r="T718" s="57"/>
      <c r="U718" s="57"/>
      <c r="V718" s="57"/>
      <c r="W718" s="57"/>
      <c r="X718" s="57"/>
      <c r="Y718" s="57"/>
      <c r="Z718" s="57"/>
    </row>
    <row r="719">
      <c r="A719" s="58">
        <v>9130520.0</v>
      </c>
      <c r="B719" s="57" t="s">
        <v>1774</v>
      </c>
      <c r="C719" s="57" t="s">
        <v>210</v>
      </c>
      <c r="D719" s="58">
        <v>15.95</v>
      </c>
      <c r="E719" s="58">
        <v>1913.16</v>
      </c>
      <c r="F719" s="58">
        <v>4240895.0</v>
      </c>
      <c r="G719" s="57" t="s">
        <v>1777</v>
      </c>
      <c r="H719" s="57" t="s">
        <v>1778</v>
      </c>
      <c r="I719" s="57"/>
      <c r="J719" s="57"/>
      <c r="K719" s="57"/>
      <c r="L719" s="57"/>
      <c r="M719" s="57"/>
      <c r="N719" s="57"/>
      <c r="O719" s="57"/>
      <c r="P719" s="57"/>
      <c r="Q719" s="57"/>
      <c r="R719" s="57"/>
      <c r="S719" s="57"/>
      <c r="T719" s="57"/>
      <c r="U719" s="57"/>
      <c r="V719" s="57"/>
      <c r="W719" s="57"/>
      <c r="X719" s="57"/>
      <c r="Y719" s="57"/>
      <c r="Z719" s="57"/>
    </row>
    <row r="720">
      <c r="A720" s="58">
        <v>9129194.0</v>
      </c>
      <c r="B720" s="57" t="s">
        <v>1774</v>
      </c>
      <c r="C720" s="57" t="s">
        <v>210</v>
      </c>
      <c r="D720" s="58">
        <v>13.5</v>
      </c>
      <c r="E720" s="58">
        <v>1899.66</v>
      </c>
      <c r="F720" s="58">
        <v>4238545.0</v>
      </c>
      <c r="G720" s="57" t="s">
        <v>1779</v>
      </c>
      <c r="H720" s="57" t="s">
        <v>1780</v>
      </c>
      <c r="I720" s="57"/>
      <c r="J720" s="57"/>
      <c r="K720" s="57"/>
      <c r="L720" s="57"/>
      <c r="M720" s="57"/>
      <c r="N720" s="57"/>
      <c r="O720" s="57"/>
      <c r="P720" s="57"/>
      <c r="Q720" s="57"/>
      <c r="R720" s="57"/>
      <c r="S720" s="57"/>
      <c r="T720" s="57"/>
      <c r="U720" s="57"/>
      <c r="V720" s="57"/>
      <c r="W720" s="57"/>
      <c r="X720" s="57"/>
      <c r="Y720" s="57"/>
      <c r="Z720" s="57"/>
    </row>
    <row r="721">
      <c r="A721" s="58">
        <v>9128282.0</v>
      </c>
      <c r="B721" s="57" t="s">
        <v>1781</v>
      </c>
      <c r="C721" s="57" t="s">
        <v>210</v>
      </c>
      <c r="D721" s="58">
        <v>17.83</v>
      </c>
      <c r="E721" s="58">
        <v>1881.83</v>
      </c>
      <c r="F721" s="58">
        <v>4236370.0</v>
      </c>
      <c r="G721" s="57" t="s">
        <v>1782</v>
      </c>
      <c r="H721" s="57" t="s">
        <v>1783</v>
      </c>
      <c r="I721" s="57"/>
      <c r="J721" s="57"/>
      <c r="K721" s="57"/>
      <c r="L721" s="57"/>
      <c r="M721" s="57"/>
      <c r="N721" s="57"/>
      <c r="O721" s="57"/>
      <c r="P721" s="57"/>
      <c r="Q721" s="57"/>
      <c r="R721" s="57"/>
      <c r="S721" s="57"/>
      <c r="T721" s="57"/>
      <c r="U721" s="57"/>
      <c r="V721" s="57"/>
      <c r="W721" s="57"/>
      <c r="X721" s="57"/>
      <c r="Y721" s="57"/>
      <c r="Z721" s="57"/>
    </row>
    <row r="722">
      <c r="A722" s="58">
        <v>9128279.0</v>
      </c>
      <c r="B722" s="57" t="s">
        <v>1781</v>
      </c>
      <c r="C722" s="57" t="s">
        <v>210</v>
      </c>
      <c r="D722" s="58">
        <v>17.83</v>
      </c>
      <c r="E722" s="58">
        <v>1864.0</v>
      </c>
      <c r="F722" s="58">
        <v>4236364.0</v>
      </c>
      <c r="G722" s="57" t="s">
        <v>1784</v>
      </c>
      <c r="H722" s="57" t="s">
        <v>1785</v>
      </c>
      <c r="I722" s="57"/>
      <c r="J722" s="57"/>
      <c r="K722" s="57"/>
      <c r="L722" s="57"/>
      <c r="M722" s="57"/>
      <c r="N722" s="57"/>
      <c r="O722" s="57"/>
      <c r="P722" s="57"/>
      <c r="Q722" s="57"/>
      <c r="R722" s="57"/>
      <c r="S722" s="57"/>
      <c r="T722" s="57"/>
      <c r="U722" s="57"/>
      <c r="V722" s="57"/>
      <c r="W722" s="57"/>
      <c r="X722" s="57"/>
      <c r="Y722" s="57"/>
      <c r="Z722" s="57"/>
    </row>
    <row r="723">
      <c r="A723" s="58">
        <v>9128253.0</v>
      </c>
      <c r="B723" s="57" t="s">
        <v>1781</v>
      </c>
      <c r="C723" s="57" t="s">
        <v>210</v>
      </c>
      <c r="D723" s="58">
        <v>14.34</v>
      </c>
      <c r="E723" s="58">
        <v>1849.66</v>
      </c>
      <c r="F723" s="58">
        <v>4236286.0</v>
      </c>
      <c r="G723" s="57" t="s">
        <v>1786</v>
      </c>
      <c r="H723" s="57" t="s">
        <v>1787</v>
      </c>
      <c r="I723" s="57"/>
      <c r="J723" s="57"/>
      <c r="K723" s="57"/>
      <c r="L723" s="57"/>
      <c r="M723" s="57"/>
      <c r="N723" s="57"/>
      <c r="O723" s="57"/>
      <c r="P723" s="57"/>
      <c r="Q723" s="57"/>
      <c r="R723" s="57"/>
      <c r="S723" s="57"/>
      <c r="T723" s="57"/>
      <c r="U723" s="57"/>
      <c r="V723" s="57"/>
      <c r="W723" s="57"/>
      <c r="X723" s="57"/>
      <c r="Y723" s="57"/>
      <c r="Z723" s="57"/>
    </row>
    <row r="724">
      <c r="A724" s="58">
        <v>9128191.0</v>
      </c>
      <c r="B724" s="57" t="s">
        <v>1781</v>
      </c>
      <c r="C724" s="57" t="s">
        <v>210</v>
      </c>
      <c r="D724" s="58">
        <v>13.5</v>
      </c>
      <c r="E724" s="58">
        <v>1836.16</v>
      </c>
      <c r="F724" s="58">
        <v>4236123.0</v>
      </c>
      <c r="G724" s="57" t="s">
        <v>1788</v>
      </c>
      <c r="H724" s="57" t="s">
        <v>1789</v>
      </c>
      <c r="I724" s="57"/>
      <c r="J724" s="57"/>
      <c r="K724" s="57"/>
      <c r="L724" s="57"/>
      <c r="M724" s="57"/>
      <c r="N724" s="57"/>
      <c r="O724" s="57"/>
      <c r="P724" s="57"/>
      <c r="Q724" s="57"/>
      <c r="R724" s="57"/>
      <c r="S724" s="57"/>
      <c r="T724" s="57"/>
      <c r="U724" s="57"/>
      <c r="V724" s="57"/>
      <c r="W724" s="57"/>
      <c r="X724" s="57"/>
      <c r="Y724" s="57"/>
      <c r="Z724" s="57"/>
    </row>
    <row r="725">
      <c r="A725" s="58">
        <v>9128184.0</v>
      </c>
      <c r="B725" s="57" t="s">
        <v>1781</v>
      </c>
      <c r="C725" s="57" t="s">
        <v>210</v>
      </c>
      <c r="D725" s="58">
        <v>16.79</v>
      </c>
      <c r="E725" s="58">
        <v>1819.37</v>
      </c>
      <c r="F725" s="58">
        <v>4236117.0</v>
      </c>
      <c r="G725" s="57" t="s">
        <v>1790</v>
      </c>
      <c r="H725" s="57" t="s">
        <v>1791</v>
      </c>
      <c r="I725" s="57"/>
      <c r="J725" s="57"/>
      <c r="K725" s="57"/>
      <c r="L725" s="57"/>
      <c r="M725" s="57"/>
      <c r="N725" s="57"/>
      <c r="O725" s="57"/>
      <c r="P725" s="57"/>
      <c r="Q725" s="57"/>
      <c r="R725" s="57"/>
      <c r="S725" s="57"/>
      <c r="T725" s="57"/>
      <c r="U725" s="57"/>
      <c r="V725" s="57"/>
      <c r="W725" s="57"/>
      <c r="X725" s="57"/>
      <c r="Y725" s="57"/>
      <c r="Z725" s="57"/>
    </row>
    <row r="726">
      <c r="A726" s="58">
        <v>9117131.0</v>
      </c>
      <c r="B726" s="57" t="s">
        <v>1792</v>
      </c>
      <c r="C726" s="57" t="s">
        <v>210</v>
      </c>
      <c r="D726" s="58">
        <v>13.5</v>
      </c>
      <c r="E726" s="58">
        <v>1805.87</v>
      </c>
      <c r="F726" s="58">
        <v>4184141.0</v>
      </c>
      <c r="G726" s="57" t="s">
        <v>1793</v>
      </c>
      <c r="H726" s="57" t="s">
        <v>1794</v>
      </c>
      <c r="I726" s="57"/>
      <c r="J726" s="57"/>
      <c r="K726" s="57"/>
      <c r="L726" s="57"/>
      <c r="M726" s="57"/>
      <c r="N726" s="57"/>
      <c r="O726" s="57"/>
      <c r="P726" s="57"/>
      <c r="Q726" s="57"/>
      <c r="R726" s="57"/>
      <c r="S726" s="57"/>
      <c r="T726" s="57"/>
      <c r="U726" s="57"/>
      <c r="V726" s="57"/>
      <c r="W726" s="57"/>
      <c r="X726" s="57"/>
      <c r="Y726" s="57"/>
      <c r="Z726" s="57"/>
    </row>
    <row r="727">
      <c r="A727" s="58">
        <v>9116416.0</v>
      </c>
      <c r="B727" s="57" t="s">
        <v>1795</v>
      </c>
      <c r="C727" s="57" t="s">
        <v>210</v>
      </c>
      <c r="D727" s="58">
        <v>14.34</v>
      </c>
      <c r="E727" s="58">
        <v>1791.53</v>
      </c>
      <c r="F727" s="58">
        <v>4177369.0</v>
      </c>
      <c r="G727" s="57" t="s">
        <v>1796</v>
      </c>
      <c r="H727" s="57" t="s">
        <v>1797</v>
      </c>
      <c r="I727" s="57"/>
      <c r="J727" s="57"/>
      <c r="K727" s="57"/>
      <c r="L727" s="57"/>
      <c r="M727" s="57"/>
      <c r="N727" s="57"/>
      <c r="O727" s="57"/>
      <c r="P727" s="57"/>
      <c r="Q727" s="57"/>
      <c r="R727" s="57"/>
      <c r="S727" s="57"/>
      <c r="T727" s="57"/>
      <c r="U727" s="57"/>
      <c r="V727" s="57"/>
      <c r="W727" s="57"/>
      <c r="X727" s="57"/>
      <c r="Y727" s="57"/>
      <c r="Z727" s="57"/>
    </row>
    <row r="728">
      <c r="A728" s="58">
        <v>9116213.0</v>
      </c>
      <c r="B728" s="57" t="s">
        <v>1795</v>
      </c>
      <c r="C728" s="57" t="s">
        <v>210</v>
      </c>
      <c r="D728" s="58">
        <v>11.43</v>
      </c>
      <c r="E728" s="58">
        <v>1780.1</v>
      </c>
      <c r="F728" s="58">
        <v>4174706.0</v>
      </c>
      <c r="G728" s="58">
        <v>1.86988654E8</v>
      </c>
      <c r="H728" s="57" t="s">
        <v>1798</v>
      </c>
      <c r="I728" s="57"/>
      <c r="J728" s="57"/>
      <c r="K728" s="57"/>
      <c r="L728" s="57"/>
      <c r="M728" s="57"/>
      <c r="N728" s="57"/>
      <c r="O728" s="57"/>
      <c r="P728" s="57"/>
      <c r="Q728" s="57"/>
      <c r="R728" s="57"/>
      <c r="S728" s="57"/>
      <c r="T728" s="57"/>
      <c r="U728" s="57"/>
      <c r="V728" s="57"/>
      <c r="W728" s="57"/>
      <c r="X728" s="57"/>
      <c r="Y728" s="57"/>
      <c r="Z728" s="57"/>
    </row>
    <row r="729">
      <c r="A729" s="58">
        <v>9115539.0</v>
      </c>
      <c r="B729" s="57" t="s">
        <v>1795</v>
      </c>
      <c r="C729" s="57" t="s">
        <v>210</v>
      </c>
      <c r="D729" s="58">
        <v>15.94</v>
      </c>
      <c r="E729" s="58">
        <v>1764.16</v>
      </c>
      <c r="F729" s="58">
        <v>4167077.0</v>
      </c>
      <c r="G729" s="57" t="s">
        <v>1799</v>
      </c>
      <c r="H729" s="57" t="s">
        <v>1800</v>
      </c>
      <c r="I729" s="57"/>
      <c r="J729" s="57"/>
      <c r="K729" s="57"/>
      <c r="L729" s="57"/>
      <c r="M729" s="57"/>
      <c r="N729" s="57"/>
      <c r="O729" s="57"/>
      <c r="P729" s="57"/>
      <c r="Q729" s="57"/>
      <c r="R729" s="57"/>
      <c r="S729" s="57"/>
      <c r="T729" s="57"/>
      <c r="U729" s="57"/>
      <c r="V729" s="57"/>
      <c r="W729" s="57"/>
      <c r="X729" s="57"/>
      <c r="Y729" s="57"/>
      <c r="Z729" s="57"/>
    </row>
    <row r="730">
      <c r="A730" s="58">
        <v>9115373.0</v>
      </c>
      <c r="B730" s="57" t="s">
        <v>1795</v>
      </c>
      <c r="C730" s="57" t="s">
        <v>210</v>
      </c>
      <c r="D730" s="58">
        <v>11.89</v>
      </c>
      <c r="E730" s="58">
        <v>1752.27</v>
      </c>
      <c r="F730" s="58">
        <v>4163833.0</v>
      </c>
      <c r="G730" s="57" t="s">
        <v>1801</v>
      </c>
      <c r="H730" s="57" t="s">
        <v>1802</v>
      </c>
      <c r="I730" s="57"/>
      <c r="J730" s="57"/>
      <c r="K730" s="57"/>
      <c r="L730" s="57"/>
      <c r="M730" s="57"/>
      <c r="N730" s="57"/>
      <c r="O730" s="57"/>
      <c r="P730" s="57"/>
      <c r="Q730" s="57"/>
      <c r="R730" s="57"/>
      <c r="S730" s="57"/>
      <c r="T730" s="57"/>
      <c r="U730" s="57"/>
      <c r="V730" s="57"/>
      <c r="W730" s="57"/>
      <c r="X730" s="57"/>
      <c r="Y730" s="57"/>
      <c r="Z730" s="57"/>
    </row>
    <row r="731">
      <c r="A731" s="58">
        <v>9115003.0</v>
      </c>
      <c r="B731" s="57" t="s">
        <v>1795</v>
      </c>
      <c r="C731" s="57" t="s">
        <v>210</v>
      </c>
      <c r="D731" s="58">
        <v>9.1</v>
      </c>
      <c r="E731" s="58">
        <v>1743.17</v>
      </c>
      <c r="F731" s="58">
        <v>4157740.0</v>
      </c>
      <c r="G731" s="58">
        <v>1.8698872E8</v>
      </c>
      <c r="H731" s="57" t="s">
        <v>1803</v>
      </c>
      <c r="I731" s="57"/>
      <c r="J731" s="57"/>
      <c r="K731" s="57"/>
      <c r="L731" s="57"/>
      <c r="M731" s="57"/>
      <c r="N731" s="57"/>
      <c r="O731" s="57"/>
      <c r="P731" s="57"/>
      <c r="Q731" s="57"/>
      <c r="R731" s="57"/>
      <c r="S731" s="57"/>
      <c r="T731" s="57"/>
      <c r="U731" s="57"/>
      <c r="V731" s="57"/>
      <c r="W731" s="57"/>
      <c r="X731" s="57"/>
      <c r="Y731" s="57"/>
      <c r="Z731" s="57"/>
    </row>
    <row r="732">
      <c r="A732" s="58">
        <v>9114967.0</v>
      </c>
      <c r="B732" s="57" t="s">
        <v>1795</v>
      </c>
      <c r="C732" s="57" t="s">
        <v>210</v>
      </c>
      <c r="D732" s="58">
        <v>9.1</v>
      </c>
      <c r="E732" s="58">
        <v>1734.07</v>
      </c>
      <c r="F732" s="58">
        <v>4156621.0</v>
      </c>
      <c r="G732" s="58">
        <v>1.86988722E8</v>
      </c>
      <c r="H732" s="57" t="s">
        <v>1804</v>
      </c>
      <c r="I732" s="57"/>
      <c r="J732" s="57"/>
      <c r="K732" s="57"/>
      <c r="L732" s="57"/>
      <c r="M732" s="57"/>
      <c r="N732" s="57"/>
      <c r="O732" s="57"/>
      <c r="P732" s="57"/>
      <c r="Q732" s="57"/>
      <c r="R732" s="57"/>
      <c r="S732" s="57"/>
      <c r="T732" s="57"/>
      <c r="U732" s="57"/>
      <c r="V732" s="57"/>
      <c r="W732" s="57"/>
      <c r="X732" s="57"/>
      <c r="Y732" s="57"/>
      <c r="Z732" s="57"/>
    </row>
    <row r="733">
      <c r="A733" s="58">
        <v>9114883.0</v>
      </c>
      <c r="B733" s="57" t="s">
        <v>1795</v>
      </c>
      <c r="C733" s="57" t="s">
        <v>210</v>
      </c>
      <c r="D733" s="58">
        <v>18.4</v>
      </c>
      <c r="E733" s="58">
        <v>1715.67</v>
      </c>
      <c r="F733" s="58">
        <v>4154453.0</v>
      </c>
      <c r="G733" s="57" t="s">
        <v>1805</v>
      </c>
      <c r="H733" s="57" t="s">
        <v>1806</v>
      </c>
      <c r="I733" s="57"/>
      <c r="J733" s="57"/>
      <c r="K733" s="57"/>
      <c r="L733" s="57"/>
      <c r="M733" s="57"/>
      <c r="N733" s="57"/>
      <c r="O733" s="57"/>
      <c r="P733" s="57"/>
      <c r="Q733" s="57"/>
      <c r="R733" s="57"/>
      <c r="S733" s="57"/>
      <c r="T733" s="57"/>
      <c r="U733" s="57"/>
      <c r="V733" s="57"/>
      <c r="W733" s="57"/>
      <c r="X733" s="57"/>
      <c r="Y733" s="57"/>
      <c r="Z733" s="57"/>
    </row>
    <row r="734">
      <c r="A734" s="58">
        <v>9114800.0</v>
      </c>
      <c r="B734" s="57" t="s">
        <v>1795</v>
      </c>
      <c r="C734" s="57" t="s">
        <v>210</v>
      </c>
      <c r="D734" s="58">
        <v>10.96</v>
      </c>
      <c r="E734" s="58">
        <v>1704.71</v>
      </c>
      <c r="F734" s="58">
        <v>4152246.0</v>
      </c>
      <c r="G734" s="57" t="s">
        <v>1807</v>
      </c>
      <c r="H734" s="57" t="s">
        <v>1808</v>
      </c>
      <c r="I734" s="57"/>
      <c r="J734" s="57"/>
      <c r="K734" s="57"/>
      <c r="L734" s="57"/>
      <c r="M734" s="57"/>
      <c r="N734" s="57"/>
      <c r="O734" s="57"/>
      <c r="P734" s="57"/>
      <c r="Q734" s="57"/>
      <c r="R734" s="57"/>
      <c r="S734" s="57"/>
      <c r="T734" s="57"/>
      <c r="U734" s="57"/>
      <c r="V734" s="57"/>
      <c r="W734" s="57"/>
      <c r="X734" s="57"/>
      <c r="Y734" s="57"/>
      <c r="Z734" s="57"/>
    </row>
    <row r="735">
      <c r="A735" s="58">
        <v>9114359.0</v>
      </c>
      <c r="B735" s="57" t="s">
        <v>1795</v>
      </c>
      <c r="C735" s="57" t="s">
        <v>210</v>
      </c>
      <c r="D735" s="58">
        <v>15.95</v>
      </c>
      <c r="E735" s="58">
        <v>1688.76</v>
      </c>
      <c r="F735" s="58">
        <v>4137946.0</v>
      </c>
      <c r="G735" s="57" t="s">
        <v>1809</v>
      </c>
      <c r="H735" s="57" t="s">
        <v>1810</v>
      </c>
      <c r="I735" s="57"/>
      <c r="J735" s="57"/>
      <c r="K735" s="57"/>
      <c r="L735" s="57"/>
      <c r="M735" s="57"/>
      <c r="N735" s="57"/>
      <c r="O735" s="57"/>
      <c r="P735" s="57"/>
      <c r="Q735" s="57"/>
      <c r="R735" s="57"/>
      <c r="S735" s="57"/>
      <c r="T735" s="57"/>
      <c r="U735" s="57"/>
      <c r="V735" s="57"/>
      <c r="W735" s="57"/>
      <c r="X735" s="57"/>
      <c r="Y735" s="57"/>
      <c r="Z735" s="57"/>
    </row>
    <row r="736">
      <c r="A736" s="58">
        <v>9114232.0</v>
      </c>
      <c r="B736" s="57" t="s">
        <v>1795</v>
      </c>
      <c r="C736" s="57" t="s">
        <v>210</v>
      </c>
      <c r="D736" s="58">
        <v>10.96</v>
      </c>
      <c r="E736" s="58">
        <v>1677.8</v>
      </c>
      <c r="F736" s="58">
        <v>4130907.0</v>
      </c>
      <c r="G736" s="57" t="s">
        <v>1811</v>
      </c>
      <c r="H736" s="57" t="s">
        <v>1812</v>
      </c>
      <c r="I736" s="57"/>
      <c r="J736" s="57"/>
      <c r="K736" s="57"/>
      <c r="L736" s="57"/>
      <c r="M736" s="57"/>
      <c r="N736" s="57"/>
      <c r="O736" s="57"/>
      <c r="P736" s="57"/>
      <c r="Q736" s="57"/>
      <c r="R736" s="57"/>
      <c r="S736" s="57"/>
      <c r="T736" s="57"/>
      <c r="U736" s="57"/>
      <c r="V736" s="57"/>
      <c r="W736" s="57"/>
      <c r="X736" s="57"/>
      <c r="Y736" s="57"/>
      <c r="Z736" s="57"/>
    </row>
    <row r="737">
      <c r="A737" s="58">
        <v>9114159.0</v>
      </c>
      <c r="B737" s="57" t="s">
        <v>1795</v>
      </c>
      <c r="C737" s="57" t="s">
        <v>210</v>
      </c>
      <c r="D737" s="58">
        <v>13.17</v>
      </c>
      <c r="E737" s="58">
        <v>1664.63</v>
      </c>
      <c r="F737" s="58">
        <v>4122001.0</v>
      </c>
      <c r="G737" s="57" t="s">
        <v>1813</v>
      </c>
      <c r="H737" s="57" t="s">
        <v>1814</v>
      </c>
      <c r="I737" s="57"/>
      <c r="J737" s="57"/>
      <c r="K737" s="57"/>
      <c r="L737" s="57"/>
      <c r="M737" s="57"/>
      <c r="N737" s="57"/>
      <c r="O737" s="57"/>
      <c r="P737" s="57"/>
      <c r="Q737" s="57"/>
      <c r="R737" s="57"/>
      <c r="S737" s="57"/>
      <c r="T737" s="57"/>
      <c r="U737" s="57"/>
      <c r="V737" s="57"/>
      <c r="W737" s="57"/>
      <c r="X737" s="57"/>
      <c r="Y737" s="57"/>
      <c r="Z737" s="57"/>
    </row>
    <row r="738">
      <c r="A738" s="58">
        <v>9113942.0</v>
      </c>
      <c r="B738" s="57" t="s">
        <v>1795</v>
      </c>
      <c r="C738" s="57" t="s">
        <v>210</v>
      </c>
      <c r="D738" s="58">
        <v>13.46</v>
      </c>
      <c r="E738" s="58">
        <v>1651.17</v>
      </c>
      <c r="F738" s="58">
        <v>4091256.0</v>
      </c>
      <c r="G738" s="57" t="s">
        <v>1815</v>
      </c>
      <c r="H738" s="57" t="s">
        <v>1816</v>
      </c>
      <c r="I738" s="57"/>
      <c r="J738" s="57"/>
      <c r="K738" s="57"/>
      <c r="L738" s="57"/>
      <c r="M738" s="57"/>
      <c r="N738" s="57"/>
      <c r="O738" s="57"/>
      <c r="P738" s="57"/>
      <c r="Q738" s="57"/>
      <c r="R738" s="57"/>
      <c r="S738" s="57"/>
      <c r="T738" s="57"/>
      <c r="U738" s="57"/>
      <c r="V738" s="57"/>
      <c r="W738" s="57"/>
      <c r="X738" s="57"/>
      <c r="Y738" s="57"/>
      <c r="Z738" s="57"/>
    </row>
    <row r="739">
      <c r="A739" s="58">
        <v>9112104.0</v>
      </c>
      <c r="B739" s="57" t="s">
        <v>1817</v>
      </c>
      <c r="C739" s="57" t="s">
        <v>247</v>
      </c>
      <c r="D739" s="58">
        <v>1200.0</v>
      </c>
      <c r="E739" s="58">
        <v>2851.17</v>
      </c>
      <c r="F739" s="57"/>
      <c r="G739" s="57"/>
      <c r="H739" s="57" t="s">
        <v>361</v>
      </c>
      <c r="I739" s="57"/>
      <c r="J739" s="57" t="s">
        <v>1818</v>
      </c>
      <c r="K739" s="57"/>
      <c r="L739" s="57"/>
      <c r="M739" s="57"/>
      <c r="N739" s="57"/>
      <c r="O739" s="57"/>
      <c r="P739" s="57"/>
      <c r="Q739" s="57"/>
      <c r="R739" s="57"/>
      <c r="S739" s="57"/>
      <c r="T739" s="57"/>
      <c r="U739" s="57"/>
      <c r="V739" s="57"/>
      <c r="W739" s="57"/>
      <c r="X739" s="57"/>
      <c r="Y739" s="57"/>
      <c r="Z739" s="57"/>
    </row>
    <row r="740">
      <c r="A740" s="58">
        <v>9110802.0</v>
      </c>
      <c r="B740" s="57" t="s">
        <v>1819</v>
      </c>
      <c r="C740" s="57" t="s">
        <v>247</v>
      </c>
      <c r="D740" s="58">
        <v>5.12</v>
      </c>
      <c r="E740" s="58">
        <v>2856.29</v>
      </c>
      <c r="F740" s="58">
        <v>4123647.0</v>
      </c>
      <c r="G740" s="57" t="s">
        <v>1746</v>
      </c>
      <c r="H740" s="57" t="s">
        <v>1820</v>
      </c>
      <c r="I740" s="57"/>
      <c r="J740" s="57"/>
      <c r="K740" s="57"/>
      <c r="L740" s="57"/>
      <c r="M740" s="57"/>
      <c r="N740" s="57"/>
      <c r="O740" s="57"/>
      <c r="P740" s="57"/>
      <c r="Q740" s="57"/>
      <c r="R740" s="57"/>
      <c r="S740" s="57"/>
      <c r="T740" s="57"/>
      <c r="U740" s="57"/>
      <c r="V740" s="57"/>
      <c r="W740" s="57"/>
      <c r="X740" s="57"/>
      <c r="Y740" s="57"/>
      <c r="Z740" s="57"/>
    </row>
    <row r="741">
      <c r="A741" s="58">
        <v>9110800.0</v>
      </c>
      <c r="B741" s="57" t="s">
        <v>1819</v>
      </c>
      <c r="C741" s="57" t="s">
        <v>247</v>
      </c>
      <c r="D741" s="58">
        <v>5.09</v>
      </c>
      <c r="E741" s="58">
        <v>2861.38</v>
      </c>
      <c r="F741" s="58">
        <v>4125351.0</v>
      </c>
      <c r="G741" s="57" t="s">
        <v>1821</v>
      </c>
      <c r="H741" s="57" t="s">
        <v>1822</v>
      </c>
      <c r="I741" s="57"/>
      <c r="J741" s="57"/>
      <c r="K741" s="57"/>
      <c r="L741" s="57"/>
      <c r="M741" s="57"/>
      <c r="N741" s="57"/>
      <c r="O741" s="57"/>
      <c r="P741" s="57"/>
      <c r="Q741" s="57"/>
      <c r="R741" s="57"/>
      <c r="S741" s="57"/>
      <c r="T741" s="57"/>
      <c r="U741" s="57"/>
      <c r="V741" s="57"/>
      <c r="W741" s="57"/>
      <c r="X741" s="57"/>
      <c r="Y741" s="57"/>
      <c r="Z741" s="57"/>
    </row>
    <row r="742">
      <c r="A742" s="58">
        <v>9110798.0</v>
      </c>
      <c r="B742" s="57" t="s">
        <v>1819</v>
      </c>
      <c r="C742" s="57" t="s">
        <v>247</v>
      </c>
      <c r="D742" s="58">
        <v>5.12</v>
      </c>
      <c r="E742" s="58">
        <v>2866.5</v>
      </c>
      <c r="F742" s="58">
        <v>4127847.0</v>
      </c>
      <c r="G742" s="57" t="s">
        <v>1823</v>
      </c>
      <c r="H742" s="57" t="s">
        <v>1824</v>
      </c>
      <c r="I742" s="57"/>
      <c r="J742" s="57"/>
      <c r="K742" s="57"/>
      <c r="L742" s="57"/>
      <c r="M742" s="57"/>
      <c r="N742" s="57"/>
      <c r="O742" s="57"/>
      <c r="P742" s="57"/>
      <c r="Q742" s="57"/>
      <c r="R742" s="57"/>
      <c r="S742" s="57"/>
      <c r="T742" s="57"/>
      <c r="U742" s="57"/>
      <c r="V742" s="57"/>
      <c r="W742" s="57"/>
      <c r="X742" s="57"/>
      <c r="Y742" s="57"/>
      <c r="Z742" s="57"/>
    </row>
    <row r="743">
      <c r="A743" s="58">
        <v>9110703.0</v>
      </c>
      <c r="B743" s="57" t="s">
        <v>1819</v>
      </c>
      <c r="C743" s="57" t="s">
        <v>247</v>
      </c>
      <c r="D743" s="58">
        <v>5.09</v>
      </c>
      <c r="E743" s="58">
        <v>2871.59</v>
      </c>
      <c r="F743" s="58">
        <v>4090197.0</v>
      </c>
      <c r="G743" s="57" t="s">
        <v>1825</v>
      </c>
      <c r="H743" s="57" t="s">
        <v>1826</v>
      </c>
      <c r="I743" s="57"/>
      <c r="J743" s="57"/>
      <c r="K743" s="57"/>
      <c r="L743" s="57"/>
      <c r="M743" s="57"/>
      <c r="N743" s="57"/>
      <c r="O743" s="57"/>
      <c r="P743" s="57"/>
      <c r="Q743" s="57"/>
      <c r="R743" s="57"/>
      <c r="S743" s="57"/>
      <c r="T743" s="57"/>
      <c r="U743" s="57"/>
      <c r="V743" s="57"/>
      <c r="W743" s="57"/>
      <c r="X743" s="57"/>
      <c r="Y743" s="57"/>
      <c r="Z743" s="57"/>
    </row>
    <row r="744">
      <c r="A744" s="58">
        <v>9110702.0</v>
      </c>
      <c r="B744" s="57" t="s">
        <v>1819</v>
      </c>
      <c r="C744" s="57" t="s">
        <v>247</v>
      </c>
      <c r="D744" s="58">
        <v>5.13</v>
      </c>
      <c r="E744" s="58">
        <v>2876.72</v>
      </c>
      <c r="F744" s="58">
        <v>4092068.0</v>
      </c>
      <c r="G744" s="57" t="s">
        <v>1827</v>
      </c>
      <c r="H744" s="57" t="s">
        <v>1828</v>
      </c>
      <c r="I744" s="57"/>
      <c r="J744" s="57"/>
      <c r="K744" s="57"/>
      <c r="L744" s="57"/>
      <c r="M744" s="57"/>
      <c r="N744" s="57"/>
      <c r="O744" s="57"/>
      <c r="P744" s="57"/>
      <c r="Q744" s="57"/>
      <c r="R744" s="57"/>
      <c r="S744" s="57"/>
      <c r="T744" s="57"/>
      <c r="U744" s="57"/>
      <c r="V744" s="57"/>
      <c r="W744" s="57"/>
      <c r="X744" s="57"/>
      <c r="Y744" s="57"/>
      <c r="Z744" s="57"/>
    </row>
    <row r="745">
      <c r="A745" s="58">
        <v>9110701.0</v>
      </c>
      <c r="B745" s="57" t="s">
        <v>1819</v>
      </c>
      <c r="C745" s="57" t="s">
        <v>247</v>
      </c>
      <c r="D745" s="58">
        <v>5.07</v>
      </c>
      <c r="E745" s="58">
        <v>2881.79</v>
      </c>
      <c r="F745" s="58">
        <v>4093261.0</v>
      </c>
      <c r="G745" s="57" t="s">
        <v>1829</v>
      </c>
      <c r="H745" s="57" t="s">
        <v>1830</v>
      </c>
      <c r="I745" s="57"/>
      <c r="J745" s="57"/>
      <c r="K745" s="57"/>
      <c r="L745" s="57"/>
      <c r="M745" s="57"/>
      <c r="N745" s="57"/>
      <c r="O745" s="57"/>
      <c r="P745" s="57"/>
      <c r="Q745" s="57"/>
      <c r="R745" s="57"/>
      <c r="S745" s="57"/>
      <c r="T745" s="57"/>
      <c r="U745" s="57"/>
      <c r="V745" s="57"/>
      <c r="W745" s="57"/>
      <c r="X745" s="57"/>
      <c r="Y745" s="57"/>
      <c r="Z745" s="57"/>
    </row>
    <row r="746">
      <c r="A746" s="58">
        <v>9110700.0</v>
      </c>
      <c r="B746" s="57" t="s">
        <v>1819</v>
      </c>
      <c r="C746" s="57" t="s">
        <v>247</v>
      </c>
      <c r="D746" s="58">
        <v>5.07</v>
      </c>
      <c r="E746" s="58">
        <v>2886.86</v>
      </c>
      <c r="F746" s="58">
        <v>4094433.0</v>
      </c>
      <c r="G746" s="57" t="s">
        <v>1831</v>
      </c>
      <c r="H746" s="57" t="s">
        <v>1832</v>
      </c>
      <c r="I746" s="57"/>
      <c r="J746" s="57"/>
      <c r="K746" s="57"/>
      <c r="L746" s="57"/>
      <c r="M746" s="57"/>
      <c r="N746" s="57"/>
      <c r="O746" s="57"/>
      <c r="P746" s="57"/>
      <c r="Q746" s="57"/>
      <c r="R746" s="57"/>
      <c r="S746" s="57"/>
      <c r="T746" s="57"/>
      <c r="U746" s="57"/>
      <c r="V746" s="57"/>
      <c r="W746" s="57"/>
      <c r="X746" s="57"/>
      <c r="Y746" s="57"/>
      <c r="Z746" s="57"/>
    </row>
    <row r="747">
      <c r="A747" s="58">
        <v>9110699.0</v>
      </c>
      <c r="B747" s="57" t="s">
        <v>1819</v>
      </c>
      <c r="C747" s="57" t="s">
        <v>247</v>
      </c>
      <c r="D747" s="58">
        <v>5.13</v>
      </c>
      <c r="E747" s="58">
        <v>2891.99</v>
      </c>
      <c r="F747" s="58">
        <v>4095722.0</v>
      </c>
      <c r="G747" s="57" t="s">
        <v>1833</v>
      </c>
      <c r="H747" s="57" t="s">
        <v>1834</v>
      </c>
      <c r="I747" s="57"/>
      <c r="J747" s="57"/>
      <c r="K747" s="57"/>
      <c r="L747" s="57"/>
      <c r="M747" s="57"/>
      <c r="N747" s="57"/>
      <c r="O747" s="57"/>
      <c r="P747" s="57"/>
      <c r="Q747" s="57"/>
      <c r="R747" s="57"/>
      <c r="S747" s="57"/>
      <c r="T747" s="57"/>
      <c r="U747" s="57"/>
      <c r="V747" s="57"/>
      <c r="W747" s="57"/>
      <c r="X747" s="57"/>
      <c r="Y747" s="57"/>
      <c r="Z747" s="57"/>
    </row>
    <row r="748">
      <c r="A748" s="58">
        <v>9110698.0</v>
      </c>
      <c r="B748" s="57" t="s">
        <v>1819</v>
      </c>
      <c r="C748" s="57" t="s">
        <v>247</v>
      </c>
      <c r="D748" s="58">
        <v>5.07</v>
      </c>
      <c r="E748" s="58">
        <v>2897.06</v>
      </c>
      <c r="F748" s="58">
        <v>4096737.0</v>
      </c>
      <c r="G748" s="57" t="s">
        <v>1835</v>
      </c>
      <c r="H748" s="57" t="s">
        <v>1836</v>
      </c>
      <c r="I748" s="57"/>
      <c r="J748" s="57"/>
      <c r="K748" s="57"/>
      <c r="L748" s="57"/>
      <c r="M748" s="57"/>
      <c r="N748" s="57"/>
      <c r="O748" s="57"/>
      <c r="P748" s="57"/>
      <c r="Q748" s="57"/>
      <c r="R748" s="57"/>
      <c r="S748" s="57"/>
      <c r="T748" s="57"/>
      <c r="U748" s="57"/>
      <c r="V748" s="57"/>
      <c r="W748" s="57"/>
      <c r="X748" s="57"/>
      <c r="Y748" s="57"/>
      <c r="Z748" s="57"/>
    </row>
    <row r="749">
      <c r="A749" s="58">
        <v>9110697.0</v>
      </c>
      <c r="B749" s="57" t="s">
        <v>1819</v>
      </c>
      <c r="C749" s="57" t="s">
        <v>247</v>
      </c>
      <c r="D749" s="58">
        <v>5.13</v>
      </c>
      <c r="E749" s="58">
        <v>2902.19</v>
      </c>
      <c r="F749" s="58">
        <v>4097980.0</v>
      </c>
      <c r="G749" s="57" t="s">
        <v>1837</v>
      </c>
      <c r="H749" s="57" t="s">
        <v>1838</v>
      </c>
      <c r="I749" s="57"/>
      <c r="J749" s="57"/>
      <c r="K749" s="57"/>
      <c r="L749" s="57"/>
      <c r="M749" s="57"/>
      <c r="N749" s="57"/>
      <c r="O749" s="57"/>
      <c r="P749" s="57"/>
      <c r="Q749" s="57"/>
      <c r="R749" s="57"/>
      <c r="S749" s="57"/>
      <c r="T749" s="57"/>
      <c r="U749" s="57"/>
      <c r="V749" s="57"/>
      <c r="W749" s="57"/>
      <c r="X749" s="57"/>
      <c r="Y749" s="57"/>
      <c r="Z749" s="57"/>
    </row>
    <row r="750">
      <c r="A750" s="58">
        <v>9110696.0</v>
      </c>
      <c r="B750" s="57" t="s">
        <v>1819</v>
      </c>
      <c r="C750" s="57" t="s">
        <v>247</v>
      </c>
      <c r="D750" s="58">
        <v>5.07</v>
      </c>
      <c r="E750" s="58">
        <v>2907.26</v>
      </c>
      <c r="F750" s="58">
        <v>4098406.0</v>
      </c>
      <c r="G750" s="57" t="s">
        <v>1839</v>
      </c>
      <c r="H750" s="57" t="s">
        <v>1840</v>
      </c>
      <c r="I750" s="57"/>
      <c r="J750" s="57"/>
      <c r="K750" s="57"/>
      <c r="L750" s="57"/>
      <c r="M750" s="57"/>
      <c r="N750" s="57"/>
      <c r="O750" s="57"/>
      <c r="P750" s="57"/>
      <c r="Q750" s="57"/>
      <c r="R750" s="57"/>
      <c r="S750" s="57"/>
      <c r="T750" s="57"/>
      <c r="U750" s="57"/>
      <c r="V750" s="57"/>
      <c r="W750" s="57"/>
      <c r="X750" s="57"/>
      <c r="Y750" s="57"/>
      <c r="Z750" s="57"/>
    </row>
    <row r="751">
      <c r="A751" s="58">
        <v>9110695.0</v>
      </c>
      <c r="B751" s="57" t="s">
        <v>1819</v>
      </c>
      <c r="C751" s="57" t="s">
        <v>247</v>
      </c>
      <c r="D751" s="58">
        <v>5.07</v>
      </c>
      <c r="E751" s="58">
        <v>2912.33</v>
      </c>
      <c r="F751" s="58">
        <v>4098530.0</v>
      </c>
      <c r="G751" s="57" t="s">
        <v>1841</v>
      </c>
      <c r="H751" s="57" t="s">
        <v>1842</v>
      </c>
      <c r="I751" s="57"/>
      <c r="J751" s="57"/>
      <c r="K751" s="57"/>
      <c r="L751" s="57"/>
      <c r="M751" s="57"/>
      <c r="N751" s="57"/>
      <c r="O751" s="57"/>
      <c r="P751" s="57"/>
      <c r="Q751" s="57"/>
      <c r="R751" s="57"/>
      <c r="S751" s="57"/>
      <c r="T751" s="57"/>
      <c r="U751" s="57"/>
      <c r="V751" s="57"/>
      <c r="W751" s="57"/>
      <c r="X751" s="57"/>
      <c r="Y751" s="57"/>
      <c r="Z751" s="57"/>
    </row>
    <row r="752">
      <c r="A752" s="58">
        <v>9110694.0</v>
      </c>
      <c r="B752" s="57" t="s">
        <v>1819</v>
      </c>
      <c r="C752" s="57" t="s">
        <v>247</v>
      </c>
      <c r="D752" s="58">
        <v>4.5</v>
      </c>
      <c r="E752" s="58">
        <v>2916.83</v>
      </c>
      <c r="F752" s="58">
        <v>4099190.0</v>
      </c>
      <c r="G752" s="57" t="s">
        <v>1843</v>
      </c>
      <c r="H752" s="57" t="s">
        <v>1844</v>
      </c>
      <c r="I752" s="57"/>
      <c r="J752" s="57"/>
      <c r="K752" s="57"/>
      <c r="L752" s="57"/>
      <c r="M752" s="57"/>
      <c r="N752" s="57"/>
      <c r="O752" s="57"/>
      <c r="P752" s="57"/>
      <c r="Q752" s="57"/>
      <c r="R752" s="57"/>
      <c r="S752" s="57"/>
      <c r="T752" s="57"/>
      <c r="U752" s="57"/>
      <c r="V752" s="57"/>
      <c r="W752" s="57"/>
      <c r="X752" s="57"/>
      <c r="Y752" s="57"/>
      <c r="Z752" s="57"/>
    </row>
    <row r="753">
      <c r="A753" s="58">
        <v>9110687.0</v>
      </c>
      <c r="B753" s="57" t="s">
        <v>1819</v>
      </c>
      <c r="C753" s="57" t="s">
        <v>247</v>
      </c>
      <c r="D753" s="58">
        <v>5.09</v>
      </c>
      <c r="E753" s="58">
        <v>2921.92</v>
      </c>
      <c r="F753" s="58">
        <v>4128979.0</v>
      </c>
      <c r="G753" s="57" t="s">
        <v>1845</v>
      </c>
      <c r="H753" s="57" t="s">
        <v>1846</v>
      </c>
      <c r="I753" s="57"/>
      <c r="J753" s="57"/>
      <c r="K753" s="57"/>
      <c r="L753" s="57"/>
      <c r="M753" s="57"/>
      <c r="N753" s="57"/>
      <c r="O753" s="57"/>
      <c r="P753" s="57"/>
      <c r="Q753" s="57"/>
      <c r="R753" s="57"/>
      <c r="S753" s="57"/>
      <c r="T753" s="57"/>
      <c r="U753" s="57"/>
      <c r="V753" s="57"/>
      <c r="W753" s="57"/>
      <c r="X753" s="57"/>
      <c r="Y753" s="57"/>
      <c r="Z753" s="57"/>
    </row>
    <row r="754">
      <c r="A754" s="58">
        <v>9110485.0</v>
      </c>
      <c r="B754" s="57" t="s">
        <v>1847</v>
      </c>
      <c r="C754" s="57" t="s">
        <v>247</v>
      </c>
      <c r="D754" s="58">
        <v>5.07</v>
      </c>
      <c r="E754" s="58">
        <v>2926.99</v>
      </c>
      <c r="F754" s="58">
        <v>4106662.0</v>
      </c>
      <c r="G754" s="57" t="s">
        <v>1848</v>
      </c>
      <c r="H754" s="57" t="s">
        <v>1849</v>
      </c>
      <c r="I754" s="57"/>
      <c r="J754" s="57"/>
      <c r="K754" s="57"/>
      <c r="L754" s="57"/>
      <c r="M754" s="57"/>
      <c r="N754" s="57"/>
      <c r="O754" s="57"/>
      <c r="P754" s="57"/>
      <c r="Q754" s="57"/>
      <c r="R754" s="57"/>
      <c r="S754" s="57"/>
      <c r="T754" s="57"/>
      <c r="U754" s="57"/>
      <c r="V754" s="57"/>
      <c r="W754" s="57"/>
      <c r="X754" s="57"/>
      <c r="Y754" s="57"/>
      <c r="Z754" s="57"/>
    </row>
    <row r="755">
      <c r="A755" s="58">
        <v>9110484.0</v>
      </c>
      <c r="B755" s="57" t="s">
        <v>1847</v>
      </c>
      <c r="C755" s="57" t="s">
        <v>247</v>
      </c>
      <c r="D755" s="58">
        <v>5.07</v>
      </c>
      <c r="E755" s="58">
        <v>2932.06</v>
      </c>
      <c r="F755" s="58">
        <v>4122350.0</v>
      </c>
      <c r="G755" s="57" t="s">
        <v>1850</v>
      </c>
      <c r="H755" s="57" t="s">
        <v>1851</v>
      </c>
      <c r="I755" s="57"/>
      <c r="J755" s="57"/>
      <c r="K755" s="57"/>
      <c r="L755" s="57"/>
      <c r="M755" s="57"/>
      <c r="N755" s="57"/>
      <c r="O755" s="57"/>
      <c r="P755" s="57"/>
      <c r="Q755" s="57"/>
      <c r="R755" s="57"/>
      <c r="S755" s="57"/>
      <c r="T755" s="57"/>
      <c r="U755" s="57"/>
      <c r="V755" s="57"/>
      <c r="W755" s="57"/>
      <c r="X755" s="57"/>
      <c r="Y755" s="57"/>
      <c r="Z755" s="57"/>
    </row>
    <row r="756">
      <c r="A756" s="58">
        <v>9109958.0</v>
      </c>
      <c r="B756" s="57" t="s">
        <v>1852</v>
      </c>
      <c r="C756" s="57" t="s">
        <v>247</v>
      </c>
      <c r="D756" s="58">
        <v>5.07</v>
      </c>
      <c r="E756" s="58">
        <v>2937.13</v>
      </c>
      <c r="F756" s="58">
        <v>4097106.0</v>
      </c>
      <c r="G756" s="57" t="s">
        <v>1853</v>
      </c>
      <c r="H756" s="57" t="s">
        <v>1854</v>
      </c>
      <c r="I756" s="57"/>
      <c r="J756" s="57"/>
      <c r="K756" s="57"/>
      <c r="L756" s="57"/>
      <c r="M756" s="57"/>
      <c r="N756" s="57"/>
      <c r="O756" s="57"/>
      <c r="P756" s="57"/>
      <c r="Q756" s="57"/>
      <c r="R756" s="57"/>
      <c r="S756" s="57"/>
      <c r="T756" s="57"/>
      <c r="U756" s="57"/>
      <c r="V756" s="57"/>
      <c r="W756" s="57"/>
      <c r="X756" s="57"/>
      <c r="Y756" s="57"/>
      <c r="Z756" s="57"/>
    </row>
    <row r="757">
      <c r="A757" s="58">
        <v>9109952.0</v>
      </c>
      <c r="B757" s="57" t="s">
        <v>1852</v>
      </c>
      <c r="C757" s="57" t="s">
        <v>247</v>
      </c>
      <c r="D757" s="58">
        <v>4.49</v>
      </c>
      <c r="E757" s="58">
        <v>2941.61</v>
      </c>
      <c r="F757" s="58">
        <v>4097791.0</v>
      </c>
      <c r="G757" s="57" t="s">
        <v>1855</v>
      </c>
      <c r="H757" s="57" t="s">
        <v>1856</v>
      </c>
      <c r="I757" s="57"/>
      <c r="J757" s="57"/>
      <c r="K757" s="57"/>
      <c r="L757" s="57"/>
      <c r="M757" s="57"/>
      <c r="N757" s="57"/>
      <c r="O757" s="57"/>
      <c r="P757" s="57"/>
      <c r="Q757" s="57"/>
      <c r="R757" s="57"/>
      <c r="S757" s="57"/>
      <c r="T757" s="57"/>
      <c r="U757" s="57"/>
      <c r="V757" s="57"/>
      <c r="W757" s="57"/>
      <c r="X757" s="57"/>
      <c r="Y757" s="57"/>
      <c r="Z757" s="57"/>
    </row>
    <row r="758">
      <c r="A758" s="58">
        <v>9109855.0</v>
      </c>
      <c r="B758" s="57" t="s">
        <v>1852</v>
      </c>
      <c r="C758" s="57" t="s">
        <v>247</v>
      </c>
      <c r="D758" s="58">
        <v>5.09</v>
      </c>
      <c r="E758" s="58">
        <v>2946.7</v>
      </c>
      <c r="F758" s="58">
        <v>4105987.0</v>
      </c>
      <c r="G758" s="57" t="s">
        <v>1857</v>
      </c>
      <c r="H758" s="57" t="s">
        <v>1858</v>
      </c>
      <c r="I758" s="57"/>
      <c r="J758" s="57"/>
      <c r="K758" s="57"/>
      <c r="L758" s="57"/>
      <c r="M758" s="57"/>
      <c r="N758" s="57"/>
      <c r="O758" s="57"/>
      <c r="P758" s="57"/>
      <c r="Q758" s="57"/>
      <c r="R758" s="57"/>
      <c r="S758" s="57"/>
      <c r="T758" s="57"/>
      <c r="U758" s="57"/>
      <c r="V758" s="57"/>
      <c r="W758" s="57"/>
      <c r="X758" s="57"/>
      <c r="Y758" s="57"/>
      <c r="Z758" s="57"/>
    </row>
    <row r="759">
      <c r="A759" s="58">
        <v>9109845.0</v>
      </c>
      <c r="B759" s="57" t="s">
        <v>1852</v>
      </c>
      <c r="C759" s="57" t="s">
        <v>247</v>
      </c>
      <c r="D759" s="58">
        <v>5.06</v>
      </c>
      <c r="E759" s="58">
        <v>2951.76</v>
      </c>
      <c r="F759" s="58">
        <v>4104576.0</v>
      </c>
      <c r="G759" s="57" t="s">
        <v>1859</v>
      </c>
      <c r="H759" s="57" t="s">
        <v>1860</v>
      </c>
      <c r="I759" s="57"/>
      <c r="J759" s="57"/>
      <c r="K759" s="57"/>
      <c r="L759" s="57"/>
      <c r="M759" s="57"/>
      <c r="N759" s="57"/>
      <c r="O759" s="57"/>
      <c r="P759" s="57"/>
      <c r="Q759" s="57"/>
      <c r="R759" s="57"/>
      <c r="S759" s="57"/>
      <c r="T759" s="57"/>
      <c r="U759" s="57"/>
      <c r="V759" s="57"/>
      <c r="W759" s="57"/>
      <c r="X759" s="57"/>
      <c r="Y759" s="57"/>
      <c r="Z759" s="57"/>
    </row>
    <row r="760">
      <c r="A760" s="58">
        <v>9109843.0</v>
      </c>
      <c r="B760" s="57" t="s">
        <v>1852</v>
      </c>
      <c r="C760" s="57" t="s">
        <v>247</v>
      </c>
      <c r="D760" s="58">
        <v>5.06</v>
      </c>
      <c r="E760" s="58">
        <v>2956.82</v>
      </c>
      <c r="F760" s="58">
        <v>4108195.0</v>
      </c>
      <c r="G760" s="57" t="s">
        <v>1861</v>
      </c>
      <c r="H760" s="57" t="s">
        <v>1862</v>
      </c>
      <c r="I760" s="57"/>
      <c r="J760" s="57"/>
      <c r="K760" s="57"/>
      <c r="L760" s="57"/>
      <c r="M760" s="57"/>
      <c r="N760" s="57"/>
      <c r="O760" s="57"/>
      <c r="P760" s="57"/>
      <c r="Q760" s="57"/>
      <c r="R760" s="57"/>
      <c r="S760" s="57"/>
      <c r="T760" s="57"/>
      <c r="U760" s="57"/>
      <c r="V760" s="57"/>
      <c r="W760" s="57"/>
      <c r="X760" s="57"/>
      <c r="Y760" s="57"/>
      <c r="Z760" s="57"/>
    </row>
    <row r="761">
      <c r="A761" s="58">
        <v>9109835.0</v>
      </c>
      <c r="B761" s="57" t="s">
        <v>1852</v>
      </c>
      <c r="C761" s="57" t="s">
        <v>247</v>
      </c>
      <c r="D761" s="58">
        <v>5.06</v>
      </c>
      <c r="E761" s="58">
        <v>2961.88</v>
      </c>
      <c r="F761" s="58">
        <v>4113614.0</v>
      </c>
      <c r="G761" s="57" t="s">
        <v>1863</v>
      </c>
      <c r="H761" s="57" t="s">
        <v>1864</v>
      </c>
      <c r="I761" s="57"/>
      <c r="J761" s="57"/>
      <c r="K761" s="57"/>
      <c r="L761" s="57"/>
      <c r="M761" s="57"/>
      <c r="N761" s="57"/>
      <c r="O761" s="57"/>
      <c r="P761" s="57"/>
      <c r="Q761" s="57"/>
      <c r="R761" s="57"/>
      <c r="S761" s="57"/>
      <c r="T761" s="57"/>
      <c r="U761" s="57"/>
      <c r="V761" s="57"/>
      <c r="W761" s="57"/>
      <c r="X761" s="57"/>
      <c r="Y761" s="57"/>
      <c r="Z761" s="57"/>
    </row>
    <row r="762">
      <c r="A762" s="58">
        <v>9109832.0</v>
      </c>
      <c r="B762" s="57" t="s">
        <v>1852</v>
      </c>
      <c r="C762" s="57" t="s">
        <v>247</v>
      </c>
      <c r="D762" s="58">
        <v>5.13</v>
      </c>
      <c r="E762" s="58">
        <v>2967.01</v>
      </c>
      <c r="F762" s="58">
        <v>4123011.0</v>
      </c>
      <c r="G762" s="57" t="s">
        <v>1865</v>
      </c>
      <c r="H762" s="57" t="s">
        <v>1866</v>
      </c>
      <c r="I762" s="57"/>
      <c r="J762" s="57"/>
      <c r="K762" s="57"/>
      <c r="L762" s="57"/>
      <c r="M762" s="57"/>
      <c r="N762" s="57"/>
      <c r="O762" s="57"/>
      <c r="P762" s="57"/>
      <c r="Q762" s="57"/>
      <c r="R762" s="57"/>
      <c r="S762" s="57"/>
      <c r="T762" s="57"/>
      <c r="U762" s="57"/>
      <c r="V762" s="57"/>
      <c r="W762" s="57"/>
      <c r="X762" s="57"/>
      <c r="Y762" s="57"/>
      <c r="Z762" s="57"/>
    </row>
    <row r="763">
      <c r="A763" s="58">
        <v>9109818.0</v>
      </c>
      <c r="B763" s="57" t="s">
        <v>1852</v>
      </c>
      <c r="C763" s="57" t="s">
        <v>247</v>
      </c>
      <c r="D763" s="58">
        <v>5.12</v>
      </c>
      <c r="E763" s="58">
        <v>2972.13</v>
      </c>
      <c r="F763" s="58">
        <v>4116205.0</v>
      </c>
      <c r="G763" s="57" t="s">
        <v>1867</v>
      </c>
      <c r="H763" s="57" t="s">
        <v>1868</v>
      </c>
      <c r="I763" s="57"/>
      <c r="J763" s="57"/>
      <c r="K763" s="57"/>
      <c r="L763" s="57"/>
      <c r="M763" s="57"/>
      <c r="N763" s="57"/>
      <c r="O763" s="57"/>
      <c r="P763" s="57"/>
      <c r="Q763" s="57"/>
      <c r="R763" s="57"/>
      <c r="S763" s="57"/>
      <c r="T763" s="57"/>
      <c r="U763" s="57"/>
      <c r="V763" s="57"/>
      <c r="W763" s="57"/>
      <c r="X763" s="57"/>
      <c r="Y763" s="57"/>
      <c r="Z763" s="57"/>
    </row>
    <row r="764">
      <c r="A764" s="58">
        <v>9109813.0</v>
      </c>
      <c r="B764" s="57" t="s">
        <v>1852</v>
      </c>
      <c r="C764" s="57" t="s">
        <v>247</v>
      </c>
      <c r="D764" s="58">
        <v>3.51</v>
      </c>
      <c r="E764" s="58">
        <v>2975.64</v>
      </c>
      <c r="F764" s="58">
        <v>4130480.0</v>
      </c>
      <c r="G764" s="57" t="s">
        <v>1869</v>
      </c>
      <c r="H764" s="57" t="s">
        <v>1870</v>
      </c>
      <c r="I764" s="57"/>
      <c r="J764" s="57"/>
      <c r="K764" s="57"/>
      <c r="L764" s="57"/>
      <c r="M764" s="57"/>
      <c r="N764" s="57"/>
      <c r="O764" s="57"/>
      <c r="P764" s="57"/>
      <c r="Q764" s="57"/>
      <c r="R764" s="57"/>
      <c r="S764" s="57"/>
      <c r="T764" s="57"/>
      <c r="U764" s="57"/>
      <c r="V764" s="57"/>
      <c r="W764" s="57"/>
      <c r="X764" s="57"/>
      <c r="Y764" s="57"/>
      <c r="Z764" s="57"/>
    </row>
    <row r="765">
      <c r="A765" s="58">
        <v>9109661.0</v>
      </c>
      <c r="B765" s="57" t="s">
        <v>1852</v>
      </c>
      <c r="C765" s="57" t="s">
        <v>247</v>
      </c>
      <c r="D765" s="58">
        <v>5.12</v>
      </c>
      <c r="E765" s="58">
        <v>2980.76</v>
      </c>
      <c r="F765" s="58">
        <v>4113220.0</v>
      </c>
      <c r="G765" s="57" t="s">
        <v>1871</v>
      </c>
      <c r="H765" s="57" t="s">
        <v>1872</v>
      </c>
      <c r="I765" s="57"/>
      <c r="J765" s="57"/>
      <c r="K765" s="57"/>
      <c r="L765" s="57"/>
      <c r="M765" s="57"/>
      <c r="N765" s="57"/>
      <c r="O765" s="57"/>
      <c r="P765" s="57"/>
      <c r="Q765" s="57"/>
      <c r="R765" s="57"/>
      <c r="S765" s="57"/>
      <c r="T765" s="57"/>
      <c r="U765" s="57"/>
      <c r="V765" s="57"/>
      <c r="W765" s="57"/>
      <c r="X765" s="57"/>
      <c r="Y765" s="57"/>
      <c r="Z765" s="57"/>
    </row>
    <row r="766">
      <c r="A766" s="58">
        <v>9109434.0</v>
      </c>
      <c r="B766" s="57" t="s">
        <v>1852</v>
      </c>
      <c r="C766" s="57" t="s">
        <v>247</v>
      </c>
      <c r="D766" s="58">
        <v>5.06</v>
      </c>
      <c r="E766" s="58">
        <v>2985.82</v>
      </c>
      <c r="F766" s="58">
        <v>4089973.0</v>
      </c>
      <c r="G766" s="57" t="s">
        <v>1873</v>
      </c>
      <c r="H766" s="57" t="s">
        <v>1874</v>
      </c>
      <c r="I766" s="57"/>
      <c r="J766" s="57"/>
      <c r="K766" s="57"/>
      <c r="L766" s="57"/>
      <c r="M766" s="57"/>
      <c r="N766" s="57"/>
      <c r="O766" s="57"/>
      <c r="P766" s="57"/>
      <c r="Q766" s="57"/>
      <c r="R766" s="57"/>
      <c r="S766" s="57"/>
      <c r="T766" s="57"/>
      <c r="U766" s="57"/>
      <c r="V766" s="57"/>
      <c r="W766" s="57"/>
      <c r="X766" s="57"/>
      <c r="Y766" s="57"/>
      <c r="Z766" s="57"/>
    </row>
    <row r="767">
      <c r="A767" s="58">
        <v>9109353.0</v>
      </c>
      <c r="B767" s="57" t="s">
        <v>1875</v>
      </c>
      <c r="C767" s="57" t="s">
        <v>247</v>
      </c>
      <c r="D767" s="58">
        <v>3.52</v>
      </c>
      <c r="E767" s="58">
        <v>2989.34</v>
      </c>
      <c r="F767" s="58">
        <v>4096809.0</v>
      </c>
      <c r="G767" s="57" t="s">
        <v>1876</v>
      </c>
      <c r="H767" s="57" t="s">
        <v>1877</v>
      </c>
      <c r="I767" s="57"/>
      <c r="J767" s="57"/>
      <c r="K767" s="57"/>
      <c r="L767" s="57"/>
      <c r="M767" s="57"/>
      <c r="N767" s="57"/>
      <c r="O767" s="57"/>
      <c r="P767" s="57"/>
      <c r="Q767" s="57"/>
      <c r="R767" s="57"/>
      <c r="S767" s="57"/>
      <c r="T767" s="57"/>
      <c r="U767" s="57"/>
      <c r="V767" s="57"/>
      <c r="W767" s="57"/>
      <c r="X767" s="57"/>
      <c r="Y767" s="57"/>
      <c r="Z767" s="57"/>
    </row>
    <row r="768">
      <c r="A768" s="58">
        <v>9109243.0</v>
      </c>
      <c r="B768" s="57" t="s">
        <v>1875</v>
      </c>
      <c r="C768" s="57" t="s">
        <v>247</v>
      </c>
      <c r="D768" s="58">
        <v>5.06</v>
      </c>
      <c r="E768" s="58">
        <v>2994.4</v>
      </c>
      <c r="F768" s="58">
        <v>4090295.0</v>
      </c>
      <c r="G768" s="57" t="s">
        <v>1878</v>
      </c>
      <c r="H768" s="57" t="s">
        <v>1879</v>
      </c>
      <c r="I768" s="57"/>
      <c r="J768" s="57"/>
      <c r="K768" s="57"/>
      <c r="L768" s="57"/>
      <c r="M768" s="57"/>
      <c r="N768" s="57"/>
      <c r="O768" s="57"/>
      <c r="P768" s="57"/>
      <c r="Q768" s="57"/>
      <c r="R768" s="57"/>
      <c r="S768" s="57"/>
      <c r="T768" s="57"/>
      <c r="U768" s="57"/>
      <c r="V768" s="57"/>
      <c r="W768" s="57"/>
      <c r="X768" s="57"/>
      <c r="Y768" s="57"/>
      <c r="Z768" s="57"/>
    </row>
    <row r="769">
      <c r="A769" s="58">
        <v>9109206.0</v>
      </c>
      <c r="B769" s="57" t="s">
        <v>1875</v>
      </c>
      <c r="C769" s="57" t="s">
        <v>247</v>
      </c>
      <c r="D769" s="58">
        <v>3.48</v>
      </c>
      <c r="E769" s="58">
        <v>2997.88</v>
      </c>
      <c r="F769" s="58">
        <v>4090275.0</v>
      </c>
      <c r="G769" s="57" t="s">
        <v>1880</v>
      </c>
      <c r="H769" s="57" t="s">
        <v>1881</v>
      </c>
      <c r="I769" s="57"/>
      <c r="J769" s="57"/>
      <c r="K769" s="57"/>
      <c r="L769" s="57"/>
      <c r="M769" s="57"/>
      <c r="N769" s="57"/>
      <c r="O769" s="57"/>
      <c r="P769" s="57"/>
      <c r="Q769" s="57"/>
      <c r="R769" s="57"/>
      <c r="S769" s="57"/>
      <c r="T769" s="57"/>
      <c r="U769" s="57"/>
      <c r="V769" s="57"/>
      <c r="W769" s="57"/>
      <c r="X769" s="57"/>
      <c r="Y769" s="57"/>
      <c r="Z769" s="57"/>
    </row>
    <row r="770">
      <c r="A770" s="58">
        <v>9109205.0</v>
      </c>
      <c r="B770" s="57" t="s">
        <v>1875</v>
      </c>
      <c r="C770" s="57" t="s">
        <v>247</v>
      </c>
      <c r="D770" s="58">
        <v>3.48</v>
      </c>
      <c r="E770" s="58">
        <v>3001.36</v>
      </c>
      <c r="F770" s="58">
        <v>4090232.0</v>
      </c>
      <c r="G770" s="57" t="s">
        <v>1882</v>
      </c>
      <c r="H770" s="57" t="s">
        <v>1883</v>
      </c>
      <c r="I770" s="57"/>
      <c r="J770" s="57"/>
      <c r="K770" s="57"/>
      <c r="L770" s="57"/>
      <c r="M770" s="57"/>
      <c r="N770" s="57"/>
      <c r="O770" s="57"/>
      <c r="P770" s="57"/>
      <c r="Q770" s="57"/>
      <c r="R770" s="57"/>
      <c r="S770" s="57"/>
      <c r="T770" s="57"/>
      <c r="U770" s="57"/>
      <c r="V770" s="57"/>
      <c r="W770" s="57"/>
      <c r="X770" s="57"/>
      <c r="Y770" s="57"/>
      <c r="Z770" s="57"/>
    </row>
    <row r="771">
      <c r="A771" s="58">
        <v>9108620.0</v>
      </c>
      <c r="B771" s="57" t="s">
        <v>1884</v>
      </c>
      <c r="C771" s="57" t="s">
        <v>247</v>
      </c>
      <c r="D771" s="58">
        <v>5.13</v>
      </c>
      <c r="E771" s="58">
        <v>3006.49</v>
      </c>
      <c r="F771" s="58">
        <v>4089914.0</v>
      </c>
      <c r="G771" s="57" t="s">
        <v>1885</v>
      </c>
      <c r="H771" s="57" t="s">
        <v>1886</v>
      </c>
      <c r="I771" s="57"/>
      <c r="J771" s="57"/>
      <c r="K771" s="57"/>
      <c r="L771" s="57"/>
      <c r="M771" s="57"/>
      <c r="N771" s="57"/>
      <c r="O771" s="57"/>
      <c r="P771" s="57"/>
      <c r="Q771" s="57"/>
      <c r="R771" s="57"/>
      <c r="S771" s="57"/>
      <c r="T771" s="57"/>
      <c r="U771" s="57"/>
      <c r="V771" s="57"/>
      <c r="W771" s="57"/>
      <c r="X771" s="57"/>
      <c r="Y771" s="57"/>
      <c r="Z771" s="57"/>
    </row>
    <row r="772">
      <c r="A772" s="58">
        <v>9093576.0</v>
      </c>
      <c r="B772" s="57" t="s">
        <v>1887</v>
      </c>
      <c r="C772" s="57" t="s">
        <v>210</v>
      </c>
      <c r="D772" s="58">
        <v>14.34</v>
      </c>
      <c r="E772" s="58">
        <v>2992.15</v>
      </c>
      <c r="F772" s="58">
        <v>4186716.0</v>
      </c>
      <c r="G772" s="57" t="s">
        <v>1888</v>
      </c>
      <c r="H772" s="57" t="s">
        <v>1889</v>
      </c>
      <c r="I772" s="57"/>
      <c r="J772" s="57"/>
      <c r="K772" s="57"/>
      <c r="L772" s="57"/>
      <c r="M772" s="57"/>
      <c r="N772" s="57"/>
      <c r="O772" s="57"/>
      <c r="P772" s="57"/>
      <c r="Q772" s="57"/>
      <c r="R772" s="57"/>
      <c r="S772" s="57"/>
      <c r="T772" s="57"/>
      <c r="U772" s="57"/>
      <c r="V772" s="57"/>
      <c r="W772" s="57"/>
      <c r="X772" s="57"/>
      <c r="Y772" s="57"/>
      <c r="Z772" s="57"/>
    </row>
    <row r="773">
      <c r="A773" s="58">
        <v>9093419.0</v>
      </c>
      <c r="B773" s="57" t="s">
        <v>1887</v>
      </c>
      <c r="C773" s="57" t="s">
        <v>210</v>
      </c>
      <c r="D773" s="58">
        <v>14.34</v>
      </c>
      <c r="E773" s="58">
        <v>2977.81</v>
      </c>
      <c r="F773" s="58">
        <v>4185201.0</v>
      </c>
      <c r="G773" s="57" t="s">
        <v>1890</v>
      </c>
      <c r="H773" s="57" t="s">
        <v>1891</v>
      </c>
      <c r="I773" s="57"/>
      <c r="J773" s="57"/>
      <c r="K773" s="57"/>
      <c r="L773" s="57"/>
      <c r="M773" s="57"/>
      <c r="N773" s="57"/>
      <c r="O773" s="57"/>
      <c r="P773" s="57"/>
      <c r="Q773" s="57"/>
      <c r="R773" s="57"/>
      <c r="S773" s="57"/>
      <c r="T773" s="57"/>
      <c r="U773" s="57"/>
      <c r="V773" s="57"/>
      <c r="W773" s="57"/>
      <c r="X773" s="57"/>
      <c r="Y773" s="57"/>
      <c r="Z773" s="57"/>
    </row>
    <row r="774">
      <c r="A774" s="58">
        <v>9092690.0</v>
      </c>
      <c r="B774" s="57" t="s">
        <v>1887</v>
      </c>
      <c r="C774" s="57" t="s">
        <v>210</v>
      </c>
      <c r="D774" s="58">
        <v>16.79</v>
      </c>
      <c r="E774" s="58">
        <v>2961.02</v>
      </c>
      <c r="F774" s="58">
        <v>4177784.0</v>
      </c>
      <c r="G774" s="57" t="s">
        <v>1892</v>
      </c>
      <c r="H774" s="57" t="s">
        <v>1893</v>
      </c>
      <c r="I774" s="57"/>
      <c r="J774" s="57"/>
      <c r="K774" s="57"/>
      <c r="L774" s="57"/>
      <c r="M774" s="57"/>
      <c r="N774" s="57"/>
      <c r="O774" s="57"/>
      <c r="P774" s="57"/>
      <c r="Q774" s="57"/>
      <c r="R774" s="57"/>
      <c r="S774" s="57"/>
      <c r="T774" s="57"/>
      <c r="U774" s="57"/>
      <c r="V774" s="57"/>
      <c r="W774" s="57"/>
      <c r="X774" s="57"/>
      <c r="Y774" s="57"/>
      <c r="Z774" s="57"/>
    </row>
    <row r="775">
      <c r="A775" s="58">
        <v>9092677.0</v>
      </c>
      <c r="B775" s="57" t="s">
        <v>1887</v>
      </c>
      <c r="C775" s="57" t="s">
        <v>210</v>
      </c>
      <c r="D775" s="58">
        <v>18.4</v>
      </c>
      <c r="E775" s="58">
        <v>2942.62</v>
      </c>
      <c r="F775" s="58">
        <v>4177568.0</v>
      </c>
      <c r="G775" s="57" t="s">
        <v>1894</v>
      </c>
      <c r="H775" s="57" t="s">
        <v>1895</v>
      </c>
      <c r="I775" s="57"/>
      <c r="J775" s="57"/>
      <c r="K775" s="57"/>
      <c r="L775" s="57"/>
      <c r="M775" s="57"/>
      <c r="N775" s="57"/>
      <c r="O775" s="57"/>
      <c r="P775" s="57"/>
      <c r="Q775" s="57"/>
      <c r="R775" s="57"/>
      <c r="S775" s="57"/>
      <c r="T775" s="57"/>
      <c r="U775" s="57"/>
      <c r="V775" s="57"/>
      <c r="W775" s="57"/>
      <c r="X775" s="57"/>
      <c r="Y775" s="57"/>
      <c r="Z775" s="57"/>
    </row>
    <row r="776">
      <c r="A776" s="58">
        <v>9092664.0</v>
      </c>
      <c r="B776" s="57" t="s">
        <v>1887</v>
      </c>
      <c r="C776" s="57" t="s">
        <v>210</v>
      </c>
      <c r="D776" s="58">
        <v>12.55</v>
      </c>
      <c r="E776" s="58">
        <v>2930.07</v>
      </c>
      <c r="F776" s="58">
        <v>4177149.0</v>
      </c>
      <c r="G776" s="58">
        <v>1.86507662E8</v>
      </c>
      <c r="H776" s="57" t="s">
        <v>1896</v>
      </c>
      <c r="I776" s="57"/>
      <c r="J776" s="57"/>
      <c r="K776" s="57"/>
      <c r="L776" s="57"/>
      <c r="M776" s="57"/>
      <c r="N776" s="57"/>
      <c r="O776" s="57"/>
      <c r="P776" s="57"/>
      <c r="Q776" s="57"/>
      <c r="R776" s="57"/>
      <c r="S776" s="57"/>
      <c r="T776" s="57"/>
      <c r="U776" s="57"/>
      <c r="V776" s="57"/>
      <c r="W776" s="57"/>
      <c r="X776" s="57"/>
      <c r="Y776" s="57"/>
      <c r="Z776" s="57"/>
    </row>
    <row r="777">
      <c r="A777" s="58">
        <v>9091914.0</v>
      </c>
      <c r="B777" s="57" t="s">
        <v>1887</v>
      </c>
      <c r="C777" s="57" t="s">
        <v>210</v>
      </c>
      <c r="D777" s="58">
        <v>11.89</v>
      </c>
      <c r="E777" s="58">
        <v>2918.18</v>
      </c>
      <c r="F777" s="58">
        <v>4162060.0</v>
      </c>
      <c r="G777" s="57" t="s">
        <v>1897</v>
      </c>
      <c r="H777" s="57" t="s">
        <v>1898</v>
      </c>
      <c r="I777" s="57"/>
      <c r="J777" s="57"/>
      <c r="K777" s="57"/>
      <c r="L777" s="57"/>
      <c r="M777" s="57"/>
      <c r="N777" s="57"/>
      <c r="O777" s="57"/>
      <c r="P777" s="57"/>
      <c r="Q777" s="57"/>
      <c r="R777" s="57"/>
      <c r="S777" s="57"/>
      <c r="T777" s="57"/>
      <c r="U777" s="57"/>
      <c r="V777" s="57"/>
      <c r="W777" s="57"/>
      <c r="X777" s="57"/>
      <c r="Y777" s="57"/>
      <c r="Z777" s="57"/>
    </row>
    <row r="778">
      <c r="A778" s="58">
        <v>9091164.0</v>
      </c>
      <c r="B778" s="57" t="s">
        <v>1887</v>
      </c>
      <c r="C778" s="57" t="s">
        <v>210</v>
      </c>
      <c r="D778" s="58">
        <v>15.95</v>
      </c>
      <c r="E778" s="58">
        <v>2902.23</v>
      </c>
      <c r="F778" s="58">
        <v>4124012.0</v>
      </c>
      <c r="G778" s="57" t="s">
        <v>1899</v>
      </c>
      <c r="H778" s="57" t="s">
        <v>1900</v>
      </c>
      <c r="I778" s="57"/>
      <c r="J778" s="57"/>
      <c r="K778" s="57"/>
      <c r="L778" s="57"/>
      <c r="M778" s="57"/>
      <c r="N778" s="57"/>
      <c r="O778" s="57"/>
      <c r="P778" s="57"/>
      <c r="Q778" s="57"/>
      <c r="R778" s="57"/>
      <c r="S778" s="57"/>
      <c r="T778" s="57"/>
      <c r="U778" s="57"/>
      <c r="V778" s="57"/>
      <c r="W778" s="57"/>
      <c r="X778" s="57"/>
      <c r="Y778" s="57"/>
      <c r="Z778" s="57"/>
    </row>
    <row r="779">
      <c r="A779" s="58">
        <v>9091046.0</v>
      </c>
      <c r="B779" s="57" t="s">
        <v>1887</v>
      </c>
      <c r="C779" s="57" t="s">
        <v>210</v>
      </c>
      <c r="D779" s="58">
        <v>13.46</v>
      </c>
      <c r="E779" s="58">
        <v>2888.77</v>
      </c>
      <c r="F779" s="58">
        <v>4101444.0</v>
      </c>
      <c r="G779" s="57" t="s">
        <v>1901</v>
      </c>
      <c r="H779" s="57" t="s">
        <v>1902</v>
      </c>
      <c r="I779" s="57"/>
      <c r="J779" s="57"/>
      <c r="K779" s="57"/>
      <c r="L779" s="57"/>
      <c r="M779" s="57"/>
      <c r="N779" s="57"/>
      <c r="O779" s="57"/>
      <c r="P779" s="57"/>
      <c r="Q779" s="57"/>
      <c r="R779" s="57"/>
      <c r="S779" s="57"/>
      <c r="T779" s="57"/>
      <c r="U779" s="57"/>
      <c r="V779" s="57"/>
      <c r="W779" s="57"/>
      <c r="X779" s="57"/>
      <c r="Y779" s="57"/>
      <c r="Z779" s="57"/>
    </row>
    <row r="780">
      <c r="A780" s="58">
        <v>9091000.0</v>
      </c>
      <c r="B780" s="57" t="s">
        <v>1887</v>
      </c>
      <c r="C780" s="57" t="s">
        <v>210</v>
      </c>
      <c r="D780" s="58">
        <v>9.1</v>
      </c>
      <c r="E780" s="58">
        <v>2879.67</v>
      </c>
      <c r="F780" s="58">
        <v>4090544.0</v>
      </c>
      <c r="G780" s="58">
        <v>1.86509216E8</v>
      </c>
      <c r="H780" s="57" t="s">
        <v>1903</v>
      </c>
      <c r="I780" s="57"/>
      <c r="J780" s="57"/>
      <c r="K780" s="57"/>
      <c r="L780" s="57"/>
      <c r="M780" s="57"/>
      <c r="N780" s="57"/>
      <c r="O780" s="57"/>
      <c r="P780" s="57"/>
      <c r="Q780" s="57"/>
      <c r="R780" s="57"/>
      <c r="S780" s="57"/>
      <c r="T780" s="57"/>
      <c r="U780" s="57"/>
      <c r="V780" s="57"/>
      <c r="W780" s="57"/>
      <c r="X780" s="57"/>
      <c r="Y780" s="57"/>
      <c r="Z780" s="57"/>
    </row>
    <row r="781">
      <c r="A781" s="58">
        <v>9090982.0</v>
      </c>
      <c r="B781" s="57" t="s">
        <v>1887</v>
      </c>
      <c r="C781" s="57" t="s">
        <v>210</v>
      </c>
      <c r="D781" s="58">
        <v>11.45</v>
      </c>
      <c r="E781" s="58">
        <v>2868.22</v>
      </c>
      <c r="F781" s="58">
        <v>4084131.0</v>
      </c>
      <c r="G781" s="57" t="s">
        <v>1904</v>
      </c>
      <c r="H781" s="57" t="s">
        <v>1905</v>
      </c>
      <c r="I781" s="57"/>
      <c r="J781" s="57"/>
      <c r="K781" s="57"/>
      <c r="L781" s="57"/>
      <c r="M781" s="57"/>
      <c r="N781" s="57"/>
      <c r="O781" s="57"/>
      <c r="P781" s="57"/>
      <c r="Q781" s="57"/>
      <c r="R781" s="57"/>
      <c r="S781" s="57"/>
      <c r="T781" s="57"/>
      <c r="U781" s="57"/>
      <c r="V781" s="57"/>
      <c r="W781" s="57"/>
      <c r="X781" s="57"/>
      <c r="Y781" s="57"/>
      <c r="Z781" s="57"/>
    </row>
    <row r="782">
      <c r="A782" s="58">
        <v>9090963.0</v>
      </c>
      <c r="B782" s="57" t="s">
        <v>1887</v>
      </c>
      <c r="C782" s="57" t="s">
        <v>210</v>
      </c>
      <c r="D782" s="58">
        <v>11.45</v>
      </c>
      <c r="E782" s="58">
        <v>2856.77</v>
      </c>
      <c r="F782" s="58">
        <v>4081210.0</v>
      </c>
      <c r="G782" s="57" t="s">
        <v>1906</v>
      </c>
      <c r="H782" s="57" t="s">
        <v>1907</v>
      </c>
      <c r="I782" s="57"/>
      <c r="J782" s="57"/>
      <c r="K782" s="57"/>
      <c r="L782" s="57"/>
      <c r="M782" s="57"/>
      <c r="N782" s="57"/>
      <c r="O782" s="57"/>
      <c r="P782" s="57"/>
      <c r="Q782" s="57"/>
      <c r="R782" s="57"/>
      <c r="S782" s="57"/>
      <c r="T782" s="57"/>
      <c r="U782" s="57"/>
      <c r="V782" s="57"/>
      <c r="W782" s="57"/>
      <c r="X782" s="57"/>
      <c r="Y782" s="57"/>
      <c r="Z782" s="57"/>
    </row>
    <row r="783">
      <c r="A783" s="58">
        <v>9089630.0</v>
      </c>
      <c r="B783" s="57" t="s">
        <v>1908</v>
      </c>
      <c r="C783" s="57" t="s">
        <v>247</v>
      </c>
      <c r="D783" s="58">
        <v>5.07</v>
      </c>
      <c r="E783" s="58">
        <v>2861.84</v>
      </c>
      <c r="F783" s="58">
        <v>4165019.0</v>
      </c>
      <c r="G783" s="57" t="s">
        <v>1909</v>
      </c>
      <c r="H783" s="57" t="s">
        <v>1910</v>
      </c>
      <c r="I783" s="57"/>
      <c r="J783" s="57"/>
      <c r="K783" s="57"/>
      <c r="L783" s="57"/>
      <c r="M783" s="57"/>
      <c r="N783" s="57"/>
      <c r="O783" s="57"/>
      <c r="P783" s="57"/>
      <c r="Q783" s="57"/>
      <c r="R783" s="57"/>
      <c r="S783" s="57"/>
      <c r="T783" s="57"/>
      <c r="U783" s="57"/>
      <c r="V783" s="57"/>
      <c r="W783" s="57"/>
      <c r="X783" s="57"/>
      <c r="Y783" s="57"/>
      <c r="Z783" s="57"/>
    </row>
    <row r="784">
      <c r="A784" s="58">
        <v>9089614.0</v>
      </c>
      <c r="B784" s="57" t="s">
        <v>1908</v>
      </c>
      <c r="C784" s="57" t="s">
        <v>247</v>
      </c>
      <c r="D784" s="58">
        <v>4.55</v>
      </c>
      <c r="E784" s="58">
        <v>2866.39</v>
      </c>
      <c r="F784" s="58">
        <v>4095202.0</v>
      </c>
      <c r="G784" s="57" t="s">
        <v>1911</v>
      </c>
      <c r="H784" s="57" t="s">
        <v>1912</v>
      </c>
      <c r="I784" s="57"/>
      <c r="J784" s="57"/>
      <c r="K784" s="57"/>
      <c r="L784" s="57"/>
      <c r="M784" s="57"/>
      <c r="N784" s="57"/>
      <c r="O784" s="57"/>
      <c r="P784" s="57"/>
      <c r="Q784" s="57"/>
      <c r="R784" s="57"/>
      <c r="S784" s="57"/>
      <c r="T784" s="57"/>
      <c r="U784" s="57"/>
      <c r="V784" s="57"/>
      <c r="W784" s="57"/>
      <c r="X784" s="57"/>
      <c r="Y784" s="57"/>
      <c r="Z784" s="57"/>
    </row>
    <row r="785">
      <c r="A785" s="58">
        <v>9089613.0</v>
      </c>
      <c r="B785" s="57" t="s">
        <v>1908</v>
      </c>
      <c r="C785" s="57" t="s">
        <v>247</v>
      </c>
      <c r="D785" s="58">
        <v>4.5</v>
      </c>
      <c r="E785" s="58">
        <v>2870.89</v>
      </c>
      <c r="F785" s="58">
        <v>4118031.0</v>
      </c>
      <c r="G785" s="57" t="s">
        <v>1913</v>
      </c>
      <c r="H785" s="57" t="s">
        <v>1914</v>
      </c>
      <c r="I785" s="57"/>
      <c r="J785" s="57"/>
      <c r="K785" s="57"/>
      <c r="L785" s="57"/>
      <c r="M785" s="57"/>
      <c r="N785" s="57"/>
      <c r="O785" s="57"/>
      <c r="P785" s="57"/>
      <c r="Q785" s="57"/>
      <c r="R785" s="57"/>
      <c r="S785" s="57"/>
      <c r="T785" s="57"/>
      <c r="U785" s="57"/>
      <c r="V785" s="57"/>
      <c r="W785" s="57"/>
      <c r="X785" s="57"/>
      <c r="Y785" s="57"/>
      <c r="Z785" s="57"/>
    </row>
    <row r="786">
      <c r="A786" s="58">
        <v>9089572.0</v>
      </c>
      <c r="B786" s="57" t="s">
        <v>1915</v>
      </c>
      <c r="C786" s="57" t="s">
        <v>247</v>
      </c>
      <c r="D786" s="58">
        <v>3.45</v>
      </c>
      <c r="E786" s="58">
        <v>2874.34</v>
      </c>
      <c r="F786" s="58">
        <v>4127461.0</v>
      </c>
      <c r="G786" s="57" t="s">
        <v>1916</v>
      </c>
      <c r="H786" s="57" t="s">
        <v>1917</v>
      </c>
      <c r="I786" s="57"/>
      <c r="J786" s="57"/>
      <c r="K786" s="57"/>
      <c r="L786" s="57"/>
      <c r="M786" s="57"/>
      <c r="N786" s="57"/>
      <c r="O786" s="57"/>
      <c r="P786" s="57"/>
      <c r="Q786" s="57"/>
      <c r="R786" s="57"/>
      <c r="S786" s="57"/>
      <c r="T786" s="57"/>
      <c r="U786" s="57"/>
      <c r="V786" s="57"/>
      <c r="W786" s="57"/>
      <c r="X786" s="57"/>
      <c r="Y786" s="57"/>
      <c r="Z786" s="57"/>
    </row>
    <row r="787">
      <c r="A787" s="58">
        <v>9089548.0</v>
      </c>
      <c r="B787" s="57" t="s">
        <v>1915</v>
      </c>
      <c r="C787" s="57" t="s">
        <v>247</v>
      </c>
      <c r="D787" s="58">
        <v>5.07</v>
      </c>
      <c r="E787" s="58">
        <v>2879.41</v>
      </c>
      <c r="F787" s="58">
        <v>4095491.0</v>
      </c>
      <c r="G787" s="57" t="s">
        <v>1918</v>
      </c>
      <c r="H787" s="57" t="s">
        <v>1919</v>
      </c>
      <c r="I787" s="57"/>
      <c r="J787" s="57"/>
      <c r="K787" s="57"/>
      <c r="L787" s="57"/>
      <c r="M787" s="57"/>
      <c r="N787" s="57"/>
      <c r="O787" s="57"/>
      <c r="P787" s="57"/>
      <c r="Q787" s="57"/>
      <c r="R787" s="57"/>
      <c r="S787" s="57"/>
      <c r="T787" s="57"/>
      <c r="U787" s="57"/>
      <c r="V787" s="57"/>
      <c r="W787" s="57"/>
      <c r="X787" s="57"/>
      <c r="Y787" s="57"/>
      <c r="Z787" s="57"/>
    </row>
    <row r="788">
      <c r="A788" s="58">
        <v>9089547.0</v>
      </c>
      <c r="B788" s="57" t="s">
        <v>1915</v>
      </c>
      <c r="C788" s="57" t="s">
        <v>247</v>
      </c>
      <c r="D788" s="58">
        <v>5.06</v>
      </c>
      <c r="E788" s="58">
        <v>2884.47</v>
      </c>
      <c r="F788" s="58">
        <v>4096860.0</v>
      </c>
      <c r="G788" s="57" t="s">
        <v>1920</v>
      </c>
      <c r="H788" s="57" t="s">
        <v>1921</v>
      </c>
      <c r="I788" s="57"/>
      <c r="J788" s="57"/>
      <c r="K788" s="57"/>
      <c r="L788" s="57"/>
      <c r="M788" s="57"/>
      <c r="N788" s="57"/>
      <c r="O788" s="57"/>
      <c r="P788" s="57"/>
      <c r="Q788" s="57"/>
      <c r="R788" s="57"/>
      <c r="S788" s="57"/>
      <c r="T788" s="57"/>
      <c r="U788" s="57"/>
      <c r="V788" s="57"/>
      <c r="W788" s="57"/>
      <c r="X788" s="57"/>
      <c r="Y788" s="57"/>
      <c r="Z788" s="57"/>
    </row>
    <row r="789">
      <c r="A789" s="58">
        <v>9089546.0</v>
      </c>
      <c r="B789" s="57" t="s">
        <v>1915</v>
      </c>
      <c r="C789" s="57" t="s">
        <v>247</v>
      </c>
      <c r="D789" s="58">
        <v>5.12</v>
      </c>
      <c r="E789" s="58">
        <v>2889.59</v>
      </c>
      <c r="F789" s="58">
        <v>4100582.0</v>
      </c>
      <c r="G789" s="57" t="s">
        <v>1922</v>
      </c>
      <c r="H789" s="57" t="s">
        <v>1923</v>
      </c>
      <c r="I789" s="57"/>
      <c r="J789" s="57"/>
      <c r="K789" s="57"/>
      <c r="L789" s="57"/>
      <c r="M789" s="57"/>
      <c r="N789" s="57"/>
      <c r="O789" s="57"/>
      <c r="P789" s="57"/>
      <c r="Q789" s="57"/>
      <c r="R789" s="57"/>
      <c r="S789" s="57"/>
      <c r="T789" s="57"/>
      <c r="U789" s="57"/>
      <c r="V789" s="57"/>
      <c r="W789" s="57"/>
      <c r="X789" s="57"/>
      <c r="Y789" s="57"/>
      <c r="Z789" s="57"/>
    </row>
    <row r="790">
      <c r="A790" s="58">
        <v>9089427.0</v>
      </c>
      <c r="B790" s="57" t="s">
        <v>1924</v>
      </c>
      <c r="C790" s="57" t="s">
        <v>247</v>
      </c>
      <c r="D790" s="58">
        <v>5.06</v>
      </c>
      <c r="E790" s="58">
        <v>2894.65</v>
      </c>
      <c r="F790" s="58">
        <v>4090304.0</v>
      </c>
      <c r="G790" s="57" t="s">
        <v>1925</v>
      </c>
      <c r="H790" s="57" t="s">
        <v>1926</v>
      </c>
      <c r="I790" s="57"/>
      <c r="J790" s="57"/>
      <c r="K790" s="57"/>
      <c r="L790" s="57"/>
      <c r="M790" s="57"/>
      <c r="N790" s="57"/>
      <c r="O790" s="57"/>
      <c r="P790" s="57"/>
      <c r="Q790" s="57"/>
      <c r="R790" s="57"/>
      <c r="S790" s="57"/>
      <c r="T790" s="57"/>
      <c r="U790" s="57"/>
      <c r="V790" s="57"/>
      <c r="W790" s="57"/>
      <c r="X790" s="57"/>
      <c r="Y790" s="57"/>
      <c r="Z790" s="57"/>
    </row>
    <row r="791">
      <c r="A791" s="58">
        <v>9089177.0</v>
      </c>
      <c r="B791" s="57" t="s">
        <v>1924</v>
      </c>
      <c r="C791" s="57" t="s">
        <v>247</v>
      </c>
      <c r="D791" s="58">
        <v>5.06</v>
      </c>
      <c r="E791" s="58">
        <v>2899.71</v>
      </c>
      <c r="F791" s="58">
        <v>4110684.0</v>
      </c>
      <c r="G791" s="57" t="s">
        <v>1927</v>
      </c>
      <c r="H791" s="57" t="s">
        <v>1928</v>
      </c>
      <c r="I791" s="57"/>
      <c r="J791" s="57"/>
      <c r="K791" s="57"/>
      <c r="L791" s="57"/>
      <c r="M791" s="57"/>
      <c r="N791" s="57"/>
      <c r="O791" s="57"/>
      <c r="P791" s="57"/>
      <c r="Q791" s="57"/>
      <c r="R791" s="57"/>
      <c r="S791" s="57"/>
      <c r="T791" s="57"/>
      <c r="U791" s="57"/>
      <c r="V791" s="57"/>
      <c r="W791" s="57"/>
      <c r="X791" s="57"/>
      <c r="Y791" s="57"/>
      <c r="Z791" s="57"/>
    </row>
    <row r="792">
      <c r="A792" s="58">
        <v>9089176.0</v>
      </c>
      <c r="B792" s="57" t="s">
        <v>1929</v>
      </c>
      <c r="C792" s="57" t="s">
        <v>247</v>
      </c>
      <c r="D792" s="58">
        <v>5.45</v>
      </c>
      <c r="E792" s="58">
        <v>2905.16</v>
      </c>
      <c r="F792" s="58">
        <v>4111355.0</v>
      </c>
      <c r="G792" s="57" t="s">
        <v>1930</v>
      </c>
      <c r="H792" s="57" t="s">
        <v>1931</v>
      </c>
      <c r="I792" s="57"/>
      <c r="J792" s="57"/>
      <c r="K792" s="57"/>
      <c r="L792" s="57"/>
      <c r="M792" s="57"/>
      <c r="N792" s="57"/>
      <c r="O792" s="57"/>
      <c r="P792" s="57"/>
      <c r="Q792" s="57"/>
      <c r="R792" s="57"/>
      <c r="S792" s="57"/>
      <c r="T792" s="57"/>
      <c r="U792" s="57"/>
      <c r="V792" s="57"/>
      <c r="W792" s="57"/>
      <c r="X792" s="57"/>
      <c r="Y792" s="57"/>
      <c r="Z792" s="57"/>
    </row>
    <row r="793">
      <c r="A793" s="58">
        <v>9089175.0</v>
      </c>
      <c r="B793" s="57" t="s">
        <v>1929</v>
      </c>
      <c r="C793" s="57" t="s">
        <v>247</v>
      </c>
      <c r="D793" s="58">
        <v>5.12</v>
      </c>
      <c r="E793" s="58">
        <v>2910.28</v>
      </c>
      <c r="F793" s="58">
        <v>4113550.0</v>
      </c>
      <c r="G793" s="57" t="s">
        <v>1932</v>
      </c>
      <c r="H793" s="57" t="s">
        <v>1933</v>
      </c>
      <c r="I793" s="57"/>
      <c r="J793" s="57"/>
      <c r="K793" s="57"/>
      <c r="L793" s="57"/>
      <c r="M793" s="57"/>
      <c r="N793" s="57"/>
      <c r="O793" s="57"/>
      <c r="P793" s="57"/>
      <c r="Q793" s="57"/>
      <c r="R793" s="57"/>
      <c r="S793" s="57"/>
      <c r="T793" s="57"/>
      <c r="U793" s="57"/>
      <c r="V793" s="57"/>
      <c r="W793" s="57"/>
      <c r="X793" s="57"/>
      <c r="Y793" s="57"/>
      <c r="Z793" s="57"/>
    </row>
    <row r="794">
      <c r="A794" s="58">
        <v>9089171.0</v>
      </c>
      <c r="B794" s="57" t="s">
        <v>1929</v>
      </c>
      <c r="C794" s="57" t="s">
        <v>247</v>
      </c>
      <c r="D794" s="58">
        <v>5.65</v>
      </c>
      <c r="E794" s="58">
        <v>2915.93</v>
      </c>
      <c r="F794" s="58">
        <v>4121676.0</v>
      </c>
      <c r="G794" s="57" t="s">
        <v>1934</v>
      </c>
      <c r="H794" s="57" t="s">
        <v>1935</v>
      </c>
      <c r="I794" s="57"/>
      <c r="J794" s="57"/>
      <c r="K794" s="57"/>
      <c r="L794" s="57"/>
      <c r="M794" s="57"/>
      <c r="N794" s="57"/>
      <c r="O794" s="57"/>
      <c r="P794" s="57"/>
      <c r="Q794" s="57"/>
      <c r="R794" s="57"/>
      <c r="S794" s="57"/>
      <c r="T794" s="57"/>
      <c r="U794" s="57"/>
      <c r="V794" s="57"/>
      <c r="W794" s="57"/>
      <c r="X794" s="57"/>
      <c r="Y794" s="57"/>
      <c r="Z794" s="57"/>
    </row>
    <row r="795">
      <c r="A795" s="58">
        <v>9088465.0</v>
      </c>
      <c r="B795" s="57" t="s">
        <v>1936</v>
      </c>
      <c r="C795" s="57" t="s">
        <v>247</v>
      </c>
      <c r="D795" s="58">
        <v>5.06</v>
      </c>
      <c r="E795" s="58">
        <v>2920.99</v>
      </c>
      <c r="F795" s="58">
        <v>4074136.0</v>
      </c>
      <c r="G795" s="57" t="s">
        <v>1937</v>
      </c>
      <c r="H795" s="57" t="s">
        <v>1938</v>
      </c>
      <c r="I795" s="57"/>
      <c r="J795" s="57"/>
      <c r="K795" s="57"/>
      <c r="L795" s="57"/>
      <c r="M795" s="57"/>
      <c r="N795" s="57"/>
      <c r="O795" s="57"/>
      <c r="P795" s="57"/>
      <c r="Q795" s="57"/>
      <c r="R795" s="57"/>
      <c r="S795" s="57"/>
      <c r="T795" s="57"/>
      <c r="U795" s="57"/>
      <c r="V795" s="57"/>
      <c r="W795" s="57"/>
      <c r="X795" s="57"/>
      <c r="Y795" s="57"/>
      <c r="Z795" s="57"/>
    </row>
    <row r="796">
      <c r="A796" s="58">
        <v>9066141.0</v>
      </c>
      <c r="B796" s="57" t="s">
        <v>1939</v>
      </c>
      <c r="C796" s="57" t="s">
        <v>210</v>
      </c>
      <c r="D796" s="58">
        <v>13.17</v>
      </c>
      <c r="E796" s="58">
        <v>2907.82</v>
      </c>
      <c r="F796" s="58">
        <v>4190595.0</v>
      </c>
      <c r="G796" s="57" t="s">
        <v>1940</v>
      </c>
      <c r="H796" s="57" t="s">
        <v>1941</v>
      </c>
      <c r="I796" s="57"/>
      <c r="J796" s="57"/>
      <c r="K796" s="57"/>
      <c r="L796" s="57"/>
      <c r="M796" s="57"/>
      <c r="N796" s="57"/>
      <c r="O796" s="57"/>
      <c r="P796" s="57"/>
      <c r="Q796" s="57"/>
      <c r="R796" s="57"/>
      <c r="S796" s="57"/>
      <c r="T796" s="57"/>
      <c r="U796" s="57"/>
      <c r="V796" s="57"/>
      <c r="W796" s="57"/>
      <c r="X796" s="57"/>
      <c r="Y796" s="57"/>
      <c r="Z796" s="57"/>
    </row>
    <row r="797">
      <c r="A797" s="58">
        <v>9064739.0</v>
      </c>
      <c r="B797" s="57" t="s">
        <v>1939</v>
      </c>
      <c r="C797" s="57" t="s">
        <v>210</v>
      </c>
      <c r="D797" s="58">
        <v>17.83</v>
      </c>
      <c r="E797" s="58">
        <v>2889.99</v>
      </c>
      <c r="F797" s="58">
        <v>4184898.0</v>
      </c>
      <c r="G797" s="57" t="s">
        <v>1942</v>
      </c>
      <c r="H797" s="57" t="s">
        <v>1943</v>
      </c>
      <c r="I797" s="57"/>
      <c r="J797" s="57"/>
      <c r="K797" s="57"/>
      <c r="L797" s="57"/>
      <c r="M797" s="57"/>
      <c r="N797" s="57"/>
      <c r="O797" s="57"/>
      <c r="P797" s="57"/>
      <c r="Q797" s="57"/>
      <c r="R797" s="57"/>
      <c r="S797" s="57"/>
      <c r="T797" s="57"/>
      <c r="U797" s="57"/>
      <c r="V797" s="57"/>
      <c r="W797" s="57"/>
      <c r="X797" s="57"/>
      <c r="Y797" s="57"/>
      <c r="Z797" s="57"/>
    </row>
    <row r="798">
      <c r="A798" s="58">
        <v>9062935.0</v>
      </c>
      <c r="B798" s="57" t="s">
        <v>1944</v>
      </c>
      <c r="C798" s="57" t="s">
        <v>210</v>
      </c>
      <c r="D798" s="58">
        <v>16.57</v>
      </c>
      <c r="E798" s="58">
        <v>2873.42</v>
      </c>
      <c r="F798" s="58">
        <v>4176975.0</v>
      </c>
      <c r="G798" s="58">
        <v>1.86507664E8</v>
      </c>
      <c r="H798" s="57" t="s">
        <v>1945</v>
      </c>
      <c r="I798" s="57"/>
      <c r="J798" s="57"/>
      <c r="K798" s="57"/>
      <c r="L798" s="57"/>
      <c r="M798" s="57"/>
      <c r="N798" s="57"/>
      <c r="O798" s="57"/>
      <c r="P798" s="57"/>
      <c r="Q798" s="57"/>
      <c r="R798" s="57"/>
      <c r="S798" s="57"/>
      <c r="T798" s="57"/>
      <c r="U798" s="57"/>
      <c r="V798" s="57"/>
      <c r="W798" s="57"/>
      <c r="X798" s="57"/>
      <c r="Y798" s="57"/>
      <c r="Z798" s="57"/>
    </row>
    <row r="799">
      <c r="A799" s="58">
        <v>9062817.0</v>
      </c>
      <c r="B799" s="57" t="s">
        <v>1944</v>
      </c>
      <c r="C799" s="57" t="s">
        <v>210</v>
      </c>
      <c r="D799" s="58">
        <v>11.89</v>
      </c>
      <c r="E799" s="58">
        <v>2861.53</v>
      </c>
      <c r="F799" s="58">
        <v>4176522.0</v>
      </c>
      <c r="G799" s="57" t="s">
        <v>1946</v>
      </c>
      <c r="H799" s="57" t="s">
        <v>1947</v>
      </c>
      <c r="I799" s="57"/>
      <c r="J799" s="57"/>
      <c r="K799" s="57"/>
      <c r="L799" s="57"/>
      <c r="M799" s="57"/>
      <c r="N799" s="57"/>
      <c r="O799" s="57"/>
      <c r="P799" s="57"/>
      <c r="Q799" s="57"/>
      <c r="R799" s="57"/>
      <c r="S799" s="57"/>
      <c r="T799" s="57"/>
      <c r="U799" s="57"/>
      <c r="V799" s="57"/>
      <c r="W799" s="57"/>
      <c r="X799" s="57"/>
      <c r="Y799" s="57"/>
      <c r="Z799" s="57"/>
    </row>
    <row r="800">
      <c r="A800" s="58">
        <v>9062674.0</v>
      </c>
      <c r="B800" s="57" t="s">
        <v>1944</v>
      </c>
      <c r="C800" s="57" t="s">
        <v>210</v>
      </c>
      <c r="D800" s="58">
        <v>14.34</v>
      </c>
      <c r="E800" s="58">
        <v>2847.19</v>
      </c>
      <c r="F800" s="58">
        <v>4175796.0</v>
      </c>
      <c r="G800" s="57" t="s">
        <v>1948</v>
      </c>
      <c r="H800" s="57" t="s">
        <v>1949</v>
      </c>
      <c r="I800" s="57"/>
      <c r="J800" s="57"/>
      <c r="K800" s="57"/>
      <c r="L800" s="57"/>
      <c r="M800" s="57"/>
      <c r="N800" s="57"/>
      <c r="O800" s="57"/>
      <c r="P800" s="57"/>
      <c r="Q800" s="57"/>
      <c r="R800" s="57"/>
      <c r="S800" s="57"/>
      <c r="T800" s="57"/>
      <c r="U800" s="57"/>
      <c r="V800" s="57"/>
      <c r="W800" s="57"/>
      <c r="X800" s="57"/>
      <c r="Y800" s="57"/>
      <c r="Z800" s="57"/>
    </row>
    <row r="801">
      <c r="A801" s="58">
        <v>9062668.0</v>
      </c>
      <c r="B801" s="57" t="s">
        <v>1944</v>
      </c>
      <c r="C801" s="57" t="s">
        <v>210</v>
      </c>
      <c r="D801" s="58">
        <v>14.34</v>
      </c>
      <c r="E801" s="58">
        <v>2832.85</v>
      </c>
      <c r="F801" s="58">
        <v>4175757.0</v>
      </c>
      <c r="G801" s="57" t="s">
        <v>1950</v>
      </c>
      <c r="H801" s="57" t="s">
        <v>1951</v>
      </c>
      <c r="I801" s="57"/>
      <c r="J801" s="57"/>
      <c r="K801" s="57"/>
      <c r="L801" s="57"/>
      <c r="M801" s="57"/>
      <c r="N801" s="57"/>
      <c r="O801" s="57"/>
      <c r="P801" s="57"/>
      <c r="Q801" s="57"/>
      <c r="R801" s="57"/>
      <c r="S801" s="57"/>
      <c r="T801" s="57"/>
      <c r="U801" s="57"/>
      <c r="V801" s="57"/>
      <c r="W801" s="57"/>
      <c r="X801" s="57"/>
      <c r="Y801" s="57"/>
      <c r="Z801" s="57"/>
    </row>
    <row r="802">
      <c r="A802" s="58">
        <v>9062554.0</v>
      </c>
      <c r="B802" s="57" t="s">
        <v>1944</v>
      </c>
      <c r="C802" s="57" t="s">
        <v>210</v>
      </c>
      <c r="D802" s="58">
        <v>11.89</v>
      </c>
      <c r="E802" s="58">
        <v>2820.96</v>
      </c>
      <c r="F802" s="58">
        <v>4175168.0</v>
      </c>
      <c r="G802" s="57" t="s">
        <v>1952</v>
      </c>
      <c r="H802" s="57" t="s">
        <v>1953</v>
      </c>
      <c r="I802" s="57"/>
      <c r="J802" s="57"/>
      <c r="K802" s="57"/>
      <c r="L802" s="57"/>
      <c r="M802" s="57"/>
      <c r="N802" s="57"/>
      <c r="O802" s="57"/>
      <c r="P802" s="57"/>
      <c r="Q802" s="57"/>
      <c r="R802" s="57"/>
      <c r="S802" s="57"/>
      <c r="T802" s="57"/>
      <c r="U802" s="57"/>
      <c r="V802" s="57"/>
      <c r="W802" s="57"/>
      <c r="X802" s="57"/>
      <c r="Y802" s="57"/>
      <c r="Z802" s="57"/>
    </row>
    <row r="803">
      <c r="A803" s="58">
        <v>9060989.0</v>
      </c>
      <c r="B803" s="57" t="s">
        <v>1944</v>
      </c>
      <c r="C803" s="57" t="s">
        <v>210</v>
      </c>
      <c r="D803" s="58">
        <v>16.57</v>
      </c>
      <c r="E803" s="58">
        <v>2804.39</v>
      </c>
      <c r="F803" s="58">
        <v>4168924.0</v>
      </c>
      <c r="G803" s="58">
        <v>1.86986059E8</v>
      </c>
      <c r="H803" s="57" t="s">
        <v>1954</v>
      </c>
      <c r="I803" s="57"/>
      <c r="J803" s="57"/>
      <c r="K803" s="57"/>
      <c r="L803" s="57"/>
      <c r="M803" s="57"/>
      <c r="N803" s="57"/>
      <c r="O803" s="57"/>
      <c r="P803" s="57"/>
      <c r="Q803" s="57"/>
      <c r="R803" s="57"/>
      <c r="S803" s="57"/>
      <c r="T803" s="57"/>
      <c r="U803" s="57"/>
      <c r="V803" s="57"/>
      <c r="W803" s="57"/>
      <c r="X803" s="57"/>
      <c r="Y803" s="57"/>
      <c r="Z803" s="57"/>
    </row>
    <row r="804">
      <c r="A804" s="58">
        <v>9060803.0</v>
      </c>
      <c r="B804" s="57" t="s">
        <v>1944</v>
      </c>
      <c r="C804" s="57" t="s">
        <v>210</v>
      </c>
      <c r="D804" s="58">
        <v>10.39</v>
      </c>
      <c r="E804" s="58">
        <v>2794.0</v>
      </c>
      <c r="F804" s="58">
        <v>4168304.0</v>
      </c>
      <c r="G804" s="57" t="s">
        <v>1955</v>
      </c>
      <c r="H804" s="57" t="s">
        <v>1956</v>
      </c>
      <c r="I804" s="57"/>
      <c r="J804" s="57"/>
      <c r="K804" s="57"/>
      <c r="L804" s="57"/>
      <c r="M804" s="57"/>
      <c r="N804" s="57"/>
      <c r="O804" s="57"/>
      <c r="P804" s="57"/>
      <c r="Q804" s="57"/>
      <c r="R804" s="57"/>
      <c r="S804" s="57"/>
      <c r="T804" s="57"/>
      <c r="U804" s="57"/>
      <c r="V804" s="57"/>
      <c r="W804" s="57"/>
      <c r="X804" s="57"/>
      <c r="Y804" s="57"/>
      <c r="Z804" s="57"/>
    </row>
    <row r="805">
      <c r="A805" s="58">
        <v>9060321.0</v>
      </c>
      <c r="B805" s="57" t="s">
        <v>1957</v>
      </c>
      <c r="C805" s="57" t="s">
        <v>210</v>
      </c>
      <c r="D805" s="58">
        <v>10.96</v>
      </c>
      <c r="E805" s="58">
        <v>2783.04</v>
      </c>
      <c r="F805" s="58">
        <v>4166077.0</v>
      </c>
      <c r="G805" s="57" t="s">
        <v>1958</v>
      </c>
      <c r="H805" s="57" t="s">
        <v>1959</v>
      </c>
      <c r="I805" s="57"/>
      <c r="J805" s="57"/>
      <c r="K805" s="57"/>
      <c r="L805" s="57"/>
      <c r="M805" s="57"/>
      <c r="N805" s="57"/>
      <c r="O805" s="57"/>
      <c r="P805" s="57"/>
      <c r="Q805" s="57"/>
      <c r="R805" s="57"/>
      <c r="S805" s="57"/>
      <c r="T805" s="57"/>
      <c r="U805" s="57"/>
      <c r="V805" s="57"/>
      <c r="W805" s="57"/>
      <c r="X805" s="57"/>
      <c r="Y805" s="57"/>
      <c r="Z805" s="57"/>
    </row>
    <row r="806">
      <c r="A806" s="58">
        <v>9060166.0</v>
      </c>
      <c r="B806" s="57" t="s">
        <v>1957</v>
      </c>
      <c r="C806" s="57" t="s">
        <v>210</v>
      </c>
      <c r="D806" s="58">
        <v>9.98</v>
      </c>
      <c r="E806" s="58">
        <v>2773.06</v>
      </c>
      <c r="F806" s="58">
        <v>4165247.0</v>
      </c>
      <c r="G806" s="58">
        <v>1.86487426E8</v>
      </c>
      <c r="H806" s="57" t="s">
        <v>1960</v>
      </c>
      <c r="I806" s="57"/>
      <c r="J806" s="57"/>
      <c r="K806" s="57"/>
      <c r="L806" s="57"/>
      <c r="M806" s="57"/>
      <c r="N806" s="57"/>
      <c r="O806" s="57"/>
      <c r="P806" s="57"/>
      <c r="Q806" s="57"/>
      <c r="R806" s="57"/>
      <c r="S806" s="57"/>
      <c r="T806" s="57"/>
      <c r="U806" s="57"/>
      <c r="V806" s="57"/>
      <c r="W806" s="57"/>
      <c r="X806" s="57"/>
      <c r="Y806" s="57"/>
      <c r="Z806" s="57"/>
    </row>
    <row r="807">
      <c r="A807" s="58">
        <v>9059930.0</v>
      </c>
      <c r="B807" s="57" t="s">
        <v>1957</v>
      </c>
      <c r="C807" s="57" t="s">
        <v>210</v>
      </c>
      <c r="D807" s="58">
        <v>13.17</v>
      </c>
      <c r="E807" s="58">
        <v>2759.89</v>
      </c>
      <c r="F807" s="58">
        <v>4164088.0</v>
      </c>
      <c r="G807" s="57" t="s">
        <v>1961</v>
      </c>
      <c r="H807" s="57" t="s">
        <v>1962</v>
      </c>
      <c r="I807" s="57"/>
      <c r="J807" s="57"/>
      <c r="K807" s="57"/>
      <c r="L807" s="57"/>
      <c r="M807" s="57"/>
      <c r="N807" s="57"/>
      <c r="O807" s="57"/>
      <c r="P807" s="57"/>
      <c r="Q807" s="57"/>
      <c r="R807" s="57"/>
      <c r="S807" s="57"/>
      <c r="T807" s="57"/>
      <c r="U807" s="57"/>
      <c r="V807" s="57"/>
      <c r="W807" s="57"/>
      <c r="X807" s="57"/>
      <c r="Y807" s="57"/>
      <c r="Z807" s="57"/>
    </row>
    <row r="808">
      <c r="A808" s="58">
        <v>9058711.0</v>
      </c>
      <c r="B808" s="57" t="s">
        <v>1957</v>
      </c>
      <c r="C808" s="57" t="s">
        <v>210</v>
      </c>
      <c r="D808" s="58">
        <v>14.34</v>
      </c>
      <c r="E808" s="58">
        <v>2745.55</v>
      </c>
      <c r="F808" s="58">
        <v>4158470.0</v>
      </c>
      <c r="G808" s="57" t="s">
        <v>1963</v>
      </c>
      <c r="H808" s="57" t="s">
        <v>1964</v>
      </c>
      <c r="I808" s="57"/>
      <c r="J808" s="57"/>
      <c r="K808" s="57"/>
      <c r="L808" s="57"/>
      <c r="M808" s="57"/>
      <c r="N808" s="57"/>
      <c r="O808" s="57"/>
      <c r="P808" s="57"/>
      <c r="Q808" s="57"/>
      <c r="R808" s="57"/>
      <c r="S808" s="57"/>
      <c r="T808" s="57"/>
      <c r="U808" s="57"/>
      <c r="V808" s="57"/>
      <c r="W808" s="57"/>
      <c r="X808" s="57"/>
      <c r="Y808" s="57"/>
      <c r="Z808" s="57"/>
    </row>
    <row r="809">
      <c r="A809" s="58">
        <v>9058341.0</v>
      </c>
      <c r="B809" s="57" t="s">
        <v>1957</v>
      </c>
      <c r="C809" s="57" t="s">
        <v>210</v>
      </c>
      <c r="D809" s="58">
        <v>11.89</v>
      </c>
      <c r="E809" s="58">
        <v>2733.66</v>
      </c>
      <c r="F809" s="58">
        <v>4156752.0</v>
      </c>
      <c r="G809" s="57" t="s">
        <v>1965</v>
      </c>
      <c r="H809" s="57" t="s">
        <v>1966</v>
      </c>
      <c r="I809" s="57"/>
      <c r="J809" s="57"/>
      <c r="K809" s="57"/>
      <c r="L809" s="57"/>
      <c r="M809" s="57"/>
      <c r="N809" s="57"/>
      <c r="O809" s="57"/>
      <c r="P809" s="57"/>
      <c r="Q809" s="57"/>
      <c r="R809" s="57"/>
      <c r="S809" s="57"/>
      <c r="T809" s="57"/>
      <c r="U809" s="57"/>
      <c r="V809" s="57"/>
      <c r="W809" s="57"/>
      <c r="X809" s="57"/>
      <c r="Y809" s="57"/>
      <c r="Z809" s="57"/>
    </row>
    <row r="810">
      <c r="A810" s="58">
        <v>9058186.0</v>
      </c>
      <c r="B810" s="57" t="s">
        <v>1957</v>
      </c>
      <c r="C810" s="57" t="s">
        <v>210</v>
      </c>
      <c r="D810" s="58">
        <v>9.98</v>
      </c>
      <c r="E810" s="58">
        <v>2723.68</v>
      </c>
      <c r="F810" s="58">
        <v>4155810.0</v>
      </c>
      <c r="G810" s="58">
        <v>1.86487431E8</v>
      </c>
      <c r="H810" s="57" t="s">
        <v>1967</v>
      </c>
      <c r="I810" s="57"/>
      <c r="J810" s="57"/>
      <c r="K810" s="57"/>
      <c r="L810" s="57"/>
      <c r="M810" s="57"/>
      <c r="N810" s="57"/>
      <c r="O810" s="57"/>
      <c r="P810" s="57"/>
      <c r="Q810" s="57"/>
      <c r="R810" s="57"/>
      <c r="S810" s="57"/>
      <c r="T810" s="57"/>
      <c r="U810" s="57"/>
      <c r="V810" s="57"/>
      <c r="W810" s="57"/>
      <c r="X810" s="57"/>
      <c r="Y810" s="57"/>
      <c r="Z810" s="57"/>
    </row>
    <row r="811">
      <c r="A811" s="58">
        <v>9057885.0</v>
      </c>
      <c r="B811" s="57" t="s">
        <v>1957</v>
      </c>
      <c r="C811" s="57" t="s">
        <v>210</v>
      </c>
      <c r="D811" s="58">
        <v>16.79</v>
      </c>
      <c r="E811" s="58">
        <v>2706.89</v>
      </c>
      <c r="F811" s="58">
        <v>4153810.0</v>
      </c>
      <c r="G811" s="57" t="s">
        <v>1968</v>
      </c>
      <c r="H811" s="57" t="s">
        <v>1969</v>
      </c>
      <c r="I811" s="57"/>
      <c r="J811" s="57"/>
      <c r="K811" s="57"/>
      <c r="L811" s="57"/>
      <c r="M811" s="57"/>
      <c r="N811" s="57"/>
      <c r="O811" s="57"/>
      <c r="P811" s="57"/>
      <c r="Q811" s="57"/>
      <c r="R811" s="57"/>
      <c r="S811" s="57"/>
      <c r="T811" s="57"/>
      <c r="U811" s="57"/>
      <c r="V811" s="57"/>
      <c r="W811" s="57"/>
      <c r="X811" s="57"/>
      <c r="Y811" s="57"/>
      <c r="Z811" s="57"/>
    </row>
    <row r="812">
      <c r="A812" s="58">
        <v>9057718.0</v>
      </c>
      <c r="B812" s="57" t="s">
        <v>1957</v>
      </c>
      <c r="C812" s="57" t="s">
        <v>210</v>
      </c>
      <c r="D812" s="58">
        <v>10.96</v>
      </c>
      <c r="E812" s="58">
        <v>2695.93</v>
      </c>
      <c r="F812" s="58">
        <v>4151939.0</v>
      </c>
      <c r="G812" s="57" t="s">
        <v>1970</v>
      </c>
      <c r="H812" s="57" t="s">
        <v>1971</v>
      </c>
      <c r="I812" s="57"/>
      <c r="J812" s="57"/>
      <c r="K812" s="57"/>
      <c r="L812" s="57"/>
      <c r="M812" s="57"/>
      <c r="N812" s="57"/>
      <c r="O812" s="57"/>
      <c r="P812" s="57"/>
      <c r="Q812" s="57"/>
      <c r="R812" s="57"/>
      <c r="S812" s="57"/>
      <c r="T812" s="57"/>
      <c r="U812" s="57"/>
      <c r="V812" s="57"/>
      <c r="W812" s="57"/>
      <c r="X812" s="57"/>
      <c r="Y812" s="57"/>
      <c r="Z812" s="57"/>
    </row>
    <row r="813">
      <c r="A813" s="58">
        <v>9056634.0</v>
      </c>
      <c r="B813" s="57" t="s">
        <v>1957</v>
      </c>
      <c r="C813" s="57" t="s">
        <v>210</v>
      </c>
      <c r="D813" s="58">
        <v>9.98</v>
      </c>
      <c r="E813" s="58">
        <v>2685.95</v>
      </c>
      <c r="F813" s="58">
        <v>4142429.0</v>
      </c>
      <c r="G813" s="58">
        <v>1.86974702E8</v>
      </c>
      <c r="H813" s="57" t="s">
        <v>1972</v>
      </c>
      <c r="I813" s="57"/>
      <c r="J813" s="57"/>
      <c r="K813" s="57"/>
      <c r="L813" s="57"/>
      <c r="M813" s="57"/>
      <c r="N813" s="57"/>
      <c r="O813" s="57"/>
      <c r="P813" s="57"/>
      <c r="Q813" s="57"/>
      <c r="R813" s="57"/>
      <c r="S813" s="57"/>
      <c r="T813" s="57"/>
      <c r="U813" s="57"/>
      <c r="V813" s="57"/>
      <c r="W813" s="57"/>
      <c r="X813" s="57"/>
      <c r="Y813" s="57"/>
      <c r="Z813" s="57"/>
    </row>
    <row r="814">
      <c r="A814" s="58">
        <v>9054948.0</v>
      </c>
      <c r="B814" s="57" t="s">
        <v>1973</v>
      </c>
      <c r="C814" s="57" t="s">
        <v>210</v>
      </c>
      <c r="D814" s="58">
        <v>13.46</v>
      </c>
      <c r="E814" s="58">
        <v>2672.49</v>
      </c>
      <c r="F814" s="58">
        <v>4113979.0</v>
      </c>
      <c r="G814" s="57" t="s">
        <v>1974</v>
      </c>
      <c r="H814" s="57" t="s">
        <v>1975</v>
      </c>
      <c r="I814" s="57"/>
      <c r="J814" s="57"/>
      <c r="K814" s="57"/>
      <c r="L814" s="57"/>
      <c r="M814" s="57"/>
      <c r="N814" s="57"/>
      <c r="O814" s="57"/>
      <c r="P814" s="57"/>
      <c r="Q814" s="57"/>
      <c r="R814" s="57"/>
      <c r="S814" s="57"/>
      <c r="T814" s="57"/>
      <c r="U814" s="57"/>
      <c r="V814" s="57"/>
      <c r="W814" s="57"/>
      <c r="X814" s="57"/>
      <c r="Y814" s="57"/>
      <c r="Z814" s="57"/>
    </row>
    <row r="815">
      <c r="A815" s="58">
        <v>9054931.0</v>
      </c>
      <c r="B815" s="57" t="s">
        <v>1973</v>
      </c>
      <c r="C815" s="57" t="s">
        <v>210</v>
      </c>
      <c r="D815" s="58">
        <v>11.67</v>
      </c>
      <c r="E815" s="58">
        <v>2660.82</v>
      </c>
      <c r="F815" s="58">
        <v>4113567.0</v>
      </c>
      <c r="G815" s="58">
        <v>1.86966911E8</v>
      </c>
      <c r="H815" s="57" t="s">
        <v>1976</v>
      </c>
      <c r="I815" s="57"/>
      <c r="J815" s="57"/>
      <c r="K815" s="57"/>
      <c r="L815" s="57"/>
      <c r="M815" s="57"/>
      <c r="N815" s="57"/>
      <c r="O815" s="57"/>
      <c r="P815" s="57"/>
      <c r="Q815" s="57"/>
      <c r="R815" s="57"/>
      <c r="S815" s="57"/>
      <c r="T815" s="57"/>
      <c r="U815" s="57"/>
      <c r="V815" s="57"/>
      <c r="W815" s="57"/>
      <c r="X815" s="57"/>
      <c r="Y815" s="57"/>
      <c r="Z815" s="57"/>
    </row>
    <row r="816">
      <c r="A816" s="58">
        <v>9054892.0</v>
      </c>
      <c r="B816" s="57" t="s">
        <v>1973</v>
      </c>
      <c r="C816" s="57" t="s">
        <v>210</v>
      </c>
      <c r="D816" s="58">
        <v>10.96</v>
      </c>
      <c r="E816" s="58">
        <v>2649.86</v>
      </c>
      <c r="F816" s="58">
        <v>4112195.0</v>
      </c>
      <c r="G816" s="57" t="s">
        <v>1977</v>
      </c>
      <c r="H816" s="57" t="s">
        <v>1978</v>
      </c>
      <c r="I816" s="57"/>
      <c r="J816" s="57"/>
      <c r="K816" s="57"/>
      <c r="L816" s="57"/>
      <c r="M816" s="57"/>
      <c r="N816" s="57"/>
      <c r="O816" s="57"/>
      <c r="P816" s="57"/>
      <c r="Q816" s="57"/>
      <c r="R816" s="57"/>
      <c r="S816" s="57"/>
      <c r="T816" s="57"/>
      <c r="U816" s="57"/>
      <c r="V816" s="57"/>
      <c r="W816" s="57"/>
      <c r="X816" s="57"/>
      <c r="Y816" s="57"/>
      <c r="Z816" s="57"/>
    </row>
    <row r="817">
      <c r="A817" s="58">
        <v>9054803.0</v>
      </c>
      <c r="B817" s="57" t="s">
        <v>1973</v>
      </c>
      <c r="C817" s="57" t="s">
        <v>210</v>
      </c>
      <c r="D817" s="58">
        <v>10.96</v>
      </c>
      <c r="E817" s="58">
        <v>2638.9</v>
      </c>
      <c r="F817" s="58">
        <v>4109817.0</v>
      </c>
      <c r="G817" s="57" t="s">
        <v>1979</v>
      </c>
      <c r="H817" s="57" t="s">
        <v>1980</v>
      </c>
      <c r="I817" s="57"/>
      <c r="J817" s="57"/>
      <c r="K817" s="57"/>
      <c r="L817" s="57"/>
      <c r="M817" s="57"/>
      <c r="N817" s="57"/>
      <c r="O817" s="57"/>
      <c r="P817" s="57"/>
      <c r="Q817" s="57"/>
      <c r="R817" s="57"/>
      <c r="S817" s="57"/>
      <c r="T817" s="57"/>
      <c r="U817" s="57"/>
      <c r="V817" s="57"/>
      <c r="W817" s="57"/>
      <c r="X817" s="57"/>
      <c r="Y817" s="57"/>
      <c r="Z817" s="57"/>
    </row>
    <row r="818">
      <c r="A818" s="58">
        <v>9054704.0</v>
      </c>
      <c r="B818" s="57" t="s">
        <v>1973</v>
      </c>
      <c r="C818" s="57" t="s">
        <v>210</v>
      </c>
      <c r="D818" s="58">
        <v>10.96</v>
      </c>
      <c r="E818" s="58">
        <v>2627.94</v>
      </c>
      <c r="F818" s="58">
        <v>4106967.0</v>
      </c>
      <c r="G818" s="57" t="s">
        <v>1981</v>
      </c>
      <c r="H818" s="57" t="s">
        <v>1982</v>
      </c>
      <c r="I818" s="57"/>
      <c r="J818" s="57"/>
      <c r="K818" s="57"/>
      <c r="L818" s="57"/>
      <c r="M818" s="57"/>
      <c r="N818" s="57"/>
      <c r="O818" s="57"/>
      <c r="P818" s="57"/>
      <c r="Q818" s="57"/>
      <c r="R818" s="57"/>
      <c r="S818" s="57"/>
      <c r="T818" s="57"/>
      <c r="U818" s="57"/>
      <c r="V818" s="57"/>
      <c r="W818" s="57"/>
      <c r="X818" s="57"/>
      <c r="Y818" s="57"/>
      <c r="Z818" s="57"/>
    </row>
    <row r="819">
      <c r="A819" s="58">
        <v>9054679.0</v>
      </c>
      <c r="B819" s="57" t="s">
        <v>1973</v>
      </c>
      <c r="C819" s="57" t="s">
        <v>210</v>
      </c>
      <c r="D819" s="58">
        <v>14.9</v>
      </c>
      <c r="E819" s="58">
        <v>2613.04</v>
      </c>
      <c r="F819" s="58">
        <v>4106636.0</v>
      </c>
      <c r="G819" s="57" t="s">
        <v>1983</v>
      </c>
      <c r="H819" s="57" t="s">
        <v>1984</v>
      </c>
      <c r="I819" s="57"/>
      <c r="J819" s="57"/>
      <c r="K819" s="57"/>
      <c r="L819" s="57"/>
      <c r="M819" s="57"/>
      <c r="N819" s="57"/>
      <c r="O819" s="57"/>
      <c r="P819" s="57"/>
      <c r="Q819" s="57"/>
      <c r="R819" s="57"/>
      <c r="S819" s="57"/>
      <c r="T819" s="57"/>
      <c r="U819" s="57"/>
      <c r="V819" s="57"/>
      <c r="W819" s="57"/>
      <c r="X819" s="57"/>
      <c r="Y819" s="57"/>
      <c r="Z819" s="57"/>
    </row>
    <row r="820">
      <c r="A820" s="58">
        <v>9054282.0</v>
      </c>
      <c r="B820" s="57" t="s">
        <v>1973</v>
      </c>
      <c r="C820" s="57" t="s">
        <v>210</v>
      </c>
      <c r="D820" s="58">
        <v>11.43</v>
      </c>
      <c r="E820" s="58">
        <v>2601.61</v>
      </c>
      <c r="F820" s="58">
        <v>4096790.0</v>
      </c>
      <c r="G820" s="58">
        <v>1.86973356E8</v>
      </c>
      <c r="H820" s="57" t="s">
        <v>1985</v>
      </c>
      <c r="I820" s="57"/>
      <c r="J820" s="57"/>
      <c r="K820" s="57"/>
      <c r="L820" s="57"/>
      <c r="M820" s="57"/>
      <c r="N820" s="57"/>
      <c r="O820" s="57"/>
      <c r="P820" s="57"/>
      <c r="Q820" s="57"/>
      <c r="R820" s="57"/>
      <c r="S820" s="57"/>
      <c r="T820" s="57"/>
      <c r="U820" s="57"/>
      <c r="V820" s="57"/>
      <c r="W820" s="57"/>
      <c r="X820" s="57"/>
      <c r="Y820" s="57"/>
      <c r="Z820" s="57"/>
    </row>
    <row r="821">
      <c r="A821" s="58">
        <v>9052121.0</v>
      </c>
      <c r="B821" s="57" t="s">
        <v>1986</v>
      </c>
      <c r="C821" s="57" t="s">
        <v>247</v>
      </c>
      <c r="D821" s="58">
        <v>0.85</v>
      </c>
      <c r="E821" s="58">
        <v>2602.46</v>
      </c>
      <c r="F821" s="58">
        <v>3818294.0</v>
      </c>
      <c r="G821" s="57" t="s">
        <v>1987</v>
      </c>
      <c r="H821" s="57" t="s">
        <v>1988</v>
      </c>
      <c r="I821" s="57"/>
      <c r="J821" s="57"/>
      <c r="K821" s="57"/>
      <c r="L821" s="57"/>
      <c r="M821" s="57"/>
      <c r="N821" s="57"/>
      <c r="O821" s="57"/>
      <c r="P821" s="57"/>
      <c r="Q821" s="57"/>
      <c r="R821" s="57"/>
      <c r="S821" s="57"/>
      <c r="T821" s="57"/>
      <c r="U821" s="57"/>
      <c r="V821" s="57"/>
      <c r="W821" s="57"/>
      <c r="X821" s="57"/>
      <c r="Y821" s="57"/>
      <c r="Z821" s="57"/>
    </row>
    <row r="822">
      <c r="A822" s="58">
        <v>9052120.0</v>
      </c>
      <c r="B822" s="57" t="s">
        <v>1986</v>
      </c>
      <c r="C822" s="57" t="s">
        <v>247</v>
      </c>
      <c r="D822" s="58">
        <v>4.73</v>
      </c>
      <c r="E822" s="58">
        <v>2607.19</v>
      </c>
      <c r="F822" s="58">
        <v>3818294.0</v>
      </c>
      <c r="G822" s="57" t="s">
        <v>1987</v>
      </c>
      <c r="H822" s="57" t="s">
        <v>1989</v>
      </c>
      <c r="I822" s="57"/>
      <c r="J822" s="57"/>
      <c r="K822" s="57"/>
      <c r="L822" s="57"/>
      <c r="M822" s="57"/>
      <c r="N822" s="57"/>
      <c r="O822" s="57"/>
      <c r="P822" s="57"/>
      <c r="Q822" s="57"/>
      <c r="R822" s="57"/>
      <c r="S822" s="57"/>
      <c r="T822" s="57"/>
      <c r="U822" s="57"/>
      <c r="V822" s="57"/>
      <c r="W822" s="57"/>
      <c r="X822" s="57"/>
      <c r="Y822" s="57"/>
      <c r="Z822" s="57"/>
    </row>
    <row r="823">
      <c r="A823" s="58">
        <v>9051450.0</v>
      </c>
      <c r="B823" s="57" t="s">
        <v>1990</v>
      </c>
      <c r="C823" s="57" t="s">
        <v>247</v>
      </c>
      <c r="D823" s="58">
        <v>0.85</v>
      </c>
      <c r="E823" s="58">
        <v>2608.04</v>
      </c>
      <c r="F823" s="58">
        <v>3640980.0</v>
      </c>
      <c r="G823" s="57" t="s">
        <v>1991</v>
      </c>
      <c r="H823" s="57" t="s">
        <v>1992</v>
      </c>
      <c r="I823" s="57"/>
      <c r="J823" s="57"/>
      <c r="K823" s="57"/>
      <c r="L823" s="57"/>
      <c r="M823" s="57"/>
      <c r="N823" s="57"/>
      <c r="O823" s="57"/>
      <c r="P823" s="57"/>
      <c r="Q823" s="57"/>
      <c r="R823" s="57"/>
      <c r="S823" s="57"/>
      <c r="T823" s="57"/>
      <c r="U823" s="57"/>
      <c r="V823" s="57"/>
      <c r="W823" s="57"/>
      <c r="X823" s="57"/>
      <c r="Y823" s="57"/>
      <c r="Z823" s="57"/>
    </row>
    <row r="824">
      <c r="A824" s="58">
        <v>9051449.0</v>
      </c>
      <c r="B824" s="57" t="s">
        <v>1990</v>
      </c>
      <c r="C824" s="57" t="s">
        <v>247</v>
      </c>
      <c r="D824" s="58">
        <v>4.76</v>
      </c>
      <c r="E824" s="58">
        <v>2612.8</v>
      </c>
      <c r="F824" s="58">
        <v>3640980.0</v>
      </c>
      <c r="G824" s="57" t="s">
        <v>1991</v>
      </c>
      <c r="H824" s="57" t="s">
        <v>1993</v>
      </c>
      <c r="I824" s="57"/>
      <c r="J824" s="57"/>
      <c r="K824" s="57"/>
      <c r="L824" s="57"/>
      <c r="M824" s="57"/>
      <c r="N824" s="57"/>
      <c r="O824" s="57"/>
      <c r="P824" s="57"/>
      <c r="Q824" s="57"/>
      <c r="R824" s="57"/>
      <c r="S824" s="57"/>
      <c r="T824" s="57"/>
      <c r="U824" s="57"/>
      <c r="V824" s="57"/>
      <c r="W824" s="57"/>
      <c r="X824" s="57"/>
      <c r="Y824" s="57"/>
      <c r="Z824" s="57"/>
    </row>
    <row r="825">
      <c r="A825" s="58">
        <v>9051410.0</v>
      </c>
      <c r="B825" s="57" t="s">
        <v>1994</v>
      </c>
      <c r="C825" s="57" t="s">
        <v>247</v>
      </c>
      <c r="D825" s="58">
        <v>0.85</v>
      </c>
      <c r="E825" s="58">
        <v>2613.65</v>
      </c>
      <c r="F825" s="58">
        <v>3597967.0</v>
      </c>
      <c r="G825" s="57" t="s">
        <v>1995</v>
      </c>
      <c r="H825" s="57" t="s">
        <v>1996</v>
      </c>
      <c r="I825" s="57"/>
      <c r="J825" s="57"/>
      <c r="K825" s="57"/>
      <c r="L825" s="57"/>
      <c r="M825" s="57"/>
      <c r="N825" s="57"/>
      <c r="O825" s="57"/>
      <c r="P825" s="57"/>
      <c r="Q825" s="57"/>
      <c r="R825" s="57"/>
      <c r="S825" s="57"/>
      <c r="T825" s="57"/>
      <c r="U825" s="57"/>
      <c r="V825" s="57"/>
      <c r="W825" s="57"/>
      <c r="X825" s="57"/>
      <c r="Y825" s="57"/>
      <c r="Z825" s="57"/>
    </row>
    <row r="826">
      <c r="A826" s="58">
        <v>9051409.0</v>
      </c>
      <c r="B826" s="57" t="s">
        <v>1994</v>
      </c>
      <c r="C826" s="57" t="s">
        <v>247</v>
      </c>
      <c r="D826" s="58">
        <v>4.73</v>
      </c>
      <c r="E826" s="58">
        <v>2618.38</v>
      </c>
      <c r="F826" s="58">
        <v>3597967.0</v>
      </c>
      <c r="G826" s="57" t="s">
        <v>1995</v>
      </c>
      <c r="H826" s="57" t="s">
        <v>1997</v>
      </c>
      <c r="I826" s="57"/>
      <c r="J826" s="57"/>
      <c r="K826" s="57"/>
      <c r="L826" s="57"/>
      <c r="M826" s="57"/>
      <c r="N826" s="57"/>
      <c r="O826" s="57"/>
      <c r="P826" s="57"/>
      <c r="Q826" s="57"/>
      <c r="R826" s="57"/>
      <c r="S826" s="57"/>
      <c r="T826" s="57"/>
      <c r="U826" s="57"/>
      <c r="V826" s="57"/>
      <c r="W826" s="57"/>
      <c r="X826" s="57"/>
      <c r="Y826" s="57"/>
      <c r="Z826" s="57"/>
    </row>
    <row r="827">
      <c r="A827" s="58">
        <v>9050802.0</v>
      </c>
      <c r="B827" s="57" t="s">
        <v>1998</v>
      </c>
      <c r="C827" s="57" t="s">
        <v>247</v>
      </c>
      <c r="D827" s="58">
        <v>5.07</v>
      </c>
      <c r="E827" s="58">
        <v>2623.45</v>
      </c>
      <c r="F827" s="58">
        <v>4093448.0</v>
      </c>
      <c r="G827" s="57" t="s">
        <v>1999</v>
      </c>
      <c r="H827" s="57" t="s">
        <v>2000</v>
      </c>
      <c r="I827" s="57"/>
      <c r="J827" s="57"/>
      <c r="K827" s="57"/>
      <c r="L827" s="57"/>
      <c r="M827" s="57"/>
      <c r="N827" s="57"/>
      <c r="O827" s="57"/>
      <c r="P827" s="57"/>
      <c r="Q827" s="57"/>
      <c r="R827" s="57"/>
      <c r="S827" s="57"/>
      <c r="T827" s="57"/>
      <c r="U827" s="57"/>
      <c r="V827" s="57"/>
      <c r="W827" s="57"/>
      <c r="X827" s="57"/>
      <c r="Y827" s="57"/>
      <c r="Z827" s="57"/>
    </row>
    <row r="828">
      <c r="A828" s="58">
        <v>9050784.0</v>
      </c>
      <c r="B828" s="57" t="s">
        <v>1998</v>
      </c>
      <c r="C828" s="57" t="s">
        <v>247</v>
      </c>
      <c r="D828" s="58">
        <v>5.12</v>
      </c>
      <c r="E828" s="58">
        <v>2628.57</v>
      </c>
      <c r="F828" s="58">
        <v>4138258.0</v>
      </c>
      <c r="G828" s="57" t="s">
        <v>2001</v>
      </c>
      <c r="H828" s="57" t="s">
        <v>2002</v>
      </c>
      <c r="I828" s="57"/>
      <c r="J828" s="57"/>
      <c r="K828" s="57"/>
      <c r="L828" s="57"/>
      <c r="M828" s="57"/>
      <c r="N828" s="57"/>
      <c r="O828" s="57"/>
      <c r="P828" s="57"/>
      <c r="Q828" s="57"/>
      <c r="R828" s="57"/>
      <c r="S828" s="57"/>
      <c r="T828" s="57"/>
      <c r="U828" s="57"/>
      <c r="V828" s="57"/>
      <c r="W828" s="57"/>
      <c r="X828" s="57"/>
      <c r="Y828" s="57"/>
      <c r="Z828" s="57"/>
    </row>
    <row r="829">
      <c r="A829" s="58">
        <v>9050783.0</v>
      </c>
      <c r="B829" s="57" t="s">
        <v>1998</v>
      </c>
      <c r="C829" s="57" t="s">
        <v>247</v>
      </c>
      <c r="D829" s="58">
        <v>4.03</v>
      </c>
      <c r="E829" s="58">
        <v>2632.59</v>
      </c>
      <c r="F829" s="58">
        <v>4136790.0</v>
      </c>
      <c r="G829" s="57" t="s">
        <v>2003</v>
      </c>
      <c r="H829" s="57" t="s">
        <v>2004</v>
      </c>
      <c r="I829" s="57"/>
      <c r="J829" s="57"/>
      <c r="K829" s="57"/>
      <c r="L829" s="57"/>
      <c r="M829" s="57"/>
      <c r="N829" s="57"/>
      <c r="O829" s="57"/>
      <c r="P829" s="57"/>
      <c r="Q829" s="57"/>
      <c r="R829" s="57"/>
      <c r="S829" s="57"/>
      <c r="T829" s="57"/>
      <c r="U829" s="57"/>
      <c r="V829" s="57"/>
      <c r="W829" s="57"/>
      <c r="X829" s="57"/>
      <c r="Y829" s="57"/>
      <c r="Z829" s="57"/>
    </row>
    <row r="830">
      <c r="A830" s="58">
        <v>9050465.0</v>
      </c>
      <c r="B830" s="57" t="s">
        <v>2005</v>
      </c>
      <c r="C830" s="57" t="s">
        <v>247</v>
      </c>
      <c r="D830" s="58">
        <v>5.2</v>
      </c>
      <c r="E830" s="58">
        <v>2637.79</v>
      </c>
      <c r="F830" s="58">
        <v>4128666.0</v>
      </c>
      <c r="G830" s="57" t="s">
        <v>2006</v>
      </c>
      <c r="H830" s="57" t="s">
        <v>2007</v>
      </c>
      <c r="I830" s="57"/>
      <c r="J830" s="57"/>
      <c r="K830" s="57"/>
      <c r="L830" s="57"/>
      <c r="M830" s="57"/>
      <c r="N830" s="57"/>
      <c r="O830" s="57"/>
      <c r="P830" s="57"/>
      <c r="Q830" s="57"/>
      <c r="R830" s="57"/>
      <c r="S830" s="57"/>
      <c r="T830" s="57"/>
      <c r="U830" s="57"/>
      <c r="V830" s="57"/>
      <c r="W830" s="57"/>
      <c r="X830" s="57"/>
      <c r="Y830" s="57"/>
      <c r="Z830" s="57"/>
    </row>
    <row r="831">
      <c r="A831" s="58">
        <v>9029570.0</v>
      </c>
      <c r="B831" s="57" t="s">
        <v>2008</v>
      </c>
      <c r="C831" s="57" t="s">
        <v>210</v>
      </c>
      <c r="D831" s="58">
        <v>18.4</v>
      </c>
      <c r="E831" s="58">
        <v>2619.39</v>
      </c>
      <c r="F831" s="58">
        <v>4176880.0</v>
      </c>
      <c r="G831" s="57" t="s">
        <v>2009</v>
      </c>
      <c r="H831" s="57" t="s">
        <v>2010</v>
      </c>
      <c r="I831" s="57"/>
      <c r="J831" s="57"/>
      <c r="K831" s="57"/>
      <c r="L831" s="57"/>
      <c r="M831" s="57"/>
      <c r="N831" s="57"/>
      <c r="O831" s="57"/>
      <c r="P831" s="57"/>
      <c r="Q831" s="57"/>
      <c r="R831" s="57"/>
      <c r="S831" s="57"/>
      <c r="T831" s="57"/>
      <c r="U831" s="57"/>
      <c r="V831" s="57"/>
      <c r="W831" s="57"/>
      <c r="X831" s="57"/>
      <c r="Y831" s="57"/>
      <c r="Z831" s="57"/>
    </row>
    <row r="832">
      <c r="A832" s="58">
        <v>9028881.0</v>
      </c>
      <c r="B832" s="57" t="s">
        <v>2011</v>
      </c>
      <c r="C832" s="57" t="s">
        <v>210</v>
      </c>
      <c r="D832" s="58">
        <v>12.43</v>
      </c>
      <c r="E832" s="58">
        <v>2606.96</v>
      </c>
      <c r="F832" s="58">
        <v>4174116.0</v>
      </c>
      <c r="G832" s="58">
        <v>1.86988426E8</v>
      </c>
      <c r="H832" s="57" t="s">
        <v>2012</v>
      </c>
      <c r="I832" s="57"/>
      <c r="J832" s="57"/>
      <c r="K832" s="57"/>
      <c r="L832" s="57"/>
      <c r="M832" s="57"/>
      <c r="N832" s="57"/>
      <c r="O832" s="57"/>
      <c r="P832" s="57"/>
      <c r="Q832" s="57"/>
      <c r="R832" s="57"/>
      <c r="S832" s="57"/>
      <c r="T832" s="57"/>
      <c r="U832" s="57"/>
      <c r="V832" s="57"/>
      <c r="W832" s="57"/>
      <c r="X832" s="57"/>
      <c r="Y832" s="57"/>
      <c r="Z832" s="57"/>
    </row>
    <row r="833">
      <c r="A833" s="58">
        <v>9028860.0</v>
      </c>
      <c r="B833" s="57" t="s">
        <v>2011</v>
      </c>
      <c r="C833" s="57" t="s">
        <v>210</v>
      </c>
      <c r="D833" s="58">
        <v>12.55</v>
      </c>
      <c r="E833" s="58">
        <v>2594.41</v>
      </c>
      <c r="F833" s="58">
        <v>4174082.0</v>
      </c>
      <c r="G833" s="58">
        <v>1.86487391E8</v>
      </c>
      <c r="H833" s="57" t="s">
        <v>2013</v>
      </c>
      <c r="I833" s="57"/>
      <c r="J833" s="57"/>
      <c r="K833" s="57"/>
      <c r="L833" s="57"/>
      <c r="M833" s="57"/>
      <c r="N833" s="57"/>
      <c r="O833" s="57"/>
      <c r="P833" s="57"/>
      <c r="Q833" s="57"/>
      <c r="R833" s="57"/>
      <c r="S833" s="57"/>
      <c r="T833" s="57"/>
      <c r="U833" s="57"/>
      <c r="V833" s="57"/>
      <c r="W833" s="57"/>
      <c r="X833" s="57"/>
      <c r="Y833" s="57"/>
      <c r="Z833" s="57"/>
    </row>
    <row r="834">
      <c r="A834" s="58">
        <v>9028726.0</v>
      </c>
      <c r="B834" s="57" t="s">
        <v>2011</v>
      </c>
      <c r="C834" s="57" t="s">
        <v>210</v>
      </c>
      <c r="D834" s="58">
        <v>15.95</v>
      </c>
      <c r="E834" s="58">
        <v>2578.46</v>
      </c>
      <c r="F834" s="58">
        <v>4173557.0</v>
      </c>
      <c r="G834" s="57" t="s">
        <v>2014</v>
      </c>
      <c r="H834" s="57" t="s">
        <v>2015</v>
      </c>
      <c r="I834" s="57"/>
      <c r="J834" s="57"/>
      <c r="K834" s="57"/>
      <c r="L834" s="57"/>
      <c r="M834" s="57"/>
      <c r="N834" s="57"/>
      <c r="O834" s="57"/>
      <c r="P834" s="57"/>
      <c r="Q834" s="57"/>
      <c r="R834" s="57"/>
      <c r="S834" s="57"/>
      <c r="T834" s="57"/>
      <c r="U834" s="57"/>
      <c r="V834" s="57"/>
      <c r="W834" s="57"/>
      <c r="X834" s="57"/>
      <c r="Y834" s="57"/>
      <c r="Z834" s="57"/>
    </row>
    <row r="835">
      <c r="A835" s="58">
        <v>9027327.0</v>
      </c>
      <c r="B835" s="57" t="s">
        <v>2011</v>
      </c>
      <c r="C835" s="57" t="s">
        <v>210</v>
      </c>
      <c r="D835" s="58">
        <v>14.34</v>
      </c>
      <c r="E835" s="58">
        <v>2564.12</v>
      </c>
      <c r="F835" s="58">
        <v>4165783.0</v>
      </c>
      <c r="G835" s="57" t="s">
        <v>2016</v>
      </c>
      <c r="H835" s="57" t="s">
        <v>2017</v>
      </c>
      <c r="I835" s="57"/>
      <c r="J835" s="57"/>
      <c r="K835" s="57"/>
      <c r="L835" s="57"/>
      <c r="M835" s="57"/>
      <c r="N835" s="57"/>
      <c r="O835" s="57"/>
      <c r="P835" s="57"/>
      <c r="Q835" s="57"/>
      <c r="R835" s="57"/>
      <c r="S835" s="57"/>
      <c r="T835" s="57"/>
      <c r="U835" s="57"/>
      <c r="V835" s="57"/>
      <c r="W835" s="57"/>
      <c r="X835" s="57"/>
      <c r="Y835" s="57"/>
      <c r="Z835" s="57"/>
    </row>
    <row r="836">
      <c r="A836" s="58">
        <v>9027094.0</v>
      </c>
      <c r="B836" s="57" t="s">
        <v>2011</v>
      </c>
      <c r="C836" s="57" t="s">
        <v>210</v>
      </c>
      <c r="D836" s="58">
        <v>9.1</v>
      </c>
      <c r="E836" s="58">
        <v>2555.02</v>
      </c>
      <c r="F836" s="58">
        <v>4163990.0</v>
      </c>
      <c r="G836" s="58">
        <v>1.86495146E8</v>
      </c>
      <c r="H836" s="57" t="s">
        <v>2018</v>
      </c>
      <c r="I836" s="57"/>
      <c r="J836" s="57"/>
      <c r="K836" s="57"/>
      <c r="L836" s="57"/>
      <c r="M836" s="57"/>
      <c r="N836" s="57"/>
      <c r="O836" s="57"/>
      <c r="P836" s="57"/>
      <c r="Q836" s="57"/>
      <c r="R836" s="57"/>
      <c r="S836" s="57"/>
      <c r="T836" s="57"/>
      <c r="U836" s="57"/>
      <c r="V836" s="57"/>
      <c r="W836" s="57"/>
      <c r="X836" s="57"/>
      <c r="Y836" s="57"/>
      <c r="Z836" s="57"/>
    </row>
    <row r="837">
      <c r="A837" s="58">
        <v>9027044.0</v>
      </c>
      <c r="B837" s="57" t="s">
        <v>2011</v>
      </c>
      <c r="C837" s="57" t="s">
        <v>210</v>
      </c>
      <c r="D837" s="58">
        <v>16.79</v>
      </c>
      <c r="E837" s="58">
        <v>2538.23</v>
      </c>
      <c r="F837" s="58">
        <v>4163653.0</v>
      </c>
      <c r="G837" s="57" t="s">
        <v>2019</v>
      </c>
      <c r="H837" s="57" t="s">
        <v>2020</v>
      </c>
      <c r="I837" s="57"/>
      <c r="J837" s="57"/>
      <c r="K837" s="57"/>
      <c r="L837" s="57"/>
      <c r="M837" s="57"/>
      <c r="N837" s="57"/>
      <c r="O837" s="57"/>
      <c r="P837" s="57"/>
      <c r="Q837" s="57"/>
      <c r="R837" s="57"/>
      <c r="S837" s="57"/>
      <c r="T837" s="57"/>
      <c r="U837" s="57"/>
      <c r="V837" s="57"/>
      <c r="W837" s="57"/>
      <c r="X837" s="57"/>
      <c r="Y837" s="57"/>
      <c r="Z837" s="57"/>
    </row>
    <row r="838">
      <c r="A838" s="58">
        <v>9026846.0</v>
      </c>
      <c r="B838" s="57" t="s">
        <v>2011</v>
      </c>
      <c r="C838" s="57" t="s">
        <v>210</v>
      </c>
      <c r="D838" s="58">
        <v>10.96</v>
      </c>
      <c r="E838" s="58">
        <v>2527.27</v>
      </c>
      <c r="F838" s="58">
        <v>4162316.0</v>
      </c>
      <c r="G838" s="57" t="s">
        <v>2021</v>
      </c>
      <c r="H838" s="57" t="s">
        <v>2022</v>
      </c>
      <c r="I838" s="57"/>
      <c r="J838" s="57"/>
      <c r="K838" s="57"/>
      <c r="L838" s="57"/>
      <c r="M838" s="57"/>
      <c r="N838" s="57"/>
      <c r="O838" s="57"/>
      <c r="P838" s="57"/>
      <c r="Q838" s="57"/>
      <c r="R838" s="57"/>
      <c r="S838" s="57"/>
      <c r="T838" s="57"/>
      <c r="U838" s="57"/>
      <c r="V838" s="57"/>
      <c r="W838" s="57"/>
      <c r="X838" s="57"/>
      <c r="Y838" s="57"/>
      <c r="Z838" s="57"/>
    </row>
    <row r="839">
      <c r="A839" s="58">
        <v>9026632.0</v>
      </c>
      <c r="B839" s="57" t="s">
        <v>2011</v>
      </c>
      <c r="C839" s="57" t="s">
        <v>210</v>
      </c>
      <c r="D839" s="58">
        <v>12.55</v>
      </c>
      <c r="E839" s="58">
        <v>2514.72</v>
      </c>
      <c r="F839" s="58">
        <v>4160601.0</v>
      </c>
      <c r="G839" s="58">
        <v>1.86986087E8</v>
      </c>
      <c r="H839" s="57" t="s">
        <v>2023</v>
      </c>
      <c r="I839" s="57"/>
      <c r="J839" s="57"/>
      <c r="K839" s="57"/>
      <c r="L839" s="57"/>
      <c r="M839" s="57"/>
      <c r="N839" s="57"/>
      <c r="O839" s="57"/>
      <c r="P839" s="57"/>
      <c r="Q839" s="57"/>
      <c r="R839" s="57"/>
      <c r="S839" s="57"/>
      <c r="T839" s="57"/>
      <c r="U839" s="57"/>
      <c r="V839" s="57"/>
      <c r="W839" s="57"/>
      <c r="X839" s="57"/>
      <c r="Y839" s="57"/>
      <c r="Z839" s="57"/>
    </row>
    <row r="840">
      <c r="A840" s="58">
        <v>9025888.0</v>
      </c>
      <c r="B840" s="57" t="s">
        <v>2011</v>
      </c>
      <c r="C840" s="57" t="s">
        <v>210</v>
      </c>
      <c r="D840" s="58">
        <v>11.89</v>
      </c>
      <c r="E840" s="58">
        <v>2502.83</v>
      </c>
      <c r="F840" s="58">
        <v>4153156.0</v>
      </c>
      <c r="G840" s="57" t="s">
        <v>2024</v>
      </c>
      <c r="H840" s="57" t="s">
        <v>2025</v>
      </c>
      <c r="I840" s="57"/>
      <c r="J840" s="57"/>
      <c r="K840" s="57"/>
      <c r="L840" s="57"/>
      <c r="M840" s="57"/>
      <c r="N840" s="57"/>
      <c r="O840" s="57"/>
      <c r="P840" s="57"/>
      <c r="Q840" s="57"/>
      <c r="R840" s="57"/>
      <c r="S840" s="57"/>
      <c r="T840" s="57"/>
      <c r="U840" s="57"/>
      <c r="V840" s="57"/>
      <c r="W840" s="57"/>
      <c r="X840" s="57"/>
      <c r="Y840" s="57"/>
      <c r="Z840" s="57"/>
    </row>
    <row r="841">
      <c r="A841" s="58">
        <v>9025885.0</v>
      </c>
      <c r="B841" s="57" t="s">
        <v>2011</v>
      </c>
      <c r="C841" s="57" t="s">
        <v>210</v>
      </c>
      <c r="D841" s="58">
        <v>14.34</v>
      </c>
      <c r="E841" s="58">
        <v>2488.49</v>
      </c>
      <c r="F841" s="58">
        <v>4153118.0</v>
      </c>
      <c r="G841" s="57" t="s">
        <v>2026</v>
      </c>
      <c r="H841" s="57" t="s">
        <v>2027</v>
      </c>
      <c r="I841" s="57"/>
      <c r="J841" s="57"/>
      <c r="K841" s="57"/>
      <c r="L841" s="57"/>
      <c r="M841" s="57"/>
      <c r="N841" s="57"/>
      <c r="O841" s="57"/>
      <c r="P841" s="57"/>
      <c r="Q841" s="57"/>
      <c r="R841" s="57"/>
      <c r="S841" s="57"/>
      <c r="T841" s="57"/>
      <c r="U841" s="57"/>
      <c r="V841" s="57"/>
      <c r="W841" s="57"/>
      <c r="X841" s="57"/>
      <c r="Y841" s="57"/>
      <c r="Z841" s="57"/>
    </row>
    <row r="842">
      <c r="A842" s="58">
        <v>9025687.0</v>
      </c>
      <c r="B842" s="57" t="s">
        <v>2011</v>
      </c>
      <c r="C842" s="57" t="s">
        <v>210</v>
      </c>
      <c r="D842" s="58">
        <v>9.1</v>
      </c>
      <c r="E842" s="58">
        <v>2479.39</v>
      </c>
      <c r="F842" s="58">
        <v>4150846.0</v>
      </c>
      <c r="G842" s="58">
        <v>1.86985782E8</v>
      </c>
      <c r="H842" s="57" t="s">
        <v>2028</v>
      </c>
      <c r="I842" s="57"/>
      <c r="J842" s="57"/>
      <c r="K842" s="57"/>
      <c r="L842" s="57"/>
      <c r="M842" s="57"/>
      <c r="N842" s="57"/>
      <c r="O842" s="57"/>
      <c r="P842" s="57"/>
      <c r="Q842" s="57"/>
      <c r="R842" s="57"/>
      <c r="S842" s="57"/>
      <c r="T842" s="57"/>
      <c r="U842" s="57"/>
      <c r="V842" s="57"/>
      <c r="W842" s="57"/>
      <c r="X842" s="57"/>
      <c r="Y842" s="57"/>
      <c r="Z842" s="57"/>
    </row>
    <row r="843">
      <c r="A843" s="58">
        <v>9024791.0</v>
      </c>
      <c r="B843" s="57" t="s">
        <v>2029</v>
      </c>
      <c r="C843" s="57" t="s">
        <v>210</v>
      </c>
      <c r="D843" s="58">
        <v>12.55</v>
      </c>
      <c r="E843" s="58">
        <v>2466.84</v>
      </c>
      <c r="F843" s="58">
        <v>4137669.0</v>
      </c>
      <c r="G843" s="58">
        <v>1.86980442E8</v>
      </c>
      <c r="H843" s="57" t="s">
        <v>2030</v>
      </c>
      <c r="I843" s="57"/>
      <c r="J843" s="57"/>
      <c r="K843" s="57"/>
      <c r="L843" s="57"/>
      <c r="M843" s="57"/>
      <c r="N843" s="57"/>
      <c r="O843" s="57"/>
      <c r="P843" s="57"/>
      <c r="Q843" s="57"/>
      <c r="R843" s="57"/>
      <c r="S843" s="57"/>
      <c r="T843" s="57"/>
      <c r="U843" s="57"/>
      <c r="V843" s="57"/>
      <c r="W843" s="57"/>
      <c r="X843" s="57"/>
      <c r="Y843" s="57"/>
      <c r="Z843" s="57"/>
    </row>
    <row r="844">
      <c r="A844" s="58">
        <v>9024785.0</v>
      </c>
      <c r="B844" s="57" t="s">
        <v>2029</v>
      </c>
      <c r="C844" s="57" t="s">
        <v>210</v>
      </c>
      <c r="D844" s="58">
        <v>13.5</v>
      </c>
      <c r="E844" s="58">
        <v>2453.34</v>
      </c>
      <c r="F844" s="58">
        <v>4137387.0</v>
      </c>
      <c r="G844" s="57" t="s">
        <v>2031</v>
      </c>
      <c r="H844" s="57" t="s">
        <v>2032</v>
      </c>
      <c r="I844" s="57"/>
      <c r="J844" s="57"/>
      <c r="K844" s="57"/>
      <c r="L844" s="57"/>
      <c r="M844" s="57"/>
      <c r="N844" s="57"/>
      <c r="O844" s="57"/>
      <c r="P844" s="57"/>
      <c r="Q844" s="57"/>
      <c r="R844" s="57"/>
      <c r="S844" s="57"/>
      <c r="T844" s="57"/>
      <c r="U844" s="57"/>
      <c r="V844" s="57"/>
      <c r="W844" s="57"/>
      <c r="X844" s="57"/>
      <c r="Y844" s="57"/>
      <c r="Z844" s="57"/>
    </row>
    <row r="845">
      <c r="A845" s="58">
        <v>9024267.0</v>
      </c>
      <c r="B845" s="57" t="s">
        <v>2029</v>
      </c>
      <c r="C845" s="57" t="s">
        <v>210</v>
      </c>
      <c r="D845" s="58">
        <v>10.96</v>
      </c>
      <c r="E845" s="58">
        <v>2442.38</v>
      </c>
      <c r="F845" s="58">
        <v>4127740.0</v>
      </c>
      <c r="G845" s="57" t="s">
        <v>2033</v>
      </c>
      <c r="H845" s="57" t="s">
        <v>2034</v>
      </c>
      <c r="I845" s="57"/>
      <c r="J845" s="57"/>
      <c r="K845" s="57"/>
      <c r="L845" s="57"/>
      <c r="M845" s="57"/>
      <c r="N845" s="57"/>
      <c r="O845" s="57"/>
      <c r="P845" s="57"/>
      <c r="Q845" s="57"/>
      <c r="R845" s="57"/>
      <c r="S845" s="57"/>
      <c r="T845" s="57"/>
      <c r="U845" s="57"/>
      <c r="V845" s="57"/>
      <c r="W845" s="57"/>
      <c r="X845" s="57"/>
      <c r="Y845" s="57"/>
      <c r="Z845" s="57"/>
    </row>
    <row r="846">
      <c r="A846" s="58">
        <v>9024116.0</v>
      </c>
      <c r="B846" s="57" t="s">
        <v>2029</v>
      </c>
      <c r="C846" s="57" t="s">
        <v>210</v>
      </c>
      <c r="D846" s="58">
        <v>10.95</v>
      </c>
      <c r="E846" s="58">
        <v>2431.43</v>
      </c>
      <c r="F846" s="58">
        <v>4125597.0</v>
      </c>
      <c r="G846" s="58">
        <v>1.86966826E8</v>
      </c>
      <c r="H846" s="57" t="s">
        <v>2035</v>
      </c>
      <c r="I846" s="57"/>
      <c r="J846" s="57"/>
      <c r="K846" s="57"/>
      <c r="L846" s="57"/>
      <c r="M846" s="57"/>
      <c r="N846" s="57"/>
      <c r="O846" s="57"/>
      <c r="P846" s="57"/>
      <c r="Q846" s="57"/>
      <c r="R846" s="57"/>
      <c r="S846" s="57"/>
      <c r="T846" s="57"/>
      <c r="U846" s="57"/>
      <c r="V846" s="57"/>
      <c r="W846" s="57"/>
      <c r="X846" s="57"/>
      <c r="Y846" s="57"/>
      <c r="Z846" s="57"/>
    </row>
    <row r="847">
      <c r="A847" s="58">
        <v>9024036.0</v>
      </c>
      <c r="B847" s="57" t="s">
        <v>2029</v>
      </c>
      <c r="C847" s="57" t="s">
        <v>210</v>
      </c>
      <c r="D847" s="58">
        <v>10.96</v>
      </c>
      <c r="E847" s="58">
        <v>2420.47</v>
      </c>
      <c r="F847" s="58">
        <v>4123800.0</v>
      </c>
      <c r="G847" s="57" t="s">
        <v>2036</v>
      </c>
      <c r="H847" s="57" t="s">
        <v>2037</v>
      </c>
      <c r="I847" s="57"/>
      <c r="J847" s="57"/>
      <c r="K847" s="57"/>
      <c r="L847" s="57"/>
      <c r="M847" s="57"/>
      <c r="N847" s="57"/>
      <c r="O847" s="57"/>
      <c r="P847" s="57"/>
      <c r="Q847" s="57"/>
      <c r="R847" s="57"/>
      <c r="S847" s="57"/>
      <c r="T847" s="57"/>
      <c r="U847" s="57"/>
      <c r="V847" s="57"/>
      <c r="W847" s="57"/>
      <c r="X847" s="57"/>
      <c r="Y847" s="57"/>
      <c r="Z847" s="57"/>
    </row>
    <row r="848">
      <c r="A848" s="58">
        <v>9019792.0</v>
      </c>
      <c r="B848" s="57" t="s">
        <v>2038</v>
      </c>
      <c r="C848" s="57" t="s">
        <v>247</v>
      </c>
      <c r="D848" s="58">
        <v>5.09</v>
      </c>
      <c r="E848" s="58">
        <v>2425.56</v>
      </c>
      <c r="F848" s="58">
        <v>4137865.0</v>
      </c>
      <c r="G848" s="57" t="s">
        <v>2039</v>
      </c>
      <c r="H848" s="57" t="s">
        <v>2040</v>
      </c>
      <c r="I848" s="57"/>
      <c r="J848" s="57"/>
      <c r="K848" s="57"/>
      <c r="L848" s="57"/>
      <c r="M848" s="57"/>
      <c r="N848" s="57"/>
      <c r="O848" s="57"/>
      <c r="P848" s="57"/>
      <c r="Q848" s="57"/>
      <c r="R848" s="57"/>
      <c r="S848" s="57"/>
      <c r="T848" s="57"/>
      <c r="U848" s="57"/>
      <c r="V848" s="57"/>
      <c r="W848" s="57"/>
      <c r="X848" s="57"/>
      <c r="Y848" s="57"/>
      <c r="Z848" s="57"/>
    </row>
    <row r="849">
      <c r="A849" s="58">
        <v>9019791.0</v>
      </c>
      <c r="B849" s="57" t="s">
        <v>2038</v>
      </c>
      <c r="C849" s="57" t="s">
        <v>247</v>
      </c>
      <c r="D849" s="58">
        <v>5.09</v>
      </c>
      <c r="E849" s="58">
        <v>2430.65</v>
      </c>
      <c r="F849" s="58">
        <v>4131890.0</v>
      </c>
      <c r="G849" s="57" t="s">
        <v>2041</v>
      </c>
      <c r="H849" s="57" t="s">
        <v>2042</v>
      </c>
      <c r="I849" s="57"/>
      <c r="J849" s="57"/>
      <c r="K849" s="57"/>
      <c r="L849" s="57"/>
      <c r="M849" s="57"/>
      <c r="N849" s="57"/>
      <c r="O849" s="57"/>
      <c r="P849" s="57"/>
      <c r="Q849" s="57"/>
      <c r="R849" s="57"/>
      <c r="S849" s="57"/>
      <c r="T849" s="57"/>
      <c r="U849" s="57"/>
      <c r="V849" s="57"/>
      <c r="W849" s="57"/>
      <c r="X849" s="57"/>
      <c r="Y849" s="57"/>
      <c r="Z849" s="57"/>
    </row>
    <row r="850">
      <c r="A850" s="58">
        <v>9019788.0</v>
      </c>
      <c r="B850" s="57" t="s">
        <v>2038</v>
      </c>
      <c r="C850" s="57" t="s">
        <v>247</v>
      </c>
      <c r="D850" s="58">
        <v>5.09</v>
      </c>
      <c r="E850" s="58">
        <v>2435.74</v>
      </c>
      <c r="F850" s="58">
        <v>4112227.0</v>
      </c>
      <c r="G850" s="57" t="s">
        <v>2043</v>
      </c>
      <c r="H850" s="57" t="s">
        <v>2044</v>
      </c>
      <c r="I850" s="57"/>
      <c r="J850" s="57"/>
      <c r="K850" s="57"/>
      <c r="L850" s="57"/>
      <c r="M850" s="57"/>
      <c r="N850" s="57"/>
      <c r="O850" s="57"/>
      <c r="P850" s="57"/>
      <c r="Q850" s="57"/>
      <c r="R850" s="57"/>
      <c r="S850" s="57"/>
      <c r="T850" s="57"/>
      <c r="U850" s="57"/>
      <c r="V850" s="57"/>
      <c r="W850" s="57"/>
      <c r="X850" s="57"/>
      <c r="Y850" s="57"/>
      <c r="Z850" s="57"/>
    </row>
    <row r="851">
      <c r="A851" s="58">
        <v>9019787.0</v>
      </c>
      <c r="B851" s="57" t="s">
        <v>2038</v>
      </c>
      <c r="C851" s="57" t="s">
        <v>247</v>
      </c>
      <c r="D851" s="58">
        <v>5.07</v>
      </c>
      <c r="E851" s="58">
        <v>2440.81</v>
      </c>
      <c r="F851" s="58">
        <v>4109699.0</v>
      </c>
      <c r="G851" s="57" t="s">
        <v>2045</v>
      </c>
      <c r="H851" s="57" t="s">
        <v>2046</v>
      </c>
      <c r="I851" s="57"/>
      <c r="J851" s="57"/>
      <c r="K851" s="57"/>
      <c r="L851" s="57"/>
      <c r="M851" s="57"/>
      <c r="N851" s="57"/>
      <c r="O851" s="57"/>
      <c r="P851" s="57"/>
      <c r="Q851" s="57"/>
      <c r="R851" s="57"/>
      <c r="S851" s="57"/>
      <c r="T851" s="57"/>
      <c r="U851" s="57"/>
      <c r="V851" s="57"/>
      <c r="W851" s="57"/>
      <c r="X851" s="57"/>
      <c r="Y851" s="57"/>
      <c r="Z851" s="57"/>
    </row>
    <row r="852">
      <c r="A852" s="58">
        <v>9019785.0</v>
      </c>
      <c r="B852" s="57" t="s">
        <v>2038</v>
      </c>
      <c r="C852" s="57" t="s">
        <v>247</v>
      </c>
      <c r="D852" s="58">
        <v>5.09</v>
      </c>
      <c r="E852" s="58">
        <v>2445.9</v>
      </c>
      <c r="F852" s="58">
        <v>4103859.0</v>
      </c>
      <c r="G852" s="57" t="s">
        <v>2047</v>
      </c>
      <c r="H852" s="57" t="s">
        <v>2048</v>
      </c>
      <c r="I852" s="57"/>
      <c r="J852" s="57"/>
      <c r="K852" s="57"/>
      <c r="L852" s="57"/>
      <c r="M852" s="57"/>
      <c r="N852" s="57"/>
      <c r="O852" s="57"/>
      <c r="P852" s="57"/>
      <c r="Q852" s="57"/>
      <c r="R852" s="57"/>
      <c r="S852" s="57"/>
      <c r="T852" s="57"/>
      <c r="U852" s="57"/>
      <c r="V852" s="57"/>
      <c r="W852" s="57"/>
      <c r="X852" s="57"/>
      <c r="Y852" s="57"/>
      <c r="Z852" s="57"/>
    </row>
    <row r="853">
      <c r="A853" s="58">
        <v>9019780.0</v>
      </c>
      <c r="B853" s="57" t="s">
        <v>2038</v>
      </c>
      <c r="C853" s="57" t="s">
        <v>247</v>
      </c>
      <c r="D853" s="58">
        <v>5.07</v>
      </c>
      <c r="E853" s="58">
        <v>2450.97</v>
      </c>
      <c r="F853" s="58">
        <v>4098482.0</v>
      </c>
      <c r="G853" s="57" t="s">
        <v>2049</v>
      </c>
      <c r="H853" s="57" t="s">
        <v>2050</v>
      </c>
      <c r="I853" s="57"/>
      <c r="J853" s="57"/>
      <c r="K853" s="57"/>
      <c r="L853" s="57"/>
      <c r="M853" s="57"/>
      <c r="N853" s="57"/>
      <c r="O853" s="57"/>
      <c r="P853" s="57"/>
      <c r="Q853" s="57"/>
      <c r="R853" s="57"/>
      <c r="S853" s="57"/>
      <c r="T853" s="57"/>
      <c r="U853" s="57"/>
      <c r="V853" s="57"/>
      <c r="W853" s="57"/>
      <c r="X853" s="57"/>
      <c r="Y853" s="57"/>
      <c r="Z853" s="57"/>
    </row>
    <row r="854">
      <c r="A854" s="58">
        <v>9019775.0</v>
      </c>
      <c r="B854" s="57" t="s">
        <v>2038</v>
      </c>
      <c r="C854" s="57" t="s">
        <v>247</v>
      </c>
      <c r="D854" s="58">
        <v>5.07</v>
      </c>
      <c r="E854" s="58">
        <v>2456.04</v>
      </c>
      <c r="F854" s="58">
        <v>4094254.0</v>
      </c>
      <c r="G854" s="57" t="s">
        <v>2051</v>
      </c>
      <c r="H854" s="57" t="s">
        <v>2052</v>
      </c>
      <c r="I854" s="57"/>
      <c r="J854" s="57"/>
      <c r="K854" s="57"/>
      <c r="L854" s="57"/>
      <c r="M854" s="57"/>
      <c r="N854" s="57"/>
      <c r="O854" s="57"/>
      <c r="P854" s="57"/>
      <c r="Q854" s="57"/>
      <c r="R854" s="57"/>
      <c r="S854" s="57"/>
      <c r="T854" s="57"/>
      <c r="U854" s="57"/>
      <c r="V854" s="57"/>
      <c r="W854" s="57"/>
      <c r="X854" s="57"/>
      <c r="Y854" s="57"/>
      <c r="Z854" s="57"/>
    </row>
    <row r="855">
      <c r="A855" s="58">
        <v>9019667.0</v>
      </c>
      <c r="B855" s="57" t="s">
        <v>2038</v>
      </c>
      <c r="C855" s="57" t="s">
        <v>247</v>
      </c>
      <c r="D855" s="58">
        <v>3.48</v>
      </c>
      <c r="E855" s="58">
        <v>2459.52</v>
      </c>
      <c r="F855" s="58">
        <v>4091008.0</v>
      </c>
      <c r="G855" s="57" t="s">
        <v>2053</v>
      </c>
      <c r="H855" s="57" t="s">
        <v>2054</v>
      </c>
      <c r="I855" s="57"/>
      <c r="J855" s="57"/>
      <c r="K855" s="57"/>
      <c r="L855" s="57"/>
      <c r="M855" s="57"/>
      <c r="N855" s="57"/>
      <c r="O855" s="57"/>
      <c r="P855" s="57"/>
      <c r="Q855" s="57"/>
      <c r="R855" s="57"/>
      <c r="S855" s="57"/>
      <c r="T855" s="57"/>
      <c r="U855" s="57"/>
      <c r="V855" s="57"/>
      <c r="W855" s="57"/>
      <c r="X855" s="57"/>
      <c r="Y855" s="57"/>
      <c r="Z855" s="57"/>
    </row>
    <row r="856">
      <c r="A856" s="58">
        <v>9018510.0</v>
      </c>
      <c r="B856" s="57" t="s">
        <v>2055</v>
      </c>
      <c r="C856" s="57" t="s">
        <v>247</v>
      </c>
      <c r="D856" s="58">
        <v>5.06</v>
      </c>
      <c r="E856" s="58">
        <v>2464.58</v>
      </c>
      <c r="F856" s="58">
        <v>4074389.0</v>
      </c>
      <c r="G856" s="57" t="s">
        <v>2056</v>
      </c>
      <c r="H856" s="57" t="s">
        <v>2057</v>
      </c>
      <c r="I856" s="57"/>
      <c r="J856" s="57"/>
      <c r="K856" s="57"/>
      <c r="L856" s="57"/>
      <c r="M856" s="57"/>
      <c r="N856" s="57"/>
      <c r="O856" s="57"/>
      <c r="P856" s="57"/>
      <c r="Q856" s="57"/>
      <c r="R856" s="57"/>
      <c r="S856" s="57"/>
      <c r="T856" s="57"/>
      <c r="U856" s="57"/>
      <c r="V856" s="57"/>
      <c r="W856" s="57"/>
      <c r="X856" s="57"/>
      <c r="Y856" s="57"/>
      <c r="Z856" s="57"/>
    </row>
    <row r="857">
      <c r="A857" s="58">
        <v>8994961.0</v>
      </c>
      <c r="B857" s="57" t="s">
        <v>2058</v>
      </c>
      <c r="C857" s="57" t="s">
        <v>210</v>
      </c>
      <c r="D857" s="58">
        <v>18.4</v>
      </c>
      <c r="E857" s="58">
        <v>2446.18</v>
      </c>
      <c r="F857" s="58">
        <v>4167770.0</v>
      </c>
      <c r="G857" s="57" t="s">
        <v>2059</v>
      </c>
      <c r="H857" s="57" t="s">
        <v>2060</v>
      </c>
      <c r="I857" s="57"/>
      <c r="J857" s="57"/>
      <c r="K857" s="57"/>
      <c r="L857" s="57"/>
      <c r="M857" s="57"/>
      <c r="N857" s="57"/>
      <c r="O857" s="57"/>
      <c r="P857" s="57"/>
      <c r="Q857" s="57"/>
      <c r="R857" s="57"/>
      <c r="S857" s="57"/>
      <c r="T857" s="57"/>
      <c r="U857" s="57"/>
      <c r="V857" s="57"/>
      <c r="W857" s="57"/>
      <c r="X857" s="57"/>
      <c r="Y857" s="57"/>
      <c r="Z857" s="57"/>
    </row>
    <row r="858">
      <c r="A858" s="58">
        <v>8994824.0</v>
      </c>
      <c r="B858" s="57" t="s">
        <v>2058</v>
      </c>
      <c r="C858" s="57" t="s">
        <v>210</v>
      </c>
      <c r="D858" s="58">
        <v>10.96</v>
      </c>
      <c r="E858" s="58">
        <v>2435.22</v>
      </c>
      <c r="F858" s="58">
        <v>4167486.0</v>
      </c>
      <c r="G858" s="57" t="s">
        <v>2061</v>
      </c>
      <c r="H858" s="57" t="s">
        <v>2062</v>
      </c>
      <c r="I858" s="57"/>
      <c r="J858" s="57"/>
      <c r="K858" s="57"/>
      <c r="L858" s="57"/>
      <c r="M858" s="57"/>
      <c r="N858" s="57"/>
      <c r="O858" s="57"/>
      <c r="P858" s="57"/>
      <c r="Q858" s="57"/>
      <c r="R858" s="57"/>
      <c r="S858" s="57"/>
      <c r="T858" s="57"/>
      <c r="U858" s="57"/>
      <c r="V858" s="57"/>
      <c r="W858" s="57"/>
      <c r="X858" s="57"/>
      <c r="Y858" s="57"/>
      <c r="Z858" s="57"/>
    </row>
    <row r="859">
      <c r="A859" s="58">
        <v>8994461.0</v>
      </c>
      <c r="B859" s="57" t="s">
        <v>2058</v>
      </c>
      <c r="C859" s="57" t="s">
        <v>210</v>
      </c>
      <c r="D859" s="58">
        <v>16.79</v>
      </c>
      <c r="E859" s="58">
        <v>2418.43</v>
      </c>
      <c r="F859" s="58">
        <v>4166820.0</v>
      </c>
      <c r="G859" s="57" t="s">
        <v>2063</v>
      </c>
      <c r="H859" s="57" t="s">
        <v>2064</v>
      </c>
      <c r="I859" s="57"/>
      <c r="J859" s="57"/>
      <c r="K859" s="57"/>
      <c r="L859" s="57"/>
      <c r="M859" s="57"/>
      <c r="N859" s="57"/>
      <c r="O859" s="57"/>
      <c r="P859" s="57"/>
      <c r="Q859" s="57"/>
      <c r="R859" s="57"/>
      <c r="S859" s="57"/>
      <c r="T859" s="57"/>
      <c r="U859" s="57"/>
      <c r="V859" s="57"/>
      <c r="W859" s="57"/>
      <c r="X859" s="57"/>
      <c r="Y859" s="57"/>
      <c r="Z859" s="57"/>
    </row>
    <row r="860">
      <c r="A860" s="58">
        <v>8994285.0</v>
      </c>
      <c r="B860" s="57" t="s">
        <v>2058</v>
      </c>
      <c r="C860" s="57" t="s">
        <v>210</v>
      </c>
      <c r="D860" s="58">
        <v>15.95</v>
      </c>
      <c r="E860" s="58">
        <v>2402.48</v>
      </c>
      <c r="F860" s="58">
        <v>4166346.0</v>
      </c>
      <c r="G860" s="57" t="s">
        <v>2065</v>
      </c>
      <c r="H860" s="57" t="s">
        <v>2066</v>
      </c>
      <c r="I860" s="57"/>
      <c r="J860" s="57"/>
      <c r="K860" s="57"/>
      <c r="L860" s="57"/>
      <c r="M860" s="57"/>
      <c r="N860" s="57"/>
      <c r="O860" s="57"/>
      <c r="P860" s="57"/>
      <c r="Q860" s="57"/>
      <c r="R860" s="57"/>
      <c r="S860" s="57"/>
      <c r="T860" s="57"/>
      <c r="U860" s="57"/>
      <c r="V860" s="57"/>
      <c r="W860" s="57"/>
      <c r="X860" s="57"/>
      <c r="Y860" s="57"/>
      <c r="Z860" s="57"/>
    </row>
    <row r="861">
      <c r="A861" s="58">
        <v>8994064.0</v>
      </c>
      <c r="B861" s="57" t="s">
        <v>2058</v>
      </c>
      <c r="C861" s="57" t="s">
        <v>210</v>
      </c>
      <c r="D861" s="58">
        <v>10.96</v>
      </c>
      <c r="E861" s="58">
        <v>2391.52</v>
      </c>
      <c r="F861" s="58">
        <v>4165858.0</v>
      </c>
      <c r="G861" s="57" t="s">
        <v>2067</v>
      </c>
      <c r="H861" s="57" t="s">
        <v>2068</v>
      </c>
      <c r="I861" s="57"/>
      <c r="J861" s="57"/>
      <c r="K861" s="57"/>
      <c r="L861" s="57"/>
      <c r="M861" s="57"/>
      <c r="N861" s="57"/>
      <c r="O861" s="57"/>
      <c r="P861" s="57"/>
      <c r="Q861" s="57"/>
      <c r="R861" s="57"/>
      <c r="S861" s="57"/>
      <c r="T861" s="57"/>
      <c r="U861" s="57"/>
      <c r="V861" s="57"/>
      <c r="W861" s="57"/>
      <c r="X861" s="57"/>
      <c r="Y861" s="57"/>
      <c r="Z861" s="57"/>
    </row>
    <row r="862">
      <c r="A862" s="58">
        <v>8994048.0</v>
      </c>
      <c r="B862" s="57" t="s">
        <v>2058</v>
      </c>
      <c r="C862" s="57" t="s">
        <v>210</v>
      </c>
      <c r="D862" s="58">
        <v>10.96</v>
      </c>
      <c r="E862" s="58">
        <v>2380.56</v>
      </c>
      <c r="F862" s="58">
        <v>4165797.0</v>
      </c>
      <c r="G862" s="57" t="s">
        <v>2069</v>
      </c>
      <c r="H862" s="57" t="s">
        <v>2070</v>
      </c>
      <c r="I862" s="57"/>
      <c r="J862" s="57"/>
      <c r="K862" s="57"/>
      <c r="L862" s="57"/>
      <c r="M862" s="57"/>
      <c r="N862" s="57"/>
      <c r="O862" s="57"/>
      <c r="P862" s="57"/>
      <c r="Q862" s="57"/>
      <c r="R862" s="57"/>
      <c r="S862" s="57"/>
      <c r="T862" s="57"/>
      <c r="U862" s="57"/>
      <c r="V862" s="57"/>
      <c r="W862" s="57"/>
      <c r="X862" s="57"/>
      <c r="Y862" s="57"/>
      <c r="Z862" s="57"/>
    </row>
    <row r="863">
      <c r="A863" s="58">
        <v>8993838.0</v>
      </c>
      <c r="B863" s="57" t="s">
        <v>2058</v>
      </c>
      <c r="C863" s="57" t="s">
        <v>210</v>
      </c>
      <c r="D863" s="58">
        <v>14.34</v>
      </c>
      <c r="E863" s="58">
        <v>2366.22</v>
      </c>
      <c r="F863" s="58">
        <v>4165226.0</v>
      </c>
      <c r="G863" s="57" t="s">
        <v>2071</v>
      </c>
      <c r="H863" s="57" t="s">
        <v>2072</v>
      </c>
      <c r="I863" s="57"/>
      <c r="J863" s="57"/>
      <c r="K863" s="57"/>
      <c r="L863" s="57"/>
      <c r="M863" s="57"/>
      <c r="N863" s="57"/>
      <c r="O863" s="57"/>
      <c r="P863" s="57"/>
      <c r="Q863" s="57"/>
      <c r="R863" s="57"/>
      <c r="S863" s="57"/>
      <c r="T863" s="57"/>
      <c r="U863" s="57"/>
      <c r="V863" s="57"/>
      <c r="W863" s="57"/>
      <c r="X863" s="57"/>
      <c r="Y863" s="57"/>
      <c r="Z863" s="57"/>
    </row>
    <row r="864">
      <c r="A864" s="58">
        <v>8993502.0</v>
      </c>
      <c r="B864" s="57" t="s">
        <v>2058</v>
      </c>
      <c r="C864" s="57" t="s">
        <v>210</v>
      </c>
      <c r="D864" s="58">
        <v>16.79</v>
      </c>
      <c r="E864" s="58">
        <v>2349.43</v>
      </c>
      <c r="F864" s="58">
        <v>4164247.0</v>
      </c>
      <c r="G864" s="57" t="s">
        <v>2073</v>
      </c>
      <c r="H864" s="57" t="s">
        <v>2074</v>
      </c>
      <c r="I864" s="57"/>
      <c r="J864" s="57"/>
      <c r="K864" s="57"/>
      <c r="L864" s="57"/>
      <c r="M864" s="57"/>
      <c r="N864" s="57"/>
      <c r="O864" s="57"/>
      <c r="P864" s="57"/>
      <c r="Q864" s="57"/>
      <c r="R864" s="57"/>
      <c r="S864" s="57"/>
      <c r="T864" s="57"/>
      <c r="U864" s="57"/>
      <c r="V864" s="57"/>
      <c r="W864" s="57"/>
      <c r="X864" s="57"/>
      <c r="Y864" s="57"/>
      <c r="Z864" s="57"/>
    </row>
    <row r="865">
      <c r="A865" s="58">
        <v>8993463.0</v>
      </c>
      <c r="B865" s="57" t="s">
        <v>2058</v>
      </c>
      <c r="C865" s="57" t="s">
        <v>210</v>
      </c>
      <c r="D865" s="58">
        <v>12.57</v>
      </c>
      <c r="E865" s="58">
        <v>2336.86</v>
      </c>
      <c r="F865" s="58">
        <v>4164106.0</v>
      </c>
      <c r="G865" s="57" t="s">
        <v>2075</v>
      </c>
      <c r="H865" s="57" t="s">
        <v>2076</v>
      </c>
      <c r="I865" s="57"/>
      <c r="J865" s="57"/>
      <c r="K865" s="57"/>
      <c r="L865" s="57"/>
      <c r="M865" s="57"/>
      <c r="N865" s="57"/>
      <c r="O865" s="57"/>
      <c r="P865" s="57"/>
      <c r="Q865" s="57"/>
      <c r="R865" s="57"/>
      <c r="S865" s="57"/>
      <c r="T865" s="57"/>
      <c r="U865" s="57"/>
      <c r="V865" s="57"/>
      <c r="W865" s="57"/>
      <c r="X865" s="57"/>
      <c r="Y865" s="57"/>
      <c r="Z865" s="57"/>
    </row>
    <row r="866">
      <c r="A866" s="58">
        <v>8993113.0</v>
      </c>
      <c r="B866" s="57" t="s">
        <v>2058</v>
      </c>
      <c r="C866" s="57" t="s">
        <v>210</v>
      </c>
      <c r="D866" s="58">
        <v>14.34</v>
      </c>
      <c r="E866" s="58">
        <v>2322.52</v>
      </c>
      <c r="F866" s="58">
        <v>4163040.0</v>
      </c>
      <c r="G866" s="57" t="s">
        <v>2077</v>
      </c>
      <c r="H866" s="57" t="s">
        <v>2078</v>
      </c>
      <c r="I866" s="57"/>
      <c r="J866" s="57"/>
      <c r="K866" s="57"/>
      <c r="L866" s="57"/>
      <c r="M866" s="57"/>
      <c r="N866" s="57"/>
      <c r="O866" s="57"/>
      <c r="P866" s="57"/>
      <c r="Q866" s="57"/>
      <c r="R866" s="57"/>
      <c r="S866" s="57"/>
      <c r="T866" s="57"/>
      <c r="U866" s="57"/>
      <c r="V866" s="57"/>
      <c r="W866" s="57"/>
      <c r="X866" s="57"/>
      <c r="Y866" s="57"/>
      <c r="Z866" s="57"/>
    </row>
    <row r="867">
      <c r="A867" s="58">
        <v>8993054.0</v>
      </c>
      <c r="B867" s="57" t="s">
        <v>2058</v>
      </c>
      <c r="C867" s="57" t="s">
        <v>210</v>
      </c>
      <c r="D867" s="58">
        <v>14.34</v>
      </c>
      <c r="E867" s="58">
        <v>2308.18</v>
      </c>
      <c r="F867" s="58">
        <v>4162820.0</v>
      </c>
      <c r="G867" s="57" t="s">
        <v>2079</v>
      </c>
      <c r="H867" s="57" t="s">
        <v>2080</v>
      </c>
      <c r="I867" s="57"/>
      <c r="J867" s="57"/>
      <c r="K867" s="57"/>
      <c r="L867" s="57"/>
      <c r="M867" s="57"/>
      <c r="N867" s="57"/>
      <c r="O867" s="57"/>
      <c r="P867" s="57"/>
      <c r="Q867" s="57"/>
      <c r="R867" s="57"/>
      <c r="S867" s="57"/>
      <c r="T867" s="57"/>
      <c r="U867" s="57"/>
      <c r="V867" s="57"/>
      <c r="W867" s="57"/>
      <c r="X867" s="57"/>
      <c r="Y867" s="57"/>
      <c r="Z867" s="57"/>
    </row>
    <row r="868">
      <c r="A868" s="58">
        <v>8993013.0</v>
      </c>
      <c r="B868" s="57" t="s">
        <v>2058</v>
      </c>
      <c r="C868" s="57" t="s">
        <v>210</v>
      </c>
      <c r="D868" s="58">
        <v>12.57</v>
      </c>
      <c r="E868" s="58">
        <v>2295.61</v>
      </c>
      <c r="F868" s="58">
        <v>4162745.0</v>
      </c>
      <c r="G868" s="57" t="s">
        <v>2081</v>
      </c>
      <c r="H868" s="57" t="s">
        <v>2082</v>
      </c>
      <c r="I868" s="57"/>
      <c r="J868" s="57"/>
      <c r="K868" s="57"/>
      <c r="L868" s="57"/>
      <c r="M868" s="57"/>
      <c r="N868" s="57"/>
      <c r="O868" s="57"/>
      <c r="P868" s="57"/>
      <c r="Q868" s="57"/>
      <c r="R868" s="57"/>
      <c r="S868" s="57"/>
      <c r="T868" s="57"/>
      <c r="U868" s="57"/>
      <c r="V868" s="57"/>
      <c r="W868" s="57"/>
      <c r="X868" s="57"/>
      <c r="Y868" s="57"/>
      <c r="Z868" s="57"/>
    </row>
    <row r="869">
      <c r="A869" s="58">
        <v>8992745.0</v>
      </c>
      <c r="B869" s="57" t="s">
        <v>2083</v>
      </c>
      <c r="C869" s="57" t="s">
        <v>210</v>
      </c>
      <c r="D869" s="58">
        <v>15.36</v>
      </c>
      <c r="E869" s="58">
        <v>2280.25</v>
      </c>
      <c r="F869" s="58">
        <v>4161918.0</v>
      </c>
      <c r="G869" s="57" t="s">
        <v>2084</v>
      </c>
      <c r="H869" s="57" t="s">
        <v>2085</v>
      </c>
      <c r="I869" s="57"/>
      <c r="J869" s="57"/>
      <c r="K869" s="57"/>
      <c r="L869" s="57"/>
      <c r="M869" s="57"/>
      <c r="N869" s="57"/>
      <c r="O869" s="57"/>
      <c r="P869" s="57"/>
      <c r="Q869" s="57"/>
      <c r="R869" s="57"/>
      <c r="S869" s="57"/>
      <c r="T869" s="57"/>
      <c r="U869" s="57"/>
      <c r="V869" s="57"/>
      <c r="W869" s="57"/>
      <c r="X869" s="57"/>
      <c r="Y869" s="57"/>
      <c r="Z869" s="57"/>
    </row>
    <row r="870">
      <c r="A870" s="58">
        <v>8992664.0</v>
      </c>
      <c r="B870" s="57" t="s">
        <v>2083</v>
      </c>
      <c r="C870" s="57" t="s">
        <v>210</v>
      </c>
      <c r="D870" s="58">
        <v>10.96</v>
      </c>
      <c r="E870" s="58">
        <v>2269.29</v>
      </c>
      <c r="F870" s="58">
        <v>4161679.0</v>
      </c>
      <c r="G870" s="57" t="s">
        <v>2086</v>
      </c>
      <c r="H870" s="57" t="s">
        <v>2087</v>
      </c>
      <c r="I870" s="57"/>
      <c r="J870" s="57"/>
      <c r="K870" s="57"/>
      <c r="L870" s="57"/>
      <c r="M870" s="57"/>
      <c r="N870" s="57"/>
      <c r="O870" s="57"/>
      <c r="P870" s="57"/>
      <c r="Q870" s="57"/>
      <c r="R870" s="57"/>
      <c r="S870" s="57"/>
      <c r="T870" s="57"/>
      <c r="U870" s="57"/>
      <c r="V870" s="57"/>
      <c r="W870" s="57"/>
      <c r="X870" s="57"/>
      <c r="Y870" s="57"/>
      <c r="Z870" s="57"/>
    </row>
    <row r="871">
      <c r="A871" s="58">
        <v>8992598.0</v>
      </c>
      <c r="B871" s="57" t="s">
        <v>2083</v>
      </c>
      <c r="C871" s="57" t="s">
        <v>210</v>
      </c>
      <c r="D871" s="58">
        <v>16.79</v>
      </c>
      <c r="E871" s="58">
        <v>2252.5</v>
      </c>
      <c r="F871" s="58">
        <v>4161444.0</v>
      </c>
      <c r="G871" s="57" t="s">
        <v>2088</v>
      </c>
      <c r="H871" s="57" t="s">
        <v>2089</v>
      </c>
      <c r="I871" s="57"/>
      <c r="J871" s="57"/>
      <c r="K871" s="57"/>
      <c r="L871" s="57"/>
      <c r="M871" s="57"/>
      <c r="N871" s="57"/>
      <c r="O871" s="57"/>
      <c r="P871" s="57"/>
      <c r="Q871" s="57"/>
      <c r="R871" s="57"/>
      <c r="S871" s="57"/>
      <c r="T871" s="57"/>
      <c r="U871" s="57"/>
      <c r="V871" s="57"/>
      <c r="W871" s="57"/>
      <c r="X871" s="57"/>
      <c r="Y871" s="57"/>
      <c r="Z871" s="57"/>
    </row>
    <row r="872">
      <c r="A872" s="58">
        <v>8992398.0</v>
      </c>
      <c r="B872" s="57" t="s">
        <v>2083</v>
      </c>
      <c r="C872" s="57" t="s">
        <v>210</v>
      </c>
      <c r="D872" s="58">
        <v>16.79</v>
      </c>
      <c r="E872" s="58">
        <v>2235.71</v>
      </c>
      <c r="F872" s="58">
        <v>4160806.0</v>
      </c>
      <c r="G872" s="57" t="s">
        <v>2090</v>
      </c>
      <c r="H872" s="57" t="s">
        <v>2091</v>
      </c>
      <c r="I872" s="57"/>
      <c r="J872" s="57"/>
      <c r="K872" s="57"/>
      <c r="L872" s="57"/>
      <c r="M872" s="57"/>
      <c r="N872" s="57"/>
      <c r="O872" s="57"/>
      <c r="P872" s="57"/>
      <c r="Q872" s="57"/>
      <c r="R872" s="57"/>
      <c r="S872" s="57"/>
      <c r="T872" s="57"/>
      <c r="U872" s="57"/>
      <c r="V872" s="57"/>
      <c r="W872" s="57"/>
      <c r="X872" s="57"/>
      <c r="Y872" s="57"/>
      <c r="Z872" s="57"/>
    </row>
    <row r="873">
      <c r="A873" s="58">
        <v>8992290.0</v>
      </c>
      <c r="B873" s="57" t="s">
        <v>2083</v>
      </c>
      <c r="C873" s="57" t="s">
        <v>210</v>
      </c>
      <c r="D873" s="58">
        <v>13.17</v>
      </c>
      <c r="E873" s="58">
        <v>2222.54</v>
      </c>
      <c r="F873" s="58">
        <v>4160532.0</v>
      </c>
      <c r="G873" s="57" t="s">
        <v>2092</v>
      </c>
      <c r="H873" s="57" t="s">
        <v>2093</v>
      </c>
      <c r="I873" s="57"/>
      <c r="J873" s="57"/>
      <c r="K873" s="57"/>
      <c r="L873" s="57"/>
      <c r="M873" s="57"/>
      <c r="N873" s="57"/>
      <c r="O873" s="57"/>
      <c r="P873" s="57"/>
      <c r="Q873" s="57"/>
      <c r="R873" s="57"/>
      <c r="S873" s="57"/>
      <c r="T873" s="57"/>
      <c r="U873" s="57"/>
      <c r="V873" s="57"/>
      <c r="W873" s="57"/>
      <c r="X873" s="57"/>
      <c r="Y873" s="57"/>
      <c r="Z873" s="57"/>
    </row>
    <row r="874">
      <c r="A874" s="58">
        <v>8991900.0</v>
      </c>
      <c r="B874" s="57" t="s">
        <v>2083</v>
      </c>
      <c r="C874" s="57" t="s">
        <v>210</v>
      </c>
      <c r="D874" s="58">
        <v>16.79</v>
      </c>
      <c r="E874" s="58">
        <v>2205.75</v>
      </c>
      <c r="F874" s="58">
        <v>4159503.0</v>
      </c>
      <c r="G874" s="57" t="s">
        <v>2094</v>
      </c>
      <c r="H874" s="57" t="s">
        <v>2095</v>
      </c>
      <c r="I874" s="57"/>
      <c r="J874" s="57"/>
      <c r="K874" s="57"/>
      <c r="L874" s="57"/>
      <c r="M874" s="57"/>
      <c r="N874" s="57"/>
      <c r="O874" s="57"/>
      <c r="P874" s="57"/>
      <c r="Q874" s="57"/>
      <c r="R874" s="57"/>
      <c r="S874" s="57"/>
      <c r="T874" s="57"/>
      <c r="U874" s="57"/>
      <c r="V874" s="57"/>
      <c r="W874" s="57"/>
      <c r="X874" s="57"/>
      <c r="Y874" s="57"/>
      <c r="Z874" s="57"/>
    </row>
    <row r="875">
      <c r="A875" s="58">
        <v>8991799.0</v>
      </c>
      <c r="B875" s="57" t="s">
        <v>2083</v>
      </c>
      <c r="C875" s="57" t="s">
        <v>210</v>
      </c>
      <c r="D875" s="58">
        <v>16.79</v>
      </c>
      <c r="E875" s="58">
        <v>2188.96</v>
      </c>
      <c r="F875" s="58">
        <v>4159242.0</v>
      </c>
      <c r="G875" s="57" t="s">
        <v>2096</v>
      </c>
      <c r="H875" s="57" t="s">
        <v>2097</v>
      </c>
      <c r="I875" s="57"/>
      <c r="J875" s="57"/>
      <c r="K875" s="57"/>
      <c r="L875" s="57"/>
      <c r="M875" s="57"/>
      <c r="N875" s="57"/>
      <c r="O875" s="57"/>
      <c r="P875" s="57"/>
      <c r="Q875" s="57"/>
      <c r="R875" s="57"/>
      <c r="S875" s="57"/>
      <c r="T875" s="57"/>
      <c r="U875" s="57"/>
      <c r="V875" s="57"/>
      <c r="W875" s="57"/>
      <c r="X875" s="57"/>
      <c r="Y875" s="57"/>
      <c r="Z875" s="57"/>
    </row>
    <row r="876">
      <c r="A876" s="58">
        <v>8991659.0</v>
      </c>
      <c r="B876" s="57" t="s">
        <v>2083</v>
      </c>
      <c r="C876" s="57" t="s">
        <v>210</v>
      </c>
      <c r="D876" s="58">
        <v>10.96</v>
      </c>
      <c r="E876" s="58">
        <v>2178.0</v>
      </c>
      <c r="F876" s="58">
        <v>4158913.0</v>
      </c>
      <c r="G876" s="57" t="s">
        <v>2098</v>
      </c>
      <c r="H876" s="57" t="s">
        <v>2099</v>
      </c>
      <c r="I876" s="57"/>
      <c r="J876" s="57"/>
      <c r="K876" s="57"/>
      <c r="L876" s="57"/>
      <c r="M876" s="57"/>
      <c r="N876" s="57"/>
      <c r="O876" s="57"/>
      <c r="P876" s="57"/>
      <c r="Q876" s="57"/>
      <c r="R876" s="57"/>
      <c r="S876" s="57"/>
      <c r="T876" s="57"/>
      <c r="U876" s="57"/>
      <c r="V876" s="57"/>
      <c r="W876" s="57"/>
      <c r="X876" s="57"/>
      <c r="Y876" s="57"/>
      <c r="Z876" s="57"/>
    </row>
    <row r="877">
      <c r="A877" s="58">
        <v>8991418.0</v>
      </c>
      <c r="B877" s="57" t="s">
        <v>2083</v>
      </c>
      <c r="C877" s="57" t="s">
        <v>210</v>
      </c>
      <c r="D877" s="58">
        <v>15.36</v>
      </c>
      <c r="E877" s="58">
        <v>2162.64</v>
      </c>
      <c r="F877" s="58">
        <v>4158279.0</v>
      </c>
      <c r="G877" s="57" t="s">
        <v>2100</v>
      </c>
      <c r="H877" s="57" t="s">
        <v>2101</v>
      </c>
      <c r="I877" s="57"/>
      <c r="J877" s="57"/>
      <c r="K877" s="57"/>
      <c r="L877" s="57"/>
      <c r="M877" s="57"/>
      <c r="N877" s="57"/>
      <c r="O877" s="57"/>
      <c r="P877" s="57"/>
      <c r="Q877" s="57"/>
      <c r="R877" s="57"/>
      <c r="S877" s="57"/>
      <c r="T877" s="57"/>
      <c r="U877" s="57"/>
      <c r="V877" s="57"/>
      <c r="W877" s="57"/>
      <c r="X877" s="57"/>
      <c r="Y877" s="57"/>
      <c r="Z877" s="57"/>
    </row>
    <row r="878">
      <c r="A878" s="58">
        <v>8991181.0</v>
      </c>
      <c r="B878" s="57" t="s">
        <v>2083</v>
      </c>
      <c r="C878" s="57" t="s">
        <v>210</v>
      </c>
      <c r="D878" s="58">
        <v>14.34</v>
      </c>
      <c r="E878" s="58">
        <v>2148.3</v>
      </c>
      <c r="F878" s="58">
        <v>4157486.0</v>
      </c>
      <c r="G878" s="57" t="s">
        <v>2102</v>
      </c>
      <c r="H878" s="57" t="s">
        <v>2103</v>
      </c>
      <c r="I878" s="57"/>
      <c r="J878" s="57"/>
      <c r="K878" s="57"/>
      <c r="L878" s="57"/>
      <c r="M878" s="57"/>
      <c r="N878" s="57"/>
      <c r="O878" s="57"/>
      <c r="P878" s="57"/>
      <c r="Q878" s="57"/>
      <c r="R878" s="57"/>
      <c r="S878" s="57"/>
      <c r="T878" s="57"/>
      <c r="U878" s="57"/>
      <c r="V878" s="57"/>
      <c r="W878" s="57"/>
      <c r="X878" s="57"/>
      <c r="Y878" s="57"/>
      <c r="Z878" s="57"/>
    </row>
    <row r="879">
      <c r="A879" s="58">
        <v>8991039.0</v>
      </c>
      <c r="B879" s="57" t="s">
        <v>2083</v>
      </c>
      <c r="C879" s="57" t="s">
        <v>210</v>
      </c>
      <c r="D879" s="58">
        <v>13.17</v>
      </c>
      <c r="E879" s="58">
        <v>2135.13</v>
      </c>
      <c r="F879" s="58">
        <v>4157018.0</v>
      </c>
      <c r="G879" s="57" t="s">
        <v>2104</v>
      </c>
      <c r="H879" s="57" t="s">
        <v>2105</v>
      </c>
      <c r="I879" s="57"/>
      <c r="J879" s="57"/>
      <c r="K879" s="57"/>
      <c r="L879" s="57"/>
      <c r="M879" s="57"/>
      <c r="N879" s="57"/>
      <c r="O879" s="57"/>
      <c r="P879" s="57"/>
      <c r="Q879" s="57"/>
      <c r="R879" s="57"/>
      <c r="S879" s="57"/>
      <c r="T879" s="57"/>
      <c r="U879" s="57"/>
      <c r="V879" s="57"/>
      <c r="W879" s="57"/>
      <c r="X879" s="57"/>
      <c r="Y879" s="57"/>
      <c r="Z879" s="57"/>
    </row>
    <row r="880">
      <c r="A880" s="58">
        <v>8990992.0</v>
      </c>
      <c r="B880" s="57" t="s">
        <v>2083</v>
      </c>
      <c r="C880" s="57" t="s">
        <v>210</v>
      </c>
      <c r="D880" s="58">
        <v>9.98</v>
      </c>
      <c r="E880" s="58">
        <v>2125.15</v>
      </c>
      <c r="F880" s="58">
        <v>4156928.0</v>
      </c>
      <c r="G880" s="58">
        <v>1.86487429E8</v>
      </c>
      <c r="H880" s="57" t="s">
        <v>2106</v>
      </c>
      <c r="I880" s="57"/>
      <c r="J880" s="57"/>
      <c r="K880" s="57"/>
      <c r="L880" s="57"/>
      <c r="M880" s="57"/>
      <c r="N880" s="57"/>
      <c r="O880" s="57"/>
      <c r="P880" s="57"/>
      <c r="Q880" s="57"/>
      <c r="R880" s="57"/>
      <c r="S880" s="57"/>
      <c r="T880" s="57"/>
      <c r="U880" s="57"/>
      <c r="V880" s="57"/>
      <c r="W880" s="57"/>
      <c r="X880" s="57"/>
      <c r="Y880" s="57"/>
      <c r="Z880" s="57"/>
    </row>
    <row r="881">
      <c r="A881" s="58">
        <v>8990827.0</v>
      </c>
      <c r="B881" s="57" t="s">
        <v>2083</v>
      </c>
      <c r="C881" s="57" t="s">
        <v>210</v>
      </c>
      <c r="D881" s="58">
        <v>10.96</v>
      </c>
      <c r="E881" s="58">
        <v>2114.19</v>
      </c>
      <c r="F881" s="58">
        <v>4156297.0</v>
      </c>
      <c r="G881" s="57" t="s">
        <v>2107</v>
      </c>
      <c r="H881" s="57" t="s">
        <v>2108</v>
      </c>
      <c r="I881" s="57"/>
      <c r="J881" s="57"/>
      <c r="K881" s="57"/>
      <c r="L881" s="57"/>
      <c r="M881" s="57"/>
      <c r="N881" s="57"/>
      <c r="O881" s="57"/>
      <c r="P881" s="57"/>
      <c r="Q881" s="57"/>
      <c r="R881" s="57"/>
      <c r="S881" s="57"/>
      <c r="T881" s="57"/>
      <c r="U881" s="57"/>
      <c r="V881" s="57"/>
      <c r="W881" s="57"/>
      <c r="X881" s="57"/>
      <c r="Y881" s="57"/>
      <c r="Z881" s="57"/>
    </row>
    <row r="882">
      <c r="A882" s="58">
        <v>8990801.0</v>
      </c>
      <c r="B882" s="57" t="s">
        <v>2083</v>
      </c>
      <c r="C882" s="57" t="s">
        <v>210</v>
      </c>
      <c r="D882" s="58">
        <v>14.78</v>
      </c>
      <c r="E882" s="58">
        <v>2099.41</v>
      </c>
      <c r="F882" s="58">
        <v>4156234.0</v>
      </c>
      <c r="G882" s="57" t="s">
        <v>2109</v>
      </c>
      <c r="H882" s="57" t="s">
        <v>2110</v>
      </c>
      <c r="I882" s="57"/>
      <c r="J882" s="57"/>
      <c r="K882" s="57"/>
      <c r="L882" s="57"/>
      <c r="M882" s="57"/>
      <c r="N882" s="57"/>
      <c r="O882" s="57"/>
      <c r="P882" s="57"/>
      <c r="Q882" s="57"/>
      <c r="R882" s="57"/>
      <c r="S882" s="57"/>
      <c r="T882" s="57"/>
      <c r="U882" s="57"/>
      <c r="V882" s="57"/>
      <c r="W882" s="57"/>
      <c r="X882" s="57"/>
      <c r="Y882" s="57"/>
      <c r="Z882" s="57"/>
    </row>
    <row r="883">
      <c r="A883" s="58">
        <v>8990789.0</v>
      </c>
      <c r="B883" s="57" t="s">
        <v>2083</v>
      </c>
      <c r="C883" s="57" t="s">
        <v>210</v>
      </c>
      <c r="D883" s="58">
        <v>13.77</v>
      </c>
      <c r="E883" s="58">
        <v>2085.64</v>
      </c>
      <c r="F883" s="58">
        <v>4156194.0</v>
      </c>
      <c r="G883" s="57" t="s">
        <v>2111</v>
      </c>
      <c r="H883" s="57" t="s">
        <v>2112</v>
      </c>
      <c r="I883" s="57"/>
      <c r="J883" s="57"/>
      <c r="K883" s="57"/>
      <c r="L883" s="57"/>
      <c r="M883" s="57"/>
      <c r="N883" s="57"/>
      <c r="O883" s="57"/>
      <c r="P883" s="57"/>
      <c r="Q883" s="57"/>
      <c r="R883" s="57"/>
      <c r="S883" s="57"/>
      <c r="T883" s="57"/>
      <c r="U883" s="57"/>
      <c r="V883" s="57"/>
      <c r="W883" s="57"/>
      <c r="X883" s="57"/>
      <c r="Y883" s="57"/>
      <c r="Z883" s="57"/>
    </row>
    <row r="884">
      <c r="A884" s="58">
        <v>8990645.0</v>
      </c>
      <c r="B884" s="57" t="s">
        <v>2083</v>
      </c>
      <c r="C884" s="57" t="s">
        <v>210</v>
      </c>
      <c r="D884" s="58">
        <v>16.79</v>
      </c>
      <c r="E884" s="58">
        <v>2068.85</v>
      </c>
      <c r="F884" s="58">
        <v>4155781.0</v>
      </c>
      <c r="G884" s="57" t="s">
        <v>2113</v>
      </c>
      <c r="H884" s="57" t="s">
        <v>2114</v>
      </c>
      <c r="I884" s="57"/>
      <c r="J884" s="57"/>
      <c r="K884" s="57"/>
      <c r="L884" s="57"/>
      <c r="M884" s="57"/>
      <c r="N884" s="57"/>
      <c r="O884" s="57"/>
      <c r="P884" s="57"/>
      <c r="Q884" s="57"/>
      <c r="R884" s="57"/>
      <c r="S884" s="57"/>
      <c r="T884" s="57"/>
      <c r="U884" s="57"/>
      <c r="V884" s="57"/>
      <c r="W884" s="57"/>
      <c r="X884" s="57"/>
      <c r="Y884" s="57"/>
      <c r="Z884" s="57"/>
    </row>
    <row r="885">
      <c r="A885" s="58">
        <v>8990454.0</v>
      </c>
      <c r="B885" s="57" t="s">
        <v>2083</v>
      </c>
      <c r="C885" s="57" t="s">
        <v>210</v>
      </c>
      <c r="D885" s="58">
        <v>13.17</v>
      </c>
      <c r="E885" s="58">
        <v>2055.68</v>
      </c>
      <c r="F885" s="58">
        <v>4155012.0</v>
      </c>
      <c r="G885" s="57" t="s">
        <v>2115</v>
      </c>
      <c r="H885" s="57" t="s">
        <v>2116</v>
      </c>
      <c r="I885" s="57"/>
      <c r="J885" s="57"/>
      <c r="K885" s="57"/>
      <c r="L885" s="57"/>
      <c r="M885" s="57"/>
      <c r="N885" s="57"/>
      <c r="O885" s="57"/>
      <c r="P885" s="57"/>
      <c r="Q885" s="57"/>
      <c r="R885" s="57"/>
      <c r="S885" s="57"/>
      <c r="T885" s="57"/>
      <c r="U885" s="57"/>
      <c r="V885" s="57"/>
      <c r="W885" s="57"/>
      <c r="X885" s="57"/>
      <c r="Y885" s="57"/>
      <c r="Z885" s="57"/>
    </row>
    <row r="886">
      <c r="A886" s="58">
        <v>8990055.0</v>
      </c>
      <c r="B886" s="57" t="s">
        <v>2083</v>
      </c>
      <c r="C886" s="57" t="s">
        <v>210</v>
      </c>
      <c r="D886" s="58">
        <v>11.89</v>
      </c>
      <c r="E886" s="58">
        <v>2043.79</v>
      </c>
      <c r="F886" s="58">
        <v>4153876.0</v>
      </c>
      <c r="G886" s="57" t="s">
        <v>2117</v>
      </c>
      <c r="H886" s="57" t="s">
        <v>2118</v>
      </c>
      <c r="I886" s="57"/>
      <c r="J886" s="57"/>
      <c r="K886" s="57"/>
      <c r="L886" s="57"/>
      <c r="M886" s="57"/>
      <c r="N886" s="57"/>
      <c r="O886" s="57"/>
      <c r="P886" s="57"/>
      <c r="Q886" s="57"/>
      <c r="R886" s="57"/>
      <c r="S886" s="57"/>
      <c r="T886" s="57"/>
      <c r="U886" s="57"/>
      <c r="V886" s="57"/>
      <c r="W886" s="57"/>
      <c r="X886" s="57"/>
      <c r="Y886" s="57"/>
      <c r="Z886" s="57"/>
    </row>
    <row r="887">
      <c r="A887" s="58">
        <v>8989948.0</v>
      </c>
      <c r="B887" s="57" t="s">
        <v>2083</v>
      </c>
      <c r="C887" s="57" t="s">
        <v>210</v>
      </c>
      <c r="D887" s="58">
        <v>16.79</v>
      </c>
      <c r="E887" s="58">
        <v>2027.0</v>
      </c>
      <c r="F887" s="58">
        <v>4153426.0</v>
      </c>
      <c r="G887" s="57" t="s">
        <v>2119</v>
      </c>
      <c r="H887" s="57" t="s">
        <v>2120</v>
      </c>
      <c r="I887" s="57"/>
      <c r="J887" s="57"/>
      <c r="K887" s="57"/>
      <c r="L887" s="57"/>
      <c r="M887" s="57"/>
      <c r="N887" s="57"/>
      <c r="O887" s="57"/>
      <c r="P887" s="57"/>
      <c r="Q887" s="57"/>
      <c r="R887" s="57"/>
      <c r="S887" s="57"/>
      <c r="T887" s="57"/>
      <c r="U887" s="57"/>
      <c r="V887" s="57"/>
      <c r="W887" s="57"/>
      <c r="X887" s="57"/>
      <c r="Y887" s="57"/>
      <c r="Z887" s="57"/>
    </row>
    <row r="888">
      <c r="A888" s="58">
        <v>8989869.0</v>
      </c>
      <c r="B888" s="57" t="s">
        <v>2083</v>
      </c>
      <c r="C888" s="57" t="s">
        <v>210</v>
      </c>
      <c r="D888" s="58">
        <v>16.79</v>
      </c>
      <c r="E888" s="58">
        <v>2010.21</v>
      </c>
      <c r="F888" s="58">
        <v>4153243.0</v>
      </c>
      <c r="G888" s="57" t="s">
        <v>2121</v>
      </c>
      <c r="H888" s="57" t="s">
        <v>2122</v>
      </c>
      <c r="I888" s="57"/>
      <c r="J888" s="57"/>
      <c r="K888" s="57"/>
      <c r="L888" s="57"/>
      <c r="M888" s="57"/>
      <c r="N888" s="57"/>
      <c r="O888" s="57"/>
      <c r="P888" s="57"/>
      <c r="Q888" s="57"/>
      <c r="R888" s="57"/>
      <c r="S888" s="57"/>
      <c r="T888" s="57"/>
      <c r="U888" s="57"/>
      <c r="V888" s="57"/>
      <c r="W888" s="57"/>
      <c r="X888" s="57"/>
      <c r="Y888" s="57"/>
      <c r="Z888" s="57"/>
    </row>
    <row r="889">
      <c r="A889" s="58">
        <v>8989585.0</v>
      </c>
      <c r="B889" s="57" t="s">
        <v>2083</v>
      </c>
      <c r="C889" s="57" t="s">
        <v>210</v>
      </c>
      <c r="D889" s="58">
        <v>18.4</v>
      </c>
      <c r="E889" s="58">
        <v>1991.81</v>
      </c>
      <c r="F889" s="58">
        <v>4152159.0</v>
      </c>
      <c r="G889" s="57" t="s">
        <v>2123</v>
      </c>
      <c r="H889" s="57" t="s">
        <v>2124</v>
      </c>
      <c r="I889" s="57"/>
      <c r="J889" s="57"/>
      <c r="K889" s="57"/>
      <c r="L889" s="57"/>
      <c r="M889" s="57"/>
      <c r="N889" s="57"/>
      <c r="O889" s="57"/>
      <c r="P889" s="57"/>
      <c r="Q889" s="57"/>
      <c r="R889" s="57"/>
      <c r="S889" s="57"/>
      <c r="T889" s="57"/>
      <c r="U889" s="57"/>
      <c r="V889" s="57"/>
      <c r="W889" s="57"/>
      <c r="X889" s="57"/>
      <c r="Y889" s="57"/>
      <c r="Z889" s="57"/>
    </row>
    <row r="890">
      <c r="A890" s="58">
        <v>8989472.0</v>
      </c>
      <c r="B890" s="57" t="s">
        <v>2083</v>
      </c>
      <c r="C890" s="57" t="s">
        <v>210</v>
      </c>
      <c r="D890" s="58">
        <v>15.36</v>
      </c>
      <c r="E890" s="58">
        <v>1976.45</v>
      </c>
      <c r="F890" s="58">
        <v>4151754.0</v>
      </c>
      <c r="G890" s="57" t="s">
        <v>2125</v>
      </c>
      <c r="H890" s="57" t="s">
        <v>2126</v>
      </c>
      <c r="I890" s="57"/>
      <c r="J890" s="57"/>
      <c r="K890" s="57"/>
      <c r="L890" s="57"/>
      <c r="M890" s="57"/>
      <c r="N890" s="57"/>
      <c r="O890" s="57"/>
      <c r="P890" s="57"/>
      <c r="Q890" s="57"/>
      <c r="R890" s="57"/>
      <c r="S890" s="57"/>
      <c r="T890" s="57"/>
      <c r="U890" s="57"/>
      <c r="V890" s="57"/>
      <c r="W890" s="57"/>
      <c r="X890" s="57"/>
      <c r="Y890" s="57"/>
      <c r="Z890" s="57"/>
    </row>
    <row r="891">
      <c r="A891" s="58">
        <v>8989293.0</v>
      </c>
      <c r="B891" s="57" t="s">
        <v>2083</v>
      </c>
      <c r="C891" s="57" t="s">
        <v>210</v>
      </c>
      <c r="D891" s="58">
        <v>11.54</v>
      </c>
      <c r="E891" s="58">
        <v>1964.91</v>
      </c>
      <c r="F891" s="58">
        <v>4151039.0</v>
      </c>
      <c r="G891" s="57" t="s">
        <v>2127</v>
      </c>
      <c r="H891" s="57" t="s">
        <v>2128</v>
      </c>
      <c r="I891" s="57"/>
      <c r="J891" s="57"/>
      <c r="K891" s="57"/>
      <c r="L891" s="57"/>
      <c r="M891" s="57"/>
      <c r="N891" s="57"/>
      <c r="O891" s="57"/>
      <c r="P891" s="57"/>
      <c r="Q891" s="57"/>
      <c r="R891" s="57"/>
      <c r="S891" s="57"/>
      <c r="T891" s="57"/>
      <c r="U891" s="57"/>
      <c r="V891" s="57"/>
      <c r="W891" s="57"/>
      <c r="X891" s="57"/>
      <c r="Y891" s="57"/>
      <c r="Z891" s="57"/>
    </row>
    <row r="892">
      <c r="A892" s="58">
        <v>8989171.0</v>
      </c>
      <c r="B892" s="57" t="s">
        <v>2083</v>
      </c>
      <c r="C892" s="57" t="s">
        <v>210</v>
      </c>
      <c r="D892" s="58">
        <v>12.57</v>
      </c>
      <c r="E892" s="58">
        <v>1952.34</v>
      </c>
      <c r="F892" s="58">
        <v>4150611.0</v>
      </c>
      <c r="G892" s="57" t="s">
        <v>2129</v>
      </c>
      <c r="H892" s="57" t="s">
        <v>2130</v>
      </c>
      <c r="I892" s="57"/>
      <c r="J892" s="57"/>
      <c r="K892" s="57"/>
      <c r="L892" s="57"/>
      <c r="M892" s="57"/>
      <c r="N892" s="57"/>
      <c r="O892" s="57"/>
      <c r="P892" s="57"/>
      <c r="Q892" s="57"/>
      <c r="R892" s="57"/>
      <c r="S892" s="57"/>
      <c r="T892" s="57"/>
      <c r="U892" s="57"/>
      <c r="V892" s="57"/>
      <c r="W892" s="57"/>
      <c r="X892" s="57"/>
      <c r="Y892" s="57"/>
      <c r="Z892" s="57"/>
    </row>
    <row r="893">
      <c r="A893" s="58">
        <v>8989129.0</v>
      </c>
      <c r="B893" s="57" t="s">
        <v>2083</v>
      </c>
      <c r="C893" s="57" t="s">
        <v>210</v>
      </c>
      <c r="D893" s="58">
        <v>10.96</v>
      </c>
      <c r="E893" s="58">
        <v>1941.38</v>
      </c>
      <c r="F893" s="58">
        <v>4150368.0</v>
      </c>
      <c r="G893" s="57" t="s">
        <v>2131</v>
      </c>
      <c r="H893" s="57" t="s">
        <v>2132</v>
      </c>
      <c r="I893" s="57"/>
      <c r="J893" s="57"/>
      <c r="K893" s="57"/>
      <c r="L893" s="57"/>
      <c r="M893" s="57"/>
      <c r="N893" s="57"/>
      <c r="O893" s="57"/>
      <c r="P893" s="57"/>
      <c r="Q893" s="57"/>
      <c r="R893" s="57"/>
      <c r="S893" s="57"/>
      <c r="T893" s="57"/>
      <c r="U893" s="57"/>
      <c r="V893" s="57"/>
      <c r="W893" s="57"/>
      <c r="X893" s="57"/>
      <c r="Y893" s="57"/>
      <c r="Z893" s="57"/>
    </row>
    <row r="894">
      <c r="A894" s="58">
        <v>8989104.0</v>
      </c>
      <c r="B894" s="57" t="s">
        <v>2083</v>
      </c>
      <c r="C894" s="57" t="s">
        <v>210</v>
      </c>
      <c r="D894" s="58">
        <v>13.17</v>
      </c>
      <c r="E894" s="58">
        <v>1928.21</v>
      </c>
      <c r="F894" s="58">
        <v>4150287.0</v>
      </c>
      <c r="G894" s="57" t="s">
        <v>2133</v>
      </c>
      <c r="H894" s="57" t="s">
        <v>2134</v>
      </c>
      <c r="I894" s="57"/>
      <c r="J894" s="57"/>
      <c r="K894" s="57"/>
      <c r="L894" s="57"/>
      <c r="M894" s="57"/>
      <c r="N894" s="57"/>
      <c r="O894" s="57"/>
      <c r="P894" s="57"/>
      <c r="Q894" s="57"/>
      <c r="R894" s="57"/>
      <c r="S894" s="57"/>
      <c r="T894" s="57"/>
      <c r="U894" s="57"/>
      <c r="V894" s="57"/>
      <c r="W894" s="57"/>
      <c r="X894" s="57"/>
      <c r="Y894" s="57"/>
      <c r="Z894" s="57"/>
    </row>
    <row r="895">
      <c r="A895" s="58">
        <v>8989083.0</v>
      </c>
      <c r="B895" s="57" t="s">
        <v>2083</v>
      </c>
      <c r="C895" s="57" t="s">
        <v>210</v>
      </c>
      <c r="D895" s="58">
        <v>11.54</v>
      </c>
      <c r="E895" s="58">
        <v>1916.67</v>
      </c>
      <c r="F895" s="58">
        <v>4150183.0</v>
      </c>
      <c r="G895" s="57" t="s">
        <v>2135</v>
      </c>
      <c r="H895" s="57" t="s">
        <v>2136</v>
      </c>
      <c r="I895" s="57"/>
      <c r="J895" s="57"/>
      <c r="K895" s="57"/>
      <c r="L895" s="57"/>
      <c r="M895" s="57"/>
      <c r="N895" s="57"/>
      <c r="O895" s="57"/>
      <c r="P895" s="57"/>
      <c r="Q895" s="57"/>
      <c r="R895" s="57"/>
      <c r="S895" s="57"/>
      <c r="T895" s="57"/>
      <c r="U895" s="57"/>
      <c r="V895" s="57"/>
      <c r="W895" s="57"/>
      <c r="X895" s="57"/>
      <c r="Y895" s="57"/>
      <c r="Z895" s="57"/>
    </row>
    <row r="896">
      <c r="A896" s="58">
        <v>8989062.0</v>
      </c>
      <c r="B896" s="57" t="s">
        <v>2083</v>
      </c>
      <c r="C896" s="57" t="s">
        <v>210</v>
      </c>
      <c r="D896" s="58">
        <v>11.54</v>
      </c>
      <c r="E896" s="58">
        <v>1905.13</v>
      </c>
      <c r="F896" s="58">
        <v>4150067.0</v>
      </c>
      <c r="G896" s="57" t="s">
        <v>2137</v>
      </c>
      <c r="H896" s="57" t="s">
        <v>2138</v>
      </c>
      <c r="I896" s="57"/>
      <c r="J896" s="57"/>
      <c r="K896" s="57"/>
      <c r="L896" s="57"/>
      <c r="M896" s="57"/>
      <c r="N896" s="57"/>
      <c r="O896" s="57"/>
      <c r="P896" s="57"/>
      <c r="Q896" s="57"/>
      <c r="R896" s="57"/>
      <c r="S896" s="57"/>
      <c r="T896" s="57"/>
      <c r="U896" s="57"/>
      <c r="V896" s="57"/>
      <c r="W896" s="57"/>
      <c r="X896" s="57"/>
      <c r="Y896" s="57"/>
      <c r="Z896" s="57"/>
    </row>
    <row r="897">
      <c r="A897" s="58">
        <v>8988980.0</v>
      </c>
      <c r="B897" s="57" t="s">
        <v>2083</v>
      </c>
      <c r="C897" s="57" t="s">
        <v>210</v>
      </c>
      <c r="D897" s="58">
        <v>14.34</v>
      </c>
      <c r="E897" s="58">
        <v>1890.79</v>
      </c>
      <c r="F897" s="58">
        <v>4149560.0</v>
      </c>
      <c r="G897" s="57" t="s">
        <v>2139</v>
      </c>
      <c r="H897" s="57" t="s">
        <v>2140</v>
      </c>
      <c r="I897" s="57"/>
      <c r="J897" s="57"/>
      <c r="K897" s="57"/>
      <c r="L897" s="57"/>
      <c r="M897" s="57"/>
      <c r="N897" s="57"/>
      <c r="O897" s="57"/>
      <c r="P897" s="57"/>
      <c r="Q897" s="57"/>
      <c r="R897" s="57"/>
      <c r="S897" s="57"/>
      <c r="T897" s="57"/>
      <c r="U897" s="57"/>
      <c r="V897" s="57"/>
      <c r="W897" s="57"/>
      <c r="X897" s="57"/>
      <c r="Y897" s="57"/>
      <c r="Z897" s="57"/>
    </row>
    <row r="898">
      <c r="A898" s="58">
        <v>8988027.0</v>
      </c>
      <c r="B898" s="57" t="s">
        <v>2141</v>
      </c>
      <c r="C898" s="57" t="s">
        <v>210</v>
      </c>
      <c r="D898" s="58">
        <v>12.93</v>
      </c>
      <c r="E898" s="58">
        <v>1877.86</v>
      </c>
      <c r="F898" s="58">
        <v>4144851.0</v>
      </c>
      <c r="G898" s="57" t="s">
        <v>2142</v>
      </c>
      <c r="H898" s="57" t="s">
        <v>2143</v>
      </c>
      <c r="I898" s="57"/>
      <c r="J898" s="57"/>
      <c r="K898" s="57"/>
      <c r="L898" s="57"/>
      <c r="M898" s="57"/>
      <c r="N898" s="57"/>
      <c r="O898" s="57"/>
      <c r="P898" s="57"/>
      <c r="Q898" s="57"/>
      <c r="R898" s="57"/>
      <c r="S898" s="57"/>
      <c r="T898" s="57"/>
      <c r="U898" s="57"/>
      <c r="V898" s="57"/>
      <c r="W898" s="57"/>
      <c r="X898" s="57"/>
      <c r="Y898" s="57"/>
      <c r="Z898" s="57"/>
    </row>
    <row r="899">
      <c r="A899" s="58">
        <v>8987917.0</v>
      </c>
      <c r="B899" s="57" t="s">
        <v>2141</v>
      </c>
      <c r="C899" s="57" t="s">
        <v>210</v>
      </c>
      <c r="D899" s="58">
        <v>16.79</v>
      </c>
      <c r="E899" s="58">
        <v>1861.07</v>
      </c>
      <c r="F899" s="58">
        <v>4144117.0</v>
      </c>
      <c r="G899" s="57" t="s">
        <v>2144</v>
      </c>
      <c r="H899" s="57" t="s">
        <v>2145</v>
      </c>
      <c r="I899" s="57"/>
      <c r="J899" s="57"/>
      <c r="K899" s="57"/>
      <c r="L899" s="57"/>
      <c r="M899" s="57"/>
      <c r="N899" s="57"/>
      <c r="O899" s="57"/>
      <c r="P899" s="57"/>
      <c r="Q899" s="57"/>
      <c r="R899" s="57"/>
      <c r="S899" s="57"/>
      <c r="T899" s="57"/>
      <c r="U899" s="57"/>
      <c r="V899" s="57"/>
      <c r="W899" s="57"/>
      <c r="X899" s="57"/>
      <c r="Y899" s="57"/>
      <c r="Z899" s="57"/>
    </row>
    <row r="900">
      <c r="A900" s="58">
        <v>8987504.0</v>
      </c>
      <c r="B900" s="57" t="s">
        <v>2141</v>
      </c>
      <c r="C900" s="57" t="s">
        <v>210</v>
      </c>
      <c r="D900" s="58">
        <v>16.79</v>
      </c>
      <c r="E900" s="58">
        <v>1844.28</v>
      </c>
      <c r="F900" s="58">
        <v>4142192.0</v>
      </c>
      <c r="G900" s="57" t="s">
        <v>2146</v>
      </c>
      <c r="H900" s="57" t="s">
        <v>2147</v>
      </c>
      <c r="I900" s="57"/>
      <c r="J900" s="57"/>
      <c r="K900" s="57"/>
      <c r="L900" s="57"/>
      <c r="M900" s="57"/>
      <c r="N900" s="57"/>
      <c r="O900" s="57"/>
      <c r="P900" s="57"/>
      <c r="Q900" s="57"/>
      <c r="R900" s="57"/>
      <c r="S900" s="57"/>
      <c r="T900" s="57"/>
      <c r="U900" s="57"/>
      <c r="V900" s="57"/>
      <c r="W900" s="57"/>
      <c r="X900" s="57"/>
      <c r="Y900" s="57"/>
      <c r="Z900" s="57"/>
    </row>
    <row r="901">
      <c r="A901" s="58">
        <v>8987491.0</v>
      </c>
      <c r="B901" s="57" t="s">
        <v>2141</v>
      </c>
      <c r="C901" s="57" t="s">
        <v>210</v>
      </c>
      <c r="D901" s="58">
        <v>16.79</v>
      </c>
      <c r="E901" s="58">
        <v>1827.49</v>
      </c>
      <c r="F901" s="58">
        <v>4142111.0</v>
      </c>
      <c r="G901" s="57" t="s">
        <v>2148</v>
      </c>
      <c r="H901" s="57" t="s">
        <v>2149</v>
      </c>
      <c r="I901" s="57"/>
      <c r="J901" s="57"/>
      <c r="K901" s="57"/>
      <c r="L901" s="57"/>
      <c r="M901" s="57"/>
      <c r="N901" s="57"/>
      <c r="O901" s="57"/>
      <c r="P901" s="57"/>
      <c r="Q901" s="57"/>
      <c r="R901" s="57"/>
      <c r="S901" s="57"/>
      <c r="T901" s="57"/>
      <c r="U901" s="57"/>
      <c r="V901" s="57"/>
      <c r="W901" s="57"/>
      <c r="X901" s="57"/>
      <c r="Y901" s="57"/>
      <c r="Z901" s="57"/>
    </row>
    <row r="902">
      <c r="A902" s="58">
        <v>8987359.0</v>
      </c>
      <c r="B902" s="57" t="s">
        <v>2141</v>
      </c>
      <c r="C902" s="57" t="s">
        <v>210</v>
      </c>
      <c r="D902" s="58">
        <v>11.89</v>
      </c>
      <c r="E902" s="58">
        <v>1815.6</v>
      </c>
      <c r="F902" s="58">
        <v>4141181.0</v>
      </c>
      <c r="G902" s="57" t="s">
        <v>2150</v>
      </c>
      <c r="H902" s="57" t="s">
        <v>2151</v>
      </c>
      <c r="I902" s="57"/>
      <c r="J902" s="57"/>
      <c r="K902" s="57"/>
      <c r="L902" s="57"/>
      <c r="M902" s="57"/>
      <c r="N902" s="57"/>
      <c r="O902" s="57"/>
      <c r="P902" s="57"/>
      <c r="Q902" s="57"/>
      <c r="R902" s="57"/>
      <c r="S902" s="57"/>
      <c r="T902" s="57"/>
      <c r="U902" s="57"/>
      <c r="V902" s="57"/>
      <c r="W902" s="57"/>
      <c r="X902" s="57"/>
      <c r="Y902" s="57"/>
      <c r="Z902" s="57"/>
    </row>
    <row r="903">
      <c r="A903" s="58">
        <v>8987258.0</v>
      </c>
      <c r="B903" s="57" t="s">
        <v>2141</v>
      </c>
      <c r="C903" s="57" t="s">
        <v>210</v>
      </c>
      <c r="D903" s="58">
        <v>18.4</v>
      </c>
      <c r="E903" s="58">
        <v>1797.2</v>
      </c>
      <c r="F903" s="58">
        <v>4140625.0</v>
      </c>
      <c r="G903" s="57" t="s">
        <v>2152</v>
      </c>
      <c r="H903" s="57" t="s">
        <v>2153</v>
      </c>
      <c r="I903" s="57"/>
      <c r="J903" s="57"/>
      <c r="K903" s="57"/>
      <c r="L903" s="57"/>
      <c r="M903" s="57"/>
      <c r="N903" s="57"/>
      <c r="O903" s="57"/>
      <c r="P903" s="57"/>
      <c r="Q903" s="57"/>
      <c r="R903" s="57"/>
      <c r="S903" s="57"/>
      <c r="T903" s="57"/>
      <c r="U903" s="57"/>
      <c r="V903" s="57"/>
      <c r="W903" s="57"/>
      <c r="X903" s="57"/>
      <c r="Y903" s="57"/>
      <c r="Z903" s="57"/>
    </row>
    <row r="904">
      <c r="A904" s="58">
        <v>8987252.0</v>
      </c>
      <c r="B904" s="57" t="s">
        <v>2141</v>
      </c>
      <c r="C904" s="57" t="s">
        <v>210</v>
      </c>
      <c r="D904" s="58">
        <v>16.79</v>
      </c>
      <c r="E904" s="58">
        <v>1780.41</v>
      </c>
      <c r="F904" s="58">
        <v>4140595.0</v>
      </c>
      <c r="G904" s="57" t="s">
        <v>2154</v>
      </c>
      <c r="H904" s="57" t="s">
        <v>2155</v>
      </c>
      <c r="I904" s="57"/>
      <c r="J904" s="57"/>
      <c r="K904" s="57"/>
      <c r="L904" s="57"/>
      <c r="M904" s="57"/>
      <c r="N904" s="57"/>
      <c r="O904" s="57"/>
      <c r="P904" s="57"/>
      <c r="Q904" s="57"/>
      <c r="R904" s="57"/>
      <c r="S904" s="57"/>
      <c r="T904" s="57"/>
      <c r="U904" s="57"/>
      <c r="V904" s="57"/>
      <c r="W904" s="57"/>
      <c r="X904" s="57"/>
      <c r="Y904" s="57"/>
      <c r="Z904" s="57"/>
    </row>
    <row r="905">
      <c r="A905" s="58">
        <v>8986935.0</v>
      </c>
      <c r="B905" s="57" t="s">
        <v>2141</v>
      </c>
      <c r="C905" s="57" t="s">
        <v>210</v>
      </c>
      <c r="D905" s="58">
        <v>14.34</v>
      </c>
      <c r="E905" s="58">
        <v>1766.07</v>
      </c>
      <c r="F905" s="58">
        <v>4138832.0</v>
      </c>
      <c r="G905" s="57" t="s">
        <v>2156</v>
      </c>
      <c r="H905" s="57" t="s">
        <v>2157</v>
      </c>
      <c r="I905" s="57"/>
      <c r="J905" s="57"/>
      <c r="K905" s="57"/>
      <c r="L905" s="57"/>
      <c r="M905" s="57"/>
      <c r="N905" s="57"/>
      <c r="O905" s="57"/>
      <c r="P905" s="57"/>
      <c r="Q905" s="57"/>
      <c r="R905" s="57"/>
      <c r="S905" s="57"/>
      <c r="T905" s="57"/>
      <c r="U905" s="57"/>
      <c r="V905" s="57"/>
      <c r="W905" s="57"/>
      <c r="X905" s="57"/>
      <c r="Y905" s="57"/>
      <c r="Z905" s="57"/>
    </row>
    <row r="906">
      <c r="A906" s="58">
        <v>8986891.0</v>
      </c>
      <c r="B906" s="57" t="s">
        <v>2141</v>
      </c>
      <c r="C906" s="57" t="s">
        <v>210</v>
      </c>
      <c r="D906" s="58">
        <v>16.79</v>
      </c>
      <c r="E906" s="58">
        <v>1749.28</v>
      </c>
      <c r="F906" s="58">
        <v>4138403.0</v>
      </c>
      <c r="G906" s="57" t="s">
        <v>2158</v>
      </c>
      <c r="H906" s="57" t="s">
        <v>2159</v>
      </c>
      <c r="I906" s="57"/>
      <c r="J906" s="57"/>
      <c r="K906" s="57"/>
      <c r="L906" s="57"/>
      <c r="M906" s="57"/>
      <c r="N906" s="57"/>
      <c r="O906" s="57"/>
      <c r="P906" s="57"/>
      <c r="Q906" s="57"/>
      <c r="R906" s="57"/>
      <c r="S906" s="57"/>
      <c r="T906" s="57"/>
      <c r="U906" s="57"/>
      <c r="V906" s="57"/>
      <c r="W906" s="57"/>
      <c r="X906" s="57"/>
      <c r="Y906" s="57"/>
      <c r="Z906" s="57"/>
    </row>
    <row r="907">
      <c r="A907" s="58">
        <v>8986797.0</v>
      </c>
      <c r="B907" s="57" t="s">
        <v>2141</v>
      </c>
      <c r="C907" s="57" t="s">
        <v>210</v>
      </c>
      <c r="D907" s="58">
        <v>11.89</v>
      </c>
      <c r="E907" s="58">
        <v>1737.39</v>
      </c>
      <c r="F907" s="58">
        <v>4137580.0</v>
      </c>
      <c r="G907" s="57" t="s">
        <v>2160</v>
      </c>
      <c r="H907" s="57" t="s">
        <v>2161</v>
      </c>
      <c r="I907" s="57"/>
      <c r="J907" s="57"/>
      <c r="K907" s="57"/>
      <c r="L907" s="57"/>
      <c r="M907" s="57"/>
      <c r="N907" s="57"/>
      <c r="O907" s="57"/>
      <c r="P907" s="57"/>
      <c r="Q907" s="57"/>
      <c r="R907" s="57"/>
      <c r="S907" s="57"/>
      <c r="T907" s="57"/>
      <c r="U907" s="57"/>
      <c r="V907" s="57"/>
      <c r="W907" s="57"/>
      <c r="X907" s="57"/>
      <c r="Y907" s="57"/>
      <c r="Z907" s="57"/>
    </row>
    <row r="908">
      <c r="A908" s="58">
        <v>8986780.0</v>
      </c>
      <c r="B908" s="57" t="s">
        <v>2141</v>
      </c>
      <c r="C908" s="57" t="s">
        <v>210</v>
      </c>
      <c r="D908" s="58">
        <v>16.79</v>
      </c>
      <c r="E908" s="58">
        <v>1720.6</v>
      </c>
      <c r="F908" s="58">
        <v>4137451.0</v>
      </c>
      <c r="G908" s="57" t="s">
        <v>2162</v>
      </c>
      <c r="H908" s="57" t="s">
        <v>2163</v>
      </c>
      <c r="I908" s="57"/>
      <c r="J908" s="57"/>
      <c r="K908" s="57"/>
      <c r="L908" s="57"/>
      <c r="M908" s="57"/>
      <c r="N908" s="57"/>
      <c r="O908" s="57"/>
      <c r="P908" s="57"/>
      <c r="Q908" s="57"/>
      <c r="R908" s="57"/>
      <c r="S908" s="57"/>
      <c r="T908" s="57"/>
      <c r="U908" s="57"/>
      <c r="V908" s="57"/>
      <c r="W908" s="57"/>
      <c r="X908" s="57"/>
      <c r="Y908" s="57"/>
      <c r="Z908" s="57"/>
    </row>
    <row r="909">
      <c r="A909" s="58">
        <v>8986668.0</v>
      </c>
      <c r="B909" s="57" t="s">
        <v>2141</v>
      </c>
      <c r="C909" s="57" t="s">
        <v>210</v>
      </c>
      <c r="D909" s="58">
        <v>16.79</v>
      </c>
      <c r="E909" s="58">
        <v>1703.81</v>
      </c>
      <c r="F909" s="58">
        <v>4136718.0</v>
      </c>
      <c r="G909" s="57" t="s">
        <v>2164</v>
      </c>
      <c r="H909" s="57" t="s">
        <v>2165</v>
      </c>
      <c r="I909" s="57"/>
      <c r="J909" s="57"/>
      <c r="K909" s="57"/>
      <c r="L909" s="57"/>
      <c r="M909" s="57"/>
      <c r="N909" s="57"/>
      <c r="O909" s="57"/>
      <c r="P909" s="57"/>
      <c r="Q909" s="57"/>
      <c r="R909" s="57"/>
      <c r="S909" s="57"/>
      <c r="T909" s="57"/>
      <c r="U909" s="57"/>
      <c r="V909" s="57"/>
      <c r="W909" s="57"/>
      <c r="X909" s="57"/>
      <c r="Y909" s="57"/>
      <c r="Z909" s="57"/>
    </row>
    <row r="910">
      <c r="A910" s="58">
        <v>8986097.0</v>
      </c>
      <c r="B910" s="57" t="s">
        <v>2141</v>
      </c>
      <c r="C910" s="57" t="s">
        <v>210</v>
      </c>
      <c r="D910" s="58">
        <v>15.94</v>
      </c>
      <c r="E910" s="58">
        <v>1687.87</v>
      </c>
      <c r="F910" s="58">
        <v>4131401.0</v>
      </c>
      <c r="G910" s="57" t="s">
        <v>2166</v>
      </c>
      <c r="H910" s="57" t="s">
        <v>2167</v>
      </c>
      <c r="I910" s="57"/>
      <c r="J910" s="57"/>
      <c r="K910" s="57"/>
      <c r="L910" s="57"/>
      <c r="M910" s="57"/>
      <c r="N910" s="57"/>
      <c r="O910" s="57"/>
      <c r="P910" s="57"/>
      <c r="Q910" s="57"/>
      <c r="R910" s="57"/>
      <c r="S910" s="57"/>
      <c r="T910" s="57"/>
      <c r="U910" s="57"/>
      <c r="V910" s="57"/>
      <c r="W910" s="57"/>
      <c r="X910" s="57"/>
      <c r="Y910" s="57"/>
      <c r="Z910" s="57"/>
    </row>
    <row r="911">
      <c r="A911" s="58">
        <v>8985908.0</v>
      </c>
      <c r="B911" s="57" t="s">
        <v>2141</v>
      </c>
      <c r="C911" s="57" t="s">
        <v>210</v>
      </c>
      <c r="D911" s="58">
        <v>10.96</v>
      </c>
      <c r="E911" s="58">
        <v>1676.91</v>
      </c>
      <c r="F911" s="58">
        <v>4129426.0</v>
      </c>
      <c r="G911" s="57" t="s">
        <v>2168</v>
      </c>
      <c r="H911" s="57" t="s">
        <v>2169</v>
      </c>
      <c r="I911" s="57"/>
      <c r="J911" s="57"/>
      <c r="K911" s="57"/>
      <c r="L911" s="57"/>
      <c r="M911" s="57"/>
      <c r="N911" s="57"/>
      <c r="O911" s="57"/>
      <c r="P911" s="57"/>
      <c r="Q911" s="57"/>
      <c r="R911" s="57"/>
      <c r="S911" s="57"/>
      <c r="T911" s="57"/>
      <c r="U911" s="57"/>
      <c r="V911" s="57"/>
      <c r="W911" s="57"/>
      <c r="X911" s="57"/>
      <c r="Y911" s="57"/>
      <c r="Z911" s="57"/>
    </row>
    <row r="912">
      <c r="A912" s="58">
        <v>8985872.0</v>
      </c>
      <c r="B912" s="57" t="s">
        <v>2141</v>
      </c>
      <c r="C912" s="57" t="s">
        <v>210</v>
      </c>
      <c r="D912" s="58">
        <v>12.6</v>
      </c>
      <c r="E912" s="58">
        <v>1664.31</v>
      </c>
      <c r="F912" s="58">
        <v>4128894.0</v>
      </c>
      <c r="G912" s="57" t="s">
        <v>2170</v>
      </c>
      <c r="H912" s="57" t="s">
        <v>2171</v>
      </c>
      <c r="I912" s="57"/>
      <c r="J912" s="57"/>
      <c r="K912" s="57"/>
      <c r="L912" s="57"/>
      <c r="M912" s="57"/>
      <c r="N912" s="57"/>
      <c r="O912" s="57"/>
      <c r="P912" s="57"/>
      <c r="Q912" s="57"/>
      <c r="R912" s="57"/>
      <c r="S912" s="57"/>
      <c r="T912" s="57"/>
      <c r="U912" s="57"/>
      <c r="V912" s="57"/>
      <c r="W912" s="57"/>
      <c r="X912" s="57"/>
      <c r="Y912" s="57"/>
      <c r="Z912" s="57"/>
    </row>
    <row r="913">
      <c r="A913" s="58">
        <v>8985644.0</v>
      </c>
      <c r="B913" s="57" t="s">
        <v>2141</v>
      </c>
      <c r="C913" s="57" t="s">
        <v>210</v>
      </c>
      <c r="D913" s="58">
        <v>16.79</v>
      </c>
      <c r="E913" s="58">
        <v>1647.52</v>
      </c>
      <c r="F913" s="58">
        <v>4126582.0</v>
      </c>
      <c r="G913" s="57" t="s">
        <v>2172</v>
      </c>
      <c r="H913" s="57" t="s">
        <v>2173</v>
      </c>
      <c r="I913" s="57"/>
      <c r="J913" s="57"/>
      <c r="K913" s="57"/>
      <c r="L913" s="57"/>
      <c r="M913" s="57"/>
      <c r="N913" s="57"/>
      <c r="O913" s="57"/>
      <c r="P913" s="57"/>
      <c r="Q913" s="57"/>
      <c r="R913" s="57"/>
      <c r="S913" s="57"/>
      <c r="T913" s="57"/>
      <c r="U913" s="57"/>
      <c r="V913" s="57"/>
      <c r="W913" s="57"/>
      <c r="X913" s="57"/>
      <c r="Y913" s="57"/>
      <c r="Z913" s="57"/>
    </row>
    <row r="914">
      <c r="A914" s="58">
        <v>8985530.0</v>
      </c>
      <c r="B914" s="57" t="s">
        <v>2141</v>
      </c>
      <c r="C914" s="57" t="s">
        <v>210</v>
      </c>
      <c r="D914" s="58">
        <v>14.34</v>
      </c>
      <c r="E914" s="58">
        <v>1633.18</v>
      </c>
      <c r="F914" s="58">
        <v>4125528.0</v>
      </c>
      <c r="G914" s="57" t="s">
        <v>2174</v>
      </c>
      <c r="H914" s="57" t="s">
        <v>2175</v>
      </c>
      <c r="I914" s="57"/>
      <c r="J914" s="57"/>
      <c r="K914" s="57"/>
      <c r="L914" s="57"/>
      <c r="M914" s="57"/>
      <c r="N914" s="57"/>
      <c r="O914" s="57"/>
      <c r="P914" s="57"/>
      <c r="Q914" s="57"/>
      <c r="R914" s="57"/>
      <c r="S914" s="57"/>
      <c r="T914" s="57"/>
      <c r="U914" s="57"/>
      <c r="V914" s="57"/>
      <c r="W914" s="57"/>
      <c r="X914" s="57"/>
      <c r="Y914" s="57"/>
      <c r="Z914" s="57"/>
    </row>
    <row r="915">
      <c r="A915" s="58">
        <v>8985499.0</v>
      </c>
      <c r="B915" s="57" t="s">
        <v>2141</v>
      </c>
      <c r="C915" s="57" t="s">
        <v>210</v>
      </c>
      <c r="D915" s="58">
        <v>10.96</v>
      </c>
      <c r="E915" s="58">
        <v>1622.22</v>
      </c>
      <c r="F915" s="58">
        <v>4125246.0</v>
      </c>
      <c r="G915" s="57" t="s">
        <v>2176</v>
      </c>
      <c r="H915" s="57" t="s">
        <v>2177</v>
      </c>
      <c r="I915" s="57"/>
      <c r="J915" s="57"/>
      <c r="K915" s="57"/>
      <c r="L915" s="57"/>
      <c r="M915" s="57"/>
      <c r="N915" s="57"/>
      <c r="O915" s="57"/>
      <c r="P915" s="57"/>
      <c r="Q915" s="57"/>
      <c r="R915" s="57"/>
      <c r="S915" s="57"/>
      <c r="T915" s="57"/>
      <c r="U915" s="57"/>
      <c r="V915" s="57"/>
      <c r="W915" s="57"/>
      <c r="X915" s="57"/>
      <c r="Y915" s="57"/>
      <c r="Z915" s="57"/>
    </row>
    <row r="916">
      <c r="A916" s="58">
        <v>8985244.0</v>
      </c>
      <c r="B916" s="57" t="s">
        <v>2141</v>
      </c>
      <c r="C916" s="57" t="s">
        <v>210</v>
      </c>
      <c r="D916" s="58">
        <v>10.96</v>
      </c>
      <c r="E916" s="58">
        <v>1611.26</v>
      </c>
      <c r="F916" s="58">
        <v>4122164.0</v>
      </c>
      <c r="G916" s="57" t="s">
        <v>2178</v>
      </c>
      <c r="H916" s="57" t="s">
        <v>2179</v>
      </c>
      <c r="I916" s="57"/>
      <c r="J916" s="57"/>
      <c r="K916" s="57"/>
      <c r="L916" s="57"/>
      <c r="M916" s="57"/>
      <c r="N916" s="57"/>
      <c r="O916" s="57"/>
      <c r="P916" s="57"/>
      <c r="Q916" s="57"/>
      <c r="R916" s="57"/>
      <c r="S916" s="57"/>
      <c r="T916" s="57"/>
      <c r="U916" s="57"/>
      <c r="V916" s="57"/>
      <c r="W916" s="57"/>
      <c r="X916" s="57"/>
      <c r="Y916" s="57"/>
      <c r="Z916" s="57"/>
    </row>
    <row r="917">
      <c r="A917" s="58">
        <v>8984345.0</v>
      </c>
      <c r="B917" s="57" t="s">
        <v>2180</v>
      </c>
      <c r="C917" s="57" t="s">
        <v>210</v>
      </c>
      <c r="D917" s="58">
        <v>13.46</v>
      </c>
      <c r="E917" s="58">
        <v>1597.8</v>
      </c>
      <c r="F917" s="58">
        <v>4109818.0</v>
      </c>
      <c r="G917" s="57" t="s">
        <v>2181</v>
      </c>
      <c r="H917" s="57" t="s">
        <v>2182</v>
      </c>
      <c r="I917" s="57"/>
      <c r="J917" s="57"/>
      <c r="K917" s="57"/>
      <c r="L917" s="57"/>
      <c r="M917" s="57"/>
      <c r="N917" s="57"/>
      <c r="O917" s="57"/>
      <c r="P917" s="57"/>
      <c r="Q917" s="57"/>
      <c r="R917" s="57"/>
      <c r="S917" s="57"/>
      <c r="T917" s="57"/>
      <c r="U917" s="57"/>
      <c r="V917" s="57"/>
      <c r="W917" s="57"/>
      <c r="X917" s="57"/>
      <c r="Y917" s="57"/>
      <c r="Z917" s="57"/>
    </row>
    <row r="918">
      <c r="A918" s="58">
        <v>8983952.0</v>
      </c>
      <c r="B918" s="57" t="s">
        <v>2180</v>
      </c>
      <c r="C918" s="57" t="s">
        <v>210</v>
      </c>
      <c r="D918" s="58">
        <v>10.96</v>
      </c>
      <c r="E918" s="58">
        <v>1586.84</v>
      </c>
      <c r="F918" s="58">
        <v>4104064.0</v>
      </c>
      <c r="G918" s="57" t="s">
        <v>2183</v>
      </c>
      <c r="H918" s="57" t="s">
        <v>2184</v>
      </c>
      <c r="I918" s="57"/>
      <c r="J918" s="57"/>
      <c r="K918" s="57"/>
      <c r="L918" s="57"/>
      <c r="M918" s="57"/>
      <c r="N918" s="57"/>
      <c r="O918" s="57"/>
      <c r="P918" s="57"/>
      <c r="Q918" s="57"/>
      <c r="R918" s="57"/>
      <c r="S918" s="57"/>
      <c r="T918" s="57"/>
      <c r="U918" s="57"/>
      <c r="V918" s="57"/>
      <c r="W918" s="57"/>
      <c r="X918" s="57"/>
      <c r="Y918" s="57"/>
      <c r="Z918" s="57"/>
    </row>
    <row r="919">
      <c r="A919" s="58">
        <v>8983839.0</v>
      </c>
      <c r="B919" s="57" t="s">
        <v>2180</v>
      </c>
      <c r="C919" s="57" t="s">
        <v>210</v>
      </c>
      <c r="D919" s="58">
        <v>15.36</v>
      </c>
      <c r="E919" s="58">
        <v>1571.48</v>
      </c>
      <c r="F919" s="58">
        <v>4102279.0</v>
      </c>
      <c r="G919" s="57" t="s">
        <v>2185</v>
      </c>
      <c r="H919" s="57" t="s">
        <v>2186</v>
      </c>
      <c r="I919" s="57"/>
      <c r="J919" s="57"/>
      <c r="K919" s="57"/>
      <c r="L919" s="57"/>
      <c r="M919" s="57"/>
      <c r="N919" s="57"/>
      <c r="O919" s="57"/>
      <c r="P919" s="57"/>
      <c r="Q919" s="57"/>
      <c r="R919" s="57"/>
      <c r="S919" s="57"/>
      <c r="T919" s="57"/>
      <c r="U919" s="57"/>
      <c r="V919" s="57"/>
      <c r="W919" s="57"/>
      <c r="X919" s="57"/>
      <c r="Y919" s="57"/>
      <c r="Z919" s="57"/>
    </row>
    <row r="920">
      <c r="A920" s="58">
        <v>8983811.0</v>
      </c>
      <c r="B920" s="57" t="s">
        <v>2180</v>
      </c>
      <c r="C920" s="57" t="s">
        <v>210</v>
      </c>
      <c r="D920" s="58">
        <v>11.45</v>
      </c>
      <c r="E920" s="58">
        <v>1560.03</v>
      </c>
      <c r="F920" s="58">
        <v>4101643.0</v>
      </c>
      <c r="G920" s="57" t="s">
        <v>2187</v>
      </c>
      <c r="H920" s="57" t="s">
        <v>2188</v>
      </c>
      <c r="I920" s="57"/>
      <c r="J920" s="57"/>
      <c r="K920" s="57"/>
      <c r="L920" s="57"/>
      <c r="M920" s="57"/>
      <c r="N920" s="57"/>
      <c r="O920" s="57"/>
      <c r="P920" s="57"/>
      <c r="Q920" s="57"/>
      <c r="R920" s="57"/>
      <c r="S920" s="57"/>
      <c r="T920" s="57"/>
      <c r="U920" s="57"/>
      <c r="V920" s="57"/>
      <c r="W920" s="57"/>
      <c r="X920" s="57"/>
      <c r="Y920" s="57"/>
      <c r="Z920" s="57"/>
    </row>
    <row r="921">
      <c r="A921" s="58">
        <v>8983639.0</v>
      </c>
      <c r="B921" s="57" t="s">
        <v>2180</v>
      </c>
      <c r="C921" s="57" t="s">
        <v>210</v>
      </c>
      <c r="D921" s="58">
        <v>15.94</v>
      </c>
      <c r="E921" s="58">
        <v>1544.09</v>
      </c>
      <c r="F921" s="58">
        <v>4098082.0</v>
      </c>
      <c r="G921" s="57" t="s">
        <v>2189</v>
      </c>
      <c r="H921" s="57" t="s">
        <v>2190</v>
      </c>
      <c r="I921" s="57"/>
      <c r="J921" s="57"/>
      <c r="K921" s="57"/>
      <c r="L921" s="57"/>
      <c r="M921" s="57"/>
      <c r="N921" s="57"/>
      <c r="O921" s="57"/>
      <c r="P921" s="57"/>
      <c r="Q921" s="57"/>
      <c r="R921" s="57"/>
      <c r="S921" s="57"/>
      <c r="T921" s="57"/>
      <c r="U921" s="57"/>
      <c r="V921" s="57"/>
      <c r="W921" s="57"/>
      <c r="X921" s="57"/>
      <c r="Y921" s="57"/>
      <c r="Z921" s="57"/>
    </row>
    <row r="922">
      <c r="A922" s="58">
        <v>8983618.0</v>
      </c>
      <c r="B922" s="57" t="s">
        <v>2180</v>
      </c>
      <c r="C922" s="57" t="s">
        <v>210</v>
      </c>
      <c r="D922" s="58">
        <v>11.67</v>
      </c>
      <c r="E922" s="58">
        <v>1532.42</v>
      </c>
      <c r="F922" s="58">
        <v>4097456.0</v>
      </c>
      <c r="G922" s="58">
        <v>1.86973354E8</v>
      </c>
      <c r="H922" s="57" t="s">
        <v>2191</v>
      </c>
      <c r="I922" s="57"/>
      <c r="J922" s="57"/>
      <c r="K922" s="57"/>
      <c r="L922" s="57"/>
      <c r="M922" s="57"/>
      <c r="N922" s="57"/>
      <c r="O922" s="57"/>
      <c r="P922" s="57"/>
      <c r="Q922" s="57"/>
      <c r="R922" s="57"/>
      <c r="S922" s="57"/>
      <c r="T922" s="57"/>
      <c r="U922" s="57"/>
      <c r="V922" s="57"/>
      <c r="W922" s="57"/>
      <c r="X922" s="57"/>
      <c r="Y922" s="57"/>
      <c r="Z922" s="57"/>
    </row>
    <row r="923">
      <c r="A923" s="58">
        <v>8983589.0</v>
      </c>
      <c r="B923" s="57" t="s">
        <v>2180</v>
      </c>
      <c r="C923" s="57" t="s">
        <v>210</v>
      </c>
      <c r="D923" s="58">
        <v>10.96</v>
      </c>
      <c r="E923" s="58">
        <v>1521.46</v>
      </c>
      <c r="F923" s="58">
        <v>4096889.0</v>
      </c>
      <c r="G923" s="57" t="s">
        <v>2192</v>
      </c>
      <c r="H923" s="57" t="s">
        <v>2193</v>
      </c>
      <c r="I923" s="57"/>
      <c r="J923" s="57"/>
      <c r="K923" s="57"/>
      <c r="L923" s="57"/>
      <c r="M923" s="57"/>
      <c r="N923" s="57"/>
      <c r="O923" s="57"/>
      <c r="P923" s="57"/>
      <c r="Q923" s="57"/>
      <c r="R923" s="57"/>
      <c r="S923" s="57"/>
      <c r="T923" s="57"/>
      <c r="U923" s="57"/>
      <c r="V923" s="57"/>
      <c r="W923" s="57"/>
      <c r="X923" s="57"/>
      <c r="Y923" s="57"/>
      <c r="Z923" s="57"/>
    </row>
    <row r="924">
      <c r="A924" s="58">
        <v>8983385.0</v>
      </c>
      <c r="B924" s="57" t="s">
        <v>2180</v>
      </c>
      <c r="C924" s="57" t="s">
        <v>210</v>
      </c>
      <c r="D924" s="58">
        <v>10.96</v>
      </c>
      <c r="E924" s="58">
        <v>1510.5</v>
      </c>
      <c r="F924" s="58">
        <v>4093391.0</v>
      </c>
      <c r="G924" s="57" t="s">
        <v>2194</v>
      </c>
      <c r="H924" s="57" t="s">
        <v>2195</v>
      </c>
      <c r="I924" s="57"/>
      <c r="J924" s="57"/>
      <c r="K924" s="57"/>
      <c r="L924" s="57"/>
      <c r="M924" s="57"/>
      <c r="N924" s="57"/>
      <c r="O924" s="57"/>
      <c r="P924" s="57"/>
      <c r="Q924" s="57"/>
      <c r="R924" s="57"/>
      <c r="S924" s="57"/>
      <c r="T924" s="57"/>
      <c r="U924" s="57"/>
      <c r="V924" s="57"/>
      <c r="W924" s="57"/>
      <c r="X924" s="57"/>
      <c r="Y924" s="57"/>
      <c r="Z924" s="57"/>
    </row>
    <row r="925">
      <c r="A925" s="58">
        <v>8983279.0</v>
      </c>
      <c r="B925" s="57" t="s">
        <v>2180</v>
      </c>
      <c r="C925" s="57" t="s">
        <v>210</v>
      </c>
      <c r="D925" s="58">
        <v>15.47</v>
      </c>
      <c r="E925" s="58">
        <v>1495.03</v>
      </c>
      <c r="F925" s="58">
        <v>4090524.0</v>
      </c>
      <c r="G925" s="57" t="s">
        <v>2196</v>
      </c>
      <c r="H925" s="57" t="s">
        <v>2197</v>
      </c>
      <c r="I925" s="57"/>
      <c r="J925" s="57"/>
      <c r="K925" s="57"/>
      <c r="L925" s="57"/>
      <c r="M925" s="57"/>
      <c r="N925" s="57"/>
      <c r="O925" s="57"/>
      <c r="P925" s="57"/>
      <c r="Q925" s="57"/>
      <c r="R925" s="57"/>
      <c r="S925" s="57"/>
      <c r="T925" s="57"/>
      <c r="U925" s="57"/>
      <c r="V925" s="57"/>
      <c r="W925" s="57"/>
      <c r="X925" s="57"/>
      <c r="Y925" s="57"/>
      <c r="Z925" s="57"/>
    </row>
    <row r="926">
      <c r="A926" s="58">
        <v>8982957.0</v>
      </c>
      <c r="B926" s="57" t="s">
        <v>2180</v>
      </c>
      <c r="C926" s="57" t="s">
        <v>210</v>
      </c>
      <c r="D926" s="58">
        <v>9.54</v>
      </c>
      <c r="E926" s="58">
        <v>1485.49</v>
      </c>
      <c r="F926" s="58">
        <v>4080812.0</v>
      </c>
      <c r="G926" s="58">
        <v>1.8697337E8</v>
      </c>
      <c r="H926" s="57" t="s">
        <v>2198</v>
      </c>
      <c r="I926" s="57"/>
      <c r="J926" s="57"/>
      <c r="K926" s="57"/>
      <c r="L926" s="57"/>
      <c r="M926" s="57"/>
      <c r="N926" s="57"/>
      <c r="O926" s="57"/>
      <c r="P926" s="57"/>
      <c r="Q926" s="57"/>
      <c r="R926" s="57"/>
      <c r="S926" s="57"/>
      <c r="T926" s="57"/>
      <c r="U926" s="57"/>
      <c r="V926" s="57"/>
      <c r="W926" s="57"/>
      <c r="X926" s="57"/>
      <c r="Y926" s="57"/>
      <c r="Z926" s="57"/>
    </row>
    <row r="927">
      <c r="A927" s="58">
        <v>8982267.0</v>
      </c>
      <c r="B927" s="57" t="s">
        <v>2180</v>
      </c>
      <c r="C927" s="57" t="s">
        <v>210</v>
      </c>
      <c r="D927" s="58">
        <v>7.25</v>
      </c>
      <c r="E927" s="58">
        <v>1478.24</v>
      </c>
      <c r="F927" s="58">
        <v>3971228.0</v>
      </c>
      <c r="G927" s="58">
        <v>1.86943182E8</v>
      </c>
      <c r="H927" s="57" t="s">
        <v>2199</v>
      </c>
      <c r="I927" s="57"/>
      <c r="J927" s="57"/>
      <c r="K927" s="57"/>
      <c r="L927" s="57"/>
      <c r="M927" s="57"/>
      <c r="N927" s="57"/>
      <c r="O927" s="57"/>
      <c r="P927" s="57"/>
      <c r="Q927" s="57"/>
      <c r="R927" s="57"/>
      <c r="S927" s="57"/>
      <c r="T927" s="57"/>
      <c r="U927" s="57"/>
      <c r="V927" s="57"/>
      <c r="W927" s="57"/>
      <c r="X927" s="57"/>
      <c r="Y927" s="57"/>
      <c r="Z927" s="57"/>
    </row>
    <row r="928">
      <c r="A928" s="58">
        <v>8979907.0</v>
      </c>
      <c r="B928" s="57" t="s">
        <v>2200</v>
      </c>
      <c r="C928" s="57" t="s">
        <v>247</v>
      </c>
      <c r="D928" s="58">
        <v>5.69</v>
      </c>
      <c r="E928" s="58">
        <v>1483.93</v>
      </c>
      <c r="F928" s="58">
        <v>4101508.0</v>
      </c>
      <c r="G928" s="57" t="s">
        <v>2201</v>
      </c>
      <c r="H928" s="57" t="s">
        <v>2202</v>
      </c>
      <c r="I928" s="57"/>
      <c r="J928" s="57"/>
      <c r="K928" s="57"/>
      <c r="L928" s="57"/>
      <c r="M928" s="57"/>
      <c r="N928" s="57"/>
      <c r="O928" s="57"/>
      <c r="P928" s="57"/>
      <c r="Q928" s="57"/>
      <c r="R928" s="57"/>
      <c r="S928" s="57"/>
      <c r="T928" s="57"/>
      <c r="U928" s="57"/>
      <c r="V928" s="57"/>
      <c r="W928" s="57"/>
      <c r="X928" s="57"/>
      <c r="Y928" s="57"/>
      <c r="Z928" s="57"/>
    </row>
    <row r="929">
      <c r="A929" s="58">
        <v>8979528.0</v>
      </c>
      <c r="B929" s="57" t="s">
        <v>2203</v>
      </c>
      <c r="C929" s="57" t="s">
        <v>247</v>
      </c>
      <c r="D929" s="58">
        <v>5.13</v>
      </c>
      <c r="E929" s="58">
        <v>1489.06</v>
      </c>
      <c r="F929" s="58">
        <v>4058295.0</v>
      </c>
      <c r="G929" s="57" t="s">
        <v>2204</v>
      </c>
      <c r="H929" s="57" t="s">
        <v>2205</v>
      </c>
      <c r="I929" s="57"/>
      <c r="J929" s="57"/>
      <c r="K929" s="57"/>
      <c r="L929" s="57"/>
      <c r="M929" s="57"/>
      <c r="N929" s="57"/>
      <c r="O929" s="57"/>
      <c r="P929" s="57"/>
      <c r="Q929" s="57"/>
      <c r="R929" s="57"/>
      <c r="S929" s="57"/>
      <c r="T929" s="57"/>
      <c r="U929" s="57"/>
      <c r="V929" s="57"/>
      <c r="W929" s="57"/>
      <c r="X929" s="57"/>
      <c r="Y929" s="57"/>
      <c r="Z929" s="57"/>
    </row>
    <row r="930">
      <c r="A930" s="58">
        <v>8979525.0</v>
      </c>
      <c r="B930" s="57" t="s">
        <v>2203</v>
      </c>
      <c r="C930" s="57" t="s">
        <v>247</v>
      </c>
      <c r="D930" s="58">
        <v>5.06</v>
      </c>
      <c r="E930" s="58">
        <v>1494.12</v>
      </c>
      <c r="F930" s="58">
        <v>4068625.0</v>
      </c>
      <c r="G930" s="57" t="s">
        <v>2206</v>
      </c>
      <c r="H930" s="57" t="s">
        <v>2207</v>
      </c>
      <c r="I930" s="57"/>
      <c r="J930" s="57"/>
      <c r="K930" s="57"/>
      <c r="L930" s="57"/>
      <c r="M930" s="57"/>
      <c r="N930" s="57"/>
      <c r="O930" s="57"/>
      <c r="P930" s="57"/>
      <c r="Q930" s="57"/>
      <c r="R930" s="57"/>
      <c r="S930" s="57"/>
      <c r="T930" s="57"/>
      <c r="U930" s="57"/>
      <c r="V930" s="57"/>
      <c r="W930" s="57"/>
      <c r="X930" s="57"/>
      <c r="Y930" s="57"/>
      <c r="Z930" s="57"/>
    </row>
    <row r="931">
      <c r="A931" s="58">
        <v>8979438.0</v>
      </c>
      <c r="B931" s="57" t="s">
        <v>2203</v>
      </c>
      <c r="C931" s="57" t="s">
        <v>247</v>
      </c>
      <c r="D931" s="58">
        <v>5.06</v>
      </c>
      <c r="E931" s="58">
        <v>1499.18</v>
      </c>
      <c r="F931" s="58">
        <v>4075411.0</v>
      </c>
      <c r="G931" s="57" t="s">
        <v>2208</v>
      </c>
      <c r="H931" s="57" t="s">
        <v>2209</v>
      </c>
      <c r="I931" s="57"/>
      <c r="J931" s="57"/>
      <c r="K931" s="57"/>
      <c r="L931" s="57"/>
      <c r="M931" s="57"/>
      <c r="N931" s="57"/>
      <c r="O931" s="57"/>
      <c r="P931" s="57"/>
      <c r="Q931" s="57"/>
      <c r="R931" s="57"/>
      <c r="S931" s="57"/>
      <c r="T931" s="57"/>
      <c r="U931" s="57"/>
      <c r="V931" s="57"/>
      <c r="W931" s="57"/>
      <c r="X931" s="57"/>
      <c r="Y931" s="57"/>
      <c r="Z931" s="57"/>
    </row>
    <row r="932">
      <c r="A932" s="58">
        <v>8979388.0</v>
      </c>
      <c r="B932" s="57" t="s">
        <v>2203</v>
      </c>
      <c r="C932" s="57" t="s">
        <v>247</v>
      </c>
      <c r="D932" s="58">
        <v>5.09</v>
      </c>
      <c r="E932" s="58">
        <v>1504.27</v>
      </c>
      <c r="F932" s="58">
        <v>4075065.0</v>
      </c>
      <c r="G932" s="57" t="s">
        <v>2210</v>
      </c>
      <c r="H932" s="57" t="s">
        <v>2211</v>
      </c>
      <c r="I932" s="57"/>
      <c r="J932" s="57"/>
      <c r="K932" s="57"/>
      <c r="L932" s="57"/>
      <c r="M932" s="57"/>
      <c r="N932" s="57"/>
      <c r="O932" s="57"/>
      <c r="P932" s="57"/>
      <c r="Q932" s="57"/>
      <c r="R932" s="57"/>
      <c r="S932" s="57"/>
      <c r="T932" s="57"/>
      <c r="U932" s="57"/>
      <c r="V932" s="57"/>
      <c r="W932" s="57"/>
      <c r="X932" s="57"/>
      <c r="Y932" s="57"/>
      <c r="Z932" s="57"/>
    </row>
    <row r="933">
      <c r="A933" s="58">
        <v>8979192.0</v>
      </c>
      <c r="B933" s="57" t="s">
        <v>2203</v>
      </c>
      <c r="C933" s="57" t="s">
        <v>247</v>
      </c>
      <c r="D933" s="58">
        <v>5.07</v>
      </c>
      <c r="E933" s="58">
        <v>1509.34</v>
      </c>
      <c r="F933" s="58">
        <v>4120624.0</v>
      </c>
      <c r="G933" s="57" t="s">
        <v>2212</v>
      </c>
      <c r="H933" s="57" t="s">
        <v>2213</v>
      </c>
      <c r="I933" s="57"/>
      <c r="J933" s="57"/>
      <c r="K933" s="57"/>
      <c r="L933" s="57"/>
      <c r="M933" s="57"/>
      <c r="N933" s="57"/>
      <c r="O933" s="57"/>
      <c r="P933" s="57"/>
      <c r="Q933" s="57"/>
      <c r="R933" s="57"/>
      <c r="S933" s="57"/>
      <c r="T933" s="57"/>
      <c r="U933" s="57"/>
      <c r="V933" s="57"/>
      <c r="W933" s="57"/>
      <c r="X933" s="57"/>
      <c r="Y933" s="57"/>
      <c r="Z933" s="57"/>
    </row>
    <row r="934">
      <c r="A934" s="58">
        <v>8979141.0</v>
      </c>
      <c r="B934" s="57" t="s">
        <v>2203</v>
      </c>
      <c r="C934" s="57" t="s">
        <v>247</v>
      </c>
      <c r="D934" s="58">
        <v>3.46</v>
      </c>
      <c r="E934" s="58">
        <v>1512.8</v>
      </c>
      <c r="F934" s="58">
        <v>4058578.0</v>
      </c>
      <c r="G934" s="57" t="s">
        <v>2214</v>
      </c>
      <c r="H934" s="57" t="s">
        <v>2215</v>
      </c>
      <c r="I934" s="57"/>
      <c r="J934" s="57"/>
      <c r="K934" s="57"/>
      <c r="L934" s="57"/>
      <c r="M934" s="57"/>
      <c r="N934" s="57"/>
      <c r="O934" s="57"/>
      <c r="P934" s="57"/>
      <c r="Q934" s="57"/>
      <c r="R934" s="57"/>
      <c r="S934" s="57"/>
      <c r="T934" s="57"/>
      <c r="U934" s="57"/>
      <c r="V934" s="57"/>
      <c r="W934" s="57"/>
      <c r="X934" s="57"/>
      <c r="Y934" s="57"/>
      <c r="Z934" s="57"/>
    </row>
    <row r="935">
      <c r="A935" s="58">
        <v>8979079.0</v>
      </c>
      <c r="B935" s="57" t="s">
        <v>2203</v>
      </c>
      <c r="C935" s="57" t="s">
        <v>247</v>
      </c>
      <c r="D935" s="58">
        <v>5.65</v>
      </c>
      <c r="E935" s="58">
        <v>1518.45</v>
      </c>
      <c r="F935" s="58">
        <v>4056866.0</v>
      </c>
      <c r="G935" s="57" t="s">
        <v>2216</v>
      </c>
      <c r="H935" s="57" t="s">
        <v>2217</v>
      </c>
      <c r="I935" s="57"/>
      <c r="J935" s="57"/>
      <c r="K935" s="57"/>
      <c r="L935" s="57"/>
      <c r="M935" s="57"/>
      <c r="N935" s="57"/>
      <c r="O935" s="57"/>
      <c r="P935" s="57"/>
      <c r="Q935" s="57"/>
      <c r="R935" s="57"/>
      <c r="S935" s="57"/>
      <c r="T935" s="57"/>
      <c r="U935" s="57"/>
      <c r="V935" s="57"/>
      <c r="W935" s="57"/>
      <c r="X935" s="57"/>
      <c r="Y935" s="57"/>
      <c r="Z935" s="57"/>
    </row>
    <row r="936">
      <c r="A936" s="58">
        <v>8978703.0</v>
      </c>
      <c r="B936" s="57" t="s">
        <v>2218</v>
      </c>
      <c r="C936" s="57" t="s">
        <v>247</v>
      </c>
      <c r="D936" s="58">
        <v>3.46</v>
      </c>
      <c r="E936" s="58">
        <v>1521.91</v>
      </c>
      <c r="F936" s="58">
        <v>4054620.0</v>
      </c>
      <c r="G936" s="57" t="s">
        <v>2219</v>
      </c>
      <c r="H936" s="57" t="s">
        <v>2220</v>
      </c>
      <c r="I936" s="57"/>
      <c r="J936" s="57"/>
      <c r="K936" s="57"/>
      <c r="L936" s="57"/>
      <c r="M936" s="57"/>
      <c r="N936" s="57"/>
      <c r="O936" s="57"/>
      <c r="P936" s="57"/>
      <c r="Q936" s="57"/>
      <c r="R936" s="57"/>
      <c r="S936" s="57"/>
      <c r="T936" s="57"/>
      <c r="U936" s="57"/>
      <c r="V936" s="57"/>
      <c r="W936" s="57"/>
      <c r="X936" s="57"/>
      <c r="Y936" s="57"/>
      <c r="Z936" s="57"/>
    </row>
    <row r="937">
      <c r="A937" s="58">
        <v>8977864.0</v>
      </c>
      <c r="B937" s="57" t="s">
        <v>2221</v>
      </c>
      <c r="C937" s="57" t="s">
        <v>247</v>
      </c>
      <c r="D937" s="58">
        <v>7.67</v>
      </c>
      <c r="E937" s="58">
        <v>1529.58</v>
      </c>
      <c r="F937" s="58">
        <v>3944406.0</v>
      </c>
      <c r="G937" s="58">
        <v>1.86896238E8</v>
      </c>
      <c r="H937" s="57" t="s">
        <v>2222</v>
      </c>
      <c r="I937" s="57"/>
      <c r="J937" s="57"/>
      <c r="K937" s="57"/>
      <c r="L937" s="57"/>
      <c r="M937" s="57"/>
      <c r="N937" s="57"/>
      <c r="O937" s="57"/>
      <c r="P937" s="57"/>
      <c r="Q937" s="57"/>
      <c r="R937" s="57"/>
      <c r="S937" s="57"/>
      <c r="T937" s="57"/>
      <c r="U937" s="57"/>
      <c r="V937" s="57"/>
      <c r="W937" s="57"/>
      <c r="X937" s="57"/>
      <c r="Y937" s="57"/>
      <c r="Z937" s="57"/>
    </row>
    <row r="938">
      <c r="A938" s="58">
        <v>8977791.0</v>
      </c>
      <c r="B938" s="57" t="s">
        <v>2221</v>
      </c>
      <c r="C938" s="57" t="s">
        <v>247</v>
      </c>
      <c r="D938" s="58">
        <v>7.67</v>
      </c>
      <c r="E938" s="58">
        <v>1537.25</v>
      </c>
      <c r="F938" s="58">
        <v>3945785.0</v>
      </c>
      <c r="G938" s="58">
        <v>1.86904622E8</v>
      </c>
      <c r="H938" s="57" t="s">
        <v>2223</v>
      </c>
      <c r="I938" s="57"/>
      <c r="J938" s="57"/>
      <c r="K938" s="57"/>
      <c r="L938" s="57"/>
      <c r="M938" s="57"/>
      <c r="N938" s="57"/>
      <c r="O938" s="57"/>
      <c r="P938" s="57"/>
      <c r="Q938" s="57"/>
      <c r="R938" s="57"/>
      <c r="S938" s="57"/>
      <c r="T938" s="57"/>
      <c r="U938" s="57"/>
      <c r="V938" s="57"/>
      <c r="W938" s="57"/>
      <c r="X938" s="57"/>
      <c r="Y938" s="57"/>
      <c r="Z938" s="57"/>
    </row>
    <row r="939">
      <c r="A939" s="58">
        <v>8976374.0</v>
      </c>
      <c r="B939" s="57" t="s">
        <v>2224</v>
      </c>
      <c r="C939" s="57" t="s">
        <v>247</v>
      </c>
      <c r="D939" s="58">
        <v>7.75</v>
      </c>
      <c r="E939" s="58">
        <v>1545.0</v>
      </c>
      <c r="F939" s="58">
        <v>4111351.0</v>
      </c>
      <c r="G939" s="58">
        <v>1.8696692E8</v>
      </c>
      <c r="H939" s="57" t="s">
        <v>2225</v>
      </c>
      <c r="I939" s="57"/>
      <c r="J939" s="57"/>
      <c r="K939" s="57"/>
      <c r="L939" s="57"/>
      <c r="M939" s="57"/>
      <c r="N939" s="57"/>
      <c r="O939" s="57"/>
      <c r="P939" s="57"/>
      <c r="Q939" s="57"/>
      <c r="R939" s="57"/>
      <c r="S939" s="57"/>
      <c r="T939" s="57"/>
      <c r="U939" s="57"/>
      <c r="V939" s="57"/>
      <c r="W939" s="57"/>
      <c r="X939" s="57"/>
      <c r="Y939" s="57"/>
      <c r="Z939" s="57"/>
    </row>
    <row r="940">
      <c r="A940" s="58">
        <v>8975726.0</v>
      </c>
      <c r="B940" s="57" t="s">
        <v>2226</v>
      </c>
      <c r="C940" s="57" t="s">
        <v>247</v>
      </c>
      <c r="D940" s="58">
        <v>7.67</v>
      </c>
      <c r="E940" s="58">
        <v>1552.67</v>
      </c>
      <c r="F940" s="58">
        <v>3949447.0</v>
      </c>
      <c r="G940" s="58">
        <v>1.86904602E8</v>
      </c>
      <c r="H940" s="57" t="s">
        <v>2227</v>
      </c>
      <c r="I940" s="57"/>
      <c r="J940" s="57"/>
      <c r="K940" s="57"/>
      <c r="L940" s="57"/>
      <c r="M940" s="57"/>
      <c r="N940" s="57"/>
      <c r="O940" s="57"/>
      <c r="P940" s="57"/>
      <c r="Q940" s="57"/>
      <c r="R940" s="57"/>
      <c r="S940" s="57"/>
      <c r="T940" s="57"/>
      <c r="U940" s="57"/>
      <c r="V940" s="57"/>
      <c r="W940" s="57"/>
      <c r="X940" s="57"/>
      <c r="Y940" s="57"/>
      <c r="Z940" s="57"/>
    </row>
    <row r="941">
      <c r="A941" s="58">
        <v>8974307.0</v>
      </c>
      <c r="B941" s="57" t="s">
        <v>2228</v>
      </c>
      <c r="C941" s="57" t="s">
        <v>247</v>
      </c>
      <c r="D941" s="58">
        <v>6.24</v>
      </c>
      <c r="E941" s="58">
        <v>1558.91</v>
      </c>
      <c r="F941" s="58">
        <v>3988218.0</v>
      </c>
      <c r="G941" s="58">
        <v>1.86922117E8</v>
      </c>
      <c r="H941" s="57" t="s">
        <v>2229</v>
      </c>
      <c r="I941" s="57"/>
      <c r="J941" s="57"/>
      <c r="K941" s="57"/>
      <c r="L941" s="57"/>
      <c r="M941" s="57"/>
      <c r="N941" s="57"/>
      <c r="O941" s="57"/>
      <c r="P941" s="57"/>
      <c r="Q941" s="57"/>
      <c r="R941" s="57"/>
      <c r="S941" s="57"/>
      <c r="T941" s="57"/>
      <c r="U941" s="57"/>
      <c r="V941" s="57"/>
      <c r="W941" s="57"/>
      <c r="X941" s="57"/>
      <c r="Y941" s="57"/>
      <c r="Z941" s="57"/>
    </row>
    <row r="942">
      <c r="A942" s="58">
        <v>8958412.0</v>
      </c>
      <c r="B942" s="57" t="s">
        <v>2230</v>
      </c>
      <c r="C942" s="57" t="s">
        <v>210</v>
      </c>
      <c r="D942" s="58">
        <v>15.95</v>
      </c>
      <c r="E942" s="58">
        <v>1542.96</v>
      </c>
      <c r="F942" s="58">
        <v>4166122.0</v>
      </c>
      <c r="G942" s="57" t="s">
        <v>2231</v>
      </c>
      <c r="H942" s="57" t="s">
        <v>2232</v>
      </c>
      <c r="I942" s="57"/>
      <c r="J942" s="57"/>
      <c r="K942" s="57"/>
      <c r="L942" s="57"/>
      <c r="M942" s="57"/>
      <c r="N942" s="57"/>
      <c r="O942" s="57"/>
      <c r="P942" s="57"/>
      <c r="Q942" s="57"/>
      <c r="R942" s="57"/>
      <c r="S942" s="57"/>
      <c r="T942" s="57"/>
      <c r="U942" s="57"/>
      <c r="V942" s="57"/>
      <c r="W942" s="57"/>
      <c r="X942" s="57"/>
      <c r="Y942" s="57"/>
      <c r="Z942" s="57"/>
    </row>
    <row r="943">
      <c r="A943" s="58">
        <v>8958346.0</v>
      </c>
      <c r="B943" s="57" t="s">
        <v>2230</v>
      </c>
      <c r="C943" s="57" t="s">
        <v>210</v>
      </c>
      <c r="D943" s="58">
        <v>9.98</v>
      </c>
      <c r="E943" s="58">
        <v>1532.98</v>
      </c>
      <c r="F943" s="58">
        <v>4165894.0</v>
      </c>
      <c r="G943" s="58">
        <v>1.86487425E8</v>
      </c>
      <c r="H943" s="57" t="s">
        <v>2233</v>
      </c>
      <c r="I943" s="57"/>
      <c r="J943" s="57"/>
      <c r="K943" s="57"/>
      <c r="L943" s="57"/>
      <c r="M943" s="57"/>
      <c r="N943" s="57"/>
      <c r="O943" s="57"/>
      <c r="P943" s="57"/>
      <c r="Q943" s="57"/>
      <c r="R943" s="57"/>
      <c r="S943" s="57"/>
      <c r="T943" s="57"/>
      <c r="U943" s="57"/>
      <c r="V943" s="57"/>
      <c r="W943" s="57"/>
      <c r="X943" s="57"/>
      <c r="Y943" s="57"/>
      <c r="Z943" s="57"/>
    </row>
    <row r="944">
      <c r="A944" s="58">
        <v>8956871.0</v>
      </c>
      <c r="B944" s="57" t="s">
        <v>2230</v>
      </c>
      <c r="C944" s="57" t="s">
        <v>210</v>
      </c>
      <c r="D944" s="58">
        <v>15.36</v>
      </c>
      <c r="E944" s="58">
        <v>1517.62</v>
      </c>
      <c r="F944" s="58">
        <v>4161719.0</v>
      </c>
      <c r="G944" s="57" t="s">
        <v>2234</v>
      </c>
      <c r="H944" s="57" t="s">
        <v>2235</v>
      </c>
      <c r="I944" s="57"/>
      <c r="J944" s="57"/>
      <c r="K944" s="57"/>
      <c r="L944" s="57"/>
      <c r="M944" s="57"/>
      <c r="N944" s="57"/>
      <c r="O944" s="57"/>
      <c r="P944" s="57"/>
      <c r="Q944" s="57"/>
      <c r="R944" s="57"/>
      <c r="S944" s="57"/>
      <c r="T944" s="57"/>
      <c r="U944" s="57"/>
      <c r="V944" s="57"/>
      <c r="W944" s="57"/>
      <c r="X944" s="57"/>
      <c r="Y944" s="57"/>
      <c r="Z944" s="57"/>
    </row>
    <row r="945">
      <c r="A945" s="58">
        <v>8954911.0</v>
      </c>
      <c r="B945" s="57" t="s">
        <v>2236</v>
      </c>
      <c r="C945" s="57" t="s">
        <v>210</v>
      </c>
      <c r="D945" s="58">
        <v>12.55</v>
      </c>
      <c r="E945" s="58">
        <v>1505.07</v>
      </c>
      <c r="F945" s="58">
        <v>4155975.0</v>
      </c>
      <c r="G945" s="58">
        <v>1.8648743E8</v>
      </c>
      <c r="H945" s="57" t="s">
        <v>2237</v>
      </c>
      <c r="I945" s="57"/>
      <c r="J945" s="57"/>
      <c r="K945" s="57"/>
      <c r="L945" s="57"/>
      <c r="M945" s="57"/>
      <c r="N945" s="57"/>
      <c r="O945" s="57"/>
      <c r="P945" s="57"/>
      <c r="Q945" s="57"/>
      <c r="R945" s="57"/>
      <c r="S945" s="57"/>
      <c r="T945" s="57"/>
      <c r="U945" s="57"/>
      <c r="V945" s="57"/>
      <c r="W945" s="57"/>
      <c r="X945" s="57"/>
      <c r="Y945" s="57"/>
      <c r="Z945" s="57"/>
    </row>
    <row r="946">
      <c r="A946" s="58">
        <v>8954008.0</v>
      </c>
      <c r="B946" s="57" t="s">
        <v>2236</v>
      </c>
      <c r="C946" s="57" t="s">
        <v>210</v>
      </c>
      <c r="D946" s="58">
        <v>10.96</v>
      </c>
      <c r="E946" s="58">
        <v>1494.11</v>
      </c>
      <c r="F946" s="58">
        <v>4152490.0</v>
      </c>
      <c r="G946" s="57" t="s">
        <v>2238</v>
      </c>
      <c r="H946" s="57" t="s">
        <v>2239</v>
      </c>
      <c r="I946" s="57"/>
      <c r="J946" s="57"/>
      <c r="K946" s="57"/>
      <c r="L946" s="57"/>
      <c r="M946" s="57"/>
      <c r="N946" s="57"/>
      <c r="O946" s="57"/>
      <c r="P946" s="57"/>
      <c r="Q946" s="57"/>
      <c r="R946" s="57"/>
      <c r="S946" s="57"/>
      <c r="T946" s="57"/>
      <c r="U946" s="57"/>
      <c r="V946" s="57"/>
      <c r="W946" s="57"/>
      <c r="X946" s="57"/>
      <c r="Y946" s="57"/>
      <c r="Z946" s="57"/>
    </row>
    <row r="947">
      <c r="A947" s="58">
        <v>8953917.0</v>
      </c>
      <c r="B947" s="57" t="s">
        <v>2236</v>
      </c>
      <c r="C947" s="57" t="s">
        <v>210</v>
      </c>
      <c r="D947" s="58">
        <v>10.96</v>
      </c>
      <c r="E947" s="58">
        <v>1483.15</v>
      </c>
      <c r="F947" s="58">
        <v>4152256.0</v>
      </c>
      <c r="G947" s="57" t="s">
        <v>2240</v>
      </c>
      <c r="H947" s="57" t="s">
        <v>2241</v>
      </c>
      <c r="I947" s="57"/>
      <c r="J947" s="57"/>
      <c r="K947" s="57"/>
      <c r="L947" s="57"/>
      <c r="M947" s="57"/>
      <c r="N947" s="57"/>
      <c r="O947" s="57"/>
      <c r="P947" s="57"/>
      <c r="Q947" s="57"/>
      <c r="R947" s="57"/>
      <c r="S947" s="57"/>
      <c r="T947" s="57"/>
      <c r="U947" s="57"/>
      <c r="V947" s="57"/>
      <c r="W947" s="57"/>
      <c r="X947" s="57"/>
      <c r="Y947" s="57"/>
      <c r="Z947" s="57"/>
    </row>
    <row r="948">
      <c r="A948" s="58">
        <v>8953441.0</v>
      </c>
      <c r="B948" s="57" t="s">
        <v>2236</v>
      </c>
      <c r="C948" s="57" t="s">
        <v>210</v>
      </c>
      <c r="D948" s="58">
        <v>10.96</v>
      </c>
      <c r="E948" s="58">
        <v>1472.19</v>
      </c>
      <c r="F948" s="58">
        <v>4150204.0</v>
      </c>
      <c r="G948" s="57" t="s">
        <v>2242</v>
      </c>
      <c r="H948" s="57" t="s">
        <v>2243</v>
      </c>
      <c r="I948" s="57"/>
      <c r="J948" s="57"/>
      <c r="K948" s="57"/>
      <c r="L948" s="57"/>
      <c r="M948" s="57"/>
      <c r="N948" s="57"/>
      <c r="O948" s="57"/>
      <c r="P948" s="57"/>
      <c r="Q948" s="57"/>
      <c r="R948" s="57"/>
      <c r="S948" s="57"/>
      <c r="T948" s="57"/>
      <c r="U948" s="57"/>
      <c r="V948" s="57"/>
      <c r="W948" s="57"/>
      <c r="X948" s="57"/>
      <c r="Y948" s="57"/>
      <c r="Z948" s="57"/>
    </row>
    <row r="949">
      <c r="A949" s="58">
        <v>8951298.0</v>
      </c>
      <c r="B949" s="57" t="s">
        <v>2244</v>
      </c>
      <c r="C949" s="57" t="s">
        <v>210</v>
      </c>
      <c r="D949" s="58">
        <v>17.37</v>
      </c>
      <c r="E949" s="58">
        <v>1454.82</v>
      </c>
      <c r="F949" s="58">
        <v>4138443.0</v>
      </c>
      <c r="G949" s="57" t="s">
        <v>2245</v>
      </c>
      <c r="H949" s="57" t="s">
        <v>2246</v>
      </c>
      <c r="I949" s="57"/>
      <c r="J949" s="57"/>
      <c r="K949" s="57"/>
      <c r="L949" s="57"/>
      <c r="M949" s="57"/>
      <c r="N949" s="57"/>
      <c r="O949" s="57"/>
      <c r="P949" s="57"/>
      <c r="Q949" s="57"/>
      <c r="R949" s="57"/>
      <c r="S949" s="57"/>
      <c r="T949" s="57"/>
      <c r="U949" s="57"/>
      <c r="V949" s="57"/>
      <c r="W949" s="57"/>
      <c r="X949" s="57"/>
      <c r="Y949" s="57"/>
      <c r="Z949" s="57"/>
    </row>
    <row r="950">
      <c r="A950" s="58">
        <v>8950598.0</v>
      </c>
      <c r="B950" s="57" t="s">
        <v>2244</v>
      </c>
      <c r="C950" s="57" t="s">
        <v>210</v>
      </c>
      <c r="D950" s="58">
        <v>9.1</v>
      </c>
      <c r="E950" s="58">
        <v>1445.72</v>
      </c>
      <c r="F950" s="58">
        <v>4132318.0</v>
      </c>
      <c r="G950" s="58">
        <v>1.8697334E8</v>
      </c>
      <c r="H950" s="57" t="s">
        <v>2247</v>
      </c>
      <c r="I950" s="57"/>
      <c r="J950" s="57"/>
      <c r="K950" s="57"/>
      <c r="L950" s="57"/>
      <c r="M950" s="57"/>
      <c r="N950" s="57"/>
      <c r="O950" s="57"/>
      <c r="P950" s="57"/>
      <c r="Q950" s="57"/>
      <c r="R950" s="57"/>
      <c r="S950" s="57"/>
      <c r="T950" s="57"/>
      <c r="U950" s="57"/>
      <c r="V950" s="57"/>
      <c r="W950" s="57"/>
      <c r="X950" s="57"/>
      <c r="Y950" s="57"/>
      <c r="Z950" s="57"/>
    </row>
    <row r="951">
      <c r="A951" s="58">
        <v>8949786.0</v>
      </c>
      <c r="B951" s="57" t="s">
        <v>2244</v>
      </c>
      <c r="C951" s="57" t="s">
        <v>210</v>
      </c>
      <c r="D951" s="58">
        <v>13.77</v>
      </c>
      <c r="E951" s="58">
        <v>1431.95</v>
      </c>
      <c r="F951" s="58">
        <v>4123998.0</v>
      </c>
      <c r="G951" s="57" t="s">
        <v>2248</v>
      </c>
      <c r="H951" s="57" t="s">
        <v>2249</v>
      </c>
      <c r="I951" s="57"/>
      <c r="J951" s="57"/>
      <c r="K951" s="57"/>
      <c r="L951" s="57"/>
      <c r="M951" s="57"/>
      <c r="N951" s="57"/>
      <c r="O951" s="57"/>
      <c r="P951" s="57"/>
      <c r="Q951" s="57"/>
      <c r="R951" s="57"/>
      <c r="S951" s="57"/>
      <c r="T951" s="57"/>
      <c r="U951" s="57"/>
      <c r="V951" s="57"/>
      <c r="W951" s="57"/>
      <c r="X951" s="57"/>
      <c r="Y951" s="57"/>
      <c r="Z951" s="57"/>
    </row>
    <row r="952">
      <c r="A952" s="58">
        <v>8949780.0</v>
      </c>
      <c r="B952" s="57" t="s">
        <v>2244</v>
      </c>
      <c r="C952" s="57" t="s">
        <v>210</v>
      </c>
      <c r="D952" s="58">
        <v>9.1</v>
      </c>
      <c r="E952" s="58">
        <v>1422.85</v>
      </c>
      <c r="F952" s="58">
        <v>4123883.0</v>
      </c>
      <c r="G952" s="58">
        <v>1.86973374E8</v>
      </c>
      <c r="H952" s="57" t="s">
        <v>2250</v>
      </c>
      <c r="I952" s="57"/>
      <c r="J952" s="57"/>
      <c r="K952" s="57"/>
      <c r="L952" s="57"/>
      <c r="M952" s="57"/>
      <c r="N952" s="57"/>
      <c r="O952" s="57"/>
      <c r="P952" s="57"/>
      <c r="Q952" s="57"/>
      <c r="R952" s="57"/>
      <c r="S952" s="57"/>
      <c r="T952" s="57"/>
      <c r="U952" s="57"/>
      <c r="V952" s="57"/>
      <c r="W952" s="57"/>
      <c r="X952" s="57"/>
      <c r="Y952" s="57"/>
      <c r="Z952" s="57"/>
    </row>
    <row r="953">
      <c r="A953" s="58">
        <v>8948754.0</v>
      </c>
      <c r="B953" s="57" t="s">
        <v>2244</v>
      </c>
      <c r="C953" s="57" t="s">
        <v>210</v>
      </c>
      <c r="D953" s="58">
        <v>15.47</v>
      </c>
      <c r="E953" s="58">
        <v>1407.38</v>
      </c>
      <c r="F953" s="58">
        <v>4112931.0</v>
      </c>
      <c r="G953" s="57" t="s">
        <v>2251</v>
      </c>
      <c r="H953" s="57" t="s">
        <v>2252</v>
      </c>
      <c r="I953" s="57"/>
      <c r="J953" s="57"/>
      <c r="K953" s="57"/>
      <c r="L953" s="57"/>
      <c r="M953" s="57"/>
      <c r="N953" s="57"/>
      <c r="O953" s="57"/>
      <c r="P953" s="57"/>
      <c r="Q953" s="57"/>
      <c r="R953" s="57"/>
      <c r="S953" s="57"/>
      <c r="T953" s="57"/>
      <c r="U953" s="57"/>
      <c r="V953" s="57"/>
      <c r="W953" s="57"/>
      <c r="X953" s="57"/>
      <c r="Y953" s="57"/>
      <c r="Z953" s="57"/>
    </row>
    <row r="954">
      <c r="A954" s="58">
        <v>8948212.0</v>
      </c>
      <c r="B954" s="57" t="s">
        <v>2253</v>
      </c>
      <c r="C954" s="57" t="s">
        <v>210</v>
      </c>
      <c r="D954" s="58">
        <v>10.96</v>
      </c>
      <c r="E954" s="58">
        <v>1396.42</v>
      </c>
      <c r="F954" s="58">
        <v>4106161.0</v>
      </c>
      <c r="G954" s="57" t="s">
        <v>2254</v>
      </c>
      <c r="H954" s="57" t="s">
        <v>2255</v>
      </c>
      <c r="I954" s="57"/>
      <c r="J954" s="57"/>
      <c r="K954" s="57"/>
      <c r="L954" s="57"/>
      <c r="M954" s="57"/>
      <c r="N954" s="57"/>
      <c r="O954" s="57"/>
      <c r="P954" s="57"/>
      <c r="Q954" s="57"/>
      <c r="R954" s="57"/>
      <c r="S954" s="57"/>
      <c r="T954" s="57"/>
      <c r="U954" s="57"/>
      <c r="V954" s="57"/>
      <c r="W954" s="57"/>
      <c r="X954" s="57"/>
      <c r="Y954" s="57"/>
      <c r="Z954" s="57"/>
    </row>
    <row r="955">
      <c r="A955" s="58">
        <v>8948188.0</v>
      </c>
      <c r="B955" s="57" t="s">
        <v>2253</v>
      </c>
      <c r="C955" s="57" t="s">
        <v>210</v>
      </c>
      <c r="D955" s="58">
        <v>10.96</v>
      </c>
      <c r="E955" s="58">
        <v>1385.46</v>
      </c>
      <c r="F955" s="58">
        <v>4105575.0</v>
      </c>
      <c r="G955" s="57" t="s">
        <v>2256</v>
      </c>
      <c r="H955" s="57" t="s">
        <v>2257</v>
      </c>
      <c r="I955" s="57"/>
      <c r="J955" s="57"/>
      <c r="K955" s="57"/>
      <c r="L955" s="57"/>
      <c r="M955" s="57"/>
      <c r="N955" s="57"/>
      <c r="O955" s="57"/>
      <c r="P955" s="57"/>
      <c r="Q955" s="57"/>
      <c r="R955" s="57"/>
      <c r="S955" s="57"/>
      <c r="T955" s="57"/>
      <c r="U955" s="57"/>
      <c r="V955" s="57"/>
      <c r="W955" s="57"/>
      <c r="X955" s="57"/>
      <c r="Y955" s="57"/>
      <c r="Z955" s="57"/>
    </row>
    <row r="956">
      <c r="A956" s="58">
        <v>8948007.0</v>
      </c>
      <c r="B956" s="57" t="s">
        <v>2253</v>
      </c>
      <c r="C956" s="57" t="s">
        <v>210</v>
      </c>
      <c r="D956" s="58">
        <v>10.96</v>
      </c>
      <c r="E956" s="58">
        <v>1374.5</v>
      </c>
      <c r="F956" s="58">
        <v>4102546.0</v>
      </c>
      <c r="G956" s="57" t="s">
        <v>2258</v>
      </c>
      <c r="H956" s="57" t="s">
        <v>2259</v>
      </c>
      <c r="I956" s="57"/>
      <c r="J956" s="57"/>
      <c r="K956" s="57"/>
      <c r="L956" s="57"/>
      <c r="M956" s="57"/>
      <c r="N956" s="57"/>
      <c r="O956" s="57"/>
      <c r="P956" s="57"/>
      <c r="Q956" s="57"/>
      <c r="R956" s="57"/>
      <c r="S956" s="57"/>
      <c r="T956" s="57"/>
      <c r="U956" s="57"/>
      <c r="V956" s="57"/>
      <c r="W956" s="57"/>
      <c r="X956" s="57"/>
      <c r="Y956" s="57"/>
      <c r="Z956" s="57"/>
    </row>
    <row r="957">
      <c r="A957" s="58">
        <v>8947910.0</v>
      </c>
      <c r="B957" s="57" t="s">
        <v>2253</v>
      </c>
      <c r="C957" s="57" t="s">
        <v>210</v>
      </c>
      <c r="D957" s="58">
        <v>15.47</v>
      </c>
      <c r="E957" s="58">
        <v>1359.03</v>
      </c>
      <c r="F957" s="58">
        <v>4101053.0</v>
      </c>
      <c r="G957" s="57" t="s">
        <v>2260</v>
      </c>
      <c r="H957" s="57" t="s">
        <v>2261</v>
      </c>
      <c r="I957" s="57"/>
      <c r="J957" s="57"/>
      <c r="K957" s="57"/>
      <c r="L957" s="57"/>
      <c r="M957" s="57"/>
      <c r="N957" s="57"/>
      <c r="O957" s="57"/>
      <c r="P957" s="57"/>
      <c r="Q957" s="57"/>
      <c r="R957" s="57"/>
      <c r="S957" s="57"/>
      <c r="T957" s="57"/>
      <c r="U957" s="57"/>
      <c r="V957" s="57"/>
      <c r="W957" s="57"/>
      <c r="X957" s="57"/>
      <c r="Y957" s="57"/>
      <c r="Z957" s="57"/>
    </row>
    <row r="958">
      <c r="A958" s="58">
        <v>8947645.0</v>
      </c>
      <c r="B958" s="57" t="s">
        <v>2253</v>
      </c>
      <c r="C958" s="57" t="s">
        <v>210</v>
      </c>
      <c r="D958" s="58">
        <v>13.17</v>
      </c>
      <c r="E958" s="58">
        <v>1345.86</v>
      </c>
      <c r="F958" s="58">
        <v>4096796.0</v>
      </c>
      <c r="G958" s="57" t="s">
        <v>2262</v>
      </c>
      <c r="H958" s="57" t="s">
        <v>2263</v>
      </c>
      <c r="I958" s="57"/>
      <c r="J958" s="57"/>
      <c r="K958" s="57"/>
      <c r="L958" s="57"/>
      <c r="M958" s="57"/>
      <c r="N958" s="57"/>
      <c r="O958" s="57"/>
      <c r="P958" s="57"/>
      <c r="Q958" s="57"/>
      <c r="R958" s="57"/>
      <c r="S958" s="57"/>
      <c r="T958" s="57"/>
      <c r="U958" s="57"/>
      <c r="V958" s="57"/>
      <c r="W958" s="57"/>
      <c r="X958" s="57"/>
      <c r="Y958" s="57"/>
      <c r="Z958" s="57"/>
    </row>
    <row r="959">
      <c r="A959" s="58">
        <v>8947336.0</v>
      </c>
      <c r="B959" s="57" t="s">
        <v>2253</v>
      </c>
      <c r="C959" s="57" t="s">
        <v>210</v>
      </c>
      <c r="D959" s="58">
        <v>13.17</v>
      </c>
      <c r="E959" s="58">
        <v>1332.69</v>
      </c>
      <c r="F959" s="58">
        <v>4091574.0</v>
      </c>
      <c r="G959" s="57" t="s">
        <v>2264</v>
      </c>
      <c r="H959" s="57" t="s">
        <v>2265</v>
      </c>
      <c r="I959" s="57"/>
      <c r="J959" s="57"/>
      <c r="K959" s="57"/>
      <c r="L959" s="57"/>
      <c r="M959" s="57"/>
      <c r="N959" s="57"/>
      <c r="O959" s="57"/>
      <c r="P959" s="57"/>
      <c r="Q959" s="57"/>
      <c r="R959" s="57"/>
      <c r="S959" s="57"/>
      <c r="T959" s="57"/>
      <c r="U959" s="57"/>
      <c r="V959" s="57"/>
      <c r="W959" s="57"/>
      <c r="X959" s="57"/>
      <c r="Y959" s="57"/>
      <c r="Z959" s="57"/>
    </row>
    <row r="960">
      <c r="A960" s="58">
        <v>8947250.0</v>
      </c>
      <c r="B960" s="57" t="s">
        <v>2253</v>
      </c>
      <c r="C960" s="57" t="s">
        <v>210</v>
      </c>
      <c r="D960" s="58">
        <v>10.96</v>
      </c>
      <c r="E960" s="58">
        <v>1321.73</v>
      </c>
      <c r="F960" s="58">
        <v>4090150.0</v>
      </c>
      <c r="G960" s="57" t="s">
        <v>2266</v>
      </c>
      <c r="H960" s="57" t="s">
        <v>2267</v>
      </c>
      <c r="I960" s="57"/>
      <c r="J960" s="57"/>
      <c r="K960" s="57"/>
      <c r="L960" s="57"/>
      <c r="M960" s="57"/>
      <c r="N960" s="57"/>
      <c r="O960" s="57"/>
      <c r="P960" s="57"/>
      <c r="Q960" s="57"/>
      <c r="R960" s="57"/>
      <c r="S960" s="57"/>
      <c r="T960" s="57"/>
      <c r="U960" s="57"/>
      <c r="V960" s="57"/>
      <c r="W960" s="57"/>
      <c r="X960" s="57"/>
      <c r="Y960" s="57"/>
      <c r="Z960" s="57"/>
    </row>
    <row r="961">
      <c r="A961" s="58">
        <v>8946770.0</v>
      </c>
      <c r="B961" s="57" t="s">
        <v>2253</v>
      </c>
      <c r="C961" s="57" t="s">
        <v>210</v>
      </c>
      <c r="D961" s="58">
        <v>15.76</v>
      </c>
      <c r="E961" s="58">
        <v>1305.97</v>
      </c>
      <c r="F961" s="58">
        <v>4080919.0</v>
      </c>
      <c r="G961" s="57" t="s">
        <v>2268</v>
      </c>
      <c r="H961" s="57" t="s">
        <v>2269</v>
      </c>
      <c r="I961" s="57"/>
      <c r="J961" s="57"/>
      <c r="K961" s="57"/>
      <c r="L961" s="57"/>
      <c r="M961" s="57"/>
      <c r="N961" s="57"/>
      <c r="O961" s="57"/>
      <c r="P961" s="57"/>
      <c r="Q961" s="57"/>
      <c r="R961" s="57"/>
      <c r="S961" s="57"/>
      <c r="T961" s="57"/>
      <c r="U961" s="57"/>
      <c r="V961" s="57"/>
      <c r="W961" s="57"/>
      <c r="X961" s="57"/>
      <c r="Y961" s="57"/>
      <c r="Z961" s="57"/>
    </row>
    <row r="962">
      <c r="A962" s="58">
        <v>8937123.0</v>
      </c>
      <c r="B962" s="57" t="s">
        <v>2270</v>
      </c>
      <c r="C962" s="57" t="s">
        <v>210</v>
      </c>
      <c r="D962" s="58">
        <v>10.96</v>
      </c>
      <c r="E962" s="58">
        <v>1295.01</v>
      </c>
      <c r="F962" s="58">
        <v>4153819.0</v>
      </c>
      <c r="G962" s="57" t="s">
        <v>2271</v>
      </c>
      <c r="H962" s="57" t="s">
        <v>2272</v>
      </c>
      <c r="I962" s="57"/>
      <c r="J962" s="57"/>
      <c r="K962" s="57"/>
      <c r="L962" s="57"/>
      <c r="M962" s="57"/>
      <c r="N962" s="57"/>
      <c r="O962" s="57"/>
      <c r="P962" s="57"/>
      <c r="Q962" s="57"/>
      <c r="R962" s="57"/>
      <c r="S962" s="57"/>
      <c r="T962" s="57"/>
      <c r="U962" s="57"/>
      <c r="V962" s="57"/>
      <c r="W962" s="57"/>
      <c r="X962" s="57"/>
      <c r="Y962" s="57"/>
      <c r="Z962" s="57"/>
    </row>
    <row r="963">
      <c r="A963" s="58">
        <v>8936765.0</v>
      </c>
      <c r="B963" s="57" t="s">
        <v>2270</v>
      </c>
      <c r="C963" s="57" t="s">
        <v>210</v>
      </c>
      <c r="D963" s="58">
        <v>12.55</v>
      </c>
      <c r="E963" s="58">
        <v>1282.46</v>
      </c>
      <c r="F963" s="58">
        <v>4152287.0</v>
      </c>
      <c r="G963" s="58">
        <v>1.86986103E8</v>
      </c>
      <c r="H963" s="57" t="s">
        <v>2273</v>
      </c>
      <c r="I963" s="57"/>
      <c r="J963" s="57"/>
      <c r="K963" s="57"/>
      <c r="L963" s="57"/>
      <c r="M963" s="57"/>
      <c r="N963" s="57"/>
      <c r="O963" s="57"/>
      <c r="P963" s="57"/>
      <c r="Q963" s="57"/>
      <c r="R963" s="57"/>
      <c r="S963" s="57"/>
      <c r="T963" s="57"/>
      <c r="U963" s="57"/>
      <c r="V963" s="57"/>
      <c r="W963" s="57"/>
      <c r="X963" s="57"/>
      <c r="Y963" s="57"/>
      <c r="Z963" s="57"/>
    </row>
    <row r="964">
      <c r="A964" s="58">
        <v>8936733.0</v>
      </c>
      <c r="B964" s="57" t="s">
        <v>2270</v>
      </c>
      <c r="C964" s="57" t="s">
        <v>210</v>
      </c>
      <c r="D964" s="58">
        <v>11.13</v>
      </c>
      <c r="E964" s="58">
        <v>1271.33</v>
      </c>
      <c r="F964" s="58">
        <v>4152179.0</v>
      </c>
      <c r="G964" s="58">
        <v>1.86988783E8</v>
      </c>
      <c r="H964" s="57" t="s">
        <v>2274</v>
      </c>
      <c r="I964" s="57"/>
      <c r="J964" s="57"/>
      <c r="K964" s="57"/>
      <c r="L964" s="57"/>
      <c r="M964" s="57"/>
      <c r="N964" s="57"/>
      <c r="O964" s="57"/>
      <c r="P964" s="57"/>
      <c r="Q964" s="57"/>
      <c r="R964" s="57"/>
      <c r="S964" s="57"/>
      <c r="T964" s="57"/>
      <c r="U964" s="57"/>
      <c r="V964" s="57"/>
      <c r="W964" s="57"/>
      <c r="X964" s="57"/>
      <c r="Y964" s="57"/>
      <c r="Z964" s="57"/>
    </row>
    <row r="965">
      <c r="A965" s="58">
        <v>8936703.0</v>
      </c>
      <c r="B965" s="57" t="s">
        <v>2270</v>
      </c>
      <c r="C965" s="57" t="s">
        <v>210</v>
      </c>
      <c r="D965" s="58">
        <v>12.57</v>
      </c>
      <c r="E965" s="58">
        <v>1258.76</v>
      </c>
      <c r="F965" s="58">
        <v>4152084.0</v>
      </c>
      <c r="G965" s="57" t="s">
        <v>2275</v>
      </c>
      <c r="H965" s="57" t="s">
        <v>2276</v>
      </c>
      <c r="I965" s="57"/>
      <c r="J965" s="57"/>
      <c r="K965" s="57"/>
      <c r="L965" s="57"/>
      <c r="M965" s="57"/>
      <c r="N965" s="57"/>
      <c r="O965" s="57"/>
      <c r="P965" s="57"/>
      <c r="Q965" s="57"/>
      <c r="R965" s="57"/>
      <c r="S965" s="57"/>
      <c r="T965" s="57"/>
      <c r="U965" s="57"/>
      <c r="V965" s="57"/>
      <c r="W965" s="57"/>
      <c r="X965" s="57"/>
      <c r="Y965" s="57"/>
      <c r="Z965" s="57"/>
    </row>
    <row r="966">
      <c r="A966" s="58">
        <v>8936490.0</v>
      </c>
      <c r="B966" s="57" t="s">
        <v>2270</v>
      </c>
      <c r="C966" s="57" t="s">
        <v>210</v>
      </c>
      <c r="D966" s="58">
        <v>11.43</v>
      </c>
      <c r="E966" s="58">
        <v>1247.33</v>
      </c>
      <c r="F966" s="58">
        <v>4151375.0</v>
      </c>
      <c r="G966" s="58">
        <v>1.86988724E8</v>
      </c>
      <c r="H966" s="57" t="s">
        <v>2277</v>
      </c>
      <c r="I966" s="57"/>
      <c r="J966" s="57"/>
      <c r="K966" s="57"/>
      <c r="L966" s="57"/>
      <c r="M966" s="57"/>
      <c r="N966" s="57"/>
      <c r="O966" s="57"/>
      <c r="P966" s="57"/>
      <c r="Q966" s="57"/>
      <c r="R966" s="57"/>
      <c r="S966" s="57"/>
      <c r="T966" s="57"/>
      <c r="U966" s="57"/>
      <c r="V966" s="57"/>
      <c r="W966" s="57"/>
      <c r="X966" s="57"/>
      <c r="Y966" s="57"/>
      <c r="Z966" s="57"/>
    </row>
    <row r="967">
      <c r="A967" s="58">
        <v>8934902.0</v>
      </c>
      <c r="B967" s="57" t="s">
        <v>2270</v>
      </c>
      <c r="C967" s="57" t="s">
        <v>210</v>
      </c>
      <c r="D967" s="58">
        <v>16.57</v>
      </c>
      <c r="E967" s="58">
        <v>1230.76</v>
      </c>
      <c r="F967" s="58">
        <v>4145960.0</v>
      </c>
      <c r="G967" s="58">
        <v>1.86986105E8</v>
      </c>
      <c r="H967" s="57" t="s">
        <v>2278</v>
      </c>
      <c r="I967" s="57"/>
      <c r="J967" s="57"/>
      <c r="K967" s="57"/>
      <c r="L967" s="57"/>
      <c r="M967" s="57"/>
      <c r="N967" s="57"/>
      <c r="O967" s="57"/>
      <c r="P967" s="57"/>
      <c r="Q967" s="57"/>
      <c r="R967" s="57"/>
      <c r="S967" s="57"/>
      <c r="T967" s="57"/>
      <c r="U967" s="57"/>
      <c r="V967" s="57"/>
      <c r="W967" s="57"/>
      <c r="X967" s="57"/>
      <c r="Y967" s="57"/>
      <c r="Z967" s="57"/>
    </row>
    <row r="968">
      <c r="A968" s="58">
        <v>8934429.0</v>
      </c>
      <c r="B968" s="57" t="s">
        <v>2279</v>
      </c>
      <c r="C968" s="57" t="s">
        <v>210</v>
      </c>
      <c r="D968" s="58">
        <v>15.38</v>
      </c>
      <c r="E968" s="58">
        <v>1215.38</v>
      </c>
      <c r="F968" s="58">
        <v>4144076.0</v>
      </c>
      <c r="G968" s="57" t="s">
        <v>2280</v>
      </c>
      <c r="H968" s="57" t="s">
        <v>2281</v>
      </c>
      <c r="I968" s="57"/>
      <c r="J968" s="57"/>
      <c r="K968" s="57"/>
      <c r="L968" s="57"/>
      <c r="M968" s="57"/>
      <c r="N968" s="57"/>
      <c r="O968" s="57"/>
      <c r="P968" s="57"/>
      <c r="Q968" s="57"/>
      <c r="R968" s="57"/>
      <c r="S968" s="57"/>
      <c r="T968" s="57"/>
      <c r="U968" s="57"/>
      <c r="V968" s="57"/>
      <c r="W968" s="57"/>
      <c r="X968" s="57"/>
      <c r="Y968" s="57"/>
      <c r="Z968" s="57"/>
    </row>
    <row r="969">
      <c r="A969" s="58">
        <v>8934365.0</v>
      </c>
      <c r="B969" s="57" t="s">
        <v>2279</v>
      </c>
      <c r="C969" s="57" t="s">
        <v>210</v>
      </c>
      <c r="D969" s="58">
        <v>16.22</v>
      </c>
      <c r="E969" s="58">
        <v>1199.16</v>
      </c>
      <c r="F969" s="58">
        <v>4143861.0</v>
      </c>
      <c r="G969" s="57" t="s">
        <v>2282</v>
      </c>
      <c r="H969" s="57" t="s">
        <v>2283</v>
      </c>
      <c r="I969" s="57"/>
      <c r="J969" s="57"/>
      <c r="K969" s="57"/>
      <c r="L969" s="57"/>
      <c r="M969" s="57"/>
      <c r="N969" s="57"/>
      <c r="O969" s="57"/>
      <c r="P969" s="57"/>
      <c r="Q969" s="57"/>
      <c r="R969" s="57"/>
      <c r="S969" s="57"/>
      <c r="T969" s="57"/>
      <c r="U969" s="57"/>
      <c r="V969" s="57"/>
      <c r="W969" s="57"/>
      <c r="X969" s="57"/>
      <c r="Y969" s="57"/>
      <c r="Z969" s="57"/>
    </row>
    <row r="970">
      <c r="A970" s="58">
        <v>8934116.0</v>
      </c>
      <c r="B970" s="57" t="s">
        <v>2279</v>
      </c>
      <c r="C970" s="57" t="s">
        <v>210</v>
      </c>
      <c r="D970" s="58">
        <v>14.34</v>
      </c>
      <c r="E970" s="58">
        <v>1184.82</v>
      </c>
      <c r="F970" s="58">
        <v>4142850.0</v>
      </c>
      <c r="G970" s="57" t="s">
        <v>2284</v>
      </c>
      <c r="H970" s="57" t="s">
        <v>2285</v>
      </c>
      <c r="I970" s="57"/>
      <c r="J970" s="57"/>
      <c r="K970" s="57"/>
      <c r="L970" s="57"/>
      <c r="M970" s="57"/>
      <c r="N970" s="57"/>
      <c r="O970" s="57"/>
      <c r="P970" s="57"/>
      <c r="Q970" s="57"/>
      <c r="R970" s="57"/>
      <c r="S970" s="57"/>
      <c r="T970" s="57"/>
      <c r="U970" s="57"/>
      <c r="V970" s="57"/>
      <c r="W970" s="57"/>
      <c r="X970" s="57"/>
      <c r="Y970" s="57"/>
      <c r="Z970" s="57"/>
    </row>
    <row r="971">
      <c r="A971" s="58">
        <v>8934096.0</v>
      </c>
      <c r="B971" s="57" t="s">
        <v>2279</v>
      </c>
      <c r="C971" s="57" t="s">
        <v>210</v>
      </c>
      <c r="D971" s="58">
        <v>16.79</v>
      </c>
      <c r="E971" s="58">
        <v>1168.03</v>
      </c>
      <c r="F971" s="58">
        <v>4142773.0</v>
      </c>
      <c r="G971" s="57" t="s">
        <v>2286</v>
      </c>
      <c r="H971" s="57" t="s">
        <v>2287</v>
      </c>
      <c r="I971" s="57"/>
      <c r="J971" s="57"/>
      <c r="K971" s="57"/>
      <c r="L971" s="57"/>
      <c r="M971" s="57"/>
      <c r="N971" s="57"/>
      <c r="O971" s="57"/>
      <c r="P971" s="57"/>
      <c r="Q971" s="57"/>
      <c r="R971" s="57"/>
      <c r="S971" s="57"/>
      <c r="T971" s="57"/>
      <c r="U971" s="57"/>
      <c r="V971" s="57"/>
      <c r="W971" s="57"/>
      <c r="X971" s="57"/>
      <c r="Y971" s="57"/>
      <c r="Z971" s="57"/>
    </row>
    <row r="972">
      <c r="A972" s="58">
        <v>8933988.0</v>
      </c>
      <c r="B972" s="57" t="s">
        <v>2279</v>
      </c>
      <c r="C972" s="57" t="s">
        <v>210</v>
      </c>
      <c r="D972" s="58">
        <v>15.58</v>
      </c>
      <c r="E972" s="58">
        <v>1152.45</v>
      </c>
      <c r="F972" s="58">
        <v>4142281.0</v>
      </c>
      <c r="G972" s="57" t="s">
        <v>2288</v>
      </c>
      <c r="H972" s="57" t="s">
        <v>2289</v>
      </c>
      <c r="I972" s="57"/>
      <c r="J972" s="57"/>
      <c r="K972" s="57"/>
      <c r="L972" s="57"/>
      <c r="M972" s="57"/>
      <c r="N972" s="57"/>
      <c r="O972" s="57"/>
      <c r="P972" s="57"/>
      <c r="Q972" s="57"/>
      <c r="R972" s="57"/>
      <c r="S972" s="57"/>
      <c r="T972" s="57"/>
      <c r="U972" s="57"/>
      <c r="V972" s="57"/>
      <c r="W972" s="57"/>
      <c r="X972" s="57"/>
      <c r="Y972" s="57"/>
      <c r="Z972" s="57"/>
    </row>
    <row r="973">
      <c r="A973" s="58">
        <v>8933843.0</v>
      </c>
      <c r="B973" s="57" t="s">
        <v>2279</v>
      </c>
      <c r="C973" s="57" t="s">
        <v>210</v>
      </c>
      <c r="D973" s="58">
        <v>16.79</v>
      </c>
      <c r="E973" s="58">
        <v>1135.66</v>
      </c>
      <c r="F973" s="58">
        <v>4141549.0</v>
      </c>
      <c r="G973" s="57" t="s">
        <v>2290</v>
      </c>
      <c r="H973" s="57" t="s">
        <v>2291</v>
      </c>
      <c r="I973" s="57"/>
      <c r="J973" s="57"/>
      <c r="K973" s="57"/>
      <c r="L973" s="57"/>
      <c r="M973" s="57"/>
      <c r="N973" s="57"/>
      <c r="O973" s="57"/>
      <c r="P973" s="57"/>
      <c r="Q973" s="57"/>
      <c r="R973" s="57"/>
      <c r="S973" s="57"/>
      <c r="T973" s="57"/>
      <c r="U973" s="57"/>
      <c r="V973" s="57"/>
      <c r="W973" s="57"/>
      <c r="X973" s="57"/>
      <c r="Y973" s="57"/>
      <c r="Z973" s="57"/>
    </row>
    <row r="974">
      <c r="A974" s="58">
        <v>8933804.0</v>
      </c>
      <c r="B974" s="57" t="s">
        <v>2279</v>
      </c>
      <c r="C974" s="57" t="s">
        <v>210</v>
      </c>
      <c r="D974" s="58">
        <v>11.89</v>
      </c>
      <c r="E974" s="58">
        <v>1123.77</v>
      </c>
      <c r="F974" s="58">
        <v>4141324.0</v>
      </c>
      <c r="G974" s="57" t="s">
        <v>2292</v>
      </c>
      <c r="H974" s="57" t="s">
        <v>2293</v>
      </c>
      <c r="I974" s="57"/>
      <c r="J974" s="57"/>
      <c r="K974" s="57"/>
      <c r="L974" s="57"/>
      <c r="M974" s="57"/>
      <c r="N974" s="57"/>
      <c r="O974" s="57"/>
      <c r="P974" s="57"/>
      <c r="Q974" s="57"/>
      <c r="R974" s="57"/>
      <c r="S974" s="57"/>
      <c r="T974" s="57"/>
      <c r="U974" s="57"/>
      <c r="V974" s="57"/>
      <c r="W974" s="57"/>
      <c r="X974" s="57"/>
      <c r="Y974" s="57"/>
      <c r="Z974" s="57"/>
    </row>
    <row r="975">
      <c r="A975" s="58">
        <v>8933762.0</v>
      </c>
      <c r="B975" s="57" t="s">
        <v>2279</v>
      </c>
      <c r="C975" s="57" t="s">
        <v>210</v>
      </c>
      <c r="D975" s="58">
        <v>11.89</v>
      </c>
      <c r="E975" s="58">
        <v>1111.88</v>
      </c>
      <c r="F975" s="58">
        <v>4141110.0</v>
      </c>
      <c r="G975" s="57" t="s">
        <v>2294</v>
      </c>
      <c r="H975" s="57" t="s">
        <v>2295</v>
      </c>
      <c r="I975" s="57"/>
      <c r="J975" s="57"/>
      <c r="K975" s="57"/>
      <c r="L975" s="57"/>
      <c r="M975" s="57"/>
      <c r="N975" s="57"/>
      <c r="O975" s="57"/>
      <c r="P975" s="57"/>
      <c r="Q975" s="57"/>
      <c r="R975" s="57"/>
      <c r="S975" s="57"/>
      <c r="T975" s="57"/>
      <c r="U975" s="57"/>
      <c r="V975" s="57"/>
      <c r="W975" s="57"/>
      <c r="X975" s="57"/>
      <c r="Y975" s="57"/>
      <c r="Z975" s="57"/>
    </row>
    <row r="976">
      <c r="A976" s="58">
        <v>8931404.0</v>
      </c>
      <c r="B976" s="57" t="s">
        <v>2279</v>
      </c>
      <c r="C976" s="57" t="s">
        <v>210</v>
      </c>
      <c r="D976" s="58">
        <v>9.1</v>
      </c>
      <c r="E976" s="58">
        <v>1102.78</v>
      </c>
      <c r="F976" s="58">
        <v>4124567.0</v>
      </c>
      <c r="G976" s="58">
        <v>1.86966843E8</v>
      </c>
      <c r="H976" s="57" t="s">
        <v>2296</v>
      </c>
      <c r="I976" s="57"/>
      <c r="J976" s="57"/>
      <c r="K976" s="57"/>
      <c r="L976" s="57"/>
      <c r="M976" s="57"/>
      <c r="N976" s="57"/>
      <c r="O976" s="57"/>
      <c r="P976" s="57"/>
      <c r="Q976" s="57"/>
      <c r="R976" s="57"/>
      <c r="S976" s="57"/>
      <c r="T976" s="57"/>
      <c r="U976" s="57"/>
      <c r="V976" s="57"/>
      <c r="W976" s="57"/>
      <c r="X976" s="57"/>
      <c r="Y976" s="57"/>
      <c r="Z976" s="57"/>
    </row>
    <row r="977">
      <c r="A977" s="58">
        <v>8930649.0</v>
      </c>
      <c r="B977" s="57" t="s">
        <v>2279</v>
      </c>
      <c r="C977" s="57" t="s">
        <v>210</v>
      </c>
      <c r="D977" s="58">
        <v>9.1</v>
      </c>
      <c r="E977" s="58">
        <v>1093.68</v>
      </c>
      <c r="F977" s="58">
        <v>4118141.0</v>
      </c>
      <c r="G977" s="58">
        <v>1.86964433E8</v>
      </c>
      <c r="H977" s="57" t="s">
        <v>2297</v>
      </c>
      <c r="I977" s="57"/>
      <c r="J977" s="57"/>
      <c r="K977" s="57"/>
      <c r="L977" s="57"/>
      <c r="M977" s="57"/>
      <c r="N977" s="57"/>
      <c r="O977" s="57"/>
      <c r="P977" s="57"/>
      <c r="Q977" s="57"/>
      <c r="R977" s="57"/>
      <c r="S977" s="57"/>
      <c r="T977" s="57"/>
      <c r="U977" s="57"/>
      <c r="V977" s="57"/>
      <c r="W977" s="57"/>
      <c r="X977" s="57"/>
      <c r="Y977" s="57"/>
      <c r="Z977" s="57"/>
    </row>
    <row r="978">
      <c r="A978" s="58">
        <v>8930546.0</v>
      </c>
      <c r="B978" s="57" t="s">
        <v>2279</v>
      </c>
      <c r="C978" s="57" t="s">
        <v>210</v>
      </c>
      <c r="D978" s="58">
        <v>12.55</v>
      </c>
      <c r="E978" s="58">
        <v>1081.13</v>
      </c>
      <c r="F978" s="58">
        <v>4117132.0</v>
      </c>
      <c r="G978" s="58">
        <v>1.86969379E8</v>
      </c>
      <c r="H978" s="57" t="s">
        <v>2298</v>
      </c>
      <c r="I978" s="57"/>
      <c r="J978" s="57"/>
      <c r="K978" s="57"/>
      <c r="L978" s="57"/>
      <c r="M978" s="57"/>
      <c r="N978" s="57"/>
      <c r="O978" s="57"/>
      <c r="P978" s="57"/>
      <c r="Q978" s="57"/>
      <c r="R978" s="57"/>
      <c r="S978" s="57"/>
      <c r="T978" s="57"/>
      <c r="U978" s="57"/>
      <c r="V978" s="57"/>
      <c r="W978" s="57"/>
      <c r="X978" s="57"/>
      <c r="Y978" s="57"/>
      <c r="Z978" s="57"/>
    </row>
    <row r="979">
      <c r="A979" s="58">
        <v>8930299.0</v>
      </c>
      <c r="B979" s="57" t="s">
        <v>2279</v>
      </c>
      <c r="C979" s="57" t="s">
        <v>210</v>
      </c>
      <c r="D979" s="58">
        <v>9.1</v>
      </c>
      <c r="E979" s="58">
        <v>1072.03</v>
      </c>
      <c r="F979" s="58">
        <v>4114647.0</v>
      </c>
      <c r="G979" s="58">
        <v>1.86966909E8</v>
      </c>
      <c r="H979" s="57" t="s">
        <v>2299</v>
      </c>
      <c r="I979" s="57"/>
      <c r="J979" s="57"/>
      <c r="K979" s="57"/>
      <c r="L979" s="57"/>
      <c r="M979" s="57"/>
      <c r="N979" s="57"/>
      <c r="O979" s="57"/>
      <c r="P979" s="57"/>
      <c r="Q979" s="57"/>
      <c r="R979" s="57"/>
      <c r="S979" s="57"/>
      <c r="T979" s="57"/>
      <c r="U979" s="57"/>
      <c r="V979" s="57"/>
      <c r="W979" s="57"/>
      <c r="X979" s="57"/>
      <c r="Y979" s="57"/>
      <c r="Z979" s="57"/>
    </row>
    <row r="980">
      <c r="A980" s="58">
        <v>8929492.0</v>
      </c>
      <c r="B980" s="57" t="s">
        <v>2300</v>
      </c>
      <c r="C980" s="57" t="s">
        <v>210</v>
      </c>
      <c r="D980" s="58">
        <v>11.54</v>
      </c>
      <c r="E980" s="58">
        <v>1060.49</v>
      </c>
      <c r="F980" s="58">
        <v>4103968.0</v>
      </c>
      <c r="G980" s="57" t="s">
        <v>2301</v>
      </c>
      <c r="H980" s="57" t="s">
        <v>2302</v>
      </c>
      <c r="I980" s="57"/>
      <c r="J980" s="57"/>
      <c r="K980" s="57"/>
      <c r="L980" s="57"/>
      <c r="M980" s="57"/>
      <c r="N980" s="57"/>
      <c r="O980" s="57"/>
      <c r="P980" s="57"/>
      <c r="Q980" s="57"/>
      <c r="R980" s="57"/>
      <c r="S980" s="57"/>
      <c r="T980" s="57"/>
      <c r="U980" s="57"/>
      <c r="V980" s="57"/>
      <c r="W980" s="57"/>
      <c r="X980" s="57"/>
      <c r="Y980" s="57"/>
      <c r="Z980" s="57"/>
    </row>
    <row r="981">
      <c r="A981" s="58">
        <v>8927604.0</v>
      </c>
      <c r="B981" s="57" t="s">
        <v>2300</v>
      </c>
      <c r="C981" s="57" t="s">
        <v>210</v>
      </c>
      <c r="D981" s="58">
        <v>11.67</v>
      </c>
      <c r="E981" s="58">
        <v>1048.82</v>
      </c>
      <c r="F981" s="58">
        <v>4072980.0</v>
      </c>
      <c r="G981" s="58">
        <v>1.86947291E8</v>
      </c>
      <c r="H981" s="57" t="s">
        <v>2303</v>
      </c>
      <c r="I981" s="57"/>
      <c r="J981" s="57"/>
      <c r="K981" s="57"/>
      <c r="L981" s="57"/>
      <c r="M981" s="57"/>
      <c r="N981" s="57"/>
      <c r="O981" s="57"/>
      <c r="P981" s="57"/>
      <c r="Q981" s="57"/>
      <c r="R981" s="57"/>
      <c r="S981" s="57"/>
      <c r="T981" s="57"/>
      <c r="U981" s="57"/>
      <c r="V981" s="57"/>
      <c r="W981" s="57"/>
      <c r="X981" s="57"/>
      <c r="Y981" s="57"/>
      <c r="Z981" s="57"/>
    </row>
    <row r="982">
      <c r="A982" s="58">
        <v>8927421.0</v>
      </c>
      <c r="B982" s="57" t="s">
        <v>2300</v>
      </c>
      <c r="C982" s="57" t="s">
        <v>210</v>
      </c>
      <c r="D982" s="58">
        <v>7.33</v>
      </c>
      <c r="E982" s="58">
        <v>1041.49</v>
      </c>
      <c r="F982" s="58">
        <v>4067264.0</v>
      </c>
      <c r="G982" s="58">
        <v>1.8694812E8</v>
      </c>
      <c r="H982" s="57" t="s">
        <v>2304</v>
      </c>
      <c r="I982" s="57"/>
      <c r="J982" s="57"/>
      <c r="K982" s="57"/>
      <c r="L982" s="57"/>
      <c r="M982" s="57"/>
      <c r="N982" s="57"/>
      <c r="O982" s="57"/>
      <c r="P982" s="57"/>
      <c r="Q982" s="57"/>
      <c r="R982" s="57"/>
      <c r="S982" s="57"/>
      <c r="T982" s="57"/>
      <c r="U982" s="57"/>
      <c r="V982" s="57"/>
      <c r="W982" s="57"/>
      <c r="X982" s="57"/>
      <c r="Y982" s="57"/>
      <c r="Z982" s="57"/>
    </row>
    <row r="983">
      <c r="A983" s="58">
        <v>8925546.0</v>
      </c>
      <c r="B983" s="57" t="s">
        <v>2305</v>
      </c>
      <c r="C983" s="57" t="s">
        <v>247</v>
      </c>
      <c r="D983" s="58">
        <v>1500.0</v>
      </c>
      <c r="E983" s="58">
        <v>2541.49</v>
      </c>
      <c r="F983" s="57"/>
      <c r="G983" s="57"/>
      <c r="H983" s="57" t="s">
        <v>361</v>
      </c>
      <c r="I983" s="57"/>
      <c r="J983" s="57" t="s">
        <v>702</v>
      </c>
      <c r="K983" s="57"/>
      <c r="L983" s="57"/>
      <c r="M983" s="57"/>
      <c r="N983" s="57"/>
      <c r="O983" s="57"/>
      <c r="P983" s="57"/>
      <c r="Q983" s="57"/>
      <c r="R983" s="57"/>
      <c r="S983" s="57"/>
      <c r="T983" s="57"/>
      <c r="U983" s="57"/>
      <c r="V983" s="57"/>
      <c r="W983" s="57"/>
      <c r="X983" s="57"/>
      <c r="Y983" s="57"/>
      <c r="Z983" s="57"/>
    </row>
    <row r="984">
      <c r="A984" s="58">
        <v>8924306.0</v>
      </c>
      <c r="B984" s="57" t="s">
        <v>2306</v>
      </c>
      <c r="C984" s="57" t="s">
        <v>247</v>
      </c>
      <c r="D984" s="58">
        <v>5.09</v>
      </c>
      <c r="E984" s="58">
        <v>2546.58</v>
      </c>
      <c r="F984" s="58">
        <v>4075460.0</v>
      </c>
      <c r="G984" s="57" t="s">
        <v>2307</v>
      </c>
      <c r="H984" s="57" t="s">
        <v>2308</v>
      </c>
      <c r="I984" s="57"/>
      <c r="J984" s="57"/>
      <c r="K984" s="57"/>
      <c r="L984" s="57"/>
      <c r="M984" s="57"/>
      <c r="N984" s="57"/>
      <c r="O984" s="57"/>
      <c r="P984" s="57"/>
      <c r="Q984" s="57"/>
      <c r="R984" s="57"/>
      <c r="S984" s="57"/>
      <c r="T984" s="57"/>
      <c r="U984" s="57"/>
      <c r="V984" s="57"/>
      <c r="W984" s="57"/>
      <c r="X984" s="57"/>
      <c r="Y984" s="57"/>
      <c r="Z984" s="57"/>
    </row>
    <row r="985">
      <c r="A985" s="58">
        <v>8924018.0</v>
      </c>
      <c r="B985" s="57" t="s">
        <v>2309</v>
      </c>
      <c r="C985" s="57" t="s">
        <v>247</v>
      </c>
      <c r="D985" s="58">
        <v>4.03</v>
      </c>
      <c r="E985" s="58">
        <v>2550.6</v>
      </c>
      <c r="F985" s="58">
        <v>4032097.0</v>
      </c>
      <c r="G985" s="57" t="s">
        <v>2310</v>
      </c>
      <c r="H985" s="57" t="s">
        <v>2311</v>
      </c>
      <c r="I985" s="57"/>
      <c r="J985" s="57"/>
      <c r="K985" s="57"/>
      <c r="L985" s="57"/>
      <c r="M985" s="57"/>
      <c r="N985" s="57"/>
      <c r="O985" s="57"/>
      <c r="P985" s="57"/>
      <c r="Q985" s="57"/>
      <c r="R985" s="57"/>
      <c r="S985" s="57"/>
      <c r="T985" s="57"/>
      <c r="U985" s="57"/>
      <c r="V985" s="57"/>
      <c r="W985" s="57"/>
      <c r="X985" s="57"/>
      <c r="Y985" s="57"/>
      <c r="Z985" s="57"/>
    </row>
    <row r="986">
      <c r="A986" s="58">
        <v>8924017.0</v>
      </c>
      <c r="B986" s="57" t="s">
        <v>2312</v>
      </c>
      <c r="C986" s="57" t="s">
        <v>247</v>
      </c>
      <c r="D986" s="58">
        <v>5.07</v>
      </c>
      <c r="E986" s="58">
        <v>2555.67</v>
      </c>
      <c r="F986" s="58">
        <v>4054021.0</v>
      </c>
      <c r="G986" s="57" t="s">
        <v>2313</v>
      </c>
      <c r="H986" s="57" t="s">
        <v>2314</v>
      </c>
      <c r="I986" s="57"/>
      <c r="J986" s="57"/>
      <c r="K986" s="57"/>
      <c r="L986" s="57"/>
      <c r="M986" s="57"/>
      <c r="N986" s="57"/>
      <c r="O986" s="57"/>
      <c r="P986" s="57"/>
      <c r="Q986" s="57"/>
      <c r="R986" s="57"/>
      <c r="S986" s="57"/>
      <c r="T986" s="57"/>
      <c r="U986" s="57"/>
      <c r="V986" s="57"/>
      <c r="W986" s="57"/>
      <c r="X986" s="57"/>
      <c r="Y986" s="57"/>
      <c r="Z986" s="57"/>
    </row>
    <row r="987">
      <c r="A987" s="58">
        <v>8923693.0</v>
      </c>
      <c r="B987" s="57" t="s">
        <v>2315</v>
      </c>
      <c r="C987" s="57" t="s">
        <v>247</v>
      </c>
      <c r="D987" s="58">
        <v>3.52</v>
      </c>
      <c r="E987" s="58">
        <v>2559.19</v>
      </c>
      <c r="F987" s="58">
        <v>4053649.0</v>
      </c>
      <c r="G987" s="57" t="s">
        <v>2316</v>
      </c>
      <c r="H987" s="57" t="s">
        <v>2317</v>
      </c>
      <c r="I987" s="57"/>
      <c r="J987" s="57"/>
      <c r="K987" s="57"/>
      <c r="L987" s="57"/>
      <c r="M987" s="57"/>
      <c r="N987" s="57"/>
      <c r="O987" s="57"/>
      <c r="P987" s="57"/>
      <c r="Q987" s="57"/>
      <c r="R987" s="57"/>
      <c r="S987" s="57"/>
      <c r="T987" s="57"/>
      <c r="U987" s="57"/>
      <c r="V987" s="57"/>
      <c r="W987" s="57"/>
      <c r="X987" s="57"/>
      <c r="Y987" s="57"/>
      <c r="Z987" s="57"/>
    </row>
    <row r="988">
      <c r="A988" s="58">
        <v>8923690.0</v>
      </c>
      <c r="B988" s="57" t="s">
        <v>2315</v>
      </c>
      <c r="C988" s="57" t="s">
        <v>247</v>
      </c>
      <c r="D988" s="58">
        <v>5.16</v>
      </c>
      <c r="E988" s="58">
        <v>2564.35</v>
      </c>
      <c r="F988" s="58">
        <v>4055672.0</v>
      </c>
      <c r="G988" s="57" t="s">
        <v>2318</v>
      </c>
      <c r="H988" s="57" t="s">
        <v>2319</v>
      </c>
      <c r="I988" s="57"/>
      <c r="J988" s="57"/>
      <c r="K988" s="57"/>
      <c r="L988" s="57"/>
      <c r="M988" s="57"/>
      <c r="N988" s="57"/>
      <c r="O988" s="57"/>
      <c r="P988" s="57"/>
      <c r="Q988" s="57"/>
      <c r="R988" s="57"/>
      <c r="S988" s="57"/>
      <c r="T988" s="57"/>
      <c r="U988" s="57"/>
      <c r="V988" s="57"/>
      <c r="W988" s="57"/>
      <c r="X988" s="57"/>
      <c r="Y988" s="57"/>
      <c r="Z988" s="57"/>
    </row>
    <row r="989">
      <c r="A989" s="58">
        <v>8923398.0</v>
      </c>
      <c r="B989" s="57" t="s">
        <v>2320</v>
      </c>
      <c r="C989" s="57" t="s">
        <v>247</v>
      </c>
      <c r="D989" s="58">
        <v>5.13</v>
      </c>
      <c r="E989" s="58">
        <v>2569.48</v>
      </c>
      <c r="F989" s="58">
        <v>4037533.0</v>
      </c>
      <c r="G989" s="57" t="s">
        <v>2321</v>
      </c>
      <c r="H989" s="57" t="s">
        <v>2322</v>
      </c>
      <c r="I989" s="57"/>
      <c r="J989" s="57"/>
      <c r="K989" s="57"/>
      <c r="L989" s="57"/>
      <c r="M989" s="57"/>
      <c r="N989" s="57"/>
      <c r="O989" s="57"/>
      <c r="P989" s="57"/>
      <c r="Q989" s="57"/>
      <c r="R989" s="57"/>
      <c r="S989" s="57"/>
      <c r="T989" s="57"/>
      <c r="U989" s="57"/>
      <c r="V989" s="57"/>
      <c r="W989" s="57"/>
      <c r="X989" s="57"/>
      <c r="Y989" s="57"/>
      <c r="Z989" s="57"/>
    </row>
    <row r="990">
      <c r="A990" s="58">
        <v>8922288.0</v>
      </c>
      <c r="B990" s="57" t="s">
        <v>2323</v>
      </c>
      <c r="C990" s="57" t="s">
        <v>210</v>
      </c>
      <c r="D990" s="58">
        <v>16.79</v>
      </c>
      <c r="E990" s="58">
        <v>2552.69</v>
      </c>
      <c r="F990" s="58">
        <v>4143923.0</v>
      </c>
      <c r="G990" s="57" t="s">
        <v>2324</v>
      </c>
      <c r="H990" s="57" t="s">
        <v>2325</v>
      </c>
      <c r="I990" s="57"/>
      <c r="J990" s="57"/>
      <c r="K990" s="57"/>
      <c r="L990" s="57"/>
      <c r="M990" s="57"/>
      <c r="N990" s="57"/>
      <c r="O990" s="57"/>
      <c r="P990" s="57"/>
      <c r="Q990" s="57"/>
      <c r="R990" s="57"/>
      <c r="S990" s="57"/>
      <c r="T990" s="57"/>
      <c r="U990" s="57"/>
      <c r="V990" s="57"/>
      <c r="W990" s="57"/>
      <c r="X990" s="57"/>
      <c r="Y990" s="57"/>
      <c r="Z990" s="57"/>
    </row>
    <row r="991">
      <c r="A991" s="58">
        <v>8921557.0</v>
      </c>
      <c r="B991" s="57" t="s">
        <v>2323</v>
      </c>
      <c r="C991" s="57" t="s">
        <v>210</v>
      </c>
      <c r="D991" s="58">
        <v>14.04</v>
      </c>
      <c r="E991" s="58">
        <v>2538.65</v>
      </c>
      <c r="F991" s="58">
        <v>4089899.0</v>
      </c>
      <c r="G991" s="57" t="s">
        <v>2326</v>
      </c>
      <c r="H991" s="57" t="s">
        <v>2327</v>
      </c>
      <c r="I991" s="57"/>
      <c r="J991" s="57"/>
      <c r="K991" s="57"/>
      <c r="L991" s="57"/>
      <c r="M991" s="57"/>
      <c r="N991" s="57"/>
      <c r="O991" s="57"/>
      <c r="P991" s="57"/>
      <c r="Q991" s="57"/>
      <c r="R991" s="57"/>
      <c r="S991" s="57"/>
      <c r="T991" s="57"/>
      <c r="U991" s="57"/>
      <c r="V991" s="57"/>
      <c r="W991" s="57"/>
      <c r="X991" s="57"/>
      <c r="Y991" s="57"/>
      <c r="Z991" s="57"/>
    </row>
    <row r="992">
      <c r="A992" s="58">
        <v>8920533.0</v>
      </c>
      <c r="B992" s="57" t="s">
        <v>2328</v>
      </c>
      <c r="C992" s="57" t="s">
        <v>247</v>
      </c>
      <c r="D992" s="58">
        <v>3.48</v>
      </c>
      <c r="E992" s="58">
        <v>2542.13</v>
      </c>
      <c r="F992" s="58">
        <v>4038499.0</v>
      </c>
      <c r="G992" s="57" t="s">
        <v>2329</v>
      </c>
      <c r="H992" s="57" t="s">
        <v>2330</v>
      </c>
      <c r="I992" s="57"/>
      <c r="J992" s="57"/>
      <c r="K992" s="57"/>
      <c r="L992" s="57"/>
      <c r="M992" s="57"/>
      <c r="N992" s="57"/>
      <c r="O992" s="57"/>
      <c r="P992" s="57"/>
      <c r="Q992" s="57"/>
      <c r="R992" s="57"/>
      <c r="S992" s="57"/>
      <c r="T992" s="57"/>
      <c r="U992" s="57"/>
      <c r="V992" s="57"/>
      <c r="W992" s="57"/>
      <c r="X992" s="57"/>
      <c r="Y992" s="57"/>
      <c r="Z992" s="57"/>
    </row>
    <row r="993">
      <c r="A993" s="58">
        <v>8920263.0</v>
      </c>
      <c r="B993" s="57" t="s">
        <v>2331</v>
      </c>
      <c r="C993" s="57" t="s">
        <v>247</v>
      </c>
      <c r="D993" s="58">
        <v>5.15</v>
      </c>
      <c r="E993" s="58">
        <v>2547.28</v>
      </c>
      <c r="F993" s="58">
        <v>4033377.0</v>
      </c>
      <c r="G993" s="57" t="s">
        <v>2332</v>
      </c>
      <c r="H993" s="57" t="s">
        <v>2333</v>
      </c>
      <c r="I993" s="57"/>
      <c r="J993" s="57"/>
      <c r="K993" s="57"/>
      <c r="L993" s="57"/>
      <c r="M993" s="57"/>
      <c r="N993" s="57"/>
      <c r="O993" s="57"/>
      <c r="P993" s="57"/>
      <c r="Q993" s="57"/>
      <c r="R993" s="57"/>
      <c r="S993" s="57"/>
      <c r="T993" s="57"/>
      <c r="U993" s="57"/>
      <c r="V993" s="57"/>
      <c r="W993" s="57"/>
      <c r="X993" s="57"/>
      <c r="Y993" s="57"/>
      <c r="Z993" s="57"/>
    </row>
    <row r="994">
      <c r="A994" s="58">
        <v>8920258.0</v>
      </c>
      <c r="B994" s="57" t="s">
        <v>2331</v>
      </c>
      <c r="C994" s="57" t="s">
        <v>247</v>
      </c>
      <c r="D994" s="58">
        <v>5.07</v>
      </c>
      <c r="E994" s="58">
        <v>2552.35</v>
      </c>
      <c r="F994" s="58">
        <v>4020519.0</v>
      </c>
      <c r="G994" s="57" t="s">
        <v>2334</v>
      </c>
      <c r="H994" s="57" t="s">
        <v>2335</v>
      </c>
      <c r="I994" s="57"/>
      <c r="J994" s="57"/>
      <c r="K994" s="57"/>
      <c r="L994" s="57"/>
      <c r="M994" s="57"/>
      <c r="N994" s="57"/>
      <c r="O994" s="57"/>
      <c r="P994" s="57"/>
      <c r="Q994" s="57"/>
      <c r="R994" s="57"/>
      <c r="S994" s="57"/>
      <c r="T994" s="57"/>
      <c r="U994" s="57"/>
      <c r="V994" s="57"/>
      <c r="W994" s="57"/>
      <c r="X994" s="57"/>
      <c r="Y994" s="57"/>
      <c r="Z994" s="57"/>
    </row>
    <row r="995">
      <c r="A995" s="58">
        <v>8909976.0</v>
      </c>
      <c r="B995" s="57" t="s">
        <v>2336</v>
      </c>
      <c r="C995" s="57" t="s">
        <v>210</v>
      </c>
      <c r="D995" s="58">
        <v>15.13</v>
      </c>
      <c r="E995" s="58">
        <v>2537.22</v>
      </c>
      <c r="F995" s="58">
        <v>4139881.0</v>
      </c>
      <c r="G995" s="58">
        <v>1.86980627E8</v>
      </c>
      <c r="H995" s="57" t="s">
        <v>2337</v>
      </c>
      <c r="I995" s="57"/>
      <c r="J995" s="57"/>
      <c r="K995" s="57"/>
      <c r="L995" s="57"/>
      <c r="M995" s="57"/>
      <c r="N995" s="57"/>
      <c r="O995" s="57"/>
      <c r="P995" s="57"/>
      <c r="Q995" s="57"/>
      <c r="R995" s="57"/>
      <c r="S995" s="57"/>
      <c r="T995" s="57"/>
      <c r="U995" s="57"/>
      <c r="V995" s="57"/>
      <c r="W995" s="57"/>
      <c r="X995" s="57"/>
      <c r="Y995" s="57"/>
      <c r="Z995" s="57"/>
    </row>
    <row r="996">
      <c r="A996" s="58">
        <v>8909466.0</v>
      </c>
      <c r="B996" s="57" t="s">
        <v>2336</v>
      </c>
      <c r="C996" s="57" t="s">
        <v>210</v>
      </c>
      <c r="D996" s="58">
        <v>11.89</v>
      </c>
      <c r="E996" s="58">
        <v>2525.33</v>
      </c>
      <c r="F996" s="58">
        <v>4137526.0</v>
      </c>
      <c r="G996" s="57" t="s">
        <v>2338</v>
      </c>
      <c r="H996" s="57" t="s">
        <v>2339</v>
      </c>
      <c r="I996" s="57"/>
      <c r="J996" s="57"/>
      <c r="K996" s="57"/>
      <c r="L996" s="57"/>
      <c r="M996" s="57"/>
      <c r="N996" s="57"/>
      <c r="O996" s="57"/>
      <c r="P996" s="57"/>
      <c r="Q996" s="57"/>
      <c r="R996" s="57"/>
      <c r="S996" s="57"/>
      <c r="T996" s="57"/>
      <c r="U996" s="57"/>
      <c r="V996" s="57"/>
      <c r="W996" s="57"/>
      <c r="X996" s="57"/>
      <c r="Y996" s="57"/>
      <c r="Z996" s="57"/>
    </row>
    <row r="997">
      <c r="A997" s="58">
        <v>8908076.0</v>
      </c>
      <c r="B997" s="57" t="s">
        <v>2340</v>
      </c>
      <c r="C997" s="57" t="s">
        <v>210</v>
      </c>
      <c r="D997" s="58">
        <v>13.17</v>
      </c>
      <c r="E997" s="58">
        <v>2512.16</v>
      </c>
      <c r="F997" s="58">
        <v>4131234.0</v>
      </c>
      <c r="G997" s="57" t="s">
        <v>2341</v>
      </c>
      <c r="H997" s="57" t="s">
        <v>2342</v>
      </c>
      <c r="I997" s="57"/>
      <c r="J997" s="57"/>
      <c r="K997" s="57"/>
      <c r="L997" s="57"/>
      <c r="M997" s="57"/>
      <c r="N997" s="57"/>
      <c r="O997" s="57"/>
      <c r="P997" s="57"/>
      <c r="Q997" s="57"/>
      <c r="R997" s="57"/>
      <c r="S997" s="57"/>
      <c r="T997" s="57"/>
      <c r="U997" s="57"/>
      <c r="V997" s="57"/>
      <c r="W997" s="57"/>
      <c r="X997" s="57"/>
      <c r="Y997" s="57"/>
      <c r="Z997" s="57"/>
    </row>
    <row r="998">
      <c r="A998" s="58">
        <v>8907433.0</v>
      </c>
      <c r="B998" s="57" t="s">
        <v>2340</v>
      </c>
      <c r="C998" s="57" t="s">
        <v>210</v>
      </c>
      <c r="D998" s="58">
        <v>10.96</v>
      </c>
      <c r="E998" s="58">
        <v>2501.2</v>
      </c>
      <c r="F998" s="58">
        <v>4127239.0</v>
      </c>
      <c r="G998" s="57" t="s">
        <v>2343</v>
      </c>
      <c r="H998" s="57" t="s">
        <v>2344</v>
      </c>
      <c r="I998" s="57"/>
      <c r="J998" s="57"/>
      <c r="K998" s="57"/>
      <c r="L998" s="57"/>
      <c r="M998" s="57"/>
      <c r="N998" s="57"/>
      <c r="O998" s="57"/>
      <c r="P998" s="57"/>
      <c r="Q998" s="57"/>
      <c r="R998" s="57"/>
      <c r="S998" s="57"/>
      <c r="T998" s="57"/>
      <c r="U998" s="57"/>
      <c r="V998" s="57"/>
      <c r="W998" s="57"/>
      <c r="X998" s="57"/>
      <c r="Y998" s="57"/>
      <c r="Z998" s="57"/>
    </row>
    <row r="999">
      <c r="A999" s="58">
        <v>8906150.0</v>
      </c>
      <c r="B999" s="57" t="s">
        <v>2340</v>
      </c>
      <c r="C999" s="57" t="s">
        <v>210</v>
      </c>
      <c r="D999" s="58">
        <v>10.96</v>
      </c>
      <c r="E999" s="58">
        <v>2490.24</v>
      </c>
      <c r="F999" s="58">
        <v>4117622.0</v>
      </c>
      <c r="G999" s="57" t="s">
        <v>2345</v>
      </c>
      <c r="H999" s="57" t="s">
        <v>2346</v>
      </c>
      <c r="I999" s="57"/>
      <c r="J999" s="57"/>
      <c r="K999" s="57"/>
      <c r="L999" s="57"/>
      <c r="M999" s="57"/>
      <c r="N999" s="57"/>
      <c r="O999" s="57"/>
      <c r="P999" s="57"/>
      <c r="Q999" s="57"/>
      <c r="R999" s="57"/>
      <c r="S999" s="57"/>
      <c r="T999" s="57"/>
      <c r="U999" s="57"/>
      <c r="V999" s="57"/>
      <c r="W999" s="57"/>
      <c r="X999" s="57"/>
      <c r="Y999" s="57"/>
      <c r="Z999" s="57"/>
    </row>
    <row r="1000">
      <c r="A1000" s="58">
        <v>8905959.0</v>
      </c>
      <c r="B1000" s="57" t="s">
        <v>2340</v>
      </c>
      <c r="C1000" s="57" t="s">
        <v>210</v>
      </c>
      <c r="D1000" s="58">
        <v>10.96</v>
      </c>
      <c r="E1000" s="58">
        <v>2479.28</v>
      </c>
      <c r="F1000" s="58">
        <v>4116004.0</v>
      </c>
      <c r="G1000" s="57" t="s">
        <v>2347</v>
      </c>
      <c r="H1000" s="57" t="s">
        <v>2348</v>
      </c>
      <c r="I1000" s="57"/>
      <c r="J1000" s="57"/>
      <c r="K1000" s="57"/>
      <c r="L1000" s="57"/>
      <c r="M1000" s="57"/>
      <c r="N1000" s="57"/>
      <c r="O1000" s="57"/>
      <c r="P1000" s="57"/>
      <c r="Q1000" s="57"/>
      <c r="R1000" s="57"/>
      <c r="S1000" s="57"/>
      <c r="T1000" s="57"/>
      <c r="U1000" s="57"/>
      <c r="V1000" s="57"/>
      <c r="W1000" s="57"/>
      <c r="X1000" s="57"/>
      <c r="Y1000" s="57"/>
      <c r="Z1000" s="57"/>
    </row>
    <row r="1001">
      <c r="A1001" s="58">
        <v>8904779.0</v>
      </c>
      <c r="B1001" s="57" t="s">
        <v>2349</v>
      </c>
      <c r="C1001" s="57" t="s">
        <v>210</v>
      </c>
      <c r="D1001" s="58">
        <v>13.17</v>
      </c>
      <c r="E1001" s="58">
        <v>2466.11</v>
      </c>
      <c r="F1001" s="58">
        <v>4104170.0</v>
      </c>
      <c r="G1001" s="57" t="s">
        <v>2350</v>
      </c>
      <c r="H1001" s="57" t="s">
        <v>2351</v>
      </c>
      <c r="I1001" s="57"/>
      <c r="J1001" s="57"/>
      <c r="K1001" s="57"/>
      <c r="L1001" s="57"/>
      <c r="M1001" s="57"/>
      <c r="N1001" s="57"/>
      <c r="O1001" s="57"/>
      <c r="P1001" s="57"/>
      <c r="Q1001" s="57"/>
      <c r="R1001" s="57"/>
      <c r="S1001" s="57"/>
      <c r="T1001" s="57"/>
      <c r="U1001" s="57"/>
      <c r="V1001" s="57"/>
      <c r="W1001" s="57"/>
      <c r="X1001" s="57"/>
      <c r="Y1001" s="57"/>
      <c r="Z1001" s="57"/>
    </row>
    <row r="1002">
      <c r="A1002" s="58">
        <v>8904720.0</v>
      </c>
      <c r="B1002" s="57" t="s">
        <v>2349</v>
      </c>
      <c r="C1002" s="57" t="s">
        <v>210</v>
      </c>
      <c r="D1002" s="58">
        <v>14.9</v>
      </c>
      <c r="E1002" s="58">
        <v>2451.21</v>
      </c>
      <c r="F1002" s="58">
        <v>4103079.0</v>
      </c>
      <c r="G1002" s="57" t="s">
        <v>2352</v>
      </c>
      <c r="H1002" s="57" t="s">
        <v>2353</v>
      </c>
      <c r="I1002" s="57"/>
      <c r="J1002" s="57"/>
      <c r="K1002" s="57"/>
      <c r="L1002" s="57"/>
      <c r="M1002" s="57"/>
      <c r="N1002" s="57"/>
      <c r="O1002" s="57"/>
      <c r="P1002" s="57"/>
      <c r="Q1002" s="57"/>
      <c r="R1002" s="57"/>
      <c r="S1002" s="57"/>
      <c r="T1002" s="57"/>
      <c r="U1002" s="57"/>
      <c r="V1002" s="57"/>
      <c r="W1002" s="57"/>
      <c r="X1002" s="57"/>
      <c r="Y1002" s="57"/>
      <c r="Z1002" s="57"/>
    </row>
    <row r="1003">
      <c r="A1003" s="58">
        <v>8904603.0</v>
      </c>
      <c r="B1003" s="57" t="s">
        <v>2349</v>
      </c>
      <c r="C1003" s="57" t="s">
        <v>210</v>
      </c>
      <c r="D1003" s="58">
        <v>11.45</v>
      </c>
      <c r="E1003" s="58">
        <v>2439.76</v>
      </c>
      <c r="F1003" s="58">
        <v>4101442.0</v>
      </c>
      <c r="G1003" s="57" t="s">
        <v>2354</v>
      </c>
      <c r="H1003" s="57" t="s">
        <v>2355</v>
      </c>
      <c r="I1003" s="57"/>
      <c r="J1003" s="57"/>
      <c r="K1003" s="57"/>
      <c r="L1003" s="57"/>
      <c r="M1003" s="57"/>
      <c r="N1003" s="57"/>
      <c r="O1003" s="57"/>
      <c r="P1003" s="57"/>
      <c r="Q1003" s="57"/>
      <c r="R1003" s="57"/>
      <c r="S1003" s="57"/>
      <c r="T1003" s="57"/>
      <c r="U1003" s="57"/>
      <c r="V1003" s="57"/>
      <c r="W1003" s="57"/>
      <c r="X1003" s="57"/>
      <c r="Y1003" s="57"/>
      <c r="Z1003" s="57"/>
    </row>
    <row r="1004">
      <c r="A1004" s="58">
        <v>8904574.0</v>
      </c>
      <c r="B1004" s="57" t="s">
        <v>2349</v>
      </c>
      <c r="C1004" s="57" t="s">
        <v>210</v>
      </c>
      <c r="D1004" s="58">
        <v>11.45</v>
      </c>
      <c r="E1004" s="58">
        <v>2428.31</v>
      </c>
      <c r="F1004" s="58">
        <v>4100950.0</v>
      </c>
      <c r="G1004" s="57" t="s">
        <v>2356</v>
      </c>
      <c r="H1004" s="57" t="s">
        <v>2357</v>
      </c>
      <c r="I1004" s="57"/>
      <c r="J1004" s="57"/>
      <c r="K1004" s="57"/>
      <c r="L1004" s="57"/>
      <c r="M1004" s="57"/>
      <c r="N1004" s="57"/>
      <c r="O1004" s="57"/>
      <c r="P1004" s="57"/>
      <c r="Q1004" s="57"/>
      <c r="R1004" s="57"/>
      <c r="S1004" s="57"/>
      <c r="T1004" s="57"/>
      <c r="U1004" s="57"/>
      <c r="V1004" s="57"/>
      <c r="W1004" s="57"/>
      <c r="X1004" s="57"/>
      <c r="Y1004" s="57"/>
      <c r="Z1004" s="57"/>
    </row>
    <row r="1005">
      <c r="A1005" s="58">
        <v>8904555.0</v>
      </c>
      <c r="B1005" s="57" t="s">
        <v>2349</v>
      </c>
      <c r="C1005" s="57" t="s">
        <v>210</v>
      </c>
      <c r="D1005" s="58">
        <v>14.9</v>
      </c>
      <c r="E1005" s="58">
        <v>2413.41</v>
      </c>
      <c r="F1005" s="58">
        <v>4100839.0</v>
      </c>
      <c r="G1005" s="57" t="s">
        <v>2358</v>
      </c>
      <c r="H1005" s="57" t="s">
        <v>2359</v>
      </c>
      <c r="I1005" s="57"/>
      <c r="J1005" s="57"/>
      <c r="K1005" s="57"/>
      <c r="L1005" s="57"/>
      <c r="M1005" s="57"/>
      <c r="N1005" s="57"/>
      <c r="O1005" s="57"/>
      <c r="P1005" s="57"/>
      <c r="Q1005" s="57"/>
      <c r="R1005" s="57"/>
      <c r="S1005" s="57"/>
      <c r="T1005" s="57"/>
      <c r="U1005" s="57"/>
      <c r="V1005" s="57"/>
      <c r="W1005" s="57"/>
      <c r="X1005" s="57"/>
      <c r="Y1005" s="57"/>
      <c r="Z1005" s="57"/>
    </row>
    <row r="1006">
      <c r="A1006" s="58">
        <v>8904264.0</v>
      </c>
      <c r="B1006" s="57" t="s">
        <v>2349</v>
      </c>
      <c r="C1006" s="57" t="s">
        <v>210</v>
      </c>
      <c r="D1006" s="58">
        <v>10.88</v>
      </c>
      <c r="E1006" s="58">
        <v>2402.53</v>
      </c>
      <c r="F1006" s="58">
        <v>4097628.0</v>
      </c>
      <c r="G1006" s="57" t="s">
        <v>2360</v>
      </c>
      <c r="H1006" s="57" t="s">
        <v>2361</v>
      </c>
      <c r="I1006" s="57"/>
      <c r="J1006" s="57"/>
      <c r="K1006" s="57"/>
      <c r="L1006" s="57"/>
      <c r="M1006" s="57"/>
      <c r="N1006" s="57"/>
      <c r="O1006" s="57"/>
      <c r="P1006" s="57"/>
      <c r="Q1006" s="57"/>
      <c r="R1006" s="57"/>
      <c r="S1006" s="57"/>
      <c r="T1006" s="57"/>
      <c r="U1006" s="57"/>
      <c r="V1006" s="57"/>
      <c r="W1006" s="57"/>
      <c r="X1006" s="57"/>
      <c r="Y1006" s="57"/>
      <c r="Z1006" s="57"/>
    </row>
    <row r="1007">
      <c r="A1007" s="58">
        <v>8904221.0</v>
      </c>
      <c r="B1007" s="57" t="s">
        <v>2349</v>
      </c>
      <c r="C1007" s="57" t="s">
        <v>210</v>
      </c>
      <c r="D1007" s="58">
        <v>11.45</v>
      </c>
      <c r="E1007" s="58">
        <v>2391.08</v>
      </c>
      <c r="F1007" s="58">
        <v>4097092.0</v>
      </c>
      <c r="G1007" s="57" t="s">
        <v>2362</v>
      </c>
      <c r="H1007" s="57" t="s">
        <v>2363</v>
      </c>
      <c r="I1007" s="57"/>
      <c r="J1007" s="57"/>
      <c r="K1007" s="57"/>
      <c r="L1007" s="57"/>
      <c r="M1007" s="57"/>
      <c r="N1007" s="57"/>
      <c r="O1007" s="57"/>
      <c r="P1007" s="57"/>
      <c r="Q1007" s="57"/>
      <c r="R1007" s="57"/>
      <c r="S1007" s="57"/>
      <c r="T1007" s="57"/>
      <c r="U1007" s="57"/>
      <c r="V1007" s="57"/>
      <c r="W1007" s="57"/>
      <c r="X1007" s="57"/>
      <c r="Y1007" s="57"/>
      <c r="Z1007" s="57"/>
    </row>
    <row r="1008">
      <c r="A1008" s="58">
        <v>8904045.0</v>
      </c>
      <c r="B1008" s="57" t="s">
        <v>2349</v>
      </c>
      <c r="C1008" s="57" t="s">
        <v>210</v>
      </c>
      <c r="D1008" s="58">
        <v>13.06</v>
      </c>
      <c r="E1008" s="58">
        <v>2378.02</v>
      </c>
      <c r="F1008" s="58">
        <v>4094385.0</v>
      </c>
      <c r="G1008" s="57" t="s">
        <v>2364</v>
      </c>
      <c r="H1008" s="57" t="s">
        <v>2365</v>
      </c>
      <c r="I1008" s="57"/>
      <c r="J1008" s="57"/>
      <c r="K1008" s="57"/>
      <c r="L1008" s="57"/>
      <c r="M1008" s="57"/>
      <c r="N1008" s="57"/>
      <c r="O1008" s="57"/>
      <c r="P1008" s="57"/>
      <c r="Q1008" s="57"/>
      <c r="R1008" s="57"/>
      <c r="S1008" s="57"/>
      <c r="T1008" s="57"/>
      <c r="U1008" s="57"/>
      <c r="V1008" s="57"/>
      <c r="W1008" s="57"/>
      <c r="X1008" s="57"/>
      <c r="Y1008" s="57"/>
      <c r="Z1008" s="57"/>
    </row>
    <row r="1009">
      <c r="A1009" s="58">
        <v>8903815.0</v>
      </c>
      <c r="B1009" s="57" t="s">
        <v>2349</v>
      </c>
      <c r="C1009" s="57" t="s">
        <v>210</v>
      </c>
      <c r="D1009" s="58">
        <v>13.46</v>
      </c>
      <c r="E1009" s="58">
        <v>2364.56</v>
      </c>
      <c r="F1009" s="58">
        <v>4091448.0</v>
      </c>
      <c r="G1009" s="57" t="s">
        <v>2366</v>
      </c>
      <c r="H1009" s="57" t="s">
        <v>2367</v>
      </c>
      <c r="I1009" s="57"/>
      <c r="J1009" s="57"/>
      <c r="K1009" s="57"/>
      <c r="L1009" s="57"/>
      <c r="M1009" s="57"/>
      <c r="N1009" s="57"/>
      <c r="O1009" s="57"/>
      <c r="P1009" s="57"/>
      <c r="Q1009" s="57"/>
      <c r="R1009" s="57"/>
      <c r="S1009" s="57"/>
      <c r="T1009" s="57"/>
      <c r="U1009" s="57"/>
      <c r="V1009" s="57"/>
      <c r="W1009" s="57"/>
      <c r="X1009" s="57"/>
      <c r="Y1009" s="57"/>
      <c r="Z1009" s="57"/>
    </row>
    <row r="1010">
      <c r="A1010" s="58">
        <v>8903786.0</v>
      </c>
      <c r="B1010" s="57" t="s">
        <v>2349</v>
      </c>
      <c r="C1010" s="57" t="s">
        <v>210</v>
      </c>
      <c r="D1010" s="58">
        <v>11.43</v>
      </c>
      <c r="E1010" s="58">
        <v>2353.13</v>
      </c>
      <c r="F1010" s="58">
        <v>4091206.0</v>
      </c>
      <c r="G1010" s="58">
        <v>1.86966932E8</v>
      </c>
      <c r="H1010" s="57" t="s">
        <v>2368</v>
      </c>
      <c r="I1010" s="57"/>
      <c r="J1010" s="57"/>
      <c r="K1010" s="57"/>
      <c r="L1010" s="57"/>
      <c r="M1010" s="57"/>
      <c r="N1010" s="57"/>
      <c r="O1010" s="57"/>
      <c r="P1010" s="57"/>
      <c r="Q1010" s="57"/>
      <c r="R1010" s="57"/>
      <c r="S1010" s="57"/>
      <c r="T1010" s="57"/>
      <c r="U1010" s="57"/>
      <c r="V1010" s="57"/>
      <c r="W1010" s="57"/>
      <c r="X1010" s="57"/>
      <c r="Y1010" s="57"/>
      <c r="Z1010" s="57"/>
    </row>
    <row r="1011">
      <c r="A1011" s="58">
        <v>8901226.0</v>
      </c>
      <c r="B1011" s="57" t="s">
        <v>2369</v>
      </c>
      <c r="C1011" s="57" t="s">
        <v>247</v>
      </c>
      <c r="D1011" s="58">
        <v>0.85</v>
      </c>
      <c r="E1011" s="58">
        <v>2353.98</v>
      </c>
      <c r="F1011" s="58">
        <v>3653452.0</v>
      </c>
      <c r="G1011" s="57" t="s">
        <v>2370</v>
      </c>
      <c r="H1011" s="57" t="s">
        <v>2371</v>
      </c>
      <c r="I1011" s="57"/>
      <c r="J1011" s="57"/>
      <c r="K1011" s="57"/>
      <c r="L1011" s="57"/>
      <c r="M1011" s="57"/>
      <c r="N1011" s="57"/>
      <c r="O1011" s="57"/>
      <c r="P1011" s="57"/>
      <c r="Q1011" s="57"/>
      <c r="R1011" s="57"/>
      <c r="S1011" s="57"/>
      <c r="T1011" s="57"/>
      <c r="U1011" s="57"/>
      <c r="V1011" s="57"/>
      <c r="W1011" s="57"/>
      <c r="X1011" s="57"/>
      <c r="Y1011" s="57"/>
      <c r="Z1011" s="57"/>
    </row>
    <row r="1012">
      <c r="A1012" s="58">
        <v>8901224.0</v>
      </c>
      <c r="B1012" s="57" t="s">
        <v>2369</v>
      </c>
      <c r="C1012" s="57" t="s">
        <v>247</v>
      </c>
      <c r="D1012" s="58">
        <v>5.29</v>
      </c>
      <c r="E1012" s="58">
        <v>2359.27</v>
      </c>
      <c r="F1012" s="58">
        <v>3653452.0</v>
      </c>
      <c r="G1012" s="57" t="s">
        <v>2370</v>
      </c>
      <c r="H1012" s="57" t="s">
        <v>2372</v>
      </c>
      <c r="I1012" s="57"/>
      <c r="J1012" s="57"/>
      <c r="K1012" s="57"/>
      <c r="L1012" s="57"/>
      <c r="M1012" s="57"/>
      <c r="N1012" s="57"/>
      <c r="O1012" s="57"/>
      <c r="P1012" s="57"/>
      <c r="Q1012" s="57"/>
      <c r="R1012" s="57"/>
      <c r="S1012" s="57"/>
      <c r="T1012" s="57"/>
      <c r="U1012" s="57"/>
      <c r="V1012" s="57"/>
      <c r="W1012" s="57"/>
      <c r="X1012" s="57"/>
      <c r="Y1012" s="57"/>
      <c r="Z1012" s="57"/>
    </row>
    <row r="1013">
      <c r="A1013" s="58">
        <v>8901177.0</v>
      </c>
      <c r="B1013" s="57" t="s">
        <v>2369</v>
      </c>
      <c r="C1013" s="57" t="s">
        <v>247</v>
      </c>
      <c r="D1013" s="58">
        <v>0.85</v>
      </c>
      <c r="E1013" s="58">
        <v>2360.12</v>
      </c>
      <c r="F1013" s="58">
        <v>3827086.0</v>
      </c>
      <c r="G1013" s="57" t="s">
        <v>2373</v>
      </c>
      <c r="H1013" s="57" t="s">
        <v>2374</v>
      </c>
      <c r="I1013" s="57"/>
      <c r="J1013" s="57"/>
      <c r="K1013" s="57"/>
      <c r="L1013" s="57"/>
      <c r="M1013" s="57"/>
      <c r="N1013" s="57"/>
      <c r="O1013" s="57"/>
      <c r="P1013" s="57"/>
      <c r="Q1013" s="57"/>
      <c r="R1013" s="57"/>
      <c r="S1013" s="57"/>
      <c r="T1013" s="57"/>
      <c r="U1013" s="57"/>
      <c r="V1013" s="57"/>
      <c r="W1013" s="57"/>
      <c r="X1013" s="57"/>
      <c r="Y1013" s="57"/>
      <c r="Z1013" s="57"/>
    </row>
    <row r="1014">
      <c r="A1014" s="58">
        <v>8901175.0</v>
      </c>
      <c r="B1014" s="57" t="s">
        <v>2369</v>
      </c>
      <c r="C1014" s="57" t="s">
        <v>247</v>
      </c>
      <c r="D1014" s="58">
        <v>5.29</v>
      </c>
      <c r="E1014" s="58">
        <v>2365.41</v>
      </c>
      <c r="F1014" s="58">
        <v>3827086.0</v>
      </c>
      <c r="G1014" s="57" t="s">
        <v>2373</v>
      </c>
      <c r="H1014" s="57" t="s">
        <v>2375</v>
      </c>
      <c r="I1014" s="57"/>
      <c r="J1014" s="57"/>
      <c r="K1014" s="57"/>
      <c r="L1014" s="57"/>
      <c r="M1014" s="57"/>
      <c r="N1014" s="57"/>
      <c r="O1014" s="57"/>
      <c r="P1014" s="57"/>
      <c r="Q1014" s="57"/>
      <c r="R1014" s="57"/>
      <c r="S1014" s="57"/>
      <c r="T1014" s="57"/>
      <c r="U1014" s="57"/>
      <c r="V1014" s="57"/>
      <c r="W1014" s="57"/>
      <c r="X1014" s="57"/>
      <c r="Y1014" s="57"/>
      <c r="Z1014" s="57"/>
    </row>
    <row r="1015">
      <c r="A1015" s="58">
        <v>8899965.0</v>
      </c>
      <c r="B1015" s="57" t="s">
        <v>2376</v>
      </c>
      <c r="C1015" s="57" t="s">
        <v>247</v>
      </c>
      <c r="D1015" s="58">
        <v>3.48</v>
      </c>
      <c r="E1015" s="58">
        <v>2368.89</v>
      </c>
      <c r="F1015" s="58">
        <v>4026059.0</v>
      </c>
      <c r="G1015" s="57" t="s">
        <v>2377</v>
      </c>
      <c r="H1015" s="57" t="s">
        <v>2378</v>
      </c>
      <c r="I1015" s="57"/>
      <c r="J1015" s="57"/>
      <c r="K1015" s="57"/>
      <c r="L1015" s="57"/>
      <c r="M1015" s="57"/>
      <c r="N1015" s="57"/>
      <c r="O1015" s="57"/>
      <c r="P1015" s="57"/>
      <c r="Q1015" s="57"/>
      <c r="R1015" s="57"/>
      <c r="S1015" s="57"/>
      <c r="T1015" s="57"/>
      <c r="U1015" s="57"/>
      <c r="V1015" s="57"/>
      <c r="W1015" s="57"/>
      <c r="X1015" s="57"/>
      <c r="Y1015" s="57"/>
      <c r="Z1015" s="57"/>
    </row>
    <row r="1016">
      <c r="A1016" s="58">
        <v>8898065.0</v>
      </c>
      <c r="B1016" s="57" t="s">
        <v>2379</v>
      </c>
      <c r="C1016" s="57" t="s">
        <v>247</v>
      </c>
      <c r="D1016" s="58">
        <v>5.06</v>
      </c>
      <c r="E1016" s="58">
        <v>2373.95</v>
      </c>
      <c r="F1016" s="58">
        <v>3946502.0</v>
      </c>
      <c r="G1016" s="57" t="s">
        <v>2380</v>
      </c>
      <c r="H1016" s="57" t="s">
        <v>2381</v>
      </c>
      <c r="I1016" s="57"/>
      <c r="J1016" s="57"/>
      <c r="K1016" s="57"/>
      <c r="L1016" s="57"/>
      <c r="M1016" s="57"/>
      <c r="N1016" s="57"/>
      <c r="O1016" s="57"/>
      <c r="P1016" s="57"/>
      <c r="Q1016" s="57"/>
      <c r="R1016" s="57"/>
      <c r="S1016" s="57"/>
      <c r="T1016" s="57"/>
      <c r="U1016" s="57"/>
      <c r="V1016" s="57"/>
      <c r="W1016" s="57"/>
      <c r="X1016" s="57"/>
      <c r="Y1016" s="57"/>
      <c r="Z1016" s="57"/>
    </row>
    <row r="1017">
      <c r="A1017" s="58">
        <v>8890663.0</v>
      </c>
      <c r="B1017" s="57" t="s">
        <v>2382</v>
      </c>
      <c r="C1017" s="57" t="s">
        <v>210</v>
      </c>
      <c r="D1017" s="58">
        <v>10.96</v>
      </c>
      <c r="E1017" s="58">
        <v>2362.99</v>
      </c>
      <c r="F1017" s="58">
        <v>4141346.0</v>
      </c>
      <c r="G1017" s="57" t="s">
        <v>2383</v>
      </c>
      <c r="H1017" s="57" t="s">
        <v>2384</v>
      </c>
      <c r="I1017" s="57"/>
      <c r="J1017" s="57"/>
      <c r="K1017" s="57"/>
      <c r="L1017" s="57"/>
      <c r="M1017" s="57"/>
      <c r="N1017" s="57"/>
      <c r="O1017" s="57"/>
      <c r="P1017" s="57"/>
      <c r="Q1017" s="57"/>
      <c r="R1017" s="57"/>
      <c r="S1017" s="57"/>
      <c r="T1017" s="57"/>
      <c r="U1017" s="57"/>
      <c r="V1017" s="57"/>
      <c r="W1017" s="57"/>
      <c r="X1017" s="57"/>
      <c r="Y1017" s="57"/>
      <c r="Z1017" s="57"/>
    </row>
    <row r="1018">
      <c r="A1018" s="58">
        <v>8886092.0</v>
      </c>
      <c r="B1018" s="57" t="s">
        <v>2385</v>
      </c>
      <c r="C1018" s="57" t="s">
        <v>210</v>
      </c>
      <c r="D1018" s="58">
        <v>16.79</v>
      </c>
      <c r="E1018" s="58">
        <v>2346.2</v>
      </c>
      <c r="F1018" s="58">
        <v>4132419.0</v>
      </c>
      <c r="G1018" s="57" t="s">
        <v>2386</v>
      </c>
      <c r="H1018" s="57" t="s">
        <v>2387</v>
      </c>
      <c r="I1018" s="57"/>
      <c r="J1018" s="57"/>
      <c r="K1018" s="57"/>
      <c r="L1018" s="57"/>
      <c r="M1018" s="57"/>
      <c r="N1018" s="57"/>
      <c r="O1018" s="57"/>
      <c r="P1018" s="57"/>
      <c r="Q1018" s="57"/>
      <c r="R1018" s="57"/>
      <c r="S1018" s="57"/>
      <c r="T1018" s="57"/>
      <c r="U1018" s="57"/>
      <c r="V1018" s="57"/>
      <c r="W1018" s="57"/>
      <c r="X1018" s="57"/>
      <c r="Y1018" s="57"/>
      <c r="Z1018" s="57"/>
    </row>
    <row r="1019">
      <c r="A1019" s="58">
        <v>8885204.0</v>
      </c>
      <c r="B1019" s="57" t="s">
        <v>2385</v>
      </c>
      <c r="C1019" s="57" t="s">
        <v>210</v>
      </c>
      <c r="D1019" s="58">
        <v>13.75</v>
      </c>
      <c r="E1019" s="58">
        <v>2332.45</v>
      </c>
      <c r="F1019" s="58">
        <v>4130488.0</v>
      </c>
      <c r="G1019" s="58">
        <v>1.86975384E8</v>
      </c>
      <c r="H1019" s="57" t="s">
        <v>2388</v>
      </c>
      <c r="I1019" s="57"/>
      <c r="J1019" s="57"/>
      <c r="K1019" s="57"/>
      <c r="L1019" s="57"/>
      <c r="M1019" s="57"/>
      <c r="N1019" s="57"/>
      <c r="O1019" s="57"/>
      <c r="P1019" s="57"/>
      <c r="Q1019" s="57"/>
      <c r="R1019" s="57"/>
      <c r="S1019" s="57"/>
      <c r="T1019" s="57"/>
      <c r="U1019" s="57"/>
      <c r="V1019" s="57"/>
      <c r="W1019" s="57"/>
      <c r="X1019" s="57"/>
      <c r="Y1019" s="57"/>
      <c r="Z1019" s="57"/>
    </row>
    <row r="1020">
      <c r="A1020" s="58">
        <v>8885048.0</v>
      </c>
      <c r="B1020" s="57" t="s">
        <v>2385</v>
      </c>
      <c r="C1020" s="57" t="s">
        <v>210</v>
      </c>
      <c r="D1020" s="58">
        <v>15.95</v>
      </c>
      <c r="E1020" s="58">
        <v>2316.5</v>
      </c>
      <c r="F1020" s="58">
        <v>4130118.0</v>
      </c>
      <c r="G1020" s="57" t="s">
        <v>2389</v>
      </c>
      <c r="H1020" s="57" t="s">
        <v>2390</v>
      </c>
      <c r="I1020" s="57"/>
      <c r="J1020" s="57"/>
      <c r="K1020" s="57"/>
      <c r="L1020" s="57"/>
      <c r="M1020" s="57"/>
      <c r="N1020" s="57"/>
      <c r="O1020" s="57"/>
      <c r="P1020" s="57"/>
      <c r="Q1020" s="57"/>
      <c r="R1020" s="57"/>
      <c r="S1020" s="57"/>
      <c r="T1020" s="57"/>
      <c r="U1020" s="57"/>
      <c r="V1020" s="57"/>
      <c r="W1020" s="57"/>
      <c r="X1020" s="57"/>
      <c r="Y1020" s="57"/>
      <c r="Z1020" s="57"/>
    </row>
    <row r="1021">
      <c r="A1021" s="58">
        <v>8884878.0</v>
      </c>
      <c r="B1021" s="57" t="s">
        <v>2385</v>
      </c>
      <c r="C1021" s="57" t="s">
        <v>210</v>
      </c>
      <c r="D1021" s="58">
        <v>13.17</v>
      </c>
      <c r="E1021" s="58">
        <v>2303.33</v>
      </c>
      <c r="F1021" s="58">
        <v>4129796.0</v>
      </c>
      <c r="G1021" s="57" t="s">
        <v>2391</v>
      </c>
      <c r="H1021" s="57" t="s">
        <v>2392</v>
      </c>
      <c r="I1021" s="57"/>
      <c r="J1021" s="57"/>
      <c r="K1021" s="57"/>
      <c r="L1021" s="57"/>
      <c r="M1021" s="57"/>
      <c r="N1021" s="57"/>
      <c r="O1021" s="57"/>
      <c r="P1021" s="57"/>
      <c r="Q1021" s="57"/>
      <c r="R1021" s="57"/>
      <c r="S1021" s="57"/>
      <c r="T1021" s="57"/>
      <c r="U1021" s="57"/>
      <c r="V1021" s="57"/>
      <c r="W1021" s="57"/>
      <c r="X1021" s="57"/>
      <c r="Y1021" s="57"/>
      <c r="Z1021" s="57"/>
    </row>
    <row r="1022">
      <c r="A1022" s="58">
        <v>8884365.0</v>
      </c>
      <c r="B1022" s="57" t="s">
        <v>2393</v>
      </c>
      <c r="C1022" s="57" t="s">
        <v>210</v>
      </c>
      <c r="D1022" s="58">
        <v>16.79</v>
      </c>
      <c r="E1022" s="58">
        <v>2286.54</v>
      </c>
      <c r="F1022" s="58">
        <v>4128642.0</v>
      </c>
      <c r="G1022" s="57" t="s">
        <v>2394</v>
      </c>
      <c r="H1022" s="57" t="s">
        <v>2395</v>
      </c>
      <c r="I1022" s="57"/>
      <c r="J1022" s="57"/>
      <c r="K1022" s="57"/>
      <c r="L1022" s="57"/>
      <c r="M1022" s="57"/>
      <c r="N1022" s="57"/>
      <c r="O1022" s="57"/>
      <c r="P1022" s="57"/>
      <c r="Q1022" s="57"/>
      <c r="R1022" s="57"/>
      <c r="S1022" s="57"/>
      <c r="T1022" s="57"/>
      <c r="U1022" s="57"/>
      <c r="V1022" s="57"/>
      <c r="W1022" s="57"/>
      <c r="X1022" s="57"/>
      <c r="Y1022" s="57"/>
      <c r="Z1022" s="57"/>
    </row>
    <row r="1023">
      <c r="A1023" s="58">
        <v>8884269.0</v>
      </c>
      <c r="B1023" s="57" t="s">
        <v>2393</v>
      </c>
      <c r="C1023" s="57" t="s">
        <v>210</v>
      </c>
      <c r="D1023" s="58">
        <v>14.59</v>
      </c>
      <c r="E1023" s="58">
        <v>2271.95</v>
      </c>
      <c r="F1023" s="58">
        <v>4128310.0</v>
      </c>
      <c r="G1023" s="58">
        <v>1.86974741E8</v>
      </c>
      <c r="H1023" s="57" t="s">
        <v>2396</v>
      </c>
      <c r="I1023" s="57"/>
      <c r="J1023" s="57"/>
      <c r="K1023" s="57"/>
      <c r="L1023" s="57"/>
      <c r="M1023" s="57"/>
      <c r="N1023" s="57"/>
      <c r="O1023" s="57"/>
      <c r="P1023" s="57"/>
      <c r="Q1023" s="57"/>
      <c r="R1023" s="57"/>
      <c r="S1023" s="57"/>
      <c r="T1023" s="57"/>
      <c r="U1023" s="57"/>
      <c r="V1023" s="57"/>
      <c r="W1023" s="57"/>
      <c r="X1023" s="57"/>
      <c r="Y1023" s="57"/>
      <c r="Z1023" s="57"/>
    </row>
    <row r="1024">
      <c r="A1024" s="58">
        <v>8884226.0</v>
      </c>
      <c r="B1024" s="57" t="s">
        <v>2393</v>
      </c>
      <c r="C1024" s="57" t="s">
        <v>210</v>
      </c>
      <c r="D1024" s="58">
        <v>9.1</v>
      </c>
      <c r="E1024" s="58">
        <v>2262.85</v>
      </c>
      <c r="F1024" s="58">
        <v>4128187.0</v>
      </c>
      <c r="G1024" s="58">
        <v>1.86973345E8</v>
      </c>
      <c r="H1024" s="57" t="s">
        <v>2397</v>
      </c>
      <c r="I1024" s="57"/>
      <c r="J1024" s="57"/>
      <c r="K1024" s="57"/>
      <c r="L1024" s="57"/>
      <c r="M1024" s="57"/>
      <c r="N1024" s="57"/>
      <c r="O1024" s="57"/>
      <c r="P1024" s="57"/>
      <c r="Q1024" s="57"/>
      <c r="R1024" s="57"/>
      <c r="S1024" s="57"/>
      <c r="T1024" s="57"/>
      <c r="U1024" s="57"/>
      <c r="V1024" s="57"/>
      <c r="W1024" s="57"/>
      <c r="X1024" s="57"/>
      <c r="Y1024" s="57"/>
      <c r="Z1024" s="57"/>
    </row>
    <row r="1025">
      <c r="A1025" s="58">
        <v>8884191.0</v>
      </c>
      <c r="B1025" s="57" t="s">
        <v>2393</v>
      </c>
      <c r="C1025" s="57" t="s">
        <v>210</v>
      </c>
      <c r="D1025" s="58">
        <v>10.96</v>
      </c>
      <c r="E1025" s="58">
        <v>2251.89</v>
      </c>
      <c r="F1025" s="58">
        <v>4128050.0</v>
      </c>
      <c r="G1025" s="57" t="s">
        <v>2398</v>
      </c>
      <c r="H1025" s="57" t="s">
        <v>2399</v>
      </c>
      <c r="I1025" s="57"/>
      <c r="J1025" s="57"/>
      <c r="K1025" s="57"/>
      <c r="L1025" s="57"/>
      <c r="M1025" s="57"/>
      <c r="N1025" s="57"/>
      <c r="O1025" s="57"/>
      <c r="P1025" s="57"/>
      <c r="Q1025" s="57"/>
      <c r="R1025" s="57"/>
      <c r="S1025" s="57"/>
      <c r="T1025" s="57"/>
      <c r="U1025" s="57"/>
      <c r="V1025" s="57"/>
      <c r="W1025" s="57"/>
      <c r="X1025" s="57"/>
      <c r="Y1025" s="57"/>
      <c r="Z1025" s="57"/>
    </row>
    <row r="1026">
      <c r="A1026" s="58">
        <v>8883870.0</v>
      </c>
      <c r="B1026" s="57" t="s">
        <v>2393</v>
      </c>
      <c r="C1026" s="57" t="s">
        <v>210</v>
      </c>
      <c r="D1026" s="58">
        <v>16.79</v>
      </c>
      <c r="E1026" s="58">
        <v>2235.1</v>
      </c>
      <c r="F1026" s="58">
        <v>4127217.0</v>
      </c>
      <c r="G1026" s="57" t="s">
        <v>2400</v>
      </c>
      <c r="H1026" s="57" t="s">
        <v>2401</v>
      </c>
      <c r="I1026" s="57"/>
      <c r="J1026" s="57"/>
      <c r="K1026" s="57"/>
      <c r="L1026" s="57"/>
      <c r="M1026" s="57"/>
      <c r="N1026" s="57"/>
      <c r="O1026" s="57"/>
      <c r="P1026" s="57"/>
      <c r="Q1026" s="57"/>
      <c r="R1026" s="57"/>
      <c r="S1026" s="57"/>
      <c r="T1026" s="57"/>
      <c r="U1026" s="57"/>
      <c r="V1026" s="57"/>
      <c r="W1026" s="57"/>
      <c r="X1026" s="57"/>
      <c r="Y1026" s="57"/>
      <c r="Z1026" s="57"/>
    </row>
    <row r="1027">
      <c r="A1027" s="58">
        <v>8883593.0</v>
      </c>
      <c r="B1027" s="57" t="s">
        <v>2393</v>
      </c>
      <c r="C1027" s="57" t="s">
        <v>210</v>
      </c>
      <c r="D1027" s="58">
        <v>10.96</v>
      </c>
      <c r="E1027" s="58">
        <v>2224.14</v>
      </c>
      <c r="F1027" s="58">
        <v>4126396.0</v>
      </c>
      <c r="G1027" s="57" t="s">
        <v>2402</v>
      </c>
      <c r="H1027" s="57" t="s">
        <v>2403</v>
      </c>
      <c r="I1027" s="57"/>
      <c r="J1027" s="57"/>
      <c r="K1027" s="57"/>
      <c r="L1027" s="57"/>
      <c r="M1027" s="57"/>
      <c r="N1027" s="57"/>
      <c r="O1027" s="57"/>
      <c r="P1027" s="57"/>
      <c r="Q1027" s="57"/>
      <c r="R1027" s="57"/>
      <c r="S1027" s="57"/>
      <c r="T1027" s="57"/>
      <c r="U1027" s="57"/>
      <c r="V1027" s="57"/>
      <c r="W1027" s="57"/>
      <c r="X1027" s="57"/>
      <c r="Y1027" s="57"/>
      <c r="Z1027" s="57"/>
    </row>
    <row r="1028">
      <c r="A1028" s="58">
        <v>8883118.0</v>
      </c>
      <c r="B1028" s="57" t="s">
        <v>2393</v>
      </c>
      <c r="C1028" s="57" t="s">
        <v>210</v>
      </c>
      <c r="D1028" s="58">
        <v>10.39</v>
      </c>
      <c r="E1028" s="58">
        <v>2213.75</v>
      </c>
      <c r="F1028" s="58">
        <v>4125302.0</v>
      </c>
      <c r="G1028" s="57" t="s">
        <v>2404</v>
      </c>
      <c r="H1028" s="57" t="s">
        <v>2405</v>
      </c>
      <c r="I1028" s="57"/>
      <c r="J1028" s="57"/>
      <c r="K1028" s="57"/>
      <c r="L1028" s="57"/>
      <c r="M1028" s="57"/>
      <c r="N1028" s="57"/>
      <c r="O1028" s="57"/>
      <c r="P1028" s="57"/>
      <c r="Q1028" s="57"/>
      <c r="R1028" s="57"/>
      <c r="S1028" s="57"/>
      <c r="T1028" s="57"/>
      <c r="U1028" s="57"/>
      <c r="V1028" s="57"/>
      <c r="W1028" s="57"/>
      <c r="X1028" s="57"/>
      <c r="Y1028" s="57"/>
      <c r="Z1028" s="57"/>
    </row>
    <row r="1029">
      <c r="A1029" s="58">
        <v>8883088.0</v>
      </c>
      <c r="B1029" s="57" t="s">
        <v>2393</v>
      </c>
      <c r="C1029" s="57" t="s">
        <v>210</v>
      </c>
      <c r="D1029" s="58">
        <v>16.79</v>
      </c>
      <c r="E1029" s="58">
        <v>2196.96</v>
      </c>
      <c r="F1029" s="58">
        <v>4125178.0</v>
      </c>
      <c r="G1029" s="57" t="s">
        <v>2406</v>
      </c>
      <c r="H1029" s="57" t="s">
        <v>2407</v>
      </c>
      <c r="I1029" s="57"/>
      <c r="J1029" s="57"/>
      <c r="K1029" s="57"/>
      <c r="L1029" s="57"/>
      <c r="M1029" s="57"/>
      <c r="N1029" s="57"/>
      <c r="O1029" s="57"/>
      <c r="P1029" s="57"/>
      <c r="Q1029" s="57"/>
      <c r="R1029" s="57"/>
      <c r="S1029" s="57"/>
      <c r="T1029" s="57"/>
      <c r="U1029" s="57"/>
      <c r="V1029" s="57"/>
      <c r="W1029" s="57"/>
      <c r="X1029" s="57"/>
      <c r="Y1029" s="57"/>
      <c r="Z1029" s="57"/>
    </row>
    <row r="1030">
      <c r="A1030" s="58">
        <v>8883085.0</v>
      </c>
      <c r="B1030" s="57" t="s">
        <v>2393</v>
      </c>
      <c r="C1030" s="57" t="s">
        <v>210</v>
      </c>
      <c r="D1030" s="58">
        <v>18.4</v>
      </c>
      <c r="E1030" s="58">
        <v>2178.56</v>
      </c>
      <c r="F1030" s="58">
        <v>4125172.0</v>
      </c>
      <c r="G1030" s="57" t="s">
        <v>2408</v>
      </c>
      <c r="H1030" s="57" t="s">
        <v>2409</v>
      </c>
      <c r="I1030" s="57"/>
      <c r="J1030" s="57"/>
      <c r="K1030" s="57"/>
      <c r="L1030" s="57"/>
      <c r="M1030" s="57"/>
      <c r="N1030" s="57"/>
      <c r="O1030" s="57"/>
      <c r="P1030" s="57"/>
      <c r="Q1030" s="57"/>
      <c r="R1030" s="57"/>
      <c r="S1030" s="57"/>
      <c r="T1030" s="57"/>
      <c r="U1030" s="57"/>
      <c r="V1030" s="57"/>
      <c r="W1030" s="57"/>
      <c r="X1030" s="57"/>
      <c r="Y1030" s="57"/>
      <c r="Z1030" s="57"/>
    </row>
    <row r="1031">
      <c r="A1031" s="58">
        <v>8882488.0</v>
      </c>
      <c r="B1031" s="57" t="s">
        <v>2393</v>
      </c>
      <c r="C1031" s="57" t="s">
        <v>210</v>
      </c>
      <c r="D1031" s="58">
        <v>16.79</v>
      </c>
      <c r="E1031" s="58">
        <v>2161.77</v>
      </c>
      <c r="F1031" s="58">
        <v>4123784.0</v>
      </c>
      <c r="G1031" s="57" t="s">
        <v>2410</v>
      </c>
      <c r="H1031" s="57" t="s">
        <v>2411</v>
      </c>
      <c r="I1031" s="57"/>
      <c r="J1031" s="57"/>
      <c r="K1031" s="57"/>
      <c r="L1031" s="57"/>
      <c r="M1031" s="57"/>
      <c r="N1031" s="57"/>
      <c r="O1031" s="57"/>
      <c r="P1031" s="57"/>
      <c r="Q1031" s="57"/>
      <c r="R1031" s="57"/>
      <c r="S1031" s="57"/>
      <c r="T1031" s="57"/>
      <c r="U1031" s="57"/>
      <c r="V1031" s="57"/>
      <c r="W1031" s="57"/>
      <c r="X1031" s="57"/>
      <c r="Y1031" s="57"/>
      <c r="Z1031" s="57"/>
    </row>
    <row r="1032">
      <c r="A1032" s="58">
        <v>8882105.0</v>
      </c>
      <c r="B1032" s="57" t="s">
        <v>2393</v>
      </c>
      <c r="C1032" s="57" t="s">
        <v>210</v>
      </c>
      <c r="D1032" s="58">
        <v>14.34</v>
      </c>
      <c r="E1032" s="58">
        <v>2147.43</v>
      </c>
      <c r="F1032" s="58">
        <v>4122861.0</v>
      </c>
      <c r="G1032" s="57" t="s">
        <v>2412</v>
      </c>
      <c r="H1032" s="57" t="s">
        <v>2413</v>
      </c>
      <c r="I1032" s="57"/>
      <c r="J1032" s="57"/>
      <c r="K1032" s="57"/>
      <c r="L1032" s="57"/>
      <c r="M1032" s="57"/>
      <c r="N1032" s="57"/>
      <c r="O1032" s="57"/>
      <c r="P1032" s="57"/>
      <c r="Q1032" s="57"/>
      <c r="R1032" s="57"/>
      <c r="S1032" s="57"/>
      <c r="T1032" s="57"/>
      <c r="U1032" s="57"/>
      <c r="V1032" s="57"/>
      <c r="W1032" s="57"/>
      <c r="X1032" s="57"/>
      <c r="Y1032" s="57"/>
      <c r="Z1032" s="57"/>
    </row>
    <row r="1033">
      <c r="A1033" s="58">
        <v>8882020.0</v>
      </c>
      <c r="B1033" s="57" t="s">
        <v>2393</v>
      </c>
      <c r="C1033" s="57" t="s">
        <v>210</v>
      </c>
      <c r="D1033" s="58">
        <v>9.1</v>
      </c>
      <c r="E1033" s="58">
        <v>2138.33</v>
      </c>
      <c r="F1033" s="58">
        <v>4122686.0</v>
      </c>
      <c r="G1033" s="58">
        <v>1.86966862E8</v>
      </c>
      <c r="H1033" s="57" t="s">
        <v>2414</v>
      </c>
      <c r="I1033" s="57"/>
      <c r="J1033" s="57"/>
      <c r="K1033" s="57"/>
      <c r="L1033" s="57"/>
      <c r="M1033" s="57"/>
      <c r="N1033" s="57"/>
      <c r="O1033" s="57"/>
      <c r="P1033" s="57"/>
      <c r="Q1033" s="57"/>
      <c r="R1033" s="57"/>
      <c r="S1033" s="57"/>
      <c r="T1033" s="57"/>
      <c r="U1033" s="57"/>
      <c r="V1033" s="57"/>
      <c r="W1033" s="57"/>
      <c r="X1033" s="57"/>
      <c r="Y1033" s="57"/>
      <c r="Z1033" s="57"/>
    </row>
    <row r="1034">
      <c r="A1034" s="58">
        <v>8881687.0</v>
      </c>
      <c r="B1034" s="57" t="s">
        <v>2393</v>
      </c>
      <c r="C1034" s="57" t="s">
        <v>210</v>
      </c>
      <c r="D1034" s="58">
        <v>10.96</v>
      </c>
      <c r="E1034" s="58">
        <v>2127.37</v>
      </c>
      <c r="F1034" s="58">
        <v>4121695.0</v>
      </c>
      <c r="G1034" s="57" t="s">
        <v>2415</v>
      </c>
      <c r="H1034" s="57" t="s">
        <v>2416</v>
      </c>
      <c r="I1034" s="57"/>
      <c r="J1034" s="57"/>
      <c r="K1034" s="57"/>
      <c r="L1034" s="57"/>
      <c r="M1034" s="57"/>
      <c r="N1034" s="57"/>
      <c r="O1034" s="57"/>
      <c r="P1034" s="57"/>
      <c r="Q1034" s="57"/>
      <c r="R1034" s="57"/>
      <c r="S1034" s="57"/>
      <c r="T1034" s="57"/>
      <c r="U1034" s="57"/>
      <c r="V1034" s="57"/>
      <c r="W1034" s="57"/>
      <c r="X1034" s="57"/>
      <c r="Y1034" s="57"/>
      <c r="Z1034" s="57"/>
    </row>
    <row r="1035">
      <c r="A1035" s="58">
        <v>8880732.0</v>
      </c>
      <c r="B1035" s="57" t="s">
        <v>2393</v>
      </c>
      <c r="C1035" s="57" t="s">
        <v>210</v>
      </c>
      <c r="D1035" s="58">
        <v>10.96</v>
      </c>
      <c r="E1035" s="58">
        <v>2116.41</v>
      </c>
      <c r="F1035" s="58">
        <v>4118671.0</v>
      </c>
      <c r="G1035" s="57" t="s">
        <v>2417</v>
      </c>
      <c r="H1035" s="57" t="s">
        <v>2418</v>
      </c>
      <c r="I1035" s="57"/>
      <c r="J1035" s="57"/>
      <c r="K1035" s="57"/>
      <c r="L1035" s="57"/>
      <c r="M1035" s="57"/>
      <c r="N1035" s="57"/>
      <c r="O1035" s="57"/>
      <c r="P1035" s="57"/>
      <c r="Q1035" s="57"/>
      <c r="R1035" s="57"/>
      <c r="S1035" s="57"/>
      <c r="T1035" s="57"/>
      <c r="U1035" s="57"/>
      <c r="V1035" s="57"/>
      <c r="W1035" s="57"/>
      <c r="X1035" s="57"/>
      <c r="Y1035" s="57"/>
      <c r="Z1035" s="57"/>
    </row>
    <row r="1036">
      <c r="A1036" s="58">
        <v>8880718.0</v>
      </c>
      <c r="B1036" s="57" t="s">
        <v>2393</v>
      </c>
      <c r="C1036" s="57" t="s">
        <v>210</v>
      </c>
      <c r="D1036" s="58">
        <v>13.16</v>
      </c>
      <c r="E1036" s="58">
        <v>2103.25</v>
      </c>
      <c r="F1036" s="58">
        <v>4118592.0</v>
      </c>
      <c r="G1036" s="57" t="s">
        <v>2419</v>
      </c>
      <c r="H1036" s="57" t="s">
        <v>2420</v>
      </c>
      <c r="I1036" s="57"/>
      <c r="J1036" s="57"/>
      <c r="K1036" s="57"/>
      <c r="L1036" s="57"/>
      <c r="M1036" s="57"/>
      <c r="N1036" s="57"/>
      <c r="O1036" s="57"/>
      <c r="P1036" s="57"/>
      <c r="Q1036" s="57"/>
      <c r="R1036" s="57"/>
      <c r="S1036" s="57"/>
      <c r="T1036" s="57"/>
      <c r="U1036" s="57"/>
      <c r="V1036" s="57"/>
      <c r="W1036" s="57"/>
      <c r="X1036" s="57"/>
      <c r="Y1036" s="57"/>
      <c r="Z1036" s="57"/>
    </row>
    <row r="1037">
      <c r="A1037" s="58">
        <v>8880663.0</v>
      </c>
      <c r="B1037" s="57" t="s">
        <v>2393</v>
      </c>
      <c r="C1037" s="57" t="s">
        <v>210</v>
      </c>
      <c r="D1037" s="58">
        <v>14.34</v>
      </c>
      <c r="E1037" s="58">
        <v>2088.91</v>
      </c>
      <c r="F1037" s="58">
        <v>4118444.0</v>
      </c>
      <c r="G1037" s="57" t="s">
        <v>2421</v>
      </c>
      <c r="H1037" s="57" t="s">
        <v>2422</v>
      </c>
      <c r="I1037" s="57"/>
      <c r="J1037" s="57"/>
      <c r="K1037" s="57"/>
      <c r="L1037" s="57"/>
      <c r="M1037" s="57"/>
      <c r="N1037" s="57"/>
      <c r="O1037" s="57"/>
      <c r="P1037" s="57"/>
      <c r="Q1037" s="57"/>
      <c r="R1037" s="57"/>
      <c r="S1037" s="57"/>
      <c r="T1037" s="57"/>
      <c r="U1037" s="57"/>
      <c r="V1037" s="57"/>
      <c r="W1037" s="57"/>
      <c r="X1037" s="57"/>
      <c r="Y1037" s="57"/>
      <c r="Z1037" s="57"/>
    </row>
    <row r="1038">
      <c r="A1038" s="58">
        <v>8880212.0</v>
      </c>
      <c r="B1038" s="57" t="s">
        <v>2423</v>
      </c>
      <c r="C1038" s="57" t="s">
        <v>210</v>
      </c>
      <c r="D1038" s="58">
        <v>13.99</v>
      </c>
      <c r="E1038" s="58">
        <v>2074.92</v>
      </c>
      <c r="F1038" s="58">
        <v>4116867.0</v>
      </c>
      <c r="G1038" s="58">
        <v>1.86969381E8</v>
      </c>
      <c r="H1038" s="57" t="s">
        <v>2424</v>
      </c>
      <c r="I1038" s="57"/>
      <c r="J1038" s="57"/>
      <c r="K1038" s="57"/>
      <c r="L1038" s="57"/>
      <c r="M1038" s="57"/>
      <c r="N1038" s="57"/>
      <c r="O1038" s="57"/>
      <c r="P1038" s="57"/>
      <c r="Q1038" s="57"/>
      <c r="R1038" s="57"/>
      <c r="S1038" s="57"/>
      <c r="T1038" s="57"/>
      <c r="U1038" s="57"/>
      <c r="V1038" s="57"/>
      <c r="W1038" s="57"/>
      <c r="X1038" s="57"/>
      <c r="Y1038" s="57"/>
      <c r="Z1038" s="57"/>
    </row>
    <row r="1039">
      <c r="A1039" s="58">
        <v>8880022.0</v>
      </c>
      <c r="B1039" s="57" t="s">
        <v>2423</v>
      </c>
      <c r="C1039" s="57" t="s">
        <v>210</v>
      </c>
      <c r="D1039" s="58">
        <v>11.89</v>
      </c>
      <c r="E1039" s="58">
        <v>2063.03</v>
      </c>
      <c r="F1039" s="58">
        <v>4116210.0</v>
      </c>
      <c r="G1039" s="57" t="s">
        <v>2425</v>
      </c>
      <c r="H1039" s="57" t="s">
        <v>2426</v>
      </c>
      <c r="I1039" s="57"/>
      <c r="J1039" s="57"/>
      <c r="K1039" s="57"/>
      <c r="L1039" s="57"/>
      <c r="M1039" s="57"/>
      <c r="N1039" s="57"/>
      <c r="O1039" s="57"/>
      <c r="P1039" s="57"/>
      <c r="Q1039" s="57"/>
      <c r="R1039" s="57"/>
      <c r="S1039" s="57"/>
      <c r="T1039" s="57"/>
      <c r="U1039" s="57"/>
      <c r="V1039" s="57"/>
      <c r="W1039" s="57"/>
      <c r="X1039" s="57"/>
      <c r="Y1039" s="57"/>
      <c r="Z1039" s="57"/>
    </row>
    <row r="1040">
      <c r="A1040" s="58">
        <v>8879365.0</v>
      </c>
      <c r="B1040" s="57" t="s">
        <v>2423</v>
      </c>
      <c r="C1040" s="57" t="s">
        <v>210</v>
      </c>
      <c r="D1040" s="58">
        <v>15.47</v>
      </c>
      <c r="E1040" s="58">
        <v>2047.56</v>
      </c>
      <c r="F1040" s="58">
        <v>4113906.0</v>
      </c>
      <c r="G1040" s="57" t="s">
        <v>2427</v>
      </c>
      <c r="H1040" s="57" t="s">
        <v>2428</v>
      </c>
      <c r="I1040" s="57"/>
      <c r="J1040" s="57"/>
      <c r="K1040" s="57"/>
      <c r="L1040" s="57"/>
      <c r="M1040" s="57"/>
      <c r="N1040" s="57"/>
      <c r="O1040" s="57"/>
      <c r="P1040" s="57"/>
      <c r="Q1040" s="57"/>
      <c r="R1040" s="57"/>
      <c r="S1040" s="57"/>
      <c r="T1040" s="57"/>
      <c r="U1040" s="57"/>
      <c r="V1040" s="57"/>
      <c r="W1040" s="57"/>
      <c r="X1040" s="57"/>
      <c r="Y1040" s="57"/>
      <c r="Z1040" s="57"/>
    </row>
    <row r="1041">
      <c r="A1041" s="58">
        <v>8879099.0</v>
      </c>
      <c r="B1041" s="57" t="s">
        <v>2423</v>
      </c>
      <c r="C1041" s="57" t="s">
        <v>210</v>
      </c>
      <c r="D1041" s="58">
        <v>10.96</v>
      </c>
      <c r="E1041" s="58">
        <v>2036.6</v>
      </c>
      <c r="F1041" s="58">
        <v>4112473.0</v>
      </c>
      <c r="G1041" s="57" t="s">
        <v>2429</v>
      </c>
      <c r="H1041" s="57" t="s">
        <v>2430</v>
      </c>
      <c r="I1041" s="57"/>
      <c r="J1041" s="57"/>
      <c r="K1041" s="57"/>
      <c r="L1041" s="57"/>
      <c r="M1041" s="57"/>
      <c r="N1041" s="57"/>
      <c r="O1041" s="57"/>
      <c r="P1041" s="57"/>
      <c r="Q1041" s="57"/>
      <c r="R1041" s="57"/>
      <c r="S1041" s="57"/>
      <c r="T1041" s="57"/>
      <c r="U1041" s="57"/>
      <c r="V1041" s="57"/>
      <c r="W1041" s="57"/>
      <c r="X1041" s="57"/>
      <c r="Y1041" s="57"/>
      <c r="Z1041" s="57"/>
    </row>
    <row r="1042">
      <c r="A1042" s="58">
        <v>8878979.0</v>
      </c>
      <c r="B1042" s="57" t="s">
        <v>2423</v>
      </c>
      <c r="C1042" s="57" t="s">
        <v>210</v>
      </c>
      <c r="D1042" s="58">
        <v>10.96</v>
      </c>
      <c r="E1042" s="58">
        <v>2025.64</v>
      </c>
      <c r="F1042" s="58">
        <v>4112045.0</v>
      </c>
      <c r="G1042" s="57" t="s">
        <v>2431</v>
      </c>
      <c r="H1042" s="57" t="s">
        <v>2432</v>
      </c>
      <c r="I1042" s="57"/>
      <c r="J1042" s="57"/>
      <c r="K1042" s="57"/>
      <c r="L1042" s="57"/>
      <c r="M1042" s="57"/>
      <c r="N1042" s="57"/>
      <c r="O1042" s="57"/>
      <c r="P1042" s="57"/>
      <c r="Q1042" s="57"/>
      <c r="R1042" s="57"/>
      <c r="S1042" s="57"/>
      <c r="T1042" s="57"/>
      <c r="U1042" s="57"/>
      <c r="V1042" s="57"/>
      <c r="W1042" s="57"/>
      <c r="X1042" s="57"/>
      <c r="Y1042" s="57"/>
      <c r="Z1042" s="57"/>
    </row>
    <row r="1043">
      <c r="A1043" s="58">
        <v>8878399.0</v>
      </c>
      <c r="B1043" s="57" t="s">
        <v>2423</v>
      </c>
      <c r="C1043" s="57" t="s">
        <v>210</v>
      </c>
      <c r="D1043" s="58">
        <v>13.17</v>
      </c>
      <c r="E1043" s="58">
        <v>2012.47</v>
      </c>
      <c r="F1043" s="58">
        <v>4109667.0</v>
      </c>
      <c r="G1043" s="57" t="s">
        <v>2433</v>
      </c>
      <c r="H1043" s="57" t="s">
        <v>2434</v>
      </c>
      <c r="I1043" s="57"/>
      <c r="J1043" s="57"/>
      <c r="K1043" s="57"/>
      <c r="L1043" s="57"/>
      <c r="M1043" s="57"/>
      <c r="N1043" s="57"/>
      <c r="O1043" s="57"/>
      <c r="P1043" s="57"/>
      <c r="Q1043" s="57"/>
      <c r="R1043" s="57"/>
      <c r="S1043" s="57"/>
      <c r="T1043" s="57"/>
      <c r="U1043" s="57"/>
      <c r="V1043" s="57"/>
      <c r="W1043" s="57"/>
      <c r="X1043" s="57"/>
      <c r="Y1043" s="57"/>
      <c r="Z1043" s="57"/>
    </row>
    <row r="1044">
      <c r="A1044" s="58">
        <v>8878355.0</v>
      </c>
      <c r="B1044" s="57" t="s">
        <v>2423</v>
      </c>
      <c r="C1044" s="57" t="s">
        <v>210</v>
      </c>
      <c r="D1044" s="58">
        <v>15.36</v>
      </c>
      <c r="E1044" s="58">
        <v>1997.11</v>
      </c>
      <c r="F1044" s="58">
        <v>4109419.0</v>
      </c>
      <c r="G1044" s="57" t="s">
        <v>2435</v>
      </c>
      <c r="H1044" s="57" t="s">
        <v>2436</v>
      </c>
      <c r="I1044" s="57"/>
      <c r="J1044" s="57"/>
      <c r="K1044" s="57"/>
      <c r="L1044" s="57"/>
      <c r="M1044" s="57"/>
      <c r="N1044" s="57"/>
      <c r="O1044" s="57"/>
      <c r="P1044" s="57"/>
      <c r="Q1044" s="57"/>
      <c r="R1044" s="57"/>
      <c r="S1044" s="57"/>
      <c r="T1044" s="57"/>
      <c r="U1044" s="57"/>
      <c r="V1044" s="57"/>
      <c r="W1044" s="57"/>
      <c r="X1044" s="57"/>
      <c r="Y1044" s="57"/>
      <c r="Z1044" s="57"/>
    </row>
    <row r="1045">
      <c r="A1045" s="58">
        <v>8878207.0</v>
      </c>
      <c r="B1045" s="57" t="s">
        <v>2423</v>
      </c>
      <c r="C1045" s="57" t="s">
        <v>210</v>
      </c>
      <c r="D1045" s="58">
        <v>10.96</v>
      </c>
      <c r="E1045" s="58">
        <v>1986.15</v>
      </c>
      <c r="F1045" s="58">
        <v>4108960.0</v>
      </c>
      <c r="G1045" s="57" t="s">
        <v>2437</v>
      </c>
      <c r="H1045" s="57" t="s">
        <v>2438</v>
      </c>
      <c r="I1045" s="57"/>
      <c r="J1045" s="57"/>
      <c r="K1045" s="57"/>
      <c r="L1045" s="57"/>
      <c r="M1045" s="57"/>
      <c r="N1045" s="57"/>
      <c r="O1045" s="57"/>
      <c r="P1045" s="57"/>
      <c r="Q1045" s="57"/>
      <c r="R1045" s="57"/>
      <c r="S1045" s="57"/>
      <c r="T1045" s="57"/>
      <c r="U1045" s="57"/>
      <c r="V1045" s="57"/>
      <c r="W1045" s="57"/>
      <c r="X1045" s="57"/>
      <c r="Y1045" s="57"/>
      <c r="Z1045" s="57"/>
    </row>
    <row r="1046">
      <c r="A1046" s="58">
        <v>8878097.0</v>
      </c>
      <c r="B1046" s="57" t="s">
        <v>2423</v>
      </c>
      <c r="C1046" s="57" t="s">
        <v>210</v>
      </c>
      <c r="D1046" s="58">
        <v>9.54</v>
      </c>
      <c r="E1046" s="58">
        <v>1976.61</v>
      </c>
      <c r="F1046" s="58">
        <v>4108668.0</v>
      </c>
      <c r="G1046" s="58">
        <v>1.86966929E8</v>
      </c>
      <c r="H1046" s="57" t="s">
        <v>2439</v>
      </c>
      <c r="I1046" s="57"/>
      <c r="J1046" s="57"/>
      <c r="K1046" s="57"/>
      <c r="L1046" s="57"/>
      <c r="M1046" s="57"/>
      <c r="N1046" s="57"/>
      <c r="O1046" s="57"/>
      <c r="P1046" s="57"/>
      <c r="Q1046" s="57"/>
      <c r="R1046" s="57"/>
      <c r="S1046" s="57"/>
      <c r="T1046" s="57"/>
      <c r="U1046" s="57"/>
      <c r="V1046" s="57"/>
      <c r="W1046" s="57"/>
      <c r="X1046" s="57"/>
      <c r="Y1046" s="57"/>
      <c r="Z1046" s="57"/>
    </row>
    <row r="1047">
      <c r="A1047" s="58">
        <v>8878080.0</v>
      </c>
      <c r="B1047" s="57" t="s">
        <v>2423</v>
      </c>
      <c r="C1047" s="57" t="s">
        <v>210</v>
      </c>
      <c r="D1047" s="58">
        <v>10.96</v>
      </c>
      <c r="E1047" s="58">
        <v>1965.65</v>
      </c>
      <c r="F1047" s="58">
        <v>4108600.0</v>
      </c>
      <c r="G1047" s="57" t="s">
        <v>2440</v>
      </c>
      <c r="H1047" s="57" t="s">
        <v>2441</v>
      </c>
      <c r="I1047" s="57"/>
      <c r="J1047" s="57"/>
      <c r="K1047" s="57"/>
      <c r="L1047" s="57"/>
      <c r="M1047" s="57"/>
      <c r="N1047" s="57"/>
      <c r="O1047" s="57"/>
      <c r="P1047" s="57"/>
      <c r="Q1047" s="57"/>
      <c r="R1047" s="57"/>
      <c r="S1047" s="57"/>
      <c r="T1047" s="57"/>
      <c r="U1047" s="57"/>
      <c r="V1047" s="57"/>
      <c r="W1047" s="57"/>
      <c r="X1047" s="57"/>
      <c r="Y1047" s="57"/>
      <c r="Z1047" s="57"/>
    </row>
    <row r="1048">
      <c r="A1048" s="58">
        <v>8877456.0</v>
      </c>
      <c r="B1048" s="57" t="s">
        <v>2423</v>
      </c>
      <c r="C1048" s="57" t="s">
        <v>210</v>
      </c>
      <c r="D1048" s="58">
        <v>13.17</v>
      </c>
      <c r="E1048" s="58">
        <v>1952.48</v>
      </c>
      <c r="F1048" s="58">
        <v>4105728.0</v>
      </c>
      <c r="G1048" s="57" t="s">
        <v>2442</v>
      </c>
      <c r="H1048" s="57" t="s">
        <v>2443</v>
      </c>
      <c r="I1048" s="57"/>
      <c r="J1048" s="57"/>
      <c r="K1048" s="57"/>
      <c r="L1048" s="57"/>
      <c r="M1048" s="57"/>
      <c r="N1048" s="57"/>
      <c r="O1048" s="57"/>
      <c r="P1048" s="57"/>
      <c r="Q1048" s="57"/>
      <c r="R1048" s="57"/>
      <c r="S1048" s="57"/>
      <c r="T1048" s="57"/>
      <c r="U1048" s="57"/>
      <c r="V1048" s="57"/>
      <c r="W1048" s="57"/>
      <c r="X1048" s="57"/>
      <c r="Y1048" s="57"/>
      <c r="Z1048" s="57"/>
    </row>
    <row r="1049">
      <c r="A1049" s="58">
        <v>8877055.0</v>
      </c>
      <c r="B1049" s="57" t="s">
        <v>2423</v>
      </c>
      <c r="C1049" s="57" t="s">
        <v>210</v>
      </c>
      <c r="D1049" s="58">
        <v>12.03</v>
      </c>
      <c r="E1049" s="58">
        <v>1940.45</v>
      </c>
      <c r="F1049" s="58">
        <v>4103920.0</v>
      </c>
      <c r="G1049" s="57" t="s">
        <v>2444</v>
      </c>
      <c r="H1049" s="57" t="s">
        <v>2445</v>
      </c>
      <c r="I1049" s="57"/>
      <c r="J1049" s="57"/>
      <c r="K1049" s="57"/>
      <c r="L1049" s="57"/>
      <c r="M1049" s="57"/>
      <c r="N1049" s="57"/>
      <c r="O1049" s="57"/>
      <c r="P1049" s="57"/>
      <c r="Q1049" s="57"/>
      <c r="R1049" s="57"/>
      <c r="S1049" s="57"/>
      <c r="T1049" s="57"/>
      <c r="U1049" s="57"/>
      <c r="V1049" s="57"/>
      <c r="W1049" s="57"/>
      <c r="X1049" s="57"/>
      <c r="Y1049" s="57"/>
      <c r="Z1049" s="57"/>
    </row>
    <row r="1050">
      <c r="A1050" s="58">
        <v>8876947.0</v>
      </c>
      <c r="B1050" s="57" t="s">
        <v>2423</v>
      </c>
      <c r="C1050" s="57" t="s">
        <v>210</v>
      </c>
      <c r="D1050" s="58">
        <v>11.45</v>
      </c>
      <c r="E1050" s="58">
        <v>1929.0</v>
      </c>
      <c r="F1050" s="58">
        <v>4103356.0</v>
      </c>
      <c r="G1050" s="57" t="s">
        <v>2446</v>
      </c>
      <c r="H1050" s="57" t="s">
        <v>2447</v>
      </c>
      <c r="I1050" s="57"/>
      <c r="J1050" s="57"/>
      <c r="K1050" s="57"/>
      <c r="L1050" s="57"/>
      <c r="M1050" s="57"/>
      <c r="N1050" s="57"/>
      <c r="O1050" s="57"/>
      <c r="P1050" s="57"/>
      <c r="Q1050" s="57"/>
      <c r="R1050" s="57"/>
      <c r="S1050" s="57"/>
      <c r="T1050" s="57"/>
      <c r="U1050" s="57"/>
      <c r="V1050" s="57"/>
      <c r="W1050" s="57"/>
      <c r="X1050" s="57"/>
      <c r="Y1050" s="57"/>
      <c r="Z1050" s="57"/>
    </row>
    <row r="1051">
      <c r="A1051" s="58">
        <v>8876895.0</v>
      </c>
      <c r="B1051" s="57" t="s">
        <v>2423</v>
      </c>
      <c r="C1051" s="57" t="s">
        <v>210</v>
      </c>
      <c r="D1051" s="58">
        <v>13.46</v>
      </c>
      <c r="E1051" s="58">
        <v>1915.54</v>
      </c>
      <c r="F1051" s="58">
        <v>4103105.0</v>
      </c>
      <c r="G1051" s="57" t="s">
        <v>2448</v>
      </c>
      <c r="H1051" s="57" t="s">
        <v>2449</v>
      </c>
      <c r="I1051" s="57"/>
      <c r="J1051" s="57"/>
      <c r="K1051" s="57"/>
      <c r="L1051" s="57"/>
      <c r="M1051" s="57"/>
      <c r="N1051" s="57"/>
      <c r="O1051" s="57"/>
      <c r="P1051" s="57"/>
      <c r="Q1051" s="57"/>
      <c r="R1051" s="57"/>
      <c r="S1051" s="57"/>
      <c r="T1051" s="57"/>
      <c r="U1051" s="57"/>
      <c r="V1051" s="57"/>
      <c r="W1051" s="57"/>
      <c r="X1051" s="57"/>
      <c r="Y1051" s="57"/>
      <c r="Z1051" s="57"/>
    </row>
    <row r="1052">
      <c r="A1052" s="58">
        <v>8876342.0</v>
      </c>
      <c r="B1052" s="57" t="s">
        <v>2423</v>
      </c>
      <c r="C1052" s="57" t="s">
        <v>210</v>
      </c>
      <c r="D1052" s="58">
        <v>13.46</v>
      </c>
      <c r="E1052" s="58">
        <v>1902.08</v>
      </c>
      <c r="F1052" s="58">
        <v>4100663.0</v>
      </c>
      <c r="G1052" s="57" t="s">
        <v>2450</v>
      </c>
      <c r="H1052" s="57" t="s">
        <v>2451</v>
      </c>
      <c r="I1052" s="57"/>
      <c r="J1052" s="57"/>
      <c r="K1052" s="57"/>
      <c r="L1052" s="57"/>
      <c r="M1052" s="57"/>
      <c r="N1052" s="57"/>
      <c r="O1052" s="57"/>
      <c r="P1052" s="57"/>
      <c r="Q1052" s="57"/>
      <c r="R1052" s="57"/>
      <c r="S1052" s="57"/>
      <c r="T1052" s="57"/>
      <c r="U1052" s="57"/>
      <c r="V1052" s="57"/>
      <c r="W1052" s="57"/>
      <c r="X1052" s="57"/>
      <c r="Y1052" s="57"/>
      <c r="Z1052" s="57"/>
    </row>
    <row r="1053">
      <c r="A1053" s="58">
        <v>8875947.0</v>
      </c>
      <c r="B1053" s="57" t="s">
        <v>2452</v>
      </c>
      <c r="C1053" s="57" t="s">
        <v>210</v>
      </c>
      <c r="D1053" s="58">
        <v>10.96</v>
      </c>
      <c r="E1053" s="58">
        <v>1891.12</v>
      </c>
      <c r="F1053" s="58">
        <v>4098868.0</v>
      </c>
      <c r="G1053" s="57" t="s">
        <v>2453</v>
      </c>
      <c r="H1053" s="57" t="s">
        <v>2454</v>
      </c>
      <c r="I1053" s="57"/>
      <c r="J1053" s="57"/>
      <c r="K1053" s="57"/>
      <c r="L1053" s="57"/>
      <c r="M1053" s="57"/>
      <c r="N1053" s="57"/>
      <c r="O1053" s="57"/>
      <c r="P1053" s="57"/>
      <c r="Q1053" s="57"/>
      <c r="R1053" s="57"/>
      <c r="S1053" s="57"/>
      <c r="T1053" s="57"/>
      <c r="U1053" s="57"/>
      <c r="V1053" s="57"/>
      <c r="W1053" s="57"/>
      <c r="X1053" s="57"/>
      <c r="Y1053" s="57"/>
      <c r="Z1053" s="57"/>
    </row>
    <row r="1054">
      <c r="A1054" s="58">
        <v>8875835.0</v>
      </c>
      <c r="B1054" s="57" t="s">
        <v>2452</v>
      </c>
      <c r="C1054" s="57" t="s">
        <v>210</v>
      </c>
      <c r="D1054" s="58">
        <v>10.96</v>
      </c>
      <c r="E1054" s="58">
        <v>1880.16</v>
      </c>
      <c r="F1054" s="58">
        <v>4098374.0</v>
      </c>
      <c r="G1054" s="57" t="s">
        <v>2455</v>
      </c>
      <c r="H1054" s="57" t="s">
        <v>2456</v>
      </c>
      <c r="I1054" s="57"/>
      <c r="J1054" s="57"/>
      <c r="K1054" s="57"/>
      <c r="L1054" s="57"/>
      <c r="M1054" s="57"/>
      <c r="N1054" s="57"/>
      <c r="O1054" s="57"/>
      <c r="P1054" s="57"/>
      <c r="Q1054" s="57"/>
      <c r="R1054" s="57"/>
      <c r="S1054" s="57"/>
      <c r="T1054" s="57"/>
      <c r="U1054" s="57"/>
      <c r="V1054" s="57"/>
      <c r="W1054" s="57"/>
      <c r="X1054" s="57"/>
      <c r="Y1054" s="57"/>
      <c r="Z1054" s="57"/>
    </row>
    <row r="1055">
      <c r="A1055" s="58">
        <v>8875832.0</v>
      </c>
      <c r="B1055" s="57" t="s">
        <v>2452</v>
      </c>
      <c r="C1055" s="57" t="s">
        <v>210</v>
      </c>
      <c r="D1055" s="58">
        <v>10.39</v>
      </c>
      <c r="E1055" s="58">
        <v>1869.77</v>
      </c>
      <c r="F1055" s="58">
        <v>4098370.0</v>
      </c>
      <c r="G1055" s="57" t="s">
        <v>2457</v>
      </c>
      <c r="H1055" s="57" t="s">
        <v>2458</v>
      </c>
      <c r="I1055" s="57"/>
      <c r="J1055" s="57"/>
      <c r="K1055" s="57"/>
      <c r="L1055" s="57"/>
      <c r="M1055" s="57"/>
      <c r="N1055" s="57"/>
      <c r="O1055" s="57"/>
      <c r="P1055" s="57"/>
      <c r="Q1055" s="57"/>
      <c r="R1055" s="57"/>
      <c r="S1055" s="57"/>
      <c r="T1055" s="57"/>
      <c r="U1055" s="57"/>
      <c r="V1055" s="57"/>
      <c r="W1055" s="57"/>
      <c r="X1055" s="57"/>
      <c r="Y1055" s="57"/>
      <c r="Z1055" s="57"/>
    </row>
    <row r="1056">
      <c r="A1056" s="58">
        <v>8875613.0</v>
      </c>
      <c r="B1056" s="57" t="s">
        <v>2452</v>
      </c>
      <c r="C1056" s="57" t="s">
        <v>210</v>
      </c>
      <c r="D1056" s="58">
        <v>13.81</v>
      </c>
      <c r="E1056" s="58">
        <v>1855.96</v>
      </c>
      <c r="F1056" s="58">
        <v>4097562.0</v>
      </c>
      <c r="G1056" s="58">
        <v>1.86973352E8</v>
      </c>
      <c r="H1056" s="57" t="s">
        <v>2459</v>
      </c>
      <c r="I1056" s="57"/>
      <c r="J1056" s="57"/>
      <c r="K1056" s="57"/>
      <c r="L1056" s="57"/>
      <c r="M1056" s="57"/>
      <c r="N1056" s="57"/>
      <c r="O1056" s="57"/>
      <c r="P1056" s="57"/>
      <c r="Q1056" s="57"/>
      <c r="R1056" s="57"/>
      <c r="S1056" s="57"/>
      <c r="T1056" s="57"/>
      <c r="U1056" s="57"/>
      <c r="V1056" s="57"/>
      <c r="W1056" s="57"/>
      <c r="X1056" s="57"/>
      <c r="Y1056" s="57"/>
      <c r="Z1056" s="57"/>
    </row>
    <row r="1057">
      <c r="A1057" s="58">
        <v>8875589.0</v>
      </c>
      <c r="B1057" s="57" t="s">
        <v>2452</v>
      </c>
      <c r="C1057" s="57" t="s">
        <v>210</v>
      </c>
      <c r="D1057" s="58">
        <v>11.45</v>
      </c>
      <c r="E1057" s="58">
        <v>1844.51</v>
      </c>
      <c r="F1057" s="58">
        <v>4097492.0</v>
      </c>
      <c r="G1057" s="57" t="s">
        <v>2460</v>
      </c>
      <c r="H1057" s="57" t="s">
        <v>2461</v>
      </c>
      <c r="I1057" s="57"/>
      <c r="J1057" s="57"/>
      <c r="K1057" s="57"/>
      <c r="L1057" s="57"/>
      <c r="M1057" s="57"/>
      <c r="N1057" s="57"/>
      <c r="O1057" s="57"/>
      <c r="P1057" s="57"/>
      <c r="Q1057" s="57"/>
      <c r="R1057" s="57"/>
      <c r="S1057" s="57"/>
      <c r="T1057" s="57"/>
      <c r="U1057" s="57"/>
      <c r="V1057" s="57"/>
      <c r="W1057" s="57"/>
      <c r="X1057" s="57"/>
      <c r="Y1057" s="57"/>
      <c r="Z1057" s="57"/>
    </row>
    <row r="1058">
      <c r="A1058" s="58">
        <v>8875545.0</v>
      </c>
      <c r="B1058" s="57" t="s">
        <v>2452</v>
      </c>
      <c r="C1058" s="57" t="s">
        <v>210</v>
      </c>
      <c r="D1058" s="58">
        <v>13.17</v>
      </c>
      <c r="E1058" s="58">
        <v>1831.34</v>
      </c>
      <c r="F1058" s="58">
        <v>4097316.0</v>
      </c>
      <c r="G1058" s="57" t="s">
        <v>2462</v>
      </c>
      <c r="H1058" s="57" t="s">
        <v>2463</v>
      </c>
      <c r="I1058" s="57"/>
      <c r="J1058" s="57"/>
      <c r="K1058" s="57"/>
      <c r="L1058" s="57"/>
      <c r="M1058" s="57"/>
      <c r="N1058" s="57"/>
      <c r="O1058" s="57"/>
      <c r="P1058" s="57"/>
      <c r="Q1058" s="57"/>
      <c r="R1058" s="57"/>
      <c r="S1058" s="57"/>
      <c r="T1058" s="57"/>
      <c r="U1058" s="57"/>
      <c r="V1058" s="57"/>
      <c r="W1058" s="57"/>
      <c r="X1058" s="57"/>
      <c r="Y1058" s="57"/>
      <c r="Z1058" s="57"/>
    </row>
    <row r="1059">
      <c r="A1059" s="58">
        <v>8875507.0</v>
      </c>
      <c r="B1059" s="57" t="s">
        <v>2452</v>
      </c>
      <c r="C1059" s="57" t="s">
        <v>210</v>
      </c>
      <c r="D1059" s="58">
        <v>15.47</v>
      </c>
      <c r="E1059" s="58">
        <v>1815.87</v>
      </c>
      <c r="F1059" s="58">
        <v>4097126.0</v>
      </c>
      <c r="G1059" s="57" t="s">
        <v>2464</v>
      </c>
      <c r="H1059" s="57" t="s">
        <v>2465</v>
      </c>
      <c r="I1059" s="57"/>
      <c r="J1059" s="57"/>
      <c r="K1059" s="57"/>
      <c r="L1059" s="57"/>
      <c r="M1059" s="57"/>
      <c r="N1059" s="57"/>
      <c r="O1059" s="57"/>
      <c r="P1059" s="57"/>
      <c r="Q1059" s="57"/>
      <c r="R1059" s="57"/>
      <c r="S1059" s="57"/>
      <c r="T1059" s="57"/>
      <c r="U1059" s="57"/>
      <c r="V1059" s="57"/>
      <c r="W1059" s="57"/>
      <c r="X1059" s="57"/>
      <c r="Y1059" s="57"/>
      <c r="Z1059" s="57"/>
    </row>
    <row r="1060">
      <c r="A1060" s="58">
        <v>8875495.0</v>
      </c>
      <c r="B1060" s="57" t="s">
        <v>2452</v>
      </c>
      <c r="C1060" s="57" t="s">
        <v>210</v>
      </c>
      <c r="D1060" s="58">
        <v>12.89</v>
      </c>
      <c r="E1060" s="58">
        <v>1802.98</v>
      </c>
      <c r="F1060" s="58">
        <v>4097030.0</v>
      </c>
      <c r="G1060" s="57" t="s">
        <v>2466</v>
      </c>
      <c r="H1060" s="57" t="s">
        <v>2467</v>
      </c>
      <c r="I1060" s="57"/>
      <c r="J1060" s="57"/>
      <c r="K1060" s="57"/>
      <c r="L1060" s="57"/>
      <c r="M1060" s="57"/>
      <c r="N1060" s="57"/>
      <c r="O1060" s="57"/>
      <c r="P1060" s="57"/>
      <c r="Q1060" s="57"/>
      <c r="R1060" s="57"/>
      <c r="S1060" s="57"/>
      <c r="T1060" s="57"/>
      <c r="U1060" s="57"/>
      <c r="V1060" s="57"/>
      <c r="W1060" s="57"/>
      <c r="X1060" s="57"/>
      <c r="Y1060" s="57"/>
      <c r="Z1060" s="57"/>
    </row>
    <row r="1061">
      <c r="A1061" s="58">
        <v>8875471.0</v>
      </c>
      <c r="B1061" s="57" t="s">
        <v>2452</v>
      </c>
      <c r="C1061" s="57" t="s">
        <v>210</v>
      </c>
      <c r="D1061" s="58">
        <v>15.07</v>
      </c>
      <c r="E1061" s="58">
        <v>1787.91</v>
      </c>
      <c r="F1061" s="58">
        <v>4096925.0</v>
      </c>
      <c r="G1061" s="57" t="s">
        <v>2468</v>
      </c>
      <c r="H1061" s="57" t="s">
        <v>2469</v>
      </c>
      <c r="I1061" s="57"/>
      <c r="J1061" s="57"/>
      <c r="K1061" s="57"/>
      <c r="L1061" s="57"/>
      <c r="M1061" s="57"/>
      <c r="N1061" s="57"/>
      <c r="O1061" s="57"/>
      <c r="P1061" s="57"/>
      <c r="Q1061" s="57"/>
      <c r="R1061" s="57"/>
      <c r="S1061" s="57"/>
      <c r="T1061" s="57"/>
      <c r="U1061" s="57"/>
      <c r="V1061" s="57"/>
      <c r="W1061" s="57"/>
      <c r="X1061" s="57"/>
      <c r="Y1061" s="57"/>
      <c r="Z1061" s="57"/>
    </row>
    <row r="1062">
      <c r="A1062" s="58">
        <v>8875448.0</v>
      </c>
      <c r="B1062" s="57" t="s">
        <v>2452</v>
      </c>
      <c r="C1062" s="57" t="s">
        <v>210</v>
      </c>
      <c r="D1062" s="58">
        <v>13.46</v>
      </c>
      <c r="E1062" s="58">
        <v>1774.45</v>
      </c>
      <c r="F1062" s="58">
        <v>4096859.0</v>
      </c>
      <c r="G1062" s="57" t="s">
        <v>2470</v>
      </c>
      <c r="H1062" s="57" t="s">
        <v>2471</v>
      </c>
      <c r="I1062" s="57"/>
      <c r="J1062" s="57"/>
      <c r="K1062" s="57"/>
      <c r="L1062" s="57"/>
      <c r="M1062" s="57"/>
      <c r="N1062" s="57"/>
      <c r="O1062" s="57"/>
      <c r="P1062" s="57"/>
      <c r="Q1062" s="57"/>
      <c r="R1062" s="57"/>
      <c r="S1062" s="57"/>
      <c r="T1062" s="57"/>
      <c r="U1062" s="57"/>
      <c r="V1062" s="57"/>
      <c r="W1062" s="57"/>
      <c r="X1062" s="57"/>
      <c r="Y1062" s="57"/>
      <c r="Z1062" s="57"/>
    </row>
    <row r="1063">
      <c r="A1063" s="58">
        <v>8875128.0</v>
      </c>
      <c r="B1063" s="57" t="s">
        <v>2452</v>
      </c>
      <c r="C1063" s="57" t="s">
        <v>210</v>
      </c>
      <c r="D1063" s="58">
        <v>11.54</v>
      </c>
      <c r="E1063" s="58">
        <v>1762.91</v>
      </c>
      <c r="F1063" s="58">
        <v>4095486.0</v>
      </c>
      <c r="G1063" s="57" t="s">
        <v>2472</v>
      </c>
      <c r="H1063" s="57" t="s">
        <v>2473</v>
      </c>
      <c r="I1063" s="57"/>
      <c r="J1063" s="57"/>
      <c r="K1063" s="57"/>
      <c r="L1063" s="57"/>
      <c r="M1063" s="57"/>
      <c r="N1063" s="57"/>
      <c r="O1063" s="57"/>
      <c r="P1063" s="57"/>
      <c r="Q1063" s="57"/>
      <c r="R1063" s="57"/>
      <c r="S1063" s="57"/>
      <c r="T1063" s="57"/>
      <c r="U1063" s="57"/>
      <c r="V1063" s="57"/>
      <c r="W1063" s="57"/>
      <c r="X1063" s="57"/>
      <c r="Y1063" s="57"/>
      <c r="Z1063" s="57"/>
    </row>
    <row r="1064">
      <c r="A1064" s="58">
        <v>8874910.0</v>
      </c>
      <c r="B1064" s="57" t="s">
        <v>2452</v>
      </c>
      <c r="C1064" s="57" t="s">
        <v>210</v>
      </c>
      <c r="D1064" s="58">
        <v>13.17</v>
      </c>
      <c r="E1064" s="58">
        <v>1749.74</v>
      </c>
      <c r="F1064" s="58">
        <v>4094689.0</v>
      </c>
      <c r="G1064" s="57" t="s">
        <v>2474</v>
      </c>
      <c r="H1064" s="57" t="s">
        <v>2475</v>
      </c>
      <c r="I1064" s="57"/>
      <c r="J1064" s="57"/>
      <c r="K1064" s="57"/>
      <c r="L1064" s="57"/>
      <c r="M1064" s="57"/>
      <c r="N1064" s="57"/>
      <c r="O1064" s="57"/>
      <c r="P1064" s="57"/>
      <c r="Q1064" s="57"/>
      <c r="R1064" s="57"/>
      <c r="S1064" s="57"/>
      <c r="T1064" s="57"/>
      <c r="U1064" s="57"/>
      <c r="V1064" s="57"/>
      <c r="W1064" s="57"/>
      <c r="X1064" s="57"/>
      <c r="Y1064" s="57"/>
      <c r="Z1064" s="57"/>
    </row>
    <row r="1065">
      <c r="A1065" s="58">
        <v>8874571.0</v>
      </c>
      <c r="B1065" s="57" t="s">
        <v>2452</v>
      </c>
      <c r="C1065" s="57" t="s">
        <v>210</v>
      </c>
      <c r="D1065" s="58">
        <v>13.46</v>
      </c>
      <c r="E1065" s="58">
        <v>1736.28</v>
      </c>
      <c r="F1065" s="58">
        <v>4093223.0</v>
      </c>
      <c r="G1065" s="57" t="s">
        <v>2476</v>
      </c>
      <c r="H1065" s="57" t="s">
        <v>2477</v>
      </c>
      <c r="I1065" s="57"/>
      <c r="J1065" s="57"/>
      <c r="K1065" s="57"/>
      <c r="L1065" s="57"/>
      <c r="M1065" s="57"/>
      <c r="N1065" s="57"/>
      <c r="O1065" s="57"/>
      <c r="P1065" s="57"/>
      <c r="Q1065" s="57"/>
      <c r="R1065" s="57"/>
      <c r="S1065" s="57"/>
      <c r="T1065" s="57"/>
      <c r="U1065" s="57"/>
      <c r="V1065" s="57"/>
      <c r="W1065" s="57"/>
      <c r="X1065" s="57"/>
      <c r="Y1065" s="57"/>
      <c r="Z1065" s="57"/>
    </row>
    <row r="1066">
      <c r="A1066" s="58">
        <v>8874443.0</v>
      </c>
      <c r="B1066" s="57" t="s">
        <v>2452</v>
      </c>
      <c r="C1066" s="57" t="s">
        <v>210</v>
      </c>
      <c r="D1066" s="58">
        <v>13.75</v>
      </c>
      <c r="E1066" s="58">
        <v>1722.53</v>
      </c>
      <c r="F1066" s="58">
        <v>4092536.0</v>
      </c>
      <c r="G1066" s="58">
        <v>1.86973364E8</v>
      </c>
      <c r="H1066" s="57" t="s">
        <v>2478</v>
      </c>
      <c r="I1066" s="57"/>
      <c r="J1066" s="57"/>
      <c r="K1066" s="57"/>
      <c r="L1066" s="57"/>
      <c r="M1066" s="57"/>
      <c r="N1066" s="57"/>
      <c r="O1066" s="57"/>
      <c r="P1066" s="57"/>
      <c r="Q1066" s="57"/>
      <c r="R1066" s="57"/>
      <c r="S1066" s="57"/>
      <c r="T1066" s="57"/>
      <c r="U1066" s="57"/>
      <c r="V1066" s="57"/>
      <c r="W1066" s="57"/>
      <c r="X1066" s="57"/>
      <c r="Y1066" s="57"/>
      <c r="Z1066" s="57"/>
    </row>
    <row r="1067">
      <c r="A1067" s="58">
        <v>8874437.0</v>
      </c>
      <c r="B1067" s="57" t="s">
        <v>2452</v>
      </c>
      <c r="C1067" s="57" t="s">
        <v>210</v>
      </c>
      <c r="D1067" s="58">
        <v>13.75</v>
      </c>
      <c r="E1067" s="58">
        <v>1708.78</v>
      </c>
      <c r="F1067" s="58">
        <v>4092499.0</v>
      </c>
      <c r="G1067" s="58">
        <v>1.86973366E8</v>
      </c>
      <c r="H1067" s="57" t="s">
        <v>2479</v>
      </c>
      <c r="I1067" s="57"/>
      <c r="J1067" s="57"/>
      <c r="K1067" s="57"/>
      <c r="L1067" s="57"/>
      <c r="M1067" s="57"/>
      <c r="N1067" s="57"/>
      <c r="O1067" s="57"/>
      <c r="P1067" s="57"/>
      <c r="Q1067" s="57"/>
      <c r="R1067" s="57"/>
      <c r="S1067" s="57"/>
      <c r="T1067" s="57"/>
      <c r="U1067" s="57"/>
      <c r="V1067" s="57"/>
      <c r="W1067" s="57"/>
      <c r="X1067" s="57"/>
      <c r="Y1067" s="57"/>
      <c r="Z1067" s="57"/>
    </row>
    <row r="1068">
      <c r="A1068" s="58">
        <v>8874423.0</v>
      </c>
      <c r="B1068" s="57" t="s">
        <v>2452</v>
      </c>
      <c r="C1068" s="57" t="s">
        <v>210</v>
      </c>
      <c r="D1068" s="58">
        <v>11.45</v>
      </c>
      <c r="E1068" s="58">
        <v>1697.33</v>
      </c>
      <c r="F1068" s="58">
        <v>4092436.0</v>
      </c>
      <c r="G1068" s="57" t="s">
        <v>2480</v>
      </c>
      <c r="H1068" s="57" t="s">
        <v>2481</v>
      </c>
      <c r="I1068" s="57"/>
      <c r="J1068" s="57"/>
      <c r="K1068" s="57"/>
      <c r="L1068" s="57"/>
      <c r="M1068" s="57"/>
      <c r="N1068" s="57"/>
      <c r="O1068" s="57"/>
      <c r="P1068" s="57"/>
      <c r="Q1068" s="57"/>
      <c r="R1068" s="57"/>
      <c r="S1068" s="57"/>
      <c r="T1068" s="57"/>
      <c r="U1068" s="57"/>
      <c r="V1068" s="57"/>
      <c r="W1068" s="57"/>
      <c r="X1068" s="57"/>
      <c r="Y1068" s="57"/>
      <c r="Z1068" s="57"/>
    </row>
    <row r="1069">
      <c r="A1069" s="58">
        <v>8874394.0</v>
      </c>
      <c r="B1069" s="57" t="s">
        <v>2452</v>
      </c>
      <c r="C1069" s="57" t="s">
        <v>210</v>
      </c>
      <c r="D1069" s="58">
        <v>11.67</v>
      </c>
      <c r="E1069" s="58">
        <v>1685.66</v>
      </c>
      <c r="F1069" s="58">
        <v>4092251.0</v>
      </c>
      <c r="G1069" s="58">
        <v>1.86973368E8</v>
      </c>
      <c r="H1069" s="57" t="s">
        <v>2482</v>
      </c>
      <c r="I1069" s="57"/>
      <c r="J1069" s="57"/>
      <c r="K1069" s="57"/>
      <c r="L1069" s="57"/>
      <c r="M1069" s="57"/>
      <c r="N1069" s="57"/>
      <c r="O1069" s="57"/>
      <c r="P1069" s="57"/>
      <c r="Q1069" s="57"/>
      <c r="R1069" s="57"/>
      <c r="S1069" s="57"/>
      <c r="T1069" s="57"/>
      <c r="U1069" s="57"/>
      <c r="V1069" s="57"/>
      <c r="W1069" s="57"/>
      <c r="X1069" s="57"/>
      <c r="Y1069" s="57"/>
      <c r="Z1069" s="57"/>
    </row>
    <row r="1070">
      <c r="A1070" s="58">
        <v>8874357.0</v>
      </c>
      <c r="B1070" s="57" t="s">
        <v>2452</v>
      </c>
      <c r="C1070" s="57" t="s">
        <v>210</v>
      </c>
      <c r="D1070" s="58">
        <v>13.17</v>
      </c>
      <c r="E1070" s="58">
        <v>1672.49</v>
      </c>
      <c r="F1070" s="58">
        <v>4091919.0</v>
      </c>
      <c r="G1070" s="57" t="s">
        <v>2483</v>
      </c>
      <c r="H1070" s="57" t="s">
        <v>2484</v>
      </c>
      <c r="I1070" s="57"/>
      <c r="J1070" s="57"/>
      <c r="K1070" s="57"/>
      <c r="L1070" s="57"/>
      <c r="M1070" s="57"/>
      <c r="N1070" s="57"/>
      <c r="O1070" s="57"/>
      <c r="P1070" s="57"/>
      <c r="Q1070" s="57"/>
      <c r="R1070" s="57"/>
      <c r="S1070" s="57"/>
      <c r="T1070" s="57"/>
      <c r="U1070" s="57"/>
      <c r="V1070" s="57"/>
      <c r="W1070" s="57"/>
      <c r="X1070" s="57"/>
      <c r="Y1070" s="57"/>
      <c r="Z1070" s="57"/>
    </row>
    <row r="1071">
      <c r="A1071" s="58">
        <v>8874304.0</v>
      </c>
      <c r="B1071" s="57" t="s">
        <v>2452</v>
      </c>
      <c r="C1071" s="57" t="s">
        <v>210</v>
      </c>
      <c r="D1071" s="58">
        <v>15.36</v>
      </c>
      <c r="E1071" s="58">
        <v>1657.13</v>
      </c>
      <c r="F1071" s="58">
        <v>4091664.0</v>
      </c>
      <c r="G1071" s="57" t="s">
        <v>2485</v>
      </c>
      <c r="H1071" s="57" t="s">
        <v>2486</v>
      </c>
      <c r="I1071" s="57"/>
      <c r="J1071" s="57"/>
      <c r="K1071" s="57"/>
      <c r="L1071" s="57"/>
      <c r="M1071" s="57"/>
      <c r="N1071" s="57"/>
      <c r="O1071" s="57"/>
      <c r="P1071" s="57"/>
      <c r="Q1071" s="57"/>
      <c r="R1071" s="57"/>
      <c r="S1071" s="57"/>
      <c r="T1071" s="57"/>
      <c r="U1071" s="57"/>
      <c r="V1071" s="57"/>
      <c r="W1071" s="57"/>
      <c r="X1071" s="57"/>
      <c r="Y1071" s="57"/>
      <c r="Z1071" s="57"/>
    </row>
    <row r="1072">
      <c r="A1072" s="58">
        <v>8874301.0</v>
      </c>
      <c r="B1072" s="57" t="s">
        <v>2452</v>
      </c>
      <c r="C1072" s="57" t="s">
        <v>210</v>
      </c>
      <c r="D1072" s="58">
        <v>11.45</v>
      </c>
      <c r="E1072" s="58">
        <v>1645.68</v>
      </c>
      <c r="F1072" s="58">
        <v>4091651.0</v>
      </c>
      <c r="G1072" s="57" t="s">
        <v>2487</v>
      </c>
      <c r="H1072" s="57" t="s">
        <v>2488</v>
      </c>
      <c r="I1072" s="57"/>
      <c r="J1072" s="57"/>
      <c r="K1072" s="57"/>
      <c r="L1072" s="57"/>
      <c r="M1072" s="57"/>
      <c r="N1072" s="57"/>
      <c r="O1072" s="57"/>
      <c r="P1072" s="57"/>
      <c r="Q1072" s="57"/>
      <c r="R1072" s="57"/>
      <c r="S1072" s="57"/>
      <c r="T1072" s="57"/>
      <c r="U1072" s="57"/>
      <c r="V1072" s="57"/>
      <c r="W1072" s="57"/>
      <c r="X1072" s="57"/>
      <c r="Y1072" s="57"/>
      <c r="Z1072" s="57"/>
    </row>
    <row r="1073">
      <c r="A1073" s="58">
        <v>8874243.0</v>
      </c>
      <c r="B1073" s="57" t="s">
        <v>2452</v>
      </c>
      <c r="C1073" s="57" t="s">
        <v>210</v>
      </c>
      <c r="D1073" s="58">
        <v>12.57</v>
      </c>
      <c r="E1073" s="58">
        <v>1633.11</v>
      </c>
      <c r="F1073" s="58">
        <v>4091264.0</v>
      </c>
      <c r="G1073" s="57" t="s">
        <v>2489</v>
      </c>
      <c r="H1073" s="57" t="s">
        <v>2490</v>
      </c>
      <c r="I1073" s="57"/>
      <c r="J1073" s="57"/>
      <c r="K1073" s="57"/>
      <c r="L1073" s="57"/>
      <c r="M1073" s="57"/>
      <c r="N1073" s="57"/>
      <c r="O1073" s="57"/>
      <c r="P1073" s="57"/>
      <c r="Q1073" s="57"/>
      <c r="R1073" s="57"/>
      <c r="S1073" s="57"/>
      <c r="T1073" s="57"/>
      <c r="U1073" s="57"/>
      <c r="V1073" s="57"/>
      <c r="W1073" s="57"/>
      <c r="X1073" s="57"/>
      <c r="Y1073" s="57"/>
      <c r="Z1073" s="57"/>
    </row>
    <row r="1074">
      <c r="A1074" s="58">
        <v>8874211.0</v>
      </c>
      <c r="B1074" s="57" t="s">
        <v>2452</v>
      </c>
      <c r="C1074" s="57" t="s">
        <v>210</v>
      </c>
      <c r="D1074" s="58">
        <v>15.47</v>
      </c>
      <c r="E1074" s="58">
        <v>1617.64</v>
      </c>
      <c r="F1074" s="58">
        <v>4091130.0</v>
      </c>
      <c r="G1074" s="57" t="s">
        <v>2491</v>
      </c>
      <c r="H1074" s="57" t="s">
        <v>2492</v>
      </c>
      <c r="I1074" s="57"/>
      <c r="J1074" s="57"/>
      <c r="K1074" s="57"/>
      <c r="L1074" s="57"/>
      <c r="M1074" s="57"/>
      <c r="N1074" s="57"/>
      <c r="O1074" s="57"/>
      <c r="P1074" s="57"/>
      <c r="Q1074" s="57"/>
      <c r="R1074" s="57"/>
      <c r="S1074" s="57"/>
      <c r="T1074" s="57"/>
      <c r="U1074" s="57"/>
      <c r="V1074" s="57"/>
      <c r="W1074" s="57"/>
      <c r="X1074" s="57"/>
      <c r="Y1074" s="57"/>
      <c r="Z1074" s="57"/>
    </row>
    <row r="1075">
      <c r="A1075" s="58">
        <v>8874098.0</v>
      </c>
      <c r="B1075" s="57" t="s">
        <v>2452</v>
      </c>
      <c r="C1075" s="57" t="s">
        <v>210</v>
      </c>
      <c r="D1075" s="58">
        <v>13.46</v>
      </c>
      <c r="E1075" s="58">
        <v>1604.18</v>
      </c>
      <c r="F1075" s="58">
        <v>4090291.0</v>
      </c>
      <c r="G1075" s="57" t="s">
        <v>2493</v>
      </c>
      <c r="H1075" s="57" t="s">
        <v>2494</v>
      </c>
      <c r="I1075" s="57"/>
      <c r="J1075" s="57"/>
      <c r="K1075" s="57"/>
      <c r="L1075" s="57"/>
      <c r="M1075" s="57"/>
      <c r="N1075" s="57"/>
      <c r="O1075" s="57"/>
      <c r="P1075" s="57"/>
      <c r="Q1075" s="57"/>
      <c r="R1075" s="57"/>
      <c r="S1075" s="57"/>
      <c r="T1075" s="57"/>
      <c r="U1075" s="57"/>
      <c r="V1075" s="57"/>
      <c r="W1075" s="57"/>
      <c r="X1075" s="57"/>
      <c r="Y1075" s="57"/>
      <c r="Z1075" s="57"/>
    </row>
    <row r="1076">
      <c r="A1076" s="58">
        <v>8871185.0</v>
      </c>
      <c r="B1076" s="57" t="s">
        <v>2495</v>
      </c>
      <c r="C1076" s="57" t="s">
        <v>210</v>
      </c>
      <c r="D1076" s="58">
        <v>15.13</v>
      </c>
      <c r="E1076" s="58">
        <v>1589.05</v>
      </c>
      <c r="F1076" s="58">
        <v>4066961.0</v>
      </c>
      <c r="G1076" s="58">
        <v>1.86944684E8</v>
      </c>
      <c r="H1076" s="57" t="s">
        <v>2496</v>
      </c>
      <c r="I1076" s="57"/>
      <c r="J1076" s="57"/>
      <c r="K1076" s="57"/>
      <c r="L1076" s="57"/>
      <c r="M1076" s="57"/>
      <c r="N1076" s="57"/>
      <c r="O1076" s="57"/>
      <c r="P1076" s="57"/>
      <c r="Q1076" s="57"/>
      <c r="R1076" s="57"/>
      <c r="S1076" s="57"/>
      <c r="T1076" s="57"/>
      <c r="U1076" s="57"/>
      <c r="V1076" s="57"/>
      <c r="W1076" s="57"/>
      <c r="X1076" s="57"/>
      <c r="Y1076" s="57"/>
      <c r="Z1076" s="57"/>
    </row>
    <row r="1077">
      <c r="A1077" s="58">
        <v>8868743.0</v>
      </c>
      <c r="B1077" s="57" t="s">
        <v>2495</v>
      </c>
      <c r="C1077" s="57" t="s">
        <v>210</v>
      </c>
      <c r="D1077" s="58">
        <v>7.33</v>
      </c>
      <c r="E1077" s="58">
        <v>1581.72</v>
      </c>
      <c r="F1077" s="58">
        <v>3944022.0</v>
      </c>
      <c r="G1077" s="58">
        <v>1.86896239E8</v>
      </c>
      <c r="H1077" s="57" t="s">
        <v>2497</v>
      </c>
      <c r="I1077" s="57"/>
      <c r="J1077" s="57"/>
      <c r="K1077" s="57"/>
      <c r="L1077" s="57"/>
      <c r="M1077" s="57"/>
      <c r="N1077" s="57"/>
      <c r="O1077" s="57"/>
      <c r="P1077" s="57"/>
      <c r="Q1077" s="57"/>
      <c r="R1077" s="57"/>
      <c r="S1077" s="57"/>
      <c r="T1077" s="57"/>
      <c r="U1077" s="57"/>
      <c r="V1077" s="57"/>
      <c r="W1077" s="57"/>
      <c r="X1077" s="57"/>
      <c r="Y1077" s="57"/>
      <c r="Z1077" s="57"/>
    </row>
    <row r="1078">
      <c r="A1078" s="58">
        <v>8866892.0</v>
      </c>
      <c r="B1078" s="57" t="s">
        <v>2498</v>
      </c>
      <c r="C1078" s="57" t="s">
        <v>247</v>
      </c>
      <c r="D1078" s="58">
        <v>300.0</v>
      </c>
      <c r="E1078" s="58">
        <v>1881.72</v>
      </c>
      <c r="F1078" s="57"/>
      <c r="G1078" s="57"/>
      <c r="H1078" s="57" t="s">
        <v>361</v>
      </c>
      <c r="I1078" s="57"/>
      <c r="J1078" s="57" t="s">
        <v>702</v>
      </c>
      <c r="K1078" s="57"/>
      <c r="L1078" s="57"/>
      <c r="M1078" s="57"/>
      <c r="N1078" s="57"/>
      <c r="O1078" s="57"/>
      <c r="P1078" s="57"/>
      <c r="Q1078" s="57"/>
      <c r="R1078" s="57"/>
      <c r="S1078" s="57"/>
      <c r="T1078" s="57"/>
      <c r="U1078" s="57"/>
      <c r="V1078" s="57"/>
      <c r="W1078" s="57"/>
      <c r="X1078" s="57"/>
      <c r="Y1078" s="57"/>
      <c r="Z1078" s="57"/>
    </row>
    <row r="1079">
      <c r="A1079" s="58">
        <v>8864859.0</v>
      </c>
      <c r="B1079" s="57" t="s">
        <v>2499</v>
      </c>
      <c r="C1079" s="57" t="s">
        <v>247</v>
      </c>
      <c r="D1079" s="58">
        <v>3.45</v>
      </c>
      <c r="E1079" s="58">
        <v>1885.17</v>
      </c>
      <c r="F1079" s="58">
        <v>3971381.0</v>
      </c>
      <c r="G1079" s="57" t="s">
        <v>2500</v>
      </c>
      <c r="H1079" s="57" t="s">
        <v>2501</v>
      </c>
      <c r="I1079" s="57"/>
      <c r="J1079" s="57"/>
      <c r="K1079" s="57"/>
      <c r="L1079" s="57"/>
      <c r="M1079" s="57"/>
      <c r="N1079" s="57"/>
      <c r="O1079" s="57"/>
      <c r="P1079" s="57"/>
      <c r="Q1079" s="57"/>
      <c r="R1079" s="57"/>
      <c r="S1079" s="57"/>
      <c r="T1079" s="57"/>
      <c r="U1079" s="57"/>
      <c r="V1079" s="57"/>
      <c r="W1079" s="57"/>
      <c r="X1079" s="57"/>
      <c r="Y1079" s="57"/>
      <c r="Z1079" s="57"/>
    </row>
    <row r="1080">
      <c r="A1080" s="58">
        <v>8864843.0</v>
      </c>
      <c r="B1080" s="57" t="s">
        <v>2499</v>
      </c>
      <c r="C1080" s="57" t="s">
        <v>247</v>
      </c>
      <c r="D1080" s="58">
        <v>5.12</v>
      </c>
      <c r="E1080" s="58">
        <v>1890.29</v>
      </c>
      <c r="F1080" s="58">
        <v>3972266.0</v>
      </c>
      <c r="G1080" s="57" t="s">
        <v>2502</v>
      </c>
      <c r="H1080" s="57" t="s">
        <v>2503</v>
      </c>
      <c r="I1080" s="57"/>
      <c r="J1080" s="57"/>
      <c r="K1080" s="57"/>
      <c r="L1080" s="57"/>
      <c r="M1080" s="57"/>
      <c r="N1080" s="57"/>
      <c r="O1080" s="57"/>
      <c r="P1080" s="57"/>
      <c r="Q1080" s="57"/>
      <c r="R1080" s="57"/>
      <c r="S1080" s="57"/>
      <c r="T1080" s="57"/>
      <c r="U1080" s="57"/>
      <c r="V1080" s="57"/>
      <c r="W1080" s="57"/>
      <c r="X1080" s="57"/>
      <c r="Y1080" s="57"/>
      <c r="Z1080" s="57"/>
    </row>
    <row r="1081">
      <c r="A1081" s="58">
        <v>8864830.0</v>
      </c>
      <c r="B1081" s="57" t="s">
        <v>2499</v>
      </c>
      <c r="C1081" s="57" t="s">
        <v>247</v>
      </c>
      <c r="D1081" s="58">
        <v>5.06</v>
      </c>
      <c r="E1081" s="58">
        <v>1895.35</v>
      </c>
      <c r="F1081" s="58">
        <v>3985845.0</v>
      </c>
      <c r="G1081" s="57" t="s">
        <v>2504</v>
      </c>
      <c r="H1081" s="57" t="s">
        <v>2505</v>
      </c>
      <c r="I1081" s="57"/>
      <c r="J1081" s="57"/>
      <c r="K1081" s="57"/>
      <c r="L1081" s="57"/>
      <c r="M1081" s="57"/>
      <c r="N1081" s="57"/>
      <c r="O1081" s="57"/>
      <c r="P1081" s="57"/>
      <c r="Q1081" s="57"/>
      <c r="R1081" s="57"/>
      <c r="S1081" s="57"/>
      <c r="T1081" s="57"/>
      <c r="U1081" s="57"/>
      <c r="V1081" s="57"/>
      <c r="W1081" s="57"/>
      <c r="X1081" s="57"/>
      <c r="Y1081" s="57"/>
      <c r="Z1081" s="57"/>
    </row>
    <row r="1082">
      <c r="A1082" s="58">
        <v>8864828.0</v>
      </c>
      <c r="B1082" s="57" t="s">
        <v>2499</v>
      </c>
      <c r="C1082" s="57" t="s">
        <v>247</v>
      </c>
      <c r="D1082" s="58">
        <v>5.12</v>
      </c>
      <c r="E1082" s="58">
        <v>1900.47</v>
      </c>
      <c r="F1082" s="58">
        <v>3986016.0</v>
      </c>
      <c r="G1082" s="57" t="s">
        <v>2506</v>
      </c>
      <c r="H1082" s="57" t="s">
        <v>2507</v>
      </c>
      <c r="I1082" s="57"/>
      <c r="J1082" s="57"/>
      <c r="K1082" s="57"/>
      <c r="L1082" s="57"/>
      <c r="M1082" s="57"/>
      <c r="N1082" s="57"/>
      <c r="O1082" s="57"/>
      <c r="P1082" s="57"/>
      <c r="Q1082" s="57"/>
      <c r="R1082" s="57"/>
      <c r="S1082" s="57"/>
      <c r="T1082" s="57"/>
      <c r="U1082" s="57"/>
      <c r="V1082" s="57"/>
      <c r="W1082" s="57"/>
      <c r="X1082" s="57"/>
      <c r="Y1082" s="57"/>
      <c r="Z1082" s="57"/>
    </row>
    <row r="1083">
      <c r="A1083" s="58">
        <v>8864827.0</v>
      </c>
      <c r="B1083" s="57" t="s">
        <v>2499</v>
      </c>
      <c r="C1083" s="57" t="s">
        <v>247</v>
      </c>
      <c r="D1083" s="58">
        <v>4.49</v>
      </c>
      <c r="E1083" s="58">
        <v>1904.95</v>
      </c>
      <c r="F1083" s="58">
        <v>3990636.0</v>
      </c>
      <c r="G1083" s="57" t="s">
        <v>2508</v>
      </c>
      <c r="H1083" s="57" t="s">
        <v>2509</v>
      </c>
      <c r="I1083" s="57"/>
      <c r="J1083" s="57"/>
      <c r="K1083" s="57"/>
      <c r="L1083" s="57"/>
      <c r="M1083" s="57"/>
      <c r="N1083" s="57"/>
      <c r="O1083" s="57"/>
      <c r="P1083" s="57"/>
      <c r="Q1083" s="57"/>
      <c r="R1083" s="57"/>
      <c r="S1083" s="57"/>
      <c r="T1083" s="57"/>
      <c r="U1083" s="57"/>
      <c r="V1083" s="57"/>
      <c r="W1083" s="57"/>
      <c r="X1083" s="57"/>
      <c r="Y1083" s="57"/>
      <c r="Z1083" s="57"/>
    </row>
    <row r="1084">
      <c r="A1084" s="58">
        <v>8864809.0</v>
      </c>
      <c r="B1084" s="57" t="s">
        <v>2499</v>
      </c>
      <c r="C1084" s="57" t="s">
        <v>247</v>
      </c>
      <c r="D1084" s="58">
        <v>5.06</v>
      </c>
      <c r="E1084" s="58">
        <v>1910.01</v>
      </c>
      <c r="F1084" s="58">
        <v>3990674.0</v>
      </c>
      <c r="G1084" s="57" t="s">
        <v>2510</v>
      </c>
      <c r="H1084" s="57" t="s">
        <v>2511</v>
      </c>
      <c r="I1084" s="57"/>
      <c r="J1084" s="57"/>
      <c r="K1084" s="57"/>
      <c r="L1084" s="57"/>
      <c r="M1084" s="57"/>
      <c r="N1084" s="57"/>
      <c r="O1084" s="57"/>
      <c r="P1084" s="57"/>
      <c r="Q1084" s="57"/>
      <c r="R1084" s="57"/>
      <c r="S1084" s="57"/>
      <c r="T1084" s="57"/>
      <c r="U1084" s="57"/>
      <c r="V1084" s="57"/>
      <c r="W1084" s="57"/>
      <c r="X1084" s="57"/>
      <c r="Y1084" s="57"/>
      <c r="Z1084" s="57"/>
    </row>
    <row r="1085">
      <c r="A1085" s="58">
        <v>8864808.0</v>
      </c>
      <c r="B1085" s="57" t="s">
        <v>2499</v>
      </c>
      <c r="C1085" s="57" t="s">
        <v>247</v>
      </c>
      <c r="D1085" s="58">
        <v>5.06</v>
      </c>
      <c r="E1085" s="58">
        <v>1915.07</v>
      </c>
      <c r="F1085" s="58">
        <v>3991013.0</v>
      </c>
      <c r="G1085" s="57" t="s">
        <v>2512</v>
      </c>
      <c r="H1085" s="57" t="s">
        <v>2513</v>
      </c>
      <c r="I1085" s="57"/>
      <c r="J1085" s="57"/>
      <c r="K1085" s="57"/>
      <c r="L1085" s="57"/>
      <c r="M1085" s="57"/>
      <c r="N1085" s="57"/>
      <c r="O1085" s="57"/>
      <c r="P1085" s="57"/>
      <c r="Q1085" s="57"/>
      <c r="R1085" s="57"/>
      <c r="S1085" s="57"/>
      <c r="T1085" s="57"/>
      <c r="U1085" s="57"/>
      <c r="V1085" s="57"/>
      <c r="W1085" s="57"/>
      <c r="X1085" s="57"/>
      <c r="Y1085" s="57"/>
      <c r="Z1085" s="57"/>
    </row>
    <row r="1086">
      <c r="A1086" s="58">
        <v>8864807.0</v>
      </c>
      <c r="B1086" s="57" t="s">
        <v>2499</v>
      </c>
      <c r="C1086" s="57" t="s">
        <v>247</v>
      </c>
      <c r="D1086" s="58">
        <v>4.03</v>
      </c>
      <c r="E1086" s="58">
        <v>1919.09</v>
      </c>
      <c r="F1086" s="58">
        <v>3991238.0</v>
      </c>
      <c r="G1086" s="57" t="s">
        <v>2514</v>
      </c>
      <c r="H1086" s="57" t="s">
        <v>2515</v>
      </c>
      <c r="I1086" s="57"/>
      <c r="J1086" s="57"/>
      <c r="K1086" s="57"/>
      <c r="L1086" s="57"/>
      <c r="M1086" s="57"/>
      <c r="N1086" s="57"/>
      <c r="O1086" s="57"/>
      <c r="P1086" s="57"/>
      <c r="Q1086" s="57"/>
      <c r="R1086" s="57"/>
      <c r="S1086" s="57"/>
      <c r="T1086" s="57"/>
      <c r="U1086" s="57"/>
      <c r="V1086" s="57"/>
      <c r="W1086" s="57"/>
      <c r="X1086" s="57"/>
      <c r="Y1086" s="57"/>
      <c r="Z1086" s="57"/>
    </row>
    <row r="1087">
      <c r="A1087" s="58">
        <v>8863918.0</v>
      </c>
      <c r="B1087" s="57" t="s">
        <v>2516</v>
      </c>
      <c r="C1087" s="57" t="s">
        <v>247</v>
      </c>
      <c r="D1087" s="58">
        <v>3.45</v>
      </c>
      <c r="E1087" s="58">
        <v>1922.54</v>
      </c>
      <c r="F1087" s="58">
        <v>3944338.0</v>
      </c>
      <c r="G1087" s="57" t="s">
        <v>2517</v>
      </c>
      <c r="H1087" s="57" t="s">
        <v>2518</v>
      </c>
      <c r="I1087" s="57"/>
      <c r="J1087" s="57"/>
      <c r="K1087" s="57"/>
      <c r="L1087" s="57"/>
      <c r="M1087" s="57"/>
      <c r="N1087" s="57"/>
      <c r="O1087" s="57"/>
      <c r="P1087" s="57"/>
      <c r="Q1087" s="57"/>
      <c r="R1087" s="57"/>
      <c r="S1087" s="57"/>
      <c r="T1087" s="57"/>
      <c r="U1087" s="57"/>
      <c r="V1087" s="57"/>
      <c r="W1087" s="57"/>
      <c r="X1087" s="57"/>
      <c r="Y1087" s="57"/>
      <c r="Z1087" s="57"/>
    </row>
    <row r="1088">
      <c r="A1088" s="58">
        <v>8863917.0</v>
      </c>
      <c r="B1088" s="57" t="s">
        <v>2516</v>
      </c>
      <c r="C1088" s="57" t="s">
        <v>247</v>
      </c>
      <c r="D1088" s="58">
        <v>5.06</v>
      </c>
      <c r="E1088" s="58">
        <v>1927.6</v>
      </c>
      <c r="F1088" s="58">
        <v>3944685.0</v>
      </c>
      <c r="G1088" s="57" t="s">
        <v>2519</v>
      </c>
      <c r="H1088" s="57" t="s">
        <v>2520</v>
      </c>
      <c r="I1088" s="57"/>
      <c r="J1088" s="57"/>
      <c r="K1088" s="57"/>
      <c r="L1088" s="57"/>
      <c r="M1088" s="57"/>
      <c r="N1088" s="57"/>
      <c r="O1088" s="57"/>
      <c r="P1088" s="57"/>
      <c r="Q1088" s="57"/>
      <c r="R1088" s="57"/>
      <c r="S1088" s="57"/>
      <c r="T1088" s="57"/>
      <c r="U1088" s="57"/>
      <c r="V1088" s="57"/>
      <c r="W1088" s="57"/>
      <c r="X1088" s="57"/>
      <c r="Y1088" s="57"/>
      <c r="Z1088" s="57"/>
    </row>
    <row r="1089">
      <c r="A1089" s="58">
        <v>8863913.0</v>
      </c>
      <c r="B1089" s="57" t="s">
        <v>2516</v>
      </c>
      <c r="C1089" s="57" t="s">
        <v>247</v>
      </c>
      <c r="D1089" s="58">
        <v>4.53</v>
      </c>
      <c r="E1089" s="58">
        <v>1932.13</v>
      </c>
      <c r="F1089" s="58">
        <v>3955019.0</v>
      </c>
      <c r="G1089" s="57" t="s">
        <v>2521</v>
      </c>
      <c r="H1089" s="57" t="s">
        <v>2522</v>
      </c>
      <c r="I1089" s="57"/>
      <c r="J1089" s="57"/>
      <c r="K1089" s="57"/>
      <c r="L1089" s="57"/>
      <c r="M1089" s="57"/>
      <c r="N1089" s="57"/>
      <c r="O1089" s="57"/>
      <c r="P1089" s="57"/>
      <c r="Q1089" s="57"/>
      <c r="R1089" s="57"/>
      <c r="S1089" s="57"/>
      <c r="T1089" s="57"/>
      <c r="U1089" s="57"/>
      <c r="V1089" s="57"/>
      <c r="W1089" s="57"/>
      <c r="X1089" s="57"/>
      <c r="Y1089" s="57"/>
      <c r="Z1089" s="57"/>
    </row>
    <row r="1090">
      <c r="A1090" s="58">
        <v>8863911.0</v>
      </c>
      <c r="B1090" s="57" t="s">
        <v>2516</v>
      </c>
      <c r="C1090" s="57" t="s">
        <v>247</v>
      </c>
      <c r="D1090" s="58">
        <v>5.06</v>
      </c>
      <c r="E1090" s="58">
        <v>1937.19</v>
      </c>
      <c r="F1090" s="58">
        <v>3955708.0</v>
      </c>
      <c r="G1090" s="57" t="s">
        <v>2523</v>
      </c>
      <c r="H1090" s="57" t="s">
        <v>2524</v>
      </c>
      <c r="I1090" s="57"/>
      <c r="J1090" s="57"/>
      <c r="K1090" s="57"/>
      <c r="L1090" s="57"/>
      <c r="M1090" s="57"/>
      <c r="N1090" s="57"/>
      <c r="O1090" s="57"/>
      <c r="P1090" s="57"/>
      <c r="Q1090" s="57"/>
      <c r="R1090" s="57"/>
      <c r="S1090" s="57"/>
      <c r="T1090" s="57"/>
      <c r="U1090" s="57"/>
      <c r="V1090" s="57"/>
      <c r="W1090" s="57"/>
      <c r="X1090" s="57"/>
      <c r="Y1090" s="57"/>
      <c r="Z1090" s="57"/>
    </row>
    <row r="1091">
      <c r="A1091" s="58">
        <v>8863910.0</v>
      </c>
      <c r="B1091" s="57" t="s">
        <v>2516</v>
      </c>
      <c r="C1091" s="57" t="s">
        <v>247</v>
      </c>
      <c r="D1091" s="58">
        <v>5.06</v>
      </c>
      <c r="E1091" s="58">
        <v>1942.25</v>
      </c>
      <c r="F1091" s="58">
        <v>3956370.0</v>
      </c>
      <c r="G1091" s="57" t="s">
        <v>2525</v>
      </c>
      <c r="H1091" s="57" t="s">
        <v>2526</v>
      </c>
      <c r="I1091" s="57"/>
      <c r="J1091" s="57"/>
      <c r="K1091" s="57"/>
      <c r="L1091" s="57"/>
      <c r="M1091" s="57"/>
      <c r="N1091" s="57"/>
      <c r="O1091" s="57"/>
      <c r="P1091" s="57"/>
      <c r="Q1091" s="57"/>
      <c r="R1091" s="57"/>
      <c r="S1091" s="57"/>
      <c r="T1091" s="57"/>
      <c r="U1091" s="57"/>
      <c r="V1091" s="57"/>
      <c r="W1091" s="57"/>
      <c r="X1091" s="57"/>
      <c r="Y1091" s="57"/>
      <c r="Z1091" s="57"/>
    </row>
    <row r="1092">
      <c r="A1092" s="58">
        <v>8863908.0</v>
      </c>
      <c r="B1092" s="57" t="s">
        <v>2516</v>
      </c>
      <c r="C1092" s="57" t="s">
        <v>247</v>
      </c>
      <c r="D1092" s="58">
        <v>5.06</v>
      </c>
      <c r="E1092" s="58">
        <v>1947.31</v>
      </c>
      <c r="F1092" s="58">
        <v>3960578.0</v>
      </c>
      <c r="G1092" s="57" t="s">
        <v>2527</v>
      </c>
      <c r="H1092" s="57" t="s">
        <v>2528</v>
      </c>
      <c r="I1092" s="57"/>
      <c r="J1092" s="57"/>
      <c r="K1092" s="57"/>
      <c r="L1092" s="57"/>
      <c r="M1092" s="57"/>
      <c r="N1092" s="57"/>
      <c r="O1092" s="57"/>
      <c r="P1092" s="57"/>
      <c r="Q1092" s="57"/>
      <c r="R1092" s="57"/>
      <c r="S1092" s="57"/>
      <c r="T1092" s="57"/>
      <c r="U1092" s="57"/>
      <c r="V1092" s="57"/>
      <c r="W1092" s="57"/>
      <c r="X1092" s="57"/>
      <c r="Y1092" s="57"/>
      <c r="Z1092" s="57"/>
    </row>
    <row r="1093">
      <c r="A1093" s="58">
        <v>8863907.0</v>
      </c>
      <c r="B1093" s="57" t="s">
        <v>2516</v>
      </c>
      <c r="C1093" s="57" t="s">
        <v>247</v>
      </c>
      <c r="D1093" s="58">
        <v>5.06</v>
      </c>
      <c r="E1093" s="58">
        <v>1952.37</v>
      </c>
      <c r="F1093" s="58">
        <v>3962410.0</v>
      </c>
      <c r="G1093" s="57" t="s">
        <v>2529</v>
      </c>
      <c r="H1093" s="57" t="s">
        <v>2530</v>
      </c>
      <c r="I1093" s="57"/>
      <c r="J1093" s="57"/>
      <c r="K1093" s="57"/>
      <c r="L1093" s="57"/>
      <c r="M1093" s="57"/>
      <c r="N1093" s="57"/>
      <c r="O1093" s="57"/>
      <c r="P1093" s="57"/>
      <c r="Q1093" s="57"/>
      <c r="R1093" s="57"/>
      <c r="S1093" s="57"/>
      <c r="T1093" s="57"/>
      <c r="U1093" s="57"/>
      <c r="V1093" s="57"/>
      <c r="W1093" s="57"/>
      <c r="X1093" s="57"/>
      <c r="Y1093" s="57"/>
      <c r="Z1093" s="57"/>
    </row>
    <row r="1094">
      <c r="A1094" s="58">
        <v>8863906.0</v>
      </c>
      <c r="B1094" s="57" t="s">
        <v>2516</v>
      </c>
      <c r="C1094" s="57" t="s">
        <v>247</v>
      </c>
      <c r="D1094" s="58">
        <v>5.06</v>
      </c>
      <c r="E1094" s="58">
        <v>1957.43</v>
      </c>
      <c r="F1094" s="58">
        <v>3962534.0</v>
      </c>
      <c r="G1094" s="57" t="s">
        <v>2531</v>
      </c>
      <c r="H1094" s="57" t="s">
        <v>2532</v>
      </c>
      <c r="I1094" s="57"/>
      <c r="J1094" s="57"/>
      <c r="K1094" s="57"/>
      <c r="L1094" s="57"/>
      <c r="M1094" s="57"/>
      <c r="N1094" s="57"/>
      <c r="O1094" s="57"/>
      <c r="P1094" s="57"/>
      <c r="Q1094" s="57"/>
      <c r="R1094" s="57"/>
      <c r="S1094" s="57"/>
      <c r="T1094" s="57"/>
      <c r="U1094" s="57"/>
      <c r="V1094" s="57"/>
      <c r="W1094" s="57"/>
      <c r="X1094" s="57"/>
      <c r="Y1094" s="57"/>
      <c r="Z1094" s="57"/>
    </row>
    <row r="1095">
      <c r="A1095" s="58">
        <v>8863905.0</v>
      </c>
      <c r="B1095" s="57" t="s">
        <v>2516</v>
      </c>
      <c r="C1095" s="57" t="s">
        <v>247</v>
      </c>
      <c r="D1095" s="58">
        <v>5.06</v>
      </c>
      <c r="E1095" s="58">
        <v>1962.49</v>
      </c>
      <c r="F1095" s="58">
        <v>3963692.0</v>
      </c>
      <c r="G1095" s="57" t="s">
        <v>2533</v>
      </c>
      <c r="H1095" s="57" t="s">
        <v>2534</v>
      </c>
      <c r="I1095" s="57"/>
      <c r="J1095" s="57"/>
      <c r="K1095" s="57"/>
      <c r="L1095" s="57"/>
      <c r="M1095" s="57"/>
      <c r="N1095" s="57"/>
      <c r="O1095" s="57"/>
      <c r="P1095" s="57"/>
      <c r="Q1095" s="57"/>
      <c r="R1095" s="57"/>
      <c r="S1095" s="57"/>
      <c r="T1095" s="57"/>
      <c r="U1095" s="57"/>
      <c r="V1095" s="57"/>
      <c r="W1095" s="57"/>
      <c r="X1095" s="57"/>
      <c r="Y1095" s="57"/>
      <c r="Z1095" s="57"/>
    </row>
    <row r="1096">
      <c r="A1096" s="58">
        <v>8863904.0</v>
      </c>
      <c r="B1096" s="57" t="s">
        <v>2516</v>
      </c>
      <c r="C1096" s="57" t="s">
        <v>247</v>
      </c>
      <c r="D1096" s="58">
        <v>3.45</v>
      </c>
      <c r="E1096" s="58">
        <v>1965.94</v>
      </c>
      <c r="F1096" s="58">
        <v>3966435.0</v>
      </c>
      <c r="G1096" s="57" t="s">
        <v>2535</v>
      </c>
      <c r="H1096" s="57" t="s">
        <v>2536</v>
      </c>
      <c r="I1096" s="57"/>
      <c r="J1096" s="57"/>
      <c r="K1096" s="57"/>
      <c r="L1096" s="57"/>
      <c r="M1096" s="57"/>
      <c r="N1096" s="57"/>
      <c r="O1096" s="57"/>
      <c r="P1096" s="57"/>
      <c r="Q1096" s="57"/>
      <c r="R1096" s="57"/>
      <c r="S1096" s="57"/>
      <c r="T1096" s="57"/>
      <c r="U1096" s="57"/>
      <c r="V1096" s="57"/>
      <c r="W1096" s="57"/>
      <c r="X1096" s="57"/>
      <c r="Y1096" s="57"/>
      <c r="Z1096" s="57"/>
    </row>
    <row r="1097">
      <c r="A1097" s="58">
        <v>8858835.0</v>
      </c>
      <c r="B1097" s="57" t="s">
        <v>2537</v>
      </c>
      <c r="C1097" s="57" t="s">
        <v>210</v>
      </c>
      <c r="D1097" s="58">
        <v>9.1</v>
      </c>
      <c r="E1097" s="58">
        <v>1956.84</v>
      </c>
      <c r="F1097" s="58">
        <v>4132012.0</v>
      </c>
      <c r="G1097" s="58">
        <v>1.86973339E8</v>
      </c>
      <c r="H1097" s="57" t="s">
        <v>2538</v>
      </c>
      <c r="I1097" s="57"/>
      <c r="J1097" s="57"/>
      <c r="K1097" s="57"/>
      <c r="L1097" s="57"/>
      <c r="M1097" s="57"/>
      <c r="N1097" s="57"/>
      <c r="O1097" s="57"/>
      <c r="P1097" s="57"/>
      <c r="Q1097" s="57"/>
      <c r="R1097" s="57"/>
      <c r="S1097" s="57"/>
      <c r="T1097" s="57"/>
      <c r="U1097" s="57"/>
      <c r="V1097" s="57"/>
      <c r="W1097" s="57"/>
      <c r="X1097" s="57"/>
      <c r="Y1097" s="57"/>
      <c r="Z1097" s="57"/>
    </row>
    <row r="1098">
      <c r="A1098" s="58">
        <v>8857461.0</v>
      </c>
      <c r="B1098" s="57" t="s">
        <v>2537</v>
      </c>
      <c r="C1098" s="57" t="s">
        <v>210</v>
      </c>
      <c r="D1098" s="58">
        <v>15.95</v>
      </c>
      <c r="E1098" s="58">
        <v>1940.89</v>
      </c>
      <c r="F1098" s="58">
        <v>4129445.0</v>
      </c>
      <c r="G1098" s="57" t="s">
        <v>2539</v>
      </c>
      <c r="H1098" s="57" t="s">
        <v>2540</v>
      </c>
      <c r="I1098" s="57"/>
      <c r="J1098" s="57"/>
      <c r="K1098" s="57"/>
      <c r="L1098" s="57"/>
      <c r="M1098" s="57"/>
      <c r="N1098" s="57"/>
      <c r="O1098" s="57"/>
      <c r="P1098" s="57"/>
      <c r="Q1098" s="57"/>
      <c r="R1098" s="57"/>
      <c r="S1098" s="57"/>
      <c r="T1098" s="57"/>
      <c r="U1098" s="57"/>
      <c r="V1098" s="57"/>
      <c r="W1098" s="57"/>
      <c r="X1098" s="57"/>
      <c r="Y1098" s="57"/>
      <c r="Z1098" s="57"/>
    </row>
    <row r="1099">
      <c r="A1099" s="58">
        <v>8857069.0</v>
      </c>
      <c r="B1099" s="57" t="s">
        <v>2541</v>
      </c>
      <c r="C1099" s="57" t="s">
        <v>210</v>
      </c>
      <c r="D1099" s="58">
        <v>15.95</v>
      </c>
      <c r="E1099" s="58">
        <v>1924.94</v>
      </c>
      <c r="F1099" s="58">
        <v>4128704.0</v>
      </c>
      <c r="G1099" s="57" t="s">
        <v>2542</v>
      </c>
      <c r="H1099" s="57" t="s">
        <v>2543</v>
      </c>
      <c r="I1099" s="57"/>
      <c r="J1099" s="57"/>
      <c r="K1099" s="57"/>
      <c r="L1099" s="57"/>
      <c r="M1099" s="57"/>
      <c r="N1099" s="57"/>
      <c r="O1099" s="57"/>
      <c r="P1099" s="57"/>
      <c r="Q1099" s="57"/>
      <c r="R1099" s="57"/>
      <c r="S1099" s="57"/>
      <c r="T1099" s="57"/>
      <c r="U1099" s="57"/>
      <c r="V1099" s="57"/>
      <c r="W1099" s="57"/>
      <c r="X1099" s="57"/>
      <c r="Y1099" s="57"/>
      <c r="Z1099" s="57"/>
    </row>
    <row r="1100">
      <c r="A1100" s="58">
        <v>8855730.0</v>
      </c>
      <c r="B1100" s="57" t="s">
        <v>2541</v>
      </c>
      <c r="C1100" s="57" t="s">
        <v>210</v>
      </c>
      <c r="D1100" s="58">
        <v>10.8</v>
      </c>
      <c r="E1100" s="58">
        <v>1914.14</v>
      </c>
      <c r="F1100" s="58">
        <v>4126196.0</v>
      </c>
      <c r="G1100" s="58">
        <v>1.86973347E8</v>
      </c>
      <c r="H1100" s="57" t="s">
        <v>2544</v>
      </c>
      <c r="I1100" s="57"/>
      <c r="J1100" s="57"/>
      <c r="K1100" s="57"/>
      <c r="L1100" s="57"/>
      <c r="M1100" s="57"/>
      <c r="N1100" s="57"/>
      <c r="O1100" s="57"/>
      <c r="P1100" s="57"/>
      <c r="Q1100" s="57"/>
      <c r="R1100" s="57"/>
      <c r="S1100" s="57"/>
      <c r="T1100" s="57"/>
      <c r="U1100" s="57"/>
      <c r="V1100" s="57"/>
      <c r="W1100" s="57"/>
      <c r="X1100" s="57"/>
      <c r="Y1100" s="57"/>
      <c r="Z1100" s="57"/>
    </row>
    <row r="1101">
      <c r="A1101" s="58">
        <v>8855611.0</v>
      </c>
      <c r="B1101" s="57" t="s">
        <v>2541</v>
      </c>
      <c r="C1101" s="57" t="s">
        <v>210</v>
      </c>
      <c r="D1101" s="58">
        <v>13.5</v>
      </c>
      <c r="E1101" s="58">
        <v>1900.64</v>
      </c>
      <c r="F1101" s="58">
        <v>4125966.0</v>
      </c>
      <c r="G1101" s="57" t="s">
        <v>2545</v>
      </c>
      <c r="H1101" s="57" t="s">
        <v>2546</v>
      </c>
      <c r="I1101" s="57"/>
      <c r="J1101" s="57"/>
      <c r="K1101" s="57"/>
      <c r="L1101" s="57"/>
      <c r="M1101" s="57"/>
      <c r="N1101" s="57"/>
      <c r="O1101" s="57"/>
      <c r="P1101" s="57"/>
      <c r="Q1101" s="57"/>
      <c r="R1101" s="57"/>
      <c r="S1101" s="57"/>
      <c r="T1101" s="57"/>
      <c r="U1101" s="57"/>
      <c r="V1101" s="57"/>
      <c r="W1101" s="57"/>
      <c r="X1101" s="57"/>
      <c r="Y1101" s="57"/>
      <c r="Z1101" s="57"/>
    </row>
    <row r="1102">
      <c r="A1102" s="58">
        <v>8855243.0</v>
      </c>
      <c r="B1102" s="57" t="s">
        <v>2541</v>
      </c>
      <c r="C1102" s="57" t="s">
        <v>210</v>
      </c>
      <c r="D1102" s="58">
        <v>18.4</v>
      </c>
      <c r="E1102" s="58">
        <v>1882.24</v>
      </c>
      <c r="F1102" s="58">
        <v>4125319.0</v>
      </c>
      <c r="G1102" s="57" t="s">
        <v>2547</v>
      </c>
      <c r="H1102" s="57" t="s">
        <v>2548</v>
      </c>
      <c r="I1102" s="57"/>
      <c r="J1102" s="57"/>
      <c r="K1102" s="57"/>
      <c r="L1102" s="57"/>
      <c r="M1102" s="57"/>
      <c r="N1102" s="57"/>
      <c r="O1102" s="57"/>
      <c r="P1102" s="57"/>
      <c r="Q1102" s="57"/>
      <c r="R1102" s="57"/>
      <c r="S1102" s="57"/>
      <c r="T1102" s="57"/>
      <c r="U1102" s="57"/>
      <c r="V1102" s="57"/>
      <c r="W1102" s="57"/>
      <c r="X1102" s="57"/>
      <c r="Y1102" s="57"/>
      <c r="Z1102" s="57"/>
    </row>
    <row r="1103">
      <c r="A1103" s="58">
        <v>8855124.0</v>
      </c>
      <c r="B1103" s="57" t="s">
        <v>2541</v>
      </c>
      <c r="C1103" s="57" t="s">
        <v>210</v>
      </c>
      <c r="D1103" s="58">
        <v>14.34</v>
      </c>
      <c r="E1103" s="58">
        <v>1867.9</v>
      </c>
      <c r="F1103" s="58">
        <v>4125046.0</v>
      </c>
      <c r="G1103" s="57" t="s">
        <v>2549</v>
      </c>
      <c r="H1103" s="57" t="s">
        <v>2550</v>
      </c>
      <c r="I1103" s="57"/>
      <c r="J1103" s="57"/>
      <c r="K1103" s="57"/>
      <c r="L1103" s="57"/>
      <c r="M1103" s="57"/>
      <c r="N1103" s="57"/>
      <c r="O1103" s="57"/>
      <c r="P1103" s="57"/>
      <c r="Q1103" s="57"/>
      <c r="R1103" s="57"/>
      <c r="S1103" s="57"/>
      <c r="T1103" s="57"/>
      <c r="U1103" s="57"/>
      <c r="V1103" s="57"/>
      <c r="W1103" s="57"/>
      <c r="X1103" s="57"/>
      <c r="Y1103" s="57"/>
      <c r="Z1103" s="57"/>
    </row>
    <row r="1104">
      <c r="A1104" s="58">
        <v>8855101.0</v>
      </c>
      <c r="B1104" s="57" t="s">
        <v>2541</v>
      </c>
      <c r="C1104" s="57" t="s">
        <v>210</v>
      </c>
      <c r="D1104" s="58">
        <v>10.96</v>
      </c>
      <c r="E1104" s="58">
        <v>1856.94</v>
      </c>
      <c r="F1104" s="58">
        <v>4124975.0</v>
      </c>
      <c r="G1104" s="57" t="s">
        <v>2551</v>
      </c>
      <c r="H1104" s="57" t="s">
        <v>2552</v>
      </c>
      <c r="I1104" s="57"/>
      <c r="J1104" s="57"/>
      <c r="K1104" s="57"/>
      <c r="L1104" s="57"/>
      <c r="M1104" s="57"/>
      <c r="N1104" s="57"/>
      <c r="O1104" s="57"/>
      <c r="P1104" s="57"/>
      <c r="Q1104" s="57"/>
      <c r="R1104" s="57"/>
      <c r="S1104" s="57"/>
      <c r="T1104" s="57"/>
      <c r="U1104" s="57"/>
      <c r="V1104" s="57"/>
      <c r="W1104" s="57"/>
      <c r="X1104" s="57"/>
      <c r="Y1104" s="57"/>
      <c r="Z1104" s="57"/>
    </row>
    <row r="1105">
      <c r="A1105" s="58">
        <v>8854907.0</v>
      </c>
      <c r="B1105" s="57" t="s">
        <v>2541</v>
      </c>
      <c r="C1105" s="57" t="s">
        <v>210</v>
      </c>
      <c r="D1105" s="58">
        <v>12.55</v>
      </c>
      <c r="E1105" s="58">
        <v>1844.39</v>
      </c>
      <c r="F1105" s="58">
        <v>4124448.0</v>
      </c>
      <c r="G1105" s="58">
        <v>1.86968962E8</v>
      </c>
      <c r="H1105" s="57" t="s">
        <v>2553</v>
      </c>
      <c r="I1105" s="57"/>
      <c r="J1105" s="57"/>
      <c r="K1105" s="57"/>
      <c r="L1105" s="57"/>
      <c r="M1105" s="57"/>
      <c r="N1105" s="57"/>
      <c r="O1105" s="57"/>
      <c r="P1105" s="57"/>
      <c r="Q1105" s="57"/>
      <c r="R1105" s="57"/>
      <c r="S1105" s="57"/>
      <c r="T1105" s="57"/>
      <c r="U1105" s="57"/>
      <c r="V1105" s="57"/>
      <c r="W1105" s="57"/>
      <c r="X1105" s="57"/>
      <c r="Y1105" s="57"/>
      <c r="Z1105" s="57"/>
    </row>
    <row r="1106">
      <c r="A1106" s="58">
        <v>8854354.0</v>
      </c>
      <c r="B1106" s="57" t="s">
        <v>2541</v>
      </c>
      <c r="C1106" s="57" t="s">
        <v>210</v>
      </c>
      <c r="D1106" s="58">
        <v>13.17</v>
      </c>
      <c r="E1106" s="58">
        <v>1831.22</v>
      </c>
      <c r="F1106" s="58">
        <v>4123234.0</v>
      </c>
      <c r="G1106" s="57" t="s">
        <v>2554</v>
      </c>
      <c r="H1106" s="57" t="s">
        <v>2555</v>
      </c>
      <c r="I1106" s="57"/>
      <c r="J1106" s="57"/>
      <c r="K1106" s="57"/>
      <c r="L1106" s="57"/>
      <c r="M1106" s="57"/>
      <c r="N1106" s="57"/>
      <c r="O1106" s="57"/>
      <c r="P1106" s="57"/>
      <c r="Q1106" s="57"/>
      <c r="R1106" s="57"/>
      <c r="S1106" s="57"/>
      <c r="T1106" s="57"/>
      <c r="U1106" s="57"/>
      <c r="V1106" s="57"/>
      <c r="W1106" s="57"/>
      <c r="X1106" s="57"/>
      <c r="Y1106" s="57"/>
      <c r="Z1106" s="57"/>
    </row>
    <row r="1107">
      <c r="A1107" s="58">
        <v>8854240.0</v>
      </c>
      <c r="B1107" s="57" t="s">
        <v>2541</v>
      </c>
      <c r="C1107" s="57" t="s">
        <v>210</v>
      </c>
      <c r="D1107" s="58">
        <v>15.36</v>
      </c>
      <c r="E1107" s="58">
        <v>1815.86</v>
      </c>
      <c r="F1107" s="58">
        <v>4123014.0</v>
      </c>
      <c r="G1107" s="57" t="s">
        <v>2556</v>
      </c>
      <c r="H1107" s="57" t="s">
        <v>2557</v>
      </c>
      <c r="I1107" s="57"/>
      <c r="J1107" s="57"/>
      <c r="K1107" s="57"/>
      <c r="L1107" s="57"/>
      <c r="M1107" s="57"/>
      <c r="N1107" s="57"/>
      <c r="O1107" s="57"/>
      <c r="P1107" s="57"/>
      <c r="Q1107" s="57"/>
      <c r="R1107" s="57"/>
      <c r="S1107" s="57"/>
      <c r="T1107" s="57"/>
      <c r="U1107" s="57"/>
      <c r="V1107" s="57"/>
      <c r="W1107" s="57"/>
      <c r="X1107" s="57"/>
      <c r="Y1107" s="57"/>
      <c r="Z1107" s="57"/>
    </row>
    <row r="1108">
      <c r="A1108" s="58">
        <v>8853883.0</v>
      </c>
      <c r="B1108" s="57" t="s">
        <v>2541</v>
      </c>
      <c r="C1108" s="57" t="s">
        <v>210</v>
      </c>
      <c r="D1108" s="58">
        <v>10.96</v>
      </c>
      <c r="E1108" s="58">
        <v>1804.9</v>
      </c>
      <c r="F1108" s="58">
        <v>4122372.0</v>
      </c>
      <c r="G1108" s="57" t="s">
        <v>2558</v>
      </c>
      <c r="H1108" s="57" t="s">
        <v>2559</v>
      </c>
      <c r="I1108" s="57"/>
      <c r="J1108" s="57"/>
      <c r="K1108" s="57"/>
      <c r="L1108" s="57"/>
      <c r="M1108" s="57"/>
      <c r="N1108" s="57"/>
      <c r="O1108" s="57"/>
      <c r="P1108" s="57"/>
      <c r="Q1108" s="57"/>
      <c r="R1108" s="57"/>
      <c r="S1108" s="57"/>
      <c r="T1108" s="57"/>
      <c r="U1108" s="57"/>
      <c r="V1108" s="57"/>
      <c r="W1108" s="57"/>
      <c r="X1108" s="57"/>
      <c r="Y1108" s="57"/>
      <c r="Z1108" s="57"/>
    </row>
    <row r="1109">
      <c r="A1109" s="58">
        <v>8853734.0</v>
      </c>
      <c r="B1109" s="57" t="s">
        <v>2541</v>
      </c>
      <c r="C1109" s="57" t="s">
        <v>210</v>
      </c>
      <c r="D1109" s="58">
        <v>17.83</v>
      </c>
      <c r="E1109" s="58">
        <v>1787.07</v>
      </c>
      <c r="F1109" s="58">
        <v>4122031.0</v>
      </c>
      <c r="G1109" s="57" t="s">
        <v>2560</v>
      </c>
      <c r="H1109" s="57" t="s">
        <v>2561</v>
      </c>
      <c r="I1109" s="57"/>
      <c r="J1109" s="57"/>
      <c r="K1109" s="57"/>
      <c r="L1109" s="57"/>
      <c r="M1109" s="57"/>
      <c r="N1109" s="57"/>
      <c r="O1109" s="57"/>
      <c r="P1109" s="57"/>
      <c r="Q1109" s="57"/>
      <c r="R1109" s="57"/>
      <c r="S1109" s="57"/>
      <c r="T1109" s="57"/>
      <c r="U1109" s="57"/>
      <c r="V1109" s="57"/>
      <c r="W1109" s="57"/>
      <c r="X1109" s="57"/>
      <c r="Y1109" s="57"/>
      <c r="Z1109" s="57"/>
    </row>
    <row r="1110">
      <c r="A1110" s="58">
        <v>8853568.0</v>
      </c>
      <c r="B1110" s="57" t="s">
        <v>2541</v>
      </c>
      <c r="C1110" s="57" t="s">
        <v>210</v>
      </c>
      <c r="D1110" s="58">
        <v>14.78</v>
      </c>
      <c r="E1110" s="58">
        <v>1772.29</v>
      </c>
      <c r="F1110" s="58">
        <v>4121687.0</v>
      </c>
      <c r="G1110" s="57" t="s">
        <v>2562</v>
      </c>
      <c r="H1110" s="57" t="s">
        <v>2563</v>
      </c>
      <c r="I1110" s="57"/>
      <c r="J1110" s="57"/>
      <c r="K1110" s="57"/>
      <c r="L1110" s="57"/>
      <c r="M1110" s="57"/>
      <c r="N1110" s="57"/>
      <c r="O1110" s="57"/>
      <c r="P1110" s="57"/>
      <c r="Q1110" s="57"/>
      <c r="R1110" s="57"/>
      <c r="S1110" s="57"/>
      <c r="T1110" s="57"/>
      <c r="U1110" s="57"/>
      <c r="V1110" s="57"/>
      <c r="W1110" s="57"/>
      <c r="X1110" s="57"/>
      <c r="Y1110" s="57"/>
      <c r="Z1110" s="57"/>
    </row>
    <row r="1111">
      <c r="A1111" s="58">
        <v>8852272.0</v>
      </c>
      <c r="B1111" s="57" t="s">
        <v>2564</v>
      </c>
      <c r="C1111" s="57" t="s">
        <v>210</v>
      </c>
      <c r="D1111" s="58">
        <v>9.1</v>
      </c>
      <c r="E1111" s="58">
        <v>1763.19</v>
      </c>
      <c r="F1111" s="58">
        <v>4118957.0</v>
      </c>
      <c r="G1111" s="58">
        <v>1.86964428E8</v>
      </c>
      <c r="H1111" s="57" t="s">
        <v>2565</v>
      </c>
      <c r="I1111" s="57"/>
      <c r="J1111" s="57"/>
      <c r="K1111" s="57"/>
      <c r="L1111" s="57"/>
      <c r="M1111" s="57"/>
      <c r="N1111" s="57"/>
      <c r="O1111" s="57"/>
      <c r="P1111" s="57"/>
      <c r="Q1111" s="57"/>
      <c r="R1111" s="57"/>
      <c r="S1111" s="57"/>
      <c r="T1111" s="57"/>
      <c r="U1111" s="57"/>
      <c r="V1111" s="57"/>
      <c r="W1111" s="57"/>
      <c r="X1111" s="57"/>
      <c r="Y1111" s="57"/>
      <c r="Z1111" s="57"/>
    </row>
    <row r="1112">
      <c r="A1112" s="58">
        <v>8851344.0</v>
      </c>
      <c r="B1112" s="57" t="s">
        <v>2564</v>
      </c>
      <c r="C1112" s="57" t="s">
        <v>210</v>
      </c>
      <c r="D1112" s="58">
        <v>11.32</v>
      </c>
      <c r="E1112" s="58">
        <v>1751.87</v>
      </c>
      <c r="F1112" s="58">
        <v>4117075.0</v>
      </c>
      <c r="G1112" s="57" t="s">
        <v>2566</v>
      </c>
      <c r="H1112" s="57" t="s">
        <v>2567</v>
      </c>
      <c r="I1112" s="57"/>
      <c r="J1112" s="57"/>
      <c r="K1112" s="57"/>
      <c r="L1112" s="57"/>
      <c r="M1112" s="57"/>
      <c r="N1112" s="57"/>
      <c r="O1112" s="57"/>
      <c r="P1112" s="57"/>
      <c r="Q1112" s="57"/>
      <c r="R1112" s="57"/>
      <c r="S1112" s="57"/>
      <c r="T1112" s="57"/>
      <c r="U1112" s="57"/>
      <c r="V1112" s="57"/>
      <c r="W1112" s="57"/>
      <c r="X1112" s="57"/>
      <c r="Y1112" s="57"/>
      <c r="Z1112" s="57"/>
    </row>
    <row r="1113">
      <c r="A1113" s="58">
        <v>8851299.0</v>
      </c>
      <c r="B1113" s="57" t="s">
        <v>2564</v>
      </c>
      <c r="C1113" s="57" t="s">
        <v>210</v>
      </c>
      <c r="D1113" s="58">
        <v>9.98</v>
      </c>
      <c r="E1113" s="58">
        <v>1741.89</v>
      </c>
      <c r="F1113" s="58">
        <v>4116974.0</v>
      </c>
      <c r="G1113" s="58">
        <v>1.8696938E8</v>
      </c>
      <c r="H1113" s="57" t="s">
        <v>2568</v>
      </c>
      <c r="I1113" s="57"/>
      <c r="J1113" s="57"/>
      <c r="K1113" s="57"/>
      <c r="L1113" s="57"/>
      <c r="M1113" s="57"/>
      <c r="N1113" s="57"/>
      <c r="O1113" s="57"/>
      <c r="P1113" s="57"/>
      <c r="Q1113" s="57"/>
      <c r="R1113" s="57"/>
      <c r="S1113" s="57"/>
      <c r="T1113" s="57"/>
      <c r="U1113" s="57"/>
      <c r="V1113" s="57"/>
      <c r="W1113" s="57"/>
      <c r="X1113" s="57"/>
      <c r="Y1113" s="57"/>
      <c r="Z1113" s="57"/>
    </row>
    <row r="1114">
      <c r="A1114" s="58">
        <v>8850935.0</v>
      </c>
      <c r="B1114" s="57" t="s">
        <v>2564</v>
      </c>
      <c r="C1114" s="57" t="s">
        <v>210</v>
      </c>
      <c r="D1114" s="58">
        <v>14.34</v>
      </c>
      <c r="E1114" s="58">
        <v>1727.55</v>
      </c>
      <c r="F1114" s="58">
        <v>4116200.0</v>
      </c>
      <c r="G1114" s="57" t="s">
        <v>2569</v>
      </c>
      <c r="H1114" s="57" t="s">
        <v>2570</v>
      </c>
      <c r="I1114" s="57"/>
      <c r="J1114" s="57"/>
      <c r="K1114" s="57"/>
      <c r="L1114" s="57"/>
      <c r="M1114" s="57"/>
      <c r="N1114" s="57"/>
      <c r="O1114" s="57"/>
      <c r="P1114" s="57"/>
      <c r="Q1114" s="57"/>
      <c r="R1114" s="57"/>
      <c r="S1114" s="57"/>
      <c r="T1114" s="57"/>
      <c r="U1114" s="57"/>
      <c r="V1114" s="57"/>
      <c r="W1114" s="57"/>
      <c r="X1114" s="57"/>
      <c r="Y1114" s="57"/>
      <c r="Z1114" s="57"/>
    </row>
    <row r="1115">
      <c r="A1115" s="58">
        <v>8850923.0</v>
      </c>
      <c r="B1115" s="57" t="s">
        <v>2564</v>
      </c>
      <c r="C1115" s="57" t="s">
        <v>210</v>
      </c>
      <c r="D1115" s="58">
        <v>16.79</v>
      </c>
      <c r="E1115" s="58">
        <v>1710.76</v>
      </c>
      <c r="F1115" s="58">
        <v>4116165.0</v>
      </c>
      <c r="G1115" s="57" t="s">
        <v>2571</v>
      </c>
      <c r="H1115" s="57" t="s">
        <v>2572</v>
      </c>
      <c r="I1115" s="57"/>
      <c r="J1115" s="57"/>
      <c r="K1115" s="57"/>
      <c r="L1115" s="57"/>
      <c r="M1115" s="57"/>
      <c r="N1115" s="57"/>
      <c r="O1115" s="57"/>
      <c r="P1115" s="57"/>
      <c r="Q1115" s="57"/>
      <c r="R1115" s="57"/>
      <c r="S1115" s="57"/>
      <c r="T1115" s="57"/>
      <c r="U1115" s="57"/>
      <c r="V1115" s="57"/>
      <c r="W1115" s="57"/>
      <c r="X1115" s="57"/>
      <c r="Y1115" s="57"/>
      <c r="Z1115" s="57"/>
    </row>
    <row r="1116">
      <c r="A1116" s="58">
        <v>8850664.0</v>
      </c>
      <c r="B1116" s="57" t="s">
        <v>2564</v>
      </c>
      <c r="C1116" s="57" t="s">
        <v>210</v>
      </c>
      <c r="D1116" s="58">
        <v>12.57</v>
      </c>
      <c r="E1116" s="58">
        <v>1698.19</v>
      </c>
      <c r="F1116" s="58">
        <v>4115555.0</v>
      </c>
      <c r="G1116" s="57" t="s">
        <v>2573</v>
      </c>
      <c r="H1116" s="57" t="s">
        <v>2574</v>
      </c>
      <c r="I1116" s="57"/>
      <c r="J1116" s="57"/>
      <c r="K1116" s="57"/>
      <c r="L1116" s="57"/>
      <c r="M1116" s="57"/>
      <c r="N1116" s="57"/>
      <c r="O1116" s="57"/>
      <c r="P1116" s="57"/>
      <c r="Q1116" s="57"/>
      <c r="R1116" s="57"/>
      <c r="S1116" s="57"/>
      <c r="T1116" s="57"/>
      <c r="U1116" s="57"/>
      <c r="V1116" s="57"/>
      <c r="W1116" s="57"/>
      <c r="X1116" s="57"/>
      <c r="Y1116" s="57"/>
      <c r="Z1116" s="57"/>
    </row>
    <row r="1117">
      <c r="A1117" s="58">
        <v>8850578.0</v>
      </c>
      <c r="B1117" s="57" t="s">
        <v>2564</v>
      </c>
      <c r="C1117" s="57" t="s">
        <v>210</v>
      </c>
      <c r="D1117" s="58">
        <v>14.34</v>
      </c>
      <c r="E1117" s="58">
        <v>1683.85</v>
      </c>
      <c r="F1117" s="58">
        <v>4115307.0</v>
      </c>
      <c r="G1117" s="57" t="s">
        <v>2575</v>
      </c>
      <c r="H1117" s="57" t="s">
        <v>2576</v>
      </c>
      <c r="I1117" s="57"/>
      <c r="J1117" s="57"/>
      <c r="K1117" s="57"/>
      <c r="L1117" s="57"/>
      <c r="M1117" s="57"/>
      <c r="N1117" s="57"/>
      <c r="O1117" s="57"/>
      <c r="P1117" s="57"/>
      <c r="Q1117" s="57"/>
      <c r="R1117" s="57"/>
      <c r="S1117" s="57"/>
      <c r="T1117" s="57"/>
      <c r="U1117" s="57"/>
      <c r="V1117" s="57"/>
      <c r="W1117" s="57"/>
      <c r="X1117" s="57"/>
      <c r="Y1117" s="57"/>
      <c r="Z1117" s="57"/>
    </row>
    <row r="1118">
      <c r="A1118" s="58">
        <v>8850500.0</v>
      </c>
      <c r="B1118" s="57" t="s">
        <v>2564</v>
      </c>
      <c r="C1118" s="57" t="s">
        <v>210</v>
      </c>
      <c r="D1118" s="58">
        <v>8.08</v>
      </c>
      <c r="E1118" s="58">
        <v>1675.77</v>
      </c>
      <c r="F1118" s="58">
        <v>4115176.0</v>
      </c>
      <c r="G1118" s="57" t="s">
        <v>2577</v>
      </c>
      <c r="H1118" s="57" t="s">
        <v>2578</v>
      </c>
      <c r="I1118" s="57"/>
      <c r="J1118" s="57"/>
      <c r="K1118" s="57"/>
      <c r="L1118" s="57"/>
      <c r="M1118" s="57"/>
      <c r="N1118" s="57"/>
      <c r="O1118" s="57"/>
      <c r="P1118" s="57"/>
      <c r="Q1118" s="57"/>
      <c r="R1118" s="57"/>
      <c r="S1118" s="57"/>
      <c r="T1118" s="57"/>
      <c r="U1118" s="57"/>
      <c r="V1118" s="57"/>
      <c r="W1118" s="57"/>
      <c r="X1118" s="57"/>
      <c r="Y1118" s="57"/>
      <c r="Z1118" s="57"/>
    </row>
    <row r="1119">
      <c r="A1119" s="58">
        <v>8850245.0</v>
      </c>
      <c r="B1119" s="57" t="s">
        <v>2564</v>
      </c>
      <c r="C1119" s="57" t="s">
        <v>210</v>
      </c>
      <c r="D1119" s="58">
        <v>14.34</v>
      </c>
      <c r="E1119" s="58">
        <v>1661.43</v>
      </c>
      <c r="F1119" s="58">
        <v>4114583.0</v>
      </c>
      <c r="G1119" s="57" t="s">
        <v>2579</v>
      </c>
      <c r="H1119" s="57" t="s">
        <v>2580</v>
      </c>
      <c r="I1119" s="57"/>
      <c r="J1119" s="57"/>
      <c r="K1119" s="57"/>
      <c r="L1119" s="57"/>
      <c r="M1119" s="57"/>
      <c r="N1119" s="57"/>
      <c r="O1119" s="57"/>
      <c r="P1119" s="57"/>
      <c r="Q1119" s="57"/>
      <c r="R1119" s="57"/>
      <c r="S1119" s="57"/>
      <c r="T1119" s="57"/>
      <c r="U1119" s="57"/>
      <c r="V1119" s="57"/>
      <c r="W1119" s="57"/>
      <c r="X1119" s="57"/>
      <c r="Y1119" s="57"/>
      <c r="Z1119" s="57"/>
    </row>
    <row r="1120">
      <c r="A1120" s="58">
        <v>8849988.0</v>
      </c>
      <c r="B1120" s="57" t="s">
        <v>2564</v>
      </c>
      <c r="C1120" s="57" t="s">
        <v>210</v>
      </c>
      <c r="D1120" s="58">
        <v>13.06</v>
      </c>
      <c r="E1120" s="58">
        <v>1648.37</v>
      </c>
      <c r="F1120" s="58">
        <v>4113923.0</v>
      </c>
      <c r="G1120" s="57" t="s">
        <v>2581</v>
      </c>
      <c r="H1120" s="57" t="s">
        <v>2582</v>
      </c>
      <c r="I1120" s="57"/>
      <c r="J1120" s="57"/>
      <c r="K1120" s="57"/>
      <c r="L1120" s="57"/>
      <c r="M1120" s="57"/>
      <c r="N1120" s="57"/>
      <c r="O1120" s="57"/>
      <c r="P1120" s="57"/>
      <c r="Q1120" s="57"/>
      <c r="R1120" s="57"/>
      <c r="S1120" s="57"/>
      <c r="T1120" s="57"/>
      <c r="U1120" s="57"/>
      <c r="V1120" s="57"/>
      <c r="W1120" s="57"/>
      <c r="X1120" s="57"/>
      <c r="Y1120" s="57"/>
      <c r="Z1120" s="57"/>
    </row>
    <row r="1121">
      <c r="A1121" s="58">
        <v>8849763.0</v>
      </c>
      <c r="B1121" s="57" t="s">
        <v>2564</v>
      </c>
      <c r="C1121" s="57" t="s">
        <v>210</v>
      </c>
      <c r="D1121" s="58">
        <v>11.45</v>
      </c>
      <c r="E1121" s="58">
        <v>1636.92</v>
      </c>
      <c r="F1121" s="58">
        <v>4113110.0</v>
      </c>
      <c r="G1121" s="57" t="s">
        <v>2583</v>
      </c>
      <c r="H1121" s="57" t="s">
        <v>2584</v>
      </c>
      <c r="I1121" s="57"/>
      <c r="J1121" s="57"/>
      <c r="K1121" s="57"/>
      <c r="L1121" s="57"/>
      <c r="M1121" s="57"/>
      <c r="N1121" s="57"/>
      <c r="O1121" s="57"/>
      <c r="P1121" s="57"/>
      <c r="Q1121" s="57"/>
      <c r="R1121" s="57"/>
      <c r="S1121" s="57"/>
      <c r="T1121" s="57"/>
      <c r="U1121" s="57"/>
      <c r="V1121" s="57"/>
      <c r="W1121" s="57"/>
      <c r="X1121" s="57"/>
      <c r="Y1121" s="57"/>
      <c r="Z1121" s="57"/>
    </row>
    <row r="1122">
      <c r="A1122" s="58">
        <v>8849697.0</v>
      </c>
      <c r="B1122" s="57" t="s">
        <v>2564</v>
      </c>
      <c r="C1122" s="57" t="s">
        <v>210</v>
      </c>
      <c r="D1122" s="58">
        <v>10.96</v>
      </c>
      <c r="E1122" s="58">
        <v>1625.96</v>
      </c>
      <c r="F1122" s="58">
        <v>4112847.0</v>
      </c>
      <c r="G1122" s="57" t="s">
        <v>2585</v>
      </c>
      <c r="H1122" s="57" t="s">
        <v>2586</v>
      </c>
      <c r="I1122" s="57"/>
      <c r="J1122" s="57"/>
      <c r="K1122" s="57"/>
      <c r="L1122" s="57"/>
      <c r="M1122" s="57"/>
      <c r="N1122" s="57"/>
      <c r="O1122" s="57"/>
      <c r="P1122" s="57"/>
      <c r="Q1122" s="57"/>
      <c r="R1122" s="57"/>
      <c r="S1122" s="57"/>
      <c r="T1122" s="57"/>
      <c r="U1122" s="57"/>
      <c r="V1122" s="57"/>
      <c r="W1122" s="57"/>
      <c r="X1122" s="57"/>
      <c r="Y1122" s="57"/>
      <c r="Z1122" s="57"/>
    </row>
    <row r="1123">
      <c r="A1123" s="58">
        <v>8848879.0</v>
      </c>
      <c r="B1123" s="57" t="s">
        <v>2587</v>
      </c>
      <c r="C1123" s="57" t="s">
        <v>210</v>
      </c>
      <c r="D1123" s="58">
        <v>13.46</v>
      </c>
      <c r="E1123" s="58">
        <v>1612.5</v>
      </c>
      <c r="F1123" s="58">
        <v>4110470.0</v>
      </c>
      <c r="G1123" s="57" t="s">
        <v>2588</v>
      </c>
      <c r="H1123" s="57" t="s">
        <v>2589</v>
      </c>
      <c r="I1123" s="57"/>
      <c r="J1123" s="57"/>
      <c r="K1123" s="57"/>
      <c r="L1123" s="57"/>
      <c r="M1123" s="57"/>
      <c r="N1123" s="57"/>
      <c r="O1123" s="57"/>
      <c r="P1123" s="57"/>
      <c r="Q1123" s="57"/>
      <c r="R1123" s="57"/>
      <c r="S1123" s="57"/>
      <c r="T1123" s="57"/>
      <c r="U1123" s="57"/>
      <c r="V1123" s="57"/>
      <c r="W1123" s="57"/>
      <c r="X1123" s="57"/>
      <c r="Y1123" s="57"/>
      <c r="Z1123" s="57"/>
    </row>
    <row r="1124">
      <c r="A1124" s="58">
        <v>8848697.0</v>
      </c>
      <c r="B1124" s="57" t="s">
        <v>2587</v>
      </c>
      <c r="C1124" s="57" t="s">
        <v>210</v>
      </c>
      <c r="D1124" s="58">
        <v>11.45</v>
      </c>
      <c r="E1124" s="58">
        <v>1601.05</v>
      </c>
      <c r="F1124" s="58">
        <v>4110106.0</v>
      </c>
      <c r="G1124" s="57" t="s">
        <v>2590</v>
      </c>
      <c r="H1124" s="57" t="s">
        <v>2591</v>
      </c>
      <c r="I1124" s="57"/>
      <c r="J1124" s="57"/>
      <c r="K1124" s="57"/>
      <c r="L1124" s="57"/>
      <c r="M1124" s="57"/>
      <c r="N1124" s="57"/>
      <c r="O1124" s="57"/>
      <c r="P1124" s="57"/>
      <c r="Q1124" s="57"/>
      <c r="R1124" s="57"/>
      <c r="S1124" s="57"/>
      <c r="T1124" s="57"/>
      <c r="U1124" s="57"/>
      <c r="V1124" s="57"/>
      <c r="W1124" s="57"/>
      <c r="X1124" s="57"/>
      <c r="Y1124" s="57"/>
      <c r="Z1124" s="57"/>
    </row>
    <row r="1125">
      <c r="A1125" s="58">
        <v>8847396.0</v>
      </c>
      <c r="B1125" s="57" t="s">
        <v>2587</v>
      </c>
      <c r="C1125" s="57" t="s">
        <v>210</v>
      </c>
      <c r="D1125" s="58">
        <v>10.39</v>
      </c>
      <c r="E1125" s="58">
        <v>1590.66</v>
      </c>
      <c r="F1125" s="58">
        <v>4106558.0</v>
      </c>
      <c r="G1125" s="57" t="s">
        <v>2592</v>
      </c>
      <c r="H1125" s="57" t="s">
        <v>2593</v>
      </c>
      <c r="I1125" s="57"/>
      <c r="J1125" s="57"/>
      <c r="K1125" s="57"/>
      <c r="L1125" s="57"/>
      <c r="M1125" s="57"/>
      <c r="N1125" s="57"/>
      <c r="O1125" s="57"/>
      <c r="P1125" s="57"/>
      <c r="Q1125" s="57"/>
      <c r="R1125" s="57"/>
      <c r="S1125" s="57"/>
      <c r="T1125" s="57"/>
      <c r="U1125" s="57"/>
      <c r="V1125" s="57"/>
      <c r="W1125" s="57"/>
      <c r="X1125" s="57"/>
      <c r="Y1125" s="57"/>
      <c r="Z1125" s="57"/>
    </row>
    <row r="1126">
      <c r="A1126" s="58">
        <v>8847393.0</v>
      </c>
      <c r="B1126" s="57" t="s">
        <v>2587</v>
      </c>
      <c r="C1126" s="57" t="s">
        <v>210</v>
      </c>
      <c r="D1126" s="58">
        <v>9.1</v>
      </c>
      <c r="E1126" s="58">
        <v>1581.56</v>
      </c>
      <c r="F1126" s="58">
        <v>4106548.0</v>
      </c>
      <c r="G1126" s="58">
        <v>1.86966931E8</v>
      </c>
      <c r="H1126" s="57" t="s">
        <v>2594</v>
      </c>
      <c r="I1126" s="57"/>
      <c r="J1126" s="57"/>
      <c r="K1126" s="57"/>
      <c r="L1126" s="57"/>
      <c r="M1126" s="57"/>
      <c r="N1126" s="57"/>
      <c r="O1126" s="57"/>
      <c r="P1126" s="57"/>
      <c r="Q1126" s="57"/>
      <c r="R1126" s="57"/>
      <c r="S1126" s="57"/>
      <c r="T1126" s="57"/>
      <c r="U1126" s="57"/>
      <c r="V1126" s="57"/>
      <c r="W1126" s="57"/>
      <c r="X1126" s="57"/>
      <c r="Y1126" s="57"/>
      <c r="Z1126" s="57"/>
    </row>
    <row r="1127">
      <c r="A1127" s="58">
        <v>8847349.0</v>
      </c>
      <c r="B1127" s="57" t="s">
        <v>2587</v>
      </c>
      <c r="C1127" s="57" t="s">
        <v>210</v>
      </c>
      <c r="D1127" s="58">
        <v>10.96</v>
      </c>
      <c r="E1127" s="58">
        <v>1570.6</v>
      </c>
      <c r="F1127" s="58">
        <v>4106431.0</v>
      </c>
      <c r="G1127" s="57" t="s">
        <v>2595</v>
      </c>
      <c r="H1127" s="57" t="s">
        <v>2596</v>
      </c>
      <c r="I1127" s="57"/>
      <c r="J1127" s="57"/>
      <c r="K1127" s="57"/>
      <c r="L1127" s="57"/>
      <c r="M1127" s="57"/>
      <c r="N1127" s="57"/>
      <c r="O1127" s="57"/>
      <c r="P1127" s="57"/>
      <c r="Q1127" s="57"/>
      <c r="R1127" s="57"/>
      <c r="S1127" s="57"/>
      <c r="T1127" s="57"/>
      <c r="U1127" s="57"/>
      <c r="V1127" s="57"/>
      <c r="W1127" s="57"/>
      <c r="X1127" s="57"/>
      <c r="Y1127" s="57"/>
      <c r="Z1127" s="57"/>
    </row>
    <row r="1128">
      <c r="A1128" s="58">
        <v>8847336.0</v>
      </c>
      <c r="B1128" s="57" t="s">
        <v>2587</v>
      </c>
      <c r="C1128" s="57" t="s">
        <v>210</v>
      </c>
      <c r="D1128" s="58">
        <v>13.46</v>
      </c>
      <c r="E1128" s="58">
        <v>1557.14</v>
      </c>
      <c r="F1128" s="58">
        <v>4106397.0</v>
      </c>
      <c r="G1128" s="57" t="s">
        <v>2597</v>
      </c>
      <c r="H1128" s="57" t="s">
        <v>2598</v>
      </c>
      <c r="I1128" s="57"/>
      <c r="J1128" s="57"/>
      <c r="K1128" s="57"/>
      <c r="L1128" s="57"/>
      <c r="M1128" s="57"/>
      <c r="N1128" s="57"/>
      <c r="O1128" s="57"/>
      <c r="P1128" s="57"/>
      <c r="Q1128" s="57"/>
      <c r="R1128" s="57"/>
      <c r="S1128" s="57"/>
      <c r="T1128" s="57"/>
      <c r="U1128" s="57"/>
      <c r="V1128" s="57"/>
      <c r="W1128" s="57"/>
      <c r="X1128" s="57"/>
      <c r="Y1128" s="57"/>
      <c r="Z1128" s="57"/>
    </row>
    <row r="1129">
      <c r="A1129" s="58">
        <v>8846981.0</v>
      </c>
      <c r="B1129" s="57" t="s">
        <v>2587</v>
      </c>
      <c r="C1129" s="57" t="s">
        <v>210</v>
      </c>
      <c r="D1129" s="58">
        <v>13.46</v>
      </c>
      <c r="E1129" s="58">
        <v>1543.68</v>
      </c>
      <c r="F1129" s="58">
        <v>4105428.0</v>
      </c>
      <c r="G1129" s="57" t="s">
        <v>2599</v>
      </c>
      <c r="H1129" s="57" t="s">
        <v>2600</v>
      </c>
      <c r="I1129" s="57"/>
      <c r="J1129" s="57"/>
      <c r="K1129" s="57"/>
      <c r="L1129" s="57"/>
      <c r="M1129" s="57"/>
      <c r="N1129" s="57"/>
      <c r="O1129" s="57"/>
      <c r="P1129" s="57"/>
      <c r="Q1129" s="57"/>
      <c r="R1129" s="57"/>
      <c r="S1129" s="57"/>
      <c r="T1129" s="57"/>
      <c r="U1129" s="57"/>
      <c r="V1129" s="57"/>
      <c r="W1129" s="57"/>
      <c r="X1129" s="57"/>
      <c r="Y1129" s="57"/>
      <c r="Z1129" s="57"/>
    </row>
    <row r="1130">
      <c r="A1130" s="58">
        <v>8846940.0</v>
      </c>
      <c r="B1130" s="57" t="s">
        <v>2587</v>
      </c>
      <c r="C1130" s="57" t="s">
        <v>210</v>
      </c>
      <c r="D1130" s="58">
        <v>15.47</v>
      </c>
      <c r="E1130" s="58">
        <v>1528.21</v>
      </c>
      <c r="F1130" s="58">
        <v>4105365.0</v>
      </c>
      <c r="G1130" s="57" t="s">
        <v>2601</v>
      </c>
      <c r="H1130" s="57" t="s">
        <v>2602</v>
      </c>
      <c r="I1130" s="57"/>
      <c r="J1130" s="57"/>
      <c r="K1130" s="57"/>
      <c r="L1130" s="57"/>
      <c r="M1130" s="57"/>
      <c r="N1130" s="57"/>
      <c r="O1130" s="57"/>
      <c r="P1130" s="57"/>
      <c r="Q1130" s="57"/>
      <c r="R1130" s="57"/>
      <c r="S1130" s="57"/>
      <c r="T1130" s="57"/>
      <c r="U1130" s="57"/>
      <c r="V1130" s="57"/>
      <c r="W1130" s="57"/>
      <c r="X1130" s="57"/>
      <c r="Y1130" s="57"/>
      <c r="Z1130" s="57"/>
    </row>
    <row r="1131">
      <c r="A1131" s="58">
        <v>8846541.0</v>
      </c>
      <c r="B1131" s="57" t="s">
        <v>2587</v>
      </c>
      <c r="C1131" s="57" t="s">
        <v>210</v>
      </c>
      <c r="D1131" s="58">
        <v>15.07</v>
      </c>
      <c r="E1131" s="58">
        <v>1513.14</v>
      </c>
      <c r="F1131" s="58">
        <v>4104468.0</v>
      </c>
      <c r="G1131" s="57" t="s">
        <v>2603</v>
      </c>
      <c r="H1131" s="57" t="s">
        <v>2604</v>
      </c>
      <c r="I1131" s="57"/>
      <c r="J1131" s="57"/>
      <c r="K1131" s="57"/>
      <c r="L1131" s="57"/>
      <c r="M1131" s="57"/>
      <c r="N1131" s="57"/>
      <c r="O1131" s="57"/>
      <c r="P1131" s="57"/>
      <c r="Q1131" s="57"/>
      <c r="R1131" s="57"/>
      <c r="S1131" s="57"/>
      <c r="T1131" s="57"/>
      <c r="U1131" s="57"/>
      <c r="V1131" s="57"/>
      <c r="W1131" s="57"/>
      <c r="X1131" s="57"/>
      <c r="Y1131" s="57"/>
      <c r="Z1131" s="57"/>
    </row>
    <row r="1132">
      <c r="A1132" s="58">
        <v>8846420.0</v>
      </c>
      <c r="B1132" s="57" t="s">
        <v>2587</v>
      </c>
      <c r="C1132" s="57" t="s">
        <v>210</v>
      </c>
      <c r="D1132" s="58">
        <v>15.07</v>
      </c>
      <c r="E1132" s="58">
        <v>1498.07</v>
      </c>
      <c r="F1132" s="58">
        <v>4104216.0</v>
      </c>
      <c r="G1132" s="57" t="s">
        <v>2605</v>
      </c>
      <c r="H1132" s="57" t="s">
        <v>2606</v>
      </c>
      <c r="I1132" s="57"/>
      <c r="J1132" s="57"/>
      <c r="K1132" s="57"/>
      <c r="L1132" s="57"/>
      <c r="M1132" s="57"/>
      <c r="N1132" s="57"/>
      <c r="O1132" s="57"/>
      <c r="P1132" s="57"/>
      <c r="Q1132" s="57"/>
      <c r="R1132" s="57"/>
      <c r="S1132" s="57"/>
      <c r="T1132" s="57"/>
      <c r="U1132" s="57"/>
      <c r="V1132" s="57"/>
      <c r="W1132" s="57"/>
      <c r="X1132" s="57"/>
      <c r="Y1132" s="57"/>
      <c r="Z1132" s="57"/>
    </row>
    <row r="1133">
      <c r="A1133" s="58">
        <v>8846095.0</v>
      </c>
      <c r="B1133" s="57" t="s">
        <v>2587</v>
      </c>
      <c r="C1133" s="57" t="s">
        <v>210</v>
      </c>
      <c r="D1133" s="58">
        <v>10.96</v>
      </c>
      <c r="E1133" s="58">
        <v>1487.11</v>
      </c>
      <c r="F1133" s="58">
        <v>4103331.0</v>
      </c>
      <c r="G1133" s="57" t="s">
        <v>2607</v>
      </c>
      <c r="H1133" s="57" t="s">
        <v>2608</v>
      </c>
      <c r="I1133" s="57"/>
      <c r="J1133" s="57"/>
      <c r="K1133" s="57"/>
      <c r="L1133" s="57"/>
      <c r="M1133" s="57"/>
      <c r="N1133" s="57"/>
      <c r="O1133" s="57"/>
      <c r="P1133" s="57"/>
      <c r="Q1133" s="57"/>
      <c r="R1133" s="57"/>
      <c r="S1133" s="57"/>
      <c r="T1133" s="57"/>
      <c r="U1133" s="57"/>
      <c r="V1133" s="57"/>
      <c r="W1133" s="57"/>
      <c r="X1133" s="57"/>
      <c r="Y1133" s="57"/>
      <c r="Z1133" s="57"/>
    </row>
    <row r="1134">
      <c r="A1134" s="58">
        <v>8845611.0</v>
      </c>
      <c r="B1134" s="57" t="s">
        <v>2587</v>
      </c>
      <c r="C1134" s="57" t="s">
        <v>210</v>
      </c>
      <c r="D1134" s="58">
        <v>11.45</v>
      </c>
      <c r="E1134" s="58">
        <v>1475.66</v>
      </c>
      <c r="F1134" s="58">
        <v>4101837.0</v>
      </c>
      <c r="G1134" s="57" t="s">
        <v>2609</v>
      </c>
      <c r="H1134" s="57" t="s">
        <v>2610</v>
      </c>
      <c r="I1134" s="57"/>
      <c r="J1134" s="57"/>
      <c r="K1134" s="57"/>
      <c r="L1134" s="57"/>
      <c r="M1134" s="57"/>
      <c r="N1134" s="57"/>
      <c r="O1134" s="57"/>
      <c r="P1134" s="57"/>
      <c r="Q1134" s="57"/>
      <c r="R1134" s="57"/>
      <c r="S1134" s="57"/>
      <c r="T1134" s="57"/>
      <c r="U1134" s="57"/>
      <c r="V1134" s="57"/>
      <c r="W1134" s="57"/>
      <c r="X1134" s="57"/>
      <c r="Y1134" s="57"/>
      <c r="Z1134" s="57"/>
    </row>
    <row r="1135">
      <c r="A1135" s="58">
        <v>8844786.0</v>
      </c>
      <c r="B1135" s="57" t="s">
        <v>2611</v>
      </c>
      <c r="C1135" s="57" t="s">
        <v>210</v>
      </c>
      <c r="D1135" s="58">
        <v>15.47</v>
      </c>
      <c r="E1135" s="58">
        <v>1460.19</v>
      </c>
      <c r="F1135" s="58">
        <v>4099270.0</v>
      </c>
      <c r="G1135" s="57" t="s">
        <v>2612</v>
      </c>
      <c r="H1135" s="57" t="s">
        <v>2613</v>
      </c>
      <c r="I1135" s="57"/>
      <c r="J1135" s="57"/>
      <c r="K1135" s="57"/>
      <c r="L1135" s="57"/>
      <c r="M1135" s="57"/>
      <c r="N1135" s="57"/>
      <c r="O1135" s="57"/>
      <c r="P1135" s="57"/>
      <c r="Q1135" s="57"/>
      <c r="R1135" s="57"/>
      <c r="S1135" s="57"/>
      <c r="T1135" s="57"/>
      <c r="U1135" s="57"/>
      <c r="V1135" s="57"/>
      <c r="W1135" s="57"/>
      <c r="X1135" s="57"/>
      <c r="Y1135" s="57"/>
      <c r="Z1135" s="57"/>
    </row>
    <row r="1136">
      <c r="A1136" s="58">
        <v>8844624.0</v>
      </c>
      <c r="B1136" s="57" t="s">
        <v>2611</v>
      </c>
      <c r="C1136" s="57" t="s">
        <v>210</v>
      </c>
      <c r="D1136" s="58">
        <v>15.07</v>
      </c>
      <c r="E1136" s="58">
        <v>1445.12</v>
      </c>
      <c r="F1136" s="58">
        <v>4098768.0</v>
      </c>
      <c r="G1136" s="57" t="s">
        <v>2614</v>
      </c>
      <c r="H1136" s="57" t="s">
        <v>2615</v>
      </c>
      <c r="I1136" s="57"/>
      <c r="J1136" s="57"/>
      <c r="K1136" s="57"/>
      <c r="L1136" s="57"/>
      <c r="M1136" s="57"/>
      <c r="N1136" s="57"/>
      <c r="O1136" s="57"/>
      <c r="P1136" s="57"/>
      <c r="Q1136" s="57"/>
      <c r="R1136" s="57"/>
      <c r="S1136" s="57"/>
      <c r="T1136" s="57"/>
      <c r="U1136" s="57"/>
      <c r="V1136" s="57"/>
      <c r="W1136" s="57"/>
      <c r="X1136" s="57"/>
      <c r="Y1136" s="57"/>
      <c r="Z1136" s="57"/>
    </row>
    <row r="1137">
      <c r="A1137" s="58">
        <v>8844538.0</v>
      </c>
      <c r="B1137" s="57" t="s">
        <v>2611</v>
      </c>
      <c r="C1137" s="57" t="s">
        <v>210</v>
      </c>
      <c r="D1137" s="58">
        <v>14.9</v>
      </c>
      <c r="E1137" s="58">
        <v>1430.22</v>
      </c>
      <c r="F1137" s="58">
        <v>4098489.0</v>
      </c>
      <c r="G1137" s="57" t="s">
        <v>2616</v>
      </c>
      <c r="H1137" s="57" t="s">
        <v>2617</v>
      </c>
      <c r="I1137" s="57"/>
      <c r="J1137" s="57"/>
      <c r="K1137" s="57"/>
      <c r="L1137" s="57"/>
      <c r="M1137" s="57"/>
      <c r="N1137" s="57"/>
      <c r="O1137" s="57"/>
      <c r="P1137" s="57"/>
      <c r="Q1137" s="57"/>
      <c r="R1137" s="57"/>
      <c r="S1137" s="57"/>
      <c r="T1137" s="57"/>
      <c r="U1137" s="57"/>
      <c r="V1137" s="57"/>
      <c r="W1137" s="57"/>
      <c r="X1137" s="57"/>
      <c r="Y1137" s="57"/>
      <c r="Z1137" s="57"/>
    </row>
    <row r="1138">
      <c r="A1138" s="58">
        <v>8844355.0</v>
      </c>
      <c r="B1138" s="57" t="s">
        <v>2611</v>
      </c>
      <c r="C1138" s="57" t="s">
        <v>210</v>
      </c>
      <c r="D1138" s="58">
        <v>14.04</v>
      </c>
      <c r="E1138" s="58">
        <v>1416.18</v>
      </c>
      <c r="F1138" s="58">
        <v>4097878.0</v>
      </c>
      <c r="G1138" s="57" t="s">
        <v>2618</v>
      </c>
      <c r="H1138" s="57" t="s">
        <v>2619</v>
      </c>
      <c r="I1138" s="57"/>
      <c r="J1138" s="57"/>
      <c r="K1138" s="57"/>
      <c r="L1138" s="57"/>
      <c r="M1138" s="57"/>
      <c r="N1138" s="57"/>
      <c r="O1138" s="57"/>
      <c r="P1138" s="57"/>
      <c r="Q1138" s="57"/>
      <c r="R1138" s="57"/>
      <c r="S1138" s="57"/>
      <c r="T1138" s="57"/>
      <c r="U1138" s="57"/>
      <c r="V1138" s="57"/>
      <c r="W1138" s="57"/>
      <c r="X1138" s="57"/>
      <c r="Y1138" s="57"/>
      <c r="Z1138" s="57"/>
    </row>
    <row r="1139">
      <c r="A1139" s="58">
        <v>8844238.0</v>
      </c>
      <c r="B1139" s="57" t="s">
        <v>2611</v>
      </c>
      <c r="C1139" s="57" t="s">
        <v>210</v>
      </c>
      <c r="D1139" s="58">
        <v>17.08</v>
      </c>
      <c r="E1139" s="58">
        <v>1399.1</v>
      </c>
      <c r="F1139" s="58">
        <v>4097507.0</v>
      </c>
      <c r="G1139" s="57" t="s">
        <v>2620</v>
      </c>
      <c r="H1139" s="57" t="s">
        <v>2621</v>
      </c>
      <c r="I1139" s="57"/>
      <c r="J1139" s="57"/>
      <c r="K1139" s="57"/>
      <c r="L1139" s="57"/>
      <c r="M1139" s="57"/>
      <c r="N1139" s="57"/>
      <c r="O1139" s="57"/>
      <c r="P1139" s="57"/>
      <c r="Q1139" s="57"/>
      <c r="R1139" s="57"/>
      <c r="S1139" s="57"/>
      <c r="T1139" s="57"/>
      <c r="U1139" s="57"/>
      <c r="V1139" s="57"/>
      <c r="W1139" s="57"/>
      <c r="X1139" s="57"/>
      <c r="Y1139" s="57"/>
      <c r="Z1139" s="57"/>
    </row>
    <row r="1140">
      <c r="A1140" s="58">
        <v>8843795.0</v>
      </c>
      <c r="B1140" s="57" t="s">
        <v>2611</v>
      </c>
      <c r="C1140" s="57" t="s">
        <v>210</v>
      </c>
      <c r="D1140" s="58">
        <v>14.04</v>
      </c>
      <c r="E1140" s="58">
        <v>1385.06</v>
      </c>
      <c r="F1140" s="58">
        <v>4096404.0</v>
      </c>
      <c r="G1140" s="57" t="s">
        <v>2622</v>
      </c>
      <c r="H1140" s="57" t="s">
        <v>2623</v>
      </c>
      <c r="I1140" s="57"/>
      <c r="J1140" s="57"/>
      <c r="K1140" s="57"/>
      <c r="L1140" s="57"/>
      <c r="M1140" s="57"/>
      <c r="N1140" s="57"/>
      <c r="O1140" s="57"/>
      <c r="P1140" s="57"/>
      <c r="Q1140" s="57"/>
      <c r="R1140" s="57"/>
      <c r="S1140" s="57"/>
      <c r="T1140" s="57"/>
      <c r="U1140" s="57"/>
      <c r="V1140" s="57"/>
      <c r="W1140" s="57"/>
      <c r="X1140" s="57"/>
      <c r="Y1140" s="57"/>
      <c r="Z1140" s="57"/>
    </row>
    <row r="1141">
      <c r="A1141" s="58">
        <v>8843751.0</v>
      </c>
      <c r="B1141" s="57" t="s">
        <v>2611</v>
      </c>
      <c r="C1141" s="57" t="s">
        <v>210</v>
      </c>
      <c r="D1141" s="58">
        <v>13.81</v>
      </c>
      <c r="E1141" s="58">
        <v>1371.25</v>
      </c>
      <c r="F1141" s="58">
        <v>4096288.0</v>
      </c>
      <c r="G1141" s="58">
        <v>1.8697336E8</v>
      </c>
      <c r="H1141" s="57" t="s">
        <v>2624</v>
      </c>
      <c r="I1141" s="57"/>
      <c r="J1141" s="57"/>
      <c r="K1141" s="57"/>
      <c r="L1141" s="57"/>
      <c r="M1141" s="57"/>
      <c r="N1141" s="57"/>
      <c r="O1141" s="57"/>
      <c r="P1141" s="57"/>
      <c r="Q1141" s="57"/>
      <c r="R1141" s="57"/>
      <c r="S1141" s="57"/>
      <c r="T1141" s="57"/>
      <c r="U1141" s="57"/>
      <c r="V1141" s="57"/>
      <c r="W1141" s="57"/>
      <c r="X1141" s="57"/>
      <c r="Y1141" s="57"/>
      <c r="Z1141" s="57"/>
    </row>
    <row r="1142">
      <c r="A1142" s="58">
        <v>8843569.0</v>
      </c>
      <c r="B1142" s="57" t="s">
        <v>2611</v>
      </c>
      <c r="C1142" s="57" t="s">
        <v>210</v>
      </c>
      <c r="D1142" s="58">
        <v>10.96</v>
      </c>
      <c r="E1142" s="58">
        <v>1360.29</v>
      </c>
      <c r="F1142" s="58">
        <v>4095748.0</v>
      </c>
      <c r="G1142" s="57" t="s">
        <v>2625</v>
      </c>
      <c r="H1142" s="57" t="s">
        <v>2626</v>
      </c>
      <c r="I1142" s="57"/>
      <c r="J1142" s="57"/>
      <c r="K1142" s="57"/>
      <c r="L1142" s="57"/>
      <c r="M1142" s="57"/>
      <c r="N1142" s="57"/>
      <c r="O1142" s="57"/>
      <c r="P1142" s="57"/>
      <c r="Q1142" s="57"/>
      <c r="R1142" s="57"/>
      <c r="S1142" s="57"/>
      <c r="T1142" s="57"/>
      <c r="U1142" s="57"/>
      <c r="V1142" s="57"/>
      <c r="W1142" s="57"/>
      <c r="X1142" s="57"/>
      <c r="Y1142" s="57"/>
      <c r="Z1142" s="57"/>
    </row>
    <row r="1143">
      <c r="A1143" s="58">
        <v>8843517.0</v>
      </c>
      <c r="B1143" s="57" t="s">
        <v>2611</v>
      </c>
      <c r="C1143" s="57" t="s">
        <v>210</v>
      </c>
      <c r="D1143" s="58">
        <v>15.47</v>
      </c>
      <c r="E1143" s="58">
        <v>1344.82</v>
      </c>
      <c r="F1143" s="58">
        <v>4095628.0</v>
      </c>
      <c r="G1143" s="57" t="s">
        <v>2627</v>
      </c>
      <c r="H1143" s="57" t="s">
        <v>2628</v>
      </c>
      <c r="I1143" s="57"/>
      <c r="J1143" s="57"/>
      <c r="K1143" s="57"/>
      <c r="L1143" s="57"/>
      <c r="M1143" s="57"/>
      <c r="N1143" s="57"/>
      <c r="O1143" s="57"/>
      <c r="P1143" s="57"/>
      <c r="Q1143" s="57"/>
      <c r="R1143" s="57"/>
      <c r="S1143" s="57"/>
      <c r="T1143" s="57"/>
      <c r="U1143" s="57"/>
      <c r="V1143" s="57"/>
      <c r="W1143" s="57"/>
      <c r="X1143" s="57"/>
      <c r="Y1143" s="57"/>
      <c r="Z1143" s="57"/>
    </row>
    <row r="1144">
      <c r="A1144" s="58">
        <v>8843052.0</v>
      </c>
      <c r="B1144" s="57" t="s">
        <v>2611</v>
      </c>
      <c r="C1144" s="57" t="s">
        <v>210</v>
      </c>
      <c r="D1144" s="58">
        <v>10.96</v>
      </c>
      <c r="E1144" s="58">
        <v>1333.86</v>
      </c>
      <c r="F1144" s="58">
        <v>4094106.0</v>
      </c>
      <c r="G1144" s="57" t="s">
        <v>2629</v>
      </c>
      <c r="H1144" s="57" t="s">
        <v>2630</v>
      </c>
      <c r="I1144" s="57"/>
      <c r="J1144" s="57"/>
      <c r="K1144" s="57"/>
      <c r="L1144" s="57"/>
      <c r="M1144" s="57"/>
      <c r="N1144" s="57"/>
      <c r="O1144" s="57"/>
      <c r="P1144" s="57"/>
      <c r="Q1144" s="57"/>
      <c r="R1144" s="57"/>
      <c r="S1144" s="57"/>
      <c r="T1144" s="57"/>
      <c r="U1144" s="57"/>
      <c r="V1144" s="57"/>
      <c r="W1144" s="57"/>
      <c r="X1144" s="57"/>
      <c r="Y1144" s="57"/>
      <c r="Z1144" s="57"/>
    </row>
    <row r="1145">
      <c r="A1145" s="58">
        <v>8842999.0</v>
      </c>
      <c r="B1145" s="57" t="s">
        <v>2611</v>
      </c>
      <c r="C1145" s="57" t="s">
        <v>210</v>
      </c>
      <c r="D1145" s="58">
        <v>10.96</v>
      </c>
      <c r="E1145" s="58">
        <v>1322.9</v>
      </c>
      <c r="F1145" s="58">
        <v>4093954.0</v>
      </c>
      <c r="G1145" s="57" t="s">
        <v>2631</v>
      </c>
      <c r="H1145" s="57" t="s">
        <v>2632</v>
      </c>
      <c r="I1145" s="57"/>
      <c r="J1145" s="57"/>
      <c r="K1145" s="57"/>
      <c r="L1145" s="57"/>
      <c r="M1145" s="57"/>
      <c r="N1145" s="57"/>
      <c r="O1145" s="57"/>
      <c r="P1145" s="57"/>
      <c r="Q1145" s="57"/>
      <c r="R1145" s="57"/>
      <c r="S1145" s="57"/>
      <c r="T1145" s="57"/>
      <c r="U1145" s="57"/>
      <c r="V1145" s="57"/>
      <c r="W1145" s="57"/>
      <c r="X1145" s="57"/>
      <c r="Y1145" s="57"/>
      <c r="Z1145" s="57"/>
    </row>
    <row r="1146">
      <c r="A1146" s="58">
        <v>8842940.0</v>
      </c>
      <c r="B1146" s="57" t="s">
        <v>2611</v>
      </c>
      <c r="C1146" s="57" t="s">
        <v>210</v>
      </c>
      <c r="D1146" s="58">
        <v>13.17</v>
      </c>
      <c r="E1146" s="58">
        <v>1309.73</v>
      </c>
      <c r="F1146" s="58">
        <v>4093677.0</v>
      </c>
      <c r="G1146" s="57" t="s">
        <v>2633</v>
      </c>
      <c r="H1146" s="57" t="s">
        <v>2634</v>
      </c>
      <c r="I1146" s="57"/>
      <c r="J1146" s="57"/>
      <c r="K1146" s="57"/>
      <c r="L1146" s="57"/>
      <c r="M1146" s="57"/>
      <c r="N1146" s="57"/>
      <c r="O1146" s="57"/>
      <c r="P1146" s="57"/>
      <c r="Q1146" s="57"/>
      <c r="R1146" s="57"/>
      <c r="S1146" s="57"/>
      <c r="T1146" s="57"/>
      <c r="U1146" s="57"/>
      <c r="V1146" s="57"/>
      <c r="W1146" s="57"/>
      <c r="X1146" s="57"/>
      <c r="Y1146" s="57"/>
      <c r="Z1146" s="57"/>
    </row>
    <row r="1147">
      <c r="A1147" s="58">
        <v>8842784.0</v>
      </c>
      <c r="B1147" s="57" t="s">
        <v>2611</v>
      </c>
      <c r="C1147" s="57" t="s">
        <v>210</v>
      </c>
      <c r="D1147" s="58">
        <v>11.45</v>
      </c>
      <c r="E1147" s="58">
        <v>1298.28</v>
      </c>
      <c r="F1147" s="58">
        <v>4093222.0</v>
      </c>
      <c r="G1147" s="57" t="s">
        <v>2635</v>
      </c>
      <c r="H1147" s="57" t="s">
        <v>2636</v>
      </c>
      <c r="I1147" s="57"/>
      <c r="J1147" s="57"/>
      <c r="K1147" s="57"/>
      <c r="L1147" s="57"/>
      <c r="M1147" s="57"/>
      <c r="N1147" s="57"/>
      <c r="O1147" s="57"/>
      <c r="P1147" s="57"/>
      <c r="Q1147" s="57"/>
      <c r="R1147" s="57"/>
      <c r="S1147" s="57"/>
      <c r="T1147" s="57"/>
      <c r="U1147" s="57"/>
      <c r="V1147" s="57"/>
      <c r="W1147" s="57"/>
      <c r="X1147" s="57"/>
      <c r="Y1147" s="57"/>
      <c r="Z1147" s="57"/>
    </row>
    <row r="1148">
      <c r="A1148" s="58">
        <v>8842440.0</v>
      </c>
      <c r="B1148" s="57" t="s">
        <v>2611</v>
      </c>
      <c r="C1148" s="57" t="s">
        <v>210</v>
      </c>
      <c r="D1148" s="58">
        <v>14.04</v>
      </c>
      <c r="E1148" s="58">
        <v>1284.24</v>
      </c>
      <c r="F1148" s="58">
        <v>4092315.0</v>
      </c>
      <c r="G1148" s="57" t="s">
        <v>2637</v>
      </c>
      <c r="H1148" s="57" t="s">
        <v>2638</v>
      </c>
      <c r="I1148" s="57"/>
      <c r="J1148" s="57"/>
      <c r="K1148" s="57"/>
      <c r="L1148" s="57"/>
      <c r="M1148" s="57"/>
      <c r="N1148" s="57"/>
      <c r="O1148" s="57"/>
      <c r="P1148" s="57"/>
      <c r="Q1148" s="57"/>
      <c r="R1148" s="57"/>
      <c r="S1148" s="57"/>
      <c r="T1148" s="57"/>
      <c r="U1148" s="57"/>
      <c r="V1148" s="57"/>
      <c r="W1148" s="57"/>
      <c r="X1148" s="57"/>
      <c r="Y1148" s="57"/>
      <c r="Z1148" s="57"/>
    </row>
    <row r="1149">
      <c r="A1149" s="58">
        <v>8842273.0</v>
      </c>
      <c r="B1149" s="57" t="s">
        <v>2611</v>
      </c>
      <c r="C1149" s="57" t="s">
        <v>210</v>
      </c>
      <c r="D1149" s="58">
        <v>10.96</v>
      </c>
      <c r="E1149" s="58">
        <v>1273.28</v>
      </c>
      <c r="F1149" s="58">
        <v>4091874.0</v>
      </c>
      <c r="G1149" s="57" t="s">
        <v>2639</v>
      </c>
      <c r="H1149" s="57" t="s">
        <v>2640</v>
      </c>
      <c r="I1149" s="57"/>
      <c r="J1149" s="57"/>
      <c r="K1149" s="57"/>
      <c r="L1149" s="57"/>
      <c r="M1149" s="57"/>
      <c r="N1149" s="57"/>
      <c r="O1149" s="57"/>
      <c r="P1149" s="57"/>
      <c r="Q1149" s="57"/>
      <c r="R1149" s="57"/>
      <c r="S1149" s="57"/>
      <c r="T1149" s="57"/>
      <c r="U1149" s="57"/>
      <c r="V1149" s="57"/>
      <c r="W1149" s="57"/>
      <c r="X1149" s="57"/>
      <c r="Y1149" s="57"/>
      <c r="Z1149" s="57"/>
    </row>
    <row r="1150">
      <c r="A1150" s="58">
        <v>8842222.0</v>
      </c>
      <c r="B1150" s="57" t="s">
        <v>2611</v>
      </c>
      <c r="C1150" s="57" t="s">
        <v>210</v>
      </c>
      <c r="D1150" s="58">
        <v>10.96</v>
      </c>
      <c r="E1150" s="58">
        <v>1262.32</v>
      </c>
      <c r="F1150" s="58">
        <v>4091727.0</v>
      </c>
      <c r="G1150" s="57" t="s">
        <v>2641</v>
      </c>
      <c r="H1150" s="57" t="s">
        <v>2642</v>
      </c>
      <c r="I1150" s="57"/>
      <c r="J1150" s="57"/>
      <c r="K1150" s="57"/>
      <c r="L1150" s="57"/>
      <c r="M1150" s="57"/>
      <c r="N1150" s="57"/>
      <c r="O1150" s="57"/>
      <c r="P1150" s="57"/>
      <c r="Q1150" s="57"/>
      <c r="R1150" s="57"/>
      <c r="S1150" s="57"/>
      <c r="T1150" s="57"/>
      <c r="U1150" s="57"/>
      <c r="V1150" s="57"/>
      <c r="W1150" s="57"/>
      <c r="X1150" s="57"/>
      <c r="Y1150" s="57"/>
      <c r="Z1150" s="57"/>
    </row>
    <row r="1151">
      <c r="A1151" s="58">
        <v>8842051.0</v>
      </c>
      <c r="B1151" s="57" t="s">
        <v>2611</v>
      </c>
      <c r="C1151" s="57" t="s">
        <v>210</v>
      </c>
      <c r="D1151" s="58">
        <v>16.97</v>
      </c>
      <c r="E1151" s="58">
        <v>1245.35</v>
      </c>
      <c r="F1151" s="58">
        <v>4091134.0</v>
      </c>
      <c r="G1151" s="57" t="s">
        <v>2643</v>
      </c>
      <c r="H1151" s="57" t="s">
        <v>2644</v>
      </c>
      <c r="I1151" s="57"/>
      <c r="J1151" s="57"/>
      <c r="K1151" s="57"/>
      <c r="L1151" s="57"/>
      <c r="M1151" s="57"/>
      <c r="N1151" s="57"/>
      <c r="O1151" s="57"/>
      <c r="P1151" s="57"/>
      <c r="Q1151" s="57"/>
      <c r="R1151" s="57"/>
      <c r="S1151" s="57"/>
      <c r="T1151" s="57"/>
      <c r="U1151" s="57"/>
      <c r="V1151" s="57"/>
      <c r="W1151" s="57"/>
      <c r="X1151" s="57"/>
      <c r="Y1151" s="57"/>
      <c r="Z1151" s="57"/>
    </row>
    <row r="1152">
      <c r="A1152" s="58">
        <v>8841927.0</v>
      </c>
      <c r="B1152" s="57" t="s">
        <v>2611</v>
      </c>
      <c r="C1152" s="57" t="s">
        <v>210</v>
      </c>
      <c r="D1152" s="58">
        <v>13.17</v>
      </c>
      <c r="E1152" s="58">
        <v>1232.18</v>
      </c>
      <c r="F1152" s="58">
        <v>4090717.0</v>
      </c>
      <c r="G1152" s="57" t="s">
        <v>2645</v>
      </c>
      <c r="H1152" s="57" t="s">
        <v>2646</v>
      </c>
      <c r="I1152" s="57"/>
      <c r="J1152" s="57"/>
      <c r="K1152" s="57"/>
      <c r="L1152" s="57"/>
      <c r="M1152" s="57"/>
      <c r="N1152" s="57"/>
      <c r="O1152" s="57"/>
      <c r="P1152" s="57"/>
      <c r="Q1152" s="57"/>
      <c r="R1152" s="57"/>
      <c r="S1152" s="57"/>
      <c r="T1152" s="57"/>
      <c r="U1152" s="57"/>
      <c r="V1152" s="57"/>
      <c r="W1152" s="57"/>
      <c r="X1152" s="57"/>
      <c r="Y1152" s="57"/>
      <c r="Z1152" s="57"/>
    </row>
    <row r="1153">
      <c r="A1153" s="58">
        <v>8841847.0</v>
      </c>
      <c r="B1153" s="57" t="s">
        <v>2611</v>
      </c>
      <c r="C1153" s="57" t="s">
        <v>210</v>
      </c>
      <c r="D1153" s="58">
        <v>10.96</v>
      </c>
      <c r="E1153" s="58">
        <v>1221.22</v>
      </c>
      <c r="F1153" s="58">
        <v>4090238.0</v>
      </c>
      <c r="G1153" s="57" t="s">
        <v>2647</v>
      </c>
      <c r="H1153" s="57" t="s">
        <v>2648</v>
      </c>
      <c r="I1153" s="57"/>
      <c r="J1153" s="57"/>
      <c r="K1153" s="57"/>
      <c r="L1153" s="57"/>
      <c r="M1153" s="57"/>
      <c r="N1153" s="57"/>
      <c r="O1153" s="57"/>
      <c r="P1153" s="57"/>
      <c r="Q1153" s="57"/>
      <c r="R1153" s="57"/>
      <c r="S1153" s="57"/>
      <c r="T1153" s="57"/>
      <c r="U1153" s="57"/>
      <c r="V1153" s="57"/>
      <c r="W1153" s="57"/>
      <c r="X1153" s="57"/>
      <c r="Y1153" s="57"/>
      <c r="Z1153" s="57"/>
    </row>
    <row r="1154">
      <c r="A1154" s="58">
        <v>8841807.0</v>
      </c>
      <c r="B1154" s="57" t="s">
        <v>2611</v>
      </c>
      <c r="C1154" s="57" t="s">
        <v>210</v>
      </c>
      <c r="D1154" s="58">
        <v>15.47</v>
      </c>
      <c r="E1154" s="58">
        <v>1205.75</v>
      </c>
      <c r="F1154" s="58">
        <v>4090118.0</v>
      </c>
      <c r="G1154" s="57" t="s">
        <v>2649</v>
      </c>
      <c r="H1154" s="57" t="s">
        <v>2650</v>
      </c>
      <c r="I1154" s="57"/>
      <c r="J1154" s="57"/>
      <c r="K1154" s="57"/>
      <c r="L1154" s="57"/>
      <c r="M1154" s="57"/>
      <c r="N1154" s="57"/>
      <c r="O1154" s="57"/>
      <c r="P1154" s="57"/>
      <c r="Q1154" s="57"/>
      <c r="R1154" s="57"/>
      <c r="S1154" s="57"/>
      <c r="T1154" s="57"/>
      <c r="U1154" s="57"/>
      <c r="V1154" s="57"/>
      <c r="W1154" s="57"/>
      <c r="X1154" s="57"/>
      <c r="Y1154" s="57"/>
      <c r="Z1154" s="57"/>
    </row>
    <row r="1155">
      <c r="A1155" s="58">
        <v>8838145.0</v>
      </c>
      <c r="B1155" s="57" t="s">
        <v>2651</v>
      </c>
      <c r="C1155" s="57" t="s">
        <v>210</v>
      </c>
      <c r="D1155" s="58">
        <v>12.55</v>
      </c>
      <c r="E1155" s="58">
        <v>1193.2</v>
      </c>
      <c r="F1155" s="58">
        <v>4069008.0</v>
      </c>
      <c r="G1155" s="58">
        <v>1.86950216E8</v>
      </c>
      <c r="H1155" s="57" t="s">
        <v>2652</v>
      </c>
      <c r="I1155" s="57"/>
      <c r="J1155" s="57"/>
      <c r="K1155" s="57"/>
      <c r="L1155" s="57"/>
      <c r="M1155" s="57"/>
      <c r="N1155" s="57"/>
      <c r="O1155" s="57"/>
      <c r="P1155" s="57"/>
      <c r="Q1155" s="57"/>
      <c r="R1155" s="57"/>
      <c r="S1155" s="57"/>
      <c r="T1155" s="57"/>
      <c r="U1155" s="57"/>
      <c r="V1155" s="57"/>
      <c r="W1155" s="57"/>
      <c r="X1155" s="57"/>
      <c r="Y1155" s="57"/>
      <c r="Z1155" s="57"/>
    </row>
    <row r="1156">
      <c r="A1156" s="58">
        <v>8834628.0</v>
      </c>
      <c r="B1156" s="57" t="s">
        <v>2653</v>
      </c>
      <c r="C1156" s="57" t="s">
        <v>210</v>
      </c>
      <c r="D1156" s="58">
        <v>10.65</v>
      </c>
      <c r="E1156" s="58">
        <v>1182.55</v>
      </c>
      <c r="F1156" s="58">
        <v>3969105.0</v>
      </c>
      <c r="G1156" s="57" t="s">
        <v>2654</v>
      </c>
      <c r="H1156" s="57" t="s">
        <v>2655</v>
      </c>
      <c r="I1156" s="57"/>
      <c r="J1156" s="57"/>
      <c r="K1156" s="57"/>
      <c r="L1156" s="57"/>
      <c r="M1156" s="57"/>
      <c r="N1156" s="57"/>
      <c r="O1156" s="57"/>
      <c r="P1156" s="57"/>
      <c r="Q1156" s="57"/>
      <c r="R1156" s="57"/>
      <c r="S1156" s="57"/>
      <c r="T1156" s="57"/>
      <c r="U1156" s="57"/>
      <c r="V1156" s="57"/>
      <c r="W1156" s="57"/>
      <c r="X1156" s="57"/>
      <c r="Y1156" s="57"/>
      <c r="Z1156" s="57"/>
    </row>
    <row r="1157">
      <c r="A1157" s="58">
        <v>8832799.0</v>
      </c>
      <c r="B1157" s="57" t="s">
        <v>2656</v>
      </c>
      <c r="C1157" s="57" t="s">
        <v>247</v>
      </c>
      <c r="D1157" s="58">
        <v>9.57</v>
      </c>
      <c r="E1157" s="58">
        <v>1192.12</v>
      </c>
      <c r="F1157" s="58">
        <v>4115176.0</v>
      </c>
      <c r="G1157" s="57" t="s">
        <v>2577</v>
      </c>
      <c r="H1157" s="57" t="s">
        <v>2657</v>
      </c>
      <c r="I1157" s="57"/>
      <c r="J1157" s="57"/>
      <c r="K1157" s="57"/>
      <c r="L1157" s="57"/>
      <c r="M1157" s="57"/>
      <c r="N1157" s="57"/>
      <c r="O1157" s="57"/>
      <c r="P1157" s="57"/>
      <c r="Q1157" s="57"/>
      <c r="R1157" s="57"/>
      <c r="S1157" s="57"/>
      <c r="T1157" s="57"/>
      <c r="U1157" s="57"/>
      <c r="V1157" s="57"/>
      <c r="W1157" s="57"/>
      <c r="X1157" s="57"/>
      <c r="Y1157" s="57"/>
      <c r="Z1157" s="57"/>
    </row>
    <row r="1158">
      <c r="A1158" s="58">
        <v>8831975.0</v>
      </c>
      <c r="B1158" s="57" t="s">
        <v>2658</v>
      </c>
      <c r="C1158" s="57" t="s">
        <v>247</v>
      </c>
      <c r="D1158" s="58">
        <v>9.57</v>
      </c>
      <c r="E1158" s="58">
        <v>1201.69</v>
      </c>
      <c r="F1158" s="58">
        <v>4117843.0</v>
      </c>
      <c r="G1158" s="57" t="s">
        <v>2659</v>
      </c>
      <c r="H1158" s="57" t="s">
        <v>2660</v>
      </c>
      <c r="I1158" s="57"/>
      <c r="J1158" s="57"/>
      <c r="K1158" s="57"/>
      <c r="L1158" s="57"/>
      <c r="M1158" s="57"/>
      <c r="N1158" s="57"/>
      <c r="O1158" s="57"/>
      <c r="P1158" s="57"/>
      <c r="Q1158" s="57"/>
      <c r="R1158" s="57"/>
      <c r="S1158" s="57"/>
      <c r="T1158" s="57"/>
      <c r="U1158" s="57"/>
      <c r="V1158" s="57"/>
      <c r="W1158" s="57"/>
      <c r="X1158" s="57"/>
      <c r="Y1158" s="57"/>
      <c r="Z1158" s="57"/>
    </row>
    <row r="1159">
      <c r="A1159" s="58">
        <v>8831425.0</v>
      </c>
      <c r="B1159" s="57" t="s">
        <v>2661</v>
      </c>
      <c r="C1159" s="57" t="s">
        <v>247</v>
      </c>
      <c r="D1159" s="58">
        <v>5.12</v>
      </c>
      <c r="E1159" s="58">
        <v>1206.81</v>
      </c>
      <c r="F1159" s="58">
        <v>3961057.0</v>
      </c>
      <c r="G1159" s="57" t="s">
        <v>2662</v>
      </c>
      <c r="H1159" s="57" t="s">
        <v>2663</v>
      </c>
      <c r="I1159" s="57"/>
      <c r="J1159" s="57"/>
      <c r="K1159" s="57"/>
      <c r="L1159" s="57"/>
      <c r="M1159" s="57"/>
      <c r="N1159" s="57"/>
      <c r="O1159" s="57"/>
      <c r="P1159" s="57"/>
      <c r="Q1159" s="57"/>
      <c r="R1159" s="57"/>
      <c r="S1159" s="57"/>
      <c r="T1159" s="57"/>
      <c r="U1159" s="57"/>
      <c r="V1159" s="57"/>
      <c r="W1159" s="57"/>
      <c r="X1159" s="57"/>
      <c r="Y1159" s="57"/>
      <c r="Z1159" s="57"/>
    </row>
    <row r="1160">
      <c r="A1160" s="58">
        <v>8831303.0</v>
      </c>
      <c r="B1160" s="57" t="s">
        <v>2664</v>
      </c>
      <c r="C1160" s="57" t="s">
        <v>247</v>
      </c>
      <c r="D1160" s="58">
        <v>5.06</v>
      </c>
      <c r="E1160" s="58">
        <v>1211.87</v>
      </c>
      <c r="F1160" s="58">
        <v>3967605.0</v>
      </c>
      <c r="G1160" s="57" t="s">
        <v>2665</v>
      </c>
      <c r="H1160" s="57" t="s">
        <v>2666</v>
      </c>
      <c r="I1160" s="57"/>
      <c r="J1160" s="57"/>
      <c r="K1160" s="57"/>
      <c r="L1160" s="57"/>
      <c r="M1160" s="57"/>
      <c r="N1160" s="57"/>
      <c r="O1160" s="57"/>
      <c r="P1160" s="57"/>
      <c r="Q1160" s="57"/>
      <c r="R1160" s="57"/>
      <c r="S1160" s="57"/>
      <c r="T1160" s="57"/>
      <c r="U1160" s="57"/>
      <c r="V1160" s="57"/>
      <c r="W1160" s="57"/>
      <c r="X1160" s="57"/>
      <c r="Y1160" s="57"/>
      <c r="Z1160" s="57"/>
    </row>
    <row r="1161">
      <c r="A1161" s="58">
        <v>8830648.0</v>
      </c>
      <c r="B1161" s="57" t="s">
        <v>2667</v>
      </c>
      <c r="C1161" s="57" t="s">
        <v>247</v>
      </c>
      <c r="D1161" s="58">
        <v>5.06</v>
      </c>
      <c r="E1161" s="58">
        <v>1216.93</v>
      </c>
      <c r="F1161" s="58">
        <v>3939442.0</v>
      </c>
      <c r="G1161" s="57" t="s">
        <v>2668</v>
      </c>
      <c r="H1161" s="57" t="s">
        <v>2669</v>
      </c>
      <c r="I1161" s="57"/>
      <c r="J1161" s="57"/>
      <c r="K1161" s="57"/>
      <c r="L1161" s="57"/>
      <c r="M1161" s="57"/>
      <c r="N1161" s="57"/>
      <c r="O1161" s="57"/>
      <c r="P1161" s="57"/>
      <c r="Q1161" s="57"/>
      <c r="R1161" s="57"/>
      <c r="S1161" s="57"/>
      <c r="T1161" s="57"/>
      <c r="U1161" s="57"/>
      <c r="V1161" s="57"/>
      <c r="W1161" s="57"/>
      <c r="X1161" s="57"/>
      <c r="Y1161" s="57"/>
      <c r="Z1161" s="57"/>
    </row>
    <row r="1162">
      <c r="A1162" s="58">
        <v>8830636.0</v>
      </c>
      <c r="B1162" s="57" t="s">
        <v>2667</v>
      </c>
      <c r="C1162" s="57" t="s">
        <v>247</v>
      </c>
      <c r="D1162" s="58">
        <v>3.45</v>
      </c>
      <c r="E1162" s="58">
        <v>1220.38</v>
      </c>
      <c r="F1162" s="58">
        <v>3957539.0</v>
      </c>
      <c r="G1162" s="57" t="s">
        <v>2670</v>
      </c>
      <c r="H1162" s="57" t="s">
        <v>2671</v>
      </c>
      <c r="I1162" s="57"/>
      <c r="J1162" s="57"/>
      <c r="K1162" s="57"/>
      <c r="L1162" s="57"/>
      <c r="M1162" s="57"/>
      <c r="N1162" s="57"/>
      <c r="O1162" s="57"/>
      <c r="P1162" s="57"/>
      <c r="Q1162" s="57"/>
      <c r="R1162" s="57"/>
      <c r="S1162" s="57"/>
      <c r="T1162" s="57"/>
      <c r="U1162" s="57"/>
      <c r="V1162" s="57"/>
      <c r="W1162" s="57"/>
      <c r="X1162" s="57"/>
      <c r="Y1162" s="57"/>
      <c r="Z1162" s="57"/>
    </row>
    <row r="1163">
      <c r="A1163" s="58">
        <v>8830632.0</v>
      </c>
      <c r="B1163" s="57" t="s">
        <v>2667</v>
      </c>
      <c r="C1163" s="57" t="s">
        <v>247</v>
      </c>
      <c r="D1163" s="58">
        <v>5.06</v>
      </c>
      <c r="E1163" s="58">
        <v>1225.44</v>
      </c>
      <c r="F1163" s="58">
        <v>3963714.0</v>
      </c>
      <c r="G1163" s="57" t="s">
        <v>2672</v>
      </c>
      <c r="H1163" s="57" t="s">
        <v>2673</v>
      </c>
      <c r="I1163" s="57"/>
      <c r="J1163" s="57"/>
      <c r="K1163" s="57"/>
      <c r="L1163" s="57"/>
      <c r="M1163" s="57"/>
      <c r="N1163" s="57"/>
      <c r="O1163" s="57"/>
      <c r="P1163" s="57"/>
      <c r="Q1163" s="57"/>
      <c r="R1163" s="57"/>
      <c r="S1163" s="57"/>
      <c r="T1163" s="57"/>
      <c r="U1163" s="57"/>
      <c r="V1163" s="57"/>
      <c r="W1163" s="57"/>
      <c r="X1163" s="57"/>
      <c r="Y1163" s="57"/>
      <c r="Z1163" s="57"/>
    </row>
    <row r="1164">
      <c r="A1164" s="58">
        <v>8830365.0</v>
      </c>
      <c r="B1164" s="57" t="s">
        <v>2674</v>
      </c>
      <c r="C1164" s="57" t="s">
        <v>247</v>
      </c>
      <c r="D1164" s="58">
        <v>3.45</v>
      </c>
      <c r="E1164" s="58">
        <v>1228.89</v>
      </c>
      <c r="F1164" s="58">
        <v>3945967.0</v>
      </c>
      <c r="G1164" s="57" t="s">
        <v>2675</v>
      </c>
      <c r="H1164" s="57" t="s">
        <v>2676</v>
      </c>
      <c r="I1164" s="57"/>
      <c r="J1164" s="57"/>
      <c r="K1164" s="57"/>
      <c r="L1164" s="57"/>
      <c r="M1164" s="57"/>
      <c r="N1164" s="57"/>
      <c r="O1164" s="57"/>
      <c r="P1164" s="57"/>
      <c r="Q1164" s="57"/>
      <c r="R1164" s="57"/>
      <c r="S1164" s="57"/>
      <c r="T1164" s="57"/>
      <c r="U1164" s="57"/>
      <c r="V1164" s="57"/>
      <c r="W1164" s="57"/>
      <c r="X1164" s="57"/>
      <c r="Y1164" s="57"/>
      <c r="Z1164" s="57"/>
    </row>
    <row r="1165">
      <c r="A1165" s="58">
        <v>8826907.0</v>
      </c>
      <c r="B1165" s="57" t="s">
        <v>2677</v>
      </c>
      <c r="C1165" s="57" t="s">
        <v>210</v>
      </c>
      <c r="D1165" s="58">
        <v>13.17</v>
      </c>
      <c r="E1165" s="58">
        <v>1215.72</v>
      </c>
      <c r="F1165" s="58">
        <v>4122381.0</v>
      </c>
      <c r="G1165" s="57" t="s">
        <v>2678</v>
      </c>
      <c r="H1165" s="57" t="s">
        <v>2679</v>
      </c>
      <c r="I1165" s="57"/>
      <c r="J1165" s="57"/>
      <c r="K1165" s="57"/>
      <c r="L1165" s="57"/>
      <c r="M1165" s="57"/>
      <c r="N1165" s="57"/>
      <c r="O1165" s="57"/>
      <c r="P1165" s="57"/>
      <c r="Q1165" s="57"/>
      <c r="R1165" s="57"/>
      <c r="S1165" s="57"/>
      <c r="T1165" s="57"/>
      <c r="U1165" s="57"/>
      <c r="V1165" s="57"/>
      <c r="W1165" s="57"/>
      <c r="X1165" s="57"/>
      <c r="Y1165" s="57"/>
      <c r="Z1165" s="57"/>
    </row>
    <row r="1166">
      <c r="A1166" s="58">
        <v>8825321.0</v>
      </c>
      <c r="B1166" s="57" t="s">
        <v>2677</v>
      </c>
      <c r="C1166" s="57" t="s">
        <v>210</v>
      </c>
      <c r="D1166" s="58">
        <v>10.96</v>
      </c>
      <c r="E1166" s="58">
        <v>1204.76</v>
      </c>
      <c r="F1166" s="58">
        <v>4119061.0</v>
      </c>
      <c r="G1166" s="57" t="s">
        <v>2680</v>
      </c>
      <c r="H1166" s="57" t="s">
        <v>2681</v>
      </c>
      <c r="I1166" s="57"/>
      <c r="J1166" s="57"/>
      <c r="K1166" s="57"/>
      <c r="L1166" s="57"/>
      <c r="M1166" s="57"/>
      <c r="N1166" s="57"/>
      <c r="O1166" s="57"/>
      <c r="P1166" s="57"/>
      <c r="Q1166" s="57"/>
      <c r="R1166" s="57"/>
      <c r="S1166" s="57"/>
      <c r="T1166" s="57"/>
      <c r="U1166" s="57"/>
      <c r="V1166" s="57"/>
      <c r="W1166" s="57"/>
      <c r="X1166" s="57"/>
      <c r="Y1166" s="57"/>
      <c r="Z1166" s="57"/>
    </row>
    <row r="1167">
      <c r="A1167" s="58">
        <v>8825105.0</v>
      </c>
      <c r="B1167" s="57" t="s">
        <v>2677</v>
      </c>
      <c r="C1167" s="57" t="s">
        <v>210</v>
      </c>
      <c r="D1167" s="58">
        <v>15.95</v>
      </c>
      <c r="E1167" s="58">
        <v>1188.81</v>
      </c>
      <c r="F1167" s="58">
        <v>4118643.0</v>
      </c>
      <c r="G1167" s="57" t="s">
        <v>2682</v>
      </c>
      <c r="H1167" s="57" t="s">
        <v>2683</v>
      </c>
      <c r="I1167" s="57"/>
      <c r="J1167" s="57"/>
      <c r="K1167" s="57"/>
      <c r="L1167" s="57"/>
      <c r="M1167" s="57"/>
      <c r="N1167" s="57"/>
      <c r="O1167" s="57"/>
      <c r="P1167" s="57"/>
      <c r="Q1167" s="57"/>
      <c r="R1167" s="57"/>
      <c r="S1167" s="57"/>
      <c r="T1167" s="57"/>
      <c r="U1167" s="57"/>
      <c r="V1167" s="57"/>
      <c r="W1167" s="57"/>
      <c r="X1167" s="57"/>
      <c r="Y1167" s="57"/>
      <c r="Z1167" s="57"/>
    </row>
    <row r="1168">
      <c r="A1168" s="58">
        <v>8822489.0</v>
      </c>
      <c r="B1168" s="57" t="s">
        <v>2684</v>
      </c>
      <c r="C1168" s="57" t="s">
        <v>210</v>
      </c>
      <c r="D1168" s="58">
        <v>15.07</v>
      </c>
      <c r="E1168" s="58">
        <v>1173.74</v>
      </c>
      <c r="F1168" s="58">
        <v>4113964.0</v>
      </c>
      <c r="G1168" s="57" t="s">
        <v>2685</v>
      </c>
      <c r="H1168" s="57" t="s">
        <v>2686</v>
      </c>
      <c r="I1168" s="57"/>
      <c r="J1168" s="57"/>
      <c r="K1168" s="57"/>
      <c r="L1168" s="57"/>
      <c r="M1168" s="57"/>
      <c r="N1168" s="57"/>
      <c r="O1168" s="57"/>
      <c r="P1168" s="57"/>
      <c r="Q1168" s="57"/>
      <c r="R1168" s="57"/>
      <c r="S1168" s="57"/>
      <c r="T1168" s="57"/>
      <c r="U1168" s="57"/>
      <c r="V1168" s="57"/>
      <c r="W1168" s="57"/>
      <c r="X1168" s="57"/>
      <c r="Y1168" s="57"/>
      <c r="Z1168" s="57"/>
    </row>
    <row r="1169">
      <c r="A1169" s="58">
        <v>8821695.0</v>
      </c>
      <c r="B1169" s="57" t="s">
        <v>2684</v>
      </c>
      <c r="C1169" s="57" t="s">
        <v>210</v>
      </c>
      <c r="D1169" s="58">
        <v>15.47</v>
      </c>
      <c r="E1169" s="58">
        <v>1158.27</v>
      </c>
      <c r="F1169" s="58">
        <v>4112182.0</v>
      </c>
      <c r="G1169" s="57" t="s">
        <v>2687</v>
      </c>
      <c r="H1169" s="57" t="s">
        <v>2688</v>
      </c>
      <c r="I1169" s="57"/>
      <c r="J1169" s="57"/>
      <c r="K1169" s="57"/>
      <c r="L1169" s="57"/>
      <c r="M1169" s="57"/>
      <c r="N1169" s="57"/>
      <c r="O1169" s="57"/>
      <c r="P1169" s="57"/>
      <c r="Q1169" s="57"/>
      <c r="R1169" s="57"/>
      <c r="S1169" s="57"/>
      <c r="T1169" s="57"/>
      <c r="U1169" s="57"/>
      <c r="V1169" s="57"/>
      <c r="W1169" s="57"/>
      <c r="X1169" s="57"/>
      <c r="Y1169" s="57"/>
      <c r="Z1169" s="57"/>
    </row>
    <row r="1170">
      <c r="A1170" s="58">
        <v>8821453.0</v>
      </c>
      <c r="B1170" s="57" t="s">
        <v>2684</v>
      </c>
      <c r="C1170" s="57" t="s">
        <v>210</v>
      </c>
      <c r="D1170" s="58">
        <v>13.46</v>
      </c>
      <c r="E1170" s="58">
        <v>1144.81</v>
      </c>
      <c r="F1170" s="58">
        <v>4111844.0</v>
      </c>
      <c r="G1170" s="57" t="s">
        <v>2689</v>
      </c>
      <c r="H1170" s="57" t="s">
        <v>2690</v>
      </c>
      <c r="I1170" s="57"/>
      <c r="J1170" s="57"/>
      <c r="K1170" s="57"/>
      <c r="L1170" s="57"/>
      <c r="M1170" s="57"/>
      <c r="N1170" s="57"/>
      <c r="O1170" s="57"/>
      <c r="P1170" s="57"/>
      <c r="Q1170" s="57"/>
      <c r="R1170" s="57"/>
      <c r="S1170" s="57"/>
      <c r="T1170" s="57"/>
      <c r="U1170" s="57"/>
      <c r="V1170" s="57"/>
      <c r="W1170" s="57"/>
      <c r="X1170" s="57"/>
      <c r="Y1170" s="57"/>
      <c r="Z1170" s="57"/>
    </row>
    <row r="1171">
      <c r="A1171" s="58">
        <v>8821410.0</v>
      </c>
      <c r="B1171" s="57" t="s">
        <v>2684</v>
      </c>
      <c r="C1171" s="57" t="s">
        <v>210</v>
      </c>
      <c r="D1171" s="58">
        <v>9.54</v>
      </c>
      <c r="E1171" s="58">
        <v>1135.27</v>
      </c>
      <c r="F1171" s="58">
        <v>4111749.0</v>
      </c>
      <c r="G1171" s="58">
        <v>1.86966916E8</v>
      </c>
      <c r="H1171" s="57" t="s">
        <v>2691</v>
      </c>
      <c r="I1171" s="57"/>
      <c r="J1171" s="57"/>
      <c r="K1171" s="57"/>
      <c r="L1171" s="57"/>
      <c r="M1171" s="57"/>
      <c r="N1171" s="57"/>
      <c r="O1171" s="57"/>
      <c r="P1171" s="57"/>
      <c r="Q1171" s="57"/>
      <c r="R1171" s="57"/>
      <c r="S1171" s="57"/>
      <c r="T1171" s="57"/>
      <c r="U1171" s="57"/>
      <c r="V1171" s="57"/>
      <c r="W1171" s="57"/>
      <c r="X1171" s="57"/>
      <c r="Y1171" s="57"/>
      <c r="Z1171" s="57"/>
    </row>
    <row r="1172">
      <c r="A1172" s="58">
        <v>8821080.0</v>
      </c>
      <c r="B1172" s="57" t="s">
        <v>2684</v>
      </c>
      <c r="C1172" s="57" t="s">
        <v>210</v>
      </c>
      <c r="D1172" s="58">
        <v>11.67</v>
      </c>
      <c r="E1172" s="58">
        <v>1123.6</v>
      </c>
      <c r="F1172" s="58">
        <v>4111142.0</v>
      </c>
      <c r="G1172" s="58">
        <v>1.86966922E8</v>
      </c>
      <c r="H1172" s="57" t="s">
        <v>2692</v>
      </c>
      <c r="I1172" s="57"/>
      <c r="J1172" s="57"/>
      <c r="K1172" s="57"/>
      <c r="L1172" s="57"/>
      <c r="M1172" s="57"/>
      <c r="N1172" s="57"/>
      <c r="O1172" s="57"/>
      <c r="P1172" s="57"/>
      <c r="Q1172" s="57"/>
      <c r="R1172" s="57"/>
      <c r="S1172" s="57"/>
      <c r="T1172" s="57"/>
      <c r="U1172" s="57"/>
      <c r="V1172" s="57"/>
      <c r="W1172" s="57"/>
      <c r="X1172" s="57"/>
      <c r="Y1172" s="57"/>
      <c r="Z1172" s="57"/>
    </row>
    <row r="1173">
      <c r="A1173" s="58">
        <v>8821077.0</v>
      </c>
      <c r="B1173" s="57" t="s">
        <v>2684</v>
      </c>
      <c r="C1173" s="57" t="s">
        <v>210</v>
      </c>
      <c r="D1173" s="58">
        <v>13.17</v>
      </c>
      <c r="E1173" s="58">
        <v>1110.43</v>
      </c>
      <c r="F1173" s="58">
        <v>4111136.0</v>
      </c>
      <c r="G1173" s="57" t="s">
        <v>2693</v>
      </c>
      <c r="H1173" s="57" t="s">
        <v>2694</v>
      </c>
      <c r="I1173" s="57"/>
      <c r="J1173" s="57"/>
      <c r="K1173" s="57"/>
      <c r="L1173" s="57"/>
      <c r="M1173" s="57"/>
      <c r="N1173" s="57"/>
      <c r="O1173" s="57"/>
      <c r="P1173" s="57"/>
      <c r="Q1173" s="57"/>
      <c r="R1173" s="57"/>
      <c r="S1173" s="57"/>
      <c r="T1173" s="57"/>
      <c r="U1173" s="57"/>
      <c r="V1173" s="57"/>
      <c r="W1173" s="57"/>
      <c r="X1173" s="57"/>
      <c r="Y1173" s="57"/>
      <c r="Z1173" s="57"/>
    </row>
    <row r="1174">
      <c r="A1174" s="58">
        <v>8820461.0</v>
      </c>
      <c r="B1174" s="57" t="s">
        <v>2695</v>
      </c>
      <c r="C1174" s="57" t="s">
        <v>210</v>
      </c>
      <c r="D1174" s="58">
        <v>17.08</v>
      </c>
      <c r="E1174" s="58">
        <v>1093.35</v>
      </c>
      <c r="F1174" s="58">
        <v>4110065.0</v>
      </c>
      <c r="G1174" s="57" t="s">
        <v>2696</v>
      </c>
      <c r="H1174" s="57" t="s">
        <v>2697</v>
      </c>
      <c r="I1174" s="57"/>
      <c r="J1174" s="57"/>
      <c r="K1174" s="57"/>
      <c r="L1174" s="57"/>
      <c r="M1174" s="57"/>
      <c r="N1174" s="57"/>
      <c r="O1174" s="57"/>
      <c r="P1174" s="57"/>
      <c r="Q1174" s="57"/>
      <c r="R1174" s="57"/>
      <c r="S1174" s="57"/>
      <c r="T1174" s="57"/>
      <c r="U1174" s="57"/>
      <c r="V1174" s="57"/>
      <c r="W1174" s="57"/>
      <c r="X1174" s="57"/>
      <c r="Y1174" s="57"/>
      <c r="Z1174" s="57"/>
    </row>
    <row r="1175">
      <c r="A1175" s="58">
        <v>8820144.0</v>
      </c>
      <c r="B1175" s="57" t="s">
        <v>2695</v>
      </c>
      <c r="C1175" s="57" t="s">
        <v>210</v>
      </c>
      <c r="D1175" s="58">
        <v>13.46</v>
      </c>
      <c r="E1175" s="58">
        <v>1079.89</v>
      </c>
      <c r="F1175" s="58">
        <v>4109588.0</v>
      </c>
      <c r="G1175" s="57" t="s">
        <v>2698</v>
      </c>
      <c r="H1175" s="57" t="s">
        <v>2699</v>
      </c>
      <c r="I1175" s="57"/>
      <c r="J1175" s="57"/>
      <c r="K1175" s="57"/>
      <c r="L1175" s="57"/>
      <c r="M1175" s="57"/>
      <c r="N1175" s="57"/>
      <c r="O1175" s="57"/>
      <c r="P1175" s="57"/>
      <c r="Q1175" s="57"/>
      <c r="R1175" s="57"/>
      <c r="S1175" s="57"/>
      <c r="T1175" s="57"/>
      <c r="U1175" s="57"/>
      <c r="V1175" s="57"/>
      <c r="W1175" s="57"/>
      <c r="X1175" s="57"/>
      <c r="Y1175" s="57"/>
      <c r="Z1175" s="57"/>
    </row>
    <row r="1176">
      <c r="A1176" s="58">
        <v>8818970.0</v>
      </c>
      <c r="B1176" s="57" t="s">
        <v>2695</v>
      </c>
      <c r="C1176" s="57" t="s">
        <v>210</v>
      </c>
      <c r="D1176" s="58">
        <v>12.57</v>
      </c>
      <c r="E1176" s="58">
        <v>1067.32</v>
      </c>
      <c r="F1176" s="58">
        <v>4107474.0</v>
      </c>
      <c r="G1176" s="57" t="s">
        <v>2700</v>
      </c>
      <c r="H1176" s="57" t="s">
        <v>2701</v>
      </c>
      <c r="I1176" s="57"/>
      <c r="J1176" s="57"/>
      <c r="K1176" s="57"/>
      <c r="L1176" s="57"/>
      <c r="M1176" s="57"/>
      <c r="N1176" s="57"/>
      <c r="O1176" s="57"/>
      <c r="P1176" s="57"/>
      <c r="Q1176" s="57"/>
      <c r="R1176" s="57"/>
      <c r="S1176" s="57"/>
      <c r="T1176" s="57"/>
      <c r="U1176" s="57"/>
      <c r="V1176" s="57"/>
      <c r="W1176" s="57"/>
      <c r="X1176" s="57"/>
      <c r="Y1176" s="57"/>
      <c r="Z1176" s="57"/>
    </row>
    <row r="1177">
      <c r="A1177" s="58">
        <v>8818734.0</v>
      </c>
      <c r="B1177" s="57" t="s">
        <v>2695</v>
      </c>
      <c r="C1177" s="57" t="s">
        <v>210</v>
      </c>
      <c r="D1177" s="58">
        <v>15.36</v>
      </c>
      <c r="E1177" s="58">
        <v>1051.96</v>
      </c>
      <c r="F1177" s="58">
        <v>4107056.0</v>
      </c>
      <c r="G1177" s="57" t="s">
        <v>2702</v>
      </c>
      <c r="H1177" s="57" t="s">
        <v>2703</v>
      </c>
      <c r="I1177" s="57"/>
      <c r="J1177" s="57"/>
      <c r="K1177" s="57"/>
      <c r="L1177" s="57"/>
      <c r="M1177" s="57"/>
      <c r="N1177" s="57"/>
      <c r="O1177" s="57"/>
      <c r="P1177" s="57"/>
      <c r="Q1177" s="57"/>
      <c r="R1177" s="57"/>
      <c r="S1177" s="57"/>
      <c r="T1177" s="57"/>
      <c r="U1177" s="57"/>
      <c r="V1177" s="57"/>
      <c r="W1177" s="57"/>
      <c r="X1177" s="57"/>
      <c r="Y1177" s="57"/>
      <c r="Z1177" s="57"/>
    </row>
    <row r="1178">
      <c r="A1178" s="58">
        <v>8818272.0</v>
      </c>
      <c r="B1178" s="57" t="s">
        <v>2695</v>
      </c>
      <c r="C1178" s="57" t="s">
        <v>210</v>
      </c>
      <c r="D1178" s="58">
        <v>16.97</v>
      </c>
      <c r="E1178" s="58">
        <v>1034.99</v>
      </c>
      <c r="F1178" s="58">
        <v>4106275.0</v>
      </c>
      <c r="G1178" s="57" t="s">
        <v>2704</v>
      </c>
      <c r="H1178" s="57" t="s">
        <v>2705</v>
      </c>
      <c r="I1178" s="57"/>
      <c r="J1178" s="57"/>
      <c r="K1178" s="57"/>
      <c r="L1178" s="57"/>
      <c r="M1178" s="57"/>
      <c r="N1178" s="57"/>
      <c r="O1178" s="57"/>
      <c r="P1178" s="57"/>
      <c r="Q1178" s="57"/>
      <c r="R1178" s="57"/>
      <c r="S1178" s="57"/>
      <c r="T1178" s="57"/>
      <c r="U1178" s="57"/>
      <c r="V1178" s="57"/>
      <c r="W1178" s="57"/>
      <c r="X1178" s="57"/>
      <c r="Y1178" s="57"/>
      <c r="Z1178" s="57"/>
    </row>
    <row r="1179">
      <c r="A1179" s="58">
        <v>8817931.0</v>
      </c>
      <c r="B1179" s="57" t="s">
        <v>2695</v>
      </c>
      <c r="C1179" s="57" t="s">
        <v>210</v>
      </c>
      <c r="D1179" s="58">
        <v>10.96</v>
      </c>
      <c r="E1179" s="58">
        <v>1024.03</v>
      </c>
      <c r="F1179" s="58">
        <v>4105659.0</v>
      </c>
      <c r="G1179" s="57" t="s">
        <v>2706</v>
      </c>
      <c r="H1179" s="57" t="s">
        <v>2707</v>
      </c>
      <c r="I1179" s="57"/>
      <c r="J1179" s="57"/>
      <c r="K1179" s="57"/>
      <c r="L1179" s="57"/>
      <c r="M1179" s="57"/>
      <c r="N1179" s="57"/>
      <c r="O1179" s="57"/>
      <c r="P1179" s="57"/>
      <c r="Q1179" s="57"/>
      <c r="R1179" s="57"/>
      <c r="S1179" s="57"/>
      <c r="T1179" s="57"/>
      <c r="U1179" s="57"/>
      <c r="V1179" s="57"/>
      <c r="W1179" s="57"/>
      <c r="X1179" s="57"/>
      <c r="Y1179" s="57"/>
      <c r="Z1179" s="57"/>
    </row>
    <row r="1180">
      <c r="A1180" s="58">
        <v>8817683.0</v>
      </c>
      <c r="B1180" s="57" t="s">
        <v>2695</v>
      </c>
      <c r="C1180" s="57" t="s">
        <v>210</v>
      </c>
      <c r="D1180" s="58">
        <v>10.96</v>
      </c>
      <c r="E1180" s="58">
        <v>1013.07</v>
      </c>
      <c r="F1180" s="58">
        <v>4105213.0</v>
      </c>
      <c r="G1180" s="57" t="s">
        <v>2708</v>
      </c>
      <c r="H1180" s="57" t="s">
        <v>2709</v>
      </c>
      <c r="I1180" s="57"/>
      <c r="J1180" s="57"/>
      <c r="K1180" s="57"/>
      <c r="L1180" s="57"/>
      <c r="M1180" s="57"/>
      <c r="N1180" s="57"/>
      <c r="O1180" s="57"/>
      <c r="P1180" s="57"/>
      <c r="Q1180" s="57"/>
      <c r="R1180" s="57"/>
      <c r="S1180" s="57"/>
      <c r="T1180" s="57"/>
      <c r="U1180" s="57"/>
      <c r="V1180" s="57"/>
      <c r="W1180" s="57"/>
      <c r="X1180" s="57"/>
      <c r="Y1180" s="57"/>
      <c r="Z1180" s="57"/>
    </row>
    <row r="1181">
      <c r="A1181" s="58">
        <v>8812974.0</v>
      </c>
      <c r="B1181" s="57" t="s">
        <v>2710</v>
      </c>
      <c r="C1181" s="57" t="s">
        <v>210</v>
      </c>
      <c r="D1181" s="58">
        <v>13.46</v>
      </c>
      <c r="E1181" s="58">
        <v>999.61</v>
      </c>
      <c r="F1181" s="58">
        <v>4095349.0</v>
      </c>
      <c r="G1181" s="57" t="s">
        <v>2711</v>
      </c>
      <c r="H1181" s="57" t="s">
        <v>2712</v>
      </c>
      <c r="I1181" s="57"/>
      <c r="J1181" s="57"/>
      <c r="K1181" s="57"/>
      <c r="L1181" s="57"/>
      <c r="M1181" s="57"/>
      <c r="N1181" s="57"/>
      <c r="O1181" s="57"/>
      <c r="P1181" s="57"/>
      <c r="Q1181" s="57"/>
      <c r="R1181" s="57"/>
      <c r="S1181" s="57"/>
      <c r="T1181" s="57"/>
      <c r="U1181" s="57"/>
      <c r="V1181" s="57"/>
      <c r="W1181" s="57"/>
      <c r="X1181" s="57"/>
      <c r="Y1181" s="57"/>
      <c r="Z1181" s="57"/>
    </row>
    <row r="1182">
      <c r="A1182" s="58">
        <v>8812329.0</v>
      </c>
      <c r="B1182" s="57" t="s">
        <v>2710</v>
      </c>
      <c r="C1182" s="57" t="s">
        <v>210</v>
      </c>
      <c r="D1182" s="58">
        <v>11.67</v>
      </c>
      <c r="E1182" s="58">
        <v>987.94</v>
      </c>
      <c r="F1182" s="58">
        <v>4094043.0</v>
      </c>
      <c r="G1182" s="58">
        <v>1.86959597E8</v>
      </c>
      <c r="H1182" s="57" t="s">
        <v>2713</v>
      </c>
      <c r="I1182" s="57"/>
      <c r="J1182" s="57"/>
      <c r="K1182" s="57"/>
      <c r="L1182" s="57"/>
      <c r="M1182" s="57"/>
      <c r="N1182" s="57"/>
      <c r="O1182" s="57"/>
      <c r="P1182" s="57"/>
      <c r="Q1182" s="57"/>
      <c r="R1182" s="57"/>
      <c r="S1182" s="57"/>
      <c r="T1182" s="57"/>
      <c r="U1182" s="57"/>
      <c r="V1182" s="57"/>
      <c r="W1182" s="57"/>
      <c r="X1182" s="57"/>
      <c r="Y1182" s="57"/>
      <c r="Z1182" s="57"/>
    </row>
    <row r="1183">
      <c r="A1183" s="58">
        <v>8810476.0</v>
      </c>
      <c r="B1183" s="57" t="s">
        <v>2710</v>
      </c>
      <c r="C1183" s="57" t="s">
        <v>210</v>
      </c>
      <c r="D1183" s="58">
        <v>13.17</v>
      </c>
      <c r="E1183" s="58">
        <v>974.77</v>
      </c>
      <c r="F1183" s="58">
        <v>4090077.0</v>
      </c>
      <c r="G1183" s="57" t="s">
        <v>2714</v>
      </c>
      <c r="H1183" s="57" t="s">
        <v>2715</v>
      </c>
      <c r="I1183" s="57"/>
      <c r="J1183" s="57"/>
      <c r="K1183" s="57"/>
      <c r="L1183" s="57"/>
      <c r="M1183" s="57"/>
      <c r="N1183" s="57"/>
      <c r="O1183" s="57"/>
      <c r="P1183" s="57"/>
      <c r="Q1183" s="57"/>
      <c r="R1183" s="57"/>
      <c r="S1183" s="57"/>
      <c r="T1183" s="57"/>
      <c r="U1183" s="57"/>
      <c r="V1183" s="57"/>
      <c r="W1183" s="57"/>
      <c r="X1183" s="57"/>
      <c r="Y1183" s="57"/>
      <c r="Z1183" s="57"/>
    </row>
    <row r="1184">
      <c r="A1184" s="58">
        <v>8810417.0</v>
      </c>
      <c r="B1184" s="57" t="s">
        <v>2710</v>
      </c>
      <c r="C1184" s="57" t="s">
        <v>210</v>
      </c>
      <c r="D1184" s="58">
        <v>16.05</v>
      </c>
      <c r="E1184" s="58">
        <v>958.72</v>
      </c>
      <c r="F1184" s="58">
        <v>4089919.0</v>
      </c>
      <c r="G1184" s="57" t="s">
        <v>2716</v>
      </c>
      <c r="H1184" s="57" t="s">
        <v>2717</v>
      </c>
      <c r="I1184" s="57"/>
      <c r="J1184" s="57"/>
      <c r="K1184" s="57"/>
      <c r="L1184" s="57"/>
      <c r="M1184" s="57"/>
      <c r="N1184" s="57"/>
      <c r="O1184" s="57"/>
      <c r="P1184" s="57"/>
      <c r="Q1184" s="57"/>
      <c r="R1184" s="57"/>
      <c r="S1184" s="57"/>
      <c r="T1184" s="57"/>
      <c r="U1184" s="57"/>
      <c r="V1184" s="57"/>
      <c r="W1184" s="57"/>
      <c r="X1184" s="57"/>
      <c r="Y1184" s="57"/>
      <c r="Z1184" s="57"/>
    </row>
    <row r="1185">
      <c r="A1185" s="58">
        <v>8804362.0</v>
      </c>
      <c r="B1185" s="57" t="s">
        <v>2718</v>
      </c>
      <c r="C1185" s="57" t="s">
        <v>210</v>
      </c>
      <c r="D1185" s="58">
        <v>12.55</v>
      </c>
      <c r="E1185" s="58">
        <v>946.17</v>
      </c>
      <c r="F1185" s="58">
        <v>4068157.0</v>
      </c>
      <c r="G1185" s="58">
        <v>1.86944663E8</v>
      </c>
      <c r="H1185" s="57" t="s">
        <v>2719</v>
      </c>
      <c r="I1185" s="57"/>
      <c r="J1185" s="57"/>
      <c r="K1185" s="57"/>
      <c r="L1185" s="57"/>
      <c r="M1185" s="57"/>
      <c r="N1185" s="57"/>
      <c r="O1185" s="57"/>
      <c r="P1185" s="57"/>
      <c r="Q1185" s="57"/>
      <c r="R1185" s="57"/>
      <c r="S1185" s="57"/>
      <c r="T1185" s="57"/>
      <c r="U1185" s="57"/>
      <c r="V1185" s="57"/>
      <c r="W1185" s="57"/>
      <c r="X1185" s="57"/>
      <c r="Y1185" s="57"/>
      <c r="Z1185" s="57"/>
    </row>
    <row r="1186">
      <c r="A1186" s="58">
        <v>8803319.0</v>
      </c>
      <c r="B1186" s="57" t="s">
        <v>2718</v>
      </c>
      <c r="C1186" s="57" t="s">
        <v>210</v>
      </c>
      <c r="D1186" s="58">
        <v>8.69</v>
      </c>
      <c r="E1186" s="58">
        <v>937.48</v>
      </c>
      <c r="F1186" s="58">
        <v>4061341.0</v>
      </c>
      <c r="G1186" s="58">
        <v>1.86942486E8</v>
      </c>
      <c r="H1186" s="57" t="s">
        <v>2720</v>
      </c>
      <c r="I1186" s="57"/>
      <c r="J1186" s="57"/>
      <c r="K1186" s="57"/>
      <c r="L1186" s="57"/>
      <c r="M1186" s="57"/>
      <c r="N1186" s="57"/>
      <c r="O1186" s="57"/>
      <c r="P1186" s="57"/>
      <c r="Q1186" s="57"/>
      <c r="R1186" s="57"/>
      <c r="S1186" s="57"/>
      <c r="T1186" s="57"/>
      <c r="U1186" s="57"/>
      <c r="V1186" s="57"/>
      <c r="W1186" s="57"/>
      <c r="X1186" s="57"/>
      <c r="Y1186" s="57"/>
      <c r="Z1186" s="57"/>
    </row>
    <row r="1187">
      <c r="A1187" s="58">
        <v>8800080.0</v>
      </c>
      <c r="B1187" s="57" t="s">
        <v>2721</v>
      </c>
      <c r="C1187" s="57" t="s">
        <v>210</v>
      </c>
      <c r="D1187" s="58">
        <v>7.18</v>
      </c>
      <c r="E1187" s="58">
        <v>930.3</v>
      </c>
      <c r="F1187" s="58">
        <v>4016910.0</v>
      </c>
      <c r="G1187" s="58">
        <v>1.8694307E8</v>
      </c>
      <c r="H1187" s="57" t="s">
        <v>2722</v>
      </c>
      <c r="I1187" s="57"/>
      <c r="J1187" s="57"/>
      <c r="K1187" s="57"/>
      <c r="L1187" s="57"/>
      <c r="M1187" s="57"/>
      <c r="N1187" s="57"/>
      <c r="O1187" s="57"/>
      <c r="P1187" s="57"/>
      <c r="Q1187" s="57"/>
      <c r="R1187" s="57"/>
      <c r="S1187" s="57"/>
      <c r="T1187" s="57"/>
      <c r="U1187" s="57"/>
      <c r="V1187" s="57"/>
      <c r="W1187" s="57"/>
      <c r="X1187" s="57"/>
      <c r="Y1187" s="57"/>
      <c r="Z1187" s="57"/>
    </row>
    <row r="1188">
      <c r="A1188" s="58">
        <v>8800044.0</v>
      </c>
      <c r="B1188" s="57" t="s">
        <v>2721</v>
      </c>
      <c r="C1188" s="57" t="s">
        <v>210</v>
      </c>
      <c r="D1188" s="58">
        <v>8.47</v>
      </c>
      <c r="E1188" s="58">
        <v>921.83</v>
      </c>
      <c r="F1188" s="58">
        <v>4016252.0</v>
      </c>
      <c r="G1188" s="57" t="s">
        <v>2723</v>
      </c>
      <c r="H1188" s="57" t="s">
        <v>2724</v>
      </c>
      <c r="I1188" s="57"/>
      <c r="J1188" s="57"/>
      <c r="K1188" s="57"/>
      <c r="L1188" s="57"/>
      <c r="M1188" s="57"/>
      <c r="N1188" s="57"/>
      <c r="O1188" s="57"/>
      <c r="P1188" s="57"/>
      <c r="Q1188" s="57"/>
      <c r="R1188" s="57"/>
      <c r="S1188" s="57"/>
      <c r="T1188" s="57"/>
      <c r="U1188" s="57"/>
      <c r="V1188" s="57"/>
      <c r="W1188" s="57"/>
      <c r="X1188" s="57"/>
      <c r="Y1188" s="57"/>
      <c r="Z1188" s="57"/>
    </row>
    <row r="1189">
      <c r="A1189" s="58">
        <v>8798635.0</v>
      </c>
      <c r="B1189" s="57" t="s">
        <v>2721</v>
      </c>
      <c r="C1189" s="57" t="s">
        <v>210</v>
      </c>
      <c r="D1189" s="58">
        <v>9.24</v>
      </c>
      <c r="E1189" s="58">
        <v>912.59</v>
      </c>
      <c r="F1189" s="58">
        <v>3894676.0</v>
      </c>
      <c r="G1189" s="57" t="s">
        <v>2725</v>
      </c>
      <c r="H1189" s="57" t="s">
        <v>2726</v>
      </c>
      <c r="I1189" s="57"/>
      <c r="J1189" s="57"/>
      <c r="K1189" s="57"/>
      <c r="L1189" s="57"/>
      <c r="M1189" s="57"/>
      <c r="N1189" s="57"/>
      <c r="O1189" s="57"/>
      <c r="P1189" s="57"/>
      <c r="Q1189" s="57"/>
      <c r="R1189" s="57"/>
      <c r="S1189" s="57"/>
      <c r="T1189" s="57"/>
      <c r="U1189" s="57"/>
      <c r="V1189" s="57"/>
      <c r="W1189" s="57"/>
      <c r="X1189" s="57"/>
      <c r="Y1189" s="57"/>
      <c r="Z1189" s="57"/>
    </row>
    <row r="1190">
      <c r="A1190" s="58">
        <v>8797117.0</v>
      </c>
      <c r="B1190" s="57" t="s">
        <v>2727</v>
      </c>
      <c r="C1190" s="57" t="s">
        <v>247</v>
      </c>
      <c r="D1190" s="58">
        <v>0.85</v>
      </c>
      <c r="E1190" s="58">
        <v>913.44</v>
      </c>
      <c r="F1190" s="58">
        <v>3828256.0</v>
      </c>
      <c r="G1190" s="57" t="s">
        <v>2728</v>
      </c>
      <c r="H1190" s="57" t="s">
        <v>2729</v>
      </c>
      <c r="I1190" s="57"/>
      <c r="J1190" s="57"/>
      <c r="K1190" s="57"/>
      <c r="L1190" s="57"/>
      <c r="M1190" s="57"/>
      <c r="N1190" s="57"/>
      <c r="O1190" s="57"/>
      <c r="P1190" s="57"/>
      <c r="Q1190" s="57"/>
      <c r="R1190" s="57"/>
      <c r="S1190" s="57"/>
      <c r="T1190" s="57"/>
      <c r="U1190" s="57"/>
      <c r="V1190" s="57"/>
      <c r="W1190" s="57"/>
      <c r="X1190" s="57"/>
      <c r="Y1190" s="57"/>
      <c r="Z1190" s="57"/>
    </row>
    <row r="1191">
      <c r="A1191" s="58">
        <v>8797116.0</v>
      </c>
      <c r="B1191" s="57" t="s">
        <v>2727</v>
      </c>
      <c r="C1191" s="57" t="s">
        <v>247</v>
      </c>
      <c r="D1191" s="58">
        <v>4.73</v>
      </c>
      <c r="E1191" s="58">
        <v>918.17</v>
      </c>
      <c r="F1191" s="58">
        <v>3828256.0</v>
      </c>
      <c r="G1191" s="57" t="s">
        <v>2728</v>
      </c>
      <c r="H1191" s="57" t="s">
        <v>2730</v>
      </c>
      <c r="I1191" s="57"/>
      <c r="J1191" s="57"/>
      <c r="K1191" s="57"/>
      <c r="L1191" s="57"/>
      <c r="M1191" s="57"/>
      <c r="N1191" s="57"/>
      <c r="O1191" s="57"/>
      <c r="P1191" s="57"/>
      <c r="Q1191" s="57"/>
      <c r="R1191" s="57"/>
      <c r="S1191" s="57"/>
      <c r="T1191" s="57"/>
      <c r="U1191" s="57"/>
      <c r="V1191" s="57"/>
      <c r="W1191" s="57"/>
      <c r="X1191" s="57"/>
      <c r="Y1191" s="57"/>
      <c r="Z1191" s="57"/>
    </row>
    <row r="1192">
      <c r="A1192" s="58">
        <v>8792657.0</v>
      </c>
      <c r="B1192" s="57" t="s">
        <v>2731</v>
      </c>
      <c r="C1192" s="57" t="s">
        <v>210</v>
      </c>
      <c r="D1192" s="58">
        <v>15.07</v>
      </c>
      <c r="E1192" s="58">
        <v>903.1</v>
      </c>
      <c r="F1192" s="58">
        <v>4111565.0</v>
      </c>
      <c r="G1192" s="57" t="s">
        <v>2732</v>
      </c>
      <c r="H1192" s="57" t="s">
        <v>2733</v>
      </c>
      <c r="I1192" s="57"/>
      <c r="J1192" s="57"/>
      <c r="K1192" s="57"/>
      <c r="L1192" s="57"/>
      <c r="M1192" s="57"/>
      <c r="N1192" s="57"/>
      <c r="O1192" s="57"/>
      <c r="P1192" s="57"/>
      <c r="Q1192" s="57"/>
      <c r="R1192" s="57"/>
      <c r="S1192" s="57"/>
      <c r="T1192" s="57"/>
      <c r="U1192" s="57"/>
      <c r="V1192" s="57"/>
      <c r="W1192" s="57"/>
      <c r="X1192" s="57"/>
      <c r="Y1192" s="57"/>
      <c r="Z1192" s="57"/>
    </row>
    <row r="1193">
      <c r="A1193" s="58">
        <v>8791560.0</v>
      </c>
      <c r="B1193" s="57" t="s">
        <v>2731</v>
      </c>
      <c r="C1193" s="57" t="s">
        <v>210</v>
      </c>
      <c r="D1193" s="58">
        <v>13.46</v>
      </c>
      <c r="E1193" s="58">
        <v>889.64</v>
      </c>
      <c r="F1193" s="58">
        <v>4108356.0</v>
      </c>
      <c r="G1193" s="57" t="s">
        <v>2734</v>
      </c>
      <c r="H1193" s="57" t="s">
        <v>2735</v>
      </c>
      <c r="I1193" s="57"/>
      <c r="J1193" s="57"/>
      <c r="K1193" s="57"/>
      <c r="L1193" s="57"/>
      <c r="M1193" s="57"/>
      <c r="N1193" s="57"/>
      <c r="O1193" s="57"/>
      <c r="P1193" s="57"/>
      <c r="Q1193" s="57"/>
      <c r="R1193" s="57"/>
      <c r="S1193" s="57"/>
      <c r="T1193" s="57"/>
      <c r="U1193" s="57"/>
      <c r="V1193" s="57"/>
      <c r="W1193" s="57"/>
      <c r="X1193" s="57"/>
      <c r="Y1193" s="57"/>
      <c r="Z1193" s="57"/>
    </row>
    <row r="1194">
      <c r="A1194" s="58">
        <v>8791557.0</v>
      </c>
      <c r="B1194" s="57" t="s">
        <v>2731</v>
      </c>
      <c r="C1194" s="57" t="s">
        <v>210</v>
      </c>
      <c r="D1194" s="58">
        <v>13.46</v>
      </c>
      <c r="E1194" s="58">
        <v>876.18</v>
      </c>
      <c r="F1194" s="58">
        <v>4108335.0</v>
      </c>
      <c r="G1194" s="57" t="s">
        <v>2736</v>
      </c>
      <c r="H1194" s="57" t="s">
        <v>2737</v>
      </c>
      <c r="I1194" s="57"/>
      <c r="J1194" s="57"/>
      <c r="K1194" s="57"/>
      <c r="L1194" s="57"/>
      <c r="M1194" s="57"/>
      <c r="N1194" s="57"/>
      <c r="O1194" s="57"/>
      <c r="P1194" s="57"/>
      <c r="Q1194" s="57"/>
      <c r="R1194" s="57"/>
      <c r="S1194" s="57"/>
      <c r="T1194" s="57"/>
      <c r="U1194" s="57"/>
      <c r="V1194" s="57"/>
      <c r="W1194" s="57"/>
      <c r="X1194" s="57"/>
      <c r="Y1194" s="57"/>
      <c r="Z1194" s="57"/>
    </row>
    <row r="1195">
      <c r="A1195" s="58">
        <v>8791352.0</v>
      </c>
      <c r="B1195" s="57" t="s">
        <v>2731</v>
      </c>
      <c r="C1195" s="57" t="s">
        <v>210</v>
      </c>
      <c r="D1195" s="58">
        <v>10.96</v>
      </c>
      <c r="E1195" s="58">
        <v>865.22</v>
      </c>
      <c r="F1195" s="58">
        <v>4107692.0</v>
      </c>
      <c r="G1195" s="57" t="s">
        <v>2738</v>
      </c>
      <c r="H1195" s="57" t="s">
        <v>2739</v>
      </c>
      <c r="I1195" s="57"/>
      <c r="J1195" s="57"/>
      <c r="K1195" s="57"/>
      <c r="L1195" s="57"/>
      <c r="M1195" s="57"/>
      <c r="N1195" s="57"/>
      <c r="O1195" s="57"/>
      <c r="P1195" s="57"/>
      <c r="Q1195" s="57"/>
      <c r="R1195" s="57"/>
      <c r="S1195" s="57"/>
      <c r="T1195" s="57"/>
      <c r="U1195" s="57"/>
      <c r="V1195" s="57"/>
      <c r="W1195" s="57"/>
      <c r="X1195" s="57"/>
      <c r="Y1195" s="57"/>
      <c r="Z1195" s="57"/>
    </row>
    <row r="1196">
      <c r="A1196" s="58">
        <v>8790543.0</v>
      </c>
      <c r="B1196" s="57" t="s">
        <v>2731</v>
      </c>
      <c r="C1196" s="57" t="s">
        <v>210</v>
      </c>
      <c r="D1196" s="58">
        <v>13.46</v>
      </c>
      <c r="E1196" s="58">
        <v>851.76</v>
      </c>
      <c r="F1196" s="58">
        <v>4105350.0</v>
      </c>
      <c r="G1196" s="57" t="s">
        <v>2740</v>
      </c>
      <c r="H1196" s="57" t="s">
        <v>2741</v>
      </c>
      <c r="I1196" s="57"/>
      <c r="J1196" s="57"/>
      <c r="K1196" s="57"/>
      <c r="L1196" s="57"/>
      <c r="M1196" s="57"/>
      <c r="N1196" s="57"/>
      <c r="O1196" s="57"/>
      <c r="P1196" s="57"/>
      <c r="Q1196" s="57"/>
      <c r="R1196" s="57"/>
      <c r="S1196" s="57"/>
      <c r="T1196" s="57"/>
      <c r="U1196" s="57"/>
      <c r="V1196" s="57"/>
      <c r="W1196" s="57"/>
      <c r="X1196" s="57"/>
      <c r="Y1196" s="57"/>
      <c r="Z1196" s="57"/>
    </row>
    <row r="1197">
      <c r="A1197" s="58">
        <v>8789784.0</v>
      </c>
      <c r="B1197" s="57" t="s">
        <v>2731</v>
      </c>
      <c r="C1197" s="57" t="s">
        <v>210</v>
      </c>
      <c r="D1197" s="58">
        <v>13.46</v>
      </c>
      <c r="E1197" s="58">
        <v>838.3</v>
      </c>
      <c r="F1197" s="58">
        <v>4103211.0</v>
      </c>
      <c r="G1197" s="57" t="s">
        <v>2742</v>
      </c>
      <c r="H1197" s="57" t="s">
        <v>2743</v>
      </c>
      <c r="I1197" s="57"/>
      <c r="J1197" s="57"/>
      <c r="K1197" s="57"/>
      <c r="L1197" s="57"/>
      <c r="M1197" s="57"/>
      <c r="N1197" s="57"/>
      <c r="O1197" s="57"/>
      <c r="P1197" s="57"/>
      <c r="Q1197" s="57"/>
      <c r="R1197" s="57"/>
      <c r="S1197" s="57"/>
      <c r="T1197" s="57"/>
      <c r="U1197" s="57"/>
      <c r="V1197" s="57"/>
      <c r="W1197" s="57"/>
      <c r="X1197" s="57"/>
      <c r="Y1197" s="57"/>
      <c r="Z1197" s="57"/>
    </row>
    <row r="1198">
      <c r="A1198" s="58">
        <v>8788693.0</v>
      </c>
      <c r="B1198" s="57" t="s">
        <v>2744</v>
      </c>
      <c r="C1198" s="57" t="s">
        <v>210</v>
      </c>
      <c r="D1198" s="58">
        <v>14.04</v>
      </c>
      <c r="E1198" s="58">
        <v>824.26</v>
      </c>
      <c r="F1198" s="58">
        <v>4100099.0</v>
      </c>
      <c r="G1198" s="57" t="s">
        <v>2745</v>
      </c>
      <c r="H1198" s="57" t="s">
        <v>2746</v>
      </c>
      <c r="I1198" s="57"/>
      <c r="J1198" s="57"/>
      <c r="K1198" s="57"/>
      <c r="L1198" s="57"/>
      <c r="M1198" s="57"/>
      <c r="N1198" s="57"/>
      <c r="O1198" s="57"/>
      <c r="P1198" s="57"/>
      <c r="Q1198" s="57"/>
      <c r="R1198" s="57"/>
      <c r="S1198" s="57"/>
      <c r="T1198" s="57"/>
      <c r="U1198" s="57"/>
      <c r="V1198" s="57"/>
      <c r="W1198" s="57"/>
      <c r="X1198" s="57"/>
      <c r="Y1198" s="57"/>
      <c r="Z1198" s="57"/>
    </row>
    <row r="1199">
      <c r="A1199" s="58">
        <v>8787268.0</v>
      </c>
      <c r="B1199" s="57" t="s">
        <v>2744</v>
      </c>
      <c r="C1199" s="57" t="s">
        <v>210</v>
      </c>
      <c r="D1199" s="58">
        <v>12.03</v>
      </c>
      <c r="E1199" s="58">
        <v>812.23</v>
      </c>
      <c r="F1199" s="58">
        <v>4095817.0</v>
      </c>
      <c r="G1199" s="57" t="s">
        <v>2747</v>
      </c>
      <c r="H1199" s="57" t="s">
        <v>2748</v>
      </c>
      <c r="I1199" s="57"/>
      <c r="J1199" s="57"/>
      <c r="K1199" s="57"/>
      <c r="L1199" s="57"/>
      <c r="M1199" s="57"/>
      <c r="N1199" s="57"/>
      <c r="O1199" s="57"/>
      <c r="P1199" s="57"/>
      <c r="Q1199" s="57"/>
      <c r="R1199" s="57"/>
      <c r="S1199" s="57"/>
      <c r="T1199" s="57"/>
      <c r="U1199" s="57"/>
      <c r="V1199" s="57"/>
      <c r="W1199" s="57"/>
      <c r="X1199" s="57"/>
      <c r="Y1199" s="57"/>
      <c r="Z1199" s="57"/>
    </row>
    <row r="1200">
      <c r="A1200" s="58">
        <v>8776944.0</v>
      </c>
      <c r="B1200" s="57" t="s">
        <v>2749</v>
      </c>
      <c r="C1200" s="57" t="s">
        <v>210</v>
      </c>
      <c r="D1200" s="58">
        <v>15.13</v>
      </c>
      <c r="E1200" s="58">
        <v>797.1</v>
      </c>
      <c r="F1200" s="58">
        <v>4067753.0</v>
      </c>
      <c r="G1200" s="58">
        <v>1.86944664E8</v>
      </c>
      <c r="H1200" s="57" t="s">
        <v>2750</v>
      </c>
      <c r="I1200" s="57"/>
      <c r="J1200" s="57"/>
      <c r="K1200" s="57"/>
      <c r="L1200" s="57"/>
      <c r="M1200" s="57"/>
      <c r="N1200" s="57"/>
      <c r="O1200" s="57"/>
      <c r="P1200" s="57"/>
      <c r="Q1200" s="57"/>
      <c r="R1200" s="57"/>
      <c r="S1200" s="57"/>
      <c r="T1200" s="57"/>
      <c r="U1200" s="57"/>
      <c r="V1200" s="57"/>
      <c r="W1200" s="57"/>
      <c r="X1200" s="57"/>
      <c r="Y1200" s="57"/>
      <c r="Z1200" s="57"/>
    </row>
    <row r="1201">
      <c r="A1201" s="58">
        <v>8772770.0</v>
      </c>
      <c r="B1201" s="57" t="s">
        <v>2751</v>
      </c>
      <c r="C1201" s="57" t="s">
        <v>210</v>
      </c>
      <c r="D1201" s="58">
        <v>15.47</v>
      </c>
      <c r="E1201" s="58">
        <v>781.63</v>
      </c>
      <c r="F1201" s="58">
        <v>4048651.0</v>
      </c>
      <c r="G1201" s="57" t="s">
        <v>2752</v>
      </c>
      <c r="H1201" s="57" t="s">
        <v>2753</v>
      </c>
      <c r="I1201" s="57"/>
      <c r="J1201" s="57"/>
      <c r="K1201" s="57"/>
      <c r="L1201" s="57"/>
      <c r="M1201" s="57"/>
      <c r="N1201" s="57"/>
      <c r="O1201" s="57"/>
      <c r="P1201" s="57"/>
      <c r="Q1201" s="57"/>
      <c r="R1201" s="57"/>
      <c r="S1201" s="57"/>
      <c r="T1201" s="57"/>
      <c r="U1201" s="57"/>
      <c r="V1201" s="57"/>
      <c r="W1201" s="57"/>
      <c r="X1201" s="57"/>
      <c r="Y1201" s="57"/>
      <c r="Z1201" s="57"/>
    </row>
    <row r="1202">
      <c r="A1202" s="58">
        <v>8770254.0</v>
      </c>
      <c r="B1202" s="57" t="s">
        <v>2751</v>
      </c>
      <c r="C1202" s="57" t="s">
        <v>210</v>
      </c>
      <c r="D1202" s="58">
        <v>8.84</v>
      </c>
      <c r="E1202" s="58">
        <v>772.79</v>
      </c>
      <c r="F1202" s="58">
        <v>4025940.0</v>
      </c>
      <c r="G1202" s="57" t="s">
        <v>2754</v>
      </c>
      <c r="H1202" s="57" t="s">
        <v>2755</v>
      </c>
      <c r="I1202" s="57"/>
      <c r="J1202" s="57"/>
      <c r="K1202" s="57"/>
      <c r="L1202" s="57"/>
      <c r="M1202" s="57"/>
      <c r="N1202" s="57"/>
      <c r="O1202" s="57"/>
      <c r="P1202" s="57"/>
      <c r="Q1202" s="57"/>
      <c r="R1202" s="57"/>
      <c r="S1202" s="57"/>
      <c r="T1202" s="57"/>
      <c r="U1202" s="57"/>
      <c r="V1202" s="57"/>
      <c r="W1202" s="57"/>
      <c r="X1202" s="57"/>
      <c r="Y1202" s="57"/>
      <c r="Z1202" s="57"/>
    </row>
    <row r="1203">
      <c r="A1203" s="58">
        <v>8764697.0</v>
      </c>
      <c r="B1203" s="57" t="s">
        <v>2756</v>
      </c>
      <c r="C1203" s="57" t="s">
        <v>247</v>
      </c>
      <c r="D1203" s="58">
        <v>5.06</v>
      </c>
      <c r="E1203" s="58">
        <v>777.85</v>
      </c>
      <c r="F1203" s="58">
        <v>3970010.0</v>
      </c>
      <c r="G1203" s="57" t="s">
        <v>2757</v>
      </c>
      <c r="H1203" s="57" t="s">
        <v>2758</v>
      </c>
      <c r="I1203" s="57"/>
      <c r="J1203" s="57"/>
      <c r="K1203" s="57"/>
      <c r="L1203" s="57"/>
      <c r="M1203" s="57"/>
      <c r="N1203" s="57"/>
      <c r="O1203" s="57"/>
      <c r="P1203" s="57"/>
      <c r="Q1203" s="57"/>
      <c r="R1203" s="57"/>
      <c r="S1203" s="57"/>
      <c r="T1203" s="57"/>
      <c r="U1203" s="57"/>
      <c r="V1203" s="57"/>
      <c r="W1203" s="57"/>
      <c r="X1203" s="57"/>
      <c r="Y1203" s="57"/>
      <c r="Z1203" s="57"/>
    </row>
    <row r="1204">
      <c r="A1204" s="58">
        <v>8764185.0</v>
      </c>
      <c r="B1204" s="57" t="s">
        <v>2759</v>
      </c>
      <c r="C1204" s="57" t="s">
        <v>247</v>
      </c>
      <c r="D1204" s="58">
        <v>5.12</v>
      </c>
      <c r="E1204" s="58">
        <v>782.97</v>
      </c>
      <c r="F1204" s="58">
        <v>3940339.0</v>
      </c>
      <c r="G1204" s="57" t="s">
        <v>2760</v>
      </c>
      <c r="H1204" s="57" t="s">
        <v>2761</v>
      </c>
      <c r="I1204" s="57"/>
      <c r="J1204" s="57"/>
      <c r="K1204" s="57"/>
      <c r="L1204" s="57"/>
      <c r="M1204" s="57"/>
      <c r="N1204" s="57"/>
      <c r="O1204" s="57"/>
      <c r="P1204" s="57"/>
      <c r="Q1204" s="57"/>
      <c r="R1204" s="57"/>
      <c r="S1204" s="57"/>
      <c r="T1204" s="57"/>
      <c r="U1204" s="57"/>
      <c r="V1204" s="57"/>
      <c r="W1204" s="57"/>
      <c r="X1204" s="57"/>
      <c r="Y1204" s="57"/>
      <c r="Z1204" s="57"/>
    </row>
    <row r="1205">
      <c r="A1205" s="58">
        <v>8764182.0</v>
      </c>
      <c r="B1205" s="57" t="s">
        <v>2759</v>
      </c>
      <c r="C1205" s="57" t="s">
        <v>247</v>
      </c>
      <c r="D1205" s="58">
        <v>3.51</v>
      </c>
      <c r="E1205" s="58">
        <v>786.48</v>
      </c>
      <c r="F1205" s="58">
        <v>3954729.0</v>
      </c>
      <c r="G1205" s="57" t="s">
        <v>2762</v>
      </c>
      <c r="H1205" s="57" t="s">
        <v>2763</v>
      </c>
      <c r="I1205" s="57"/>
      <c r="J1205" s="57"/>
      <c r="K1205" s="57"/>
      <c r="L1205" s="57"/>
      <c r="M1205" s="57"/>
      <c r="N1205" s="57"/>
      <c r="O1205" s="57"/>
      <c r="P1205" s="57"/>
      <c r="Q1205" s="57"/>
      <c r="R1205" s="57"/>
      <c r="S1205" s="57"/>
      <c r="T1205" s="57"/>
      <c r="U1205" s="57"/>
      <c r="V1205" s="57"/>
      <c r="W1205" s="57"/>
      <c r="X1205" s="57"/>
      <c r="Y1205" s="57"/>
      <c r="Z1205" s="57"/>
    </row>
    <row r="1206">
      <c r="A1206" s="58">
        <v>8764178.0</v>
      </c>
      <c r="B1206" s="57" t="s">
        <v>2759</v>
      </c>
      <c r="C1206" s="57" t="s">
        <v>247</v>
      </c>
      <c r="D1206" s="58">
        <v>5.64</v>
      </c>
      <c r="E1206" s="58">
        <v>792.11</v>
      </c>
      <c r="F1206" s="58">
        <v>3964462.0</v>
      </c>
      <c r="G1206" s="57" t="s">
        <v>2764</v>
      </c>
      <c r="H1206" s="57" t="s">
        <v>2765</v>
      </c>
      <c r="I1206" s="57"/>
      <c r="J1206" s="57"/>
      <c r="K1206" s="57"/>
      <c r="L1206" s="57"/>
      <c r="M1206" s="57"/>
      <c r="N1206" s="57"/>
      <c r="O1206" s="57"/>
      <c r="P1206" s="57"/>
      <c r="Q1206" s="57"/>
      <c r="R1206" s="57"/>
      <c r="S1206" s="57"/>
      <c r="T1206" s="57"/>
      <c r="U1206" s="57"/>
      <c r="V1206" s="57"/>
      <c r="W1206" s="57"/>
      <c r="X1206" s="57"/>
      <c r="Y1206" s="57"/>
      <c r="Z1206" s="57"/>
    </row>
    <row r="1207">
      <c r="A1207" s="58">
        <v>8764177.0</v>
      </c>
      <c r="B1207" s="57" t="s">
        <v>2759</v>
      </c>
      <c r="C1207" s="57" t="s">
        <v>247</v>
      </c>
      <c r="D1207" s="58">
        <v>5.06</v>
      </c>
      <c r="E1207" s="58">
        <v>797.17</v>
      </c>
      <c r="F1207" s="58">
        <v>3965238.0</v>
      </c>
      <c r="G1207" s="57" t="s">
        <v>2766</v>
      </c>
      <c r="H1207" s="57" t="s">
        <v>2767</v>
      </c>
      <c r="I1207" s="57"/>
      <c r="J1207" s="57"/>
      <c r="K1207" s="57"/>
      <c r="L1207" s="57"/>
      <c r="M1207" s="57"/>
      <c r="N1207" s="57"/>
      <c r="O1207" s="57"/>
      <c r="P1207" s="57"/>
      <c r="Q1207" s="57"/>
      <c r="R1207" s="57"/>
      <c r="S1207" s="57"/>
      <c r="T1207" s="57"/>
      <c r="U1207" s="57"/>
      <c r="V1207" s="57"/>
      <c r="W1207" s="57"/>
      <c r="X1207" s="57"/>
      <c r="Y1207" s="57"/>
      <c r="Z1207" s="57"/>
    </row>
    <row r="1208">
      <c r="A1208" s="58">
        <v>8764174.0</v>
      </c>
      <c r="B1208" s="57" t="s">
        <v>2759</v>
      </c>
      <c r="C1208" s="57" t="s">
        <v>247</v>
      </c>
      <c r="D1208" s="58">
        <v>5.12</v>
      </c>
      <c r="E1208" s="58">
        <v>802.29</v>
      </c>
      <c r="F1208" s="58">
        <v>3973843.0</v>
      </c>
      <c r="G1208" s="57" t="s">
        <v>2768</v>
      </c>
      <c r="H1208" s="57" t="s">
        <v>2769</v>
      </c>
      <c r="I1208" s="57"/>
      <c r="J1208" s="57"/>
      <c r="K1208" s="57"/>
      <c r="L1208" s="57"/>
      <c r="M1208" s="57"/>
      <c r="N1208" s="57"/>
      <c r="O1208" s="57"/>
      <c r="P1208" s="57"/>
      <c r="Q1208" s="57"/>
      <c r="R1208" s="57"/>
      <c r="S1208" s="57"/>
      <c r="T1208" s="57"/>
      <c r="U1208" s="57"/>
      <c r="V1208" s="57"/>
      <c r="W1208" s="57"/>
      <c r="X1208" s="57"/>
      <c r="Y1208" s="57"/>
      <c r="Z1208" s="57"/>
    </row>
    <row r="1209">
      <c r="A1209" s="58">
        <v>8764173.0</v>
      </c>
      <c r="B1209" s="57" t="s">
        <v>2759</v>
      </c>
      <c r="C1209" s="57" t="s">
        <v>247</v>
      </c>
      <c r="D1209" s="58">
        <v>3.45</v>
      </c>
      <c r="E1209" s="58">
        <v>805.74</v>
      </c>
      <c r="F1209" s="58">
        <v>3979853.0</v>
      </c>
      <c r="G1209" s="57" t="s">
        <v>2770</v>
      </c>
      <c r="H1209" s="57" t="s">
        <v>2771</v>
      </c>
      <c r="I1209" s="57"/>
      <c r="J1209" s="57"/>
      <c r="K1209" s="57"/>
      <c r="L1209" s="57"/>
      <c r="M1209" s="57"/>
      <c r="N1209" s="57"/>
      <c r="O1209" s="57"/>
      <c r="P1209" s="57"/>
      <c r="Q1209" s="57"/>
      <c r="R1209" s="57"/>
      <c r="S1209" s="57"/>
      <c r="T1209" s="57"/>
      <c r="U1209" s="57"/>
      <c r="V1209" s="57"/>
      <c r="W1209" s="57"/>
      <c r="X1209" s="57"/>
      <c r="Y1209" s="57"/>
      <c r="Z1209" s="57"/>
    </row>
    <row r="1210">
      <c r="A1210" s="58">
        <v>8763416.0</v>
      </c>
      <c r="B1210" s="57" t="s">
        <v>2772</v>
      </c>
      <c r="C1210" s="57" t="s">
        <v>247</v>
      </c>
      <c r="D1210" s="58">
        <v>5.06</v>
      </c>
      <c r="E1210" s="58">
        <v>810.8</v>
      </c>
      <c r="F1210" s="58">
        <v>3945064.0</v>
      </c>
      <c r="G1210" s="57" t="s">
        <v>2773</v>
      </c>
      <c r="H1210" s="57" t="s">
        <v>2774</v>
      </c>
      <c r="I1210" s="57"/>
      <c r="J1210" s="57"/>
      <c r="K1210" s="57"/>
      <c r="L1210" s="57"/>
      <c r="M1210" s="57"/>
      <c r="N1210" s="57"/>
      <c r="O1210" s="57"/>
      <c r="P1210" s="57"/>
      <c r="Q1210" s="57"/>
      <c r="R1210" s="57"/>
      <c r="S1210" s="57"/>
      <c r="T1210" s="57"/>
      <c r="U1210" s="57"/>
      <c r="V1210" s="57"/>
      <c r="W1210" s="57"/>
      <c r="X1210" s="57"/>
      <c r="Y1210" s="57"/>
      <c r="Z1210" s="57"/>
    </row>
    <row r="1211">
      <c r="A1211" s="58">
        <v>8763415.0</v>
      </c>
      <c r="B1211" s="57" t="s">
        <v>2772</v>
      </c>
      <c r="C1211" s="57" t="s">
        <v>247</v>
      </c>
      <c r="D1211" s="58">
        <v>5.06</v>
      </c>
      <c r="E1211" s="58">
        <v>815.86</v>
      </c>
      <c r="F1211" s="58">
        <v>3940384.0</v>
      </c>
      <c r="G1211" s="57" t="s">
        <v>2775</v>
      </c>
      <c r="H1211" s="57" t="s">
        <v>2776</v>
      </c>
      <c r="I1211" s="57"/>
      <c r="J1211" s="57"/>
      <c r="K1211" s="57"/>
      <c r="L1211" s="57"/>
      <c r="M1211" s="57"/>
      <c r="N1211" s="57"/>
      <c r="O1211" s="57"/>
      <c r="P1211" s="57"/>
      <c r="Q1211" s="57"/>
      <c r="R1211" s="57"/>
      <c r="S1211" s="57"/>
      <c r="T1211" s="57"/>
      <c r="U1211" s="57"/>
      <c r="V1211" s="57"/>
      <c r="W1211" s="57"/>
      <c r="X1211" s="57"/>
      <c r="Y1211" s="57"/>
      <c r="Z1211" s="57"/>
    </row>
    <row r="1212">
      <c r="A1212" s="58">
        <v>8763414.0</v>
      </c>
      <c r="B1212" s="57" t="s">
        <v>2772</v>
      </c>
      <c r="C1212" s="57" t="s">
        <v>247</v>
      </c>
      <c r="D1212" s="58">
        <v>5.06</v>
      </c>
      <c r="E1212" s="58">
        <v>820.92</v>
      </c>
      <c r="F1212" s="58">
        <v>3942455.0</v>
      </c>
      <c r="G1212" s="57" t="s">
        <v>2777</v>
      </c>
      <c r="H1212" s="57" t="s">
        <v>2778</v>
      </c>
      <c r="I1212" s="57"/>
      <c r="J1212" s="57"/>
      <c r="K1212" s="57"/>
      <c r="L1212" s="57"/>
      <c r="M1212" s="57"/>
      <c r="N1212" s="57"/>
      <c r="O1212" s="57"/>
      <c r="P1212" s="57"/>
      <c r="Q1212" s="57"/>
      <c r="R1212" s="57"/>
      <c r="S1212" s="57"/>
      <c r="T1212" s="57"/>
      <c r="U1212" s="57"/>
      <c r="V1212" s="57"/>
      <c r="W1212" s="57"/>
      <c r="X1212" s="57"/>
      <c r="Y1212" s="57"/>
      <c r="Z1212" s="57"/>
    </row>
    <row r="1213">
      <c r="A1213" s="58">
        <v>8763413.0</v>
      </c>
      <c r="B1213" s="57" t="s">
        <v>2772</v>
      </c>
      <c r="C1213" s="57" t="s">
        <v>247</v>
      </c>
      <c r="D1213" s="58">
        <v>5.06</v>
      </c>
      <c r="E1213" s="58">
        <v>825.98</v>
      </c>
      <c r="F1213" s="58">
        <v>3945865.0</v>
      </c>
      <c r="G1213" s="57" t="s">
        <v>2779</v>
      </c>
      <c r="H1213" s="57" t="s">
        <v>2780</v>
      </c>
      <c r="I1213" s="57"/>
      <c r="J1213" s="57"/>
      <c r="K1213" s="57"/>
      <c r="L1213" s="57"/>
      <c r="M1213" s="57"/>
      <c r="N1213" s="57"/>
      <c r="O1213" s="57"/>
      <c r="P1213" s="57"/>
      <c r="Q1213" s="57"/>
      <c r="R1213" s="57"/>
      <c r="S1213" s="57"/>
      <c r="T1213" s="57"/>
      <c r="U1213" s="57"/>
      <c r="V1213" s="57"/>
      <c r="W1213" s="57"/>
      <c r="X1213" s="57"/>
      <c r="Y1213" s="57"/>
      <c r="Z1213" s="57"/>
    </row>
    <row r="1214">
      <c r="A1214" s="58">
        <v>8763411.0</v>
      </c>
      <c r="B1214" s="57" t="s">
        <v>2772</v>
      </c>
      <c r="C1214" s="57" t="s">
        <v>247</v>
      </c>
      <c r="D1214" s="58">
        <v>5.06</v>
      </c>
      <c r="E1214" s="58">
        <v>831.04</v>
      </c>
      <c r="F1214" s="58">
        <v>3946948.0</v>
      </c>
      <c r="G1214" s="57" t="s">
        <v>2781</v>
      </c>
      <c r="H1214" s="57" t="s">
        <v>2782</v>
      </c>
      <c r="I1214" s="57"/>
      <c r="J1214" s="57"/>
      <c r="K1214" s="57"/>
      <c r="L1214" s="57"/>
      <c r="M1214" s="57"/>
      <c r="N1214" s="57"/>
      <c r="O1214" s="57"/>
      <c r="P1214" s="57"/>
      <c r="Q1214" s="57"/>
      <c r="R1214" s="57"/>
      <c r="S1214" s="57"/>
      <c r="T1214" s="57"/>
      <c r="U1214" s="57"/>
      <c r="V1214" s="57"/>
      <c r="W1214" s="57"/>
      <c r="X1214" s="57"/>
      <c r="Y1214" s="57"/>
      <c r="Z1214" s="57"/>
    </row>
    <row r="1215">
      <c r="A1215" s="58">
        <v>8757835.0</v>
      </c>
      <c r="B1215" s="57" t="s">
        <v>2783</v>
      </c>
      <c r="C1215" s="57" t="s">
        <v>210</v>
      </c>
      <c r="D1215" s="58">
        <v>13.46</v>
      </c>
      <c r="E1215" s="58">
        <v>817.58</v>
      </c>
      <c r="F1215" s="58">
        <v>4079397.0</v>
      </c>
      <c r="G1215" s="57" t="s">
        <v>2784</v>
      </c>
      <c r="H1215" s="57" t="s">
        <v>2785</v>
      </c>
      <c r="I1215" s="57"/>
      <c r="J1215" s="57"/>
      <c r="K1215" s="57"/>
      <c r="L1215" s="57"/>
      <c r="M1215" s="57"/>
      <c r="N1215" s="57"/>
      <c r="O1215" s="57"/>
      <c r="P1215" s="57"/>
      <c r="Q1215" s="57"/>
      <c r="R1215" s="57"/>
      <c r="S1215" s="57"/>
      <c r="T1215" s="57"/>
      <c r="U1215" s="57"/>
      <c r="V1215" s="57"/>
      <c r="W1215" s="57"/>
      <c r="X1215" s="57"/>
      <c r="Y1215" s="57"/>
      <c r="Z1215" s="57"/>
    </row>
    <row r="1216">
      <c r="A1216" s="58">
        <v>8756187.0</v>
      </c>
      <c r="B1216" s="57" t="s">
        <v>2786</v>
      </c>
      <c r="C1216" s="57" t="s">
        <v>210</v>
      </c>
      <c r="D1216" s="58">
        <v>11.45</v>
      </c>
      <c r="E1216" s="58">
        <v>806.13</v>
      </c>
      <c r="F1216" s="58">
        <v>4076198.0</v>
      </c>
      <c r="G1216" s="57" t="s">
        <v>2787</v>
      </c>
      <c r="H1216" s="57" t="s">
        <v>2788</v>
      </c>
      <c r="I1216" s="57"/>
      <c r="J1216" s="57"/>
      <c r="K1216" s="57"/>
      <c r="L1216" s="57"/>
      <c r="M1216" s="57"/>
      <c r="N1216" s="57"/>
      <c r="O1216" s="57"/>
      <c r="P1216" s="57"/>
      <c r="Q1216" s="57"/>
      <c r="R1216" s="57"/>
      <c r="S1216" s="57"/>
      <c r="T1216" s="57"/>
      <c r="U1216" s="57"/>
      <c r="V1216" s="57"/>
      <c r="W1216" s="57"/>
      <c r="X1216" s="57"/>
      <c r="Y1216" s="57"/>
      <c r="Z1216" s="57"/>
    </row>
    <row r="1217">
      <c r="A1217" s="58">
        <v>8755780.0</v>
      </c>
      <c r="B1217" s="57" t="s">
        <v>2786</v>
      </c>
      <c r="C1217" s="57" t="s">
        <v>210</v>
      </c>
      <c r="D1217" s="58">
        <v>9.04</v>
      </c>
      <c r="E1217" s="58">
        <v>797.09</v>
      </c>
      <c r="F1217" s="58">
        <v>4075604.0</v>
      </c>
      <c r="G1217" s="57" t="s">
        <v>2789</v>
      </c>
      <c r="H1217" s="57" t="s">
        <v>2790</v>
      </c>
      <c r="I1217" s="57"/>
      <c r="J1217" s="57"/>
      <c r="K1217" s="57"/>
      <c r="L1217" s="57"/>
      <c r="M1217" s="57"/>
      <c r="N1217" s="57"/>
      <c r="O1217" s="57"/>
      <c r="P1217" s="57"/>
      <c r="Q1217" s="57"/>
      <c r="R1217" s="57"/>
      <c r="S1217" s="57"/>
      <c r="T1217" s="57"/>
      <c r="U1217" s="57"/>
      <c r="V1217" s="57"/>
      <c r="W1217" s="57"/>
      <c r="X1217" s="57"/>
      <c r="Y1217" s="57"/>
      <c r="Z1217" s="57"/>
    </row>
    <row r="1218">
      <c r="A1218" s="58">
        <v>8755466.0</v>
      </c>
      <c r="B1218" s="57" t="s">
        <v>2786</v>
      </c>
      <c r="C1218" s="57" t="s">
        <v>210</v>
      </c>
      <c r="D1218" s="58">
        <v>13.81</v>
      </c>
      <c r="E1218" s="58">
        <v>783.28</v>
      </c>
      <c r="F1218" s="58">
        <v>4075080.0</v>
      </c>
      <c r="G1218" s="58">
        <v>1.8694724E8</v>
      </c>
      <c r="H1218" s="57" t="s">
        <v>2791</v>
      </c>
      <c r="I1218" s="57"/>
      <c r="J1218" s="57"/>
      <c r="K1218" s="57"/>
      <c r="L1218" s="57"/>
      <c r="M1218" s="57"/>
      <c r="N1218" s="57"/>
      <c r="O1218" s="57"/>
      <c r="P1218" s="57"/>
      <c r="Q1218" s="57"/>
      <c r="R1218" s="57"/>
      <c r="S1218" s="57"/>
      <c r="T1218" s="57"/>
      <c r="U1218" s="57"/>
      <c r="V1218" s="57"/>
      <c r="W1218" s="57"/>
      <c r="X1218" s="57"/>
      <c r="Y1218" s="57"/>
      <c r="Z1218" s="57"/>
    </row>
    <row r="1219">
      <c r="A1219" s="58">
        <v>8754967.0</v>
      </c>
      <c r="B1219" s="57" t="s">
        <v>2786</v>
      </c>
      <c r="C1219" s="57" t="s">
        <v>210</v>
      </c>
      <c r="D1219" s="58">
        <v>13.81</v>
      </c>
      <c r="E1219" s="58">
        <v>769.47</v>
      </c>
      <c r="F1219" s="58">
        <v>4074226.0</v>
      </c>
      <c r="G1219" s="58">
        <v>1.86947256E8</v>
      </c>
      <c r="H1219" s="57" t="s">
        <v>2792</v>
      </c>
      <c r="I1219" s="57"/>
      <c r="J1219" s="57"/>
      <c r="K1219" s="57"/>
      <c r="L1219" s="57"/>
      <c r="M1219" s="57"/>
      <c r="N1219" s="57"/>
      <c r="O1219" s="57"/>
      <c r="P1219" s="57"/>
      <c r="Q1219" s="57"/>
      <c r="R1219" s="57"/>
      <c r="S1219" s="57"/>
      <c r="T1219" s="57"/>
      <c r="U1219" s="57"/>
      <c r="V1219" s="57"/>
      <c r="W1219" s="57"/>
      <c r="X1219" s="57"/>
      <c r="Y1219" s="57"/>
      <c r="Z1219" s="57"/>
    </row>
    <row r="1220">
      <c r="A1220" s="58">
        <v>8751637.0</v>
      </c>
      <c r="B1220" s="57" t="s">
        <v>2793</v>
      </c>
      <c r="C1220" s="57" t="s">
        <v>210</v>
      </c>
      <c r="D1220" s="58">
        <v>8.84</v>
      </c>
      <c r="E1220" s="58">
        <v>760.63</v>
      </c>
      <c r="F1220" s="58">
        <v>4068764.0</v>
      </c>
      <c r="G1220" s="57" t="s">
        <v>2794</v>
      </c>
      <c r="H1220" s="57" t="s">
        <v>2795</v>
      </c>
      <c r="I1220" s="57"/>
      <c r="J1220" s="57"/>
      <c r="K1220" s="57"/>
      <c r="L1220" s="57"/>
      <c r="M1220" s="57"/>
      <c r="N1220" s="57"/>
      <c r="O1220" s="57"/>
      <c r="P1220" s="57"/>
      <c r="Q1220" s="57"/>
      <c r="R1220" s="57"/>
      <c r="S1220" s="57"/>
      <c r="T1220" s="57"/>
      <c r="U1220" s="57"/>
      <c r="V1220" s="57"/>
      <c r="W1220" s="57"/>
      <c r="X1220" s="57"/>
      <c r="Y1220" s="57"/>
      <c r="Z1220" s="57"/>
    </row>
    <row r="1221">
      <c r="A1221" s="58">
        <v>8750644.0</v>
      </c>
      <c r="B1221" s="57" t="s">
        <v>2793</v>
      </c>
      <c r="C1221" s="57" t="s">
        <v>210</v>
      </c>
      <c r="D1221" s="58">
        <v>15.47</v>
      </c>
      <c r="E1221" s="58">
        <v>745.16</v>
      </c>
      <c r="F1221" s="58">
        <v>4066610.0</v>
      </c>
      <c r="G1221" s="57" t="s">
        <v>2796</v>
      </c>
      <c r="H1221" s="57" t="s">
        <v>2797</v>
      </c>
      <c r="I1221" s="57"/>
      <c r="J1221" s="57"/>
      <c r="K1221" s="57"/>
      <c r="L1221" s="57"/>
      <c r="M1221" s="57"/>
      <c r="N1221" s="57"/>
      <c r="O1221" s="57"/>
      <c r="P1221" s="57"/>
      <c r="Q1221" s="57"/>
      <c r="R1221" s="57"/>
      <c r="S1221" s="57"/>
      <c r="T1221" s="57"/>
      <c r="U1221" s="57"/>
      <c r="V1221" s="57"/>
      <c r="W1221" s="57"/>
      <c r="X1221" s="57"/>
      <c r="Y1221" s="57"/>
      <c r="Z1221" s="57"/>
    </row>
    <row r="1222">
      <c r="A1222" s="58">
        <v>8746457.0</v>
      </c>
      <c r="B1222" s="57" t="s">
        <v>2798</v>
      </c>
      <c r="C1222" s="57" t="s">
        <v>210</v>
      </c>
      <c r="D1222" s="58">
        <v>9.24</v>
      </c>
      <c r="E1222" s="58">
        <v>735.92</v>
      </c>
      <c r="F1222" s="58">
        <v>4055943.0</v>
      </c>
      <c r="G1222" s="57" t="s">
        <v>2799</v>
      </c>
      <c r="H1222" s="57" t="s">
        <v>2800</v>
      </c>
      <c r="I1222" s="57"/>
      <c r="J1222" s="57"/>
      <c r="K1222" s="57"/>
      <c r="L1222" s="57"/>
      <c r="M1222" s="57"/>
      <c r="N1222" s="57"/>
      <c r="O1222" s="57"/>
      <c r="P1222" s="57"/>
      <c r="Q1222" s="57"/>
      <c r="R1222" s="57"/>
      <c r="S1222" s="57"/>
      <c r="T1222" s="57"/>
      <c r="U1222" s="57"/>
      <c r="V1222" s="57"/>
      <c r="W1222" s="57"/>
      <c r="X1222" s="57"/>
      <c r="Y1222" s="57"/>
      <c r="Z1222" s="57"/>
    </row>
    <row r="1223">
      <c r="A1223" s="58">
        <v>8745980.0</v>
      </c>
      <c r="B1223" s="57" t="s">
        <v>2798</v>
      </c>
      <c r="C1223" s="57" t="s">
        <v>210</v>
      </c>
      <c r="D1223" s="58">
        <v>17.37</v>
      </c>
      <c r="E1223" s="58">
        <v>718.55</v>
      </c>
      <c r="F1223" s="58">
        <v>4054504.0</v>
      </c>
      <c r="G1223" s="57" t="s">
        <v>2801</v>
      </c>
      <c r="H1223" s="57" t="s">
        <v>2802</v>
      </c>
      <c r="I1223" s="57"/>
      <c r="J1223" s="57"/>
      <c r="K1223" s="57"/>
      <c r="L1223" s="57"/>
      <c r="M1223" s="57"/>
      <c r="N1223" s="57"/>
      <c r="O1223" s="57"/>
      <c r="P1223" s="57"/>
      <c r="Q1223" s="57"/>
      <c r="R1223" s="57"/>
      <c r="S1223" s="57"/>
      <c r="T1223" s="57"/>
      <c r="U1223" s="57"/>
      <c r="V1223" s="57"/>
      <c r="W1223" s="57"/>
      <c r="X1223" s="57"/>
      <c r="Y1223" s="57"/>
      <c r="Z1223" s="57"/>
    </row>
    <row r="1224">
      <c r="A1224" s="58">
        <v>8745016.0</v>
      </c>
      <c r="B1224" s="57" t="s">
        <v>2803</v>
      </c>
      <c r="C1224" s="57" t="s">
        <v>210</v>
      </c>
      <c r="D1224" s="58">
        <v>15.47</v>
      </c>
      <c r="E1224" s="58">
        <v>703.08</v>
      </c>
      <c r="F1224" s="58">
        <v>4051601.0</v>
      </c>
      <c r="G1224" s="57" t="s">
        <v>2804</v>
      </c>
      <c r="H1224" s="57" t="s">
        <v>2805</v>
      </c>
      <c r="I1224" s="57"/>
      <c r="J1224" s="57"/>
      <c r="K1224" s="57"/>
      <c r="L1224" s="57"/>
      <c r="M1224" s="57"/>
      <c r="N1224" s="57"/>
      <c r="O1224" s="57"/>
      <c r="P1224" s="57"/>
      <c r="Q1224" s="57"/>
      <c r="R1224" s="57"/>
      <c r="S1224" s="57"/>
      <c r="T1224" s="57"/>
      <c r="U1224" s="57"/>
      <c r="V1224" s="57"/>
      <c r="W1224" s="57"/>
      <c r="X1224" s="57"/>
      <c r="Y1224" s="57"/>
      <c r="Z1224" s="57"/>
    </row>
    <row r="1225">
      <c r="A1225" s="58">
        <v>8744968.0</v>
      </c>
      <c r="B1225" s="57" t="s">
        <v>2803</v>
      </c>
      <c r="C1225" s="57" t="s">
        <v>210</v>
      </c>
      <c r="D1225" s="58">
        <v>13.81</v>
      </c>
      <c r="E1225" s="58">
        <v>689.27</v>
      </c>
      <c r="F1225" s="58">
        <v>4051432.0</v>
      </c>
      <c r="G1225" s="58">
        <v>1.86944439E8</v>
      </c>
      <c r="H1225" s="57" t="s">
        <v>2806</v>
      </c>
      <c r="I1225" s="57"/>
      <c r="J1225" s="57"/>
      <c r="K1225" s="57"/>
      <c r="L1225" s="57"/>
      <c r="M1225" s="57"/>
      <c r="N1225" s="57"/>
      <c r="O1225" s="57"/>
      <c r="P1225" s="57"/>
      <c r="Q1225" s="57"/>
      <c r="R1225" s="57"/>
      <c r="S1225" s="57"/>
      <c r="T1225" s="57"/>
      <c r="U1225" s="57"/>
      <c r="V1225" s="57"/>
      <c r="W1225" s="57"/>
      <c r="X1225" s="57"/>
      <c r="Y1225" s="57"/>
      <c r="Z1225" s="57"/>
    </row>
    <row r="1226">
      <c r="A1226" s="58">
        <v>8744490.0</v>
      </c>
      <c r="B1226" s="57" t="s">
        <v>2803</v>
      </c>
      <c r="C1226" s="57" t="s">
        <v>210</v>
      </c>
      <c r="D1226" s="58">
        <v>10.11</v>
      </c>
      <c r="E1226" s="58">
        <v>679.16</v>
      </c>
      <c r="F1226" s="58">
        <v>4049718.0</v>
      </c>
      <c r="G1226" s="58">
        <v>1.86942567E8</v>
      </c>
      <c r="H1226" s="57" t="s">
        <v>2807</v>
      </c>
      <c r="I1226" s="57"/>
      <c r="J1226" s="57"/>
      <c r="K1226" s="57"/>
      <c r="L1226" s="57"/>
      <c r="M1226" s="57"/>
      <c r="N1226" s="57"/>
      <c r="O1226" s="57"/>
      <c r="P1226" s="57"/>
      <c r="Q1226" s="57"/>
      <c r="R1226" s="57"/>
      <c r="S1226" s="57"/>
      <c r="T1226" s="57"/>
      <c r="U1226" s="57"/>
      <c r="V1226" s="57"/>
      <c r="W1226" s="57"/>
      <c r="X1226" s="57"/>
      <c r="Y1226" s="57"/>
      <c r="Z1226" s="57"/>
    </row>
    <row r="1227">
      <c r="A1227" s="58">
        <v>8739131.0</v>
      </c>
      <c r="B1227" s="57" t="s">
        <v>2808</v>
      </c>
      <c r="C1227" s="57" t="s">
        <v>210</v>
      </c>
      <c r="D1227" s="58">
        <v>9.24</v>
      </c>
      <c r="E1227" s="58">
        <v>669.92</v>
      </c>
      <c r="F1227" s="58">
        <v>4017323.0</v>
      </c>
      <c r="G1227" s="57" t="s">
        <v>2809</v>
      </c>
      <c r="H1227" s="57" t="s">
        <v>2810</v>
      </c>
      <c r="I1227" s="57"/>
      <c r="J1227" s="57"/>
      <c r="K1227" s="57"/>
      <c r="L1227" s="57"/>
      <c r="M1227" s="57"/>
      <c r="N1227" s="57"/>
      <c r="O1227" s="57"/>
      <c r="P1227" s="57"/>
      <c r="Q1227" s="57"/>
      <c r="R1227" s="57"/>
      <c r="S1227" s="57"/>
      <c r="T1227" s="57"/>
      <c r="U1227" s="57"/>
      <c r="V1227" s="57"/>
      <c r="W1227" s="57"/>
      <c r="X1227" s="57"/>
      <c r="Y1227" s="57"/>
      <c r="Z1227" s="57"/>
    </row>
    <row r="1228">
      <c r="A1228" s="58">
        <v>8739016.0</v>
      </c>
      <c r="B1228" s="57" t="s">
        <v>2808</v>
      </c>
      <c r="C1228" s="57" t="s">
        <v>210</v>
      </c>
      <c r="D1228" s="58">
        <v>8.47</v>
      </c>
      <c r="E1228" s="58">
        <v>661.45</v>
      </c>
      <c r="F1228" s="58">
        <v>4016650.0</v>
      </c>
      <c r="G1228" s="57" t="s">
        <v>2811</v>
      </c>
      <c r="H1228" s="57" t="s">
        <v>2812</v>
      </c>
      <c r="I1228" s="57"/>
      <c r="J1228" s="57"/>
      <c r="K1228" s="57"/>
      <c r="L1228" s="57"/>
      <c r="M1228" s="57"/>
      <c r="N1228" s="57"/>
      <c r="O1228" s="57"/>
      <c r="P1228" s="57"/>
      <c r="Q1228" s="57"/>
      <c r="R1228" s="57"/>
      <c r="S1228" s="57"/>
      <c r="T1228" s="57"/>
      <c r="U1228" s="57"/>
      <c r="V1228" s="57"/>
      <c r="W1228" s="57"/>
      <c r="X1228" s="57"/>
      <c r="Y1228" s="57"/>
      <c r="Z1228" s="57"/>
    </row>
    <row r="1229">
      <c r="A1229" s="58">
        <v>8736666.0</v>
      </c>
      <c r="B1229" s="57" t="s">
        <v>2813</v>
      </c>
      <c r="C1229" s="57" t="s">
        <v>210</v>
      </c>
      <c r="D1229" s="58">
        <v>10.85</v>
      </c>
      <c r="E1229" s="58">
        <v>650.6</v>
      </c>
      <c r="F1229" s="58">
        <v>3991201.0</v>
      </c>
      <c r="G1229" s="57" t="s">
        <v>2814</v>
      </c>
      <c r="H1229" s="57" t="s">
        <v>2815</v>
      </c>
      <c r="I1229" s="57"/>
      <c r="J1229" s="57"/>
      <c r="K1229" s="57"/>
      <c r="L1229" s="57"/>
      <c r="M1229" s="57"/>
      <c r="N1229" s="57"/>
      <c r="O1229" s="57"/>
      <c r="P1229" s="57"/>
      <c r="Q1229" s="57"/>
      <c r="R1229" s="57"/>
      <c r="S1229" s="57"/>
      <c r="T1229" s="57"/>
      <c r="U1229" s="57"/>
      <c r="V1229" s="57"/>
      <c r="W1229" s="57"/>
      <c r="X1229" s="57"/>
      <c r="Y1229" s="57"/>
      <c r="Z1229" s="57"/>
    </row>
    <row r="1230">
      <c r="A1230" s="58">
        <v>8735393.0</v>
      </c>
      <c r="B1230" s="57" t="s">
        <v>2813</v>
      </c>
      <c r="C1230" s="57" t="s">
        <v>210</v>
      </c>
      <c r="D1230" s="58">
        <v>9.24</v>
      </c>
      <c r="E1230" s="58">
        <v>641.36</v>
      </c>
      <c r="F1230" s="58">
        <v>3961769.0</v>
      </c>
      <c r="G1230" s="57" t="s">
        <v>2816</v>
      </c>
      <c r="H1230" s="57" t="s">
        <v>2817</v>
      </c>
      <c r="I1230" s="57"/>
      <c r="J1230" s="57"/>
      <c r="K1230" s="57"/>
      <c r="L1230" s="57"/>
      <c r="M1230" s="57"/>
      <c r="N1230" s="57"/>
      <c r="O1230" s="57"/>
      <c r="P1230" s="57"/>
      <c r="Q1230" s="57"/>
      <c r="R1230" s="57"/>
      <c r="S1230" s="57"/>
      <c r="T1230" s="57"/>
      <c r="U1230" s="57"/>
      <c r="V1230" s="57"/>
      <c r="W1230" s="57"/>
      <c r="X1230" s="57"/>
      <c r="Y1230" s="57"/>
      <c r="Z1230" s="57"/>
    </row>
    <row r="1231">
      <c r="A1231" s="58">
        <v>8733764.0</v>
      </c>
      <c r="B1231" s="57" t="s">
        <v>2818</v>
      </c>
      <c r="C1231" s="57" t="s">
        <v>247</v>
      </c>
      <c r="D1231" s="58">
        <v>8.56</v>
      </c>
      <c r="E1231" s="58">
        <v>649.92</v>
      </c>
      <c r="F1231" s="58">
        <v>3985637.0</v>
      </c>
      <c r="G1231" s="57" t="s">
        <v>2819</v>
      </c>
      <c r="H1231" s="57" t="s">
        <v>2820</v>
      </c>
      <c r="I1231" s="57"/>
      <c r="J1231" s="57"/>
      <c r="K1231" s="57"/>
      <c r="L1231" s="57"/>
      <c r="M1231" s="57"/>
      <c r="N1231" s="57"/>
      <c r="O1231" s="57"/>
      <c r="P1231" s="57"/>
      <c r="Q1231" s="57"/>
      <c r="R1231" s="57"/>
      <c r="S1231" s="57"/>
      <c r="T1231" s="57"/>
      <c r="U1231" s="57"/>
      <c r="V1231" s="57"/>
      <c r="W1231" s="57"/>
      <c r="X1231" s="57"/>
      <c r="Y1231" s="57"/>
      <c r="Z1231" s="57"/>
    </row>
    <row r="1232">
      <c r="A1232" s="58">
        <v>8733594.0</v>
      </c>
      <c r="B1232" s="57" t="s">
        <v>2821</v>
      </c>
      <c r="C1232" s="57" t="s">
        <v>247</v>
      </c>
      <c r="D1232" s="58">
        <v>1415.0</v>
      </c>
      <c r="E1232" s="58">
        <v>2064.92</v>
      </c>
      <c r="F1232" s="57"/>
      <c r="G1232" s="57"/>
      <c r="H1232" s="57" t="s">
        <v>361</v>
      </c>
      <c r="I1232" s="57"/>
      <c r="J1232" s="57" t="s">
        <v>2822</v>
      </c>
      <c r="K1232" s="57"/>
      <c r="L1232" s="57"/>
      <c r="M1232" s="57"/>
      <c r="N1232" s="57"/>
      <c r="O1232" s="57"/>
      <c r="P1232" s="57"/>
      <c r="Q1232" s="57"/>
      <c r="R1232" s="57"/>
      <c r="S1232" s="57"/>
      <c r="T1232" s="57"/>
      <c r="U1232" s="57"/>
      <c r="V1232" s="57"/>
      <c r="W1232" s="57"/>
      <c r="X1232" s="57"/>
      <c r="Y1232" s="57"/>
      <c r="Z1232" s="57"/>
    </row>
    <row r="1233">
      <c r="A1233" s="58">
        <v>8731817.0</v>
      </c>
      <c r="B1233" s="57" t="s">
        <v>2823</v>
      </c>
      <c r="C1233" s="57" t="s">
        <v>247</v>
      </c>
      <c r="D1233" s="58">
        <v>3.45</v>
      </c>
      <c r="E1233" s="58">
        <v>2068.37</v>
      </c>
      <c r="F1233" s="58">
        <v>3942469.0</v>
      </c>
      <c r="G1233" s="57" t="s">
        <v>2824</v>
      </c>
      <c r="H1233" s="57" t="s">
        <v>2825</v>
      </c>
      <c r="I1233" s="57"/>
      <c r="J1233" s="57"/>
      <c r="K1233" s="57"/>
      <c r="L1233" s="57"/>
      <c r="M1233" s="57"/>
      <c r="N1233" s="57"/>
      <c r="O1233" s="57"/>
      <c r="P1233" s="57"/>
      <c r="Q1233" s="57"/>
      <c r="R1233" s="57"/>
      <c r="S1233" s="57"/>
      <c r="T1233" s="57"/>
      <c r="U1233" s="57"/>
      <c r="V1233" s="57"/>
      <c r="W1233" s="57"/>
      <c r="X1233" s="57"/>
      <c r="Y1233" s="57"/>
      <c r="Z1233" s="57"/>
    </row>
    <row r="1234">
      <c r="A1234" s="58">
        <v>8731814.0</v>
      </c>
      <c r="B1234" s="57" t="s">
        <v>2823</v>
      </c>
      <c r="C1234" s="57" t="s">
        <v>247</v>
      </c>
      <c r="D1234" s="58">
        <v>5.06</v>
      </c>
      <c r="E1234" s="58">
        <v>2073.43</v>
      </c>
      <c r="F1234" s="58">
        <v>3945390.0</v>
      </c>
      <c r="G1234" s="57" t="s">
        <v>2826</v>
      </c>
      <c r="H1234" s="57" t="s">
        <v>2827</v>
      </c>
      <c r="I1234" s="57"/>
      <c r="J1234" s="57"/>
      <c r="K1234" s="57"/>
      <c r="L1234" s="57"/>
      <c r="M1234" s="57"/>
      <c r="N1234" s="57"/>
      <c r="O1234" s="57"/>
      <c r="P1234" s="57"/>
      <c r="Q1234" s="57"/>
      <c r="R1234" s="57"/>
      <c r="S1234" s="57"/>
      <c r="T1234" s="57"/>
      <c r="U1234" s="57"/>
      <c r="V1234" s="57"/>
      <c r="W1234" s="57"/>
      <c r="X1234" s="57"/>
      <c r="Y1234" s="57"/>
      <c r="Z1234" s="57"/>
    </row>
    <row r="1235">
      <c r="A1235" s="58">
        <v>8731813.0</v>
      </c>
      <c r="B1235" s="57" t="s">
        <v>2823</v>
      </c>
      <c r="C1235" s="57" t="s">
        <v>247</v>
      </c>
      <c r="D1235" s="58">
        <v>5.06</v>
      </c>
      <c r="E1235" s="58">
        <v>2078.49</v>
      </c>
      <c r="F1235" s="58">
        <v>3945577.0</v>
      </c>
      <c r="G1235" s="57" t="s">
        <v>2828</v>
      </c>
      <c r="H1235" s="57" t="s">
        <v>2829</v>
      </c>
      <c r="I1235" s="57"/>
      <c r="J1235" s="57"/>
      <c r="K1235" s="57"/>
      <c r="L1235" s="57"/>
      <c r="M1235" s="57"/>
      <c r="N1235" s="57"/>
      <c r="O1235" s="57"/>
      <c r="P1235" s="57"/>
      <c r="Q1235" s="57"/>
      <c r="R1235" s="57"/>
      <c r="S1235" s="57"/>
      <c r="T1235" s="57"/>
      <c r="U1235" s="57"/>
      <c r="V1235" s="57"/>
      <c r="W1235" s="57"/>
      <c r="X1235" s="57"/>
      <c r="Y1235" s="57"/>
      <c r="Z1235" s="57"/>
    </row>
    <row r="1236">
      <c r="A1236" s="58">
        <v>8731812.0</v>
      </c>
      <c r="B1236" s="57" t="s">
        <v>2823</v>
      </c>
      <c r="C1236" s="57" t="s">
        <v>247</v>
      </c>
      <c r="D1236" s="58">
        <v>5.06</v>
      </c>
      <c r="E1236" s="58">
        <v>2083.55</v>
      </c>
      <c r="F1236" s="58">
        <v>3945589.0</v>
      </c>
      <c r="G1236" s="57" t="s">
        <v>2830</v>
      </c>
      <c r="H1236" s="57" t="s">
        <v>2831</v>
      </c>
      <c r="I1236" s="57"/>
      <c r="J1236" s="57"/>
      <c r="K1236" s="57"/>
      <c r="L1236" s="57"/>
      <c r="M1236" s="57"/>
      <c r="N1236" s="57"/>
      <c r="O1236" s="57"/>
      <c r="P1236" s="57"/>
      <c r="Q1236" s="57"/>
      <c r="R1236" s="57"/>
      <c r="S1236" s="57"/>
      <c r="T1236" s="57"/>
      <c r="U1236" s="57"/>
      <c r="V1236" s="57"/>
      <c r="W1236" s="57"/>
      <c r="X1236" s="57"/>
      <c r="Y1236" s="57"/>
      <c r="Z1236" s="57"/>
    </row>
    <row r="1237">
      <c r="A1237" s="58">
        <v>8731811.0</v>
      </c>
      <c r="B1237" s="57" t="s">
        <v>2823</v>
      </c>
      <c r="C1237" s="57" t="s">
        <v>247</v>
      </c>
      <c r="D1237" s="58">
        <v>3.45</v>
      </c>
      <c r="E1237" s="58">
        <v>2087.0</v>
      </c>
      <c r="F1237" s="58">
        <v>3946135.0</v>
      </c>
      <c r="G1237" s="57" t="s">
        <v>2832</v>
      </c>
      <c r="H1237" s="57" t="s">
        <v>2833</v>
      </c>
      <c r="I1237" s="57"/>
      <c r="J1237" s="57"/>
      <c r="K1237" s="57"/>
      <c r="L1237" s="57"/>
      <c r="M1237" s="57"/>
      <c r="N1237" s="57"/>
      <c r="O1237" s="57"/>
      <c r="P1237" s="57"/>
      <c r="Q1237" s="57"/>
      <c r="R1237" s="57"/>
      <c r="S1237" s="57"/>
      <c r="T1237" s="57"/>
      <c r="U1237" s="57"/>
      <c r="V1237" s="57"/>
      <c r="W1237" s="57"/>
      <c r="X1237" s="57"/>
      <c r="Y1237" s="57"/>
      <c r="Z1237" s="57"/>
    </row>
    <row r="1238">
      <c r="A1238" s="58">
        <v>8731809.0</v>
      </c>
      <c r="B1238" s="57" t="s">
        <v>2823</v>
      </c>
      <c r="C1238" s="57" t="s">
        <v>247</v>
      </c>
      <c r="D1238" s="58">
        <v>3.45</v>
      </c>
      <c r="E1238" s="58">
        <v>2090.45</v>
      </c>
      <c r="F1238" s="58">
        <v>3947038.0</v>
      </c>
      <c r="G1238" s="57" t="s">
        <v>2834</v>
      </c>
      <c r="H1238" s="57" t="s">
        <v>2835</v>
      </c>
      <c r="I1238" s="57"/>
      <c r="J1238" s="57"/>
      <c r="K1238" s="57"/>
      <c r="L1238" s="57"/>
      <c r="M1238" s="57"/>
      <c r="N1238" s="57"/>
      <c r="O1238" s="57"/>
      <c r="P1238" s="57"/>
      <c r="Q1238" s="57"/>
      <c r="R1238" s="57"/>
      <c r="S1238" s="57"/>
      <c r="T1238" s="57"/>
      <c r="U1238" s="57"/>
      <c r="V1238" s="57"/>
      <c r="W1238" s="57"/>
      <c r="X1238" s="57"/>
      <c r="Y1238" s="57"/>
      <c r="Z1238" s="57"/>
    </row>
    <row r="1239">
      <c r="A1239" s="58">
        <v>8731808.0</v>
      </c>
      <c r="B1239" s="57" t="s">
        <v>2823</v>
      </c>
      <c r="C1239" s="57" t="s">
        <v>247</v>
      </c>
      <c r="D1239" s="58">
        <v>3.45</v>
      </c>
      <c r="E1239" s="58">
        <v>2093.9</v>
      </c>
      <c r="F1239" s="58">
        <v>3947268.0</v>
      </c>
      <c r="G1239" s="57" t="s">
        <v>2836</v>
      </c>
      <c r="H1239" s="57" t="s">
        <v>2837</v>
      </c>
      <c r="I1239" s="57"/>
      <c r="J1239" s="57"/>
      <c r="K1239" s="57"/>
      <c r="L1239" s="57"/>
      <c r="M1239" s="57"/>
      <c r="N1239" s="57"/>
      <c r="O1239" s="57"/>
      <c r="P1239" s="57"/>
      <c r="Q1239" s="57"/>
      <c r="R1239" s="57"/>
      <c r="S1239" s="57"/>
      <c r="T1239" s="57"/>
      <c r="U1239" s="57"/>
      <c r="V1239" s="57"/>
      <c r="W1239" s="57"/>
      <c r="X1239" s="57"/>
      <c r="Y1239" s="57"/>
      <c r="Z1239" s="57"/>
    </row>
    <row r="1240">
      <c r="A1240" s="58">
        <v>8731805.0</v>
      </c>
      <c r="B1240" s="57" t="s">
        <v>2823</v>
      </c>
      <c r="C1240" s="57" t="s">
        <v>247</v>
      </c>
      <c r="D1240" s="58">
        <v>5.12</v>
      </c>
      <c r="E1240" s="58">
        <v>2099.02</v>
      </c>
      <c r="F1240" s="58">
        <v>3947276.0</v>
      </c>
      <c r="G1240" s="57" t="s">
        <v>2838</v>
      </c>
      <c r="H1240" s="57" t="s">
        <v>2839</v>
      </c>
      <c r="I1240" s="57"/>
      <c r="J1240" s="57"/>
      <c r="K1240" s="57"/>
      <c r="L1240" s="57"/>
      <c r="M1240" s="57"/>
      <c r="N1240" s="57"/>
      <c r="O1240" s="57"/>
      <c r="P1240" s="57"/>
      <c r="Q1240" s="57"/>
      <c r="R1240" s="57"/>
      <c r="S1240" s="57"/>
      <c r="T1240" s="57"/>
      <c r="U1240" s="57"/>
      <c r="V1240" s="57"/>
      <c r="W1240" s="57"/>
      <c r="X1240" s="57"/>
      <c r="Y1240" s="57"/>
      <c r="Z1240" s="57"/>
    </row>
    <row r="1241">
      <c r="A1241" s="58">
        <v>8731803.0</v>
      </c>
      <c r="B1241" s="57" t="s">
        <v>2823</v>
      </c>
      <c r="C1241" s="57" t="s">
        <v>247</v>
      </c>
      <c r="D1241" s="58">
        <v>3.45</v>
      </c>
      <c r="E1241" s="58">
        <v>2102.47</v>
      </c>
      <c r="F1241" s="58">
        <v>3949412.0</v>
      </c>
      <c r="G1241" s="57" t="s">
        <v>2840</v>
      </c>
      <c r="H1241" s="57" t="s">
        <v>2841</v>
      </c>
      <c r="I1241" s="57"/>
      <c r="J1241" s="57"/>
      <c r="K1241" s="57"/>
      <c r="L1241" s="57"/>
      <c r="M1241" s="57"/>
      <c r="N1241" s="57"/>
      <c r="O1241" s="57"/>
      <c r="P1241" s="57"/>
      <c r="Q1241" s="57"/>
      <c r="R1241" s="57"/>
      <c r="S1241" s="57"/>
      <c r="T1241" s="57"/>
      <c r="U1241" s="57"/>
      <c r="V1241" s="57"/>
      <c r="W1241" s="57"/>
      <c r="X1241" s="57"/>
      <c r="Y1241" s="57"/>
      <c r="Z1241" s="57"/>
    </row>
    <row r="1242">
      <c r="A1242" s="58">
        <v>8731802.0</v>
      </c>
      <c r="B1242" s="57" t="s">
        <v>2823</v>
      </c>
      <c r="C1242" s="57" t="s">
        <v>247</v>
      </c>
      <c r="D1242" s="58">
        <v>5.06</v>
      </c>
      <c r="E1242" s="58">
        <v>2107.53</v>
      </c>
      <c r="F1242" s="58">
        <v>3950388.0</v>
      </c>
      <c r="G1242" s="57" t="s">
        <v>1005</v>
      </c>
      <c r="H1242" s="57" t="s">
        <v>2842</v>
      </c>
      <c r="I1242" s="57"/>
      <c r="J1242" s="57"/>
      <c r="K1242" s="57"/>
      <c r="L1242" s="57"/>
      <c r="M1242" s="57"/>
      <c r="N1242" s="57"/>
      <c r="O1242" s="57"/>
      <c r="P1242" s="57"/>
      <c r="Q1242" s="57"/>
      <c r="R1242" s="57"/>
      <c r="S1242" s="57"/>
      <c r="T1242" s="57"/>
      <c r="U1242" s="57"/>
      <c r="V1242" s="57"/>
      <c r="W1242" s="57"/>
      <c r="X1242" s="57"/>
      <c r="Y1242" s="57"/>
      <c r="Z1242" s="57"/>
    </row>
    <row r="1243">
      <c r="A1243" s="58">
        <v>8731800.0</v>
      </c>
      <c r="B1243" s="57" t="s">
        <v>2823</v>
      </c>
      <c r="C1243" s="57" t="s">
        <v>247</v>
      </c>
      <c r="D1243" s="58">
        <v>3.45</v>
      </c>
      <c r="E1243" s="58">
        <v>2110.98</v>
      </c>
      <c r="F1243" s="58">
        <v>3955167.0</v>
      </c>
      <c r="G1243" s="57" t="s">
        <v>2843</v>
      </c>
      <c r="H1243" s="57" t="s">
        <v>2844</v>
      </c>
      <c r="I1243" s="57"/>
      <c r="J1243" s="57"/>
      <c r="K1243" s="57"/>
      <c r="L1243" s="57"/>
      <c r="M1243" s="57"/>
      <c r="N1243" s="57"/>
      <c r="O1243" s="57"/>
      <c r="P1243" s="57"/>
      <c r="Q1243" s="57"/>
      <c r="R1243" s="57"/>
      <c r="S1243" s="57"/>
      <c r="T1243" s="57"/>
      <c r="U1243" s="57"/>
      <c r="V1243" s="57"/>
      <c r="W1243" s="57"/>
      <c r="X1243" s="57"/>
      <c r="Y1243" s="57"/>
      <c r="Z1243" s="57"/>
    </row>
    <row r="1244">
      <c r="A1244" s="58">
        <v>8731799.0</v>
      </c>
      <c r="B1244" s="57" t="s">
        <v>2823</v>
      </c>
      <c r="C1244" s="57" t="s">
        <v>247</v>
      </c>
      <c r="D1244" s="58">
        <v>5.06</v>
      </c>
      <c r="E1244" s="58">
        <v>2116.04</v>
      </c>
      <c r="F1244" s="58">
        <v>3956392.0</v>
      </c>
      <c r="G1244" s="57" t="s">
        <v>2845</v>
      </c>
      <c r="H1244" s="57" t="s">
        <v>2846</v>
      </c>
      <c r="I1244" s="57"/>
      <c r="J1244" s="57"/>
      <c r="K1244" s="57"/>
      <c r="L1244" s="57"/>
      <c r="M1244" s="57"/>
      <c r="N1244" s="57"/>
      <c r="O1244" s="57"/>
      <c r="P1244" s="57"/>
      <c r="Q1244" s="57"/>
      <c r="R1244" s="57"/>
      <c r="S1244" s="57"/>
      <c r="T1244" s="57"/>
      <c r="U1244" s="57"/>
      <c r="V1244" s="57"/>
      <c r="W1244" s="57"/>
      <c r="X1244" s="57"/>
      <c r="Y1244" s="57"/>
      <c r="Z1244" s="57"/>
    </row>
    <row r="1245">
      <c r="A1245" s="58">
        <v>8731798.0</v>
      </c>
      <c r="B1245" s="57" t="s">
        <v>2823</v>
      </c>
      <c r="C1245" s="57" t="s">
        <v>247</v>
      </c>
      <c r="D1245" s="58">
        <v>3.45</v>
      </c>
      <c r="E1245" s="58">
        <v>2119.49</v>
      </c>
      <c r="F1245" s="58">
        <v>3956422.0</v>
      </c>
      <c r="G1245" s="57" t="s">
        <v>2847</v>
      </c>
      <c r="H1245" s="57" t="s">
        <v>2848</v>
      </c>
      <c r="I1245" s="57"/>
      <c r="J1245" s="57"/>
      <c r="K1245" s="57"/>
      <c r="L1245" s="57"/>
      <c r="M1245" s="57"/>
      <c r="N1245" s="57"/>
      <c r="O1245" s="57"/>
      <c r="P1245" s="57"/>
      <c r="Q1245" s="57"/>
      <c r="R1245" s="57"/>
      <c r="S1245" s="57"/>
      <c r="T1245" s="57"/>
      <c r="U1245" s="57"/>
      <c r="V1245" s="57"/>
      <c r="W1245" s="57"/>
      <c r="X1245" s="57"/>
      <c r="Y1245" s="57"/>
      <c r="Z1245" s="57"/>
    </row>
    <row r="1246">
      <c r="A1246" s="58">
        <v>8731797.0</v>
      </c>
      <c r="B1246" s="57" t="s">
        <v>2823</v>
      </c>
      <c r="C1246" s="57" t="s">
        <v>247</v>
      </c>
      <c r="D1246" s="58">
        <v>5.06</v>
      </c>
      <c r="E1246" s="58">
        <v>2124.55</v>
      </c>
      <c r="F1246" s="58">
        <v>3956455.0</v>
      </c>
      <c r="G1246" s="57" t="s">
        <v>2849</v>
      </c>
      <c r="H1246" s="57" t="s">
        <v>2850</v>
      </c>
      <c r="I1246" s="57"/>
      <c r="J1246" s="57"/>
      <c r="K1246" s="57"/>
      <c r="L1246" s="57"/>
      <c r="M1246" s="57"/>
      <c r="N1246" s="57"/>
      <c r="O1246" s="57"/>
      <c r="P1246" s="57"/>
      <c r="Q1246" s="57"/>
      <c r="R1246" s="57"/>
      <c r="S1246" s="57"/>
      <c r="T1246" s="57"/>
      <c r="U1246" s="57"/>
      <c r="V1246" s="57"/>
      <c r="W1246" s="57"/>
      <c r="X1246" s="57"/>
      <c r="Y1246" s="57"/>
      <c r="Z1246" s="57"/>
    </row>
    <row r="1247">
      <c r="A1247" s="58">
        <v>8729109.0</v>
      </c>
      <c r="B1247" s="57" t="s">
        <v>2851</v>
      </c>
      <c r="C1247" s="57" t="s">
        <v>247</v>
      </c>
      <c r="D1247" s="58">
        <v>5.12</v>
      </c>
      <c r="E1247" s="58">
        <v>2129.67</v>
      </c>
      <c r="F1247" s="58">
        <v>3956004.0</v>
      </c>
      <c r="G1247" s="57" t="s">
        <v>2852</v>
      </c>
      <c r="H1247" s="57" t="s">
        <v>2853</v>
      </c>
      <c r="I1247" s="57"/>
      <c r="J1247" s="57"/>
      <c r="K1247" s="57"/>
      <c r="L1247" s="57"/>
      <c r="M1247" s="57"/>
      <c r="N1247" s="57"/>
      <c r="O1247" s="57"/>
      <c r="P1247" s="57"/>
      <c r="Q1247" s="57"/>
      <c r="R1247" s="57"/>
      <c r="S1247" s="57"/>
      <c r="T1247" s="57"/>
      <c r="U1247" s="57"/>
      <c r="V1247" s="57"/>
      <c r="W1247" s="57"/>
      <c r="X1247" s="57"/>
      <c r="Y1247" s="57"/>
      <c r="Z1247" s="57"/>
    </row>
    <row r="1248">
      <c r="A1248" s="58">
        <v>8729107.0</v>
      </c>
      <c r="B1248" s="57" t="s">
        <v>2851</v>
      </c>
      <c r="C1248" s="57" t="s">
        <v>247</v>
      </c>
      <c r="D1248" s="58">
        <v>5.12</v>
      </c>
      <c r="E1248" s="58">
        <v>2134.79</v>
      </c>
      <c r="F1248" s="58">
        <v>3956454.0</v>
      </c>
      <c r="G1248" s="57" t="s">
        <v>2854</v>
      </c>
      <c r="H1248" s="57" t="s">
        <v>2855</v>
      </c>
      <c r="I1248" s="57"/>
      <c r="J1248" s="57"/>
      <c r="K1248" s="57"/>
      <c r="L1248" s="57"/>
      <c r="M1248" s="57"/>
      <c r="N1248" s="57"/>
      <c r="O1248" s="57"/>
      <c r="P1248" s="57"/>
      <c r="Q1248" s="57"/>
      <c r="R1248" s="57"/>
      <c r="S1248" s="57"/>
      <c r="T1248" s="57"/>
      <c r="U1248" s="57"/>
      <c r="V1248" s="57"/>
      <c r="W1248" s="57"/>
      <c r="X1248" s="57"/>
      <c r="Y1248" s="57"/>
      <c r="Z1248" s="57"/>
    </row>
    <row r="1249">
      <c r="A1249" s="58">
        <v>8729106.0</v>
      </c>
      <c r="B1249" s="57" t="s">
        <v>2851</v>
      </c>
      <c r="C1249" s="57" t="s">
        <v>247</v>
      </c>
      <c r="D1249" s="58">
        <v>3.45</v>
      </c>
      <c r="E1249" s="58">
        <v>2138.24</v>
      </c>
      <c r="F1249" s="58">
        <v>3956627.0</v>
      </c>
      <c r="G1249" s="57" t="s">
        <v>2856</v>
      </c>
      <c r="H1249" s="57" t="s">
        <v>2857</v>
      </c>
      <c r="I1249" s="57"/>
      <c r="J1249" s="57"/>
      <c r="K1249" s="57"/>
      <c r="L1249" s="57"/>
      <c r="M1249" s="57"/>
      <c r="N1249" s="57"/>
      <c r="O1249" s="57"/>
      <c r="P1249" s="57"/>
      <c r="Q1249" s="57"/>
      <c r="R1249" s="57"/>
      <c r="S1249" s="57"/>
      <c r="T1249" s="57"/>
      <c r="U1249" s="57"/>
      <c r="V1249" s="57"/>
      <c r="W1249" s="57"/>
      <c r="X1249" s="57"/>
      <c r="Y1249" s="57"/>
      <c r="Z1249" s="57"/>
    </row>
    <row r="1250">
      <c r="A1250" s="58">
        <v>8728179.0</v>
      </c>
      <c r="B1250" s="57" t="s">
        <v>2858</v>
      </c>
      <c r="C1250" s="57" t="s">
        <v>247</v>
      </c>
      <c r="D1250" s="58">
        <v>5.06</v>
      </c>
      <c r="E1250" s="58">
        <v>2143.3</v>
      </c>
      <c r="F1250" s="58">
        <v>3900595.0</v>
      </c>
      <c r="G1250" s="57" t="s">
        <v>2859</v>
      </c>
      <c r="H1250" s="57" t="s">
        <v>2860</v>
      </c>
      <c r="I1250" s="57"/>
      <c r="J1250" s="57"/>
      <c r="K1250" s="57"/>
      <c r="L1250" s="57"/>
      <c r="M1250" s="57"/>
      <c r="N1250" s="57"/>
      <c r="O1250" s="57"/>
      <c r="P1250" s="57"/>
      <c r="Q1250" s="57"/>
      <c r="R1250" s="57"/>
      <c r="S1250" s="57"/>
      <c r="T1250" s="57"/>
      <c r="U1250" s="57"/>
      <c r="V1250" s="57"/>
      <c r="W1250" s="57"/>
      <c r="X1250" s="57"/>
      <c r="Y1250" s="57"/>
      <c r="Z1250" s="57"/>
    </row>
    <row r="1251">
      <c r="A1251" s="58">
        <v>8728178.0</v>
      </c>
      <c r="B1251" s="57" t="s">
        <v>2858</v>
      </c>
      <c r="C1251" s="57" t="s">
        <v>247</v>
      </c>
      <c r="D1251" s="58">
        <v>5.64</v>
      </c>
      <c r="E1251" s="58">
        <v>2148.93</v>
      </c>
      <c r="F1251" s="58">
        <v>3903476.0</v>
      </c>
      <c r="G1251" s="57" t="s">
        <v>2861</v>
      </c>
      <c r="H1251" s="57" t="s">
        <v>2862</v>
      </c>
      <c r="I1251" s="57"/>
      <c r="J1251" s="57"/>
      <c r="K1251" s="57"/>
      <c r="L1251" s="57"/>
      <c r="M1251" s="57"/>
      <c r="N1251" s="57"/>
      <c r="O1251" s="57"/>
      <c r="P1251" s="57"/>
      <c r="Q1251" s="57"/>
      <c r="R1251" s="57"/>
      <c r="S1251" s="57"/>
      <c r="T1251" s="57"/>
      <c r="U1251" s="57"/>
      <c r="V1251" s="57"/>
      <c r="W1251" s="57"/>
      <c r="X1251" s="57"/>
      <c r="Y1251" s="57"/>
      <c r="Z1251" s="57"/>
    </row>
    <row r="1252">
      <c r="A1252" s="58">
        <v>8727202.0</v>
      </c>
      <c r="B1252" s="57" t="s">
        <v>2863</v>
      </c>
      <c r="C1252" s="57" t="s">
        <v>210</v>
      </c>
      <c r="D1252" s="58">
        <v>11.45</v>
      </c>
      <c r="E1252" s="58">
        <v>2137.48</v>
      </c>
      <c r="F1252" s="58">
        <v>4077917.0</v>
      </c>
      <c r="G1252" s="57" t="s">
        <v>2864</v>
      </c>
      <c r="H1252" s="57" t="s">
        <v>2865</v>
      </c>
      <c r="I1252" s="57"/>
      <c r="J1252" s="57"/>
      <c r="K1252" s="57"/>
      <c r="L1252" s="57"/>
      <c r="M1252" s="57"/>
      <c r="N1252" s="57"/>
      <c r="O1252" s="57"/>
      <c r="P1252" s="57"/>
      <c r="Q1252" s="57"/>
      <c r="R1252" s="57"/>
      <c r="S1252" s="57"/>
      <c r="T1252" s="57"/>
      <c r="U1252" s="57"/>
      <c r="V1252" s="57"/>
      <c r="W1252" s="57"/>
      <c r="X1252" s="57"/>
      <c r="Y1252" s="57"/>
      <c r="Z1252" s="57"/>
    </row>
    <row r="1253">
      <c r="A1253" s="58">
        <v>8726489.0</v>
      </c>
      <c r="B1253" s="57" t="s">
        <v>2863</v>
      </c>
      <c r="C1253" s="57" t="s">
        <v>210</v>
      </c>
      <c r="D1253" s="58">
        <v>7.33</v>
      </c>
      <c r="E1253" s="58">
        <v>2130.15</v>
      </c>
      <c r="F1253" s="58">
        <v>4075288.0</v>
      </c>
      <c r="G1253" s="58">
        <v>1.8694787E8</v>
      </c>
      <c r="H1253" s="57" t="s">
        <v>2866</v>
      </c>
      <c r="I1253" s="57"/>
      <c r="J1253" s="57"/>
      <c r="K1253" s="57"/>
      <c r="L1253" s="57"/>
      <c r="M1253" s="57"/>
      <c r="N1253" s="57"/>
      <c r="O1253" s="57"/>
      <c r="P1253" s="57"/>
      <c r="Q1253" s="57"/>
      <c r="R1253" s="57"/>
      <c r="S1253" s="57"/>
      <c r="T1253" s="57"/>
      <c r="U1253" s="57"/>
      <c r="V1253" s="57"/>
      <c r="W1253" s="57"/>
      <c r="X1253" s="57"/>
      <c r="Y1253" s="57"/>
      <c r="Z1253" s="57"/>
    </row>
    <row r="1254">
      <c r="A1254" s="58">
        <v>8723839.0</v>
      </c>
      <c r="B1254" s="57" t="s">
        <v>2867</v>
      </c>
      <c r="C1254" s="57" t="s">
        <v>210</v>
      </c>
      <c r="D1254" s="58">
        <v>8.84</v>
      </c>
      <c r="E1254" s="58">
        <v>2121.31</v>
      </c>
      <c r="F1254" s="58">
        <v>4067178.0</v>
      </c>
      <c r="G1254" s="57" t="s">
        <v>2868</v>
      </c>
      <c r="H1254" s="57" t="s">
        <v>2869</v>
      </c>
      <c r="I1254" s="57"/>
      <c r="J1254" s="57"/>
      <c r="K1254" s="57"/>
      <c r="L1254" s="57"/>
      <c r="M1254" s="57"/>
      <c r="N1254" s="57"/>
      <c r="O1254" s="57"/>
      <c r="P1254" s="57"/>
      <c r="Q1254" s="57"/>
      <c r="R1254" s="57"/>
      <c r="S1254" s="57"/>
      <c r="T1254" s="57"/>
      <c r="U1254" s="57"/>
      <c r="V1254" s="57"/>
      <c r="W1254" s="57"/>
      <c r="X1254" s="57"/>
      <c r="Y1254" s="57"/>
      <c r="Z1254" s="57"/>
    </row>
    <row r="1255">
      <c r="A1255" s="58">
        <v>8723070.0</v>
      </c>
      <c r="B1255" s="57" t="s">
        <v>2867</v>
      </c>
      <c r="C1255" s="57" t="s">
        <v>210</v>
      </c>
      <c r="D1255" s="58">
        <v>11.45</v>
      </c>
      <c r="E1255" s="58">
        <v>2109.86</v>
      </c>
      <c r="F1255" s="58">
        <v>4065320.0</v>
      </c>
      <c r="G1255" s="57" t="s">
        <v>2870</v>
      </c>
      <c r="H1255" s="57" t="s">
        <v>2871</v>
      </c>
      <c r="I1255" s="57"/>
      <c r="J1255" s="57"/>
      <c r="K1255" s="57"/>
      <c r="L1255" s="57"/>
      <c r="M1255" s="57"/>
      <c r="N1255" s="57"/>
      <c r="O1255" s="57"/>
      <c r="P1255" s="57"/>
      <c r="Q1255" s="57"/>
      <c r="R1255" s="57"/>
      <c r="S1255" s="57"/>
      <c r="T1255" s="57"/>
      <c r="U1255" s="57"/>
      <c r="V1255" s="57"/>
      <c r="W1255" s="57"/>
      <c r="X1255" s="57"/>
      <c r="Y1255" s="57"/>
      <c r="Z1255" s="57"/>
    </row>
    <row r="1256">
      <c r="A1256" s="58">
        <v>8721824.0</v>
      </c>
      <c r="B1256" s="57" t="s">
        <v>2867</v>
      </c>
      <c r="C1256" s="57" t="s">
        <v>210</v>
      </c>
      <c r="D1256" s="58">
        <v>10.65</v>
      </c>
      <c r="E1256" s="58">
        <v>2099.21</v>
      </c>
      <c r="F1256" s="58">
        <v>4061651.0</v>
      </c>
      <c r="G1256" s="57" t="s">
        <v>2872</v>
      </c>
      <c r="H1256" s="57" t="s">
        <v>2873</v>
      </c>
      <c r="I1256" s="57"/>
      <c r="J1256" s="57"/>
      <c r="K1256" s="57"/>
      <c r="L1256" s="57"/>
      <c r="M1256" s="57"/>
      <c r="N1256" s="57"/>
      <c r="O1256" s="57"/>
      <c r="P1256" s="57"/>
      <c r="Q1256" s="57"/>
      <c r="R1256" s="57"/>
      <c r="S1256" s="57"/>
      <c r="T1256" s="57"/>
      <c r="U1256" s="57"/>
      <c r="V1256" s="57"/>
      <c r="W1256" s="57"/>
      <c r="X1256" s="57"/>
      <c r="Y1256" s="57"/>
      <c r="Z1256" s="57"/>
    </row>
    <row r="1257">
      <c r="A1257" s="58">
        <v>8721802.0</v>
      </c>
      <c r="B1257" s="57" t="s">
        <v>2867</v>
      </c>
      <c r="C1257" s="57" t="s">
        <v>210</v>
      </c>
      <c r="D1257" s="58">
        <v>11.15</v>
      </c>
      <c r="E1257" s="58">
        <v>2088.06</v>
      </c>
      <c r="F1257" s="58">
        <v>4061575.0</v>
      </c>
      <c r="G1257" s="57" t="s">
        <v>2874</v>
      </c>
      <c r="H1257" s="57" t="s">
        <v>2875</v>
      </c>
      <c r="I1257" s="57"/>
      <c r="J1257" s="57"/>
      <c r="K1257" s="57"/>
      <c r="L1257" s="57"/>
      <c r="M1257" s="57"/>
      <c r="N1257" s="57"/>
      <c r="O1257" s="57"/>
      <c r="P1257" s="57"/>
      <c r="Q1257" s="57"/>
      <c r="R1257" s="57"/>
      <c r="S1257" s="57"/>
      <c r="T1257" s="57"/>
      <c r="U1257" s="57"/>
      <c r="V1257" s="57"/>
      <c r="W1257" s="57"/>
      <c r="X1257" s="57"/>
      <c r="Y1257" s="57"/>
      <c r="Z1257" s="57"/>
    </row>
    <row r="1258">
      <c r="A1258" s="58">
        <v>8721748.0</v>
      </c>
      <c r="B1258" s="57" t="s">
        <v>2867</v>
      </c>
      <c r="C1258" s="57" t="s">
        <v>210</v>
      </c>
      <c r="D1258" s="58">
        <v>11.15</v>
      </c>
      <c r="E1258" s="58">
        <v>2076.91</v>
      </c>
      <c r="F1258" s="58">
        <v>4061410.0</v>
      </c>
      <c r="G1258" s="57" t="s">
        <v>2876</v>
      </c>
      <c r="H1258" s="57" t="s">
        <v>2877</v>
      </c>
      <c r="I1258" s="57"/>
      <c r="J1258" s="57"/>
      <c r="K1258" s="57"/>
      <c r="L1258" s="57"/>
      <c r="M1258" s="57"/>
      <c r="N1258" s="57"/>
      <c r="O1258" s="57"/>
      <c r="P1258" s="57"/>
      <c r="Q1258" s="57"/>
      <c r="R1258" s="57"/>
      <c r="S1258" s="57"/>
      <c r="T1258" s="57"/>
      <c r="U1258" s="57"/>
      <c r="V1258" s="57"/>
      <c r="W1258" s="57"/>
      <c r="X1258" s="57"/>
      <c r="Y1258" s="57"/>
      <c r="Z1258" s="57"/>
    </row>
    <row r="1259">
      <c r="A1259" s="58">
        <v>8719595.0</v>
      </c>
      <c r="B1259" s="57" t="s">
        <v>2878</v>
      </c>
      <c r="C1259" s="57" t="s">
        <v>210</v>
      </c>
      <c r="D1259" s="58">
        <v>17.37</v>
      </c>
      <c r="E1259" s="58">
        <v>2059.54</v>
      </c>
      <c r="F1259" s="58">
        <v>4054987.0</v>
      </c>
      <c r="G1259" s="57" t="s">
        <v>2879</v>
      </c>
      <c r="H1259" s="57" t="s">
        <v>2880</v>
      </c>
      <c r="I1259" s="57"/>
      <c r="J1259" s="57"/>
      <c r="K1259" s="57"/>
      <c r="L1259" s="57"/>
      <c r="M1259" s="57"/>
      <c r="N1259" s="57"/>
      <c r="O1259" s="57"/>
      <c r="P1259" s="57"/>
      <c r="Q1259" s="57"/>
      <c r="R1259" s="57"/>
      <c r="S1259" s="57"/>
      <c r="T1259" s="57"/>
      <c r="U1259" s="57"/>
      <c r="V1259" s="57"/>
      <c r="W1259" s="57"/>
      <c r="X1259" s="57"/>
      <c r="Y1259" s="57"/>
      <c r="Z1259" s="57"/>
    </row>
    <row r="1260">
      <c r="A1260" s="58">
        <v>8718533.0</v>
      </c>
      <c r="B1260" s="57" t="s">
        <v>2878</v>
      </c>
      <c r="C1260" s="57" t="s">
        <v>210</v>
      </c>
      <c r="D1260" s="58">
        <v>10.73</v>
      </c>
      <c r="E1260" s="58">
        <v>2048.81</v>
      </c>
      <c r="F1260" s="58">
        <v>4051220.0</v>
      </c>
      <c r="G1260" s="58">
        <v>1.86942561E8</v>
      </c>
      <c r="H1260" s="57" t="s">
        <v>2881</v>
      </c>
      <c r="I1260" s="57"/>
      <c r="J1260" s="57"/>
      <c r="K1260" s="57"/>
      <c r="L1260" s="57"/>
      <c r="M1260" s="57"/>
      <c r="N1260" s="57"/>
      <c r="O1260" s="57"/>
      <c r="P1260" s="57"/>
      <c r="Q1260" s="57"/>
      <c r="R1260" s="57"/>
      <c r="S1260" s="57"/>
      <c r="T1260" s="57"/>
      <c r="U1260" s="57"/>
      <c r="V1260" s="57"/>
      <c r="W1260" s="57"/>
      <c r="X1260" s="57"/>
      <c r="Y1260" s="57"/>
      <c r="Z1260" s="57"/>
    </row>
    <row r="1261">
      <c r="A1261" s="58">
        <v>8718300.0</v>
      </c>
      <c r="B1261" s="57" t="s">
        <v>2878</v>
      </c>
      <c r="C1261" s="57" t="s">
        <v>210</v>
      </c>
      <c r="D1261" s="58">
        <v>10.45</v>
      </c>
      <c r="E1261" s="58">
        <v>2038.36</v>
      </c>
      <c r="F1261" s="58">
        <v>4050324.0</v>
      </c>
      <c r="G1261" s="57" t="s">
        <v>2882</v>
      </c>
      <c r="H1261" s="57" t="s">
        <v>2883</v>
      </c>
      <c r="I1261" s="57"/>
      <c r="J1261" s="57"/>
      <c r="K1261" s="57"/>
      <c r="L1261" s="57"/>
      <c r="M1261" s="57"/>
      <c r="N1261" s="57"/>
      <c r="O1261" s="57"/>
      <c r="P1261" s="57"/>
      <c r="Q1261" s="57"/>
      <c r="R1261" s="57"/>
      <c r="S1261" s="57"/>
      <c r="T1261" s="57"/>
      <c r="U1261" s="57"/>
      <c r="V1261" s="57"/>
      <c r="W1261" s="57"/>
      <c r="X1261" s="57"/>
      <c r="Y1261" s="57"/>
      <c r="Z1261" s="57"/>
    </row>
    <row r="1262">
      <c r="A1262" s="58">
        <v>8717243.0</v>
      </c>
      <c r="B1262" s="57" t="s">
        <v>2878</v>
      </c>
      <c r="C1262" s="57" t="s">
        <v>210</v>
      </c>
      <c r="D1262" s="58">
        <v>12.19</v>
      </c>
      <c r="E1262" s="58">
        <v>2026.17</v>
      </c>
      <c r="F1262" s="58">
        <v>4045739.0</v>
      </c>
      <c r="G1262" s="57" t="s">
        <v>2884</v>
      </c>
      <c r="H1262" s="57" t="s">
        <v>2885</v>
      </c>
      <c r="I1262" s="57"/>
      <c r="J1262" s="57"/>
      <c r="K1262" s="57"/>
      <c r="L1262" s="57"/>
      <c r="M1262" s="57"/>
      <c r="N1262" s="57"/>
      <c r="O1262" s="57"/>
      <c r="P1262" s="57"/>
      <c r="Q1262" s="57"/>
      <c r="R1262" s="57"/>
      <c r="S1262" s="57"/>
      <c r="T1262" s="57"/>
      <c r="U1262" s="57"/>
      <c r="V1262" s="57"/>
      <c r="W1262" s="57"/>
      <c r="X1262" s="57"/>
      <c r="Y1262" s="57"/>
      <c r="Z1262" s="57"/>
    </row>
    <row r="1263">
      <c r="A1263" s="58">
        <v>8713098.0</v>
      </c>
      <c r="B1263" s="57" t="s">
        <v>2886</v>
      </c>
      <c r="C1263" s="57" t="s">
        <v>210</v>
      </c>
      <c r="D1263" s="58">
        <v>8.47</v>
      </c>
      <c r="E1263" s="58">
        <v>2017.7</v>
      </c>
      <c r="F1263" s="58">
        <v>4016709.0</v>
      </c>
      <c r="G1263" s="57" t="s">
        <v>2887</v>
      </c>
      <c r="H1263" s="57" t="s">
        <v>2888</v>
      </c>
      <c r="I1263" s="57"/>
      <c r="J1263" s="57"/>
      <c r="K1263" s="57"/>
      <c r="L1263" s="57"/>
      <c r="M1263" s="57"/>
      <c r="N1263" s="57"/>
      <c r="O1263" s="57"/>
      <c r="P1263" s="57"/>
      <c r="Q1263" s="57"/>
      <c r="R1263" s="57"/>
      <c r="S1263" s="57"/>
      <c r="T1263" s="57"/>
      <c r="U1263" s="57"/>
      <c r="V1263" s="57"/>
      <c r="W1263" s="57"/>
      <c r="X1263" s="57"/>
      <c r="Y1263" s="57"/>
      <c r="Z1263" s="57"/>
    </row>
    <row r="1264">
      <c r="A1264" s="58">
        <v>8709480.0</v>
      </c>
      <c r="B1264" s="57" t="s">
        <v>2889</v>
      </c>
      <c r="C1264" s="57" t="s">
        <v>247</v>
      </c>
      <c r="D1264" s="58">
        <v>4.77</v>
      </c>
      <c r="E1264" s="58">
        <v>2022.47</v>
      </c>
      <c r="F1264" s="58">
        <v>3605838.0</v>
      </c>
      <c r="G1264" s="57" t="s">
        <v>2890</v>
      </c>
      <c r="H1264" s="57" t="s">
        <v>2891</v>
      </c>
      <c r="I1264" s="57"/>
      <c r="J1264" s="57"/>
      <c r="K1264" s="57"/>
      <c r="L1264" s="57"/>
      <c r="M1264" s="57"/>
      <c r="N1264" s="57"/>
      <c r="O1264" s="57"/>
      <c r="P1264" s="57"/>
      <c r="Q1264" s="57"/>
      <c r="R1264" s="57"/>
      <c r="S1264" s="57"/>
      <c r="T1264" s="57"/>
      <c r="U1264" s="57"/>
      <c r="V1264" s="57"/>
      <c r="W1264" s="57"/>
      <c r="X1264" s="57"/>
      <c r="Y1264" s="57"/>
      <c r="Z1264" s="57"/>
    </row>
    <row r="1265">
      <c r="A1265" s="58">
        <v>8709478.0</v>
      </c>
      <c r="B1265" s="57" t="s">
        <v>2892</v>
      </c>
      <c r="C1265" s="57" t="s">
        <v>247</v>
      </c>
      <c r="D1265" s="58">
        <v>0.85</v>
      </c>
      <c r="E1265" s="58">
        <v>2023.32</v>
      </c>
      <c r="F1265" s="58">
        <v>3518047.0</v>
      </c>
      <c r="G1265" s="57" t="s">
        <v>2893</v>
      </c>
      <c r="H1265" s="57" t="s">
        <v>2894</v>
      </c>
      <c r="I1265" s="57"/>
      <c r="J1265" s="57"/>
      <c r="K1265" s="57"/>
      <c r="L1265" s="57"/>
      <c r="M1265" s="57"/>
      <c r="N1265" s="57"/>
      <c r="O1265" s="57"/>
      <c r="P1265" s="57"/>
      <c r="Q1265" s="57"/>
      <c r="R1265" s="57"/>
      <c r="S1265" s="57"/>
      <c r="T1265" s="57"/>
      <c r="U1265" s="57"/>
      <c r="V1265" s="57"/>
      <c r="W1265" s="57"/>
      <c r="X1265" s="57"/>
      <c r="Y1265" s="57"/>
      <c r="Z1265" s="57"/>
    </row>
    <row r="1266">
      <c r="A1266" s="58">
        <v>8709477.0</v>
      </c>
      <c r="B1266" s="57" t="s">
        <v>2892</v>
      </c>
      <c r="C1266" s="57" t="s">
        <v>247</v>
      </c>
      <c r="D1266" s="58">
        <v>4.76</v>
      </c>
      <c r="E1266" s="58">
        <v>2028.08</v>
      </c>
      <c r="F1266" s="58">
        <v>3518047.0</v>
      </c>
      <c r="G1266" s="57" t="s">
        <v>2893</v>
      </c>
      <c r="H1266" s="57" t="s">
        <v>2895</v>
      </c>
      <c r="I1266" s="57"/>
      <c r="J1266" s="57"/>
      <c r="K1266" s="57"/>
      <c r="L1266" s="57"/>
      <c r="M1266" s="57"/>
      <c r="N1266" s="57"/>
      <c r="O1266" s="57"/>
      <c r="P1266" s="57"/>
      <c r="Q1266" s="57"/>
      <c r="R1266" s="57"/>
      <c r="S1266" s="57"/>
      <c r="T1266" s="57"/>
      <c r="U1266" s="57"/>
      <c r="V1266" s="57"/>
      <c r="W1266" s="57"/>
      <c r="X1266" s="57"/>
      <c r="Y1266" s="57"/>
      <c r="Z1266" s="57"/>
    </row>
    <row r="1267">
      <c r="A1267" s="58">
        <v>8708042.0</v>
      </c>
      <c r="B1267" s="57" t="s">
        <v>2896</v>
      </c>
      <c r="C1267" s="57" t="s">
        <v>247</v>
      </c>
      <c r="D1267" s="58">
        <v>0.85</v>
      </c>
      <c r="E1267" s="58">
        <v>2028.93</v>
      </c>
      <c r="F1267" s="58">
        <v>3775909.0</v>
      </c>
      <c r="G1267" s="57" t="s">
        <v>2897</v>
      </c>
      <c r="H1267" s="57" t="s">
        <v>2898</v>
      </c>
      <c r="I1267" s="57"/>
      <c r="J1267" s="57"/>
      <c r="K1267" s="57"/>
      <c r="L1267" s="57"/>
      <c r="M1267" s="57"/>
      <c r="N1267" s="57"/>
      <c r="O1267" s="57"/>
      <c r="P1267" s="57"/>
      <c r="Q1267" s="57"/>
      <c r="R1267" s="57"/>
      <c r="S1267" s="57"/>
      <c r="T1267" s="57"/>
      <c r="U1267" s="57"/>
      <c r="V1267" s="57"/>
      <c r="W1267" s="57"/>
      <c r="X1267" s="57"/>
      <c r="Y1267" s="57"/>
      <c r="Z1267" s="57"/>
    </row>
    <row r="1268">
      <c r="A1268" s="58">
        <v>8708041.0</v>
      </c>
      <c r="B1268" s="57" t="s">
        <v>2896</v>
      </c>
      <c r="C1268" s="57" t="s">
        <v>247</v>
      </c>
      <c r="D1268" s="58">
        <v>3.58</v>
      </c>
      <c r="E1268" s="58">
        <v>2032.51</v>
      </c>
      <c r="F1268" s="58">
        <v>3775909.0</v>
      </c>
      <c r="G1268" s="57" t="s">
        <v>2897</v>
      </c>
      <c r="H1268" s="57" t="s">
        <v>2899</v>
      </c>
      <c r="I1268" s="57"/>
      <c r="J1268" s="57"/>
      <c r="K1268" s="57"/>
      <c r="L1268" s="57"/>
      <c r="M1268" s="57"/>
      <c r="N1268" s="57"/>
      <c r="O1268" s="57"/>
      <c r="P1268" s="57"/>
      <c r="Q1268" s="57"/>
      <c r="R1268" s="57"/>
      <c r="S1268" s="57"/>
      <c r="T1268" s="57"/>
      <c r="U1268" s="57"/>
      <c r="V1268" s="57"/>
      <c r="W1268" s="57"/>
      <c r="X1268" s="57"/>
      <c r="Y1268" s="57"/>
      <c r="Z1268" s="57"/>
    </row>
    <row r="1269">
      <c r="A1269" s="58">
        <v>8706665.0</v>
      </c>
      <c r="B1269" s="57" t="s">
        <v>2900</v>
      </c>
      <c r="C1269" s="57" t="s">
        <v>210</v>
      </c>
      <c r="D1269" s="58">
        <v>13.16</v>
      </c>
      <c r="E1269" s="58">
        <v>2019.35</v>
      </c>
      <c r="F1269" s="58">
        <v>4066860.0</v>
      </c>
      <c r="G1269" s="58">
        <v>1.86945153E8</v>
      </c>
      <c r="H1269" s="57" t="s">
        <v>2901</v>
      </c>
      <c r="I1269" s="57"/>
      <c r="J1269" s="57"/>
      <c r="K1269" s="57"/>
      <c r="L1269" s="57"/>
      <c r="M1269" s="57"/>
      <c r="N1269" s="57"/>
      <c r="O1269" s="57"/>
      <c r="P1269" s="57"/>
      <c r="Q1269" s="57"/>
      <c r="R1269" s="57"/>
      <c r="S1269" s="57"/>
      <c r="T1269" s="57"/>
      <c r="U1269" s="57"/>
      <c r="V1269" s="57"/>
      <c r="W1269" s="57"/>
      <c r="X1269" s="57"/>
      <c r="Y1269" s="57"/>
      <c r="Z1269" s="57"/>
    </row>
    <row r="1270">
      <c r="A1270" s="58">
        <v>8704678.0</v>
      </c>
      <c r="B1270" s="57" t="s">
        <v>2900</v>
      </c>
      <c r="C1270" s="57" t="s">
        <v>210</v>
      </c>
      <c r="D1270" s="58">
        <v>10.85</v>
      </c>
      <c r="E1270" s="58">
        <v>2008.5</v>
      </c>
      <c r="F1270" s="58">
        <v>4061881.0</v>
      </c>
      <c r="G1270" s="57" t="s">
        <v>2902</v>
      </c>
      <c r="H1270" s="57" t="s">
        <v>2903</v>
      </c>
      <c r="I1270" s="57"/>
      <c r="J1270" s="57"/>
      <c r="K1270" s="57"/>
      <c r="L1270" s="57"/>
      <c r="M1270" s="57"/>
      <c r="N1270" s="57"/>
      <c r="O1270" s="57"/>
      <c r="P1270" s="57"/>
      <c r="Q1270" s="57"/>
      <c r="R1270" s="57"/>
      <c r="S1270" s="57"/>
      <c r="T1270" s="57"/>
      <c r="U1270" s="57"/>
      <c r="V1270" s="57"/>
      <c r="W1270" s="57"/>
      <c r="X1270" s="57"/>
      <c r="Y1270" s="57"/>
      <c r="Z1270" s="57"/>
    </row>
    <row r="1271">
      <c r="A1271" s="58">
        <v>8704626.0</v>
      </c>
      <c r="B1271" s="57" t="s">
        <v>2900</v>
      </c>
      <c r="C1271" s="57" t="s">
        <v>210</v>
      </c>
      <c r="D1271" s="58">
        <v>10.08</v>
      </c>
      <c r="E1271" s="58">
        <v>1998.42</v>
      </c>
      <c r="F1271" s="58">
        <v>4061797.0</v>
      </c>
      <c r="G1271" s="57" t="s">
        <v>2904</v>
      </c>
      <c r="H1271" s="57" t="s">
        <v>2905</v>
      </c>
      <c r="I1271" s="57"/>
      <c r="J1271" s="57"/>
      <c r="K1271" s="57"/>
      <c r="L1271" s="57"/>
      <c r="M1271" s="57"/>
      <c r="N1271" s="57"/>
      <c r="O1271" s="57"/>
      <c r="P1271" s="57"/>
      <c r="Q1271" s="57"/>
      <c r="R1271" s="57"/>
      <c r="S1271" s="57"/>
      <c r="T1271" s="57"/>
      <c r="U1271" s="57"/>
      <c r="V1271" s="57"/>
      <c r="W1271" s="57"/>
      <c r="X1271" s="57"/>
      <c r="Y1271" s="57"/>
      <c r="Z1271" s="57"/>
    </row>
    <row r="1272">
      <c r="A1272" s="58">
        <v>8704599.0</v>
      </c>
      <c r="B1272" s="57" t="s">
        <v>2900</v>
      </c>
      <c r="C1272" s="57" t="s">
        <v>210</v>
      </c>
      <c r="D1272" s="58">
        <v>8.84</v>
      </c>
      <c r="E1272" s="58">
        <v>1989.58</v>
      </c>
      <c r="F1272" s="58">
        <v>4061743.0</v>
      </c>
      <c r="G1272" s="57" t="s">
        <v>2906</v>
      </c>
      <c r="H1272" s="57" t="s">
        <v>2907</v>
      </c>
      <c r="I1272" s="57"/>
      <c r="J1272" s="57"/>
      <c r="K1272" s="57"/>
      <c r="L1272" s="57"/>
      <c r="M1272" s="57"/>
      <c r="N1272" s="57"/>
      <c r="O1272" s="57"/>
      <c r="P1272" s="57"/>
      <c r="Q1272" s="57"/>
      <c r="R1272" s="57"/>
      <c r="S1272" s="57"/>
      <c r="T1272" s="57"/>
      <c r="U1272" s="57"/>
      <c r="V1272" s="57"/>
      <c r="W1272" s="57"/>
      <c r="X1272" s="57"/>
      <c r="Y1272" s="57"/>
      <c r="Z1272" s="57"/>
    </row>
    <row r="1273">
      <c r="A1273" s="58">
        <v>8700313.0</v>
      </c>
      <c r="B1273" s="57" t="s">
        <v>2908</v>
      </c>
      <c r="C1273" s="57" t="s">
        <v>210</v>
      </c>
      <c r="D1273" s="58">
        <v>11.15</v>
      </c>
      <c r="E1273" s="58">
        <v>1978.43</v>
      </c>
      <c r="F1273" s="58">
        <v>4053813.0</v>
      </c>
      <c r="G1273" s="57" t="s">
        <v>2909</v>
      </c>
      <c r="H1273" s="57" t="s">
        <v>2910</v>
      </c>
      <c r="I1273" s="57"/>
      <c r="J1273" s="57"/>
      <c r="K1273" s="57"/>
      <c r="L1273" s="57"/>
      <c r="M1273" s="57"/>
      <c r="N1273" s="57"/>
      <c r="O1273" s="57"/>
      <c r="P1273" s="57"/>
      <c r="Q1273" s="57"/>
      <c r="R1273" s="57"/>
      <c r="S1273" s="57"/>
      <c r="T1273" s="57"/>
      <c r="U1273" s="57"/>
      <c r="V1273" s="57"/>
      <c r="W1273" s="57"/>
      <c r="X1273" s="57"/>
      <c r="Y1273" s="57"/>
      <c r="Z1273" s="57"/>
    </row>
    <row r="1274">
      <c r="A1274" s="58">
        <v>8696231.0</v>
      </c>
      <c r="B1274" s="57" t="s">
        <v>2911</v>
      </c>
      <c r="C1274" s="57" t="s">
        <v>210</v>
      </c>
      <c r="D1274" s="58">
        <v>15.47</v>
      </c>
      <c r="E1274" s="58">
        <v>1962.96</v>
      </c>
      <c r="F1274" s="58">
        <v>4046403.0</v>
      </c>
      <c r="G1274" s="57" t="s">
        <v>2912</v>
      </c>
      <c r="H1274" s="57" t="s">
        <v>2913</v>
      </c>
      <c r="I1274" s="57"/>
      <c r="J1274" s="57"/>
      <c r="K1274" s="57"/>
      <c r="L1274" s="57"/>
      <c r="M1274" s="57"/>
      <c r="N1274" s="57"/>
      <c r="O1274" s="57"/>
      <c r="P1274" s="57"/>
      <c r="Q1274" s="57"/>
      <c r="R1274" s="57"/>
      <c r="S1274" s="57"/>
      <c r="T1274" s="57"/>
      <c r="U1274" s="57"/>
      <c r="V1274" s="57"/>
      <c r="W1274" s="57"/>
      <c r="X1274" s="57"/>
      <c r="Y1274" s="57"/>
      <c r="Z1274" s="57"/>
    </row>
    <row r="1275">
      <c r="A1275" s="58">
        <v>8695408.0</v>
      </c>
      <c r="B1275" s="57" t="s">
        <v>2911</v>
      </c>
      <c r="C1275" s="57" t="s">
        <v>210</v>
      </c>
      <c r="D1275" s="58">
        <v>11.15</v>
      </c>
      <c r="E1275" s="58">
        <v>1951.81</v>
      </c>
      <c r="F1275" s="58">
        <v>4044974.0</v>
      </c>
      <c r="G1275" s="57" t="s">
        <v>2914</v>
      </c>
      <c r="H1275" s="57" t="s">
        <v>2915</v>
      </c>
      <c r="I1275" s="57"/>
      <c r="J1275" s="57"/>
      <c r="K1275" s="57"/>
      <c r="L1275" s="57"/>
      <c r="M1275" s="57"/>
      <c r="N1275" s="57"/>
      <c r="O1275" s="57"/>
      <c r="P1275" s="57"/>
      <c r="Q1275" s="57"/>
      <c r="R1275" s="57"/>
      <c r="S1275" s="57"/>
      <c r="T1275" s="57"/>
      <c r="U1275" s="57"/>
      <c r="V1275" s="57"/>
      <c r="W1275" s="57"/>
      <c r="X1275" s="57"/>
      <c r="Y1275" s="57"/>
      <c r="Z1275" s="57"/>
    </row>
    <row r="1276">
      <c r="A1276" s="58">
        <v>8695285.0</v>
      </c>
      <c r="B1276" s="57" t="s">
        <v>2911</v>
      </c>
      <c r="C1276" s="57" t="s">
        <v>210</v>
      </c>
      <c r="D1276" s="58">
        <v>11.45</v>
      </c>
      <c r="E1276" s="58">
        <v>1940.36</v>
      </c>
      <c r="F1276" s="58">
        <v>4044804.0</v>
      </c>
      <c r="G1276" s="57" t="s">
        <v>2916</v>
      </c>
      <c r="H1276" s="57" t="s">
        <v>2917</v>
      </c>
      <c r="I1276" s="57"/>
      <c r="J1276" s="57"/>
      <c r="K1276" s="57"/>
      <c r="L1276" s="57"/>
      <c r="M1276" s="57"/>
      <c r="N1276" s="57"/>
      <c r="O1276" s="57"/>
      <c r="P1276" s="57"/>
      <c r="Q1276" s="57"/>
      <c r="R1276" s="57"/>
      <c r="S1276" s="57"/>
      <c r="T1276" s="57"/>
      <c r="U1276" s="57"/>
      <c r="V1276" s="57"/>
      <c r="W1276" s="57"/>
      <c r="X1276" s="57"/>
      <c r="Y1276" s="57"/>
      <c r="Z1276" s="57"/>
    </row>
    <row r="1277">
      <c r="A1277" s="58">
        <v>8692442.0</v>
      </c>
      <c r="B1277" s="57" t="s">
        <v>2918</v>
      </c>
      <c r="C1277" s="57" t="s">
        <v>210</v>
      </c>
      <c r="D1277" s="58">
        <v>11.16</v>
      </c>
      <c r="E1277" s="58">
        <v>1929.2</v>
      </c>
      <c r="F1277" s="58">
        <v>4039891.0</v>
      </c>
      <c r="G1277" s="57" t="s">
        <v>2919</v>
      </c>
      <c r="H1277" s="57" t="s">
        <v>2920</v>
      </c>
      <c r="I1277" s="57"/>
      <c r="J1277" s="57"/>
      <c r="K1277" s="57"/>
      <c r="L1277" s="57"/>
      <c r="M1277" s="57"/>
      <c r="N1277" s="57"/>
      <c r="O1277" s="57"/>
      <c r="P1277" s="57"/>
      <c r="Q1277" s="57"/>
      <c r="R1277" s="57"/>
      <c r="S1277" s="57"/>
      <c r="T1277" s="57"/>
      <c r="U1277" s="57"/>
      <c r="V1277" s="57"/>
      <c r="W1277" s="57"/>
      <c r="X1277" s="57"/>
      <c r="Y1277" s="57"/>
      <c r="Z1277" s="57"/>
    </row>
    <row r="1278">
      <c r="A1278" s="58">
        <v>8691686.0</v>
      </c>
      <c r="B1278" s="57" t="s">
        <v>2918</v>
      </c>
      <c r="C1278" s="57" t="s">
        <v>210</v>
      </c>
      <c r="D1278" s="58">
        <v>18.07</v>
      </c>
      <c r="E1278" s="58">
        <v>1911.13</v>
      </c>
      <c r="F1278" s="58">
        <v>4038540.0</v>
      </c>
      <c r="G1278" s="57" t="s">
        <v>2921</v>
      </c>
      <c r="H1278" s="57" t="s">
        <v>2922</v>
      </c>
      <c r="I1278" s="57"/>
      <c r="J1278" s="57"/>
      <c r="K1278" s="57"/>
      <c r="L1278" s="57"/>
      <c r="M1278" s="57"/>
      <c r="N1278" s="57"/>
      <c r="O1278" s="57"/>
      <c r="P1278" s="57"/>
      <c r="Q1278" s="57"/>
      <c r="R1278" s="57"/>
      <c r="S1278" s="57"/>
      <c r="T1278" s="57"/>
      <c r="U1278" s="57"/>
      <c r="V1278" s="57"/>
      <c r="W1278" s="57"/>
      <c r="X1278" s="57"/>
      <c r="Y1278" s="57"/>
      <c r="Z1278" s="57"/>
    </row>
    <row r="1279">
      <c r="A1279" s="58">
        <v>8691633.0</v>
      </c>
      <c r="B1279" s="57" t="s">
        <v>2918</v>
      </c>
      <c r="C1279" s="57" t="s">
        <v>210</v>
      </c>
      <c r="D1279" s="58">
        <v>11.45</v>
      </c>
      <c r="E1279" s="58">
        <v>1899.68</v>
      </c>
      <c r="F1279" s="58">
        <v>4038396.0</v>
      </c>
      <c r="G1279" s="57" t="s">
        <v>2923</v>
      </c>
      <c r="H1279" s="57" t="s">
        <v>2924</v>
      </c>
      <c r="I1279" s="57"/>
      <c r="J1279" s="57"/>
      <c r="K1279" s="57"/>
      <c r="L1279" s="57"/>
      <c r="M1279" s="57"/>
      <c r="N1279" s="57"/>
      <c r="O1279" s="57"/>
      <c r="P1279" s="57"/>
      <c r="Q1279" s="57"/>
      <c r="R1279" s="57"/>
      <c r="S1279" s="57"/>
      <c r="T1279" s="57"/>
      <c r="U1279" s="57"/>
      <c r="V1279" s="57"/>
      <c r="W1279" s="57"/>
      <c r="X1279" s="57"/>
      <c r="Y1279" s="57"/>
      <c r="Z1279" s="57"/>
    </row>
    <row r="1280">
      <c r="A1280" s="58">
        <v>8689092.0</v>
      </c>
      <c r="B1280" s="57" t="s">
        <v>2925</v>
      </c>
      <c r="C1280" s="57" t="s">
        <v>210</v>
      </c>
      <c r="D1280" s="58">
        <v>9.24</v>
      </c>
      <c r="E1280" s="58">
        <v>1890.44</v>
      </c>
      <c r="F1280" s="58">
        <v>4033136.0</v>
      </c>
      <c r="G1280" s="57" t="s">
        <v>2926</v>
      </c>
      <c r="H1280" s="57" t="s">
        <v>2927</v>
      </c>
      <c r="I1280" s="57"/>
      <c r="J1280" s="57"/>
      <c r="K1280" s="57"/>
      <c r="L1280" s="57"/>
      <c r="M1280" s="57"/>
      <c r="N1280" s="57"/>
      <c r="O1280" s="57"/>
      <c r="P1280" s="57"/>
      <c r="Q1280" s="57"/>
      <c r="R1280" s="57"/>
      <c r="S1280" s="57"/>
      <c r="T1280" s="57"/>
      <c r="U1280" s="57"/>
      <c r="V1280" s="57"/>
      <c r="W1280" s="57"/>
      <c r="X1280" s="57"/>
      <c r="Y1280" s="57"/>
      <c r="Z1280" s="57"/>
    </row>
    <row r="1281">
      <c r="A1281" s="58">
        <v>8688015.0</v>
      </c>
      <c r="B1281" s="57" t="s">
        <v>2925</v>
      </c>
      <c r="C1281" s="57" t="s">
        <v>210</v>
      </c>
      <c r="D1281" s="58">
        <v>9.24</v>
      </c>
      <c r="E1281" s="58">
        <v>1881.2</v>
      </c>
      <c r="F1281" s="58">
        <v>4030898.0</v>
      </c>
      <c r="G1281" s="57" t="s">
        <v>2928</v>
      </c>
      <c r="H1281" s="57" t="s">
        <v>2929</v>
      </c>
      <c r="I1281" s="57"/>
      <c r="J1281" s="57"/>
      <c r="K1281" s="57"/>
      <c r="L1281" s="57"/>
      <c r="M1281" s="57"/>
      <c r="N1281" s="57"/>
      <c r="O1281" s="57"/>
      <c r="P1281" s="57"/>
      <c r="Q1281" s="57"/>
      <c r="R1281" s="57"/>
      <c r="S1281" s="57"/>
      <c r="T1281" s="57"/>
      <c r="U1281" s="57"/>
      <c r="V1281" s="57"/>
      <c r="W1281" s="57"/>
      <c r="X1281" s="57"/>
      <c r="Y1281" s="57"/>
      <c r="Z1281" s="57"/>
    </row>
    <row r="1282">
      <c r="A1282" s="58">
        <v>8685001.0</v>
      </c>
      <c r="B1282" s="57" t="s">
        <v>2930</v>
      </c>
      <c r="C1282" s="57" t="s">
        <v>210</v>
      </c>
      <c r="D1282" s="58">
        <v>13.47</v>
      </c>
      <c r="E1282" s="58">
        <v>1867.73</v>
      </c>
      <c r="F1282" s="58">
        <v>4022093.0</v>
      </c>
      <c r="G1282" s="57" t="s">
        <v>2931</v>
      </c>
      <c r="H1282" s="57" t="s">
        <v>2932</v>
      </c>
      <c r="I1282" s="57"/>
      <c r="J1282" s="57"/>
      <c r="K1282" s="57"/>
      <c r="L1282" s="57"/>
      <c r="M1282" s="57"/>
      <c r="N1282" s="57"/>
      <c r="O1282" s="57"/>
      <c r="P1282" s="57"/>
      <c r="Q1282" s="57"/>
      <c r="R1282" s="57"/>
      <c r="S1282" s="57"/>
      <c r="T1282" s="57"/>
      <c r="U1282" s="57"/>
      <c r="V1282" s="57"/>
      <c r="W1282" s="57"/>
      <c r="X1282" s="57"/>
      <c r="Y1282" s="57"/>
      <c r="Z1282" s="57"/>
    </row>
    <row r="1283">
      <c r="A1283" s="58">
        <v>8684870.0</v>
      </c>
      <c r="B1283" s="57" t="s">
        <v>2930</v>
      </c>
      <c r="C1283" s="57" t="s">
        <v>210</v>
      </c>
      <c r="D1283" s="58">
        <v>11.16</v>
      </c>
      <c r="E1283" s="58">
        <v>1856.57</v>
      </c>
      <c r="F1283" s="58">
        <v>4021467.0</v>
      </c>
      <c r="G1283" s="57" t="s">
        <v>2933</v>
      </c>
      <c r="H1283" s="57" t="s">
        <v>2934</v>
      </c>
      <c r="I1283" s="57"/>
      <c r="J1283" s="57"/>
      <c r="K1283" s="57"/>
      <c r="L1283" s="57"/>
      <c r="M1283" s="57"/>
      <c r="N1283" s="57"/>
      <c r="O1283" s="57"/>
      <c r="P1283" s="57"/>
      <c r="Q1283" s="57"/>
      <c r="R1283" s="57"/>
      <c r="S1283" s="57"/>
      <c r="T1283" s="57"/>
      <c r="U1283" s="57"/>
      <c r="V1283" s="57"/>
      <c r="W1283" s="57"/>
      <c r="X1283" s="57"/>
      <c r="Y1283" s="57"/>
      <c r="Z1283" s="57"/>
    </row>
    <row r="1284">
      <c r="A1284" s="58">
        <v>8683979.0</v>
      </c>
      <c r="B1284" s="57" t="s">
        <v>2930</v>
      </c>
      <c r="C1284" s="57" t="s">
        <v>210</v>
      </c>
      <c r="D1284" s="58">
        <v>8.84</v>
      </c>
      <c r="E1284" s="58">
        <v>1847.73</v>
      </c>
      <c r="F1284" s="58">
        <v>4018399.0</v>
      </c>
      <c r="G1284" s="57" t="s">
        <v>2935</v>
      </c>
      <c r="H1284" s="57" t="s">
        <v>2936</v>
      </c>
      <c r="I1284" s="57"/>
      <c r="J1284" s="57"/>
      <c r="K1284" s="57"/>
      <c r="L1284" s="57"/>
      <c r="M1284" s="57"/>
      <c r="N1284" s="57"/>
      <c r="O1284" s="57"/>
      <c r="P1284" s="57"/>
      <c r="Q1284" s="57"/>
      <c r="R1284" s="57"/>
      <c r="S1284" s="57"/>
      <c r="T1284" s="57"/>
      <c r="U1284" s="57"/>
      <c r="V1284" s="57"/>
      <c r="W1284" s="57"/>
      <c r="X1284" s="57"/>
      <c r="Y1284" s="57"/>
      <c r="Z1284" s="57"/>
    </row>
    <row r="1285">
      <c r="A1285" s="58">
        <v>8683935.0</v>
      </c>
      <c r="B1285" s="57" t="s">
        <v>2930</v>
      </c>
      <c r="C1285" s="57" t="s">
        <v>210</v>
      </c>
      <c r="D1285" s="58">
        <v>8.84</v>
      </c>
      <c r="E1285" s="58">
        <v>1838.89</v>
      </c>
      <c r="F1285" s="58">
        <v>4018274.0</v>
      </c>
      <c r="G1285" s="57" t="s">
        <v>2937</v>
      </c>
      <c r="H1285" s="57" t="s">
        <v>2938</v>
      </c>
      <c r="I1285" s="57"/>
      <c r="J1285" s="57"/>
      <c r="K1285" s="57"/>
      <c r="L1285" s="57"/>
      <c r="M1285" s="57"/>
      <c r="N1285" s="57"/>
      <c r="O1285" s="57"/>
      <c r="P1285" s="57"/>
      <c r="Q1285" s="57"/>
      <c r="R1285" s="57"/>
      <c r="S1285" s="57"/>
      <c r="T1285" s="57"/>
      <c r="U1285" s="57"/>
      <c r="V1285" s="57"/>
      <c r="W1285" s="57"/>
      <c r="X1285" s="57"/>
      <c r="Y1285" s="57"/>
      <c r="Z1285" s="57"/>
    </row>
    <row r="1286">
      <c r="A1286" s="58">
        <v>8677071.0</v>
      </c>
      <c r="B1286" s="57" t="s">
        <v>2939</v>
      </c>
      <c r="C1286" s="57" t="s">
        <v>210</v>
      </c>
      <c r="D1286" s="58">
        <v>7.33</v>
      </c>
      <c r="E1286" s="58">
        <v>1831.56</v>
      </c>
      <c r="F1286" s="58">
        <v>3991045.0</v>
      </c>
      <c r="G1286" s="58">
        <v>1.86922048E8</v>
      </c>
      <c r="H1286" s="57" t="s">
        <v>2940</v>
      </c>
      <c r="I1286" s="57"/>
      <c r="J1286" s="57"/>
      <c r="K1286" s="57"/>
      <c r="L1286" s="57"/>
      <c r="M1286" s="57"/>
      <c r="N1286" s="57"/>
      <c r="O1286" s="57"/>
      <c r="P1286" s="57"/>
      <c r="Q1286" s="57"/>
      <c r="R1286" s="57"/>
      <c r="S1286" s="57"/>
      <c r="T1286" s="57"/>
      <c r="U1286" s="57"/>
      <c r="V1286" s="57"/>
      <c r="W1286" s="57"/>
      <c r="X1286" s="57"/>
      <c r="Y1286" s="57"/>
      <c r="Z1286" s="57"/>
    </row>
    <row r="1287">
      <c r="A1287" s="58">
        <v>8674456.0</v>
      </c>
      <c r="B1287" s="57" t="s">
        <v>2941</v>
      </c>
      <c r="C1287" s="57" t="s">
        <v>210</v>
      </c>
      <c r="D1287" s="58">
        <v>8.67</v>
      </c>
      <c r="E1287" s="58">
        <v>1822.89</v>
      </c>
      <c r="F1287" s="58">
        <v>3962320.0</v>
      </c>
      <c r="G1287" s="57" t="s">
        <v>2942</v>
      </c>
      <c r="H1287" s="57" t="s">
        <v>2943</v>
      </c>
      <c r="I1287" s="57"/>
      <c r="J1287" s="57"/>
      <c r="K1287" s="57"/>
      <c r="L1287" s="57"/>
      <c r="M1287" s="57"/>
      <c r="N1287" s="57"/>
      <c r="O1287" s="57"/>
      <c r="P1287" s="57"/>
      <c r="Q1287" s="57"/>
      <c r="R1287" s="57"/>
      <c r="S1287" s="57"/>
      <c r="T1287" s="57"/>
      <c r="U1287" s="57"/>
      <c r="V1287" s="57"/>
      <c r="W1287" s="57"/>
      <c r="X1287" s="57"/>
      <c r="Y1287" s="57"/>
      <c r="Z1287" s="57"/>
    </row>
    <row r="1288">
      <c r="A1288" s="58">
        <v>8673352.0</v>
      </c>
      <c r="B1288" s="57" t="s">
        <v>2941</v>
      </c>
      <c r="C1288" s="57" t="s">
        <v>210</v>
      </c>
      <c r="D1288" s="58">
        <v>7.33</v>
      </c>
      <c r="E1288" s="58">
        <v>1815.56</v>
      </c>
      <c r="F1288" s="58">
        <v>3893724.0</v>
      </c>
      <c r="G1288" s="58">
        <v>1.86885813E8</v>
      </c>
      <c r="H1288" s="57" t="s">
        <v>2944</v>
      </c>
      <c r="I1288" s="57"/>
      <c r="J1288" s="57"/>
      <c r="K1288" s="57"/>
      <c r="L1288" s="57"/>
      <c r="M1288" s="57"/>
      <c r="N1288" s="57"/>
      <c r="O1288" s="57"/>
      <c r="P1288" s="57"/>
      <c r="Q1288" s="57"/>
      <c r="R1288" s="57"/>
      <c r="S1288" s="57"/>
      <c r="T1288" s="57"/>
      <c r="U1288" s="57"/>
      <c r="V1288" s="57"/>
      <c r="W1288" s="57"/>
      <c r="X1288" s="57"/>
      <c r="Y1288" s="57"/>
      <c r="Z1288" s="57"/>
    </row>
    <row r="1289">
      <c r="A1289" s="58">
        <v>8673300.0</v>
      </c>
      <c r="B1289" s="57" t="s">
        <v>2941</v>
      </c>
      <c r="C1289" s="57" t="s">
        <v>210</v>
      </c>
      <c r="D1289" s="58">
        <v>16.16</v>
      </c>
      <c r="E1289" s="58">
        <v>1799.4</v>
      </c>
      <c r="F1289" s="58">
        <v>3873012.0</v>
      </c>
      <c r="G1289" s="57" t="s">
        <v>2945</v>
      </c>
      <c r="H1289" s="57" t="s">
        <v>2946</v>
      </c>
      <c r="I1289" s="57"/>
      <c r="J1289" s="57"/>
      <c r="K1289" s="57"/>
      <c r="L1289" s="57"/>
      <c r="M1289" s="57"/>
      <c r="N1289" s="57"/>
      <c r="O1289" s="57"/>
      <c r="P1289" s="57"/>
      <c r="Q1289" s="57"/>
      <c r="R1289" s="57"/>
      <c r="S1289" s="57"/>
      <c r="T1289" s="57"/>
      <c r="U1289" s="57"/>
      <c r="V1289" s="57"/>
      <c r="W1289" s="57"/>
      <c r="X1289" s="57"/>
      <c r="Y1289" s="57"/>
      <c r="Z1289" s="57"/>
    </row>
    <row r="1290">
      <c r="A1290" s="58">
        <v>8671037.0</v>
      </c>
      <c r="B1290" s="57" t="s">
        <v>2947</v>
      </c>
      <c r="C1290" s="57" t="s">
        <v>247</v>
      </c>
      <c r="D1290" s="58">
        <v>5.06</v>
      </c>
      <c r="E1290" s="58">
        <v>1804.46</v>
      </c>
      <c r="F1290" s="58">
        <v>3938448.0</v>
      </c>
      <c r="G1290" s="57" t="s">
        <v>2948</v>
      </c>
      <c r="H1290" s="57" t="s">
        <v>2949</v>
      </c>
      <c r="I1290" s="57"/>
      <c r="J1290" s="57"/>
      <c r="K1290" s="57"/>
      <c r="L1290" s="57"/>
      <c r="M1290" s="57"/>
      <c r="N1290" s="57"/>
      <c r="O1290" s="57"/>
      <c r="P1290" s="57"/>
      <c r="Q1290" s="57"/>
      <c r="R1290" s="57"/>
      <c r="S1290" s="57"/>
      <c r="T1290" s="57"/>
      <c r="U1290" s="57"/>
      <c r="V1290" s="57"/>
      <c r="W1290" s="57"/>
      <c r="X1290" s="57"/>
      <c r="Y1290" s="57"/>
      <c r="Z1290" s="57"/>
    </row>
    <row r="1291">
      <c r="A1291" s="58">
        <v>8671036.0</v>
      </c>
      <c r="B1291" s="57" t="s">
        <v>2947</v>
      </c>
      <c r="C1291" s="57" t="s">
        <v>247</v>
      </c>
      <c r="D1291" s="58">
        <v>4.03</v>
      </c>
      <c r="E1291" s="58">
        <v>1808.48</v>
      </c>
      <c r="F1291" s="58">
        <v>3939222.0</v>
      </c>
      <c r="G1291" s="57" t="s">
        <v>2950</v>
      </c>
      <c r="H1291" s="57" t="s">
        <v>2951</v>
      </c>
      <c r="I1291" s="57"/>
      <c r="J1291" s="57"/>
      <c r="K1291" s="57"/>
      <c r="L1291" s="57"/>
      <c r="M1291" s="57"/>
      <c r="N1291" s="57"/>
      <c r="O1291" s="57"/>
      <c r="P1291" s="57"/>
      <c r="Q1291" s="57"/>
      <c r="R1291" s="57"/>
      <c r="S1291" s="57"/>
      <c r="T1291" s="57"/>
      <c r="U1291" s="57"/>
      <c r="V1291" s="57"/>
      <c r="W1291" s="57"/>
      <c r="X1291" s="57"/>
      <c r="Y1291" s="57"/>
      <c r="Z1291" s="57"/>
    </row>
    <row r="1292">
      <c r="A1292" s="58">
        <v>8671035.0</v>
      </c>
      <c r="B1292" s="57" t="s">
        <v>2947</v>
      </c>
      <c r="C1292" s="57" t="s">
        <v>247</v>
      </c>
      <c r="D1292" s="58">
        <v>5.06</v>
      </c>
      <c r="E1292" s="58">
        <v>1813.54</v>
      </c>
      <c r="F1292" s="58">
        <v>3939263.0</v>
      </c>
      <c r="G1292" s="57" t="s">
        <v>2952</v>
      </c>
      <c r="H1292" s="57" t="s">
        <v>2953</v>
      </c>
      <c r="I1292" s="57"/>
      <c r="J1292" s="57"/>
      <c r="K1292" s="57"/>
      <c r="L1292" s="57"/>
      <c r="M1292" s="57"/>
      <c r="N1292" s="57"/>
      <c r="O1292" s="57"/>
      <c r="P1292" s="57"/>
      <c r="Q1292" s="57"/>
      <c r="R1292" s="57"/>
      <c r="S1292" s="57"/>
      <c r="T1292" s="57"/>
      <c r="U1292" s="57"/>
      <c r="V1292" s="57"/>
      <c r="W1292" s="57"/>
      <c r="X1292" s="57"/>
      <c r="Y1292" s="57"/>
      <c r="Z1292" s="57"/>
    </row>
    <row r="1293">
      <c r="A1293" s="58">
        <v>8671033.0</v>
      </c>
      <c r="B1293" s="57" t="s">
        <v>2947</v>
      </c>
      <c r="C1293" s="57" t="s">
        <v>247</v>
      </c>
      <c r="D1293" s="58">
        <v>3.45</v>
      </c>
      <c r="E1293" s="58">
        <v>1816.99</v>
      </c>
      <c r="F1293" s="58">
        <v>3940208.0</v>
      </c>
      <c r="G1293" s="57" t="s">
        <v>2954</v>
      </c>
      <c r="H1293" s="57" t="s">
        <v>2955</v>
      </c>
      <c r="I1293" s="57"/>
      <c r="J1293" s="57"/>
      <c r="K1293" s="57"/>
      <c r="L1293" s="57"/>
      <c r="M1293" s="57"/>
      <c r="N1293" s="57"/>
      <c r="O1293" s="57"/>
      <c r="P1293" s="57"/>
      <c r="Q1293" s="57"/>
      <c r="R1293" s="57"/>
      <c r="S1293" s="57"/>
      <c r="T1293" s="57"/>
      <c r="U1293" s="57"/>
      <c r="V1293" s="57"/>
      <c r="W1293" s="57"/>
      <c r="X1293" s="57"/>
      <c r="Y1293" s="57"/>
      <c r="Z1293" s="57"/>
    </row>
    <row r="1294">
      <c r="A1294" s="58">
        <v>8671031.0</v>
      </c>
      <c r="B1294" s="57" t="s">
        <v>2947</v>
      </c>
      <c r="C1294" s="57" t="s">
        <v>247</v>
      </c>
      <c r="D1294" s="58">
        <v>3.45</v>
      </c>
      <c r="E1294" s="58">
        <v>1820.44</v>
      </c>
      <c r="F1294" s="58">
        <v>3940897.0</v>
      </c>
      <c r="G1294" s="57" t="s">
        <v>2956</v>
      </c>
      <c r="H1294" s="57" t="s">
        <v>2957</v>
      </c>
      <c r="I1294" s="57"/>
      <c r="J1294" s="57"/>
      <c r="K1294" s="57"/>
      <c r="L1294" s="57"/>
      <c r="M1294" s="57"/>
      <c r="N1294" s="57"/>
      <c r="O1294" s="57"/>
      <c r="P1294" s="57"/>
      <c r="Q1294" s="57"/>
      <c r="R1294" s="57"/>
      <c r="S1294" s="57"/>
      <c r="T1294" s="57"/>
      <c r="U1294" s="57"/>
      <c r="V1294" s="57"/>
      <c r="W1294" s="57"/>
      <c r="X1294" s="57"/>
      <c r="Y1294" s="57"/>
      <c r="Z1294" s="57"/>
    </row>
    <row r="1295">
      <c r="A1295" s="58">
        <v>8671029.0</v>
      </c>
      <c r="B1295" s="57" t="s">
        <v>2947</v>
      </c>
      <c r="C1295" s="57" t="s">
        <v>247</v>
      </c>
      <c r="D1295" s="58">
        <v>5.06</v>
      </c>
      <c r="E1295" s="58">
        <v>1825.5</v>
      </c>
      <c r="F1295" s="58">
        <v>3943295.0</v>
      </c>
      <c r="G1295" s="57" t="s">
        <v>2958</v>
      </c>
      <c r="H1295" s="57" t="s">
        <v>2959</v>
      </c>
      <c r="I1295" s="57"/>
      <c r="J1295" s="57"/>
      <c r="K1295" s="57"/>
      <c r="L1295" s="57"/>
      <c r="M1295" s="57"/>
      <c r="N1295" s="57"/>
      <c r="O1295" s="57"/>
      <c r="P1295" s="57"/>
      <c r="Q1295" s="57"/>
      <c r="R1295" s="57"/>
      <c r="S1295" s="57"/>
      <c r="T1295" s="57"/>
      <c r="U1295" s="57"/>
      <c r="V1295" s="57"/>
      <c r="W1295" s="57"/>
      <c r="X1295" s="57"/>
      <c r="Y1295" s="57"/>
      <c r="Z1295" s="57"/>
    </row>
    <row r="1296">
      <c r="A1296" s="58">
        <v>8670532.0</v>
      </c>
      <c r="B1296" s="57" t="s">
        <v>2960</v>
      </c>
      <c r="C1296" s="57" t="s">
        <v>247</v>
      </c>
      <c r="D1296" s="58">
        <v>5.12</v>
      </c>
      <c r="E1296" s="58">
        <v>1830.62</v>
      </c>
      <c r="F1296" s="58">
        <v>3923744.0</v>
      </c>
      <c r="G1296" s="57" t="s">
        <v>2961</v>
      </c>
      <c r="H1296" s="57" t="s">
        <v>2962</v>
      </c>
      <c r="I1296" s="57"/>
      <c r="J1296" s="57"/>
      <c r="K1296" s="57"/>
      <c r="L1296" s="57"/>
      <c r="M1296" s="57"/>
      <c r="N1296" s="57"/>
      <c r="O1296" s="57"/>
      <c r="P1296" s="57"/>
      <c r="Q1296" s="57"/>
      <c r="R1296" s="57"/>
      <c r="S1296" s="57"/>
      <c r="T1296" s="57"/>
      <c r="U1296" s="57"/>
      <c r="V1296" s="57"/>
      <c r="W1296" s="57"/>
      <c r="X1296" s="57"/>
      <c r="Y1296" s="57"/>
      <c r="Z1296" s="57"/>
    </row>
    <row r="1297">
      <c r="A1297" s="58">
        <v>8670483.0</v>
      </c>
      <c r="B1297" s="57" t="s">
        <v>2960</v>
      </c>
      <c r="C1297" s="57" t="s">
        <v>247</v>
      </c>
      <c r="D1297" s="58">
        <v>5.06</v>
      </c>
      <c r="E1297" s="58">
        <v>1835.68</v>
      </c>
      <c r="F1297" s="58">
        <v>3889142.0</v>
      </c>
      <c r="G1297" s="57" t="s">
        <v>2963</v>
      </c>
      <c r="H1297" s="57" t="s">
        <v>2964</v>
      </c>
      <c r="I1297" s="57"/>
      <c r="J1297" s="57"/>
      <c r="K1297" s="57"/>
      <c r="L1297" s="57"/>
      <c r="M1297" s="57"/>
      <c r="N1297" s="57"/>
      <c r="O1297" s="57"/>
      <c r="P1297" s="57"/>
      <c r="Q1297" s="57"/>
      <c r="R1297" s="57"/>
      <c r="S1297" s="57"/>
      <c r="T1297" s="57"/>
      <c r="U1297" s="57"/>
      <c r="V1297" s="57"/>
      <c r="W1297" s="57"/>
      <c r="X1297" s="57"/>
      <c r="Y1297" s="57"/>
      <c r="Z1297" s="57"/>
    </row>
    <row r="1298">
      <c r="A1298" s="58">
        <v>8670482.0</v>
      </c>
      <c r="B1298" s="57" t="s">
        <v>2960</v>
      </c>
      <c r="C1298" s="57" t="s">
        <v>247</v>
      </c>
      <c r="D1298" s="58">
        <v>5.06</v>
      </c>
      <c r="E1298" s="58">
        <v>1840.74</v>
      </c>
      <c r="F1298" s="58">
        <v>3889257.0</v>
      </c>
      <c r="G1298" s="57" t="s">
        <v>2965</v>
      </c>
      <c r="H1298" s="57" t="s">
        <v>2966</v>
      </c>
      <c r="I1298" s="57"/>
      <c r="J1298" s="57"/>
      <c r="K1298" s="57"/>
      <c r="L1298" s="57"/>
      <c r="M1298" s="57"/>
      <c r="N1298" s="57"/>
      <c r="O1298" s="57"/>
      <c r="P1298" s="57"/>
      <c r="Q1298" s="57"/>
      <c r="R1298" s="57"/>
      <c r="S1298" s="57"/>
      <c r="T1298" s="57"/>
      <c r="U1298" s="57"/>
      <c r="V1298" s="57"/>
      <c r="W1298" s="57"/>
      <c r="X1298" s="57"/>
      <c r="Y1298" s="57"/>
      <c r="Z1298" s="57"/>
    </row>
    <row r="1299">
      <c r="A1299" s="58">
        <v>8670481.0</v>
      </c>
      <c r="B1299" s="57" t="s">
        <v>2960</v>
      </c>
      <c r="C1299" s="57" t="s">
        <v>247</v>
      </c>
      <c r="D1299" s="58">
        <v>5.69</v>
      </c>
      <c r="E1299" s="58">
        <v>1846.43</v>
      </c>
      <c r="F1299" s="58">
        <v>3896017.0</v>
      </c>
      <c r="G1299" s="57" t="s">
        <v>2967</v>
      </c>
      <c r="H1299" s="57" t="s">
        <v>2968</v>
      </c>
      <c r="I1299" s="57"/>
      <c r="J1299" s="57"/>
      <c r="K1299" s="57"/>
      <c r="L1299" s="57"/>
      <c r="M1299" s="57"/>
      <c r="N1299" s="57"/>
      <c r="O1299" s="57"/>
      <c r="P1299" s="57"/>
      <c r="Q1299" s="57"/>
      <c r="R1299" s="57"/>
      <c r="S1299" s="57"/>
      <c r="T1299" s="57"/>
      <c r="U1299" s="57"/>
      <c r="V1299" s="57"/>
      <c r="W1299" s="57"/>
      <c r="X1299" s="57"/>
      <c r="Y1299" s="57"/>
      <c r="Z1299" s="57"/>
    </row>
    <row r="1300">
      <c r="A1300" s="58">
        <v>8670480.0</v>
      </c>
      <c r="B1300" s="57" t="s">
        <v>2960</v>
      </c>
      <c r="C1300" s="57" t="s">
        <v>247</v>
      </c>
      <c r="D1300" s="58">
        <v>5.12</v>
      </c>
      <c r="E1300" s="58">
        <v>1851.55</v>
      </c>
      <c r="F1300" s="58">
        <v>3896484.0</v>
      </c>
      <c r="G1300" s="57" t="s">
        <v>2969</v>
      </c>
      <c r="H1300" s="57" t="s">
        <v>2970</v>
      </c>
      <c r="I1300" s="57"/>
      <c r="J1300" s="57"/>
      <c r="K1300" s="57"/>
      <c r="L1300" s="57"/>
      <c r="M1300" s="57"/>
      <c r="N1300" s="57"/>
      <c r="O1300" s="57"/>
      <c r="P1300" s="57"/>
      <c r="Q1300" s="57"/>
      <c r="R1300" s="57"/>
      <c r="S1300" s="57"/>
      <c r="T1300" s="57"/>
      <c r="U1300" s="57"/>
      <c r="V1300" s="57"/>
      <c r="W1300" s="57"/>
      <c r="X1300" s="57"/>
      <c r="Y1300" s="57"/>
      <c r="Z1300" s="57"/>
    </row>
    <row r="1301">
      <c r="A1301" s="58">
        <v>8670479.0</v>
      </c>
      <c r="B1301" s="57" t="s">
        <v>2971</v>
      </c>
      <c r="C1301" s="57" t="s">
        <v>247</v>
      </c>
      <c r="D1301" s="58">
        <v>5.06</v>
      </c>
      <c r="E1301" s="58">
        <v>1856.61</v>
      </c>
      <c r="F1301" s="58">
        <v>3901620.0</v>
      </c>
      <c r="G1301" s="57" t="s">
        <v>2972</v>
      </c>
      <c r="H1301" s="57" t="s">
        <v>2973</v>
      </c>
      <c r="I1301" s="57"/>
      <c r="J1301" s="57"/>
      <c r="K1301" s="57"/>
      <c r="L1301" s="57"/>
      <c r="M1301" s="57"/>
      <c r="N1301" s="57"/>
      <c r="O1301" s="57"/>
      <c r="P1301" s="57"/>
      <c r="Q1301" s="57"/>
      <c r="R1301" s="57"/>
      <c r="S1301" s="57"/>
      <c r="T1301" s="57"/>
      <c r="U1301" s="57"/>
      <c r="V1301" s="57"/>
      <c r="W1301" s="57"/>
      <c r="X1301" s="57"/>
      <c r="Y1301" s="57"/>
      <c r="Z1301" s="57"/>
    </row>
    <row r="1302">
      <c r="A1302" s="58">
        <v>8670478.0</v>
      </c>
      <c r="B1302" s="57" t="s">
        <v>2971</v>
      </c>
      <c r="C1302" s="57" t="s">
        <v>247</v>
      </c>
      <c r="D1302" s="58">
        <v>5.12</v>
      </c>
      <c r="E1302" s="58">
        <v>1861.73</v>
      </c>
      <c r="F1302" s="58">
        <v>3904873.0</v>
      </c>
      <c r="G1302" s="57" t="s">
        <v>2974</v>
      </c>
      <c r="H1302" s="57" t="s">
        <v>2975</v>
      </c>
      <c r="I1302" s="57"/>
      <c r="J1302" s="57"/>
      <c r="K1302" s="57"/>
      <c r="L1302" s="57"/>
      <c r="M1302" s="57"/>
      <c r="N1302" s="57"/>
      <c r="O1302" s="57"/>
      <c r="P1302" s="57"/>
      <c r="Q1302" s="57"/>
      <c r="R1302" s="57"/>
      <c r="S1302" s="57"/>
      <c r="T1302" s="57"/>
      <c r="U1302" s="57"/>
      <c r="V1302" s="57"/>
      <c r="W1302" s="57"/>
      <c r="X1302" s="57"/>
      <c r="Y1302" s="57"/>
      <c r="Z1302" s="57"/>
    </row>
    <row r="1303">
      <c r="A1303" s="58">
        <v>8670477.0</v>
      </c>
      <c r="B1303" s="57" t="s">
        <v>2971</v>
      </c>
      <c r="C1303" s="57" t="s">
        <v>247</v>
      </c>
      <c r="D1303" s="58">
        <v>5.12</v>
      </c>
      <c r="E1303" s="58">
        <v>1866.85</v>
      </c>
      <c r="F1303" s="58">
        <v>3917655.0</v>
      </c>
      <c r="G1303" s="57" t="s">
        <v>2976</v>
      </c>
      <c r="H1303" s="57" t="s">
        <v>2977</v>
      </c>
      <c r="I1303" s="57"/>
      <c r="J1303" s="57"/>
      <c r="K1303" s="57"/>
      <c r="L1303" s="57"/>
      <c r="M1303" s="57"/>
      <c r="N1303" s="57"/>
      <c r="O1303" s="57"/>
      <c r="P1303" s="57"/>
      <c r="Q1303" s="57"/>
      <c r="R1303" s="57"/>
      <c r="S1303" s="57"/>
      <c r="T1303" s="57"/>
      <c r="U1303" s="57"/>
      <c r="V1303" s="57"/>
      <c r="W1303" s="57"/>
      <c r="X1303" s="57"/>
      <c r="Y1303" s="57"/>
      <c r="Z1303" s="57"/>
    </row>
    <row r="1304">
      <c r="A1304" s="58">
        <v>8670476.0</v>
      </c>
      <c r="B1304" s="57" t="s">
        <v>2971</v>
      </c>
      <c r="C1304" s="57" t="s">
        <v>247</v>
      </c>
      <c r="D1304" s="58">
        <v>5.06</v>
      </c>
      <c r="E1304" s="58">
        <v>1871.91</v>
      </c>
      <c r="F1304" s="58">
        <v>3917721.0</v>
      </c>
      <c r="G1304" s="57" t="s">
        <v>2978</v>
      </c>
      <c r="H1304" s="57" t="s">
        <v>2979</v>
      </c>
      <c r="I1304" s="57"/>
      <c r="J1304" s="57"/>
      <c r="K1304" s="57"/>
      <c r="L1304" s="57"/>
      <c r="M1304" s="57"/>
      <c r="N1304" s="57"/>
      <c r="O1304" s="57"/>
      <c r="P1304" s="57"/>
      <c r="Q1304" s="57"/>
      <c r="R1304" s="57"/>
      <c r="S1304" s="57"/>
      <c r="T1304" s="57"/>
      <c r="U1304" s="57"/>
      <c r="V1304" s="57"/>
      <c r="W1304" s="57"/>
      <c r="X1304" s="57"/>
      <c r="Y1304" s="57"/>
      <c r="Z1304" s="57"/>
    </row>
    <row r="1305">
      <c r="A1305" s="58">
        <v>8670289.0</v>
      </c>
      <c r="B1305" s="57" t="s">
        <v>2980</v>
      </c>
      <c r="C1305" s="57" t="s">
        <v>247</v>
      </c>
      <c r="D1305" s="58">
        <v>4.03</v>
      </c>
      <c r="E1305" s="58">
        <v>1875.93</v>
      </c>
      <c r="F1305" s="58">
        <v>3937870.0</v>
      </c>
      <c r="G1305" s="57" t="s">
        <v>2981</v>
      </c>
      <c r="H1305" s="57" t="s">
        <v>2982</v>
      </c>
      <c r="I1305" s="57"/>
      <c r="J1305" s="57"/>
      <c r="K1305" s="57"/>
      <c r="L1305" s="57"/>
      <c r="M1305" s="57"/>
      <c r="N1305" s="57"/>
      <c r="O1305" s="57"/>
      <c r="P1305" s="57"/>
      <c r="Q1305" s="57"/>
      <c r="R1305" s="57"/>
      <c r="S1305" s="57"/>
      <c r="T1305" s="57"/>
      <c r="U1305" s="57"/>
      <c r="V1305" s="57"/>
      <c r="W1305" s="57"/>
      <c r="X1305" s="57"/>
      <c r="Y1305" s="57"/>
      <c r="Z1305" s="57"/>
    </row>
    <row r="1306">
      <c r="A1306" s="58">
        <v>8666446.0</v>
      </c>
      <c r="B1306" s="57" t="s">
        <v>2983</v>
      </c>
      <c r="C1306" s="57" t="s">
        <v>210</v>
      </c>
      <c r="D1306" s="58">
        <v>15.07</v>
      </c>
      <c r="E1306" s="58">
        <v>1860.86</v>
      </c>
      <c r="F1306" s="58">
        <v>4046238.0</v>
      </c>
      <c r="G1306" s="57" t="s">
        <v>2984</v>
      </c>
      <c r="H1306" s="57" t="s">
        <v>2985</v>
      </c>
      <c r="I1306" s="57"/>
      <c r="J1306" s="57"/>
      <c r="K1306" s="57"/>
      <c r="L1306" s="57"/>
      <c r="M1306" s="57"/>
      <c r="N1306" s="57"/>
      <c r="O1306" s="57"/>
      <c r="P1306" s="57"/>
      <c r="Q1306" s="57"/>
      <c r="R1306" s="57"/>
      <c r="S1306" s="57"/>
      <c r="T1306" s="57"/>
      <c r="U1306" s="57"/>
      <c r="V1306" s="57"/>
      <c r="W1306" s="57"/>
      <c r="X1306" s="57"/>
      <c r="Y1306" s="57"/>
      <c r="Z1306" s="57"/>
    </row>
    <row r="1307">
      <c r="A1307" s="58">
        <v>8663165.0</v>
      </c>
      <c r="B1307" s="57" t="s">
        <v>2986</v>
      </c>
      <c r="C1307" s="57" t="s">
        <v>210</v>
      </c>
      <c r="D1307" s="58">
        <v>13.46</v>
      </c>
      <c r="E1307" s="58">
        <v>1847.4</v>
      </c>
      <c r="F1307" s="58">
        <v>4040194.0</v>
      </c>
      <c r="G1307" s="57" t="s">
        <v>2987</v>
      </c>
      <c r="H1307" s="57" t="s">
        <v>2988</v>
      </c>
      <c r="I1307" s="57"/>
      <c r="J1307" s="57"/>
      <c r="K1307" s="57"/>
      <c r="L1307" s="57"/>
      <c r="M1307" s="57"/>
      <c r="N1307" s="57"/>
      <c r="O1307" s="57"/>
      <c r="P1307" s="57"/>
      <c r="Q1307" s="57"/>
      <c r="R1307" s="57"/>
      <c r="S1307" s="57"/>
      <c r="T1307" s="57"/>
      <c r="U1307" s="57"/>
      <c r="V1307" s="57"/>
      <c r="W1307" s="57"/>
      <c r="X1307" s="57"/>
      <c r="Y1307" s="57"/>
      <c r="Z1307" s="57"/>
    </row>
    <row r="1308">
      <c r="A1308" s="58">
        <v>8654322.0</v>
      </c>
      <c r="B1308" s="57" t="s">
        <v>2989</v>
      </c>
      <c r="C1308" s="57" t="s">
        <v>210</v>
      </c>
      <c r="D1308" s="58">
        <v>13.43</v>
      </c>
      <c r="E1308" s="58">
        <v>1833.97</v>
      </c>
      <c r="F1308" s="58">
        <v>4024220.0</v>
      </c>
      <c r="G1308" s="58">
        <v>1.86936294E8</v>
      </c>
      <c r="H1308" s="57" t="s">
        <v>2990</v>
      </c>
      <c r="I1308" s="57"/>
      <c r="J1308" s="57"/>
      <c r="K1308" s="57"/>
      <c r="L1308" s="57"/>
      <c r="M1308" s="57"/>
      <c r="N1308" s="57"/>
      <c r="O1308" s="57"/>
      <c r="P1308" s="57"/>
      <c r="Q1308" s="57"/>
      <c r="R1308" s="57"/>
      <c r="S1308" s="57"/>
      <c r="T1308" s="57"/>
      <c r="U1308" s="57"/>
      <c r="V1308" s="57"/>
      <c r="W1308" s="57"/>
      <c r="X1308" s="57"/>
      <c r="Y1308" s="57"/>
      <c r="Z1308" s="57"/>
    </row>
    <row r="1309">
      <c r="A1309" s="58">
        <v>8650607.0</v>
      </c>
      <c r="B1309" s="57" t="s">
        <v>2991</v>
      </c>
      <c r="C1309" s="57" t="s">
        <v>210</v>
      </c>
      <c r="D1309" s="58">
        <v>9.04</v>
      </c>
      <c r="E1309" s="58">
        <v>1824.93</v>
      </c>
      <c r="F1309" s="58">
        <v>4018011.0</v>
      </c>
      <c r="G1309" s="57" t="s">
        <v>2992</v>
      </c>
      <c r="H1309" s="57" t="s">
        <v>2993</v>
      </c>
      <c r="I1309" s="57"/>
      <c r="J1309" s="57"/>
      <c r="K1309" s="57"/>
      <c r="L1309" s="57"/>
      <c r="M1309" s="57"/>
      <c r="N1309" s="57"/>
      <c r="O1309" s="57"/>
      <c r="P1309" s="57"/>
      <c r="Q1309" s="57"/>
      <c r="R1309" s="57"/>
      <c r="S1309" s="57"/>
      <c r="T1309" s="57"/>
      <c r="U1309" s="57"/>
      <c r="V1309" s="57"/>
      <c r="W1309" s="57"/>
      <c r="X1309" s="57"/>
      <c r="Y1309" s="57"/>
      <c r="Z1309" s="57"/>
    </row>
    <row r="1310">
      <c r="A1310" s="58">
        <v>8650119.0</v>
      </c>
      <c r="B1310" s="57" t="s">
        <v>2991</v>
      </c>
      <c r="C1310" s="57" t="s">
        <v>210</v>
      </c>
      <c r="D1310" s="58">
        <v>10.08</v>
      </c>
      <c r="E1310" s="58">
        <v>1814.85</v>
      </c>
      <c r="F1310" s="58">
        <v>4017260.0</v>
      </c>
      <c r="G1310" s="57" t="s">
        <v>2994</v>
      </c>
      <c r="H1310" s="57" t="s">
        <v>2995</v>
      </c>
      <c r="I1310" s="57"/>
      <c r="J1310" s="57"/>
      <c r="K1310" s="57"/>
      <c r="L1310" s="57"/>
      <c r="M1310" s="57"/>
      <c r="N1310" s="57"/>
      <c r="O1310" s="57"/>
      <c r="P1310" s="57"/>
      <c r="Q1310" s="57"/>
      <c r="R1310" s="57"/>
      <c r="S1310" s="57"/>
      <c r="T1310" s="57"/>
      <c r="U1310" s="57"/>
      <c r="V1310" s="57"/>
      <c r="W1310" s="57"/>
      <c r="X1310" s="57"/>
      <c r="Y1310" s="57"/>
      <c r="Z1310" s="57"/>
    </row>
    <row r="1311">
      <c r="A1311" s="58">
        <v>8649395.0</v>
      </c>
      <c r="B1311" s="57" t="s">
        <v>2991</v>
      </c>
      <c r="C1311" s="57" t="s">
        <v>210</v>
      </c>
      <c r="D1311" s="58">
        <v>9.24</v>
      </c>
      <c r="E1311" s="58">
        <v>1805.61</v>
      </c>
      <c r="F1311" s="58">
        <v>4015886.0</v>
      </c>
      <c r="G1311" s="57" t="s">
        <v>2996</v>
      </c>
      <c r="H1311" s="57" t="s">
        <v>2997</v>
      </c>
      <c r="I1311" s="57"/>
      <c r="J1311" s="57"/>
      <c r="K1311" s="57"/>
      <c r="L1311" s="57"/>
      <c r="M1311" s="57"/>
      <c r="N1311" s="57"/>
      <c r="O1311" s="57"/>
      <c r="P1311" s="57"/>
      <c r="Q1311" s="57"/>
      <c r="R1311" s="57"/>
      <c r="S1311" s="57"/>
      <c r="T1311" s="57"/>
      <c r="U1311" s="57"/>
      <c r="V1311" s="57"/>
      <c r="W1311" s="57"/>
      <c r="X1311" s="57"/>
      <c r="Y1311" s="57"/>
      <c r="Z1311" s="57"/>
    </row>
    <row r="1312">
      <c r="A1312" s="58">
        <v>8648367.0</v>
      </c>
      <c r="B1312" s="57" t="s">
        <v>2991</v>
      </c>
      <c r="C1312" s="57" t="s">
        <v>210</v>
      </c>
      <c r="D1312" s="58">
        <v>9.04</v>
      </c>
      <c r="E1312" s="58">
        <v>1796.57</v>
      </c>
      <c r="F1312" s="58">
        <v>4014082.0</v>
      </c>
      <c r="G1312" s="57" t="s">
        <v>2998</v>
      </c>
      <c r="H1312" s="57" t="s">
        <v>2999</v>
      </c>
      <c r="I1312" s="57"/>
      <c r="J1312" s="57"/>
      <c r="K1312" s="57"/>
      <c r="L1312" s="57"/>
      <c r="M1312" s="57"/>
      <c r="N1312" s="57"/>
      <c r="O1312" s="57"/>
      <c r="P1312" s="57"/>
      <c r="Q1312" s="57"/>
      <c r="R1312" s="57"/>
      <c r="S1312" s="57"/>
      <c r="T1312" s="57"/>
      <c r="U1312" s="57"/>
      <c r="V1312" s="57"/>
      <c r="W1312" s="57"/>
      <c r="X1312" s="57"/>
      <c r="Y1312" s="57"/>
      <c r="Z1312" s="57"/>
    </row>
    <row r="1313">
      <c r="A1313" s="58">
        <v>8648307.0</v>
      </c>
      <c r="B1313" s="57" t="s">
        <v>2991</v>
      </c>
      <c r="C1313" s="57" t="s">
        <v>210</v>
      </c>
      <c r="D1313" s="58">
        <v>10.85</v>
      </c>
      <c r="E1313" s="58">
        <v>1785.72</v>
      </c>
      <c r="F1313" s="58">
        <v>4013976.0</v>
      </c>
      <c r="G1313" s="57" t="s">
        <v>3000</v>
      </c>
      <c r="H1313" s="57" t="s">
        <v>3001</v>
      </c>
      <c r="I1313" s="57"/>
      <c r="J1313" s="57"/>
      <c r="K1313" s="57"/>
      <c r="L1313" s="57"/>
      <c r="M1313" s="57"/>
      <c r="N1313" s="57"/>
      <c r="O1313" s="57"/>
      <c r="P1313" s="57"/>
      <c r="Q1313" s="57"/>
      <c r="R1313" s="57"/>
      <c r="S1313" s="57"/>
      <c r="T1313" s="57"/>
      <c r="U1313" s="57"/>
      <c r="V1313" s="57"/>
      <c r="W1313" s="57"/>
      <c r="X1313" s="57"/>
      <c r="Y1313" s="57"/>
      <c r="Z1313" s="57"/>
    </row>
    <row r="1314">
      <c r="A1314" s="58">
        <v>8637085.0</v>
      </c>
      <c r="B1314" s="57" t="s">
        <v>3002</v>
      </c>
      <c r="C1314" s="57" t="s">
        <v>210</v>
      </c>
      <c r="D1314" s="58">
        <v>13.84</v>
      </c>
      <c r="E1314" s="58">
        <v>1771.88</v>
      </c>
      <c r="F1314" s="58">
        <v>3991343.0</v>
      </c>
      <c r="G1314" s="57" t="s">
        <v>3003</v>
      </c>
      <c r="H1314" s="57" t="s">
        <v>3004</v>
      </c>
      <c r="I1314" s="57"/>
      <c r="J1314" s="57"/>
      <c r="K1314" s="57"/>
      <c r="L1314" s="57"/>
      <c r="M1314" s="57"/>
      <c r="N1314" s="57"/>
      <c r="O1314" s="57"/>
      <c r="P1314" s="57"/>
      <c r="Q1314" s="57"/>
      <c r="R1314" s="57"/>
      <c r="S1314" s="57"/>
      <c r="T1314" s="57"/>
      <c r="U1314" s="57"/>
      <c r="V1314" s="57"/>
      <c r="W1314" s="57"/>
      <c r="X1314" s="57"/>
      <c r="Y1314" s="57"/>
      <c r="Z1314" s="57"/>
    </row>
    <row r="1315">
      <c r="A1315" s="58">
        <v>8636986.0</v>
      </c>
      <c r="B1315" s="57" t="s">
        <v>3002</v>
      </c>
      <c r="C1315" s="57" t="s">
        <v>210</v>
      </c>
      <c r="D1315" s="58">
        <v>9.24</v>
      </c>
      <c r="E1315" s="58">
        <v>1762.64</v>
      </c>
      <c r="F1315" s="58">
        <v>3991158.0</v>
      </c>
      <c r="G1315" s="57" t="s">
        <v>3005</v>
      </c>
      <c r="H1315" s="57" t="s">
        <v>3006</v>
      </c>
      <c r="I1315" s="57"/>
      <c r="J1315" s="57"/>
      <c r="K1315" s="57"/>
      <c r="L1315" s="57"/>
      <c r="M1315" s="57"/>
      <c r="N1315" s="57"/>
      <c r="O1315" s="57"/>
      <c r="P1315" s="57"/>
      <c r="Q1315" s="57"/>
      <c r="R1315" s="57"/>
      <c r="S1315" s="57"/>
      <c r="T1315" s="57"/>
      <c r="U1315" s="57"/>
      <c r="V1315" s="57"/>
      <c r="W1315" s="57"/>
      <c r="X1315" s="57"/>
      <c r="Y1315" s="57"/>
      <c r="Z1315" s="57"/>
    </row>
    <row r="1316">
      <c r="A1316" s="58">
        <v>8635827.0</v>
      </c>
      <c r="B1316" s="57" t="s">
        <v>3002</v>
      </c>
      <c r="C1316" s="57" t="s">
        <v>210</v>
      </c>
      <c r="D1316" s="58">
        <v>8.76</v>
      </c>
      <c r="E1316" s="58">
        <v>1753.88</v>
      </c>
      <c r="F1316" s="58">
        <v>3988259.0</v>
      </c>
      <c r="G1316" s="58">
        <v>1.86922115E8</v>
      </c>
      <c r="H1316" s="57" t="s">
        <v>3007</v>
      </c>
      <c r="I1316" s="57"/>
      <c r="J1316" s="57"/>
      <c r="K1316" s="57"/>
      <c r="L1316" s="57"/>
      <c r="M1316" s="57"/>
      <c r="N1316" s="57"/>
      <c r="O1316" s="57"/>
      <c r="P1316" s="57"/>
      <c r="Q1316" s="57"/>
      <c r="R1316" s="57"/>
      <c r="S1316" s="57"/>
      <c r="T1316" s="57"/>
      <c r="U1316" s="57"/>
      <c r="V1316" s="57"/>
      <c r="W1316" s="57"/>
      <c r="X1316" s="57"/>
      <c r="Y1316" s="57"/>
      <c r="Z1316" s="57"/>
    </row>
    <row r="1317">
      <c r="A1317" s="58">
        <v>8634851.0</v>
      </c>
      <c r="B1317" s="57" t="s">
        <v>3008</v>
      </c>
      <c r="C1317" s="57" t="s">
        <v>210</v>
      </c>
      <c r="D1317" s="58">
        <v>13.84</v>
      </c>
      <c r="E1317" s="58">
        <v>1740.04</v>
      </c>
      <c r="F1317" s="58">
        <v>3985453.0</v>
      </c>
      <c r="G1317" s="57" t="s">
        <v>3009</v>
      </c>
      <c r="H1317" s="57" t="s">
        <v>3010</v>
      </c>
      <c r="I1317" s="57"/>
      <c r="J1317" s="57"/>
      <c r="K1317" s="57"/>
      <c r="L1317" s="57"/>
      <c r="M1317" s="57"/>
      <c r="N1317" s="57"/>
      <c r="O1317" s="57"/>
      <c r="P1317" s="57"/>
      <c r="Q1317" s="57"/>
      <c r="R1317" s="57"/>
      <c r="S1317" s="57"/>
      <c r="T1317" s="57"/>
      <c r="U1317" s="57"/>
      <c r="V1317" s="57"/>
      <c r="W1317" s="57"/>
      <c r="X1317" s="57"/>
      <c r="Y1317" s="57"/>
      <c r="Z1317" s="57"/>
    </row>
    <row r="1318">
      <c r="A1318" s="58">
        <v>8634788.0</v>
      </c>
      <c r="B1318" s="57" t="s">
        <v>3008</v>
      </c>
      <c r="C1318" s="57" t="s">
        <v>210</v>
      </c>
      <c r="D1318" s="58">
        <v>9.24</v>
      </c>
      <c r="E1318" s="58">
        <v>1730.8</v>
      </c>
      <c r="F1318" s="58">
        <v>3985112.0</v>
      </c>
      <c r="G1318" s="57" t="s">
        <v>3011</v>
      </c>
      <c r="H1318" s="57" t="s">
        <v>3012</v>
      </c>
      <c r="I1318" s="57"/>
      <c r="J1318" s="57"/>
      <c r="K1318" s="57"/>
      <c r="L1318" s="57"/>
      <c r="M1318" s="57"/>
      <c r="N1318" s="57"/>
      <c r="O1318" s="57"/>
      <c r="P1318" s="57"/>
      <c r="Q1318" s="57"/>
      <c r="R1318" s="57"/>
      <c r="S1318" s="57"/>
      <c r="T1318" s="57"/>
      <c r="U1318" s="57"/>
      <c r="V1318" s="57"/>
      <c r="W1318" s="57"/>
      <c r="X1318" s="57"/>
      <c r="Y1318" s="57"/>
      <c r="Z1318" s="57"/>
    </row>
    <row r="1319">
      <c r="A1319" s="58">
        <v>8631667.0</v>
      </c>
      <c r="B1319" s="57" t="s">
        <v>3008</v>
      </c>
      <c r="C1319" s="57" t="s">
        <v>210</v>
      </c>
      <c r="D1319" s="58">
        <v>8.84</v>
      </c>
      <c r="E1319" s="58">
        <v>1721.96</v>
      </c>
      <c r="F1319" s="58">
        <v>3969562.0</v>
      </c>
      <c r="G1319" s="57" t="s">
        <v>3013</v>
      </c>
      <c r="H1319" s="57" t="s">
        <v>3014</v>
      </c>
      <c r="I1319" s="57"/>
      <c r="J1319" s="57"/>
      <c r="K1319" s="57"/>
      <c r="L1319" s="57"/>
      <c r="M1319" s="57"/>
      <c r="N1319" s="57"/>
      <c r="O1319" s="57"/>
      <c r="P1319" s="57"/>
      <c r="Q1319" s="57"/>
      <c r="R1319" s="57"/>
      <c r="S1319" s="57"/>
      <c r="T1319" s="57"/>
      <c r="U1319" s="57"/>
      <c r="V1319" s="57"/>
      <c r="W1319" s="57"/>
      <c r="X1319" s="57"/>
      <c r="Y1319" s="57"/>
      <c r="Z1319" s="57"/>
    </row>
    <row r="1320">
      <c r="A1320" s="58">
        <v>8631589.0</v>
      </c>
      <c r="B1320" s="57" t="s">
        <v>3008</v>
      </c>
      <c r="C1320" s="57" t="s">
        <v>210</v>
      </c>
      <c r="D1320" s="58">
        <v>9.04</v>
      </c>
      <c r="E1320" s="58">
        <v>1712.92</v>
      </c>
      <c r="F1320" s="58">
        <v>3969097.0</v>
      </c>
      <c r="G1320" s="57" t="s">
        <v>3015</v>
      </c>
      <c r="H1320" s="57" t="s">
        <v>3016</v>
      </c>
      <c r="I1320" s="57"/>
      <c r="J1320" s="57"/>
      <c r="K1320" s="57"/>
      <c r="L1320" s="57"/>
      <c r="M1320" s="57"/>
      <c r="N1320" s="57"/>
      <c r="O1320" s="57"/>
      <c r="P1320" s="57"/>
      <c r="Q1320" s="57"/>
      <c r="R1320" s="57"/>
      <c r="S1320" s="57"/>
      <c r="T1320" s="57"/>
      <c r="U1320" s="57"/>
      <c r="V1320" s="57"/>
      <c r="W1320" s="57"/>
      <c r="X1320" s="57"/>
      <c r="Y1320" s="57"/>
      <c r="Z1320" s="57"/>
    </row>
    <row r="1321">
      <c r="A1321" s="58">
        <v>8631497.0</v>
      </c>
      <c r="B1321" s="57" t="s">
        <v>3008</v>
      </c>
      <c r="C1321" s="57" t="s">
        <v>210</v>
      </c>
      <c r="D1321" s="58">
        <v>9.24</v>
      </c>
      <c r="E1321" s="58">
        <v>1703.68</v>
      </c>
      <c r="F1321" s="58">
        <v>3968531.0</v>
      </c>
      <c r="G1321" s="57" t="s">
        <v>3017</v>
      </c>
      <c r="H1321" s="57" t="s">
        <v>3018</v>
      </c>
      <c r="I1321" s="57"/>
      <c r="J1321" s="57"/>
      <c r="K1321" s="57"/>
      <c r="L1321" s="57"/>
      <c r="M1321" s="57"/>
      <c r="N1321" s="57"/>
      <c r="O1321" s="57"/>
      <c r="P1321" s="57"/>
      <c r="Q1321" s="57"/>
      <c r="R1321" s="57"/>
      <c r="S1321" s="57"/>
      <c r="T1321" s="57"/>
      <c r="U1321" s="57"/>
      <c r="V1321" s="57"/>
      <c r="W1321" s="57"/>
      <c r="X1321" s="57"/>
      <c r="Y1321" s="57"/>
      <c r="Z1321" s="57"/>
    </row>
    <row r="1322">
      <c r="A1322" s="58">
        <v>8631260.0</v>
      </c>
      <c r="B1322" s="57" t="s">
        <v>3008</v>
      </c>
      <c r="C1322" s="57" t="s">
        <v>210</v>
      </c>
      <c r="D1322" s="58">
        <v>13.84</v>
      </c>
      <c r="E1322" s="58">
        <v>1689.84</v>
      </c>
      <c r="F1322" s="58">
        <v>3966849.0</v>
      </c>
      <c r="G1322" s="57" t="s">
        <v>3019</v>
      </c>
      <c r="H1322" s="57" t="s">
        <v>3020</v>
      </c>
      <c r="I1322" s="57"/>
      <c r="J1322" s="57"/>
      <c r="K1322" s="57"/>
      <c r="L1322" s="57"/>
      <c r="M1322" s="57"/>
      <c r="N1322" s="57"/>
      <c r="O1322" s="57"/>
      <c r="P1322" s="57"/>
      <c r="Q1322" s="57"/>
      <c r="R1322" s="57"/>
      <c r="S1322" s="57"/>
      <c r="T1322" s="57"/>
      <c r="U1322" s="57"/>
      <c r="V1322" s="57"/>
      <c r="W1322" s="57"/>
      <c r="X1322" s="57"/>
      <c r="Y1322" s="57"/>
      <c r="Z1322" s="57"/>
    </row>
    <row r="1323">
      <c r="A1323" s="58">
        <v>8631207.0</v>
      </c>
      <c r="B1323" s="57" t="s">
        <v>3008</v>
      </c>
      <c r="C1323" s="57" t="s">
        <v>210</v>
      </c>
      <c r="D1323" s="58">
        <v>10.85</v>
      </c>
      <c r="E1323" s="58">
        <v>1678.99</v>
      </c>
      <c r="F1323" s="58">
        <v>3966421.0</v>
      </c>
      <c r="G1323" s="57" t="s">
        <v>3021</v>
      </c>
      <c r="H1323" s="57" t="s">
        <v>3022</v>
      </c>
      <c r="I1323" s="57"/>
      <c r="J1323" s="57"/>
      <c r="K1323" s="57"/>
      <c r="L1323" s="57"/>
      <c r="M1323" s="57"/>
      <c r="N1323" s="57"/>
      <c r="O1323" s="57"/>
      <c r="P1323" s="57"/>
      <c r="Q1323" s="57"/>
      <c r="R1323" s="57"/>
      <c r="S1323" s="57"/>
      <c r="T1323" s="57"/>
      <c r="U1323" s="57"/>
      <c r="V1323" s="57"/>
      <c r="W1323" s="57"/>
      <c r="X1323" s="57"/>
      <c r="Y1323" s="57"/>
      <c r="Z1323" s="57"/>
    </row>
    <row r="1324">
      <c r="A1324" s="58">
        <v>8631195.0</v>
      </c>
      <c r="B1324" s="57" t="s">
        <v>3008</v>
      </c>
      <c r="C1324" s="57" t="s">
        <v>210</v>
      </c>
      <c r="D1324" s="58">
        <v>9.24</v>
      </c>
      <c r="E1324" s="58">
        <v>1669.75</v>
      </c>
      <c r="F1324" s="58">
        <v>3966242.0</v>
      </c>
      <c r="G1324" s="57" t="s">
        <v>3023</v>
      </c>
      <c r="H1324" s="57" t="s">
        <v>3024</v>
      </c>
      <c r="I1324" s="57"/>
      <c r="J1324" s="57"/>
      <c r="K1324" s="57"/>
      <c r="L1324" s="57"/>
      <c r="M1324" s="57"/>
      <c r="N1324" s="57"/>
      <c r="O1324" s="57"/>
      <c r="P1324" s="57"/>
      <c r="Q1324" s="57"/>
      <c r="R1324" s="57"/>
      <c r="S1324" s="57"/>
      <c r="T1324" s="57"/>
      <c r="U1324" s="57"/>
      <c r="V1324" s="57"/>
      <c r="W1324" s="57"/>
      <c r="X1324" s="57"/>
      <c r="Y1324" s="57"/>
      <c r="Z1324" s="57"/>
    </row>
    <row r="1325">
      <c r="A1325" s="58">
        <v>8631126.0</v>
      </c>
      <c r="B1325" s="57" t="s">
        <v>3008</v>
      </c>
      <c r="C1325" s="57" t="s">
        <v>210</v>
      </c>
      <c r="D1325" s="58">
        <v>14.88</v>
      </c>
      <c r="E1325" s="58">
        <v>1654.87</v>
      </c>
      <c r="F1325" s="58">
        <v>3965574.0</v>
      </c>
      <c r="G1325" s="57" t="s">
        <v>3025</v>
      </c>
      <c r="H1325" s="57" t="s">
        <v>3026</v>
      </c>
      <c r="I1325" s="57"/>
      <c r="J1325" s="57"/>
      <c r="K1325" s="57"/>
      <c r="L1325" s="57"/>
      <c r="M1325" s="57"/>
      <c r="N1325" s="57"/>
      <c r="O1325" s="57"/>
      <c r="P1325" s="57"/>
      <c r="Q1325" s="57"/>
      <c r="R1325" s="57"/>
      <c r="S1325" s="57"/>
      <c r="T1325" s="57"/>
      <c r="U1325" s="57"/>
      <c r="V1325" s="57"/>
      <c r="W1325" s="57"/>
      <c r="X1325" s="57"/>
      <c r="Y1325" s="57"/>
      <c r="Z1325" s="57"/>
    </row>
    <row r="1326">
      <c r="A1326" s="58">
        <v>8630953.0</v>
      </c>
      <c r="B1326" s="57" t="s">
        <v>3027</v>
      </c>
      <c r="C1326" s="57" t="s">
        <v>210</v>
      </c>
      <c r="D1326" s="58">
        <v>9.24</v>
      </c>
      <c r="E1326" s="58">
        <v>1645.63</v>
      </c>
      <c r="F1326" s="58">
        <v>3963802.0</v>
      </c>
      <c r="G1326" s="57" t="s">
        <v>3028</v>
      </c>
      <c r="H1326" s="57" t="s">
        <v>3029</v>
      </c>
      <c r="I1326" s="57"/>
      <c r="J1326" s="57"/>
      <c r="K1326" s="57"/>
      <c r="L1326" s="57"/>
      <c r="M1326" s="57"/>
      <c r="N1326" s="57"/>
      <c r="O1326" s="57"/>
      <c r="P1326" s="57"/>
      <c r="Q1326" s="57"/>
      <c r="R1326" s="57"/>
      <c r="S1326" s="57"/>
      <c r="T1326" s="57"/>
      <c r="U1326" s="57"/>
      <c r="V1326" s="57"/>
      <c r="W1326" s="57"/>
      <c r="X1326" s="57"/>
      <c r="Y1326" s="57"/>
      <c r="Z1326" s="57"/>
    </row>
    <row r="1327">
      <c r="A1327" s="58">
        <v>8630890.0</v>
      </c>
      <c r="B1327" s="57" t="s">
        <v>3027</v>
      </c>
      <c r="C1327" s="57" t="s">
        <v>210</v>
      </c>
      <c r="D1327" s="58">
        <v>9.24</v>
      </c>
      <c r="E1327" s="58">
        <v>1636.39</v>
      </c>
      <c r="F1327" s="58">
        <v>3963304.0</v>
      </c>
      <c r="G1327" s="57" t="s">
        <v>3030</v>
      </c>
      <c r="H1327" s="57" t="s">
        <v>3031</v>
      </c>
      <c r="I1327" s="57"/>
      <c r="J1327" s="57"/>
      <c r="K1327" s="57"/>
      <c r="L1327" s="57"/>
      <c r="M1327" s="57"/>
      <c r="N1327" s="57"/>
      <c r="O1327" s="57"/>
      <c r="P1327" s="57"/>
      <c r="Q1327" s="57"/>
      <c r="R1327" s="57"/>
      <c r="S1327" s="57"/>
      <c r="T1327" s="57"/>
      <c r="U1327" s="57"/>
      <c r="V1327" s="57"/>
      <c r="W1327" s="57"/>
      <c r="X1327" s="57"/>
      <c r="Y1327" s="57"/>
      <c r="Z1327" s="57"/>
    </row>
    <row r="1328">
      <c r="A1328" s="58">
        <v>8630878.0</v>
      </c>
      <c r="B1328" s="57" t="s">
        <v>3027</v>
      </c>
      <c r="C1328" s="57" t="s">
        <v>210</v>
      </c>
      <c r="D1328" s="58">
        <v>10.85</v>
      </c>
      <c r="E1328" s="58">
        <v>1625.54</v>
      </c>
      <c r="F1328" s="58">
        <v>3963126.0</v>
      </c>
      <c r="G1328" s="57" t="s">
        <v>3032</v>
      </c>
      <c r="H1328" s="57" t="s">
        <v>3033</v>
      </c>
      <c r="I1328" s="57"/>
      <c r="J1328" s="57"/>
      <c r="K1328" s="57"/>
      <c r="L1328" s="57"/>
      <c r="M1328" s="57"/>
      <c r="N1328" s="57"/>
      <c r="O1328" s="57"/>
      <c r="P1328" s="57"/>
      <c r="Q1328" s="57"/>
      <c r="R1328" s="57"/>
      <c r="S1328" s="57"/>
      <c r="T1328" s="57"/>
      <c r="U1328" s="57"/>
      <c r="V1328" s="57"/>
      <c r="W1328" s="57"/>
      <c r="X1328" s="57"/>
      <c r="Y1328" s="57"/>
      <c r="Z1328" s="57"/>
    </row>
    <row r="1329">
      <c r="A1329" s="58">
        <v>8630807.0</v>
      </c>
      <c r="B1329" s="57" t="s">
        <v>3027</v>
      </c>
      <c r="C1329" s="57" t="s">
        <v>210</v>
      </c>
      <c r="D1329" s="58">
        <v>9.24</v>
      </c>
      <c r="E1329" s="58">
        <v>1616.3</v>
      </c>
      <c r="F1329" s="58">
        <v>3962284.0</v>
      </c>
      <c r="G1329" s="57" t="s">
        <v>3034</v>
      </c>
      <c r="H1329" s="57" t="s">
        <v>3035</v>
      </c>
      <c r="I1329" s="57"/>
      <c r="J1329" s="57"/>
      <c r="K1329" s="57"/>
      <c r="L1329" s="57"/>
      <c r="M1329" s="57"/>
      <c r="N1329" s="57"/>
      <c r="O1329" s="57"/>
      <c r="P1329" s="57"/>
      <c r="Q1329" s="57"/>
      <c r="R1329" s="57"/>
      <c r="S1329" s="57"/>
      <c r="T1329" s="57"/>
      <c r="U1329" s="57"/>
      <c r="V1329" s="57"/>
      <c r="W1329" s="57"/>
      <c r="X1329" s="57"/>
      <c r="Y1329" s="57"/>
      <c r="Z1329" s="57"/>
    </row>
    <row r="1330">
      <c r="A1330" s="58">
        <v>8630804.0</v>
      </c>
      <c r="B1330" s="57" t="s">
        <v>3027</v>
      </c>
      <c r="C1330" s="57" t="s">
        <v>210</v>
      </c>
      <c r="D1330" s="58">
        <v>9.24</v>
      </c>
      <c r="E1330" s="58">
        <v>1607.06</v>
      </c>
      <c r="F1330" s="58">
        <v>3962264.0</v>
      </c>
      <c r="G1330" s="57" t="s">
        <v>3036</v>
      </c>
      <c r="H1330" s="57" t="s">
        <v>3037</v>
      </c>
      <c r="I1330" s="57"/>
      <c r="J1330" s="57"/>
      <c r="K1330" s="57"/>
      <c r="L1330" s="57"/>
      <c r="M1330" s="57"/>
      <c r="N1330" s="57"/>
      <c r="O1330" s="57"/>
      <c r="P1330" s="57"/>
      <c r="Q1330" s="57"/>
      <c r="R1330" s="57"/>
      <c r="S1330" s="57"/>
      <c r="T1330" s="57"/>
      <c r="U1330" s="57"/>
      <c r="V1330" s="57"/>
      <c r="W1330" s="57"/>
      <c r="X1330" s="57"/>
      <c r="Y1330" s="57"/>
      <c r="Z1330" s="57"/>
    </row>
    <row r="1331">
      <c r="A1331" s="58">
        <v>8630600.0</v>
      </c>
      <c r="B1331" s="57" t="s">
        <v>3027</v>
      </c>
      <c r="C1331" s="57" t="s">
        <v>210</v>
      </c>
      <c r="D1331" s="58">
        <v>9.24</v>
      </c>
      <c r="E1331" s="58">
        <v>1597.82</v>
      </c>
      <c r="F1331" s="58">
        <v>3960230.0</v>
      </c>
      <c r="G1331" s="57" t="s">
        <v>3038</v>
      </c>
      <c r="H1331" s="57" t="s">
        <v>3039</v>
      </c>
      <c r="I1331" s="57"/>
      <c r="J1331" s="57"/>
      <c r="K1331" s="57"/>
      <c r="L1331" s="57"/>
      <c r="M1331" s="57"/>
      <c r="N1331" s="57"/>
      <c r="O1331" s="57"/>
      <c r="P1331" s="57"/>
      <c r="Q1331" s="57"/>
      <c r="R1331" s="57"/>
      <c r="S1331" s="57"/>
      <c r="T1331" s="57"/>
      <c r="U1331" s="57"/>
      <c r="V1331" s="57"/>
      <c r="W1331" s="57"/>
      <c r="X1331" s="57"/>
      <c r="Y1331" s="57"/>
      <c r="Z1331" s="57"/>
    </row>
    <row r="1332">
      <c r="A1332" s="58">
        <v>8630594.0</v>
      </c>
      <c r="B1332" s="57" t="s">
        <v>3027</v>
      </c>
      <c r="C1332" s="57" t="s">
        <v>210</v>
      </c>
      <c r="D1332" s="58">
        <v>15.45</v>
      </c>
      <c r="E1332" s="58">
        <v>1582.37</v>
      </c>
      <c r="F1332" s="58">
        <v>3960161.0</v>
      </c>
      <c r="G1332" s="57" t="s">
        <v>3040</v>
      </c>
      <c r="H1332" s="57" t="s">
        <v>3041</v>
      </c>
      <c r="I1332" s="57"/>
      <c r="J1332" s="57"/>
      <c r="K1332" s="57"/>
      <c r="L1332" s="57"/>
      <c r="M1332" s="57"/>
      <c r="N1332" s="57"/>
      <c r="O1332" s="57"/>
      <c r="P1332" s="57"/>
      <c r="Q1332" s="57"/>
      <c r="R1332" s="57"/>
      <c r="S1332" s="57"/>
      <c r="T1332" s="57"/>
      <c r="U1332" s="57"/>
      <c r="V1332" s="57"/>
      <c r="W1332" s="57"/>
      <c r="X1332" s="57"/>
      <c r="Y1332" s="57"/>
      <c r="Z1332" s="57"/>
    </row>
    <row r="1333">
      <c r="A1333" s="58">
        <v>8630572.0</v>
      </c>
      <c r="B1333" s="57" t="s">
        <v>3027</v>
      </c>
      <c r="C1333" s="57" t="s">
        <v>210</v>
      </c>
      <c r="D1333" s="58">
        <v>8.67</v>
      </c>
      <c r="E1333" s="58">
        <v>1573.7</v>
      </c>
      <c r="F1333" s="58">
        <v>3959925.0</v>
      </c>
      <c r="G1333" s="57" t="s">
        <v>3042</v>
      </c>
      <c r="H1333" s="57" t="s">
        <v>3043</v>
      </c>
      <c r="I1333" s="57"/>
      <c r="J1333" s="57"/>
      <c r="K1333" s="57"/>
      <c r="L1333" s="57"/>
      <c r="M1333" s="57"/>
      <c r="N1333" s="57"/>
      <c r="O1333" s="57"/>
      <c r="P1333" s="57"/>
      <c r="Q1333" s="57"/>
      <c r="R1333" s="57"/>
      <c r="S1333" s="57"/>
      <c r="T1333" s="57"/>
      <c r="U1333" s="57"/>
      <c r="V1333" s="57"/>
      <c r="W1333" s="57"/>
      <c r="X1333" s="57"/>
      <c r="Y1333" s="57"/>
      <c r="Z1333" s="57"/>
    </row>
    <row r="1334">
      <c r="A1334" s="58">
        <v>8630569.0</v>
      </c>
      <c r="B1334" s="57" t="s">
        <v>3027</v>
      </c>
      <c r="C1334" s="57" t="s">
        <v>210</v>
      </c>
      <c r="D1334" s="58">
        <v>7.33</v>
      </c>
      <c r="E1334" s="58">
        <v>1566.37</v>
      </c>
      <c r="F1334" s="58">
        <v>3959919.0</v>
      </c>
      <c r="G1334" s="58">
        <v>1.86910774E8</v>
      </c>
      <c r="H1334" s="57" t="s">
        <v>3044</v>
      </c>
      <c r="I1334" s="57"/>
      <c r="J1334" s="57"/>
      <c r="K1334" s="57"/>
      <c r="L1334" s="57"/>
      <c r="M1334" s="57"/>
      <c r="N1334" s="57"/>
      <c r="O1334" s="57"/>
      <c r="P1334" s="57"/>
      <c r="Q1334" s="57"/>
      <c r="R1334" s="57"/>
      <c r="S1334" s="57"/>
      <c r="T1334" s="57"/>
      <c r="U1334" s="57"/>
      <c r="V1334" s="57"/>
      <c r="W1334" s="57"/>
      <c r="X1334" s="57"/>
      <c r="Y1334" s="57"/>
      <c r="Z1334" s="57"/>
    </row>
    <row r="1335">
      <c r="A1335" s="58">
        <v>8630519.0</v>
      </c>
      <c r="B1335" s="57" t="s">
        <v>3027</v>
      </c>
      <c r="C1335" s="57" t="s">
        <v>210</v>
      </c>
      <c r="D1335" s="58">
        <v>13.27</v>
      </c>
      <c r="E1335" s="58">
        <v>1553.1</v>
      </c>
      <c r="F1335" s="58">
        <v>3959550.0</v>
      </c>
      <c r="G1335" s="57" t="s">
        <v>3045</v>
      </c>
      <c r="H1335" s="57" t="s">
        <v>3046</v>
      </c>
      <c r="I1335" s="57"/>
      <c r="J1335" s="57"/>
      <c r="K1335" s="57"/>
      <c r="L1335" s="57"/>
      <c r="M1335" s="57"/>
      <c r="N1335" s="57"/>
      <c r="O1335" s="57"/>
      <c r="P1335" s="57"/>
      <c r="Q1335" s="57"/>
      <c r="R1335" s="57"/>
      <c r="S1335" s="57"/>
      <c r="T1335" s="57"/>
      <c r="U1335" s="57"/>
      <c r="V1335" s="57"/>
      <c r="W1335" s="57"/>
      <c r="X1335" s="57"/>
      <c r="Y1335" s="57"/>
      <c r="Z1335" s="57"/>
    </row>
    <row r="1336">
      <c r="A1336" s="58">
        <v>8630451.0</v>
      </c>
      <c r="B1336" s="57" t="s">
        <v>3027</v>
      </c>
      <c r="C1336" s="57" t="s">
        <v>210</v>
      </c>
      <c r="D1336" s="58">
        <v>10.85</v>
      </c>
      <c r="E1336" s="58">
        <v>1542.25</v>
      </c>
      <c r="F1336" s="58">
        <v>3958763.0</v>
      </c>
      <c r="G1336" s="57" t="s">
        <v>3047</v>
      </c>
      <c r="H1336" s="57" t="s">
        <v>3048</v>
      </c>
      <c r="I1336" s="57"/>
      <c r="J1336" s="57"/>
      <c r="K1336" s="57"/>
      <c r="L1336" s="57"/>
      <c r="M1336" s="57"/>
      <c r="N1336" s="57"/>
      <c r="O1336" s="57"/>
      <c r="P1336" s="57"/>
      <c r="Q1336" s="57"/>
      <c r="R1336" s="57"/>
      <c r="S1336" s="57"/>
      <c r="T1336" s="57"/>
      <c r="U1336" s="57"/>
      <c r="V1336" s="57"/>
      <c r="W1336" s="57"/>
      <c r="X1336" s="57"/>
      <c r="Y1336" s="57"/>
      <c r="Z1336" s="57"/>
    </row>
    <row r="1337">
      <c r="A1337" s="58">
        <v>8630417.0</v>
      </c>
      <c r="B1337" s="57" t="s">
        <v>3027</v>
      </c>
      <c r="C1337" s="57" t="s">
        <v>210</v>
      </c>
      <c r="D1337" s="58">
        <v>10.85</v>
      </c>
      <c r="E1337" s="58">
        <v>1531.4</v>
      </c>
      <c r="F1337" s="58">
        <v>3958459.0</v>
      </c>
      <c r="G1337" s="57" t="s">
        <v>3049</v>
      </c>
      <c r="H1337" s="57" t="s">
        <v>3050</v>
      </c>
      <c r="I1337" s="57"/>
      <c r="J1337" s="57"/>
      <c r="K1337" s="57"/>
      <c r="L1337" s="57"/>
      <c r="M1337" s="57"/>
      <c r="N1337" s="57"/>
      <c r="O1337" s="57"/>
      <c r="P1337" s="57"/>
      <c r="Q1337" s="57"/>
      <c r="R1337" s="57"/>
      <c r="S1337" s="57"/>
      <c r="T1337" s="57"/>
      <c r="U1337" s="57"/>
      <c r="V1337" s="57"/>
      <c r="W1337" s="57"/>
      <c r="X1337" s="57"/>
      <c r="Y1337" s="57"/>
      <c r="Z1337" s="57"/>
    </row>
    <row r="1338">
      <c r="A1338" s="58">
        <v>8630401.0</v>
      </c>
      <c r="B1338" s="57" t="s">
        <v>3027</v>
      </c>
      <c r="C1338" s="57" t="s">
        <v>210</v>
      </c>
      <c r="D1338" s="58">
        <v>15.45</v>
      </c>
      <c r="E1338" s="58">
        <v>1515.95</v>
      </c>
      <c r="F1338" s="58">
        <v>3958323.0</v>
      </c>
      <c r="G1338" s="57" t="s">
        <v>3051</v>
      </c>
      <c r="H1338" s="57" t="s">
        <v>3052</v>
      </c>
      <c r="I1338" s="57"/>
      <c r="J1338" s="57"/>
      <c r="K1338" s="57"/>
      <c r="L1338" s="57"/>
      <c r="M1338" s="57"/>
      <c r="N1338" s="57"/>
      <c r="O1338" s="57"/>
      <c r="P1338" s="57"/>
      <c r="Q1338" s="57"/>
      <c r="R1338" s="57"/>
      <c r="S1338" s="57"/>
      <c r="T1338" s="57"/>
      <c r="U1338" s="57"/>
      <c r="V1338" s="57"/>
      <c r="W1338" s="57"/>
      <c r="X1338" s="57"/>
      <c r="Y1338" s="57"/>
      <c r="Z1338" s="57"/>
    </row>
    <row r="1339">
      <c r="A1339" s="58">
        <v>8630388.0</v>
      </c>
      <c r="B1339" s="57" t="s">
        <v>3027</v>
      </c>
      <c r="C1339" s="57" t="s">
        <v>210</v>
      </c>
      <c r="D1339" s="58">
        <v>9.24</v>
      </c>
      <c r="E1339" s="58">
        <v>1506.71</v>
      </c>
      <c r="F1339" s="58">
        <v>3958202.0</v>
      </c>
      <c r="G1339" s="57" t="s">
        <v>3053</v>
      </c>
      <c r="H1339" s="57" t="s">
        <v>3054</v>
      </c>
      <c r="I1339" s="57"/>
      <c r="J1339" s="57"/>
      <c r="K1339" s="57"/>
      <c r="L1339" s="57"/>
      <c r="M1339" s="57"/>
      <c r="N1339" s="57"/>
      <c r="O1339" s="57"/>
      <c r="P1339" s="57"/>
      <c r="Q1339" s="57"/>
      <c r="R1339" s="57"/>
      <c r="S1339" s="57"/>
      <c r="T1339" s="57"/>
      <c r="U1339" s="57"/>
      <c r="V1339" s="57"/>
      <c r="W1339" s="57"/>
      <c r="X1339" s="57"/>
      <c r="Y1339" s="57"/>
      <c r="Z1339" s="57"/>
    </row>
    <row r="1340">
      <c r="A1340" s="58">
        <v>8629983.0</v>
      </c>
      <c r="B1340" s="57" t="s">
        <v>3027</v>
      </c>
      <c r="C1340" s="57" t="s">
        <v>210</v>
      </c>
      <c r="D1340" s="58">
        <v>9.24</v>
      </c>
      <c r="E1340" s="58">
        <v>1497.47</v>
      </c>
      <c r="F1340" s="58">
        <v>3952203.0</v>
      </c>
      <c r="G1340" s="57" t="s">
        <v>3055</v>
      </c>
      <c r="H1340" s="57" t="s">
        <v>3056</v>
      </c>
      <c r="I1340" s="57"/>
      <c r="J1340" s="57"/>
      <c r="K1340" s="57"/>
      <c r="L1340" s="57"/>
      <c r="M1340" s="57"/>
      <c r="N1340" s="57"/>
      <c r="O1340" s="57"/>
      <c r="P1340" s="57"/>
      <c r="Q1340" s="57"/>
      <c r="R1340" s="57"/>
      <c r="S1340" s="57"/>
      <c r="T1340" s="57"/>
      <c r="U1340" s="57"/>
      <c r="V1340" s="57"/>
      <c r="W1340" s="57"/>
      <c r="X1340" s="57"/>
      <c r="Y1340" s="57"/>
      <c r="Z1340" s="57"/>
    </row>
    <row r="1341">
      <c r="A1341" s="58">
        <v>8629529.0</v>
      </c>
      <c r="B1341" s="57" t="s">
        <v>3027</v>
      </c>
      <c r="C1341" s="57" t="s">
        <v>210</v>
      </c>
      <c r="D1341" s="58">
        <v>7.33</v>
      </c>
      <c r="E1341" s="58">
        <v>1490.14</v>
      </c>
      <c r="F1341" s="58">
        <v>3944492.0</v>
      </c>
      <c r="G1341" s="58">
        <v>1.86896236E8</v>
      </c>
      <c r="H1341" s="57" t="s">
        <v>3057</v>
      </c>
      <c r="I1341" s="57"/>
      <c r="J1341" s="57"/>
      <c r="K1341" s="57"/>
      <c r="L1341" s="57"/>
      <c r="M1341" s="57"/>
      <c r="N1341" s="57"/>
      <c r="O1341" s="57"/>
      <c r="P1341" s="57"/>
      <c r="Q1341" s="57"/>
      <c r="R1341" s="57"/>
      <c r="S1341" s="57"/>
      <c r="T1341" s="57"/>
      <c r="U1341" s="57"/>
      <c r="V1341" s="57"/>
      <c r="W1341" s="57"/>
      <c r="X1341" s="57"/>
      <c r="Y1341" s="57"/>
      <c r="Z1341" s="57"/>
    </row>
    <row r="1342">
      <c r="A1342" s="58">
        <v>8629384.0</v>
      </c>
      <c r="B1342" s="57" t="s">
        <v>3027</v>
      </c>
      <c r="C1342" s="57" t="s">
        <v>210</v>
      </c>
      <c r="D1342" s="58">
        <v>7.33</v>
      </c>
      <c r="E1342" s="58">
        <v>1482.81</v>
      </c>
      <c r="F1342" s="58">
        <v>3939648.0</v>
      </c>
      <c r="G1342" s="58">
        <v>1.86896243E8</v>
      </c>
      <c r="H1342" s="57" t="s">
        <v>3058</v>
      </c>
      <c r="I1342" s="57"/>
      <c r="J1342" s="57"/>
      <c r="K1342" s="57"/>
      <c r="L1342" s="57"/>
      <c r="M1342" s="57"/>
      <c r="N1342" s="57"/>
      <c r="O1342" s="57"/>
      <c r="P1342" s="57"/>
      <c r="Q1342" s="57"/>
      <c r="R1342" s="57"/>
      <c r="S1342" s="57"/>
      <c r="T1342" s="57"/>
      <c r="U1342" s="57"/>
      <c r="V1342" s="57"/>
      <c r="W1342" s="57"/>
      <c r="X1342" s="57"/>
      <c r="Y1342" s="57"/>
      <c r="Z1342" s="57"/>
    </row>
    <row r="1343">
      <c r="A1343" s="58">
        <v>8628390.0</v>
      </c>
      <c r="B1343" s="57" t="s">
        <v>3027</v>
      </c>
      <c r="C1343" s="57" t="s">
        <v>210</v>
      </c>
      <c r="D1343" s="58">
        <v>9.5</v>
      </c>
      <c r="E1343" s="58">
        <v>1473.31</v>
      </c>
      <c r="F1343" s="58">
        <v>3881970.0</v>
      </c>
      <c r="G1343" s="58">
        <v>1.86871705E8</v>
      </c>
      <c r="H1343" s="57" t="s">
        <v>3059</v>
      </c>
      <c r="I1343" s="57"/>
      <c r="J1343" s="57"/>
      <c r="K1343" s="57"/>
      <c r="L1343" s="57"/>
      <c r="M1343" s="57"/>
      <c r="N1343" s="57"/>
      <c r="O1343" s="57"/>
      <c r="P1343" s="57"/>
      <c r="Q1343" s="57"/>
      <c r="R1343" s="57"/>
      <c r="S1343" s="57"/>
      <c r="T1343" s="57"/>
      <c r="U1343" s="57"/>
      <c r="V1343" s="57"/>
      <c r="W1343" s="57"/>
      <c r="X1343" s="57"/>
      <c r="Y1343" s="57"/>
      <c r="Z1343" s="57"/>
    </row>
    <row r="1344">
      <c r="A1344" s="58">
        <v>8627754.0</v>
      </c>
      <c r="B1344" s="57" t="s">
        <v>3060</v>
      </c>
      <c r="C1344" s="57" t="s">
        <v>247</v>
      </c>
      <c r="D1344" s="58">
        <v>5.07</v>
      </c>
      <c r="E1344" s="58">
        <v>1478.38</v>
      </c>
      <c r="F1344" s="58">
        <v>3887597.0</v>
      </c>
      <c r="G1344" s="57" t="s">
        <v>3061</v>
      </c>
      <c r="H1344" s="57" t="s">
        <v>3062</v>
      </c>
      <c r="I1344" s="57"/>
      <c r="J1344" s="57"/>
      <c r="K1344" s="57"/>
      <c r="L1344" s="57"/>
      <c r="M1344" s="57"/>
      <c r="N1344" s="57"/>
      <c r="O1344" s="57"/>
      <c r="P1344" s="57"/>
      <c r="Q1344" s="57"/>
      <c r="R1344" s="57"/>
      <c r="S1344" s="57"/>
      <c r="T1344" s="57"/>
      <c r="U1344" s="57"/>
      <c r="V1344" s="57"/>
      <c r="W1344" s="57"/>
      <c r="X1344" s="57"/>
      <c r="Y1344" s="57"/>
      <c r="Z1344" s="57"/>
    </row>
    <row r="1345">
      <c r="A1345" s="58">
        <v>8627639.0</v>
      </c>
      <c r="B1345" s="57" t="s">
        <v>3060</v>
      </c>
      <c r="C1345" s="57" t="s">
        <v>247</v>
      </c>
      <c r="D1345" s="58">
        <v>5.12</v>
      </c>
      <c r="E1345" s="58">
        <v>1483.5</v>
      </c>
      <c r="F1345" s="58">
        <v>3940213.0</v>
      </c>
      <c r="G1345" s="57" t="s">
        <v>3063</v>
      </c>
      <c r="H1345" s="57" t="s">
        <v>3064</v>
      </c>
      <c r="I1345" s="57"/>
      <c r="J1345" s="57"/>
      <c r="K1345" s="57"/>
      <c r="L1345" s="57"/>
      <c r="M1345" s="57"/>
      <c r="N1345" s="57"/>
      <c r="O1345" s="57"/>
      <c r="P1345" s="57"/>
      <c r="Q1345" s="57"/>
      <c r="R1345" s="57"/>
      <c r="S1345" s="57"/>
      <c r="T1345" s="57"/>
      <c r="U1345" s="57"/>
      <c r="V1345" s="57"/>
      <c r="W1345" s="57"/>
      <c r="X1345" s="57"/>
      <c r="Y1345" s="57"/>
      <c r="Z1345" s="57"/>
    </row>
    <row r="1346">
      <c r="A1346" s="58">
        <v>8627404.0</v>
      </c>
      <c r="B1346" s="57" t="s">
        <v>3065</v>
      </c>
      <c r="C1346" s="57" t="s">
        <v>247</v>
      </c>
      <c r="D1346" s="58">
        <v>5.64</v>
      </c>
      <c r="E1346" s="58">
        <v>1489.13</v>
      </c>
      <c r="F1346" s="58">
        <v>3942763.0</v>
      </c>
      <c r="G1346" s="57" t="s">
        <v>3066</v>
      </c>
      <c r="H1346" s="57" t="s">
        <v>3067</v>
      </c>
      <c r="I1346" s="57"/>
      <c r="J1346" s="57"/>
      <c r="K1346" s="57"/>
      <c r="L1346" s="57"/>
      <c r="M1346" s="57"/>
      <c r="N1346" s="57"/>
      <c r="O1346" s="57"/>
      <c r="P1346" s="57"/>
      <c r="Q1346" s="57"/>
      <c r="R1346" s="57"/>
      <c r="S1346" s="57"/>
      <c r="T1346" s="57"/>
      <c r="U1346" s="57"/>
      <c r="V1346" s="57"/>
      <c r="W1346" s="57"/>
      <c r="X1346" s="57"/>
      <c r="Y1346" s="57"/>
      <c r="Z1346" s="57"/>
    </row>
    <row r="1347">
      <c r="A1347" s="58">
        <v>8627379.0</v>
      </c>
      <c r="B1347" s="57" t="s">
        <v>3065</v>
      </c>
      <c r="C1347" s="57" t="s">
        <v>247</v>
      </c>
      <c r="D1347" s="58">
        <v>3.45</v>
      </c>
      <c r="E1347" s="58">
        <v>1492.58</v>
      </c>
      <c r="F1347" s="58">
        <v>3895877.0</v>
      </c>
      <c r="G1347" s="57" t="s">
        <v>3068</v>
      </c>
      <c r="H1347" s="57" t="s">
        <v>3069</v>
      </c>
      <c r="I1347" s="57"/>
      <c r="J1347" s="57"/>
      <c r="K1347" s="57"/>
      <c r="L1347" s="57"/>
      <c r="M1347" s="57"/>
      <c r="N1347" s="57"/>
      <c r="O1347" s="57"/>
      <c r="P1347" s="57"/>
      <c r="Q1347" s="57"/>
      <c r="R1347" s="57"/>
      <c r="S1347" s="57"/>
      <c r="T1347" s="57"/>
      <c r="U1347" s="57"/>
      <c r="V1347" s="57"/>
      <c r="W1347" s="57"/>
      <c r="X1347" s="57"/>
      <c r="Y1347" s="57"/>
      <c r="Z1347" s="57"/>
    </row>
    <row r="1348">
      <c r="A1348" s="58">
        <v>8627357.0</v>
      </c>
      <c r="B1348" s="57" t="s">
        <v>3070</v>
      </c>
      <c r="C1348" s="57" t="s">
        <v>247</v>
      </c>
      <c r="D1348" s="58">
        <v>5.06</v>
      </c>
      <c r="E1348" s="58">
        <v>1497.64</v>
      </c>
      <c r="F1348" s="58">
        <v>3900576.0</v>
      </c>
      <c r="G1348" s="57" t="s">
        <v>3071</v>
      </c>
      <c r="H1348" s="57" t="s">
        <v>3072</v>
      </c>
      <c r="I1348" s="57"/>
      <c r="J1348" s="57"/>
      <c r="K1348" s="57"/>
      <c r="L1348" s="57"/>
      <c r="M1348" s="57"/>
      <c r="N1348" s="57"/>
      <c r="O1348" s="57"/>
      <c r="P1348" s="57"/>
      <c r="Q1348" s="57"/>
      <c r="R1348" s="57"/>
      <c r="S1348" s="57"/>
      <c r="T1348" s="57"/>
      <c r="U1348" s="57"/>
      <c r="V1348" s="57"/>
      <c r="W1348" s="57"/>
      <c r="X1348" s="57"/>
      <c r="Y1348" s="57"/>
      <c r="Z1348" s="57"/>
    </row>
    <row r="1349">
      <c r="A1349" s="58">
        <v>8627278.0</v>
      </c>
      <c r="B1349" s="57" t="s">
        <v>3070</v>
      </c>
      <c r="C1349" s="57" t="s">
        <v>247</v>
      </c>
      <c r="D1349" s="58">
        <v>5.06</v>
      </c>
      <c r="E1349" s="58">
        <v>1502.7</v>
      </c>
      <c r="F1349" s="58">
        <v>3946808.0</v>
      </c>
      <c r="G1349" s="57" t="s">
        <v>3073</v>
      </c>
      <c r="H1349" s="57" t="s">
        <v>3074</v>
      </c>
      <c r="I1349" s="57"/>
      <c r="J1349" s="57"/>
      <c r="K1349" s="57"/>
      <c r="L1349" s="57"/>
      <c r="M1349" s="57"/>
      <c r="N1349" s="57"/>
      <c r="O1349" s="57"/>
      <c r="P1349" s="57"/>
      <c r="Q1349" s="57"/>
      <c r="R1349" s="57"/>
      <c r="S1349" s="57"/>
      <c r="T1349" s="57"/>
      <c r="U1349" s="57"/>
      <c r="V1349" s="57"/>
      <c r="W1349" s="57"/>
      <c r="X1349" s="57"/>
      <c r="Y1349" s="57"/>
      <c r="Z1349" s="57"/>
    </row>
    <row r="1350">
      <c r="A1350" s="58">
        <v>8627142.0</v>
      </c>
      <c r="B1350" s="57" t="s">
        <v>3075</v>
      </c>
      <c r="C1350" s="57" t="s">
        <v>247</v>
      </c>
      <c r="D1350" s="58">
        <v>5.06</v>
      </c>
      <c r="E1350" s="58">
        <v>1507.76</v>
      </c>
      <c r="F1350" s="58">
        <v>3892645.0</v>
      </c>
      <c r="G1350" s="57" t="s">
        <v>3076</v>
      </c>
      <c r="H1350" s="57" t="s">
        <v>3077</v>
      </c>
      <c r="I1350" s="57"/>
      <c r="J1350" s="57"/>
      <c r="K1350" s="57"/>
      <c r="L1350" s="57"/>
      <c r="M1350" s="57"/>
      <c r="N1350" s="57"/>
      <c r="O1350" s="57"/>
      <c r="P1350" s="57"/>
      <c r="Q1350" s="57"/>
      <c r="R1350" s="57"/>
      <c r="S1350" s="57"/>
      <c r="T1350" s="57"/>
      <c r="U1350" s="57"/>
      <c r="V1350" s="57"/>
      <c r="W1350" s="57"/>
      <c r="X1350" s="57"/>
      <c r="Y1350" s="57"/>
      <c r="Z1350" s="57"/>
    </row>
    <row r="1351">
      <c r="A1351" s="58">
        <v>8627101.0</v>
      </c>
      <c r="B1351" s="57" t="s">
        <v>3078</v>
      </c>
      <c r="C1351" s="57" t="s">
        <v>247</v>
      </c>
      <c r="D1351" s="58">
        <v>3.45</v>
      </c>
      <c r="E1351" s="58">
        <v>1511.21</v>
      </c>
      <c r="F1351" s="58">
        <v>3901549.0</v>
      </c>
      <c r="G1351" s="57" t="s">
        <v>3079</v>
      </c>
      <c r="H1351" s="57" t="s">
        <v>3080</v>
      </c>
      <c r="I1351" s="57"/>
      <c r="J1351" s="57"/>
      <c r="K1351" s="57"/>
      <c r="L1351" s="57"/>
      <c r="M1351" s="57"/>
      <c r="N1351" s="57"/>
      <c r="O1351" s="57"/>
      <c r="P1351" s="57"/>
      <c r="Q1351" s="57"/>
      <c r="R1351" s="57"/>
      <c r="S1351" s="57"/>
      <c r="T1351" s="57"/>
      <c r="U1351" s="57"/>
      <c r="V1351" s="57"/>
      <c r="W1351" s="57"/>
      <c r="X1351" s="57"/>
      <c r="Y1351" s="57"/>
      <c r="Z1351" s="57"/>
    </row>
    <row r="1352">
      <c r="A1352" s="58">
        <v>8627093.0</v>
      </c>
      <c r="B1352" s="57" t="s">
        <v>3078</v>
      </c>
      <c r="C1352" s="57" t="s">
        <v>247</v>
      </c>
      <c r="D1352" s="58">
        <v>5.06</v>
      </c>
      <c r="E1352" s="58">
        <v>1516.27</v>
      </c>
      <c r="F1352" s="58">
        <v>3940452.0</v>
      </c>
      <c r="G1352" s="57" t="s">
        <v>3081</v>
      </c>
      <c r="H1352" s="57" t="s">
        <v>3082</v>
      </c>
      <c r="I1352" s="57"/>
      <c r="J1352" s="57"/>
      <c r="K1352" s="57"/>
      <c r="L1352" s="57"/>
      <c r="M1352" s="57"/>
      <c r="N1352" s="57"/>
      <c r="O1352" s="57"/>
      <c r="P1352" s="57"/>
      <c r="Q1352" s="57"/>
      <c r="R1352" s="57"/>
      <c r="S1352" s="57"/>
      <c r="T1352" s="57"/>
      <c r="U1352" s="57"/>
      <c r="V1352" s="57"/>
      <c r="W1352" s="57"/>
      <c r="X1352" s="57"/>
      <c r="Y1352" s="57"/>
      <c r="Z1352" s="57"/>
    </row>
    <row r="1353">
      <c r="A1353" s="58">
        <v>8627092.0</v>
      </c>
      <c r="B1353" s="57" t="s">
        <v>3078</v>
      </c>
      <c r="C1353" s="57" t="s">
        <v>247</v>
      </c>
      <c r="D1353" s="58">
        <v>3.45</v>
      </c>
      <c r="E1353" s="58">
        <v>1519.72</v>
      </c>
      <c r="F1353" s="58">
        <v>3923737.0</v>
      </c>
      <c r="G1353" s="57" t="s">
        <v>3083</v>
      </c>
      <c r="H1353" s="57" t="s">
        <v>3084</v>
      </c>
      <c r="I1353" s="57"/>
      <c r="J1353" s="57"/>
      <c r="K1353" s="57"/>
      <c r="L1353" s="57"/>
      <c r="M1353" s="57"/>
      <c r="N1353" s="57"/>
      <c r="O1353" s="57"/>
      <c r="P1353" s="57"/>
      <c r="Q1353" s="57"/>
      <c r="R1353" s="57"/>
      <c r="S1353" s="57"/>
      <c r="T1353" s="57"/>
      <c r="U1353" s="57"/>
      <c r="V1353" s="57"/>
      <c r="W1353" s="57"/>
      <c r="X1353" s="57"/>
      <c r="Y1353" s="57"/>
      <c r="Z1353" s="57"/>
    </row>
    <row r="1354">
      <c r="A1354" s="58">
        <v>8625037.0</v>
      </c>
      <c r="B1354" s="57" t="s">
        <v>3085</v>
      </c>
      <c r="C1354" s="57" t="s">
        <v>247</v>
      </c>
      <c r="D1354" s="58">
        <v>3.6</v>
      </c>
      <c r="E1354" s="58">
        <v>1523.32</v>
      </c>
      <c r="F1354" s="58">
        <v>3633963.0</v>
      </c>
      <c r="G1354" s="57" t="s">
        <v>3086</v>
      </c>
      <c r="H1354" s="57" t="s">
        <v>3087</v>
      </c>
      <c r="I1354" s="57"/>
      <c r="J1354" s="57"/>
      <c r="K1354" s="57"/>
      <c r="L1354" s="57"/>
      <c r="M1354" s="57"/>
      <c r="N1354" s="57"/>
      <c r="O1354" s="57"/>
      <c r="P1354" s="57"/>
      <c r="Q1354" s="57"/>
      <c r="R1354" s="57"/>
      <c r="S1354" s="57"/>
      <c r="T1354" s="57"/>
      <c r="U1354" s="57"/>
      <c r="V1354" s="57"/>
      <c r="W1354" s="57"/>
      <c r="X1354" s="57"/>
      <c r="Y1354" s="57"/>
      <c r="Z1354" s="57"/>
    </row>
    <row r="1355">
      <c r="A1355" s="58">
        <v>8624954.0</v>
      </c>
      <c r="B1355" s="57" t="s">
        <v>3088</v>
      </c>
      <c r="C1355" s="57" t="s">
        <v>247</v>
      </c>
      <c r="D1355" s="58">
        <v>5.06</v>
      </c>
      <c r="E1355" s="58">
        <v>1528.38</v>
      </c>
      <c r="F1355" s="58">
        <v>3894676.0</v>
      </c>
      <c r="G1355" s="57" t="s">
        <v>2725</v>
      </c>
      <c r="H1355" s="57" t="s">
        <v>3089</v>
      </c>
      <c r="I1355" s="57"/>
      <c r="J1355" s="57"/>
      <c r="K1355" s="57"/>
      <c r="L1355" s="57"/>
      <c r="M1355" s="57"/>
      <c r="N1355" s="57"/>
      <c r="O1355" s="57"/>
      <c r="P1355" s="57"/>
      <c r="Q1355" s="57"/>
      <c r="R1355" s="57"/>
      <c r="S1355" s="57"/>
      <c r="T1355" s="57"/>
      <c r="U1355" s="57"/>
      <c r="V1355" s="57"/>
      <c r="W1355" s="57"/>
      <c r="X1355" s="57"/>
      <c r="Y1355" s="57"/>
      <c r="Z1355" s="57"/>
    </row>
    <row r="1356">
      <c r="A1356" s="58">
        <v>8624900.0</v>
      </c>
      <c r="B1356" s="57" t="s">
        <v>3088</v>
      </c>
      <c r="C1356" s="57" t="s">
        <v>247</v>
      </c>
      <c r="D1356" s="58">
        <v>3.45</v>
      </c>
      <c r="E1356" s="58">
        <v>1531.83</v>
      </c>
      <c r="F1356" s="58">
        <v>3906885.0</v>
      </c>
      <c r="G1356" s="57" t="s">
        <v>3090</v>
      </c>
      <c r="H1356" s="57" t="s">
        <v>3091</v>
      </c>
      <c r="I1356" s="57"/>
      <c r="J1356" s="57"/>
      <c r="K1356" s="57"/>
      <c r="L1356" s="57"/>
      <c r="M1356" s="57"/>
      <c r="N1356" s="57"/>
      <c r="O1356" s="57"/>
      <c r="P1356" s="57"/>
      <c r="Q1356" s="57"/>
      <c r="R1356" s="57"/>
      <c r="S1356" s="57"/>
      <c r="T1356" s="57"/>
      <c r="U1356" s="57"/>
      <c r="V1356" s="57"/>
      <c r="W1356" s="57"/>
      <c r="X1356" s="57"/>
      <c r="Y1356" s="57"/>
      <c r="Z1356" s="57"/>
    </row>
    <row r="1357">
      <c r="A1357" s="58">
        <v>8624880.0</v>
      </c>
      <c r="B1357" s="57" t="s">
        <v>3088</v>
      </c>
      <c r="C1357" s="57" t="s">
        <v>247</v>
      </c>
      <c r="D1357" s="58">
        <v>5.06</v>
      </c>
      <c r="E1357" s="58">
        <v>1536.89</v>
      </c>
      <c r="F1357" s="58">
        <v>3893910.0</v>
      </c>
      <c r="G1357" s="57" t="s">
        <v>3092</v>
      </c>
      <c r="H1357" s="57" t="s">
        <v>3093</v>
      </c>
      <c r="I1357" s="57"/>
      <c r="J1357" s="57"/>
      <c r="K1357" s="57"/>
      <c r="L1357" s="57"/>
      <c r="M1357" s="57"/>
      <c r="N1357" s="57"/>
      <c r="O1357" s="57"/>
      <c r="P1357" s="57"/>
      <c r="Q1357" s="57"/>
      <c r="R1357" s="57"/>
      <c r="S1357" s="57"/>
      <c r="T1357" s="57"/>
      <c r="U1357" s="57"/>
      <c r="V1357" s="57"/>
      <c r="W1357" s="57"/>
      <c r="X1357" s="57"/>
      <c r="Y1357" s="57"/>
      <c r="Z1357" s="57"/>
    </row>
    <row r="1358">
      <c r="A1358" s="58">
        <v>8624863.0</v>
      </c>
      <c r="B1358" s="57" t="s">
        <v>3088</v>
      </c>
      <c r="C1358" s="57" t="s">
        <v>247</v>
      </c>
      <c r="D1358" s="58">
        <v>5.06</v>
      </c>
      <c r="E1358" s="58">
        <v>1541.95</v>
      </c>
      <c r="F1358" s="58">
        <v>3902656.0</v>
      </c>
      <c r="G1358" s="57" t="s">
        <v>3094</v>
      </c>
      <c r="H1358" s="57" t="s">
        <v>3095</v>
      </c>
      <c r="I1358" s="57"/>
      <c r="J1358" s="57"/>
      <c r="K1358" s="57"/>
      <c r="L1358" s="57"/>
      <c r="M1358" s="57"/>
      <c r="N1358" s="57"/>
      <c r="O1358" s="57"/>
      <c r="P1358" s="57"/>
      <c r="Q1358" s="57"/>
      <c r="R1358" s="57"/>
      <c r="S1358" s="57"/>
      <c r="T1358" s="57"/>
      <c r="U1358" s="57"/>
      <c r="V1358" s="57"/>
      <c r="W1358" s="57"/>
      <c r="X1358" s="57"/>
      <c r="Y1358" s="57"/>
      <c r="Z1358" s="57"/>
    </row>
    <row r="1359">
      <c r="A1359" s="58">
        <v>8624846.0</v>
      </c>
      <c r="B1359" s="57" t="s">
        <v>3088</v>
      </c>
      <c r="C1359" s="57" t="s">
        <v>247</v>
      </c>
      <c r="D1359" s="58">
        <v>5.09</v>
      </c>
      <c r="E1359" s="58">
        <v>1547.04</v>
      </c>
      <c r="F1359" s="58">
        <v>3887846.0</v>
      </c>
      <c r="G1359" s="57" t="s">
        <v>3096</v>
      </c>
      <c r="H1359" s="57" t="s">
        <v>3097</v>
      </c>
      <c r="I1359" s="57"/>
      <c r="J1359" s="57"/>
      <c r="K1359" s="57"/>
      <c r="L1359" s="57"/>
      <c r="M1359" s="57"/>
      <c r="N1359" s="57"/>
      <c r="O1359" s="57"/>
      <c r="P1359" s="57"/>
      <c r="Q1359" s="57"/>
      <c r="R1359" s="57"/>
      <c r="S1359" s="57"/>
      <c r="T1359" s="57"/>
      <c r="U1359" s="57"/>
      <c r="V1359" s="57"/>
      <c r="W1359" s="57"/>
      <c r="X1359" s="57"/>
      <c r="Y1359" s="57"/>
      <c r="Z1359" s="57"/>
    </row>
    <row r="1360">
      <c r="A1360" s="58">
        <v>8624628.0</v>
      </c>
      <c r="B1360" s="57" t="s">
        <v>3088</v>
      </c>
      <c r="C1360" s="57" t="s">
        <v>247</v>
      </c>
      <c r="D1360" s="58">
        <v>3.45</v>
      </c>
      <c r="E1360" s="58">
        <v>1550.49</v>
      </c>
      <c r="F1360" s="58">
        <v>3896731.0</v>
      </c>
      <c r="G1360" s="57" t="s">
        <v>3098</v>
      </c>
      <c r="H1360" s="57" t="s">
        <v>3099</v>
      </c>
      <c r="I1360" s="57"/>
      <c r="J1360" s="57"/>
      <c r="K1360" s="57"/>
      <c r="L1360" s="57"/>
      <c r="M1360" s="57"/>
      <c r="N1360" s="57"/>
      <c r="O1360" s="57"/>
      <c r="P1360" s="57"/>
      <c r="Q1360" s="57"/>
      <c r="R1360" s="57"/>
      <c r="S1360" s="57"/>
      <c r="T1360" s="57"/>
      <c r="U1360" s="57"/>
      <c r="V1360" s="57"/>
      <c r="W1360" s="57"/>
      <c r="X1360" s="57"/>
      <c r="Y1360" s="57"/>
      <c r="Z1360" s="57"/>
    </row>
    <row r="1361">
      <c r="A1361" s="58">
        <v>8624434.0</v>
      </c>
      <c r="B1361" s="57" t="s">
        <v>3088</v>
      </c>
      <c r="C1361" s="57" t="s">
        <v>247</v>
      </c>
      <c r="D1361" s="58">
        <v>5.06</v>
      </c>
      <c r="E1361" s="58">
        <v>1555.55</v>
      </c>
      <c r="F1361" s="58">
        <v>3901659.0</v>
      </c>
      <c r="G1361" s="57" t="s">
        <v>3100</v>
      </c>
      <c r="H1361" s="57" t="s">
        <v>3101</v>
      </c>
      <c r="I1361" s="57"/>
      <c r="J1361" s="57"/>
      <c r="K1361" s="57"/>
      <c r="L1361" s="57"/>
      <c r="M1361" s="57"/>
      <c r="N1361" s="57"/>
      <c r="O1361" s="57"/>
      <c r="P1361" s="57"/>
      <c r="Q1361" s="57"/>
      <c r="R1361" s="57"/>
      <c r="S1361" s="57"/>
      <c r="T1361" s="57"/>
      <c r="U1361" s="57"/>
      <c r="V1361" s="57"/>
      <c r="W1361" s="57"/>
      <c r="X1361" s="57"/>
      <c r="Y1361" s="57"/>
      <c r="Z1361" s="57"/>
    </row>
    <row r="1362">
      <c r="A1362" s="58">
        <v>8624421.0</v>
      </c>
      <c r="B1362" s="57" t="s">
        <v>3088</v>
      </c>
      <c r="C1362" s="57" t="s">
        <v>247</v>
      </c>
      <c r="D1362" s="58">
        <v>5.06</v>
      </c>
      <c r="E1362" s="58">
        <v>1560.61</v>
      </c>
      <c r="F1362" s="58">
        <v>3885047.0</v>
      </c>
      <c r="G1362" s="57" t="s">
        <v>3102</v>
      </c>
      <c r="H1362" s="57" t="s">
        <v>3103</v>
      </c>
      <c r="I1362" s="57"/>
      <c r="J1362" s="57"/>
      <c r="K1362" s="57"/>
      <c r="L1362" s="57"/>
      <c r="M1362" s="57"/>
      <c r="N1362" s="57"/>
      <c r="O1362" s="57"/>
      <c r="P1362" s="57"/>
      <c r="Q1362" s="57"/>
      <c r="R1362" s="57"/>
      <c r="S1362" s="57"/>
      <c r="T1362" s="57"/>
      <c r="U1362" s="57"/>
      <c r="V1362" s="57"/>
      <c r="W1362" s="57"/>
      <c r="X1362" s="57"/>
      <c r="Y1362" s="57"/>
      <c r="Z1362" s="57"/>
    </row>
    <row r="1363">
      <c r="A1363" s="58">
        <v>8624025.0</v>
      </c>
      <c r="B1363" s="57" t="s">
        <v>3104</v>
      </c>
      <c r="C1363" s="57" t="s">
        <v>247</v>
      </c>
      <c r="D1363" s="58">
        <v>3.45</v>
      </c>
      <c r="E1363" s="58">
        <v>1564.06</v>
      </c>
      <c r="F1363" s="58">
        <v>3911111.0</v>
      </c>
      <c r="G1363" s="57" t="s">
        <v>3105</v>
      </c>
      <c r="H1363" s="57" t="s">
        <v>3106</v>
      </c>
      <c r="I1363" s="57"/>
      <c r="J1363" s="57"/>
      <c r="K1363" s="57"/>
      <c r="L1363" s="57"/>
      <c r="M1363" s="57"/>
      <c r="N1363" s="57"/>
      <c r="O1363" s="57"/>
      <c r="P1363" s="57"/>
      <c r="Q1363" s="57"/>
      <c r="R1363" s="57"/>
      <c r="S1363" s="57"/>
      <c r="T1363" s="57"/>
      <c r="U1363" s="57"/>
      <c r="V1363" s="57"/>
      <c r="W1363" s="57"/>
      <c r="X1363" s="57"/>
      <c r="Y1363" s="57"/>
      <c r="Z1363" s="57"/>
    </row>
    <row r="1364">
      <c r="A1364" s="58">
        <v>8624024.0</v>
      </c>
      <c r="B1364" s="57" t="s">
        <v>3104</v>
      </c>
      <c r="C1364" s="57" t="s">
        <v>247</v>
      </c>
      <c r="D1364" s="58">
        <v>5.06</v>
      </c>
      <c r="E1364" s="58">
        <v>1569.12</v>
      </c>
      <c r="F1364" s="58">
        <v>3885155.0</v>
      </c>
      <c r="G1364" s="57" t="s">
        <v>3107</v>
      </c>
      <c r="H1364" s="57" t="s">
        <v>3108</v>
      </c>
      <c r="I1364" s="57"/>
      <c r="J1364" s="57"/>
      <c r="K1364" s="57"/>
      <c r="L1364" s="57"/>
      <c r="M1364" s="57"/>
      <c r="N1364" s="57"/>
      <c r="O1364" s="57"/>
      <c r="P1364" s="57"/>
      <c r="Q1364" s="57"/>
      <c r="R1364" s="57"/>
      <c r="S1364" s="57"/>
      <c r="T1364" s="57"/>
      <c r="U1364" s="57"/>
      <c r="V1364" s="57"/>
      <c r="W1364" s="57"/>
      <c r="X1364" s="57"/>
      <c r="Y1364" s="57"/>
      <c r="Z1364" s="57"/>
    </row>
    <row r="1365">
      <c r="A1365" s="58">
        <v>8624023.0</v>
      </c>
      <c r="B1365" s="57" t="s">
        <v>3104</v>
      </c>
      <c r="C1365" s="57" t="s">
        <v>247</v>
      </c>
      <c r="D1365" s="58">
        <v>5.06</v>
      </c>
      <c r="E1365" s="58">
        <v>1574.18</v>
      </c>
      <c r="F1365" s="58">
        <v>3894778.0</v>
      </c>
      <c r="G1365" s="57" t="s">
        <v>3109</v>
      </c>
      <c r="H1365" s="57" t="s">
        <v>3110</v>
      </c>
      <c r="I1365" s="57"/>
      <c r="J1365" s="57"/>
      <c r="K1365" s="57"/>
      <c r="L1365" s="57"/>
      <c r="M1365" s="57"/>
      <c r="N1365" s="57"/>
      <c r="O1365" s="57"/>
      <c r="P1365" s="57"/>
      <c r="Q1365" s="57"/>
      <c r="R1365" s="57"/>
      <c r="S1365" s="57"/>
      <c r="T1365" s="57"/>
      <c r="U1365" s="57"/>
      <c r="V1365" s="57"/>
      <c r="W1365" s="57"/>
      <c r="X1365" s="57"/>
      <c r="Y1365" s="57"/>
      <c r="Z1365" s="57"/>
    </row>
    <row r="1366">
      <c r="A1366" s="58">
        <v>8624022.0</v>
      </c>
      <c r="B1366" s="57" t="s">
        <v>3104</v>
      </c>
      <c r="C1366" s="57" t="s">
        <v>247</v>
      </c>
      <c r="D1366" s="58">
        <v>3.45</v>
      </c>
      <c r="E1366" s="58">
        <v>1577.63</v>
      </c>
      <c r="F1366" s="58">
        <v>3884440.0</v>
      </c>
      <c r="G1366" s="57" t="s">
        <v>3111</v>
      </c>
      <c r="H1366" s="57" t="s">
        <v>3112</v>
      </c>
      <c r="I1366" s="57"/>
      <c r="J1366" s="57"/>
      <c r="K1366" s="57"/>
      <c r="L1366" s="57"/>
      <c r="M1366" s="57"/>
      <c r="N1366" s="57"/>
      <c r="O1366" s="57"/>
      <c r="P1366" s="57"/>
      <c r="Q1366" s="57"/>
      <c r="R1366" s="57"/>
      <c r="S1366" s="57"/>
      <c r="T1366" s="57"/>
      <c r="U1366" s="57"/>
      <c r="V1366" s="57"/>
      <c r="W1366" s="57"/>
      <c r="X1366" s="57"/>
      <c r="Y1366" s="57"/>
      <c r="Z1366" s="57"/>
    </row>
    <row r="1367">
      <c r="A1367" s="58">
        <v>8624021.0</v>
      </c>
      <c r="B1367" s="57" t="s">
        <v>3104</v>
      </c>
      <c r="C1367" s="57" t="s">
        <v>247</v>
      </c>
      <c r="D1367" s="58">
        <v>3.45</v>
      </c>
      <c r="E1367" s="58">
        <v>1581.08</v>
      </c>
      <c r="F1367" s="58">
        <v>3915822.0</v>
      </c>
      <c r="G1367" s="57" t="s">
        <v>3113</v>
      </c>
      <c r="H1367" s="57" t="s">
        <v>3114</v>
      </c>
      <c r="I1367" s="57"/>
      <c r="J1367" s="57"/>
      <c r="K1367" s="57"/>
      <c r="L1367" s="57"/>
      <c r="M1367" s="57"/>
      <c r="N1367" s="57"/>
      <c r="O1367" s="57"/>
      <c r="P1367" s="57"/>
      <c r="Q1367" s="57"/>
      <c r="R1367" s="57"/>
      <c r="S1367" s="57"/>
      <c r="T1367" s="57"/>
      <c r="U1367" s="57"/>
      <c r="V1367" s="57"/>
      <c r="W1367" s="57"/>
      <c r="X1367" s="57"/>
      <c r="Y1367" s="57"/>
      <c r="Z1367" s="57"/>
    </row>
    <row r="1368">
      <c r="A1368" s="58">
        <v>8624020.0</v>
      </c>
      <c r="B1368" s="57" t="s">
        <v>3104</v>
      </c>
      <c r="C1368" s="57" t="s">
        <v>247</v>
      </c>
      <c r="D1368" s="58">
        <v>5.06</v>
      </c>
      <c r="E1368" s="58">
        <v>1586.14</v>
      </c>
      <c r="F1368" s="58">
        <v>3885958.0</v>
      </c>
      <c r="G1368" s="57" t="s">
        <v>3115</v>
      </c>
      <c r="H1368" s="57" t="s">
        <v>3116</v>
      </c>
      <c r="I1368" s="57"/>
      <c r="J1368" s="57"/>
      <c r="K1368" s="57"/>
      <c r="L1368" s="57"/>
      <c r="M1368" s="57"/>
      <c r="N1368" s="57"/>
      <c r="O1368" s="57"/>
      <c r="P1368" s="57"/>
      <c r="Q1368" s="57"/>
      <c r="R1368" s="57"/>
      <c r="S1368" s="57"/>
      <c r="T1368" s="57"/>
      <c r="U1368" s="57"/>
      <c r="V1368" s="57"/>
      <c r="W1368" s="57"/>
      <c r="X1368" s="57"/>
      <c r="Y1368" s="57"/>
      <c r="Z1368" s="57"/>
    </row>
    <row r="1369">
      <c r="A1369" s="58">
        <v>8624019.0</v>
      </c>
      <c r="B1369" s="57" t="s">
        <v>3104</v>
      </c>
      <c r="C1369" s="57" t="s">
        <v>247</v>
      </c>
      <c r="D1369" s="58">
        <v>3.45</v>
      </c>
      <c r="E1369" s="58">
        <v>1589.59</v>
      </c>
      <c r="F1369" s="58">
        <v>3894644.0</v>
      </c>
      <c r="G1369" s="57" t="s">
        <v>3117</v>
      </c>
      <c r="H1369" s="57" t="s">
        <v>3118</v>
      </c>
      <c r="I1369" s="57"/>
      <c r="J1369" s="57"/>
      <c r="K1369" s="57"/>
      <c r="L1369" s="57"/>
      <c r="M1369" s="57"/>
      <c r="N1369" s="57"/>
      <c r="O1369" s="57"/>
      <c r="P1369" s="57"/>
      <c r="Q1369" s="57"/>
      <c r="R1369" s="57"/>
      <c r="S1369" s="57"/>
      <c r="T1369" s="57"/>
      <c r="U1369" s="57"/>
      <c r="V1369" s="57"/>
      <c r="W1369" s="57"/>
      <c r="X1369" s="57"/>
      <c r="Y1369" s="57"/>
      <c r="Z1369" s="57"/>
    </row>
    <row r="1370">
      <c r="A1370" s="58">
        <v>8624018.0</v>
      </c>
      <c r="B1370" s="57" t="s">
        <v>3104</v>
      </c>
      <c r="C1370" s="57" t="s">
        <v>247</v>
      </c>
      <c r="D1370" s="58">
        <v>5.64</v>
      </c>
      <c r="E1370" s="58">
        <v>1595.22</v>
      </c>
      <c r="F1370" s="58">
        <v>3886951.0</v>
      </c>
      <c r="G1370" s="57" t="s">
        <v>3119</v>
      </c>
      <c r="H1370" s="57" t="s">
        <v>3120</v>
      </c>
      <c r="I1370" s="57"/>
      <c r="J1370" s="57"/>
      <c r="K1370" s="57"/>
      <c r="L1370" s="57"/>
      <c r="M1370" s="57"/>
      <c r="N1370" s="57"/>
      <c r="O1370" s="57"/>
      <c r="P1370" s="57"/>
      <c r="Q1370" s="57"/>
      <c r="R1370" s="57"/>
      <c r="S1370" s="57"/>
      <c r="T1370" s="57"/>
      <c r="U1370" s="57"/>
      <c r="V1370" s="57"/>
      <c r="W1370" s="57"/>
      <c r="X1370" s="57"/>
      <c r="Y1370" s="57"/>
      <c r="Z1370" s="57"/>
    </row>
    <row r="1371">
      <c r="A1371" s="58">
        <v>8624017.0</v>
      </c>
      <c r="B1371" s="57" t="s">
        <v>3104</v>
      </c>
      <c r="C1371" s="57" t="s">
        <v>247</v>
      </c>
      <c r="D1371" s="58">
        <v>5.06</v>
      </c>
      <c r="E1371" s="58">
        <v>1600.28</v>
      </c>
      <c r="F1371" s="58">
        <v>3898244.0</v>
      </c>
      <c r="G1371" s="57" t="s">
        <v>3121</v>
      </c>
      <c r="H1371" s="57" t="s">
        <v>3122</v>
      </c>
      <c r="I1371" s="57"/>
      <c r="J1371" s="57"/>
      <c r="K1371" s="57"/>
      <c r="L1371" s="57"/>
      <c r="M1371" s="57"/>
      <c r="N1371" s="57"/>
      <c r="O1371" s="57"/>
      <c r="P1371" s="57"/>
      <c r="Q1371" s="57"/>
      <c r="R1371" s="57"/>
      <c r="S1371" s="57"/>
      <c r="T1371" s="57"/>
      <c r="U1371" s="57"/>
      <c r="V1371" s="57"/>
      <c r="W1371" s="57"/>
      <c r="X1371" s="57"/>
      <c r="Y1371" s="57"/>
      <c r="Z1371" s="57"/>
    </row>
    <row r="1372">
      <c r="A1372" s="58">
        <v>8623922.0</v>
      </c>
      <c r="B1372" s="57" t="s">
        <v>3123</v>
      </c>
      <c r="C1372" s="57" t="s">
        <v>247</v>
      </c>
      <c r="D1372" s="58">
        <v>3.45</v>
      </c>
      <c r="E1372" s="58">
        <v>1603.73</v>
      </c>
      <c r="F1372" s="58">
        <v>3915830.0</v>
      </c>
      <c r="G1372" s="57" t="s">
        <v>3124</v>
      </c>
      <c r="H1372" s="57" t="s">
        <v>3125</v>
      </c>
      <c r="I1372" s="57"/>
      <c r="J1372" s="57"/>
      <c r="K1372" s="57"/>
      <c r="L1372" s="57"/>
      <c r="M1372" s="57"/>
      <c r="N1372" s="57"/>
      <c r="O1372" s="57"/>
      <c r="P1372" s="57"/>
      <c r="Q1372" s="57"/>
      <c r="R1372" s="57"/>
      <c r="S1372" s="57"/>
      <c r="T1372" s="57"/>
      <c r="U1372" s="57"/>
      <c r="V1372" s="57"/>
      <c r="W1372" s="57"/>
      <c r="X1372" s="57"/>
      <c r="Y1372" s="57"/>
      <c r="Z1372" s="57"/>
    </row>
    <row r="1373">
      <c r="A1373" s="58">
        <v>8623821.0</v>
      </c>
      <c r="B1373" s="57" t="s">
        <v>3126</v>
      </c>
      <c r="C1373" s="57" t="s">
        <v>247</v>
      </c>
      <c r="D1373" s="58">
        <v>5.06</v>
      </c>
      <c r="E1373" s="58">
        <v>1608.79</v>
      </c>
      <c r="F1373" s="58">
        <v>3895653.0</v>
      </c>
      <c r="G1373" s="57" t="s">
        <v>3127</v>
      </c>
      <c r="H1373" s="57" t="s">
        <v>3128</v>
      </c>
      <c r="I1373" s="57"/>
      <c r="J1373" s="57"/>
      <c r="K1373" s="57"/>
      <c r="L1373" s="57"/>
      <c r="M1373" s="57"/>
      <c r="N1373" s="57"/>
      <c r="O1373" s="57"/>
      <c r="P1373" s="57"/>
      <c r="Q1373" s="57"/>
      <c r="R1373" s="57"/>
      <c r="S1373" s="57"/>
      <c r="T1373" s="57"/>
      <c r="U1373" s="57"/>
      <c r="V1373" s="57"/>
      <c r="W1373" s="57"/>
      <c r="X1373" s="57"/>
      <c r="Y1373" s="57"/>
      <c r="Z1373" s="57"/>
    </row>
    <row r="1374">
      <c r="A1374" s="58">
        <v>8617741.0</v>
      </c>
      <c r="B1374" s="57" t="s">
        <v>3129</v>
      </c>
      <c r="C1374" s="57" t="s">
        <v>210</v>
      </c>
      <c r="D1374" s="58">
        <v>7.18</v>
      </c>
      <c r="E1374" s="58">
        <v>1601.61</v>
      </c>
      <c r="F1374" s="58">
        <v>4027724.0</v>
      </c>
      <c r="G1374" s="58">
        <v>1.869321E8</v>
      </c>
      <c r="H1374" s="57" t="s">
        <v>3130</v>
      </c>
      <c r="I1374" s="57"/>
      <c r="J1374" s="57"/>
      <c r="K1374" s="57"/>
      <c r="L1374" s="57"/>
      <c r="M1374" s="57"/>
      <c r="N1374" s="57"/>
      <c r="O1374" s="57"/>
      <c r="P1374" s="57"/>
      <c r="Q1374" s="57"/>
      <c r="R1374" s="57"/>
      <c r="S1374" s="57"/>
      <c r="T1374" s="57"/>
      <c r="U1374" s="57"/>
      <c r="V1374" s="57"/>
      <c r="W1374" s="57"/>
      <c r="X1374" s="57"/>
      <c r="Y1374" s="57"/>
      <c r="Z1374" s="57"/>
    </row>
    <row r="1375">
      <c r="A1375" s="58">
        <v>8604090.0</v>
      </c>
      <c r="B1375" s="57" t="s">
        <v>3131</v>
      </c>
      <c r="C1375" s="57" t="s">
        <v>210</v>
      </c>
      <c r="D1375" s="58">
        <v>7.33</v>
      </c>
      <c r="E1375" s="58">
        <v>1594.28</v>
      </c>
      <c r="F1375" s="58">
        <v>3966881.0</v>
      </c>
      <c r="G1375" s="58">
        <v>1.86910773E8</v>
      </c>
      <c r="H1375" s="57" t="s">
        <v>3132</v>
      </c>
      <c r="I1375" s="57"/>
      <c r="J1375" s="57"/>
      <c r="K1375" s="57"/>
      <c r="L1375" s="57"/>
      <c r="M1375" s="57"/>
      <c r="N1375" s="57"/>
      <c r="O1375" s="57"/>
      <c r="P1375" s="57"/>
      <c r="Q1375" s="57"/>
      <c r="R1375" s="57"/>
      <c r="S1375" s="57"/>
      <c r="T1375" s="57"/>
      <c r="U1375" s="57"/>
      <c r="V1375" s="57"/>
      <c r="W1375" s="57"/>
      <c r="X1375" s="57"/>
      <c r="Y1375" s="57"/>
      <c r="Z1375" s="57"/>
    </row>
    <row r="1376">
      <c r="A1376" s="58">
        <v>8603163.0</v>
      </c>
      <c r="B1376" s="57" t="s">
        <v>3133</v>
      </c>
      <c r="C1376" s="57" t="s">
        <v>210</v>
      </c>
      <c r="D1376" s="58">
        <v>9.24</v>
      </c>
      <c r="E1376" s="58">
        <v>1585.04</v>
      </c>
      <c r="F1376" s="58">
        <v>3955558.0</v>
      </c>
      <c r="G1376" s="57" t="s">
        <v>3134</v>
      </c>
      <c r="H1376" s="57" t="s">
        <v>3135</v>
      </c>
      <c r="I1376" s="57"/>
      <c r="J1376" s="57"/>
      <c r="K1376" s="57"/>
      <c r="L1376" s="57"/>
      <c r="M1376" s="57"/>
      <c r="N1376" s="57"/>
      <c r="O1376" s="57"/>
      <c r="P1376" s="57"/>
      <c r="Q1376" s="57"/>
      <c r="R1376" s="57"/>
      <c r="S1376" s="57"/>
      <c r="T1376" s="57"/>
      <c r="U1376" s="57"/>
      <c r="V1376" s="57"/>
      <c r="W1376" s="57"/>
      <c r="X1376" s="57"/>
      <c r="Y1376" s="57"/>
      <c r="Z1376" s="57"/>
    </row>
    <row r="1377">
      <c r="A1377" s="58">
        <v>8601497.0</v>
      </c>
      <c r="B1377" s="57" t="s">
        <v>3133</v>
      </c>
      <c r="C1377" s="57" t="s">
        <v>210</v>
      </c>
      <c r="D1377" s="58">
        <v>9.24</v>
      </c>
      <c r="E1377" s="58">
        <v>1575.8</v>
      </c>
      <c r="F1377" s="58">
        <v>3900989.0</v>
      </c>
      <c r="G1377" s="57" t="s">
        <v>3136</v>
      </c>
      <c r="H1377" s="57" t="s">
        <v>3137</v>
      </c>
      <c r="I1377" s="57"/>
      <c r="J1377" s="57"/>
      <c r="K1377" s="57"/>
      <c r="L1377" s="57"/>
      <c r="M1377" s="57"/>
      <c r="N1377" s="57"/>
      <c r="O1377" s="57"/>
      <c r="P1377" s="57"/>
      <c r="Q1377" s="57"/>
      <c r="R1377" s="57"/>
      <c r="S1377" s="57"/>
      <c r="T1377" s="57"/>
      <c r="U1377" s="57"/>
      <c r="V1377" s="57"/>
      <c r="W1377" s="57"/>
      <c r="X1377" s="57"/>
      <c r="Y1377" s="57"/>
      <c r="Z1377" s="57"/>
    </row>
    <row r="1378">
      <c r="A1378" s="58">
        <v>8600705.0</v>
      </c>
      <c r="B1378" s="57" t="s">
        <v>3133</v>
      </c>
      <c r="C1378" s="57" t="s">
        <v>210</v>
      </c>
      <c r="D1378" s="58">
        <v>9.5</v>
      </c>
      <c r="E1378" s="58">
        <v>1566.3</v>
      </c>
      <c r="F1378" s="58">
        <v>3691411.0</v>
      </c>
      <c r="G1378" s="58">
        <v>1.87295774E8</v>
      </c>
      <c r="H1378" s="57" t="s">
        <v>3138</v>
      </c>
      <c r="I1378" s="57"/>
      <c r="J1378" s="57"/>
      <c r="K1378" s="57"/>
      <c r="L1378" s="57"/>
      <c r="M1378" s="57"/>
      <c r="N1378" s="57"/>
      <c r="O1378" s="57"/>
      <c r="P1378" s="57"/>
      <c r="Q1378" s="57"/>
      <c r="R1378" s="57"/>
      <c r="S1378" s="57"/>
      <c r="T1378" s="57"/>
      <c r="U1378" s="57"/>
      <c r="V1378" s="57"/>
      <c r="W1378" s="57"/>
      <c r="X1378" s="57"/>
      <c r="Y1378" s="57"/>
      <c r="Z1378" s="57"/>
    </row>
    <row r="1379">
      <c r="A1379" s="58">
        <v>8599498.0</v>
      </c>
      <c r="B1379" s="57" t="s">
        <v>3139</v>
      </c>
      <c r="C1379" s="57" t="s">
        <v>247</v>
      </c>
      <c r="D1379" s="58">
        <v>500.0</v>
      </c>
      <c r="E1379" s="58">
        <v>2066.3</v>
      </c>
      <c r="F1379" s="57"/>
      <c r="G1379" s="57"/>
      <c r="H1379" s="57" t="s">
        <v>361</v>
      </c>
      <c r="I1379" s="57"/>
      <c r="J1379" s="57" t="s">
        <v>3140</v>
      </c>
      <c r="K1379" s="57"/>
      <c r="L1379" s="57"/>
      <c r="M1379" s="57"/>
      <c r="N1379" s="57"/>
      <c r="O1379" s="57"/>
      <c r="P1379" s="57"/>
      <c r="Q1379" s="57"/>
      <c r="R1379" s="57"/>
      <c r="S1379" s="57"/>
      <c r="T1379" s="57"/>
      <c r="U1379" s="57"/>
      <c r="V1379" s="57"/>
      <c r="W1379" s="57"/>
      <c r="X1379" s="57"/>
      <c r="Y1379" s="57"/>
      <c r="Z1379" s="57"/>
    </row>
    <row r="1380">
      <c r="A1380" s="58">
        <v>8596792.0</v>
      </c>
      <c r="B1380" s="57" t="s">
        <v>3141</v>
      </c>
      <c r="C1380" s="57" t="s">
        <v>247</v>
      </c>
      <c r="D1380" s="58">
        <v>0.85</v>
      </c>
      <c r="E1380" s="58">
        <v>2067.15</v>
      </c>
      <c r="F1380" s="58">
        <v>3845274.0</v>
      </c>
      <c r="G1380" s="58">
        <v>1.87365689E8</v>
      </c>
      <c r="H1380" s="57" t="s">
        <v>3142</v>
      </c>
      <c r="I1380" s="57"/>
      <c r="J1380" s="57"/>
      <c r="K1380" s="57"/>
      <c r="L1380" s="57"/>
      <c r="M1380" s="57"/>
      <c r="N1380" s="57"/>
      <c r="O1380" s="57"/>
      <c r="P1380" s="57"/>
      <c r="Q1380" s="57"/>
      <c r="R1380" s="57"/>
      <c r="S1380" s="57"/>
      <c r="T1380" s="57"/>
      <c r="U1380" s="57"/>
      <c r="V1380" s="57"/>
      <c r="W1380" s="57"/>
      <c r="X1380" s="57"/>
      <c r="Y1380" s="57"/>
      <c r="Z1380" s="57"/>
    </row>
    <row r="1381">
      <c r="A1381" s="58">
        <v>8596789.0</v>
      </c>
      <c r="B1381" s="57" t="s">
        <v>3141</v>
      </c>
      <c r="C1381" s="57" t="s">
        <v>247</v>
      </c>
      <c r="D1381" s="58">
        <v>7.85</v>
      </c>
      <c r="E1381" s="58">
        <v>2075.0</v>
      </c>
      <c r="F1381" s="58">
        <v>3845274.0</v>
      </c>
      <c r="G1381" s="58">
        <v>1.87365689E8</v>
      </c>
      <c r="H1381" s="57" t="s">
        <v>3143</v>
      </c>
      <c r="I1381" s="57"/>
      <c r="J1381" s="57"/>
      <c r="K1381" s="57"/>
      <c r="L1381" s="57"/>
      <c r="M1381" s="57"/>
      <c r="N1381" s="57"/>
      <c r="O1381" s="57"/>
      <c r="P1381" s="57"/>
      <c r="Q1381" s="57"/>
      <c r="R1381" s="57"/>
      <c r="S1381" s="57"/>
      <c r="T1381" s="57"/>
      <c r="U1381" s="57"/>
      <c r="V1381" s="57"/>
      <c r="W1381" s="57"/>
      <c r="X1381" s="57"/>
      <c r="Y1381" s="57"/>
      <c r="Z1381" s="57"/>
    </row>
    <row r="1382">
      <c r="A1382" s="58">
        <v>8595635.0</v>
      </c>
      <c r="B1382" s="57" t="s">
        <v>3141</v>
      </c>
      <c r="C1382" s="57" t="s">
        <v>247</v>
      </c>
      <c r="D1382" s="58">
        <v>0.85</v>
      </c>
      <c r="E1382" s="58">
        <v>2075.85</v>
      </c>
      <c r="F1382" s="58">
        <v>3871735.0</v>
      </c>
      <c r="G1382" s="58">
        <v>1.87370074E8</v>
      </c>
      <c r="H1382" s="57" t="s">
        <v>3144</v>
      </c>
      <c r="I1382" s="57"/>
      <c r="J1382" s="57"/>
      <c r="K1382" s="57"/>
      <c r="L1382" s="57"/>
      <c r="M1382" s="57"/>
      <c r="N1382" s="57"/>
      <c r="O1382" s="57"/>
      <c r="P1382" s="57"/>
      <c r="Q1382" s="57"/>
      <c r="R1382" s="57"/>
      <c r="S1382" s="57"/>
      <c r="T1382" s="57"/>
      <c r="U1382" s="57"/>
      <c r="V1382" s="57"/>
      <c r="W1382" s="57"/>
      <c r="X1382" s="57"/>
      <c r="Y1382" s="57"/>
      <c r="Z1382" s="57"/>
    </row>
    <row r="1383">
      <c r="A1383" s="58">
        <v>8595631.0</v>
      </c>
      <c r="B1383" s="57" t="s">
        <v>3141</v>
      </c>
      <c r="C1383" s="57" t="s">
        <v>247</v>
      </c>
      <c r="D1383" s="58">
        <v>6.34</v>
      </c>
      <c r="E1383" s="58">
        <v>2082.19</v>
      </c>
      <c r="F1383" s="58">
        <v>3871735.0</v>
      </c>
      <c r="G1383" s="58">
        <v>1.87370074E8</v>
      </c>
      <c r="H1383" s="57" t="s">
        <v>3145</v>
      </c>
      <c r="I1383" s="57"/>
      <c r="J1383" s="57"/>
      <c r="K1383" s="57"/>
      <c r="L1383" s="57"/>
      <c r="M1383" s="57"/>
      <c r="N1383" s="57"/>
      <c r="O1383" s="57"/>
      <c r="P1383" s="57"/>
      <c r="Q1383" s="57"/>
      <c r="R1383" s="57"/>
      <c r="S1383" s="57"/>
      <c r="T1383" s="57"/>
      <c r="U1383" s="57"/>
      <c r="V1383" s="57"/>
      <c r="W1383" s="57"/>
      <c r="X1383" s="57"/>
      <c r="Y1383" s="57"/>
      <c r="Z1383" s="57"/>
    </row>
    <row r="1384">
      <c r="A1384" s="58">
        <v>8584549.0</v>
      </c>
      <c r="B1384" s="57" t="s">
        <v>3146</v>
      </c>
      <c r="C1384" s="57" t="s">
        <v>210</v>
      </c>
      <c r="D1384" s="58">
        <v>9.24</v>
      </c>
      <c r="E1384" s="58">
        <v>2072.95</v>
      </c>
      <c r="F1384" s="58">
        <v>3991275.0</v>
      </c>
      <c r="G1384" s="57" t="s">
        <v>3147</v>
      </c>
      <c r="H1384" s="57" t="s">
        <v>3148</v>
      </c>
      <c r="I1384" s="57"/>
      <c r="J1384" s="57"/>
      <c r="K1384" s="57"/>
      <c r="L1384" s="57"/>
      <c r="M1384" s="57"/>
      <c r="N1384" s="57"/>
      <c r="O1384" s="57"/>
      <c r="P1384" s="57"/>
      <c r="Q1384" s="57"/>
      <c r="R1384" s="57"/>
      <c r="S1384" s="57"/>
      <c r="T1384" s="57"/>
      <c r="U1384" s="57"/>
      <c r="V1384" s="57"/>
      <c r="W1384" s="57"/>
      <c r="X1384" s="57"/>
      <c r="Y1384" s="57"/>
      <c r="Z1384" s="57"/>
    </row>
    <row r="1385">
      <c r="A1385" s="58">
        <v>8583023.0</v>
      </c>
      <c r="B1385" s="57" t="s">
        <v>3149</v>
      </c>
      <c r="C1385" s="57" t="s">
        <v>210</v>
      </c>
      <c r="D1385" s="58">
        <v>9.24</v>
      </c>
      <c r="E1385" s="58">
        <v>2063.71</v>
      </c>
      <c r="F1385" s="58">
        <v>3986293.0</v>
      </c>
      <c r="G1385" s="57" t="s">
        <v>3150</v>
      </c>
      <c r="H1385" s="57" t="s">
        <v>3151</v>
      </c>
      <c r="I1385" s="57"/>
      <c r="J1385" s="57"/>
      <c r="K1385" s="57"/>
      <c r="L1385" s="57"/>
      <c r="M1385" s="57"/>
      <c r="N1385" s="57"/>
      <c r="O1385" s="57"/>
      <c r="P1385" s="57"/>
      <c r="Q1385" s="57"/>
      <c r="R1385" s="57"/>
      <c r="S1385" s="57"/>
      <c r="T1385" s="57"/>
      <c r="U1385" s="57"/>
      <c r="V1385" s="57"/>
      <c r="W1385" s="57"/>
      <c r="X1385" s="57"/>
      <c r="Y1385" s="57"/>
      <c r="Z1385" s="57"/>
    </row>
    <row r="1386">
      <c r="A1386" s="58">
        <v>8578791.0</v>
      </c>
      <c r="B1386" s="57" t="s">
        <v>3152</v>
      </c>
      <c r="C1386" s="57" t="s">
        <v>210</v>
      </c>
      <c r="D1386" s="58">
        <v>10.65</v>
      </c>
      <c r="E1386" s="58">
        <v>2053.06</v>
      </c>
      <c r="F1386" s="58">
        <v>3969348.0</v>
      </c>
      <c r="G1386" s="57" t="s">
        <v>3153</v>
      </c>
      <c r="H1386" s="57" t="s">
        <v>3154</v>
      </c>
      <c r="I1386" s="57"/>
      <c r="J1386" s="57"/>
      <c r="K1386" s="57"/>
      <c r="L1386" s="57"/>
      <c r="M1386" s="57"/>
      <c r="N1386" s="57"/>
      <c r="O1386" s="57"/>
      <c r="P1386" s="57"/>
      <c r="Q1386" s="57"/>
      <c r="R1386" s="57"/>
      <c r="S1386" s="57"/>
      <c r="T1386" s="57"/>
      <c r="U1386" s="57"/>
      <c r="V1386" s="57"/>
      <c r="W1386" s="57"/>
      <c r="X1386" s="57"/>
      <c r="Y1386" s="57"/>
      <c r="Z1386" s="57"/>
    </row>
    <row r="1387">
      <c r="A1387" s="58">
        <v>8578559.0</v>
      </c>
      <c r="B1387" s="57" t="s">
        <v>3152</v>
      </c>
      <c r="C1387" s="57" t="s">
        <v>210</v>
      </c>
      <c r="D1387" s="58">
        <v>9.24</v>
      </c>
      <c r="E1387" s="58">
        <v>2043.82</v>
      </c>
      <c r="F1387" s="58">
        <v>3968379.0</v>
      </c>
      <c r="G1387" s="57" t="s">
        <v>3155</v>
      </c>
      <c r="H1387" s="57" t="s">
        <v>3156</v>
      </c>
      <c r="I1387" s="57"/>
      <c r="J1387" s="57"/>
      <c r="K1387" s="57"/>
      <c r="L1387" s="57"/>
      <c r="M1387" s="57"/>
      <c r="N1387" s="57"/>
      <c r="O1387" s="57"/>
      <c r="P1387" s="57"/>
      <c r="Q1387" s="57"/>
      <c r="R1387" s="57"/>
      <c r="S1387" s="57"/>
      <c r="T1387" s="57"/>
      <c r="U1387" s="57"/>
      <c r="V1387" s="57"/>
      <c r="W1387" s="57"/>
      <c r="X1387" s="57"/>
      <c r="Y1387" s="57"/>
      <c r="Z1387" s="57"/>
    </row>
    <row r="1388">
      <c r="A1388" s="58">
        <v>8578060.0</v>
      </c>
      <c r="B1388" s="57" t="s">
        <v>3152</v>
      </c>
      <c r="C1388" s="57" t="s">
        <v>210</v>
      </c>
      <c r="D1388" s="58">
        <v>9.24</v>
      </c>
      <c r="E1388" s="58">
        <v>2034.58</v>
      </c>
      <c r="F1388" s="58">
        <v>3965603.0</v>
      </c>
      <c r="G1388" s="57" t="s">
        <v>3157</v>
      </c>
      <c r="H1388" s="57" t="s">
        <v>3158</v>
      </c>
      <c r="I1388" s="57"/>
      <c r="J1388" s="57"/>
      <c r="K1388" s="57"/>
      <c r="L1388" s="57"/>
      <c r="M1388" s="57"/>
      <c r="N1388" s="57"/>
      <c r="O1388" s="57"/>
      <c r="P1388" s="57"/>
      <c r="Q1388" s="57"/>
      <c r="R1388" s="57"/>
      <c r="S1388" s="57"/>
      <c r="T1388" s="57"/>
      <c r="U1388" s="57"/>
      <c r="V1388" s="57"/>
      <c r="W1388" s="57"/>
      <c r="X1388" s="57"/>
      <c r="Y1388" s="57"/>
      <c r="Z1388" s="57"/>
    </row>
    <row r="1389">
      <c r="A1389" s="58">
        <v>8578050.0</v>
      </c>
      <c r="B1389" s="57" t="s">
        <v>3152</v>
      </c>
      <c r="C1389" s="57" t="s">
        <v>210</v>
      </c>
      <c r="D1389" s="58">
        <v>13.84</v>
      </c>
      <c r="E1389" s="58">
        <v>2020.74</v>
      </c>
      <c r="F1389" s="58">
        <v>3965560.0</v>
      </c>
      <c r="G1389" s="57" t="s">
        <v>3159</v>
      </c>
      <c r="H1389" s="57" t="s">
        <v>3160</v>
      </c>
      <c r="I1389" s="57"/>
      <c r="J1389" s="57"/>
      <c r="K1389" s="57"/>
      <c r="L1389" s="57"/>
      <c r="M1389" s="57"/>
      <c r="N1389" s="57"/>
      <c r="O1389" s="57"/>
      <c r="P1389" s="57"/>
      <c r="Q1389" s="57"/>
      <c r="R1389" s="57"/>
      <c r="S1389" s="57"/>
      <c r="T1389" s="57"/>
      <c r="U1389" s="57"/>
      <c r="V1389" s="57"/>
      <c r="W1389" s="57"/>
      <c r="X1389" s="57"/>
      <c r="Y1389" s="57"/>
      <c r="Z1389" s="57"/>
    </row>
    <row r="1390">
      <c r="A1390" s="58">
        <v>8577876.0</v>
      </c>
      <c r="B1390" s="57" t="s">
        <v>3152</v>
      </c>
      <c r="C1390" s="57" t="s">
        <v>210</v>
      </c>
      <c r="D1390" s="58">
        <v>9.24</v>
      </c>
      <c r="E1390" s="58">
        <v>2011.5</v>
      </c>
      <c r="F1390" s="58">
        <v>3964428.0</v>
      </c>
      <c r="G1390" s="57" t="s">
        <v>3161</v>
      </c>
      <c r="H1390" s="57" t="s">
        <v>3162</v>
      </c>
      <c r="I1390" s="57"/>
      <c r="J1390" s="57"/>
      <c r="K1390" s="57"/>
      <c r="L1390" s="57"/>
      <c r="M1390" s="57"/>
      <c r="N1390" s="57"/>
      <c r="O1390" s="57"/>
      <c r="P1390" s="57"/>
      <c r="Q1390" s="57"/>
      <c r="R1390" s="57"/>
      <c r="S1390" s="57"/>
      <c r="T1390" s="57"/>
      <c r="U1390" s="57"/>
      <c r="V1390" s="57"/>
      <c r="W1390" s="57"/>
      <c r="X1390" s="57"/>
      <c r="Y1390" s="57"/>
      <c r="Z1390" s="57"/>
    </row>
    <row r="1391">
      <c r="A1391" s="58">
        <v>8577658.0</v>
      </c>
      <c r="B1391" s="57" t="s">
        <v>3152</v>
      </c>
      <c r="C1391" s="57" t="s">
        <v>210</v>
      </c>
      <c r="D1391" s="58">
        <v>9.24</v>
      </c>
      <c r="E1391" s="58">
        <v>2002.26</v>
      </c>
      <c r="F1391" s="58">
        <v>3962717.0</v>
      </c>
      <c r="G1391" s="57" t="s">
        <v>3163</v>
      </c>
      <c r="H1391" s="57" t="s">
        <v>3164</v>
      </c>
      <c r="I1391" s="57"/>
      <c r="J1391" s="57"/>
      <c r="K1391" s="57"/>
      <c r="L1391" s="57"/>
      <c r="M1391" s="57"/>
      <c r="N1391" s="57"/>
      <c r="O1391" s="57"/>
      <c r="P1391" s="57"/>
      <c r="Q1391" s="57"/>
      <c r="R1391" s="57"/>
      <c r="S1391" s="57"/>
      <c r="T1391" s="57"/>
      <c r="U1391" s="57"/>
      <c r="V1391" s="57"/>
      <c r="W1391" s="57"/>
      <c r="X1391" s="57"/>
      <c r="Y1391" s="57"/>
      <c r="Z1391" s="57"/>
    </row>
    <row r="1392">
      <c r="A1392" s="58">
        <v>8577585.0</v>
      </c>
      <c r="B1392" s="57" t="s">
        <v>3152</v>
      </c>
      <c r="C1392" s="57" t="s">
        <v>210</v>
      </c>
      <c r="D1392" s="58">
        <v>9.24</v>
      </c>
      <c r="E1392" s="58">
        <v>1993.02</v>
      </c>
      <c r="F1392" s="58">
        <v>3962066.0</v>
      </c>
      <c r="G1392" s="57" t="s">
        <v>3165</v>
      </c>
      <c r="H1392" s="57" t="s">
        <v>3166</v>
      </c>
      <c r="I1392" s="57"/>
      <c r="J1392" s="57"/>
      <c r="K1392" s="57"/>
      <c r="L1392" s="57"/>
      <c r="M1392" s="57"/>
      <c r="N1392" s="57"/>
      <c r="O1392" s="57"/>
      <c r="P1392" s="57"/>
      <c r="Q1392" s="57"/>
      <c r="R1392" s="57"/>
      <c r="S1392" s="57"/>
      <c r="T1392" s="57"/>
      <c r="U1392" s="57"/>
      <c r="V1392" s="57"/>
      <c r="W1392" s="57"/>
      <c r="X1392" s="57"/>
      <c r="Y1392" s="57"/>
      <c r="Z1392" s="57"/>
    </row>
    <row r="1393">
      <c r="A1393" s="58">
        <v>8577499.0</v>
      </c>
      <c r="B1393" s="57" t="s">
        <v>3152</v>
      </c>
      <c r="C1393" s="57" t="s">
        <v>210</v>
      </c>
      <c r="D1393" s="58">
        <v>13.27</v>
      </c>
      <c r="E1393" s="58">
        <v>1979.75</v>
      </c>
      <c r="F1393" s="58">
        <v>3961502.0</v>
      </c>
      <c r="G1393" s="57" t="s">
        <v>3167</v>
      </c>
      <c r="H1393" s="57" t="s">
        <v>3168</v>
      </c>
      <c r="I1393" s="57"/>
      <c r="J1393" s="57"/>
      <c r="K1393" s="57"/>
      <c r="L1393" s="57"/>
      <c r="M1393" s="57"/>
      <c r="N1393" s="57"/>
      <c r="O1393" s="57"/>
      <c r="P1393" s="57"/>
      <c r="Q1393" s="57"/>
      <c r="R1393" s="57"/>
      <c r="S1393" s="57"/>
      <c r="T1393" s="57"/>
      <c r="U1393" s="57"/>
      <c r="V1393" s="57"/>
      <c r="W1393" s="57"/>
      <c r="X1393" s="57"/>
      <c r="Y1393" s="57"/>
      <c r="Z1393" s="57"/>
    </row>
    <row r="1394">
      <c r="A1394" s="58">
        <v>8577004.0</v>
      </c>
      <c r="B1394" s="57" t="s">
        <v>3152</v>
      </c>
      <c r="C1394" s="57" t="s">
        <v>210</v>
      </c>
      <c r="D1394" s="58">
        <v>13.84</v>
      </c>
      <c r="E1394" s="58">
        <v>1965.91</v>
      </c>
      <c r="F1394" s="58">
        <v>3958858.0</v>
      </c>
      <c r="G1394" s="57" t="s">
        <v>3169</v>
      </c>
      <c r="H1394" s="57" t="s">
        <v>3170</v>
      </c>
      <c r="I1394" s="57"/>
      <c r="J1394" s="57"/>
      <c r="K1394" s="57"/>
      <c r="L1394" s="57"/>
      <c r="M1394" s="57"/>
      <c r="N1394" s="57"/>
      <c r="O1394" s="57"/>
      <c r="P1394" s="57"/>
      <c r="Q1394" s="57"/>
      <c r="R1394" s="57"/>
      <c r="S1394" s="57"/>
      <c r="T1394" s="57"/>
      <c r="U1394" s="57"/>
      <c r="V1394" s="57"/>
      <c r="W1394" s="57"/>
      <c r="X1394" s="57"/>
      <c r="Y1394" s="57"/>
      <c r="Z1394" s="57"/>
    </row>
    <row r="1395">
      <c r="A1395" s="58">
        <v>8576599.0</v>
      </c>
      <c r="B1395" s="57" t="s">
        <v>3152</v>
      </c>
      <c r="C1395" s="57" t="s">
        <v>210</v>
      </c>
      <c r="D1395" s="58">
        <v>9.24</v>
      </c>
      <c r="E1395" s="58">
        <v>1956.67</v>
      </c>
      <c r="F1395" s="58">
        <v>3955860.0</v>
      </c>
      <c r="G1395" s="57" t="s">
        <v>3171</v>
      </c>
      <c r="H1395" s="57" t="s">
        <v>3172</v>
      </c>
      <c r="I1395" s="57"/>
      <c r="J1395" s="57"/>
      <c r="K1395" s="57"/>
      <c r="L1395" s="57"/>
      <c r="M1395" s="57"/>
      <c r="N1395" s="57"/>
      <c r="O1395" s="57"/>
      <c r="P1395" s="57"/>
      <c r="Q1395" s="57"/>
      <c r="R1395" s="57"/>
      <c r="S1395" s="57"/>
      <c r="T1395" s="57"/>
      <c r="U1395" s="57"/>
      <c r="V1395" s="57"/>
      <c r="W1395" s="57"/>
      <c r="X1395" s="57"/>
      <c r="Y1395" s="57"/>
      <c r="Z1395" s="57"/>
    </row>
    <row r="1396">
      <c r="A1396" s="58">
        <v>8576513.0</v>
      </c>
      <c r="B1396" s="57" t="s">
        <v>3152</v>
      </c>
      <c r="C1396" s="57" t="s">
        <v>210</v>
      </c>
      <c r="D1396" s="58">
        <v>9.24</v>
      </c>
      <c r="E1396" s="58">
        <v>1947.43</v>
      </c>
      <c r="F1396" s="58">
        <v>3955210.0</v>
      </c>
      <c r="G1396" s="57" t="s">
        <v>3173</v>
      </c>
      <c r="H1396" s="57" t="s">
        <v>3174</v>
      </c>
      <c r="I1396" s="57"/>
      <c r="J1396" s="57"/>
      <c r="K1396" s="57"/>
      <c r="L1396" s="57"/>
      <c r="M1396" s="57"/>
      <c r="N1396" s="57"/>
      <c r="O1396" s="57"/>
      <c r="P1396" s="57"/>
      <c r="Q1396" s="57"/>
      <c r="R1396" s="57"/>
      <c r="S1396" s="57"/>
      <c r="T1396" s="57"/>
      <c r="U1396" s="57"/>
      <c r="V1396" s="57"/>
      <c r="W1396" s="57"/>
      <c r="X1396" s="57"/>
      <c r="Y1396" s="57"/>
      <c r="Z1396" s="57"/>
    </row>
    <row r="1397">
      <c r="A1397" s="58">
        <v>8576309.0</v>
      </c>
      <c r="B1397" s="57" t="s">
        <v>3175</v>
      </c>
      <c r="C1397" s="57" t="s">
        <v>210</v>
      </c>
      <c r="D1397" s="58">
        <v>10.85</v>
      </c>
      <c r="E1397" s="58">
        <v>1936.58</v>
      </c>
      <c r="F1397" s="58">
        <v>3953614.0</v>
      </c>
      <c r="G1397" s="57" t="s">
        <v>3176</v>
      </c>
      <c r="H1397" s="57" t="s">
        <v>3177</v>
      </c>
      <c r="I1397" s="57"/>
      <c r="J1397" s="57"/>
      <c r="K1397" s="57"/>
      <c r="L1397" s="57"/>
      <c r="M1397" s="57"/>
      <c r="N1397" s="57"/>
      <c r="O1397" s="57"/>
      <c r="P1397" s="57"/>
      <c r="Q1397" s="57"/>
      <c r="R1397" s="57"/>
      <c r="S1397" s="57"/>
      <c r="T1397" s="57"/>
      <c r="U1397" s="57"/>
      <c r="V1397" s="57"/>
      <c r="W1397" s="57"/>
      <c r="X1397" s="57"/>
      <c r="Y1397" s="57"/>
      <c r="Z1397" s="57"/>
    </row>
    <row r="1398">
      <c r="A1398" s="58">
        <v>8576039.0</v>
      </c>
      <c r="B1398" s="57" t="s">
        <v>3175</v>
      </c>
      <c r="C1398" s="57" t="s">
        <v>210</v>
      </c>
      <c r="D1398" s="58">
        <v>13.84</v>
      </c>
      <c r="E1398" s="58">
        <v>1922.74</v>
      </c>
      <c r="F1398" s="58">
        <v>3951105.0</v>
      </c>
      <c r="G1398" s="57" t="s">
        <v>3178</v>
      </c>
      <c r="H1398" s="57" t="s">
        <v>3179</v>
      </c>
      <c r="I1398" s="57"/>
      <c r="J1398" s="57"/>
      <c r="K1398" s="57"/>
      <c r="L1398" s="57"/>
      <c r="M1398" s="57"/>
      <c r="N1398" s="57"/>
      <c r="O1398" s="57"/>
      <c r="P1398" s="57"/>
      <c r="Q1398" s="57"/>
      <c r="R1398" s="57"/>
      <c r="S1398" s="57"/>
      <c r="T1398" s="57"/>
      <c r="U1398" s="57"/>
      <c r="V1398" s="57"/>
      <c r="W1398" s="57"/>
      <c r="X1398" s="57"/>
      <c r="Y1398" s="57"/>
      <c r="Z1398" s="57"/>
    </row>
    <row r="1399">
      <c r="A1399" s="58">
        <v>8575850.0</v>
      </c>
      <c r="B1399" s="57" t="s">
        <v>3175</v>
      </c>
      <c r="C1399" s="57" t="s">
        <v>210</v>
      </c>
      <c r="D1399" s="58">
        <v>9.24</v>
      </c>
      <c r="E1399" s="58">
        <v>1913.5</v>
      </c>
      <c r="F1399" s="58">
        <v>3949313.0</v>
      </c>
      <c r="G1399" s="57" t="s">
        <v>3180</v>
      </c>
      <c r="H1399" s="57" t="s">
        <v>3181</v>
      </c>
      <c r="I1399" s="57"/>
      <c r="J1399" s="57"/>
      <c r="K1399" s="57"/>
      <c r="L1399" s="57"/>
      <c r="M1399" s="57"/>
      <c r="N1399" s="57"/>
      <c r="O1399" s="57"/>
      <c r="P1399" s="57"/>
      <c r="Q1399" s="57"/>
      <c r="R1399" s="57"/>
      <c r="S1399" s="57"/>
      <c r="T1399" s="57"/>
      <c r="U1399" s="57"/>
      <c r="V1399" s="57"/>
      <c r="W1399" s="57"/>
      <c r="X1399" s="57"/>
      <c r="Y1399" s="57"/>
      <c r="Z1399" s="57"/>
    </row>
    <row r="1400">
      <c r="A1400" s="58">
        <v>8575803.0</v>
      </c>
      <c r="B1400" s="57" t="s">
        <v>3175</v>
      </c>
      <c r="C1400" s="57" t="s">
        <v>210</v>
      </c>
      <c r="D1400" s="58">
        <v>8.76</v>
      </c>
      <c r="E1400" s="58">
        <v>1904.74</v>
      </c>
      <c r="F1400" s="58">
        <v>3948725.0</v>
      </c>
      <c r="G1400" s="58">
        <v>1.86904607E8</v>
      </c>
      <c r="H1400" s="57" t="s">
        <v>3182</v>
      </c>
      <c r="I1400" s="57"/>
      <c r="J1400" s="57"/>
      <c r="K1400" s="57"/>
      <c r="L1400" s="57"/>
      <c r="M1400" s="57"/>
      <c r="N1400" s="57"/>
      <c r="O1400" s="57"/>
      <c r="P1400" s="57"/>
      <c r="Q1400" s="57"/>
      <c r="R1400" s="57"/>
      <c r="S1400" s="57"/>
      <c r="T1400" s="57"/>
      <c r="U1400" s="57"/>
      <c r="V1400" s="57"/>
      <c r="W1400" s="57"/>
      <c r="X1400" s="57"/>
      <c r="Y1400" s="57"/>
      <c r="Z1400" s="57"/>
    </row>
    <row r="1401">
      <c r="A1401" s="58">
        <v>8575642.0</v>
      </c>
      <c r="B1401" s="57" t="s">
        <v>3175</v>
      </c>
      <c r="C1401" s="57" t="s">
        <v>210</v>
      </c>
      <c r="D1401" s="58">
        <v>7.33</v>
      </c>
      <c r="E1401" s="58">
        <v>1897.41</v>
      </c>
      <c r="F1401" s="58">
        <v>3946669.0</v>
      </c>
      <c r="G1401" s="58">
        <v>1.86904618E8</v>
      </c>
      <c r="H1401" s="57" t="s">
        <v>3183</v>
      </c>
      <c r="I1401" s="57"/>
      <c r="J1401" s="57"/>
      <c r="K1401" s="57"/>
      <c r="L1401" s="57"/>
      <c r="M1401" s="57"/>
      <c r="N1401" s="57"/>
      <c r="O1401" s="57"/>
      <c r="P1401" s="57"/>
      <c r="Q1401" s="57"/>
      <c r="R1401" s="57"/>
      <c r="S1401" s="57"/>
      <c r="T1401" s="57"/>
      <c r="U1401" s="57"/>
      <c r="V1401" s="57"/>
      <c r="W1401" s="57"/>
      <c r="X1401" s="57"/>
      <c r="Y1401" s="57"/>
      <c r="Z1401" s="57"/>
    </row>
    <row r="1402">
      <c r="A1402" s="58">
        <v>8575628.0</v>
      </c>
      <c r="B1402" s="57" t="s">
        <v>3175</v>
      </c>
      <c r="C1402" s="57" t="s">
        <v>210</v>
      </c>
      <c r="D1402" s="58">
        <v>13.84</v>
      </c>
      <c r="E1402" s="58">
        <v>1883.57</v>
      </c>
      <c r="F1402" s="58">
        <v>3946484.0</v>
      </c>
      <c r="G1402" s="57" t="s">
        <v>3184</v>
      </c>
      <c r="H1402" s="57" t="s">
        <v>3185</v>
      </c>
      <c r="I1402" s="57"/>
      <c r="J1402" s="57"/>
      <c r="K1402" s="57"/>
      <c r="L1402" s="57"/>
      <c r="M1402" s="57"/>
      <c r="N1402" s="57"/>
      <c r="O1402" s="57"/>
      <c r="P1402" s="57"/>
      <c r="Q1402" s="57"/>
      <c r="R1402" s="57"/>
      <c r="S1402" s="57"/>
      <c r="T1402" s="57"/>
      <c r="U1402" s="57"/>
      <c r="V1402" s="57"/>
      <c r="W1402" s="57"/>
      <c r="X1402" s="57"/>
      <c r="Y1402" s="57"/>
      <c r="Z1402" s="57"/>
    </row>
    <row r="1403">
      <c r="A1403" s="58">
        <v>8575472.0</v>
      </c>
      <c r="B1403" s="57" t="s">
        <v>3175</v>
      </c>
      <c r="C1403" s="57" t="s">
        <v>210</v>
      </c>
      <c r="D1403" s="58">
        <v>7.33</v>
      </c>
      <c r="E1403" s="58">
        <v>1876.24</v>
      </c>
      <c r="F1403" s="58">
        <v>3944119.0</v>
      </c>
      <c r="G1403" s="58">
        <v>1.86904623E8</v>
      </c>
      <c r="H1403" s="57" t="s">
        <v>3186</v>
      </c>
      <c r="I1403" s="57"/>
      <c r="J1403" s="57"/>
      <c r="K1403" s="57"/>
      <c r="L1403" s="57"/>
      <c r="M1403" s="57"/>
      <c r="N1403" s="57"/>
      <c r="O1403" s="57"/>
      <c r="P1403" s="57"/>
      <c r="Q1403" s="57"/>
      <c r="R1403" s="57"/>
      <c r="S1403" s="57"/>
      <c r="T1403" s="57"/>
      <c r="U1403" s="57"/>
      <c r="V1403" s="57"/>
      <c r="W1403" s="57"/>
      <c r="X1403" s="57"/>
      <c r="Y1403" s="57"/>
      <c r="Z1403" s="57"/>
    </row>
    <row r="1404">
      <c r="A1404" s="58">
        <v>8575409.0</v>
      </c>
      <c r="B1404" s="57" t="s">
        <v>3175</v>
      </c>
      <c r="C1404" s="57" t="s">
        <v>210</v>
      </c>
      <c r="D1404" s="58">
        <v>13.62</v>
      </c>
      <c r="E1404" s="58">
        <v>1862.62</v>
      </c>
      <c r="F1404" s="58">
        <v>3943478.0</v>
      </c>
      <c r="G1404" s="58">
        <v>1.86904625E8</v>
      </c>
      <c r="H1404" s="57" t="s">
        <v>3187</v>
      </c>
      <c r="I1404" s="57"/>
      <c r="J1404" s="57"/>
      <c r="K1404" s="57"/>
      <c r="L1404" s="57"/>
      <c r="M1404" s="57"/>
      <c r="N1404" s="57"/>
      <c r="O1404" s="57"/>
      <c r="P1404" s="57"/>
      <c r="Q1404" s="57"/>
      <c r="R1404" s="57"/>
      <c r="S1404" s="57"/>
      <c r="T1404" s="57"/>
      <c r="U1404" s="57"/>
      <c r="V1404" s="57"/>
      <c r="W1404" s="57"/>
      <c r="X1404" s="57"/>
      <c r="Y1404" s="57"/>
      <c r="Z1404" s="57"/>
    </row>
    <row r="1405">
      <c r="A1405" s="58">
        <v>8573764.0</v>
      </c>
      <c r="B1405" s="57" t="s">
        <v>3175</v>
      </c>
      <c r="C1405" s="57" t="s">
        <v>210</v>
      </c>
      <c r="D1405" s="58">
        <v>13.84</v>
      </c>
      <c r="E1405" s="58">
        <v>1848.78</v>
      </c>
      <c r="F1405" s="58">
        <v>3893511.0</v>
      </c>
      <c r="G1405" s="57" t="s">
        <v>3188</v>
      </c>
      <c r="H1405" s="57" t="s">
        <v>3189</v>
      </c>
      <c r="I1405" s="57"/>
      <c r="J1405" s="57"/>
      <c r="K1405" s="57"/>
      <c r="L1405" s="57"/>
      <c r="M1405" s="57"/>
      <c r="N1405" s="57"/>
      <c r="O1405" s="57"/>
      <c r="P1405" s="57"/>
      <c r="Q1405" s="57"/>
      <c r="R1405" s="57"/>
      <c r="S1405" s="57"/>
      <c r="T1405" s="57"/>
      <c r="U1405" s="57"/>
      <c r="V1405" s="57"/>
      <c r="W1405" s="57"/>
      <c r="X1405" s="57"/>
      <c r="Y1405" s="57"/>
      <c r="Z1405" s="57"/>
    </row>
    <row r="1406">
      <c r="A1406" s="58">
        <v>8573336.0</v>
      </c>
      <c r="B1406" s="57" t="s">
        <v>3190</v>
      </c>
      <c r="C1406" s="57" t="s">
        <v>247</v>
      </c>
      <c r="D1406" s="58">
        <v>3.62</v>
      </c>
      <c r="E1406" s="58">
        <v>1852.4</v>
      </c>
      <c r="F1406" s="58">
        <v>3693274.0</v>
      </c>
      <c r="G1406" s="57" t="s">
        <v>3191</v>
      </c>
      <c r="H1406" s="57" t="s">
        <v>3192</v>
      </c>
      <c r="I1406" s="57"/>
      <c r="J1406" s="57"/>
      <c r="K1406" s="57"/>
      <c r="L1406" s="57"/>
      <c r="M1406" s="57"/>
      <c r="N1406" s="57"/>
      <c r="O1406" s="57"/>
      <c r="P1406" s="57"/>
      <c r="Q1406" s="57"/>
      <c r="R1406" s="57"/>
      <c r="S1406" s="57"/>
      <c r="T1406" s="57"/>
      <c r="U1406" s="57"/>
      <c r="V1406" s="57"/>
      <c r="W1406" s="57"/>
      <c r="X1406" s="57"/>
      <c r="Y1406" s="57"/>
      <c r="Z1406" s="57"/>
    </row>
    <row r="1407">
      <c r="A1407" s="58">
        <v>8569530.0</v>
      </c>
      <c r="B1407" s="57" t="s">
        <v>3193</v>
      </c>
      <c r="C1407" s="57" t="s">
        <v>247</v>
      </c>
      <c r="D1407" s="58">
        <v>5.06</v>
      </c>
      <c r="E1407" s="58">
        <v>1857.46</v>
      </c>
      <c r="F1407" s="58">
        <v>3898592.0</v>
      </c>
      <c r="G1407" s="57" t="s">
        <v>3194</v>
      </c>
      <c r="H1407" s="57" t="s">
        <v>3195</v>
      </c>
      <c r="I1407" s="57"/>
      <c r="J1407" s="57"/>
      <c r="K1407" s="57"/>
      <c r="L1407" s="57"/>
      <c r="M1407" s="57"/>
      <c r="N1407" s="57"/>
      <c r="O1407" s="57"/>
      <c r="P1407" s="57"/>
      <c r="Q1407" s="57"/>
      <c r="R1407" s="57"/>
      <c r="S1407" s="57"/>
      <c r="T1407" s="57"/>
      <c r="U1407" s="57"/>
      <c r="V1407" s="57"/>
      <c r="W1407" s="57"/>
      <c r="X1407" s="57"/>
      <c r="Y1407" s="57"/>
      <c r="Z1407" s="57"/>
    </row>
    <row r="1408">
      <c r="A1408" s="58">
        <v>8569529.0</v>
      </c>
      <c r="B1408" s="57" t="s">
        <v>3193</v>
      </c>
      <c r="C1408" s="57" t="s">
        <v>247</v>
      </c>
      <c r="D1408" s="58">
        <v>3.45</v>
      </c>
      <c r="E1408" s="58">
        <v>1860.91</v>
      </c>
      <c r="F1408" s="58">
        <v>3912296.0</v>
      </c>
      <c r="G1408" s="57" t="s">
        <v>3196</v>
      </c>
      <c r="H1408" s="57" t="s">
        <v>3197</v>
      </c>
      <c r="I1408" s="57"/>
      <c r="J1408" s="57"/>
      <c r="K1408" s="57"/>
      <c r="L1408" s="57"/>
      <c r="M1408" s="57"/>
      <c r="N1408" s="57"/>
      <c r="O1408" s="57"/>
      <c r="P1408" s="57"/>
      <c r="Q1408" s="57"/>
      <c r="R1408" s="57"/>
      <c r="S1408" s="57"/>
      <c r="T1408" s="57"/>
      <c r="U1408" s="57"/>
      <c r="V1408" s="57"/>
      <c r="W1408" s="57"/>
      <c r="X1408" s="57"/>
      <c r="Y1408" s="57"/>
      <c r="Z1408" s="57"/>
    </row>
    <row r="1409">
      <c r="A1409" s="58">
        <v>8559277.0</v>
      </c>
      <c r="B1409" s="57" t="s">
        <v>3198</v>
      </c>
      <c r="C1409" s="57" t="s">
        <v>210</v>
      </c>
      <c r="D1409" s="58">
        <v>9.24</v>
      </c>
      <c r="E1409" s="58">
        <v>1851.67</v>
      </c>
      <c r="F1409" s="58">
        <v>3972041.0</v>
      </c>
      <c r="G1409" s="57" t="s">
        <v>3199</v>
      </c>
      <c r="H1409" s="57" t="s">
        <v>3200</v>
      </c>
      <c r="I1409" s="57"/>
      <c r="J1409" s="57"/>
      <c r="K1409" s="57"/>
      <c r="L1409" s="57"/>
      <c r="M1409" s="57"/>
      <c r="N1409" s="57"/>
      <c r="O1409" s="57"/>
      <c r="P1409" s="57"/>
      <c r="Q1409" s="57"/>
      <c r="R1409" s="57"/>
      <c r="S1409" s="57"/>
      <c r="T1409" s="57"/>
      <c r="U1409" s="57"/>
      <c r="V1409" s="57"/>
      <c r="W1409" s="57"/>
      <c r="X1409" s="57"/>
      <c r="Y1409" s="57"/>
      <c r="Z1409" s="57"/>
    </row>
    <row r="1410">
      <c r="A1410" s="58">
        <v>8555398.0</v>
      </c>
      <c r="B1410" s="57" t="s">
        <v>3201</v>
      </c>
      <c r="C1410" s="57" t="s">
        <v>210</v>
      </c>
      <c r="D1410" s="58">
        <v>13.84</v>
      </c>
      <c r="E1410" s="58">
        <v>1837.83</v>
      </c>
      <c r="F1410" s="58">
        <v>3961622.0</v>
      </c>
      <c r="G1410" s="57" t="s">
        <v>3202</v>
      </c>
      <c r="H1410" s="57" t="s">
        <v>3203</v>
      </c>
      <c r="I1410" s="57"/>
      <c r="J1410" s="57"/>
      <c r="K1410" s="57"/>
      <c r="L1410" s="57"/>
      <c r="M1410" s="57"/>
      <c r="N1410" s="57"/>
      <c r="O1410" s="57"/>
      <c r="P1410" s="57"/>
      <c r="Q1410" s="57"/>
      <c r="R1410" s="57"/>
      <c r="S1410" s="57"/>
      <c r="T1410" s="57"/>
      <c r="U1410" s="57"/>
      <c r="V1410" s="57"/>
      <c r="W1410" s="57"/>
      <c r="X1410" s="57"/>
      <c r="Y1410" s="57"/>
      <c r="Z1410" s="57"/>
    </row>
    <row r="1411">
      <c r="A1411" s="58">
        <v>8553317.0</v>
      </c>
      <c r="B1411" s="57" t="s">
        <v>3204</v>
      </c>
      <c r="C1411" s="57" t="s">
        <v>210</v>
      </c>
      <c r="D1411" s="58">
        <v>9.24</v>
      </c>
      <c r="E1411" s="58">
        <v>1828.59</v>
      </c>
      <c r="F1411" s="58">
        <v>3954855.0</v>
      </c>
      <c r="G1411" s="57" t="s">
        <v>3205</v>
      </c>
      <c r="H1411" s="57" t="s">
        <v>3206</v>
      </c>
      <c r="I1411" s="57"/>
      <c r="J1411" s="57"/>
      <c r="K1411" s="57"/>
      <c r="L1411" s="57"/>
      <c r="M1411" s="57"/>
      <c r="N1411" s="57"/>
      <c r="O1411" s="57"/>
      <c r="P1411" s="57"/>
      <c r="Q1411" s="57"/>
      <c r="R1411" s="57"/>
      <c r="S1411" s="57"/>
      <c r="T1411" s="57"/>
      <c r="U1411" s="57"/>
      <c r="V1411" s="57"/>
      <c r="W1411" s="57"/>
      <c r="X1411" s="57"/>
      <c r="Y1411" s="57"/>
      <c r="Z1411" s="57"/>
    </row>
    <row r="1412">
      <c r="A1412" s="58">
        <v>8552935.0</v>
      </c>
      <c r="B1412" s="57" t="s">
        <v>3204</v>
      </c>
      <c r="C1412" s="57" t="s">
        <v>210</v>
      </c>
      <c r="D1412" s="58">
        <v>9.24</v>
      </c>
      <c r="E1412" s="58">
        <v>1819.35</v>
      </c>
      <c r="F1412" s="58">
        <v>3953542.0</v>
      </c>
      <c r="G1412" s="57" t="s">
        <v>3207</v>
      </c>
      <c r="H1412" s="57" t="s">
        <v>3208</v>
      </c>
      <c r="I1412" s="57"/>
      <c r="J1412" s="57"/>
      <c r="K1412" s="57"/>
      <c r="L1412" s="57"/>
      <c r="M1412" s="57"/>
      <c r="N1412" s="57"/>
      <c r="O1412" s="57"/>
      <c r="P1412" s="57"/>
      <c r="Q1412" s="57"/>
      <c r="R1412" s="57"/>
      <c r="S1412" s="57"/>
      <c r="T1412" s="57"/>
      <c r="U1412" s="57"/>
      <c r="V1412" s="57"/>
      <c r="W1412" s="57"/>
      <c r="X1412" s="57"/>
      <c r="Y1412" s="57"/>
      <c r="Z1412" s="57"/>
    </row>
    <row r="1413">
      <c r="A1413" s="58">
        <v>8552023.0</v>
      </c>
      <c r="B1413" s="57" t="s">
        <v>3204</v>
      </c>
      <c r="C1413" s="57" t="s">
        <v>210</v>
      </c>
      <c r="D1413" s="58">
        <v>13.84</v>
      </c>
      <c r="E1413" s="58">
        <v>1805.51</v>
      </c>
      <c r="F1413" s="58">
        <v>3949695.0</v>
      </c>
      <c r="G1413" s="57" t="s">
        <v>3209</v>
      </c>
      <c r="H1413" s="57" t="s">
        <v>3210</v>
      </c>
      <c r="I1413" s="57"/>
      <c r="J1413" s="57"/>
      <c r="K1413" s="57"/>
      <c r="L1413" s="57"/>
      <c r="M1413" s="57"/>
      <c r="N1413" s="57"/>
      <c r="O1413" s="57"/>
      <c r="P1413" s="57"/>
      <c r="Q1413" s="57"/>
      <c r="R1413" s="57"/>
      <c r="S1413" s="57"/>
      <c r="T1413" s="57"/>
      <c r="U1413" s="57"/>
      <c r="V1413" s="57"/>
      <c r="W1413" s="57"/>
      <c r="X1413" s="57"/>
      <c r="Y1413" s="57"/>
      <c r="Z1413" s="57"/>
    </row>
    <row r="1414">
      <c r="A1414" s="58">
        <v>8551497.0</v>
      </c>
      <c r="B1414" s="57" t="s">
        <v>3204</v>
      </c>
      <c r="C1414" s="57" t="s">
        <v>210</v>
      </c>
      <c r="D1414" s="58">
        <v>9.24</v>
      </c>
      <c r="E1414" s="58">
        <v>1796.27</v>
      </c>
      <c r="F1414" s="58">
        <v>3947287.0</v>
      </c>
      <c r="G1414" s="57" t="s">
        <v>3211</v>
      </c>
      <c r="H1414" s="57" t="s">
        <v>3212</v>
      </c>
      <c r="I1414" s="57"/>
      <c r="J1414" s="57"/>
      <c r="K1414" s="57"/>
      <c r="L1414" s="57"/>
      <c r="M1414" s="57"/>
      <c r="N1414" s="57"/>
      <c r="O1414" s="57"/>
      <c r="P1414" s="57"/>
      <c r="Q1414" s="57"/>
      <c r="R1414" s="57"/>
      <c r="S1414" s="57"/>
      <c r="T1414" s="57"/>
      <c r="U1414" s="57"/>
      <c r="V1414" s="57"/>
      <c r="W1414" s="57"/>
      <c r="X1414" s="57"/>
      <c r="Y1414" s="57"/>
      <c r="Z1414" s="57"/>
    </row>
    <row r="1415">
      <c r="A1415" s="58">
        <v>8551178.0</v>
      </c>
      <c r="B1415" s="57" t="s">
        <v>3204</v>
      </c>
      <c r="C1415" s="57" t="s">
        <v>210</v>
      </c>
      <c r="D1415" s="58">
        <v>9.24</v>
      </c>
      <c r="E1415" s="58">
        <v>1787.03</v>
      </c>
      <c r="F1415" s="58">
        <v>3945299.0</v>
      </c>
      <c r="G1415" s="57" t="s">
        <v>3213</v>
      </c>
      <c r="H1415" s="57" t="s">
        <v>3214</v>
      </c>
      <c r="I1415" s="57"/>
      <c r="J1415" s="57"/>
      <c r="K1415" s="57"/>
      <c r="L1415" s="57"/>
      <c r="M1415" s="57"/>
      <c r="N1415" s="57"/>
      <c r="O1415" s="57"/>
      <c r="P1415" s="57"/>
      <c r="Q1415" s="57"/>
      <c r="R1415" s="57"/>
      <c r="S1415" s="57"/>
      <c r="T1415" s="57"/>
      <c r="U1415" s="57"/>
      <c r="V1415" s="57"/>
      <c r="W1415" s="57"/>
      <c r="X1415" s="57"/>
      <c r="Y1415" s="57"/>
      <c r="Z1415" s="57"/>
    </row>
    <row r="1416">
      <c r="A1416" s="58">
        <v>8550231.0</v>
      </c>
      <c r="B1416" s="57" t="s">
        <v>3204</v>
      </c>
      <c r="C1416" s="57" t="s">
        <v>210</v>
      </c>
      <c r="D1416" s="58">
        <v>9.24</v>
      </c>
      <c r="E1416" s="58">
        <v>1777.79</v>
      </c>
      <c r="F1416" s="58">
        <v>3938534.0</v>
      </c>
      <c r="G1416" s="57" t="s">
        <v>3215</v>
      </c>
      <c r="H1416" s="57" t="s">
        <v>3216</v>
      </c>
      <c r="I1416" s="57"/>
      <c r="J1416" s="57"/>
      <c r="K1416" s="57"/>
      <c r="L1416" s="57"/>
      <c r="M1416" s="57"/>
      <c r="N1416" s="57"/>
      <c r="O1416" s="57"/>
      <c r="P1416" s="57"/>
      <c r="Q1416" s="57"/>
      <c r="R1416" s="57"/>
      <c r="S1416" s="57"/>
      <c r="T1416" s="57"/>
      <c r="U1416" s="57"/>
      <c r="V1416" s="57"/>
      <c r="W1416" s="57"/>
      <c r="X1416" s="57"/>
      <c r="Y1416" s="57"/>
      <c r="Z1416" s="57"/>
    </row>
    <row r="1417">
      <c r="A1417" s="58">
        <v>8550184.0</v>
      </c>
      <c r="B1417" s="57" t="s">
        <v>3204</v>
      </c>
      <c r="C1417" s="57" t="s">
        <v>210</v>
      </c>
      <c r="D1417" s="58">
        <v>9.24</v>
      </c>
      <c r="E1417" s="58">
        <v>1768.55</v>
      </c>
      <c r="F1417" s="58">
        <v>3938140.0</v>
      </c>
      <c r="G1417" s="57" t="s">
        <v>3217</v>
      </c>
      <c r="H1417" s="57" t="s">
        <v>3218</v>
      </c>
      <c r="I1417" s="57"/>
      <c r="J1417" s="57"/>
      <c r="K1417" s="57"/>
      <c r="L1417" s="57"/>
      <c r="M1417" s="57"/>
      <c r="N1417" s="57"/>
      <c r="O1417" s="57"/>
      <c r="P1417" s="57"/>
      <c r="Q1417" s="57"/>
      <c r="R1417" s="57"/>
      <c r="S1417" s="57"/>
      <c r="T1417" s="57"/>
      <c r="U1417" s="57"/>
      <c r="V1417" s="57"/>
      <c r="W1417" s="57"/>
      <c r="X1417" s="57"/>
      <c r="Y1417" s="57"/>
      <c r="Z1417" s="57"/>
    </row>
    <row r="1418">
      <c r="A1418" s="58">
        <v>8547871.0</v>
      </c>
      <c r="B1418" s="57" t="s">
        <v>3219</v>
      </c>
      <c r="C1418" s="57" t="s">
        <v>210</v>
      </c>
      <c r="D1418" s="58">
        <v>8.67</v>
      </c>
      <c r="E1418" s="58">
        <v>1759.88</v>
      </c>
      <c r="F1418" s="58">
        <v>3903630.0</v>
      </c>
      <c r="G1418" s="57" t="s">
        <v>3220</v>
      </c>
      <c r="H1418" s="57" t="s">
        <v>3221</v>
      </c>
      <c r="I1418" s="57"/>
      <c r="J1418" s="57"/>
      <c r="K1418" s="57"/>
      <c r="L1418" s="57"/>
      <c r="M1418" s="57"/>
      <c r="N1418" s="57"/>
      <c r="O1418" s="57"/>
      <c r="P1418" s="57"/>
      <c r="Q1418" s="57"/>
      <c r="R1418" s="57"/>
      <c r="S1418" s="57"/>
      <c r="T1418" s="57"/>
      <c r="U1418" s="57"/>
      <c r="V1418" s="57"/>
      <c r="W1418" s="57"/>
      <c r="X1418" s="57"/>
      <c r="Y1418" s="57"/>
      <c r="Z1418" s="57"/>
    </row>
    <row r="1419">
      <c r="A1419" s="58">
        <v>8547605.0</v>
      </c>
      <c r="B1419" s="57" t="s">
        <v>3219</v>
      </c>
      <c r="C1419" s="57" t="s">
        <v>210</v>
      </c>
      <c r="D1419" s="58">
        <v>9.24</v>
      </c>
      <c r="E1419" s="58">
        <v>1750.64</v>
      </c>
      <c r="F1419" s="58">
        <v>3895698.0</v>
      </c>
      <c r="G1419" s="57" t="s">
        <v>3222</v>
      </c>
      <c r="H1419" s="57" t="s">
        <v>3223</v>
      </c>
      <c r="I1419" s="57"/>
      <c r="J1419" s="57"/>
      <c r="K1419" s="57"/>
      <c r="L1419" s="57"/>
      <c r="M1419" s="57"/>
      <c r="N1419" s="57"/>
      <c r="O1419" s="57"/>
      <c r="P1419" s="57"/>
      <c r="Q1419" s="57"/>
      <c r="R1419" s="57"/>
      <c r="S1419" s="57"/>
      <c r="T1419" s="57"/>
      <c r="U1419" s="57"/>
      <c r="V1419" s="57"/>
      <c r="W1419" s="57"/>
      <c r="X1419" s="57"/>
      <c r="Y1419" s="57"/>
      <c r="Z1419" s="57"/>
    </row>
    <row r="1420">
      <c r="A1420" s="58">
        <v>8545777.0</v>
      </c>
      <c r="B1420" s="57" t="s">
        <v>3224</v>
      </c>
      <c r="C1420" s="57" t="s">
        <v>247</v>
      </c>
      <c r="D1420" s="58">
        <v>0.85</v>
      </c>
      <c r="E1420" s="58">
        <v>1751.49</v>
      </c>
      <c r="F1420" s="58">
        <v>3864926.0</v>
      </c>
      <c r="G1420" s="58">
        <v>1.86472262E8</v>
      </c>
      <c r="H1420" s="57" t="s">
        <v>3225</v>
      </c>
      <c r="I1420" s="57"/>
      <c r="J1420" s="57"/>
      <c r="K1420" s="57"/>
      <c r="L1420" s="57"/>
      <c r="M1420" s="57"/>
      <c r="N1420" s="57"/>
      <c r="O1420" s="57"/>
      <c r="P1420" s="57"/>
      <c r="Q1420" s="57"/>
      <c r="R1420" s="57"/>
      <c r="S1420" s="57"/>
      <c r="T1420" s="57"/>
      <c r="U1420" s="57"/>
      <c r="V1420" s="57"/>
      <c r="W1420" s="57"/>
      <c r="X1420" s="57"/>
      <c r="Y1420" s="57"/>
      <c r="Z1420" s="57"/>
    </row>
    <row r="1421">
      <c r="A1421" s="58">
        <v>8545776.0</v>
      </c>
      <c r="B1421" s="57" t="s">
        <v>3224</v>
      </c>
      <c r="C1421" s="57" t="s">
        <v>247</v>
      </c>
      <c r="D1421" s="58">
        <v>7.7</v>
      </c>
      <c r="E1421" s="58">
        <v>1759.19</v>
      </c>
      <c r="F1421" s="58">
        <v>3864926.0</v>
      </c>
      <c r="G1421" s="58">
        <v>1.86472262E8</v>
      </c>
      <c r="H1421" s="57" t="s">
        <v>3226</v>
      </c>
      <c r="I1421" s="57"/>
      <c r="J1421" s="57"/>
      <c r="K1421" s="57"/>
      <c r="L1421" s="57"/>
      <c r="M1421" s="57"/>
      <c r="N1421" s="57"/>
      <c r="O1421" s="57"/>
      <c r="P1421" s="57"/>
      <c r="Q1421" s="57"/>
      <c r="R1421" s="57"/>
      <c r="S1421" s="57"/>
      <c r="T1421" s="57"/>
      <c r="U1421" s="57"/>
      <c r="V1421" s="57"/>
      <c r="W1421" s="57"/>
      <c r="X1421" s="57"/>
      <c r="Y1421" s="57"/>
      <c r="Z1421" s="57"/>
    </row>
    <row r="1422">
      <c r="A1422" s="58">
        <v>8545774.0</v>
      </c>
      <c r="B1422" s="57" t="s">
        <v>3227</v>
      </c>
      <c r="C1422" s="57" t="s">
        <v>247</v>
      </c>
      <c r="D1422" s="58">
        <v>0.85</v>
      </c>
      <c r="E1422" s="58">
        <v>1760.04</v>
      </c>
      <c r="F1422" s="58">
        <v>3864653.0</v>
      </c>
      <c r="G1422" s="58">
        <v>1.86472277E8</v>
      </c>
      <c r="H1422" s="57" t="s">
        <v>3228</v>
      </c>
      <c r="I1422" s="57"/>
      <c r="J1422" s="57"/>
      <c r="K1422" s="57"/>
      <c r="L1422" s="57"/>
      <c r="M1422" s="57"/>
      <c r="N1422" s="57"/>
      <c r="O1422" s="57"/>
      <c r="P1422" s="57"/>
      <c r="Q1422" s="57"/>
      <c r="R1422" s="57"/>
      <c r="S1422" s="57"/>
      <c r="T1422" s="57"/>
      <c r="U1422" s="57"/>
      <c r="V1422" s="57"/>
      <c r="W1422" s="57"/>
      <c r="X1422" s="57"/>
      <c r="Y1422" s="57"/>
      <c r="Z1422" s="57"/>
    </row>
    <row r="1423">
      <c r="A1423" s="58">
        <v>8545773.0</v>
      </c>
      <c r="B1423" s="57" t="s">
        <v>3227</v>
      </c>
      <c r="C1423" s="57" t="s">
        <v>247</v>
      </c>
      <c r="D1423" s="58">
        <v>7.7</v>
      </c>
      <c r="E1423" s="58">
        <v>1767.74</v>
      </c>
      <c r="F1423" s="58">
        <v>3864653.0</v>
      </c>
      <c r="G1423" s="58">
        <v>1.86472277E8</v>
      </c>
      <c r="H1423" s="57" t="s">
        <v>3229</v>
      </c>
      <c r="I1423" s="57"/>
      <c r="J1423" s="57"/>
      <c r="K1423" s="57"/>
      <c r="L1423" s="57"/>
      <c r="M1423" s="57"/>
      <c r="N1423" s="57"/>
      <c r="O1423" s="57"/>
      <c r="P1423" s="57"/>
      <c r="Q1423" s="57"/>
      <c r="R1423" s="57"/>
      <c r="S1423" s="57"/>
      <c r="T1423" s="57"/>
      <c r="U1423" s="57"/>
      <c r="V1423" s="57"/>
      <c r="W1423" s="57"/>
      <c r="X1423" s="57"/>
      <c r="Y1423" s="57"/>
      <c r="Z1423" s="57"/>
    </row>
    <row r="1424">
      <c r="A1424" s="58">
        <v>8545536.0</v>
      </c>
      <c r="B1424" s="57" t="s">
        <v>3230</v>
      </c>
      <c r="C1424" s="57" t="s">
        <v>247</v>
      </c>
      <c r="D1424" s="58">
        <v>0.85</v>
      </c>
      <c r="E1424" s="58">
        <v>1768.59</v>
      </c>
      <c r="F1424" s="58">
        <v>3854542.0</v>
      </c>
      <c r="G1424" s="57" t="s">
        <v>3231</v>
      </c>
      <c r="H1424" s="57" t="s">
        <v>3232</v>
      </c>
      <c r="I1424" s="57"/>
      <c r="J1424" s="57"/>
      <c r="K1424" s="57"/>
      <c r="L1424" s="57"/>
      <c r="M1424" s="57"/>
      <c r="N1424" s="57"/>
      <c r="O1424" s="57"/>
      <c r="P1424" s="57"/>
      <c r="Q1424" s="57"/>
      <c r="R1424" s="57"/>
      <c r="S1424" s="57"/>
      <c r="T1424" s="57"/>
      <c r="U1424" s="57"/>
      <c r="V1424" s="57"/>
      <c r="W1424" s="57"/>
      <c r="X1424" s="57"/>
      <c r="Y1424" s="57"/>
      <c r="Z1424" s="57"/>
    </row>
    <row r="1425">
      <c r="A1425" s="58">
        <v>8545535.0</v>
      </c>
      <c r="B1425" s="57" t="s">
        <v>3230</v>
      </c>
      <c r="C1425" s="57" t="s">
        <v>247</v>
      </c>
      <c r="D1425" s="58">
        <v>10.6</v>
      </c>
      <c r="E1425" s="58">
        <v>1779.19</v>
      </c>
      <c r="F1425" s="58">
        <v>3854542.0</v>
      </c>
      <c r="G1425" s="57" t="s">
        <v>3231</v>
      </c>
      <c r="H1425" s="57" t="s">
        <v>3233</v>
      </c>
      <c r="I1425" s="57"/>
      <c r="J1425" s="57"/>
      <c r="K1425" s="57"/>
      <c r="L1425" s="57"/>
      <c r="M1425" s="57"/>
      <c r="N1425" s="57"/>
      <c r="O1425" s="57"/>
      <c r="P1425" s="57"/>
      <c r="Q1425" s="57"/>
      <c r="R1425" s="57"/>
      <c r="S1425" s="57"/>
      <c r="T1425" s="57"/>
      <c r="U1425" s="57"/>
      <c r="V1425" s="57"/>
      <c r="W1425" s="57"/>
      <c r="X1425" s="57"/>
      <c r="Y1425" s="57"/>
      <c r="Z1425" s="57"/>
    </row>
    <row r="1426">
      <c r="A1426" s="58">
        <v>8542600.0</v>
      </c>
      <c r="B1426" s="57" t="s">
        <v>3234</v>
      </c>
      <c r="C1426" s="57" t="s">
        <v>247</v>
      </c>
      <c r="D1426" s="58">
        <v>5.07</v>
      </c>
      <c r="E1426" s="58">
        <v>1784.26</v>
      </c>
      <c r="F1426" s="58">
        <v>3881767.0</v>
      </c>
      <c r="G1426" s="57" t="s">
        <v>3235</v>
      </c>
      <c r="H1426" s="57" t="s">
        <v>3236</v>
      </c>
      <c r="I1426" s="57"/>
      <c r="J1426" s="57"/>
      <c r="K1426" s="57"/>
      <c r="L1426" s="57"/>
      <c r="M1426" s="57"/>
      <c r="N1426" s="57"/>
      <c r="O1426" s="57"/>
      <c r="P1426" s="57"/>
      <c r="Q1426" s="57"/>
      <c r="R1426" s="57"/>
      <c r="S1426" s="57"/>
      <c r="T1426" s="57"/>
      <c r="U1426" s="57"/>
      <c r="V1426" s="57"/>
      <c r="W1426" s="57"/>
      <c r="X1426" s="57"/>
      <c r="Y1426" s="57"/>
      <c r="Z1426" s="57"/>
    </row>
    <row r="1427">
      <c r="A1427" s="58">
        <v>8542599.0</v>
      </c>
      <c r="B1427" s="57" t="s">
        <v>3234</v>
      </c>
      <c r="C1427" s="57" t="s">
        <v>247</v>
      </c>
      <c r="D1427" s="58">
        <v>5.07</v>
      </c>
      <c r="E1427" s="58">
        <v>1789.33</v>
      </c>
      <c r="F1427" s="58">
        <v>3882051.0</v>
      </c>
      <c r="G1427" s="57" t="s">
        <v>3237</v>
      </c>
      <c r="H1427" s="57" t="s">
        <v>3238</v>
      </c>
      <c r="I1427" s="57"/>
      <c r="J1427" s="57"/>
      <c r="K1427" s="57"/>
      <c r="L1427" s="57"/>
      <c r="M1427" s="57"/>
      <c r="N1427" s="57"/>
      <c r="O1427" s="57"/>
      <c r="P1427" s="57"/>
      <c r="Q1427" s="57"/>
      <c r="R1427" s="57"/>
      <c r="S1427" s="57"/>
      <c r="T1427" s="57"/>
      <c r="U1427" s="57"/>
      <c r="V1427" s="57"/>
      <c r="W1427" s="57"/>
      <c r="X1427" s="57"/>
      <c r="Y1427" s="57"/>
      <c r="Z1427" s="57"/>
    </row>
    <row r="1428">
      <c r="A1428" s="58">
        <v>8542549.0</v>
      </c>
      <c r="B1428" s="57" t="s">
        <v>3234</v>
      </c>
      <c r="C1428" s="57" t="s">
        <v>247</v>
      </c>
      <c r="D1428" s="58">
        <v>0.85</v>
      </c>
      <c r="E1428" s="58">
        <v>1790.18</v>
      </c>
      <c r="F1428" s="58">
        <v>3873428.0</v>
      </c>
      <c r="G1428" s="57" t="s">
        <v>3239</v>
      </c>
      <c r="H1428" s="57" t="s">
        <v>3240</v>
      </c>
      <c r="I1428" s="57"/>
      <c r="J1428" s="57"/>
      <c r="K1428" s="57"/>
      <c r="L1428" s="57"/>
      <c r="M1428" s="57"/>
      <c r="N1428" s="57"/>
      <c r="O1428" s="57"/>
      <c r="P1428" s="57"/>
      <c r="Q1428" s="57"/>
      <c r="R1428" s="57"/>
      <c r="S1428" s="57"/>
      <c r="T1428" s="57"/>
      <c r="U1428" s="57"/>
      <c r="V1428" s="57"/>
      <c r="W1428" s="57"/>
      <c r="X1428" s="57"/>
      <c r="Y1428" s="57"/>
      <c r="Z1428" s="57"/>
    </row>
    <row r="1429">
      <c r="A1429" s="58">
        <v>8542548.0</v>
      </c>
      <c r="B1429" s="57" t="s">
        <v>3234</v>
      </c>
      <c r="C1429" s="57" t="s">
        <v>247</v>
      </c>
      <c r="D1429" s="58">
        <v>5.65</v>
      </c>
      <c r="E1429" s="58">
        <v>1795.83</v>
      </c>
      <c r="F1429" s="58">
        <v>3873428.0</v>
      </c>
      <c r="G1429" s="57" t="s">
        <v>3239</v>
      </c>
      <c r="H1429" s="57" t="s">
        <v>3241</v>
      </c>
      <c r="I1429" s="57"/>
      <c r="J1429" s="57"/>
      <c r="K1429" s="57"/>
      <c r="L1429" s="57"/>
      <c r="M1429" s="57"/>
      <c r="N1429" s="57"/>
      <c r="O1429" s="57"/>
      <c r="P1429" s="57"/>
      <c r="Q1429" s="57"/>
      <c r="R1429" s="57"/>
      <c r="S1429" s="57"/>
      <c r="T1429" s="57"/>
      <c r="U1429" s="57"/>
      <c r="V1429" s="57"/>
      <c r="W1429" s="57"/>
      <c r="X1429" s="57"/>
      <c r="Y1429" s="57"/>
      <c r="Z1429" s="57"/>
    </row>
    <row r="1430">
      <c r="A1430" s="58">
        <v>8542507.0</v>
      </c>
      <c r="B1430" s="57" t="s">
        <v>3234</v>
      </c>
      <c r="C1430" s="57" t="s">
        <v>247</v>
      </c>
      <c r="D1430" s="58">
        <v>4.5</v>
      </c>
      <c r="E1430" s="58">
        <v>1800.33</v>
      </c>
      <c r="F1430" s="58">
        <v>3877953.0</v>
      </c>
      <c r="G1430" s="57" t="s">
        <v>3242</v>
      </c>
      <c r="H1430" s="57" t="s">
        <v>3243</v>
      </c>
      <c r="I1430" s="57"/>
      <c r="J1430" s="57"/>
      <c r="K1430" s="57"/>
      <c r="L1430" s="57"/>
      <c r="M1430" s="57"/>
      <c r="N1430" s="57"/>
      <c r="O1430" s="57"/>
      <c r="P1430" s="57"/>
      <c r="Q1430" s="57"/>
      <c r="R1430" s="57"/>
      <c r="S1430" s="57"/>
      <c r="T1430" s="57"/>
      <c r="U1430" s="57"/>
      <c r="V1430" s="57"/>
      <c r="W1430" s="57"/>
      <c r="X1430" s="57"/>
      <c r="Y1430" s="57"/>
      <c r="Z1430" s="57"/>
    </row>
    <row r="1431">
      <c r="A1431" s="58">
        <v>8542464.0</v>
      </c>
      <c r="B1431" s="57" t="s">
        <v>3244</v>
      </c>
      <c r="C1431" s="57" t="s">
        <v>247</v>
      </c>
      <c r="D1431" s="58">
        <v>0.85</v>
      </c>
      <c r="E1431" s="58">
        <v>1801.18</v>
      </c>
      <c r="F1431" s="58">
        <v>3824811.0</v>
      </c>
      <c r="G1431" s="57" t="s">
        <v>3245</v>
      </c>
      <c r="H1431" s="57" t="s">
        <v>3246</v>
      </c>
      <c r="I1431" s="57"/>
      <c r="J1431" s="57"/>
      <c r="K1431" s="57"/>
      <c r="L1431" s="57"/>
      <c r="M1431" s="57"/>
      <c r="N1431" s="57"/>
      <c r="O1431" s="57"/>
      <c r="P1431" s="57"/>
      <c r="Q1431" s="57"/>
      <c r="R1431" s="57"/>
      <c r="S1431" s="57"/>
      <c r="T1431" s="57"/>
      <c r="U1431" s="57"/>
      <c r="V1431" s="57"/>
      <c r="W1431" s="57"/>
      <c r="X1431" s="57"/>
      <c r="Y1431" s="57"/>
      <c r="Z1431" s="57"/>
    </row>
    <row r="1432">
      <c r="A1432" s="58">
        <v>8542463.0</v>
      </c>
      <c r="B1432" s="57" t="s">
        <v>3244</v>
      </c>
      <c r="C1432" s="57" t="s">
        <v>247</v>
      </c>
      <c r="D1432" s="58">
        <v>5.07</v>
      </c>
      <c r="E1432" s="58">
        <v>1806.25</v>
      </c>
      <c r="F1432" s="58">
        <v>3824811.0</v>
      </c>
      <c r="G1432" s="57" t="s">
        <v>3245</v>
      </c>
      <c r="H1432" s="57" t="s">
        <v>3247</v>
      </c>
      <c r="I1432" s="57"/>
      <c r="J1432" s="57"/>
      <c r="K1432" s="57"/>
      <c r="L1432" s="57"/>
      <c r="M1432" s="57"/>
      <c r="N1432" s="57"/>
      <c r="O1432" s="57"/>
      <c r="P1432" s="57"/>
      <c r="Q1432" s="57"/>
      <c r="R1432" s="57"/>
      <c r="S1432" s="57"/>
      <c r="T1432" s="57"/>
      <c r="U1432" s="57"/>
      <c r="V1432" s="57"/>
      <c r="W1432" s="57"/>
      <c r="X1432" s="57"/>
      <c r="Y1432" s="57"/>
      <c r="Z1432" s="57"/>
    </row>
    <row r="1433">
      <c r="A1433" s="58">
        <v>8541530.0</v>
      </c>
      <c r="B1433" s="57" t="s">
        <v>3248</v>
      </c>
      <c r="C1433" s="57" t="s">
        <v>247</v>
      </c>
      <c r="D1433" s="58">
        <v>49.0</v>
      </c>
      <c r="E1433" s="58">
        <v>1855.25</v>
      </c>
      <c r="F1433" s="57"/>
      <c r="G1433" s="57"/>
      <c r="H1433" s="57" t="s">
        <v>1325</v>
      </c>
      <c r="I1433" s="57"/>
      <c r="J1433" s="57"/>
      <c r="K1433" s="57"/>
      <c r="L1433" s="57"/>
      <c r="M1433" s="57"/>
      <c r="N1433" s="57"/>
      <c r="O1433" s="57"/>
      <c r="P1433" s="57"/>
      <c r="Q1433" s="57"/>
      <c r="R1433" s="57"/>
      <c r="S1433" s="57"/>
      <c r="T1433" s="57"/>
      <c r="U1433" s="57"/>
      <c r="V1433" s="57"/>
      <c r="W1433" s="57"/>
      <c r="X1433" s="57"/>
      <c r="Y1433" s="57"/>
      <c r="Z1433" s="57"/>
    </row>
    <row r="1434">
      <c r="A1434" s="58">
        <v>8541351.0</v>
      </c>
      <c r="B1434" s="57" t="s">
        <v>3249</v>
      </c>
      <c r="C1434" s="57" t="s">
        <v>247</v>
      </c>
      <c r="D1434" s="58">
        <v>0.85</v>
      </c>
      <c r="E1434" s="58">
        <v>1856.1</v>
      </c>
      <c r="F1434" s="58">
        <v>3871444.0</v>
      </c>
      <c r="G1434" s="57" t="s">
        <v>3250</v>
      </c>
      <c r="H1434" s="57" t="s">
        <v>3251</v>
      </c>
      <c r="I1434" s="57"/>
      <c r="J1434" s="57"/>
      <c r="K1434" s="57"/>
      <c r="L1434" s="57"/>
      <c r="M1434" s="57"/>
      <c r="N1434" s="57"/>
      <c r="O1434" s="57"/>
      <c r="P1434" s="57"/>
      <c r="Q1434" s="57"/>
      <c r="R1434" s="57"/>
      <c r="S1434" s="57"/>
      <c r="T1434" s="57"/>
      <c r="U1434" s="57"/>
      <c r="V1434" s="57"/>
      <c r="W1434" s="57"/>
      <c r="X1434" s="57"/>
      <c r="Y1434" s="57"/>
      <c r="Z1434" s="57"/>
    </row>
    <row r="1435">
      <c r="A1435" s="58">
        <v>8541350.0</v>
      </c>
      <c r="B1435" s="57" t="s">
        <v>3249</v>
      </c>
      <c r="C1435" s="57" t="s">
        <v>247</v>
      </c>
      <c r="D1435" s="58">
        <v>5.07</v>
      </c>
      <c r="E1435" s="58">
        <v>1861.17</v>
      </c>
      <c r="F1435" s="58">
        <v>3871444.0</v>
      </c>
      <c r="G1435" s="57" t="s">
        <v>3250</v>
      </c>
      <c r="H1435" s="57" t="s">
        <v>3252</v>
      </c>
      <c r="I1435" s="57"/>
      <c r="J1435" s="57"/>
      <c r="K1435" s="57"/>
      <c r="L1435" s="57"/>
      <c r="M1435" s="57"/>
      <c r="N1435" s="57"/>
      <c r="O1435" s="57"/>
      <c r="P1435" s="57"/>
      <c r="Q1435" s="57"/>
      <c r="R1435" s="57"/>
      <c r="S1435" s="57"/>
      <c r="T1435" s="57"/>
      <c r="U1435" s="57"/>
      <c r="V1435" s="57"/>
      <c r="W1435" s="57"/>
      <c r="X1435" s="57"/>
      <c r="Y1435" s="57"/>
      <c r="Z1435" s="57"/>
    </row>
    <row r="1436">
      <c r="A1436" s="58">
        <v>8539024.0</v>
      </c>
      <c r="B1436" s="57" t="s">
        <v>3253</v>
      </c>
      <c r="C1436" s="57" t="s">
        <v>210</v>
      </c>
      <c r="D1436" s="58">
        <v>10.65</v>
      </c>
      <c r="E1436" s="58">
        <v>1850.52</v>
      </c>
      <c r="F1436" s="58">
        <v>3970319.0</v>
      </c>
      <c r="G1436" s="57" t="s">
        <v>3254</v>
      </c>
      <c r="H1436" s="57" t="s">
        <v>3255</v>
      </c>
      <c r="I1436" s="57"/>
      <c r="J1436" s="57"/>
      <c r="K1436" s="57"/>
      <c r="L1436" s="57"/>
      <c r="M1436" s="57"/>
      <c r="N1436" s="57"/>
      <c r="O1436" s="57"/>
      <c r="P1436" s="57"/>
      <c r="Q1436" s="57"/>
      <c r="R1436" s="57"/>
      <c r="S1436" s="57"/>
      <c r="T1436" s="57"/>
      <c r="U1436" s="57"/>
      <c r="V1436" s="57"/>
      <c r="W1436" s="57"/>
      <c r="X1436" s="57"/>
      <c r="Y1436" s="57"/>
      <c r="Z1436" s="57"/>
    </row>
    <row r="1437">
      <c r="A1437" s="58">
        <v>8538580.0</v>
      </c>
      <c r="B1437" s="57" t="s">
        <v>3256</v>
      </c>
      <c r="C1437" s="57" t="s">
        <v>210</v>
      </c>
      <c r="D1437" s="58">
        <v>13.84</v>
      </c>
      <c r="E1437" s="58">
        <v>1836.68</v>
      </c>
      <c r="F1437" s="58">
        <v>3967446.0</v>
      </c>
      <c r="G1437" s="57" t="s">
        <v>3257</v>
      </c>
      <c r="H1437" s="57" t="s">
        <v>3258</v>
      </c>
      <c r="I1437" s="57"/>
      <c r="J1437" s="57"/>
      <c r="K1437" s="57"/>
      <c r="L1437" s="57"/>
      <c r="M1437" s="57"/>
      <c r="N1437" s="57"/>
      <c r="O1437" s="57"/>
      <c r="P1437" s="57"/>
      <c r="Q1437" s="57"/>
      <c r="R1437" s="57"/>
      <c r="S1437" s="57"/>
      <c r="T1437" s="57"/>
      <c r="U1437" s="57"/>
      <c r="V1437" s="57"/>
      <c r="W1437" s="57"/>
      <c r="X1437" s="57"/>
      <c r="Y1437" s="57"/>
      <c r="Z1437" s="57"/>
    </row>
    <row r="1438">
      <c r="A1438" s="58">
        <v>8537295.0</v>
      </c>
      <c r="B1438" s="57" t="s">
        <v>3256</v>
      </c>
      <c r="C1438" s="57" t="s">
        <v>210</v>
      </c>
      <c r="D1438" s="58">
        <v>9.24</v>
      </c>
      <c r="E1438" s="58">
        <v>1827.44</v>
      </c>
      <c r="F1438" s="58">
        <v>3959518.0</v>
      </c>
      <c r="G1438" s="57" t="s">
        <v>3259</v>
      </c>
      <c r="H1438" s="57" t="s">
        <v>3260</v>
      </c>
      <c r="I1438" s="57"/>
      <c r="J1438" s="57"/>
      <c r="K1438" s="57"/>
      <c r="L1438" s="57"/>
      <c r="M1438" s="57"/>
      <c r="N1438" s="57"/>
      <c r="O1438" s="57"/>
      <c r="P1438" s="57"/>
      <c r="Q1438" s="57"/>
      <c r="R1438" s="57"/>
      <c r="S1438" s="57"/>
      <c r="T1438" s="57"/>
      <c r="U1438" s="57"/>
      <c r="V1438" s="57"/>
      <c r="W1438" s="57"/>
      <c r="X1438" s="57"/>
      <c r="Y1438" s="57"/>
      <c r="Z1438" s="57"/>
    </row>
    <row r="1439">
      <c r="A1439" s="58">
        <v>8536862.0</v>
      </c>
      <c r="B1439" s="57" t="s">
        <v>3256</v>
      </c>
      <c r="C1439" s="57" t="s">
        <v>210</v>
      </c>
      <c r="D1439" s="58">
        <v>9.24</v>
      </c>
      <c r="E1439" s="58">
        <v>1818.2</v>
      </c>
      <c r="F1439" s="58">
        <v>3956251.0</v>
      </c>
      <c r="G1439" s="57" t="s">
        <v>3261</v>
      </c>
      <c r="H1439" s="57" t="s">
        <v>3262</v>
      </c>
      <c r="I1439" s="57"/>
      <c r="J1439" s="57"/>
      <c r="K1439" s="57"/>
      <c r="L1439" s="57"/>
      <c r="M1439" s="57"/>
      <c r="N1439" s="57"/>
      <c r="O1439" s="57"/>
      <c r="P1439" s="57"/>
      <c r="Q1439" s="57"/>
      <c r="R1439" s="57"/>
      <c r="S1439" s="57"/>
      <c r="T1439" s="57"/>
      <c r="U1439" s="57"/>
      <c r="V1439" s="57"/>
      <c r="W1439" s="57"/>
      <c r="X1439" s="57"/>
      <c r="Y1439" s="57"/>
      <c r="Z1439" s="57"/>
    </row>
    <row r="1440">
      <c r="A1440" s="58">
        <v>8536723.0</v>
      </c>
      <c r="B1440" s="57" t="s">
        <v>3256</v>
      </c>
      <c r="C1440" s="57" t="s">
        <v>210</v>
      </c>
      <c r="D1440" s="58">
        <v>9.24</v>
      </c>
      <c r="E1440" s="58">
        <v>1808.96</v>
      </c>
      <c r="F1440" s="58">
        <v>3955267.0</v>
      </c>
      <c r="G1440" s="57" t="s">
        <v>3263</v>
      </c>
      <c r="H1440" s="57" t="s">
        <v>3264</v>
      </c>
      <c r="I1440" s="57"/>
      <c r="J1440" s="57"/>
      <c r="K1440" s="57"/>
      <c r="L1440" s="57"/>
      <c r="M1440" s="57"/>
      <c r="N1440" s="57"/>
      <c r="O1440" s="57"/>
      <c r="P1440" s="57"/>
      <c r="Q1440" s="57"/>
      <c r="R1440" s="57"/>
      <c r="S1440" s="57"/>
      <c r="T1440" s="57"/>
      <c r="U1440" s="57"/>
      <c r="V1440" s="57"/>
      <c r="W1440" s="57"/>
      <c r="X1440" s="57"/>
      <c r="Y1440" s="57"/>
      <c r="Z1440" s="57"/>
    </row>
    <row r="1441">
      <c r="A1441" s="58">
        <v>8536678.0</v>
      </c>
      <c r="B1441" s="57" t="s">
        <v>3256</v>
      </c>
      <c r="C1441" s="57" t="s">
        <v>210</v>
      </c>
      <c r="D1441" s="58">
        <v>15.45</v>
      </c>
      <c r="E1441" s="58">
        <v>1793.51</v>
      </c>
      <c r="F1441" s="58">
        <v>3954882.0</v>
      </c>
      <c r="G1441" s="57" t="s">
        <v>3265</v>
      </c>
      <c r="H1441" s="57" t="s">
        <v>3266</v>
      </c>
      <c r="I1441" s="57"/>
      <c r="J1441" s="57"/>
      <c r="K1441" s="57"/>
      <c r="L1441" s="57"/>
      <c r="M1441" s="57"/>
      <c r="N1441" s="57"/>
      <c r="O1441" s="57"/>
      <c r="P1441" s="57"/>
      <c r="Q1441" s="57"/>
      <c r="R1441" s="57"/>
      <c r="S1441" s="57"/>
      <c r="T1441" s="57"/>
      <c r="U1441" s="57"/>
      <c r="V1441" s="57"/>
      <c r="W1441" s="57"/>
      <c r="X1441" s="57"/>
      <c r="Y1441" s="57"/>
      <c r="Z1441" s="57"/>
    </row>
    <row r="1442">
      <c r="A1442" s="58">
        <v>8536663.0</v>
      </c>
      <c r="B1442" s="57" t="s">
        <v>3256</v>
      </c>
      <c r="C1442" s="57" t="s">
        <v>210</v>
      </c>
      <c r="D1442" s="58">
        <v>9.24</v>
      </c>
      <c r="E1442" s="58">
        <v>1784.27</v>
      </c>
      <c r="F1442" s="58">
        <v>3954790.0</v>
      </c>
      <c r="G1442" s="57" t="s">
        <v>3267</v>
      </c>
      <c r="H1442" s="57" t="s">
        <v>3268</v>
      </c>
      <c r="I1442" s="57"/>
      <c r="J1442" s="57"/>
      <c r="K1442" s="57"/>
      <c r="L1442" s="57"/>
      <c r="M1442" s="57"/>
      <c r="N1442" s="57"/>
      <c r="O1442" s="57"/>
      <c r="P1442" s="57"/>
      <c r="Q1442" s="57"/>
      <c r="R1442" s="57"/>
      <c r="S1442" s="57"/>
      <c r="T1442" s="57"/>
      <c r="U1442" s="57"/>
      <c r="V1442" s="57"/>
      <c r="W1442" s="57"/>
      <c r="X1442" s="57"/>
      <c r="Y1442" s="57"/>
      <c r="Z1442" s="57"/>
    </row>
    <row r="1443">
      <c r="A1443" s="58">
        <v>8536544.0</v>
      </c>
      <c r="B1443" s="57" t="s">
        <v>3256</v>
      </c>
      <c r="C1443" s="57" t="s">
        <v>210</v>
      </c>
      <c r="D1443" s="58">
        <v>9.24</v>
      </c>
      <c r="E1443" s="58">
        <v>1775.03</v>
      </c>
      <c r="F1443" s="58">
        <v>3953937.0</v>
      </c>
      <c r="G1443" s="57" t="s">
        <v>3269</v>
      </c>
      <c r="H1443" s="57" t="s">
        <v>3270</v>
      </c>
      <c r="I1443" s="57"/>
      <c r="J1443" s="57"/>
      <c r="K1443" s="57"/>
      <c r="L1443" s="57"/>
      <c r="M1443" s="57"/>
      <c r="N1443" s="57"/>
      <c r="O1443" s="57"/>
      <c r="P1443" s="57"/>
      <c r="Q1443" s="57"/>
      <c r="R1443" s="57"/>
      <c r="S1443" s="57"/>
      <c r="T1443" s="57"/>
      <c r="U1443" s="57"/>
      <c r="V1443" s="57"/>
      <c r="W1443" s="57"/>
      <c r="X1443" s="57"/>
      <c r="Y1443" s="57"/>
      <c r="Z1443" s="57"/>
    </row>
    <row r="1444">
      <c r="A1444" s="58">
        <v>8536491.0</v>
      </c>
      <c r="B1444" s="57" t="s">
        <v>3256</v>
      </c>
      <c r="C1444" s="57" t="s">
        <v>210</v>
      </c>
      <c r="D1444" s="58">
        <v>13.84</v>
      </c>
      <c r="E1444" s="58">
        <v>1761.19</v>
      </c>
      <c r="F1444" s="58">
        <v>3953520.0</v>
      </c>
      <c r="G1444" s="57" t="s">
        <v>3271</v>
      </c>
      <c r="H1444" s="57" t="s">
        <v>3272</v>
      </c>
      <c r="I1444" s="57"/>
      <c r="J1444" s="57"/>
      <c r="K1444" s="57"/>
      <c r="L1444" s="57"/>
      <c r="M1444" s="57"/>
      <c r="N1444" s="57"/>
      <c r="O1444" s="57"/>
      <c r="P1444" s="57"/>
      <c r="Q1444" s="57"/>
      <c r="R1444" s="57"/>
      <c r="S1444" s="57"/>
      <c r="T1444" s="57"/>
      <c r="U1444" s="57"/>
      <c r="V1444" s="57"/>
      <c r="W1444" s="57"/>
      <c r="X1444" s="57"/>
      <c r="Y1444" s="57"/>
      <c r="Z1444" s="57"/>
    </row>
    <row r="1445">
      <c r="A1445" s="58">
        <v>8536443.0</v>
      </c>
      <c r="B1445" s="57" t="s">
        <v>3256</v>
      </c>
      <c r="C1445" s="57" t="s">
        <v>210</v>
      </c>
      <c r="D1445" s="58">
        <v>13.84</v>
      </c>
      <c r="E1445" s="58">
        <v>1747.35</v>
      </c>
      <c r="F1445" s="58">
        <v>3952989.0</v>
      </c>
      <c r="G1445" s="57" t="s">
        <v>3273</v>
      </c>
      <c r="H1445" s="57" t="s">
        <v>3274</v>
      </c>
      <c r="I1445" s="57"/>
      <c r="J1445" s="57"/>
      <c r="K1445" s="57"/>
      <c r="L1445" s="57"/>
      <c r="M1445" s="57"/>
      <c r="N1445" s="57"/>
      <c r="O1445" s="57"/>
      <c r="P1445" s="57"/>
      <c r="Q1445" s="57"/>
      <c r="R1445" s="57"/>
      <c r="S1445" s="57"/>
      <c r="T1445" s="57"/>
      <c r="U1445" s="57"/>
      <c r="V1445" s="57"/>
      <c r="W1445" s="57"/>
      <c r="X1445" s="57"/>
      <c r="Y1445" s="57"/>
      <c r="Z1445" s="57"/>
    </row>
    <row r="1446">
      <c r="A1446" s="58">
        <v>8536176.0</v>
      </c>
      <c r="B1446" s="57" t="s">
        <v>3256</v>
      </c>
      <c r="C1446" s="57" t="s">
        <v>210</v>
      </c>
      <c r="D1446" s="58">
        <v>9.24</v>
      </c>
      <c r="E1446" s="58">
        <v>1738.11</v>
      </c>
      <c r="F1446" s="58">
        <v>3948313.0</v>
      </c>
      <c r="G1446" s="57" t="s">
        <v>3275</v>
      </c>
      <c r="H1446" s="57" t="s">
        <v>3276</v>
      </c>
      <c r="I1446" s="57"/>
      <c r="J1446" s="57"/>
      <c r="K1446" s="57"/>
      <c r="L1446" s="57"/>
      <c r="M1446" s="57"/>
      <c r="N1446" s="57"/>
      <c r="O1446" s="57"/>
      <c r="P1446" s="57"/>
      <c r="Q1446" s="57"/>
      <c r="R1446" s="57"/>
      <c r="S1446" s="57"/>
      <c r="T1446" s="57"/>
      <c r="U1446" s="57"/>
      <c r="V1446" s="57"/>
      <c r="W1446" s="57"/>
      <c r="X1446" s="57"/>
      <c r="Y1446" s="57"/>
      <c r="Z1446" s="57"/>
    </row>
    <row r="1447">
      <c r="A1447" s="58">
        <v>8536146.0</v>
      </c>
      <c r="B1447" s="57" t="s">
        <v>3256</v>
      </c>
      <c r="C1447" s="57" t="s">
        <v>210</v>
      </c>
      <c r="D1447" s="58">
        <v>9.24</v>
      </c>
      <c r="E1447" s="58">
        <v>1728.87</v>
      </c>
      <c r="F1447" s="58">
        <v>3947545.0</v>
      </c>
      <c r="G1447" s="57" t="s">
        <v>3277</v>
      </c>
      <c r="H1447" s="57" t="s">
        <v>3278</v>
      </c>
      <c r="I1447" s="57"/>
      <c r="J1447" s="57"/>
      <c r="K1447" s="57"/>
      <c r="L1447" s="57"/>
      <c r="M1447" s="57"/>
      <c r="N1447" s="57"/>
      <c r="O1447" s="57"/>
      <c r="P1447" s="57"/>
      <c r="Q1447" s="57"/>
      <c r="R1447" s="57"/>
      <c r="S1447" s="57"/>
      <c r="T1447" s="57"/>
      <c r="U1447" s="57"/>
      <c r="V1447" s="57"/>
      <c r="W1447" s="57"/>
      <c r="X1447" s="57"/>
      <c r="Y1447" s="57"/>
      <c r="Z1447" s="57"/>
    </row>
    <row r="1448">
      <c r="A1448" s="58">
        <v>8536068.0</v>
      </c>
      <c r="B1448" s="57" t="s">
        <v>3256</v>
      </c>
      <c r="C1448" s="57" t="s">
        <v>210</v>
      </c>
      <c r="D1448" s="58">
        <v>9.24</v>
      </c>
      <c r="E1448" s="58">
        <v>1719.63</v>
      </c>
      <c r="F1448" s="58">
        <v>3946640.0</v>
      </c>
      <c r="G1448" s="57" t="s">
        <v>3279</v>
      </c>
      <c r="H1448" s="57" t="s">
        <v>3280</v>
      </c>
      <c r="I1448" s="57"/>
      <c r="J1448" s="57"/>
      <c r="K1448" s="57"/>
      <c r="L1448" s="57"/>
      <c r="M1448" s="57"/>
      <c r="N1448" s="57"/>
      <c r="O1448" s="57"/>
      <c r="P1448" s="57"/>
      <c r="Q1448" s="57"/>
      <c r="R1448" s="57"/>
      <c r="S1448" s="57"/>
      <c r="T1448" s="57"/>
      <c r="U1448" s="57"/>
      <c r="V1448" s="57"/>
      <c r="W1448" s="57"/>
      <c r="X1448" s="57"/>
      <c r="Y1448" s="57"/>
      <c r="Z1448" s="57"/>
    </row>
    <row r="1449">
      <c r="A1449" s="58">
        <v>8536031.0</v>
      </c>
      <c r="B1449" s="57" t="s">
        <v>3256</v>
      </c>
      <c r="C1449" s="57" t="s">
        <v>210</v>
      </c>
      <c r="D1449" s="58">
        <v>9.24</v>
      </c>
      <c r="E1449" s="58">
        <v>1710.39</v>
      </c>
      <c r="F1449" s="58">
        <v>3945896.0</v>
      </c>
      <c r="G1449" s="57" t="s">
        <v>3281</v>
      </c>
      <c r="H1449" s="57" t="s">
        <v>3282</v>
      </c>
      <c r="I1449" s="57"/>
      <c r="J1449" s="57"/>
      <c r="K1449" s="57"/>
      <c r="L1449" s="57"/>
      <c r="M1449" s="57"/>
      <c r="N1449" s="57"/>
      <c r="O1449" s="57"/>
      <c r="P1449" s="57"/>
      <c r="Q1449" s="57"/>
      <c r="R1449" s="57"/>
      <c r="S1449" s="57"/>
      <c r="T1449" s="57"/>
      <c r="U1449" s="57"/>
      <c r="V1449" s="57"/>
      <c r="W1449" s="57"/>
      <c r="X1449" s="57"/>
      <c r="Y1449" s="57"/>
      <c r="Z1449" s="57"/>
    </row>
    <row r="1450">
      <c r="A1450" s="58">
        <v>8536028.0</v>
      </c>
      <c r="B1450" s="57" t="s">
        <v>3256</v>
      </c>
      <c r="C1450" s="57" t="s">
        <v>210</v>
      </c>
      <c r="D1450" s="58">
        <v>9.24</v>
      </c>
      <c r="E1450" s="58">
        <v>1701.15</v>
      </c>
      <c r="F1450" s="58">
        <v>3945882.0</v>
      </c>
      <c r="G1450" s="57" t="s">
        <v>3283</v>
      </c>
      <c r="H1450" s="57" t="s">
        <v>3284</v>
      </c>
      <c r="I1450" s="57"/>
      <c r="J1450" s="57"/>
      <c r="K1450" s="57"/>
      <c r="L1450" s="57"/>
      <c r="M1450" s="57"/>
      <c r="N1450" s="57"/>
      <c r="O1450" s="57"/>
      <c r="P1450" s="57"/>
      <c r="Q1450" s="57"/>
      <c r="R1450" s="57"/>
      <c r="S1450" s="57"/>
      <c r="T1450" s="57"/>
      <c r="U1450" s="57"/>
      <c r="V1450" s="57"/>
      <c r="W1450" s="57"/>
      <c r="X1450" s="57"/>
      <c r="Y1450" s="57"/>
      <c r="Z1450" s="57"/>
    </row>
    <row r="1451">
      <c r="A1451" s="58">
        <v>8536013.0</v>
      </c>
      <c r="B1451" s="57" t="s">
        <v>3256</v>
      </c>
      <c r="C1451" s="57" t="s">
        <v>210</v>
      </c>
      <c r="D1451" s="58">
        <v>13.84</v>
      </c>
      <c r="E1451" s="58">
        <v>1687.31</v>
      </c>
      <c r="F1451" s="58">
        <v>3945570.0</v>
      </c>
      <c r="G1451" s="57" t="s">
        <v>3285</v>
      </c>
      <c r="H1451" s="57" t="s">
        <v>3286</v>
      </c>
      <c r="I1451" s="57"/>
      <c r="J1451" s="57"/>
      <c r="K1451" s="57"/>
      <c r="L1451" s="57"/>
      <c r="M1451" s="57"/>
      <c r="N1451" s="57"/>
      <c r="O1451" s="57"/>
      <c r="P1451" s="57"/>
      <c r="Q1451" s="57"/>
      <c r="R1451" s="57"/>
      <c r="S1451" s="57"/>
      <c r="T1451" s="57"/>
      <c r="U1451" s="57"/>
      <c r="V1451" s="57"/>
      <c r="W1451" s="57"/>
      <c r="X1451" s="57"/>
      <c r="Y1451" s="57"/>
      <c r="Z1451" s="57"/>
    </row>
    <row r="1452">
      <c r="A1452" s="58">
        <v>8535951.0</v>
      </c>
      <c r="B1452" s="57" t="s">
        <v>3256</v>
      </c>
      <c r="C1452" s="57" t="s">
        <v>210</v>
      </c>
      <c r="D1452" s="58">
        <v>10.28</v>
      </c>
      <c r="E1452" s="58">
        <v>1677.03</v>
      </c>
      <c r="F1452" s="58">
        <v>3944116.0</v>
      </c>
      <c r="G1452" s="57" t="s">
        <v>3287</v>
      </c>
      <c r="H1452" s="57" t="s">
        <v>3288</v>
      </c>
      <c r="I1452" s="57"/>
      <c r="J1452" s="57"/>
      <c r="K1452" s="57"/>
      <c r="L1452" s="57"/>
      <c r="M1452" s="57"/>
      <c r="N1452" s="57"/>
      <c r="O1452" s="57"/>
      <c r="P1452" s="57"/>
      <c r="Q1452" s="57"/>
      <c r="R1452" s="57"/>
      <c r="S1452" s="57"/>
      <c r="T1452" s="57"/>
      <c r="U1452" s="57"/>
      <c r="V1452" s="57"/>
      <c r="W1452" s="57"/>
      <c r="X1452" s="57"/>
      <c r="Y1452" s="57"/>
      <c r="Z1452" s="57"/>
    </row>
    <row r="1453">
      <c r="A1453" s="58">
        <v>8535765.0</v>
      </c>
      <c r="B1453" s="57" t="s">
        <v>3256</v>
      </c>
      <c r="C1453" s="57" t="s">
        <v>210</v>
      </c>
      <c r="D1453" s="58">
        <v>15.45</v>
      </c>
      <c r="E1453" s="58">
        <v>1661.58</v>
      </c>
      <c r="F1453" s="58">
        <v>3939539.0</v>
      </c>
      <c r="G1453" s="57" t="s">
        <v>3289</v>
      </c>
      <c r="H1453" s="57" t="s">
        <v>3290</v>
      </c>
      <c r="I1453" s="57"/>
      <c r="J1453" s="57"/>
      <c r="K1453" s="57"/>
      <c r="L1453" s="57"/>
      <c r="M1453" s="57"/>
      <c r="N1453" s="57"/>
      <c r="O1453" s="57"/>
      <c r="P1453" s="57"/>
      <c r="Q1453" s="57"/>
      <c r="R1453" s="57"/>
      <c r="S1453" s="57"/>
      <c r="T1453" s="57"/>
      <c r="U1453" s="57"/>
      <c r="V1453" s="57"/>
      <c r="W1453" s="57"/>
      <c r="X1453" s="57"/>
      <c r="Y1453" s="57"/>
      <c r="Z1453" s="57"/>
    </row>
    <row r="1454">
      <c r="A1454" s="58">
        <v>8535724.0</v>
      </c>
      <c r="B1454" s="57" t="s">
        <v>3256</v>
      </c>
      <c r="C1454" s="57" t="s">
        <v>210</v>
      </c>
      <c r="D1454" s="58">
        <v>13.84</v>
      </c>
      <c r="E1454" s="58">
        <v>1647.74</v>
      </c>
      <c r="F1454" s="58">
        <v>3937544.0</v>
      </c>
      <c r="G1454" s="57" t="s">
        <v>3291</v>
      </c>
      <c r="H1454" s="57" t="s">
        <v>3292</v>
      </c>
      <c r="I1454" s="57"/>
      <c r="J1454" s="57"/>
      <c r="K1454" s="57"/>
      <c r="L1454" s="57"/>
      <c r="M1454" s="57"/>
      <c r="N1454" s="57"/>
      <c r="O1454" s="57"/>
      <c r="P1454" s="57"/>
      <c r="Q1454" s="57"/>
      <c r="R1454" s="57"/>
      <c r="S1454" s="57"/>
      <c r="T1454" s="57"/>
      <c r="U1454" s="57"/>
      <c r="V1454" s="57"/>
      <c r="W1454" s="57"/>
      <c r="X1454" s="57"/>
      <c r="Y1454" s="57"/>
      <c r="Z1454" s="57"/>
    </row>
    <row r="1455">
      <c r="A1455" s="58">
        <v>8535224.0</v>
      </c>
      <c r="B1455" s="57" t="s">
        <v>3256</v>
      </c>
      <c r="C1455" s="57" t="s">
        <v>210</v>
      </c>
      <c r="D1455" s="58">
        <v>11.36</v>
      </c>
      <c r="E1455" s="58">
        <v>1636.38</v>
      </c>
      <c r="F1455" s="58">
        <v>3883674.0</v>
      </c>
      <c r="G1455" s="57" t="s">
        <v>3293</v>
      </c>
      <c r="H1455" s="57" t="s">
        <v>3294</v>
      </c>
      <c r="I1455" s="57"/>
      <c r="J1455" s="57"/>
      <c r="K1455" s="57"/>
      <c r="L1455" s="57"/>
      <c r="M1455" s="57"/>
      <c r="N1455" s="57"/>
      <c r="O1455" s="57"/>
      <c r="P1455" s="57"/>
      <c r="Q1455" s="57"/>
      <c r="R1455" s="57"/>
      <c r="S1455" s="57"/>
      <c r="T1455" s="57"/>
      <c r="U1455" s="57"/>
      <c r="V1455" s="57"/>
      <c r="W1455" s="57"/>
      <c r="X1455" s="57"/>
      <c r="Y1455" s="57"/>
      <c r="Z1455" s="57"/>
    </row>
    <row r="1456">
      <c r="A1456" s="58">
        <v>8534969.0</v>
      </c>
      <c r="B1456" s="57" t="s">
        <v>3295</v>
      </c>
      <c r="C1456" s="57" t="s">
        <v>247</v>
      </c>
      <c r="D1456" s="58">
        <v>5.06</v>
      </c>
      <c r="E1456" s="58">
        <v>1641.44</v>
      </c>
      <c r="F1456" s="58">
        <v>3892529.0</v>
      </c>
      <c r="G1456" s="57" t="s">
        <v>3296</v>
      </c>
      <c r="H1456" s="57" t="s">
        <v>3297</v>
      </c>
      <c r="I1456" s="57"/>
      <c r="J1456" s="57"/>
      <c r="K1456" s="57"/>
      <c r="L1456" s="57"/>
      <c r="M1456" s="57"/>
      <c r="N1456" s="57"/>
      <c r="O1456" s="57"/>
      <c r="P1456" s="57"/>
      <c r="Q1456" s="57"/>
      <c r="R1456" s="57"/>
      <c r="S1456" s="57"/>
      <c r="T1456" s="57"/>
      <c r="U1456" s="57"/>
      <c r="V1456" s="57"/>
      <c r="W1456" s="57"/>
      <c r="X1456" s="57"/>
      <c r="Y1456" s="57"/>
      <c r="Z1456" s="57"/>
    </row>
    <row r="1457">
      <c r="A1457" s="58">
        <v>8534968.0</v>
      </c>
      <c r="B1457" s="57" t="s">
        <v>3298</v>
      </c>
      <c r="C1457" s="57" t="s">
        <v>247</v>
      </c>
      <c r="D1457" s="58">
        <v>5.06</v>
      </c>
      <c r="E1457" s="58">
        <v>1646.5</v>
      </c>
      <c r="F1457" s="58">
        <v>3896235.0</v>
      </c>
      <c r="G1457" s="57" t="s">
        <v>3299</v>
      </c>
      <c r="H1457" s="57" t="s">
        <v>3300</v>
      </c>
      <c r="I1457" s="57"/>
      <c r="J1457" s="57"/>
      <c r="K1457" s="57"/>
      <c r="L1457" s="57"/>
      <c r="M1457" s="57"/>
      <c r="N1457" s="57"/>
      <c r="O1457" s="57"/>
      <c r="P1457" s="57"/>
      <c r="Q1457" s="57"/>
      <c r="R1457" s="57"/>
      <c r="S1457" s="57"/>
      <c r="T1457" s="57"/>
      <c r="U1457" s="57"/>
      <c r="V1457" s="57"/>
      <c r="W1457" s="57"/>
      <c r="X1457" s="57"/>
      <c r="Y1457" s="57"/>
      <c r="Z1457" s="57"/>
    </row>
    <row r="1458">
      <c r="A1458" s="58">
        <v>8534819.0</v>
      </c>
      <c r="B1458" s="57" t="s">
        <v>3301</v>
      </c>
      <c r="C1458" s="57" t="s">
        <v>247</v>
      </c>
      <c r="D1458" s="58">
        <v>3.46</v>
      </c>
      <c r="E1458" s="58">
        <v>1649.96</v>
      </c>
      <c r="F1458" s="58">
        <v>3881651.0</v>
      </c>
      <c r="G1458" s="57" t="s">
        <v>3302</v>
      </c>
      <c r="H1458" s="57" t="s">
        <v>3303</v>
      </c>
      <c r="I1458" s="57"/>
      <c r="J1458" s="57"/>
      <c r="K1458" s="57"/>
      <c r="L1458" s="57"/>
      <c r="M1458" s="57"/>
      <c r="N1458" s="57"/>
      <c r="O1458" s="57"/>
      <c r="P1458" s="57"/>
      <c r="Q1458" s="57"/>
      <c r="R1458" s="57"/>
      <c r="S1458" s="57"/>
      <c r="T1458" s="57"/>
      <c r="U1458" s="57"/>
      <c r="V1458" s="57"/>
      <c r="W1458" s="57"/>
      <c r="X1458" s="57"/>
      <c r="Y1458" s="57"/>
      <c r="Z1458" s="57"/>
    </row>
    <row r="1459">
      <c r="A1459" s="58">
        <v>8534709.0</v>
      </c>
      <c r="B1459" s="57" t="s">
        <v>3304</v>
      </c>
      <c r="C1459" s="57" t="s">
        <v>247</v>
      </c>
      <c r="D1459" s="58">
        <v>0.85</v>
      </c>
      <c r="E1459" s="58">
        <v>1650.81</v>
      </c>
      <c r="F1459" s="58">
        <v>3872307.0</v>
      </c>
      <c r="G1459" s="57" t="s">
        <v>3305</v>
      </c>
      <c r="H1459" s="57" t="s">
        <v>3306</v>
      </c>
      <c r="I1459" s="57"/>
      <c r="J1459" s="57"/>
      <c r="K1459" s="57"/>
      <c r="L1459" s="57"/>
      <c r="M1459" s="57"/>
      <c r="N1459" s="57"/>
      <c r="O1459" s="57"/>
      <c r="P1459" s="57"/>
      <c r="Q1459" s="57"/>
      <c r="R1459" s="57"/>
      <c r="S1459" s="57"/>
      <c r="T1459" s="57"/>
      <c r="U1459" s="57"/>
      <c r="V1459" s="57"/>
      <c r="W1459" s="57"/>
      <c r="X1459" s="57"/>
      <c r="Y1459" s="57"/>
      <c r="Z1459" s="57"/>
    </row>
    <row r="1460">
      <c r="A1460" s="58">
        <v>8534708.0</v>
      </c>
      <c r="B1460" s="57" t="s">
        <v>3304</v>
      </c>
      <c r="C1460" s="57" t="s">
        <v>247</v>
      </c>
      <c r="D1460" s="58">
        <v>5.07</v>
      </c>
      <c r="E1460" s="58">
        <v>1655.88</v>
      </c>
      <c r="F1460" s="58">
        <v>3872307.0</v>
      </c>
      <c r="G1460" s="57" t="s">
        <v>3305</v>
      </c>
      <c r="H1460" s="57" t="s">
        <v>3307</v>
      </c>
      <c r="I1460" s="57"/>
      <c r="J1460" s="57"/>
      <c r="K1460" s="57"/>
      <c r="L1460" s="57"/>
      <c r="M1460" s="57"/>
      <c r="N1460" s="57"/>
      <c r="O1460" s="57"/>
      <c r="P1460" s="57"/>
      <c r="Q1460" s="57"/>
      <c r="R1460" s="57"/>
      <c r="S1460" s="57"/>
      <c r="T1460" s="57"/>
      <c r="U1460" s="57"/>
      <c r="V1460" s="57"/>
      <c r="W1460" s="57"/>
      <c r="X1460" s="57"/>
      <c r="Y1460" s="57"/>
      <c r="Z1460" s="57"/>
    </row>
    <row r="1461">
      <c r="A1461" s="58">
        <v>8534706.0</v>
      </c>
      <c r="B1461" s="57" t="s">
        <v>3304</v>
      </c>
      <c r="C1461" s="57" t="s">
        <v>247</v>
      </c>
      <c r="D1461" s="58">
        <v>0.85</v>
      </c>
      <c r="E1461" s="58">
        <v>1656.73</v>
      </c>
      <c r="F1461" s="58">
        <v>3872462.0</v>
      </c>
      <c r="G1461" s="57" t="s">
        <v>3308</v>
      </c>
      <c r="H1461" s="57" t="s">
        <v>3309</v>
      </c>
      <c r="I1461" s="57"/>
      <c r="J1461" s="57"/>
      <c r="K1461" s="57"/>
      <c r="L1461" s="57"/>
      <c r="M1461" s="57"/>
      <c r="N1461" s="57"/>
      <c r="O1461" s="57"/>
      <c r="P1461" s="57"/>
      <c r="Q1461" s="57"/>
      <c r="R1461" s="57"/>
      <c r="S1461" s="57"/>
      <c r="T1461" s="57"/>
      <c r="U1461" s="57"/>
      <c r="V1461" s="57"/>
      <c r="W1461" s="57"/>
      <c r="X1461" s="57"/>
      <c r="Y1461" s="57"/>
      <c r="Z1461" s="57"/>
    </row>
    <row r="1462">
      <c r="A1462" s="58">
        <v>8534705.0</v>
      </c>
      <c r="B1462" s="57" t="s">
        <v>3304</v>
      </c>
      <c r="C1462" s="57" t="s">
        <v>247</v>
      </c>
      <c r="D1462" s="58">
        <v>3.46</v>
      </c>
      <c r="E1462" s="58">
        <v>1660.19</v>
      </c>
      <c r="F1462" s="58">
        <v>3872462.0</v>
      </c>
      <c r="G1462" s="57" t="s">
        <v>3308</v>
      </c>
      <c r="H1462" s="57" t="s">
        <v>3310</v>
      </c>
      <c r="I1462" s="57"/>
      <c r="J1462" s="57"/>
      <c r="K1462" s="57"/>
      <c r="L1462" s="57"/>
      <c r="M1462" s="57"/>
      <c r="N1462" s="57"/>
      <c r="O1462" s="57"/>
      <c r="P1462" s="57"/>
      <c r="Q1462" s="57"/>
      <c r="R1462" s="57"/>
      <c r="S1462" s="57"/>
      <c r="T1462" s="57"/>
      <c r="U1462" s="57"/>
      <c r="V1462" s="57"/>
      <c r="W1462" s="57"/>
      <c r="X1462" s="57"/>
      <c r="Y1462" s="57"/>
      <c r="Z1462" s="57"/>
    </row>
    <row r="1463">
      <c r="A1463" s="58">
        <v>8534699.0</v>
      </c>
      <c r="B1463" s="57" t="s">
        <v>3304</v>
      </c>
      <c r="C1463" s="57" t="s">
        <v>247</v>
      </c>
      <c r="D1463" s="58">
        <v>0.85</v>
      </c>
      <c r="E1463" s="58">
        <v>1661.04</v>
      </c>
      <c r="F1463" s="58">
        <v>3872595.0</v>
      </c>
      <c r="G1463" s="57" t="s">
        <v>3311</v>
      </c>
      <c r="H1463" s="57" t="s">
        <v>3312</v>
      </c>
      <c r="I1463" s="57"/>
      <c r="J1463" s="57"/>
      <c r="K1463" s="57"/>
      <c r="L1463" s="57"/>
      <c r="M1463" s="57"/>
      <c r="N1463" s="57"/>
      <c r="O1463" s="57"/>
      <c r="P1463" s="57"/>
      <c r="Q1463" s="57"/>
      <c r="R1463" s="57"/>
      <c r="S1463" s="57"/>
      <c r="T1463" s="57"/>
      <c r="U1463" s="57"/>
      <c r="V1463" s="57"/>
      <c r="W1463" s="57"/>
      <c r="X1463" s="57"/>
      <c r="Y1463" s="57"/>
      <c r="Z1463" s="57"/>
    </row>
    <row r="1464">
      <c r="A1464" s="58">
        <v>8534698.0</v>
      </c>
      <c r="B1464" s="57" t="s">
        <v>3304</v>
      </c>
      <c r="C1464" s="57" t="s">
        <v>247</v>
      </c>
      <c r="D1464" s="58">
        <v>5.07</v>
      </c>
      <c r="E1464" s="58">
        <v>1666.11</v>
      </c>
      <c r="F1464" s="58">
        <v>3872595.0</v>
      </c>
      <c r="G1464" s="57" t="s">
        <v>3311</v>
      </c>
      <c r="H1464" s="57" t="s">
        <v>3313</v>
      </c>
      <c r="I1464" s="57"/>
      <c r="J1464" s="57"/>
      <c r="K1464" s="57"/>
      <c r="L1464" s="57"/>
      <c r="M1464" s="57"/>
      <c r="N1464" s="57"/>
      <c r="O1464" s="57"/>
      <c r="P1464" s="57"/>
      <c r="Q1464" s="57"/>
      <c r="R1464" s="57"/>
      <c r="S1464" s="57"/>
      <c r="T1464" s="57"/>
      <c r="U1464" s="57"/>
      <c r="V1464" s="57"/>
      <c r="W1464" s="57"/>
      <c r="X1464" s="57"/>
      <c r="Y1464" s="57"/>
      <c r="Z1464" s="57"/>
    </row>
    <row r="1465">
      <c r="A1465" s="58">
        <v>8534696.0</v>
      </c>
      <c r="B1465" s="57" t="s">
        <v>3304</v>
      </c>
      <c r="C1465" s="57" t="s">
        <v>247</v>
      </c>
      <c r="D1465" s="58">
        <v>0.85</v>
      </c>
      <c r="E1465" s="58">
        <v>1666.96</v>
      </c>
      <c r="F1465" s="58">
        <v>3872612.0</v>
      </c>
      <c r="G1465" s="57" t="s">
        <v>3314</v>
      </c>
      <c r="H1465" s="57" t="s">
        <v>3315</v>
      </c>
      <c r="I1465" s="57"/>
      <c r="J1465" s="57"/>
      <c r="K1465" s="57"/>
      <c r="L1465" s="57"/>
      <c r="M1465" s="57"/>
      <c r="N1465" s="57"/>
      <c r="O1465" s="57"/>
      <c r="P1465" s="57"/>
      <c r="Q1465" s="57"/>
      <c r="R1465" s="57"/>
      <c r="S1465" s="57"/>
      <c r="T1465" s="57"/>
      <c r="U1465" s="57"/>
      <c r="V1465" s="57"/>
      <c r="W1465" s="57"/>
      <c r="X1465" s="57"/>
      <c r="Y1465" s="57"/>
      <c r="Z1465" s="57"/>
    </row>
    <row r="1466">
      <c r="A1466" s="58">
        <v>8534695.0</v>
      </c>
      <c r="B1466" s="57" t="s">
        <v>3304</v>
      </c>
      <c r="C1466" s="57" t="s">
        <v>247</v>
      </c>
      <c r="D1466" s="58">
        <v>5.09</v>
      </c>
      <c r="E1466" s="58">
        <v>1672.05</v>
      </c>
      <c r="F1466" s="58">
        <v>3872612.0</v>
      </c>
      <c r="G1466" s="57" t="s">
        <v>3314</v>
      </c>
      <c r="H1466" s="57" t="s">
        <v>3316</v>
      </c>
      <c r="I1466" s="57"/>
      <c r="J1466" s="57"/>
      <c r="K1466" s="57"/>
      <c r="L1466" s="57"/>
      <c r="M1466" s="57"/>
      <c r="N1466" s="57"/>
      <c r="O1466" s="57"/>
      <c r="P1466" s="57"/>
      <c r="Q1466" s="57"/>
      <c r="R1466" s="57"/>
      <c r="S1466" s="57"/>
      <c r="T1466" s="57"/>
      <c r="U1466" s="57"/>
      <c r="V1466" s="57"/>
      <c r="W1466" s="57"/>
      <c r="X1466" s="57"/>
      <c r="Y1466" s="57"/>
      <c r="Z1466" s="57"/>
    </row>
    <row r="1467">
      <c r="A1467" s="58">
        <v>8534693.0</v>
      </c>
      <c r="B1467" s="57" t="s">
        <v>3304</v>
      </c>
      <c r="C1467" s="57" t="s">
        <v>247</v>
      </c>
      <c r="D1467" s="58">
        <v>0.85</v>
      </c>
      <c r="E1467" s="58">
        <v>1672.9</v>
      </c>
      <c r="F1467" s="58">
        <v>3872913.0</v>
      </c>
      <c r="G1467" s="57" t="s">
        <v>3317</v>
      </c>
      <c r="H1467" s="57" t="s">
        <v>3318</v>
      </c>
      <c r="I1467" s="57"/>
      <c r="J1467" s="57"/>
      <c r="K1467" s="57"/>
      <c r="L1467" s="57"/>
      <c r="M1467" s="57"/>
      <c r="N1467" s="57"/>
      <c r="O1467" s="57"/>
      <c r="P1467" s="57"/>
      <c r="Q1467" s="57"/>
      <c r="R1467" s="57"/>
      <c r="S1467" s="57"/>
      <c r="T1467" s="57"/>
      <c r="U1467" s="57"/>
      <c r="V1467" s="57"/>
      <c r="W1467" s="57"/>
      <c r="X1467" s="57"/>
      <c r="Y1467" s="57"/>
      <c r="Z1467" s="57"/>
    </row>
    <row r="1468">
      <c r="A1468" s="58">
        <v>8534692.0</v>
      </c>
      <c r="B1468" s="57" t="s">
        <v>3304</v>
      </c>
      <c r="C1468" s="57" t="s">
        <v>247</v>
      </c>
      <c r="D1468" s="58">
        <v>5.07</v>
      </c>
      <c r="E1468" s="58">
        <v>1677.97</v>
      </c>
      <c r="F1468" s="58">
        <v>3872913.0</v>
      </c>
      <c r="G1468" s="57" t="s">
        <v>3317</v>
      </c>
      <c r="H1468" s="57" t="s">
        <v>3319</v>
      </c>
      <c r="I1468" s="57"/>
      <c r="J1468" s="57"/>
      <c r="K1468" s="57"/>
      <c r="L1468" s="57"/>
      <c r="M1468" s="57"/>
      <c r="N1468" s="57"/>
      <c r="O1468" s="57"/>
      <c r="P1468" s="57"/>
      <c r="Q1468" s="57"/>
      <c r="R1468" s="57"/>
      <c r="S1468" s="57"/>
      <c r="T1468" s="57"/>
      <c r="U1468" s="57"/>
      <c r="V1468" s="57"/>
      <c r="W1468" s="57"/>
      <c r="X1468" s="57"/>
      <c r="Y1468" s="57"/>
      <c r="Z1468" s="57"/>
    </row>
    <row r="1469">
      <c r="A1469" s="58">
        <v>8534690.0</v>
      </c>
      <c r="B1469" s="57" t="s">
        <v>3304</v>
      </c>
      <c r="C1469" s="57" t="s">
        <v>247</v>
      </c>
      <c r="D1469" s="58">
        <v>0.85</v>
      </c>
      <c r="E1469" s="58">
        <v>1678.82</v>
      </c>
      <c r="F1469" s="58">
        <v>3872967.0</v>
      </c>
      <c r="G1469" s="57" t="s">
        <v>3320</v>
      </c>
      <c r="H1469" s="57" t="s">
        <v>3321</v>
      </c>
      <c r="I1469" s="57"/>
      <c r="J1469" s="57"/>
      <c r="K1469" s="57"/>
      <c r="L1469" s="57"/>
      <c r="M1469" s="57"/>
      <c r="N1469" s="57"/>
      <c r="O1469" s="57"/>
      <c r="P1469" s="57"/>
      <c r="Q1469" s="57"/>
      <c r="R1469" s="57"/>
      <c r="S1469" s="57"/>
      <c r="T1469" s="57"/>
      <c r="U1469" s="57"/>
      <c r="V1469" s="57"/>
      <c r="W1469" s="57"/>
      <c r="X1469" s="57"/>
      <c r="Y1469" s="57"/>
      <c r="Z1469" s="57"/>
    </row>
    <row r="1470">
      <c r="A1470" s="58">
        <v>8534689.0</v>
      </c>
      <c r="B1470" s="57" t="s">
        <v>3304</v>
      </c>
      <c r="C1470" s="57" t="s">
        <v>247</v>
      </c>
      <c r="D1470" s="58">
        <v>5.13</v>
      </c>
      <c r="E1470" s="58">
        <v>1683.95</v>
      </c>
      <c r="F1470" s="58">
        <v>3872967.0</v>
      </c>
      <c r="G1470" s="57" t="s">
        <v>3320</v>
      </c>
      <c r="H1470" s="57" t="s">
        <v>3322</v>
      </c>
      <c r="I1470" s="57"/>
      <c r="J1470" s="57"/>
      <c r="K1470" s="57"/>
      <c r="L1470" s="57"/>
      <c r="M1470" s="57"/>
      <c r="N1470" s="57"/>
      <c r="O1470" s="57"/>
      <c r="P1470" s="57"/>
      <c r="Q1470" s="57"/>
      <c r="R1470" s="57"/>
      <c r="S1470" s="57"/>
      <c r="T1470" s="57"/>
      <c r="U1470" s="57"/>
      <c r="V1470" s="57"/>
      <c r="W1470" s="57"/>
      <c r="X1470" s="57"/>
      <c r="Y1470" s="57"/>
      <c r="Z1470" s="57"/>
    </row>
    <row r="1471">
      <c r="A1471" s="58">
        <v>8534687.0</v>
      </c>
      <c r="B1471" s="57" t="s">
        <v>3304</v>
      </c>
      <c r="C1471" s="57" t="s">
        <v>247</v>
      </c>
      <c r="D1471" s="58">
        <v>0.85</v>
      </c>
      <c r="E1471" s="58">
        <v>1684.8</v>
      </c>
      <c r="F1471" s="58">
        <v>3872992.0</v>
      </c>
      <c r="G1471" s="57" t="s">
        <v>3323</v>
      </c>
      <c r="H1471" s="57" t="s">
        <v>3324</v>
      </c>
      <c r="I1471" s="57"/>
      <c r="J1471" s="57"/>
      <c r="K1471" s="57"/>
      <c r="L1471" s="57"/>
      <c r="M1471" s="57"/>
      <c r="N1471" s="57"/>
      <c r="O1471" s="57"/>
      <c r="P1471" s="57"/>
      <c r="Q1471" s="57"/>
      <c r="R1471" s="57"/>
      <c r="S1471" s="57"/>
      <c r="T1471" s="57"/>
      <c r="U1471" s="57"/>
      <c r="V1471" s="57"/>
      <c r="W1471" s="57"/>
      <c r="X1471" s="57"/>
      <c r="Y1471" s="57"/>
      <c r="Z1471" s="57"/>
    </row>
    <row r="1472">
      <c r="A1472" s="58">
        <v>8534686.0</v>
      </c>
      <c r="B1472" s="57" t="s">
        <v>3304</v>
      </c>
      <c r="C1472" s="57" t="s">
        <v>247</v>
      </c>
      <c r="D1472" s="58">
        <v>3.46</v>
      </c>
      <c r="E1472" s="58">
        <v>1688.26</v>
      </c>
      <c r="F1472" s="58">
        <v>3872992.0</v>
      </c>
      <c r="G1472" s="57" t="s">
        <v>3323</v>
      </c>
      <c r="H1472" s="57" t="s">
        <v>3325</v>
      </c>
      <c r="I1472" s="57"/>
      <c r="J1472" s="57"/>
      <c r="K1472" s="57"/>
      <c r="L1472" s="57"/>
      <c r="M1472" s="57"/>
      <c r="N1472" s="57"/>
      <c r="O1472" s="57"/>
      <c r="P1472" s="57"/>
      <c r="Q1472" s="57"/>
      <c r="R1472" s="57"/>
      <c r="S1472" s="57"/>
      <c r="T1472" s="57"/>
      <c r="U1472" s="57"/>
      <c r="V1472" s="57"/>
      <c r="W1472" s="57"/>
      <c r="X1472" s="57"/>
      <c r="Y1472" s="57"/>
      <c r="Z1472" s="57"/>
    </row>
    <row r="1473">
      <c r="A1473" s="58">
        <v>8534684.0</v>
      </c>
      <c r="B1473" s="57" t="s">
        <v>3304</v>
      </c>
      <c r="C1473" s="57" t="s">
        <v>247</v>
      </c>
      <c r="D1473" s="58">
        <v>0.85</v>
      </c>
      <c r="E1473" s="58">
        <v>1689.11</v>
      </c>
      <c r="F1473" s="58">
        <v>3873012.0</v>
      </c>
      <c r="G1473" s="57" t="s">
        <v>2945</v>
      </c>
      <c r="H1473" s="57" t="s">
        <v>3326</v>
      </c>
      <c r="I1473" s="57"/>
      <c r="J1473" s="57"/>
      <c r="K1473" s="57"/>
      <c r="L1473" s="57"/>
      <c r="M1473" s="57"/>
      <c r="N1473" s="57"/>
      <c r="O1473" s="57"/>
      <c r="P1473" s="57"/>
      <c r="Q1473" s="57"/>
      <c r="R1473" s="57"/>
      <c r="S1473" s="57"/>
      <c r="T1473" s="57"/>
      <c r="U1473" s="57"/>
      <c r="V1473" s="57"/>
      <c r="W1473" s="57"/>
      <c r="X1473" s="57"/>
      <c r="Y1473" s="57"/>
      <c r="Z1473" s="57"/>
    </row>
    <row r="1474">
      <c r="A1474" s="58">
        <v>8534683.0</v>
      </c>
      <c r="B1474" s="57" t="s">
        <v>3304</v>
      </c>
      <c r="C1474" s="57" t="s">
        <v>247</v>
      </c>
      <c r="D1474" s="58">
        <v>5.13</v>
      </c>
      <c r="E1474" s="58">
        <v>1694.24</v>
      </c>
      <c r="F1474" s="58">
        <v>3873012.0</v>
      </c>
      <c r="G1474" s="57" t="s">
        <v>2945</v>
      </c>
      <c r="H1474" s="57" t="s">
        <v>3327</v>
      </c>
      <c r="I1474" s="57"/>
      <c r="J1474" s="57"/>
      <c r="K1474" s="57"/>
      <c r="L1474" s="57"/>
      <c r="M1474" s="57"/>
      <c r="N1474" s="57"/>
      <c r="O1474" s="57"/>
      <c r="P1474" s="57"/>
      <c r="Q1474" s="57"/>
      <c r="R1474" s="57"/>
      <c r="S1474" s="57"/>
      <c r="T1474" s="57"/>
      <c r="U1474" s="57"/>
      <c r="V1474" s="57"/>
      <c r="W1474" s="57"/>
      <c r="X1474" s="57"/>
      <c r="Y1474" s="57"/>
      <c r="Z1474" s="57"/>
    </row>
    <row r="1475">
      <c r="A1475" s="58">
        <v>8534681.0</v>
      </c>
      <c r="B1475" s="57" t="s">
        <v>3304</v>
      </c>
      <c r="C1475" s="57" t="s">
        <v>247</v>
      </c>
      <c r="D1475" s="58">
        <v>0.85</v>
      </c>
      <c r="E1475" s="58">
        <v>1695.09</v>
      </c>
      <c r="F1475" s="58">
        <v>3873063.0</v>
      </c>
      <c r="G1475" s="57" t="s">
        <v>3328</v>
      </c>
      <c r="H1475" s="57" t="s">
        <v>3329</v>
      </c>
      <c r="I1475" s="57"/>
      <c r="J1475" s="57"/>
      <c r="K1475" s="57"/>
      <c r="L1475" s="57"/>
      <c r="M1475" s="57"/>
      <c r="N1475" s="57"/>
      <c r="O1475" s="57"/>
      <c r="P1475" s="57"/>
      <c r="Q1475" s="57"/>
      <c r="R1475" s="57"/>
      <c r="S1475" s="57"/>
      <c r="T1475" s="57"/>
      <c r="U1475" s="57"/>
      <c r="V1475" s="57"/>
      <c r="W1475" s="57"/>
      <c r="X1475" s="57"/>
      <c r="Y1475" s="57"/>
      <c r="Z1475" s="57"/>
    </row>
    <row r="1476">
      <c r="A1476" s="58">
        <v>8534680.0</v>
      </c>
      <c r="B1476" s="57" t="s">
        <v>3304</v>
      </c>
      <c r="C1476" s="57" t="s">
        <v>247</v>
      </c>
      <c r="D1476" s="58">
        <v>5.09</v>
      </c>
      <c r="E1476" s="58">
        <v>1700.18</v>
      </c>
      <c r="F1476" s="58">
        <v>3873063.0</v>
      </c>
      <c r="G1476" s="57" t="s">
        <v>3328</v>
      </c>
      <c r="H1476" s="57" t="s">
        <v>3330</v>
      </c>
      <c r="I1476" s="57"/>
      <c r="J1476" s="57"/>
      <c r="K1476" s="57"/>
      <c r="L1476" s="57"/>
      <c r="M1476" s="57"/>
      <c r="N1476" s="57"/>
      <c r="O1476" s="57"/>
      <c r="P1476" s="57"/>
      <c r="Q1476" s="57"/>
      <c r="R1476" s="57"/>
      <c r="S1476" s="57"/>
      <c r="T1476" s="57"/>
      <c r="U1476" s="57"/>
      <c r="V1476" s="57"/>
      <c r="W1476" s="57"/>
      <c r="X1476" s="57"/>
      <c r="Y1476" s="57"/>
      <c r="Z1476" s="57"/>
    </row>
    <row r="1477">
      <c r="A1477" s="58">
        <v>8534678.0</v>
      </c>
      <c r="B1477" s="57" t="s">
        <v>3304</v>
      </c>
      <c r="C1477" s="57" t="s">
        <v>247</v>
      </c>
      <c r="D1477" s="58">
        <v>0.85</v>
      </c>
      <c r="E1477" s="58">
        <v>1701.03</v>
      </c>
      <c r="F1477" s="58">
        <v>3873897.0</v>
      </c>
      <c r="G1477" s="57" t="s">
        <v>3331</v>
      </c>
      <c r="H1477" s="57" t="s">
        <v>3332</v>
      </c>
      <c r="I1477" s="57"/>
      <c r="J1477" s="57"/>
      <c r="K1477" s="57"/>
      <c r="L1477" s="57"/>
      <c r="M1477" s="57"/>
      <c r="N1477" s="57"/>
      <c r="O1477" s="57"/>
      <c r="P1477" s="57"/>
      <c r="Q1477" s="57"/>
      <c r="R1477" s="57"/>
      <c r="S1477" s="57"/>
      <c r="T1477" s="57"/>
      <c r="U1477" s="57"/>
      <c r="V1477" s="57"/>
      <c r="W1477" s="57"/>
      <c r="X1477" s="57"/>
      <c r="Y1477" s="57"/>
      <c r="Z1477" s="57"/>
    </row>
    <row r="1478">
      <c r="A1478" s="58">
        <v>8534677.0</v>
      </c>
      <c r="B1478" s="57" t="s">
        <v>3304</v>
      </c>
      <c r="C1478" s="57" t="s">
        <v>247</v>
      </c>
      <c r="D1478" s="58">
        <v>3.46</v>
      </c>
      <c r="E1478" s="58">
        <v>1704.49</v>
      </c>
      <c r="F1478" s="58">
        <v>3873897.0</v>
      </c>
      <c r="G1478" s="57" t="s">
        <v>3331</v>
      </c>
      <c r="H1478" s="57" t="s">
        <v>3333</v>
      </c>
      <c r="I1478" s="57"/>
      <c r="J1478" s="57"/>
      <c r="K1478" s="57"/>
      <c r="L1478" s="57"/>
      <c r="M1478" s="57"/>
      <c r="N1478" s="57"/>
      <c r="O1478" s="57"/>
      <c r="P1478" s="57"/>
      <c r="Q1478" s="57"/>
      <c r="R1478" s="57"/>
      <c r="S1478" s="57"/>
      <c r="T1478" s="57"/>
      <c r="U1478" s="57"/>
      <c r="V1478" s="57"/>
      <c r="W1478" s="57"/>
      <c r="X1478" s="57"/>
      <c r="Y1478" s="57"/>
      <c r="Z1478" s="57"/>
    </row>
    <row r="1479">
      <c r="A1479" s="58">
        <v>8534675.0</v>
      </c>
      <c r="B1479" s="57" t="s">
        <v>3304</v>
      </c>
      <c r="C1479" s="57" t="s">
        <v>247</v>
      </c>
      <c r="D1479" s="58">
        <v>0.85</v>
      </c>
      <c r="E1479" s="58">
        <v>1705.34</v>
      </c>
      <c r="F1479" s="58">
        <v>3873956.0</v>
      </c>
      <c r="G1479" s="57" t="s">
        <v>3334</v>
      </c>
      <c r="H1479" s="57" t="s">
        <v>3335</v>
      </c>
      <c r="I1479" s="57"/>
      <c r="J1479" s="57"/>
      <c r="K1479" s="57"/>
      <c r="L1479" s="57"/>
      <c r="M1479" s="57"/>
      <c r="N1479" s="57"/>
      <c r="O1479" s="57"/>
      <c r="P1479" s="57"/>
      <c r="Q1479" s="57"/>
      <c r="R1479" s="57"/>
      <c r="S1479" s="57"/>
      <c r="T1479" s="57"/>
      <c r="U1479" s="57"/>
      <c r="V1479" s="57"/>
      <c r="W1479" s="57"/>
      <c r="X1479" s="57"/>
      <c r="Y1479" s="57"/>
      <c r="Z1479" s="57"/>
    </row>
    <row r="1480">
      <c r="A1480" s="58">
        <v>8534674.0</v>
      </c>
      <c r="B1480" s="57" t="s">
        <v>3304</v>
      </c>
      <c r="C1480" s="57" t="s">
        <v>247</v>
      </c>
      <c r="D1480" s="58">
        <v>5.07</v>
      </c>
      <c r="E1480" s="58">
        <v>1710.41</v>
      </c>
      <c r="F1480" s="58">
        <v>3873956.0</v>
      </c>
      <c r="G1480" s="57" t="s">
        <v>3334</v>
      </c>
      <c r="H1480" s="57" t="s">
        <v>3336</v>
      </c>
      <c r="I1480" s="57"/>
      <c r="J1480" s="57"/>
      <c r="K1480" s="57"/>
      <c r="L1480" s="57"/>
      <c r="M1480" s="57"/>
      <c r="N1480" s="57"/>
      <c r="O1480" s="57"/>
      <c r="P1480" s="57"/>
      <c r="Q1480" s="57"/>
      <c r="R1480" s="57"/>
      <c r="S1480" s="57"/>
      <c r="T1480" s="57"/>
      <c r="U1480" s="57"/>
      <c r="V1480" s="57"/>
      <c r="W1480" s="57"/>
      <c r="X1480" s="57"/>
      <c r="Y1480" s="57"/>
      <c r="Z1480" s="57"/>
    </row>
    <row r="1481">
      <c r="A1481" s="58">
        <v>8534335.0</v>
      </c>
      <c r="B1481" s="57" t="s">
        <v>3337</v>
      </c>
      <c r="C1481" s="57" t="s">
        <v>247</v>
      </c>
      <c r="D1481" s="58">
        <v>0.85</v>
      </c>
      <c r="E1481" s="58">
        <v>1711.26</v>
      </c>
      <c r="F1481" s="58">
        <v>3815796.0</v>
      </c>
      <c r="G1481" s="57" t="s">
        <v>3338</v>
      </c>
      <c r="H1481" s="57" t="s">
        <v>3339</v>
      </c>
      <c r="I1481" s="57"/>
      <c r="J1481" s="57"/>
      <c r="K1481" s="57"/>
      <c r="L1481" s="57"/>
      <c r="M1481" s="57"/>
      <c r="N1481" s="57"/>
      <c r="O1481" s="57"/>
      <c r="P1481" s="57"/>
      <c r="Q1481" s="57"/>
      <c r="R1481" s="57"/>
      <c r="S1481" s="57"/>
      <c r="T1481" s="57"/>
      <c r="U1481" s="57"/>
      <c r="V1481" s="57"/>
      <c r="W1481" s="57"/>
      <c r="X1481" s="57"/>
      <c r="Y1481" s="57"/>
      <c r="Z1481" s="57"/>
    </row>
    <row r="1482">
      <c r="A1482" s="58">
        <v>8534334.0</v>
      </c>
      <c r="B1482" s="57" t="s">
        <v>3337</v>
      </c>
      <c r="C1482" s="57" t="s">
        <v>247</v>
      </c>
      <c r="D1482" s="58">
        <v>5.67</v>
      </c>
      <c r="E1482" s="58">
        <v>1716.93</v>
      </c>
      <c r="F1482" s="58">
        <v>3815796.0</v>
      </c>
      <c r="G1482" s="57" t="s">
        <v>3338</v>
      </c>
      <c r="H1482" s="57" t="s">
        <v>3340</v>
      </c>
      <c r="I1482" s="57"/>
      <c r="J1482" s="57"/>
      <c r="K1482" s="57"/>
      <c r="L1482" s="57"/>
      <c r="M1482" s="57"/>
      <c r="N1482" s="57"/>
      <c r="O1482" s="57"/>
      <c r="P1482" s="57"/>
      <c r="Q1482" s="57"/>
      <c r="R1482" s="57"/>
      <c r="S1482" s="57"/>
      <c r="T1482" s="57"/>
      <c r="U1482" s="57"/>
      <c r="V1482" s="57"/>
      <c r="W1482" s="57"/>
      <c r="X1482" s="57"/>
      <c r="Y1482" s="57"/>
      <c r="Z1482" s="57"/>
    </row>
    <row r="1483">
      <c r="A1483" s="58">
        <v>8534332.0</v>
      </c>
      <c r="B1483" s="57" t="s">
        <v>3337</v>
      </c>
      <c r="C1483" s="57" t="s">
        <v>247</v>
      </c>
      <c r="D1483" s="58">
        <v>0.85</v>
      </c>
      <c r="E1483" s="58">
        <v>1717.78</v>
      </c>
      <c r="F1483" s="58">
        <v>3826021.0</v>
      </c>
      <c r="G1483" s="57" t="s">
        <v>3341</v>
      </c>
      <c r="H1483" s="57" t="s">
        <v>3342</v>
      </c>
      <c r="I1483" s="57"/>
      <c r="J1483" s="57"/>
      <c r="K1483" s="57"/>
      <c r="L1483" s="57"/>
      <c r="M1483" s="57"/>
      <c r="N1483" s="57"/>
      <c r="O1483" s="57"/>
      <c r="P1483" s="57"/>
      <c r="Q1483" s="57"/>
      <c r="R1483" s="57"/>
      <c r="S1483" s="57"/>
      <c r="T1483" s="57"/>
      <c r="U1483" s="57"/>
      <c r="V1483" s="57"/>
      <c r="W1483" s="57"/>
      <c r="X1483" s="57"/>
      <c r="Y1483" s="57"/>
      <c r="Z1483" s="57"/>
    </row>
    <row r="1484">
      <c r="A1484" s="58">
        <v>8534331.0</v>
      </c>
      <c r="B1484" s="57" t="s">
        <v>3337</v>
      </c>
      <c r="C1484" s="57" t="s">
        <v>247</v>
      </c>
      <c r="D1484" s="58">
        <v>5.07</v>
      </c>
      <c r="E1484" s="58">
        <v>1722.85</v>
      </c>
      <c r="F1484" s="58">
        <v>3826021.0</v>
      </c>
      <c r="G1484" s="57" t="s">
        <v>3341</v>
      </c>
      <c r="H1484" s="57" t="s">
        <v>3343</v>
      </c>
      <c r="I1484" s="57"/>
      <c r="J1484" s="57"/>
      <c r="K1484" s="57"/>
      <c r="L1484" s="57"/>
      <c r="M1484" s="57"/>
      <c r="N1484" s="57"/>
      <c r="O1484" s="57"/>
      <c r="P1484" s="57"/>
      <c r="Q1484" s="57"/>
      <c r="R1484" s="57"/>
      <c r="S1484" s="57"/>
      <c r="T1484" s="57"/>
      <c r="U1484" s="57"/>
      <c r="V1484" s="57"/>
      <c r="W1484" s="57"/>
      <c r="X1484" s="57"/>
      <c r="Y1484" s="57"/>
      <c r="Z1484" s="57"/>
    </row>
    <row r="1485">
      <c r="A1485" s="58">
        <v>8534329.0</v>
      </c>
      <c r="B1485" s="57" t="s">
        <v>3337</v>
      </c>
      <c r="C1485" s="57" t="s">
        <v>247</v>
      </c>
      <c r="D1485" s="58">
        <v>0.85</v>
      </c>
      <c r="E1485" s="58">
        <v>1723.7</v>
      </c>
      <c r="F1485" s="58">
        <v>3871789.0</v>
      </c>
      <c r="G1485" s="57" t="s">
        <v>3344</v>
      </c>
      <c r="H1485" s="57" t="s">
        <v>3345</v>
      </c>
      <c r="I1485" s="57"/>
      <c r="J1485" s="57"/>
      <c r="K1485" s="57"/>
      <c r="L1485" s="57"/>
      <c r="M1485" s="57"/>
      <c r="N1485" s="57"/>
      <c r="O1485" s="57"/>
      <c r="P1485" s="57"/>
      <c r="Q1485" s="57"/>
      <c r="R1485" s="57"/>
      <c r="S1485" s="57"/>
      <c r="T1485" s="57"/>
      <c r="U1485" s="57"/>
      <c r="V1485" s="57"/>
      <c r="W1485" s="57"/>
      <c r="X1485" s="57"/>
      <c r="Y1485" s="57"/>
      <c r="Z1485" s="57"/>
    </row>
    <row r="1486">
      <c r="A1486" s="58">
        <v>8534328.0</v>
      </c>
      <c r="B1486" s="57" t="s">
        <v>3337</v>
      </c>
      <c r="C1486" s="57" t="s">
        <v>247</v>
      </c>
      <c r="D1486" s="58">
        <v>3.52</v>
      </c>
      <c r="E1486" s="58">
        <v>1727.22</v>
      </c>
      <c r="F1486" s="58">
        <v>3871789.0</v>
      </c>
      <c r="G1486" s="57" t="s">
        <v>3344</v>
      </c>
      <c r="H1486" s="57" t="s">
        <v>3346</v>
      </c>
      <c r="I1486" s="57"/>
      <c r="J1486" s="57"/>
      <c r="K1486" s="57"/>
      <c r="L1486" s="57"/>
      <c r="M1486" s="57"/>
      <c r="N1486" s="57"/>
      <c r="O1486" s="57"/>
      <c r="P1486" s="57"/>
      <c r="Q1486" s="57"/>
      <c r="R1486" s="57"/>
      <c r="S1486" s="57"/>
      <c r="T1486" s="57"/>
      <c r="U1486" s="57"/>
      <c r="V1486" s="57"/>
      <c r="W1486" s="57"/>
      <c r="X1486" s="57"/>
      <c r="Y1486" s="57"/>
      <c r="Z1486" s="57"/>
    </row>
    <row r="1487">
      <c r="A1487" s="58">
        <v>8534326.0</v>
      </c>
      <c r="B1487" s="57" t="s">
        <v>3337</v>
      </c>
      <c r="C1487" s="57" t="s">
        <v>247</v>
      </c>
      <c r="D1487" s="58">
        <v>0.85</v>
      </c>
      <c r="E1487" s="58">
        <v>1728.07</v>
      </c>
      <c r="F1487" s="58">
        <v>3871876.0</v>
      </c>
      <c r="G1487" s="57" t="s">
        <v>3347</v>
      </c>
      <c r="H1487" s="57" t="s">
        <v>3348</v>
      </c>
      <c r="I1487" s="57"/>
      <c r="J1487" s="57"/>
      <c r="K1487" s="57"/>
      <c r="L1487" s="57"/>
      <c r="M1487" s="57"/>
      <c r="N1487" s="57"/>
      <c r="O1487" s="57"/>
      <c r="P1487" s="57"/>
      <c r="Q1487" s="57"/>
      <c r="R1487" s="57"/>
      <c r="S1487" s="57"/>
      <c r="T1487" s="57"/>
      <c r="U1487" s="57"/>
      <c r="V1487" s="57"/>
      <c r="W1487" s="57"/>
      <c r="X1487" s="57"/>
      <c r="Y1487" s="57"/>
      <c r="Z1487" s="57"/>
    </row>
    <row r="1488">
      <c r="A1488" s="58">
        <v>8534325.0</v>
      </c>
      <c r="B1488" s="57" t="s">
        <v>3337</v>
      </c>
      <c r="C1488" s="57" t="s">
        <v>247</v>
      </c>
      <c r="D1488" s="58">
        <v>3.46</v>
      </c>
      <c r="E1488" s="58">
        <v>1731.53</v>
      </c>
      <c r="F1488" s="58">
        <v>3871876.0</v>
      </c>
      <c r="G1488" s="57" t="s">
        <v>3347</v>
      </c>
      <c r="H1488" s="57" t="s">
        <v>3349</v>
      </c>
      <c r="I1488" s="57"/>
      <c r="J1488" s="57"/>
      <c r="K1488" s="57"/>
      <c r="L1488" s="57"/>
      <c r="M1488" s="57"/>
      <c r="N1488" s="57"/>
      <c r="O1488" s="57"/>
      <c r="P1488" s="57"/>
      <c r="Q1488" s="57"/>
      <c r="R1488" s="57"/>
      <c r="S1488" s="57"/>
      <c r="T1488" s="57"/>
      <c r="U1488" s="57"/>
      <c r="V1488" s="57"/>
      <c r="W1488" s="57"/>
      <c r="X1488" s="57"/>
      <c r="Y1488" s="57"/>
      <c r="Z1488" s="57"/>
    </row>
    <row r="1489">
      <c r="A1489" s="58">
        <v>8534323.0</v>
      </c>
      <c r="B1489" s="57" t="s">
        <v>3337</v>
      </c>
      <c r="C1489" s="57" t="s">
        <v>247</v>
      </c>
      <c r="D1489" s="58">
        <v>0.85</v>
      </c>
      <c r="E1489" s="58">
        <v>1732.38</v>
      </c>
      <c r="F1489" s="58">
        <v>3871955.0</v>
      </c>
      <c r="G1489" s="57" t="s">
        <v>3350</v>
      </c>
      <c r="H1489" s="57" t="s">
        <v>3351</v>
      </c>
      <c r="I1489" s="57"/>
      <c r="J1489" s="57"/>
      <c r="K1489" s="57"/>
      <c r="L1489" s="57"/>
      <c r="M1489" s="57"/>
      <c r="N1489" s="57"/>
      <c r="O1489" s="57"/>
      <c r="P1489" s="57"/>
      <c r="Q1489" s="57"/>
      <c r="R1489" s="57"/>
      <c r="S1489" s="57"/>
      <c r="T1489" s="57"/>
      <c r="U1489" s="57"/>
      <c r="V1489" s="57"/>
      <c r="W1489" s="57"/>
      <c r="X1489" s="57"/>
      <c r="Y1489" s="57"/>
      <c r="Z1489" s="57"/>
    </row>
    <row r="1490">
      <c r="A1490" s="58">
        <v>8534322.0</v>
      </c>
      <c r="B1490" s="57" t="s">
        <v>3337</v>
      </c>
      <c r="C1490" s="57" t="s">
        <v>247</v>
      </c>
      <c r="D1490" s="58">
        <v>5.07</v>
      </c>
      <c r="E1490" s="58">
        <v>1737.45</v>
      </c>
      <c r="F1490" s="58">
        <v>3871955.0</v>
      </c>
      <c r="G1490" s="57" t="s">
        <v>3350</v>
      </c>
      <c r="H1490" s="57" t="s">
        <v>3352</v>
      </c>
      <c r="I1490" s="57"/>
      <c r="J1490" s="57"/>
      <c r="K1490" s="57"/>
      <c r="L1490" s="57"/>
      <c r="M1490" s="57"/>
      <c r="N1490" s="57"/>
      <c r="O1490" s="57"/>
      <c r="P1490" s="57"/>
      <c r="Q1490" s="57"/>
      <c r="R1490" s="57"/>
      <c r="S1490" s="57"/>
      <c r="T1490" s="57"/>
      <c r="U1490" s="57"/>
      <c r="V1490" s="57"/>
      <c r="W1490" s="57"/>
      <c r="X1490" s="57"/>
      <c r="Y1490" s="57"/>
      <c r="Z1490" s="57"/>
    </row>
    <row r="1491">
      <c r="A1491" s="58">
        <v>8534320.0</v>
      </c>
      <c r="B1491" s="57" t="s">
        <v>3337</v>
      </c>
      <c r="C1491" s="57" t="s">
        <v>247</v>
      </c>
      <c r="D1491" s="58">
        <v>0.85</v>
      </c>
      <c r="E1491" s="58">
        <v>1738.3</v>
      </c>
      <c r="F1491" s="58">
        <v>3826453.0</v>
      </c>
      <c r="G1491" s="57" t="s">
        <v>3353</v>
      </c>
      <c r="H1491" s="57" t="s">
        <v>3354</v>
      </c>
      <c r="I1491" s="57"/>
      <c r="J1491" s="57"/>
      <c r="K1491" s="57"/>
      <c r="L1491" s="57"/>
      <c r="M1491" s="57"/>
      <c r="N1491" s="57"/>
      <c r="O1491" s="57"/>
      <c r="P1491" s="57"/>
      <c r="Q1491" s="57"/>
      <c r="R1491" s="57"/>
      <c r="S1491" s="57"/>
      <c r="T1491" s="57"/>
      <c r="U1491" s="57"/>
      <c r="V1491" s="57"/>
      <c r="W1491" s="57"/>
      <c r="X1491" s="57"/>
      <c r="Y1491" s="57"/>
      <c r="Z1491" s="57"/>
    </row>
    <row r="1492">
      <c r="A1492" s="58">
        <v>8534319.0</v>
      </c>
      <c r="B1492" s="57" t="s">
        <v>3337</v>
      </c>
      <c r="C1492" s="57" t="s">
        <v>247</v>
      </c>
      <c r="D1492" s="58">
        <v>5.07</v>
      </c>
      <c r="E1492" s="58">
        <v>1743.37</v>
      </c>
      <c r="F1492" s="58">
        <v>3826453.0</v>
      </c>
      <c r="G1492" s="57" t="s">
        <v>3353</v>
      </c>
      <c r="H1492" s="57" t="s">
        <v>3355</v>
      </c>
      <c r="I1492" s="57"/>
      <c r="J1492" s="57"/>
      <c r="K1492" s="57"/>
      <c r="L1492" s="57"/>
      <c r="M1492" s="57"/>
      <c r="N1492" s="57"/>
      <c r="O1492" s="57"/>
      <c r="P1492" s="57"/>
      <c r="Q1492" s="57"/>
      <c r="R1492" s="57"/>
      <c r="S1492" s="57"/>
      <c r="T1492" s="57"/>
      <c r="U1492" s="57"/>
      <c r="V1492" s="57"/>
      <c r="W1492" s="57"/>
      <c r="X1492" s="57"/>
      <c r="Y1492" s="57"/>
      <c r="Z1492" s="57"/>
    </row>
    <row r="1493">
      <c r="A1493" s="58">
        <v>8534317.0</v>
      </c>
      <c r="B1493" s="57" t="s">
        <v>3337</v>
      </c>
      <c r="C1493" s="57" t="s">
        <v>247</v>
      </c>
      <c r="D1493" s="58">
        <v>0.85</v>
      </c>
      <c r="E1493" s="58">
        <v>1744.22</v>
      </c>
      <c r="F1493" s="58">
        <v>3827719.0</v>
      </c>
      <c r="G1493" s="57" t="s">
        <v>3356</v>
      </c>
      <c r="H1493" s="57" t="s">
        <v>3357</v>
      </c>
      <c r="I1493" s="57"/>
      <c r="J1493" s="57"/>
      <c r="K1493" s="57"/>
      <c r="L1493" s="57"/>
      <c r="M1493" s="57"/>
      <c r="N1493" s="57"/>
      <c r="O1493" s="57"/>
      <c r="P1493" s="57"/>
      <c r="Q1493" s="57"/>
      <c r="R1493" s="57"/>
      <c r="S1493" s="57"/>
      <c r="T1493" s="57"/>
      <c r="U1493" s="57"/>
      <c r="V1493" s="57"/>
      <c r="W1493" s="57"/>
      <c r="X1493" s="57"/>
      <c r="Y1493" s="57"/>
      <c r="Z1493" s="57"/>
    </row>
    <row r="1494">
      <c r="A1494" s="58">
        <v>8534316.0</v>
      </c>
      <c r="B1494" s="57" t="s">
        <v>3337</v>
      </c>
      <c r="C1494" s="57" t="s">
        <v>247</v>
      </c>
      <c r="D1494" s="58">
        <v>5.07</v>
      </c>
      <c r="E1494" s="58">
        <v>1749.29</v>
      </c>
      <c r="F1494" s="58">
        <v>3827719.0</v>
      </c>
      <c r="G1494" s="57" t="s">
        <v>3356</v>
      </c>
      <c r="H1494" s="57" t="s">
        <v>3358</v>
      </c>
      <c r="I1494" s="57"/>
      <c r="J1494" s="57"/>
      <c r="K1494" s="57"/>
      <c r="L1494" s="57"/>
      <c r="M1494" s="57"/>
      <c r="N1494" s="57"/>
      <c r="O1494" s="57"/>
      <c r="P1494" s="57"/>
      <c r="Q1494" s="57"/>
      <c r="R1494" s="57"/>
      <c r="S1494" s="57"/>
      <c r="T1494" s="57"/>
      <c r="U1494" s="57"/>
      <c r="V1494" s="57"/>
      <c r="W1494" s="57"/>
      <c r="X1494" s="57"/>
      <c r="Y1494" s="57"/>
      <c r="Z1494" s="57"/>
    </row>
    <row r="1495">
      <c r="A1495" s="58">
        <v>8534314.0</v>
      </c>
      <c r="B1495" s="57" t="s">
        <v>3337</v>
      </c>
      <c r="C1495" s="57" t="s">
        <v>247</v>
      </c>
      <c r="D1495" s="58">
        <v>0.85</v>
      </c>
      <c r="E1495" s="58">
        <v>1750.14</v>
      </c>
      <c r="F1495" s="58">
        <v>3827723.0</v>
      </c>
      <c r="G1495" s="57" t="s">
        <v>3359</v>
      </c>
      <c r="H1495" s="57" t="s">
        <v>3360</v>
      </c>
      <c r="I1495" s="57"/>
      <c r="J1495" s="57"/>
      <c r="K1495" s="57"/>
      <c r="L1495" s="57"/>
      <c r="M1495" s="57"/>
      <c r="N1495" s="57"/>
      <c r="O1495" s="57"/>
      <c r="P1495" s="57"/>
      <c r="Q1495" s="57"/>
      <c r="R1495" s="57"/>
      <c r="S1495" s="57"/>
      <c r="T1495" s="57"/>
      <c r="U1495" s="57"/>
      <c r="V1495" s="57"/>
      <c r="W1495" s="57"/>
      <c r="X1495" s="57"/>
      <c r="Y1495" s="57"/>
      <c r="Z1495" s="57"/>
    </row>
    <row r="1496">
      <c r="A1496" s="58">
        <v>8534313.0</v>
      </c>
      <c r="B1496" s="57" t="s">
        <v>3337</v>
      </c>
      <c r="C1496" s="57" t="s">
        <v>247</v>
      </c>
      <c r="D1496" s="58">
        <v>5.09</v>
      </c>
      <c r="E1496" s="58">
        <v>1755.23</v>
      </c>
      <c r="F1496" s="58">
        <v>3827723.0</v>
      </c>
      <c r="G1496" s="57" t="s">
        <v>3359</v>
      </c>
      <c r="H1496" s="57" t="s">
        <v>3361</v>
      </c>
      <c r="I1496" s="57"/>
      <c r="J1496" s="57"/>
      <c r="K1496" s="57"/>
      <c r="L1496" s="57"/>
      <c r="M1496" s="57"/>
      <c r="N1496" s="57"/>
      <c r="O1496" s="57"/>
      <c r="P1496" s="57"/>
      <c r="Q1496" s="57"/>
      <c r="R1496" s="57"/>
      <c r="S1496" s="57"/>
      <c r="T1496" s="57"/>
      <c r="U1496" s="57"/>
      <c r="V1496" s="57"/>
      <c r="W1496" s="57"/>
      <c r="X1496" s="57"/>
      <c r="Y1496" s="57"/>
      <c r="Z1496" s="57"/>
    </row>
    <row r="1497">
      <c r="A1497" s="58">
        <v>8534311.0</v>
      </c>
      <c r="B1497" s="57" t="s">
        <v>3337</v>
      </c>
      <c r="C1497" s="57" t="s">
        <v>247</v>
      </c>
      <c r="D1497" s="58">
        <v>0.85</v>
      </c>
      <c r="E1497" s="58">
        <v>1756.08</v>
      </c>
      <c r="F1497" s="58">
        <v>3831384.0</v>
      </c>
      <c r="G1497" s="57" t="s">
        <v>3362</v>
      </c>
      <c r="H1497" s="57" t="s">
        <v>3363</v>
      </c>
      <c r="I1497" s="57"/>
      <c r="J1497" s="57"/>
      <c r="K1497" s="57"/>
      <c r="L1497" s="57"/>
      <c r="M1497" s="57"/>
      <c r="N1497" s="57"/>
      <c r="O1497" s="57"/>
      <c r="P1497" s="57"/>
      <c r="Q1497" s="57"/>
      <c r="R1497" s="57"/>
      <c r="S1497" s="57"/>
      <c r="T1497" s="57"/>
      <c r="U1497" s="57"/>
      <c r="V1497" s="57"/>
      <c r="W1497" s="57"/>
      <c r="X1497" s="57"/>
      <c r="Y1497" s="57"/>
      <c r="Z1497" s="57"/>
    </row>
    <row r="1498">
      <c r="A1498" s="58">
        <v>8534310.0</v>
      </c>
      <c r="B1498" s="57" t="s">
        <v>3337</v>
      </c>
      <c r="C1498" s="57" t="s">
        <v>247</v>
      </c>
      <c r="D1498" s="58">
        <v>5.07</v>
      </c>
      <c r="E1498" s="58">
        <v>1761.15</v>
      </c>
      <c r="F1498" s="58">
        <v>3831384.0</v>
      </c>
      <c r="G1498" s="57" t="s">
        <v>3362</v>
      </c>
      <c r="H1498" s="57" t="s">
        <v>3364</v>
      </c>
      <c r="I1498" s="57"/>
      <c r="J1498" s="57"/>
      <c r="K1498" s="57"/>
      <c r="L1498" s="57"/>
      <c r="M1498" s="57"/>
      <c r="N1498" s="57"/>
      <c r="O1498" s="57"/>
      <c r="P1498" s="57"/>
      <c r="Q1498" s="57"/>
      <c r="R1498" s="57"/>
      <c r="S1498" s="57"/>
      <c r="T1498" s="57"/>
      <c r="U1498" s="57"/>
      <c r="V1498" s="57"/>
      <c r="W1498" s="57"/>
      <c r="X1498" s="57"/>
      <c r="Y1498" s="57"/>
      <c r="Z1498" s="57"/>
    </row>
    <row r="1499">
      <c r="A1499" s="58">
        <v>8534302.0</v>
      </c>
      <c r="B1499" s="57" t="s">
        <v>3337</v>
      </c>
      <c r="C1499" s="57" t="s">
        <v>247</v>
      </c>
      <c r="D1499" s="58">
        <v>0.85</v>
      </c>
      <c r="E1499" s="58">
        <v>1762.0</v>
      </c>
      <c r="F1499" s="58">
        <v>3851266.0</v>
      </c>
      <c r="G1499" s="57" t="s">
        <v>3365</v>
      </c>
      <c r="H1499" s="57" t="s">
        <v>3366</v>
      </c>
      <c r="I1499" s="57"/>
      <c r="J1499" s="57"/>
      <c r="K1499" s="57"/>
      <c r="L1499" s="57"/>
      <c r="M1499" s="57"/>
      <c r="N1499" s="57"/>
      <c r="O1499" s="57"/>
      <c r="P1499" s="57"/>
      <c r="Q1499" s="57"/>
      <c r="R1499" s="57"/>
      <c r="S1499" s="57"/>
      <c r="T1499" s="57"/>
      <c r="U1499" s="57"/>
      <c r="V1499" s="57"/>
      <c r="W1499" s="57"/>
      <c r="X1499" s="57"/>
      <c r="Y1499" s="57"/>
      <c r="Z1499" s="57"/>
    </row>
    <row r="1500">
      <c r="A1500" s="58">
        <v>8534301.0</v>
      </c>
      <c r="B1500" s="57" t="s">
        <v>3337</v>
      </c>
      <c r="C1500" s="57" t="s">
        <v>247</v>
      </c>
      <c r="D1500" s="58">
        <v>5.07</v>
      </c>
      <c r="E1500" s="58">
        <v>1767.07</v>
      </c>
      <c r="F1500" s="58">
        <v>3851266.0</v>
      </c>
      <c r="G1500" s="57" t="s">
        <v>3365</v>
      </c>
      <c r="H1500" s="57" t="s">
        <v>3367</v>
      </c>
      <c r="I1500" s="57"/>
      <c r="J1500" s="57"/>
      <c r="K1500" s="57"/>
      <c r="L1500" s="57"/>
      <c r="M1500" s="57"/>
      <c r="N1500" s="57"/>
      <c r="O1500" s="57"/>
      <c r="P1500" s="57"/>
      <c r="Q1500" s="57"/>
      <c r="R1500" s="57"/>
      <c r="S1500" s="57"/>
      <c r="T1500" s="57"/>
      <c r="U1500" s="57"/>
      <c r="V1500" s="57"/>
      <c r="W1500" s="57"/>
      <c r="X1500" s="57"/>
      <c r="Y1500" s="57"/>
      <c r="Z1500" s="57"/>
    </row>
    <row r="1501">
      <c r="A1501" s="58">
        <v>8534299.0</v>
      </c>
      <c r="B1501" s="57" t="s">
        <v>3337</v>
      </c>
      <c r="C1501" s="57" t="s">
        <v>247</v>
      </c>
      <c r="D1501" s="58">
        <v>0.85</v>
      </c>
      <c r="E1501" s="58">
        <v>1767.92</v>
      </c>
      <c r="F1501" s="58">
        <v>3852464.0</v>
      </c>
      <c r="G1501" s="57" t="s">
        <v>3368</v>
      </c>
      <c r="H1501" s="57" t="s">
        <v>3369</v>
      </c>
      <c r="I1501" s="57"/>
      <c r="J1501" s="57"/>
      <c r="K1501" s="57"/>
      <c r="L1501" s="57"/>
      <c r="M1501" s="57"/>
      <c r="N1501" s="57"/>
      <c r="O1501" s="57"/>
      <c r="P1501" s="57"/>
      <c r="Q1501" s="57"/>
      <c r="R1501" s="57"/>
      <c r="S1501" s="57"/>
      <c r="T1501" s="57"/>
      <c r="U1501" s="57"/>
      <c r="V1501" s="57"/>
      <c r="W1501" s="57"/>
      <c r="X1501" s="57"/>
      <c r="Y1501" s="57"/>
      <c r="Z1501" s="57"/>
    </row>
    <row r="1502">
      <c r="A1502" s="58">
        <v>8534298.0</v>
      </c>
      <c r="B1502" s="57" t="s">
        <v>3337</v>
      </c>
      <c r="C1502" s="57" t="s">
        <v>247</v>
      </c>
      <c r="D1502" s="58">
        <v>5.07</v>
      </c>
      <c r="E1502" s="58">
        <v>1772.99</v>
      </c>
      <c r="F1502" s="58">
        <v>3852464.0</v>
      </c>
      <c r="G1502" s="57" t="s">
        <v>3368</v>
      </c>
      <c r="H1502" s="57" t="s">
        <v>3370</v>
      </c>
      <c r="I1502" s="57"/>
      <c r="J1502" s="57"/>
      <c r="K1502" s="57"/>
      <c r="L1502" s="57"/>
      <c r="M1502" s="57"/>
      <c r="N1502" s="57"/>
      <c r="O1502" s="57"/>
      <c r="P1502" s="57"/>
      <c r="Q1502" s="57"/>
      <c r="R1502" s="57"/>
      <c r="S1502" s="57"/>
      <c r="T1502" s="57"/>
      <c r="U1502" s="57"/>
      <c r="V1502" s="57"/>
      <c r="W1502" s="57"/>
      <c r="X1502" s="57"/>
      <c r="Y1502" s="57"/>
      <c r="Z1502" s="57"/>
    </row>
    <row r="1503">
      <c r="A1503" s="58">
        <v>8530274.0</v>
      </c>
      <c r="B1503" s="57" t="s">
        <v>3371</v>
      </c>
      <c r="C1503" s="57" t="s">
        <v>247</v>
      </c>
      <c r="D1503" s="58">
        <v>0.85</v>
      </c>
      <c r="E1503" s="58">
        <v>1773.84</v>
      </c>
      <c r="F1503" s="58">
        <v>3682161.0</v>
      </c>
      <c r="G1503" s="58">
        <v>1.87286905E8</v>
      </c>
      <c r="H1503" s="57" t="s">
        <v>3372</v>
      </c>
      <c r="I1503" s="57"/>
      <c r="J1503" s="57"/>
      <c r="K1503" s="57"/>
      <c r="L1503" s="57"/>
      <c r="M1503" s="57"/>
      <c r="N1503" s="57"/>
      <c r="O1503" s="57"/>
      <c r="P1503" s="57"/>
      <c r="Q1503" s="57"/>
      <c r="R1503" s="57"/>
      <c r="S1503" s="57"/>
      <c r="T1503" s="57"/>
      <c r="U1503" s="57"/>
      <c r="V1503" s="57"/>
      <c r="W1503" s="57"/>
      <c r="X1503" s="57"/>
      <c r="Y1503" s="57"/>
      <c r="Z1503" s="57"/>
    </row>
    <row r="1504">
      <c r="A1504" s="58">
        <v>8530271.0</v>
      </c>
      <c r="B1504" s="57" t="s">
        <v>3371</v>
      </c>
      <c r="C1504" s="57" t="s">
        <v>247</v>
      </c>
      <c r="D1504" s="58">
        <v>7.77</v>
      </c>
      <c r="E1504" s="58">
        <v>1781.61</v>
      </c>
      <c r="F1504" s="58">
        <v>3682161.0</v>
      </c>
      <c r="G1504" s="58">
        <v>1.87286905E8</v>
      </c>
      <c r="H1504" s="57" t="s">
        <v>3373</v>
      </c>
      <c r="I1504" s="57"/>
      <c r="J1504" s="57"/>
      <c r="K1504" s="57"/>
      <c r="L1504" s="57"/>
      <c r="M1504" s="57"/>
      <c r="N1504" s="57"/>
      <c r="O1504" s="57"/>
      <c r="P1504" s="57"/>
      <c r="Q1504" s="57"/>
      <c r="R1504" s="57"/>
      <c r="S1504" s="57"/>
      <c r="T1504" s="57"/>
      <c r="U1504" s="57"/>
      <c r="V1504" s="57"/>
      <c r="W1504" s="57"/>
      <c r="X1504" s="57"/>
      <c r="Y1504" s="57"/>
      <c r="Z1504" s="57"/>
    </row>
    <row r="1505">
      <c r="A1505" s="58">
        <v>8523323.0</v>
      </c>
      <c r="B1505" s="57" t="s">
        <v>3374</v>
      </c>
      <c r="C1505" s="57" t="s">
        <v>210</v>
      </c>
      <c r="D1505" s="58">
        <v>7.33</v>
      </c>
      <c r="E1505" s="58">
        <v>1774.28</v>
      </c>
      <c r="F1505" s="58">
        <v>3943699.0</v>
      </c>
      <c r="G1505" s="58">
        <v>1.86896241E8</v>
      </c>
      <c r="H1505" s="57" t="s">
        <v>3375</v>
      </c>
      <c r="I1505" s="57"/>
      <c r="J1505" s="57"/>
      <c r="K1505" s="57"/>
      <c r="L1505" s="57"/>
      <c r="M1505" s="57"/>
      <c r="N1505" s="57"/>
      <c r="O1505" s="57"/>
      <c r="P1505" s="57"/>
      <c r="Q1505" s="57"/>
      <c r="R1505" s="57"/>
      <c r="S1505" s="57"/>
      <c r="T1505" s="57"/>
      <c r="U1505" s="57"/>
      <c r="V1505" s="57"/>
      <c r="W1505" s="57"/>
      <c r="X1505" s="57"/>
      <c r="Y1505" s="57"/>
      <c r="Z1505" s="5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67.0"/>
    <col customWidth="1" min="3" max="3" width="19.5"/>
    <col customWidth="1" min="4" max="4" width="21.0"/>
  </cols>
  <sheetData>
    <row r="1">
      <c r="A1" s="42" t="s">
        <v>3376</v>
      </c>
      <c r="B1" s="42" t="s">
        <v>3377</v>
      </c>
      <c r="C1" s="42" t="s">
        <v>3378</v>
      </c>
      <c r="D1" s="42" t="s">
        <v>3379</v>
      </c>
      <c r="E1" s="42" t="s">
        <v>3380</v>
      </c>
      <c r="F1" s="42" t="s">
        <v>3381</v>
      </c>
      <c r="G1" s="42" t="s">
        <v>3382</v>
      </c>
    </row>
    <row r="2">
      <c r="A2" s="42" t="s">
        <v>186</v>
      </c>
      <c r="B2" s="42" t="s">
        <v>3383</v>
      </c>
    </row>
    <row r="3">
      <c r="A3" s="42" t="s">
        <v>190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31.0"/>
    <col customWidth="1" min="3" max="3" width="26.13"/>
    <col customWidth="1" min="4" max="4" width="20.25"/>
    <col customWidth="1" min="7" max="7" width="21.25"/>
    <col customWidth="1" min="8" max="8" width="47.0"/>
    <col customWidth="1" min="9" max="9" width="28.75"/>
  </cols>
  <sheetData>
    <row r="1">
      <c r="A1" s="59" t="s">
        <v>3384</v>
      </c>
      <c r="B1" s="59" t="s">
        <v>3385</v>
      </c>
      <c r="C1" s="59" t="s">
        <v>1</v>
      </c>
      <c r="D1" s="59" t="s">
        <v>3386</v>
      </c>
      <c r="E1" s="59" t="s">
        <v>3387</v>
      </c>
      <c r="F1" s="59" t="s">
        <v>3388</v>
      </c>
      <c r="G1" s="59" t="s">
        <v>3389</v>
      </c>
      <c r="H1" s="59" t="s">
        <v>3390</v>
      </c>
      <c r="I1" s="60"/>
      <c r="J1" s="61"/>
      <c r="K1" s="61"/>
      <c r="L1" s="61"/>
      <c r="M1" s="61"/>
      <c r="N1" s="61"/>
      <c r="O1" s="61"/>
      <c r="P1" s="61"/>
      <c r="Q1" s="61"/>
      <c r="R1" s="61"/>
      <c r="S1" s="61"/>
      <c r="T1" s="61"/>
      <c r="U1" s="61"/>
      <c r="V1" s="61"/>
      <c r="W1" s="61"/>
      <c r="X1" s="61"/>
    </row>
    <row r="2">
      <c r="A2" s="62">
        <f t="array" ref="A2">IFERROR(
INDEX(FEBRERO!B:B, MATCH(E2, FEBRERO!T:T, 0)),
IFERROR(
INDEX(MARZO!B:B, MATCH(E2, MARZO!T:T, 0)),
""
)
)</f>
        <v>46054</v>
      </c>
      <c r="B2" s="15" t="str">
        <f>IFERROR(__xludf.DUMMYFUNCTION("FILTER(
{
FEBRERO!C:C,FEBRERO!D:D,FEBRERO!O:O,FEBRERO!T:T;
MARZO!C:C,MARZO!D:D,MARZO!O:O,MARZO!T:T
},
{
FEBRERO!O:O;
MARZO!O:O
}=""PENDIENTE""
)"),"Cristian Suarez")</f>
        <v>Cristian Suarez</v>
      </c>
      <c r="C2" s="15" t="str">
        <f>IFERROR(__xludf.DUMMYFUNCTION("""COMPUTED_VALUE"""),"FilmPro®")</f>
        <v>FilmPro®</v>
      </c>
      <c r="D2" s="15" t="str">
        <f>IFERROR(__xludf.DUMMYFUNCTION("""COMPUTED_VALUE"""),"PENDIENTE")</f>
        <v>PENDIENTE</v>
      </c>
      <c r="E2" s="15">
        <f>IFERROR(__xludf.DUMMYFUNCTION("""COMPUTED_VALUE"""),4370206.0)</f>
        <v>4370206</v>
      </c>
      <c r="F2" s="15" t="str">
        <f t="array" ref="F2:F1000">IF(E2:E1000="",
"",
"593"&amp;VLOOKUP(E2:E1000,REPORTE_DROPI!B:F,5,FALSE)
)</f>
        <v>593992766120</v>
      </c>
      <c r="G2" s="60"/>
      <c r="H2" s="60"/>
      <c r="I2" s="60"/>
      <c r="J2" s="60"/>
      <c r="K2" s="60"/>
      <c r="L2" s="60"/>
      <c r="M2" s="60"/>
      <c r="N2" s="60"/>
      <c r="O2" s="60"/>
      <c r="P2" s="60"/>
      <c r="Q2" s="60"/>
      <c r="R2" s="60"/>
      <c r="S2" s="60"/>
      <c r="T2" s="60"/>
      <c r="U2" s="60"/>
      <c r="V2" s="60"/>
      <c r="W2" s="60"/>
      <c r="X2" s="60"/>
    </row>
    <row r="3">
      <c r="A3" s="62">
        <f t="array" ref="A3">IFERROR(
INDEX(FEBRERO!B:B, MATCH(E3, FEBRERO!T:T, 0)),
IFERROR(
INDEX(MARZO!B:B, MATCH(E3, MARZO!T:T, 0)),
""
)
)</f>
        <v>46054</v>
      </c>
      <c r="B3" s="15" t="str">
        <f>IFERROR(__xludf.DUMMYFUNCTION("""COMPUTED_VALUE"""),"Cecilia Tapia")</f>
        <v>Cecilia Tapia</v>
      </c>
      <c r="C3" s="15" t="str">
        <f>IFERROR(__xludf.DUMMYFUNCTION("""COMPUTED_VALUE"""),"Cuchillo Tazaki™")</f>
        <v>Cuchillo Tazaki™</v>
      </c>
      <c r="D3" s="15" t="str">
        <f>IFERROR(__xludf.DUMMYFUNCTION("""COMPUTED_VALUE"""),"PENDIENTE")</f>
        <v>PENDIENTE</v>
      </c>
      <c r="E3" s="15">
        <f>IFERROR(__xludf.DUMMYFUNCTION("""COMPUTED_VALUE"""),4348861.0)</f>
        <v>4348861</v>
      </c>
      <c r="F3" s="15" t="s">
        <v>3391</v>
      </c>
      <c r="G3" s="60"/>
      <c r="H3" s="60"/>
      <c r="I3" s="60"/>
      <c r="J3" s="60"/>
      <c r="K3" s="60"/>
      <c r="L3" s="60"/>
      <c r="M3" s="60"/>
      <c r="N3" s="60"/>
      <c r="O3" s="60"/>
      <c r="P3" s="60"/>
      <c r="Q3" s="60"/>
      <c r="R3" s="60"/>
      <c r="S3" s="60"/>
      <c r="T3" s="60"/>
      <c r="U3" s="60"/>
      <c r="V3" s="60"/>
      <c r="W3" s="60"/>
      <c r="X3" s="60"/>
    </row>
    <row r="4">
      <c r="A4" s="62">
        <f t="array" ref="A4">IFERROR(
INDEX(FEBRERO!B:B, MATCH(E4, FEBRERO!T:T, 0)),
IFERROR(
INDEX(MARZO!B:B, MATCH(E4, MARZO!T:T, 0)),
""
)
)</f>
        <v>46054</v>
      </c>
      <c r="B4" s="15" t="str">
        <f>IFERROR(__xludf.DUMMYFUNCTION("""COMPUTED_VALUE"""),"Jose Cabrera Maya Cabrera Maya")</f>
        <v>Jose Cabrera Maya Cabrera Maya</v>
      </c>
      <c r="C4" s="15" t="str">
        <f>IFERROR(__xludf.DUMMYFUNCTION("""COMPUTED_VALUE"""),"FilmPro®")</f>
        <v>FilmPro®</v>
      </c>
      <c r="D4" s="15" t="str">
        <f>IFERROR(__xludf.DUMMYFUNCTION("""COMPUTED_VALUE"""),"PENDIENTE")</f>
        <v>PENDIENTE</v>
      </c>
      <c r="E4" s="15">
        <f>IFERROR(__xludf.DUMMYFUNCTION("""COMPUTED_VALUE"""),4370534.0)</f>
        <v>4370534</v>
      </c>
      <c r="F4" s="15" t="s">
        <v>3392</v>
      </c>
      <c r="G4" s="60"/>
      <c r="H4" s="60"/>
      <c r="I4" s="60"/>
      <c r="J4" s="60"/>
      <c r="K4" s="60"/>
      <c r="L4" s="60"/>
      <c r="M4" s="60"/>
      <c r="N4" s="60"/>
      <c r="O4" s="60"/>
      <c r="P4" s="60"/>
      <c r="Q4" s="60"/>
      <c r="R4" s="60"/>
      <c r="S4" s="60"/>
      <c r="T4" s="60"/>
      <c r="U4" s="60"/>
      <c r="V4" s="60"/>
      <c r="W4" s="60"/>
      <c r="X4" s="60"/>
    </row>
    <row r="5">
      <c r="A5" s="62">
        <f t="array" ref="A5">IFERROR(
INDEX(FEBRERO!B:B, MATCH(E5, FEBRERO!T:T, 0)),
IFERROR(
INDEX(MARZO!B:B, MATCH(E5, MARZO!T:T, 0)),
""
)
)</f>
        <v>46054</v>
      </c>
      <c r="B5" s="15" t="str">
        <f>IFERROR(__xludf.DUMMYFUNCTION("""COMPUTED_VALUE"""),"Fabian Molina Molina")</f>
        <v>Fabian Molina Molina</v>
      </c>
      <c r="C5" s="15" t="str">
        <f>IFERROR(__xludf.DUMMYFUNCTION("""COMPUTED_VALUE"""),"FilmPro®")</f>
        <v>FilmPro®</v>
      </c>
      <c r="D5" s="15" t="str">
        <f>IFERROR(__xludf.DUMMYFUNCTION("""COMPUTED_VALUE"""),"PENDIENTE")</f>
        <v>PENDIENTE</v>
      </c>
      <c r="E5" s="15">
        <f>IFERROR(__xludf.DUMMYFUNCTION("""COMPUTED_VALUE"""),4349540.0)</f>
        <v>4349540</v>
      </c>
      <c r="F5" s="15" t="s">
        <v>3393</v>
      </c>
      <c r="G5" s="60"/>
      <c r="H5" s="60"/>
      <c r="I5" s="60"/>
      <c r="J5" s="60"/>
      <c r="K5" s="60"/>
      <c r="L5" s="60"/>
      <c r="M5" s="60"/>
      <c r="N5" s="60"/>
      <c r="O5" s="60"/>
      <c r="P5" s="60"/>
      <c r="Q5" s="60"/>
      <c r="R5" s="60"/>
      <c r="S5" s="60"/>
      <c r="T5" s="60"/>
      <c r="U5" s="60"/>
      <c r="V5" s="60"/>
      <c r="W5" s="60"/>
      <c r="X5" s="60"/>
    </row>
    <row r="6">
      <c r="A6" s="62">
        <f t="array" ref="A6">IFERROR(
INDEX(FEBRERO!B:B, MATCH(E6, FEBRERO!T:T, 0)),
IFERROR(
INDEX(MARZO!B:B, MATCH(E6, MARZO!T:T, 0)),
""
)
)</f>
        <v>46054</v>
      </c>
      <c r="B6" s="15" t="str">
        <f>IFERROR(__xludf.DUMMYFUNCTION("""COMPUTED_VALUE"""),"Wilson Guerrero")</f>
        <v>Wilson Guerrero</v>
      </c>
      <c r="C6" s="15" t="str">
        <f>IFERROR(__xludf.DUMMYFUNCTION("""COMPUTED_VALUE"""),"FilmPro®")</f>
        <v>FilmPro®</v>
      </c>
      <c r="D6" s="15" t="str">
        <f>IFERROR(__xludf.DUMMYFUNCTION("""COMPUTED_VALUE"""),"PENDIENTE")</f>
        <v>PENDIENTE</v>
      </c>
      <c r="E6" s="15">
        <f>IFERROR(__xludf.DUMMYFUNCTION("""COMPUTED_VALUE"""),4349603.0)</f>
        <v>4349603</v>
      </c>
      <c r="F6" s="15" t="s">
        <v>3394</v>
      </c>
      <c r="G6" s="60"/>
      <c r="H6" s="60"/>
      <c r="I6" s="60"/>
      <c r="J6" s="60"/>
      <c r="K6" s="60"/>
      <c r="L6" s="60"/>
      <c r="M6" s="60"/>
      <c r="N6" s="60"/>
      <c r="O6" s="60"/>
      <c r="P6" s="60"/>
      <c r="Q6" s="60"/>
      <c r="R6" s="60"/>
      <c r="S6" s="60"/>
      <c r="T6" s="60"/>
      <c r="U6" s="60"/>
      <c r="V6" s="60"/>
      <c r="W6" s="60"/>
      <c r="X6" s="60"/>
    </row>
    <row r="7">
      <c r="A7" s="62">
        <f t="array" ref="A7">IFERROR(
INDEX(FEBRERO!B:B, MATCH(E7, FEBRERO!T:T, 0)),
IFERROR(
INDEX(MARZO!B:B, MATCH(E7, MARZO!T:T, 0)),
""
)
)</f>
        <v>46054</v>
      </c>
      <c r="B7" s="15" t="str">
        <f>IFERROR(__xludf.DUMMYFUNCTION("""COMPUTED_VALUE"""),"Byron Peña")</f>
        <v>Byron Peña</v>
      </c>
      <c r="C7" s="15" t="str">
        <f>IFERROR(__xludf.DUMMYFUNCTION("""COMPUTED_VALUE"""),"FilmPro®")</f>
        <v>FilmPro®</v>
      </c>
      <c r="D7" s="15" t="str">
        <f>IFERROR(__xludf.DUMMYFUNCTION("""COMPUTED_VALUE"""),"PENDIENTE")</f>
        <v>PENDIENTE</v>
      </c>
      <c r="E7" s="15">
        <f>IFERROR(__xludf.DUMMYFUNCTION("""COMPUTED_VALUE"""),4351675.0)</f>
        <v>4351675</v>
      </c>
      <c r="F7" s="15" t="s">
        <v>3395</v>
      </c>
      <c r="G7" s="60"/>
      <c r="H7" s="60"/>
      <c r="I7" s="60"/>
      <c r="J7" s="60"/>
      <c r="K7" s="60"/>
      <c r="L7" s="60"/>
      <c r="M7" s="60"/>
      <c r="N7" s="60"/>
      <c r="O7" s="60"/>
      <c r="P7" s="60"/>
      <c r="Q7" s="60"/>
      <c r="R7" s="60"/>
      <c r="S7" s="60"/>
      <c r="T7" s="60"/>
      <c r="U7" s="60"/>
      <c r="V7" s="60"/>
      <c r="W7" s="60"/>
      <c r="X7" s="60"/>
    </row>
    <row r="8">
      <c r="A8" s="62">
        <f t="array" ref="A8">IFERROR(
INDEX(FEBRERO!B:B, MATCH(E8, FEBRERO!T:T, 0)),
IFERROR(
INDEX(MARZO!B:B, MATCH(E8, MARZO!T:T, 0)),
""
)
)</f>
        <v>46054</v>
      </c>
      <c r="B8" s="15" t="str">
        <f>IFERROR(__xludf.DUMMYFUNCTION("""COMPUTED_VALUE"""),"Darwin Lopez")</f>
        <v>Darwin Lopez</v>
      </c>
      <c r="C8" s="15" t="str">
        <f>IFERROR(__xludf.DUMMYFUNCTION("""COMPUTED_VALUE"""),"FilmPro®")</f>
        <v>FilmPro®</v>
      </c>
      <c r="D8" s="15" t="str">
        <f>IFERROR(__xludf.DUMMYFUNCTION("""COMPUTED_VALUE"""),"PENDIENTE")</f>
        <v>PENDIENTE</v>
      </c>
      <c r="E8" s="15">
        <f>IFERROR(__xludf.DUMMYFUNCTION("""COMPUTED_VALUE"""),4352407.0)</f>
        <v>4352407</v>
      </c>
      <c r="F8" s="15" t="s">
        <v>3396</v>
      </c>
      <c r="G8" s="60"/>
      <c r="H8" s="60"/>
      <c r="I8" s="60"/>
      <c r="J8" s="60"/>
      <c r="K8" s="60"/>
      <c r="L8" s="60"/>
      <c r="M8" s="60"/>
      <c r="N8" s="60"/>
      <c r="O8" s="60"/>
      <c r="P8" s="60"/>
      <c r="Q8" s="60"/>
      <c r="R8" s="60"/>
      <c r="S8" s="60"/>
      <c r="T8" s="60"/>
      <c r="U8" s="60"/>
      <c r="V8" s="60"/>
      <c r="W8" s="60"/>
      <c r="X8" s="60"/>
    </row>
    <row r="9">
      <c r="A9" s="62">
        <f t="array" ref="A9">IFERROR(
INDEX(FEBRERO!B:B, MATCH(E9, FEBRERO!T:T, 0)),
IFERROR(
INDEX(MARZO!B:B, MATCH(E9, MARZO!T:T, 0)),
""
)
)</f>
        <v>46054</v>
      </c>
      <c r="B9" s="15" t="str">
        <f>IFERROR(__xludf.DUMMYFUNCTION("""COMPUTED_VALUE""")," Jaime Eduardo Guanopatin silva
")</f>
        <v> Jaime Eduardo Guanopatin silva
</v>
      </c>
      <c r="C9" s="15" t="str">
        <f>IFERROR(__xludf.DUMMYFUNCTION("""COMPUTED_VALUE"""),"Cuchillo Tazaki™")</f>
        <v>Cuchillo Tazaki™</v>
      </c>
      <c r="D9" s="15" t="str">
        <f>IFERROR(__xludf.DUMMYFUNCTION("""COMPUTED_VALUE"""),"PENDIENTE")</f>
        <v>PENDIENTE</v>
      </c>
      <c r="E9" s="15">
        <f>IFERROR(__xludf.DUMMYFUNCTION("""COMPUTED_VALUE"""),4353478.0)</f>
        <v>4353478</v>
      </c>
      <c r="F9" s="15" t="s">
        <v>3397</v>
      </c>
      <c r="G9" s="60"/>
      <c r="H9" s="60"/>
      <c r="I9" s="60"/>
      <c r="J9" s="60"/>
      <c r="K9" s="60"/>
      <c r="L9" s="60"/>
      <c r="M9" s="60"/>
      <c r="N9" s="60"/>
      <c r="O9" s="60"/>
      <c r="P9" s="60"/>
      <c r="Q9" s="60"/>
      <c r="R9" s="60"/>
      <c r="S9" s="60"/>
      <c r="T9" s="60"/>
      <c r="U9" s="60"/>
      <c r="V9" s="60"/>
      <c r="W9" s="60"/>
      <c r="X9" s="60"/>
    </row>
    <row r="10">
      <c r="A10" s="62">
        <f t="array" ref="A10">IFERROR(
INDEX(FEBRERO!B:B, MATCH(E10, FEBRERO!T:T, 0)),
IFERROR(
INDEX(MARZO!B:B, MATCH(E10, MARZO!T:T, 0)),
""
)
)</f>
        <v>46054</v>
      </c>
      <c r="B10" s="15" t="str">
        <f>IFERROR(__xludf.DUMMYFUNCTION("""COMPUTED_VALUE"""),"LUIS BECERRA")</f>
        <v>LUIS BECERRA</v>
      </c>
      <c r="C10" s="15" t="str">
        <f>IFERROR(__xludf.DUMMYFUNCTION("""COMPUTED_VALUE"""),"Llave Multifuncional 360™")</f>
        <v>Llave Multifuncional 360™</v>
      </c>
      <c r="D10" s="15" t="str">
        <f>IFERROR(__xludf.DUMMYFUNCTION("""COMPUTED_VALUE"""),"PENDIENTE")</f>
        <v>PENDIENTE</v>
      </c>
      <c r="E10" s="15">
        <f>IFERROR(__xludf.DUMMYFUNCTION("""COMPUTED_VALUE"""),4353582.0)</f>
        <v>4353582</v>
      </c>
      <c r="F10" s="15" t="s">
        <v>3398</v>
      </c>
      <c r="G10" s="60"/>
      <c r="H10" s="60"/>
      <c r="I10" s="60"/>
      <c r="J10" s="60"/>
      <c r="K10" s="60"/>
      <c r="L10" s="60"/>
      <c r="M10" s="60"/>
      <c r="N10" s="60"/>
      <c r="O10" s="60"/>
      <c r="P10" s="60"/>
      <c r="Q10" s="60"/>
      <c r="R10" s="60"/>
      <c r="S10" s="60"/>
      <c r="T10" s="60"/>
      <c r="U10" s="60"/>
      <c r="V10" s="60"/>
      <c r="W10" s="60"/>
      <c r="X10" s="60"/>
    </row>
    <row r="11">
      <c r="A11" s="62">
        <f t="array" ref="A11">IFERROR(
INDEX(FEBRERO!B:B, MATCH(E11, FEBRERO!T:T, 0)),
IFERROR(
INDEX(MARZO!B:B, MATCH(E11, MARZO!T:T, 0)),
""
)
)</f>
        <v>46054</v>
      </c>
      <c r="B11" s="15" t="str">
        <f>IFERROR(__xludf.DUMMYFUNCTION("""COMPUTED_VALUE"""),"Anibal Tipantasi")</f>
        <v>Anibal Tipantasi</v>
      </c>
      <c r="C11" s="15" t="str">
        <f>IFERROR(__xludf.DUMMYFUNCTION("""COMPUTED_VALUE"""),"Llave Multifuncional 360™")</f>
        <v>Llave Multifuncional 360™</v>
      </c>
      <c r="D11" s="15" t="str">
        <f>IFERROR(__xludf.DUMMYFUNCTION("""COMPUTED_VALUE"""),"PENDIENTE")</f>
        <v>PENDIENTE</v>
      </c>
      <c r="E11" s="15">
        <f>IFERROR(__xludf.DUMMYFUNCTION("""COMPUTED_VALUE"""),4356452.0)</f>
        <v>4356452</v>
      </c>
      <c r="F11" s="15" t="s">
        <v>3399</v>
      </c>
      <c r="G11" s="60"/>
      <c r="H11" s="60"/>
      <c r="I11" s="60"/>
      <c r="J11" s="60"/>
      <c r="K11" s="60"/>
      <c r="L11" s="60"/>
      <c r="M11" s="60"/>
      <c r="N11" s="60"/>
      <c r="O11" s="60"/>
      <c r="P11" s="60"/>
      <c r="Q11" s="60"/>
      <c r="R11" s="60"/>
      <c r="S11" s="60"/>
      <c r="T11" s="60"/>
      <c r="U11" s="60"/>
      <c r="V11" s="60"/>
      <c r="W11" s="60"/>
      <c r="X11" s="60"/>
    </row>
    <row r="12">
      <c r="A12" s="62">
        <f t="array" ref="A12">IFERROR(
INDEX(FEBRERO!B:B, MATCH(E12, FEBRERO!T:T, 0)),
IFERROR(
INDEX(MARZO!B:B, MATCH(E12, MARZO!T:T, 0)),
""
)
)</f>
        <v>46054</v>
      </c>
      <c r="B12" s="15" t="str">
        <f>IFERROR(__xludf.DUMMYFUNCTION("""COMPUTED_VALUE"""),"Pablo De La Cruz")</f>
        <v>Pablo De La Cruz</v>
      </c>
      <c r="C12" s="15" t="str">
        <f>IFERROR(__xludf.DUMMYFUNCTION("""COMPUTED_VALUE"""),"FilmPro®")</f>
        <v>FilmPro®</v>
      </c>
      <c r="D12" s="15" t="str">
        <f>IFERROR(__xludf.DUMMYFUNCTION("""COMPUTED_VALUE"""),"PENDIENTE")</f>
        <v>PENDIENTE</v>
      </c>
      <c r="E12" s="15">
        <f>IFERROR(__xludf.DUMMYFUNCTION("""COMPUTED_VALUE"""),4356619.0)</f>
        <v>4356619</v>
      </c>
      <c r="F12" s="15" t="s">
        <v>3400</v>
      </c>
      <c r="G12" s="60"/>
      <c r="H12" s="60"/>
      <c r="I12" s="60"/>
      <c r="J12" s="60"/>
      <c r="K12" s="60"/>
      <c r="L12" s="60"/>
      <c r="M12" s="60"/>
      <c r="N12" s="60"/>
      <c r="O12" s="60"/>
      <c r="P12" s="60"/>
      <c r="Q12" s="60"/>
      <c r="R12" s="60"/>
      <c r="S12" s="60"/>
      <c r="T12" s="60"/>
      <c r="U12" s="60"/>
      <c r="V12" s="60"/>
      <c r="W12" s="60"/>
      <c r="X12" s="60"/>
    </row>
    <row r="13">
      <c r="A13" s="62">
        <f t="array" ref="A13">IFERROR(
INDEX(FEBRERO!B:B, MATCH(E13, FEBRERO!T:T, 0)),
IFERROR(
INDEX(MARZO!B:B, MATCH(E13, MARZO!T:T, 0)),
""
)
)</f>
        <v>46054</v>
      </c>
      <c r="B13" s="15" t="str">
        <f>IFERROR(__xludf.DUMMYFUNCTION("""COMPUTED_VALUE"""),"Luís Zambrano
")</f>
        <v>Luís Zambrano
</v>
      </c>
      <c r="C13" s="15" t="str">
        <f>IFERROR(__xludf.DUMMYFUNCTION("""COMPUTED_VALUE"""),"Cuchillo Tazaki™")</f>
        <v>Cuchillo Tazaki™</v>
      </c>
      <c r="D13" s="15" t="str">
        <f>IFERROR(__xludf.DUMMYFUNCTION("""COMPUTED_VALUE"""),"PENDIENTE")</f>
        <v>PENDIENTE</v>
      </c>
      <c r="E13" s="15">
        <f>IFERROR(__xludf.DUMMYFUNCTION("""COMPUTED_VALUE"""),4357933.0)</f>
        <v>4357933</v>
      </c>
      <c r="F13" s="15" t="s">
        <v>3401</v>
      </c>
      <c r="G13" s="60"/>
      <c r="H13" s="60"/>
      <c r="I13" s="60"/>
      <c r="J13" s="60"/>
      <c r="K13" s="60"/>
      <c r="L13" s="60"/>
      <c r="M13" s="60"/>
      <c r="N13" s="60"/>
      <c r="O13" s="60"/>
      <c r="P13" s="60"/>
      <c r="Q13" s="60"/>
      <c r="R13" s="60"/>
      <c r="S13" s="60"/>
      <c r="T13" s="60"/>
      <c r="U13" s="60"/>
      <c r="V13" s="60"/>
      <c r="W13" s="60"/>
      <c r="X13" s="60"/>
    </row>
    <row r="14">
      <c r="A14" s="62">
        <f t="array" ref="A14">IFERROR(
INDEX(FEBRERO!B:B, MATCH(E14, FEBRERO!T:T, 0)),
IFERROR(
INDEX(MARZO!B:B, MATCH(E14, MARZO!T:T, 0)),
""
)
)</f>
        <v>46054</v>
      </c>
      <c r="B14" s="15" t="str">
        <f>IFERROR(__xludf.DUMMYFUNCTION("""COMPUTED_VALUE"""),"Agripino Milciades Fernandez Nupia
")</f>
        <v>Agripino Milciades Fernandez Nupia
</v>
      </c>
      <c r="C14" s="15" t="str">
        <f>IFERROR(__xludf.DUMMYFUNCTION("""COMPUTED_VALUE"""),"Cuchillo Tazaki™")</f>
        <v>Cuchillo Tazaki™</v>
      </c>
      <c r="D14" s="15" t="str">
        <f>IFERROR(__xludf.DUMMYFUNCTION("""COMPUTED_VALUE"""),"PENDIENTE")</f>
        <v>PENDIENTE</v>
      </c>
      <c r="E14" s="15">
        <f>IFERROR(__xludf.DUMMYFUNCTION("""COMPUTED_VALUE"""),4372035.0)</f>
        <v>4372035</v>
      </c>
      <c r="F14" s="15" t="s">
        <v>3402</v>
      </c>
      <c r="G14" s="60"/>
      <c r="H14" s="60"/>
      <c r="I14" s="60"/>
      <c r="J14" s="60"/>
      <c r="K14" s="60"/>
      <c r="L14" s="60"/>
      <c r="M14" s="60"/>
      <c r="N14" s="60"/>
      <c r="O14" s="60"/>
      <c r="P14" s="60"/>
      <c r="Q14" s="60"/>
      <c r="R14" s="60"/>
      <c r="S14" s="60"/>
      <c r="T14" s="60"/>
      <c r="U14" s="60"/>
      <c r="V14" s="60"/>
      <c r="W14" s="60"/>
      <c r="X14" s="60"/>
    </row>
    <row r="15">
      <c r="A15" s="62">
        <f t="array" ref="A15">IFERROR(
INDEX(FEBRERO!B:B, MATCH(E15, FEBRERO!T:T, 0)),
IFERROR(
INDEX(MARZO!B:B, MATCH(E15, MARZO!T:T, 0)),
""
)
)</f>
        <v>46054</v>
      </c>
      <c r="B15" s="15" t="str">
        <f>IFERROR(__xludf.DUMMYFUNCTION("""COMPUTED_VALUE"""),"Jimmy Villavicencio")</f>
        <v>Jimmy Villavicencio</v>
      </c>
      <c r="C15" s="15" t="str">
        <f>IFERROR(__xludf.DUMMYFUNCTION("""COMPUTED_VALUE"""),"FilmPro®")</f>
        <v>FilmPro®</v>
      </c>
      <c r="D15" s="15" t="str">
        <f>IFERROR(__xludf.DUMMYFUNCTION("""COMPUTED_VALUE"""),"PENDIENTE")</f>
        <v>PENDIENTE</v>
      </c>
      <c r="E15" s="15">
        <f>IFERROR(__xludf.DUMMYFUNCTION("""COMPUTED_VALUE"""),4359740.0)</f>
        <v>4359740</v>
      </c>
      <c r="F15" s="15" t="s">
        <v>3403</v>
      </c>
      <c r="G15" s="60"/>
      <c r="H15" s="60"/>
      <c r="I15" s="60"/>
      <c r="J15" s="60"/>
      <c r="K15" s="60"/>
      <c r="L15" s="60"/>
      <c r="M15" s="60"/>
      <c r="N15" s="60"/>
      <c r="O15" s="60"/>
      <c r="P15" s="60"/>
      <c r="Q15" s="60"/>
      <c r="R15" s="60"/>
      <c r="S15" s="60"/>
      <c r="T15" s="60"/>
      <c r="U15" s="60"/>
      <c r="V15" s="60"/>
      <c r="W15" s="60"/>
      <c r="X15" s="60"/>
    </row>
    <row r="16">
      <c r="A16" s="62">
        <f t="array" ref="A16">IFERROR(
INDEX(FEBRERO!B:B, MATCH(E16, FEBRERO!T:T, 0)),
IFERROR(
INDEX(MARZO!B:B, MATCH(E16, MARZO!T:T, 0)),
""
)
)</f>
        <v>46054</v>
      </c>
      <c r="B16" s="15" t="str">
        <f>IFERROR(__xludf.DUMMYFUNCTION("""COMPUTED_VALUE"""),"María Jose Yánez")</f>
        <v>María Jose Yánez</v>
      </c>
      <c r="C16" s="15" t="str">
        <f>IFERROR(__xludf.DUMMYFUNCTION("""COMPUTED_VALUE"""),"FilmPro®")</f>
        <v>FilmPro®</v>
      </c>
      <c r="D16" s="15" t="str">
        <f>IFERROR(__xludf.DUMMYFUNCTION("""COMPUTED_VALUE"""),"PENDIENTE")</f>
        <v>PENDIENTE</v>
      </c>
      <c r="E16" s="15">
        <f>IFERROR(__xludf.DUMMYFUNCTION("""COMPUTED_VALUE"""),4372193.0)</f>
        <v>4372193</v>
      </c>
      <c r="F16" s="15" t="s">
        <v>3404</v>
      </c>
      <c r="G16" s="60"/>
      <c r="H16" s="60"/>
      <c r="I16" s="60"/>
      <c r="J16" s="60"/>
      <c r="K16" s="60"/>
      <c r="L16" s="60"/>
      <c r="M16" s="60"/>
      <c r="N16" s="60"/>
      <c r="O16" s="60"/>
      <c r="P16" s="60"/>
      <c r="Q16" s="60"/>
      <c r="R16" s="60"/>
      <c r="S16" s="60"/>
      <c r="T16" s="60"/>
      <c r="U16" s="60"/>
      <c r="V16" s="60"/>
      <c r="W16" s="60"/>
      <c r="X16" s="60"/>
    </row>
    <row r="17">
      <c r="A17" s="62">
        <f t="array" ref="A17">IFERROR(
INDEX(FEBRERO!B:B, MATCH(E17, FEBRERO!T:T, 0)),
IFERROR(
INDEX(MARZO!B:B, MATCH(E17, MARZO!T:T, 0)),
""
)
)</f>
        <v>46054</v>
      </c>
      <c r="B17" s="15" t="str">
        <f>IFERROR(__xludf.DUMMYFUNCTION("""COMPUTED_VALUE"""),"Nexar Antonio Mero López")</f>
        <v>Nexar Antonio Mero López</v>
      </c>
      <c r="C17" s="15" t="str">
        <f>IFERROR(__xludf.DUMMYFUNCTION("""COMPUTED_VALUE"""),"Llave Multifuncional 360™")</f>
        <v>Llave Multifuncional 360™</v>
      </c>
      <c r="D17" s="15" t="str">
        <f>IFERROR(__xludf.DUMMYFUNCTION("""COMPUTED_VALUE"""),"PENDIENTE")</f>
        <v>PENDIENTE</v>
      </c>
      <c r="E17" s="15">
        <f>IFERROR(__xludf.DUMMYFUNCTION("""COMPUTED_VALUE"""),4360337.0)</f>
        <v>4360337</v>
      </c>
      <c r="F17" s="15" t="s">
        <v>3405</v>
      </c>
      <c r="G17" s="60"/>
      <c r="H17" s="60"/>
      <c r="I17" s="60"/>
      <c r="J17" s="60"/>
      <c r="K17" s="60"/>
      <c r="L17" s="60"/>
      <c r="M17" s="60"/>
      <c r="N17" s="60"/>
      <c r="O17" s="60"/>
      <c r="P17" s="60"/>
      <c r="Q17" s="60"/>
      <c r="R17" s="60"/>
      <c r="S17" s="60"/>
      <c r="T17" s="60"/>
      <c r="U17" s="60"/>
      <c r="V17" s="60"/>
      <c r="W17" s="60"/>
      <c r="X17" s="60"/>
    </row>
    <row r="18">
      <c r="A18" s="62">
        <f t="array" ref="A18">IFERROR(
INDEX(FEBRERO!B:B, MATCH(E18, FEBRERO!T:T, 0)),
IFERROR(
INDEX(MARZO!B:B, MATCH(E18, MARZO!T:T, 0)),
""
)
)</f>
        <v>46055</v>
      </c>
      <c r="B18" s="15" t="str">
        <f>IFERROR(__xludf.DUMMYFUNCTION("""COMPUTED_VALUE"""),"Marino Alexis RESTREPO ARCILA")</f>
        <v>Marino Alexis RESTREPO ARCILA</v>
      </c>
      <c r="C18" s="15" t="str">
        <f>IFERROR(__xludf.DUMMYFUNCTION("""COMPUTED_VALUE"""),"FilmPro®")</f>
        <v>FilmPro®</v>
      </c>
      <c r="D18" s="15" t="str">
        <f>IFERROR(__xludf.DUMMYFUNCTION("""COMPUTED_VALUE"""),"PENDIENTE")</f>
        <v>PENDIENTE</v>
      </c>
      <c r="E18" s="15">
        <f>IFERROR(__xludf.DUMMYFUNCTION("""COMPUTED_VALUE"""),4360690.0)</f>
        <v>4360690</v>
      </c>
      <c r="F18" s="15" t="s">
        <v>3406</v>
      </c>
      <c r="G18" s="60"/>
      <c r="H18" s="60"/>
      <c r="I18" s="60"/>
      <c r="J18" s="60"/>
      <c r="K18" s="60"/>
      <c r="L18" s="60"/>
      <c r="M18" s="60"/>
      <c r="N18" s="60"/>
      <c r="O18" s="60"/>
      <c r="P18" s="60"/>
      <c r="Q18" s="60"/>
      <c r="R18" s="60"/>
      <c r="S18" s="60"/>
      <c r="T18" s="60"/>
      <c r="U18" s="60"/>
      <c r="V18" s="60"/>
      <c r="W18" s="60"/>
      <c r="X18" s="60"/>
    </row>
    <row r="19">
      <c r="A19" s="62">
        <f t="array" ref="A19">IFERROR(
INDEX(FEBRERO!B:B, MATCH(E19, FEBRERO!T:T, 0)),
IFERROR(
INDEX(MARZO!B:B, MATCH(E19, MARZO!T:T, 0)),
""
)
)</f>
        <v>46055</v>
      </c>
      <c r="B19" s="15" t="str">
        <f>IFERROR(__xludf.DUMMYFUNCTION("""COMPUTED_VALUE"""),"Jorge Portilla")</f>
        <v>Jorge Portilla</v>
      </c>
      <c r="C19" s="15" t="str">
        <f>IFERROR(__xludf.DUMMYFUNCTION("""COMPUTED_VALUE"""),"Llave Multifuncional 360™")</f>
        <v>Llave Multifuncional 360™</v>
      </c>
      <c r="D19" s="15" t="str">
        <f>IFERROR(__xludf.DUMMYFUNCTION("""COMPUTED_VALUE"""),"PENDIENTE")</f>
        <v>PENDIENTE</v>
      </c>
      <c r="E19" s="15">
        <f>IFERROR(__xludf.DUMMYFUNCTION("""COMPUTED_VALUE"""),4361137.0)</f>
        <v>4361137</v>
      </c>
      <c r="F19" s="15" t="s">
        <v>3407</v>
      </c>
      <c r="G19" s="60"/>
      <c r="H19" s="60"/>
      <c r="I19" s="60"/>
      <c r="J19" s="60"/>
      <c r="K19" s="60"/>
      <c r="L19" s="60"/>
      <c r="M19" s="60"/>
      <c r="N19" s="60"/>
      <c r="O19" s="60"/>
      <c r="P19" s="60"/>
      <c r="Q19" s="60"/>
      <c r="R19" s="60"/>
      <c r="S19" s="60"/>
      <c r="T19" s="60"/>
      <c r="U19" s="60"/>
      <c r="V19" s="60"/>
      <c r="W19" s="60"/>
      <c r="X19" s="60"/>
    </row>
    <row r="20">
      <c r="A20" s="62">
        <f t="array" ref="A20">IFERROR(
INDEX(FEBRERO!B:B, MATCH(E20, FEBRERO!T:T, 0)),
IFERROR(
INDEX(MARZO!B:B, MATCH(E20, MARZO!T:T, 0)),
""
)
)</f>
        <v>46055</v>
      </c>
      <c r="B20" s="15" t="str">
        <f>IFERROR(__xludf.DUMMYFUNCTION("""COMPUTED_VALUE"""),"Jose Carrillo Cedeño")</f>
        <v>Jose Carrillo Cedeño</v>
      </c>
      <c r="C20" s="15" t="str">
        <f>IFERROR(__xludf.DUMMYFUNCTION("""COMPUTED_VALUE"""),"Cuchillo Tazaki™")</f>
        <v>Cuchillo Tazaki™</v>
      </c>
      <c r="D20" s="15" t="str">
        <f>IFERROR(__xludf.DUMMYFUNCTION("""COMPUTED_VALUE"""),"PENDIENTE")</f>
        <v>PENDIENTE</v>
      </c>
      <c r="E20" s="15">
        <f>IFERROR(__xludf.DUMMYFUNCTION("""COMPUTED_VALUE"""),4362434.0)</f>
        <v>4362434</v>
      </c>
      <c r="F20" s="15" t="s">
        <v>3408</v>
      </c>
      <c r="G20" s="60"/>
      <c r="H20" s="60"/>
      <c r="I20" s="60"/>
      <c r="J20" s="60"/>
      <c r="K20" s="60"/>
      <c r="L20" s="60"/>
      <c r="M20" s="60"/>
      <c r="N20" s="60"/>
      <c r="O20" s="60"/>
      <c r="P20" s="60"/>
      <c r="Q20" s="60"/>
      <c r="R20" s="60"/>
      <c r="S20" s="60"/>
      <c r="T20" s="60"/>
      <c r="U20" s="60"/>
      <c r="V20" s="60"/>
      <c r="W20" s="60"/>
      <c r="X20" s="60"/>
    </row>
    <row r="21">
      <c r="A21" s="62">
        <f t="array" ref="A21">IFERROR(
INDEX(FEBRERO!B:B, MATCH(E21, FEBRERO!T:T, 0)),
IFERROR(
INDEX(MARZO!B:B, MATCH(E21, MARZO!T:T, 0)),
""
)
)</f>
        <v>46055</v>
      </c>
      <c r="B21" s="15" t="str">
        <f>IFERROR(__xludf.DUMMYFUNCTION("""COMPUTED_VALUE"""),"Alfonso Chacha")</f>
        <v>Alfonso Chacha</v>
      </c>
      <c r="C21" s="15" t="str">
        <f>IFERROR(__xludf.DUMMYFUNCTION("""COMPUTED_VALUE"""),"Llave Multifuncional 360™")</f>
        <v>Llave Multifuncional 360™</v>
      </c>
      <c r="D21" s="15" t="str">
        <f>IFERROR(__xludf.DUMMYFUNCTION("""COMPUTED_VALUE"""),"PENDIENTE")</f>
        <v>PENDIENTE</v>
      </c>
      <c r="E21" s="15">
        <f>IFERROR(__xludf.DUMMYFUNCTION("""COMPUTED_VALUE"""),4363609.0)</f>
        <v>4363609</v>
      </c>
      <c r="F21" s="15" t="s">
        <v>3409</v>
      </c>
      <c r="G21" s="60"/>
      <c r="H21" s="60"/>
      <c r="I21" s="60"/>
      <c r="J21" s="60"/>
      <c r="K21" s="60"/>
      <c r="L21" s="60"/>
      <c r="M21" s="60"/>
      <c r="N21" s="60"/>
      <c r="O21" s="60"/>
      <c r="P21" s="60"/>
      <c r="Q21" s="60"/>
      <c r="R21" s="60"/>
      <c r="S21" s="60"/>
      <c r="T21" s="60"/>
      <c r="U21" s="60"/>
      <c r="V21" s="60"/>
      <c r="W21" s="60"/>
      <c r="X21" s="60"/>
    </row>
    <row r="22">
      <c r="A22" s="62">
        <f t="array" ref="A22">IFERROR(
INDEX(FEBRERO!B:B, MATCH(E22, FEBRERO!T:T, 0)),
IFERROR(
INDEX(MARZO!B:B, MATCH(E22, MARZO!T:T, 0)),
""
)
)</f>
        <v>46055</v>
      </c>
      <c r="B22" s="15" t="str">
        <f>IFERROR(__xludf.DUMMYFUNCTION("""COMPUTED_VALUE"""),"Luis Rubén")</f>
        <v>Luis Rubén</v>
      </c>
      <c r="C22" s="15" t="str">
        <f>IFERROR(__xludf.DUMMYFUNCTION("""COMPUTED_VALUE"""),"FilmPro®")</f>
        <v>FilmPro®</v>
      </c>
      <c r="D22" s="15" t="str">
        <f>IFERROR(__xludf.DUMMYFUNCTION("""COMPUTED_VALUE"""),"PENDIENTE")</f>
        <v>PENDIENTE</v>
      </c>
      <c r="E22" s="15">
        <f>IFERROR(__xludf.DUMMYFUNCTION("""COMPUTED_VALUE"""),4363816.0)</f>
        <v>4363816</v>
      </c>
      <c r="F22" s="15" t="s">
        <v>3410</v>
      </c>
      <c r="G22" s="60"/>
      <c r="H22" s="60"/>
      <c r="I22" s="60"/>
      <c r="J22" s="60"/>
      <c r="K22" s="60"/>
      <c r="L22" s="60"/>
      <c r="M22" s="60"/>
      <c r="N22" s="60"/>
      <c r="O22" s="60"/>
      <c r="P22" s="60"/>
      <c r="Q22" s="60"/>
      <c r="R22" s="60"/>
      <c r="S22" s="60"/>
      <c r="T22" s="60"/>
      <c r="U22" s="60"/>
      <c r="V22" s="60"/>
      <c r="W22" s="60"/>
      <c r="X22" s="60"/>
    </row>
    <row r="23">
      <c r="A23" s="62">
        <f t="array" ref="A23">IFERROR(
INDEX(FEBRERO!B:B, MATCH(E23, FEBRERO!T:T, 0)),
IFERROR(
INDEX(MARZO!B:B, MATCH(E23, MARZO!T:T, 0)),
""
)
)</f>
        <v>46055</v>
      </c>
      <c r="B23" s="15" t="str">
        <f>IFERROR(__xludf.DUMMYFUNCTION("""COMPUTED_VALUE"""),"Jose luis ibujes")</f>
        <v>Jose luis ibujes</v>
      </c>
      <c r="C23" s="15" t="str">
        <f>IFERROR(__xludf.DUMMYFUNCTION("""COMPUTED_VALUE"""),"Llave Multifuncional 360™")</f>
        <v>Llave Multifuncional 360™</v>
      </c>
      <c r="D23" s="15" t="str">
        <f>IFERROR(__xludf.DUMMYFUNCTION("""COMPUTED_VALUE"""),"PENDIENTE")</f>
        <v>PENDIENTE</v>
      </c>
      <c r="E23" s="15">
        <f>IFERROR(__xludf.DUMMYFUNCTION("""COMPUTED_VALUE"""),4364765.0)</f>
        <v>4364765</v>
      </c>
      <c r="F23" s="15" t="s">
        <v>3411</v>
      </c>
      <c r="G23" s="60"/>
      <c r="H23" s="60"/>
      <c r="I23" s="60"/>
      <c r="J23" s="60"/>
      <c r="K23" s="60"/>
      <c r="L23" s="60"/>
      <c r="M23" s="60"/>
      <c r="N23" s="60"/>
      <c r="O23" s="60"/>
      <c r="P23" s="60"/>
      <c r="Q23" s="60"/>
      <c r="R23" s="60"/>
      <c r="S23" s="60"/>
      <c r="T23" s="60"/>
      <c r="U23" s="60"/>
      <c r="V23" s="60"/>
      <c r="W23" s="60"/>
      <c r="X23" s="60"/>
    </row>
    <row r="24">
      <c r="A24" s="62">
        <f t="array" ref="A24">IFERROR(
INDEX(FEBRERO!B:B, MATCH(E24, FEBRERO!T:T, 0)),
IFERROR(
INDEX(MARZO!B:B, MATCH(E24, MARZO!T:T, 0)),
""
)
)</f>
        <v>46058</v>
      </c>
      <c r="B24" s="15" t="str">
        <f>IFERROR(__xludf.DUMMYFUNCTION("""COMPUTED_VALUE"""),"Franklin Mauricio Sanmartín Fajardo")</f>
        <v>Franklin Mauricio Sanmartín Fajardo</v>
      </c>
      <c r="C24" s="15" t="str">
        <f>IFERROR(__xludf.DUMMYFUNCTION("""COMPUTED_VALUE"""),"Cuchillo Tazaki™")</f>
        <v>Cuchillo Tazaki™</v>
      </c>
      <c r="D24" s="15" t="str">
        <f>IFERROR(__xludf.DUMMYFUNCTION("""COMPUTED_VALUE"""),"PENDIENTE")</f>
        <v>PENDIENTE</v>
      </c>
      <c r="E24" s="15">
        <f>IFERROR(__xludf.DUMMYFUNCTION("""COMPUTED_VALUE"""),4404690.0)</f>
        <v>4404690</v>
      </c>
      <c r="F24" s="15" t="s">
        <v>3412</v>
      </c>
      <c r="G24" s="60"/>
      <c r="H24" s="60"/>
      <c r="I24" s="60"/>
      <c r="J24" s="60"/>
      <c r="K24" s="60"/>
      <c r="L24" s="60"/>
      <c r="M24" s="60"/>
      <c r="N24" s="60"/>
      <c r="O24" s="60"/>
      <c r="P24" s="60"/>
      <c r="Q24" s="60"/>
      <c r="R24" s="60"/>
      <c r="S24" s="60"/>
      <c r="T24" s="60"/>
      <c r="U24" s="60"/>
      <c r="V24" s="60"/>
      <c r="W24" s="60"/>
      <c r="X24" s="60"/>
    </row>
    <row r="25">
      <c r="A25" s="62">
        <f t="array" ref="A25">IFERROR(
INDEX(FEBRERO!B:B, MATCH(E25, FEBRERO!T:T, 0)),
IFERROR(
INDEX(MARZO!B:B, MATCH(E25, MARZO!T:T, 0)),
""
)
)</f>
        <v>46058</v>
      </c>
      <c r="B25" s="15" t="str">
        <f>IFERROR(__xludf.DUMMYFUNCTION("""COMPUTED_VALUE"""),"Verónica Moncayo")</f>
        <v>Verónica Moncayo</v>
      </c>
      <c r="C25" s="15" t="str">
        <f>IFERROR(__xludf.DUMMYFUNCTION("""COMPUTED_VALUE"""),"FilmPro®")</f>
        <v>FilmPro®</v>
      </c>
      <c r="D25" s="15" t="str">
        <f>IFERROR(__xludf.DUMMYFUNCTION("""COMPUTED_VALUE"""),"PENDIENTE")</f>
        <v>PENDIENTE</v>
      </c>
      <c r="E25" s="15">
        <f>IFERROR(__xludf.DUMMYFUNCTION("""COMPUTED_VALUE"""),4405388.0)</f>
        <v>4405388</v>
      </c>
      <c r="F25" s="15" t="s">
        <v>3413</v>
      </c>
      <c r="G25" s="60"/>
      <c r="H25" s="60"/>
      <c r="I25" s="60"/>
      <c r="J25" s="60"/>
      <c r="K25" s="60"/>
      <c r="L25" s="60"/>
      <c r="M25" s="60"/>
      <c r="N25" s="60"/>
      <c r="O25" s="60"/>
      <c r="P25" s="60"/>
      <c r="Q25" s="60"/>
      <c r="R25" s="60"/>
      <c r="S25" s="60"/>
      <c r="T25" s="60"/>
      <c r="U25" s="60"/>
      <c r="V25" s="60"/>
      <c r="W25" s="60"/>
      <c r="X25" s="60"/>
    </row>
    <row r="26">
      <c r="A26" s="62">
        <f t="array" ref="A26">IFERROR(
INDEX(FEBRERO!B:B, MATCH(E26, FEBRERO!T:T, 0)),
IFERROR(
INDEX(MARZO!B:B, MATCH(E26, MARZO!T:T, 0)),
""
)
)</f>
        <v>46058</v>
      </c>
      <c r="B26" s="15" t="str">
        <f>IFERROR(__xludf.DUMMYFUNCTION("""COMPUTED_VALUE"""),"Gabriela Estefanía Vince mora 0981673958")</f>
        <v>Gabriela Estefanía Vince mora 0981673958</v>
      </c>
      <c r="C26" s="15" t="str">
        <f>IFERROR(__xludf.DUMMYFUNCTION("""COMPUTED_VALUE"""),"FilmPro®")</f>
        <v>FilmPro®</v>
      </c>
      <c r="D26" s="15" t="str">
        <f>IFERROR(__xludf.DUMMYFUNCTION("""COMPUTED_VALUE"""),"PENDIENTE")</f>
        <v>PENDIENTE</v>
      </c>
      <c r="E26" s="15">
        <f>IFERROR(__xludf.DUMMYFUNCTION("""COMPUTED_VALUE"""),4406660.0)</f>
        <v>4406660</v>
      </c>
      <c r="F26" s="15" t="s">
        <v>3414</v>
      </c>
      <c r="G26" s="60"/>
      <c r="H26" s="60"/>
      <c r="I26" s="60"/>
      <c r="J26" s="60"/>
      <c r="K26" s="60"/>
      <c r="L26" s="60"/>
      <c r="M26" s="60"/>
      <c r="N26" s="60"/>
      <c r="O26" s="60"/>
      <c r="P26" s="60"/>
      <c r="Q26" s="60"/>
      <c r="R26" s="60"/>
      <c r="S26" s="60"/>
      <c r="T26" s="60"/>
      <c r="U26" s="60"/>
      <c r="V26" s="60"/>
      <c r="W26" s="60"/>
      <c r="X26" s="60"/>
    </row>
    <row r="27">
      <c r="A27" s="62">
        <f t="array" ref="A27">IFERROR(
INDEX(FEBRERO!B:B, MATCH(E27, FEBRERO!T:T, 0)),
IFERROR(
INDEX(MARZO!B:B, MATCH(E27, MARZO!T:T, 0)),
""
)
)</f>
        <v>46058</v>
      </c>
      <c r="B27" s="15" t="str">
        <f>IFERROR(__xludf.DUMMYFUNCTION("""COMPUTED_VALUE"""),"Alexis Mero")</f>
        <v>Alexis Mero</v>
      </c>
      <c r="C27" s="15" t="str">
        <f>IFERROR(__xludf.DUMMYFUNCTION("""COMPUTED_VALUE"""),"FilmPro®")</f>
        <v>FilmPro®</v>
      </c>
      <c r="D27" s="15" t="str">
        <f>IFERROR(__xludf.DUMMYFUNCTION("""COMPUTED_VALUE"""),"PENDIENTE")</f>
        <v>PENDIENTE</v>
      </c>
      <c r="E27" s="15">
        <f>IFERROR(__xludf.DUMMYFUNCTION("""COMPUTED_VALUE"""),4418776.0)</f>
        <v>4418776</v>
      </c>
      <c r="F27" s="15" t="s">
        <v>3415</v>
      </c>
      <c r="G27" s="60"/>
      <c r="H27" s="60"/>
      <c r="I27" s="60"/>
      <c r="J27" s="60"/>
      <c r="K27" s="60"/>
      <c r="L27" s="60"/>
      <c r="M27" s="60"/>
      <c r="N27" s="60"/>
      <c r="O27" s="60"/>
      <c r="P27" s="60"/>
      <c r="Q27" s="60"/>
      <c r="R27" s="60"/>
      <c r="S27" s="60"/>
      <c r="T27" s="60"/>
      <c r="U27" s="60"/>
      <c r="V27" s="60"/>
      <c r="W27" s="60"/>
      <c r="X27" s="60"/>
    </row>
    <row r="28">
      <c r="A28" s="62">
        <f t="array" ref="A28">IFERROR(
INDEX(FEBRERO!B:B, MATCH(E28, FEBRERO!T:T, 0)),
IFERROR(
INDEX(MARZO!B:B, MATCH(E28, MARZO!T:T, 0)),
""
)
)</f>
        <v>46058</v>
      </c>
      <c r="B28" s="15" t="str">
        <f>IFERROR(__xludf.DUMMYFUNCTION("""COMPUTED_VALUE"""),"Tito Andrade")</f>
        <v>Tito Andrade</v>
      </c>
      <c r="C28" s="15" t="str">
        <f>IFERROR(__xludf.DUMMYFUNCTION("""COMPUTED_VALUE"""),"Cuchillo Tazaki™")</f>
        <v>Cuchillo Tazaki™</v>
      </c>
      <c r="D28" s="15" t="str">
        <f>IFERROR(__xludf.DUMMYFUNCTION("""COMPUTED_VALUE"""),"PENDIENTE")</f>
        <v>PENDIENTE</v>
      </c>
      <c r="E28" s="15">
        <f>IFERROR(__xludf.DUMMYFUNCTION("""COMPUTED_VALUE"""),4418766.0)</f>
        <v>4418766</v>
      </c>
      <c r="F28" s="15" t="s">
        <v>3416</v>
      </c>
      <c r="G28" s="60"/>
      <c r="H28" s="60"/>
      <c r="I28" s="60"/>
      <c r="J28" s="60"/>
      <c r="K28" s="60"/>
      <c r="L28" s="60"/>
      <c r="M28" s="60"/>
      <c r="N28" s="60"/>
      <c r="O28" s="60"/>
      <c r="P28" s="60"/>
      <c r="Q28" s="60"/>
      <c r="R28" s="60"/>
      <c r="S28" s="60"/>
      <c r="T28" s="60"/>
      <c r="U28" s="60"/>
      <c r="V28" s="60"/>
      <c r="W28" s="60"/>
      <c r="X28" s="60"/>
    </row>
    <row r="29">
      <c r="A29" s="62">
        <f t="array" ref="A29">IFERROR(
INDEX(FEBRERO!B:B, MATCH(E29, FEBRERO!T:T, 0)),
IFERROR(
INDEX(MARZO!B:B, MATCH(E29, MARZO!T:T, 0)),
""
)
)</f>
        <v>46058</v>
      </c>
      <c r="B29" s="15" t="str">
        <f>IFERROR(__xludf.DUMMYFUNCTION("""COMPUTED_VALUE"""),"Erik Obando")</f>
        <v>Erik Obando</v>
      </c>
      <c r="C29" s="15" t="str">
        <f>IFERROR(__xludf.DUMMYFUNCTION("""COMPUTED_VALUE"""),"FilmPro®")</f>
        <v>FilmPro®</v>
      </c>
      <c r="D29" s="15" t="str">
        <f>IFERROR(__xludf.DUMMYFUNCTION("""COMPUTED_VALUE"""),"PENDIENTE")</f>
        <v>PENDIENTE</v>
      </c>
      <c r="E29" s="15">
        <f>IFERROR(__xludf.DUMMYFUNCTION("""COMPUTED_VALUE"""),4420847.0)</f>
        <v>4420847</v>
      </c>
      <c r="F29" s="15" t="s">
        <v>3417</v>
      </c>
      <c r="G29" s="60"/>
      <c r="H29" s="60"/>
      <c r="I29" s="60"/>
      <c r="J29" s="60"/>
      <c r="K29" s="60"/>
      <c r="L29" s="60"/>
      <c r="M29" s="60"/>
      <c r="N29" s="60"/>
      <c r="O29" s="60"/>
      <c r="P29" s="60"/>
      <c r="Q29" s="60"/>
      <c r="R29" s="60"/>
      <c r="S29" s="60"/>
      <c r="T29" s="60"/>
      <c r="U29" s="60"/>
      <c r="V29" s="60"/>
      <c r="W29" s="60"/>
      <c r="X29" s="60"/>
    </row>
    <row r="30">
      <c r="A30" s="62">
        <f t="array" ref="A30">IFERROR(
INDEX(FEBRERO!B:B, MATCH(E30, FEBRERO!T:T, 0)),
IFERROR(
INDEX(MARZO!B:B, MATCH(E30, MARZO!T:T, 0)),
""
)
)</f>
        <v>46058</v>
      </c>
      <c r="B30" s="15" t="str">
        <f>IFERROR(__xludf.DUMMYFUNCTION("""COMPUTED_VALUE"""),"Hugo Espinoza")</f>
        <v>Hugo Espinoza</v>
      </c>
      <c r="C30" s="15" t="str">
        <f>IFERROR(__xludf.DUMMYFUNCTION("""COMPUTED_VALUE"""),"FilmPro®")</f>
        <v>FilmPro®</v>
      </c>
      <c r="D30" s="15" t="str">
        <f>IFERROR(__xludf.DUMMYFUNCTION("""COMPUTED_VALUE"""),"PENDIENTE")</f>
        <v>PENDIENTE</v>
      </c>
      <c r="E30" s="15">
        <f>IFERROR(__xludf.DUMMYFUNCTION("""COMPUTED_VALUE"""),4418744.0)</f>
        <v>4418744</v>
      </c>
      <c r="F30" s="15" t="s">
        <v>3418</v>
      </c>
      <c r="G30" s="60"/>
      <c r="H30" s="60"/>
      <c r="I30" s="60"/>
      <c r="J30" s="60"/>
      <c r="K30" s="60"/>
      <c r="L30" s="60"/>
      <c r="M30" s="60"/>
      <c r="N30" s="60"/>
      <c r="O30" s="60"/>
      <c r="P30" s="60"/>
      <c r="Q30" s="60"/>
      <c r="R30" s="60"/>
      <c r="S30" s="60"/>
      <c r="T30" s="60"/>
      <c r="U30" s="60"/>
      <c r="V30" s="60"/>
      <c r="W30" s="60"/>
      <c r="X30" s="60"/>
    </row>
    <row r="31">
      <c r="A31" s="62">
        <f t="array" ref="A31">IFERROR(
INDEX(FEBRERO!B:B, MATCH(E31, FEBRERO!T:T, 0)),
IFERROR(
INDEX(MARZO!B:B, MATCH(E31, MARZO!T:T, 0)),
""
)
)</f>
        <v>46058</v>
      </c>
      <c r="B31" s="15" t="str">
        <f>IFERROR(__xludf.DUMMYFUNCTION("""COMPUTED_VALUE"""),"Dalton Maldonado")</f>
        <v>Dalton Maldonado</v>
      </c>
      <c r="C31" s="15" t="str">
        <f>IFERROR(__xludf.DUMMYFUNCTION("""COMPUTED_VALUE"""),"Cuchillo Tazaki™")</f>
        <v>Cuchillo Tazaki™</v>
      </c>
      <c r="D31" s="15" t="str">
        <f>IFERROR(__xludf.DUMMYFUNCTION("""COMPUTED_VALUE"""),"PENDIENTE")</f>
        <v>PENDIENTE</v>
      </c>
      <c r="E31" s="15">
        <f>IFERROR(__xludf.DUMMYFUNCTION("""COMPUTED_VALUE"""),4418732.0)</f>
        <v>4418732</v>
      </c>
      <c r="F31" s="15" t="s">
        <v>3419</v>
      </c>
      <c r="G31" s="60"/>
      <c r="H31" s="60"/>
      <c r="I31" s="60"/>
      <c r="J31" s="60"/>
      <c r="K31" s="60"/>
      <c r="L31" s="60"/>
      <c r="M31" s="60"/>
      <c r="N31" s="60"/>
      <c r="O31" s="60"/>
      <c r="P31" s="60"/>
      <c r="Q31" s="60"/>
      <c r="R31" s="60"/>
      <c r="S31" s="60"/>
      <c r="T31" s="60"/>
      <c r="U31" s="60"/>
      <c r="V31" s="60"/>
      <c r="W31" s="60"/>
      <c r="X31" s="60"/>
    </row>
    <row r="32">
      <c r="A32" s="62">
        <f t="array" ref="A32">IFERROR(
INDEX(FEBRERO!B:B, MATCH(E32, FEBRERO!T:T, 0)),
IFERROR(
INDEX(MARZO!B:B, MATCH(E32, MARZO!T:T, 0)),
""
)
)</f>
        <v>46058</v>
      </c>
      <c r="B32" s="15" t="str">
        <f>IFERROR(__xludf.DUMMYFUNCTION("""COMPUTED_VALUE"""),"Angel Rea")</f>
        <v>Angel Rea</v>
      </c>
      <c r="C32" s="15" t="str">
        <f>IFERROR(__xludf.DUMMYFUNCTION("""COMPUTED_VALUE"""),"Cuchillo Tazaki™")</f>
        <v>Cuchillo Tazaki™</v>
      </c>
      <c r="D32" s="15" t="str">
        <f>IFERROR(__xludf.DUMMYFUNCTION("""COMPUTED_VALUE"""),"PENDIENTE")</f>
        <v>PENDIENTE</v>
      </c>
      <c r="E32" s="15">
        <f>IFERROR(__xludf.DUMMYFUNCTION("""COMPUTED_VALUE"""),4418730.0)</f>
        <v>4418730</v>
      </c>
      <c r="F32" s="15" t="s">
        <v>3420</v>
      </c>
      <c r="G32" s="60"/>
      <c r="H32" s="60"/>
      <c r="I32" s="60"/>
      <c r="J32" s="60"/>
      <c r="K32" s="60"/>
      <c r="L32" s="60"/>
      <c r="M32" s="60"/>
      <c r="N32" s="60"/>
      <c r="O32" s="60"/>
      <c r="P32" s="60"/>
      <c r="Q32" s="60"/>
      <c r="R32" s="60"/>
      <c r="S32" s="60"/>
      <c r="T32" s="60"/>
      <c r="U32" s="60"/>
      <c r="V32" s="60"/>
      <c r="W32" s="60"/>
      <c r="X32" s="60"/>
    </row>
    <row r="33">
      <c r="A33" s="62">
        <f t="array" ref="A33">IFERROR(
INDEX(FEBRERO!B:B, MATCH(E33, FEBRERO!T:T, 0)),
IFERROR(
INDEX(MARZO!B:B, MATCH(E33, MARZO!T:T, 0)),
""
)
)</f>
        <v>46058</v>
      </c>
      <c r="B33" s="15" t="str">
        <f>IFERROR(__xludf.DUMMYFUNCTION("""COMPUTED_VALUE"""),"Diego Fernando Barros criollo")</f>
        <v>Diego Fernando Barros criollo</v>
      </c>
      <c r="C33" s="15" t="str">
        <f>IFERROR(__xludf.DUMMYFUNCTION("""COMPUTED_VALUE"""),"Cuchillo Tazaki™")</f>
        <v>Cuchillo Tazaki™</v>
      </c>
      <c r="D33" s="15" t="str">
        <f>IFERROR(__xludf.DUMMYFUNCTION("""COMPUTED_VALUE"""),"PENDIENTE")</f>
        <v>PENDIENTE</v>
      </c>
      <c r="E33" s="15">
        <f>IFERROR(__xludf.DUMMYFUNCTION("""COMPUTED_VALUE"""),4418715.0)</f>
        <v>4418715</v>
      </c>
      <c r="F33" s="15" t="s">
        <v>3421</v>
      </c>
      <c r="G33" s="60"/>
      <c r="H33" s="60"/>
      <c r="I33" s="60"/>
      <c r="J33" s="60"/>
      <c r="K33" s="60"/>
      <c r="L33" s="60"/>
      <c r="M33" s="60"/>
      <c r="N33" s="60"/>
      <c r="O33" s="60"/>
      <c r="P33" s="60"/>
      <c r="Q33" s="60"/>
      <c r="R33" s="60"/>
      <c r="S33" s="60"/>
      <c r="T33" s="60"/>
      <c r="U33" s="60"/>
      <c r="V33" s="60"/>
      <c r="W33" s="60"/>
      <c r="X33" s="60"/>
    </row>
    <row r="34">
      <c r="A34" s="62">
        <f t="array" ref="A34">IFERROR(
INDEX(FEBRERO!B:B, MATCH(E34, FEBRERO!T:T, 0)),
IFERROR(
INDEX(MARZO!B:B, MATCH(E34, MARZO!T:T, 0)),
""
)
)</f>
        <v>46058</v>
      </c>
      <c r="B34" s="15" t="str">
        <f>IFERROR(__xludf.DUMMYFUNCTION("""COMPUTED_VALUE"""),"Norma Vera Zambrano")</f>
        <v>Norma Vera Zambrano</v>
      </c>
      <c r="C34" s="15" t="str">
        <f>IFERROR(__xludf.DUMMYFUNCTION("""COMPUTED_VALUE"""),"Cuchillo Tazaki™")</f>
        <v>Cuchillo Tazaki™</v>
      </c>
      <c r="D34" s="15" t="str">
        <f>IFERROR(__xludf.DUMMYFUNCTION("""COMPUTED_VALUE"""),"PENDIENTE")</f>
        <v>PENDIENTE</v>
      </c>
      <c r="E34" s="15">
        <f>IFERROR(__xludf.DUMMYFUNCTION("""COMPUTED_VALUE"""),4418710.0)</f>
        <v>4418710</v>
      </c>
      <c r="F34" s="15" t="s">
        <v>3422</v>
      </c>
      <c r="G34" s="60"/>
      <c r="H34" s="60"/>
      <c r="I34" s="60"/>
      <c r="J34" s="60"/>
      <c r="K34" s="60"/>
      <c r="L34" s="60"/>
      <c r="M34" s="60"/>
      <c r="N34" s="60"/>
      <c r="O34" s="60"/>
      <c r="P34" s="60"/>
      <c r="Q34" s="60"/>
      <c r="R34" s="60"/>
      <c r="S34" s="60"/>
      <c r="T34" s="60"/>
      <c r="U34" s="60"/>
      <c r="V34" s="60"/>
      <c r="W34" s="60"/>
      <c r="X34" s="60"/>
    </row>
    <row r="35">
      <c r="A35" s="62">
        <f t="array" ref="A35">IFERROR(
INDEX(FEBRERO!B:B, MATCH(E35, FEBRERO!T:T, 0)),
IFERROR(
INDEX(MARZO!B:B, MATCH(E35, MARZO!T:T, 0)),
""
)
)</f>
        <v>46058</v>
      </c>
      <c r="B35" s="15" t="str">
        <f>IFERROR(__xludf.DUMMYFUNCTION("""COMPUTED_VALUE"""),"Lauro Patiño")</f>
        <v>Lauro Patiño</v>
      </c>
      <c r="C35" s="15" t="str">
        <f>IFERROR(__xludf.DUMMYFUNCTION("""COMPUTED_VALUE"""),"FilmPro®")</f>
        <v>FilmPro®</v>
      </c>
      <c r="D35" s="15" t="str">
        <f>IFERROR(__xludf.DUMMYFUNCTION("""COMPUTED_VALUE"""),"PENDIENTE")</f>
        <v>PENDIENTE</v>
      </c>
      <c r="E35" s="15">
        <f>IFERROR(__xludf.DUMMYFUNCTION("""COMPUTED_VALUE"""),4418709.0)</f>
        <v>4418709</v>
      </c>
      <c r="F35" s="15" t="s">
        <v>3423</v>
      </c>
      <c r="G35" s="60"/>
      <c r="H35" s="60"/>
      <c r="I35" s="60"/>
      <c r="J35" s="60"/>
      <c r="K35" s="60"/>
      <c r="L35" s="60"/>
      <c r="M35" s="60"/>
      <c r="N35" s="60"/>
      <c r="O35" s="60"/>
      <c r="P35" s="60"/>
      <c r="Q35" s="60"/>
      <c r="R35" s="60"/>
      <c r="S35" s="60"/>
      <c r="T35" s="60"/>
      <c r="U35" s="60"/>
      <c r="V35" s="60"/>
      <c r="W35" s="60"/>
      <c r="X35" s="60"/>
    </row>
    <row r="36">
      <c r="A36" s="62">
        <f t="array" ref="A36">IFERROR(
INDEX(FEBRERO!B:B, MATCH(E36, FEBRERO!T:T, 0)),
IFERROR(
INDEX(MARZO!B:B, MATCH(E36, MARZO!T:T, 0)),
""
)
)</f>
        <v>46058</v>
      </c>
      <c r="B36" s="15" t="str">
        <f>IFERROR(__xludf.DUMMYFUNCTION("""COMPUTED_VALUE"""),"Olga Chuya")</f>
        <v>Olga Chuya</v>
      </c>
      <c r="C36" s="15" t="str">
        <f>IFERROR(__xludf.DUMMYFUNCTION("""COMPUTED_VALUE"""),"Cuchillo Tazaki™")</f>
        <v>Cuchillo Tazaki™</v>
      </c>
      <c r="D36" s="15" t="str">
        <f>IFERROR(__xludf.DUMMYFUNCTION("""COMPUTED_VALUE"""),"PENDIENTE")</f>
        <v>PENDIENTE</v>
      </c>
      <c r="E36" s="15">
        <f>IFERROR(__xludf.DUMMYFUNCTION("""COMPUTED_VALUE"""),4418703.0)</f>
        <v>4418703</v>
      </c>
      <c r="F36" s="15" t="s">
        <v>3424</v>
      </c>
      <c r="G36" s="60"/>
      <c r="H36" s="60"/>
      <c r="I36" s="60"/>
      <c r="J36" s="60"/>
      <c r="K36" s="60"/>
      <c r="L36" s="60"/>
      <c r="M36" s="60"/>
      <c r="N36" s="60"/>
      <c r="O36" s="60"/>
      <c r="P36" s="60"/>
      <c r="Q36" s="60"/>
      <c r="R36" s="60"/>
      <c r="S36" s="60"/>
      <c r="T36" s="60"/>
      <c r="U36" s="60"/>
      <c r="V36" s="60"/>
      <c r="W36" s="60"/>
      <c r="X36" s="60"/>
    </row>
    <row r="37">
      <c r="A37" s="62">
        <f t="array" ref="A37">IFERROR(
INDEX(FEBRERO!B:B, MATCH(E37, FEBRERO!T:T, 0)),
IFERROR(
INDEX(MARZO!B:B, MATCH(E37, MARZO!T:T, 0)),
""
)
)</f>
        <v>46059</v>
      </c>
      <c r="B37" s="15" t="str">
        <f>IFERROR(__xludf.DUMMYFUNCTION("""COMPUTED_VALUE"""),"Baldemar Alfredo Guerra García Guerra García")</f>
        <v>Baldemar Alfredo Guerra García Guerra García</v>
      </c>
      <c r="C37" s="15" t="str">
        <f>IFERROR(__xludf.DUMMYFUNCTION("""COMPUTED_VALUE"""),"FilmPro®")</f>
        <v>FilmPro®</v>
      </c>
      <c r="D37" s="15" t="str">
        <f>IFERROR(__xludf.DUMMYFUNCTION("""COMPUTED_VALUE"""),"PENDIENTE")</f>
        <v>PENDIENTE</v>
      </c>
      <c r="E37" s="15">
        <f>IFERROR(__xludf.DUMMYFUNCTION("""COMPUTED_VALUE"""),4418691.0)</f>
        <v>4418691</v>
      </c>
      <c r="F37" s="15" t="s">
        <v>3425</v>
      </c>
      <c r="G37" s="60"/>
      <c r="H37" s="60"/>
      <c r="I37" s="60"/>
      <c r="J37" s="60"/>
      <c r="K37" s="60"/>
      <c r="L37" s="60"/>
      <c r="M37" s="60"/>
      <c r="N37" s="60"/>
      <c r="O37" s="60"/>
      <c r="P37" s="60"/>
      <c r="Q37" s="60"/>
      <c r="R37" s="60"/>
      <c r="S37" s="60"/>
      <c r="T37" s="60"/>
      <c r="U37" s="60"/>
      <c r="V37" s="60"/>
      <c r="W37" s="60"/>
      <c r="X37" s="60"/>
    </row>
    <row r="38">
      <c r="A38" s="62">
        <f t="array" ref="A38">IFERROR(
INDEX(FEBRERO!B:B, MATCH(E38, FEBRERO!T:T, 0)),
IFERROR(
INDEX(MARZO!B:B, MATCH(E38, MARZO!T:T, 0)),
""
)
)</f>
        <v>46059</v>
      </c>
      <c r="B38" s="15" t="str">
        <f>IFERROR(__xludf.DUMMYFUNCTION("""COMPUTED_VALUE"""),"Enrique Ramón Dàger Rivera")</f>
        <v>Enrique Ramón Dàger Rivera</v>
      </c>
      <c r="C38" s="15" t="str">
        <f>IFERROR(__xludf.DUMMYFUNCTION("""COMPUTED_VALUE"""),"Cuchillo Tazaki™")</f>
        <v>Cuchillo Tazaki™</v>
      </c>
      <c r="D38" s="15" t="str">
        <f>IFERROR(__xludf.DUMMYFUNCTION("""COMPUTED_VALUE"""),"PENDIENTE")</f>
        <v>PENDIENTE</v>
      </c>
      <c r="E38" s="15">
        <f>IFERROR(__xludf.DUMMYFUNCTION("""COMPUTED_VALUE"""),4418688.0)</f>
        <v>4418688</v>
      </c>
      <c r="F38" s="15" t="s">
        <v>3426</v>
      </c>
      <c r="G38" s="60"/>
      <c r="H38" s="60"/>
      <c r="I38" s="60"/>
      <c r="J38" s="60"/>
      <c r="K38" s="60"/>
      <c r="L38" s="60"/>
      <c r="M38" s="60"/>
      <c r="N38" s="60"/>
      <c r="O38" s="60"/>
      <c r="P38" s="60"/>
      <c r="Q38" s="60"/>
      <c r="R38" s="60"/>
      <c r="S38" s="60"/>
      <c r="T38" s="60"/>
      <c r="U38" s="60"/>
      <c r="V38" s="60"/>
      <c r="W38" s="60"/>
      <c r="X38" s="60"/>
    </row>
    <row r="39">
      <c r="A39" s="62">
        <f t="array" ref="A39">IFERROR(
INDEX(FEBRERO!B:B, MATCH(E39, FEBRERO!T:T, 0)),
IFERROR(
INDEX(MARZO!B:B, MATCH(E39, MARZO!T:T, 0)),
""
)
)</f>
        <v>46059</v>
      </c>
      <c r="B39" s="15" t="str">
        <f>IFERROR(__xludf.DUMMYFUNCTION("""COMPUTED_VALUE"""),"Fernando Acosta")</f>
        <v>Fernando Acosta</v>
      </c>
      <c r="C39" s="15" t="str">
        <f>IFERROR(__xludf.DUMMYFUNCTION("""COMPUTED_VALUE"""),"Cuchillo Tazaki™")</f>
        <v>Cuchillo Tazaki™</v>
      </c>
      <c r="D39" s="15" t="str">
        <f>IFERROR(__xludf.DUMMYFUNCTION("""COMPUTED_VALUE"""),"PENDIENTE")</f>
        <v>PENDIENTE</v>
      </c>
      <c r="E39" s="15">
        <f>IFERROR(__xludf.DUMMYFUNCTION("""COMPUTED_VALUE"""),4418686.0)</f>
        <v>4418686</v>
      </c>
      <c r="F39" s="15" t="s">
        <v>3427</v>
      </c>
      <c r="G39" s="60"/>
      <c r="H39" s="60"/>
      <c r="I39" s="60"/>
      <c r="J39" s="60"/>
      <c r="K39" s="60"/>
      <c r="L39" s="60"/>
      <c r="M39" s="60"/>
      <c r="N39" s="60"/>
      <c r="O39" s="60"/>
      <c r="P39" s="60"/>
      <c r="Q39" s="60"/>
      <c r="R39" s="60"/>
      <c r="S39" s="60"/>
      <c r="T39" s="60"/>
      <c r="U39" s="60"/>
      <c r="V39" s="60"/>
      <c r="W39" s="60"/>
      <c r="X39" s="60"/>
    </row>
    <row r="40">
      <c r="A40" s="62">
        <f t="array" ref="A40">IFERROR(
INDEX(FEBRERO!B:B, MATCH(E40, FEBRERO!T:T, 0)),
IFERROR(
INDEX(MARZO!B:B, MATCH(E40, MARZO!T:T, 0)),
""
)
)</f>
        <v>46059</v>
      </c>
      <c r="B40" s="15" t="str">
        <f>IFERROR(__xludf.DUMMYFUNCTION("""COMPUTED_VALUE"""),"Jaime Gomez")</f>
        <v>Jaime Gomez</v>
      </c>
      <c r="C40" s="15" t="str">
        <f>IFERROR(__xludf.DUMMYFUNCTION("""COMPUTED_VALUE"""),"Cuchillo Tazaki™")</f>
        <v>Cuchillo Tazaki™</v>
      </c>
      <c r="D40" s="15" t="str">
        <f>IFERROR(__xludf.DUMMYFUNCTION("""COMPUTED_VALUE"""),"PENDIENTE")</f>
        <v>PENDIENTE</v>
      </c>
      <c r="E40" s="15">
        <f>IFERROR(__xludf.DUMMYFUNCTION("""COMPUTED_VALUE"""),4418684.0)</f>
        <v>4418684</v>
      </c>
      <c r="F40" s="15" t="s">
        <v>3428</v>
      </c>
      <c r="G40" s="60"/>
      <c r="H40" s="60"/>
      <c r="I40" s="60"/>
      <c r="J40" s="60"/>
      <c r="K40" s="60"/>
      <c r="L40" s="60"/>
      <c r="M40" s="60"/>
      <c r="N40" s="60"/>
      <c r="O40" s="60"/>
      <c r="P40" s="60"/>
      <c r="Q40" s="60"/>
      <c r="R40" s="60"/>
      <c r="S40" s="60"/>
      <c r="T40" s="60"/>
      <c r="U40" s="60"/>
      <c r="V40" s="60"/>
      <c r="W40" s="60"/>
      <c r="X40" s="60"/>
    </row>
    <row r="41">
      <c r="A41" s="62">
        <f t="array" ref="A41">IFERROR(
INDEX(FEBRERO!B:B, MATCH(E41, FEBRERO!T:T, 0)),
IFERROR(
INDEX(MARZO!B:B, MATCH(E41, MARZO!T:T, 0)),
""
)
)</f>
        <v>46059</v>
      </c>
      <c r="B41" s="15" t="str">
        <f>IFERROR(__xludf.DUMMYFUNCTION("""COMPUTED_VALUE"""),"Alexandra Contrera")</f>
        <v>Alexandra Contrera</v>
      </c>
      <c r="C41" s="15" t="str">
        <f>IFERROR(__xludf.DUMMYFUNCTION("""COMPUTED_VALUE"""),"Cuchillo Tazaki™")</f>
        <v>Cuchillo Tazaki™</v>
      </c>
      <c r="D41" s="15" t="str">
        <f>IFERROR(__xludf.DUMMYFUNCTION("""COMPUTED_VALUE"""),"PENDIENTE")</f>
        <v>PENDIENTE</v>
      </c>
      <c r="E41" s="15">
        <f>IFERROR(__xludf.DUMMYFUNCTION("""COMPUTED_VALUE"""),4418681.0)</f>
        <v>4418681</v>
      </c>
      <c r="F41" s="15" t="s">
        <v>3429</v>
      </c>
      <c r="G41" s="60"/>
      <c r="H41" s="60"/>
      <c r="I41" s="60"/>
      <c r="J41" s="60"/>
      <c r="K41" s="60"/>
      <c r="L41" s="60"/>
      <c r="M41" s="60"/>
      <c r="N41" s="60"/>
      <c r="O41" s="60"/>
      <c r="P41" s="60"/>
      <c r="Q41" s="60"/>
      <c r="R41" s="60"/>
      <c r="S41" s="60"/>
      <c r="T41" s="60"/>
      <c r="U41" s="60"/>
      <c r="V41" s="60"/>
      <c r="W41" s="60"/>
      <c r="X41" s="60"/>
    </row>
    <row r="42">
      <c r="A42" s="62">
        <f t="array" ref="A42">IFERROR(
INDEX(FEBRERO!B:B, MATCH(E42, FEBRERO!T:T, 0)),
IFERROR(
INDEX(MARZO!B:B, MATCH(E42, MARZO!T:T, 0)),
""
)
)</f>
        <v>46059</v>
      </c>
      <c r="B42" s="15" t="str">
        <f>IFERROR(__xludf.DUMMYFUNCTION("""COMPUTED_VALUE"""),"isabel cedeño")</f>
        <v>isabel cedeño</v>
      </c>
      <c r="C42" s="15" t="str">
        <f>IFERROR(__xludf.DUMMYFUNCTION("""COMPUTED_VALUE"""),"Cuchillo Tazaki™")</f>
        <v>Cuchillo Tazaki™</v>
      </c>
      <c r="D42" s="15" t="str">
        <f>IFERROR(__xludf.DUMMYFUNCTION("""COMPUTED_VALUE"""),"PENDIENTE")</f>
        <v>PENDIENTE</v>
      </c>
      <c r="E42" s="15">
        <f>IFERROR(__xludf.DUMMYFUNCTION("""COMPUTED_VALUE"""),4421351.0)</f>
        <v>4421351</v>
      </c>
      <c r="F42" s="15" t="s">
        <v>3430</v>
      </c>
      <c r="G42" s="60"/>
      <c r="H42" s="60"/>
      <c r="I42" s="60"/>
      <c r="J42" s="60"/>
      <c r="K42" s="60"/>
      <c r="L42" s="60"/>
      <c r="M42" s="60"/>
      <c r="N42" s="60"/>
      <c r="O42" s="60"/>
      <c r="P42" s="60"/>
      <c r="Q42" s="60"/>
      <c r="R42" s="60"/>
      <c r="S42" s="60"/>
      <c r="T42" s="60"/>
      <c r="U42" s="60"/>
      <c r="V42" s="60"/>
      <c r="W42" s="60"/>
      <c r="X42" s="60"/>
    </row>
    <row r="43">
      <c r="A43" s="62">
        <f t="array" ref="A43">IFERROR(
INDEX(FEBRERO!B:B, MATCH(E43, FEBRERO!T:T, 0)),
IFERROR(
INDEX(MARZO!B:B, MATCH(E43, MARZO!T:T, 0)),
""
)
)</f>
        <v>46059</v>
      </c>
      <c r="B43" s="15" t="str">
        <f>IFERROR(__xludf.DUMMYFUNCTION("""COMPUTED_VALUE"""),"Estela Rodriguez")</f>
        <v>Estela Rodriguez</v>
      </c>
      <c r="C43" s="15" t="str">
        <f>IFERROR(__xludf.DUMMYFUNCTION("""COMPUTED_VALUE"""),"Cuchillo Tazaki™")</f>
        <v>Cuchillo Tazaki™</v>
      </c>
      <c r="D43" s="15" t="str">
        <f>IFERROR(__xludf.DUMMYFUNCTION("""COMPUTED_VALUE"""),"PENDIENTE")</f>
        <v>PENDIENTE</v>
      </c>
      <c r="E43" s="15">
        <f>IFERROR(__xludf.DUMMYFUNCTION("""COMPUTED_VALUE"""),4418677.0)</f>
        <v>4418677</v>
      </c>
      <c r="F43" s="15" t="s">
        <v>3431</v>
      </c>
      <c r="G43" s="60"/>
      <c r="H43" s="60"/>
      <c r="I43" s="60"/>
      <c r="J43" s="60"/>
      <c r="K43" s="60"/>
      <c r="L43" s="60"/>
      <c r="M43" s="60"/>
      <c r="N43" s="60"/>
      <c r="O43" s="60"/>
      <c r="P43" s="60"/>
      <c r="Q43" s="60"/>
      <c r="R43" s="60"/>
      <c r="S43" s="60"/>
      <c r="T43" s="60"/>
      <c r="U43" s="60"/>
      <c r="V43" s="60"/>
      <c r="W43" s="60"/>
      <c r="X43" s="60"/>
    </row>
    <row r="44">
      <c r="A44" s="62">
        <f t="array" ref="A44">IFERROR(
INDEX(FEBRERO!B:B, MATCH(E44, FEBRERO!T:T, 0)),
IFERROR(
INDEX(MARZO!B:B, MATCH(E44, MARZO!T:T, 0)),
""
)
)</f>
        <v>46059</v>
      </c>
      <c r="B44" s="15" t="str">
        <f>IFERROR(__xludf.DUMMYFUNCTION("""COMPUTED_VALUE"""),"Maria Carrera")</f>
        <v>Maria Carrera</v>
      </c>
      <c r="C44" s="15" t="str">
        <f>IFERROR(__xludf.DUMMYFUNCTION("""COMPUTED_VALUE"""),"Cuchillo Tazaki™")</f>
        <v>Cuchillo Tazaki™</v>
      </c>
      <c r="D44" s="15" t="str">
        <f>IFERROR(__xludf.DUMMYFUNCTION("""COMPUTED_VALUE"""),"PENDIENTE")</f>
        <v>PENDIENTE</v>
      </c>
      <c r="E44" s="15">
        <f>IFERROR(__xludf.DUMMYFUNCTION("""COMPUTED_VALUE"""),4418670.0)</f>
        <v>4418670</v>
      </c>
      <c r="F44" s="15" t="s">
        <v>3432</v>
      </c>
      <c r="G44" s="60"/>
      <c r="H44" s="60"/>
      <c r="I44" s="60"/>
      <c r="J44" s="60"/>
      <c r="K44" s="60"/>
      <c r="L44" s="60"/>
      <c r="M44" s="60"/>
      <c r="N44" s="60"/>
      <c r="O44" s="60"/>
      <c r="P44" s="60"/>
      <c r="Q44" s="60"/>
      <c r="R44" s="60"/>
      <c r="S44" s="60"/>
      <c r="T44" s="60"/>
      <c r="U44" s="60"/>
      <c r="V44" s="60"/>
      <c r="W44" s="60"/>
      <c r="X44" s="60"/>
    </row>
    <row r="45">
      <c r="A45" s="62">
        <f t="array" ref="A45">IFERROR(
INDEX(FEBRERO!B:B, MATCH(E45, FEBRERO!T:T, 0)),
IFERROR(
INDEX(MARZO!B:B, MATCH(E45, MARZO!T:T, 0)),
""
)
)</f>
        <v>46059</v>
      </c>
      <c r="B45" s="15" t="str">
        <f>IFERROR(__xludf.DUMMYFUNCTION("""COMPUTED_VALUE"""),"Junior Marcillo")</f>
        <v>Junior Marcillo</v>
      </c>
      <c r="C45" s="15" t="str">
        <f>IFERROR(__xludf.DUMMYFUNCTION("""COMPUTED_VALUE"""),"FilmPro®")</f>
        <v>FilmPro®</v>
      </c>
      <c r="D45" s="15" t="str">
        <f>IFERROR(__xludf.DUMMYFUNCTION("""COMPUTED_VALUE"""),"PENDIENTE")</f>
        <v>PENDIENTE</v>
      </c>
      <c r="E45" s="15">
        <f>IFERROR(__xludf.DUMMYFUNCTION("""COMPUTED_VALUE"""),4421453.0)</f>
        <v>4421453</v>
      </c>
      <c r="F45" s="15" t="s">
        <v>3433</v>
      </c>
      <c r="G45" s="60"/>
      <c r="H45" s="60"/>
      <c r="I45" s="60"/>
      <c r="J45" s="60"/>
      <c r="K45" s="60"/>
      <c r="L45" s="60"/>
      <c r="M45" s="60"/>
      <c r="N45" s="60"/>
      <c r="O45" s="60"/>
      <c r="P45" s="60"/>
      <c r="Q45" s="60"/>
      <c r="R45" s="60"/>
      <c r="S45" s="60"/>
      <c r="T45" s="60"/>
      <c r="U45" s="60"/>
      <c r="V45" s="60"/>
      <c r="W45" s="60"/>
      <c r="X45" s="60"/>
    </row>
    <row r="46">
      <c r="A46" s="62">
        <f t="array" ref="A46">IFERROR(
INDEX(FEBRERO!B:B, MATCH(E46, FEBRERO!T:T, 0)),
IFERROR(
INDEX(MARZO!B:B, MATCH(E46, MARZO!T:T, 0)),
""
)
)</f>
        <v>46059</v>
      </c>
      <c r="B46" s="15" t="str">
        <f>IFERROR(__xludf.DUMMYFUNCTION("""COMPUTED_VALUE"""),"Juan carlos Garcia")</f>
        <v>Juan carlos Garcia</v>
      </c>
      <c r="C46" s="15" t="str">
        <f>IFERROR(__xludf.DUMMYFUNCTION("""COMPUTED_VALUE"""),"FilmPro®")</f>
        <v>FilmPro®</v>
      </c>
      <c r="D46" s="15" t="str">
        <f>IFERROR(__xludf.DUMMYFUNCTION("""COMPUTED_VALUE"""),"PENDIENTE")</f>
        <v>PENDIENTE</v>
      </c>
      <c r="E46" s="15">
        <f>IFERROR(__xludf.DUMMYFUNCTION("""COMPUTED_VALUE"""),4418663.0)</f>
        <v>4418663</v>
      </c>
      <c r="F46" s="15" t="s">
        <v>3434</v>
      </c>
      <c r="G46" s="60"/>
      <c r="H46" s="60"/>
      <c r="I46" s="60"/>
      <c r="J46" s="60"/>
      <c r="K46" s="60"/>
      <c r="L46" s="60"/>
      <c r="M46" s="60"/>
      <c r="N46" s="60"/>
      <c r="O46" s="60"/>
      <c r="P46" s="60"/>
      <c r="Q46" s="60"/>
      <c r="R46" s="60"/>
      <c r="S46" s="60"/>
      <c r="T46" s="60"/>
      <c r="U46" s="60"/>
      <c r="V46" s="60"/>
      <c r="W46" s="60"/>
      <c r="X46" s="60"/>
    </row>
    <row r="47">
      <c r="A47" s="62">
        <f t="array" ref="A47">IFERROR(
INDEX(FEBRERO!B:B, MATCH(E47, FEBRERO!T:T, 0)),
IFERROR(
INDEX(MARZO!B:B, MATCH(E47, MARZO!T:T, 0)),
""
)
)</f>
        <v>46058</v>
      </c>
      <c r="B47" s="15" t="str">
        <f>IFERROR(__xludf.DUMMYFUNCTION("""COMPUTED_VALUE""")," Norma Vera Zambrano
")</f>
        <v> Norma Vera Zambrano
</v>
      </c>
      <c r="C47" s="15" t="str">
        <f>IFERROR(__xludf.DUMMYFUNCTION("""COMPUTED_VALUE"""),"Cuchillo Tazaki™")</f>
        <v>Cuchillo Tazaki™</v>
      </c>
      <c r="D47" s="15" t="str">
        <f>IFERROR(__xludf.DUMMYFUNCTION("""COMPUTED_VALUE"""),"PENDIENTE")</f>
        <v>PENDIENTE</v>
      </c>
      <c r="E47" s="15">
        <f>IFERROR(__xludf.DUMMYFUNCTION("""COMPUTED_VALUE"""),4418710.0)</f>
        <v>4418710</v>
      </c>
      <c r="F47" s="15" t="s">
        <v>3422</v>
      </c>
      <c r="G47" s="60"/>
      <c r="H47" s="60"/>
      <c r="I47" s="60"/>
      <c r="J47" s="60"/>
      <c r="K47" s="60"/>
      <c r="L47" s="60"/>
      <c r="M47" s="60"/>
      <c r="N47" s="60"/>
      <c r="O47" s="60"/>
      <c r="P47" s="60"/>
      <c r="Q47" s="60"/>
      <c r="R47" s="60"/>
      <c r="S47" s="60"/>
      <c r="T47" s="60"/>
      <c r="U47" s="60"/>
      <c r="V47" s="60"/>
      <c r="W47" s="60"/>
      <c r="X47" s="60"/>
    </row>
    <row r="48">
      <c r="A48" s="62">
        <f t="array" ref="A48">IFERROR(
INDEX(FEBRERO!B:B, MATCH(E48, FEBRERO!T:T, 0)),
IFERROR(
INDEX(MARZO!B:B, MATCH(E48, MARZO!T:T, 0)),
""
)
)</f>
        <v>46059</v>
      </c>
      <c r="B48" s="15" t="str">
        <f>IFERROR(__xludf.DUMMYFUNCTION("""COMPUTED_VALUE"""),"Richard Benavides")</f>
        <v>Richard Benavides</v>
      </c>
      <c r="C48" s="15" t="str">
        <f>IFERROR(__xludf.DUMMYFUNCTION("""COMPUTED_VALUE"""),"FilmPro®")</f>
        <v>FilmPro®</v>
      </c>
      <c r="D48" s="15" t="str">
        <f>IFERROR(__xludf.DUMMYFUNCTION("""COMPUTED_VALUE"""),"PENDIENTE")</f>
        <v>PENDIENTE</v>
      </c>
      <c r="E48" s="15">
        <f>IFERROR(__xludf.DUMMYFUNCTION("""COMPUTED_VALUE"""),4418635.0)</f>
        <v>4418635</v>
      </c>
      <c r="F48" s="15" t="s">
        <v>3435</v>
      </c>
      <c r="G48" s="60"/>
      <c r="H48" s="60"/>
      <c r="I48" s="60"/>
      <c r="J48" s="60"/>
      <c r="K48" s="60"/>
      <c r="L48" s="60"/>
      <c r="M48" s="60"/>
      <c r="N48" s="60"/>
      <c r="O48" s="60"/>
      <c r="P48" s="60"/>
      <c r="Q48" s="60"/>
      <c r="R48" s="60"/>
      <c r="S48" s="60"/>
      <c r="T48" s="60"/>
      <c r="U48" s="60"/>
      <c r="V48" s="60"/>
      <c r="W48" s="60"/>
      <c r="X48" s="60"/>
    </row>
    <row r="49">
      <c r="A49" s="62">
        <f t="array" ref="A49">IFERROR(
INDEX(FEBRERO!B:B, MATCH(E49, FEBRERO!T:T, 0)),
IFERROR(
INDEX(MARZO!B:B, MATCH(E49, MARZO!T:T, 0)),
""
)
)</f>
        <v>46059</v>
      </c>
      <c r="B49" s="15" t="str">
        <f>IFERROR(__xludf.DUMMYFUNCTION("""COMPUTED_VALUE"""),"Patricio Dávalos")</f>
        <v>Patricio Dávalos</v>
      </c>
      <c r="C49" s="15" t="str">
        <f>IFERROR(__xludf.DUMMYFUNCTION("""COMPUTED_VALUE"""),"Cuchillo Tazaki™")</f>
        <v>Cuchillo Tazaki™</v>
      </c>
      <c r="D49" s="15" t="str">
        <f>IFERROR(__xludf.DUMMYFUNCTION("""COMPUTED_VALUE"""),"PENDIENTE")</f>
        <v>PENDIENTE</v>
      </c>
      <c r="E49" s="15">
        <f>IFERROR(__xludf.DUMMYFUNCTION("""COMPUTED_VALUE"""),4421195.0)</f>
        <v>4421195</v>
      </c>
      <c r="F49" s="15" t="s">
        <v>3436</v>
      </c>
      <c r="G49" s="60"/>
      <c r="H49" s="60"/>
      <c r="I49" s="60"/>
      <c r="J49" s="60"/>
      <c r="K49" s="60"/>
      <c r="L49" s="60"/>
      <c r="M49" s="60"/>
      <c r="N49" s="60"/>
      <c r="O49" s="60"/>
      <c r="P49" s="60"/>
      <c r="Q49" s="60"/>
      <c r="R49" s="60"/>
      <c r="S49" s="60"/>
      <c r="T49" s="60"/>
      <c r="U49" s="60"/>
      <c r="V49" s="60"/>
      <c r="W49" s="60"/>
      <c r="X49" s="60"/>
    </row>
    <row r="50">
      <c r="A50" s="62">
        <f t="array" ref="A50">IFERROR(
INDEX(FEBRERO!B:B, MATCH(E50, FEBRERO!T:T, 0)),
IFERROR(
INDEX(MARZO!B:B, MATCH(E50, MARZO!T:T, 0)),
""
)
)</f>
        <v>46059</v>
      </c>
      <c r="B50" s="15" t="str">
        <f>IFERROR(__xludf.DUMMYFUNCTION("""COMPUTED_VALUE"""),"José eduardo Salazar cueva")</f>
        <v>José eduardo Salazar cueva</v>
      </c>
      <c r="C50" s="15" t="str">
        <f>IFERROR(__xludf.DUMMYFUNCTION("""COMPUTED_VALUE"""),"Cuchillo Tazaki™")</f>
        <v>Cuchillo Tazaki™</v>
      </c>
      <c r="D50" s="15" t="str">
        <f>IFERROR(__xludf.DUMMYFUNCTION("""COMPUTED_VALUE"""),"PENDIENTE")</f>
        <v>PENDIENTE</v>
      </c>
      <c r="E50" s="15">
        <f>IFERROR(__xludf.DUMMYFUNCTION("""COMPUTED_VALUE"""),4432099.0)</f>
        <v>4432099</v>
      </c>
      <c r="F50" s="15" t="s">
        <v>3437</v>
      </c>
      <c r="G50" s="60"/>
      <c r="H50" s="60"/>
      <c r="I50" s="60"/>
      <c r="J50" s="60"/>
      <c r="K50" s="60"/>
      <c r="L50" s="60"/>
      <c r="M50" s="60"/>
      <c r="N50" s="60"/>
      <c r="O50" s="60"/>
      <c r="P50" s="60"/>
      <c r="Q50" s="60"/>
      <c r="R50" s="60"/>
      <c r="S50" s="60"/>
      <c r="T50" s="60"/>
      <c r="U50" s="60"/>
      <c r="V50" s="60"/>
      <c r="W50" s="60"/>
      <c r="X50" s="60"/>
    </row>
    <row r="51">
      <c r="A51" s="62">
        <f t="array" ref="A51">IFERROR(
INDEX(FEBRERO!B:B, MATCH(E51, FEBRERO!T:T, 0)),
IFERROR(
INDEX(MARZO!B:B, MATCH(E51, MARZO!T:T, 0)),
""
)
)</f>
        <v>46059</v>
      </c>
      <c r="B51" s="15" t="str">
        <f>IFERROR(__xludf.DUMMYFUNCTION("""COMPUTED_VALUE"""),"Cecilia Villarreal")</f>
        <v>Cecilia Villarreal</v>
      </c>
      <c r="C51" s="15" t="str">
        <f>IFERROR(__xludf.DUMMYFUNCTION("""COMPUTED_VALUE"""),"FilmPro®")</f>
        <v>FilmPro®</v>
      </c>
      <c r="D51" s="15" t="str">
        <f>IFERROR(__xludf.DUMMYFUNCTION("""COMPUTED_VALUE"""),"PENDIENTE")</f>
        <v>PENDIENTE</v>
      </c>
      <c r="E51" s="15">
        <f>IFERROR(__xludf.DUMMYFUNCTION("""COMPUTED_VALUE"""),4432095.0)</f>
        <v>4432095</v>
      </c>
      <c r="F51" s="15" t="s">
        <v>3438</v>
      </c>
      <c r="G51" s="60"/>
      <c r="H51" s="60"/>
      <c r="I51" s="60"/>
      <c r="J51" s="60"/>
      <c r="K51" s="60"/>
      <c r="L51" s="60"/>
      <c r="M51" s="60"/>
      <c r="N51" s="60"/>
      <c r="O51" s="60"/>
      <c r="P51" s="60"/>
      <c r="Q51" s="60"/>
      <c r="R51" s="60"/>
      <c r="S51" s="60"/>
      <c r="T51" s="60"/>
      <c r="U51" s="60"/>
      <c r="V51" s="60"/>
      <c r="W51" s="60"/>
      <c r="X51" s="60"/>
    </row>
    <row r="52">
      <c r="A52" s="62">
        <f t="array" ref="A52">IFERROR(
INDEX(FEBRERO!B:B, MATCH(E52, FEBRERO!T:T, 0)),
IFERROR(
INDEX(MARZO!B:B, MATCH(E52, MARZO!T:T, 0)),
""
)
)</f>
        <v>46060</v>
      </c>
      <c r="B52" s="15" t="str">
        <f>IFERROR(__xludf.DUMMYFUNCTION("""COMPUTED_VALUE"""),"Isabel Cristina SUR")</f>
        <v>Isabel Cristina SUR</v>
      </c>
      <c r="C52" s="15" t="str">
        <f>IFERROR(__xludf.DUMMYFUNCTION("""COMPUTED_VALUE"""),"FilmPro®")</f>
        <v>FilmPro®</v>
      </c>
      <c r="D52" s="15" t="str">
        <f>IFERROR(__xludf.DUMMYFUNCTION("""COMPUTED_VALUE"""),"PENDIENTE")</f>
        <v>PENDIENTE</v>
      </c>
      <c r="E52" s="15">
        <f>IFERROR(__xludf.DUMMYFUNCTION("""COMPUTED_VALUE"""),4432093.0)</f>
        <v>4432093</v>
      </c>
      <c r="F52" s="15" t="s">
        <v>3439</v>
      </c>
      <c r="G52" s="60"/>
      <c r="H52" s="60"/>
      <c r="I52" s="60"/>
      <c r="J52" s="60"/>
      <c r="K52" s="60"/>
      <c r="L52" s="60"/>
      <c r="M52" s="60"/>
      <c r="N52" s="60"/>
      <c r="O52" s="60"/>
      <c r="P52" s="60"/>
      <c r="Q52" s="60"/>
      <c r="R52" s="60"/>
      <c r="S52" s="60"/>
      <c r="T52" s="60"/>
      <c r="U52" s="60"/>
      <c r="V52" s="60"/>
      <c r="W52" s="60"/>
      <c r="X52" s="60"/>
    </row>
    <row r="53">
      <c r="A53" s="62">
        <f t="array" ref="A53">IFERROR(
INDEX(FEBRERO!B:B, MATCH(E53, FEBRERO!T:T, 0)),
IFERROR(
INDEX(MARZO!B:B, MATCH(E53, MARZO!T:T, 0)),
""
)
)</f>
        <v>46060</v>
      </c>
      <c r="B53" s="15" t="str">
        <f>IFERROR(__xludf.DUMMYFUNCTION("""COMPUTED_VALUE"""),"Miguel Ángel Morocho")</f>
        <v>Miguel Ángel Morocho</v>
      </c>
      <c r="C53" s="15" t="str">
        <f>IFERROR(__xludf.DUMMYFUNCTION("""COMPUTED_VALUE"""),"Cuchillo Tazaki™")</f>
        <v>Cuchillo Tazaki™</v>
      </c>
      <c r="D53" s="15" t="str">
        <f>IFERROR(__xludf.DUMMYFUNCTION("""COMPUTED_VALUE"""),"PENDIENTE")</f>
        <v>PENDIENTE</v>
      </c>
      <c r="E53" s="15">
        <f>IFERROR(__xludf.DUMMYFUNCTION("""COMPUTED_VALUE"""),4432088.0)</f>
        <v>4432088</v>
      </c>
      <c r="F53" s="15" t="s">
        <v>3440</v>
      </c>
      <c r="G53" s="60"/>
      <c r="H53" s="60"/>
      <c r="I53" s="60"/>
      <c r="J53" s="60"/>
      <c r="K53" s="60"/>
      <c r="L53" s="60"/>
      <c r="M53" s="60"/>
      <c r="N53" s="60"/>
      <c r="O53" s="60"/>
      <c r="P53" s="60"/>
      <c r="Q53" s="60"/>
      <c r="R53" s="60"/>
      <c r="S53" s="60"/>
      <c r="T53" s="60"/>
      <c r="U53" s="60"/>
      <c r="V53" s="60"/>
      <c r="W53" s="60"/>
      <c r="X53" s="60"/>
    </row>
    <row r="54">
      <c r="A54" s="62">
        <f t="array" ref="A54">IFERROR(
INDEX(FEBRERO!B:B, MATCH(E54, FEBRERO!T:T, 0)),
IFERROR(
INDEX(MARZO!B:B, MATCH(E54, MARZO!T:T, 0)),
""
)
)</f>
        <v>46060</v>
      </c>
      <c r="B54" s="15" t="str">
        <f>IFERROR(__xludf.DUMMYFUNCTION("""COMPUTED_VALUE"""),"Ramón Pacheco")</f>
        <v>Ramón Pacheco</v>
      </c>
      <c r="C54" s="15" t="str">
        <f>IFERROR(__xludf.DUMMYFUNCTION("""COMPUTED_VALUE"""),"FilmPro®")</f>
        <v>FilmPro®</v>
      </c>
      <c r="D54" s="15" t="str">
        <f>IFERROR(__xludf.DUMMYFUNCTION("""COMPUTED_VALUE"""),"PENDIENTE")</f>
        <v>PENDIENTE</v>
      </c>
      <c r="E54" s="15">
        <f>IFERROR(__xludf.DUMMYFUNCTION("""COMPUTED_VALUE"""),4455062.0)</f>
        <v>4455062</v>
      </c>
      <c r="F54" s="15" t="s">
        <v>3441</v>
      </c>
      <c r="G54" s="60"/>
      <c r="H54" s="60"/>
      <c r="I54" s="60"/>
      <c r="J54" s="60"/>
      <c r="K54" s="60"/>
      <c r="L54" s="60"/>
      <c r="M54" s="60"/>
      <c r="N54" s="60"/>
      <c r="O54" s="60"/>
      <c r="P54" s="60"/>
      <c r="Q54" s="60"/>
      <c r="R54" s="60"/>
      <c r="S54" s="60"/>
      <c r="T54" s="60"/>
      <c r="U54" s="60"/>
      <c r="V54" s="60"/>
      <c r="W54" s="60"/>
      <c r="X54" s="60"/>
    </row>
    <row r="55">
      <c r="A55" s="62">
        <f t="array" ref="A55">IFERROR(
INDEX(FEBRERO!B:B, MATCH(E55, FEBRERO!T:T, 0)),
IFERROR(
INDEX(MARZO!B:B, MATCH(E55, MARZO!T:T, 0)),
""
)
)</f>
        <v>46060</v>
      </c>
      <c r="B55" s="15" t="str">
        <f>IFERROR(__xludf.DUMMYFUNCTION("""COMPUTED_VALUE"""),"Jean Garzón")</f>
        <v>Jean Garzón</v>
      </c>
      <c r="C55" s="15" t="str">
        <f>IFERROR(__xludf.DUMMYFUNCTION("""COMPUTED_VALUE"""),"FilmPro®")</f>
        <v>FilmPro®</v>
      </c>
      <c r="D55" s="15" t="str">
        <f>IFERROR(__xludf.DUMMYFUNCTION("""COMPUTED_VALUE"""),"PENDIENTE")</f>
        <v>PENDIENTE</v>
      </c>
      <c r="E55" s="15">
        <f>IFERROR(__xludf.DUMMYFUNCTION("""COMPUTED_VALUE"""),4432073.0)</f>
        <v>4432073</v>
      </c>
      <c r="F55" s="15" t="s">
        <v>3442</v>
      </c>
      <c r="G55" s="60"/>
      <c r="H55" s="60"/>
      <c r="I55" s="60"/>
      <c r="J55" s="60"/>
      <c r="K55" s="60"/>
      <c r="L55" s="60"/>
      <c r="M55" s="60"/>
      <c r="N55" s="60"/>
      <c r="O55" s="60"/>
      <c r="P55" s="60"/>
      <c r="Q55" s="60"/>
      <c r="R55" s="60"/>
      <c r="S55" s="60"/>
      <c r="T55" s="60"/>
      <c r="U55" s="60"/>
      <c r="V55" s="60"/>
      <c r="W55" s="60"/>
      <c r="X55" s="60"/>
    </row>
    <row r="56">
      <c r="A56" s="62">
        <f t="array" ref="A56">IFERROR(
INDEX(FEBRERO!B:B, MATCH(E56, FEBRERO!T:T, 0)),
IFERROR(
INDEX(MARZO!B:B, MATCH(E56, MARZO!T:T, 0)),
""
)
)</f>
        <v>46060</v>
      </c>
      <c r="B56" s="15" t="str">
        <f>IFERROR(__xludf.DUMMYFUNCTION("""COMPUTED_VALUE"""),"Verónica Camacho")</f>
        <v>Verónica Camacho</v>
      </c>
      <c r="C56" s="15" t="str">
        <f>IFERROR(__xludf.DUMMYFUNCTION("""COMPUTED_VALUE"""),"Cuchillo Tazaki™")</f>
        <v>Cuchillo Tazaki™</v>
      </c>
      <c r="D56" s="15" t="str">
        <f>IFERROR(__xludf.DUMMYFUNCTION("""COMPUTED_VALUE"""),"PENDIENTE")</f>
        <v>PENDIENTE</v>
      </c>
      <c r="E56" s="15">
        <f>IFERROR(__xludf.DUMMYFUNCTION("""COMPUTED_VALUE"""),4457592.0)</f>
        <v>4457592</v>
      </c>
      <c r="F56" s="15" t="s">
        <v>3443</v>
      </c>
      <c r="G56" s="60"/>
      <c r="H56" s="60"/>
      <c r="I56" s="60"/>
      <c r="J56" s="60"/>
      <c r="K56" s="60"/>
      <c r="L56" s="60"/>
      <c r="M56" s="60"/>
      <c r="N56" s="60"/>
      <c r="O56" s="60"/>
      <c r="P56" s="60"/>
      <c r="Q56" s="60"/>
      <c r="R56" s="60"/>
      <c r="S56" s="60"/>
      <c r="T56" s="60"/>
      <c r="U56" s="60"/>
      <c r="V56" s="60"/>
      <c r="W56" s="60"/>
      <c r="X56" s="60"/>
    </row>
    <row r="57">
      <c r="A57" s="62">
        <f t="array" ref="A57">IFERROR(
INDEX(FEBRERO!B:B, MATCH(E57, FEBRERO!T:T, 0)),
IFERROR(
INDEX(MARZO!B:B, MATCH(E57, MARZO!T:T, 0)),
""
)
)</f>
        <v>46060</v>
      </c>
      <c r="B57" s="15" t="str">
        <f>IFERROR(__xludf.DUMMYFUNCTION("""COMPUTED_VALUE"""),"Ángel Guerra")</f>
        <v>Ángel Guerra</v>
      </c>
      <c r="C57" s="15" t="str">
        <f>IFERROR(__xludf.DUMMYFUNCTION("""COMPUTED_VALUE"""),"Cuchillo Tazaki™")</f>
        <v>Cuchillo Tazaki™</v>
      </c>
      <c r="D57" s="15" t="str">
        <f>IFERROR(__xludf.DUMMYFUNCTION("""COMPUTED_VALUE"""),"PENDIENTE")</f>
        <v>PENDIENTE</v>
      </c>
      <c r="E57" s="15">
        <f>IFERROR(__xludf.DUMMYFUNCTION("""COMPUTED_VALUE"""),4432027.0)</f>
        <v>4432027</v>
      </c>
      <c r="F57" s="15" t="s">
        <v>3444</v>
      </c>
      <c r="G57" s="60"/>
      <c r="H57" s="60"/>
      <c r="I57" s="60"/>
      <c r="J57" s="60"/>
      <c r="K57" s="60"/>
      <c r="L57" s="60"/>
      <c r="M57" s="60"/>
      <c r="N57" s="60"/>
      <c r="O57" s="60"/>
      <c r="P57" s="60"/>
      <c r="Q57" s="60"/>
      <c r="R57" s="60"/>
      <c r="S57" s="60"/>
      <c r="T57" s="60"/>
      <c r="U57" s="60"/>
      <c r="V57" s="60"/>
      <c r="W57" s="60"/>
      <c r="X57" s="60"/>
    </row>
    <row r="58">
      <c r="A58" s="62">
        <f t="array" ref="A58">IFERROR(
INDEX(FEBRERO!B:B, MATCH(E58, FEBRERO!T:T, 0)),
IFERROR(
INDEX(MARZO!B:B, MATCH(E58, MARZO!T:T, 0)),
""
)
)</f>
        <v>46060</v>
      </c>
      <c r="B58" s="15" t="str">
        <f>IFERROR(__xludf.DUMMYFUNCTION("""COMPUTED_VALUE"""),"Javier Escobar")</f>
        <v>Javier Escobar</v>
      </c>
      <c r="C58" s="15" t="str">
        <f>IFERROR(__xludf.DUMMYFUNCTION("""COMPUTED_VALUE"""),"FilmPro®")</f>
        <v>FilmPro®</v>
      </c>
      <c r="D58" s="15" t="str">
        <f>IFERROR(__xludf.DUMMYFUNCTION("""COMPUTED_VALUE"""),"PENDIENTE")</f>
        <v>PENDIENTE</v>
      </c>
      <c r="E58" s="15">
        <f>IFERROR(__xludf.DUMMYFUNCTION("""COMPUTED_VALUE"""),4432015.0)</f>
        <v>4432015</v>
      </c>
      <c r="F58" s="15" t="s">
        <v>3445</v>
      </c>
      <c r="G58" s="60"/>
      <c r="H58" s="60"/>
      <c r="I58" s="60"/>
      <c r="J58" s="60"/>
      <c r="K58" s="60"/>
      <c r="L58" s="60"/>
      <c r="M58" s="60"/>
      <c r="N58" s="60"/>
      <c r="O58" s="60"/>
      <c r="P58" s="60"/>
      <c r="Q58" s="60"/>
      <c r="R58" s="60"/>
      <c r="S58" s="60"/>
      <c r="T58" s="60"/>
      <c r="U58" s="60"/>
      <c r="V58" s="60"/>
      <c r="W58" s="60"/>
      <c r="X58" s="60"/>
    </row>
    <row r="59">
      <c r="A59" s="62">
        <f t="array" ref="A59">IFERROR(
INDEX(FEBRERO!B:B, MATCH(E59, FEBRERO!T:T, 0)),
IFERROR(
INDEX(MARZO!B:B, MATCH(E59, MARZO!T:T, 0)),
""
)
)</f>
        <v>46060</v>
      </c>
      <c r="B59" s="15" t="str">
        <f>IFERROR(__xludf.DUMMYFUNCTION("""COMPUTED_VALUE"""),"Marco Bautista")</f>
        <v>Marco Bautista</v>
      </c>
      <c r="C59" s="15" t="str">
        <f>IFERROR(__xludf.DUMMYFUNCTION("""COMPUTED_VALUE"""),"FilmPro®")</f>
        <v>FilmPro®</v>
      </c>
      <c r="D59" s="15" t="str">
        <f>IFERROR(__xludf.DUMMYFUNCTION("""COMPUTED_VALUE"""),"PENDIENTE")</f>
        <v>PENDIENTE</v>
      </c>
      <c r="E59" s="15">
        <f>IFERROR(__xludf.DUMMYFUNCTION("""COMPUTED_VALUE"""),4442403.0)</f>
        <v>4442403</v>
      </c>
      <c r="F59" s="15" t="s">
        <v>3446</v>
      </c>
      <c r="G59" s="60"/>
      <c r="H59" s="60"/>
      <c r="I59" s="60"/>
      <c r="J59" s="60"/>
      <c r="K59" s="60"/>
      <c r="L59" s="60"/>
      <c r="M59" s="60"/>
      <c r="N59" s="60"/>
      <c r="O59" s="60"/>
      <c r="P59" s="60"/>
      <c r="Q59" s="60"/>
      <c r="R59" s="60"/>
      <c r="S59" s="60"/>
      <c r="T59" s="60"/>
      <c r="U59" s="60"/>
      <c r="V59" s="60"/>
      <c r="W59" s="60"/>
      <c r="X59" s="60"/>
    </row>
    <row r="60">
      <c r="A60" s="62">
        <f t="array" ref="A60">IFERROR(
INDEX(FEBRERO!B:B, MATCH(E60, FEBRERO!T:T, 0)),
IFERROR(
INDEX(MARZO!B:B, MATCH(E60, MARZO!T:T, 0)),
""
)
)</f>
        <v>46060</v>
      </c>
      <c r="B60" s="15" t="str">
        <f>IFERROR(__xludf.DUMMYFUNCTION("""COMPUTED_VALUE"""),"Edison Garcia")</f>
        <v>Edison Garcia</v>
      </c>
      <c r="C60" s="15" t="str">
        <f>IFERROR(__xludf.DUMMYFUNCTION("""COMPUTED_VALUE"""),"FilmPro®")</f>
        <v>FilmPro®</v>
      </c>
      <c r="D60" s="15" t="str">
        <f>IFERROR(__xludf.DUMMYFUNCTION("""COMPUTED_VALUE"""),"PENDIENTE")</f>
        <v>PENDIENTE</v>
      </c>
      <c r="E60" s="15">
        <f>IFERROR(__xludf.DUMMYFUNCTION("""COMPUTED_VALUE"""),4442400.0)</f>
        <v>4442400</v>
      </c>
      <c r="F60" s="15" t="s">
        <v>3447</v>
      </c>
      <c r="G60" s="60"/>
      <c r="H60" s="60"/>
      <c r="I60" s="60"/>
      <c r="J60" s="60"/>
      <c r="K60" s="60"/>
      <c r="L60" s="60"/>
      <c r="M60" s="60"/>
      <c r="N60" s="60"/>
      <c r="O60" s="60"/>
      <c r="P60" s="60"/>
      <c r="Q60" s="60"/>
      <c r="R60" s="60"/>
      <c r="S60" s="60"/>
      <c r="T60" s="60"/>
      <c r="U60" s="60"/>
      <c r="V60" s="60"/>
      <c r="W60" s="60"/>
      <c r="X60" s="60"/>
    </row>
    <row r="61">
      <c r="A61" s="62">
        <f t="array" ref="A61">IFERROR(
INDEX(FEBRERO!B:B, MATCH(E61, FEBRERO!T:T, 0)),
IFERROR(
INDEX(MARZO!B:B, MATCH(E61, MARZO!T:T, 0)),
""
)
)</f>
        <v>46060</v>
      </c>
      <c r="B61" s="15" t="str">
        <f>IFERROR(__xludf.DUMMYFUNCTION("""COMPUTED_VALUE"""),"Luis Montalvo")</f>
        <v>Luis Montalvo</v>
      </c>
      <c r="C61" s="15" t="str">
        <f>IFERROR(__xludf.DUMMYFUNCTION("""COMPUTED_VALUE"""),"Cuchillo Tazaki™")</f>
        <v>Cuchillo Tazaki™</v>
      </c>
      <c r="D61" s="15" t="str">
        <f>IFERROR(__xludf.DUMMYFUNCTION("""COMPUTED_VALUE"""),"PENDIENTE")</f>
        <v>PENDIENTE</v>
      </c>
      <c r="E61" s="15">
        <f>IFERROR(__xludf.DUMMYFUNCTION("""COMPUTED_VALUE"""),4442374.0)</f>
        <v>4442374</v>
      </c>
      <c r="F61" s="15" t="s">
        <v>3448</v>
      </c>
      <c r="G61" s="60"/>
      <c r="H61" s="60"/>
      <c r="I61" s="60"/>
      <c r="J61" s="60"/>
      <c r="K61" s="60"/>
      <c r="L61" s="60"/>
      <c r="M61" s="60"/>
      <c r="N61" s="60"/>
      <c r="O61" s="60"/>
      <c r="P61" s="60"/>
      <c r="Q61" s="60"/>
      <c r="R61" s="60"/>
      <c r="S61" s="60"/>
      <c r="T61" s="60"/>
      <c r="U61" s="60"/>
      <c r="V61" s="60"/>
      <c r="W61" s="60"/>
      <c r="X61" s="60"/>
    </row>
    <row r="62">
      <c r="A62" s="62">
        <f t="array" ref="A62">IFERROR(
INDEX(FEBRERO!B:B, MATCH(E62, FEBRERO!T:T, 0)),
IFERROR(
INDEX(MARZO!B:B, MATCH(E62, MARZO!T:T, 0)),
""
)
)</f>
        <v>46180</v>
      </c>
      <c r="B62" s="15" t="str">
        <f>IFERROR(__xludf.DUMMYFUNCTION("""COMPUTED_VALUE"""),"Elsa Castro")</f>
        <v>Elsa Castro</v>
      </c>
      <c r="C62" s="15" t="str">
        <f>IFERROR(__xludf.DUMMYFUNCTION("""COMPUTED_VALUE"""),"Cuchillo Tazaki™")</f>
        <v>Cuchillo Tazaki™</v>
      </c>
      <c r="D62" s="15" t="str">
        <f>IFERROR(__xludf.DUMMYFUNCTION("""COMPUTED_VALUE"""),"PENDIENTE")</f>
        <v>PENDIENTE</v>
      </c>
      <c r="E62" s="15">
        <f>IFERROR(__xludf.DUMMYFUNCTION("""COMPUTED_VALUE"""),4442362.0)</f>
        <v>4442362</v>
      </c>
      <c r="F62" s="15" t="s">
        <v>3449</v>
      </c>
      <c r="G62" s="60"/>
      <c r="H62" s="60"/>
      <c r="I62" s="60"/>
      <c r="J62" s="60"/>
      <c r="K62" s="60"/>
      <c r="L62" s="60"/>
      <c r="M62" s="60"/>
      <c r="N62" s="60"/>
      <c r="O62" s="60"/>
      <c r="P62" s="60"/>
      <c r="Q62" s="60"/>
      <c r="R62" s="60"/>
      <c r="S62" s="60"/>
      <c r="T62" s="60"/>
      <c r="U62" s="60"/>
      <c r="V62" s="60"/>
      <c r="W62" s="60"/>
      <c r="X62" s="60"/>
    </row>
    <row r="63">
      <c r="A63" s="62">
        <f t="array" ref="A63">IFERROR(
INDEX(FEBRERO!B:B, MATCH(E63, FEBRERO!T:T, 0)),
IFERROR(
INDEX(MARZO!B:B, MATCH(E63, MARZO!T:T, 0)),
""
)
)</f>
        <v>46061</v>
      </c>
      <c r="B63" s="15" t="str">
        <f>IFERROR(__xludf.DUMMYFUNCTION("""COMPUTED_VALUE"""),"Marco Benalcazar")</f>
        <v>Marco Benalcazar</v>
      </c>
      <c r="C63" s="15" t="str">
        <f>IFERROR(__xludf.DUMMYFUNCTION("""COMPUTED_VALUE"""),"Cuchillo Tazaki™")</f>
        <v>Cuchillo Tazaki™</v>
      </c>
      <c r="D63" s="15" t="str">
        <f>IFERROR(__xludf.DUMMYFUNCTION("""COMPUTED_VALUE"""),"PENDIENTE")</f>
        <v>PENDIENTE</v>
      </c>
      <c r="E63" s="15">
        <f>IFERROR(__xludf.DUMMYFUNCTION("""COMPUTED_VALUE"""),4442343.0)</f>
        <v>4442343</v>
      </c>
      <c r="F63" s="15" t="s">
        <v>3450</v>
      </c>
      <c r="G63" s="60"/>
      <c r="H63" s="60"/>
      <c r="I63" s="60"/>
      <c r="J63" s="60"/>
      <c r="K63" s="60"/>
      <c r="L63" s="60"/>
      <c r="M63" s="60"/>
      <c r="N63" s="60"/>
      <c r="O63" s="60"/>
      <c r="P63" s="60"/>
      <c r="Q63" s="60"/>
      <c r="R63" s="60"/>
      <c r="S63" s="60"/>
      <c r="T63" s="60"/>
      <c r="U63" s="60"/>
      <c r="V63" s="60"/>
      <c r="W63" s="60"/>
      <c r="X63" s="60"/>
    </row>
    <row r="64">
      <c r="A64" s="62">
        <f t="array" ref="A64">IFERROR(
INDEX(FEBRERO!B:B, MATCH(E64, FEBRERO!T:T, 0)),
IFERROR(
INDEX(MARZO!B:B, MATCH(E64, MARZO!T:T, 0)),
""
)
)</f>
        <v>46061</v>
      </c>
      <c r="B64" s="15" t="str">
        <f>IFERROR(__xludf.DUMMYFUNCTION("""COMPUTED_VALUE"""),"María sarango Sarango")</f>
        <v>María sarango Sarango</v>
      </c>
      <c r="C64" s="15" t="str">
        <f>IFERROR(__xludf.DUMMYFUNCTION("""COMPUTED_VALUE"""),"Cuchillo Tazaki™")</f>
        <v>Cuchillo Tazaki™</v>
      </c>
      <c r="D64" s="15" t="str">
        <f>IFERROR(__xludf.DUMMYFUNCTION("""COMPUTED_VALUE"""),"PENDIENTE")</f>
        <v>PENDIENTE</v>
      </c>
      <c r="E64" s="15">
        <f>IFERROR(__xludf.DUMMYFUNCTION("""COMPUTED_VALUE"""),4459428.0)</f>
        <v>4459428</v>
      </c>
      <c r="F64" s="15" t="s">
        <v>3451</v>
      </c>
      <c r="G64" s="60"/>
      <c r="H64" s="60"/>
      <c r="I64" s="60"/>
      <c r="J64" s="60"/>
      <c r="K64" s="60"/>
      <c r="L64" s="60"/>
      <c r="M64" s="60"/>
      <c r="N64" s="60"/>
      <c r="O64" s="60"/>
      <c r="P64" s="60"/>
      <c r="Q64" s="60"/>
      <c r="R64" s="60"/>
      <c r="S64" s="60"/>
      <c r="T64" s="60"/>
      <c r="U64" s="60"/>
      <c r="V64" s="60"/>
      <c r="W64" s="60"/>
      <c r="X64" s="60"/>
    </row>
    <row r="65">
      <c r="A65" s="62">
        <f t="array" ref="A65">IFERROR(
INDEX(FEBRERO!B:B, MATCH(E65, FEBRERO!T:T, 0)),
IFERROR(
INDEX(MARZO!B:B, MATCH(E65, MARZO!T:T, 0)),
""
)
)</f>
        <v>46061</v>
      </c>
      <c r="B65" s="15" t="str">
        <f>IFERROR(__xludf.DUMMYFUNCTION("""COMPUTED_VALUE"""),"German Villao")</f>
        <v>German Villao</v>
      </c>
      <c r="C65" s="15" t="str">
        <f>IFERROR(__xludf.DUMMYFUNCTION("""COMPUTED_VALUE"""),"FilmPro®")</f>
        <v>FilmPro®</v>
      </c>
      <c r="D65" s="15" t="str">
        <f>IFERROR(__xludf.DUMMYFUNCTION("""COMPUTED_VALUE"""),"PENDIENTE")</f>
        <v>PENDIENTE</v>
      </c>
      <c r="E65" s="15">
        <f>IFERROR(__xludf.DUMMYFUNCTION("""COMPUTED_VALUE"""),4727865.0)</f>
        <v>4727865</v>
      </c>
      <c r="F65" s="15" t="s">
        <v>3452</v>
      </c>
      <c r="G65" s="60"/>
      <c r="H65" s="60"/>
      <c r="I65" s="60"/>
      <c r="J65" s="60"/>
      <c r="K65" s="60"/>
      <c r="L65" s="60"/>
      <c r="M65" s="60"/>
      <c r="N65" s="60"/>
      <c r="O65" s="60"/>
      <c r="P65" s="60"/>
      <c r="Q65" s="60"/>
      <c r="R65" s="60"/>
      <c r="S65" s="60"/>
      <c r="T65" s="60"/>
      <c r="U65" s="60"/>
      <c r="V65" s="60"/>
      <c r="W65" s="60"/>
      <c r="X65" s="60"/>
    </row>
    <row r="66">
      <c r="A66" s="62">
        <f t="array" ref="A66">IFERROR(
INDEX(FEBRERO!B:B, MATCH(E66, FEBRERO!T:T, 0)),
IFERROR(
INDEX(MARZO!B:B, MATCH(E66, MARZO!T:T, 0)),
""
)
)</f>
        <v>46061</v>
      </c>
      <c r="B66" s="15" t="str">
        <f>IFERROR(__xludf.DUMMYFUNCTION("""COMPUTED_VALUE"""),"Juan Carlos Guerrero Veliz")</f>
        <v>Juan Carlos Guerrero Veliz</v>
      </c>
      <c r="C66" s="15" t="str">
        <f>IFERROR(__xludf.DUMMYFUNCTION("""COMPUTED_VALUE"""),"FilmPro®")</f>
        <v>FilmPro®</v>
      </c>
      <c r="D66" s="15" t="str">
        <f>IFERROR(__xludf.DUMMYFUNCTION("""COMPUTED_VALUE"""),"PENDIENTE")</f>
        <v>PENDIENTE</v>
      </c>
      <c r="E66" s="15">
        <f>IFERROR(__xludf.DUMMYFUNCTION("""COMPUTED_VALUE"""),4442321.0)</f>
        <v>4442321</v>
      </c>
      <c r="F66" s="15" t="s">
        <v>3453</v>
      </c>
      <c r="G66" s="60"/>
      <c r="H66" s="60"/>
      <c r="I66" s="60"/>
      <c r="J66" s="60"/>
      <c r="K66" s="60"/>
      <c r="L66" s="60"/>
      <c r="M66" s="60"/>
      <c r="N66" s="60"/>
      <c r="O66" s="60"/>
      <c r="P66" s="60"/>
      <c r="Q66" s="60"/>
      <c r="R66" s="60"/>
      <c r="S66" s="60"/>
      <c r="T66" s="60"/>
      <c r="U66" s="60"/>
      <c r="V66" s="60"/>
      <c r="W66" s="60"/>
      <c r="X66" s="60"/>
    </row>
    <row r="67">
      <c r="A67" s="62">
        <f t="array" ref="A67">IFERROR(
INDEX(FEBRERO!B:B, MATCH(E67, FEBRERO!T:T, 0)),
IFERROR(
INDEX(MARZO!B:B, MATCH(E67, MARZO!T:T, 0)),
""
)
)</f>
        <v>46061</v>
      </c>
      <c r="B67" s="15" t="str">
        <f>IFERROR(__xludf.DUMMYFUNCTION("""COMPUTED_VALUE"""),"Carlos Byron BERMEO LEÓN")</f>
        <v>Carlos Byron BERMEO LEÓN</v>
      </c>
      <c r="C67" s="15" t="str">
        <f>IFERROR(__xludf.DUMMYFUNCTION("""COMPUTED_VALUE"""),"FilmPro®")</f>
        <v>FilmPro®</v>
      </c>
      <c r="D67" s="15" t="str">
        <f>IFERROR(__xludf.DUMMYFUNCTION("""COMPUTED_VALUE"""),"PENDIENTE")</f>
        <v>PENDIENTE</v>
      </c>
      <c r="E67" s="15">
        <f>IFERROR(__xludf.DUMMYFUNCTION("""COMPUTED_VALUE"""),4442318.0)</f>
        <v>4442318</v>
      </c>
      <c r="F67" s="15" t="s">
        <v>3454</v>
      </c>
      <c r="G67" s="60"/>
      <c r="H67" s="60"/>
      <c r="I67" s="60"/>
      <c r="J67" s="60"/>
      <c r="K67" s="60"/>
      <c r="L67" s="60"/>
      <c r="M67" s="60"/>
      <c r="N67" s="60"/>
      <c r="O67" s="60"/>
      <c r="P67" s="60"/>
      <c r="Q67" s="60"/>
      <c r="R67" s="60"/>
      <c r="S67" s="60"/>
      <c r="T67" s="60"/>
      <c r="U67" s="60"/>
      <c r="V67" s="60"/>
      <c r="W67" s="60"/>
      <c r="X67" s="60"/>
    </row>
    <row r="68">
      <c r="A68" s="62">
        <f t="array" ref="A68">IFERROR(
INDEX(FEBRERO!B:B, MATCH(E68, FEBRERO!T:T, 0)),
IFERROR(
INDEX(MARZO!B:B, MATCH(E68, MARZO!T:T, 0)),
""
)
)</f>
        <v>46061</v>
      </c>
      <c r="B68" s="15" t="str">
        <f>IFERROR(__xludf.DUMMYFUNCTION("""COMPUTED_VALUE"""),"Jose Avila")</f>
        <v>Jose Avila</v>
      </c>
      <c r="C68" s="15" t="str">
        <f>IFERROR(__xludf.DUMMYFUNCTION("""COMPUTED_VALUE"""),"Llave Multifuncional 360™")</f>
        <v>Llave Multifuncional 360™</v>
      </c>
      <c r="D68" s="15" t="str">
        <f>IFERROR(__xludf.DUMMYFUNCTION("""COMPUTED_VALUE"""),"PENDIENTE")</f>
        <v>PENDIENTE</v>
      </c>
      <c r="E68" s="15">
        <f>IFERROR(__xludf.DUMMYFUNCTION("""COMPUTED_VALUE"""),4451899.0)</f>
        <v>4451899</v>
      </c>
      <c r="F68" s="15" t="s">
        <v>3455</v>
      </c>
      <c r="G68" s="60"/>
      <c r="H68" s="60"/>
      <c r="I68" s="60"/>
      <c r="J68" s="60"/>
      <c r="K68" s="60"/>
      <c r="L68" s="60"/>
      <c r="M68" s="60"/>
      <c r="N68" s="60"/>
      <c r="O68" s="60"/>
      <c r="P68" s="60"/>
      <c r="Q68" s="60"/>
      <c r="R68" s="60"/>
      <c r="S68" s="60"/>
      <c r="T68" s="60"/>
      <c r="U68" s="60"/>
      <c r="V68" s="60"/>
      <c r="W68" s="60"/>
      <c r="X68" s="60"/>
    </row>
    <row r="69">
      <c r="A69" s="62">
        <f t="array" ref="A69">IFERROR(
INDEX(FEBRERO!B:B, MATCH(E69, FEBRERO!T:T, 0)),
IFERROR(
INDEX(MARZO!B:B, MATCH(E69, MARZO!T:T, 0)),
""
)
)</f>
        <v>46064</v>
      </c>
      <c r="B69" s="15" t="str">
        <f>IFERROR(__xludf.DUMMYFUNCTION("""COMPUTED_VALUE"""),"Rodrigo Jaramillo")</f>
        <v>Rodrigo Jaramillo</v>
      </c>
      <c r="C69" s="15" t="str">
        <f>IFERROR(__xludf.DUMMYFUNCTION("""COMPUTED_VALUE"""),"FilmPro®")</f>
        <v>FilmPro®</v>
      </c>
      <c r="D69" s="15" t="str">
        <f>IFERROR(__xludf.DUMMYFUNCTION("""COMPUTED_VALUE"""),"PENDIENTE")</f>
        <v>PENDIENTE</v>
      </c>
      <c r="E69" s="15">
        <f>IFERROR(__xludf.DUMMYFUNCTION("""COMPUTED_VALUE"""),4490156.0)</f>
        <v>4490156</v>
      </c>
      <c r="F69" s="15" t="s">
        <v>3456</v>
      </c>
      <c r="G69" s="60"/>
      <c r="H69" s="60"/>
      <c r="I69" s="60"/>
      <c r="J69" s="60"/>
      <c r="K69" s="60"/>
      <c r="L69" s="60"/>
      <c r="M69" s="60"/>
      <c r="N69" s="60"/>
      <c r="O69" s="60"/>
      <c r="P69" s="60"/>
      <c r="Q69" s="60"/>
      <c r="R69" s="60"/>
      <c r="S69" s="60"/>
      <c r="T69" s="60"/>
      <c r="U69" s="60"/>
      <c r="V69" s="60"/>
      <c r="W69" s="60"/>
      <c r="X69" s="60"/>
    </row>
    <row r="70">
      <c r="A70" s="62">
        <f t="array" ref="A70">IFERROR(
INDEX(FEBRERO!B:B, MATCH(E70, FEBRERO!T:T, 0)),
IFERROR(
INDEX(MARZO!B:B, MATCH(E70, MARZO!T:T, 0)),
""
)
)</f>
        <v>46064</v>
      </c>
      <c r="B70" s="15" t="str">
        <f>IFERROR(__xludf.DUMMYFUNCTION("""COMPUTED_VALUE"""),"Mauricio Junez")</f>
        <v>Mauricio Junez</v>
      </c>
      <c r="C70" s="15" t="str">
        <f>IFERROR(__xludf.DUMMYFUNCTION("""COMPUTED_VALUE"""),"FilmPro®")</f>
        <v>FilmPro®</v>
      </c>
      <c r="D70" s="15" t="str">
        <f>IFERROR(__xludf.DUMMYFUNCTION("""COMPUTED_VALUE"""),"PENDIENTE")</f>
        <v>PENDIENTE</v>
      </c>
      <c r="E70" s="15">
        <f>IFERROR(__xludf.DUMMYFUNCTION("""COMPUTED_VALUE"""),4483380.0)</f>
        <v>4483380</v>
      </c>
      <c r="F70" s="15" t="s">
        <v>3457</v>
      </c>
      <c r="G70" s="60"/>
      <c r="H70" s="60"/>
      <c r="I70" s="60"/>
      <c r="J70" s="60"/>
      <c r="K70" s="60"/>
      <c r="L70" s="60"/>
      <c r="M70" s="60"/>
      <c r="N70" s="60"/>
      <c r="O70" s="60"/>
      <c r="P70" s="60"/>
      <c r="Q70" s="60"/>
      <c r="R70" s="60"/>
      <c r="S70" s="60"/>
      <c r="T70" s="60"/>
      <c r="U70" s="60"/>
      <c r="V70" s="60"/>
      <c r="W70" s="60"/>
      <c r="X70" s="60"/>
    </row>
    <row r="71">
      <c r="A71" s="62">
        <f t="array" ref="A71">IFERROR(
INDEX(FEBRERO!B:B, MATCH(E71, FEBRERO!T:T, 0)),
IFERROR(
INDEX(MARZO!B:B, MATCH(E71, MARZO!T:T, 0)),
""
)
)</f>
        <v>46064</v>
      </c>
      <c r="B71" s="15" t="str">
        <f>IFERROR(__xludf.DUMMYFUNCTION("""COMPUTED_VALUE"""),"Welinton Torres")</f>
        <v>Welinton Torres</v>
      </c>
      <c r="C71" s="15" t="str">
        <f>IFERROR(__xludf.DUMMYFUNCTION("""COMPUTED_VALUE"""),"FilmPro®")</f>
        <v>FilmPro®</v>
      </c>
      <c r="D71" s="15" t="str">
        <f>IFERROR(__xludf.DUMMYFUNCTION("""COMPUTED_VALUE"""),"PENDIENTE")</f>
        <v>PENDIENTE</v>
      </c>
      <c r="E71" s="15">
        <f>IFERROR(__xludf.DUMMYFUNCTION("""COMPUTED_VALUE"""),4483559.0)</f>
        <v>4483559</v>
      </c>
      <c r="F71" s="15" t="s">
        <v>3458</v>
      </c>
      <c r="G71" s="60"/>
      <c r="H71" s="60"/>
      <c r="I71" s="60"/>
      <c r="J71" s="60"/>
      <c r="K71" s="60"/>
      <c r="L71" s="60"/>
      <c r="M71" s="60"/>
      <c r="N71" s="60"/>
      <c r="O71" s="60"/>
      <c r="P71" s="60"/>
      <c r="Q71" s="60"/>
      <c r="R71" s="60"/>
      <c r="S71" s="60"/>
      <c r="T71" s="60"/>
      <c r="U71" s="60"/>
      <c r="V71" s="60"/>
      <c r="W71" s="60"/>
      <c r="X71" s="60"/>
    </row>
    <row r="72">
      <c r="A72" s="62">
        <f t="array" ref="A72">IFERROR(
INDEX(FEBRERO!B:B, MATCH(E72, FEBRERO!T:T, 0)),
IFERROR(
INDEX(MARZO!B:B, MATCH(E72, MARZO!T:T, 0)),
""
)
)</f>
        <v>46064</v>
      </c>
      <c r="B72" s="15" t="str">
        <f>IFERROR(__xludf.DUMMYFUNCTION("""COMPUTED_VALUE"""),"Roberto Cristobal Cristobal")</f>
        <v>Roberto Cristobal Cristobal</v>
      </c>
      <c r="C72" s="15" t="str">
        <f>IFERROR(__xludf.DUMMYFUNCTION("""COMPUTED_VALUE"""),"FilmPro®")</f>
        <v>FilmPro®</v>
      </c>
      <c r="D72" s="15" t="str">
        <f>IFERROR(__xludf.DUMMYFUNCTION("""COMPUTED_VALUE"""),"PENDIENTE")</f>
        <v>PENDIENTE</v>
      </c>
      <c r="E72" s="15">
        <f>IFERROR(__xludf.DUMMYFUNCTION("""COMPUTED_VALUE"""),4483587.0)</f>
        <v>4483587</v>
      </c>
      <c r="F72" s="15" t="s">
        <v>3459</v>
      </c>
      <c r="G72" s="60"/>
      <c r="H72" s="60"/>
      <c r="I72" s="60"/>
      <c r="J72" s="60"/>
      <c r="K72" s="60"/>
      <c r="L72" s="60"/>
      <c r="M72" s="60"/>
      <c r="N72" s="60"/>
      <c r="O72" s="60"/>
      <c r="P72" s="60"/>
      <c r="Q72" s="60"/>
      <c r="R72" s="60"/>
      <c r="S72" s="60"/>
      <c r="T72" s="60"/>
      <c r="U72" s="60"/>
      <c r="V72" s="60"/>
      <c r="W72" s="60"/>
      <c r="X72" s="60"/>
    </row>
    <row r="73">
      <c r="A73" s="62">
        <f t="array" ref="A73">IFERROR(
INDEX(FEBRERO!B:B, MATCH(E73, FEBRERO!T:T, 0)),
IFERROR(
INDEX(MARZO!B:B, MATCH(E73, MARZO!T:T, 0)),
""
)
)</f>
        <v>46064</v>
      </c>
      <c r="B73" s="15" t="str">
        <f>IFERROR(__xludf.DUMMYFUNCTION("""COMPUTED_VALUE"""),"Paola Sevilla")</f>
        <v>Paola Sevilla</v>
      </c>
      <c r="C73" s="15" t="str">
        <f>IFERROR(__xludf.DUMMYFUNCTION("""COMPUTED_VALUE"""),"FilmPro®")</f>
        <v>FilmPro®</v>
      </c>
      <c r="D73" s="15" t="str">
        <f>IFERROR(__xludf.DUMMYFUNCTION("""COMPUTED_VALUE"""),"PENDIENTE")</f>
        <v>PENDIENTE</v>
      </c>
      <c r="E73" s="15">
        <f>IFERROR(__xludf.DUMMYFUNCTION("""COMPUTED_VALUE"""),4483794.0)</f>
        <v>4483794</v>
      </c>
      <c r="F73" s="15" t="s">
        <v>3460</v>
      </c>
      <c r="G73" s="60"/>
      <c r="H73" s="60"/>
      <c r="I73" s="60"/>
      <c r="J73" s="60"/>
      <c r="K73" s="60"/>
      <c r="L73" s="60"/>
      <c r="M73" s="60"/>
      <c r="N73" s="60"/>
      <c r="O73" s="60"/>
      <c r="P73" s="60"/>
      <c r="Q73" s="60"/>
      <c r="R73" s="60"/>
      <c r="S73" s="60"/>
      <c r="T73" s="60"/>
      <c r="U73" s="60"/>
      <c r="V73" s="60"/>
      <c r="W73" s="60"/>
      <c r="X73" s="60"/>
    </row>
    <row r="74">
      <c r="A74" s="62">
        <f t="array" ref="A74">IFERROR(
INDEX(FEBRERO!B:B, MATCH(E74, FEBRERO!T:T, 0)),
IFERROR(
INDEX(MARZO!B:B, MATCH(E74, MARZO!T:T, 0)),
""
)
)</f>
        <v>46064</v>
      </c>
      <c r="B74" s="15" t="str">
        <f>IFERROR(__xludf.DUMMYFUNCTION("""COMPUTED_VALUE"""),"Patricio Moreta")</f>
        <v>Patricio Moreta</v>
      </c>
      <c r="C74" s="15" t="str">
        <f>IFERROR(__xludf.DUMMYFUNCTION("""COMPUTED_VALUE"""),"Cuchillo Tazaki™")</f>
        <v>Cuchillo Tazaki™</v>
      </c>
      <c r="D74" s="15" t="str">
        <f>IFERROR(__xludf.DUMMYFUNCTION("""COMPUTED_VALUE"""),"PENDIENTE")</f>
        <v>PENDIENTE</v>
      </c>
      <c r="E74" s="15">
        <f>IFERROR(__xludf.DUMMYFUNCTION("""COMPUTED_VALUE"""),4484906.0)</f>
        <v>4484906</v>
      </c>
      <c r="F74" s="15" t="s">
        <v>3461</v>
      </c>
      <c r="G74" s="60"/>
      <c r="H74" s="60"/>
      <c r="I74" s="60"/>
      <c r="J74" s="60"/>
      <c r="K74" s="60"/>
      <c r="L74" s="60"/>
      <c r="M74" s="60"/>
      <c r="N74" s="60"/>
      <c r="O74" s="60"/>
      <c r="P74" s="60"/>
      <c r="Q74" s="60"/>
      <c r="R74" s="60"/>
      <c r="S74" s="60"/>
      <c r="T74" s="60"/>
      <c r="U74" s="60"/>
      <c r="V74" s="60"/>
      <c r="W74" s="60"/>
      <c r="X74" s="60"/>
    </row>
    <row r="75">
      <c r="A75" s="62">
        <f t="array" ref="A75">IFERROR(
INDEX(FEBRERO!B:B, MATCH(E75, FEBRERO!T:T, 0)),
IFERROR(
INDEX(MARZO!B:B, MATCH(E75, MARZO!T:T, 0)),
""
)
)</f>
        <v>46065</v>
      </c>
      <c r="B75" s="15" t="str">
        <f>IFERROR(__xludf.DUMMYFUNCTION("""COMPUTED_VALUE"""),"Mario Nunez")</f>
        <v>Mario Nunez</v>
      </c>
      <c r="C75" s="15" t="str">
        <f>IFERROR(__xludf.DUMMYFUNCTION("""COMPUTED_VALUE"""),"FilmPro®")</f>
        <v>FilmPro®</v>
      </c>
      <c r="D75" s="15" t="str">
        <f>IFERROR(__xludf.DUMMYFUNCTION("""COMPUTED_VALUE"""),"PENDIENTE")</f>
        <v>PENDIENTE</v>
      </c>
      <c r="E75" s="15">
        <f>IFERROR(__xludf.DUMMYFUNCTION("""COMPUTED_VALUE"""),4486547.0)</f>
        <v>4486547</v>
      </c>
      <c r="F75" s="15" t="s">
        <v>3462</v>
      </c>
      <c r="G75" s="60"/>
      <c r="H75" s="60"/>
      <c r="I75" s="60"/>
      <c r="J75" s="60"/>
      <c r="K75" s="60"/>
      <c r="L75" s="60"/>
      <c r="M75" s="60"/>
      <c r="N75" s="60"/>
      <c r="O75" s="60"/>
      <c r="P75" s="60"/>
      <c r="Q75" s="60"/>
      <c r="R75" s="60"/>
      <c r="S75" s="60"/>
      <c r="T75" s="60"/>
      <c r="U75" s="60"/>
      <c r="V75" s="60"/>
      <c r="W75" s="60"/>
      <c r="X75" s="60"/>
    </row>
    <row r="76">
      <c r="A76" s="62">
        <f t="array" ref="A76">IFERROR(
INDEX(FEBRERO!B:B, MATCH(E76, FEBRERO!T:T, 0)),
IFERROR(
INDEX(MARZO!B:B, MATCH(E76, MARZO!T:T, 0)),
""
)
)</f>
        <v>46065</v>
      </c>
      <c r="B76" s="15" t="str">
        <f>IFERROR(__xludf.DUMMYFUNCTION("""COMPUTED_VALUE"""),"Peter Aichholzer")</f>
        <v>Peter Aichholzer</v>
      </c>
      <c r="C76" s="15" t="str">
        <f>IFERROR(__xludf.DUMMYFUNCTION("""COMPUTED_VALUE"""),"Cuchillo Tazaki™")</f>
        <v>Cuchillo Tazaki™</v>
      </c>
      <c r="D76" s="15" t="str">
        <f>IFERROR(__xludf.DUMMYFUNCTION("""COMPUTED_VALUE"""),"PENDIENTE")</f>
        <v>PENDIENTE</v>
      </c>
      <c r="E76" s="15">
        <f>IFERROR(__xludf.DUMMYFUNCTION("""COMPUTED_VALUE"""),4487157.0)</f>
        <v>4487157</v>
      </c>
      <c r="F76" s="15" t="s">
        <v>3463</v>
      </c>
      <c r="G76" s="60"/>
      <c r="H76" s="60"/>
      <c r="I76" s="60"/>
      <c r="J76" s="60"/>
      <c r="K76" s="60"/>
      <c r="L76" s="60"/>
      <c r="M76" s="60"/>
      <c r="N76" s="60"/>
      <c r="O76" s="60"/>
      <c r="P76" s="60"/>
      <c r="Q76" s="60"/>
      <c r="R76" s="60"/>
      <c r="S76" s="60"/>
      <c r="T76" s="60"/>
      <c r="U76" s="60"/>
      <c r="V76" s="60"/>
      <c r="W76" s="60"/>
      <c r="X76" s="60"/>
    </row>
    <row r="77">
      <c r="A77" s="62">
        <f t="array" ref="A77">IFERROR(
INDEX(FEBRERO!B:B, MATCH(E77, FEBRERO!T:T, 0)),
IFERROR(
INDEX(MARZO!B:B, MATCH(E77, MARZO!T:T, 0)),
""
)
)</f>
        <v>46065</v>
      </c>
      <c r="B77" s="15" t="str">
        <f>IFERROR(__xludf.DUMMYFUNCTION("""COMPUTED_VALUE"""),"Ñusta Carmelina Poma González")</f>
        <v>Ñusta Carmelina Poma González</v>
      </c>
      <c r="C77" s="15" t="str">
        <f>IFERROR(__xludf.DUMMYFUNCTION("""COMPUTED_VALUE"""),"FilmPro®")</f>
        <v>FilmPro®</v>
      </c>
      <c r="D77" s="15" t="str">
        <f>IFERROR(__xludf.DUMMYFUNCTION("""COMPUTED_VALUE"""),"PENDIENTE")</f>
        <v>PENDIENTE</v>
      </c>
      <c r="E77" s="15">
        <f>IFERROR(__xludf.DUMMYFUNCTION("""COMPUTED_VALUE"""),4489655.0)</f>
        <v>4489655</v>
      </c>
      <c r="F77" s="15" t="s">
        <v>3464</v>
      </c>
      <c r="G77" s="60"/>
      <c r="H77" s="60"/>
      <c r="I77" s="60"/>
      <c r="J77" s="60"/>
      <c r="K77" s="60"/>
      <c r="L77" s="60"/>
      <c r="M77" s="60"/>
      <c r="N77" s="60"/>
      <c r="O77" s="60"/>
      <c r="P77" s="60"/>
      <c r="Q77" s="60"/>
      <c r="R77" s="60"/>
      <c r="S77" s="60"/>
      <c r="T77" s="60"/>
      <c r="U77" s="60"/>
      <c r="V77" s="60"/>
      <c r="W77" s="60"/>
      <c r="X77" s="60"/>
    </row>
    <row r="78">
      <c r="A78" s="62">
        <f t="array" ref="A78">IFERROR(
INDEX(FEBRERO!B:B, MATCH(E78, FEBRERO!T:T, 0)),
IFERROR(
INDEX(MARZO!B:B, MATCH(E78, MARZO!T:T, 0)),
""
)
)</f>
        <v>46065</v>
      </c>
      <c r="B78" s="15" t="str">
        <f>IFERROR(__xludf.DUMMYFUNCTION("""COMPUTED_VALUE"""),"José Avelino Valencia Avelino Valencia")</f>
        <v>José Avelino Valencia Avelino Valencia</v>
      </c>
      <c r="C78" s="15" t="str">
        <f>IFERROR(__xludf.DUMMYFUNCTION("""COMPUTED_VALUE"""),"Cuchillo Tazaki™")</f>
        <v>Cuchillo Tazaki™</v>
      </c>
      <c r="D78" s="15" t="str">
        <f>IFERROR(__xludf.DUMMYFUNCTION("""COMPUTED_VALUE"""),"PENDIENTE")</f>
        <v>PENDIENTE</v>
      </c>
      <c r="E78" s="15">
        <f>IFERROR(__xludf.DUMMYFUNCTION("""COMPUTED_VALUE"""),4489985.0)</f>
        <v>4489985</v>
      </c>
      <c r="F78" s="15" t="s">
        <v>3465</v>
      </c>
      <c r="G78" s="60"/>
      <c r="H78" s="60"/>
      <c r="I78" s="60"/>
      <c r="J78" s="60"/>
      <c r="K78" s="60"/>
      <c r="L78" s="60"/>
      <c r="M78" s="60"/>
      <c r="N78" s="60"/>
      <c r="O78" s="60"/>
      <c r="P78" s="60"/>
      <c r="Q78" s="60"/>
      <c r="R78" s="60"/>
      <c r="S78" s="60"/>
      <c r="T78" s="60"/>
      <c r="U78" s="60"/>
      <c r="V78" s="60"/>
      <c r="W78" s="60"/>
      <c r="X78" s="60"/>
    </row>
    <row r="79">
      <c r="A79" s="62">
        <f t="array" ref="A79">IFERROR(
INDEX(FEBRERO!B:B, MATCH(E79, FEBRERO!T:T, 0)),
IFERROR(
INDEX(MARZO!B:B, MATCH(E79, MARZO!T:T, 0)),
""
)
)</f>
        <v>46065</v>
      </c>
      <c r="B79" s="15" t="str">
        <f>IFERROR(__xludf.DUMMYFUNCTION("""COMPUTED_VALUE"""),"Vilma Verdezoto")</f>
        <v>Vilma Verdezoto</v>
      </c>
      <c r="C79" s="15" t="str">
        <f>IFERROR(__xludf.DUMMYFUNCTION("""COMPUTED_VALUE"""),"Cuchillo Tazaki™")</f>
        <v>Cuchillo Tazaki™</v>
      </c>
      <c r="D79" s="15" t="str">
        <f>IFERROR(__xludf.DUMMYFUNCTION("""COMPUTED_VALUE"""),"PENDIENTE")</f>
        <v>PENDIENTE</v>
      </c>
      <c r="E79" s="15">
        <f>IFERROR(__xludf.DUMMYFUNCTION("""COMPUTED_VALUE"""),4492585.0)</f>
        <v>4492585</v>
      </c>
      <c r="F79" s="15" t="s">
        <v>3466</v>
      </c>
      <c r="G79" s="60"/>
      <c r="H79" s="60"/>
      <c r="I79" s="60"/>
      <c r="J79" s="60"/>
      <c r="K79" s="60"/>
      <c r="L79" s="60"/>
      <c r="M79" s="60"/>
      <c r="N79" s="60"/>
      <c r="O79" s="60"/>
      <c r="P79" s="60"/>
      <c r="Q79" s="60"/>
      <c r="R79" s="60"/>
      <c r="S79" s="60"/>
      <c r="T79" s="60"/>
      <c r="U79" s="60"/>
      <c r="V79" s="60"/>
      <c r="W79" s="60"/>
      <c r="X79" s="60"/>
    </row>
    <row r="80">
      <c r="A80" s="62">
        <f t="array" ref="A80">IFERROR(
INDEX(FEBRERO!B:B, MATCH(E80, FEBRERO!T:T, 0)),
IFERROR(
INDEX(MARZO!B:B, MATCH(E80, MARZO!T:T, 0)),
""
)
)</f>
        <v>46065</v>
      </c>
      <c r="B80" s="15" t="str">
        <f>IFERROR(__xludf.DUMMYFUNCTION("""COMPUTED_VALUE"""),"Christian Barragán")</f>
        <v>Christian Barragán</v>
      </c>
      <c r="C80" s="15" t="str">
        <f>IFERROR(__xludf.DUMMYFUNCTION("""COMPUTED_VALUE"""),"FilmPro®")</f>
        <v>FilmPro®</v>
      </c>
      <c r="D80" s="15" t="str">
        <f>IFERROR(__xludf.DUMMYFUNCTION("""COMPUTED_VALUE"""),"PENDIENTE")</f>
        <v>PENDIENTE</v>
      </c>
      <c r="E80" s="15">
        <f>IFERROR(__xludf.DUMMYFUNCTION("""COMPUTED_VALUE"""),4493142.0)</f>
        <v>4493142</v>
      </c>
      <c r="F80" s="15" t="s">
        <v>3467</v>
      </c>
      <c r="G80" s="60"/>
      <c r="H80" s="60"/>
      <c r="I80" s="60"/>
      <c r="J80" s="60"/>
      <c r="K80" s="60"/>
      <c r="L80" s="60"/>
      <c r="M80" s="60"/>
      <c r="N80" s="60"/>
      <c r="O80" s="60"/>
      <c r="P80" s="60"/>
      <c r="Q80" s="60"/>
      <c r="R80" s="60"/>
      <c r="S80" s="60"/>
      <c r="T80" s="60"/>
      <c r="U80" s="60"/>
      <c r="V80" s="60"/>
      <c r="W80" s="60"/>
      <c r="X80" s="60"/>
    </row>
    <row r="81">
      <c r="A81" s="62">
        <f t="array" ref="A81">IFERROR(
INDEX(FEBRERO!B:B, MATCH(E81, FEBRERO!T:T, 0)),
IFERROR(
INDEX(MARZO!B:B, MATCH(E81, MARZO!T:T, 0)),
""
)
)</f>
        <v>46065</v>
      </c>
      <c r="B81" s="15" t="str">
        <f>IFERROR(__xludf.DUMMYFUNCTION("""COMPUTED_VALUE""")," Luis Francisco Sánchez Lima
")</f>
        <v> Luis Francisco Sánchez Lima
</v>
      </c>
      <c r="C81" s="15" t="str">
        <f>IFERROR(__xludf.DUMMYFUNCTION("""COMPUTED_VALUE"""),"Cuchillo Tazaki™")</f>
        <v>Cuchillo Tazaki™</v>
      </c>
      <c r="D81" s="15" t="str">
        <f>IFERROR(__xludf.DUMMYFUNCTION("""COMPUTED_VALUE"""),"PENDIENTE")</f>
        <v>PENDIENTE</v>
      </c>
      <c r="E81" s="15">
        <f>IFERROR(__xludf.DUMMYFUNCTION("""COMPUTED_VALUE"""),4493589.0)</f>
        <v>4493589</v>
      </c>
      <c r="F81" s="15" t="s">
        <v>3468</v>
      </c>
      <c r="G81" s="60"/>
      <c r="H81" s="60"/>
      <c r="I81" s="60"/>
      <c r="J81" s="60"/>
      <c r="K81" s="60"/>
      <c r="L81" s="60"/>
      <c r="M81" s="60"/>
      <c r="N81" s="60"/>
      <c r="O81" s="60"/>
      <c r="P81" s="60"/>
      <c r="Q81" s="60"/>
      <c r="R81" s="60"/>
      <c r="S81" s="60"/>
      <c r="T81" s="60"/>
      <c r="U81" s="60"/>
      <c r="V81" s="60"/>
      <c r="W81" s="60"/>
      <c r="X81" s="60"/>
    </row>
    <row r="82">
      <c r="A82" s="62">
        <f t="array" ref="A82">IFERROR(
INDEX(FEBRERO!B:B, MATCH(E82, FEBRERO!T:T, 0)),
IFERROR(
INDEX(MARZO!B:B, MATCH(E82, MARZO!T:T, 0)),
""
)
)</f>
        <v>46065</v>
      </c>
      <c r="B82" s="15" t="str">
        <f>IFERROR(__xludf.DUMMYFUNCTION("""COMPUTED_VALUE""")," Antoñia Tanguila
")</f>
        <v> Antoñia Tanguila
</v>
      </c>
      <c r="C82" s="15" t="str">
        <f>IFERROR(__xludf.DUMMYFUNCTION("""COMPUTED_VALUE"""),"Cuchillo Tazaki™")</f>
        <v>Cuchillo Tazaki™</v>
      </c>
      <c r="D82" s="15" t="str">
        <f>IFERROR(__xludf.DUMMYFUNCTION("""COMPUTED_VALUE"""),"PENDIENTE")</f>
        <v>PENDIENTE</v>
      </c>
      <c r="E82" s="15">
        <f>IFERROR(__xludf.DUMMYFUNCTION("""COMPUTED_VALUE"""),4494048.0)</f>
        <v>4494048</v>
      </c>
      <c r="F82" s="15" t="s">
        <v>3469</v>
      </c>
      <c r="G82" s="60"/>
      <c r="H82" s="60"/>
      <c r="I82" s="60"/>
      <c r="J82" s="60"/>
      <c r="K82" s="60"/>
      <c r="L82" s="60"/>
      <c r="M82" s="60"/>
      <c r="N82" s="60"/>
      <c r="O82" s="60"/>
      <c r="P82" s="60"/>
      <c r="Q82" s="60"/>
      <c r="R82" s="60"/>
      <c r="S82" s="60"/>
      <c r="T82" s="60"/>
      <c r="U82" s="60"/>
      <c r="V82" s="60"/>
      <c r="W82" s="60"/>
      <c r="X82" s="60"/>
    </row>
    <row r="83">
      <c r="A83" s="62">
        <f t="array" ref="A83">IFERROR(
INDEX(FEBRERO!B:B, MATCH(E83, FEBRERO!T:T, 0)),
IFERROR(
INDEX(MARZO!B:B, MATCH(E83, MARZO!T:T, 0)),
""
)
)</f>
        <v>46065</v>
      </c>
      <c r="B83" s="15" t="str">
        <f>IFERROR(__xludf.DUMMYFUNCTION("""COMPUTED_VALUE"""),"Jorge Peralta")</f>
        <v>Jorge Peralta</v>
      </c>
      <c r="C83" s="15" t="str">
        <f>IFERROR(__xludf.DUMMYFUNCTION("""COMPUTED_VALUE"""),"FilmPro®")</f>
        <v>FilmPro®</v>
      </c>
      <c r="D83" s="15" t="str">
        <f>IFERROR(__xludf.DUMMYFUNCTION("""COMPUTED_VALUE"""),"PENDIENTE")</f>
        <v>PENDIENTE</v>
      </c>
      <c r="E83" s="15">
        <f>IFERROR(__xludf.DUMMYFUNCTION("""COMPUTED_VALUE"""),4494455.0)</f>
        <v>4494455</v>
      </c>
      <c r="F83" s="15" t="s">
        <v>3470</v>
      </c>
      <c r="G83" s="60"/>
      <c r="H83" s="60"/>
      <c r="I83" s="60"/>
      <c r="J83" s="60"/>
      <c r="K83" s="60"/>
      <c r="L83" s="60"/>
      <c r="M83" s="60"/>
      <c r="N83" s="60"/>
      <c r="O83" s="60"/>
      <c r="P83" s="60"/>
      <c r="Q83" s="60"/>
      <c r="R83" s="60"/>
      <c r="S83" s="60"/>
      <c r="T83" s="60"/>
      <c r="U83" s="60"/>
      <c r="V83" s="60"/>
      <c r="W83" s="60"/>
      <c r="X83" s="60"/>
    </row>
    <row r="84">
      <c r="A84" s="62">
        <f t="array" ref="A84">IFERROR(
INDEX(FEBRERO!B:B, MATCH(E84, FEBRERO!T:T, 0)),
IFERROR(
INDEX(MARZO!B:B, MATCH(E84, MARZO!T:T, 0)),
""
)
)</f>
        <v>46065</v>
      </c>
      <c r="B84" s="15" t="str">
        <f>IFERROR(__xludf.DUMMYFUNCTION("""COMPUTED_VALUE"""),"Lenin Vivanco")</f>
        <v>Lenin Vivanco</v>
      </c>
      <c r="C84" s="15" t="str">
        <f>IFERROR(__xludf.DUMMYFUNCTION("""COMPUTED_VALUE"""),"Cuchillo Tazaki™")</f>
        <v>Cuchillo Tazaki™</v>
      </c>
      <c r="D84" s="15" t="str">
        <f>IFERROR(__xludf.DUMMYFUNCTION("""COMPUTED_VALUE"""),"PENDIENTE")</f>
        <v>PENDIENTE</v>
      </c>
      <c r="E84" s="15">
        <f>IFERROR(__xludf.DUMMYFUNCTION("""COMPUTED_VALUE"""),4494577.0)</f>
        <v>4494577</v>
      </c>
      <c r="F84" s="15" t="s">
        <v>3471</v>
      </c>
      <c r="G84" s="60"/>
      <c r="H84" s="60"/>
      <c r="I84" s="60"/>
      <c r="J84" s="60"/>
      <c r="K84" s="60"/>
      <c r="L84" s="60"/>
      <c r="M84" s="60"/>
      <c r="N84" s="60"/>
      <c r="O84" s="60"/>
      <c r="P84" s="60"/>
      <c r="Q84" s="60"/>
      <c r="R84" s="60"/>
      <c r="S84" s="60"/>
      <c r="T84" s="60"/>
      <c r="U84" s="60"/>
      <c r="V84" s="60"/>
      <c r="W84" s="60"/>
      <c r="X84" s="60"/>
    </row>
    <row r="85">
      <c r="A85" s="62">
        <f t="array" ref="A85">IFERROR(
INDEX(FEBRERO!B:B, MATCH(E85, FEBRERO!T:T, 0)),
IFERROR(
INDEX(MARZO!B:B, MATCH(E85, MARZO!T:T, 0)),
""
)
)</f>
        <v>46065</v>
      </c>
      <c r="B85" s="15" t="str">
        <f>IFERROR(__xludf.DUMMYFUNCTION("""COMPUTED_VALUE"""),"Juan dalgo")</f>
        <v>Juan dalgo</v>
      </c>
      <c r="C85" s="15" t="str">
        <f>IFERROR(__xludf.DUMMYFUNCTION("""COMPUTED_VALUE"""),"Cuchillo Tazaki™")</f>
        <v>Cuchillo Tazaki™</v>
      </c>
      <c r="D85" s="15" t="str">
        <f>IFERROR(__xludf.DUMMYFUNCTION("""COMPUTED_VALUE"""),"PENDIENTE")</f>
        <v>PENDIENTE</v>
      </c>
      <c r="E85" s="15">
        <f>IFERROR(__xludf.DUMMYFUNCTION("""COMPUTED_VALUE"""),4523232.0)</f>
        <v>4523232</v>
      </c>
      <c r="F85" s="15" t="s">
        <v>3472</v>
      </c>
      <c r="G85" s="60"/>
      <c r="H85" s="60"/>
      <c r="I85" s="60"/>
      <c r="J85" s="60"/>
      <c r="K85" s="60"/>
      <c r="L85" s="60"/>
      <c r="M85" s="60"/>
      <c r="N85" s="60"/>
      <c r="O85" s="60"/>
      <c r="P85" s="60"/>
      <c r="Q85" s="60"/>
      <c r="R85" s="60"/>
      <c r="S85" s="60"/>
      <c r="T85" s="60"/>
      <c r="U85" s="60"/>
      <c r="V85" s="60"/>
      <c r="W85" s="60"/>
      <c r="X85" s="60"/>
    </row>
    <row r="86">
      <c r="A86" s="62">
        <f t="array" ref="A86">IFERROR(
INDEX(FEBRERO!B:B, MATCH(E86, FEBRERO!T:T, 0)),
IFERROR(
INDEX(MARZO!B:B, MATCH(E86, MARZO!T:T, 0)),
""
)
)</f>
        <v>46066</v>
      </c>
      <c r="B86" s="15" t="str">
        <f>IFERROR(__xludf.DUMMYFUNCTION("""COMPUTED_VALUE"""),"Mariuxi Briones")</f>
        <v>Mariuxi Briones</v>
      </c>
      <c r="C86" s="15" t="str">
        <f>IFERROR(__xludf.DUMMYFUNCTION("""COMPUTED_VALUE"""),"FilmPro®")</f>
        <v>FilmPro®</v>
      </c>
      <c r="D86" s="15" t="str">
        <f>IFERROR(__xludf.DUMMYFUNCTION("""COMPUTED_VALUE"""),"PENDIENTE")</f>
        <v>PENDIENTE</v>
      </c>
      <c r="E86" s="15">
        <f>IFERROR(__xludf.DUMMYFUNCTION("""COMPUTED_VALUE"""),4497704.0)</f>
        <v>4497704</v>
      </c>
      <c r="F86" s="15" t="s">
        <v>3473</v>
      </c>
      <c r="G86" s="60"/>
      <c r="H86" s="60"/>
      <c r="I86" s="60"/>
      <c r="J86" s="60"/>
      <c r="K86" s="60"/>
      <c r="L86" s="60"/>
      <c r="M86" s="60"/>
      <c r="N86" s="60"/>
      <c r="O86" s="60"/>
      <c r="P86" s="60"/>
      <c r="Q86" s="60"/>
      <c r="R86" s="60"/>
      <c r="S86" s="60"/>
      <c r="T86" s="60"/>
      <c r="U86" s="60"/>
      <c r="V86" s="60"/>
      <c r="W86" s="60"/>
      <c r="X86" s="60"/>
    </row>
    <row r="87">
      <c r="A87" s="62">
        <f t="array" ref="A87">IFERROR(
INDEX(FEBRERO!B:B, MATCH(E87, FEBRERO!T:T, 0)),
IFERROR(
INDEX(MARZO!B:B, MATCH(E87, MARZO!T:T, 0)),
""
)
)</f>
        <v>46066</v>
      </c>
      <c r="B87" s="15" t="str">
        <f>IFERROR(__xludf.DUMMYFUNCTION("""COMPUTED_VALUE"""),"Francisco pico pico")</f>
        <v>Francisco pico pico</v>
      </c>
      <c r="C87" s="15" t="str">
        <f>IFERROR(__xludf.DUMMYFUNCTION("""COMPUTED_VALUE"""),"Cuchillo Tazaki™")</f>
        <v>Cuchillo Tazaki™</v>
      </c>
      <c r="D87" s="15" t="str">
        <f>IFERROR(__xludf.DUMMYFUNCTION("""COMPUTED_VALUE"""),"PENDIENTE")</f>
        <v>PENDIENTE</v>
      </c>
      <c r="E87" s="15">
        <f>IFERROR(__xludf.DUMMYFUNCTION("""COMPUTED_VALUE"""),4499614.0)</f>
        <v>4499614</v>
      </c>
      <c r="F87" s="15" t="s">
        <v>3474</v>
      </c>
      <c r="G87" s="60"/>
      <c r="H87" s="60"/>
      <c r="I87" s="60"/>
      <c r="J87" s="60"/>
      <c r="K87" s="60"/>
      <c r="L87" s="60"/>
      <c r="M87" s="60"/>
      <c r="N87" s="60"/>
      <c r="O87" s="60"/>
      <c r="P87" s="60"/>
      <c r="Q87" s="60"/>
      <c r="R87" s="60"/>
      <c r="S87" s="60"/>
      <c r="T87" s="60"/>
      <c r="U87" s="60"/>
      <c r="V87" s="60"/>
      <c r="W87" s="60"/>
      <c r="X87" s="60"/>
    </row>
    <row r="88">
      <c r="A88" s="62">
        <f t="array" ref="A88">IFERROR(
INDEX(FEBRERO!B:B, MATCH(E88, FEBRERO!T:T, 0)),
IFERROR(
INDEX(MARZO!B:B, MATCH(E88, MARZO!T:T, 0)),
""
)
)</f>
        <v>46066</v>
      </c>
      <c r="B88" s="15" t="str">
        <f>IFERROR(__xludf.DUMMYFUNCTION("""COMPUTED_VALUE"""),"Carlos Martinez")</f>
        <v>Carlos Martinez</v>
      </c>
      <c r="C88" s="15" t="str">
        <f>IFERROR(__xludf.DUMMYFUNCTION("""COMPUTED_VALUE"""),"Cuchillo Tazaki™")</f>
        <v>Cuchillo Tazaki™</v>
      </c>
      <c r="D88" s="15" t="str">
        <f>IFERROR(__xludf.DUMMYFUNCTION("""COMPUTED_VALUE"""),"PENDIENTE")</f>
        <v>PENDIENTE</v>
      </c>
      <c r="E88" s="15">
        <f>IFERROR(__xludf.DUMMYFUNCTION("""COMPUTED_VALUE"""),4500415.0)</f>
        <v>4500415</v>
      </c>
      <c r="F88" s="15" t="s">
        <v>3475</v>
      </c>
      <c r="G88" s="60"/>
      <c r="H88" s="60"/>
      <c r="I88" s="60"/>
      <c r="J88" s="60"/>
      <c r="K88" s="60"/>
      <c r="L88" s="60"/>
      <c r="M88" s="60"/>
      <c r="N88" s="60"/>
      <c r="O88" s="60"/>
      <c r="P88" s="60"/>
      <c r="Q88" s="60"/>
      <c r="R88" s="60"/>
      <c r="S88" s="60"/>
      <c r="T88" s="60"/>
      <c r="U88" s="60"/>
      <c r="V88" s="60"/>
      <c r="W88" s="60"/>
      <c r="X88" s="60"/>
    </row>
    <row r="89">
      <c r="A89" s="62">
        <f t="array" ref="A89">IFERROR(
INDEX(FEBRERO!B:B, MATCH(E89, FEBRERO!T:T, 0)),
IFERROR(
INDEX(MARZO!B:B, MATCH(E89, MARZO!T:T, 0)),
""
)
)</f>
        <v>46066</v>
      </c>
      <c r="B89" s="15" t="str">
        <f>IFERROR(__xludf.DUMMYFUNCTION("""COMPUTED_VALUE"""),"Diego Donoso")</f>
        <v>Diego Donoso</v>
      </c>
      <c r="C89" s="15" t="str">
        <f>IFERROR(__xludf.DUMMYFUNCTION("""COMPUTED_VALUE"""),"FilmPro®")</f>
        <v>FilmPro®</v>
      </c>
      <c r="D89" s="15" t="str">
        <f>IFERROR(__xludf.DUMMYFUNCTION("""COMPUTED_VALUE"""),"PENDIENTE")</f>
        <v>PENDIENTE</v>
      </c>
      <c r="E89" s="15">
        <f>IFERROR(__xludf.DUMMYFUNCTION("""COMPUTED_VALUE"""),4501265.0)</f>
        <v>4501265</v>
      </c>
      <c r="F89" s="15" t="s">
        <v>3476</v>
      </c>
      <c r="G89" s="60"/>
      <c r="H89" s="60"/>
      <c r="I89" s="60"/>
      <c r="J89" s="60"/>
      <c r="K89" s="60"/>
      <c r="L89" s="60"/>
      <c r="M89" s="60"/>
      <c r="N89" s="60"/>
      <c r="O89" s="60"/>
      <c r="P89" s="60"/>
      <c r="Q89" s="60"/>
      <c r="R89" s="60"/>
      <c r="S89" s="60"/>
      <c r="T89" s="60"/>
      <c r="U89" s="60"/>
      <c r="V89" s="60"/>
      <c r="W89" s="60"/>
      <c r="X89" s="60"/>
    </row>
    <row r="90">
      <c r="A90" s="62">
        <f t="array" ref="A90">IFERROR(
INDEX(FEBRERO!B:B, MATCH(E90, FEBRERO!T:T, 0)),
IFERROR(
INDEX(MARZO!B:B, MATCH(E90, MARZO!T:T, 0)),
""
)
)</f>
        <v>46066</v>
      </c>
      <c r="B90" s="15" t="str">
        <f>IFERROR(__xludf.DUMMYFUNCTION("""COMPUTED_VALUE"""),"Luis Martinez Martinez")</f>
        <v>Luis Martinez Martinez</v>
      </c>
      <c r="C90" s="15" t="str">
        <f>IFERROR(__xludf.DUMMYFUNCTION("""COMPUTED_VALUE"""),"Cuchillo Tazaki™")</f>
        <v>Cuchillo Tazaki™</v>
      </c>
      <c r="D90" s="15" t="str">
        <f>IFERROR(__xludf.DUMMYFUNCTION("""COMPUTED_VALUE"""),"PENDIENTE")</f>
        <v>PENDIENTE</v>
      </c>
      <c r="E90" s="15">
        <f>IFERROR(__xludf.DUMMYFUNCTION("""COMPUTED_VALUE"""),4502579.0)</f>
        <v>4502579</v>
      </c>
      <c r="F90" s="15" t="s">
        <v>3477</v>
      </c>
      <c r="G90" s="60"/>
      <c r="H90" s="60"/>
      <c r="I90" s="60"/>
      <c r="J90" s="60"/>
      <c r="K90" s="60"/>
      <c r="L90" s="60"/>
      <c r="M90" s="60"/>
      <c r="N90" s="60"/>
      <c r="O90" s="60"/>
      <c r="P90" s="60"/>
      <c r="Q90" s="60"/>
      <c r="R90" s="60"/>
      <c r="S90" s="60"/>
      <c r="T90" s="60"/>
      <c r="U90" s="60"/>
      <c r="V90" s="60"/>
      <c r="W90" s="60"/>
      <c r="X90" s="60"/>
    </row>
    <row r="91">
      <c r="A91" s="62">
        <f t="array" ref="A91">IFERROR(
INDEX(FEBRERO!B:B, MATCH(E91, FEBRERO!T:T, 0)),
IFERROR(
INDEX(MARZO!B:B, MATCH(E91, MARZO!T:T, 0)),
""
)
)</f>
        <v>46066</v>
      </c>
      <c r="B91" s="15" t="str">
        <f>IFERROR(__xludf.DUMMYFUNCTION("""COMPUTED_VALUE"""),"Edgar Borja")</f>
        <v>Edgar Borja</v>
      </c>
      <c r="C91" s="15" t="str">
        <f>IFERROR(__xludf.DUMMYFUNCTION("""COMPUTED_VALUE"""),"FilmPro®")</f>
        <v>FilmPro®</v>
      </c>
      <c r="D91" s="15" t="str">
        <f>IFERROR(__xludf.DUMMYFUNCTION("""COMPUTED_VALUE"""),"PENDIENTE")</f>
        <v>PENDIENTE</v>
      </c>
      <c r="E91" s="15">
        <f>IFERROR(__xludf.DUMMYFUNCTION("""COMPUTED_VALUE"""),4505079.0)</f>
        <v>4505079</v>
      </c>
      <c r="F91" s="15" t="s">
        <v>3478</v>
      </c>
      <c r="G91" s="60"/>
      <c r="H91" s="60"/>
      <c r="I91" s="60"/>
      <c r="J91" s="60"/>
      <c r="K91" s="60"/>
      <c r="L91" s="60"/>
      <c r="M91" s="60"/>
      <c r="N91" s="60"/>
      <c r="O91" s="60"/>
      <c r="P91" s="60"/>
      <c r="Q91" s="60"/>
      <c r="R91" s="60"/>
      <c r="S91" s="60"/>
      <c r="T91" s="60"/>
      <c r="U91" s="60"/>
      <c r="V91" s="60"/>
      <c r="W91" s="60"/>
      <c r="X91" s="60"/>
    </row>
    <row r="92">
      <c r="A92" s="62">
        <f t="array" ref="A92">IFERROR(
INDEX(FEBRERO!B:B, MATCH(E92, FEBRERO!T:T, 0)),
IFERROR(
INDEX(MARZO!B:B, MATCH(E92, MARZO!T:T, 0)),
""
)
)</f>
        <v>46066</v>
      </c>
      <c r="B92" s="15" t="str">
        <f>IFERROR(__xludf.DUMMYFUNCTION("""COMPUTED_VALUE"""),"Galo Chicaiza")</f>
        <v>Galo Chicaiza</v>
      </c>
      <c r="C92" s="15" t="str">
        <f>IFERROR(__xludf.DUMMYFUNCTION("""COMPUTED_VALUE"""),"FilmPro®")</f>
        <v>FilmPro®</v>
      </c>
      <c r="D92" s="15" t="str">
        <f>IFERROR(__xludf.DUMMYFUNCTION("""COMPUTED_VALUE"""),"PENDIENTE")</f>
        <v>PENDIENTE</v>
      </c>
      <c r="E92" s="15">
        <f>IFERROR(__xludf.DUMMYFUNCTION("""COMPUTED_VALUE"""),4505403.0)</f>
        <v>4505403</v>
      </c>
      <c r="F92" s="15" t="s">
        <v>3479</v>
      </c>
      <c r="G92" s="60"/>
      <c r="H92" s="60"/>
      <c r="I92" s="60"/>
      <c r="J92" s="60"/>
      <c r="K92" s="60"/>
      <c r="L92" s="60"/>
      <c r="M92" s="60"/>
      <c r="N92" s="60"/>
      <c r="O92" s="60"/>
      <c r="P92" s="60"/>
      <c r="Q92" s="60"/>
      <c r="R92" s="60"/>
      <c r="S92" s="60"/>
      <c r="T92" s="60"/>
      <c r="U92" s="60"/>
      <c r="V92" s="60"/>
      <c r="W92" s="60"/>
      <c r="X92" s="60"/>
    </row>
    <row r="93">
      <c r="A93" s="62">
        <f t="array" ref="A93">IFERROR(
INDEX(FEBRERO!B:B, MATCH(E93, FEBRERO!T:T, 0)),
IFERROR(
INDEX(MARZO!B:B, MATCH(E93, MARZO!T:T, 0)),
""
)
)</f>
        <v>46067</v>
      </c>
      <c r="B93" s="15" t="str">
        <f>IFERROR(__xludf.DUMMYFUNCTION("""COMPUTED_VALUE"""),"Jefferson Alfonso Carchi Guaman")</f>
        <v>Jefferson Alfonso Carchi Guaman</v>
      </c>
      <c r="C93" s="15" t="str">
        <f>IFERROR(__xludf.DUMMYFUNCTION("""COMPUTED_VALUE"""),"FilmPro®")</f>
        <v>FilmPro®</v>
      </c>
      <c r="D93" s="15" t="str">
        <f>IFERROR(__xludf.DUMMYFUNCTION("""COMPUTED_VALUE"""),"PENDIENTE")</f>
        <v>PENDIENTE</v>
      </c>
      <c r="E93" s="15">
        <f>IFERROR(__xludf.DUMMYFUNCTION("""COMPUTED_VALUE"""),4506940.0)</f>
        <v>4506940</v>
      </c>
      <c r="F93" s="15" t="s">
        <v>3480</v>
      </c>
      <c r="G93" s="60"/>
      <c r="H93" s="60"/>
      <c r="I93" s="60"/>
      <c r="J93" s="60"/>
      <c r="K93" s="60"/>
      <c r="L93" s="60"/>
      <c r="M93" s="60"/>
      <c r="N93" s="60"/>
      <c r="O93" s="60"/>
      <c r="P93" s="60"/>
      <c r="Q93" s="60"/>
      <c r="R93" s="60"/>
      <c r="S93" s="60"/>
      <c r="T93" s="60"/>
      <c r="U93" s="60"/>
      <c r="V93" s="60"/>
      <c r="W93" s="60"/>
      <c r="X93" s="60"/>
    </row>
    <row r="94">
      <c r="A94" s="62">
        <f t="array" ref="A94">IFERROR(
INDEX(FEBRERO!B:B, MATCH(E94, FEBRERO!T:T, 0)),
IFERROR(
INDEX(MARZO!B:B, MATCH(E94, MARZO!T:T, 0)),
""
)
)</f>
        <v>46067</v>
      </c>
      <c r="B94" s="15" t="str">
        <f>IFERROR(__xludf.DUMMYFUNCTION("""COMPUTED_VALUE"""),"Antony smith García García")</f>
        <v>Antony smith García García</v>
      </c>
      <c r="C94" s="15" t="str">
        <f>IFERROR(__xludf.DUMMYFUNCTION("""COMPUTED_VALUE"""),"FilmPro®")</f>
        <v>FilmPro®</v>
      </c>
      <c r="D94" s="15" t="str">
        <f>IFERROR(__xludf.DUMMYFUNCTION("""COMPUTED_VALUE"""),"PENDIENTE")</f>
        <v>PENDIENTE</v>
      </c>
      <c r="E94" s="15">
        <f>IFERROR(__xludf.DUMMYFUNCTION("""COMPUTED_VALUE"""),4510290.0)</f>
        <v>4510290</v>
      </c>
      <c r="F94" s="15" t="s">
        <v>3481</v>
      </c>
      <c r="G94" s="60"/>
      <c r="H94" s="60"/>
      <c r="I94" s="60"/>
      <c r="J94" s="60"/>
      <c r="K94" s="60"/>
      <c r="L94" s="60"/>
      <c r="M94" s="60"/>
      <c r="N94" s="60"/>
      <c r="O94" s="60"/>
      <c r="P94" s="60"/>
      <c r="Q94" s="60"/>
      <c r="R94" s="60"/>
      <c r="S94" s="60"/>
      <c r="T94" s="60"/>
      <c r="U94" s="60"/>
      <c r="V94" s="60"/>
      <c r="W94" s="60"/>
      <c r="X94" s="60"/>
    </row>
    <row r="95">
      <c r="A95" s="62">
        <f t="array" ref="A95">IFERROR(
INDEX(FEBRERO!B:B, MATCH(E95, FEBRERO!T:T, 0)),
IFERROR(
INDEX(MARZO!B:B, MATCH(E95, MARZO!T:T, 0)),
""
)
)</f>
        <v>46067</v>
      </c>
      <c r="B95" s="15" t="str">
        <f>IFERROR(__xludf.DUMMYFUNCTION("""COMPUTED_VALUE"""),"Diego Sacoto Arias")</f>
        <v>Diego Sacoto Arias</v>
      </c>
      <c r="C95" s="15" t="str">
        <f>IFERROR(__xludf.DUMMYFUNCTION("""COMPUTED_VALUE"""),"Cuchillo Tazaki™")</f>
        <v>Cuchillo Tazaki™</v>
      </c>
      <c r="D95" s="15" t="str">
        <f>IFERROR(__xludf.DUMMYFUNCTION("""COMPUTED_VALUE"""),"PENDIENTE")</f>
        <v>PENDIENTE</v>
      </c>
      <c r="E95" s="15">
        <f>IFERROR(__xludf.DUMMYFUNCTION("""COMPUTED_VALUE"""),4523371.0)</f>
        <v>4523371</v>
      </c>
      <c r="F95" s="15" t="s">
        <v>3482</v>
      </c>
      <c r="G95" s="60"/>
      <c r="H95" s="60"/>
      <c r="I95" s="60"/>
      <c r="J95" s="60"/>
      <c r="K95" s="60"/>
      <c r="L95" s="60"/>
      <c r="M95" s="60"/>
      <c r="N95" s="60"/>
      <c r="O95" s="60"/>
      <c r="P95" s="60"/>
      <c r="Q95" s="60"/>
      <c r="R95" s="60"/>
      <c r="S95" s="60"/>
      <c r="T95" s="60"/>
      <c r="U95" s="60"/>
      <c r="V95" s="60"/>
      <c r="W95" s="60"/>
      <c r="X95" s="60"/>
    </row>
    <row r="96">
      <c r="A96" s="62">
        <f t="array" ref="A96">IFERROR(
INDEX(FEBRERO!B:B, MATCH(E96, FEBRERO!T:T, 0)),
IFERROR(
INDEX(MARZO!B:B, MATCH(E96, MARZO!T:T, 0)),
""
)
)</f>
        <v>46067</v>
      </c>
      <c r="B96" s="15" t="str">
        <f>IFERROR(__xludf.DUMMYFUNCTION("""COMPUTED_VALUE"""),"Edison Javier Macías Yanez")</f>
        <v>Edison Javier Macías Yanez</v>
      </c>
      <c r="C96" s="15" t="str">
        <f>IFERROR(__xludf.DUMMYFUNCTION("""COMPUTED_VALUE"""),"Cuchillo Tazaki™")</f>
        <v>Cuchillo Tazaki™</v>
      </c>
      <c r="D96" s="15" t="str">
        <f>IFERROR(__xludf.DUMMYFUNCTION("""COMPUTED_VALUE"""),"PENDIENTE")</f>
        <v>PENDIENTE</v>
      </c>
      <c r="E96" s="15">
        <f>IFERROR(__xludf.DUMMYFUNCTION("""COMPUTED_VALUE"""),4523380.0)</f>
        <v>4523380</v>
      </c>
      <c r="F96" s="15" t="s">
        <v>3483</v>
      </c>
      <c r="G96" s="60"/>
      <c r="H96" s="60"/>
      <c r="I96" s="60"/>
      <c r="J96" s="60"/>
      <c r="K96" s="60"/>
      <c r="L96" s="60"/>
      <c r="M96" s="60"/>
      <c r="N96" s="60"/>
      <c r="O96" s="60"/>
      <c r="P96" s="60"/>
      <c r="Q96" s="60"/>
      <c r="R96" s="60"/>
      <c r="S96" s="60"/>
      <c r="T96" s="60"/>
      <c r="U96" s="60"/>
      <c r="V96" s="60"/>
      <c r="W96" s="60"/>
      <c r="X96" s="60"/>
    </row>
    <row r="97">
      <c r="A97" s="62">
        <f t="array" ref="A97">IFERROR(
INDEX(FEBRERO!B:B, MATCH(E97, FEBRERO!T:T, 0)),
IFERROR(
INDEX(MARZO!B:B, MATCH(E97, MARZO!T:T, 0)),
""
)
)</f>
        <v>46067</v>
      </c>
      <c r="B97" s="15" t="str">
        <f>IFERROR(__xludf.DUMMYFUNCTION("""COMPUTED_VALUE"""),"Irene Murillo Murillo")</f>
        <v>Irene Murillo Murillo</v>
      </c>
      <c r="C97" s="15" t="str">
        <f>IFERROR(__xludf.DUMMYFUNCTION("""COMPUTED_VALUE"""),"Cuchillo Tazaki™")</f>
        <v>Cuchillo Tazaki™</v>
      </c>
      <c r="D97" s="15" t="str">
        <f>IFERROR(__xludf.DUMMYFUNCTION("""COMPUTED_VALUE"""),"PENDIENTE")</f>
        <v>PENDIENTE</v>
      </c>
      <c r="E97" s="15">
        <f>IFERROR(__xludf.DUMMYFUNCTION("""COMPUTED_VALUE"""),4523383.0)</f>
        <v>4523383</v>
      </c>
      <c r="F97" s="15" t="s">
        <v>3484</v>
      </c>
      <c r="G97" s="60"/>
      <c r="H97" s="60"/>
      <c r="I97" s="60"/>
      <c r="J97" s="60"/>
      <c r="K97" s="60"/>
      <c r="L97" s="60"/>
      <c r="M97" s="60"/>
      <c r="N97" s="60"/>
      <c r="O97" s="60"/>
      <c r="P97" s="60"/>
      <c r="Q97" s="60"/>
      <c r="R97" s="60"/>
      <c r="S97" s="60"/>
      <c r="T97" s="60"/>
      <c r="U97" s="60"/>
      <c r="V97" s="60"/>
      <c r="W97" s="60"/>
      <c r="X97" s="60"/>
    </row>
    <row r="98">
      <c r="A98" s="62">
        <f t="array" ref="A98">IFERROR(
INDEX(FEBRERO!B:B, MATCH(E98, FEBRERO!T:T, 0)),
IFERROR(
INDEX(MARZO!B:B, MATCH(E98, MARZO!T:T, 0)),
""
)
)</f>
        <v>46068</v>
      </c>
      <c r="B98" s="15" t="str">
        <f>IFERROR(__xludf.DUMMYFUNCTION("""COMPUTED_VALUE"""),"Luis Guacho")</f>
        <v>Luis Guacho</v>
      </c>
      <c r="C98" s="15" t="str">
        <f>IFERROR(__xludf.DUMMYFUNCTION("""COMPUTED_VALUE"""),"Cuchillo Tazaki™")</f>
        <v>Cuchillo Tazaki™</v>
      </c>
      <c r="D98" s="15" t="str">
        <f>IFERROR(__xludf.DUMMYFUNCTION("""COMPUTED_VALUE"""),"PENDIENTE")</f>
        <v>PENDIENTE</v>
      </c>
      <c r="E98" s="15">
        <f>IFERROR(__xludf.DUMMYFUNCTION("""COMPUTED_VALUE"""),4523436.0)</f>
        <v>4523436</v>
      </c>
      <c r="F98" s="15" t="s">
        <v>3485</v>
      </c>
      <c r="G98" s="60"/>
      <c r="H98" s="60"/>
      <c r="I98" s="60"/>
      <c r="J98" s="60"/>
      <c r="K98" s="60"/>
      <c r="L98" s="60"/>
      <c r="M98" s="60"/>
      <c r="N98" s="60"/>
      <c r="O98" s="60"/>
      <c r="P98" s="60"/>
      <c r="Q98" s="60"/>
      <c r="R98" s="60"/>
      <c r="S98" s="60"/>
      <c r="T98" s="60"/>
      <c r="U98" s="60"/>
      <c r="V98" s="60"/>
      <c r="W98" s="60"/>
      <c r="X98" s="60"/>
    </row>
    <row r="99">
      <c r="A99" s="62">
        <f t="array" ref="A99">IFERROR(
INDEX(FEBRERO!B:B, MATCH(E99, FEBRERO!T:T, 0)),
IFERROR(
INDEX(MARZO!B:B, MATCH(E99, MARZO!T:T, 0)),
""
)
)</f>
        <v>46068</v>
      </c>
      <c r="B99" s="15" t="str">
        <f>IFERROR(__xludf.DUMMYFUNCTION("""COMPUTED_VALUE"""),"Jorge Baldeon")</f>
        <v>Jorge Baldeon</v>
      </c>
      <c r="C99" s="15" t="str">
        <f>IFERROR(__xludf.DUMMYFUNCTION("""COMPUTED_VALUE"""),"Cuchillo Tazaki™")</f>
        <v>Cuchillo Tazaki™</v>
      </c>
      <c r="D99" s="15" t="str">
        <f>IFERROR(__xludf.DUMMYFUNCTION("""COMPUTED_VALUE"""),"PENDIENTE")</f>
        <v>PENDIENTE</v>
      </c>
      <c r="E99" s="15">
        <f>IFERROR(__xludf.DUMMYFUNCTION("""COMPUTED_VALUE"""),4523441.0)</f>
        <v>4523441</v>
      </c>
      <c r="F99" s="15" t="s">
        <v>3486</v>
      </c>
      <c r="G99" s="60"/>
      <c r="H99" s="60"/>
      <c r="I99" s="60"/>
      <c r="J99" s="60"/>
      <c r="K99" s="60"/>
      <c r="L99" s="60"/>
      <c r="M99" s="60"/>
      <c r="N99" s="60"/>
      <c r="O99" s="60"/>
      <c r="P99" s="60"/>
      <c r="Q99" s="60"/>
      <c r="R99" s="60"/>
      <c r="S99" s="60"/>
      <c r="T99" s="60"/>
      <c r="U99" s="60"/>
      <c r="V99" s="60"/>
      <c r="W99" s="60"/>
      <c r="X99" s="60"/>
    </row>
    <row r="100">
      <c r="A100" s="62">
        <f t="array" ref="A100">IFERROR(
INDEX(FEBRERO!B:B, MATCH(E100, FEBRERO!T:T, 0)),
IFERROR(
INDEX(MARZO!B:B, MATCH(E100, MARZO!T:T, 0)),
""
)
)</f>
        <v>46068</v>
      </c>
      <c r="B100" s="15" t="str">
        <f>IFERROR(__xludf.DUMMYFUNCTION("""COMPUTED_VALUE"""),"Manuel Baez")</f>
        <v>Manuel Baez</v>
      </c>
      <c r="C100" s="15" t="str">
        <f>IFERROR(__xludf.DUMMYFUNCTION("""COMPUTED_VALUE"""),"Cuchillo Tazaki™")</f>
        <v>Cuchillo Tazaki™</v>
      </c>
      <c r="D100" s="15" t="str">
        <f>IFERROR(__xludf.DUMMYFUNCTION("""COMPUTED_VALUE"""),"PENDIENTE")</f>
        <v>PENDIENTE</v>
      </c>
      <c r="E100" s="15">
        <f>IFERROR(__xludf.DUMMYFUNCTION("""COMPUTED_VALUE"""),4523465.0)</f>
        <v>4523465</v>
      </c>
      <c r="F100" s="15" t="s">
        <v>3487</v>
      </c>
      <c r="G100" s="60"/>
      <c r="H100" s="60"/>
      <c r="I100" s="60"/>
      <c r="J100" s="60"/>
      <c r="K100" s="60"/>
      <c r="L100" s="60"/>
      <c r="M100" s="60"/>
      <c r="N100" s="60"/>
      <c r="O100" s="60"/>
      <c r="P100" s="60"/>
      <c r="Q100" s="60"/>
      <c r="R100" s="60"/>
      <c r="S100" s="60"/>
      <c r="T100" s="60"/>
      <c r="U100" s="60"/>
      <c r="V100" s="60"/>
      <c r="W100" s="60"/>
      <c r="X100" s="60"/>
    </row>
    <row r="101">
      <c r="A101" s="62">
        <f t="array" ref="A101">IFERROR(
INDEX(FEBRERO!B:B, MATCH(E101, FEBRERO!T:T, 0)),
IFERROR(
INDEX(MARZO!B:B, MATCH(E101, MARZO!T:T, 0)),
""
)
)</f>
        <v>46068</v>
      </c>
      <c r="B101" s="15" t="str">
        <f>IFERROR(__xludf.DUMMYFUNCTION("""COMPUTED_VALUE"""),"José Luis")</f>
        <v>José Luis</v>
      </c>
      <c r="C101" s="15" t="str">
        <f>IFERROR(__xludf.DUMMYFUNCTION("""COMPUTED_VALUE"""),"FilmPro®")</f>
        <v>FilmPro®</v>
      </c>
      <c r="D101" s="15" t="str">
        <f>IFERROR(__xludf.DUMMYFUNCTION("""COMPUTED_VALUE"""),"PENDIENTE")</f>
        <v>PENDIENTE</v>
      </c>
      <c r="E101" s="15">
        <f>IFERROR(__xludf.DUMMYFUNCTION("""COMPUTED_VALUE"""),4514052.0)</f>
        <v>4514052</v>
      </c>
      <c r="F101" s="15" t="s">
        <v>3488</v>
      </c>
      <c r="G101" s="60"/>
      <c r="H101" s="60"/>
      <c r="I101" s="60"/>
      <c r="J101" s="60"/>
      <c r="K101" s="60"/>
      <c r="L101" s="60"/>
      <c r="M101" s="60"/>
      <c r="N101" s="60"/>
      <c r="O101" s="60"/>
      <c r="P101" s="60"/>
      <c r="Q101" s="60"/>
      <c r="R101" s="60"/>
      <c r="S101" s="60"/>
      <c r="T101" s="60"/>
      <c r="U101" s="60"/>
      <c r="V101" s="60"/>
      <c r="W101" s="60"/>
      <c r="X101" s="60"/>
    </row>
    <row r="102">
      <c r="A102" s="62">
        <f t="array" ref="A102">IFERROR(
INDEX(FEBRERO!B:B, MATCH(E102, FEBRERO!T:T, 0)),
IFERROR(
INDEX(MARZO!B:B, MATCH(E102, MARZO!T:T, 0)),
""
)
)</f>
        <v>46068</v>
      </c>
      <c r="B102" s="15" t="str">
        <f>IFERROR(__xludf.DUMMYFUNCTION("""COMPUTED_VALUE"""),"Marcelo Yépez")</f>
        <v>Marcelo Yépez</v>
      </c>
      <c r="C102" s="15" t="str">
        <f>IFERROR(__xludf.DUMMYFUNCTION("""COMPUTED_VALUE"""),"FilmPro®")</f>
        <v>FilmPro®</v>
      </c>
      <c r="D102" s="15" t="str">
        <f>IFERROR(__xludf.DUMMYFUNCTION("""COMPUTED_VALUE"""),"PENDIENTE")</f>
        <v>PENDIENTE</v>
      </c>
      <c r="E102" s="15">
        <f>IFERROR(__xludf.DUMMYFUNCTION("""COMPUTED_VALUE"""),4514094.0)</f>
        <v>4514094</v>
      </c>
      <c r="F102" s="15" t="s">
        <v>3489</v>
      </c>
      <c r="G102" s="60"/>
      <c r="H102" s="60"/>
      <c r="I102" s="60"/>
      <c r="J102" s="60"/>
      <c r="K102" s="60"/>
      <c r="L102" s="60"/>
      <c r="M102" s="60"/>
      <c r="N102" s="60"/>
      <c r="O102" s="60"/>
      <c r="P102" s="60"/>
      <c r="Q102" s="60"/>
      <c r="R102" s="60"/>
      <c r="S102" s="60"/>
      <c r="T102" s="60"/>
      <c r="U102" s="60"/>
      <c r="V102" s="60"/>
      <c r="W102" s="60"/>
      <c r="X102" s="60"/>
    </row>
    <row r="103">
      <c r="A103" s="62">
        <f t="array" ref="A103">IFERROR(
INDEX(FEBRERO!B:B, MATCH(E103, FEBRERO!T:T, 0)),
IFERROR(
INDEX(MARZO!B:B, MATCH(E103, MARZO!T:T, 0)),
""
)
)</f>
        <v>46068</v>
      </c>
      <c r="B103" s="15" t="str">
        <f>IFERROR(__xludf.DUMMYFUNCTION("""COMPUTED_VALUE"""),"Tamy Chimbo")</f>
        <v>Tamy Chimbo</v>
      </c>
      <c r="C103" s="15" t="str">
        <f>IFERROR(__xludf.DUMMYFUNCTION("""COMPUTED_VALUE"""),"FilmPro®")</f>
        <v>FilmPro®</v>
      </c>
      <c r="D103" s="15" t="str">
        <f>IFERROR(__xludf.DUMMYFUNCTION("""COMPUTED_VALUE"""),"PENDIENTE")</f>
        <v>PENDIENTE</v>
      </c>
      <c r="E103" s="15">
        <f>IFERROR(__xludf.DUMMYFUNCTION("""COMPUTED_VALUE"""),4517775.0)</f>
        <v>4517775</v>
      </c>
      <c r="F103" s="15" t="s">
        <v>3490</v>
      </c>
      <c r="G103" s="60"/>
      <c r="H103" s="60"/>
      <c r="I103" s="60"/>
      <c r="J103" s="60"/>
      <c r="K103" s="60"/>
      <c r="L103" s="60"/>
      <c r="M103" s="60"/>
      <c r="N103" s="60"/>
      <c r="O103" s="60"/>
      <c r="P103" s="60"/>
      <c r="Q103" s="60"/>
      <c r="R103" s="60"/>
      <c r="S103" s="60"/>
      <c r="T103" s="60"/>
      <c r="U103" s="60"/>
      <c r="V103" s="60"/>
      <c r="W103" s="60"/>
      <c r="X103" s="60"/>
    </row>
    <row r="104">
      <c r="A104" s="62">
        <f t="array" ref="A104">IFERROR(
INDEX(FEBRERO!B:B, MATCH(E104, FEBRERO!T:T, 0)),
IFERROR(
INDEX(MARZO!B:B, MATCH(E104, MARZO!T:T, 0)),
""
)
)</f>
        <v>46069</v>
      </c>
      <c r="B104" s="15" t="str">
        <f>IFERROR(__xludf.DUMMYFUNCTION("""COMPUTED_VALUE"""),"Jefferson Valverde")</f>
        <v>Jefferson Valverde</v>
      </c>
      <c r="C104" s="15" t="str">
        <f>IFERROR(__xludf.DUMMYFUNCTION("""COMPUTED_VALUE"""),"FilmPro®")</f>
        <v>FilmPro®</v>
      </c>
      <c r="D104" s="15" t="str">
        <f>IFERROR(__xludf.DUMMYFUNCTION("""COMPUTED_VALUE"""),"PENDIENTE")</f>
        <v>PENDIENTE</v>
      </c>
      <c r="E104" s="15">
        <f>IFERROR(__xludf.DUMMYFUNCTION("""COMPUTED_VALUE"""),4520774.0)</f>
        <v>4520774</v>
      </c>
      <c r="F104" s="15" t="s">
        <v>3491</v>
      </c>
      <c r="G104" s="60"/>
      <c r="H104" s="60"/>
      <c r="I104" s="60"/>
      <c r="J104" s="60"/>
      <c r="K104" s="60"/>
      <c r="L104" s="60"/>
      <c r="M104" s="60"/>
      <c r="N104" s="60"/>
      <c r="O104" s="60"/>
      <c r="P104" s="60"/>
      <c r="Q104" s="60"/>
      <c r="R104" s="60"/>
      <c r="S104" s="60"/>
      <c r="T104" s="60"/>
      <c r="U104" s="60"/>
      <c r="V104" s="60"/>
      <c r="W104" s="60"/>
      <c r="X104" s="60"/>
    </row>
    <row r="105">
      <c r="A105" s="62">
        <f t="array" ref="A105">IFERROR(
INDEX(FEBRERO!B:B, MATCH(E105, FEBRERO!T:T, 0)),
IFERROR(
INDEX(MARZO!B:B, MATCH(E105, MARZO!T:T, 0)),
""
)
)</f>
        <v>46069</v>
      </c>
      <c r="B105" s="15" t="str">
        <f>IFERROR(__xludf.DUMMYFUNCTION("""COMPUTED_VALUE"""),"roberto zea")</f>
        <v>roberto zea</v>
      </c>
      <c r="C105" s="15" t="str">
        <f>IFERROR(__xludf.DUMMYFUNCTION("""COMPUTED_VALUE"""),"FilmPro®")</f>
        <v>FilmPro®</v>
      </c>
      <c r="D105" s="15" t="str">
        <f>IFERROR(__xludf.DUMMYFUNCTION("""COMPUTED_VALUE"""),"PENDIENTE")</f>
        <v>PENDIENTE</v>
      </c>
      <c r="E105" s="15">
        <f>IFERROR(__xludf.DUMMYFUNCTION("""COMPUTED_VALUE"""),4521505.0)</f>
        <v>4521505</v>
      </c>
      <c r="F105" s="15" t="s">
        <v>3492</v>
      </c>
      <c r="G105" s="60"/>
      <c r="H105" s="60"/>
      <c r="I105" s="60"/>
      <c r="J105" s="60"/>
      <c r="K105" s="60"/>
      <c r="L105" s="60"/>
      <c r="M105" s="60"/>
      <c r="N105" s="60"/>
      <c r="O105" s="60"/>
      <c r="P105" s="60"/>
      <c r="Q105" s="60"/>
      <c r="R105" s="60"/>
      <c r="S105" s="60"/>
      <c r="T105" s="60"/>
      <c r="U105" s="60"/>
      <c r="V105" s="60"/>
      <c r="W105" s="60"/>
      <c r="X105" s="60"/>
    </row>
    <row r="106">
      <c r="A106" s="62">
        <f t="array" ref="A106">IFERROR(
INDEX(FEBRERO!B:B, MATCH(E106, FEBRERO!T:T, 0)),
IFERROR(
INDEX(MARZO!B:B, MATCH(E106, MARZO!T:T, 0)),
""
)
)</f>
        <v>46069</v>
      </c>
      <c r="B106" s="15" t="str">
        <f>IFERROR(__xludf.DUMMYFUNCTION("""COMPUTED_VALUE"""),"Jose gomez Gomez")</f>
        <v>Jose gomez Gomez</v>
      </c>
      <c r="C106" s="15" t="str">
        <f>IFERROR(__xludf.DUMMYFUNCTION("""COMPUTED_VALUE"""),"Cuchillo Tazaki™")</f>
        <v>Cuchillo Tazaki™</v>
      </c>
      <c r="D106" s="15" t="str">
        <f>IFERROR(__xludf.DUMMYFUNCTION("""COMPUTED_VALUE"""),"PENDIENTE")</f>
        <v>PENDIENTE</v>
      </c>
      <c r="E106" s="15">
        <f>IFERROR(__xludf.DUMMYFUNCTION("""COMPUTED_VALUE"""),4523633.0)</f>
        <v>4523633</v>
      </c>
      <c r="F106" s="15" t="s">
        <v>3493</v>
      </c>
      <c r="G106" s="60"/>
      <c r="H106" s="60"/>
      <c r="I106" s="60"/>
      <c r="J106" s="60"/>
      <c r="K106" s="60"/>
      <c r="L106" s="60"/>
      <c r="M106" s="60"/>
      <c r="N106" s="60"/>
      <c r="O106" s="60"/>
      <c r="P106" s="60"/>
      <c r="Q106" s="60"/>
      <c r="R106" s="60"/>
      <c r="S106" s="60"/>
      <c r="T106" s="60"/>
      <c r="U106" s="60"/>
      <c r="V106" s="60"/>
      <c r="W106" s="60"/>
      <c r="X106" s="60"/>
    </row>
    <row r="107">
      <c r="A107" s="62">
        <f t="array" ref="A107">IFERROR(
INDEX(FEBRERO!B:B, MATCH(E107, FEBRERO!T:T, 0)),
IFERROR(
INDEX(MARZO!B:B, MATCH(E107, MARZO!T:T, 0)),
""
)
)</f>
        <v>46069</v>
      </c>
      <c r="B107" s="15" t="str">
        <f>IFERROR(__xludf.DUMMYFUNCTION("""COMPUTED_VALUE"""),"Cristian León")</f>
        <v>Cristian León</v>
      </c>
      <c r="C107" s="15" t="str">
        <f>IFERROR(__xludf.DUMMYFUNCTION("""COMPUTED_VALUE"""),"FilmPro®")</f>
        <v>FilmPro®</v>
      </c>
      <c r="D107" s="15" t="str">
        <f>IFERROR(__xludf.DUMMYFUNCTION("""COMPUTED_VALUE"""),"PENDIENTE")</f>
        <v>PENDIENTE</v>
      </c>
      <c r="E107" s="15">
        <f>IFERROR(__xludf.DUMMYFUNCTION("""COMPUTED_VALUE"""),4524035.0)</f>
        <v>4524035</v>
      </c>
      <c r="F107" s="15" t="s">
        <v>3494</v>
      </c>
      <c r="G107" s="60"/>
      <c r="H107" s="60"/>
      <c r="I107" s="60"/>
      <c r="J107" s="60"/>
      <c r="K107" s="60"/>
      <c r="L107" s="60"/>
      <c r="M107" s="60"/>
      <c r="N107" s="60"/>
      <c r="O107" s="60"/>
      <c r="P107" s="60"/>
      <c r="Q107" s="60"/>
      <c r="R107" s="60"/>
      <c r="S107" s="60"/>
      <c r="T107" s="60"/>
      <c r="U107" s="60"/>
      <c r="V107" s="60"/>
      <c r="W107" s="60"/>
      <c r="X107" s="60"/>
    </row>
    <row r="108">
      <c r="A108" s="62">
        <f t="array" ref="A108">IFERROR(
INDEX(FEBRERO!B:B, MATCH(E108, FEBRERO!T:T, 0)),
IFERROR(
INDEX(MARZO!B:B, MATCH(E108, MARZO!T:T, 0)),
""
)
)</f>
        <v>46069</v>
      </c>
      <c r="B108" s="15" t="str">
        <f>IFERROR(__xludf.DUMMYFUNCTION("""COMPUTED_VALUE"""),"Edison Cobos")</f>
        <v>Edison Cobos</v>
      </c>
      <c r="C108" s="15" t="str">
        <f>IFERROR(__xludf.DUMMYFUNCTION("""COMPUTED_VALUE"""),"Cuchillo Tazaki™")</f>
        <v>Cuchillo Tazaki™</v>
      </c>
      <c r="D108" s="15" t="str">
        <f>IFERROR(__xludf.DUMMYFUNCTION("""COMPUTED_VALUE"""),"PENDIENTE")</f>
        <v>PENDIENTE</v>
      </c>
      <c r="E108" s="15">
        <f>IFERROR(__xludf.DUMMYFUNCTION("""COMPUTED_VALUE"""),4524258.0)</f>
        <v>4524258</v>
      </c>
      <c r="F108" s="15" t="s">
        <v>3495</v>
      </c>
      <c r="G108" s="60"/>
      <c r="H108" s="60"/>
      <c r="I108" s="60"/>
      <c r="J108" s="60"/>
      <c r="K108" s="60"/>
      <c r="L108" s="60"/>
      <c r="M108" s="60"/>
      <c r="N108" s="60"/>
      <c r="O108" s="60"/>
      <c r="P108" s="60"/>
      <c r="Q108" s="60"/>
      <c r="R108" s="60"/>
      <c r="S108" s="60"/>
      <c r="T108" s="60"/>
      <c r="U108" s="60"/>
      <c r="V108" s="60"/>
      <c r="W108" s="60"/>
      <c r="X108" s="60"/>
    </row>
    <row r="109">
      <c r="A109" s="62">
        <f t="array" ref="A109">IFERROR(
INDEX(FEBRERO!B:B, MATCH(E109, FEBRERO!T:T, 0)),
IFERROR(
INDEX(MARZO!B:B, MATCH(E109, MARZO!T:T, 0)),
""
)
)</f>
        <v>46069</v>
      </c>
      <c r="B109" s="15" t="str">
        <f>IFERROR(__xludf.DUMMYFUNCTION("""COMPUTED_VALUE"""),"Lorenzo Salomon Trejo Macias")</f>
        <v>Lorenzo Salomon Trejo Macias</v>
      </c>
      <c r="C109" s="15" t="str">
        <f>IFERROR(__xludf.DUMMYFUNCTION("""COMPUTED_VALUE"""),"FilmPro®")</f>
        <v>FilmPro®</v>
      </c>
      <c r="D109" s="15" t="str">
        <f>IFERROR(__xludf.DUMMYFUNCTION("""COMPUTED_VALUE"""),"PENDIENTE")</f>
        <v>PENDIENTE</v>
      </c>
      <c r="E109" s="15">
        <f>IFERROR(__xludf.DUMMYFUNCTION("""COMPUTED_VALUE"""),4525209.0)</f>
        <v>4525209</v>
      </c>
      <c r="F109" s="15" t="s">
        <v>3496</v>
      </c>
      <c r="G109" s="60"/>
      <c r="H109" s="60"/>
      <c r="I109" s="60"/>
      <c r="J109" s="60"/>
      <c r="K109" s="60"/>
      <c r="L109" s="60"/>
      <c r="M109" s="60"/>
      <c r="N109" s="60"/>
      <c r="O109" s="60"/>
      <c r="P109" s="60"/>
      <c r="Q109" s="60"/>
      <c r="R109" s="60"/>
      <c r="S109" s="60"/>
      <c r="T109" s="60"/>
      <c r="U109" s="60"/>
      <c r="V109" s="60"/>
      <c r="W109" s="60"/>
      <c r="X109" s="60"/>
    </row>
    <row r="110">
      <c r="A110" s="62">
        <f t="array" ref="A110">IFERROR(
INDEX(FEBRERO!B:B, MATCH(E110, FEBRERO!T:T, 0)),
IFERROR(
INDEX(MARZO!B:B, MATCH(E110, MARZO!T:T, 0)),
""
)
)</f>
        <v>46069</v>
      </c>
      <c r="B110" s="15" t="str">
        <f>IFERROR(__xludf.DUMMYFUNCTION("""COMPUTED_VALUE"""),"José Luis Navarrete")</f>
        <v>José Luis Navarrete</v>
      </c>
      <c r="C110" s="15" t="str">
        <f>IFERROR(__xludf.DUMMYFUNCTION("""COMPUTED_VALUE"""),"FilmPro®")</f>
        <v>FilmPro®</v>
      </c>
      <c r="D110" s="15" t="str">
        <f>IFERROR(__xludf.DUMMYFUNCTION("""COMPUTED_VALUE"""),"PENDIENTE")</f>
        <v>PENDIENTE</v>
      </c>
      <c r="E110" s="15">
        <f>IFERROR(__xludf.DUMMYFUNCTION("""COMPUTED_VALUE"""),4525546.0)</f>
        <v>4525546</v>
      </c>
      <c r="F110" s="15" t="s">
        <v>3497</v>
      </c>
      <c r="G110" s="60"/>
      <c r="H110" s="60"/>
      <c r="I110" s="60"/>
      <c r="J110" s="60"/>
      <c r="K110" s="60"/>
      <c r="L110" s="60"/>
      <c r="M110" s="60"/>
      <c r="N110" s="60"/>
      <c r="O110" s="60"/>
      <c r="P110" s="60"/>
      <c r="Q110" s="60"/>
      <c r="R110" s="60"/>
      <c r="S110" s="60"/>
      <c r="T110" s="60"/>
      <c r="U110" s="60"/>
      <c r="V110" s="60"/>
      <c r="W110" s="60"/>
      <c r="X110" s="60"/>
    </row>
    <row r="111">
      <c r="A111" s="62">
        <f t="array" ref="A111">IFERROR(
INDEX(FEBRERO!B:B, MATCH(E111, FEBRERO!T:T, 0)),
IFERROR(
INDEX(MARZO!B:B, MATCH(E111, MARZO!T:T, 0)),
""
)
)</f>
        <v>46070</v>
      </c>
      <c r="B111" s="15" t="str">
        <f>IFERROR(__xludf.DUMMYFUNCTION("""COMPUTED_VALUE"""),"Ricardo Morocho")</f>
        <v>Ricardo Morocho</v>
      </c>
      <c r="C111" s="15" t="str">
        <f>IFERROR(__xludf.DUMMYFUNCTION("""COMPUTED_VALUE"""),"FilmPro®")</f>
        <v>FilmPro®</v>
      </c>
      <c r="D111" s="15" t="str">
        <f>IFERROR(__xludf.DUMMYFUNCTION("""COMPUTED_VALUE"""),"PENDIENTE")</f>
        <v>PENDIENTE</v>
      </c>
      <c r="E111" s="15">
        <f>IFERROR(__xludf.DUMMYFUNCTION("""COMPUTED_VALUE"""),4534603.0)</f>
        <v>4534603</v>
      </c>
      <c r="F111" s="15" t="s">
        <v>3498</v>
      </c>
      <c r="G111" s="60"/>
      <c r="H111" s="60"/>
      <c r="I111" s="60"/>
      <c r="J111" s="60"/>
      <c r="K111" s="60"/>
      <c r="L111" s="60"/>
      <c r="M111" s="60"/>
      <c r="N111" s="60"/>
      <c r="O111" s="60"/>
      <c r="P111" s="60"/>
      <c r="Q111" s="60"/>
      <c r="R111" s="60"/>
      <c r="S111" s="60"/>
      <c r="T111" s="60"/>
      <c r="U111" s="60"/>
      <c r="V111" s="60"/>
      <c r="W111" s="60"/>
      <c r="X111" s="60"/>
    </row>
    <row r="112">
      <c r="A112" s="62">
        <f t="array" ref="A112">IFERROR(
INDEX(FEBRERO!B:B, MATCH(E112, FEBRERO!T:T, 0)),
IFERROR(
INDEX(MARZO!B:B, MATCH(E112, MARZO!T:T, 0)),
""
)
)</f>
        <v>46072</v>
      </c>
      <c r="B112" s="15" t="str">
        <f>IFERROR(__xludf.DUMMYFUNCTION("""COMPUTED_VALUE"""),"José Dumes")</f>
        <v>José Dumes</v>
      </c>
      <c r="C112" s="15" t="str">
        <f>IFERROR(__xludf.DUMMYFUNCTION("""COMPUTED_VALUE"""),"FilmPro®")</f>
        <v>FilmPro®</v>
      </c>
      <c r="D112" s="15" t="str">
        <f>IFERROR(__xludf.DUMMYFUNCTION("""COMPUTED_VALUE"""),"PENDIENTE")</f>
        <v>PENDIENTE</v>
      </c>
      <c r="E112" s="15">
        <f>IFERROR(__xludf.DUMMYFUNCTION("""COMPUTED_VALUE"""),4552679.0)</f>
        <v>4552679</v>
      </c>
      <c r="F112" s="15" t="s">
        <v>3499</v>
      </c>
      <c r="G112" s="60"/>
      <c r="H112" s="60"/>
      <c r="I112" s="60"/>
      <c r="J112" s="60"/>
      <c r="K112" s="60"/>
      <c r="L112" s="60"/>
      <c r="M112" s="60"/>
      <c r="N112" s="60"/>
      <c r="O112" s="60"/>
      <c r="P112" s="60"/>
      <c r="Q112" s="60"/>
      <c r="R112" s="60"/>
      <c r="S112" s="60"/>
      <c r="T112" s="60"/>
      <c r="U112" s="60"/>
      <c r="V112" s="60"/>
      <c r="W112" s="60"/>
      <c r="X112" s="60"/>
    </row>
    <row r="113">
      <c r="A113" s="62">
        <f t="array" ref="A113">IFERROR(
INDEX(FEBRERO!B:B, MATCH(E113, FEBRERO!T:T, 0)),
IFERROR(
INDEX(MARZO!B:B, MATCH(E113, MARZO!T:T, 0)),
""
)
)</f>
        <v>46072</v>
      </c>
      <c r="B113" s="15" t="str">
        <f>IFERROR(__xludf.DUMMYFUNCTION("""COMPUTED_VALUE"""),"Jimmy Javier Rivadeneira Mera")</f>
        <v>Jimmy Javier Rivadeneira Mera</v>
      </c>
      <c r="C113" s="15" t="str">
        <f>IFERROR(__xludf.DUMMYFUNCTION("""COMPUTED_VALUE"""),"FilmPro®")</f>
        <v>FilmPro®</v>
      </c>
      <c r="D113" s="15" t="str">
        <f>IFERROR(__xludf.DUMMYFUNCTION("""COMPUTED_VALUE"""),"PENDIENTE")</f>
        <v>PENDIENTE</v>
      </c>
      <c r="E113" s="15">
        <f>IFERROR(__xludf.DUMMYFUNCTION("""COMPUTED_VALUE"""),4565240.0)</f>
        <v>4565240</v>
      </c>
      <c r="F113" s="15" t="s">
        <v>3500</v>
      </c>
      <c r="G113" s="60"/>
      <c r="H113" s="60"/>
      <c r="I113" s="60"/>
      <c r="J113" s="60"/>
      <c r="K113" s="60"/>
      <c r="L113" s="60"/>
      <c r="M113" s="60"/>
      <c r="N113" s="60"/>
      <c r="O113" s="60"/>
      <c r="P113" s="60"/>
      <c r="Q113" s="60"/>
      <c r="R113" s="60"/>
      <c r="S113" s="60"/>
      <c r="T113" s="60"/>
      <c r="U113" s="60"/>
      <c r="V113" s="60"/>
      <c r="W113" s="60"/>
      <c r="X113" s="60"/>
    </row>
    <row r="114">
      <c r="A114" s="62">
        <f t="array" ref="A114">IFERROR(
INDEX(FEBRERO!B:B, MATCH(E114, FEBRERO!T:T, 0)),
IFERROR(
INDEX(MARZO!B:B, MATCH(E114, MARZO!T:T, 0)),
""
)
)</f>
        <v>46074</v>
      </c>
      <c r="B114" s="15" t="str">
        <f>IFERROR(__xludf.DUMMYFUNCTION("""COMPUTED_VALUE"""),"Cinthya Rosero")</f>
        <v>Cinthya Rosero</v>
      </c>
      <c r="C114" s="15" t="str">
        <f>IFERROR(__xludf.DUMMYFUNCTION("""COMPUTED_VALUE"""),"FilmPro®")</f>
        <v>FilmPro®</v>
      </c>
      <c r="D114" s="15" t="str">
        <f>IFERROR(__xludf.DUMMYFUNCTION("""COMPUTED_VALUE"""),"PENDIENTE")</f>
        <v>PENDIENTE</v>
      </c>
      <c r="E114" s="15">
        <f>IFERROR(__xludf.DUMMYFUNCTION("""COMPUTED_VALUE"""),4575501.0)</f>
        <v>4575501</v>
      </c>
      <c r="F114" s="15" t="s">
        <v>3501</v>
      </c>
      <c r="G114" s="60"/>
      <c r="H114" s="60"/>
      <c r="I114" s="60"/>
      <c r="J114" s="60"/>
      <c r="K114" s="60"/>
      <c r="L114" s="60"/>
      <c r="M114" s="60"/>
      <c r="N114" s="60"/>
      <c r="O114" s="60"/>
      <c r="P114" s="60"/>
      <c r="Q114" s="60"/>
      <c r="R114" s="60"/>
      <c r="S114" s="60"/>
      <c r="T114" s="60"/>
      <c r="U114" s="60"/>
      <c r="V114" s="60"/>
      <c r="W114" s="60"/>
      <c r="X114" s="60"/>
    </row>
    <row r="115">
      <c r="A115" s="62">
        <f t="array" ref="A115">IFERROR(
INDEX(FEBRERO!B:B, MATCH(E115, FEBRERO!T:T, 0)),
IFERROR(
INDEX(MARZO!B:B, MATCH(E115, MARZO!T:T, 0)),
""
)
)</f>
        <v>46074</v>
      </c>
      <c r="B115" s="15" t="str">
        <f>IFERROR(__xludf.DUMMYFUNCTION("""COMPUTED_VALUE"""),"Lina Espin Espin")</f>
        <v>Lina Espin Espin</v>
      </c>
      <c r="C115" s="15" t="str">
        <f>IFERROR(__xludf.DUMMYFUNCTION("""COMPUTED_VALUE"""),"Cuchillo Tazaki™")</f>
        <v>Cuchillo Tazaki™</v>
      </c>
      <c r="D115" s="15" t="str">
        <f>IFERROR(__xludf.DUMMYFUNCTION("""COMPUTED_VALUE"""),"PENDIENTE")</f>
        <v>PENDIENTE</v>
      </c>
      <c r="E115" s="15">
        <f>IFERROR(__xludf.DUMMYFUNCTION("""COMPUTED_VALUE"""),4577187.0)</f>
        <v>4577187</v>
      </c>
      <c r="F115" s="15" t="s">
        <v>3502</v>
      </c>
      <c r="G115" s="60"/>
      <c r="H115" s="60"/>
      <c r="I115" s="60"/>
      <c r="J115" s="60"/>
      <c r="K115" s="60"/>
      <c r="L115" s="60"/>
      <c r="M115" s="60"/>
      <c r="N115" s="60"/>
      <c r="O115" s="60"/>
      <c r="P115" s="60"/>
      <c r="Q115" s="60"/>
      <c r="R115" s="60"/>
      <c r="S115" s="60"/>
      <c r="T115" s="60"/>
      <c r="U115" s="60"/>
      <c r="V115" s="60"/>
      <c r="W115" s="60"/>
      <c r="X115" s="60"/>
    </row>
    <row r="116">
      <c r="A116" s="62">
        <f t="array" ref="A116">IFERROR(
INDEX(FEBRERO!B:B, MATCH(E116, FEBRERO!T:T, 0)),
IFERROR(
INDEX(MARZO!B:B, MATCH(E116, MARZO!T:T, 0)),
""
)
)</f>
        <v>46074</v>
      </c>
      <c r="B116" s="15" t="str">
        <f>IFERROR(__xludf.DUMMYFUNCTION("""COMPUTED_VALUE"""),"Jorge Benites")</f>
        <v>Jorge Benites</v>
      </c>
      <c r="C116" s="15" t="str">
        <f>IFERROR(__xludf.DUMMYFUNCTION("""COMPUTED_VALUE"""),"FilmPro®")</f>
        <v>FilmPro®</v>
      </c>
      <c r="D116" s="15" t="str">
        <f>IFERROR(__xludf.DUMMYFUNCTION("""COMPUTED_VALUE"""),"PENDIENTE")</f>
        <v>PENDIENTE</v>
      </c>
      <c r="E116" s="15">
        <f>IFERROR(__xludf.DUMMYFUNCTION("""COMPUTED_VALUE"""),4586511.0)</f>
        <v>4586511</v>
      </c>
      <c r="F116" s="15" t="s">
        <v>3503</v>
      </c>
      <c r="G116" s="60"/>
      <c r="H116" s="60"/>
      <c r="I116" s="60"/>
      <c r="J116" s="60"/>
      <c r="K116" s="60"/>
      <c r="L116" s="60"/>
      <c r="M116" s="60"/>
      <c r="N116" s="60"/>
      <c r="O116" s="60"/>
      <c r="P116" s="60"/>
      <c r="Q116" s="60"/>
      <c r="R116" s="60"/>
      <c r="S116" s="60"/>
      <c r="T116" s="60"/>
      <c r="U116" s="60"/>
      <c r="V116" s="60"/>
      <c r="W116" s="60"/>
      <c r="X116" s="60"/>
    </row>
    <row r="117">
      <c r="A117" s="62">
        <f t="array" ref="A117">IFERROR(
INDEX(FEBRERO!B:B, MATCH(E117, FEBRERO!T:T, 0)),
IFERROR(
INDEX(MARZO!B:B, MATCH(E117, MARZO!T:T, 0)),
""
)
)</f>
        <v>46074</v>
      </c>
      <c r="B117" s="15" t="str">
        <f>IFERROR(__xludf.DUMMYFUNCTION("""COMPUTED_VALUE"""),"Mayra Castillo")</f>
        <v>Mayra Castillo</v>
      </c>
      <c r="C117" s="15" t="str">
        <f>IFERROR(__xludf.DUMMYFUNCTION("""COMPUTED_VALUE"""),"FilmPro®")</f>
        <v>FilmPro®</v>
      </c>
      <c r="D117" s="15" t="str">
        <f>IFERROR(__xludf.DUMMYFUNCTION("""COMPUTED_VALUE"""),"PENDIENTE")</f>
        <v>PENDIENTE</v>
      </c>
      <c r="E117" s="15">
        <f>IFERROR(__xludf.DUMMYFUNCTION("""COMPUTED_VALUE"""),4586545.0)</f>
        <v>4586545</v>
      </c>
      <c r="F117" s="15" t="s">
        <v>3504</v>
      </c>
      <c r="G117" s="60"/>
      <c r="H117" s="60"/>
      <c r="I117" s="60"/>
      <c r="J117" s="60"/>
      <c r="K117" s="60"/>
      <c r="L117" s="60"/>
      <c r="M117" s="60"/>
      <c r="N117" s="60"/>
      <c r="O117" s="60"/>
      <c r="P117" s="60"/>
      <c r="Q117" s="60"/>
      <c r="R117" s="60"/>
      <c r="S117" s="60"/>
      <c r="T117" s="60"/>
      <c r="U117" s="60"/>
      <c r="V117" s="60"/>
      <c r="W117" s="60"/>
      <c r="X117" s="60"/>
    </row>
    <row r="118">
      <c r="A118" s="62">
        <f t="array" ref="A118">IFERROR(
INDEX(FEBRERO!B:B, MATCH(E118, FEBRERO!T:T, 0)),
IFERROR(
INDEX(MARZO!B:B, MATCH(E118, MARZO!T:T, 0)),
""
)
)</f>
        <v>46074</v>
      </c>
      <c r="B118" s="15" t="str">
        <f>IFERROR(__xludf.DUMMYFUNCTION("""COMPUTED_VALUE"""),"Jose Vicente Guaraca José guaraca")</f>
        <v>Jose Vicente Guaraca José guaraca</v>
      </c>
      <c r="C118" s="15" t="str">
        <f>IFERROR(__xludf.DUMMYFUNCTION("""COMPUTED_VALUE"""),"Cuchillo Tazaki™")</f>
        <v>Cuchillo Tazaki™</v>
      </c>
      <c r="D118" s="15" t="str">
        <f>IFERROR(__xludf.DUMMYFUNCTION("""COMPUTED_VALUE"""),"PENDIENTE")</f>
        <v>PENDIENTE</v>
      </c>
      <c r="E118" s="15">
        <f>IFERROR(__xludf.DUMMYFUNCTION("""COMPUTED_VALUE"""),4578187.0)</f>
        <v>4578187</v>
      </c>
      <c r="F118" s="15" t="s">
        <v>3505</v>
      </c>
      <c r="G118" s="60"/>
      <c r="H118" s="60"/>
      <c r="I118" s="60"/>
      <c r="J118" s="60"/>
      <c r="K118" s="60"/>
      <c r="L118" s="60"/>
      <c r="M118" s="60"/>
      <c r="N118" s="60"/>
      <c r="O118" s="60"/>
      <c r="P118" s="60"/>
      <c r="Q118" s="60"/>
      <c r="R118" s="60"/>
      <c r="S118" s="60"/>
      <c r="T118" s="60"/>
      <c r="U118" s="60"/>
      <c r="V118" s="60"/>
      <c r="W118" s="60"/>
      <c r="X118" s="60"/>
    </row>
    <row r="119">
      <c r="A119" s="62">
        <f t="array" ref="A119">IFERROR(
INDEX(FEBRERO!B:B, MATCH(E119, FEBRERO!T:T, 0)),
IFERROR(
INDEX(MARZO!B:B, MATCH(E119, MARZO!T:T, 0)),
""
)
)</f>
        <v>46074</v>
      </c>
      <c r="B119" s="15" t="str">
        <f>IFERROR(__xludf.DUMMYFUNCTION("""COMPUTED_VALUE"""),"Freddy Aroca Zurita")</f>
        <v>Freddy Aroca Zurita</v>
      </c>
      <c r="C119" s="15" t="str">
        <f>IFERROR(__xludf.DUMMYFUNCTION("""COMPUTED_VALUE"""),"FilmPro®")</f>
        <v>FilmPro®</v>
      </c>
      <c r="D119" s="15" t="str">
        <f>IFERROR(__xludf.DUMMYFUNCTION("""COMPUTED_VALUE"""),"PENDIENTE")</f>
        <v>PENDIENTE</v>
      </c>
      <c r="E119" s="15">
        <f>IFERROR(__xludf.DUMMYFUNCTION("""COMPUTED_VALUE"""),4586598.0)</f>
        <v>4586598</v>
      </c>
      <c r="F119" s="15" t="s">
        <v>3506</v>
      </c>
      <c r="G119" s="60"/>
      <c r="H119" s="60"/>
      <c r="I119" s="60"/>
      <c r="J119" s="60"/>
      <c r="K119" s="60"/>
      <c r="L119" s="60"/>
      <c r="M119" s="60"/>
      <c r="N119" s="60"/>
      <c r="O119" s="60"/>
      <c r="P119" s="60"/>
      <c r="Q119" s="60"/>
      <c r="R119" s="60"/>
      <c r="S119" s="60"/>
      <c r="T119" s="60"/>
      <c r="U119" s="60"/>
      <c r="V119" s="60"/>
      <c r="W119" s="60"/>
      <c r="X119" s="60"/>
    </row>
    <row r="120">
      <c r="A120" s="62">
        <f t="array" ref="A120">IFERROR(
INDEX(FEBRERO!B:B, MATCH(E120, FEBRERO!T:T, 0)),
IFERROR(
INDEX(MARZO!B:B, MATCH(E120, MARZO!T:T, 0)),
""
)
)</f>
        <v>46075</v>
      </c>
      <c r="B120" s="15" t="str">
        <f>IFERROR(__xludf.DUMMYFUNCTION("""COMPUTED_VALUE"""),"Juan Pereira")</f>
        <v>Juan Pereira</v>
      </c>
      <c r="C120" s="15" t="str">
        <f>IFERROR(__xludf.DUMMYFUNCTION("""COMPUTED_VALUE"""),"Cuchillo Tazaki™")</f>
        <v>Cuchillo Tazaki™</v>
      </c>
      <c r="D120" s="15" t="str">
        <f>IFERROR(__xludf.DUMMYFUNCTION("""COMPUTED_VALUE"""),"PENDIENTE")</f>
        <v>PENDIENTE</v>
      </c>
      <c r="E120" s="15">
        <f>IFERROR(__xludf.DUMMYFUNCTION("""COMPUTED_VALUE"""),4583263.0)</f>
        <v>4583263</v>
      </c>
      <c r="F120" s="15" t="s">
        <v>3507</v>
      </c>
      <c r="G120" s="60"/>
      <c r="H120" s="60"/>
      <c r="I120" s="60"/>
      <c r="J120" s="60"/>
      <c r="K120" s="60"/>
      <c r="L120" s="60"/>
      <c r="M120" s="60"/>
      <c r="N120" s="60"/>
      <c r="O120" s="60"/>
      <c r="P120" s="60"/>
      <c r="Q120" s="60"/>
      <c r="R120" s="60"/>
      <c r="S120" s="60"/>
      <c r="T120" s="60"/>
      <c r="U120" s="60"/>
      <c r="V120" s="60"/>
      <c r="W120" s="60"/>
      <c r="X120" s="60"/>
    </row>
    <row r="121">
      <c r="A121" s="62">
        <f t="array" ref="A121">IFERROR(
INDEX(FEBRERO!B:B, MATCH(E121, FEBRERO!T:T, 0)),
IFERROR(
INDEX(MARZO!B:B, MATCH(E121, MARZO!T:T, 0)),
""
)
)</f>
        <v>46078</v>
      </c>
      <c r="B121" s="15" t="str">
        <f>IFERROR(__xludf.DUMMYFUNCTION("""COMPUTED_VALUE"""),"Carlos Alberto Ponce Jimènez")</f>
        <v>Carlos Alberto Ponce Jimènez</v>
      </c>
      <c r="C121" s="15" t="str">
        <f>IFERROR(__xludf.DUMMYFUNCTION("""COMPUTED_VALUE"""),"Cuchillo Tazaki™")</f>
        <v>Cuchillo Tazaki™</v>
      </c>
      <c r="D121" s="15" t="str">
        <f>IFERROR(__xludf.DUMMYFUNCTION("""COMPUTED_VALUE"""),"PENDIENTE")</f>
        <v>PENDIENTE</v>
      </c>
      <c r="E121" s="15">
        <f>IFERROR(__xludf.DUMMYFUNCTION("""COMPUTED_VALUE"""),4622763.0)</f>
        <v>4622763</v>
      </c>
      <c r="F121" s="15" t="s">
        <v>3508</v>
      </c>
      <c r="G121" s="60"/>
      <c r="H121" s="60"/>
      <c r="I121" s="60"/>
      <c r="J121" s="60"/>
      <c r="K121" s="60"/>
      <c r="L121" s="60"/>
      <c r="M121" s="60"/>
      <c r="N121" s="60"/>
      <c r="O121" s="60"/>
      <c r="P121" s="60"/>
      <c r="Q121" s="60"/>
      <c r="R121" s="60"/>
      <c r="S121" s="60"/>
      <c r="T121" s="60"/>
      <c r="U121" s="60"/>
      <c r="V121" s="60"/>
      <c r="W121" s="60"/>
      <c r="X121" s="60"/>
    </row>
    <row r="122">
      <c r="A122" s="62">
        <f t="array" ref="A122">IFERROR(
INDEX(FEBRERO!B:B, MATCH(E122, FEBRERO!T:T, 0)),
IFERROR(
INDEX(MARZO!B:B, MATCH(E122, MARZO!T:T, 0)),
""
)
)</f>
        <v>46078</v>
      </c>
      <c r="B122" s="15" t="str">
        <f>IFERROR(__xludf.DUMMYFUNCTION("""COMPUTED_VALUE"""),"Luis Felipe Armijos Carpio")</f>
        <v>Luis Felipe Armijos Carpio</v>
      </c>
      <c r="C122" s="15" t="str">
        <f>IFERROR(__xludf.DUMMYFUNCTION("""COMPUTED_VALUE"""),"FilmPro®")</f>
        <v>FilmPro®</v>
      </c>
      <c r="D122" s="15" t="str">
        <f>IFERROR(__xludf.DUMMYFUNCTION("""COMPUTED_VALUE"""),"PENDIENTE")</f>
        <v>PENDIENTE</v>
      </c>
      <c r="E122" s="15">
        <f>IFERROR(__xludf.DUMMYFUNCTION("""COMPUTED_VALUE"""),4625377.0)</f>
        <v>4625377</v>
      </c>
      <c r="F122" s="15" t="s">
        <v>3509</v>
      </c>
      <c r="G122" s="60"/>
      <c r="H122" s="60"/>
      <c r="I122" s="60"/>
      <c r="J122" s="60"/>
      <c r="K122" s="60"/>
      <c r="L122" s="60"/>
      <c r="M122" s="60"/>
      <c r="N122" s="60"/>
      <c r="O122" s="60"/>
      <c r="P122" s="60"/>
      <c r="Q122" s="60"/>
      <c r="R122" s="60"/>
      <c r="S122" s="60"/>
      <c r="T122" s="60"/>
      <c r="U122" s="60"/>
      <c r="V122" s="60"/>
      <c r="W122" s="60"/>
      <c r="X122" s="60"/>
    </row>
    <row r="123">
      <c r="A123" s="62">
        <f t="array" ref="A123">IFERROR(
INDEX(FEBRERO!B:B, MATCH(E123, FEBRERO!T:T, 0)),
IFERROR(
INDEX(MARZO!B:B, MATCH(E123, MARZO!T:T, 0)),
""
)
)</f>
        <v>46078</v>
      </c>
      <c r="B123" s="15" t="str">
        <f>IFERROR(__xludf.DUMMYFUNCTION("""COMPUTED_VALUE"""),"Hipólito Jiménez reyes")</f>
        <v>Hipólito Jiménez reyes</v>
      </c>
      <c r="C123" s="15" t="str">
        <f>IFERROR(__xludf.DUMMYFUNCTION("""COMPUTED_VALUE"""),"Cuchillo Tazaki™")</f>
        <v>Cuchillo Tazaki™</v>
      </c>
      <c r="D123" s="15" t="str">
        <f>IFERROR(__xludf.DUMMYFUNCTION("""COMPUTED_VALUE"""),"PENDIENTE")</f>
        <v>PENDIENTE</v>
      </c>
      <c r="E123" s="15">
        <f>IFERROR(__xludf.DUMMYFUNCTION("""COMPUTED_VALUE"""),4630541.0)</f>
        <v>4630541</v>
      </c>
      <c r="F123" s="15" t="s">
        <v>3510</v>
      </c>
      <c r="G123" s="60"/>
      <c r="H123" s="60"/>
      <c r="I123" s="60"/>
      <c r="J123" s="60"/>
      <c r="K123" s="60"/>
      <c r="L123" s="60"/>
      <c r="M123" s="60"/>
      <c r="N123" s="60"/>
      <c r="O123" s="60"/>
      <c r="P123" s="60"/>
      <c r="Q123" s="60"/>
      <c r="R123" s="60"/>
      <c r="S123" s="60"/>
      <c r="T123" s="60"/>
      <c r="U123" s="60"/>
      <c r="V123" s="60"/>
      <c r="W123" s="60"/>
      <c r="X123" s="60"/>
    </row>
    <row r="124">
      <c r="A124" s="62">
        <f t="array" ref="A124">IFERROR(
INDEX(FEBRERO!B:B, MATCH(E124, FEBRERO!T:T, 0)),
IFERROR(
INDEX(MARZO!B:B, MATCH(E124, MARZO!T:T, 0)),
""
)
)</f>
        <v>46078</v>
      </c>
      <c r="B124" s="15" t="str">
        <f>IFERROR(__xludf.DUMMYFUNCTION("""COMPUTED_VALUE"""),"Ab. Francisco Sandoval")</f>
        <v>Ab. Francisco Sandoval</v>
      </c>
      <c r="C124" s="15" t="str">
        <f>IFERROR(__xludf.DUMMYFUNCTION("""COMPUTED_VALUE"""),"Cuchillo Tazaki™")</f>
        <v>Cuchillo Tazaki™</v>
      </c>
      <c r="D124" s="15" t="str">
        <f>IFERROR(__xludf.DUMMYFUNCTION("""COMPUTED_VALUE"""),"PENDIENTE")</f>
        <v>PENDIENTE</v>
      </c>
      <c r="E124" s="15">
        <f>IFERROR(__xludf.DUMMYFUNCTION("""COMPUTED_VALUE"""),4626307.0)</f>
        <v>4626307</v>
      </c>
      <c r="F124" s="15" t="s">
        <v>3511</v>
      </c>
      <c r="G124" s="60"/>
      <c r="H124" s="60"/>
      <c r="I124" s="60"/>
      <c r="J124" s="60"/>
      <c r="K124" s="60"/>
      <c r="L124" s="60"/>
      <c r="M124" s="60"/>
      <c r="N124" s="60"/>
      <c r="O124" s="60"/>
      <c r="P124" s="60"/>
      <c r="Q124" s="60"/>
      <c r="R124" s="60"/>
      <c r="S124" s="60"/>
      <c r="T124" s="60"/>
      <c r="U124" s="60"/>
      <c r="V124" s="60"/>
      <c r="W124" s="60"/>
      <c r="X124" s="60"/>
    </row>
    <row r="125">
      <c r="A125" s="62">
        <f t="array" ref="A125">IFERROR(
INDEX(FEBRERO!B:B, MATCH(E125, FEBRERO!T:T, 0)),
IFERROR(
INDEX(MARZO!B:B, MATCH(E125, MARZO!T:T, 0)),
""
)
)</f>
        <v>46078</v>
      </c>
      <c r="B125" s="15" t="str">
        <f>IFERROR(__xludf.DUMMYFUNCTION("""COMPUTED_VALUE"""),"Carlos Munoz")</f>
        <v>Carlos Munoz</v>
      </c>
      <c r="C125" s="15" t="str">
        <f>IFERROR(__xludf.DUMMYFUNCTION("""COMPUTED_VALUE"""),"Cuchillo Tazaki™")</f>
        <v>Cuchillo Tazaki™</v>
      </c>
      <c r="D125" s="15" t="str">
        <f>IFERROR(__xludf.DUMMYFUNCTION("""COMPUTED_VALUE"""),"PENDIENTE")</f>
        <v>PENDIENTE</v>
      </c>
      <c r="E125" s="15">
        <f>IFERROR(__xludf.DUMMYFUNCTION("""COMPUTED_VALUE"""),4630802.0)</f>
        <v>4630802</v>
      </c>
      <c r="F125" s="15" t="s">
        <v>3512</v>
      </c>
      <c r="G125" s="60"/>
      <c r="H125" s="60"/>
      <c r="I125" s="60"/>
      <c r="J125" s="60"/>
      <c r="K125" s="60"/>
      <c r="L125" s="60"/>
      <c r="M125" s="60"/>
      <c r="N125" s="60"/>
      <c r="O125" s="60"/>
      <c r="P125" s="60"/>
      <c r="Q125" s="60"/>
      <c r="R125" s="60"/>
      <c r="S125" s="60"/>
      <c r="T125" s="60"/>
      <c r="U125" s="60"/>
      <c r="V125" s="60"/>
      <c r="W125" s="60"/>
      <c r="X125" s="60"/>
    </row>
    <row r="126">
      <c r="A126" s="62">
        <f t="array" ref="A126">IFERROR(
INDEX(FEBRERO!B:B, MATCH(E126, FEBRERO!T:T, 0)),
IFERROR(
INDEX(MARZO!B:B, MATCH(E126, MARZO!T:T, 0)),
""
)
)</f>
        <v>46078</v>
      </c>
      <c r="B126" s="15" t="str">
        <f>IFERROR(__xludf.DUMMYFUNCTION("""COMPUTED_VALUE"""),"Mauricio Almeida")</f>
        <v>Mauricio Almeida</v>
      </c>
      <c r="C126" s="15" t="str">
        <f>IFERROR(__xludf.DUMMYFUNCTION("""COMPUTED_VALUE"""),"Cuchillo Tazaki™")</f>
        <v>Cuchillo Tazaki™</v>
      </c>
      <c r="D126" s="15" t="str">
        <f>IFERROR(__xludf.DUMMYFUNCTION("""COMPUTED_VALUE"""),"PENDIENTE")</f>
        <v>PENDIENTE</v>
      </c>
      <c r="E126" s="15">
        <f>IFERROR(__xludf.DUMMYFUNCTION("""COMPUTED_VALUE"""),4627014.0)</f>
        <v>4627014</v>
      </c>
      <c r="F126" s="15" t="s">
        <v>3513</v>
      </c>
      <c r="G126" s="60"/>
      <c r="H126" s="60"/>
      <c r="I126" s="60"/>
      <c r="J126" s="60"/>
      <c r="K126" s="60"/>
      <c r="L126" s="60"/>
      <c r="M126" s="60"/>
      <c r="N126" s="60"/>
      <c r="O126" s="60"/>
      <c r="P126" s="60"/>
      <c r="Q126" s="60"/>
      <c r="R126" s="60"/>
      <c r="S126" s="60"/>
      <c r="T126" s="60"/>
      <c r="U126" s="60"/>
      <c r="V126" s="60"/>
      <c r="W126" s="60"/>
      <c r="X126" s="60"/>
    </row>
    <row r="127">
      <c r="A127" s="62">
        <f t="array" ref="A127">IFERROR(
INDEX(FEBRERO!B:B, MATCH(E127, FEBRERO!T:T, 0)),
IFERROR(
INDEX(MARZO!B:B, MATCH(E127, MARZO!T:T, 0)),
""
)
)</f>
        <v>46079</v>
      </c>
      <c r="B127" s="15" t="str">
        <f>IFERROR(__xludf.DUMMYFUNCTION("""COMPUTED_VALUE"""),"Patricia Juris")</f>
        <v>Patricia Juris</v>
      </c>
      <c r="C127" s="15" t="str">
        <f>IFERROR(__xludf.DUMMYFUNCTION("""COMPUTED_VALUE"""),"Cuchillo Tazaki™")</f>
        <v>Cuchillo Tazaki™</v>
      </c>
      <c r="D127" s="15" t="str">
        <f>IFERROR(__xludf.DUMMYFUNCTION("""COMPUTED_VALUE"""),"PENDIENTE")</f>
        <v>PENDIENTE</v>
      </c>
      <c r="E127" s="15">
        <f>IFERROR(__xludf.DUMMYFUNCTION("""COMPUTED_VALUE"""),4628062.0)</f>
        <v>4628062</v>
      </c>
      <c r="F127" s="15" t="s">
        <v>3514</v>
      </c>
      <c r="G127" s="60"/>
      <c r="H127" s="60"/>
      <c r="I127" s="60"/>
      <c r="J127" s="60"/>
      <c r="K127" s="60"/>
      <c r="L127" s="60"/>
      <c r="M127" s="60"/>
      <c r="N127" s="60"/>
      <c r="O127" s="60"/>
      <c r="P127" s="60"/>
      <c r="Q127" s="60"/>
      <c r="R127" s="60"/>
      <c r="S127" s="60"/>
      <c r="T127" s="60"/>
      <c r="U127" s="60"/>
      <c r="V127" s="60"/>
      <c r="W127" s="60"/>
      <c r="X127" s="60"/>
    </row>
    <row r="128">
      <c r="A128" s="62">
        <f t="array" ref="A128">IFERROR(
INDEX(FEBRERO!B:B, MATCH(E128, FEBRERO!T:T, 0)),
IFERROR(
INDEX(MARZO!B:B, MATCH(E128, MARZO!T:T, 0)),
""
)
)</f>
        <v>46079</v>
      </c>
      <c r="B128" s="15" t="str">
        <f>IFERROR(__xludf.DUMMYFUNCTION("""COMPUTED_VALUE"""),"Edison Sanmartin Ortega Sanmartin")</f>
        <v>Edison Sanmartin Ortega Sanmartin</v>
      </c>
      <c r="C128" s="15" t="str">
        <f>IFERROR(__xludf.DUMMYFUNCTION("""COMPUTED_VALUE"""),"FilmPro®")</f>
        <v>FilmPro®</v>
      </c>
      <c r="D128" s="15" t="str">
        <f>IFERROR(__xludf.DUMMYFUNCTION("""COMPUTED_VALUE"""),"PENDIENTE")</f>
        <v>PENDIENTE</v>
      </c>
      <c r="E128" s="15">
        <f>IFERROR(__xludf.DUMMYFUNCTION("""COMPUTED_VALUE"""),4630770.0)</f>
        <v>4630770</v>
      </c>
      <c r="F128" s="15" t="s">
        <v>3515</v>
      </c>
      <c r="G128" s="60"/>
      <c r="H128" s="63"/>
      <c r="I128" s="60"/>
      <c r="J128" s="60"/>
      <c r="K128" s="60"/>
      <c r="L128" s="60"/>
      <c r="M128" s="60"/>
      <c r="N128" s="60"/>
      <c r="O128" s="60"/>
      <c r="P128" s="60"/>
      <c r="Q128" s="60"/>
      <c r="R128" s="60"/>
      <c r="S128" s="60"/>
      <c r="T128" s="60"/>
      <c r="U128" s="60"/>
      <c r="V128" s="60"/>
      <c r="W128" s="60"/>
      <c r="X128" s="60"/>
    </row>
    <row r="129">
      <c r="A129" s="62">
        <f t="array" ref="A129">IFERROR(
INDEX(FEBRERO!B:B, MATCH(E129, FEBRERO!T:T, 0)),
IFERROR(
INDEX(MARZO!B:B, MATCH(E129, MARZO!T:T, 0)),
""
)
)</f>
        <v>46079</v>
      </c>
      <c r="B129" s="15" t="str">
        <f>IFERROR(__xludf.DUMMYFUNCTION("""COMPUTED_VALUE"""),"Nelson Darwin León González")</f>
        <v>Nelson Darwin León González</v>
      </c>
      <c r="C129" s="15" t="str">
        <f>IFERROR(__xludf.DUMMYFUNCTION("""COMPUTED_VALUE"""),"Cuchillo Tazaki™")</f>
        <v>Cuchillo Tazaki™</v>
      </c>
      <c r="D129" s="15" t="str">
        <f>IFERROR(__xludf.DUMMYFUNCTION("""COMPUTED_VALUE"""),"PENDIENTE")</f>
        <v>PENDIENTE</v>
      </c>
      <c r="E129" s="15">
        <f>IFERROR(__xludf.DUMMYFUNCTION("""COMPUTED_VALUE"""),4633193.0)</f>
        <v>4633193</v>
      </c>
      <c r="F129" s="15" t="s">
        <v>3516</v>
      </c>
      <c r="G129" s="60"/>
      <c r="H129" s="63"/>
      <c r="I129" s="60"/>
      <c r="J129" s="60"/>
      <c r="K129" s="60"/>
      <c r="L129" s="60"/>
      <c r="M129" s="60"/>
      <c r="N129" s="60"/>
      <c r="O129" s="60"/>
      <c r="P129" s="60"/>
      <c r="Q129" s="60"/>
      <c r="R129" s="60"/>
      <c r="S129" s="60"/>
      <c r="T129" s="60"/>
      <c r="U129" s="60"/>
      <c r="V129" s="60"/>
      <c r="W129" s="60"/>
      <c r="X129" s="60"/>
    </row>
    <row r="130">
      <c r="A130" s="62">
        <f t="array" ref="A130">IFERROR(
INDEX(FEBRERO!B:B, MATCH(E130, FEBRERO!T:T, 0)),
IFERROR(
INDEX(MARZO!B:B, MATCH(E130, MARZO!T:T, 0)),
""
)
)</f>
        <v>46079</v>
      </c>
      <c r="B130" s="15" t="str">
        <f>IFERROR(__xludf.DUMMYFUNCTION("""COMPUTED_VALUE"""),"Arbey Limón Choéz")</f>
        <v>Arbey Limón Choéz</v>
      </c>
      <c r="C130" s="15" t="str">
        <f>IFERROR(__xludf.DUMMYFUNCTION("""COMPUTED_VALUE"""),"Cuchillo Tazaki™")</f>
        <v>Cuchillo Tazaki™</v>
      </c>
      <c r="D130" s="15" t="str">
        <f>IFERROR(__xludf.DUMMYFUNCTION("""COMPUTED_VALUE"""),"PENDIENTE")</f>
        <v>PENDIENTE</v>
      </c>
      <c r="E130" s="15">
        <f>IFERROR(__xludf.DUMMYFUNCTION("""COMPUTED_VALUE"""),4642858.0)</f>
        <v>4642858</v>
      </c>
      <c r="F130" s="15" t="s">
        <v>3517</v>
      </c>
      <c r="G130" s="60"/>
      <c r="H130" s="63" t="s">
        <v>3518</v>
      </c>
      <c r="I130" s="60"/>
      <c r="J130" s="60"/>
      <c r="K130" s="60"/>
      <c r="L130" s="60"/>
      <c r="M130" s="60"/>
      <c r="N130" s="60"/>
      <c r="O130" s="60"/>
      <c r="P130" s="60"/>
      <c r="Q130" s="60"/>
      <c r="R130" s="60"/>
      <c r="S130" s="60"/>
      <c r="T130" s="60"/>
      <c r="U130" s="60"/>
      <c r="V130" s="60"/>
      <c r="W130" s="60"/>
      <c r="X130" s="60"/>
    </row>
    <row r="131">
      <c r="A131" s="62">
        <f t="array" ref="A131">IFERROR(
INDEX(FEBRERO!B:B, MATCH(E131, FEBRERO!T:T, 0)),
IFERROR(
INDEX(MARZO!B:B, MATCH(E131, MARZO!T:T, 0)),
""
)
)</f>
        <v>46079</v>
      </c>
      <c r="B131" s="15" t="str">
        <f>IFERROR(__xludf.DUMMYFUNCTION("""COMPUTED_VALUE"""),"Brian Eduardo Cárdenas Rea")</f>
        <v>Brian Eduardo Cárdenas Rea</v>
      </c>
      <c r="C131" s="15" t="str">
        <f>IFERROR(__xludf.DUMMYFUNCTION("""COMPUTED_VALUE"""),"FilmPro®")</f>
        <v>FilmPro®</v>
      </c>
      <c r="D131" s="15" t="str">
        <f>IFERROR(__xludf.DUMMYFUNCTION("""COMPUTED_VALUE"""),"PENDIENTE")</f>
        <v>PENDIENTE</v>
      </c>
      <c r="E131" s="15">
        <f>IFERROR(__xludf.DUMMYFUNCTION("""COMPUTED_VALUE"""),4633797.0)</f>
        <v>4633797</v>
      </c>
      <c r="F131" s="15" t="s">
        <v>3519</v>
      </c>
      <c r="G131" s="60"/>
      <c r="H131" s="63" t="s">
        <v>3518</v>
      </c>
      <c r="I131" s="60"/>
      <c r="J131" s="60"/>
      <c r="K131" s="60"/>
      <c r="L131" s="60"/>
      <c r="M131" s="60"/>
      <c r="N131" s="60"/>
      <c r="O131" s="60"/>
      <c r="P131" s="60"/>
      <c r="Q131" s="60"/>
      <c r="R131" s="60"/>
      <c r="S131" s="60"/>
      <c r="T131" s="60"/>
      <c r="U131" s="60"/>
      <c r="V131" s="60"/>
      <c r="W131" s="60"/>
      <c r="X131" s="60"/>
    </row>
    <row r="132">
      <c r="A132" s="62">
        <f t="array" ref="A132">IFERROR(
INDEX(FEBRERO!B:B, MATCH(E132, FEBRERO!T:T, 0)),
IFERROR(
INDEX(MARZO!B:B, MATCH(E132, MARZO!T:T, 0)),
""
)
)</f>
        <v>46079</v>
      </c>
      <c r="B132" s="15" t="str">
        <f>IFERROR(__xludf.DUMMYFUNCTION("""COMPUTED_VALUE"""),"Montaño Montaño Fariño")</f>
        <v>Montaño Montaño Fariño</v>
      </c>
      <c r="C132" s="15" t="str">
        <f>IFERROR(__xludf.DUMMYFUNCTION("""COMPUTED_VALUE"""),"Cuchillo Tazaki™")</f>
        <v>Cuchillo Tazaki™</v>
      </c>
      <c r="D132" s="15" t="str">
        <f>IFERROR(__xludf.DUMMYFUNCTION("""COMPUTED_VALUE"""),"PENDIENTE")</f>
        <v>PENDIENTE</v>
      </c>
      <c r="E132" s="15">
        <f>IFERROR(__xludf.DUMMYFUNCTION("""COMPUTED_VALUE"""),4634613.0)</f>
        <v>4634613</v>
      </c>
      <c r="F132" s="15" t="s">
        <v>3520</v>
      </c>
      <c r="G132" s="60"/>
      <c r="H132" s="63" t="s">
        <v>3518</v>
      </c>
      <c r="I132" s="60"/>
      <c r="J132" s="60"/>
      <c r="K132" s="60"/>
      <c r="L132" s="60"/>
      <c r="M132" s="60"/>
      <c r="N132" s="60"/>
      <c r="O132" s="60"/>
      <c r="P132" s="60"/>
      <c r="Q132" s="60"/>
      <c r="R132" s="60"/>
      <c r="S132" s="60"/>
      <c r="T132" s="60"/>
      <c r="U132" s="60"/>
      <c r="V132" s="60"/>
      <c r="W132" s="60"/>
      <c r="X132" s="60"/>
    </row>
    <row r="133">
      <c r="A133" s="62">
        <f t="array" ref="A133">IFERROR(
INDEX(FEBRERO!B:B, MATCH(E133, FEBRERO!T:T, 0)),
IFERROR(
INDEX(MARZO!B:B, MATCH(E133, MARZO!T:T, 0)),
""
)
)</f>
        <v>46079</v>
      </c>
      <c r="B133" s="15" t="str">
        <f>IFERROR(__xludf.DUMMYFUNCTION("""COMPUTED_VALUE"""),"Juan Carlos Vera")</f>
        <v>Juan Carlos Vera</v>
      </c>
      <c r="C133" s="15" t="str">
        <f>IFERROR(__xludf.DUMMYFUNCTION("""COMPUTED_VALUE"""),"Cuchillo Tazaki™")</f>
        <v>Cuchillo Tazaki™</v>
      </c>
      <c r="D133" s="15" t="str">
        <f>IFERROR(__xludf.DUMMYFUNCTION("""COMPUTED_VALUE"""),"PENDIENTE")</f>
        <v>PENDIENTE</v>
      </c>
      <c r="E133" s="15">
        <f>IFERROR(__xludf.DUMMYFUNCTION("""COMPUTED_VALUE"""),4642885.0)</f>
        <v>4642885</v>
      </c>
      <c r="F133" s="15" t="s">
        <v>3521</v>
      </c>
      <c r="G133" s="60"/>
      <c r="H133" s="63" t="s">
        <v>3518</v>
      </c>
      <c r="I133" s="60"/>
      <c r="J133" s="60"/>
      <c r="K133" s="60"/>
      <c r="L133" s="60"/>
      <c r="M133" s="60"/>
      <c r="N133" s="60"/>
      <c r="O133" s="60"/>
      <c r="P133" s="60"/>
      <c r="Q133" s="60"/>
      <c r="R133" s="60"/>
      <c r="S133" s="60"/>
      <c r="T133" s="60"/>
      <c r="U133" s="60"/>
      <c r="V133" s="60"/>
      <c r="W133" s="60"/>
      <c r="X133" s="60"/>
    </row>
    <row r="134">
      <c r="A134" s="62">
        <f t="array" ref="A134">IFERROR(
INDEX(FEBRERO!B:B, MATCH(E134, FEBRERO!T:T, 0)),
IFERROR(
INDEX(MARZO!B:B, MATCH(E134, MARZO!T:T, 0)),
""
)
)</f>
        <v>46079</v>
      </c>
      <c r="B134" s="15" t="str">
        <f>IFERROR(__xludf.DUMMYFUNCTION("""COMPUTED_VALUE"""),"Wilfrido Salazar")</f>
        <v>Wilfrido Salazar</v>
      </c>
      <c r="C134" s="15" t="str">
        <f>IFERROR(__xludf.DUMMYFUNCTION("""COMPUTED_VALUE"""),"Cuchillo Tazaki™")</f>
        <v>Cuchillo Tazaki™</v>
      </c>
      <c r="D134" s="15" t="str">
        <f>IFERROR(__xludf.DUMMYFUNCTION("""COMPUTED_VALUE"""),"PENDIENTE")</f>
        <v>PENDIENTE</v>
      </c>
      <c r="E134" s="15">
        <f>IFERROR(__xludf.DUMMYFUNCTION("""COMPUTED_VALUE"""),4635942.0)</f>
        <v>4635942</v>
      </c>
      <c r="F134" s="15" t="s">
        <v>3522</v>
      </c>
      <c r="G134" s="60"/>
      <c r="H134" s="63" t="s">
        <v>3518</v>
      </c>
      <c r="I134" s="60"/>
      <c r="J134" s="60"/>
      <c r="K134" s="60"/>
      <c r="L134" s="60"/>
      <c r="M134" s="60"/>
      <c r="N134" s="60"/>
      <c r="O134" s="60"/>
      <c r="P134" s="60"/>
      <c r="Q134" s="60"/>
      <c r="R134" s="60"/>
      <c r="S134" s="60"/>
      <c r="T134" s="60"/>
      <c r="U134" s="60"/>
      <c r="V134" s="60"/>
      <c r="W134" s="60"/>
      <c r="X134" s="60"/>
    </row>
    <row r="135">
      <c r="A135" s="62">
        <f t="array" ref="A135">IFERROR(
INDEX(FEBRERO!B:B, MATCH(E135, FEBRERO!T:T, 0)),
IFERROR(
INDEX(MARZO!B:B, MATCH(E135, MARZO!T:T, 0)),
""
)
)</f>
        <v>46079</v>
      </c>
      <c r="B135" s="15" t="str">
        <f>IFERROR(__xludf.DUMMYFUNCTION("""COMPUTED_VALUE"""),"Fernando Paz")</f>
        <v>Fernando Paz</v>
      </c>
      <c r="C135" s="15" t="str">
        <f>IFERROR(__xludf.DUMMYFUNCTION("""COMPUTED_VALUE"""),"Cuchillo Tazaki™")</f>
        <v>Cuchillo Tazaki™</v>
      </c>
      <c r="D135" s="15" t="str">
        <f>IFERROR(__xludf.DUMMYFUNCTION("""COMPUTED_VALUE"""),"PENDIENTE")</f>
        <v>PENDIENTE</v>
      </c>
      <c r="E135" s="15">
        <f>IFERROR(__xludf.DUMMYFUNCTION("""COMPUTED_VALUE"""),4637135.0)</f>
        <v>4637135</v>
      </c>
      <c r="F135" s="15" t="s">
        <v>3523</v>
      </c>
      <c r="G135" s="60"/>
      <c r="H135" s="63" t="s">
        <v>3518</v>
      </c>
      <c r="I135" s="60"/>
      <c r="J135" s="60"/>
      <c r="K135" s="60"/>
      <c r="L135" s="60"/>
      <c r="M135" s="60"/>
      <c r="N135" s="60"/>
      <c r="O135" s="60"/>
      <c r="P135" s="60"/>
      <c r="Q135" s="60"/>
      <c r="R135" s="60"/>
      <c r="S135" s="60"/>
      <c r="T135" s="60"/>
      <c r="U135" s="60"/>
      <c r="V135" s="60"/>
      <c r="W135" s="60"/>
      <c r="X135" s="60"/>
    </row>
    <row r="136">
      <c r="A136" s="62">
        <f t="array" ref="A136">IFERROR(
INDEX(FEBRERO!B:B, MATCH(E136, FEBRERO!T:T, 0)),
IFERROR(
INDEX(MARZO!B:B, MATCH(E136, MARZO!T:T, 0)),
""
)
)</f>
        <v>46079</v>
      </c>
      <c r="B136" s="15" t="str">
        <f>IFERROR(__xludf.DUMMYFUNCTION("""COMPUTED_VALUE"""),"Jose Pesantez Farfan Pesantez Farfàn")</f>
        <v>Jose Pesantez Farfan Pesantez Farfàn</v>
      </c>
      <c r="C136" s="15" t="str">
        <f>IFERROR(__xludf.DUMMYFUNCTION("""COMPUTED_VALUE"""),"Cuchillo Tazaki™")</f>
        <v>Cuchillo Tazaki™</v>
      </c>
      <c r="D136" s="15" t="str">
        <f>IFERROR(__xludf.DUMMYFUNCTION("""COMPUTED_VALUE"""),"PENDIENTE")</f>
        <v>PENDIENTE</v>
      </c>
      <c r="E136" s="15">
        <f>IFERROR(__xludf.DUMMYFUNCTION("""COMPUTED_VALUE"""),4637818.0)</f>
        <v>4637818</v>
      </c>
      <c r="F136" s="15" t="s">
        <v>3524</v>
      </c>
      <c r="G136" s="60"/>
      <c r="H136" s="63" t="s">
        <v>3518</v>
      </c>
      <c r="I136" s="60"/>
      <c r="J136" s="60"/>
      <c r="K136" s="60"/>
      <c r="L136" s="60"/>
      <c r="M136" s="60"/>
      <c r="N136" s="60"/>
      <c r="O136" s="60"/>
      <c r="P136" s="60"/>
      <c r="Q136" s="60"/>
      <c r="R136" s="60"/>
      <c r="S136" s="60"/>
      <c r="T136" s="60"/>
      <c r="U136" s="60"/>
      <c r="V136" s="60"/>
      <c r="W136" s="60"/>
      <c r="X136" s="60"/>
    </row>
    <row r="137">
      <c r="A137" s="62">
        <f t="array" ref="A137">IFERROR(
INDEX(FEBRERO!B:B, MATCH(E137, FEBRERO!T:T, 0)),
IFERROR(
INDEX(MARZO!B:B, MATCH(E137, MARZO!T:T, 0)),
""
)
)</f>
        <v>46079</v>
      </c>
      <c r="B137" s="15" t="str">
        <f>IFERROR(__xludf.DUMMYFUNCTION("""COMPUTED_VALUE"""),"Vicente Troya troya")</f>
        <v>Vicente Troya troya</v>
      </c>
      <c r="C137" s="15" t="str">
        <f>IFERROR(__xludf.DUMMYFUNCTION("""COMPUTED_VALUE"""),"Cuchillo Tazaki™")</f>
        <v>Cuchillo Tazaki™</v>
      </c>
      <c r="D137" s="15" t="str">
        <f>IFERROR(__xludf.DUMMYFUNCTION("""COMPUTED_VALUE"""),"PENDIENTE")</f>
        <v>PENDIENTE</v>
      </c>
      <c r="E137" s="15">
        <f>IFERROR(__xludf.DUMMYFUNCTION("""COMPUTED_VALUE"""),4637903.0)</f>
        <v>4637903</v>
      </c>
      <c r="F137" s="15" t="s">
        <v>3525</v>
      </c>
      <c r="G137" s="60"/>
      <c r="H137" s="63" t="s">
        <v>3518</v>
      </c>
      <c r="I137" s="60"/>
      <c r="J137" s="60"/>
      <c r="K137" s="60"/>
      <c r="L137" s="60"/>
      <c r="M137" s="60"/>
      <c r="N137" s="60"/>
      <c r="O137" s="60"/>
      <c r="P137" s="60"/>
      <c r="Q137" s="60"/>
      <c r="R137" s="60"/>
      <c r="S137" s="60"/>
      <c r="T137" s="60"/>
      <c r="U137" s="60"/>
      <c r="V137" s="60"/>
      <c r="W137" s="60"/>
      <c r="X137" s="60"/>
    </row>
    <row r="138">
      <c r="A138" s="62">
        <f t="array" ref="A138">IFERROR(
INDEX(FEBRERO!B:B, MATCH(E138, FEBRERO!T:T, 0)),
IFERROR(
INDEX(MARZO!B:B, MATCH(E138, MARZO!T:T, 0)),
""
)
)</f>
        <v>46080</v>
      </c>
      <c r="B138" s="15" t="str">
        <f>IFERROR(__xludf.DUMMYFUNCTION("""COMPUTED_VALUE"""),"Egidio Eugenio Manchay Castillo")</f>
        <v>Egidio Eugenio Manchay Castillo</v>
      </c>
      <c r="C138" s="15" t="str">
        <f>IFERROR(__xludf.DUMMYFUNCTION("""COMPUTED_VALUE"""),"Cuchillo Tazaki™")</f>
        <v>Cuchillo Tazaki™</v>
      </c>
      <c r="D138" s="15" t="str">
        <f>IFERROR(__xludf.DUMMYFUNCTION("""COMPUTED_VALUE"""),"PENDIENTE")</f>
        <v>PENDIENTE</v>
      </c>
      <c r="E138" s="15">
        <f>IFERROR(__xludf.DUMMYFUNCTION("""COMPUTED_VALUE"""),4639907.0)</f>
        <v>4639907</v>
      </c>
      <c r="F138" s="15" t="s">
        <v>3526</v>
      </c>
      <c r="G138" s="60"/>
      <c r="H138" s="63" t="s">
        <v>3518</v>
      </c>
      <c r="I138" s="60"/>
      <c r="J138" s="60"/>
      <c r="K138" s="60"/>
      <c r="L138" s="60"/>
      <c r="M138" s="60"/>
      <c r="N138" s="60"/>
      <c r="O138" s="60"/>
      <c r="P138" s="60"/>
      <c r="Q138" s="60"/>
      <c r="R138" s="60"/>
      <c r="S138" s="60"/>
      <c r="T138" s="60"/>
      <c r="U138" s="60"/>
      <c r="V138" s="60"/>
      <c r="W138" s="60"/>
      <c r="X138" s="60"/>
    </row>
    <row r="139">
      <c r="A139" s="62">
        <f t="array" ref="A139">IFERROR(
INDEX(FEBRERO!B:B, MATCH(E139, FEBRERO!T:T, 0)),
IFERROR(
INDEX(MARZO!B:B, MATCH(E139, MARZO!T:T, 0)),
""
)
)</f>
        <v>46080</v>
      </c>
      <c r="B139" s="15" t="str">
        <f>IFERROR(__xludf.DUMMYFUNCTION("""COMPUTED_VALUE"""),"Rubén Guachamin")</f>
        <v>Rubén Guachamin</v>
      </c>
      <c r="C139" s="15" t="str">
        <f>IFERROR(__xludf.DUMMYFUNCTION("""COMPUTED_VALUE"""),"FilmPro®")</f>
        <v>FilmPro®</v>
      </c>
      <c r="D139" s="15" t="str">
        <f>IFERROR(__xludf.DUMMYFUNCTION("""COMPUTED_VALUE"""),"PENDIENTE")</f>
        <v>PENDIENTE</v>
      </c>
      <c r="E139" s="15">
        <f>IFERROR(__xludf.DUMMYFUNCTION("""COMPUTED_VALUE"""),4640258.0)</f>
        <v>4640258</v>
      </c>
      <c r="F139" s="15" t="s">
        <v>3527</v>
      </c>
      <c r="G139" s="60"/>
      <c r="H139" s="63" t="s">
        <v>3518</v>
      </c>
      <c r="I139" s="60"/>
      <c r="J139" s="60"/>
      <c r="K139" s="60"/>
      <c r="L139" s="60"/>
      <c r="M139" s="60"/>
      <c r="N139" s="60"/>
      <c r="O139" s="60"/>
      <c r="P139" s="60"/>
      <c r="Q139" s="60"/>
      <c r="R139" s="60"/>
      <c r="S139" s="60"/>
      <c r="T139" s="60"/>
      <c r="U139" s="60"/>
      <c r="V139" s="60"/>
      <c r="W139" s="60"/>
      <c r="X139" s="60"/>
    </row>
    <row r="140">
      <c r="A140" s="62">
        <f t="array" ref="A140">IFERROR(
INDEX(FEBRERO!B:B, MATCH(E140, FEBRERO!T:T, 0)),
IFERROR(
INDEX(MARZO!B:B, MATCH(E140, MARZO!T:T, 0)),
""
)
)</f>
        <v>46080</v>
      </c>
      <c r="B140" s="15" t="str">
        <f>IFERROR(__xludf.DUMMYFUNCTION("""COMPUTED_VALUE"""),"Eduardo Miranda")</f>
        <v>Eduardo Miranda</v>
      </c>
      <c r="C140" s="15" t="str">
        <f>IFERROR(__xludf.DUMMYFUNCTION("""COMPUTED_VALUE"""),"Cuchillo Tazaki™")</f>
        <v>Cuchillo Tazaki™</v>
      </c>
      <c r="D140" s="15" t="str">
        <f>IFERROR(__xludf.DUMMYFUNCTION("""COMPUTED_VALUE"""),"PENDIENTE")</f>
        <v>PENDIENTE</v>
      </c>
      <c r="E140" s="15">
        <f>IFERROR(__xludf.DUMMYFUNCTION("""COMPUTED_VALUE"""),4640294.0)</f>
        <v>4640294</v>
      </c>
      <c r="F140" s="15" t="s">
        <v>3528</v>
      </c>
      <c r="G140" s="60"/>
      <c r="H140" s="63" t="s">
        <v>3518</v>
      </c>
      <c r="I140" s="60"/>
      <c r="J140" s="60"/>
      <c r="K140" s="60"/>
      <c r="L140" s="60"/>
      <c r="M140" s="60"/>
      <c r="N140" s="60"/>
      <c r="O140" s="60"/>
      <c r="P140" s="60"/>
      <c r="Q140" s="60"/>
      <c r="R140" s="60"/>
      <c r="S140" s="60"/>
      <c r="T140" s="60"/>
      <c r="U140" s="60"/>
      <c r="V140" s="60"/>
      <c r="W140" s="60"/>
      <c r="X140" s="60"/>
    </row>
    <row r="141">
      <c r="A141" s="62">
        <f t="array" ref="A141">IFERROR(
INDEX(FEBRERO!B:B, MATCH(E141, FEBRERO!T:T, 0)),
IFERROR(
INDEX(MARZO!B:B, MATCH(E141, MARZO!T:T, 0)),
""
)
)</f>
        <v>46080</v>
      </c>
      <c r="B141" s="15" t="str">
        <f>IFERROR(__xludf.DUMMYFUNCTION("""COMPUTED_VALUE"""),"Mariana Rosillo")</f>
        <v>Mariana Rosillo</v>
      </c>
      <c r="C141" s="15" t="str">
        <f>IFERROR(__xludf.DUMMYFUNCTION("""COMPUTED_VALUE"""),"Cuchillo Tazaki™")</f>
        <v>Cuchillo Tazaki™</v>
      </c>
      <c r="D141" s="15" t="str">
        <f>IFERROR(__xludf.DUMMYFUNCTION("""COMPUTED_VALUE"""),"PENDIENTE")</f>
        <v>PENDIENTE</v>
      </c>
      <c r="E141" s="15">
        <f>IFERROR(__xludf.DUMMYFUNCTION("""COMPUTED_VALUE"""),4640742.0)</f>
        <v>4640742</v>
      </c>
      <c r="F141" s="15" t="s">
        <v>3529</v>
      </c>
      <c r="G141" s="60"/>
      <c r="H141" s="63" t="s">
        <v>3518</v>
      </c>
      <c r="I141" s="60"/>
      <c r="J141" s="60"/>
      <c r="K141" s="60"/>
      <c r="L141" s="60"/>
      <c r="M141" s="60"/>
      <c r="N141" s="60"/>
      <c r="O141" s="60"/>
      <c r="P141" s="60"/>
      <c r="Q141" s="60"/>
      <c r="R141" s="60"/>
      <c r="S141" s="60"/>
      <c r="T141" s="60"/>
      <c r="U141" s="60"/>
      <c r="V141" s="60"/>
      <c r="W141" s="60"/>
      <c r="X141" s="60"/>
    </row>
    <row r="142">
      <c r="A142" s="62">
        <f t="array" ref="A142">IFERROR(
INDEX(FEBRERO!B:B, MATCH(E142, FEBRERO!T:T, 0)),
IFERROR(
INDEX(MARZO!B:B, MATCH(E142, MARZO!T:T, 0)),
""
)
)</f>
        <v>46080</v>
      </c>
      <c r="B142" s="15" t="str">
        <f>IFERROR(__xludf.DUMMYFUNCTION("""COMPUTED_VALUE"""),"Elvis Martínez")</f>
        <v>Elvis Martínez</v>
      </c>
      <c r="C142" s="15" t="str">
        <f>IFERROR(__xludf.DUMMYFUNCTION("""COMPUTED_VALUE"""),"Cuchillo Tazaki™")</f>
        <v>Cuchillo Tazaki™</v>
      </c>
      <c r="D142" s="15" t="str">
        <f>IFERROR(__xludf.DUMMYFUNCTION("""COMPUTED_VALUE"""),"PENDIENTE")</f>
        <v>PENDIENTE</v>
      </c>
      <c r="E142" s="15">
        <f>IFERROR(__xludf.DUMMYFUNCTION("""COMPUTED_VALUE"""),4642035.0)</f>
        <v>4642035</v>
      </c>
      <c r="F142" s="15" t="s">
        <v>3530</v>
      </c>
      <c r="G142" s="60"/>
      <c r="H142" s="63" t="s">
        <v>3518</v>
      </c>
      <c r="I142" s="60"/>
      <c r="J142" s="60"/>
      <c r="K142" s="60"/>
      <c r="L142" s="60"/>
      <c r="M142" s="60"/>
      <c r="N142" s="60"/>
      <c r="O142" s="60"/>
      <c r="P142" s="60"/>
      <c r="Q142" s="60"/>
      <c r="R142" s="60"/>
      <c r="S142" s="60"/>
      <c r="T142" s="60"/>
      <c r="U142" s="60"/>
      <c r="V142" s="60"/>
      <c r="W142" s="60"/>
      <c r="X142" s="60"/>
    </row>
    <row r="143">
      <c r="A143" s="62">
        <f t="array" ref="A143">IFERROR(
INDEX(FEBRERO!B:B, MATCH(E143, FEBRERO!T:T, 0)),
IFERROR(
INDEX(MARZO!B:B, MATCH(E143, MARZO!T:T, 0)),
""
)
)</f>
        <v>46080</v>
      </c>
      <c r="B143" s="15" t="str">
        <f>IFERROR(__xludf.DUMMYFUNCTION("""COMPUTED_VALUE"""),"Nelly Caluña")</f>
        <v>Nelly Caluña</v>
      </c>
      <c r="C143" s="15" t="str">
        <f>IFERROR(__xludf.DUMMYFUNCTION("""COMPUTED_VALUE"""),"Cuchillo Tazaki™")</f>
        <v>Cuchillo Tazaki™</v>
      </c>
      <c r="D143" s="15" t="str">
        <f>IFERROR(__xludf.DUMMYFUNCTION("""COMPUTED_VALUE"""),"PENDIENTE")</f>
        <v>PENDIENTE</v>
      </c>
      <c r="E143" s="15">
        <f>IFERROR(__xludf.DUMMYFUNCTION("""COMPUTED_VALUE"""),4643033.0)</f>
        <v>4643033</v>
      </c>
      <c r="F143" s="15" t="s">
        <v>3531</v>
      </c>
      <c r="G143" s="60"/>
      <c r="H143" s="63" t="s">
        <v>3518</v>
      </c>
      <c r="I143" s="60"/>
      <c r="J143" s="60"/>
      <c r="K143" s="60"/>
      <c r="L143" s="60"/>
      <c r="M143" s="60"/>
      <c r="N143" s="60"/>
      <c r="O143" s="60"/>
      <c r="P143" s="60"/>
      <c r="Q143" s="60"/>
      <c r="R143" s="60"/>
      <c r="S143" s="60"/>
      <c r="T143" s="60"/>
      <c r="U143" s="60"/>
      <c r="V143" s="60"/>
      <c r="W143" s="60"/>
      <c r="X143" s="60"/>
    </row>
    <row r="144">
      <c r="A144" s="62">
        <f t="array" ref="A144">IFERROR(
INDEX(FEBRERO!B:B, MATCH(E144, FEBRERO!T:T, 0)),
IFERROR(
INDEX(MARZO!B:B, MATCH(E144, MARZO!T:T, 0)),
""
)
)</f>
        <v>46080</v>
      </c>
      <c r="B144" s="15" t="str">
        <f>IFERROR(__xludf.DUMMYFUNCTION("""COMPUTED_VALUE"""),"Seider Rodriguez")</f>
        <v>Seider Rodriguez</v>
      </c>
      <c r="C144" s="15" t="str">
        <f>IFERROR(__xludf.DUMMYFUNCTION("""COMPUTED_VALUE"""),"Cuchillo Tazaki™")</f>
        <v>Cuchillo Tazaki™</v>
      </c>
      <c r="D144" s="15" t="str">
        <f>IFERROR(__xludf.DUMMYFUNCTION("""COMPUTED_VALUE"""),"PENDIENTE")</f>
        <v>PENDIENTE</v>
      </c>
      <c r="E144" s="15">
        <f>IFERROR(__xludf.DUMMYFUNCTION("""COMPUTED_VALUE"""),4645440.0)</f>
        <v>4645440</v>
      </c>
      <c r="F144" s="15" t="s">
        <v>3532</v>
      </c>
      <c r="G144" s="60"/>
      <c r="H144" s="63" t="s">
        <v>3518</v>
      </c>
      <c r="I144" s="60"/>
      <c r="J144" s="60"/>
      <c r="K144" s="60"/>
      <c r="L144" s="60"/>
      <c r="M144" s="60"/>
      <c r="N144" s="60"/>
      <c r="O144" s="60"/>
      <c r="P144" s="60"/>
      <c r="Q144" s="60"/>
      <c r="R144" s="60"/>
      <c r="S144" s="60"/>
      <c r="T144" s="60"/>
      <c r="U144" s="60"/>
      <c r="V144" s="60"/>
      <c r="W144" s="60"/>
      <c r="X144" s="60"/>
    </row>
    <row r="145">
      <c r="A145" s="62">
        <f t="array" ref="A145">IFERROR(
INDEX(FEBRERO!B:B, MATCH(E145, FEBRERO!T:T, 0)),
IFERROR(
INDEX(MARZO!B:B, MATCH(E145, MARZO!T:T, 0)),
""
)
)</f>
        <v>46080</v>
      </c>
      <c r="B145" s="15" t="str">
        <f>IFERROR(__xludf.DUMMYFUNCTION("""COMPUTED_VALUE"""),"manuel sislema")</f>
        <v>manuel sislema</v>
      </c>
      <c r="C145" s="15" t="str">
        <f>IFERROR(__xludf.DUMMYFUNCTION("""COMPUTED_VALUE"""),"FreeBeat Adapter")</f>
        <v>FreeBeat Adapter</v>
      </c>
      <c r="D145" s="15" t="str">
        <f>IFERROR(__xludf.DUMMYFUNCTION("""COMPUTED_VALUE"""),"PENDIENTE")</f>
        <v>PENDIENTE</v>
      </c>
      <c r="E145" s="15">
        <f>IFERROR(__xludf.DUMMYFUNCTION("""COMPUTED_VALUE"""),4645837.0)</f>
        <v>4645837</v>
      </c>
      <c r="F145" s="15" t="s">
        <v>3533</v>
      </c>
      <c r="G145" s="60"/>
      <c r="H145" s="63" t="s">
        <v>3518</v>
      </c>
      <c r="I145" s="60"/>
      <c r="J145" s="60"/>
      <c r="K145" s="60"/>
      <c r="L145" s="60"/>
      <c r="M145" s="60"/>
      <c r="N145" s="60"/>
      <c r="O145" s="60"/>
      <c r="P145" s="60"/>
      <c r="Q145" s="60"/>
      <c r="R145" s="60"/>
      <c r="S145" s="60"/>
      <c r="T145" s="60"/>
      <c r="U145" s="60"/>
      <c r="V145" s="60"/>
      <c r="W145" s="60"/>
      <c r="X145" s="60"/>
    </row>
    <row r="146">
      <c r="A146" s="62">
        <f t="array" ref="A146">IFERROR(
INDEX(FEBRERO!B:B, MATCH(E146, FEBRERO!T:T, 0)),
IFERROR(
INDEX(MARZO!B:B, MATCH(E146, MARZO!T:T, 0)),
""
)
)</f>
        <v>46080</v>
      </c>
      <c r="B146" s="15" t="str">
        <f>IFERROR(__xludf.DUMMYFUNCTION("""COMPUTED_VALUE"""),"Miguel Yanchatipan")</f>
        <v>Miguel Yanchatipan</v>
      </c>
      <c r="C146" s="15" t="str">
        <f>IFERROR(__xludf.DUMMYFUNCTION("""COMPUTED_VALUE"""),"Cuchillo Tazaki™")</f>
        <v>Cuchillo Tazaki™</v>
      </c>
      <c r="D146" s="15" t="str">
        <f>IFERROR(__xludf.DUMMYFUNCTION("""COMPUTED_VALUE"""),"PENDIENTE")</f>
        <v>PENDIENTE</v>
      </c>
      <c r="E146" s="15">
        <f>IFERROR(__xludf.DUMMYFUNCTION("""COMPUTED_VALUE"""),4647108.0)</f>
        <v>4647108</v>
      </c>
      <c r="F146" s="15" t="s">
        <v>3534</v>
      </c>
      <c r="G146" s="60"/>
      <c r="H146" s="63" t="s">
        <v>3518</v>
      </c>
      <c r="I146" s="60"/>
      <c r="J146" s="60"/>
      <c r="K146" s="60"/>
      <c r="L146" s="60"/>
      <c r="M146" s="60"/>
      <c r="N146" s="60"/>
      <c r="O146" s="60"/>
      <c r="P146" s="60"/>
      <c r="Q146" s="60"/>
      <c r="R146" s="60"/>
      <c r="S146" s="60"/>
      <c r="T146" s="60"/>
      <c r="U146" s="60"/>
      <c r="V146" s="60"/>
      <c r="W146" s="60"/>
      <c r="X146" s="60"/>
    </row>
    <row r="147">
      <c r="A147" s="62">
        <f t="array" ref="A147">IFERROR(
INDEX(FEBRERO!B:B, MATCH(E147, FEBRERO!T:T, 0)),
IFERROR(
INDEX(MARZO!B:B, MATCH(E147, MARZO!T:T, 0)),
""
)
)</f>
        <v>46080</v>
      </c>
      <c r="B147" s="15" t="str">
        <f>IFERROR(__xludf.DUMMYFUNCTION("""COMPUTED_VALUE"""),"Juan Malliquinga")</f>
        <v>Juan Malliquinga</v>
      </c>
      <c r="C147" s="15" t="str">
        <f>IFERROR(__xludf.DUMMYFUNCTION("""COMPUTED_VALUE"""),"FreeBeat Adapter")</f>
        <v>FreeBeat Adapter</v>
      </c>
      <c r="D147" s="15" t="str">
        <f>IFERROR(__xludf.DUMMYFUNCTION("""COMPUTED_VALUE"""),"PENDIENTE")</f>
        <v>PENDIENTE</v>
      </c>
      <c r="E147" s="15">
        <f>IFERROR(__xludf.DUMMYFUNCTION("""COMPUTED_VALUE"""),4647770.0)</f>
        <v>4647770</v>
      </c>
      <c r="F147" s="15" t="s">
        <v>3535</v>
      </c>
      <c r="G147" s="60"/>
      <c r="H147" s="63" t="s">
        <v>3518</v>
      </c>
      <c r="I147" s="60"/>
      <c r="J147" s="60"/>
      <c r="K147" s="60"/>
      <c r="L147" s="60"/>
      <c r="M147" s="60"/>
      <c r="N147" s="60"/>
      <c r="O147" s="60"/>
      <c r="P147" s="60"/>
      <c r="Q147" s="60"/>
      <c r="R147" s="60"/>
      <c r="S147" s="60"/>
      <c r="T147" s="60"/>
      <c r="U147" s="60"/>
      <c r="V147" s="60"/>
      <c r="W147" s="60"/>
      <c r="X147" s="60"/>
    </row>
    <row r="148">
      <c r="A148" s="62">
        <f t="array" ref="A148">IFERROR(
INDEX(FEBRERO!B:B, MATCH(E148, FEBRERO!T:T, 0)),
IFERROR(
INDEX(MARZO!B:B, MATCH(E148, MARZO!T:T, 0)),
""
)
)</f>
        <v>46080</v>
      </c>
      <c r="B148" s="15" t="str">
        <f>IFERROR(__xludf.DUMMYFUNCTION("""COMPUTED_VALUE"""),"Gabriel Pozo")</f>
        <v>Gabriel Pozo</v>
      </c>
      <c r="C148" s="15" t="str">
        <f>IFERROR(__xludf.DUMMYFUNCTION("""COMPUTED_VALUE"""),"FreeBeat Adapter")</f>
        <v>FreeBeat Adapter</v>
      </c>
      <c r="D148" s="15" t="str">
        <f>IFERROR(__xludf.DUMMYFUNCTION("""COMPUTED_VALUE"""),"PENDIENTE")</f>
        <v>PENDIENTE</v>
      </c>
      <c r="E148" s="15">
        <f>IFERROR(__xludf.DUMMYFUNCTION("""COMPUTED_VALUE"""),4648327.0)</f>
        <v>4648327</v>
      </c>
      <c r="F148" s="15" t="s">
        <v>3536</v>
      </c>
      <c r="G148" s="60"/>
      <c r="H148" s="63" t="s">
        <v>3518</v>
      </c>
      <c r="I148" s="60"/>
      <c r="J148" s="60"/>
      <c r="K148" s="60"/>
      <c r="L148" s="60"/>
      <c r="M148" s="60"/>
      <c r="N148" s="60"/>
      <c r="O148" s="60"/>
      <c r="P148" s="60"/>
      <c r="Q148" s="60"/>
      <c r="R148" s="60"/>
      <c r="S148" s="60"/>
      <c r="T148" s="60"/>
      <c r="U148" s="60"/>
      <c r="V148" s="60"/>
      <c r="W148" s="60"/>
      <c r="X148" s="60"/>
    </row>
    <row r="149">
      <c r="A149" s="62">
        <f t="array" ref="A149">IFERROR(
INDEX(FEBRERO!B:B, MATCH(E149, FEBRERO!T:T, 0)),
IFERROR(
INDEX(MARZO!B:B, MATCH(E149, MARZO!T:T, 0)),
""
)
)</f>
        <v>46080</v>
      </c>
      <c r="B149" s="15" t="str">
        <f>IFERROR(__xludf.DUMMYFUNCTION("""COMPUTED_VALUE"""),"Karina Castillo")</f>
        <v>Karina Castillo</v>
      </c>
      <c r="C149" s="15" t="str">
        <f>IFERROR(__xludf.DUMMYFUNCTION("""COMPUTED_VALUE"""),"FilmPro®")</f>
        <v>FilmPro®</v>
      </c>
      <c r="D149" s="15" t="str">
        <f>IFERROR(__xludf.DUMMYFUNCTION("""COMPUTED_VALUE"""),"PENDIENTE")</f>
        <v>PENDIENTE</v>
      </c>
      <c r="E149" s="15">
        <f>IFERROR(__xludf.DUMMYFUNCTION("""COMPUTED_VALUE"""),4648519.0)</f>
        <v>4648519</v>
      </c>
      <c r="F149" s="15" t="s">
        <v>3537</v>
      </c>
      <c r="G149" s="60"/>
      <c r="H149" s="63" t="s">
        <v>3518</v>
      </c>
      <c r="I149" s="60"/>
      <c r="J149" s="60"/>
      <c r="K149" s="60"/>
      <c r="L149" s="60"/>
      <c r="M149" s="60"/>
      <c r="N149" s="60"/>
      <c r="O149" s="60"/>
      <c r="P149" s="60"/>
      <c r="Q149" s="60"/>
      <c r="R149" s="60"/>
      <c r="S149" s="60"/>
      <c r="T149" s="60"/>
      <c r="U149" s="60"/>
      <c r="V149" s="60"/>
      <c r="W149" s="60"/>
      <c r="X149" s="60"/>
    </row>
    <row r="150">
      <c r="A150" s="62">
        <f t="array" ref="A150">IFERROR(
INDEX(FEBRERO!B:B, MATCH(E150, FEBRERO!T:T, 0)),
IFERROR(
INDEX(MARZO!B:B, MATCH(E150, MARZO!T:T, 0)),
""
)
)</f>
        <v>46081</v>
      </c>
      <c r="B150" s="15" t="str">
        <f>IFERROR(__xludf.DUMMYFUNCTION("""COMPUTED_VALUE"""),"Aldana Quiroz")</f>
        <v>Aldana Quiroz</v>
      </c>
      <c r="C150" s="15" t="str">
        <f>IFERROR(__xludf.DUMMYFUNCTION("""COMPUTED_VALUE"""),"Cuchillo Tazaki™")</f>
        <v>Cuchillo Tazaki™</v>
      </c>
      <c r="D150" s="15" t="str">
        <f>IFERROR(__xludf.DUMMYFUNCTION("""COMPUTED_VALUE"""),"PENDIENTE")</f>
        <v>PENDIENTE</v>
      </c>
      <c r="E150" s="15">
        <f>IFERROR(__xludf.DUMMYFUNCTION("""COMPUTED_VALUE"""),4649023.0)</f>
        <v>4649023</v>
      </c>
      <c r="F150" s="15" t="s">
        <v>3538</v>
      </c>
      <c r="G150" s="60"/>
      <c r="H150" s="63" t="s">
        <v>3518</v>
      </c>
      <c r="I150" s="60"/>
      <c r="J150" s="60"/>
      <c r="K150" s="60"/>
      <c r="L150" s="60"/>
      <c r="M150" s="60"/>
      <c r="N150" s="60"/>
      <c r="O150" s="60"/>
      <c r="P150" s="60"/>
      <c r="Q150" s="60"/>
      <c r="R150" s="60"/>
      <c r="S150" s="60"/>
      <c r="T150" s="60"/>
      <c r="U150" s="60"/>
      <c r="V150" s="60"/>
      <c r="W150" s="60"/>
      <c r="X150" s="60"/>
    </row>
    <row r="151">
      <c r="A151" s="62">
        <f t="array" ref="A151">IFERROR(
INDEX(FEBRERO!B:B, MATCH(E151, FEBRERO!T:T, 0)),
IFERROR(
INDEX(MARZO!B:B, MATCH(E151, MARZO!T:T, 0)),
""
)
)</f>
        <v>46081</v>
      </c>
      <c r="B151" s="15" t="str">
        <f>IFERROR(__xludf.DUMMYFUNCTION("""COMPUTED_VALUE"""),"Juan Juan Daniel chuquimarca")</f>
        <v>Juan Juan Daniel chuquimarca</v>
      </c>
      <c r="C151" s="15" t="str">
        <f>IFERROR(__xludf.DUMMYFUNCTION("""COMPUTED_VALUE"""),"FilmPro®")</f>
        <v>FilmPro®</v>
      </c>
      <c r="D151" s="15" t="str">
        <f>IFERROR(__xludf.DUMMYFUNCTION("""COMPUTED_VALUE"""),"PENDIENTE")</f>
        <v>PENDIENTE</v>
      </c>
      <c r="E151" s="15">
        <f>IFERROR(__xludf.DUMMYFUNCTION("""COMPUTED_VALUE"""),4649235.0)</f>
        <v>4649235</v>
      </c>
      <c r="F151" s="15" t="s">
        <v>3539</v>
      </c>
      <c r="G151" s="60"/>
      <c r="H151" s="63" t="s">
        <v>3518</v>
      </c>
      <c r="I151" s="60"/>
      <c r="J151" s="60"/>
      <c r="K151" s="60"/>
      <c r="L151" s="60"/>
      <c r="M151" s="60"/>
      <c r="N151" s="60"/>
      <c r="O151" s="60"/>
      <c r="P151" s="60"/>
      <c r="Q151" s="60"/>
      <c r="R151" s="60"/>
      <c r="S151" s="60"/>
      <c r="T151" s="60"/>
      <c r="U151" s="60"/>
      <c r="V151" s="60"/>
      <c r="W151" s="60"/>
      <c r="X151" s="60"/>
    </row>
    <row r="152">
      <c r="A152" s="62">
        <f t="array" ref="A152">IFERROR(
INDEX(FEBRERO!B:B, MATCH(E152, FEBRERO!T:T, 0)),
IFERROR(
INDEX(MARZO!B:B, MATCH(E152, MARZO!T:T, 0)),
""
)
)</f>
        <v>46081</v>
      </c>
      <c r="B152" s="15" t="str">
        <f>IFERROR(__xludf.DUMMYFUNCTION("""COMPUTED_VALUE"""),"Christian Cueva")</f>
        <v>Christian Cueva</v>
      </c>
      <c r="C152" s="15" t="str">
        <f>IFERROR(__xludf.DUMMYFUNCTION("""COMPUTED_VALUE"""),"FreeBeat Adapter")</f>
        <v>FreeBeat Adapter</v>
      </c>
      <c r="D152" s="15" t="str">
        <f>IFERROR(__xludf.DUMMYFUNCTION("""COMPUTED_VALUE"""),"PENDIENTE")</f>
        <v>PENDIENTE</v>
      </c>
      <c r="E152" s="15">
        <f>IFERROR(__xludf.DUMMYFUNCTION("""COMPUTED_VALUE"""),4670201.0)</f>
        <v>4670201</v>
      </c>
      <c r="F152" s="15" t="s">
        <v>3540</v>
      </c>
      <c r="G152" s="60"/>
      <c r="H152" s="63" t="s">
        <v>3518</v>
      </c>
      <c r="I152" s="60"/>
      <c r="J152" s="60"/>
      <c r="K152" s="60"/>
      <c r="L152" s="60"/>
      <c r="M152" s="60"/>
      <c r="N152" s="60"/>
      <c r="O152" s="60"/>
      <c r="P152" s="60"/>
      <c r="Q152" s="60"/>
      <c r="R152" s="60"/>
      <c r="S152" s="60"/>
      <c r="T152" s="60"/>
      <c r="U152" s="60"/>
      <c r="V152" s="60"/>
      <c r="W152" s="60"/>
      <c r="X152" s="60"/>
    </row>
    <row r="153">
      <c r="A153" s="62">
        <f t="array" ref="A153">IFERROR(
INDEX(FEBRERO!B:B, MATCH(E153, FEBRERO!T:T, 0)),
IFERROR(
INDEX(MARZO!B:B, MATCH(E153, MARZO!T:T, 0)),
""
)
)</f>
        <v>46081</v>
      </c>
      <c r="B153" s="15" t="str">
        <f>IFERROR(__xludf.DUMMYFUNCTION("""COMPUTED_VALUE"""),"David Piedra")</f>
        <v>David Piedra</v>
      </c>
      <c r="C153" s="15" t="str">
        <f>IFERROR(__xludf.DUMMYFUNCTION("""COMPUTED_VALUE"""),"FilmPro®")</f>
        <v>FilmPro®</v>
      </c>
      <c r="D153" s="15" t="str">
        <f>IFERROR(__xludf.DUMMYFUNCTION("""COMPUTED_VALUE"""),"PENDIENTE")</f>
        <v>PENDIENTE</v>
      </c>
      <c r="E153" s="15">
        <f>IFERROR(__xludf.DUMMYFUNCTION("""COMPUTED_VALUE"""),4650171.0)</f>
        <v>4650171</v>
      </c>
      <c r="F153" s="15" t="s">
        <v>3541</v>
      </c>
      <c r="G153" s="60"/>
      <c r="H153" s="63" t="s">
        <v>3518</v>
      </c>
      <c r="I153" s="60"/>
      <c r="J153" s="60"/>
      <c r="K153" s="60"/>
      <c r="L153" s="60"/>
      <c r="M153" s="60"/>
      <c r="N153" s="60"/>
      <c r="O153" s="60"/>
      <c r="P153" s="60"/>
      <c r="Q153" s="60"/>
      <c r="R153" s="60"/>
      <c r="S153" s="60"/>
      <c r="T153" s="60"/>
      <c r="U153" s="60"/>
      <c r="V153" s="60"/>
      <c r="W153" s="60"/>
      <c r="X153" s="60"/>
    </row>
    <row r="154">
      <c r="A154" s="62">
        <f t="array" ref="A154">IFERROR(
INDEX(FEBRERO!B:B, MATCH(E154, FEBRERO!T:T, 0)),
IFERROR(
INDEX(MARZO!B:B, MATCH(E154, MARZO!T:T, 0)),
""
)
)</f>
        <v>46081</v>
      </c>
      <c r="B154" s="15" t="str">
        <f>IFERROR(__xludf.DUMMYFUNCTION("""COMPUTED_VALUE"""),"Jhon Elizalde")</f>
        <v>Jhon Elizalde</v>
      </c>
      <c r="C154" s="15" t="str">
        <f>IFERROR(__xludf.DUMMYFUNCTION("""COMPUTED_VALUE"""),"Cuchillo Tazaki™")</f>
        <v>Cuchillo Tazaki™</v>
      </c>
      <c r="D154" s="15" t="str">
        <f>IFERROR(__xludf.DUMMYFUNCTION("""COMPUTED_VALUE"""),"PENDIENTE")</f>
        <v>PENDIENTE</v>
      </c>
      <c r="E154" s="15">
        <f>IFERROR(__xludf.DUMMYFUNCTION("""COMPUTED_VALUE"""),4650503.0)</f>
        <v>4650503</v>
      </c>
      <c r="F154" s="15" t="s">
        <v>3542</v>
      </c>
      <c r="G154" s="60"/>
      <c r="H154" s="63" t="s">
        <v>3518</v>
      </c>
      <c r="I154" s="60"/>
      <c r="J154" s="60"/>
      <c r="K154" s="60"/>
      <c r="L154" s="60"/>
      <c r="M154" s="60"/>
      <c r="N154" s="60"/>
      <c r="O154" s="60"/>
      <c r="P154" s="60"/>
      <c r="Q154" s="60"/>
      <c r="R154" s="60"/>
      <c r="S154" s="60"/>
      <c r="T154" s="60"/>
      <c r="U154" s="60"/>
      <c r="V154" s="60"/>
      <c r="W154" s="60"/>
      <c r="X154" s="60"/>
    </row>
    <row r="155">
      <c r="A155" s="62">
        <f t="array" ref="A155">IFERROR(
INDEX(FEBRERO!B:B, MATCH(E155, FEBRERO!T:T, 0)),
IFERROR(
INDEX(MARZO!B:B, MATCH(E155, MARZO!T:T, 0)),
""
)
)</f>
        <v>46081</v>
      </c>
      <c r="B155" s="15" t="str">
        <f>IFERROR(__xludf.DUMMYFUNCTION("""COMPUTED_VALUE"""),"Santos Holguin")</f>
        <v>Santos Holguin</v>
      </c>
      <c r="C155" s="15" t="str">
        <f>IFERROR(__xludf.DUMMYFUNCTION("""COMPUTED_VALUE"""),"FreeBeat Adapter")</f>
        <v>FreeBeat Adapter</v>
      </c>
      <c r="D155" s="15" t="str">
        <f>IFERROR(__xludf.DUMMYFUNCTION("""COMPUTED_VALUE"""),"PENDIENTE")</f>
        <v>PENDIENTE</v>
      </c>
      <c r="E155" s="15">
        <f>IFERROR(__xludf.DUMMYFUNCTION("""COMPUTED_VALUE"""),4650584.0)</f>
        <v>4650584</v>
      </c>
      <c r="F155" s="15" t="s">
        <v>3543</v>
      </c>
      <c r="G155" s="60"/>
      <c r="H155" s="63" t="s">
        <v>3518</v>
      </c>
      <c r="I155" s="60"/>
      <c r="J155" s="60"/>
      <c r="K155" s="60"/>
      <c r="L155" s="60"/>
      <c r="M155" s="60"/>
      <c r="N155" s="60"/>
      <c r="O155" s="60"/>
      <c r="P155" s="60"/>
      <c r="Q155" s="60"/>
      <c r="R155" s="60"/>
      <c r="S155" s="60"/>
      <c r="T155" s="60"/>
      <c r="U155" s="60"/>
      <c r="V155" s="60"/>
      <c r="W155" s="60"/>
      <c r="X155" s="60"/>
    </row>
    <row r="156">
      <c r="A156" s="62">
        <f t="array" ref="A156">IFERROR(
INDEX(FEBRERO!B:B, MATCH(E156, FEBRERO!T:T, 0)),
IFERROR(
INDEX(MARZO!B:B, MATCH(E156, MARZO!T:T, 0)),
""
)
)</f>
        <v>46081</v>
      </c>
      <c r="B156" s="15" t="str">
        <f>IFERROR(__xludf.DUMMYFUNCTION("""COMPUTED_VALUE"""),"gladys Vargas")</f>
        <v>gladys Vargas</v>
      </c>
      <c r="C156" s="15" t="str">
        <f>IFERROR(__xludf.DUMMYFUNCTION("""COMPUTED_VALUE"""),"Cuchillo Tazaki™")</f>
        <v>Cuchillo Tazaki™</v>
      </c>
      <c r="D156" s="15" t="str">
        <f>IFERROR(__xludf.DUMMYFUNCTION("""COMPUTED_VALUE"""),"PENDIENTE")</f>
        <v>PENDIENTE</v>
      </c>
      <c r="E156" s="15">
        <f>IFERROR(__xludf.DUMMYFUNCTION("""COMPUTED_VALUE"""),4651372.0)</f>
        <v>4651372</v>
      </c>
      <c r="F156" s="15" t="s">
        <v>3544</v>
      </c>
      <c r="G156" s="60"/>
      <c r="H156" s="63" t="s">
        <v>3518</v>
      </c>
      <c r="I156" s="60"/>
      <c r="J156" s="60"/>
      <c r="K156" s="60"/>
      <c r="L156" s="60"/>
      <c r="M156" s="60"/>
      <c r="N156" s="60"/>
      <c r="O156" s="60"/>
      <c r="P156" s="60"/>
      <c r="Q156" s="60"/>
      <c r="R156" s="60"/>
      <c r="S156" s="60"/>
      <c r="T156" s="60"/>
      <c r="U156" s="60"/>
      <c r="V156" s="60"/>
      <c r="W156" s="60"/>
      <c r="X156" s="60"/>
    </row>
    <row r="157">
      <c r="A157" s="62">
        <f t="array" ref="A157">IFERROR(
INDEX(FEBRERO!B:B, MATCH(E157, FEBRERO!T:T, 0)),
IFERROR(
INDEX(MARZO!B:B, MATCH(E157, MARZO!T:T, 0)),
""
)
)</f>
        <v>46081</v>
      </c>
      <c r="B157" s="15" t="str">
        <f>IFERROR(__xludf.DUMMYFUNCTION("""COMPUTED_VALUE"""),"Lory Paredes Paredes")</f>
        <v>Lory Paredes Paredes</v>
      </c>
      <c r="C157" s="15" t="str">
        <f>IFERROR(__xludf.DUMMYFUNCTION("""COMPUTED_VALUE"""),"Cuchillo Tazaki™")</f>
        <v>Cuchillo Tazaki™</v>
      </c>
      <c r="D157" s="15" t="str">
        <f>IFERROR(__xludf.DUMMYFUNCTION("""COMPUTED_VALUE"""),"PENDIENTE")</f>
        <v>PENDIENTE</v>
      </c>
      <c r="E157" s="15">
        <f>IFERROR(__xludf.DUMMYFUNCTION("""COMPUTED_VALUE"""),4651561.0)</f>
        <v>4651561</v>
      </c>
      <c r="F157" s="15" t="s">
        <v>3545</v>
      </c>
      <c r="G157" s="60"/>
      <c r="H157" s="63" t="s">
        <v>3518</v>
      </c>
      <c r="I157" s="60"/>
      <c r="J157" s="60"/>
      <c r="K157" s="60"/>
      <c r="L157" s="60"/>
      <c r="M157" s="60"/>
      <c r="N157" s="60"/>
      <c r="O157" s="60"/>
      <c r="P157" s="60"/>
      <c r="Q157" s="60"/>
      <c r="R157" s="60"/>
      <c r="S157" s="60"/>
      <c r="T157" s="60"/>
      <c r="U157" s="60"/>
      <c r="V157" s="60"/>
      <c r="W157" s="60"/>
      <c r="X157" s="60"/>
    </row>
    <row r="158">
      <c r="A158" s="62">
        <f t="array" ref="A158">IFERROR(
INDEX(FEBRERO!B:B, MATCH(E158, FEBRERO!T:T, 0)),
IFERROR(
INDEX(MARZO!B:B, MATCH(E158, MARZO!T:T, 0)),
""
)
)</f>
        <v>46081</v>
      </c>
      <c r="B158" s="15" t="str">
        <f>IFERROR(__xludf.DUMMYFUNCTION("""COMPUTED_VALUE"""),"Cristian Calle")</f>
        <v>Cristian Calle</v>
      </c>
      <c r="C158" s="15" t="str">
        <f>IFERROR(__xludf.DUMMYFUNCTION("""COMPUTED_VALUE"""),"Cuchillo Tazaki™")</f>
        <v>Cuchillo Tazaki™</v>
      </c>
      <c r="D158" s="15" t="str">
        <f>IFERROR(__xludf.DUMMYFUNCTION("""COMPUTED_VALUE"""),"PENDIENTE")</f>
        <v>PENDIENTE</v>
      </c>
      <c r="E158" s="15">
        <f>IFERROR(__xludf.DUMMYFUNCTION("""COMPUTED_VALUE"""),4652030.0)</f>
        <v>4652030</v>
      </c>
      <c r="F158" s="15" t="s">
        <v>3546</v>
      </c>
      <c r="G158" s="60"/>
      <c r="H158" s="63" t="s">
        <v>3518</v>
      </c>
      <c r="I158" s="60"/>
      <c r="J158" s="60"/>
      <c r="K158" s="60"/>
      <c r="L158" s="60"/>
      <c r="M158" s="60"/>
      <c r="N158" s="60"/>
      <c r="O158" s="60"/>
      <c r="P158" s="60"/>
      <c r="Q158" s="60"/>
      <c r="R158" s="60"/>
      <c r="S158" s="60"/>
      <c r="T158" s="60"/>
      <c r="U158" s="60"/>
      <c r="V158" s="60"/>
      <c r="W158" s="60"/>
      <c r="X158" s="60"/>
    </row>
    <row r="159">
      <c r="A159" s="62">
        <f t="array" ref="A159">IFERROR(
INDEX(FEBRERO!B:B, MATCH(E159, FEBRERO!T:T, 0)),
IFERROR(
INDEX(MARZO!B:B, MATCH(E159, MARZO!T:T, 0)),
""
)
)</f>
        <v>46081</v>
      </c>
      <c r="B159" s="15" t="str">
        <f>IFERROR(__xludf.DUMMYFUNCTION("""COMPUTED_VALUE"""),"Patricio Pazmiño")</f>
        <v>Patricio Pazmiño</v>
      </c>
      <c r="C159" s="15" t="str">
        <f>IFERROR(__xludf.DUMMYFUNCTION("""COMPUTED_VALUE"""),"FilmPro®")</f>
        <v>FilmPro®</v>
      </c>
      <c r="D159" s="15" t="str">
        <f>IFERROR(__xludf.DUMMYFUNCTION("""COMPUTED_VALUE"""),"PENDIENTE")</f>
        <v>PENDIENTE</v>
      </c>
      <c r="E159" s="15">
        <f>IFERROR(__xludf.DUMMYFUNCTION("""COMPUTED_VALUE"""),4652632.0)</f>
        <v>4652632</v>
      </c>
      <c r="F159" s="15" t="s">
        <v>3547</v>
      </c>
      <c r="G159" s="60"/>
      <c r="H159" s="63" t="s">
        <v>3518</v>
      </c>
      <c r="I159" s="60"/>
      <c r="J159" s="60"/>
      <c r="K159" s="60"/>
      <c r="L159" s="60"/>
      <c r="M159" s="60"/>
      <c r="N159" s="60"/>
      <c r="O159" s="60"/>
      <c r="P159" s="60"/>
      <c r="Q159" s="60"/>
      <c r="R159" s="60"/>
      <c r="S159" s="60"/>
      <c r="T159" s="60"/>
      <c r="U159" s="60"/>
      <c r="V159" s="60"/>
      <c r="W159" s="60"/>
      <c r="X159" s="60"/>
    </row>
    <row r="160">
      <c r="A160" s="62">
        <f t="array" ref="A160">IFERROR(
INDEX(FEBRERO!B:B, MATCH(E160, FEBRERO!T:T, 0)),
IFERROR(
INDEX(MARZO!B:B, MATCH(E160, MARZO!T:T, 0)),
""
)
)</f>
        <v>46081</v>
      </c>
      <c r="B160" s="15" t="str">
        <f>IFERROR(__xludf.DUMMYFUNCTION("""COMPUTED_VALUE"""),"Jhonny Crespo")</f>
        <v>Jhonny Crespo</v>
      </c>
      <c r="C160" s="15" t="str">
        <f>IFERROR(__xludf.DUMMYFUNCTION("""COMPUTED_VALUE"""),"FreeBeat Adapter")</f>
        <v>FreeBeat Adapter</v>
      </c>
      <c r="D160" s="15" t="str">
        <f>IFERROR(__xludf.DUMMYFUNCTION("""COMPUTED_VALUE"""),"PENDIENTE")</f>
        <v>PENDIENTE</v>
      </c>
      <c r="E160" s="15">
        <f>IFERROR(__xludf.DUMMYFUNCTION("""COMPUTED_VALUE"""),4652888.0)</f>
        <v>4652888</v>
      </c>
      <c r="F160" s="15" t="s">
        <v>3548</v>
      </c>
      <c r="G160" s="60"/>
      <c r="H160" s="63" t="s">
        <v>3518</v>
      </c>
      <c r="I160" s="60"/>
      <c r="J160" s="60"/>
      <c r="K160" s="60"/>
      <c r="L160" s="60"/>
      <c r="M160" s="60"/>
      <c r="N160" s="60"/>
      <c r="O160" s="60"/>
      <c r="P160" s="60"/>
      <c r="Q160" s="60"/>
      <c r="R160" s="60"/>
      <c r="S160" s="60"/>
      <c r="T160" s="60"/>
      <c r="U160" s="60"/>
      <c r="V160" s="60"/>
      <c r="W160" s="60"/>
      <c r="X160" s="60"/>
    </row>
    <row r="161">
      <c r="A161" s="62">
        <f t="array" ref="A161">IFERROR(
INDEX(FEBRERO!B:B, MATCH(E161, FEBRERO!T:T, 0)),
IFERROR(
INDEX(MARZO!B:B, MATCH(E161, MARZO!T:T, 0)),
""
)
)</f>
        <v>46081</v>
      </c>
      <c r="B161" s="15" t="str">
        <f>IFERROR(__xludf.DUMMYFUNCTION("""COMPUTED_VALUE"""),"Jaime Jimenez")</f>
        <v>Jaime Jimenez</v>
      </c>
      <c r="C161" s="15" t="str">
        <f>IFERROR(__xludf.DUMMYFUNCTION("""COMPUTED_VALUE"""),"FilmPro®")</f>
        <v>FilmPro®</v>
      </c>
      <c r="D161" s="15" t="str">
        <f>IFERROR(__xludf.DUMMYFUNCTION("""COMPUTED_VALUE"""),"PENDIENTE")</f>
        <v>PENDIENTE</v>
      </c>
      <c r="E161" s="15">
        <f>IFERROR(__xludf.DUMMYFUNCTION("""COMPUTED_VALUE"""),4653003.0)</f>
        <v>4653003</v>
      </c>
      <c r="F161" s="15" t="s">
        <v>3549</v>
      </c>
      <c r="G161" s="60"/>
      <c r="H161" s="63" t="s">
        <v>3518</v>
      </c>
      <c r="I161" s="60"/>
      <c r="J161" s="60"/>
      <c r="K161" s="60"/>
      <c r="L161" s="60"/>
      <c r="M161" s="60"/>
      <c r="N161" s="60"/>
      <c r="O161" s="60"/>
      <c r="P161" s="60"/>
      <c r="Q161" s="60"/>
      <c r="R161" s="60"/>
      <c r="S161" s="60"/>
      <c r="T161" s="60"/>
      <c r="U161" s="60"/>
      <c r="V161" s="60"/>
      <c r="W161" s="60"/>
      <c r="X161" s="60"/>
    </row>
    <row r="162">
      <c r="A162" s="62">
        <f t="array" ref="A162">IFERROR(
INDEX(FEBRERO!B:B, MATCH(E162, FEBRERO!T:T, 0)),
IFERROR(
INDEX(MARZO!B:B, MATCH(E162, MARZO!T:T, 0)),
""
)
)</f>
        <v>46081</v>
      </c>
      <c r="B162" s="15" t="str">
        <f>IFERROR(__xludf.DUMMYFUNCTION("""COMPUTED_VALUE"""),"Fernando Gualli")</f>
        <v>Fernando Gualli</v>
      </c>
      <c r="C162" s="15" t="str">
        <f>IFERROR(__xludf.DUMMYFUNCTION("""COMPUTED_VALUE"""),"FilmPro®")</f>
        <v>FilmPro®</v>
      </c>
      <c r="D162" s="15" t="str">
        <f>IFERROR(__xludf.DUMMYFUNCTION("""COMPUTED_VALUE"""),"PENDIENTE")</f>
        <v>PENDIENTE</v>
      </c>
      <c r="E162" s="15">
        <f>IFERROR(__xludf.DUMMYFUNCTION("""COMPUTED_VALUE"""),4653092.0)</f>
        <v>4653092</v>
      </c>
      <c r="F162" s="15" t="s">
        <v>3550</v>
      </c>
      <c r="G162" s="60"/>
      <c r="H162" s="63" t="s">
        <v>3551</v>
      </c>
      <c r="I162" s="60"/>
      <c r="J162" s="60"/>
      <c r="K162" s="60"/>
      <c r="L162" s="60"/>
      <c r="M162" s="60"/>
      <c r="N162" s="60"/>
      <c r="O162" s="60"/>
      <c r="P162" s="60"/>
      <c r="Q162" s="60"/>
      <c r="R162" s="60"/>
      <c r="S162" s="60"/>
      <c r="T162" s="60"/>
      <c r="U162" s="60"/>
      <c r="V162" s="60"/>
      <c r="W162" s="60"/>
      <c r="X162" s="60"/>
    </row>
    <row r="163">
      <c r="A163" s="62">
        <f t="array" ref="A163">IFERROR(
INDEX(FEBRERO!B:B, MATCH(E163, FEBRERO!T:T, 0)),
IFERROR(
INDEX(MARZO!B:B, MATCH(E163, MARZO!T:T, 0)),
""
)
)</f>
        <v>46081</v>
      </c>
      <c r="B163" s="64" t="str">
        <f>IFERROR(__xludf.DUMMYFUNCTION("""COMPUTED_VALUE"""),"Joffre Alexander García calva")</f>
        <v>Joffre Alexander García calva</v>
      </c>
      <c r="C163" s="64" t="str">
        <f>IFERROR(__xludf.DUMMYFUNCTION("""COMPUTED_VALUE"""),"Cuchillo Tazaki™")</f>
        <v>Cuchillo Tazaki™</v>
      </c>
      <c r="D163" s="64" t="str">
        <f>IFERROR(__xludf.DUMMYFUNCTION("""COMPUTED_VALUE"""),"PENDIENTE")</f>
        <v>PENDIENTE</v>
      </c>
      <c r="E163" s="64">
        <f>IFERROR(__xludf.DUMMYFUNCTION("""COMPUTED_VALUE"""),4653335.0)</f>
        <v>4653335</v>
      </c>
      <c r="F163" s="64" t="s">
        <v>3552</v>
      </c>
      <c r="G163" s="60"/>
      <c r="H163" s="63" t="s">
        <v>3518</v>
      </c>
      <c r="I163" s="60"/>
      <c r="J163" s="60"/>
      <c r="K163" s="60"/>
      <c r="L163" s="60"/>
      <c r="M163" s="60"/>
      <c r="N163" s="60"/>
      <c r="O163" s="60"/>
      <c r="P163" s="60"/>
      <c r="Q163" s="60"/>
      <c r="R163" s="60"/>
      <c r="S163" s="60"/>
      <c r="T163" s="60"/>
      <c r="U163" s="60"/>
      <c r="V163" s="60"/>
      <c r="W163" s="60"/>
      <c r="X163" s="60"/>
    </row>
    <row r="164">
      <c r="A164" s="62">
        <f t="array" ref="A164">IFERROR(
INDEX(FEBRERO!B:B, MATCH(E164, FEBRERO!T:T, 0)),
IFERROR(
INDEX(MARZO!B:B, MATCH(E164, MARZO!T:T, 0)),
""
)
)</f>
        <v>46081</v>
      </c>
      <c r="B164" s="64" t="str">
        <f>IFERROR(__xludf.DUMMYFUNCTION("""COMPUTED_VALUE"""),"Magus Segovia")</f>
        <v>Magus Segovia</v>
      </c>
      <c r="C164" s="64" t="str">
        <f>IFERROR(__xludf.DUMMYFUNCTION("""COMPUTED_VALUE"""),"Cuchillo Tazaki™")</f>
        <v>Cuchillo Tazaki™</v>
      </c>
      <c r="D164" s="15" t="str">
        <f>IFERROR(__xludf.DUMMYFUNCTION("""COMPUTED_VALUE"""),"PENDIENTE")</f>
        <v>PENDIENTE</v>
      </c>
      <c r="E164" s="15">
        <f>IFERROR(__xludf.DUMMYFUNCTION("""COMPUTED_VALUE"""),4653362.0)</f>
        <v>4653362</v>
      </c>
      <c r="F164" s="64" t="s">
        <v>3553</v>
      </c>
      <c r="G164" s="60"/>
      <c r="H164" s="63" t="s">
        <v>3518</v>
      </c>
      <c r="I164" s="60"/>
      <c r="J164" s="60"/>
      <c r="K164" s="60"/>
      <c r="L164" s="60"/>
      <c r="M164" s="60"/>
      <c r="N164" s="60"/>
      <c r="O164" s="60"/>
      <c r="P164" s="60"/>
      <c r="Q164" s="60"/>
      <c r="R164" s="60"/>
      <c r="S164" s="60"/>
      <c r="T164" s="60"/>
      <c r="U164" s="60"/>
      <c r="V164" s="60"/>
      <c r="W164" s="60"/>
      <c r="X164" s="60"/>
    </row>
    <row r="165">
      <c r="A165" s="62">
        <f t="array" ref="A165">IFERROR(
INDEX(FEBRERO!B:B, MATCH(E165, FEBRERO!T:T, 0)),
IFERROR(
INDEX(MARZO!B:B, MATCH(E165, MARZO!T:T, 0)),
""
)
)</f>
        <v>46081</v>
      </c>
      <c r="B165" s="15" t="str">
        <f>IFERROR(__xludf.DUMMYFUNCTION("""COMPUTED_VALUE"""),"Bryan Sánchez Sánchez")</f>
        <v>Bryan Sánchez Sánchez</v>
      </c>
      <c r="C165" s="15" t="str">
        <f>IFERROR(__xludf.DUMMYFUNCTION("""COMPUTED_VALUE"""),"FilmPro®")</f>
        <v>FilmPro®</v>
      </c>
      <c r="D165" s="15" t="str">
        <f>IFERROR(__xludf.DUMMYFUNCTION("""COMPUTED_VALUE"""),"PENDIENTE")</f>
        <v>PENDIENTE</v>
      </c>
      <c r="E165" s="15">
        <f>IFERROR(__xludf.DUMMYFUNCTION("""COMPUTED_VALUE"""),4654767.0)</f>
        <v>4654767</v>
      </c>
      <c r="F165" s="15" t="s">
        <v>3554</v>
      </c>
      <c r="G165" s="60"/>
      <c r="H165" s="63" t="s">
        <v>3518</v>
      </c>
      <c r="I165" s="60"/>
      <c r="J165" s="60"/>
      <c r="K165" s="60"/>
      <c r="L165" s="60"/>
      <c r="M165" s="60"/>
      <c r="N165" s="60"/>
      <c r="O165" s="60"/>
      <c r="P165" s="60"/>
      <c r="Q165" s="60"/>
      <c r="R165" s="60"/>
      <c r="S165" s="60"/>
      <c r="T165" s="60"/>
      <c r="U165" s="60"/>
      <c r="V165" s="60"/>
      <c r="W165" s="60"/>
      <c r="X165" s="60"/>
    </row>
    <row r="166">
      <c r="A166" s="62">
        <f t="array" ref="A166">IFERROR(
INDEX(FEBRERO!B:B, MATCH(E166, FEBRERO!T:T, 0)),
IFERROR(
INDEX(MARZO!B:B, MATCH(E166, MARZO!T:T, 0)),
""
)
)</f>
        <v>46081</v>
      </c>
      <c r="B166" s="15" t="str">
        <f>IFERROR(__xludf.DUMMYFUNCTION("""COMPUTED_VALUE"""),"Guillermo Antonio Salguero Olmedo")</f>
        <v>Guillermo Antonio Salguero Olmedo</v>
      </c>
      <c r="C166" s="15" t="str">
        <f>IFERROR(__xludf.DUMMYFUNCTION("""COMPUTED_VALUE"""),"FilmPro®")</f>
        <v>FilmPro®</v>
      </c>
      <c r="D166" s="15" t="str">
        <f>IFERROR(__xludf.DUMMYFUNCTION("""COMPUTED_VALUE"""),"PENDIENTE")</f>
        <v>PENDIENTE</v>
      </c>
      <c r="E166" s="15">
        <f>IFERROR(__xludf.DUMMYFUNCTION("""COMPUTED_VALUE"""),4655832.0)</f>
        <v>4655832</v>
      </c>
      <c r="F166" s="15" t="s">
        <v>3555</v>
      </c>
      <c r="G166" s="60"/>
      <c r="H166" s="63" t="s">
        <v>3518</v>
      </c>
      <c r="I166" s="60"/>
      <c r="J166" s="60"/>
      <c r="K166" s="60"/>
      <c r="L166" s="60"/>
      <c r="M166" s="60"/>
      <c r="N166" s="60"/>
      <c r="O166" s="60"/>
      <c r="P166" s="60"/>
      <c r="Q166" s="60"/>
      <c r="R166" s="60"/>
      <c r="S166" s="60"/>
      <c r="T166" s="60"/>
      <c r="U166" s="60"/>
      <c r="V166" s="60"/>
      <c r="W166" s="60"/>
      <c r="X166" s="60"/>
    </row>
    <row r="167">
      <c r="A167" s="62">
        <f t="array" ref="A167">IFERROR(
INDEX(FEBRERO!B:B, MATCH(E167, FEBRERO!T:T, 0)),
IFERROR(
INDEX(MARZO!B:B, MATCH(E167, MARZO!T:T, 0)),
""
)
)</f>
        <v>46081</v>
      </c>
      <c r="B167" s="15" t="str">
        <f>IFERROR(__xludf.DUMMYFUNCTION("""COMPUTED_VALUE"""),"Denisse Cruz Yance")</f>
        <v>Denisse Cruz Yance</v>
      </c>
      <c r="C167" s="15" t="str">
        <f>IFERROR(__xludf.DUMMYFUNCTION("""COMPUTED_VALUE"""),"FilmPro®")</f>
        <v>FilmPro®</v>
      </c>
      <c r="D167" s="15" t="str">
        <f>IFERROR(__xludf.DUMMYFUNCTION("""COMPUTED_VALUE"""),"PENDIENTE")</f>
        <v>PENDIENTE</v>
      </c>
      <c r="E167" s="15">
        <f>IFERROR(__xludf.DUMMYFUNCTION("""COMPUTED_VALUE"""),4656942.0)</f>
        <v>4656942</v>
      </c>
      <c r="F167" s="15" t="s">
        <v>3556</v>
      </c>
      <c r="G167" s="60"/>
      <c r="H167" s="63" t="s">
        <v>3518</v>
      </c>
      <c r="I167" s="60"/>
      <c r="J167" s="60"/>
      <c r="K167" s="60"/>
      <c r="L167" s="60"/>
      <c r="M167" s="60"/>
      <c r="N167" s="60"/>
      <c r="O167" s="60"/>
      <c r="P167" s="60"/>
      <c r="Q167" s="60"/>
      <c r="R167" s="60"/>
      <c r="S167" s="60"/>
      <c r="T167" s="60"/>
      <c r="U167" s="60"/>
      <c r="V167" s="60"/>
      <c r="W167" s="60"/>
      <c r="X167" s="60"/>
    </row>
    <row r="168">
      <c r="A168" s="62">
        <f t="array" ref="A168">IFERROR(
INDEX(FEBRERO!B:B, MATCH(E168, FEBRERO!T:T, 0)),
IFERROR(
INDEX(MARZO!B:B, MATCH(E168, MARZO!T:T, 0)),
""
)
)</f>
        <v>46082</v>
      </c>
      <c r="B168" s="62" t="str">
        <f>IFERROR(__xludf.DUMMYFUNCTION("""COMPUTED_VALUE"""),"Raul Rodriguez")</f>
        <v>Raul Rodriguez</v>
      </c>
      <c r="C168" s="62" t="str">
        <f>IFERROR(__xludf.DUMMYFUNCTION("""COMPUTED_VALUE"""),"FilmPro®")</f>
        <v>FilmPro®</v>
      </c>
      <c r="D168" s="62" t="str">
        <f>IFERROR(__xludf.DUMMYFUNCTION("""COMPUTED_VALUE"""),"PENDIENTE")</f>
        <v>PENDIENTE</v>
      </c>
      <c r="E168" s="15">
        <f>IFERROR(__xludf.DUMMYFUNCTION("""COMPUTED_VALUE"""),4657579.0)</f>
        <v>4657579</v>
      </c>
      <c r="F168" s="15" t="s">
        <v>3557</v>
      </c>
      <c r="G168" s="60"/>
      <c r="H168" s="63" t="s">
        <v>3518</v>
      </c>
      <c r="I168" s="60"/>
      <c r="J168" s="60"/>
      <c r="K168" s="60"/>
      <c r="L168" s="60"/>
      <c r="M168" s="60"/>
      <c r="N168" s="60"/>
      <c r="O168" s="60"/>
      <c r="P168" s="60"/>
      <c r="Q168" s="60"/>
      <c r="R168" s="60"/>
      <c r="S168" s="60"/>
      <c r="T168" s="60"/>
      <c r="U168" s="60"/>
      <c r="V168" s="60"/>
      <c r="W168" s="60"/>
      <c r="X168" s="60"/>
    </row>
    <row r="169">
      <c r="A169" s="62">
        <f t="array" ref="A169">IFERROR(
INDEX(FEBRERO!B:B, MATCH(E169, FEBRERO!T:T, 0)),
IFERROR(
INDEX(MARZO!B:B, MATCH(E169, MARZO!T:T, 0)),
""
)
)</f>
        <v>46082</v>
      </c>
      <c r="B169" s="62" t="str">
        <f>IFERROR(__xludf.DUMMYFUNCTION("""COMPUTED_VALUE"""),"ANGEL Cedillo")</f>
        <v>ANGEL Cedillo</v>
      </c>
      <c r="C169" s="62" t="str">
        <f>IFERROR(__xludf.DUMMYFUNCTION("""COMPUTED_VALUE"""),"Cuchillo Tazaki™")</f>
        <v>Cuchillo Tazaki™</v>
      </c>
      <c r="D169" s="62" t="str">
        <f>IFERROR(__xludf.DUMMYFUNCTION("""COMPUTED_VALUE"""),"PENDIENTE")</f>
        <v>PENDIENTE</v>
      </c>
      <c r="E169" s="64">
        <f>IFERROR(__xludf.DUMMYFUNCTION("""COMPUTED_VALUE"""),4658335.0)</f>
        <v>4658335</v>
      </c>
      <c r="F169" s="15" t="s">
        <v>3558</v>
      </c>
      <c r="G169" s="60"/>
      <c r="H169" s="63"/>
      <c r="I169" s="60"/>
      <c r="J169" s="60"/>
      <c r="K169" s="60"/>
      <c r="L169" s="60"/>
      <c r="M169" s="60"/>
      <c r="N169" s="60"/>
      <c r="O169" s="60"/>
      <c r="P169" s="60"/>
      <c r="Q169" s="60"/>
      <c r="R169" s="60"/>
      <c r="S169" s="60"/>
      <c r="T169" s="60"/>
      <c r="U169" s="60"/>
      <c r="V169" s="60"/>
      <c r="W169" s="60"/>
      <c r="X169" s="60"/>
    </row>
    <row r="170">
      <c r="A170" s="62">
        <f t="array" ref="A170">IFERROR(
INDEX(FEBRERO!B:B, MATCH(E170, FEBRERO!T:T, 0)),
IFERROR(
INDEX(MARZO!B:B, MATCH(E170, MARZO!T:T, 0)),
""
)
)</f>
        <v>46082</v>
      </c>
      <c r="B170" s="62" t="str">
        <f>IFERROR(__xludf.DUMMYFUNCTION("""COMPUTED_VALUE"""),"Jorge Aguinda")</f>
        <v>Jorge Aguinda</v>
      </c>
      <c r="C170" s="62" t="str">
        <f>IFERROR(__xludf.DUMMYFUNCTION("""COMPUTED_VALUE"""),"FilmPro®")</f>
        <v>FilmPro®</v>
      </c>
      <c r="D170" s="62" t="str">
        <f>IFERROR(__xludf.DUMMYFUNCTION("""COMPUTED_VALUE"""),"PENDIENTE")</f>
        <v>PENDIENTE</v>
      </c>
      <c r="E170" s="15">
        <f>IFERROR(__xludf.DUMMYFUNCTION("""COMPUTED_VALUE"""),4658369.0)</f>
        <v>4658369</v>
      </c>
      <c r="F170" s="15" t="s">
        <v>3559</v>
      </c>
      <c r="G170" s="60"/>
      <c r="H170" s="60"/>
      <c r="I170" s="60"/>
      <c r="J170" s="60"/>
      <c r="K170" s="60"/>
      <c r="L170" s="60"/>
      <c r="M170" s="60"/>
      <c r="N170" s="60"/>
      <c r="O170" s="60"/>
      <c r="P170" s="60"/>
      <c r="Q170" s="60"/>
      <c r="R170" s="60"/>
      <c r="S170" s="60"/>
      <c r="T170" s="60"/>
      <c r="U170" s="60"/>
      <c r="V170" s="60"/>
      <c r="W170" s="60"/>
      <c r="X170" s="60"/>
    </row>
    <row r="171">
      <c r="A171" s="62">
        <f t="array" ref="A171">IFERROR(
INDEX(FEBRERO!B:B, MATCH(E171, FEBRERO!T:T, 0)),
IFERROR(
INDEX(MARZO!B:B, MATCH(E171, MARZO!T:T, 0)),
""
)
)</f>
        <v>46082</v>
      </c>
      <c r="B171" s="62" t="str">
        <f>IFERROR(__xludf.DUMMYFUNCTION("""COMPUTED_VALUE"""),"Alex rojas")</f>
        <v>Alex rojas</v>
      </c>
      <c r="C171" s="62" t="str">
        <f>IFERROR(__xludf.DUMMYFUNCTION("""COMPUTED_VALUE"""),"FreeBeat Adapter")</f>
        <v>FreeBeat Adapter</v>
      </c>
      <c r="D171" s="62" t="str">
        <f>IFERROR(__xludf.DUMMYFUNCTION("""COMPUTED_VALUE"""),"PENDIENTE")</f>
        <v>PENDIENTE</v>
      </c>
      <c r="E171" s="15">
        <f>IFERROR(__xludf.DUMMYFUNCTION("""COMPUTED_VALUE"""),4659660.0)</f>
        <v>4659660</v>
      </c>
      <c r="F171" s="15" t="s">
        <v>3560</v>
      </c>
      <c r="G171" s="60"/>
      <c r="H171" s="60"/>
      <c r="I171" s="60"/>
      <c r="J171" s="60"/>
      <c r="K171" s="60"/>
      <c r="L171" s="60"/>
      <c r="M171" s="60"/>
      <c r="N171" s="60"/>
      <c r="O171" s="60"/>
      <c r="P171" s="60"/>
      <c r="Q171" s="60"/>
      <c r="R171" s="60"/>
      <c r="S171" s="60"/>
      <c r="T171" s="60"/>
      <c r="U171" s="60"/>
      <c r="V171" s="60"/>
      <c r="W171" s="60"/>
      <c r="X171" s="60"/>
    </row>
    <row r="172">
      <c r="A172" s="62">
        <f t="array" ref="A172">IFERROR(
INDEX(FEBRERO!B:B, MATCH(E172, FEBRERO!T:T, 0)),
IFERROR(
INDEX(MARZO!B:B, MATCH(E172, MARZO!T:T, 0)),
""
)
)</f>
        <v>46082</v>
      </c>
      <c r="B172" s="62" t="str">
        <f>IFERROR(__xludf.DUMMYFUNCTION("""COMPUTED_VALUE"""),"Jefferson Fuentes")</f>
        <v>Jefferson Fuentes</v>
      </c>
      <c r="C172" s="62" t="str">
        <f>IFERROR(__xludf.DUMMYFUNCTION("""COMPUTED_VALUE"""),"FilmPro®")</f>
        <v>FilmPro®</v>
      </c>
      <c r="D172" s="62" t="str">
        <f>IFERROR(__xludf.DUMMYFUNCTION("""COMPUTED_VALUE"""),"PENDIENTE")</f>
        <v>PENDIENTE</v>
      </c>
      <c r="E172" s="15">
        <f>IFERROR(__xludf.DUMMYFUNCTION("""COMPUTED_VALUE"""),4661824.0)</f>
        <v>4661824</v>
      </c>
      <c r="F172" s="15" t="s">
        <v>3561</v>
      </c>
      <c r="G172" s="60"/>
      <c r="H172" s="60"/>
      <c r="I172" s="60"/>
      <c r="J172" s="60"/>
      <c r="K172" s="60"/>
      <c r="L172" s="60"/>
      <c r="M172" s="60"/>
      <c r="N172" s="60"/>
      <c r="O172" s="60"/>
      <c r="P172" s="60"/>
      <c r="Q172" s="60"/>
      <c r="R172" s="60"/>
      <c r="S172" s="60"/>
      <c r="T172" s="60"/>
      <c r="U172" s="60"/>
      <c r="V172" s="60"/>
      <c r="W172" s="60"/>
      <c r="X172" s="60"/>
    </row>
    <row r="173">
      <c r="A173" s="62">
        <f t="array" ref="A173">IFERROR(
INDEX(FEBRERO!B:B, MATCH(E173, FEBRERO!T:T, 0)),
IFERROR(
INDEX(MARZO!B:B, MATCH(E173, MARZO!T:T, 0)),
""
)
)</f>
        <v>46082</v>
      </c>
      <c r="B173" s="62" t="str">
        <f>IFERROR(__xludf.DUMMYFUNCTION("""COMPUTED_VALUE"""),"Christian Carpio")</f>
        <v>Christian Carpio</v>
      </c>
      <c r="C173" s="62" t="str">
        <f>IFERROR(__xludf.DUMMYFUNCTION("""COMPUTED_VALUE"""),"FilmPro®")</f>
        <v>FilmPro®</v>
      </c>
      <c r="D173" s="62" t="str">
        <f>IFERROR(__xludf.DUMMYFUNCTION("""COMPUTED_VALUE"""),"PENDIENTE")</f>
        <v>PENDIENTE</v>
      </c>
      <c r="E173" s="15">
        <f>IFERROR(__xludf.DUMMYFUNCTION("""COMPUTED_VALUE"""),4662240.0)</f>
        <v>4662240</v>
      </c>
      <c r="F173" s="15" t="s">
        <v>3562</v>
      </c>
      <c r="G173" s="60"/>
      <c r="H173" s="60"/>
      <c r="I173" s="60"/>
      <c r="J173" s="60"/>
      <c r="K173" s="60"/>
      <c r="L173" s="60"/>
      <c r="M173" s="60"/>
      <c r="N173" s="60"/>
      <c r="O173" s="60"/>
      <c r="P173" s="60"/>
      <c r="Q173" s="60"/>
      <c r="R173" s="60"/>
      <c r="S173" s="60"/>
      <c r="T173" s="60"/>
      <c r="U173" s="60"/>
      <c r="V173" s="60"/>
      <c r="W173" s="60"/>
      <c r="X173" s="60"/>
    </row>
    <row r="174">
      <c r="A174" s="62">
        <f t="array" ref="A174">IFERROR(
INDEX(FEBRERO!B:B, MATCH(E174, FEBRERO!T:T, 0)),
IFERROR(
INDEX(MARZO!B:B, MATCH(E174, MARZO!T:T, 0)),
""
)
)</f>
        <v>46082</v>
      </c>
      <c r="B174" s="62" t="str">
        <f>IFERROR(__xludf.DUMMYFUNCTION("""COMPUTED_VALUE"""),"Mercedes Alegría")</f>
        <v>Mercedes Alegría</v>
      </c>
      <c r="C174" s="62" t="str">
        <f>IFERROR(__xludf.DUMMYFUNCTION("""COMPUTED_VALUE"""),"Cuchillo Tazaki™")</f>
        <v>Cuchillo Tazaki™</v>
      </c>
      <c r="D174" s="62" t="str">
        <f>IFERROR(__xludf.DUMMYFUNCTION("""COMPUTED_VALUE"""),"PENDIENTE")</f>
        <v>PENDIENTE</v>
      </c>
      <c r="E174" s="15">
        <f>IFERROR(__xludf.DUMMYFUNCTION("""COMPUTED_VALUE"""),4662357.0)</f>
        <v>4662357</v>
      </c>
      <c r="F174" s="15" t="s">
        <v>3563</v>
      </c>
      <c r="G174" s="60"/>
      <c r="H174" s="60"/>
      <c r="I174" s="60"/>
      <c r="J174" s="60"/>
      <c r="K174" s="60"/>
      <c r="L174" s="60"/>
      <c r="M174" s="60"/>
      <c r="N174" s="60"/>
      <c r="O174" s="60"/>
      <c r="P174" s="60"/>
      <c r="Q174" s="60"/>
      <c r="R174" s="60"/>
      <c r="S174" s="60"/>
      <c r="T174" s="60"/>
      <c r="U174" s="60"/>
      <c r="V174" s="60"/>
      <c r="W174" s="60"/>
      <c r="X174" s="60"/>
    </row>
    <row r="175">
      <c r="A175" s="62">
        <f t="array" ref="A175">IFERROR(
INDEX(FEBRERO!B:B, MATCH(E175, FEBRERO!T:T, 0)),
IFERROR(
INDEX(MARZO!B:B, MATCH(E175, MARZO!T:T, 0)),
""
)
)</f>
        <v>46082</v>
      </c>
      <c r="B175" s="62" t="str">
        <f>IFERROR(__xludf.DUMMYFUNCTION("""COMPUTED_VALUE"""),"Jhonny Cabello")</f>
        <v>Jhonny Cabello</v>
      </c>
      <c r="C175" s="62" t="str">
        <f>IFERROR(__xludf.DUMMYFUNCTION("""COMPUTED_VALUE"""),"Cuchillo Tazaki™")</f>
        <v>Cuchillo Tazaki™</v>
      </c>
      <c r="D175" s="62" t="str">
        <f>IFERROR(__xludf.DUMMYFUNCTION("""COMPUTED_VALUE"""),"PENDIENTE")</f>
        <v>PENDIENTE</v>
      </c>
      <c r="E175" s="15">
        <f>IFERROR(__xludf.DUMMYFUNCTION("""COMPUTED_VALUE"""),4664010.0)</f>
        <v>4664010</v>
      </c>
      <c r="F175" s="15" t="s">
        <v>3564</v>
      </c>
      <c r="G175" s="60"/>
      <c r="H175" s="60"/>
      <c r="I175" s="60"/>
      <c r="J175" s="60"/>
      <c r="K175" s="60"/>
      <c r="L175" s="60"/>
      <c r="M175" s="60"/>
      <c r="N175" s="60"/>
      <c r="O175" s="60"/>
      <c r="P175" s="60"/>
      <c r="Q175" s="60"/>
      <c r="R175" s="60"/>
      <c r="S175" s="60"/>
      <c r="T175" s="60"/>
      <c r="U175" s="60"/>
      <c r="V175" s="60"/>
      <c r="W175" s="60"/>
      <c r="X175" s="60"/>
    </row>
    <row r="176">
      <c r="A176" s="62">
        <f t="array" ref="A176">IFERROR(
INDEX(FEBRERO!B:B, MATCH(E176, FEBRERO!T:T, 0)),
IFERROR(
INDEX(MARZO!B:B, MATCH(E176, MARZO!T:T, 0)),
""
)
)</f>
        <v>46082</v>
      </c>
      <c r="B176" s="15" t="str">
        <f>IFERROR(__xludf.DUMMYFUNCTION("""COMPUTED_VALUE"""),"Edwin Israel Arturo Loor")</f>
        <v>Edwin Israel Arturo Loor</v>
      </c>
      <c r="C176" s="62" t="str">
        <f>IFERROR(__xludf.DUMMYFUNCTION("""COMPUTED_VALUE"""),"FilmPro®")</f>
        <v>FilmPro®</v>
      </c>
      <c r="D176" s="62" t="str">
        <f>IFERROR(__xludf.DUMMYFUNCTION("""COMPUTED_VALUE"""),"PENDIENTE")</f>
        <v>PENDIENTE</v>
      </c>
      <c r="E176" s="15">
        <f>IFERROR(__xludf.DUMMYFUNCTION("""COMPUTED_VALUE"""),4665798.0)</f>
        <v>4665798</v>
      </c>
      <c r="F176" s="15" t="s">
        <v>3565</v>
      </c>
      <c r="G176" s="60"/>
      <c r="H176" s="60"/>
      <c r="I176" s="60"/>
      <c r="J176" s="60"/>
      <c r="K176" s="60"/>
      <c r="L176" s="60"/>
      <c r="M176" s="60"/>
      <c r="N176" s="60"/>
      <c r="O176" s="60"/>
      <c r="P176" s="60"/>
      <c r="Q176" s="60"/>
      <c r="R176" s="60"/>
      <c r="S176" s="60"/>
      <c r="T176" s="60"/>
      <c r="U176" s="60"/>
      <c r="V176" s="60"/>
      <c r="W176" s="60"/>
      <c r="X176" s="60"/>
    </row>
    <row r="177">
      <c r="A177" s="62">
        <f t="array" ref="A177">IFERROR(
INDEX(FEBRERO!B:B, MATCH(E177, FEBRERO!T:T, 0)),
IFERROR(
INDEX(MARZO!B:B, MATCH(E177, MARZO!T:T, 0)),
""
)
)</f>
        <v>46082</v>
      </c>
      <c r="B177" s="15" t="str">
        <f>IFERROR(__xludf.DUMMYFUNCTION("""COMPUTED_VALUE"""),"Luis Cagua")</f>
        <v>Luis Cagua</v>
      </c>
      <c r="C177" s="62" t="str">
        <f>IFERROR(__xludf.DUMMYFUNCTION("""COMPUTED_VALUE"""),"FreeBeat Adapter")</f>
        <v>FreeBeat Adapter</v>
      </c>
      <c r="D177" s="62" t="str">
        <f>IFERROR(__xludf.DUMMYFUNCTION("""COMPUTED_VALUE"""),"PENDIENTE")</f>
        <v>PENDIENTE</v>
      </c>
      <c r="E177" s="15">
        <f>IFERROR(__xludf.DUMMYFUNCTION("""COMPUTED_VALUE"""),4666185.0)</f>
        <v>4666185</v>
      </c>
      <c r="F177" s="15" t="s">
        <v>3566</v>
      </c>
      <c r="G177" s="60"/>
      <c r="H177" s="60"/>
      <c r="I177" s="60"/>
      <c r="J177" s="60"/>
      <c r="K177" s="60"/>
      <c r="L177" s="60"/>
      <c r="M177" s="60"/>
      <c r="N177" s="60"/>
      <c r="O177" s="60"/>
      <c r="P177" s="60"/>
      <c r="Q177" s="60"/>
      <c r="R177" s="60"/>
      <c r="S177" s="60"/>
      <c r="T177" s="60"/>
      <c r="U177" s="60"/>
      <c r="V177" s="60"/>
      <c r="W177" s="60"/>
      <c r="X177" s="60"/>
    </row>
    <row r="178">
      <c r="A178" s="62">
        <f t="array" ref="A178">IFERROR(
INDEX(FEBRERO!B:B, MATCH(E178, FEBRERO!T:T, 0)),
IFERROR(
INDEX(MARZO!B:B, MATCH(E178, MARZO!T:T, 0)),
""
)
)</f>
        <v>46082</v>
      </c>
      <c r="B178" s="15" t="str">
        <f>IFERROR(__xludf.DUMMYFUNCTION("""COMPUTED_VALUE"""),"Jesus Bermello")</f>
        <v>Jesus Bermello</v>
      </c>
      <c r="C178" s="62" t="str">
        <f>IFERROR(__xludf.DUMMYFUNCTION("""COMPUTED_VALUE"""),"Cuchillo Tazaki™")</f>
        <v>Cuchillo Tazaki™</v>
      </c>
      <c r="D178" s="62" t="str">
        <f>IFERROR(__xludf.DUMMYFUNCTION("""COMPUTED_VALUE"""),"PENDIENTE")</f>
        <v>PENDIENTE</v>
      </c>
      <c r="E178" s="15">
        <f>IFERROR(__xludf.DUMMYFUNCTION("""COMPUTED_VALUE"""),4666246.0)</f>
        <v>4666246</v>
      </c>
      <c r="F178" s="15" t="s">
        <v>3567</v>
      </c>
      <c r="G178" s="60"/>
      <c r="H178" s="60"/>
      <c r="I178" s="60"/>
      <c r="J178" s="60"/>
      <c r="K178" s="60"/>
      <c r="L178" s="60"/>
      <c r="M178" s="60"/>
      <c r="N178" s="60"/>
      <c r="O178" s="60"/>
      <c r="P178" s="60"/>
      <c r="Q178" s="60"/>
      <c r="R178" s="60"/>
      <c r="S178" s="60"/>
      <c r="T178" s="60"/>
      <c r="U178" s="60"/>
      <c r="V178" s="60"/>
      <c r="W178" s="60"/>
      <c r="X178" s="60"/>
    </row>
    <row r="179">
      <c r="A179" s="62">
        <f t="array" ref="A179">IFERROR(
INDEX(FEBRERO!B:B, MATCH(E179, FEBRERO!T:T, 0)),
IFERROR(
INDEX(MARZO!B:B, MATCH(E179, MARZO!T:T, 0)),
""
)
)</f>
        <v>46083</v>
      </c>
      <c r="B179" s="15" t="str">
        <f>IFERROR(__xludf.DUMMYFUNCTION("""COMPUTED_VALUE"""),"Lourdes Zambrano Loor")</f>
        <v>Lourdes Zambrano Loor</v>
      </c>
      <c r="C179" s="62" t="str">
        <f>IFERROR(__xludf.DUMMYFUNCTION("""COMPUTED_VALUE"""),"Cuchillo Tazaki™")</f>
        <v>Cuchillo Tazaki™</v>
      </c>
      <c r="D179" s="62" t="str">
        <f>IFERROR(__xludf.DUMMYFUNCTION("""COMPUTED_VALUE"""),"PENDIENTE")</f>
        <v>PENDIENTE</v>
      </c>
      <c r="E179" s="15">
        <f>IFERROR(__xludf.DUMMYFUNCTION("""COMPUTED_VALUE"""),4675709.0)</f>
        <v>4675709</v>
      </c>
      <c r="F179" s="15" t="s">
        <v>3568</v>
      </c>
      <c r="G179" s="60"/>
      <c r="H179" s="60"/>
      <c r="I179" s="60"/>
      <c r="J179" s="60"/>
      <c r="K179" s="60"/>
      <c r="L179" s="60"/>
      <c r="M179" s="60"/>
      <c r="N179" s="60"/>
      <c r="O179" s="60"/>
      <c r="P179" s="60"/>
      <c r="Q179" s="60"/>
      <c r="R179" s="60"/>
      <c r="S179" s="60"/>
      <c r="T179" s="60"/>
      <c r="U179" s="60"/>
      <c r="V179" s="60"/>
      <c r="W179" s="60"/>
      <c r="X179" s="60"/>
    </row>
    <row r="180">
      <c r="A180" s="62">
        <f t="array" ref="A180">IFERROR(
INDEX(FEBRERO!B:B, MATCH(E180, FEBRERO!T:T, 0)),
IFERROR(
INDEX(MARZO!B:B, MATCH(E180, MARZO!T:T, 0)),
""
)
)</f>
        <v>46083</v>
      </c>
      <c r="B180" s="15" t="str">
        <f>IFERROR(__xludf.DUMMYFUNCTION("""COMPUTED_VALUE"""),"Juan Andres Ube")</f>
        <v>Juan Andres Ube</v>
      </c>
      <c r="C180" s="62" t="str">
        <f>IFERROR(__xludf.DUMMYFUNCTION("""COMPUTED_VALUE"""),"FilmPro®")</f>
        <v>FilmPro®</v>
      </c>
      <c r="D180" s="62" t="str">
        <f>IFERROR(__xludf.DUMMYFUNCTION("""COMPUTED_VALUE"""),"PENDIENTE")</f>
        <v>PENDIENTE</v>
      </c>
      <c r="E180" s="15">
        <f>IFERROR(__xludf.DUMMYFUNCTION("""COMPUTED_VALUE"""),4667719.0)</f>
        <v>4667719</v>
      </c>
      <c r="F180" s="15" t="s">
        <v>3569</v>
      </c>
      <c r="G180" s="60"/>
      <c r="H180" s="60"/>
      <c r="I180" s="60"/>
      <c r="J180" s="60"/>
      <c r="K180" s="60"/>
      <c r="L180" s="60"/>
      <c r="M180" s="60"/>
      <c r="N180" s="60"/>
      <c r="O180" s="60"/>
      <c r="P180" s="60"/>
      <c r="Q180" s="60"/>
      <c r="R180" s="60"/>
      <c r="S180" s="60"/>
      <c r="T180" s="60"/>
      <c r="U180" s="60"/>
      <c r="V180" s="60"/>
      <c r="W180" s="60"/>
      <c r="X180" s="60"/>
    </row>
    <row r="181">
      <c r="A181" s="62">
        <f t="array" ref="A181">IFERROR(
INDEX(FEBRERO!B:B, MATCH(E181, FEBRERO!T:T, 0)),
IFERROR(
INDEX(MARZO!B:B, MATCH(E181, MARZO!T:T, 0)),
""
)
)</f>
        <v>46083</v>
      </c>
      <c r="B181" s="15" t="str">
        <f>IFERROR(__xludf.DUMMYFUNCTION("""COMPUTED_VALUE"""),"Emily Loor")</f>
        <v>Emily Loor</v>
      </c>
      <c r="C181" s="62" t="str">
        <f>IFERROR(__xludf.DUMMYFUNCTION("""COMPUTED_VALUE"""),"FilmPro®")</f>
        <v>FilmPro®</v>
      </c>
      <c r="D181" s="62" t="str">
        <f>IFERROR(__xludf.DUMMYFUNCTION("""COMPUTED_VALUE"""),"PENDIENTE")</f>
        <v>PENDIENTE</v>
      </c>
      <c r="E181" s="15">
        <f>IFERROR(__xludf.DUMMYFUNCTION("""COMPUTED_VALUE"""),4668426.0)</f>
        <v>4668426</v>
      </c>
      <c r="F181" s="15" t="s">
        <v>3570</v>
      </c>
      <c r="G181" s="60"/>
      <c r="H181" s="60"/>
      <c r="I181" s="60"/>
      <c r="J181" s="60"/>
      <c r="K181" s="60"/>
      <c r="L181" s="60"/>
      <c r="M181" s="60"/>
      <c r="N181" s="60"/>
      <c r="O181" s="60"/>
      <c r="P181" s="60"/>
      <c r="Q181" s="60"/>
      <c r="R181" s="60"/>
      <c r="S181" s="60"/>
      <c r="T181" s="60"/>
      <c r="U181" s="60"/>
      <c r="V181" s="60"/>
      <c r="W181" s="60"/>
      <c r="X181" s="60"/>
    </row>
    <row r="182">
      <c r="A182" s="62">
        <f t="array" ref="A182">IFERROR(
INDEX(FEBRERO!B:B, MATCH(E182, FEBRERO!T:T, 0)),
IFERROR(
INDEX(MARZO!B:B, MATCH(E182, MARZO!T:T, 0)),
""
)
)</f>
        <v>46083</v>
      </c>
      <c r="B182" s="15" t="str">
        <f>IFERROR(__xludf.DUMMYFUNCTION("""COMPUTED_VALUE"""),"Cesar Beroy")</f>
        <v>Cesar Beroy</v>
      </c>
      <c r="C182" s="62" t="str">
        <f>IFERROR(__xludf.DUMMYFUNCTION("""COMPUTED_VALUE"""),"FreeBeat Adapter")</f>
        <v>FreeBeat Adapter</v>
      </c>
      <c r="D182" s="62" t="str">
        <f>IFERROR(__xludf.DUMMYFUNCTION("""COMPUTED_VALUE"""),"PENDIENTE")</f>
        <v>PENDIENTE</v>
      </c>
      <c r="E182" s="15">
        <f>IFERROR(__xludf.DUMMYFUNCTION("""COMPUTED_VALUE"""),4668591.0)</f>
        <v>4668591</v>
      </c>
      <c r="F182" s="15" t="s">
        <v>3571</v>
      </c>
      <c r="G182" s="60"/>
      <c r="H182" s="60"/>
      <c r="I182" s="60"/>
      <c r="J182" s="60"/>
      <c r="K182" s="60"/>
      <c r="L182" s="60"/>
      <c r="M182" s="60"/>
      <c r="N182" s="60"/>
      <c r="O182" s="60"/>
      <c r="P182" s="60"/>
      <c r="Q182" s="60"/>
      <c r="R182" s="60"/>
      <c r="S182" s="60"/>
      <c r="T182" s="60"/>
      <c r="U182" s="60"/>
      <c r="V182" s="60"/>
      <c r="W182" s="60"/>
      <c r="X182" s="60"/>
    </row>
    <row r="183">
      <c r="A183" s="62">
        <f t="array" ref="A183">IFERROR(
INDEX(FEBRERO!B:B, MATCH(E183, FEBRERO!T:T, 0)),
IFERROR(
INDEX(MARZO!B:B, MATCH(E183, MARZO!T:T, 0)),
""
)
)</f>
        <v>46083</v>
      </c>
      <c r="B183" s="15" t="str">
        <f>IFERROR(__xludf.DUMMYFUNCTION("""COMPUTED_VALUE"""),"Pedro Castillo
")</f>
        <v>Pedro Castillo
</v>
      </c>
      <c r="C183" s="62" t="str">
        <f>IFERROR(__xludf.DUMMYFUNCTION("""COMPUTED_VALUE"""),"Cuchillo Tazaki™")</f>
        <v>Cuchillo Tazaki™</v>
      </c>
      <c r="D183" s="62" t="str">
        <f>IFERROR(__xludf.DUMMYFUNCTION("""COMPUTED_VALUE"""),"PENDIENTE")</f>
        <v>PENDIENTE</v>
      </c>
      <c r="E183" s="15">
        <f>IFERROR(__xludf.DUMMYFUNCTION("""COMPUTED_VALUE"""),4674081.0)</f>
        <v>4674081</v>
      </c>
      <c r="F183" s="15" t="s">
        <v>3572</v>
      </c>
      <c r="G183" s="60"/>
      <c r="H183" s="60"/>
      <c r="I183" s="60"/>
      <c r="J183" s="60"/>
      <c r="K183" s="60"/>
      <c r="L183" s="60"/>
      <c r="M183" s="60"/>
      <c r="N183" s="60"/>
      <c r="O183" s="60"/>
      <c r="P183" s="60"/>
      <c r="Q183" s="60"/>
      <c r="R183" s="60"/>
      <c r="S183" s="60"/>
      <c r="T183" s="60"/>
      <c r="U183" s="60"/>
      <c r="V183" s="60"/>
      <c r="W183" s="60"/>
      <c r="X183" s="60"/>
    </row>
    <row r="184">
      <c r="A184" s="62">
        <f t="array" ref="A184">IFERROR(
INDEX(FEBRERO!B:B, MATCH(E184, FEBRERO!T:T, 0)),
IFERROR(
INDEX(MARZO!B:B, MATCH(E184, MARZO!T:T, 0)),
""
)
)</f>
        <v>46083</v>
      </c>
      <c r="B184" s="15" t="str">
        <f>IFERROR(__xludf.DUMMYFUNCTION("""COMPUTED_VALUE"""),"DIGNA MARISOL ROSERO GAVILANEZ")</f>
        <v>DIGNA MARISOL ROSERO GAVILANEZ</v>
      </c>
      <c r="C184" s="62" t="str">
        <f>IFERROR(__xludf.DUMMYFUNCTION("""COMPUTED_VALUE"""),"FilmPro®")</f>
        <v>FilmPro®</v>
      </c>
      <c r="D184" s="62" t="str">
        <f>IFERROR(__xludf.DUMMYFUNCTION("""COMPUTED_VALUE"""),"PENDIENTE")</f>
        <v>PENDIENTE</v>
      </c>
      <c r="E184" s="15">
        <f>IFERROR(__xludf.DUMMYFUNCTION("""COMPUTED_VALUE"""),4674958.0)</f>
        <v>4674958</v>
      </c>
      <c r="F184" s="15" t="s">
        <v>3573</v>
      </c>
      <c r="G184" s="60"/>
      <c r="H184" s="60"/>
      <c r="I184" s="60"/>
      <c r="J184" s="60"/>
      <c r="K184" s="60"/>
      <c r="L184" s="60"/>
      <c r="M184" s="60"/>
      <c r="N184" s="60"/>
      <c r="O184" s="60"/>
      <c r="P184" s="60"/>
      <c r="Q184" s="60"/>
      <c r="R184" s="60"/>
      <c r="S184" s="60"/>
      <c r="T184" s="60"/>
      <c r="U184" s="60"/>
      <c r="V184" s="60"/>
      <c r="W184" s="60"/>
      <c r="X184" s="60"/>
    </row>
    <row r="185">
      <c r="A185" s="62">
        <f t="array" ref="A185">IFERROR(
INDEX(FEBRERO!B:B, MATCH(E185, FEBRERO!T:T, 0)),
IFERROR(
INDEX(MARZO!B:B, MATCH(E185, MARZO!T:T, 0)),
""
)
)</f>
        <v>46083</v>
      </c>
      <c r="B185" s="15" t="str">
        <f>IFERROR(__xludf.DUMMYFUNCTION("""COMPUTED_VALUE"""),"Mario Segura")</f>
        <v>Mario Segura</v>
      </c>
      <c r="C185" s="62" t="str">
        <f>IFERROR(__xludf.DUMMYFUNCTION("""COMPUTED_VALUE"""),"FilmPro®")</f>
        <v>FilmPro®</v>
      </c>
      <c r="D185" s="62" t="str">
        <f>IFERROR(__xludf.DUMMYFUNCTION("""COMPUTED_VALUE"""),"PENDIENTE")</f>
        <v>PENDIENTE</v>
      </c>
      <c r="E185" s="15">
        <f>IFERROR(__xludf.DUMMYFUNCTION("""COMPUTED_VALUE"""),4676341.0)</f>
        <v>4676341</v>
      </c>
      <c r="F185" s="15" t="s">
        <v>3574</v>
      </c>
      <c r="G185" s="60"/>
      <c r="H185" s="60"/>
      <c r="I185" s="60"/>
      <c r="J185" s="60"/>
      <c r="K185" s="60"/>
      <c r="L185" s="60"/>
      <c r="M185" s="60"/>
      <c r="N185" s="60"/>
      <c r="O185" s="60"/>
      <c r="P185" s="60"/>
      <c r="Q185" s="60"/>
      <c r="R185" s="60"/>
      <c r="S185" s="60"/>
      <c r="T185" s="60"/>
      <c r="U185" s="60"/>
      <c r="V185" s="60"/>
      <c r="W185" s="60"/>
      <c r="X185" s="60"/>
    </row>
    <row r="186">
      <c r="A186" s="62">
        <f t="array" ref="A186">IFERROR(
INDEX(FEBRERO!B:B, MATCH(E186, FEBRERO!T:T, 0)),
IFERROR(
INDEX(MARZO!B:B, MATCH(E186, MARZO!T:T, 0)),
""
)
)</f>
        <v>46083</v>
      </c>
      <c r="B186" s="15" t="str">
        <f>IFERROR(__xludf.DUMMYFUNCTION("""COMPUTED_VALUE"""),"Hector Lenin Gallardo Robalino")</f>
        <v>Hector Lenin Gallardo Robalino</v>
      </c>
      <c r="C186" s="62" t="str">
        <f>IFERROR(__xludf.DUMMYFUNCTION("""COMPUTED_VALUE"""),"FreeBeat Adapter")</f>
        <v>FreeBeat Adapter</v>
      </c>
      <c r="D186" s="62" t="str">
        <f>IFERROR(__xludf.DUMMYFUNCTION("""COMPUTED_VALUE"""),"PENDIENTE")</f>
        <v>PENDIENTE</v>
      </c>
      <c r="E186" s="15">
        <f>IFERROR(__xludf.DUMMYFUNCTION("""COMPUTED_VALUE"""),4677031.0)</f>
        <v>4677031</v>
      </c>
      <c r="F186" s="15" t="s">
        <v>3575</v>
      </c>
      <c r="G186" s="60"/>
      <c r="H186" s="60"/>
      <c r="I186" s="60"/>
      <c r="J186" s="60"/>
      <c r="K186" s="60"/>
      <c r="L186" s="60"/>
      <c r="M186" s="60"/>
      <c r="N186" s="60"/>
      <c r="O186" s="60"/>
      <c r="P186" s="60"/>
      <c r="Q186" s="60"/>
      <c r="R186" s="60"/>
      <c r="S186" s="60"/>
      <c r="T186" s="60"/>
      <c r="U186" s="60"/>
      <c r="V186" s="60"/>
      <c r="W186" s="60"/>
      <c r="X186" s="60"/>
    </row>
    <row r="187">
      <c r="A187" s="62">
        <f t="array" ref="A187">IFERROR(
INDEX(FEBRERO!B:B, MATCH(E187, FEBRERO!T:T, 0)),
IFERROR(
INDEX(MARZO!B:B, MATCH(E187, MARZO!T:T, 0)),
""
)
)</f>
        <v>46083</v>
      </c>
      <c r="B187" s="15" t="str">
        <f>IFERROR(__xludf.DUMMYFUNCTION("""COMPUTED_VALUE"""),"Jorge bunay Buñay")</f>
        <v>Jorge bunay Buñay</v>
      </c>
      <c r="C187" s="62" t="str">
        <f>IFERROR(__xludf.DUMMYFUNCTION("""COMPUTED_VALUE"""),"FreeBeat Adapter")</f>
        <v>FreeBeat Adapter</v>
      </c>
      <c r="D187" s="62" t="str">
        <f>IFERROR(__xludf.DUMMYFUNCTION("""COMPUTED_VALUE"""),"PENDIENTE")</f>
        <v>PENDIENTE</v>
      </c>
      <c r="E187" s="15">
        <f>IFERROR(__xludf.DUMMYFUNCTION("""COMPUTED_VALUE"""),4677782.0)</f>
        <v>4677782</v>
      </c>
      <c r="F187" s="15" t="s">
        <v>3576</v>
      </c>
      <c r="G187" s="60"/>
      <c r="H187" s="60"/>
      <c r="I187" s="60"/>
      <c r="J187" s="60"/>
      <c r="K187" s="60"/>
      <c r="L187" s="60"/>
      <c r="M187" s="60"/>
      <c r="N187" s="60"/>
      <c r="O187" s="60"/>
      <c r="P187" s="60"/>
      <c r="Q187" s="60"/>
      <c r="R187" s="60"/>
      <c r="S187" s="60"/>
      <c r="T187" s="60"/>
      <c r="U187" s="60"/>
      <c r="V187" s="60"/>
      <c r="W187" s="60"/>
      <c r="X187" s="60"/>
    </row>
    <row r="188">
      <c r="A188" s="62">
        <f t="array" ref="A188">IFERROR(
INDEX(FEBRERO!B:B, MATCH(E188, FEBRERO!T:T, 0)),
IFERROR(
INDEX(MARZO!B:B, MATCH(E188, MARZO!T:T, 0)),
""
)
)</f>
        <v>46083</v>
      </c>
      <c r="B188" s="15" t="str">
        <f>IFERROR(__xludf.DUMMYFUNCTION("""COMPUTED_VALUE"""),"Líder Eduardo Mendoza Garcia Eduardo Mendoza Garcia")</f>
        <v>Líder Eduardo Mendoza Garcia Eduardo Mendoza Garcia</v>
      </c>
      <c r="C188" s="62" t="str">
        <f>IFERROR(__xludf.DUMMYFUNCTION("""COMPUTED_VALUE"""),"Cuchillo Tazaki™")</f>
        <v>Cuchillo Tazaki™</v>
      </c>
      <c r="D188" s="62" t="str">
        <f>IFERROR(__xludf.DUMMYFUNCTION("""COMPUTED_VALUE"""),"PENDIENTE")</f>
        <v>PENDIENTE</v>
      </c>
      <c r="E188" s="15">
        <f>IFERROR(__xludf.DUMMYFUNCTION("""COMPUTED_VALUE"""),4677799.0)</f>
        <v>4677799</v>
      </c>
      <c r="F188" s="15" t="s">
        <v>3577</v>
      </c>
      <c r="G188" s="60"/>
      <c r="H188" s="60"/>
      <c r="I188" s="60"/>
      <c r="J188" s="60"/>
      <c r="K188" s="60"/>
      <c r="L188" s="60"/>
      <c r="M188" s="60"/>
      <c r="N188" s="60"/>
      <c r="O188" s="60"/>
      <c r="P188" s="60"/>
      <c r="Q188" s="60"/>
      <c r="R188" s="60"/>
      <c r="S188" s="60"/>
      <c r="T188" s="60"/>
      <c r="U188" s="60"/>
      <c r="V188" s="60"/>
      <c r="W188" s="60"/>
      <c r="X188" s="60"/>
    </row>
    <row r="189">
      <c r="A189" s="62">
        <f t="array" ref="A189">IFERROR(
INDEX(FEBRERO!B:B, MATCH(E189, FEBRERO!T:T, 0)),
IFERROR(
INDEX(MARZO!B:B, MATCH(E189, MARZO!T:T, 0)),
""
)
)</f>
        <v>46084</v>
      </c>
      <c r="B189" s="15" t="str">
        <f>IFERROR(__xludf.DUMMYFUNCTION("""COMPUTED_VALUE"""),"Jack Melendez")</f>
        <v>Jack Melendez</v>
      </c>
      <c r="C189" s="62" t="str">
        <f>IFERROR(__xludf.DUMMYFUNCTION("""COMPUTED_VALUE"""),"FreeBeat Adapter")</f>
        <v>FreeBeat Adapter</v>
      </c>
      <c r="D189" s="62" t="str">
        <f>IFERROR(__xludf.DUMMYFUNCTION("""COMPUTED_VALUE"""),"PENDIENTE")</f>
        <v>PENDIENTE</v>
      </c>
      <c r="E189" s="15">
        <f>IFERROR(__xludf.DUMMYFUNCTION("""COMPUTED_VALUE"""),4680837.0)</f>
        <v>4680837</v>
      </c>
      <c r="F189" s="15" t="s">
        <v>3578</v>
      </c>
      <c r="G189" s="60"/>
      <c r="H189" s="60"/>
      <c r="I189" s="60"/>
      <c r="J189" s="60"/>
      <c r="K189" s="60"/>
      <c r="L189" s="60"/>
      <c r="M189" s="60"/>
      <c r="N189" s="60"/>
      <c r="O189" s="60"/>
      <c r="P189" s="60"/>
      <c r="Q189" s="60"/>
      <c r="R189" s="60"/>
      <c r="S189" s="60"/>
      <c r="T189" s="60"/>
      <c r="U189" s="60"/>
      <c r="V189" s="60"/>
      <c r="W189" s="60"/>
      <c r="X189" s="60"/>
    </row>
    <row r="190">
      <c r="A190" s="62">
        <f t="array" ref="A190">IFERROR(
INDEX(FEBRERO!B:B, MATCH(E190, FEBRERO!T:T, 0)),
IFERROR(
INDEX(MARZO!B:B, MATCH(E190, MARZO!T:T, 0)),
""
)
)</f>
        <v>46086</v>
      </c>
      <c r="B190" s="15" t="str">
        <f>IFERROR(__xludf.DUMMYFUNCTION("""COMPUTED_VALUE"""),"Alvaro Peñaherrera Peñaherrera")</f>
        <v>Alvaro Peñaherrera Peñaherrera</v>
      </c>
      <c r="C190" s="15" t="str">
        <f>IFERROR(__xludf.DUMMYFUNCTION("""COMPUTED_VALUE"""),"FreeBeat Adapter")</f>
        <v>FreeBeat Adapter</v>
      </c>
      <c r="D190" s="62" t="str">
        <f>IFERROR(__xludf.DUMMYFUNCTION("""COMPUTED_VALUE"""),"PENDIENTE")</f>
        <v>PENDIENTE</v>
      </c>
      <c r="E190" s="15">
        <f>IFERROR(__xludf.DUMMYFUNCTION("""COMPUTED_VALUE"""),4707881.0)</f>
        <v>4707881</v>
      </c>
      <c r="F190" s="15" t="s">
        <v>3579</v>
      </c>
      <c r="G190" s="60"/>
      <c r="H190" s="60"/>
      <c r="I190" s="60"/>
      <c r="J190" s="60"/>
      <c r="K190" s="60"/>
      <c r="L190" s="60"/>
      <c r="M190" s="60"/>
      <c r="N190" s="60"/>
      <c r="O190" s="60"/>
      <c r="P190" s="60"/>
      <c r="Q190" s="60"/>
      <c r="R190" s="60"/>
      <c r="S190" s="60"/>
      <c r="T190" s="60"/>
      <c r="U190" s="60"/>
      <c r="V190" s="60"/>
      <c r="W190" s="60"/>
      <c r="X190" s="60"/>
    </row>
    <row r="191">
      <c r="A191" s="62">
        <f t="array" ref="A191">IFERROR(
INDEX(FEBRERO!B:B, MATCH(E191, FEBRERO!T:T, 0)),
IFERROR(
INDEX(MARZO!B:B, MATCH(E191, MARZO!T:T, 0)),
""
)
)</f>
        <v>46086</v>
      </c>
      <c r="B191" s="15" t="str">
        <f>IFERROR(__xludf.DUMMYFUNCTION("""COMPUTED_VALUE"""),"hugo ponce")</f>
        <v>hugo ponce</v>
      </c>
      <c r="C191" s="15" t="str">
        <f>IFERROR(__xludf.DUMMYFUNCTION("""COMPUTED_VALUE"""),"FilmPro®")</f>
        <v>FilmPro®</v>
      </c>
      <c r="D191" s="62" t="str">
        <f>IFERROR(__xludf.DUMMYFUNCTION("""COMPUTED_VALUE"""),"PENDIENTE")</f>
        <v>PENDIENTE</v>
      </c>
      <c r="E191" s="15">
        <f>IFERROR(__xludf.DUMMYFUNCTION("""COMPUTED_VALUE"""),4717166.0)</f>
        <v>4717166</v>
      </c>
      <c r="F191" s="15" t="s">
        <v>3580</v>
      </c>
      <c r="G191" s="60"/>
      <c r="H191" s="60"/>
      <c r="I191" s="60"/>
      <c r="J191" s="60"/>
      <c r="K191" s="60"/>
      <c r="L191" s="60"/>
      <c r="M191" s="60"/>
      <c r="N191" s="60"/>
      <c r="O191" s="60"/>
      <c r="P191" s="60"/>
      <c r="Q191" s="60"/>
      <c r="R191" s="60"/>
      <c r="S191" s="60"/>
      <c r="T191" s="60"/>
      <c r="U191" s="60"/>
      <c r="V191" s="60"/>
      <c r="W191" s="60"/>
      <c r="X191" s="60"/>
    </row>
    <row r="192">
      <c r="A192" s="62">
        <f t="array" ref="A192">IFERROR(
INDEX(FEBRERO!B:B, MATCH(E192, FEBRERO!T:T, 0)),
IFERROR(
INDEX(MARZO!B:B, MATCH(E192, MARZO!T:T, 0)),
""
)
)</f>
        <v>46087</v>
      </c>
      <c r="B192" s="15" t="str">
        <f>IFERROR(__xludf.DUMMYFUNCTION("""COMPUTED_VALUE"""),"Alberto Yajamin")</f>
        <v>Alberto Yajamin</v>
      </c>
      <c r="C192" s="15" t="str">
        <f>IFERROR(__xludf.DUMMYFUNCTION("""COMPUTED_VALUE"""),"FreeBeat Adapter")</f>
        <v>FreeBeat Adapter</v>
      </c>
      <c r="D192" s="62" t="str">
        <f>IFERROR(__xludf.DUMMYFUNCTION("""COMPUTED_VALUE"""),"PENDIENTE")</f>
        <v>PENDIENTE</v>
      </c>
      <c r="E192" s="15">
        <f>IFERROR(__xludf.DUMMYFUNCTION("""COMPUTED_VALUE"""),4722368.0)</f>
        <v>4722368</v>
      </c>
      <c r="F192" s="15" t="s">
        <v>3581</v>
      </c>
      <c r="G192" s="60"/>
      <c r="H192" s="60"/>
      <c r="I192" s="60"/>
      <c r="J192" s="60"/>
      <c r="K192" s="60"/>
      <c r="L192" s="60"/>
      <c r="M192" s="60"/>
      <c r="N192" s="60"/>
      <c r="O192" s="60"/>
      <c r="P192" s="60"/>
      <c r="Q192" s="60"/>
      <c r="R192" s="60"/>
      <c r="S192" s="60"/>
      <c r="T192" s="60"/>
      <c r="U192" s="60"/>
      <c r="V192" s="60"/>
      <c r="W192" s="60"/>
      <c r="X192" s="60"/>
    </row>
    <row r="193">
      <c r="A193" s="62">
        <f t="array" ref="A193">IFERROR(
INDEX(FEBRERO!B:B, MATCH(E193, FEBRERO!T:T, 0)),
IFERROR(
INDEX(MARZO!B:B, MATCH(E193, MARZO!T:T, 0)),
""
)
)</f>
        <v>46087</v>
      </c>
      <c r="B193" s="15" t="str">
        <f>IFERROR(__xludf.DUMMYFUNCTION("""COMPUTED_VALUE"""),"Marilyn Mera")</f>
        <v>Marilyn Mera</v>
      </c>
      <c r="C193" s="15" t="str">
        <f>IFERROR(__xludf.DUMMYFUNCTION("""COMPUTED_VALUE"""),"FilmPro®")</f>
        <v>FilmPro®</v>
      </c>
      <c r="D193" s="62" t="str">
        <f>IFERROR(__xludf.DUMMYFUNCTION("""COMPUTED_VALUE"""),"PENDIENTE")</f>
        <v>PENDIENTE</v>
      </c>
      <c r="E193" s="15">
        <f>IFERROR(__xludf.DUMMYFUNCTION("""COMPUTED_VALUE"""),4722961.0)</f>
        <v>4722961</v>
      </c>
      <c r="F193" s="15" t="s">
        <v>3582</v>
      </c>
      <c r="G193" s="60"/>
      <c r="H193" s="60"/>
      <c r="I193" s="60"/>
      <c r="J193" s="60"/>
      <c r="K193" s="60"/>
      <c r="L193" s="60"/>
      <c r="M193" s="60"/>
      <c r="N193" s="60"/>
      <c r="O193" s="60"/>
      <c r="P193" s="60"/>
      <c r="Q193" s="60"/>
      <c r="R193" s="60"/>
      <c r="S193" s="60"/>
      <c r="T193" s="60"/>
      <c r="U193" s="60"/>
      <c r="V193" s="60"/>
      <c r="W193" s="60"/>
      <c r="X193" s="60"/>
    </row>
    <row r="194">
      <c r="A194" s="62">
        <f t="array" ref="A194">IFERROR(
INDEX(FEBRERO!B:B, MATCH(E194, FEBRERO!T:T, 0)),
IFERROR(
INDEX(MARZO!B:B, MATCH(E194, MARZO!T:T, 0)),
""
)
)</f>
        <v>46087</v>
      </c>
      <c r="B194" s="15" t="str">
        <f>IFERROR(__xludf.DUMMYFUNCTION("""COMPUTED_VALUE"""),"Diego De la Cruz")</f>
        <v>Diego De la Cruz</v>
      </c>
      <c r="C194" s="15" t="str">
        <f>IFERROR(__xludf.DUMMYFUNCTION("""COMPUTED_VALUE"""),"FilmPro®")</f>
        <v>FilmPro®</v>
      </c>
      <c r="D194" s="62" t="str">
        <f>IFERROR(__xludf.DUMMYFUNCTION("""COMPUTED_VALUE"""),"PENDIENTE")</f>
        <v>PENDIENTE</v>
      </c>
      <c r="E194" s="15">
        <f>IFERROR(__xludf.DUMMYFUNCTION("""COMPUTED_VALUE"""),4725128.0)</f>
        <v>4725128</v>
      </c>
      <c r="F194" s="15" t="s">
        <v>3583</v>
      </c>
      <c r="G194" s="60"/>
      <c r="H194" s="60"/>
      <c r="I194" s="60"/>
      <c r="J194" s="60"/>
      <c r="K194" s="60"/>
      <c r="L194" s="60"/>
      <c r="M194" s="60"/>
      <c r="N194" s="60"/>
      <c r="O194" s="60"/>
      <c r="P194" s="60"/>
      <c r="Q194" s="60"/>
      <c r="R194" s="60"/>
      <c r="S194" s="60"/>
      <c r="T194" s="60"/>
      <c r="U194" s="60"/>
      <c r="V194" s="60"/>
      <c r="W194" s="60"/>
      <c r="X194" s="60"/>
    </row>
    <row r="195">
      <c r="A195" s="62">
        <f t="array" ref="A195">IFERROR(
INDEX(FEBRERO!B:B, MATCH(E195, FEBRERO!T:T, 0)),
IFERROR(
INDEX(MARZO!B:B, MATCH(E195, MARZO!T:T, 0)),
""
)
)</f>
        <v>46088</v>
      </c>
      <c r="B195" s="15" t="str">
        <f>IFERROR(__xludf.DUMMYFUNCTION("""COMPUTED_VALUE"""),"victor Kronfle")</f>
        <v>victor Kronfle</v>
      </c>
      <c r="C195" s="15" t="str">
        <f>IFERROR(__xludf.DUMMYFUNCTION("""COMPUTED_VALUE"""),"FilmPro®")</f>
        <v>FilmPro®</v>
      </c>
      <c r="D195" s="62" t="str">
        <f>IFERROR(__xludf.DUMMYFUNCTION("""COMPUTED_VALUE"""),"PENDIENTE")</f>
        <v>PENDIENTE</v>
      </c>
      <c r="E195" s="15">
        <f>IFERROR(__xludf.DUMMYFUNCTION("""COMPUTED_VALUE"""),4725679.0)</f>
        <v>4725679</v>
      </c>
      <c r="F195" s="15" t="s">
        <v>3584</v>
      </c>
      <c r="G195" s="60"/>
      <c r="H195" s="60"/>
      <c r="I195" s="60"/>
      <c r="J195" s="60"/>
      <c r="K195" s="60"/>
      <c r="L195" s="60"/>
      <c r="M195" s="60"/>
      <c r="N195" s="60"/>
      <c r="O195" s="60"/>
      <c r="P195" s="60"/>
      <c r="Q195" s="60"/>
      <c r="R195" s="60"/>
      <c r="S195" s="60"/>
      <c r="T195" s="60"/>
      <c r="U195" s="60"/>
      <c r="V195" s="60"/>
      <c r="W195" s="60"/>
      <c r="X195" s="60"/>
    </row>
    <row r="196">
      <c r="A196" s="62">
        <f t="array" ref="A196">IFERROR(
INDEX(FEBRERO!B:B, MATCH(E196, FEBRERO!T:T, 0)),
IFERROR(
INDEX(MARZO!B:B, MATCH(E196, MARZO!T:T, 0)),
""
)
)</f>
        <v>46061</v>
      </c>
      <c r="B196" s="15" t="str">
        <f>IFERROR(__xludf.DUMMYFUNCTION("""COMPUTED_VALUE"""),"German Villao")</f>
        <v>German Villao</v>
      </c>
      <c r="C196" s="15" t="str">
        <f>IFERROR(__xludf.DUMMYFUNCTION("""COMPUTED_VALUE"""),"FilmPro®")</f>
        <v>FilmPro®</v>
      </c>
      <c r="D196" s="62" t="str">
        <f>IFERROR(__xludf.DUMMYFUNCTION("""COMPUTED_VALUE"""),"PENDIENTE")</f>
        <v>PENDIENTE</v>
      </c>
      <c r="E196" s="15">
        <f>IFERROR(__xludf.DUMMYFUNCTION("""COMPUTED_VALUE"""),4727865.0)</f>
        <v>4727865</v>
      </c>
      <c r="F196" s="15" t="s">
        <v>3452</v>
      </c>
      <c r="G196" s="60"/>
      <c r="H196" s="60"/>
      <c r="I196" s="60"/>
      <c r="J196" s="60"/>
      <c r="K196" s="60"/>
      <c r="L196" s="60"/>
      <c r="M196" s="60"/>
      <c r="N196" s="60"/>
      <c r="O196" s="60"/>
      <c r="P196" s="60"/>
      <c r="Q196" s="60"/>
      <c r="R196" s="60"/>
      <c r="S196" s="60"/>
      <c r="T196" s="60"/>
      <c r="U196" s="60"/>
      <c r="V196" s="60"/>
      <c r="W196" s="60"/>
      <c r="X196" s="60"/>
    </row>
    <row r="197">
      <c r="A197" s="62">
        <f t="array" ref="A197">IFERROR(
INDEX(FEBRERO!B:B, MATCH(E197, FEBRERO!T:T, 0)),
IFERROR(
INDEX(MARZO!B:B, MATCH(E197, MARZO!T:T, 0)),
""
)
)</f>
        <v>46088</v>
      </c>
      <c r="B197" s="15" t="str">
        <f>IFERROR(__xludf.DUMMYFUNCTION("""COMPUTED_VALUE"""),"Jonathan Castro")</f>
        <v>Jonathan Castro</v>
      </c>
      <c r="C197" s="15" t="str">
        <f>IFERROR(__xludf.DUMMYFUNCTION("""COMPUTED_VALUE"""),"FilmPro®")</f>
        <v>FilmPro®</v>
      </c>
      <c r="D197" s="62" t="str">
        <f>IFERROR(__xludf.DUMMYFUNCTION("""COMPUTED_VALUE"""),"PENDIENTE")</f>
        <v>PENDIENTE</v>
      </c>
      <c r="E197" s="15">
        <f>IFERROR(__xludf.DUMMYFUNCTION("""COMPUTED_VALUE"""),4730245.0)</f>
        <v>4730245</v>
      </c>
      <c r="F197" s="15" t="s">
        <v>3585</v>
      </c>
      <c r="G197" s="60"/>
      <c r="H197" s="60"/>
      <c r="I197" s="60"/>
      <c r="J197" s="60"/>
      <c r="K197" s="60"/>
      <c r="L197" s="60"/>
      <c r="M197" s="60"/>
      <c r="N197" s="60"/>
      <c r="O197" s="60"/>
      <c r="P197" s="60"/>
      <c r="Q197" s="60"/>
      <c r="R197" s="60"/>
      <c r="S197" s="60"/>
      <c r="T197" s="60"/>
      <c r="U197" s="60"/>
      <c r="V197" s="60"/>
      <c r="W197" s="60"/>
      <c r="X197" s="60"/>
    </row>
    <row r="198">
      <c r="A198" s="62">
        <f t="array" ref="A198">IFERROR(
INDEX(FEBRERO!B:B, MATCH(E198, FEBRERO!T:T, 0)),
IFERROR(
INDEX(MARZO!B:B, MATCH(E198, MARZO!T:T, 0)),
""
)
)</f>
        <v>46088</v>
      </c>
      <c r="B198" s="15" t="str">
        <f>IFERROR(__xludf.DUMMYFUNCTION("""COMPUTED_VALUE"""),"Nascha Bermello")</f>
        <v>Nascha Bermello</v>
      </c>
      <c r="C198" s="15" t="str">
        <f>IFERROR(__xludf.DUMMYFUNCTION("""COMPUTED_VALUE"""),"FilmPro®")</f>
        <v>FilmPro®</v>
      </c>
      <c r="D198" s="62" t="str">
        <f>IFERROR(__xludf.DUMMYFUNCTION("""COMPUTED_VALUE"""),"PENDIENTE")</f>
        <v>PENDIENTE</v>
      </c>
      <c r="E198" s="15">
        <f>IFERROR(__xludf.DUMMYFUNCTION("""COMPUTED_VALUE"""),4731326.0)</f>
        <v>4731326</v>
      </c>
      <c r="F198" s="15" t="s">
        <v>3586</v>
      </c>
      <c r="G198" s="60"/>
      <c r="H198" s="60"/>
      <c r="I198" s="60"/>
      <c r="J198" s="60"/>
      <c r="K198" s="60"/>
      <c r="L198" s="60"/>
      <c r="M198" s="60"/>
      <c r="N198" s="60"/>
      <c r="O198" s="60"/>
      <c r="P198" s="60"/>
      <c r="Q198" s="60"/>
      <c r="R198" s="60"/>
      <c r="S198" s="60"/>
      <c r="T198" s="60"/>
      <c r="U198" s="60"/>
      <c r="V198" s="60"/>
      <c r="W198" s="60"/>
      <c r="X198" s="60"/>
    </row>
    <row r="199">
      <c r="A199" s="62">
        <f t="array" ref="A199">IFERROR(
INDEX(FEBRERO!B:B, MATCH(E199, FEBRERO!T:T, 0)),
IFERROR(
INDEX(MARZO!B:B, MATCH(E199, MARZO!T:T, 0)),
""
)
)</f>
        <v>46088</v>
      </c>
      <c r="B199" s="15" t="str">
        <f>IFERROR(__xludf.DUMMYFUNCTION("""COMPUTED_VALUE"""),"Carlos Eduardo Galarza Asanza")</f>
        <v>Carlos Eduardo Galarza Asanza</v>
      </c>
      <c r="C199" s="15" t="str">
        <f>IFERROR(__xludf.DUMMYFUNCTION("""COMPUTED_VALUE"""),"FilmPro®")</f>
        <v>FilmPro®</v>
      </c>
      <c r="D199" s="62" t="str">
        <f>IFERROR(__xludf.DUMMYFUNCTION("""COMPUTED_VALUE"""),"PENDIENTE")</f>
        <v>PENDIENTE</v>
      </c>
      <c r="E199" s="15">
        <f>IFERROR(__xludf.DUMMYFUNCTION("""COMPUTED_VALUE"""),4731349.0)</f>
        <v>4731349</v>
      </c>
      <c r="F199" s="15" t="s">
        <v>3587</v>
      </c>
      <c r="G199" s="60"/>
      <c r="H199" s="60"/>
      <c r="I199" s="60"/>
      <c r="J199" s="60"/>
      <c r="K199" s="60"/>
      <c r="L199" s="60"/>
      <c r="M199" s="60"/>
      <c r="N199" s="60"/>
      <c r="O199" s="60"/>
      <c r="P199" s="60"/>
      <c r="Q199" s="60"/>
      <c r="R199" s="60"/>
      <c r="S199" s="60"/>
      <c r="T199" s="60"/>
      <c r="U199" s="60"/>
      <c r="V199" s="60"/>
      <c r="W199" s="60"/>
      <c r="X199" s="60"/>
    </row>
    <row r="200">
      <c r="A200" s="15"/>
      <c r="B200" s="15" t="str">
        <f>IFERROR(__xludf.DUMMYFUNCTION("""COMPUTED_VALUE"""),"Wilson García")</f>
        <v>Wilson García</v>
      </c>
      <c r="C200" s="15" t="str">
        <f>IFERROR(__xludf.DUMMYFUNCTION("""COMPUTED_VALUE"""),"FreeBeat Adapter")</f>
        <v>FreeBeat Adapter</v>
      </c>
      <c r="D200" s="62" t="str">
        <f>IFERROR(__xludf.DUMMYFUNCTION("""COMPUTED_VALUE"""),"PENDIENTE")</f>
        <v>PENDIENTE</v>
      </c>
      <c r="E200" s="15">
        <f>IFERROR(__xludf.DUMMYFUNCTION("""COMPUTED_VALUE"""),4731616.0)</f>
        <v>4731616</v>
      </c>
      <c r="F200" s="15" t="s">
        <v>3588</v>
      </c>
      <c r="G200" s="60"/>
      <c r="H200" s="60"/>
      <c r="I200" s="60"/>
      <c r="J200" s="60"/>
      <c r="K200" s="60"/>
      <c r="L200" s="60"/>
      <c r="M200" s="60"/>
      <c r="N200" s="60"/>
      <c r="O200" s="60"/>
      <c r="P200" s="60"/>
      <c r="Q200" s="60"/>
      <c r="R200" s="60"/>
      <c r="S200" s="60"/>
      <c r="T200" s="60"/>
      <c r="U200" s="60"/>
      <c r="V200" s="60"/>
      <c r="W200" s="60"/>
      <c r="X200" s="60"/>
    </row>
    <row r="201">
      <c r="A201" s="15"/>
      <c r="B201" s="15" t="str">
        <f>IFERROR(__xludf.DUMMYFUNCTION("""COMPUTED_VALUE"""),"Jeny Bustamante")</f>
        <v>Jeny Bustamante</v>
      </c>
      <c r="C201" s="15" t="str">
        <f>IFERROR(__xludf.DUMMYFUNCTION("""COMPUTED_VALUE"""),"FilmPro®")</f>
        <v>FilmPro®</v>
      </c>
      <c r="D201" s="62" t="str">
        <f>IFERROR(__xludf.DUMMYFUNCTION("""COMPUTED_VALUE"""),"PENDIENTE")</f>
        <v>PENDIENTE</v>
      </c>
      <c r="E201" s="15">
        <f>IFERROR(__xludf.DUMMYFUNCTION("""COMPUTED_VALUE"""),4734635.0)</f>
        <v>4734635</v>
      </c>
      <c r="F201" s="15" t="s">
        <v>3589</v>
      </c>
      <c r="G201" s="60"/>
      <c r="H201" s="60"/>
      <c r="I201" s="60"/>
      <c r="J201" s="60"/>
      <c r="K201" s="60"/>
      <c r="L201" s="60"/>
      <c r="M201" s="60"/>
      <c r="N201" s="60"/>
      <c r="O201" s="60"/>
      <c r="P201" s="60"/>
      <c r="Q201" s="60"/>
      <c r="R201" s="60"/>
      <c r="S201" s="60"/>
      <c r="T201" s="60"/>
      <c r="U201" s="60"/>
      <c r="V201" s="60"/>
      <c r="W201" s="60"/>
      <c r="X201" s="60"/>
    </row>
    <row r="202">
      <c r="A202" s="15"/>
      <c r="B202" s="15" t="str">
        <f>IFERROR(__xludf.DUMMYFUNCTION("""COMPUTED_VALUE"""),"Humberto Francisco Figueroa orrala")</f>
        <v>Humberto Francisco Figueroa orrala</v>
      </c>
      <c r="C202" s="15" t="str">
        <f>IFERROR(__xludf.DUMMYFUNCTION("""COMPUTED_VALUE"""),"FilmPro®")</f>
        <v>FilmPro®</v>
      </c>
      <c r="D202" s="62" t="str">
        <f>IFERROR(__xludf.DUMMYFUNCTION("""COMPUTED_VALUE"""),"PENDIENTE")</f>
        <v>PENDIENTE</v>
      </c>
      <c r="E202" s="15">
        <f>IFERROR(__xludf.DUMMYFUNCTION("""COMPUTED_VALUE"""),4744676.0)</f>
        <v>4744676</v>
      </c>
      <c r="F202" s="15" t="s">
        <v>3590</v>
      </c>
      <c r="G202" s="60"/>
      <c r="H202" s="60"/>
      <c r="I202" s="60"/>
      <c r="J202" s="60"/>
      <c r="K202" s="60"/>
      <c r="L202" s="60"/>
      <c r="M202" s="60"/>
      <c r="N202" s="60"/>
      <c r="O202" s="60"/>
      <c r="P202" s="60"/>
      <c r="Q202" s="60"/>
      <c r="R202" s="60"/>
      <c r="S202" s="60"/>
      <c r="T202" s="60"/>
      <c r="U202" s="60"/>
      <c r="V202" s="60"/>
      <c r="W202" s="60"/>
      <c r="X202" s="60"/>
    </row>
    <row r="203">
      <c r="A203" s="15"/>
      <c r="B203" s="15" t="str">
        <f>IFERROR(__xludf.DUMMYFUNCTION("""COMPUTED_VALUE"""),"Jusn Zambrano")</f>
        <v>Jusn Zambrano</v>
      </c>
      <c r="C203" s="15" t="str">
        <f>IFERROR(__xludf.DUMMYFUNCTION("""COMPUTED_VALUE"""),"DrainGuard Pro™")</f>
        <v>DrainGuard Pro™</v>
      </c>
      <c r="D203" s="62" t="str">
        <f>IFERROR(__xludf.DUMMYFUNCTION("""COMPUTED_VALUE"""),"PENDIENTE")</f>
        <v>PENDIENTE</v>
      </c>
      <c r="E203" s="15">
        <f>IFERROR(__xludf.DUMMYFUNCTION("""COMPUTED_VALUE"""),4736916.0)</f>
        <v>4736916</v>
      </c>
      <c r="F203" s="15" t="s">
        <v>3591</v>
      </c>
      <c r="G203" s="60"/>
      <c r="H203" s="60"/>
      <c r="I203" s="60"/>
      <c r="J203" s="60"/>
      <c r="K203" s="60"/>
      <c r="L203" s="60"/>
      <c r="M203" s="60"/>
      <c r="N203" s="60"/>
      <c r="O203" s="60"/>
      <c r="P203" s="60"/>
      <c r="Q203" s="60"/>
      <c r="R203" s="60"/>
      <c r="S203" s="60"/>
      <c r="T203" s="60"/>
      <c r="U203" s="60"/>
      <c r="V203" s="60"/>
      <c r="W203" s="60"/>
      <c r="X203" s="60"/>
    </row>
    <row r="204">
      <c r="A204" s="15"/>
      <c r="B204" s="15" t="str">
        <f>IFERROR(__xludf.DUMMYFUNCTION("""COMPUTED_VALUE"""),"José Chaluisa")</f>
        <v>José Chaluisa</v>
      </c>
      <c r="C204" s="15" t="str">
        <f>IFERROR(__xludf.DUMMYFUNCTION("""COMPUTED_VALUE"""),"FilmPro®")</f>
        <v>FilmPro®</v>
      </c>
      <c r="D204" s="62" t="str">
        <f>IFERROR(__xludf.DUMMYFUNCTION("""COMPUTED_VALUE"""),"PENDIENTE")</f>
        <v>PENDIENTE</v>
      </c>
      <c r="E204" s="15">
        <f>IFERROR(__xludf.DUMMYFUNCTION("""COMPUTED_VALUE"""),4750179.0)</f>
        <v>4750179</v>
      </c>
      <c r="F204" s="15" t="s">
        <v>3592</v>
      </c>
      <c r="G204" s="60"/>
      <c r="H204" s="60"/>
      <c r="I204" s="60"/>
      <c r="J204" s="60"/>
      <c r="K204" s="60"/>
      <c r="L204" s="60"/>
      <c r="M204" s="60"/>
      <c r="N204" s="60"/>
      <c r="O204" s="60"/>
      <c r="P204" s="60"/>
      <c r="Q204" s="60"/>
      <c r="R204" s="60"/>
      <c r="S204" s="60"/>
      <c r="T204" s="60"/>
      <c r="U204" s="60"/>
      <c r="V204" s="60"/>
      <c r="W204" s="60"/>
      <c r="X204" s="60"/>
    </row>
    <row r="205">
      <c r="A205" s="15"/>
      <c r="B205" s="15" t="str">
        <f>IFERROR(__xludf.DUMMYFUNCTION("""COMPUTED_VALUE"""),"Jerson Criollo")</f>
        <v>Jerson Criollo</v>
      </c>
      <c r="C205" s="15" t="str">
        <f>IFERROR(__xludf.DUMMYFUNCTION("""COMPUTED_VALUE"""),"FilmPro®")</f>
        <v>FilmPro®</v>
      </c>
      <c r="D205" s="62" t="str">
        <f>IFERROR(__xludf.DUMMYFUNCTION("""COMPUTED_VALUE"""),"PENDIENTE")</f>
        <v>PENDIENTE</v>
      </c>
      <c r="E205" s="15">
        <f>IFERROR(__xludf.DUMMYFUNCTION("""COMPUTED_VALUE"""),4751307.0)</f>
        <v>4751307</v>
      </c>
      <c r="F205" s="15" t="s">
        <v>3593</v>
      </c>
      <c r="G205" s="60"/>
      <c r="H205" s="60"/>
      <c r="I205" s="60"/>
      <c r="J205" s="60"/>
      <c r="K205" s="60"/>
      <c r="L205" s="60"/>
      <c r="M205" s="60"/>
      <c r="N205" s="60"/>
      <c r="O205" s="60"/>
      <c r="P205" s="60"/>
      <c r="Q205" s="60"/>
      <c r="R205" s="60"/>
      <c r="S205" s="60"/>
      <c r="T205" s="60"/>
      <c r="U205" s="60"/>
      <c r="V205" s="60"/>
      <c r="W205" s="60"/>
      <c r="X205" s="60"/>
    </row>
    <row r="206">
      <c r="A206" s="15"/>
      <c r="B206" s="15" t="str">
        <f>IFERROR(__xludf.DUMMYFUNCTION("""COMPUTED_VALUE"""),"Martha Espinel")</f>
        <v>Martha Espinel</v>
      </c>
      <c r="C206" s="15" t="str">
        <f>IFERROR(__xludf.DUMMYFUNCTION("""COMPUTED_VALUE"""),"DrainGuard Pro™")</f>
        <v>DrainGuard Pro™</v>
      </c>
      <c r="D206" s="62" t="str">
        <f>IFERROR(__xludf.DUMMYFUNCTION("""COMPUTED_VALUE"""),"PENDIENTE")</f>
        <v>PENDIENTE</v>
      </c>
      <c r="E206" s="15">
        <f>IFERROR(__xludf.DUMMYFUNCTION("""COMPUTED_VALUE"""),4754333.0)</f>
        <v>4754333</v>
      </c>
      <c r="F206" s="15" t="s">
        <v>3594</v>
      </c>
      <c r="G206" s="60"/>
      <c r="H206" s="60"/>
      <c r="I206" s="60"/>
      <c r="J206" s="60"/>
      <c r="K206" s="60"/>
      <c r="L206" s="60"/>
      <c r="M206" s="60"/>
      <c r="N206" s="60"/>
      <c r="O206" s="60"/>
      <c r="P206" s="60"/>
      <c r="Q206" s="60"/>
      <c r="R206" s="60"/>
      <c r="S206" s="60"/>
      <c r="T206" s="60"/>
      <c r="U206" s="60"/>
      <c r="V206" s="60"/>
      <c r="W206" s="60"/>
      <c r="X206" s="60"/>
    </row>
    <row r="207">
      <c r="A207" s="15"/>
      <c r="B207" s="15" t="str">
        <f>IFERROR(__xludf.DUMMYFUNCTION("""COMPUTED_VALUE"""),"María Ponce")</f>
        <v>María Ponce</v>
      </c>
      <c r="C207" s="15" t="str">
        <f>IFERROR(__xludf.DUMMYFUNCTION("""COMPUTED_VALUE"""),"DrainGuard Pro™")</f>
        <v>DrainGuard Pro™</v>
      </c>
      <c r="D207" s="62" t="str">
        <f>IFERROR(__xludf.DUMMYFUNCTION("""COMPUTED_VALUE"""),"PENDIENTE")</f>
        <v>PENDIENTE</v>
      </c>
      <c r="E207" s="15">
        <f>IFERROR(__xludf.DUMMYFUNCTION("""COMPUTED_VALUE"""),4759886.0)</f>
        <v>4759886</v>
      </c>
      <c r="F207" s="15" t="s">
        <v>3595</v>
      </c>
      <c r="G207" s="60"/>
      <c r="H207" s="60"/>
      <c r="I207" s="60"/>
      <c r="J207" s="60"/>
      <c r="K207" s="60"/>
      <c r="L207" s="60"/>
      <c r="M207" s="60"/>
      <c r="N207" s="60"/>
      <c r="O207" s="60"/>
      <c r="P207" s="60"/>
      <c r="Q207" s="60"/>
      <c r="R207" s="60"/>
      <c r="S207" s="60"/>
      <c r="T207" s="60"/>
      <c r="U207" s="60"/>
      <c r="V207" s="60"/>
      <c r="W207" s="60"/>
      <c r="X207" s="60"/>
    </row>
    <row r="208">
      <c r="A208" s="15"/>
      <c r="B208" s="15" t="str">
        <f>IFERROR(__xludf.DUMMYFUNCTION("""COMPUTED_VALUE"""),"Fausto Naranjo Gomez")</f>
        <v>Fausto Naranjo Gomez</v>
      </c>
      <c r="C208" s="15" t="str">
        <f>IFERROR(__xludf.DUMMYFUNCTION("""COMPUTED_VALUE"""),"DrainGuard Pro™")</f>
        <v>DrainGuard Pro™</v>
      </c>
      <c r="D208" s="62" t="str">
        <f>IFERROR(__xludf.DUMMYFUNCTION("""COMPUTED_VALUE"""),"PENDIENTE")</f>
        <v>PENDIENTE</v>
      </c>
      <c r="E208" s="15">
        <f>IFERROR(__xludf.DUMMYFUNCTION("""COMPUTED_VALUE"""),4761051.0)</f>
        <v>4761051</v>
      </c>
      <c r="F208" s="15" t="s">
        <v>3596</v>
      </c>
      <c r="G208" s="60"/>
      <c r="H208" s="60"/>
      <c r="I208" s="60"/>
      <c r="J208" s="60"/>
      <c r="K208" s="60"/>
      <c r="L208" s="60"/>
      <c r="M208" s="60"/>
      <c r="N208" s="60"/>
      <c r="O208" s="60"/>
      <c r="P208" s="60"/>
      <c r="Q208" s="60"/>
      <c r="R208" s="60"/>
      <c r="S208" s="60"/>
      <c r="T208" s="60"/>
      <c r="U208" s="60"/>
      <c r="V208" s="60"/>
      <c r="W208" s="60"/>
      <c r="X208" s="60"/>
    </row>
    <row r="209">
      <c r="A209" s="15"/>
      <c r="B209" s="15" t="str">
        <f>IFERROR(__xludf.DUMMYFUNCTION("""COMPUTED_VALUE"""),"Edilma Valencia")</f>
        <v>Edilma Valencia</v>
      </c>
      <c r="C209" s="15" t="str">
        <f>IFERROR(__xludf.DUMMYFUNCTION("""COMPUTED_VALUE"""),"FilmPro®")</f>
        <v>FilmPro®</v>
      </c>
      <c r="D209" s="62" t="str">
        <f>IFERROR(__xludf.DUMMYFUNCTION("""COMPUTED_VALUE"""),"PENDIENTE")</f>
        <v>PENDIENTE</v>
      </c>
      <c r="E209" s="15">
        <f>IFERROR(__xludf.DUMMYFUNCTION("""COMPUTED_VALUE"""),4764089.0)</f>
        <v>4764089</v>
      </c>
      <c r="F209" s="15" t="s">
        <v>3597</v>
      </c>
      <c r="G209" s="60"/>
      <c r="H209" s="60"/>
      <c r="I209" s="60"/>
      <c r="J209" s="60"/>
      <c r="K209" s="60"/>
      <c r="L209" s="60"/>
      <c r="M209" s="60"/>
      <c r="N209" s="60"/>
      <c r="O209" s="60"/>
      <c r="P209" s="60"/>
      <c r="Q209" s="60"/>
      <c r="R209" s="60"/>
      <c r="S209" s="60"/>
      <c r="T209" s="60"/>
      <c r="U209" s="60"/>
      <c r="V209" s="60"/>
      <c r="W209" s="60"/>
      <c r="X209" s="60"/>
    </row>
    <row r="210">
      <c r="A210" s="15"/>
      <c r="B210" s="15" t="str">
        <f>IFERROR(__xludf.DUMMYFUNCTION("""COMPUTED_VALUE"""),"Ivan Montalvo Cajas")</f>
        <v>Ivan Montalvo Cajas</v>
      </c>
      <c r="C210" s="15" t="str">
        <f>IFERROR(__xludf.DUMMYFUNCTION("""COMPUTED_VALUE"""),"DrainGuard Pro™")</f>
        <v>DrainGuard Pro™</v>
      </c>
      <c r="D210" s="62" t="str">
        <f>IFERROR(__xludf.DUMMYFUNCTION("""COMPUTED_VALUE"""),"PENDIENTE")</f>
        <v>PENDIENTE</v>
      </c>
      <c r="E210" s="15">
        <f>IFERROR(__xludf.DUMMYFUNCTION("""COMPUTED_VALUE"""),4772442.0)</f>
        <v>4772442</v>
      </c>
      <c r="F210" s="15" t="s">
        <v>3598</v>
      </c>
      <c r="G210" s="60"/>
      <c r="H210" s="60"/>
      <c r="I210" s="60"/>
      <c r="J210" s="60"/>
      <c r="K210" s="60"/>
      <c r="L210" s="60"/>
      <c r="M210" s="60"/>
      <c r="N210" s="60"/>
      <c r="O210" s="60"/>
      <c r="P210" s="60"/>
      <c r="Q210" s="60"/>
      <c r="R210" s="60"/>
      <c r="S210" s="60"/>
      <c r="T210" s="60"/>
      <c r="U210" s="60"/>
      <c r="V210" s="60"/>
      <c r="W210" s="60"/>
      <c r="X210" s="60"/>
    </row>
    <row r="211">
      <c r="A211" s="15"/>
      <c r="B211" s="15" t="str">
        <f>IFERROR(__xludf.DUMMYFUNCTION("""COMPUTED_VALUE"""),"Enrique Enrique Rivera")</f>
        <v>Enrique Enrique Rivera</v>
      </c>
      <c r="C211" s="15" t="str">
        <f>IFERROR(__xludf.DUMMYFUNCTION("""COMPUTED_VALUE"""),"FilmPro®")</f>
        <v>FilmPro®</v>
      </c>
      <c r="D211" s="62" t="str">
        <f>IFERROR(__xludf.DUMMYFUNCTION("""COMPUTED_VALUE"""),"PENDIENTE")</f>
        <v>PENDIENTE</v>
      </c>
      <c r="E211" s="15">
        <f>IFERROR(__xludf.DUMMYFUNCTION("""COMPUTED_VALUE"""),4776071.0)</f>
        <v>4776071</v>
      </c>
      <c r="F211" s="15" t="s">
        <v>3599</v>
      </c>
      <c r="G211" s="60"/>
      <c r="H211" s="60"/>
      <c r="I211" s="60"/>
      <c r="J211" s="60"/>
      <c r="K211" s="60"/>
      <c r="L211" s="60"/>
      <c r="M211" s="60"/>
      <c r="N211" s="60"/>
      <c r="O211" s="60"/>
      <c r="P211" s="60"/>
      <c r="Q211" s="60"/>
      <c r="R211" s="60"/>
      <c r="S211" s="60"/>
      <c r="T211" s="60"/>
      <c r="U211" s="60"/>
      <c r="V211" s="60"/>
      <c r="W211" s="60"/>
      <c r="X211" s="60"/>
    </row>
    <row r="212">
      <c r="A212" s="15"/>
      <c r="B212" s="15" t="str">
        <f>IFERROR(__xludf.DUMMYFUNCTION("""COMPUTED_VALUE"""),"Yandry Cedeño")</f>
        <v>Yandry Cedeño</v>
      </c>
      <c r="C212" s="15" t="str">
        <f>IFERROR(__xludf.DUMMYFUNCTION("""COMPUTED_VALUE"""),"FilmPro®")</f>
        <v>FilmPro®</v>
      </c>
      <c r="D212" s="62" t="str">
        <f>IFERROR(__xludf.DUMMYFUNCTION("""COMPUTED_VALUE"""),"PENDIENTE")</f>
        <v>PENDIENTE</v>
      </c>
      <c r="E212" s="15">
        <f>IFERROR(__xludf.DUMMYFUNCTION("""COMPUTED_VALUE"""),4780356.0)</f>
        <v>4780356</v>
      </c>
      <c r="F212" s="15" t="s">
        <v>3600</v>
      </c>
      <c r="G212" s="60"/>
      <c r="H212" s="60"/>
      <c r="I212" s="60"/>
      <c r="J212" s="60"/>
      <c r="K212" s="60"/>
      <c r="L212" s="60"/>
      <c r="M212" s="60"/>
      <c r="N212" s="60"/>
      <c r="O212" s="60"/>
      <c r="P212" s="60"/>
      <c r="Q212" s="60"/>
      <c r="R212" s="60"/>
      <c r="S212" s="60"/>
      <c r="T212" s="60"/>
      <c r="U212" s="60"/>
      <c r="V212" s="60"/>
      <c r="W212" s="60"/>
      <c r="X212" s="60"/>
    </row>
    <row r="213">
      <c r="A213" s="15"/>
      <c r="B213" s="15" t="str">
        <f>IFERROR(__xludf.DUMMYFUNCTION("""COMPUTED_VALUE"""),"Adriana Camacho")</f>
        <v>Adriana Camacho</v>
      </c>
      <c r="C213" s="15" t="str">
        <f>IFERROR(__xludf.DUMMYFUNCTION("""COMPUTED_VALUE"""),"FilmPro®")</f>
        <v>FilmPro®</v>
      </c>
      <c r="D213" s="62" t="str">
        <f>IFERROR(__xludf.DUMMYFUNCTION("""COMPUTED_VALUE"""),"PENDIENTE")</f>
        <v>PENDIENTE</v>
      </c>
      <c r="E213" s="15">
        <f>IFERROR(__xludf.DUMMYFUNCTION("""COMPUTED_VALUE"""),4781745.0)</f>
        <v>4781745</v>
      </c>
      <c r="F213" s="15" t="s">
        <v>3601</v>
      </c>
      <c r="G213" s="60"/>
      <c r="H213" s="60"/>
      <c r="I213" s="60"/>
      <c r="J213" s="60"/>
      <c r="K213" s="60"/>
      <c r="L213" s="60"/>
      <c r="M213" s="60"/>
      <c r="N213" s="60"/>
      <c r="O213" s="60"/>
      <c r="P213" s="60"/>
      <c r="Q213" s="60"/>
      <c r="R213" s="60"/>
      <c r="S213" s="60"/>
      <c r="T213" s="60"/>
      <c r="U213" s="60"/>
      <c r="V213" s="60"/>
      <c r="W213" s="60"/>
      <c r="X213" s="60"/>
    </row>
    <row r="214">
      <c r="A214" s="15"/>
      <c r="B214" s="15" t="str">
        <f>IFERROR(__xludf.DUMMYFUNCTION("""COMPUTED_VALUE"""),"Eugenio Vaca")</f>
        <v>Eugenio Vaca</v>
      </c>
      <c r="C214" s="15" t="str">
        <f>IFERROR(__xludf.DUMMYFUNCTION("""COMPUTED_VALUE"""),"FilmPro®")</f>
        <v>FilmPro®</v>
      </c>
      <c r="D214" s="62" t="str">
        <f>IFERROR(__xludf.DUMMYFUNCTION("""COMPUTED_VALUE"""),"PENDIENTE")</f>
        <v>PENDIENTE</v>
      </c>
      <c r="E214" s="15">
        <f>IFERROR(__xludf.DUMMYFUNCTION("""COMPUTED_VALUE"""),4789062.0)</f>
        <v>4789062</v>
      </c>
      <c r="F214" s="15" t="s">
        <v>3602</v>
      </c>
      <c r="G214" s="60"/>
      <c r="H214" s="60"/>
      <c r="I214" s="60"/>
      <c r="J214" s="60"/>
      <c r="K214" s="60"/>
      <c r="L214" s="60"/>
      <c r="M214" s="60"/>
      <c r="N214" s="60"/>
      <c r="O214" s="60"/>
      <c r="P214" s="60"/>
      <c r="Q214" s="60"/>
      <c r="R214" s="60"/>
      <c r="S214" s="60"/>
      <c r="T214" s="60"/>
      <c r="U214" s="60"/>
      <c r="V214" s="60"/>
      <c r="W214" s="60"/>
      <c r="X214" s="60"/>
    </row>
    <row r="215">
      <c r="A215" s="15"/>
      <c r="B215" s="15" t="str">
        <f>IFERROR(__xludf.DUMMYFUNCTION("""COMPUTED_VALUE"""),"Jorge Delgado")</f>
        <v>Jorge Delgado</v>
      </c>
      <c r="C215" s="15" t="str">
        <f>IFERROR(__xludf.DUMMYFUNCTION("""COMPUTED_VALUE"""),"FilmPro®")</f>
        <v>FilmPro®</v>
      </c>
      <c r="D215" s="62" t="str">
        <f>IFERROR(__xludf.DUMMYFUNCTION("""COMPUTED_VALUE"""),"PENDIENTE")</f>
        <v>PENDIENTE</v>
      </c>
      <c r="E215" s="15">
        <f>IFERROR(__xludf.DUMMYFUNCTION("""COMPUTED_VALUE"""),4782624.0)</f>
        <v>4782624</v>
      </c>
      <c r="F215" s="15" t="s">
        <v>3603</v>
      </c>
      <c r="G215" s="60"/>
      <c r="H215" s="60"/>
      <c r="I215" s="60"/>
      <c r="J215" s="60"/>
      <c r="K215" s="60"/>
      <c r="L215" s="60"/>
      <c r="M215" s="60"/>
      <c r="N215" s="60"/>
      <c r="O215" s="60"/>
      <c r="P215" s="60"/>
      <c r="Q215" s="60"/>
      <c r="R215" s="60"/>
      <c r="S215" s="60"/>
      <c r="T215" s="60"/>
      <c r="U215" s="60"/>
      <c r="V215" s="60"/>
      <c r="W215" s="60"/>
      <c r="X215" s="60"/>
    </row>
    <row r="216">
      <c r="A216" s="15"/>
      <c r="B216" s="15" t="str">
        <f>IFERROR(__xludf.DUMMYFUNCTION("""COMPUTED_VALUE"""),"Javier Pilco")</f>
        <v>Javier Pilco</v>
      </c>
      <c r="C216" s="15" t="str">
        <f>IFERROR(__xludf.DUMMYFUNCTION("""COMPUTED_VALUE"""),"FilmPro®")</f>
        <v>FilmPro®</v>
      </c>
      <c r="D216" s="62" t="str">
        <f>IFERROR(__xludf.DUMMYFUNCTION("""COMPUTED_VALUE"""),"PENDIENTE")</f>
        <v>PENDIENTE</v>
      </c>
      <c r="E216" s="15">
        <f>IFERROR(__xludf.DUMMYFUNCTION("""COMPUTED_VALUE"""),4782914.0)</f>
        <v>4782914</v>
      </c>
      <c r="F216" s="15" t="s">
        <v>3604</v>
      </c>
      <c r="G216" s="60"/>
      <c r="H216" s="60"/>
      <c r="I216" s="60"/>
      <c r="J216" s="60"/>
      <c r="K216" s="60"/>
      <c r="L216" s="60"/>
      <c r="M216" s="60"/>
      <c r="N216" s="60"/>
      <c r="O216" s="60"/>
      <c r="P216" s="60"/>
      <c r="Q216" s="60"/>
      <c r="R216" s="60"/>
      <c r="S216" s="60"/>
      <c r="T216" s="60"/>
      <c r="U216" s="60"/>
      <c r="V216" s="60"/>
      <c r="W216" s="60"/>
      <c r="X216" s="60"/>
    </row>
    <row r="217">
      <c r="A217" s="15"/>
      <c r="B217" s="15" t="str">
        <f>IFERROR(__xludf.DUMMYFUNCTION("""COMPUTED_VALUE"""),"Carlos Daniel ordoñes Calle")</f>
        <v>Carlos Daniel ordoñes Calle</v>
      </c>
      <c r="C217" s="15" t="str">
        <f>IFERROR(__xludf.DUMMYFUNCTION("""COMPUTED_VALUE"""),"FilmPro®")</f>
        <v>FilmPro®</v>
      </c>
      <c r="D217" s="62" t="str">
        <f>IFERROR(__xludf.DUMMYFUNCTION("""COMPUTED_VALUE"""),"PENDIENTE")</f>
        <v>PENDIENTE</v>
      </c>
      <c r="E217" s="15">
        <f>IFERROR(__xludf.DUMMYFUNCTION("""COMPUTED_VALUE"""),4810622.0)</f>
        <v>4810622</v>
      </c>
      <c r="F217" s="15" t="s">
        <v>3605</v>
      </c>
      <c r="G217" s="60"/>
      <c r="H217" s="60"/>
      <c r="I217" s="60"/>
      <c r="J217" s="60"/>
      <c r="K217" s="60"/>
      <c r="L217" s="60"/>
      <c r="M217" s="60"/>
      <c r="N217" s="60"/>
      <c r="O217" s="60"/>
      <c r="P217" s="60"/>
      <c r="Q217" s="60"/>
      <c r="R217" s="60"/>
      <c r="S217" s="60"/>
      <c r="T217" s="60"/>
      <c r="U217" s="60"/>
      <c r="V217" s="60"/>
      <c r="W217" s="60"/>
      <c r="X217" s="60"/>
    </row>
    <row r="218">
      <c r="A218" s="15"/>
      <c r="B218" s="15" t="str">
        <f>IFERROR(__xludf.DUMMYFUNCTION("""COMPUTED_VALUE"""),"Francisca Cortez Cortez cortez")</f>
        <v>Francisca Cortez Cortez cortez</v>
      </c>
      <c r="C218" s="15" t="str">
        <f>IFERROR(__xludf.DUMMYFUNCTION("""COMPUTED_VALUE"""),"FilmPro®")</f>
        <v>FilmPro®</v>
      </c>
      <c r="D218" s="62" t="str">
        <f>IFERROR(__xludf.DUMMYFUNCTION("""COMPUTED_VALUE"""),"PENDIENTE")</f>
        <v>PENDIENTE</v>
      </c>
      <c r="E218" s="15">
        <f>IFERROR(__xludf.DUMMYFUNCTION("""COMPUTED_VALUE"""),4811820.0)</f>
        <v>4811820</v>
      </c>
      <c r="F218" s="15" t="s">
        <v>3606</v>
      </c>
      <c r="G218" s="60"/>
      <c r="H218" s="60"/>
      <c r="I218" s="60"/>
      <c r="J218" s="60"/>
      <c r="K218" s="60"/>
      <c r="L218" s="60"/>
      <c r="M218" s="60"/>
      <c r="N218" s="60"/>
      <c r="O218" s="60"/>
      <c r="P218" s="60"/>
      <c r="Q218" s="60"/>
      <c r="R218" s="60"/>
      <c r="S218" s="60"/>
      <c r="T218" s="60"/>
      <c r="U218" s="60"/>
      <c r="V218" s="60"/>
      <c r="W218" s="60"/>
      <c r="X218" s="60"/>
    </row>
    <row r="219">
      <c r="A219" s="15"/>
      <c r="B219" s="15" t="str">
        <f>IFERROR(__xludf.DUMMYFUNCTION("""COMPUTED_VALUE"""),"Cynthia Villarreal")</f>
        <v>Cynthia Villarreal</v>
      </c>
      <c r="C219" s="15" t="str">
        <f>IFERROR(__xludf.DUMMYFUNCTION("""COMPUTED_VALUE"""),"FilmPro®")</f>
        <v>FilmPro®</v>
      </c>
      <c r="D219" s="62" t="str">
        <f>IFERROR(__xludf.DUMMYFUNCTION("""COMPUTED_VALUE"""),"PENDIENTE")</f>
        <v>PENDIENTE</v>
      </c>
      <c r="E219" s="15">
        <f>IFERROR(__xludf.DUMMYFUNCTION("""COMPUTED_VALUE"""),4812005.0)</f>
        <v>4812005</v>
      </c>
      <c r="F219" s="15" t="s">
        <v>3607</v>
      </c>
      <c r="G219" s="60"/>
      <c r="H219" s="60"/>
      <c r="I219" s="60"/>
      <c r="J219" s="60"/>
      <c r="K219" s="60"/>
      <c r="L219" s="60"/>
      <c r="M219" s="60"/>
      <c r="N219" s="60"/>
      <c r="O219" s="60"/>
      <c r="P219" s="60"/>
      <c r="Q219" s="60"/>
      <c r="R219" s="60"/>
      <c r="S219" s="60"/>
      <c r="T219" s="60"/>
      <c r="U219" s="60"/>
      <c r="V219" s="60"/>
      <c r="W219" s="60"/>
      <c r="X219" s="60"/>
    </row>
    <row r="220">
      <c r="A220" s="15"/>
      <c r="B220" s="15" t="str">
        <f>IFERROR(__xludf.DUMMYFUNCTION("""COMPUTED_VALUE"""),"Stalin Tituaña")</f>
        <v>Stalin Tituaña</v>
      </c>
      <c r="C220" s="15" t="str">
        <f>IFERROR(__xludf.DUMMYFUNCTION("""COMPUTED_VALUE"""),"FilmPro®")</f>
        <v>FilmPro®</v>
      </c>
      <c r="D220" s="62" t="str">
        <f>IFERROR(__xludf.DUMMYFUNCTION("""COMPUTED_VALUE"""),"PENDIENTE")</f>
        <v>PENDIENTE</v>
      </c>
      <c r="E220" s="15">
        <f>IFERROR(__xludf.DUMMYFUNCTION("""COMPUTED_VALUE"""),4827239.0)</f>
        <v>4827239</v>
      </c>
      <c r="F220" s="15" t="s">
        <v>3608</v>
      </c>
      <c r="G220" s="60"/>
      <c r="H220" s="60"/>
      <c r="I220" s="60"/>
      <c r="J220" s="60"/>
      <c r="K220" s="60"/>
      <c r="L220" s="60"/>
      <c r="M220" s="60"/>
      <c r="N220" s="60"/>
      <c r="O220" s="60"/>
      <c r="P220" s="60"/>
      <c r="Q220" s="60"/>
      <c r="R220" s="60"/>
      <c r="S220" s="60"/>
      <c r="T220" s="60"/>
      <c r="U220" s="60"/>
      <c r="V220" s="60"/>
      <c r="W220" s="60"/>
      <c r="X220" s="60"/>
    </row>
    <row r="221">
      <c r="A221" s="15"/>
      <c r="B221" s="15" t="str">
        <f>IFERROR(__xludf.DUMMYFUNCTION("""COMPUTED_VALUE"""),"Marina Vinces")</f>
        <v>Marina Vinces</v>
      </c>
      <c r="C221" s="15" t="str">
        <f>IFERROR(__xludf.DUMMYFUNCTION("""COMPUTED_VALUE"""),"FilmPro®")</f>
        <v>FilmPro®</v>
      </c>
      <c r="D221" s="62" t="str">
        <f>IFERROR(__xludf.DUMMYFUNCTION("""COMPUTED_VALUE"""),"PENDIENTE")</f>
        <v>PENDIENTE</v>
      </c>
      <c r="E221" s="15">
        <f>IFERROR(__xludf.DUMMYFUNCTION("""COMPUTED_VALUE"""),4827504.0)</f>
        <v>4827504</v>
      </c>
      <c r="F221" s="15" t="s">
        <v>3609</v>
      </c>
      <c r="G221" s="60"/>
      <c r="H221" s="60"/>
      <c r="I221" s="60"/>
      <c r="J221" s="60"/>
      <c r="K221" s="60"/>
      <c r="L221" s="60"/>
      <c r="M221" s="60"/>
      <c r="N221" s="60"/>
      <c r="O221" s="60"/>
      <c r="P221" s="60"/>
      <c r="Q221" s="60"/>
      <c r="R221" s="60"/>
      <c r="S221" s="60"/>
      <c r="T221" s="60"/>
      <c r="U221" s="60"/>
      <c r="V221" s="60"/>
      <c r="W221" s="60"/>
      <c r="X221" s="60"/>
    </row>
    <row r="222">
      <c r="A222" s="15"/>
      <c r="B222" s="15" t="str">
        <f>IFERROR(__xludf.DUMMYFUNCTION("""COMPUTED_VALUE"""),"Jonathan Roldan")</f>
        <v>Jonathan Roldan</v>
      </c>
      <c r="C222" s="15" t="str">
        <f>IFERROR(__xludf.DUMMYFUNCTION("""COMPUTED_VALUE"""),"FilmPro®")</f>
        <v>FilmPro®</v>
      </c>
      <c r="D222" s="62" t="str">
        <f>IFERROR(__xludf.DUMMYFUNCTION("""COMPUTED_VALUE"""),"PENDIENTE")</f>
        <v>PENDIENTE</v>
      </c>
      <c r="E222" s="15">
        <f>IFERROR(__xludf.DUMMYFUNCTION("""COMPUTED_VALUE"""),4832640.0)</f>
        <v>4832640</v>
      </c>
      <c r="F222" s="15" t="s">
        <v>3610</v>
      </c>
      <c r="G222" s="60"/>
      <c r="H222" s="60"/>
      <c r="I222" s="60"/>
      <c r="J222" s="60"/>
      <c r="K222" s="60"/>
      <c r="L222" s="60"/>
      <c r="M222" s="60"/>
      <c r="N222" s="60"/>
      <c r="O222" s="60"/>
      <c r="P222" s="60"/>
      <c r="Q222" s="60"/>
      <c r="R222" s="60"/>
      <c r="S222" s="60"/>
      <c r="T222" s="60"/>
      <c r="U222" s="60"/>
      <c r="V222" s="60"/>
      <c r="W222" s="60"/>
      <c r="X222" s="60"/>
    </row>
    <row r="223">
      <c r="A223" s="15"/>
      <c r="B223" s="15" t="str">
        <f>IFERROR(__xludf.DUMMYFUNCTION("""COMPUTED_VALUE"""),"Juan guamanjuancarlos2020@gmail.com")</f>
        <v>Juan guamanjuancarlos2020@gmail.com</v>
      </c>
      <c r="C223" s="15" t="str">
        <f>IFERROR(__xludf.DUMMYFUNCTION("""COMPUTED_VALUE"""),"FilmPro®")</f>
        <v>FilmPro®</v>
      </c>
      <c r="D223" s="62" t="str">
        <f>IFERROR(__xludf.DUMMYFUNCTION("""COMPUTED_VALUE"""),"PENDIENTE")</f>
        <v>PENDIENTE</v>
      </c>
      <c r="E223" s="15">
        <f>IFERROR(__xludf.DUMMYFUNCTION("""COMPUTED_VALUE"""),4834865.0)</f>
        <v>4834865</v>
      </c>
      <c r="F223" s="15" t="s">
        <v>3611</v>
      </c>
      <c r="G223" s="60"/>
      <c r="H223" s="60"/>
      <c r="I223" s="60"/>
      <c r="J223" s="60"/>
      <c r="K223" s="60"/>
      <c r="L223" s="60"/>
      <c r="M223" s="60"/>
      <c r="N223" s="60"/>
      <c r="O223" s="60"/>
      <c r="P223" s="60"/>
      <c r="Q223" s="60"/>
      <c r="R223" s="60"/>
      <c r="S223" s="60"/>
      <c r="T223" s="60"/>
      <c r="U223" s="60"/>
      <c r="V223" s="60"/>
      <c r="W223" s="60"/>
      <c r="X223" s="60"/>
    </row>
    <row r="224">
      <c r="A224" s="15"/>
      <c r="B224" s="15" t="str">
        <f>IFERROR(__xludf.DUMMYFUNCTION("""COMPUTED_VALUE"""),"Anibal Guamba")</f>
        <v>Anibal Guamba</v>
      </c>
      <c r="C224" s="15" t="str">
        <f>IFERROR(__xludf.DUMMYFUNCTION("""COMPUTED_VALUE"""),"FilmPro®")</f>
        <v>FilmPro®</v>
      </c>
      <c r="D224" s="62" t="str">
        <f>IFERROR(__xludf.DUMMYFUNCTION("""COMPUTED_VALUE"""),"PENDIENTE")</f>
        <v>PENDIENTE</v>
      </c>
      <c r="E224" s="15">
        <f>IFERROR(__xludf.DUMMYFUNCTION("""COMPUTED_VALUE"""),4835442.0)</f>
        <v>4835442</v>
      </c>
      <c r="F224" s="15" t="s">
        <v>3612</v>
      </c>
      <c r="G224" s="60"/>
      <c r="H224" s="60"/>
      <c r="I224" s="60"/>
      <c r="J224" s="60"/>
      <c r="K224" s="60"/>
      <c r="L224" s="60"/>
      <c r="M224" s="60"/>
      <c r="N224" s="60"/>
      <c r="O224" s="60"/>
      <c r="P224" s="60"/>
      <c r="Q224" s="60"/>
      <c r="R224" s="60"/>
      <c r="S224" s="60"/>
      <c r="T224" s="60"/>
      <c r="U224" s="60"/>
      <c r="V224" s="60"/>
      <c r="W224" s="60"/>
      <c r="X224" s="60"/>
    </row>
    <row r="225">
      <c r="A225" s="15"/>
      <c r="B225" s="15" t="str">
        <f>IFERROR(__xludf.DUMMYFUNCTION("""COMPUTED_VALUE"""),"Carlos Campoverde")</f>
        <v>Carlos Campoverde</v>
      </c>
      <c r="C225" s="15" t="str">
        <f>IFERROR(__xludf.DUMMYFUNCTION("""COMPUTED_VALUE"""),"FilmPro®")</f>
        <v>FilmPro®</v>
      </c>
      <c r="D225" s="62" t="str">
        <f>IFERROR(__xludf.DUMMYFUNCTION("""COMPUTED_VALUE"""),"PENDIENTE")</f>
        <v>PENDIENTE</v>
      </c>
      <c r="E225" s="15">
        <f>IFERROR(__xludf.DUMMYFUNCTION("""COMPUTED_VALUE"""),4839623.0)</f>
        <v>4839623</v>
      </c>
      <c r="F225" s="15" t="s">
        <v>3613</v>
      </c>
      <c r="G225" s="60"/>
      <c r="H225" s="60"/>
      <c r="I225" s="60"/>
      <c r="J225" s="60"/>
      <c r="K225" s="60"/>
      <c r="L225" s="60"/>
      <c r="M225" s="60"/>
      <c r="N225" s="60"/>
      <c r="O225" s="60"/>
      <c r="P225" s="60"/>
      <c r="Q225" s="60"/>
      <c r="R225" s="60"/>
      <c r="S225" s="60"/>
      <c r="T225" s="60"/>
      <c r="U225" s="60"/>
      <c r="V225" s="60"/>
      <c r="W225" s="60"/>
      <c r="X225" s="60"/>
    </row>
    <row r="226">
      <c r="A226" s="15"/>
      <c r="B226" s="15" t="str">
        <f>IFERROR(__xludf.DUMMYFUNCTION("""COMPUTED_VALUE"""),"ALEX BORJA")</f>
        <v>ALEX BORJA</v>
      </c>
      <c r="C226" s="15"/>
      <c r="D226" s="62" t="str">
        <f>IFERROR(__xludf.DUMMYFUNCTION("""COMPUTED_VALUE"""),"PENDIENTE")</f>
        <v>PENDIENTE</v>
      </c>
      <c r="E226" s="15">
        <f>IFERROR(__xludf.DUMMYFUNCTION("""COMPUTED_VALUE"""),4838588.0)</f>
        <v>4838588</v>
      </c>
      <c r="F226" s="15" t="s">
        <v>3614</v>
      </c>
      <c r="G226" s="60"/>
      <c r="H226" s="60"/>
      <c r="I226" s="60"/>
      <c r="J226" s="60"/>
      <c r="K226" s="60"/>
      <c r="L226" s="60"/>
      <c r="M226" s="60"/>
      <c r="N226" s="60"/>
      <c r="O226" s="60"/>
      <c r="P226" s="60"/>
      <c r="Q226" s="60"/>
      <c r="R226" s="60"/>
      <c r="S226" s="60"/>
      <c r="T226" s="60"/>
      <c r="U226" s="60"/>
      <c r="V226" s="60"/>
      <c r="W226" s="60"/>
      <c r="X226" s="60"/>
    </row>
    <row r="227">
      <c r="A227" s="15"/>
      <c r="B227" s="15" t="str">
        <f>IFERROR(__xludf.DUMMYFUNCTION("""COMPUTED_VALUE"""),"Lenin Macias")</f>
        <v>Lenin Macias</v>
      </c>
      <c r="C227" s="15" t="str">
        <f>IFERROR(__xludf.DUMMYFUNCTION("""COMPUTED_VALUE"""),"FilmPro®")</f>
        <v>FilmPro®</v>
      </c>
      <c r="D227" s="62" t="str">
        <f>IFERROR(__xludf.DUMMYFUNCTION("""COMPUTED_VALUE"""),"PENDIENTE")</f>
        <v>PENDIENTE</v>
      </c>
      <c r="E227" s="15">
        <f>IFERROR(__xludf.DUMMYFUNCTION("""COMPUTED_VALUE"""),4841220.0)</f>
        <v>4841220</v>
      </c>
      <c r="F227" s="15" t="s">
        <v>3615</v>
      </c>
      <c r="G227" s="60"/>
      <c r="H227" s="60"/>
      <c r="I227" s="60"/>
      <c r="J227" s="60"/>
      <c r="K227" s="60"/>
      <c r="L227" s="60"/>
      <c r="M227" s="60"/>
      <c r="N227" s="60"/>
      <c r="O227" s="60"/>
      <c r="P227" s="60"/>
      <c r="Q227" s="60"/>
      <c r="R227" s="60"/>
      <c r="S227" s="60"/>
      <c r="T227" s="60"/>
      <c r="U227" s="60"/>
      <c r="V227" s="60"/>
      <c r="W227" s="60"/>
      <c r="X227" s="60"/>
    </row>
    <row r="228">
      <c r="A228" s="15"/>
      <c r="B228" s="15" t="str">
        <f>IFERROR(__xludf.DUMMYFUNCTION("""COMPUTED_VALUE"""),"Lester Alberto Jara vasquez")</f>
        <v>Lester Alberto Jara vasquez</v>
      </c>
      <c r="C228" s="15" t="str">
        <f>IFERROR(__xludf.DUMMYFUNCTION("""COMPUTED_VALUE"""),"FilmPro®")</f>
        <v>FilmPro®</v>
      </c>
      <c r="D228" s="62" t="str">
        <f>IFERROR(__xludf.DUMMYFUNCTION("""COMPUTED_VALUE"""),"PENDIENTE")</f>
        <v>PENDIENTE</v>
      </c>
      <c r="E228" s="15">
        <f>IFERROR(__xludf.DUMMYFUNCTION("""COMPUTED_VALUE"""),4841469.0)</f>
        <v>4841469</v>
      </c>
      <c r="F228" s="15" t="s">
        <v>3616</v>
      </c>
      <c r="G228" s="60"/>
      <c r="H228" s="60"/>
      <c r="I228" s="60"/>
      <c r="J228" s="60"/>
      <c r="K228" s="60"/>
      <c r="L228" s="60"/>
      <c r="M228" s="60"/>
      <c r="N228" s="60"/>
      <c r="O228" s="60"/>
      <c r="P228" s="60"/>
      <c r="Q228" s="60"/>
      <c r="R228" s="60"/>
      <c r="S228" s="60"/>
      <c r="T228" s="60"/>
      <c r="U228" s="60"/>
      <c r="V228" s="60"/>
      <c r="W228" s="60"/>
      <c r="X228" s="60"/>
    </row>
    <row r="229">
      <c r="A229" s="15"/>
      <c r="B229" s="15" t="str">
        <f>IFERROR(__xludf.DUMMYFUNCTION("""COMPUTED_VALUE"""),"Flor Murillo")</f>
        <v>Flor Murillo</v>
      </c>
      <c r="C229" s="15"/>
      <c r="D229" s="62" t="str">
        <f>IFERROR(__xludf.DUMMYFUNCTION("""COMPUTED_VALUE"""),"PENDIENTE")</f>
        <v>PENDIENTE</v>
      </c>
      <c r="E229" s="15">
        <f>IFERROR(__xludf.DUMMYFUNCTION("""COMPUTED_VALUE"""),4866170.0)</f>
        <v>4866170</v>
      </c>
      <c r="F229" s="15" t="s">
        <v>3617</v>
      </c>
      <c r="G229" s="60"/>
      <c r="H229" s="60"/>
      <c r="I229" s="60"/>
      <c r="J229" s="60"/>
      <c r="K229" s="60"/>
      <c r="L229" s="60"/>
      <c r="M229" s="60"/>
      <c r="N229" s="60"/>
      <c r="O229" s="60"/>
      <c r="P229" s="60"/>
      <c r="Q229" s="60"/>
      <c r="R229" s="60"/>
      <c r="S229" s="60"/>
      <c r="T229" s="60"/>
      <c r="U229" s="60"/>
      <c r="V229" s="60"/>
      <c r="W229" s="60"/>
      <c r="X229" s="60"/>
    </row>
    <row r="230">
      <c r="A230" s="15"/>
      <c r="B230" s="15" t="str">
        <f>IFERROR(__xludf.DUMMYFUNCTION("""COMPUTED_VALUE"""),"Angel Moya")</f>
        <v>Angel Moya</v>
      </c>
      <c r="C230" s="15" t="str">
        <f>IFERROR(__xludf.DUMMYFUNCTION("""COMPUTED_VALUE"""),"FilmPro®")</f>
        <v>FilmPro®</v>
      </c>
      <c r="D230" s="62" t="str">
        <f>IFERROR(__xludf.DUMMYFUNCTION("""COMPUTED_VALUE"""),"PENDIENTE")</f>
        <v>PENDIENTE</v>
      </c>
      <c r="E230" s="15">
        <f>IFERROR(__xludf.DUMMYFUNCTION("""COMPUTED_VALUE"""),4866071.0)</f>
        <v>4866071</v>
      </c>
      <c r="F230" s="15" t="s">
        <v>3618</v>
      </c>
      <c r="G230" s="60"/>
      <c r="H230" s="60"/>
      <c r="I230" s="60"/>
      <c r="J230" s="60"/>
      <c r="K230" s="60"/>
      <c r="L230" s="60"/>
      <c r="M230" s="60"/>
      <c r="N230" s="60"/>
      <c r="O230" s="60"/>
      <c r="P230" s="60"/>
      <c r="Q230" s="60"/>
      <c r="R230" s="60"/>
      <c r="S230" s="60"/>
      <c r="T230" s="60"/>
      <c r="U230" s="60"/>
      <c r="V230" s="60"/>
      <c r="W230" s="60"/>
      <c r="X230" s="60"/>
    </row>
    <row r="231">
      <c r="A231" s="15"/>
      <c r="B231" s="15" t="str">
        <f>IFERROR(__xludf.DUMMYFUNCTION("""COMPUTED_VALUE"""),"Josei Salem")</f>
        <v>Josei Salem</v>
      </c>
      <c r="C231" s="15" t="str">
        <f>IFERROR(__xludf.DUMMYFUNCTION("""COMPUTED_VALUE"""),"FilmPro®")</f>
        <v>FilmPro®</v>
      </c>
      <c r="D231" s="62" t="str">
        <f>IFERROR(__xludf.DUMMYFUNCTION("""COMPUTED_VALUE"""),"PENDIENTE")</f>
        <v>PENDIENTE</v>
      </c>
      <c r="E231" s="15">
        <f>IFERROR(__xludf.DUMMYFUNCTION("""COMPUTED_VALUE"""),4886943.0)</f>
        <v>4886943</v>
      </c>
      <c r="F231" s="15" t="s">
        <v>3619</v>
      </c>
      <c r="G231" s="60"/>
      <c r="H231" s="60"/>
      <c r="I231" s="60"/>
      <c r="J231" s="60"/>
      <c r="K231" s="60"/>
      <c r="L231" s="60"/>
      <c r="M231" s="60"/>
      <c r="N231" s="60"/>
      <c r="O231" s="60"/>
      <c r="P231" s="60"/>
      <c r="Q231" s="60"/>
      <c r="R231" s="60"/>
      <c r="S231" s="60"/>
      <c r="T231" s="60"/>
      <c r="U231" s="60"/>
      <c r="V231" s="60"/>
      <c r="W231" s="60"/>
      <c r="X231" s="60"/>
    </row>
    <row r="232">
      <c r="A232" s="15"/>
      <c r="B232" s="15" t="str">
        <f>IFERROR(__xludf.DUMMYFUNCTION("""COMPUTED_VALUE"""),"Diana Rodriguez")</f>
        <v>Diana Rodriguez</v>
      </c>
      <c r="C232" s="15" t="str">
        <f>IFERROR(__xludf.DUMMYFUNCTION("""COMPUTED_VALUE"""),"FilmPro®")</f>
        <v>FilmPro®</v>
      </c>
      <c r="D232" s="62" t="str">
        <f>IFERROR(__xludf.DUMMYFUNCTION("""COMPUTED_VALUE"""),"PENDIENTE")</f>
        <v>PENDIENTE</v>
      </c>
      <c r="E232" s="15">
        <f>IFERROR(__xludf.DUMMYFUNCTION("""COMPUTED_VALUE"""),4866090.0)</f>
        <v>4866090</v>
      </c>
      <c r="F232" s="15" t="s">
        <v>3620</v>
      </c>
      <c r="G232" s="60"/>
      <c r="H232" s="60"/>
      <c r="I232" s="60"/>
      <c r="J232" s="60"/>
      <c r="K232" s="60"/>
      <c r="L232" s="60"/>
      <c r="M232" s="60"/>
      <c r="N232" s="60"/>
      <c r="O232" s="60"/>
      <c r="P232" s="60"/>
      <c r="Q232" s="60"/>
      <c r="R232" s="60"/>
      <c r="S232" s="60"/>
      <c r="T232" s="60"/>
      <c r="U232" s="60"/>
      <c r="V232" s="60"/>
      <c r="W232" s="60"/>
      <c r="X232" s="60"/>
    </row>
    <row r="233">
      <c r="A233" s="15"/>
      <c r="B233" s="15" t="str">
        <f>IFERROR(__xludf.DUMMYFUNCTION("""COMPUTED_VALUE"""),"Fernando Ochoa")</f>
        <v>Fernando Ochoa</v>
      </c>
      <c r="C233" s="15" t="str">
        <f>IFERROR(__xludf.DUMMYFUNCTION("""COMPUTED_VALUE"""),"FilmPro®")</f>
        <v>FilmPro®</v>
      </c>
      <c r="D233" s="62" t="str">
        <f>IFERROR(__xludf.DUMMYFUNCTION("""COMPUTED_VALUE"""),"PENDIENTE")</f>
        <v>PENDIENTE</v>
      </c>
      <c r="E233" s="15">
        <f>IFERROR(__xludf.DUMMYFUNCTION("""COMPUTED_VALUE"""),4866107.0)</f>
        <v>4866107</v>
      </c>
      <c r="F233" s="15" t="s">
        <v>3621</v>
      </c>
      <c r="G233" s="60"/>
      <c r="H233" s="60"/>
      <c r="I233" s="60"/>
      <c r="J233" s="60"/>
      <c r="K233" s="60"/>
      <c r="L233" s="60"/>
      <c r="M233" s="60"/>
      <c r="N233" s="60"/>
      <c r="O233" s="60"/>
      <c r="P233" s="60"/>
      <c r="Q233" s="60"/>
      <c r="R233" s="60"/>
      <c r="S233" s="60"/>
      <c r="T233" s="60"/>
      <c r="U233" s="60"/>
      <c r="V233" s="60"/>
      <c r="W233" s="60"/>
      <c r="X233" s="60"/>
    </row>
    <row r="234">
      <c r="A234" s="15"/>
      <c r="B234" s="15" t="str">
        <f>IFERROR(__xludf.DUMMYFUNCTION("""COMPUTED_VALUE"""),"German Custodio")</f>
        <v>German Custodio</v>
      </c>
      <c r="C234" s="15" t="str">
        <f>IFERROR(__xludf.DUMMYFUNCTION("""COMPUTED_VALUE"""),"FilmPro®")</f>
        <v>FilmPro®</v>
      </c>
      <c r="D234" s="62" t="str">
        <f>IFERROR(__xludf.DUMMYFUNCTION("""COMPUTED_VALUE"""),"PENDIENTE")</f>
        <v>PENDIENTE</v>
      </c>
      <c r="E234" s="15">
        <f>IFERROR(__xludf.DUMMYFUNCTION("""COMPUTED_VALUE"""),4866112.0)</f>
        <v>4866112</v>
      </c>
      <c r="F234" s="15" t="s">
        <v>3622</v>
      </c>
      <c r="G234" s="60"/>
      <c r="H234" s="60"/>
      <c r="I234" s="60"/>
      <c r="J234" s="60"/>
      <c r="K234" s="60"/>
      <c r="L234" s="60"/>
      <c r="M234" s="60"/>
      <c r="N234" s="60"/>
      <c r="O234" s="60"/>
      <c r="P234" s="60"/>
      <c r="Q234" s="60"/>
      <c r="R234" s="60"/>
      <c r="S234" s="60"/>
      <c r="T234" s="60"/>
      <c r="U234" s="60"/>
      <c r="V234" s="60"/>
      <c r="W234" s="60"/>
      <c r="X234" s="60"/>
    </row>
    <row r="235">
      <c r="A235" s="15"/>
      <c r="B235" s="15" t="str">
        <f>IFERROR(__xludf.DUMMYFUNCTION("""COMPUTED_VALUE"""),"Marco Villacis")</f>
        <v>Marco Villacis</v>
      </c>
      <c r="C235" s="15" t="str">
        <f>IFERROR(__xludf.DUMMYFUNCTION("""COMPUTED_VALUE"""),"FilmPro®")</f>
        <v>FilmPro®</v>
      </c>
      <c r="D235" s="62" t="str">
        <f>IFERROR(__xludf.DUMMYFUNCTION("""COMPUTED_VALUE"""),"PENDIENTE")</f>
        <v>PENDIENTE</v>
      </c>
      <c r="E235" s="15">
        <f>IFERROR(__xludf.DUMMYFUNCTION("""COMPUTED_VALUE"""),4866158.0)</f>
        <v>4866158</v>
      </c>
      <c r="F235" s="15" t="s">
        <v>3623</v>
      </c>
      <c r="G235" s="60"/>
      <c r="H235" s="60"/>
      <c r="I235" s="60"/>
      <c r="J235" s="60"/>
      <c r="K235" s="60"/>
      <c r="L235" s="60"/>
      <c r="M235" s="60"/>
      <c r="N235" s="60"/>
      <c r="O235" s="60"/>
      <c r="P235" s="60"/>
      <c r="Q235" s="60"/>
      <c r="R235" s="60"/>
      <c r="S235" s="60"/>
      <c r="T235" s="60"/>
      <c r="U235" s="60"/>
      <c r="V235" s="60"/>
      <c r="W235" s="60"/>
      <c r="X235" s="60"/>
    </row>
    <row r="236">
      <c r="A236" s="15"/>
      <c r="B236" s="15" t="str">
        <f>IFERROR(__xludf.DUMMYFUNCTION("""COMPUTED_VALUE"""),"Byron Vasco Chuquilla")</f>
        <v>Byron Vasco Chuquilla</v>
      </c>
      <c r="C236" s="15" t="str">
        <f>IFERROR(__xludf.DUMMYFUNCTION("""COMPUTED_VALUE"""),"FilmPro®")</f>
        <v>FilmPro®</v>
      </c>
      <c r="D236" s="62" t="str">
        <f>IFERROR(__xludf.DUMMYFUNCTION("""COMPUTED_VALUE"""),"PENDIENTE")</f>
        <v>PENDIENTE</v>
      </c>
      <c r="E236" s="15">
        <f>IFERROR(__xludf.DUMMYFUNCTION("""COMPUTED_VALUE"""),4866166.0)</f>
        <v>4866166</v>
      </c>
      <c r="F236" s="15" t="s">
        <v>3624</v>
      </c>
      <c r="G236" s="60"/>
      <c r="H236" s="60"/>
      <c r="I236" s="60"/>
      <c r="J236" s="60"/>
      <c r="K236" s="60"/>
      <c r="L236" s="60"/>
      <c r="M236" s="60"/>
      <c r="N236" s="60"/>
      <c r="O236" s="60"/>
      <c r="P236" s="60"/>
      <c r="Q236" s="60"/>
      <c r="R236" s="60"/>
      <c r="S236" s="60"/>
      <c r="T236" s="60"/>
      <c r="U236" s="60"/>
      <c r="V236" s="60"/>
      <c r="W236" s="60"/>
      <c r="X236" s="60"/>
    </row>
    <row r="237">
      <c r="A237" s="15"/>
      <c r="B237" s="15" t="str">
        <f>IFERROR(__xludf.DUMMYFUNCTION("""COMPUTED_VALUE"""),"Fausto chango Chango caizabanda")</f>
        <v>Fausto chango Chango caizabanda</v>
      </c>
      <c r="C237" s="15"/>
      <c r="D237" s="62" t="str">
        <f>IFERROR(__xludf.DUMMYFUNCTION("""COMPUTED_VALUE"""),"PENDIENTE")</f>
        <v>PENDIENTE</v>
      </c>
      <c r="E237" s="15">
        <f>IFERROR(__xludf.DUMMYFUNCTION("""COMPUTED_VALUE"""),4889470.0)</f>
        <v>4889470</v>
      </c>
      <c r="F237" s="15" t="s">
        <v>3625</v>
      </c>
      <c r="G237" s="60"/>
      <c r="H237" s="60"/>
      <c r="I237" s="60"/>
      <c r="J237" s="60"/>
      <c r="K237" s="60"/>
      <c r="L237" s="60"/>
      <c r="M237" s="60"/>
      <c r="N237" s="60"/>
      <c r="O237" s="60"/>
      <c r="P237" s="60"/>
      <c r="Q237" s="60"/>
      <c r="R237" s="60"/>
      <c r="S237" s="60"/>
      <c r="T237" s="60"/>
      <c r="U237" s="60"/>
      <c r="V237" s="60"/>
      <c r="W237" s="60"/>
      <c r="X237" s="60"/>
    </row>
    <row r="238">
      <c r="A238" s="15"/>
      <c r="B238" s="15" t="str">
        <f>IFERROR(__xludf.DUMMYFUNCTION("""COMPUTED_VALUE"""),"Cesar Patiño")</f>
        <v>Cesar Patiño</v>
      </c>
      <c r="C238" s="15" t="str">
        <f>IFERROR(__xludf.DUMMYFUNCTION("""COMPUTED_VALUE"""),"FilmPro®")</f>
        <v>FilmPro®</v>
      </c>
      <c r="D238" s="62" t="str">
        <f>IFERROR(__xludf.DUMMYFUNCTION("""COMPUTED_VALUE"""),"PENDIENTE")</f>
        <v>PENDIENTE</v>
      </c>
      <c r="E238" s="15">
        <f>IFERROR(__xludf.DUMMYFUNCTION("""COMPUTED_VALUE"""),4870466.0)</f>
        <v>4870466</v>
      </c>
      <c r="F238" s="15" t="s">
        <v>3626</v>
      </c>
      <c r="G238" s="60"/>
      <c r="H238" s="60"/>
      <c r="I238" s="60"/>
      <c r="J238" s="60"/>
      <c r="K238" s="60"/>
      <c r="L238" s="60"/>
      <c r="M238" s="60"/>
      <c r="N238" s="60"/>
      <c r="O238" s="60"/>
      <c r="P238" s="60"/>
      <c r="Q238" s="60"/>
      <c r="R238" s="60"/>
      <c r="S238" s="60"/>
      <c r="T238" s="60"/>
      <c r="U238" s="60"/>
      <c r="V238" s="60"/>
      <c r="W238" s="60"/>
      <c r="X238" s="60"/>
    </row>
    <row r="239">
      <c r="A239" s="15"/>
      <c r="B239" s="15" t="str">
        <f>IFERROR(__xludf.DUMMYFUNCTION("""COMPUTED_VALUE"""),"Verito Posligua")</f>
        <v>Verito Posligua</v>
      </c>
      <c r="C239" s="15" t="str">
        <f>IFERROR(__xludf.DUMMYFUNCTION("""COMPUTED_VALUE"""),"FilmPro®")</f>
        <v>FilmPro®</v>
      </c>
      <c r="D239" s="62" t="str">
        <f>IFERROR(__xludf.DUMMYFUNCTION("""COMPUTED_VALUE"""),"PENDIENTE")</f>
        <v>PENDIENTE</v>
      </c>
      <c r="E239" s="15">
        <f>IFERROR(__xludf.DUMMYFUNCTION("""COMPUTED_VALUE"""),4872018.0)</f>
        <v>4872018</v>
      </c>
      <c r="F239" s="15" t="s">
        <v>3627</v>
      </c>
      <c r="G239" s="60"/>
      <c r="H239" s="60"/>
      <c r="I239" s="60"/>
      <c r="J239" s="60"/>
      <c r="K239" s="60"/>
      <c r="L239" s="60"/>
      <c r="M239" s="60"/>
      <c r="N239" s="60"/>
      <c r="O239" s="60"/>
      <c r="P239" s="60"/>
      <c r="Q239" s="60"/>
      <c r="R239" s="60"/>
      <c r="S239" s="60"/>
      <c r="T239" s="60"/>
      <c r="U239" s="60"/>
      <c r="V239" s="60"/>
      <c r="W239" s="60"/>
      <c r="X239" s="60"/>
    </row>
    <row r="240">
      <c r="A240" s="15"/>
      <c r="B240" s="15" t="str">
        <f>IFERROR(__xludf.DUMMYFUNCTION("""COMPUTED_VALUE"""),"Bryam Jara")</f>
        <v>Bryam Jara</v>
      </c>
      <c r="C240" s="15" t="str">
        <f>IFERROR(__xludf.DUMMYFUNCTION("""COMPUTED_VALUE"""),"FilmPro®")</f>
        <v>FilmPro®</v>
      </c>
      <c r="D240" s="62" t="str">
        <f>IFERROR(__xludf.DUMMYFUNCTION("""COMPUTED_VALUE"""),"PENDIENTE")</f>
        <v>PENDIENTE</v>
      </c>
      <c r="E240" s="15">
        <f>IFERROR(__xludf.DUMMYFUNCTION("""COMPUTED_VALUE"""),4872269.0)</f>
        <v>4872269</v>
      </c>
      <c r="F240" s="15" t="s">
        <v>3628</v>
      </c>
      <c r="G240" s="60"/>
      <c r="H240" s="60"/>
      <c r="I240" s="60"/>
      <c r="J240" s="60"/>
      <c r="K240" s="60"/>
      <c r="L240" s="60"/>
      <c r="M240" s="60"/>
      <c r="N240" s="60"/>
      <c r="O240" s="60"/>
      <c r="P240" s="60"/>
      <c r="Q240" s="60"/>
      <c r="R240" s="60"/>
      <c r="S240" s="60"/>
      <c r="T240" s="60"/>
      <c r="U240" s="60"/>
      <c r="V240" s="60"/>
      <c r="W240" s="60"/>
      <c r="X240" s="60"/>
    </row>
    <row r="241">
      <c r="A241" s="15"/>
      <c r="B241" s="15" t="str">
        <f>IFERROR(__xludf.DUMMYFUNCTION("""COMPUTED_VALUE"""),"Erika Jiménez jimenez")</f>
        <v>Erika Jiménez jimenez</v>
      </c>
      <c r="C241" s="15" t="str">
        <f>IFERROR(__xludf.DUMMYFUNCTION("""COMPUTED_VALUE"""),"FilmPro®")</f>
        <v>FilmPro®</v>
      </c>
      <c r="D241" s="62" t="str">
        <f>IFERROR(__xludf.DUMMYFUNCTION("""COMPUTED_VALUE"""),"PENDIENTE")</f>
        <v>PENDIENTE</v>
      </c>
      <c r="E241" s="15">
        <f>IFERROR(__xludf.DUMMYFUNCTION("""COMPUTED_VALUE"""),4872724.0)</f>
        <v>4872724</v>
      </c>
      <c r="F241" s="15" t="s">
        <v>3629</v>
      </c>
      <c r="G241" s="60"/>
      <c r="H241" s="60"/>
      <c r="I241" s="60"/>
      <c r="J241" s="60"/>
      <c r="K241" s="60"/>
      <c r="L241" s="60"/>
      <c r="M241" s="60"/>
      <c r="N241" s="60"/>
      <c r="O241" s="60"/>
      <c r="P241" s="60"/>
      <c r="Q241" s="60"/>
      <c r="R241" s="60"/>
      <c r="S241" s="60"/>
      <c r="T241" s="60"/>
      <c r="U241" s="60"/>
      <c r="V241" s="60"/>
      <c r="W241" s="60"/>
      <c r="X241" s="60"/>
    </row>
    <row r="242">
      <c r="A242" s="15"/>
      <c r="B242" s="15" t="str">
        <f>IFERROR(__xludf.DUMMYFUNCTION("""COMPUTED_VALUE"""),"Fabian villa Villa")</f>
        <v>Fabian villa Villa</v>
      </c>
      <c r="C242" s="15" t="str">
        <f>IFERROR(__xludf.DUMMYFUNCTION("""COMPUTED_VALUE"""),"FilmPro®")</f>
        <v>FilmPro®</v>
      </c>
      <c r="D242" s="62" t="str">
        <f>IFERROR(__xludf.DUMMYFUNCTION("""COMPUTED_VALUE"""),"PENDIENTE")</f>
        <v>PENDIENTE</v>
      </c>
      <c r="E242" s="15">
        <f>IFERROR(__xludf.DUMMYFUNCTION("""COMPUTED_VALUE"""),4872966.0)</f>
        <v>4872966</v>
      </c>
      <c r="F242" s="15" t="s">
        <v>3630</v>
      </c>
      <c r="G242" s="60"/>
      <c r="H242" s="60"/>
      <c r="I242" s="60"/>
      <c r="J242" s="60"/>
      <c r="K242" s="60"/>
      <c r="L242" s="60"/>
      <c r="M242" s="60"/>
      <c r="N242" s="60"/>
      <c r="O242" s="60"/>
      <c r="P242" s="60"/>
      <c r="Q242" s="60"/>
      <c r="R242" s="60"/>
      <c r="S242" s="60"/>
      <c r="T242" s="60"/>
      <c r="U242" s="60"/>
      <c r="V242" s="60"/>
      <c r="W242" s="60"/>
      <c r="X242" s="60"/>
    </row>
    <row r="243">
      <c r="A243" s="15"/>
      <c r="B243" s="15" t="str">
        <f>IFERROR(__xludf.DUMMYFUNCTION("""COMPUTED_VALUE"""),"María Alexandra Loor")</f>
        <v>María Alexandra Loor</v>
      </c>
      <c r="C243" s="15" t="str">
        <f>IFERROR(__xludf.DUMMYFUNCTION("""COMPUTED_VALUE"""),"FilmPro®")</f>
        <v>FilmPro®</v>
      </c>
      <c r="D243" s="62" t="str">
        <f>IFERROR(__xludf.DUMMYFUNCTION("""COMPUTED_VALUE"""),"PENDIENTE")</f>
        <v>PENDIENTE</v>
      </c>
      <c r="E243" s="15">
        <f>IFERROR(__xludf.DUMMYFUNCTION("""COMPUTED_VALUE"""),4873283.0)</f>
        <v>4873283</v>
      </c>
      <c r="F243" s="15" t="s">
        <v>3631</v>
      </c>
      <c r="G243" s="60"/>
      <c r="H243" s="60"/>
      <c r="I243" s="60"/>
      <c r="J243" s="60"/>
      <c r="K243" s="60"/>
      <c r="L243" s="60"/>
      <c r="M243" s="60"/>
      <c r="N243" s="60"/>
      <c r="O243" s="60"/>
      <c r="P243" s="60"/>
      <c r="Q243" s="60"/>
      <c r="R243" s="60"/>
      <c r="S243" s="60"/>
      <c r="T243" s="60"/>
      <c r="U243" s="60"/>
      <c r="V243" s="60"/>
      <c r="W243" s="60"/>
      <c r="X243" s="60"/>
    </row>
    <row r="244">
      <c r="A244" s="15"/>
      <c r="B244" s="15" t="str">
        <f>IFERROR(__xludf.DUMMYFUNCTION("""COMPUTED_VALUE"""),"Jackson Diomedes Portocarrero Vásquez")</f>
        <v>Jackson Diomedes Portocarrero Vásquez</v>
      </c>
      <c r="C244" s="15" t="str">
        <f>IFERROR(__xludf.DUMMYFUNCTION("""COMPUTED_VALUE"""),"Cuchillo Tazaki™")</f>
        <v>Cuchillo Tazaki™</v>
      </c>
      <c r="D244" s="62" t="str">
        <f>IFERROR(__xludf.DUMMYFUNCTION("""COMPUTED_VALUE"""),"PENDIENTE")</f>
        <v>PENDIENTE</v>
      </c>
      <c r="E244" s="15">
        <f>IFERROR(__xludf.DUMMYFUNCTION("""COMPUTED_VALUE"""),4880712.0)</f>
        <v>4880712</v>
      </c>
      <c r="F244" s="15" t="s">
        <v>3632</v>
      </c>
      <c r="G244" s="60"/>
      <c r="H244" s="60"/>
      <c r="I244" s="60"/>
      <c r="J244" s="60"/>
      <c r="K244" s="60"/>
      <c r="L244" s="60"/>
      <c r="M244" s="60"/>
      <c r="N244" s="60"/>
      <c r="O244" s="60"/>
      <c r="P244" s="60"/>
      <c r="Q244" s="60"/>
      <c r="R244" s="60"/>
      <c r="S244" s="60"/>
      <c r="T244" s="60"/>
      <c r="U244" s="60"/>
      <c r="V244" s="60"/>
      <c r="W244" s="60"/>
      <c r="X244" s="60"/>
    </row>
    <row r="245">
      <c r="A245" s="15"/>
      <c r="B245" s="15" t="str">
        <f>IFERROR(__xludf.DUMMYFUNCTION("""COMPUTED_VALUE"""),"Guisela Aguirre")</f>
        <v>Guisela Aguirre</v>
      </c>
      <c r="C245" s="15" t="str">
        <f>IFERROR(__xludf.DUMMYFUNCTION("""COMPUTED_VALUE"""),"Cuchillo Tazaki™")</f>
        <v>Cuchillo Tazaki™</v>
      </c>
      <c r="D245" s="62" t="str">
        <f>IFERROR(__xludf.DUMMYFUNCTION("""COMPUTED_VALUE"""),"PENDIENTE")</f>
        <v>PENDIENTE</v>
      </c>
      <c r="E245" s="15">
        <f>IFERROR(__xludf.DUMMYFUNCTION("""COMPUTED_VALUE"""),4883341.0)</f>
        <v>4883341</v>
      </c>
      <c r="F245" s="15" t="s">
        <v>3633</v>
      </c>
      <c r="G245" s="60"/>
      <c r="H245" s="60"/>
      <c r="I245" s="60"/>
      <c r="J245" s="60"/>
      <c r="K245" s="60"/>
      <c r="L245" s="60"/>
      <c r="M245" s="60"/>
      <c r="N245" s="60"/>
      <c r="O245" s="60"/>
      <c r="P245" s="60"/>
      <c r="Q245" s="60"/>
      <c r="R245" s="60"/>
      <c r="S245" s="60"/>
      <c r="T245" s="60"/>
      <c r="U245" s="60"/>
      <c r="V245" s="60"/>
      <c r="W245" s="60"/>
      <c r="X245" s="60"/>
    </row>
    <row r="246">
      <c r="A246" s="15"/>
      <c r="B246" s="15" t="str">
        <f>IFERROR(__xludf.DUMMYFUNCTION("""COMPUTED_VALUE"""),"Felipe Condo")</f>
        <v>Felipe Condo</v>
      </c>
      <c r="C246" s="15" t="str">
        <f>IFERROR(__xludf.DUMMYFUNCTION("""COMPUTED_VALUE"""),"Cuchillo Tazaki™")</f>
        <v>Cuchillo Tazaki™</v>
      </c>
      <c r="D246" s="62" t="str">
        <f>IFERROR(__xludf.DUMMYFUNCTION("""COMPUTED_VALUE"""),"PENDIENTE")</f>
        <v>PENDIENTE</v>
      </c>
      <c r="E246" s="15">
        <f>IFERROR(__xludf.DUMMYFUNCTION("""COMPUTED_VALUE"""),4920617.0)</f>
        <v>4920617</v>
      </c>
      <c r="F246" s="15" t="s">
        <v>3634</v>
      </c>
      <c r="G246" s="60"/>
      <c r="H246" s="60"/>
      <c r="I246" s="60"/>
      <c r="J246" s="60"/>
      <c r="K246" s="60"/>
      <c r="L246" s="60"/>
      <c r="M246" s="60"/>
      <c r="N246" s="60"/>
      <c r="O246" s="60"/>
      <c r="P246" s="60"/>
      <c r="Q246" s="60"/>
      <c r="R246" s="60"/>
      <c r="S246" s="60"/>
      <c r="T246" s="60"/>
      <c r="U246" s="60"/>
      <c r="V246" s="60"/>
      <c r="W246" s="60"/>
      <c r="X246" s="60"/>
    </row>
    <row r="247">
      <c r="A247" s="15"/>
      <c r="B247" s="15" t="str">
        <f>IFERROR(__xludf.DUMMYFUNCTION("""COMPUTED_VALUE"""),"Francisco Caceres")</f>
        <v>Francisco Caceres</v>
      </c>
      <c r="C247" s="15" t="str">
        <f>IFERROR(__xludf.DUMMYFUNCTION("""COMPUTED_VALUE"""),"Cuchillo Tazaki™")</f>
        <v>Cuchillo Tazaki™</v>
      </c>
      <c r="D247" s="62" t="str">
        <f>IFERROR(__xludf.DUMMYFUNCTION("""COMPUTED_VALUE"""),"PENDIENTE")</f>
        <v>PENDIENTE</v>
      </c>
      <c r="E247" s="15">
        <f>IFERROR(__xludf.DUMMYFUNCTION("""COMPUTED_VALUE"""),4922049.0)</f>
        <v>4922049</v>
      </c>
      <c r="F247" s="15" t="s">
        <v>3635</v>
      </c>
      <c r="G247" s="60"/>
      <c r="H247" s="60"/>
      <c r="I247" s="60"/>
      <c r="J247" s="60"/>
      <c r="K247" s="60"/>
      <c r="L247" s="60"/>
      <c r="M247" s="60"/>
      <c r="N247" s="60"/>
      <c r="O247" s="60"/>
      <c r="P247" s="60"/>
      <c r="Q247" s="60"/>
      <c r="R247" s="60"/>
      <c r="S247" s="60"/>
      <c r="T247" s="60"/>
      <c r="U247" s="60"/>
      <c r="V247" s="60"/>
      <c r="W247" s="60"/>
      <c r="X247" s="60"/>
    </row>
    <row r="248">
      <c r="A248" s="15"/>
      <c r="B248" s="15" t="str">
        <f>IFERROR(__xludf.DUMMYFUNCTION("""COMPUTED_VALUE"""),"Pedro Milton Reyes Gonzalez")</f>
        <v>Pedro Milton Reyes Gonzalez</v>
      </c>
      <c r="C248" s="15" t="str">
        <f>IFERROR(__xludf.DUMMYFUNCTION("""COMPUTED_VALUE"""),"Cuchillo Tazaki™")</f>
        <v>Cuchillo Tazaki™</v>
      </c>
      <c r="D248" s="62" t="str">
        <f>IFERROR(__xludf.DUMMYFUNCTION("""COMPUTED_VALUE"""),"PENDIENTE")</f>
        <v>PENDIENTE</v>
      </c>
      <c r="E248" s="15">
        <f>IFERROR(__xludf.DUMMYFUNCTION("""COMPUTED_VALUE"""),4922304.0)</f>
        <v>4922304</v>
      </c>
      <c r="F248" s="15" t="s">
        <v>3636</v>
      </c>
      <c r="G248" s="60"/>
      <c r="H248" s="60"/>
      <c r="I248" s="60"/>
      <c r="J248" s="60"/>
      <c r="K248" s="60"/>
      <c r="L248" s="60"/>
      <c r="M248" s="60"/>
      <c r="N248" s="60"/>
      <c r="O248" s="60"/>
      <c r="P248" s="60"/>
      <c r="Q248" s="60"/>
      <c r="R248" s="60"/>
      <c r="S248" s="60"/>
      <c r="T248" s="60"/>
      <c r="U248" s="60"/>
      <c r="V248" s="60"/>
      <c r="W248" s="60"/>
      <c r="X248" s="60"/>
    </row>
    <row r="249">
      <c r="A249" s="15"/>
      <c r="B249" s="15" t="str">
        <f>IFERROR(__xludf.DUMMYFUNCTION("""COMPUTED_VALUE"""),"Jefferson Arguello bajaña")</f>
        <v>Jefferson Arguello bajaña</v>
      </c>
      <c r="C249" s="15" t="str">
        <f>IFERROR(__xludf.DUMMYFUNCTION("""COMPUTED_VALUE"""),"Cuchillo Tazaki™")</f>
        <v>Cuchillo Tazaki™</v>
      </c>
      <c r="D249" s="62" t="str">
        <f>IFERROR(__xludf.DUMMYFUNCTION("""COMPUTED_VALUE"""),"PENDIENTE")</f>
        <v>PENDIENTE</v>
      </c>
      <c r="E249" s="15">
        <f>IFERROR(__xludf.DUMMYFUNCTION("""COMPUTED_VALUE"""),4922565.0)</f>
        <v>4922565</v>
      </c>
      <c r="F249" s="15" t="s">
        <v>3637</v>
      </c>
      <c r="G249" s="60"/>
      <c r="H249" s="60"/>
      <c r="I249" s="60"/>
      <c r="J249" s="60"/>
      <c r="K249" s="60"/>
      <c r="L249" s="60"/>
      <c r="M249" s="60"/>
      <c r="N249" s="60"/>
      <c r="O249" s="60"/>
      <c r="P249" s="60"/>
      <c r="Q249" s="60"/>
      <c r="R249" s="60"/>
      <c r="S249" s="60"/>
      <c r="T249" s="60"/>
      <c r="U249" s="60"/>
      <c r="V249" s="60"/>
      <c r="W249" s="60"/>
      <c r="X249" s="60"/>
    </row>
    <row r="250">
      <c r="A250" s="15"/>
      <c r="B250" s="15" t="str">
        <f>IFERROR(__xludf.DUMMYFUNCTION("""COMPUTED_VALUE"""),"Hernando Enriquez")</f>
        <v>Hernando Enriquez</v>
      </c>
      <c r="C250" s="15" t="str">
        <f>IFERROR(__xludf.DUMMYFUNCTION("""COMPUTED_VALUE"""),"Cuchillo Tazaki™")</f>
        <v>Cuchillo Tazaki™</v>
      </c>
      <c r="D250" s="62" t="str">
        <f>IFERROR(__xludf.DUMMYFUNCTION("""COMPUTED_VALUE"""),"PENDIENTE")</f>
        <v>PENDIENTE</v>
      </c>
      <c r="E250" s="15">
        <f>IFERROR(__xludf.DUMMYFUNCTION("""COMPUTED_VALUE"""),4923194.0)</f>
        <v>4923194</v>
      </c>
      <c r="F250" s="15" t="s">
        <v>3638</v>
      </c>
      <c r="G250" s="60"/>
      <c r="H250" s="60"/>
      <c r="I250" s="60"/>
      <c r="J250" s="60"/>
      <c r="K250" s="60"/>
      <c r="L250" s="60"/>
      <c r="M250" s="60"/>
      <c r="N250" s="60"/>
      <c r="O250" s="60"/>
      <c r="P250" s="60"/>
      <c r="Q250" s="60"/>
      <c r="R250" s="60"/>
      <c r="S250" s="60"/>
      <c r="T250" s="60"/>
      <c r="U250" s="60"/>
      <c r="V250" s="60"/>
      <c r="W250" s="60"/>
      <c r="X250" s="60"/>
    </row>
    <row r="251">
      <c r="A251" s="15"/>
      <c r="B251" s="15" t="str">
        <f>IFERROR(__xludf.DUMMYFUNCTION("""COMPUTED_VALUE"""),"Michel Campoverde")</f>
        <v>Michel Campoverde</v>
      </c>
      <c r="C251" s="15" t="str">
        <f>IFERROR(__xludf.DUMMYFUNCTION("""COMPUTED_VALUE"""),"Cuchillo Tazaki™")</f>
        <v>Cuchillo Tazaki™</v>
      </c>
      <c r="D251" s="62" t="str">
        <f>IFERROR(__xludf.DUMMYFUNCTION("""COMPUTED_VALUE"""),"PENDIENTE")</f>
        <v>PENDIENTE</v>
      </c>
      <c r="E251" s="15">
        <f>IFERROR(__xludf.DUMMYFUNCTION("""COMPUTED_VALUE"""),4923404.0)</f>
        <v>4923404</v>
      </c>
      <c r="F251" s="15" t="s">
        <v>3639</v>
      </c>
      <c r="G251" s="60"/>
      <c r="H251" s="60"/>
      <c r="I251" s="60"/>
      <c r="J251" s="60"/>
      <c r="K251" s="60"/>
      <c r="L251" s="60"/>
      <c r="M251" s="60"/>
      <c r="N251" s="60"/>
      <c r="O251" s="60"/>
      <c r="P251" s="60"/>
      <c r="Q251" s="60"/>
      <c r="R251" s="60"/>
      <c r="S251" s="60"/>
      <c r="T251" s="60"/>
      <c r="U251" s="60"/>
      <c r="V251" s="60"/>
      <c r="W251" s="60"/>
      <c r="X251" s="60"/>
    </row>
    <row r="252">
      <c r="A252" s="15"/>
      <c r="B252" s="15" t="str">
        <f>IFERROR(__xludf.DUMMYFUNCTION("""COMPUTED_VALUE"""),"Lupe Hidalgo")</f>
        <v>Lupe Hidalgo</v>
      </c>
      <c r="C252" s="15" t="str">
        <f>IFERROR(__xludf.DUMMYFUNCTION("""COMPUTED_VALUE"""),"Cuchillo Tazaki™")</f>
        <v>Cuchillo Tazaki™</v>
      </c>
      <c r="D252" s="62" t="str">
        <f>IFERROR(__xludf.DUMMYFUNCTION("""COMPUTED_VALUE"""),"PENDIENTE")</f>
        <v>PENDIENTE</v>
      </c>
      <c r="E252" s="15">
        <f>IFERROR(__xludf.DUMMYFUNCTION("""COMPUTED_VALUE"""),4923734.0)</f>
        <v>4923734</v>
      </c>
      <c r="F252" s="15" t="s">
        <v>3640</v>
      </c>
      <c r="G252" s="60"/>
      <c r="H252" s="60"/>
      <c r="I252" s="60"/>
      <c r="J252" s="60"/>
      <c r="K252" s="60"/>
      <c r="L252" s="60"/>
      <c r="M252" s="60"/>
      <c r="N252" s="60"/>
      <c r="O252" s="60"/>
      <c r="P252" s="60"/>
      <c r="Q252" s="60"/>
      <c r="R252" s="60"/>
      <c r="S252" s="60"/>
      <c r="T252" s="60"/>
      <c r="U252" s="60"/>
      <c r="V252" s="60"/>
      <c r="W252" s="60"/>
      <c r="X252" s="60"/>
    </row>
    <row r="253">
      <c r="A253" s="15"/>
      <c r="B253" s="15" t="str">
        <f>IFERROR(__xludf.DUMMYFUNCTION("""COMPUTED_VALUE"""),"Margarita León")</f>
        <v>Margarita León</v>
      </c>
      <c r="C253" s="15" t="str">
        <f>IFERROR(__xludf.DUMMYFUNCTION("""COMPUTED_VALUE"""),"Cuchillo Tazaki™")</f>
        <v>Cuchillo Tazaki™</v>
      </c>
      <c r="D253" s="62" t="str">
        <f>IFERROR(__xludf.DUMMYFUNCTION("""COMPUTED_VALUE"""),"PENDIENTE")</f>
        <v>PENDIENTE</v>
      </c>
      <c r="E253" s="15">
        <f>IFERROR(__xludf.DUMMYFUNCTION("""COMPUTED_VALUE"""),4923790.0)</f>
        <v>4923790</v>
      </c>
      <c r="F253" s="15" t="s">
        <v>3641</v>
      </c>
      <c r="G253" s="60"/>
      <c r="H253" s="60"/>
      <c r="I253" s="60"/>
      <c r="J253" s="60"/>
      <c r="K253" s="60"/>
      <c r="L253" s="60"/>
      <c r="M253" s="60"/>
      <c r="N253" s="60"/>
      <c r="O253" s="60"/>
      <c r="P253" s="60"/>
      <c r="Q253" s="60"/>
      <c r="R253" s="60"/>
      <c r="S253" s="60"/>
      <c r="T253" s="60"/>
      <c r="U253" s="60"/>
      <c r="V253" s="60"/>
      <c r="W253" s="60"/>
      <c r="X253" s="60"/>
    </row>
    <row r="254">
      <c r="A254" s="15"/>
      <c r="B254" s="15" t="str">
        <f>IFERROR(__xludf.DUMMYFUNCTION("""COMPUTED_VALUE"""),"Angel humberto Lopez zambrano")</f>
        <v>Angel humberto Lopez zambrano</v>
      </c>
      <c r="C254" s="15" t="str">
        <f>IFERROR(__xludf.DUMMYFUNCTION("""COMPUTED_VALUE"""),"Cuchillo Tazaki™")</f>
        <v>Cuchillo Tazaki™</v>
      </c>
      <c r="D254" s="62" t="str">
        <f>IFERROR(__xludf.DUMMYFUNCTION("""COMPUTED_VALUE"""),"PENDIENTE")</f>
        <v>PENDIENTE</v>
      </c>
      <c r="E254" s="15">
        <f>IFERROR(__xludf.DUMMYFUNCTION("""COMPUTED_VALUE"""),4923799.0)</f>
        <v>4923799</v>
      </c>
      <c r="F254" s="15" t="s">
        <v>3642</v>
      </c>
      <c r="G254" s="60"/>
      <c r="H254" s="60"/>
      <c r="I254" s="60"/>
      <c r="J254" s="60"/>
      <c r="K254" s="60"/>
      <c r="L254" s="60"/>
      <c r="M254" s="60"/>
      <c r="N254" s="60"/>
      <c r="O254" s="60"/>
      <c r="P254" s="60"/>
      <c r="Q254" s="60"/>
      <c r="R254" s="60"/>
      <c r="S254" s="60"/>
      <c r="T254" s="60"/>
      <c r="U254" s="60"/>
      <c r="V254" s="60"/>
      <c r="W254" s="60"/>
      <c r="X254" s="60"/>
    </row>
    <row r="255">
      <c r="A255" s="15"/>
      <c r="B255" s="15" t="str">
        <f>IFERROR(__xludf.DUMMYFUNCTION("""COMPUTED_VALUE"""),"Antonio Sánchez")</f>
        <v>Antonio Sánchez</v>
      </c>
      <c r="C255" s="15" t="str">
        <f>IFERROR(__xludf.DUMMYFUNCTION("""COMPUTED_VALUE"""),"Cuchillo Tazaki™")</f>
        <v>Cuchillo Tazaki™</v>
      </c>
      <c r="D255" s="62" t="str">
        <f>IFERROR(__xludf.DUMMYFUNCTION("""COMPUTED_VALUE"""),"PENDIENTE")</f>
        <v>PENDIENTE</v>
      </c>
      <c r="E255" s="15">
        <f>IFERROR(__xludf.DUMMYFUNCTION("""COMPUTED_VALUE"""),4923888.0)</f>
        <v>4923888</v>
      </c>
      <c r="F255" s="15" t="s">
        <v>3643</v>
      </c>
      <c r="G255" s="60"/>
      <c r="H255" s="60"/>
      <c r="I255" s="60"/>
      <c r="J255" s="60"/>
      <c r="K255" s="60"/>
      <c r="L255" s="60"/>
      <c r="M255" s="60"/>
      <c r="N255" s="60"/>
      <c r="O255" s="60"/>
      <c r="P255" s="60"/>
      <c r="Q255" s="60"/>
      <c r="R255" s="60"/>
      <c r="S255" s="60"/>
      <c r="T255" s="60"/>
      <c r="U255" s="60"/>
      <c r="V255" s="60"/>
      <c r="W255" s="60"/>
      <c r="X255" s="60"/>
    </row>
    <row r="256">
      <c r="A256" s="15"/>
      <c r="B256" s="15" t="str">
        <f>IFERROR(__xludf.DUMMYFUNCTION("""COMPUTED_VALUE"""),"Gloria Sigcha")</f>
        <v>Gloria Sigcha</v>
      </c>
      <c r="C256" s="15" t="str">
        <f>IFERROR(__xludf.DUMMYFUNCTION("""COMPUTED_VALUE"""),"Cuchillo Tazaki™")</f>
        <v>Cuchillo Tazaki™</v>
      </c>
      <c r="D256" s="62" t="str">
        <f>IFERROR(__xludf.DUMMYFUNCTION("""COMPUTED_VALUE"""),"PENDIENTE")</f>
        <v>PENDIENTE</v>
      </c>
      <c r="E256" s="15">
        <f>IFERROR(__xludf.DUMMYFUNCTION("""COMPUTED_VALUE"""),4923947.0)</f>
        <v>4923947</v>
      </c>
      <c r="F256" s="15" t="s">
        <v>3644</v>
      </c>
      <c r="G256" s="60"/>
      <c r="H256" s="60"/>
      <c r="I256" s="60"/>
      <c r="J256" s="60"/>
      <c r="K256" s="60"/>
      <c r="L256" s="60"/>
      <c r="M256" s="60"/>
      <c r="N256" s="60"/>
      <c r="O256" s="60"/>
      <c r="P256" s="60"/>
      <c r="Q256" s="60"/>
      <c r="R256" s="60"/>
      <c r="S256" s="60"/>
      <c r="T256" s="60"/>
      <c r="U256" s="60"/>
      <c r="V256" s="60"/>
      <c r="W256" s="60"/>
      <c r="X256" s="60"/>
    </row>
    <row r="257">
      <c r="A257" s="15"/>
      <c r="B257" s="15" t="str">
        <f>IFERROR(__xludf.DUMMYFUNCTION("""COMPUTED_VALUE"""),"Luis Aizaga")</f>
        <v>Luis Aizaga</v>
      </c>
      <c r="C257" s="15" t="str">
        <f>IFERROR(__xludf.DUMMYFUNCTION("""COMPUTED_VALUE"""),"Cuchillo Tazaki™")</f>
        <v>Cuchillo Tazaki™</v>
      </c>
      <c r="D257" s="62" t="str">
        <f>IFERROR(__xludf.DUMMYFUNCTION("""COMPUTED_VALUE"""),"PENDIENTE")</f>
        <v>PENDIENTE</v>
      </c>
      <c r="E257" s="15">
        <f>IFERROR(__xludf.DUMMYFUNCTION("""COMPUTED_VALUE"""),4924022.0)</f>
        <v>4924022</v>
      </c>
      <c r="F257" s="15" t="s">
        <v>3645</v>
      </c>
      <c r="G257" s="60"/>
      <c r="H257" s="60"/>
      <c r="I257" s="60"/>
      <c r="J257" s="60"/>
      <c r="K257" s="60"/>
      <c r="L257" s="60"/>
      <c r="M257" s="60"/>
      <c r="N257" s="60"/>
      <c r="O257" s="60"/>
      <c r="P257" s="60"/>
      <c r="Q257" s="60"/>
      <c r="R257" s="60"/>
      <c r="S257" s="60"/>
      <c r="T257" s="60"/>
      <c r="U257" s="60"/>
      <c r="V257" s="60"/>
      <c r="W257" s="60"/>
      <c r="X257" s="60"/>
    </row>
    <row r="258">
      <c r="A258" s="15"/>
      <c r="B258" s="15" t="str">
        <f>IFERROR(__xludf.DUMMYFUNCTION("""COMPUTED_VALUE"""),"Néstor Rodriguez")</f>
        <v>Néstor Rodriguez</v>
      </c>
      <c r="C258" s="15" t="str">
        <f>IFERROR(__xludf.DUMMYFUNCTION("""COMPUTED_VALUE"""),"Cuchillo Tazaki™")</f>
        <v>Cuchillo Tazaki™</v>
      </c>
      <c r="D258" s="62" t="str">
        <f>IFERROR(__xludf.DUMMYFUNCTION("""COMPUTED_VALUE"""),"PENDIENTE")</f>
        <v>PENDIENTE</v>
      </c>
      <c r="E258" s="15">
        <f>IFERROR(__xludf.DUMMYFUNCTION("""COMPUTED_VALUE"""),4924635.0)</f>
        <v>4924635</v>
      </c>
      <c r="F258" s="15" t="s">
        <v>3646</v>
      </c>
      <c r="G258" s="60"/>
      <c r="H258" s="60"/>
      <c r="I258" s="60"/>
      <c r="J258" s="60"/>
      <c r="K258" s="60"/>
      <c r="L258" s="60"/>
      <c r="M258" s="60"/>
      <c r="N258" s="60"/>
      <c r="O258" s="60"/>
      <c r="P258" s="60"/>
      <c r="Q258" s="60"/>
      <c r="R258" s="60"/>
      <c r="S258" s="60"/>
      <c r="T258" s="60"/>
      <c r="U258" s="60"/>
      <c r="V258" s="60"/>
      <c r="W258" s="60"/>
      <c r="X258" s="60"/>
    </row>
    <row r="259">
      <c r="A259" s="15"/>
      <c r="B259" s="15" t="str">
        <f>IFERROR(__xludf.DUMMYFUNCTION("""COMPUTED_VALUE"""),"Jhonny Alberto Cojitambo balón")</f>
        <v>Jhonny Alberto Cojitambo balón</v>
      </c>
      <c r="C259" s="15" t="str">
        <f>IFERROR(__xludf.DUMMYFUNCTION("""COMPUTED_VALUE"""),"Cuchillo Tazaki™")</f>
        <v>Cuchillo Tazaki™</v>
      </c>
      <c r="D259" s="62" t="str">
        <f>IFERROR(__xludf.DUMMYFUNCTION("""COMPUTED_VALUE"""),"PENDIENTE")</f>
        <v>PENDIENTE</v>
      </c>
      <c r="E259" s="15">
        <f>IFERROR(__xludf.DUMMYFUNCTION("""COMPUTED_VALUE"""),4925060.0)</f>
        <v>4925060</v>
      </c>
      <c r="F259" s="15" t="s">
        <v>3647</v>
      </c>
      <c r="G259" s="60"/>
      <c r="H259" s="60"/>
      <c r="I259" s="60"/>
      <c r="J259" s="60"/>
      <c r="K259" s="60"/>
      <c r="L259" s="60"/>
      <c r="M259" s="60"/>
      <c r="N259" s="60"/>
      <c r="O259" s="60"/>
      <c r="P259" s="60"/>
      <c r="Q259" s="60"/>
      <c r="R259" s="60"/>
      <c r="S259" s="60"/>
      <c r="T259" s="60"/>
      <c r="U259" s="60"/>
      <c r="V259" s="60"/>
      <c r="W259" s="60"/>
      <c r="X259" s="60"/>
    </row>
    <row r="260">
      <c r="A260" s="15"/>
      <c r="B260" s="15" t="str">
        <f>IFERROR(__xludf.DUMMYFUNCTION("""COMPUTED_VALUE"""),"Mercedes Betancourt Bustos")</f>
        <v>Mercedes Betancourt Bustos</v>
      </c>
      <c r="C260" s="15" t="str">
        <f>IFERROR(__xludf.DUMMYFUNCTION("""COMPUTED_VALUE"""),"Cuchillo Tazaki™")</f>
        <v>Cuchillo Tazaki™</v>
      </c>
      <c r="D260" s="62" t="str">
        <f>IFERROR(__xludf.DUMMYFUNCTION("""COMPUTED_VALUE"""),"PENDIENTE")</f>
        <v>PENDIENTE</v>
      </c>
      <c r="E260" s="15">
        <f>IFERROR(__xludf.DUMMYFUNCTION("""COMPUTED_VALUE"""),4925487.0)</f>
        <v>4925487</v>
      </c>
      <c r="F260" s="15" t="s">
        <v>3648</v>
      </c>
      <c r="G260" s="60"/>
      <c r="H260" s="60"/>
      <c r="I260" s="60"/>
      <c r="J260" s="60"/>
      <c r="K260" s="60"/>
      <c r="L260" s="60"/>
      <c r="M260" s="60"/>
      <c r="N260" s="60"/>
      <c r="O260" s="60"/>
      <c r="P260" s="60"/>
      <c r="Q260" s="60"/>
      <c r="R260" s="60"/>
      <c r="S260" s="60"/>
      <c r="T260" s="60"/>
      <c r="U260" s="60"/>
      <c r="V260" s="60"/>
      <c r="W260" s="60"/>
      <c r="X260" s="60"/>
    </row>
    <row r="261">
      <c r="A261" s="15"/>
      <c r="B261" s="15" t="str">
        <f>IFERROR(__xludf.DUMMYFUNCTION("""COMPUTED_VALUE"""),"Jorge García")</f>
        <v>Jorge García</v>
      </c>
      <c r="C261" s="15" t="str">
        <f>IFERROR(__xludf.DUMMYFUNCTION("""COMPUTED_VALUE"""),"Cuchillo Tazaki™")</f>
        <v>Cuchillo Tazaki™</v>
      </c>
      <c r="D261" s="62" t="str">
        <f>IFERROR(__xludf.DUMMYFUNCTION("""COMPUTED_VALUE"""),"PENDIENTE")</f>
        <v>PENDIENTE</v>
      </c>
      <c r="E261" s="15">
        <f>IFERROR(__xludf.DUMMYFUNCTION("""COMPUTED_VALUE"""),4925510.0)</f>
        <v>4925510</v>
      </c>
      <c r="F261" s="15" t="s">
        <v>3649</v>
      </c>
      <c r="G261" s="60"/>
      <c r="H261" s="60"/>
      <c r="I261" s="60"/>
      <c r="J261" s="60"/>
      <c r="K261" s="60"/>
      <c r="L261" s="60"/>
      <c r="M261" s="60"/>
      <c r="N261" s="60"/>
      <c r="O261" s="60"/>
      <c r="P261" s="60"/>
      <c r="Q261" s="60"/>
      <c r="R261" s="60"/>
      <c r="S261" s="60"/>
      <c r="T261" s="60"/>
      <c r="U261" s="60"/>
      <c r="V261" s="60"/>
      <c r="W261" s="60"/>
      <c r="X261" s="60"/>
    </row>
    <row r="262">
      <c r="A262" s="15"/>
      <c r="B262" s="15"/>
      <c r="C262" s="15"/>
      <c r="D262" s="15"/>
      <c r="E262" s="15"/>
      <c r="F262" s="15" t="s">
        <v>3650</v>
      </c>
      <c r="G262" s="60"/>
      <c r="H262" s="60"/>
      <c r="I262" s="60"/>
      <c r="J262" s="60"/>
      <c r="K262" s="60"/>
      <c r="L262" s="60"/>
      <c r="M262" s="60"/>
      <c r="N262" s="60"/>
      <c r="O262" s="60"/>
      <c r="P262" s="60"/>
      <c r="Q262" s="60"/>
      <c r="R262" s="60"/>
      <c r="S262" s="60"/>
      <c r="T262" s="60"/>
      <c r="U262" s="60"/>
      <c r="V262" s="60"/>
      <c r="W262" s="60"/>
      <c r="X262" s="60"/>
    </row>
    <row r="263">
      <c r="A263" s="15"/>
      <c r="B263" s="15"/>
      <c r="C263" s="15"/>
      <c r="D263" s="15"/>
      <c r="E263" s="15"/>
      <c r="F263" s="15" t="s">
        <v>3650</v>
      </c>
      <c r="G263" s="60"/>
      <c r="H263" s="60"/>
      <c r="I263" s="60"/>
      <c r="J263" s="60"/>
      <c r="K263" s="60"/>
      <c r="L263" s="60"/>
      <c r="M263" s="60"/>
      <c r="N263" s="60"/>
      <c r="O263" s="60"/>
      <c r="P263" s="60"/>
      <c r="Q263" s="60"/>
      <c r="R263" s="60"/>
      <c r="S263" s="60"/>
      <c r="T263" s="60"/>
      <c r="U263" s="60"/>
      <c r="V263" s="60"/>
      <c r="W263" s="60"/>
      <c r="X263" s="60"/>
    </row>
    <row r="264">
      <c r="A264" s="15"/>
      <c r="B264" s="15"/>
      <c r="C264" s="15"/>
      <c r="D264" s="15"/>
      <c r="E264" s="15"/>
      <c r="F264" s="15" t="s">
        <v>3650</v>
      </c>
      <c r="G264" s="60"/>
      <c r="H264" s="60"/>
      <c r="I264" s="60"/>
      <c r="J264" s="60"/>
      <c r="K264" s="60"/>
      <c r="L264" s="60"/>
      <c r="M264" s="60"/>
      <c r="N264" s="60"/>
      <c r="O264" s="60"/>
      <c r="P264" s="60"/>
      <c r="Q264" s="60"/>
      <c r="R264" s="60"/>
      <c r="S264" s="60"/>
      <c r="T264" s="60"/>
      <c r="U264" s="60"/>
      <c r="V264" s="60"/>
      <c r="W264" s="60"/>
      <c r="X264" s="60"/>
    </row>
    <row r="265">
      <c r="A265" s="15"/>
      <c r="B265" s="15"/>
      <c r="C265" s="15"/>
      <c r="D265" s="15"/>
      <c r="E265" s="15"/>
      <c r="F265" s="15" t="s">
        <v>3650</v>
      </c>
      <c r="G265" s="60"/>
      <c r="H265" s="60"/>
      <c r="I265" s="60"/>
      <c r="J265" s="60"/>
      <c r="K265" s="60"/>
      <c r="L265" s="60"/>
      <c r="M265" s="60"/>
      <c r="N265" s="60"/>
      <c r="O265" s="60"/>
      <c r="P265" s="60"/>
      <c r="Q265" s="60"/>
      <c r="R265" s="60"/>
      <c r="S265" s="60"/>
      <c r="T265" s="60"/>
      <c r="U265" s="60"/>
      <c r="V265" s="60"/>
      <c r="W265" s="60"/>
      <c r="X265" s="60"/>
    </row>
    <row r="266">
      <c r="A266" s="15"/>
      <c r="B266" s="15"/>
      <c r="C266" s="15"/>
      <c r="D266" s="15"/>
      <c r="E266" s="15"/>
      <c r="F266" s="15" t="s">
        <v>3650</v>
      </c>
      <c r="G266" s="60"/>
      <c r="H266" s="60"/>
      <c r="I266" s="60"/>
      <c r="J266" s="60"/>
      <c r="K266" s="60"/>
      <c r="L266" s="60"/>
      <c r="M266" s="60"/>
      <c r="N266" s="60"/>
      <c r="O266" s="60"/>
      <c r="P266" s="60"/>
      <c r="Q266" s="60"/>
      <c r="R266" s="60"/>
      <c r="S266" s="60"/>
      <c r="T266" s="60"/>
      <c r="U266" s="60"/>
      <c r="V266" s="60"/>
      <c r="W266" s="60"/>
      <c r="X266" s="60"/>
    </row>
    <row r="267">
      <c r="A267" s="15"/>
      <c r="B267" s="15"/>
      <c r="C267" s="15"/>
      <c r="D267" s="15"/>
      <c r="E267" s="15"/>
      <c r="F267" s="15" t="s">
        <v>3650</v>
      </c>
      <c r="G267" s="60"/>
      <c r="H267" s="60"/>
      <c r="I267" s="60"/>
      <c r="J267" s="60"/>
      <c r="K267" s="60"/>
      <c r="L267" s="60"/>
      <c r="M267" s="60"/>
      <c r="N267" s="60"/>
      <c r="O267" s="60"/>
      <c r="P267" s="60"/>
      <c r="Q267" s="60"/>
      <c r="R267" s="60"/>
      <c r="S267" s="60"/>
      <c r="T267" s="60"/>
      <c r="U267" s="60"/>
      <c r="V267" s="60"/>
      <c r="W267" s="60"/>
      <c r="X267" s="60"/>
    </row>
    <row r="268">
      <c r="A268" s="15"/>
      <c r="B268" s="15"/>
      <c r="C268" s="15"/>
      <c r="D268" s="15"/>
      <c r="E268" s="15"/>
      <c r="F268" s="15" t="s">
        <v>3650</v>
      </c>
      <c r="G268" s="60"/>
      <c r="H268" s="60"/>
      <c r="I268" s="60"/>
      <c r="J268" s="60"/>
      <c r="K268" s="60"/>
      <c r="L268" s="60"/>
      <c r="M268" s="60"/>
      <c r="N268" s="60"/>
      <c r="O268" s="60"/>
      <c r="P268" s="60"/>
      <c r="Q268" s="60"/>
      <c r="R268" s="60"/>
      <c r="S268" s="60"/>
      <c r="T268" s="60"/>
      <c r="U268" s="60"/>
      <c r="V268" s="60"/>
      <c r="W268" s="60"/>
      <c r="X268" s="60"/>
    </row>
    <row r="269">
      <c r="A269" s="15"/>
      <c r="B269" s="15"/>
      <c r="C269" s="15"/>
      <c r="D269" s="15"/>
      <c r="E269" s="15"/>
      <c r="F269" s="15" t="s">
        <v>3650</v>
      </c>
      <c r="G269" s="60"/>
      <c r="H269" s="60"/>
      <c r="I269" s="60"/>
      <c r="J269" s="60"/>
      <c r="K269" s="60"/>
      <c r="L269" s="60"/>
      <c r="M269" s="60"/>
      <c r="N269" s="60"/>
      <c r="O269" s="60"/>
      <c r="P269" s="60"/>
      <c r="Q269" s="60"/>
      <c r="R269" s="60"/>
      <c r="S269" s="60"/>
      <c r="T269" s="60"/>
      <c r="U269" s="60"/>
      <c r="V269" s="60"/>
      <c r="W269" s="60"/>
      <c r="X269" s="60"/>
    </row>
    <row r="270">
      <c r="A270" s="15"/>
      <c r="B270" s="15"/>
      <c r="C270" s="15"/>
      <c r="D270" s="15"/>
      <c r="E270" s="15"/>
      <c r="F270" s="15" t="s">
        <v>3650</v>
      </c>
      <c r="G270" s="60"/>
      <c r="H270" s="60"/>
      <c r="I270" s="60"/>
      <c r="J270" s="60"/>
      <c r="K270" s="60"/>
      <c r="L270" s="60"/>
      <c r="M270" s="60"/>
      <c r="N270" s="60"/>
      <c r="O270" s="60"/>
      <c r="P270" s="60"/>
      <c r="Q270" s="60"/>
      <c r="R270" s="60"/>
      <c r="S270" s="60"/>
      <c r="T270" s="60"/>
      <c r="U270" s="60"/>
      <c r="V270" s="60"/>
      <c r="W270" s="60"/>
      <c r="X270" s="60"/>
    </row>
    <row r="271">
      <c r="A271" s="15"/>
      <c r="B271" s="15"/>
      <c r="C271" s="15"/>
      <c r="D271" s="15"/>
      <c r="E271" s="15"/>
      <c r="F271" s="15" t="s">
        <v>3650</v>
      </c>
      <c r="G271" s="60"/>
      <c r="H271" s="60"/>
      <c r="I271" s="60"/>
      <c r="J271" s="60"/>
      <c r="K271" s="60"/>
      <c r="L271" s="60"/>
      <c r="M271" s="60"/>
      <c r="N271" s="60"/>
      <c r="O271" s="60"/>
      <c r="P271" s="60"/>
      <c r="Q271" s="60"/>
      <c r="R271" s="60"/>
      <c r="S271" s="60"/>
      <c r="T271" s="60"/>
      <c r="U271" s="60"/>
      <c r="V271" s="60"/>
      <c r="W271" s="60"/>
      <c r="X271" s="60"/>
    </row>
    <row r="272">
      <c r="A272" s="15"/>
      <c r="B272" s="15"/>
      <c r="C272" s="15"/>
      <c r="D272" s="15"/>
      <c r="E272" s="15"/>
      <c r="F272" s="15" t="s">
        <v>3650</v>
      </c>
      <c r="G272" s="60"/>
      <c r="H272" s="60"/>
      <c r="I272" s="60"/>
      <c r="J272" s="60"/>
      <c r="K272" s="60"/>
      <c r="L272" s="60"/>
      <c r="M272" s="60"/>
      <c r="N272" s="60"/>
      <c r="O272" s="60"/>
      <c r="P272" s="60"/>
      <c r="Q272" s="60"/>
      <c r="R272" s="60"/>
      <c r="S272" s="60"/>
      <c r="T272" s="60"/>
      <c r="U272" s="60"/>
      <c r="V272" s="60"/>
      <c r="W272" s="60"/>
      <c r="X272" s="60"/>
    </row>
    <row r="273">
      <c r="A273" s="15"/>
      <c r="B273" s="15"/>
      <c r="C273" s="15"/>
      <c r="D273" s="15"/>
      <c r="E273" s="15"/>
      <c r="F273" s="15" t="s">
        <v>3650</v>
      </c>
      <c r="G273" s="60"/>
      <c r="H273" s="60"/>
      <c r="I273" s="60"/>
      <c r="J273" s="60"/>
      <c r="K273" s="60"/>
      <c r="L273" s="60"/>
      <c r="M273" s="60"/>
      <c r="N273" s="60"/>
      <c r="O273" s="60"/>
      <c r="P273" s="60"/>
      <c r="Q273" s="60"/>
      <c r="R273" s="60"/>
      <c r="S273" s="60"/>
      <c r="T273" s="60"/>
      <c r="U273" s="60"/>
      <c r="V273" s="60"/>
      <c r="W273" s="60"/>
      <c r="X273" s="60"/>
    </row>
    <row r="274">
      <c r="A274" s="15"/>
      <c r="B274" s="15"/>
      <c r="C274" s="15"/>
      <c r="D274" s="15"/>
      <c r="E274" s="15"/>
      <c r="F274" s="15" t="s">
        <v>3650</v>
      </c>
      <c r="G274" s="60"/>
      <c r="H274" s="60"/>
      <c r="I274" s="60"/>
      <c r="J274" s="60"/>
      <c r="K274" s="60"/>
      <c r="L274" s="60"/>
      <c r="M274" s="60"/>
      <c r="N274" s="60"/>
      <c r="O274" s="60"/>
      <c r="P274" s="60"/>
      <c r="Q274" s="60"/>
      <c r="R274" s="60"/>
      <c r="S274" s="60"/>
      <c r="T274" s="60"/>
      <c r="U274" s="60"/>
      <c r="V274" s="60"/>
      <c r="W274" s="60"/>
      <c r="X274" s="60"/>
    </row>
    <row r="275">
      <c r="A275" s="15"/>
      <c r="B275" s="15"/>
      <c r="C275" s="15"/>
      <c r="D275" s="15"/>
      <c r="E275" s="15"/>
      <c r="F275" s="15" t="s">
        <v>3650</v>
      </c>
      <c r="G275" s="60"/>
      <c r="H275" s="60"/>
      <c r="I275" s="60"/>
      <c r="J275" s="60"/>
      <c r="K275" s="60"/>
      <c r="L275" s="60"/>
      <c r="M275" s="60"/>
      <c r="N275" s="60"/>
      <c r="O275" s="60"/>
      <c r="P275" s="60"/>
      <c r="Q275" s="60"/>
      <c r="R275" s="60"/>
      <c r="S275" s="60"/>
      <c r="T275" s="60"/>
      <c r="U275" s="60"/>
      <c r="V275" s="60"/>
      <c r="W275" s="60"/>
      <c r="X275" s="60"/>
    </row>
    <row r="276">
      <c r="A276" s="15"/>
      <c r="B276" s="15"/>
      <c r="C276" s="15"/>
      <c r="D276" s="15"/>
      <c r="E276" s="15"/>
      <c r="F276" s="15" t="s">
        <v>3650</v>
      </c>
      <c r="G276" s="60"/>
      <c r="H276" s="60"/>
      <c r="I276" s="60"/>
      <c r="J276" s="60"/>
      <c r="K276" s="60"/>
      <c r="L276" s="60"/>
      <c r="M276" s="60"/>
      <c r="N276" s="60"/>
      <c r="O276" s="60"/>
      <c r="P276" s="60"/>
      <c r="Q276" s="60"/>
      <c r="R276" s="60"/>
      <c r="S276" s="60"/>
      <c r="T276" s="60"/>
      <c r="U276" s="60"/>
      <c r="V276" s="60"/>
      <c r="W276" s="60"/>
      <c r="X276" s="60"/>
    </row>
    <row r="277">
      <c r="A277" s="15"/>
      <c r="B277" s="15"/>
      <c r="C277" s="15"/>
      <c r="D277" s="15"/>
      <c r="E277" s="15"/>
      <c r="F277" s="15" t="s">
        <v>3650</v>
      </c>
      <c r="G277" s="60"/>
      <c r="H277" s="60"/>
      <c r="I277" s="60"/>
      <c r="J277" s="60"/>
      <c r="K277" s="60"/>
      <c r="L277" s="60"/>
      <c r="M277" s="60"/>
      <c r="N277" s="60"/>
      <c r="O277" s="60"/>
      <c r="P277" s="60"/>
      <c r="Q277" s="60"/>
      <c r="R277" s="60"/>
      <c r="S277" s="60"/>
      <c r="T277" s="60"/>
      <c r="U277" s="60"/>
      <c r="V277" s="60"/>
      <c r="W277" s="60"/>
      <c r="X277" s="60"/>
    </row>
    <row r="278">
      <c r="A278" s="15"/>
      <c r="B278" s="15"/>
      <c r="C278" s="15"/>
      <c r="D278" s="15"/>
      <c r="E278" s="15"/>
      <c r="F278" s="15" t="s">
        <v>3650</v>
      </c>
      <c r="G278" s="60"/>
      <c r="H278" s="60"/>
      <c r="I278" s="60"/>
      <c r="J278" s="60"/>
      <c r="K278" s="60"/>
      <c r="L278" s="60"/>
      <c r="M278" s="60"/>
      <c r="N278" s="60"/>
      <c r="O278" s="60"/>
      <c r="P278" s="60"/>
      <c r="Q278" s="60"/>
      <c r="R278" s="60"/>
      <c r="S278" s="60"/>
      <c r="T278" s="60"/>
      <c r="U278" s="60"/>
      <c r="V278" s="60"/>
      <c r="W278" s="60"/>
      <c r="X278" s="60"/>
    </row>
    <row r="279">
      <c r="A279" s="15"/>
      <c r="B279" s="15"/>
      <c r="C279" s="15"/>
      <c r="D279" s="15"/>
      <c r="E279" s="15"/>
      <c r="F279" s="15" t="s">
        <v>3650</v>
      </c>
      <c r="G279" s="60"/>
      <c r="H279" s="60"/>
      <c r="I279" s="60"/>
      <c r="J279" s="60"/>
      <c r="K279" s="60"/>
      <c r="L279" s="60"/>
      <c r="M279" s="60"/>
      <c r="N279" s="60"/>
      <c r="O279" s="60"/>
      <c r="P279" s="60"/>
      <c r="Q279" s="60"/>
      <c r="R279" s="60"/>
      <c r="S279" s="60"/>
      <c r="T279" s="60"/>
      <c r="U279" s="60"/>
      <c r="V279" s="60"/>
      <c r="W279" s="60"/>
      <c r="X279" s="60"/>
    </row>
    <row r="280">
      <c r="A280" s="15"/>
      <c r="B280" s="15"/>
      <c r="C280" s="15"/>
      <c r="D280" s="15"/>
      <c r="E280" s="15"/>
      <c r="F280" s="15" t="s">
        <v>3650</v>
      </c>
      <c r="G280" s="60"/>
      <c r="H280" s="60"/>
      <c r="I280" s="60"/>
      <c r="J280" s="60"/>
      <c r="K280" s="60"/>
      <c r="L280" s="60"/>
      <c r="M280" s="60"/>
      <c r="N280" s="60"/>
      <c r="O280" s="60"/>
      <c r="P280" s="60"/>
      <c r="Q280" s="60"/>
      <c r="R280" s="60"/>
      <c r="S280" s="60"/>
      <c r="T280" s="60"/>
      <c r="U280" s="60"/>
      <c r="V280" s="60"/>
      <c r="W280" s="60"/>
      <c r="X280" s="60"/>
    </row>
    <row r="281">
      <c r="A281" s="15"/>
      <c r="B281" s="15"/>
      <c r="C281" s="15"/>
      <c r="D281" s="15"/>
      <c r="E281" s="15"/>
      <c r="F281" s="15" t="s">
        <v>3650</v>
      </c>
      <c r="G281" s="60"/>
      <c r="H281" s="60"/>
      <c r="I281" s="60"/>
      <c r="J281" s="60"/>
      <c r="K281" s="60"/>
      <c r="L281" s="60"/>
      <c r="M281" s="60"/>
      <c r="N281" s="60"/>
      <c r="O281" s="60"/>
      <c r="P281" s="60"/>
      <c r="Q281" s="60"/>
      <c r="R281" s="60"/>
      <c r="S281" s="60"/>
      <c r="T281" s="60"/>
      <c r="U281" s="60"/>
      <c r="V281" s="60"/>
      <c r="W281" s="60"/>
      <c r="X281" s="60"/>
    </row>
    <row r="282">
      <c r="A282" s="15"/>
      <c r="B282" s="15"/>
      <c r="C282" s="15"/>
      <c r="D282" s="15"/>
      <c r="E282" s="15"/>
      <c r="F282" s="15" t="s">
        <v>3650</v>
      </c>
      <c r="G282" s="60"/>
      <c r="H282" s="60"/>
      <c r="I282" s="60"/>
      <c r="J282" s="60"/>
      <c r="K282" s="60"/>
      <c r="L282" s="60"/>
      <c r="M282" s="60"/>
      <c r="N282" s="60"/>
      <c r="O282" s="60"/>
      <c r="P282" s="60"/>
      <c r="Q282" s="60"/>
      <c r="R282" s="60"/>
      <c r="S282" s="60"/>
      <c r="T282" s="60"/>
      <c r="U282" s="60"/>
      <c r="V282" s="60"/>
      <c r="W282" s="60"/>
      <c r="X282" s="60"/>
    </row>
    <row r="283">
      <c r="A283" s="15"/>
      <c r="B283" s="15"/>
      <c r="C283" s="15"/>
      <c r="D283" s="15"/>
      <c r="E283" s="15"/>
      <c r="F283" s="15" t="s">
        <v>3650</v>
      </c>
      <c r="G283" s="60"/>
      <c r="H283" s="60"/>
      <c r="I283" s="60"/>
      <c r="J283" s="60"/>
      <c r="K283" s="60"/>
      <c r="L283" s="60"/>
      <c r="M283" s="60"/>
      <c r="N283" s="60"/>
      <c r="O283" s="60"/>
      <c r="P283" s="60"/>
      <c r="Q283" s="60"/>
      <c r="R283" s="60"/>
      <c r="S283" s="60"/>
      <c r="T283" s="60"/>
      <c r="U283" s="60"/>
      <c r="V283" s="60"/>
      <c r="W283" s="60"/>
      <c r="X283" s="60"/>
    </row>
    <row r="284">
      <c r="A284" s="15"/>
      <c r="B284" s="15"/>
      <c r="C284" s="15"/>
      <c r="D284" s="15"/>
      <c r="E284" s="15"/>
      <c r="F284" s="15" t="s">
        <v>3650</v>
      </c>
      <c r="G284" s="60"/>
      <c r="H284" s="60"/>
      <c r="I284" s="60"/>
      <c r="J284" s="60"/>
      <c r="K284" s="60"/>
      <c r="L284" s="60"/>
      <c r="M284" s="60"/>
      <c r="N284" s="60"/>
      <c r="O284" s="60"/>
      <c r="P284" s="60"/>
      <c r="Q284" s="60"/>
      <c r="R284" s="60"/>
      <c r="S284" s="60"/>
      <c r="T284" s="60"/>
      <c r="U284" s="60"/>
      <c r="V284" s="60"/>
      <c r="W284" s="60"/>
      <c r="X284" s="60"/>
    </row>
    <row r="285">
      <c r="A285" s="15"/>
      <c r="B285" s="15"/>
      <c r="C285" s="15"/>
      <c r="D285" s="15"/>
      <c r="E285" s="15"/>
      <c r="F285" s="15" t="s">
        <v>3650</v>
      </c>
      <c r="G285" s="60"/>
      <c r="H285" s="60"/>
      <c r="I285" s="60"/>
      <c r="J285" s="60"/>
      <c r="K285" s="60"/>
      <c r="L285" s="60"/>
      <c r="M285" s="60"/>
      <c r="N285" s="60"/>
      <c r="O285" s="60"/>
      <c r="P285" s="60"/>
      <c r="Q285" s="60"/>
      <c r="R285" s="60"/>
      <c r="S285" s="60"/>
      <c r="T285" s="60"/>
      <c r="U285" s="60"/>
      <c r="V285" s="60"/>
      <c r="W285" s="60"/>
      <c r="X285" s="60"/>
    </row>
    <row r="286">
      <c r="A286" s="15"/>
      <c r="B286" s="15"/>
      <c r="C286" s="15"/>
      <c r="D286" s="15"/>
      <c r="E286" s="15"/>
      <c r="F286" s="15" t="s">
        <v>3650</v>
      </c>
      <c r="G286" s="60"/>
      <c r="H286" s="60"/>
      <c r="I286" s="60"/>
      <c r="J286" s="60"/>
      <c r="K286" s="60"/>
      <c r="L286" s="60"/>
      <c r="M286" s="60"/>
      <c r="N286" s="60"/>
      <c r="O286" s="60"/>
      <c r="P286" s="60"/>
      <c r="Q286" s="60"/>
      <c r="R286" s="60"/>
      <c r="S286" s="60"/>
      <c r="T286" s="60"/>
      <c r="U286" s="60"/>
      <c r="V286" s="60"/>
      <c r="W286" s="60"/>
      <c r="X286" s="60"/>
    </row>
    <row r="287">
      <c r="A287" s="15"/>
      <c r="B287" s="15"/>
      <c r="C287" s="15"/>
      <c r="D287" s="15"/>
      <c r="E287" s="15"/>
      <c r="F287" s="15" t="s">
        <v>3650</v>
      </c>
      <c r="G287" s="60"/>
      <c r="H287" s="60"/>
      <c r="I287" s="60"/>
      <c r="J287" s="60"/>
      <c r="K287" s="60"/>
      <c r="L287" s="60"/>
      <c r="M287" s="60"/>
      <c r="N287" s="60"/>
      <c r="O287" s="60"/>
      <c r="P287" s="60"/>
      <c r="Q287" s="60"/>
      <c r="R287" s="60"/>
      <c r="S287" s="60"/>
      <c r="T287" s="60"/>
      <c r="U287" s="60"/>
      <c r="V287" s="60"/>
      <c r="W287" s="60"/>
      <c r="X287" s="60"/>
    </row>
    <row r="288">
      <c r="A288" s="15"/>
      <c r="B288" s="15"/>
      <c r="C288" s="15"/>
      <c r="D288" s="15"/>
      <c r="E288" s="15"/>
      <c r="F288" s="15" t="s">
        <v>3650</v>
      </c>
      <c r="G288" s="60"/>
      <c r="H288" s="60"/>
      <c r="I288" s="60"/>
      <c r="J288" s="60"/>
      <c r="K288" s="60"/>
      <c r="L288" s="60"/>
      <c r="M288" s="60"/>
      <c r="N288" s="60"/>
      <c r="O288" s="60"/>
      <c r="P288" s="60"/>
      <c r="Q288" s="60"/>
      <c r="R288" s="60"/>
      <c r="S288" s="60"/>
      <c r="T288" s="60"/>
      <c r="U288" s="60"/>
      <c r="V288" s="60"/>
      <c r="W288" s="60"/>
      <c r="X288" s="60"/>
    </row>
    <row r="289">
      <c r="A289" s="15"/>
      <c r="B289" s="15"/>
      <c r="C289" s="15"/>
      <c r="D289" s="15"/>
      <c r="E289" s="15"/>
      <c r="F289" s="15" t="s">
        <v>3650</v>
      </c>
      <c r="G289" s="60"/>
      <c r="H289" s="60"/>
      <c r="I289" s="60"/>
      <c r="J289" s="60"/>
      <c r="K289" s="60"/>
      <c r="L289" s="60"/>
      <c r="M289" s="60"/>
      <c r="N289" s="60"/>
      <c r="O289" s="60"/>
      <c r="P289" s="60"/>
      <c r="Q289" s="60"/>
      <c r="R289" s="60"/>
      <c r="S289" s="60"/>
      <c r="T289" s="60"/>
      <c r="U289" s="60"/>
      <c r="V289" s="60"/>
      <c r="W289" s="60"/>
      <c r="X289" s="60"/>
    </row>
    <row r="290">
      <c r="A290" s="15"/>
      <c r="B290" s="15"/>
      <c r="C290" s="15"/>
      <c r="D290" s="15"/>
      <c r="E290" s="15"/>
      <c r="F290" s="15" t="s">
        <v>3650</v>
      </c>
      <c r="G290" s="60"/>
      <c r="H290" s="60"/>
      <c r="I290" s="60"/>
      <c r="J290" s="60"/>
      <c r="K290" s="60"/>
      <c r="L290" s="60"/>
      <c r="M290" s="60"/>
      <c r="N290" s="60"/>
      <c r="O290" s="60"/>
      <c r="P290" s="60"/>
      <c r="Q290" s="60"/>
      <c r="R290" s="60"/>
      <c r="S290" s="60"/>
      <c r="T290" s="60"/>
      <c r="U290" s="60"/>
      <c r="V290" s="60"/>
      <c r="W290" s="60"/>
      <c r="X290" s="60"/>
    </row>
    <row r="291">
      <c r="A291" s="15"/>
      <c r="B291" s="15"/>
      <c r="C291" s="15"/>
      <c r="D291" s="15"/>
      <c r="E291" s="15"/>
      <c r="F291" s="15" t="s">
        <v>3650</v>
      </c>
      <c r="G291" s="60"/>
      <c r="H291" s="60"/>
      <c r="I291" s="60"/>
      <c r="J291" s="60"/>
      <c r="K291" s="60"/>
      <c r="L291" s="60"/>
      <c r="M291" s="60"/>
      <c r="N291" s="60"/>
      <c r="O291" s="60"/>
      <c r="P291" s="60"/>
      <c r="Q291" s="60"/>
      <c r="R291" s="60"/>
      <c r="S291" s="60"/>
      <c r="T291" s="60"/>
      <c r="U291" s="60"/>
      <c r="V291" s="60"/>
      <c r="W291" s="60"/>
      <c r="X291" s="60"/>
    </row>
    <row r="292">
      <c r="A292" s="15"/>
      <c r="B292" s="15"/>
      <c r="C292" s="15"/>
      <c r="D292" s="15"/>
      <c r="E292" s="15"/>
      <c r="F292" s="15" t="s">
        <v>3650</v>
      </c>
      <c r="G292" s="60"/>
      <c r="H292" s="60"/>
      <c r="I292" s="60"/>
      <c r="J292" s="60"/>
      <c r="K292" s="60"/>
      <c r="L292" s="60"/>
      <c r="M292" s="60"/>
      <c r="N292" s="60"/>
      <c r="O292" s="60"/>
      <c r="P292" s="60"/>
      <c r="Q292" s="60"/>
      <c r="R292" s="60"/>
      <c r="S292" s="60"/>
      <c r="T292" s="60"/>
      <c r="U292" s="60"/>
      <c r="V292" s="60"/>
      <c r="W292" s="60"/>
      <c r="X292" s="60"/>
    </row>
    <row r="293">
      <c r="A293" s="15"/>
      <c r="B293" s="15"/>
      <c r="C293" s="15"/>
      <c r="D293" s="15"/>
      <c r="E293" s="15"/>
      <c r="F293" s="15" t="s">
        <v>3650</v>
      </c>
      <c r="G293" s="60"/>
      <c r="H293" s="60"/>
      <c r="I293" s="60"/>
      <c r="J293" s="60"/>
      <c r="K293" s="60"/>
      <c r="L293" s="60"/>
      <c r="M293" s="60"/>
      <c r="N293" s="60"/>
      <c r="O293" s="60"/>
      <c r="P293" s="60"/>
      <c r="Q293" s="60"/>
      <c r="R293" s="60"/>
      <c r="S293" s="60"/>
      <c r="T293" s="60"/>
      <c r="U293" s="60"/>
      <c r="V293" s="60"/>
      <c r="W293" s="60"/>
      <c r="X293" s="60"/>
    </row>
    <row r="294">
      <c r="A294" s="15"/>
      <c r="B294" s="15"/>
      <c r="C294" s="15"/>
      <c r="D294" s="15"/>
      <c r="E294" s="15"/>
      <c r="F294" s="15" t="s">
        <v>3650</v>
      </c>
      <c r="G294" s="60"/>
      <c r="H294" s="60"/>
      <c r="I294" s="60"/>
      <c r="J294" s="60"/>
      <c r="K294" s="60"/>
      <c r="L294" s="60"/>
      <c r="M294" s="60"/>
      <c r="N294" s="60"/>
      <c r="O294" s="60"/>
      <c r="P294" s="60"/>
      <c r="Q294" s="60"/>
      <c r="R294" s="60"/>
      <c r="S294" s="60"/>
      <c r="T294" s="60"/>
      <c r="U294" s="60"/>
      <c r="V294" s="60"/>
      <c r="W294" s="60"/>
      <c r="X294" s="60"/>
    </row>
    <row r="295">
      <c r="A295" s="15"/>
      <c r="B295" s="15"/>
      <c r="C295" s="15"/>
      <c r="D295" s="15"/>
      <c r="E295" s="15"/>
      <c r="F295" s="15" t="s">
        <v>3650</v>
      </c>
      <c r="G295" s="60"/>
      <c r="H295" s="60"/>
      <c r="I295" s="60"/>
      <c r="J295" s="60"/>
      <c r="K295" s="60"/>
      <c r="L295" s="60"/>
      <c r="M295" s="60"/>
      <c r="N295" s="60"/>
      <c r="O295" s="60"/>
      <c r="P295" s="60"/>
      <c r="Q295" s="60"/>
      <c r="R295" s="60"/>
      <c r="S295" s="60"/>
      <c r="T295" s="60"/>
      <c r="U295" s="60"/>
      <c r="V295" s="60"/>
      <c r="W295" s="60"/>
      <c r="X295" s="60"/>
    </row>
    <row r="296">
      <c r="A296" s="15"/>
      <c r="B296" s="15"/>
      <c r="C296" s="15"/>
      <c r="D296" s="15"/>
      <c r="E296" s="15"/>
      <c r="F296" s="15" t="s">
        <v>3650</v>
      </c>
      <c r="G296" s="60"/>
      <c r="H296" s="60"/>
      <c r="I296" s="60"/>
      <c r="J296" s="60"/>
      <c r="K296" s="60"/>
      <c r="L296" s="60"/>
      <c r="M296" s="60"/>
      <c r="N296" s="60"/>
      <c r="O296" s="60"/>
      <c r="P296" s="60"/>
      <c r="Q296" s="60"/>
      <c r="R296" s="60"/>
      <c r="S296" s="60"/>
      <c r="T296" s="60"/>
      <c r="U296" s="60"/>
      <c r="V296" s="60"/>
      <c r="W296" s="60"/>
      <c r="X296" s="60"/>
    </row>
    <row r="297">
      <c r="A297" s="15"/>
      <c r="B297" s="15"/>
      <c r="C297" s="15"/>
      <c r="D297" s="15"/>
      <c r="E297" s="15"/>
      <c r="F297" s="15" t="s">
        <v>3650</v>
      </c>
      <c r="G297" s="60"/>
      <c r="H297" s="60"/>
      <c r="I297" s="60"/>
      <c r="J297" s="60"/>
      <c r="K297" s="60"/>
      <c r="L297" s="60"/>
      <c r="M297" s="60"/>
      <c r="N297" s="60"/>
      <c r="O297" s="60"/>
      <c r="P297" s="60"/>
      <c r="Q297" s="60"/>
      <c r="R297" s="60"/>
      <c r="S297" s="60"/>
      <c r="T297" s="60"/>
      <c r="U297" s="60"/>
      <c r="V297" s="60"/>
      <c r="W297" s="60"/>
      <c r="X297" s="60"/>
    </row>
    <row r="298">
      <c r="A298" s="15"/>
      <c r="B298" s="15"/>
      <c r="C298" s="15"/>
      <c r="D298" s="15"/>
      <c r="E298" s="15"/>
      <c r="F298" s="15" t="s">
        <v>3650</v>
      </c>
      <c r="G298" s="60"/>
      <c r="H298" s="60"/>
      <c r="I298" s="60"/>
      <c r="J298" s="60"/>
      <c r="K298" s="60"/>
      <c r="L298" s="60"/>
      <c r="M298" s="60"/>
      <c r="N298" s="60"/>
      <c r="O298" s="60"/>
      <c r="P298" s="60"/>
      <c r="Q298" s="60"/>
      <c r="R298" s="60"/>
      <c r="S298" s="60"/>
      <c r="T298" s="60"/>
      <c r="U298" s="60"/>
      <c r="V298" s="60"/>
      <c r="W298" s="60"/>
      <c r="X298" s="60"/>
    </row>
    <row r="299">
      <c r="A299" s="15"/>
      <c r="B299" s="15"/>
      <c r="C299" s="15"/>
      <c r="D299" s="15"/>
      <c r="E299" s="15"/>
      <c r="F299" s="15" t="s">
        <v>3650</v>
      </c>
      <c r="G299" s="60"/>
      <c r="H299" s="60"/>
      <c r="I299" s="60"/>
      <c r="J299" s="60"/>
      <c r="K299" s="60"/>
      <c r="L299" s="60"/>
      <c r="M299" s="60"/>
      <c r="N299" s="60"/>
      <c r="O299" s="60"/>
      <c r="P299" s="60"/>
      <c r="Q299" s="60"/>
      <c r="R299" s="60"/>
      <c r="S299" s="60"/>
      <c r="T299" s="60"/>
      <c r="U299" s="60"/>
      <c r="V299" s="60"/>
      <c r="W299" s="60"/>
      <c r="X299" s="60"/>
    </row>
    <row r="300">
      <c r="A300" s="15"/>
      <c r="B300" s="15"/>
      <c r="C300" s="15"/>
      <c r="D300" s="15"/>
      <c r="E300" s="15"/>
      <c r="F300" s="15" t="s">
        <v>3650</v>
      </c>
      <c r="G300" s="60"/>
      <c r="H300" s="60"/>
      <c r="I300" s="60"/>
      <c r="J300" s="60"/>
      <c r="K300" s="60"/>
      <c r="L300" s="60"/>
      <c r="M300" s="60"/>
      <c r="N300" s="60"/>
      <c r="O300" s="60"/>
      <c r="P300" s="60"/>
      <c r="Q300" s="60"/>
      <c r="R300" s="60"/>
      <c r="S300" s="60"/>
      <c r="T300" s="60"/>
      <c r="U300" s="60"/>
      <c r="V300" s="60"/>
      <c r="W300" s="60"/>
      <c r="X300" s="60"/>
    </row>
    <row r="301">
      <c r="A301" s="15"/>
      <c r="B301" s="15"/>
      <c r="C301" s="15"/>
      <c r="D301" s="15"/>
      <c r="E301" s="15"/>
      <c r="F301" s="15" t="s">
        <v>3650</v>
      </c>
      <c r="G301" s="60"/>
      <c r="H301" s="60"/>
      <c r="I301" s="60"/>
      <c r="J301" s="60"/>
      <c r="K301" s="60"/>
      <c r="L301" s="60"/>
      <c r="M301" s="60"/>
      <c r="N301" s="60"/>
      <c r="O301" s="60"/>
      <c r="P301" s="60"/>
      <c r="Q301" s="60"/>
      <c r="R301" s="60"/>
      <c r="S301" s="60"/>
      <c r="T301" s="60"/>
      <c r="U301" s="60"/>
      <c r="V301" s="60"/>
      <c r="W301" s="60"/>
      <c r="X301" s="60"/>
    </row>
    <row r="302">
      <c r="A302" s="15"/>
      <c r="B302" s="15"/>
      <c r="C302" s="15"/>
      <c r="D302" s="15"/>
      <c r="E302" s="15"/>
      <c r="F302" s="15" t="s">
        <v>3650</v>
      </c>
      <c r="G302" s="60"/>
      <c r="H302" s="60"/>
      <c r="I302" s="60"/>
      <c r="J302" s="60"/>
      <c r="K302" s="60"/>
      <c r="L302" s="60"/>
      <c r="M302" s="60"/>
      <c r="N302" s="60"/>
      <c r="O302" s="60"/>
      <c r="P302" s="60"/>
      <c r="Q302" s="60"/>
      <c r="R302" s="60"/>
      <c r="S302" s="60"/>
      <c r="T302" s="60"/>
      <c r="U302" s="60"/>
      <c r="V302" s="60"/>
      <c r="W302" s="60"/>
      <c r="X302" s="60"/>
    </row>
    <row r="303">
      <c r="A303" s="15"/>
      <c r="B303" s="15"/>
      <c r="C303" s="15"/>
      <c r="D303" s="15"/>
      <c r="E303" s="15"/>
      <c r="F303" s="15" t="s">
        <v>3650</v>
      </c>
      <c r="G303" s="60"/>
      <c r="H303" s="60"/>
      <c r="I303" s="60"/>
      <c r="J303" s="60"/>
      <c r="K303" s="60"/>
      <c r="L303" s="60"/>
      <c r="M303" s="60"/>
      <c r="N303" s="60"/>
      <c r="O303" s="60"/>
      <c r="P303" s="60"/>
      <c r="Q303" s="60"/>
      <c r="R303" s="60"/>
      <c r="S303" s="60"/>
      <c r="T303" s="60"/>
      <c r="U303" s="60"/>
      <c r="V303" s="60"/>
      <c r="W303" s="60"/>
      <c r="X303" s="60"/>
    </row>
    <row r="304">
      <c r="A304" s="15"/>
      <c r="B304" s="15"/>
      <c r="C304" s="15"/>
      <c r="D304" s="15"/>
      <c r="E304" s="15"/>
      <c r="F304" s="15" t="s">
        <v>3650</v>
      </c>
      <c r="G304" s="60"/>
      <c r="H304" s="60"/>
      <c r="I304" s="60"/>
      <c r="J304" s="60"/>
      <c r="K304" s="60"/>
      <c r="L304" s="60"/>
      <c r="M304" s="60"/>
      <c r="N304" s="60"/>
      <c r="O304" s="60"/>
      <c r="P304" s="60"/>
      <c r="Q304" s="60"/>
      <c r="R304" s="60"/>
      <c r="S304" s="60"/>
      <c r="T304" s="60"/>
      <c r="U304" s="60"/>
      <c r="V304" s="60"/>
      <c r="W304" s="60"/>
      <c r="X304" s="60"/>
    </row>
    <row r="305">
      <c r="A305" s="15"/>
      <c r="B305" s="15"/>
      <c r="C305" s="15"/>
      <c r="D305" s="15"/>
      <c r="E305" s="15"/>
      <c r="F305" s="15" t="s">
        <v>3650</v>
      </c>
      <c r="G305" s="60"/>
      <c r="H305" s="60"/>
      <c r="I305" s="60"/>
      <c r="J305" s="60"/>
      <c r="K305" s="60"/>
      <c r="L305" s="60"/>
      <c r="M305" s="60"/>
      <c r="N305" s="60"/>
      <c r="O305" s="60"/>
      <c r="P305" s="60"/>
      <c r="Q305" s="60"/>
      <c r="R305" s="60"/>
      <c r="S305" s="60"/>
      <c r="T305" s="60"/>
      <c r="U305" s="60"/>
      <c r="V305" s="60"/>
      <c r="W305" s="60"/>
      <c r="X305" s="60"/>
    </row>
    <row r="306">
      <c r="A306" s="15"/>
      <c r="B306" s="15"/>
      <c r="C306" s="15"/>
      <c r="D306" s="15"/>
      <c r="E306" s="15"/>
      <c r="F306" s="15" t="s">
        <v>3650</v>
      </c>
      <c r="G306" s="60"/>
      <c r="H306" s="60"/>
      <c r="I306" s="60"/>
      <c r="J306" s="60"/>
      <c r="K306" s="60"/>
      <c r="L306" s="60"/>
      <c r="M306" s="60"/>
      <c r="N306" s="60"/>
      <c r="O306" s="60"/>
      <c r="P306" s="60"/>
      <c r="Q306" s="60"/>
      <c r="R306" s="60"/>
      <c r="S306" s="60"/>
      <c r="T306" s="60"/>
      <c r="U306" s="60"/>
      <c r="V306" s="60"/>
      <c r="W306" s="60"/>
      <c r="X306" s="60"/>
    </row>
    <row r="307">
      <c r="A307" s="15"/>
      <c r="B307" s="15"/>
      <c r="C307" s="15"/>
      <c r="D307" s="15"/>
      <c r="E307" s="15"/>
      <c r="F307" s="15" t="s">
        <v>3650</v>
      </c>
      <c r="G307" s="60"/>
      <c r="H307" s="60"/>
      <c r="I307" s="60"/>
      <c r="J307" s="60"/>
      <c r="K307" s="60"/>
      <c r="L307" s="60"/>
      <c r="M307" s="60"/>
      <c r="N307" s="60"/>
      <c r="O307" s="60"/>
      <c r="P307" s="60"/>
      <c r="Q307" s="60"/>
      <c r="R307" s="60"/>
      <c r="S307" s="60"/>
      <c r="T307" s="60"/>
      <c r="U307" s="60"/>
      <c r="V307" s="60"/>
      <c r="W307" s="60"/>
      <c r="X307" s="60"/>
    </row>
    <row r="308">
      <c r="A308" s="15"/>
      <c r="B308" s="15"/>
      <c r="C308" s="15"/>
      <c r="D308" s="15"/>
      <c r="E308" s="15"/>
      <c r="F308" s="15" t="s">
        <v>3650</v>
      </c>
      <c r="G308" s="60"/>
      <c r="H308" s="60"/>
      <c r="I308" s="60"/>
      <c r="J308" s="60"/>
      <c r="K308" s="60"/>
      <c r="L308" s="60"/>
      <c r="M308" s="60"/>
      <c r="N308" s="60"/>
      <c r="O308" s="60"/>
      <c r="P308" s="60"/>
      <c r="Q308" s="60"/>
      <c r="R308" s="60"/>
      <c r="S308" s="60"/>
      <c r="T308" s="60"/>
      <c r="U308" s="60"/>
      <c r="V308" s="60"/>
      <c r="W308" s="60"/>
      <c r="X308" s="60"/>
    </row>
    <row r="309">
      <c r="A309" s="15"/>
      <c r="B309" s="15"/>
      <c r="C309" s="15"/>
      <c r="D309" s="15"/>
      <c r="E309" s="15"/>
      <c r="F309" s="15" t="s">
        <v>3650</v>
      </c>
      <c r="G309" s="60"/>
      <c r="H309" s="60"/>
      <c r="I309" s="60"/>
      <c r="J309" s="60"/>
      <c r="K309" s="60"/>
      <c r="L309" s="60"/>
      <c r="M309" s="60"/>
      <c r="N309" s="60"/>
      <c r="O309" s="60"/>
      <c r="P309" s="60"/>
      <c r="Q309" s="60"/>
      <c r="R309" s="60"/>
      <c r="S309" s="60"/>
      <c r="T309" s="60"/>
      <c r="U309" s="60"/>
      <c r="V309" s="60"/>
      <c r="W309" s="60"/>
      <c r="X309" s="60"/>
    </row>
    <row r="310">
      <c r="A310" s="15"/>
      <c r="B310" s="15"/>
      <c r="C310" s="15"/>
      <c r="D310" s="15"/>
      <c r="E310" s="15"/>
      <c r="F310" s="15" t="s">
        <v>3650</v>
      </c>
      <c r="G310" s="60"/>
      <c r="H310" s="60"/>
      <c r="I310" s="60"/>
      <c r="J310" s="60"/>
      <c r="K310" s="60"/>
      <c r="L310" s="60"/>
      <c r="M310" s="60"/>
      <c r="N310" s="60"/>
      <c r="O310" s="60"/>
      <c r="P310" s="60"/>
      <c r="Q310" s="60"/>
      <c r="R310" s="60"/>
      <c r="S310" s="60"/>
      <c r="T310" s="60"/>
      <c r="U310" s="60"/>
      <c r="V310" s="60"/>
      <c r="W310" s="60"/>
      <c r="X310" s="60"/>
    </row>
    <row r="311">
      <c r="A311" s="15"/>
      <c r="B311" s="15"/>
      <c r="C311" s="15"/>
      <c r="D311" s="15"/>
      <c r="E311" s="15"/>
      <c r="F311" s="15" t="s">
        <v>3650</v>
      </c>
      <c r="G311" s="60"/>
      <c r="H311" s="60"/>
      <c r="I311" s="60"/>
      <c r="J311" s="60"/>
      <c r="K311" s="60"/>
      <c r="L311" s="60"/>
      <c r="M311" s="60"/>
      <c r="N311" s="60"/>
      <c r="O311" s="60"/>
      <c r="P311" s="60"/>
      <c r="Q311" s="60"/>
      <c r="R311" s="60"/>
      <c r="S311" s="60"/>
      <c r="T311" s="60"/>
      <c r="U311" s="60"/>
      <c r="V311" s="60"/>
      <c r="W311" s="60"/>
      <c r="X311" s="60"/>
    </row>
    <row r="312">
      <c r="A312" s="15"/>
      <c r="B312" s="15"/>
      <c r="C312" s="15"/>
      <c r="D312" s="15"/>
      <c r="E312" s="15"/>
      <c r="F312" s="15" t="s">
        <v>3650</v>
      </c>
      <c r="G312" s="60"/>
      <c r="H312" s="60"/>
      <c r="I312" s="60"/>
      <c r="J312" s="60"/>
      <c r="K312" s="60"/>
      <c r="L312" s="60"/>
      <c r="M312" s="60"/>
      <c r="N312" s="60"/>
      <c r="O312" s="60"/>
      <c r="P312" s="60"/>
      <c r="Q312" s="60"/>
      <c r="R312" s="60"/>
      <c r="S312" s="60"/>
      <c r="T312" s="60"/>
      <c r="U312" s="60"/>
      <c r="V312" s="60"/>
      <c r="W312" s="60"/>
      <c r="X312" s="60"/>
    </row>
    <row r="313">
      <c r="A313" s="15"/>
      <c r="B313" s="15"/>
      <c r="C313" s="15"/>
      <c r="D313" s="15"/>
      <c r="E313" s="15"/>
      <c r="F313" s="15" t="s">
        <v>3650</v>
      </c>
      <c r="G313" s="60"/>
      <c r="H313" s="60"/>
      <c r="I313" s="60"/>
      <c r="J313" s="60"/>
      <c r="K313" s="60"/>
      <c r="L313" s="60"/>
      <c r="M313" s="60"/>
      <c r="N313" s="60"/>
      <c r="O313" s="60"/>
      <c r="P313" s="60"/>
      <c r="Q313" s="60"/>
      <c r="R313" s="60"/>
      <c r="S313" s="60"/>
      <c r="T313" s="60"/>
      <c r="U313" s="60"/>
      <c r="V313" s="60"/>
      <c r="W313" s="60"/>
      <c r="X313" s="60"/>
    </row>
    <row r="314">
      <c r="A314" s="15"/>
      <c r="B314" s="15"/>
      <c r="C314" s="15"/>
      <c r="D314" s="15"/>
      <c r="E314" s="15"/>
      <c r="F314" s="15" t="s">
        <v>3650</v>
      </c>
      <c r="G314" s="60"/>
      <c r="H314" s="60"/>
      <c r="I314" s="60"/>
      <c r="J314" s="60"/>
      <c r="K314" s="60"/>
      <c r="L314" s="60"/>
      <c r="M314" s="60"/>
      <c r="N314" s="60"/>
      <c r="O314" s="60"/>
      <c r="P314" s="60"/>
      <c r="Q314" s="60"/>
      <c r="R314" s="60"/>
      <c r="S314" s="60"/>
      <c r="T314" s="60"/>
      <c r="U314" s="60"/>
      <c r="V314" s="60"/>
      <c r="W314" s="60"/>
      <c r="X314" s="60"/>
    </row>
    <row r="315">
      <c r="A315" s="15"/>
      <c r="B315" s="15"/>
      <c r="C315" s="15"/>
      <c r="D315" s="15"/>
      <c r="E315" s="15"/>
      <c r="F315" s="15" t="s">
        <v>3650</v>
      </c>
      <c r="G315" s="60"/>
      <c r="H315" s="60"/>
      <c r="I315" s="60"/>
      <c r="J315" s="60"/>
      <c r="K315" s="60"/>
      <c r="L315" s="60"/>
      <c r="M315" s="60"/>
      <c r="N315" s="60"/>
      <c r="O315" s="60"/>
      <c r="P315" s="60"/>
      <c r="Q315" s="60"/>
      <c r="R315" s="60"/>
      <c r="S315" s="60"/>
      <c r="T315" s="60"/>
      <c r="U315" s="60"/>
      <c r="V315" s="60"/>
      <c r="W315" s="60"/>
      <c r="X315" s="60"/>
    </row>
    <row r="316">
      <c r="A316" s="15"/>
      <c r="B316" s="15"/>
      <c r="C316" s="15"/>
      <c r="D316" s="15"/>
      <c r="E316" s="15"/>
      <c r="F316" s="15" t="s">
        <v>3650</v>
      </c>
      <c r="G316" s="60"/>
      <c r="H316" s="60"/>
      <c r="I316" s="60"/>
      <c r="J316" s="60"/>
      <c r="K316" s="60"/>
      <c r="L316" s="60"/>
      <c r="M316" s="60"/>
      <c r="N316" s="60"/>
      <c r="O316" s="60"/>
      <c r="P316" s="60"/>
      <c r="Q316" s="60"/>
      <c r="R316" s="60"/>
      <c r="S316" s="60"/>
      <c r="T316" s="60"/>
      <c r="U316" s="60"/>
      <c r="V316" s="60"/>
      <c r="W316" s="60"/>
      <c r="X316" s="60"/>
    </row>
    <row r="317">
      <c r="A317" s="15"/>
      <c r="B317" s="15"/>
      <c r="C317" s="15"/>
      <c r="D317" s="15"/>
      <c r="E317" s="15"/>
      <c r="F317" s="15" t="s">
        <v>3650</v>
      </c>
      <c r="G317" s="60"/>
      <c r="H317" s="60"/>
      <c r="I317" s="60"/>
      <c r="J317" s="60"/>
      <c r="K317" s="60"/>
      <c r="L317" s="60"/>
      <c r="M317" s="60"/>
      <c r="N317" s="60"/>
      <c r="O317" s="60"/>
      <c r="P317" s="60"/>
      <c r="Q317" s="60"/>
      <c r="R317" s="60"/>
      <c r="S317" s="60"/>
      <c r="T317" s="60"/>
      <c r="U317" s="60"/>
      <c r="V317" s="60"/>
      <c r="W317" s="60"/>
      <c r="X317" s="60"/>
    </row>
    <row r="318">
      <c r="A318" s="15"/>
      <c r="B318" s="15"/>
      <c r="C318" s="15"/>
      <c r="D318" s="15"/>
      <c r="E318" s="15"/>
      <c r="F318" s="15" t="s">
        <v>3650</v>
      </c>
      <c r="G318" s="60"/>
      <c r="H318" s="60"/>
      <c r="I318" s="60"/>
      <c r="J318" s="60"/>
      <c r="K318" s="60"/>
      <c r="L318" s="60"/>
      <c r="M318" s="60"/>
      <c r="N318" s="60"/>
      <c r="O318" s="60"/>
      <c r="P318" s="60"/>
      <c r="Q318" s="60"/>
      <c r="R318" s="60"/>
      <c r="S318" s="60"/>
      <c r="T318" s="60"/>
      <c r="U318" s="60"/>
      <c r="V318" s="60"/>
      <c r="W318" s="60"/>
      <c r="X318" s="60"/>
    </row>
    <row r="319">
      <c r="A319" s="15"/>
      <c r="B319" s="15"/>
      <c r="C319" s="15"/>
      <c r="D319" s="15"/>
      <c r="E319" s="15"/>
      <c r="F319" s="15" t="s">
        <v>3650</v>
      </c>
      <c r="G319" s="60"/>
      <c r="H319" s="60"/>
      <c r="I319" s="60"/>
      <c r="J319" s="60"/>
      <c r="K319" s="60"/>
      <c r="L319" s="60"/>
      <c r="M319" s="60"/>
      <c r="N319" s="60"/>
      <c r="O319" s="60"/>
      <c r="P319" s="60"/>
      <c r="Q319" s="60"/>
      <c r="R319" s="60"/>
      <c r="S319" s="60"/>
      <c r="T319" s="60"/>
      <c r="U319" s="60"/>
      <c r="V319" s="60"/>
      <c r="W319" s="60"/>
      <c r="X319" s="60"/>
    </row>
    <row r="320">
      <c r="A320" s="15"/>
      <c r="B320" s="15"/>
      <c r="C320" s="15"/>
      <c r="D320" s="15"/>
      <c r="E320" s="15"/>
      <c r="F320" s="15" t="s">
        <v>3650</v>
      </c>
      <c r="G320" s="60"/>
      <c r="H320" s="60"/>
      <c r="I320" s="60"/>
      <c r="J320" s="60"/>
      <c r="K320" s="60"/>
      <c r="L320" s="60"/>
      <c r="M320" s="60"/>
      <c r="N320" s="60"/>
      <c r="O320" s="60"/>
      <c r="P320" s="60"/>
      <c r="Q320" s="60"/>
      <c r="R320" s="60"/>
      <c r="S320" s="60"/>
      <c r="T320" s="60"/>
      <c r="U320" s="60"/>
      <c r="V320" s="60"/>
      <c r="W320" s="60"/>
      <c r="X320" s="60"/>
    </row>
    <row r="321">
      <c r="A321" s="15"/>
      <c r="B321" s="15"/>
      <c r="C321" s="15"/>
      <c r="D321" s="15"/>
      <c r="E321" s="15"/>
      <c r="F321" s="15" t="s">
        <v>3650</v>
      </c>
      <c r="G321" s="60"/>
      <c r="H321" s="60"/>
      <c r="I321" s="60"/>
      <c r="J321" s="60"/>
      <c r="K321" s="60"/>
      <c r="L321" s="60"/>
      <c r="M321" s="60"/>
      <c r="N321" s="60"/>
      <c r="O321" s="60"/>
      <c r="P321" s="60"/>
      <c r="Q321" s="60"/>
      <c r="R321" s="60"/>
      <c r="S321" s="60"/>
      <c r="T321" s="60"/>
      <c r="U321" s="60"/>
      <c r="V321" s="60"/>
      <c r="W321" s="60"/>
      <c r="X321" s="60"/>
    </row>
    <row r="322">
      <c r="A322" s="15"/>
      <c r="B322" s="15"/>
      <c r="C322" s="15"/>
      <c r="D322" s="15"/>
      <c r="E322" s="15"/>
      <c r="F322" s="15" t="s">
        <v>3650</v>
      </c>
      <c r="G322" s="60"/>
      <c r="H322" s="60"/>
      <c r="I322" s="60"/>
      <c r="J322" s="60"/>
      <c r="K322" s="60"/>
      <c r="L322" s="60"/>
      <c r="M322" s="60"/>
      <c r="N322" s="60"/>
      <c r="O322" s="60"/>
      <c r="P322" s="60"/>
      <c r="Q322" s="60"/>
      <c r="R322" s="60"/>
      <c r="S322" s="60"/>
      <c r="T322" s="60"/>
      <c r="U322" s="60"/>
      <c r="V322" s="60"/>
      <c r="W322" s="60"/>
      <c r="X322" s="60"/>
    </row>
    <row r="323">
      <c r="A323" s="15"/>
      <c r="B323" s="15"/>
      <c r="C323" s="15"/>
      <c r="D323" s="15"/>
      <c r="E323" s="15"/>
      <c r="F323" s="15" t="s">
        <v>3650</v>
      </c>
      <c r="G323" s="60"/>
      <c r="H323" s="60"/>
      <c r="I323" s="60"/>
      <c r="J323" s="60"/>
      <c r="K323" s="60"/>
      <c r="L323" s="60"/>
      <c r="M323" s="60"/>
      <c r="N323" s="60"/>
      <c r="O323" s="60"/>
      <c r="P323" s="60"/>
      <c r="Q323" s="60"/>
      <c r="R323" s="60"/>
      <c r="S323" s="60"/>
      <c r="T323" s="60"/>
      <c r="U323" s="60"/>
      <c r="V323" s="60"/>
      <c r="W323" s="60"/>
      <c r="X323" s="60"/>
    </row>
    <row r="324">
      <c r="A324" s="15"/>
      <c r="B324" s="15"/>
      <c r="C324" s="15"/>
      <c r="D324" s="15"/>
      <c r="E324" s="15"/>
      <c r="F324" s="15" t="s">
        <v>3650</v>
      </c>
      <c r="G324" s="60"/>
      <c r="H324" s="60"/>
      <c r="I324" s="60"/>
      <c r="J324" s="60"/>
      <c r="K324" s="60"/>
      <c r="L324" s="60"/>
      <c r="M324" s="60"/>
      <c r="N324" s="60"/>
      <c r="O324" s="60"/>
      <c r="P324" s="60"/>
      <c r="Q324" s="60"/>
      <c r="R324" s="60"/>
      <c r="S324" s="60"/>
      <c r="T324" s="60"/>
      <c r="U324" s="60"/>
      <c r="V324" s="60"/>
      <c r="W324" s="60"/>
      <c r="X324" s="60"/>
    </row>
    <row r="325">
      <c r="A325" s="15"/>
      <c r="B325" s="15"/>
      <c r="C325" s="15"/>
      <c r="D325" s="15"/>
      <c r="E325" s="15"/>
      <c r="F325" s="15" t="s">
        <v>3650</v>
      </c>
      <c r="G325" s="60"/>
      <c r="H325" s="60"/>
      <c r="I325" s="60"/>
      <c r="J325" s="60"/>
      <c r="K325" s="60"/>
      <c r="L325" s="60"/>
      <c r="M325" s="60"/>
      <c r="N325" s="60"/>
      <c r="O325" s="60"/>
      <c r="P325" s="60"/>
      <c r="Q325" s="60"/>
      <c r="R325" s="60"/>
      <c r="S325" s="60"/>
      <c r="T325" s="60"/>
      <c r="U325" s="60"/>
      <c r="V325" s="60"/>
      <c r="W325" s="60"/>
      <c r="X325" s="60"/>
    </row>
    <row r="326">
      <c r="A326" s="15"/>
      <c r="B326" s="15"/>
      <c r="C326" s="15"/>
      <c r="D326" s="15"/>
      <c r="E326" s="15"/>
      <c r="F326" s="15" t="s">
        <v>3650</v>
      </c>
      <c r="G326" s="60"/>
      <c r="H326" s="60"/>
      <c r="I326" s="60"/>
      <c r="J326" s="60"/>
      <c r="K326" s="60"/>
      <c r="L326" s="60"/>
      <c r="M326" s="60"/>
      <c r="N326" s="60"/>
      <c r="O326" s="60"/>
      <c r="P326" s="60"/>
      <c r="Q326" s="60"/>
      <c r="R326" s="60"/>
      <c r="S326" s="60"/>
      <c r="T326" s="60"/>
      <c r="U326" s="60"/>
      <c r="V326" s="60"/>
      <c r="W326" s="60"/>
      <c r="X326" s="60"/>
    </row>
    <row r="327">
      <c r="A327" s="15"/>
      <c r="B327" s="15"/>
      <c r="C327" s="15"/>
      <c r="D327" s="15"/>
      <c r="E327" s="15"/>
      <c r="F327" s="15" t="s">
        <v>3650</v>
      </c>
      <c r="G327" s="60"/>
      <c r="H327" s="60"/>
      <c r="I327" s="60"/>
      <c r="J327" s="60"/>
      <c r="K327" s="60"/>
      <c r="L327" s="60"/>
      <c r="M327" s="60"/>
      <c r="N327" s="60"/>
      <c r="O327" s="60"/>
      <c r="P327" s="60"/>
      <c r="Q327" s="60"/>
      <c r="R327" s="60"/>
      <c r="S327" s="60"/>
      <c r="T327" s="60"/>
      <c r="U327" s="60"/>
      <c r="V327" s="60"/>
      <c r="W327" s="60"/>
      <c r="X327" s="60"/>
    </row>
    <row r="328">
      <c r="A328" s="15"/>
      <c r="B328" s="15"/>
      <c r="C328" s="15"/>
      <c r="D328" s="15"/>
      <c r="E328" s="15"/>
      <c r="F328" s="15" t="s">
        <v>3650</v>
      </c>
      <c r="G328" s="60"/>
      <c r="H328" s="60"/>
      <c r="I328" s="60"/>
      <c r="J328" s="60"/>
      <c r="K328" s="60"/>
      <c r="L328" s="60"/>
      <c r="M328" s="60"/>
      <c r="N328" s="60"/>
      <c r="O328" s="60"/>
      <c r="P328" s="60"/>
      <c r="Q328" s="60"/>
      <c r="R328" s="60"/>
      <c r="S328" s="60"/>
      <c r="T328" s="60"/>
      <c r="U328" s="60"/>
      <c r="V328" s="60"/>
      <c r="W328" s="60"/>
      <c r="X328" s="60"/>
    </row>
    <row r="329">
      <c r="A329" s="15"/>
      <c r="B329" s="15"/>
      <c r="C329" s="15"/>
      <c r="D329" s="15"/>
      <c r="E329" s="15"/>
      <c r="F329" s="15" t="s">
        <v>3650</v>
      </c>
      <c r="G329" s="60"/>
      <c r="H329" s="60"/>
      <c r="I329" s="60"/>
      <c r="J329" s="60"/>
      <c r="K329" s="60"/>
      <c r="L329" s="60"/>
      <c r="M329" s="60"/>
      <c r="N329" s="60"/>
      <c r="O329" s="60"/>
      <c r="P329" s="60"/>
      <c r="Q329" s="60"/>
      <c r="R329" s="60"/>
      <c r="S329" s="60"/>
      <c r="T329" s="60"/>
      <c r="U329" s="60"/>
      <c r="V329" s="60"/>
      <c r="W329" s="60"/>
      <c r="X329" s="60"/>
    </row>
    <row r="330">
      <c r="A330" s="15"/>
      <c r="B330" s="15"/>
      <c r="C330" s="15"/>
      <c r="D330" s="15"/>
      <c r="E330" s="15"/>
      <c r="F330" s="15" t="s">
        <v>3650</v>
      </c>
      <c r="G330" s="60"/>
      <c r="H330" s="60"/>
      <c r="I330" s="60"/>
      <c r="J330" s="60"/>
      <c r="K330" s="60"/>
      <c r="L330" s="60"/>
      <c r="M330" s="60"/>
      <c r="N330" s="60"/>
      <c r="O330" s="60"/>
      <c r="P330" s="60"/>
      <c r="Q330" s="60"/>
      <c r="R330" s="60"/>
      <c r="S330" s="60"/>
      <c r="T330" s="60"/>
      <c r="U330" s="60"/>
      <c r="V330" s="60"/>
      <c r="W330" s="60"/>
      <c r="X330" s="60"/>
    </row>
    <row r="331">
      <c r="A331" s="15"/>
      <c r="B331" s="15"/>
      <c r="C331" s="15"/>
      <c r="D331" s="15"/>
      <c r="E331" s="15"/>
      <c r="F331" s="15" t="s">
        <v>3650</v>
      </c>
      <c r="G331" s="60"/>
      <c r="H331" s="60"/>
      <c r="I331" s="60"/>
      <c r="J331" s="60"/>
      <c r="K331" s="60"/>
      <c r="L331" s="60"/>
      <c r="M331" s="60"/>
      <c r="N331" s="60"/>
      <c r="O331" s="60"/>
      <c r="P331" s="60"/>
      <c r="Q331" s="60"/>
      <c r="R331" s="60"/>
      <c r="S331" s="60"/>
      <c r="T331" s="60"/>
      <c r="U331" s="60"/>
      <c r="V331" s="60"/>
      <c r="W331" s="60"/>
      <c r="X331" s="60"/>
    </row>
    <row r="332">
      <c r="A332" s="15"/>
      <c r="B332" s="15"/>
      <c r="C332" s="15"/>
      <c r="D332" s="15"/>
      <c r="E332" s="15"/>
      <c r="F332" s="15" t="s">
        <v>3650</v>
      </c>
      <c r="G332" s="60"/>
      <c r="H332" s="60"/>
      <c r="I332" s="60"/>
      <c r="J332" s="60"/>
      <c r="K332" s="60"/>
      <c r="L332" s="60"/>
      <c r="M332" s="60"/>
      <c r="N332" s="60"/>
      <c r="O332" s="60"/>
      <c r="P332" s="60"/>
      <c r="Q332" s="60"/>
      <c r="R332" s="60"/>
      <c r="S332" s="60"/>
      <c r="T332" s="60"/>
      <c r="U332" s="60"/>
      <c r="V332" s="60"/>
      <c r="W332" s="60"/>
      <c r="X332" s="60"/>
    </row>
    <row r="333">
      <c r="A333" s="15"/>
      <c r="B333" s="15"/>
      <c r="C333" s="15"/>
      <c r="D333" s="15"/>
      <c r="E333" s="15"/>
      <c r="F333" s="15" t="s">
        <v>3650</v>
      </c>
      <c r="G333" s="60"/>
      <c r="H333" s="60"/>
      <c r="I333" s="60"/>
      <c r="J333" s="60"/>
      <c r="K333" s="60"/>
      <c r="L333" s="60"/>
      <c r="M333" s="60"/>
      <c r="N333" s="60"/>
      <c r="O333" s="60"/>
      <c r="P333" s="60"/>
      <c r="Q333" s="60"/>
      <c r="R333" s="60"/>
      <c r="S333" s="60"/>
      <c r="T333" s="60"/>
      <c r="U333" s="60"/>
      <c r="V333" s="60"/>
      <c r="W333" s="60"/>
      <c r="X333" s="60"/>
    </row>
    <row r="334">
      <c r="A334" s="15"/>
      <c r="B334" s="15"/>
      <c r="C334" s="15"/>
      <c r="D334" s="15"/>
      <c r="E334" s="15"/>
      <c r="F334" s="15" t="s">
        <v>3650</v>
      </c>
      <c r="G334" s="60"/>
      <c r="H334" s="60"/>
      <c r="I334" s="60"/>
      <c r="J334" s="60"/>
      <c r="K334" s="60"/>
      <c r="L334" s="60"/>
      <c r="M334" s="60"/>
      <c r="N334" s="60"/>
      <c r="O334" s="60"/>
      <c r="P334" s="60"/>
      <c r="Q334" s="60"/>
      <c r="R334" s="60"/>
      <c r="S334" s="60"/>
      <c r="T334" s="60"/>
      <c r="U334" s="60"/>
      <c r="V334" s="60"/>
      <c r="W334" s="60"/>
      <c r="X334" s="60"/>
    </row>
    <row r="335">
      <c r="A335" s="15"/>
      <c r="B335" s="15"/>
      <c r="C335" s="15"/>
      <c r="D335" s="15"/>
      <c r="E335" s="15"/>
      <c r="F335" s="15" t="s">
        <v>3650</v>
      </c>
      <c r="G335" s="60"/>
      <c r="H335" s="60"/>
      <c r="I335" s="60"/>
      <c r="J335" s="60"/>
      <c r="K335" s="60"/>
      <c r="L335" s="60"/>
      <c r="M335" s="60"/>
      <c r="N335" s="60"/>
      <c r="O335" s="60"/>
      <c r="P335" s="60"/>
      <c r="Q335" s="60"/>
      <c r="R335" s="60"/>
      <c r="S335" s="60"/>
      <c r="T335" s="60"/>
      <c r="U335" s="60"/>
      <c r="V335" s="60"/>
      <c r="W335" s="60"/>
      <c r="X335" s="60"/>
    </row>
    <row r="336">
      <c r="A336" s="15"/>
      <c r="B336" s="15"/>
      <c r="C336" s="15"/>
      <c r="D336" s="15"/>
      <c r="E336" s="15"/>
      <c r="F336" s="15" t="s">
        <v>3650</v>
      </c>
      <c r="G336" s="60"/>
      <c r="H336" s="60"/>
      <c r="I336" s="60"/>
      <c r="J336" s="60"/>
      <c r="K336" s="60"/>
      <c r="L336" s="60"/>
      <c r="M336" s="60"/>
      <c r="N336" s="60"/>
      <c r="O336" s="60"/>
      <c r="P336" s="60"/>
      <c r="Q336" s="60"/>
      <c r="R336" s="60"/>
      <c r="S336" s="60"/>
      <c r="T336" s="60"/>
      <c r="U336" s="60"/>
      <c r="V336" s="60"/>
      <c r="W336" s="60"/>
      <c r="X336" s="60"/>
    </row>
    <row r="337">
      <c r="A337" s="15"/>
      <c r="B337" s="15"/>
      <c r="C337" s="15"/>
      <c r="D337" s="15"/>
      <c r="E337" s="15"/>
      <c r="F337" s="15" t="s">
        <v>3650</v>
      </c>
      <c r="G337" s="60"/>
      <c r="H337" s="60"/>
      <c r="I337" s="60"/>
      <c r="J337" s="60"/>
      <c r="K337" s="60"/>
      <c r="L337" s="60"/>
      <c r="M337" s="60"/>
      <c r="N337" s="60"/>
      <c r="O337" s="60"/>
      <c r="P337" s="60"/>
      <c r="Q337" s="60"/>
      <c r="R337" s="60"/>
      <c r="S337" s="60"/>
      <c r="T337" s="60"/>
      <c r="U337" s="60"/>
      <c r="V337" s="60"/>
      <c r="W337" s="60"/>
      <c r="X337" s="60"/>
    </row>
    <row r="338">
      <c r="A338" s="15"/>
      <c r="B338" s="15"/>
      <c r="C338" s="15"/>
      <c r="D338" s="15"/>
      <c r="E338" s="15"/>
      <c r="F338" s="15" t="s">
        <v>3650</v>
      </c>
      <c r="G338" s="60"/>
      <c r="H338" s="60"/>
      <c r="I338" s="60"/>
      <c r="J338" s="60"/>
      <c r="K338" s="60"/>
      <c r="L338" s="60"/>
      <c r="M338" s="60"/>
      <c r="N338" s="60"/>
      <c r="O338" s="60"/>
      <c r="P338" s="60"/>
      <c r="Q338" s="60"/>
      <c r="R338" s="60"/>
      <c r="S338" s="60"/>
      <c r="T338" s="60"/>
      <c r="U338" s="60"/>
      <c r="V338" s="60"/>
      <c r="W338" s="60"/>
      <c r="X338" s="60"/>
    </row>
    <row r="339">
      <c r="A339" s="15"/>
      <c r="B339" s="15"/>
      <c r="C339" s="15"/>
      <c r="D339" s="15"/>
      <c r="E339" s="15"/>
      <c r="F339" s="15" t="s">
        <v>3650</v>
      </c>
      <c r="G339" s="60"/>
      <c r="H339" s="60"/>
      <c r="I339" s="60"/>
      <c r="J339" s="60"/>
      <c r="K339" s="60"/>
      <c r="L339" s="60"/>
      <c r="M339" s="60"/>
      <c r="N339" s="60"/>
      <c r="O339" s="60"/>
      <c r="P339" s="60"/>
      <c r="Q339" s="60"/>
      <c r="R339" s="60"/>
      <c r="S339" s="60"/>
      <c r="T339" s="60"/>
      <c r="U339" s="60"/>
      <c r="V339" s="60"/>
      <c r="W339" s="60"/>
      <c r="X339" s="60"/>
    </row>
    <row r="340">
      <c r="A340" s="15"/>
      <c r="B340" s="15"/>
      <c r="C340" s="15"/>
      <c r="D340" s="15"/>
      <c r="E340" s="15"/>
      <c r="F340" s="15" t="s">
        <v>3650</v>
      </c>
      <c r="G340" s="60"/>
      <c r="H340" s="60"/>
      <c r="I340" s="60"/>
      <c r="J340" s="60"/>
      <c r="K340" s="60"/>
      <c r="L340" s="60"/>
      <c r="M340" s="60"/>
      <c r="N340" s="60"/>
      <c r="O340" s="60"/>
      <c r="P340" s="60"/>
      <c r="Q340" s="60"/>
      <c r="R340" s="60"/>
      <c r="S340" s="60"/>
      <c r="T340" s="60"/>
      <c r="U340" s="60"/>
      <c r="V340" s="60"/>
      <c r="W340" s="60"/>
      <c r="X340" s="60"/>
    </row>
    <row r="341">
      <c r="A341" s="15"/>
      <c r="B341" s="15"/>
      <c r="C341" s="15"/>
      <c r="D341" s="15"/>
      <c r="E341" s="15"/>
      <c r="F341" s="15" t="s">
        <v>3650</v>
      </c>
      <c r="G341" s="60"/>
      <c r="H341" s="60"/>
      <c r="I341" s="60"/>
      <c r="J341" s="60"/>
      <c r="K341" s="60"/>
      <c r="L341" s="60"/>
      <c r="M341" s="60"/>
      <c r="N341" s="60"/>
      <c r="O341" s="60"/>
      <c r="P341" s="60"/>
      <c r="Q341" s="60"/>
      <c r="R341" s="60"/>
      <c r="S341" s="60"/>
      <c r="T341" s="60"/>
      <c r="U341" s="60"/>
      <c r="V341" s="60"/>
      <c r="W341" s="60"/>
      <c r="X341" s="60"/>
    </row>
    <row r="342">
      <c r="A342" s="15"/>
      <c r="B342" s="15"/>
      <c r="C342" s="15"/>
      <c r="D342" s="15"/>
      <c r="E342" s="15"/>
      <c r="F342" s="15" t="s">
        <v>3650</v>
      </c>
      <c r="G342" s="60"/>
      <c r="H342" s="60"/>
      <c r="I342" s="60"/>
      <c r="J342" s="60"/>
      <c r="K342" s="60"/>
      <c r="L342" s="60"/>
      <c r="M342" s="60"/>
      <c r="N342" s="60"/>
      <c r="O342" s="60"/>
      <c r="P342" s="60"/>
      <c r="Q342" s="60"/>
      <c r="R342" s="60"/>
      <c r="S342" s="60"/>
      <c r="T342" s="60"/>
      <c r="U342" s="60"/>
      <c r="V342" s="60"/>
      <c r="W342" s="60"/>
      <c r="X342" s="60"/>
    </row>
    <row r="343">
      <c r="A343" s="15"/>
      <c r="B343" s="15"/>
      <c r="C343" s="15"/>
      <c r="D343" s="15"/>
      <c r="E343" s="15"/>
      <c r="F343" s="15" t="s">
        <v>3650</v>
      </c>
      <c r="G343" s="60"/>
      <c r="H343" s="60"/>
      <c r="I343" s="60"/>
      <c r="J343" s="60"/>
      <c r="K343" s="60"/>
      <c r="L343" s="60"/>
      <c r="M343" s="60"/>
      <c r="N343" s="60"/>
      <c r="O343" s="60"/>
      <c r="P343" s="60"/>
      <c r="Q343" s="60"/>
      <c r="R343" s="60"/>
      <c r="S343" s="60"/>
      <c r="T343" s="60"/>
      <c r="U343" s="60"/>
      <c r="V343" s="60"/>
      <c r="W343" s="60"/>
      <c r="X343" s="60"/>
    </row>
    <row r="344">
      <c r="A344" s="15"/>
      <c r="B344" s="15"/>
      <c r="C344" s="15"/>
      <c r="D344" s="15"/>
      <c r="E344" s="15"/>
      <c r="F344" s="15" t="s">
        <v>3650</v>
      </c>
      <c r="G344" s="60"/>
      <c r="H344" s="60"/>
      <c r="I344" s="60"/>
      <c r="J344" s="60"/>
      <c r="K344" s="60"/>
      <c r="L344" s="60"/>
      <c r="M344" s="60"/>
      <c r="N344" s="60"/>
      <c r="O344" s="60"/>
      <c r="P344" s="60"/>
      <c r="Q344" s="60"/>
      <c r="R344" s="60"/>
      <c r="S344" s="60"/>
      <c r="T344" s="60"/>
      <c r="U344" s="60"/>
      <c r="V344" s="60"/>
      <c r="W344" s="60"/>
      <c r="X344" s="60"/>
    </row>
    <row r="345">
      <c r="A345" s="15"/>
      <c r="B345" s="15"/>
      <c r="C345" s="15"/>
      <c r="D345" s="15"/>
      <c r="E345" s="15"/>
      <c r="F345" s="15" t="s">
        <v>3650</v>
      </c>
      <c r="G345" s="60"/>
      <c r="H345" s="60"/>
      <c r="I345" s="60"/>
      <c r="J345" s="60"/>
      <c r="K345" s="60"/>
      <c r="L345" s="60"/>
      <c r="M345" s="60"/>
      <c r="N345" s="60"/>
      <c r="O345" s="60"/>
      <c r="P345" s="60"/>
      <c r="Q345" s="60"/>
      <c r="R345" s="60"/>
      <c r="S345" s="60"/>
      <c r="T345" s="60"/>
      <c r="U345" s="60"/>
      <c r="V345" s="60"/>
      <c r="W345" s="60"/>
      <c r="X345" s="60"/>
    </row>
    <row r="346">
      <c r="A346" s="15"/>
      <c r="B346" s="15"/>
      <c r="C346" s="15"/>
      <c r="D346" s="15"/>
      <c r="E346" s="15"/>
      <c r="F346" s="15" t="s">
        <v>3650</v>
      </c>
      <c r="G346" s="60"/>
      <c r="H346" s="60"/>
      <c r="I346" s="60"/>
      <c r="J346" s="60"/>
      <c r="K346" s="60"/>
      <c r="L346" s="60"/>
      <c r="M346" s="60"/>
      <c r="N346" s="60"/>
      <c r="O346" s="60"/>
      <c r="P346" s="60"/>
      <c r="Q346" s="60"/>
      <c r="R346" s="60"/>
      <c r="S346" s="60"/>
      <c r="T346" s="60"/>
      <c r="U346" s="60"/>
      <c r="V346" s="60"/>
      <c r="W346" s="60"/>
      <c r="X346" s="60"/>
    </row>
    <row r="347">
      <c r="A347" s="15"/>
      <c r="B347" s="15"/>
      <c r="C347" s="15"/>
      <c r="D347" s="15"/>
      <c r="E347" s="15"/>
      <c r="F347" s="15" t="s">
        <v>3650</v>
      </c>
      <c r="G347" s="60"/>
      <c r="H347" s="60"/>
      <c r="I347" s="60"/>
      <c r="J347" s="60"/>
      <c r="K347" s="60"/>
      <c r="L347" s="60"/>
      <c r="M347" s="60"/>
      <c r="N347" s="60"/>
      <c r="O347" s="60"/>
      <c r="P347" s="60"/>
      <c r="Q347" s="60"/>
      <c r="R347" s="60"/>
      <c r="S347" s="60"/>
      <c r="T347" s="60"/>
      <c r="U347" s="60"/>
      <c r="V347" s="60"/>
      <c r="W347" s="60"/>
      <c r="X347" s="60"/>
    </row>
    <row r="348">
      <c r="A348" s="15"/>
      <c r="B348" s="15"/>
      <c r="C348" s="15"/>
      <c r="D348" s="15"/>
      <c r="E348" s="15"/>
      <c r="F348" s="15" t="s">
        <v>3650</v>
      </c>
      <c r="G348" s="60"/>
      <c r="H348" s="60"/>
      <c r="I348" s="60"/>
      <c r="J348" s="60"/>
      <c r="K348" s="60"/>
      <c r="L348" s="60"/>
      <c r="M348" s="60"/>
      <c r="N348" s="60"/>
      <c r="O348" s="60"/>
      <c r="P348" s="60"/>
      <c r="Q348" s="60"/>
      <c r="R348" s="60"/>
      <c r="S348" s="60"/>
      <c r="T348" s="60"/>
      <c r="U348" s="60"/>
      <c r="V348" s="60"/>
      <c r="W348" s="60"/>
      <c r="X348" s="60"/>
    </row>
    <row r="349">
      <c r="A349" s="15"/>
      <c r="B349" s="15"/>
      <c r="C349" s="15"/>
      <c r="D349" s="15"/>
      <c r="E349" s="15"/>
      <c r="F349" s="15" t="s">
        <v>3650</v>
      </c>
      <c r="G349" s="60"/>
      <c r="H349" s="60"/>
      <c r="I349" s="60"/>
      <c r="J349" s="60"/>
      <c r="K349" s="60"/>
      <c r="L349" s="60"/>
      <c r="M349" s="60"/>
      <c r="N349" s="60"/>
      <c r="O349" s="60"/>
      <c r="P349" s="60"/>
      <c r="Q349" s="60"/>
      <c r="R349" s="60"/>
      <c r="S349" s="60"/>
      <c r="T349" s="60"/>
      <c r="U349" s="60"/>
      <c r="V349" s="60"/>
      <c r="W349" s="60"/>
      <c r="X349" s="60"/>
    </row>
    <row r="350">
      <c r="A350" s="15"/>
      <c r="B350" s="15"/>
      <c r="C350" s="15"/>
      <c r="D350" s="15"/>
      <c r="E350" s="15"/>
      <c r="F350" s="15" t="s">
        <v>3650</v>
      </c>
      <c r="G350" s="60"/>
      <c r="H350" s="60"/>
      <c r="I350" s="60"/>
      <c r="J350" s="60"/>
      <c r="K350" s="60"/>
      <c r="L350" s="60"/>
      <c r="M350" s="60"/>
      <c r="N350" s="60"/>
      <c r="O350" s="60"/>
      <c r="P350" s="60"/>
      <c r="Q350" s="60"/>
      <c r="R350" s="60"/>
      <c r="S350" s="60"/>
      <c r="T350" s="60"/>
      <c r="U350" s="60"/>
      <c r="V350" s="60"/>
      <c r="W350" s="60"/>
      <c r="X350" s="60"/>
    </row>
    <row r="351">
      <c r="A351" s="15"/>
      <c r="B351" s="15"/>
      <c r="C351" s="15"/>
      <c r="D351" s="15"/>
      <c r="E351" s="15"/>
      <c r="F351" s="15" t="s">
        <v>3650</v>
      </c>
      <c r="G351" s="60"/>
      <c r="H351" s="60"/>
      <c r="I351" s="60"/>
      <c r="J351" s="60"/>
      <c r="K351" s="60"/>
      <c r="L351" s="60"/>
      <c r="M351" s="60"/>
      <c r="N351" s="60"/>
      <c r="O351" s="60"/>
      <c r="P351" s="60"/>
      <c r="Q351" s="60"/>
      <c r="R351" s="60"/>
      <c r="S351" s="60"/>
      <c r="T351" s="60"/>
      <c r="U351" s="60"/>
      <c r="V351" s="60"/>
      <c r="W351" s="60"/>
      <c r="X351" s="60"/>
    </row>
    <row r="352">
      <c r="A352" s="15"/>
      <c r="B352" s="15"/>
      <c r="C352" s="15"/>
      <c r="D352" s="15"/>
      <c r="E352" s="15"/>
      <c r="F352" s="15" t="s">
        <v>3650</v>
      </c>
      <c r="G352" s="60"/>
      <c r="H352" s="60"/>
      <c r="I352" s="60"/>
      <c r="J352" s="60"/>
      <c r="K352" s="60"/>
      <c r="L352" s="60"/>
      <c r="M352" s="60"/>
      <c r="N352" s="60"/>
      <c r="O352" s="60"/>
      <c r="P352" s="60"/>
      <c r="Q352" s="60"/>
      <c r="R352" s="60"/>
      <c r="S352" s="60"/>
      <c r="T352" s="60"/>
      <c r="U352" s="60"/>
      <c r="V352" s="60"/>
      <c r="W352" s="60"/>
      <c r="X352" s="60"/>
    </row>
    <row r="353">
      <c r="A353" s="15"/>
      <c r="B353" s="15"/>
      <c r="C353" s="15"/>
      <c r="D353" s="15"/>
      <c r="E353" s="15"/>
      <c r="F353" s="15" t="s">
        <v>3650</v>
      </c>
      <c r="G353" s="60"/>
      <c r="H353" s="60"/>
      <c r="I353" s="60"/>
      <c r="J353" s="60"/>
      <c r="K353" s="60"/>
      <c r="L353" s="60"/>
      <c r="M353" s="60"/>
      <c r="N353" s="60"/>
      <c r="O353" s="60"/>
      <c r="P353" s="60"/>
      <c r="Q353" s="60"/>
      <c r="R353" s="60"/>
      <c r="S353" s="60"/>
      <c r="T353" s="60"/>
      <c r="U353" s="60"/>
      <c r="V353" s="60"/>
      <c r="W353" s="60"/>
      <c r="X353" s="60"/>
    </row>
    <row r="354">
      <c r="A354" s="15"/>
      <c r="B354" s="15"/>
      <c r="C354" s="15"/>
      <c r="D354" s="15"/>
      <c r="E354" s="15"/>
      <c r="F354" s="15" t="s">
        <v>3650</v>
      </c>
      <c r="G354" s="60"/>
      <c r="H354" s="60"/>
      <c r="I354" s="60"/>
      <c r="J354" s="60"/>
      <c r="K354" s="60"/>
      <c r="L354" s="60"/>
      <c r="M354" s="60"/>
      <c r="N354" s="60"/>
      <c r="O354" s="60"/>
      <c r="P354" s="60"/>
      <c r="Q354" s="60"/>
      <c r="R354" s="60"/>
      <c r="S354" s="60"/>
      <c r="T354" s="60"/>
      <c r="U354" s="60"/>
      <c r="V354" s="60"/>
      <c r="W354" s="60"/>
      <c r="X354" s="60"/>
    </row>
    <row r="355">
      <c r="A355" s="15"/>
      <c r="B355" s="15"/>
      <c r="C355" s="15"/>
      <c r="D355" s="15"/>
      <c r="E355" s="15"/>
      <c r="F355" s="15" t="s">
        <v>3650</v>
      </c>
      <c r="G355" s="60"/>
      <c r="H355" s="60"/>
      <c r="I355" s="60"/>
      <c r="J355" s="60"/>
      <c r="K355" s="60"/>
      <c r="L355" s="60"/>
      <c r="M355" s="60"/>
      <c r="N355" s="60"/>
      <c r="O355" s="60"/>
      <c r="P355" s="60"/>
      <c r="Q355" s="60"/>
      <c r="R355" s="60"/>
      <c r="S355" s="60"/>
      <c r="T355" s="60"/>
      <c r="U355" s="60"/>
      <c r="V355" s="60"/>
      <c r="W355" s="60"/>
      <c r="X355" s="60"/>
    </row>
    <row r="356">
      <c r="A356" s="15"/>
      <c r="B356" s="15"/>
      <c r="C356" s="15"/>
      <c r="D356" s="15"/>
      <c r="E356" s="15"/>
      <c r="F356" s="15" t="s">
        <v>3650</v>
      </c>
      <c r="G356" s="60"/>
      <c r="H356" s="60"/>
      <c r="I356" s="60"/>
      <c r="J356" s="60"/>
      <c r="K356" s="60"/>
      <c r="L356" s="60"/>
      <c r="M356" s="60"/>
      <c r="N356" s="60"/>
      <c r="O356" s="60"/>
      <c r="P356" s="60"/>
      <c r="Q356" s="60"/>
      <c r="R356" s="60"/>
      <c r="S356" s="60"/>
      <c r="T356" s="60"/>
      <c r="U356" s="60"/>
      <c r="V356" s="60"/>
      <c r="W356" s="60"/>
      <c r="X356" s="60"/>
    </row>
    <row r="357">
      <c r="A357" s="15"/>
      <c r="B357" s="15"/>
      <c r="C357" s="15"/>
      <c r="D357" s="15"/>
      <c r="E357" s="15"/>
      <c r="F357" s="15" t="s">
        <v>3650</v>
      </c>
      <c r="G357" s="60"/>
      <c r="H357" s="60"/>
      <c r="I357" s="60"/>
      <c r="J357" s="60"/>
      <c r="K357" s="60"/>
      <c r="L357" s="60"/>
      <c r="M357" s="60"/>
      <c r="N357" s="60"/>
      <c r="O357" s="60"/>
      <c r="P357" s="60"/>
      <c r="Q357" s="60"/>
      <c r="R357" s="60"/>
      <c r="S357" s="60"/>
      <c r="T357" s="60"/>
      <c r="U357" s="60"/>
      <c r="V357" s="60"/>
      <c r="W357" s="60"/>
      <c r="X357" s="60"/>
    </row>
    <row r="358">
      <c r="A358" s="15"/>
      <c r="B358" s="15"/>
      <c r="C358" s="15"/>
      <c r="D358" s="15"/>
      <c r="E358" s="15"/>
      <c r="F358" s="15" t="s">
        <v>3650</v>
      </c>
      <c r="G358" s="60"/>
      <c r="H358" s="60"/>
      <c r="I358" s="60"/>
      <c r="J358" s="60"/>
      <c r="K358" s="60"/>
      <c r="L358" s="60"/>
      <c r="M358" s="60"/>
      <c r="N358" s="60"/>
      <c r="O358" s="60"/>
      <c r="P358" s="60"/>
      <c r="Q358" s="60"/>
      <c r="R358" s="60"/>
      <c r="S358" s="60"/>
      <c r="T358" s="60"/>
      <c r="U358" s="60"/>
      <c r="V358" s="60"/>
      <c r="W358" s="60"/>
      <c r="X358" s="60"/>
    </row>
    <row r="359">
      <c r="A359" s="15"/>
      <c r="B359" s="15"/>
      <c r="C359" s="15"/>
      <c r="D359" s="15"/>
      <c r="E359" s="15"/>
      <c r="F359" s="15" t="s">
        <v>3650</v>
      </c>
      <c r="G359" s="60"/>
      <c r="H359" s="60"/>
      <c r="I359" s="60"/>
      <c r="J359" s="60"/>
      <c r="K359" s="60"/>
      <c r="L359" s="60"/>
      <c r="M359" s="60"/>
      <c r="N359" s="60"/>
      <c r="O359" s="60"/>
      <c r="P359" s="60"/>
      <c r="Q359" s="60"/>
      <c r="R359" s="60"/>
      <c r="S359" s="60"/>
      <c r="T359" s="60"/>
      <c r="U359" s="60"/>
      <c r="V359" s="60"/>
      <c r="W359" s="60"/>
      <c r="X359" s="60"/>
    </row>
    <row r="360">
      <c r="A360" s="15"/>
      <c r="B360" s="15"/>
      <c r="C360" s="15"/>
      <c r="D360" s="15"/>
      <c r="E360" s="15"/>
      <c r="F360" s="15" t="s">
        <v>3650</v>
      </c>
      <c r="G360" s="60"/>
      <c r="H360" s="60"/>
      <c r="I360" s="60"/>
      <c r="J360" s="60"/>
      <c r="K360" s="60"/>
      <c r="L360" s="60"/>
      <c r="M360" s="60"/>
      <c r="N360" s="60"/>
      <c r="O360" s="60"/>
      <c r="P360" s="60"/>
      <c r="Q360" s="60"/>
      <c r="R360" s="60"/>
      <c r="S360" s="60"/>
      <c r="T360" s="60"/>
      <c r="U360" s="60"/>
      <c r="V360" s="60"/>
      <c r="W360" s="60"/>
      <c r="X360" s="60"/>
    </row>
    <row r="361">
      <c r="A361" s="15"/>
      <c r="B361" s="15"/>
      <c r="C361" s="15"/>
      <c r="D361" s="15"/>
      <c r="E361" s="15"/>
      <c r="F361" s="15" t="s">
        <v>3650</v>
      </c>
      <c r="G361" s="60"/>
      <c r="H361" s="60"/>
      <c r="I361" s="60"/>
      <c r="J361" s="60"/>
      <c r="K361" s="60"/>
      <c r="L361" s="60"/>
      <c r="M361" s="60"/>
      <c r="N361" s="60"/>
      <c r="O361" s="60"/>
      <c r="P361" s="60"/>
      <c r="Q361" s="60"/>
      <c r="R361" s="60"/>
      <c r="S361" s="60"/>
      <c r="T361" s="60"/>
      <c r="U361" s="60"/>
      <c r="V361" s="60"/>
      <c r="W361" s="60"/>
      <c r="X361" s="60"/>
    </row>
    <row r="362">
      <c r="A362" s="15"/>
      <c r="B362" s="15"/>
      <c r="C362" s="15"/>
      <c r="D362" s="15"/>
      <c r="E362" s="15"/>
      <c r="F362" s="15" t="s">
        <v>3650</v>
      </c>
      <c r="G362" s="60"/>
      <c r="H362" s="60"/>
      <c r="I362" s="60"/>
      <c r="J362" s="60"/>
      <c r="K362" s="60"/>
      <c r="L362" s="60"/>
      <c r="M362" s="60"/>
      <c r="N362" s="60"/>
      <c r="O362" s="60"/>
      <c r="P362" s="60"/>
      <c r="Q362" s="60"/>
      <c r="R362" s="60"/>
      <c r="S362" s="60"/>
      <c r="T362" s="60"/>
      <c r="U362" s="60"/>
      <c r="V362" s="60"/>
      <c r="W362" s="60"/>
      <c r="X362" s="60"/>
    </row>
    <row r="363">
      <c r="A363" s="15"/>
      <c r="B363" s="15"/>
      <c r="C363" s="15"/>
      <c r="D363" s="15"/>
      <c r="E363" s="15"/>
      <c r="F363" s="15" t="s">
        <v>3650</v>
      </c>
      <c r="G363" s="60"/>
      <c r="H363" s="60"/>
      <c r="I363" s="60"/>
      <c r="J363" s="60"/>
      <c r="K363" s="60"/>
      <c r="L363" s="60"/>
      <c r="M363" s="60"/>
      <c r="N363" s="60"/>
      <c r="O363" s="60"/>
      <c r="P363" s="60"/>
      <c r="Q363" s="60"/>
      <c r="R363" s="60"/>
      <c r="S363" s="60"/>
      <c r="T363" s="60"/>
      <c r="U363" s="60"/>
      <c r="V363" s="60"/>
      <c r="W363" s="60"/>
      <c r="X363" s="60"/>
    </row>
    <row r="364">
      <c r="A364" s="15"/>
      <c r="B364" s="15"/>
      <c r="C364" s="15"/>
      <c r="D364" s="15"/>
      <c r="E364" s="15"/>
      <c r="F364" s="15" t="s">
        <v>3650</v>
      </c>
      <c r="G364" s="60"/>
      <c r="H364" s="60"/>
      <c r="I364" s="60"/>
      <c r="J364" s="60"/>
      <c r="K364" s="60"/>
      <c r="L364" s="60"/>
      <c r="M364" s="60"/>
      <c r="N364" s="60"/>
      <c r="O364" s="60"/>
      <c r="P364" s="60"/>
      <c r="Q364" s="60"/>
      <c r="R364" s="60"/>
      <c r="S364" s="60"/>
      <c r="T364" s="60"/>
      <c r="U364" s="60"/>
      <c r="V364" s="60"/>
      <c r="W364" s="60"/>
      <c r="X364" s="60"/>
    </row>
    <row r="365">
      <c r="A365" s="15"/>
      <c r="B365" s="15"/>
      <c r="C365" s="15"/>
      <c r="D365" s="15"/>
      <c r="E365" s="15"/>
      <c r="F365" s="15" t="s">
        <v>3650</v>
      </c>
      <c r="G365" s="60"/>
      <c r="H365" s="60"/>
      <c r="I365" s="60"/>
      <c r="J365" s="60"/>
      <c r="K365" s="60"/>
      <c r="L365" s="60"/>
      <c r="M365" s="60"/>
      <c r="N365" s="60"/>
      <c r="O365" s="60"/>
      <c r="P365" s="60"/>
      <c r="Q365" s="60"/>
      <c r="R365" s="60"/>
      <c r="S365" s="60"/>
      <c r="T365" s="60"/>
      <c r="U365" s="60"/>
      <c r="V365" s="60"/>
      <c r="W365" s="60"/>
      <c r="X365" s="60"/>
    </row>
    <row r="366">
      <c r="A366" s="15"/>
      <c r="B366" s="15"/>
      <c r="C366" s="15"/>
      <c r="D366" s="15"/>
      <c r="E366" s="15"/>
      <c r="F366" s="15" t="s">
        <v>3650</v>
      </c>
      <c r="G366" s="60"/>
      <c r="H366" s="60"/>
      <c r="I366" s="60"/>
      <c r="J366" s="60"/>
      <c r="K366" s="60"/>
      <c r="L366" s="60"/>
      <c r="M366" s="60"/>
      <c r="N366" s="60"/>
      <c r="O366" s="60"/>
      <c r="P366" s="60"/>
      <c r="Q366" s="60"/>
      <c r="R366" s="60"/>
      <c r="S366" s="60"/>
      <c r="T366" s="60"/>
      <c r="U366" s="60"/>
      <c r="V366" s="60"/>
      <c r="W366" s="60"/>
      <c r="X366" s="60"/>
    </row>
    <row r="367">
      <c r="A367" s="15"/>
      <c r="B367" s="15"/>
      <c r="C367" s="15"/>
      <c r="D367" s="15"/>
      <c r="E367" s="15"/>
      <c r="F367" s="15" t="s">
        <v>3650</v>
      </c>
      <c r="G367" s="60"/>
      <c r="H367" s="60"/>
      <c r="I367" s="60"/>
      <c r="J367" s="60"/>
      <c r="K367" s="60"/>
      <c r="L367" s="60"/>
      <c r="M367" s="60"/>
      <c r="N367" s="60"/>
      <c r="O367" s="60"/>
      <c r="P367" s="60"/>
      <c r="Q367" s="60"/>
      <c r="R367" s="60"/>
      <c r="S367" s="60"/>
      <c r="T367" s="60"/>
      <c r="U367" s="60"/>
      <c r="V367" s="60"/>
      <c r="W367" s="60"/>
      <c r="X367" s="60"/>
    </row>
    <row r="368">
      <c r="A368" s="15"/>
      <c r="B368" s="15"/>
      <c r="C368" s="15"/>
      <c r="D368" s="15"/>
      <c r="E368" s="15"/>
      <c r="F368" s="15" t="s">
        <v>3650</v>
      </c>
      <c r="G368" s="60"/>
      <c r="H368" s="60"/>
      <c r="I368" s="60"/>
      <c r="J368" s="60"/>
      <c r="K368" s="60"/>
      <c r="L368" s="60"/>
      <c r="M368" s="60"/>
      <c r="N368" s="60"/>
      <c r="O368" s="60"/>
      <c r="P368" s="60"/>
      <c r="Q368" s="60"/>
      <c r="R368" s="60"/>
      <c r="S368" s="60"/>
      <c r="T368" s="60"/>
      <c r="U368" s="60"/>
      <c r="V368" s="60"/>
      <c r="W368" s="60"/>
      <c r="X368" s="60"/>
    </row>
    <row r="369">
      <c r="A369" s="15"/>
      <c r="B369" s="15"/>
      <c r="C369" s="15"/>
      <c r="D369" s="15"/>
      <c r="E369" s="15"/>
      <c r="F369" s="15" t="s">
        <v>3650</v>
      </c>
      <c r="G369" s="60"/>
      <c r="H369" s="60"/>
      <c r="I369" s="60"/>
      <c r="J369" s="60"/>
      <c r="K369" s="60"/>
      <c r="L369" s="60"/>
      <c r="M369" s="60"/>
      <c r="N369" s="60"/>
      <c r="O369" s="60"/>
      <c r="P369" s="60"/>
      <c r="Q369" s="60"/>
      <c r="R369" s="60"/>
      <c r="S369" s="60"/>
      <c r="T369" s="60"/>
      <c r="U369" s="60"/>
      <c r="V369" s="60"/>
      <c r="W369" s="60"/>
      <c r="X369" s="60"/>
    </row>
    <row r="370">
      <c r="A370" s="15"/>
      <c r="B370" s="15"/>
      <c r="C370" s="15"/>
      <c r="D370" s="15"/>
      <c r="E370" s="15"/>
      <c r="F370" s="15" t="s">
        <v>3650</v>
      </c>
      <c r="G370" s="60"/>
      <c r="H370" s="60"/>
      <c r="I370" s="60"/>
      <c r="J370" s="60"/>
      <c r="K370" s="60"/>
      <c r="L370" s="60"/>
      <c r="M370" s="60"/>
      <c r="N370" s="60"/>
      <c r="O370" s="60"/>
      <c r="P370" s="60"/>
      <c r="Q370" s="60"/>
      <c r="R370" s="60"/>
      <c r="S370" s="60"/>
      <c r="T370" s="60"/>
      <c r="U370" s="60"/>
      <c r="V370" s="60"/>
      <c r="W370" s="60"/>
      <c r="X370" s="60"/>
    </row>
    <row r="371">
      <c r="A371" s="15"/>
      <c r="B371" s="15"/>
      <c r="C371" s="15"/>
      <c r="D371" s="15"/>
      <c r="E371" s="15"/>
      <c r="F371" s="15" t="s">
        <v>3650</v>
      </c>
      <c r="G371" s="60"/>
      <c r="H371" s="60"/>
      <c r="I371" s="60"/>
      <c r="J371" s="60"/>
      <c r="K371" s="60"/>
      <c r="L371" s="60"/>
      <c r="M371" s="60"/>
      <c r="N371" s="60"/>
      <c r="O371" s="60"/>
      <c r="P371" s="60"/>
      <c r="Q371" s="60"/>
      <c r="R371" s="60"/>
      <c r="S371" s="60"/>
      <c r="T371" s="60"/>
      <c r="U371" s="60"/>
      <c r="V371" s="60"/>
      <c r="W371" s="60"/>
      <c r="X371" s="60"/>
    </row>
    <row r="372">
      <c r="A372" s="15"/>
      <c r="B372" s="15"/>
      <c r="C372" s="15"/>
      <c r="D372" s="15"/>
      <c r="E372" s="15"/>
      <c r="F372" s="15" t="s">
        <v>3650</v>
      </c>
      <c r="G372" s="60"/>
      <c r="H372" s="60"/>
      <c r="I372" s="60"/>
      <c r="J372" s="60"/>
      <c r="K372" s="60"/>
      <c r="L372" s="60"/>
      <c r="M372" s="60"/>
      <c r="N372" s="60"/>
      <c r="O372" s="60"/>
      <c r="P372" s="60"/>
      <c r="Q372" s="60"/>
      <c r="R372" s="60"/>
      <c r="S372" s="60"/>
      <c r="T372" s="60"/>
      <c r="U372" s="60"/>
      <c r="V372" s="60"/>
      <c r="W372" s="60"/>
      <c r="X372" s="60"/>
    </row>
    <row r="373">
      <c r="A373" s="15"/>
      <c r="B373" s="15"/>
      <c r="C373" s="15"/>
      <c r="D373" s="15"/>
      <c r="E373" s="15"/>
      <c r="F373" s="15" t="s">
        <v>3650</v>
      </c>
      <c r="G373" s="60"/>
      <c r="H373" s="60"/>
      <c r="I373" s="60"/>
      <c r="J373" s="60"/>
      <c r="K373" s="60"/>
      <c r="L373" s="60"/>
      <c r="M373" s="60"/>
      <c r="N373" s="60"/>
      <c r="O373" s="60"/>
      <c r="P373" s="60"/>
      <c r="Q373" s="60"/>
      <c r="R373" s="60"/>
      <c r="S373" s="60"/>
      <c r="T373" s="60"/>
      <c r="U373" s="60"/>
      <c r="V373" s="60"/>
      <c r="W373" s="60"/>
      <c r="X373" s="60"/>
    </row>
    <row r="374">
      <c r="A374" s="15"/>
      <c r="B374" s="15"/>
      <c r="C374" s="15"/>
      <c r="D374" s="15"/>
      <c r="E374" s="15"/>
      <c r="F374" s="15" t="s">
        <v>3650</v>
      </c>
      <c r="G374" s="60"/>
      <c r="H374" s="60"/>
      <c r="I374" s="60"/>
      <c r="J374" s="60"/>
      <c r="K374" s="60"/>
      <c r="L374" s="60"/>
      <c r="M374" s="60"/>
      <c r="N374" s="60"/>
      <c r="O374" s="60"/>
      <c r="P374" s="60"/>
      <c r="Q374" s="60"/>
      <c r="R374" s="60"/>
      <c r="S374" s="60"/>
      <c r="T374" s="60"/>
      <c r="U374" s="60"/>
      <c r="V374" s="60"/>
      <c r="W374" s="60"/>
      <c r="X374" s="60"/>
    </row>
    <row r="375">
      <c r="A375" s="15"/>
      <c r="B375" s="15"/>
      <c r="C375" s="15"/>
      <c r="D375" s="15"/>
      <c r="E375" s="15"/>
      <c r="F375" s="15" t="s">
        <v>3650</v>
      </c>
      <c r="G375" s="60"/>
      <c r="H375" s="60"/>
      <c r="I375" s="60"/>
      <c r="J375" s="60"/>
      <c r="K375" s="60"/>
      <c r="L375" s="60"/>
      <c r="M375" s="60"/>
      <c r="N375" s="60"/>
      <c r="O375" s="60"/>
      <c r="P375" s="60"/>
      <c r="Q375" s="60"/>
      <c r="R375" s="60"/>
      <c r="S375" s="60"/>
      <c r="T375" s="60"/>
      <c r="U375" s="60"/>
      <c r="V375" s="60"/>
      <c r="W375" s="60"/>
      <c r="X375" s="60"/>
    </row>
    <row r="376">
      <c r="A376" s="15"/>
      <c r="B376" s="15"/>
      <c r="C376" s="15"/>
      <c r="D376" s="15"/>
      <c r="E376" s="15"/>
      <c r="F376" s="15" t="s">
        <v>3650</v>
      </c>
      <c r="G376" s="60"/>
      <c r="H376" s="60"/>
      <c r="I376" s="60"/>
      <c r="J376" s="60"/>
      <c r="K376" s="60"/>
      <c r="L376" s="60"/>
      <c r="M376" s="60"/>
      <c r="N376" s="60"/>
      <c r="O376" s="60"/>
      <c r="P376" s="60"/>
      <c r="Q376" s="60"/>
      <c r="R376" s="60"/>
      <c r="S376" s="60"/>
      <c r="T376" s="60"/>
      <c r="U376" s="60"/>
      <c r="V376" s="60"/>
      <c r="W376" s="60"/>
      <c r="X376" s="60"/>
    </row>
    <row r="377">
      <c r="A377" s="15"/>
      <c r="B377" s="15"/>
      <c r="C377" s="15"/>
      <c r="D377" s="15"/>
      <c r="E377" s="15"/>
      <c r="F377" s="15" t="s">
        <v>3650</v>
      </c>
      <c r="G377" s="60"/>
      <c r="H377" s="60"/>
      <c r="I377" s="60"/>
      <c r="J377" s="60"/>
      <c r="K377" s="60"/>
      <c r="L377" s="60"/>
      <c r="M377" s="60"/>
      <c r="N377" s="60"/>
      <c r="O377" s="60"/>
      <c r="P377" s="60"/>
      <c r="Q377" s="60"/>
      <c r="R377" s="60"/>
      <c r="S377" s="60"/>
      <c r="T377" s="60"/>
      <c r="U377" s="60"/>
      <c r="V377" s="60"/>
      <c r="W377" s="60"/>
      <c r="X377" s="60"/>
    </row>
    <row r="378">
      <c r="A378" s="15"/>
      <c r="B378" s="15"/>
      <c r="C378" s="15"/>
      <c r="D378" s="15"/>
      <c r="E378" s="15"/>
      <c r="F378" s="15" t="s">
        <v>3650</v>
      </c>
      <c r="G378" s="60"/>
      <c r="H378" s="60"/>
      <c r="I378" s="60"/>
      <c r="J378" s="60"/>
      <c r="K378" s="60"/>
      <c r="L378" s="60"/>
      <c r="M378" s="60"/>
      <c r="N378" s="60"/>
      <c r="O378" s="60"/>
      <c r="P378" s="60"/>
      <c r="Q378" s="60"/>
      <c r="R378" s="60"/>
      <c r="S378" s="60"/>
      <c r="T378" s="60"/>
      <c r="U378" s="60"/>
      <c r="V378" s="60"/>
      <c r="W378" s="60"/>
      <c r="X378" s="60"/>
    </row>
    <row r="379">
      <c r="A379" s="15"/>
      <c r="B379" s="15"/>
      <c r="C379" s="15"/>
      <c r="D379" s="15"/>
      <c r="E379" s="15"/>
      <c r="F379" s="15" t="s">
        <v>3650</v>
      </c>
      <c r="G379" s="60"/>
      <c r="H379" s="60"/>
      <c r="I379" s="60"/>
      <c r="J379" s="60"/>
      <c r="K379" s="60"/>
      <c r="L379" s="60"/>
      <c r="M379" s="60"/>
      <c r="N379" s="60"/>
      <c r="O379" s="60"/>
      <c r="P379" s="60"/>
      <c r="Q379" s="60"/>
      <c r="R379" s="60"/>
      <c r="S379" s="60"/>
      <c r="T379" s="60"/>
      <c r="U379" s="60"/>
      <c r="V379" s="60"/>
      <c r="W379" s="60"/>
      <c r="X379" s="60"/>
    </row>
    <row r="380">
      <c r="A380" s="15"/>
      <c r="B380" s="15"/>
      <c r="C380" s="15"/>
      <c r="D380" s="15"/>
      <c r="E380" s="15"/>
      <c r="F380" s="15" t="s">
        <v>3650</v>
      </c>
      <c r="G380" s="60"/>
      <c r="H380" s="60"/>
      <c r="I380" s="60"/>
      <c r="J380" s="60"/>
      <c r="K380" s="60"/>
      <c r="L380" s="60"/>
      <c r="M380" s="60"/>
      <c r="N380" s="60"/>
      <c r="O380" s="60"/>
      <c r="P380" s="60"/>
      <c r="Q380" s="60"/>
      <c r="R380" s="60"/>
      <c r="S380" s="60"/>
      <c r="T380" s="60"/>
      <c r="U380" s="60"/>
      <c r="V380" s="60"/>
      <c r="W380" s="60"/>
      <c r="X380" s="60"/>
    </row>
    <row r="381">
      <c r="A381" s="15"/>
      <c r="B381" s="15"/>
      <c r="C381" s="15"/>
      <c r="D381" s="15"/>
      <c r="E381" s="15"/>
      <c r="F381" s="15" t="s">
        <v>3650</v>
      </c>
      <c r="G381" s="60"/>
      <c r="H381" s="60"/>
      <c r="I381" s="60"/>
      <c r="J381" s="60"/>
      <c r="K381" s="60"/>
      <c r="L381" s="60"/>
      <c r="M381" s="60"/>
      <c r="N381" s="60"/>
      <c r="O381" s="60"/>
      <c r="P381" s="60"/>
      <c r="Q381" s="60"/>
      <c r="R381" s="60"/>
      <c r="S381" s="60"/>
      <c r="T381" s="60"/>
      <c r="U381" s="60"/>
      <c r="V381" s="60"/>
      <c r="W381" s="60"/>
      <c r="X381" s="60"/>
    </row>
    <row r="382">
      <c r="A382" s="15"/>
      <c r="B382" s="15"/>
      <c r="C382" s="15"/>
      <c r="D382" s="15"/>
      <c r="E382" s="15"/>
      <c r="F382" s="15" t="s">
        <v>3650</v>
      </c>
      <c r="G382" s="60"/>
      <c r="H382" s="60"/>
      <c r="I382" s="60"/>
      <c r="J382" s="60"/>
      <c r="K382" s="60"/>
      <c r="L382" s="60"/>
      <c r="M382" s="60"/>
      <c r="N382" s="60"/>
      <c r="O382" s="60"/>
      <c r="P382" s="60"/>
      <c r="Q382" s="60"/>
      <c r="R382" s="60"/>
      <c r="S382" s="60"/>
      <c r="T382" s="60"/>
      <c r="U382" s="60"/>
      <c r="V382" s="60"/>
      <c r="W382" s="60"/>
      <c r="X382" s="60"/>
    </row>
    <row r="383">
      <c r="A383" s="15"/>
      <c r="B383" s="15"/>
      <c r="C383" s="15"/>
      <c r="D383" s="15"/>
      <c r="E383" s="15"/>
      <c r="F383" s="15" t="s">
        <v>3650</v>
      </c>
      <c r="G383" s="60"/>
      <c r="H383" s="60"/>
      <c r="I383" s="60"/>
      <c r="J383" s="60"/>
      <c r="K383" s="60"/>
      <c r="L383" s="60"/>
      <c r="M383" s="60"/>
      <c r="N383" s="60"/>
      <c r="O383" s="60"/>
      <c r="P383" s="60"/>
      <c r="Q383" s="60"/>
      <c r="R383" s="60"/>
      <c r="S383" s="60"/>
      <c r="T383" s="60"/>
      <c r="U383" s="60"/>
      <c r="V383" s="60"/>
      <c r="W383" s="60"/>
      <c r="X383" s="60"/>
    </row>
    <row r="384">
      <c r="A384" s="15"/>
      <c r="B384" s="15"/>
      <c r="C384" s="15"/>
      <c r="D384" s="15"/>
      <c r="E384" s="15"/>
      <c r="F384" s="15" t="s">
        <v>3650</v>
      </c>
      <c r="G384" s="60"/>
      <c r="H384" s="60"/>
      <c r="I384" s="60"/>
      <c r="J384" s="60"/>
      <c r="K384" s="60"/>
      <c r="L384" s="60"/>
      <c r="M384" s="60"/>
      <c r="N384" s="60"/>
      <c r="O384" s="60"/>
      <c r="P384" s="60"/>
      <c r="Q384" s="60"/>
      <c r="R384" s="60"/>
      <c r="S384" s="60"/>
      <c r="T384" s="60"/>
      <c r="U384" s="60"/>
      <c r="V384" s="60"/>
      <c r="W384" s="60"/>
      <c r="X384" s="60"/>
    </row>
    <row r="385">
      <c r="A385" s="15"/>
      <c r="B385" s="15"/>
      <c r="C385" s="15"/>
      <c r="D385" s="15"/>
      <c r="E385" s="15"/>
      <c r="F385" s="15" t="s">
        <v>3650</v>
      </c>
      <c r="G385" s="60"/>
      <c r="H385" s="60"/>
      <c r="I385" s="60"/>
      <c r="J385" s="60"/>
      <c r="K385" s="60"/>
      <c r="L385" s="60"/>
      <c r="M385" s="60"/>
      <c r="N385" s="60"/>
      <c r="O385" s="60"/>
      <c r="P385" s="60"/>
      <c r="Q385" s="60"/>
      <c r="R385" s="60"/>
      <c r="S385" s="60"/>
      <c r="T385" s="60"/>
      <c r="U385" s="60"/>
      <c r="V385" s="60"/>
      <c r="W385" s="60"/>
      <c r="X385" s="60"/>
    </row>
    <row r="386">
      <c r="A386" s="15"/>
      <c r="B386" s="15"/>
      <c r="C386" s="15"/>
      <c r="D386" s="15"/>
      <c r="E386" s="15"/>
      <c r="F386" s="15" t="s">
        <v>3650</v>
      </c>
      <c r="G386" s="60"/>
      <c r="H386" s="60"/>
      <c r="I386" s="60"/>
      <c r="J386" s="60"/>
      <c r="K386" s="60"/>
      <c r="L386" s="60"/>
      <c r="M386" s="60"/>
      <c r="N386" s="60"/>
      <c r="O386" s="60"/>
      <c r="P386" s="60"/>
      <c r="Q386" s="60"/>
      <c r="R386" s="60"/>
      <c r="S386" s="60"/>
      <c r="T386" s="60"/>
      <c r="U386" s="60"/>
      <c r="V386" s="60"/>
      <c r="W386" s="60"/>
      <c r="X386" s="60"/>
    </row>
    <row r="387">
      <c r="A387" s="15"/>
      <c r="B387" s="15"/>
      <c r="C387" s="15"/>
      <c r="D387" s="15"/>
      <c r="E387" s="15"/>
      <c r="F387" s="15" t="s">
        <v>3650</v>
      </c>
      <c r="G387" s="60"/>
      <c r="H387" s="60"/>
      <c r="I387" s="60"/>
      <c r="J387" s="60"/>
      <c r="K387" s="60"/>
      <c r="L387" s="60"/>
      <c r="M387" s="60"/>
      <c r="N387" s="60"/>
      <c r="O387" s="60"/>
      <c r="P387" s="60"/>
      <c r="Q387" s="60"/>
      <c r="R387" s="60"/>
      <c r="S387" s="60"/>
      <c r="T387" s="60"/>
      <c r="U387" s="60"/>
      <c r="V387" s="60"/>
      <c r="W387" s="60"/>
      <c r="X387" s="60"/>
    </row>
    <row r="388">
      <c r="A388" s="15"/>
      <c r="B388" s="15"/>
      <c r="C388" s="15"/>
      <c r="D388" s="15"/>
      <c r="E388" s="15"/>
      <c r="F388" s="15" t="s">
        <v>3650</v>
      </c>
      <c r="G388" s="60"/>
      <c r="H388" s="60"/>
      <c r="I388" s="60"/>
      <c r="J388" s="60"/>
      <c r="K388" s="60"/>
      <c r="L388" s="60"/>
      <c r="M388" s="60"/>
      <c r="N388" s="60"/>
      <c r="O388" s="60"/>
      <c r="P388" s="60"/>
      <c r="Q388" s="60"/>
      <c r="R388" s="60"/>
      <c r="S388" s="60"/>
      <c r="T388" s="60"/>
      <c r="U388" s="60"/>
      <c r="V388" s="60"/>
      <c r="W388" s="60"/>
      <c r="X388" s="60"/>
    </row>
    <row r="389">
      <c r="A389" s="15"/>
      <c r="B389" s="15"/>
      <c r="C389" s="15"/>
      <c r="D389" s="15"/>
      <c r="E389" s="15"/>
      <c r="F389" s="15" t="s">
        <v>3650</v>
      </c>
      <c r="G389" s="60"/>
      <c r="H389" s="60"/>
      <c r="I389" s="60"/>
      <c r="J389" s="60"/>
      <c r="K389" s="60"/>
      <c r="L389" s="60"/>
      <c r="M389" s="60"/>
      <c r="N389" s="60"/>
      <c r="O389" s="60"/>
      <c r="P389" s="60"/>
      <c r="Q389" s="60"/>
      <c r="R389" s="60"/>
      <c r="S389" s="60"/>
      <c r="T389" s="60"/>
      <c r="U389" s="60"/>
      <c r="V389" s="60"/>
      <c r="W389" s="60"/>
      <c r="X389" s="60"/>
    </row>
    <row r="390">
      <c r="A390" s="15"/>
      <c r="B390" s="15"/>
      <c r="C390" s="15"/>
      <c r="D390" s="15"/>
      <c r="E390" s="15"/>
      <c r="F390" s="15" t="s">
        <v>3650</v>
      </c>
      <c r="G390" s="60"/>
      <c r="H390" s="60"/>
      <c r="I390" s="60"/>
      <c r="J390" s="60"/>
      <c r="K390" s="60"/>
      <c r="L390" s="60"/>
      <c r="M390" s="60"/>
      <c r="N390" s="60"/>
      <c r="O390" s="60"/>
      <c r="P390" s="60"/>
      <c r="Q390" s="60"/>
      <c r="R390" s="60"/>
      <c r="S390" s="60"/>
      <c r="T390" s="60"/>
      <c r="U390" s="60"/>
      <c r="V390" s="60"/>
      <c r="W390" s="60"/>
      <c r="X390" s="60"/>
    </row>
    <row r="391">
      <c r="A391" s="15"/>
      <c r="B391" s="15"/>
      <c r="C391" s="15"/>
      <c r="D391" s="15"/>
      <c r="E391" s="15"/>
      <c r="F391" s="15" t="s">
        <v>3650</v>
      </c>
      <c r="G391" s="60"/>
      <c r="H391" s="60"/>
      <c r="I391" s="60"/>
      <c r="J391" s="60"/>
      <c r="K391" s="60"/>
      <c r="L391" s="60"/>
      <c r="M391" s="60"/>
      <c r="N391" s="60"/>
      <c r="O391" s="60"/>
      <c r="P391" s="60"/>
      <c r="Q391" s="60"/>
      <c r="R391" s="60"/>
      <c r="S391" s="60"/>
      <c r="T391" s="60"/>
      <c r="U391" s="60"/>
      <c r="V391" s="60"/>
      <c r="W391" s="60"/>
      <c r="X391" s="60"/>
    </row>
    <row r="392">
      <c r="A392" s="15"/>
      <c r="B392" s="15"/>
      <c r="C392" s="15"/>
      <c r="D392" s="15"/>
      <c r="E392" s="15"/>
      <c r="F392" s="15" t="s">
        <v>3650</v>
      </c>
      <c r="G392" s="60"/>
      <c r="H392" s="60"/>
      <c r="I392" s="60"/>
      <c r="J392" s="60"/>
      <c r="K392" s="60"/>
      <c r="L392" s="60"/>
      <c r="M392" s="60"/>
      <c r="N392" s="60"/>
      <c r="O392" s="60"/>
      <c r="P392" s="60"/>
      <c r="Q392" s="60"/>
      <c r="R392" s="60"/>
      <c r="S392" s="60"/>
      <c r="T392" s="60"/>
      <c r="U392" s="60"/>
      <c r="V392" s="60"/>
      <c r="W392" s="60"/>
      <c r="X392" s="60"/>
    </row>
    <row r="393">
      <c r="A393" s="15"/>
      <c r="B393" s="15"/>
      <c r="C393" s="15"/>
      <c r="D393" s="15"/>
      <c r="E393" s="15"/>
      <c r="F393" s="15" t="s">
        <v>3650</v>
      </c>
      <c r="G393" s="60"/>
      <c r="H393" s="60"/>
      <c r="I393" s="60"/>
      <c r="J393" s="60"/>
      <c r="K393" s="60"/>
      <c r="L393" s="60"/>
      <c r="M393" s="60"/>
      <c r="N393" s="60"/>
      <c r="O393" s="60"/>
      <c r="P393" s="60"/>
      <c r="Q393" s="60"/>
      <c r="R393" s="60"/>
      <c r="S393" s="60"/>
      <c r="T393" s="60"/>
      <c r="U393" s="60"/>
      <c r="V393" s="60"/>
      <c r="W393" s="60"/>
      <c r="X393" s="60"/>
    </row>
    <row r="394">
      <c r="A394" s="15"/>
      <c r="B394" s="15"/>
      <c r="C394" s="15"/>
      <c r="D394" s="15"/>
      <c r="E394" s="15"/>
      <c r="F394" s="15" t="s">
        <v>3650</v>
      </c>
      <c r="G394" s="60"/>
      <c r="H394" s="60"/>
      <c r="I394" s="60"/>
      <c r="J394" s="60"/>
      <c r="K394" s="60"/>
      <c r="L394" s="60"/>
      <c r="M394" s="60"/>
      <c r="N394" s="60"/>
      <c r="O394" s="60"/>
      <c r="P394" s="60"/>
      <c r="Q394" s="60"/>
      <c r="R394" s="60"/>
      <c r="S394" s="60"/>
      <c r="T394" s="60"/>
      <c r="U394" s="60"/>
      <c r="V394" s="60"/>
      <c r="W394" s="60"/>
      <c r="X394" s="60"/>
    </row>
    <row r="395">
      <c r="A395" s="15"/>
      <c r="B395" s="15"/>
      <c r="C395" s="15"/>
      <c r="D395" s="15"/>
      <c r="E395" s="15"/>
      <c r="F395" s="15" t="s">
        <v>3650</v>
      </c>
      <c r="G395" s="60"/>
      <c r="H395" s="60"/>
      <c r="I395" s="60"/>
      <c r="J395" s="60"/>
      <c r="K395" s="60"/>
      <c r="L395" s="60"/>
      <c r="M395" s="60"/>
      <c r="N395" s="60"/>
      <c r="O395" s="60"/>
      <c r="P395" s="60"/>
      <c r="Q395" s="60"/>
      <c r="R395" s="60"/>
      <c r="S395" s="60"/>
      <c r="T395" s="60"/>
      <c r="U395" s="60"/>
      <c r="V395" s="60"/>
      <c r="W395" s="60"/>
      <c r="X395" s="60"/>
    </row>
    <row r="396">
      <c r="A396" s="15"/>
      <c r="B396" s="15"/>
      <c r="C396" s="15"/>
      <c r="D396" s="15"/>
      <c r="E396" s="15"/>
      <c r="F396" s="15" t="s">
        <v>3650</v>
      </c>
      <c r="G396" s="60"/>
      <c r="H396" s="60"/>
      <c r="I396" s="60"/>
      <c r="J396" s="60"/>
      <c r="K396" s="60"/>
      <c r="L396" s="60"/>
      <c r="M396" s="60"/>
      <c r="N396" s="60"/>
      <c r="O396" s="60"/>
      <c r="P396" s="60"/>
      <c r="Q396" s="60"/>
      <c r="R396" s="60"/>
      <c r="S396" s="60"/>
      <c r="T396" s="60"/>
      <c r="U396" s="60"/>
      <c r="V396" s="60"/>
      <c r="W396" s="60"/>
      <c r="X396" s="60"/>
    </row>
    <row r="397">
      <c r="A397" s="15"/>
      <c r="B397" s="15"/>
      <c r="C397" s="15"/>
      <c r="D397" s="15"/>
      <c r="E397" s="15"/>
      <c r="F397" s="15" t="s">
        <v>3650</v>
      </c>
      <c r="G397" s="60"/>
      <c r="H397" s="60"/>
      <c r="I397" s="60"/>
      <c r="J397" s="60"/>
      <c r="K397" s="60"/>
      <c r="L397" s="60"/>
      <c r="M397" s="60"/>
      <c r="N397" s="60"/>
      <c r="O397" s="60"/>
      <c r="P397" s="60"/>
      <c r="Q397" s="60"/>
      <c r="R397" s="60"/>
      <c r="S397" s="60"/>
      <c r="T397" s="60"/>
      <c r="U397" s="60"/>
      <c r="V397" s="60"/>
      <c r="W397" s="60"/>
      <c r="X397" s="60"/>
    </row>
    <row r="398">
      <c r="A398" s="15"/>
      <c r="B398" s="15"/>
      <c r="C398" s="15"/>
      <c r="D398" s="15"/>
      <c r="E398" s="15"/>
      <c r="F398" s="15" t="s">
        <v>3650</v>
      </c>
      <c r="G398" s="60"/>
      <c r="H398" s="60"/>
      <c r="I398" s="60"/>
      <c r="J398" s="60"/>
      <c r="K398" s="60"/>
      <c r="L398" s="60"/>
      <c r="M398" s="60"/>
      <c r="N398" s="60"/>
      <c r="O398" s="60"/>
      <c r="P398" s="60"/>
      <c r="Q398" s="60"/>
      <c r="R398" s="60"/>
      <c r="S398" s="60"/>
      <c r="T398" s="60"/>
      <c r="U398" s="60"/>
      <c r="V398" s="60"/>
      <c r="W398" s="60"/>
      <c r="X398" s="60"/>
    </row>
    <row r="399">
      <c r="A399" s="15"/>
      <c r="B399" s="15"/>
      <c r="C399" s="15"/>
      <c r="D399" s="15"/>
      <c r="E399" s="15"/>
      <c r="F399" s="15" t="s">
        <v>3650</v>
      </c>
      <c r="G399" s="60"/>
      <c r="H399" s="60"/>
      <c r="I399" s="60"/>
      <c r="J399" s="60"/>
      <c r="K399" s="60"/>
      <c r="L399" s="60"/>
      <c r="M399" s="60"/>
      <c r="N399" s="60"/>
      <c r="O399" s="60"/>
      <c r="P399" s="60"/>
      <c r="Q399" s="60"/>
      <c r="R399" s="60"/>
      <c r="S399" s="60"/>
      <c r="T399" s="60"/>
      <c r="U399" s="60"/>
      <c r="V399" s="60"/>
      <c r="W399" s="60"/>
      <c r="X399" s="60"/>
    </row>
    <row r="400">
      <c r="A400" s="15"/>
      <c r="B400" s="15"/>
      <c r="C400" s="15"/>
      <c r="D400" s="15"/>
      <c r="E400" s="15"/>
      <c r="F400" s="15" t="s">
        <v>3650</v>
      </c>
      <c r="G400" s="60"/>
      <c r="H400" s="60"/>
      <c r="I400" s="60"/>
      <c r="J400" s="60"/>
      <c r="K400" s="60"/>
      <c r="L400" s="60"/>
      <c r="M400" s="60"/>
      <c r="N400" s="60"/>
      <c r="O400" s="60"/>
      <c r="P400" s="60"/>
      <c r="Q400" s="60"/>
      <c r="R400" s="60"/>
      <c r="S400" s="60"/>
      <c r="T400" s="60"/>
      <c r="U400" s="60"/>
      <c r="V400" s="60"/>
      <c r="W400" s="60"/>
      <c r="X400" s="60"/>
    </row>
    <row r="401">
      <c r="A401" s="15"/>
      <c r="B401" s="15"/>
      <c r="C401" s="15"/>
      <c r="D401" s="15"/>
      <c r="E401" s="15"/>
      <c r="F401" s="15" t="s">
        <v>3650</v>
      </c>
      <c r="G401" s="60"/>
      <c r="H401" s="60"/>
      <c r="I401" s="60"/>
      <c r="J401" s="60"/>
      <c r="K401" s="60"/>
      <c r="L401" s="60"/>
      <c r="M401" s="60"/>
      <c r="N401" s="60"/>
      <c r="O401" s="60"/>
      <c r="P401" s="60"/>
      <c r="Q401" s="60"/>
      <c r="R401" s="60"/>
      <c r="S401" s="60"/>
      <c r="T401" s="60"/>
      <c r="U401" s="60"/>
      <c r="V401" s="60"/>
      <c r="W401" s="60"/>
      <c r="X401" s="60"/>
    </row>
    <row r="402">
      <c r="A402" s="15"/>
      <c r="B402" s="15"/>
      <c r="C402" s="15"/>
      <c r="D402" s="15"/>
      <c r="E402" s="15"/>
      <c r="F402" s="15" t="s">
        <v>3650</v>
      </c>
      <c r="G402" s="60"/>
      <c r="H402" s="60"/>
      <c r="I402" s="60"/>
      <c r="J402" s="60"/>
      <c r="K402" s="60"/>
      <c r="L402" s="60"/>
      <c r="M402" s="60"/>
      <c r="N402" s="60"/>
      <c r="O402" s="60"/>
      <c r="P402" s="60"/>
      <c r="Q402" s="60"/>
      <c r="R402" s="60"/>
      <c r="S402" s="60"/>
      <c r="T402" s="60"/>
      <c r="U402" s="60"/>
      <c r="V402" s="60"/>
      <c r="W402" s="60"/>
      <c r="X402" s="60"/>
    </row>
    <row r="403">
      <c r="A403" s="15"/>
      <c r="B403" s="15"/>
      <c r="C403" s="15"/>
      <c r="D403" s="15"/>
      <c r="E403" s="15"/>
      <c r="F403" s="15" t="s">
        <v>3650</v>
      </c>
      <c r="G403" s="60"/>
      <c r="H403" s="60"/>
      <c r="I403" s="60"/>
      <c r="J403" s="60"/>
      <c r="K403" s="60"/>
      <c r="L403" s="60"/>
      <c r="M403" s="60"/>
      <c r="N403" s="60"/>
      <c r="O403" s="60"/>
      <c r="P403" s="60"/>
      <c r="Q403" s="60"/>
      <c r="R403" s="60"/>
      <c r="S403" s="60"/>
      <c r="T403" s="60"/>
      <c r="U403" s="60"/>
      <c r="V403" s="60"/>
      <c r="W403" s="60"/>
      <c r="X403" s="60"/>
    </row>
    <row r="404">
      <c r="A404" s="15"/>
      <c r="B404" s="15"/>
      <c r="C404" s="15"/>
      <c r="D404" s="15"/>
      <c r="E404" s="15"/>
      <c r="F404" s="15" t="s">
        <v>3650</v>
      </c>
      <c r="G404" s="60"/>
      <c r="H404" s="60"/>
      <c r="I404" s="60"/>
      <c r="J404" s="60"/>
      <c r="K404" s="60"/>
      <c r="L404" s="60"/>
      <c r="M404" s="60"/>
      <c r="N404" s="60"/>
      <c r="O404" s="60"/>
      <c r="P404" s="60"/>
      <c r="Q404" s="60"/>
      <c r="R404" s="60"/>
      <c r="S404" s="60"/>
      <c r="T404" s="60"/>
      <c r="U404" s="60"/>
      <c r="V404" s="60"/>
      <c r="W404" s="60"/>
      <c r="X404" s="60"/>
    </row>
    <row r="405">
      <c r="A405" s="15"/>
      <c r="B405" s="15"/>
      <c r="C405" s="15"/>
      <c r="D405" s="15"/>
      <c r="E405" s="15"/>
      <c r="F405" s="15" t="s">
        <v>3650</v>
      </c>
      <c r="G405" s="60"/>
      <c r="H405" s="60"/>
      <c r="I405" s="60"/>
      <c r="J405" s="60"/>
      <c r="K405" s="60"/>
      <c r="L405" s="60"/>
      <c r="M405" s="60"/>
      <c r="N405" s="60"/>
      <c r="O405" s="60"/>
      <c r="P405" s="60"/>
      <c r="Q405" s="60"/>
      <c r="R405" s="60"/>
      <c r="S405" s="60"/>
      <c r="T405" s="60"/>
      <c r="U405" s="60"/>
      <c r="V405" s="60"/>
      <c r="W405" s="60"/>
      <c r="X405" s="60"/>
    </row>
    <row r="406">
      <c r="A406" s="15"/>
      <c r="B406" s="15"/>
      <c r="C406" s="15"/>
      <c r="D406" s="15"/>
      <c r="E406" s="15"/>
      <c r="F406" s="15" t="s">
        <v>3650</v>
      </c>
      <c r="G406" s="60"/>
      <c r="H406" s="60"/>
      <c r="I406" s="60"/>
      <c r="J406" s="60"/>
      <c r="K406" s="60"/>
      <c r="L406" s="60"/>
      <c r="M406" s="60"/>
      <c r="N406" s="60"/>
      <c r="O406" s="60"/>
      <c r="P406" s="60"/>
      <c r="Q406" s="60"/>
      <c r="R406" s="60"/>
      <c r="S406" s="60"/>
      <c r="T406" s="60"/>
      <c r="U406" s="60"/>
      <c r="V406" s="60"/>
      <c r="W406" s="60"/>
      <c r="X406" s="60"/>
    </row>
    <row r="407">
      <c r="A407" s="15"/>
      <c r="B407" s="15"/>
      <c r="C407" s="15"/>
      <c r="D407" s="15"/>
      <c r="E407" s="15"/>
      <c r="F407" s="15" t="s">
        <v>3650</v>
      </c>
      <c r="G407" s="60"/>
      <c r="H407" s="60"/>
      <c r="I407" s="60"/>
      <c r="J407" s="60"/>
      <c r="K407" s="60"/>
      <c r="L407" s="60"/>
      <c r="M407" s="60"/>
      <c r="N407" s="60"/>
      <c r="O407" s="60"/>
      <c r="P407" s="60"/>
      <c r="Q407" s="60"/>
      <c r="R407" s="60"/>
      <c r="S407" s="60"/>
      <c r="T407" s="60"/>
      <c r="U407" s="60"/>
      <c r="V407" s="60"/>
      <c r="W407" s="60"/>
      <c r="X407" s="60"/>
    </row>
    <row r="408">
      <c r="A408" s="15"/>
      <c r="B408" s="15"/>
      <c r="C408" s="15"/>
      <c r="D408" s="15"/>
      <c r="E408" s="15"/>
      <c r="F408" s="15" t="s">
        <v>3650</v>
      </c>
      <c r="G408" s="60"/>
      <c r="H408" s="60"/>
      <c r="I408" s="60"/>
      <c r="J408" s="60"/>
      <c r="K408" s="60"/>
      <c r="L408" s="60"/>
      <c r="M408" s="60"/>
      <c r="N408" s="60"/>
      <c r="O408" s="60"/>
      <c r="P408" s="60"/>
      <c r="Q408" s="60"/>
      <c r="R408" s="60"/>
      <c r="S408" s="60"/>
      <c r="T408" s="60"/>
      <c r="U408" s="60"/>
      <c r="V408" s="60"/>
      <c r="W408" s="60"/>
      <c r="X408" s="60"/>
    </row>
    <row r="409">
      <c r="A409" s="15"/>
      <c r="B409" s="15"/>
      <c r="C409" s="15"/>
      <c r="D409" s="15"/>
      <c r="E409" s="15"/>
      <c r="F409" s="15" t="s">
        <v>3650</v>
      </c>
      <c r="G409" s="60"/>
      <c r="H409" s="60"/>
      <c r="I409" s="60"/>
      <c r="J409" s="60"/>
      <c r="K409" s="60"/>
      <c r="L409" s="60"/>
      <c r="M409" s="60"/>
      <c r="N409" s="60"/>
      <c r="O409" s="60"/>
      <c r="P409" s="60"/>
      <c r="Q409" s="60"/>
      <c r="R409" s="60"/>
      <c r="S409" s="60"/>
      <c r="T409" s="60"/>
      <c r="U409" s="60"/>
      <c r="V409" s="60"/>
      <c r="W409" s="60"/>
      <c r="X409" s="60"/>
    </row>
    <row r="410">
      <c r="A410" s="15"/>
      <c r="B410" s="15"/>
      <c r="C410" s="15"/>
      <c r="D410" s="15"/>
      <c r="E410" s="15"/>
      <c r="F410" s="15" t="s">
        <v>3650</v>
      </c>
      <c r="G410" s="60"/>
      <c r="H410" s="60"/>
      <c r="I410" s="60"/>
      <c r="J410" s="60"/>
      <c r="K410" s="60"/>
      <c r="L410" s="60"/>
      <c r="M410" s="60"/>
      <c r="N410" s="60"/>
      <c r="O410" s="60"/>
      <c r="P410" s="60"/>
      <c r="Q410" s="60"/>
      <c r="R410" s="60"/>
      <c r="S410" s="60"/>
      <c r="T410" s="60"/>
      <c r="U410" s="60"/>
      <c r="V410" s="60"/>
      <c r="W410" s="60"/>
      <c r="X410" s="60"/>
    </row>
    <row r="411">
      <c r="A411" s="15"/>
      <c r="B411" s="15"/>
      <c r="C411" s="15"/>
      <c r="D411" s="15"/>
      <c r="E411" s="15"/>
      <c r="F411" s="15" t="s">
        <v>3650</v>
      </c>
      <c r="G411" s="60"/>
      <c r="H411" s="60"/>
      <c r="I411" s="60"/>
      <c r="J411" s="60"/>
      <c r="K411" s="60"/>
      <c r="L411" s="60"/>
      <c r="M411" s="60"/>
      <c r="N411" s="60"/>
      <c r="O411" s="60"/>
      <c r="P411" s="60"/>
      <c r="Q411" s="60"/>
      <c r="R411" s="60"/>
      <c r="S411" s="60"/>
      <c r="T411" s="60"/>
      <c r="U411" s="60"/>
      <c r="V411" s="60"/>
      <c r="W411" s="60"/>
      <c r="X411" s="60"/>
    </row>
    <row r="412">
      <c r="A412" s="15"/>
      <c r="B412" s="15"/>
      <c r="C412" s="15"/>
      <c r="D412" s="15"/>
      <c r="E412" s="15"/>
      <c r="F412" s="15" t="s">
        <v>3650</v>
      </c>
      <c r="G412" s="60"/>
      <c r="H412" s="60"/>
      <c r="I412" s="60"/>
      <c r="J412" s="60"/>
      <c r="K412" s="60"/>
      <c r="L412" s="60"/>
      <c r="M412" s="60"/>
      <c r="N412" s="60"/>
      <c r="O412" s="60"/>
      <c r="P412" s="60"/>
      <c r="Q412" s="60"/>
      <c r="R412" s="60"/>
      <c r="S412" s="60"/>
      <c r="T412" s="60"/>
      <c r="U412" s="60"/>
      <c r="V412" s="60"/>
      <c r="W412" s="60"/>
      <c r="X412" s="60"/>
    </row>
    <row r="413">
      <c r="A413" s="15"/>
      <c r="B413" s="15"/>
      <c r="C413" s="15"/>
      <c r="D413" s="15"/>
      <c r="E413" s="15"/>
      <c r="F413" s="15" t="s">
        <v>3650</v>
      </c>
      <c r="G413" s="60"/>
      <c r="H413" s="60"/>
      <c r="I413" s="60"/>
      <c r="J413" s="60"/>
      <c r="K413" s="60"/>
      <c r="L413" s="60"/>
      <c r="M413" s="60"/>
      <c r="N413" s="60"/>
      <c r="O413" s="60"/>
      <c r="P413" s="60"/>
      <c r="Q413" s="60"/>
      <c r="R413" s="60"/>
      <c r="S413" s="60"/>
      <c r="T413" s="60"/>
      <c r="U413" s="60"/>
      <c r="V413" s="60"/>
      <c r="W413" s="60"/>
      <c r="X413" s="60"/>
    </row>
    <row r="414">
      <c r="A414" s="15"/>
      <c r="B414" s="15"/>
      <c r="C414" s="15"/>
      <c r="D414" s="15"/>
      <c r="E414" s="15"/>
      <c r="F414" s="15" t="s">
        <v>3650</v>
      </c>
      <c r="G414" s="60"/>
      <c r="H414" s="60"/>
      <c r="I414" s="60"/>
      <c r="J414" s="60"/>
      <c r="K414" s="60"/>
      <c r="L414" s="60"/>
      <c r="M414" s="60"/>
      <c r="N414" s="60"/>
      <c r="O414" s="60"/>
      <c r="P414" s="60"/>
      <c r="Q414" s="60"/>
      <c r="R414" s="60"/>
      <c r="S414" s="60"/>
      <c r="T414" s="60"/>
      <c r="U414" s="60"/>
      <c r="V414" s="60"/>
      <c r="W414" s="60"/>
      <c r="X414" s="60"/>
    </row>
    <row r="415">
      <c r="A415" s="15"/>
      <c r="B415" s="15"/>
      <c r="C415" s="15"/>
      <c r="D415" s="15"/>
      <c r="E415" s="15"/>
      <c r="F415" s="15" t="s">
        <v>3650</v>
      </c>
      <c r="G415" s="60"/>
      <c r="H415" s="60"/>
      <c r="I415" s="60"/>
      <c r="J415" s="60"/>
      <c r="K415" s="60"/>
      <c r="L415" s="60"/>
      <c r="M415" s="60"/>
      <c r="N415" s="60"/>
      <c r="O415" s="60"/>
      <c r="P415" s="60"/>
      <c r="Q415" s="60"/>
      <c r="R415" s="60"/>
      <c r="S415" s="60"/>
      <c r="T415" s="60"/>
      <c r="U415" s="60"/>
      <c r="V415" s="60"/>
      <c r="W415" s="60"/>
      <c r="X415" s="60"/>
    </row>
    <row r="416">
      <c r="A416" s="15"/>
      <c r="B416" s="15"/>
      <c r="C416" s="15"/>
      <c r="D416" s="15"/>
      <c r="E416" s="15"/>
      <c r="F416" s="15" t="s">
        <v>3650</v>
      </c>
      <c r="G416" s="60"/>
      <c r="H416" s="60"/>
      <c r="I416" s="60"/>
      <c r="J416" s="60"/>
      <c r="K416" s="60"/>
      <c r="L416" s="60"/>
      <c r="M416" s="60"/>
      <c r="N416" s="60"/>
      <c r="O416" s="60"/>
      <c r="P416" s="60"/>
      <c r="Q416" s="60"/>
      <c r="R416" s="60"/>
      <c r="S416" s="60"/>
      <c r="T416" s="60"/>
      <c r="U416" s="60"/>
      <c r="V416" s="60"/>
      <c r="W416" s="60"/>
      <c r="X416" s="60"/>
    </row>
    <row r="417">
      <c r="A417" s="15"/>
      <c r="B417" s="15"/>
      <c r="C417" s="15"/>
      <c r="D417" s="15"/>
      <c r="E417" s="15"/>
      <c r="F417" s="15" t="s">
        <v>3650</v>
      </c>
      <c r="G417" s="60"/>
      <c r="H417" s="60"/>
      <c r="I417" s="60"/>
      <c r="J417" s="60"/>
      <c r="K417" s="60"/>
      <c r="L417" s="60"/>
      <c r="M417" s="60"/>
      <c r="N417" s="60"/>
      <c r="O417" s="60"/>
      <c r="P417" s="60"/>
      <c r="Q417" s="60"/>
      <c r="R417" s="60"/>
      <c r="S417" s="60"/>
      <c r="T417" s="60"/>
      <c r="U417" s="60"/>
      <c r="V417" s="60"/>
      <c r="W417" s="60"/>
      <c r="X417" s="60"/>
    </row>
    <row r="418">
      <c r="A418" s="15"/>
      <c r="B418" s="15"/>
      <c r="C418" s="15"/>
      <c r="D418" s="15"/>
      <c r="E418" s="15"/>
      <c r="F418" s="15" t="s">
        <v>3650</v>
      </c>
      <c r="G418" s="60"/>
      <c r="H418" s="60"/>
      <c r="I418" s="60"/>
      <c r="J418" s="60"/>
      <c r="K418" s="60"/>
      <c r="L418" s="60"/>
      <c r="M418" s="60"/>
      <c r="N418" s="60"/>
      <c r="O418" s="60"/>
      <c r="P418" s="60"/>
      <c r="Q418" s="60"/>
      <c r="R418" s="60"/>
      <c r="S418" s="60"/>
      <c r="T418" s="60"/>
      <c r="U418" s="60"/>
      <c r="V418" s="60"/>
      <c r="W418" s="60"/>
      <c r="X418" s="60"/>
    </row>
    <row r="419">
      <c r="A419" s="15"/>
      <c r="B419" s="15"/>
      <c r="C419" s="15"/>
      <c r="D419" s="15"/>
      <c r="E419" s="15"/>
      <c r="F419" s="15" t="s">
        <v>3650</v>
      </c>
      <c r="G419" s="60"/>
      <c r="H419" s="60"/>
      <c r="I419" s="60"/>
      <c r="J419" s="60"/>
      <c r="K419" s="60"/>
      <c r="L419" s="60"/>
      <c r="M419" s="60"/>
      <c r="N419" s="60"/>
      <c r="O419" s="60"/>
      <c r="P419" s="60"/>
      <c r="Q419" s="60"/>
      <c r="R419" s="60"/>
      <c r="S419" s="60"/>
      <c r="T419" s="60"/>
      <c r="U419" s="60"/>
      <c r="V419" s="60"/>
      <c r="W419" s="60"/>
      <c r="X419" s="60"/>
    </row>
    <row r="420">
      <c r="A420" s="15"/>
      <c r="B420" s="15"/>
      <c r="C420" s="15"/>
      <c r="D420" s="15"/>
      <c r="E420" s="15"/>
      <c r="F420" s="15" t="s">
        <v>3650</v>
      </c>
      <c r="G420" s="60"/>
      <c r="H420" s="60"/>
      <c r="I420" s="60"/>
      <c r="J420" s="60"/>
      <c r="K420" s="60"/>
      <c r="L420" s="60"/>
      <c r="M420" s="60"/>
      <c r="N420" s="60"/>
      <c r="O420" s="60"/>
      <c r="P420" s="60"/>
      <c r="Q420" s="60"/>
      <c r="R420" s="60"/>
      <c r="S420" s="60"/>
      <c r="T420" s="60"/>
      <c r="U420" s="60"/>
      <c r="V420" s="60"/>
      <c r="W420" s="60"/>
      <c r="X420" s="60"/>
    </row>
    <row r="421">
      <c r="A421" s="15"/>
      <c r="B421" s="15"/>
      <c r="C421" s="15"/>
      <c r="D421" s="15"/>
      <c r="E421" s="15"/>
      <c r="F421" s="15" t="s">
        <v>3650</v>
      </c>
      <c r="G421" s="60"/>
      <c r="H421" s="60"/>
      <c r="I421" s="60"/>
      <c r="J421" s="60"/>
      <c r="K421" s="60"/>
      <c r="L421" s="60"/>
      <c r="M421" s="60"/>
      <c r="N421" s="60"/>
      <c r="O421" s="60"/>
      <c r="P421" s="60"/>
      <c r="Q421" s="60"/>
      <c r="R421" s="60"/>
      <c r="S421" s="60"/>
      <c r="T421" s="60"/>
      <c r="U421" s="60"/>
      <c r="V421" s="60"/>
      <c r="W421" s="60"/>
      <c r="X421" s="60"/>
    </row>
    <row r="422">
      <c r="A422" s="15"/>
      <c r="B422" s="15"/>
      <c r="C422" s="15"/>
      <c r="D422" s="15"/>
      <c r="E422" s="15"/>
      <c r="F422" s="15" t="s">
        <v>3650</v>
      </c>
      <c r="G422" s="60"/>
      <c r="H422" s="60"/>
      <c r="I422" s="60"/>
      <c r="J422" s="60"/>
      <c r="K422" s="60"/>
      <c r="L422" s="60"/>
      <c r="M422" s="60"/>
      <c r="N422" s="60"/>
      <c r="O422" s="60"/>
      <c r="P422" s="60"/>
      <c r="Q422" s="60"/>
      <c r="R422" s="60"/>
      <c r="S422" s="60"/>
      <c r="T422" s="60"/>
      <c r="U422" s="60"/>
      <c r="V422" s="60"/>
      <c r="W422" s="60"/>
      <c r="X422" s="60"/>
    </row>
    <row r="423">
      <c r="A423" s="15"/>
      <c r="B423" s="15"/>
      <c r="C423" s="15"/>
      <c r="D423" s="15"/>
      <c r="E423" s="15"/>
      <c r="F423" s="15" t="s">
        <v>3650</v>
      </c>
      <c r="G423" s="60"/>
      <c r="H423" s="60"/>
      <c r="I423" s="60"/>
      <c r="J423" s="60"/>
      <c r="K423" s="60"/>
      <c r="L423" s="60"/>
      <c r="M423" s="60"/>
      <c r="N423" s="60"/>
      <c r="O423" s="60"/>
      <c r="P423" s="60"/>
      <c r="Q423" s="60"/>
      <c r="R423" s="60"/>
      <c r="S423" s="60"/>
      <c r="T423" s="60"/>
      <c r="U423" s="60"/>
      <c r="V423" s="60"/>
      <c r="W423" s="60"/>
      <c r="X423" s="60"/>
    </row>
    <row r="424">
      <c r="A424" s="15"/>
      <c r="B424" s="15"/>
      <c r="C424" s="15"/>
      <c r="D424" s="15"/>
      <c r="E424" s="15"/>
      <c r="F424" s="15" t="s">
        <v>3650</v>
      </c>
      <c r="G424" s="60"/>
      <c r="H424" s="60"/>
      <c r="I424" s="60"/>
      <c r="J424" s="60"/>
      <c r="K424" s="60"/>
      <c r="L424" s="60"/>
      <c r="M424" s="60"/>
      <c r="N424" s="60"/>
      <c r="O424" s="60"/>
      <c r="P424" s="60"/>
      <c r="Q424" s="60"/>
      <c r="R424" s="60"/>
      <c r="S424" s="60"/>
      <c r="T424" s="60"/>
      <c r="U424" s="60"/>
      <c r="V424" s="60"/>
      <c r="W424" s="60"/>
      <c r="X424" s="60"/>
    </row>
    <row r="425">
      <c r="A425" s="15"/>
      <c r="B425" s="15"/>
      <c r="C425" s="15"/>
      <c r="D425" s="15"/>
      <c r="E425" s="15"/>
      <c r="F425" s="15" t="s">
        <v>3650</v>
      </c>
      <c r="G425" s="60"/>
      <c r="H425" s="60"/>
      <c r="I425" s="60"/>
      <c r="J425" s="60"/>
      <c r="K425" s="60"/>
      <c r="L425" s="60"/>
      <c r="M425" s="60"/>
      <c r="N425" s="60"/>
      <c r="O425" s="60"/>
      <c r="P425" s="60"/>
      <c r="Q425" s="60"/>
      <c r="R425" s="60"/>
      <c r="S425" s="60"/>
      <c r="T425" s="60"/>
      <c r="U425" s="60"/>
      <c r="V425" s="60"/>
      <c r="W425" s="60"/>
      <c r="X425" s="60"/>
    </row>
    <row r="426">
      <c r="A426" s="15"/>
      <c r="B426" s="15"/>
      <c r="C426" s="15"/>
      <c r="D426" s="15"/>
      <c r="E426" s="15"/>
      <c r="F426" s="15" t="s">
        <v>3650</v>
      </c>
      <c r="G426" s="60"/>
      <c r="H426" s="60"/>
      <c r="I426" s="60"/>
      <c r="J426" s="60"/>
      <c r="K426" s="60"/>
      <c r="L426" s="60"/>
      <c r="M426" s="60"/>
      <c r="N426" s="60"/>
      <c r="O426" s="60"/>
      <c r="P426" s="60"/>
      <c r="Q426" s="60"/>
      <c r="R426" s="60"/>
      <c r="S426" s="60"/>
      <c r="T426" s="60"/>
      <c r="U426" s="60"/>
      <c r="V426" s="60"/>
      <c r="W426" s="60"/>
      <c r="X426" s="60"/>
    </row>
    <row r="427">
      <c r="A427" s="15"/>
      <c r="B427" s="15"/>
      <c r="C427" s="15"/>
      <c r="D427" s="15"/>
      <c r="E427" s="15"/>
      <c r="F427" s="15" t="s">
        <v>3650</v>
      </c>
      <c r="G427" s="60"/>
      <c r="H427" s="60"/>
      <c r="I427" s="60"/>
      <c r="J427" s="60"/>
      <c r="K427" s="60"/>
      <c r="L427" s="60"/>
      <c r="M427" s="60"/>
      <c r="N427" s="60"/>
      <c r="O427" s="60"/>
      <c r="P427" s="60"/>
      <c r="Q427" s="60"/>
      <c r="R427" s="60"/>
      <c r="S427" s="60"/>
      <c r="T427" s="60"/>
      <c r="U427" s="60"/>
      <c r="V427" s="60"/>
      <c r="W427" s="60"/>
      <c r="X427" s="60"/>
    </row>
    <row r="428">
      <c r="A428" s="15"/>
      <c r="B428" s="15"/>
      <c r="C428" s="15"/>
      <c r="D428" s="15"/>
      <c r="E428" s="15"/>
      <c r="F428" s="15" t="s">
        <v>3650</v>
      </c>
      <c r="G428" s="60"/>
      <c r="H428" s="60"/>
      <c r="I428" s="60"/>
      <c r="J428" s="60"/>
      <c r="K428" s="60"/>
      <c r="L428" s="60"/>
      <c r="M428" s="60"/>
      <c r="N428" s="60"/>
      <c r="O428" s="60"/>
      <c r="P428" s="60"/>
      <c r="Q428" s="60"/>
      <c r="R428" s="60"/>
      <c r="S428" s="60"/>
      <c r="T428" s="60"/>
      <c r="U428" s="60"/>
      <c r="V428" s="60"/>
      <c r="W428" s="60"/>
      <c r="X428" s="60"/>
    </row>
    <row r="429">
      <c r="A429" s="15"/>
      <c r="B429" s="15"/>
      <c r="C429" s="15"/>
      <c r="D429" s="15"/>
      <c r="E429" s="15"/>
      <c r="F429" s="15" t="s">
        <v>3650</v>
      </c>
      <c r="G429" s="60"/>
      <c r="H429" s="60"/>
      <c r="I429" s="60"/>
      <c r="J429" s="60"/>
      <c r="K429" s="60"/>
      <c r="L429" s="60"/>
      <c r="M429" s="60"/>
      <c r="N429" s="60"/>
      <c r="O429" s="60"/>
      <c r="P429" s="60"/>
      <c r="Q429" s="60"/>
      <c r="R429" s="60"/>
      <c r="S429" s="60"/>
      <c r="T429" s="60"/>
      <c r="U429" s="60"/>
      <c r="V429" s="60"/>
      <c r="W429" s="60"/>
      <c r="X429" s="60"/>
    </row>
    <row r="430">
      <c r="A430" s="15"/>
      <c r="B430" s="15"/>
      <c r="C430" s="15"/>
      <c r="D430" s="15"/>
      <c r="E430" s="15"/>
      <c r="F430" s="15" t="s">
        <v>3650</v>
      </c>
      <c r="G430" s="60"/>
      <c r="H430" s="60"/>
      <c r="I430" s="60"/>
      <c r="J430" s="60"/>
      <c r="K430" s="60"/>
      <c r="L430" s="60"/>
      <c r="M430" s="60"/>
      <c r="N430" s="60"/>
      <c r="O430" s="60"/>
      <c r="P430" s="60"/>
      <c r="Q430" s="60"/>
      <c r="R430" s="60"/>
      <c r="S430" s="60"/>
      <c r="T430" s="60"/>
      <c r="U430" s="60"/>
      <c r="V430" s="60"/>
      <c r="W430" s="60"/>
      <c r="X430" s="60"/>
    </row>
    <row r="431">
      <c r="A431" s="15"/>
      <c r="B431" s="15"/>
      <c r="C431" s="15"/>
      <c r="D431" s="15"/>
      <c r="E431" s="15"/>
      <c r="F431" s="15" t="s">
        <v>3650</v>
      </c>
      <c r="G431" s="60"/>
      <c r="H431" s="60"/>
      <c r="I431" s="60"/>
      <c r="J431" s="60"/>
      <c r="K431" s="60"/>
      <c r="L431" s="60"/>
      <c r="M431" s="60"/>
      <c r="N431" s="60"/>
      <c r="O431" s="60"/>
      <c r="P431" s="60"/>
      <c r="Q431" s="60"/>
      <c r="R431" s="60"/>
      <c r="S431" s="60"/>
      <c r="T431" s="60"/>
      <c r="U431" s="60"/>
      <c r="V431" s="60"/>
      <c r="W431" s="60"/>
      <c r="X431" s="60"/>
    </row>
    <row r="432">
      <c r="A432" s="15"/>
      <c r="B432" s="15"/>
      <c r="C432" s="15"/>
      <c r="D432" s="15"/>
      <c r="E432" s="15"/>
      <c r="F432" s="15" t="s">
        <v>3650</v>
      </c>
      <c r="G432" s="60"/>
      <c r="H432" s="60"/>
      <c r="I432" s="60"/>
      <c r="J432" s="60"/>
      <c r="K432" s="60"/>
      <c r="L432" s="60"/>
      <c r="M432" s="60"/>
      <c r="N432" s="60"/>
      <c r="O432" s="60"/>
      <c r="P432" s="60"/>
      <c r="Q432" s="60"/>
      <c r="R432" s="60"/>
      <c r="S432" s="60"/>
      <c r="T432" s="60"/>
      <c r="U432" s="60"/>
      <c r="V432" s="60"/>
      <c r="W432" s="60"/>
      <c r="X432" s="60"/>
    </row>
    <row r="433">
      <c r="A433" s="15"/>
      <c r="B433" s="15"/>
      <c r="C433" s="15"/>
      <c r="D433" s="15"/>
      <c r="E433" s="15"/>
      <c r="F433" s="15" t="s">
        <v>3650</v>
      </c>
      <c r="G433" s="60"/>
      <c r="H433" s="60"/>
      <c r="I433" s="60"/>
      <c r="J433" s="60"/>
      <c r="K433" s="60"/>
      <c r="L433" s="60"/>
      <c r="M433" s="60"/>
      <c r="N433" s="60"/>
      <c r="O433" s="60"/>
      <c r="P433" s="60"/>
      <c r="Q433" s="60"/>
      <c r="R433" s="60"/>
      <c r="S433" s="60"/>
      <c r="T433" s="60"/>
      <c r="U433" s="60"/>
      <c r="V433" s="60"/>
      <c r="W433" s="60"/>
      <c r="X433" s="60"/>
    </row>
    <row r="434">
      <c r="A434" s="15"/>
      <c r="B434" s="15"/>
      <c r="C434" s="15"/>
      <c r="D434" s="15"/>
      <c r="E434" s="15"/>
      <c r="F434" s="15" t="s">
        <v>3650</v>
      </c>
      <c r="G434" s="60"/>
      <c r="H434" s="60"/>
      <c r="I434" s="60"/>
      <c r="J434" s="60"/>
      <c r="K434" s="60"/>
      <c r="L434" s="60"/>
      <c r="M434" s="60"/>
      <c r="N434" s="60"/>
      <c r="O434" s="60"/>
      <c r="P434" s="60"/>
      <c r="Q434" s="60"/>
      <c r="R434" s="60"/>
      <c r="S434" s="60"/>
      <c r="T434" s="60"/>
      <c r="U434" s="60"/>
      <c r="V434" s="60"/>
      <c r="W434" s="60"/>
      <c r="X434" s="60"/>
    </row>
    <row r="435">
      <c r="A435" s="15"/>
      <c r="B435" s="15"/>
      <c r="C435" s="15"/>
      <c r="D435" s="15"/>
      <c r="E435" s="15"/>
      <c r="F435" s="15" t="s">
        <v>3650</v>
      </c>
      <c r="G435" s="60"/>
      <c r="H435" s="60"/>
      <c r="I435" s="60"/>
      <c r="J435" s="60"/>
      <c r="K435" s="60"/>
      <c r="L435" s="60"/>
      <c r="M435" s="60"/>
      <c r="N435" s="60"/>
      <c r="O435" s="60"/>
      <c r="P435" s="60"/>
      <c r="Q435" s="60"/>
      <c r="R435" s="60"/>
      <c r="S435" s="60"/>
      <c r="T435" s="60"/>
      <c r="U435" s="60"/>
      <c r="V435" s="60"/>
      <c r="W435" s="60"/>
      <c r="X435" s="60"/>
    </row>
    <row r="436">
      <c r="A436" s="15"/>
      <c r="B436" s="15"/>
      <c r="C436" s="15"/>
      <c r="D436" s="15"/>
      <c r="E436" s="15"/>
      <c r="F436" s="15" t="s">
        <v>3650</v>
      </c>
      <c r="G436" s="60"/>
      <c r="H436" s="60"/>
      <c r="I436" s="60"/>
      <c r="J436" s="60"/>
      <c r="K436" s="60"/>
      <c r="L436" s="60"/>
      <c r="M436" s="60"/>
      <c r="N436" s="60"/>
      <c r="O436" s="60"/>
      <c r="P436" s="60"/>
      <c r="Q436" s="60"/>
      <c r="R436" s="60"/>
      <c r="S436" s="60"/>
      <c r="T436" s="60"/>
      <c r="U436" s="60"/>
      <c r="V436" s="60"/>
      <c r="W436" s="60"/>
      <c r="X436" s="60"/>
    </row>
    <row r="437">
      <c r="A437" s="15"/>
      <c r="B437" s="15"/>
      <c r="C437" s="15"/>
      <c r="D437" s="15"/>
      <c r="E437" s="15"/>
      <c r="F437" s="15" t="s">
        <v>3650</v>
      </c>
      <c r="G437" s="60"/>
      <c r="H437" s="60"/>
      <c r="I437" s="60"/>
      <c r="J437" s="60"/>
      <c r="K437" s="60"/>
      <c r="L437" s="60"/>
      <c r="M437" s="60"/>
      <c r="N437" s="60"/>
      <c r="O437" s="60"/>
      <c r="P437" s="60"/>
      <c r="Q437" s="60"/>
      <c r="R437" s="60"/>
      <c r="S437" s="60"/>
      <c r="T437" s="60"/>
      <c r="U437" s="60"/>
      <c r="V437" s="60"/>
      <c r="W437" s="60"/>
      <c r="X437" s="60"/>
    </row>
    <row r="438">
      <c r="A438" s="15"/>
      <c r="B438" s="15"/>
      <c r="C438" s="15"/>
      <c r="D438" s="15"/>
      <c r="E438" s="15"/>
      <c r="F438" s="15" t="s">
        <v>3650</v>
      </c>
      <c r="G438" s="60"/>
      <c r="H438" s="60"/>
      <c r="I438" s="60"/>
      <c r="J438" s="60"/>
      <c r="K438" s="60"/>
      <c r="L438" s="60"/>
      <c r="M438" s="60"/>
      <c r="N438" s="60"/>
      <c r="O438" s="60"/>
      <c r="P438" s="60"/>
      <c r="Q438" s="60"/>
      <c r="R438" s="60"/>
      <c r="S438" s="60"/>
      <c r="T438" s="60"/>
      <c r="U438" s="60"/>
      <c r="V438" s="60"/>
      <c r="W438" s="60"/>
      <c r="X438" s="60"/>
    </row>
    <row r="439">
      <c r="A439" s="15"/>
      <c r="B439" s="15"/>
      <c r="C439" s="15"/>
      <c r="D439" s="15"/>
      <c r="E439" s="15"/>
      <c r="F439" s="15" t="s">
        <v>3650</v>
      </c>
      <c r="G439" s="60"/>
      <c r="H439" s="60"/>
      <c r="I439" s="60"/>
      <c r="J439" s="60"/>
      <c r="K439" s="60"/>
      <c r="L439" s="60"/>
      <c r="M439" s="60"/>
      <c r="N439" s="60"/>
      <c r="O439" s="60"/>
      <c r="P439" s="60"/>
      <c r="Q439" s="60"/>
      <c r="R439" s="60"/>
      <c r="S439" s="60"/>
      <c r="T439" s="60"/>
      <c r="U439" s="60"/>
      <c r="V439" s="60"/>
      <c r="W439" s="60"/>
      <c r="X439" s="60"/>
    </row>
    <row r="440">
      <c r="A440" s="15"/>
      <c r="B440" s="15"/>
      <c r="C440" s="15"/>
      <c r="D440" s="15"/>
      <c r="E440" s="15"/>
      <c r="F440" s="15" t="s">
        <v>3650</v>
      </c>
      <c r="G440" s="60"/>
      <c r="H440" s="60"/>
      <c r="I440" s="60"/>
      <c r="J440" s="60"/>
      <c r="K440" s="60"/>
      <c r="L440" s="60"/>
      <c r="M440" s="60"/>
      <c r="N440" s="60"/>
      <c r="O440" s="60"/>
      <c r="P440" s="60"/>
      <c r="Q440" s="60"/>
      <c r="R440" s="60"/>
      <c r="S440" s="60"/>
      <c r="T440" s="60"/>
      <c r="U440" s="60"/>
      <c r="V440" s="60"/>
      <c r="W440" s="60"/>
      <c r="X440" s="60"/>
    </row>
    <row r="441">
      <c r="A441" s="15"/>
      <c r="B441" s="15"/>
      <c r="C441" s="15"/>
      <c r="D441" s="15"/>
      <c r="E441" s="15"/>
      <c r="F441" s="15" t="s">
        <v>3650</v>
      </c>
      <c r="G441" s="60"/>
      <c r="H441" s="60"/>
      <c r="I441" s="60"/>
      <c r="J441" s="60"/>
      <c r="K441" s="60"/>
      <c r="L441" s="60"/>
      <c r="M441" s="60"/>
      <c r="N441" s="60"/>
      <c r="O441" s="60"/>
      <c r="P441" s="60"/>
      <c r="Q441" s="60"/>
      <c r="R441" s="60"/>
      <c r="S441" s="60"/>
      <c r="T441" s="60"/>
      <c r="U441" s="60"/>
      <c r="V441" s="60"/>
      <c r="W441" s="60"/>
      <c r="X441" s="60"/>
    </row>
    <row r="442">
      <c r="A442" s="15"/>
      <c r="B442" s="15"/>
      <c r="C442" s="15"/>
      <c r="D442" s="15"/>
      <c r="E442" s="15"/>
      <c r="F442" s="15" t="s">
        <v>3650</v>
      </c>
      <c r="G442" s="60"/>
      <c r="H442" s="60"/>
      <c r="I442" s="60"/>
      <c r="J442" s="60"/>
      <c r="K442" s="60"/>
      <c r="L442" s="60"/>
      <c r="M442" s="60"/>
      <c r="N442" s="60"/>
      <c r="O442" s="60"/>
      <c r="P442" s="60"/>
      <c r="Q442" s="60"/>
      <c r="R442" s="60"/>
      <c r="S442" s="60"/>
      <c r="T442" s="60"/>
      <c r="U442" s="60"/>
      <c r="V442" s="60"/>
      <c r="W442" s="60"/>
      <c r="X442" s="60"/>
    </row>
    <row r="443">
      <c r="A443" s="15"/>
      <c r="B443" s="15"/>
      <c r="C443" s="15"/>
      <c r="D443" s="15"/>
      <c r="E443" s="15"/>
      <c r="F443" s="15" t="s">
        <v>3650</v>
      </c>
      <c r="G443" s="60"/>
      <c r="H443" s="60"/>
      <c r="I443" s="60"/>
      <c r="J443" s="60"/>
      <c r="K443" s="60"/>
      <c r="L443" s="60"/>
      <c r="M443" s="60"/>
      <c r="N443" s="60"/>
      <c r="O443" s="60"/>
      <c r="P443" s="60"/>
      <c r="Q443" s="60"/>
      <c r="R443" s="60"/>
      <c r="S443" s="60"/>
      <c r="T443" s="60"/>
      <c r="U443" s="60"/>
      <c r="V443" s="60"/>
      <c r="W443" s="60"/>
      <c r="X443" s="60"/>
    </row>
    <row r="444">
      <c r="A444" s="15"/>
      <c r="B444" s="15"/>
      <c r="C444" s="15"/>
      <c r="D444" s="15"/>
      <c r="E444" s="15"/>
      <c r="F444" s="15" t="s">
        <v>3650</v>
      </c>
      <c r="G444" s="60"/>
      <c r="H444" s="60"/>
      <c r="I444" s="60"/>
      <c r="J444" s="60"/>
      <c r="K444" s="60"/>
      <c r="L444" s="60"/>
      <c r="M444" s="60"/>
      <c r="N444" s="60"/>
      <c r="O444" s="60"/>
      <c r="P444" s="60"/>
      <c r="Q444" s="60"/>
      <c r="R444" s="60"/>
      <c r="S444" s="60"/>
      <c r="T444" s="60"/>
      <c r="U444" s="60"/>
      <c r="V444" s="60"/>
      <c r="W444" s="60"/>
      <c r="X444" s="60"/>
    </row>
    <row r="445">
      <c r="A445" s="15"/>
      <c r="B445" s="15"/>
      <c r="C445" s="15"/>
      <c r="D445" s="15"/>
      <c r="E445" s="15"/>
      <c r="F445" s="15" t="s">
        <v>3650</v>
      </c>
      <c r="G445" s="60"/>
      <c r="H445" s="60"/>
      <c r="I445" s="60"/>
      <c r="J445" s="60"/>
      <c r="K445" s="60"/>
      <c r="L445" s="60"/>
      <c r="M445" s="60"/>
      <c r="N445" s="60"/>
      <c r="O445" s="60"/>
      <c r="P445" s="60"/>
      <c r="Q445" s="60"/>
      <c r="R445" s="60"/>
      <c r="S445" s="60"/>
      <c r="T445" s="60"/>
      <c r="U445" s="60"/>
      <c r="V445" s="60"/>
      <c r="W445" s="60"/>
      <c r="X445" s="60"/>
    </row>
    <row r="446">
      <c r="A446" s="15"/>
      <c r="B446" s="15"/>
      <c r="C446" s="15"/>
      <c r="D446" s="15"/>
      <c r="E446" s="15"/>
      <c r="F446" s="15" t="s">
        <v>3650</v>
      </c>
      <c r="G446" s="60"/>
      <c r="H446" s="60"/>
      <c r="I446" s="60"/>
      <c r="J446" s="60"/>
      <c r="K446" s="60"/>
      <c r="L446" s="60"/>
      <c r="M446" s="60"/>
      <c r="N446" s="60"/>
      <c r="O446" s="60"/>
      <c r="P446" s="60"/>
      <c r="Q446" s="60"/>
      <c r="R446" s="60"/>
      <c r="S446" s="60"/>
      <c r="T446" s="60"/>
      <c r="U446" s="60"/>
      <c r="V446" s="60"/>
      <c r="W446" s="60"/>
      <c r="X446" s="60"/>
    </row>
    <row r="447">
      <c r="A447" s="15"/>
      <c r="B447" s="15"/>
      <c r="C447" s="15"/>
      <c r="D447" s="15"/>
      <c r="E447" s="15"/>
      <c r="F447" s="15" t="s">
        <v>3650</v>
      </c>
      <c r="G447" s="60"/>
      <c r="H447" s="60"/>
      <c r="I447" s="60"/>
      <c r="J447" s="60"/>
      <c r="K447" s="60"/>
      <c r="L447" s="60"/>
      <c r="M447" s="60"/>
      <c r="N447" s="60"/>
      <c r="O447" s="60"/>
      <c r="P447" s="60"/>
      <c r="Q447" s="60"/>
      <c r="R447" s="60"/>
      <c r="S447" s="60"/>
      <c r="T447" s="60"/>
      <c r="U447" s="60"/>
      <c r="V447" s="60"/>
      <c r="W447" s="60"/>
      <c r="X447" s="60"/>
    </row>
    <row r="448">
      <c r="A448" s="15"/>
      <c r="B448" s="15"/>
      <c r="C448" s="15"/>
      <c r="D448" s="15"/>
      <c r="E448" s="15"/>
      <c r="F448" s="15" t="s">
        <v>3650</v>
      </c>
      <c r="G448" s="60"/>
      <c r="H448" s="60"/>
      <c r="I448" s="60"/>
      <c r="J448" s="60"/>
      <c r="K448" s="60"/>
      <c r="L448" s="60"/>
      <c r="M448" s="60"/>
      <c r="N448" s="60"/>
      <c r="O448" s="60"/>
      <c r="P448" s="60"/>
      <c r="Q448" s="60"/>
      <c r="R448" s="60"/>
      <c r="S448" s="60"/>
      <c r="T448" s="60"/>
      <c r="U448" s="60"/>
      <c r="V448" s="60"/>
      <c r="W448" s="60"/>
      <c r="X448" s="60"/>
    </row>
    <row r="449">
      <c r="A449" s="15"/>
      <c r="B449" s="15"/>
      <c r="C449" s="15"/>
      <c r="D449" s="15"/>
      <c r="E449" s="15"/>
      <c r="F449" s="15" t="s">
        <v>3650</v>
      </c>
      <c r="G449" s="60"/>
      <c r="H449" s="60"/>
      <c r="I449" s="60"/>
      <c r="J449" s="60"/>
      <c r="K449" s="60"/>
      <c r="L449" s="60"/>
      <c r="M449" s="60"/>
      <c r="N449" s="60"/>
      <c r="O449" s="60"/>
      <c r="P449" s="60"/>
      <c r="Q449" s="60"/>
      <c r="R449" s="60"/>
      <c r="S449" s="60"/>
      <c r="T449" s="60"/>
      <c r="U449" s="60"/>
      <c r="V449" s="60"/>
      <c r="W449" s="60"/>
      <c r="X449" s="60"/>
    </row>
    <row r="450">
      <c r="A450" s="15"/>
      <c r="B450" s="15"/>
      <c r="C450" s="15"/>
      <c r="D450" s="15"/>
      <c r="E450" s="15"/>
      <c r="F450" s="15" t="s">
        <v>3650</v>
      </c>
      <c r="G450" s="60"/>
      <c r="H450" s="60"/>
      <c r="I450" s="60"/>
      <c r="J450" s="60"/>
      <c r="K450" s="60"/>
      <c r="L450" s="60"/>
      <c r="M450" s="60"/>
      <c r="N450" s="60"/>
      <c r="O450" s="60"/>
      <c r="P450" s="60"/>
      <c r="Q450" s="60"/>
      <c r="R450" s="60"/>
      <c r="S450" s="60"/>
      <c r="T450" s="60"/>
      <c r="U450" s="60"/>
      <c r="V450" s="60"/>
      <c r="W450" s="60"/>
      <c r="X450" s="60"/>
    </row>
    <row r="451">
      <c r="A451" s="15"/>
      <c r="B451" s="15"/>
      <c r="C451" s="15"/>
      <c r="D451" s="15"/>
      <c r="E451" s="15"/>
      <c r="F451" s="15" t="s">
        <v>3650</v>
      </c>
      <c r="G451" s="60"/>
      <c r="H451" s="60"/>
      <c r="I451" s="60"/>
      <c r="J451" s="60"/>
      <c r="K451" s="60"/>
      <c r="L451" s="60"/>
      <c r="M451" s="60"/>
      <c r="N451" s="60"/>
      <c r="O451" s="60"/>
      <c r="P451" s="60"/>
      <c r="Q451" s="60"/>
      <c r="R451" s="60"/>
      <c r="S451" s="60"/>
      <c r="T451" s="60"/>
      <c r="U451" s="60"/>
      <c r="V451" s="60"/>
      <c r="W451" s="60"/>
      <c r="X451" s="60"/>
    </row>
    <row r="452">
      <c r="A452" s="15"/>
      <c r="B452" s="15"/>
      <c r="C452" s="15"/>
      <c r="D452" s="15"/>
      <c r="E452" s="15"/>
      <c r="F452" s="15" t="s">
        <v>3650</v>
      </c>
      <c r="G452" s="60"/>
      <c r="H452" s="60"/>
      <c r="I452" s="60"/>
      <c r="J452" s="60"/>
      <c r="K452" s="60"/>
      <c r="L452" s="60"/>
      <c r="M452" s="60"/>
      <c r="N452" s="60"/>
      <c r="O452" s="60"/>
      <c r="P452" s="60"/>
      <c r="Q452" s="60"/>
      <c r="R452" s="60"/>
      <c r="S452" s="60"/>
      <c r="T452" s="60"/>
      <c r="U452" s="60"/>
      <c r="V452" s="60"/>
      <c r="W452" s="60"/>
      <c r="X452" s="60"/>
    </row>
    <row r="453">
      <c r="A453" s="15"/>
      <c r="B453" s="15"/>
      <c r="C453" s="15"/>
      <c r="D453" s="15"/>
      <c r="E453" s="15"/>
      <c r="F453" s="15" t="s">
        <v>3650</v>
      </c>
      <c r="G453" s="60"/>
      <c r="H453" s="60"/>
      <c r="I453" s="60"/>
      <c r="J453" s="60"/>
      <c r="K453" s="60"/>
      <c r="L453" s="60"/>
      <c r="M453" s="60"/>
      <c r="N453" s="60"/>
      <c r="O453" s="60"/>
      <c r="P453" s="60"/>
      <c r="Q453" s="60"/>
      <c r="R453" s="60"/>
      <c r="S453" s="60"/>
      <c r="T453" s="60"/>
      <c r="U453" s="60"/>
      <c r="V453" s="60"/>
      <c r="W453" s="60"/>
      <c r="X453" s="60"/>
    </row>
    <row r="454">
      <c r="A454" s="15"/>
      <c r="B454" s="15"/>
      <c r="C454" s="15"/>
      <c r="D454" s="15"/>
      <c r="E454" s="15"/>
      <c r="F454" s="15" t="s">
        <v>3650</v>
      </c>
      <c r="G454" s="60"/>
      <c r="H454" s="60"/>
      <c r="I454" s="60"/>
      <c r="J454" s="60"/>
      <c r="K454" s="60"/>
      <c r="L454" s="60"/>
      <c r="M454" s="60"/>
      <c r="N454" s="60"/>
      <c r="O454" s="60"/>
      <c r="P454" s="60"/>
      <c r="Q454" s="60"/>
      <c r="R454" s="60"/>
      <c r="S454" s="60"/>
      <c r="T454" s="60"/>
      <c r="U454" s="60"/>
      <c r="V454" s="60"/>
      <c r="W454" s="60"/>
      <c r="X454" s="60"/>
    </row>
    <row r="455">
      <c r="A455" s="15"/>
      <c r="B455" s="15"/>
      <c r="C455" s="15"/>
      <c r="D455" s="15"/>
      <c r="E455" s="15"/>
      <c r="F455" s="15" t="s">
        <v>3650</v>
      </c>
      <c r="G455" s="60"/>
      <c r="H455" s="60"/>
      <c r="I455" s="60"/>
      <c r="J455" s="60"/>
      <c r="K455" s="60"/>
      <c r="L455" s="60"/>
      <c r="M455" s="60"/>
      <c r="N455" s="60"/>
      <c r="O455" s="60"/>
      <c r="P455" s="60"/>
      <c r="Q455" s="60"/>
      <c r="R455" s="60"/>
      <c r="S455" s="60"/>
      <c r="T455" s="60"/>
      <c r="U455" s="60"/>
      <c r="V455" s="60"/>
      <c r="W455" s="60"/>
      <c r="X455" s="60"/>
    </row>
    <row r="456">
      <c r="A456" s="15"/>
      <c r="B456" s="15"/>
      <c r="C456" s="15"/>
      <c r="D456" s="15"/>
      <c r="E456" s="15"/>
      <c r="F456" s="15" t="s">
        <v>3650</v>
      </c>
      <c r="G456" s="60"/>
      <c r="H456" s="60"/>
      <c r="I456" s="60"/>
      <c r="J456" s="60"/>
      <c r="K456" s="60"/>
      <c r="L456" s="60"/>
      <c r="M456" s="60"/>
      <c r="N456" s="60"/>
      <c r="O456" s="60"/>
      <c r="P456" s="60"/>
      <c r="Q456" s="60"/>
      <c r="R456" s="60"/>
      <c r="S456" s="60"/>
      <c r="T456" s="60"/>
      <c r="U456" s="60"/>
      <c r="V456" s="60"/>
      <c r="W456" s="60"/>
      <c r="X456" s="60"/>
    </row>
    <row r="457">
      <c r="A457" s="15"/>
      <c r="B457" s="15"/>
      <c r="C457" s="15"/>
      <c r="D457" s="15"/>
      <c r="E457" s="15"/>
      <c r="F457" s="15" t="s">
        <v>3650</v>
      </c>
      <c r="G457" s="60"/>
      <c r="H457" s="60"/>
      <c r="I457" s="60"/>
      <c r="J457" s="60"/>
      <c r="K457" s="60"/>
      <c r="L457" s="60"/>
      <c r="M457" s="60"/>
      <c r="N457" s="60"/>
      <c r="O457" s="60"/>
      <c r="P457" s="60"/>
      <c r="Q457" s="60"/>
      <c r="R457" s="60"/>
      <c r="S457" s="60"/>
      <c r="T457" s="60"/>
      <c r="U457" s="60"/>
      <c r="V457" s="60"/>
      <c r="W457" s="60"/>
      <c r="X457" s="60"/>
    </row>
    <row r="458">
      <c r="A458" s="15"/>
      <c r="B458" s="15"/>
      <c r="C458" s="15"/>
      <c r="D458" s="15"/>
      <c r="E458" s="15"/>
      <c r="F458" s="15" t="s">
        <v>3650</v>
      </c>
      <c r="G458" s="60"/>
      <c r="H458" s="60"/>
      <c r="I458" s="60"/>
      <c r="J458" s="60"/>
      <c r="K458" s="60"/>
      <c r="L458" s="60"/>
      <c r="M458" s="60"/>
      <c r="N458" s="60"/>
      <c r="O458" s="60"/>
      <c r="P458" s="60"/>
      <c r="Q458" s="60"/>
      <c r="R458" s="60"/>
      <c r="S458" s="60"/>
      <c r="T458" s="60"/>
      <c r="U458" s="60"/>
      <c r="V458" s="60"/>
      <c r="W458" s="60"/>
      <c r="X458" s="60"/>
    </row>
    <row r="459">
      <c r="A459" s="15"/>
      <c r="B459" s="15"/>
      <c r="C459" s="15"/>
      <c r="D459" s="15"/>
      <c r="E459" s="15"/>
      <c r="F459" s="15" t="s">
        <v>3650</v>
      </c>
      <c r="G459" s="60"/>
      <c r="H459" s="60"/>
      <c r="I459" s="60"/>
      <c r="J459" s="60"/>
      <c r="K459" s="60"/>
      <c r="L459" s="60"/>
      <c r="M459" s="60"/>
      <c r="N459" s="60"/>
      <c r="O459" s="60"/>
      <c r="P459" s="60"/>
      <c r="Q459" s="60"/>
      <c r="R459" s="60"/>
      <c r="S459" s="60"/>
      <c r="T459" s="60"/>
      <c r="U459" s="60"/>
      <c r="V459" s="60"/>
      <c r="W459" s="60"/>
      <c r="X459" s="60"/>
    </row>
    <row r="460">
      <c r="A460" s="15"/>
      <c r="B460" s="15"/>
      <c r="C460" s="15"/>
      <c r="D460" s="15"/>
      <c r="E460" s="15"/>
      <c r="F460" s="15" t="s">
        <v>3650</v>
      </c>
      <c r="G460" s="60"/>
      <c r="H460" s="60"/>
      <c r="I460" s="60"/>
      <c r="J460" s="60"/>
      <c r="K460" s="60"/>
      <c r="L460" s="60"/>
      <c r="M460" s="60"/>
      <c r="N460" s="60"/>
      <c r="O460" s="60"/>
      <c r="P460" s="60"/>
      <c r="Q460" s="60"/>
      <c r="R460" s="60"/>
      <c r="S460" s="60"/>
      <c r="T460" s="60"/>
      <c r="U460" s="60"/>
      <c r="V460" s="60"/>
      <c r="W460" s="60"/>
      <c r="X460" s="60"/>
    </row>
    <row r="461">
      <c r="A461" s="15"/>
      <c r="B461" s="15"/>
      <c r="C461" s="15"/>
      <c r="D461" s="15"/>
      <c r="E461" s="15"/>
      <c r="F461" s="15" t="s">
        <v>3650</v>
      </c>
      <c r="G461" s="60"/>
      <c r="H461" s="60"/>
      <c r="I461" s="60"/>
      <c r="J461" s="60"/>
      <c r="K461" s="60"/>
      <c r="L461" s="60"/>
      <c r="M461" s="60"/>
      <c r="N461" s="60"/>
      <c r="O461" s="60"/>
      <c r="P461" s="60"/>
      <c r="Q461" s="60"/>
      <c r="R461" s="60"/>
      <c r="S461" s="60"/>
      <c r="T461" s="60"/>
      <c r="U461" s="60"/>
      <c r="V461" s="60"/>
      <c r="W461" s="60"/>
      <c r="X461" s="60"/>
    </row>
    <row r="462">
      <c r="A462" s="15"/>
      <c r="B462" s="15"/>
      <c r="C462" s="15"/>
      <c r="D462" s="15"/>
      <c r="E462" s="15"/>
      <c r="F462" s="15" t="s">
        <v>3650</v>
      </c>
      <c r="G462" s="60"/>
      <c r="H462" s="60"/>
      <c r="I462" s="60"/>
      <c r="J462" s="60"/>
      <c r="K462" s="60"/>
      <c r="L462" s="60"/>
      <c r="M462" s="60"/>
      <c r="N462" s="60"/>
      <c r="O462" s="60"/>
      <c r="P462" s="60"/>
      <c r="Q462" s="60"/>
      <c r="R462" s="60"/>
      <c r="S462" s="60"/>
      <c r="T462" s="60"/>
      <c r="U462" s="60"/>
      <c r="V462" s="60"/>
      <c r="W462" s="60"/>
      <c r="X462" s="60"/>
    </row>
    <row r="463">
      <c r="A463" s="15"/>
      <c r="B463" s="15"/>
      <c r="C463" s="15"/>
      <c r="D463" s="15"/>
      <c r="E463" s="15"/>
      <c r="F463" s="15" t="s">
        <v>3650</v>
      </c>
      <c r="G463" s="60"/>
      <c r="H463" s="60"/>
      <c r="I463" s="60"/>
      <c r="J463" s="60"/>
      <c r="K463" s="60"/>
      <c r="L463" s="60"/>
      <c r="M463" s="60"/>
      <c r="N463" s="60"/>
      <c r="O463" s="60"/>
      <c r="P463" s="60"/>
      <c r="Q463" s="60"/>
      <c r="R463" s="60"/>
      <c r="S463" s="60"/>
      <c r="T463" s="60"/>
      <c r="U463" s="60"/>
      <c r="V463" s="60"/>
      <c r="W463" s="60"/>
      <c r="X463" s="60"/>
    </row>
    <row r="464">
      <c r="A464" s="15"/>
      <c r="B464" s="15"/>
      <c r="C464" s="15"/>
      <c r="D464" s="15"/>
      <c r="E464" s="15"/>
      <c r="F464" s="15" t="s">
        <v>3650</v>
      </c>
      <c r="G464" s="60"/>
      <c r="H464" s="60"/>
      <c r="I464" s="60"/>
      <c r="J464" s="60"/>
      <c r="K464" s="60"/>
      <c r="L464" s="60"/>
      <c r="M464" s="60"/>
      <c r="N464" s="60"/>
      <c r="O464" s="60"/>
      <c r="P464" s="60"/>
      <c r="Q464" s="60"/>
      <c r="R464" s="60"/>
      <c r="S464" s="60"/>
      <c r="T464" s="60"/>
      <c r="U464" s="60"/>
      <c r="V464" s="60"/>
      <c r="W464" s="60"/>
      <c r="X464" s="60"/>
    </row>
    <row r="465">
      <c r="A465" s="15"/>
      <c r="B465" s="15"/>
      <c r="C465" s="15"/>
      <c r="D465" s="15"/>
      <c r="E465" s="15"/>
      <c r="F465" s="15" t="s">
        <v>3650</v>
      </c>
      <c r="G465" s="60"/>
      <c r="H465" s="60"/>
      <c r="I465" s="60"/>
      <c r="J465" s="60"/>
      <c r="K465" s="60"/>
      <c r="L465" s="60"/>
      <c r="M465" s="60"/>
      <c r="N465" s="60"/>
      <c r="O465" s="60"/>
      <c r="P465" s="60"/>
      <c r="Q465" s="60"/>
      <c r="R465" s="60"/>
      <c r="S465" s="60"/>
      <c r="T465" s="60"/>
      <c r="U465" s="60"/>
      <c r="V465" s="60"/>
      <c r="W465" s="60"/>
      <c r="X465" s="60"/>
    </row>
    <row r="466">
      <c r="A466" s="15"/>
      <c r="B466" s="15"/>
      <c r="C466" s="15"/>
      <c r="D466" s="15"/>
      <c r="E466" s="15"/>
      <c r="F466" s="15" t="s">
        <v>3650</v>
      </c>
      <c r="G466" s="60"/>
      <c r="H466" s="60"/>
      <c r="I466" s="60"/>
      <c r="J466" s="60"/>
      <c r="K466" s="60"/>
      <c r="L466" s="60"/>
      <c r="M466" s="60"/>
      <c r="N466" s="60"/>
      <c r="O466" s="60"/>
      <c r="P466" s="60"/>
      <c r="Q466" s="60"/>
      <c r="R466" s="60"/>
      <c r="S466" s="60"/>
      <c r="T466" s="60"/>
      <c r="U466" s="60"/>
      <c r="V466" s="60"/>
      <c r="W466" s="60"/>
      <c r="X466" s="60"/>
    </row>
    <row r="467">
      <c r="A467" s="15"/>
      <c r="B467" s="15"/>
      <c r="C467" s="15"/>
      <c r="D467" s="15"/>
      <c r="E467" s="15"/>
      <c r="F467" s="15" t="s">
        <v>3650</v>
      </c>
      <c r="G467" s="60"/>
      <c r="H467" s="60"/>
      <c r="I467" s="60"/>
      <c r="J467" s="60"/>
      <c r="K467" s="60"/>
      <c r="L467" s="60"/>
      <c r="M467" s="60"/>
      <c r="N467" s="60"/>
      <c r="O467" s="60"/>
      <c r="P467" s="60"/>
      <c r="Q467" s="60"/>
      <c r="R467" s="60"/>
      <c r="S467" s="60"/>
      <c r="T467" s="60"/>
      <c r="U467" s="60"/>
      <c r="V467" s="60"/>
      <c r="W467" s="60"/>
      <c r="X467" s="60"/>
    </row>
    <row r="468">
      <c r="A468" s="15"/>
      <c r="B468" s="15"/>
      <c r="C468" s="15"/>
      <c r="D468" s="15"/>
      <c r="E468" s="15"/>
      <c r="F468" s="15" t="s">
        <v>3650</v>
      </c>
      <c r="G468" s="60"/>
      <c r="H468" s="60"/>
      <c r="I468" s="60"/>
      <c r="J468" s="60"/>
      <c r="K468" s="60"/>
      <c r="L468" s="60"/>
      <c r="M468" s="60"/>
      <c r="N468" s="60"/>
      <c r="O468" s="60"/>
      <c r="P468" s="60"/>
      <c r="Q468" s="60"/>
      <c r="R468" s="60"/>
      <c r="S468" s="60"/>
      <c r="T468" s="60"/>
      <c r="U468" s="60"/>
      <c r="V468" s="60"/>
      <c r="W468" s="60"/>
      <c r="X468" s="60"/>
    </row>
    <row r="469">
      <c r="A469" s="15"/>
      <c r="B469" s="15"/>
      <c r="C469" s="15"/>
      <c r="D469" s="15"/>
      <c r="E469" s="15"/>
      <c r="F469" s="15" t="s">
        <v>3650</v>
      </c>
      <c r="G469" s="60"/>
      <c r="H469" s="60"/>
      <c r="I469" s="60"/>
      <c r="J469" s="60"/>
      <c r="K469" s="60"/>
      <c r="L469" s="60"/>
      <c r="M469" s="60"/>
      <c r="N469" s="60"/>
      <c r="O469" s="60"/>
      <c r="P469" s="60"/>
      <c r="Q469" s="60"/>
      <c r="R469" s="60"/>
      <c r="S469" s="60"/>
      <c r="T469" s="60"/>
      <c r="U469" s="60"/>
      <c r="V469" s="60"/>
      <c r="W469" s="60"/>
      <c r="X469" s="60"/>
    </row>
    <row r="470">
      <c r="A470" s="15"/>
      <c r="B470" s="15"/>
      <c r="C470" s="15"/>
      <c r="D470" s="15"/>
      <c r="E470" s="15"/>
      <c r="F470" s="15" t="s">
        <v>3650</v>
      </c>
      <c r="G470" s="60"/>
      <c r="H470" s="60"/>
      <c r="I470" s="60"/>
      <c r="J470" s="60"/>
      <c r="K470" s="60"/>
      <c r="L470" s="60"/>
      <c r="M470" s="60"/>
      <c r="N470" s="60"/>
      <c r="O470" s="60"/>
      <c r="P470" s="60"/>
      <c r="Q470" s="60"/>
      <c r="R470" s="60"/>
      <c r="S470" s="60"/>
      <c r="T470" s="60"/>
      <c r="U470" s="60"/>
      <c r="V470" s="60"/>
      <c r="W470" s="60"/>
      <c r="X470" s="60"/>
    </row>
    <row r="471">
      <c r="A471" s="15"/>
      <c r="B471" s="15"/>
      <c r="C471" s="15"/>
      <c r="D471" s="15"/>
      <c r="E471" s="15"/>
      <c r="F471" s="15" t="s">
        <v>3650</v>
      </c>
      <c r="G471" s="60"/>
      <c r="H471" s="60"/>
      <c r="I471" s="60"/>
      <c r="J471" s="60"/>
      <c r="K471" s="60"/>
      <c r="L471" s="60"/>
      <c r="M471" s="60"/>
      <c r="N471" s="60"/>
      <c r="O471" s="60"/>
      <c r="P471" s="60"/>
      <c r="Q471" s="60"/>
      <c r="R471" s="60"/>
      <c r="S471" s="60"/>
      <c r="T471" s="60"/>
      <c r="U471" s="60"/>
      <c r="V471" s="60"/>
      <c r="W471" s="60"/>
      <c r="X471" s="60"/>
    </row>
    <row r="472">
      <c r="A472" s="15"/>
      <c r="B472" s="15"/>
      <c r="C472" s="15"/>
      <c r="D472" s="15"/>
      <c r="E472" s="15"/>
      <c r="F472" s="15" t="s">
        <v>3650</v>
      </c>
      <c r="G472" s="60"/>
      <c r="H472" s="60"/>
      <c r="I472" s="60"/>
      <c r="J472" s="60"/>
      <c r="K472" s="60"/>
      <c r="L472" s="60"/>
      <c r="M472" s="60"/>
      <c r="N472" s="60"/>
      <c r="O472" s="60"/>
      <c r="P472" s="60"/>
      <c r="Q472" s="60"/>
      <c r="R472" s="60"/>
      <c r="S472" s="60"/>
      <c r="T472" s="60"/>
      <c r="U472" s="60"/>
      <c r="V472" s="60"/>
      <c r="W472" s="60"/>
      <c r="X472" s="60"/>
    </row>
    <row r="473">
      <c r="A473" s="15"/>
      <c r="B473" s="15"/>
      <c r="C473" s="15"/>
      <c r="D473" s="15"/>
      <c r="E473" s="15"/>
      <c r="F473" s="15" t="s">
        <v>3650</v>
      </c>
      <c r="G473" s="60"/>
      <c r="H473" s="60"/>
      <c r="I473" s="60"/>
      <c r="J473" s="60"/>
      <c r="K473" s="60"/>
      <c r="L473" s="60"/>
      <c r="M473" s="60"/>
      <c r="N473" s="60"/>
      <c r="O473" s="60"/>
      <c r="P473" s="60"/>
      <c r="Q473" s="60"/>
      <c r="R473" s="60"/>
      <c r="S473" s="60"/>
      <c r="T473" s="60"/>
      <c r="U473" s="60"/>
      <c r="V473" s="60"/>
      <c r="W473" s="60"/>
      <c r="X473" s="60"/>
    </row>
    <row r="474">
      <c r="A474" s="15"/>
      <c r="B474" s="15"/>
      <c r="C474" s="15"/>
      <c r="D474" s="15"/>
      <c r="E474" s="15"/>
      <c r="F474" s="15" t="s">
        <v>3650</v>
      </c>
      <c r="G474" s="60"/>
      <c r="H474" s="60"/>
      <c r="I474" s="60"/>
      <c r="J474" s="60"/>
      <c r="K474" s="60"/>
      <c r="L474" s="60"/>
      <c r="M474" s="60"/>
      <c r="N474" s="60"/>
      <c r="O474" s="60"/>
      <c r="P474" s="60"/>
      <c r="Q474" s="60"/>
      <c r="R474" s="60"/>
      <c r="S474" s="60"/>
      <c r="T474" s="60"/>
      <c r="U474" s="60"/>
      <c r="V474" s="60"/>
      <c r="W474" s="60"/>
      <c r="X474" s="60"/>
    </row>
    <row r="475">
      <c r="A475" s="15"/>
      <c r="B475" s="15"/>
      <c r="C475" s="15"/>
      <c r="D475" s="15"/>
      <c r="E475" s="15"/>
      <c r="F475" s="15" t="s">
        <v>3650</v>
      </c>
      <c r="G475" s="60"/>
      <c r="H475" s="60"/>
      <c r="I475" s="60"/>
      <c r="J475" s="60"/>
      <c r="K475" s="60"/>
      <c r="L475" s="60"/>
      <c r="M475" s="60"/>
      <c r="N475" s="60"/>
      <c r="O475" s="60"/>
      <c r="P475" s="60"/>
      <c r="Q475" s="60"/>
      <c r="R475" s="60"/>
      <c r="S475" s="60"/>
      <c r="T475" s="60"/>
      <c r="U475" s="60"/>
      <c r="V475" s="60"/>
      <c r="W475" s="60"/>
      <c r="X475" s="60"/>
    </row>
    <row r="476">
      <c r="A476" s="15"/>
      <c r="B476" s="15"/>
      <c r="C476" s="15"/>
      <c r="D476" s="15"/>
      <c r="E476" s="15"/>
      <c r="F476" s="15" t="s">
        <v>3650</v>
      </c>
      <c r="G476" s="60"/>
      <c r="H476" s="60"/>
      <c r="I476" s="60"/>
      <c r="J476" s="60"/>
      <c r="K476" s="60"/>
      <c r="L476" s="60"/>
      <c r="M476" s="60"/>
      <c r="N476" s="60"/>
      <c r="O476" s="60"/>
      <c r="P476" s="60"/>
      <c r="Q476" s="60"/>
      <c r="R476" s="60"/>
      <c r="S476" s="60"/>
      <c r="T476" s="60"/>
      <c r="U476" s="60"/>
      <c r="V476" s="60"/>
      <c r="W476" s="60"/>
      <c r="X476" s="60"/>
    </row>
    <row r="477">
      <c r="A477" s="15"/>
      <c r="B477" s="15"/>
      <c r="C477" s="15"/>
      <c r="D477" s="15"/>
      <c r="E477" s="15"/>
      <c r="F477" s="15" t="s">
        <v>3650</v>
      </c>
      <c r="G477" s="60"/>
      <c r="H477" s="60"/>
      <c r="I477" s="60"/>
      <c r="J477" s="60"/>
      <c r="K477" s="60"/>
      <c r="L477" s="60"/>
      <c r="M477" s="60"/>
      <c r="N477" s="60"/>
      <c r="O477" s="60"/>
      <c r="P477" s="60"/>
      <c r="Q477" s="60"/>
      <c r="R477" s="60"/>
      <c r="S477" s="60"/>
      <c r="T477" s="60"/>
      <c r="U477" s="60"/>
      <c r="V477" s="60"/>
      <c r="W477" s="60"/>
      <c r="X477" s="60"/>
    </row>
    <row r="478">
      <c r="A478" s="15"/>
      <c r="B478" s="15"/>
      <c r="C478" s="15"/>
      <c r="D478" s="15"/>
      <c r="E478" s="15"/>
      <c r="F478" s="15" t="s">
        <v>3650</v>
      </c>
      <c r="G478" s="60"/>
      <c r="H478" s="60"/>
      <c r="I478" s="60"/>
      <c r="J478" s="60"/>
      <c r="K478" s="60"/>
      <c r="L478" s="60"/>
      <c r="M478" s="60"/>
      <c r="N478" s="60"/>
      <c r="O478" s="60"/>
      <c r="P478" s="60"/>
      <c r="Q478" s="60"/>
      <c r="R478" s="60"/>
      <c r="S478" s="60"/>
      <c r="T478" s="60"/>
      <c r="U478" s="60"/>
      <c r="V478" s="60"/>
      <c r="W478" s="60"/>
      <c r="X478" s="60"/>
    </row>
    <row r="479">
      <c r="A479" s="15"/>
      <c r="B479" s="15"/>
      <c r="C479" s="15"/>
      <c r="D479" s="15"/>
      <c r="E479" s="15"/>
      <c r="F479" s="15" t="s">
        <v>3650</v>
      </c>
      <c r="G479" s="60"/>
      <c r="H479" s="60"/>
      <c r="I479" s="60"/>
      <c r="J479" s="60"/>
      <c r="K479" s="60"/>
      <c r="L479" s="60"/>
      <c r="M479" s="60"/>
      <c r="N479" s="60"/>
      <c r="O479" s="60"/>
      <c r="P479" s="60"/>
      <c r="Q479" s="60"/>
      <c r="R479" s="60"/>
      <c r="S479" s="60"/>
      <c r="T479" s="60"/>
      <c r="U479" s="60"/>
      <c r="V479" s="60"/>
      <c r="W479" s="60"/>
      <c r="X479" s="60"/>
    </row>
    <row r="480">
      <c r="A480" s="15"/>
      <c r="B480" s="15"/>
      <c r="C480" s="15"/>
      <c r="D480" s="15"/>
      <c r="E480" s="15"/>
      <c r="F480" s="15" t="s">
        <v>3650</v>
      </c>
      <c r="G480" s="60"/>
      <c r="H480" s="60"/>
      <c r="I480" s="60"/>
      <c r="J480" s="60"/>
      <c r="K480" s="60"/>
      <c r="L480" s="60"/>
      <c r="M480" s="60"/>
      <c r="N480" s="60"/>
      <c r="O480" s="60"/>
      <c r="P480" s="60"/>
      <c r="Q480" s="60"/>
      <c r="R480" s="60"/>
      <c r="S480" s="60"/>
      <c r="T480" s="60"/>
      <c r="U480" s="60"/>
      <c r="V480" s="60"/>
      <c r="W480" s="60"/>
      <c r="X480" s="60"/>
    </row>
    <row r="481">
      <c r="A481" s="15"/>
      <c r="B481" s="15"/>
      <c r="C481" s="15"/>
      <c r="D481" s="15"/>
      <c r="E481" s="15"/>
      <c r="F481" s="15" t="s">
        <v>3650</v>
      </c>
      <c r="G481" s="60"/>
      <c r="H481" s="60"/>
      <c r="I481" s="60"/>
      <c r="J481" s="60"/>
      <c r="K481" s="60"/>
      <c r="L481" s="60"/>
      <c r="M481" s="60"/>
      <c r="N481" s="60"/>
      <c r="O481" s="60"/>
      <c r="P481" s="60"/>
      <c r="Q481" s="60"/>
      <c r="R481" s="60"/>
      <c r="S481" s="60"/>
      <c r="T481" s="60"/>
      <c r="U481" s="60"/>
      <c r="V481" s="60"/>
      <c r="W481" s="60"/>
      <c r="X481" s="60"/>
    </row>
    <row r="482">
      <c r="A482" s="15"/>
      <c r="B482" s="15"/>
      <c r="C482" s="15"/>
      <c r="D482" s="15"/>
      <c r="E482" s="15"/>
      <c r="F482" s="15" t="s">
        <v>3650</v>
      </c>
      <c r="G482" s="60"/>
      <c r="H482" s="60"/>
      <c r="I482" s="60"/>
      <c r="J482" s="60"/>
      <c r="K482" s="60"/>
      <c r="L482" s="60"/>
      <c r="M482" s="60"/>
      <c r="N482" s="60"/>
      <c r="O482" s="60"/>
      <c r="P482" s="60"/>
      <c r="Q482" s="60"/>
      <c r="R482" s="60"/>
      <c r="S482" s="60"/>
      <c r="T482" s="60"/>
      <c r="U482" s="60"/>
      <c r="V482" s="60"/>
      <c r="W482" s="60"/>
      <c r="X482" s="60"/>
    </row>
    <row r="483">
      <c r="A483" s="15"/>
      <c r="B483" s="15"/>
      <c r="C483" s="15"/>
      <c r="D483" s="15"/>
      <c r="E483" s="15"/>
      <c r="F483" s="15" t="s">
        <v>3650</v>
      </c>
      <c r="G483" s="60"/>
      <c r="H483" s="60"/>
      <c r="I483" s="60"/>
      <c r="J483" s="60"/>
      <c r="K483" s="60"/>
      <c r="L483" s="60"/>
      <c r="M483" s="60"/>
      <c r="N483" s="60"/>
      <c r="O483" s="60"/>
      <c r="P483" s="60"/>
      <c r="Q483" s="60"/>
      <c r="R483" s="60"/>
      <c r="S483" s="60"/>
      <c r="T483" s="60"/>
      <c r="U483" s="60"/>
      <c r="V483" s="60"/>
      <c r="W483" s="60"/>
      <c r="X483" s="60"/>
    </row>
    <row r="484">
      <c r="A484" s="15"/>
      <c r="B484" s="15"/>
      <c r="C484" s="15"/>
      <c r="D484" s="15"/>
      <c r="E484" s="15"/>
      <c r="F484" s="15" t="s">
        <v>3650</v>
      </c>
      <c r="G484" s="60"/>
      <c r="H484" s="60"/>
      <c r="I484" s="60"/>
      <c r="J484" s="60"/>
      <c r="K484" s="60"/>
      <c r="L484" s="60"/>
      <c r="M484" s="60"/>
      <c r="N484" s="60"/>
      <c r="O484" s="60"/>
      <c r="P484" s="60"/>
      <c r="Q484" s="60"/>
      <c r="R484" s="60"/>
      <c r="S484" s="60"/>
      <c r="T484" s="60"/>
      <c r="U484" s="60"/>
      <c r="V484" s="60"/>
      <c r="W484" s="60"/>
      <c r="X484" s="60"/>
    </row>
    <row r="485">
      <c r="A485" s="15"/>
      <c r="B485" s="15"/>
      <c r="C485" s="15"/>
      <c r="D485" s="15"/>
      <c r="E485" s="15"/>
      <c r="F485" s="15" t="s">
        <v>3650</v>
      </c>
      <c r="G485" s="60"/>
      <c r="H485" s="60"/>
      <c r="I485" s="60"/>
      <c r="J485" s="60"/>
      <c r="K485" s="60"/>
      <c r="L485" s="60"/>
      <c r="M485" s="60"/>
      <c r="N485" s="60"/>
      <c r="O485" s="60"/>
      <c r="P485" s="60"/>
      <c r="Q485" s="60"/>
      <c r="R485" s="60"/>
      <c r="S485" s="60"/>
      <c r="T485" s="60"/>
      <c r="U485" s="60"/>
      <c r="V485" s="60"/>
      <c r="W485" s="60"/>
      <c r="X485" s="60"/>
    </row>
    <row r="486">
      <c r="A486" s="15"/>
      <c r="B486" s="15"/>
      <c r="C486" s="15"/>
      <c r="D486" s="15"/>
      <c r="E486" s="15"/>
      <c r="F486" s="15" t="s">
        <v>3650</v>
      </c>
      <c r="G486" s="60"/>
      <c r="H486" s="60"/>
      <c r="I486" s="60"/>
      <c r="J486" s="60"/>
      <c r="K486" s="60"/>
      <c r="L486" s="60"/>
      <c r="M486" s="60"/>
      <c r="N486" s="60"/>
      <c r="O486" s="60"/>
      <c r="P486" s="60"/>
      <c r="Q486" s="60"/>
      <c r="R486" s="60"/>
      <c r="S486" s="60"/>
      <c r="T486" s="60"/>
      <c r="U486" s="60"/>
      <c r="V486" s="60"/>
      <c r="W486" s="60"/>
      <c r="X486" s="60"/>
    </row>
    <row r="487">
      <c r="A487" s="15"/>
      <c r="B487" s="15"/>
      <c r="C487" s="15"/>
      <c r="D487" s="15"/>
      <c r="E487" s="15"/>
      <c r="F487" s="15" t="s">
        <v>3650</v>
      </c>
      <c r="G487" s="60"/>
      <c r="H487" s="60"/>
      <c r="I487" s="60"/>
      <c r="J487" s="60"/>
      <c r="K487" s="60"/>
      <c r="L487" s="60"/>
      <c r="M487" s="60"/>
      <c r="N487" s="60"/>
      <c r="O487" s="60"/>
      <c r="P487" s="60"/>
      <c r="Q487" s="60"/>
      <c r="R487" s="60"/>
      <c r="S487" s="60"/>
      <c r="T487" s="60"/>
      <c r="U487" s="60"/>
      <c r="V487" s="60"/>
      <c r="W487" s="60"/>
      <c r="X487" s="60"/>
    </row>
    <row r="488">
      <c r="A488" s="15"/>
      <c r="B488" s="15"/>
      <c r="C488" s="15"/>
      <c r="D488" s="15"/>
      <c r="E488" s="15"/>
      <c r="F488" s="15" t="s">
        <v>3650</v>
      </c>
      <c r="G488" s="60"/>
      <c r="H488" s="60"/>
      <c r="I488" s="60"/>
      <c r="J488" s="60"/>
      <c r="K488" s="60"/>
      <c r="L488" s="60"/>
      <c r="M488" s="60"/>
      <c r="N488" s="60"/>
      <c r="O488" s="60"/>
      <c r="P488" s="60"/>
      <c r="Q488" s="60"/>
      <c r="R488" s="60"/>
      <c r="S488" s="60"/>
      <c r="T488" s="60"/>
      <c r="U488" s="60"/>
      <c r="V488" s="60"/>
      <c r="W488" s="60"/>
      <c r="X488" s="60"/>
    </row>
    <row r="489">
      <c r="A489" s="15"/>
      <c r="B489" s="15"/>
      <c r="C489" s="15"/>
      <c r="D489" s="15"/>
      <c r="E489" s="15"/>
      <c r="F489" s="15" t="s">
        <v>3650</v>
      </c>
      <c r="G489" s="60"/>
      <c r="H489" s="60"/>
      <c r="I489" s="60"/>
      <c r="J489" s="60"/>
      <c r="K489" s="60"/>
      <c r="L489" s="60"/>
      <c r="M489" s="60"/>
      <c r="N489" s="60"/>
      <c r="O489" s="60"/>
      <c r="P489" s="60"/>
      <c r="Q489" s="60"/>
      <c r="R489" s="60"/>
      <c r="S489" s="60"/>
      <c r="T489" s="60"/>
      <c r="U489" s="60"/>
      <c r="V489" s="60"/>
      <c r="W489" s="60"/>
      <c r="X489" s="60"/>
    </row>
    <row r="490">
      <c r="A490" s="15"/>
      <c r="B490" s="15"/>
      <c r="C490" s="15"/>
      <c r="D490" s="15"/>
      <c r="E490" s="15"/>
      <c r="F490" s="15" t="s">
        <v>3650</v>
      </c>
      <c r="G490" s="60"/>
      <c r="H490" s="60"/>
      <c r="I490" s="60"/>
      <c r="J490" s="60"/>
      <c r="K490" s="60"/>
      <c r="L490" s="60"/>
      <c r="M490" s="60"/>
      <c r="N490" s="60"/>
      <c r="O490" s="60"/>
      <c r="P490" s="60"/>
      <c r="Q490" s="60"/>
      <c r="R490" s="60"/>
      <c r="S490" s="60"/>
      <c r="T490" s="60"/>
      <c r="U490" s="60"/>
      <c r="V490" s="60"/>
      <c r="W490" s="60"/>
      <c r="X490" s="60"/>
    </row>
    <row r="491">
      <c r="A491" s="15"/>
      <c r="B491" s="15"/>
      <c r="C491" s="15"/>
      <c r="D491" s="15"/>
      <c r="E491" s="15"/>
      <c r="F491" s="15" t="s">
        <v>3650</v>
      </c>
      <c r="G491" s="60"/>
      <c r="H491" s="60"/>
      <c r="I491" s="60"/>
      <c r="J491" s="60"/>
      <c r="K491" s="60"/>
      <c r="L491" s="60"/>
      <c r="M491" s="60"/>
      <c r="N491" s="60"/>
      <c r="O491" s="60"/>
      <c r="P491" s="60"/>
      <c r="Q491" s="60"/>
      <c r="R491" s="60"/>
      <c r="S491" s="60"/>
      <c r="T491" s="60"/>
      <c r="U491" s="60"/>
      <c r="V491" s="60"/>
      <c r="W491" s="60"/>
      <c r="X491" s="60"/>
    </row>
    <row r="492">
      <c r="A492" s="15"/>
      <c r="B492" s="15"/>
      <c r="C492" s="15"/>
      <c r="D492" s="15"/>
      <c r="E492" s="15"/>
      <c r="F492" s="15" t="s">
        <v>3650</v>
      </c>
      <c r="G492" s="60"/>
      <c r="H492" s="60"/>
      <c r="I492" s="60"/>
      <c r="J492" s="60"/>
      <c r="K492" s="60"/>
      <c r="L492" s="60"/>
      <c r="M492" s="60"/>
      <c r="N492" s="60"/>
      <c r="O492" s="60"/>
      <c r="P492" s="60"/>
      <c r="Q492" s="60"/>
      <c r="R492" s="60"/>
      <c r="S492" s="60"/>
      <c r="T492" s="60"/>
      <c r="U492" s="60"/>
      <c r="V492" s="60"/>
      <c r="W492" s="60"/>
      <c r="X492" s="60"/>
    </row>
    <row r="493">
      <c r="A493" s="15"/>
      <c r="B493" s="15"/>
      <c r="C493" s="15"/>
      <c r="D493" s="15"/>
      <c r="E493" s="15"/>
      <c r="F493" s="15" t="s">
        <v>3650</v>
      </c>
      <c r="G493" s="60"/>
      <c r="H493" s="60"/>
      <c r="I493" s="60"/>
      <c r="J493" s="60"/>
      <c r="K493" s="60"/>
      <c r="L493" s="60"/>
      <c r="M493" s="60"/>
      <c r="N493" s="60"/>
      <c r="O493" s="60"/>
      <c r="P493" s="60"/>
      <c r="Q493" s="60"/>
      <c r="R493" s="60"/>
      <c r="S493" s="60"/>
      <c r="T493" s="60"/>
      <c r="U493" s="60"/>
      <c r="V493" s="60"/>
      <c r="W493" s="60"/>
      <c r="X493" s="60"/>
    </row>
    <row r="494">
      <c r="A494" s="15"/>
      <c r="B494" s="15"/>
      <c r="C494" s="15"/>
      <c r="D494" s="15"/>
      <c r="E494" s="15"/>
      <c r="F494" s="15" t="s">
        <v>3650</v>
      </c>
      <c r="G494" s="60"/>
      <c r="H494" s="60"/>
      <c r="I494" s="60"/>
      <c r="J494" s="60"/>
      <c r="K494" s="60"/>
      <c r="L494" s="60"/>
      <c r="M494" s="60"/>
      <c r="N494" s="60"/>
      <c r="O494" s="60"/>
      <c r="P494" s="60"/>
      <c r="Q494" s="60"/>
      <c r="R494" s="60"/>
      <c r="S494" s="60"/>
      <c r="T494" s="60"/>
      <c r="U494" s="60"/>
      <c r="V494" s="60"/>
      <c r="W494" s="60"/>
      <c r="X494" s="60"/>
    </row>
    <row r="495">
      <c r="A495" s="15"/>
      <c r="B495" s="15"/>
      <c r="C495" s="15"/>
      <c r="D495" s="15"/>
      <c r="E495" s="15"/>
      <c r="F495" s="15" t="s">
        <v>3650</v>
      </c>
      <c r="G495" s="60"/>
      <c r="H495" s="60"/>
      <c r="I495" s="60"/>
      <c r="J495" s="60"/>
      <c r="K495" s="60"/>
      <c r="L495" s="60"/>
      <c r="M495" s="60"/>
      <c r="N495" s="60"/>
      <c r="O495" s="60"/>
      <c r="P495" s="60"/>
      <c r="Q495" s="60"/>
      <c r="R495" s="60"/>
      <c r="S495" s="60"/>
      <c r="T495" s="60"/>
      <c r="U495" s="60"/>
      <c r="V495" s="60"/>
      <c r="W495" s="60"/>
      <c r="X495" s="60"/>
    </row>
    <row r="496">
      <c r="A496" s="15"/>
      <c r="B496" s="15"/>
      <c r="C496" s="15"/>
      <c r="D496" s="15"/>
      <c r="E496" s="15"/>
      <c r="F496" s="15" t="s">
        <v>3650</v>
      </c>
      <c r="G496" s="60"/>
      <c r="H496" s="60"/>
      <c r="I496" s="60"/>
      <c r="J496" s="60"/>
      <c r="K496" s="60"/>
      <c r="L496" s="60"/>
      <c r="M496" s="60"/>
      <c r="N496" s="60"/>
      <c r="O496" s="60"/>
      <c r="P496" s="60"/>
      <c r="Q496" s="60"/>
      <c r="R496" s="60"/>
      <c r="S496" s="60"/>
      <c r="T496" s="60"/>
      <c r="U496" s="60"/>
      <c r="V496" s="60"/>
      <c r="W496" s="60"/>
      <c r="X496" s="60"/>
    </row>
    <row r="497">
      <c r="A497" s="15"/>
      <c r="B497" s="15"/>
      <c r="C497" s="15"/>
      <c r="D497" s="15"/>
      <c r="E497" s="15"/>
      <c r="F497" s="15" t="s">
        <v>3650</v>
      </c>
      <c r="G497" s="60"/>
      <c r="H497" s="60"/>
      <c r="I497" s="60"/>
      <c r="J497" s="60"/>
      <c r="K497" s="60"/>
      <c r="L497" s="60"/>
      <c r="M497" s="60"/>
      <c r="N497" s="60"/>
      <c r="O497" s="60"/>
      <c r="P497" s="60"/>
      <c r="Q497" s="60"/>
      <c r="R497" s="60"/>
      <c r="S497" s="60"/>
      <c r="T497" s="60"/>
      <c r="U497" s="60"/>
      <c r="V497" s="60"/>
      <c r="W497" s="60"/>
      <c r="X497" s="60"/>
    </row>
    <row r="498">
      <c r="A498" s="15"/>
      <c r="B498" s="15"/>
      <c r="C498" s="15"/>
      <c r="D498" s="15"/>
      <c r="E498" s="15"/>
      <c r="F498" s="15" t="s">
        <v>3650</v>
      </c>
      <c r="G498" s="60"/>
      <c r="H498" s="60"/>
      <c r="I498" s="60"/>
      <c r="J498" s="60"/>
      <c r="K498" s="60"/>
      <c r="L498" s="60"/>
      <c r="M498" s="60"/>
      <c r="N498" s="60"/>
      <c r="O498" s="60"/>
      <c r="P498" s="60"/>
      <c r="Q498" s="60"/>
      <c r="R498" s="60"/>
      <c r="S498" s="60"/>
      <c r="T498" s="60"/>
      <c r="U498" s="60"/>
      <c r="V498" s="60"/>
      <c r="W498" s="60"/>
      <c r="X498" s="60"/>
    </row>
    <row r="499">
      <c r="A499" s="15"/>
      <c r="B499" s="15"/>
      <c r="C499" s="15"/>
      <c r="D499" s="15"/>
      <c r="E499" s="15"/>
      <c r="F499" s="15" t="s">
        <v>3650</v>
      </c>
      <c r="G499" s="60"/>
      <c r="H499" s="60"/>
      <c r="I499" s="60"/>
      <c r="J499" s="60"/>
      <c r="K499" s="60"/>
      <c r="L499" s="60"/>
      <c r="M499" s="60"/>
      <c r="N499" s="60"/>
      <c r="O499" s="60"/>
      <c r="P499" s="60"/>
      <c r="Q499" s="60"/>
      <c r="R499" s="60"/>
      <c r="S499" s="60"/>
      <c r="T499" s="60"/>
      <c r="U499" s="60"/>
      <c r="V499" s="60"/>
      <c r="W499" s="60"/>
      <c r="X499" s="60"/>
    </row>
    <row r="500">
      <c r="A500" s="15"/>
      <c r="B500" s="15"/>
      <c r="C500" s="15"/>
      <c r="D500" s="15"/>
      <c r="E500" s="15"/>
      <c r="F500" s="15" t="s">
        <v>3650</v>
      </c>
      <c r="G500" s="60"/>
      <c r="H500" s="60"/>
      <c r="I500" s="60"/>
      <c r="J500" s="60"/>
      <c r="K500" s="60"/>
      <c r="L500" s="60"/>
      <c r="M500" s="60"/>
      <c r="N500" s="60"/>
      <c r="O500" s="60"/>
      <c r="P500" s="60"/>
      <c r="Q500" s="60"/>
      <c r="R500" s="60"/>
      <c r="S500" s="60"/>
      <c r="T500" s="60"/>
      <c r="U500" s="60"/>
      <c r="V500" s="60"/>
      <c r="W500" s="60"/>
      <c r="X500" s="60"/>
    </row>
    <row r="501">
      <c r="A501" s="15"/>
      <c r="B501" s="15"/>
      <c r="C501" s="15"/>
      <c r="D501" s="15"/>
      <c r="E501" s="15"/>
      <c r="F501" s="15" t="s">
        <v>3650</v>
      </c>
      <c r="G501" s="60"/>
      <c r="H501" s="60"/>
      <c r="I501" s="60"/>
      <c r="J501" s="60"/>
      <c r="K501" s="60"/>
      <c r="L501" s="60"/>
      <c r="M501" s="60"/>
      <c r="N501" s="60"/>
      <c r="O501" s="60"/>
      <c r="P501" s="60"/>
      <c r="Q501" s="60"/>
      <c r="R501" s="60"/>
      <c r="S501" s="60"/>
      <c r="T501" s="60"/>
      <c r="U501" s="60"/>
      <c r="V501" s="60"/>
      <c r="W501" s="60"/>
      <c r="X501" s="60"/>
    </row>
    <row r="502">
      <c r="A502" s="15"/>
      <c r="B502" s="15"/>
      <c r="C502" s="15"/>
      <c r="D502" s="15"/>
      <c r="E502" s="15"/>
      <c r="F502" s="15" t="s">
        <v>3650</v>
      </c>
      <c r="G502" s="60"/>
      <c r="H502" s="60"/>
      <c r="I502" s="60"/>
      <c r="J502" s="60"/>
      <c r="K502" s="60"/>
      <c r="L502" s="60"/>
      <c r="M502" s="60"/>
      <c r="N502" s="60"/>
      <c r="O502" s="60"/>
      <c r="P502" s="60"/>
      <c r="Q502" s="60"/>
      <c r="R502" s="60"/>
      <c r="S502" s="60"/>
      <c r="T502" s="60"/>
      <c r="U502" s="60"/>
      <c r="V502" s="60"/>
      <c r="W502" s="60"/>
      <c r="X502" s="60"/>
    </row>
    <row r="503">
      <c r="A503" s="15"/>
      <c r="B503" s="15"/>
      <c r="C503" s="15"/>
      <c r="D503" s="15"/>
      <c r="E503" s="15"/>
      <c r="F503" s="15" t="s">
        <v>3650</v>
      </c>
      <c r="G503" s="60"/>
      <c r="H503" s="60"/>
      <c r="I503" s="60"/>
      <c r="J503" s="60"/>
      <c r="K503" s="60"/>
      <c r="L503" s="60"/>
      <c r="M503" s="60"/>
      <c r="N503" s="60"/>
      <c r="O503" s="60"/>
      <c r="P503" s="60"/>
      <c r="Q503" s="60"/>
      <c r="R503" s="60"/>
      <c r="S503" s="60"/>
      <c r="T503" s="60"/>
      <c r="U503" s="60"/>
      <c r="V503" s="60"/>
      <c r="W503" s="60"/>
      <c r="X503" s="60"/>
    </row>
    <row r="504">
      <c r="A504" s="15"/>
      <c r="B504" s="15"/>
      <c r="C504" s="15"/>
      <c r="D504" s="15"/>
      <c r="E504" s="15"/>
      <c r="F504" s="15" t="s">
        <v>3650</v>
      </c>
      <c r="G504" s="60"/>
      <c r="H504" s="60"/>
      <c r="I504" s="60"/>
      <c r="J504" s="60"/>
      <c r="K504" s="60"/>
      <c r="L504" s="60"/>
      <c r="M504" s="60"/>
      <c r="N504" s="60"/>
      <c r="O504" s="60"/>
      <c r="P504" s="60"/>
      <c r="Q504" s="60"/>
      <c r="R504" s="60"/>
      <c r="S504" s="60"/>
      <c r="T504" s="60"/>
      <c r="U504" s="60"/>
      <c r="V504" s="60"/>
      <c r="W504" s="60"/>
      <c r="X504" s="60"/>
    </row>
    <row r="505">
      <c r="A505" s="15"/>
      <c r="B505" s="15"/>
      <c r="C505" s="15"/>
      <c r="D505" s="15"/>
      <c r="E505" s="15"/>
      <c r="F505" s="15" t="s">
        <v>3650</v>
      </c>
      <c r="G505" s="60"/>
      <c r="H505" s="60"/>
      <c r="I505" s="60"/>
      <c r="J505" s="60"/>
      <c r="K505" s="60"/>
      <c r="L505" s="60"/>
      <c r="M505" s="60"/>
      <c r="N505" s="60"/>
      <c r="O505" s="60"/>
      <c r="P505" s="60"/>
      <c r="Q505" s="60"/>
      <c r="R505" s="60"/>
      <c r="S505" s="60"/>
      <c r="T505" s="60"/>
      <c r="U505" s="60"/>
      <c r="V505" s="60"/>
      <c r="W505" s="60"/>
      <c r="X505" s="60"/>
    </row>
    <row r="506">
      <c r="A506" s="15"/>
      <c r="B506" s="15"/>
      <c r="C506" s="15"/>
      <c r="D506" s="15"/>
      <c r="E506" s="15"/>
      <c r="F506" s="15" t="s">
        <v>3650</v>
      </c>
      <c r="G506" s="60"/>
      <c r="H506" s="60"/>
      <c r="I506" s="60"/>
      <c r="J506" s="60"/>
      <c r="K506" s="60"/>
      <c r="L506" s="60"/>
      <c r="M506" s="60"/>
      <c r="N506" s="60"/>
      <c r="O506" s="60"/>
      <c r="P506" s="60"/>
      <c r="Q506" s="60"/>
      <c r="R506" s="60"/>
      <c r="S506" s="60"/>
      <c r="T506" s="60"/>
      <c r="U506" s="60"/>
      <c r="V506" s="60"/>
      <c r="W506" s="60"/>
      <c r="X506" s="60"/>
    </row>
    <row r="507">
      <c r="A507" s="15"/>
      <c r="B507" s="15"/>
      <c r="C507" s="15"/>
      <c r="D507" s="15"/>
      <c r="E507" s="15"/>
      <c r="F507" s="15" t="s">
        <v>3650</v>
      </c>
      <c r="G507" s="60"/>
      <c r="H507" s="60"/>
      <c r="I507" s="60"/>
      <c r="J507" s="60"/>
      <c r="K507" s="60"/>
      <c r="L507" s="60"/>
      <c r="M507" s="60"/>
      <c r="N507" s="60"/>
      <c r="O507" s="60"/>
      <c r="P507" s="60"/>
      <c r="Q507" s="60"/>
      <c r="R507" s="60"/>
      <c r="S507" s="60"/>
      <c r="T507" s="60"/>
      <c r="U507" s="60"/>
      <c r="V507" s="60"/>
      <c r="W507" s="60"/>
      <c r="X507" s="60"/>
    </row>
    <row r="508">
      <c r="A508" s="15"/>
      <c r="B508" s="15"/>
      <c r="C508" s="15"/>
      <c r="D508" s="15"/>
      <c r="E508" s="15"/>
      <c r="F508" s="15" t="s">
        <v>3650</v>
      </c>
      <c r="G508" s="60"/>
      <c r="H508" s="60"/>
      <c r="I508" s="60"/>
      <c r="J508" s="60"/>
      <c r="K508" s="60"/>
      <c r="L508" s="60"/>
      <c r="M508" s="60"/>
      <c r="N508" s="60"/>
      <c r="O508" s="60"/>
      <c r="P508" s="60"/>
      <c r="Q508" s="60"/>
      <c r="R508" s="60"/>
      <c r="S508" s="60"/>
      <c r="T508" s="60"/>
      <c r="U508" s="60"/>
      <c r="V508" s="60"/>
      <c r="W508" s="60"/>
      <c r="X508" s="60"/>
    </row>
    <row r="509">
      <c r="A509" s="15"/>
      <c r="B509" s="15"/>
      <c r="C509" s="15"/>
      <c r="D509" s="15"/>
      <c r="E509" s="15"/>
      <c r="F509" s="15" t="s">
        <v>3650</v>
      </c>
      <c r="G509" s="60"/>
      <c r="H509" s="60"/>
      <c r="I509" s="60"/>
      <c r="J509" s="60"/>
      <c r="K509" s="60"/>
      <c r="L509" s="60"/>
      <c r="M509" s="60"/>
      <c r="N509" s="60"/>
      <c r="O509" s="60"/>
      <c r="P509" s="60"/>
      <c r="Q509" s="60"/>
      <c r="R509" s="60"/>
      <c r="S509" s="60"/>
      <c r="T509" s="60"/>
      <c r="U509" s="60"/>
      <c r="V509" s="60"/>
      <c r="W509" s="60"/>
      <c r="X509" s="60"/>
    </row>
    <row r="510">
      <c r="A510" s="15"/>
      <c r="B510" s="15"/>
      <c r="C510" s="15"/>
      <c r="D510" s="15"/>
      <c r="E510" s="15"/>
      <c r="F510" s="15" t="s">
        <v>3650</v>
      </c>
      <c r="G510" s="60"/>
      <c r="H510" s="60"/>
      <c r="I510" s="60"/>
      <c r="J510" s="60"/>
      <c r="K510" s="60"/>
      <c r="L510" s="60"/>
      <c r="M510" s="60"/>
      <c r="N510" s="60"/>
      <c r="O510" s="60"/>
      <c r="P510" s="60"/>
      <c r="Q510" s="60"/>
      <c r="R510" s="60"/>
      <c r="S510" s="60"/>
      <c r="T510" s="60"/>
      <c r="U510" s="60"/>
      <c r="V510" s="60"/>
      <c r="W510" s="60"/>
      <c r="X510" s="60"/>
    </row>
    <row r="511">
      <c r="A511" s="15"/>
      <c r="B511" s="15"/>
      <c r="C511" s="15"/>
      <c r="D511" s="15"/>
      <c r="E511" s="15"/>
      <c r="F511" s="15" t="s">
        <v>3650</v>
      </c>
      <c r="G511" s="60"/>
      <c r="H511" s="60"/>
      <c r="I511" s="60"/>
      <c r="J511" s="60"/>
      <c r="K511" s="60"/>
      <c r="L511" s="60"/>
      <c r="M511" s="60"/>
      <c r="N511" s="60"/>
      <c r="O511" s="60"/>
      <c r="P511" s="60"/>
      <c r="Q511" s="60"/>
      <c r="R511" s="60"/>
      <c r="S511" s="60"/>
      <c r="T511" s="60"/>
      <c r="U511" s="60"/>
      <c r="V511" s="60"/>
      <c r="W511" s="60"/>
      <c r="X511" s="60"/>
    </row>
    <row r="512">
      <c r="A512" s="15"/>
      <c r="B512" s="15"/>
      <c r="C512" s="15"/>
      <c r="D512" s="15"/>
      <c r="E512" s="15"/>
      <c r="F512" s="15" t="s">
        <v>3650</v>
      </c>
      <c r="G512" s="60"/>
      <c r="H512" s="60"/>
      <c r="I512" s="60"/>
      <c r="J512" s="60"/>
      <c r="K512" s="60"/>
      <c r="L512" s="60"/>
      <c r="M512" s="60"/>
      <c r="N512" s="60"/>
      <c r="O512" s="60"/>
      <c r="P512" s="60"/>
      <c r="Q512" s="60"/>
      <c r="R512" s="60"/>
      <c r="S512" s="60"/>
      <c r="T512" s="60"/>
      <c r="U512" s="60"/>
      <c r="V512" s="60"/>
      <c r="W512" s="60"/>
      <c r="X512" s="60"/>
    </row>
    <row r="513">
      <c r="A513" s="15"/>
      <c r="B513" s="15"/>
      <c r="C513" s="15"/>
      <c r="D513" s="15"/>
      <c r="E513" s="15"/>
      <c r="F513" s="15" t="s">
        <v>3650</v>
      </c>
      <c r="G513" s="60"/>
      <c r="H513" s="60"/>
      <c r="I513" s="60"/>
      <c r="J513" s="60"/>
      <c r="K513" s="60"/>
      <c r="L513" s="60"/>
      <c r="M513" s="60"/>
      <c r="N513" s="60"/>
      <c r="O513" s="60"/>
      <c r="P513" s="60"/>
      <c r="Q513" s="60"/>
      <c r="R513" s="60"/>
      <c r="S513" s="60"/>
      <c r="T513" s="60"/>
      <c r="U513" s="60"/>
      <c r="V513" s="60"/>
      <c r="W513" s="60"/>
      <c r="X513" s="60"/>
    </row>
    <row r="514">
      <c r="A514" s="15"/>
      <c r="B514" s="15"/>
      <c r="C514" s="15"/>
      <c r="D514" s="15"/>
      <c r="E514" s="15"/>
      <c r="F514" s="15" t="s">
        <v>3650</v>
      </c>
      <c r="G514" s="60"/>
      <c r="H514" s="60"/>
      <c r="I514" s="60"/>
      <c r="J514" s="60"/>
      <c r="K514" s="60"/>
      <c r="L514" s="60"/>
      <c r="M514" s="60"/>
      <c r="N514" s="60"/>
      <c r="O514" s="60"/>
      <c r="P514" s="60"/>
      <c r="Q514" s="60"/>
      <c r="R514" s="60"/>
      <c r="S514" s="60"/>
      <c r="T514" s="60"/>
      <c r="U514" s="60"/>
      <c r="V514" s="60"/>
      <c r="W514" s="60"/>
      <c r="X514" s="60"/>
    </row>
    <row r="515">
      <c r="A515" s="15"/>
      <c r="B515" s="15"/>
      <c r="C515" s="15"/>
      <c r="D515" s="15"/>
      <c r="E515" s="15"/>
      <c r="F515" s="15" t="s">
        <v>3650</v>
      </c>
      <c r="G515" s="60"/>
      <c r="H515" s="60"/>
      <c r="I515" s="60"/>
      <c r="J515" s="60"/>
      <c r="K515" s="60"/>
      <c r="L515" s="60"/>
      <c r="M515" s="60"/>
      <c r="N515" s="60"/>
      <c r="O515" s="60"/>
      <c r="P515" s="60"/>
      <c r="Q515" s="60"/>
      <c r="R515" s="60"/>
      <c r="S515" s="60"/>
      <c r="T515" s="60"/>
      <c r="U515" s="60"/>
      <c r="V515" s="60"/>
      <c r="W515" s="60"/>
      <c r="X515" s="60"/>
    </row>
    <row r="516">
      <c r="A516" s="15"/>
      <c r="B516" s="15"/>
      <c r="C516" s="15"/>
      <c r="D516" s="15"/>
      <c r="E516" s="15"/>
      <c r="F516" s="15" t="s">
        <v>3650</v>
      </c>
      <c r="G516" s="60"/>
      <c r="H516" s="60"/>
      <c r="I516" s="60"/>
      <c r="J516" s="60"/>
      <c r="K516" s="60"/>
      <c r="L516" s="60"/>
      <c r="M516" s="60"/>
      <c r="N516" s="60"/>
      <c r="O516" s="60"/>
      <c r="P516" s="60"/>
      <c r="Q516" s="60"/>
      <c r="R516" s="60"/>
      <c r="S516" s="60"/>
      <c r="T516" s="60"/>
      <c r="U516" s="60"/>
      <c r="V516" s="60"/>
      <c r="W516" s="60"/>
      <c r="X516" s="60"/>
    </row>
    <row r="517">
      <c r="A517" s="15"/>
      <c r="B517" s="15"/>
      <c r="C517" s="15"/>
      <c r="D517" s="15"/>
      <c r="E517" s="15"/>
      <c r="F517" s="15" t="s">
        <v>3650</v>
      </c>
      <c r="G517" s="60"/>
      <c r="H517" s="60"/>
      <c r="I517" s="60"/>
      <c r="J517" s="60"/>
      <c r="K517" s="60"/>
      <c r="L517" s="60"/>
      <c r="M517" s="60"/>
      <c r="N517" s="60"/>
      <c r="O517" s="60"/>
      <c r="P517" s="60"/>
      <c r="Q517" s="60"/>
      <c r="R517" s="60"/>
      <c r="S517" s="60"/>
      <c r="T517" s="60"/>
      <c r="U517" s="60"/>
      <c r="V517" s="60"/>
      <c r="W517" s="60"/>
      <c r="X517" s="60"/>
    </row>
    <row r="518">
      <c r="A518" s="15"/>
      <c r="B518" s="15"/>
      <c r="C518" s="15"/>
      <c r="D518" s="15"/>
      <c r="E518" s="15"/>
      <c r="F518" s="15" t="s">
        <v>3650</v>
      </c>
      <c r="G518" s="60"/>
      <c r="H518" s="60"/>
      <c r="I518" s="60"/>
      <c r="J518" s="60"/>
      <c r="K518" s="60"/>
      <c r="L518" s="60"/>
      <c r="M518" s="60"/>
      <c r="N518" s="60"/>
      <c r="O518" s="60"/>
      <c r="P518" s="60"/>
      <c r="Q518" s="60"/>
      <c r="R518" s="60"/>
      <c r="S518" s="60"/>
      <c r="T518" s="60"/>
      <c r="U518" s="60"/>
      <c r="V518" s="60"/>
      <c r="W518" s="60"/>
      <c r="X518" s="60"/>
    </row>
    <row r="519">
      <c r="A519" s="15"/>
      <c r="B519" s="15"/>
      <c r="C519" s="15"/>
      <c r="D519" s="15"/>
      <c r="E519" s="15"/>
      <c r="F519" s="15" t="s">
        <v>3650</v>
      </c>
      <c r="G519" s="60"/>
      <c r="H519" s="60"/>
      <c r="I519" s="60"/>
      <c r="J519" s="60"/>
      <c r="K519" s="60"/>
      <c r="L519" s="60"/>
      <c r="M519" s="60"/>
      <c r="N519" s="60"/>
      <c r="O519" s="60"/>
      <c r="P519" s="60"/>
      <c r="Q519" s="60"/>
      <c r="R519" s="60"/>
      <c r="S519" s="60"/>
      <c r="T519" s="60"/>
      <c r="U519" s="60"/>
      <c r="V519" s="60"/>
      <c r="W519" s="60"/>
      <c r="X519" s="60"/>
    </row>
    <row r="520">
      <c r="A520" s="15"/>
      <c r="B520" s="15"/>
      <c r="C520" s="15"/>
      <c r="D520" s="15"/>
      <c r="E520" s="15"/>
      <c r="F520" s="15" t="s">
        <v>3650</v>
      </c>
      <c r="G520" s="60"/>
      <c r="H520" s="60"/>
      <c r="I520" s="60"/>
      <c r="J520" s="60"/>
      <c r="K520" s="60"/>
      <c r="L520" s="60"/>
      <c r="M520" s="60"/>
      <c r="N520" s="60"/>
      <c r="O520" s="60"/>
      <c r="P520" s="60"/>
      <c r="Q520" s="60"/>
      <c r="R520" s="60"/>
      <c r="S520" s="60"/>
      <c r="T520" s="60"/>
      <c r="U520" s="60"/>
      <c r="V520" s="60"/>
      <c r="W520" s="60"/>
      <c r="X520" s="60"/>
    </row>
    <row r="521">
      <c r="A521" s="15"/>
      <c r="B521" s="15"/>
      <c r="C521" s="15"/>
      <c r="D521" s="15"/>
      <c r="E521" s="15"/>
      <c r="F521" s="15" t="s">
        <v>3650</v>
      </c>
      <c r="G521" s="60"/>
      <c r="H521" s="60"/>
      <c r="I521" s="60"/>
      <c r="J521" s="60"/>
      <c r="K521" s="60"/>
      <c r="L521" s="60"/>
      <c r="M521" s="60"/>
      <c r="N521" s="60"/>
      <c r="O521" s="60"/>
      <c r="P521" s="60"/>
      <c r="Q521" s="60"/>
      <c r="R521" s="60"/>
      <c r="S521" s="60"/>
      <c r="T521" s="60"/>
      <c r="U521" s="60"/>
      <c r="V521" s="60"/>
      <c r="W521" s="60"/>
      <c r="X521" s="60"/>
    </row>
    <row r="522">
      <c r="A522" s="15"/>
      <c r="B522" s="15"/>
      <c r="C522" s="15"/>
      <c r="D522" s="15"/>
      <c r="E522" s="15"/>
      <c r="F522" s="15" t="s">
        <v>3650</v>
      </c>
      <c r="G522" s="60"/>
      <c r="H522" s="60"/>
      <c r="I522" s="60"/>
      <c r="J522" s="60"/>
      <c r="K522" s="60"/>
      <c r="L522" s="60"/>
      <c r="M522" s="60"/>
      <c r="N522" s="60"/>
      <c r="O522" s="60"/>
      <c r="P522" s="60"/>
      <c r="Q522" s="60"/>
      <c r="R522" s="60"/>
      <c r="S522" s="60"/>
      <c r="T522" s="60"/>
      <c r="U522" s="60"/>
      <c r="V522" s="60"/>
      <c r="W522" s="60"/>
      <c r="X522" s="60"/>
    </row>
    <row r="523">
      <c r="A523" s="15"/>
      <c r="B523" s="15"/>
      <c r="C523" s="15"/>
      <c r="D523" s="15"/>
      <c r="E523" s="15"/>
      <c r="F523" s="15" t="s">
        <v>3650</v>
      </c>
      <c r="G523" s="60"/>
      <c r="H523" s="60"/>
      <c r="I523" s="60"/>
      <c r="J523" s="60"/>
      <c r="K523" s="60"/>
      <c r="L523" s="60"/>
      <c r="M523" s="60"/>
      <c r="N523" s="60"/>
      <c r="O523" s="60"/>
      <c r="P523" s="60"/>
      <c r="Q523" s="60"/>
      <c r="R523" s="60"/>
      <c r="S523" s="60"/>
      <c r="T523" s="60"/>
      <c r="U523" s="60"/>
      <c r="V523" s="60"/>
      <c r="W523" s="60"/>
      <c r="X523" s="60"/>
    </row>
    <row r="524">
      <c r="A524" s="15"/>
      <c r="B524" s="15"/>
      <c r="C524" s="15"/>
      <c r="D524" s="15"/>
      <c r="E524" s="15"/>
      <c r="F524" s="15" t="s">
        <v>3650</v>
      </c>
      <c r="G524" s="60"/>
      <c r="H524" s="60"/>
      <c r="I524" s="60"/>
      <c r="J524" s="60"/>
      <c r="K524" s="60"/>
      <c r="L524" s="60"/>
      <c r="M524" s="60"/>
      <c r="N524" s="60"/>
      <c r="O524" s="60"/>
      <c r="P524" s="60"/>
      <c r="Q524" s="60"/>
      <c r="R524" s="60"/>
      <c r="S524" s="60"/>
      <c r="T524" s="60"/>
      <c r="U524" s="60"/>
      <c r="V524" s="60"/>
      <c r="W524" s="60"/>
      <c r="X524" s="60"/>
    </row>
    <row r="525">
      <c r="A525" s="15"/>
      <c r="B525" s="15"/>
      <c r="C525" s="15"/>
      <c r="D525" s="15"/>
      <c r="E525" s="15"/>
      <c r="F525" s="15" t="s">
        <v>3650</v>
      </c>
      <c r="G525" s="60"/>
      <c r="H525" s="60"/>
      <c r="I525" s="60"/>
      <c r="J525" s="60"/>
      <c r="K525" s="60"/>
      <c r="L525" s="60"/>
      <c r="M525" s="60"/>
      <c r="N525" s="60"/>
      <c r="O525" s="60"/>
      <c r="P525" s="60"/>
      <c r="Q525" s="60"/>
      <c r="R525" s="60"/>
      <c r="S525" s="60"/>
      <c r="T525" s="60"/>
      <c r="U525" s="60"/>
      <c r="V525" s="60"/>
      <c r="W525" s="60"/>
      <c r="X525" s="60"/>
    </row>
    <row r="526">
      <c r="A526" s="15"/>
      <c r="B526" s="15"/>
      <c r="C526" s="15"/>
      <c r="D526" s="15"/>
      <c r="E526" s="15"/>
      <c r="F526" s="15" t="s">
        <v>3650</v>
      </c>
      <c r="G526" s="60"/>
      <c r="H526" s="60"/>
      <c r="I526" s="60"/>
      <c r="J526" s="60"/>
      <c r="K526" s="60"/>
      <c r="L526" s="60"/>
      <c r="M526" s="60"/>
      <c r="N526" s="60"/>
      <c r="O526" s="60"/>
      <c r="P526" s="60"/>
      <c r="Q526" s="60"/>
      <c r="R526" s="60"/>
      <c r="S526" s="60"/>
      <c r="T526" s="60"/>
      <c r="U526" s="60"/>
      <c r="V526" s="60"/>
      <c r="W526" s="60"/>
      <c r="X526" s="60"/>
    </row>
    <row r="527">
      <c r="A527" s="15"/>
      <c r="B527" s="15"/>
      <c r="C527" s="15"/>
      <c r="D527" s="15"/>
      <c r="E527" s="15"/>
      <c r="F527" s="15" t="s">
        <v>3650</v>
      </c>
      <c r="G527" s="60"/>
      <c r="H527" s="60"/>
      <c r="I527" s="60"/>
      <c r="J527" s="60"/>
      <c r="K527" s="60"/>
      <c r="L527" s="60"/>
      <c r="M527" s="60"/>
      <c r="N527" s="60"/>
      <c r="O527" s="60"/>
      <c r="P527" s="60"/>
      <c r="Q527" s="60"/>
      <c r="R527" s="60"/>
      <c r="S527" s="60"/>
      <c r="T527" s="60"/>
      <c r="U527" s="60"/>
      <c r="V527" s="60"/>
      <c r="W527" s="60"/>
      <c r="X527" s="60"/>
    </row>
    <row r="528">
      <c r="A528" s="15"/>
      <c r="B528" s="15"/>
      <c r="C528" s="15"/>
      <c r="D528" s="15"/>
      <c r="E528" s="15"/>
      <c r="F528" s="15" t="s">
        <v>3650</v>
      </c>
      <c r="G528" s="60"/>
      <c r="H528" s="60"/>
      <c r="I528" s="60"/>
      <c r="J528" s="60"/>
      <c r="K528" s="60"/>
      <c r="L528" s="60"/>
      <c r="M528" s="60"/>
      <c r="N528" s="60"/>
      <c r="O528" s="60"/>
      <c r="P528" s="60"/>
      <c r="Q528" s="60"/>
      <c r="R528" s="60"/>
      <c r="S528" s="60"/>
      <c r="T528" s="60"/>
      <c r="U528" s="60"/>
      <c r="V528" s="60"/>
      <c r="W528" s="60"/>
      <c r="X528" s="60"/>
    </row>
    <row r="529">
      <c r="A529" s="15"/>
      <c r="B529" s="15"/>
      <c r="C529" s="15"/>
      <c r="D529" s="15"/>
      <c r="E529" s="15"/>
      <c r="F529" s="15" t="s">
        <v>3650</v>
      </c>
      <c r="G529" s="60"/>
      <c r="H529" s="60"/>
      <c r="I529" s="60"/>
      <c r="J529" s="60"/>
      <c r="K529" s="60"/>
      <c r="L529" s="60"/>
      <c r="M529" s="60"/>
      <c r="N529" s="60"/>
      <c r="O529" s="60"/>
      <c r="P529" s="60"/>
      <c r="Q529" s="60"/>
      <c r="R529" s="60"/>
      <c r="S529" s="60"/>
      <c r="T529" s="60"/>
      <c r="U529" s="60"/>
      <c r="V529" s="60"/>
      <c r="W529" s="60"/>
      <c r="X529" s="60"/>
    </row>
    <row r="530">
      <c r="A530" s="15"/>
      <c r="B530" s="15"/>
      <c r="C530" s="15"/>
      <c r="D530" s="15"/>
      <c r="E530" s="15"/>
      <c r="F530" s="15" t="s">
        <v>3650</v>
      </c>
      <c r="G530" s="60"/>
      <c r="H530" s="60"/>
      <c r="I530" s="60"/>
      <c r="J530" s="60"/>
      <c r="K530" s="60"/>
      <c r="L530" s="60"/>
      <c r="M530" s="60"/>
      <c r="N530" s="60"/>
      <c r="O530" s="60"/>
      <c r="P530" s="60"/>
      <c r="Q530" s="60"/>
      <c r="R530" s="60"/>
      <c r="S530" s="60"/>
      <c r="T530" s="60"/>
      <c r="U530" s="60"/>
      <c r="V530" s="60"/>
      <c r="W530" s="60"/>
      <c r="X530" s="60"/>
    </row>
    <row r="531">
      <c r="A531" s="15"/>
      <c r="B531" s="15"/>
      <c r="C531" s="15"/>
      <c r="D531" s="15"/>
      <c r="E531" s="15"/>
      <c r="F531" s="15" t="s">
        <v>3650</v>
      </c>
      <c r="G531" s="60"/>
      <c r="H531" s="60"/>
      <c r="I531" s="60"/>
      <c r="J531" s="60"/>
      <c r="K531" s="60"/>
      <c r="L531" s="60"/>
      <c r="M531" s="60"/>
      <c r="N531" s="60"/>
      <c r="O531" s="60"/>
      <c r="P531" s="60"/>
      <c r="Q531" s="60"/>
      <c r="R531" s="60"/>
      <c r="S531" s="60"/>
      <c r="T531" s="60"/>
      <c r="U531" s="60"/>
      <c r="V531" s="60"/>
      <c r="W531" s="60"/>
      <c r="X531" s="60"/>
    </row>
    <row r="532">
      <c r="A532" s="15"/>
      <c r="B532" s="15"/>
      <c r="C532" s="15"/>
      <c r="D532" s="15"/>
      <c r="E532" s="15"/>
      <c r="F532" s="15" t="s">
        <v>3650</v>
      </c>
      <c r="G532" s="60"/>
      <c r="H532" s="60"/>
      <c r="I532" s="60"/>
      <c r="J532" s="60"/>
      <c r="K532" s="60"/>
      <c r="L532" s="60"/>
      <c r="M532" s="60"/>
      <c r="N532" s="60"/>
      <c r="O532" s="60"/>
      <c r="P532" s="60"/>
      <c r="Q532" s="60"/>
      <c r="R532" s="60"/>
      <c r="S532" s="60"/>
      <c r="T532" s="60"/>
      <c r="U532" s="60"/>
      <c r="V532" s="60"/>
      <c r="W532" s="60"/>
      <c r="X532" s="60"/>
    </row>
    <row r="533">
      <c r="A533" s="15"/>
      <c r="B533" s="15"/>
      <c r="C533" s="15"/>
      <c r="D533" s="15"/>
      <c r="E533" s="15"/>
      <c r="F533" s="15" t="s">
        <v>3650</v>
      </c>
      <c r="G533" s="60"/>
      <c r="H533" s="60"/>
      <c r="I533" s="60"/>
      <c r="J533" s="60"/>
      <c r="K533" s="60"/>
      <c r="L533" s="60"/>
      <c r="M533" s="60"/>
      <c r="N533" s="60"/>
      <c r="O533" s="60"/>
      <c r="P533" s="60"/>
      <c r="Q533" s="60"/>
      <c r="R533" s="60"/>
      <c r="S533" s="60"/>
      <c r="T533" s="60"/>
      <c r="U533" s="60"/>
      <c r="V533" s="60"/>
      <c r="W533" s="60"/>
      <c r="X533" s="60"/>
    </row>
    <row r="534">
      <c r="A534" s="15"/>
      <c r="B534" s="15"/>
      <c r="C534" s="15"/>
      <c r="D534" s="15"/>
      <c r="E534" s="15"/>
      <c r="F534" s="15" t="s">
        <v>3650</v>
      </c>
      <c r="G534" s="60"/>
      <c r="H534" s="60"/>
      <c r="I534" s="60"/>
      <c r="J534" s="60"/>
      <c r="K534" s="60"/>
      <c r="L534" s="60"/>
      <c r="M534" s="60"/>
      <c r="N534" s="60"/>
      <c r="O534" s="60"/>
      <c r="P534" s="60"/>
      <c r="Q534" s="60"/>
      <c r="R534" s="60"/>
      <c r="S534" s="60"/>
      <c r="T534" s="60"/>
      <c r="U534" s="60"/>
      <c r="V534" s="60"/>
      <c r="W534" s="60"/>
      <c r="X534" s="60"/>
    </row>
    <row r="535">
      <c r="A535" s="15"/>
      <c r="B535" s="15"/>
      <c r="C535" s="15"/>
      <c r="D535" s="15"/>
      <c r="E535" s="15"/>
      <c r="F535" s="15" t="s">
        <v>3650</v>
      </c>
      <c r="G535" s="60"/>
      <c r="H535" s="60"/>
      <c r="I535" s="60"/>
      <c r="J535" s="60"/>
      <c r="K535" s="60"/>
      <c r="L535" s="60"/>
      <c r="M535" s="60"/>
      <c r="N535" s="60"/>
      <c r="O535" s="60"/>
      <c r="P535" s="60"/>
      <c r="Q535" s="60"/>
      <c r="R535" s="60"/>
      <c r="S535" s="60"/>
      <c r="T535" s="60"/>
      <c r="U535" s="60"/>
      <c r="V535" s="60"/>
      <c r="W535" s="60"/>
      <c r="X535" s="60"/>
    </row>
    <row r="536">
      <c r="A536" s="15"/>
      <c r="B536" s="15"/>
      <c r="C536" s="15"/>
      <c r="D536" s="15"/>
      <c r="E536" s="15"/>
      <c r="F536" s="15" t="s">
        <v>3650</v>
      </c>
      <c r="G536" s="60"/>
      <c r="H536" s="60"/>
      <c r="I536" s="60"/>
      <c r="J536" s="60"/>
      <c r="K536" s="60"/>
      <c r="L536" s="60"/>
      <c r="M536" s="60"/>
      <c r="N536" s="60"/>
      <c r="O536" s="60"/>
      <c r="P536" s="60"/>
      <c r="Q536" s="60"/>
      <c r="R536" s="60"/>
      <c r="S536" s="60"/>
      <c r="T536" s="60"/>
      <c r="U536" s="60"/>
      <c r="V536" s="60"/>
      <c r="W536" s="60"/>
      <c r="X536" s="60"/>
    </row>
    <row r="537">
      <c r="A537" s="15"/>
      <c r="B537" s="15"/>
      <c r="C537" s="15"/>
      <c r="D537" s="15"/>
      <c r="E537" s="15"/>
      <c r="F537" s="15" t="s">
        <v>3650</v>
      </c>
      <c r="G537" s="60"/>
      <c r="H537" s="60"/>
      <c r="I537" s="60"/>
      <c r="J537" s="60"/>
      <c r="K537" s="60"/>
      <c r="L537" s="60"/>
      <c r="M537" s="60"/>
      <c r="N537" s="60"/>
      <c r="O537" s="60"/>
      <c r="P537" s="60"/>
      <c r="Q537" s="60"/>
      <c r="R537" s="60"/>
      <c r="S537" s="60"/>
      <c r="T537" s="60"/>
      <c r="U537" s="60"/>
      <c r="V537" s="60"/>
      <c r="W537" s="60"/>
      <c r="X537" s="60"/>
    </row>
    <row r="538">
      <c r="A538" s="15"/>
      <c r="B538" s="15"/>
      <c r="C538" s="15"/>
      <c r="D538" s="15"/>
      <c r="E538" s="15"/>
      <c r="F538" s="15" t="s">
        <v>3650</v>
      </c>
      <c r="G538" s="60"/>
      <c r="H538" s="60"/>
      <c r="I538" s="60"/>
      <c r="J538" s="60"/>
      <c r="K538" s="60"/>
      <c r="L538" s="60"/>
      <c r="M538" s="60"/>
      <c r="N538" s="60"/>
      <c r="O538" s="60"/>
      <c r="P538" s="60"/>
      <c r="Q538" s="60"/>
      <c r="R538" s="60"/>
      <c r="S538" s="60"/>
      <c r="T538" s="60"/>
      <c r="U538" s="60"/>
      <c r="V538" s="60"/>
      <c r="W538" s="60"/>
      <c r="X538" s="60"/>
    </row>
    <row r="539">
      <c r="A539" s="15"/>
      <c r="B539" s="15"/>
      <c r="C539" s="15"/>
      <c r="D539" s="15"/>
      <c r="E539" s="15"/>
      <c r="F539" s="15" t="s">
        <v>3650</v>
      </c>
      <c r="G539" s="60"/>
      <c r="H539" s="60"/>
      <c r="I539" s="60"/>
      <c r="J539" s="60"/>
      <c r="K539" s="60"/>
      <c r="L539" s="60"/>
      <c r="M539" s="60"/>
      <c r="N539" s="60"/>
      <c r="O539" s="60"/>
      <c r="P539" s="60"/>
      <c r="Q539" s="60"/>
      <c r="R539" s="60"/>
      <c r="S539" s="60"/>
      <c r="T539" s="60"/>
      <c r="U539" s="60"/>
      <c r="V539" s="60"/>
      <c r="W539" s="60"/>
      <c r="X539" s="60"/>
    </row>
    <row r="540">
      <c r="A540" s="15"/>
      <c r="B540" s="15"/>
      <c r="C540" s="15"/>
      <c r="D540" s="15"/>
      <c r="E540" s="15"/>
      <c r="F540" s="15" t="s">
        <v>3650</v>
      </c>
      <c r="G540" s="60"/>
      <c r="H540" s="60"/>
      <c r="I540" s="60"/>
      <c r="J540" s="60"/>
      <c r="K540" s="60"/>
      <c r="L540" s="60"/>
      <c r="M540" s="60"/>
      <c r="N540" s="60"/>
      <c r="O540" s="60"/>
      <c r="P540" s="60"/>
      <c r="Q540" s="60"/>
      <c r="R540" s="60"/>
      <c r="S540" s="60"/>
      <c r="T540" s="60"/>
      <c r="U540" s="60"/>
      <c r="V540" s="60"/>
      <c r="W540" s="60"/>
      <c r="X540" s="60"/>
    </row>
    <row r="541">
      <c r="A541" s="15"/>
      <c r="B541" s="15"/>
      <c r="C541" s="15"/>
      <c r="D541" s="15"/>
      <c r="E541" s="15"/>
      <c r="F541" s="15" t="s">
        <v>3650</v>
      </c>
      <c r="G541" s="60"/>
      <c r="H541" s="60"/>
      <c r="I541" s="60"/>
      <c r="J541" s="60"/>
      <c r="K541" s="60"/>
      <c r="L541" s="60"/>
      <c r="M541" s="60"/>
      <c r="N541" s="60"/>
      <c r="O541" s="60"/>
      <c r="P541" s="60"/>
      <c r="Q541" s="60"/>
      <c r="R541" s="60"/>
      <c r="S541" s="60"/>
      <c r="T541" s="60"/>
      <c r="U541" s="60"/>
      <c r="V541" s="60"/>
      <c r="W541" s="60"/>
      <c r="X541" s="60"/>
    </row>
    <row r="542">
      <c r="A542" s="15"/>
      <c r="B542" s="15"/>
      <c r="C542" s="15"/>
      <c r="D542" s="15"/>
      <c r="E542" s="15"/>
      <c r="F542" s="15" t="s">
        <v>3650</v>
      </c>
      <c r="G542" s="60"/>
      <c r="H542" s="60"/>
      <c r="I542" s="60"/>
      <c r="J542" s="60"/>
      <c r="K542" s="60"/>
      <c r="L542" s="60"/>
      <c r="M542" s="60"/>
      <c r="N542" s="60"/>
      <c r="O542" s="60"/>
      <c r="P542" s="60"/>
      <c r="Q542" s="60"/>
      <c r="R542" s="60"/>
      <c r="S542" s="60"/>
      <c r="T542" s="60"/>
      <c r="U542" s="60"/>
      <c r="V542" s="60"/>
      <c r="W542" s="60"/>
      <c r="X542" s="60"/>
    </row>
    <row r="543">
      <c r="A543" s="15"/>
      <c r="B543" s="15"/>
      <c r="C543" s="15"/>
      <c r="D543" s="15"/>
      <c r="E543" s="15"/>
      <c r="F543" s="15" t="s">
        <v>3650</v>
      </c>
      <c r="G543" s="60"/>
      <c r="H543" s="60"/>
      <c r="I543" s="60"/>
      <c r="J543" s="60"/>
      <c r="K543" s="60"/>
      <c r="L543" s="60"/>
      <c r="M543" s="60"/>
      <c r="N543" s="60"/>
      <c r="O543" s="60"/>
      <c r="P543" s="60"/>
      <c r="Q543" s="60"/>
      <c r="R543" s="60"/>
      <c r="S543" s="60"/>
      <c r="T543" s="60"/>
      <c r="U543" s="60"/>
      <c r="V543" s="60"/>
      <c r="W543" s="60"/>
      <c r="X543" s="60"/>
    </row>
    <row r="544">
      <c r="A544" s="15"/>
      <c r="B544" s="15"/>
      <c r="C544" s="15"/>
      <c r="D544" s="15"/>
      <c r="E544" s="15"/>
      <c r="F544" s="15" t="s">
        <v>3650</v>
      </c>
      <c r="G544" s="60"/>
      <c r="H544" s="60"/>
      <c r="I544" s="60"/>
      <c r="J544" s="60"/>
      <c r="K544" s="60"/>
      <c r="L544" s="60"/>
      <c r="M544" s="60"/>
      <c r="N544" s="60"/>
      <c r="O544" s="60"/>
      <c r="P544" s="60"/>
      <c r="Q544" s="60"/>
      <c r="R544" s="60"/>
      <c r="S544" s="60"/>
      <c r="T544" s="60"/>
      <c r="U544" s="60"/>
      <c r="V544" s="60"/>
      <c r="W544" s="60"/>
      <c r="X544" s="60"/>
    </row>
    <row r="545">
      <c r="A545" s="15"/>
      <c r="B545" s="15"/>
      <c r="C545" s="15"/>
      <c r="D545" s="15"/>
      <c r="E545" s="15"/>
      <c r="F545" s="15" t="s">
        <v>3650</v>
      </c>
      <c r="G545" s="60"/>
      <c r="H545" s="60"/>
      <c r="I545" s="60"/>
      <c r="J545" s="60"/>
      <c r="K545" s="60"/>
      <c r="L545" s="60"/>
      <c r="M545" s="60"/>
      <c r="N545" s="60"/>
      <c r="O545" s="60"/>
      <c r="P545" s="60"/>
      <c r="Q545" s="60"/>
      <c r="R545" s="60"/>
      <c r="S545" s="60"/>
      <c r="T545" s="60"/>
      <c r="U545" s="60"/>
      <c r="V545" s="60"/>
      <c r="W545" s="60"/>
      <c r="X545" s="60"/>
    </row>
    <row r="546">
      <c r="A546" s="15"/>
      <c r="B546" s="15"/>
      <c r="C546" s="15"/>
      <c r="D546" s="15"/>
      <c r="E546" s="15"/>
      <c r="F546" s="15" t="s">
        <v>3650</v>
      </c>
      <c r="G546" s="60"/>
      <c r="H546" s="60"/>
      <c r="I546" s="60"/>
      <c r="J546" s="60"/>
      <c r="K546" s="60"/>
      <c r="L546" s="60"/>
      <c r="M546" s="60"/>
      <c r="N546" s="60"/>
      <c r="O546" s="60"/>
      <c r="P546" s="60"/>
      <c r="Q546" s="60"/>
      <c r="R546" s="60"/>
      <c r="S546" s="60"/>
      <c r="T546" s="60"/>
      <c r="U546" s="60"/>
      <c r="V546" s="60"/>
      <c r="W546" s="60"/>
      <c r="X546" s="60"/>
    </row>
    <row r="547">
      <c r="A547" s="15"/>
      <c r="B547" s="15"/>
      <c r="C547" s="15"/>
      <c r="D547" s="15"/>
      <c r="E547" s="15"/>
      <c r="F547" s="15" t="s">
        <v>3650</v>
      </c>
      <c r="G547" s="60"/>
      <c r="H547" s="60"/>
      <c r="I547" s="60"/>
      <c r="J547" s="60"/>
      <c r="K547" s="60"/>
      <c r="L547" s="60"/>
      <c r="M547" s="60"/>
      <c r="N547" s="60"/>
      <c r="O547" s="60"/>
      <c r="P547" s="60"/>
      <c r="Q547" s="60"/>
      <c r="R547" s="60"/>
      <c r="S547" s="60"/>
      <c r="T547" s="60"/>
      <c r="U547" s="60"/>
      <c r="V547" s="60"/>
      <c r="W547" s="60"/>
      <c r="X547" s="60"/>
    </row>
    <row r="548">
      <c r="A548" s="15"/>
      <c r="B548" s="15"/>
      <c r="C548" s="15"/>
      <c r="D548" s="15"/>
      <c r="E548" s="15"/>
      <c r="F548" s="15" t="s">
        <v>3650</v>
      </c>
      <c r="G548" s="60"/>
      <c r="H548" s="60"/>
      <c r="I548" s="60"/>
      <c r="J548" s="60"/>
      <c r="K548" s="60"/>
      <c r="L548" s="60"/>
      <c r="M548" s="60"/>
      <c r="N548" s="60"/>
      <c r="O548" s="60"/>
      <c r="P548" s="60"/>
      <c r="Q548" s="60"/>
      <c r="R548" s="60"/>
      <c r="S548" s="60"/>
      <c r="T548" s="60"/>
      <c r="U548" s="60"/>
      <c r="V548" s="60"/>
      <c r="W548" s="60"/>
      <c r="X548" s="60"/>
    </row>
    <row r="549">
      <c r="A549" s="15"/>
      <c r="B549" s="15"/>
      <c r="C549" s="15"/>
      <c r="D549" s="15"/>
      <c r="E549" s="15"/>
      <c r="F549" s="15" t="s">
        <v>3650</v>
      </c>
      <c r="G549" s="60"/>
      <c r="H549" s="60"/>
      <c r="I549" s="60"/>
      <c r="J549" s="60"/>
      <c r="K549" s="60"/>
      <c r="L549" s="60"/>
      <c r="M549" s="60"/>
      <c r="N549" s="60"/>
      <c r="O549" s="60"/>
      <c r="P549" s="60"/>
      <c r="Q549" s="60"/>
      <c r="R549" s="60"/>
      <c r="S549" s="60"/>
      <c r="T549" s="60"/>
      <c r="U549" s="60"/>
      <c r="V549" s="60"/>
      <c r="W549" s="60"/>
      <c r="X549" s="60"/>
    </row>
    <row r="550">
      <c r="A550" s="15"/>
      <c r="B550" s="15"/>
      <c r="C550" s="15"/>
      <c r="D550" s="15"/>
      <c r="E550" s="15"/>
      <c r="F550" s="15" t="s">
        <v>3650</v>
      </c>
      <c r="G550" s="60"/>
      <c r="H550" s="60"/>
      <c r="I550" s="60"/>
      <c r="J550" s="60"/>
      <c r="K550" s="60"/>
      <c r="L550" s="60"/>
      <c r="M550" s="60"/>
      <c r="N550" s="60"/>
      <c r="O550" s="60"/>
      <c r="P550" s="60"/>
      <c r="Q550" s="60"/>
      <c r="R550" s="60"/>
      <c r="S550" s="60"/>
      <c r="T550" s="60"/>
      <c r="U550" s="60"/>
      <c r="V550" s="60"/>
      <c r="W550" s="60"/>
      <c r="X550" s="60"/>
    </row>
    <row r="551">
      <c r="A551" s="15"/>
      <c r="B551" s="15"/>
      <c r="C551" s="15"/>
      <c r="D551" s="15"/>
      <c r="E551" s="15"/>
      <c r="F551" s="15" t="s">
        <v>3650</v>
      </c>
      <c r="G551" s="60"/>
      <c r="H551" s="60"/>
      <c r="I551" s="60"/>
      <c r="J551" s="60"/>
      <c r="K551" s="60"/>
      <c r="L551" s="60"/>
      <c r="M551" s="60"/>
      <c r="N551" s="60"/>
      <c r="O551" s="60"/>
      <c r="P551" s="60"/>
      <c r="Q551" s="60"/>
      <c r="R551" s="60"/>
      <c r="S551" s="60"/>
      <c r="T551" s="60"/>
      <c r="U551" s="60"/>
      <c r="V551" s="60"/>
      <c r="W551" s="60"/>
      <c r="X551" s="60"/>
    </row>
    <row r="552">
      <c r="A552" s="15"/>
      <c r="B552" s="15"/>
      <c r="C552" s="15"/>
      <c r="D552" s="15"/>
      <c r="E552" s="15"/>
      <c r="F552" s="15" t="s">
        <v>3650</v>
      </c>
      <c r="G552" s="60"/>
      <c r="H552" s="60"/>
      <c r="I552" s="60"/>
      <c r="J552" s="60"/>
      <c r="K552" s="60"/>
      <c r="L552" s="60"/>
      <c r="M552" s="60"/>
      <c r="N552" s="60"/>
      <c r="O552" s="60"/>
      <c r="P552" s="60"/>
      <c r="Q552" s="60"/>
      <c r="R552" s="60"/>
      <c r="S552" s="60"/>
      <c r="T552" s="60"/>
      <c r="U552" s="60"/>
      <c r="V552" s="60"/>
      <c r="W552" s="60"/>
      <c r="X552" s="60"/>
    </row>
    <row r="553">
      <c r="A553" s="15"/>
      <c r="B553" s="15"/>
      <c r="C553" s="15"/>
      <c r="D553" s="15"/>
      <c r="E553" s="15"/>
      <c r="F553" s="15" t="s">
        <v>3650</v>
      </c>
      <c r="G553" s="60"/>
      <c r="H553" s="60"/>
      <c r="I553" s="60"/>
      <c r="J553" s="60"/>
      <c r="K553" s="60"/>
      <c r="L553" s="60"/>
      <c r="M553" s="60"/>
      <c r="N553" s="60"/>
      <c r="O553" s="60"/>
      <c r="P553" s="60"/>
      <c r="Q553" s="60"/>
      <c r="R553" s="60"/>
      <c r="S553" s="60"/>
      <c r="T553" s="60"/>
      <c r="U553" s="60"/>
      <c r="V553" s="60"/>
      <c r="W553" s="60"/>
      <c r="X553" s="60"/>
    </row>
    <row r="554">
      <c r="A554" s="15"/>
      <c r="B554" s="15"/>
      <c r="C554" s="15"/>
      <c r="D554" s="15"/>
      <c r="E554" s="15"/>
      <c r="F554" s="15" t="s">
        <v>3650</v>
      </c>
      <c r="G554" s="60"/>
      <c r="H554" s="60"/>
      <c r="I554" s="60"/>
      <c r="J554" s="60"/>
      <c r="K554" s="60"/>
      <c r="L554" s="60"/>
      <c r="M554" s="60"/>
      <c r="N554" s="60"/>
      <c r="O554" s="60"/>
      <c r="P554" s="60"/>
      <c r="Q554" s="60"/>
      <c r="R554" s="60"/>
      <c r="S554" s="60"/>
      <c r="T554" s="60"/>
      <c r="U554" s="60"/>
      <c r="V554" s="60"/>
      <c r="W554" s="60"/>
      <c r="X554" s="60"/>
    </row>
    <row r="555">
      <c r="A555" s="15"/>
      <c r="B555" s="15"/>
      <c r="C555" s="15"/>
      <c r="D555" s="15"/>
      <c r="E555" s="15"/>
      <c r="F555" s="15" t="s">
        <v>3650</v>
      </c>
      <c r="G555" s="60"/>
      <c r="H555" s="60"/>
      <c r="I555" s="60"/>
      <c r="J555" s="60"/>
      <c r="K555" s="60"/>
      <c r="L555" s="60"/>
      <c r="M555" s="60"/>
      <c r="N555" s="60"/>
      <c r="O555" s="60"/>
      <c r="P555" s="60"/>
      <c r="Q555" s="60"/>
      <c r="R555" s="60"/>
      <c r="S555" s="60"/>
      <c r="T555" s="60"/>
      <c r="U555" s="60"/>
      <c r="V555" s="60"/>
      <c r="W555" s="60"/>
      <c r="X555" s="60"/>
    </row>
    <row r="556">
      <c r="A556" s="15"/>
      <c r="B556" s="15"/>
      <c r="C556" s="15"/>
      <c r="D556" s="15"/>
      <c r="E556" s="15"/>
      <c r="F556" s="15" t="s">
        <v>3650</v>
      </c>
      <c r="G556" s="60"/>
      <c r="H556" s="60"/>
      <c r="I556" s="60"/>
      <c r="J556" s="60"/>
      <c r="K556" s="60"/>
      <c r="L556" s="60"/>
      <c r="M556" s="60"/>
      <c r="N556" s="60"/>
      <c r="O556" s="60"/>
      <c r="P556" s="60"/>
      <c r="Q556" s="60"/>
      <c r="R556" s="60"/>
      <c r="S556" s="60"/>
      <c r="T556" s="60"/>
      <c r="U556" s="60"/>
      <c r="V556" s="60"/>
      <c r="W556" s="60"/>
      <c r="X556" s="60"/>
    </row>
    <row r="557">
      <c r="A557" s="15"/>
      <c r="B557" s="15"/>
      <c r="C557" s="15"/>
      <c r="D557" s="15"/>
      <c r="E557" s="15"/>
      <c r="F557" s="15" t="s">
        <v>3650</v>
      </c>
      <c r="G557" s="60"/>
      <c r="H557" s="60"/>
      <c r="I557" s="60"/>
      <c r="J557" s="60"/>
      <c r="K557" s="60"/>
      <c r="L557" s="60"/>
      <c r="M557" s="60"/>
      <c r="N557" s="60"/>
      <c r="O557" s="60"/>
      <c r="P557" s="60"/>
      <c r="Q557" s="60"/>
      <c r="R557" s="60"/>
      <c r="S557" s="60"/>
      <c r="T557" s="60"/>
      <c r="U557" s="60"/>
      <c r="V557" s="60"/>
      <c r="W557" s="60"/>
      <c r="X557" s="60"/>
    </row>
    <row r="558">
      <c r="A558" s="15"/>
      <c r="B558" s="15"/>
      <c r="C558" s="15"/>
      <c r="D558" s="15"/>
      <c r="E558" s="15"/>
      <c r="F558" s="15" t="s">
        <v>3650</v>
      </c>
      <c r="G558" s="60"/>
      <c r="H558" s="60"/>
      <c r="I558" s="60"/>
      <c r="J558" s="60"/>
      <c r="K558" s="60"/>
      <c r="L558" s="60"/>
      <c r="M558" s="60"/>
      <c r="N558" s="60"/>
      <c r="O558" s="60"/>
      <c r="P558" s="60"/>
      <c r="Q558" s="60"/>
      <c r="R558" s="60"/>
      <c r="S558" s="60"/>
      <c r="T558" s="60"/>
      <c r="U558" s="60"/>
      <c r="V558" s="60"/>
      <c r="W558" s="60"/>
      <c r="X558" s="60"/>
    </row>
    <row r="559">
      <c r="A559" s="15"/>
      <c r="B559" s="15"/>
      <c r="C559" s="15"/>
      <c r="D559" s="15"/>
      <c r="E559" s="15"/>
      <c r="F559" s="15" t="s">
        <v>3650</v>
      </c>
      <c r="G559" s="60"/>
      <c r="H559" s="60"/>
      <c r="I559" s="60"/>
      <c r="J559" s="60"/>
      <c r="K559" s="60"/>
      <c r="L559" s="60"/>
      <c r="M559" s="60"/>
      <c r="N559" s="60"/>
      <c r="O559" s="60"/>
      <c r="P559" s="60"/>
      <c r="Q559" s="60"/>
      <c r="R559" s="60"/>
      <c r="S559" s="60"/>
      <c r="T559" s="60"/>
      <c r="U559" s="60"/>
      <c r="V559" s="60"/>
      <c r="W559" s="60"/>
      <c r="X559" s="60"/>
    </row>
    <row r="560">
      <c r="A560" s="15"/>
      <c r="B560" s="15"/>
      <c r="C560" s="15"/>
      <c r="D560" s="15"/>
      <c r="E560" s="15"/>
      <c r="F560" s="15" t="s">
        <v>3650</v>
      </c>
      <c r="G560" s="60"/>
      <c r="H560" s="60"/>
      <c r="I560" s="60"/>
      <c r="J560" s="60"/>
      <c r="K560" s="60"/>
      <c r="L560" s="60"/>
      <c r="M560" s="60"/>
      <c r="N560" s="60"/>
      <c r="O560" s="60"/>
      <c r="P560" s="60"/>
      <c r="Q560" s="60"/>
      <c r="R560" s="60"/>
      <c r="S560" s="60"/>
      <c r="T560" s="60"/>
      <c r="U560" s="60"/>
      <c r="V560" s="60"/>
      <c r="W560" s="60"/>
      <c r="X560" s="60"/>
    </row>
    <row r="561">
      <c r="A561" s="15"/>
      <c r="B561" s="15"/>
      <c r="C561" s="15"/>
      <c r="D561" s="15"/>
      <c r="E561" s="15"/>
      <c r="F561" s="15" t="s">
        <v>3650</v>
      </c>
      <c r="G561" s="60"/>
      <c r="H561" s="60"/>
      <c r="I561" s="60"/>
      <c r="J561" s="60"/>
      <c r="K561" s="60"/>
      <c r="L561" s="60"/>
      <c r="M561" s="60"/>
      <c r="N561" s="60"/>
      <c r="O561" s="60"/>
      <c r="P561" s="60"/>
      <c r="Q561" s="60"/>
      <c r="R561" s="60"/>
      <c r="S561" s="60"/>
      <c r="T561" s="60"/>
      <c r="U561" s="60"/>
      <c r="V561" s="60"/>
      <c r="W561" s="60"/>
      <c r="X561" s="60"/>
    </row>
    <row r="562">
      <c r="A562" s="15"/>
      <c r="B562" s="15"/>
      <c r="C562" s="15"/>
      <c r="D562" s="15"/>
      <c r="E562" s="15"/>
      <c r="F562" s="15" t="s">
        <v>3650</v>
      </c>
      <c r="G562" s="60"/>
      <c r="H562" s="60"/>
      <c r="I562" s="60"/>
      <c r="J562" s="60"/>
      <c r="K562" s="60"/>
      <c r="L562" s="60"/>
      <c r="M562" s="60"/>
      <c r="N562" s="60"/>
      <c r="O562" s="60"/>
      <c r="P562" s="60"/>
      <c r="Q562" s="60"/>
      <c r="R562" s="60"/>
      <c r="S562" s="60"/>
      <c r="T562" s="60"/>
      <c r="U562" s="60"/>
      <c r="V562" s="60"/>
      <c r="W562" s="60"/>
      <c r="X562" s="60"/>
    </row>
    <row r="563">
      <c r="A563" s="15"/>
      <c r="B563" s="15"/>
      <c r="C563" s="15"/>
      <c r="D563" s="15"/>
      <c r="E563" s="15"/>
      <c r="F563" s="15" t="s">
        <v>3650</v>
      </c>
      <c r="G563" s="60"/>
      <c r="H563" s="60"/>
      <c r="I563" s="60"/>
      <c r="J563" s="60"/>
      <c r="K563" s="60"/>
      <c r="L563" s="60"/>
      <c r="M563" s="60"/>
      <c r="N563" s="60"/>
      <c r="O563" s="60"/>
      <c r="P563" s="60"/>
      <c r="Q563" s="60"/>
      <c r="R563" s="60"/>
      <c r="S563" s="60"/>
      <c r="T563" s="60"/>
      <c r="U563" s="60"/>
      <c r="V563" s="60"/>
      <c r="W563" s="60"/>
      <c r="X563" s="60"/>
    </row>
    <row r="564">
      <c r="A564" s="15"/>
      <c r="B564" s="15"/>
      <c r="C564" s="15"/>
      <c r="D564" s="15"/>
      <c r="E564" s="15"/>
      <c r="F564" s="15" t="s">
        <v>3650</v>
      </c>
      <c r="G564" s="60"/>
      <c r="H564" s="60"/>
      <c r="I564" s="60"/>
      <c r="J564" s="60"/>
      <c r="K564" s="60"/>
      <c r="L564" s="60"/>
      <c r="M564" s="60"/>
      <c r="N564" s="60"/>
      <c r="O564" s="60"/>
      <c r="P564" s="60"/>
      <c r="Q564" s="60"/>
      <c r="R564" s="60"/>
      <c r="S564" s="60"/>
      <c r="T564" s="60"/>
      <c r="U564" s="60"/>
      <c r="V564" s="60"/>
      <c r="W564" s="60"/>
      <c r="X564" s="60"/>
    </row>
    <row r="565">
      <c r="A565" s="15"/>
      <c r="B565" s="15"/>
      <c r="C565" s="15"/>
      <c r="D565" s="15"/>
      <c r="E565" s="15"/>
      <c r="F565" s="15" t="s">
        <v>3650</v>
      </c>
      <c r="G565" s="60"/>
      <c r="H565" s="60"/>
      <c r="I565" s="60"/>
      <c r="J565" s="60"/>
      <c r="K565" s="60"/>
      <c r="L565" s="60"/>
      <c r="M565" s="60"/>
      <c r="N565" s="60"/>
      <c r="O565" s="60"/>
      <c r="P565" s="60"/>
      <c r="Q565" s="60"/>
      <c r="R565" s="60"/>
      <c r="S565" s="60"/>
      <c r="T565" s="60"/>
      <c r="U565" s="60"/>
      <c r="V565" s="60"/>
      <c r="W565" s="60"/>
      <c r="X565" s="60"/>
    </row>
    <row r="566">
      <c r="A566" s="15"/>
      <c r="B566" s="15"/>
      <c r="C566" s="15"/>
      <c r="D566" s="15"/>
      <c r="E566" s="15"/>
      <c r="F566" s="15" t="s">
        <v>3650</v>
      </c>
      <c r="G566" s="60"/>
      <c r="H566" s="60"/>
      <c r="I566" s="60"/>
      <c r="J566" s="60"/>
      <c r="K566" s="60"/>
      <c r="L566" s="60"/>
      <c r="M566" s="60"/>
      <c r="N566" s="60"/>
      <c r="O566" s="60"/>
      <c r="P566" s="60"/>
      <c r="Q566" s="60"/>
      <c r="R566" s="60"/>
      <c r="S566" s="60"/>
      <c r="T566" s="60"/>
      <c r="U566" s="60"/>
      <c r="V566" s="60"/>
      <c r="W566" s="60"/>
      <c r="X566" s="60"/>
    </row>
    <row r="567">
      <c r="A567" s="15"/>
      <c r="B567" s="15"/>
      <c r="C567" s="15"/>
      <c r="D567" s="15"/>
      <c r="E567" s="15"/>
      <c r="F567" s="15" t="s">
        <v>3650</v>
      </c>
      <c r="G567" s="60"/>
      <c r="H567" s="60"/>
      <c r="I567" s="60"/>
      <c r="J567" s="60"/>
      <c r="K567" s="60"/>
      <c r="L567" s="60"/>
      <c r="M567" s="60"/>
      <c r="N567" s="60"/>
      <c r="O567" s="60"/>
      <c r="P567" s="60"/>
      <c r="Q567" s="60"/>
      <c r="R567" s="60"/>
      <c r="S567" s="60"/>
      <c r="T567" s="60"/>
      <c r="U567" s="60"/>
      <c r="V567" s="60"/>
      <c r="W567" s="60"/>
      <c r="X567" s="60"/>
    </row>
    <row r="568">
      <c r="A568" s="15"/>
      <c r="B568" s="15"/>
      <c r="C568" s="15"/>
      <c r="D568" s="15"/>
      <c r="E568" s="15"/>
      <c r="F568" s="15" t="s">
        <v>3650</v>
      </c>
      <c r="G568" s="60"/>
      <c r="H568" s="60"/>
      <c r="I568" s="60"/>
      <c r="J568" s="60"/>
      <c r="K568" s="60"/>
      <c r="L568" s="60"/>
      <c r="M568" s="60"/>
      <c r="N568" s="60"/>
      <c r="O568" s="60"/>
      <c r="P568" s="60"/>
      <c r="Q568" s="60"/>
      <c r="R568" s="60"/>
      <c r="S568" s="60"/>
      <c r="T568" s="60"/>
      <c r="U568" s="60"/>
      <c r="V568" s="60"/>
      <c r="W568" s="60"/>
      <c r="X568" s="60"/>
    </row>
    <row r="569">
      <c r="A569" s="15"/>
      <c r="B569" s="15"/>
      <c r="C569" s="15"/>
      <c r="D569" s="15"/>
      <c r="E569" s="15"/>
      <c r="F569" s="15" t="s">
        <v>3650</v>
      </c>
      <c r="G569" s="60"/>
      <c r="H569" s="60"/>
      <c r="I569" s="60"/>
      <c r="J569" s="60"/>
      <c r="K569" s="60"/>
      <c r="L569" s="60"/>
      <c r="M569" s="60"/>
      <c r="N569" s="60"/>
      <c r="O569" s="60"/>
      <c r="P569" s="60"/>
      <c r="Q569" s="60"/>
      <c r="R569" s="60"/>
      <c r="S569" s="60"/>
      <c r="T569" s="60"/>
      <c r="U569" s="60"/>
      <c r="V569" s="60"/>
      <c r="W569" s="60"/>
      <c r="X569" s="60"/>
    </row>
    <row r="570">
      <c r="A570" s="15"/>
      <c r="B570" s="15"/>
      <c r="C570" s="15"/>
      <c r="D570" s="15"/>
      <c r="E570" s="15"/>
      <c r="F570" s="15" t="s">
        <v>3650</v>
      </c>
      <c r="G570" s="60"/>
      <c r="H570" s="60"/>
      <c r="I570" s="60"/>
      <c r="J570" s="60"/>
      <c r="K570" s="60"/>
      <c r="L570" s="60"/>
      <c r="M570" s="60"/>
      <c r="N570" s="60"/>
      <c r="O570" s="60"/>
      <c r="P570" s="60"/>
      <c r="Q570" s="60"/>
      <c r="R570" s="60"/>
      <c r="S570" s="60"/>
      <c r="T570" s="60"/>
      <c r="U570" s="60"/>
      <c r="V570" s="60"/>
      <c r="W570" s="60"/>
      <c r="X570" s="60"/>
    </row>
    <row r="571">
      <c r="A571" s="15"/>
      <c r="B571" s="15"/>
      <c r="C571" s="15"/>
      <c r="D571" s="15"/>
      <c r="E571" s="15"/>
      <c r="F571" s="15" t="s">
        <v>3650</v>
      </c>
      <c r="G571" s="60"/>
      <c r="H571" s="60"/>
      <c r="I571" s="60"/>
      <c r="J571" s="60"/>
      <c r="K571" s="60"/>
      <c r="L571" s="60"/>
      <c r="M571" s="60"/>
      <c r="N571" s="60"/>
      <c r="O571" s="60"/>
      <c r="P571" s="60"/>
      <c r="Q571" s="60"/>
      <c r="R571" s="60"/>
      <c r="S571" s="60"/>
      <c r="T571" s="60"/>
      <c r="U571" s="60"/>
      <c r="V571" s="60"/>
      <c r="W571" s="60"/>
      <c r="X571" s="60"/>
    </row>
    <row r="572">
      <c r="A572" s="15"/>
      <c r="B572" s="15"/>
      <c r="C572" s="15"/>
      <c r="D572" s="15"/>
      <c r="E572" s="15"/>
      <c r="F572" s="15" t="s">
        <v>3650</v>
      </c>
      <c r="G572" s="60"/>
      <c r="H572" s="60"/>
      <c r="I572" s="60"/>
      <c r="J572" s="60"/>
      <c r="K572" s="60"/>
      <c r="L572" s="60"/>
      <c r="M572" s="60"/>
      <c r="N572" s="60"/>
      <c r="O572" s="60"/>
      <c r="P572" s="60"/>
      <c r="Q572" s="60"/>
      <c r="R572" s="60"/>
      <c r="S572" s="60"/>
      <c r="T572" s="60"/>
      <c r="U572" s="60"/>
      <c r="V572" s="60"/>
      <c r="W572" s="60"/>
      <c r="X572" s="60"/>
    </row>
    <row r="573">
      <c r="A573" s="15"/>
      <c r="B573" s="15"/>
      <c r="C573" s="15"/>
      <c r="D573" s="15"/>
      <c r="E573" s="15"/>
      <c r="F573" s="15" t="s">
        <v>3650</v>
      </c>
      <c r="G573" s="60"/>
      <c r="H573" s="60"/>
      <c r="I573" s="60"/>
      <c r="J573" s="60"/>
      <c r="K573" s="60"/>
      <c r="L573" s="60"/>
      <c r="M573" s="60"/>
      <c r="N573" s="60"/>
      <c r="O573" s="60"/>
      <c r="P573" s="60"/>
      <c r="Q573" s="60"/>
      <c r="R573" s="60"/>
      <c r="S573" s="60"/>
      <c r="T573" s="60"/>
      <c r="U573" s="60"/>
      <c r="V573" s="60"/>
      <c r="W573" s="60"/>
      <c r="X573" s="60"/>
    </row>
    <row r="574">
      <c r="A574" s="15"/>
      <c r="B574" s="15"/>
      <c r="C574" s="15"/>
      <c r="D574" s="15"/>
      <c r="E574" s="15"/>
      <c r="F574" s="15" t="s">
        <v>3650</v>
      </c>
      <c r="G574" s="60"/>
      <c r="H574" s="60"/>
      <c r="I574" s="60"/>
      <c r="J574" s="60"/>
      <c r="K574" s="60"/>
      <c r="L574" s="60"/>
      <c r="M574" s="60"/>
      <c r="N574" s="60"/>
      <c r="O574" s="60"/>
      <c r="P574" s="60"/>
      <c r="Q574" s="60"/>
      <c r="R574" s="60"/>
      <c r="S574" s="60"/>
      <c r="T574" s="60"/>
      <c r="U574" s="60"/>
      <c r="V574" s="60"/>
      <c r="W574" s="60"/>
      <c r="X574" s="60"/>
    </row>
    <row r="575">
      <c r="A575" s="15"/>
      <c r="B575" s="15"/>
      <c r="C575" s="15"/>
      <c r="D575" s="15"/>
      <c r="E575" s="15"/>
      <c r="F575" s="15" t="s">
        <v>3650</v>
      </c>
      <c r="G575" s="60"/>
      <c r="H575" s="60"/>
      <c r="I575" s="60"/>
      <c r="J575" s="60"/>
      <c r="K575" s="60"/>
      <c r="L575" s="60"/>
      <c r="M575" s="60"/>
      <c r="N575" s="60"/>
      <c r="O575" s="60"/>
      <c r="P575" s="60"/>
      <c r="Q575" s="60"/>
      <c r="R575" s="60"/>
      <c r="S575" s="60"/>
      <c r="T575" s="60"/>
      <c r="U575" s="60"/>
      <c r="V575" s="60"/>
      <c r="W575" s="60"/>
      <c r="X575" s="60"/>
    </row>
    <row r="576">
      <c r="A576" s="15"/>
      <c r="B576" s="15"/>
      <c r="C576" s="15"/>
      <c r="D576" s="15"/>
      <c r="E576" s="15"/>
      <c r="F576" s="15" t="s">
        <v>3650</v>
      </c>
      <c r="G576" s="60"/>
      <c r="H576" s="60"/>
      <c r="I576" s="60"/>
      <c r="J576" s="60"/>
      <c r="K576" s="60"/>
      <c r="L576" s="60"/>
      <c r="M576" s="60"/>
      <c r="N576" s="60"/>
      <c r="O576" s="60"/>
      <c r="P576" s="60"/>
      <c r="Q576" s="60"/>
      <c r="R576" s="60"/>
      <c r="S576" s="60"/>
      <c r="T576" s="60"/>
      <c r="U576" s="60"/>
      <c r="V576" s="60"/>
      <c r="W576" s="60"/>
      <c r="X576" s="60"/>
    </row>
    <row r="577">
      <c r="A577" s="15"/>
      <c r="B577" s="15"/>
      <c r="C577" s="15"/>
      <c r="D577" s="15"/>
      <c r="E577" s="15"/>
      <c r="F577" s="15" t="s">
        <v>3650</v>
      </c>
      <c r="G577" s="60"/>
      <c r="H577" s="60"/>
      <c r="I577" s="60"/>
      <c r="J577" s="60"/>
      <c r="K577" s="60"/>
      <c r="L577" s="60"/>
      <c r="M577" s="60"/>
      <c r="N577" s="60"/>
      <c r="O577" s="60"/>
      <c r="P577" s="60"/>
      <c r="Q577" s="60"/>
      <c r="R577" s="60"/>
      <c r="S577" s="60"/>
      <c r="T577" s="60"/>
      <c r="U577" s="60"/>
      <c r="V577" s="60"/>
      <c r="W577" s="60"/>
      <c r="X577" s="60"/>
    </row>
    <row r="578">
      <c r="A578" s="15"/>
      <c r="B578" s="15"/>
      <c r="C578" s="15"/>
      <c r="D578" s="15"/>
      <c r="E578" s="15"/>
      <c r="F578" s="15" t="s">
        <v>3650</v>
      </c>
      <c r="G578" s="60"/>
      <c r="H578" s="60"/>
      <c r="I578" s="60"/>
      <c r="J578" s="60"/>
      <c r="K578" s="60"/>
      <c r="L578" s="60"/>
      <c r="M578" s="60"/>
      <c r="N578" s="60"/>
      <c r="O578" s="60"/>
      <c r="P578" s="60"/>
      <c r="Q578" s="60"/>
      <c r="R578" s="60"/>
      <c r="S578" s="60"/>
      <c r="T578" s="60"/>
      <c r="U578" s="60"/>
      <c r="V578" s="60"/>
      <c r="W578" s="60"/>
      <c r="X578" s="60"/>
    </row>
    <row r="579">
      <c r="A579" s="15"/>
      <c r="B579" s="15"/>
      <c r="C579" s="15"/>
      <c r="D579" s="15"/>
      <c r="E579" s="15"/>
      <c r="F579" s="15" t="s">
        <v>3650</v>
      </c>
      <c r="G579" s="60"/>
      <c r="H579" s="60"/>
      <c r="I579" s="60"/>
      <c r="J579" s="60"/>
      <c r="K579" s="60"/>
      <c r="L579" s="60"/>
      <c r="M579" s="60"/>
      <c r="N579" s="60"/>
      <c r="O579" s="60"/>
      <c r="P579" s="60"/>
      <c r="Q579" s="60"/>
      <c r="R579" s="60"/>
      <c r="S579" s="60"/>
      <c r="T579" s="60"/>
      <c r="U579" s="60"/>
      <c r="V579" s="60"/>
      <c r="W579" s="60"/>
      <c r="X579" s="60"/>
    </row>
    <row r="580">
      <c r="A580" s="15"/>
      <c r="B580" s="15"/>
      <c r="C580" s="15"/>
      <c r="D580" s="15"/>
      <c r="E580" s="15"/>
      <c r="F580" s="15" t="s">
        <v>3650</v>
      </c>
      <c r="G580" s="60"/>
      <c r="H580" s="60"/>
      <c r="I580" s="60"/>
      <c r="J580" s="60"/>
      <c r="K580" s="60"/>
      <c r="L580" s="60"/>
      <c r="M580" s="60"/>
      <c r="N580" s="60"/>
      <c r="O580" s="60"/>
      <c r="P580" s="60"/>
      <c r="Q580" s="60"/>
      <c r="R580" s="60"/>
      <c r="S580" s="60"/>
      <c r="T580" s="60"/>
      <c r="U580" s="60"/>
      <c r="V580" s="60"/>
      <c r="W580" s="60"/>
      <c r="X580" s="60"/>
    </row>
    <row r="581">
      <c r="A581" s="15"/>
      <c r="B581" s="15"/>
      <c r="C581" s="15"/>
      <c r="D581" s="15"/>
      <c r="E581" s="15"/>
      <c r="F581" s="15" t="s">
        <v>3650</v>
      </c>
      <c r="G581" s="60"/>
      <c r="H581" s="60"/>
      <c r="I581" s="60"/>
      <c r="J581" s="60"/>
      <c r="K581" s="60"/>
      <c r="L581" s="60"/>
      <c r="M581" s="60"/>
      <c r="N581" s="60"/>
      <c r="O581" s="60"/>
      <c r="P581" s="60"/>
      <c r="Q581" s="60"/>
      <c r="R581" s="60"/>
      <c r="S581" s="60"/>
      <c r="T581" s="60"/>
      <c r="U581" s="60"/>
      <c r="V581" s="60"/>
      <c r="W581" s="60"/>
      <c r="X581" s="60"/>
    </row>
    <row r="582">
      <c r="A582" s="15"/>
      <c r="B582" s="15"/>
      <c r="C582" s="15"/>
      <c r="D582" s="15"/>
      <c r="E582" s="15"/>
      <c r="F582" s="15" t="s">
        <v>3650</v>
      </c>
      <c r="G582" s="60"/>
      <c r="H582" s="60"/>
      <c r="I582" s="60"/>
      <c r="J582" s="60"/>
      <c r="K582" s="60"/>
      <c r="L582" s="60"/>
      <c r="M582" s="60"/>
      <c r="N582" s="60"/>
      <c r="O582" s="60"/>
      <c r="P582" s="60"/>
      <c r="Q582" s="60"/>
      <c r="R582" s="60"/>
      <c r="S582" s="60"/>
      <c r="T582" s="60"/>
      <c r="U582" s="60"/>
      <c r="V582" s="60"/>
      <c r="W582" s="60"/>
      <c r="X582" s="60"/>
    </row>
    <row r="583">
      <c r="A583" s="15"/>
      <c r="B583" s="15"/>
      <c r="C583" s="15"/>
      <c r="D583" s="15"/>
      <c r="E583" s="15"/>
      <c r="F583" s="15" t="s">
        <v>3650</v>
      </c>
      <c r="G583" s="60"/>
      <c r="H583" s="60"/>
      <c r="I583" s="60"/>
      <c r="J583" s="60"/>
      <c r="K583" s="60"/>
      <c r="L583" s="60"/>
      <c r="M583" s="60"/>
      <c r="N583" s="60"/>
      <c r="O583" s="60"/>
      <c r="P583" s="60"/>
      <c r="Q583" s="60"/>
      <c r="R583" s="60"/>
      <c r="S583" s="60"/>
      <c r="T583" s="60"/>
      <c r="U583" s="60"/>
      <c r="V583" s="60"/>
      <c r="W583" s="60"/>
      <c r="X583" s="60"/>
    </row>
    <row r="584">
      <c r="A584" s="15"/>
      <c r="B584" s="15"/>
      <c r="C584" s="15"/>
      <c r="D584" s="15"/>
      <c r="E584" s="15"/>
      <c r="F584" s="15" t="s">
        <v>3650</v>
      </c>
      <c r="G584" s="60"/>
      <c r="H584" s="60"/>
      <c r="I584" s="60"/>
      <c r="J584" s="60"/>
      <c r="K584" s="60"/>
      <c r="L584" s="60"/>
      <c r="M584" s="60"/>
      <c r="N584" s="60"/>
      <c r="O584" s="60"/>
      <c r="P584" s="60"/>
      <c r="Q584" s="60"/>
      <c r="R584" s="60"/>
      <c r="S584" s="60"/>
      <c r="T584" s="60"/>
      <c r="U584" s="60"/>
      <c r="V584" s="60"/>
      <c r="W584" s="60"/>
      <c r="X584" s="60"/>
    </row>
    <row r="585">
      <c r="A585" s="15"/>
      <c r="B585" s="15"/>
      <c r="C585" s="15"/>
      <c r="D585" s="15"/>
      <c r="E585" s="15"/>
      <c r="F585" s="15" t="s">
        <v>3650</v>
      </c>
      <c r="G585" s="60"/>
      <c r="H585" s="60"/>
      <c r="I585" s="60"/>
      <c r="J585" s="60"/>
      <c r="K585" s="60"/>
      <c r="L585" s="60"/>
      <c r="M585" s="60"/>
      <c r="N585" s="60"/>
      <c r="O585" s="60"/>
      <c r="P585" s="60"/>
      <c r="Q585" s="60"/>
      <c r="R585" s="60"/>
      <c r="S585" s="60"/>
      <c r="T585" s="60"/>
      <c r="U585" s="60"/>
      <c r="V585" s="60"/>
      <c r="W585" s="60"/>
      <c r="X585" s="60"/>
    </row>
    <row r="586">
      <c r="A586" s="15"/>
      <c r="B586" s="15"/>
      <c r="C586" s="15"/>
      <c r="D586" s="15"/>
      <c r="E586" s="15"/>
      <c r="F586" s="15" t="s">
        <v>3650</v>
      </c>
      <c r="G586" s="60"/>
      <c r="H586" s="60"/>
      <c r="I586" s="60"/>
      <c r="J586" s="60"/>
      <c r="K586" s="60"/>
      <c r="L586" s="60"/>
      <c r="M586" s="60"/>
      <c r="N586" s="60"/>
      <c r="O586" s="60"/>
      <c r="P586" s="60"/>
      <c r="Q586" s="60"/>
      <c r="R586" s="60"/>
      <c r="S586" s="60"/>
      <c r="T586" s="60"/>
      <c r="U586" s="60"/>
      <c r="V586" s="60"/>
      <c r="W586" s="60"/>
      <c r="X586" s="60"/>
    </row>
    <row r="587">
      <c r="A587" s="15"/>
      <c r="B587" s="15"/>
      <c r="C587" s="15"/>
      <c r="D587" s="15"/>
      <c r="E587" s="15"/>
      <c r="F587" s="15" t="s">
        <v>3650</v>
      </c>
      <c r="G587" s="60"/>
      <c r="H587" s="60"/>
      <c r="I587" s="60"/>
      <c r="J587" s="60"/>
      <c r="K587" s="60"/>
      <c r="L587" s="60"/>
      <c r="M587" s="60"/>
      <c r="N587" s="60"/>
      <c r="O587" s="60"/>
      <c r="P587" s="60"/>
      <c r="Q587" s="60"/>
      <c r="R587" s="60"/>
      <c r="S587" s="60"/>
      <c r="T587" s="60"/>
      <c r="U587" s="60"/>
      <c r="V587" s="60"/>
      <c r="W587" s="60"/>
      <c r="X587" s="60"/>
    </row>
    <row r="588">
      <c r="A588" s="15"/>
      <c r="B588" s="15"/>
      <c r="C588" s="15"/>
      <c r="D588" s="15"/>
      <c r="E588" s="15"/>
      <c r="F588" s="15" t="s">
        <v>3650</v>
      </c>
      <c r="G588" s="60"/>
      <c r="H588" s="60"/>
      <c r="I588" s="60"/>
      <c r="J588" s="60"/>
      <c r="K588" s="60"/>
      <c r="L588" s="60"/>
      <c r="M588" s="60"/>
      <c r="N588" s="60"/>
      <c r="O588" s="60"/>
      <c r="P588" s="60"/>
      <c r="Q588" s="60"/>
      <c r="R588" s="60"/>
      <c r="S588" s="60"/>
      <c r="T588" s="60"/>
      <c r="U588" s="60"/>
      <c r="V588" s="60"/>
      <c r="W588" s="60"/>
      <c r="X588" s="60"/>
    </row>
    <row r="589">
      <c r="A589" s="15"/>
      <c r="B589" s="15"/>
      <c r="C589" s="15"/>
      <c r="D589" s="15"/>
      <c r="E589" s="15"/>
      <c r="F589" s="15" t="s">
        <v>3650</v>
      </c>
      <c r="G589" s="60"/>
      <c r="H589" s="60"/>
      <c r="I589" s="60"/>
      <c r="J589" s="60"/>
      <c r="K589" s="60"/>
      <c r="L589" s="60"/>
      <c r="M589" s="60"/>
      <c r="N589" s="60"/>
      <c r="O589" s="60"/>
      <c r="P589" s="60"/>
      <c r="Q589" s="60"/>
      <c r="R589" s="60"/>
      <c r="S589" s="60"/>
      <c r="T589" s="60"/>
      <c r="U589" s="60"/>
      <c r="V589" s="60"/>
      <c r="W589" s="60"/>
      <c r="X589" s="60"/>
    </row>
    <row r="590">
      <c r="A590" s="15"/>
      <c r="B590" s="15"/>
      <c r="C590" s="15"/>
      <c r="D590" s="15"/>
      <c r="E590" s="15"/>
      <c r="F590" s="15" t="s">
        <v>3650</v>
      </c>
      <c r="G590" s="60"/>
      <c r="H590" s="60"/>
      <c r="I590" s="60"/>
      <c r="J590" s="60"/>
      <c r="K590" s="60"/>
      <c r="L590" s="60"/>
      <c r="M590" s="60"/>
      <c r="N590" s="60"/>
      <c r="O590" s="60"/>
      <c r="P590" s="60"/>
      <c r="Q590" s="60"/>
      <c r="R590" s="60"/>
      <c r="S590" s="60"/>
      <c r="T590" s="60"/>
      <c r="U590" s="60"/>
      <c r="V590" s="60"/>
      <c r="W590" s="60"/>
      <c r="X590" s="60"/>
    </row>
    <row r="591">
      <c r="A591" s="15"/>
      <c r="B591" s="15"/>
      <c r="C591" s="15"/>
      <c r="D591" s="15"/>
      <c r="E591" s="15"/>
      <c r="F591" s="15" t="s">
        <v>3650</v>
      </c>
      <c r="G591" s="60"/>
      <c r="H591" s="60"/>
      <c r="I591" s="60"/>
      <c r="J591" s="60"/>
      <c r="K591" s="60"/>
      <c r="L591" s="60"/>
      <c r="M591" s="60"/>
      <c r="N591" s="60"/>
      <c r="O591" s="60"/>
      <c r="P591" s="60"/>
      <c r="Q591" s="60"/>
      <c r="R591" s="60"/>
      <c r="S591" s="60"/>
      <c r="T591" s="60"/>
      <c r="U591" s="60"/>
      <c r="V591" s="60"/>
      <c r="W591" s="60"/>
      <c r="X591" s="60"/>
    </row>
    <row r="592">
      <c r="A592" s="15"/>
      <c r="B592" s="15"/>
      <c r="C592" s="15"/>
      <c r="D592" s="15"/>
      <c r="E592" s="15"/>
      <c r="F592" s="15" t="s">
        <v>3650</v>
      </c>
      <c r="G592" s="60"/>
      <c r="H592" s="60"/>
      <c r="I592" s="60"/>
      <c r="J592" s="60"/>
      <c r="K592" s="60"/>
      <c r="L592" s="60"/>
      <c r="M592" s="60"/>
      <c r="N592" s="60"/>
      <c r="O592" s="60"/>
      <c r="P592" s="60"/>
      <c r="Q592" s="60"/>
      <c r="R592" s="60"/>
      <c r="S592" s="60"/>
      <c r="T592" s="60"/>
      <c r="U592" s="60"/>
      <c r="V592" s="60"/>
      <c r="W592" s="60"/>
      <c r="X592" s="60"/>
    </row>
    <row r="593">
      <c r="A593" s="15"/>
      <c r="B593" s="15"/>
      <c r="C593" s="15"/>
      <c r="D593" s="15"/>
      <c r="E593" s="15"/>
      <c r="F593" s="15" t="s">
        <v>3650</v>
      </c>
      <c r="G593" s="60"/>
      <c r="H593" s="60"/>
      <c r="I593" s="60"/>
      <c r="J593" s="60"/>
      <c r="K593" s="60"/>
      <c r="L593" s="60"/>
      <c r="M593" s="60"/>
      <c r="N593" s="60"/>
      <c r="O593" s="60"/>
      <c r="P593" s="60"/>
      <c r="Q593" s="60"/>
      <c r="R593" s="60"/>
      <c r="S593" s="60"/>
      <c r="T593" s="60"/>
      <c r="U593" s="60"/>
      <c r="V593" s="60"/>
      <c r="W593" s="60"/>
      <c r="X593" s="60"/>
    </row>
    <row r="594">
      <c r="A594" s="15"/>
      <c r="B594" s="15"/>
      <c r="C594" s="15"/>
      <c r="D594" s="15"/>
      <c r="E594" s="15"/>
      <c r="F594" s="15" t="s">
        <v>3650</v>
      </c>
      <c r="G594" s="60"/>
      <c r="H594" s="60"/>
      <c r="I594" s="60"/>
      <c r="J594" s="60"/>
      <c r="K594" s="60"/>
      <c r="L594" s="60"/>
      <c r="M594" s="60"/>
      <c r="N594" s="60"/>
      <c r="O594" s="60"/>
      <c r="P594" s="60"/>
      <c r="Q594" s="60"/>
      <c r="R594" s="60"/>
      <c r="S594" s="60"/>
      <c r="T594" s="60"/>
      <c r="U594" s="60"/>
      <c r="V594" s="60"/>
      <c r="W594" s="60"/>
      <c r="X594" s="60"/>
    </row>
    <row r="595">
      <c r="A595" s="15"/>
      <c r="B595" s="15"/>
      <c r="C595" s="15"/>
      <c r="D595" s="15"/>
      <c r="E595" s="15"/>
      <c r="F595" s="15" t="s">
        <v>3650</v>
      </c>
      <c r="G595" s="60"/>
      <c r="H595" s="60"/>
      <c r="I595" s="60"/>
      <c r="J595" s="60"/>
      <c r="K595" s="60"/>
      <c r="L595" s="60"/>
      <c r="M595" s="60"/>
      <c r="N595" s="60"/>
      <c r="O595" s="60"/>
      <c r="P595" s="60"/>
      <c r="Q595" s="60"/>
      <c r="R595" s="60"/>
      <c r="S595" s="60"/>
      <c r="T595" s="60"/>
      <c r="U595" s="60"/>
      <c r="V595" s="60"/>
      <c r="W595" s="60"/>
      <c r="X595" s="60"/>
    </row>
    <row r="596">
      <c r="A596" s="15"/>
      <c r="B596" s="15"/>
      <c r="C596" s="15"/>
      <c r="D596" s="15"/>
      <c r="E596" s="15"/>
      <c r="F596" s="15" t="s">
        <v>3650</v>
      </c>
      <c r="G596" s="60"/>
      <c r="H596" s="60"/>
      <c r="I596" s="60"/>
      <c r="J596" s="60"/>
      <c r="K596" s="60"/>
      <c r="L596" s="60"/>
      <c r="M596" s="60"/>
      <c r="N596" s="60"/>
      <c r="O596" s="60"/>
      <c r="P596" s="60"/>
      <c r="Q596" s="60"/>
      <c r="R596" s="60"/>
      <c r="S596" s="60"/>
      <c r="T596" s="60"/>
      <c r="U596" s="60"/>
      <c r="V596" s="60"/>
      <c r="W596" s="60"/>
      <c r="X596" s="60"/>
    </row>
    <row r="597">
      <c r="A597" s="15"/>
      <c r="B597" s="15"/>
      <c r="C597" s="15"/>
      <c r="D597" s="15"/>
      <c r="E597" s="15"/>
      <c r="F597" s="15" t="s">
        <v>3650</v>
      </c>
      <c r="G597" s="60"/>
      <c r="H597" s="60"/>
      <c r="I597" s="60"/>
      <c r="J597" s="60"/>
      <c r="K597" s="60"/>
      <c r="L597" s="60"/>
      <c r="M597" s="60"/>
      <c r="N597" s="60"/>
      <c r="O597" s="60"/>
      <c r="P597" s="60"/>
      <c r="Q597" s="60"/>
      <c r="R597" s="60"/>
      <c r="S597" s="60"/>
      <c r="T597" s="60"/>
      <c r="U597" s="60"/>
      <c r="V597" s="60"/>
      <c r="W597" s="60"/>
      <c r="X597" s="60"/>
    </row>
    <row r="598">
      <c r="A598" s="15"/>
      <c r="B598" s="15"/>
      <c r="C598" s="15"/>
      <c r="D598" s="15"/>
      <c r="E598" s="15"/>
      <c r="F598" s="15" t="s">
        <v>3650</v>
      </c>
      <c r="G598" s="60"/>
      <c r="H598" s="60"/>
      <c r="I598" s="60"/>
      <c r="J598" s="60"/>
      <c r="K598" s="60"/>
      <c r="L598" s="60"/>
      <c r="M598" s="60"/>
      <c r="N598" s="60"/>
      <c r="O598" s="60"/>
      <c r="P598" s="60"/>
      <c r="Q598" s="60"/>
      <c r="R598" s="60"/>
      <c r="S598" s="60"/>
      <c r="T598" s="60"/>
      <c r="U598" s="60"/>
      <c r="V598" s="60"/>
      <c r="W598" s="60"/>
      <c r="X598" s="60"/>
    </row>
    <row r="599">
      <c r="A599" s="15"/>
      <c r="B599" s="15"/>
      <c r="C599" s="15"/>
      <c r="D599" s="15"/>
      <c r="E599" s="15"/>
      <c r="F599" s="15" t="s">
        <v>3650</v>
      </c>
      <c r="G599" s="60"/>
      <c r="H599" s="60"/>
      <c r="I599" s="60"/>
      <c r="J599" s="60"/>
      <c r="K599" s="60"/>
      <c r="L599" s="60"/>
      <c r="M599" s="60"/>
      <c r="N599" s="60"/>
      <c r="O599" s="60"/>
      <c r="P599" s="60"/>
      <c r="Q599" s="60"/>
      <c r="R599" s="60"/>
      <c r="S599" s="60"/>
      <c r="T599" s="60"/>
      <c r="U599" s="60"/>
      <c r="V599" s="60"/>
      <c r="W599" s="60"/>
      <c r="X599" s="60"/>
    </row>
    <row r="600">
      <c r="A600" s="15"/>
      <c r="B600" s="15"/>
      <c r="C600" s="15"/>
      <c r="D600" s="15"/>
      <c r="E600" s="15"/>
      <c r="F600" s="15" t="s">
        <v>3650</v>
      </c>
      <c r="G600" s="60"/>
      <c r="H600" s="60"/>
      <c r="I600" s="60"/>
      <c r="J600" s="60"/>
      <c r="K600" s="60"/>
      <c r="L600" s="60"/>
      <c r="M600" s="60"/>
      <c r="N600" s="60"/>
      <c r="O600" s="60"/>
      <c r="P600" s="60"/>
      <c r="Q600" s="60"/>
      <c r="R600" s="60"/>
      <c r="S600" s="60"/>
      <c r="T600" s="60"/>
      <c r="U600" s="60"/>
      <c r="V600" s="60"/>
      <c r="W600" s="60"/>
      <c r="X600" s="60"/>
    </row>
    <row r="601">
      <c r="A601" s="15"/>
      <c r="B601" s="15"/>
      <c r="C601" s="15"/>
      <c r="D601" s="15"/>
      <c r="E601" s="15"/>
      <c r="F601" s="15" t="s">
        <v>3650</v>
      </c>
      <c r="G601" s="60"/>
      <c r="H601" s="60"/>
      <c r="I601" s="60"/>
      <c r="J601" s="60"/>
      <c r="K601" s="60"/>
      <c r="L601" s="60"/>
      <c r="M601" s="60"/>
      <c r="N601" s="60"/>
      <c r="O601" s="60"/>
      <c r="P601" s="60"/>
      <c r="Q601" s="60"/>
      <c r="R601" s="60"/>
      <c r="S601" s="60"/>
      <c r="T601" s="60"/>
      <c r="U601" s="60"/>
      <c r="V601" s="60"/>
      <c r="W601" s="60"/>
      <c r="X601" s="60"/>
    </row>
    <row r="602">
      <c r="A602" s="15"/>
      <c r="B602" s="15"/>
      <c r="C602" s="15"/>
      <c r="D602" s="15"/>
      <c r="E602" s="15"/>
      <c r="F602" s="15" t="s">
        <v>3650</v>
      </c>
      <c r="G602" s="60"/>
      <c r="H602" s="60"/>
      <c r="I602" s="60"/>
      <c r="J602" s="60"/>
      <c r="K602" s="60"/>
      <c r="L602" s="60"/>
      <c r="M602" s="60"/>
      <c r="N602" s="60"/>
      <c r="O602" s="60"/>
      <c r="P602" s="60"/>
      <c r="Q602" s="60"/>
      <c r="R602" s="60"/>
      <c r="S602" s="60"/>
      <c r="T602" s="60"/>
      <c r="U602" s="60"/>
      <c r="V602" s="60"/>
      <c r="W602" s="60"/>
      <c r="X602" s="60"/>
    </row>
    <row r="603">
      <c r="A603" s="15"/>
      <c r="B603" s="15"/>
      <c r="C603" s="15"/>
      <c r="D603" s="15"/>
      <c r="E603" s="15"/>
      <c r="F603" s="15" t="s">
        <v>3650</v>
      </c>
      <c r="G603" s="60"/>
      <c r="H603" s="60"/>
      <c r="I603" s="60"/>
      <c r="J603" s="60"/>
      <c r="K603" s="60"/>
      <c r="L603" s="60"/>
      <c r="M603" s="60"/>
      <c r="N603" s="60"/>
      <c r="O603" s="60"/>
      <c r="P603" s="60"/>
      <c r="Q603" s="60"/>
      <c r="R603" s="60"/>
      <c r="S603" s="60"/>
      <c r="T603" s="60"/>
      <c r="U603" s="60"/>
      <c r="V603" s="60"/>
      <c r="W603" s="60"/>
      <c r="X603" s="60"/>
    </row>
    <row r="604">
      <c r="A604" s="15"/>
      <c r="B604" s="15"/>
      <c r="C604" s="15"/>
      <c r="D604" s="15"/>
      <c r="E604" s="15"/>
      <c r="F604" s="15" t="s">
        <v>3650</v>
      </c>
      <c r="G604" s="60"/>
      <c r="H604" s="60"/>
      <c r="I604" s="60"/>
      <c r="J604" s="60"/>
      <c r="K604" s="60"/>
      <c r="L604" s="60"/>
      <c r="M604" s="60"/>
      <c r="N604" s="60"/>
      <c r="O604" s="60"/>
      <c r="P604" s="60"/>
      <c r="Q604" s="60"/>
      <c r="R604" s="60"/>
      <c r="S604" s="60"/>
      <c r="T604" s="60"/>
      <c r="U604" s="60"/>
      <c r="V604" s="60"/>
      <c r="W604" s="60"/>
      <c r="X604" s="60"/>
    </row>
    <row r="605">
      <c r="A605" s="15"/>
      <c r="B605" s="15"/>
      <c r="C605" s="15"/>
      <c r="D605" s="15"/>
      <c r="E605" s="15"/>
      <c r="F605" s="15" t="s">
        <v>3650</v>
      </c>
      <c r="G605" s="60"/>
      <c r="H605" s="60"/>
      <c r="I605" s="60"/>
      <c r="J605" s="60"/>
      <c r="K605" s="60"/>
      <c r="L605" s="60"/>
      <c r="M605" s="60"/>
      <c r="N605" s="60"/>
      <c r="O605" s="60"/>
      <c r="P605" s="60"/>
      <c r="Q605" s="60"/>
      <c r="R605" s="60"/>
      <c r="S605" s="60"/>
      <c r="T605" s="60"/>
      <c r="U605" s="60"/>
      <c r="V605" s="60"/>
      <c r="W605" s="60"/>
      <c r="X605" s="60"/>
    </row>
    <row r="606">
      <c r="A606" s="15"/>
      <c r="B606" s="15"/>
      <c r="C606" s="15"/>
      <c r="D606" s="15"/>
      <c r="E606" s="15"/>
      <c r="F606" s="15" t="s">
        <v>3650</v>
      </c>
      <c r="G606" s="60"/>
      <c r="H606" s="60"/>
      <c r="I606" s="60"/>
      <c r="J606" s="60"/>
      <c r="K606" s="60"/>
      <c r="L606" s="60"/>
      <c r="M606" s="60"/>
      <c r="N606" s="60"/>
      <c r="O606" s="60"/>
      <c r="P606" s="60"/>
      <c r="Q606" s="60"/>
      <c r="R606" s="60"/>
      <c r="S606" s="60"/>
      <c r="T606" s="60"/>
      <c r="U606" s="60"/>
      <c r="V606" s="60"/>
      <c r="W606" s="60"/>
      <c r="X606" s="60"/>
    </row>
    <row r="607">
      <c r="A607" s="15"/>
      <c r="B607" s="15"/>
      <c r="C607" s="15"/>
      <c r="D607" s="15"/>
      <c r="E607" s="15"/>
      <c r="F607" s="15" t="s">
        <v>3650</v>
      </c>
      <c r="G607" s="60"/>
      <c r="H607" s="60"/>
      <c r="I607" s="60"/>
      <c r="J607" s="60"/>
      <c r="K607" s="60"/>
      <c r="L607" s="60"/>
      <c r="M607" s="60"/>
      <c r="N607" s="60"/>
      <c r="O607" s="60"/>
      <c r="P607" s="60"/>
      <c r="Q607" s="60"/>
      <c r="R607" s="60"/>
      <c r="S607" s="60"/>
      <c r="T607" s="60"/>
      <c r="U607" s="60"/>
      <c r="V607" s="60"/>
      <c r="W607" s="60"/>
      <c r="X607" s="60"/>
    </row>
    <row r="608">
      <c r="A608" s="15"/>
      <c r="B608" s="15"/>
      <c r="C608" s="15"/>
      <c r="D608" s="15"/>
      <c r="E608" s="15"/>
      <c r="F608" s="15" t="s">
        <v>3650</v>
      </c>
      <c r="G608" s="60"/>
      <c r="H608" s="60"/>
      <c r="I608" s="60"/>
      <c r="J608" s="60"/>
      <c r="K608" s="60"/>
      <c r="L608" s="60"/>
      <c r="M608" s="60"/>
      <c r="N608" s="60"/>
      <c r="O608" s="60"/>
      <c r="P608" s="60"/>
      <c r="Q608" s="60"/>
      <c r="R608" s="60"/>
      <c r="S608" s="60"/>
      <c r="T608" s="60"/>
      <c r="U608" s="60"/>
      <c r="V608" s="60"/>
      <c r="W608" s="60"/>
      <c r="X608" s="60"/>
    </row>
    <row r="609">
      <c r="A609" s="15"/>
      <c r="B609" s="15"/>
      <c r="C609" s="15"/>
      <c r="D609" s="15"/>
      <c r="E609" s="15"/>
      <c r="F609" s="15" t="s">
        <v>3650</v>
      </c>
      <c r="G609" s="60"/>
      <c r="H609" s="60"/>
      <c r="I609" s="60"/>
      <c r="J609" s="60"/>
      <c r="K609" s="60"/>
      <c r="L609" s="60"/>
      <c r="M609" s="60"/>
      <c r="N609" s="60"/>
      <c r="O609" s="60"/>
      <c r="P609" s="60"/>
      <c r="Q609" s="60"/>
      <c r="R609" s="60"/>
      <c r="S609" s="60"/>
      <c r="T609" s="60"/>
      <c r="U609" s="60"/>
      <c r="V609" s="60"/>
      <c r="W609" s="60"/>
      <c r="X609" s="60"/>
    </row>
    <row r="610">
      <c r="A610" s="15"/>
      <c r="B610" s="15"/>
      <c r="C610" s="15"/>
      <c r="D610" s="15"/>
      <c r="E610" s="15"/>
      <c r="F610" s="15" t="s">
        <v>3650</v>
      </c>
      <c r="G610" s="60"/>
      <c r="H610" s="60"/>
      <c r="I610" s="60"/>
      <c r="J610" s="60"/>
      <c r="K610" s="60"/>
      <c r="L610" s="60"/>
      <c r="M610" s="60"/>
      <c r="N610" s="60"/>
      <c r="O610" s="60"/>
      <c r="P610" s="60"/>
      <c r="Q610" s="60"/>
      <c r="R610" s="60"/>
      <c r="S610" s="60"/>
      <c r="T610" s="60"/>
      <c r="U610" s="60"/>
      <c r="V610" s="60"/>
      <c r="W610" s="60"/>
      <c r="X610" s="60"/>
    </row>
    <row r="611">
      <c r="A611" s="15"/>
      <c r="B611" s="15"/>
      <c r="C611" s="15"/>
      <c r="D611" s="15"/>
      <c r="E611" s="15"/>
      <c r="F611" s="15" t="s">
        <v>3650</v>
      </c>
      <c r="G611" s="60"/>
      <c r="H611" s="60"/>
      <c r="I611" s="60"/>
      <c r="J611" s="60"/>
      <c r="K611" s="60"/>
      <c r="L611" s="60"/>
      <c r="M611" s="60"/>
      <c r="N611" s="60"/>
      <c r="O611" s="60"/>
      <c r="P611" s="60"/>
      <c r="Q611" s="60"/>
      <c r="R611" s="60"/>
      <c r="S611" s="60"/>
      <c r="T611" s="60"/>
      <c r="U611" s="60"/>
      <c r="V611" s="60"/>
      <c r="W611" s="60"/>
      <c r="X611" s="60"/>
    </row>
    <row r="612">
      <c r="A612" s="15"/>
      <c r="B612" s="15"/>
      <c r="C612" s="15"/>
      <c r="D612" s="15"/>
      <c r="E612" s="15"/>
      <c r="F612" s="15" t="s">
        <v>3650</v>
      </c>
      <c r="G612" s="60"/>
      <c r="H612" s="60"/>
      <c r="I612" s="60"/>
      <c r="J612" s="60"/>
      <c r="K612" s="60"/>
      <c r="L612" s="60"/>
      <c r="M612" s="60"/>
      <c r="N612" s="60"/>
      <c r="O612" s="60"/>
      <c r="P612" s="60"/>
      <c r="Q612" s="60"/>
      <c r="R612" s="60"/>
      <c r="S612" s="60"/>
      <c r="T612" s="60"/>
      <c r="U612" s="60"/>
      <c r="V612" s="60"/>
      <c r="W612" s="60"/>
      <c r="X612" s="60"/>
    </row>
    <row r="613">
      <c r="A613" s="15"/>
      <c r="B613" s="15"/>
      <c r="C613" s="15"/>
      <c r="D613" s="15"/>
      <c r="E613" s="15"/>
      <c r="F613" s="15" t="s">
        <v>3650</v>
      </c>
      <c r="G613" s="60"/>
      <c r="H613" s="60"/>
      <c r="I613" s="60"/>
      <c r="J613" s="60"/>
      <c r="K613" s="60"/>
      <c r="L613" s="60"/>
      <c r="M613" s="60"/>
      <c r="N613" s="60"/>
      <c r="O613" s="60"/>
      <c r="P613" s="60"/>
      <c r="Q613" s="60"/>
      <c r="R613" s="60"/>
      <c r="S613" s="60"/>
      <c r="T613" s="60"/>
      <c r="U613" s="60"/>
      <c r="V613" s="60"/>
      <c r="W613" s="60"/>
      <c r="X613" s="60"/>
    </row>
    <row r="614">
      <c r="A614" s="15"/>
      <c r="B614" s="15"/>
      <c r="C614" s="15"/>
      <c r="D614" s="15"/>
      <c r="E614" s="15"/>
      <c r="F614" s="15" t="s">
        <v>3650</v>
      </c>
      <c r="G614" s="60"/>
      <c r="H614" s="60"/>
      <c r="I614" s="60"/>
      <c r="J614" s="60"/>
      <c r="K614" s="60"/>
      <c r="L614" s="60"/>
      <c r="M614" s="60"/>
      <c r="N614" s="60"/>
      <c r="O614" s="60"/>
      <c r="P614" s="60"/>
      <c r="Q614" s="60"/>
      <c r="R614" s="60"/>
      <c r="S614" s="60"/>
      <c r="T614" s="60"/>
      <c r="U614" s="60"/>
      <c r="V614" s="60"/>
      <c r="W614" s="60"/>
      <c r="X614" s="60"/>
    </row>
    <row r="615">
      <c r="A615" s="15"/>
      <c r="B615" s="15"/>
      <c r="C615" s="15"/>
      <c r="D615" s="15"/>
      <c r="E615" s="15"/>
      <c r="F615" s="15" t="s">
        <v>3650</v>
      </c>
      <c r="G615" s="60"/>
      <c r="H615" s="60"/>
      <c r="I615" s="60"/>
      <c r="J615" s="60"/>
      <c r="K615" s="60"/>
      <c r="L615" s="60"/>
      <c r="M615" s="60"/>
      <c r="N615" s="60"/>
      <c r="O615" s="60"/>
      <c r="P615" s="60"/>
      <c r="Q615" s="60"/>
      <c r="R615" s="60"/>
      <c r="S615" s="60"/>
      <c r="T615" s="60"/>
      <c r="U615" s="60"/>
      <c r="V615" s="60"/>
      <c r="W615" s="60"/>
      <c r="X615" s="60"/>
    </row>
    <row r="616">
      <c r="A616" s="15"/>
      <c r="B616" s="15"/>
      <c r="C616" s="15"/>
      <c r="D616" s="15"/>
      <c r="E616" s="15"/>
      <c r="F616" s="15" t="s">
        <v>3650</v>
      </c>
      <c r="G616" s="60"/>
      <c r="H616" s="60"/>
      <c r="I616" s="60"/>
      <c r="J616" s="60"/>
      <c r="K616" s="60"/>
      <c r="L616" s="60"/>
      <c r="M616" s="60"/>
      <c r="N616" s="60"/>
      <c r="O616" s="60"/>
      <c r="P616" s="60"/>
      <c r="Q616" s="60"/>
      <c r="R616" s="60"/>
      <c r="S616" s="60"/>
      <c r="T616" s="60"/>
      <c r="U616" s="60"/>
      <c r="V616" s="60"/>
      <c r="W616" s="60"/>
      <c r="X616" s="60"/>
    </row>
    <row r="617">
      <c r="A617" s="15"/>
      <c r="B617" s="15"/>
      <c r="C617" s="15"/>
      <c r="D617" s="15"/>
      <c r="E617" s="15"/>
      <c r="F617" s="15" t="s">
        <v>3650</v>
      </c>
      <c r="G617" s="60"/>
      <c r="H617" s="60"/>
      <c r="I617" s="60"/>
      <c r="J617" s="60"/>
      <c r="K617" s="60"/>
      <c r="L617" s="60"/>
      <c r="M617" s="60"/>
      <c r="N617" s="60"/>
      <c r="O617" s="60"/>
      <c r="P617" s="60"/>
      <c r="Q617" s="60"/>
      <c r="R617" s="60"/>
      <c r="S617" s="60"/>
      <c r="T617" s="60"/>
      <c r="U617" s="60"/>
      <c r="V617" s="60"/>
      <c r="W617" s="60"/>
      <c r="X617" s="60"/>
    </row>
    <row r="618">
      <c r="A618" s="15"/>
      <c r="B618" s="15"/>
      <c r="C618" s="15"/>
      <c r="D618" s="15"/>
      <c r="E618" s="15"/>
      <c r="F618" s="15" t="s">
        <v>3650</v>
      </c>
      <c r="G618" s="60"/>
      <c r="H618" s="60"/>
      <c r="I618" s="60"/>
      <c r="J618" s="60"/>
      <c r="K618" s="60"/>
      <c r="L618" s="60"/>
      <c r="M618" s="60"/>
      <c r="N618" s="60"/>
      <c r="O618" s="60"/>
      <c r="P618" s="60"/>
      <c r="Q618" s="60"/>
      <c r="R618" s="60"/>
      <c r="S618" s="60"/>
      <c r="T618" s="60"/>
      <c r="U618" s="60"/>
      <c r="V618" s="60"/>
      <c r="W618" s="60"/>
      <c r="X618" s="60"/>
    </row>
    <row r="619">
      <c r="A619" s="15"/>
      <c r="B619" s="15"/>
      <c r="C619" s="15"/>
      <c r="D619" s="15"/>
      <c r="E619" s="15"/>
      <c r="F619" s="15" t="s">
        <v>3650</v>
      </c>
      <c r="G619" s="60"/>
      <c r="H619" s="60"/>
      <c r="I619" s="60"/>
      <c r="J619" s="60"/>
      <c r="K619" s="60"/>
      <c r="L619" s="60"/>
      <c r="M619" s="60"/>
      <c r="N619" s="60"/>
      <c r="O619" s="60"/>
      <c r="P619" s="60"/>
      <c r="Q619" s="60"/>
      <c r="R619" s="60"/>
      <c r="S619" s="60"/>
      <c r="T619" s="60"/>
      <c r="U619" s="60"/>
      <c r="V619" s="60"/>
      <c r="W619" s="60"/>
      <c r="X619" s="60"/>
    </row>
    <row r="620">
      <c r="A620" s="15"/>
      <c r="B620" s="15"/>
      <c r="C620" s="15"/>
      <c r="D620" s="15"/>
      <c r="E620" s="15"/>
      <c r="F620" s="15" t="s">
        <v>3650</v>
      </c>
      <c r="G620" s="60"/>
      <c r="H620" s="60"/>
      <c r="I620" s="60"/>
      <c r="J620" s="60"/>
      <c r="K620" s="60"/>
      <c r="L620" s="60"/>
      <c r="M620" s="60"/>
      <c r="N620" s="60"/>
      <c r="O620" s="60"/>
      <c r="P620" s="60"/>
      <c r="Q620" s="60"/>
      <c r="R620" s="60"/>
      <c r="S620" s="60"/>
      <c r="T620" s="60"/>
      <c r="U620" s="60"/>
      <c r="V620" s="60"/>
      <c r="W620" s="60"/>
      <c r="X620" s="60"/>
    </row>
    <row r="621">
      <c r="A621" s="15"/>
      <c r="B621" s="15"/>
      <c r="C621" s="15"/>
      <c r="D621" s="15"/>
      <c r="E621" s="15"/>
      <c r="F621" s="15" t="s">
        <v>3650</v>
      </c>
      <c r="G621" s="60"/>
      <c r="H621" s="60"/>
      <c r="I621" s="60"/>
      <c r="J621" s="60"/>
      <c r="K621" s="60"/>
      <c r="L621" s="60"/>
      <c r="M621" s="60"/>
      <c r="N621" s="60"/>
      <c r="O621" s="60"/>
      <c r="P621" s="60"/>
      <c r="Q621" s="60"/>
      <c r="R621" s="60"/>
      <c r="S621" s="60"/>
      <c r="T621" s="60"/>
      <c r="U621" s="60"/>
      <c r="V621" s="60"/>
      <c r="W621" s="60"/>
      <c r="X621" s="60"/>
    </row>
    <row r="622">
      <c r="A622" s="15"/>
      <c r="B622" s="15"/>
      <c r="C622" s="15"/>
      <c r="D622" s="15"/>
      <c r="E622" s="15"/>
      <c r="F622" s="15" t="s">
        <v>3650</v>
      </c>
      <c r="G622" s="60"/>
      <c r="H622" s="60"/>
      <c r="I622" s="60"/>
      <c r="J622" s="60"/>
      <c r="K622" s="60"/>
      <c r="L622" s="60"/>
      <c r="M622" s="60"/>
      <c r="N622" s="60"/>
      <c r="O622" s="60"/>
      <c r="P622" s="60"/>
      <c r="Q622" s="60"/>
      <c r="R622" s="60"/>
      <c r="S622" s="60"/>
      <c r="T622" s="60"/>
      <c r="U622" s="60"/>
      <c r="V622" s="60"/>
      <c r="W622" s="60"/>
      <c r="X622" s="60"/>
    </row>
    <row r="623">
      <c r="A623" s="15"/>
      <c r="B623" s="15"/>
      <c r="C623" s="15"/>
      <c r="D623" s="15"/>
      <c r="E623" s="15"/>
      <c r="F623" s="15" t="s">
        <v>3650</v>
      </c>
      <c r="G623" s="60"/>
      <c r="H623" s="60"/>
      <c r="I623" s="60"/>
      <c r="J623" s="60"/>
      <c r="K623" s="60"/>
      <c r="L623" s="60"/>
      <c r="M623" s="60"/>
      <c r="N623" s="60"/>
      <c r="O623" s="60"/>
      <c r="P623" s="60"/>
      <c r="Q623" s="60"/>
      <c r="R623" s="60"/>
      <c r="S623" s="60"/>
      <c r="T623" s="60"/>
      <c r="U623" s="60"/>
      <c r="V623" s="60"/>
      <c r="W623" s="60"/>
      <c r="X623" s="60"/>
    </row>
    <row r="624">
      <c r="A624" s="15"/>
      <c r="B624" s="15"/>
      <c r="C624" s="15"/>
      <c r="D624" s="15"/>
      <c r="E624" s="15"/>
      <c r="F624" s="15" t="s">
        <v>3650</v>
      </c>
      <c r="G624" s="60"/>
      <c r="H624" s="60"/>
      <c r="I624" s="60"/>
      <c r="J624" s="60"/>
      <c r="K624" s="60"/>
      <c r="L624" s="60"/>
      <c r="M624" s="60"/>
      <c r="N624" s="60"/>
      <c r="O624" s="60"/>
      <c r="P624" s="60"/>
      <c r="Q624" s="60"/>
      <c r="R624" s="60"/>
      <c r="S624" s="60"/>
      <c r="T624" s="60"/>
      <c r="U624" s="60"/>
      <c r="V624" s="60"/>
      <c r="W624" s="60"/>
      <c r="X624" s="60"/>
    </row>
    <row r="625">
      <c r="A625" s="15"/>
      <c r="B625" s="15"/>
      <c r="C625" s="15"/>
      <c r="D625" s="15"/>
      <c r="E625" s="15"/>
      <c r="F625" s="15" t="s">
        <v>3650</v>
      </c>
      <c r="G625" s="60"/>
      <c r="H625" s="60"/>
      <c r="I625" s="60"/>
      <c r="J625" s="60"/>
      <c r="K625" s="60"/>
      <c r="L625" s="60"/>
      <c r="M625" s="60"/>
      <c r="N625" s="60"/>
      <c r="O625" s="60"/>
      <c r="P625" s="60"/>
      <c r="Q625" s="60"/>
      <c r="R625" s="60"/>
      <c r="S625" s="60"/>
      <c r="T625" s="60"/>
      <c r="U625" s="60"/>
      <c r="V625" s="60"/>
      <c r="W625" s="60"/>
      <c r="X625" s="60"/>
    </row>
    <row r="626">
      <c r="A626" s="15"/>
      <c r="B626" s="15"/>
      <c r="C626" s="15"/>
      <c r="D626" s="15"/>
      <c r="E626" s="15"/>
      <c r="F626" s="15" t="s">
        <v>3650</v>
      </c>
      <c r="G626" s="60"/>
      <c r="H626" s="60"/>
      <c r="I626" s="60"/>
      <c r="J626" s="60"/>
      <c r="K626" s="60"/>
      <c r="L626" s="60"/>
      <c r="M626" s="60"/>
      <c r="N626" s="60"/>
      <c r="O626" s="60"/>
      <c r="P626" s="60"/>
      <c r="Q626" s="60"/>
      <c r="R626" s="60"/>
      <c r="S626" s="60"/>
      <c r="T626" s="60"/>
      <c r="U626" s="60"/>
      <c r="V626" s="60"/>
      <c r="W626" s="60"/>
      <c r="X626" s="60"/>
    </row>
    <row r="627">
      <c r="A627" s="15"/>
      <c r="B627" s="15"/>
      <c r="C627" s="15"/>
      <c r="D627" s="15"/>
      <c r="E627" s="15"/>
      <c r="F627" s="15" t="s">
        <v>3650</v>
      </c>
      <c r="G627" s="60"/>
      <c r="H627" s="60"/>
      <c r="I627" s="60"/>
      <c r="J627" s="60"/>
      <c r="K627" s="60"/>
      <c r="L627" s="60"/>
      <c r="M627" s="60"/>
      <c r="N627" s="60"/>
      <c r="O627" s="60"/>
      <c r="P627" s="60"/>
      <c r="Q627" s="60"/>
      <c r="R627" s="60"/>
      <c r="S627" s="60"/>
      <c r="T627" s="60"/>
      <c r="U627" s="60"/>
      <c r="V627" s="60"/>
      <c r="W627" s="60"/>
      <c r="X627" s="60"/>
    </row>
    <row r="628">
      <c r="A628" s="15"/>
      <c r="B628" s="15"/>
      <c r="C628" s="15"/>
      <c r="D628" s="15"/>
      <c r="E628" s="15"/>
      <c r="F628" s="15" t="s">
        <v>3650</v>
      </c>
      <c r="G628" s="60"/>
      <c r="H628" s="60"/>
      <c r="I628" s="60"/>
      <c r="J628" s="60"/>
      <c r="K628" s="60"/>
      <c r="L628" s="60"/>
      <c r="M628" s="60"/>
      <c r="N628" s="60"/>
      <c r="O628" s="60"/>
      <c r="P628" s="60"/>
      <c r="Q628" s="60"/>
      <c r="R628" s="60"/>
      <c r="S628" s="60"/>
      <c r="T628" s="60"/>
      <c r="U628" s="60"/>
      <c r="V628" s="60"/>
      <c r="W628" s="60"/>
      <c r="X628" s="60"/>
    </row>
    <row r="629">
      <c r="A629" s="15"/>
      <c r="B629" s="15"/>
      <c r="C629" s="15"/>
      <c r="D629" s="15"/>
      <c r="E629" s="15"/>
      <c r="F629" s="15" t="s">
        <v>3650</v>
      </c>
      <c r="G629" s="60"/>
      <c r="H629" s="60"/>
      <c r="I629" s="60"/>
      <c r="J629" s="60"/>
      <c r="K629" s="60"/>
      <c r="L629" s="60"/>
      <c r="M629" s="60"/>
      <c r="N629" s="60"/>
      <c r="O629" s="60"/>
      <c r="P629" s="60"/>
      <c r="Q629" s="60"/>
      <c r="R629" s="60"/>
      <c r="S629" s="60"/>
      <c r="T629" s="60"/>
      <c r="U629" s="60"/>
      <c r="V629" s="60"/>
      <c r="W629" s="60"/>
      <c r="X629" s="60"/>
    </row>
    <row r="630">
      <c r="A630" s="15"/>
      <c r="B630" s="15"/>
      <c r="C630" s="15"/>
      <c r="D630" s="15"/>
      <c r="E630" s="15"/>
      <c r="F630" s="15" t="s">
        <v>3650</v>
      </c>
      <c r="G630" s="60"/>
      <c r="H630" s="60"/>
      <c r="I630" s="60"/>
      <c r="J630" s="60"/>
      <c r="K630" s="60"/>
      <c r="L630" s="60"/>
      <c r="M630" s="60"/>
      <c r="N630" s="60"/>
      <c r="O630" s="60"/>
      <c r="P630" s="60"/>
      <c r="Q630" s="60"/>
      <c r="R630" s="60"/>
      <c r="S630" s="60"/>
      <c r="T630" s="60"/>
      <c r="U630" s="60"/>
      <c r="V630" s="60"/>
      <c r="W630" s="60"/>
      <c r="X630" s="60"/>
    </row>
    <row r="631">
      <c r="A631" s="15"/>
      <c r="B631" s="15"/>
      <c r="C631" s="15"/>
      <c r="D631" s="15"/>
      <c r="E631" s="15"/>
      <c r="F631" s="15" t="s">
        <v>3650</v>
      </c>
      <c r="G631" s="60"/>
      <c r="H631" s="60"/>
      <c r="I631" s="60"/>
      <c r="J631" s="60"/>
      <c r="K631" s="60"/>
      <c r="L631" s="60"/>
      <c r="M631" s="60"/>
      <c r="N631" s="60"/>
      <c r="O631" s="60"/>
      <c r="P631" s="60"/>
      <c r="Q631" s="60"/>
      <c r="R631" s="60"/>
      <c r="S631" s="60"/>
      <c r="T631" s="60"/>
      <c r="U631" s="60"/>
      <c r="V631" s="60"/>
      <c r="W631" s="60"/>
      <c r="X631" s="60"/>
    </row>
    <row r="632">
      <c r="A632" s="15"/>
      <c r="B632" s="15"/>
      <c r="C632" s="15"/>
      <c r="D632" s="15"/>
      <c r="E632" s="15"/>
      <c r="F632" s="15" t="s">
        <v>3650</v>
      </c>
      <c r="G632" s="60"/>
      <c r="H632" s="60"/>
      <c r="I632" s="60"/>
      <c r="J632" s="60"/>
      <c r="K632" s="60"/>
      <c r="L632" s="60"/>
      <c r="M632" s="60"/>
      <c r="N632" s="60"/>
      <c r="O632" s="60"/>
      <c r="P632" s="60"/>
      <c r="Q632" s="60"/>
      <c r="R632" s="60"/>
      <c r="S632" s="60"/>
      <c r="T632" s="60"/>
      <c r="U632" s="60"/>
      <c r="V632" s="60"/>
      <c r="W632" s="60"/>
      <c r="X632" s="60"/>
    </row>
    <row r="633">
      <c r="A633" s="15"/>
      <c r="B633" s="15"/>
      <c r="C633" s="15"/>
      <c r="D633" s="15"/>
      <c r="E633" s="15"/>
      <c r="F633" s="15" t="s">
        <v>3650</v>
      </c>
      <c r="G633" s="60"/>
      <c r="H633" s="60"/>
      <c r="I633" s="60"/>
      <c r="J633" s="60"/>
      <c r="K633" s="60"/>
      <c r="L633" s="60"/>
      <c r="M633" s="60"/>
      <c r="N633" s="60"/>
      <c r="O633" s="60"/>
      <c r="P633" s="60"/>
      <c r="Q633" s="60"/>
      <c r="R633" s="60"/>
      <c r="S633" s="60"/>
      <c r="T633" s="60"/>
      <c r="U633" s="60"/>
      <c r="V633" s="60"/>
      <c r="W633" s="60"/>
      <c r="X633" s="60"/>
    </row>
    <row r="634">
      <c r="A634" s="15"/>
      <c r="B634" s="15"/>
      <c r="C634" s="15"/>
      <c r="D634" s="15"/>
      <c r="E634" s="15"/>
      <c r="F634" s="15" t="s">
        <v>3650</v>
      </c>
      <c r="G634" s="60"/>
      <c r="H634" s="60"/>
      <c r="I634" s="60"/>
      <c r="J634" s="60"/>
      <c r="K634" s="60"/>
      <c r="L634" s="60"/>
      <c r="M634" s="60"/>
      <c r="N634" s="60"/>
      <c r="O634" s="60"/>
      <c r="P634" s="60"/>
      <c r="Q634" s="60"/>
      <c r="R634" s="60"/>
      <c r="S634" s="60"/>
      <c r="T634" s="60"/>
      <c r="U634" s="60"/>
      <c r="V634" s="60"/>
      <c r="W634" s="60"/>
      <c r="X634" s="60"/>
    </row>
    <row r="635">
      <c r="A635" s="15"/>
      <c r="B635" s="15"/>
      <c r="C635" s="15"/>
      <c r="D635" s="15"/>
      <c r="E635" s="15"/>
      <c r="F635" s="15" t="s">
        <v>3650</v>
      </c>
      <c r="G635" s="60"/>
      <c r="H635" s="60"/>
      <c r="I635" s="60"/>
      <c r="J635" s="60"/>
      <c r="K635" s="60"/>
      <c r="L635" s="60"/>
      <c r="M635" s="60"/>
      <c r="N635" s="60"/>
      <c r="O635" s="60"/>
      <c r="P635" s="60"/>
      <c r="Q635" s="60"/>
      <c r="R635" s="60"/>
      <c r="S635" s="60"/>
      <c r="T635" s="60"/>
      <c r="U635" s="60"/>
      <c r="V635" s="60"/>
      <c r="W635" s="60"/>
      <c r="X635" s="60"/>
    </row>
    <row r="636">
      <c r="A636" s="15"/>
      <c r="B636" s="15"/>
      <c r="C636" s="15"/>
      <c r="D636" s="15"/>
      <c r="E636" s="15"/>
      <c r="F636" s="15" t="s">
        <v>3650</v>
      </c>
      <c r="G636" s="60"/>
      <c r="H636" s="60"/>
      <c r="I636" s="60"/>
      <c r="J636" s="60"/>
      <c r="K636" s="60"/>
      <c r="L636" s="60"/>
      <c r="M636" s="60"/>
      <c r="N636" s="60"/>
      <c r="O636" s="60"/>
      <c r="P636" s="60"/>
      <c r="Q636" s="60"/>
      <c r="R636" s="60"/>
      <c r="S636" s="60"/>
      <c r="T636" s="60"/>
      <c r="U636" s="60"/>
      <c r="V636" s="60"/>
      <c r="W636" s="60"/>
      <c r="X636" s="60"/>
    </row>
    <row r="637">
      <c r="A637" s="15"/>
      <c r="B637" s="15"/>
      <c r="C637" s="15"/>
      <c r="D637" s="15"/>
      <c r="E637" s="15"/>
      <c r="F637" s="15" t="s">
        <v>3650</v>
      </c>
      <c r="G637" s="60"/>
      <c r="H637" s="60"/>
      <c r="I637" s="60"/>
      <c r="J637" s="60"/>
      <c r="K637" s="60"/>
      <c r="L637" s="60"/>
      <c r="M637" s="60"/>
      <c r="N637" s="60"/>
      <c r="O637" s="60"/>
      <c r="P637" s="60"/>
      <c r="Q637" s="60"/>
      <c r="R637" s="60"/>
      <c r="S637" s="60"/>
      <c r="T637" s="60"/>
      <c r="U637" s="60"/>
      <c r="V637" s="60"/>
      <c r="W637" s="60"/>
      <c r="X637" s="60"/>
    </row>
    <row r="638">
      <c r="A638" s="15"/>
      <c r="B638" s="15"/>
      <c r="C638" s="15"/>
      <c r="D638" s="15"/>
      <c r="E638" s="15"/>
      <c r="F638" s="15" t="s">
        <v>3650</v>
      </c>
      <c r="G638" s="60"/>
      <c r="H638" s="60"/>
      <c r="I638" s="60"/>
      <c r="J638" s="60"/>
      <c r="K638" s="60"/>
      <c r="L638" s="60"/>
      <c r="M638" s="60"/>
      <c r="N638" s="60"/>
      <c r="O638" s="60"/>
      <c r="P638" s="60"/>
      <c r="Q638" s="60"/>
      <c r="R638" s="60"/>
      <c r="S638" s="60"/>
      <c r="T638" s="60"/>
      <c r="U638" s="60"/>
      <c r="V638" s="60"/>
      <c r="W638" s="60"/>
      <c r="X638" s="60"/>
    </row>
    <row r="639">
      <c r="A639" s="15"/>
      <c r="B639" s="15"/>
      <c r="C639" s="15"/>
      <c r="D639" s="15"/>
      <c r="E639" s="15"/>
      <c r="F639" s="15" t="s">
        <v>3650</v>
      </c>
      <c r="G639" s="60"/>
      <c r="H639" s="60"/>
      <c r="I639" s="60"/>
      <c r="J639" s="60"/>
      <c r="K639" s="60"/>
      <c r="L639" s="60"/>
      <c r="M639" s="60"/>
      <c r="N639" s="60"/>
      <c r="O639" s="60"/>
      <c r="P639" s="60"/>
      <c r="Q639" s="60"/>
      <c r="R639" s="60"/>
      <c r="S639" s="60"/>
      <c r="T639" s="60"/>
      <c r="U639" s="60"/>
      <c r="V639" s="60"/>
      <c r="W639" s="60"/>
      <c r="X639" s="60"/>
    </row>
    <row r="640">
      <c r="A640" s="15"/>
      <c r="B640" s="15"/>
      <c r="C640" s="15"/>
      <c r="D640" s="15"/>
      <c r="E640" s="15"/>
      <c r="F640" s="15" t="s">
        <v>3650</v>
      </c>
      <c r="G640" s="60"/>
      <c r="H640" s="60"/>
      <c r="I640" s="60"/>
      <c r="J640" s="60"/>
      <c r="K640" s="60"/>
      <c r="L640" s="60"/>
      <c r="M640" s="60"/>
      <c r="N640" s="60"/>
      <c r="O640" s="60"/>
      <c r="P640" s="60"/>
      <c r="Q640" s="60"/>
      <c r="R640" s="60"/>
      <c r="S640" s="60"/>
      <c r="T640" s="60"/>
      <c r="U640" s="60"/>
      <c r="V640" s="60"/>
      <c r="W640" s="60"/>
      <c r="X640" s="60"/>
    </row>
    <row r="641">
      <c r="A641" s="15"/>
      <c r="B641" s="15"/>
      <c r="C641" s="15"/>
      <c r="D641" s="15"/>
      <c r="E641" s="15"/>
      <c r="F641" s="15" t="s">
        <v>3650</v>
      </c>
      <c r="G641" s="60"/>
      <c r="H641" s="60"/>
      <c r="I641" s="60"/>
      <c r="J641" s="60"/>
      <c r="K641" s="60"/>
      <c r="L641" s="60"/>
      <c r="M641" s="60"/>
      <c r="N641" s="60"/>
      <c r="O641" s="60"/>
      <c r="P641" s="60"/>
      <c r="Q641" s="60"/>
      <c r="R641" s="60"/>
      <c r="S641" s="60"/>
      <c r="T641" s="60"/>
      <c r="U641" s="60"/>
      <c r="V641" s="60"/>
      <c r="W641" s="60"/>
      <c r="X641" s="60"/>
    </row>
    <row r="642">
      <c r="A642" s="15"/>
      <c r="B642" s="15"/>
      <c r="C642" s="15"/>
      <c r="D642" s="15"/>
      <c r="E642" s="15"/>
      <c r="F642" s="15" t="s">
        <v>3650</v>
      </c>
      <c r="G642" s="60"/>
      <c r="H642" s="60"/>
      <c r="I642" s="60"/>
      <c r="J642" s="60"/>
      <c r="K642" s="60"/>
      <c r="L642" s="60"/>
      <c r="M642" s="60"/>
      <c r="N642" s="60"/>
      <c r="O642" s="60"/>
      <c r="P642" s="60"/>
      <c r="Q642" s="60"/>
      <c r="R642" s="60"/>
      <c r="S642" s="60"/>
      <c r="T642" s="60"/>
      <c r="U642" s="60"/>
      <c r="V642" s="60"/>
      <c r="W642" s="60"/>
      <c r="X642" s="60"/>
    </row>
    <row r="643">
      <c r="A643" s="15"/>
      <c r="B643" s="15"/>
      <c r="C643" s="15"/>
      <c r="D643" s="15"/>
      <c r="E643" s="15"/>
      <c r="F643" s="15" t="s">
        <v>3650</v>
      </c>
      <c r="G643" s="60"/>
      <c r="H643" s="60"/>
      <c r="I643" s="60"/>
      <c r="J643" s="60"/>
      <c r="K643" s="60"/>
      <c r="L643" s="60"/>
      <c r="M643" s="60"/>
      <c r="N643" s="60"/>
      <c r="O643" s="60"/>
      <c r="P643" s="60"/>
      <c r="Q643" s="60"/>
      <c r="R643" s="60"/>
      <c r="S643" s="60"/>
      <c r="T643" s="60"/>
      <c r="U643" s="60"/>
      <c r="V643" s="60"/>
      <c r="W643" s="60"/>
      <c r="X643" s="60"/>
    </row>
    <row r="644">
      <c r="A644" s="15"/>
      <c r="B644" s="15"/>
      <c r="C644" s="15"/>
      <c r="D644" s="15"/>
      <c r="E644" s="15"/>
      <c r="F644" s="15" t="s">
        <v>3650</v>
      </c>
      <c r="G644" s="60"/>
      <c r="H644" s="60"/>
      <c r="I644" s="60"/>
      <c r="J644" s="60"/>
      <c r="K644" s="60"/>
      <c r="L644" s="60"/>
      <c r="M644" s="60"/>
      <c r="N644" s="60"/>
      <c r="O644" s="60"/>
      <c r="P644" s="60"/>
      <c r="Q644" s="60"/>
      <c r="R644" s="60"/>
      <c r="S644" s="60"/>
      <c r="T644" s="60"/>
      <c r="U644" s="60"/>
      <c r="V644" s="60"/>
      <c r="W644" s="60"/>
      <c r="X644" s="60"/>
    </row>
    <row r="645">
      <c r="A645" s="15"/>
      <c r="B645" s="15"/>
      <c r="C645" s="15"/>
      <c r="D645" s="15"/>
      <c r="E645" s="15"/>
      <c r="F645" s="15" t="s">
        <v>3650</v>
      </c>
      <c r="G645" s="60"/>
      <c r="H645" s="60"/>
      <c r="I645" s="60"/>
      <c r="J645" s="60"/>
      <c r="K645" s="60"/>
      <c r="L645" s="60"/>
      <c r="M645" s="60"/>
      <c r="N645" s="60"/>
      <c r="O645" s="60"/>
      <c r="P645" s="60"/>
      <c r="Q645" s="60"/>
      <c r="R645" s="60"/>
      <c r="S645" s="60"/>
      <c r="T645" s="60"/>
      <c r="U645" s="60"/>
      <c r="V645" s="60"/>
      <c r="W645" s="60"/>
      <c r="X645" s="60"/>
    </row>
    <row r="646">
      <c r="A646" s="15"/>
      <c r="B646" s="15"/>
      <c r="C646" s="15"/>
      <c r="D646" s="15"/>
      <c r="E646" s="15"/>
      <c r="F646" s="15" t="s">
        <v>3650</v>
      </c>
      <c r="G646" s="60"/>
      <c r="H646" s="60"/>
      <c r="I646" s="60"/>
      <c r="J646" s="60"/>
      <c r="K646" s="60"/>
      <c r="L646" s="60"/>
      <c r="M646" s="60"/>
      <c r="N646" s="60"/>
      <c r="O646" s="60"/>
      <c r="P646" s="60"/>
      <c r="Q646" s="60"/>
      <c r="R646" s="60"/>
      <c r="S646" s="60"/>
      <c r="T646" s="60"/>
      <c r="U646" s="60"/>
      <c r="V646" s="60"/>
      <c r="W646" s="60"/>
      <c r="X646" s="60"/>
    </row>
    <row r="647">
      <c r="A647" s="15"/>
      <c r="B647" s="15"/>
      <c r="C647" s="15"/>
      <c r="D647" s="15"/>
      <c r="E647" s="15"/>
      <c r="F647" s="15" t="s">
        <v>3650</v>
      </c>
      <c r="G647" s="60"/>
      <c r="H647" s="60"/>
      <c r="I647" s="60"/>
      <c r="J647" s="60"/>
      <c r="K647" s="60"/>
      <c r="L647" s="60"/>
      <c r="M647" s="60"/>
      <c r="N647" s="60"/>
      <c r="O647" s="60"/>
      <c r="P647" s="60"/>
      <c r="Q647" s="60"/>
      <c r="R647" s="60"/>
      <c r="S647" s="60"/>
      <c r="T647" s="60"/>
      <c r="U647" s="60"/>
      <c r="V647" s="60"/>
      <c r="W647" s="60"/>
      <c r="X647" s="60"/>
    </row>
    <row r="648">
      <c r="A648" s="15"/>
      <c r="B648" s="15"/>
      <c r="C648" s="15"/>
      <c r="D648" s="15"/>
      <c r="E648" s="15"/>
      <c r="F648" s="15" t="s">
        <v>3650</v>
      </c>
      <c r="G648" s="60"/>
      <c r="H648" s="60"/>
      <c r="I648" s="60"/>
      <c r="J648" s="60"/>
      <c r="K648" s="60"/>
      <c r="L648" s="60"/>
      <c r="M648" s="60"/>
      <c r="N648" s="60"/>
      <c r="O648" s="60"/>
      <c r="P648" s="60"/>
      <c r="Q648" s="60"/>
      <c r="R648" s="60"/>
      <c r="S648" s="60"/>
      <c r="T648" s="60"/>
      <c r="U648" s="60"/>
      <c r="V648" s="60"/>
      <c r="W648" s="60"/>
      <c r="X648" s="60"/>
    </row>
    <row r="649">
      <c r="A649" s="15"/>
      <c r="B649" s="15"/>
      <c r="C649" s="15"/>
      <c r="D649" s="15"/>
      <c r="E649" s="15"/>
      <c r="F649" s="15" t="s">
        <v>3650</v>
      </c>
      <c r="G649" s="60"/>
      <c r="H649" s="60"/>
      <c r="I649" s="60"/>
      <c r="J649" s="60"/>
      <c r="K649" s="60"/>
      <c r="L649" s="60"/>
      <c r="M649" s="60"/>
      <c r="N649" s="60"/>
      <c r="O649" s="60"/>
      <c r="P649" s="60"/>
      <c r="Q649" s="60"/>
      <c r="R649" s="60"/>
      <c r="S649" s="60"/>
      <c r="T649" s="60"/>
      <c r="U649" s="60"/>
      <c r="V649" s="60"/>
      <c r="W649" s="60"/>
      <c r="X649" s="60"/>
    </row>
    <row r="650">
      <c r="A650" s="15"/>
      <c r="B650" s="15"/>
      <c r="C650" s="15"/>
      <c r="D650" s="15"/>
      <c r="E650" s="15"/>
      <c r="F650" s="15" t="s">
        <v>3650</v>
      </c>
      <c r="G650" s="60"/>
      <c r="H650" s="60"/>
      <c r="I650" s="60"/>
      <c r="J650" s="60"/>
      <c r="K650" s="60"/>
      <c r="L650" s="60"/>
      <c r="M650" s="60"/>
      <c r="N650" s="60"/>
      <c r="O650" s="60"/>
      <c r="P650" s="60"/>
      <c r="Q650" s="60"/>
      <c r="R650" s="60"/>
      <c r="S650" s="60"/>
      <c r="T650" s="60"/>
      <c r="U650" s="60"/>
      <c r="V650" s="60"/>
      <c r="W650" s="60"/>
      <c r="X650" s="60"/>
    </row>
    <row r="651">
      <c r="A651" s="15"/>
      <c r="B651" s="15"/>
      <c r="C651" s="15"/>
      <c r="D651" s="15"/>
      <c r="E651" s="15"/>
      <c r="F651" s="15" t="s">
        <v>3650</v>
      </c>
      <c r="G651" s="60"/>
      <c r="H651" s="60"/>
      <c r="I651" s="60"/>
      <c r="J651" s="60"/>
      <c r="K651" s="60"/>
      <c r="L651" s="60"/>
      <c r="M651" s="60"/>
      <c r="N651" s="60"/>
      <c r="O651" s="60"/>
      <c r="P651" s="60"/>
      <c r="Q651" s="60"/>
      <c r="R651" s="60"/>
      <c r="S651" s="60"/>
      <c r="T651" s="60"/>
      <c r="U651" s="60"/>
      <c r="V651" s="60"/>
      <c r="W651" s="60"/>
      <c r="X651" s="60"/>
    </row>
    <row r="652">
      <c r="A652" s="15"/>
      <c r="B652" s="15"/>
      <c r="C652" s="15"/>
      <c r="D652" s="15"/>
      <c r="E652" s="15"/>
      <c r="F652" s="15" t="s">
        <v>3650</v>
      </c>
      <c r="G652" s="60"/>
      <c r="H652" s="60"/>
      <c r="I652" s="60"/>
      <c r="J652" s="60"/>
      <c r="K652" s="60"/>
      <c r="L652" s="60"/>
      <c r="M652" s="60"/>
      <c r="N652" s="60"/>
      <c r="O652" s="60"/>
      <c r="P652" s="60"/>
      <c r="Q652" s="60"/>
      <c r="R652" s="60"/>
      <c r="S652" s="60"/>
      <c r="T652" s="60"/>
      <c r="U652" s="60"/>
      <c r="V652" s="60"/>
      <c r="W652" s="60"/>
      <c r="X652" s="60"/>
    </row>
    <row r="653">
      <c r="A653" s="15"/>
      <c r="B653" s="15"/>
      <c r="C653" s="15"/>
      <c r="D653" s="15"/>
      <c r="E653" s="15"/>
      <c r="F653" s="15" t="s">
        <v>3650</v>
      </c>
      <c r="G653" s="60"/>
      <c r="H653" s="60"/>
      <c r="I653" s="60"/>
      <c r="J653" s="60"/>
      <c r="K653" s="60"/>
      <c r="L653" s="60"/>
      <c r="M653" s="60"/>
      <c r="N653" s="60"/>
      <c r="O653" s="60"/>
      <c r="P653" s="60"/>
      <c r="Q653" s="60"/>
      <c r="R653" s="60"/>
      <c r="S653" s="60"/>
      <c r="T653" s="60"/>
      <c r="U653" s="60"/>
      <c r="V653" s="60"/>
      <c r="W653" s="60"/>
      <c r="X653" s="60"/>
    </row>
    <row r="654">
      <c r="A654" s="15"/>
      <c r="B654" s="15"/>
      <c r="C654" s="15"/>
      <c r="D654" s="15"/>
      <c r="E654" s="15"/>
      <c r="F654" s="15" t="s">
        <v>3650</v>
      </c>
      <c r="G654" s="60"/>
      <c r="H654" s="60"/>
      <c r="I654" s="60"/>
      <c r="J654" s="60"/>
      <c r="K654" s="60"/>
      <c r="L654" s="60"/>
      <c r="M654" s="60"/>
      <c r="N654" s="60"/>
      <c r="O654" s="60"/>
      <c r="P654" s="60"/>
      <c r="Q654" s="60"/>
      <c r="R654" s="60"/>
      <c r="S654" s="60"/>
      <c r="T654" s="60"/>
      <c r="U654" s="60"/>
      <c r="V654" s="60"/>
      <c r="W654" s="60"/>
      <c r="X654" s="60"/>
    </row>
    <row r="655">
      <c r="A655" s="15"/>
      <c r="B655" s="15"/>
      <c r="C655" s="15"/>
      <c r="D655" s="15"/>
      <c r="E655" s="15"/>
      <c r="F655" s="15" t="s">
        <v>3650</v>
      </c>
      <c r="G655" s="60"/>
      <c r="H655" s="60"/>
      <c r="I655" s="60"/>
      <c r="J655" s="60"/>
      <c r="K655" s="60"/>
      <c r="L655" s="60"/>
      <c r="M655" s="60"/>
      <c r="N655" s="60"/>
      <c r="O655" s="60"/>
      <c r="P655" s="60"/>
      <c r="Q655" s="60"/>
      <c r="R655" s="60"/>
      <c r="S655" s="60"/>
      <c r="T655" s="60"/>
      <c r="U655" s="60"/>
      <c r="V655" s="60"/>
      <c r="W655" s="60"/>
      <c r="X655" s="60"/>
    </row>
    <row r="656">
      <c r="A656" s="15"/>
      <c r="B656" s="15"/>
      <c r="C656" s="15"/>
      <c r="D656" s="15"/>
      <c r="E656" s="15"/>
      <c r="F656" s="15" t="s">
        <v>3650</v>
      </c>
      <c r="G656" s="60"/>
      <c r="H656" s="60"/>
      <c r="I656" s="60"/>
      <c r="J656" s="60"/>
      <c r="K656" s="60"/>
      <c r="L656" s="60"/>
      <c r="M656" s="60"/>
      <c r="N656" s="60"/>
      <c r="O656" s="60"/>
      <c r="P656" s="60"/>
      <c r="Q656" s="60"/>
      <c r="R656" s="60"/>
      <c r="S656" s="60"/>
      <c r="T656" s="60"/>
      <c r="U656" s="60"/>
      <c r="V656" s="60"/>
      <c r="W656" s="60"/>
      <c r="X656" s="60"/>
    </row>
    <row r="657">
      <c r="A657" s="15"/>
      <c r="B657" s="15"/>
      <c r="C657" s="15"/>
      <c r="D657" s="15"/>
      <c r="E657" s="15"/>
      <c r="F657" s="15" t="s">
        <v>3650</v>
      </c>
      <c r="G657" s="60"/>
      <c r="H657" s="60"/>
      <c r="I657" s="60"/>
      <c r="J657" s="60"/>
      <c r="K657" s="60"/>
      <c r="L657" s="60"/>
      <c r="M657" s="60"/>
      <c r="N657" s="60"/>
      <c r="O657" s="60"/>
      <c r="P657" s="60"/>
      <c r="Q657" s="60"/>
      <c r="R657" s="60"/>
      <c r="S657" s="60"/>
      <c r="T657" s="60"/>
      <c r="U657" s="60"/>
      <c r="V657" s="60"/>
      <c r="W657" s="60"/>
      <c r="X657" s="60"/>
    </row>
    <row r="658">
      <c r="A658" s="15"/>
      <c r="B658" s="15"/>
      <c r="C658" s="15"/>
      <c r="D658" s="15"/>
      <c r="E658" s="15"/>
      <c r="F658" s="15" t="s">
        <v>3650</v>
      </c>
      <c r="G658" s="60"/>
      <c r="H658" s="60"/>
      <c r="I658" s="60"/>
      <c r="J658" s="60"/>
      <c r="K658" s="60"/>
      <c r="L658" s="60"/>
      <c r="M658" s="60"/>
      <c r="N658" s="60"/>
      <c r="O658" s="60"/>
      <c r="P658" s="60"/>
      <c r="Q658" s="60"/>
      <c r="R658" s="60"/>
      <c r="S658" s="60"/>
      <c r="T658" s="60"/>
      <c r="U658" s="60"/>
      <c r="V658" s="60"/>
      <c r="W658" s="60"/>
      <c r="X658" s="60"/>
    </row>
    <row r="659">
      <c r="A659" s="15"/>
      <c r="B659" s="15"/>
      <c r="C659" s="15"/>
      <c r="D659" s="15"/>
      <c r="E659" s="15"/>
      <c r="F659" s="15" t="s">
        <v>3650</v>
      </c>
      <c r="G659" s="60"/>
      <c r="H659" s="60"/>
      <c r="I659" s="60"/>
      <c r="J659" s="60"/>
      <c r="K659" s="60"/>
      <c r="L659" s="60"/>
      <c r="M659" s="60"/>
      <c r="N659" s="60"/>
      <c r="O659" s="60"/>
      <c r="P659" s="60"/>
      <c r="Q659" s="60"/>
      <c r="R659" s="60"/>
      <c r="S659" s="60"/>
      <c r="T659" s="60"/>
      <c r="U659" s="60"/>
      <c r="V659" s="60"/>
      <c r="W659" s="60"/>
      <c r="X659" s="60"/>
    </row>
    <row r="660">
      <c r="A660" s="15"/>
      <c r="B660" s="15"/>
      <c r="C660" s="15"/>
      <c r="D660" s="15"/>
      <c r="E660" s="15"/>
      <c r="F660" s="15" t="s">
        <v>3650</v>
      </c>
      <c r="G660" s="60"/>
      <c r="H660" s="60"/>
      <c r="I660" s="60"/>
      <c r="J660" s="60"/>
      <c r="K660" s="60"/>
      <c r="L660" s="60"/>
      <c r="M660" s="60"/>
      <c r="N660" s="60"/>
      <c r="O660" s="60"/>
      <c r="P660" s="60"/>
      <c r="Q660" s="60"/>
      <c r="R660" s="60"/>
      <c r="S660" s="60"/>
      <c r="T660" s="60"/>
      <c r="U660" s="60"/>
      <c r="V660" s="60"/>
      <c r="W660" s="60"/>
      <c r="X660" s="60"/>
    </row>
    <row r="661">
      <c r="A661" s="15"/>
      <c r="B661" s="15"/>
      <c r="C661" s="15"/>
      <c r="D661" s="15"/>
      <c r="E661" s="15"/>
      <c r="F661" s="15" t="s">
        <v>3650</v>
      </c>
      <c r="G661" s="60"/>
      <c r="H661" s="60"/>
      <c r="I661" s="60"/>
      <c r="J661" s="60"/>
      <c r="K661" s="60"/>
      <c r="L661" s="60"/>
      <c r="M661" s="60"/>
      <c r="N661" s="60"/>
      <c r="O661" s="60"/>
      <c r="P661" s="60"/>
      <c r="Q661" s="60"/>
      <c r="R661" s="60"/>
      <c r="S661" s="60"/>
      <c r="T661" s="60"/>
      <c r="U661" s="60"/>
      <c r="V661" s="60"/>
      <c r="W661" s="60"/>
      <c r="X661" s="60"/>
    </row>
    <row r="662">
      <c r="A662" s="15"/>
      <c r="B662" s="15"/>
      <c r="C662" s="15"/>
      <c r="D662" s="15"/>
      <c r="E662" s="15"/>
      <c r="F662" s="15" t="s">
        <v>3650</v>
      </c>
      <c r="G662" s="60"/>
      <c r="H662" s="60"/>
      <c r="I662" s="60"/>
      <c r="J662" s="60"/>
      <c r="K662" s="60"/>
      <c r="L662" s="60"/>
      <c r="M662" s="60"/>
      <c r="N662" s="60"/>
      <c r="O662" s="60"/>
      <c r="P662" s="60"/>
      <c r="Q662" s="60"/>
      <c r="R662" s="60"/>
      <c r="S662" s="60"/>
      <c r="T662" s="60"/>
      <c r="U662" s="60"/>
      <c r="V662" s="60"/>
      <c r="W662" s="60"/>
      <c r="X662" s="60"/>
    </row>
    <row r="663">
      <c r="A663" s="15"/>
      <c r="B663" s="15"/>
      <c r="C663" s="15"/>
      <c r="D663" s="15"/>
      <c r="E663" s="15"/>
      <c r="F663" s="15" t="s">
        <v>3650</v>
      </c>
      <c r="G663" s="60"/>
      <c r="H663" s="60"/>
      <c r="I663" s="60"/>
      <c r="J663" s="60"/>
      <c r="K663" s="60"/>
      <c r="L663" s="60"/>
      <c r="M663" s="60"/>
      <c r="N663" s="60"/>
      <c r="O663" s="60"/>
      <c r="P663" s="60"/>
      <c r="Q663" s="60"/>
      <c r="R663" s="60"/>
      <c r="S663" s="60"/>
      <c r="T663" s="60"/>
      <c r="U663" s="60"/>
      <c r="V663" s="60"/>
      <c r="W663" s="60"/>
      <c r="X663" s="60"/>
    </row>
    <row r="664">
      <c r="A664" s="15"/>
      <c r="B664" s="15"/>
      <c r="C664" s="15"/>
      <c r="D664" s="15"/>
      <c r="E664" s="15"/>
      <c r="F664" s="15" t="s">
        <v>3650</v>
      </c>
      <c r="G664" s="60"/>
      <c r="H664" s="60"/>
      <c r="I664" s="60"/>
      <c r="J664" s="60"/>
      <c r="K664" s="60"/>
      <c r="L664" s="60"/>
      <c r="M664" s="60"/>
      <c r="N664" s="60"/>
      <c r="O664" s="60"/>
      <c r="P664" s="60"/>
      <c r="Q664" s="60"/>
      <c r="R664" s="60"/>
      <c r="S664" s="60"/>
      <c r="T664" s="60"/>
      <c r="U664" s="60"/>
      <c r="V664" s="60"/>
      <c r="W664" s="60"/>
      <c r="X664" s="60"/>
    </row>
    <row r="665">
      <c r="A665" s="15"/>
      <c r="B665" s="15"/>
      <c r="C665" s="15"/>
      <c r="D665" s="15"/>
      <c r="E665" s="15"/>
      <c r="F665" s="15" t="s">
        <v>3650</v>
      </c>
      <c r="G665" s="60"/>
      <c r="H665" s="60"/>
      <c r="I665" s="60"/>
      <c r="J665" s="60"/>
      <c r="K665" s="60"/>
      <c r="L665" s="60"/>
      <c r="M665" s="60"/>
      <c r="N665" s="60"/>
      <c r="O665" s="60"/>
      <c r="P665" s="60"/>
      <c r="Q665" s="60"/>
      <c r="R665" s="60"/>
      <c r="S665" s="60"/>
      <c r="T665" s="60"/>
      <c r="U665" s="60"/>
      <c r="V665" s="60"/>
      <c r="W665" s="60"/>
      <c r="X665" s="60"/>
    </row>
    <row r="666">
      <c r="A666" s="15"/>
      <c r="B666" s="15"/>
      <c r="C666" s="15"/>
      <c r="D666" s="15"/>
      <c r="E666" s="15"/>
      <c r="F666" s="15" t="s">
        <v>3650</v>
      </c>
      <c r="G666" s="60"/>
      <c r="H666" s="60"/>
      <c r="I666" s="60"/>
      <c r="J666" s="60"/>
      <c r="K666" s="60"/>
      <c r="L666" s="60"/>
      <c r="M666" s="60"/>
      <c r="N666" s="60"/>
      <c r="O666" s="60"/>
      <c r="P666" s="60"/>
      <c r="Q666" s="60"/>
      <c r="R666" s="60"/>
      <c r="S666" s="60"/>
      <c r="T666" s="60"/>
      <c r="U666" s="60"/>
      <c r="V666" s="60"/>
      <c r="W666" s="60"/>
      <c r="X666" s="60"/>
    </row>
    <row r="667">
      <c r="A667" s="15"/>
      <c r="B667" s="15"/>
      <c r="C667" s="15"/>
      <c r="D667" s="15"/>
      <c r="E667" s="15"/>
      <c r="F667" s="15" t="s">
        <v>3650</v>
      </c>
      <c r="G667" s="60"/>
      <c r="H667" s="60"/>
      <c r="I667" s="60"/>
      <c r="J667" s="60"/>
      <c r="K667" s="60"/>
      <c r="L667" s="60"/>
      <c r="M667" s="60"/>
      <c r="N667" s="60"/>
      <c r="O667" s="60"/>
      <c r="P667" s="60"/>
      <c r="Q667" s="60"/>
      <c r="R667" s="60"/>
      <c r="S667" s="60"/>
      <c r="T667" s="60"/>
      <c r="U667" s="60"/>
      <c r="V667" s="60"/>
      <c r="W667" s="60"/>
      <c r="X667" s="60"/>
    </row>
    <row r="668">
      <c r="A668" s="15"/>
      <c r="B668" s="15"/>
      <c r="C668" s="15"/>
      <c r="D668" s="15"/>
      <c r="E668" s="15"/>
      <c r="F668" s="15" t="s">
        <v>3650</v>
      </c>
      <c r="G668" s="60"/>
      <c r="H668" s="60"/>
      <c r="I668" s="60"/>
      <c r="J668" s="60"/>
      <c r="K668" s="60"/>
      <c r="L668" s="60"/>
      <c r="M668" s="60"/>
      <c r="N668" s="60"/>
      <c r="O668" s="60"/>
      <c r="P668" s="60"/>
      <c r="Q668" s="60"/>
      <c r="R668" s="60"/>
      <c r="S668" s="60"/>
      <c r="T668" s="60"/>
      <c r="U668" s="60"/>
      <c r="V668" s="60"/>
      <c r="W668" s="60"/>
      <c r="X668" s="60"/>
    </row>
    <row r="669">
      <c r="A669" s="15"/>
      <c r="B669" s="15"/>
      <c r="C669" s="15"/>
      <c r="D669" s="15"/>
      <c r="E669" s="15"/>
      <c r="F669" s="15" t="s">
        <v>3650</v>
      </c>
      <c r="G669" s="60"/>
      <c r="H669" s="60"/>
      <c r="I669" s="60"/>
      <c r="J669" s="60"/>
      <c r="K669" s="60"/>
      <c r="L669" s="60"/>
      <c r="M669" s="60"/>
      <c r="N669" s="60"/>
      <c r="O669" s="60"/>
      <c r="P669" s="60"/>
      <c r="Q669" s="60"/>
      <c r="R669" s="60"/>
      <c r="S669" s="60"/>
      <c r="T669" s="60"/>
      <c r="U669" s="60"/>
      <c r="V669" s="60"/>
      <c r="W669" s="60"/>
      <c r="X669" s="60"/>
    </row>
    <row r="670">
      <c r="A670" s="15"/>
      <c r="B670" s="15"/>
      <c r="C670" s="15"/>
      <c r="D670" s="15"/>
      <c r="E670" s="15"/>
      <c r="F670" s="15" t="s">
        <v>3650</v>
      </c>
      <c r="G670" s="60"/>
      <c r="H670" s="60"/>
      <c r="I670" s="60"/>
      <c r="J670" s="60"/>
      <c r="K670" s="60"/>
      <c r="L670" s="60"/>
      <c r="M670" s="60"/>
      <c r="N670" s="60"/>
      <c r="O670" s="60"/>
      <c r="P670" s="60"/>
      <c r="Q670" s="60"/>
      <c r="R670" s="60"/>
      <c r="S670" s="60"/>
      <c r="T670" s="60"/>
      <c r="U670" s="60"/>
      <c r="V670" s="60"/>
      <c r="W670" s="60"/>
      <c r="X670" s="60"/>
    </row>
    <row r="671">
      <c r="A671" s="15"/>
      <c r="B671" s="15"/>
      <c r="C671" s="15"/>
      <c r="D671" s="15"/>
      <c r="E671" s="15"/>
      <c r="F671" s="15" t="s">
        <v>3650</v>
      </c>
      <c r="G671" s="60"/>
      <c r="H671" s="60"/>
      <c r="I671" s="60"/>
      <c r="J671" s="60"/>
      <c r="K671" s="60"/>
      <c r="L671" s="60"/>
      <c r="M671" s="60"/>
      <c r="N671" s="60"/>
      <c r="O671" s="60"/>
      <c r="P671" s="60"/>
      <c r="Q671" s="60"/>
      <c r="R671" s="60"/>
      <c r="S671" s="60"/>
      <c r="T671" s="60"/>
      <c r="U671" s="60"/>
      <c r="V671" s="60"/>
      <c r="W671" s="60"/>
      <c r="X671" s="60"/>
    </row>
    <row r="672">
      <c r="A672" s="15"/>
      <c r="B672" s="15"/>
      <c r="C672" s="15"/>
      <c r="D672" s="15"/>
      <c r="E672" s="15"/>
      <c r="F672" s="15" t="s">
        <v>3650</v>
      </c>
      <c r="G672" s="60"/>
      <c r="H672" s="60"/>
      <c r="I672" s="60"/>
      <c r="J672" s="60"/>
      <c r="K672" s="60"/>
      <c r="L672" s="60"/>
      <c r="M672" s="60"/>
      <c r="N672" s="60"/>
      <c r="O672" s="60"/>
      <c r="P672" s="60"/>
      <c r="Q672" s="60"/>
      <c r="R672" s="60"/>
      <c r="S672" s="60"/>
      <c r="T672" s="60"/>
      <c r="U672" s="60"/>
      <c r="V672" s="60"/>
      <c r="W672" s="60"/>
      <c r="X672" s="60"/>
    </row>
    <row r="673">
      <c r="A673" s="15"/>
      <c r="B673" s="15"/>
      <c r="C673" s="15"/>
      <c r="D673" s="15"/>
      <c r="E673" s="15"/>
      <c r="F673" s="15" t="s">
        <v>3650</v>
      </c>
      <c r="G673" s="60"/>
      <c r="H673" s="60"/>
      <c r="I673" s="60"/>
      <c r="J673" s="60"/>
      <c r="K673" s="60"/>
      <c r="L673" s="60"/>
      <c r="M673" s="60"/>
      <c r="N673" s="60"/>
      <c r="O673" s="60"/>
      <c r="P673" s="60"/>
      <c r="Q673" s="60"/>
      <c r="R673" s="60"/>
      <c r="S673" s="60"/>
      <c r="T673" s="60"/>
      <c r="U673" s="60"/>
      <c r="V673" s="60"/>
      <c r="W673" s="60"/>
      <c r="X673" s="60"/>
    </row>
    <row r="674">
      <c r="A674" s="15"/>
      <c r="B674" s="15"/>
      <c r="C674" s="15"/>
      <c r="D674" s="15"/>
      <c r="E674" s="15"/>
      <c r="F674" s="15" t="s">
        <v>3650</v>
      </c>
      <c r="G674" s="60"/>
      <c r="H674" s="60"/>
      <c r="I674" s="60"/>
      <c r="J674" s="60"/>
      <c r="K674" s="60"/>
      <c r="L674" s="60"/>
      <c r="M674" s="60"/>
      <c r="N674" s="60"/>
      <c r="O674" s="60"/>
      <c r="P674" s="60"/>
      <c r="Q674" s="60"/>
      <c r="R674" s="60"/>
      <c r="S674" s="60"/>
      <c r="T674" s="60"/>
      <c r="U674" s="60"/>
      <c r="V674" s="60"/>
      <c r="W674" s="60"/>
      <c r="X674" s="60"/>
    </row>
    <row r="675">
      <c r="A675" s="15"/>
      <c r="B675" s="15"/>
      <c r="C675" s="15"/>
      <c r="D675" s="15"/>
      <c r="E675" s="15"/>
      <c r="F675" s="15" t="s">
        <v>3650</v>
      </c>
      <c r="G675" s="60"/>
      <c r="H675" s="60"/>
      <c r="I675" s="60"/>
      <c r="J675" s="60"/>
      <c r="K675" s="60"/>
      <c r="L675" s="60"/>
      <c r="M675" s="60"/>
      <c r="N675" s="60"/>
      <c r="O675" s="60"/>
      <c r="P675" s="60"/>
      <c r="Q675" s="60"/>
      <c r="R675" s="60"/>
      <c r="S675" s="60"/>
      <c r="T675" s="60"/>
      <c r="U675" s="60"/>
      <c r="V675" s="60"/>
      <c r="W675" s="60"/>
      <c r="X675" s="60"/>
    </row>
    <row r="676">
      <c r="A676" s="15"/>
      <c r="B676" s="15"/>
      <c r="C676" s="15"/>
      <c r="D676" s="15"/>
      <c r="E676" s="15"/>
      <c r="F676" s="15" t="s">
        <v>3650</v>
      </c>
      <c r="G676" s="60"/>
      <c r="H676" s="60"/>
      <c r="I676" s="60"/>
      <c r="J676" s="60"/>
      <c r="K676" s="60"/>
      <c r="L676" s="60"/>
      <c r="M676" s="60"/>
      <c r="N676" s="60"/>
      <c r="O676" s="60"/>
      <c r="P676" s="60"/>
      <c r="Q676" s="60"/>
      <c r="R676" s="60"/>
      <c r="S676" s="60"/>
      <c r="T676" s="60"/>
      <c r="U676" s="60"/>
      <c r="V676" s="60"/>
      <c r="W676" s="60"/>
      <c r="X676" s="60"/>
    </row>
    <row r="677">
      <c r="A677" s="15"/>
      <c r="B677" s="15"/>
      <c r="C677" s="15"/>
      <c r="D677" s="15"/>
      <c r="E677" s="15"/>
      <c r="F677" s="15" t="s">
        <v>3650</v>
      </c>
      <c r="G677" s="60"/>
      <c r="H677" s="60"/>
      <c r="I677" s="60"/>
      <c r="J677" s="60"/>
      <c r="K677" s="60"/>
      <c r="L677" s="60"/>
      <c r="M677" s="60"/>
      <c r="N677" s="60"/>
      <c r="O677" s="60"/>
      <c r="P677" s="60"/>
      <c r="Q677" s="60"/>
      <c r="R677" s="60"/>
      <c r="S677" s="60"/>
      <c r="T677" s="60"/>
      <c r="U677" s="60"/>
      <c r="V677" s="60"/>
      <c r="W677" s="60"/>
      <c r="X677" s="60"/>
    </row>
    <row r="678">
      <c r="A678" s="15"/>
      <c r="B678" s="15"/>
      <c r="C678" s="15"/>
      <c r="D678" s="15"/>
      <c r="E678" s="15"/>
      <c r="F678" s="15" t="s">
        <v>3650</v>
      </c>
      <c r="G678" s="60"/>
      <c r="H678" s="60"/>
      <c r="I678" s="60"/>
      <c r="J678" s="60"/>
      <c r="K678" s="60"/>
      <c r="L678" s="60"/>
      <c r="M678" s="60"/>
      <c r="N678" s="60"/>
      <c r="O678" s="60"/>
      <c r="P678" s="60"/>
      <c r="Q678" s="60"/>
      <c r="R678" s="60"/>
      <c r="S678" s="60"/>
      <c r="T678" s="60"/>
      <c r="U678" s="60"/>
      <c r="V678" s="60"/>
      <c r="W678" s="60"/>
      <c r="X678" s="60"/>
    </row>
    <row r="679">
      <c r="A679" s="15"/>
      <c r="B679" s="15"/>
      <c r="C679" s="15"/>
      <c r="D679" s="15"/>
      <c r="E679" s="15"/>
      <c r="F679" s="15" t="s">
        <v>3650</v>
      </c>
      <c r="G679" s="60"/>
      <c r="H679" s="60"/>
      <c r="I679" s="60"/>
      <c r="J679" s="60"/>
      <c r="K679" s="60"/>
      <c r="L679" s="60"/>
      <c r="M679" s="60"/>
      <c r="N679" s="60"/>
      <c r="O679" s="60"/>
      <c r="P679" s="60"/>
      <c r="Q679" s="60"/>
      <c r="R679" s="60"/>
      <c r="S679" s="60"/>
      <c r="T679" s="60"/>
      <c r="U679" s="60"/>
      <c r="V679" s="60"/>
      <c r="W679" s="60"/>
      <c r="X679" s="60"/>
    </row>
    <row r="680">
      <c r="A680" s="15"/>
      <c r="B680" s="15"/>
      <c r="C680" s="15"/>
      <c r="D680" s="15"/>
      <c r="E680" s="15"/>
      <c r="F680" s="15" t="s">
        <v>3650</v>
      </c>
      <c r="G680" s="60"/>
      <c r="H680" s="60"/>
      <c r="I680" s="60"/>
      <c r="J680" s="60"/>
      <c r="K680" s="60"/>
      <c r="L680" s="60"/>
      <c r="M680" s="60"/>
      <c r="N680" s="60"/>
      <c r="O680" s="60"/>
      <c r="P680" s="60"/>
      <c r="Q680" s="60"/>
      <c r="R680" s="60"/>
      <c r="S680" s="60"/>
      <c r="T680" s="60"/>
      <c r="U680" s="60"/>
      <c r="V680" s="60"/>
      <c r="W680" s="60"/>
      <c r="X680" s="60"/>
    </row>
    <row r="681">
      <c r="A681" s="15"/>
      <c r="B681" s="15"/>
      <c r="C681" s="15"/>
      <c r="D681" s="15"/>
      <c r="E681" s="15"/>
      <c r="F681" s="15" t="s">
        <v>3650</v>
      </c>
      <c r="G681" s="60"/>
      <c r="H681" s="60"/>
      <c r="I681" s="60"/>
      <c r="J681" s="60"/>
      <c r="K681" s="60"/>
      <c r="L681" s="60"/>
      <c r="M681" s="60"/>
      <c r="N681" s="60"/>
      <c r="O681" s="60"/>
      <c r="P681" s="60"/>
      <c r="Q681" s="60"/>
      <c r="R681" s="60"/>
      <c r="S681" s="60"/>
      <c r="T681" s="60"/>
      <c r="U681" s="60"/>
      <c r="V681" s="60"/>
      <c r="W681" s="60"/>
      <c r="X681" s="60"/>
    </row>
    <row r="682">
      <c r="A682" s="15"/>
      <c r="B682" s="15"/>
      <c r="C682" s="15"/>
      <c r="D682" s="15"/>
      <c r="E682" s="15"/>
      <c r="F682" s="15" t="s">
        <v>3650</v>
      </c>
      <c r="G682" s="60"/>
      <c r="H682" s="60"/>
      <c r="I682" s="60"/>
      <c r="J682" s="60"/>
      <c r="K682" s="60"/>
      <c r="L682" s="60"/>
      <c r="M682" s="60"/>
      <c r="N682" s="60"/>
      <c r="O682" s="60"/>
      <c r="P682" s="60"/>
      <c r="Q682" s="60"/>
      <c r="R682" s="60"/>
      <c r="S682" s="60"/>
      <c r="T682" s="60"/>
      <c r="U682" s="60"/>
      <c r="V682" s="60"/>
      <c r="W682" s="60"/>
      <c r="X682" s="60"/>
    </row>
    <row r="683">
      <c r="A683" s="15"/>
      <c r="B683" s="15"/>
      <c r="C683" s="15"/>
      <c r="D683" s="15"/>
      <c r="E683" s="15"/>
      <c r="F683" s="15" t="s">
        <v>3650</v>
      </c>
      <c r="G683" s="60"/>
      <c r="H683" s="60"/>
      <c r="I683" s="60"/>
      <c r="J683" s="60"/>
      <c r="K683" s="60"/>
      <c r="L683" s="60"/>
      <c r="M683" s="60"/>
      <c r="N683" s="60"/>
      <c r="O683" s="60"/>
      <c r="P683" s="60"/>
      <c r="Q683" s="60"/>
      <c r="R683" s="60"/>
      <c r="S683" s="60"/>
      <c r="T683" s="60"/>
      <c r="U683" s="60"/>
      <c r="V683" s="60"/>
      <c r="W683" s="60"/>
      <c r="X683" s="60"/>
    </row>
    <row r="684">
      <c r="A684" s="15"/>
      <c r="B684" s="15"/>
      <c r="C684" s="15"/>
      <c r="D684" s="15"/>
      <c r="E684" s="15"/>
      <c r="F684" s="15" t="s">
        <v>3650</v>
      </c>
      <c r="G684" s="60"/>
      <c r="H684" s="60"/>
      <c r="I684" s="60"/>
      <c r="J684" s="60"/>
      <c r="K684" s="60"/>
      <c r="L684" s="60"/>
      <c r="M684" s="60"/>
      <c r="N684" s="60"/>
      <c r="O684" s="60"/>
      <c r="P684" s="60"/>
      <c r="Q684" s="60"/>
      <c r="R684" s="60"/>
      <c r="S684" s="60"/>
      <c r="T684" s="60"/>
      <c r="U684" s="60"/>
      <c r="V684" s="60"/>
      <c r="W684" s="60"/>
      <c r="X684" s="60"/>
    </row>
    <row r="685">
      <c r="A685" s="15"/>
      <c r="B685" s="15"/>
      <c r="C685" s="15"/>
      <c r="D685" s="15"/>
      <c r="E685" s="15"/>
      <c r="F685" s="15" t="s">
        <v>3650</v>
      </c>
      <c r="G685" s="60"/>
      <c r="H685" s="60"/>
      <c r="I685" s="60"/>
      <c r="J685" s="60"/>
      <c r="K685" s="60"/>
      <c r="L685" s="60"/>
      <c r="M685" s="60"/>
      <c r="N685" s="60"/>
      <c r="O685" s="60"/>
      <c r="P685" s="60"/>
      <c r="Q685" s="60"/>
      <c r="R685" s="60"/>
      <c r="S685" s="60"/>
      <c r="T685" s="60"/>
      <c r="U685" s="60"/>
      <c r="V685" s="60"/>
      <c r="W685" s="60"/>
      <c r="X685" s="60"/>
    </row>
    <row r="686">
      <c r="A686" s="15"/>
      <c r="B686" s="15"/>
      <c r="C686" s="15"/>
      <c r="D686" s="15"/>
      <c r="E686" s="15"/>
      <c r="F686" s="15" t="s">
        <v>3650</v>
      </c>
      <c r="G686" s="60"/>
      <c r="H686" s="60"/>
      <c r="I686" s="60"/>
      <c r="J686" s="60"/>
      <c r="K686" s="60"/>
      <c r="L686" s="60"/>
      <c r="M686" s="60"/>
      <c r="N686" s="60"/>
      <c r="O686" s="60"/>
      <c r="P686" s="60"/>
      <c r="Q686" s="60"/>
      <c r="R686" s="60"/>
      <c r="S686" s="60"/>
      <c r="T686" s="60"/>
      <c r="U686" s="60"/>
      <c r="V686" s="60"/>
      <c r="W686" s="60"/>
      <c r="X686" s="60"/>
    </row>
    <row r="687">
      <c r="A687" s="15"/>
      <c r="B687" s="15"/>
      <c r="C687" s="15"/>
      <c r="D687" s="15"/>
      <c r="E687" s="15"/>
      <c r="F687" s="15" t="s">
        <v>3650</v>
      </c>
      <c r="G687" s="60"/>
      <c r="H687" s="60"/>
      <c r="I687" s="60"/>
      <c r="J687" s="60"/>
      <c r="K687" s="60"/>
      <c r="L687" s="60"/>
      <c r="M687" s="60"/>
      <c r="N687" s="60"/>
      <c r="O687" s="60"/>
      <c r="P687" s="60"/>
      <c r="Q687" s="60"/>
      <c r="R687" s="60"/>
      <c r="S687" s="60"/>
      <c r="T687" s="60"/>
      <c r="U687" s="60"/>
      <c r="V687" s="60"/>
      <c r="W687" s="60"/>
      <c r="X687" s="60"/>
    </row>
    <row r="688">
      <c r="A688" s="15"/>
      <c r="B688" s="15"/>
      <c r="C688" s="15"/>
      <c r="D688" s="15"/>
      <c r="E688" s="15"/>
      <c r="F688" s="15" t="s">
        <v>3650</v>
      </c>
      <c r="G688" s="60"/>
      <c r="H688" s="60"/>
      <c r="I688" s="60"/>
      <c r="J688" s="60"/>
      <c r="K688" s="60"/>
      <c r="L688" s="60"/>
      <c r="M688" s="60"/>
      <c r="N688" s="60"/>
      <c r="O688" s="60"/>
      <c r="P688" s="60"/>
      <c r="Q688" s="60"/>
      <c r="R688" s="60"/>
      <c r="S688" s="60"/>
      <c r="T688" s="60"/>
      <c r="U688" s="60"/>
      <c r="V688" s="60"/>
      <c r="W688" s="60"/>
      <c r="X688" s="60"/>
    </row>
    <row r="689">
      <c r="A689" s="15"/>
      <c r="B689" s="15"/>
      <c r="C689" s="15"/>
      <c r="D689" s="15"/>
      <c r="E689" s="15"/>
      <c r="F689" s="15" t="s">
        <v>3650</v>
      </c>
      <c r="G689" s="60"/>
      <c r="H689" s="60"/>
      <c r="I689" s="60"/>
      <c r="J689" s="60"/>
      <c r="K689" s="60"/>
      <c r="L689" s="60"/>
      <c r="M689" s="60"/>
      <c r="N689" s="60"/>
      <c r="O689" s="60"/>
      <c r="P689" s="60"/>
      <c r="Q689" s="60"/>
      <c r="R689" s="60"/>
      <c r="S689" s="60"/>
      <c r="T689" s="60"/>
      <c r="U689" s="60"/>
      <c r="V689" s="60"/>
      <c r="W689" s="60"/>
      <c r="X689" s="60"/>
    </row>
    <row r="690">
      <c r="A690" s="15"/>
      <c r="B690" s="15"/>
      <c r="C690" s="15"/>
      <c r="D690" s="15"/>
      <c r="E690" s="15"/>
      <c r="F690" s="15" t="s">
        <v>3650</v>
      </c>
      <c r="G690" s="60"/>
      <c r="H690" s="60"/>
      <c r="I690" s="60"/>
      <c r="J690" s="60"/>
      <c r="K690" s="60"/>
      <c r="L690" s="60"/>
      <c r="M690" s="60"/>
      <c r="N690" s="60"/>
      <c r="O690" s="60"/>
      <c r="P690" s="60"/>
      <c r="Q690" s="60"/>
      <c r="R690" s="60"/>
      <c r="S690" s="60"/>
      <c r="T690" s="60"/>
      <c r="U690" s="60"/>
      <c r="V690" s="60"/>
      <c r="W690" s="60"/>
      <c r="X690" s="60"/>
    </row>
    <row r="691">
      <c r="A691" s="15"/>
      <c r="B691" s="15"/>
      <c r="C691" s="15"/>
      <c r="D691" s="15"/>
      <c r="E691" s="15"/>
      <c r="F691" s="15" t="s">
        <v>3650</v>
      </c>
      <c r="G691" s="60"/>
      <c r="H691" s="60"/>
      <c r="I691" s="60"/>
      <c r="J691" s="60"/>
      <c r="K691" s="60"/>
      <c r="L691" s="60"/>
      <c r="M691" s="60"/>
      <c r="N691" s="60"/>
      <c r="O691" s="60"/>
      <c r="P691" s="60"/>
      <c r="Q691" s="60"/>
      <c r="R691" s="60"/>
      <c r="S691" s="60"/>
      <c r="T691" s="60"/>
      <c r="U691" s="60"/>
      <c r="V691" s="60"/>
      <c r="W691" s="60"/>
      <c r="X691" s="60"/>
    </row>
    <row r="692">
      <c r="A692" s="15"/>
      <c r="B692" s="15"/>
      <c r="C692" s="15"/>
      <c r="D692" s="15"/>
      <c r="E692" s="15"/>
      <c r="F692" s="15" t="s">
        <v>3650</v>
      </c>
      <c r="G692" s="60"/>
      <c r="H692" s="60"/>
      <c r="I692" s="60"/>
      <c r="J692" s="60"/>
      <c r="K692" s="60"/>
      <c r="L692" s="60"/>
      <c r="M692" s="60"/>
      <c r="N692" s="60"/>
      <c r="O692" s="60"/>
      <c r="P692" s="60"/>
      <c r="Q692" s="60"/>
      <c r="R692" s="60"/>
      <c r="S692" s="60"/>
      <c r="T692" s="60"/>
      <c r="U692" s="60"/>
      <c r="V692" s="60"/>
      <c r="W692" s="60"/>
      <c r="X692" s="60"/>
    </row>
    <row r="693">
      <c r="A693" s="15"/>
      <c r="B693" s="15"/>
      <c r="C693" s="15"/>
      <c r="D693" s="15"/>
      <c r="E693" s="15"/>
      <c r="F693" s="15" t="s">
        <v>3650</v>
      </c>
      <c r="G693" s="60"/>
      <c r="H693" s="60"/>
      <c r="I693" s="60"/>
      <c r="J693" s="60"/>
      <c r="K693" s="60"/>
      <c r="L693" s="60"/>
      <c r="M693" s="60"/>
      <c r="N693" s="60"/>
      <c r="O693" s="60"/>
      <c r="P693" s="60"/>
      <c r="Q693" s="60"/>
      <c r="R693" s="60"/>
      <c r="S693" s="60"/>
      <c r="T693" s="60"/>
      <c r="U693" s="60"/>
      <c r="V693" s="60"/>
      <c r="W693" s="60"/>
      <c r="X693" s="60"/>
    </row>
    <row r="694">
      <c r="A694" s="15"/>
      <c r="B694" s="15"/>
      <c r="C694" s="15"/>
      <c r="D694" s="15"/>
      <c r="E694" s="15"/>
      <c r="F694" s="15" t="s">
        <v>3650</v>
      </c>
      <c r="G694" s="60"/>
      <c r="H694" s="60"/>
      <c r="I694" s="60"/>
      <c r="J694" s="60"/>
      <c r="K694" s="60"/>
      <c r="L694" s="60"/>
      <c r="M694" s="60"/>
      <c r="N694" s="60"/>
      <c r="O694" s="60"/>
      <c r="P694" s="60"/>
      <c r="Q694" s="60"/>
      <c r="R694" s="60"/>
      <c r="S694" s="60"/>
      <c r="T694" s="60"/>
      <c r="U694" s="60"/>
      <c r="V694" s="60"/>
      <c r="W694" s="60"/>
      <c r="X694" s="60"/>
    </row>
    <row r="695">
      <c r="A695" s="15"/>
      <c r="B695" s="15"/>
      <c r="C695" s="15"/>
      <c r="D695" s="15"/>
      <c r="E695" s="15"/>
      <c r="F695" s="15" t="s">
        <v>3650</v>
      </c>
      <c r="G695" s="60"/>
      <c r="H695" s="60"/>
      <c r="I695" s="60"/>
      <c r="J695" s="60"/>
      <c r="K695" s="60"/>
      <c r="L695" s="60"/>
      <c r="M695" s="60"/>
      <c r="N695" s="60"/>
      <c r="O695" s="60"/>
      <c r="P695" s="60"/>
      <c r="Q695" s="60"/>
      <c r="R695" s="60"/>
      <c r="S695" s="60"/>
      <c r="T695" s="60"/>
      <c r="U695" s="60"/>
      <c r="V695" s="60"/>
      <c r="W695" s="60"/>
      <c r="X695" s="60"/>
    </row>
    <row r="696">
      <c r="A696" s="15"/>
      <c r="B696" s="15"/>
      <c r="C696" s="15"/>
      <c r="D696" s="15"/>
      <c r="E696" s="15"/>
      <c r="F696" s="15" t="s">
        <v>3650</v>
      </c>
      <c r="G696" s="60"/>
      <c r="H696" s="60"/>
      <c r="I696" s="60"/>
      <c r="J696" s="60"/>
      <c r="K696" s="60"/>
      <c r="L696" s="60"/>
      <c r="M696" s="60"/>
      <c r="N696" s="60"/>
      <c r="O696" s="60"/>
      <c r="P696" s="60"/>
      <c r="Q696" s="60"/>
      <c r="R696" s="60"/>
      <c r="S696" s="60"/>
      <c r="T696" s="60"/>
      <c r="U696" s="60"/>
      <c r="V696" s="60"/>
      <c r="W696" s="60"/>
      <c r="X696" s="60"/>
    </row>
    <row r="697">
      <c r="A697" s="15"/>
      <c r="B697" s="15"/>
      <c r="C697" s="15"/>
      <c r="D697" s="15"/>
      <c r="E697" s="15"/>
      <c r="F697" s="15" t="s">
        <v>3650</v>
      </c>
      <c r="G697" s="60"/>
      <c r="H697" s="60"/>
      <c r="I697" s="60"/>
      <c r="J697" s="60"/>
      <c r="K697" s="60"/>
      <c r="L697" s="60"/>
      <c r="M697" s="60"/>
      <c r="N697" s="60"/>
      <c r="O697" s="60"/>
      <c r="P697" s="60"/>
      <c r="Q697" s="60"/>
      <c r="R697" s="60"/>
      <c r="S697" s="60"/>
      <c r="T697" s="60"/>
      <c r="U697" s="60"/>
      <c r="V697" s="60"/>
      <c r="W697" s="60"/>
      <c r="X697" s="60"/>
    </row>
    <row r="698">
      <c r="A698" s="15"/>
      <c r="B698" s="15"/>
      <c r="C698" s="15"/>
      <c r="D698" s="15"/>
      <c r="E698" s="15"/>
      <c r="F698" s="15" t="s">
        <v>3650</v>
      </c>
      <c r="G698" s="60"/>
      <c r="H698" s="60"/>
      <c r="I698" s="60"/>
      <c r="J698" s="60"/>
      <c r="K698" s="60"/>
      <c r="L698" s="60"/>
      <c r="M698" s="60"/>
      <c r="N698" s="60"/>
      <c r="O698" s="60"/>
      <c r="P698" s="60"/>
      <c r="Q698" s="60"/>
      <c r="R698" s="60"/>
      <c r="S698" s="60"/>
      <c r="T698" s="60"/>
      <c r="U698" s="60"/>
      <c r="V698" s="60"/>
      <c r="W698" s="60"/>
      <c r="X698" s="60"/>
    </row>
    <row r="699">
      <c r="A699" s="15"/>
      <c r="B699" s="15"/>
      <c r="C699" s="15"/>
      <c r="D699" s="15"/>
      <c r="E699" s="15"/>
      <c r="F699" s="15" t="s">
        <v>3650</v>
      </c>
      <c r="G699" s="60"/>
      <c r="H699" s="60"/>
      <c r="I699" s="60"/>
      <c r="J699" s="60"/>
      <c r="K699" s="60"/>
      <c r="L699" s="60"/>
      <c r="M699" s="60"/>
      <c r="N699" s="60"/>
      <c r="O699" s="60"/>
      <c r="P699" s="60"/>
      <c r="Q699" s="60"/>
      <c r="R699" s="60"/>
      <c r="S699" s="60"/>
      <c r="T699" s="60"/>
      <c r="U699" s="60"/>
      <c r="V699" s="60"/>
      <c r="W699" s="60"/>
      <c r="X699" s="60"/>
    </row>
    <row r="700">
      <c r="A700" s="15"/>
      <c r="B700" s="15"/>
      <c r="C700" s="15"/>
      <c r="D700" s="15"/>
      <c r="E700" s="15"/>
      <c r="F700" s="15" t="s">
        <v>3650</v>
      </c>
      <c r="G700" s="60"/>
      <c r="H700" s="60"/>
      <c r="I700" s="60"/>
      <c r="J700" s="60"/>
      <c r="K700" s="60"/>
      <c r="L700" s="60"/>
      <c r="M700" s="60"/>
      <c r="N700" s="60"/>
      <c r="O700" s="60"/>
      <c r="P700" s="60"/>
      <c r="Q700" s="60"/>
      <c r="R700" s="60"/>
      <c r="S700" s="60"/>
      <c r="T700" s="60"/>
      <c r="U700" s="60"/>
      <c r="V700" s="60"/>
      <c r="W700" s="60"/>
      <c r="X700" s="60"/>
    </row>
    <row r="701">
      <c r="A701" s="15"/>
      <c r="B701" s="15"/>
      <c r="C701" s="15"/>
      <c r="D701" s="15"/>
      <c r="E701" s="15"/>
      <c r="F701" s="15" t="s">
        <v>3650</v>
      </c>
      <c r="G701" s="60"/>
      <c r="H701" s="60"/>
      <c r="I701" s="60"/>
      <c r="J701" s="60"/>
      <c r="K701" s="60"/>
      <c r="L701" s="60"/>
      <c r="M701" s="60"/>
      <c r="N701" s="60"/>
      <c r="O701" s="60"/>
      <c r="P701" s="60"/>
      <c r="Q701" s="60"/>
      <c r="R701" s="60"/>
      <c r="S701" s="60"/>
      <c r="T701" s="60"/>
      <c r="U701" s="60"/>
      <c r="V701" s="60"/>
      <c r="W701" s="60"/>
      <c r="X701" s="60"/>
    </row>
    <row r="702">
      <c r="A702" s="15"/>
      <c r="B702" s="15"/>
      <c r="C702" s="15"/>
      <c r="D702" s="15"/>
      <c r="E702" s="15"/>
      <c r="F702" s="15" t="s">
        <v>3650</v>
      </c>
      <c r="G702" s="60"/>
      <c r="H702" s="60"/>
      <c r="I702" s="60"/>
      <c r="J702" s="60"/>
      <c r="K702" s="60"/>
      <c r="L702" s="60"/>
      <c r="M702" s="60"/>
      <c r="N702" s="60"/>
      <c r="O702" s="60"/>
      <c r="P702" s="60"/>
      <c r="Q702" s="60"/>
      <c r="R702" s="60"/>
      <c r="S702" s="60"/>
      <c r="T702" s="60"/>
      <c r="U702" s="60"/>
      <c r="V702" s="60"/>
      <c r="W702" s="60"/>
      <c r="X702" s="60"/>
    </row>
    <row r="703">
      <c r="A703" s="15"/>
      <c r="B703" s="15"/>
      <c r="C703" s="15"/>
      <c r="D703" s="15"/>
      <c r="E703" s="15"/>
      <c r="F703" s="15" t="s">
        <v>3650</v>
      </c>
      <c r="G703" s="60"/>
      <c r="H703" s="60"/>
      <c r="I703" s="60"/>
      <c r="J703" s="60"/>
      <c r="K703" s="60"/>
      <c r="L703" s="60"/>
      <c r="M703" s="60"/>
      <c r="N703" s="60"/>
      <c r="O703" s="60"/>
      <c r="P703" s="60"/>
      <c r="Q703" s="60"/>
      <c r="R703" s="60"/>
      <c r="S703" s="60"/>
      <c r="T703" s="60"/>
      <c r="U703" s="60"/>
      <c r="V703" s="60"/>
      <c r="W703" s="60"/>
      <c r="X703" s="60"/>
    </row>
    <row r="704">
      <c r="A704" s="15"/>
      <c r="B704" s="15"/>
      <c r="C704" s="15"/>
      <c r="D704" s="15"/>
      <c r="E704" s="15"/>
      <c r="F704" s="15" t="s">
        <v>3650</v>
      </c>
      <c r="G704" s="60"/>
      <c r="H704" s="60"/>
      <c r="I704" s="60"/>
      <c r="J704" s="60"/>
      <c r="K704" s="60"/>
      <c r="L704" s="60"/>
      <c r="M704" s="60"/>
      <c r="N704" s="60"/>
      <c r="O704" s="60"/>
      <c r="P704" s="60"/>
      <c r="Q704" s="60"/>
      <c r="R704" s="60"/>
      <c r="S704" s="60"/>
      <c r="T704" s="60"/>
      <c r="U704" s="60"/>
      <c r="V704" s="60"/>
      <c r="W704" s="60"/>
      <c r="X704" s="60"/>
    </row>
    <row r="705">
      <c r="A705" s="15"/>
      <c r="B705" s="15"/>
      <c r="C705" s="15"/>
      <c r="D705" s="15"/>
      <c r="E705" s="15"/>
      <c r="F705" s="15" t="s">
        <v>3650</v>
      </c>
      <c r="G705" s="60"/>
      <c r="H705" s="60"/>
      <c r="I705" s="60"/>
      <c r="J705" s="60"/>
      <c r="K705" s="60"/>
      <c r="L705" s="60"/>
      <c r="M705" s="60"/>
      <c r="N705" s="60"/>
      <c r="O705" s="60"/>
      <c r="P705" s="60"/>
      <c r="Q705" s="60"/>
      <c r="R705" s="60"/>
      <c r="S705" s="60"/>
      <c r="T705" s="60"/>
      <c r="U705" s="60"/>
      <c r="V705" s="60"/>
      <c r="W705" s="60"/>
      <c r="X705" s="60"/>
    </row>
    <row r="706">
      <c r="A706" s="15"/>
      <c r="B706" s="15"/>
      <c r="C706" s="15"/>
      <c r="D706" s="15"/>
      <c r="E706" s="15"/>
      <c r="F706" s="15" t="s">
        <v>3650</v>
      </c>
      <c r="G706" s="60"/>
      <c r="H706" s="60"/>
      <c r="I706" s="60"/>
      <c r="J706" s="60"/>
      <c r="K706" s="60"/>
      <c r="L706" s="60"/>
      <c r="M706" s="60"/>
      <c r="N706" s="60"/>
      <c r="O706" s="60"/>
      <c r="P706" s="60"/>
      <c r="Q706" s="60"/>
      <c r="R706" s="60"/>
      <c r="S706" s="60"/>
      <c r="T706" s="60"/>
      <c r="U706" s="60"/>
      <c r="V706" s="60"/>
      <c r="W706" s="60"/>
      <c r="X706" s="60"/>
    </row>
    <row r="707">
      <c r="A707" s="15"/>
      <c r="B707" s="15"/>
      <c r="C707" s="15"/>
      <c r="D707" s="15"/>
      <c r="E707" s="15"/>
      <c r="F707" s="15" t="s">
        <v>3650</v>
      </c>
      <c r="G707" s="60"/>
      <c r="H707" s="60"/>
      <c r="I707" s="60"/>
      <c r="J707" s="60"/>
      <c r="K707" s="60"/>
      <c r="L707" s="60"/>
      <c r="M707" s="60"/>
      <c r="N707" s="60"/>
      <c r="O707" s="60"/>
      <c r="P707" s="60"/>
      <c r="Q707" s="60"/>
      <c r="R707" s="60"/>
      <c r="S707" s="60"/>
      <c r="T707" s="60"/>
      <c r="U707" s="60"/>
      <c r="V707" s="60"/>
      <c r="W707" s="60"/>
      <c r="X707" s="60"/>
    </row>
    <row r="708">
      <c r="A708" s="15"/>
      <c r="B708" s="15"/>
      <c r="C708" s="15"/>
      <c r="D708" s="15"/>
      <c r="E708" s="15"/>
      <c r="F708" s="15" t="s">
        <v>3650</v>
      </c>
      <c r="G708" s="60"/>
      <c r="H708" s="60"/>
      <c r="I708" s="60"/>
      <c r="J708" s="60"/>
      <c r="K708" s="60"/>
      <c r="L708" s="60"/>
      <c r="M708" s="60"/>
      <c r="N708" s="60"/>
      <c r="O708" s="60"/>
      <c r="P708" s="60"/>
      <c r="Q708" s="60"/>
      <c r="R708" s="60"/>
      <c r="S708" s="60"/>
      <c r="T708" s="60"/>
      <c r="U708" s="60"/>
      <c r="V708" s="60"/>
      <c r="W708" s="60"/>
      <c r="X708" s="60"/>
    </row>
    <row r="709">
      <c r="A709" s="15"/>
      <c r="B709" s="15"/>
      <c r="C709" s="15"/>
      <c r="D709" s="15"/>
      <c r="E709" s="15"/>
      <c r="F709" s="15" t="s">
        <v>3650</v>
      </c>
      <c r="G709" s="60"/>
      <c r="H709" s="60"/>
      <c r="I709" s="60"/>
      <c r="J709" s="60"/>
      <c r="K709" s="60"/>
      <c r="L709" s="60"/>
      <c r="M709" s="60"/>
      <c r="N709" s="60"/>
      <c r="O709" s="60"/>
      <c r="P709" s="60"/>
      <c r="Q709" s="60"/>
      <c r="R709" s="60"/>
      <c r="S709" s="60"/>
      <c r="T709" s="60"/>
      <c r="U709" s="60"/>
      <c r="V709" s="60"/>
      <c r="W709" s="60"/>
      <c r="X709" s="60"/>
    </row>
    <row r="710">
      <c r="A710" s="15"/>
      <c r="B710" s="15"/>
      <c r="C710" s="15"/>
      <c r="D710" s="15"/>
      <c r="E710" s="15"/>
      <c r="F710" s="15" t="s">
        <v>3650</v>
      </c>
      <c r="G710" s="60"/>
      <c r="H710" s="60"/>
      <c r="I710" s="60"/>
      <c r="J710" s="60"/>
      <c r="K710" s="60"/>
      <c r="L710" s="60"/>
      <c r="M710" s="60"/>
      <c r="N710" s="60"/>
      <c r="O710" s="60"/>
      <c r="P710" s="60"/>
      <c r="Q710" s="60"/>
      <c r="R710" s="60"/>
      <c r="S710" s="60"/>
      <c r="T710" s="60"/>
      <c r="U710" s="60"/>
      <c r="V710" s="60"/>
      <c r="W710" s="60"/>
      <c r="X710" s="60"/>
    </row>
    <row r="711">
      <c r="A711" s="15"/>
      <c r="B711" s="15"/>
      <c r="C711" s="15"/>
      <c r="D711" s="15"/>
      <c r="E711" s="15"/>
      <c r="F711" s="15" t="s">
        <v>3650</v>
      </c>
      <c r="G711" s="60"/>
      <c r="H711" s="60"/>
      <c r="I711" s="60"/>
      <c r="J711" s="60"/>
      <c r="K711" s="60"/>
      <c r="L711" s="60"/>
      <c r="M711" s="60"/>
      <c r="N711" s="60"/>
      <c r="O711" s="60"/>
      <c r="P711" s="60"/>
      <c r="Q711" s="60"/>
      <c r="R711" s="60"/>
      <c r="S711" s="60"/>
      <c r="T711" s="60"/>
      <c r="U711" s="60"/>
      <c r="V711" s="60"/>
      <c r="W711" s="60"/>
      <c r="X711" s="60"/>
    </row>
    <row r="712">
      <c r="A712" s="15"/>
      <c r="B712" s="15"/>
      <c r="C712" s="15"/>
      <c r="D712" s="15"/>
      <c r="E712" s="15"/>
      <c r="F712" s="15" t="s">
        <v>3650</v>
      </c>
      <c r="G712" s="60"/>
      <c r="H712" s="60"/>
      <c r="I712" s="60"/>
      <c r="J712" s="60"/>
      <c r="K712" s="60"/>
      <c r="L712" s="60"/>
      <c r="M712" s="60"/>
      <c r="N712" s="60"/>
      <c r="O712" s="60"/>
      <c r="P712" s="60"/>
      <c r="Q712" s="60"/>
      <c r="R712" s="60"/>
      <c r="S712" s="60"/>
      <c r="T712" s="60"/>
      <c r="U712" s="60"/>
      <c r="V712" s="60"/>
      <c r="W712" s="60"/>
      <c r="X712" s="60"/>
    </row>
    <row r="713">
      <c r="A713" s="15"/>
      <c r="B713" s="15"/>
      <c r="C713" s="15"/>
      <c r="D713" s="15"/>
      <c r="E713" s="15"/>
      <c r="F713" s="15" t="s">
        <v>3650</v>
      </c>
      <c r="G713" s="60"/>
      <c r="H713" s="60"/>
      <c r="I713" s="60"/>
      <c r="J713" s="60"/>
      <c r="K713" s="60"/>
      <c r="L713" s="60"/>
      <c r="M713" s="60"/>
      <c r="N713" s="60"/>
      <c r="O713" s="60"/>
      <c r="P713" s="60"/>
      <c r="Q713" s="60"/>
      <c r="R713" s="60"/>
      <c r="S713" s="60"/>
      <c r="T713" s="60"/>
      <c r="U713" s="60"/>
      <c r="V713" s="60"/>
      <c r="W713" s="60"/>
      <c r="X713" s="60"/>
    </row>
    <row r="714">
      <c r="A714" s="15"/>
      <c r="B714" s="15"/>
      <c r="C714" s="15"/>
      <c r="D714" s="15"/>
      <c r="E714" s="15"/>
      <c r="F714" s="15" t="s">
        <v>3650</v>
      </c>
      <c r="G714" s="60"/>
      <c r="H714" s="60"/>
      <c r="I714" s="60"/>
      <c r="J714" s="60"/>
      <c r="K714" s="60"/>
      <c r="L714" s="60"/>
      <c r="M714" s="60"/>
      <c r="N714" s="60"/>
      <c r="O714" s="60"/>
      <c r="P714" s="60"/>
      <c r="Q714" s="60"/>
      <c r="R714" s="60"/>
      <c r="S714" s="60"/>
      <c r="T714" s="60"/>
      <c r="U714" s="60"/>
      <c r="V714" s="60"/>
      <c r="W714" s="60"/>
      <c r="X714" s="60"/>
    </row>
    <row r="715">
      <c r="A715" s="15"/>
      <c r="B715" s="15"/>
      <c r="C715" s="15"/>
      <c r="D715" s="15"/>
      <c r="E715" s="15"/>
      <c r="F715" s="15" t="s">
        <v>3650</v>
      </c>
      <c r="G715" s="60"/>
      <c r="H715" s="60"/>
      <c r="I715" s="60"/>
      <c r="J715" s="60"/>
      <c r="K715" s="60"/>
      <c r="L715" s="60"/>
      <c r="M715" s="60"/>
      <c r="N715" s="60"/>
      <c r="O715" s="60"/>
      <c r="P715" s="60"/>
      <c r="Q715" s="60"/>
      <c r="R715" s="60"/>
      <c r="S715" s="60"/>
      <c r="T715" s="60"/>
      <c r="U715" s="60"/>
      <c r="V715" s="60"/>
      <c r="W715" s="60"/>
      <c r="X715" s="60"/>
    </row>
    <row r="716">
      <c r="A716" s="15"/>
      <c r="B716" s="15"/>
      <c r="C716" s="15"/>
      <c r="D716" s="15"/>
      <c r="E716" s="15"/>
      <c r="F716" s="15" t="s">
        <v>3650</v>
      </c>
      <c r="G716" s="60"/>
      <c r="H716" s="60"/>
      <c r="I716" s="60"/>
      <c r="J716" s="60"/>
      <c r="K716" s="60"/>
      <c r="L716" s="60"/>
      <c r="M716" s="60"/>
      <c r="N716" s="60"/>
      <c r="O716" s="60"/>
      <c r="P716" s="60"/>
      <c r="Q716" s="60"/>
      <c r="R716" s="60"/>
      <c r="S716" s="60"/>
      <c r="T716" s="60"/>
      <c r="U716" s="60"/>
      <c r="V716" s="60"/>
      <c r="W716" s="60"/>
      <c r="X716" s="60"/>
    </row>
    <row r="717">
      <c r="A717" s="15"/>
      <c r="B717" s="15"/>
      <c r="C717" s="15"/>
      <c r="D717" s="15"/>
      <c r="E717" s="15"/>
      <c r="F717" s="15" t="s">
        <v>3650</v>
      </c>
      <c r="G717" s="60"/>
      <c r="H717" s="60"/>
      <c r="I717" s="60"/>
      <c r="J717" s="60"/>
      <c r="K717" s="60"/>
      <c r="L717" s="60"/>
      <c r="M717" s="60"/>
      <c r="N717" s="60"/>
      <c r="O717" s="60"/>
      <c r="P717" s="60"/>
      <c r="Q717" s="60"/>
      <c r="R717" s="60"/>
      <c r="S717" s="60"/>
      <c r="T717" s="60"/>
      <c r="U717" s="60"/>
      <c r="V717" s="60"/>
      <c r="W717" s="60"/>
      <c r="X717" s="60"/>
    </row>
    <row r="718">
      <c r="A718" s="15"/>
      <c r="B718" s="15"/>
      <c r="C718" s="15"/>
      <c r="D718" s="15"/>
      <c r="E718" s="15"/>
      <c r="F718" s="15" t="s">
        <v>3650</v>
      </c>
      <c r="G718" s="60"/>
      <c r="H718" s="60"/>
      <c r="I718" s="60"/>
      <c r="J718" s="60"/>
      <c r="K718" s="60"/>
      <c r="L718" s="60"/>
      <c r="M718" s="60"/>
      <c r="N718" s="60"/>
      <c r="O718" s="60"/>
      <c r="P718" s="60"/>
      <c r="Q718" s="60"/>
      <c r="R718" s="60"/>
      <c r="S718" s="60"/>
      <c r="T718" s="60"/>
      <c r="U718" s="60"/>
      <c r="V718" s="60"/>
      <c r="W718" s="60"/>
      <c r="X718" s="60"/>
    </row>
    <row r="719">
      <c r="A719" s="15"/>
      <c r="B719" s="15"/>
      <c r="C719" s="15"/>
      <c r="D719" s="15"/>
      <c r="E719" s="15"/>
      <c r="F719" s="15" t="s">
        <v>3650</v>
      </c>
      <c r="G719" s="60"/>
      <c r="H719" s="60"/>
      <c r="I719" s="60"/>
      <c r="J719" s="60"/>
      <c r="K719" s="60"/>
      <c r="L719" s="60"/>
      <c r="M719" s="60"/>
      <c r="N719" s="60"/>
      <c r="O719" s="60"/>
      <c r="P719" s="60"/>
      <c r="Q719" s="60"/>
      <c r="R719" s="60"/>
      <c r="S719" s="60"/>
      <c r="T719" s="60"/>
      <c r="U719" s="60"/>
      <c r="V719" s="60"/>
      <c r="W719" s="60"/>
      <c r="X719" s="60"/>
    </row>
    <row r="720">
      <c r="A720" s="15"/>
      <c r="B720" s="15"/>
      <c r="C720" s="15"/>
      <c r="D720" s="15"/>
      <c r="E720" s="15"/>
      <c r="F720" s="15" t="s">
        <v>3650</v>
      </c>
      <c r="G720" s="60"/>
      <c r="H720" s="60"/>
      <c r="I720" s="60"/>
      <c r="J720" s="60"/>
      <c r="K720" s="60"/>
      <c r="L720" s="60"/>
      <c r="M720" s="60"/>
      <c r="N720" s="60"/>
      <c r="O720" s="60"/>
      <c r="P720" s="60"/>
      <c r="Q720" s="60"/>
      <c r="R720" s="60"/>
      <c r="S720" s="60"/>
      <c r="T720" s="60"/>
      <c r="U720" s="60"/>
      <c r="V720" s="60"/>
      <c r="W720" s="60"/>
      <c r="X720" s="60"/>
    </row>
    <row r="721">
      <c r="A721" s="15"/>
      <c r="B721" s="15"/>
      <c r="C721" s="15"/>
      <c r="D721" s="15"/>
      <c r="E721" s="15"/>
      <c r="F721" s="15" t="s">
        <v>3650</v>
      </c>
      <c r="G721" s="60"/>
      <c r="H721" s="60"/>
      <c r="I721" s="60"/>
      <c r="J721" s="60"/>
      <c r="K721" s="60"/>
      <c r="L721" s="60"/>
      <c r="M721" s="60"/>
      <c r="N721" s="60"/>
      <c r="O721" s="60"/>
      <c r="P721" s="60"/>
      <c r="Q721" s="60"/>
      <c r="R721" s="60"/>
      <c r="S721" s="60"/>
      <c r="T721" s="60"/>
      <c r="U721" s="60"/>
      <c r="V721" s="60"/>
      <c r="W721" s="60"/>
      <c r="X721" s="60"/>
    </row>
    <row r="722">
      <c r="A722" s="15"/>
      <c r="B722" s="15"/>
      <c r="C722" s="15"/>
      <c r="D722" s="15"/>
      <c r="E722" s="15"/>
      <c r="F722" s="15" t="s">
        <v>3650</v>
      </c>
      <c r="G722" s="60"/>
      <c r="H722" s="60"/>
      <c r="I722" s="60"/>
      <c r="J722" s="60"/>
      <c r="K722" s="60"/>
      <c r="L722" s="60"/>
      <c r="M722" s="60"/>
      <c r="N722" s="60"/>
      <c r="O722" s="60"/>
      <c r="P722" s="60"/>
      <c r="Q722" s="60"/>
      <c r="R722" s="60"/>
      <c r="S722" s="60"/>
      <c r="T722" s="60"/>
      <c r="U722" s="60"/>
      <c r="V722" s="60"/>
      <c r="W722" s="60"/>
      <c r="X722" s="60"/>
    </row>
    <row r="723">
      <c r="A723" s="15"/>
      <c r="B723" s="15"/>
      <c r="C723" s="15"/>
      <c r="D723" s="15"/>
      <c r="E723" s="15"/>
      <c r="F723" s="15" t="s">
        <v>3650</v>
      </c>
      <c r="G723" s="60"/>
      <c r="H723" s="60"/>
      <c r="I723" s="60"/>
      <c r="J723" s="60"/>
      <c r="K723" s="60"/>
      <c r="L723" s="60"/>
      <c r="M723" s="60"/>
      <c r="N723" s="60"/>
      <c r="O723" s="60"/>
      <c r="P723" s="60"/>
      <c r="Q723" s="60"/>
      <c r="R723" s="60"/>
      <c r="S723" s="60"/>
      <c r="T723" s="60"/>
      <c r="U723" s="60"/>
      <c r="V723" s="60"/>
      <c r="W723" s="60"/>
      <c r="X723" s="60"/>
    </row>
    <row r="724">
      <c r="A724" s="15"/>
      <c r="B724" s="15"/>
      <c r="C724" s="15"/>
      <c r="D724" s="15"/>
      <c r="E724" s="15"/>
      <c r="F724" s="15" t="s">
        <v>3650</v>
      </c>
      <c r="G724" s="60"/>
      <c r="H724" s="60"/>
      <c r="I724" s="60"/>
      <c r="J724" s="60"/>
      <c r="K724" s="60"/>
      <c r="L724" s="60"/>
      <c r="M724" s="60"/>
      <c r="N724" s="60"/>
      <c r="O724" s="60"/>
      <c r="P724" s="60"/>
      <c r="Q724" s="60"/>
      <c r="R724" s="60"/>
      <c r="S724" s="60"/>
      <c r="T724" s="60"/>
      <c r="U724" s="60"/>
      <c r="V724" s="60"/>
      <c r="W724" s="60"/>
      <c r="X724" s="60"/>
    </row>
    <row r="725">
      <c r="A725" s="15"/>
      <c r="B725" s="15"/>
      <c r="C725" s="15"/>
      <c r="D725" s="15"/>
      <c r="E725" s="15"/>
      <c r="F725" s="15" t="s">
        <v>3650</v>
      </c>
      <c r="G725" s="60"/>
      <c r="H725" s="60"/>
      <c r="I725" s="60"/>
      <c r="J725" s="60"/>
      <c r="K725" s="60"/>
      <c r="L725" s="60"/>
      <c r="M725" s="60"/>
      <c r="N725" s="60"/>
      <c r="O725" s="60"/>
      <c r="P725" s="60"/>
      <c r="Q725" s="60"/>
      <c r="R725" s="60"/>
      <c r="S725" s="60"/>
      <c r="T725" s="60"/>
      <c r="U725" s="60"/>
      <c r="V725" s="60"/>
      <c r="W725" s="60"/>
      <c r="X725" s="60"/>
    </row>
    <row r="726">
      <c r="A726" s="15"/>
      <c r="B726" s="15"/>
      <c r="C726" s="15"/>
      <c r="D726" s="15"/>
      <c r="E726" s="15"/>
      <c r="F726" s="15" t="s">
        <v>3650</v>
      </c>
      <c r="G726" s="60"/>
      <c r="H726" s="60"/>
      <c r="I726" s="60"/>
      <c r="J726" s="60"/>
      <c r="K726" s="60"/>
      <c r="L726" s="60"/>
      <c r="M726" s="60"/>
      <c r="N726" s="60"/>
      <c r="O726" s="60"/>
      <c r="P726" s="60"/>
      <c r="Q726" s="60"/>
      <c r="R726" s="60"/>
      <c r="S726" s="60"/>
      <c r="T726" s="60"/>
      <c r="U726" s="60"/>
      <c r="V726" s="60"/>
      <c r="W726" s="60"/>
      <c r="X726" s="60"/>
    </row>
    <row r="727">
      <c r="A727" s="15"/>
      <c r="B727" s="15"/>
      <c r="C727" s="15"/>
      <c r="D727" s="15"/>
      <c r="E727" s="15"/>
      <c r="F727" s="15" t="s">
        <v>3650</v>
      </c>
      <c r="G727" s="60"/>
      <c r="H727" s="60"/>
      <c r="I727" s="60"/>
      <c r="J727" s="60"/>
      <c r="K727" s="60"/>
      <c r="L727" s="60"/>
      <c r="M727" s="60"/>
      <c r="N727" s="60"/>
      <c r="O727" s="60"/>
      <c r="P727" s="60"/>
      <c r="Q727" s="60"/>
      <c r="R727" s="60"/>
      <c r="S727" s="60"/>
      <c r="T727" s="60"/>
      <c r="U727" s="60"/>
      <c r="V727" s="60"/>
      <c r="W727" s="60"/>
      <c r="X727" s="60"/>
    </row>
    <row r="728">
      <c r="A728" s="15"/>
      <c r="B728" s="15"/>
      <c r="C728" s="15"/>
      <c r="D728" s="15"/>
      <c r="E728" s="15"/>
      <c r="F728" s="15" t="s">
        <v>3650</v>
      </c>
      <c r="G728" s="60"/>
      <c r="H728" s="60"/>
      <c r="I728" s="60"/>
      <c r="J728" s="60"/>
      <c r="K728" s="60"/>
      <c r="L728" s="60"/>
      <c r="M728" s="60"/>
      <c r="N728" s="60"/>
      <c r="O728" s="60"/>
      <c r="P728" s="60"/>
      <c r="Q728" s="60"/>
      <c r="R728" s="60"/>
      <c r="S728" s="60"/>
      <c r="T728" s="60"/>
      <c r="U728" s="60"/>
      <c r="V728" s="60"/>
      <c r="W728" s="60"/>
      <c r="X728" s="60"/>
    </row>
    <row r="729">
      <c r="A729" s="15"/>
      <c r="B729" s="15"/>
      <c r="C729" s="15"/>
      <c r="D729" s="15"/>
      <c r="E729" s="15"/>
      <c r="F729" s="15" t="s">
        <v>3650</v>
      </c>
      <c r="G729" s="60"/>
      <c r="H729" s="60"/>
      <c r="I729" s="60"/>
      <c r="J729" s="60"/>
      <c r="K729" s="60"/>
      <c r="L729" s="60"/>
      <c r="M729" s="60"/>
      <c r="N729" s="60"/>
      <c r="O729" s="60"/>
      <c r="P729" s="60"/>
      <c r="Q729" s="60"/>
      <c r="R729" s="60"/>
      <c r="S729" s="60"/>
      <c r="T729" s="60"/>
      <c r="U729" s="60"/>
      <c r="V729" s="60"/>
      <c r="W729" s="60"/>
      <c r="X729" s="60"/>
    </row>
    <row r="730">
      <c r="A730" s="15"/>
      <c r="B730" s="15"/>
      <c r="C730" s="15"/>
      <c r="D730" s="15"/>
      <c r="E730" s="15"/>
      <c r="F730" s="15" t="s">
        <v>3650</v>
      </c>
      <c r="G730" s="60"/>
      <c r="H730" s="60"/>
      <c r="I730" s="60"/>
      <c r="J730" s="60"/>
      <c r="K730" s="60"/>
      <c r="L730" s="60"/>
      <c r="M730" s="60"/>
      <c r="N730" s="60"/>
      <c r="O730" s="60"/>
      <c r="P730" s="60"/>
      <c r="Q730" s="60"/>
      <c r="R730" s="60"/>
      <c r="S730" s="60"/>
      <c r="T730" s="60"/>
      <c r="U730" s="60"/>
      <c r="V730" s="60"/>
      <c r="W730" s="60"/>
      <c r="X730" s="60"/>
    </row>
    <row r="731">
      <c r="A731" s="15"/>
      <c r="B731" s="15"/>
      <c r="C731" s="15"/>
      <c r="D731" s="15"/>
      <c r="E731" s="15"/>
      <c r="F731" s="15" t="s">
        <v>3650</v>
      </c>
      <c r="G731" s="60"/>
      <c r="H731" s="60"/>
      <c r="I731" s="60"/>
      <c r="J731" s="60"/>
      <c r="K731" s="60"/>
      <c r="L731" s="60"/>
      <c r="M731" s="60"/>
      <c r="N731" s="60"/>
      <c r="O731" s="60"/>
      <c r="P731" s="60"/>
      <c r="Q731" s="60"/>
      <c r="R731" s="60"/>
      <c r="S731" s="60"/>
      <c r="T731" s="60"/>
      <c r="U731" s="60"/>
      <c r="V731" s="60"/>
      <c r="W731" s="60"/>
      <c r="X731" s="60"/>
    </row>
    <row r="732">
      <c r="A732" s="15"/>
      <c r="B732" s="15"/>
      <c r="C732" s="15"/>
      <c r="D732" s="15"/>
      <c r="E732" s="15"/>
      <c r="F732" s="15" t="s">
        <v>3650</v>
      </c>
      <c r="G732" s="60"/>
      <c r="H732" s="60"/>
      <c r="I732" s="60"/>
      <c r="J732" s="60"/>
      <c r="K732" s="60"/>
      <c r="L732" s="60"/>
      <c r="M732" s="60"/>
      <c r="N732" s="60"/>
      <c r="O732" s="60"/>
      <c r="P732" s="60"/>
      <c r="Q732" s="60"/>
      <c r="R732" s="60"/>
      <c r="S732" s="60"/>
      <c r="T732" s="60"/>
      <c r="U732" s="60"/>
      <c r="V732" s="60"/>
      <c r="W732" s="60"/>
      <c r="X732" s="60"/>
    </row>
    <row r="733">
      <c r="A733" s="15"/>
      <c r="B733" s="15"/>
      <c r="C733" s="15"/>
      <c r="D733" s="15"/>
      <c r="E733" s="15"/>
      <c r="F733" s="15" t="s">
        <v>3650</v>
      </c>
      <c r="G733" s="60"/>
      <c r="H733" s="60"/>
      <c r="I733" s="60"/>
      <c r="J733" s="60"/>
      <c r="K733" s="60"/>
      <c r="L733" s="60"/>
      <c r="M733" s="60"/>
      <c r="N733" s="60"/>
      <c r="O733" s="60"/>
      <c r="P733" s="60"/>
      <c r="Q733" s="60"/>
      <c r="R733" s="60"/>
      <c r="S733" s="60"/>
      <c r="T733" s="60"/>
      <c r="U733" s="60"/>
      <c r="V733" s="60"/>
      <c r="W733" s="60"/>
      <c r="X733" s="60"/>
    </row>
    <row r="734">
      <c r="A734" s="15"/>
      <c r="B734" s="15"/>
      <c r="C734" s="15"/>
      <c r="D734" s="15"/>
      <c r="E734" s="15"/>
      <c r="F734" s="15" t="s">
        <v>3650</v>
      </c>
      <c r="G734" s="60"/>
      <c r="H734" s="60"/>
      <c r="I734" s="60"/>
      <c r="J734" s="60"/>
      <c r="K734" s="60"/>
      <c r="L734" s="60"/>
      <c r="M734" s="60"/>
      <c r="N734" s="60"/>
      <c r="O734" s="60"/>
      <c r="P734" s="60"/>
      <c r="Q734" s="60"/>
      <c r="R734" s="60"/>
      <c r="S734" s="60"/>
      <c r="T734" s="60"/>
      <c r="U734" s="60"/>
      <c r="V734" s="60"/>
      <c r="W734" s="60"/>
      <c r="X734" s="60"/>
    </row>
    <row r="735">
      <c r="A735" s="15"/>
      <c r="B735" s="15"/>
      <c r="C735" s="15"/>
      <c r="D735" s="15"/>
      <c r="E735" s="15"/>
      <c r="F735" s="15" t="s">
        <v>3650</v>
      </c>
      <c r="G735" s="60"/>
      <c r="H735" s="60"/>
      <c r="I735" s="60"/>
      <c r="J735" s="60"/>
      <c r="K735" s="60"/>
      <c r="L735" s="60"/>
      <c r="M735" s="60"/>
      <c r="N735" s="60"/>
      <c r="O735" s="60"/>
      <c r="P735" s="60"/>
      <c r="Q735" s="60"/>
      <c r="R735" s="60"/>
      <c r="S735" s="60"/>
      <c r="T735" s="60"/>
      <c r="U735" s="60"/>
      <c r="V735" s="60"/>
      <c r="W735" s="60"/>
      <c r="X735" s="60"/>
    </row>
    <row r="736">
      <c r="A736" s="15"/>
      <c r="B736" s="15"/>
      <c r="C736" s="15"/>
      <c r="D736" s="15"/>
      <c r="E736" s="15"/>
      <c r="F736" s="15" t="s">
        <v>3650</v>
      </c>
      <c r="G736" s="60"/>
      <c r="H736" s="60"/>
      <c r="I736" s="60"/>
      <c r="J736" s="60"/>
      <c r="K736" s="60"/>
      <c r="L736" s="60"/>
      <c r="M736" s="60"/>
      <c r="N736" s="60"/>
      <c r="O736" s="60"/>
      <c r="P736" s="60"/>
      <c r="Q736" s="60"/>
      <c r="R736" s="60"/>
      <c r="S736" s="60"/>
      <c r="T736" s="60"/>
      <c r="U736" s="60"/>
      <c r="V736" s="60"/>
      <c r="W736" s="60"/>
      <c r="X736" s="60"/>
    </row>
    <row r="737">
      <c r="A737" s="15"/>
      <c r="B737" s="15"/>
      <c r="C737" s="15"/>
      <c r="D737" s="15"/>
      <c r="E737" s="15"/>
      <c r="F737" s="15" t="s">
        <v>3650</v>
      </c>
      <c r="G737" s="60"/>
      <c r="H737" s="60"/>
      <c r="I737" s="60"/>
      <c r="J737" s="60"/>
      <c r="K737" s="60"/>
      <c r="L737" s="60"/>
      <c r="M737" s="60"/>
      <c r="N737" s="60"/>
      <c r="O737" s="60"/>
      <c r="P737" s="60"/>
      <c r="Q737" s="60"/>
      <c r="R737" s="60"/>
      <c r="S737" s="60"/>
      <c r="T737" s="60"/>
      <c r="U737" s="60"/>
      <c r="V737" s="60"/>
      <c r="W737" s="60"/>
      <c r="X737" s="60"/>
    </row>
    <row r="738">
      <c r="A738" s="15"/>
      <c r="B738" s="15"/>
      <c r="C738" s="15"/>
      <c r="D738" s="15"/>
      <c r="E738" s="15"/>
      <c r="F738" s="15" t="s">
        <v>3650</v>
      </c>
      <c r="G738" s="60"/>
      <c r="H738" s="60"/>
      <c r="I738" s="60"/>
      <c r="J738" s="60"/>
      <c r="K738" s="60"/>
      <c r="L738" s="60"/>
      <c r="M738" s="60"/>
      <c r="N738" s="60"/>
      <c r="O738" s="60"/>
      <c r="P738" s="60"/>
      <c r="Q738" s="60"/>
      <c r="R738" s="60"/>
      <c r="S738" s="60"/>
      <c r="T738" s="60"/>
      <c r="U738" s="60"/>
      <c r="V738" s="60"/>
      <c r="W738" s="60"/>
      <c r="X738" s="60"/>
    </row>
    <row r="739">
      <c r="A739" s="15"/>
      <c r="B739" s="15"/>
      <c r="C739" s="15"/>
      <c r="D739" s="15"/>
      <c r="E739" s="15"/>
      <c r="F739" s="15" t="s">
        <v>3650</v>
      </c>
      <c r="G739" s="60"/>
      <c r="H739" s="60"/>
      <c r="I739" s="60"/>
      <c r="J739" s="60"/>
      <c r="K739" s="60"/>
      <c r="L739" s="60"/>
      <c r="M739" s="60"/>
      <c r="N739" s="60"/>
      <c r="O739" s="60"/>
      <c r="P739" s="60"/>
      <c r="Q739" s="60"/>
      <c r="R739" s="60"/>
      <c r="S739" s="60"/>
      <c r="T739" s="60"/>
      <c r="U739" s="60"/>
      <c r="V739" s="60"/>
      <c r="W739" s="60"/>
      <c r="X739" s="60"/>
    </row>
    <row r="740">
      <c r="A740" s="15"/>
      <c r="B740" s="15"/>
      <c r="C740" s="15"/>
      <c r="D740" s="15"/>
      <c r="E740" s="15"/>
      <c r="F740" s="15" t="s">
        <v>3650</v>
      </c>
      <c r="G740" s="60"/>
      <c r="H740" s="60"/>
      <c r="I740" s="60"/>
      <c r="J740" s="60"/>
      <c r="K740" s="60"/>
      <c r="L740" s="60"/>
      <c r="M740" s="60"/>
      <c r="N740" s="60"/>
      <c r="O740" s="60"/>
      <c r="P740" s="60"/>
      <c r="Q740" s="60"/>
      <c r="R740" s="60"/>
      <c r="S740" s="60"/>
      <c r="T740" s="60"/>
      <c r="U740" s="60"/>
      <c r="V740" s="60"/>
      <c r="W740" s="60"/>
      <c r="X740" s="60"/>
    </row>
    <row r="741">
      <c r="A741" s="15"/>
      <c r="B741" s="15"/>
      <c r="C741" s="15"/>
      <c r="D741" s="15"/>
      <c r="E741" s="15"/>
      <c r="F741" s="15" t="s">
        <v>3650</v>
      </c>
      <c r="G741" s="60"/>
      <c r="H741" s="60"/>
      <c r="I741" s="60"/>
      <c r="J741" s="60"/>
      <c r="K741" s="60"/>
      <c r="L741" s="60"/>
      <c r="M741" s="60"/>
      <c r="N741" s="60"/>
      <c r="O741" s="60"/>
      <c r="P741" s="60"/>
      <c r="Q741" s="60"/>
      <c r="R741" s="60"/>
      <c r="S741" s="60"/>
      <c r="T741" s="60"/>
      <c r="U741" s="60"/>
      <c r="V741" s="60"/>
      <c r="W741" s="60"/>
      <c r="X741" s="60"/>
    </row>
    <row r="742">
      <c r="A742" s="15"/>
      <c r="B742" s="15"/>
      <c r="C742" s="15"/>
      <c r="D742" s="15"/>
      <c r="E742" s="15"/>
      <c r="F742" s="15" t="s">
        <v>3650</v>
      </c>
      <c r="G742" s="60"/>
      <c r="H742" s="60"/>
      <c r="I742" s="60"/>
      <c r="J742" s="60"/>
      <c r="K742" s="60"/>
      <c r="L742" s="60"/>
      <c r="M742" s="60"/>
      <c r="N742" s="60"/>
      <c r="O742" s="60"/>
      <c r="P742" s="60"/>
      <c r="Q742" s="60"/>
      <c r="R742" s="60"/>
      <c r="S742" s="60"/>
      <c r="T742" s="60"/>
      <c r="U742" s="60"/>
      <c r="V742" s="60"/>
      <c r="W742" s="60"/>
      <c r="X742" s="60"/>
    </row>
    <row r="743">
      <c r="A743" s="15"/>
      <c r="B743" s="15"/>
      <c r="C743" s="15"/>
      <c r="D743" s="15"/>
      <c r="E743" s="15"/>
      <c r="F743" s="15" t="s">
        <v>3650</v>
      </c>
      <c r="G743" s="60"/>
      <c r="H743" s="60"/>
      <c r="I743" s="60"/>
      <c r="J743" s="60"/>
      <c r="K743" s="60"/>
      <c r="L743" s="60"/>
      <c r="M743" s="60"/>
      <c r="N743" s="60"/>
      <c r="O743" s="60"/>
      <c r="P743" s="60"/>
      <c r="Q743" s="60"/>
      <c r="R743" s="60"/>
      <c r="S743" s="60"/>
      <c r="T743" s="60"/>
      <c r="U743" s="60"/>
      <c r="V743" s="60"/>
      <c r="W743" s="60"/>
      <c r="X743" s="60"/>
    </row>
    <row r="744">
      <c r="A744" s="15"/>
      <c r="B744" s="15"/>
      <c r="C744" s="15"/>
      <c r="D744" s="15"/>
      <c r="E744" s="15"/>
      <c r="F744" s="15" t="s">
        <v>3650</v>
      </c>
      <c r="G744" s="60"/>
      <c r="H744" s="60"/>
      <c r="I744" s="60"/>
      <c r="J744" s="60"/>
      <c r="K744" s="60"/>
      <c r="L744" s="60"/>
      <c r="M744" s="60"/>
      <c r="N744" s="60"/>
      <c r="O744" s="60"/>
      <c r="P744" s="60"/>
      <c r="Q744" s="60"/>
      <c r="R744" s="60"/>
      <c r="S744" s="60"/>
      <c r="T744" s="60"/>
      <c r="U744" s="60"/>
      <c r="V744" s="60"/>
      <c r="W744" s="60"/>
      <c r="X744" s="60"/>
    </row>
    <row r="745">
      <c r="A745" s="15"/>
      <c r="B745" s="15"/>
      <c r="C745" s="15"/>
      <c r="D745" s="15"/>
      <c r="E745" s="15"/>
      <c r="F745" s="15" t="s">
        <v>3650</v>
      </c>
      <c r="G745" s="60"/>
      <c r="H745" s="60"/>
      <c r="I745" s="60"/>
      <c r="J745" s="60"/>
      <c r="K745" s="60"/>
      <c r="L745" s="60"/>
      <c r="M745" s="60"/>
      <c r="N745" s="60"/>
      <c r="O745" s="60"/>
      <c r="P745" s="60"/>
      <c r="Q745" s="60"/>
      <c r="R745" s="60"/>
      <c r="S745" s="60"/>
      <c r="T745" s="60"/>
      <c r="U745" s="60"/>
      <c r="V745" s="60"/>
      <c r="W745" s="60"/>
      <c r="X745" s="60"/>
    </row>
    <row r="746">
      <c r="A746" s="15"/>
      <c r="B746" s="15"/>
      <c r="C746" s="15"/>
      <c r="D746" s="15"/>
      <c r="E746" s="15"/>
      <c r="F746" s="15" t="s">
        <v>3650</v>
      </c>
      <c r="G746" s="60"/>
      <c r="H746" s="60"/>
      <c r="I746" s="60"/>
      <c r="J746" s="60"/>
      <c r="K746" s="60"/>
      <c r="L746" s="60"/>
      <c r="M746" s="60"/>
      <c r="N746" s="60"/>
      <c r="O746" s="60"/>
      <c r="P746" s="60"/>
      <c r="Q746" s="60"/>
      <c r="R746" s="60"/>
      <c r="S746" s="60"/>
      <c r="T746" s="60"/>
      <c r="U746" s="60"/>
      <c r="V746" s="60"/>
      <c r="W746" s="60"/>
      <c r="X746" s="60"/>
    </row>
    <row r="747">
      <c r="A747" s="15"/>
      <c r="B747" s="15"/>
      <c r="C747" s="15"/>
      <c r="D747" s="15"/>
      <c r="E747" s="15"/>
      <c r="F747" s="15" t="s">
        <v>3650</v>
      </c>
      <c r="G747" s="60"/>
      <c r="H747" s="60"/>
      <c r="I747" s="60"/>
      <c r="J747" s="60"/>
      <c r="K747" s="60"/>
      <c r="L747" s="60"/>
      <c r="M747" s="60"/>
      <c r="N747" s="60"/>
      <c r="O747" s="60"/>
      <c r="P747" s="60"/>
      <c r="Q747" s="60"/>
      <c r="R747" s="60"/>
      <c r="S747" s="60"/>
      <c r="T747" s="60"/>
      <c r="U747" s="60"/>
      <c r="V747" s="60"/>
      <c r="W747" s="60"/>
      <c r="X747" s="60"/>
    </row>
    <row r="748">
      <c r="A748" s="15"/>
      <c r="B748" s="15"/>
      <c r="C748" s="15"/>
      <c r="D748" s="15"/>
      <c r="E748" s="15"/>
      <c r="F748" s="15" t="s">
        <v>3650</v>
      </c>
      <c r="G748" s="60"/>
      <c r="H748" s="60"/>
      <c r="I748" s="60"/>
      <c r="J748" s="60"/>
      <c r="K748" s="60"/>
      <c r="L748" s="60"/>
      <c r="M748" s="60"/>
      <c r="N748" s="60"/>
      <c r="O748" s="60"/>
      <c r="P748" s="60"/>
      <c r="Q748" s="60"/>
      <c r="R748" s="60"/>
      <c r="S748" s="60"/>
      <c r="T748" s="60"/>
      <c r="U748" s="60"/>
      <c r="V748" s="60"/>
      <c r="W748" s="60"/>
      <c r="X748" s="60"/>
    </row>
    <row r="749">
      <c r="A749" s="15"/>
      <c r="B749" s="15"/>
      <c r="C749" s="15"/>
      <c r="D749" s="15"/>
      <c r="E749" s="15"/>
      <c r="F749" s="15" t="s">
        <v>3650</v>
      </c>
      <c r="G749" s="60"/>
      <c r="H749" s="60"/>
      <c r="I749" s="60"/>
      <c r="J749" s="60"/>
      <c r="K749" s="60"/>
      <c r="L749" s="60"/>
      <c r="M749" s="60"/>
      <c r="N749" s="60"/>
      <c r="O749" s="60"/>
      <c r="P749" s="60"/>
      <c r="Q749" s="60"/>
      <c r="R749" s="60"/>
      <c r="S749" s="60"/>
      <c r="T749" s="60"/>
      <c r="U749" s="60"/>
      <c r="V749" s="60"/>
      <c r="W749" s="60"/>
      <c r="X749" s="60"/>
    </row>
    <row r="750">
      <c r="A750" s="15"/>
      <c r="B750" s="15"/>
      <c r="C750" s="15"/>
      <c r="D750" s="15"/>
      <c r="E750" s="15"/>
      <c r="F750" s="15" t="s">
        <v>3650</v>
      </c>
      <c r="G750" s="60"/>
      <c r="H750" s="60"/>
      <c r="I750" s="60"/>
      <c r="J750" s="60"/>
      <c r="K750" s="60"/>
      <c r="L750" s="60"/>
      <c r="M750" s="60"/>
      <c r="N750" s="60"/>
      <c r="O750" s="60"/>
      <c r="P750" s="60"/>
      <c r="Q750" s="60"/>
      <c r="R750" s="60"/>
      <c r="S750" s="60"/>
      <c r="T750" s="60"/>
      <c r="U750" s="60"/>
      <c r="V750" s="60"/>
      <c r="W750" s="60"/>
      <c r="X750" s="60"/>
    </row>
    <row r="751">
      <c r="A751" s="15"/>
      <c r="B751" s="15"/>
      <c r="C751" s="15"/>
      <c r="D751" s="15"/>
      <c r="E751" s="15"/>
      <c r="F751" s="15" t="s">
        <v>3650</v>
      </c>
      <c r="G751" s="60"/>
      <c r="H751" s="60"/>
      <c r="I751" s="60"/>
      <c r="J751" s="60"/>
      <c r="K751" s="60"/>
      <c r="L751" s="60"/>
      <c r="M751" s="60"/>
      <c r="N751" s="60"/>
      <c r="O751" s="60"/>
      <c r="P751" s="60"/>
      <c r="Q751" s="60"/>
      <c r="R751" s="60"/>
      <c r="S751" s="60"/>
      <c r="T751" s="60"/>
      <c r="U751" s="60"/>
      <c r="V751" s="60"/>
      <c r="W751" s="60"/>
      <c r="X751" s="60"/>
    </row>
    <row r="752">
      <c r="A752" s="15"/>
      <c r="B752" s="15"/>
      <c r="C752" s="15"/>
      <c r="D752" s="15"/>
      <c r="E752" s="15"/>
      <c r="F752" s="15" t="s">
        <v>3650</v>
      </c>
      <c r="G752" s="60"/>
      <c r="H752" s="60"/>
      <c r="I752" s="60"/>
      <c r="J752" s="60"/>
      <c r="K752" s="60"/>
      <c r="L752" s="60"/>
      <c r="M752" s="60"/>
      <c r="N752" s="60"/>
      <c r="O752" s="60"/>
      <c r="P752" s="60"/>
      <c r="Q752" s="60"/>
      <c r="R752" s="60"/>
      <c r="S752" s="60"/>
      <c r="T752" s="60"/>
      <c r="U752" s="60"/>
      <c r="V752" s="60"/>
      <c r="W752" s="60"/>
      <c r="X752" s="60"/>
    </row>
    <row r="753">
      <c r="A753" s="15"/>
      <c r="B753" s="15"/>
      <c r="C753" s="15"/>
      <c r="D753" s="15"/>
      <c r="E753" s="15"/>
      <c r="F753" s="15" t="s">
        <v>3650</v>
      </c>
      <c r="G753" s="60"/>
      <c r="H753" s="60"/>
      <c r="I753" s="60"/>
      <c r="J753" s="60"/>
      <c r="K753" s="60"/>
      <c r="L753" s="60"/>
      <c r="M753" s="60"/>
      <c r="N753" s="60"/>
      <c r="O753" s="60"/>
      <c r="P753" s="60"/>
      <c r="Q753" s="60"/>
      <c r="R753" s="60"/>
      <c r="S753" s="60"/>
      <c r="T753" s="60"/>
      <c r="U753" s="60"/>
      <c r="V753" s="60"/>
      <c r="W753" s="60"/>
      <c r="X753" s="60"/>
    </row>
    <row r="754">
      <c r="A754" s="15"/>
      <c r="B754" s="15"/>
      <c r="C754" s="15"/>
      <c r="D754" s="15"/>
      <c r="E754" s="15"/>
      <c r="F754" s="15" t="s">
        <v>3650</v>
      </c>
      <c r="G754" s="60"/>
      <c r="H754" s="60"/>
      <c r="I754" s="60"/>
      <c r="J754" s="60"/>
      <c r="K754" s="60"/>
      <c r="L754" s="60"/>
      <c r="M754" s="60"/>
      <c r="N754" s="60"/>
      <c r="O754" s="60"/>
      <c r="P754" s="60"/>
      <c r="Q754" s="60"/>
      <c r="R754" s="60"/>
      <c r="S754" s="60"/>
      <c r="T754" s="60"/>
      <c r="U754" s="60"/>
      <c r="V754" s="60"/>
      <c r="W754" s="60"/>
      <c r="X754" s="60"/>
    </row>
    <row r="755">
      <c r="A755" s="15"/>
      <c r="B755" s="15"/>
      <c r="C755" s="15"/>
      <c r="D755" s="15"/>
      <c r="E755" s="15"/>
      <c r="F755" s="15" t="s">
        <v>3650</v>
      </c>
      <c r="G755" s="60"/>
      <c r="H755" s="60"/>
      <c r="I755" s="60"/>
      <c r="J755" s="60"/>
      <c r="K755" s="60"/>
      <c r="L755" s="60"/>
      <c r="M755" s="60"/>
      <c r="N755" s="60"/>
      <c r="O755" s="60"/>
      <c r="P755" s="60"/>
      <c r="Q755" s="60"/>
      <c r="R755" s="60"/>
      <c r="S755" s="60"/>
      <c r="T755" s="60"/>
      <c r="U755" s="60"/>
      <c r="V755" s="60"/>
      <c r="W755" s="60"/>
      <c r="X755" s="60"/>
    </row>
    <row r="756">
      <c r="A756" s="15"/>
      <c r="B756" s="15"/>
      <c r="C756" s="15"/>
      <c r="D756" s="15"/>
      <c r="E756" s="15"/>
      <c r="F756" s="15" t="s">
        <v>3650</v>
      </c>
      <c r="G756" s="60"/>
      <c r="H756" s="60"/>
      <c r="I756" s="60"/>
      <c r="J756" s="60"/>
      <c r="K756" s="60"/>
      <c r="L756" s="60"/>
      <c r="M756" s="60"/>
      <c r="N756" s="60"/>
      <c r="O756" s="60"/>
      <c r="P756" s="60"/>
      <c r="Q756" s="60"/>
      <c r="R756" s="60"/>
      <c r="S756" s="60"/>
      <c r="T756" s="60"/>
      <c r="U756" s="60"/>
      <c r="V756" s="60"/>
      <c r="W756" s="60"/>
      <c r="X756" s="60"/>
    </row>
    <row r="757">
      <c r="A757" s="15"/>
      <c r="B757" s="15"/>
      <c r="C757" s="15"/>
      <c r="D757" s="15"/>
      <c r="E757" s="15"/>
      <c r="F757" s="15" t="s">
        <v>3650</v>
      </c>
      <c r="G757" s="60"/>
      <c r="H757" s="60"/>
      <c r="I757" s="60"/>
      <c r="J757" s="60"/>
      <c r="K757" s="60"/>
      <c r="L757" s="60"/>
      <c r="M757" s="60"/>
      <c r="N757" s="60"/>
      <c r="O757" s="60"/>
      <c r="P757" s="60"/>
      <c r="Q757" s="60"/>
      <c r="R757" s="60"/>
      <c r="S757" s="60"/>
      <c r="T757" s="60"/>
      <c r="U757" s="60"/>
      <c r="V757" s="60"/>
      <c r="W757" s="60"/>
      <c r="X757" s="60"/>
    </row>
    <row r="758">
      <c r="A758" s="15"/>
      <c r="B758" s="15"/>
      <c r="C758" s="15"/>
      <c r="D758" s="15"/>
      <c r="E758" s="15"/>
      <c r="F758" s="15" t="s">
        <v>3650</v>
      </c>
      <c r="G758" s="60"/>
      <c r="H758" s="60"/>
      <c r="I758" s="60"/>
      <c r="J758" s="60"/>
      <c r="K758" s="60"/>
      <c r="L758" s="60"/>
      <c r="M758" s="60"/>
      <c r="N758" s="60"/>
      <c r="O758" s="60"/>
      <c r="P758" s="60"/>
      <c r="Q758" s="60"/>
      <c r="R758" s="60"/>
      <c r="S758" s="60"/>
      <c r="T758" s="60"/>
      <c r="U758" s="60"/>
      <c r="V758" s="60"/>
      <c r="W758" s="60"/>
      <c r="X758" s="60"/>
    </row>
    <row r="759">
      <c r="A759" s="15"/>
      <c r="B759" s="15"/>
      <c r="C759" s="15"/>
      <c r="D759" s="15"/>
      <c r="E759" s="15"/>
      <c r="F759" s="15" t="s">
        <v>3650</v>
      </c>
      <c r="G759" s="60"/>
      <c r="H759" s="60"/>
      <c r="I759" s="60"/>
      <c r="J759" s="60"/>
      <c r="K759" s="60"/>
      <c r="L759" s="60"/>
      <c r="M759" s="60"/>
      <c r="N759" s="60"/>
      <c r="O759" s="60"/>
      <c r="P759" s="60"/>
      <c r="Q759" s="60"/>
      <c r="R759" s="60"/>
      <c r="S759" s="60"/>
      <c r="T759" s="60"/>
      <c r="U759" s="60"/>
      <c r="V759" s="60"/>
      <c r="W759" s="60"/>
      <c r="X759" s="60"/>
    </row>
    <row r="760">
      <c r="A760" s="15"/>
      <c r="B760" s="15"/>
      <c r="C760" s="15"/>
      <c r="D760" s="15"/>
      <c r="E760" s="15"/>
      <c r="F760" s="15" t="s">
        <v>3650</v>
      </c>
      <c r="G760" s="60"/>
      <c r="H760" s="60"/>
      <c r="I760" s="60"/>
      <c r="J760" s="60"/>
      <c r="K760" s="60"/>
      <c r="L760" s="60"/>
      <c r="M760" s="60"/>
      <c r="N760" s="60"/>
      <c r="O760" s="60"/>
      <c r="P760" s="60"/>
      <c r="Q760" s="60"/>
      <c r="R760" s="60"/>
      <c r="S760" s="60"/>
      <c r="T760" s="60"/>
      <c r="U760" s="60"/>
      <c r="V760" s="60"/>
      <c r="W760" s="60"/>
      <c r="X760" s="60"/>
    </row>
    <row r="761">
      <c r="A761" s="15"/>
      <c r="B761" s="15"/>
      <c r="C761" s="15"/>
      <c r="D761" s="15"/>
      <c r="E761" s="15"/>
      <c r="F761" s="15" t="s">
        <v>3650</v>
      </c>
      <c r="G761" s="60"/>
      <c r="H761" s="60"/>
      <c r="I761" s="60"/>
      <c r="J761" s="60"/>
      <c r="K761" s="60"/>
      <c r="L761" s="60"/>
      <c r="M761" s="60"/>
      <c r="N761" s="60"/>
      <c r="O761" s="60"/>
      <c r="P761" s="60"/>
      <c r="Q761" s="60"/>
      <c r="R761" s="60"/>
      <c r="S761" s="60"/>
      <c r="T761" s="60"/>
      <c r="U761" s="60"/>
      <c r="V761" s="60"/>
      <c r="W761" s="60"/>
      <c r="X761" s="60"/>
    </row>
    <row r="762">
      <c r="A762" s="15"/>
      <c r="B762" s="15"/>
      <c r="C762" s="15"/>
      <c r="D762" s="15"/>
      <c r="E762" s="15"/>
      <c r="F762" s="15" t="s">
        <v>3650</v>
      </c>
      <c r="G762" s="60"/>
      <c r="H762" s="60"/>
      <c r="I762" s="60"/>
      <c r="J762" s="60"/>
      <c r="K762" s="60"/>
      <c r="L762" s="60"/>
      <c r="M762" s="60"/>
      <c r="N762" s="60"/>
      <c r="O762" s="60"/>
      <c r="P762" s="60"/>
      <c r="Q762" s="60"/>
      <c r="R762" s="60"/>
      <c r="S762" s="60"/>
      <c r="T762" s="60"/>
      <c r="U762" s="60"/>
      <c r="V762" s="60"/>
      <c r="W762" s="60"/>
      <c r="X762" s="60"/>
    </row>
    <row r="763">
      <c r="A763" s="15"/>
      <c r="B763" s="15"/>
      <c r="C763" s="15"/>
      <c r="D763" s="15"/>
      <c r="E763" s="15"/>
      <c r="F763" s="15" t="s">
        <v>3650</v>
      </c>
      <c r="G763" s="60"/>
      <c r="H763" s="60"/>
      <c r="I763" s="60"/>
      <c r="J763" s="60"/>
      <c r="K763" s="60"/>
      <c r="L763" s="60"/>
      <c r="M763" s="60"/>
      <c r="N763" s="60"/>
      <c r="O763" s="60"/>
      <c r="P763" s="60"/>
      <c r="Q763" s="60"/>
      <c r="R763" s="60"/>
      <c r="S763" s="60"/>
      <c r="T763" s="60"/>
      <c r="U763" s="60"/>
      <c r="V763" s="60"/>
      <c r="W763" s="60"/>
      <c r="X763" s="60"/>
    </row>
    <row r="764">
      <c r="A764" s="15"/>
      <c r="B764" s="15"/>
      <c r="C764" s="15"/>
      <c r="D764" s="15"/>
      <c r="E764" s="15"/>
      <c r="F764" s="15" t="s">
        <v>3650</v>
      </c>
      <c r="G764" s="60"/>
      <c r="H764" s="60"/>
      <c r="I764" s="60"/>
      <c r="J764" s="60"/>
      <c r="K764" s="60"/>
      <c r="L764" s="60"/>
      <c r="M764" s="60"/>
      <c r="N764" s="60"/>
      <c r="O764" s="60"/>
      <c r="P764" s="60"/>
      <c r="Q764" s="60"/>
      <c r="R764" s="60"/>
      <c r="S764" s="60"/>
      <c r="T764" s="60"/>
      <c r="U764" s="60"/>
      <c r="V764" s="60"/>
      <c r="W764" s="60"/>
      <c r="X764" s="60"/>
    </row>
    <row r="765">
      <c r="A765" s="15"/>
      <c r="B765" s="15"/>
      <c r="C765" s="15"/>
      <c r="D765" s="15"/>
      <c r="E765" s="15"/>
      <c r="F765" s="15" t="s">
        <v>3650</v>
      </c>
      <c r="G765" s="60"/>
      <c r="H765" s="60"/>
      <c r="I765" s="60"/>
      <c r="J765" s="60"/>
      <c r="K765" s="60"/>
      <c r="L765" s="60"/>
      <c r="M765" s="60"/>
      <c r="N765" s="60"/>
      <c r="O765" s="60"/>
      <c r="P765" s="60"/>
      <c r="Q765" s="60"/>
      <c r="R765" s="60"/>
      <c r="S765" s="60"/>
      <c r="T765" s="60"/>
      <c r="U765" s="60"/>
      <c r="V765" s="60"/>
      <c r="W765" s="60"/>
      <c r="X765" s="60"/>
    </row>
    <row r="766">
      <c r="A766" s="15"/>
      <c r="B766" s="15"/>
      <c r="C766" s="15"/>
      <c r="D766" s="15"/>
      <c r="E766" s="15"/>
      <c r="F766" s="15" t="s">
        <v>3650</v>
      </c>
      <c r="G766" s="60"/>
      <c r="H766" s="60"/>
      <c r="I766" s="60"/>
      <c r="J766" s="60"/>
      <c r="K766" s="60"/>
      <c r="L766" s="60"/>
      <c r="M766" s="60"/>
      <c r="N766" s="60"/>
      <c r="O766" s="60"/>
      <c r="P766" s="60"/>
      <c r="Q766" s="60"/>
      <c r="R766" s="60"/>
      <c r="S766" s="60"/>
      <c r="T766" s="60"/>
      <c r="U766" s="60"/>
      <c r="V766" s="60"/>
      <c r="W766" s="60"/>
      <c r="X766" s="60"/>
    </row>
    <row r="767">
      <c r="A767" s="15"/>
      <c r="B767" s="15"/>
      <c r="C767" s="15"/>
      <c r="D767" s="15"/>
      <c r="E767" s="15"/>
      <c r="F767" s="15" t="s">
        <v>3650</v>
      </c>
      <c r="G767" s="60"/>
      <c r="H767" s="60"/>
      <c r="I767" s="60"/>
      <c r="J767" s="60"/>
      <c r="K767" s="60"/>
      <c r="L767" s="60"/>
      <c r="M767" s="60"/>
      <c r="N767" s="60"/>
      <c r="O767" s="60"/>
      <c r="P767" s="60"/>
      <c r="Q767" s="60"/>
      <c r="R767" s="60"/>
      <c r="S767" s="60"/>
      <c r="T767" s="60"/>
      <c r="U767" s="60"/>
      <c r="V767" s="60"/>
      <c r="W767" s="60"/>
      <c r="X767" s="60"/>
    </row>
    <row r="768">
      <c r="A768" s="15"/>
      <c r="B768" s="15"/>
      <c r="C768" s="15"/>
      <c r="D768" s="15"/>
      <c r="E768" s="15"/>
      <c r="F768" s="15" t="s">
        <v>3650</v>
      </c>
      <c r="G768" s="60"/>
      <c r="H768" s="60"/>
      <c r="I768" s="60"/>
      <c r="J768" s="60"/>
      <c r="K768" s="60"/>
      <c r="L768" s="60"/>
      <c r="M768" s="60"/>
      <c r="N768" s="60"/>
      <c r="O768" s="60"/>
      <c r="P768" s="60"/>
      <c r="Q768" s="60"/>
      <c r="R768" s="60"/>
      <c r="S768" s="60"/>
      <c r="T768" s="60"/>
      <c r="U768" s="60"/>
      <c r="V768" s="60"/>
      <c r="W768" s="60"/>
      <c r="X768" s="60"/>
    </row>
    <row r="769">
      <c r="A769" s="15"/>
      <c r="B769" s="15"/>
      <c r="C769" s="15"/>
      <c r="D769" s="15"/>
      <c r="E769" s="15"/>
      <c r="F769" s="15" t="s">
        <v>3650</v>
      </c>
      <c r="G769" s="60"/>
      <c r="H769" s="60"/>
      <c r="I769" s="60"/>
      <c r="J769" s="60"/>
      <c r="K769" s="60"/>
      <c r="L769" s="60"/>
      <c r="M769" s="60"/>
      <c r="N769" s="60"/>
      <c r="O769" s="60"/>
      <c r="P769" s="60"/>
      <c r="Q769" s="60"/>
      <c r="R769" s="60"/>
      <c r="S769" s="60"/>
      <c r="T769" s="60"/>
      <c r="U769" s="60"/>
      <c r="V769" s="60"/>
      <c r="W769" s="60"/>
      <c r="X769" s="60"/>
    </row>
    <row r="770">
      <c r="A770" s="15"/>
      <c r="B770" s="15"/>
      <c r="C770" s="15"/>
      <c r="D770" s="15"/>
      <c r="E770" s="15"/>
      <c r="F770" s="15" t="s">
        <v>3650</v>
      </c>
      <c r="G770" s="60"/>
      <c r="H770" s="60"/>
      <c r="I770" s="60"/>
      <c r="J770" s="60"/>
      <c r="K770" s="60"/>
      <c r="L770" s="60"/>
      <c r="M770" s="60"/>
      <c r="N770" s="60"/>
      <c r="O770" s="60"/>
      <c r="P770" s="60"/>
      <c r="Q770" s="60"/>
      <c r="R770" s="60"/>
      <c r="S770" s="60"/>
      <c r="T770" s="60"/>
      <c r="U770" s="60"/>
      <c r="V770" s="60"/>
      <c r="W770" s="60"/>
      <c r="X770" s="60"/>
    </row>
    <row r="771">
      <c r="A771" s="15"/>
      <c r="B771" s="15"/>
      <c r="C771" s="15"/>
      <c r="D771" s="15"/>
      <c r="E771" s="15"/>
      <c r="F771" s="15" t="s">
        <v>3650</v>
      </c>
      <c r="G771" s="60"/>
      <c r="H771" s="60"/>
      <c r="I771" s="60"/>
      <c r="J771" s="60"/>
      <c r="K771" s="60"/>
      <c r="L771" s="60"/>
      <c r="M771" s="60"/>
      <c r="N771" s="60"/>
      <c r="O771" s="60"/>
      <c r="P771" s="60"/>
      <c r="Q771" s="60"/>
      <c r="R771" s="60"/>
      <c r="S771" s="60"/>
      <c r="T771" s="60"/>
      <c r="U771" s="60"/>
      <c r="V771" s="60"/>
      <c r="W771" s="60"/>
      <c r="X771" s="60"/>
    </row>
    <row r="772">
      <c r="A772" s="15"/>
      <c r="B772" s="15"/>
      <c r="C772" s="15"/>
      <c r="D772" s="15"/>
      <c r="E772" s="15"/>
      <c r="F772" s="15" t="s">
        <v>3650</v>
      </c>
      <c r="G772" s="60"/>
      <c r="H772" s="60"/>
      <c r="I772" s="60"/>
      <c r="J772" s="60"/>
      <c r="K772" s="60"/>
      <c r="L772" s="60"/>
      <c r="M772" s="60"/>
      <c r="N772" s="60"/>
      <c r="O772" s="60"/>
      <c r="P772" s="60"/>
      <c r="Q772" s="60"/>
      <c r="R772" s="60"/>
      <c r="S772" s="60"/>
      <c r="T772" s="60"/>
      <c r="U772" s="60"/>
      <c r="V772" s="60"/>
      <c r="W772" s="60"/>
      <c r="X772" s="60"/>
    </row>
    <row r="773">
      <c r="A773" s="15"/>
      <c r="B773" s="15"/>
      <c r="C773" s="15"/>
      <c r="D773" s="15"/>
      <c r="E773" s="15"/>
      <c r="F773" s="15" t="s">
        <v>3650</v>
      </c>
      <c r="G773" s="60"/>
      <c r="H773" s="60"/>
      <c r="I773" s="60"/>
      <c r="J773" s="60"/>
      <c r="K773" s="60"/>
      <c r="L773" s="60"/>
      <c r="M773" s="60"/>
      <c r="N773" s="60"/>
      <c r="O773" s="60"/>
      <c r="P773" s="60"/>
      <c r="Q773" s="60"/>
      <c r="R773" s="60"/>
      <c r="S773" s="60"/>
      <c r="T773" s="60"/>
      <c r="U773" s="60"/>
      <c r="V773" s="60"/>
      <c r="W773" s="60"/>
      <c r="X773" s="60"/>
    </row>
    <row r="774">
      <c r="A774" s="15"/>
      <c r="B774" s="15"/>
      <c r="C774" s="15"/>
      <c r="D774" s="15"/>
      <c r="E774" s="15"/>
      <c r="F774" s="15" t="s">
        <v>3650</v>
      </c>
      <c r="G774" s="60"/>
      <c r="H774" s="60"/>
      <c r="I774" s="60"/>
      <c r="J774" s="60"/>
      <c r="K774" s="60"/>
      <c r="L774" s="60"/>
      <c r="M774" s="60"/>
      <c r="N774" s="60"/>
      <c r="O774" s="60"/>
      <c r="P774" s="60"/>
      <c r="Q774" s="60"/>
      <c r="R774" s="60"/>
      <c r="S774" s="60"/>
      <c r="T774" s="60"/>
      <c r="U774" s="60"/>
      <c r="V774" s="60"/>
      <c r="W774" s="60"/>
      <c r="X774" s="60"/>
    </row>
    <row r="775">
      <c r="A775" s="15"/>
      <c r="B775" s="15"/>
      <c r="C775" s="15"/>
      <c r="D775" s="15"/>
      <c r="E775" s="15"/>
      <c r="F775" s="15" t="s">
        <v>3650</v>
      </c>
      <c r="G775" s="60"/>
      <c r="H775" s="60"/>
      <c r="I775" s="60"/>
      <c r="J775" s="60"/>
      <c r="K775" s="60"/>
      <c r="L775" s="60"/>
      <c r="M775" s="60"/>
      <c r="N775" s="60"/>
      <c r="O775" s="60"/>
      <c r="P775" s="60"/>
      <c r="Q775" s="60"/>
      <c r="R775" s="60"/>
      <c r="S775" s="60"/>
      <c r="T775" s="60"/>
      <c r="U775" s="60"/>
      <c r="V775" s="60"/>
      <c r="W775" s="60"/>
      <c r="X775" s="60"/>
    </row>
    <row r="776">
      <c r="A776" s="15"/>
      <c r="B776" s="15"/>
      <c r="C776" s="15"/>
      <c r="D776" s="15"/>
      <c r="E776" s="15"/>
      <c r="F776" s="15" t="s">
        <v>3650</v>
      </c>
      <c r="G776" s="60"/>
      <c r="H776" s="60"/>
      <c r="I776" s="60"/>
      <c r="J776" s="60"/>
      <c r="K776" s="60"/>
      <c r="L776" s="60"/>
      <c r="M776" s="60"/>
      <c r="N776" s="60"/>
      <c r="O776" s="60"/>
      <c r="P776" s="60"/>
      <c r="Q776" s="60"/>
      <c r="R776" s="60"/>
      <c r="S776" s="60"/>
      <c r="T776" s="60"/>
      <c r="U776" s="60"/>
      <c r="V776" s="60"/>
      <c r="W776" s="60"/>
      <c r="X776" s="60"/>
    </row>
    <row r="777">
      <c r="A777" s="15"/>
      <c r="B777" s="15"/>
      <c r="C777" s="15"/>
      <c r="D777" s="15"/>
      <c r="E777" s="15"/>
      <c r="F777" s="15" t="s">
        <v>3650</v>
      </c>
      <c r="G777" s="60"/>
      <c r="H777" s="60"/>
      <c r="I777" s="60"/>
      <c r="J777" s="60"/>
      <c r="K777" s="60"/>
      <c r="L777" s="60"/>
      <c r="M777" s="60"/>
      <c r="N777" s="60"/>
      <c r="O777" s="60"/>
      <c r="P777" s="60"/>
      <c r="Q777" s="60"/>
      <c r="R777" s="60"/>
      <c r="S777" s="60"/>
      <c r="T777" s="60"/>
      <c r="U777" s="60"/>
      <c r="V777" s="60"/>
      <c r="W777" s="60"/>
      <c r="X777" s="60"/>
    </row>
    <row r="778">
      <c r="A778" s="15"/>
      <c r="B778" s="15"/>
      <c r="C778" s="15"/>
      <c r="D778" s="15"/>
      <c r="E778" s="15"/>
      <c r="F778" s="15" t="s">
        <v>3650</v>
      </c>
      <c r="G778" s="60"/>
      <c r="H778" s="60"/>
      <c r="I778" s="60"/>
      <c r="J778" s="60"/>
      <c r="K778" s="60"/>
      <c r="L778" s="60"/>
      <c r="M778" s="60"/>
      <c r="N778" s="60"/>
      <c r="O778" s="60"/>
      <c r="P778" s="60"/>
      <c r="Q778" s="60"/>
      <c r="R778" s="60"/>
      <c r="S778" s="60"/>
      <c r="T778" s="60"/>
      <c r="U778" s="60"/>
      <c r="V778" s="60"/>
      <c r="W778" s="60"/>
      <c r="X778" s="60"/>
    </row>
    <row r="779">
      <c r="A779" s="15"/>
      <c r="B779" s="15"/>
      <c r="C779" s="15"/>
      <c r="D779" s="15"/>
      <c r="E779" s="15"/>
      <c r="F779" s="15" t="s">
        <v>3650</v>
      </c>
      <c r="G779" s="60"/>
      <c r="H779" s="60"/>
      <c r="I779" s="60"/>
      <c r="J779" s="60"/>
      <c r="K779" s="60"/>
      <c r="L779" s="60"/>
      <c r="M779" s="60"/>
      <c r="N779" s="60"/>
      <c r="O779" s="60"/>
      <c r="P779" s="60"/>
      <c r="Q779" s="60"/>
      <c r="R779" s="60"/>
      <c r="S779" s="60"/>
      <c r="T779" s="60"/>
      <c r="U779" s="60"/>
      <c r="V779" s="60"/>
      <c r="W779" s="60"/>
      <c r="X779" s="60"/>
    </row>
    <row r="780">
      <c r="A780" s="15"/>
      <c r="B780" s="15"/>
      <c r="C780" s="15"/>
      <c r="D780" s="15"/>
      <c r="E780" s="15"/>
      <c r="F780" s="15" t="s">
        <v>3650</v>
      </c>
      <c r="G780" s="60"/>
      <c r="H780" s="60"/>
      <c r="I780" s="60"/>
      <c r="J780" s="60"/>
      <c r="K780" s="60"/>
      <c r="L780" s="60"/>
      <c r="M780" s="60"/>
      <c r="N780" s="60"/>
      <c r="O780" s="60"/>
      <c r="P780" s="60"/>
      <c r="Q780" s="60"/>
      <c r="R780" s="60"/>
      <c r="S780" s="60"/>
      <c r="T780" s="60"/>
      <c r="U780" s="60"/>
      <c r="V780" s="60"/>
      <c r="W780" s="60"/>
      <c r="X780" s="60"/>
    </row>
    <row r="781">
      <c r="A781" s="15"/>
      <c r="B781" s="15"/>
      <c r="C781" s="15"/>
      <c r="D781" s="15"/>
      <c r="E781" s="15"/>
      <c r="F781" s="15" t="s">
        <v>3650</v>
      </c>
      <c r="G781" s="60"/>
      <c r="H781" s="60"/>
      <c r="I781" s="60"/>
      <c r="J781" s="60"/>
      <c r="K781" s="60"/>
      <c r="L781" s="60"/>
      <c r="M781" s="60"/>
      <c r="N781" s="60"/>
      <c r="O781" s="60"/>
      <c r="P781" s="60"/>
      <c r="Q781" s="60"/>
      <c r="R781" s="60"/>
      <c r="S781" s="60"/>
      <c r="T781" s="60"/>
      <c r="U781" s="60"/>
      <c r="V781" s="60"/>
      <c r="W781" s="60"/>
      <c r="X781" s="60"/>
    </row>
    <row r="782">
      <c r="A782" s="15"/>
      <c r="B782" s="15"/>
      <c r="C782" s="15"/>
      <c r="D782" s="15"/>
      <c r="E782" s="15"/>
      <c r="F782" s="15" t="s">
        <v>3650</v>
      </c>
      <c r="G782" s="60"/>
      <c r="H782" s="60"/>
      <c r="I782" s="60"/>
      <c r="J782" s="60"/>
      <c r="K782" s="60"/>
      <c r="L782" s="60"/>
      <c r="M782" s="60"/>
      <c r="N782" s="60"/>
      <c r="O782" s="60"/>
      <c r="P782" s="60"/>
      <c r="Q782" s="60"/>
      <c r="R782" s="60"/>
      <c r="S782" s="60"/>
      <c r="T782" s="60"/>
      <c r="U782" s="60"/>
      <c r="V782" s="60"/>
      <c r="W782" s="60"/>
      <c r="X782" s="60"/>
    </row>
    <row r="783">
      <c r="A783" s="15"/>
      <c r="B783" s="15"/>
      <c r="C783" s="15"/>
      <c r="D783" s="15"/>
      <c r="E783" s="15"/>
      <c r="F783" s="15" t="s">
        <v>3650</v>
      </c>
      <c r="G783" s="60"/>
      <c r="H783" s="60"/>
      <c r="I783" s="60"/>
      <c r="J783" s="60"/>
      <c r="K783" s="60"/>
      <c r="L783" s="60"/>
      <c r="M783" s="60"/>
      <c r="N783" s="60"/>
      <c r="O783" s="60"/>
      <c r="P783" s="60"/>
      <c r="Q783" s="60"/>
      <c r="R783" s="60"/>
      <c r="S783" s="60"/>
      <c r="T783" s="60"/>
      <c r="U783" s="60"/>
      <c r="V783" s="60"/>
      <c r="W783" s="60"/>
      <c r="X783" s="60"/>
    </row>
    <row r="784">
      <c r="A784" s="15"/>
      <c r="B784" s="15"/>
      <c r="C784" s="15"/>
      <c r="D784" s="15"/>
      <c r="E784" s="15"/>
      <c r="F784" s="15" t="s">
        <v>3650</v>
      </c>
      <c r="G784" s="60"/>
      <c r="H784" s="60"/>
      <c r="I784" s="60"/>
      <c r="J784" s="60"/>
      <c r="K784" s="60"/>
      <c r="L784" s="60"/>
      <c r="M784" s="60"/>
      <c r="N784" s="60"/>
      <c r="O784" s="60"/>
      <c r="P784" s="60"/>
      <c r="Q784" s="60"/>
      <c r="R784" s="60"/>
      <c r="S784" s="60"/>
      <c r="T784" s="60"/>
      <c r="U784" s="60"/>
      <c r="V784" s="60"/>
      <c r="W784" s="60"/>
      <c r="X784" s="60"/>
    </row>
    <row r="785">
      <c r="A785" s="15"/>
      <c r="B785" s="15"/>
      <c r="C785" s="15"/>
      <c r="D785" s="15"/>
      <c r="E785" s="15"/>
      <c r="F785" s="15" t="s">
        <v>3650</v>
      </c>
      <c r="G785" s="60"/>
      <c r="H785" s="60"/>
      <c r="I785" s="60"/>
      <c r="J785" s="60"/>
      <c r="K785" s="60"/>
      <c r="L785" s="60"/>
      <c r="M785" s="60"/>
      <c r="N785" s="60"/>
      <c r="O785" s="60"/>
      <c r="P785" s="60"/>
      <c r="Q785" s="60"/>
      <c r="R785" s="60"/>
      <c r="S785" s="60"/>
      <c r="T785" s="60"/>
      <c r="U785" s="60"/>
      <c r="V785" s="60"/>
      <c r="W785" s="60"/>
      <c r="X785" s="60"/>
    </row>
    <row r="786">
      <c r="A786" s="15"/>
      <c r="B786" s="15"/>
      <c r="C786" s="15"/>
      <c r="D786" s="15"/>
      <c r="E786" s="15"/>
      <c r="F786" s="15" t="s">
        <v>3650</v>
      </c>
      <c r="G786" s="60"/>
      <c r="H786" s="60"/>
      <c r="I786" s="60"/>
      <c r="J786" s="60"/>
      <c r="K786" s="60"/>
      <c r="L786" s="60"/>
      <c r="M786" s="60"/>
      <c r="N786" s="60"/>
      <c r="O786" s="60"/>
      <c r="P786" s="60"/>
      <c r="Q786" s="60"/>
      <c r="R786" s="60"/>
      <c r="S786" s="60"/>
      <c r="T786" s="60"/>
      <c r="U786" s="60"/>
      <c r="V786" s="60"/>
      <c r="W786" s="60"/>
      <c r="X786" s="60"/>
    </row>
    <row r="787">
      <c r="A787" s="15"/>
      <c r="B787" s="15"/>
      <c r="C787" s="15"/>
      <c r="D787" s="15"/>
      <c r="E787" s="15"/>
      <c r="F787" s="15" t="s">
        <v>3650</v>
      </c>
      <c r="G787" s="60"/>
      <c r="H787" s="60"/>
      <c r="I787" s="60"/>
      <c r="J787" s="60"/>
      <c r="K787" s="60"/>
      <c r="L787" s="60"/>
      <c r="M787" s="60"/>
      <c r="N787" s="60"/>
      <c r="O787" s="60"/>
      <c r="P787" s="60"/>
      <c r="Q787" s="60"/>
      <c r="R787" s="60"/>
      <c r="S787" s="60"/>
      <c r="T787" s="60"/>
      <c r="U787" s="60"/>
      <c r="V787" s="60"/>
      <c r="W787" s="60"/>
      <c r="X787" s="60"/>
    </row>
    <row r="788">
      <c r="A788" s="15"/>
      <c r="B788" s="15"/>
      <c r="C788" s="15"/>
      <c r="D788" s="15"/>
      <c r="E788" s="15"/>
      <c r="F788" s="15" t="s">
        <v>3650</v>
      </c>
      <c r="G788" s="60"/>
      <c r="H788" s="60"/>
      <c r="I788" s="60"/>
      <c r="J788" s="60"/>
      <c r="K788" s="60"/>
      <c r="L788" s="60"/>
      <c r="M788" s="60"/>
      <c r="N788" s="60"/>
      <c r="O788" s="60"/>
      <c r="P788" s="60"/>
      <c r="Q788" s="60"/>
      <c r="R788" s="60"/>
      <c r="S788" s="60"/>
      <c r="T788" s="60"/>
      <c r="U788" s="60"/>
      <c r="V788" s="60"/>
      <c r="W788" s="60"/>
      <c r="X788" s="60"/>
    </row>
    <row r="789">
      <c r="A789" s="15"/>
      <c r="B789" s="15"/>
      <c r="C789" s="15"/>
      <c r="D789" s="15"/>
      <c r="E789" s="15"/>
      <c r="F789" s="15" t="s">
        <v>3650</v>
      </c>
      <c r="G789" s="60"/>
      <c r="H789" s="60"/>
      <c r="I789" s="60"/>
      <c r="J789" s="60"/>
      <c r="K789" s="60"/>
      <c r="L789" s="60"/>
      <c r="M789" s="60"/>
      <c r="N789" s="60"/>
      <c r="O789" s="60"/>
      <c r="P789" s="60"/>
      <c r="Q789" s="60"/>
      <c r="R789" s="60"/>
      <c r="S789" s="60"/>
      <c r="T789" s="60"/>
      <c r="U789" s="60"/>
      <c r="V789" s="60"/>
      <c r="W789" s="60"/>
      <c r="X789" s="60"/>
    </row>
    <row r="790">
      <c r="A790" s="15"/>
      <c r="B790" s="15"/>
      <c r="C790" s="15"/>
      <c r="D790" s="15"/>
      <c r="E790" s="15"/>
      <c r="F790" s="15" t="s">
        <v>3650</v>
      </c>
      <c r="G790" s="60"/>
      <c r="H790" s="60"/>
      <c r="I790" s="60"/>
      <c r="J790" s="60"/>
      <c r="K790" s="60"/>
      <c r="L790" s="60"/>
      <c r="M790" s="60"/>
      <c r="N790" s="60"/>
      <c r="O790" s="60"/>
      <c r="P790" s="60"/>
      <c r="Q790" s="60"/>
      <c r="R790" s="60"/>
      <c r="S790" s="60"/>
      <c r="T790" s="60"/>
      <c r="U790" s="60"/>
      <c r="V790" s="60"/>
      <c r="W790" s="60"/>
      <c r="X790" s="60"/>
    </row>
    <row r="791">
      <c r="A791" s="15"/>
      <c r="B791" s="15"/>
      <c r="C791" s="15"/>
      <c r="D791" s="15"/>
      <c r="E791" s="15"/>
      <c r="F791" s="15" t="s">
        <v>3650</v>
      </c>
      <c r="G791" s="60"/>
      <c r="H791" s="60"/>
      <c r="I791" s="60"/>
      <c r="J791" s="60"/>
      <c r="K791" s="60"/>
      <c r="L791" s="60"/>
      <c r="M791" s="60"/>
      <c r="N791" s="60"/>
      <c r="O791" s="60"/>
      <c r="P791" s="60"/>
      <c r="Q791" s="60"/>
      <c r="R791" s="60"/>
      <c r="S791" s="60"/>
      <c r="T791" s="60"/>
      <c r="U791" s="60"/>
      <c r="V791" s="60"/>
      <c r="W791" s="60"/>
      <c r="X791" s="60"/>
    </row>
    <row r="792">
      <c r="A792" s="15"/>
      <c r="B792" s="15"/>
      <c r="C792" s="15"/>
      <c r="D792" s="15"/>
      <c r="E792" s="15"/>
      <c r="F792" s="15" t="s">
        <v>3650</v>
      </c>
      <c r="G792" s="60"/>
      <c r="H792" s="60"/>
      <c r="I792" s="60"/>
      <c r="J792" s="60"/>
      <c r="K792" s="60"/>
      <c r="L792" s="60"/>
      <c r="M792" s="60"/>
      <c r="N792" s="60"/>
      <c r="O792" s="60"/>
      <c r="P792" s="60"/>
      <c r="Q792" s="60"/>
      <c r="R792" s="60"/>
      <c r="S792" s="60"/>
      <c r="T792" s="60"/>
      <c r="U792" s="60"/>
      <c r="V792" s="60"/>
      <c r="W792" s="60"/>
      <c r="X792" s="60"/>
    </row>
    <row r="793">
      <c r="A793" s="15"/>
      <c r="B793" s="15"/>
      <c r="C793" s="15"/>
      <c r="D793" s="15"/>
      <c r="E793" s="15"/>
      <c r="F793" s="15" t="s">
        <v>3650</v>
      </c>
      <c r="G793" s="60"/>
      <c r="H793" s="60"/>
      <c r="I793" s="60"/>
      <c r="J793" s="60"/>
      <c r="K793" s="60"/>
      <c r="L793" s="60"/>
      <c r="M793" s="60"/>
      <c r="N793" s="60"/>
      <c r="O793" s="60"/>
      <c r="P793" s="60"/>
      <c r="Q793" s="60"/>
      <c r="R793" s="60"/>
      <c r="S793" s="60"/>
      <c r="T793" s="60"/>
      <c r="U793" s="60"/>
      <c r="V793" s="60"/>
      <c r="W793" s="60"/>
      <c r="X793" s="60"/>
    </row>
    <row r="794">
      <c r="A794" s="15"/>
      <c r="B794" s="15"/>
      <c r="C794" s="15"/>
      <c r="D794" s="15"/>
      <c r="E794" s="15"/>
      <c r="F794" s="15" t="s">
        <v>3650</v>
      </c>
      <c r="G794" s="60"/>
      <c r="H794" s="60"/>
      <c r="I794" s="60"/>
      <c r="J794" s="60"/>
      <c r="K794" s="60"/>
      <c r="L794" s="60"/>
      <c r="M794" s="60"/>
      <c r="N794" s="60"/>
      <c r="O794" s="60"/>
      <c r="P794" s="60"/>
      <c r="Q794" s="60"/>
      <c r="R794" s="60"/>
      <c r="S794" s="60"/>
      <c r="T794" s="60"/>
      <c r="U794" s="60"/>
      <c r="V794" s="60"/>
      <c r="W794" s="60"/>
      <c r="X794" s="60"/>
    </row>
    <row r="795">
      <c r="A795" s="15"/>
      <c r="B795" s="15"/>
      <c r="C795" s="15"/>
      <c r="D795" s="15"/>
      <c r="E795" s="15"/>
      <c r="F795" s="15" t="s">
        <v>3650</v>
      </c>
      <c r="G795" s="60"/>
      <c r="H795" s="60"/>
      <c r="I795" s="60"/>
      <c r="J795" s="60"/>
      <c r="K795" s="60"/>
      <c r="L795" s="60"/>
      <c r="M795" s="60"/>
      <c r="N795" s="60"/>
      <c r="O795" s="60"/>
      <c r="P795" s="60"/>
      <c r="Q795" s="60"/>
      <c r="R795" s="60"/>
      <c r="S795" s="60"/>
      <c r="T795" s="60"/>
      <c r="U795" s="60"/>
      <c r="V795" s="60"/>
      <c r="W795" s="60"/>
      <c r="X795" s="60"/>
    </row>
    <row r="796">
      <c r="A796" s="15"/>
      <c r="B796" s="15"/>
      <c r="C796" s="15"/>
      <c r="D796" s="15"/>
      <c r="E796" s="15"/>
      <c r="F796" s="15" t="s">
        <v>3650</v>
      </c>
      <c r="G796" s="60"/>
      <c r="H796" s="60"/>
      <c r="I796" s="60"/>
      <c r="J796" s="60"/>
      <c r="K796" s="60"/>
      <c r="L796" s="60"/>
      <c r="M796" s="60"/>
      <c r="N796" s="60"/>
      <c r="O796" s="60"/>
      <c r="P796" s="60"/>
      <c r="Q796" s="60"/>
      <c r="R796" s="60"/>
      <c r="S796" s="60"/>
      <c r="T796" s="60"/>
      <c r="U796" s="60"/>
      <c r="V796" s="60"/>
      <c r="W796" s="60"/>
      <c r="X796" s="60"/>
    </row>
    <row r="797">
      <c r="A797" s="15"/>
      <c r="B797" s="15"/>
      <c r="C797" s="15"/>
      <c r="D797" s="15"/>
      <c r="E797" s="15"/>
      <c r="F797" s="15" t="s">
        <v>3650</v>
      </c>
      <c r="G797" s="60"/>
      <c r="H797" s="60"/>
      <c r="I797" s="60"/>
      <c r="J797" s="60"/>
      <c r="K797" s="60"/>
      <c r="L797" s="60"/>
      <c r="M797" s="60"/>
      <c r="N797" s="60"/>
      <c r="O797" s="60"/>
      <c r="P797" s="60"/>
      <c r="Q797" s="60"/>
      <c r="R797" s="60"/>
      <c r="S797" s="60"/>
      <c r="T797" s="60"/>
      <c r="U797" s="60"/>
      <c r="V797" s="60"/>
      <c r="W797" s="60"/>
      <c r="X797" s="60"/>
    </row>
    <row r="798">
      <c r="A798" s="15"/>
      <c r="B798" s="15"/>
      <c r="C798" s="15"/>
      <c r="D798" s="15"/>
      <c r="E798" s="15"/>
      <c r="F798" s="15" t="s">
        <v>3650</v>
      </c>
      <c r="G798" s="60"/>
      <c r="H798" s="60"/>
      <c r="I798" s="60"/>
      <c r="J798" s="60"/>
      <c r="K798" s="60"/>
      <c r="L798" s="60"/>
      <c r="M798" s="60"/>
      <c r="N798" s="60"/>
      <c r="O798" s="60"/>
      <c r="P798" s="60"/>
      <c r="Q798" s="60"/>
      <c r="R798" s="60"/>
      <c r="S798" s="60"/>
      <c r="T798" s="60"/>
      <c r="U798" s="60"/>
      <c r="V798" s="60"/>
      <c r="W798" s="60"/>
      <c r="X798" s="60"/>
    </row>
    <row r="799">
      <c r="A799" s="15"/>
      <c r="B799" s="15"/>
      <c r="C799" s="15"/>
      <c r="D799" s="15"/>
      <c r="E799" s="15"/>
      <c r="F799" s="15" t="s">
        <v>3650</v>
      </c>
      <c r="G799" s="60"/>
      <c r="H799" s="60"/>
      <c r="I799" s="60"/>
      <c r="J799" s="60"/>
      <c r="K799" s="60"/>
      <c r="L799" s="60"/>
      <c r="M799" s="60"/>
      <c r="N799" s="60"/>
      <c r="O799" s="60"/>
      <c r="P799" s="60"/>
      <c r="Q799" s="60"/>
      <c r="R799" s="60"/>
      <c r="S799" s="60"/>
      <c r="T799" s="60"/>
      <c r="U799" s="60"/>
      <c r="V799" s="60"/>
      <c r="W799" s="60"/>
      <c r="X799" s="60"/>
    </row>
    <row r="800">
      <c r="A800" s="15"/>
      <c r="B800" s="15"/>
      <c r="C800" s="15"/>
      <c r="D800" s="15"/>
      <c r="E800" s="15"/>
      <c r="F800" s="15" t="s">
        <v>3650</v>
      </c>
      <c r="G800" s="60"/>
      <c r="H800" s="60"/>
      <c r="I800" s="60"/>
      <c r="J800" s="60"/>
      <c r="K800" s="60"/>
      <c r="L800" s="60"/>
      <c r="M800" s="60"/>
      <c r="N800" s="60"/>
      <c r="O800" s="60"/>
      <c r="P800" s="60"/>
      <c r="Q800" s="60"/>
      <c r="R800" s="60"/>
      <c r="S800" s="60"/>
      <c r="T800" s="60"/>
      <c r="U800" s="60"/>
      <c r="V800" s="60"/>
      <c r="W800" s="60"/>
      <c r="X800" s="60"/>
    </row>
    <row r="801">
      <c r="A801" s="15"/>
      <c r="B801" s="15"/>
      <c r="C801" s="15"/>
      <c r="D801" s="15"/>
      <c r="E801" s="15"/>
      <c r="F801" s="15" t="s">
        <v>3650</v>
      </c>
      <c r="G801" s="60"/>
      <c r="H801" s="60"/>
      <c r="I801" s="60"/>
      <c r="J801" s="60"/>
      <c r="K801" s="60"/>
      <c r="L801" s="60"/>
      <c r="M801" s="60"/>
      <c r="N801" s="60"/>
      <c r="O801" s="60"/>
      <c r="P801" s="60"/>
      <c r="Q801" s="60"/>
      <c r="R801" s="60"/>
      <c r="S801" s="60"/>
      <c r="T801" s="60"/>
      <c r="U801" s="60"/>
      <c r="V801" s="60"/>
      <c r="W801" s="60"/>
      <c r="X801" s="60"/>
    </row>
    <row r="802">
      <c r="A802" s="15"/>
      <c r="B802" s="15"/>
      <c r="C802" s="15"/>
      <c r="D802" s="15"/>
      <c r="E802" s="15"/>
      <c r="F802" s="15" t="s">
        <v>3650</v>
      </c>
      <c r="G802" s="60"/>
      <c r="H802" s="60"/>
      <c r="I802" s="60"/>
      <c r="J802" s="60"/>
      <c r="K802" s="60"/>
      <c r="L802" s="60"/>
      <c r="M802" s="60"/>
      <c r="N802" s="60"/>
      <c r="O802" s="60"/>
      <c r="P802" s="60"/>
      <c r="Q802" s="60"/>
      <c r="R802" s="60"/>
      <c r="S802" s="60"/>
      <c r="T802" s="60"/>
      <c r="U802" s="60"/>
      <c r="V802" s="60"/>
      <c r="W802" s="60"/>
      <c r="X802" s="60"/>
    </row>
    <row r="803">
      <c r="A803" s="15"/>
      <c r="B803" s="15"/>
      <c r="C803" s="15"/>
      <c r="D803" s="15"/>
      <c r="E803" s="15"/>
      <c r="F803" s="15" t="s">
        <v>3650</v>
      </c>
      <c r="G803" s="60"/>
      <c r="H803" s="60"/>
      <c r="I803" s="60"/>
      <c r="J803" s="60"/>
      <c r="K803" s="60"/>
      <c r="L803" s="60"/>
      <c r="M803" s="60"/>
      <c r="N803" s="60"/>
      <c r="O803" s="60"/>
      <c r="P803" s="60"/>
      <c r="Q803" s="60"/>
      <c r="R803" s="60"/>
      <c r="S803" s="60"/>
      <c r="T803" s="60"/>
      <c r="U803" s="60"/>
      <c r="V803" s="60"/>
      <c r="W803" s="60"/>
      <c r="X803" s="60"/>
    </row>
    <row r="804">
      <c r="A804" s="15"/>
      <c r="B804" s="15"/>
      <c r="C804" s="15"/>
      <c r="D804" s="15"/>
      <c r="E804" s="15"/>
      <c r="F804" s="15" t="s">
        <v>3650</v>
      </c>
      <c r="G804" s="60"/>
      <c r="H804" s="60"/>
      <c r="I804" s="60"/>
      <c r="J804" s="60"/>
      <c r="K804" s="60"/>
      <c r="L804" s="60"/>
      <c r="M804" s="60"/>
      <c r="N804" s="60"/>
      <c r="O804" s="60"/>
      <c r="P804" s="60"/>
      <c r="Q804" s="60"/>
      <c r="R804" s="60"/>
      <c r="S804" s="60"/>
      <c r="T804" s="60"/>
      <c r="U804" s="60"/>
      <c r="V804" s="60"/>
      <c r="W804" s="60"/>
      <c r="X804" s="60"/>
    </row>
    <row r="805">
      <c r="A805" s="15"/>
      <c r="B805" s="15"/>
      <c r="C805" s="15"/>
      <c r="D805" s="15"/>
      <c r="E805" s="15"/>
      <c r="F805" s="15" t="s">
        <v>3650</v>
      </c>
      <c r="G805" s="60"/>
      <c r="H805" s="60"/>
      <c r="I805" s="60"/>
      <c r="J805" s="60"/>
      <c r="K805" s="60"/>
      <c r="L805" s="60"/>
      <c r="M805" s="60"/>
      <c r="N805" s="60"/>
      <c r="O805" s="60"/>
      <c r="P805" s="60"/>
      <c r="Q805" s="60"/>
      <c r="R805" s="60"/>
      <c r="S805" s="60"/>
      <c r="T805" s="60"/>
      <c r="U805" s="60"/>
      <c r="V805" s="60"/>
      <c r="W805" s="60"/>
      <c r="X805" s="60"/>
    </row>
    <row r="806">
      <c r="A806" s="15"/>
      <c r="B806" s="15"/>
      <c r="C806" s="15"/>
      <c r="D806" s="15"/>
      <c r="E806" s="15"/>
      <c r="F806" s="15" t="s">
        <v>3650</v>
      </c>
      <c r="G806" s="60"/>
      <c r="H806" s="60"/>
      <c r="I806" s="60"/>
      <c r="J806" s="60"/>
      <c r="K806" s="60"/>
      <c r="L806" s="60"/>
      <c r="M806" s="60"/>
      <c r="N806" s="60"/>
      <c r="O806" s="60"/>
      <c r="P806" s="60"/>
      <c r="Q806" s="60"/>
      <c r="R806" s="60"/>
      <c r="S806" s="60"/>
      <c r="T806" s="60"/>
      <c r="U806" s="60"/>
      <c r="V806" s="60"/>
      <c r="W806" s="60"/>
      <c r="X806" s="60"/>
    </row>
    <row r="807">
      <c r="A807" s="15"/>
      <c r="B807" s="15"/>
      <c r="C807" s="15"/>
      <c r="D807" s="15"/>
      <c r="E807" s="15"/>
      <c r="F807" s="15" t="s">
        <v>3650</v>
      </c>
      <c r="G807" s="60"/>
      <c r="H807" s="60"/>
      <c r="I807" s="60"/>
      <c r="J807" s="60"/>
      <c r="K807" s="60"/>
      <c r="L807" s="60"/>
      <c r="M807" s="60"/>
      <c r="N807" s="60"/>
      <c r="O807" s="60"/>
      <c r="P807" s="60"/>
      <c r="Q807" s="60"/>
      <c r="R807" s="60"/>
      <c r="S807" s="60"/>
      <c r="T807" s="60"/>
      <c r="U807" s="60"/>
      <c r="V807" s="60"/>
      <c r="W807" s="60"/>
      <c r="X807" s="60"/>
    </row>
    <row r="808">
      <c r="A808" s="15"/>
      <c r="B808" s="15"/>
      <c r="C808" s="15"/>
      <c r="D808" s="15"/>
      <c r="E808" s="15"/>
      <c r="F808" s="15" t="s">
        <v>3650</v>
      </c>
      <c r="G808" s="60"/>
      <c r="H808" s="60"/>
      <c r="I808" s="60"/>
      <c r="J808" s="60"/>
      <c r="K808" s="60"/>
      <c r="L808" s="60"/>
      <c r="M808" s="60"/>
      <c r="N808" s="60"/>
      <c r="O808" s="60"/>
      <c r="P808" s="60"/>
      <c r="Q808" s="60"/>
      <c r="R808" s="60"/>
      <c r="S808" s="60"/>
      <c r="T808" s="60"/>
      <c r="U808" s="60"/>
      <c r="V808" s="60"/>
      <c r="W808" s="60"/>
      <c r="X808" s="60"/>
    </row>
    <row r="809">
      <c r="A809" s="15"/>
      <c r="B809" s="15"/>
      <c r="C809" s="15"/>
      <c r="D809" s="15"/>
      <c r="E809" s="15"/>
      <c r="F809" s="15" t="s">
        <v>3650</v>
      </c>
      <c r="G809" s="60"/>
      <c r="H809" s="60"/>
      <c r="I809" s="60"/>
      <c r="J809" s="60"/>
      <c r="K809" s="60"/>
      <c r="L809" s="60"/>
      <c r="M809" s="60"/>
      <c r="N809" s="60"/>
      <c r="O809" s="60"/>
      <c r="P809" s="60"/>
      <c r="Q809" s="60"/>
      <c r="R809" s="60"/>
      <c r="S809" s="60"/>
      <c r="T809" s="60"/>
      <c r="U809" s="60"/>
      <c r="V809" s="60"/>
      <c r="W809" s="60"/>
      <c r="X809" s="60"/>
    </row>
    <row r="810">
      <c r="A810" s="15"/>
      <c r="B810" s="15"/>
      <c r="C810" s="15"/>
      <c r="D810" s="15"/>
      <c r="E810" s="15"/>
      <c r="F810" s="15" t="s">
        <v>3650</v>
      </c>
      <c r="G810" s="60"/>
      <c r="H810" s="60"/>
      <c r="I810" s="60"/>
      <c r="J810" s="60"/>
      <c r="K810" s="60"/>
      <c r="L810" s="60"/>
      <c r="M810" s="60"/>
      <c r="N810" s="60"/>
      <c r="O810" s="60"/>
      <c r="P810" s="60"/>
      <c r="Q810" s="60"/>
      <c r="R810" s="60"/>
      <c r="S810" s="60"/>
      <c r="T810" s="60"/>
      <c r="U810" s="60"/>
      <c r="V810" s="60"/>
      <c r="W810" s="60"/>
      <c r="X810" s="60"/>
    </row>
    <row r="811">
      <c r="A811" s="15"/>
      <c r="B811" s="15"/>
      <c r="C811" s="15"/>
      <c r="D811" s="15"/>
      <c r="E811" s="15"/>
      <c r="F811" s="15" t="s">
        <v>3650</v>
      </c>
      <c r="G811" s="60"/>
      <c r="H811" s="60"/>
      <c r="I811" s="60"/>
      <c r="J811" s="60"/>
      <c r="K811" s="60"/>
      <c r="L811" s="60"/>
      <c r="M811" s="60"/>
      <c r="N811" s="60"/>
      <c r="O811" s="60"/>
      <c r="P811" s="60"/>
      <c r="Q811" s="60"/>
      <c r="R811" s="60"/>
      <c r="S811" s="60"/>
      <c r="T811" s="60"/>
      <c r="U811" s="60"/>
      <c r="V811" s="60"/>
      <c r="W811" s="60"/>
      <c r="X811" s="60"/>
    </row>
    <row r="812">
      <c r="A812" s="15"/>
      <c r="B812" s="15"/>
      <c r="C812" s="15"/>
      <c r="D812" s="15"/>
      <c r="E812" s="15"/>
      <c r="F812" s="15" t="s">
        <v>3650</v>
      </c>
      <c r="G812" s="60"/>
      <c r="H812" s="60"/>
      <c r="I812" s="60"/>
      <c r="J812" s="60"/>
      <c r="K812" s="60"/>
      <c r="L812" s="60"/>
      <c r="M812" s="60"/>
      <c r="N812" s="60"/>
      <c r="O812" s="60"/>
      <c r="P812" s="60"/>
      <c r="Q812" s="60"/>
      <c r="R812" s="60"/>
      <c r="S812" s="60"/>
      <c r="T812" s="60"/>
      <c r="U812" s="60"/>
      <c r="V812" s="60"/>
      <c r="W812" s="60"/>
      <c r="X812" s="60"/>
    </row>
    <row r="813">
      <c r="A813" s="15"/>
      <c r="B813" s="15"/>
      <c r="C813" s="15"/>
      <c r="D813" s="15"/>
      <c r="E813" s="15"/>
      <c r="F813" s="15" t="s">
        <v>3650</v>
      </c>
      <c r="G813" s="60"/>
      <c r="H813" s="60"/>
      <c r="I813" s="60"/>
      <c r="J813" s="60"/>
      <c r="K813" s="60"/>
      <c r="L813" s="60"/>
      <c r="M813" s="60"/>
      <c r="N813" s="60"/>
      <c r="O813" s="60"/>
      <c r="P813" s="60"/>
      <c r="Q813" s="60"/>
      <c r="R813" s="60"/>
      <c r="S813" s="60"/>
      <c r="T813" s="60"/>
      <c r="U813" s="60"/>
      <c r="V813" s="60"/>
      <c r="W813" s="60"/>
      <c r="X813" s="60"/>
    </row>
    <row r="814">
      <c r="A814" s="15"/>
      <c r="B814" s="15"/>
      <c r="C814" s="15"/>
      <c r="D814" s="15"/>
      <c r="E814" s="15"/>
      <c r="F814" s="15" t="s">
        <v>3650</v>
      </c>
      <c r="G814" s="60"/>
      <c r="H814" s="60"/>
      <c r="I814" s="60"/>
      <c r="J814" s="60"/>
      <c r="K814" s="60"/>
      <c r="L814" s="60"/>
      <c r="M814" s="60"/>
      <c r="N814" s="60"/>
      <c r="O814" s="60"/>
      <c r="P814" s="60"/>
      <c r="Q814" s="60"/>
      <c r="R814" s="60"/>
      <c r="S814" s="60"/>
      <c r="T814" s="60"/>
      <c r="U814" s="60"/>
      <c r="V814" s="60"/>
      <c r="W814" s="60"/>
      <c r="X814" s="60"/>
    </row>
    <row r="815">
      <c r="A815" s="15"/>
      <c r="B815" s="15"/>
      <c r="C815" s="15"/>
      <c r="D815" s="15"/>
      <c r="E815" s="15"/>
      <c r="F815" s="15" t="s">
        <v>3650</v>
      </c>
      <c r="G815" s="60"/>
      <c r="H815" s="60"/>
      <c r="I815" s="60"/>
      <c r="J815" s="60"/>
      <c r="K815" s="60"/>
      <c r="L815" s="60"/>
      <c r="M815" s="60"/>
      <c r="N815" s="60"/>
      <c r="O815" s="60"/>
      <c r="P815" s="60"/>
      <c r="Q815" s="60"/>
      <c r="R815" s="60"/>
      <c r="S815" s="60"/>
      <c r="T815" s="60"/>
      <c r="U815" s="60"/>
      <c r="V815" s="60"/>
      <c r="W815" s="60"/>
      <c r="X815" s="60"/>
    </row>
    <row r="816">
      <c r="A816" s="15"/>
      <c r="B816" s="15"/>
      <c r="C816" s="15"/>
      <c r="D816" s="15"/>
      <c r="E816" s="15"/>
      <c r="F816" s="15" t="s">
        <v>3650</v>
      </c>
      <c r="G816" s="60"/>
      <c r="H816" s="60"/>
      <c r="I816" s="60"/>
      <c r="J816" s="60"/>
      <c r="K816" s="60"/>
      <c r="L816" s="60"/>
      <c r="M816" s="60"/>
      <c r="N816" s="60"/>
      <c r="O816" s="60"/>
      <c r="P816" s="60"/>
      <c r="Q816" s="60"/>
      <c r="R816" s="60"/>
      <c r="S816" s="60"/>
      <c r="T816" s="60"/>
      <c r="U816" s="60"/>
      <c r="V816" s="60"/>
      <c r="W816" s="60"/>
      <c r="X816" s="60"/>
    </row>
    <row r="817">
      <c r="A817" s="15"/>
      <c r="B817" s="15"/>
      <c r="C817" s="15"/>
      <c r="D817" s="15"/>
      <c r="E817" s="15"/>
      <c r="F817" s="15" t="s">
        <v>3650</v>
      </c>
      <c r="G817" s="60"/>
      <c r="H817" s="60"/>
      <c r="I817" s="60"/>
      <c r="J817" s="60"/>
      <c r="K817" s="60"/>
      <c r="L817" s="60"/>
      <c r="M817" s="60"/>
      <c r="N817" s="60"/>
      <c r="O817" s="60"/>
      <c r="P817" s="60"/>
      <c r="Q817" s="60"/>
      <c r="R817" s="60"/>
      <c r="S817" s="60"/>
      <c r="T817" s="60"/>
      <c r="U817" s="60"/>
      <c r="V817" s="60"/>
      <c r="W817" s="60"/>
      <c r="X817" s="60"/>
    </row>
    <row r="818">
      <c r="A818" s="15"/>
      <c r="B818" s="15"/>
      <c r="C818" s="15"/>
      <c r="D818" s="15"/>
      <c r="E818" s="15"/>
      <c r="F818" s="15" t="s">
        <v>3650</v>
      </c>
      <c r="G818" s="60"/>
      <c r="H818" s="60"/>
      <c r="I818" s="60"/>
      <c r="J818" s="60"/>
      <c r="K818" s="60"/>
      <c r="L818" s="60"/>
      <c r="M818" s="60"/>
      <c r="N818" s="60"/>
      <c r="O818" s="60"/>
      <c r="P818" s="60"/>
      <c r="Q818" s="60"/>
      <c r="R818" s="60"/>
      <c r="S818" s="60"/>
      <c r="T818" s="60"/>
      <c r="U818" s="60"/>
      <c r="V818" s="60"/>
      <c r="W818" s="60"/>
      <c r="X818" s="60"/>
    </row>
    <row r="819">
      <c r="A819" s="15"/>
      <c r="B819" s="15"/>
      <c r="C819" s="15"/>
      <c r="D819" s="15"/>
      <c r="E819" s="15"/>
      <c r="F819" s="15" t="s">
        <v>3650</v>
      </c>
      <c r="G819" s="60"/>
      <c r="H819" s="60"/>
      <c r="I819" s="60"/>
      <c r="J819" s="60"/>
      <c r="K819" s="60"/>
      <c r="L819" s="60"/>
      <c r="M819" s="60"/>
      <c r="N819" s="60"/>
      <c r="O819" s="60"/>
      <c r="P819" s="60"/>
      <c r="Q819" s="60"/>
      <c r="R819" s="60"/>
      <c r="S819" s="60"/>
      <c r="T819" s="60"/>
      <c r="U819" s="60"/>
      <c r="V819" s="60"/>
      <c r="W819" s="60"/>
      <c r="X819" s="60"/>
    </row>
    <row r="820">
      <c r="A820" s="15"/>
      <c r="B820" s="15"/>
      <c r="C820" s="15"/>
      <c r="D820" s="15"/>
      <c r="E820" s="15"/>
      <c r="F820" s="15" t="s">
        <v>3650</v>
      </c>
      <c r="G820" s="60"/>
      <c r="H820" s="60"/>
      <c r="I820" s="60"/>
      <c r="J820" s="60"/>
      <c r="K820" s="60"/>
      <c r="L820" s="60"/>
      <c r="M820" s="60"/>
      <c r="N820" s="60"/>
      <c r="O820" s="60"/>
      <c r="P820" s="60"/>
      <c r="Q820" s="60"/>
      <c r="R820" s="60"/>
      <c r="S820" s="60"/>
      <c r="T820" s="60"/>
      <c r="U820" s="60"/>
      <c r="V820" s="60"/>
      <c r="W820" s="60"/>
      <c r="X820" s="60"/>
    </row>
    <row r="821">
      <c r="A821" s="15"/>
      <c r="B821" s="15"/>
      <c r="C821" s="15"/>
      <c r="D821" s="15"/>
      <c r="E821" s="15"/>
      <c r="F821" s="15" t="s">
        <v>3650</v>
      </c>
      <c r="G821" s="60"/>
      <c r="H821" s="60"/>
      <c r="I821" s="60"/>
      <c r="J821" s="60"/>
      <c r="K821" s="60"/>
      <c r="L821" s="60"/>
      <c r="M821" s="60"/>
      <c r="N821" s="60"/>
      <c r="O821" s="60"/>
      <c r="P821" s="60"/>
      <c r="Q821" s="60"/>
      <c r="R821" s="60"/>
      <c r="S821" s="60"/>
      <c r="T821" s="60"/>
      <c r="U821" s="60"/>
      <c r="V821" s="60"/>
      <c r="W821" s="60"/>
      <c r="X821" s="60"/>
    </row>
    <row r="822">
      <c r="A822" s="15"/>
      <c r="B822" s="15"/>
      <c r="C822" s="15"/>
      <c r="D822" s="15"/>
      <c r="E822" s="15"/>
      <c r="F822" s="15" t="s">
        <v>3650</v>
      </c>
      <c r="G822" s="60"/>
      <c r="H822" s="60"/>
      <c r="I822" s="60"/>
      <c r="J822" s="60"/>
      <c r="K822" s="60"/>
      <c r="L822" s="60"/>
      <c r="M822" s="60"/>
      <c r="N822" s="60"/>
      <c r="O822" s="60"/>
      <c r="P822" s="60"/>
      <c r="Q822" s="60"/>
      <c r="R822" s="60"/>
      <c r="S822" s="60"/>
      <c r="T822" s="60"/>
      <c r="U822" s="60"/>
      <c r="V822" s="60"/>
      <c r="W822" s="60"/>
      <c r="X822" s="60"/>
    </row>
    <row r="823">
      <c r="A823" s="15"/>
      <c r="B823" s="15"/>
      <c r="C823" s="15"/>
      <c r="D823" s="15"/>
      <c r="E823" s="15"/>
      <c r="F823" s="15" t="s">
        <v>3650</v>
      </c>
      <c r="G823" s="60"/>
      <c r="H823" s="60"/>
      <c r="I823" s="60"/>
      <c r="J823" s="60"/>
      <c r="K823" s="60"/>
      <c r="L823" s="60"/>
      <c r="M823" s="60"/>
      <c r="N823" s="60"/>
      <c r="O823" s="60"/>
      <c r="P823" s="60"/>
      <c r="Q823" s="60"/>
      <c r="R823" s="60"/>
      <c r="S823" s="60"/>
      <c r="T823" s="60"/>
      <c r="U823" s="60"/>
      <c r="V823" s="60"/>
      <c r="W823" s="60"/>
      <c r="X823" s="60"/>
    </row>
    <row r="824">
      <c r="A824" s="15"/>
      <c r="B824" s="15"/>
      <c r="C824" s="15"/>
      <c r="D824" s="15"/>
      <c r="E824" s="15"/>
      <c r="F824" s="15" t="s">
        <v>3650</v>
      </c>
      <c r="G824" s="60"/>
      <c r="H824" s="60"/>
      <c r="I824" s="60"/>
      <c r="J824" s="60"/>
      <c r="K824" s="60"/>
      <c r="L824" s="60"/>
      <c r="M824" s="60"/>
      <c r="N824" s="60"/>
      <c r="O824" s="60"/>
      <c r="P824" s="60"/>
      <c r="Q824" s="60"/>
      <c r="R824" s="60"/>
      <c r="S824" s="60"/>
      <c r="T824" s="60"/>
      <c r="U824" s="60"/>
      <c r="V824" s="60"/>
      <c r="W824" s="60"/>
      <c r="X824" s="60"/>
    </row>
    <row r="825">
      <c r="A825" s="15"/>
      <c r="B825" s="15"/>
      <c r="C825" s="15"/>
      <c r="D825" s="15"/>
      <c r="E825" s="15"/>
      <c r="F825" s="15" t="s">
        <v>3650</v>
      </c>
      <c r="G825" s="60"/>
      <c r="H825" s="60"/>
      <c r="I825" s="60"/>
      <c r="J825" s="60"/>
      <c r="K825" s="60"/>
      <c r="L825" s="60"/>
      <c r="M825" s="60"/>
      <c r="N825" s="60"/>
      <c r="O825" s="60"/>
      <c r="P825" s="60"/>
      <c r="Q825" s="60"/>
      <c r="R825" s="60"/>
      <c r="S825" s="60"/>
      <c r="T825" s="60"/>
      <c r="U825" s="60"/>
      <c r="V825" s="60"/>
      <c r="W825" s="60"/>
      <c r="X825" s="60"/>
    </row>
    <row r="826">
      <c r="A826" s="15"/>
      <c r="B826" s="15"/>
      <c r="C826" s="15"/>
      <c r="D826" s="15"/>
      <c r="E826" s="15"/>
      <c r="F826" s="15" t="s">
        <v>3650</v>
      </c>
      <c r="G826" s="60"/>
      <c r="H826" s="60"/>
      <c r="I826" s="60"/>
      <c r="J826" s="60"/>
      <c r="K826" s="60"/>
      <c r="L826" s="60"/>
      <c r="M826" s="60"/>
      <c r="N826" s="60"/>
      <c r="O826" s="60"/>
      <c r="P826" s="60"/>
      <c r="Q826" s="60"/>
      <c r="R826" s="60"/>
      <c r="S826" s="60"/>
      <c r="T826" s="60"/>
      <c r="U826" s="60"/>
      <c r="V826" s="60"/>
      <c r="W826" s="60"/>
      <c r="X826" s="60"/>
    </row>
    <row r="827">
      <c r="A827" s="15"/>
      <c r="B827" s="15"/>
      <c r="C827" s="15"/>
      <c r="D827" s="15"/>
      <c r="E827" s="15"/>
      <c r="F827" s="15" t="s">
        <v>3650</v>
      </c>
      <c r="G827" s="60"/>
      <c r="H827" s="60"/>
      <c r="I827" s="60"/>
      <c r="J827" s="60"/>
      <c r="K827" s="60"/>
      <c r="L827" s="60"/>
      <c r="M827" s="60"/>
      <c r="N827" s="60"/>
      <c r="O827" s="60"/>
      <c r="P827" s="60"/>
      <c r="Q827" s="60"/>
      <c r="R827" s="60"/>
      <c r="S827" s="60"/>
      <c r="T827" s="60"/>
      <c r="U827" s="60"/>
      <c r="V827" s="60"/>
      <c r="W827" s="60"/>
      <c r="X827" s="60"/>
    </row>
    <row r="828">
      <c r="A828" s="15"/>
      <c r="B828" s="15"/>
      <c r="C828" s="15"/>
      <c r="D828" s="15"/>
      <c r="E828" s="15"/>
      <c r="F828" s="15" t="s">
        <v>3650</v>
      </c>
      <c r="G828" s="60"/>
      <c r="H828" s="60"/>
      <c r="I828" s="60"/>
      <c r="J828" s="60"/>
      <c r="K828" s="60"/>
      <c r="L828" s="60"/>
      <c r="M828" s="60"/>
      <c r="N828" s="60"/>
      <c r="O828" s="60"/>
      <c r="P828" s="60"/>
      <c r="Q828" s="60"/>
      <c r="R828" s="60"/>
      <c r="S828" s="60"/>
      <c r="T828" s="60"/>
      <c r="U828" s="60"/>
      <c r="V828" s="60"/>
      <c r="W828" s="60"/>
      <c r="X828" s="60"/>
    </row>
    <row r="829">
      <c r="A829" s="15"/>
      <c r="B829" s="15"/>
      <c r="C829" s="15"/>
      <c r="D829" s="15"/>
      <c r="E829" s="15"/>
      <c r="F829" s="15" t="s">
        <v>3650</v>
      </c>
      <c r="G829" s="60"/>
      <c r="H829" s="60"/>
      <c r="I829" s="60"/>
      <c r="J829" s="60"/>
      <c r="K829" s="60"/>
      <c r="L829" s="60"/>
      <c r="M829" s="60"/>
      <c r="N829" s="60"/>
      <c r="O829" s="60"/>
      <c r="P829" s="60"/>
      <c r="Q829" s="60"/>
      <c r="R829" s="60"/>
      <c r="S829" s="60"/>
      <c r="T829" s="60"/>
      <c r="U829" s="60"/>
      <c r="V829" s="60"/>
      <c r="W829" s="60"/>
      <c r="X829" s="60"/>
    </row>
    <row r="830">
      <c r="A830" s="15"/>
      <c r="B830" s="15"/>
      <c r="C830" s="15"/>
      <c r="D830" s="15"/>
      <c r="E830" s="15"/>
      <c r="F830" s="15" t="s">
        <v>3650</v>
      </c>
      <c r="G830" s="60"/>
      <c r="H830" s="60"/>
      <c r="I830" s="60"/>
      <c r="J830" s="60"/>
      <c r="K830" s="60"/>
      <c r="L830" s="60"/>
      <c r="M830" s="60"/>
      <c r="N830" s="60"/>
      <c r="O830" s="60"/>
      <c r="P830" s="60"/>
      <c r="Q830" s="60"/>
      <c r="R830" s="60"/>
      <c r="S830" s="60"/>
      <c r="T830" s="60"/>
      <c r="U830" s="60"/>
      <c r="V830" s="60"/>
      <c r="W830" s="60"/>
      <c r="X830" s="60"/>
    </row>
    <row r="831">
      <c r="A831" s="15"/>
      <c r="B831" s="15"/>
      <c r="C831" s="15"/>
      <c r="D831" s="15"/>
      <c r="E831" s="15"/>
      <c r="F831" s="15" t="s">
        <v>3650</v>
      </c>
      <c r="G831" s="60"/>
      <c r="H831" s="60"/>
      <c r="I831" s="60"/>
      <c r="J831" s="60"/>
      <c r="K831" s="60"/>
      <c r="L831" s="60"/>
      <c r="M831" s="60"/>
      <c r="N831" s="60"/>
      <c r="O831" s="60"/>
      <c r="P831" s="60"/>
      <c r="Q831" s="60"/>
      <c r="R831" s="60"/>
      <c r="S831" s="60"/>
      <c r="T831" s="60"/>
      <c r="U831" s="60"/>
      <c r="V831" s="60"/>
      <c r="W831" s="60"/>
      <c r="X831" s="60"/>
    </row>
    <row r="832">
      <c r="A832" s="15"/>
      <c r="B832" s="15"/>
      <c r="C832" s="15"/>
      <c r="D832" s="15"/>
      <c r="E832" s="15"/>
      <c r="F832" s="15" t="s">
        <v>3650</v>
      </c>
      <c r="G832" s="60"/>
      <c r="H832" s="60"/>
      <c r="I832" s="60"/>
      <c r="J832" s="60"/>
      <c r="K832" s="60"/>
      <c r="L832" s="60"/>
      <c r="M832" s="60"/>
      <c r="N832" s="60"/>
      <c r="O832" s="60"/>
      <c r="P832" s="60"/>
      <c r="Q832" s="60"/>
      <c r="R832" s="60"/>
      <c r="S832" s="60"/>
      <c r="T832" s="60"/>
      <c r="U832" s="60"/>
      <c r="V832" s="60"/>
      <c r="W832" s="60"/>
      <c r="X832" s="60"/>
    </row>
    <row r="833">
      <c r="A833" s="15"/>
      <c r="B833" s="15"/>
      <c r="C833" s="15"/>
      <c r="D833" s="15"/>
      <c r="E833" s="15"/>
      <c r="F833" s="15" t="s">
        <v>3650</v>
      </c>
      <c r="G833" s="60"/>
      <c r="H833" s="60"/>
      <c r="I833" s="60"/>
      <c r="J833" s="60"/>
      <c r="K833" s="60"/>
      <c r="L833" s="60"/>
      <c r="M833" s="60"/>
      <c r="N833" s="60"/>
      <c r="O833" s="60"/>
      <c r="P833" s="60"/>
      <c r="Q833" s="60"/>
      <c r="R833" s="60"/>
      <c r="S833" s="60"/>
      <c r="T833" s="60"/>
      <c r="U833" s="60"/>
      <c r="V833" s="60"/>
      <c r="W833" s="60"/>
      <c r="X833" s="60"/>
    </row>
    <row r="834">
      <c r="A834" s="15"/>
      <c r="B834" s="15"/>
      <c r="C834" s="15"/>
      <c r="D834" s="15"/>
      <c r="E834" s="15"/>
      <c r="F834" s="15" t="s">
        <v>3650</v>
      </c>
      <c r="G834" s="60"/>
      <c r="H834" s="60"/>
      <c r="I834" s="60"/>
      <c r="J834" s="60"/>
      <c r="K834" s="60"/>
      <c r="L834" s="60"/>
      <c r="M834" s="60"/>
      <c r="N834" s="60"/>
      <c r="O834" s="60"/>
      <c r="P834" s="60"/>
      <c r="Q834" s="60"/>
      <c r="R834" s="60"/>
      <c r="S834" s="60"/>
      <c r="T834" s="60"/>
      <c r="U834" s="60"/>
      <c r="V834" s="60"/>
      <c r="W834" s="60"/>
      <c r="X834" s="60"/>
    </row>
    <row r="835">
      <c r="A835" s="15"/>
      <c r="B835" s="15"/>
      <c r="C835" s="15"/>
      <c r="D835" s="15"/>
      <c r="E835" s="15"/>
      <c r="F835" s="15" t="s">
        <v>3650</v>
      </c>
      <c r="G835" s="60"/>
      <c r="H835" s="60"/>
      <c r="I835" s="60"/>
      <c r="J835" s="60"/>
      <c r="K835" s="60"/>
      <c r="L835" s="60"/>
      <c r="M835" s="60"/>
      <c r="N835" s="60"/>
      <c r="O835" s="60"/>
      <c r="P835" s="60"/>
      <c r="Q835" s="60"/>
      <c r="R835" s="60"/>
      <c r="S835" s="60"/>
      <c r="T835" s="60"/>
      <c r="U835" s="60"/>
      <c r="V835" s="60"/>
      <c r="W835" s="60"/>
      <c r="X835" s="60"/>
    </row>
    <row r="836">
      <c r="A836" s="15"/>
      <c r="B836" s="15"/>
      <c r="C836" s="15"/>
      <c r="D836" s="15"/>
      <c r="E836" s="15"/>
      <c r="F836" s="15" t="s">
        <v>3650</v>
      </c>
      <c r="G836" s="60"/>
      <c r="H836" s="60"/>
      <c r="I836" s="60"/>
      <c r="J836" s="60"/>
      <c r="K836" s="60"/>
      <c r="L836" s="60"/>
      <c r="M836" s="60"/>
      <c r="N836" s="60"/>
      <c r="O836" s="60"/>
      <c r="P836" s="60"/>
      <c r="Q836" s="60"/>
      <c r="R836" s="60"/>
      <c r="S836" s="60"/>
      <c r="T836" s="60"/>
      <c r="U836" s="60"/>
      <c r="V836" s="60"/>
      <c r="W836" s="60"/>
      <c r="X836" s="60"/>
    </row>
    <row r="837">
      <c r="A837" s="15"/>
      <c r="B837" s="15"/>
      <c r="C837" s="15"/>
      <c r="D837" s="15"/>
      <c r="E837" s="15"/>
      <c r="F837" s="15" t="s">
        <v>3650</v>
      </c>
      <c r="G837" s="60"/>
      <c r="H837" s="60"/>
      <c r="I837" s="60"/>
      <c r="J837" s="60"/>
      <c r="K837" s="60"/>
      <c r="L837" s="60"/>
      <c r="M837" s="60"/>
      <c r="N837" s="60"/>
      <c r="O837" s="60"/>
      <c r="P837" s="60"/>
      <c r="Q837" s="60"/>
      <c r="R837" s="60"/>
      <c r="S837" s="60"/>
      <c r="T837" s="60"/>
      <c r="U837" s="60"/>
      <c r="V837" s="60"/>
      <c r="W837" s="60"/>
      <c r="X837" s="60"/>
    </row>
    <row r="838">
      <c r="A838" s="15"/>
      <c r="B838" s="15"/>
      <c r="C838" s="15"/>
      <c r="D838" s="15"/>
      <c r="E838" s="15"/>
      <c r="F838" s="15" t="s">
        <v>3650</v>
      </c>
      <c r="G838" s="60"/>
      <c r="H838" s="60"/>
      <c r="I838" s="60"/>
      <c r="J838" s="60"/>
      <c r="K838" s="60"/>
      <c r="L838" s="60"/>
      <c r="M838" s="60"/>
      <c r="N838" s="60"/>
      <c r="O838" s="60"/>
      <c r="P838" s="60"/>
      <c r="Q838" s="60"/>
      <c r="R838" s="60"/>
      <c r="S838" s="60"/>
      <c r="T838" s="60"/>
      <c r="U838" s="60"/>
      <c r="V838" s="60"/>
      <c r="W838" s="60"/>
      <c r="X838" s="60"/>
    </row>
    <row r="839">
      <c r="A839" s="15"/>
      <c r="B839" s="15"/>
      <c r="C839" s="15"/>
      <c r="D839" s="15"/>
      <c r="E839" s="15"/>
      <c r="F839" s="15" t="s">
        <v>3650</v>
      </c>
      <c r="G839" s="60"/>
      <c r="H839" s="60"/>
      <c r="I839" s="60"/>
      <c r="J839" s="60"/>
      <c r="K839" s="60"/>
      <c r="L839" s="60"/>
      <c r="M839" s="60"/>
      <c r="N839" s="60"/>
      <c r="O839" s="60"/>
      <c r="P839" s="60"/>
      <c r="Q839" s="60"/>
      <c r="R839" s="60"/>
      <c r="S839" s="60"/>
      <c r="T839" s="60"/>
      <c r="U839" s="60"/>
      <c r="V839" s="60"/>
      <c r="W839" s="60"/>
      <c r="X839" s="60"/>
    </row>
    <row r="840">
      <c r="A840" s="15"/>
      <c r="B840" s="15"/>
      <c r="C840" s="15"/>
      <c r="D840" s="15"/>
      <c r="E840" s="15"/>
      <c r="F840" s="15" t="s">
        <v>3650</v>
      </c>
      <c r="G840" s="60"/>
      <c r="H840" s="60"/>
      <c r="I840" s="60"/>
      <c r="J840" s="60"/>
      <c r="K840" s="60"/>
      <c r="L840" s="60"/>
      <c r="M840" s="60"/>
      <c r="N840" s="60"/>
      <c r="O840" s="60"/>
      <c r="P840" s="60"/>
      <c r="Q840" s="60"/>
      <c r="R840" s="60"/>
      <c r="S840" s="60"/>
      <c r="T840" s="60"/>
      <c r="U840" s="60"/>
      <c r="V840" s="60"/>
      <c r="W840" s="60"/>
      <c r="X840" s="60"/>
    </row>
    <row r="841">
      <c r="A841" s="15"/>
      <c r="B841" s="15"/>
      <c r="C841" s="15"/>
      <c r="D841" s="15"/>
      <c r="E841" s="15"/>
      <c r="F841" s="15" t="s">
        <v>3650</v>
      </c>
      <c r="G841" s="60"/>
      <c r="H841" s="60"/>
      <c r="I841" s="60"/>
      <c r="J841" s="60"/>
      <c r="K841" s="60"/>
      <c r="L841" s="60"/>
      <c r="M841" s="60"/>
      <c r="N841" s="60"/>
      <c r="O841" s="60"/>
      <c r="P841" s="60"/>
      <c r="Q841" s="60"/>
      <c r="R841" s="60"/>
      <c r="S841" s="60"/>
      <c r="T841" s="60"/>
      <c r="U841" s="60"/>
      <c r="V841" s="60"/>
      <c r="W841" s="60"/>
      <c r="X841" s="60"/>
    </row>
    <row r="842">
      <c r="A842" s="15"/>
      <c r="B842" s="15"/>
      <c r="C842" s="15"/>
      <c r="D842" s="15"/>
      <c r="E842" s="15"/>
      <c r="F842" s="15" t="s">
        <v>3650</v>
      </c>
      <c r="G842" s="60"/>
      <c r="H842" s="60"/>
      <c r="I842" s="60"/>
      <c r="J842" s="60"/>
      <c r="K842" s="60"/>
      <c r="L842" s="60"/>
      <c r="M842" s="60"/>
      <c r="N842" s="60"/>
      <c r="O842" s="60"/>
      <c r="P842" s="60"/>
      <c r="Q842" s="60"/>
      <c r="R842" s="60"/>
      <c r="S842" s="60"/>
      <c r="T842" s="60"/>
      <c r="U842" s="60"/>
      <c r="V842" s="60"/>
      <c r="W842" s="60"/>
      <c r="X842" s="60"/>
    </row>
    <row r="843">
      <c r="A843" s="15"/>
      <c r="B843" s="15"/>
      <c r="C843" s="15"/>
      <c r="D843" s="15"/>
      <c r="E843" s="15"/>
      <c r="F843" s="15" t="s">
        <v>3650</v>
      </c>
      <c r="G843" s="60"/>
      <c r="H843" s="60"/>
      <c r="I843" s="60"/>
      <c r="J843" s="60"/>
      <c r="K843" s="60"/>
      <c r="L843" s="60"/>
      <c r="M843" s="60"/>
      <c r="N843" s="60"/>
      <c r="O843" s="60"/>
      <c r="P843" s="60"/>
      <c r="Q843" s="60"/>
      <c r="R843" s="60"/>
      <c r="S843" s="60"/>
      <c r="T843" s="60"/>
      <c r="U843" s="60"/>
      <c r="V843" s="60"/>
      <c r="W843" s="60"/>
      <c r="X843" s="60"/>
    </row>
    <row r="844">
      <c r="A844" s="15"/>
      <c r="B844" s="15"/>
      <c r="C844" s="15"/>
      <c r="D844" s="15"/>
      <c r="E844" s="15"/>
      <c r="F844" s="15" t="s">
        <v>3650</v>
      </c>
      <c r="G844" s="60"/>
      <c r="H844" s="60"/>
      <c r="I844" s="60"/>
      <c r="J844" s="60"/>
      <c r="K844" s="60"/>
      <c r="L844" s="60"/>
      <c r="M844" s="60"/>
      <c r="N844" s="60"/>
      <c r="O844" s="60"/>
      <c r="P844" s="60"/>
      <c r="Q844" s="60"/>
      <c r="R844" s="60"/>
      <c r="S844" s="60"/>
      <c r="T844" s="60"/>
      <c r="U844" s="60"/>
      <c r="V844" s="60"/>
      <c r="W844" s="60"/>
      <c r="X844" s="60"/>
    </row>
    <row r="845">
      <c r="A845" s="15"/>
      <c r="B845" s="15"/>
      <c r="C845" s="15"/>
      <c r="D845" s="15"/>
      <c r="E845" s="15"/>
      <c r="F845" s="15" t="s">
        <v>3650</v>
      </c>
      <c r="G845" s="60"/>
      <c r="H845" s="60"/>
      <c r="I845" s="60"/>
      <c r="J845" s="60"/>
      <c r="K845" s="60"/>
      <c r="L845" s="60"/>
      <c r="M845" s="60"/>
      <c r="N845" s="60"/>
      <c r="O845" s="60"/>
      <c r="P845" s="60"/>
      <c r="Q845" s="60"/>
      <c r="R845" s="60"/>
      <c r="S845" s="60"/>
      <c r="T845" s="60"/>
      <c r="U845" s="60"/>
      <c r="V845" s="60"/>
      <c r="W845" s="60"/>
      <c r="X845" s="60"/>
    </row>
    <row r="846">
      <c r="A846" s="15"/>
      <c r="B846" s="15"/>
      <c r="C846" s="15"/>
      <c r="D846" s="15"/>
      <c r="E846" s="15"/>
      <c r="F846" s="15" t="s">
        <v>3650</v>
      </c>
      <c r="G846" s="60"/>
      <c r="H846" s="60"/>
      <c r="I846" s="60"/>
      <c r="J846" s="60"/>
      <c r="K846" s="60"/>
      <c r="L846" s="60"/>
      <c r="M846" s="60"/>
      <c r="N846" s="60"/>
      <c r="O846" s="60"/>
      <c r="P846" s="60"/>
      <c r="Q846" s="60"/>
      <c r="R846" s="60"/>
      <c r="S846" s="60"/>
      <c r="T846" s="60"/>
      <c r="U846" s="60"/>
      <c r="V846" s="60"/>
      <c r="W846" s="60"/>
      <c r="X846" s="60"/>
    </row>
    <row r="847">
      <c r="A847" s="15"/>
      <c r="B847" s="15"/>
      <c r="C847" s="15"/>
      <c r="D847" s="15"/>
      <c r="E847" s="15"/>
      <c r="F847" s="15" t="s">
        <v>3650</v>
      </c>
      <c r="G847" s="60"/>
      <c r="H847" s="60"/>
      <c r="I847" s="60"/>
      <c r="J847" s="60"/>
      <c r="K847" s="60"/>
      <c r="L847" s="60"/>
      <c r="M847" s="60"/>
      <c r="N847" s="60"/>
      <c r="O847" s="60"/>
      <c r="P847" s="60"/>
      <c r="Q847" s="60"/>
      <c r="R847" s="60"/>
      <c r="S847" s="60"/>
      <c r="T847" s="60"/>
      <c r="U847" s="60"/>
      <c r="V847" s="60"/>
      <c r="W847" s="60"/>
      <c r="X847" s="60"/>
    </row>
    <row r="848">
      <c r="A848" s="15"/>
      <c r="B848" s="15"/>
      <c r="C848" s="15"/>
      <c r="D848" s="15"/>
      <c r="E848" s="15"/>
      <c r="F848" s="15" t="s">
        <v>3650</v>
      </c>
      <c r="G848" s="60"/>
      <c r="H848" s="60"/>
      <c r="I848" s="60"/>
      <c r="J848" s="60"/>
      <c r="K848" s="60"/>
      <c r="L848" s="60"/>
      <c r="M848" s="60"/>
      <c r="N848" s="60"/>
      <c r="O848" s="60"/>
      <c r="P848" s="60"/>
      <c r="Q848" s="60"/>
      <c r="R848" s="60"/>
      <c r="S848" s="60"/>
      <c r="T848" s="60"/>
      <c r="U848" s="60"/>
      <c r="V848" s="60"/>
      <c r="W848" s="60"/>
      <c r="X848" s="60"/>
    </row>
    <row r="849">
      <c r="A849" s="15"/>
      <c r="B849" s="15"/>
      <c r="C849" s="15"/>
      <c r="D849" s="15"/>
      <c r="E849" s="15"/>
      <c r="F849" s="15" t="s">
        <v>3650</v>
      </c>
      <c r="G849" s="60"/>
      <c r="H849" s="60"/>
      <c r="I849" s="60"/>
      <c r="J849" s="60"/>
      <c r="K849" s="60"/>
      <c r="L849" s="60"/>
      <c r="M849" s="60"/>
      <c r="N849" s="60"/>
      <c r="O849" s="60"/>
      <c r="P849" s="60"/>
      <c r="Q849" s="60"/>
      <c r="R849" s="60"/>
      <c r="S849" s="60"/>
      <c r="T849" s="60"/>
      <c r="U849" s="60"/>
      <c r="V849" s="60"/>
      <c r="W849" s="60"/>
      <c r="X849" s="60"/>
    </row>
    <row r="850">
      <c r="A850" s="15"/>
      <c r="B850" s="15"/>
      <c r="C850" s="15"/>
      <c r="D850" s="15"/>
      <c r="E850" s="15"/>
      <c r="F850" s="15" t="s">
        <v>3650</v>
      </c>
      <c r="G850" s="60"/>
      <c r="H850" s="60"/>
      <c r="I850" s="60"/>
      <c r="J850" s="60"/>
      <c r="K850" s="60"/>
      <c r="L850" s="60"/>
      <c r="M850" s="60"/>
      <c r="N850" s="60"/>
      <c r="O850" s="60"/>
      <c r="P850" s="60"/>
      <c r="Q850" s="60"/>
      <c r="R850" s="60"/>
      <c r="S850" s="60"/>
      <c r="T850" s="60"/>
      <c r="U850" s="60"/>
      <c r="V850" s="60"/>
      <c r="W850" s="60"/>
      <c r="X850" s="60"/>
    </row>
    <row r="851">
      <c r="A851" s="15"/>
      <c r="B851" s="15"/>
      <c r="C851" s="15"/>
      <c r="D851" s="15"/>
      <c r="E851" s="15"/>
      <c r="F851" s="15" t="s">
        <v>3650</v>
      </c>
      <c r="G851" s="60"/>
      <c r="H851" s="60"/>
      <c r="I851" s="60"/>
      <c r="J851" s="60"/>
      <c r="K851" s="60"/>
      <c r="L851" s="60"/>
      <c r="M851" s="60"/>
      <c r="N851" s="60"/>
      <c r="O851" s="60"/>
      <c r="P851" s="60"/>
      <c r="Q851" s="60"/>
      <c r="R851" s="60"/>
      <c r="S851" s="60"/>
      <c r="T851" s="60"/>
      <c r="U851" s="60"/>
      <c r="V851" s="60"/>
      <c r="W851" s="60"/>
      <c r="X851" s="60"/>
    </row>
    <row r="852">
      <c r="A852" s="15"/>
      <c r="B852" s="15"/>
      <c r="C852" s="15"/>
      <c r="D852" s="15"/>
      <c r="E852" s="15"/>
      <c r="F852" s="15" t="s">
        <v>3650</v>
      </c>
      <c r="G852" s="60"/>
      <c r="H852" s="60"/>
      <c r="I852" s="60"/>
      <c r="J852" s="60"/>
      <c r="K852" s="60"/>
      <c r="L852" s="60"/>
      <c r="M852" s="60"/>
      <c r="N852" s="60"/>
      <c r="O852" s="60"/>
      <c r="P852" s="60"/>
      <c r="Q852" s="60"/>
      <c r="R852" s="60"/>
      <c r="S852" s="60"/>
      <c r="T852" s="60"/>
      <c r="U852" s="60"/>
      <c r="V852" s="60"/>
      <c r="W852" s="60"/>
      <c r="X852" s="60"/>
    </row>
    <row r="853">
      <c r="A853" s="15"/>
      <c r="B853" s="15"/>
      <c r="C853" s="15"/>
      <c r="D853" s="15"/>
      <c r="E853" s="15"/>
      <c r="F853" s="15" t="s">
        <v>3650</v>
      </c>
      <c r="G853" s="60"/>
      <c r="H853" s="60"/>
      <c r="I853" s="60"/>
      <c r="J853" s="60"/>
      <c r="K853" s="60"/>
      <c r="L853" s="60"/>
      <c r="M853" s="60"/>
      <c r="N853" s="60"/>
      <c r="O853" s="60"/>
      <c r="P853" s="60"/>
      <c r="Q853" s="60"/>
      <c r="R853" s="60"/>
      <c r="S853" s="60"/>
      <c r="T853" s="60"/>
      <c r="U853" s="60"/>
      <c r="V853" s="60"/>
      <c r="W853" s="60"/>
      <c r="X853" s="60"/>
    </row>
    <row r="854">
      <c r="A854" s="15"/>
      <c r="B854" s="15"/>
      <c r="C854" s="15"/>
      <c r="D854" s="15"/>
      <c r="E854" s="15"/>
      <c r="F854" s="15" t="s">
        <v>3650</v>
      </c>
      <c r="G854" s="60"/>
      <c r="H854" s="60"/>
      <c r="I854" s="60"/>
      <c r="J854" s="60"/>
      <c r="K854" s="60"/>
      <c r="L854" s="60"/>
      <c r="M854" s="60"/>
      <c r="N854" s="60"/>
      <c r="O854" s="60"/>
      <c r="P854" s="60"/>
      <c r="Q854" s="60"/>
      <c r="R854" s="60"/>
      <c r="S854" s="60"/>
      <c r="T854" s="60"/>
      <c r="U854" s="60"/>
      <c r="V854" s="60"/>
      <c r="W854" s="60"/>
      <c r="X854" s="60"/>
    </row>
    <row r="855">
      <c r="A855" s="15"/>
      <c r="B855" s="15"/>
      <c r="C855" s="15"/>
      <c r="D855" s="15"/>
      <c r="E855" s="15"/>
      <c r="F855" s="15" t="s">
        <v>3650</v>
      </c>
      <c r="G855" s="60"/>
      <c r="H855" s="60"/>
      <c r="I855" s="60"/>
      <c r="J855" s="60"/>
      <c r="K855" s="60"/>
      <c r="L855" s="60"/>
      <c r="M855" s="60"/>
      <c r="N855" s="60"/>
      <c r="O855" s="60"/>
      <c r="P855" s="60"/>
      <c r="Q855" s="60"/>
      <c r="R855" s="60"/>
      <c r="S855" s="60"/>
      <c r="T855" s="60"/>
      <c r="U855" s="60"/>
      <c r="V855" s="60"/>
      <c r="W855" s="60"/>
      <c r="X855" s="60"/>
    </row>
    <row r="856">
      <c r="A856" s="15"/>
      <c r="B856" s="15"/>
      <c r="C856" s="15"/>
      <c r="D856" s="15"/>
      <c r="E856" s="15"/>
      <c r="F856" s="15" t="s">
        <v>3650</v>
      </c>
      <c r="G856" s="60"/>
      <c r="H856" s="60"/>
      <c r="I856" s="60"/>
      <c r="J856" s="60"/>
      <c r="K856" s="60"/>
      <c r="L856" s="60"/>
      <c r="M856" s="60"/>
      <c r="N856" s="60"/>
      <c r="O856" s="60"/>
      <c r="P856" s="60"/>
      <c r="Q856" s="60"/>
      <c r="R856" s="60"/>
      <c r="S856" s="60"/>
      <c r="T856" s="60"/>
      <c r="U856" s="60"/>
      <c r="V856" s="60"/>
      <c r="W856" s="60"/>
      <c r="X856" s="60"/>
    </row>
    <row r="857">
      <c r="A857" s="15"/>
      <c r="B857" s="15"/>
      <c r="C857" s="15"/>
      <c r="D857" s="15"/>
      <c r="E857" s="15"/>
      <c r="F857" s="15" t="s">
        <v>3650</v>
      </c>
      <c r="G857" s="60"/>
      <c r="H857" s="60"/>
      <c r="I857" s="60"/>
      <c r="J857" s="60"/>
      <c r="K857" s="60"/>
      <c r="L857" s="60"/>
      <c r="M857" s="60"/>
      <c r="N857" s="60"/>
      <c r="O857" s="60"/>
      <c r="P857" s="60"/>
      <c r="Q857" s="60"/>
      <c r="R857" s="60"/>
      <c r="S857" s="60"/>
      <c r="T857" s="60"/>
      <c r="U857" s="60"/>
      <c r="V857" s="60"/>
      <c r="W857" s="60"/>
      <c r="X857" s="60"/>
    </row>
    <row r="858">
      <c r="A858" s="15"/>
      <c r="B858" s="15"/>
      <c r="C858" s="15"/>
      <c r="D858" s="15"/>
      <c r="E858" s="15"/>
      <c r="F858" s="15" t="s">
        <v>3650</v>
      </c>
      <c r="G858" s="60"/>
      <c r="H858" s="60"/>
      <c r="I858" s="60"/>
      <c r="J858" s="60"/>
      <c r="K858" s="60"/>
      <c r="L858" s="60"/>
      <c r="M858" s="60"/>
      <c r="N858" s="60"/>
      <c r="O858" s="60"/>
      <c r="P858" s="60"/>
      <c r="Q858" s="60"/>
      <c r="R858" s="60"/>
      <c r="S858" s="60"/>
      <c r="T858" s="60"/>
      <c r="U858" s="60"/>
      <c r="V858" s="60"/>
      <c r="W858" s="60"/>
      <c r="X858" s="60"/>
    </row>
    <row r="859">
      <c r="A859" s="15"/>
      <c r="B859" s="15"/>
      <c r="C859" s="15"/>
      <c r="D859" s="15"/>
      <c r="E859" s="15"/>
      <c r="F859" s="15" t="s">
        <v>3650</v>
      </c>
      <c r="G859" s="60"/>
      <c r="H859" s="60"/>
      <c r="I859" s="60"/>
      <c r="J859" s="60"/>
      <c r="K859" s="60"/>
      <c r="L859" s="60"/>
      <c r="M859" s="60"/>
      <c r="N859" s="60"/>
      <c r="O859" s="60"/>
      <c r="P859" s="60"/>
      <c r="Q859" s="60"/>
      <c r="R859" s="60"/>
      <c r="S859" s="60"/>
      <c r="T859" s="60"/>
      <c r="U859" s="60"/>
      <c r="V859" s="60"/>
      <c r="W859" s="60"/>
      <c r="X859" s="60"/>
    </row>
    <row r="860">
      <c r="A860" s="15"/>
      <c r="B860" s="15"/>
      <c r="C860" s="15"/>
      <c r="D860" s="15"/>
      <c r="E860" s="15"/>
      <c r="F860" s="15" t="s">
        <v>3650</v>
      </c>
      <c r="G860" s="60"/>
      <c r="H860" s="60"/>
      <c r="I860" s="60"/>
      <c r="J860" s="60"/>
      <c r="K860" s="60"/>
      <c r="L860" s="60"/>
      <c r="M860" s="60"/>
      <c r="N860" s="60"/>
      <c r="O860" s="60"/>
      <c r="P860" s="60"/>
      <c r="Q860" s="60"/>
      <c r="R860" s="60"/>
      <c r="S860" s="60"/>
      <c r="T860" s="60"/>
      <c r="U860" s="60"/>
      <c r="V860" s="60"/>
      <c r="W860" s="60"/>
      <c r="X860" s="60"/>
    </row>
    <row r="861">
      <c r="A861" s="15"/>
      <c r="B861" s="15"/>
      <c r="C861" s="15"/>
      <c r="D861" s="15"/>
      <c r="E861" s="15"/>
      <c r="F861" s="15" t="s">
        <v>3650</v>
      </c>
      <c r="G861" s="60"/>
      <c r="H861" s="60"/>
      <c r="I861" s="60"/>
      <c r="J861" s="60"/>
      <c r="K861" s="60"/>
      <c r="L861" s="60"/>
      <c r="M861" s="60"/>
      <c r="N861" s="60"/>
      <c r="O861" s="60"/>
      <c r="P861" s="60"/>
      <c r="Q861" s="60"/>
      <c r="R861" s="60"/>
      <c r="S861" s="60"/>
      <c r="T861" s="60"/>
      <c r="U861" s="60"/>
      <c r="V861" s="60"/>
      <c r="W861" s="60"/>
      <c r="X861" s="60"/>
    </row>
    <row r="862">
      <c r="A862" s="15"/>
      <c r="B862" s="15"/>
      <c r="C862" s="15"/>
      <c r="D862" s="15"/>
      <c r="E862" s="15"/>
      <c r="F862" s="15" t="s">
        <v>3650</v>
      </c>
      <c r="G862" s="60"/>
      <c r="H862" s="60"/>
      <c r="I862" s="60"/>
      <c r="J862" s="60"/>
      <c r="K862" s="60"/>
      <c r="L862" s="60"/>
      <c r="M862" s="60"/>
      <c r="N862" s="60"/>
      <c r="O862" s="60"/>
      <c r="P862" s="60"/>
      <c r="Q862" s="60"/>
      <c r="R862" s="60"/>
      <c r="S862" s="60"/>
      <c r="T862" s="60"/>
      <c r="U862" s="60"/>
      <c r="V862" s="60"/>
      <c r="W862" s="60"/>
      <c r="X862" s="60"/>
    </row>
    <row r="863">
      <c r="A863" s="15"/>
      <c r="B863" s="15"/>
      <c r="C863" s="15"/>
      <c r="D863" s="15"/>
      <c r="E863" s="15"/>
      <c r="F863" s="15" t="s">
        <v>3650</v>
      </c>
      <c r="G863" s="60"/>
      <c r="H863" s="60"/>
      <c r="I863" s="60"/>
      <c r="J863" s="60"/>
      <c r="K863" s="60"/>
      <c r="L863" s="60"/>
      <c r="M863" s="60"/>
      <c r="N863" s="60"/>
      <c r="O863" s="60"/>
      <c r="P863" s="60"/>
      <c r="Q863" s="60"/>
      <c r="R863" s="60"/>
      <c r="S863" s="60"/>
      <c r="T863" s="60"/>
      <c r="U863" s="60"/>
      <c r="V863" s="60"/>
      <c r="W863" s="60"/>
      <c r="X863" s="60"/>
    </row>
    <row r="864">
      <c r="A864" s="15"/>
      <c r="B864" s="15"/>
      <c r="C864" s="15"/>
      <c r="D864" s="15"/>
      <c r="E864" s="15"/>
      <c r="F864" s="15" t="s">
        <v>3650</v>
      </c>
      <c r="G864" s="60"/>
      <c r="H864" s="60"/>
      <c r="I864" s="60"/>
      <c r="J864" s="60"/>
      <c r="K864" s="60"/>
      <c r="L864" s="60"/>
      <c r="M864" s="60"/>
      <c r="N864" s="60"/>
      <c r="O864" s="60"/>
      <c r="P864" s="60"/>
      <c r="Q864" s="60"/>
      <c r="R864" s="60"/>
      <c r="S864" s="60"/>
      <c r="T864" s="60"/>
      <c r="U864" s="60"/>
      <c r="V864" s="60"/>
      <c r="W864" s="60"/>
      <c r="X864" s="60"/>
    </row>
    <row r="865">
      <c r="A865" s="15"/>
      <c r="B865" s="15"/>
      <c r="C865" s="15"/>
      <c r="D865" s="15"/>
      <c r="E865" s="15"/>
      <c r="F865" s="15" t="s">
        <v>3650</v>
      </c>
      <c r="G865" s="60"/>
      <c r="H865" s="60"/>
      <c r="I865" s="60"/>
      <c r="J865" s="60"/>
      <c r="K865" s="60"/>
      <c r="L865" s="60"/>
      <c r="M865" s="60"/>
      <c r="N865" s="60"/>
      <c r="O865" s="60"/>
      <c r="P865" s="60"/>
      <c r="Q865" s="60"/>
      <c r="R865" s="60"/>
      <c r="S865" s="60"/>
      <c r="T865" s="60"/>
      <c r="U865" s="60"/>
      <c r="V865" s="60"/>
      <c r="W865" s="60"/>
      <c r="X865" s="60"/>
    </row>
    <row r="866">
      <c r="A866" s="15"/>
      <c r="B866" s="15"/>
      <c r="C866" s="15"/>
      <c r="D866" s="15"/>
      <c r="E866" s="15"/>
      <c r="F866" s="15" t="s">
        <v>3650</v>
      </c>
      <c r="G866" s="60"/>
      <c r="H866" s="60"/>
      <c r="I866" s="60"/>
      <c r="J866" s="60"/>
      <c r="K866" s="60"/>
      <c r="L866" s="60"/>
      <c r="M866" s="60"/>
      <c r="N866" s="60"/>
      <c r="O866" s="60"/>
      <c r="P866" s="60"/>
      <c r="Q866" s="60"/>
      <c r="R866" s="60"/>
      <c r="S866" s="60"/>
      <c r="T866" s="60"/>
      <c r="U866" s="60"/>
      <c r="V866" s="60"/>
      <c r="W866" s="60"/>
      <c r="X866" s="60"/>
    </row>
    <row r="867">
      <c r="A867" s="15"/>
      <c r="B867" s="15"/>
      <c r="C867" s="15"/>
      <c r="D867" s="15"/>
      <c r="E867" s="15"/>
      <c r="F867" s="15" t="s">
        <v>3650</v>
      </c>
      <c r="G867" s="60"/>
      <c r="H867" s="60"/>
      <c r="I867" s="60"/>
      <c r="J867" s="60"/>
      <c r="K867" s="60"/>
      <c r="L867" s="60"/>
      <c r="M867" s="60"/>
      <c r="N867" s="60"/>
      <c r="O867" s="60"/>
      <c r="P867" s="60"/>
      <c r="Q867" s="60"/>
      <c r="R867" s="60"/>
      <c r="S867" s="60"/>
      <c r="T867" s="60"/>
      <c r="U867" s="60"/>
      <c r="V867" s="60"/>
      <c r="W867" s="60"/>
      <c r="X867" s="60"/>
    </row>
    <row r="868">
      <c r="A868" s="15"/>
      <c r="B868" s="15"/>
      <c r="C868" s="15"/>
      <c r="D868" s="15"/>
      <c r="E868" s="15"/>
      <c r="F868" s="15" t="s">
        <v>3650</v>
      </c>
      <c r="G868" s="60"/>
      <c r="H868" s="60"/>
      <c r="I868" s="60"/>
      <c r="J868" s="60"/>
      <c r="K868" s="60"/>
      <c r="L868" s="60"/>
      <c r="M868" s="60"/>
      <c r="N868" s="60"/>
      <c r="O868" s="60"/>
      <c r="P868" s="60"/>
      <c r="Q868" s="60"/>
      <c r="R868" s="60"/>
      <c r="S868" s="60"/>
      <c r="T868" s="60"/>
      <c r="U868" s="60"/>
      <c r="V868" s="60"/>
      <c r="W868" s="60"/>
      <c r="X868" s="60"/>
    </row>
    <row r="869">
      <c r="A869" s="15"/>
      <c r="B869" s="15"/>
      <c r="C869" s="15"/>
      <c r="D869" s="15"/>
      <c r="E869" s="15"/>
      <c r="F869" s="15" t="s">
        <v>3650</v>
      </c>
      <c r="G869" s="60"/>
      <c r="H869" s="60"/>
      <c r="I869" s="60"/>
      <c r="J869" s="60"/>
      <c r="K869" s="60"/>
      <c r="L869" s="60"/>
      <c r="M869" s="60"/>
      <c r="N869" s="60"/>
      <c r="O869" s="60"/>
      <c r="P869" s="60"/>
      <c r="Q869" s="60"/>
      <c r="R869" s="60"/>
      <c r="S869" s="60"/>
      <c r="T869" s="60"/>
      <c r="U869" s="60"/>
      <c r="V869" s="60"/>
      <c r="W869" s="60"/>
      <c r="X869" s="60"/>
    </row>
    <row r="870">
      <c r="A870" s="15"/>
      <c r="B870" s="15"/>
      <c r="C870" s="15"/>
      <c r="D870" s="15"/>
      <c r="E870" s="15"/>
      <c r="F870" s="15" t="s">
        <v>3650</v>
      </c>
      <c r="G870" s="60"/>
      <c r="H870" s="60"/>
      <c r="I870" s="60"/>
      <c r="J870" s="60"/>
      <c r="K870" s="60"/>
      <c r="L870" s="60"/>
      <c r="M870" s="60"/>
      <c r="N870" s="60"/>
      <c r="O870" s="60"/>
      <c r="P870" s="60"/>
      <c r="Q870" s="60"/>
      <c r="R870" s="60"/>
      <c r="S870" s="60"/>
      <c r="T870" s="60"/>
      <c r="U870" s="60"/>
      <c r="V870" s="60"/>
      <c r="W870" s="60"/>
      <c r="X870" s="60"/>
    </row>
    <row r="871">
      <c r="A871" s="15"/>
      <c r="B871" s="15"/>
      <c r="C871" s="15"/>
      <c r="D871" s="15"/>
      <c r="E871" s="15"/>
      <c r="F871" s="15" t="s">
        <v>3650</v>
      </c>
      <c r="G871" s="60"/>
      <c r="H871" s="60"/>
      <c r="I871" s="60"/>
      <c r="J871" s="60"/>
      <c r="K871" s="60"/>
      <c r="L871" s="60"/>
      <c r="M871" s="60"/>
      <c r="N871" s="60"/>
      <c r="O871" s="60"/>
      <c r="P871" s="60"/>
      <c r="Q871" s="60"/>
      <c r="R871" s="60"/>
      <c r="S871" s="60"/>
      <c r="T871" s="60"/>
      <c r="U871" s="60"/>
      <c r="V871" s="60"/>
      <c r="W871" s="60"/>
      <c r="X871" s="60"/>
    </row>
    <row r="872">
      <c r="A872" s="15"/>
      <c r="B872" s="15"/>
      <c r="C872" s="15"/>
      <c r="D872" s="15"/>
      <c r="E872" s="15"/>
      <c r="F872" s="15" t="s">
        <v>3650</v>
      </c>
      <c r="G872" s="60"/>
      <c r="H872" s="60"/>
      <c r="I872" s="60"/>
      <c r="J872" s="60"/>
      <c r="K872" s="60"/>
      <c r="L872" s="60"/>
      <c r="M872" s="60"/>
      <c r="N872" s="60"/>
      <c r="O872" s="60"/>
      <c r="P872" s="60"/>
      <c r="Q872" s="60"/>
      <c r="R872" s="60"/>
      <c r="S872" s="60"/>
      <c r="T872" s="60"/>
      <c r="U872" s="60"/>
      <c r="V872" s="60"/>
      <c r="W872" s="60"/>
      <c r="X872" s="60"/>
    </row>
    <row r="873">
      <c r="A873" s="15"/>
      <c r="B873" s="15"/>
      <c r="C873" s="15"/>
      <c r="D873" s="15"/>
      <c r="E873" s="15"/>
      <c r="F873" s="15" t="s">
        <v>3650</v>
      </c>
      <c r="G873" s="60"/>
      <c r="H873" s="60"/>
      <c r="I873" s="60"/>
      <c r="J873" s="60"/>
      <c r="K873" s="60"/>
      <c r="L873" s="60"/>
      <c r="M873" s="60"/>
      <c r="N873" s="60"/>
      <c r="O873" s="60"/>
      <c r="P873" s="60"/>
      <c r="Q873" s="60"/>
      <c r="R873" s="60"/>
      <c r="S873" s="60"/>
      <c r="T873" s="60"/>
      <c r="U873" s="60"/>
      <c r="V873" s="60"/>
      <c r="W873" s="60"/>
      <c r="X873" s="60"/>
    </row>
    <row r="874">
      <c r="A874" s="15"/>
      <c r="B874" s="15"/>
      <c r="C874" s="15"/>
      <c r="D874" s="15"/>
      <c r="E874" s="15"/>
      <c r="F874" s="15" t="s">
        <v>3650</v>
      </c>
      <c r="G874" s="60"/>
      <c r="H874" s="60"/>
      <c r="I874" s="60"/>
      <c r="J874" s="60"/>
      <c r="K874" s="60"/>
      <c r="L874" s="60"/>
      <c r="M874" s="60"/>
      <c r="N874" s="60"/>
      <c r="O874" s="60"/>
      <c r="P874" s="60"/>
      <c r="Q874" s="60"/>
      <c r="R874" s="60"/>
      <c r="S874" s="60"/>
      <c r="T874" s="60"/>
      <c r="U874" s="60"/>
      <c r="V874" s="60"/>
      <c r="W874" s="60"/>
      <c r="X874" s="60"/>
    </row>
    <row r="875">
      <c r="A875" s="15"/>
      <c r="B875" s="15"/>
      <c r="C875" s="15"/>
      <c r="D875" s="15"/>
      <c r="E875" s="15"/>
      <c r="F875" s="15" t="s">
        <v>3650</v>
      </c>
      <c r="G875" s="60"/>
      <c r="H875" s="60"/>
      <c r="I875" s="60"/>
      <c r="J875" s="60"/>
      <c r="K875" s="60"/>
      <c r="L875" s="60"/>
      <c r="M875" s="60"/>
      <c r="N875" s="60"/>
      <c r="O875" s="60"/>
      <c r="P875" s="60"/>
      <c r="Q875" s="60"/>
      <c r="R875" s="60"/>
      <c r="S875" s="60"/>
      <c r="T875" s="60"/>
      <c r="U875" s="60"/>
      <c r="V875" s="60"/>
      <c r="W875" s="60"/>
      <c r="X875" s="60"/>
    </row>
    <row r="876">
      <c r="A876" s="15"/>
      <c r="B876" s="15"/>
      <c r="C876" s="15"/>
      <c r="D876" s="15"/>
      <c r="E876" s="15"/>
      <c r="F876" s="15" t="s">
        <v>3650</v>
      </c>
      <c r="G876" s="60"/>
      <c r="H876" s="60"/>
      <c r="I876" s="60"/>
      <c r="J876" s="60"/>
      <c r="K876" s="60"/>
      <c r="L876" s="60"/>
      <c r="M876" s="60"/>
      <c r="N876" s="60"/>
      <c r="O876" s="60"/>
      <c r="P876" s="60"/>
      <c r="Q876" s="60"/>
      <c r="R876" s="60"/>
      <c r="S876" s="60"/>
      <c r="T876" s="60"/>
      <c r="U876" s="60"/>
      <c r="V876" s="60"/>
      <c r="W876" s="60"/>
      <c r="X876" s="60"/>
    </row>
    <row r="877">
      <c r="A877" s="15"/>
      <c r="B877" s="15"/>
      <c r="C877" s="15"/>
      <c r="D877" s="15"/>
      <c r="E877" s="15"/>
      <c r="F877" s="15" t="s">
        <v>3650</v>
      </c>
      <c r="G877" s="60"/>
      <c r="H877" s="60"/>
      <c r="I877" s="60"/>
      <c r="J877" s="60"/>
      <c r="K877" s="60"/>
      <c r="L877" s="60"/>
      <c r="M877" s="60"/>
      <c r="N877" s="60"/>
      <c r="O877" s="60"/>
      <c r="P877" s="60"/>
      <c r="Q877" s="60"/>
      <c r="R877" s="60"/>
      <c r="S877" s="60"/>
      <c r="T877" s="60"/>
      <c r="U877" s="60"/>
      <c r="V877" s="60"/>
      <c r="W877" s="60"/>
      <c r="X877" s="60"/>
    </row>
    <row r="878">
      <c r="A878" s="15"/>
      <c r="B878" s="15"/>
      <c r="C878" s="15"/>
      <c r="D878" s="15"/>
      <c r="E878" s="15"/>
      <c r="F878" s="15" t="s">
        <v>3650</v>
      </c>
      <c r="G878" s="60"/>
      <c r="H878" s="60"/>
      <c r="I878" s="60"/>
      <c r="J878" s="60"/>
      <c r="K878" s="60"/>
      <c r="L878" s="60"/>
      <c r="M878" s="60"/>
      <c r="N878" s="60"/>
      <c r="O878" s="60"/>
      <c r="P878" s="60"/>
      <c r="Q878" s="60"/>
      <c r="R878" s="60"/>
      <c r="S878" s="60"/>
      <c r="T878" s="60"/>
      <c r="U878" s="60"/>
      <c r="V878" s="60"/>
      <c r="W878" s="60"/>
      <c r="X878" s="60"/>
    </row>
    <row r="879">
      <c r="A879" s="15"/>
      <c r="B879" s="15"/>
      <c r="C879" s="15"/>
      <c r="D879" s="15"/>
      <c r="E879" s="15"/>
      <c r="F879" s="15" t="s">
        <v>3650</v>
      </c>
      <c r="G879" s="60"/>
      <c r="H879" s="60"/>
      <c r="I879" s="60"/>
      <c r="J879" s="60"/>
      <c r="K879" s="60"/>
      <c r="L879" s="60"/>
      <c r="M879" s="60"/>
      <c r="N879" s="60"/>
      <c r="O879" s="60"/>
      <c r="P879" s="60"/>
      <c r="Q879" s="60"/>
      <c r="R879" s="60"/>
      <c r="S879" s="60"/>
      <c r="T879" s="60"/>
      <c r="U879" s="60"/>
      <c r="V879" s="60"/>
      <c r="W879" s="60"/>
      <c r="X879" s="60"/>
    </row>
    <row r="880">
      <c r="A880" s="15"/>
      <c r="B880" s="15"/>
      <c r="C880" s="15"/>
      <c r="D880" s="15"/>
      <c r="E880" s="15"/>
      <c r="F880" s="15" t="s">
        <v>3650</v>
      </c>
      <c r="G880" s="60"/>
      <c r="H880" s="60"/>
      <c r="I880" s="60"/>
      <c r="J880" s="60"/>
      <c r="K880" s="60"/>
      <c r="L880" s="60"/>
      <c r="M880" s="60"/>
      <c r="N880" s="60"/>
      <c r="O880" s="60"/>
      <c r="P880" s="60"/>
      <c r="Q880" s="60"/>
      <c r="R880" s="60"/>
      <c r="S880" s="60"/>
      <c r="T880" s="60"/>
      <c r="U880" s="60"/>
      <c r="V880" s="60"/>
      <c r="W880" s="60"/>
      <c r="X880" s="60"/>
    </row>
    <row r="881">
      <c r="A881" s="15"/>
      <c r="B881" s="15"/>
      <c r="C881" s="15"/>
      <c r="D881" s="15"/>
      <c r="E881" s="15"/>
      <c r="F881" s="15" t="s">
        <v>3650</v>
      </c>
      <c r="G881" s="60"/>
      <c r="H881" s="60"/>
      <c r="I881" s="60"/>
      <c r="J881" s="60"/>
      <c r="K881" s="60"/>
      <c r="L881" s="60"/>
      <c r="M881" s="60"/>
      <c r="N881" s="60"/>
      <c r="O881" s="60"/>
      <c r="P881" s="60"/>
      <c r="Q881" s="60"/>
      <c r="R881" s="60"/>
      <c r="S881" s="60"/>
      <c r="T881" s="60"/>
      <c r="U881" s="60"/>
      <c r="V881" s="60"/>
      <c r="W881" s="60"/>
      <c r="X881" s="60"/>
    </row>
    <row r="882">
      <c r="A882" s="15"/>
      <c r="B882" s="15"/>
      <c r="C882" s="15"/>
      <c r="D882" s="15"/>
      <c r="E882" s="15"/>
      <c r="F882" s="15" t="s">
        <v>3650</v>
      </c>
      <c r="G882" s="60"/>
      <c r="H882" s="60"/>
      <c r="I882" s="60"/>
      <c r="J882" s="60"/>
      <c r="K882" s="60"/>
      <c r="L882" s="60"/>
      <c r="M882" s="60"/>
      <c r="N882" s="60"/>
      <c r="O882" s="60"/>
      <c r="P882" s="60"/>
      <c r="Q882" s="60"/>
      <c r="R882" s="60"/>
      <c r="S882" s="60"/>
      <c r="T882" s="60"/>
      <c r="U882" s="60"/>
      <c r="V882" s="60"/>
      <c r="W882" s="60"/>
      <c r="X882" s="60"/>
    </row>
    <row r="883">
      <c r="A883" s="15"/>
      <c r="B883" s="15"/>
      <c r="C883" s="15"/>
      <c r="D883" s="15"/>
      <c r="E883" s="15"/>
      <c r="F883" s="15" t="s">
        <v>3650</v>
      </c>
      <c r="G883" s="60"/>
      <c r="H883" s="60"/>
      <c r="I883" s="60"/>
      <c r="J883" s="60"/>
      <c r="K883" s="60"/>
      <c r="L883" s="60"/>
      <c r="M883" s="60"/>
      <c r="N883" s="60"/>
      <c r="O883" s="60"/>
      <c r="P883" s="60"/>
      <c r="Q883" s="60"/>
      <c r="R883" s="60"/>
      <c r="S883" s="60"/>
      <c r="T883" s="60"/>
      <c r="U883" s="60"/>
      <c r="V883" s="60"/>
      <c r="W883" s="60"/>
      <c r="X883" s="60"/>
    </row>
    <row r="884">
      <c r="A884" s="15"/>
      <c r="B884" s="15"/>
      <c r="C884" s="15"/>
      <c r="D884" s="15"/>
      <c r="E884" s="15"/>
      <c r="F884" s="15" t="s">
        <v>3650</v>
      </c>
      <c r="G884" s="60"/>
      <c r="H884" s="60"/>
      <c r="I884" s="60"/>
      <c r="J884" s="60"/>
      <c r="K884" s="60"/>
      <c r="L884" s="60"/>
      <c r="M884" s="60"/>
      <c r="N884" s="60"/>
      <c r="O884" s="60"/>
      <c r="P884" s="60"/>
      <c r="Q884" s="60"/>
      <c r="R884" s="60"/>
      <c r="S884" s="60"/>
      <c r="T884" s="60"/>
      <c r="U884" s="60"/>
      <c r="V884" s="60"/>
      <c r="W884" s="60"/>
      <c r="X884" s="60"/>
    </row>
    <row r="885">
      <c r="A885" s="15"/>
      <c r="B885" s="15"/>
      <c r="C885" s="15"/>
      <c r="D885" s="15"/>
      <c r="E885" s="15"/>
      <c r="F885" s="15" t="s">
        <v>3650</v>
      </c>
      <c r="G885" s="60"/>
      <c r="H885" s="60"/>
      <c r="I885" s="60"/>
      <c r="J885" s="60"/>
      <c r="K885" s="60"/>
      <c r="L885" s="60"/>
      <c r="M885" s="60"/>
      <c r="N885" s="60"/>
      <c r="O885" s="60"/>
      <c r="P885" s="60"/>
      <c r="Q885" s="60"/>
      <c r="R885" s="60"/>
      <c r="S885" s="60"/>
      <c r="T885" s="60"/>
      <c r="U885" s="60"/>
      <c r="V885" s="60"/>
      <c r="W885" s="60"/>
      <c r="X885" s="60"/>
    </row>
    <row r="886">
      <c r="A886" s="15"/>
      <c r="B886" s="15"/>
      <c r="C886" s="15"/>
      <c r="D886" s="15"/>
      <c r="E886" s="15"/>
      <c r="F886" s="15" t="s">
        <v>3650</v>
      </c>
      <c r="G886" s="60"/>
      <c r="H886" s="60"/>
      <c r="I886" s="60"/>
      <c r="J886" s="60"/>
      <c r="K886" s="60"/>
      <c r="L886" s="60"/>
      <c r="M886" s="60"/>
      <c r="N886" s="60"/>
      <c r="O886" s="60"/>
      <c r="P886" s="60"/>
      <c r="Q886" s="60"/>
      <c r="R886" s="60"/>
      <c r="S886" s="60"/>
      <c r="T886" s="60"/>
      <c r="U886" s="60"/>
      <c r="V886" s="60"/>
      <c r="W886" s="60"/>
      <c r="X886" s="60"/>
    </row>
    <row r="887">
      <c r="A887" s="15"/>
      <c r="B887" s="15"/>
      <c r="C887" s="15"/>
      <c r="D887" s="15"/>
      <c r="E887" s="15"/>
      <c r="F887" s="15" t="s">
        <v>3650</v>
      </c>
      <c r="G887" s="60"/>
      <c r="H887" s="60"/>
      <c r="I887" s="60"/>
      <c r="J887" s="60"/>
      <c r="K887" s="60"/>
      <c r="L887" s="60"/>
      <c r="M887" s="60"/>
      <c r="N887" s="60"/>
      <c r="O887" s="60"/>
      <c r="P887" s="60"/>
      <c r="Q887" s="60"/>
      <c r="R887" s="60"/>
      <c r="S887" s="60"/>
      <c r="T887" s="60"/>
      <c r="U887" s="60"/>
      <c r="V887" s="60"/>
      <c r="W887" s="60"/>
      <c r="X887" s="60"/>
    </row>
    <row r="888">
      <c r="A888" s="15"/>
      <c r="B888" s="15"/>
      <c r="C888" s="15"/>
      <c r="D888" s="15"/>
      <c r="E888" s="15"/>
      <c r="F888" s="15" t="s">
        <v>3650</v>
      </c>
      <c r="G888" s="60"/>
      <c r="H888" s="60"/>
      <c r="I888" s="60"/>
      <c r="J888" s="60"/>
      <c r="K888" s="60"/>
      <c r="L888" s="60"/>
      <c r="M888" s="60"/>
      <c r="N888" s="60"/>
      <c r="O888" s="60"/>
      <c r="P888" s="60"/>
      <c r="Q888" s="60"/>
      <c r="R888" s="60"/>
      <c r="S888" s="60"/>
      <c r="T888" s="60"/>
      <c r="U888" s="60"/>
      <c r="V888" s="60"/>
      <c r="W888" s="60"/>
      <c r="X888" s="60"/>
    </row>
    <row r="889">
      <c r="A889" s="15"/>
      <c r="B889" s="15"/>
      <c r="C889" s="15"/>
      <c r="D889" s="15"/>
      <c r="E889" s="15"/>
      <c r="F889" s="15" t="s">
        <v>3650</v>
      </c>
      <c r="G889" s="60"/>
      <c r="H889" s="60"/>
      <c r="I889" s="60"/>
      <c r="J889" s="60"/>
      <c r="K889" s="60"/>
      <c r="L889" s="60"/>
      <c r="M889" s="60"/>
      <c r="N889" s="60"/>
      <c r="O889" s="60"/>
      <c r="P889" s="60"/>
      <c r="Q889" s="60"/>
      <c r="R889" s="60"/>
      <c r="S889" s="60"/>
      <c r="T889" s="60"/>
      <c r="U889" s="60"/>
      <c r="V889" s="60"/>
      <c r="W889" s="60"/>
      <c r="X889" s="60"/>
    </row>
    <row r="890">
      <c r="A890" s="15"/>
      <c r="B890" s="15"/>
      <c r="C890" s="15"/>
      <c r="D890" s="15"/>
      <c r="E890" s="15"/>
      <c r="F890" s="15" t="s">
        <v>3650</v>
      </c>
      <c r="G890" s="60"/>
      <c r="H890" s="60"/>
      <c r="I890" s="60"/>
      <c r="J890" s="60"/>
      <c r="K890" s="60"/>
      <c r="L890" s="60"/>
      <c r="M890" s="60"/>
      <c r="N890" s="60"/>
      <c r="O890" s="60"/>
      <c r="P890" s="60"/>
      <c r="Q890" s="60"/>
      <c r="R890" s="60"/>
      <c r="S890" s="60"/>
      <c r="T890" s="60"/>
      <c r="U890" s="60"/>
      <c r="V890" s="60"/>
      <c r="W890" s="60"/>
      <c r="X890" s="60"/>
    </row>
    <row r="891">
      <c r="A891" s="15"/>
      <c r="B891" s="15"/>
      <c r="C891" s="15"/>
      <c r="D891" s="15"/>
      <c r="E891" s="15"/>
      <c r="F891" s="15" t="s">
        <v>3650</v>
      </c>
      <c r="G891" s="60"/>
      <c r="H891" s="60"/>
      <c r="I891" s="60"/>
      <c r="J891" s="60"/>
      <c r="K891" s="60"/>
      <c r="L891" s="60"/>
      <c r="M891" s="60"/>
      <c r="N891" s="60"/>
      <c r="O891" s="60"/>
      <c r="P891" s="60"/>
      <c r="Q891" s="60"/>
      <c r="R891" s="60"/>
      <c r="S891" s="60"/>
      <c r="T891" s="60"/>
      <c r="U891" s="60"/>
      <c r="V891" s="60"/>
      <c r="W891" s="60"/>
      <c r="X891" s="60"/>
    </row>
    <row r="892">
      <c r="A892" s="15"/>
      <c r="B892" s="15"/>
      <c r="C892" s="15"/>
      <c r="D892" s="15"/>
      <c r="E892" s="15"/>
      <c r="F892" s="15" t="s">
        <v>3650</v>
      </c>
      <c r="G892" s="60"/>
      <c r="H892" s="60"/>
      <c r="I892" s="60"/>
      <c r="J892" s="60"/>
      <c r="K892" s="60"/>
      <c r="L892" s="60"/>
      <c r="M892" s="60"/>
      <c r="N892" s="60"/>
      <c r="O892" s="60"/>
      <c r="P892" s="60"/>
      <c r="Q892" s="60"/>
      <c r="R892" s="60"/>
      <c r="S892" s="60"/>
      <c r="T892" s="60"/>
      <c r="U892" s="60"/>
      <c r="V892" s="60"/>
      <c r="W892" s="60"/>
      <c r="X892" s="60"/>
    </row>
    <row r="893">
      <c r="A893" s="15"/>
      <c r="B893" s="15"/>
      <c r="C893" s="15"/>
      <c r="D893" s="15"/>
      <c r="E893" s="15"/>
      <c r="F893" s="15" t="s">
        <v>3650</v>
      </c>
      <c r="G893" s="60"/>
      <c r="H893" s="60"/>
      <c r="I893" s="60"/>
      <c r="J893" s="60"/>
      <c r="K893" s="60"/>
      <c r="L893" s="60"/>
      <c r="M893" s="60"/>
      <c r="N893" s="60"/>
      <c r="O893" s="60"/>
      <c r="P893" s="60"/>
      <c r="Q893" s="60"/>
      <c r="R893" s="60"/>
      <c r="S893" s="60"/>
      <c r="T893" s="60"/>
      <c r="U893" s="60"/>
      <c r="V893" s="60"/>
      <c r="W893" s="60"/>
      <c r="X893" s="60"/>
    </row>
    <row r="894">
      <c r="A894" s="15"/>
      <c r="B894" s="15"/>
      <c r="C894" s="15"/>
      <c r="D894" s="15"/>
      <c r="E894" s="15"/>
      <c r="F894" s="15" t="s">
        <v>3650</v>
      </c>
      <c r="G894" s="60"/>
      <c r="H894" s="60"/>
      <c r="I894" s="60"/>
      <c r="J894" s="60"/>
      <c r="K894" s="60"/>
      <c r="L894" s="60"/>
      <c r="M894" s="60"/>
      <c r="N894" s="60"/>
      <c r="O894" s="60"/>
      <c r="P894" s="60"/>
      <c r="Q894" s="60"/>
      <c r="R894" s="60"/>
      <c r="S894" s="60"/>
      <c r="T894" s="60"/>
      <c r="U894" s="60"/>
      <c r="V894" s="60"/>
      <c r="W894" s="60"/>
      <c r="X894" s="60"/>
    </row>
    <row r="895">
      <c r="A895" s="15"/>
      <c r="B895" s="15"/>
      <c r="C895" s="15"/>
      <c r="D895" s="15"/>
      <c r="E895" s="15"/>
      <c r="F895" s="15" t="s">
        <v>3650</v>
      </c>
      <c r="G895" s="60"/>
      <c r="H895" s="60"/>
      <c r="I895" s="60"/>
      <c r="J895" s="60"/>
      <c r="K895" s="60"/>
      <c r="L895" s="60"/>
      <c r="M895" s="60"/>
      <c r="N895" s="60"/>
      <c r="O895" s="60"/>
      <c r="P895" s="60"/>
      <c r="Q895" s="60"/>
      <c r="R895" s="60"/>
      <c r="S895" s="60"/>
      <c r="T895" s="60"/>
      <c r="U895" s="60"/>
      <c r="V895" s="60"/>
      <c r="W895" s="60"/>
      <c r="X895" s="60"/>
    </row>
    <row r="896">
      <c r="A896" s="15"/>
      <c r="B896" s="15"/>
      <c r="C896" s="15"/>
      <c r="D896" s="15"/>
      <c r="E896" s="15"/>
      <c r="F896" s="15" t="s">
        <v>3650</v>
      </c>
      <c r="G896" s="60"/>
      <c r="H896" s="60"/>
      <c r="I896" s="60"/>
      <c r="J896" s="60"/>
      <c r="K896" s="60"/>
      <c r="L896" s="60"/>
      <c r="M896" s="60"/>
      <c r="N896" s="60"/>
      <c r="O896" s="60"/>
      <c r="P896" s="60"/>
      <c r="Q896" s="60"/>
      <c r="R896" s="60"/>
      <c r="S896" s="60"/>
      <c r="T896" s="60"/>
      <c r="U896" s="60"/>
      <c r="V896" s="60"/>
      <c r="W896" s="60"/>
      <c r="X896" s="60"/>
    </row>
    <row r="897">
      <c r="A897" s="15"/>
      <c r="B897" s="15"/>
      <c r="C897" s="15"/>
      <c r="D897" s="15"/>
      <c r="E897" s="15"/>
      <c r="F897" s="15" t="s">
        <v>3650</v>
      </c>
      <c r="G897" s="60"/>
      <c r="H897" s="60"/>
      <c r="I897" s="60"/>
      <c r="J897" s="60"/>
      <c r="K897" s="60"/>
      <c r="L897" s="60"/>
      <c r="M897" s="60"/>
      <c r="N897" s="60"/>
      <c r="O897" s="60"/>
      <c r="P897" s="60"/>
      <c r="Q897" s="60"/>
      <c r="R897" s="60"/>
      <c r="S897" s="60"/>
      <c r="T897" s="60"/>
      <c r="U897" s="60"/>
      <c r="V897" s="60"/>
      <c r="W897" s="60"/>
      <c r="X897" s="60"/>
    </row>
    <row r="898">
      <c r="A898" s="15"/>
      <c r="B898" s="15"/>
      <c r="C898" s="15"/>
      <c r="D898" s="15"/>
      <c r="E898" s="15"/>
      <c r="F898" s="15" t="s">
        <v>3650</v>
      </c>
      <c r="G898" s="60"/>
      <c r="H898" s="60"/>
      <c r="I898" s="60"/>
      <c r="J898" s="60"/>
      <c r="K898" s="60"/>
      <c r="L898" s="60"/>
      <c r="M898" s="60"/>
      <c r="N898" s="60"/>
      <c r="O898" s="60"/>
      <c r="P898" s="60"/>
      <c r="Q898" s="60"/>
      <c r="R898" s="60"/>
      <c r="S898" s="60"/>
      <c r="T898" s="60"/>
      <c r="U898" s="60"/>
      <c r="V898" s="60"/>
      <c r="W898" s="60"/>
      <c r="X898" s="60"/>
    </row>
    <row r="899">
      <c r="A899" s="15"/>
      <c r="B899" s="15"/>
      <c r="C899" s="15"/>
      <c r="D899" s="15"/>
      <c r="E899" s="15"/>
      <c r="F899" s="15" t="s">
        <v>3650</v>
      </c>
      <c r="G899" s="60"/>
      <c r="H899" s="60"/>
      <c r="I899" s="60"/>
      <c r="J899" s="60"/>
      <c r="K899" s="60"/>
      <c r="L899" s="60"/>
      <c r="M899" s="60"/>
      <c r="N899" s="60"/>
      <c r="O899" s="60"/>
      <c r="P899" s="60"/>
      <c r="Q899" s="60"/>
      <c r="R899" s="60"/>
      <c r="S899" s="60"/>
      <c r="T899" s="60"/>
      <c r="U899" s="60"/>
      <c r="V899" s="60"/>
      <c r="W899" s="60"/>
      <c r="X899" s="60"/>
    </row>
    <row r="900">
      <c r="A900" s="15"/>
      <c r="B900" s="15"/>
      <c r="C900" s="15"/>
      <c r="D900" s="15"/>
      <c r="E900" s="15"/>
      <c r="F900" s="15" t="s">
        <v>3650</v>
      </c>
      <c r="G900" s="60"/>
      <c r="H900" s="60"/>
      <c r="I900" s="60"/>
      <c r="J900" s="60"/>
      <c r="K900" s="60"/>
      <c r="L900" s="60"/>
      <c r="M900" s="60"/>
      <c r="N900" s="60"/>
      <c r="O900" s="60"/>
      <c r="P900" s="60"/>
      <c r="Q900" s="60"/>
      <c r="R900" s="60"/>
      <c r="S900" s="60"/>
      <c r="T900" s="60"/>
      <c r="U900" s="60"/>
      <c r="V900" s="60"/>
      <c r="W900" s="60"/>
      <c r="X900" s="60"/>
    </row>
    <row r="901">
      <c r="A901" s="15"/>
      <c r="B901" s="15"/>
      <c r="C901" s="15"/>
      <c r="D901" s="15"/>
      <c r="E901" s="15"/>
      <c r="F901" s="15" t="s">
        <v>3650</v>
      </c>
      <c r="G901" s="60"/>
      <c r="H901" s="60"/>
      <c r="I901" s="60"/>
      <c r="J901" s="60"/>
      <c r="K901" s="60"/>
      <c r="L901" s="60"/>
      <c r="M901" s="60"/>
      <c r="N901" s="60"/>
      <c r="O901" s="60"/>
      <c r="P901" s="60"/>
      <c r="Q901" s="60"/>
      <c r="R901" s="60"/>
      <c r="S901" s="60"/>
      <c r="T901" s="60"/>
      <c r="U901" s="60"/>
      <c r="V901" s="60"/>
      <c r="W901" s="60"/>
      <c r="X901" s="60"/>
    </row>
    <row r="902">
      <c r="A902" s="15"/>
      <c r="B902" s="15"/>
      <c r="C902" s="15"/>
      <c r="D902" s="15"/>
      <c r="E902" s="15"/>
      <c r="F902" s="15" t="s">
        <v>3650</v>
      </c>
      <c r="G902" s="60"/>
      <c r="H902" s="60"/>
      <c r="I902" s="60"/>
      <c r="J902" s="60"/>
      <c r="K902" s="60"/>
      <c r="L902" s="60"/>
      <c r="M902" s="60"/>
      <c r="N902" s="60"/>
      <c r="O902" s="60"/>
      <c r="P902" s="60"/>
      <c r="Q902" s="60"/>
      <c r="R902" s="60"/>
      <c r="S902" s="60"/>
      <c r="T902" s="60"/>
      <c r="U902" s="60"/>
      <c r="V902" s="60"/>
      <c r="W902" s="60"/>
      <c r="X902" s="60"/>
    </row>
    <row r="903">
      <c r="A903" s="15"/>
      <c r="B903" s="15"/>
      <c r="C903" s="15"/>
      <c r="D903" s="15"/>
      <c r="E903" s="15"/>
      <c r="F903" s="15" t="s">
        <v>3650</v>
      </c>
      <c r="G903" s="60"/>
      <c r="H903" s="60"/>
      <c r="I903" s="60"/>
      <c r="J903" s="60"/>
      <c r="K903" s="60"/>
      <c r="L903" s="60"/>
      <c r="M903" s="60"/>
      <c r="N903" s="60"/>
      <c r="O903" s="60"/>
      <c r="P903" s="60"/>
      <c r="Q903" s="60"/>
      <c r="R903" s="60"/>
      <c r="S903" s="60"/>
      <c r="T903" s="60"/>
      <c r="U903" s="60"/>
      <c r="V903" s="60"/>
      <c r="W903" s="60"/>
      <c r="X903" s="60"/>
    </row>
    <row r="904">
      <c r="A904" s="15"/>
      <c r="B904" s="15"/>
      <c r="C904" s="15"/>
      <c r="D904" s="15"/>
      <c r="E904" s="15"/>
      <c r="F904" s="15" t="s">
        <v>3650</v>
      </c>
      <c r="G904" s="60"/>
      <c r="H904" s="60"/>
      <c r="I904" s="60"/>
      <c r="J904" s="60"/>
      <c r="K904" s="60"/>
      <c r="L904" s="60"/>
      <c r="M904" s="60"/>
      <c r="N904" s="60"/>
      <c r="O904" s="60"/>
      <c r="P904" s="60"/>
      <c r="Q904" s="60"/>
      <c r="R904" s="60"/>
      <c r="S904" s="60"/>
      <c r="T904" s="60"/>
      <c r="U904" s="60"/>
      <c r="V904" s="60"/>
      <c r="W904" s="60"/>
      <c r="X904" s="60"/>
    </row>
    <row r="905">
      <c r="A905" s="15"/>
      <c r="B905" s="15"/>
      <c r="C905" s="15"/>
      <c r="D905" s="15"/>
      <c r="E905" s="15"/>
      <c r="F905" s="15" t="s">
        <v>3650</v>
      </c>
      <c r="G905" s="60"/>
      <c r="H905" s="60"/>
      <c r="I905" s="60"/>
      <c r="J905" s="60"/>
      <c r="K905" s="60"/>
      <c r="L905" s="60"/>
      <c r="M905" s="60"/>
      <c r="N905" s="60"/>
      <c r="O905" s="60"/>
      <c r="P905" s="60"/>
      <c r="Q905" s="60"/>
      <c r="R905" s="60"/>
      <c r="S905" s="60"/>
      <c r="T905" s="60"/>
      <c r="U905" s="60"/>
      <c r="V905" s="60"/>
      <c r="W905" s="60"/>
      <c r="X905" s="60"/>
    </row>
    <row r="906">
      <c r="A906" s="15"/>
      <c r="B906" s="15"/>
      <c r="C906" s="15"/>
      <c r="D906" s="15"/>
      <c r="E906" s="15"/>
      <c r="F906" s="15" t="s">
        <v>3650</v>
      </c>
      <c r="G906" s="60"/>
      <c r="H906" s="60"/>
      <c r="I906" s="60"/>
      <c r="J906" s="60"/>
      <c r="K906" s="60"/>
      <c r="L906" s="60"/>
      <c r="M906" s="60"/>
      <c r="N906" s="60"/>
      <c r="O906" s="60"/>
      <c r="P906" s="60"/>
      <c r="Q906" s="60"/>
      <c r="R906" s="60"/>
      <c r="S906" s="60"/>
      <c r="T906" s="60"/>
      <c r="U906" s="60"/>
      <c r="V906" s="60"/>
      <c r="W906" s="60"/>
      <c r="X906" s="60"/>
    </row>
    <row r="907">
      <c r="A907" s="15"/>
      <c r="B907" s="15"/>
      <c r="C907" s="15"/>
      <c r="D907" s="15"/>
      <c r="E907" s="15"/>
      <c r="F907" s="15" t="s">
        <v>3650</v>
      </c>
      <c r="G907" s="60"/>
      <c r="H907" s="60"/>
      <c r="I907" s="60"/>
      <c r="J907" s="60"/>
      <c r="K907" s="60"/>
      <c r="L907" s="60"/>
      <c r="M907" s="60"/>
      <c r="N907" s="60"/>
      <c r="O907" s="60"/>
      <c r="P907" s="60"/>
      <c r="Q907" s="60"/>
      <c r="R907" s="60"/>
      <c r="S907" s="60"/>
      <c r="T907" s="60"/>
      <c r="U907" s="60"/>
      <c r="V907" s="60"/>
      <c r="W907" s="60"/>
      <c r="X907" s="60"/>
    </row>
    <row r="908">
      <c r="A908" s="15"/>
      <c r="B908" s="15"/>
      <c r="C908" s="15"/>
      <c r="D908" s="15"/>
      <c r="E908" s="15"/>
      <c r="F908" s="15" t="s">
        <v>3650</v>
      </c>
      <c r="G908" s="60"/>
      <c r="H908" s="60"/>
      <c r="I908" s="60"/>
      <c r="J908" s="60"/>
      <c r="K908" s="60"/>
      <c r="L908" s="60"/>
      <c r="M908" s="60"/>
      <c r="N908" s="60"/>
      <c r="O908" s="60"/>
      <c r="P908" s="60"/>
      <c r="Q908" s="60"/>
      <c r="R908" s="60"/>
      <c r="S908" s="60"/>
      <c r="T908" s="60"/>
      <c r="U908" s="60"/>
      <c r="V908" s="60"/>
      <c r="W908" s="60"/>
      <c r="X908" s="60"/>
    </row>
    <row r="909">
      <c r="A909" s="15"/>
      <c r="B909" s="15"/>
      <c r="C909" s="15"/>
      <c r="D909" s="15"/>
      <c r="E909" s="15"/>
      <c r="F909" s="15" t="s">
        <v>3650</v>
      </c>
      <c r="G909" s="60"/>
      <c r="H909" s="60"/>
      <c r="I909" s="60"/>
      <c r="J909" s="60"/>
      <c r="K909" s="60"/>
      <c r="L909" s="60"/>
      <c r="M909" s="60"/>
      <c r="N909" s="60"/>
      <c r="O909" s="60"/>
      <c r="P909" s="60"/>
      <c r="Q909" s="60"/>
      <c r="R909" s="60"/>
      <c r="S909" s="60"/>
      <c r="T909" s="60"/>
      <c r="U909" s="60"/>
      <c r="V909" s="60"/>
      <c r="W909" s="60"/>
      <c r="X909" s="60"/>
    </row>
    <row r="910">
      <c r="A910" s="15"/>
      <c r="B910" s="15"/>
      <c r="C910" s="15"/>
      <c r="D910" s="15"/>
      <c r="E910" s="15"/>
      <c r="F910" s="15" t="s">
        <v>3650</v>
      </c>
      <c r="G910" s="60"/>
      <c r="H910" s="60"/>
      <c r="I910" s="60"/>
      <c r="J910" s="60"/>
      <c r="K910" s="60"/>
      <c r="L910" s="60"/>
      <c r="M910" s="60"/>
      <c r="N910" s="60"/>
      <c r="O910" s="60"/>
      <c r="P910" s="60"/>
      <c r="Q910" s="60"/>
      <c r="R910" s="60"/>
      <c r="S910" s="60"/>
      <c r="T910" s="60"/>
      <c r="U910" s="60"/>
      <c r="V910" s="60"/>
      <c r="W910" s="60"/>
      <c r="X910" s="60"/>
    </row>
    <row r="911">
      <c r="A911" s="15"/>
      <c r="B911" s="15"/>
      <c r="C911" s="15"/>
      <c r="D911" s="15"/>
      <c r="E911" s="15"/>
      <c r="F911" s="15" t="s">
        <v>3650</v>
      </c>
      <c r="G911" s="60"/>
      <c r="H911" s="60"/>
      <c r="I911" s="60"/>
      <c r="J911" s="60"/>
      <c r="K911" s="60"/>
      <c r="L911" s="60"/>
      <c r="M911" s="60"/>
      <c r="N911" s="60"/>
      <c r="O911" s="60"/>
      <c r="P911" s="60"/>
      <c r="Q911" s="60"/>
      <c r="R911" s="60"/>
      <c r="S911" s="60"/>
      <c r="T911" s="60"/>
      <c r="U911" s="60"/>
      <c r="V911" s="60"/>
      <c r="W911" s="60"/>
      <c r="X911" s="60"/>
    </row>
    <row r="912">
      <c r="A912" s="15"/>
      <c r="B912" s="15"/>
      <c r="C912" s="15"/>
      <c r="D912" s="15"/>
      <c r="E912" s="15"/>
      <c r="F912" s="15" t="s">
        <v>3650</v>
      </c>
      <c r="G912" s="60"/>
      <c r="H912" s="60"/>
      <c r="I912" s="60"/>
      <c r="J912" s="60"/>
      <c r="K912" s="60"/>
      <c r="L912" s="60"/>
      <c r="M912" s="60"/>
      <c r="N912" s="60"/>
      <c r="O912" s="60"/>
      <c r="P912" s="60"/>
      <c r="Q912" s="60"/>
      <c r="R912" s="60"/>
      <c r="S912" s="60"/>
      <c r="T912" s="60"/>
      <c r="U912" s="60"/>
      <c r="V912" s="60"/>
      <c r="W912" s="60"/>
      <c r="X912" s="60"/>
    </row>
    <row r="913">
      <c r="A913" s="15"/>
      <c r="B913" s="15"/>
      <c r="C913" s="15"/>
      <c r="D913" s="15"/>
      <c r="E913" s="15"/>
      <c r="F913" s="15" t="s">
        <v>3650</v>
      </c>
      <c r="G913" s="60"/>
      <c r="H913" s="60"/>
      <c r="I913" s="60"/>
      <c r="J913" s="60"/>
      <c r="K913" s="60"/>
      <c r="L913" s="60"/>
      <c r="M913" s="60"/>
      <c r="N913" s="60"/>
      <c r="O913" s="60"/>
      <c r="P913" s="60"/>
      <c r="Q913" s="60"/>
      <c r="R913" s="60"/>
      <c r="S913" s="60"/>
      <c r="T913" s="60"/>
      <c r="U913" s="60"/>
      <c r="V913" s="60"/>
      <c r="W913" s="60"/>
      <c r="X913" s="60"/>
    </row>
    <row r="914">
      <c r="A914" s="15"/>
      <c r="B914" s="15"/>
      <c r="C914" s="15"/>
      <c r="D914" s="15"/>
      <c r="E914" s="15"/>
      <c r="F914" s="15" t="s">
        <v>3650</v>
      </c>
      <c r="G914" s="60"/>
      <c r="H914" s="60"/>
      <c r="I914" s="60"/>
      <c r="J914" s="60"/>
      <c r="K914" s="60"/>
      <c r="L914" s="60"/>
      <c r="M914" s="60"/>
      <c r="N914" s="60"/>
      <c r="O914" s="60"/>
      <c r="P914" s="60"/>
      <c r="Q914" s="60"/>
      <c r="R914" s="60"/>
      <c r="S914" s="60"/>
      <c r="T914" s="60"/>
      <c r="U914" s="60"/>
      <c r="V914" s="60"/>
      <c r="W914" s="60"/>
      <c r="X914" s="60"/>
    </row>
    <row r="915">
      <c r="A915" s="15"/>
      <c r="B915" s="15"/>
      <c r="C915" s="15"/>
      <c r="D915" s="15"/>
      <c r="E915" s="15"/>
      <c r="F915" s="15" t="s">
        <v>3650</v>
      </c>
      <c r="G915" s="60"/>
      <c r="H915" s="60"/>
      <c r="I915" s="60"/>
      <c r="J915" s="60"/>
      <c r="K915" s="60"/>
      <c r="L915" s="60"/>
      <c r="M915" s="60"/>
      <c r="N915" s="60"/>
      <c r="O915" s="60"/>
      <c r="P915" s="60"/>
      <c r="Q915" s="60"/>
      <c r="R915" s="60"/>
      <c r="S915" s="60"/>
      <c r="T915" s="60"/>
      <c r="U915" s="60"/>
      <c r="V915" s="60"/>
      <c r="W915" s="60"/>
      <c r="X915" s="60"/>
    </row>
    <row r="916">
      <c r="A916" s="15"/>
      <c r="B916" s="15"/>
      <c r="C916" s="15"/>
      <c r="D916" s="15"/>
      <c r="E916" s="15"/>
      <c r="F916" s="15" t="s">
        <v>3650</v>
      </c>
      <c r="G916" s="60"/>
      <c r="H916" s="60"/>
      <c r="I916" s="60"/>
      <c r="J916" s="60"/>
      <c r="K916" s="60"/>
      <c r="L916" s="60"/>
      <c r="M916" s="60"/>
      <c r="N916" s="60"/>
      <c r="O916" s="60"/>
      <c r="P916" s="60"/>
      <c r="Q916" s="60"/>
      <c r="R916" s="60"/>
      <c r="S916" s="60"/>
      <c r="T916" s="60"/>
      <c r="U916" s="60"/>
      <c r="V916" s="60"/>
      <c r="W916" s="60"/>
      <c r="X916" s="60"/>
    </row>
    <row r="917">
      <c r="A917" s="15"/>
      <c r="B917" s="15"/>
      <c r="C917" s="15"/>
      <c r="D917" s="15"/>
      <c r="E917" s="15"/>
      <c r="F917" s="15" t="s">
        <v>3650</v>
      </c>
      <c r="G917" s="60"/>
      <c r="H917" s="60"/>
      <c r="I917" s="60"/>
      <c r="J917" s="60"/>
      <c r="K917" s="60"/>
      <c r="L917" s="60"/>
      <c r="M917" s="60"/>
      <c r="N917" s="60"/>
      <c r="O917" s="60"/>
      <c r="P917" s="60"/>
      <c r="Q917" s="60"/>
      <c r="R917" s="60"/>
      <c r="S917" s="60"/>
      <c r="T917" s="60"/>
      <c r="U917" s="60"/>
      <c r="V917" s="60"/>
      <c r="W917" s="60"/>
      <c r="X917" s="60"/>
    </row>
    <row r="918">
      <c r="A918" s="15"/>
      <c r="B918" s="15"/>
      <c r="C918" s="15"/>
      <c r="D918" s="15"/>
      <c r="E918" s="15"/>
      <c r="F918" s="15" t="s">
        <v>3650</v>
      </c>
      <c r="G918" s="60"/>
      <c r="H918" s="60"/>
      <c r="I918" s="60"/>
      <c r="J918" s="60"/>
      <c r="K918" s="60"/>
      <c r="L918" s="60"/>
      <c r="M918" s="60"/>
      <c r="N918" s="60"/>
      <c r="O918" s="60"/>
      <c r="P918" s="60"/>
      <c r="Q918" s="60"/>
      <c r="R918" s="60"/>
      <c r="S918" s="60"/>
      <c r="T918" s="60"/>
      <c r="U918" s="60"/>
      <c r="V918" s="60"/>
      <c r="W918" s="60"/>
      <c r="X918" s="60"/>
    </row>
    <row r="919">
      <c r="A919" s="15"/>
      <c r="B919" s="15"/>
      <c r="C919" s="15"/>
      <c r="D919" s="15"/>
      <c r="E919" s="15"/>
      <c r="F919" s="15" t="s">
        <v>3650</v>
      </c>
      <c r="G919" s="60"/>
      <c r="H919" s="60"/>
      <c r="I919" s="60"/>
      <c r="J919" s="60"/>
      <c r="K919" s="60"/>
      <c r="L919" s="60"/>
      <c r="M919" s="60"/>
      <c r="N919" s="60"/>
      <c r="O919" s="60"/>
      <c r="P919" s="60"/>
      <c r="Q919" s="60"/>
      <c r="R919" s="60"/>
      <c r="S919" s="60"/>
      <c r="T919" s="60"/>
      <c r="U919" s="60"/>
      <c r="V919" s="60"/>
      <c r="W919" s="60"/>
      <c r="X919" s="60"/>
    </row>
    <row r="920">
      <c r="A920" s="15"/>
      <c r="B920" s="15"/>
      <c r="C920" s="15"/>
      <c r="D920" s="15"/>
      <c r="E920" s="15"/>
      <c r="F920" s="15" t="s">
        <v>3650</v>
      </c>
      <c r="G920" s="60"/>
      <c r="H920" s="60"/>
      <c r="I920" s="60"/>
      <c r="J920" s="60"/>
      <c r="K920" s="60"/>
      <c r="L920" s="60"/>
      <c r="M920" s="60"/>
      <c r="N920" s="60"/>
      <c r="O920" s="60"/>
      <c r="P920" s="60"/>
      <c r="Q920" s="60"/>
      <c r="R920" s="60"/>
      <c r="S920" s="60"/>
      <c r="T920" s="60"/>
      <c r="U920" s="60"/>
      <c r="V920" s="60"/>
      <c r="W920" s="60"/>
      <c r="X920" s="60"/>
    </row>
    <row r="921">
      <c r="A921" s="15"/>
      <c r="B921" s="15"/>
      <c r="C921" s="15"/>
      <c r="D921" s="15"/>
      <c r="E921" s="15"/>
      <c r="F921" s="15" t="s">
        <v>3650</v>
      </c>
      <c r="G921" s="60"/>
      <c r="H921" s="60"/>
      <c r="I921" s="60"/>
      <c r="J921" s="60"/>
      <c r="K921" s="60"/>
      <c r="L921" s="60"/>
      <c r="M921" s="60"/>
      <c r="N921" s="60"/>
      <c r="O921" s="60"/>
      <c r="P921" s="60"/>
      <c r="Q921" s="60"/>
      <c r="R921" s="60"/>
      <c r="S921" s="60"/>
      <c r="T921" s="60"/>
      <c r="U921" s="60"/>
      <c r="V921" s="60"/>
      <c r="W921" s="60"/>
      <c r="X921" s="60"/>
    </row>
    <row r="922">
      <c r="A922" s="15"/>
      <c r="B922" s="15"/>
      <c r="C922" s="15"/>
      <c r="D922" s="15"/>
      <c r="E922" s="15"/>
      <c r="F922" s="15" t="s">
        <v>3650</v>
      </c>
      <c r="G922" s="60"/>
      <c r="H922" s="60"/>
      <c r="I922" s="60"/>
      <c r="J922" s="60"/>
      <c r="K922" s="60"/>
      <c r="L922" s="60"/>
      <c r="M922" s="60"/>
      <c r="N922" s="60"/>
      <c r="O922" s="60"/>
      <c r="P922" s="60"/>
      <c r="Q922" s="60"/>
      <c r="R922" s="60"/>
      <c r="S922" s="60"/>
      <c r="T922" s="60"/>
      <c r="U922" s="60"/>
      <c r="V922" s="60"/>
      <c r="W922" s="60"/>
      <c r="X922" s="60"/>
    </row>
    <row r="923">
      <c r="A923" s="15"/>
      <c r="B923" s="15"/>
      <c r="C923" s="15"/>
      <c r="D923" s="15"/>
      <c r="E923" s="15"/>
      <c r="F923" s="15" t="s">
        <v>3650</v>
      </c>
      <c r="G923" s="60"/>
      <c r="H923" s="60"/>
      <c r="I923" s="60"/>
      <c r="J923" s="60"/>
      <c r="K923" s="60"/>
      <c r="L923" s="60"/>
      <c r="M923" s="60"/>
      <c r="N923" s="60"/>
      <c r="O923" s="60"/>
      <c r="P923" s="60"/>
      <c r="Q923" s="60"/>
      <c r="R923" s="60"/>
      <c r="S923" s="60"/>
      <c r="T923" s="60"/>
      <c r="U923" s="60"/>
      <c r="V923" s="60"/>
      <c r="W923" s="60"/>
      <c r="X923" s="60"/>
    </row>
    <row r="924">
      <c r="A924" s="15"/>
      <c r="B924" s="15"/>
      <c r="C924" s="15"/>
      <c r="D924" s="15"/>
      <c r="E924" s="15"/>
      <c r="F924" s="15" t="s">
        <v>3650</v>
      </c>
      <c r="G924" s="60"/>
      <c r="H924" s="60"/>
      <c r="I924" s="60"/>
      <c r="J924" s="60"/>
      <c r="K924" s="60"/>
      <c r="L924" s="60"/>
      <c r="M924" s="60"/>
      <c r="N924" s="60"/>
      <c r="O924" s="60"/>
      <c r="P924" s="60"/>
      <c r="Q924" s="60"/>
      <c r="R924" s="60"/>
      <c r="S924" s="60"/>
      <c r="T924" s="60"/>
      <c r="U924" s="60"/>
      <c r="V924" s="60"/>
      <c r="W924" s="60"/>
      <c r="X924" s="60"/>
    </row>
    <row r="925">
      <c r="A925" s="15"/>
      <c r="B925" s="15"/>
      <c r="C925" s="15"/>
      <c r="D925" s="15"/>
      <c r="E925" s="15"/>
      <c r="F925" s="15" t="s">
        <v>3650</v>
      </c>
      <c r="G925" s="60"/>
      <c r="H925" s="60"/>
      <c r="I925" s="60"/>
      <c r="J925" s="60"/>
      <c r="K925" s="60"/>
      <c r="L925" s="60"/>
      <c r="M925" s="60"/>
      <c r="N925" s="60"/>
      <c r="O925" s="60"/>
      <c r="P925" s="60"/>
      <c r="Q925" s="60"/>
      <c r="R925" s="60"/>
      <c r="S925" s="60"/>
      <c r="T925" s="60"/>
      <c r="U925" s="60"/>
      <c r="V925" s="60"/>
      <c r="W925" s="60"/>
      <c r="X925" s="60"/>
    </row>
    <row r="926">
      <c r="A926" s="15"/>
      <c r="B926" s="15"/>
      <c r="C926" s="15"/>
      <c r="D926" s="15"/>
      <c r="E926" s="15"/>
      <c r="F926" s="15" t="s">
        <v>3650</v>
      </c>
      <c r="G926" s="60"/>
      <c r="H926" s="60"/>
      <c r="I926" s="60"/>
      <c r="J926" s="60"/>
      <c r="K926" s="60"/>
      <c r="L926" s="60"/>
      <c r="M926" s="60"/>
      <c r="N926" s="60"/>
      <c r="O926" s="60"/>
      <c r="P926" s="60"/>
      <c r="Q926" s="60"/>
      <c r="R926" s="60"/>
      <c r="S926" s="60"/>
      <c r="T926" s="60"/>
      <c r="U926" s="60"/>
      <c r="V926" s="60"/>
      <c r="W926" s="60"/>
      <c r="X926" s="60"/>
    </row>
    <row r="927">
      <c r="A927" s="15"/>
      <c r="B927" s="15"/>
      <c r="C927" s="15"/>
      <c r="D927" s="15"/>
      <c r="E927" s="15"/>
      <c r="F927" s="15" t="s">
        <v>3650</v>
      </c>
      <c r="G927" s="60"/>
      <c r="H927" s="60"/>
      <c r="I927" s="60"/>
      <c r="J927" s="60"/>
      <c r="K927" s="60"/>
      <c r="L927" s="60"/>
      <c r="M927" s="60"/>
      <c r="N927" s="60"/>
      <c r="O927" s="60"/>
      <c r="P927" s="60"/>
      <c r="Q927" s="60"/>
      <c r="R927" s="60"/>
      <c r="S927" s="60"/>
      <c r="T927" s="60"/>
      <c r="U927" s="60"/>
      <c r="V927" s="60"/>
      <c r="W927" s="60"/>
      <c r="X927" s="60"/>
    </row>
    <row r="928">
      <c r="A928" s="15"/>
      <c r="B928" s="15"/>
      <c r="C928" s="15"/>
      <c r="D928" s="15"/>
      <c r="E928" s="15"/>
      <c r="F928" s="15" t="s">
        <v>3650</v>
      </c>
      <c r="G928" s="60"/>
      <c r="H928" s="60"/>
      <c r="I928" s="60"/>
      <c r="J928" s="60"/>
      <c r="K928" s="60"/>
      <c r="L928" s="60"/>
      <c r="M928" s="60"/>
      <c r="N928" s="60"/>
      <c r="O928" s="60"/>
      <c r="P928" s="60"/>
      <c r="Q928" s="60"/>
      <c r="R928" s="60"/>
      <c r="S928" s="60"/>
      <c r="T928" s="60"/>
      <c r="U928" s="60"/>
      <c r="V928" s="60"/>
      <c r="W928" s="60"/>
      <c r="X928" s="60"/>
    </row>
    <row r="929">
      <c r="A929" s="15"/>
      <c r="B929" s="15"/>
      <c r="C929" s="15"/>
      <c r="D929" s="15"/>
      <c r="E929" s="15"/>
      <c r="F929" s="15" t="s">
        <v>3650</v>
      </c>
      <c r="G929" s="60"/>
      <c r="H929" s="60"/>
      <c r="I929" s="60"/>
      <c r="J929" s="60"/>
      <c r="K929" s="60"/>
      <c r="L929" s="60"/>
      <c r="M929" s="60"/>
      <c r="N929" s="60"/>
      <c r="O929" s="60"/>
      <c r="P929" s="60"/>
      <c r="Q929" s="60"/>
      <c r="R929" s="60"/>
      <c r="S929" s="60"/>
      <c r="T929" s="60"/>
      <c r="U929" s="60"/>
      <c r="V929" s="60"/>
      <c r="W929" s="60"/>
      <c r="X929" s="60"/>
    </row>
    <row r="930">
      <c r="A930" s="15"/>
      <c r="B930" s="15"/>
      <c r="C930" s="15"/>
      <c r="D930" s="15"/>
      <c r="E930" s="15"/>
      <c r="F930" s="15" t="s">
        <v>3650</v>
      </c>
      <c r="G930" s="60"/>
      <c r="H930" s="60"/>
      <c r="I930" s="60"/>
      <c r="J930" s="60"/>
      <c r="K930" s="60"/>
      <c r="L930" s="60"/>
      <c r="M930" s="60"/>
      <c r="N930" s="60"/>
      <c r="O930" s="60"/>
      <c r="P930" s="60"/>
      <c r="Q930" s="60"/>
      <c r="R930" s="60"/>
      <c r="S930" s="60"/>
      <c r="T930" s="60"/>
      <c r="U930" s="60"/>
      <c r="V930" s="60"/>
      <c r="W930" s="60"/>
      <c r="X930" s="60"/>
    </row>
    <row r="931">
      <c r="A931" s="15"/>
      <c r="B931" s="15"/>
      <c r="C931" s="15"/>
      <c r="D931" s="15"/>
      <c r="E931" s="15"/>
      <c r="F931" s="15" t="s">
        <v>3650</v>
      </c>
      <c r="G931" s="60"/>
      <c r="H931" s="60"/>
      <c r="I931" s="60"/>
      <c r="J931" s="60"/>
      <c r="K931" s="60"/>
      <c r="L931" s="60"/>
      <c r="M931" s="60"/>
      <c r="N931" s="60"/>
      <c r="O931" s="60"/>
      <c r="P931" s="60"/>
      <c r="Q931" s="60"/>
      <c r="R931" s="60"/>
      <c r="S931" s="60"/>
      <c r="T931" s="60"/>
      <c r="U931" s="60"/>
      <c r="V931" s="60"/>
      <c r="W931" s="60"/>
      <c r="X931" s="60"/>
    </row>
    <row r="932">
      <c r="A932" s="15"/>
      <c r="B932" s="15"/>
      <c r="C932" s="15"/>
      <c r="D932" s="15"/>
      <c r="E932" s="15"/>
      <c r="F932" s="15" t="s">
        <v>3650</v>
      </c>
      <c r="G932" s="60"/>
      <c r="H932" s="60"/>
      <c r="I932" s="60"/>
      <c r="J932" s="60"/>
      <c r="K932" s="60"/>
      <c r="L932" s="60"/>
      <c r="M932" s="60"/>
      <c r="N932" s="60"/>
      <c r="O932" s="60"/>
      <c r="P932" s="60"/>
      <c r="Q932" s="60"/>
      <c r="R932" s="60"/>
      <c r="S932" s="60"/>
      <c r="T932" s="60"/>
      <c r="U932" s="60"/>
      <c r="V932" s="60"/>
      <c r="W932" s="60"/>
      <c r="X932" s="60"/>
    </row>
    <row r="933">
      <c r="A933" s="15"/>
      <c r="B933" s="15"/>
      <c r="C933" s="15"/>
      <c r="D933" s="15"/>
      <c r="E933" s="15"/>
      <c r="F933" s="15" t="s">
        <v>3650</v>
      </c>
      <c r="G933" s="60"/>
      <c r="H933" s="60"/>
      <c r="I933" s="60"/>
      <c r="J933" s="60"/>
      <c r="K933" s="60"/>
      <c r="L933" s="60"/>
      <c r="M933" s="60"/>
      <c r="N933" s="60"/>
      <c r="O933" s="60"/>
      <c r="P933" s="60"/>
      <c r="Q933" s="60"/>
      <c r="R933" s="60"/>
      <c r="S933" s="60"/>
      <c r="T933" s="60"/>
      <c r="U933" s="60"/>
      <c r="V933" s="60"/>
      <c r="W933" s="60"/>
      <c r="X933" s="60"/>
    </row>
    <row r="934">
      <c r="A934" s="15"/>
      <c r="B934" s="15"/>
      <c r="C934" s="15"/>
      <c r="D934" s="15"/>
      <c r="E934" s="15"/>
      <c r="F934" s="15" t="s">
        <v>3650</v>
      </c>
      <c r="G934" s="60"/>
      <c r="H934" s="60"/>
      <c r="I934" s="60"/>
      <c r="J934" s="60"/>
      <c r="K934" s="60"/>
      <c r="L934" s="60"/>
      <c r="M934" s="60"/>
      <c r="N934" s="60"/>
      <c r="O934" s="60"/>
      <c r="P934" s="60"/>
      <c r="Q934" s="60"/>
      <c r="R934" s="60"/>
      <c r="S934" s="60"/>
      <c r="T934" s="60"/>
      <c r="U934" s="60"/>
      <c r="V934" s="60"/>
      <c r="W934" s="60"/>
      <c r="X934" s="60"/>
    </row>
    <row r="935">
      <c r="A935" s="15"/>
      <c r="B935" s="15"/>
      <c r="C935" s="15"/>
      <c r="D935" s="15"/>
      <c r="E935" s="15"/>
      <c r="F935" s="15" t="s">
        <v>3650</v>
      </c>
      <c r="G935" s="60"/>
      <c r="H935" s="60"/>
      <c r="I935" s="60"/>
      <c r="J935" s="60"/>
      <c r="K935" s="60"/>
      <c r="L935" s="60"/>
      <c r="M935" s="60"/>
      <c r="N935" s="60"/>
      <c r="O935" s="60"/>
      <c r="P935" s="60"/>
      <c r="Q935" s="60"/>
      <c r="R935" s="60"/>
      <c r="S935" s="60"/>
      <c r="T935" s="60"/>
      <c r="U935" s="60"/>
      <c r="V935" s="60"/>
      <c r="W935" s="60"/>
      <c r="X935" s="60"/>
    </row>
    <row r="936">
      <c r="A936" s="15"/>
      <c r="B936" s="15"/>
      <c r="C936" s="15"/>
      <c r="D936" s="15"/>
      <c r="E936" s="15"/>
      <c r="F936" s="15" t="s">
        <v>3650</v>
      </c>
      <c r="G936" s="60"/>
      <c r="H936" s="60"/>
      <c r="I936" s="60"/>
      <c r="J936" s="60"/>
      <c r="K936" s="60"/>
      <c r="L936" s="60"/>
      <c r="M936" s="60"/>
      <c r="N936" s="60"/>
      <c r="O936" s="60"/>
      <c r="P936" s="60"/>
      <c r="Q936" s="60"/>
      <c r="R936" s="60"/>
      <c r="S936" s="60"/>
      <c r="T936" s="60"/>
      <c r="U936" s="60"/>
      <c r="V936" s="60"/>
      <c r="W936" s="60"/>
      <c r="X936" s="60"/>
    </row>
    <row r="937">
      <c r="A937" s="15"/>
      <c r="B937" s="15"/>
      <c r="C937" s="15"/>
      <c r="D937" s="15"/>
      <c r="E937" s="15"/>
      <c r="F937" s="15" t="s">
        <v>3650</v>
      </c>
      <c r="G937" s="60"/>
      <c r="H937" s="60"/>
      <c r="I937" s="60"/>
      <c r="J937" s="60"/>
      <c r="K937" s="60"/>
      <c r="L937" s="60"/>
      <c r="M937" s="60"/>
      <c r="N937" s="60"/>
      <c r="O937" s="60"/>
      <c r="P937" s="60"/>
      <c r="Q937" s="60"/>
      <c r="R937" s="60"/>
      <c r="S937" s="60"/>
      <c r="T937" s="60"/>
      <c r="U937" s="60"/>
      <c r="V937" s="60"/>
      <c r="W937" s="60"/>
      <c r="X937" s="60"/>
    </row>
    <row r="938">
      <c r="A938" s="15"/>
      <c r="B938" s="15"/>
      <c r="C938" s="15"/>
      <c r="D938" s="15"/>
      <c r="E938" s="15"/>
      <c r="F938" s="15" t="s">
        <v>3650</v>
      </c>
      <c r="G938" s="60"/>
      <c r="H938" s="60"/>
      <c r="I938" s="60"/>
      <c r="J938" s="60"/>
      <c r="K938" s="60"/>
      <c r="L938" s="60"/>
      <c r="M938" s="60"/>
      <c r="N938" s="60"/>
      <c r="O938" s="60"/>
      <c r="P938" s="60"/>
      <c r="Q938" s="60"/>
      <c r="R938" s="60"/>
      <c r="S938" s="60"/>
      <c r="T938" s="60"/>
      <c r="U938" s="60"/>
      <c r="V938" s="60"/>
      <c r="W938" s="60"/>
      <c r="X938" s="60"/>
    </row>
    <row r="939">
      <c r="A939" s="15"/>
      <c r="B939" s="15"/>
      <c r="C939" s="15"/>
      <c r="D939" s="15"/>
      <c r="E939" s="15"/>
      <c r="F939" s="15" t="s">
        <v>3650</v>
      </c>
      <c r="G939" s="60"/>
      <c r="H939" s="60"/>
      <c r="I939" s="60"/>
      <c r="J939" s="60"/>
      <c r="K939" s="60"/>
      <c r="L939" s="60"/>
      <c r="M939" s="60"/>
      <c r="N939" s="60"/>
      <c r="O939" s="60"/>
      <c r="P939" s="60"/>
      <c r="Q939" s="60"/>
      <c r="R939" s="60"/>
      <c r="S939" s="60"/>
      <c r="T939" s="60"/>
      <c r="U939" s="60"/>
      <c r="V939" s="60"/>
      <c r="W939" s="60"/>
      <c r="X939" s="60"/>
    </row>
    <row r="940">
      <c r="A940" s="15"/>
      <c r="B940" s="15"/>
      <c r="C940" s="15"/>
      <c r="D940" s="15"/>
      <c r="E940" s="15"/>
      <c r="F940" s="15" t="s">
        <v>3650</v>
      </c>
      <c r="G940" s="60"/>
      <c r="H940" s="60"/>
      <c r="I940" s="60"/>
      <c r="J940" s="60"/>
      <c r="K940" s="60"/>
      <c r="L940" s="60"/>
      <c r="M940" s="60"/>
      <c r="N940" s="60"/>
      <c r="O940" s="60"/>
      <c r="P940" s="60"/>
      <c r="Q940" s="60"/>
      <c r="R940" s="60"/>
      <c r="S940" s="60"/>
      <c r="T940" s="60"/>
      <c r="U940" s="60"/>
      <c r="V940" s="60"/>
      <c r="W940" s="60"/>
      <c r="X940" s="60"/>
    </row>
    <row r="941">
      <c r="A941" s="15"/>
      <c r="B941" s="15"/>
      <c r="C941" s="15"/>
      <c r="D941" s="15"/>
      <c r="E941" s="15"/>
      <c r="F941" s="15" t="s">
        <v>3650</v>
      </c>
      <c r="G941" s="60"/>
      <c r="H941" s="60"/>
      <c r="I941" s="60"/>
      <c r="J941" s="60"/>
      <c r="K941" s="60"/>
      <c r="L941" s="60"/>
      <c r="M941" s="60"/>
      <c r="N941" s="60"/>
      <c r="O941" s="60"/>
      <c r="P941" s="60"/>
      <c r="Q941" s="60"/>
      <c r="R941" s="60"/>
      <c r="S941" s="60"/>
      <c r="T941" s="60"/>
      <c r="U941" s="60"/>
      <c r="V941" s="60"/>
      <c r="W941" s="60"/>
      <c r="X941" s="60"/>
    </row>
    <row r="942">
      <c r="A942" s="15"/>
      <c r="B942" s="15"/>
      <c r="C942" s="15"/>
      <c r="D942" s="15"/>
      <c r="E942" s="15"/>
      <c r="F942" s="15" t="s">
        <v>3650</v>
      </c>
      <c r="G942" s="60"/>
      <c r="H942" s="60"/>
      <c r="I942" s="60"/>
      <c r="J942" s="60"/>
      <c r="K942" s="60"/>
      <c r="L942" s="60"/>
      <c r="M942" s="60"/>
      <c r="N942" s="60"/>
      <c r="O942" s="60"/>
      <c r="P942" s="60"/>
      <c r="Q942" s="60"/>
      <c r="R942" s="60"/>
      <c r="S942" s="60"/>
      <c r="T942" s="60"/>
      <c r="U942" s="60"/>
      <c r="V942" s="60"/>
      <c r="W942" s="60"/>
      <c r="X942" s="60"/>
    </row>
    <row r="943">
      <c r="A943" s="15"/>
      <c r="B943" s="15"/>
      <c r="C943" s="15"/>
      <c r="D943" s="15"/>
      <c r="E943" s="15"/>
      <c r="F943" s="15" t="s">
        <v>3650</v>
      </c>
      <c r="G943" s="60"/>
      <c r="H943" s="60"/>
      <c r="I943" s="60"/>
      <c r="J943" s="60"/>
      <c r="K943" s="60"/>
      <c r="L943" s="60"/>
      <c r="M943" s="60"/>
      <c r="N943" s="60"/>
      <c r="O943" s="60"/>
      <c r="P943" s="60"/>
      <c r="Q943" s="60"/>
      <c r="R943" s="60"/>
      <c r="S943" s="60"/>
      <c r="T943" s="60"/>
      <c r="U943" s="60"/>
      <c r="V943" s="60"/>
      <c r="W943" s="60"/>
      <c r="X943" s="60"/>
    </row>
    <row r="944">
      <c r="A944" s="15"/>
      <c r="B944" s="15"/>
      <c r="C944" s="15"/>
      <c r="D944" s="15"/>
      <c r="E944" s="15"/>
      <c r="F944" s="15" t="s">
        <v>3650</v>
      </c>
      <c r="G944" s="60"/>
      <c r="H944" s="60"/>
      <c r="I944" s="60"/>
      <c r="J944" s="60"/>
      <c r="K944" s="60"/>
      <c r="L944" s="60"/>
      <c r="M944" s="60"/>
      <c r="N944" s="60"/>
      <c r="O944" s="60"/>
      <c r="P944" s="60"/>
      <c r="Q944" s="60"/>
      <c r="R944" s="60"/>
      <c r="S944" s="60"/>
      <c r="T944" s="60"/>
      <c r="U944" s="60"/>
      <c r="V944" s="60"/>
      <c r="W944" s="60"/>
      <c r="X944" s="60"/>
    </row>
    <row r="945">
      <c r="A945" s="15"/>
      <c r="B945" s="15"/>
      <c r="C945" s="15"/>
      <c r="D945" s="15"/>
      <c r="E945" s="15"/>
      <c r="F945" s="15" t="s">
        <v>3650</v>
      </c>
      <c r="G945" s="60"/>
      <c r="H945" s="60"/>
      <c r="I945" s="60"/>
      <c r="J945" s="60"/>
      <c r="K945" s="60"/>
      <c r="L945" s="60"/>
      <c r="M945" s="60"/>
      <c r="N945" s="60"/>
      <c r="O945" s="60"/>
      <c r="P945" s="60"/>
      <c r="Q945" s="60"/>
      <c r="R945" s="60"/>
      <c r="S945" s="60"/>
      <c r="T945" s="60"/>
      <c r="U945" s="60"/>
      <c r="V945" s="60"/>
      <c r="W945" s="60"/>
      <c r="X945" s="60"/>
    </row>
    <row r="946">
      <c r="A946" s="15"/>
      <c r="B946" s="15"/>
      <c r="C946" s="15"/>
      <c r="D946" s="15"/>
      <c r="E946" s="15"/>
      <c r="F946" s="15" t="s">
        <v>3650</v>
      </c>
      <c r="G946" s="60"/>
      <c r="H946" s="60"/>
      <c r="I946" s="60"/>
      <c r="J946" s="60"/>
      <c r="K946" s="60"/>
      <c r="L946" s="60"/>
      <c r="M946" s="60"/>
      <c r="N946" s="60"/>
      <c r="O946" s="60"/>
      <c r="P946" s="60"/>
      <c r="Q946" s="60"/>
      <c r="R946" s="60"/>
      <c r="S946" s="60"/>
      <c r="T946" s="60"/>
      <c r="U946" s="60"/>
      <c r="V946" s="60"/>
      <c r="W946" s="60"/>
      <c r="X946" s="60"/>
    </row>
    <row r="947">
      <c r="A947" s="15"/>
      <c r="B947" s="15"/>
      <c r="C947" s="15"/>
      <c r="D947" s="15"/>
      <c r="E947" s="15"/>
      <c r="F947" s="15" t="s">
        <v>3650</v>
      </c>
      <c r="G947" s="60"/>
      <c r="H947" s="60"/>
      <c r="I947" s="60"/>
      <c r="J947" s="60"/>
      <c r="K947" s="60"/>
      <c r="L947" s="60"/>
      <c r="M947" s="60"/>
      <c r="N947" s="60"/>
      <c r="O947" s="60"/>
      <c r="P947" s="60"/>
      <c r="Q947" s="60"/>
      <c r="R947" s="60"/>
      <c r="S947" s="60"/>
      <c r="T947" s="60"/>
      <c r="U947" s="60"/>
      <c r="V947" s="60"/>
      <c r="W947" s="60"/>
      <c r="X947" s="60"/>
    </row>
    <row r="948">
      <c r="A948" s="15"/>
      <c r="B948" s="15"/>
      <c r="C948" s="15"/>
      <c r="D948" s="15"/>
      <c r="E948" s="15"/>
      <c r="F948" s="15" t="s">
        <v>3650</v>
      </c>
      <c r="G948" s="60"/>
      <c r="H948" s="60"/>
      <c r="I948" s="60"/>
      <c r="J948" s="60"/>
      <c r="K948" s="60"/>
      <c r="L948" s="60"/>
      <c r="M948" s="60"/>
      <c r="N948" s="60"/>
      <c r="O948" s="60"/>
      <c r="P948" s="60"/>
      <c r="Q948" s="60"/>
      <c r="R948" s="60"/>
      <c r="S948" s="60"/>
      <c r="T948" s="60"/>
      <c r="U948" s="60"/>
      <c r="V948" s="60"/>
      <c r="W948" s="60"/>
      <c r="X948" s="60"/>
    </row>
    <row r="949">
      <c r="A949" s="15"/>
      <c r="B949" s="15"/>
      <c r="C949" s="15"/>
      <c r="D949" s="15"/>
      <c r="E949" s="15"/>
      <c r="F949" s="15" t="s">
        <v>3650</v>
      </c>
      <c r="G949" s="60"/>
      <c r="H949" s="60"/>
      <c r="I949" s="60"/>
      <c r="J949" s="60"/>
      <c r="K949" s="60"/>
      <c r="L949" s="60"/>
      <c r="M949" s="60"/>
      <c r="N949" s="60"/>
      <c r="O949" s="60"/>
      <c r="P949" s="60"/>
      <c r="Q949" s="60"/>
      <c r="R949" s="60"/>
      <c r="S949" s="60"/>
      <c r="T949" s="60"/>
      <c r="U949" s="60"/>
      <c r="V949" s="60"/>
      <c r="W949" s="60"/>
      <c r="X949" s="60"/>
    </row>
    <row r="950">
      <c r="A950" s="15"/>
      <c r="B950" s="15"/>
      <c r="C950" s="15"/>
      <c r="D950" s="15"/>
      <c r="E950" s="15"/>
      <c r="F950" s="15" t="s">
        <v>3650</v>
      </c>
      <c r="G950" s="60"/>
      <c r="H950" s="60"/>
      <c r="I950" s="60"/>
      <c r="J950" s="60"/>
      <c r="K950" s="60"/>
      <c r="L950" s="60"/>
      <c r="M950" s="60"/>
      <c r="N950" s="60"/>
      <c r="O950" s="60"/>
      <c r="P950" s="60"/>
      <c r="Q950" s="60"/>
      <c r="R950" s="60"/>
      <c r="S950" s="60"/>
      <c r="T950" s="60"/>
      <c r="U950" s="60"/>
      <c r="V950" s="60"/>
      <c r="W950" s="60"/>
      <c r="X950" s="60"/>
    </row>
    <row r="951">
      <c r="A951" s="15"/>
      <c r="B951" s="15"/>
      <c r="C951" s="15"/>
      <c r="D951" s="15"/>
      <c r="E951" s="15"/>
      <c r="F951" s="15" t="s">
        <v>3650</v>
      </c>
      <c r="G951" s="60"/>
      <c r="H951" s="60"/>
      <c r="I951" s="60"/>
      <c r="J951" s="60"/>
      <c r="K951" s="60"/>
      <c r="L951" s="60"/>
      <c r="M951" s="60"/>
      <c r="N951" s="60"/>
      <c r="O951" s="60"/>
      <c r="P951" s="60"/>
      <c r="Q951" s="60"/>
      <c r="R951" s="60"/>
      <c r="S951" s="60"/>
      <c r="T951" s="60"/>
      <c r="U951" s="60"/>
      <c r="V951" s="60"/>
      <c r="W951" s="60"/>
      <c r="X951" s="60"/>
    </row>
    <row r="952">
      <c r="A952" s="15"/>
      <c r="B952" s="15"/>
      <c r="C952" s="15"/>
      <c r="D952" s="15"/>
      <c r="E952" s="15"/>
      <c r="F952" s="15" t="s">
        <v>3650</v>
      </c>
      <c r="G952" s="60"/>
      <c r="H952" s="60"/>
      <c r="I952" s="60"/>
      <c r="J952" s="60"/>
      <c r="K952" s="60"/>
      <c r="L952" s="60"/>
      <c r="M952" s="60"/>
      <c r="N952" s="60"/>
      <c r="O952" s="60"/>
      <c r="P952" s="60"/>
      <c r="Q952" s="60"/>
      <c r="R952" s="60"/>
      <c r="S952" s="60"/>
      <c r="T952" s="60"/>
      <c r="U952" s="60"/>
      <c r="V952" s="60"/>
      <c r="W952" s="60"/>
      <c r="X952" s="60"/>
    </row>
    <row r="953">
      <c r="A953" s="15"/>
      <c r="B953" s="15"/>
      <c r="C953" s="15"/>
      <c r="D953" s="15"/>
      <c r="E953" s="15"/>
      <c r="F953" s="15" t="s">
        <v>3650</v>
      </c>
      <c r="G953" s="60"/>
      <c r="H953" s="60"/>
      <c r="I953" s="60"/>
      <c r="J953" s="60"/>
      <c r="K953" s="60"/>
      <c r="L953" s="60"/>
      <c r="M953" s="60"/>
      <c r="N953" s="60"/>
      <c r="O953" s="60"/>
      <c r="P953" s="60"/>
      <c r="Q953" s="60"/>
      <c r="R953" s="60"/>
      <c r="S953" s="60"/>
      <c r="T953" s="60"/>
      <c r="U953" s="60"/>
      <c r="V953" s="60"/>
      <c r="W953" s="60"/>
      <c r="X953" s="60"/>
    </row>
    <row r="954">
      <c r="A954" s="15"/>
      <c r="B954" s="15"/>
      <c r="C954" s="15"/>
      <c r="D954" s="15"/>
      <c r="E954" s="15"/>
      <c r="F954" s="15" t="s">
        <v>3650</v>
      </c>
      <c r="G954" s="60"/>
      <c r="H954" s="60"/>
      <c r="I954" s="60"/>
      <c r="J954" s="60"/>
      <c r="K954" s="60"/>
      <c r="L954" s="60"/>
      <c r="M954" s="60"/>
      <c r="N954" s="60"/>
      <c r="O954" s="60"/>
      <c r="P954" s="60"/>
      <c r="Q954" s="60"/>
      <c r="R954" s="60"/>
      <c r="S954" s="60"/>
      <c r="T954" s="60"/>
      <c r="U954" s="60"/>
      <c r="V954" s="60"/>
      <c r="W954" s="60"/>
      <c r="X954" s="60"/>
    </row>
    <row r="955">
      <c r="A955" s="15"/>
      <c r="B955" s="15"/>
      <c r="C955" s="15"/>
      <c r="D955" s="15"/>
      <c r="E955" s="15"/>
      <c r="F955" s="15" t="s">
        <v>3650</v>
      </c>
      <c r="G955" s="60"/>
      <c r="H955" s="60"/>
      <c r="I955" s="60"/>
      <c r="J955" s="60"/>
      <c r="K955" s="60"/>
      <c r="L955" s="60"/>
      <c r="M955" s="60"/>
      <c r="N955" s="60"/>
      <c r="O955" s="60"/>
      <c r="P955" s="60"/>
      <c r="Q955" s="60"/>
      <c r="R955" s="60"/>
      <c r="S955" s="60"/>
      <c r="T955" s="60"/>
      <c r="U955" s="60"/>
      <c r="V955" s="60"/>
      <c r="W955" s="60"/>
      <c r="X955" s="60"/>
    </row>
    <row r="956">
      <c r="A956" s="15"/>
      <c r="B956" s="15"/>
      <c r="C956" s="15"/>
      <c r="D956" s="15"/>
      <c r="E956" s="15"/>
      <c r="F956" s="15" t="s">
        <v>3650</v>
      </c>
      <c r="G956" s="60"/>
      <c r="H956" s="60"/>
      <c r="I956" s="60"/>
      <c r="J956" s="60"/>
      <c r="K956" s="60"/>
      <c r="L956" s="60"/>
      <c r="M956" s="60"/>
      <c r="N956" s="60"/>
      <c r="O956" s="60"/>
      <c r="P956" s="60"/>
      <c r="Q956" s="60"/>
      <c r="R956" s="60"/>
      <c r="S956" s="60"/>
      <c r="T956" s="60"/>
      <c r="U956" s="60"/>
      <c r="V956" s="60"/>
      <c r="W956" s="60"/>
      <c r="X956" s="60"/>
    </row>
    <row r="957">
      <c r="A957" s="15"/>
      <c r="B957" s="15"/>
      <c r="C957" s="15"/>
      <c r="D957" s="15"/>
      <c r="E957" s="15"/>
      <c r="F957" s="15" t="s">
        <v>3650</v>
      </c>
      <c r="G957" s="60"/>
      <c r="H957" s="60"/>
      <c r="I957" s="60"/>
      <c r="J957" s="60"/>
      <c r="K957" s="60"/>
      <c r="L957" s="60"/>
      <c r="M957" s="60"/>
      <c r="N957" s="60"/>
      <c r="O957" s="60"/>
      <c r="P957" s="60"/>
      <c r="Q957" s="60"/>
      <c r="R957" s="60"/>
      <c r="S957" s="60"/>
      <c r="T957" s="60"/>
      <c r="U957" s="60"/>
      <c r="V957" s="60"/>
      <c r="W957" s="60"/>
      <c r="X957" s="60"/>
    </row>
    <row r="958">
      <c r="A958" s="15"/>
      <c r="B958" s="15"/>
      <c r="C958" s="15"/>
      <c r="D958" s="15"/>
      <c r="E958" s="15"/>
      <c r="F958" s="15" t="s">
        <v>3650</v>
      </c>
      <c r="G958" s="60"/>
      <c r="H958" s="60"/>
      <c r="I958" s="60"/>
      <c r="J958" s="60"/>
      <c r="K958" s="60"/>
      <c r="L958" s="60"/>
      <c r="M958" s="60"/>
      <c r="N958" s="60"/>
      <c r="O958" s="60"/>
      <c r="P958" s="60"/>
      <c r="Q958" s="60"/>
      <c r="R958" s="60"/>
      <c r="S958" s="60"/>
      <c r="T958" s="60"/>
      <c r="U958" s="60"/>
      <c r="V958" s="60"/>
      <c r="W958" s="60"/>
      <c r="X958" s="60"/>
    </row>
    <row r="959">
      <c r="A959" s="15"/>
      <c r="B959" s="15"/>
      <c r="C959" s="15"/>
      <c r="D959" s="15"/>
      <c r="E959" s="15"/>
      <c r="F959" s="15" t="s">
        <v>3650</v>
      </c>
      <c r="G959" s="60"/>
      <c r="H959" s="60"/>
      <c r="I959" s="60"/>
      <c r="J959" s="60"/>
      <c r="K959" s="60"/>
      <c r="L959" s="60"/>
      <c r="M959" s="60"/>
      <c r="N959" s="60"/>
      <c r="O959" s="60"/>
      <c r="P959" s="60"/>
      <c r="Q959" s="60"/>
      <c r="R959" s="60"/>
      <c r="S959" s="60"/>
      <c r="T959" s="60"/>
      <c r="U959" s="60"/>
      <c r="V959" s="60"/>
      <c r="W959" s="60"/>
      <c r="X959" s="60"/>
    </row>
    <row r="960">
      <c r="A960" s="15"/>
      <c r="B960" s="15"/>
      <c r="C960" s="15"/>
      <c r="D960" s="15"/>
      <c r="E960" s="15"/>
      <c r="F960" s="15" t="s">
        <v>3650</v>
      </c>
      <c r="G960" s="60"/>
      <c r="H960" s="60"/>
      <c r="I960" s="60"/>
      <c r="J960" s="60"/>
      <c r="K960" s="60"/>
      <c r="L960" s="60"/>
      <c r="M960" s="60"/>
      <c r="N960" s="60"/>
      <c r="O960" s="60"/>
      <c r="P960" s="60"/>
      <c r="Q960" s="60"/>
      <c r="R960" s="60"/>
      <c r="S960" s="60"/>
      <c r="T960" s="60"/>
      <c r="U960" s="60"/>
      <c r="V960" s="60"/>
      <c r="W960" s="60"/>
      <c r="X960" s="60"/>
    </row>
    <row r="961">
      <c r="A961" s="15"/>
      <c r="B961" s="15"/>
      <c r="C961" s="15"/>
      <c r="D961" s="15"/>
      <c r="E961" s="15"/>
      <c r="F961" s="15" t="s">
        <v>3650</v>
      </c>
      <c r="G961" s="60"/>
      <c r="H961" s="60"/>
      <c r="I961" s="60"/>
      <c r="J961" s="60"/>
      <c r="K961" s="60"/>
      <c r="L961" s="60"/>
      <c r="M961" s="60"/>
      <c r="N961" s="60"/>
      <c r="O961" s="60"/>
      <c r="P961" s="60"/>
      <c r="Q961" s="60"/>
      <c r="R961" s="60"/>
      <c r="S961" s="60"/>
      <c r="T961" s="60"/>
      <c r="U961" s="60"/>
      <c r="V961" s="60"/>
      <c r="W961" s="60"/>
      <c r="X961" s="60"/>
    </row>
    <row r="962">
      <c r="A962" s="15"/>
      <c r="B962" s="15"/>
      <c r="C962" s="15"/>
      <c r="D962" s="15"/>
      <c r="E962" s="15"/>
      <c r="F962" s="15" t="s">
        <v>3650</v>
      </c>
      <c r="G962" s="60"/>
      <c r="H962" s="60"/>
      <c r="I962" s="60"/>
      <c r="J962" s="60"/>
      <c r="K962" s="60"/>
      <c r="L962" s="60"/>
      <c r="M962" s="60"/>
      <c r="N962" s="60"/>
      <c r="O962" s="60"/>
      <c r="P962" s="60"/>
      <c r="Q962" s="60"/>
      <c r="R962" s="60"/>
      <c r="S962" s="60"/>
      <c r="T962" s="60"/>
      <c r="U962" s="60"/>
      <c r="V962" s="60"/>
      <c r="W962" s="60"/>
      <c r="X962" s="60"/>
    </row>
    <row r="963">
      <c r="A963" s="15"/>
      <c r="B963" s="15"/>
      <c r="C963" s="15"/>
      <c r="D963" s="15"/>
      <c r="E963" s="15"/>
      <c r="F963" s="15" t="s">
        <v>3650</v>
      </c>
      <c r="G963" s="60"/>
      <c r="H963" s="60"/>
      <c r="I963" s="60"/>
      <c r="J963" s="60"/>
      <c r="K963" s="60"/>
      <c r="L963" s="60"/>
      <c r="M963" s="60"/>
      <c r="N963" s="60"/>
      <c r="O963" s="60"/>
      <c r="P963" s="60"/>
      <c r="Q963" s="60"/>
      <c r="R963" s="60"/>
      <c r="S963" s="60"/>
      <c r="T963" s="60"/>
      <c r="U963" s="60"/>
      <c r="V963" s="60"/>
      <c r="W963" s="60"/>
      <c r="X963" s="60"/>
    </row>
    <row r="964">
      <c r="A964" s="15"/>
      <c r="B964" s="15"/>
      <c r="C964" s="15"/>
      <c r="D964" s="15"/>
      <c r="E964" s="15"/>
      <c r="F964" s="15" t="s">
        <v>3650</v>
      </c>
      <c r="G964" s="60"/>
      <c r="H964" s="60"/>
      <c r="I964" s="60"/>
      <c r="J964" s="60"/>
      <c r="K964" s="60"/>
      <c r="L964" s="60"/>
      <c r="M964" s="60"/>
      <c r="N964" s="60"/>
      <c r="O964" s="60"/>
      <c r="P964" s="60"/>
      <c r="Q964" s="60"/>
      <c r="R964" s="60"/>
      <c r="S964" s="60"/>
      <c r="T964" s="60"/>
      <c r="U964" s="60"/>
      <c r="V964" s="60"/>
      <c r="W964" s="60"/>
      <c r="X964" s="60"/>
    </row>
    <row r="965">
      <c r="A965" s="15"/>
      <c r="B965" s="15"/>
      <c r="C965" s="15"/>
      <c r="D965" s="15"/>
      <c r="E965" s="15"/>
      <c r="F965" s="15" t="s">
        <v>3650</v>
      </c>
      <c r="G965" s="60"/>
      <c r="H965" s="60"/>
      <c r="I965" s="60"/>
      <c r="J965" s="60"/>
      <c r="K965" s="60"/>
      <c r="L965" s="60"/>
      <c r="M965" s="60"/>
      <c r="N965" s="60"/>
      <c r="O965" s="60"/>
      <c r="P965" s="60"/>
      <c r="Q965" s="60"/>
      <c r="R965" s="60"/>
      <c r="S965" s="60"/>
      <c r="T965" s="60"/>
      <c r="U965" s="60"/>
      <c r="V965" s="60"/>
      <c r="W965" s="60"/>
      <c r="X965" s="60"/>
    </row>
    <row r="966">
      <c r="A966" s="15"/>
      <c r="B966" s="15"/>
      <c r="C966" s="15"/>
      <c r="D966" s="15"/>
      <c r="E966" s="15"/>
      <c r="F966" s="15" t="s">
        <v>3650</v>
      </c>
      <c r="G966" s="60"/>
      <c r="H966" s="60"/>
      <c r="I966" s="60"/>
      <c r="J966" s="60"/>
      <c r="K966" s="60"/>
      <c r="L966" s="60"/>
      <c r="M966" s="60"/>
      <c r="N966" s="60"/>
      <c r="O966" s="60"/>
      <c r="P966" s="60"/>
      <c r="Q966" s="60"/>
      <c r="R966" s="60"/>
      <c r="S966" s="60"/>
      <c r="T966" s="60"/>
      <c r="U966" s="60"/>
      <c r="V966" s="60"/>
      <c r="W966" s="60"/>
      <c r="X966" s="60"/>
    </row>
    <row r="967">
      <c r="A967" s="15"/>
      <c r="B967" s="15"/>
      <c r="C967" s="15"/>
      <c r="D967" s="15"/>
      <c r="E967" s="15"/>
      <c r="F967" s="15" t="s">
        <v>3650</v>
      </c>
      <c r="G967" s="60"/>
      <c r="H967" s="60"/>
      <c r="I967" s="60"/>
      <c r="J967" s="60"/>
      <c r="K967" s="60"/>
      <c r="L967" s="60"/>
      <c r="M967" s="60"/>
      <c r="N967" s="60"/>
      <c r="O967" s="60"/>
      <c r="P967" s="60"/>
      <c r="Q967" s="60"/>
      <c r="R967" s="60"/>
      <c r="S967" s="60"/>
      <c r="T967" s="60"/>
      <c r="U967" s="60"/>
      <c r="V967" s="60"/>
      <c r="W967" s="60"/>
      <c r="X967" s="60"/>
    </row>
    <row r="968">
      <c r="A968" s="15"/>
      <c r="B968" s="15"/>
      <c r="C968" s="15"/>
      <c r="D968" s="15"/>
      <c r="E968" s="15"/>
      <c r="F968" s="15" t="s">
        <v>3650</v>
      </c>
      <c r="G968" s="60"/>
      <c r="H968" s="60"/>
      <c r="I968" s="60"/>
      <c r="J968" s="60"/>
      <c r="K968" s="60"/>
      <c r="L968" s="60"/>
      <c r="M968" s="60"/>
      <c r="N968" s="60"/>
      <c r="O968" s="60"/>
      <c r="P968" s="60"/>
      <c r="Q968" s="60"/>
      <c r="R968" s="60"/>
      <c r="S968" s="60"/>
      <c r="T968" s="60"/>
      <c r="U968" s="60"/>
      <c r="V968" s="60"/>
      <c r="W968" s="60"/>
      <c r="X968" s="60"/>
    </row>
    <row r="969">
      <c r="A969" s="15"/>
      <c r="B969" s="15"/>
      <c r="C969" s="15"/>
      <c r="D969" s="15"/>
      <c r="E969" s="15"/>
      <c r="F969" s="15" t="s">
        <v>3650</v>
      </c>
      <c r="G969" s="60"/>
      <c r="H969" s="60"/>
      <c r="I969" s="60"/>
      <c r="J969" s="60"/>
      <c r="K969" s="60"/>
      <c r="L969" s="60"/>
      <c r="M969" s="60"/>
      <c r="N969" s="60"/>
      <c r="O969" s="60"/>
      <c r="P969" s="60"/>
      <c r="Q969" s="60"/>
      <c r="R969" s="60"/>
      <c r="S969" s="60"/>
      <c r="T969" s="60"/>
      <c r="U969" s="60"/>
      <c r="V969" s="60"/>
      <c r="W969" s="60"/>
      <c r="X969" s="60"/>
    </row>
    <row r="970">
      <c r="A970" s="15"/>
      <c r="B970" s="15"/>
      <c r="C970" s="15"/>
      <c r="D970" s="15"/>
      <c r="E970" s="15"/>
      <c r="F970" s="15" t="s">
        <v>3650</v>
      </c>
      <c r="G970" s="60"/>
      <c r="H970" s="60"/>
      <c r="I970" s="60"/>
      <c r="J970" s="60"/>
      <c r="K970" s="60"/>
      <c r="L970" s="60"/>
      <c r="M970" s="60"/>
      <c r="N970" s="60"/>
      <c r="O970" s="60"/>
      <c r="P970" s="60"/>
      <c r="Q970" s="60"/>
      <c r="R970" s="60"/>
      <c r="S970" s="60"/>
      <c r="T970" s="60"/>
      <c r="U970" s="60"/>
      <c r="V970" s="60"/>
      <c r="W970" s="60"/>
      <c r="X970" s="60"/>
    </row>
    <row r="971">
      <c r="A971" s="15"/>
      <c r="B971" s="15"/>
      <c r="C971" s="15"/>
      <c r="D971" s="15"/>
      <c r="E971" s="15"/>
      <c r="F971" s="15" t="s">
        <v>3650</v>
      </c>
      <c r="G971" s="60"/>
      <c r="H971" s="60"/>
      <c r="I971" s="60"/>
      <c r="J971" s="60"/>
      <c r="K971" s="60"/>
      <c r="L971" s="60"/>
      <c r="M971" s="60"/>
      <c r="N971" s="60"/>
      <c r="O971" s="60"/>
      <c r="P971" s="60"/>
      <c r="Q971" s="60"/>
      <c r="R971" s="60"/>
      <c r="S971" s="60"/>
      <c r="T971" s="60"/>
      <c r="U971" s="60"/>
      <c r="V971" s="60"/>
      <c r="W971" s="60"/>
      <c r="X971" s="60"/>
    </row>
    <row r="972">
      <c r="A972" s="15"/>
      <c r="B972" s="15"/>
      <c r="C972" s="15"/>
      <c r="D972" s="15"/>
      <c r="E972" s="15"/>
      <c r="F972" s="15" t="s">
        <v>3650</v>
      </c>
      <c r="G972" s="60"/>
      <c r="H972" s="60"/>
      <c r="I972" s="60"/>
      <c r="J972" s="60"/>
      <c r="K972" s="60"/>
      <c r="L972" s="60"/>
      <c r="M972" s="60"/>
      <c r="N972" s="60"/>
      <c r="O972" s="60"/>
      <c r="P972" s="60"/>
      <c r="Q972" s="60"/>
      <c r="R972" s="60"/>
      <c r="S972" s="60"/>
      <c r="T972" s="60"/>
      <c r="U972" s="60"/>
      <c r="V972" s="60"/>
      <c r="W972" s="60"/>
      <c r="X972" s="60"/>
    </row>
    <row r="973">
      <c r="A973" s="15"/>
      <c r="B973" s="15"/>
      <c r="C973" s="15"/>
      <c r="D973" s="15"/>
      <c r="E973" s="15"/>
      <c r="F973" s="15" t="s">
        <v>3650</v>
      </c>
      <c r="G973" s="60"/>
      <c r="H973" s="60"/>
      <c r="I973" s="60"/>
      <c r="J973" s="60"/>
      <c r="K973" s="60"/>
      <c r="L973" s="60"/>
      <c r="M973" s="60"/>
      <c r="N973" s="60"/>
      <c r="O973" s="60"/>
      <c r="P973" s="60"/>
      <c r="Q973" s="60"/>
      <c r="R973" s="60"/>
      <c r="S973" s="60"/>
      <c r="T973" s="60"/>
      <c r="U973" s="60"/>
      <c r="V973" s="60"/>
      <c r="W973" s="60"/>
      <c r="X973" s="60"/>
    </row>
    <row r="974">
      <c r="A974" s="15"/>
      <c r="B974" s="15"/>
      <c r="C974" s="15"/>
      <c r="D974" s="15"/>
      <c r="E974" s="15"/>
      <c r="F974" s="15" t="s">
        <v>3650</v>
      </c>
      <c r="G974" s="60"/>
      <c r="H974" s="60"/>
      <c r="I974" s="60"/>
      <c r="J974" s="60"/>
      <c r="K974" s="60"/>
      <c r="L974" s="60"/>
      <c r="M974" s="60"/>
      <c r="N974" s="60"/>
      <c r="O974" s="60"/>
      <c r="P974" s="60"/>
      <c r="Q974" s="60"/>
      <c r="R974" s="60"/>
      <c r="S974" s="60"/>
      <c r="T974" s="60"/>
      <c r="U974" s="60"/>
      <c r="V974" s="60"/>
      <c r="W974" s="60"/>
      <c r="X974" s="60"/>
    </row>
    <row r="975">
      <c r="A975" s="15"/>
      <c r="B975" s="15"/>
      <c r="C975" s="15"/>
      <c r="D975" s="15"/>
      <c r="E975" s="15"/>
      <c r="F975" s="15" t="s">
        <v>3650</v>
      </c>
      <c r="G975" s="60"/>
      <c r="H975" s="60"/>
      <c r="I975" s="60"/>
      <c r="J975" s="60"/>
      <c r="K975" s="60"/>
      <c r="L975" s="60"/>
      <c r="M975" s="60"/>
      <c r="N975" s="60"/>
      <c r="O975" s="60"/>
      <c r="P975" s="60"/>
      <c r="Q975" s="60"/>
      <c r="R975" s="60"/>
      <c r="S975" s="60"/>
      <c r="T975" s="60"/>
      <c r="U975" s="60"/>
      <c r="V975" s="60"/>
      <c r="W975" s="60"/>
      <c r="X975" s="60"/>
    </row>
    <row r="976">
      <c r="A976" s="15"/>
      <c r="B976" s="15"/>
      <c r="C976" s="15"/>
      <c r="D976" s="15"/>
      <c r="E976" s="15"/>
      <c r="F976" s="15" t="s">
        <v>3650</v>
      </c>
      <c r="G976" s="60"/>
      <c r="H976" s="60"/>
      <c r="I976" s="60"/>
      <c r="J976" s="60"/>
      <c r="K976" s="60"/>
      <c r="L976" s="60"/>
      <c r="M976" s="60"/>
      <c r="N976" s="60"/>
      <c r="O976" s="60"/>
      <c r="P976" s="60"/>
      <c r="Q976" s="60"/>
      <c r="R976" s="60"/>
      <c r="S976" s="60"/>
      <c r="T976" s="60"/>
      <c r="U976" s="60"/>
      <c r="V976" s="60"/>
      <c r="W976" s="60"/>
      <c r="X976" s="60"/>
    </row>
    <row r="977">
      <c r="A977" s="15"/>
      <c r="B977" s="15"/>
      <c r="C977" s="15"/>
      <c r="D977" s="15"/>
      <c r="E977" s="15"/>
      <c r="F977" s="15" t="s">
        <v>3650</v>
      </c>
      <c r="G977" s="60"/>
      <c r="H977" s="60"/>
      <c r="I977" s="60"/>
      <c r="J977" s="60"/>
      <c r="K977" s="60"/>
      <c r="L977" s="60"/>
      <c r="M977" s="60"/>
      <c r="N977" s="60"/>
      <c r="O977" s="60"/>
      <c r="P977" s="60"/>
      <c r="Q977" s="60"/>
      <c r="R977" s="60"/>
      <c r="S977" s="60"/>
      <c r="T977" s="60"/>
      <c r="U977" s="60"/>
      <c r="V977" s="60"/>
      <c r="W977" s="60"/>
      <c r="X977" s="60"/>
    </row>
    <row r="978">
      <c r="A978" s="15"/>
      <c r="B978" s="15"/>
      <c r="C978" s="15"/>
      <c r="D978" s="15"/>
      <c r="E978" s="15"/>
      <c r="F978" s="15" t="s">
        <v>3650</v>
      </c>
      <c r="G978" s="60"/>
      <c r="H978" s="60"/>
      <c r="I978" s="60"/>
      <c r="J978" s="60"/>
      <c r="K978" s="60"/>
      <c r="L978" s="60"/>
      <c r="M978" s="60"/>
      <c r="N978" s="60"/>
      <c r="O978" s="60"/>
      <c r="P978" s="60"/>
      <c r="Q978" s="60"/>
      <c r="R978" s="60"/>
      <c r="S978" s="60"/>
      <c r="T978" s="60"/>
      <c r="U978" s="60"/>
      <c r="V978" s="60"/>
      <c r="W978" s="60"/>
      <c r="X978" s="60"/>
    </row>
    <row r="979">
      <c r="A979" s="15"/>
      <c r="B979" s="15"/>
      <c r="C979" s="15"/>
      <c r="D979" s="15"/>
      <c r="E979" s="15"/>
      <c r="F979" s="15" t="s">
        <v>3650</v>
      </c>
      <c r="G979" s="60"/>
      <c r="H979" s="60"/>
      <c r="I979" s="60"/>
      <c r="J979" s="60"/>
      <c r="K979" s="60"/>
      <c r="L979" s="60"/>
      <c r="M979" s="60"/>
      <c r="N979" s="60"/>
      <c r="O979" s="60"/>
      <c r="P979" s="60"/>
      <c r="Q979" s="60"/>
      <c r="R979" s="60"/>
      <c r="S979" s="60"/>
      <c r="T979" s="60"/>
      <c r="U979" s="60"/>
      <c r="V979" s="60"/>
      <c r="W979" s="60"/>
      <c r="X979" s="60"/>
    </row>
    <row r="980">
      <c r="A980" s="15"/>
      <c r="B980" s="15"/>
      <c r="C980" s="15"/>
      <c r="D980" s="15"/>
      <c r="E980" s="15"/>
      <c r="F980" s="15" t="s">
        <v>3650</v>
      </c>
      <c r="G980" s="60"/>
      <c r="H980" s="60"/>
      <c r="I980" s="60"/>
      <c r="J980" s="60"/>
      <c r="K980" s="60"/>
      <c r="L980" s="60"/>
      <c r="M980" s="60"/>
      <c r="N980" s="60"/>
      <c r="O980" s="60"/>
      <c r="P980" s="60"/>
      <c r="Q980" s="60"/>
      <c r="R980" s="60"/>
      <c r="S980" s="60"/>
      <c r="T980" s="60"/>
      <c r="U980" s="60"/>
      <c r="V980" s="60"/>
      <c r="W980" s="60"/>
      <c r="X980" s="60"/>
    </row>
    <row r="981">
      <c r="A981" s="15"/>
      <c r="B981" s="15"/>
      <c r="C981" s="15"/>
      <c r="D981" s="15"/>
      <c r="E981" s="15"/>
      <c r="F981" s="15" t="s">
        <v>3650</v>
      </c>
      <c r="G981" s="60"/>
      <c r="H981" s="60"/>
      <c r="I981" s="60"/>
      <c r="J981" s="60"/>
      <c r="K981" s="60"/>
      <c r="L981" s="60"/>
      <c r="M981" s="60"/>
      <c r="N981" s="60"/>
      <c r="O981" s="60"/>
      <c r="P981" s="60"/>
      <c r="Q981" s="60"/>
      <c r="R981" s="60"/>
      <c r="S981" s="60"/>
      <c r="T981" s="60"/>
      <c r="U981" s="60"/>
      <c r="V981" s="60"/>
      <c r="W981" s="60"/>
      <c r="X981" s="60"/>
    </row>
    <row r="982">
      <c r="A982" s="15"/>
      <c r="B982" s="15"/>
      <c r="C982" s="15"/>
      <c r="D982" s="15"/>
      <c r="E982" s="15"/>
      <c r="F982" s="15" t="s">
        <v>3650</v>
      </c>
      <c r="G982" s="60"/>
      <c r="H982" s="60"/>
      <c r="I982" s="60"/>
      <c r="J982" s="60"/>
      <c r="K982" s="60"/>
      <c r="L982" s="60"/>
      <c r="M982" s="60"/>
      <c r="N982" s="60"/>
      <c r="O982" s="60"/>
      <c r="P982" s="60"/>
      <c r="Q982" s="60"/>
      <c r="R982" s="60"/>
      <c r="S982" s="60"/>
      <c r="T982" s="60"/>
      <c r="U982" s="60"/>
      <c r="V982" s="60"/>
      <c r="W982" s="60"/>
      <c r="X982" s="60"/>
    </row>
    <row r="983">
      <c r="A983" s="15"/>
      <c r="B983" s="15"/>
      <c r="C983" s="15"/>
      <c r="D983" s="15"/>
      <c r="E983" s="15"/>
      <c r="F983" s="15" t="s">
        <v>3650</v>
      </c>
      <c r="G983" s="60"/>
      <c r="H983" s="60"/>
      <c r="I983" s="60"/>
      <c r="J983" s="60"/>
      <c r="K983" s="60"/>
      <c r="L983" s="60"/>
      <c r="M983" s="60"/>
      <c r="N983" s="60"/>
      <c r="O983" s="60"/>
      <c r="P983" s="60"/>
      <c r="Q983" s="60"/>
      <c r="R983" s="60"/>
      <c r="S983" s="60"/>
      <c r="T983" s="60"/>
      <c r="U983" s="60"/>
      <c r="V983" s="60"/>
      <c r="W983" s="60"/>
      <c r="X983" s="60"/>
    </row>
    <row r="984">
      <c r="A984" s="15"/>
      <c r="B984" s="15"/>
      <c r="C984" s="15"/>
      <c r="D984" s="15"/>
      <c r="E984" s="15"/>
      <c r="F984" s="15" t="s">
        <v>3650</v>
      </c>
      <c r="G984" s="60"/>
      <c r="H984" s="60"/>
      <c r="I984" s="60"/>
      <c r="J984" s="60"/>
      <c r="K984" s="60"/>
      <c r="L984" s="60"/>
      <c r="M984" s="60"/>
      <c r="N984" s="60"/>
      <c r="O984" s="60"/>
      <c r="P984" s="60"/>
      <c r="Q984" s="60"/>
      <c r="R984" s="60"/>
      <c r="S984" s="60"/>
      <c r="T984" s="60"/>
      <c r="U984" s="60"/>
      <c r="V984" s="60"/>
      <c r="W984" s="60"/>
      <c r="X984" s="60"/>
    </row>
    <row r="985">
      <c r="A985" s="15"/>
      <c r="B985" s="15"/>
      <c r="C985" s="15"/>
      <c r="D985" s="15"/>
      <c r="E985" s="15"/>
      <c r="F985" s="15" t="s">
        <v>3650</v>
      </c>
      <c r="G985" s="60"/>
      <c r="H985" s="60"/>
      <c r="I985" s="60"/>
      <c r="J985" s="60"/>
      <c r="K985" s="60"/>
      <c r="L985" s="60"/>
      <c r="M985" s="60"/>
      <c r="N985" s="60"/>
      <c r="O985" s="60"/>
      <c r="P985" s="60"/>
      <c r="Q985" s="60"/>
      <c r="R985" s="60"/>
      <c r="S985" s="60"/>
      <c r="T985" s="60"/>
      <c r="U985" s="60"/>
      <c r="V985" s="60"/>
      <c r="W985" s="60"/>
      <c r="X985" s="60"/>
    </row>
    <row r="986">
      <c r="A986" s="15"/>
      <c r="B986" s="15"/>
      <c r="C986" s="15"/>
      <c r="D986" s="15"/>
      <c r="E986" s="15"/>
      <c r="F986" s="15" t="s">
        <v>3650</v>
      </c>
      <c r="G986" s="60"/>
      <c r="H986" s="60"/>
      <c r="I986" s="60"/>
      <c r="J986" s="60"/>
      <c r="K986" s="60"/>
      <c r="L986" s="60"/>
      <c r="M986" s="60"/>
      <c r="N986" s="60"/>
      <c r="O986" s="60"/>
      <c r="P986" s="60"/>
      <c r="Q986" s="60"/>
      <c r="R986" s="60"/>
      <c r="S986" s="60"/>
      <c r="T986" s="60"/>
      <c r="U986" s="60"/>
      <c r="V986" s="60"/>
      <c r="W986" s="60"/>
      <c r="X986" s="60"/>
    </row>
    <row r="987">
      <c r="A987" s="15"/>
      <c r="B987" s="15"/>
      <c r="C987" s="15"/>
      <c r="D987" s="15"/>
      <c r="E987" s="15"/>
      <c r="F987" s="15" t="s">
        <v>3650</v>
      </c>
      <c r="G987" s="60"/>
      <c r="H987" s="60"/>
      <c r="I987" s="60"/>
      <c r="J987" s="60"/>
      <c r="K987" s="60"/>
      <c r="L987" s="60"/>
      <c r="M987" s="60"/>
      <c r="N987" s="60"/>
      <c r="O987" s="60"/>
      <c r="P987" s="60"/>
      <c r="Q987" s="60"/>
      <c r="R987" s="60"/>
      <c r="S987" s="60"/>
      <c r="T987" s="60"/>
      <c r="U987" s="60"/>
      <c r="V987" s="60"/>
      <c r="W987" s="60"/>
      <c r="X987" s="60"/>
    </row>
    <row r="988">
      <c r="A988" s="15"/>
      <c r="B988" s="15"/>
      <c r="C988" s="15"/>
      <c r="D988" s="15"/>
      <c r="E988" s="15"/>
      <c r="F988" s="15" t="s">
        <v>3650</v>
      </c>
      <c r="G988" s="60"/>
      <c r="H988" s="60"/>
      <c r="I988" s="60"/>
      <c r="J988" s="60"/>
      <c r="K988" s="60"/>
      <c r="L988" s="60"/>
      <c r="M988" s="60"/>
      <c r="N988" s="60"/>
      <c r="O988" s="60"/>
      <c r="P988" s="60"/>
      <c r="Q988" s="60"/>
      <c r="R988" s="60"/>
      <c r="S988" s="60"/>
      <c r="T988" s="60"/>
      <c r="U988" s="60"/>
      <c r="V988" s="60"/>
      <c r="W988" s="60"/>
      <c r="X988" s="60"/>
    </row>
    <row r="989">
      <c r="A989" s="15"/>
      <c r="B989" s="15"/>
      <c r="C989" s="15"/>
      <c r="D989" s="15"/>
      <c r="E989" s="15"/>
      <c r="F989" s="15" t="s">
        <v>3650</v>
      </c>
      <c r="G989" s="60"/>
      <c r="H989" s="60"/>
      <c r="I989" s="60"/>
      <c r="J989" s="60"/>
      <c r="K989" s="60"/>
      <c r="L989" s="60"/>
      <c r="M989" s="60"/>
      <c r="N989" s="60"/>
      <c r="O989" s="60"/>
      <c r="P989" s="60"/>
      <c r="Q989" s="60"/>
      <c r="R989" s="60"/>
      <c r="S989" s="60"/>
      <c r="T989" s="60"/>
      <c r="U989" s="60"/>
      <c r="V989" s="60"/>
      <c r="W989" s="60"/>
      <c r="X989" s="60"/>
    </row>
    <row r="990">
      <c r="A990" s="15"/>
      <c r="B990" s="15"/>
      <c r="C990" s="15"/>
      <c r="D990" s="15"/>
      <c r="E990" s="15"/>
      <c r="F990" s="15" t="s">
        <v>3650</v>
      </c>
      <c r="G990" s="60"/>
      <c r="H990" s="60"/>
      <c r="I990" s="60"/>
      <c r="J990" s="60"/>
      <c r="K990" s="60"/>
      <c r="L990" s="60"/>
      <c r="M990" s="60"/>
      <c r="N990" s="60"/>
      <c r="O990" s="60"/>
      <c r="P990" s="60"/>
      <c r="Q990" s="60"/>
      <c r="R990" s="60"/>
      <c r="S990" s="60"/>
      <c r="T990" s="60"/>
      <c r="U990" s="60"/>
      <c r="V990" s="60"/>
      <c r="W990" s="60"/>
      <c r="X990" s="60"/>
    </row>
    <row r="991">
      <c r="A991" s="15"/>
      <c r="B991" s="15"/>
      <c r="C991" s="15"/>
      <c r="D991" s="15"/>
      <c r="E991" s="15"/>
      <c r="F991" s="15" t="s">
        <v>3650</v>
      </c>
      <c r="G991" s="60"/>
      <c r="H991" s="60"/>
      <c r="I991" s="60"/>
      <c r="J991" s="60"/>
      <c r="K991" s="60"/>
      <c r="L991" s="60"/>
      <c r="M991" s="60"/>
      <c r="N991" s="60"/>
      <c r="O991" s="60"/>
      <c r="P991" s="60"/>
      <c r="Q991" s="60"/>
      <c r="R991" s="60"/>
      <c r="S991" s="60"/>
      <c r="T991" s="60"/>
      <c r="U991" s="60"/>
      <c r="V991" s="60"/>
      <c r="W991" s="60"/>
      <c r="X991" s="60"/>
    </row>
    <row r="992">
      <c r="A992" s="15"/>
      <c r="B992" s="15"/>
      <c r="C992" s="15"/>
      <c r="D992" s="15"/>
      <c r="E992" s="15"/>
      <c r="F992" s="15" t="s">
        <v>3650</v>
      </c>
      <c r="G992" s="60"/>
      <c r="H992" s="60"/>
      <c r="I992" s="60"/>
      <c r="J992" s="60"/>
      <c r="K992" s="60"/>
      <c r="L992" s="60"/>
      <c r="M992" s="60"/>
      <c r="N992" s="60"/>
      <c r="O992" s="60"/>
      <c r="P992" s="60"/>
      <c r="Q992" s="60"/>
      <c r="R992" s="60"/>
      <c r="S992" s="60"/>
      <c r="T992" s="60"/>
      <c r="U992" s="60"/>
      <c r="V992" s="60"/>
      <c r="W992" s="60"/>
      <c r="X992" s="60"/>
    </row>
    <row r="993">
      <c r="A993" s="15"/>
      <c r="B993" s="15"/>
      <c r="C993" s="15"/>
      <c r="D993" s="15"/>
      <c r="E993" s="15"/>
      <c r="F993" s="15" t="s">
        <v>3650</v>
      </c>
      <c r="G993" s="60"/>
      <c r="H993" s="60"/>
      <c r="I993" s="60"/>
      <c r="J993" s="60"/>
      <c r="K993" s="60"/>
      <c r="L993" s="60"/>
      <c r="M993" s="60"/>
      <c r="N993" s="60"/>
      <c r="O993" s="60"/>
      <c r="P993" s="60"/>
      <c r="Q993" s="60"/>
      <c r="R993" s="60"/>
      <c r="S993" s="60"/>
      <c r="T993" s="60"/>
      <c r="U993" s="60"/>
      <c r="V993" s="60"/>
      <c r="W993" s="60"/>
      <c r="X993" s="60"/>
    </row>
    <row r="994">
      <c r="A994" s="15"/>
      <c r="B994" s="15"/>
      <c r="C994" s="15"/>
      <c r="D994" s="15"/>
      <c r="E994" s="15"/>
      <c r="F994" s="15" t="s">
        <v>3650</v>
      </c>
      <c r="G994" s="60"/>
      <c r="H994" s="60"/>
      <c r="I994" s="60"/>
      <c r="J994" s="60"/>
      <c r="K994" s="60"/>
      <c r="L994" s="60"/>
      <c r="M994" s="60"/>
      <c r="N994" s="60"/>
      <c r="O994" s="60"/>
      <c r="P994" s="60"/>
      <c r="Q994" s="60"/>
      <c r="R994" s="60"/>
      <c r="S994" s="60"/>
      <c r="T994" s="60"/>
      <c r="U994" s="60"/>
      <c r="V994" s="60"/>
      <c r="W994" s="60"/>
      <c r="X994" s="60"/>
    </row>
    <row r="995">
      <c r="A995" s="15"/>
      <c r="B995" s="15"/>
      <c r="C995" s="15"/>
      <c r="D995" s="15"/>
      <c r="E995" s="15"/>
      <c r="F995" s="15" t="s">
        <v>3650</v>
      </c>
      <c r="G995" s="60"/>
      <c r="H995" s="60"/>
      <c r="I995" s="60"/>
      <c r="J995" s="60"/>
      <c r="K995" s="60"/>
      <c r="L995" s="60"/>
      <c r="M995" s="60"/>
      <c r="N995" s="60"/>
      <c r="O995" s="60"/>
      <c r="P995" s="60"/>
      <c r="Q995" s="60"/>
      <c r="R995" s="60"/>
      <c r="S995" s="60"/>
      <c r="T995" s="60"/>
      <c r="U995" s="60"/>
      <c r="V995" s="60"/>
      <c r="W995" s="60"/>
      <c r="X995" s="60"/>
    </row>
    <row r="996">
      <c r="A996" s="15"/>
      <c r="B996" s="15"/>
      <c r="C996" s="15"/>
      <c r="D996" s="15"/>
      <c r="E996" s="15"/>
      <c r="F996" s="15" t="s">
        <v>3650</v>
      </c>
      <c r="G996" s="60"/>
      <c r="H996" s="60"/>
      <c r="I996" s="60"/>
      <c r="J996" s="60"/>
      <c r="K996" s="60"/>
      <c r="L996" s="60"/>
      <c r="M996" s="60"/>
      <c r="N996" s="60"/>
      <c r="O996" s="60"/>
      <c r="P996" s="60"/>
      <c r="Q996" s="60"/>
      <c r="R996" s="60"/>
      <c r="S996" s="60"/>
      <c r="T996" s="60"/>
      <c r="U996" s="60"/>
      <c r="V996" s="60"/>
      <c r="W996" s="60"/>
      <c r="X996" s="60"/>
    </row>
    <row r="997">
      <c r="A997" s="15"/>
      <c r="B997" s="15"/>
      <c r="C997" s="15"/>
      <c r="D997" s="15"/>
      <c r="E997" s="15"/>
      <c r="F997" s="15" t="s">
        <v>3650</v>
      </c>
      <c r="G997" s="60"/>
      <c r="H997" s="60"/>
      <c r="I997" s="60"/>
      <c r="J997" s="60"/>
      <c r="K997" s="60"/>
      <c r="L997" s="60"/>
      <c r="M997" s="60"/>
      <c r="N997" s="60"/>
      <c r="O997" s="60"/>
      <c r="P997" s="60"/>
      <c r="Q997" s="60"/>
      <c r="R997" s="60"/>
      <c r="S997" s="60"/>
      <c r="T997" s="60"/>
      <c r="U997" s="60"/>
      <c r="V997" s="60"/>
      <c r="W997" s="60"/>
      <c r="X997" s="60"/>
    </row>
    <row r="998">
      <c r="A998" s="15"/>
      <c r="B998" s="15"/>
      <c r="C998" s="15"/>
      <c r="D998" s="15"/>
      <c r="E998" s="15"/>
      <c r="F998" s="15" t="s">
        <v>3650</v>
      </c>
      <c r="G998" s="60"/>
      <c r="H998" s="60"/>
      <c r="I998" s="60"/>
      <c r="J998" s="60"/>
      <c r="K998" s="60"/>
      <c r="L998" s="60"/>
      <c r="M998" s="60"/>
      <c r="N998" s="60"/>
      <c r="O998" s="60"/>
      <c r="P998" s="60"/>
      <c r="Q998" s="60"/>
      <c r="R998" s="60"/>
      <c r="S998" s="60"/>
      <c r="T998" s="60"/>
      <c r="U998" s="60"/>
      <c r="V998" s="60"/>
      <c r="W998" s="60"/>
      <c r="X998" s="60"/>
    </row>
    <row r="999">
      <c r="A999" s="15"/>
      <c r="B999" s="15"/>
      <c r="C999" s="15"/>
      <c r="D999" s="15"/>
      <c r="E999" s="15"/>
      <c r="F999" s="15" t="s">
        <v>3650</v>
      </c>
      <c r="G999" s="60"/>
      <c r="H999" s="60"/>
      <c r="I999" s="60"/>
      <c r="J999" s="60"/>
      <c r="K999" s="60"/>
      <c r="L999" s="60"/>
      <c r="M999" s="60"/>
      <c r="N999" s="60"/>
      <c r="O999" s="60"/>
      <c r="P999" s="60"/>
      <c r="Q999" s="60"/>
      <c r="R999" s="60"/>
      <c r="S999" s="60"/>
      <c r="T999" s="60"/>
      <c r="U999" s="60"/>
      <c r="V999" s="60"/>
      <c r="W999" s="60"/>
      <c r="X999" s="60"/>
    </row>
    <row r="1000">
      <c r="A1000" s="15"/>
      <c r="B1000" s="15"/>
      <c r="C1000" s="15"/>
      <c r="D1000" s="15"/>
      <c r="E1000" s="15"/>
      <c r="F1000" s="15" t="s">
        <v>3650</v>
      </c>
      <c r="G1000" s="60"/>
      <c r="H1000" s="60"/>
      <c r="I1000" s="60"/>
      <c r="J1000" s="60"/>
      <c r="K1000" s="60"/>
      <c r="L1000" s="60"/>
      <c r="M1000" s="60"/>
      <c r="N1000" s="60"/>
      <c r="O1000" s="60"/>
      <c r="P1000" s="60"/>
      <c r="Q1000" s="60"/>
      <c r="R1000" s="60"/>
      <c r="S1000" s="60"/>
      <c r="T1000" s="60"/>
      <c r="U1000" s="60"/>
      <c r="V1000" s="60"/>
      <c r="W1000" s="60"/>
      <c r="X1000" s="60"/>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25.25"/>
  </cols>
  <sheetData>
    <row r="1">
      <c r="A1" s="64" t="s">
        <v>3651</v>
      </c>
      <c r="B1" s="64" t="s">
        <v>3652</v>
      </c>
    </row>
    <row r="2">
      <c r="A2" s="64" t="s">
        <v>3653</v>
      </c>
      <c r="B2" s="64" t="s">
        <v>3654</v>
      </c>
    </row>
    <row r="3">
      <c r="A3" s="64" t="s">
        <v>3654</v>
      </c>
      <c r="B3" s="64" t="s">
        <v>3655</v>
      </c>
    </row>
    <row r="4">
      <c r="A4" s="64" t="s">
        <v>3656</v>
      </c>
      <c r="B4" s="64" t="s">
        <v>3655</v>
      </c>
    </row>
    <row r="5">
      <c r="A5" s="64" t="s">
        <v>3657</v>
      </c>
      <c r="B5" s="64" t="s">
        <v>3655</v>
      </c>
    </row>
    <row r="6">
      <c r="A6" s="64" t="s">
        <v>3658</v>
      </c>
      <c r="B6" s="64" t="s">
        <v>3655</v>
      </c>
    </row>
    <row r="7">
      <c r="A7" s="64" t="s">
        <v>3659</v>
      </c>
      <c r="B7" s="64" t="s">
        <v>3655</v>
      </c>
    </row>
    <row r="8">
      <c r="A8" s="64" t="s">
        <v>3660</v>
      </c>
      <c r="B8" s="64" t="s">
        <v>3655</v>
      </c>
    </row>
    <row r="9">
      <c r="A9" s="64" t="s">
        <v>3661</v>
      </c>
      <c r="B9" s="64" t="s">
        <v>3655</v>
      </c>
    </row>
    <row r="10">
      <c r="A10" s="64" t="s">
        <v>3662</v>
      </c>
      <c r="B10" s="64" t="s">
        <v>3655</v>
      </c>
    </row>
    <row r="11">
      <c r="A11" s="64" t="s">
        <v>3663</v>
      </c>
      <c r="B11" s="64" t="s">
        <v>3655</v>
      </c>
    </row>
    <row r="12">
      <c r="A12" s="64" t="s">
        <v>3664</v>
      </c>
      <c r="B12" s="64" t="s">
        <v>3655</v>
      </c>
    </row>
    <row r="13">
      <c r="A13" s="64" t="s">
        <v>3665</v>
      </c>
      <c r="B13" s="64" t="s">
        <v>3655</v>
      </c>
    </row>
    <row r="14">
      <c r="A14" s="64" t="s">
        <v>3666</v>
      </c>
      <c r="B14" s="64" t="s">
        <v>3655</v>
      </c>
    </row>
    <row r="15">
      <c r="A15" s="64" t="s">
        <v>3667</v>
      </c>
      <c r="B15" s="64" t="s">
        <v>3655</v>
      </c>
    </row>
    <row r="16">
      <c r="A16" s="64" t="s">
        <v>3668</v>
      </c>
      <c r="B16" s="64" t="s">
        <v>3655</v>
      </c>
    </row>
    <row r="17">
      <c r="A17" s="64" t="s">
        <v>3669</v>
      </c>
      <c r="B17" s="64" t="s">
        <v>3655</v>
      </c>
    </row>
    <row r="18">
      <c r="A18" s="64" t="s">
        <v>3670</v>
      </c>
      <c r="B18" s="64" t="s">
        <v>3655</v>
      </c>
    </row>
    <row r="19">
      <c r="A19" s="64" t="s">
        <v>3671</v>
      </c>
      <c r="B19" s="64" t="s">
        <v>3655</v>
      </c>
    </row>
    <row r="20">
      <c r="A20" s="64" t="s">
        <v>3672</v>
      </c>
      <c r="B20" s="64" t="s">
        <v>3655</v>
      </c>
    </row>
    <row r="21">
      <c r="A21" s="64" t="s">
        <v>3673</v>
      </c>
      <c r="B21" s="64" t="s">
        <v>3673</v>
      </c>
    </row>
    <row r="22">
      <c r="A22" s="64" t="s">
        <v>3674</v>
      </c>
      <c r="B22" s="64" t="s">
        <v>3673</v>
      </c>
    </row>
    <row r="23">
      <c r="A23" s="64" t="s">
        <v>3675</v>
      </c>
      <c r="B23" s="64" t="s">
        <v>3675</v>
      </c>
    </row>
    <row r="24">
      <c r="A24" s="64" t="s">
        <v>3676</v>
      </c>
      <c r="B24" s="64" t="s">
        <v>3677</v>
      </c>
    </row>
    <row r="25">
      <c r="A25" s="64" t="s">
        <v>3678</v>
      </c>
      <c r="B25" s="64" t="s">
        <v>3655</v>
      </c>
    </row>
    <row r="26">
      <c r="A26" s="64" t="s">
        <v>3679</v>
      </c>
      <c r="B26" s="64" t="s">
        <v>3677</v>
      </c>
    </row>
    <row r="27">
      <c r="A27" s="64" t="s">
        <v>3677</v>
      </c>
      <c r="B27" s="64" t="s">
        <v>3677</v>
      </c>
    </row>
    <row r="28">
      <c r="A28" s="64" t="s">
        <v>5</v>
      </c>
      <c r="B28" s="64" t="s">
        <v>5</v>
      </c>
    </row>
    <row r="29">
      <c r="A29" s="64" t="s">
        <v>3680</v>
      </c>
      <c r="B29" s="64" t="s">
        <v>5</v>
      </c>
    </row>
    <row r="30">
      <c r="A30" s="64" t="s">
        <v>3681</v>
      </c>
      <c r="B30" s="64" t="s">
        <v>3677</v>
      </c>
    </row>
    <row r="31">
      <c r="A31" s="64" t="s">
        <v>3682</v>
      </c>
      <c r="B31" s="64" t="s">
        <v>3655</v>
      </c>
    </row>
    <row r="32">
      <c r="A32" s="15"/>
      <c r="B32" s="15"/>
    </row>
    <row r="33">
      <c r="A33" s="15"/>
      <c r="B33" s="15"/>
    </row>
    <row r="34">
      <c r="A34" s="15"/>
      <c r="B34" s="15"/>
    </row>
    <row r="35">
      <c r="A35" s="15"/>
      <c r="B35" s="15"/>
    </row>
    <row r="36">
      <c r="A36" s="15"/>
      <c r="B36" s="15"/>
    </row>
    <row r="37">
      <c r="A37" s="15"/>
      <c r="B37" s="15"/>
    </row>
    <row r="38">
      <c r="A38" s="15"/>
      <c r="B38" s="15"/>
    </row>
    <row r="39">
      <c r="A39" s="15"/>
      <c r="B39" s="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9" max="29" width="25.13"/>
  </cols>
  <sheetData>
    <row r="1">
      <c r="A1" s="65" t="str">
        <f>IFERROR(__xludf.DUMMYFUNCTION("IMPORTRANGE(
""https://docs.google.com/spreadsheets/d/1vI8VDTQAvS4ylg1dS3pl-50GbsXENtde9coaP9K7IA8/edit?gid=1263028431#gid=1263028431"",
""REPORTE_DROPI!A:BA""
)
"),"FECHA DE REPORTE")</f>
        <v>FECHA DE REPORTE</v>
      </c>
      <c r="B1" s="65" t="str">
        <f>IFERROR(__xludf.DUMMYFUNCTION("""COMPUTED_VALUE"""),"ID")</f>
        <v>ID</v>
      </c>
      <c r="C1" s="65" t="str">
        <f>IFERROR(__xludf.DUMMYFUNCTION("""COMPUTED_VALUE"""),"HORA")</f>
        <v>HORA</v>
      </c>
      <c r="D1" s="65" t="str">
        <f>IFERROR(__xludf.DUMMYFUNCTION("""COMPUTED_VALUE"""),"FECHA")</f>
        <v>FECHA</v>
      </c>
      <c r="E1" s="65" t="str">
        <f>IFERROR(__xludf.DUMMYFUNCTION("""COMPUTED_VALUE"""),"NOMBRE CLIENTE")</f>
        <v>NOMBRE CLIENTE</v>
      </c>
      <c r="F1" s="65" t="str">
        <f>IFERROR(__xludf.DUMMYFUNCTION("""COMPUTED_VALUE"""),"TELÉFONO")</f>
        <v>TELÉFONO</v>
      </c>
      <c r="G1" s="65" t="str">
        <f>IFERROR(__xludf.DUMMYFUNCTION("""COMPUTED_VALUE"""),"EMAIL")</f>
        <v>EMAIL</v>
      </c>
      <c r="H1" s="65" t="str">
        <f>IFERROR(__xludf.DUMMYFUNCTION("""COMPUTED_VALUE"""),"TIPO DE IDENTIFICACION")</f>
        <v>TIPO DE IDENTIFICACION</v>
      </c>
      <c r="I1" s="65" t="str">
        <f>IFERROR(__xludf.DUMMYFUNCTION("""COMPUTED_VALUE"""),"NRO DE IDENTIFICACION")</f>
        <v>NRO DE IDENTIFICACION</v>
      </c>
      <c r="J1" s="65" t="str">
        <f>IFERROR(__xludf.DUMMYFUNCTION("""COMPUTED_VALUE"""),"NÚMERO GUIA")</f>
        <v>NÚMERO GUIA</v>
      </c>
      <c r="K1" s="65" t="str">
        <f>IFERROR(__xludf.DUMMYFUNCTION("""COMPUTED_VALUE"""),"ESTATUS")</f>
        <v>ESTATUS</v>
      </c>
      <c r="L1" s="65" t="str">
        <f>IFERROR(__xludf.DUMMYFUNCTION("""COMPUTED_VALUE"""),"TIPO DE ENVIO")</f>
        <v>TIPO DE ENVIO</v>
      </c>
      <c r="M1" s="65" t="str">
        <f>IFERROR(__xludf.DUMMYFUNCTION("""COMPUTED_VALUE"""),"DEPARTAMENTO DESTINO")</f>
        <v>DEPARTAMENTO DESTINO</v>
      </c>
      <c r="N1" s="65" t="str">
        <f>IFERROR(__xludf.DUMMYFUNCTION("""COMPUTED_VALUE"""),"CIUDAD DESTINO")</f>
        <v>CIUDAD DESTINO</v>
      </c>
      <c r="O1" s="65" t="str">
        <f>IFERROR(__xludf.DUMMYFUNCTION("""COMPUTED_VALUE"""),"DIRECCION")</f>
        <v>DIRECCION</v>
      </c>
      <c r="P1" s="65" t="str">
        <f>IFERROR(__xludf.DUMMYFUNCTION("""COMPUTED_VALUE"""),"NOTAS")</f>
        <v>NOTAS</v>
      </c>
      <c r="Q1" s="65" t="str">
        <f>IFERROR(__xludf.DUMMYFUNCTION("""COMPUTED_VALUE"""),"TRANSPORTADORA")</f>
        <v>TRANSPORTADORA</v>
      </c>
      <c r="R1" s="65" t="str">
        <f>IFERROR(__xludf.DUMMYFUNCTION("""COMPUTED_VALUE"""),"TOTAL DE LA ORDEN")</f>
        <v>TOTAL DE LA ORDEN</v>
      </c>
      <c r="S1" s="65" t="str">
        <f>IFERROR(__xludf.DUMMYFUNCTION("""COMPUTED_VALUE"""),"GANANCIA")</f>
        <v>GANANCIA</v>
      </c>
      <c r="T1" s="65" t="str">
        <f>IFERROR(__xludf.DUMMYFUNCTION("""COMPUTED_VALUE"""),"PRECIO FLETE")</f>
        <v>PRECIO FLETE</v>
      </c>
      <c r="U1" s="65" t="str">
        <f>IFERROR(__xludf.DUMMYFUNCTION("""COMPUTED_VALUE"""),"COSTO DEVOLUCION FLETE")</f>
        <v>COSTO DEVOLUCION FLETE</v>
      </c>
      <c r="V1" s="65" t="str">
        <f>IFERROR(__xludf.DUMMYFUNCTION("""COMPUTED_VALUE"""),"COMISION")</f>
        <v>COMISION</v>
      </c>
      <c r="W1" s="65" t="str">
        <f>IFERROR(__xludf.DUMMYFUNCTION("""COMPUTED_VALUE"""),"% COMISION DE LA PLATAFORMMA")</f>
        <v>% COMISION DE LA PLATAFORMMA</v>
      </c>
      <c r="X1" s="65" t="str">
        <f>IFERROR(__xludf.DUMMYFUNCTION("""COMPUTED_VALUE"""),"PRECIO PROVEEDOR")</f>
        <v>PRECIO PROVEEDOR</v>
      </c>
      <c r="Y1" s="65" t="str">
        <f>IFERROR(__xludf.DUMMYFUNCTION("""COMPUTED_VALUE"""),"PRECIO PROVEEDOR X CANTIDAD")</f>
        <v>PRECIO PROVEEDOR X CANTIDAD</v>
      </c>
      <c r="Z1" s="65" t="str">
        <f>IFERROR(__xludf.DUMMYFUNCTION("""COMPUTED_VALUE"""),"PRODUCTO ID")</f>
        <v>PRODUCTO ID</v>
      </c>
      <c r="AA1" s="65" t="str">
        <f>IFERROR(__xludf.DUMMYFUNCTION("""COMPUTED_VALUE"""),"SKU")</f>
        <v>SKU</v>
      </c>
      <c r="AB1" s="65" t="str">
        <f>IFERROR(__xludf.DUMMYFUNCTION("""COMPUTED_VALUE"""),"VARIACION ID")</f>
        <v>VARIACION ID</v>
      </c>
      <c r="AC1" s="65" t="str">
        <f>IFERROR(__xludf.DUMMYFUNCTION("""COMPUTED_VALUE"""),"PRODUCTO")</f>
        <v>PRODUCTO</v>
      </c>
      <c r="AD1" s="65" t="str">
        <f>IFERROR(__xludf.DUMMYFUNCTION("""COMPUTED_VALUE"""),"VARIACION")</f>
        <v>VARIACION</v>
      </c>
      <c r="AE1" s="65" t="str">
        <f>IFERROR(__xludf.DUMMYFUNCTION("""COMPUTED_VALUE"""),"CANTIDAD")</f>
        <v>CANTIDAD</v>
      </c>
      <c r="AF1" s="65" t="str">
        <f>IFERROR(__xludf.DUMMYFUNCTION("""COMPUTED_VALUE"""),"NOVEDAD")</f>
        <v>NOVEDAD</v>
      </c>
      <c r="AG1" s="65" t="str">
        <f>IFERROR(__xludf.DUMMYFUNCTION("""COMPUTED_VALUE"""),"FUE SOLUCIONADA LA NOVEDAD")</f>
        <v>FUE SOLUCIONADA LA NOVEDAD</v>
      </c>
      <c r="AH1" s="65" t="str">
        <f>IFERROR(__xludf.DUMMYFUNCTION("""COMPUTED_VALUE"""),"HORA DE NOVEDAD")</f>
        <v>HORA DE NOVEDAD</v>
      </c>
      <c r="AI1" s="65" t="str">
        <f>IFERROR(__xludf.DUMMYFUNCTION("""COMPUTED_VALUE"""),"FECHA DE NOVEDAD")</f>
        <v>FECHA DE NOVEDAD</v>
      </c>
      <c r="AJ1" s="65" t="str">
        <f>IFERROR(__xludf.DUMMYFUNCTION("""COMPUTED_VALUE"""),"SOLUCIÓN")</f>
        <v>SOLUCIÓN</v>
      </c>
      <c r="AK1" s="65" t="str">
        <f>IFERROR(__xludf.DUMMYFUNCTION("""COMPUTED_VALUE"""),"HORA DE SOLUCIÓN")</f>
        <v>HORA DE SOLUCIÓN</v>
      </c>
      <c r="AL1" s="65" t="str">
        <f>IFERROR(__xludf.DUMMYFUNCTION("""COMPUTED_VALUE"""),"FECHA DE SOLUCIÓN")</f>
        <v>FECHA DE SOLUCIÓN</v>
      </c>
      <c r="AM1" s="65" t="str">
        <f>IFERROR(__xludf.DUMMYFUNCTION("""COMPUTED_VALUE"""),"OBSERVACIÓN")</f>
        <v>OBSERVACIÓN</v>
      </c>
      <c r="AN1" s="65" t="str">
        <f>IFERROR(__xludf.DUMMYFUNCTION("""COMPUTED_VALUE"""),"HORA DE ÚLTIMO MOVIMIENTO")</f>
        <v>HORA DE ÚLTIMO MOVIMIENTO</v>
      </c>
      <c r="AO1" s="65" t="str">
        <f>IFERROR(__xludf.DUMMYFUNCTION("""COMPUTED_VALUE"""),"FECHA DE ÚLTIMO MOVIMIENTO")</f>
        <v>FECHA DE ÚLTIMO MOVIMIENTO</v>
      </c>
      <c r="AP1" s="65" t="str">
        <f>IFERROR(__xludf.DUMMYFUNCTION("""COMPUTED_VALUE"""),"ÚLTIMO MOVIMIENTO")</f>
        <v>ÚLTIMO MOVIMIENTO</v>
      </c>
      <c r="AQ1" s="65" t="str">
        <f>IFERROR(__xludf.DUMMYFUNCTION("""COMPUTED_VALUE"""),"CONCEPTO ÚLTIMO MOVIMIENTO")</f>
        <v>CONCEPTO ÚLTIMO MOVIMIENTO</v>
      </c>
      <c r="AR1" s="65" t="str">
        <f>IFERROR(__xludf.DUMMYFUNCTION("""COMPUTED_VALUE"""),"UBICACIÓN DE ÚLTIMO MOVIMIENTO")</f>
        <v>UBICACIÓN DE ÚLTIMO MOVIMIENTO</v>
      </c>
      <c r="AS1" s="65" t="str">
        <f>IFERROR(__xludf.DUMMYFUNCTION("""COMPUTED_VALUE"""),"VENDEDOR")</f>
        <v>VENDEDOR</v>
      </c>
      <c r="AT1" s="65" t="str">
        <f>IFERROR(__xludf.DUMMYFUNCTION("""COMPUTED_VALUE"""),"TIPO DE TIENDA")</f>
        <v>TIPO DE TIENDA</v>
      </c>
      <c r="AU1" s="65" t="str">
        <f>IFERROR(__xludf.DUMMYFUNCTION("""COMPUTED_VALUE"""),"TIENDA")</f>
        <v>TIENDA</v>
      </c>
      <c r="AV1" s="65" t="str">
        <f>IFERROR(__xludf.DUMMYFUNCTION("""COMPUTED_VALUE"""),"ID DE ORDEN DE TIENDA")</f>
        <v>ID DE ORDEN DE TIENDA</v>
      </c>
      <c r="AW1" s="65" t="str">
        <f>IFERROR(__xludf.DUMMYFUNCTION("""COMPUTED_VALUE"""),"NUMERO DE PEDIDO DE TIENDA")</f>
        <v>NUMERO DE PEDIDO DE TIENDA</v>
      </c>
      <c r="AX1" s="65" t="str">
        <f>IFERROR(__xludf.DUMMYFUNCTION("""COMPUTED_VALUE"""),"TAGS")</f>
        <v>TAGS</v>
      </c>
      <c r="AY1" s="65" t="str">
        <f>IFERROR(__xludf.DUMMYFUNCTION("""COMPUTED_VALUE"""),"FECHA GUIA GENERADA")</f>
        <v>FECHA GUIA GENERADA</v>
      </c>
      <c r="AZ1" s="65" t="str">
        <f>IFERROR(__xludf.DUMMYFUNCTION("""COMPUTED_VALUE"""),"CONTADOR DE INDEMNIZACIONES")</f>
        <v>CONTADOR DE INDEMNIZACIONES</v>
      </c>
      <c r="BA1" s="65" t="str">
        <f>IFERROR(__xludf.DUMMYFUNCTION("""COMPUTED_VALUE"""),"CONCEPTO ÚLTIMA INDENMIZACIÓN")</f>
        <v>CONCEPTO ÚLTIMA INDENMIZACIÓN</v>
      </c>
    </row>
    <row r="2">
      <c r="A2" s="65" t="str">
        <f>IFERROR(__xludf.DUMMYFUNCTION("""COMPUTED_VALUE"""),"27-03-2026")</f>
        <v>27-03-2026</v>
      </c>
      <c r="B2" s="65">
        <f>IFERROR(__xludf.DUMMYFUNCTION("""COMPUTED_VALUE"""),4925510.0)</f>
        <v>4925510</v>
      </c>
      <c r="C2" s="65" t="str">
        <f>IFERROR(__xludf.DUMMYFUNCTION("""COMPUTED_VALUE"""),"00:02")</f>
        <v>00:02</v>
      </c>
      <c r="D2" s="65" t="str">
        <f>IFERROR(__xludf.DUMMYFUNCTION("""COMPUTED_VALUE"""),"27-03-2026")</f>
        <v>27-03-2026</v>
      </c>
      <c r="E2" s="65" t="str">
        <f>IFERROR(__xludf.DUMMYFUNCTION("""COMPUTED_VALUE"""),"Jorge García")</f>
        <v>Jorge García</v>
      </c>
      <c r="F2" s="65" t="str">
        <f>IFERROR(__xludf.DUMMYFUNCTION("""COMPUTED_VALUE"""),"994767785")</f>
        <v>994767785</v>
      </c>
      <c r="G2" s="65" t="str">
        <f>IFERROR(__xludf.DUMMYFUNCTION("""COMPUTED_VALUE"""),"garciagorge593@gmail.com")</f>
        <v>garciagorge593@gmail.com</v>
      </c>
      <c r="H2" s="65"/>
      <c r="I2" s="65"/>
      <c r="J2" s="65"/>
      <c r="K2" s="65" t="str">
        <f>IFERROR(__xludf.DUMMYFUNCTION("""COMPUTED_VALUE"""),"PENDIENTE CONFIRMACION")</f>
        <v>PENDIENTE CONFIRMACION</v>
      </c>
      <c r="L2" s="65" t="str">
        <f>IFERROR(__xludf.DUMMYFUNCTION("""COMPUTED_VALUE"""),"CON RECAUDO")</f>
        <v>CON RECAUDO</v>
      </c>
      <c r="M2" s="65" t="str">
        <f>IFERROR(__xludf.DUMMYFUNCTION("""COMPUTED_VALUE"""),"SANTO DOMINGO DE LOS TSACHILAS")</f>
        <v>SANTO DOMINGO DE LOS TSACHILAS</v>
      </c>
      <c r="N2" s="65" t="str">
        <f>IFERROR(__xludf.DUMMYFUNCTION("""COMPUTED_VALUE"""),"SANTO DOMINGO")</f>
        <v>SANTO DOMINGO</v>
      </c>
      <c r="O2" s="65" t="str">
        <f>IFERROR(__xludf.DUMMYFUNCTION("""COMPUTED_VALUE"""),"Av chone y rio chila Bomboli cafeteria sr bolon -")</f>
        <v>Av chone y rio chila Bomboli cafeteria sr bolon -</v>
      </c>
      <c r="P2" s="65"/>
      <c r="Q2" s="65" t="str">
        <f>IFERROR(__xludf.DUMMYFUNCTION("""COMPUTED_VALUE"""),"GINTRACOM")</f>
        <v>GINTRACOM</v>
      </c>
      <c r="R2" s="65">
        <f>IFERROR(__xludf.DUMMYFUNCTION("""COMPUTED_VALUE"""),22.0)</f>
        <v>22</v>
      </c>
      <c r="S2" s="65"/>
      <c r="T2" s="65">
        <f>IFERROR(__xludf.DUMMYFUNCTION("""COMPUTED_VALUE"""),5.84)</f>
        <v>5.84</v>
      </c>
      <c r="U2" s="65">
        <f>IFERROR(__xludf.DUMMYFUNCTION("""COMPUTED_VALUE"""),0.0)</f>
        <v>0</v>
      </c>
      <c r="V2" s="65">
        <f>IFERROR(__xludf.DUMMYFUNCTION("""COMPUTED_VALUE"""),0.0)</f>
        <v>0</v>
      </c>
      <c r="W2" s="65">
        <f>IFERROR(__xludf.DUMMYFUNCTION("""COMPUTED_VALUE"""),0.0)</f>
        <v>0</v>
      </c>
      <c r="X2" s="65">
        <f>IFERROR(__xludf.DUMMYFUNCTION("""COMPUTED_VALUE"""),2.4)</f>
        <v>2.4</v>
      </c>
      <c r="Y2" s="65">
        <f>IFERROR(__xludf.DUMMYFUNCTION("""COMPUTED_VALUE"""),4.8)</f>
        <v>4.8</v>
      </c>
      <c r="Z2" s="65">
        <f>IFERROR(__xludf.DUMMYFUNCTION("""COMPUTED_VALUE"""),119189.0)</f>
        <v>119189</v>
      </c>
      <c r="AA2" s="65" t="str">
        <f>IFERROR(__xludf.DUMMYFUNCTION("""COMPUTED_VALUE"""),"CUCHILLO DE CHEF")</f>
        <v>CUCHILLO DE CHEF</v>
      </c>
      <c r="AB2" s="65"/>
      <c r="AC2" s="65" t="str">
        <f>IFERROR(__xludf.DUMMYFUNCTION("""COMPUTED_VALUE"""),"CUCHILLO DE CHEF")</f>
        <v>CUCHILLO DE CHEF</v>
      </c>
      <c r="AD2" s="65"/>
      <c r="AE2" s="65">
        <f>IFERROR(__xludf.DUMMYFUNCTION("""COMPUTED_VALUE"""),2.0)</f>
        <v>2</v>
      </c>
      <c r="AF2" s="65"/>
      <c r="AG2" s="65"/>
      <c r="AH2" s="65"/>
      <c r="AI2" s="65"/>
      <c r="AJ2" s="65"/>
      <c r="AK2" s="65"/>
      <c r="AL2" s="65"/>
      <c r="AM2" s="65"/>
      <c r="AN2" s="65"/>
      <c r="AO2" s="65"/>
      <c r="AP2" s="65"/>
      <c r="AQ2" s="65"/>
      <c r="AR2" s="65"/>
      <c r="AS2" s="65"/>
      <c r="AT2" s="65" t="str">
        <f>IFERROR(__xludf.DUMMYFUNCTION("""COMPUTED_VALUE"""),"SHOPIFY")</f>
        <v>SHOPIFY</v>
      </c>
      <c r="AU2" s="65" t="str">
        <f>IFERROR(__xludf.DUMMYFUNCTION("""COMPUTED_VALUE"""),"IMPORTEX EC")</f>
        <v>IMPORTEX EC</v>
      </c>
      <c r="AV2" s="65" t="str">
        <f>IFERROR(__xludf.DUMMYFUNCTION("""COMPUTED_VALUE"""),"6606506917932")</f>
        <v>6606506917932</v>
      </c>
      <c r="AW2" s="65">
        <f>IFERROR(__xludf.DUMMYFUNCTION("""COMPUTED_VALUE"""),6837.0)</f>
        <v>6837</v>
      </c>
      <c r="AX2" s="65"/>
      <c r="AY2" s="65"/>
      <c r="AZ2" s="65"/>
      <c r="BA2" s="65"/>
    </row>
    <row r="3">
      <c r="A3" s="65" t="str">
        <f>IFERROR(__xludf.DUMMYFUNCTION("""COMPUTED_VALUE"""),"27-03-2026")</f>
        <v>27-03-2026</v>
      </c>
      <c r="B3" s="65">
        <f>IFERROR(__xludf.DUMMYFUNCTION("""COMPUTED_VALUE"""),4925487.0)</f>
        <v>4925487</v>
      </c>
      <c r="C3" s="65" t="str">
        <f>IFERROR(__xludf.DUMMYFUNCTION("""COMPUTED_VALUE"""),"23:57")</f>
        <v>23:57</v>
      </c>
      <c r="D3" s="65" t="str">
        <f>IFERROR(__xludf.DUMMYFUNCTION("""COMPUTED_VALUE"""),"26-03-2026")</f>
        <v>26-03-2026</v>
      </c>
      <c r="E3" s="65" t="str">
        <f>IFERROR(__xludf.DUMMYFUNCTION("""COMPUTED_VALUE"""),"Mercedes Betancourt Bustos")</f>
        <v>Mercedes Betancourt Bustos</v>
      </c>
      <c r="F3" s="65" t="str">
        <f>IFERROR(__xludf.DUMMYFUNCTION("""COMPUTED_VALUE"""),"939130538")</f>
        <v>939130538</v>
      </c>
      <c r="G3" s="65" t="str">
        <f>IFERROR(__xludf.DUMMYFUNCTION("""COMPUTED_VALUE"""),"pilarbustos2025@gmail.com")</f>
        <v>pilarbustos2025@gmail.com</v>
      </c>
      <c r="H3" s="65"/>
      <c r="I3" s="65"/>
      <c r="J3" s="65"/>
      <c r="K3" s="65" t="str">
        <f>IFERROR(__xludf.DUMMYFUNCTION("""COMPUTED_VALUE"""),"PENDIENTE CONFIRMACION")</f>
        <v>PENDIENTE CONFIRMACION</v>
      </c>
      <c r="L3" s="65" t="str">
        <f>IFERROR(__xludf.DUMMYFUNCTION("""COMPUTED_VALUE"""),"CON RECAUDO")</f>
        <v>CON RECAUDO</v>
      </c>
      <c r="M3" s="65" t="str">
        <f>IFERROR(__xludf.DUMMYFUNCTION("""COMPUTED_VALUE"""),"PICHINCHA")</f>
        <v>PICHINCHA</v>
      </c>
      <c r="N3" s="65" t="str">
        <f>IFERROR(__xludf.DUMMYFUNCTION("""COMPUTED_VALUE"""),"QUITO")</f>
        <v>QUITO</v>
      </c>
      <c r="O3" s="65" t="str">
        <f>IFERROR(__xludf.DUMMYFUNCTION("""COMPUTED_VALUE"""),"Juan León Mera 263 y Charles Darwin Armenia 2, frente a la escuela Albany -")</f>
        <v>Juan León Mera 263 y Charles Darwin Armenia 2, frente a la escuela Albany -</v>
      </c>
      <c r="P3" s="65"/>
      <c r="Q3" s="65" t="str">
        <f>IFERROR(__xludf.DUMMYFUNCTION("""COMPUTED_VALUE"""),"GINTRACOM")</f>
        <v>GINTRACOM</v>
      </c>
      <c r="R3" s="65">
        <f>IFERROR(__xludf.DUMMYFUNCTION("""COMPUTED_VALUE"""),32.0)</f>
        <v>32</v>
      </c>
      <c r="S3" s="65"/>
      <c r="T3" s="65">
        <f>IFERROR(__xludf.DUMMYFUNCTION("""COMPUTED_VALUE"""),6.24)</f>
        <v>6.24</v>
      </c>
      <c r="U3" s="65">
        <f>IFERROR(__xludf.DUMMYFUNCTION("""COMPUTED_VALUE"""),0.0)</f>
        <v>0</v>
      </c>
      <c r="V3" s="65">
        <f>IFERROR(__xludf.DUMMYFUNCTION("""COMPUTED_VALUE"""),0.0)</f>
        <v>0</v>
      </c>
      <c r="W3" s="65">
        <f>IFERROR(__xludf.DUMMYFUNCTION("""COMPUTED_VALUE"""),0.0)</f>
        <v>0</v>
      </c>
      <c r="X3" s="65">
        <f>IFERROR(__xludf.DUMMYFUNCTION("""COMPUTED_VALUE"""),2.4)</f>
        <v>2.4</v>
      </c>
      <c r="Y3" s="65">
        <f>IFERROR(__xludf.DUMMYFUNCTION("""COMPUTED_VALUE"""),9.6)</f>
        <v>9.6</v>
      </c>
      <c r="Z3" s="65">
        <f>IFERROR(__xludf.DUMMYFUNCTION("""COMPUTED_VALUE"""),119189.0)</f>
        <v>119189</v>
      </c>
      <c r="AA3" s="65" t="str">
        <f>IFERROR(__xludf.DUMMYFUNCTION("""COMPUTED_VALUE"""),"CUCHILLO DE CHEF")</f>
        <v>CUCHILLO DE CHEF</v>
      </c>
      <c r="AB3" s="65"/>
      <c r="AC3" s="65" t="str">
        <f>IFERROR(__xludf.DUMMYFUNCTION("""COMPUTED_VALUE"""),"CUCHILLO DE CHEF")</f>
        <v>CUCHILLO DE CHEF</v>
      </c>
      <c r="AD3" s="65"/>
      <c r="AE3" s="65">
        <f>IFERROR(__xludf.DUMMYFUNCTION("""COMPUTED_VALUE"""),4.0)</f>
        <v>4</v>
      </c>
      <c r="AF3" s="65"/>
      <c r="AG3" s="65"/>
      <c r="AH3" s="65"/>
      <c r="AI3" s="65"/>
      <c r="AJ3" s="65"/>
      <c r="AK3" s="65"/>
      <c r="AL3" s="65"/>
      <c r="AM3" s="65"/>
      <c r="AN3" s="65"/>
      <c r="AO3" s="65"/>
      <c r="AP3" s="65"/>
      <c r="AQ3" s="65"/>
      <c r="AR3" s="65"/>
      <c r="AS3" s="65"/>
      <c r="AT3" s="65" t="str">
        <f>IFERROR(__xludf.DUMMYFUNCTION("""COMPUTED_VALUE"""),"SHOPIFY")</f>
        <v>SHOPIFY</v>
      </c>
      <c r="AU3" s="65" t="str">
        <f>IFERROR(__xludf.DUMMYFUNCTION("""COMPUTED_VALUE"""),"IMPORTEX EC")</f>
        <v>IMPORTEX EC</v>
      </c>
      <c r="AV3" s="65" t="str">
        <f>IFERROR(__xludf.DUMMYFUNCTION("""COMPUTED_VALUE"""),"6606502559788")</f>
        <v>6606502559788</v>
      </c>
      <c r="AW3" s="65">
        <f>IFERROR(__xludf.DUMMYFUNCTION("""COMPUTED_VALUE"""),6836.0)</f>
        <v>6836</v>
      </c>
      <c r="AX3" s="65"/>
      <c r="AY3" s="65"/>
      <c r="AZ3" s="65"/>
      <c r="BA3" s="65"/>
    </row>
    <row r="4">
      <c r="A4" s="65" t="str">
        <f>IFERROR(__xludf.DUMMYFUNCTION("""COMPUTED_VALUE"""),"27-03-2026")</f>
        <v>27-03-2026</v>
      </c>
      <c r="B4" s="65">
        <f>IFERROR(__xludf.DUMMYFUNCTION("""COMPUTED_VALUE"""),4925060.0)</f>
        <v>4925060</v>
      </c>
      <c r="C4" s="66" t="str">
        <f>IFERROR(__xludf.DUMMYFUNCTION("""COMPUTED_VALUE"""),"22:52")</f>
        <v>22:52</v>
      </c>
      <c r="D4" s="65" t="str">
        <f>IFERROR(__xludf.DUMMYFUNCTION("""COMPUTED_VALUE"""),"26-03-2026")</f>
        <v>26-03-2026</v>
      </c>
      <c r="E4" s="65" t="str">
        <f>IFERROR(__xludf.DUMMYFUNCTION("""COMPUTED_VALUE"""),"Jhonny Alberto Cojitambo balón")</f>
        <v>Jhonny Alberto Cojitambo balón</v>
      </c>
      <c r="F4" s="65" t="str">
        <f>IFERROR(__xludf.DUMMYFUNCTION("""COMPUTED_VALUE"""),"967582617")</f>
        <v>967582617</v>
      </c>
      <c r="G4" s="65" t="str">
        <f>IFERROR(__xludf.DUMMYFUNCTION("""COMPUTED_VALUE"""),"cojitambojhonny@gmail.com")</f>
        <v>cojitambojhonny@gmail.com</v>
      </c>
      <c r="H4" s="65"/>
      <c r="I4" s="65"/>
      <c r="J4" s="65"/>
      <c r="K4" s="65" t="str">
        <f>IFERROR(__xludf.DUMMYFUNCTION("""COMPUTED_VALUE"""),"PENDIENTE CONFIRMACION")</f>
        <v>PENDIENTE CONFIRMACION</v>
      </c>
      <c r="L4" s="65" t="str">
        <f>IFERROR(__xludf.DUMMYFUNCTION("""COMPUTED_VALUE"""),"CON RECAUDO")</f>
        <v>CON RECAUDO</v>
      </c>
      <c r="M4" s="65" t="str">
        <f>IFERROR(__xludf.DUMMYFUNCTION("""COMPUTED_VALUE"""),"SANTA ELENA")</f>
        <v>SANTA ELENA</v>
      </c>
      <c r="N4" s="65" t="str">
        <f>IFERROR(__xludf.DUMMYFUNCTION("""COMPUTED_VALUE"""),"PUERTO SANTA ROSA")</f>
        <v>PUERTO SANTA ROSA</v>
      </c>
      <c r="O4" s="65" t="str">
        <f>IFERROR(__xludf.DUMMYFUNCTION("""COMPUTED_VALUE"""),"Calle 56 Av 39 Diagonal estafio rio guayas frente a casa pastoral -")</f>
        <v>Calle 56 Av 39 Diagonal estafio rio guayas frente a casa pastoral -</v>
      </c>
      <c r="P4" s="65"/>
      <c r="Q4" s="65" t="str">
        <f>IFERROR(__xludf.DUMMYFUNCTION("""COMPUTED_VALUE"""),"LAARCOURIER")</f>
        <v>LAARCOURIER</v>
      </c>
      <c r="R4" s="65">
        <f>IFERROR(__xludf.DUMMYFUNCTION("""COMPUTED_VALUE"""),22.0)</f>
        <v>22</v>
      </c>
      <c r="S4" s="65"/>
      <c r="T4" s="65">
        <f>IFERROR(__xludf.DUMMYFUNCTION("""COMPUTED_VALUE"""),6.8)</f>
        <v>6.8</v>
      </c>
      <c r="U4" s="65">
        <f>IFERROR(__xludf.DUMMYFUNCTION("""COMPUTED_VALUE"""),0.0)</f>
        <v>0</v>
      </c>
      <c r="V4" s="65">
        <f>IFERROR(__xludf.DUMMYFUNCTION("""COMPUTED_VALUE"""),0.0)</f>
        <v>0</v>
      </c>
      <c r="W4" s="65">
        <f>IFERROR(__xludf.DUMMYFUNCTION("""COMPUTED_VALUE"""),0.0)</f>
        <v>0</v>
      </c>
      <c r="X4" s="65">
        <f>IFERROR(__xludf.DUMMYFUNCTION("""COMPUTED_VALUE"""),2.4)</f>
        <v>2.4</v>
      </c>
      <c r="Y4" s="65">
        <f>IFERROR(__xludf.DUMMYFUNCTION("""COMPUTED_VALUE"""),4.8)</f>
        <v>4.8</v>
      </c>
      <c r="Z4" s="65">
        <f>IFERROR(__xludf.DUMMYFUNCTION("""COMPUTED_VALUE"""),119189.0)</f>
        <v>119189</v>
      </c>
      <c r="AA4" s="65" t="str">
        <f>IFERROR(__xludf.DUMMYFUNCTION("""COMPUTED_VALUE"""),"CUCHILLO DE CHEF")</f>
        <v>CUCHILLO DE CHEF</v>
      </c>
      <c r="AB4" s="65"/>
      <c r="AC4" s="65" t="str">
        <f>IFERROR(__xludf.DUMMYFUNCTION("""COMPUTED_VALUE"""),"CUCHILLO DE CHEF")</f>
        <v>CUCHILLO DE CHEF</v>
      </c>
      <c r="AD4" s="65"/>
      <c r="AE4" s="65">
        <f>IFERROR(__xludf.DUMMYFUNCTION("""COMPUTED_VALUE"""),2.0)</f>
        <v>2</v>
      </c>
      <c r="AF4" s="65"/>
      <c r="AG4" s="65"/>
      <c r="AH4" s="65"/>
      <c r="AI4" s="65"/>
      <c r="AJ4" s="65"/>
      <c r="AK4" s="65"/>
      <c r="AL4" s="65"/>
      <c r="AM4" s="65"/>
      <c r="AN4" s="65"/>
      <c r="AO4" s="65"/>
      <c r="AP4" s="65"/>
      <c r="AQ4" s="65"/>
      <c r="AR4" s="65"/>
      <c r="AS4" s="65"/>
      <c r="AT4" s="65" t="str">
        <f>IFERROR(__xludf.DUMMYFUNCTION("""COMPUTED_VALUE"""),"SHOPIFY")</f>
        <v>SHOPIFY</v>
      </c>
      <c r="AU4" s="65" t="str">
        <f>IFERROR(__xludf.DUMMYFUNCTION("""COMPUTED_VALUE"""),"IMPORTEX EC")</f>
        <v>IMPORTEX EC</v>
      </c>
      <c r="AV4" s="65" t="str">
        <f>IFERROR(__xludf.DUMMYFUNCTION("""COMPUTED_VALUE"""),"6606394490924")</f>
        <v>6606394490924</v>
      </c>
      <c r="AW4" s="65">
        <f>IFERROR(__xludf.DUMMYFUNCTION("""COMPUTED_VALUE"""),6835.0)</f>
        <v>6835</v>
      </c>
      <c r="AX4" s="65"/>
      <c r="AY4" s="65"/>
      <c r="AZ4" s="65"/>
      <c r="BA4" s="65"/>
    </row>
    <row r="5">
      <c r="A5" s="65" t="str">
        <f>IFERROR(__xludf.DUMMYFUNCTION("""COMPUTED_VALUE"""),"27-03-2026")</f>
        <v>27-03-2026</v>
      </c>
      <c r="B5" s="65">
        <f>IFERROR(__xludf.DUMMYFUNCTION("""COMPUTED_VALUE"""),4924635.0)</f>
        <v>4924635</v>
      </c>
      <c r="C5" s="65" t="str">
        <f>IFERROR(__xludf.DUMMYFUNCTION("""COMPUTED_VALUE"""),"22:10")</f>
        <v>22:10</v>
      </c>
      <c r="D5" s="65" t="str">
        <f>IFERROR(__xludf.DUMMYFUNCTION("""COMPUTED_VALUE"""),"26-03-2026")</f>
        <v>26-03-2026</v>
      </c>
      <c r="E5" s="65" t="str">
        <f>IFERROR(__xludf.DUMMYFUNCTION("""COMPUTED_VALUE"""),"Néstor Rodriguez")</f>
        <v>Néstor Rodriguez</v>
      </c>
      <c r="F5" s="65" t="str">
        <f>IFERROR(__xludf.DUMMYFUNCTION("""COMPUTED_VALUE"""),"995336267")</f>
        <v>995336267</v>
      </c>
      <c r="G5" s="65" t="str">
        <f>IFERROR(__xludf.DUMMYFUNCTION("""COMPUTED_VALUE"""),"nestorarn77@gmail.com")</f>
        <v>nestorarn77@gmail.com</v>
      </c>
      <c r="H5" s="65"/>
      <c r="I5" s="65"/>
      <c r="J5" s="65"/>
      <c r="K5" s="65" t="str">
        <f>IFERROR(__xludf.DUMMYFUNCTION("""COMPUTED_VALUE"""),"PENDIENTE CONFIRMACION")</f>
        <v>PENDIENTE CONFIRMACION</v>
      </c>
      <c r="L5" s="65" t="str">
        <f>IFERROR(__xludf.DUMMYFUNCTION("""COMPUTED_VALUE"""),"CON RECAUDO")</f>
        <v>CON RECAUDO</v>
      </c>
      <c r="M5" s="65" t="str">
        <f>IFERROR(__xludf.DUMMYFUNCTION("""COMPUTED_VALUE"""),"PICHINCHA")</f>
        <v>PICHINCHA</v>
      </c>
      <c r="N5" s="65" t="str">
        <f>IFERROR(__xludf.DUMMYFUNCTION("""COMPUTED_VALUE"""),"CONOCOTO")</f>
        <v>CONOCOTO</v>
      </c>
      <c r="O5" s="65" t="str">
        <f>IFERROR(__xludf.DUMMYFUNCTION("""COMPUTED_VALUE"""),"Julio matovelle bosques de valle 2 y charles darwin La armenia -")</f>
        <v>Julio matovelle bosques de valle 2 y charles darwin La armenia -</v>
      </c>
      <c r="P5" s="65"/>
      <c r="Q5" s="65" t="str">
        <f>IFERROR(__xludf.DUMMYFUNCTION("""COMPUTED_VALUE"""),"GINTRACOM")</f>
        <v>GINTRACOM</v>
      </c>
      <c r="R5" s="65">
        <f>IFERROR(__xludf.DUMMYFUNCTION("""COMPUTED_VALUE"""),27.0)</f>
        <v>27</v>
      </c>
      <c r="S5" s="65"/>
      <c r="T5" s="65">
        <f>IFERROR(__xludf.DUMMYFUNCTION("""COMPUTED_VALUE"""),6.03)</f>
        <v>6.03</v>
      </c>
      <c r="U5" s="65">
        <f>IFERROR(__xludf.DUMMYFUNCTION("""COMPUTED_VALUE"""),0.0)</f>
        <v>0</v>
      </c>
      <c r="V5" s="65">
        <f>IFERROR(__xludf.DUMMYFUNCTION("""COMPUTED_VALUE"""),0.0)</f>
        <v>0</v>
      </c>
      <c r="W5" s="65">
        <f>IFERROR(__xludf.DUMMYFUNCTION("""COMPUTED_VALUE"""),0.0)</f>
        <v>0</v>
      </c>
      <c r="X5" s="65">
        <f>IFERROR(__xludf.DUMMYFUNCTION("""COMPUTED_VALUE"""),2.4)</f>
        <v>2.4</v>
      </c>
      <c r="Y5" s="65">
        <f>IFERROR(__xludf.DUMMYFUNCTION("""COMPUTED_VALUE"""),7.2)</f>
        <v>7.2</v>
      </c>
      <c r="Z5" s="65">
        <f>IFERROR(__xludf.DUMMYFUNCTION("""COMPUTED_VALUE"""),119189.0)</f>
        <v>119189</v>
      </c>
      <c r="AA5" s="65" t="str">
        <f>IFERROR(__xludf.DUMMYFUNCTION("""COMPUTED_VALUE"""),"CUCHILLO DE CHEF")</f>
        <v>CUCHILLO DE CHEF</v>
      </c>
      <c r="AB5" s="65"/>
      <c r="AC5" s="65" t="str">
        <f>IFERROR(__xludf.DUMMYFUNCTION("""COMPUTED_VALUE"""),"CUCHILLO DE CHEF")</f>
        <v>CUCHILLO DE CHEF</v>
      </c>
      <c r="AD5" s="65"/>
      <c r="AE5" s="65">
        <f>IFERROR(__xludf.DUMMYFUNCTION("""COMPUTED_VALUE"""),3.0)</f>
        <v>3</v>
      </c>
      <c r="AF5" s="65"/>
      <c r="AG5" s="65"/>
      <c r="AH5" s="65"/>
      <c r="AI5" s="65"/>
      <c r="AJ5" s="65"/>
      <c r="AK5" s="65"/>
      <c r="AL5" s="65"/>
      <c r="AM5" s="65"/>
      <c r="AN5" s="65"/>
      <c r="AO5" s="65"/>
      <c r="AP5" s="65"/>
      <c r="AQ5" s="65"/>
      <c r="AR5" s="65"/>
      <c r="AS5" s="65"/>
      <c r="AT5" s="65" t="str">
        <f>IFERROR(__xludf.DUMMYFUNCTION("""COMPUTED_VALUE"""),"SHOPIFY")</f>
        <v>SHOPIFY</v>
      </c>
      <c r="AU5" s="65" t="str">
        <f>IFERROR(__xludf.DUMMYFUNCTION("""COMPUTED_VALUE"""),"IMPORTEX EC")</f>
        <v>IMPORTEX EC</v>
      </c>
      <c r="AV5" s="65" t="str">
        <f>IFERROR(__xludf.DUMMYFUNCTION("""COMPUTED_VALUE"""),"6606323875884")</f>
        <v>6606323875884</v>
      </c>
      <c r="AW5" s="65">
        <f>IFERROR(__xludf.DUMMYFUNCTION("""COMPUTED_VALUE"""),6833.0)</f>
        <v>6833</v>
      </c>
      <c r="AX5" s="65"/>
      <c r="AY5" s="65"/>
      <c r="AZ5" s="65"/>
      <c r="BA5" s="65"/>
    </row>
    <row r="6">
      <c r="A6" s="65" t="str">
        <f>IFERROR(__xludf.DUMMYFUNCTION("""COMPUTED_VALUE"""),"27-03-2026")</f>
        <v>27-03-2026</v>
      </c>
      <c r="B6" s="65">
        <f>IFERROR(__xludf.DUMMYFUNCTION("""COMPUTED_VALUE"""),4924022.0)</f>
        <v>4924022</v>
      </c>
      <c r="C6" s="65" t="str">
        <f>IFERROR(__xludf.DUMMYFUNCTION("""COMPUTED_VALUE"""),"21:05")</f>
        <v>21:05</v>
      </c>
      <c r="D6" s="65" t="str">
        <f>IFERROR(__xludf.DUMMYFUNCTION("""COMPUTED_VALUE"""),"26-03-2026")</f>
        <v>26-03-2026</v>
      </c>
      <c r="E6" s="65" t="str">
        <f>IFERROR(__xludf.DUMMYFUNCTION("""COMPUTED_VALUE"""),"Luis Aizaga")</f>
        <v>Luis Aizaga</v>
      </c>
      <c r="F6" s="65" t="str">
        <f>IFERROR(__xludf.DUMMYFUNCTION("""COMPUTED_VALUE"""),"986729725")</f>
        <v>986729725</v>
      </c>
      <c r="G6" s="65" t="str">
        <f>IFERROR(__xludf.DUMMYFUNCTION("""COMPUTED_VALUE"""),"gluisalberto18@gmail.com")</f>
        <v>gluisalberto18@gmail.com</v>
      </c>
      <c r="H6" s="65"/>
      <c r="I6" s="65"/>
      <c r="J6" s="65"/>
      <c r="K6" s="65" t="str">
        <f>IFERROR(__xludf.DUMMYFUNCTION("""COMPUTED_VALUE"""),"PENDIENTE CONFIRMACION")</f>
        <v>PENDIENTE CONFIRMACION</v>
      </c>
      <c r="L6" s="65" t="str">
        <f>IFERROR(__xludf.DUMMYFUNCTION("""COMPUTED_VALUE"""),"CON RECAUDO")</f>
        <v>CON RECAUDO</v>
      </c>
      <c r="M6" s="65" t="str">
        <f>IFERROR(__xludf.DUMMYFUNCTION("""COMPUTED_VALUE"""),"GUAYAS")</f>
        <v>GUAYAS</v>
      </c>
      <c r="N6" s="65" t="str">
        <f>IFERROR(__xludf.DUMMYFUNCTION("""COMPUTED_VALUE"""),"GUAYAQUIL")</f>
        <v>GUAYAQUIL</v>
      </c>
      <c r="O6" s="65" t="str">
        <f>IFERROR(__xludf.DUMMYFUNCTION("""COMPUTED_VALUE"""),"Guayacanes Av José Luis tamayo Guayacanes Mz82 V2 -")</f>
        <v>Guayacanes Av José Luis tamayo Guayacanes Mz82 V2 -</v>
      </c>
      <c r="P6" s="65"/>
      <c r="Q6" s="65" t="str">
        <f>IFERROR(__xludf.DUMMYFUNCTION("""COMPUTED_VALUE"""),"GINTRACOM")</f>
        <v>GINTRACOM</v>
      </c>
      <c r="R6" s="65">
        <f>IFERROR(__xludf.DUMMYFUNCTION("""COMPUTED_VALUE"""),32.0)</f>
        <v>32</v>
      </c>
      <c r="S6" s="65"/>
      <c r="T6" s="65">
        <f>IFERROR(__xludf.DUMMYFUNCTION("""COMPUTED_VALUE"""),4.63)</f>
        <v>4.63</v>
      </c>
      <c r="U6" s="65">
        <f>IFERROR(__xludf.DUMMYFUNCTION("""COMPUTED_VALUE"""),0.0)</f>
        <v>0</v>
      </c>
      <c r="V6" s="65">
        <f>IFERROR(__xludf.DUMMYFUNCTION("""COMPUTED_VALUE"""),0.0)</f>
        <v>0</v>
      </c>
      <c r="W6" s="65">
        <f>IFERROR(__xludf.DUMMYFUNCTION("""COMPUTED_VALUE"""),0.0)</f>
        <v>0</v>
      </c>
      <c r="X6" s="65">
        <f>IFERROR(__xludf.DUMMYFUNCTION("""COMPUTED_VALUE"""),2.4)</f>
        <v>2.4</v>
      </c>
      <c r="Y6" s="65">
        <f>IFERROR(__xludf.DUMMYFUNCTION("""COMPUTED_VALUE"""),9.6)</f>
        <v>9.6</v>
      </c>
      <c r="Z6" s="65">
        <f>IFERROR(__xludf.DUMMYFUNCTION("""COMPUTED_VALUE"""),119189.0)</f>
        <v>119189</v>
      </c>
      <c r="AA6" s="65" t="str">
        <f>IFERROR(__xludf.DUMMYFUNCTION("""COMPUTED_VALUE"""),"CUCHILLO DE CHEF")</f>
        <v>CUCHILLO DE CHEF</v>
      </c>
      <c r="AB6" s="65"/>
      <c r="AC6" s="65" t="str">
        <f>IFERROR(__xludf.DUMMYFUNCTION("""COMPUTED_VALUE"""),"CUCHILLO DE CHEF")</f>
        <v>CUCHILLO DE CHEF</v>
      </c>
      <c r="AD6" s="65"/>
      <c r="AE6" s="65">
        <f>IFERROR(__xludf.DUMMYFUNCTION("""COMPUTED_VALUE"""),4.0)</f>
        <v>4</v>
      </c>
      <c r="AF6" s="65"/>
      <c r="AG6" s="65"/>
      <c r="AH6" s="65"/>
      <c r="AI6" s="65"/>
      <c r="AJ6" s="65"/>
      <c r="AK6" s="65"/>
      <c r="AL6" s="65"/>
      <c r="AM6" s="65"/>
      <c r="AN6" s="65"/>
      <c r="AO6" s="65"/>
      <c r="AP6" s="65"/>
      <c r="AQ6" s="65"/>
      <c r="AR6" s="65"/>
      <c r="AS6" s="65"/>
      <c r="AT6" s="65" t="str">
        <f>IFERROR(__xludf.DUMMYFUNCTION("""COMPUTED_VALUE"""),"SHOPIFY")</f>
        <v>SHOPIFY</v>
      </c>
      <c r="AU6" s="65" t="str">
        <f>IFERROR(__xludf.DUMMYFUNCTION("""COMPUTED_VALUE"""),"IMPORTEX EC")</f>
        <v>IMPORTEX EC</v>
      </c>
      <c r="AV6" s="65" t="str">
        <f>IFERROR(__xludf.DUMMYFUNCTION("""COMPUTED_VALUE"""),"6606192836652")</f>
        <v>6606192836652</v>
      </c>
      <c r="AW6" s="65">
        <f>IFERROR(__xludf.DUMMYFUNCTION("""COMPUTED_VALUE"""),6831.0)</f>
        <v>6831</v>
      </c>
      <c r="AX6" s="65"/>
      <c r="AY6" s="65"/>
      <c r="AZ6" s="65"/>
      <c r="BA6" s="65"/>
    </row>
    <row r="7">
      <c r="A7" s="65" t="str">
        <f>IFERROR(__xludf.DUMMYFUNCTION("""COMPUTED_VALUE"""),"27-03-2026")</f>
        <v>27-03-2026</v>
      </c>
      <c r="B7" s="65">
        <f>IFERROR(__xludf.DUMMYFUNCTION("""COMPUTED_VALUE"""),4923947.0)</f>
        <v>4923947</v>
      </c>
      <c r="C7" s="65" t="str">
        <f>IFERROR(__xludf.DUMMYFUNCTION("""COMPUTED_VALUE"""),"20:57")</f>
        <v>20:57</v>
      </c>
      <c r="D7" s="65" t="str">
        <f>IFERROR(__xludf.DUMMYFUNCTION("""COMPUTED_VALUE"""),"26-03-2026")</f>
        <v>26-03-2026</v>
      </c>
      <c r="E7" s="65" t="str">
        <f>IFERROR(__xludf.DUMMYFUNCTION("""COMPUTED_VALUE"""),"Gloria Sigcha")</f>
        <v>Gloria Sigcha</v>
      </c>
      <c r="F7" s="65" t="str">
        <f>IFERROR(__xludf.DUMMYFUNCTION("""COMPUTED_VALUE"""),"958964033")</f>
        <v>958964033</v>
      </c>
      <c r="G7" s="65" t="str">
        <f>IFERROR(__xludf.DUMMYFUNCTION("""COMPUTED_VALUE"""),"mariomera19enero@gimail.com")</f>
        <v>mariomera19enero@gimail.com</v>
      </c>
      <c r="H7" s="65"/>
      <c r="I7" s="65"/>
      <c r="J7" s="65"/>
      <c r="K7" s="65" t="str">
        <f>IFERROR(__xludf.DUMMYFUNCTION("""COMPUTED_VALUE"""),"PENDIENTE CONFIRMACION")</f>
        <v>PENDIENTE CONFIRMACION</v>
      </c>
      <c r="L7" s="65" t="str">
        <f>IFERROR(__xludf.DUMMYFUNCTION("""COMPUTED_VALUE"""),"CON RECAUDO")</f>
        <v>CON RECAUDO</v>
      </c>
      <c r="M7" s="65" t="str">
        <f>IFERROR(__xludf.DUMMYFUNCTION("""COMPUTED_VALUE"""),"PICHINCHA")</f>
        <v>PICHINCHA</v>
      </c>
      <c r="N7" s="65" t="str">
        <f>IFERROR(__xludf.DUMMYFUNCTION("""COMPUTED_VALUE"""),"QUITO")</f>
        <v>QUITO</v>
      </c>
      <c r="O7" s="65" t="str">
        <f>IFERROR(__xludf.DUMMYFUNCTION("""COMPUTED_VALUE"""),"José Jiménez y Ordoñes Carcelen frente. La iglesia corazón de Jesús -")</f>
        <v>José Jiménez y Ordoñes Carcelen frente. La iglesia corazón de Jesús -</v>
      </c>
      <c r="P7" s="65"/>
      <c r="Q7" s="65" t="str">
        <f>IFERROR(__xludf.DUMMYFUNCTION("""COMPUTED_VALUE"""),"GINTRACOM")</f>
        <v>GINTRACOM</v>
      </c>
      <c r="R7" s="65">
        <f>IFERROR(__xludf.DUMMYFUNCTION("""COMPUTED_VALUE"""),22.0)</f>
        <v>22</v>
      </c>
      <c r="S7" s="65"/>
      <c r="T7" s="65">
        <f>IFERROR(__xludf.DUMMYFUNCTION("""COMPUTED_VALUE"""),5.84)</f>
        <v>5.84</v>
      </c>
      <c r="U7" s="65">
        <f>IFERROR(__xludf.DUMMYFUNCTION("""COMPUTED_VALUE"""),0.0)</f>
        <v>0</v>
      </c>
      <c r="V7" s="65">
        <f>IFERROR(__xludf.DUMMYFUNCTION("""COMPUTED_VALUE"""),0.0)</f>
        <v>0</v>
      </c>
      <c r="W7" s="65">
        <f>IFERROR(__xludf.DUMMYFUNCTION("""COMPUTED_VALUE"""),0.0)</f>
        <v>0</v>
      </c>
      <c r="X7" s="65">
        <f>IFERROR(__xludf.DUMMYFUNCTION("""COMPUTED_VALUE"""),2.4)</f>
        <v>2.4</v>
      </c>
      <c r="Y7" s="65">
        <f>IFERROR(__xludf.DUMMYFUNCTION("""COMPUTED_VALUE"""),4.8)</f>
        <v>4.8</v>
      </c>
      <c r="Z7" s="65">
        <f>IFERROR(__xludf.DUMMYFUNCTION("""COMPUTED_VALUE"""),119189.0)</f>
        <v>119189</v>
      </c>
      <c r="AA7" s="65" t="str">
        <f>IFERROR(__xludf.DUMMYFUNCTION("""COMPUTED_VALUE"""),"CUCHILLO DE CHEF")</f>
        <v>CUCHILLO DE CHEF</v>
      </c>
      <c r="AB7" s="65"/>
      <c r="AC7" s="65" t="str">
        <f>IFERROR(__xludf.DUMMYFUNCTION("""COMPUTED_VALUE"""),"CUCHILLO DE CHEF")</f>
        <v>CUCHILLO DE CHEF</v>
      </c>
      <c r="AD7" s="65"/>
      <c r="AE7" s="65">
        <f>IFERROR(__xludf.DUMMYFUNCTION("""COMPUTED_VALUE"""),2.0)</f>
        <v>2</v>
      </c>
      <c r="AF7" s="65"/>
      <c r="AG7" s="65"/>
      <c r="AH7" s="65"/>
      <c r="AI7" s="65"/>
      <c r="AJ7" s="65"/>
      <c r="AK7" s="65"/>
      <c r="AL7" s="65"/>
      <c r="AM7" s="65"/>
      <c r="AN7" s="65"/>
      <c r="AO7" s="65"/>
      <c r="AP7" s="65"/>
      <c r="AQ7" s="65"/>
      <c r="AR7" s="65"/>
      <c r="AS7" s="65"/>
      <c r="AT7" s="65" t="str">
        <f>IFERROR(__xludf.DUMMYFUNCTION("""COMPUTED_VALUE"""),"SHOPIFY")</f>
        <v>SHOPIFY</v>
      </c>
      <c r="AU7" s="65" t="str">
        <f>IFERROR(__xludf.DUMMYFUNCTION("""COMPUTED_VALUE"""),"IMPORTEX EC")</f>
        <v>IMPORTEX EC</v>
      </c>
      <c r="AV7" s="65" t="str">
        <f>IFERROR(__xludf.DUMMYFUNCTION("""COMPUTED_VALUE"""),"6606176092204")</f>
        <v>6606176092204</v>
      </c>
      <c r="AW7" s="65">
        <f>IFERROR(__xludf.DUMMYFUNCTION("""COMPUTED_VALUE"""),6830.0)</f>
        <v>6830</v>
      </c>
      <c r="AX7" s="65"/>
      <c r="AY7" s="65"/>
      <c r="AZ7" s="65"/>
      <c r="BA7" s="65"/>
    </row>
    <row r="8">
      <c r="A8" s="65" t="str">
        <f>IFERROR(__xludf.DUMMYFUNCTION("""COMPUTED_VALUE"""),"27-03-2026")</f>
        <v>27-03-2026</v>
      </c>
      <c r="B8" s="65">
        <f>IFERROR(__xludf.DUMMYFUNCTION("""COMPUTED_VALUE"""),4923888.0)</f>
        <v>4923888</v>
      </c>
      <c r="C8" s="65" t="str">
        <f>IFERROR(__xludf.DUMMYFUNCTION("""COMPUTED_VALUE"""),"20:50")</f>
        <v>20:50</v>
      </c>
      <c r="D8" s="65" t="str">
        <f>IFERROR(__xludf.DUMMYFUNCTION("""COMPUTED_VALUE"""),"26-03-2026")</f>
        <v>26-03-2026</v>
      </c>
      <c r="E8" s="65" t="str">
        <f>IFERROR(__xludf.DUMMYFUNCTION("""COMPUTED_VALUE"""),"Antonio Sánchez")</f>
        <v>Antonio Sánchez</v>
      </c>
      <c r="F8" s="65" t="str">
        <f>IFERROR(__xludf.DUMMYFUNCTION("""COMPUTED_VALUE"""),"989147228")</f>
        <v>989147228</v>
      </c>
      <c r="G8" s="65" t="str">
        <f>IFERROR(__xludf.DUMMYFUNCTION("""COMPUTED_VALUE"""),"fabianantoniosb120@gmail.com")</f>
        <v>fabianantoniosb120@gmail.com</v>
      </c>
      <c r="H8" s="65"/>
      <c r="I8" s="65"/>
      <c r="J8" s="65"/>
      <c r="K8" s="65" t="str">
        <f>IFERROR(__xludf.DUMMYFUNCTION("""COMPUTED_VALUE"""),"PENDIENTE CONFIRMACION")</f>
        <v>PENDIENTE CONFIRMACION</v>
      </c>
      <c r="L8" s="65" t="str">
        <f>IFERROR(__xludf.DUMMYFUNCTION("""COMPUTED_VALUE"""),"CON RECAUDO")</f>
        <v>CON RECAUDO</v>
      </c>
      <c r="M8" s="65" t="str">
        <f>IFERROR(__xludf.DUMMYFUNCTION("""COMPUTED_VALUE"""),"LOS RIOS")</f>
        <v>LOS RIOS</v>
      </c>
      <c r="N8" s="65" t="str">
        <f>IFERROR(__xludf.DUMMYFUNCTION("""COMPUTED_VALUE"""),"BABA")</f>
        <v>BABA</v>
      </c>
      <c r="O8" s="65" t="str">
        <f>IFERROR(__xludf.DUMMYFUNCTION("""COMPUTED_VALUE"""),"Por Servientrega lo retiró en baba hay Servientrega allí retiro yo Baba -")</f>
        <v>Por Servientrega lo retiró en baba hay Servientrega allí retiro yo Baba -</v>
      </c>
      <c r="P8" s="65"/>
      <c r="Q8" s="65" t="str">
        <f>IFERROR(__xludf.DUMMYFUNCTION("""COMPUTED_VALUE"""),"GINTRACOM")</f>
        <v>GINTRACOM</v>
      </c>
      <c r="R8" s="65">
        <f>IFERROR(__xludf.DUMMYFUNCTION("""COMPUTED_VALUE"""),22.0)</f>
        <v>22</v>
      </c>
      <c r="S8" s="65"/>
      <c r="T8" s="65">
        <f>IFERROR(__xludf.DUMMYFUNCTION("""COMPUTED_VALUE"""),6.41)</f>
        <v>6.41</v>
      </c>
      <c r="U8" s="65">
        <f>IFERROR(__xludf.DUMMYFUNCTION("""COMPUTED_VALUE"""),0.0)</f>
        <v>0</v>
      </c>
      <c r="V8" s="65">
        <f>IFERROR(__xludf.DUMMYFUNCTION("""COMPUTED_VALUE"""),0.0)</f>
        <v>0</v>
      </c>
      <c r="W8" s="65">
        <f>IFERROR(__xludf.DUMMYFUNCTION("""COMPUTED_VALUE"""),0.0)</f>
        <v>0</v>
      </c>
      <c r="X8" s="65">
        <f>IFERROR(__xludf.DUMMYFUNCTION("""COMPUTED_VALUE"""),2.4)</f>
        <v>2.4</v>
      </c>
      <c r="Y8" s="65">
        <f>IFERROR(__xludf.DUMMYFUNCTION("""COMPUTED_VALUE"""),4.8)</f>
        <v>4.8</v>
      </c>
      <c r="Z8" s="65">
        <f>IFERROR(__xludf.DUMMYFUNCTION("""COMPUTED_VALUE"""),119189.0)</f>
        <v>119189</v>
      </c>
      <c r="AA8" s="65" t="str">
        <f>IFERROR(__xludf.DUMMYFUNCTION("""COMPUTED_VALUE"""),"CUCHILLO DE CHEF")</f>
        <v>CUCHILLO DE CHEF</v>
      </c>
      <c r="AB8" s="65"/>
      <c r="AC8" s="65" t="str">
        <f>IFERROR(__xludf.DUMMYFUNCTION("""COMPUTED_VALUE"""),"CUCHILLO DE CHEF")</f>
        <v>CUCHILLO DE CHEF</v>
      </c>
      <c r="AD8" s="65"/>
      <c r="AE8" s="65">
        <f>IFERROR(__xludf.DUMMYFUNCTION("""COMPUTED_VALUE"""),2.0)</f>
        <v>2</v>
      </c>
      <c r="AF8" s="65"/>
      <c r="AG8" s="65"/>
      <c r="AH8" s="65"/>
      <c r="AI8" s="65"/>
      <c r="AJ8" s="65"/>
      <c r="AK8" s="65"/>
      <c r="AL8" s="65"/>
      <c r="AM8" s="65"/>
      <c r="AN8" s="65"/>
      <c r="AO8" s="65"/>
      <c r="AP8" s="65"/>
      <c r="AQ8" s="65"/>
      <c r="AR8" s="65"/>
      <c r="AS8" s="65"/>
      <c r="AT8" s="65" t="str">
        <f>IFERROR(__xludf.DUMMYFUNCTION("""COMPUTED_VALUE"""),"SHOPIFY")</f>
        <v>SHOPIFY</v>
      </c>
      <c r="AU8" s="65" t="str">
        <f>IFERROR(__xludf.DUMMYFUNCTION("""COMPUTED_VALUE"""),"IMPORTEX EC")</f>
        <v>IMPORTEX EC</v>
      </c>
      <c r="AV8" s="65" t="str">
        <f>IFERROR(__xludf.DUMMYFUNCTION("""COMPUTED_VALUE"""),"6606163673132")</f>
        <v>6606163673132</v>
      </c>
      <c r="AW8" s="65">
        <f>IFERROR(__xludf.DUMMYFUNCTION("""COMPUTED_VALUE"""),6829.0)</f>
        <v>6829</v>
      </c>
      <c r="AX8" s="65"/>
      <c r="AY8" s="65"/>
      <c r="AZ8" s="65"/>
      <c r="BA8" s="65"/>
    </row>
    <row r="9">
      <c r="A9" s="65" t="str">
        <f>IFERROR(__xludf.DUMMYFUNCTION("""COMPUTED_VALUE"""),"27-03-2026")</f>
        <v>27-03-2026</v>
      </c>
      <c r="B9" s="65">
        <f>IFERROR(__xludf.DUMMYFUNCTION("""COMPUTED_VALUE"""),4923799.0)</f>
        <v>4923799</v>
      </c>
      <c r="C9" s="65" t="str">
        <f>IFERROR(__xludf.DUMMYFUNCTION("""COMPUTED_VALUE"""),"20:41")</f>
        <v>20:41</v>
      </c>
      <c r="D9" s="65" t="str">
        <f>IFERROR(__xludf.DUMMYFUNCTION("""COMPUTED_VALUE"""),"26-03-2026")</f>
        <v>26-03-2026</v>
      </c>
      <c r="E9" s="65" t="str">
        <f>IFERROR(__xludf.DUMMYFUNCTION("""COMPUTED_VALUE"""),"Angel humberto Lopez zambrano")</f>
        <v>Angel humberto Lopez zambrano</v>
      </c>
      <c r="F9" s="65" t="str">
        <f>IFERROR(__xludf.DUMMYFUNCTION("""COMPUTED_VALUE"""),"984444705")</f>
        <v>984444705</v>
      </c>
      <c r="G9" s="65" t="str">
        <f>IFERROR(__xludf.DUMMYFUNCTION("""COMPUTED_VALUE"""),"angellopezzambrano@gmail.com")</f>
        <v>angellopezzambrano@gmail.com</v>
      </c>
      <c r="H9" s="65"/>
      <c r="I9" s="65"/>
      <c r="J9" s="65"/>
      <c r="K9" s="65" t="str">
        <f>IFERROR(__xludf.DUMMYFUNCTION("""COMPUTED_VALUE"""),"PENDIENTE CONFIRMACION")</f>
        <v>PENDIENTE CONFIRMACION</v>
      </c>
      <c r="L9" s="65" t="str">
        <f>IFERROR(__xludf.DUMMYFUNCTION("""COMPUTED_VALUE"""),"CON RECAUDO")</f>
        <v>CON RECAUDO</v>
      </c>
      <c r="M9" s="65" t="str">
        <f>IFERROR(__xludf.DUMMYFUNCTION("""COMPUTED_VALUE"""),"LOS RIOS")</f>
        <v>LOS RIOS</v>
      </c>
      <c r="N9" s="65" t="str">
        <f>IFERROR(__xludf.DUMMYFUNCTION("""COMPUTED_VALUE"""),"QUEVEDO")</f>
        <v>QUEVEDO</v>
      </c>
      <c r="O9" s="65" t="str">
        <f>IFERROR(__xludf.DUMMYFUNCTION("""COMPUTED_VALUE"""),"Anillo vial quevedo ventanas pasando la gasolinera karolina a 300 metros Recinto la sucre en la via principal -")</f>
        <v>Anillo vial quevedo ventanas pasando la gasolinera karolina a 300 metros Recinto la sucre en la via principal -</v>
      </c>
      <c r="P9" s="65"/>
      <c r="Q9" s="65" t="str">
        <f>IFERROR(__xludf.DUMMYFUNCTION("""COMPUTED_VALUE"""),"GINTRACOM")</f>
        <v>GINTRACOM</v>
      </c>
      <c r="R9" s="65">
        <f>IFERROR(__xludf.DUMMYFUNCTION("""COMPUTED_VALUE"""),22.0)</f>
        <v>22</v>
      </c>
      <c r="S9" s="65"/>
      <c r="T9" s="65">
        <f>IFERROR(__xludf.DUMMYFUNCTION("""COMPUTED_VALUE"""),5.84)</f>
        <v>5.84</v>
      </c>
      <c r="U9" s="65">
        <f>IFERROR(__xludf.DUMMYFUNCTION("""COMPUTED_VALUE"""),0.0)</f>
        <v>0</v>
      </c>
      <c r="V9" s="65">
        <f>IFERROR(__xludf.DUMMYFUNCTION("""COMPUTED_VALUE"""),0.0)</f>
        <v>0</v>
      </c>
      <c r="W9" s="65">
        <f>IFERROR(__xludf.DUMMYFUNCTION("""COMPUTED_VALUE"""),0.0)</f>
        <v>0</v>
      </c>
      <c r="X9" s="65">
        <f>IFERROR(__xludf.DUMMYFUNCTION("""COMPUTED_VALUE"""),2.4)</f>
        <v>2.4</v>
      </c>
      <c r="Y9" s="65">
        <f>IFERROR(__xludf.DUMMYFUNCTION("""COMPUTED_VALUE"""),4.8)</f>
        <v>4.8</v>
      </c>
      <c r="Z9" s="65">
        <f>IFERROR(__xludf.DUMMYFUNCTION("""COMPUTED_VALUE"""),119189.0)</f>
        <v>119189</v>
      </c>
      <c r="AA9" s="65" t="str">
        <f>IFERROR(__xludf.DUMMYFUNCTION("""COMPUTED_VALUE"""),"CUCHILLO DE CHEF")</f>
        <v>CUCHILLO DE CHEF</v>
      </c>
      <c r="AB9" s="65"/>
      <c r="AC9" s="65" t="str">
        <f>IFERROR(__xludf.DUMMYFUNCTION("""COMPUTED_VALUE"""),"CUCHILLO DE CHEF")</f>
        <v>CUCHILLO DE CHEF</v>
      </c>
      <c r="AD9" s="65"/>
      <c r="AE9" s="65">
        <f>IFERROR(__xludf.DUMMYFUNCTION("""COMPUTED_VALUE"""),2.0)</f>
        <v>2</v>
      </c>
      <c r="AF9" s="65"/>
      <c r="AG9" s="65"/>
      <c r="AH9" s="65"/>
      <c r="AI9" s="65"/>
      <c r="AJ9" s="65"/>
      <c r="AK9" s="65"/>
      <c r="AL9" s="65"/>
      <c r="AM9" s="65"/>
      <c r="AN9" s="65"/>
      <c r="AO9" s="65"/>
      <c r="AP9" s="65"/>
      <c r="AQ9" s="65"/>
      <c r="AR9" s="65"/>
      <c r="AS9" s="65"/>
      <c r="AT9" s="65" t="str">
        <f>IFERROR(__xludf.DUMMYFUNCTION("""COMPUTED_VALUE"""),"SHOPIFY")</f>
        <v>SHOPIFY</v>
      </c>
      <c r="AU9" s="65" t="str">
        <f>IFERROR(__xludf.DUMMYFUNCTION("""COMPUTED_VALUE"""),"IMPORTEX EC")</f>
        <v>IMPORTEX EC</v>
      </c>
      <c r="AV9" s="65" t="str">
        <f>IFERROR(__xludf.DUMMYFUNCTION("""COMPUTED_VALUE"""),"6606143684652")</f>
        <v>6606143684652</v>
      </c>
      <c r="AW9" s="65">
        <f>IFERROR(__xludf.DUMMYFUNCTION("""COMPUTED_VALUE"""),6828.0)</f>
        <v>6828</v>
      </c>
      <c r="AX9" s="65"/>
      <c r="AY9" s="65"/>
      <c r="AZ9" s="65"/>
      <c r="BA9" s="65"/>
    </row>
    <row r="10">
      <c r="A10" s="65" t="str">
        <f>IFERROR(__xludf.DUMMYFUNCTION("""COMPUTED_VALUE"""),"27-03-2026")</f>
        <v>27-03-2026</v>
      </c>
      <c r="B10" s="65">
        <f>IFERROR(__xludf.DUMMYFUNCTION("""COMPUTED_VALUE"""),4923790.0)</f>
        <v>4923790</v>
      </c>
      <c r="C10" s="65" t="str">
        <f>IFERROR(__xludf.DUMMYFUNCTION("""COMPUTED_VALUE"""),"20:40")</f>
        <v>20:40</v>
      </c>
      <c r="D10" s="65" t="str">
        <f>IFERROR(__xludf.DUMMYFUNCTION("""COMPUTED_VALUE"""),"26-03-2026")</f>
        <v>26-03-2026</v>
      </c>
      <c r="E10" s="65" t="str">
        <f>IFERROR(__xludf.DUMMYFUNCTION("""COMPUTED_VALUE"""),"Margarita León")</f>
        <v>Margarita León</v>
      </c>
      <c r="F10" s="65" t="str">
        <f>IFERROR(__xludf.DUMMYFUNCTION("""COMPUTED_VALUE"""),"997914127")</f>
        <v>997914127</v>
      </c>
      <c r="G10" s="65" t="str">
        <f>IFERROR(__xludf.DUMMYFUNCTION("""COMPUTED_VALUE"""),"margaritaleon259@gmail.com")</f>
        <v>margaritaleon259@gmail.com</v>
      </c>
      <c r="H10" s="65"/>
      <c r="I10" s="65"/>
      <c r="J10" s="65"/>
      <c r="K10" s="65" t="str">
        <f>IFERROR(__xludf.DUMMYFUNCTION("""COMPUTED_VALUE"""),"PENDIENTE CONFIRMACION")</f>
        <v>PENDIENTE CONFIRMACION</v>
      </c>
      <c r="L10" s="65" t="str">
        <f>IFERROR(__xludf.DUMMYFUNCTION("""COMPUTED_VALUE"""),"CON RECAUDO")</f>
        <v>CON RECAUDO</v>
      </c>
      <c r="M10" s="65" t="str">
        <f>IFERROR(__xludf.DUMMYFUNCTION("""COMPUTED_VALUE"""),"GUAYAS")</f>
        <v>GUAYAS</v>
      </c>
      <c r="N10" s="65" t="str">
        <f>IFERROR(__xludf.DUMMYFUNCTION("""COMPUTED_VALUE"""),"GUAYAQUIL")</f>
        <v>GUAYAQUIL</v>
      </c>
      <c r="O10" s="65" t="str">
        <f>IFERROR(__xludf.DUMMYFUNCTION("""COMPUTED_VALUE"""),"Orquídeas Orquídeas -")</f>
        <v>Orquídeas Orquídeas -</v>
      </c>
      <c r="P10" s="65"/>
      <c r="Q10" s="65" t="str">
        <f>IFERROR(__xludf.DUMMYFUNCTION("""COMPUTED_VALUE"""),"GINTRACOM")</f>
        <v>GINTRACOM</v>
      </c>
      <c r="R10" s="65">
        <f>IFERROR(__xludf.DUMMYFUNCTION("""COMPUTED_VALUE"""),22.0)</f>
        <v>22</v>
      </c>
      <c r="S10" s="65"/>
      <c r="T10" s="65">
        <f>IFERROR(__xludf.DUMMYFUNCTION("""COMPUTED_VALUE"""),4.23)</f>
        <v>4.23</v>
      </c>
      <c r="U10" s="65">
        <f>IFERROR(__xludf.DUMMYFUNCTION("""COMPUTED_VALUE"""),0.0)</f>
        <v>0</v>
      </c>
      <c r="V10" s="65">
        <f>IFERROR(__xludf.DUMMYFUNCTION("""COMPUTED_VALUE"""),0.0)</f>
        <v>0</v>
      </c>
      <c r="W10" s="65">
        <f>IFERROR(__xludf.DUMMYFUNCTION("""COMPUTED_VALUE"""),0.0)</f>
        <v>0</v>
      </c>
      <c r="X10" s="65">
        <f>IFERROR(__xludf.DUMMYFUNCTION("""COMPUTED_VALUE"""),2.4)</f>
        <v>2.4</v>
      </c>
      <c r="Y10" s="65">
        <f>IFERROR(__xludf.DUMMYFUNCTION("""COMPUTED_VALUE"""),4.8)</f>
        <v>4.8</v>
      </c>
      <c r="Z10" s="65">
        <f>IFERROR(__xludf.DUMMYFUNCTION("""COMPUTED_VALUE"""),119189.0)</f>
        <v>119189</v>
      </c>
      <c r="AA10" s="65" t="str">
        <f>IFERROR(__xludf.DUMMYFUNCTION("""COMPUTED_VALUE"""),"CUCHILLO DE CHEF")</f>
        <v>CUCHILLO DE CHEF</v>
      </c>
      <c r="AB10" s="65"/>
      <c r="AC10" s="65" t="str">
        <f>IFERROR(__xludf.DUMMYFUNCTION("""COMPUTED_VALUE"""),"CUCHILLO DE CHEF")</f>
        <v>CUCHILLO DE CHEF</v>
      </c>
      <c r="AD10" s="65"/>
      <c r="AE10" s="65">
        <f>IFERROR(__xludf.DUMMYFUNCTION("""COMPUTED_VALUE"""),2.0)</f>
        <v>2</v>
      </c>
      <c r="AF10" s="65"/>
      <c r="AG10" s="65"/>
      <c r="AH10" s="65"/>
      <c r="AI10" s="65"/>
      <c r="AJ10" s="65"/>
      <c r="AK10" s="65"/>
      <c r="AL10" s="65"/>
      <c r="AM10" s="65"/>
      <c r="AN10" s="65"/>
      <c r="AO10" s="65"/>
      <c r="AP10" s="65"/>
      <c r="AQ10" s="65"/>
      <c r="AR10" s="65"/>
      <c r="AS10" s="65"/>
      <c r="AT10" s="65" t="str">
        <f>IFERROR(__xludf.DUMMYFUNCTION("""COMPUTED_VALUE"""),"SHOPIFY")</f>
        <v>SHOPIFY</v>
      </c>
      <c r="AU10" s="65" t="str">
        <f>IFERROR(__xludf.DUMMYFUNCTION("""COMPUTED_VALUE"""),"IMPORTEX EC")</f>
        <v>IMPORTEX EC</v>
      </c>
      <c r="AV10" s="65" t="str">
        <f>IFERROR(__xludf.DUMMYFUNCTION("""COMPUTED_VALUE"""),"6606142013484")</f>
        <v>6606142013484</v>
      </c>
      <c r="AW10" s="65">
        <f>IFERROR(__xludf.DUMMYFUNCTION("""COMPUTED_VALUE"""),6827.0)</f>
        <v>6827</v>
      </c>
      <c r="AX10" s="65"/>
      <c r="AY10" s="65"/>
      <c r="AZ10" s="65"/>
      <c r="BA10" s="65"/>
    </row>
    <row r="11">
      <c r="A11" s="65" t="str">
        <f>IFERROR(__xludf.DUMMYFUNCTION("""COMPUTED_VALUE"""),"27-03-2026")</f>
        <v>27-03-2026</v>
      </c>
      <c r="B11" s="65">
        <f>IFERROR(__xludf.DUMMYFUNCTION("""COMPUTED_VALUE"""),4923734.0)</f>
        <v>4923734</v>
      </c>
      <c r="C11" s="65" t="str">
        <f>IFERROR(__xludf.DUMMYFUNCTION("""COMPUTED_VALUE"""),"20:33")</f>
        <v>20:33</v>
      </c>
      <c r="D11" s="65" t="str">
        <f>IFERROR(__xludf.DUMMYFUNCTION("""COMPUTED_VALUE"""),"26-03-2026")</f>
        <v>26-03-2026</v>
      </c>
      <c r="E11" s="65" t="str">
        <f>IFERROR(__xludf.DUMMYFUNCTION("""COMPUTED_VALUE"""),"Lupe Hidalgo")</f>
        <v>Lupe Hidalgo</v>
      </c>
      <c r="F11" s="65" t="str">
        <f>IFERROR(__xludf.DUMMYFUNCTION("""COMPUTED_VALUE"""),"978738187")</f>
        <v>978738187</v>
      </c>
      <c r="G11" s="65"/>
      <c r="H11" s="65"/>
      <c r="I11" s="65"/>
      <c r="J11" s="65"/>
      <c r="K11" s="65" t="str">
        <f>IFERROR(__xludf.DUMMYFUNCTION("""COMPUTED_VALUE"""),"PENDIENTE CONFIRMACION")</f>
        <v>PENDIENTE CONFIRMACION</v>
      </c>
      <c r="L11" s="65" t="str">
        <f>IFERROR(__xludf.DUMMYFUNCTION("""COMPUTED_VALUE"""),"CON RECAUDO")</f>
        <v>CON RECAUDO</v>
      </c>
      <c r="M11" s="65" t="str">
        <f>IFERROR(__xludf.DUMMYFUNCTION("""COMPUTED_VALUE"""),"PICHINCHA")</f>
        <v>PICHINCHA</v>
      </c>
      <c r="N11" s="65" t="str">
        <f>IFERROR(__xludf.DUMMYFUNCTION("""COMPUTED_VALUE"""),"YARUQUI")</f>
        <v>YARUQUI</v>
      </c>
      <c r="O11" s="65" t="str">
        <f>IFERROR(__xludf.DUMMYFUNCTION("""COMPUTED_VALUE"""),"Panamericana Norte km 32 Fundación oftalmológica del valle -")</f>
        <v>Panamericana Norte km 32 Fundación oftalmológica del valle -</v>
      </c>
      <c r="P11" s="65"/>
      <c r="Q11" s="65" t="str">
        <f>IFERROR(__xludf.DUMMYFUNCTION("""COMPUTED_VALUE"""),"GINTRACOM")</f>
        <v>GINTRACOM</v>
      </c>
      <c r="R11" s="65">
        <f>IFERROR(__xludf.DUMMYFUNCTION("""COMPUTED_VALUE"""),22.0)</f>
        <v>22</v>
      </c>
      <c r="S11" s="65"/>
      <c r="T11" s="65">
        <f>IFERROR(__xludf.DUMMYFUNCTION("""COMPUTED_VALUE"""),6.41)</f>
        <v>6.41</v>
      </c>
      <c r="U11" s="65">
        <f>IFERROR(__xludf.DUMMYFUNCTION("""COMPUTED_VALUE"""),0.0)</f>
        <v>0</v>
      </c>
      <c r="V11" s="65">
        <f>IFERROR(__xludf.DUMMYFUNCTION("""COMPUTED_VALUE"""),0.0)</f>
        <v>0</v>
      </c>
      <c r="W11" s="65">
        <f>IFERROR(__xludf.DUMMYFUNCTION("""COMPUTED_VALUE"""),0.0)</f>
        <v>0</v>
      </c>
      <c r="X11" s="65">
        <f>IFERROR(__xludf.DUMMYFUNCTION("""COMPUTED_VALUE"""),2.4)</f>
        <v>2.4</v>
      </c>
      <c r="Y11" s="65">
        <f>IFERROR(__xludf.DUMMYFUNCTION("""COMPUTED_VALUE"""),4.8)</f>
        <v>4.8</v>
      </c>
      <c r="Z11" s="65">
        <f>IFERROR(__xludf.DUMMYFUNCTION("""COMPUTED_VALUE"""),119189.0)</f>
        <v>119189</v>
      </c>
      <c r="AA11" s="65" t="str">
        <f>IFERROR(__xludf.DUMMYFUNCTION("""COMPUTED_VALUE"""),"CUCHILLO DE CHEF")</f>
        <v>CUCHILLO DE CHEF</v>
      </c>
      <c r="AB11" s="65"/>
      <c r="AC11" s="65" t="str">
        <f>IFERROR(__xludf.DUMMYFUNCTION("""COMPUTED_VALUE"""),"CUCHILLO DE CHEF")</f>
        <v>CUCHILLO DE CHEF</v>
      </c>
      <c r="AD11" s="65"/>
      <c r="AE11" s="65">
        <f>IFERROR(__xludf.DUMMYFUNCTION("""COMPUTED_VALUE"""),2.0)</f>
        <v>2</v>
      </c>
      <c r="AF11" s="65"/>
      <c r="AG11" s="65"/>
      <c r="AH11" s="65"/>
      <c r="AI11" s="65"/>
      <c r="AJ11" s="65"/>
      <c r="AK11" s="65"/>
      <c r="AL11" s="65"/>
      <c r="AM11" s="65"/>
      <c r="AN11" s="65"/>
      <c r="AO11" s="65"/>
      <c r="AP11" s="65"/>
      <c r="AQ11" s="65"/>
      <c r="AR11" s="65"/>
      <c r="AS11" s="65"/>
      <c r="AT11" s="65" t="str">
        <f>IFERROR(__xludf.DUMMYFUNCTION("""COMPUTED_VALUE"""),"SHOPIFY")</f>
        <v>SHOPIFY</v>
      </c>
      <c r="AU11" s="65" t="str">
        <f>IFERROR(__xludf.DUMMYFUNCTION("""COMPUTED_VALUE"""),"IMPORTEX EC")</f>
        <v>IMPORTEX EC</v>
      </c>
      <c r="AV11" s="65" t="str">
        <f>IFERROR(__xludf.DUMMYFUNCTION("""COMPUTED_VALUE"""),"6606131232812")</f>
        <v>6606131232812</v>
      </c>
      <c r="AW11" s="65">
        <f>IFERROR(__xludf.DUMMYFUNCTION("""COMPUTED_VALUE"""),6826.0)</f>
        <v>6826</v>
      </c>
      <c r="AX11" s="65"/>
      <c r="AY11" s="65"/>
      <c r="AZ11" s="65"/>
      <c r="BA11" s="65"/>
    </row>
    <row r="12">
      <c r="A12" s="65" t="str">
        <f>IFERROR(__xludf.DUMMYFUNCTION("""COMPUTED_VALUE"""),"27-03-2026")</f>
        <v>27-03-2026</v>
      </c>
      <c r="B12" s="65">
        <f>IFERROR(__xludf.DUMMYFUNCTION("""COMPUTED_VALUE"""),4923404.0)</f>
        <v>4923404</v>
      </c>
      <c r="C12" s="65" t="str">
        <f>IFERROR(__xludf.DUMMYFUNCTION("""COMPUTED_VALUE"""),"19:58")</f>
        <v>19:58</v>
      </c>
      <c r="D12" s="65" t="str">
        <f>IFERROR(__xludf.DUMMYFUNCTION("""COMPUTED_VALUE"""),"26-03-2026")</f>
        <v>26-03-2026</v>
      </c>
      <c r="E12" s="65" t="str">
        <f>IFERROR(__xludf.DUMMYFUNCTION("""COMPUTED_VALUE"""),"Michel Campoverde")</f>
        <v>Michel Campoverde</v>
      </c>
      <c r="F12" s="65" t="str">
        <f>IFERROR(__xludf.DUMMYFUNCTION("""COMPUTED_VALUE"""),"991393778")</f>
        <v>991393778</v>
      </c>
      <c r="G12" s="65" t="str">
        <f>IFERROR(__xludf.DUMMYFUNCTION("""COMPUTED_VALUE"""),"michel1campoverde@gmail.com")</f>
        <v>michel1campoverde@gmail.com</v>
      </c>
      <c r="H12" s="65"/>
      <c r="I12" s="65"/>
      <c r="J12" s="65"/>
      <c r="K12" s="65" t="str">
        <f>IFERROR(__xludf.DUMMYFUNCTION("""COMPUTED_VALUE"""),"PENDIENTE CONFIRMACION")</f>
        <v>PENDIENTE CONFIRMACION</v>
      </c>
      <c r="L12" s="65" t="str">
        <f>IFERROR(__xludf.DUMMYFUNCTION("""COMPUTED_VALUE"""),"CON RECAUDO")</f>
        <v>CON RECAUDO</v>
      </c>
      <c r="M12" s="65" t="str">
        <f>IFERROR(__xludf.DUMMYFUNCTION("""COMPUTED_VALUE"""),"EL ORO")</f>
        <v>EL ORO</v>
      </c>
      <c r="N12" s="65" t="str">
        <f>IFERROR(__xludf.DUMMYFUNCTION("""COMPUTED_VALUE"""),"MACHALA")</f>
        <v>MACHALA</v>
      </c>
      <c r="O12" s="65" t="str">
        <f>IFERROR(__xludf.DUMMYFUNCTION("""COMPUTED_VALUE"""),"Urbanización La Carolina Conjunto Mediterráneo 2 Villa 4 -")</f>
        <v>Urbanización La Carolina Conjunto Mediterráneo 2 Villa 4 -</v>
      </c>
      <c r="P12" s="65"/>
      <c r="Q12" s="65" t="str">
        <f>IFERROR(__xludf.DUMMYFUNCTION("""COMPUTED_VALUE"""),"GINTRACOM")</f>
        <v>GINTRACOM</v>
      </c>
      <c r="R12" s="65">
        <f>IFERROR(__xludf.DUMMYFUNCTION("""COMPUTED_VALUE"""),20.0)</f>
        <v>20</v>
      </c>
      <c r="S12" s="65"/>
      <c r="T12" s="65">
        <f>IFERROR(__xludf.DUMMYFUNCTION("""COMPUTED_VALUE"""),5.76)</f>
        <v>5.76</v>
      </c>
      <c r="U12" s="65">
        <f>IFERROR(__xludf.DUMMYFUNCTION("""COMPUTED_VALUE"""),0.0)</f>
        <v>0</v>
      </c>
      <c r="V12" s="65">
        <f>IFERROR(__xludf.DUMMYFUNCTION("""COMPUTED_VALUE"""),0.0)</f>
        <v>0</v>
      </c>
      <c r="W12" s="65">
        <f>IFERROR(__xludf.DUMMYFUNCTION("""COMPUTED_VALUE"""),0.0)</f>
        <v>0</v>
      </c>
      <c r="X12" s="65">
        <f>IFERROR(__xludf.DUMMYFUNCTION("""COMPUTED_VALUE"""),1.0)</f>
        <v>1</v>
      </c>
      <c r="Y12" s="65">
        <f>IFERROR(__xludf.DUMMYFUNCTION("""COMPUTED_VALUE"""),2.0)</f>
        <v>2</v>
      </c>
      <c r="Z12" s="65">
        <f>IFERROR(__xludf.DUMMYFUNCTION("""COMPUTED_VALUE"""),2764.0)</f>
        <v>2764</v>
      </c>
      <c r="AA12" s="65" t="str">
        <f>IFERROR(__xludf.DUMMYFUNCTION("""COMPUTED_VALUE"""),"14030581")</f>
        <v>14030581</v>
      </c>
      <c r="AB12" s="65"/>
      <c r="AC12" s="65" t="str">
        <f>IFERROR(__xludf.DUMMYFUNCTION("""COMPUTED_VALUE"""),"AFILADOR DE CUCHILLOS")</f>
        <v>AFILADOR DE CUCHILLOS</v>
      </c>
      <c r="AD12" s="65"/>
      <c r="AE12" s="65">
        <f>IFERROR(__xludf.DUMMYFUNCTION("""COMPUTED_VALUE"""),2.0)</f>
        <v>2</v>
      </c>
      <c r="AF12" s="65"/>
      <c r="AG12" s="65"/>
      <c r="AH12" s="65"/>
      <c r="AI12" s="65"/>
      <c r="AJ12" s="65"/>
      <c r="AK12" s="65"/>
      <c r="AL12" s="65"/>
      <c r="AM12" s="65"/>
      <c r="AN12" s="65"/>
      <c r="AO12" s="65"/>
      <c r="AP12" s="65"/>
      <c r="AQ12" s="65"/>
      <c r="AR12" s="65"/>
      <c r="AS12" s="65"/>
      <c r="AT12" s="65" t="str">
        <f>IFERROR(__xludf.DUMMYFUNCTION("""COMPUTED_VALUE"""),"SHOPIFY")</f>
        <v>SHOPIFY</v>
      </c>
      <c r="AU12" s="65" t="str">
        <f>IFERROR(__xludf.DUMMYFUNCTION("""COMPUTED_VALUE"""),"IMPORTEX EC")</f>
        <v>IMPORTEX EC</v>
      </c>
      <c r="AV12" s="65" t="str">
        <f>IFERROR(__xludf.DUMMYFUNCTION("""COMPUTED_VALUE"""),"6606052982828")</f>
        <v>6606052982828</v>
      </c>
      <c r="AW12" s="65">
        <f>IFERROR(__xludf.DUMMYFUNCTION("""COMPUTED_VALUE"""),6825.0)</f>
        <v>6825</v>
      </c>
      <c r="AX12" s="65"/>
      <c r="AY12" s="65"/>
      <c r="AZ12" s="65"/>
      <c r="BA12" s="65"/>
    </row>
    <row r="13">
      <c r="A13" s="65" t="str">
        <f>IFERROR(__xludf.DUMMYFUNCTION("""COMPUTED_VALUE"""),"27-03-2026")</f>
        <v>27-03-2026</v>
      </c>
      <c r="B13" s="65">
        <f>IFERROR(__xludf.DUMMYFUNCTION("""COMPUTED_VALUE"""),4923194.0)</f>
        <v>4923194</v>
      </c>
      <c r="C13" s="65" t="str">
        <f>IFERROR(__xludf.DUMMYFUNCTION("""COMPUTED_VALUE"""),"19:33")</f>
        <v>19:33</v>
      </c>
      <c r="D13" s="65" t="str">
        <f>IFERROR(__xludf.DUMMYFUNCTION("""COMPUTED_VALUE"""),"26-03-2026")</f>
        <v>26-03-2026</v>
      </c>
      <c r="E13" s="65" t="str">
        <f>IFERROR(__xludf.DUMMYFUNCTION("""COMPUTED_VALUE"""),"Hernando Enriquez")</f>
        <v>Hernando Enriquez</v>
      </c>
      <c r="F13" s="65" t="str">
        <f>IFERROR(__xludf.DUMMYFUNCTION("""COMPUTED_VALUE"""),"982856884")</f>
        <v>982856884</v>
      </c>
      <c r="G13" s="65"/>
      <c r="H13" s="65"/>
      <c r="I13" s="65"/>
      <c r="J13" s="65"/>
      <c r="K13" s="65" t="str">
        <f>IFERROR(__xludf.DUMMYFUNCTION("""COMPUTED_VALUE"""),"PENDIENTE CONFIRMACION")</f>
        <v>PENDIENTE CONFIRMACION</v>
      </c>
      <c r="L13" s="65" t="str">
        <f>IFERROR(__xludf.DUMMYFUNCTION("""COMPUTED_VALUE"""),"CON RECAUDO")</f>
        <v>CON RECAUDO</v>
      </c>
      <c r="M13" s="65" t="str">
        <f>IFERROR(__xludf.DUMMYFUNCTION("""COMPUTED_VALUE"""),"CARCHI")</f>
        <v>CARCHI</v>
      </c>
      <c r="N13" s="65" t="str">
        <f>IFERROR(__xludf.DUMMYFUNCTION("""COMPUTED_VALUE"""),"LA PAZ")</f>
        <v>LA PAZ</v>
      </c>
      <c r="O13" s="65" t="str">
        <f>IFERROR(__xludf.DUMMYFUNCTION("""COMPUTED_VALUE"""),"28 de octubre y ataualpa Frente al súper mercadito -")</f>
        <v>28 de octubre y ataualpa Frente al súper mercadito -</v>
      </c>
      <c r="P13" s="65"/>
      <c r="Q13" s="65" t="str">
        <f>IFERROR(__xludf.DUMMYFUNCTION("""COMPUTED_VALUE"""),"SERVIENTREGA")</f>
        <v>SERVIENTREGA</v>
      </c>
      <c r="R13" s="65">
        <f>IFERROR(__xludf.DUMMYFUNCTION("""COMPUTED_VALUE"""),20.0)</f>
        <v>20</v>
      </c>
      <c r="S13" s="65"/>
      <c r="T13" s="65">
        <f>IFERROR(__xludf.DUMMYFUNCTION("""COMPUTED_VALUE"""),7.67)</f>
        <v>7.67</v>
      </c>
      <c r="U13" s="65">
        <f>IFERROR(__xludf.DUMMYFUNCTION("""COMPUTED_VALUE"""),0.0)</f>
        <v>0</v>
      </c>
      <c r="V13" s="65">
        <f>IFERROR(__xludf.DUMMYFUNCTION("""COMPUTED_VALUE"""),0.0)</f>
        <v>0</v>
      </c>
      <c r="W13" s="65">
        <f>IFERROR(__xludf.DUMMYFUNCTION("""COMPUTED_VALUE"""),0.0)</f>
        <v>0</v>
      </c>
      <c r="X13" s="65">
        <f>IFERROR(__xludf.DUMMYFUNCTION("""COMPUTED_VALUE"""),1.0)</f>
        <v>1</v>
      </c>
      <c r="Y13" s="65">
        <f>IFERROR(__xludf.DUMMYFUNCTION("""COMPUTED_VALUE"""),2.0)</f>
        <v>2</v>
      </c>
      <c r="Z13" s="65">
        <f>IFERROR(__xludf.DUMMYFUNCTION("""COMPUTED_VALUE"""),2764.0)</f>
        <v>2764</v>
      </c>
      <c r="AA13" s="65" t="str">
        <f>IFERROR(__xludf.DUMMYFUNCTION("""COMPUTED_VALUE"""),"14030581")</f>
        <v>14030581</v>
      </c>
      <c r="AB13" s="65"/>
      <c r="AC13" s="65" t="str">
        <f>IFERROR(__xludf.DUMMYFUNCTION("""COMPUTED_VALUE"""),"AFILADOR DE CUCHILLOS")</f>
        <v>AFILADOR DE CUCHILLOS</v>
      </c>
      <c r="AD13" s="65"/>
      <c r="AE13" s="65">
        <f>IFERROR(__xludf.DUMMYFUNCTION("""COMPUTED_VALUE"""),2.0)</f>
        <v>2</v>
      </c>
      <c r="AF13" s="65"/>
      <c r="AG13" s="65"/>
      <c r="AH13" s="65"/>
      <c r="AI13" s="65"/>
      <c r="AJ13" s="65"/>
      <c r="AK13" s="65"/>
      <c r="AL13" s="65"/>
      <c r="AM13" s="65"/>
      <c r="AN13" s="65"/>
      <c r="AO13" s="65"/>
      <c r="AP13" s="65"/>
      <c r="AQ13" s="65"/>
      <c r="AR13" s="65"/>
      <c r="AS13" s="65"/>
      <c r="AT13" s="65" t="str">
        <f>IFERROR(__xludf.DUMMYFUNCTION("""COMPUTED_VALUE"""),"SHOPIFY")</f>
        <v>SHOPIFY</v>
      </c>
      <c r="AU13" s="65" t="str">
        <f>IFERROR(__xludf.DUMMYFUNCTION("""COMPUTED_VALUE"""),"IMPORTEX EC")</f>
        <v>IMPORTEX EC</v>
      </c>
      <c r="AV13" s="65" t="str">
        <f>IFERROR(__xludf.DUMMYFUNCTION("""COMPUTED_VALUE"""),"6606005436460")</f>
        <v>6606005436460</v>
      </c>
      <c r="AW13" s="65">
        <f>IFERROR(__xludf.DUMMYFUNCTION("""COMPUTED_VALUE"""),6824.0)</f>
        <v>6824</v>
      </c>
      <c r="AX13" s="65"/>
      <c r="AY13" s="65"/>
      <c r="AZ13" s="65"/>
      <c r="BA13" s="65"/>
    </row>
    <row r="14">
      <c r="A14" s="65" t="str">
        <f>IFERROR(__xludf.DUMMYFUNCTION("""COMPUTED_VALUE"""),"27-03-2026")</f>
        <v>27-03-2026</v>
      </c>
      <c r="B14" s="65">
        <f>IFERROR(__xludf.DUMMYFUNCTION("""COMPUTED_VALUE"""),4922565.0)</f>
        <v>4922565</v>
      </c>
      <c r="C14" s="65" t="str">
        <f>IFERROR(__xludf.DUMMYFUNCTION("""COMPUTED_VALUE"""),"18:05")</f>
        <v>18:05</v>
      </c>
      <c r="D14" s="65" t="str">
        <f>IFERROR(__xludf.DUMMYFUNCTION("""COMPUTED_VALUE"""),"26-03-2026")</f>
        <v>26-03-2026</v>
      </c>
      <c r="E14" s="65" t="str">
        <f>IFERROR(__xludf.DUMMYFUNCTION("""COMPUTED_VALUE"""),"Jefferson Arguello bajaña")</f>
        <v>Jefferson Arguello bajaña</v>
      </c>
      <c r="F14" s="65" t="str">
        <f>IFERROR(__xludf.DUMMYFUNCTION("""COMPUTED_VALUE"""),"981263532")</f>
        <v>981263532</v>
      </c>
      <c r="G14" s="65"/>
      <c r="H14" s="65"/>
      <c r="I14" s="65"/>
      <c r="J14" s="65"/>
      <c r="K14" s="65" t="str">
        <f>IFERROR(__xludf.DUMMYFUNCTION("""COMPUTED_VALUE"""),"PENDIENTE CONFIRMACION")</f>
        <v>PENDIENTE CONFIRMACION</v>
      </c>
      <c r="L14" s="65" t="str">
        <f>IFERROR(__xludf.DUMMYFUNCTION("""COMPUTED_VALUE"""),"CON RECAUDO")</f>
        <v>CON RECAUDO</v>
      </c>
      <c r="M14" s="65" t="str">
        <f>IFERROR(__xludf.DUMMYFUNCTION("""COMPUTED_VALUE"""),"GUAYAS")</f>
        <v>GUAYAS</v>
      </c>
      <c r="N14" s="65" t="str">
        <f>IFERROR(__xludf.DUMMYFUNCTION("""COMPUTED_VALUE"""),"GUAYAQUIL")</f>
        <v>GUAYAQUIL</v>
      </c>
      <c r="O14" s="65" t="str">
        <f>IFERROR(__xludf.DUMMYFUNCTION("""COMPUTED_VALUE"""),"Gallegos Lara y segundo callejón sedalana Cristo del consuelo -")</f>
        <v>Gallegos Lara y segundo callejón sedalana Cristo del consuelo -</v>
      </c>
      <c r="P14" s="65"/>
      <c r="Q14" s="65" t="str">
        <f>IFERROR(__xludf.DUMMYFUNCTION("""COMPUTED_VALUE"""),"GINTRACOM")</f>
        <v>GINTRACOM</v>
      </c>
      <c r="R14" s="65">
        <f>IFERROR(__xludf.DUMMYFUNCTION("""COMPUTED_VALUE"""),27.0)</f>
        <v>27</v>
      </c>
      <c r="S14" s="65"/>
      <c r="T14" s="65">
        <f>IFERROR(__xludf.DUMMYFUNCTION("""COMPUTED_VALUE"""),4.42)</f>
        <v>4.42</v>
      </c>
      <c r="U14" s="65">
        <f>IFERROR(__xludf.DUMMYFUNCTION("""COMPUTED_VALUE"""),0.0)</f>
        <v>0</v>
      </c>
      <c r="V14" s="65">
        <f>IFERROR(__xludf.DUMMYFUNCTION("""COMPUTED_VALUE"""),0.0)</f>
        <v>0</v>
      </c>
      <c r="W14" s="65">
        <f>IFERROR(__xludf.DUMMYFUNCTION("""COMPUTED_VALUE"""),0.0)</f>
        <v>0</v>
      </c>
      <c r="X14" s="65">
        <f>IFERROR(__xludf.DUMMYFUNCTION("""COMPUTED_VALUE"""),2.4)</f>
        <v>2.4</v>
      </c>
      <c r="Y14" s="65">
        <f>IFERROR(__xludf.DUMMYFUNCTION("""COMPUTED_VALUE"""),7.2)</f>
        <v>7.2</v>
      </c>
      <c r="Z14" s="65">
        <f>IFERROR(__xludf.DUMMYFUNCTION("""COMPUTED_VALUE"""),119189.0)</f>
        <v>119189</v>
      </c>
      <c r="AA14" s="65" t="str">
        <f>IFERROR(__xludf.DUMMYFUNCTION("""COMPUTED_VALUE"""),"CUCHILLO DE CHEF")</f>
        <v>CUCHILLO DE CHEF</v>
      </c>
      <c r="AB14" s="65"/>
      <c r="AC14" s="65" t="str">
        <f>IFERROR(__xludf.DUMMYFUNCTION("""COMPUTED_VALUE"""),"CUCHILLO DE CHEF")</f>
        <v>CUCHILLO DE CHEF</v>
      </c>
      <c r="AD14" s="65"/>
      <c r="AE14" s="65">
        <f>IFERROR(__xludf.DUMMYFUNCTION("""COMPUTED_VALUE"""),3.0)</f>
        <v>3</v>
      </c>
      <c r="AF14" s="65"/>
      <c r="AG14" s="65"/>
      <c r="AH14" s="65"/>
      <c r="AI14" s="65"/>
      <c r="AJ14" s="65"/>
      <c r="AK14" s="65"/>
      <c r="AL14" s="65"/>
      <c r="AM14" s="65"/>
      <c r="AN14" s="65"/>
      <c r="AO14" s="65"/>
      <c r="AP14" s="65"/>
      <c r="AQ14" s="65"/>
      <c r="AR14" s="65"/>
      <c r="AS14" s="65"/>
      <c r="AT14" s="65" t="str">
        <f>IFERROR(__xludf.DUMMYFUNCTION("""COMPUTED_VALUE"""),"SHOPIFY")</f>
        <v>SHOPIFY</v>
      </c>
      <c r="AU14" s="65" t="str">
        <f>IFERROR(__xludf.DUMMYFUNCTION("""COMPUTED_VALUE"""),"IMPORTEX EC")</f>
        <v>IMPORTEX EC</v>
      </c>
      <c r="AV14" s="65" t="str">
        <f>IFERROR(__xludf.DUMMYFUNCTION("""COMPUTED_VALUE"""),"6605828096044")</f>
        <v>6605828096044</v>
      </c>
      <c r="AW14" s="65">
        <f>IFERROR(__xludf.DUMMYFUNCTION("""COMPUTED_VALUE"""),6823.0)</f>
        <v>6823</v>
      </c>
      <c r="AX14" s="65"/>
      <c r="AY14" s="65"/>
      <c r="AZ14" s="65"/>
      <c r="BA14" s="65"/>
    </row>
    <row r="15">
      <c r="A15" s="65" t="str">
        <f>IFERROR(__xludf.DUMMYFUNCTION("""COMPUTED_VALUE"""),"27-03-2026")</f>
        <v>27-03-2026</v>
      </c>
      <c r="B15" s="65">
        <f>IFERROR(__xludf.DUMMYFUNCTION("""COMPUTED_VALUE"""),4922304.0)</f>
        <v>4922304</v>
      </c>
      <c r="C15" s="65" t="str">
        <f>IFERROR(__xludf.DUMMYFUNCTION("""COMPUTED_VALUE"""),"17:34")</f>
        <v>17:34</v>
      </c>
      <c r="D15" s="65" t="str">
        <f>IFERROR(__xludf.DUMMYFUNCTION("""COMPUTED_VALUE"""),"26-03-2026")</f>
        <v>26-03-2026</v>
      </c>
      <c r="E15" s="65" t="str">
        <f>IFERROR(__xludf.DUMMYFUNCTION("""COMPUTED_VALUE"""),"Pedro Milton Reyes Gonzalez")</f>
        <v>Pedro Milton Reyes Gonzalez</v>
      </c>
      <c r="F15" s="65" t="str">
        <f>IFERROR(__xludf.DUMMYFUNCTION("""COMPUTED_VALUE"""),"999459383")</f>
        <v>999459383</v>
      </c>
      <c r="G15" s="65" t="str">
        <f>IFERROR(__xludf.DUMMYFUNCTION("""COMPUTED_VALUE"""),"pedromilton65@gmail.com")</f>
        <v>pedromilton65@gmail.com</v>
      </c>
      <c r="H15" s="65"/>
      <c r="I15" s="65"/>
      <c r="J15" s="65"/>
      <c r="K15" s="65" t="str">
        <f>IFERROR(__xludf.DUMMYFUNCTION("""COMPUTED_VALUE"""),"PENDIENTE CONFIRMACION")</f>
        <v>PENDIENTE CONFIRMACION</v>
      </c>
      <c r="L15" s="65" t="str">
        <f>IFERROR(__xludf.DUMMYFUNCTION("""COMPUTED_VALUE"""),"CON RECAUDO")</f>
        <v>CON RECAUDO</v>
      </c>
      <c r="M15" s="65" t="str">
        <f>IFERROR(__xludf.DUMMYFUNCTION("""COMPUTED_VALUE"""),"CAÑAR")</f>
        <v>CAÑAR</v>
      </c>
      <c r="N15" s="65" t="str">
        <f>IFERROR(__xludf.DUMMYFUNCTION("""COMPUTED_VALUE"""),"LA TRONCAL")</f>
        <v>LA TRONCAL</v>
      </c>
      <c r="O15" s="65" t="str">
        <f>IFERROR(__xludf.DUMMYFUNCTION("""COMPUTED_VALUE"""),"Décima cuarta este y segunda norte A Ciudadela 22de Marzo décima cuarta este y segunda norte A -")</f>
        <v>Décima cuarta este y segunda norte A Ciudadela 22de Marzo décima cuarta este y segunda norte A -</v>
      </c>
      <c r="P15" s="65"/>
      <c r="Q15" s="65" t="str">
        <f>IFERROR(__xludf.DUMMYFUNCTION("""COMPUTED_VALUE"""),"GINTRACOM")</f>
        <v>GINTRACOM</v>
      </c>
      <c r="R15" s="65">
        <f>IFERROR(__xludf.DUMMYFUNCTION("""COMPUTED_VALUE"""),32.0)</f>
        <v>32</v>
      </c>
      <c r="S15" s="65"/>
      <c r="T15" s="65">
        <f>IFERROR(__xludf.DUMMYFUNCTION("""COMPUTED_VALUE"""),6.24)</f>
        <v>6.24</v>
      </c>
      <c r="U15" s="65">
        <f>IFERROR(__xludf.DUMMYFUNCTION("""COMPUTED_VALUE"""),0.0)</f>
        <v>0</v>
      </c>
      <c r="V15" s="65">
        <f>IFERROR(__xludf.DUMMYFUNCTION("""COMPUTED_VALUE"""),0.0)</f>
        <v>0</v>
      </c>
      <c r="W15" s="65">
        <f>IFERROR(__xludf.DUMMYFUNCTION("""COMPUTED_VALUE"""),0.0)</f>
        <v>0</v>
      </c>
      <c r="X15" s="65">
        <f>IFERROR(__xludf.DUMMYFUNCTION("""COMPUTED_VALUE"""),2.4)</f>
        <v>2.4</v>
      </c>
      <c r="Y15" s="65">
        <f>IFERROR(__xludf.DUMMYFUNCTION("""COMPUTED_VALUE"""),9.6)</f>
        <v>9.6</v>
      </c>
      <c r="Z15" s="65">
        <f>IFERROR(__xludf.DUMMYFUNCTION("""COMPUTED_VALUE"""),119189.0)</f>
        <v>119189</v>
      </c>
      <c r="AA15" s="65" t="str">
        <f>IFERROR(__xludf.DUMMYFUNCTION("""COMPUTED_VALUE"""),"CUCHILLO DE CHEF")</f>
        <v>CUCHILLO DE CHEF</v>
      </c>
      <c r="AB15" s="65"/>
      <c r="AC15" s="65" t="str">
        <f>IFERROR(__xludf.DUMMYFUNCTION("""COMPUTED_VALUE"""),"CUCHILLO DE CHEF")</f>
        <v>CUCHILLO DE CHEF</v>
      </c>
      <c r="AD15" s="65"/>
      <c r="AE15" s="65">
        <f>IFERROR(__xludf.DUMMYFUNCTION("""COMPUTED_VALUE"""),4.0)</f>
        <v>4</v>
      </c>
      <c r="AF15" s="65"/>
      <c r="AG15" s="65"/>
      <c r="AH15" s="65"/>
      <c r="AI15" s="65"/>
      <c r="AJ15" s="65"/>
      <c r="AK15" s="65"/>
      <c r="AL15" s="65"/>
      <c r="AM15" s="65"/>
      <c r="AN15" s="65"/>
      <c r="AO15" s="65"/>
      <c r="AP15" s="65"/>
      <c r="AQ15" s="65"/>
      <c r="AR15" s="65"/>
      <c r="AS15" s="65"/>
      <c r="AT15" s="65" t="str">
        <f>IFERROR(__xludf.DUMMYFUNCTION("""COMPUTED_VALUE"""),"SHOPIFY")</f>
        <v>SHOPIFY</v>
      </c>
      <c r="AU15" s="65" t="str">
        <f>IFERROR(__xludf.DUMMYFUNCTION("""COMPUTED_VALUE"""),"IMPORTEX EC")</f>
        <v>IMPORTEX EC</v>
      </c>
      <c r="AV15" s="65" t="str">
        <f>IFERROR(__xludf.DUMMYFUNCTION("""COMPUTED_VALUE"""),"6605775732780")</f>
        <v>6605775732780</v>
      </c>
      <c r="AW15" s="65">
        <f>IFERROR(__xludf.DUMMYFUNCTION("""COMPUTED_VALUE"""),6822.0)</f>
        <v>6822</v>
      </c>
      <c r="AX15" s="65"/>
      <c r="AY15" s="65"/>
      <c r="AZ15" s="65"/>
      <c r="BA15" s="65"/>
    </row>
    <row r="16">
      <c r="A16" s="65" t="str">
        <f>IFERROR(__xludf.DUMMYFUNCTION("""COMPUTED_VALUE"""),"27-03-2026")</f>
        <v>27-03-2026</v>
      </c>
      <c r="B16" s="65">
        <f>IFERROR(__xludf.DUMMYFUNCTION("""COMPUTED_VALUE"""),4922049.0)</f>
        <v>4922049</v>
      </c>
      <c r="C16" s="65" t="str">
        <f>IFERROR(__xludf.DUMMYFUNCTION("""COMPUTED_VALUE"""),"17:00")</f>
        <v>17:00</v>
      </c>
      <c r="D16" s="65" t="str">
        <f>IFERROR(__xludf.DUMMYFUNCTION("""COMPUTED_VALUE"""),"26-03-2026")</f>
        <v>26-03-2026</v>
      </c>
      <c r="E16" s="65" t="str">
        <f>IFERROR(__xludf.DUMMYFUNCTION("""COMPUTED_VALUE"""),"Francisco Caceres")</f>
        <v>Francisco Caceres</v>
      </c>
      <c r="F16" s="65" t="str">
        <f>IFERROR(__xludf.DUMMYFUNCTION("""COMPUTED_VALUE"""),"993034467")</f>
        <v>993034467</v>
      </c>
      <c r="G16" s="65" t="str">
        <f>IFERROR(__xludf.DUMMYFUNCTION("""COMPUTED_VALUE"""),"jarothcr@gmail.com")</f>
        <v>jarothcr@gmail.com</v>
      </c>
      <c r="H16" s="65"/>
      <c r="I16" s="65"/>
      <c r="J16" s="65"/>
      <c r="K16" s="65" t="str">
        <f>IFERROR(__xludf.DUMMYFUNCTION("""COMPUTED_VALUE"""),"PENDIENTE CONFIRMACION")</f>
        <v>PENDIENTE CONFIRMACION</v>
      </c>
      <c r="L16" s="65" t="str">
        <f>IFERROR(__xludf.DUMMYFUNCTION("""COMPUTED_VALUE"""),"CON RECAUDO")</f>
        <v>CON RECAUDO</v>
      </c>
      <c r="M16" s="65" t="str">
        <f>IFERROR(__xludf.DUMMYFUNCTION("""COMPUTED_VALUE"""),"MANABI")</f>
        <v>MANABI</v>
      </c>
      <c r="N16" s="65" t="str">
        <f>IFERROR(__xludf.DUMMYFUNCTION("""COMPUTED_VALUE"""),"PORTOVIEJO")</f>
        <v>PORTOVIEJO</v>
      </c>
      <c r="O16" s="65" t="str">
        <f>IFERROR(__xludf.DUMMYFUNCTION("""COMPUTED_VALUE"""),"San Eduardo Y 11 De Avosto Andres de vera -")</f>
        <v>San Eduardo Y 11 De Avosto Andres de vera -</v>
      </c>
      <c r="P16" s="65"/>
      <c r="Q16" s="65" t="str">
        <f>IFERROR(__xludf.DUMMYFUNCTION("""COMPUTED_VALUE"""),"GINTRACOM")</f>
        <v>GINTRACOM</v>
      </c>
      <c r="R16" s="65">
        <f>IFERROR(__xludf.DUMMYFUNCTION("""COMPUTED_VALUE"""),22.0)</f>
        <v>22</v>
      </c>
      <c r="S16" s="65"/>
      <c r="T16" s="65">
        <f>IFERROR(__xludf.DUMMYFUNCTION("""COMPUTED_VALUE"""),5.84)</f>
        <v>5.84</v>
      </c>
      <c r="U16" s="65">
        <f>IFERROR(__xludf.DUMMYFUNCTION("""COMPUTED_VALUE"""),0.0)</f>
        <v>0</v>
      </c>
      <c r="V16" s="65">
        <f>IFERROR(__xludf.DUMMYFUNCTION("""COMPUTED_VALUE"""),0.0)</f>
        <v>0</v>
      </c>
      <c r="W16" s="65">
        <f>IFERROR(__xludf.DUMMYFUNCTION("""COMPUTED_VALUE"""),0.0)</f>
        <v>0</v>
      </c>
      <c r="X16" s="65">
        <f>IFERROR(__xludf.DUMMYFUNCTION("""COMPUTED_VALUE"""),2.4)</f>
        <v>2.4</v>
      </c>
      <c r="Y16" s="65">
        <f>IFERROR(__xludf.DUMMYFUNCTION("""COMPUTED_VALUE"""),4.8)</f>
        <v>4.8</v>
      </c>
      <c r="Z16" s="65">
        <f>IFERROR(__xludf.DUMMYFUNCTION("""COMPUTED_VALUE"""),119189.0)</f>
        <v>119189</v>
      </c>
      <c r="AA16" s="65" t="str">
        <f>IFERROR(__xludf.DUMMYFUNCTION("""COMPUTED_VALUE"""),"CUCHILLO DE CHEF")</f>
        <v>CUCHILLO DE CHEF</v>
      </c>
      <c r="AB16" s="65"/>
      <c r="AC16" s="65" t="str">
        <f>IFERROR(__xludf.DUMMYFUNCTION("""COMPUTED_VALUE"""),"CUCHILLO DE CHEF")</f>
        <v>CUCHILLO DE CHEF</v>
      </c>
      <c r="AD16" s="65"/>
      <c r="AE16" s="65">
        <f>IFERROR(__xludf.DUMMYFUNCTION("""COMPUTED_VALUE"""),2.0)</f>
        <v>2</v>
      </c>
      <c r="AF16" s="65"/>
      <c r="AG16" s="65"/>
      <c r="AH16" s="65"/>
      <c r="AI16" s="65"/>
      <c r="AJ16" s="65"/>
      <c r="AK16" s="65"/>
      <c r="AL16" s="65"/>
      <c r="AM16" s="65"/>
      <c r="AN16" s="65"/>
      <c r="AO16" s="65"/>
      <c r="AP16" s="65"/>
      <c r="AQ16" s="65"/>
      <c r="AR16" s="65"/>
      <c r="AS16" s="65"/>
      <c r="AT16" s="65" t="str">
        <f>IFERROR(__xludf.DUMMYFUNCTION("""COMPUTED_VALUE"""),"SHOPIFY")</f>
        <v>SHOPIFY</v>
      </c>
      <c r="AU16" s="65" t="str">
        <f>IFERROR(__xludf.DUMMYFUNCTION("""COMPUTED_VALUE"""),"IMPORTEX EC")</f>
        <v>IMPORTEX EC</v>
      </c>
      <c r="AV16" s="65" t="str">
        <f>IFERROR(__xludf.DUMMYFUNCTION("""COMPUTED_VALUE"""),"6605723566124")</f>
        <v>6605723566124</v>
      </c>
      <c r="AW16" s="65">
        <f>IFERROR(__xludf.DUMMYFUNCTION("""COMPUTED_VALUE"""),6821.0)</f>
        <v>6821</v>
      </c>
      <c r="AX16" s="65"/>
      <c r="AY16" s="65"/>
      <c r="AZ16" s="65"/>
      <c r="BA16" s="65"/>
    </row>
    <row r="17">
      <c r="A17" s="65" t="str">
        <f>IFERROR(__xludf.DUMMYFUNCTION("""COMPUTED_VALUE"""),"27-03-2026")</f>
        <v>27-03-2026</v>
      </c>
      <c r="B17" s="65">
        <f>IFERROR(__xludf.DUMMYFUNCTION("""COMPUTED_VALUE"""),4920617.0)</f>
        <v>4920617</v>
      </c>
      <c r="C17" s="65" t="str">
        <f>IFERROR(__xludf.DUMMYFUNCTION("""COMPUTED_VALUE"""),"14:30")</f>
        <v>14:30</v>
      </c>
      <c r="D17" s="65" t="str">
        <f>IFERROR(__xludf.DUMMYFUNCTION("""COMPUTED_VALUE"""),"26-03-2026")</f>
        <v>26-03-2026</v>
      </c>
      <c r="E17" s="65" t="str">
        <f>IFERROR(__xludf.DUMMYFUNCTION("""COMPUTED_VALUE"""),"Felipe Condo")</f>
        <v>Felipe Condo</v>
      </c>
      <c r="F17" s="65" t="str">
        <f>IFERROR(__xludf.DUMMYFUNCTION("""COMPUTED_VALUE"""),"986860264")</f>
        <v>986860264</v>
      </c>
      <c r="G17" s="65" t="str">
        <f>IFERROR(__xludf.DUMMYFUNCTION("""COMPUTED_VALUE"""),"angelfelipe100@yahoo.es")</f>
        <v>angelfelipe100@yahoo.es</v>
      </c>
      <c r="H17" s="65"/>
      <c r="I17" s="65"/>
      <c r="J17" s="65"/>
      <c r="K17" s="65" t="str">
        <f>IFERROR(__xludf.DUMMYFUNCTION("""COMPUTED_VALUE"""),"PENDIENTE CONFIRMACION")</f>
        <v>PENDIENTE CONFIRMACION</v>
      </c>
      <c r="L17" s="65" t="str">
        <f>IFERROR(__xludf.DUMMYFUNCTION("""COMPUTED_VALUE"""),"CON RECAUDO")</f>
        <v>CON RECAUDO</v>
      </c>
      <c r="M17" s="65" t="str">
        <f>IFERROR(__xludf.DUMMYFUNCTION("""COMPUTED_VALUE"""),"GUAYAS")</f>
        <v>GUAYAS</v>
      </c>
      <c r="N17" s="65" t="str">
        <f>IFERROR(__xludf.DUMMYFUNCTION("""COMPUTED_VALUE"""),"GUAYAQUIL")</f>
        <v>GUAYAQUIL</v>
      </c>
      <c r="O17" s="65" t="str">
        <f>IFERROR(__xludf.DUMMYFUNCTION("""COMPUTED_VALUE"""),"Cdla. Las. Orqyideas, mz 1039, casa 39 Casa comunal iglesia catolica -")</f>
        <v>Cdla. Las. Orqyideas, mz 1039, casa 39 Casa comunal iglesia catolica -</v>
      </c>
      <c r="P17" s="65"/>
      <c r="Q17" s="65" t="str">
        <f>IFERROR(__xludf.DUMMYFUNCTION("""COMPUTED_VALUE"""),"GINTRACOM")</f>
        <v>GINTRACOM</v>
      </c>
      <c r="R17" s="65">
        <f>IFERROR(__xludf.DUMMYFUNCTION("""COMPUTED_VALUE"""),27.0)</f>
        <v>27</v>
      </c>
      <c r="S17" s="65"/>
      <c r="T17" s="65">
        <f>IFERROR(__xludf.DUMMYFUNCTION("""COMPUTED_VALUE"""),4.42)</f>
        <v>4.42</v>
      </c>
      <c r="U17" s="65">
        <f>IFERROR(__xludf.DUMMYFUNCTION("""COMPUTED_VALUE"""),0.0)</f>
        <v>0</v>
      </c>
      <c r="V17" s="65">
        <f>IFERROR(__xludf.DUMMYFUNCTION("""COMPUTED_VALUE"""),0.0)</f>
        <v>0</v>
      </c>
      <c r="W17" s="65">
        <f>IFERROR(__xludf.DUMMYFUNCTION("""COMPUTED_VALUE"""),0.0)</f>
        <v>0</v>
      </c>
      <c r="X17" s="65">
        <f>IFERROR(__xludf.DUMMYFUNCTION("""COMPUTED_VALUE"""),2.4)</f>
        <v>2.4</v>
      </c>
      <c r="Y17" s="65">
        <f>IFERROR(__xludf.DUMMYFUNCTION("""COMPUTED_VALUE"""),7.2)</f>
        <v>7.2</v>
      </c>
      <c r="Z17" s="65">
        <f>IFERROR(__xludf.DUMMYFUNCTION("""COMPUTED_VALUE"""),119189.0)</f>
        <v>119189</v>
      </c>
      <c r="AA17" s="65" t="str">
        <f>IFERROR(__xludf.DUMMYFUNCTION("""COMPUTED_VALUE"""),"CUCHILLO DE CHEF")</f>
        <v>CUCHILLO DE CHEF</v>
      </c>
      <c r="AB17" s="65"/>
      <c r="AC17" s="65" t="str">
        <f>IFERROR(__xludf.DUMMYFUNCTION("""COMPUTED_VALUE"""),"CUCHILLO DE CHEF")</f>
        <v>CUCHILLO DE CHEF</v>
      </c>
      <c r="AD17" s="65"/>
      <c r="AE17" s="65">
        <f>IFERROR(__xludf.DUMMYFUNCTION("""COMPUTED_VALUE"""),3.0)</f>
        <v>3</v>
      </c>
      <c r="AF17" s="65"/>
      <c r="AG17" s="65"/>
      <c r="AH17" s="65"/>
      <c r="AI17" s="65"/>
      <c r="AJ17" s="65"/>
      <c r="AK17" s="65"/>
      <c r="AL17" s="65"/>
      <c r="AM17" s="65"/>
      <c r="AN17" s="65"/>
      <c r="AO17" s="65"/>
      <c r="AP17" s="65"/>
      <c r="AQ17" s="65"/>
      <c r="AR17" s="65"/>
      <c r="AS17" s="65"/>
      <c r="AT17" s="65" t="str">
        <f>IFERROR(__xludf.DUMMYFUNCTION("""COMPUTED_VALUE"""),"SHOPIFY")</f>
        <v>SHOPIFY</v>
      </c>
      <c r="AU17" s="65" t="str">
        <f>IFERROR(__xludf.DUMMYFUNCTION("""COMPUTED_VALUE"""),"IMPORTEX EC")</f>
        <v>IMPORTEX EC</v>
      </c>
      <c r="AV17" s="65" t="str">
        <f>IFERROR(__xludf.DUMMYFUNCTION("""COMPUTED_VALUE"""),"6605454114860")</f>
        <v>6605454114860</v>
      </c>
      <c r="AW17" s="65">
        <f>IFERROR(__xludf.DUMMYFUNCTION("""COMPUTED_VALUE"""),6820.0)</f>
        <v>6820</v>
      </c>
      <c r="AX17" s="65"/>
      <c r="AY17" s="65"/>
      <c r="AZ17" s="65"/>
      <c r="BA17" s="65"/>
    </row>
    <row r="18">
      <c r="A18" s="65" t="str">
        <f>IFERROR(__xludf.DUMMYFUNCTION("""COMPUTED_VALUE"""),"27-03-2026")</f>
        <v>27-03-2026</v>
      </c>
      <c r="B18" s="65">
        <f>IFERROR(__xludf.DUMMYFUNCTION("""COMPUTED_VALUE"""),4907820.0)</f>
        <v>4907820</v>
      </c>
      <c r="C18" s="65" t="str">
        <f>IFERROR(__xludf.DUMMYFUNCTION("""COMPUTED_VALUE"""),"10:59")</f>
        <v>10:59</v>
      </c>
      <c r="D18" s="65" t="str">
        <f>IFERROR(__xludf.DUMMYFUNCTION("""COMPUTED_VALUE"""),"25-03-2026")</f>
        <v>25-03-2026</v>
      </c>
      <c r="E18" s="65" t="str">
        <f>IFERROR(__xludf.DUMMYFUNCTION("""COMPUTED_VALUE"""),"Germán Jiménez")</f>
        <v>Germán Jiménez</v>
      </c>
      <c r="F18" s="65" t="str">
        <f>IFERROR(__xludf.DUMMYFUNCTION("""COMPUTED_VALUE"""),"985063080")</f>
        <v>985063080</v>
      </c>
      <c r="G18" s="65"/>
      <c r="H18" s="65"/>
      <c r="I18" s="65"/>
      <c r="J18" s="65" t="str">
        <f>IFERROR(__xludf.DUMMYFUNCTION("""COMPUTED_VALUE"""),"185035175")</f>
        <v>185035175</v>
      </c>
      <c r="K18" s="65" t="str">
        <f>IFERROR(__xludf.DUMMYFUNCTION("""COMPUTED_VALUE"""),"PARA RETIRO EN AGENCIA SERVIENTREGA")</f>
        <v>PARA RETIRO EN AGENCIA SERVIENTREGA</v>
      </c>
      <c r="L18" s="65" t="str">
        <f>IFERROR(__xludf.DUMMYFUNCTION("""COMPUTED_VALUE"""),"CON RECAUDO")</f>
        <v>CON RECAUDO</v>
      </c>
      <c r="M18" s="65" t="str">
        <f>IFERROR(__xludf.DUMMYFUNCTION("""COMPUTED_VALUE"""),"NAPO")</f>
        <v>NAPO</v>
      </c>
      <c r="N18" s="65" t="str">
        <f>IFERROR(__xludf.DUMMYFUNCTION("""COMPUTED_VALUE"""),"TENA")</f>
        <v>TENA</v>
      </c>
      <c r="O18" s="65" t="str">
        <f>IFERROR(__xludf.DUMMYFUNCTION("""COMPUTED_VALUE"""),"RETIRA EN CS . TENA_PRINCIPAL - AV PANO SN VICTOR HUGO SAN MIGUEL")</f>
        <v>RETIRA EN CS . TENA_PRINCIPAL - AV PANO SN VICTOR HUGO SAN MIGUEL</v>
      </c>
      <c r="P18" s="65"/>
      <c r="Q18" s="65" t="str">
        <f>IFERROR(__xludf.DUMMYFUNCTION("""COMPUTED_VALUE"""),"SERVIENTREGA")</f>
        <v>SERVIENTREGA</v>
      </c>
      <c r="R18" s="65">
        <f>IFERROR(__xludf.DUMMYFUNCTION("""COMPUTED_VALUE"""),20.0)</f>
        <v>20</v>
      </c>
      <c r="S18" s="65"/>
      <c r="T18" s="65">
        <f>IFERROR(__xludf.DUMMYFUNCTION("""COMPUTED_VALUE"""),7.67)</f>
        <v>7.67</v>
      </c>
      <c r="U18" s="65">
        <f>IFERROR(__xludf.DUMMYFUNCTION("""COMPUTED_VALUE"""),0.0)</f>
        <v>0</v>
      </c>
      <c r="V18" s="65">
        <f>IFERROR(__xludf.DUMMYFUNCTION("""COMPUTED_VALUE"""),0.0)</f>
        <v>0</v>
      </c>
      <c r="W18" s="65">
        <f>IFERROR(__xludf.DUMMYFUNCTION("""COMPUTED_VALUE"""),0.0)</f>
        <v>0</v>
      </c>
      <c r="X18" s="65">
        <f>IFERROR(__xludf.DUMMYFUNCTION("""COMPUTED_VALUE"""),2.2)</f>
        <v>2.2</v>
      </c>
      <c r="Y18" s="65">
        <f>IFERROR(__xludf.DUMMYFUNCTION("""COMPUTED_VALUE"""),4.4)</f>
        <v>4.4</v>
      </c>
      <c r="Z18" s="65">
        <f>IFERROR(__xludf.DUMMYFUNCTION("""COMPUTED_VALUE"""),111894.0)</f>
        <v>111894</v>
      </c>
      <c r="AA18" s="65" t="str">
        <f>IFERROR(__xludf.DUMMYFUNCTION("""COMPUTED_VALUE"""),"LYIC5M40067")</f>
        <v>LYIC5M40067</v>
      </c>
      <c r="AB18" s="65"/>
      <c r="AC18" s="65" t="str">
        <f>IFERROR(__xludf.DUMMYFUNCTION("""COMPUTED_VALUE"""),"Limpiador de Parabrisas y Ventanas")</f>
        <v>Limpiador de Parabrisas y Ventanas</v>
      </c>
      <c r="AD18" s="65"/>
      <c r="AE18" s="65">
        <f>IFERROR(__xludf.DUMMYFUNCTION("""COMPUTED_VALUE"""),2.0)</f>
        <v>2</v>
      </c>
      <c r="AF18" s="65"/>
      <c r="AG18" s="65"/>
      <c r="AH18" s="65"/>
      <c r="AI18" s="65"/>
      <c r="AJ18" s="65"/>
      <c r="AK18" s="65"/>
      <c r="AL18" s="65"/>
      <c r="AM18" s="65"/>
      <c r="AN18" s="65" t="str">
        <f>IFERROR(__xludf.DUMMYFUNCTION("""COMPUTED_VALUE"""),"19:18")</f>
        <v>19:18</v>
      </c>
      <c r="AO18" s="65" t="str">
        <f>IFERROR(__xludf.DUMMYFUNCTION("""COMPUTED_VALUE"""),"26-03-2026")</f>
        <v>26-03-2026</v>
      </c>
      <c r="AP18" s="65" t="str">
        <f>IFERROR(__xludf.DUMMYFUNCTION("""COMPUTED_VALUE"""),"INGRESANDO EN AGENCIA")</f>
        <v>INGRESANDO EN AGENCIA</v>
      </c>
      <c r="AQ18" s="65" t="str">
        <f>IFERROR(__xludf.DUMMYFUNCTION("""COMPUTED_VALUE"""),".")</f>
        <v>.</v>
      </c>
      <c r="AR18" s="65"/>
      <c r="AS18" s="65"/>
      <c r="AT18" s="65"/>
      <c r="AU18" s="65"/>
      <c r="AV18" s="65"/>
      <c r="AW18" s="65"/>
      <c r="AX18" s="65"/>
      <c r="AY18" s="65" t="str">
        <f>IFERROR(__xludf.DUMMYFUNCTION("""COMPUTED_VALUE"""),"25/03/2026")</f>
        <v>25/03/2026</v>
      </c>
      <c r="AZ18" s="65"/>
      <c r="BA18" s="65"/>
    </row>
    <row r="19">
      <c r="A19" s="65" t="str">
        <f>IFERROR(__xludf.DUMMYFUNCTION("""COMPUTED_VALUE"""),"27-03-2026")</f>
        <v>27-03-2026</v>
      </c>
      <c r="B19" s="65">
        <f>IFERROR(__xludf.DUMMYFUNCTION("""COMPUTED_VALUE"""),4907159.0)</f>
        <v>4907159</v>
      </c>
      <c r="C19" s="65" t="str">
        <f>IFERROR(__xludf.DUMMYFUNCTION("""COMPUTED_VALUE"""),"10:08")</f>
        <v>10:08</v>
      </c>
      <c r="D19" s="65" t="str">
        <f>IFERROR(__xludf.DUMMYFUNCTION("""COMPUTED_VALUE"""),"25-03-2026")</f>
        <v>25-03-2026</v>
      </c>
      <c r="E19" s="65" t="str">
        <f>IFERROR(__xludf.DUMMYFUNCTION("""COMPUTED_VALUE"""),"Luis Bonilla")</f>
        <v>Luis Bonilla</v>
      </c>
      <c r="F19" s="65" t="str">
        <f>IFERROR(__xludf.DUMMYFUNCTION("""COMPUTED_VALUE"""),"996015589")</f>
        <v>996015589</v>
      </c>
      <c r="G19" s="65"/>
      <c r="H19" s="65"/>
      <c r="I19" s="65"/>
      <c r="J19" s="65" t="str">
        <f>IFERROR(__xludf.DUMMYFUNCTION("""COMPUTED_VALUE"""),"185035812")</f>
        <v>185035812</v>
      </c>
      <c r="K19" s="65" t="str">
        <f>IFERROR(__xludf.DUMMYFUNCTION("""COMPUTED_VALUE"""),"GUIA_GENERADA")</f>
        <v>GUIA_GENERADA</v>
      </c>
      <c r="L19" s="65" t="str">
        <f>IFERROR(__xludf.DUMMYFUNCTION("""COMPUTED_VALUE"""),"CON RECAUDO")</f>
        <v>CON RECAUDO</v>
      </c>
      <c r="M19" s="65" t="str">
        <f>IFERROR(__xludf.DUMMYFUNCTION("""COMPUTED_VALUE"""),"IMBABURA")</f>
        <v>IMBABURA</v>
      </c>
      <c r="N19" s="65" t="str">
        <f>IFERROR(__xludf.DUMMYFUNCTION("""COMPUTED_VALUE"""),"OTAVALO")</f>
        <v>OTAVALO</v>
      </c>
      <c r="O19" s="65" t="str">
        <f>IFERROR(__xludf.DUMMYFUNCTION("""COMPUTED_VALUE"""),"RETIRA EN CS : OTAVALO_PRINCIPAL - MORALES S/N Y ROCA")</f>
        <v>RETIRA EN CS : OTAVALO_PRINCIPAL - MORALES S/N Y ROCA</v>
      </c>
      <c r="P19" s="65"/>
      <c r="Q19" s="65" t="str">
        <f>IFERROR(__xludf.DUMMYFUNCTION("""COMPUTED_VALUE"""),"SERVIENTREGA")</f>
        <v>SERVIENTREGA</v>
      </c>
      <c r="R19" s="65">
        <f>IFERROR(__xludf.DUMMYFUNCTION("""COMPUTED_VALUE"""),20.0)</f>
        <v>20</v>
      </c>
      <c r="S19" s="65"/>
      <c r="T19" s="65">
        <f>IFERROR(__xludf.DUMMYFUNCTION("""COMPUTED_VALUE"""),7.67)</f>
        <v>7.67</v>
      </c>
      <c r="U19" s="65">
        <f>IFERROR(__xludf.DUMMYFUNCTION("""COMPUTED_VALUE"""),0.0)</f>
        <v>0</v>
      </c>
      <c r="V19" s="65">
        <f>IFERROR(__xludf.DUMMYFUNCTION("""COMPUTED_VALUE"""),0.0)</f>
        <v>0</v>
      </c>
      <c r="W19" s="65">
        <f>IFERROR(__xludf.DUMMYFUNCTION("""COMPUTED_VALUE"""),0.0)</f>
        <v>0</v>
      </c>
      <c r="X19" s="65">
        <f>IFERROR(__xludf.DUMMYFUNCTION("""COMPUTED_VALUE"""),2.1)</f>
        <v>2.1</v>
      </c>
      <c r="Y19" s="65">
        <f>IFERROR(__xludf.DUMMYFUNCTION("""COMPUTED_VALUE"""),4.2)</f>
        <v>4.2</v>
      </c>
      <c r="Z19" s="65">
        <f>IFERROR(__xludf.DUMMYFUNCTION("""COMPUTED_VALUE"""),106245.0)</f>
        <v>106245</v>
      </c>
      <c r="AA19" s="65" t="str">
        <f>IFERROR(__xludf.DUMMYFUNCTION("""COMPUTED_VALUE"""),"IMP-045-CEPLIMAUT")</f>
        <v>IMP-045-CEPLIMAUT</v>
      </c>
      <c r="AB19" s="65"/>
      <c r="AC19" s="65" t="str">
        <f>IFERROR(__xludf.DUMMYFUNCTION("""COMPUTED_VALUE"""),"LIMPIADOR DE PARABRISAS Y VENTANAS")</f>
        <v>LIMPIADOR DE PARABRISAS Y VENTANAS</v>
      </c>
      <c r="AD19" s="65"/>
      <c r="AE19" s="65">
        <f>IFERROR(__xludf.DUMMYFUNCTION("""COMPUTED_VALUE"""),2.0)</f>
        <v>2</v>
      </c>
      <c r="AF19" s="65"/>
      <c r="AG19" s="65"/>
      <c r="AH19" s="65"/>
      <c r="AI19" s="65"/>
      <c r="AJ19" s="65"/>
      <c r="AK19" s="65"/>
      <c r="AL19" s="65"/>
      <c r="AM19" s="65"/>
      <c r="AN19" s="65" t="str">
        <f>IFERROR(__xludf.DUMMYFUNCTION("""COMPUTED_VALUE"""),"16:08")</f>
        <v>16:08</v>
      </c>
      <c r="AO19" s="65" t="str">
        <f>IFERROR(__xludf.DUMMYFUNCTION("""COMPUTED_VALUE"""),"25-03-2026")</f>
        <v>25-03-2026</v>
      </c>
      <c r="AP19" s="65" t="str">
        <f>IFERROR(__xludf.DUMMYFUNCTION("""COMPUTED_VALUE"""),"GENERADO")</f>
        <v>GENERADO</v>
      </c>
      <c r="AQ19" s="65" t="str">
        <f>IFERROR(__xludf.DUMMYFUNCTION("""COMPUTED_VALUE"""),".")</f>
        <v>.</v>
      </c>
      <c r="AR19" s="65"/>
      <c r="AS19" s="65"/>
      <c r="AT19" s="65"/>
      <c r="AU19" s="65"/>
      <c r="AV19" s="65"/>
      <c r="AW19" s="65"/>
      <c r="AX19" s="65"/>
      <c r="AY19" s="65" t="str">
        <f>IFERROR(__xludf.DUMMYFUNCTION("""COMPUTED_VALUE"""),"25/03/2026")</f>
        <v>25/03/2026</v>
      </c>
      <c r="AZ19" s="65"/>
      <c r="BA19" s="65"/>
    </row>
    <row r="20">
      <c r="A20" s="65" t="str">
        <f>IFERROR(__xludf.DUMMYFUNCTION("""COMPUTED_VALUE"""),"27-03-2026")</f>
        <v>27-03-2026</v>
      </c>
      <c r="B20" s="65">
        <f>IFERROR(__xludf.DUMMYFUNCTION("""COMPUTED_VALUE"""),4898027.0)</f>
        <v>4898027</v>
      </c>
      <c r="C20" s="65" t="str">
        <f>IFERROR(__xludf.DUMMYFUNCTION("""COMPUTED_VALUE"""),"12:34")</f>
        <v>12:34</v>
      </c>
      <c r="D20" s="65" t="str">
        <f>IFERROR(__xludf.DUMMYFUNCTION("""COMPUTED_VALUE"""),"24-03-2026")</f>
        <v>24-03-2026</v>
      </c>
      <c r="E20" s="65" t="str">
        <f>IFERROR(__xludf.DUMMYFUNCTION("""COMPUTED_VALUE"""),"Fernando Zamora")</f>
        <v>Fernando Zamora</v>
      </c>
      <c r="F20" s="65" t="str">
        <f>IFERROR(__xludf.DUMMYFUNCTION("""COMPUTED_VALUE"""),"964251134")</f>
        <v>964251134</v>
      </c>
      <c r="G20" s="65"/>
      <c r="H20" s="65"/>
      <c r="I20" s="65"/>
      <c r="J20" s="65" t="str">
        <f>IFERROR(__xludf.DUMMYFUNCTION("""COMPUTED_VALUE"""),"D001449719")</f>
        <v>D001449719</v>
      </c>
      <c r="K20" s="65" t="str">
        <f>IFERROR(__xludf.DUMMYFUNCTION("""COMPUTED_VALUE"""),"EN REPARTO")</f>
        <v>EN REPARTO</v>
      </c>
      <c r="L20" s="65" t="str">
        <f>IFERROR(__xludf.DUMMYFUNCTION("""COMPUTED_VALUE"""),"CON RECAUDO")</f>
        <v>CON RECAUDO</v>
      </c>
      <c r="M20" s="65" t="str">
        <f>IFERROR(__xludf.DUMMYFUNCTION("""COMPUTED_VALUE"""),"GUAYAS")</f>
        <v>GUAYAS</v>
      </c>
      <c r="N20" s="65" t="str">
        <f>IFERROR(__xludf.DUMMYFUNCTION("""COMPUTED_VALUE"""),"GUAYAQUIL")</f>
        <v>GUAYAQUIL</v>
      </c>
      <c r="O20" s="65" t="str">
        <f>IFERROR(__xludf.DUMMYFUNCTION("""COMPUTED_VALUE"""),"BASTIÓN popular bloque 1B - En el dispensario Tipo C")</f>
        <v>BASTIÓN popular bloque 1B - En el dispensario Tipo C</v>
      </c>
      <c r="P20" s="65"/>
      <c r="Q20" s="65" t="str">
        <f>IFERROR(__xludf.DUMMYFUNCTION("""COMPUTED_VALUE"""),"GINTRACOM")</f>
        <v>GINTRACOM</v>
      </c>
      <c r="R20" s="65">
        <f>IFERROR(__xludf.DUMMYFUNCTION("""COMPUTED_VALUE"""),19.0)</f>
        <v>19</v>
      </c>
      <c r="S20" s="65"/>
      <c r="T20" s="65">
        <f>IFERROR(__xludf.DUMMYFUNCTION("""COMPUTED_VALUE"""),4.11)</f>
        <v>4.11</v>
      </c>
      <c r="U20" s="65">
        <f>IFERROR(__xludf.DUMMYFUNCTION("""COMPUTED_VALUE"""),0.0)</f>
        <v>0</v>
      </c>
      <c r="V20" s="65">
        <f>IFERROR(__xludf.DUMMYFUNCTION("""COMPUTED_VALUE"""),0.0)</f>
        <v>0</v>
      </c>
      <c r="W20" s="65">
        <f>IFERROR(__xludf.DUMMYFUNCTION("""COMPUTED_VALUE"""),0.0)</f>
        <v>0</v>
      </c>
      <c r="X20" s="65">
        <f>IFERROR(__xludf.DUMMYFUNCTION("""COMPUTED_VALUE"""),2.4)</f>
        <v>2.4</v>
      </c>
      <c r="Y20" s="65">
        <f>IFERROR(__xludf.DUMMYFUNCTION("""COMPUTED_VALUE"""),2.4)</f>
        <v>2.4</v>
      </c>
      <c r="Z20" s="65">
        <f>IFERROR(__xludf.DUMMYFUNCTION("""COMPUTED_VALUE"""),119189.0)</f>
        <v>119189</v>
      </c>
      <c r="AA20" s="65" t="str">
        <f>IFERROR(__xludf.DUMMYFUNCTION("""COMPUTED_VALUE"""),"CUCHILLO DE CHEF")</f>
        <v>CUCHILLO DE CHEF</v>
      </c>
      <c r="AB20" s="65"/>
      <c r="AC20" s="65" t="str">
        <f>IFERROR(__xludf.DUMMYFUNCTION("""COMPUTED_VALUE"""),"CUCHILLO DE CHEF")</f>
        <v>CUCHILLO DE CHEF</v>
      </c>
      <c r="AD20" s="65"/>
      <c r="AE20" s="65">
        <f>IFERROR(__xludf.DUMMYFUNCTION("""COMPUTED_VALUE"""),1.0)</f>
        <v>1</v>
      </c>
      <c r="AF20" s="65"/>
      <c r="AG20" s="65"/>
      <c r="AH20" s="65"/>
      <c r="AI20" s="65"/>
      <c r="AJ20" s="65"/>
      <c r="AK20" s="65"/>
      <c r="AL20" s="65"/>
      <c r="AM20" s="65"/>
      <c r="AN20" s="65" t="str">
        <f>IFERROR(__xludf.DUMMYFUNCTION("""COMPUTED_VALUE"""),"10:45")</f>
        <v>10:45</v>
      </c>
      <c r="AO20" s="65" t="str">
        <f>IFERROR(__xludf.DUMMYFUNCTION("""COMPUTED_VALUE"""),"26-03-2026")</f>
        <v>26-03-2026</v>
      </c>
      <c r="AP20" s="65" t="str">
        <f>IFERROR(__xludf.DUMMYFUNCTION("""COMPUTED_VALUE"""),"EN REPARTO")</f>
        <v>EN REPARTO</v>
      </c>
      <c r="AQ20" s="65" t="str">
        <f>IFERROR(__xludf.DUMMYFUNCTION("""COMPUTED_VALUE"""),"EN REPARTO")</f>
        <v>EN REPARTO</v>
      </c>
      <c r="AR20" s="65"/>
      <c r="AS20" s="65" t="str">
        <f>IFERROR(__xludf.DUMMYFUNCTION("""COMPUTED_VALUE"""),"PAUL BORJA")</f>
        <v>PAUL BORJA</v>
      </c>
      <c r="AT20" s="65"/>
      <c r="AU20" s="65"/>
      <c r="AV20" s="65"/>
      <c r="AW20" s="65"/>
      <c r="AX20" s="65"/>
      <c r="AY20" s="65" t="str">
        <f>IFERROR(__xludf.DUMMYFUNCTION("""COMPUTED_VALUE"""),"24/03/2026")</f>
        <v>24/03/2026</v>
      </c>
      <c r="AZ20" s="65"/>
      <c r="BA20" s="65"/>
    </row>
    <row r="21">
      <c r="A21" s="65" t="str">
        <f>IFERROR(__xludf.DUMMYFUNCTION("""COMPUTED_VALUE"""),"27-03-2026")</f>
        <v>27-03-2026</v>
      </c>
      <c r="B21" s="65">
        <f>IFERROR(__xludf.DUMMYFUNCTION("""COMPUTED_VALUE"""),4890075.0)</f>
        <v>4890075</v>
      </c>
      <c r="C21" s="65" t="str">
        <f>IFERROR(__xludf.DUMMYFUNCTION("""COMPUTED_VALUE"""),"17:14")</f>
        <v>17:14</v>
      </c>
      <c r="D21" s="65" t="str">
        <f>IFERROR(__xludf.DUMMYFUNCTION("""COMPUTED_VALUE"""),"23-03-2026")</f>
        <v>23-03-2026</v>
      </c>
      <c r="E21" s="65" t="str">
        <f>IFERROR(__xludf.DUMMYFUNCTION("""COMPUTED_VALUE"""),"ERMINSON ALBERTO ALVAREZ Acuña ALVAREZ ACUÑA")</f>
        <v>ERMINSON ALBERTO ALVAREZ Acuña ALVAREZ ACUÑA</v>
      </c>
      <c r="F21" s="65" t="str">
        <f>IFERROR(__xludf.DUMMYFUNCTION("""COMPUTED_VALUE"""),"986605425")</f>
        <v>986605425</v>
      </c>
      <c r="G21" s="65"/>
      <c r="H21" s="65"/>
      <c r="I21" s="65"/>
      <c r="J21" s="65" t="str">
        <f>IFERROR(__xludf.DUMMYFUNCTION("""COMPUTED_VALUE"""),"185028953")</f>
        <v>185028953</v>
      </c>
      <c r="K21" s="65" t="str">
        <f>IFERROR(__xludf.DUMMYFUNCTION("""COMPUTED_VALUE"""),"PARA RETIRO EN AGENCIA SERVIENTREGA")</f>
        <v>PARA RETIRO EN AGENCIA SERVIENTREGA</v>
      </c>
      <c r="L21" s="65" t="str">
        <f>IFERROR(__xludf.DUMMYFUNCTION("""COMPUTED_VALUE"""),"CON RECAUDO")</f>
        <v>CON RECAUDO</v>
      </c>
      <c r="M21" s="65" t="str">
        <f>IFERROR(__xludf.DUMMYFUNCTION("""COMPUTED_VALUE"""),"ZAMORA CHINCHIPE")</f>
        <v>ZAMORA CHINCHIPE</v>
      </c>
      <c r="N21" s="65" t="str">
        <f>IFERROR(__xludf.DUMMYFUNCTION("""COMPUTED_VALUE"""),"YANTZAZA")</f>
        <v>YANTZAZA</v>
      </c>
      <c r="O21" s="65" t="str">
        <f>IFERROR(__xludf.DUMMYFUNCTION("""COMPUTED_VALUE"""),"RETIRA EN CS: YANTZAZA_IVAN RIOFRIO, IVAN RIOFRIO Y MARTIN AYUY")</f>
        <v>RETIRA EN CS: YANTZAZA_IVAN RIOFRIO, IVAN RIOFRIO Y MARTIN AYUY</v>
      </c>
      <c r="P21" s="65"/>
      <c r="Q21" s="65" t="str">
        <f>IFERROR(__xludf.DUMMYFUNCTION("""COMPUTED_VALUE"""),"SERVIENTREGA")</f>
        <v>SERVIENTREGA</v>
      </c>
      <c r="R21" s="65">
        <f>IFERROR(__xludf.DUMMYFUNCTION("""COMPUTED_VALUE"""),20.0)</f>
        <v>20</v>
      </c>
      <c r="S21" s="65"/>
      <c r="T21" s="65">
        <f>IFERROR(__xludf.DUMMYFUNCTION("""COMPUTED_VALUE"""),7.67)</f>
        <v>7.67</v>
      </c>
      <c r="U21" s="65">
        <f>IFERROR(__xludf.DUMMYFUNCTION("""COMPUTED_VALUE"""),0.0)</f>
        <v>0</v>
      </c>
      <c r="V21" s="65">
        <f>IFERROR(__xludf.DUMMYFUNCTION("""COMPUTED_VALUE"""),0.0)</f>
        <v>0</v>
      </c>
      <c r="W21" s="65">
        <f>IFERROR(__xludf.DUMMYFUNCTION("""COMPUTED_VALUE"""),0.0)</f>
        <v>0</v>
      </c>
      <c r="X21" s="65">
        <f>IFERROR(__xludf.DUMMYFUNCTION("""COMPUTED_VALUE"""),2.21)</f>
        <v>2.21</v>
      </c>
      <c r="Y21" s="65">
        <f>IFERROR(__xludf.DUMMYFUNCTION("""COMPUTED_VALUE"""),4.42)</f>
        <v>4.42</v>
      </c>
      <c r="Z21" s="65">
        <f>IFERROR(__xludf.DUMMYFUNCTION("""COMPUTED_VALUE"""),120732.0)</f>
        <v>120732</v>
      </c>
      <c r="AA21" s="65" t="str">
        <f>IFERROR(__xludf.DUMMYFUNCTION("""COMPUTED_VALUE"""),"PROV-LMPVT")</f>
        <v>PROV-LMPVT</v>
      </c>
      <c r="AB21" s="65"/>
      <c r="AC21" s="65" t="str">
        <f>IFERROR(__xludf.DUMMYFUNCTION("""COMPUTED_VALUE"""),"LIMPIADOR DE PARABRISAS Y VENTANAS")</f>
        <v>LIMPIADOR DE PARABRISAS Y VENTANAS</v>
      </c>
      <c r="AD21" s="65"/>
      <c r="AE21" s="65">
        <f>IFERROR(__xludf.DUMMYFUNCTION("""COMPUTED_VALUE"""),2.0)</f>
        <v>2</v>
      </c>
      <c r="AF21" s="65"/>
      <c r="AG21" s="65"/>
      <c r="AH21" s="65"/>
      <c r="AI21" s="65"/>
      <c r="AJ21" s="65"/>
      <c r="AK21" s="65"/>
      <c r="AL21" s="65"/>
      <c r="AM21" s="65"/>
      <c r="AN21" s="65" t="str">
        <f>IFERROR(__xludf.DUMMYFUNCTION("""COMPUTED_VALUE"""),"01:00")</f>
        <v>01:00</v>
      </c>
      <c r="AO21" s="65" t="str">
        <f>IFERROR(__xludf.DUMMYFUNCTION("""COMPUTED_VALUE"""),"27-03-2026")</f>
        <v>27-03-2026</v>
      </c>
      <c r="AP21" s="65" t="str">
        <f>IFERROR(__xludf.DUMMYFUNCTION("""COMPUTED_VALUE"""),"Novedad en CS")</f>
        <v>Novedad en CS</v>
      </c>
      <c r="AQ21" s="65" t="str">
        <f>IFERROR(__xludf.DUMMYFUNCTION("""COMPUTED_VALUE"""),"{}")</f>
        <v>{}</v>
      </c>
      <c r="AR21" s="65"/>
      <c r="AS21" s="65"/>
      <c r="AT21" s="65" t="str">
        <f>IFERROR(__xludf.DUMMYFUNCTION("""COMPUTED_VALUE"""),"CHATEA PRO")</f>
        <v>CHATEA PRO</v>
      </c>
      <c r="AU21" s="65" t="str">
        <f>IFERROR(__xludf.DUMMYFUNCTION("""COMPUTED_VALUE"""),"CHATEA PRO")</f>
        <v>CHATEA PRO</v>
      </c>
      <c r="AV21" s="65"/>
      <c r="AW21" s="65"/>
      <c r="AX21" s="65"/>
      <c r="AY21" s="65" t="str">
        <f>IFERROR(__xludf.DUMMYFUNCTION("""COMPUTED_VALUE"""),"24/03/2026")</f>
        <v>24/03/2026</v>
      </c>
      <c r="AZ21" s="65"/>
      <c r="BA21" s="65"/>
    </row>
    <row r="22">
      <c r="A22" s="65" t="str">
        <f>IFERROR(__xludf.DUMMYFUNCTION("""COMPUTED_VALUE"""),"27-03-2026")</f>
        <v>27-03-2026</v>
      </c>
      <c r="B22" s="65">
        <f>IFERROR(__xludf.DUMMYFUNCTION("""COMPUTED_VALUE"""),4889470.0)</f>
        <v>4889470</v>
      </c>
      <c r="C22" s="65" t="str">
        <f>IFERROR(__xludf.DUMMYFUNCTION("""COMPUTED_VALUE"""),"16:09")</f>
        <v>16:09</v>
      </c>
      <c r="D22" s="65" t="str">
        <f>IFERROR(__xludf.DUMMYFUNCTION("""COMPUTED_VALUE"""),"23-03-2026")</f>
        <v>23-03-2026</v>
      </c>
      <c r="E22" s="65" t="str">
        <f>IFERROR(__xludf.DUMMYFUNCTION("""COMPUTED_VALUE"""),"Fausto chango Chango caizabanda")</f>
        <v>Fausto chango Chango caizabanda</v>
      </c>
      <c r="F22" s="65" t="str">
        <f>IFERROR(__xludf.DUMMYFUNCTION("""COMPUTED_VALUE"""),"981017807")</f>
        <v>981017807</v>
      </c>
      <c r="G22" s="65" t="str">
        <f>IFERROR(__xludf.DUMMYFUNCTION("""COMPUTED_VALUE"""),"faustochangoc@gmail.com")</f>
        <v>faustochangoc@gmail.com</v>
      </c>
      <c r="H22" s="65"/>
      <c r="I22" s="65"/>
      <c r="J22" s="65"/>
      <c r="K22" s="65" t="str">
        <f>IFERROR(__xludf.DUMMYFUNCTION("""COMPUTED_VALUE"""),"PENDIENTE CONFIRMACION")</f>
        <v>PENDIENTE CONFIRMACION</v>
      </c>
      <c r="L22" s="65" t="str">
        <f>IFERROR(__xludf.DUMMYFUNCTION("""COMPUTED_VALUE"""),"CON RECAUDO")</f>
        <v>CON RECAUDO</v>
      </c>
      <c r="M22" s="65" t="str">
        <f>IFERROR(__xludf.DUMMYFUNCTION("""COMPUTED_VALUE"""),"TUNGURAHUA")</f>
        <v>TUNGURAHUA</v>
      </c>
      <c r="N22" s="65" t="str">
        <f>IFERROR(__xludf.DUMMYFUNCTION("""COMPUTED_VALUE"""),"SAN PEDRO DE PELILEO")</f>
        <v>SAN PEDRO DE PELILEO</v>
      </c>
      <c r="O22" s="65" t="str">
        <f>IFERROR(__xludf.DUMMYFUNCTION("""COMPUTED_VALUE"""),"Avenida confraternidad Al frente parque paquilla pelileo -")</f>
        <v>Avenida confraternidad Al frente parque paquilla pelileo -</v>
      </c>
      <c r="P22" s="65"/>
      <c r="Q22" s="65" t="str">
        <f>IFERROR(__xludf.DUMMYFUNCTION("""COMPUTED_VALUE"""),"LAARCOURIER")</f>
        <v>LAARCOURIER</v>
      </c>
      <c r="R22" s="65">
        <f>IFERROR(__xludf.DUMMYFUNCTION("""COMPUTED_VALUE"""),33.0)</f>
        <v>33</v>
      </c>
      <c r="S22" s="65"/>
      <c r="T22" s="65">
        <f>IFERROR(__xludf.DUMMYFUNCTION("""COMPUTED_VALUE"""),7.43)</f>
        <v>7.43</v>
      </c>
      <c r="U22" s="65">
        <f>IFERROR(__xludf.DUMMYFUNCTION("""COMPUTED_VALUE"""),0.0)</f>
        <v>0</v>
      </c>
      <c r="V22" s="65">
        <f>IFERROR(__xludf.DUMMYFUNCTION("""COMPUTED_VALUE"""),0.0)</f>
        <v>0</v>
      </c>
      <c r="W22" s="65">
        <f>IFERROR(__xludf.DUMMYFUNCTION("""COMPUTED_VALUE"""),0.0)</f>
        <v>0</v>
      </c>
      <c r="X22" s="65">
        <f>IFERROR(__xludf.DUMMYFUNCTION("""COMPUTED_VALUE"""),2.85)</f>
        <v>2.85</v>
      </c>
      <c r="Y22" s="65">
        <f>IFERROR(__xludf.DUMMYFUNCTION("""COMPUTED_VALUE"""),11.4)</f>
        <v>11.4</v>
      </c>
      <c r="Z22" s="65">
        <f>IFERROR(__xludf.DUMMYFUNCTION("""COMPUTED_VALUE"""),129724.0)</f>
        <v>129724</v>
      </c>
      <c r="AA22" s="65" t="str">
        <f>IFERROR(__xludf.DUMMYFUNCTION("""COMPUTED_VALUE"""),"TSTBP")</f>
        <v>TSTBP</v>
      </c>
      <c r="AB22" s="65"/>
      <c r="AC22" s="65" t="str">
        <f>IFERROR(__xludf.DUMMYFUNCTION("""COMPUTED_VALUE"""),"Tira Selladora Tope Bloqueador Puertas")</f>
        <v>Tira Selladora Tope Bloqueador Puertas</v>
      </c>
      <c r="AD22" s="65"/>
      <c r="AE22" s="65">
        <f>IFERROR(__xludf.DUMMYFUNCTION("""COMPUTED_VALUE"""),4.0)</f>
        <v>4</v>
      </c>
      <c r="AF22" s="65"/>
      <c r="AG22" s="65"/>
      <c r="AH22" s="65"/>
      <c r="AI22" s="65"/>
      <c r="AJ22" s="65"/>
      <c r="AK22" s="65"/>
      <c r="AL22" s="65"/>
      <c r="AM22" s="65"/>
      <c r="AN22" s="65"/>
      <c r="AO22" s="65"/>
      <c r="AP22" s="65"/>
      <c r="AQ22" s="65"/>
      <c r="AR22" s="65"/>
      <c r="AS22" s="65"/>
      <c r="AT22" s="65" t="str">
        <f>IFERROR(__xludf.DUMMYFUNCTION("""COMPUTED_VALUE"""),"SHOPIFY")</f>
        <v>SHOPIFY</v>
      </c>
      <c r="AU22" s="65" t="str">
        <f>IFERROR(__xludf.DUMMYFUNCTION("""COMPUTED_VALUE"""),"IMPORTEX EC")</f>
        <v>IMPORTEX EC</v>
      </c>
      <c r="AV22" s="65" t="str">
        <f>IFERROR(__xludf.DUMMYFUNCTION("""COMPUTED_VALUE"""),"6593760657452")</f>
        <v>6593760657452</v>
      </c>
      <c r="AW22" s="65">
        <f>IFERROR(__xludf.DUMMYFUNCTION("""COMPUTED_VALUE"""),6781.0)</f>
        <v>6781</v>
      </c>
      <c r="AX22" s="65"/>
      <c r="AY22" s="65"/>
      <c r="AZ22" s="65"/>
      <c r="BA22" s="65"/>
    </row>
    <row r="23">
      <c r="A23" s="65" t="str">
        <f>IFERROR(__xludf.DUMMYFUNCTION("""COMPUTED_VALUE"""),"27-03-2026")</f>
        <v>27-03-2026</v>
      </c>
      <c r="B23" s="65">
        <f>IFERROR(__xludf.DUMMYFUNCTION("""COMPUTED_VALUE"""),4888200.0)</f>
        <v>4888200</v>
      </c>
      <c r="C23" s="65" t="str">
        <f>IFERROR(__xludf.DUMMYFUNCTION("""COMPUTED_VALUE"""),"14:15")</f>
        <v>14:15</v>
      </c>
      <c r="D23" s="65" t="str">
        <f>IFERROR(__xludf.DUMMYFUNCTION("""COMPUTED_VALUE"""),"23-03-2026")</f>
        <v>23-03-2026</v>
      </c>
      <c r="E23" s="65" t="str">
        <f>IFERROR(__xludf.DUMMYFUNCTION("""COMPUTED_VALUE"""),"Lus Figuero")</f>
        <v>Lus Figuero</v>
      </c>
      <c r="F23" s="65" t="str">
        <f>IFERROR(__xludf.DUMMYFUNCTION("""COMPUTED_VALUE"""),"999401421")</f>
        <v>999401421</v>
      </c>
      <c r="G23" s="65"/>
      <c r="H23" s="65"/>
      <c r="I23" s="65"/>
      <c r="J23" s="65" t="str">
        <f>IFERROR(__xludf.DUMMYFUNCTION("""COMPUTED_VALUE"""),"185028975")</f>
        <v>185028975</v>
      </c>
      <c r="K23" s="65" t="str">
        <f>IFERROR(__xludf.DUMMYFUNCTION("""COMPUTED_VALUE"""),"PARA RETIRO EN AGENCIA SERVIENTREGA")</f>
        <v>PARA RETIRO EN AGENCIA SERVIENTREGA</v>
      </c>
      <c r="L23" s="65" t="str">
        <f>IFERROR(__xludf.DUMMYFUNCTION("""COMPUTED_VALUE"""),"CON RECAUDO")</f>
        <v>CON RECAUDO</v>
      </c>
      <c r="M23" s="65" t="str">
        <f>IFERROR(__xludf.DUMMYFUNCTION("""COMPUTED_VALUE"""),"GUAYAS")</f>
        <v>GUAYAS</v>
      </c>
      <c r="N23" s="65" t="str">
        <f>IFERROR(__xludf.DUMMYFUNCTION("""COMPUTED_VALUE"""),"NOBOL")</f>
        <v>NOBOL</v>
      </c>
      <c r="O23" s="65" t="str">
        <f>IFERROR(__xludf.DUMMYFUNCTION("""COMPUTED_VALUE"""),"RETIRA CS: NOBOL_RENAN OLMEDO, CALLE RENAN OLMEDO Y AV RIO AMAZONAS MZ40 SL 543 JUNTO AL MERCADO MUNICIPAL")</f>
        <v>RETIRA CS: NOBOL_RENAN OLMEDO, CALLE RENAN OLMEDO Y AV RIO AMAZONAS MZ40 SL 543 JUNTO AL MERCADO MUNICIPAL</v>
      </c>
      <c r="P23" s="65"/>
      <c r="Q23" s="65" t="str">
        <f>IFERROR(__xludf.DUMMYFUNCTION("""COMPUTED_VALUE"""),"SERVIENTREGA")</f>
        <v>SERVIENTREGA</v>
      </c>
      <c r="R23" s="65">
        <f>IFERROR(__xludf.DUMMYFUNCTION("""COMPUTED_VALUE"""),20.0)</f>
        <v>20</v>
      </c>
      <c r="S23" s="65"/>
      <c r="T23" s="65">
        <f>IFERROR(__xludf.DUMMYFUNCTION("""COMPUTED_VALUE"""),7.67)</f>
        <v>7.67</v>
      </c>
      <c r="U23" s="65">
        <f>IFERROR(__xludf.DUMMYFUNCTION("""COMPUTED_VALUE"""),0.0)</f>
        <v>0</v>
      </c>
      <c r="V23" s="65">
        <f>IFERROR(__xludf.DUMMYFUNCTION("""COMPUTED_VALUE"""),0.0)</f>
        <v>0</v>
      </c>
      <c r="W23" s="65">
        <f>IFERROR(__xludf.DUMMYFUNCTION("""COMPUTED_VALUE"""),0.0)</f>
        <v>0</v>
      </c>
      <c r="X23" s="65">
        <f>IFERROR(__xludf.DUMMYFUNCTION("""COMPUTED_VALUE"""),2.21)</f>
        <v>2.21</v>
      </c>
      <c r="Y23" s="65">
        <f>IFERROR(__xludf.DUMMYFUNCTION("""COMPUTED_VALUE"""),4.42)</f>
        <v>4.42</v>
      </c>
      <c r="Z23" s="65">
        <f>IFERROR(__xludf.DUMMYFUNCTION("""COMPUTED_VALUE"""),120732.0)</f>
        <v>120732</v>
      </c>
      <c r="AA23" s="65" t="str">
        <f>IFERROR(__xludf.DUMMYFUNCTION("""COMPUTED_VALUE"""),"PROV-LMPVT")</f>
        <v>PROV-LMPVT</v>
      </c>
      <c r="AB23" s="65"/>
      <c r="AC23" s="65" t="str">
        <f>IFERROR(__xludf.DUMMYFUNCTION("""COMPUTED_VALUE"""),"LIMPIADOR DE PARABRISAS Y VENTANAS")</f>
        <v>LIMPIADOR DE PARABRISAS Y VENTANAS</v>
      </c>
      <c r="AD23" s="65"/>
      <c r="AE23" s="65">
        <f>IFERROR(__xludf.DUMMYFUNCTION("""COMPUTED_VALUE"""),2.0)</f>
        <v>2</v>
      </c>
      <c r="AF23" s="65"/>
      <c r="AG23" s="65"/>
      <c r="AH23" s="65"/>
      <c r="AI23" s="65"/>
      <c r="AJ23" s="65"/>
      <c r="AK23" s="65"/>
      <c r="AL23" s="65"/>
      <c r="AM23" s="65"/>
      <c r="AN23" s="65" t="str">
        <f>IFERROR(__xludf.DUMMYFUNCTION("""COMPUTED_VALUE"""),"01:01")</f>
        <v>01:01</v>
      </c>
      <c r="AO23" s="65" t="str">
        <f>IFERROR(__xludf.DUMMYFUNCTION("""COMPUTED_VALUE"""),"27-03-2026")</f>
        <v>27-03-2026</v>
      </c>
      <c r="AP23" s="65" t="str">
        <f>IFERROR(__xludf.DUMMYFUNCTION("""COMPUTED_VALUE"""),"Ingresando en Agencia NOBOL_RENAN OLMEDO")</f>
        <v>Ingresando en Agencia NOBOL_RENAN OLMEDO</v>
      </c>
      <c r="AQ23" s="65" t="str">
        <f>IFERROR(__xludf.DUMMYFUNCTION("""COMPUTED_VALUE"""),"{}")</f>
        <v>{}</v>
      </c>
      <c r="AR23" s="65"/>
      <c r="AS23" s="65"/>
      <c r="AT23" s="65" t="str">
        <f>IFERROR(__xludf.DUMMYFUNCTION("""COMPUTED_VALUE"""),"CHATEA PRO")</f>
        <v>CHATEA PRO</v>
      </c>
      <c r="AU23" s="65" t="str">
        <f>IFERROR(__xludf.DUMMYFUNCTION("""COMPUTED_VALUE"""),"CHATEA PRO")</f>
        <v>CHATEA PRO</v>
      </c>
      <c r="AV23" s="65"/>
      <c r="AW23" s="65"/>
      <c r="AX23" s="65"/>
      <c r="AY23" s="65" t="str">
        <f>IFERROR(__xludf.DUMMYFUNCTION("""COMPUTED_VALUE"""),"24/03/2026")</f>
        <v>24/03/2026</v>
      </c>
      <c r="AZ23" s="65"/>
      <c r="BA23" s="65"/>
    </row>
    <row r="24">
      <c r="A24" s="65" t="str">
        <f>IFERROR(__xludf.DUMMYFUNCTION("""COMPUTED_VALUE"""),"27-03-2026")</f>
        <v>27-03-2026</v>
      </c>
      <c r="B24" s="65">
        <f>IFERROR(__xludf.DUMMYFUNCTION("""COMPUTED_VALUE"""),4886972.0)</f>
        <v>4886972</v>
      </c>
      <c r="C24" s="65" t="str">
        <f>IFERROR(__xludf.DUMMYFUNCTION("""COMPUTED_VALUE"""),"12:27")</f>
        <v>12:27</v>
      </c>
      <c r="D24" s="65" t="str">
        <f>IFERROR(__xludf.DUMMYFUNCTION("""COMPUTED_VALUE"""),"23-03-2026")</f>
        <v>23-03-2026</v>
      </c>
      <c r="E24" s="65" t="str">
        <f>IFERROR(__xludf.DUMMYFUNCTION("""COMPUTED_VALUE"""),"FERNANDO ORTIZ")</f>
        <v>FERNANDO ORTIZ</v>
      </c>
      <c r="F24" s="65" t="str">
        <f>IFERROR(__xludf.DUMMYFUNCTION("""COMPUTED_VALUE"""),"962156461")</f>
        <v>962156461</v>
      </c>
      <c r="G24" s="65" t="str">
        <f>IFERROR(__xludf.DUMMYFUNCTION("""COMPUTED_VALUE"""),"fer.89pl@gmail.com")</f>
        <v>fer.89pl@gmail.com</v>
      </c>
      <c r="H24" s="65"/>
      <c r="I24" s="65"/>
      <c r="J24" s="65" t="str">
        <f>IFERROR(__xludf.DUMMYFUNCTION("""COMPUTED_VALUE"""),"D001449736")</f>
        <v>D001449736</v>
      </c>
      <c r="K24" s="65" t="str">
        <f>IFERROR(__xludf.DUMMYFUNCTION("""COMPUTED_VALUE"""),"ENTREGADO")</f>
        <v>ENTREGADO</v>
      </c>
      <c r="L24" s="65" t="str">
        <f>IFERROR(__xludf.DUMMYFUNCTION("""COMPUTED_VALUE"""),"CON RECAUDO")</f>
        <v>CON RECAUDO</v>
      </c>
      <c r="M24" s="65" t="str">
        <f>IFERROR(__xludf.DUMMYFUNCTION("""COMPUTED_VALUE"""),"AZUAY")</f>
        <v>AZUAY</v>
      </c>
      <c r="N24" s="65" t="str">
        <f>IFERROR(__xludf.DUMMYFUNCTION("""COMPUTED_VALUE"""),"CUENCA")</f>
        <v>CUENCA</v>
      </c>
      <c r="O24" s="65" t="str">
        <f>IFERROR(__xludf.DUMMYFUNCTION("""COMPUTED_VALUE"""),"Calle Nicanor merchán y Eugenio espejo, Parque la libertad, dentro de la dirección de riesgos del gad municipal de cuenca")</f>
        <v>Calle Nicanor merchán y Eugenio espejo, Parque la libertad, dentro de la dirección de riesgos del gad municipal de cuenca</v>
      </c>
      <c r="P24" s="65"/>
      <c r="Q24" s="65" t="str">
        <f>IFERROR(__xludf.DUMMYFUNCTION("""COMPUTED_VALUE"""),"GINTRACOM")</f>
        <v>GINTRACOM</v>
      </c>
      <c r="R24" s="65">
        <f>IFERROR(__xludf.DUMMYFUNCTION("""COMPUTED_VALUE"""),22.0)</f>
        <v>22</v>
      </c>
      <c r="S24" s="65">
        <f>IFERROR(__xludf.DUMMYFUNCTION("""COMPUTED_VALUE"""),11.36)</f>
        <v>11.36</v>
      </c>
      <c r="T24" s="65">
        <f>IFERROR(__xludf.DUMMYFUNCTION("""COMPUTED_VALUE"""),5.84)</f>
        <v>5.84</v>
      </c>
      <c r="U24" s="65">
        <f>IFERROR(__xludf.DUMMYFUNCTION("""COMPUTED_VALUE"""),0.0)</f>
        <v>0</v>
      </c>
      <c r="V24" s="65">
        <f>IFERROR(__xludf.DUMMYFUNCTION("""COMPUTED_VALUE"""),0.0)</f>
        <v>0</v>
      </c>
      <c r="W24" s="65">
        <f>IFERROR(__xludf.DUMMYFUNCTION("""COMPUTED_VALUE"""),0.0)</f>
        <v>0</v>
      </c>
      <c r="X24" s="65">
        <f>IFERROR(__xludf.DUMMYFUNCTION("""COMPUTED_VALUE"""),2.4)</f>
        <v>2.4</v>
      </c>
      <c r="Y24" s="65">
        <f>IFERROR(__xludf.DUMMYFUNCTION("""COMPUTED_VALUE"""),4.8)</f>
        <v>4.8</v>
      </c>
      <c r="Z24" s="65">
        <f>IFERROR(__xludf.DUMMYFUNCTION("""COMPUTED_VALUE"""),119189.0)</f>
        <v>119189</v>
      </c>
      <c r="AA24" s="65" t="str">
        <f>IFERROR(__xludf.DUMMYFUNCTION("""COMPUTED_VALUE"""),"CUCHILLO DE CHEF")</f>
        <v>CUCHILLO DE CHEF</v>
      </c>
      <c r="AB24" s="65"/>
      <c r="AC24" s="65" t="str">
        <f>IFERROR(__xludf.DUMMYFUNCTION("""COMPUTED_VALUE"""),"CUCHILLO DE CHEF")</f>
        <v>CUCHILLO DE CHEF</v>
      </c>
      <c r="AD24" s="65"/>
      <c r="AE24" s="65">
        <f>IFERROR(__xludf.DUMMYFUNCTION("""COMPUTED_VALUE"""),2.0)</f>
        <v>2</v>
      </c>
      <c r="AF24" s="65"/>
      <c r="AG24" s="65"/>
      <c r="AH24" s="65"/>
      <c r="AI24" s="65"/>
      <c r="AJ24" s="65"/>
      <c r="AK24" s="65"/>
      <c r="AL24" s="65"/>
      <c r="AM24" s="65"/>
      <c r="AN24" s="65" t="str">
        <f>IFERROR(__xludf.DUMMYFUNCTION("""COMPUTED_VALUE"""),"15:57")</f>
        <v>15:57</v>
      </c>
      <c r="AO24" s="65" t="str">
        <f>IFERROR(__xludf.DUMMYFUNCTION("""COMPUTED_VALUE"""),"26-03-2026")</f>
        <v>26-03-2026</v>
      </c>
      <c r="AP24" s="65" t="str">
        <f>IFERROR(__xludf.DUMMYFUNCTION("""COMPUTED_VALUE"""),"ENTREGADA GINTRACOM")</f>
        <v>ENTREGADA GINTRACOM</v>
      </c>
      <c r="AQ24" s="65" t="str">
        <f>IFERROR(__xludf.DUMMYFUNCTION("""COMPUTED_VALUE"""),"ENTREGADA GINTRACOM")</f>
        <v>ENTREGADA GINTRACOM</v>
      </c>
      <c r="AR24" s="65"/>
      <c r="AS24" s="65"/>
      <c r="AT24" s="65" t="str">
        <f>IFERROR(__xludf.DUMMYFUNCTION("""COMPUTED_VALUE"""),"SHOPIFY")</f>
        <v>SHOPIFY</v>
      </c>
      <c r="AU24" s="65" t="str">
        <f>IFERROR(__xludf.DUMMYFUNCTION("""COMPUTED_VALUE"""),"IMPORTEX EC")</f>
        <v>IMPORTEX EC</v>
      </c>
      <c r="AV24" s="65" t="str">
        <f>IFERROR(__xludf.DUMMYFUNCTION("""COMPUTED_VALUE"""),"6598048546860")</f>
        <v>6598048546860</v>
      </c>
      <c r="AW24" s="65">
        <f>IFERROR(__xludf.DUMMYFUNCTION("""COMPUTED_VALUE"""),6819.0)</f>
        <v>6819</v>
      </c>
      <c r="AX24" s="65"/>
      <c r="AY24" s="65" t="str">
        <f>IFERROR(__xludf.DUMMYFUNCTION("""COMPUTED_VALUE"""),"24/03/2026")</f>
        <v>24/03/2026</v>
      </c>
      <c r="AZ24" s="65"/>
      <c r="BA24" s="65"/>
    </row>
    <row r="25">
      <c r="A25" s="65" t="str">
        <f>IFERROR(__xludf.DUMMYFUNCTION("""COMPUTED_VALUE"""),"27-03-2026")</f>
        <v>27-03-2026</v>
      </c>
      <c r="B25" s="65">
        <f>IFERROR(__xludf.DUMMYFUNCTION("""COMPUTED_VALUE"""),4886943.0)</f>
        <v>4886943</v>
      </c>
      <c r="C25" s="65" t="str">
        <f>IFERROR(__xludf.DUMMYFUNCTION("""COMPUTED_VALUE"""),"12:25")</f>
        <v>12:25</v>
      </c>
      <c r="D25" s="65" t="str">
        <f>IFERROR(__xludf.DUMMYFUNCTION("""COMPUTED_VALUE"""),"23-03-2026")</f>
        <v>23-03-2026</v>
      </c>
      <c r="E25" s="65" t="str">
        <f>IFERROR(__xludf.DUMMYFUNCTION("""COMPUTED_VALUE"""),"Josei Salem")</f>
        <v>Josei Salem</v>
      </c>
      <c r="F25" s="65" t="str">
        <f>IFERROR(__xludf.DUMMYFUNCTION("""COMPUTED_VALUE"""),"98798022")</f>
        <v>98798022</v>
      </c>
      <c r="G25" s="65"/>
      <c r="H25" s="65"/>
      <c r="I25" s="65"/>
      <c r="J25" s="65"/>
      <c r="K25" s="65" t="str">
        <f>IFERROR(__xludf.DUMMYFUNCTION("""COMPUTED_VALUE"""),"PENDIENTE CONFIRMACION")</f>
        <v>PENDIENTE CONFIRMACION</v>
      </c>
      <c r="L25" s="65" t="str">
        <f>IFERROR(__xludf.DUMMYFUNCTION("""COMPUTED_VALUE"""),"CON RECAUDO")</f>
        <v>CON RECAUDO</v>
      </c>
      <c r="M25" s="65" t="str">
        <f>IFERROR(__xludf.DUMMYFUNCTION("""COMPUTED_VALUE"""),"MANABI")</f>
        <v>MANABI</v>
      </c>
      <c r="N25" s="65" t="str">
        <f>IFERROR(__xludf.DUMMYFUNCTION("""COMPUTED_VALUE"""),"MANTA")</f>
        <v>MANTA</v>
      </c>
      <c r="O25" s="65" t="str">
        <f>IFERROR(__xludf.DUMMYFUNCTION("""COMPUTED_VALUE"""),"RETIRA EN CS: MANTA_CALLE 13, CALLE 13 AVE 21 Y 22")</f>
        <v>RETIRA EN CS: MANTA_CALLE 13, CALLE 13 AVE 21 Y 22</v>
      </c>
      <c r="P25" s="65"/>
      <c r="Q25" s="65" t="str">
        <f>IFERROR(__xludf.DUMMYFUNCTION("""COMPUTED_VALUE"""),"SERVIENTREGA")</f>
        <v>SERVIENTREGA</v>
      </c>
      <c r="R25" s="65">
        <f>IFERROR(__xludf.DUMMYFUNCTION("""COMPUTED_VALUE"""),24.99)</f>
        <v>24.99</v>
      </c>
      <c r="S25" s="65"/>
      <c r="T25" s="65">
        <f>IFERROR(__xludf.DUMMYFUNCTION("""COMPUTED_VALUE"""),6.31)</f>
        <v>6.31</v>
      </c>
      <c r="U25" s="65">
        <f>IFERROR(__xludf.DUMMYFUNCTION("""COMPUTED_VALUE"""),0.0)</f>
        <v>0</v>
      </c>
      <c r="V25" s="65">
        <f>IFERROR(__xludf.DUMMYFUNCTION("""COMPUTED_VALUE"""),0.0)</f>
        <v>0</v>
      </c>
      <c r="W25" s="65">
        <f>IFERROR(__xludf.DUMMYFUNCTION("""COMPUTED_VALUE"""),0.0)</f>
        <v>0</v>
      </c>
      <c r="X25" s="65">
        <f>IFERROR(__xludf.DUMMYFUNCTION("""COMPUTED_VALUE"""),2.1)</f>
        <v>2.1</v>
      </c>
      <c r="Y25" s="65">
        <f>IFERROR(__xludf.DUMMYFUNCTION("""COMPUTED_VALUE"""),6.3)</f>
        <v>6.3</v>
      </c>
      <c r="Z25" s="65">
        <f>IFERROR(__xludf.DUMMYFUNCTION("""COMPUTED_VALUE"""),106245.0)</f>
        <v>106245</v>
      </c>
      <c r="AA25" s="65" t="str">
        <f>IFERROR(__xludf.DUMMYFUNCTION("""COMPUTED_VALUE"""),"IMP-045-CEPLIMAUT")</f>
        <v>IMP-045-CEPLIMAUT</v>
      </c>
      <c r="AB25" s="65"/>
      <c r="AC25" s="65" t="str">
        <f>IFERROR(__xludf.DUMMYFUNCTION("""COMPUTED_VALUE"""),"LIMPIADOR DE PARABRISAS Y VENTANAS")</f>
        <v>LIMPIADOR DE PARABRISAS Y VENTANAS</v>
      </c>
      <c r="AD25" s="65"/>
      <c r="AE25" s="65">
        <f>IFERROR(__xludf.DUMMYFUNCTION("""COMPUTED_VALUE"""),3.0)</f>
        <v>3</v>
      </c>
      <c r="AF25" s="65"/>
      <c r="AG25" s="65"/>
      <c r="AH25" s="65"/>
      <c r="AI25" s="65"/>
      <c r="AJ25" s="65"/>
      <c r="AK25" s="65"/>
      <c r="AL25" s="65"/>
      <c r="AM25" s="65"/>
      <c r="AN25" s="65"/>
      <c r="AO25" s="65"/>
      <c r="AP25" s="65"/>
      <c r="AQ25" s="65"/>
      <c r="AR25" s="65"/>
      <c r="AS25" s="65" t="str">
        <f>IFERROR(__xludf.DUMMYFUNCTION("""COMPUTED_VALUE"""),"PAUL BORJA")</f>
        <v>PAUL BORJA</v>
      </c>
      <c r="AT25" s="65"/>
      <c r="AU25" s="65"/>
      <c r="AV25" s="65"/>
      <c r="AW25" s="65"/>
      <c r="AX25" s="65"/>
      <c r="AY25" s="65"/>
      <c r="AZ25" s="65"/>
      <c r="BA25" s="65"/>
    </row>
    <row r="26">
      <c r="A26" s="65" t="str">
        <f>IFERROR(__xludf.DUMMYFUNCTION("""COMPUTED_VALUE"""),"27-03-2026")</f>
        <v>27-03-2026</v>
      </c>
      <c r="B26" s="65">
        <f>IFERROR(__xludf.DUMMYFUNCTION("""COMPUTED_VALUE"""),4886533.0)</f>
        <v>4886533</v>
      </c>
      <c r="C26" s="65" t="str">
        <f>IFERROR(__xludf.DUMMYFUNCTION("""COMPUTED_VALUE"""),"11:50")</f>
        <v>11:50</v>
      </c>
      <c r="D26" s="65" t="str">
        <f>IFERROR(__xludf.DUMMYFUNCTION("""COMPUTED_VALUE"""),"23-03-2026")</f>
        <v>23-03-2026</v>
      </c>
      <c r="E26" s="65" t="str">
        <f>IFERROR(__xludf.DUMMYFUNCTION("""COMPUTED_VALUE"""),"Witson Ortega")</f>
        <v>Witson Ortega</v>
      </c>
      <c r="F26" s="65" t="str">
        <f>IFERROR(__xludf.DUMMYFUNCTION("""COMPUTED_VALUE"""),"981394613")</f>
        <v>981394613</v>
      </c>
      <c r="G26" s="65"/>
      <c r="H26" s="65"/>
      <c r="I26" s="65"/>
      <c r="J26" s="65" t="str">
        <f>IFERROR(__xludf.DUMMYFUNCTION("""COMPUTED_VALUE"""),"185025488")</f>
        <v>185025488</v>
      </c>
      <c r="K26" s="65" t="str">
        <f>IFERROR(__xludf.DUMMYFUNCTION("""COMPUTED_VALUE"""),"ENTREGADO")</f>
        <v>ENTREGADO</v>
      </c>
      <c r="L26" s="65" t="str">
        <f>IFERROR(__xludf.DUMMYFUNCTION("""COMPUTED_VALUE"""),"CON RECAUDO")</f>
        <v>CON RECAUDO</v>
      </c>
      <c r="M26" s="65" t="str">
        <f>IFERROR(__xludf.DUMMYFUNCTION("""COMPUTED_VALUE"""),"AZUAY")</f>
        <v>AZUAY</v>
      </c>
      <c r="N26" s="65" t="str">
        <f>IFERROR(__xludf.DUMMYFUNCTION("""COMPUTED_VALUE"""),"CUENCA")</f>
        <v>CUENCA</v>
      </c>
      <c r="O26" s="65" t="str">
        <f>IFERROR(__xludf.DUMMYFUNCTION("""COMPUTED_VALUE"""),"RETIRA EN CS: CUENCA AV. GIL RAMIREZ DAVALOS, AV.GIL RAMIREZ DAVALOS Y FRANCISCO PIZARRO N3-89 FRENTE A LA GASOLINERA PYS")</f>
        <v>RETIRA EN CS: CUENCA AV. GIL RAMIREZ DAVALOS, AV.GIL RAMIREZ DAVALOS Y FRANCISCO PIZARRO N3-89 FRENTE A LA GASOLINERA PYS</v>
      </c>
      <c r="P26" s="65"/>
      <c r="Q26" s="65" t="str">
        <f>IFERROR(__xludf.DUMMYFUNCTION("""COMPUTED_VALUE"""),"SERVIENTREGA")</f>
        <v>SERVIENTREGA</v>
      </c>
      <c r="R26" s="65">
        <f>IFERROR(__xludf.DUMMYFUNCTION("""COMPUTED_VALUE"""),20.0)</f>
        <v>20</v>
      </c>
      <c r="S26" s="65">
        <f>IFERROR(__xludf.DUMMYFUNCTION("""COMPUTED_VALUE"""),9.61)</f>
        <v>9.61</v>
      </c>
      <c r="T26" s="65">
        <f>IFERROR(__xludf.DUMMYFUNCTION("""COMPUTED_VALUE"""),5.97)</f>
        <v>5.97</v>
      </c>
      <c r="U26" s="65">
        <f>IFERROR(__xludf.DUMMYFUNCTION("""COMPUTED_VALUE"""),0.0)</f>
        <v>0</v>
      </c>
      <c r="V26" s="65">
        <f>IFERROR(__xludf.DUMMYFUNCTION("""COMPUTED_VALUE"""),0.0)</f>
        <v>0</v>
      </c>
      <c r="W26" s="65">
        <f>IFERROR(__xludf.DUMMYFUNCTION("""COMPUTED_VALUE"""),0.0)</f>
        <v>0</v>
      </c>
      <c r="X26" s="65">
        <f>IFERROR(__xludf.DUMMYFUNCTION("""COMPUTED_VALUE"""),2.21)</f>
        <v>2.21</v>
      </c>
      <c r="Y26" s="65">
        <f>IFERROR(__xludf.DUMMYFUNCTION("""COMPUTED_VALUE"""),4.42)</f>
        <v>4.42</v>
      </c>
      <c r="Z26" s="65">
        <f>IFERROR(__xludf.DUMMYFUNCTION("""COMPUTED_VALUE"""),120732.0)</f>
        <v>120732</v>
      </c>
      <c r="AA26" s="65" t="str">
        <f>IFERROR(__xludf.DUMMYFUNCTION("""COMPUTED_VALUE"""),"PROV-LMPVT")</f>
        <v>PROV-LMPVT</v>
      </c>
      <c r="AB26" s="65"/>
      <c r="AC26" s="65" t="str">
        <f>IFERROR(__xludf.DUMMYFUNCTION("""COMPUTED_VALUE"""),"LIMPIADOR DE PARABRISAS Y VENTANAS")</f>
        <v>LIMPIADOR DE PARABRISAS Y VENTANAS</v>
      </c>
      <c r="AD26" s="65"/>
      <c r="AE26" s="65">
        <f>IFERROR(__xludf.DUMMYFUNCTION("""COMPUTED_VALUE"""),2.0)</f>
        <v>2</v>
      </c>
      <c r="AF26" s="65"/>
      <c r="AG26" s="65"/>
      <c r="AH26" s="65"/>
      <c r="AI26" s="65"/>
      <c r="AJ26" s="65"/>
      <c r="AK26" s="65"/>
      <c r="AL26" s="65"/>
      <c r="AM26" s="65"/>
      <c r="AN26" s="65" t="str">
        <f>IFERROR(__xludf.DUMMYFUNCTION("""COMPUTED_VALUE"""),"18:08")</f>
        <v>18:08</v>
      </c>
      <c r="AO26" s="65" t="str">
        <f>IFERROR(__xludf.DUMMYFUNCTION("""COMPUTED_VALUE"""),"26-03-2026")</f>
        <v>26-03-2026</v>
      </c>
      <c r="AP26" s="65" t="str">
        <f>IFERROR(__xludf.DUMMYFUNCTION("""COMPUTED_VALUE"""),"REPORTADO ENTREGADO EN AGENCIA")</f>
        <v>REPORTADO ENTREGADO EN AGENCIA</v>
      </c>
      <c r="AQ26" s="65" t="str">
        <f>IFERROR(__xludf.DUMMYFUNCTION("""COMPUTED_VALUE"""),"WITSON ORTEGA")</f>
        <v>WITSON ORTEGA</v>
      </c>
      <c r="AR26" s="65"/>
      <c r="AS26" s="65"/>
      <c r="AT26" s="65" t="str">
        <f>IFERROR(__xludf.DUMMYFUNCTION("""COMPUTED_VALUE"""),"CHATEA PRO")</f>
        <v>CHATEA PRO</v>
      </c>
      <c r="AU26" s="65" t="str">
        <f>IFERROR(__xludf.DUMMYFUNCTION("""COMPUTED_VALUE"""),"CHATEA PRO")</f>
        <v>CHATEA PRO</v>
      </c>
      <c r="AV26" s="65"/>
      <c r="AW26" s="65"/>
      <c r="AX26" s="65"/>
      <c r="AY26" s="65" t="str">
        <f>IFERROR(__xludf.DUMMYFUNCTION("""COMPUTED_VALUE"""),"23/03/2026")</f>
        <v>23/03/2026</v>
      </c>
      <c r="AZ26" s="65"/>
      <c r="BA26" s="65"/>
    </row>
    <row r="27">
      <c r="A27" s="65" t="str">
        <f>IFERROR(__xludf.DUMMYFUNCTION("""COMPUTED_VALUE"""),"27-03-2026")</f>
        <v>27-03-2026</v>
      </c>
      <c r="B27" s="65">
        <f>IFERROR(__xludf.DUMMYFUNCTION("""COMPUTED_VALUE"""),4883341.0)</f>
        <v>4883341</v>
      </c>
      <c r="C27" s="65" t="str">
        <f>IFERROR(__xludf.DUMMYFUNCTION("""COMPUTED_VALUE"""),"07:48")</f>
        <v>07:48</v>
      </c>
      <c r="D27" s="65" t="str">
        <f>IFERROR(__xludf.DUMMYFUNCTION("""COMPUTED_VALUE"""),"23-03-2026")</f>
        <v>23-03-2026</v>
      </c>
      <c r="E27" s="65" t="str">
        <f>IFERROR(__xludf.DUMMYFUNCTION("""COMPUTED_VALUE"""),"Guisela Aguirre")</f>
        <v>Guisela Aguirre</v>
      </c>
      <c r="F27" s="65" t="str">
        <f>IFERROR(__xludf.DUMMYFUNCTION("""COMPUTED_VALUE"""),"985992365")</f>
        <v>985992365</v>
      </c>
      <c r="G27" s="65" t="str">
        <f>IFERROR(__xludf.DUMMYFUNCTION("""COMPUTED_VALUE"""),"nereanaislaura567@gmail.com")</f>
        <v>nereanaislaura567@gmail.com</v>
      </c>
      <c r="H27" s="65"/>
      <c r="I27" s="65"/>
      <c r="J27" s="65"/>
      <c r="K27" s="65" t="str">
        <f>IFERROR(__xludf.DUMMYFUNCTION("""COMPUTED_VALUE"""),"PENDIENTE CONFIRMACION")</f>
        <v>PENDIENTE CONFIRMACION</v>
      </c>
      <c r="L27" s="65" t="str">
        <f>IFERROR(__xludf.DUMMYFUNCTION("""COMPUTED_VALUE"""),"CON RECAUDO")</f>
        <v>CON RECAUDO</v>
      </c>
      <c r="M27" s="65" t="str">
        <f>IFERROR(__xludf.DUMMYFUNCTION("""COMPUTED_VALUE"""),"GUAYAS")</f>
        <v>GUAYAS</v>
      </c>
      <c r="N27" s="65" t="str">
        <f>IFERROR(__xludf.DUMMYFUNCTION("""COMPUTED_VALUE"""),"GUAYAQUIL")</f>
        <v>GUAYAQUIL</v>
      </c>
      <c r="O27" s="65" t="str">
        <f>IFERROR(__xludf.DUMMYFUNCTION("""COMPUTED_VALUE"""),"Av. Vicente Trujillo entre esmeraldas y los rios Frente a las acacias -")</f>
        <v>Av. Vicente Trujillo entre esmeraldas y los rios Frente a las acacias -</v>
      </c>
      <c r="P27" s="65"/>
      <c r="Q27" s="65" t="str">
        <f>IFERROR(__xludf.DUMMYFUNCTION("""COMPUTED_VALUE"""),"GINTRACOM")</f>
        <v>GINTRACOM</v>
      </c>
      <c r="R27" s="65">
        <f>IFERROR(__xludf.DUMMYFUNCTION("""COMPUTED_VALUE"""),27.0)</f>
        <v>27</v>
      </c>
      <c r="S27" s="65"/>
      <c r="T27" s="65">
        <f>IFERROR(__xludf.DUMMYFUNCTION("""COMPUTED_VALUE"""),4.42)</f>
        <v>4.42</v>
      </c>
      <c r="U27" s="65">
        <f>IFERROR(__xludf.DUMMYFUNCTION("""COMPUTED_VALUE"""),0.0)</f>
        <v>0</v>
      </c>
      <c r="V27" s="65">
        <f>IFERROR(__xludf.DUMMYFUNCTION("""COMPUTED_VALUE"""),0.0)</f>
        <v>0</v>
      </c>
      <c r="W27" s="65">
        <f>IFERROR(__xludf.DUMMYFUNCTION("""COMPUTED_VALUE"""),0.0)</f>
        <v>0</v>
      </c>
      <c r="X27" s="65">
        <f>IFERROR(__xludf.DUMMYFUNCTION("""COMPUTED_VALUE"""),2.4)</f>
        <v>2.4</v>
      </c>
      <c r="Y27" s="65">
        <f>IFERROR(__xludf.DUMMYFUNCTION("""COMPUTED_VALUE"""),7.2)</f>
        <v>7.2</v>
      </c>
      <c r="Z27" s="65">
        <f>IFERROR(__xludf.DUMMYFUNCTION("""COMPUTED_VALUE"""),119189.0)</f>
        <v>119189</v>
      </c>
      <c r="AA27" s="65" t="str">
        <f>IFERROR(__xludf.DUMMYFUNCTION("""COMPUTED_VALUE"""),"CUCHILLO DE CHEF")</f>
        <v>CUCHILLO DE CHEF</v>
      </c>
      <c r="AB27" s="65"/>
      <c r="AC27" s="65" t="str">
        <f>IFERROR(__xludf.DUMMYFUNCTION("""COMPUTED_VALUE"""),"CUCHILLO DE CHEF")</f>
        <v>CUCHILLO DE CHEF</v>
      </c>
      <c r="AD27" s="65"/>
      <c r="AE27" s="65">
        <f>IFERROR(__xludf.DUMMYFUNCTION("""COMPUTED_VALUE"""),3.0)</f>
        <v>3</v>
      </c>
      <c r="AF27" s="65"/>
      <c r="AG27" s="65"/>
      <c r="AH27" s="65"/>
      <c r="AI27" s="65"/>
      <c r="AJ27" s="65"/>
      <c r="AK27" s="65"/>
      <c r="AL27" s="65"/>
      <c r="AM27" s="65"/>
      <c r="AN27" s="65"/>
      <c r="AO27" s="65"/>
      <c r="AP27" s="65"/>
      <c r="AQ27" s="65"/>
      <c r="AR27" s="65"/>
      <c r="AS27" s="65"/>
      <c r="AT27" s="65" t="str">
        <f>IFERROR(__xludf.DUMMYFUNCTION("""COMPUTED_VALUE"""),"SHOPIFY")</f>
        <v>SHOPIFY</v>
      </c>
      <c r="AU27" s="65" t="str">
        <f>IFERROR(__xludf.DUMMYFUNCTION("""COMPUTED_VALUE"""),"IMPORTEX EC")</f>
        <v>IMPORTEX EC</v>
      </c>
      <c r="AV27" s="65" t="str">
        <f>IFERROR(__xludf.DUMMYFUNCTION("""COMPUTED_VALUE"""),"6597531926572")</f>
        <v>6597531926572</v>
      </c>
      <c r="AW27" s="65">
        <f>IFERROR(__xludf.DUMMYFUNCTION("""COMPUTED_VALUE"""),6818.0)</f>
        <v>6818</v>
      </c>
      <c r="AX27" s="65"/>
      <c r="AY27" s="65"/>
      <c r="AZ27" s="65"/>
      <c r="BA27" s="65"/>
    </row>
    <row r="28">
      <c r="A28" s="65" t="str">
        <f>IFERROR(__xludf.DUMMYFUNCTION("""COMPUTED_VALUE"""),"27-03-2026")</f>
        <v>27-03-2026</v>
      </c>
      <c r="B28" s="65">
        <f>IFERROR(__xludf.DUMMYFUNCTION("""COMPUTED_VALUE"""),4882668.0)</f>
        <v>4882668</v>
      </c>
      <c r="C28" s="65" t="str">
        <f>IFERROR(__xludf.DUMMYFUNCTION("""COMPUTED_VALUE"""),"06:26")</f>
        <v>06:26</v>
      </c>
      <c r="D28" s="65" t="str">
        <f>IFERROR(__xludf.DUMMYFUNCTION("""COMPUTED_VALUE"""),"23-03-2026")</f>
        <v>23-03-2026</v>
      </c>
      <c r="E28" s="65" t="str">
        <f>IFERROR(__xludf.DUMMYFUNCTION("""COMPUTED_VALUE"""),"Luis Lema")</f>
        <v>Luis Lema</v>
      </c>
      <c r="F28" s="65" t="str">
        <f>IFERROR(__xludf.DUMMYFUNCTION("""COMPUTED_VALUE"""),"987715920")</f>
        <v>987715920</v>
      </c>
      <c r="G28" s="65" t="str">
        <f>IFERROR(__xludf.DUMMYFUNCTION("""COMPUTED_VALUE"""),"gerardolema1963@gmail.com")</f>
        <v>gerardolema1963@gmail.com</v>
      </c>
      <c r="H28" s="65"/>
      <c r="I28" s="65"/>
      <c r="J28" s="65" t="str">
        <f>IFERROR(__xludf.DUMMYFUNCTION("""COMPUTED_VALUE"""),"D001449740")</f>
        <v>D001449740</v>
      </c>
      <c r="K28" s="65" t="str">
        <f>IFERROR(__xludf.DUMMYFUNCTION("""COMPUTED_VALUE"""),"NOVEDAD")</f>
        <v>NOVEDAD</v>
      </c>
      <c r="L28" s="65" t="str">
        <f>IFERROR(__xludf.DUMMYFUNCTION("""COMPUTED_VALUE"""),"CON RECAUDO")</f>
        <v>CON RECAUDO</v>
      </c>
      <c r="M28" s="65" t="str">
        <f>IFERROR(__xludf.DUMMYFUNCTION("""COMPUTED_VALUE"""),"PICHINCHA")</f>
        <v>PICHINCHA</v>
      </c>
      <c r="N28" s="65" t="str">
        <f>IFERROR(__xludf.DUMMYFUNCTION("""COMPUTED_VALUE"""),"QUITO")</f>
        <v>QUITO</v>
      </c>
      <c r="O28" s="65" t="str">
        <f>IFERROR(__xludf.DUMMYFUNCTION("""COMPUTED_VALUE"""),"Geranios #558 y las lilas, Puertas del sol,  Frente al estadio,  puertas del sol,  portón celeste")</f>
        <v>Geranios #558 y las lilas, Puertas del sol,  Frente al estadio,  puertas del sol,  portón celeste</v>
      </c>
      <c r="P28" s="65"/>
      <c r="Q28" s="65" t="str">
        <f>IFERROR(__xludf.DUMMYFUNCTION("""COMPUTED_VALUE"""),"GINTRACOM")</f>
        <v>GINTRACOM</v>
      </c>
      <c r="R28" s="65">
        <f>IFERROR(__xludf.DUMMYFUNCTION("""COMPUTED_VALUE"""),32.0)</f>
        <v>32</v>
      </c>
      <c r="S28" s="65"/>
      <c r="T28" s="65">
        <f>IFERROR(__xludf.DUMMYFUNCTION("""COMPUTED_VALUE"""),6.24)</f>
        <v>6.24</v>
      </c>
      <c r="U28" s="65">
        <f>IFERROR(__xludf.DUMMYFUNCTION("""COMPUTED_VALUE"""),0.0)</f>
        <v>0</v>
      </c>
      <c r="V28" s="65">
        <f>IFERROR(__xludf.DUMMYFUNCTION("""COMPUTED_VALUE"""),0.0)</f>
        <v>0</v>
      </c>
      <c r="W28" s="65">
        <f>IFERROR(__xludf.DUMMYFUNCTION("""COMPUTED_VALUE"""),0.0)</f>
        <v>0</v>
      </c>
      <c r="X28" s="65">
        <f>IFERROR(__xludf.DUMMYFUNCTION("""COMPUTED_VALUE"""),2.4)</f>
        <v>2.4</v>
      </c>
      <c r="Y28" s="65">
        <f>IFERROR(__xludf.DUMMYFUNCTION("""COMPUTED_VALUE"""),9.6)</f>
        <v>9.6</v>
      </c>
      <c r="Z28" s="65">
        <f>IFERROR(__xludf.DUMMYFUNCTION("""COMPUTED_VALUE"""),119189.0)</f>
        <v>119189</v>
      </c>
      <c r="AA28" s="65" t="str">
        <f>IFERROR(__xludf.DUMMYFUNCTION("""COMPUTED_VALUE"""),"CUCHILLO DE CHEF")</f>
        <v>CUCHILLO DE CHEF</v>
      </c>
      <c r="AB28" s="65"/>
      <c r="AC28" s="65" t="str">
        <f>IFERROR(__xludf.DUMMYFUNCTION("""COMPUTED_VALUE"""),"CUCHILLO DE CHEF")</f>
        <v>CUCHILLO DE CHEF</v>
      </c>
      <c r="AD28" s="65"/>
      <c r="AE28" s="65">
        <f>IFERROR(__xludf.DUMMYFUNCTION("""COMPUTED_VALUE"""),4.0)</f>
        <v>4</v>
      </c>
      <c r="AF28" s="65" t="str">
        <f>IFERROR(__xludf.DUMMYFUNCTION("""COMPUTED_VALUE"""),"DESTINATARIO NO CONTESTA LLAMADAS NI WHATSAPP")</f>
        <v>DESTINATARIO NO CONTESTA LLAMADAS NI WHATSAPP</v>
      </c>
      <c r="AG28" s="65" t="str">
        <f>IFERROR(__xludf.DUMMYFUNCTION("""COMPUTED_VALUE"""),"NO")</f>
        <v>NO</v>
      </c>
      <c r="AH28" s="65" t="str">
        <f>IFERROR(__xludf.DUMMYFUNCTION("""COMPUTED_VALUE"""),"16:18")</f>
        <v>16:18</v>
      </c>
      <c r="AI28" s="65" t="str">
        <f>IFERROR(__xludf.DUMMYFUNCTION("""COMPUTED_VALUE"""),"26-03-2026")</f>
        <v>26-03-2026</v>
      </c>
      <c r="AJ28" s="65"/>
      <c r="AK28" s="65"/>
      <c r="AL28" s="65"/>
      <c r="AM28" s="65"/>
      <c r="AN28" s="65" t="str">
        <f>IFERROR(__xludf.DUMMYFUNCTION("""COMPUTED_VALUE"""),"16:18")</f>
        <v>16:18</v>
      </c>
      <c r="AO28" s="65" t="str">
        <f>IFERROR(__xludf.DUMMYFUNCTION("""COMPUTED_VALUE"""),"26-03-2026")</f>
        <v>26-03-2026</v>
      </c>
      <c r="AP28" s="65" t="str">
        <f>IFERROR(__xludf.DUMMYFUNCTION("""COMPUTED_VALUE"""),"DESTINATARIO NO CONTESTA LLAMADAS NI WHATSAPP")</f>
        <v>DESTINATARIO NO CONTESTA LLAMADAS NI WHATSAPP</v>
      </c>
      <c r="AQ28" s="65" t="str">
        <f>IFERROR(__xludf.DUMMYFUNCTION("""COMPUTED_VALUE"""),"DESTINATARIO NO CONTESTA LLAMADAS NI WHATSAPP")</f>
        <v>DESTINATARIO NO CONTESTA LLAMADAS NI WHATSAPP</v>
      </c>
      <c r="AR28" s="65"/>
      <c r="AS28" s="65"/>
      <c r="AT28" s="65" t="str">
        <f>IFERROR(__xludf.DUMMYFUNCTION("""COMPUTED_VALUE"""),"SHOPIFY")</f>
        <v>SHOPIFY</v>
      </c>
      <c r="AU28" s="65" t="str">
        <f>IFERROR(__xludf.DUMMYFUNCTION("""COMPUTED_VALUE"""),"IMPORTEX EC")</f>
        <v>IMPORTEX EC</v>
      </c>
      <c r="AV28" s="65" t="str">
        <f>IFERROR(__xludf.DUMMYFUNCTION("""COMPUTED_VALUE"""),"6597453283372")</f>
        <v>6597453283372</v>
      </c>
      <c r="AW28" s="65">
        <f>IFERROR(__xludf.DUMMYFUNCTION("""COMPUTED_VALUE"""),6817.0)</f>
        <v>6817</v>
      </c>
      <c r="AX28" s="65"/>
      <c r="AY28" s="65" t="str">
        <f>IFERROR(__xludf.DUMMYFUNCTION("""COMPUTED_VALUE"""),"24/03/2026")</f>
        <v>24/03/2026</v>
      </c>
      <c r="AZ28" s="65"/>
      <c r="BA28" s="65"/>
    </row>
    <row r="29">
      <c r="A29" s="65" t="str">
        <f>IFERROR(__xludf.DUMMYFUNCTION("""COMPUTED_VALUE"""),"27-03-2026")</f>
        <v>27-03-2026</v>
      </c>
      <c r="B29" s="65">
        <f>IFERROR(__xludf.DUMMYFUNCTION("""COMPUTED_VALUE"""),4881814.0)</f>
        <v>4881814</v>
      </c>
      <c r="C29" s="65" t="str">
        <f>IFERROR(__xludf.DUMMYFUNCTION("""COMPUTED_VALUE"""),"00:35")</f>
        <v>00:35</v>
      </c>
      <c r="D29" s="65" t="str">
        <f>IFERROR(__xludf.DUMMYFUNCTION("""COMPUTED_VALUE"""),"23-03-2026")</f>
        <v>23-03-2026</v>
      </c>
      <c r="E29" s="65" t="str">
        <f>IFERROR(__xludf.DUMMYFUNCTION("""COMPUTED_VALUE"""),"Javier Rambay")</f>
        <v>Javier Rambay</v>
      </c>
      <c r="F29" s="65" t="str">
        <f>IFERROR(__xludf.DUMMYFUNCTION("""COMPUTED_VALUE"""),"988783198")</f>
        <v>988783198</v>
      </c>
      <c r="G29" s="65" t="str">
        <f>IFERROR(__xludf.DUMMYFUNCTION("""COMPUTED_VALUE"""),"javierrambay107@gmail.com")</f>
        <v>javierrambay107@gmail.com</v>
      </c>
      <c r="H29" s="65"/>
      <c r="I29" s="65"/>
      <c r="J29" s="65" t="str">
        <f>IFERROR(__xludf.DUMMYFUNCTION("""COMPUTED_VALUE"""),"D001449741")</f>
        <v>D001449741</v>
      </c>
      <c r="K29" s="65" t="str">
        <f>IFERROR(__xludf.DUMMYFUNCTION("""COMPUTED_VALUE"""),"ENTREGADO")</f>
        <v>ENTREGADO</v>
      </c>
      <c r="L29" s="65" t="str">
        <f>IFERROR(__xludf.DUMMYFUNCTION("""COMPUTED_VALUE"""),"CON RECAUDO")</f>
        <v>CON RECAUDO</v>
      </c>
      <c r="M29" s="65" t="str">
        <f>IFERROR(__xludf.DUMMYFUNCTION("""COMPUTED_VALUE"""),"GUAYAS")</f>
        <v>GUAYAS</v>
      </c>
      <c r="N29" s="65" t="str">
        <f>IFERROR(__xludf.DUMMYFUNCTION("""COMPUTED_VALUE"""),"GUAYAQUIL")</f>
        <v>GUAYAQUIL</v>
      </c>
      <c r="O29" s="65" t="str">
        <f>IFERROR(__xludf.DUMMYFUNCTION("""COMPUTED_VALUE"""),"Calle 32Ava #905 y Francisco de marcos - Junto a distribuidora Bohórquez - REFERENCIA: Afuera hay un letrero que dice almuerzo en una palma")</f>
        <v>Calle 32Ava #905 y Francisco de marcos - Junto a distribuidora Bohórquez - REFERENCIA: Afuera hay un letrero que dice almuerzo en una palma</v>
      </c>
      <c r="P29" s="65"/>
      <c r="Q29" s="65" t="str">
        <f>IFERROR(__xludf.DUMMYFUNCTION("""COMPUTED_VALUE"""),"GINTRACOM")</f>
        <v>GINTRACOM</v>
      </c>
      <c r="R29" s="65">
        <f>IFERROR(__xludf.DUMMYFUNCTION("""COMPUTED_VALUE"""),22.0)</f>
        <v>22</v>
      </c>
      <c r="S29" s="65">
        <f>IFERROR(__xludf.DUMMYFUNCTION("""COMPUTED_VALUE"""),12.97)</f>
        <v>12.97</v>
      </c>
      <c r="T29" s="65">
        <f>IFERROR(__xludf.DUMMYFUNCTION("""COMPUTED_VALUE"""),4.23)</f>
        <v>4.23</v>
      </c>
      <c r="U29" s="65">
        <f>IFERROR(__xludf.DUMMYFUNCTION("""COMPUTED_VALUE"""),0.0)</f>
        <v>0</v>
      </c>
      <c r="V29" s="65">
        <f>IFERROR(__xludf.DUMMYFUNCTION("""COMPUTED_VALUE"""),0.0)</f>
        <v>0</v>
      </c>
      <c r="W29" s="65">
        <f>IFERROR(__xludf.DUMMYFUNCTION("""COMPUTED_VALUE"""),0.0)</f>
        <v>0</v>
      </c>
      <c r="X29" s="65">
        <f>IFERROR(__xludf.DUMMYFUNCTION("""COMPUTED_VALUE"""),2.4)</f>
        <v>2.4</v>
      </c>
      <c r="Y29" s="65">
        <f>IFERROR(__xludf.DUMMYFUNCTION("""COMPUTED_VALUE"""),4.8)</f>
        <v>4.8</v>
      </c>
      <c r="Z29" s="65">
        <f>IFERROR(__xludf.DUMMYFUNCTION("""COMPUTED_VALUE"""),119189.0)</f>
        <v>119189</v>
      </c>
      <c r="AA29" s="65" t="str">
        <f>IFERROR(__xludf.DUMMYFUNCTION("""COMPUTED_VALUE"""),"CUCHILLO DE CHEF")</f>
        <v>CUCHILLO DE CHEF</v>
      </c>
      <c r="AB29" s="65"/>
      <c r="AC29" s="65" t="str">
        <f>IFERROR(__xludf.DUMMYFUNCTION("""COMPUTED_VALUE"""),"CUCHILLO DE CHEF")</f>
        <v>CUCHILLO DE CHEF</v>
      </c>
      <c r="AD29" s="65"/>
      <c r="AE29" s="65">
        <f>IFERROR(__xludf.DUMMYFUNCTION("""COMPUTED_VALUE"""),2.0)</f>
        <v>2</v>
      </c>
      <c r="AF29" s="65" t="str">
        <f>IFERROR(__xludf.DUMMYFUNCTION("""COMPUTED_VALUE"""),"DESTINATARIO NO CONTESTA LLAMADAS NI WHATSAPP")</f>
        <v>DESTINATARIO NO CONTESTA LLAMADAS NI WHATSAPP</v>
      </c>
      <c r="AG29" s="65" t="str">
        <f>IFERROR(__xludf.DUMMYFUNCTION("""COMPUTED_VALUE"""),"NO")</f>
        <v>NO</v>
      </c>
      <c r="AH29" s="65" t="str">
        <f>IFERROR(__xludf.DUMMYFUNCTION("""COMPUTED_VALUE"""),"12:12")</f>
        <v>12:12</v>
      </c>
      <c r="AI29" s="65" t="str">
        <f>IFERROR(__xludf.DUMMYFUNCTION("""COMPUTED_VALUE"""),"26-03-2026")</f>
        <v>26-03-2026</v>
      </c>
      <c r="AJ29" s="65"/>
      <c r="AK29" s="65"/>
      <c r="AL29" s="65"/>
      <c r="AM29" s="65"/>
      <c r="AN29" s="65" t="str">
        <f>IFERROR(__xludf.DUMMYFUNCTION("""COMPUTED_VALUE"""),"12:12")</f>
        <v>12:12</v>
      </c>
      <c r="AO29" s="65" t="str">
        <f>IFERROR(__xludf.DUMMYFUNCTION("""COMPUTED_VALUE"""),"26-03-2026")</f>
        <v>26-03-2026</v>
      </c>
      <c r="AP29" s="65" t="str">
        <f>IFERROR(__xludf.DUMMYFUNCTION("""COMPUTED_VALUE"""),"DESTINATARIO NO CONTESTA LLAMADAS NI WHATSAPP")</f>
        <v>DESTINATARIO NO CONTESTA LLAMADAS NI WHATSAPP</v>
      </c>
      <c r="AQ29" s="65" t="str">
        <f>IFERROR(__xludf.DUMMYFUNCTION("""COMPUTED_VALUE"""),"DESTINATARIO NO CONTESTA LLAMADAS NI WHATSAPP")</f>
        <v>DESTINATARIO NO CONTESTA LLAMADAS NI WHATSAPP</v>
      </c>
      <c r="AR29" s="65"/>
      <c r="AS29" s="65"/>
      <c r="AT29" s="65" t="str">
        <f>IFERROR(__xludf.DUMMYFUNCTION("""COMPUTED_VALUE"""),"SHOPIFY")</f>
        <v>SHOPIFY</v>
      </c>
      <c r="AU29" s="65" t="str">
        <f>IFERROR(__xludf.DUMMYFUNCTION("""COMPUTED_VALUE"""),"IMPORTEX EC")</f>
        <v>IMPORTEX EC</v>
      </c>
      <c r="AV29" s="65" t="str">
        <f>IFERROR(__xludf.DUMMYFUNCTION("""COMPUTED_VALUE"""),"6597179473964")</f>
        <v>6597179473964</v>
      </c>
      <c r="AW29" s="65">
        <f>IFERROR(__xludf.DUMMYFUNCTION("""COMPUTED_VALUE"""),6816.0)</f>
        <v>6816</v>
      </c>
      <c r="AX29" s="65"/>
      <c r="AY29" s="65" t="str">
        <f>IFERROR(__xludf.DUMMYFUNCTION("""COMPUTED_VALUE"""),"24/03/2026")</f>
        <v>24/03/2026</v>
      </c>
      <c r="AZ29" s="65"/>
      <c r="BA29" s="65"/>
    </row>
    <row r="30">
      <c r="A30" s="65" t="str">
        <f>IFERROR(__xludf.DUMMYFUNCTION("""COMPUTED_VALUE"""),"27-03-2026")</f>
        <v>27-03-2026</v>
      </c>
      <c r="B30" s="65">
        <f>IFERROR(__xludf.DUMMYFUNCTION("""COMPUTED_VALUE"""),4881682.0)</f>
        <v>4881682</v>
      </c>
      <c r="C30" s="65" t="str">
        <f>IFERROR(__xludf.DUMMYFUNCTION("""COMPUTED_VALUE"""),"00:05")</f>
        <v>00:05</v>
      </c>
      <c r="D30" s="65" t="str">
        <f>IFERROR(__xludf.DUMMYFUNCTION("""COMPUTED_VALUE"""),"23-03-2026")</f>
        <v>23-03-2026</v>
      </c>
      <c r="E30" s="65" t="str">
        <f>IFERROR(__xludf.DUMMYFUNCTION("""COMPUTED_VALUE"""),"Fernando Zamora")</f>
        <v>Fernando Zamora</v>
      </c>
      <c r="F30" s="65" t="str">
        <f>IFERROR(__xludf.DUMMYFUNCTION("""COMPUTED_VALUE"""),"964251134")</f>
        <v>964251134</v>
      </c>
      <c r="G30" s="65" t="str">
        <f>IFERROR(__xludf.DUMMYFUNCTION("""COMPUTED_VALUE"""),"zamora23fernando@gmail.com")</f>
        <v>zamora23fernando@gmail.com</v>
      </c>
      <c r="H30" s="65"/>
      <c r="I30" s="65"/>
      <c r="J30" s="65"/>
      <c r="K30" s="65" t="str">
        <f>IFERROR(__xludf.DUMMYFUNCTION("""COMPUTED_VALUE"""),"CANCELADO")</f>
        <v>CANCELADO</v>
      </c>
      <c r="L30" s="65" t="str">
        <f>IFERROR(__xludf.DUMMYFUNCTION("""COMPUTED_VALUE"""),"CON RECAUDO")</f>
        <v>CON RECAUDO</v>
      </c>
      <c r="M30" s="65" t="str">
        <f>IFERROR(__xludf.DUMMYFUNCTION("""COMPUTED_VALUE"""),"GUAYAS")</f>
        <v>GUAYAS</v>
      </c>
      <c r="N30" s="65" t="str">
        <f>IFERROR(__xludf.DUMMYFUNCTION("""COMPUTED_VALUE"""),"GUAYAQUIL")</f>
        <v>GUAYAQUIL</v>
      </c>
      <c r="O30" s="65" t="str">
        <f>IFERROR(__xludf.DUMMYFUNCTION("""COMPUTED_VALUE"""),"FLOR DE BASTIÓN Parque California è -")</f>
        <v>FLOR DE BASTIÓN Parque California è -</v>
      </c>
      <c r="P30" s="65"/>
      <c r="Q30" s="65" t="str">
        <f>IFERROR(__xludf.DUMMYFUNCTION("""COMPUTED_VALUE"""),"GINTRACOM")</f>
        <v>GINTRACOM</v>
      </c>
      <c r="R30" s="65">
        <f>IFERROR(__xludf.DUMMYFUNCTION("""COMPUTED_VALUE"""),22.0)</f>
        <v>22</v>
      </c>
      <c r="S30" s="65"/>
      <c r="T30" s="65">
        <f>IFERROR(__xludf.DUMMYFUNCTION("""COMPUTED_VALUE"""),4.23)</f>
        <v>4.23</v>
      </c>
      <c r="U30" s="65">
        <f>IFERROR(__xludf.DUMMYFUNCTION("""COMPUTED_VALUE"""),0.0)</f>
        <v>0</v>
      </c>
      <c r="V30" s="65">
        <f>IFERROR(__xludf.DUMMYFUNCTION("""COMPUTED_VALUE"""),0.0)</f>
        <v>0</v>
      </c>
      <c r="W30" s="65">
        <f>IFERROR(__xludf.DUMMYFUNCTION("""COMPUTED_VALUE"""),0.0)</f>
        <v>0</v>
      </c>
      <c r="X30" s="65">
        <f>IFERROR(__xludf.DUMMYFUNCTION("""COMPUTED_VALUE"""),2.4)</f>
        <v>2.4</v>
      </c>
      <c r="Y30" s="65">
        <f>IFERROR(__xludf.DUMMYFUNCTION("""COMPUTED_VALUE"""),4.8)</f>
        <v>4.8</v>
      </c>
      <c r="Z30" s="65">
        <f>IFERROR(__xludf.DUMMYFUNCTION("""COMPUTED_VALUE"""),119189.0)</f>
        <v>119189</v>
      </c>
      <c r="AA30" s="65" t="str">
        <f>IFERROR(__xludf.DUMMYFUNCTION("""COMPUTED_VALUE"""),"CUCHILLO DE CHEF")</f>
        <v>CUCHILLO DE CHEF</v>
      </c>
      <c r="AB30" s="65"/>
      <c r="AC30" s="65" t="str">
        <f>IFERROR(__xludf.DUMMYFUNCTION("""COMPUTED_VALUE"""),"CUCHILLO DE CHEF")</f>
        <v>CUCHILLO DE CHEF</v>
      </c>
      <c r="AD30" s="65"/>
      <c r="AE30" s="65">
        <f>IFERROR(__xludf.DUMMYFUNCTION("""COMPUTED_VALUE"""),2.0)</f>
        <v>2</v>
      </c>
      <c r="AF30" s="65"/>
      <c r="AG30" s="65"/>
      <c r="AH30" s="65"/>
      <c r="AI30" s="65"/>
      <c r="AJ30" s="65"/>
      <c r="AK30" s="65"/>
      <c r="AL30" s="65"/>
      <c r="AM30" s="65"/>
      <c r="AN30" s="65"/>
      <c r="AO30" s="65"/>
      <c r="AP30" s="65"/>
      <c r="AQ30" s="65"/>
      <c r="AR30" s="65"/>
      <c r="AS30" s="65"/>
      <c r="AT30" s="65" t="str">
        <f>IFERROR(__xludf.DUMMYFUNCTION("""COMPUTED_VALUE"""),"SHOPIFY")</f>
        <v>SHOPIFY</v>
      </c>
      <c r="AU30" s="65" t="str">
        <f>IFERROR(__xludf.DUMMYFUNCTION("""COMPUTED_VALUE"""),"IMPORTEX EC")</f>
        <v>IMPORTEX EC</v>
      </c>
      <c r="AV30" s="65" t="str">
        <f>IFERROR(__xludf.DUMMYFUNCTION("""COMPUTED_VALUE"""),"6597154340908")</f>
        <v>6597154340908</v>
      </c>
      <c r="AW30" s="65">
        <f>IFERROR(__xludf.DUMMYFUNCTION("""COMPUTED_VALUE"""),6815.0)</f>
        <v>6815</v>
      </c>
      <c r="AX30" s="65"/>
      <c r="AY30" s="65"/>
      <c r="AZ30" s="65"/>
      <c r="BA30" s="65"/>
    </row>
    <row r="31">
      <c r="A31" s="65" t="str">
        <f>IFERROR(__xludf.DUMMYFUNCTION("""COMPUTED_VALUE"""),"27-03-2026")</f>
        <v>27-03-2026</v>
      </c>
      <c r="B31" s="65">
        <f>IFERROR(__xludf.DUMMYFUNCTION("""COMPUTED_VALUE"""),4881620.0)</f>
        <v>4881620</v>
      </c>
      <c r="C31" s="65" t="str">
        <f>IFERROR(__xludf.DUMMYFUNCTION("""COMPUTED_VALUE"""),"23:55")</f>
        <v>23:55</v>
      </c>
      <c r="D31" s="65" t="str">
        <f>IFERROR(__xludf.DUMMYFUNCTION("""COMPUTED_VALUE"""),"22-03-2026")</f>
        <v>22-03-2026</v>
      </c>
      <c r="E31" s="65" t="str">
        <f>IFERROR(__xludf.DUMMYFUNCTION("""COMPUTED_VALUE"""),"Blanca Pilatuña")</f>
        <v>Blanca Pilatuña</v>
      </c>
      <c r="F31" s="65" t="str">
        <f>IFERROR(__xludf.DUMMYFUNCTION("""COMPUTED_VALUE"""),"960408217")</f>
        <v>960408217</v>
      </c>
      <c r="G31" s="65" t="str">
        <f>IFERROR(__xludf.DUMMYFUNCTION("""COMPUTED_VALUE"""),"blankitapilatuna@gmail.com")</f>
        <v>blankitapilatuna@gmail.com</v>
      </c>
      <c r="H31" s="65"/>
      <c r="I31" s="65"/>
      <c r="J31" s="65" t="str">
        <f>IFERROR(__xludf.DUMMYFUNCTION("""COMPUTED_VALUE"""),"D001449742")</f>
        <v>D001449742</v>
      </c>
      <c r="K31" s="65" t="str">
        <f>IFERROR(__xludf.DUMMYFUNCTION("""COMPUTED_VALUE"""),"NOVEDAD")</f>
        <v>NOVEDAD</v>
      </c>
      <c r="L31" s="65" t="str">
        <f>IFERROR(__xludf.DUMMYFUNCTION("""COMPUTED_VALUE"""),"CON RECAUDO")</f>
        <v>CON RECAUDO</v>
      </c>
      <c r="M31" s="65" t="str">
        <f>IFERROR(__xludf.DUMMYFUNCTION("""COMPUTED_VALUE"""),"PICHINCHA")</f>
        <v>PICHINCHA</v>
      </c>
      <c r="N31" s="65" t="str">
        <f>IFERROR(__xludf.DUMMYFUNCTION("""COMPUTED_VALUE"""),"MACHACHI")</f>
        <v>MACHACHI</v>
      </c>
      <c r="O31" s="65" t="str">
        <f>IFERROR(__xludf.DUMMYFUNCTION("""COMPUTED_VALUE"""),"Via Aloag, Portal de Machachi casa 123, REFERENCIA: FUERTE MILITAR ATAHUALPA,  MACHACHI - LLAMARA WHATSAPP")</f>
        <v>Via Aloag, Portal de Machachi casa 123, REFERENCIA: FUERTE MILITAR ATAHUALPA,  MACHACHI - LLAMARA WHATSAPP</v>
      </c>
      <c r="P31" s="65"/>
      <c r="Q31" s="65" t="str">
        <f>IFERROR(__xludf.DUMMYFUNCTION("""COMPUTED_VALUE"""),"GINTRACOM")</f>
        <v>GINTRACOM</v>
      </c>
      <c r="R31" s="65">
        <f>IFERROR(__xludf.DUMMYFUNCTION("""COMPUTED_VALUE"""),22.0)</f>
        <v>22</v>
      </c>
      <c r="S31" s="65"/>
      <c r="T31" s="65">
        <f>IFERROR(__xludf.DUMMYFUNCTION("""COMPUTED_VALUE"""),6.41)</f>
        <v>6.41</v>
      </c>
      <c r="U31" s="65">
        <f>IFERROR(__xludf.DUMMYFUNCTION("""COMPUTED_VALUE"""),0.0)</f>
        <v>0</v>
      </c>
      <c r="V31" s="65">
        <f>IFERROR(__xludf.DUMMYFUNCTION("""COMPUTED_VALUE"""),0.0)</f>
        <v>0</v>
      </c>
      <c r="W31" s="65">
        <f>IFERROR(__xludf.DUMMYFUNCTION("""COMPUTED_VALUE"""),0.0)</f>
        <v>0</v>
      </c>
      <c r="X31" s="65">
        <f>IFERROR(__xludf.DUMMYFUNCTION("""COMPUTED_VALUE"""),2.4)</f>
        <v>2.4</v>
      </c>
      <c r="Y31" s="65">
        <f>IFERROR(__xludf.DUMMYFUNCTION("""COMPUTED_VALUE"""),4.8)</f>
        <v>4.8</v>
      </c>
      <c r="Z31" s="65">
        <f>IFERROR(__xludf.DUMMYFUNCTION("""COMPUTED_VALUE"""),119189.0)</f>
        <v>119189</v>
      </c>
      <c r="AA31" s="65" t="str">
        <f>IFERROR(__xludf.DUMMYFUNCTION("""COMPUTED_VALUE"""),"CUCHILLO DE CHEF")</f>
        <v>CUCHILLO DE CHEF</v>
      </c>
      <c r="AB31" s="65"/>
      <c r="AC31" s="65" t="str">
        <f>IFERROR(__xludf.DUMMYFUNCTION("""COMPUTED_VALUE"""),"CUCHILLO DE CHEF")</f>
        <v>CUCHILLO DE CHEF</v>
      </c>
      <c r="AD31" s="65"/>
      <c r="AE31" s="65">
        <f>IFERROR(__xludf.DUMMYFUNCTION("""COMPUTED_VALUE"""),2.0)</f>
        <v>2</v>
      </c>
      <c r="AF31" s="65" t="str">
        <f>IFERROR(__xludf.DUMMYFUNCTION("""COMPUTED_VALUE"""),"DESTINATARIO NO SE ENCUENTRA EN LUGAR DE ENTREGA.")</f>
        <v>DESTINATARIO NO SE ENCUENTRA EN LUGAR DE ENTREGA.</v>
      </c>
      <c r="AG31" s="65" t="str">
        <f>IFERROR(__xludf.DUMMYFUNCTION("""COMPUTED_VALUE"""),"NO")</f>
        <v>NO</v>
      </c>
      <c r="AH31" s="65" t="str">
        <f>IFERROR(__xludf.DUMMYFUNCTION("""COMPUTED_VALUE"""),"14:02")</f>
        <v>14:02</v>
      </c>
      <c r="AI31" s="65" t="str">
        <f>IFERROR(__xludf.DUMMYFUNCTION("""COMPUTED_VALUE"""),"26-03-2026")</f>
        <v>26-03-2026</v>
      </c>
      <c r="AJ31" s="65"/>
      <c r="AK31" s="65"/>
      <c r="AL31" s="65"/>
      <c r="AM31" s="65"/>
      <c r="AN31" s="65" t="str">
        <f>IFERROR(__xludf.DUMMYFUNCTION("""COMPUTED_VALUE"""),"14:02")</f>
        <v>14:02</v>
      </c>
      <c r="AO31" s="65" t="str">
        <f>IFERROR(__xludf.DUMMYFUNCTION("""COMPUTED_VALUE"""),"26-03-2026")</f>
        <v>26-03-2026</v>
      </c>
      <c r="AP31" s="65" t="str">
        <f>IFERROR(__xludf.DUMMYFUNCTION("""COMPUTED_VALUE"""),"DESTINATARIO NO SE ENCUENTRA EN LUGAR DE ENTREGA.")</f>
        <v>DESTINATARIO NO SE ENCUENTRA EN LUGAR DE ENTREGA.</v>
      </c>
      <c r="AQ31" s="65" t="str">
        <f>IFERROR(__xludf.DUMMYFUNCTION("""COMPUTED_VALUE"""),"DESTINATARIO NO SE ENCUENTRA EN LUGAR DE ENTREGA.")</f>
        <v>DESTINATARIO NO SE ENCUENTRA EN LUGAR DE ENTREGA.</v>
      </c>
      <c r="AR31" s="65"/>
      <c r="AS31" s="65"/>
      <c r="AT31" s="65" t="str">
        <f>IFERROR(__xludf.DUMMYFUNCTION("""COMPUTED_VALUE"""),"SHOPIFY")</f>
        <v>SHOPIFY</v>
      </c>
      <c r="AU31" s="65" t="str">
        <f>IFERROR(__xludf.DUMMYFUNCTION("""COMPUTED_VALUE"""),"IMPORTEX EC")</f>
        <v>IMPORTEX EC</v>
      </c>
      <c r="AV31" s="65" t="str">
        <f>IFERROR(__xludf.DUMMYFUNCTION("""COMPUTED_VALUE"""),"6597145722924")</f>
        <v>6597145722924</v>
      </c>
      <c r="AW31" s="65">
        <f>IFERROR(__xludf.DUMMYFUNCTION("""COMPUTED_VALUE"""),6814.0)</f>
        <v>6814</v>
      </c>
      <c r="AX31" s="65"/>
      <c r="AY31" s="65" t="str">
        <f>IFERROR(__xludf.DUMMYFUNCTION("""COMPUTED_VALUE"""),"24/03/2026")</f>
        <v>24/03/2026</v>
      </c>
      <c r="AZ31" s="65"/>
      <c r="BA31" s="65"/>
    </row>
    <row r="32">
      <c r="A32" s="65" t="str">
        <f>IFERROR(__xludf.DUMMYFUNCTION("""COMPUTED_VALUE"""),"27-03-2026")</f>
        <v>27-03-2026</v>
      </c>
      <c r="B32" s="65">
        <f>IFERROR(__xludf.DUMMYFUNCTION("""COMPUTED_VALUE"""),4880712.0)</f>
        <v>4880712</v>
      </c>
      <c r="C32" s="65" t="str">
        <f>IFERROR(__xludf.DUMMYFUNCTION("""COMPUTED_VALUE"""),"22:28")</f>
        <v>22:28</v>
      </c>
      <c r="D32" s="65" t="str">
        <f>IFERROR(__xludf.DUMMYFUNCTION("""COMPUTED_VALUE"""),"22-03-2026")</f>
        <v>22-03-2026</v>
      </c>
      <c r="E32" s="65" t="str">
        <f>IFERROR(__xludf.DUMMYFUNCTION("""COMPUTED_VALUE"""),"Jackson Diomedes Portocarrero Vásquez")</f>
        <v>Jackson Diomedes Portocarrero Vásquez</v>
      </c>
      <c r="F32" s="65" t="str">
        <f>IFERROR(__xludf.DUMMYFUNCTION("""COMPUTED_VALUE"""),"987233298")</f>
        <v>987233298</v>
      </c>
      <c r="G32" s="65" t="str">
        <f>IFERROR(__xludf.DUMMYFUNCTION("""COMPUTED_VALUE"""),"jacksonportocarrero92@gmail.com")</f>
        <v>jacksonportocarrero92@gmail.com</v>
      </c>
      <c r="H32" s="65"/>
      <c r="I32" s="65"/>
      <c r="J32" s="65"/>
      <c r="K32" s="65" t="str">
        <f>IFERROR(__xludf.DUMMYFUNCTION("""COMPUTED_VALUE"""),"PENDIENTE CONFIRMACION")</f>
        <v>PENDIENTE CONFIRMACION</v>
      </c>
      <c r="L32" s="65" t="str">
        <f>IFERROR(__xludf.DUMMYFUNCTION("""COMPUTED_VALUE"""),"CON RECAUDO")</f>
        <v>CON RECAUDO</v>
      </c>
      <c r="M32" s="65" t="str">
        <f>IFERROR(__xludf.DUMMYFUNCTION("""COMPUTED_VALUE"""),"PICHINCHA")</f>
        <v>PICHINCHA</v>
      </c>
      <c r="N32" s="65" t="str">
        <f>IFERROR(__xludf.DUMMYFUNCTION("""COMPUTED_VALUE"""),"QUITO")</f>
        <v>QUITO</v>
      </c>
      <c r="O32" s="65" t="str">
        <f>IFERROR(__xludf.DUMMYFUNCTION("""COMPUTED_VALUE"""),"Av occidental condado Notaría 74 Notaría 74 av occidental Cojunto colinas el condado alado de la volacanizadora los gemelos -")</f>
        <v>Av occidental condado Notaría 74 Notaría 74 av occidental Cojunto colinas el condado alado de la volacanizadora los gemelos -</v>
      </c>
      <c r="P32" s="65"/>
      <c r="Q32" s="65" t="str">
        <f>IFERROR(__xludf.DUMMYFUNCTION("""COMPUTED_VALUE"""),"GINTRACOM")</f>
        <v>GINTRACOM</v>
      </c>
      <c r="R32" s="65">
        <f>IFERROR(__xludf.DUMMYFUNCTION("""COMPUTED_VALUE"""),27.0)</f>
        <v>27</v>
      </c>
      <c r="S32" s="65"/>
      <c r="T32" s="65">
        <f>IFERROR(__xludf.DUMMYFUNCTION("""COMPUTED_VALUE"""),6.03)</f>
        <v>6.03</v>
      </c>
      <c r="U32" s="65">
        <f>IFERROR(__xludf.DUMMYFUNCTION("""COMPUTED_VALUE"""),0.0)</f>
        <v>0</v>
      </c>
      <c r="V32" s="65">
        <f>IFERROR(__xludf.DUMMYFUNCTION("""COMPUTED_VALUE"""),0.0)</f>
        <v>0</v>
      </c>
      <c r="W32" s="65">
        <f>IFERROR(__xludf.DUMMYFUNCTION("""COMPUTED_VALUE"""),0.0)</f>
        <v>0</v>
      </c>
      <c r="X32" s="65">
        <f>IFERROR(__xludf.DUMMYFUNCTION("""COMPUTED_VALUE"""),2.4)</f>
        <v>2.4</v>
      </c>
      <c r="Y32" s="65">
        <f>IFERROR(__xludf.DUMMYFUNCTION("""COMPUTED_VALUE"""),7.2)</f>
        <v>7.2</v>
      </c>
      <c r="Z32" s="65">
        <f>IFERROR(__xludf.DUMMYFUNCTION("""COMPUTED_VALUE"""),119189.0)</f>
        <v>119189</v>
      </c>
      <c r="AA32" s="65" t="str">
        <f>IFERROR(__xludf.DUMMYFUNCTION("""COMPUTED_VALUE"""),"CUCHILLO DE CHEF")</f>
        <v>CUCHILLO DE CHEF</v>
      </c>
      <c r="AB32" s="65"/>
      <c r="AC32" s="65" t="str">
        <f>IFERROR(__xludf.DUMMYFUNCTION("""COMPUTED_VALUE"""),"CUCHILLO DE CHEF")</f>
        <v>CUCHILLO DE CHEF</v>
      </c>
      <c r="AD32" s="65"/>
      <c r="AE32" s="65">
        <f>IFERROR(__xludf.DUMMYFUNCTION("""COMPUTED_VALUE"""),3.0)</f>
        <v>3</v>
      </c>
      <c r="AF32" s="65"/>
      <c r="AG32" s="65"/>
      <c r="AH32" s="65"/>
      <c r="AI32" s="65"/>
      <c r="AJ32" s="65"/>
      <c r="AK32" s="65"/>
      <c r="AL32" s="65"/>
      <c r="AM32" s="65"/>
      <c r="AN32" s="65"/>
      <c r="AO32" s="65"/>
      <c r="AP32" s="65"/>
      <c r="AQ32" s="65"/>
      <c r="AR32" s="65"/>
      <c r="AS32" s="65"/>
      <c r="AT32" s="65" t="str">
        <f>IFERROR(__xludf.DUMMYFUNCTION("""COMPUTED_VALUE"""),"SHOPIFY")</f>
        <v>SHOPIFY</v>
      </c>
      <c r="AU32" s="65" t="str">
        <f>IFERROR(__xludf.DUMMYFUNCTION("""COMPUTED_VALUE"""),"IMPORTEX EC")</f>
        <v>IMPORTEX EC</v>
      </c>
      <c r="AV32" s="65" t="str">
        <f>IFERROR(__xludf.DUMMYFUNCTION("""COMPUTED_VALUE"""),"6597034967084")</f>
        <v>6597034967084</v>
      </c>
      <c r="AW32" s="65">
        <f>IFERROR(__xludf.DUMMYFUNCTION("""COMPUTED_VALUE"""),6813.0)</f>
        <v>6813</v>
      </c>
      <c r="AX32" s="65"/>
      <c r="AY32" s="65"/>
      <c r="AZ32" s="65"/>
      <c r="BA32" s="65"/>
    </row>
    <row r="33">
      <c r="A33" s="65" t="str">
        <f>IFERROR(__xludf.DUMMYFUNCTION("""COMPUTED_VALUE"""),"27-03-2026")</f>
        <v>27-03-2026</v>
      </c>
      <c r="B33" s="65">
        <f>IFERROR(__xludf.DUMMYFUNCTION("""COMPUTED_VALUE"""),4880525.0)</f>
        <v>4880525</v>
      </c>
      <c r="C33" s="65" t="str">
        <f>IFERROR(__xludf.DUMMYFUNCTION("""COMPUTED_VALUE"""),"22:18")</f>
        <v>22:18</v>
      </c>
      <c r="D33" s="65" t="str">
        <f>IFERROR(__xludf.DUMMYFUNCTION("""COMPUTED_VALUE"""),"22-03-2026")</f>
        <v>22-03-2026</v>
      </c>
      <c r="E33" s="65" t="str">
        <f>IFERROR(__xludf.DUMMYFUNCTION("""COMPUTED_VALUE"""),"José luis Santana cedeño")</f>
        <v>José luis Santana cedeño</v>
      </c>
      <c r="F33" s="65" t="str">
        <f>IFERROR(__xludf.DUMMYFUNCTION("""COMPUTED_VALUE"""),"996415561")</f>
        <v>996415561</v>
      </c>
      <c r="G33" s="65" t="str">
        <f>IFERROR(__xludf.DUMMYFUNCTION("""COMPUTED_VALUE"""),"joseluissantanacedeno7@gmail.com")</f>
        <v>joseluissantanacedeno7@gmail.com</v>
      </c>
      <c r="H33" s="65"/>
      <c r="I33" s="65"/>
      <c r="J33" s="65" t="str">
        <f>IFERROR(__xludf.DUMMYFUNCTION("""COMPUTED_VALUE"""),"D001449743")</f>
        <v>D001449743</v>
      </c>
      <c r="K33" s="65" t="str">
        <f>IFERROR(__xludf.DUMMYFUNCTION("""COMPUTED_VALUE"""),"NOVEDAD")</f>
        <v>NOVEDAD</v>
      </c>
      <c r="L33" s="65" t="str">
        <f>IFERROR(__xludf.DUMMYFUNCTION("""COMPUTED_VALUE"""),"CON RECAUDO")</f>
        <v>CON RECAUDO</v>
      </c>
      <c r="M33" s="65" t="str">
        <f>IFERROR(__xludf.DUMMYFUNCTION("""COMPUTED_VALUE"""),"MANABI")</f>
        <v>MANABI</v>
      </c>
      <c r="N33" s="65" t="str">
        <f>IFERROR(__xludf.DUMMYFUNCTION("""COMPUTED_VALUE"""),"MANTA")</f>
        <v>MANTA</v>
      </c>
      <c r="O33" s="65" t="str">
        <f>IFERROR(__xludf.DUMMYFUNCTION("""COMPUTED_VALUE"""),"Via Rocafuerte y calle 4, Junto a crematorio Santa Marianita - manta")</f>
        <v>Via Rocafuerte y calle 4, Junto a crematorio Santa Marianita - manta</v>
      </c>
      <c r="P33" s="65"/>
      <c r="Q33" s="65" t="str">
        <f>IFERROR(__xludf.DUMMYFUNCTION("""COMPUTED_VALUE"""),"GINTRACOM")</f>
        <v>GINTRACOM</v>
      </c>
      <c r="R33" s="65">
        <f>IFERROR(__xludf.DUMMYFUNCTION("""COMPUTED_VALUE"""),22.0)</f>
        <v>22</v>
      </c>
      <c r="S33" s="65"/>
      <c r="T33" s="65">
        <f>IFERROR(__xludf.DUMMYFUNCTION("""COMPUTED_VALUE"""),5.84)</f>
        <v>5.84</v>
      </c>
      <c r="U33" s="65">
        <f>IFERROR(__xludf.DUMMYFUNCTION("""COMPUTED_VALUE"""),0.0)</f>
        <v>0</v>
      </c>
      <c r="V33" s="65">
        <f>IFERROR(__xludf.DUMMYFUNCTION("""COMPUTED_VALUE"""),0.0)</f>
        <v>0</v>
      </c>
      <c r="W33" s="65">
        <f>IFERROR(__xludf.DUMMYFUNCTION("""COMPUTED_VALUE"""),0.0)</f>
        <v>0</v>
      </c>
      <c r="X33" s="65">
        <f>IFERROR(__xludf.DUMMYFUNCTION("""COMPUTED_VALUE"""),2.4)</f>
        <v>2.4</v>
      </c>
      <c r="Y33" s="65">
        <f>IFERROR(__xludf.DUMMYFUNCTION("""COMPUTED_VALUE"""),4.8)</f>
        <v>4.8</v>
      </c>
      <c r="Z33" s="65">
        <f>IFERROR(__xludf.DUMMYFUNCTION("""COMPUTED_VALUE"""),119189.0)</f>
        <v>119189</v>
      </c>
      <c r="AA33" s="65" t="str">
        <f>IFERROR(__xludf.DUMMYFUNCTION("""COMPUTED_VALUE"""),"CUCHILLO DE CHEF")</f>
        <v>CUCHILLO DE CHEF</v>
      </c>
      <c r="AB33" s="65"/>
      <c r="AC33" s="65" t="str">
        <f>IFERROR(__xludf.DUMMYFUNCTION("""COMPUTED_VALUE"""),"CUCHILLO DE CHEF")</f>
        <v>CUCHILLO DE CHEF</v>
      </c>
      <c r="AD33" s="65"/>
      <c r="AE33" s="65">
        <f>IFERROR(__xludf.DUMMYFUNCTION("""COMPUTED_VALUE"""),2.0)</f>
        <v>2</v>
      </c>
      <c r="AF33" s="65" t="str">
        <f>IFERROR(__xludf.DUMMYFUNCTION("""COMPUTED_VALUE"""),"DESTINATARIO INDICA QUE ESTÁ INCONFORME CON EL PRODUCTO. (NO RECIBE)")</f>
        <v>DESTINATARIO INDICA QUE ESTÁ INCONFORME CON EL PRODUCTO. (NO RECIBE)</v>
      </c>
      <c r="AG33" s="65" t="str">
        <f>IFERROR(__xludf.DUMMYFUNCTION("""COMPUTED_VALUE"""),"NO")</f>
        <v>NO</v>
      </c>
      <c r="AH33" s="65" t="str">
        <f>IFERROR(__xludf.DUMMYFUNCTION("""COMPUTED_VALUE"""),"11:17")</f>
        <v>11:17</v>
      </c>
      <c r="AI33" s="65" t="str">
        <f>IFERROR(__xludf.DUMMYFUNCTION("""COMPUTED_VALUE"""),"26-03-2026")</f>
        <v>26-03-2026</v>
      </c>
      <c r="AJ33" s="65"/>
      <c r="AK33" s="65"/>
      <c r="AL33" s="65"/>
      <c r="AM33" s="65"/>
      <c r="AN33" s="65" t="str">
        <f>IFERROR(__xludf.DUMMYFUNCTION("""COMPUTED_VALUE"""),"11:23")</f>
        <v>11:23</v>
      </c>
      <c r="AO33" s="65" t="str">
        <f>IFERROR(__xludf.DUMMYFUNCTION("""COMPUTED_VALUE"""),"26-03-2026")</f>
        <v>26-03-2026</v>
      </c>
      <c r="AP33" s="65" t="str">
        <f>IFERROR(__xludf.DUMMYFUNCTION("""COMPUTED_VALUE"""),"DESTINATARIO INDICA QUE ESTÁ INCONFORME CON EL PRODUCTO. (NO RECIBE)")</f>
        <v>DESTINATARIO INDICA QUE ESTÁ INCONFORME CON EL PRODUCTO. (NO RECIBE)</v>
      </c>
      <c r="AQ33" s="65" t="str">
        <f>IFERROR(__xludf.DUMMYFUNCTION("""COMPUTED_VALUE"""),"DESTINATARIO INDICA QUE ESTÁ INCONFORME CON EL PRODUCTO. (NO RECIBE)")</f>
        <v>DESTINATARIO INDICA QUE ESTÁ INCONFORME CON EL PRODUCTO. (NO RECIBE)</v>
      </c>
      <c r="AR33" s="65"/>
      <c r="AS33" s="65"/>
      <c r="AT33" s="65" t="str">
        <f>IFERROR(__xludf.DUMMYFUNCTION("""COMPUTED_VALUE"""),"SHOPIFY")</f>
        <v>SHOPIFY</v>
      </c>
      <c r="AU33" s="65" t="str">
        <f>IFERROR(__xludf.DUMMYFUNCTION("""COMPUTED_VALUE"""),"IMPORTEX EC")</f>
        <v>IMPORTEX EC</v>
      </c>
      <c r="AV33" s="65" t="str">
        <f>IFERROR(__xludf.DUMMYFUNCTION("""COMPUTED_VALUE"""),"6597017600044")</f>
        <v>6597017600044</v>
      </c>
      <c r="AW33" s="65">
        <f>IFERROR(__xludf.DUMMYFUNCTION("""COMPUTED_VALUE"""),6812.0)</f>
        <v>6812</v>
      </c>
      <c r="AX33" s="65"/>
      <c r="AY33" s="65" t="str">
        <f>IFERROR(__xludf.DUMMYFUNCTION("""COMPUTED_VALUE"""),"24/03/2026")</f>
        <v>24/03/2026</v>
      </c>
      <c r="AZ33" s="65"/>
      <c r="BA33" s="65"/>
    </row>
    <row r="34">
      <c r="A34" s="65" t="str">
        <f>IFERROR(__xludf.DUMMYFUNCTION("""COMPUTED_VALUE"""),"27-03-2026")</f>
        <v>27-03-2026</v>
      </c>
      <c r="B34" s="65">
        <f>IFERROR(__xludf.DUMMYFUNCTION("""COMPUTED_VALUE"""),4879359.0)</f>
        <v>4879359</v>
      </c>
      <c r="C34" s="65" t="str">
        <f>IFERROR(__xludf.DUMMYFUNCTION("""COMPUTED_VALUE"""),"20:47")</f>
        <v>20:47</v>
      </c>
      <c r="D34" s="65" t="str">
        <f>IFERROR(__xludf.DUMMYFUNCTION("""COMPUTED_VALUE"""),"22-03-2026")</f>
        <v>22-03-2026</v>
      </c>
      <c r="E34" s="65" t="str">
        <f>IFERROR(__xludf.DUMMYFUNCTION("""COMPUTED_VALUE"""),"Judit Naranjo")</f>
        <v>Judit Naranjo</v>
      </c>
      <c r="F34" s="65" t="str">
        <f>IFERROR(__xludf.DUMMYFUNCTION("""COMPUTED_VALUE"""),"992822078")</f>
        <v>992822078</v>
      </c>
      <c r="G34" s="65"/>
      <c r="H34" s="65"/>
      <c r="I34" s="65"/>
      <c r="J34" s="65" t="str">
        <f>IFERROR(__xludf.DUMMYFUNCTION("""COMPUTED_VALUE"""),"D001449744")</f>
        <v>D001449744</v>
      </c>
      <c r="K34" s="65" t="str">
        <f>IFERROR(__xludf.DUMMYFUNCTION("""COMPUTED_VALUE"""),"ENTREGADO")</f>
        <v>ENTREGADO</v>
      </c>
      <c r="L34" s="65" t="str">
        <f>IFERROR(__xludf.DUMMYFUNCTION("""COMPUTED_VALUE"""),"CON RECAUDO")</f>
        <v>CON RECAUDO</v>
      </c>
      <c r="M34" s="65" t="str">
        <f>IFERROR(__xludf.DUMMYFUNCTION("""COMPUTED_VALUE"""),"PICHINCHA")</f>
        <v>PICHINCHA</v>
      </c>
      <c r="N34" s="65" t="str">
        <f>IFERROR(__xludf.DUMMYFUNCTION("""COMPUTED_VALUE"""),"QUITO")</f>
        <v>QUITO</v>
      </c>
      <c r="O34" s="65" t="str">
        <f>IFERROR(__xludf.DUMMYFUNCTION("""COMPUTED_VALUE"""),"Av cóndor ñan y pumapungo Sector quitumbe estación del trolebús -")</f>
        <v>Av cóndor ñan y pumapungo Sector quitumbe estación del trolebús -</v>
      </c>
      <c r="P34" s="65"/>
      <c r="Q34" s="65" t="str">
        <f>IFERROR(__xludf.DUMMYFUNCTION("""COMPUTED_VALUE"""),"GINTRACOM")</f>
        <v>GINTRACOM</v>
      </c>
      <c r="R34" s="65">
        <f>IFERROR(__xludf.DUMMYFUNCTION("""COMPUTED_VALUE"""),22.0)</f>
        <v>22</v>
      </c>
      <c r="S34" s="65">
        <f>IFERROR(__xludf.DUMMYFUNCTION("""COMPUTED_VALUE"""),11.36)</f>
        <v>11.36</v>
      </c>
      <c r="T34" s="65">
        <f>IFERROR(__xludf.DUMMYFUNCTION("""COMPUTED_VALUE"""),5.84)</f>
        <v>5.84</v>
      </c>
      <c r="U34" s="65">
        <f>IFERROR(__xludf.DUMMYFUNCTION("""COMPUTED_VALUE"""),0.0)</f>
        <v>0</v>
      </c>
      <c r="V34" s="65">
        <f>IFERROR(__xludf.DUMMYFUNCTION("""COMPUTED_VALUE"""),0.0)</f>
        <v>0</v>
      </c>
      <c r="W34" s="65">
        <f>IFERROR(__xludf.DUMMYFUNCTION("""COMPUTED_VALUE"""),0.0)</f>
        <v>0</v>
      </c>
      <c r="X34" s="65">
        <f>IFERROR(__xludf.DUMMYFUNCTION("""COMPUTED_VALUE"""),2.4)</f>
        <v>2.4</v>
      </c>
      <c r="Y34" s="65">
        <f>IFERROR(__xludf.DUMMYFUNCTION("""COMPUTED_VALUE"""),4.8)</f>
        <v>4.8</v>
      </c>
      <c r="Z34" s="65">
        <f>IFERROR(__xludf.DUMMYFUNCTION("""COMPUTED_VALUE"""),119189.0)</f>
        <v>119189</v>
      </c>
      <c r="AA34" s="65" t="str">
        <f>IFERROR(__xludf.DUMMYFUNCTION("""COMPUTED_VALUE"""),"CUCHILLO DE CHEF")</f>
        <v>CUCHILLO DE CHEF</v>
      </c>
      <c r="AB34" s="65"/>
      <c r="AC34" s="65" t="str">
        <f>IFERROR(__xludf.DUMMYFUNCTION("""COMPUTED_VALUE"""),"CUCHILLO DE CHEF")</f>
        <v>CUCHILLO DE CHEF</v>
      </c>
      <c r="AD34" s="65"/>
      <c r="AE34" s="65">
        <f>IFERROR(__xludf.DUMMYFUNCTION("""COMPUTED_VALUE"""),2.0)</f>
        <v>2</v>
      </c>
      <c r="AF34" s="65"/>
      <c r="AG34" s="65"/>
      <c r="AH34" s="65"/>
      <c r="AI34" s="65"/>
      <c r="AJ34" s="65"/>
      <c r="AK34" s="65"/>
      <c r="AL34" s="65"/>
      <c r="AM34" s="65"/>
      <c r="AN34" s="65" t="str">
        <f>IFERROR(__xludf.DUMMYFUNCTION("""COMPUTED_VALUE"""),"18:44")</f>
        <v>18:44</v>
      </c>
      <c r="AO34" s="65" t="str">
        <f>IFERROR(__xludf.DUMMYFUNCTION("""COMPUTED_VALUE"""),"26-03-2026")</f>
        <v>26-03-2026</v>
      </c>
      <c r="AP34" s="65" t="str">
        <f>IFERROR(__xludf.DUMMYFUNCTION("""COMPUTED_VALUE"""),"ENTREGADA GINTRACOM")</f>
        <v>ENTREGADA GINTRACOM</v>
      </c>
      <c r="AQ34" s="65" t="str">
        <f>IFERROR(__xludf.DUMMYFUNCTION("""COMPUTED_VALUE"""),"ENTREGADA GINTRACOM")</f>
        <v>ENTREGADA GINTRACOM</v>
      </c>
      <c r="AR34" s="65"/>
      <c r="AS34" s="65"/>
      <c r="AT34" s="65" t="str">
        <f>IFERROR(__xludf.DUMMYFUNCTION("""COMPUTED_VALUE"""),"SHOPIFY")</f>
        <v>SHOPIFY</v>
      </c>
      <c r="AU34" s="65" t="str">
        <f>IFERROR(__xludf.DUMMYFUNCTION("""COMPUTED_VALUE"""),"IMPORTEX EC")</f>
        <v>IMPORTEX EC</v>
      </c>
      <c r="AV34" s="65" t="str">
        <f>IFERROR(__xludf.DUMMYFUNCTION("""COMPUTED_VALUE"""),"6596874305580")</f>
        <v>6596874305580</v>
      </c>
      <c r="AW34" s="65">
        <f>IFERROR(__xludf.DUMMYFUNCTION("""COMPUTED_VALUE"""),6811.0)</f>
        <v>6811</v>
      </c>
      <c r="AX34" s="65"/>
      <c r="AY34" s="65" t="str">
        <f>IFERROR(__xludf.DUMMYFUNCTION("""COMPUTED_VALUE"""),"24/03/2026")</f>
        <v>24/03/2026</v>
      </c>
      <c r="AZ34" s="65"/>
      <c r="BA34" s="65"/>
    </row>
    <row r="35">
      <c r="A35" s="65" t="str">
        <f>IFERROR(__xludf.DUMMYFUNCTION("""COMPUTED_VALUE"""),"27-03-2026")</f>
        <v>27-03-2026</v>
      </c>
      <c r="B35" s="65">
        <f>IFERROR(__xludf.DUMMYFUNCTION("""COMPUTED_VALUE"""),4878715.0)</f>
        <v>4878715</v>
      </c>
      <c r="C35" s="65" t="str">
        <f>IFERROR(__xludf.DUMMYFUNCTION("""COMPUTED_VALUE"""),"19:45")</f>
        <v>19:45</v>
      </c>
      <c r="D35" s="65" t="str">
        <f>IFERROR(__xludf.DUMMYFUNCTION("""COMPUTED_VALUE"""),"22-03-2026")</f>
        <v>22-03-2026</v>
      </c>
      <c r="E35" s="65" t="str">
        <f>IFERROR(__xludf.DUMMYFUNCTION("""COMPUTED_VALUE"""),"Gerardo Esparza")</f>
        <v>Gerardo Esparza</v>
      </c>
      <c r="F35" s="65" t="str">
        <f>IFERROR(__xludf.DUMMYFUNCTION("""COMPUTED_VALUE"""),"982649101")</f>
        <v>982649101</v>
      </c>
      <c r="G35" s="65" t="str">
        <f>IFERROR(__xludf.DUMMYFUNCTION("""COMPUTED_VALUE"""),"galoesparzaflores1999@gmail.com")</f>
        <v>galoesparzaflores1999@gmail.com</v>
      </c>
      <c r="H35" s="65"/>
      <c r="I35" s="65"/>
      <c r="J35" s="65" t="str">
        <f>IFERROR(__xludf.DUMMYFUNCTION("""COMPUTED_VALUE"""),"LC53184566")</f>
        <v>LC53184566</v>
      </c>
      <c r="K35" s="65" t="str">
        <f>IFERROR(__xludf.DUMMYFUNCTION("""COMPUTED_VALUE"""),"NOVEDAD")</f>
        <v>NOVEDAD</v>
      </c>
      <c r="L35" s="65" t="str">
        <f>IFERROR(__xludf.DUMMYFUNCTION("""COMPUTED_VALUE"""),"CON RECAUDO")</f>
        <v>CON RECAUDO</v>
      </c>
      <c r="M35" s="65" t="str">
        <f>IFERROR(__xludf.DUMMYFUNCTION("""COMPUTED_VALUE"""),"AZUAY")</f>
        <v>AZUAY</v>
      </c>
      <c r="N35" s="65" t="str">
        <f>IFERROR(__xludf.DUMMYFUNCTION("""COMPUTED_VALUE"""),"PONCE ENRIQUEZ")</f>
        <v>PONCE ENRIQUEZ</v>
      </c>
      <c r="O35" s="65" t="str">
        <f>IFERROR(__xludf.DUMMYFUNCTION("""COMPUTED_VALUE"""),"Calle Divino Niño,  3 de mayo - REFERENCIA: Cerca de la Escuela Divino Niño")</f>
        <v>Calle Divino Niño,  3 de mayo - REFERENCIA: Cerca de la Escuela Divino Niño</v>
      </c>
      <c r="P35" s="65"/>
      <c r="Q35" s="65" t="str">
        <f>IFERROR(__xludf.DUMMYFUNCTION("""COMPUTED_VALUE"""),"LAARCOURIER")</f>
        <v>LAARCOURIER</v>
      </c>
      <c r="R35" s="65">
        <f>IFERROR(__xludf.DUMMYFUNCTION("""COMPUTED_VALUE"""),22.0)</f>
        <v>22</v>
      </c>
      <c r="S35" s="65"/>
      <c r="T35" s="65">
        <f>IFERROR(__xludf.DUMMYFUNCTION("""COMPUTED_VALUE"""),6.8)</f>
        <v>6.8</v>
      </c>
      <c r="U35" s="65">
        <f>IFERROR(__xludf.DUMMYFUNCTION("""COMPUTED_VALUE"""),0.0)</f>
        <v>0</v>
      </c>
      <c r="V35" s="65">
        <f>IFERROR(__xludf.DUMMYFUNCTION("""COMPUTED_VALUE"""),0.0)</f>
        <v>0</v>
      </c>
      <c r="W35" s="65">
        <f>IFERROR(__xludf.DUMMYFUNCTION("""COMPUTED_VALUE"""),0.0)</f>
        <v>0</v>
      </c>
      <c r="X35" s="65">
        <f>IFERROR(__xludf.DUMMYFUNCTION("""COMPUTED_VALUE"""),2.4)</f>
        <v>2.4</v>
      </c>
      <c r="Y35" s="65">
        <f>IFERROR(__xludf.DUMMYFUNCTION("""COMPUTED_VALUE"""),4.8)</f>
        <v>4.8</v>
      </c>
      <c r="Z35" s="65">
        <f>IFERROR(__xludf.DUMMYFUNCTION("""COMPUTED_VALUE"""),119189.0)</f>
        <v>119189</v>
      </c>
      <c r="AA35" s="65" t="str">
        <f>IFERROR(__xludf.DUMMYFUNCTION("""COMPUTED_VALUE"""),"CUCHILLO DE CHEF")</f>
        <v>CUCHILLO DE CHEF</v>
      </c>
      <c r="AB35" s="65"/>
      <c r="AC35" s="65" t="str">
        <f>IFERROR(__xludf.DUMMYFUNCTION("""COMPUTED_VALUE"""),"CUCHILLO DE CHEF")</f>
        <v>CUCHILLO DE CHEF</v>
      </c>
      <c r="AD35" s="65"/>
      <c r="AE35" s="65">
        <f>IFERROR(__xludf.DUMMYFUNCTION("""COMPUTED_VALUE"""),2.0)</f>
        <v>2</v>
      </c>
      <c r="AF35" s="65"/>
      <c r="AG35" s="65"/>
      <c r="AH35" s="65"/>
      <c r="AI35" s="65"/>
      <c r="AJ35" s="65"/>
      <c r="AK35" s="65"/>
      <c r="AL35" s="65"/>
      <c r="AM35" s="65"/>
      <c r="AN35" s="65" t="str">
        <f>IFERROR(__xludf.DUMMYFUNCTION("""COMPUTED_VALUE"""),"16:00")</f>
        <v>16:00</v>
      </c>
      <c r="AO35" s="65" t="str">
        <f>IFERROR(__xludf.DUMMYFUNCTION("""COMPUTED_VALUE"""),"26-03-2026")</f>
        <v>26-03-2026</v>
      </c>
      <c r="AP35" s="65" t="str">
        <f>IFERROR(__xludf.DUMMYFUNCTION("""COMPUTED_VALUE"""),"COBERTURA VIERNES")</f>
        <v>COBERTURA VIERNES</v>
      </c>
      <c r="AQ35" s="65" t="str">
        <f>IFERROR(__xludf.DUMMYFUNCTION("""COMPUTED_VALUE"""),"COBERTURA VIERNES")</f>
        <v>COBERTURA VIERNES</v>
      </c>
      <c r="AR35" s="65"/>
      <c r="AS35" s="65"/>
      <c r="AT35" s="65" t="str">
        <f>IFERROR(__xludf.DUMMYFUNCTION("""COMPUTED_VALUE"""),"SHOPIFY")</f>
        <v>SHOPIFY</v>
      </c>
      <c r="AU35" s="65" t="str">
        <f>IFERROR(__xludf.DUMMYFUNCTION("""COMPUTED_VALUE"""),"IMPORTEX EC")</f>
        <v>IMPORTEX EC</v>
      </c>
      <c r="AV35" s="65" t="str">
        <f>IFERROR(__xludf.DUMMYFUNCTION("""COMPUTED_VALUE"""),"6596770103340")</f>
        <v>6596770103340</v>
      </c>
      <c r="AW35" s="65">
        <f>IFERROR(__xludf.DUMMYFUNCTION("""COMPUTED_VALUE"""),6810.0)</f>
        <v>6810</v>
      </c>
      <c r="AX35" s="65"/>
      <c r="AY35" s="65" t="str">
        <f>IFERROR(__xludf.DUMMYFUNCTION("""COMPUTED_VALUE"""),"24/03/2026")</f>
        <v>24/03/2026</v>
      </c>
      <c r="AZ35" s="65"/>
      <c r="BA35" s="65"/>
    </row>
    <row r="36">
      <c r="A36" s="65" t="str">
        <f>IFERROR(__xludf.DUMMYFUNCTION("""COMPUTED_VALUE"""),"27-03-2026")</f>
        <v>27-03-2026</v>
      </c>
      <c r="B36" s="65">
        <f>IFERROR(__xludf.DUMMYFUNCTION("""COMPUTED_VALUE"""),4878434.0)</f>
        <v>4878434</v>
      </c>
      <c r="C36" s="65" t="str">
        <f>IFERROR(__xludf.DUMMYFUNCTION("""COMPUTED_VALUE"""),"19:13")</f>
        <v>19:13</v>
      </c>
      <c r="D36" s="65" t="str">
        <f>IFERROR(__xludf.DUMMYFUNCTION("""COMPUTED_VALUE"""),"22-03-2026")</f>
        <v>22-03-2026</v>
      </c>
      <c r="E36" s="65" t="str">
        <f>IFERROR(__xludf.DUMMYFUNCTION("""COMPUTED_VALUE"""),"Vinicio Díaz")</f>
        <v>Vinicio Díaz</v>
      </c>
      <c r="F36" s="65" t="str">
        <f>IFERROR(__xludf.DUMMYFUNCTION("""COMPUTED_VALUE"""),"999430750")</f>
        <v>999430750</v>
      </c>
      <c r="G36" s="65" t="str">
        <f>IFERROR(__xludf.DUMMYFUNCTION("""COMPUTED_VALUE"""),"viniciodiazec@yahoo.com")</f>
        <v>viniciodiazec@yahoo.com</v>
      </c>
      <c r="H36" s="65"/>
      <c r="I36" s="65"/>
      <c r="J36" s="65" t="str">
        <f>IFERROR(__xludf.DUMMYFUNCTION("""COMPUTED_VALUE"""),"D001449745")</f>
        <v>D001449745</v>
      </c>
      <c r="K36" s="65" t="str">
        <f>IFERROR(__xludf.DUMMYFUNCTION("""COMPUTED_VALUE"""),"NOVEDAD")</f>
        <v>NOVEDAD</v>
      </c>
      <c r="L36" s="65" t="str">
        <f>IFERROR(__xludf.DUMMYFUNCTION("""COMPUTED_VALUE"""),"CON RECAUDO")</f>
        <v>CON RECAUDO</v>
      </c>
      <c r="M36" s="65" t="str">
        <f>IFERROR(__xludf.DUMMYFUNCTION("""COMPUTED_VALUE"""),"GUAYAS")</f>
        <v>GUAYAS</v>
      </c>
      <c r="N36" s="65" t="str">
        <f>IFERROR(__xludf.DUMMYFUNCTION("""COMPUTED_VALUE"""),"GUAYAQUIL")</f>
        <v>GUAYAQUIL</v>
      </c>
      <c r="O36" s="65" t="str">
        <f>IFERROR(__xludf.DUMMYFUNCTION("""COMPUTED_VALUE"""),"Colinas de Los Ceibos: Calle 8ava #402 Y Av. Séptima- Esquina Casa esquinera -")</f>
        <v>Colinas de Los Ceibos: Calle 8ava #402 Y Av. Séptima- Esquina Casa esquinera -</v>
      </c>
      <c r="P36" s="65"/>
      <c r="Q36" s="65" t="str">
        <f>IFERROR(__xludf.DUMMYFUNCTION("""COMPUTED_VALUE"""),"GINTRACOM")</f>
        <v>GINTRACOM</v>
      </c>
      <c r="R36" s="65">
        <f>IFERROR(__xludf.DUMMYFUNCTION("""COMPUTED_VALUE"""),32.0)</f>
        <v>32</v>
      </c>
      <c r="S36" s="65"/>
      <c r="T36" s="65">
        <f>IFERROR(__xludf.DUMMYFUNCTION("""COMPUTED_VALUE"""),4.63)</f>
        <v>4.63</v>
      </c>
      <c r="U36" s="65">
        <f>IFERROR(__xludf.DUMMYFUNCTION("""COMPUTED_VALUE"""),0.0)</f>
        <v>0</v>
      </c>
      <c r="V36" s="65">
        <f>IFERROR(__xludf.DUMMYFUNCTION("""COMPUTED_VALUE"""),0.0)</f>
        <v>0</v>
      </c>
      <c r="W36" s="65">
        <f>IFERROR(__xludf.DUMMYFUNCTION("""COMPUTED_VALUE"""),0.0)</f>
        <v>0</v>
      </c>
      <c r="X36" s="65">
        <f>IFERROR(__xludf.DUMMYFUNCTION("""COMPUTED_VALUE"""),2.4)</f>
        <v>2.4</v>
      </c>
      <c r="Y36" s="65">
        <f>IFERROR(__xludf.DUMMYFUNCTION("""COMPUTED_VALUE"""),9.6)</f>
        <v>9.6</v>
      </c>
      <c r="Z36" s="65">
        <f>IFERROR(__xludf.DUMMYFUNCTION("""COMPUTED_VALUE"""),119189.0)</f>
        <v>119189</v>
      </c>
      <c r="AA36" s="65" t="str">
        <f>IFERROR(__xludf.DUMMYFUNCTION("""COMPUTED_VALUE"""),"CUCHILLO DE CHEF")</f>
        <v>CUCHILLO DE CHEF</v>
      </c>
      <c r="AB36" s="65"/>
      <c r="AC36" s="65" t="str">
        <f>IFERROR(__xludf.DUMMYFUNCTION("""COMPUTED_VALUE"""),"CUCHILLO DE CHEF")</f>
        <v>CUCHILLO DE CHEF</v>
      </c>
      <c r="AD36" s="65"/>
      <c r="AE36" s="65">
        <f>IFERROR(__xludf.DUMMYFUNCTION("""COMPUTED_VALUE"""),4.0)</f>
        <v>4</v>
      </c>
      <c r="AF36" s="65" t="str">
        <f>IFERROR(__xludf.DUMMYFUNCTION("""COMPUTED_VALUE"""),"DESTINATARIO NO CONTESTA LLAMADAS NI WHATSAPP")</f>
        <v>DESTINATARIO NO CONTESTA LLAMADAS NI WHATSAPP</v>
      </c>
      <c r="AG36" s="65" t="str">
        <f>IFERROR(__xludf.DUMMYFUNCTION("""COMPUTED_VALUE"""),"NO")</f>
        <v>NO</v>
      </c>
      <c r="AH36" s="65" t="str">
        <f>IFERROR(__xludf.DUMMYFUNCTION("""COMPUTED_VALUE"""),"20:55")</f>
        <v>20:55</v>
      </c>
      <c r="AI36" s="65" t="str">
        <f>IFERROR(__xludf.DUMMYFUNCTION("""COMPUTED_VALUE"""),"26-03-2026")</f>
        <v>26-03-2026</v>
      </c>
      <c r="AJ36" s="65"/>
      <c r="AK36" s="65"/>
      <c r="AL36" s="65"/>
      <c r="AM36" s="65"/>
      <c r="AN36" s="65" t="str">
        <f>IFERROR(__xludf.DUMMYFUNCTION("""COMPUTED_VALUE"""),"20:55")</f>
        <v>20:55</v>
      </c>
      <c r="AO36" s="65" t="str">
        <f>IFERROR(__xludf.DUMMYFUNCTION("""COMPUTED_VALUE"""),"26-03-2026")</f>
        <v>26-03-2026</v>
      </c>
      <c r="AP36" s="65" t="str">
        <f>IFERROR(__xludf.DUMMYFUNCTION("""COMPUTED_VALUE"""),"DESTINATARIO NO CONTESTA LLAMADAS NI WHATSAPP")</f>
        <v>DESTINATARIO NO CONTESTA LLAMADAS NI WHATSAPP</v>
      </c>
      <c r="AQ36" s="65" t="str">
        <f>IFERROR(__xludf.DUMMYFUNCTION("""COMPUTED_VALUE"""),"DESTINATARIO NO CONTESTA LLAMADAS NI WHATSAPP")</f>
        <v>DESTINATARIO NO CONTESTA LLAMADAS NI WHATSAPP</v>
      </c>
      <c r="AR36" s="65"/>
      <c r="AS36" s="65"/>
      <c r="AT36" s="65" t="str">
        <f>IFERROR(__xludf.DUMMYFUNCTION("""COMPUTED_VALUE"""),"SHOPIFY")</f>
        <v>SHOPIFY</v>
      </c>
      <c r="AU36" s="65" t="str">
        <f>IFERROR(__xludf.DUMMYFUNCTION("""COMPUTED_VALUE"""),"IMPORTEX EC")</f>
        <v>IMPORTEX EC</v>
      </c>
      <c r="AV36" s="65" t="str">
        <f>IFERROR(__xludf.DUMMYFUNCTION("""COMPUTED_VALUE"""),"6596715511852")</f>
        <v>6596715511852</v>
      </c>
      <c r="AW36" s="65">
        <f>IFERROR(__xludf.DUMMYFUNCTION("""COMPUTED_VALUE"""),6809.0)</f>
        <v>6809</v>
      </c>
      <c r="AX36" s="65"/>
      <c r="AY36" s="65" t="str">
        <f>IFERROR(__xludf.DUMMYFUNCTION("""COMPUTED_VALUE"""),"24/03/2026")</f>
        <v>24/03/2026</v>
      </c>
      <c r="AZ36" s="65"/>
      <c r="BA36" s="65"/>
    </row>
    <row r="37">
      <c r="A37" s="65" t="str">
        <f>IFERROR(__xludf.DUMMYFUNCTION("""COMPUTED_VALUE"""),"27-03-2026")</f>
        <v>27-03-2026</v>
      </c>
      <c r="B37" s="65">
        <f>IFERROR(__xludf.DUMMYFUNCTION("""COMPUTED_VALUE"""),4878317.0)</f>
        <v>4878317</v>
      </c>
      <c r="C37" s="65" t="str">
        <f>IFERROR(__xludf.DUMMYFUNCTION("""COMPUTED_VALUE"""),"19:00")</f>
        <v>19:00</v>
      </c>
      <c r="D37" s="65" t="str">
        <f>IFERROR(__xludf.DUMMYFUNCTION("""COMPUTED_VALUE"""),"22-03-2026")</f>
        <v>22-03-2026</v>
      </c>
      <c r="E37" s="65" t="str">
        <f>IFERROR(__xludf.DUMMYFUNCTION("""COMPUTED_VALUE"""),"José Luis Berrezueta Merchan")</f>
        <v>José Luis Berrezueta Merchan</v>
      </c>
      <c r="F37" s="65" t="str">
        <f>IFERROR(__xludf.DUMMYFUNCTION("""COMPUTED_VALUE"""),"989083289")</f>
        <v>989083289</v>
      </c>
      <c r="G37" s="65" t="str">
        <f>IFERROR(__xludf.DUMMYFUNCTION("""COMPUTED_VALUE"""),"maryfesolorzanov@hotmail.com")</f>
        <v>maryfesolorzanov@hotmail.com</v>
      </c>
      <c r="H37" s="65"/>
      <c r="I37" s="65"/>
      <c r="J37" s="65" t="str">
        <f>IFERROR(__xludf.DUMMYFUNCTION("""COMPUTED_VALUE"""),"D001449746")</f>
        <v>D001449746</v>
      </c>
      <c r="K37" s="65" t="str">
        <f>IFERROR(__xludf.DUMMYFUNCTION("""COMPUTED_VALUE"""),"EN REPARTO")</f>
        <v>EN REPARTO</v>
      </c>
      <c r="L37" s="65" t="str">
        <f>IFERROR(__xludf.DUMMYFUNCTION("""COMPUTED_VALUE"""),"CON RECAUDO")</f>
        <v>CON RECAUDO</v>
      </c>
      <c r="M37" s="65" t="str">
        <f>IFERROR(__xludf.DUMMYFUNCTION("""COMPUTED_VALUE"""),"PICHINCHA")</f>
        <v>PICHINCHA</v>
      </c>
      <c r="N37" s="65" t="str">
        <f>IFERROR(__xludf.DUMMYFUNCTION("""COMPUTED_VALUE"""),"QUITO")</f>
        <v>QUITO</v>
      </c>
      <c r="O37" s="65" t="str">
        <f>IFERROR(__xludf.DUMMYFUNCTION("""COMPUTED_VALUE"""),"Av. Geronimo carrion y Av. 10 de Agosto, sector  Santa clara - Frente a Toyota Casabaca  o alado de la academia Sudamericana de Belleza")</f>
        <v>Av. Geronimo carrion y Av. 10 de Agosto, sector  Santa clara - Frente a Toyota Casabaca  o alado de la academia Sudamericana de Belleza</v>
      </c>
      <c r="P37" s="65"/>
      <c r="Q37" s="65" t="str">
        <f>IFERROR(__xludf.DUMMYFUNCTION("""COMPUTED_VALUE"""),"GINTRACOM")</f>
        <v>GINTRACOM</v>
      </c>
      <c r="R37" s="65">
        <f>IFERROR(__xludf.DUMMYFUNCTION("""COMPUTED_VALUE"""),22.0)</f>
        <v>22</v>
      </c>
      <c r="S37" s="65"/>
      <c r="T37" s="65">
        <f>IFERROR(__xludf.DUMMYFUNCTION("""COMPUTED_VALUE"""),5.84)</f>
        <v>5.84</v>
      </c>
      <c r="U37" s="65">
        <f>IFERROR(__xludf.DUMMYFUNCTION("""COMPUTED_VALUE"""),0.0)</f>
        <v>0</v>
      </c>
      <c r="V37" s="65">
        <f>IFERROR(__xludf.DUMMYFUNCTION("""COMPUTED_VALUE"""),0.0)</f>
        <v>0</v>
      </c>
      <c r="W37" s="65">
        <f>IFERROR(__xludf.DUMMYFUNCTION("""COMPUTED_VALUE"""),0.0)</f>
        <v>0</v>
      </c>
      <c r="X37" s="65">
        <f>IFERROR(__xludf.DUMMYFUNCTION("""COMPUTED_VALUE"""),2.4)</f>
        <v>2.4</v>
      </c>
      <c r="Y37" s="65">
        <f>IFERROR(__xludf.DUMMYFUNCTION("""COMPUTED_VALUE"""),4.8)</f>
        <v>4.8</v>
      </c>
      <c r="Z37" s="65">
        <f>IFERROR(__xludf.DUMMYFUNCTION("""COMPUTED_VALUE"""),119189.0)</f>
        <v>119189</v>
      </c>
      <c r="AA37" s="65" t="str">
        <f>IFERROR(__xludf.DUMMYFUNCTION("""COMPUTED_VALUE"""),"CUCHILLO DE CHEF")</f>
        <v>CUCHILLO DE CHEF</v>
      </c>
      <c r="AB37" s="65"/>
      <c r="AC37" s="65" t="str">
        <f>IFERROR(__xludf.DUMMYFUNCTION("""COMPUTED_VALUE"""),"CUCHILLO DE CHEF")</f>
        <v>CUCHILLO DE CHEF</v>
      </c>
      <c r="AD37" s="65"/>
      <c r="AE37" s="65">
        <f>IFERROR(__xludf.DUMMYFUNCTION("""COMPUTED_VALUE"""),2.0)</f>
        <v>2</v>
      </c>
      <c r="AF37" s="65"/>
      <c r="AG37" s="65"/>
      <c r="AH37" s="65"/>
      <c r="AI37" s="65"/>
      <c r="AJ37" s="65"/>
      <c r="AK37" s="65"/>
      <c r="AL37" s="65"/>
      <c r="AM37" s="65"/>
      <c r="AN37" s="65" t="str">
        <f>IFERROR(__xludf.DUMMYFUNCTION("""COMPUTED_VALUE"""),"15:52")</f>
        <v>15:52</v>
      </c>
      <c r="AO37" s="65" t="str">
        <f>IFERROR(__xludf.DUMMYFUNCTION("""COMPUTED_VALUE"""),"26-03-2026")</f>
        <v>26-03-2026</v>
      </c>
      <c r="AP37" s="65" t="str">
        <f>IFERROR(__xludf.DUMMYFUNCTION("""COMPUTED_VALUE"""),"DESTINATARIO INDICA QUE NO ES EL PRODUCTO QUE SOLICITÓ")</f>
        <v>DESTINATARIO INDICA QUE NO ES EL PRODUCTO QUE SOLICITÓ</v>
      </c>
      <c r="AQ37" s="65" t="str">
        <f>IFERROR(__xludf.DUMMYFUNCTION("""COMPUTED_VALUE"""),"DESTINATARIO INDICA QUE NO ES EL PRODUCTO QUE SOLICITÓ")</f>
        <v>DESTINATARIO INDICA QUE NO ES EL PRODUCTO QUE SOLICITÓ</v>
      </c>
      <c r="AR37" s="65"/>
      <c r="AS37" s="65"/>
      <c r="AT37" s="65" t="str">
        <f>IFERROR(__xludf.DUMMYFUNCTION("""COMPUTED_VALUE"""),"SHOPIFY")</f>
        <v>SHOPIFY</v>
      </c>
      <c r="AU37" s="65" t="str">
        <f>IFERROR(__xludf.DUMMYFUNCTION("""COMPUTED_VALUE"""),"IMPORTEX EC")</f>
        <v>IMPORTEX EC</v>
      </c>
      <c r="AV37" s="65" t="str">
        <f>IFERROR(__xludf.DUMMYFUNCTION("""COMPUTED_VALUE"""),"6596696997932")</f>
        <v>6596696997932</v>
      </c>
      <c r="AW37" s="65">
        <f>IFERROR(__xludf.DUMMYFUNCTION("""COMPUTED_VALUE"""),6808.0)</f>
        <v>6808</v>
      </c>
      <c r="AX37" s="65"/>
      <c r="AY37" s="65" t="str">
        <f>IFERROR(__xludf.DUMMYFUNCTION("""COMPUTED_VALUE"""),"24/03/2026")</f>
        <v>24/03/2026</v>
      </c>
      <c r="AZ37" s="65"/>
      <c r="BA37" s="65"/>
    </row>
    <row r="38">
      <c r="A38" s="65" t="str">
        <f>IFERROR(__xludf.DUMMYFUNCTION("""COMPUTED_VALUE"""),"27-03-2026")</f>
        <v>27-03-2026</v>
      </c>
      <c r="B38" s="65">
        <f>IFERROR(__xludf.DUMMYFUNCTION("""COMPUTED_VALUE"""),4874074.0)</f>
        <v>4874074</v>
      </c>
      <c r="C38" s="65" t="str">
        <f>IFERROR(__xludf.DUMMYFUNCTION("""COMPUTED_VALUE"""),"09:21")</f>
        <v>09:21</v>
      </c>
      <c r="D38" s="65" t="str">
        <f>IFERROR(__xludf.DUMMYFUNCTION("""COMPUTED_VALUE"""),"22-03-2026")</f>
        <v>22-03-2026</v>
      </c>
      <c r="E38" s="65" t="str">
        <f>IFERROR(__xludf.DUMMYFUNCTION("""COMPUTED_VALUE"""),"Paul Suasnavas")</f>
        <v>Paul Suasnavas</v>
      </c>
      <c r="F38" s="65" t="str">
        <f>IFERROR(__xludf.DUMMYFUNCTION("""COMPUTED_VALUE"""),"999900424")</f>
        <v>999900424</v>
      </c>
      <c r="G38" s="65" t="str">
        <f>IFERROR(__xludf.DUMMYFUNCTION("""COMPUTED_VALUE"""),"paulsuasnavas81@gmail.comp")</f>
        <v>paulsuasnavas81@gmail.comp</v>
      </c>
      <c r="H38" s="65"/>
      <c r="I38" s="65"/>
      <c r="J38" s="65" t="str">
        <f>IFERROR(__xludf.DUMMYFUNCTION("""COMPUTED_VALUE"""),"D001449448")</f>
        <v>D001449448</v>
      </c>
      <c r="K38" s="65" t="str">
        <f>IFERROR(__xludf.DUMMYFUNCTION("""COMPUTED_VALUE"""),"NOVEDAD")</f>
        <v>NOVEDAD</v>
      </c>
      <c r="L38" s="65" t="str">
        <f>IFERROR(__xludf.DUMMYFUNCTION("""COMPUTED_VALUE"""),"CON RECAUDO")</f>
        <v>CON RECAUDO</v>
      </c>
      <c r="M38" s="65" t="str">
        <f>IFERROR(__xludf.DUMMYFUNCTION("""COMPUTED_VALUE"""),"PICHINCHA")</f>
        <v>PICHINCHA</v>
      </c>
      <c r="N38" s="65" t="str">
        <f>IFERROR(__xludf.DUMMYFUNCTION("""COMPUTED_VALUE"""),"QUITO")</f>
        <v>QUITO</v>
      </c>
      <c r="O38" s="65" t="str">
        <f>IFERROR(__xludf.DUMMYFUNCTION("""COMPUTED_VALUE"""),"Reina Victoria y 18 de septiembre, edificio 6 de diciembre, primer piso, REFERENCIA:  Sudan Coffee.")</f>
        <v>Reina Victoria y 18 de septiembre, edificio 6 de diciembre, primer piso, REFERENCIA:  Sudan Coffee.</v>
      </c>
      <c r="P38" s="65"/>
      <c r="Q38" s="65" t="str">
        <f>IFERROR(__xludf.DUMMYFUNCTION("""COMPUTED_VALUE"""),"GINTRACOM")</f>
        <v>GINTRACOM</v>
      </c>
      <c r="R38" s="65">
        <f>IFERROR(__xludf.DUMMYFUNCTION("""COMPUTED_VALUE"""),20.0)</f>
        <v>20</v>
      </c>
      <c r="S38" s="65"/>
      <c r="T38" s="65">
        <f>IFERROR(__xludf.DUMMYFUNCTION("""COMPUTED_VALUE"""),5.75)</f>
        <v>5.75</v>
      </c>
      <c r="U38" s="65">
        <f>IFERROR(__xludf.DUMMYFUNCTION("""COMPUTED_VALUE"""),0.0)</f>
        <v>0</v>
      </c>
      <c r="V38" s="65">
        <f>IFERROR(__xludf.DUMMYFUNCTION("""COMPUTED_VALUE"""),0.0)</f>
        <v>0</v>
      </c>
      <c r="W38" s="65">
        <f>IFERROR(__xludf.DUMMYFUNCTION("""COMPUTED_VALUE"""),0.0)</f>
        <v>0</v>
      </c>
      <c r="X38" s="65">
        <f>IFERROR(__xludf.DUMMYFUNCTION("""COMPUTED_VALUE"""),2.21)</f>
        <v>2.21</v>
      </c>
      <c r="Y38" s="65">
        <f>IFERROR(__xludf.DUMMYFUNCTION("""COMPUTED_VALUE"""),4.42)</f>
        <v>4.42</v>
      </c>
      <c r="Z38" s="65">
        <f>IFERROR(__xludf.DUMMYFUNCTION("""COMPUTED_VALUE"""),120732.0)</f>
        <v>120732</v>
      </c>
      <c r="AA38" s="65" t="str">
        <f>IFERROR(__xludf.DUMMYFUNCTION("""COMPUTED_VALUE"""),"PROV-LMPVT")</f>
        <v>PROV-LMPVT</v>
      </c>
      <c r="AB38" s="65"/>
      <c r="AC38" s="65" t="str">
        <f>IFERROR(__xludf.DUMMYFUNCTION("""COMPUTED_VALUE"""),"LIMPIADOR DE PARABRISAS Y VENTANAS")</f>
        <v>LIMPIADOR DE PARABRISAS Y VENTANAS</v>
      </c>
      <c r="AD38" s="65"/>
      <c r="AE38" s="65">
        <f>IFERROR(__xludf.DUMMYFUNCTION("""COMPUTED_VALUE"""),2.0)</f>
        <v>2</v>
      </c>
      <c r="AF38" s="65" t="str">
        <f>IFERROR(__xludf.DUMMYFUNCTION("""COMPUTED_VALUE"""),"DESTINATARIO NO CONTESTA LLAMADAS NI WHATSAPP")</f>
        <v>DESTINATARIO NO CONTESTA LLAMADAS NI WHATSAPP</v>
      </c>
      <c r="AG38" s="65" t="str">
        <f>IFERROR(__xludf.DUMMYFUNCTION("""COMPUTED_VALUE"""),"NO")</f>
        <v>NO</v>
      </c>
      <c r="AH38" s="65" t="str">
        <f>IFERROR(__xludf.DUMMYFUNCTION("""COMPUTED_VALUE"""),"18:03")</f>
        <v>18:03</v>
      </c>
      <c r="AI38" s="65" t="str">
        <f>IFERROR(__xludf.DUMMYFUNCTION("""COMPUTED_VALUE"""),"26-03-2026")</f>
        <v>26-03-2026</v>
      </c>
      <c r="AJ38" s="65"/>
      <c r="AK38" s="65"/>
      <c r="AL38" s="65"/>
      <c r="AM38" s="65"/>
      <c r="AN38" s="65" t="str">
        <f>IFERROR(__xludf.DUMMYFUNCTION("""COMPUTED_VALUE"""),"09:14")</f>
        <v>09:14</v>
      </c>
      <c r="AO38" s="65" t="str">
        <f>IFERROR(__xludf.DUMMYFUNCTION("""COMPUTED_VALUE"""),"26-03-2026")</f>
        <v>26-03-2026</v>
      </c>
      <c r="AP38" s="65" t="str">
        <f>IFERROR(__xludf.DUMMYFUNCTION("""COMPUTED_VALUE"""),"EN REPARTO")</f>
        <v>EN REPARTO</v>
      </c>
      <c r="AQ38" s="65" t="str">
        <f>IFERROR(__xludf.DUMMYFUNCTION("""COMPUTED_VALUE"""),"EN REPARTO")</f>
        <v>EN REPARTO</v>
      </c>
      <c r="AR38" s="65"/>
      <c r="AS38" s="65"/>
      <c r="AT38" s="65" t="str">
        <f>IFERROR(__xludf.DUMMYFUNCTION("""COMPUTED_VALUE"""),"SHOPIFY")</f>
        <v>SHOPIFY</v>
      </c>
      <c r="AU38" s="65" t="str">
        <f>IFERROR(__xludf.DUMMYFUNCTION("""COMPUTED_VALUE"""),"IMPORTEX EC")</f>
        <v>IMPORTEX EC</v>
      </c>
      <c r="AV38" s="65" t="str">
        <f>IFERROR(__xludf.DUMMYFUNCTION("""COMPUTED_VALUE"""),"6595620143148")</f>
        <v>6595620143148</v>
      </c>
      <c r="AW38" s="65">
        <f>IFERROR(__xludf.DUMMYFUNCTION("""COMPUTED_VALUE"""),6807.0)</f>
        <v>6807</v>
      </c>
      <c r="AX38" s="65"/>
      <c r="AY38" s="65" t="str">
        <f>IFERROR(__xludf.DUMMYFUNCTION("""COMPUTED_VALUE"""),"24/03/2026")</f>
        <v>24/03/2026</v>
      </c>
      <c r="AZ38" s="65"/>
      <c r="BA38" s="65"/>
    </row>
    <row r="39">
      <c r="A39" s="65" t="str">
        <f>IFERROR(__xludf.DUMMYFUNCTION("""COMPUTED_VALUE"""),"27-03-2026")</f>
        <v>27-03-2026</v>
      </c>
      <c r="B39" s="65">
        <f>IFERROR(__xludf.DUMMYFUNCTION("""COMPUTED_VALUE"""),4873283.0)</f>
        <v>4873283</v>
      </c>
      <c r="C39" s="65" t="str">
        <f>IFERROR(__xludf.DUMMYFUNCTION("""COMPUTED_VALUE"""),"07:18")</f>
        <v>07:18</v>
      </c>
      <c r="D39" s="65" t="str">
        <f>IFERROR(__xludf.DUMMYFUNCTION("""COMPUTED_VALUE"""),"22-03-2026")</f>
        <v>22-03-2026</v>
      </c>
      <c r="E39" s="65" t="str">
        <f>IFERROR(__xludf.DUMMYFUNCTION("""COMPUTED_VALUE"""),"María Alexandra Loor")</f>
        <v>María Alexandra Loor</v>
      </c>
      <c r="F39" s="65" t="str">
        <f>IFERROR(__xludf.DUMMYFUNCTION("""COMPUTED_VALUE"""),"998060965")</f>
        <v>998060965</v>
      </c>
      <c r="G39" s="65"/>
      <c r="H39" s="65"/>
      <c r="I39" s="65"/>
      <c r="J39" s="65"/>
      <c r="K39" s="65" t="str">
        <f>IFERROR(__xludf.DUMMYFUNCTION("""COMPUTED_VALUE"""),"PENDIENTE CONFIRMACION")</f>
        <v>PENDIENTE CONFIRMACION</v>
      </c>
      <c r="L39" s="65" t="str">
        <f>IFERROR(__xludf.DUMMYFUNCTION("""COMPUTED_VALUE"""),"CON RECAUDO")</f>
        <v>CON RECAUDO</v>
      </c>
      <c r="M39" s="65" t="str">
        <f>IFERROR(__xludf.DUMMYFUNCTION("""COMPUTED_VALUE"""),"MANABI")</f>
        <v>MANABI</v>
      </c>
      <c r="N39" s="65" t="str">
        <f>IFERROR(__xludf.DUMMYFUNCTION("""COMPUTED_VALUE"""),"PORTOVIEJO")</f>
        <v>PORTOVIEJO</v>
      </c>
      <c r="O39" s="65" t="str">
        <f>IFERROR(__xludf.DUMMYFUNCTION("""COMPUTED_VALUE"""),"Av. América 125 y reales tamarindos diagonal directivi Sector parque de la madre, afuera hay un árbol de guayaba -")</f>
        <v>Av. América 125 y reales tamarindos diagonal directivi Sector parque de la madre, afuera hay un árbol de guayaba -</v>
      </c>
      <c r="P39" s="65"/>
      <c r="Q39" s="65" t="str">
        <f>IFERROR(__xludf.DUMMYFUNCTION("""COMPUTED_VALUE"""),"GINTRACOM")</f>
        <v>GINTRACOM</v>
      </c>
      <c r="R39" s="65">
        <f>IFERROR(__xludf.DUMMYFUNCTION("""COMPUTED_VALUE"""),20.0)</f>
        <v>20</v>
      </c>
      <c r="S39" s="65"/>
      <c r="T39" s="65">
        <f>IFERROR(__xludf.DUMMYFUNCTION("""COMPUTED_VALUE"""),5.75)</f>
        <v>5.75</v>
      </c>
      <c r="U39" s="65">
        <f>IFERROR(__xludf.DUMMYFUNCTION("""COMPUTED_VALUE"""),0.0)</f>
        <v>0</v>
      </c>
      <c r="V39" s="65">
        <f>IFERROR(__xludf.DUMMYFUNCTION("""COMPUTED_VALUE"""),0.0)</f>
        <v>0</v>
      </c>
      <c r="W39" s="65">
        <f>IFERROR(__xludf.DUMMYFUNCTION("""COMPUTED_VALUE"""),0.0)</f>
        <v>0</v>
      </c>
      <c r="X39" s="65">
        <f>IFERROR(__xludf.DUMMYFUNCTION("""COMPUTED_VALUE"""),2.21)</f>
        <v>2.21</v>
      </c>
      <c r="Y39" s="65">
        <f>IFERROR(__xludf.DUMMYFUNCTION("""COMPUTED_VALUE"""),4.42)</f>
        <v>4.42</v>
      </c>
      <c r="Z39" s="65">
        <f>IFERROR(__xludf.DUMMYFUNCTION("""COMPUTED_VALUE"""),120732.0)</f>
        <v>120732</v>
      </c>
      <c r="AA39" s="65" t="str">
        <f>IFERROR(__xludf.DUMMYFUNCTION("""COMPUTED_VALUE"""),"PROV-LMPVT")</f>
        <v>PROV-LMPVT</v>
      </c>
      <c r="AB39" s="65"/>
      <c r="AC39" s="65" t="str">
        <f>IFERROR(__xludf.DUMMYFUNCTION("""COMPUTED_VALUE"""),"LIMPIADOR DE PARABRISAS Y VENTANAS")</f>
        <v>LIMPIADOR DE PARABRISAS Y VENTANAS</v>
      </c>
      <c r="AD39" s="65"/>
      <c r="AE39" s="65">
        <f>IFERROR(__xludf.DUMMYFUNCTION("""COMPUTED_VALUE"""),2.0)</f>
        <v>2</v>
      </c>
      <c r="AF39" s="65"/>
      <c r="AG39" s="65"/>
      <c r="AH39" s="65"/>
      <c r="AI39" s="65"/>
      <c r="AJ39" s="65"/>
      <c r="AK39" s="65"/>
      <c r="AL39" s="65"/>
      <c r="AM39" s="65"/>
      <c r="AN39" s="65"/>
      <c r="AO39" s="65"/>
      <c r="AP39" s="65"/>
      <c r="AQ39" s="65"/>
      <c r="AR39" s="65"/>
      <c r="AS39" s="65"/>
      <c r="AT39" s="65" t="str">
        <f>IFERROR(__xludf.DUMMYFUNCTION("""COMPUTED_VALUE"""),"SHOPIFY")</f>
        <v>SHOPIFY</v>
      </c>
      <c r="AU39" s="65" t="str">
        <f>IFERROR(__xludf.DUMMYFUNCTION("""COMPUTED_VALUE"""),"IMPORTEX EC")</f>
        <v>IMPORTEX EC</v>
      </c>
      <c r="AV39" s="65" t="str">
        <f>IFERROR(__xludf.DUMMYFUNCTION("""COMPUTED_VALUE"""),"6595474849836")</f>
        <v>6595474849836</v>
      </c>
      <c r="AW39" s="65">
        <f>IFERROR(__xludf.DUMMYFUNCTION("""COMPUTED_VALUE"""),6806.0)</f>
        <v>6806</v>
      </c>
      <c r="AX39" s="65"/>
      <c r="AY39" s="65"/>
      <c r="AZ39" s="65"/>
      <c r="BA39" s="65"/>
    </row>
    <row r="40">
      <c r="A40" s="65" t="str">
        <f>IFERROR(__xludf.DUMMYFUNCTION("""COMPUTED_VALUE"""),"27-03-2026")</f>
        <v>27-03-2026</v>
      </c>
      <c r="B40" s="65">
        <f>IFERROR(__xludf.DUMMYFUNCTION("""COMPUTED_VALUE"""),4873282.0)</f>
        <v>4873282</v>
      </c>
      <c r="C40" s="65" t="str">
        <f>IFERROR(__xludf.DUMMYFUNCTION("""COMPUTED_VALUE"""),"07:18")</f>
        <v>07:18</v>
      </c>
      <c r="D40" s="65" t="str">
        <f>IFERROR(__xludf.DUMMYFUNCTION("""COMPUTED_VALUE"""),"22-03-2026")</f>
        <v>22-03-2026</v>
      </c>
      <c r="E40" s="65" t="str">
        <f>IFERROR(__xludf.DUMMYFUNCTION("""COMPUTED_VALUE"""),"Nexar Gende")</f>
        <v>Nexar Gende</v>
      </c>
      <c r="F40" s="65" t="str">
        <f>IFERROR(__xludf.DUMMYFUNCTION("""COMPUTED_VALUE"""),"963801344")</f>
        <v>963801344</v>
      </c>
      <c r="G40" s="65" t="str">
        <f>IFERROR(__xludf.DUMMYFUNCTION("""COMPUTED_VALUE"""),"nexargende@hotmail.com")</f>
        <v>nexargende@hotmail.com</v>
      </c>
      <c r="H40" s="65"/>
      <c r="I40" s="65"/>
      <c r="J40" s="65"/>
      <c r="K40" s="65" t="str">
        <f>IFERROR(__xludf.DUMMYFUNCTION("""COMPUTED_VALUE"""),"CANCELADO")</f>
        <v>CANCELADO</v>
      </c>
      <c r="L40" s="65" t="str">
        <f>IFERROR(__xludf.DUMMYFUNCTION("""COMPUTED_VALUE"""),"CON RECAUDO")</f>
        <v>CON RECAUDO</v>
      </c>
      <c r="M40" s="65" t="str">
        <f>IFERROR(__xludf.DUMMYFUNCTION("""COMPUTED_VALUE"""),"GUAYAS")</f>
        <v>GUAYAS</v>
      </c>
      <c r="N40" s="65" t="str">
        <f>IFERROR(__xludf.DUMMYFUNCTION("""COMPUTED_VALUE"""),"GUAYAQUIL")</f>
        <v>GUAYAQUIL</v>
      </c>
      <c r="O40" s="65" t="str">
        <f>IFERROR(__xludf.DUMMYFUNCTION("""COMPUTED_VALUE"""),"Mucho lote 2 Urbanizacion paraiso del rio 1 -")</f>
        <v>Mucho lote 2 Urbanizacion paraiso del rio 1 -</v>
      </c>
      <c r="P40" s="65"/>
      <c r="Q40" s="65" t="str">
        <f>IFERROR(__xludf.DUMMYFUNCTION("""COMPUTED_VALUE"""),"GINTRACOM")</f>
        <v>GINTRACOM</v>
      </c>
      <c r="R40" s="65">
        <f>IFERROR(__xludf.DUMMYFUNCTION("""COMPUTED_VALUE"""),20.0)</f>
        <v>20</v>
      </c>
      <c r="S40" s="65"/>
      <c r="T40" s="65">
        <f>IFERROR(__xludf.DUMMYFUNCTION("""COMPUTED_VALUE"""),4.14)</f>
        <v>4.14</v>
      </c>
      <c r="U40" s="65">
        <f>IFERROR(__xludf.DUMMYFUNCTION("""COMPUTED_VALUE"""),0.0)</f>
        <v>0</v>
      </c>
      <c r="V40" s="65">
        <f>IFERROR(__xludf.DUMMYFUNCTION("""COMPUTED_VALUE"""),0.0)</f>
        <v>0</v>
      </c>
      <c r="W40" s="65">
        <f>IFERROR(__xludf.DUMMYFUNCTION("""COMPUTED_VALUE"""),0.0)</f>
        <v>0</v>
      </c>
      <c r="X40" s="65">
        <f>IFERROR(__xludf.DUMMYFUNCTION("""COMPUTED_VALUE"""),2.21)</f>
        <v>2.21</v>
      </c>
      <c r="Y40" s="65">
        <f>IFERROR(__xludf.DUMMYFUNCTION("""COMPUTED_VALUE"""),4.42)</f>
        <v>4.42</v>
      </c>
      <c r="Z40" s="65">
        <f>IFERROR(__xludf.DUMMYFUNCTION("""COMPUTED_VALUE"""),120732.0)</f>
        <v>120732</v>
      </c>
      <c r="AA40" s="65" t="str">
        <f>IFERROR(__xludf.DUMMYFUNCTION("""COMPUTED_VALUE"""),"PROV-LMPVT")</f>
        <v>PROV-LMPVT</v>
      </c>
      <c r="AB40" s="65"/>
      <c r="AC40" s="65" t="str">
        <f>IFERROR(__xludf.DUMMYFUNCTION("""COMPUTED_VALUE"""),"LIMPIADOR DE PARABRISAS Y VENTANAS")</f>
        <v>LIMPIADOR DE PARABRISAS Y VENTANAS</v>
      </c>
      <c r="AD40" s="65"/>
      <c r="AE40" s="65">
        <f>IFERROR(__xludf.DUMMYFUNCTION("""COMPUTED_VALUE"""),2.0)</f>
        <v>2</v>
      </c>
      <c r="AF40" s="65"/>
      <c r="AG40" s="65"/>
      <c r="AH40" s="65"/>
      <c r="AI40" s="65"/>
      <c r="AJ40" s="65"/>
      <c r="AK40" s="65"/>
      <c r="AL40" s="65"/>
      <c r="AM40" s="65"/>
      <c r="AN40" s="65"/>
      <c r="AO40" s="65"/>
      <c r="AP40" s="65"/>
      <c r="AQ40" s="65"/>
      <c r="AR40" s="65"/>
      <c r="AS40" s="65"/>
      <c r="AT40" s="65" t="str">
        <f>IFERROR(__xludf.DUMMYFUNCTION("""COMPUTED_VALUE"""),"SHOPIFY")</f>
        <v>SHOPIFY</v>
      </c>
      <c r="AU40" s="65" t="str">
        <f>IFERROR(__xludf.DUMMYFUNCTION("""COMPUTED_VALUE"""),"IMPORTEX EC")</f>
        <v>IMPORTEX EC</v>
      </c>
      <c r="AV40" s="65" t="str">
        <f>IFERROR(__xludf.DUMMYFUNCTION("""COMPUTED_VALUE"""),"6595474817068")</f>
        <v>6595474817068</v>
      </c>
      <c r="AW40" s="65">
        <f>IFERROR(__xludf.DUMMYFUNCTION("""COMPUTED_VALUE"""),6805.0)</f>
        <v>6805</v>
      </c>
      <c r="AX40" s="65"/>
      <c r="AY40" s="65"/>
      <c r="AZ40" s="65"/>
      <c r="BA40" s="65"/>
    </row>
    <row r="41">
      <c r="A41" s="65" t="str">
        <f>IFERROR(__xludf.DUMMYFUNCTION("""COMPUTED_VALUE"""),"27-03-2026")</f>
        <v>27-03-2026</v>
      </c>
      <c r="B41" s="65">
        <f>IFERROR(__xludf.DUMMYFUNCTION("""COMPUTED_VALUE"""),4872974.0)</f>
        <v>4872974</v>
      </c>
      <c r="C41" s="65" t="str">
        <f>IFERROR(__xludf.DUMMYFUNCTION("""COMPUTED_VALUE"""),"05:23")</f>
        <v>05:23</v>
      </c>
      <c r="D41" s="65" t="str">
        <f>IFERROR(__xludf.DUMMYFUNCTION("""COMPUTED_VALUE"""),"22-03-2026")</f>
        <v>22-03-2026</v>
      </c>
      <c r="E41" s="65" t="str">
        <f>IFERROR(__xludf.DUMMYFUNCTION("""COMPUTED_VALUE"""),"Jaime Eduardo Alcívar Cobeña")</f>
        <v>Jaime Eduardo Alcívar Cobeña</v>
      </c>
      <c r="F41" s="65" t="str">
        <f>IFERROR(__xludf.DUMMYFUNCTION("""COMPUTED_VALUE"""),"968025452")</f>
        <v>968025452</v>
      </c>
      <c r="G41" s="65" t="str">
        <f>IFERROR(__xludf.DUMMYFUNCTION("""COMPUTED_VALUE"""),"jaimedualcivarco_@hotmail.com")</f>
        <v>jaimedualcivarco_@hotmail.com</v>
      </c>
      <c r="H41" s="65"/>
      <c r="I41" s="65"/>
      <c r="J41" s="65"/>
      <c r="K41" s="65" t="str">
        <f>IFERROR(__xludf.DUMMYFUNCTION("""COMPUTED_VALUE"""),"CANCELADO")</f>
        <v>CANCELADO</v>
      </c>
      <c r="L41" s="65" t="str">
        <f>IFERROR(__xludf.DUMMYFUNCTION("""COMPUTED_VALUE"""),"CON RECAUDO")</f>
        <v>CON RECAUDO</v>
      </c>
      <c r="M41" s="65" t="str">
        <f>IFERROR(__xludf.DUMMYFUNCTION("""COMPUTED_VALUE"""),"MANABI")</f>
        <v>MANABI</v>
      </c>
      <c r="N41" s="65" t="str">
        <f>IFERROR(__xludf.DUMMYFUNCTION("""COMPUTED_VALUE"""),"PORTOVIEJO")</f>
        <v>PORTOVIEJO</v>
      </c>
      <c r="O41" s="65" t="str">
        <f>IFERROR(__xludf.DUMMYFUNCTION("""COMPUTED_VALUE"""),"Vía Noboa Ciudadela universitaria -")</f>
        <v>Vía Noboa Ciudadela universitaria -</v>
      </c>
      <c r="P41" s="65"/>
      <c r="Q41" s="65" t="str">
        <f>IFERROR(__xludf.DUMMYFUNCTION("""COMPUTED_VALUE"""),"GINTRACOM")</f>
        <v>GINTRACOM</v>
      </c>
      <c r="R41" s="65">
        <f>IFERROR(__xludf.DUMMYFUNCTION("""COMPUTED_VALUE"""),20.0)</f>
        <v>20</v>
      </c>
      <c r="S41" s="65"/>
      <c r="T41" s="65">
        <f>IFERROR(__xludf.DUMMYFUNCTION("""COMPUTED_VALUE"""),5.75)</f>
        <v>5.75</v>
      </c>
      <c r="U41" s="65">
        <f>IFERROR(__xludf.DUMMYFUNCTION("""COMPUTED_VALUE"""),0.0)</f>
        <v>0</v>
      </c>
      <c r="V41" s="65">
        <f>IFERROR(__xludf.DUMMYFUNCTION("""COMPUTED_VALUE"""),0.0)</f>
        <v>0</v>
      </c>
      <c r="W41" s="65">
        <f>IFERROR(__xludf.DUMMYFUNCTION("""COMPUTED_VALUE"""),0.0)</f>
        <v>0</v>
      </c>
      <c r="X41" s="65">
        <f>IFERROR(__xludf.DUMMYFUNCTION("""COMPUTED_VALUE"""),2.21)</f>
        <v>2.21</v>
      </c>
      <c r="Y41" s="65">
        <f>IFERROR(__xludf.DUMMYFUNCTION("""COMPUTED_VALUE"""),4.42)</f>
        <v>4.42</v>
      </c>
      <c r="Z41" s="65">
        <f>IFERROR(__xludf.DUMMYFUNCTION("""COMPUTED_VALUE"""),120732.0)</f>
        <v>120732</v>
      </c>
      <c r="AA41" s="65" t="str">
        <f>IFERROR(__xludf.DUMMYFUNCTION("""COMPUTED_VALUE"""),"PROV-LMPVT")</f>
        <v>PROV-LMPVT</v>
      </c>
      <c r="AB41" s="65"/>
      <c r="AC41" s="65" t="str">
        <f>IFERROR(__xludf.DUMMYFUNCTION("""COMPUTED_VALUE"""),"LIMPIADOR DE PARABRISAS Y VENTANAS")</f>
        <v>LIMPIADOR DE PARABRISAS Y VENTANAS</v>
      </c>
      <c r="AD41" s="65"/>
      <c r="AE41" s="65">
        <f>IFERROR(__xludf.DUMMYFUNCTION("""COMPUTED_VALUE"""),2.0)</f>
        <v>2</v>
      </c>
      <c r="AF41" s="65"/>
      <c r="AG41" s="65"/>
      <c r="AH41" s="65"/>
      <c r="AI41" s="65"/>
      <c r="AJ41" s="65"/>
      <c r="AK41" s="65"/>
      <c r="AL41" s="65"/>
      <c r="AM41" s="65"/>
      <c r="AN41" s="65"/>
      <c r="AO41" s="65"/>
      <c r="AP41" s="65"/>
      <c r="AQ41" s="65"/>
      <c r="AR41" s="65"/>
      <c r="AS41" s="65"/>
      <c r="AT41" s="65" t="str">
        <f>IFERROR(__xludf.DUMMYFUNCTION("""COMPUTED_VALUE"""),"SHOPIFY")</f>
        <v>SHOPIFY</v>
      </c>
      <c r="AU41" s="65" t="str">
        <f>IFERROR(__xludf.DUMMYFUNCTION("""COMPUTED_VALUE"""),"IMPORTEX EC")</f>
        <v>IMPORTEX EC</v>
      </c>
      <c r="AV41" s="65" t="str">
        <f>IFERROR(__xludf.DUMMYFUNCTION("""COMPUTED_VALUE"""),"6595395387436")</f>
        <v>6595395387436</v>
      </c>
      <c r="AW41" s="65">
        <f>IFERROR(__xludf.DUMMYFUNCTION("""COMPUTED_VALUE"""),6804.0)</f>
        <v>6804</v>
      </c>
      <c r="AX41" s="65"/>
      <c r="AY41" s="65"/>
      <c r="AZ41" s="65"/>
      <c r="BA41" s="65"/>
    </row>
    <row r="42">
      <c r="A42" s="65" t="str">
        <f>IFERROR(__xludf.DUMMYFUNCTION("""COMPUTED_VALUE"""),"27-03-2026")</f>
        <v>27-03-2026</v>
      </c>
      <c r="B42" s="65">
        <f>IFERROR(__xludf.DUMMYFUNCTION("""COMPUTED_VALUE"""),4872966.0)</f>
        <v>4872966</v>
      </c>
      <c r="C42" s="65" t="str">
        <f>IFERROR(__xludf.DUMMYFUNCTION("""COMPUTED_VALUE"""),"05:17")</f>
        <v>05:17</v>
      </c>
      <c r="D42" s="65" t="str">
        <f>IFERROR(__xludf.DUMMYFUNCTION("""COMPUTED_VALUE"""),"22-03-2026")</f>
        <v>22-03-2026</v>
      </c>
      <c r="E42" s="65" t="str">
        <f>IFERROR(__xludf.DUMMYFUNCTION("""COMPUTED_VALUE"""),"Fabian villa Villa")</f>
        <v>Fabian villa Villa</v>
      </c>
      <c r="F42" s="65" t="str">
        <f>IFERROR(__xludf.DUMMYFUNCTION("""COMPUTED_VALUE"""),"982918279")</f>
        <v>982918279</v>
      </c>
      <c r="G42" s="65" t="str">
        <f>IFERROR(__xludf.DUMMYFUNCTION("""COMPUTED_VALUE"""),"camegold09@hitmail.com")</f>
        <v>camegold09@hitmail.com</v>
      </c>
      <c r="H42" s="65"/>
      <c r="I42" s="65"/>
      <c r="J42" s="65"/>
      <c r="K42" s="65" t="str">
        <f>IFERROR(__xludf.DUMMYFUNCTION("""COMPUTED_VALUE"""),"PENDIENTE CONFIRMACION")</f>
        <v>PENDIENTE CONFIRMACION</v>
      </c>
      <c r="L42" s="65" t="str">
        <f>IFERROR(__xludf.DUMMYFUNCTION("""COMPUTED_VALUE"""),"CON RECAUDO")</f>
        <v>CON RECAUDO</v>
      </c>
      <c r="M42" s="65" t="str">
        <f>IFERROR(__xludf.DUMMYFUNCTION("""COMPUTED_VALUE"""),"GUAYAS")</f>
        <v>GUAYAS</v>
      </c>
      <c r="N42" s="65" t="str">
        <f>IFERROR(__xludf.DUMMYFUNCTION("""COMPUTED_VALUE"""),"SAMBORONDON")</f>
        <v>SAMBORONDON</v>
      </c>
      <c r="O42" s="65" t="str">
        <f>IFERROR(__xludf.DUMMYFUNCTION("""COMPUTED_VALUE"""),"Mocoli YUrb monaco -")</f>
        <v>Mocoli YUrb monaco -</v>
      </c>
      <c r="P42" s="65"/>
      <c r="Q42" s="65" t="str">
        <f>IFERROR(__xludf.DUMMYFUNCTION("""COMPUTED_VALUE"""),"GINTRACOM")</f>
        <v>GINTRACOM</v>
      </c>
      <c r="R42" s="65">
        <f>IFERROR(__xludf.DUMMYFUNCTION("""COMPUTED_VALUE"""),24.99)</f>
        <v>24.99</v>
      </c>
      <c r="S42" s="65"/>
      <c r="T42" s="65">
        <f>IFERROR(__xludf.DUMMYFUNCTION("""COMPUTED_VALUE"""),5.37)</f>
        <v>5.37</v>
      </c>
      <c r="U42" s="65">
        <f>IFERROR(__xludf.DUMMYFUNCTION("""COMPUTED_VALUE"""),0.0)</f>
        <v>0</v>
      </c>
      <c r="V42" s="65">
        <f>IFERROR(__xludf.DUMMYFUNCTION("""COMPUTED_VALUE"""),0.0)</f>
        <v>0</v>
      </c>
      <c r="W42" s="65">
        <f>IFERROR(__xludf.DUMMYFUNCTION("""COMPUTED_VALUE"""),0.0)</f>
        <v>0</v>
      </c>
      <c r="X42" s="65">
        <f>IFERROR(__xludf.DUMMYFUNCTION("""COMPUTED_VALUE"""),2.21)</f>
        <v>2.21</v>
      </c>
      <c r="Y42" s="65">
        <f>IFERROR(__xludf.DUMMYFUNCTION("""COMPUTED_VALUE"""),6.63)</f>
        <v>6.63</v>
      </c>
      <c r="Z42" s="65">
        <f>IFERROR(__xludf.DUMMYFUNCTION("""COMPUTED_VALUE"""),120732.0)</f>
        <v>120732</v>
      </c>
      <c r="AA42" s="65" t="str">
        <f>IFERROR(__xludf.DUMMYFUNCTION("""COMPUTED_VALUE"""),"PROV-LMPVT")</f>
        <v>PROV-LMPVT</v>
      </c>
      <c r="AB42" s="65"/>
      <c r="AC42" s="65" t="str">
        <f>IFERROR(__xludf.DUMMYFUNCTION("""COMPUTED_VALUE"""),"LIMPIADOR DE PARABRISAS Y VENTANAS")</f>
        <v>LIMPIADOR DE PARABRISAS Y VENTANAS</v>
      </c>
      <c r="AD42" s="65"/>
      <c r="AE42" s="65">
        <f>IFERROR(__xludf.DUMMYFUNCTION("""COMPUTED_VALUE"""),3.0)</f>
        <v>3</v>
      </c>
      <c r="AF42" s="65"/>
      <c r="AG42" s="65"/>
      <c r="AH42" s="65"/>
      <c r="AI42" s="65"/>
      <c r="AJ42" s="65"/>
      <c r="AK42" s="65"/>
      <c r="AL42" s="65"/>
      <c r="AM42" s="65"/>
      <c r="AN42" s="65"/>
      <c r="AO42" s="65"/>
      <c r="AP42" s="65"/>
      <c r="AQ42" s="65"/>
      <c r="AR42" s="65"/>
      <c r="AS42" s="65"/>
      <c r="AT42" s="65" t="str">
        <f>IFERROR(__xludf.DUMMYFUNCTION("""COMPUTED_VALUE"""),"SHOPIFY")</f>
        <v>SHOPIFY</v>
      </c>
      <c r="AU42" s="65" t="str">
        <f>IFERROR(__xludf.DUMMYFUNCTION("""COMPUTED_VALUE"""),"IMPORTEX EC")</f>
        <v>IMPORTEX EC</v>
      </c>
      <c r="AV42" s="65" t="str">
        <f>IFERROR(__xludf.DUMMYFUNCTION("""COMPUTED_VALUE"""),"6595392405548")</f>
        <v>6595392405548</v>
      </c>
      <c r="AW42" s="65">
        <f>IFERROR(__xludf.DUMMYFUNCTION("""COMPUTED_VALUE"""),6803.0)</f>
        <v>6803</v>
      </c>
      <c r="AX42" s="65"/>
      <c r="AY42" s="65"/>
      <c r="AZ42" s="65"/>
      <c r="BA42" s="65"/>
    </row>
    <row r="43">
      <c r="A43" s="65" t="str">
        <f>IFERROR(__xludf.DUMMYFUNCTION("""COMPUTED_VALUE"""),"27-03-2026")</f>
        <v>27-03-2026</v>
      </c>
      <c r="B43" s="65">
        <f>IFERROR(__xludf.DUMMYFUNCTION("""COMPUTED_VALUE"""),4872831.0)</f>
        <v>4872831</v>
      </c>
      <c r="C43" s="65" t="str">
        <f>IFERROR(__xludf.DUMMYFUNCTION("""COMPUTED_VALUE"""),"02:34")</f>
        <v>02:34</v>
      </c>
      <c r="D43" s="65" t="str">
        <f>IFERROR(__xludf.DUMMYFUNCTION("""COMPUTED_VALUE"""),"22-03-2026")</f>
        <v>22-03-2026</v>
      </c>
      <c r="E43" s="65" t="str">
        <f>IFERROR(__xludf.DUMMYFUNCTION("""COMPUTED_VALUE"""),"Juan Patricio Fernandez Almache")</f>
        <v>Juan Patricio Fernandez Almache</v>
      </c>
      <c r="F43" s="65" t="str">
        <f>IFERROR(__xludf.DUMMYFUNCTION("""COMPUTED_VALUE"""),"984885044")</f>
        <v>984885044</v>
      </c>
      <c r="G43" s="65" t="str">
        <f>IFERROR(__xludf.DUMMYFUNCTION("""COMPUTED_VALUE"""),"patofer_1985@hotmail.com")</f>
        <v>patofer_1985@hotmail.com</v>
      </c>
      <c r="H43" s="65"/>
      <c r="I43" s="65"/>
      <c r="J43" s="65" t="str">
        <f>IFERROR(__xludf.DUMMYFUNCTION("""COMPUTED_VALUE"""),"D001449449")</f>
        <v>D001449449</v>
      </c>
      <c r="K43" s="65" t="str">
        <f>IFERROR(__xludf.DUMMYFUNCTION("""COMPUTED_VALUE"""),"EN REPARTO")</f>
        <v>EN REPARTO</v>
      </c>
      <c r="L43" s="65" t="str">
        <f>IFERROR(__xludf.DUMMYFUNCTION("""COMPUTED_VALUE"""),"CON RECAUDO")</f>
        <v>CON RECAUDO</v>
      </c>
      <c r="M43" s="65" t="str">
        <f>IFERROR(__xludf.DUMMYFUNCTION("""COMPUTED_VALUE"""),"CAÑAR")</f>
        <v>CAÑAR</v>
      </c>
      <c r="N43" s="65" t="str">
        <f>IFERROR(__xludf.DUMMYFUNCTION("""COMPUTED_VALUE"""),"AZOGUES")</f>
        <v>AZOGUES</v>
      </c>
      <c r="O43" s="65" t="str">
        <f>IFERROR(__xludf.DUMMYFUNCTION("""COMPUTED_VALUE"""),"Calle Ambato, Sector La playa -  Referencia: detrás del Hospital Homero Castanier Crespo")</f>
        <v>Calle Ambato, Sector La playa -  Referencia: detrás del Hospital Homero Castanier Crespo</v>
      </c>
      <c r="P43" s="65"/>
      <c r="Q43" s="65" t="str">
        <f>IFERROR(__xludf.DUMMYFUNCTION("""COMPUTED_VALUE"""),"GINTRACOM")</f>
        <v>GINTRACOM</v>
      </c>
      <c r="R43" s="65">
        <f>IFERROR(__xludf.DUMMYFUNCTION("""COMPUTED_VALUE"""),24.99)</f>
        <v>24.99</v>
      </c>
      <c r="S43" s="65"/>
      <c r="T43" s="65">
        <f>IFERROR(__xludf.DUMMYFUNCTION("""COMPUTED_VALUE"""),5.95)</f>
        <v>5.95</v>
      </c>
      <c r="U43" s="65">
        <f>IFERROR(__xludf.DUMMYFUNCTION("""COMPUTED_VALUE"""),0.0)</f>
        <v>0</v>
      </c>
      <c r="V43" s="65">
        <f>IFERROR(__xludf.DUMMYFUNCTION("""COMPUTED_VALUE"""),0.0)</f>
        <v>0</v>
      </c>
      <c r="W43" s="65">
        <f>IFERROR(__xludf.DUMMYFUNCTION("""COMPUTED_VALUE"""),0.0)</f>
        <v>0</v>
      </c>
      <c r="X43" s="65">
        <f>IFERROR(__xludf.DUMMYFUNCTION("""COMPUTED_VALUE"""),2.21)</f>
        <v>2.21</v>
      </c>
      <c r="Y43" s="65">
        <f>IFERROR(__xludf.DUMMYFUNCTION("""COMPUTED_VALUE"""),6.63)</f>
        <v>6.63</v>
      </c>
      <c r="Z43" s="65">
        <f>IFERROR(__xludf.DUMMYFUNCTION("""COMPUTED_VALUE"""),120732.0)</f>
        <v>120732</v>
      </c>
      <c r="AA43" s="65" t="str">
        <f>IFERROR(__xludf.DUMMYFUNCTION("""COMPUTED_VALUE"""),"PROV-LMPVT")</f>
        <v>PROV-LMPVT</v>
      </c>
      <c r="AB43" s="65"/>
      <c r="AC43" s="65" t="str">
        <f>IFERROR(__xludf.DUMMYFUNCTION("""COMPUTED_VALUE"""),"LIMPIADOR DE PARABRISAS Y VENTANAS")</f>
        <v>LIMPIADOR DE PARABRISAS Y VENTANAS</v>
      </c>
      <c r="AD43" s="65"/>
      <c r="AE43" s="65">
        <f>IFERROR(__xludf.DUMMYFUNCTION("""COMPUTED_VALUE"""),3.0)</f>
        <v>3</v>
      </c>
      <c r="AF43" s="65"/>
      <c r="AG43" s="65"/>
      <c r="AH43" s="65"/>
      <c r="AI43" s="65"/>
      <c r="AJ43" s="65"/>
      <c r="AK43" s="65"/>
      <c r="AL43" s="65"/>
      <c r="AM43" s="65"/>
      <c r="AN43" s="65" t="str">
        <f>IFERROR(__xludf.DUMMYFUNCTION("""COMPUTED_VALUE"""),"19:00")</f>
        <v>19:00</v>
      </c>
      <c r="AO43" s="65" t="str">
        <f>IFERROR(__xludf.DUMMYFUNCTION("""COMPUTED_VALUE"""),"26-03-2026")</f>
        <v>26-03-2026</v>
      </c>
      <c r="AP43" s="65" t="str">
        <f>IFERROR(__xludf.DUMMYFUNCTION("""COMPUTED_VALUE"""),"DESTINATARIO RE-PROGRAMA FECHA DE ENTREGA")</f>
        <v>DESTINATARIO RE-PROGRAMA FECHA DE ENTREGA</v>
      </c>
      <c r="AQ43" s="65" t="str">
        <f>IFERROR(__xludf.DUMMYFUNCTION("""COMPUTED_VALUE"""),"DESTINATARIO RE-PROGRAMA FECHA DE ENTREGA")</f>
        <v>DESTINATARIO RE-PROGRAMA FECHA DE ENTREGA</v>
      </c>
      <c r="AR43" s="65"/>
      <c r="AS43" s="65"/>
      <c r="AT43" s="65" t="str">
        <f>IFERROR(__xludf.DUMMYFUNCTION("""COMPUTED_VALUE"""),"SHOPIFY")</f>
        <v>SHOPIFY</v>
      </c>
      <c r="AU43" s="65" t="str">
        <f>IFERROR(__xludf.DUMMYFUNCTION("""COMPUTED_VALUE"""),"IMPORTEX EC")</f>
        <v>IMPORTEX EC</v>
      </c>
      <c r="AV43" s="65" t="str">
        <f>IFERROR(__xludf.DUMMYFUNCTION("""COMPUTED_VALUE"""),"6595276079148")</f>
        <v>6595276079148</v>
      </c>
      <c r="AW43" s="65">
        <f>IFERROR(__xludf.DUMMYFUNCTION("""COMPUTED_VALUE"""),6802.0)</f>
        <v>6802</v>
      </c>
      <c r="AX43" s="65"/>
      <c r="AY43" s="65" t="str">
        <f>IFERROR(__xludf.DUMMYFUNCTION("""COMPUTED_VALUE"""),"24/03/2026")</f>
        <v>24/03/2026</v>
      </c>
      <c r="AZ43" s="65"/>
      <c r="BA43" s="65"/>
    </row>
    <row r="44">
      <c r="A44" s="65" t="str">
        <f>IFERROR(__xludf.DUMMYFUNCTION("""COMPUTED_VALUE"""),"27-03-2026")</f>
        <v>27-03-2026</v>
      </c>
      <c r="B44" s="65">
        <f>IFERROR(__xludf.DUMMYFUNCTION("""COMPUTED_VALUE"""),4872724.0)</f>
        <v>4872724</v>
      </c>
      <c r="C44" s="65" t="str">
        <f>IFERROR(__xludf.DUMMYFUNCTION("""COMPUTED_VALUE"""),"00:54")</f>
        <v>00:54</v>
      </c>
      <c r="D44" s="65" t="str">
        <f>IFERROR(__xludf.DUMMYFUNCTION("""COMPUTED_VALUE"""),"22-03-2026")</f>
        <v>22-03-2026</v>
      </c>
      <c r="E44" s="65" t="str">
        <f>IFERROR(__xludf.DUMMYFUNCTION("""COMPUTED_VALUE"""),"Erika Jiménez jimenez")</f>
        <v>Erika Jiménez jimenez</v>
      </c>
      <c r="F44" s="65" t="str">
        <f>IFERROR(__xludf.DUMMYFUNCTION("""COMPUTED_VALUE"""),"981107507")</f>
        <v>981107507</v>
      </c>
      <c r="G44" s="65" t="str">
        <f>IFERROR(__xludf.DUMMYFUNCTION("""COMPUTED_VALUE"""),"monijuli53@hotmail.com")</f>
        <v>monijuli53@hotmail.com</v>
      </c>
      <c r="H44" s="65"/>
      <c r="I44" s="65"/>
      <c r="J44" s="65"/>
      <c r="K44" s="65" t="str">
        <f>IFERROR(__xludf.DUMMYFUNCTION("""COMPUTED_VALUE"""),"PENDIENTE CONFIRMACION")</f>
        <v>PENDIENTE CONFIRMACION</v>
      </c>
      <c r="L44" s="65" t="str">
        <f>IFERROR(__xludf.DUMMYFUNCTION("""COMPUTED_VALUE"""),"CON RECAUDO")</f>
        <v>CON RECAUDO</v>
      </c>
      <c r="M44" s="65" t="str">
        <f>IFERROR(__xludf.DUMMYFUNCTION("""COMPUTED_VALUE"""),"AZUAY")</f>
        <v>AZUAY</v>
      </c>
      <c r="N44" s="65" t="str">
        <f>IFERROR(__xludf.DUMMYFUNCTION("""COMPUTED_VALUE"""),"CUENCA")</f>
        <v>CUENCA</v>
      </c>
      <c r="O44" s="65" t="str">
        <f>IFERROR(__xludf.DUMMYFUNCTION("""COMPUTED_VALUE"""),"RUBEN DARIO 1-33 Y BERNARDO HOUSSAY casa color cafe -")</f>
        <v>RUBEN DARIO 1-33 Y BERNARDO HOUSSAY casa color cafe -</v>
      </c>
      <c r="P44" s="65"/>
      <c r="Q44" s="65" t="str">
        <f>IFERROR(__xludf.DUMMYFUNCTION("""COMPUTED_VALUE"""),"GINTRACOM")</f>
        <v>GINTRACOM</v>
      </c>
      <c r="R44" s="65">
        <f>IFERROR(__xludf.DUMMYFUNCTION("""COMPUTED_VALUE"""),20.0)</f>
        <v>20</v>
      </c>
      <c r="S44" s="65"/>
      <c r="T44" s="65">
        <f>IFERROR(__xludf.DUMMYFUNCTION("""COMPUTED_VALUE"""),5.75)</f>
        <v>5.75</v>
      </c>
      <c r="U44" s="65">
        <f>IFERROR(__xludf.DUMMYFUNCTION("""COMPUTED_VALUE"""),0.0)</f>
        <v>0</v>
      </c>
      <c r="V44" s="65">
        <f>IFERROR(__xludf.DUMMYFUNCTION("""COMPUTED_VALUE"""),0.0)</f>
        <v>0</v>
      </c>
      <c r="W44" s="65">
        <f>IFERROR(__xludf.DUMMYFUNCTION("""COMPUTED_VALUE"""),0.0)</f>
        <v>0</v>
      </c>
      <c r="X44" s="65">
        <f>IFERROR(__xludf.DUMMYFUNCTION("""COMPUTED_VALUE"""),2.21)</f>
        <v>2.21</v>
      </c>
      <c r="Y44" s="65">
        <f>IFERROR(__xludf.DUMMYFUNCTION("""COMPUTED_VALUE"""),4.42)</f>
        <v>4.42</v>
      </c>
      <c r="Z44" s="65">
        <f>IFERROR(__xludf.DUMMYFUNCTION("""COMPUTED_VALUE"""),120732.0)</f>
        <v>120732</v>
      </c>
      <c r="AA44" s="65" t="str">
        <f>IFERROR(__xludf.DUMMYFUNCTION("""COMPUTED_VALUE"""),"PROV-LMPVT")</f>
        <v>PROV-LMPVT</v>
      </c>
      <c r="AB44" s="65"/>
      <c r="AC44" s="65" t="str">
        <f>IFERROR(__xludf.DUMMYFUNCTION("""COMPUTED_VALUE"""),"LIMPIADOR DE PARABRISAS Y VENTANAS")</f>
        <v>LIMPIADOR DE PARABRISAS Y VENTANAS</v>
      </c>
      <c r="AD44" s="65"/>
      <c r="AE44" s="65">
        <f>IFERROR(__xludf.DUMMYFUNCTION("""COMPUTED_VALUE"""),2.0)</f>
        <v>2</v>
      </c>
      <c r="AF44" s="65"/>
      <c r="AG44" s="65"/>
      <c r="AH44" s="65"/>
      <c r="AI44" s="65"/>
      <c r="AJ44" s="65"/>
      <c r="AK44" s="65"/>
      <c r="AL44" s="65"/>
      <c r="AM44" s="65"/>
      <c r="AN44" s="65"/>
      <c r="AO44" s="65"/>
      <c r="AP44" s="65"/>
      <c r="AQ44" s="65"/>
      <c r="AR44" s="65"/>
      <c r="AS44" s="65"/>
      <c r="AT44" s="65" t="str">
        <f>IFERROR(__xludf.DUMMYFUNCTION("""COMPUTED_VALUE"""),"SHOPIFY")</f>
        <v>SHOPIFY</v>
      </c>
      <c r="AU44" s="65" t="str">
        <f>IFERROR(__xludf.DUMMYFUNCTION("""COMPUTED_VALUE"""),"IMPORTEX EC")</f>
        <v>IMPORTEX EC</v>
      </c>
      <c r="AV44" s="65" t="str">
        <f>IFERROR(__xludf.DUMMYFUNCTION("""COMPUTED_VALUE"""),"6595145400364")</f>
        <v>6595145400364</v>
      </c>
      <c r="AW44" s="65">
        <f>IFERROR(__xludf.DUMMYFUNCTION("""COMPUTED_VALUE"""),6801.0)</f>
        <v>6801</v>
      </c>
      <c r="AX44" s="65"/>
      <c r="AY44" s="65"/>
      <c r="AZ44" s="65"/>
      <c r="BA44" s="65"/>
    </row>
    <row r="45">
      <c r="A45" s="65" t="str">
        <f>IFERROR(__xludf.DUMMYFUNCTION("""COMPUTED_VALUE"""),"27-03-2026")</f>
        <v>27-03-2026</v>
      </c>
      <c r="B45" s="65">
        <f>IFERROR(__xludf.DUMMYFUNCTION("""COMPUTED_VALUE"""),4872269.0)</f>
        <v>4872269</v>
      </c>
      <c r="C45" s="65" t="str">
        <f>IFERROR(__xludf.DUMMYFUNCTION("""COMPUTED_VALUE"""),"22:44")</f>
        <v>22:44</v>
      </c>
      <c r="D45" s="65" t="str">
        <f>IFERROR(__xludf.DUMMYFUNCTION("""COMPUTED_VALUE"""),"21-03-2026")</f>
        <v>21-03-2026</v>
      </c>
      <c r="E45" s="65" t="str">
        <f>IFERROR(__xludf.DUMMYFUNCTION("""COMPUTED_VALUE"""),"Bryam Jara")</f>
        <v>Bryam Jara</v>
      </c>
      <c r="F45" s="65" t="str">
        <f>IFERROR(__xludf.DUMMYFUNCTION("""COMPUTED_VALUE"""),"992144935")</f>
        <v>992144935</v>
      </c>
      <c r="G45" s="65"/>
      <c r="H45" s="65"/>
      <c r="I45" s="65"/>
      <c r="J45" s="65"/>
      <c r="K45" s="65" t="str">
        <f>IFERROR(__xludf.DUMMYFUNCTION("""COMPUTED_VALUE"""),"PENDIENTE CONFIRMACION")</f>
        <v>PENDIENTE CONFIRMACION</v>
      </c>
      <c r="L45" s="65" t="str">
        <f>IFERROR(__xludf.DUMMYFUNCTION("""COMPUTED_VALUE"""),"CON RECAUDO")</f>
        <v>CON RECAUDO</v>
      </c>
      <c r="M45" s="65" t="str">
        <f>IFERROR(__xludf.DUMMYFUNCTION("""COMPUTED_VALUE"""),"AZUAY")</f>
        <v>AZUAY</v>
      </c>
      <c r="N45" s="65" t="str">
        <f>IFERROR(__xludf.DUMMYFUNCTION("""COMPUTED_VALUE"""),"CUENCA")</f>
        <v>CUENCA</v>
      </c>
      <c r="O45" s="65" t="str">
        <f>IFERROR(__xludf.DUMMYFUNCTION("""COMPUTED_VALUE"""),"Escuadrón Cedeño y victoria del Portete 2 çasa ál final del parque -")</f>
        <v>Escuadrón Cedeño y victoria del Portete 2 çasa ál final del parque -</v>
      </c>
      <c r="P45" s="65"/>
      <c r="Q45" s="65" t="str">
        <f>IFERROR(__xludf.DUMMYFUNCTION("""COMPUTED_VALUE"""),"GINTRACOM")</f>
        <v>GINTRACOM</v>
      </c>
      <c r="R45" s="65">
        <f>IFERROR(__xludf.DUMMYFUNCTION("""COMPUTED_VALUE"""),20.0)</f>
        <v>20</v>
      </c>
      <c r="S45" s="65"/>
      <c r="T45" s="65">
        <f>IFERROR(__xludf.DUMMYFUNCTION("""COMPUTED_VALUE"""),5.75)</f>
        <v>5.75</v>
      </c>
      <c r="U45" s="65">
        <f>IFERROR(__xludf.DUMMYFUNCTION("""COMPUTED_VALUE"""),0.0)</f>
        <v>0</v>
      </c>
      <c r="V45" s="65">
        <f>IFERROR(__xludf.DUMMYFUNCTION("""COMPUTED_VALUE"""),0.0)</f>
        <v>0</v>
      </c>
      <c r="W45" s="65">
        <f>IFERROR(__xludf.DUMMYFUNCTION("""COMPUTED_VALUE"""),0.0)</f>
        <v>0</v>
      </c>
      <c r="X45" s="65">
        <f>IFERROR(__xludf.DUMMYFUNCTION("""COMPUTED_VALUE"""),2.21)</f>
        <v>2.21</v>
      </c>
      <c r="Y45" s="65">
        <f>IFERROR(__xludf.DUMMYFUNCTION("""COMPUTED_VALUE"""),4.42)</f>
        <v>4.42</v>
      </c>
      <c r="Z45" s="65">
        <f>IFERROR(__xludf.DUMMYFUNCTION("""COMPUTED_VALUE"""),120732.0)</f>
        <v>120732</v>
      </c>
      <c r="AA45" s="65" t="str">
        <f>IFERROR(__xludf.DUMMYFUNCTION("""COMPUTED_VALUE"""),"PROV-LMPVT")</f>
        <v>PROV-LMPVT</v>
      </c>
      <c r="AB45" s="65"/>
      <c r="AC45" s="65" t="str">
        <f>IFERROR(__xludf.DUMMYFUNCTION("""COMPUTED_VALUE"""),"LIMPIADOR DE PARABRISAS Y VENTANAS")</f>
        <v>LIMPIADOR DE PARABRISAS Y VENTANAS</v>
      </c>
      <c r="AD45" s="65"/>
      <c r="AE45" s="65">
        <f>IFERROR(__xludf.DUMMYFUNCTION("""COMPUTED_VALUE"""),2.0)</f>
        <v>2</v>
      </c>
      <c r="AF45" s="65"/>
      <c r="AG45" s="65"/>
      <c r="AH45" s="65"/>
      <c r="AI45" s="65"/>
      <c r="AJ45" s="65"/>
      <c r="AK45" s="65"/>
      <c r="AL45" s="65"/>
      <c r="AM45" s="65"/>
      <c r="AN45" s="65"/>
      <c r="AO45" s="65"/>
      <c r="AP45" s="65"/>
      <c r="AQ45" s="65"/>
      <c r="AR45" s="65"/>
      <c r="AS45" s="65"/>
      <c r="AT45" s="65" t="str">
        <f>IFERROR(__xludf.DUMMYFUNCTION("""COMPUTED_VALUE"""),"SHOPIFY")</f>
        <v>SHOPIFY</v>
      </c>
      <c r="AU45" s="65" t="str">
        <f>IFERROR(__xludf.DUMMYFUNCTION("""COMPUTED_VALUE"""),"IMPORTEX EC")</f>
        <v>IMPORTEX EC</v>
      </c>
      <c r="AV45" s="65" t="str">
        <f>IFERROR(__xludf.DUMMYFUNCTION("""COMPUTED_VALUE"""),"6595011772460")</f>
        <v>6595011772460</v>
      </c>
      <c r="AW45" s="65">
        <f>IFERROR(__xludf.DUMMYFUNCTION("""COMPUTED_VALUE"""),6800.0)</f>
        <v>6800</v>
      </c>
      <c r="AX45" s="65"/>
      <c r="AY45" s="65"/>
      <c r="AZ45" s="65"/>
      <c r="BA45" s="65"/>
    </row>
    <row r="46">
      <c r="A46" s="65" t="str">
        <f>IFERROR(__xludf.DUMMYFUNCTION("""COMPUTED_VALUE"""),"27-03-2026")</f>
        <v>27-03-2026</v>
      </c>
      <c r="B46" s="65">
        <f>IFERROR(__xludf.DUMMYFUNCTION("""COMPUTED_VALUE"""),4872018.0)</f>
        <v>4872018</v>
      </c>
      <c r="C46" s="65" t="str">
        <f>IFERROR(__xludf.DUMMYFUNCTION("""COMPUTED_VALUE"""),"22:04")</f>
        <v>22:04</v>
      </c>
      <c r="D46" s="65" t="str">
        <f>IFERROR(__xludf.DUMMYFUNCTION("""COMPUTED_VALUE"""),"21-03-2026")</f>
        <v>21-03-2026</v>
      </c>
      <c r="E46" s="65" t="str">
        <f>IFERROR(__xludf.DUMMYFUNCTION("""COMPUTED_VALUE"""),"Verito Posligua")</f>
        <v>Verito Posligua</v>
      </c>
      <c r="F46" s="65" t="str">
        <f>IFERROR(__xludf.DUMMYFUNCTION("""COMPUTED_VALUE"""),"995187530")</f>
        <v>995187530</v>
      </c>
      <c r="G46" s="65" t="str">
        <f>IFERROR(__xludf.DUMMYFUNCTION("""COMPUTED_VALUE"""),"jvaeisaac@gmail.com")</f>
        <v>jvaeisaac@gmail.com</v>
      </c>
      <c r="H46" s="65"/>
      <c r="I46" s="65"/>
      <c r="J46" s="65"/>
      <c r="K46" s="65" t="str">
        <f>IFERROR(__xludf.DUMMYFUNCTION("""COMPUTED_VALUE"""),"PENDIENTE CONFIRMACION")</f>
        <v>PENDIENTE CONFIRMACION</v>
      </c>
      <c r="L46" s="65" t="str">
        <f>IFERROR(__xludf.DUMMYFUNCTION("""COMPUTED_VALUE"""),"CON RECAUDO")</f>
        <v>CON RECAUDO</v>
      </c>
      <c r="M46" s="65" t="str">
        <f>IFERROR(__xludf.DUMMYFUNCTION("""COMPUTED_VALUE"""),"MANABI")</f>
        <v>MANABI</v>
      </c>
      <c r="N46" s="65" t="str">
        <f>IFERROR(__xludf.DUMMYFUNCTION("""COMPUTED_VALUE"""),"MANTA")</f>
        <v>MANTA</v>
      </c>
      <c r="O46" s="65" t="str">
        <f>IFERROR(__xludf.DUMMYFUNCTION("""COMPUTED_VALUE"""),"Santa Martha av 33 calle 7 y Calle 7 -")</f>
        <v>Santa Martha av 33 calle 7 y Calle 7 -</v>
      </c>
      <c r="P46" s="65"/>
      <c r="Q46" s="65" t="str">
        <f>IFERROR(__xludf.DUMMYFUNCTION("""COMPUTED_VALUE"""),"GINTRACOM")</f>
        <v>GINTRACOM</v>
      </c>
      <c r="R46" s="65">
        <f>IFERROR(__xludf.DUMMYFUNCTION("""COMPUTED_VALUE"""),20.0)</f>
        <v>20</v>
      </c>
      <c r="S46" s="65"/>
      <c r="T46" s="65">
        <f>IFERROR(__xludf.DUMMYFUNCTION("""COMPUTED_VALUE"""),5.75)</f>
        <v>5.75</v>
      </c>
      <c r="U46" s="65">
        <f>IFERROR(__xludf.DUMMYFUNCTION("""COMPUTED_VALUE"""),0.0)</f>
        <v>0</v>
      </c>
      <c r="V46" s="65">
        <f>IFERROR(__xludf.DUMMYFUNCTION("""COMPUTED_VALUE"""),0.0)</f>
        <v>0</v>
      </c>
      <c r="W46" s="65">
        <f>IFERROR(__xludf.DUMMYFUNCTION("""COMPUTED_VALUE"""),0.0)</f>
        <v>0</v>
      </c>
      <c r="X46" s="65">
        <f>IFERROR(__xludf.DUMMYFUNCTION("""COMPUTED_VALUE"""),2.21)</f>
        <v>2.21</v>
      </c>
      <c r="Y46" s="65">
        <f>IFERROR(__xludf.DUMMYFUNCTION("""COMPUTED_VALUE"""),4.42)</f>
        <v>4.42</v>
      </c>
      <c r="Z46" s="65">
        <f>IFERROR(__xludf.DUMMYFUNCTION("""COMPUTED_VALUE"""),120732.0)</f>
        <v>120732</v>
      </c>
      <c r="AA46" s="65" t="str">
        <f>IFERROR(__xludf.DUMMYFUNCTION("""COMPUTED_VALUE"""),"PROV-LMPVT")</f>
        <v>PROV-LMPVT</v>
      </c>
      <c r="AB46" s="65"/>
      <c r="AC46" s="65" t="str">
        <f>IFERROR(__xludf.DUMMYFUNCTION("""COMPUTED_VALUE"""),"LIMPIADOR DE PARABRISAS Y VENTANAS")</f>
        <v>LIMPIADOR DE PARABRISAS Y VENTANAS</v>
      </c>
      <c r="AD46" s="65"/>
      <c r="AE46" s="65">
        <f>IFERROR(__xludf.DUMMYFUNCTION("""COMPUTED_VALUE"""),2.0)</f>
        <v>2</v>
      </c>
      <c r="AF46" s="65"/>
      <c r="AG46" s="65"/>
      <c r="AH46" s="65"/>
      <c r="AI46" s="65"/>
      <c r="AJ46" s="65"/>
      <c r="AK46" s="65"/>
      <c r="AL46" s="65"/>
      <c r="AM46" s="65"/>
      <c r="AN46" s="65"/>
      <c r="AO46" s="65"/>
      <c r="AP46" s="65"/>
      <c r="AQ46" s="65"/>
      <c r="AR46" s="65"/>
      <c r="AS46" s="65"/>
      <c r="AT46" s="65" t="str">
        <f>IFERROR(__xludf.DUMMYFUNCTION("""COMPUTED_VALUE"""),"SHOPIFY")</f>
        <v>SHOPIFY</v>
      </c>
      <c r="AU46" s="65" t="str">
        <f>IFERROR(__xludf.DUMMYFUNCTION("""COMPUTED_VALUE"""),"IMPORTEX EC")</f>
        <v>IMPORTEX EC</v>
      </c>
      <c r="AV46" s="65" t="str">
        <f>IFERROR(__xludf.DUMMYFUNCTION("""COMPUTED_VALUE"""),"6594962030636")</f>
        <v>6594962030636</v>
      </c>
      <c r="AW46" s="65">
        <f>IFERROR(__xludf.DUMMYFUNCTION("""COMPUTED_VALUE"""),6799.0)</f>
        <v>6799</v>
      </c>
      <c r="AX46" s="65"/>
      <c r="AY46" s="65"/>
      <c r="AZ46" s="65"/>
      <c r="BA46" s="65"/>
    </row>
    <row r="47">
      <c r="A47" s="65" t="str">
        <f>IFERROR(__xludf.DUMMYFUNCTION("""COMPUTED_VALUE"""),"27-03-2026")</f>
        <v>27-03-2026</v>
      </c>
      <c r="B47" s="65">
        <f>IFERROR(__xludf.DUMMYFUNCTION("""COMPUTED_VALUE"""),4871358.0)</f>
        <v>4871358</v>
      </c>
      <c r="C47" s="65" t="str">
        <f>IFERROR(__xludf.DUMMYFUNCTION("""COMPUTED_VALUE"""),"20:20")</f>
        <v>20:20</v>
      </c>
      <c r="D47" s="65" t="str">
        <f>IFERROR(__xludf.DUMMYFUNCTION("""COMPUTED_VALUE"""),"21-03-2026")</f>
        <v>21-03-2026</v>
      </c>
      <c r="E47" s="65" t="str">
        <f>IFERROR(__xludf.DUMMYFUNCTION("""COMPUTED_VALUE"""),"José Antonio Jaguaco Bonifa Jaguaco Bonifa")</f>
        <v>José Antonio Jaguaco Bonifa Jaguaco Bonifa</v>
      </c>
      <c r="F47" s="65" t="str">
        <f>IFERROR(__xludf.DUMMYFUNCTION("""COMPUTED_VALUE"""),"997573040")</f>
        <v>997573040</v>
      </c>
      <c r="G47" s="65" t="str">
        <f>IFERROR(__xludf.DUMMYFUNCTION("""COMPUTED_VALUE"""),"jose_jaguaco@yahoo.es")</f>
        <v>jose_jaguaco@yahoo.es</v>
      </c>
      <c r="H47" s="65"/>
      <c r="I47" s="65"/>
      <c r="J47" s="65" t="str">
        <f>IFERROR(__xludf.DUMMYFUNCTION("""COMPUTED_VALUE"""),"D001449450")</f>
        <v>D001449450</v>
      </c>
      <c r="K47" s="65" t="str">
        <f>IFERROR(__xludf.DUMMYFUNCTION("""COMPUTED_VALUE"""),"ENTREGADO")</f>
        <v>ENTREGADO</v>
      </c>
      <c r="L47" s="65" t="str">
        <f>IFERROR(__xludf.DUMMYFUNCTION("""COMPUTED_VALUE"""),"CON RECAUDO")</f>
        <v>CON RECAUDO</v>
      </c>
      <c r="M47" s="65" t="str">
        <f>IFERROR(__xludf.DUMMYFUNCTION("""COMPUTED_VALUE"""),"PICHINCHA")</f>
        <v>PICHINCHA</v>
      </c>
      <c r="N47" s="65" t="str">
        <f>IFERROR(__xludf.DUMMYFUNCTION("""COMPUTED_VALUE"""),"MACHACHI")</f>
        <v>MACHACHI</v>
      </c>
      <c r="O47" s="65" t="str">
        <f>IFERROR(__xludf.DUMMYFUNCTION("""COMPUTED_VALUE"""),"Calle Princesa Toa,  entre las calles Sucre y Bolivar  casa E-118,  Barrio Mariscal Sucre - REFERENCIA:  3 cuadras a sur del juzgado de la familia")</f>
        <v>Calle Princesa Toa,  entre las calles Sucre y Bolivar  casa E-118,  Barrio Mariscal Sucre - REFERENCIA:  3 cuadras a sur del juzgado de la familia</v>
      </c>
      <c r="P47" s="65"/>
      <c r="Q47" s="65" t="str">
        <f>IFERROR(__xludf.DUMMYFUNCTION("""COMPUTED_VALUE"""),"GINTRACOM")</f>
        <v>GINTRACOM</v>
      </c>
      <c r="R47" s="65">
        <f>IFERROR(__xludf.DUMMYFUNCTION("""COMPUTED_VALUE"""),30.0)</f>
        <v>30</v>
      </c>
      <c r="S47" s="65">
        <f>IFERROR(__xludf.DUMMYFUNCTION("""COMPUTED_VALUE"""),14.43)</f>
        <v>14.43</v>
      </c>
      <c r="T47" s="65">
        <f>IFERROR(__xludf.DUMMYFUNCTION("""COMPUTED_VALUE"""),6.73)</f>
        <v>6.73</v>
      </c>
      <c r="U47" s="65">
        <f>IFERROR(__xludf.DUMMYFUNCTION("""COMPUTED_VALUE"""),0.0)</f>
        <v>0</v>
      </c>
      <c r="V47" s="65">
        <f>IFERROR(__xludf.DUMMYFUNCTION("""COMPUTED_VALUE"""),0.0)</f>
        <v>0</v>
      </c>
      <c r="W47" s="65">
        <f>IFERROR(__xludf.DUMMYFUNCTION("""COMPUTED_VALUE"""),0.0)</f>
        <v>0</v>
      </c>
      <c r="X47" s="65">
        <f>IFERROR(__xludf.DUMMYFUNCTION("""COMPUTED_VALUE"""),2.21)</f>
        <v>2.21</v>
      </c>
      <c r="Y47" s="65">
        <f>IFERROR(__xludf.DUMMYFUNCTION("""COMPUTED_VALUE"""),8.84)</f>
        <v>8.84</v>
      </c>
      <c r="Z47" s="65">
        <f>IFERROR(__xludf.DUMMYFUNCTION("""COMPUTED_VALUE"""),120732.0)</f>
        <v>120732</v>
      </c>
      <c r="AA47" s="65" t="str">
        <f>IFERROR(__xludf.DUMMYFUNCTION("""COMPUTED_VALUE"""),"PROV-LMPVT")</f>
        <v>PROV-LMPVT</v>
      </c>
      <c r="AB47" s="65"/>
      <c r="AC47" s="65" t="str">
        <f>IFERROR(__xludf.DUMMYFUNCTION("""COMPUTED_VALUE"""),"LIMPIADOR DE PARABRISAS Y VENTANAS")</f>
        <v>LIMPIADOR DE PARABRISAS Y VENTANAS</v>
      </c>
      <c r="AD47" s="65"/>
      <c r="AE47" s="65">
        <f>IFERROR(__xludf.DUMMYFUNCTION("""COMPUTED_VALUE"""),4.0)</f>
        <v>4</v>
      </c>
      <c r="AF47" s="65"/>
      <c r="AG47" s="65"/>
      <c r="AH47" s="65"/>
      <c r="AI47" s="65"/>
      <c r="AJ47" s="65"/>
      <c r="AK47" s="65"/>
      <c r="AL47" s="65"/>
      <c r="AM47" s="65"/>
      <c r="AN47" s="65" t="str">
        <f>IFERROR(__xludf.DUMMYFUNCTION("""COMPUTED_VALUE"""),"14:36")</f>
        <v>14:36</v>
      </c>
      <c r="AO47" s="65" t="str">
        <f>IFERROR(__xludf.DUMMYFUNCTION("""COMPUTED_VALUE"""),"26-03-2026")</f>
        <v>26-03-2026</v>
      </c>
      <c r="AP47" s="65" t="str">
        <f>IFERROR(__xludf.DUMMYFUNCTION("""COMPUTED_VALUE"""),"ENTREGADA GINTRACOM")</f>
        <v>ENTREGADA GINTRACOM</v>
      </c>
      <c r="AQ47" s="65" t="str">
        <f>IFERROR(__xludf.DUMMYFUNCTION("""COMPUTED_VALUE"""),"ENTREGADA GINTRACOM")</f>
        <v>ENTREGADA GINTRACOM</v>
      </c>
      <c r="AR47" s="65"/>
      <c r="AS47" s="65"/>
      <c r="AT47" s="65" t="str">
        <f>IFERROR(__xludf.DUMMYFUNCTION("""COMPUTED_VALUE"""),"SHOPIFY")</f>
        <v>SHOPIFY</v>
      </c>
      <c r="AU47" s="65" t="str">
        <f>IFERROR(__xludf.DUMMYFUNCTION("""COMPUTED_VALUE"""),"IMPORTEX EC")</f>
        <v>IMPORTEX EC</v>
      </c>
      <c r="AV47" s="65" t="str">
        <f>IFERROR(__xludf.DUMMYFUNCTION("""COMPUTED_VALUE"""),"6594815262764")</f>
        <v>6594815262764</v>
      </c>
      <c r="AW47" s="65">
        <f>IFERROR(__xludf.DUMMYFUNCTION("""COMPUTED_VALUE"""),6798.0)</f>
        <v>6798</v>
      </c>
      <c r="AX47" s="65"/>
      <c r="AY47" s="65" t="str">
        <f>IFERROR(__xludf.DUMMYFUNCTION("""COMPUTED_VALUE"""),"24/03/2026")</f>
        <v>24/03/2026</v>
      </c>
      <c r="AZ47" s="65"/>
      <c r="BA47" s="65"/>
    </row>
    <row r="48">
      <c r="A48" s="65" t="str">
        <f>IFERROR(__xludf.DUMMYFUNCTION("""COMPUTED_VALUE"""),"27-03-2026")</f>
        <v>27-03-2026</v>
      </c>
      <c r="B48" s="65">
        <f>IFERROR(__xludf.DUMMYFUNCTION("""COMPUTED_VALUE"""),4871271.0)</f>
        <v>4871271</v>
      </c>
      <c r="C48" s="65" t="str">
        <f>IFERROR(__xludf.DUMMYFUNCTION("""COMPUTED_VALUE"""),"20:07")</f>
        <v>20:07</v>
      </c>
      <c r="D48" s="65" t="str">
        <f>IFERROR(__xludf.DUMMYFUNCTION("""COMPUTED_VALUE"""),"21-03-2026")</f>
        <v>21-03-2026</v>
      </c>
      <c r="E48" s="65" t="str">
        <f>IFERROR(__xludf.DUMMYFUNCTION("""COMPUTED_VALUE"""),"Raul Vinicio Jacome")</f>
        <v>Raul Vinicio Jacome</v>
      </c>
      <c r="F48" s="65" t="str">
        <f>IFERROR(__xludf.DUMMYFUNCTION("""COMPUTED_VALUE"""),"999327673")</f>
        <v>999327673</v>
      </c>
      <c r="G48" s="65" t="str">
        <f>IFERROR(__xludf.DUMMYFUNCTION("""COMPUTED_VALUE"""),"raul-jacome2011@hotmail.com")</f>
        <v>raul-jacome2011@hotmail.com</v>
      </c>
      <c r="H48" s="65"/>
      <c r="I48" s="65"/>
      <c r="J48" s="65" t="str">
        <f>IFERROR(__xludf.DUMMYFUNCTION("""COMPUTED_VALUE"""),"D001449451")</f>
        <v>D001449451</v>
      </c>
      <c r="K48" s="65" t="str">
        <f>IFERROR(__xludf.DUMMYFUNCTION("""COMPUTED_VALUE"""),"EN BODEGA ORIGEN")</f>
        <v>EN BODEGA ORIGEN</v>
      </c>
      <c r="L48" s="65" t="str">
        <f>IFERROR(__xludf.DUMMYFUNCTION("""COMPUTED_VALUE"""),"CON RECAUDO")</f>
        <v>CON RECAUDO</v>
      </c>
      <c r="M48" s="65" t="str">
        <f>IFERROR(__xludf.DUMMYFUNCTION("""COMPUTED_VALUE"""),"SUCUMBIOS")</f>
        <v>SUCUMBIOS</v>
      </c>
      <c r="N48" s="65" t="str">
        <f>IFERROR(__xludf.DUMMYFUNCTION("""COMPUTED_VALUE"""),"SHUSHUFINDI")</f>
        <v>SHUSHUFINDI</v>
      </c>
      <c r="O48" s="65" t="str">
        <f>IFERROR(__xludf.DUMMYFUNCTION("""COMPUTED_VALUE"""),"Vía aguarico tres -Lávadora Jácome - En la lavadora Jácome")</f>
        <v>Vía aguarico tres -Lávadora Jácome - En la lavadora Jácome</v>
      </c>
      <c r="P48" s="65"/>
      <c r="Q48" s="65" t="str">
        <f>IFERROR(__xludf.DUMMYFUNCTION("""COMPUTED_VALUE"""),"GINTRACOM")</f>
        <v>GINTRACOM</v>
      </c>
      <c r="R48" s="65">
        <f>IFERROR(__xludf.DUMMYFUNCTION("""COMPUTED_VALUE"""),24.99)</f>
        <v>24.99</v>
      </c>
      <c r="S48" s="65"/>
      <c r="T48" s="65">
        <f>IFERROR(__xludf.DUMMYFUNCTION("""COMPUTED_VALUE"""),5.95)</f>
        <v>5.95</v>
      </c>
      <c r="U48" s="65">
        <f>IFERROR(__xludf.DUMMYFUNCTION("""COMPUTED_VALUE"""),0.0)</f>
        <v>0</v>
      </c>
      <c r="V48" s="65">
        <f>IFERROR(__xludf.DUMMYFUNCTION("""COMPUTED_VALUE"""),0.0)</f>
        <v>0</v>
      </c>
      <c r="W48" s="65">
        <f>IFERROR(__xludf.DUMMYFUNCTION("""COMPUTED_VALUE"""),0.0)</f>
        <v>0</v>
      </c>
      <c r="X48" s="65">
        <f>IFERROR(__xludf.DUMMYFUNCTION("""COMPUTED_VALUE"""),2.21)</f>
        <v>2.21</v>
      </c>
      <c r="Y48" s="65">
        <f>IFERROR(__xludf.DUMMYFUNCTION("""COMPUTED_VALUE"""),6.63)</f>
        <v>6.63</v>
      </c>
      <c r="Z48" s="65">
        <f>IFERROR(__xludf.DUMMYFUNCTION("""COMPUTED_VALUE"""),120732.0)</f>
        <v>120732</v>
      </c>
      <c r="AA48" s="65" t="str">
        <f>IFERROR(__xludf.DUMMYFUNCTION("""COMPUTED_VALUE"""),"PROV-LMPVT")</f>
        <v>PROV-LMPVT</v>
      </c>
      <c r="AB48" s="65"/>
      <c r="AC48" s="65" t="str">
        <f>IFERROR(__xludf.DUMMYFUNCTION("""COMPUTED_VALUE"""),"LIMPIADOR DE PARABRISAS Y VENTANAS")</f>
        <v>LIMPIADOR DE PARABRISAS Y VENTANAS</v>
      </c>
      <c r="AD48" s="65"/>
      <c r="AE48" s="65">
        <f>IFERROR(__xludf.DUMMYFUNCTION("""COMPUTED_VALUE"""),3.0)</f>
        <v>3</v>
      </c>
      <c r="AF48" s="65"/>
      <c r="AG48" s="65"/>
      <c r="AH48" s="65"/>
      <c r="AI48" s="65"/>
      <c r="AJ48" s="65"/>
      <c r="AK48" s="65"/>
      <c r="AL48" s="65"/>
      <c r="AM48" s="65"/>
      <c r="AN48" s="65" t="str">
        <f>IFERROR(__xludf.DUMMYFUNCTION("""COMPUTED_VALUE"""),"01:31")</f>
        <v>01:31</v>
      </c>
      <c r="AO48" s="65" t="str">
        <f>IFERROR(__xludf.DUMMYFUNCTION("""COMPUTED_VALUE"""),"27-03-2026")</f>
        <v>27-03-2026</v>
      </c>
      <c r="AP48" s="65" t="str">
        <f>IFERROR(__xludf.DUMMYFUNCTION("""COMPUTED_VALUE"""),"EN TRÁNSITO")</f>
        <v>EN TRÁNSITO</v>
      </c>
      <c r="AQ48" s="65" t="str">
        <f>IFERROR(__xludf.DUMMYFUNCTION("""COMPUTED_VALUE"""),"EN TRÁNSITO")</f>
        <v>EN TRÁNSITO</v>
      </c>
      <c r="AR48" s="65"/>
      <c r="AS48" s="65"/>
      <c r="AT48" s="65" t="str">
        <f>IFERROR(__xludf.DUMMYFUNCTION("""COMPUTED_VALUE"""),"SHOPIFY")</f>
        <v>SHOPIFY</v>
      </c>
      <c r="AU48" s="65" t="str">
        <f>IFERROR(__xludf.DUMMYFUNCTION("""COMPUTED_VALUE"""),"IMPORTEX EC")</f>
        <v>IMPORTEX EC</v>
      </c>
      <c r="AV48" s="65" t="str">
        <f>IFERROR(__xludf.DUMMYFUNCTION("""COMPUTED_VALUE"""),"6594794717228")</f>
        <v>6594794717228</v>
      </c>
      <c r="AW48" s="65">
        <f>IFERROR(__xludf.DUMMYFUNCTION("""COMPUTED_VALUE"""),6797.0)</f>
        <v>6797</v>
      </c>
      <c r="AX48" s="65"/>
      <c r="AY48" s="65" t="str">
        <f>IFERROR(__xludf.DUMMYFUNCTION("""COMPUTED_VALUE"""),"24/03/2026")</f>
        <v>24/03/2026</v>
      </c>
      <c r="AZ48" s="65"/>
      <c r="BA48" s="65"/>
    </row>
    <row r="49">
      <c r="A49" s="65" t="str">
        <f>IFERROR(__xludf.DUMMYFUNCTION("""COMPUTED_VALUE"""),"27-03-2026")</f>
        <v>27-03-2026</v>
      </c>
      <c r="B49" s="65">
        <f>IFERROR(__xludf.DUMMYFUNCTION("""COMPUTED_VALUE"""),4871220.0)</f>
        <v>4871220</v>
      </c>
      <c r="C49" s="65" t="str">
        <f>IFERROR(__xludf.DUMMYFUNCTION("""COMPUTED_VALUE"""),"19:59")</f>
        <v>19:59</v>
      </c>
      <c r="D49" s="65" t="str">
        <f>IFERROR(__xludf.DUMMYFUNCTION("""COMPUTED_VALUE"""),"21-03-2026")</f>
        <v>21-03-2026</v>
      </c>
      <c r="E49" s="65" t="str">
        <f>IFERROR(__xludf.DUMMYFUNCTION("""COMPUTED_VALUE"""),"Alonso García")</f>
        <v>Alonso García</v>
      </c>
      <c r="F49" s="65" t="str">
        <f>IFERROR(__xludf.DUMMYFUNCTION("""COMPUTED_VALUE"""),"958879436")</f>
        <v>958879436</v>
      </c>
      <c r="G49" s="65" t="str">
        <f>IFERROR(__xludf.DUMMYFUNCTION("""COMPUTED_VALUE"""),"alonso.garcia84@hotmail.com")</f>
        <v>alonso.garcia84@hotmail.com</v>
      </c>
      <c r="H49" s="65"/>
      <c r="I49" s="65"/>
      <c r="J49" s="65" t="str">
        <f>IFERROR(__xludf.DUMMYFUNCTION("""COMPUTED_VALUE"""),"D001452465")</f>
        <v>D001452465</v>
      </c>
      <c r="K49" s="65" t="str">
        <f>IFERROR(__xludf.DUMMYFUNCTION("""COMPUTED_VALUE"""),"EN REPARTO")</f>
        <v>EN REPARTO</v>
      </c>
      <c r="L49" s="65" t="str">
        <f>IFERROR(__xludf.DUMMYFUNCTION("""COMPUTED_VALUE"""),"CON RECAUDO")</f>
        <v>CON RECAUDO</v>
      </c>
      <c r="M49" s="65" t="str">
        <f>IFERROR(__xludf.DUMMYFUNCTION("""COMPUTED_VALUE"""),"MANABI")</f>
        <v>MANABI</v>
      </c>
      <c r="N49" s="65" t="str">
        <f>IFERROR(__xludf.DUMMYFUNCTION("""COMPUTED_VALUE"""),"CHONE")</f>
        <v>CHONE</v>
      </c>
      <c r="O49" s="65" t="str">
        <f>IFERROR(__xludf.DUMMYFUNCTION("""COMPUTED_VALUE"""),"Parroquia San Antonio KM 7 1/2 Via Chone San Vicente  - BODEGA MANOLITO ENTREGAR")</f>
        <v>Parroquia San Antonio KM 7 1/2 Via Chone San Vicente  - BODEGA MANOLITO ENTREGAR</v>
      </c>
      <c r="P49" s="65"/>
      <c r="Q49" s="65" t="str">
        <f>IFERROR(__xludf.DUMMYFUNCTION("""COMPUTED_VALUE"""),"GINTRACOM")</f>
        <v>GINTRACOM</v>
      </c>
      <c r="R49" s="65">
        <f>IFERROR(__xludf.DUMMYFUNCTION("""COMPUTED_VALUE"""),20.0)</f>
        <v>20</v>
      </c>
      <c r="S49" s="65"/>
      <c r="T49" s="65">
        <f>IFERROR(__xludf.DUMMYFUNCTION("""COMPUTED_VALUE"""),5.75)</f>
        <v>5.75</v>
      </c>
      <c r="U49" s="65">
        <f>IFERROR(__xludf.DUMMYFUNCTION("""COMPUTED_VALUE"""),0.0)</f>
        <v>0</v>
      </c>
      <c r="V49" s="65">
        <f>IFERROR(__xludf.DUMMYFUNCTION("""COMPUTED_VALUE"""),0.0)</f>
        <v>0</v>
      </c>
      <c r="W49" s="65">
        <f>IFERROR(__xludf.DUMMYFUNCTION("""COMPUTED_VALUE"""),0.0)</f>
        <v>0</v>
      </c>
      <c r="X49" s="65">
        <f>IFERROR(__xludf.DUMMYFUNCTION("""COMPUTED_VALUE"""),2.21)</f>
        <v>2.21</v>
      </c>
      <c r="Y49" s="65">
        <f>IFERROR(__xludf.DUMMYFUNCTION("""COMPUTED_VALUE"""),4.42)</f>
        <v>4.42</v>
      </c>
      <c r="Z49" s="65">
        <f>IFERROR(__xludf.DUMMYFUNCTION("""COMPUTED_VALUE"""),120732.0)</f>
        <v>120732</v>
      </c>
      <c r="AA49" s="65" t="str">
        <f>IFERROR(__xludf.DUMMYFUNCTION("""COMPUTED_VALUE"""),"PROV-LMPVT")</f>
        <v>PROV-LMPVT</v>
      </c>
      <c r="AB49" s="65"/>
      <c r="AC49" s="65" t="str">
        <f>IFERROR(__xludf.DUMMYFUNCTION("""COMPUTED_VALUE"""),"LIMPIADOR DE PARABRISAS Y VENTANAS")</f>
        <v>LIMPIADOR DE PARABRISAS Y VENTANAS</v>
      </c>
      <c r="AD49" s="65"/>
      <c r="AE49" s="65">
        <f>IFERROR(__xludf.DUMMYFUNCTION("""COMPUTED_VALUE"""),2.0)</f>
        <v>2</v>
      </c>
      <c r="AF49" s="65"/>
      <c r="AG49" s="65"/>
      <c r="AH49" s="65"/>
      <c r="AI49" s="65"/>
      <c r="AJ49" s="65"/>
      <c r="AK49" s="65"/>
      <c r="AL49" s="65"/>
      <c r="AM49" s="65"/>
      <c r="AN49" s="65" t="str">
        <f>IFERROR(__xludf.DUMMYFUNCTION("""COMPUTED_VALUE"""),"08:26")</f>
        <v>08:26</v>
      </c>
      <c r="AO49" s="65" t="str">
        <f>IFERROR(__xludf.DUMMYFUNCTION("""COMPUTED_VALUE"""),"27-03-2026")</f>
        <v>27-03-2026</v>
      </c>
      <c r="AP49" s="65" t="str">
        <f>IFERROR(__xludf.DUMMYFUNCTION("""COMPUTED_VALUE"""),"EN REPARTO")</f>
        <v>EN REPARTO</v>
      </c>
      <c r="AQ49" s="65" t="str">
        <f>IFERROR(__xludf.DUMMYFUNCTION("""COMPUTED_VALUE"""),"EN REPARTO")</f>
        <v>EN REPARTO</v>
      </c>
      <c r="AR49" s="65"/>
      <c r="AS49" s="65"/>
      <c r="AT49" s="65" t="str">
        <f>IFERROR(__xludf.DUMMYFUNCTION("""COMPUTED_VALUE"""),"SHOPIFY")</f>
        <v>SHOPIFY</v>
      </c>
      <c r="AU49" s="65" t="str">
        <f>IFERROR(__xludf.DUMMYFUNCTION("""COMPUTED_VALUE"""),"IMPORTEX EC")</f>
        <v>IMPORTEX EC</v>
      </c>
      <c r="AV49" s="65" t="str">
        <f>IFERROR(__xludf.DUMMYFUNCTION("""COMPUTED_VALUE"""),"6594783248428")</f>
        <v>6594783248428</v>
      </c>
      <c r="AW49" s="65">
        <f>IFERROR(__xludf.DUMMYFUNCTION("""COMPUTED_VALUE"""),6796.0)</f>
        <v>6796</v>
      </c>
      <c r="AX49" s="65"/>
      <c r="AY49" s="65" t="str">
        <f>IFERROR(__xludf.DUMMYFUNCTION("""COMPUTED_VALUE"""),"25/03/2026")</f>
        <v>25/03/2026</v>
      </c>
      <c r="AZ49" s="65"/>
      <c r="BA49" s="65"/>
    </row>
    <row r="50">
      <c r="A50" s="65" t="str">
        <f>IFERROR(__xludf.DUMMYFUNCTION("""COMPUTED_VALUE"""),"27-03-2026")</f>
        <v>27-03-2026</v>
      </c>
      <c r="B50" s="65">
        <f>IFERROR(__xludf.DUMMYFUNCTION("""COMPUTED_VALUE"""),4871103.0)</f>
        <v>4871103</v>
      </c>
      <c r="C50" s="65" t="str">
        <f>IFERROR(__xludf.DUMMYFUNCTION("""COMPUTED_VALUE"""),"19:39")</f>
        <v>19:39</v>
      </c>
      <c r="D50" s="65" t="str">
        <f>IFERROR(__xludf.DUMMYFUNCTION("""COMPUTED_VALUE"""),"21-03-2026")</f>
        <v>21-03-2026</v>
      </c>
      <c r="E50" s="65" t="str">
        <f>IFERROR(__xludf.DUMMYFUNCTION("""COMPUTED_VALUE"""),"Xavier Pascual Perdomo Lozano")</f>
        <v>Xavier Pascual Perdomo Lozano</v>
      </c>
      <c r="F50" s="65" t="str">
        <f>IFERROR(__xludf.DUMMYFUNCTION("""COMPUTED_VALUE"""),"999561286")</f>
        <v>999561286</v>
      </c>
      <c r="G50" s="65" t="str">
        <f>IFERROR(__xludf.DUMMYFUNCTION("""COMPUTED_VALUE"""),"xavierpascualp@gmail.com")</f>
        <v>xavierpascualp@gmail.com</v>
      </c>
      <c r="H50" s="65"/>
      <c r="I50" s="65"/>
      <c r="J50" s="65" t="str">
        <f>IFERROR(__xludf.DUMMYFUNCTION("""COMPUTED_VALUE"""),"D001449452")</f>
        <v>D001449452</v>
      </c>
      <c r="K50" s="65" t="str">
        <f>IFERROR(__xludf.DUMMYFUNCTION("""COMPUTED_VALUE"""),"NOVEDAD")</f>
        <v>NOVEDAD</v>
      </c>
      <c r="L50" s="65" t="str">
        <f>IFERROR(__xludf.DUMMYFUNCTION("""COMPUTED_VALUE"""),"CON RECAUDO")</f>
        <v>CON RECAUDO</v>
      </c>
      <c r="M50" s="65" t="str">
        <f>IFERROR(__xludf.DUMMYFUNCTION("""COMPUTED_VALUE"""),"PICHINCHA")</f>
        <v>PICHINCHA</v>
      </c>
      <c r="N50" s="65" t="str">
        <f>IFERROR(__xludf.DUMMYFUNCTION("""COMPUTED_VALUE"""),"QUITO")</f>
        <v>QUITO</v>
      </c>
      <c r="O50" s="65" t="str">
        <f>IFERROR(__xludf.DUMMYFUNCTION("""COMPUTED_VALUE"""),"Av. De los Granados y José Queri, Condominios El batán, casa 3E-16")</f>
        <v>Av. De los Granados y José Queri, Condominios El batán, casa 3E-16</v>
      </c>
      <c r="P50" s="65"/>
      <c r="Q50" s="65" t="str">
        <f>IFERROR(__xludf.DUMMYFUNCTION("""COMPUTED_VALUE"""),"GINTRACOM")</f>
        <v>GINTRACOM</v>
      </c>
      <c r="R50" s="65">
        <f>IFERROR(__xludf.DUMMYFUNCTION("""COMPUTED_VALUE"""),20.0)</f>
        <v>20</v>
      </c>
      <c r="S50" s="65"/>
      <c r="T50" s="65">
        <f>IFERROR(__xludf.DUMMYFUNCTION("""COMPUTED_VALUE"""),5.75)</f>
        <v>5.75</v>
      </c>
      <c r="U50" s="65">
        <f>IFERROR(__xludf.DUMMYFUNCTION("""COMPUTED_VALUE"""),0.0)</f>
        <v>0</v>
      </c>
      <c r="V50" s="65">
        <f>IFERROR(__xludf.DUMMYFUNCTION("""COMPUTED_VALUE"""),0.0)</f>
        <v>0</v>
      </c>
      <c r="W50" s="65">
        <f>IFERROR(__xludf.DUMMYFUNCTION("""COMPUTED_VALUE"""),0.0)</f>
        <v>0</v>
      </c>
      <c r="X50" s="65">
        <f>IFERROR(__xludf.DUMMYFUNCTION("""COMPUTED_VALUE"""),2.21)</f>
        <v>2.21</v>
      </c>
      <c r="Y50" s="65">
        <f>IFERROR(__xludf.DUMMYFUNCTION("""COMPUTED_VALUE"""),4.42)</f>
        <v>4.42</v>
      </c>
      <c r="Z50" s="65">
        <f>IFERROR(__xludf.DUMMYFUNCTION("""COMPUTED_VALUE"""),120732.0)</f>
        <v>120732</v>
      </c>
      <c r="AA50" s="65" t="str">
        <f>IFERROR(__xludf.DUMMYFUNCTION("""COMPUTED_VALUE"""),"PROV-LMPVT")</f>
        <v>PROV-LMPVT</v>
      </c>
      <c r="AB50" s="65"/>
      <c r="AC50" s="65" t="str">
        <f>IFERROR(__xludf.DUMMYFUNCTION("""COMPUTED_VALUE"""),"LIMPIADOR DE PARABRISAS Y VENTANAS")</f>
        <v>LIMPIADOR DE PARABRISAS Y VENTANAS</v>
      </c>
      <c r="AD50" s="65"/>
      <c r="AE50" s="65">
        <f>IFERROR(__xludf.DUMMYFUNCTION("""COMPUTED_VALUE"""),2.0)</f>
        <v>2</v>
      </c>
      <c r="AF50" s="65" t="str">
        <f>IFERROR(__xludf.DUMMYFUNCTION("""COMPUTED_VALUE"""),"DESTINATARIO NO CONTESTA LLAMADAS NI WHATSAPP")</f>
        <v>DESTINATARIO NO CONTESTA LLAMADAS NI WHATSAPP</v>
      </c>
      <c r="AG50" s="65" t="str">
        <f>IFERROR(__xludf.DUMMYFUNCTION("""COMPUTED_VALUE"""),"NO")</f>
        <v>NO</v>
      </c>
      <c r="AH50" s="65" t="str">
        <f>IFERROR(__xludf.DUMMYFUNCTION("""COMPUTED_VALUE"""),"10:44")</f>
        <v>10:44</v>
      </c>
      <c r="AI50" s="65" t="str">
        <f>IFERROR(__xludf.DUMMYFUNCTION("""COMPUTED_VALUE"""),"26-03-2026")</f>
        <v>26-03-2026</v>
      </c>
      <c r="AJ50" s="65"/>
      <c r="AK50" s="65"/>
      <c r="AL50" s="65"/>
      <c r="AM50" s="65"/>
      <c r="AN50" s="65" t="str">
        <f>IFERROR(__xludf.DUMMYFUNCTION("""COMPUTED_VALUE"""),"10:44")</f>
        <v>10:44</v>
      </c>
      <c r="AO50" s="65" t="str">
        <f>IFERROR(__xludf.DUMMYFUNCTION("""COMPUTED_VALUE"""),"26-03-2026")</f>
        <v>26-03-2026</v>
      </c>
      <c r="AP50" s="65" t="str">
        <f>IFERROR(__xludf.DUMMYFUNCTION("""COMPUTED_VALUE"""),"DESTINATARIO NO CONTESTA LLAMADAS NI WHATSAPP")</f>
        <v>DESTINATARIO NO CONTESTA LLAMADAS NI WHATSAPP</v>
      </c>
      <c r="AQ50" s="65" t="str">
        <f>IFERROR(__xludf.DUMMYFUNCTION("""COMPUTED_VALUE"""),"DESTINATARIO NO CONTESTA LLAMADAS NI WHATSAPP")</f>
        <v>DESTINATARIO NO CONTESTA LLAMADAS NI WHATSAPP</v>
      </c>
      <c r="AR50" s="65"/>
      <c r="AS50" s="65"/>
      <c r="AT50" s="65" t="str">
        <f>IFERROR(__xludf.DUMMYFUNCTION("""COMPUTED_VALUE"""),"SHOPIFY")</f>
        <v>SHOPIFY</v>
      </c>
      <c r="AU50" s="65" t="str">
        <f>IFERROR(__xludf.DUMMYFUNCTION("""COMPUTED_VALUE"""),"IMPORTEX EC")</f>
        <v>IMPORTEX EC</v>
      </c>
      <c r="AV50" s="65" t="str">
        <f>IFERROR(__xludf.DUMMYFUNCTION("""COMPUTED_VALUE"""),"6594755067948")</f>
        <v>6594755067948</v>
      </c>
      <c r="AW50" s="65">
        <f>IFERROR(__xludf.DUMMYFUNCTION("""COMPUTED_VALUE"""),6795.0)</f>
        <v>6795</v>
      </c>
      <c r="AX50" s="65"/>
      <c r="AY50" s="65" t="str">
        <f>IFERROR(__xludf.DUMMYFUNCTION("""COMPUTED_VALUE"""),"24/03/2026")</f>
        <v>24/03/2026</v>
      </c>
      <c r="AZ50" s="65"/>
      <c r="BA50" s="65"/>
    </row>
    <row r="51">
      <c r="A51" s="65" t="str">
        <f>IFERROR(__xludf.DUMMYFUNCTION("""COMPUTED_VALUE"""),"27-03-2026")</f>
        <v>27-03-2026</v>
      </c>
      <c r="B51" s="65">
        <f>IFERROR(__xludf.DUMMYFUNCTION("""COMPUTED_VALUE"""),4870466.0)</f>
        <v>4870466</v>
      </c>
      <c r="C51" s="65" t="str">
        <f>IFERROR(__xludf.DUMMYFUNCTION("""COMPUTED_VALUE"""),"17:50")</f>
        <v>17:50</v>
      </c>
      <c r="D51" s="65" t="str">
        <f>IFERROR(__xludf.DUMMYFUNCTION("""COMPUTED_VALUE"""),"21-03-2026")</f>
        <v>21-03-2026</v>
      </c>
      <c r="E51" s="65" t="str">
        <f>IFERROR(__xludf.DUMMYFUNCTION("""COMPUTED_VALUE"""),"Cesar Patiño")</f>
        <v>Cesar Patiño</v>
      </c>
      <c r="F51" s="65" t="str">
        <f>IFERROR(__xludf.DUMMYFUNCTION("""COMPUTED_VALUE"""),"998675041")</f>
        <v>998675041</v>
      </c>
      <c r="G51" s="65" t="str">
        <f>IFERROR(__xludf.DUMMYFUNCTION("""COMPUTED_VALUE"""),"ramiromorquecho2023@gmail.com")</f>
        <v>ramiromorquecho2023@gmail.com</v>
      </c>
      <c r="H51" s="65"/>
      <c r="I51" s="65"/>
      <c r="J51" s="65"/>
      <c r="K51" s="65" t="str">
        <f>IFERROR(__xludf.DUMMYFUNCTION("""COMPUTED_VALUE"""),"PENDIENTE CONFIRMACION")</f>
        <v>PENDIENTE CONFIRMACION</v>
      </c>
      <c r="L51" s="65" t="str">
        <f>IFERROR(__xludf.DUMMYFUNCTION("""COMPUTED_VALUE"""),"CON RECAUDO")</f>
        <v>CON RECAUDO</v>
      </c>
      <c r="M51" s="65" t="str">
        <f>IFERROR(__xludf.DUMMYFUNCTION("""COMPUTED_VALUE"""),"CAÑAR")</f>
        <v>CAÑAR</v>
      </c>
      <c r="N51" s="65" t="str">
        <f>IFERROR(__xludf.DUMMYFUNCTION("""COMPUTED_VALUE"""),"AZOGUES")</f>
        <v>AZOGUES</v>
      </c>
      <c r="O51" s="65" t="str">
        <f>IFERROR(__xludf.DUMMYFUNCTION("""COMPUTED_VALUE"""),"General Sucre Comercial arevalo -")</f>
        <v>General Sucre Comercial arevalo -</v>
      </c>
      <c r="P51" s="65"/>
      <c r="Q51" s="65" t="str">
        <f>IFERROR(__xludf.DUMMYFUNCTION("""COMPUTED_VALUE"""),"GINTRACOM")</f>
        <v>GINTRACOM</v>
      </c>
      <c r="R51" s="65">
        <f>IFERROR(__xludf.DUMMYFUNCTION("""COMPUTED_VALUE"""),24.99)</f>
        <v>24.99</v>
      </c>
      <c r="S51" s="65"/>
      <c r="T51" s="65">
        <f>IFERROR(__xludf.DUMMYFUNCTION("""COMPUTED_VALUE"""),5.95)</f>
        <v>5.95</v>
      </c>
      <c r="U51" s="65">
        <f>IFERROR(__xludf.DUMMYFUNCTION("""COMPUTED_VALUE"""),0.0)</f>
        <v>0</v>
      </c>
      <c r="V51" s="65">
        <f>IFERROR(__xludf.DUMMYFUNCTION("""COMPUTED_VALUE"""),0.0)</f>
        <v>0</v>
      </c>
      <c r="W51" s="65">
        <f>IFERROR(__xludf.DUMMYFUNCTION("""COMPUTED_VALUE"""),0.0)</f>
        <v>0</v>
      </c>
      <c r="X51" s="65">
        <f>IFERROR(__xludf.DUMMYFUNCTION("""COMPUTED_VALUE"""),2.21)</f>
        <v>2.21</v>
      </c>
      <c r="Y51" s="65">
        <f>IFERROR(__xludf.DUMMYFUNCTION("""COMPUTED_VALUE"""),6.63)</f>
        <v>6.63</v>
      </c>
      <c r="Z51" s="65">
        <f>IFERROR(__xludf.DUMMYFUNCTION("""COMPUTED_VALUE"""),120732.0)</f>
        <v>120732</v>
      </c>
      <c r="AA51" s="65" t="str">
        <f>IFERROR(__xludf.DUMMYFUNCTION("""COMPUTED_VALUE"""),"PROV-LMPVT")</f>
        <v>PROV-LMPVT</v>
      </c>
      <c r="AB51" s="65"/>
      <c r="AC51" s="65" t="str">
        <f>IFERROR(__xludf.DUMMYFUNCTION("""COMPUTED_VALUE"""),"LIMPIADOR DE PARABRISAS Y VENTANAS")</f>
        <v>LIMPIADOR DE PARABRISAS Y VENTANAS</v>
      </c>
      <c r="AD51" s="65"/>
      <c r="AE51" s="65">
        <f>IFERROR(__xludf.DUMMYFUNCTION("""COMPUTED_VALUE"""),3.0)</f>
        <v>3</v>
      </c>
      <c r="AF51" s="65"/>
      <c r="AG51" s="65"/>
      <c r="AH51" s="65"/>
      <c r="AI51" s="65"/>
      <c r="AJ51" s="65"/>
      <c r="AK51" s="65"/>
      <c r="AL51" s="65"/>
      <c r="AM51" s="65"/>
      <c r="AN51" s="65"/>
      <c r="AO51" s="65"/>
      <c r="AP51" s="65"/>
      <c r="AQ51" s="65"/>
      <c r="AR51" s="65"/>
      <c r="AS51" s="65"/>
      <c r="AT51" s="65" t="str">
        <f>IFERROR(__xludf.DUMMYFUNCTION("""COMPUTED_VALUE"""),"SHOPIFY")</f>
        <v>SHOPIFY</v>
      </c>
      <c r="AU51" s="65" t="str">
        <f>IFERROR(__xludf.DUMMYFUNCTION("""COMPUTED_VALUE"""),"IMPORTEX EC")</f>
        <v>IMPORTEX EC</v>
      </c>
      <c r="AV51" s="65" t="str">
        <f>IFERROR(__xludf.DUMMYFUNCTION("""COMPUTED_VALUE"""),"6594595913772")</f>
        <v>6594595913772</v>
      </c>
      <c r="AW51" s="65">
        <f>IFERROR(__xludf.DUMMYFUNCTION("""COMPUTED_VALUE"""),6794.0)</f>
        <v>6794</v>
      </c>
      <c r="AX51" s="65"/>
      <c r="AY51" s="65"/>
      <c r="AZ51" s="65"/>
      <c r="BA51" s="65"/>
    </row>
    <row r="52">
      <c r="A52" s="65" t="str">
        <f>IFERROR(__xludf.DUMMYFUNCTION("""COMPUTED_VALUE"""),"27-03-2026")</f>
        <v>27-03-2026</v>
      </c>
      <c r="B52" s="65">
        <f>IFERROR(__xludf.DUMMYFUNCTION("""COMPUTED_VALUE"""),4869715.0)</f>
        <v>4869715</v>
      </c>
      <c r="C52" s="65" t="str">
        <f>IFERROR(__xludf.DUMMYFUNCTION("""COMPUTED_VALUE"""),"15:36")</f>
        <v>15:36</v>
      </c>
      <c r="D52" s="65" t="str">
        <f>IFERROR(__xludf.DUMMYFUNCTION("""COMPUTED_VALUE"""),"21-03-2026")</f>
        <v>21-03-2026</v>
      </c>
      <c r="E52" s="65" t="str">
        <f>IFERROR(__xludf.DUMMYFUNCTION("""COMPUTED_VALUE"""),"Ricardo Mendoza")</f>
        <v>Ricardo Mendoza</v>
      </c>
      <c r="F52" s="65" t="str">
        <f>IFERROR(__xludf.DUMMYFUNCTION("""COMPUTED_VALUE"""),"999463516")</f>
        <v>999463516</v>
      </c>
      <c r="G52" s="65" t="str">
        <f>IFERROR(__xludf.DUMMYFUNCTION("""COMPUTED_VALUE"""),"rm94969@gmail.com")</f>
        <v>rm94969@gmail.com</v>
      </c>
      <c r="H52" s="65"/>
      <c r="I52" s="65"/>
      <c r="J52" s="65" t="str">
        <f>IFERROR(__xludf.DUMMYFUNCTION("""COMPUTED_VALUE"""),"D001448084")</f>
        <v>D001448084</v>
      </c>
      <c r="K52" s="65" t="str">
        <f>IFERROR(__xludf.DUMMYFUNCTION("""COMPUTED_VALUE"""),"EN REPARTO")</f>
        <v>EN REPARTO</v>
      </c>
      <c r="L52" s="65" t="str">
        <f>IFERROR(__xludf.DUMMYFUNCTION("""COMPUTED_VALUE"""),"CON RECAUDO")</f>
        <v>CON RECAUDO</v>
      </c>
      <c r="M52" s="65" t="str">
        <f>IFERROR(__xludf.DUMMYFUNCTION("""COMPUTED_VALUE"""),"MANABI")</f>
        <v>MANABI</v>
      </c>
      <c r="N52" s="65" t="str">
        <f>IFERROR(__xludf.DUMMYFUNCTION("""COMPUTED_VALUE"""),"CRUCITA")</f>
        <v>CRUCITA</v>
      </c>
      <c r="O52" s="65" t="str">
        <f>IFERROR(__xludf.DUMMYFUNCTION("""COMPUTED_VALUE"""),"Via Crucita,  Barrio Higuerón,  con dirección de portoviejo a crucita ,  a  100 metros antes de llegar a la tienda yesos")</f>
        <v>Via Crucita,  Barrio Higuerón,  con dirección de portoviejo a crucita ,  a  100 metros antes de llegar a la tienda yesos</v>
      </c>
      <c r="P52" s="65"/>
      <c r="Q52" s="65" t="str">
        <f>IFERROR(__xludf.DUMMYFUNCTION("""COMPUTED_VALUE"""),"GINTRACOM")</f>
        <v>GINTRACOM</v>
      </c>
      <c r="R52" s="65">
        <f>IFERROR(__xludf.DUMMYFUNCTION("""COMPUTED_VALUE"""),20.0)</f>
        <v>20</v>
      </c>
      <c r="S52" s="65"/>
      <c r="T52" s="65">
        <f>IFERROR(__xludf.DUMMYFUNCTION("""COMPUTED_VALUE"""),6.32)</f>
        <v>6.32</v>
      </c>
      <c r="U52" s="65">
        <f>IFERROR(__xludf.DUMMYFUNCTION("""COMPUTED_VALUE"""),0.0)</f>
        <v>0</v>
      </c>
      <c r="V52" s="65">
        <f>IFERROR(__xludf.DUMMYFUNCTION("""COMPUTED_VALUE"""),0.0)</f>
        <v>0</v>
      </c>
      <c r="W52" s="65">
        <f>IFERROR(__xludf.DUMMYFUNCTION("""COMPUTED_VALUE"""),0.0)</f>
        <v>0</v>
      </c>
      <c r="X52" s="65">
        <f>IFERROR(__xludf.DUMMYFUNCTION("""COMPUTED_VALUE"""),2.21)</f>
        <v>2.21</v>
      </c>
      <c r="Y52" s="65">
        <f>IFERROR(__xludf.DUMMYFUNCTION("""COMPUTED_VALUE"""),4.42)</f>
        <v>4.42</v>
      </c>
      <c r="Z52" s="65">
        <f>IFERROR(__xludf.DUMMYFUNCTION("""COMPUTED_VALUE"""),120732.0)</f>
        <v>120732</v>
      </c>
      <c r="AA52" s="65" t="str">
        <f>IFERROR(__xludf.DUMMYFUNCTION("""COMPUTED_VALUE"""),"PROV-LMPVT")</f>
        <v>PROV-LMPVT</v>
      </c>
      <c r="AB52" s="65"/>
      <c r="AC52" s="65" t="str">
        <f>IFERROR(__xludf.DUMMYFUNCTION("""COMPUTED_VALUE"""),"LIMPIADOR DE PARABRISAS Y VENTANAS")</f>
        <v>LIMPIADOR DE PARABRISAS Y VENTANAS</v>
      </c>
      <c r="AD52" s="65"/>
      <c r="AE52" s="65">
        <f>IFERROR(__xludf.DUMMYFUNCTION("""COMPUTED_VALUE"""),2.0)</f>
        <v>2</v>
      </c>
      <c r="AF52" s="65"/>
      <c r="AG52" s="65"/>
      <c r="AH52" s="65"/>
      <c r="AI52" s="65"/>
      <c r="AJ52" s="65"/>
      <c r="AK52" s="65"/>
      <c r="AL52" s="65"/>
      <c r="AM52" s="65"/>
      <c r="AN52" s="65" t="str">
        <f>IFERROR(__xludf.DUMMYFUNCTION("""COMPUTED_VALUE"""),"16:28")</f>
        <v>16:28</v>
      </c>
      <c r="AO52" s="65" t="str">
        <f>IFERROR(__xludf.DUMMYFUNCTION("""COMPUTED_VALUE"""),"24-03-2026")</f>
        <v>24-03-2026</v>
      </c>
      <c r="AP52" s="65" t="str">
        <f>IFERROR(__xludf.DUMMYFUNCTION("""COMPUTED_VALUE"""),"DESTINATARIO INDICA QUE YA NO DESEA EL PRODUCTO")</f>
        <v>DESTINATARIO INDICA QUE YA NO DESEA EL PRODUCTO</v>
      </c>
      <c r="AQ52" s="65" t="str">
        <f>IFERROR(__xludf.DUMMYFUNCTION("""COMPUTED_VALUE"""),"DESTINATARIO INDICA QUE YA NO DESEA EL PRODUCTO")</f>
        <v>DESTINATARIO INDICA QUE YA NO DESEA EL PRODUCTO</v>
      </c>
      <c r="AR52" s="65"/>
      <c r="AS52" s="65"/>
      <c r="AT52" s="65" t="str">
        <f>IFERROR(__xludf.DUMMYFUNCTION("""COMPUTED_VALUE"""),"SHOPIFY")</f>
        <v>SHOPIFY</v>
      </c>
      <c r="AU52" s="65" t="str">
        <f>IFERROR(__xludf.DUMMYFUNCTION("""COMPUTED_VALUE"""),"IMPORTEX EC")</f>
        <v>IMPORTEX EC</v>
      </c>
      <c r="AV52" s="65" t="str">
        <f>IFERROR(__xludf.DUMMYFUNCTION("""COMPUTED_VALUE"""),"6594374729772")</f>
        <v>6594374729772</v>
      </c>
      <c r="AW52" s="65">
        <f>IFERROR(__xludf.DUMMYFUNCTION("""COMPUTED_VALUE"""),6793.0)</f>
        <v>6793</v>
      </c>
      <c r="AX52" s="65"/>
      <c r="AY52" s="65" t="str">
        <f>IFERROR(__xludf.DUMMYFUNCTION("""COMPUTED_VALUE"""),"24/03/2026")</f>
        <v>24/03/2026</v>
      </c>
      <c r="AZ52" s="65"/>
      <c r="BA52" s="65"/>
    </row>
    <row r="53">
      <c r="A53" s="65" t="str">
        <f>IFERROR(__xludf.DUMMYFUNCTION("""COMPUTED_VALUE"""),"27-03-2026")</f>
        <v>27-03-2026</v>
      </c>
      <c r="B53" s="65">
        <f>IFERROR(__xludf.DUMMYFUNCTION("""COMPUTED_VALUE"""),4869705.0)</f>
        <v>4869705</v>
      </c>
      <c r="C53" s="65" t="str">
        <f>IFERROR(__xludf.DUMMYFUNCTION("""COMPUTED_VALUE"""),"15:35")</f>
        <v>15:35</v>
      </c>
      <c r="D53" s="65" t="str">
        <f>IFERROR(__xludf.DUMMYFUNCTION("""COMPUTED_VALUE"""),"21-03-2026")</f>
        <v>21-03-2026</v>
      </c>
      <c r="E53" s="65" t="str">
        <f>IFERROR(__xludf.DUMMYFUNCTION("""COMPUTED_VALUE"""),"ERMINSON ALBERTO ALVAREZ Acuña ALVAREZ ACUÑA")</f>
        <v>ERMINSON ALBERTO ALVAREZ Acuña ALVAREZ ACUÑA</v>
      </c>
      <c r="F53" s="65" t="str">
        <f>IFERROR(__xludf.DUMMYFUNCTION("""COMPUTED_VALUE"""),"986605425")</f>
        <v>986605425</v>
      </c>
      <c r="G53" s="65" t="str">
        <f>IFERROR(__xludf.DUMMYFUNCTION("""COMPUTED_VALUE"""),"erminsonalvarez1961@gmail.com")</f>
        <v>erminsonalvarez1961@gmail.com</v>
      </c>
      <c r="H53" s="65"/>
      <c r="I53" s="65"/>
      <c r="J53" s="65"/>
      <c r="K53" s="65" t="str">
        <f>IFERROR(__xludf.DUMMYFUNCTION("""COMPUTED_VALUE"""),"CANCELADO")</f>
        <v>CANCELADO</v>
      </c>
      <c r="L53" s="65" t="str">
        <f>IFERROR(__xludf.DUMMYFUNCTION("""COMPUTED_VALUE"""),"CON RECAUDO")</f>
        <v>CON RECAUDO</v>
      </c>
      <c r="M53" s="65" t="str">
        <f>IFERROR(__xludf.DUMMYFUNCTION("""COMPUTED_VALUE"""),"ZAMORA CHINCHIPE")</f>
        <v>ZAMORA CHINCHIPE</v>
      </c>
      <c r="N53" s="65" t="str">
        <f>IFERROR(__xludf.DUMMYFUNCTION("""COMPUTED_VALUE"""),"YANTZAZA")</f>
        <v>YANTZAZA</v>
      </c>
      <c r="O53" s="65" t="str">
        <f>IFERROR(__xludf.DUMMYFUNCTION("""COMPUTED_VALUE"""),"Servientrega yanzatza Servientrega yanzatza -")</f>
        <v>Servientrega yanzatza Servientrega yanzatza -</v>
      </c>
      <c r="P53" s="65"/>
      <c r="Q53" s="65" t="str">
        <f>IFERROR(__xludf.DUMMYFUNCTION("""COMPUTED_VALUE"""),"LAARCOURIER")</f>
        <v>LAARCOURIER</v>
      </c>
      <c r="R53" s="65">
        <f>IFERROR(__xludf.DUMMYFUNCTION("""COMPUTED_VALUE"""),20.0)</f>
        <v>20</v>
      </c>
      <c r="S53" s="65"/>
      <c r="T53" s="65">
        <f>IFERROR(__xludf.DUMMYFUNCTION("""COMPUTED_VALUE"""),7.5)</f>
        <v>7.5</v>
      </c>
      <c r="U53" s="65">
        <f>IFERROR(__xludf.DUMMYFUNCTION("""COMPUTED_VALUE"""),0.0)</f>
        <v>0</v>
      </c>
      <c r="V53" s="65">
        <f>IFERROR(__xludf.DUMMYFUNCTION("""COMPUTED_VALUE"""),0.0)</f>
        <v>0</v>
      </c>
      <c r="W53" s="65">
        <f>IFERROR(__xludf.DUMMYFUNCTION("""COMPUTED_VALUE"""),0.0)</f>
        <v>0</v>
      </c>
      <c r="X53" s="65">
        <f>IFERROR(__xludf.DUMMYFUNCTION("""COMPUTED_VALUE"""),2.21)</f>
        <v>2.21</v>
      </c>
      <c r="Y53" s="65">
        <f>IFERROR(__xludf.DUMMYFUNCTION("""COMPUTED_VALUE"""),4.42)</f>
        <v>4.42</v>
      </c>
      <c r="Z53" s="65">
        <f>IFERROR(__xludf.DUMMYFUNCTION("""COMPUTED_VALUE"""),120732.0)</f>
        <v>120732</v>
      </c>
      <c r="AA53" s="65" t="str">
        <f>IFERROR(__xludf.DUMMYFUNCTION("""COMPUTED_VALUE"""),"PROV-LMPVT")</f>
        <v>PROV-LMPVT</v>
      </c>
      <c r="AB53" s="65"/>
      <c r="AC53" s="65" t="str">
        <f>IFERROR(__xludf.DUMMYFUNCTION("""COMPUTED_VALUE"""),"LIMPIADOR DE PARABRISAS Y VENTANAS")</f>
        <v>LIMPIADOR DE PARABRISAS Y VENTANAS</v>
      </c>
      <c r="AD53" s="65"/>
      <c r="AE53" s="65">
        <f>IFERROR(__xludf.DUMMYFUNCTION("""COMPUTED_VALUE"""),2.0)</f>
        <v>2</v>
      </c>
      <c r="AF53" s="65"/>
      <c r="AG53" s="65"/>
      <c r="AH53" s="65"/>
      <c r="AI53" s="65"/>
      <c r="AJ53" s="65"/>
      <c r="AK53" s="65"/>
      <c r="AL53" s="65"/>
      <c r="AM53" s="65"/>
      <c r="AN53" s="65"/>
      <c r="AO53" s="65"/>
      <c r="AP53" s="65"/>
      <c r="AQ53" s="65"/>
      <c r="AR53" s="65"/>
      <c r="AS53" s="65"/>
      <c r="AT53" s="65" t="str">
        <f>IFERROR(__xludf.DUMMYFUNCTION("""COMPUTED_VALUE"""),"SHOPIFY")</f>
        <v>SHOPIFY</v>
      </c>
      <c r="AU53" s="65" t="str">
        <f>IFERROR(__xludf.DUMMYFUNCTION("""COMPUTED_VALUE"""),"IMPORTEX EC")</f>
        <v>IMPORTEX EC</v>
      </c>
      <c r="AV53" s="65" t="str">
        <f>IFERROR(__xludf.DUMMYFUNCTION("""COMPUTED_VALUE"""),"6594372763692")</f>
        <v>6594372763692</v>
      </c>
      <c r="AW53" s="65">
        <f>IFERROR(__xludf.DUMMYFUNCTION("""COMPUTED_VALUE"""),6792.0)</f>
        <v>6792</v>
      </c>
      <c r="AX53" s="65"/>
      <c r="AY53" s="65"/>
      <c r="AZ53" s="65"/>
      <c r="BA53" s="65"/>
    </row>
    <row r="54">
      <c r="A54" s="65" t="str">
        <f>IFERROR(__xludf.DUMMYFUNCTION("""COMPUTED_VALUE"""),"27-03-2026")</f>
        <v>27-03-2026</v>
      </c>
      <c r="B54" s="65">
        <f>IFERROR(__xludf.DUMMYFUNCTION("""COMPUTED_VALUE"""),4869179.0)</f>
        <v>4869179</v>
      </c>
      <c r="C54" s="65" t="str">
        <f>IFERROR(__xludf.DUMMYFUNCTION("""COMPUTED_VALUE"""),"14:05")</f>
        <v>14:05</v>
      </c>
      <c r="D54" s="65" t="str">
        <f>IFERROR(__xludf.DUMMYFUNCTION("""COMPUTED_VALUE"""),"21-03-2026")</f>
        <v>21-03-2026</v>
      </c>
      <c r="E54" s="65" t="str">
        <f>IFERROR(__xludf.DUMMYFUNCTION("""COMPUTED_VALUE"""),"Daniela Monserrate")</f>
        <v>Daniela Monserrate</v>
      </c>
      <c r="F54" s="65" t="str">
        <f>IFERROR(__xludf.DUMMYFUNCTION("""COMPUTED_VALUE"""),"991031298")</f>
        <v>991031298</v>
      </c>
      <c r="G54" s="65" t="str">
        <f>IFERROR(__xludf.DUMMYFUNCTION("""COMPUTED_VALUE"""),"monserratedaniela3@gmail.com")</f>
        <v>monserratedaniela3@gmail.com</v>
      </c>
      <c r="H54" s="65"/>
      <c r="I54" s="65"/>
      <c r="J54" s="65" t="str">
        <f>IFERROR(__xludf.DUMMYFUNCTION("""COMPUTED_VALUE"""),"D001448086")</f>
        <v>D001448086</v>
      </c>
      <c r="K54" s="65" t="str">
        <f>IFERROR(__xludf.DUMMYFUNCTION("""COMPUTED_VALUE"""),"ENTREGADO")</f>
        <v>ENTREGADO</v>
      </c>
      <c r="L54" s="65" t="str">
        <f>IFERROR(__xludf.DUMMYFUNCTION("""COMPUTED_VALUE"""),"CON RECAUDO")</f>
        <v>CON RECAUDO</v>
      </c>
      <c r="M54" s="65" t="str">
        <f>IFERROR(__xludf.DUMMYFUNCTION("""COMPUTED_VALUE"""),"CAÑAR")</f>
        <v>CAÑAR</v>
      </c>
      <c r="N54" s="65" t="str">
        <f>IFERROR(__xludf.DUMMYFUNCTION("""COMPUTED_VALUE"""),"LA TRONCAL")</f>
        <v>LA TRONCAL</v>
      </c>
      <c r="O54" s="65" t="str">
        <f>IFERROR(__xludf.DUMMYFUNCTION("""COMPUTED_VALUE"""),"Av. 10 de agosto y 24 de mayo, La troncal - Tras la Judicatura")</f>
        <v>Av. 10 de agosto y 24 de mayo, La troncal - Tras la Judicatura</v>
      </c>
      <c r="P54" s="65"/>
      <c r="Q54" s="65" t="str">
        <f>IFERROR(__xludf.DUMMYFUNCTION("""COMPUTED_VALUE"""),"GINTRACOM")</f>
        <v>GINTRACOM</v>
      </c>
      <c r="R54" s="65">
        <f>IFERROR(__xludf.DUMMYFUNCTION("""COMPUTED_VALUE"""),24.99)</f>
        <v>24.99</v>
      </c>
      <c r="S54" s="65"/>
      <c r="T54" s="65">
        <f>IFERROR(__xludf.DUMMYFUNCTION("""COMPUTED_VALUE"""),5.95)</f>
        <v>5.95</v>
      </c>
      <c r="U54" s="65">
        <f>IFERROR(__xludf.DUMMYFUNCTION("""COMPUTED_VALUE"""),0.0)</f>
        <v>0</v>
      </c>
      <c r="V54" s="65">
        <f>IFERROR(__xludf.DUMMYFUNCTION("""COMPUTED_VALUE"""),0.0)</f>
        <v>0</v>
      </c>
      <c r="W54" s="65">
        <f>IFERROR(__xludf.DUMMYFUNCTION("""COMPUTED_VALUE"""),0.0)</f>
        <v>0</v>
      </c>
      <c r="X54" s="65">
        <f>IFERROR(__xludf.DUMMYFUNCTION("""COMPUTED_VALUE"""),2.21)</f>
        <v>2.21</v>
      </c>
      <c r="Y54" s="65">
        <f>IFERROR(__xludf.DUMMYFUNCTION("""COMPUTED_VALUE"""),6.63)</f>
        <v>6.63</v>
      </c>
      <c r="Z54" s="65">
        <f>IFERROR(__xludf.DUMMYFUNCTION("""COMPUTED_VALUE"""),120732.0)</f>
        <v>120732</v>
      </c>
      <c r="AA54" s="65" t="str">
        <f>IFERROR(__xludf.DUMMYFUNCTION("""COMPUTED_VALUE"""),"PROV-LMPVT")</f>
        <v>PROV-LMPVT</v>
      </c>
      <c r="AB54" s="65"/>
      <c r="AC54" s="65" t="str">
        <f>IFERROR(__xludf.DUMMYFUNCTION("""COMPUTED_VALUE"""),"LIMPIADOR DE PARABRISAS Y VENTANAS")</f>
        <v>LIMPIADOR DE PARABRISAS Y VENTANAS</v>
      </c>
      <c r="AD54" s="65"/>
      <c r="AE54" s="65">
        <f>IFERROR(__xludf.DUMMYFUNCTION("""COMPUTED_VALUE"""),3.0)</f>
        <v>3</v>
      </c>
      <c r="AF54" s="65"/>
      <c r="AG54" s="65"/>
      <c r="AH54" s="65"/>
      <c r="AI54" s="65"/>
      <c r="AJ54" s="65"/>
      <c r="AK54" s="65"/>
      <c r="AL54" s="65"/>
      <c r="AM54" s="65"/>
      <c r="AN54" s="65" t="str">
        <f>IFERROR(__xludf.DUMMYFUNCTION("""COMPUTED_VALUE"""),"12:29")</f>
        <v>12:29</v>
      </c>
      <c r="AO54" s="65" t="str">
        <f>IFERROR(__xludf.DUMMYFUNCTION("""COMPUTED_VALUE"""),"26-03-2026")</f>
        <v>26-03-2026</v>
      </c>
      <c r="AP54" s="65" t="str">
        <f>IFERROR(__xludf.DUMMYFUNCTION("""COMPUTED_VALUE"""),"EN REPARTO")</f>
        <v>EN REPARTO</v>
      </c>
      <c r="AQ54" s="65" t="str">
        <f>IFERROR(__xludf.DUMMYFUNCTION("""COMPUTED_VALUE"""),"EN REPARTO")</f>
        <v>EN REPARTO</v>
      </c>
      <c r="AR54" s="65"/>
      <c r="AS54" s="65"/>
      <c r="AT54" s="65" t="str">
        <f>IFERROR(__xludf.DUMMYFUNCTION("""COMPUTED_VALUE"""),"SHOPIFY")</f>
        <v>SHOPIFY</v>
      </c>
      <c r="AU54" s="65" t="str">
        <f>IFERROR(__xludf.DUMMYFUNCTION("""COMPUTED_VALUE"""),"IMPORTEX EC")</f>
        <v>IMPORTEX EC</v>
      </c>
      <c r="AV54" s="65" t="str">
        <f>IFERROR(__xludf.DUMMYFUNCTION("""COMPUTED_VALUE"""),"6594199748652")</f>
        <v>6594199748652</v>
      </c>
      <c r="AW54" s="65">
        <f>IFERROR(__xludf.DUMMYFUNCTION("""COMPUTED_VALUE"""),6791.0)</f>
        <v>6791</v>
      </c>
      <c r="AX54" s="65"/>
      <c r="AY54" s="65" t="str">
        <f>IFERROR(__xludf.DUMMYFUNCTION("""COMPUTED_VALUE"""),"24/03/2026")</f>
        <v>24/03/2026</v>
      </c>
      <c r="AZ54" s="65"/>
      <c r="BA54" s="65"/>
    </row>
    <row r="55">
      <c r="A55" s="65" t="str">
        <f>IFERROR(__xludf.DUMMYFUNCTION("""COMPUTED_VALUE"""),"27-03-2026")</f>
        <v>27-03-2026</v>
      </c>
      <c r="B55" s="65">
        <f>IFERROR(__xludf.DUMMYFUNCTION("""COMPUTED_VALUE"""),4869047.0)</f>
        <v>4869047</v>
      </c>
      <c r="C55" s="65" t="str">
        <f>IFERROR(__xludf.DUMMYFUNCTION("""COMPUTED_VALUE"""),"13:38")</f>
        <v>13:38</v>
      </c>
      <c r="D55" s="65" t="str">
        <f>IFERROR(__xludf.DUMMYFUNCTION("""COMPUTED_VALUE"""),"21-03-2026")</f>
        <v>21-03-2026</v>
      </c>
      <c r="E55" s="65" t="str">
        <f>IFERROR(__xludf.DUMMYFUNCTION("""COMPUTED_VALUE"""),"Oliver Córdova")</f>
        <v>Oliver Córdova</v>
      </c>
      <c r="F55" s="65" t="str">
        <f>IFERROR(__xludf.DUMMYFUNCTION("""COMPUTED_VALUE"""),"969271610")</f>
        <v>969271610</v>
      </c>
      <c r="G55" s="65" t="str">
        <f>IFERROR(__xludf.DUMMYFUNCTION("""COMPUTED_VALUE"""),"olivercordova1973@gmail.com")</f>
        <v>olivercordova1973@gmail.com</v>
      </c>
      <c r="H55" s="65"/>
      <c r="I55" s="65"/>
      <c r="J55" s="65" t="str">
        <f>IFERROR(__xludf.DUMMYFUNCTION("""COMPUTED_VALUE"""),"D001448477")</f>
        <v>D001448477</v>
      </c>
      <c r="K55" s="65" t="str">
        <f>IFERROR(__xludf.DUMMYFUNCTION("""COMPUTED_VALUE"""),"EN REPARTO")</f>
        <v>EN REPARTO</v>
      </c>
      <c r="L55" s="65" t="str">
        <f>IFERROR(__xludf.DUMMYFUNCTION("""COMPUTED_VALUE"""),"CON RECAUDO")</f>
        <v>CON RECAUDO</v>
      </c>
      <c r="M55" s="65" t="str">
        <f>IFERROR(__xludf.DUMMYFUNCTION("""COMPUTED_VALUE"""),"PICHINCHA")</f>
        <v>PICHINCHA</v>
      </c>
      <c r="N55" s="65" t="str">
        <f>IFERROR(__xludf.DUMMYFUNCTION("""COMPUTED_VALUE"""),"QUITO")</f>
        <v>QUITO</v>
      </c>
      <c r="O55" s="65" t="str">
        <f>IFERROR(__xludf.DUMMYFUNCTION("""COMPUTED_VALUE"""),"Calle Octavio Pazmiño y Panamericana Sur, Frente liga parroquial de Aloag, Referenia: Junto a la Hueca de la Tilapia - ALOAG")</f>
        <v>Calle Octavio Pazmiño y Panamericana Sur, Frente liga parroquial de Aloag, Referenia: Junto a la Hueca de la Tilapia - ALOAG</v>
      </c>
      <c r="P55" s="65"/>
      <c r="Q55" s="65" t="str">
        <f>IFERROR(__xludf.DUMMYFUNCTION("""COMPUTED_VALUE"""),"GINTRACOM")</f>
        <v>GINTRACOM</v>
      </c>
      <c r="R55" s="65">
        <f>IFERROR(__xludf.DUMMYFUNCTION("""COMPUTED_VALUE"""),27.0)</f>
        <v>27</v>
      </c>
      <c r="S55" s="65"/>
      <c r="T55" s="65">
        <f>IFERROR(__xludf.DUMMYFUNCTION("""COMPUTED_VALUE"""),6.03)</f>
        <v>6.03</v>
      </c>
      <c r="U55" s="65">
        <f>IFERROR(__xludf.DUMMYFUNCTION("""COMPUTED_VALUE"""),0.0)</f>
        <v>0</v>
      </c>
      <c r="V55" s="65">
        <f>IFERROR(__xludf.DUMMYFUNCTION("""COMPUTED_VALUE"""),0.0)</f>
        <v>0</v>
      </c>
      <c r="W55" s="65">
        <f>IFERROR(__xludf.DUMMYFUNCTION("""COMPUTED_VALUE"""),0.0)</f>
        <v>0</v>
      </c>
      <c r="X55" s="65">
        <f>IFERROR(__xludf.DUMMYFUNCTION("""COMPUTED_VALUE"""),2.4)</f>
        <v>2.4</v>
      </c>
      <c r="Y55" s="65">
        <f>IFERROR(__xludf.DUMMYFUNCTION("""COMPUTED_VALUE"""),7.2)</f>
        <v>7.2</v>
      </c>
      <c r="Z55" s="65">
        <f>IFERROR(__xludf.DUMMYFUNCTION("""COMPUTED_VALUE"""),119189.0)</f>
        <v>119189</v>
      </c>
      <c r="AA55" s="65" t="str">
        <f>IFERROR(__xludf.DUMMYFUNCTION("""COMPUTED_VALUE"""),"CUCHILLO DE CHEF")</f>
        <v>CUCHILLO DE CHEF</v>
      </c>
      <c r="AB55" s="65"/>
      <c r="AC55" s="65" t="str">
        <f>IFERROR(__xludf.DUMMYFUNCTION("""COMPUTED_VALUE"""),"CUCHILLO DE CHEF")</f>
        <v>CUCHILLO DE CHEF</v>
      </c>
      <c r="AD55" s="65"/>
      <c r="AE55" s="65">
        <f>IFERROR(__xludf.DUMMYFUNCTION("""COMPUTED_VALUE"""),3.0)</f>
        <v>3</v>
      </c>
      <c r="AF55" s="65"/>
      <c r="AG55" s="65"/>
      <c r="AH55" s="65"/>
      <c r="AI55" s="65"/>
      <c r="AJ55" s="65"/>
      <c r="AK55" s="65"/>
      <c r="AL55" s="65"/>
      <c r="AM55" s="65"/>
      <c r="AN55" s="65" t="str">
        <f>IFERROR(__xludf.DUMMYFUNCTION("""COMPUTED_VALUE"""),"13:46")</f>
        <v>13:46</v>
      </c>
      <c r="AO55" s="65" t="str">
        <f>IFERROR(__xludf.DUMMYFUNCTION("""COMPUTED_VALUE"""),"26-03-2026")</f>
        <v>26-03-2026</v>
      </c>
      <c r="AP55" s="65" t="str">
        <f>IFERROR(__xludf.DUMMYFUNCTION("""COMPUTED_VALUE"""),"DESTINATARIO RE-PROGRAMA FECHA DE ENTREGA")</f>
        <v>DESTINATARIO RE-PROGRAMA FECHA DE ENTREGA</v>
      </c>
      <c r="AQ55" s="65" t="str">
        <f>IFERROR(__xludf.DUMMYFUNCTION("""COMPUTED_VALUE"""),"DESTINATARIO RE-PROGRAMA FECHA DE ENTREGA")</f>
        <v>DESTINATARIO RE-PROGRAMA FECHA DE ENTREGA</v>
      </c>
      <c r="AR55" s="65"/>
      <c r="AS55" s="65"/>
      <c r="AT55" s="65" t="str">
        <f>IFERROR(__xludf.DUMMYFUNCTION("""COMPUTED_VALUE"""),"SHOPIFY")</f>
        <v>SHOPIFY</v>
      </c>
      <c r="AU55" s="65" t="str">
        <f>IFERROR(__xludf.DUMMYFUNCTION("""COMPUTED_VALUE"""),"IMPORTEX EC")</f>
        <v>IMPORTEX EC</v>
      </c>
      <c r="AV55" s="65" t="str">
        <f>IFERROR(__xludf.DUMMYFUNCTION("""COMPUTED_VALUE"""),"6594143158316")</f>
        <v>6594143158316</v>
      </c>
      <c r="AW55" s="65">
        <f>IFERROR(__xludf.DUMMYFUNCTION("""COMPUTED_VALUE"""),6790.0)</f>
        <v>6790</v>
      </c>
      <c r="AX55" s="65"/>
      <c r="AY55" s="65" t="str">
        <f>IFERROR(__xludf.DUMMYFUNCTION("""COMPUTED_VALUE"""),"24/03/2026")</f>
        <v>24/03/2026</v>
      </c>
      <c r="AZ55" s="65"/>
      <c r="BA55" s="65"/>
    </row>
    <row r="56">
      <c r="A56" s="65" t="str">
        <f>IFERROR(__xludf.DUMMYFUNCTION("""COMPUTED_VALUE"""),"27-03-2026")</f>
        <v>27-03-2026</v>
      </c>
      <c r="B56" s="65">
        <f>IFERROR(__xludf.DUMMYFUNCTION("""COMPUTED_VALUE"""),4869026.0)</f>
        <v>4869026</v>
      </c>
      <c r="C56" s="65" t="str">
        <f>IFERROR(__xludf.DUMMYFUNCTION("""COMPUTED_VALUE"""),"13:33")</f>
        <v>13:33</v>
      </c>
      <c r="D56" s="65" t="str">
        <f>IFERROR(__xludf.DUMMYFUNCTION("""COMPUTED_VALUE"""),"21-03-2026")</f>
        <v>21-03-2026</v>
      </c>
      <c r="E56" s="65" t="str">
        <f>IFERROR(__xludf.DUMMYFUNCTION("""COMPUTED_VALUE"""),"Loor Jorge")</f>
        <v>Loor Jorge</v>
      </c>
      <c r="F56" s="65" t="str">
        <f>IFERROR(__xludf.DUMMYFUNCTION("""COMPUTED_VALUE"""),"978630144")</f>
        <v>978630144</v>
      </c>
      <c r="G56" s="65" t="str">
        <f>IFERROR(__xludf.DUMMYFUNCTION("""COMPUTED_VALUE"""),"jorlove75@yahoo.es")</f>
        <v>jorlove75@yahoo.es</v>
      </c>
      <c r="H56" s="65"/>
      <c r="I56" s="65"/>
      <c r="J56" s="65" t="str">
        <f>IFERROR(__xludf.DUMMYFUNCTION("""COMPUTED_VALUE"""),"D001448479")</f>
        <v>D001448479</v>
      </c>
      <c r="K56" s="65" t="str">
        <f>IFERROR(__xludf.DUMMYFUNCTION("""COMPUTED_VALUE"""),"EN REPARTO")</f>
        <v>EN REPARTO</v>
      </c>
      <c r="L56" s="65" t="str">
        <f>IFERROR(__xludf.DUMMYFUNCTION("""COMPUTED_VALUE"""),"CON RECAUDO")</f>
        <v>CON RECAUDO</v>
      </c>
      <c r="M56" s="65" t="str">
        <f>IFERROR(__xludf.DUMMYFUNCTION("""COMPUTED_VALUE"""),"MANABI")</f>
        <v>MANABI</v>
      </c>
      <c r="N56" s="65" t="str">
        <f>IFERROR(__xludf.DUMMYFUNCTION("""COMPUTED_VALUE"""),"TOSAGUA")</f>
        <v>TOSAGUA</v>
      </c>
      <c r="O56" s="65" t="str">
        <f>IFERROR(__xludf.DUMMYFUNCTION("""COMPUTED_VALUE"""),"Calle bolivar y barrio san miguel,  Donde termina la calle bolivar segunda casa de madera -")</f>
        <v>Calle bolivar y barrio san miguel,  Donde termina la calle bolivar segunda casa de madera -</v>
      </c>
      <c r="P56" s="65"/>
      <c r="Q56" s="65" t="str">
        <f>IFERROR(__xludf.DUMMYFUNCTION("""COMPUTED_VALUE"""),"GINTRACOM")</f>
        <v>GINTRACOM</v>
      </c>
      <c r="R56" s="65">
        <f>IFERROR(__xludf.DUMMYFUNCTION("""COMPUTED_VALUE"""),22.0)</f>
        <v>22</v>
      </c>
      <c r="S56" s="65"/>
      <c r="T56" s="65">
        <f>IFERROR(__xludf.DUMMYFUNCTION("""COMPUTED_VALUE"""),6.41)</f>
        <v>6.41</v>
      </c>
      <c r="U56" s="65">
        <f>IFERROR(__xludf.DUMMYFUNCTION("""COMPUTED_VALUE"""),0.0)</f>
        <v>0</v>
      </c>
      <c r="V56" s="65">
        <f>IFERROR(__xludf.DUMMYFUNCTION("""COMPUTED_VALUE"""),0.0)</f>
        <v>0</v>
      </c>
      <c r="W56" s="65">
        <f>IFERROR(__xludf.DUMMYFUNCTION("""COMPUTED_VALUE"""),0.0)</f>
        <v>0</v>
      </c>
      <c r="X56" s="65">
        <f>IFERROR(__xludf.DUMMYFUNCTION("""COMPUTED_VALUE"""),2.4)</f>
        <v>2.4</v>
      </c>
      <c r="Y56" s="65">
        <f>IFERROR(__xludf.DUMMYFUNCTION("""COMPUTED_VALUE"""),4.8)</f>
        <v>4.8</v>
      </c>
      <c r="Z56" s="65">
        <f>IFERROR(__xludf.DUMMYFUNCTION("""COMPUTED_VALUE"""),119189.0)</f>
        <v>119189</v>
      </c>
      <c r="AA56" s="65" t="str">
        <f>IFERROR(__xludf.DUMMYFUNCTION("""COMPUTED_VALUE"""),"CUCHILLO DE CHEF")</f>
        <v>CUCHILLO DE CHEF</v>
      </c>
      <c r="AB56" s="65"/>
      <c r="AC56" s="65" t="str">
        <f>IFERROR(__xludf.DUMMYFUNCTION("""COMPUTED_VALUE"""),"CUCHILLO DE CHEF")</f>
        <v>CUCHILLO DE CHEF</v>
      </c>
      <c r="AD56" s="65"/>
      <c r="AE56" s="65">
        <f>IFERROR(__xludf.DUMMYFUNCTION("""COMPUTED_VALUE"""),2.0)</f>
        <v>2</v>
      </c>
      <c r="AF56" s="65"/>
      <c r="AG56" s="65"/>
      <c r="AH56" s="65"/>
      <c r="AI56" s="65"/>
      <c r="AJ56" s="65"/>
      <c r="AK56" s="65"/>
      <c r="AL56" s="65"/>
      <c r="AM56" s="65"/>
      <c r="AN56" s="65" t="str">
        <f>IFERROR(__xludf.DUMMYFUNCTION("""COMPUTED_VALUE"""),"10:28")</f>
        <v>10:28</v>
      </c>
      <c r="AO56" s="65" t="str">
        <f>IFERROR(__xludf.DUMMYFUNCTION("""COMPUTED_VALUE"""),"26-03-2026")</f>
        <v>26-03-2026</v>
      </c>
      <c r="AP56" s="65" t="str">
        <f>IFERROR(__xludf.DUMMYFUNCTION("""COMPUTED_VALUE"""),"EN REPARTO")</f>
        <v>EN REPARTO</v>
      </c>
      <c r="AQ56" s="65" t="str">
        <f>IFERROR(__xludf.DUMMYFUNCTION("""COMPUTED_VALUE"""),"EN REPARTO")</f>
        <v>EN REPARTO</v>
      </c>
      <c r="AR56" s="65"/>
      <c r="AS56" s="65"/>
      <c r="AT56" s="65" t="str">
        <f>IFERROR(__xludf.DUMMYFUNCTION("""COMPUTED_VALUE"""),"SHOPIFY")</f>
        <v>SHOPIFY</v>
      </c>
      <c r="AU56" s="65" t="str">
        <f>IFERROR(__xludf.DUMMYFUNCTION("""COMPUTED_VALUE"""),"IMPORTEX EC")</f>
        <v>IMPORTEX EC</v>
      </c>
      <c r="AV56" s="65" t="str">
        <f>IFERROR(__xludf.DUMMYFUNCTION("""COMPUTED_VALUE"""),"6594131951660")</f>
        <v>6594131951660</v>
      </c>
      <c r="AW56" s="65">
        <f>IFERROR(__xludf.DUMMYFUNCTION("""COMPUTED_VALUE"""),6789.0)</f>
        <v>6789</v>
      </c>
      <c r="AX56" s="65"/>
      <c r="AY56" s="65" t="str">
        <f>IFERROR(__xludf.DUMMYFUNCTION("""COMPUTED_VALUE"""),"24/03/2026")</f>
        <v>24/03/2026</v>
      </c>
      <c r="AZ56" s="65"/>
      <c r="BA56" s="65"/>
    </row>
    <row r="57">
      <c r="A57" s="65" t="str">
        <f>IFERROR(__xludf.DUMMYFUNCTION("""COMPUTED_VALUE"""),"27-03-2026")</f>
        <v>27-03-2026</v>
      </c>
      <c r="B57" s="65">
        <f>IFERROR(__xludf.DUMMYFUNCTION("""COMPUTED_VALUE"""),4868893.0)</f>
        <v>4868893</v>
      </c>
      <c r="C57" s="65" t="str">
        <f>IFERROR(__xludf.DUMMYFUNCTION("""COMPUTED_VALUE"""),"13:08")</f>
        <v>13:08</v>
      </c>
      <c r="D57" s="65" t="str">
        <f>IFERROR(__xludf.DUMMYFUNCTION("""COMPUTED_VALUE"""),"21-03-2026")</f>
        <v>21-03-2026</v>
      </c>
      <c r="E57" s="65" t="str">
        <f>IFERROR(__xludf.DUMMYFUNCTION("""COMPUTED_VALUE"""),"Fabián Puenchera")</f>
        <v>Fabián Puenchera</v>
      </c>
      <c r="F57" s="65" t="str">
        <f>IFERROR(__xludf.DUMMYFUNCTION("""COMPUTED_VALUE"""),"997096896")</f>
        <v>997096896</v>
      </c>
      <c r="G57" s="65" t="str">
        <f>IFERROR(__xludf.DUMMYFUNCTION("""COMPUTED_VALUE"""),"jersonfabianpuencherasharupi@gmail.com")</f>
        <v>jersonfabianpuencherasharupi@gmail.com</v>
      </c>
      <c r="H57" s="65"/>
      <c r="I57" s="65"/>
      <c r="J57" s="65" t="str">
        <f>IFERROR(__xludf.DUMMYFUNCTION("""COMPUTED_VALUE"""),"D001448480")</f>
        <v>D001448480</v>
      </c>
      <c r="K57" s="65" t="str">
        <f>IFERROR(__xludf.DUMMYFUNCTION("""COMPUTED_VALUE"""),"NOVEDAD")</f>
        <v>NOVEDAD</v>
      </c>
      <c r="L57" s="65" t="str">
        <f>IFERROR(__xludf.DUMMYFUNCTION("""COMPUTED_VALUE"""),"CON RECAUDO")</f>
        <v>CON RECAUDO</v>
      </c>
      <c r="M57" s="65" t="str">
        <f>IFERROR(__xludf.DUMMYFUNCTION("""COMPUTED_VALUE"""),"GUAYAS")</f>
        <v>GUAYAS</v>
      </c>
      <c r="N57" s="65" t="str">
        <f>IFERROR(__xludf.DUMMYFUNCTION("""COMPUTED_VALUE"""),"EL TRIUNFO")</f>
        <v>EL TRIUNFO</v>
      </c>
      <c r="O57" s="65" t="str">
        <f>IFERROR(__xludf.DUMMYFUNCTION("""COMPUTED_VALUE"""),"Ciudadela arbolito 3 cerca de la guardería María paz Arbolito 3 -")</f>
        <v>Ciudadela arbolito 3 cerca de la guardería María paz Arbolito 3 -</v>
      </c>
      <c r="P57" s="65"/>
      <c r="Q57" s="65" t="str">
        <f>IFERROR(__xludf.DUMMYFUNCTION("""COMPUTED_VALUE"""),"GINTRACOM")</f>
        <v>GINTRACOM</v>
      </c>
      <c r="R57" s="65">
        <f>IFERROR(__xludf.DUMMYFUNCTION("""COMPUTED_VALUE"""),22.0)</f>
        <v>22</v>
      </c>
      <c r="S57" s="65"/>
      <c r="T57" s="65">
        <f>IFERROR(__xludf.DUMMYFUNCTION("""COMPUTED_VALUE"""),5.84)</f>
        <v>5.84</v>
      </c>
      <c r="U57" s="65">
        <f>IFERROR(__xludf.DUMMYFUNCTION("""COMPUTED_VALUE"""),0.0)</f>
        <v>0</v>
      </c>
      <c r="V57" s="65">
        <f>IFERROR(__xludf.DUMMYFUNCTION("""COMPUTED_VALUE"""),0.0)</f>
        <v>0</v>
      </c>
      <c r="W57" s="65">
        <f>IFERROR(__xludf.DUMMYFUNCTION("""COMPUTED_VALUE"""),0.0)</f>
        <v>0</v>
      </c>
      <c r="X57" s="65">
        <f>IFERROR(__xludf.DUMMYFUNCTION("""COMPUTED_VALUE"""),2.4)</f>
        <v>2.4</v>
      </c>
      <c r="Y57" s="65">
        <f>IFERROR(__xludf.DUMMYFUNCTION("""COMPUTED_VALUE"""),4.8)</f>
        <v>4.8</v>
      </c>
      <c r="Z57" s="65">
        <f>IFERROR(__xludf.DUMMYFUNCTION("""COMPUTED_VALUE"""),119189.0)</f>
        <v>119189</v>
      </c>
      <c r="AA57" s="65" t="str">
        <f>IFERROR(__xludf.DUMMYFUNCTION("""COMPUTED_VALUE"""),"CUCHILLO DE CHEF")</f>
        <v>CUCHILLO DE CHEF</v>
      </c>
      <c r="AB57" s="65"/>
      <c r="AC57" s="65" t="str">
        <f>IFERROR(__xludf.DUMMYFUNCTION("""COMPUTED_VALUE"""),"CUCHILLO DE CHEF")</f>
        <v>CUCHILLO DE CHEF</v>
      </c>
      <c r="AD57" s="65"/>
      <c r="AE57" s="65">
        <f>IFERROR(__xludf.DUMMYFUNCTION("""COMPUTED_VALUE"""),2.0)</f>
        <v>2</v>
      </c>
      <c r="AF57" s="65" t="str">
        <f>IFERROR(__xludf.DUMMYFUNCTION("""COMPUTED_VALUE"""),"DESTINATARIO NO CONTESTA LLAMADAS NI WHATSAPP")</f>
        <v>DESTINATARIO NO CONTESTA LLAMADAS NI WHATSAPP</v>
      </c>
      <c r="AG57" s="65" t="str">
        <f>IFERROR(__xludf.DUMMYFUNCTION("""COMPUTED_VALUE"""),"NO")</f>
        <v>NO</v>
      </c>
      <c r="AH57" s="65" t="str">
        <f>IFERROR(__xludf.DUMMYFUNCTION("""COMPUTED_VALUE"""),"17:35")</f>
        <v>17:35</v>
      </c>
      <c r="AI57" s="65" t="str">
        <f>IFERROR(__xludf.DUMMYFUNCTION("""COMPUTED_VALUE"""),"26-03-2026")</f>
        <v>26-03-2026</v>
      </c>
      <c r="AJ57" s="65"/>
      <c r="AK57" s="65"/>
      <c r="AL57" s="65"/>
      <c r="AM57" s="65"/>
      <c r="AN57" s="65" t="str">
        <f>IFERROR(__xludf.DUMMYFUNCTION("""COMPUTED_VALUE"""),"15:47")</f>
        <v>15:47</v>
      </c>
      <c r="AO57" s="65" t="str">
        <f>IFERROR(__xludf.DUMMYFUNCTION("""COMPUTED_VALUE"""),"26-03-2026")</f>
        <v>26-03-2026</v>
      </c>
      <c r="AP57" s="65" t="str">
        <f>IFERROR(__xludf.DUMMYFUNCTION("""COMPUTED_VALUE"""),"EN REPARTO")</f>
        <v>EN REPARTO</v>
      </c>
      <c r="AQ57" s="65" t="str">
        <f>IFERROR(__xludf.DUMMYFUNCTION("""COMPUTED_VALUE"""),"EN REPARTO")</f>
        <v>EN REPARTO</v>
      </c>
      <c r="AR57" s="65"/>
      <c r="AS57" s="65"/>
      <c r="AT57" s="65" t="str">
        <f>IFERROR(__xludf.DUMMYFUNCTION("""COMPUTED_VALUE"""),"SHOPIFY")</f>
        <v>SHOPIFY</v>
      </c>
      <c r="AU57" s="65" t="str">
        <f>IFERROR(__xludf.DUMMYFUNCTION("""COMPUTED_VALUE"""),"IMPORTEX EC")</f>
        <v>IMPORTEX EC</v>
      </c>
      <c r="AV57" s="65" t="str">
        <f>IFERROR(__xludf.DUMMYFUNCTION("""COMPUTED_VALUE"""),"6594084143148")</f>
        <v>6594084143148</v>
      </c>
      <c r="AW57" s="65">
        <f>IFERROR(__xludf.DUMMYFUNCTION("""COMPUTED_VALUE"""),6788.0)</f>
        <v>6788</v>
      </c>
      <c r="AX57" s="65"/>
      <c r="AY57" s="65" t="str">
        <f>IFERROR(__xludf.DUMMYFUNCTION("""COMPUTED_VALUE"""),"24/03/2026")</f>
        <v>24/03/2026</v>
      </c>
      <c r="AZ57" s="65"/>
      <c r="BA57" s="65"/>
    </row>
    <row r="58">
      <c r="A58" s="65" t="str">
        <f>IFERROR(__xludf.DUMMYFUNCTION("""COMPUTED_VALUE"""),"27-03-2026")</f>
        <v>27-03-2026</v>
      </c>
      <c r="B58" s="65">
        <f>IFERROR(__xludf.DUMMYFUNCTION("""COMPUTED_VALUE"""),4868820.0)</f>
        <v>4868820</v>
      </c>
      <c r="C58" s="65" t="str">
        <f>IFERROR(__xludf.DUMMYFUNCTION("""COMPUTED_VALUE"""),"12:54")</f>
        <v>12:54</v>
      </c>
      <c r="D58" s="65" t="str">
        <f>IFERROR(__xludf.DUMMYFUNCTION("""COMPUTED_VALUE"""),"21-03-2026")</f>
        <v>21-03-2026</v>
      </c>
      <c r="E58" s="65" t="str">
        <f>IFERROR(__xludf.DUMMYFUNCTION("""COMPUTED_VALUE"""),"Jessica Morocho")</f>
        <v>Jessica Morocho</v>
      </c>
      <c r="F58" s="65" t="str">
        <f>IFERROR(__xludf.DUMMYFUNCTION("""COMPUTED_VALUE"""),"987632197")</f>
        <v>987632197</v>
      </c>
      <c r="G58" s="65"/>
      <c r="H58" s="65"/>
      <c r="I58" s="65"/>
      <c r="J58" s="65" t="str">
        <f>IFERROR(__xludf.DUMMYFUNCTION("""COMPUTED_VALUE"""),"D001448482")</f>
        <v>D001448482</v>
      </c>
      <c r="K58" s="65" t="str">
        <f>IFERROR(__xludf.DUMMYFUNCTION("""COMPUTED_VALUE"""),"ENTREGADO")</f>
        <v>ENTREGADO</v>
      </c>
      <c r="L58" s="65" t="str">
        <f>IFERROR(__xludf.DUMMYFUNCTION("""COMPUTED_VALUE"""),"CON RECAUDO")</f>
        <v>CON RECAUDO</v>
      </c>
      <c r="M58" s="65" t="str">
        <f>IFERROR(__xludf.DUMMYFUNCTION("""COMPUTED_VALUE"""),"LOJA")</f>
        <v>LOJA</v>
      </c>
      <c r="N58" s="65" t="str">
        <f>IFERROR(__xludf.DUMMYFUNCTION("""COMPUTED_VALUE"""),"LOJA")</f>
        <v>LOJA</v>
      </c>
      <c r="O58" s="65" t="str">
        <f>IFERROR(__xludf.DUMMYFUNCTION("""COMPUTED_VALUE"""),"Ecuador Rocafuerte y Orillas del Zamora esquina - LOCAL SUPER MENESTRAS")</f>
        <v>Ecuador Rocafuerte y Orillas del Zamora esquina - LOCAL SUPER MENESTRAS</v>
      </c>
      <c r="P58" s="65"/>
      <c r="Q58" s="65" t="str">
        <f>IFERROR(__xludf.DUMMYFUNCTION("""COMPUTED_VALUE"""),"GINTRACOM")</f>
        <v>GINTRACOM</v>
      </c>
      <c r="R58" s="65">
        <f>IFERROR(__xludf.DUMMYFUNCTION("""COMPUTED_VALUE"""),22.0)</f>
        <v>22</v>
      </c>
      <c r="S58" s="65">
        <f>IFERROR(__xludf.DUMMYFUNCTION("""COMPUTED_VALUE"""),11.36)</f>
        <v>11.36</v>
      </c>
      <c r="T58" s="65">
        <f>IFERROR(__xludf.DUMMYFUNCTION("""COMPUTED_VALUE"""),5.84)</f>
        <v>5.84</v>
      </c>
      <c r="U58" s="65">
        <f>IFERROR(__xludf.DUMMYFUNCTION("""COMPUTED_VALUE"""),0.0)</f>
        <v>0</v>
      </c>
      <c r="V58" s="65">
        <f>IFERROR(__xludf.DUMMYFUNCTION("""COMPUTED_VALUE"""),0.0)</f>
        <v>0</v>
      </c>
      <c r="W58" s="65">
        <f>IFERROR(__xludf.DUMMYFUNCTION("""COMPUTED_VALUE"""),0.0)</f>
        <v>0</v>
      </c>
      <c r="X58" s="65">
        <f>IFERROR(__xludf.DUMMYFUNCTION("""COMPUTED_VALUE"""),2.4)</f>
        <v>2.4</v>
      </c>
      <c r="Y58" s="65">
        <f>IFERROR(__xludf.DUMMYFUNCTION("""COMPUTED_VALUE"""),4.8)</f>
        <v>4.8</v>
      </c>
      <c r="Z58" s="65">
        <f>IFERROR(__xludf.DUMMYFUNCTION("""COMPUTED_VALUE"""),119189.0)</f>
        <v>119189</v>
      </c>
      <c r="AA58" s="65" t="str">
        <f>IFERROR(__xludf.DUMMYFUNCTION("""COMPUTED_VALUE"""),"CUCHILLO DE CHEF")</f>
        <v>CUCHILLO DE CHEF</v>
      </c>
      <c r="AB58" s="65"/>
      <c r="AC58" s="65" t="str">
        <f>IFERROR(__xludf.DUMMYFUNCTION("""COMPUTED_VALUE"""),"CUCHILLO DE CHEF")</f>
        <v>CUCHILLO DE CHEF</v>
      </c>
      <c r="AD58" s="65"/>
      <c r="AE58" s="65">
        <f>IFERROR(__xludf.DUMMYFUNCTION("""COMPUTED_VALUE"""),2.0)</f>
        <v>2</v>
      </c>
      <c r="AF58" s="65"/>
      <c r="AG58" s="65"/>
      <c r="AH58" s="65"/>
      <c r="AI58" s="65"/>
      <c r="AJ58" s="65"/>
      <c r="AK58" s="65"/>
      <c r="AL58" s="65"/>
      <c r="AM58" s="65"/>
      <c r="AN58" s="65" t="str">
        <f>IFERROR(__xludf.DUMMYFUNCTION("""COMPUTED_VALUE"""),"16:34")</f>
        <v>16:34</v>
      </c>
      <c r="AO58" s="65" t="str">
        <f>IFERROR(__xludf.DUMMYFUNCTION("""COMPUTED_VALUE"""),"26-03-2026")</f>
        <v>26-03-2026</v>
      </c>
      <c r="AP58" s="65" t="str">
        <f>IFERROR(__xludf.DUMMYFUNCTION("""COMPUTED_VALUE"""),"ENTREGADA GINTRACOM")</f>
        <v>ENTREGADA GINTRACOM</v>
      </c>
      <c r="AQ58" s="65" t="str">
        <f>IFERROR(__xludf.DUMMYFUNCTION("""COMPUTED_VALUE"""),"ENTREGADA GINTRACOM")</f>
        <v>ENTREGADA GINTRACOM</v>
      </c>
      <c r="AR58" s="65"/>
      <c r="AS58" s="65"/>
      <c r="AT58" s="65" t="str">
        <f>IFERROR(__xludf.DUMMYFUNCTION("""COMPUTED_VALUE"""),"SHOPIFY")</f>
        <v>SHOPIFY</v>
      </c>
      <c r="AU58" s="65" t="str">
        <f>IFERROR(__xludf.DUMMYFUNCTION("""COMPUTED_VALUE"""),"IMPORTEX EC")</f>
        <v>IMPORTEX EC</v>
      </c>
      <c r="AV58" s="65" t="str">
        <f>IFERROR(__xludf.DUMMYFUNCTION("""COMPUTED_VALUE"""),"6594058780716")</f>
        <v>6594058780716</v>
      </c>
      <c r="AW58" s="65">
        <f>IFERROR(__xludf.DUMMYFUNCTION("""COMPUTED_VALUE"""),6787.0)</f>
        <v>6787</v>
      </c>
      <c r="AX58" s="65"/>
      <c r="AY58" s="65" t="str">
        <f>IFERROR(__xludf.DUMMYFUNCTION("""COMPUTED_VALUE"""),"24/03/2026")</f>
        <v>24/03/2026</v>
      </c>
      <c r="AZ58" s="65"/>
      <c r="BA58" s="65"/>
    </row>
    <row r="59">
      <c r="A59" s="65" t="str">
        <f>IFERROR(__xludf.DUMMYFUNCTION("""COMPUTED_VALUE"""),"27-03-2026")</f>
        <v>27-03-2026</v>
      </c>
      <c r="B59" s="65">
        <f>IFERROR(__xludf.DUMMYFUNCTION("""COMPUTED_VALUE"""),4868739.0)</f>
        <v>4868739</v>
      </c>
      <c r="C59" s="65" t="str">
        <f>IFERROR(__xludf.DUMMYFUNCTION("""COMPUTED_VALUE"""),"12:44")</f>
        <v>12:44</v>
      </c>
      <c r="D59" s="65" t="str">
        <f>IFERROR(__xludf.DUMMYFUNCTION("""COMPUTED_VALUE"""),"21-03-2026")</f>
        <v>21-03-2026</v>
      </c>
      <c r="E59" s="65" t="str">
        <f>IFERROR(__xludf.DUMMYFUNCTION("""COMPUTED_VALUE"""),"PAOLO PARDUCCI V")</f>
        <v>PAOLO PARDUCCI V</v>
      </c>
      <c r="F59" s="65" t="str">
        <f>IFERROR(__xludf.DUMMYFUNCTION("""COMPUTED_VALUE"""),"992120007")</f>
        <v>992120007</v>
      </c>
      <c r="G59" s="65" t="str">
        <f>IFERROR(__xludf.DUMMYFUNCTION("""COMPUTED_VALUE"""),"paoloparducci@gmail.com")</f>
        <v>paoloparducci@gmail.com</v>
      </c>
      <c r="H59" s="65"/>
      <c r="I59" s="65"/>
      <c r="J59" s="65" t="str">
        <f>IFERROR(__xludf.DUMMYFUNCTION("""COMPUTED_VALUE"""),"D001448088")</f>
        <v>D001448088</v>
      </c>
      <c r="K59" s="65" t="str">
        <f>IFERROR(__xludf.DUMMYFUNCTION("""COMPUTED_VALUE"""),"EN REPARTO")</f>
        <v>EN REPARTO</v>
      </c>
      <c r="L59" s="65" t="str">
        <f>IFERROR(__xludf.DUMMYFUNCTION("""COMPUTED_VALUE"""),"CON RECAUDO")</f>
        <v>CON RECAUDO</v>
      </c>
      <c r="M59" s="65" t="str">
        <f>IFERROR(__xludf.DUMMYFUNCTION("""COMPUTED_VALUE"""),"PICHINCHA")</f>
        <v>PICHINCHA</v>
      </c>
      <c r="N59" s="65" t="str">
        <f>IFERROR(__xludf.DUMMYFUNCTION("""COMPUTED_VALUE"""),"TUMBACO")</f>
        <v>TUMBACO</v>
      </c>
      <c r="O59" s="65" t="str">
        <f>IFERROR(__xludf.DUMMYFUNCTION("""COMPUTED_VALUE"""),"Calle Rio Coca N9-362 y Rio San Pedro, El Arenal, Tumbaco, Quito, 170902")</f>
        <v>Calle Rio Coca N9-362 y Rio San Pedro, El Arenal, Tumbaco, Quito, 170902</v>
      </c>
      <c r="P59" s="65"/>
      <c r="Q59" s="65" t="str">
        <f>IFERROR(__xludf.DUMMYFUNCTION("""COMPUTED_VALUE"""),"GINTRACOM")</f>
        <v>GINTRACOM</v>
      </c>
      <c r="R59" s="65">
        <f>IFERROR(__xludf.DUMMYFUNCTION("""COMPUTED_VALUE"""),20.0)</f>
        <v>20</v>
      </c>
      <c r="S59" s="65"/>
      <c r="T59" s="65">
        <f>IFERROR(__xludf.DUMMYFUNCTION("""COMPUTED_VALUE"""),5.75)</f>
        <v>5.75</v>
      </c>
      <c r="U59" s="65">
        <f>IFERROR(__xludf.DUMMYFUNCTION("""COMPUTED_VALUE"""),0.0)</f>
        <v>0</v>
      </c>
      <c r="V59" s="65">
        <f>IFERROR(__xludf.DUMMYFUNCTION("""COMPUTED_VALUE"""),0.0)</f>
        <v>0</v>
      </c>
      <c r="W59" s="65">
        <f>IFERROR(__xludf.DUMMYFUNCTION("""COMPUTED_VALUE"""),0.0)</f>
        <v>0</v>
      </c>
      <c r="X59" s="65">
        <f>IFERROR(__xludf.DUMMYFUNCTION("""COMPUTED_VALUE"""),2.21)</f>
        <v>2.21</v>
      </c>
      <c r="Y59" s="65">
        <f>IFERROR(__xludf.DUMMYFUNCTION("""COMPUTED_VALUE"""),4.42)</f>
        <v>4.42</v>
      </c>
      <c r="Z59" s="65">
        <f>IFERROR(__xludf.DUMMYFUNCTION("""COMPUTED_VALUE"""),120732.0)</f>
        <v>120732</v>
      </c>
      <c r="AA59" s="65" t="str">
        <f>IFERROR(__xludf.DUMMYFUNCTION("""COMPUTED_VALUE"""),"PROV-LMPVT")</f>
        <v>PROV-LMPVT</v>
      </c>
      <c r="AB59" s="65"/>
      <c r="AC59" s="65" t="str">
        <f>IFERROR(__xludf.DUMMYFUNCTION("""COMPUTED_VALUE"""),"LIMPIADOR DE PARABRISAS Y VENTANAS")</f>
        <v>LIMPIADOR DE PARABRISAS Y VENTANAS</v>
      </c>
      <c r="AD59" s="65"/>
      <c r="AE59" s="65">
        <f>IFERROR(__xludf.DUMMYFUNCTION("""COMPUTED_VALUE"""),2.0)</f>
        <v>2</v>
      </c>
      <c r="AF59" s="65"/>
      <c r="AG59" s="65"/>
      <c r="AH59" s="65"/>
      <c r="AI59" s="65"/>
      <c r="AJ59" s="65"/>
      <c r="AK59" s="65"/>
      <c r="AL59" s="65"/>
      <c r="AM59" s="65"/>
      <c r="AN59" s="65" t="str">
        <f>IFERROR(__xludf.DUMMYFUNCTION("""COMPUTED_VALUE"""),"08:26")</f>
        <v>08:26</v>
      </c>
      <c r="AO59" s="65" t="str">
        <f>IFERROR(__xludf.DUMMYFUNCTION("""COMPUTED_VALUE"""),"27-03-2026")</f>
        <v>27-03-2026</v>
      </c>
      <c r="AP59" s="65" t="str">
        <f>IFERROR(__xludf.DUMMYFUNCTION("""COMPUTED_VALUE"""),"EN REPARTO")</f>
        <v>EN REPARTO</v>
      </c>
      <c r="AQ59" s="65" t="str">
        <f>IFERROR(__xludf.DUMMYFUNCTION("""COMPUTED_VALUE"""),"EN REPARTO")</f>
        <v>EN REPARTO</v>
      </c>
      <c r="AR59" s="65"/>
      <c r="AS59" s="65"/>
      <c r="AT59" s="65" t="str">
        <f>IFERROR(__xludf.DUMMYFUNCTION("""COMPUTED_VALUE"""),"SHOPIFY")</f>
        <v>SHOPIFY</v>
      </c>
      <c r="AU59" s="65" t="str">
        <f>IFERROR(__xludf.DUMMYFUNCTION("""COMPUTED_VALUE"""),"IMPORTEX EC")</f>
        <v>IMPORTEX EC</v>
      </c>
      <c r="AV59" s="65" t="str">
        <f>IFERROR(__xludf.DUMMYFUNCTION("""COMPUTED_VALUE"""),"6594036826156")</f>
        <v>6594036826156</v>
      </c>
      <c r="AW59" s="65">
        <f>IFERROR(__xludf.DUMMYFUNCTION("""COMPUTED_VALUE"""),6786.0)</f>
        <v>6786</v>
      </c>
      <c r="AX59" s="65"/>
      <c r="AY59" s="65" t="str">
        <f>IFERROR(__xludf.DUMMYFUNCTION("""COMPUTED_VALUE"""),"24/03/2026")</f>
        <v>24/03/2026</v>
      </c>
      <c r="AZ59" s="65"/>
      <c r="BA59" s="65"/>
    </row>
    <row r="60">
      <c r="A60" s="65" t="str">
        <f>IFERROR(__xludf.DUMMYFUNCTION("""COMPUTED_VALUE"""),"27-03-2026")</f>
        <v>27-03-2026</v>
      </c>
      <c r="B60" s="65">
        <f>IFERROR(__xludf.DUMMYFUNCTION("""COMPUTED_VALUE"""),4868499.0)</f>
        <v>4868499</v>
      </c>
      <c r="C60" s="65" t="str">
        <f>IFERROR(__xludf.DUMMYFUNCTION("""COMPUTED_VALUE"""),"12:13")</f>
        <v>12:13</v>
      </c>
      <c r="D60" s="65" t="str">
        <f>IFERROR(__xludf.DUMMYFUNCTION("""COMPUTED_VALUE"""),"21-03-2026")</f>
        <v>21-03-2026</v>
      </c>
      <c r="E60" s="65" t="str">
        <f>IFERROR(__xludf.DUMMYFUNCTION("""COMPUTED_VALUE"""),"Maria viteri Viteri")</f>
        <v>Maria viteri Viteri</v>
      </c>
      <c r="F60" s="65" t="str">
        <f>IFERROR(__xludf.DUMMYFUNCTION("""COMPUTED_VALUE"""),"999838383")</f>
        <v>999838383</v>
      </c>
      <c r="G60" s="65" t="str">
        <f>IFERROR(__xludf.DUMMYFUNCTION("""COMPUTED_VALUE"""),"mages_viteri@hotmail.com")</f>
        <v>mages_viteri@hotmail.com</v>
      </c>
      <c r="H60" s="65"/>
      <c r="I60" s="65"/>
      <c r="J60" s="65" t="str">
        <f>IFERROR(__xludf.DUMMYFUNCTION("""COMPUTED_VALUE"""),"D001448484")</f>
        <v>D001448484</v>
      </c>
      <c r="K60" s="65" t="str">
        <f>IFERROR(__xludf.DUMMYFUNCTION("""COMPUTED_VALUE"""),"ENTREGADO")</f>
        <v>ENTREGADO</v>
      </c>
      <c r="L60" s="65" t="str">
        <f>IFERROR(__xludf.DUMMYFUNCTION("""COMPUTED_VALUE"""),"CON RECAUDO")</f>
        <v>CON RECAUDO</v>
      </c>
      <c r="M60" s="65" t="str">
        <f>IFERROR(__xludf.DUMMYFUNCTION("""COMPUTED_VALUE"""),"PICHINCHA")</f>
        <v>PICHINCHA</v>
      </c>
      <c r="N60" s="65" t="str">
        <f>IFERROR(__xludf.DUMMYFUNCTION("""COMPUTED_VALUE"""),"QUITO")</f>
        <v>QUITO</v>
      </c>
      <c r="O60" s="65" t="str">
        <f>IFERROR(__xludf.DUMMYFUNCTION("""COMPUTED_VALUE"""),"Cumbaya, Urb Santa Lucía baja, Lote 27, Junto a  Paseo San Francisco - Cumbaya")</f>
        <v>Cumbaya, Urb Santa Lucía baja, Lote 27, Junto a  Paseo San Francisco - Cumbaya</v>
      </c>
      <c r="P60" s="65"/>
      <c r="Q60" s="65" t="str">
        <f>IFERROR(__xludf.DUMMYFUNCTION("""COMPUTED_VALUE"""),"GINTRACOM")</f>
        <v>GINTRACOM</v>
      </c>
      <c r="R60" s="65">
        <f>IFERROR(__xludf.DUMMYFUNCTION("""COMPUTED_VALUE"""),22.0)</f>
        <v>22</v>
      </c>
      <c r="S60" s="65">
        <f>IFERROR(__xludf.DUMMYFUNCTION("""COMPUTED_VALUE"""),11.36)</f>
        <v>11.36</v>
      </c>
      <c r="T60" s="65">
        <f>IFERROR(__xludf.DUMMYFUNCTION("""COMPUTED_VALUE"""),5.84)</f>
        <v>5.84</v>
      </c>
      <c r="U60" s="65">
        <f>IFERROR(__xludf.DUMMYFUNCTION("""COMPUTED_VALUE"""),0.0)</f>
        <v>0</v>
      </c>
      <c r="V60" s="65">
        <f>IFERROR(__xludf.DUMMYFUNCTION("""COMPUTED_VALUE"""),0.0)</f>
        <v>0</v>
      </c>
      <c r="W60" s="65">
        <f>IFERROR(__xludf.DUMMYFUNCTION("""COMPUTED_VALUE"""),0.0)</f>
        <v>0</v>
      </c>
      <c r="X60" s="65">
        <f>IFERROR(__xludf.DUMMYFUNCTION("""COMPUTED_VALUE"""),2.4)</f>
        <v>2.4</v>
      </c>
      <c r="Y60" s="65">
        <f>IFERROR(__xludf.DUMMYFUNCTION("""COMPUTED_VALUE"""),4.8)</f>
        <v>4.8</v>
      </c>
      <c r="Z60" s="65">
        <f>IFERROR(__xludf.DUMMYFUNCTION("""COMPUTED_VALUE"""),119189.0)</f>
        <v>119189</v>
      </c>
      <c r="AA60" s="65" t="str">
        <f>IFERROR(__xludf.DUMMYFUNCTION("""COMPUTED_VALUE"""),"CUCHILLO DE CHEF")</f>
        <v>CUCHILLO DE CHEF</v>
      </c>
      <c r="AB60" s="65"/>
      <c r="AC60" s="65" t="str">
        <f>IFERROR(__xludf.DUMMYFUNCTION("""COMPUTED_VALUE"""),"CUCHILLO DE CHEF")</f>
        <v>CUCHILLO DE CHEF</v>
      </c>
      <c r="AD60" s="65"/>
      <c r="AE60" s="65">
        <f>IFERROR(__xludf.DUMMYFUNCTION("""COMPUTED_VALUE"""),2.0)</f>
        <v>2</v>
      </c>
      <c r="AF60" s="65"/>
      <c r="AG60" s="65"/>
      <c r="AH60" s="65"/>
      <c r="AI60" s="65"/>
      <c r="AJ60" s="65"/>
      <c r="AK60" s="65"/>
      <c r="AL60" s="65"/>
      <c r="AM60" s="65"/>
      <c r="AN60" s="65" t="str">
        <f>IFERROR(__xludf.DUMMYFUNCTION("""COMPUTED_VALUE"""),"12:15")</f>
        <v>12:15</v>
      </c>
      <c r="AO60" s="65" t="str">
        <f>IFERROR(__xludf.DUMMYFUNCTION("""COMPUTED_VALUE"""),"26-03-2026")</f>
        <v>26-03-2026</v>
      </c>
      <c r="AP60" s="65" t="str">
        <f>IFERROR(__xludf.DUMMYFUNCTION("""COMPUTED_VALUE"""),"ENTREGADA GINTRACOM")</f>
        <v>ENTREGADA GINTRACOM</v>
      </c>
      <c r="AQ60" s="65" t="str">
        <f>IFERROR(__xludf.DUMMYFUNCTION("""COMPUTED_VALUE"""),"ENTREGADA GINTRACOM")</f>
        <v>ENTREGADA GINTRACOM</v>
      </c>
      <c r="AR60" s="65"/>
      <c r="AS60" s="65"/>
      <c r="AT60" s="65" t="str">
        <f>IFERROR(__xludf.DUMMYFUNCTION("""COMPUTED_VALUE"""),"SHOPIFY")</f>
        <v>SHOPIFY</v>
      </c>
      <c r="AU60" s="65" t="str">
        <f>IFERROR(__xludf.DUMMYFUNCTION("""COMPUTED_VALUE"""),"IMPORTEX EC")</f>
        <v>IMPORTEX EC</v>
      </c>
      <c r="AV60" s="65" t="str">
        <f>IFERROR(__xludf.DUMMYFUNCTION("""COMPUTED_VALUE"""),"6593969324076")</f>
        <v>6593969324076</v>
      </c>
      <c r="AW60" s="65">
        <f>IFERROR(__xludf.DUMMYFUNCTION("""COMPUTED_VALUE"""),6785.0)</f>
        <v>6785</v>
      </c>
      <c r="AX60" s="65"/>
      <c r="AY60" s="65" t="str">
        <f>IFERROR(__xludf.DUMMYFUNCTION("""COMPUTED_VALUE"""),"24/03/2026")</f>
        <v>24/03/2026</v>
      </c>
      <c r="AZ60" s="65"/>
      <c r="BA60" s="65"/>
    </row>
    <row r="61">
      <c r="A61" s="65" t="str">
        <f>IFERROR(__xludf.DUMMYFUNCTION("""COMPUTED_VALUE"""),"27-03-2026")</f>
        <v>27-03-2026</v>
      </c>
      <c r="B61" s="65">
        <f>IFERROR(__xludf.DUMMYFUNCTION("""COMPUTED_VALUE"""),4868193.0)</f>
        <v>4868193</v>
      </c>
      <c r="C61" s="65" t="str">
        <f>IFERROR(__xludf.DUMMYFUNCTION("""COMPUTED_VALUE"""),"11:40")</f>
        <v>11:40</v>
      </c>
      <c r="D61" s="65" t="str">
        <f>IFERROR(__xludf.DUMMYFUNCTION("""COMPUTED_VALUE"""),"21-03-2026")</f>
        <v>21-03-2026</v>
      </c>
      <c r="E61" s="65" t="str">
        <f>IFERROR(__xludf.DUMMYFUNCTION("""COMPUTED_VALUE"""),"Elieser Francis Clavijo")</f>
        <v>Elieser Francis Clavijo</v>
      </c>
      <c r="F61" s="65" t="str">
        <f>IFERROR(__xludf.DUMMYFUNCTION("""COMPUTED_VALUE"""),"992646173")</f>
        <v>992646173</v>
      </c>
      <c r="G61" s="65" t="str">
        <f>IFERROR(__xludf.DUMMYFUNCTION("""COMPUTED_VALUE"""),"kevinfrancis286@gmail.com")</f>
        <v>kevinfrancis286@gmail.com</v>
      </c>
      <c r="H61" s="65"/>
      <c r="I61" s="65"/>
      <c r="J61" s="65" t="str">
        <f>IFERROR(__xludf.DUMMYFUNCTION("""COMPUTED_VALUE"""),"D001448486")</f>
        <v>D001448486</v>
      </c>
      <c r="K61" s="65" t="str">
        <f>IFERROR(__xludf.DUMMYFUNCTION("""COMPUTED_VALUE"""),"NOVEDAD")</f>
        <v>NOVEDAD</v>
      </c>
      <c r="L61" s="65" t="str">
        <f>IFERROR(__xludf.DUMMYFUNCTION("""COMPUTED_VALUE"""),"CON RECAUDO")</f>
        <v>CON RECAUDO</v>
      </c>
      <c r="M61" s="65" t="str">
        <f>IFERROR(__xludf.DUMMYFUNCTION("""COMPUTED_VALUE"""),"LOS RIOS")</f>
        <v>LOS RIOS</v>
      </c>
      <c r="N61" s="65" t="str">
        <f>IFERROR(__xludf.DUMMYFUNCTION("""COMPUTED_VALUE"""),"VENTANAS")</f>
        <v>VENTANAS</v>
      </c>
      <c r="O61" s="65" t="str">
        <f>IFERROR(__xludf.DUMMYFUNCTION("""COMPUTED_VALUE"""),"Calle B y Moraima Astudillo, Sector el Mirador - Frente al gabinete Dianita - Ventanas, provincia de Los Ríos")</f>
        <v>Calle B y Moraima Astudillo, Sector el Mirador - Frente al gabinete Dianita - Ventanas, provincia de Los Ríos</v>
      </c>
      <c r="P61" s="65"/>
      <c r="Q61" s="65" t="str">
        <f>IFERROR(__xludf.DUMMYFUNCTION("""COMPUTED_VALUE"""),"GINTRACOM")</f>
        <v>GINTRACOM</v>
      </c>
      <c r="R61" s="65">
        <f>IFERROR(__xludf.DUMMYFUNCTION("""COMPUTED_VALUE"""),22.0)</f>
        <v>22</v>
      </c>
      <c r="S61" s="65"/>
      <c r="T61" s="65">
        <f>IFERROR(__xludf.DUMMYFUNCTION("""COMPUTED_VALUE"""),5.84)</f>
        <v>5.84</v>
      </c>
      <c r="U61" s="65">
        <f>IFERROR(__xludf.DUMMYFUNCTION("""COMPUTED_VALUE"""),0.0)</f>
        <v>0</v>
      </c>
      <c r="V61" s="65">
        <f>IFERROR(__xludf.DUMMYFUNCTION("""COMPUTED_VALUE"""),0.0)</f>
        <v>0</v>
      </c>
      <c r="W61" s="65">
        <f>IFERROR(__xludf.DUMMYFUNCTION("""COMPUTED_VALUE"""),0.0)</f>
        <v>0</v>
      </c>
      <c r="X61" s="65">
        <f>IFERROR(__xludf.DUMMYFUNCTION("""COMPUTED_VALUE"""),2.4)</f>
        <v>2.4</v>
      </c>
      <c r="Y61" s="65">
        <f>IFERROR(__xludf.DUMMYFUNCTION("""COMPUTED_VALUE"""),4.8)</f>
        <v>4.8</v>
      </c>
      <c r="Z61" s="65">
        <f>IFERROR(__xludf.DUMMYFUNCTION("""COMPUTED_VALUE"""),119189.0)</f>
        <v>119189</v>
      </c>
      <c r="AA61" s="65" t="str">
        <f>IFERROR(__xludf.DUMMYFUNCTION("""COMPUTED_VALUE"""),"CUCHILLO DE CHEF")</f>
        <v>CUCHILLO DE CHEF</v>
      </c>
      <c r="AB61" s="65"/>
      <c r="AC61" s="65" t="str">
        <f>IFERROR(__xludf.DUMMYFUNCTION("""COMPUTED_VALUE"""),"CUCHILLO DE CHEF")</f>
        <v>CUCHILLO DE CHEF</v>
      </c>
      <c r="AD61" s="65"/>
      <c r="AE61" s="65">
        <f>IFERROR(__xludf.DUMMYFUNCTION("""COMPUTED_VALUE"""),2.0)</f>
        <v>2</v>
      </c>
      <c r="AF61" s="65" t="str">
        <f>IFERROR(__xludf.DUMMYFUNCTION("""COMPUTED_VALUE"""),"DESTINATARIO INDICA QUE ESTÁ INCONFORME CON EL PRODUCTO. (NO RECIBE)")</f>
        <v>DESTINATARIO INDICA QUE ESTÁ INCONFORME CON EL PRODUCTO. (NO RECIBE)</v>
      </c>
      <c r="AG61" s="65" t="str">
        <f>IFERROR(__xludf.DUMMYFUNCTION("""COMPUTED_VALUE"""),"NO")</f>
        <v>NO</v>
      </c>
      <c r="AH61" s="65" t="str">
        <f>IFERROR(__xludf.DUMMYFUNCTION("""COMPUTED_VALUE"""),"13:46")</f>
        <v>13:46</v>
      </c>
      <c r="AI61" s="65" t="str">
        <f>IFERROR(__xludf.DUMMYFUNCTION("""COMPUTED_VALUE"""),"26-03-2026")</f>
        <v>26-03-2026</v>
      </c>
      <c r="AJ61" s="65"/>
      <c r="AK61" s="65"/>
      <c r="AL61" s="65"/>
      <c r="AM61" s="65"/>
      <c r="AN61" s="65" t="str">
        <f>IFERROR(__xludf.DUMMYFUNCTION("""COMPUTED_VALUE"""),"12:26")</f>
        <v>12:26</v>
      </c>
      <c r="AO61" s="65" t="str">
        <f>IFERROR(__xludf.DUMMYFUNCTION("""COMPUTED_VALUE"""),"26-03-2026")</f>
        <v>26-03-2026</v>
      </c>
      <c r="AP61" s="65" t="str">
        <f>IFERROR(__xludf.DUMMYFUNCTION("""COMPUTED_VALUE"""),"EN REPARTO")</f>
        <v>EN REPARTO</v>
      </c>
      <c r="AQ61" s="65" t="str">
        <f>IFERROR(__xludf.DUMMYFUNCTION("""COMPUTED_VALUE"""),"EN REPARTO")</f>
        <v>EN REPARTO</v>
      </c>
      <c r="AR61" s="65"/>
      <c r="AS61" s="65"/>
      <c r="AT61" s="65" t="str">
        <f>IFERROR(__xludf.DUMMYFUNCTION("""COMPUTED_VALUE"""),"SHOPIFY")</f>
        <v>SHOPIFY</v>
      </c>
      <c r="AU61" s="65" t="str">
        <f>IFERROR(__xludf.DUMMYFUNCTION("""COMPUTED_VALUE"""),"IMPORTEX EC")</f>
        <v>IMPORTEX EC</v>
      </c>
      <c r="AV61" s="65" t="str">
        <f>IFERROR(__xludf.DUMMYFUNCTION("""COMPUTED_VALUE"""),"6593889665068")</f>
        <v>6593889665068</v>
      </c>
      <c r="AW61" s="65">
        <f>IFERROR(__xludf.DUMMYFUNCTION("""COMPUTED_VALUE"""),6784.0)</f>
        <v>6784</v>
      </c>
      <c r="AX61" s="65"/>
      <c r="AY61" s="65" t="str">
        <f>IFERROR(__xludf.DUMMYFUNCTION("""COMPUTED_VALUE"""),"24/03/2026")</f>
        <v>24/03/2026</v>
      </c>
      <c r="AZ61" s="65"/>
      <c r="BA61" s="65"/>
    </row>
    <row r="62">
      <c r="A62" s="65" t="str">
        <f>IFERROR(__xludf.DUMMYFUNCTION("""COMPUTED_VALUE"""),"27-03-2026")</f>
        <v>27-03-2026</v>
      </c>
      <c r="B62" s="65">
        <f>IFERROR(__xludf.DUMMYFUNCTION("""COMPUTED_VALUE"""),4867998.0)</f>
        <v>4867998</v>
      </c>
      <c r="C62" s="65" t="str">
        <f>IFERROR(__xludf.DUMMYFUNCTION("""COMPUTED_VALUE"""),"11:19")</f>
        <v>11:19</v>
      </c>
      <c r="D62" s="65" t="str">
        <f>IFERROR(__xludf.DUMMYFUNCTION("""COMPUTED_VALUE"""),"21-03-2026")</f>
        <v>21-03-2026</v>
      </c>
      <c r="E62" s="65" t="str">
        <f>IFERROR(__xludf.DUMMYFUNCTION("""COMPUTED_VALUE"""),"Guido Ordóñez")</f>
        <v>Guido Ordóñez</v>
      </c>
      <c r="F62" s="65" t="str">
        <f>IFERROR(__xludf.DUMMYFUNCTION("""COMPUTED_VALUE"""),"984887918")</f>
        <v>984887918</v>
      </c>
      <c r="G62" s="65" t="str">
        <f>IFERROR(__xludf.DUMMYFUNCTION("""COMPUTED_VALUE"""),"guidordonez@gmail.com")</f>
        <v>guidordonez@gmail.com</v>
      </c>
      <c r="H62" s="65"/>
      <c r="I62" s="65"/>
      <c r="J62" s="65" t="str">
        <f>IFERROR(__xludf.DUMMYFUNCTION("""COMPUTED_VALUE"""),"D001448091")</f>
        <v>D001448091</v>
      </c>
      <c r="K62" s="65" t="str">
        <f>IFERROR(__xludf.DUMMYFUNCTION("""COMPUTED_VALUE"""),"ENTREGADO")</f>
        <v>ENTREGADO</v>
      </c>
      <c r="L62" s="65" t="str">
        <f>IFERROR(__xludf.DUMMYFUNCTION("""COMPUTED_VALUE"""),"CON RECAUDO")</f>
        <v>CON RECAUDO</v>
      </c>
      <c r="M62" s="65" t="str">
        <f>IFERROR(__xludf.DUMMYFUNCTION("""COMPUTED_VALUE"""),"AZUAY")</f>
        <v>AZUAY</v>
      </c>
      <c r="N62" s="65" t="str">
        <f>IFERROR(__xludf.DUMMYFUNCTION("""COMPUTED_VALUE"""),"CUENCA")</f>
        <v>CUENCA</v>
      </c>
      <c r="O62" s="65" t="str">
        <f>IFERROR(__xludf.DUMMYFUNCTION("""COMPUTED_VALUE"""),"Oslo y Pasaje Oslo Sin número - Casa color Beige con puertas cafe chocolate")</f>
        <v>Oslo y Pasaje Oslo Sin número - Casa color Beige con puertas cafe chocolate</v>
      </c>
      <c r="P62" s="65"/>
      <c r="Q62" s="65" t="str">
        <f>IFERROR(__xludf.DUMMYFUNCTION("""COMPUTED_VALUE"""),"GINTRACOM")</f>
        <v>GINTRACOM</v>
      </c>
      <c r="R62" s="65">
        <f>IFERROR(__xludf.DUMMYFUNCTION("""COMPUTED_VALUE"""),20.0)</f>
        <v>20</v>
      </c>
      <c r="S62" s="65">
        <f>IFERROR(__xludf.DUMMYFUNCTION("""COMPUTED_VALUE"""),9.83)</f>
        <v>9.83</v>
      </c>
      <c r="T62" s="65">
        <f>IFERROR(__xludf.DUMMYFUNCTION("""COMPUTED_VALUE"""),5.75)</f>
        <v>5.75</v>
      </c>
      <c r="U62" s="65">
        <f>IFERROR(__xludf.DUMMYFUNCTION("""COMPUTED_VALUE"""),0.0)</f>
        <v>0</v>
      </c>
      <c r="V62" s="65">
        <f>IFERROR(__xludf.DUMMYFUNCTION("""COMPUTED_VALUE"""),0.0)</f>
        <v>0</v>
      </c>
      <c r="W62" s="65">
        <f>IFERROR(__xludf.DUMMYFUNCTION("""COMPUTED_VALUE"""),0.0)</f>
        <v>0</v>
      </c>
      <c r="X62" s="65">
        <f>IFERROR(__xludf.DUMMYFUNCTION("""COMPUTED_VALUE"""),2.21)</f>
        <v>2.21</v>
      </c>
      <c r="Y62" s="65">
        <f>IFERROR(__xludf.DUMMYFUNCTION("""COMPUTED_VALUE"""),4.42)</f>
        <v>4.42</v>
      </c>
      <c r="Z62" s="65">
        <f>IFERROR(__xludf.DUMMYFUNCTION("""COMPUTED_VALUE"""),120732.0)</f>
        <v>120732</v>
      </c>
      <c r="AA62" s="65" t="str">
        <f>IFERROR(__xludf.DUMMYFUNCTION("""COMPUTED_VALUE"""),"PROV-LMPVT")</f>
        <v>PROV-LMPVT</v>
      </c>
      <c r="AB62" s="65"/>
      <c r="AC62" s="65" t="str">
        <f>IFERROR(__xludf.DUMMYFUNCTION("""COMPUTED_VALUE"""),"LIMPIADOR DE PARABRISAS Y VENTANAS")</f>
        <v>LIMPIADOR DE PARABRISAS Y VENTANAS</v>
      </c>
      <c r="AD62" s="65"/>
      <c r="AE62" s="65">
        <f>IFERROR(__xludf.DUMMYFUNCTION("""COMPUTED_VALUE"""),2.0)</f>
        <v>2</v>
      </c>
      <c r="AF62" s="65"/>
      <c r="AG62" s="65"/>
      <c r="AH62" s="65"/>
      <c r="AI62" s="65"/>
      <c r="AJ62" s="65"/>
      <c r="AK62" s="65"/>
      <c r="AL62" s="65"/>
      <c r="AM62" s="65"/>
      <c r="AN62" s="65" t="str">
        <f>IFERROR(__xludf.DUMMYFUNCTION("""COMPUTED_VALUE"""),"12:17")</f>
        <v>12:17</v>
      </c>
      <c r="AO62" s="65" t="str">
        <f>IFERROR(__xludf.DUMMYFUNCTION("""COMPUTED_VALUE"""),"26-03-2026")</f>
        <v>26-03-2026</v>
      </c>
      <c r="AP62" s="65" t="str">
        <f>IFERROR(__xludf.DUMMYFUNCTION("""COMPUTED_VALUE"""),"ENTREGADA GINTRACOM")</f>
        <v>ENTREGADA GINTRACOM</v>
      </c>
      <c r="AQ62" s="65" t="str">
        <f>IFERROR(__xludf.DUMMYFUNCTION("""COMPUTED_VALUE"""),"ENTREGADA GINTRACOM")</f>
        <v>ENTREGADA GINTRACOM</v>
      </c>
      <c r="AR62" s="65"/>
      <c r="AS62" s="65"/>
      <c r="AT62" s="65" t="str">
        <f>IFERROR(__xludf.DUMMYFUNCTION("""COMPUTED_VALUE"""),"SHOPIFY")</f>
        <v>SHOPIFY</v>
      </c>
      <c r="AU62" s="65" t="str">
        <f>IFERROR(__xludf.DUMMYFUNCTION("""COMPUTED_VALUE"""),"IMPORTEX EC")</f>
        <v>IMPORTEX EC</v>
      </c>
      <c r="AV62" s="65" t="str">
        <f>IFERROR(__xludf.DUMMYFUNCTION("""COMPUTED_VALUE"""),"6593841430572")</f>
        <v>6593841430572</v>
      </c>
      <c r="AW62" s="65">
        <f>IFERROR(__xludf.DUMMYFUNCTION("""COMPUTED_VALUE"""),6783.0)</f>
        <v>6783</v>
      </c>
      <c r="AX62" s="65"/>
      <c r="AY62" s="65" t="str">
        <f>IFERROR(__xludf.DUMMYFUNCTION("""COMPUTED_VALUE"""),"24/03/2026")</f>
        <v>24/03/2026</v>
      </c>
      <c r="AZ62" s="65"/>
      <c r="BA62" s="65"/>
    </row>
    <row r="63">
      <c r="A63" s="65" t="str">
        <f>IFERROR(__xludf.DUMMYFUNCTION("""COMPUTED_VALUE"""),"27-03-2026")</f>
        <v>27-03-2026</v>
      </c>
      <c r="B63" s="65">
        <f>IFERROR(__xludf.DUMMYFUNCTION("""COMPUTED_VALUE"""),4867875.0)</f>
        <v>4867875</v>
      </c>
      <c r="C63" s="65" t="str">
        <f>IFERROR(__xludf.DUMMYFUNCTION("""COMPUTED_VALUE"""),"11:06")</f>
        <v>11:06</v>
      </c>
      <c r="D63" s="65" t="str">
        <f>IFERROR(__xludf.DUMMYFUNCTION("""COMPUTED_VALUE"""),"21-03-2026")</f>
        <v>21-03-2026</v>
      </c>
      <c r="E63" s="65" t="str">
        <f>IFERROR(__xludf.DUMMYFUNCTION("""COMPUTED_VALUE"""),"Soledad Coloma")</f>
        <v>Soledad Coloma</v>
      </c>
      <c r="F63" s="65" t="str">
        <f>IFERROR(__xludf.DUMMYFUNCTION("""COMPUTED_VALUE"""),"999810649")</f>
        <v>999810649</v>
      </c>
      <c r="G63" s="65" t="str">
        <f>IFERROR(__xludf.DUMMYFUNCTION("""COMPUTED_VALUE"""),"solecolomavenegas@gmail.com")</f>
        <v>solecolomavenegas@gmail.com</v>
      </c>
      <c r="H63" s="65"/>
      <c r="I63" s="65"/>
      <c r="J63" s="65" t="str">
        <f>IFERROR(__xludf.DUMMYFUNCTION("""COMPUTED_VALUE"""),"D001448487")</f>
        <v>D001448487</v>
      </c>
      <c r="K63" s="65" t="str">
        <f>IFERROR(__xludf.DUMMYFUNCTION("""COMPUTED_VALUE"""),"ENTREGADO")</f>
        <v>ENTREGADO</v>
      </c>
      <c r="L63" s="65" t="str">
        <f>IFERROR(__xludf.DUMMYFUNCTION("""COMPUTED_VALUE"""),"CON RECAUDO")</f>
        <v>CON RECAUDO</v>
      </c>
      <c r="M63" s="65" t="str">
        <f>IFERROR(__xludf.DUMMYFUNCTION("""COMPUTED_VALUE"""),"PICHINCHA")</f>
        <v>PICHINCHA</v>
      </c>
      <c r="N63" s="65" t="str">
        <f>IFERROR(__xludf.DUMMYFUNCTION("""COMPUTED_VALUE"""),"QUITO")</f>
        <v>QUITO</v>
      </c>
      <c r="O63" s="65" t="str">
        <f>IFERROR(__xludf.DUMMYFUNCTION("""COMPUTED_VALUE"""),"Av 6 de diciembre y Diego de Almagro, Corte Provincial de Justicia , Frente al  parque argentina")</f>
        <v>Av 6 de diciembre y Diego de Almagro, Corte Provincial de Justicia , Frente al  parque argentina</v>
      </c>
      <c r="P63" s="65"/>
      <c r="Q63" s="65" t="str">
        <f>IFERROR(__xludf.DUMMYFUNCTION("""COMPUTED_VALUE"""),"GINTRACOM")</f>
        <v>GINTRACOM</v>
      </c>
      <c r="R63" s="65">
        <f>IFERROR(__xludf.DUMMYFUNCTION("""COMPUTED_VALUE"""),22.0)</f>
        <v>22</v>
      </c>
      <c r="S63" s="65">
        <f>IFERROR(__xludf.DUMMYFUNCTION("""COMPUTED_VALUE"""),11.36)</f>
        <v>11.36</v>
      </c>
      <c r="T63" s="65">
        <f>IFERROR(__xludf.DUMMYFUNCTION("""COMPUTED_VALUE"""),5.84)</f>
        <v>5.84</v>
      </c>
      <c r="U63" s="65">
        <f>IFERROR(__xludf.DUMMYFUNCTION("""COMPUTED_VALUE"""),0.0)</f>
        <v>0</v>
      </c>
      <c r="V63" s="65">
        <f>IFERROR(__xludf.DUMMYFUNCTION("""COMPUTED_VALUE"""),0.0)</f>
        <v>0</v>
      </c>
      <c r="W63" s="65">
        <f>IFERROR(__xludf.DUMMYFUNCTION("""COMPUTED_VALUE"""),0.0)</f>
        <v>0</v>
      </c>
      <c r="X63" s="65">
        <f>IFERROR(__xludf.DUMMYFUNCTION("""COMPUTED_VALUE"""),2.4)</f>
        <v>2.4</v>
      </c>
      <c r="Y63" s="65">
        <f>IFERROR(__xludf.DUMMYFUNCTION("""COMPUTED_VALUE"""),4.8)</f>
        <v>4.8</v>
      </c>
      <c r="Z63" s="65">
        <f>IFERROR(__xludf.DUMMYFUNCTION("""COMPUTED_VALUE"""),119189.0)</f>
        <v>119189</v>
      </c>
      <c r="AA63" s="65" t="str">
        <f>IFERROR(__xludf.DUMMYFUNCTION("""COMPUTED_VALUE"""),"CUCHILLO DE CHEF")</f>
        <v>CUCHILLO DE CHEF</v>
      </c>
      <c r="AB63" s="65"/>
      <c r="AC63" s="65" t="str">
        <f>IFERROR(__xludf.DUMMYFUNCTION("""COMPUTED_VALUE"""),"CUCHILLO DE CHEF")</f>
        <v>CUCHILLO DE CHEF</v>
      </c>
      <c r="AD63" s="65"/>
      <c r="AE63" s="65">
        <f>IFERROR(__xludf.DUMMYFUNCTION("""COMPUTED_VALUE"""),2.0)</f>
        <v>2</v>
      </c>
      <c r="AF63" s="65"/>
      <c r="AG63" s="65"/>
      <c r="AH63" s="65"/>
      <c r="AI63" s="65"/>
      <c r="AJ63" s="65"/>
      <c r="AK63" s="65"/>
      <c r="AL63" s="65"/>
      <c r="AM63" s="65"/>
      <c r="AN63" s="65" t="str">
        <f>IFERROR(__xludf.DUMMYFUNCTION("""COMPUTED_VALUE"""),"08:52")</f>
        <v>08:52</v>
      </c>
      <c r="AO63" s="65" t="str">
        <f>IFERROR(__xludf.DUMMYFUNCTION("""COMPUTED_VALUE"""),"26-03-2026")</f>
        <v>26-03-2026</v>
      </c>
      <c r="AP63" s="65" t="str">
        <f>IFERROR(__xludf.DUMMYFUNCTION("""COMPUTED_VALUE"""),"EN REPARTO")</f>
        <v>EN REPARTO</v>
      </c>
      <c r="AQ63" s="65" t="str">
        <f>IFERROR(__xludf.DUMMYFUNCTION("""COMPUTED_VALUE"""),"EN REPARTO")</f>
        <v>EN REPARTO</v>
      </c>
      <c r="AR63" s="65"/>
      <c r="AS63" s="65"/>
      <c r="AT63" s="65" t="str">
        <f>IFERROR(__xludf.DUMMYFUNCTION("""COMPUTED_VALUE"""),"SHOPIFY")</f>
        <v>SHOPIFY</v>
      </c>
      <c r="AU63" s="65" t="str">
        <f>IFERROR(__xludf.DUMMYFUNCTION("""COMPUTED_VALUE"""),"IMPORTEX EC")</f>
        <v>IMPORTEX EC</v>
      </c>
      <c r="AV63" s="65" t="str">
        <f>IFERROR(__xludf.DUMMYFUNCTION("""COMPUTED_VALUE"""),"6593805353004")</f>
        <v>6593805353004</v>
      </c>
      <c r="AW63" s="65">
        <f>IFERROR(__xludf.DUMMYFUNCTION("""COMPUTED_VALUE"""),6782.0)</f>
        <v>6782</v>
      </c>
      <c r="AX63" s="65"/>
      <c r="AY63" s="65" t="str">
        <f>IFERROR(__xludf.DUMMYFUNCTION("""COMPUTED_VALUE"""),"24/03/2026")</f>
        <v>24/03/2026</v>
      </c>
      <c r="AZ63" s="65"/>
      <c r="BA63" s="65"/>
    </row>
    <row r="64">
      <c r="A64" s="65" t="str">
        <f>IFERROR(__xludf.DUMMYFUNCTION("""COMPUTED_VALUE"""),"27-03-2026")</f>
        <v>27-03-2026</v>
      </c>
      <c r="B64" s="65">
        <f>IFERROR(__xludf.DUMMYFUNCTION("""COMPUTED_VALUE"""),4867226.0)</f>
        <v>4867226</v>
      </c>
      <c r="C64" s="65" t="str">
        <f>IFERROR(__xludf.DUMMYFUNCTION("""COMPUTED_VALUE"""),"10:07")</f>
        <v>10:07</v>
      </c>
      <c r="D64" s="65" t="str">
        <f>IFERROR(__xludf.DUMMYFUNCTION("""COMPUTED_VALUE"""),"21-03-2026")</f>
        <v>21-03-2026</v>
      </c>
      <c r="E64" s="65" t="str">
        <f>IFERROR(__xludf.DUMMYFUNCTION("""COMPUTED_VALUE"""),"Hector Barahona")</f>
        <v>Hector Barahona</v>
      </c>
      <c r="F64" s="65" t="str">
        <f>IFERROR(__xludf.DUMMYFUNCTION("""COMPUTED_VALUE"""),"984014377")</f>
        <v>984014377</v>
      </c>
      <c r="G64" s="65" t="str">
        <f>IFERROR(__xludf.DUMMYFUNCTION("""COMPUTED_VALUE"""),"eduardobs2016@outlook.com")</f>
        <v>eduardobs2016@outlook.com</v>
      </c>
      <c r="H64" s="65"/>
      <c r="I64" s="65"/>
      <c r="J64" s="65" t="str">
        <f>IFERROR(__xludf.DUMMYFUNCTION("""COMPUTED_VALUE"""),"D001448489")</f>
        <v>D001448489</v>
      </c>
      <c r="K64" s="65" t="str">
        <f>IFERROR(__xludf.DUMMYFUNCTION("""COMPUTED_VALUE"""),"EN REPARTO")</f>
        <v>EN REPARTO</v>
      </c>
      <c r="L64" s="65" t="str">
        <f>IFERROR(__xludf.DUMMYFUNCTION("""COMPUTED_VALUE"""),"CON RECAUDO")</f>
        <v>CON RECAUDO</v>
      </c>
      <c r="M64" s="65" t="str">
        <f>IFERROR(__xludf.DUMMYFUNCTION("""COMPUTED_VALUE"""),"PICHINCHA")</f>
        <v>PICHINCHA</v>
      </c>
      <c r="N64" s="65" t="str">
        <f>IFERROR(__xludf.DUMMYFUNCTION("""COMPUTED_VALUE"""),"QUITO")</f>
        <v>QUITO</v>
      </c>
      <c r="O64" s="65" t="str">
        <f>IFERROR(__xludf.DUMMYFUNCTION("""COMPUTED_VALUE"""),"Elias godoy y Efrain Armas - CONDOMINIOS")</f>
        <v>Elias godoy y Efrain Armas - CONDOMINIOS</v>
      </c>
      <c r="P64" s="65"/>
      <c r="Q64" s="65" t="str">
        <f>IFERROR(__xludf.DUMMYFUNCTION("""COMPUTED_VALUE"""),"GINTRACOM")</f>
        <v>GINTRACOM</v>
      </c>
      <c r="R64" s="65">
        <f>IFERROR(__xludf.DUMMYFUNCTION("""COMPUTED_VALUE"""),22.0)</f>
        <v>22</v>
      </c>
      <c r="S64" s="65"/>
      <c r="T64" s="65">
        <f>IFERROR(__xludf.DUMMYFUNCTION("""COMPUTED_VALUE"""),5.84)</f>
        <v>5.84</v>
      </c>
      <c r="U64" s="65">
        <f>IFERROR(__xludf.DUMMYFUNCTION("""COMPUTED_VALUE"""),0.0)</f>
        <v>0</v>
      </c>
      <c r="V64" s="65">
        <f>IFERROR(__xludf.DUMMYFUNCTION("""COMPUTED_VALUE"""),0.0)</f>
        <v>0</v>
      </c>
      <c r="W64" s="65">
        <f>IFERROR(__xludf.DUMMYFUNCTION("""COMPUTED_VALUE"""),0.0)</f>
        <v>0</v>
      </c>
      <c r="X64" s="65">
        <f>IFERROR(__xludf.DUMMYFUNCTION("""COMPUTED_VALUE"""),2.4)</f>
        <v>2.4</v>
      </c>
      <c r="Y64" s="65">
        <f>IFERROR(__xludf.DUMMYFUNCTION("""COMPUTED_VALUE"""),4.8)</f>
        <v>4.8</v>
      </c>
      <c r="Z64" s="65">
        <f>IFERROR(__xludf.DUMMYFUNCTION("""COMPUTED_VALUE"""),119189.0)</f>
        <v>119189</v>
      </c>
      <c r="AA64" s="65" t="str">
        <f>IFERROR(__xludf.DUMMYFUNCTION("""COMPUTED_VALUE"""),"CUCHILLO DE CHEF")</f>
        <v>CUCHILLO DE CHEF</v>
      </c>
      <c r="AB64" s="65"/>
      <c r="AC64" s="65" t="str">
        <f>IFERROR(__xludf.DUMMYFUNCTION("""COMPUTED_VALUE"""),"CUCHILLO DE CHEF")</f>
        <v>CUCHILLO DE CHEF</v>
      </c>
      <c r="AD64" s="65"/>
      <c r="AE64" s="65">
        <f>IFERROR(__xludf.DUMMYFUNCTION("""COMPUTED_VALUE"""),2.0)</f>
        <v>2</v>
      </c>
      <c r="AF64" s="65"/>
      <c r="AG64" s="65"/>
      <c r="AH64" s="65"/>
      <c r="AI64" s="65"/>
      <c r="AJ64" s="65"/>
      <c r="AK64" s="65"/>
      <c r="AL64" s="65"/>
      <c r="AM64" s="65"/>
      <c r="AN64" s="65" t="str">
        <f>IFERROR(__xludf.DUMMYFUNCTION("""COMPUTED_VALUE"""),"09:17")</f>
        <v>09:17</v>
      </c>
      <c r="AO64" s="65" t="str">
        <f>IFERROR(__xludf.DUMMYFUNCTION("""COMPUTED_VALUE"""),"26-03-2026")</f>
        <v>26-03-2026</v>
      </c>
      <c r="AP64" s="65" t="str">
        <f>IFERROR(__xludf.DUMMYFUNCTION("""COMPUTED_VALUE"""),"EN REPARTO")</f>
        <v>EN REPARTO</v>
      </c>
      <c r="AQ64" s="65" t="str">
        <f>IFERROR(__xludf.DUMMYFUNCTION("""COMPUTED_VALUE"""),"EN REPARTO")</f>
        <v>EN REPARTO</v>
      </c>
      <c r="AR64" s="65"/>
      <c r="AS64" s="65"/>
      <c r="AT64" s="65" t="str">
        <f>IFERROR(__xludf.DUMMYFUNCTION("""COMPUTED_VALUE"""),"SHOPIFY")</f>
        <v>SHOPIFY</v>
      </c>
      <c r="AU64" s="65" t="str">
        <f>IFERROR(__xludf.DUMMYFUNCTION("""COMPUTED_VALUE"""),"IMPORTEX EC")</f>
        <v>IMPORTEX EC</v>
      </c>
      <c r="AV64" s="65" t="str">
        <f>IFERROR(__xludf.DUMMYFUNCTION("""COMPUTED_VALUE"""),"6593661993004")</f>
        <v>6593661993004</v>
      </c>
      <c r="AW64" s="65">
        <f>IFERROR(__xludf.DUMMYFUNCTION("""COMPUTED_VALUE"""),6780.0)</f>
        <v>6780</v>
      </c>
      <c r="AX64" s="65"/>
      <c r="AY64" s="65" t="str">
        <f>IFERROR(__xludf.DUMMYFUNCTION("""COMPUTED_VALUE"""),"24/03/2026")</f>
        <v>24/03/2026</v>
      </c>
      <c r="AZ64" s="65"/>
      <c r="BA64" s="65"/>
    </row>
    <row r="65">
      <c r="A65" s="65" t="str">
        <f>IFERROR(__xludf.DUMMYFUNCTION("""COMPUTED_VALUE"""),"27-03-2026")</f>
        <v>27-03-2026</v>
      </c>
      <c r="B65" s="65">
        <f>IFERROR(__xludf.DUMMYFUNCTION("""COMPUTED_VALUE"""),4866767.0)</f>
        <v>4866767</v>
      </c>
      <c r="C65" s="65" t="str">
        <f>IFERROR(__xludf.DUMMYFUNCTION("""COMPUTED_VALUE"""),"09:15")</f>
        <v>09:15</v>
      </c>
      <c r="D65" s="65" t="str">
        <f>IFERROR(__xludf.DUMMYFUNCTION("""COMPUTED_VALUE"""),"21-03-2026")</f>
        <v>21-03-2026</v>
      </c>
      <c r="E65" s="65" t="str">
        <f>IFERROR(__xludf.DUMMYFUNCTION("""COMPUTED_VALUE"""),"Julio montesdeoca")</f>
        <v>Julio montesdeoca</v>
      </c>
      <c r="F65" s="65" t="str">
        <f>IFERROR(__xludf.DUMMYFUNCTION("""COMPUTED_VALUE"""),"960004852")</f>
        <v>960004852</v>
      </c>
      <c r="G65" s="65" t="str">
        <f>IFERROR(__xludf.DUMMYFUNCTION("""COMPUTED_VALUE"""),"montesdeoca_julio@hotmail.com")</f>
        <v>montesdeoca_julio@hotmail.com</v>
      </c>
      <c r="H65" s="65"/>
      <c r="I65" s="65"/>
      <c r="J65" s="65" t="str">
        <f>IFERROR(__xludf.DUMMYFUNCTION("""COMPUTED_VALUE"""),"185029023")</f>
        <v>185029023</v>
      </c>
      <c r="K65" s="65" t="str">
        <f>IFERROR(__xludf.DUMMYFUNCTION("""COMPUTED_VALUE"""),"EN RUTA A CONCESION")</f>
        <v>EN RUTA A CONCESION</v>
      </c>
      <c r="L65" s="65" t="str">
        <f>IFERROR(__xludf.DUMMYFUNCTION("""COMPUTED_VALUE"""),"CON RECAUDO")</f>
        <v>CON RECAUDO</v>
      </c>
      <c r="M65" s="65" t="str">
        <f>IFERROR(__xludf.DUMMYFUNCTION("""COMPUTED_VALUE"""),"MANABI")</f>
        <v>MANABI</v>
      </c>
      <c r="N65" s="65" t="str">
        <f>IFERROR(__xludf.DUMMYFUNCTION("""COMPUTED_VALUE"""),"COJIMIES")</f>
        <v>COJIMIES</v>
      </c>
      <c r="O65" s="65" t="str">
        <f>IFERROR(__xludf.DUMMYFUNCTION("""COMPUTED_VALUE"""),"Ruperto Delgado y Alejo Centeno, Junto a  tienda Raquelita, Local de celulares jcmcell tecnología")</f>
        <v>Ruperto Delgado y Alejo Centeno, Junto a  tienda Raquelita, Local de celulares jcmcell tecnología</v>
      </c>
      <c r="P65" s="65"/>
      <c r="Q65" s="65" t="str">
        <f>IFERROR(__xludf.DUMMYFUNCTION("""COMPUTED_VALUE"""),"SERVIENTREGA")</f>
        <v>SERVIENTREGA</v>
      </c>
      <c r="R65" s="65">
        <f>IFERROR(__xludf.DUMMYFUNCTION("""COMPUTED_VALUE"""),20.0)</f>
        <v>20</v>
      </c>
      <c r="S65" s="65"/>
      <c r="T65" s="65">
        <f>IFERROR(__xludf.DUMMYFUNCTION("""COMPUTED_VALUE"""),7.67)</f>
        <v>7.67</v>
      </c>
      <c r="U65" s="65">
        <f>IFERROR(__xludf.DUMMYFUNCTION("""COMPUTED_VALUE"""),0.0)</f>
        <v>0</v>
      </c>
      <c r="V65" s="65">
        <f>IFERROR(__xludf.DUMMYFUNCTION("""COMPUTED_VALUE"""),0.0)</f>
        <v>0</v>
      </c>
      <c r="W65" s="65">
        <f>IFERROR(__xludf.DUMMYFUNCTION("""COMPUTED_VALUE"""),0.0)</f>
        <v>0</v>
      </c>
      <c r="X65" s="65">
        <f>IFERROR(__xludf.DUMMYFUNCTION("""COMPUTED_VALUE"""),2.21)</f>
        <v>2.21</v>
      </c>
      <c r="Y65" s="65">
        <f>IFERROR(__xludf.DUMMYFUNCTION("""COMPUTED_VALUE"""),4.42)</f>
        <v>4.42</v>
      </c>
      <c r="Z65" s="65">
        <f>IFERROR(__xludf.DUMMYFUNCTION("""COMPUTED_VALUE"""),120732.0)</f>
        <v>120732</v>
      </c>
      <c r="AA65" s="65" t="str">
        <f>IFERROR(__xludf.DUMMYFUNCTION("""COMPUTED_VALUE"""),"PROV-LMPVT")</f>
        <v>PROV-LMPVT</v>
      </c>
      <c r="AB65" s="65"/>
      <c r="AC65" s="65" t="str">
        <f>IFERROR(__xludf.DUMMYFUNCTION("""COMPUTED_VALUE"""),"LIMPIADOR DE PARABRISAS Y VENTANAS")</f>
        <v>LIMPIADOR DE PARABRISAS Y VENTANAS</v>
      </c>
      <c r="AD65" s="65"/>
      <c r="AE65" s="65">
        <f>IFERROR(__xludf.DUMMYFUNCTION("""COMPUTED_VALUE"""),2.0)</f>
        <v>2</v>
      </c>
      <c r="AF65" s="65"/>
      <c r="AG65" s="65"/>
      <c r="AH65" s="65"/>
      <c r="AI65" s="65"/>
      <c r="AJ65" s="65"/>
      <c r="AK65" s="65"/>
      <c r="AL65" s="65"/>
      <c r="AM65" s="65"/>
      <c r="AN65" s="65" t="str">
        <f>IFERROR(__xludf.DUMMYFUNCTION("""COMPUTED_VALUE"""),"08:01")</f>
        <v>08:01</v>
      </c>
      <c r="AO65" s="65" t="str">
        <f>IFERROR(__xludf.DUMMYFUNCTION("""COMPUTED_VALUE"""),"26-03-2026")</f>
        <v>26-03-2026</v>
      </c>
      <c r="AP65" s="65" t="str">
        <f>IFERROR(__xludf.DUMMYFUNCTION("""COMPUTED_VALUE"""),"EN RUTA A CONCESION")</f>
        <v>EN RUTA A CONCESION</v>
      </c>
      <c r="AQ65" s="65" t="str">
        <f>IFERROR(__xludf.DUMMYFUNCTION("""COMPUTED_VALUE"""),".")</f>
        <v>.</v>
      </c>
      <c r="AR65" s="65"/>
      <c r="AS65" s="65"/>
      <c r="AT65" s="65" t="str">
        <f>IFERROR(__xludf.DUMMYFUNCTION("""COMPUTED_VALUE"""),"SHOPIFY")</f>
        <v>SHOPIFY</v>
      </c>
      <c r="AU65" s="65" t="str">
        <f>IFERROR(__xludf.DUMMYFUNCTION("""COMPUTED_VALUE"""),"IMPORTEX EC")</f>
        <v>IMPORTEX EC</v>
      </c>
      <c r="AV65" s="65" t="str">
        <f>IFERROR(__xludf.DUMMYFUNCTION("""COMPUTED_VALUE"""),"6593567326252")</f>
        <v>6593567326252</v>
      </c>
      <c r="AW65" s="65">
        <f>IFERROR(__xludf.DUMMYFUNCTION("""COMPUTED_VALUE"""),6779.0)</f>
        <v>6779</v>
      </c>
      <c r="AX65" s="65"/>
      <c r="AY65" s="65" t="str">
        <f>IFERROR(__xludf.DUMMYFUNCTION("""COMPUTED_VALUE"""),"24/03/2026")</f>
        <v>24/03/2026</v>
      </c>
      <c r="AZ65" s="65"/>
      <c r="BA65" s="65"/>
    </row>
    <row r="66">
      <c r="A66" s="65" t="str">
        <f>IFERROR(__xludf.DUMMYFUNCTION("""COMPUTED_VALUE"""),"27-03-2026")</f>
        <v>27-03-2026</v>
      </c>
      <c r="B66" s="65">
        <f>IFERROR(__xludf.DUMMYFUNCTION("""COMPUTED_VALUE"""),4866656.0)</f>
        <v>4866656</v>
      </c>
      <c r="C66" s="65" t="str">
        <f>IFERROR(__xludf.DUMMYFUNCTION("""COMPUTED_VALUE"""),"09:00")</f>
        <v>09:00</v>
      </c>
      <c r="D66" s="65" t="str">
        <f>IFERROR(__xludf.DUMMYFUNCTION("""COMPUTED_VALUE"""),"21-03-2026")</f>
        <v>21-03-2026</v>
      </c>
      <c r="E66" s="65" t="str">
        <f>IFERROR(__xludf.DUMMYFUNCTION("""COMPUTED_VALUE"""),"Hugo Galarraga")</f>
        <v>Hugo Galarraga</v>
      </c>
      <c r="F66" s="65" t="str">
        <f>IFERROR(__xludf.DUMMYFUNCTION("""COMPUTED_VALUE"""),"990783227")</f>
        <v>990783227</v>
      </c>
      <c r="G66" s="65" t="str">
        <f>IFERROR(__xludf.DUMMYFUNCTION("""COMPUTED_VALUE"""),"osb_10@yahoo.com")</f>
        <v>osb_10@yahoo.com</v>
      </c>
      <c r="H66" s="65"/>
      <c r="I66" s="65"/>
      <c r="J66" s="65" t="str">
        <f>IFERROR(__xludf.DUMMYFUNCTION("""COMPUTED_VALUE"""),"D001448092")</f>
        <v>D001448092</v>
      </c>
      <c r="K66" s="65" t="str">
        <f>IFERROR(__xludf.DUMMYFUNCTION("""COMPUTED_VALUE"""),"EN BODEGA ORIGEN")</f>
        <v>EN BODEGA ORIGEN</v>
      </c>
      <c r="L66" s="65" t="str">
        <f>IFERROR(__xludf.DUMMYFUNCTION("""COMPUTED_VALUE"""),"CON RECAUDO")</f>
        <v>CON RECAUDO</v>
      </c>
      <c r="M66" s="65" t="str">
        <f>IFERROR(__xludf.DUMMYFUNCTION("""COMPUTED_VALUE"""),"PICHINCHA")</f>
        <v>PICHINCHA</v>
      </c>
      <c r="N66" s="65" t="str">
        <f>IFERROR(__xludf.DUMMYFUNCTION("""COMPUTED_VALUE"""),"CAYAMBE")</f>
        <v>CAYAMBE</v>
      </c>
      <c r="O66" s="65" t="str">
        <f>IFERROR(__xludf.DUMMYFUNCTION("""COMPUTED_VALUE"""),"Humberto fierro y venezuela Lote 5 barrio la patarata -")</f>
        <v>Humberto fierro y venezuela Lote 5 barrio la patarata -</v>
      </c>
      <c r="P66" s="65"/>
      <c r="Q66" s="65" t="str">
        <f>IFERROR(__xludf.DUMMYFUNCTION("""COMPUTED_VALUE"""),"GINTRACOM")</f>
        <v>GINTRACOM</v>
      </c>
      <c r="R66" s="65">
        <f>IFERROR(__xludf.DUMMYFUNCTION("""COMPUTED_VALUE"""),20.0)</f>
        <v>20</v>
      </c>
      <c r="S66" s="65"/>
      <c r="T66" s="65">
        <f>IFERROR(__xludf.DUMMYFUNCTION("""COMPUTED_VALUE"""),5.75)</f>
        <v>5.75</v>
      </c>
      <c r="U66" s="65">
        <f>IFERROR(__xludf.DUMMYFUNCTION("""COMPUTED_VALUE"""),0.0)</f>
        <v>0</v>
      </c>
      <c r="V66" s="65">
        <f>IFERROR(__xludf.DUMMYFUNCTION("""COMPUTED_VALUE"""),0.0)</f>
        <v>0</v>
      </c>
      <c r="W66" s="65">
        <f>IFERROR(__xludf.DUMMYFUNCTION("""COMPUTED_VALUE"""),0.0)</f>
        <v>0</v>
      </c>
      <c r="X66" s="65">
        <f>IFERROR(__xludf.DUMMYFUNCTION("""COMPUTED_VALUE"""),2.21)</f>
        <v>2.21</v>
      </c>
      <c r="Y66" s="65">
        <f>IFERROR(__xludf.DUMMYFUNCTION("""COMPUTED_VALUE"""),4.42)</f>
        <v>4.42</v>
      </c>
      <c r="Z66" s="65">
        <f>IFERROR(__xludf.DUMMYFUNCTION("""COMPUTED_VALUE"""),120732.0)</f>
        <v>120732</v>
      </c>
      <c r="AA66" s="65" t="str">
        <f>IFERROR(__xludf.DUMMYFUNCTION("""COMPUTED_VALUE"""),"PROV-LMPVT")</f>
        <v>PROV-LMPVT</v>
      </c>
      <c r="AB66" s="65"/>
      <c r="AC66" s="65" t="str">
        <f>IFERROR(__xludf.DUMMYFUNCTION("""COMPUTED_VALUE"""),"LIMPIADOR DE PARABRISAS Y VENTANAS")</f>
        <v>LIMPIADOR DE PARABRISAS Y VENTANAS</v>
      </c>
      <c r="AD66" s="65"/>
      <c r="AE66" s="65">
        <f>IFERROR(__xludf.DUMMYFUNCTION("""COMPUTED_VALUE"""),2.0)</f>
        <v>2</v>
      </c>
      <c r="AF66" s="65"/>
      <c r="AG66" s="65"/>
      <c r="AH66" s="65"/>
      <c r="AI66" s="65"/>
      <c r="AJ66" s="65"/>
      <c r="AK66" s="65"/>
      <c r="AL66" s="65"/>
      <c r="AM66" s="65"/>
      <c r="AN66" s="65" t="str">
        <f>IFERROR(__xludf.DUMMYFUNCTION("""COMPUTED_VALUE"""),"01:31")</f>
        <v>01:31</v>
      </c>
      <c r="AO66" s="65" t="str">
        <f>IFERROR(__xludf.DUMMYFUNCTION("""COMPUTED_VALUE"""),"27-03-2026")</f>
        <v>27-03-2026</v>
      </c>
      <c r="AP66" s="65" t="str">
        <f>IFERROR(__xludf.DUMMYFUNCTION("""COMPUTED_VALUE"""),"EN TRÁNSITO")</f>
        <v>EN TRÁNSITO</v>
      </c>
      <c r="AQ66" s="65" t="str">
        <f>IFERROR(__xludf.DUMMYFUNCTION("""COMPUTED_VALUE"""),"EN TRÁNSITO")</f>
        <v>EN TRÁNSITO</v>
      </c>
      <c r="AR66" s="65"/>
      <c r="AS66" s="65"/>
      <c r="AT66" s="65" t="str">
        <f>IFERROR(__xludf.DUMMYFUNCTION("""COMPUTED_VALUE"""),"SHOPIFY")</f>
        <v>SHOPIFY</v>
      </c>
      <c r="AU66" s="65" t="str">
        <f>IFERROR(__xludf.DUMMYFUNCTION("""COMPUTED_VALUE"""),"IMPORTEX EC")</f>
        <v>IMPORTEX EC</v>
      </c>
      <c r="AV66" s="65" t="str">
        <f>IFERROR(__xludf.DUMMYFUNCTION("""COMPUTED_VALUE"""),"6593549008940")</f>
        <v>6593549008940</v>
      </c>
      <c r="AW66" s="65">
        <f>IFERROR(__xludf.DUMMYFUNCTION("""COMPUTED_VALUE"""),6778.0)</f>
        <v>6778</v>
      </c>
      <c r="AX66" s="65"/>
      <c r="AY66" s="65" t="str">
        <f>IFERROR(__xludf.DUMMYFUNCTION("""COMPUTED_VALUE"""),"24/03/2026")</f>
        <v>24/03/2026</v>
      </c>
      <c r="AZ66" s="65"/>
      <c r="BA66" s="65"/>
    </row>
    <row r="67">
      <c r="A67" s="65" t="str">
        <f>IFERROR(__xludf.DUMMYFUNCTION("""COMPUTED_VALUE"""),"27-03-2026")</f>
        <v>27-03-2026</v>
      </c>
      <c r="B67" s="65">
        <f>IFERROR(__xludf.DUMMYFUNCTION("""COMPUTED_VALUE"""),4866256.0)</f>
        <v>4866256</v>
      </c>
      <c r="C67" s="65" t="str">
        <f>IFERROR(__xludf.DUMMYFUNCTION("""COMPUTED_VALUE"""),"08:18")</f>
        <v>08:18</v>
      </c>
      <c r="D67" s="65" t="str">
        <f>IFERROR(__xludf.DUMMYFUNCTION("""COMPUTED_VALUE"""),"21-03-2026")</f>
        <v>21-03-2026</v>
      </c>
      <c r="E67" s="65" t="str">
        <f>IFERROR(__xludf.DUMMYFUNCTION("""COMPUTED_VALUE"""),"Santiago Nuñez")</f>
        <v>Santiago Nuñez</v>
      </c>
      <c r="F67" s="65" t="str">
        <f>IFERROR(__xludf.DUMMYFUNCTION("""COMPUTED_VALUE"""),"999022651")</f>
        <v>999022651</v>
      </c>
      <c r="G67" s="65"/>
      <c r="H67" s="65"/>
      <c r="I67" s="65"/>
      <c r="J67" s="65" t="str">
        <f>IFERROR(__xludf.DUMMYFUNCTION("""COMPUTED_VALUE"""),"D001448094")</f>
        <v>D001448094</v>
      </c>
      <c r="K67" s="65" t="str">
        <f>IFERROR(__xludf.DUMMYFUNCTION("""COMPUTED_VALUE"""),"ENTREGADO")</f>
        <v>ENTREGADO</v>
      </c>
      <c r="L67" s="65" t="str">
        <f>IFERROR(__xludf.DUMMYFUNCTION("""COMPUTED_VALUE"""),"CON RECAUDO")</f>
        <v>CON RECAUDO</v>
      </c>
      <c r="M67" s="65" t="str">
        <f>IFERROR(__xludf.DUMMYFUNCTION("""COMPUTED_VALUE"""),"COTOPAXI")</f>
        <v>COTOPAXI</v>
      </c>
      <c r="N67" s="65" t="str">
        <f>IFERROR(__xludf.DUMMYFUNCTION("""COMPUTED_VALUE"""),"LATACUNGA")</f>
        <v>LATACUNGA</v>
      </c>
      <c r="O67" s="65" t="str">
        <f>IFERROR(__xludf.DUMMYFUNCTION("""COMPUTED_VALUE"""),"Calle Raymundo Torres y Av. 5 de Junio. diagonal a papelería Gallardo casa de un piso puerta de madera color cafe.")</f>
        <v>Calle Raymundo Torres y Av. 5 de Junio. diagonal a papelería Gallardo casa de un piso puerta de madera color cafe.</v>
      </c>
      <c r="P67" s="65" t="str">
        <f>IFERROR(__xludf.DUMMYFUNCTION("""COMPUTED_VALUE"""),"LIMPIADOR DE PARABRISAS Y VENTANAS: Default Title ***")</f>
        <v>LIMPIADOR DE PARABRISAS Y VENTANAS: Default Title ***</v>
      </c>
      <c r="Q67" s="65" t="str">
        <f>IFERROR(__xludf.DUMMYFUNCTION("""COMPUTED_VALUE"""),"GINTRACOM")</f>
        <v>GINTRACOM</v>
      </c>
      <c r="R67" s="65">
        <f>IFERROR(__xludf.DUMMYFUNCTION("""COMPUTED_VALUE"""),19.99)</f>
        <v>19.99</v>
      </c>
      <c r="S67" s="65">
        <f>IFERROR(__xludf.DUMMYFUNCTION("""COMPUTED_VALUE"""),12.03)</f>
        <v>12.03</v>
      </c>
      <c r="T67" s="65">
        <f>IFERROR(__xludf.DUMMYFUNCTION("""COMPUTED_VALUE"""),5.75)</f>
        <v>5.75</v>
      </c>
      <c r="U67" s="65">
        <f>IFERROR(__xludf.DUMMYFUNCTION("""COMPUTED_VALUE"""),0.0)</f>
        <v>0</v>
      </c>
      <c r="V67" s="65">
        <f>IFERROR(__xludf.DUMMYFUNCTION("""COMPUTED_VALUE"""),0.0)</f>
        <v>0</v>
      </c>
      <c r="W67" s="65">
        <f>IFERROR(__xludf.DUMMYFUNCTION("""COMPUTED_VALUE"""),0.0)</f>
        <v>0</v>
      </c>
      <c r="X67" s="65">
        <f>IFERROR(__xludf.DUMMYFUNCTION("""COMPUTED_VALUE"""),2.21)</f>
        <v>2.21</v>
      </c>
      <c r="Y67" s="65">
        <f>IFERROR(__xludf.DUMMYFUNCTION("""COMPUTED_VALUE"""),2.21)</f>
        <v>2.21</v>
      </c>
      <c r="Z67" s="65">
        <f>IFERROR(__xludf.DUMMYFUNCTION("""COMPUTED_VALUE"""),120732.0)</f>
        <v>120732</v>
      </c>
      <c r="AA67" s="65" t="str">
        <f>IFERROR(__xludf.DUMMYFUNCTION("""COMPUTED_VALUE"""),"PROV-LMPVT")</f>
        <v>PROV-LMPVT</v>
      </c>
      <c r="AB67" s="65"/>
      <c r="AC67" s="65" t="str">
        <f>IFERROR(__xludf.DUMMYFUNCTION("""COMPUTED_VALUE"""),"LIMPIADOR DE PARABRISAS Y VENTANAS")</f>
        <v>LIMPIADOR DE PARABRISAS Y VENTANAS</v>
      </c>
      <c r="AD67" s="65"/>
      <c r="AE67" s="65">
        <f>IFERROR(__xludf.DUMMYFUNCTION("""COMPUTED_VALUE"""),1.0)</f>
        <v>1</v>
      </c>
      <c r="AF67" s="65"/>
      <c r="AG67" s="65"/>
      <c r="AH67" s="65"/>
      <c r="AI67" s="65"/>
      <c r="AJ67" s="65"/>
      <c r="AK67" s="65"/>
      <c r="AL67" s="65"/>
      <c r="AM67" s="65"/>
      <c r="AN67" s="65" t="str">
        <f>IFERROR(__xludf.DUMMYFUNCTION("""COMPUTED_VALUE"""),"09:00")</f>
        <v>09:00</v>
      </c>
      <c r="AO67" s="65" t="str">
        <f>IFERROR(__xludf.DUMMYFUNCTION("""COMPUTED_VALUE"""),"26-03-2026")</f>
        <v>26-03-2026</v>
      </c>
      <c r="AP67" s="65" t="str">
        <f>IFERROR(__xludf.DUMMYFUNCTION("""COMPUTED_VALUE"""),"EN REPARTO")</f>
        <v>EN REPARTO</v>
      </c>
      <c r="AQ67" s="65" t="str">
        <f>IFERROR(__xludf.DUMMYFUNCTION("""COMPUTED_VALUE"""),"EN REPARTO")</f>
        <v>EN REPARTO</v>
      </c>
      <c r="AR67" s="65"/>
      <c r="AS67" s="65"/>
      <c r="AT67" s="65" t="str">
        <f>IFERROR(__xludf.DUMMYFUNCTION("""COMPUTED_VALUE"""),"SHOPIFY")</f>
        <v>SHOPIFY</v>
      </c>
      <c r="AU67" s="65" t="str">
        <f>IFERROR(__xludf.DUMMYFUNCTION("""COMPUTED_VALUE"""),"IMPORTEX EC")</f>
        <v>IMPORTEX EC</v>
      </c>
      <c r="AV67" s="65" t="str">
        <f>IFERROR(__xludf.DUMMYFUNCTION("""COMPUTED_VALUE"""),"6593487175724")</f>
        <v>6593487175724</v>
      </c>
      <c r="AW67" s="65">
        <f>IFERROR(__xludf.DUMMYFUNCTION("""COMPUTED_VALUE"""),6777.0)</f>
        <v>6777</v>
      </c>
      <c r="AX67" s="65"/>
      <c r="AY67" s="65" t="str">
        <f>IFERROR(__xludf.DUMMYFUNCTION("""COMPUTED_VALUE"""),"24/03/2026")</f>
        <v>24/03/2026</v>
      </c>
      <c r="AZ67" s="65"/>
      <c r="BA67" s="65"/>
    </row>
    <row r="68">
      <c r="A68" s="65" t="str">
        <f>IFERROR(__xludf.DUMMYFUNCTION("""COMPUTED_VALUE"""),"27-03-2026")</f>
        <v>27-03-2026</v>
      </c>
      <c r="B68" s="65">
        <f>IFERROR(__xludf.DUMMYFUNCTION("""COMPUTED_VALUE"""),4866170.0)</f>
        <v>4866170</v>
      </c>
      <c r="C68" s="65" t="str">
        <f>IFERROR(__xludf.DUMMYFUNCTION("""COMPUTED_VALUE"""),"08:09")</f>
        <v>08:09</v>
      </c>
      <c r="D68" s="65" t="str">
        <f>IFERROR(__xludf.DUMMYFUNCTION("""COMPUTED_VALUE"""),"21-03-2026")</f>
        <v>21-03-2026</v>
      </c>
      <c r="E68" s="65" t="str">
        <f>IFERROR(__xludf.DUMMYFUNCTION("""COMPUTED_VALUE"""),"Flor Murillo")</f>
        <v>Flor Murillo</v>
      </c>
      <c r="F68" s="65" t="str">
        <f>IFERROR(__xludf.DUMMYFUNCTION("""COMPUTED_VALUE"""),"985747364")</f>
        <v>985747364</v>
      </c>
      <c r="G68" s="65" t="str">
        <f>IFERROR(__xludf.DUMMYFUNCTION("""COMPUTED_VALUE"""),"flormurillo335@gmail.com")</f>
        <v>flormurillo335@gmail.com</v>
      </c>
      <c r="H68" s="65"/>
      <c r="I68" s="65"/>
      <c r="J68" s="65"/>
      <c r="K68" s="65" t="str">
        <f>IFERROR(__xludf.DUMMYFUNCTION("""COMPUTED_VALUE"""),"PENDIENTE CONFIRMACION")</f>
        <v>PENDIENTE CONFIRMACION</v>
      </c>
      <c r="L68" s="65" t="str">
        <f>IFERROR(__xludf.DUMMYFUNCTION("""COMPUTED_VALUE"""),"CON RECAUDO")</f>
        <v>CON RECAUDO</v>
      </c>
      <c r="M68" s="65" t="str">
        <f>IFERROR(__xludf.DUMMYFUNCTION("""COMPUTED_VALUE"""),"GUAYAS")</f>
        <v>GUAYAS</v>
      </c>
      <c r="N68" s="65" t="str">
        <f>IFERROR(__xludf.DUMMYFUNCTION("""COMPUTED_VALUE"""),"GUAYAQUIL")</f>
        <v>GUAYAQUIL</v>
      </c>
      <c r="O68" s="65" t="str">
        <f>IFERROR(__xludf.DUMMYFUNCTION("""COMPUTED_VALUE"""),"Salitre Milan turin 5 13 -")</f>
        <v>Salitre Milan turin 5 13 -</v>
      </c>
      <c r="P68" s="65"/>
      <c r="Q68" s="65" t="str">
        <f>IFERROR(__xludf.DUMMYFUNCTION("""COMPUTED_VALUE"""),"GINTRACOM")</f>
        <v>GINTRACOM</v>
      </c>
      <c r="R68" s="65">
        <f>IFERROR(__xludf.DUMMYFUNCTION("""COMPUTED_VALUE"""),22.0)</f>
        <v>22</v>
      </c>
      <c r="S68" s="65"/>
      <c r="T68" s="65">
        <f>IFERROR(__xludf.DUMMYFUNCTION("""COMPUTED_VALUE"""),4.23)</f>
        <v>4.23</v>
      </c>
      <c r="U68" s="65">
        <f>IFERROR(__xludf.DUMMYFUNCTION("""COMPUTED_VALUE"""),0.0)</f>
        <v>0</v>
      </c>
      <c r="V68" s="65">
        <f>IFERROR(__xludf.DUMMYFUNCTION("""COMPUTED_VALUE"""),0.0)</f>
        <v>0</v>
      </c>
      <c r="W68" s="65">
        <f>IFERROR(__xludf.DUMMYFUNCTION("""COMPUTED_VALUE"""),0.0)</f>
        <v>0</v>
      </c>
      <c r="X68" s="65">
        <f>IFERROR(__xludf.DUMMYFUNCTION("""COMPUTED_VALUE"""),2.85)</f>
        <v>2.85</v>
      </c>
      <c r="Y68" s="65">
        <f>IFERROR(__xludf.DUMMYFUNCTION("""COMPUTED_VALUE"""),5.7)</f>
        <v>5.7</v>
      </c>
      <c r="Z68" s="65">
        <f>IFERROR(__xludf.DUMMYFUNCTION("""COMPUTED_VALUE"""),129724.0)</f>
        <v>129724</v>
      </c>
      <c r="AA68" s="65" t="str">
        <f>IFERROR(__xludf.DUMMYFUNCTION("""COMPUTED_VALUE"""),"TSTBP")</f>
        <v>TSTBP</v>
      </c>
      <c r="AB68" s="65"/>
      <c r="AC68" s="65" t="str">
        <f>IFERROR(__xludf.DUMMYFUNCTION("""COMPUTED_VALUE"""),"Tira Selladora Tope Bloqueador Puertas")</f>
        <v>Tira Selladora Tope Bloqueador Puertas</v>
      </c>
      <c r="AD68" s="65"/>
      <c r="AE68" s="65">
        <f>IFERROR(__xludf.DUMMYFUNCTION("""COMPUTED_VALUE"""),2.0)</f>
        <v>2</v>
      </c>
      <c r="AF68" s="65"/>
      <c r="AG68" s="65"/>
      <c r="AH68" s="65"/>
      <c r="AI68" s="65"/>
      <c r="AJ68" s="65"/>
      <c r="AK68" s="65"/>
      <c r="AL68" s="65"/>
      <c r="AM68" s="65"/>
      <c r="AN68" s="65"/>
      <c r="AO68" s="65"/>
      <c r="AP68" s="65"/>
      <c r="AQ68" s="65"/>
      <c r="AR68" s="65"/>
      <c r="AS68" s="65"/>
      <c r="AT68" s="65" t="str">
        <f>IFERROR(__xludf.DUMMYFUNCTION("""COMPUTED_VALUE"""),"SHOPIFY")</f>
        <v>SHOPIFY</v>
      </c>
      <c r="AU68" s="65" t="str">
        <f>IFERROR(__xludf.DUMMYFUNCTION("""COMPUTED_VALUE"""),"IMPORTEX EC")</f>
        <v>IMPORTEX EC</v>
      </c>
      <c r="AV68" s="65" t="str">
        <f>IFERROR(__xludf.DUMMYFUNCTION("""COMPUTED_VALUE"""),"6592377520172")</f>
        <v>6592377520172</v>
      </c>
      <c r="AW68" s="65">
        <f>IFERROR(__xludf.DUMMYFUNCTION("""COMPUTED_VALUE"""),6748.0)</f>
        <v>6748</v>
      </c>
      <c r="AX68" s="65"/>
      <c r="AY68" s="65"/>
      <c r="AZ68" s="65"/>
      <c r="BA68" s="65"/>
    </row>
    <row r="69">
      <c r="A69" s="65" t="str">
        <f>IFERROR(__xludf.DUMMYFUNCTION("""COMPUTED_VALUE"""),"27-03-2026")</f>
        <v>27-03-2026</v>
      </c>
      <c r="B69" s="65">
        <f>IFERROR(__xludf.DUMMYFUNCTION("""COMPUTED_VALUE"""),4866166.0)</f>
        <v>4866166</v>
      </c>
      <c r="C69" s="65" t="str">
        <f>IFERROR(__xludf.DUMMYFUNCTION("""COMPUTED_VALUE"""),"08:09")</f>
        <v>08:09</v>
      </c>
      <c r="D69" s="65" t="str">
        <f>IFERROR(__xludf.DUMMYFUNCTION("""COMPUTED_VALUE"""),"21-03-2026")</f>
        <v>21-03-2026</v>
      </c>
      <c r="E69" s="65" t="str">
        <f>IFERROR(__xludf.DUMMYFUNCTION("""COMPUTED_VALUE"""),"Byron Vasco Chuquilla")</f>
        <v>Byron Vasco Chuquilla</v>
      </c>
      <c r="F69" s="65" t="str">
        <f>IFERROR(__xludf.DUMMYFUNCTION("""COMPUTED_VALUE"""),"968412758")</f>
        <v>968412758</v>
      </c>
      <c r="G69" s="65" t="str">
        <f>IFERROR(__xludf.DUMMYFUNCTION("""COMPUTED_VALUE"""),"avasco92@gmail.com")</f>
        <v>avasco92@gmail.com</v>
      </c>
      <c r="H69" s="65"/>
      <c r="I69" s="65"/>
      <c r="J69" s="65"/>
      <c r="K69" s="65" t="str">
        <f>IFERROR(__xludf.DUMMYFUNCTION("""COMPUTED_VALUE"""),"PENDIENTE CONFIRMACION")</f>
        <v>PENDIENTE CONFIRMACION</v>
      </c>
      <c r="L69" s="65" t="str">
        <f>IFERROR(__xludf.DUMMYFUNCTION("""COMPUTED_VALUE"""),"CON RECAUDO")</f>
        <v>CON RECAUDO</v>
      </c>
      <c r="M69" s="65" t="str">
        <f>IFERROR(__xludf.DUMMYFUNCTION("""COMPUTED_VALUE"""),"LOS RIOS")</f>
        <v>LOS RIOS</v>
      </c>
      <c r="N69" s="65" t="str">
        <f>IFERROR(__xludf.DUMMYFUNCTION("""COMPUTED_VALUE"""),"QUEVEDO")</f>
        <v>QUEVEDO</v>
      </c>
      <c r="O69" s="65" t="str">
        <f>IFERROR(__xludf.DUMMYFUNCTION("""COMPUTED_VALUE"""),"Avenida San Rafael Hospital del IESS -")</f>
        <v>Avenida San Rafael Hospital del IESS -</v>
      </c>
      <c r="P69" s="65"/>
      <c r="Q69" s="65" t="str">
        <f>IFERROR(__xludf.DUMMYFUNCTION("""COMPUTED_VALUE"""),"GINTRACOM")</f>
        <v>GINTRACOM</v>
      </c>
      <c r="R69" s="65">
        <f>IFERROR(__xludf.DUMMYFUNCTION("""COMPUTED_VALUE"""),30.0)</f>
        <v>30</v>
      </c>
      <c r="S69" s="65"/>
      <c r="T69" s="65">
        <f>IFERROR(__xludf.DUMMYFUNCTION("""COMPUTED_VALUE"""),6.16)</f>
        <v>6.16</v>
      </c>
      <c r="U69" s="65">
        <f>IFERROR(__xludf.DUMMYFUNCTION("""COMPUTED_VALUE"""),0.0)</f>
        <v>0</v>
      </c>
      <c r="V69" s="65">
        <f>IFERROR(__xludf.DUMMYFUNCTION("""COMPUTED_VALUE"""),0.0)</f>
        <v>0</v>
      </c>
      <c r="W69" s="65">
        <f>IFERROR(__xludf.DUMMYFUNCTION("""COMPUTED_VALUE"""),0.0)</f>
        <v>0</v>
      </c>
      <c r="X69" s="65">
        <f>IFERROR(__xludf.DUMMYFUNCTION("""COMPUTED_VALUE"""),2.21)</f>
        <v>2.21</v>
      </c>
      <c r="Y69" s="65">
        <f>IFERROR(__xludf.DUMMYFUNCTION("""COMPUTED_VALUE"""),8.84)</f>
        <v>8.84</v>
      </c>
      <c r="Z69" s="65">
        <f>IFERROR(__xludf.DUMMYFUNCTION("""COMPUTED_VALUE"""),120732.0)</f>
        <v>120732</v>
      </c>
      <c r="AA69" s="65" t="str">
        <f>IFERROR(__xludf.DUMMYFUNCTION("""COMPUTED_VALUE"""),"PROV-LMPVT")</f>
        <v>PROV-LMPVT</v>
      </c>
      <c r="AB69" s="65"/>
      <c r="AC69" s="65" t="str">
        <f>IFERROR(__xludf.DUMMYFUNCTION("""COMPUTED_VALUE"""),"LIMPIADOR DE PARABRISAS Y VENTANAS")</f>
        <v>LIMPIADOR DE PARABRISAS Y VENTANAS</v>
      </c>
      <c r="AD69" s="65"/>
      <c r="AE69" s="65">
        <f>IFERROR(__xludf.DUMMYFUNCTION("""COMPUTED_VALUE"""),4.0)</f>
        <v>4</v>
      </c>
      <c r="AF69" s="65"/>
      <c r="AG69" s="65"/>
      <c r="AH69" s="65"/>
      <c r="AI69" s="65"/>
      <c r="AJ69" s="65"/>
      <c r="AK69" s="65"/>
      <c r="AL69" s="65"/>
      <c r="AM69" s="65"/>
      <c r="AN69" s="65"/>
      <c r="AO69" s="65"/>
      <c r="AP69" s="65"/>
      <c r="AQ69" s="65"/>
      <c r="AR69" s="65"/>
      <c r="AS69" s="65"/>
      <c r="AT69" s="65" t="str">
        <f>IFERROR(__xludf.DUMMYFUNCTION("""COMPUTED_VALUE"""),"SHOPIFY")</f>
        <v>SHOPIFY</v>
      </c>
      <c r="AU69" s="65" t="str">
        <f>IFERROR(__xludf.DUMMYFUNCTION("""COMPUTED_VALUE"""),"IMPORTEX EC")</f>
        <v>IMPORTEX EC</v>
      </c>
      <c r="AV69" s="65" t="str">
        <f>IFERROR(__xludf.DUMMYFUNCTION("""COMPUTED_VALUE"""),"6593475477548")</f>
        <v>6593475477548</v>
      </c>
      <c r="AW69" s="65">
        <f>IFERROR(__xludf.DUMMYFUNCTION("""COMPUTED_VALUE"""),6776.0)</f>
        <v>6776</v>
      </c>
      <c r="AX69" s="65"/>
      <c r="AY69" s="65"/>
      <c r="AZ69" s="65"/>
      <c r="BA69" s="65"/>
    </row>
    <row r="70">
      <c r="A70" s="65" t="str">
        <f>IFERROR(__xludf.DUMMYFUNCTION("""COMPUTED_VALUE"""),"27-03-2026")</f>
        <v>27-03-2026</v>
      </c>
      <c r="B70" s="65">
        <f>IFERROR(__xludf.DUMMYFUNCTION("""COMPUTED_VALUE"""),4866165.0)</f>
        <v>4866165</v>
      </c>
      <c r="C70" s="65" t="str">
        <f>IFERROR(__xludf.DUMMYFUNCTION("""COMPUTED_VALUE"""),"08:09")</f>
        <v>08:09</v>
      </c>
      <c r="D70" s="65" t="str">
        <f>IFERROR(__xludf.DUMMYFUNCTION("""COMPUTED_VALUE"""),"21-03-2026")</f>
        <v>21-03-2026</v>
      </c>
      <c r="E70" s="65" t="str">
        <f>IFERROR(__xludf.DUMMYFUNCTION("""COMPUTED_VALUE"""),"Aníbal Matteucci")</f>
        <v>Aníbal Matteucci</v>
      </c>
      <c r="F70" s="65" t="str">
        <f>IFERROR(__xludf.DUMMYFUNCTION("""COMPUTED_VALUE"""),"991017179")</f>
        <v>991017179</v>
      </c>
      <c r="G70" s="65" t="str">
        <f>IFERROR(__xludf.DUMMYFUNCTION("""COMPUTED_VALUE"""),"anibal12matteucci@hotmail.com")</f>
        <v>anibal12matteucci@hotmail.com</v>
      </c>
      <c r="H70" s="65"/>
      <c r="I70" s="65"/>
      <c r="J70" s="65" t="str">
        <f>IFERROR(__xludf.DUMMYFUNCTION("""COMPUTED_VALUE"""),"D001445727")</f>
        <v>D001445727</v>
      </c>
      <c r="K70" s="65" t="str">
        <f>IFERROR(__xludf.DUMMYFUNCTION("""COMPUTED_VALUE"""),"ENTREGADO")</f>
        <v>ENTREGADO</v>
      </c>
      <c r="L70" s="65" t="str">
        <f>IFERROR(__xludf.DUMMYFUNCTION("""COMPUTED_VALUE"""),"CON RECAUDO")</f>
        <v>CON RECAUDO</v>
      </c>
      <c r="M70" s="65" t="str">
        <f>IFERROR(__xludf.DUMMYFUNCTION("""COMPUTED_VALUE"""),"GUAYAS")</f>
        <v>GUAYAS</v>
      </c>
      <c r="N70" s="65" t="str">
        <f>IFERROR(__xludf.DUMMYFUNCTION("""COMPUTED_VALUE"""),"GUAYAQUIL")</f>
        <v>GUAYAQUIL</v>
      </c>
      <c r="O70" s="65" t="str">
        <f>IFERROR(__xludf.DUMMYFUNCTION("""COMPUTED_VALUE"""),"Ayacucho #4110 y Enrique Maulme - Guayaquil")</f>
        <v>Ayacucho #4110 y Enrique Maulme - Guayaquil</v>
      </c>
      <c r="P70" s="65"/>
      <c r="Q70" s="65" t="str">
        <f>IFERROR(__xludf.DUMMYFUNCTION("""COMPUTED_VALUE"""),"GINTRACOM")</f>
        <v>GINTRACOM</v>
      </c>
      <c r="R70" s="65">
        <f>IFERROR(__xludf.DUMMYFUNCTION("""COMPUTED_VALUE"""),33.0)</f>
        <v>33</v>
      </c>
      <c r="S70" s="65">
        <f>IFERROR(__xludf.DUMMYFUNCTION("""COMPUTED_VALUE"""),16.93)</f>
        <v>16.93</v>
      </c>
      <c r="T70" s="65">
        <f>IFERROR(__xludf.DUMMYFUNCTION("""COMPUTED_VALUE"""),4.67)</f>
        <v>4.67</v>
      </c>
      <c r="U70" s="65">
        <f>IFERROR(__xludf.DUMMYFUNCTION("""COMPUTED_VALUE"""),0.0)</f>
        <v>0</v>
      </c>
      <c r="V70" s="65">
        <f>IFERROR(__xludf.DUMMYFUNCTION("""COMPUTED_VALUE"""),0.0)</f>
        <v>0</v>
      </c>
      <c r="W70" s="65">
        <f>IFERROR(__xludf.DUMMYFUNCTION("""COMPUTED_VALUE"""),0.0)</f>
        <v>0</v>
      </c>
      <c r="X70" s="65">
        <f>IFERROR(__xludf.DUMMYFUNCTION("""COMPUTED_VALUE"""),2.85)</f>
        <v>2.85</v>
      </c>
      <c r="Y70" s="65">
        <f>IFERROR(__xludf.DUMMYFUNCTION("""COMPUTED_VALUE"""),11.4)</f>
        <v>11.4</v>
      </c>
      <c r="Z70" s="65">
        <f>IFERROR(__xludf.DUMMYFUNCTION("""COMPUTED_VALUE"""),129724.0)</f>
        <v>129724</v>
      </c>
      <c r="AA70" s="65" t="str">
        <f>IFERROR(__xludf.DUMMYFUNCTION("""COMPUTED_VALUE"""),"TSTBP")</f>
        <v>TSTBP</v>
      </c>
      <c r="AB70" s="65"/>
      <c r="AC70" s="65" t="str">
        <f>IFERROR(__xludf.DUMMYFUNCTION("""COMPUTED_VALUE"""),"Tira Selladora Tope Bloqueador Puertas")</f>
        <v>Tira Selladora Tope Bloqueador Puertas</v>
      </c>
      <c r="AD70" s="65"/>
      <c r="AE70" s="65">
        <f>IFERROR(__xludf.DUMMYFUNCTION("""COMPUTED_VALUE"""),4.0)</f>
        <v>4</v>
      </c>
      <c r="AF70" s="65"/>
      <c r="AG70" s="65"/>
      <c r="AH70" s="65"/>
      <c r="AI70" s="65"/>
      <c r="AJ70" s="65"/>
      <c r="AK70" s="65"/>
      <c r="AL70" s="65"/>
      <c r="AM70" s="65"/>
      <c r="AN70" s="65" t="str">
        <f>IFERROR(__xludf.DUMMYFUNCTION("""COMPUTED_VALUE"""),"10:35")</f>
        <v>10:35</v>
      </c>
      <c r="AO70" s="65" t="str">
        <f>IFERROR(__xludf.DUMMYFUNCTION("""COMPUTED_VALUE"""),"24-03-2026")</f>
        <v>24-03-2026</v>
      </c>
      <c r="AP70" s="65" t="str">
        <f>IFERROR(__xludf.DUMMYFUNCTION("""COMPUTED_VALUE"""),"EN REPARTO")</f>
        <v>EN REPARTO</v>
      </c>
      <c r="AQ70" s="65" t="str">
        <f>IFERROR(__xludf.DUMMYFUNCTION("""COMPUTED_VALUE"""),"EN REPARTO")</f>
        <v>EN REPARTO</v>
      </c>
      <c r="AR70" s="65"/>
      <c r="AS70" s="65"/>
      <c r="AT70" s="65" t="str">
        <f>IFERROR(__xludf.DUMMYFUNCTION("""COMPUTED_VALUE"""),"SHOPIFY")</f>
        <v>SHOPIFY</v>
      </c>
      <c r="AU70" s="65" t="str">
        <f>IFERROR(__xludf.DUMMYFUNCTION("""COMPUTED_VALUE"""),"IMPORTEX EC")</f>
        <v>IMPORTEX EC</v>
      </c>
      <c r="AV70" s="65" t="str">
        <f>IFERROR(__xludf.DUMMYFUNCTION("""COMPUTED_VALUE"""),"6592752189484")</f>
        <v>6592752189484</v>
      </c>
      <c r="AW70" s="65">
        <f>IFERROR(__xludf.DUMMYFUNCTION("""COMPUTED_VALUE"""),6755.0)</f>
        <v>6755</v>
      </c>
      <c r="AX70" s="65"/>
      <c r="AY70" s="65" t="str">
        <f>IFERROR(__xludf.DUMMYFUNCTION("""COMPUTED_VALUE"""),"23/03/2026")</f>
        <v>23/03/2026</v>
      </c>
      <c r="AZ70" s="65"/>
      <c r="BA70" s="65"/>
    </row>
    <row r="71">
      <c r="A71" s="65" t="str">
        <f>IFERROR(__xludf.DUMMYFUNCTION("""COMPUTED_VALUE"""),"27-03-2026")</f>
        <v>27-03-2026</v>
      </c>
      <c r="B71" s="65">
        <f>IFERROR(__xludf.DUMMYFUNCTION("""COMPUTED_VALUE"""),4866158.0)</f>
        <v>4866158</v>
      </c>
      <c r="C71" s="65" t="str">
        <f>IFERROR(__xludf.DUMMYFUNCTION("""COMPUTED_VALUE"""),"08:08")</f>
        <v>08:08</v>
      </c>
      <c r="D71" s="65" t="str">
        <f>IFERROR(__xludf.DUMMYFUNCTION("""COMPUTED_VALUE"""),"21-03-2026")</f>
        <v>21-03-2026</v>
      </c>
      <c r="E71" s="65" t="str">
        <f>IFERROR(__xludf.DUMMYFUNCTION("""COMPUTED_VALUE"""),"Marco Villacis")</f>
        <v>Marco Villacis</v>
      </c>
      <c r="F71" s="65" t="str">
        <f>IFERROR(__xludf.DUMMYFUNCTION("""COMPUTED_VALUE"""),"998025031")</f>
        <v>998025031</v>
      </c>
      <c r="G71" s="65" t="str">
        <f>IFERROR(__xludf.DUMMYFUNCTION("""COMPUTED_VALUE"""),"marco.villacis@icloud.com")</f>
        <v>marco.villacis@icloud.com</v>
      </c>
      <c r="H71" s="65"/>
      <c r="I71" s="65"/>
      <c r="J71" s="65"/>
      <c r="K71" s="65" t="str">
        <f>IFERROR(__xludf.DUMMYFUNCTION("""COMPUTED_VALUE"""),"PENDIENTE CONFIRMACION")</f>
        <v>PENDIENTE CONFIRMACION</v>
      </c>
      <c r="L71" s="65" t="str">
        <f>IFERROR(__xludf.DUMMYFUNCTION("""COMPUTED_VALUE"""),"CON RECAUDO")</f>
        <v>CON RECAUDO</v>
      </c>
      <c r="M71" s="65" t="str">
        <f>IFERROR(__xludf.DUMMYFUNCTION("""COMPUTED_VALUE"""),"TUNGURAHUA")</f>
        <v>TUNGURAHUA</v>
      </c>
      <c r="N71" s="65" t="str">
        <f>IFERROR(__xludf.DUMMYFUNCTION("""COMPUTED_VALUE"""),"AMBATO")</f>
        <v>AMBATO</v>
      </c>
      <c r="O71" s="65" t="str">
        <f>IFERROR(__xludf.DUMMYFUNCTION("""COMPUTED_VALUE"""),"Av los guaytambos 19-40 entre babacos y pomelos Ficoa , Marviles clinica dental -")</f>
        <v>Av los guaytambos 19-40 entre babacos y pomelos Ficoa , Marviles clinica dental -</v>
      </c>
      <c r="P71" s="65"/>
      <c r="Q71" s="65" t="str">
        <f>IFERROR(__xludf.DUMMYFUNCTION("""COMPUTED_VALUE"""),"GINTRACOM")</f>
        <v>GINTRACOM</v>
      </c>
      <c r="R71" s="65">
        <f>IFERROR(__xludf.DUMMYFUNCTION("""COMPUTED_VALUE"""),30.0)</f>
        <v>30</v>
      </c>
      <c r="S71" s="65"/>
      <c r="T71" s="65">
        <f>IFERROR(__xludf.DUMMYFUNCTION("""COMPUTED_VALUE"""),6.16)</f>
        <v>6.16</v>
      </c>
      <c r="U71" s="65">
        <f>IFERROR(__xludf.DUMMYFUNCTION("""COMPUTED_VALUE"""),0.0)</f>
        <v>0</v>
      </c>
      <c r="V71" s="65">
        <f>IFERROR(__xludf.DUMMYFUNCTION("""COMPUTED_VALUE"""),0.0)</f>
        <v>0</v>
      </c>
      <c r="W71" s="65">
        <f>IFERROR(__xludf.DUMMYFUNCTION("""COMPUTED_VALUE"""),0.0)</f>
        <v>0</v>
      </c>
      <c r="X71" s="65">
        <f>IFERROR(__xludf.DUMMYFUNCTION("""COMPUTED_VALUE"""),2.21)</f>
        <v>2.21</v>
      </c>
      <c r="Y71" s="65">
        <f>IFERROR(__xludf.DUMMYFUNCTION("""COMPUTED_VALUE"""),8.84)</f>
        <v>8.84</v>
      </c>
      <c r="Z71" s="65">
        <f>IFERROR(__xludf.DUMMYFUNCTION("""COMPUTED_VALUE"""),120732.0)</f>
        <v>120732</v>
      </c>
      <c r="AA71" s="65" t="str">
        <f>IFERROR(__xludf.DUMMYFUNCTION("""COMPUTED_VALUE"""),"PROV-LMPVT")</f>
        <v>PROV-LMPVT</v>
      </c>
      <c r="AB71" s="65"/>
      <c r="AC71" s="65" t="str">
        <f>IFERROR(__xludf.DUMMYFUNCTION("""COMPUTED_VALUE"""),"LIMPIADOR DE PARABRISAS Y VENTANAS")</f>
        <v>LIMPIADOR DE PARABRISAS Y VENTANAS</v>
      </c>
      <c r="AD71" s="65"/>
      <c r="AE71" s="65">
        <f>IFERROR(__xludf.DUMMYFUNCTION("""COMPUTED_VALUE"""),4.0)</f>
        <v>4</v>
      </c>
      <c r="AF71" s="65"/>
      <c r="AG71" s="65"/>
      <c r="AH71" s="65"/>
      <c r="AI71" s="65"/>
      <c r="AJ71" s="65"/>
      <c r="AK71" s="65"/>
      <c r="AL71" s="65"/>
      <c r="AM71" s="65"/>
      <c r="AN71" s="65"/>
      <c r="AO71" s="65"/>
      <c r="AP71" s="65"/>
      <c r="AQ71" s="65"/>
      <c r="AR71" s="65"/>
      <c r="AS71" s="65"/>
      <c r="AT71" s="65" t="str">
        <f>IFERROR(__xludf.DUMMYFUNCTION("""COMPUTED_VALUE"""),"SHOPIFY")</f>
        <v>SHOPIFY</v>
      </c>
      <c r="AU71" s="65" t="str">
        <f>IFERROR(__xludf.DUMMYFUNCTION("""COMPUTED_VALUE"""),"IMPORTEX EC")</f>
        <v>IMPORTEX EC</v>
      </c>
      <c r="AV71" s="65" t="str">
        <f>IFERROR(__xludf.DUMMYFUNCTION("""COMPUTED_VALUE"""),"6593473183788")</f>
        <v>6593473183788</v>
      </c>
      <c r="AW71" s="65">
        <f>IFERROR(__xludf.DUMMYFUNCTION("""COMPUTED_VALUE"""),6775.0)</f>
        <v>6775</v>
      </c>
      <c r="AX71" s="65"/>
      <c r="AY71" s="65"/>
      <c r="AZ71" s="65"/>
      <c r="BA71" s="65"/>
    </row>
    <row r="72">
      <c r="A72" s="65" t="str">
        <f>IFERROR(__xludf.DUMMYFUNCTION("""COMPUTED_VALUE"""),"27-03-2026")</f>
        <v>27-03-2026</v>
      </c>
      <c r="B72" s="65">
        <f>IFERROR(__xludf.DUMMYFUNCTION("""COMPUTED_VALUE"""),4866156.0)</f>
        <v>4866156</v>
      </c>
      <c r="C72" s="65" t="str">
        <f>IFERROR(__xludf.DUMMYFUNCTION("""COMPUTED_VALUE"""),"08:08")</f>
        <v>08:08</v>
      </c>
      <c r="D72" s="65" t="str">
        <f>IFERROR(__xludf.DUMMYFUNCTION("""COMPUTED_VALUE"""),"21-03-2026")</f>
        <v>21-03-2026</v>
      </c>
      <c r="E72" s="65" t="str">
        <f>IFERROR(__xludf.DUMMYFUNCTION("""COMPUTED_VALUE"""),"Saona Santillan")</f>
        <v>Saona Santillan</v>
      </c>
      <c r="F72" s="65" t="str">
        <f>IFERROR(__xludf.DUMMYFUNCTION("""COMPUTED_VALUE"""),"968042304")</f>
        <v>968042304</v>
      </c>
      <c r="G72" s="65"/>
      <c r="H72" s="65"/>
      <c r="I72" s="65"/>
      <c r="J72" s="65" t="str">
        <f>IFERROR(__xludf.DUMMYFUNCTION("""COMPUTED_VALUE"""),"D001448095")</f>
        <v>D001448095</v>
      </c>
      <c r="K72" s="65" t="str">
        <f>IFERROR(__xludf.DUMMYFUNCTION("""COMPUTED_VALUE"""),"NOVEDAD")</f>
        <v>NOVEDAD</v>
      </c>
      <c r="L72" s="65" t="str">
        <f>IFERROR(__xludf.DUMMYFUNCTION("""COMPUTED_VALUE"""),"CON RECAUDO")</f>
        <v>CON RECAUDO</v>
      </c>
      <c r="M72" s="65" t="str">
        <f>IFERROR(__xludf.DUMMYFUNCTION("""COMPUTED_VALUE"""),"TUNGURAHUA")</f>
        <v>TUNGURAHUA</v>
      </c>
      <c r="N72" s="65" t="str">
        <f>IFERROR(__xludf.DUMMYFUNCTION("""COMPUTED_VALUE"""),"AMBATO")</f>
        <v>AMBATO</v>
      </c>
      <c r="O72" s="65" t="str">
        <f>IFERROR(__xludf.DUMMYFUNCTION("""COMPUTED_VALUE"""),"Av. El condor y Batalla Pichincha,  Junto a  cooperativa Ambato , ALMACEN LA MORITA")</f>
        <v>Av. El condor y Batalla Pichincha,  Junto a  cooperativa Ambato , ALMACEN LA MORITA</v>
      </c>
      <c r="P72" s="65"/>
      <c r="Q72" s="65" t="str">
        <f>IFERROR(__xludf.DUMMYFUNCTION("""COMPUTED_VALUE"""),"GINTRACOM")</f>
        <v>GINTRACOM</v>
      </c>
      <c r="R72" s="65">
        <f>IFERROR(__xludf.DUMMYFUNCTION("""COMPUTED_VALUE"""),20.0)</f>
        <v>20</v>
      </c>
      <c r="S72" s="65"/>
      <c r="T72" s="65">
        <f>IFERROR(__xludf.DUMMYFUNCTION("""COMPUTED_VALUE"""),5.75)</f>
        <v>5.75</v>
      </c>
      <c r="U72" s="65">
        <f>IFERROR(__xludf.DUMMYFUNCTION("""COMPUTED_VALUE"""),0.0)</f>
        <v>0</v>
      </c>
      <c r="V72" s="65">
        <f>IFERROR(__xludf.DUMMYFUNCTION("""COMPUTED_VALUE"""),0.0)</f>
        <v>0</v>
      </c>
      <c r="W72" s="65">
        <f>IFERROR(__xludf.DUMMYFUNCTION("""COMPUTED_VALUE"""),0.0)</f>
        <v>0</v>
      </c>
      <c r="X72" s="65">
        <f>IFERROR(__xludf.DUMMYFUNCTION("""COMPUTED_VALUE"""),2.21)</f>
        <v>2.21</v>
      </c>
      <c r="Y72" s="65">
        <f>IFERROR(__xludf.DUMMYFUNCTION("""COMPUTED_VALUE"""),4.42)</f>
        <v>4.42</v>
      </c>
      <c r="Z72" s="65">
        <f>IFERROR(__xludf.DUMMYFUNCTION("""COMPUTED_VALUE"""),120732.0)</f>
        <v>120732</v>
      </c>
      <c r="AA72" s="65" t="str">
        <f>IFERROR(__xludf.DUMMYFUNCTION("""COMPUTED_VALUE"""),"PROV-LMPVT")</f>
        <v>PROV-LMPVT</v>
      </c>
      <c r="AB72" s="65"/>
      <c r="AC72" s="65" t="str">
        <f>IFERROR(__xludf.DUMMYFUNCTION("""COMPUTED_VALUE"""),"LIMPIADOR DE PARABRISAS Y VENTANAS")</f>
        <v>LIMPIADOR DE PARABRISAS Y VENTANAS</v>
      </c>
      <c r="AD72" s="65"/>
      <c r="AE72" s="65">
        <f>IFERROR(__xludf.DUMMYFUNCTION("""COMPUTED_VALUE"""),2.0)</f>
        <v>2</v>
      </c>
      <c r="AF72" s="65" t="str">
        <f>IFERROR(__xludf.DUMMYFUNCTION("""COMPUTED_VALUE"""),"DESTINATARIO NO CONTESTA LLAMADAS NI WHATSAPP")</f>
        <v>DESTINATARIO NO CONTESTA LLAMADAS NI WHATSAPP</v>
      </c>
      <c r="AG72" s="65" t="str">
        <f>IFERROR(__xludf.DUMMYFUNCTION("""COMPUTED_VALUE"""),"NO")</f>
        <v>NO</v>
      </c>
      <c r="AH72" s="65" t="str">
        <f>IFERROR(__xludf.DUMMYFUNCTION("""COMPUTED_VALUE"""),"18:35")</f>
        <v>18:35</v>
      </c>
      <c r="AI72" s="65" t="str">
        <f>IFERROR(__xludf.DUMMYFUNCTION("""COMPUTED_VALUE"""),"26-03-2026")</f>
        <v>26-03-2026</v>
      </c>
      <c r="AJ72" s="65"/>
      <c r="AK72" s="65"/>
      <c r="AL72" s="65"/>
      <c r="AM72" s="65"/>
      <c r="AN72" s="65" t="str">
        <f>IFERROR(__xludf.DUMMYFUNCTION("""COMPUTED_VALUE"""),"18:35")</f>
        <v>18:35</v>
      </c>
      <c r="AO72" s="65" t="str">
        <f>IFERROR(__xludf.DUMMYFUNCTION("""COMPUTED_VALUE"""),"26-03-2026")</f>
        <v>26-03-2026</v>
      </c>
      <c r="AP72" s="65" t="str">
        <f>IFERROR(__xludf.DUMMYFUNCTION("""COMPUTED_VALUE"""),"DESTINATARIO NO CONTESTA LLAMADAS NI WHATSAPP")</f>
        <v>DESTINATARIO NO CONTESTA LLAMADAS NI WHATSAPP</v>
      </c>
      <c r="AQ72" s="65" t="str">
        <f>IFERROR(__xludf.DUMMYFUNCTION("""COMPUTED_VALUE"""),"DESTINATARIO NO CONTESTA LLAMADAS NI WHATSAPP")</f>
        <v>DESTINATARIO NO CONTESTA LLAMADAS NI WHATSAPP</v>
      </c>
      <c r="AR72" s="65"/>
      <c r="AS72" s="65"/>
      <c r="AT72" s="65" t="str">
        <f>IFERROR(__xludf.DUMMYFUNCTION("""COMPUTED_VALUE"""),"SHOPIFY")</f>
        <v>SHOPIFY</v>
      </c>
      <c r="AU72" s="65" t="str">
        <f>IFERROR(__xludf.DUMMYFUNCTION("""COMPUTED_VALUE"""),"IMPORTEX EC")</f>
        <v>IMPORTEX EC</v>
      </c>
      <c r="AV72" s="65" t="str">
        <f>IFERROR(__xludf.DUMMYFUNCTION("""COMPUTED_VALUE"""),"6593472823340")</f>
        <v>6593472823340</v>
      </c>
      <c r="AW72" s="65">
        <f>IFERROR(__xludf.DUMMYFUNCTION("""COMPUTED_VALUE"""),6774.0)</f>
        <v>6774</v>
      </c>
      <c r="AX72" s="65"/>
      <c r="AY72" s="65" t="str">
        <f>IFERROR(__xludf.DUMMYFUNCTION("""COMPUTED_VALUE"""),"24/03/2026")</f>
        <v>24/03/2026</v>
      </c>
      <c r="AZ72" s="65"/>
      <c r="BA72" s="65"/>
    </row>
    <row r="73">
      <c r="A73" s="65" t="str">
        <f>IFERROR(__xludf.DUMMYFUNCTION("""COMPUTED_VALUE"""),"27-03-2026")</f>
        <v>27-03-2026</v>
      </c>
      <c r="B73" s="65">
        <f>IFERROR(__xludf.DUMMYFUNCTION("""COMPUTED_VALUE"""),4866153.0)</f>
        <v>4866153</v>
      </c>
      <c r="C73" s="65" t="str">
        <f>IFERROR(__xludf.DUMMYFUNCTION("""COMPUTED_VALUE"""),"08:08")</f>
        <v>08:08</v>
      </c>
      <c r="D73" s="65" t="str">
        <f>IFERROR(__xludf.DUMMYFUNCTION("""COMPUTED_VALUE"""),"21-03-2026")</f>
        <v>21-03-2026</v>
      </c>
      <c r="E73" s="65" t="str">
        <f>IFERROR(__xludf.DUMMYFUNCTION("""COMPUTED_VALUE"""),"EDWIN ANGUISACA LOBATO")</f>
        <v>EDWIN ANGUISACA LOBATO</v>
      </c>
      <c r="F73" s="65" t="str">
        <f>IFERROR(__xludf.DUMMYFUNCTION("""COMPUTED_VALUE"""),"999730357")</f>
        <v>999730357</v>
      </c>
      <c r="G73" s="65" t="str">
        <f>IFERROR(__xludf.DUMMYFUNCTION("""COMPUTED_VALUE"""),"dr.anguisaca.l@gmail.com")</f>
        <v>dr.anguisaca.l@gmail.com</v>
      </c>
      <c r="H73" s="65"/>
      <c r="I73" s="65"/>
      <c r="J73" s="65" t="str">
        <f>IFERROR(__xludf.DUMMYFUNCTION("""COMPUTED_VALUE"""),"D001448263")</f>
        <v>D001448263</v>
      </c>
      <c r="K73" s="65" t="str">
        <f>IFERROR(__xludf.DUMMYFUNCTION("""COMPUTED_VALUE"""),"EN REPARTO")</f>
        <v>EN REPARTO</v>
      </c>
      <c r="L73" s="65" t="str">
        <f>IFERROR(__xludf.DUMMYFUNCTION("""COMPUTED_VALUE"""),"CON RECAUDO")</f>
        <v>CON RECAUDO</v>
      </c>
      <c r="M73" s="65" t="str">
        <f>IFERROR(__xludf.DUMMYFUNCTION("""COMPUTED_VALUE"""),"CHIMBORAZO")</f>
        <v>CHIMBORAZO</v>
      </c>
      <c r="N73" s="65" t="str">
        <f>IFERROR(__xludf.DUMMYFUNCTION("""COMPUTED_VALUE"""),"PALLATANGA")</f>
        <v>PALLATANGA</v>
      </c>
      <c r="O73" s="65" t="str">
        <f>IFERROR(__xludf.DUMMYFUNCTION("""COMPUTED_VALUE"""),"Panamericana Pallatanga,  Guayaquil, frente a la Casa Comercial El Cuencano,")</f>
        <v>Panamericana Pallatanga,  Guayaquil, frente a la Casa Comercial El Cuencano,</v>
      </c>
      <c r="P73" s="65"/>
      <c r="Q73" s="65" t="str">
        <f>IFERROR(__xludf.DUMMYFUNCTION("""COMPUTED_VALUE"""),"GINTRACOM")</f>
        <v>GINTRACOM</v>
      </c>
      <c r="R73" s="65">
        <f>IFERROR(__xludf.DUMMYFUNCTION("""COMPUTED_VALUE"""),33.0)</f>
        <v>33</v>
      </c>
      <c r="S73" s="65"/>
      <c r="T73" s="65">
        <f>IFERROR(__xludf.DUMMYFUNCTION("""COMPUTED_VALUE"""),6.85)</f>
        <v>6.85</v>
      </c>
      <c r="U73" s="65">
        <f>IFERROR(__xludf.DUMMYFUNCTION("""COMPUTED_VALUE"""),0.0)</f>
        <v>0</v>
      </c>
      <c r="V73" s="65">
        <f>IFERROR(__xludf.DUMMYFUNCTION("""COMPUTED_VALUE"""),0.0)</f>
        <v>0</v>
      </c>
      <c r="W73" s="65">
        <f>IFERROR(__xludf.DUMMYFUNCTION("""COMPUTED_VALUE"""),0.0)</f>
        <v>0</v>
      </c>
      <c r="X73" s="65">
        <f>IFERROR(__xludf.DUMMYFUNCTION("""COMPUTED_VALUE"""),2.85)</f>
        <v>2.85</v>
      </c>
      <c r="Y73" s="65">
        <f>IFERROR(__xludf.DUMMYFUNCTION("""COMPUTED_VALUE"""),11.4)</f>
        <v>11.4</v>
      </c>
      <c r="Z73" s="65">
        <f>IFERROR(__xludf.DUMMYFUNCTION("""COMPUTED_VALUE"""),129724.0)</f>
        <v>129724</v>
      </c>
      <c r="AA73" s="65" t="str">
        <f>IFERROR(__xludf.DUMMYFUNCTION("""COMPUTED_VALUE"""),"TSTBP")</f>
        <v>TSTBP</v>
      </c>
      <c r="AB73" s="65"/>
      <c r="AC73" s="65" t="str">
        <f>IFERROR(__xludf.DUMMYFUNCTION("""COMPUTED_VALUE"""),"Tira Selladora Tope Bloqueador Puertas")</f>
        <v>Tira Selladora Tope Bloqueador Puertas</v>
      </c>
      <c r="AD73" s="65"/>
      <c r="AE73" s="65">
        <f>IFERROR(__xludf.DUMMYFUNCTION("""COMPUTED_VALUE"""),4.0)</f>
        <v>4</v>
      </c>
      <c r="AF73" s="65"/>
      <c r="AG73" s="65"/>
      <c r="AH73" s="65"/>
      <c r="AI73" s="65"/>
      <c r="AJ73" s="65"/>
      <c r="AK73" s="65"/>
      <c r="AL73" s="65"/>
      <c r="AM73" s="65"/>
      <c r="AN73" s="65" t="str">
        <f>IFERROR(__xludf.DUMMYFUNCTION("""COMPUTED_VALUE"""),"11:09")</f>
        <v>11:09</v>
      </c>
      <c r="AO73" s="65" t="str">
        <f>IFERROR(__xludf.DUMMYFUNCTION("""COMPUTED_VALUE"""),"26-03-2026")</f>
        <v>26-03-2026</v>
      </c>
      <c r="AP73" s="65" t="str">
        <f>IFERROR(__xludf.DUMMYFUNCTION("""COMPUTED_VALUE"""),"EN REPARTO")</f>
        <v>EN REPARTO</v>
      </c>
      <c r="AQ73" s="65" t="str">
        <f>IFERROR(__xludf.DUMMYFUNCTION("""COMPUTED_VALUE"""),"EN REPARTO")</f>
        <v>EN REPARTO</v>
      </c>
      <c r="AR73" s="65"/>
      <c r="AS73" s="65"/>
      <c r="AT73" s="65" t="str">
        <f>IFERROR(__xludf.DUMMYFUNCTION("""COMPUTED_VALUE"""),"SHOPIFY")</f>
        <v>SHOPIFY</v>
      </c>
      <c r="AU73" s="65" t="str">
        <f>IFERROR(__xludf.DUMMYFUNCTION("""COMPUTED_VALUE"""),"IMPORTEX EC")</f>
        <v>IMPORTEX EC</v>
      </c>
      <c r="AV73" s="65" t="str">
        <f>IFERROR(__xludf.DUMMYFUNCTION("""COMPUTED_VALUE"""),"6592888176684")</f>
        <v>6592888176684</v>
      </c>
      <c r="AW73" s="65">
        <f>IFERROR(__xludf.DUMMYFUNCTION("""COMPUTED_VALUE"""),6759.0)</f>
        <v>6759</v>
      </c>
      <c r="AX73" s="65"/>
      <c r="AY73" s="65" t="str">
        <f>IFERROR(__xludf.DUMMYFUNCTION("""COMPUTED_VALUE"""),"24/03/2026")</f>
        <v>24/03/2026</v>
      </c>
      <c r="AZ73" s="65"/>
      <c r="BA73" s="65"/>
    </row>
    <row r="74">
      <c r="A74" s="65" t="str">
        <f>IFERROR(__xludf.DUMMYFUNCTION("""COMPUTED_VALUE"""),"27-03-2026")</f>
        <v>27-03-2026</v>
      </c>
      <c r="B74" s="65">
        <f>IFERROR(__xludf.DUMMYFUNCTION("""COMPUTED_VALUE"""),4866113.0)</f>
        <v>4866113</v>
      </c>
      <c r="C74" s="65" t="str">
        <f>IFERROR(__xludf.DUMMYFUNCTION("""COMPUTED_VALUE"""),"08:01")</f>
        <v>08:01</v>
      </c>
      <c r="D74" s="65" t="str">
        <f>IFERROR(__xludf.DUMMYFUNCTION("""COMPUTED_VALUE"""),"21-03-2026")</f>
        <v>21-03-2026</v>
      </c>
      <c r="E74" s="65" t="str">
        <f>IFERROR(__xludf.DUMMYFUNCTION("""COMPUTED_VALUE"""),"Héctor Aguilar")</f>
        <v>Héctor Aguilar</v>
      </c>
      <c r="F74" s="65" t="str">
        <f>IFERROR(__xludf.DUMMYFUNCTION("""COMPUTED_VALUE"""),"959078423")</f>
        <v>959078423</v>
      </c>
      <c r="G74" s="65" t="str">
        <f>IFERROR(__xludf.DUMMYFUNCTION("""COMPUTED_VALUE"""),"hectagui@hotmail.com")</f>
        <v>hectagui@hotmail.com</v>
      </c>
      <c r="H74" s="65"/>
      <c r="I74" s="65"/>
      <c r="J74" s="65" t="str">
        <f>IFERROR(__xludf.DUMMYFUNCTION("""COMPUTED_VALUE"""),"D001448097")</f>
        <v>D001448097</v>
      </c>
      <c r="K74" s="65" t="str">
        <f>IFERROR(__xludf.DUMMYFUNCTION("""COMPUTED_VALUE"""),"SOLUCION APROBADA")</f>
        <v>SOLUCION APROBADA</v>
      </c>
      <c r="L74" s="65" t="str">
        <f>IFERROR(__xludf.DUMMYFUNCTION("""COMPUTED_VALUE"""),"CON RECAUDO")</f>
        <v>CON RECAUDO</v>
      </c>
      <c r="M74" s="65" t="str">
        <f>IFERROR(__xludf.DUMMYFUNCTION("""COMPUTED_VALUE"""),"GUAYAS")</f>
        <v>GUAYAS</v>
      </c>
      <c r="N74" s="65" t="str">
        <f>IFERROR(__xludf.DUMMYFUNCTION("""COMPUTED_VALUE"""),"DAULE")</f>
        <v>DAULE</v>
      </c>
      <c r="O74" s="65" t="str">
        <f>IFERROR(__xludf.DUMMYFUNCTION("""COMPUTED_VALUE"""),"URB. LA JOYA ETAPA QUARZO MZ 3 VILLA 21 Sector La Joya, La Aurora -")</f>
        <v>URB. LA JOYA ETAPA QUARZO MZ 3 VILLA 21 Sector La Joya, La Aurora -</v>
      </c>
      <c r="P74" s="65"/>
      <c r="Q74" s="65" t="str">
        <f>IFERROR(__xludf.DUMMYFUNCTION("""COMPUTED_VALUE"""),"GINTRACOM")</f>
        <v>GINTRACOM</v>
      </c>
      <c r="R74" s="65">
        <f>IFERROR(__xludf.DUMMYFUNCTION("""COMPUTED_VALUE"""),20.0)</f>
        <v>20</v>
      </c>
      <c r="S74" s="65"/>
      <c r="T74" s="65">
        <f>IFERROR(__xludf.DUMMYFUNCTION("""COMPUTED_VALUE"""),5.17)</f>
        <v>5.17</v>
      </c>
      <c r="U74" s="65">
        <f>IFERROR(__xludf.DUMMYFUNCTION("""COMPUTED_VALUE"""),0.0)</f>
        <v>0</v>
      </c>
      <c r="V74" s="65">
        <f>IFERROR(__xludf.DUMMYFUNCTION("""COMPUTED_VALUE"""),0.0)</f>
        <v>0</v>
      </c>
      <c r="W74" s="65">
        <f>IFERROR(__xludf.DUMMYFUNCTION("""COMPUTED_VALUE"""),0.0)</f>
        <v>0</v>
      </c>
      <c r="X74" s="65">
        <f>IFERROR(__xludf.DUMMYFUNCTION("""COMPUTED_VALUE"""),2.21)</f>
        <v>2.21</v>
      </c>
      <c r="Y74" s="65">
        <f>IFERROR(__xludf.DUMMYFUNCTION("""COMPUTED_VALUE"""),4.42)</f>
        <v>4.42</v>
      </c>
      <c r="Z74" s="65">
        <f>IFERROR(__xludf.DUMMYFUNCTION("""COMPUTED_VALUE"""),120732.0)</f>
        <v>120732</v>
      </c>
      <c r="AA74" s="65" t="str">
        <f>IFERROR(__xludf.DUMMYFUNCTION("""COMPUTED_VALUE"""),"PROV-LMPVT")</f>
        <v>PROV-LMPVT</v>
      </c>
      <c r="AB74" s="65"/>
      <c r="AC74" s="65" t="str">
        <f>IFERROR(__xludf.DUMMYFUNCTION("""COMPUTED_VALUE"""),"LIMPIADOR DE PARABRISAS Y VENTANAS")</f>
        <v>LIMPIADOR DE PARABRISAS Y VENTANAS</v>
      </c>
      <c r="AD74" s="65"/>
      <c r="AE74" s="65">
        <f>IFERROR(__xludf.DUMMYFUNCTION("""COMPUTED_VALUE"""),2.0)</f>
        <v>2</v>
      </c>
      <c r="AF74" s="65" t="str">
        <f>IFERROR(__xludf.DUMMYFUNCTION("""COMPUTED_VALUE"""),"DESTINATARIO INDICA QUE NO TIENE EL DINERO PARA REALIZAR EL PAGO DEL RECAUDO")</f>
        <v>DESTINATARIO INDICA QUE NO TIENE EL DINERO PARA REALIZAR EL PAGO DEL RECAUDO</v>
      </c>
      <c r="AG74" s="65" t="str">
        <f>IFERROR(__xludf.DUMMYFUNCTION("""COMPUTED_VALUE"""),"SI")</f>
        <v>SI</v>
      </c>
      <c r="AH74" s="65" t="str">
        <f>IFERROR(__xludf.DUMMYFUNCTION("""COMPUTED_VALUE"""),"09:22")</f>
        <v>09:22</v>
      </c>
      <c r="AI74" s="65" t="str">
        <f>IFERROR(__xludf.DUMMYFUNCTION("""COMPUTED_VALUE"""),"25-03-2026")</f>
        <v>25-03-2026</v>
      </c>
      <c r="AJ74" s="65" t="str">
        <f>IFERROR(__xludf.DUMMYFUNCTION("""COMPUTED_VALUE"""),"El cliente requiere entrega inmediata; por favor, coordinar directamente con él/la cliente para concretar la entrega.")</f>
        <v>El cliente requiere entrega inmediata; por favor, coordinar directamente con él/la cliente para concretar la entrega.</v>
      </c>
      <c r="AK74" s="65" t="str">
        <f>IFERROR(__xludf.DUMMYFUNCTION("""COMPUTED_VALUE"""),"10:16")</f>
        <v>10:16</v>
      </c>
      <c r="AL74" s="65" t="str">
        <f>IFERROR(__xludf.DUMMYFUNCTION("""COMPUTED_VALUE"""),"26-03-2026")</f>
        <v>26-03-2026</v>
      </c>
      <c r="AM74" s="65"/>
      <c r="AN74" s="65" t="str">
        <f>IFERROR(__xludf.DUMMYFUNCTION("""COMPUTED_VALUE"""),"10:48")</f>
        <v>10:48</v>
      </c>
      <c r="AO74" s="65" t="str">
        <f>IFERROR(__xludf.DUMMYFUNCTION("""COMPUTED_VALUE"""),"26-03-2026")</f>
        <v>26-03-2026</v>
      </c>
      <c r="AP74" s="65" t="str">
        <f>IFERROR(__xludf.DUMMYFUNCTION("""COMPUTED_VALUE"""),"SOLUCION APROBADA")</f>
        <v>SOLUCION APROBADA</v>
      </c>
      <c r="AQ74" s="65" t="str">
        <f>IFERROR(__xludf.DUMMYFUNCTION("""COMPUTED_VALUE"""),"SOLUCION APROBADA")</f>
        <v>SOLUCION APROBADA</v>
      </c>
      <c r="AR74" s="65"/>
      <c r="AS74" s="65"/>
      <c r="AT74" s="65" t="str">
        <f>IFERROR(__xludf.DUMMYFUNCTION("""COMPUTED_VALUE"""),"SHOPIFY")</f>
        <v>SHOPIFY</v>
      </c>
      <c r="AU74" s="65" t="str">
        <f>IFERROR(__xludf.DUMMYFUNCTION("""COMPUTED_VALUE"""),"IMPORTEX EC")</f>
        <v>IMPORTEX EC</v>
      </c>
      <c r="AV74" s="65" t="str">
        <f>IFERROR(__xludf.DUMMYFUNCTION("""COMPUTED_VALUE"""),"6593402798124")</f>
        <v>6593402798124</v>
      </c>
      <c r="AW74" s="65">
        <f>IFERROR(__xludf.DUMMYFUNCTION("""COMPUTED_VALUE"""),6773.0)</f>
        <v>6773</v>
      </c>
      <c r="AX74" s="65"/>
      <c r="AY74" s="65" t="str">
        <f>IFERROR(__xludf.DUMMYFUNCTION("""COMPUTED_VALUE"""),"24/03/2026")</f>
        <v>24/03/2026</v>
      </c>
      <c r="AZ74" s="65"/>
      <c r="BA74" s="65"/>
    </row>
    <row r="75">
      <c r="A75" s="65" t="str">
        <f>IFERROR(__xludf.DUMMYFUNCTION("""COMPUTED_VALUE"""),"27-03-2026")</f>
        <v>27-03-2026</v>
      </c>
      <c r="B75" s="65">
        <f>IFERROR(__xludf.DUMMYFUNCTION("""COMPUTED_VALUE"""),4866112.0)</f>
        <v>4866112</v>
      </c>
      <c r="C75" s="65" t="str">
        <f>IFERROR(__xludf.DUMMYFUNCTION("""COMPUTED_VALUE"""),"08:01")</f>
        <v>08:01</v>
      </c>
      <c r="D75" s="65" t="str">
        <f>IFERROR(__xludf.DUMMYFUNCTION("""COMPUTED_VALUE"""),"21-03-2026")</f>
        <v>21-03-2026</v>
      </c>
      <c r="E75" s="65" t="str">
        <f>IFERROR(__xludf.DUMMYFUNCTION("""COMPUTED_VALUE"""),"German Custodio")</f>
        <v>German Custodio</v>
      </c>
      <c r="F75" s="65" t="str">
        <f>IFERROR(__xludf.DUMMYFUNCTION("""COMPUTED_VALUE"""),"939576665")</f>
        <v>939576665</v>
      </c>
      <c r="G75" s="65" t="str">
        <f>IFERROR(__xludf.DUMMYFUNCTION("""COMPUTED_VALUE"""),"germancustodio78@gmail.com")</f>
        <v>germancustodio78@gmail.com</v>
      </c>
      <c r="H75" s="65"/>
      <c r="I75" s="65"/>
      <c r="J75" s="65"/>
      <c r="K75" s="65" t="str">
        <f>IFERROR(__xludf.DUMMYFUNCTION("""COMPUTED_VALUE"""),"PENDIENTE CONFIRMACION")</f>
        <v>PENDIENTE CONFIRMACION</v>
      </c>
      <c r="L75" s="65" t="str">
        <f>IFERROR(__xludf.DUMMYFUNCTION("""COMPUTED_VALUE"""),"CON RECAUDO")</f>
        <v>CON RECAUDO</v>
      </c>
      <c r="M75" s="65" t="str">
        <f>IFERROR(__xludf.DUMMYFUNCTION("""COMPUTED_VALUE"""),"PICHINCHA")</f>
        <v>PICHINCHA</v>
      </c>
      <c r="N75" s="65" t="str">
        <f>IFERROR(__xludf.DUMMYFUNCTION("""COMPUTED_VALUE"""),"RUMIÑAHUI")</f>
        <v>RUMIÑAHUI</v>
      </c>
      <c r="O75" s="65" t="str">
        <f>IFERROR(__xludf.DUMMYFUNCTION("""COMPUTED_VALUE"""),"Emilio estrada Santa Teresita Del valle -")</f>
        <v>Emilio estrada Santa Teresita Del valle -</v>
      </c>
      <c r="P75" s="65"/>
      <c r="Q75" s="65" t="str">
        <f>IFERROR(__xludf.DUMMYFUNCTION("""COMPUTED_VALUE"""),"LAARCOURIER")</f>
        <v>LAARCOURIER</v>
      </c>
      <c r="R75" s="65">
        <f>IFERROR(__xludf.DUMMYFUNCTION("""COMPUTED_VALUE"""),20.0)</f>
        <v>20</v>
      </c>
      <c r="S75" s="65"/>
      <c r="T75" s="65">
        <f>IFERROR(__xludf.DUMMYFUNCTION("""COMPUTED_VALUE"""),6.24)</f>
        <v>6.24</v>
      </c>
      <c r="U75" s="65">
        <f>IFERROR(__xludf.DUMMYFUNCTION("""COMPUTED_VALUE"""),0.0)</f>
        <v>0</v>
      </c>
      <c r="V75" s="65">
        <f>IFERROR(__xludf.DUMMYFUNCTION("""COMPUTED_VALUE"""),0.0)</f>
        <v>0</v>
      </c>
      <c r="W75" s="65">
        <f>IFERROR(__xludf.DUMMYFUNCTION("""COMPUTED_VALUE"""),0.0)</f>
        <v>0</v>
      </c>
      <c r="X75" s="65">
        <f>IFERROR(__xludf.DUMMYFUNCTION("""COMPUTED_VALUE"""),2.21)</f>
        <v>2.21</v>
      </c>
      <c r="Y75" s="65">
        <f>IFERROR(__xludf.DUMMYFUNCTION("""COMPUTED_VALUE"""),4.42)</f>
        <v>4.42</v>
      </c>
      <c r="Z75" s="65">
        <f>IFERROR(__xludf.DUMMYFUNCTION("""COMPUTED_VALUE"""),120732.0)</f>
        <v>120732</v>
      </c>
      <c r="AA75" s="65" t="str">
        <f>IFERROR(__xludf.DUMMYFUNCTION("""COMPUTED_VALUE"""),"PROV-LMPVT")</f>
        <v>PROV-LMPVT</v>
      </c>
      <c r="AB75" s="65"/>
      <c r="AC75" s="65" t="str">
        <f>IFERROR(__xludf.DUMMYFUNCTION("""COMPUTED_VALUE"""),"LIMPIADOR DE PARABRISAS Y VENTANAS")</f>
        <v>LIMPIADOR DE PARABRISAS Y VENTANAS</v>
      </c>
      <c r="AD75" s="65"/>
      <c r="AE75" s="65">
        <f>IFERROR(__xludf.DUMMYFUNCTION("""COMPUTED_VALUE"""),2.0)</f>
        <v>2</v>
      </c>
      <c r="AF75" s="65"/>
      <c r="AG75" s="65"/>
      <c r="AH75" s="65"/>
      <c r="AI75" s="65"/>
      <c r="AJ75" s="65"/>
      <c r="AK75" s="65"/>
      <c r="AL75" s="65"/>
      <c r="AM75" s="65"/>
      <c r="AN75" s="65"/>
      <c r="AO75" s="65"/>
      <c r="AP75" s="65"/>
      <c r="AQ75" s="65"/>
      <c r="AR75" s="65"/>
      <c r="AS75" s="65"/>
      <c r="AT75" s="65" t="str">
        <f>IFERROR(__xludf.DUMMYFUNCTION("""COMPUTED_VALUE"""),"SHOPIFY")</f>
        <v>SHOPIFY</v>
      </c>
      <c r="AU75" s="65" t="str">
        <f>IFERROR(__xludf.DUMMYFUNCTION("""COMPUTED_VALUE"""),"IMPORTEX EC")</f>
        <v>IMPORTEX EC</v>
      </c>
      <c r="AV75" s="65" t="str">
        <f>IFERROR(__xludf.DUMMYFUNCTION("""COMPUTED_VALUE"""),"6593383137324")</f>
        <v>6593383137324</v>
      </c>
      <c r="AW75" s="65">
        <f>IFERROR(__xludf.DUMMYFUNCTION("""COMPUTED_VALUE"""),6772.0)</f>
        <v>6772</v>
      </c>
      <c r="AX75" s="65"/>
      <c r="AY75" s="65"/>
      <c r="AZ75" s="65"/>
      <c r="BA75" s="65"/>
    </row>
    <row r="76">
      <c r="A76" s="65" t="str">
        <f>IFERROR(__xludf.DUMMYFUNCTION("""COMPUTED_VALUE"""),"27-03-2026")</f>
        <v>27-03-2026</v>
      </c>
      <c r="B76" s="65">
        <f>IFERROR(__xludf.DUMMYFUNCTION("""COMPUTED_VALUE"""),4866108.0)</f>
        <v>4866108</v>
      </c>
      <c r="C76" s="65" t="str">
        <f>IFERROR(__xludf.DUMMYFUNCTION("""COMPUTED_VALUE"""),"08:01")</f>
        <v>08:01</v>
      </c>
      <c r="D76" s="65" t="str">
        <f>IFERROR(__xludf.DUMMYFUNCTION("""COMPUTED_VALUE"""),"21-03-2026")</f>
        <v>21-03-2026</v>
      </c>
      <c r="E76" s="65" t="str">
        <f>IFERROR(__xludf.DUMMYFUNCTION("""COMPUTED_VALUE"""),"Juan  Carlos Dávila Cruz")</f>
        <v>Juan  Carlos Dávila Cruz</v>
      </c>
      <c r="F76" s="65" t="str">
        <f>IFERROR(__xludf.DUMMYFUNCTION("""COMPUTED_VALUE"""),"983106256")</f>
        <v>983106256</v>
      </c>
      <c r="G76" s="65" t="str">
        <f>IFERROR(__xludf.DUMMYFUNCTION("""COMPUTED_VALUE"""),"molourdesna@hotmail.com")</f>
        <v>molourdesna@hotmail.com</v>
      </c>
      <c r="H76" s="65"/>
      <c r="I76" s="65"/>
      <c r="J76" s="65" t="str">
        <f>IFERROR(__xludf.DUMMYFUNCTION("""COMPUTED_VALUE"""),"D001448098")</f>
        <v>D001448098</v>
      </c>
      <c r="K76" s="65" t="str">
        <f>IFERROR(__xludf.DUMMYFUNCTION("""COMPUTED_VALUE"""),"DEVOLUCION")</f>
        <v>DEVOLUCION</v>
      </c>
      <c r="L76" s="65" t="str">
        <f>IFERROR(__xludf.DUMMYFUNCTION("""COMPUTED_VALUE"""),"CON RECAUDO")</f>
        <v>CON RECAUDO</v>
      </c>
      <c r="M76" s="65" t="str">
        <f>IFERROR(__xludf.DUMMYFUNCTION("""COMPUTED_VALUE"""),"PICHINCHA")</f>
        <v>PICHINCHA</v>
      </c>
      <c r="N76" s="65" t="str">
        <f>IFERROR(__xludf.DUMMYFUNCTION("""COMPUTED_VALUE"""),"QUITO")</f>
        <v>QUITO</v>
      </c>
      <c r="O76" s="65" t="str">
        <f>IFERROR(__xludf.DUMMYFUNCTION("""COMPUTED_VALUE"""),"Calle Ecuador Oe 936 y soledad,  Casa de bloques es un taller automotriz -")</f>
        <v>Calle Ecuador Oe 936 y soledad,  Casa de bloques es un taller automotriz -</v>
      </c>
      <c r="P76" s="65"/>
      <c r="Q76" s="65" t="str">
        <f>IFERROR(__xludf.DUMMYFUNCTION("""COMPUTED_VALUE"""),"GINTRACOM")</f>
        <v>GINTRACOM</v>
      </c>
      <c r="R76" s="65">
        <f>IFERROR(__xludf.DUMMYFUNCTION("""COMPUTED_VALUE"""),20.0)</f>
        <v>20</v>
      </c>
      <c r="S76" s="65"/>
      <c r="T76" s="65">
        <f>IFERROR(__xludf.DUMMYFUNCTION("""COMPUTED_VALUE"""),5.75)</f>
        <v>5.75</v>
      </c>
      <c r="U76" s="65">
        <f>IFERROR(__xludf.DUMMYFUNCTION("""COMPUTED_VALUE"""),0.0)</f>
        <v>0</v>
      </c>
      <c r="V76" s="65">
        <f>IFERROR(__xludf.DUMMYFUNCTION("""COMPUTED_VALUE"""),0.0)</f>
        <v>0</v>
      </c>
      <c r="W76" s="65">
        <f>IFERROR(__xludf.DUMMYFUNCTION("""COMPUTED_VALUE"""),0.0)</f>
        <v>0</v>
      </c>
      <c r="X76" s="65">
        <f>IFERROR(__xludf.DUMMYFUNCTION("""COMPUTED_VALUE"""),2.21)</f>
        <v>2.21</v>
      </c>
      <c r="Y76" s="65">
        <f>IFERROR(__xludf.DUMMYFUNCTION("""COMPUTED_VALUE"""),4.42)</f>
        <v>4.42</v>
      </c>
      <c r="Z76" s="65">
        <f>IFERROR(__xludf.DUMMYFUNCTION("""COMPUTED_VALUE"""),120732.0)</f>
        <v>120732</v>
      </c>
      <c r="AA76" s="65" t="str">
        <f>IFERROR(__xludf.DUMMYFUNCTION("""COMPUTED_VALUE"""),"PROV-LMPVT")</f>
        <v>PROV-LMPVT</v>
      </c>
      <c r="AB76" s="65"/>
      <c r="AC76" s="65" t="str">
        <f>IFERROR(__xludf.DUMMYFUNCTION("""COMPUTED_VALUE"""),"LIMPIADOR DE PARABRISAS Y VENTANAS")</f>
        <v>LIMPIADOR DE PARABRISAS Y VENTANAS</v>
      </c>
      <c r="AD76" s="65"/>
      <c r="AE76" s="65">
        <f>IFERROR(__xludf.DUMMYFUNCTION("""COMPUTED_VALUE"""),2.0)</f>
        <v>2</v>
      </c>
      <c r="AF76" s="65"/>
      <c r="AG76" s="65"/>
      <c r="AH76" s="65"/>
      <c r="AI76" s="65"/>
      <c r="AJ76" s="65"/>
      <c r="AK76" s="65"/>
      <c r="AL76" s="65"/>
      <c r="AM76" s="65"/>
      <c r="AN76" s="65" t="str">
        <f>IFERROR(__xludf.DUMMYFUNCTION("""COMPUTED_VALUE"""),"10:43")</f>
        <v>10:43</v>
      </c>
      <c r="AO76" s="65" t="str">
        <f>IFERROR(__xludf.DUMMYFUNCTION("""COMPUTED_VALUE"""),"26-03-2026")</f>
        <v>26-03-2026</v>
      </c>
      <c r="AP76" s="65" t="str">
        <f>IFERROR(__xludf.DUMMYFUNCTION("""COMPUTED_VALUE"""),"EN REPARTO")</f>
        <v>EN REPARTO</v>
      </c>
      <c r="AQ76" s="65" t="str">
        <f>IFERROR(__xludf.DUMMYFUNCTION("""COMPUTED_VALUE"""),"EN REPARTO")</f>
        <v>EN REPARTO</v>
      </c>
      <c r="AR76" s="65"/>
      <c r="AS76" s="65"/>
      <c r="AT76" s="65" t="str">
        <f>IFERROR(__xludf.DUMMYFUNCTION("""COMPUTED_VALUE"""),"SHOPIFY")</f>
        <v>SHOPIFY</v>
      </c>
      <c r="AU76" s="65" t="str">
        <f>IFERROR(__xludf.DUMMYFUNCTION("""COMPUTED_VALUE"""),"IMPORTEX EC")</f>
        <v>IMPORTEX EC</v>
      </c>
      <c r="AV76" s="65" t="str">
        <f>IFERROR(__xludf.DUMMYFUNCTION("""COMPUTED_VALUE"""),"6593382154284")</f>
        <v>6593382154284</v>
      </c>
      <c r="AW76" s="65">
        <f>IFERROR(__xludf.DUMMYFUNCTION("""COMPUTED_VALUE"""),6771.0)</f>
        <v>6771</v>
      </c>
      <c r="AX76" s="65"/>
      <c r="AY76" s="65" t="str">
        <f>IFERROR(__xludf.DUMMYFUNCTION("""COMPUTED_VALUE"""),"24/03/2026")</f>
        <v>24/03/2026</v>
      </c>
      <c r="AZ76" s="65"/>
      <c r="BA76" s="65"/>
    </row>
    <row r="77">
      <c r="A77" s="65" t="str">
        <f>IFERROR(__xludf.DUMMYFUNCTION("""COMPUTED_VALUE"""),"27-03-2026")</f>
        <v>27-03-2026</v>
      </c>
      <c r="B77" s="65">
        <f>IFERROR(__xludf.DUMMYFUNCTION("""COMPUTED_VALUE"""),4866107.0)</f>
        <v>4866107</v>
      </c>
      <c r="C77" s="65" t="str">
        <f>IFERROR(__xludf.DUMMYFUNCTION("""COMPUTED_VALUE"""),"08:01")</f>
        <v>08:01</v>
      </c>
      <c r="D77" s="65" t="str">
        <f>IFERROR(__xludf.DUMMYFUNCTION("""COMPUTED_VALUE"""),"21-03-2026")</f>
        <v>21-03-2026</v>
      </c>
      <c r="E77" s="65" t="str">
        <f>IFERROR(__xludf.DUMMYFUNCTION("""COMPUTED_VALUE"""),"Fernando Ochoa")</f>
        <v>Fernando Ochoa</v>
      </c>
      <c r="F77" s="65" t="str">
        <f>IFERROR(__xludf.DUMMYFUNCTION("""COMPUTED_VALUE"""),"960214154")</f>
        <v>960214154</v>
      </c>
      <c r="G77" s="65" t="str">
        <f>IFERROR(__xludf.DUMMYFUNCTION("""COMPUTED_VALUE"""),"ochoaharrison2004@gmail.com")</f>
        <v>ochoaharrison2004@gmail.com</v>
      </c>
      <c r="H77" s="65"/>
      <c r="I77" s="65"/>
      <c r="J77" s="65"/>
      <c r="K77" s="65" t="str">
        <f>IFERROR(__xludf.DUMMYFUNCTION("""COMPUTED_VALUE"""),"PENDIENTE CONFIRMACION")</f>
        <v>PENDIENTE CONFIRMACION</v>
      </c>
      <c r="L77" s="65" t="str">
        <f>IFERROR(__xludf.DUMMYFUNCTION("""COMPUTED_VALUE"""),"CON RECAUDO")</f>
        <v>CON RECAUDO</v>
      </c>
      <c r="M77" s="65" t="str">
        <f>IFERROR(__xludf.DUMMYFUNCTION("""COMPUTED_VALUE"""),"ORELLANA")</f>
        <v>ORELLANA</v>
      </c>
      <c r="N77" s="65" t="str">
        <f>IFERROR(__xludf.DUMMYFUNCTION("""COMPUTED_VALUE"""),"EL COCA")</f>
        <v>EL COCA</v>
      </c>
      <c r="O77" s="65" t="str">
        <f>IFERROR(__xludf.DUMMYFUNCTION("""COMPUTED_VALUE"""),"Napo y Uquillas Frente al mercado virgen del cisne -")</f>
        <v>Napo y Uquillas Frente al mercado virgen del cisne -</v>
      </c>
      <c r="P77" s="65"/>
      <c r="Q77" s="65" t="str">
        <f>IFERROR(__xludf.DUMMYFUNCTION("""COMPUTED_VALUE"""),"GINTRACOM")</f>
        <v>GINTRACOM</v>
      </c>
      <c r="R77" s="65">
        <f>IFERROR(__xludf.DUMMYFUNCTION("""COMPUTED_VALUE"""),20.0)</f>
        <v>20</v>
      </c>
      <c r="S77" s="65"/>
      <c r="T77" s="65">
        <f>IFERROR(__xludf.DUMMYFUNCTION("""COMPUTED_VALUE"""),5.75)</f>
        <v>5.75</v>
      </c>
      <c r="U77" s="65">
        <f>IFERROR(__xludf.DUMMYFUNCTION("""COMPUTED_VALUE"""),0.0)</f>
        <v>0</v>
      </c>
      <c r="V77" s="65">
        <f>IFERROR(__xludf.DUMMYFUNCTION("""COMPUTED_VALUE"""),0.0)</f>
        <v>0</v>
      </c>
      <c r="W77" s="65">
        <f>IFERROR(__xludf.DUMMYFUNCTION("""COMPUTED_VALUE"""),0.0)</f>
        <v>0</v>
      </c>
      <c r="X77" s="65">
        <f>IFERROR(__xludf.DUMMYFUNCTION("""COMPUTED_VALUE"""),2.21)</f>
        <v>2.21</v>
      </c>
      <c r="Y77" s="65">
        <f>IFERROR(__xludf.DUMMYFUNCTION("""COMPUTED_VALUE"""),4.42)</f>
        <v>4.42</v>
      </c>
      <c r="Z77" s="65">
        <f>IFERROR(__xludf.DUMMYFUNCTION("""COMPUTED_VALUE"""),120732.0)</f>
        <v>120732</v>
      </c>
      <c r="AA77" s="65" t="str">
        <f>IFERROR(__xludf.DUMMYFUNCTION("""COMPUTED_VALUE"""),"PROV-LMPVT")</f>
        <v>PROV-LMPVT</v>
      </c>
      <c r="AB77" s="65"/>
      <c r="AC77" s="65" t="str">
        <f>IFERROR(__xludf.DUMMYFUNCTION("""COMPUTED_VALUE"""),"LIMPIADOR DE PARABRISAS Y VENTANAS")</f>
        <v>LIMPIADOR DE PARABRISAS Y VENTANAS</v>
      </c>
      <c r="AD77" s="65"/>
      <c r="AE77" s="65">
        <f>IFERROR(__xludf.DUMMYFUNCTION("""COMPUTED_VALUE"""),2.0)</f>
        <v>2</v>
      </c>
      <c r="AF77" s="65"/>
      <c r="AG77" s="65"/>
      <c r="AH77" s="65"/>
      <c r="AI77" s="65"/>
      <c r="AJ77" s="65"/>
      <c r="AK77" s="65"/>
      <c r="AL77" s="65"/>
      <c r="AM77" s="65"/>
      <c r="AN77" s="65"/>
      <c r="AO77" s="65"/>
      <c r="AP77" s="65"/>
      <c r="AQ77" s="65"/>
      <c r="AR77" s="65"/>
      <c r="AS77" s="65"/>
      <c r="AT77" s="65" t="str">
        <f>IFERROR(__xludf.DUMMYFUNCTION("""COMPUTED_VALUE"""),"SHOPIFY")</f>
        <v>SHOPIFY</v>
      </c>
      <c r="AU77" s="65" t="str">
        <f>IFERROR(__xludf.DUMMYFUNCTION("""COMPUTED_VALUE"""),"IMPORTEX EC")</f>
        <v>IMPORTEX EC</v>
      </c>
      <c r="AV77" s="65" t="str">
        <f>IFERROR(__xludf.DUMMYFUNCTION("""COMPUTED_VALUE"""),"6593372717100")</f>
        <v>6593372717100</v>
      </c>
      <c r="AW77" s="65">
        <f>IFERROR(__xludf.DUMMYFUNCTION("""COMPUTED_VALUE"""),6770.0)</f>
        <v>6770</v>
      </c>
      <c r="AX77" s="65"/>
      <c r="AY77" s="65"/>
      <c r="AZ77" s="65"/>
      <c r="BA77" s="65"/>
    </row>
    <row r="78">
      <c r="A78" s="65" t="str">
        <f>IFERROR(__xludf.DUMMYFUNCTION("""COMPUTED_VALUE"""),"27-03-2026")</f>
        <v>27-03-2026</v>
      </c>
      <c r="B78" s="65">
        <f>IFERROR(__xludf.DUMMYFUNCTION("""COMPUTED_VALUE"""),4866104.0)</f>
        <v>4866104</v>
      </c>
      <c r="C78" s="65" t="str">
        <f>IFERROR(__xludf.DUMMYFUNCTION("""COMPUTED_VALUE"""),"08:01")</f>
        <v>08:01</v>
      </c>
      <c r="D78" s="65" t="str">
        <f>IFERROR(__xludf.DUMMYFUNCTION("""COMPUTED_VALUE"""),"21-03-2026")</f>
        <v>21-03-2026</v>
      </c>
      <c r="E78" s="65" t="str">
        <f>IFERROR(__xludf.DUMMYFUNCTION("""COMPUTED_VALUE"""),"Edgar Suculanda")</f>
        <v>Edgar Suculanda</v>
      </c>
      <c r="F78" s="65" t="str">
        <f>IFERROR(__xludf.DUMMYFUNCTION("""COMPUTED_VALUE"""),"999676886")</f>
        <v>999676886</v>
      </c>
      <c r="G78" s="65" t="str">
        <f>IFERROR(__xludf.DUMMYFUNCTION("""COMPUTED_VALUE"""),"vidrieriadeagosto593@gmail.com")</f>
        <v>vidrieriadeagosto593@gmail.com</v>
      </c>
      <c r="H78" s="65"/>
      <c r="I78" s="65"/>
      <c r="J78" s="65" t="str">
        <f>IFERROR(__xludf.DUMMYFUNCTION("""COMPUTED_VALUE"""),"D001448100")</f>
        <v>D001448100</v>
      </c>
      <c r="K78" s="65" t="str">
        <f>IFERROR(__xludf.DUMMYFUNCTION("""COMPUTED_VALUE"""),"EN REPARTO")</f>
        <v>EN REPARTO</v>
      </c>
      <c r="L78" s="65" t="str">
        <f>IFERROR(__xludf.DUMMYFUNCTION("""COMPUTED_VALUE"""),"CON RECAUDO")</f>
        <v>CON RECAUDO</v>
      </c>
      <c r="M78" s="65" t="str">
        <f>IFERROR(__xludf.DUMMYFUNCTION("""COMPUTED_VALUE"""),"AZUAY")</f>
        <v>AZUAY</v>
      </c>
      <c r="N78" s="65" t="str">
        <f>IFERROR(__xludf.DUMMYFUNCTION("""COMPUTED_VALUE"""),"CUENCA")</f>
        <v>CUENCA</v>
      </c>
      <c r="O78" s="65" t="str">
        <f>IFERROR(__xludf.DUMMYFUNCTION("""COMPUTED_VALUE"""),"Callé larga 9-47 y benigno malo Vidriería 10 de agosto -")</f>
        <v>Callé larga 9-47 y benigno malo Vidriería 10 de agosto -</v>
      </c>
      <c r="P78" s="65"/>
      <c r="Q78" s="65" t="str">
        <f>IFERROR(__xludf.DUMMYFUNCTION("""COMPUTED_VALUE"""),"GINTRACOM")</f>
        <v>GINTRACOM</v>
      </c>
      <c r="R78" s="65">
        <f>IFERROR(__xludf.DUMMYFUNCTION("""COMPUTED_VALUE"""),20.0)</f>
        <v>20</v>
      </c>
      <c r="S78" s="65"/>
      <c r="T78" s="65">
        <f>IFERROR(__xludf.DUMMYFUNCTION("""COMPUTED_VALUE"""),5.75)</f>
        <v>5.75</v>
      </c>
      <c r="U78" s="65">
        <f>IFERROR(__xludf.DUMMYFUNCTION("""COMPUTED_VALUE"""),0.0)</f>
        <v>0</v>
      </c>
      <c r="V78" s="65">
        <f>IFERROR(__xludf.DUMMYFUNCTION("""COMPUTED_VALUE"""),0.0)</f>
        <v>0</v>
      </c>
      <c r="W78" s="65">
        <f>IFERROR(__xludf.DUMMYFUNCTION("""COMPUTED_VALUE"""),0.0)</f>
        <v>0</v>
      </c>
      <c r="X78" s="65">
        <f>IFERROR(__xludf.DUMMYFUNCTION("""COMPUTED_VALUE"""),2.21)</f>
        <v>2.21</v>
      </c>
      <c r="Y78" s="65">
        <f>IFERROR(__xludf.DUMMYFUNCTION("""COMPUTED_VALUE"""),4.42)</f>
        <v>4.42</v>
      </c>
      <c r="Z78" s="65">
        <f>IFERROR(__xludf.DUMMYFUNCTION("""COMPUTED_VALUE"""),120732.0)</f>
        <v>120732</v>
      </c>
      <c r="AA78" s="65" t="str">
        <f>IFERROR(__xludf.DUMMYFUNCTION("""COMPUTED_VALUE"""),"PROV-LMPVT")</f>
        <v>PROV-LMPVT</v>
      </c>
      <c r="AB78" s="65"/>
      <c r="AC78" s="65" t="str">
        <f>IFERROR(__xludf.DUMMYFUNCTION("""COMPUTED_VALUE"""),"LIMPIADOR DE PARABRISAS Y VENTANAS")</f>
        <v>LIMPIADOR DE PARABRISAS Y VENTANAS</v>
      </c>
      <c r="AD78" s="65"/>
      <c r="AE78" s="65">
        <f>IFERROR(__xludf.DUMMYFUNCTION("""COMPUTED_VALUE"""),2.0)</f>
        <v>2</v>
      </c>
      <c r="AF78" s="65"/>
      <c r="AG78" s="65"/>
      <c r="AH78" s="65"/>
      <c r="AI78" s="65"/>
      <c r="AJ78" s="65"/>
      <c r="AK78" s="65"/>
      <c r="AL78" s="65"/>
      <c r="AM78" s="65"/>
      <c r="AN78" s="65" t="str">
        <f>IFERROR(__xludf.DUMMYFUNCTION("""COMPUTED_VALUE"""),"14:09")</f>
        <v>14:09</v>
      </c>
      <c r="AO78" s="65" t="str">
        <f>IFERROR(__xludf.DUMMYFUNCTION("""COMPUTED_VALUE"""),"26-03-2026")</f>
        <v>26-03-2026</v>
      </c>
      <c r="AP78" s="65" t="str">
        <f>IFERROR(__xludf.DUMMYFUNCTION("""COMPUTED_VALUE"""),"DESTINATARIO INDICA QUE YA RECIBIÓ EL PRODUCTO")</f>
        <v>DESTINATARIO INDICA QUE YA RECIBIÓ EL PRODUCTO</v>
      </c>
      <c r="AQ78" s="65" t="str">
        <f>IFERROR(__xludf.DUMMYFUNCTION("""COMPUTED_VALUE"""),"DESTINATARIO INDICA QUE YA RECIBIÓ EL PRODUCTO")</f>
        <v>DESTINATARIO INDICA QUE YA RECIBIÓ EL PRODUCTO</v>
      </c>
      <c r="AR78" s="65"/>
      <c r="AS78" s="65"/>
      <c r="AT78" s="65" t="str">
        <f>IFERROR(__xludf.DUMMYFUNCTION("""COMPUTED_VALUE"""),"SHOPIFY")</f>
        <v>SHOPIFY</v>
      </c>
      <c r="AU78" s="65" t="str">
        <f>IFERROR(__xludf.DUMMYFUNCTION("""COMPUTED_VALUE"""),"IMPORTEX EC")</f>
        <v>IMPORTEX EC</v>
      </c>
      <c r="AV78" s="65" t="str">
        <f>IFERROR(__xludf.DUMMYFUNCTION("""COMPUTED_VALUE"""),"6593364099116")</f>
        <v>6593364099116</v>
      </c>
      <c r="AW78" s="65">
        <f>IFERROR(__xludf.DUMMYFUNCTION("""COMPUTED_VALUE"""),6769.0)</f>
        <v>6769</v>
      </c>
      <c r="AX78" s="65"/>
      <c r="AY78" s="65" t="str">
        <f>IFERROR(__xludf.DUMMYFUNCTION("""COMPUTED_VALUE"""),"24/03/2026")</f>
        <v>24/03/2026</v>
      </c>
      <c r="AZ78" s="65"/>
      <c r="BA78" s="65"/>
    </row>
    <row r="79">
      <c r="A79" s="65" t="str">
        <f>IFERROR(__xludf.DUMMYFUNCTION("""COMPUTED_VALUE"""),"27-03-2026")</f>
        <v>27-03-2026</v>
      </c>
      <c r="B79" s="65">
        <f>IFERROR(__xludf.DUMMYFUNCTION("""COMPUTED_VALUE"""),4866101.0)</f>
        <v>4866101</v>
      </c>
      <c r="C79" s="65" t="str">
        <f>IFERROR(__xludf.DUMMYFUNCTION("""COMPUTED_VALUE"""),"08:01")</f>
        <v>08:01</v>
      </c>
      <c r="D79" s="65" t="str">
        <f>IFERROR(__xludf.DUMMYFUNCTION("""COMPUTED_VALUE"""),"21-03-2026")</f>
        <v>21-03-2026</v>
      </c>
      <c r="E79" s="65" t="str">
        <f>IFERROR(__xludf.DUMMYFUNCTION("""COMPUTED_VALUE"""),"Lus Figuero")</f>
        <v>Lus Figuero</v>
      </c>
      <c r="F79" s="65" t="str">
        <f>IFERROR(__xludf.DUMMYFUNCTION("""COMPUTED_VALUE"""),"999401421")</f>
        <v>999401421</v>
      </c>
      <c r="G79" s="65" t="str">
        <f>IFERROR(__xludf.DUMMYFUNCTION("""COMPUTED_VALUE"""),"luisedu1925@gmail.com")</f>
        <v>luisedu1925@gmail.com</v>
      </c>
      <c r="H79" s="65"/>
      <c r="I79" s="65"/>
      <c r="J79" s="65"/>
      <c r="K79" s="65" t="str">
        <f>IFERROR(__xludf.DUMMYFUNCTION("""COMPUTED_VALUE"""),"CANCELADO")</f>
        <v>CANCELADO</v>
      </c>
      <c r="L79" s="65" t="str">
        <f>IFERROR(__xludf.DUMMYFUNCTION("""COMPUTED_VALUE"""),"CON RECAUDO")</f>
        <v>CON RECAUDO</v>
      </c>
      <c r="M79" s="65" t="str">
        <f>IFERROR(__xludf.DUMMYFUNCTION("""COMPUTED_VALUE"""),"GUAYAS")</f>
        <v>GUAYAS</v>
      </c>
      <c r="N79" s="65" t="str">
        <f>IFERROR(__xludf.DUMMYFUNCTION("""COMPUTED_VALUE"""),"NOBOL")</f>
        <v>NOBOL</v>
      </c>
      <c r="O79" s="65" t="str">
        <f>IFERROR(__xludf.DUMMYFUNCTION("""COMPUTED_VALUE"""),"Nobol Servientrega nobol -")</f>
        <v>Nobol Servientrega nobol -</v>
      </c>
      <c r="P79" s="65"/>
      <c r="Q79" s="65" t="str">
        <f>IFERROR(__xludf.DUMMYFUNCTION("""COMPUTED_VALUE"""),"LAARCOURIER")</f>
        <v>LAARCOURIER</v>
      </c>
      <c r="R79" s="65">
        <f>IFERROR(__xludf.DUMMYFUNCTION("""COMPUTED_VALUE"""),20.0)</f>
        <v>20</v>
      </c>
      <c r="S79" s="65"/>
      <c r="T79" s="65">
        <f>IFERROR(__xludf.DUMMYFUNCTION("""COMPUTED_VALUE"""),6.68)</f>
        <v>6.68</v>
      </c>
      <c r="U79" s="65">
        <f>IFERROR(__xludf.DUMMYFUNCTION("""COMPUTED_VALUE"""),0.0)</f>
        <v>0</v>
      </c>
      <c r="V79" s="65">
        <f>IFERROR(__xludf.DUMMYFUNCTION("""COMPUTED_VALUE"""),0.0)</f>
        <v>0</v>
      </c>
      <c r="W79" s="65">
        <f>IFERROR(__xludf.DUMMYFUNCTION("""COMPUTED_VALUE"""),0.0)</f>
        <v>0</v>
      </c>
      <c r="X79" s="65">
        <f>IFERROR(__xludf.DUMMYFUNCTION("""COMPUTED_VALUE"""),2.21)</f>
        <v>2.21</v>
      </c>
      <c r="Y79" s="65">
        <f>IFERROR(__xludf.DUMMYFUNCTION("""COMPUTED_VALUE"""),4.42)</f>
        <v>4.42</v>
      </c>
      <c r="Z79" s="65">
        <f>IFERROR(__xludf.DUMMYFUNCTION("""COMPUTED_VALUE"""),120732.0)</f>
        <v>120732</v>
      </c>
      <c r="AA79" s="65" t="str">
        <f>IFERROR(__xludf.DUMMYFUNCTION("""COMPUTED_VALUE"""),"PROV-LMPVT")</f>
        <v>PROV-LMPVT</v>
      </c>
      <c r="AB79" s="65"/>
      <c r="AC79" s="65" t="str">
        <f>IFERROR(__xludf.DUMMYFUNCTION("""COMPUTED_VALUE"""),"LIMPIADOR DE PARABRISAS Y VENTANAS")</f>
        <v>LIMPIADOR DE PARABRISAS Y VENTANAS</v>
      </c>
      <c r="AD79" s="65"/>
      <c r="AE79" s="65">
        <f>IFERROR(__xludf.DUMMYFUNCTION("""COMPUTED_VALUE"""),2.0)</f>
        <v>2</v>
      </c>
      <c r="AF79" s="65"/>
      <c r="AG79" s="65"/>
      <c r="AH79" s="65"/>
      <c r="AI79" s="65"/>
      <c r="AJ79" s="65"/>
      <c r="AK79" s="65"/>
      <c r="AL79" s="65"/>
      <c r="AM79" s="65"/>
      <c r="AN79" s="65"/>
      <c r="AO79" s="65"/>
      <c r="AP79" s="65"/>
      <c r="AQ79" s="65"/>
      <c r="AR79" s="65"/>
      <c r="AS79" s="65"/>
      <c r="AT79" s="65" t="str">
        <f>IFERROR(__xludf.DUMMYFUNCTION("""COMPUTED_VALUE"""),"SHOPIFY")</f>
        <v>SHOPIFY</v>
      </c>
      <c r="AU79" s="65" t="str">
        <f>IFERROR(__xludf.DUMMYFUNCTION("""COMPUTED_VALUE"""),"IMPORTEX EC")</f>
        <v>IMPORTEX EC</v>
      </c>
      <c r="AV79" s="65" t="str">
        <f>IFERROR(__xludf.DUMMYFUNCTION("""COMPUTED_VALUE"""),"6593357709356")</f>
        <v>6593357709356</v>
      </c>
      <c r="AW79" s="65">
        <f>IFERROR(__xludf.DUMMYFUNCTION("""COMPUTED_VALUE"""),6768.0)</f>
        <v>6768</v>
      </c>
      <c r="AX79" s="65"/>
      <c r="AY79" s="65"/>
      <c r="AZ79" s="65"/>
      <c r="BA79" s="65"/>
    </row>
    <row r="80">
      <c r="A80" s="65" t="str">
        <f>IFERROR(__xludf.DUMMYFUNCTION("""COMPUTED_VALUE"""),"27-03-2026")</f>
        <v>27-03-2026</v>
      </c>
      <c r="B80" s="65">
        <f>IFERROR(__xludf.DUMMYFUNCTION("""COMPUTED_VALUE"""),4866099.0)</f>
        <v>4866099</v>
      </c>
      <c r="C80" s="65" t="str">
        <f>IFERROR(__xludf.DUMMYFUNCTION("""COMPUTED_VALUE"""),"08:00")</f>
        <v>08:00</v>
      </c>
      <c r="D80" s="65" t="str">
        <f>IFERROR(__xludf.DUMMYFUNCTION("""COMPUTED_VALUE"""),"21-03-2026")</f>
        <v>21-03-2026</v>
      </c>
      <c r="E80" s="65" t="str">
        <f>IFERROR(__xludf.DUMMYFUNCTION("""COMPUTED_VALUE"""),"Lenin Proaño")</f>
        <v>Lenin Proaño</v>
      </c>
      <c r="F80" s="65" t="str">
        <f>IFERROR(__xludf.DUMMYFUNCTION("""COMPUTED_VALUE"""),"992308867")</f>
        <v>992308867</v>
      </c>
      <c r="G80" s="65" t="str">
        <f>IFERROR(__xludf.DUMMYFUNCTION("""COMPUTED_VALUE"""),"leninp9007@gmail.com")</f>
        <v>leninp9007@gmail.com</v>
      </c>
      <c r="H80" s="65"/>
      <c r="I80" s="65"/>
      <c r="J80" s="65" t="str">
        <f>IFERROR(__xludf.DUMMYFUNCTION("""COMPUTED_VALUE"""),"D001448103")</f>
        <v>D001448103</v>
      </c>
      <c r="K80" s="65" t="str">
        <f>IFERROR(__xludf.DUMMYFUNCTION("""COMPUTED_VALUE"""),"EN REPARTO")</f>
        <v>EN REPARTO</v>
      </c>
      <c r="L80" s="65" t="str">
        <f>IFERROR(__xludf.DUMMYFUNCTION("""COMPUTED_VALUE"""),"CON RECAUDO")</f>
        <v>CON RECAUDO</v>
      </c>
      <c r="M80" s="65" t="str">
        <f>IFERROR(__xludf.DUMMYFUNCTION("""COMPUTED_VALUE"""),"PICHINCHA")</f>
        <v>PICHINCHA</v>
      </c>
      <c r="N80" s="65" t="str">
        <f>IFERROR(__xludf.DUMMYFUNCTION("""COMPUTED_VALUE"""),"QUITO")</f>
        <v>QUITO</v>
      </c>
      <c r="O80" s="65" t="str">
        <f>IFERROR(__xludf.DUMMYFUNCTION("""COMPUTED_VALUE"""),"Jose Tamayo 1246 y Luis Cordero La mariscal -")</f>
        <v>Jose Tamayo 1246 y Luis Cordero La mariscal -</v>
      </c>
      <c r="P80" s="65"/>
      <c r="Q80" s="65" t="str">
        <f>IFERROR(__xludf.DUMMYFUNCTION("""COMPUTED_VALUE"""),"GINTRACOM")</f>
        <v>GINTRACOM</v>
      </c>
      <c r="R80" s="65">
        <f>IFERROR(__xludf.DUMMYFUNCTION("""COMPUTED_VALUE"""),24.99)</f>
        <v>24.99</v>
      </c>
      <c r="S80" s="65"/>
      <c r="T80" s="65">
        <f>IFERROR(__xludf.DUMMYFUNCTION("""COMPUTED_VALUE"""),5.95)</f>
        <v>5.95</v>
      </c>
      <c r="U80" s="65">
        <f>IFERROR(__xludf.DUMMYFUNCTION("""COMPUTED_VALUE"""),0.0)</f>
        <v>0</v>
      </c>
      <c r="V80" s="65">
        <f>IFERROR(__xludf.DUMMYFUNCTION("""COMPUTED_VALUE"""),0.0)</f>
        <v>0</v>
      </c>
      <c r="W80" s="65">
        <f>IFERROR(__xludf.DUMMYFUNCTION("""COMPUTED_VALUE"""),0.0)</f>
        <v>0</v>
      </c>
      <c r="X80" s="65">
        <f>IFERROR(__xludf.DUMMYFUNCTION("""COMPUTED_VALUE"""),2.21)</f>
        <v>2.21</v>
      </c>
      <c r="Y80" s="65">
        <f>IFERROR(__xludf.DUMMYFUNCTION("""COMPUTED_VALUE"""),6.63)</f>
        <v>6.63</v>
      </c>
      <c r="Z80" s="65">
        <f>IFERROR(__xludf.DUMMYFUNCTION("""COMPUTED_VALUE"""),120732.0)</f>
        <v>120732</v>
      </c>
      <c r="AA80" s="65" t="str">
        <f>IFERROR(__xludf.DUMMYFUNCTION("""COMPUTED_VALUE"""),"PROV-LMPVT")</f>
        <v>PROV-LMPVT</v>
      </c>
      <c r="AB80" s="65"/>
      <c r="AC80" s="65" t="str">
        <f>IFERROR(__xludf.DUMMYFUNCTION("""COMPUTED_VALUE"""),"LIMPIADOR DE PARABRISAS Y VENTANAS")</f>
        <v>LIMPIADOR DE PARABRISAS Y VENTANAS</v>
      </c>
      <c r="AD80" s="65"/>
      <c r="AE80" s="65">
        <f>IFERROR(__xludf.DUMMYFUNCTION("""COMPUTED_VALUE"""),3.0)</f>
        <v>3</v>
      </c>
      <c r="AF80" s="65"/>
      <c r="AG80" s="65"/>
      <c r="AH80" s="65"/>
      <c r="AI80" s="65"/>
      <c r="AJ80" s="65"/>
      <c r="AK80" s="65"/>
      <c r="AL80" s="65"/>
      <c r="AM80" s="65"/>
      <c r="AN80" s="65" t="str">
        <f>IFERROR(__xludf.DUMMYFUNCTION("""COMPUTED_VALUE"""),"08:37")</f>
        <v>08:37</v>
      </c>
      <c r="AO80" s="65" t="str">
        <f>IFERROR(__xludf.DUMMYFUNCTION("""COMPUTED_VALUE"""),"27-03-2026")</f>
        <v>27-03-2026</v>
      </c>
      <c r="AP80" s="65" t="str">
        <f>IFERROR(__xludf.DUMMYFUNCTION("""COMPUTED_VALUE"""),"EN REPARTO")</f>
        <v>EN REPARTO</v>
      </c>
      <c r="AQ80" s="65" t="str">
        <f>IFERROR(__xludf.DUMMYFUNCTION("""COMPUTED_VALUE"""),"EN REPARTO")</f>
        <v>EN REPARTO</v>
      </c>
      <c r="AR80" s="65"/>
      <c r="AS80" s="65"/>
      <c r="AT80" s="65" t="str">
        <f>IFERROR(__xludf.DUMMYFUNCTION("""COMPUTED_VALUE"""),"SHOPIFY")</f>
        <v>SHOPIFY</v>
      </c>
      <c r="AU80" s="65" t="str">
        <f>IFERROR(__xludf.DUMMYFUNCTION("""COMPUTED_VALUE"""),"IMPORTEX EC")</f>
        <v>IMPORTEX EC</v>
      </c>
      <c r="AV80" s="65" t="str">
        <f>IFERROR(__xludf.DUMMYFUNCTION("""COMPUTED_VALUE"""),"6593355382828")</f>
        <v>6593355382828</v>
      </c>
      <c r="AW80" s="65">
        <f>IFERROR(__xludf.DUMMYFUNCTION("""COMPUTED_VALUE"""),6767.0)</f>
        <v>6767</v>
      </c>
      <c r="AX80" s="65"/>
      <c r="AY80" s="65" t="str">
        <f>IFERROR(__xludf.DUMMYFUNCTION("""COMPUTED_VALUE"""),"24/03/2026")</f>
        <v>24/03/2026</v>
      </c>
      <c r="AZ80" s="65"/>
      <c r="BA80" s="65"/>
    </row>
    <row r="81">
      <c r="A81" s="65" t="str">
        <f>IFERROR(__xludf.DUMMYFUNCTION("""COMPUTED_VALUE"""),"27-03-2026")</f>
        <v>27-03-2026</v>
      </c>
      <c r="B81" s="65">
        <f>IFERROR(__xludf.DUMMYFUNCTION("""COMPUTED_VALUE"""),4866098.0)</f>
        <v>4866098</v>
      </c>
      <c r="C81" s="65" t="str">
        <f>IFERROR(__xludf.DUMMYFUNCTION("""COMPUTED_VALUE"""),"08:00")</f>
        <v>08:00</v>
      </c>
      <c r="D81" s="65" t="str">
        <f>IFERROR(__xludf.DUMMYFUNCTION("""COMPUTED_VALUE"""),"21-03-2026")</f>
        <v>21-03-2026</v>
      </c>
      <c r="E81" s="65" t="str">
        <f>IFERROR(__xludf.DUMMYFUNCTION("""COMPUTED_VALUE"""),"Sergio Beltrán García")</f>
        <v>Sergio Beltrán García</v>
      </c>
      <c r="F81" s="65" t="str">
        <f>IFERROR(__xludf.DUMMYFUNCTION("""COMPUTED_VALUE"""),"982321365")</f>
        <v>982321365</v>
      </c>
      <c r="G81" s="65" t="str">
        <f>IFERROR(__xludf.DUMMYFUNCTION("""COMPUTED_VALUE"""),"sergio91426@gmail.com")</f>
        <v>sergio91426@gmail.com</v>
      </c>
      <c r="H81" s="65"/>
      <c r="I81" s="65"/>
      <c r="J81" s="65" t="str">
        <f>IFERROR(__xludf.DUMMYFUNCTION("""COMPUTED_VALUE"""),"LC53183486")</f>
        <v>LC53183486</v>
      </c>
      <c r="K81" s="65" t="str">
        <f>IFERROR(__xludf.DUMMYFUNCTION("""COMPUTED_VALUE"""),"NOVEDAD")</f>
        <v>NOVEDAD</v>
      </c>
      <c r="L81" s="65" t="str">
        <f>IFERROR(__xludf.DUMMYFUNCTION("""COMPUTED_VALUE"""),"CON RECAUDO")</f>
        <v>CON RECAUDO</v>
      </c>
      <c r="M81" s="65" t="str">
        <f>IFERROR(__xludf.DUMMYFUNCTION("""COMPUTED_VALUE"""),"AZUAY")</f>
        <v>AZUAY</v>
      </c>
      <c r="N81" s="65" t="str">
        <f>IFERROR(__xludf.DUMMYFUNCTION("""COMPUTED_VALUE"""),"PONCE ENRIQUEZ")</f>
        <v>PONCE ENRIQUEZ</v>
      </c>
      <c r="O81" s="65" t="str">
        <f>IFERROR(__xludf.DUMMYFUNCTION("""COMPUTED_VALUE"""),"Camilo Ponce Enrique, Sector La nueva ponce - casa #11 Junto a la  policía judicial")</f>
        <v>Camilo Ponce Enrique, Sector La nueva ponce - casa #11 Junto a la  policía judicial</v>
      </c>
      <c r="P81" s="65"/>
      <c r="Q81" s="65" t="str">
        <f>IFERROR(__xludf.DUMMYFUNCTION("""COMPUTED_VALUE"""),"LAARCOURIER")</f>
        <v>LAARCOURIER</v>
      </c>
      <c r="R81" s="65">
        <f>IFERROR(__xludf.DUMMYFUNCTION("""COMPUTED_VALUE"""),20.0)</f>
        <v>20</v>
      </c>
      <c r="S81" s="65"/>
      <c r="T81" s="65">
        <f>IFERROR(__xludf.DUMMYFUNCTION("""COMPUTED_VALUE"""),6.68)</f>
        <v>6.68</v>
      </c>
      <c r="U81" s="65">
        <f>IFERROR(__xludf.DUMMYFUNCTION("""COMPUTED_VALUE"""),0.0)</f>
        <v>0</v>
      </c>
      <c r="V81" s="65">
        <f>IFERROR(__xludf.DUMMYFUNCTION("""COMPUTED_VALUE"""),0.0)</f>
        <v>0</v>
      </c>
      <c r="W81" s="65">
        <f>IFERROR(__xludf.DUMMYFUNCTION("""COMPUTED_VALUE"""),0.0)</f>
        <v>0</v>
      </c>
      <c r="X81" s="65">
        <f>IFERROR(__xludf.DUMMYFUNCTION("""COMPUTED_VALUE"""),2.21)</f>
        <v>2.21</v>
      </c>
      <c r="Y81" s="65">
        <f>IFERROR(__xludf.DUMMYFUNCTION("""COMPUTED_VALUE"""),4.42)</f>
        <v>4.42</v>
      </c>
      <c r="Z81" s="65">
        <f>IFERROR(__xludf.DUMMYFUNCTION("""COMPUTED_VALUE"""),120732.0)</f>
        <v>120732</v>
      </c>
      <c r="AA81" s="65" t="str">
        <f>IFERROR(__xludf.DUMMYFUNCTION("""COMPUTED_VALUE"""),"PROV-LMPVT")</f>
        <v>PROV-LMPVT</v>
      </c>
      <c r="AB81" s="65"/>
      <c r="AC81" s="65" t="str">
        <f>IFERROR(__xludf.DUMMYFUNCTION("""COMPUTED_VALUE"""),"LIMPIADOR DE PARABRISAS Y VENTANAS")</f>
        <v>LIMPIADOR DE PARABRISAS Y VENTANAS</v>
      </c>
      <c r="AD81" s="65"/>
      <c r="AE81" s="65">
        <f>IFERROR(__xludf.DUMMYFUNCTION("""COMPUTED_VALUE"""),2.0)</f>
        <v>2</v>
      </c>
      <c r="AF81" s="65"/>
      <c r="AG81" s="65"/>
      <c r="AH81" s="65"/>
      <c r="AI81" s="65"/>
      <c r="AJ81" s="65"/>
      <c r="AK81" s="65"/>
      <c r="AL81" s="65"/>
      <c r="AM81" s="65"/>
      <c r="AN81" s="65" t="str">
        <f>IFERROR(__xludf.DUMMYFUNCTION("""COMPUTED_VALUE"""),"16:00")</f>
        <v>16:00</v>
      </c>
      <c r="AO81" s="65" t="str">
        <f>IFERROR(__xludf.DUMMYFUNCTION("""COMPUTED_VALUE"""),"26-03-2026")</f>
        <v>26-03-2026</v>
      </c>
      <c r="AP81" s="65" t="str">
        <f>IFERROR(__xludf.DUMMYFUNCTION("""COMPUTED_VALUE"""),"COBERTURA VIERNES")</f>
        <v>COBERTURA VIERNES</v>
      </c>
      <c r="AQ81" s="65" t="str">
        <f>IFERROR(__xludf.DUMMYFUNCTION("""COMPUTED_VALUE"""),"COBERTURA VIERNES")</f>
        <v>COBERTURA VIERNES</v>
      </c>
      <c r="AR81" s="65"/>
      <c r="AS81" s="65"/>
      <c r="AT81" s="65" t="str">
        <f>IFERROR(__xludf.DUMMYFUNCTION("""COMPUTED_VALUE"""),"SHOPIFY")</f>
        <v>SHOPIFY</v>
      </c>
      <c r="AU81" s="65" t="str">
        <f>IFERROR(__xludf.DUMMYFUNCTION("""COMPUTED_VALUE"""),"IMPORTEX EC")</f>
        <v>IMPORTEX EC</v>
      </c>
      <c r="AV81" s="65" t="str">
        <f>IFERROR(__xludf.DUMMYFUNCTION("""COMPUTED_VALUE"""),"6593333362732")</f>
        <v>6593333362732</v>
      </c>
      <c r="AW81" s="65">
        <f>IFERROR(__xludf.DUMMYFUNCTION("""COMPUTED_VALUE"""),6766.0)</f>
        <v>6766</v>
      </c>
      <c r="AX81" s="65"/>
      <c r="AY81" s="65" t="str">
        <f>IFERROR(__xludf.DUMMYFUNCTION("""COMPUTED_VALUE"""),"24/03/2026")</f>
        <v>24/03/2026</v>
      </c>
      <c r="AZ81" s="65"/>
      <c r="BA81" s="65"/>
    </row>
    <row r="82">
      <c r="A82" s="65" t="str">
        <f>IFERROR(__xludf.DUMMYFUNCTION("""COMPUTED_VALUE"""),"27-03-2026")</f>
        <v>27-03-2026</v>
      </c>
      <c r="B82" s="65">
        <f>IFERROR(__xludf.DUMMYFUNCTION("""COMPUTED_VALUE"""),4866097.0)</f>
        <v>4866097</v>
      </c>
      <c r="C82" s="65" t="str">
        <f>IFERROR(__xludf.DUMMYFUNCTION("""COMPUTED_VALUE"""),"08:00")</f>
        <v>08:00</v>
      </c>
      <c r="D82" s="65" t="str">
        <f>IFERROR(__xludf.DUMMYFUNCTION("""COMPUTED_VALUE"""),"21-03-2026")</f>
        <v>21-03-2026</v>
      </c>
      <c r="E82" s="65" t="str">
        <f>IFERROR(__xludf.DUMMYFUNCTION("""COMPUTED_VALUE"""),"Ginger Coveña")</f>
        <v>Ginger Coveña</v>
      </c>
      <c r="F82" s="65" t="str">
        <f>IFERROR(__xludf.DUMMYFUNCTION("""COMPUTED_VALUE"""),"968341574")</f>
        <v>968341574</v>
      </c>
      <c r="G82" s="65" t="str">
        <f>IFERROR(__xludf.DUMMYFUNCTION("""COMPUTED_VALUE"""),"covenaalexa7@gmail.com")</f>
        <v>covenaalexa7@gmail.com</v>
      </c>
      <c r="H82" s="65"/>
      <c r="I82" s="65"/>
      <c r="J82" s="65" t="str">
        <f>IFERROR(__xludf.DUMMYFUNCTION("""COMPUTED_VALUE"""),"D001448105")</f>
        <v>D001448105</v>
      </c>
      <c r="K82" s="65" t="str">
        <f>IFERROR(__xludf.DUMMYFUNCTION("""COMPUTED_VALUE"""),"ENTREGADO")</f>
        <v>ENTREGADO</v>
      </c>
      <c r="L82" s="65" t="str">
        <f>IFERROR(__xludf.DUMMYFUNCTION("""COMPUTED_VALUE"""),"CON RECAUDO")</f>
        <v>CON RECAUDO</v>
      </c>
      <c r="M82" s="65" t="str">
        <f>IFERROR(__xludf.DUMMYFUNCTION("""COMPUTED_VALUE"""),"EL ORO")</f>
        <v>EL ORO</v>
      </c>
      <c r="N82" s="65" t="str">
        <f>IFERROR(__xludf.DUMMYFUNCTION("""COMPUTED_VALUE"""),"MACHALA")</f>
        <v>MACHALA</v>
      </c>
      <c r="O82" s="65" t="str">
        <f>IFERROR(__xludf.DUMMYFUNCTION("""COMPUTED_VALUE"""),"Av. 10 de agosto Primera norte - Jugueria Bonsai")</f>
        <v>Av. 10 de agosto Primera norte - Jugueria Bonsai</v>
      </c>
      <c r="P82" s="65"/>
      <c r="Q82" s="65" t="str">
        <f>IFERROR(__xludf.DUMMYFUNCTION("""COMPUTED_VALUE"""),"GINTRACOM")</f>
        <v>GINTRACOM</v>
      </c>
      <c r="R82" s="65">
        <f>IFERROR(__xludf.DUMMYFUNCTION("""COMPUTED_VALUE"""),20.0)</f>
        <v>20</v>
      </c>
      <c r="S82" s="65">
        <f>IFERROR(__xludf.DUMMYFUNCTION("""COMPUTED_VALUE"""),9.83)</f>
        <v>9.83</v>
      </c>
      <c r="T82" s="65">
        <f>IFERROR(__xludf.DUMMYFUNCTION("""COMPUTED_VALUE"""),5.75)</f>
        <v>5.75</v>
      </c>
      <c r="U82" s="65">
        <f>IFERROR(__xludf.DUMMYFUNCTION("""COMPUTED_VALUE"""),0.0)</f>
        <v>0</v>
      </c>
      <c r="V82" s="65">
        <f>IFERROR(__xludf.DUMMYFUNCTION("""COMPUTED_VALUE"""),0.0)</f>
        <v>0</v>
      </c>
      <c r="W82" s="65">
        <f>IFERROR(__xludf.DUMMYFUNCTION("""COMPUTED_VALUE"""),0.0)</f>
        <v>0</v>
      </c>
      <c r="X82" s="65">
        <f>IFERROR(__xludf.DUMMYFUNCTION("""COMPUTED_VALUE"""),2.21)</f>
        <v>2.21</v>
      </c>
      <c r="Y82" s="65">
        <f>IFERROR(__xludf.DUMMYFUNCTION("""COMPUTED_VALUE"""),4.42)</f>
        <v>4.42</v>
      </c>
      <c r="Z82" s="65">
        <f>IFERROR(__xludf.DUMMYFUNCTION("""COMPUTED_VALUE"""),120732.0)</f>
        <v>120732</v>
      </c>
      <c r="AA82" s="65" t="str">
        <f>IFERROR(__xludf.DUMMYFUNCTION("""COMPUTED_VALUE"""),"PROV-LMPVT")</f>
        <v>PROV-LMPVT</v>
      </c>
      <c r="AB82" s="65"/>
      <c r="AC82" s="65" t="str">
        <f>IFERROR(__xludf.DUMMYFUNCTION("""COMPUTED_VALUE"""),"LIMPIADOR DE PARABRISAS Y VENTANAS")</f>
        <v>LIMPIADOR DE PARABRISAS Y VENTANAS</v>
      </c>
      <c r="AD82" s="65"/>
      <c r="AE82" s="65">
        <f>IFERROR(__xludf.DUMMYFUNCTION("""COMPUTED_VALUE"""),2.0)</f>
        <v>2</v>
      </c>
      <c r="AF82" s="65"/>
      <c r="AG82" s="65"/>
      <c r="AH82" s="65"/>
      <c r="AI82" s="65"/>
      <c r="AJ82" s="65"/>
      <c r="AK82" s="65"/>
      <c r="AL82" s="65"/>
      <c r="AM82" s="65"/>
      <c r="AN82" s="65" t="str">
        <f>IFERROR(__xludf.DUMMYFUNCTION("""COMPUTED_VALUE"""),"11:28")</f>
        <v>11:28</v>
      </c>
      <c r="AO82" s="65" t="str">
        <f>IFERROR(__xludf.DUMMYFUNCTION("""COMPUTED_VALUE"""),"26-03-2026")</f>
        <v>26-03-2026</v>
      </c>
      <c r="AP82" s="65" t="str">
        <f>IFERROR(__xludf.DUMMYFUNCTION("""COMPUTED_VALUE"""),"ENTREGADA GINTRACOM")</f>
        <v>ENTREGADA GINTRACOM</v>
      </c>
      <c r="AQ82" s="65" t="str">
        <f>IFERROR(__xludf.DUMMYFUNCTION("""COMPUTED_VALUE"""),"ENTREGADA GINTRACOM")</f>
        <v>ENTREGADA GINTRACOM</v>
      </c>
      <c r="AR82" s="65"/>
      <c r="AS82" s="65"/>
      <c r="AT82" s="65" t="str">
        <f>IFERROR(__xludf.DUMMYFUNCTION("""COMPUTED_VALUE"""),"SHOPIFY")</f>
        <v>SHOPIFY</v>
      </c>
      <c r="AU82" s="65" t="str">
        <f>IFERROR(__xludf.DUMMYFUNCTION("""COMPUTED_VALUE"""),"IMPORTEX EC")</f>
        <v>IMPORTEX EC</v>
      </c>
      <c r="AV82" s="65" t="str">
        <f>IFERROR(__xludf.DUMMYFUNCTION("""COMPUTED_VALUE"""),"6593302954028")</f>
        <v>6593302954028</v>
      </c>
      <c r="AW82" s="65">
        <f>IFERROR(__xludf.DUMMYFUNCTION("""COMPUTED_VALUE"""),6765.0)</f>
        <v>6765</v>
      </c>
      <c r="AX82" s="65"/>
      <c r="AY82" s="65" t="str">
        <f>IFERROR(__xludf.DUMMYFUNCTION("""COMPUTED_VALUE"""),"24/03/2026")</f>
        <v>24/03/2026</v>
      </c>
      <c r="AZ82" s="65"/>
      <c r="BA82" s="65"/>
    </row>
    <row r="83">
      <c r="A83" s="65" t="str">
        <f>IFERROR(__xludf.DUMMYFUNCTION("""COMPUTED_VALUE"""),"27-03-2026")</f>
        <v>27-03-2026</v>
      </c>
      <c r="B83" s="65">
        <f>IFERROR(__xludf.DUMMYFUNCTION("""COMPUTED_VALUE"""),4866095.0)</f>
        <v>4866095</v>
      </c>
      <c r="C83" s="65" t="str">
        <f>IFERROR(__xludf.DUMMYFUNCTION("""COMPUTED_VALUE"""),"08:00")</f>
        <v>08:00</v>
      </c>
      <c r="D83" s="65" t="str">
        <f>IFERROR(__xludf.DUMMYFUNCTION("""COMPUTED_VALUE"""),"21-03-2026")</f>
        <v>21-03-2026</v>
      </c>
      <c r="E83" s="65" t="str">
        <f>IFERROR(__xludf.DUMMYFUNCTION("""COMPUTED_VALUE"""),"Celso Ortiz")</f>
        <v>Celso Ortiz</v>
      </c>
      <c r="F83" s="65" t="str">
        <f>IFERROR(__xludf.DUMMYFUNCTION("""COMPUTED_VALUE"""),"983220089")</f>
        <v>983220089</v>
      </c>
      <c r="G83" s="65" t="str">
        <f>IFERROR(__xludf.DUMMYFUNCTION("""COMPUTED_VALUE"""),"chechortizb@gmail.com")</f>
        <v>chechortizb@gmail.com</v>
      </c>
      <c r="H83" s="65"/>
      <c r="I83" s="65"/>
      <c r="J83" s="65" t="str">
        <f>IFERROR(__xludf.DUMMYFUNCTION("""COMPUTED_VALUE"""),"D001448107")</f>
        <v>D001448107</v>
      </c>
      <c r="K83" s="65" t="str">
        <f>IFERROR(__xludf.DUMMYFUNCTION("""COMPUTED_VALUE"""),"ENTREGADO")</f>
        <v>ENTREGADO</v>
      </c>
      <c r="L83" s="65" t="str">
        <f>IFERROR(__xludf.DUMMYFUNCTION("""COMPUTED_VALUE"""),"CON RECAUDO")</f>
        <v>CON RECAUDO</v>
      </c>
      <c r="M83" s="65" t="str">
        <f>IFERROR(__xludf.DUMMYFUNCTION("""COMPUTED_VALUE"""),"TUNGURAHUA")</f>
        <v>TUNGURAHUA</v>
      </c>
      <c r="N83" s="65" t="str">
        <f>IFERROR(__xludf.DUMMYFUNCTION("""COMPUTED_VALUE"""),"AMBATO")</f>
        <v>AMBATO</v>
      </c>
      <c r="O83" s="65" t="str">
        <f>IFERROR(__xludf.DUMMYFUNCTION("""COMPUTED_VALUE"""),"Av Cervantes y Av Manuela Sáenz Complejo judicial Ambato -")</f>
        <v>Av Cervantes y Av Manuela Sáenz Complejo judicial Ambato -</v>
      </c>
      <c r="P83" s="65"/>
      <c r="Q83" s="65" t="str">
        <f>IFERROR(__xludf.DUMMYFUNCTION("""COMPUTED_VALUE"""),"GINTRACOM")</f>
        <v>GINTRACOM</v>
      </c>
      <c r="R83" s="65">
        <f>IFERROR(__xludf.DUMMYFUNCTION("""COMPUTED_VALUE"""),24.99)</f>
        <v>24.99</v>
      </c>
      <c r="S83" s="65">
        <f>IFERROR(__xludf.DUMMYFUNCTION("""COMPUTED_VALUE"""),12.41)</f>
        <v>12.41</v>
      </c>
      <c r="T83" s="65">
        <f>IFERROR(__xludf.DUMMYFUNCTION("""COMPUTED_VALUE"""),5.95)</f>
        <v>5.95</v>
      </c>
      <c r="U83" s="65">
        <f>IFERROR(__xludf.DUMMYFUNCTION("""COMPUTED_VALUE"""),0.0)</f>
        <v>0</v>
      </c>
      <c r="V83" s="65">
        <f>IFERROR(__xludf.DUMMYFUNCTION("""COMPUTED_VALUE"""),0.0)</f>
        <v>0</v>
      </c>
      <c r="W83" s="65">
        <f>IFERROR(__xludf.DUMMYFUNCTION("""COMPUTED_VALUE"""),0.0)</f>
        <v>0</v>
      </c>
      <c r="X83" s="65">
        <f>IFERROR(__xludf.DUMMYFUNCTION("""COMPUTED_VALUE"""),2.21)</f>
        <v>2.21</v>
      </c>
      <c r="Y83" s="65">
        <f>IFERROR(__xludf.DUMMYFUNCTION("""COMPUTED_VALUE"""),6.63)</f>
        <v>6.63</v>
      </c>
      <c r="Z83" s="65">
        <f>IFERROR(__xludf.DUMMYFUNCTION("""COMPUTED_VALUE"""),120732.0)</f>
        <v>120732</v>
      </c>
      <c r="AA83" s="65" t="str">
        <f>IFERROR(__xludf.DUMMYFUNCTION("""COMPUTED_VALUE"""),"PROV-LMPVT")</f>
        <v>PROV-LMPVT</v>
      </c>
      <c r="AB83" s="65"/>
      <c r="AC83" s="65" t="str">
        <f>IFERROR(__xludf.DUMMYFUNCTION("""COMPUTED_VALUE"""),"LIMPIADOR DE PARABRISAS Y VENTANAS")</f>
        <v>LIMPIADOR DE PARABRISAS Y VENTANAS</v>
      </c>
      <c r="AD83" s="65"/>
      <c r="AE83" s="65">
        <f>IFERROR(__xludf.DUMMYFUNCTION("""COMPUTED_VALUE"""),3.0)</f>
        <v>3</v>
      </c>
      <c r="AF83" s="65"/>
      <c r="AG83" s="65"/>
      <c r="AH83" s="65"/>
      <c r="AI83" s="65"/>
      <c r="AJ83" s="65"/>
      <c r="AK83" s="65"/>
      <c r="AL83" s="65"/>
      <c r="AM83" s="65"/>
      <c r="AN83" s="65" t="str">
        <f>IFERROR(__xludf.DUMMYFUNCTION("""COMPUTED_VALUE"""),"17:02")</f>
        <v>17:02</v>
      </c>
      <c r="AO83" s="65" t="str">
        <f>IFERROR(__xludf.DUMMYFUNCTION("""COMPUTED_VALUE"""),"26-03-2026")</f>
        <v>26-03-2026</v>
      </c>
      <c r="AP83" s="65" t="str">
        <f>IFERROR(__xludf.DUMMYFUNCTION("""COMPUTED_VALUE"""),"ENTREGADA GINTRACOM")</f>
        <v>ENTREGADA GINTRACOM</v>
      </c>
      <c r="AQ83" s="65" t="str">
        <f>IFERROR(__xludf.DUMMYFUNCTION("""COMPUTED_VALUE"""),"ENTREGADA GINTRACOM")</f>
        <v>ENTREGADA GINTRACOM</v>
      </c>
      <c r="AR83" s="65"/>
      <c r="AS83" s="65"/>
      <c r="AT83" s="65" t="str">
        <f>IFERROR(__xludf.DUMMYFUNCTION("""COMPUTED_VALUE"""),"SHOPIFY")</f>
        <v>SHOPIFY</v>
      </c>
      <c r="AU83" s="65" t="str">
        <f>IFERROR(__xludf.DUMMYFUNCTION("""COMPUTED_VALUE"""),"IMPORTEX EC")</f>
        <v>IMPORTEX EC</v>
      </c>
      <c r="AV83" s="65" t="str">
        <f>IFERROR(__xludf.DUMMYFUNCTION("""COMPUTED_VALUE"""),"6593292664876")</f>
        <v>6593292664876</v>
      </c>
      <c r="AW83" s="65">
        <f>IFERROR(__xludf.DUMMYFUNCTION("""COMPUTED_VALUE"""),6764.0)</f>
        <v>6764</v>
      </c>
      <c r="AX83" s="65"/>
      <c r="AY83" s="65" t="str">
        <f>IFERROR(__xludf.DUMMYFUNCTION("""COMPUTED_VALUE"""),"24/03/2026")</f>
        <v>24/03/2026</v>
      </c>
      <c r="AZ83" s="65"/>
      <c r="BA83" s="65"/>
    </row>
    <row r="84">
      <c r="A84" s="65" t="str">
        <f>IFERROR(__xludf.DUMMYFUNCTION("""COMPUTED_VALUE"""),"27-03-2026")</f>
        <v>27-03-2026</v>
      </c>
      <c r="B84" s="65">
        <f>IFERROR(__xludf.DUMMYFUNCTION("""COMPUTED_VALUE"""),4866093.0)</f>
        <v>4866093</v>
      </c>
      <c r="C84" s="65" t="str">
        <f>IFERROR(__xludf.DUMMYFUNCTION("""COMPUTED_VALUE"""),"08:00")</f>
        <v>08:00</v>
      </c>
      <c r="D84" s="65" t="str">
        <f>IFERROR(__xludf.DUMMYFUNCTION("""COMPUTED_VALUE"""),"21-03-2026")</f>
        <v>21-03-2026</v>
      </c>
      <c r="E84" s="65" t="str">
        <f>IFERROR(__xludf.DUMMYFUNCTION("""COMPUTED_VALUE"""),"Pamela León Leon")</f>
        <v>Pamela León Leon</v>
      </c>
      <c r="F84" s="65" t="str">
        <f>IFERROR(__xludf.DUMMYFUNCTION("""COMPUTED_VALUE"""),"999901802")</f>
        <v>999901802</v>
      </c>
      <c r="G84" s="65" t="str">
        <f>IFERROR(__xludf.DUMMYFUNCTION("""COMPUTED_VALUE"""),"pame.leon@hotmail.com")</f>
        <v>pame.leon@hotmail.com</v>
      </c>
      <c r="H84" s="65"/>
      <c r="I84" s="65"/>
      <c r="J84" s="65" t="str">
        <f>IFERROR(__xludf.DUMMYFUNCTION("""COMPUTED_VALUE"""),"D001448108")</f>
        <v>D001448108</v>
      </c>
      <c r="K84" s="65" t="str">
        <f>IFERROR(__xludf.DUMMYFUNCTION("""COMPUTED_VALUE"""),"ENTREGADO")</f>
        <v>ENTREGADO</v>
      </c>
      <c r="L84" s="65" t="str">
        <f>IFERROR(__xludf.DUMMYFUNCTION("""COMPUTED_VALUE"""),"CON RECAUDO")</f>
        <v>CON RECAUDO</v>
      </c>
      <c r="M84" s="65" t="str">
        <f>IFERROR(__xludf.DUMMYFUNCTION("""COMPUTED_VALUE"""),"PICHINCHA")</f>
        <v>PICHINCHA</v>
      </c>
      <c r="N84" s="65" t="str">
        <f>IFERROR(__xludf.DUMMYFUNCTION("""COMPUTED_VALUE"""),"QUITO")</f>
        <v>QUITO</v>
      </c>
      <c r="O84" s="65" t="str">
        <f>IFERROR(__xludf.DUMMYFUNCTION("""COMPUTED_VALUE"""),"Av. Italia y Mariana de Jesús esquina, edificio comercial EPMAPS, piso 1")</f>
        <v>Av. Italia y Mariana de Jesús esquina, edificio comercial EPMAPS, piso 1</v>
      </c>
      <c r="P84" s="65"/>
      <c r="Q84" s="65" t="str">
        <f>IFERROR(__xludf.DUMMYFUNCTION("""COMPUTED_VALUE"""),"GINTRACOM")</f>
        <v>GINTRACOM</v>
      </c>
      <c r="R84" s="65">
        <f>IFERROR(__xludf.DUMMYFUNCTION("""COMPUTED_VALUE"""),20.0)</f>
        <v>20</v>
      </c>
      <c r="S84" s="65">
        <f>IFERROR(__xludf.DUMMYFUNCTION("""COMPUTED_VALUE"""),9.83)</f>
        <v>9.83</v>
      </c>
      <c r="T84" s="65">
        <f>IFERROR(__xludf.DUMMYFUNCTION("""COMPUTED_VALUE"""),5.75)</f>
        <v>5.75</v>
      </c>
      <c r="U84" s="65">
        <f>IFERROR(__xludf.DUMMYFUNCTION("""COMPUTED_VALUE"""),0.0)</f>
        <v>0</v>
      </c>
      <c r="V84" s="65">
        <f>IFERROR(__xludf.DUMMYFUNCTION("""COMPUTED_VALUE"""),0.0)</f>
        <v>0</v>
      </c>
      <c r="W84" s="65">
        <f>IFERROR(__xludf.DUMMYFUNCTION("""COMPUTED_VALUE"""),0.0)</f>
        <v>0</v>
      </c>
      <c r="X84" s="65">
        <f>IFERROR(__xludf.DUMMYFUNCTION("""COMPUTED_VALUE"""),2.21)</f>
        <v>2.21</v>
      </c>
      <c r="Y84" s="65">
        <f>IFERROR(__xludf.DUMMYFUNCTION("""COMPUTED_VALUE"""),4.42)</f>
        <v>4.42</v>
      </c>
      <c r="Z84" s="65">
        <f>IFERROR(__xludf.DUMMYFUNCTION("""COMPUTED_VALUE"""),120732.0)</f>
        <v>120732</v>
      </c>
      <c r="AA84" s="65" t="str">
        <f>IFERROR(__xludf.DUMMYFUNCTION("""COMPUTED_VALUE"""),"PROV-LMPVT")</f>
        <v>PROV-LMPVT</v>
      </c>
      <c r="AB84" s="65"/>
      <c r="AC84" s="65" t="str">
        <f>IFERROR(__xludf.DUMMYFUNCTION("""COMPUTED_VALUE"""),"LIMPIADOR DE PARABRISAS Y VENTANAS")</f>
        <v>LIMPIADOR DE PARABRISAS Y VENTANAS</v>
      </c>
      <c r="AD84" s="65"/>
      <c r="AE84" s="65">
        <f>IFERROR(__xludf.DUMMYFUNCTION("""COMPUTED_VALUE"""),2.0)</f>
        <v>2</v>
      </c>
      <c r="AF84" s="65" t="str">
        <f>IFERROR(__xludf.DUMMYFUNCTION("""COMPUTED_VALUE"""),"DESTINATARIO NO SE ENCUENTRA EN LUGAR DE ENTREGA.")</f>
        <v>DESTINATARIO NO SE ENCUENTRA EN LUGAR DE ENTREGA.</v>
      </c>
      <c r="AG84" s="65" t="str">
        <f>IFERROR(__xludf.DUMMYFUNCTION("""COMPUTED_VALUE"""),"NO")</f>
        <v>NO</v>
      </c>
      <c r="AH84" s="65" t="str">
        <f>IFERROR(__xludf.DUMMYFUNCTION("""COMPUTED_VALUE"""),"14:22")</f>
        <v>14:22</v>
      </c>
      <c r="AI84" s="65" t="str">
        <f>IFERROR(__xludf.DUMMYFUNCTION("""COMPUTED_VALUE"""),"26-03-2026")</f>
        <v>26-03-2026</v>
      </c>
      <c r="AJ84" s="65"/>
      <c r="AK84" s="65"/>
      <c r="AL84" s="65"/>
      <c r="AM84" s="65"/>
      <c r="AN84" s="65" t="str">
        <f>IFERROR(__xludf.DUMMYFUNCTION("""COMPUTED_VALUE"""),"14:22")</f>
        <v>14:22</v>
      </c>
      <c r="AO84" s="65" t="str">
        <f>IFERROR(__xludf.DUMMYFUNCTION("""COMPUTED_VALUE"""),"26-03-2026")</f>
        <v>26-03-2026</v>
      </c>
      <c r="AP84" s="65" t="str">
        <f>IFERROR(__xludf.DUMMYFUNCTION("""COMPUTED_VALUE"""),"DESTINATARIO NO SE ENCUENTRA EN LUGAR DE ENTREGA.")</f>
        <v>DESTINATARIO NO SE ENCUENTRA EN LUGAR DE ENTREGA.</v>
      </c>
      <c r="AQ84" s="65" t="str">
        <f>IFERROR(__xludf.DUMMYFUNCTION("""COMPUTED_VALUE"""),"DESTINATARIO NO SE ENCUENTRA EN LUGAR DE ENTREGA.")</f>
        <v>DESTINATARIO NO SE ENCUENTRA EN LUGAR DE ENTREGA.</v>
      </c>
      <c r="AR84" s="65"/>
      <c r="AS84" s="65"/>
      <c r="AT84" s="65" t="str">
        <f>IFERROR(__xludf.DUMMYFUNCTION("""COMPUTED_VALUE"""),"SHOPIFY")</f>
        <v>SHOPIFY</v>
      </c>
      <c r="AU84" s="65" t="str">
        <f>IFERROR(__xludf.DUMMYFUNCTION("""COMPUTED_VALUE"""),"IMPORTEX EC")</f>
        <v>IMPORTEX EC</v>
      </c>
      <c r="AV84" s="65" t="str">
        <f>IFERROR(__xludf.DUMMYFUNCTION("""COMPUTED_VALUE"""),"6593274937388")</f>
        <v>6593274937388</v>
      </c>
      <c r="AW84" s="65">
        <f>IFERROR(__xludf.DUMMYFUNCTION("""COMPUTED_VALUE"""),6763.0)</f>
        <v>6763</v>
      </c>
      <c r="AX84" s="65"/>
      <c r="AY84" s="65" t="str">
        <f>IFERROR(__xludf.DUMMYFUNCTION("""COMPUTED_VALUE"""),"24/03/2026")</f>
        <v>24/03/2026</v>
      </c>
      <c r="AZ84" s="65"/>
      <c r="BA84" s="65"/>
    </row>
    <row r="85">
      <c r="A85" s="65" t="str">
        <f>IFERROR(__xludf.DUMMYFUNCTION("""COMPUTED_VALUE"""),"27-03-2026")</f>
        <v>27-03-2026</v>
      </c>
      <c r="B85" s="65">
        <f>IFERROR(__xludf.DUMMYFUNCTION("""COMPUTED_VALUE"""),4866090.0)</f>
        <v>4866090</v>
      </c>
      <c r="C85" s="65" t="str">
        <f>IFERROR(__xludf.DUMMYFUNCTION("""COMPUTED_VALUE"""),"08:00")</f>
        <v>08:00</v>
      </c>
      <c r="D85" s="65" t="str">
        <f>IFERROR(__xludf.DUMMYFUNCTION("""COMPUTED_VALUE"""),"21-03-2026")</f>
        <v>21-03-2026</v>
      </c>
      <c r="E85" s="65" t="str">
        <f>IFERROR(__xludf.DUMMYFUNCTION("""COMPUTED_VALUE"""),"Diana Rodriguez")</f>
        <v>Diana Rodriguez</v>
      </c>
      <c r="F85" s="65" t="str">
        <f>IFERROR(__xludf.DUMMYFUNCTION("""COMPUTED_VALUE"""),"999179310")</f>
        <v>999179310</v>
      </c>
      <c r="G85" s="65" t="str">
        <f>IFERROR(__xludf.DUMMYFUNCTION("""COMPUTED_VALUE"""),"dianarodriguez221982@gmail.com")</f>
        <v>dianarodriguez221982@gmail.com</v>
      </c>
      <c r="H85" s="65"/>
      <c r="I85" s="65"/>
      <c r="J85" s="65"/>
      <c r="K85" s="65" t="str">
        <f>IFERROR(__xludf.DUMMYFUNCTION("""COMPUTED_VALUE"""),"PENDIENTE CONFIRMACION")</f>
        <v>PENDIENTE CONFIRMACION</v>
      </c>
      <c r="L85" s="65" t="str">
        <f>IFERROR(__xludf.DUMMYFUNCTION("""COMPUTED_VALUE"""),"CON RECAUDO")</f>
        <v>CON RECAUDO</v>
      </c>
      <c r="M85" s="65" t="str">
        <f>IFERROR(__xludf.DUMMYFUNCTION("""COMPUTED_VALUE"""),"GUAYAS")</f>
        <v>GUAYAS</v>
      </c>
      <c r="N85" s="65" t="str">
        <f>IFERROR(__xludf.DUMMYFUNCTION("""COMPUTED_VALUE"""),"GUAYAQUIL")</f>
        <v>GUAYAQUIL</v>
      </c>
      <c r="O85" s="65" t="str">
        <f>IFERROR(__xludf.DUMMYFUNCTION("""COMPUTED_VALUE"""),"Mucho Lote 2 urbanización paraíso del río 1 manzana 20 villa 9 Mucho lote 2 -")</f>
        <v>Mucho Lote 2 urbanización paraíso del río 1 manzana 20 villa 9 Mucho lote 2 -</v>
      </c>
      <c r="P85" s="65"/>
      <c r="Q85" s="65" t="str">
        <f>IFERROR(__xludf.DUMMYFUNCTION("""COMPUTED_VALUE"""),"GINTRACOM")</f>
        <v>GINTRACOM</v>
      </c>
      <c r="R85" s="65">
        <f>IFERROR(__xludf.DUMMYFUNCTION("""COMPUTED_VALUE"""),20.0)</f>
        <v>20</v>
      </c>
      <c r="S85" s="65"/>
      <c r="T85" s="65">
        <f>IFERROR(__xludf.DUMMYFUNCTION("""COMPUTED_VALUE"""),4.14)</f>
        <v>4.14</v>
      </c>
      <c r="U85" s="65">
        <f>IFERROR(__xludf.DUMMYFUNCTION("""COMPUTED_VALUE"""),0.0)</f>
        <v>0</v>
      </c>
      <c r="V85" s="65">
        <f>IFERROR(__xludf.DUMMYFUNCTION("""COMPUTED_VALUE"""),0.0)</f>
        <v>0</v>
      </c>
      <c r="W85" s="65">
        <f>IFERROR(__xludf.DUMMYFUNCTION("""COMPUTED_VALUE"""),0.0)</f>
        <v>0</v>
      </c>
      <c r="X85" s="65">
        <f>IFERROR(__xludf.DUMMYFUNCTION("""COMPUTED_VALUE"""),2.21)</f>
        <v>2.21</v>
      </c>
      <c r="Y85" s="65">
        <f>IFERROR(__xludf.DUMMYFUNCTION("""COMPUTED_VALUE"""),4.42)</f>
        <v>4.42</v>
      </c>
      <c r="Z85" s="65">
        <f>IFERROR(__xludf.DUMMYFUNCTION("""COMPUTED_VALUE"""),120732.0)</f>
        <v>120732</v>
      </c>
      <c r="AA85" s="65" t="str">
        <f>IFERROR(__xludf.DUMMYFUNCTION("""COMPUTED_VALUE"""),"PROV-LMPVT")</f>
        <v>PROV-LMPVT</v>
      </c>
      <c r="AB85" s="65"/>
      <c r="AC85" s="65" t="str">
        <f>IFERROR(__xludf.DUMMYFUNCTION("""COMPUTED_VALUE"""),"LIMPIADOR DE PARABRISAS Y VENTANAS")</f>
        <v>LIMPIADOR DE PARABRISAS Y VENTANAS</v>
      </c>
      <c r="AD85" s="65"/>
      <c r="AE85" s="65">
        <f>IFERROR(__xludf.DUMMYFUNCTION("""COMPUTED_VALUE"""),2.0)</f>
        <v>2</v>
      </c>
      <c r="AF85" s="65"/>
      <c r="AG85" s="65"/>
      <c r="AH85" s="65"/>
      <c r="AI85" s="65"/>
      <c r="AJ85" s="65"/>
      <c r="AK85" s="65"/>
      <c r="AL85" s="65"/>
      <c r="AM85" s="65"/>
      <c r="AN85" s="65"/>
      <c r="AO85" s="65"/>
      <c r="AP85" s="65"/>
      <c r="AQ85" s="65"/>
      <c r="AR85" s="65"/>
      <c r="AS85" s="65"/>
      <c r="AT85" s="65" t="str">
        <f>IFERROR(__xludf.DUMMYFUNCTION("""COMPUTED_VALUE"""),"SHOPIFY")</f>
        <v>SHOPIFY</v>
      </c>
      <c r="AU85" s="65" t="str">
        <f>IFERROR(__xludf.DUMMYFUNCTION("""COMPUTED_VALUE"""),"IMPORTEX EC")</f>
        <v>IMPORTEX EC</v>
      </c>
      <c r="AV85" s="65" t="str">
        <f>IFERROR(__xludf.DUMMYFUNCTION("""COMPUTED_VALUE"""),"6593140490284")</f>
        <v>6593140490284</v>
      </c>
      <c r="AW85" s="65">
        <f>IFERROR(__xludf.DUMMYFUNCTION("""COMPUTED_VALUE"""),6762.0)</f>
        <v>6762</v>
      </c>
      <c r="AX85" s="65"/>
      <c r="AY85" s="65"/>
      <c r="AZ85" s="65"/>
      <c r="BA85" s="65"/>
    </row>
    <row r="86">
      <c r="A86" s="65" t="str">
        <f>IFERROR(__xludf.DUMMYFUNCTION("""COMPUTED_VALUE"""),"27-03-2026")</f>
        <v>27-03-2026</v>
      </c>
      <c r="B86" s="65">
        <f>IFERROR(__xludf.DUMMYFUNCTION("""COMPUTED_VALUE"""),4866086.0)</f>
        <v>4866086</v>
      </c>
      <c r="C86" s="65" t="str">
        <f>IFERROR(__xludf.DUMMYFUNCTION("""COMPUTED_VALUE"""),"07:59")</f>
        <v>07:59</v>
      </c>
      <c r="D86" s="65" t="str">
        <f>IFERROR(__xludf.DUMMYFUNCTION("""COMPUTED_VALUE"""),"21-03-2026")</f>
        <v>21-03-2026</v>
      </c>
      <c r="E86" s="65" t="str">
        <f>IFERROR(__xludf.DUMMYFUNCTION("""COMPUTED_VALUE"""),"Tania Maritza Suárez Tigrero")</f>
        <v>Tania Maritza Suárez Tigrero</v>
      </c>
      <c r="F86" s="65" t="str">
        <f>IFERROR(__xludf.DUMMYFUNCTION("""COMPUTED_VALUE"""),"985208774")</f>
        <v>985208774</v>
      </c>
      <c r="G86" s="65" t="str">
        <f>IFERROR(__xludf.DUMMYFUNCTION("""COMPUTED_VALUE"""),"tania_suartri123@hotmail.com")</f>
        <v>tania_suartri123@hotmail.com</v>
      </c>
      <c r="H86" s="65"/>
      <c r="I86" s="65"/>
      <c r="J86" s="65" t="str">
        <f>IFERROR(__xludf.DUMMYFUNCTION("""COMPUTED_VALUE"""),"D001448109")</f>
        <v>D001448109</v>
      </c>
      <c r="K86" s="65" t="str">
        <f>IFERROR(__xludf.DUMMYFUNCTION("""COMPUTED_VALUE"""),"ENTREGADO")</f>
        <v>ENTREGADO</v>
      </c>
      <c r="L86" s="65" t="str">
        <f>IFERROR(__xludf.DUMMYFUNCTION("""COMPUTED_VALUE"""),"CON RECAUDO")</f>
        <v>CON RECAUDO</v>
      </c>
      <c r="M86" s="65" t="str">
        <f>IFERROR(__xludf.DUMMYFUNCTION("""COMPUTED_VALUE"""),"SANTA ELENA")</f>
        <v>SANTA ELENA</v>
      </c>
      <c r="N86" s="65" t="str">
        <f>IFERROR(__xludf.DUMMYFUNCTION("""COMPUTED_VALUE"""),"SANTA ELENA")</f>
        <v>SANTA ELENA</v>
      </c>
      <c r="O86" s="65" t="str">
        <f>IFERROR(__xludf.DUMMYFUNCTION("""COMPUTED_VALUE"""),"Calles Asaad Bucaram y Francisco Pérez Ramos - A dos cuadras del Terminal Terrestre Sumpa - Santa Elena")</f>
        <v>Calles Asaad Bucaram y Francisco Pérez Ramos - A dos cuadras del Terminal Terrestre Sumpa - Santa Elena</v>
      </c>
      <c r="P86" s="65"/>
      <c r="Q86" s="65" t="str">
        <f>IFERROR(__xludf.DUMMYFUNCTION("""COMPUTED_VALUE"""),"GINTRACOM")</f>
        <v>GINTRACOM</v>
      </c>
      <c r="R86" s="65">
        <f>IFERROR(__xludf.DUMMYFUNCTION("""COMPUTED_VALUE"""),24.99)</f>
        <v>24.99</v>
      </c>
      <c r="S86" s="65">
        <f>IFERROR(__xludf.DUMMYFUNCTION("""COMPUTED_VALUE"""),12.41)</f>
        <v>12.41</v>
      </c>
      <c r="T86" s="65">
        <f>IFERROR(__xludf.DUMMYFUNCTION("""COMPUTED_VALUE"""),5.95)</f>
        <v>5.95</v>
      </c>
      <c r="U86" s="65">
        <f>IFERROR(__xludf.DUMMYFUNCTION("""COMPUTED_VALUE"""),0.0)</f>
        <v>0</v>
      </c>
      <c r="V86" s="65">
        <f>IFERROR(__xludf.DUMMYFUNCTION("""COMPUTED_VALUE"""),0.0)</f>
        <v>0</v>
      </c>
      <c r="W86" s="65">
        <f>IFERROR(__xludf.DUMMYFUNCTION("""COMPUTED_VALUE"""),0.0)</f>
        <v>0</v>
      </c>
      <c r="X86" s="65">
        <f>IFERROR(__xludf.DUMMYFUNCTION("""COMPUTED_VALUE"""),2.21)</f>
        <v>2.21</v>
      </c>
      <c r="Y86" s="65">
        <f>IFERROR(__xludf.DUMMYFUNCTION("""COMPUTED_VALUE"""),6.63)</f>
        <v>6.63</v>
      </c>
      <c r="Z86" s="65">
        <f>IFERROR(__xludf.DUMMYFUNCTION("""COMPUTED_VALUE"""),120732.0)</f>
        <v>120732</v>
      </c>
      <c r="AA86" s="65" t="str">
        <f>IFERROR(__xludf.DUMMYFUNCTION("""COMPUTED_VALUE"""),"PROV-LMPVT")</f>
        <v>PROV-LMPVT</v>
      </c>
      <c r="AB86" s="65"/>
      <c r="AC86" s="65" t="str">
        <f>IFERROR(__xludf.DUMMYFUNCTION("""COMPUTED_VALUE"""),"LIMPIADOR DE PARABRISAS Y VENTANAS")</f>
        <v>LIMPIADOR DE PARABRISAS Y VENTANAS</v>
      </c>
      <c r="AD86" s="65"/>
      <c r="AE86" s="65">
        <f>IFERROR(__xludf.DUMMYFUNCTION("""COMPUTED_VALUE"""),3.0)</f>
        <v>3</v>
      </c>
      <c r="AF86" s="65"/>
      <c r="AG86" s="65"/>
      <c r="AH86" s="65"/>
      <c r="AI86" s="65"/>
      <c r="AJ86" s="65"/>
      <c r="AK86" s="65"/>
      <c r="AL86" s="65"/>
      <c r="AM86" s="65"/>
      <c r="AN86" s="65" t="str">
        <f>IFERROR(__xludf.DUMMYFUNCTION("""COMPUTED_VALUE"""),"18:56")</f>
        <v>18:56</v>
      </c>
      <c r="AO86" s="65" t="str">
        <f>IFERROR(__xludf.DUMMYFUNCTION("""COMPUTED_VALUE"""),"26-03-2026")</f>
        <v>26-03-2026</v>
      </c>
      <c r="AP86" s="65" t="str">
        <f>IFERROR(__xludf.DUMMYFUNCTION("""COMPUTED_VALUE"""),"ENTREGADA GINTRACOM")</f>
        <v>ENTREGADA GINTRACOM</v>
      </c>
      <c r="AQ86" s="65" t="str">
        <f>IFERROR(__xludf.DUMMYFUNCTION("""COMPUTED_VALUE"""),"ENTREGADA GINTRACOM")</f>
        <v>ENTREGADA GINTRACOM</v>
      </c>
      <c r="AR86" s="65"/>
      <c r="AS86" s="65"/>
      <c r="AT86" s="65" t="str">
        <f>IFERROR(__xludf.DUMMYFUNCTION("""COMPUTED_VALUE"""),"SHOPIFY")</f>
        <v>SHOPIFY</v>
      </c>
      <c r="AU86" s="65" t="str">
        <f>IFERROR(__xludf.DUMMYFUNCTION("""COMPUTED_VALUE"""),"IMPORTEX EC")</f>
        <v>IMPORTEX EC</v>
      </c>
      <c r="AV86" s="65" t="str">
        <f>IFERROR(__xludf.DUMMYFUNCTION("""COMPUTED_VALUE"""),"6593000964140")</f>
        <v>6593000964140</v>
      </c>
      <c r="AW86" s="65">
        <f>IFERROR(__xludf.DUMMYFUNCTION("""COMPUTED_VALUE"""),6761.0)</f>
        <v>6761</v>
      </c>
      <c r="AX86" s="65"/>
      <c r="AY86" s="65" t="str">
        <f>IFERROR(__xludf.DUMMYFUNCTION("""COMPUTED_VALUE"""),"24/03/2026")</f>
        <v>24/03/2026</v>
      </c>
      <c r="AZ86" s="65"/>
      <c r="BA86" s="65"/>
    </row>
    <row r="87">
      <c r="A87" s="65" t="str">
        <f>IFERROR(__xludf.DUMMYFUNCTION("""COMPUTED_VALUE"""),"27-03-2026")</f>
        <v>27-03-2026</v>
      </c>
      <c r="B87" s="65">
        <f>IFERROR(__xludf.DUMMYFUNCTION("""COMPUTED_VALUE"""),4866085.0)</f>
        <v>4866085</v>
      </c>
      <c r="C87" s="65" t="str">
        <f>IFERROR(__xludf.DUMMYFUNCTION("""COMPUTED_VALUE"""),"07:59")</f>
        <v>07:59</v>
      </c>
      <c r="D87" s="65" t="str">
        <f>IFERROR(__xludf.DUMMYFUNCTION("""COMPUTED_VALUE"""),"21-03-2026")</f>
        <v>21-03-2026</v>
      </c>
      <c r="E87" s="65" t="str">
        <f>IFERROR(__xludf.DUMMYFUNCTION("""COMPUTED_VALUE"""),"Carlos Enrique Proaño Castro")</f>
        <v>Carlos Enrique Proaño Castro</v>
      </c>
      <c r="F87" s="65" t="str">
        <f>IFERROR(__xludf.DUMMYFUNCTION("""COMPUTED_VALUE"""),"997942926")</f>
        <v>997942926</v>
      </c>
      <c r="G87" s="65" t="str">
        <f>IFERROR(__xludf.DUMMYFUNCTION("""COMPUTED_VALUE"""),"carlosenriquepc@hotmeil.es")</f>
        <v>carlosenriquepc@hotmeil.es</v>
      </c>
      <c r="H87" s="65"/>
      <c r="I87" s="65"/>
      <c r="J87" s="65" t="str">
        <f>IFERROR(__xludf.DUMMYFUNCTION("""COMPUTED_VALUE"""),"D001448111")</f>
        <v>D001448111</v>
      </c>
      <c r="K87" s="65" t="str">
        <f>IFERROR(__xludf.DUMMYFUNCTION("""COMPUTED_VALUE"""),"NOVEDAD")</f>
        <v>NOVEDAD</v>
      </c>
      <c r="L87" s="65" t="str">
        <f>IFERROR(__xludf.DUMMYFUNCTION("""COMPUTED_VALUE"""),"CON RECAUDO")</f>
        <v>CON RECAUDO</v>
      </c>
      <c r="M87" s="65" t="str">
        <f>IFERROR(__xludf.DUMMYFUNCTION("""COMPUTED_VALUE"""),"LOS RIOS")</f>
        <v>LOS RIOS</v>
      </c>
      <c r="N87" s="65" t="str">
        <f>IFERROR(__xludf.DUMMYFUNCTION("""COMPUTED_VALUE"""),"QUEVEDO")</f>
        <v>QUEVEDO</v>
      </c>
      <c r="O87" s="65" t="str">
        <f>IFERROR(__xludf.DUMMYFUNCTION("""COMPUTED_VALUE"""),"Quevedo, AV. Guayacanes entre la A y la B Frente hospital sagrado corazón - parroquia 7 de octubre")</f>
        <v>Quevedo, AV. Guayacanes entre la A y la B Frente hospital sagrado corazón - parroquia 7 de octubre</v>
      </c>
      <c r="P87" s="65"/>
      <c r="Q87" s="65" t="str">
        <f>IFERROR(__xludf.DUMMYFUNCTION("""COMPUTED_VALUE"""),"GINTRACOM")</f>
        <v>GINTRACOM</v>
      </c>
      <c r="R87" s="65">
        <f>IFERROR(__xludf.DUMMYFUNCTION("""COMPUTED_VALUE"""),30.0)</f>
        <v>30</v>
      </c>
      <c r="S87" s="65"/>
      <c r="T87" s="65">
        <f>IFERROR(__xludf.DUMMYFUNCTION("""COMPUTED_VALUE"""),6.16)</f>
        <v>6.16</v>
      </c>
      <c r="U87" s="65">
        <f>IFERROR(__xludf.DUMMYFUNCTION("""COMPUTED_VALUE"""),0.0)</f>
        <v>0</v>
      </c>
      <c r="V87" s="65">
        <f>IFERROR(__xludf.DUMMYFUNCTION("""COMPUTED_VALUE"""),0.0)</f>
        <v>0</v>
      </c>
      <c r="W87" s="65">
        <f>IFERROR(__xludf.DUMMYFUNCTION("""COMPUTED_VALUE"""),0.0)</f>
        <v>0</v>
      </c>
      <c r="X87" s="65">
        <f>IFERROR(__xludf.DUMMYFUNCTION("""COMPUTED_VALUE"""),2.21)</f>
        <v>2.21</v>
      </c>
      <c r="Y87" s="65">
        <f>IFERROR(__xludf.DUMMYFUNCTION("""COMPUTED_VALUE"""),8.84)</f>
        <v>8.84</v>
      </c>
      <c r="Z87" s="65">
        <f>IFERROR(__xludf.DUMMYFUNCTION("""COMPUTED_VALUE"""),120732.0)</f>
        <v>120732</v>
      </c>
      <c r="AA87" s="65" t="str">
        <f>IFERROR(__xludf.DUMMYFUNCTION("""COMPUTED_VALUE"""),"PROV-LMPVT")</f>
        <v>PROV-LMPVT</v>
      </c>
      <c r="AB87" s="65"/>
      <c r="AC87" s="65" t="str">
        <f>IFERROR(__xludf.DUMMYFUNCTION("""COMPUTED_VALUE"""),"LIMPIADOR DE PARABRISAS Y VENTANAS")</f>
        <v>LIMPIADOR DE PARABRISAS Y VENTANAS</v>
      </c>
      <c r="AD87" s="65"/>
      <c r="AE87" s="65">
        <f>IFERROR(__xludf.DUMMYFUNCTION("""COMPUTED_VALUE"""),4.0)</f>
        <v>4</v>
      </c>
      <c r="AF87" s="65" t="str">
        <f>IFERROR(__xludf.DUMMYFUNCTION("""COMPUTED_VALUE"""),"DESTINATARIO NO CONTESTA LLAMADAS NI WHATSAPP")</f>
        <v>DESTINATARIO NO CONTESTA LLAMADAS NI WHATSAPP</v>
      </c>
      <c r="AG87" s="65" t="str">
        <f>IFERROR(__xludf.DUMMYFUNCTION("""COMPUTED_VALUE"""),"NO")</f>
        <v>NO</v>
      </c>
      <c r="AH87" s="65" t="str">
        <f>IFERROR(__xludf.DUMMYFUNCTION("""COMPUTED_VALUE"""),"16:00")</f>
        <v>16:00</v>
      </c>
      <c r="AI87" s="65" t="str">
        <f>IFERROR(__xludf.DUMMYFUNCTION("""COMPUTED_VALUE"""),"26-03-2026")</f>
        <v>26-03-2026</v>
      </c>
      <c r="AJ87" s="65"/>
      <c r="AK87" s="65"/>
      <c r="AL87" s="65"/>
      <c r="AM87" s="65"/>
      <c r="AN87" s="65" t="str">
        <f>IFERROR(__xludf.DUMMYFUNCTION("""COMPUTED_VALUE"""),"16:00")</f>
        <v>16:00</v>
      </c>
      <c r="AO87" s="65" t="str">
        <f>IFERROR(__xludf.DUMMYFUNCTION("""COMPUTED_VALUE"""),"26-03-2026")</f>
        <v>26-03-2026</v>
      </c>
      <c r="AP87" s="65" t="str">
        <f>IFERROR(__xludf.DUMMYFUNCTION("""COMPUTED_VALUE"""),"DESTINATARIO NO CONTESTA LLAMADAS NI WHATSAPP")</f>
        <v>DESTINATARIO NO CONTESTA LLAMADAS NI WHATSAPP</v>
      </c>
      <c r="AQ87" s="65" t="str">
        <f>IFERROR(__xludf.DUMMYFUNCTION("""COMPUTED_VALUE"""),"DESTINATARIO NO CONTESTA LLAMADAS NI WHATSAPP")</f>
        <v>DESTINATARIO NO CONTESTA LLAMADAS NI WHATSAPP</v>
      </c>
      <c r="AR87" s="65"/>
      <c r="AS87" s="65"/>
      <c r="AT87" s="65" t="str">
        <f>IFERROR(__xludf.DUMMYFUNCTION("""COMPUTED_VALUE"""),"SHOPIFY")</f>
        <v>SHOPIFY</v>
      </c>
      <c r="AU87" s="65" t="str">
        <f>IFERROR(__xludf.DUMMYFUNCTION("""COMPUTED_VALUE"""),"IMPORTEX EC")</f>
        <v>IMPORTEX EC</v>
      </c>
      <c r="AV87" s="65" t="str">
        <f>IFERROR(__xludf.DUMMYFUNCTION("""COMPUTED_VALUE"""),"6592970981420")</f>
        <v>6592970981420</v>
      </c>
      <c r="AW87" s="65">
        <f>IFERROR(__xludf.DUMMYFUNCTION("""COMPUTED_VALUE"""),6760.0)</f>
        <v>6760</v>
      </c>
      <c r="AX87" s="65"/>
      <c r="AY87" s="65" t="str">
        <f>IFERROR(__xludf.DUMMYFUNCTION("""COMPUTED_VALUE"""),"24/03/2026")</f>
        <v>24/03/2026</v>
      </c>
      <c r="AZ87" s="65"/>
      <c r="BA87" s="65"/>
    </row>
    <row r="88">
      <c r="A88" s="65" t="str">
        <f>IFERROR(__xludf.DUMMYFUNCTION("""COMPUTED_VALUE"""),"27-03-2026")</f>
        <v>27-03-2026</v>
      </c>
      <c r="B88" s="65">
        <f>IFERROR(__xludf.DUMMYFUNCTION("""COMPUTED_VALUE"""),4866083.0)</f>
        <v>4866083</v>
      </c>
      <c r="C88" s="65" t="str">
        <f>IFERROR(__xludf.DUMMYFUNCTION("""COMPUTED_VALUE"""),"07:59")</f>
        <v>07:59</v>
      </c>
      <c r="D88" s="65" t="str">
        <f>IFERROR(__xludf.DUMMYFUNCTION("""COMPUTED_VALUE"""),"21-03-2026")</f>
        <v>21-03-2026</v>
      </c>
      <c r="E88" s="65" t="str">
        <f>IFERROR(__xludf.DUMMYFUNCTION("""COMPUTED_VALUE"""),"Cristian Sanchez")</f>
        <v>Cristian Sanchez</v>
      </c>
      <c r="F88" s="65" t="str">
        <f>IFERROR(__xludf.DUMMYFUNCTION("""COMPUTED_VALUE"""),"999142342")</f>
        <v>999142342</v>
      </c>
      <c r="G88" s="65" t="str">
        <f>IFERROR(__xludf.DUMMYFUNCTION("""COMPUTED_VALUE"""),"cristiansanchez1979@yahoo.com")</f>
        <v>cristiansanchez1979@yahoo.com</v>
      </c>
      <c r="H88" s="65"/>
      <c r="I88" s="65"/>
      <c r="J88" s="65" t="str">
        <f>IFERROR(__xludf.DUMMYFUNCTION("""COMPUTED_VALUE"""),"D001448112")</f>
        <v>D001448112</v>
      </c>
      <c r="K88" s="65" t="str">
        <f>IFERROR(__xludf.DUMMYFUNCTION("""COMPUTED_VALUE"""),"ENTREGADO")</f>
        <v>ENTREGADO</v>
      </c>
      <c r="L88" s="65" t="str">
        <f>IFERROR(__xludf.DUMMYFUNCTION("""COMPUTED_VALUE"""),"CON RECAUDO")</f>
        <v>CON RECAUDO</v>
      </c>
      <c r="M88" s="65" t="str">
        <f>IFERROR(__xludf.DUMMYFUNCTION("""COMPUTED_VALUE"""),"MANABI")</f>
        <v>MANABI</v>
      </c>
      <c r="N88" s="65" t="str">
        <f>IFERROR(__xludf.DUMMYFUNCTION("""COMPUTED_VALUE"""),"PORTOVIEJO")</f>
        <v>PORTOVIEJO</v>
      </c>
      <c r="O88" s="65" t="str">
        <f>IFERROR(__xludf.DUMMYFUNCTION("""COMPUTED_VALUE"""),"Calle Febres cordero, a un costado de la iglesia - Cdla San Gregorio La pinoñada - Portoviejo")</f>
        <v>Calle Febres cordero, a un costado de la iglesia - Cdla San Gregorio La pinoñada - Portoviejo</v>
      </c>
      <c r="P88" s="65"/>
      <c r="Q88" s="65" t="str">
        <f>IFERROR(__xludf.DUMMYFUNCTION("""COMPUTED_VALUE"""),"GINTRACOM")</f>
        <v>GINTRACOM</v>
      </c>
      <c r="R88" s="65">
        <f>IFERROR(__xludf.DUMMYFUNCTION("""COMPUTED_VALUE"""),20.0)</f>
        <v>20</v>
      </c>
      <c r="S88" s="65">
        <f>IFERROR(__xludf.DUMMYFUNCTION("""COMPUTED_VALUE"""),9.83)</f>
        <v>9.83</v>
      </c>
      <c r="T88" s="65">
        <f>IFERROR(__xludf.DUMMYFUNCTION("""COMPUTED_VALUE"""),5.75)</f>
        <v>5.75</v>
      </c>
      <c r="U88" s="65">
        <f>IFERROR(__xludf.DUMMYFUNCTION("""COMPUTED_VALUE"""),0.0)</f>
        <v>0</v>
      </c>
      <c r="V88" s="65">
        <f>IFERROR(__xludf.DUMMYFUNCTION("""COMPUTED_VALUE"""),0.0)</f>
        <v>0</v>
      </c>
      <c r="W88" s="65">
        <f>IFERROR(__xludf.DUMMYFUNCTION("""COMPUTED_VALUE"""),0.0)</f>
        <v>0</v>
      </c>
      <c r="X88" s="65">
        <f>IFERROR(__xludf.DUMMYFUNCTION("""COMPUTED_VALUE"""),2.21)</f>
        <v>2.21</v>
      </c>
      <c r="Y88" s="65">
        <f>IFERROR(__xludf.DUMMYFUNCTION("""COMPUTED_VALUE"""),4.42)</f>
        <v>4.42</v>
      </c>
      <c r="Z88" s="65">
        <f>IFERROR(__xludf.DUMMYFUNCTION("""COMPUTED_VALUE"""),120732.0)</f>
        <v>120732</v>
      </c>
      <c r="AA88" s="65" t="str">
        <f>IFERROR(__xludf.DUMMYFUNCTION("""COMPUTED_VALUE"""),"PROV-LMPVT")</f>
        <v>PROV-LMPVT</v>
      </c>
      <c r="AB88" s="65"/>
      <c r="AC88" s="65" t="str">
        <f>IFERROR(__xludf.DUMMYFUNCTION("""COMPUTED_VALUE"""),"LIMPIADOR DE PARABRISAS Y VENTANAS")</f>
        <v>LIMPIADOR DE PARABRISAS Y VENTANAS</v>
      </c>
      <c r="AD88" s="65"/>
      <c r="AE88" s="65">
        <f>IFERROR(__xludf.DUMMYFUNCTION("""COMPUTED_VALUE"""),2.0)</f>
        <v>2</v>
      </c>
      <c r="AF88" s="65"/>
      <c r="AG88" s="65"/>
      <c r="AH88" s="65"/>
      <c r="AI88" s="65"/>
      <c r="AJ88" s="65"/>
      <c r="AK88" s="65"/>
      <c r="AL88" s="65"/>
      <c r="AM88" s="65"/>
      <c r="AN88" s="65" t="str">
        <f>IFERROR(__xludf.DUMMYFUNCTION("""COMPUTED_VALUE"""),"11:52")</f>
        <v>11:52</v>
      </c>
      <c r="AO88" s="65" t="str">
        <f>IFERROR(__xludf.DUMMYFUNCTION("""COMPUTED_VALUE"""),"26-03-2026")</f>
        <v>26-03-2026</v>
      </c>
      <c r="AP88" s="65" t="str">
        <f>IFERROR(__xludf.DUMMYFUNCTION("""COMPUTED_VALUE"""),"ENTREGADA GINTRACOM")</f>
        <v>ENTREGADA GINTRACOM</v>
      </c>
      <c r="AQ88" s="65" t="str">
        <f>IFERROR(__xludf.DUMMYFUNCTION("""COMPUTED_VALUE"""),"ENTREGADA GINTRACOM")</f>
        <v>ENTREGADA GINTRACOM</v>
      </c>
      <c r="AR88" s="65"/>
      <c r="AS88" s="65"/>
      <c r="AT88" s="65" t="str">
        <f>IFERROR(__xludf.DUMMYFUNCTION("""COMPUTED_VALUE"""),"SHOPIFY")</f>
        <v>SHOPIFY</v>
      </c>
      <c r="AU88" s="65" t="str">
        <f>IFERROR(__xludf.DUMMYFUNCTION("""COMPUTED_VALUE"""),"IMPORTEX EC")</f>
        <v>IMPORTEX EC</v>
      </c>
      <c r="AV88" s="65" t="str">
        <f>IFERROR(__xludf.DUMMYFUNCTION("""COMPUTED_VALUE"""),"6592859832364")</f>
        <v>6592859832364</v>
      </c>
      <c r="AW88" s="65">
        <f>IFERROR(__xludf.DUMMYFUNCTION("""COMPUTED_VALUE"""),6758.0)</f>
        <v>6758</v>
      </c>
      <c r="AX88" s="65"/>
      <c r="AY88" s="65" t="str">
        <f>IFERROR(__xludf.DUMMYFUNCTION("""COMPUTED_VALUE"""),"24/03/2026")</f>
        <v>24/03/2026</v>
      </c>
      <c r="AZ88" s="65"/>
      <c r="BA88" s="65"/>
    </row>
    <row r="89">
      <c r="A89" s="65" t="str">
        <f>IFERROR(__xludf.DUMMYFUNCTION("""COMPUTED_VALUE"""),"27-03-2026")</f>
        <v>27-03-2026</v>
      </c>
      <c r="B89" s="65">
        <f>IFERROR(__xludf.DUMMYFUNCTION("""COMPUTED_VALUE"""),4866082.0)</f>
        <v>4866082</v>
      </c>
      <c r="C89" s="65" t="str">
        <f>IFERROR(__xludf.DUMMYFUNCTION("""COMPUTED_VALUE"""),"07:59")</f>
        <v>07:59</v>
      </c>
      <c r="D89" s="65" t="str">
        <f>IFERROR(__xludf.DUMMYFUNCTION("""COMPUTED_VALUE"""),"21-03-2026")</f>
        <v>21-03-2026</v>
      </c>
      <c r="E89" s="65" t="str">
        <f>IFERROR(__xludf.DUMMYFUNCTION("""COMPUTED_VALUE"""),"Manuel Fuentes Sterling")</f>
        <v>Manuel Fuentes Sterling</v>
      </c>
      <c r="F89" s="65" t="str">
        <f>IFERROR(__xludf.DUMMYFUNCTION("""COMPUTED_VALUE"""),"982829918")</f>
        <v>982829918</v>
      </c>
      <c r="G89" s="65" t="str">
        <f>IFERROR(__xludf.DUMMYFUNCTION("""COMPUTED_VALUE"""),"manu_fuentes@hotmail.es")</f>
        <v>manu_fuentes@hotmail.es</v>
      </c>
      <c r="H89" s="65"/>
      <c r="I89" s="65"/>
      <c r="J89" s="65" t="str">
        <f>IFERROR(__xludf.DUMMYFUNCTION("""COMPUTED_VALUE"""),"D001448113")</f>
        <v>D001448113</v>
      </c>
      <c r="K89" s="65" t="str">
        <f>IFERROR(__xludf.DUMMYFUNCTION("""COMPUTED_VALUE"""),"NOVEDAD")</f>
        <v>NOVEDAD</v>
      </c>
      <c r="L89" s="65" t="str">
        <f>IFERROR(__xludf.DUMMYFUNCTION("""COMPUTED_VALUE"""),"CON RECAUDO")</f>
        <v>CON RECAUDO</v>
      </c>
      <c r="M89" s="65" t="str">
        <f>IFERROR(__xludf.DUMMYFUNCTION("""COMPUTED_VALUE"""),"GUAYAS")</f>
        <v>GUAYAS</v>
      </c>
      <c r="N89" s="65" t="str">
        <f>IFERROR(__xludf.DUMMYFUNCTION("""COMPUTED_VALUE"""),"GUAYAQUIL")</f>
        <v>GUAYAQUIL</v>
      </c>
      <c r="O89" s="65" t="str">
        <f>IFERROR(__xludf.DUMMYFUNCTION("""COMPUTED_VALUE"""),"Febres cordero y Chambers 6714 entre la 40 y la 41")</f>
        <v>Febres cordero y Chambers 6714 entre la 40 y la 41</v>
      </c>
      <c r="P89" s="65"/>
      <c r="Q89" s="65" t="str">
        <f>IFERROR(__xludf.DUMMYFUNCTION("""COMPUTED_VALUE"""),"GINTRACOM")</f>
        <v>GINTRACOM</v>
      </c>
      <c r="R89" s="65">
        <f>IFERROR(__xludf.DUMMYFUNCTION("""COMPUTED_VALUE"""),20.0)</f>
        <v>20</v>
      </c>
      <c r="S89" s="65"/>
      <c r="T89" s="65">
        <f>IFERROR(__xludf.DUMMYFUNCTION("""COMPUTED_VALUE"""),4.14)</f>
        <v>4.14</v>
      </c>
      <c r="U89" s="65">
        <f>IFERROR(__xludf.DUMMYFUNCTION("""COMPUTED_VALUE"""),0.0)</f>
        <v>0</v>
      </c>
      <c r="V89" s="65">
        <f>IFERROR(__xludf.DUMMYFUNCTION("""COMPUTED_VALUE"""),0.0)</f>
        <v>0</v>
      </c>
      <c r="W89" s="65">
        <f>IFERROR(__xludf.DUMMYFUNCTION("""COMPUTED_VALUE"""),0.0)</f>
        <v>0</v>
      </c>
      <c r="X89" s="65">
        <f>IFERROR(__xludf.DUMMYFUNCTION("""COMPUTED_VALUE"""),2.21)</f>
        <v>2.21</v>
      </c>
      <c r="Y89" s="65">
        <f>IFERROR(__xludf.DUMMYFUNCTION("""COMPUTED_VALUE"""),4.42)</f>
        <v>4.42</v>
      </c>
      <c r="Z89" s="65">
        <f>IFERROR(__xludf.DUMMYFUNCTION("""COMPUTED_VALUE"""),120732.0)</f>
        <v>120732</v>
      </c>
      <c r="AA89" s="65" t="str">
        <f>IFERROR(__xludf.DUMMYFUNCTION("""COMPUTED_VALUE"""),"PROV-LMPVT")</f>
        <v>PROV-LMPVT</v>
      </c>
      <c r="AB89" s="65"/>
      <c r="AC89" s="65" t="str">
        <f>IFERROR(__xludf.DUMMYFUNCTION("""COMPUTED_VALUE"""),"LIMPIADOR DE PARABRISAS Y VENTANAS")</f>
        <v>LIMPIADOR DE PARABRISAS Y VENTANAS</v>
      </c>
      <c r="AD89" s="65"/>
      <c r="AE89" s="65">
        <f>IFERROR(__xludf.DUMMYFUNCTION("""COMPUTED_VALUE"""),2.0)</f>
        <v>2</v>
      </c>
      <c r="AF89" s="65" t="str">
        <f>IFERROR(__xludf.DUMMYFUNCTION("""COMPUTED_VALUE"""),"DESTINATARIO NO CONTESTA LLAMADAS NI WHATSAPP")</f>
        <v>DESTINATARIO NO CONTESTA LLAMADAS NI WHATSAPP</v>
      </c>
      <c r="AG89" s="65" t="str">
        <f>IFERROR(__xludf.DUMMYFUNCTION("""COMPUTED_VALUE"""),"NO")</f>
        <v>NO</v>
      </c>
      <c r="AH89" s="65" t="str">
        <f>IFERROR(__xludf.DUMMYFUNCTION("""COMPUTED_VALUE"""),"11:55")</f>
        <v>11:55</v>
      </c>
      <c r="AI89" s="65" t="str">
        <f>IFERROR(__xludf.DUMMYFUNCTION("""COMPUTED_VALUE"""),"26-03-2026")</f>
        <v>26-03-2026</v>
      </c>
      <c r="AJ89" s="65"/>
      <c r="AK89" s="65"/>
      <c r="AL89" s="65"/>
      <c r="AM89" s="65"/>
      <c r="AN89" s="65" t="str">
        <f>IFERROR(__xludf.DUMMYFUNCTION("""COMPUTED_VALUE"""),"10:46")</f>
        <v>10:46</v>
      </c>
      <c r="AO89" s="65" t="str">
        <f>IFERROR(__xludf.DUMMYFUNCTION("""COMPUTED_VALUE"""),"26-03-2026")</f>
        <v>26-03-2026</v>
      </c>
      <c r="AP89" s="65" t="str">
        <f>IFERROR(__xludf.DUMMYFUNCTION("""COMPUTED_VALUE"""),"EN REPARTO")</f>
        <v>EN REPARTO</v>
      </c>
      <c r="AQ89" s="65" t="str">
        <f>IFERROR(__xludf.DUMMYFUNCTION("""COMPUTED_VALUE"""),"EN REPARTO")</f>
        <v>EN REPARTO</v>
      </c>
      <c r="AR89" s="65"/>
      <c r="AS89" s="65"/>
      <c r="AT89" s="65" t="str">
        <f>IFERROR(__xludf.DUMMYFUNCTION("""COMPUTED_VALUE"""),"SHOPIFY")</f>
        <v>SHOPIFY</v>
      </c>
      <c r="AU89" s="65" t="str">
        <f>IFERROR(__xludf.DUMMYFUNCTION("""COMPUTED_VALUE"""),"IMPORTEX EC")</f>
        <v>IMPORTEX EC</v>
      </c>
      <c r="AV89" s="65" t="str">
        <f>IFERROR(__xludf.DUMMYFUNCTION("""COMPUTED_VALUE"""),"6592785940524")</f>
        <v>6592785940524</v>
      </c>
      <c r="AW89" s="65">
        <f>IFERROR(__xludf.DUMMYFUNCTION("""COMPUTED_VALUE"""),6757.0)</f>
        <v>6757</v>
      </c>
      <c r="AX89" s="65"/>
      <c r="AY89" s="65" t="str">
        <f>IFERROR(__xludf.DUMMYFUNCTION("""COMPUTED_VALUE"""),"24/03/2026")</f>
        <v>24/03/2026</v>
      </c>
      <c r="AZ89" s="65"/>
      <c r="BA89" s="65"/>
    </row>
    <row r="90">
      <c r="A90" s="65" t="str">
        <f>IFERROR(__xludf.DUMMYFUNCTION("""COMPUTED_VALUE"""),"27-03-2026")</f>
        <v>27-03-2026</v>
      </c>
      <c r="B90" s="65">
        <f>IFERROR(__xludf.DUMMYFUNCTION("""COMPUTED_VALUE"""),4866079.0)</f>
        <v>4866079</v>
      </c>
      <c r="C90" s="65" t="str">
        <f>IFERROR(__xludf.DUMMYFUNCTION("""COMPUTED_VALUE"""),"07:59")</f>
        <v>07:59</v>
      </c>
      <c r="D90" s="65" t="str">
        <f>IFERROR(__xludf.DUMMYFUNCTION("""COMPUTED_VALUE"""),"21-03-2026")</f>
        <v>21-03-2026</v>
      </c>
      <c r="E90" s="65" t="str">
        <f>IFERROR(__xludf.DUMMYFUNCTION("""COMPUTED_VALUE"""),"Andrea Patiño")</f>
        <v>Andrea Patiño</v>
      </c>
      <c r="F90" s="65" t="str">
        <f>IFERROR(__xludf.DUMMYFUNCTION("""COMPUTED_VALUE"""),"996323910")</f>
        <v>996323910</v>
      </c>
      <c r="G90" s="65" t="str">
        <f>IFERROR(__xludf.DUMMYFUNCTION("""COMPUTED_VALUE"""),"andreabigail94@gmail.com")</f>
        <v>andreabigail94@gmail.com</v>
      </c>
      <c r="H90" s="65"/>
      <c r="I90" s="65"/>
      <c r="J90" s="65" t="str">
        <f>IFERROR(__xludf.DUMMYFUNCTION("""COMPUTED_VALUE"""),"D001445649")</f>
        <v>D001445649</v>
      </c>
      <c r="K90" s="65" t="str">
        <f>IFERROR(__xludf.DUMMYFUNCTION("""COMPUTED_VALUE"""),"ENTREGADO")</f>
        <v>ENTREGADO</v>
      </c>
      <c r="L90" s="65" t="str">
        <f>IFERROR(__xludf.DUMMYFUNCTION("""COMPUTED_VALUE"""),"CON RECAUDO")</f>
        <v>CON RECAUDO</v>
      </c>
      <c r="M90" s="65" t="str">
        <f>IFERROR(__xludf.DUMMYFUNCTION("""COMPUTED_VALUE"""),"GUAYAS")</f>
        <v>GUAYAS</v>
      </c>
      <c r="N90" s="65" t="str">
        <f>IFERROR(__xludf.DUMMYFUNCTION("""COMPUTED_VALUE"""),"GUAYAQUIL")</f>
        <v>GUAYAQUIL</v>
      </c>
      <c r="O90" s="65" t="str">
        <f>IFERROR(__xludf.DUMMYFUNCTION("""COMPUTED_VALUE"""),"Avenida del ejercito y Luis Urdaneta 1501,  Centro Yiemda esquinero")</f>
        <v>Avenida del ejercito y Luis Urdaneta 1501,  Centro Yiemda esquinero</v>
      </c>
      <c r="P90" s="65"/>
      <c r="Q90" s="65" t="str">
        <f>IFERROR(__xludf.DUMMYFUNCTION("""COMPUTED_VALUE"""),"GINTRACOM")</f>
        <v>GINTRACOM</v>
      </c>
      <c r="R90" s="65">
        <f>IFERROR(__xludf.DUMMYFUNCTION("""COMPUTED_VALUE"""),24.99)</f>
        <v>24.99</v>
      </c>
      <c r="S90" s="65">
        <f>IFERROR(__xludf.DUMMYFUNCTION("""COMPUTED_VALUE"""),14.02)</f>
        <v>14.02</v>
      </c>
      <c r="T90" s="65">
        <f>IFERROR(__xludf.DUMMYFUNCTION("""COMPUTED_VALUE"""),4.34)</f>
        <v>4.34</v>
      </c>
      <c r="U90" s="65">
        <f>IFERROR(__xludf.DUMMYFUNCTION("""COMPUTED_VALUE"""),0.0)</f>
        <v>0</v>
      </c>
      <c r="V90" s="65">
        <f>IFERROR(__xludf.DUMMYFUNCTION("""COMPUTED_VALUE"""),0.0)</f>
        <v>0</v>
      </c>
      <c r="W90" s="65">
        <f>IFERROR(__xludf.DUMMYFUNCTION("""COMPUTED_VALUE"""),0.0)</f>
        <v>0</v>
      </c>
      <c r="X90" s="65">
        <f>IFERROR(__xludf.DUMMYFUNCTION("""COMPUTED_VALUE"""),2.21)</f>
        <v>2.21</v>
      </c>
      <c r="Y90" s="65">
        <f>IFERROR(__xludf.DUMMYFUNCTION("""COMPUTED_VALUE"""),6.63)</f>
        <v>6.63</v>
      </c>
      <c r="Z90" s="65">
        <f>IFERROR(__xludf.DUMMYFUNCTION("""COMPUTED_VALUE"""),120732.0)</f>
        <v>120732</v>
      </c>
      <c r="AA90" s="65" t="str">
        <f>IFERROR(__xludf.DUMMYFUNCTION("""COMPUTED_VALUE"""),"PROV-LMPVT")</f>
        <v>PROV-LMPVT</v>
      </c>
      <c r="AB90" s="65"/>
      <c r="AC90" s="65" t="str">
        <f>IFERROR(__xludf.DUMMYFUNCTION("""COMPUTED_VALUE"""),"LIMPIADOR DE PARABRISAS Y VENTANAS")</f>
        <v>LIMPIADOR DE PARABRISAS Y VENTANAS</v>
      </c>
      <c r="AD90" s="65"/>
      <c r="AE90" s="65">
        <f>IFERROR(__xludf.DUMMYFUNCTION("""COMPUTED_VALUE"""),3.0)</f>
        <v>3</v>
      </c>
      <c r="AF90" s="65"/>
      <c r="AG90" s="65"/>
      <c r="AH90" s="65"/>
      <c r="AI90" s="65"/>
      <c r="AJ90" s="65"/>
      <c r="AK90" s="65"/>
      <c r="AL90" s="65"/>
      <c r="AM90" s="65"/>
      <c r="AN90" s="65" t="str">
        <f>IFERROR(__xludf.DUMMYFUNCTION("""COMPUTED_VALUE"""),"14:36")</f>
        <v>14:36</v>
      </c>
      <c r="AO90" s="65" t="str">
        <f>IFERROR(__xludf.DUMMYFUNCTION("""COMPUTED_VALUE"""),"25-03-2026")</f>
        <v>25-03-2026</v>
      </c>
      <c r="AP90" s="65" t="str">
        <f>IFERROR(__xludf.DUMMYFUNCTION("""COMPUTED_VALUE"""),"ENTREGADA GINTRACOM")</f>
        <v>ENTREGADA GINTRACOM</v>
      </c>
      <c r="AQ90" s="65" t="str">
        <f>IFERROR(__xludf.DUMMYFUNCTION("""COMPUTED_VALUE"""),"ENTREGADA GINTRACOM")</f>
        <v>ENTREGADA GINTRACOM</v>
      </c>
      <c r="AR90" s="65"/>
      <c r="AS90" s="65"/>
      <c r="AT90" s="65" t="str">
        <f>IFERROR(__xludf.DUMMYFUNCTION("""COMPUTED_VALUE"""),"SHOPIFY")</f>
        <v>SHOPIFY</v>
      </c>
      <c r="AU90" s="65" t="str">
        <f>IFERROR(__xludf.DUMMYFUNCTION("""COMPUTED_VALUE"""),"IMPORTEX EC")</f>
        <v>IMPORTEX EC</v>
      </c>
      <c r="AV90" s="65" t="str">
        <f>IFERROR(__xludf.DUMMYFUNCTION("""COMPUTED_VALUE"""),"6592773881900")</f>
        <v>6592773881900</v>
      </c>
      <c r="AW90" s="65">
        <f>IFERROR(__xludf.DUMMYFUNCTION("""COMPUTED_VALUE"""),6756.0)</f>
        <v>6756</v>
      </c>
      <c r="AX90" s="65"/>
      <c r="AY90" s="65" t="str">
        <f>IFERROR(__xludf.DUMMYFUNCTION("""COMPUTED_VALUE"""),"23/03/2026")</f>
        <v>23/03/2026</v>
      </c>
      <c r="AZ90" s="65"/>
      <c r="BA90" s="65"/>
    </row>
    <row r="91">
      <c r="A91" s="65" t="str">
        <f>IFERROR(__xludf.DUMMYFUNCTION("""COMPUTED_VALUE"""),"27-03-2026")</f>
        <v>27-03-2026</v>
      </c>
      <c r="B91" s="65">
        <f>IFERROR(__xludf.DUMMYFUNCTION("""COMPUTED_VALUE"""),4866076.0)</f>
        <v>4866076</v>
      </c>
      <c r="C91" s="65" t="str">
        <f>IFERROR(__xludf.DUMMYFUNCTION("""COMPUTED_VALUE"""),"07:58")</f>
        <v>07:58</v>
      </c>
      <c r="D91" s="65" t="str">
        <f>IFERROR(__xludf.DUMMYFUNCTION("""COMPUTED_VALUE"""),"21-03-2026")</f>
        <v>21-03-2026</v>
      </c>
      <c r="E91" s="65" t="str">
        <f>IFERROR(__xludf.DUMMYFUNCTION("""COMPUTED_VALUE"""),"Josei Salem")</f>
        <v>Josei Salem</v>
      </c>
      <c r="F91" s="65" t="str">
        <f>IFERROR(__xludf.DUMMYFUNCTION("""COMPUTED_VALUE"""),"987980228")</f>
        <v>987980228</v>
      </c>
      <c r="G91" s="65"/>
      <c r="H91" s="65"/>
      <c r="I91" s="65"/>
      <c r="J91" s="65"/>
      <c r="K91" s="65" t="str">
        <f>IFERROR(__xludf.DUMMYFUNCTION("""COMPUTED_VALUE"""),"PENDIENTE CONFIRMACION")</f>
        <v>PENDIENTE CONFIRMACION</v>
      </c>
      <c r="L91" s="65" t="str">
        <f>IFERROR(__xludf.DUMMYFUNCTION("""COMPUTED_VALUE"""),"CON RECAUDO")</f>
        <v>CON RECAUDO</v>
      </c>
      <c r="M91" s="65" t="str">
        <f>IFERROR(__xludf.DUMMYFUNCTION("""COMPUTED_VALUE"""),"MANABI")</f>
        <v>MANABI</v>
      </c>
      <c r="N91" s="65" t="str">
        <f>IFERROR(__xludf.DUMMYFUNCTION("""COMPUTED_VALUE"""),"MANTA")</f>
        <v>MANTA</v>
      </c>
      <c r="O91" s="65" t="str">
        <f>IFERROR(__xludf.DUMMYFUNCTION("""COMPUTED_VALUE"""),"Av.6 calle 17 barrio Córdoba, calle 13 av 23")</f>
        <v>Av.6 calle 17 barrio Córdoba, calle 13 av 23</v>
      </c>
      <c r="P91" s="65" t="str">
        <f>IFERROR(__xludf.DUMMYFUNCTION("""COMPUTED_VALUE"""),"LIMPIADOR DE PARABRISAS Y VENTANAS: Default Title ***")</f>
        <v>LIMPIADOR DE PARABRISAS Y VENTANAS: Default Title ***</v>
      </c>
      <c r="Q91" s="65" t="str">
        <f>IFERROR(__xludf.DUMMYFUNCTION("""COMPUTED_VALUE"""),"GINTRACOM")</f>
        <v>GINTRACOM</v>
      </c>
      <c r="R91" s="65">
        <f>IFERROR(__xludf.DUMMYFUNCTION("""COMPUTED_VALUE"""),20.0)</f>
        <v>20</v>
      </c>
      <c r="S91" s="65"/>
      <c r="T91" s="65">
        <f>IFERROR(__xludf.DUMMYFUNCTION("""COMPUTED_VALUE"""),5.76)</f>
        <v>5.76</v>
      </c>
      <c r="U91" s="65">
        <f>IFERROR(__xludf.DUMMYFUNCTION("""COMPUTED_VALUE"""),0.0)</f>
        <v>0</v>
      </c>
      <c r="V91" s="65">
        <f>IFERROR(__xludf.DUMMYFUNCTION("""COMPUTED_VALUE"""),0.0)</f>
        <v>0</v>
      </c>
      <c r="W91" s="65">
        <f>IFERROR(__xludf.DUMMYFUNCTION("""COMPUTED_VALUE"""),0.0)</f>
        <v>0</v>
      </c>
      <c r="X91" s="65">
        <f>IFERROR(__xludf.DUMMYFUNCTION("""COMPUTED_VALUE"""),2.21)</f>
        <v>2.21</v>
      </c>
      <c r="Y91" s="65">
        <f>IFERROR(__xludf.DUMMYFUNCTION("""COMPUTED_VALUE"""),2.21)</f>
        <v>2.21</v>
      </c>
      <c r="Z91" s="65">
        <f>IFERROR(__xludf.DUMMYFUNCTION("""COMPUTED_VALUE"""),120732.0)</f>
        <v>120732</v>
      </c>
      <c r="AA91" s="65" t="str">
        <f>IFERROR(__xludf.DUMMYFUNCTION("""COMPUTED_VALUE"""),"PROV-LMPVT")</f>
        <v>PROV-LMPVT</v>
      </c>
      <c r="AB91" s="65"/>
      <c r="AC91" s="65" t="str">
        <f>IFERROR(__xludf.DUMMYFUNCTION("""COMPUTED_VALUE"""),"LIMPIADOR DE PARABRISAS Y VENTANAS")</f>
        <v>LIMPIADOR DE PARABRISAS Y VENTANAS</v>
      </c>
      <c r="AD91" s="65"/>
      <c r="AE91" s="65">
        <f>IFERROR(__xludf.DUMMYFUNCTION("""COMPUTED_VALUE"""),1.0)</f>
        <v>1</v>
      </c>
      <c r="AF91" s="65"/>
      <c r="AG91" s="65"/>
      <c r="AH91" s="65"/>
      <c r="AI91" s="65"/>
      <c r="AJ91" s="65"/>
      <c r="AK91" s="65"/>
      <c r="AL91" s="65"/>
      <c r="AM91" s="65"/>
      <c r="AN91" s="65"/>
      <c r="AO91" s="65"/>
      <c r="AP91" s="65"/>
      <c r="AQ91" s="65"/>
      <c r="AR91" s="65"/>
      <c r="AS91" s="65"/>
      <c r="AT91" s="65" t="str">
        <f>IFERROR(__xludf.DUMMYFUNCTION("""COMPUTED_VALUE"""),"SHOPIFY")</f>
        <v>SHOPIFY</v>
      </c>
      <c r="AU91" s="65" t="str">
        <f>IFERROR(__xludf.DUMMYFUNCTION("""COMPUTED_VALUE"""),"IMPORTEX EC")</f>
        <v>IMPORTEX EC</v>
      </c>
      <c r="AV91" s="65" t="str">
        <f>IFERROR(__xludf.DUMMYFUNCTION("""COMPUTED_VALUE"""),"6592737706028")</f>
        <v>6592737706028</v>
      </c>
      <c r="AW91" s="65">
        <f>IFERROR(__xludf.DUMMYFUNCTION("""COMPUTED_VALUE"""),6754.0)</f>
        <v>6754</v>
      </c>
      <c r="AX91" s="65"/>
      <c r="AY91" s="65"/>
      <c r="AZ91" s="65"/>
      <c r="BA91" s="65"/>
    </row>
    <row r="92">
      <c r="A92" s="65" t="str">
        <f>IFERROR(__xludf.DUMMYFUNCTION("""COMPUTED_VALUE"""),"27-03-2026")</f>
        <v>27-03-2026</v>
      </c>
      <c r="B92" s="65">
        <f>IFERROR(__xludf.DUMMYFUNCTION("""COMPUTED_VALUE"""),4866073.0)</f>
        <v>4866073</v>
      </c>
      <c r="C92" s="65" t="str">
        <f>IFERROR(__xludf.DUMMYFUNCTION("""COMPUTED_VALUE"""),"07:58")</f>
        <v>07:58</v>
      </c>
      <c r="D92" s="65" t="str">
        <f>IFERROR(__xludf.DUMMYFUNCTION("""COMPUTED_VALUE"""),"21-03-2026")</f>
        <v>21-03-2026</v>
      </c>
      <c r="E92" s="65" t="str">
        <f>IFERROR(__xludf.DUMMYFUNCTION("""COMPUTED_VALUE"""),"Witson Ortega")</f>
        <v>Witson Ortega</v>
      </c>
      <c r="F92" s="65" t="str">
        <f>IFERROR(__xludf.DUMMYFUNCTION("""COMPUTED_VALUE"""),"981394613")</f>
        <v>981394613</v>
      </c>
      <c r="G92" s="65" t="str">
        <f>IFERROR(__xludf.DUMMYFUNCTION("""COMPUTED_VALUE"""),"corpasimetrica@gmail.com")</f>
        <v>corpasimetrica@gmail.com</v>
      </c>
      <c r="H92" s="65"/>
      <c r="I92" s="65"/>
      <c r="J92" s="65"/>
      <c r="K92" s="65" t="str">
        <f>IFERROR(__xludf.DUMMYFUNCTION("""COMPUTED_VALUE"""),"CANCELADO")</f>
        <v>CANCELADO</v>
      </c>
      <c r="L92" s="65" t="str">
        <f>IFERROR(__xludf.DUMMYFUNCTION("""COMPUTED_VALUE"""),"CON RECAUDO")</f>
        <v>CON RECAUDO</v>
      </c>
      <c r="M92" s="65" t="str">
        <f>IFERROR(__xludf.DUMMYFUNCTION("""COMPUTED_VALUE"""),"AZUAY")</f>
        <v>AZUAY</v>
      </c>
      <c r="N92" s="65" t="str">
        <f>IFERROR(__xludf.DUMMYFUNCTION("""COMPUTED_VALUE"""),"CUENCA")</f>
        <v>CUENCA</v>
      </c>
      <c r="O92" s="65" t="str">
        <f>IFERROR(__xludf.DUMMYFUNCTION("""COMPUTED_VALUE"""),"Rio paute 1.74 Machalilla -")</f>
        <v>Rio paute 1.74 Machalilla -</v>
      </c>
      <c r="P92" s="65"/>
      <c r="Q92" s="65" t="str">
        <f>IFERROR(__xludf.DUMMYFUNCTION("""COMPUTED_VALUE"""),"GINTRACOM")</f>
        <v>GINTRACOM</v>
      </c>
      <c r="R92" s="65">
        <f>IFERROR(__xludf.DUMMYFUNCTION("""COMPUTED_VALUE"""),20.0)</f>
        <v>20</v>
      </c>
      <c r="S92" s="65"/>
      <c r="T92" s="65">
        <f>IFERROR(__xludf.DUMMYFUNCTION("""COMPUTED_VALUE"""),5.75)</f>
        <v>5.75</v>
      </c>
      <c r="U92" s="65">
        <f>IFERROR(__xludf.DUMMYFUNCTION("""COMPUTED_VALUE"""),0.0)</f>
        <v>0</v>
      </c>
      <c r="V92" s="65">
        <f>IFERROR(__xludf.DUMMYFUNCTION("""COMPUTED_VALUE"""),0.0)</f>
        <v>0</v>
      </c>
      <c r="W92" s="65">
        <f>IFERROR(__xludf.DUMMYFUNCTION("""COMPUTED_VALUE"""),0.0)</f>
        <v>0</v>
      </c>
      <c r="X92" s="65">
        <f>IFERROR(__xludf.DUMMYFUNCTION("""COMPUTED_VALUE"""),2.21)</f>
        <v>2.21</v>
      </c>
      <c r="Y92" s="65">
        <f>IFERROR(__xludf.DUMMYFUNCTION("""COMPUTED_VALUE"""),4.42)</f>
        <v>4.42</v>
      </c>
      <c r="Z92" s="65">
        <f>IFERROR(__xludf.DUMMYFUNCTION("""COMPUTED_VALUE"""),120732.0)</f>
        <v>120732</v>
      </c>
      <c r="AA92" s="65" t="str">
        <f>IFERROR(__xludf.DUMMYFUNCTION("""COMPUTED_VALUE"""),"PROV-LMPVT")</f>
        <v>PROV-LMPVT</v>
      </c>
      <c r="AB92" s="65"/>
      <c r="AC92" s="65" t="str">
        <f>IFERROR(__xludf.DUMMYFUNCTION("""COMPUTED_VALUE"""),"LIMPIADOR DE PARABRISAS Y VENTANAS")</f>
        <v>LIMPIADOR DE PARABRISAS Y VENTANAS</v>
      </c>
      <c r="AD92" s="65"/>
      <c r="AE92" s="65">
        <f>IFERROR(__xludf.DUMMYFUNCTION("""COMPUTED_VALUE"""),2.0)</f>
        <v>2</v>
      </c>
      <c r="AF92" s="65"/>
      <c r="AG92" s="65"/>
      <c r="AH92" s="65"/>
      <c r="AI92" s="65"/>
      <c r="AJ92" s="65"/>
      <c r="AK92" s="65"/>
      <c r="AL92" s="65"/>
      <c r="AM92" s="65"/>
      <c r="AN92" s="65"/>
      <c r="AO92" s="65"/>
      <c r="AP92" s="65"/>
      <c r="AQ92" s="65"/>
      <c r="AR92" s="65"/>
      <c r="AS92" s="65"/>
      <c r="AT92" s="65" t="str">
        <f>IFERROR(__xludf.DUMMYFUNCTION("""COMPUTED_VALUE"""),"SHOPIFY")</f>
        <v>SHOPIFY</v>
      </c>
      <c r="AU92" s="65" t="str">
        <f>IFERROR(__xludf.DUMMYFUNCTION("""COMPUTED_VALUE"""),"IMPORTEX EC")</f>
        <v>IMPORTEX EC</v>
      </c>
      <c r="AV92" s="65" t="str">
        <f>IFERROR(__xludf.DUMMYFUNCTION("""COMPUTED_VALUE"""),"6592681607212")</f>
        <v>6592681607212</v>
      </c>
      <c r="AW92" s="65">
        <f>IFERROR(__xludf.DUMMYFUNCTION("""COMPUTED_VALUE"""),6753.0)</f>
        <v>6753</v>
      </c>
      <c r="AX92" s="65"/>
      <c r="AY92" s="65"/>
      <c r="AZ92" s="65"/>
      <c r="BA92" s="65"/>
    </row>
    <row r="93">
      <c r="A93" s="65" t="str">
        <f>IFERROR(__xludf.DUMMYFUNCTION("""COMPUTED_VALUE"""),"27-03-2026")</f>
        <v>27-03-2026</v>
      </c>
      <c r="B93" s="65">
        <f>IFERROR(__xludf.DUMMYFUNCTION("""COMPUTED_VALUE"""),4866071.0)</f>
        <v>4866071</v>
      </c>
      <c r="C93" s="65" t="str">
        <f>IFERROR(__xludf.DUMMYFUNCTION("""COMPUTED_VALUE"""),"07:58")</f>
        <v>07:58</v>
      </c>
      <c r="D93" s="65" t="str">
        <f>IFERROR(__xludf.DUMMYFUNCTION("""COMPUTED_VALUE"""),"21-03-2026")</f>
        <v>21-03-2026</v>
      </c>
      <c r="E93" s="65" t="str">
        <f>IFERROR(__xludf.DUMMYFUNCTION("""COMPUTED_VALUE"""),"Angel Moya")</f>
        <v>Angel Moya</v>
      </c>
      <c r="F93" s="65" t="str">
        <f>IFERROR(__xludf.DUMMYFUNCTION("""COMPUTED_VALUE"""),"969199972")</f>
        <v>969199972</v>
      </c>
      <c r="G93" s="65" t="str">
        <f>IFERROR(__xludf.DUMMYFUNCTION("""COMPUTED_VALUE"""),"angelmoyag@hotmail.com")</f>
        <v>angelmoyag@hotmail.com</v>
      </c>
      <c r="H93" s="65"/>
      <c r="I93" s="65"/>
      <c r="J93" s="65"/>
      <c r="K93" s="65" t="str">
        <f>IFERROR(__xludf.DUMMYFUNCTION("""COMPUTED_VALUE"""),"PENDIENTE CONFIRMACION")</f>
        <v>PENDIENTE CONFIRMACION</v>
      </c>
      <c r="L93" s="65" t="str">
        <f>IFERROR(__xludf.DUMMYFUNCTION("""COMPUTED_VALUE"""),"CON RECAUDO")</f>
        <v>CON RECAUDO</v>
      </c>
      <c r="M93" s="65" t="str">
        <f>IFERROR(__xludf.DUMMYFUNCTION("""COMPUTED_VALUE"""),"GUAYAS")</f>
        <v>GUAYAS</v>
      </c>
      <c r="N93" s="65" t="str">
        <f>IFERROR(__xludf.DUMMYFUNCTION("""COMPUTED_VALUE"""),"GUAYAQUIL")</f>
        <v>GUAYAQUIL</v>
      </c>
      <c r="O93" s="65" t="str">
        <f>IFERROR(__xludf.DUMMYFUNCTION("""COMPUTED_VALUE"""),"Urdesa norte av primera 101a y calle primera Urdesa norte -")</f>
        <v>Urdesa norte av primera 101a y calle primera Urdesa norte -</v>
      </c>
      <c r="P93" s="65"/>
      <c r="Q93" s="65" t="str">
        <f>IFERROR(__xludf.DUMMYFUNCTION("""COMPUTED_VALUE"""),"GINTRACOM")</f>
        <v>GINTRACOM</v>
      </c>
      <c r="R93" s="65">
        <f>IFERROR(__xludf.DUMMYFUNCTION("""COMPUTED_VALUE"""),20.0)</f>
        <v>20</v>
      </c>
      <c r="S93" s="65"/>
      <c r="T93" s="65">
        <f>IFERROR(__xludf.DUMMYFUNCTION("""COMPUTED_VALUE"""),4.14)</f>
        <v>4.14</v>
      </c>
      <c r="U93" s="65">
        <f>IFERROR(__xludf.DUMMYFUNCTION("""COMPUTED_VALUE"""),0.0)</f>
        <v>0</v>
      </c>
      <c r="V93" s="65">
        <f>IFERROR(__xludf.DUMMYFUNCTION("""COMPUTED_VALUE"""),0.0)</f>
        <v>0</v>
      </c>
      <c r="W93" s="65">
        <f>IFERROR(__xludf.DUMMYFUNCTION("""COMPUTED_VALUE"""),0.0)</f>
        <v>0</v>
      </c>
      <c r="X93" s="65">
        <f>IFERROR(__xludf.DUMMYFUNCTION("""COMPUTED_VALUE"""),2.21)</f>
        <v>2.21</v>
      </c>
      <c r="Y93" s="65">
        <f>IFERROR(__xludf.DUMMYFUNCTION("""COMPUTED_VALUE"""),4.42)</f>
        <v>4.42</v>
      </c>
      <c r="Z93" s="65">
        <f>IFERROR(__xludf.DUMMYFUNCTION("""COMPUTED_VALUE"""),120732.0)</f>
        <v>120732</v>
      </c>
      <c r="AA93" s="65" t="str">
        <f>IFERROR(__xludf.DUMMYFUNCTION("""COMPUTED_VALUE"""),"PROV-LMPVT")</f>
        <v>PROV-LMPVT</v>
      </c>
      <c r="AB93" s="65"/>
      <c r="AC93" s="65" t="str">
        <f>IFERROR(__xludf.DUMMYFUNCTION("""COMPUTED_VALUE"""),"LIMPIADOR DE PARABRISAS Y VENTANAS")</f>
        <v>LIMPIADOR DE PARABRISAS Y VENTANAS</v>
      </c>
      <c r="AD93" s="65"/>
      <c r="AE93" s="65">
        <f>IFERROR(__xludf.DUMMYFUNCTION("""COMPUTED_VALUE"""),2.0)</f>
        <v>2</v>
      </c>
      <c r="AF93" s="65"/>
      <c r="AG93" s="65"/>
      <c r="AH93" s="65"/>
      <c r="AI93" s="65"/>
      <c r="AJ93" s="65"/>
      <c r="AK93" s="65"/>
      <c r="AL93" s="65"/>
      <c r="AM93" s="65"/>
      <c r="AN93" s="65"/>
      <c r="AO93" s="65"/>
      <c r="AP93" s="65"/>
      <c r="AQ93" s="65"/>
      <c r="AR93" s="65"/>
      <c r="AS93" s="65"/>
      <c r="AT93" s="65" t="str">
        <f>IFERROR(__xludf.DUMMYFUNCTION("""COMPUTED_VALUE"""),"SHOPIFY")</f>
        <v>SHOPIFY</v>
      </c>
      <c r="AU93" s="65" t="str">
        <f>IFERROR(__xludf.DUMMYFUNCTION("""COMPUTED_VALUE"""),"IMPORTEX EC")</f>
        <v>IMPORTEX EC</v>
      </c>
      <c r="AV93" s="65" t="str">
        <f>IFERROR(__xludf.DUMMYFUNCTION("""COMPUTED_VALUE"""),"6592662994988")</f>
        <v>6592662994988</v>
      </c>
      <c r="AW93" s="65">
        <f>IFERROR(__xludf.DUMMYFUNCTION("""COMPUTED_VALUE"""),6752.0)</f>
        <v>6752</v>
      </c>
      <c r="AX93" s="65"/>
      <c r="AY93" s="65"/>
      <c r="AZ93" s="65"/>
      <c r="BA93" s="65"/>
    </row>
    <row r="94">
      <c r="A94" s="65" t="str">
        <f>IFERROR(__xludf.DUMMYFUNCTION("""COMPUTED_VALUE"""),"27-03-2026")</f>
        <v>27-03-2026</v>
      </c>
      <c r="B94" s="65">
        <f>IFERROR(__xludf.DUMMYFUNCTION("""COMPUTED_VALUE"""),4866069.0)</f>
        <v>4866069</v>
      </c>
      <c r="C94" s="65" t="str">
        <f>IFERROR(__xludf.DUMMYFUNCTION("""COMPUTED_VALUE"""),"07:58")</f>
        <v>07:58</v>
      </c>
      <c r="D94" s="65" t="str">
        <f>IFERROR(__xludf.DUMMYFUNCTION("""COMPUTED_VALUE"""),"21-03-2026")</f>
        <v>21-03-2026</v>
      </c>
      <c r="E94" s="65" t="str">
        <f>IFERROR(__xludf.DUMMYFUNCTION("""COMPUTED_VALUE"""),"Cecilia Cevallos")</f>
        <v>Cecilia Cevallos</v>
      </c>
      <c r="F94" s="65" t="str">
        <f>IFERROR(__xludf.DUMMYFUNCTION("""COMPUTED_VALUE"""),"960047555")</f>
        <v>960047555</v>
      </c>
      <c r="G94" s="65" t="str">
        <f>IFERROR(__xludf.DUMMYFUNCTION("""COMPUTED_VALUE"""),"ceciliacumanda1961@yahoo.com")</f>
        <v>ceciliacumanda1961@yahoo.com</v>
      </c>
      <c r="H94" s="65"/>
      <c r="I94" s="65"/>
      <c r="J94" s="65" t="str">
        <f>IFERROR(__xludf.DUMMYFUNCTION("""COMPUTED_VALUE"""),"D001445650")</f>
        <v>D001445650</v>
      </c>
      <c r="K94" s="65" t="str">
        <f>IFERROR(__xludf.DUMMYFUNCTION("""COMPUTED_VALUE"""),"ENTREGADO")</f>
        <v>ENTREGADO</v>
      </c>
      <c r="L94" s="65" t="str">
        <f>IFERROR(__xludf.DUMMYFUNCTION("""COMPUTED_VALUE"""),"CON RECAUDO")</f>
        <v>CON RECAUDO</v>
      </c>
      <c r="M94" s="65" t="str">
        <f>IFERROR(__xludf.DUMMYFUNCTION("""COMPUTED_VALUE"""),"PICHINCHA")</f>
        <v>PICHINCHA</v>
      </c>
      <c r="N94" s="65" t="str">
        <f>IFERROR(__xludf.DUMMYFUNCTION("""COMPUTED_VALUE"""),"QUITO")</f>
        <v>QUITO</v>
      </c>
      <c r="O94" s="65" t="str">
        <f>IFERROR(__xludf.DUMMYFUNCTION("""COMPUTED_VALUE"""),"Av General Miller Oe2-25 y 5 de Junio, Ciudadela Santa Ana - REFERENCIA: Frente a las canchas de la ciudadela Santa , Casa 3 pisos color celeste")</f>
        <v>Av General Miller Oe2-25 y 5 de Junio, Ciudadela Santa Ana - REFERENCIA: Frente a las canchas de la ciudadela Santa , Casa 3 pisos color celeste</v>
      </c>
      <c r="P94" s="65"/>
      <c r="Q94" s="65" t="str">
        <f>IFERROR(__xludf.DUMMYFUNCTION("""COMPUTED_VALUE"""),"GINTRACOM")</f>
        <v>GINTRACOM</v>
      </c>
      <c r="R94" s="65">
        <f>IFERROR(__xludf.DUMMYFUNCTION("""COMPUTED_VALUE"""),20.0)</f>
        <v>20</v>
      </c>
      <c r="S94" s="65">
        <f>IFERROR(__xludf.DUMMYFUNCTION("""COMPUTED_VALUE"""),9.83)</f>
        <v>9.83</v>
      </c>
      <c r="T94" s="65">
        <f>IFERROR(__xludf.DUMMYFUNCTION("""COMPUTED_VALUE"""),5.75)</f>
        <v>5.75</v>
      </c>
      <c r="U94" s="65">
        <f>IFERROR(__xludf.DUMMYFUNCTION("""COMPUTED_VALUE"""),0.0)</f>
        <v>0</v>
      </c>
      <c r="V94" s="65">
        <f>IFERROR(__xludf.DUMMYFUNCTION("""COMPUTED_VALUE"""),0.0)</f>
        <v>0</v>
      </c>
      <c r="W94" s="65">
        <f>IFERROR(__xludf.DUMMYFUNCTION("""COMPUTED_VALUE"""),0.0)</f>
        <v>0</v>
      </c>
      <c r="X94" s="65">
        <f>IFERROR(__xludf.DUMMYFUNCTION("""COMPUTED_VALUE"""),2.21)</f>
        <v>2.21</v>
      </c>
      <c r="Y94" s="65">
        <f>IFERROR(__xludf.DUMMYFUNCTION("""COMPUTED_VALUE"""),4.42)</f>
        <v>4.42</v>
      </c>
      <c r="Z94" s="65">
        <f>IFERROR(__xludf.DUMMYFUNCTION("""COMPUTED_VALUE"""),120732.0)</f>
        <v>120732</v>
      </c>
      <c r="AA94" s="65" t="str">
        <f>IFERROR(__xludf.DUMMYFUNCTION("""COMPUTED_VALUE"""),"PROV-LMPVT")</f>
        <v>PROV-LMPVT</v>
      </c>
      <c r="AB94" s="65"/>
      <c r="AC94" s="65" t="str">
        <f>IFERROR(__xludf.DUMMYFUNCTION("""COMPUTED_VALUE"""),"LIMPIADOR DE PARABRISAS Y VENTANAS")</f>
        <v>LIMPIADOR DE PARABRISAS Y VENTANAS</v>
      </c>
      <c r="AD94" s="65"/>
      <c r="AE94" s="65">
        <f>IFERROR(__xludf.DUMMYFUNCTION("""COMPUTED_VALUE"""),2.0)</f>
        <v>2</v>
      </c>
      <c r="AF94" s="65"/>
      <c r="AG94" s="65"/>
      <c r="AH94" s="65"/>
      <c r="AI94" s="65"/>
      <c r="AJ94" s="65"/>
      <c r="AK94" s="65"/>
      <c r="AL94" s="65"/>
      <c r="AM94" s="65"/>
      <c r="AN94" s="65" t="str">
        <f>IFERROR(__xludf.DUMMYFUNCTION("""COMPUTED_VALUE"""),"12:30")</f>
        <v>12:30</v>
      </c>
      <c r="AO94" s="65" t="str">
        <f>IFERROR(__xludf.DUMMYFUNCTION("""COMPUTED_VALUE"""),"26-03-2026")</f>
        <v>26-03-2026</v>
      </c>
      <c r="AP94" s="65" t="str">
        <f>IFERROR(__xludf.DUMMYFUNCTION("""COMPUTED_VALUE"""),"ENTREGADA GINTRACOM")</f>
        <v>ENTREGADA GINTRACOM</v>
      </c>
      <c r="AQ94" s="65" t="str">
        <f>IFERROR(__xludf.DUMMYFUNCTION("""COMPUTED_VALUE"""),"ENTREGADA GINTRACOM")</f>
        <v>ENTREGADA GINTRACOM</v>
      </c>
      <c r="AR94" s="65"/>
      <c r="AS94" s="65"/>
      <c r="AT94" s="65" t="str">
        <f>IFERROR(__xludf.DUMMYFUNCTION("""COMPUTED_VALUE"""),"SHOPIFY")</f>
        <v>SHOPIFY</v>
      </c>
      <c r="AU94" s="65" t="str">
        <f>IFERROR(__xludf.DUMMYFUNCTION("""COMPUTED_VALUE"""),"IMPORTEX EC")</f>
        <v>IMPORTEX EC</v>
      </c>
      <c r="AV94" s="65" t="str">
        <f>IFERROR(__xludf.DUMMYFUNCTION("""COMPUTED_VALUE"""),"6592609124396")</f>
        <v>6592609124396</v>
      </c>
      <c r="AW94" s="65">
        <f>IFERROR(__xludf.DUMMYFUNCTION("""COMPUTED_VALUE"""),6751.0)</f>
        <v>6751</v>
      </c>
      <c r="AX94" s="65"/>
      <c r="AY94" s="65" t="str">
        <f>IFERROR(__xludf.DUMMYFUNCTION("""COMPUTED_VALUE"""),"23/03/2026")</f>
        <v>23/03/2026</v>
      </c>
      <c r="AZ94" s="65"/>
      <c r="BA94" s="65"/>
    </row>
    <row r="95">
      <c r="A95" s="65" t="str">
        <f>IFERROR(__xludf.DUMMYFUNCTION("""COMPUTED_VALUE"""),"27-03-2026")</f>
        <v>27-03-2026</v>
      </c>
      <c r="B95" s="65">
        <f>IFERROR(__xludf.DUMMYFUNCTION("""COMPUTED_VALUE"""),4866066.0)</f>
        <v>4866066</v>
      </c>
      <c r="C95" s="65" t="str">
        <f>IFERROR(__xludf.DUMMYFUNCTION("""COMPUTED_VALUE"""),"07:58")</f>
        <v>07:58</v>
      </c>
      <c r="D95" s="65" t="str">
        <f>IFERROR(__xludf.DUMMYFUNCTION("""COMPUTED_VALUE"""),"21-03-2026")</f>
        <v>21-03-2026</v>
      </c>
      <c r="E95" s="65" t="str">
        <f>IFERROR(__xludf.DUMMYFUNCTION("""COMPUTED_VALUE"""),"Victor Poma")</f>
        <v>Victor Poma</v>
      </c>
      <c r="F95" s="65" t="str">
        <f>IFERROR(__xludf.DUMMYFUNCTION("""COMPUTED_VALUE"""),"991876129")</f>
        <v>991876129</v>
      </c>
      <c r="G95" s="65" t="str">
        <f>IFERROR(__xludf.DUMMYFUNCTION("""COMPUTED_VALUE"""),"victorcevallos60@gmail.com")</f>
        <v>victorcevallos60@gmail.com</v>
      </c>
      <c r="H95" s="65"/>
      <c r="I95" s="65"/>
      <c r="J95" s="65" t="str">
        <f>IFERROR(__xludf.DUMMYFUNCTION("""COMPUTED_VALUE"""),"LC53171142")</f>
        <v>LC53171142</v>
      </c>
      <c r="K95" s="65" t="str">
        <f>IFERROR(__xludf.DUMMYFUNCTION("""COMPUTED_VALUE"""),"NOVEDAD")</f>
        <v>NOVEDAD</v>
      </c>
      <c r="L95" s="65" t="str">
        <f>IFERROR(__xludf.DUMMYFUNCTION("""COMPUTED_VALUE"""),"CON RECAUDO")</f>
        <v>CON RECAUDO</v>
      </c>
      <c r="M95" s="65" t="str">
        <f>IFERROR(__xludf.DUMMYFUNCTION("""COMPUTED_VALUE"""),"MORONA SANTIAGO")</f>
        <v>MORONA SANTIAGO</v>
      </c>
      <c r="N95" s="65" t="str">
        <f>IFERROR(__xludf.DUMMYFUNCTION("""COMPUTED_VALUE"""),"GUALAQUIZA")</f>
        <v>GUALAQUIZA</v>
      </c>
      <c r="O95" s="65" t="str">
        <f>IFERROR(__xludf.DUMMYFUNCTION("""COMPUTED_VALUE"""),"Calle Sauce y Joaquín Avila, Ciudadela nueva - REFERENCIA: ATras de Disensa")</f>
        <v>Calle Sauce y Joaquín Avila, Ciudadela nueva - REFERENCIA: ATras de Disensa</v>
      </c>
      <c r="P95" s="65"/>
      <c r="Q95" s="65" t="str">
        <f>IFERROR(__xludf.DUMMYFUNCTION("""COMPUTED_VALUE"""),"LAARCOURIER")</f>
        <v>LAARCOURIER</v>
      </c>
      <c r="R95" s="65">
        <f>IFERROR(__xludf.DUMMYFUNCTION("""COMPUTED_VALUE"""),20.0)</f>
        <v>20</v>
      </c>
      <c r="S95" s="65"/>
      <c r="T95" s="65">
        <f>IFERROR(__xludf.DUMMYFUNCTION("""COMPUTED_VALUE"""),7.5)</f>
        <v>7.5</v>
      </c>
      <c r="U95" s="65">
        <f>IFERROR(__xludf.DUMMYFUNCTION("""COMPUTED_VALUE"""),0.0)</f>
        <v>0</v>
      </c>
      <c r="V95" s="65">
        <f>IFERROR(__xludf.DUMMYFUNCTION("""COMPUTED_VALUE"""),0.0)</f>
        <v>0</v>
      </c>
      <c r="W95" s="65">
        <f>IFERROR(__xludf.DUMMYFUNCTION("""COMPUTED_VALUE"""),0.0)</f>
        <v>0</v>
      </c>
      <c r="X95" s="65">
        <f>IFERROR(__xludf.DUMMYFUNCTION("""COMPUTED_VALUE"""),2.21)</f>
        <v>2.21</v>
      </c>
      <c r="Y95" s="65">
        <f>IFERROR(__xludf.DUMMYFUNCTION("""COMPUTED_VALUE"""),4.42)</f>
        <v>4.42</v>
      </c>
      <c r="Z95" s="65">
        <f>IFERROR(__xludf.DUMMYFUNCTION("""COMPUTED_VALUE"""),120732.0)</f>
        <v>120732</v>
      </c>
      <c r="AA95" s="65" t="str">
        <f>IFERROR(__xludf.DUMMYFUNCTION("""COMPUTED_VALUE"""),"PROV-LMPVT")</f>
        <v>PROV-LMPVT</v>
      </c>
      <c r="AB95" s="65"/>
      <c r="AC95" s="65" t="str">
        <f>IFERROR(__xludf.DUMMYFUNCTION("""COMPUTED_VALUE"""),"LIMPIADOR DE PARABRISAS Y VENTANAS")</f>
        <v>LIMPIADOR DE PARABRISAS Y VENTANAS</v>
      </c>
      <c r="AD95" s="65"/>
      <c r="AE95" s="65">
        <f>IFERROR(__xludf.DUMMYFUNCTION("""COMPUTED_VALUE"""),2.0)</f>
        <v>2</v>
      </c>
      <c r="AF95" s="65"/>
      <c r="AG95" s="65"/>
      <c r="AH95" s="65"/>
      <c r="AI95" s="65"/>
      <c r="AJ95" s="65"/>
      <c r="AK95" s="65"/>
      <c r="AL95" s="65"/>
      <c r="AM95" s="65"/>
      <c r="AN95" s="65" t="str">
        <f>IFERROR(__xludf.DUMMYFUNCTION("""COMPUTED_VALUE"""),"12:00")</f>
        <v>12:00</v>
      </c>
      <c r="AO95" s="65" t="str">
        <f>IFERROR(__xludf.DUMMYFUNCTION("""COMPUTED_VALUE"""),"25-03-2026")</f>
        <v>25-03-2026</v>
      </c>
      <c r="AP95" s="65" t="str">
        <f>IFERROR(__xludf.DUMMYFUNCTION("""COMPUTED_VALUE"""),"COBERTURA LUNES")</f>
        <v>COBERTURA LUNES</v>
      </c>
      <c r="AQ95" s="65" t="str">
        <f>IFERROR(__xludf.DUMMYFUNCTION("""COMPUTED_VALUE"""),"COBERTURA LUNES")</f>
        <v>COBERTURA LUNES</v>
      </c>
      <c r="AR95" s="65"/>
      <c r="AS95" s="65"/>
      <c r="AT95" s="65" t="str">
        <f>IFERROR(__xludf.DUMMYFUNCTION("""COMPUTED_VALUE"""),"SHOPIFY")</f>
        <v>SHOPIFY</v>
      </c>
      <c r="AU95" s="65" t="str">
        <f>IFERROR(__xludf.DUMMYFUNCTION("""COMPUTED_VALUE"""),"IMPORTEX EC")</f>
        <v>IMPORTEX EC</v>
      </c>
      <c r="AV95" s="65" t="str">
        <f>IFERROR(__xludf.DUMMYFUNCTION("""COMPUTED_VALUE"""),"6592524156972")</f>
        <v>6592524156972</v>
      </c>
      <c r="AW95" s="65">
        <f>IFERROR(__xludf.DUMMYFUNCTION("""COMPUTED_VALUE"""),6750.0)</f>
        <v>6750</v>
      </c>
      <c r="AX95" s="65"/>
      <c r="AY95" s="65" t="str">
        <f>IFERROR(__xludf.DUMMYFUNCTION("""COMPUTED_VALUE"""),"23/03/2026")</f>
        <v>23/03/2026</v>
      </c>
      <c r="AZ95" s="65"/>
      <c r="BA95" s="65"/>
    </row>
    <row r="96">
      <c r="A96" s="65" t="str">
        <f>IFERROR(__xludf.DUMMYFUNCTION("""COMPUTED_VALUE"""),"27-03-2026")</f>
        <v>27-03-2026</v>
      </c>
      <c r="B96" s="65">
        <f>IFERROR(__xludf.DUMMYFUNCTION("""COMPUTED_VALUE"""),4866065.0)</f>
        <v>4866065</v>
      </c>
      <c r="C96" s="65" t="str">
        <f>IFERROR(__xludf.DUMMYFUNCTION("""COMPUTED_VALUE"""),"07:57")</f>
        <v>07:57</v>
      </c>
      <c r="D96" s="65" t="str">
        <f>IFERROR(__xludf.DUMMYFUNCTION("""COMPUTED_VALUE"""),"21-03-2026")</f>
        <v>21-03-2026</v>
      </c>
      <c r="E96" s="65" t="str">
        <f>IFERROR(__xludf.DUMMYFUNCTION("""COMPUTED_VALUE"""),"Henry Cabrera")</f>
        <v>Henry Cabrera</v>
      </c>
      <c r="F96" s="65" t="str">
        <f>IFERROR(__xludf.DUMMYFUNCTION("""COMPUTED_VALUE"""),"991443838")</f>
        <v>991443838</v>
      </c>
      <c r="G96" s="65" t="str">
        <f>IFERROR(__xludf.DUMMYFUNCTION("""COMPUTED_VALUE"""),"henrywcabreravv@hotmail.com")</f>
        <v>henrywcabreravv@hotmail.com</v>
      </c>
      <c r="H96" s="65"/>
      <c r="I96" s="65"/>
      <c r="J96" s="65" t="str">
        <f>IFERROR(__xludf.DUMMYFUNCTION("""COMPUTED_VALUE"""),"185025562")</f>
        <v>185025562</v>
      </c>
      <c r="K96" s="65" t="str">
        <f>IFERROR(__xludf.DUMMYFUNCTION("""COMPUTED_VALUE"""),"INGRESANDO OPERATIVO A")</f>
        <v>INGRESANDO OPERATIVO A</v>
      </c>
      <c r="L96" s="65" t="str">
        <f>IFERROR(__xludf.DUMMYFUNCTION("""COMPUTED_VALUE"""),"CON RECAUDO")</f>
        <v>CON RECAUDO</v>
      </c>
      <c r="M96" s="65" t="str">
        <f>IFERROR(__xludf.DUMMYFUNCTION("""COMPUTED_VALUE"""),"SUCUMBIOS")</f>
        <v>SUCUMBIOS</v>
      </c>
      <c r="N96" s="65" t="str">
        <f>IFERROR(__xludf.DUMMYFUNCTION("""COMPUTED_VALUE"""),"TARAPOA")</f>
        <v>TARAPOA</v>
      </c>
      <c r="O96" s="65" t="str">
        <f>IFERROR(__xludf.DUMMYFUNCTION("""COMPUTED_VALUE"""),"RETIRA EN CS: TARAPOA PRINCIPAL, CALLE PRINCIPAL S/N Y 8 DE AGOSTO")</f>
        <v>RETIRA EN CS: TARAPOA PRINCIPAL, CALLE PRINCIPAL S/N Y 8 DE AGOSTO</v>
      </c>
      <c r="P96" s="65"/>
      <c r="Q96" s="65" t="str">
        <f>IFERROR(__xludf.DUMMYFUNCTION("""COMPUTED_VALUE"""),"SERVIENTREGA")</f>
        <v>SERVIENTREGA</v>
      </c>
      <c r="R96" s="65">
        <f>IFERROR(__xludf.DUMMYFUNCTION("""COMPUTED_VALUE"""),20.0)</f>
        <v>20</v>
      </c>
      <c r="S96" s="65"/>
      <c r="T96" s="65">
        <f>IFERROR(__xludf.DUMMYFUNCTION("""COMPUTED_VALUE"""),7.67)</f>
        <v>7.67</v>
      </c>
      <c r="U96" s="65">
        <f>IFERROR(__xludf.DUMMYFUNCTION("""COMPUTED_VALUE"""),0.0)</f>
        <v>0</v>
      </c>
      <c r="V96" s="65">
        <f>IFERROR(__xludf.DUMMYFUNCTION("""COMPUTED_VALUE"""),0.0)</f>
        <v>0</v>
      </c>
      <c r="W96" s="65">
        <f>IFERROR(__xludf.DUMMYFUNCTION("""COMPUTED_VALUE"""),0.0)</f>
        <v>0</v>
      </c>
      <c r="X96" s="65">
        <f>IFERROR(__xludf.DUMMYFUNCTION("""COMPUTED_VALUE"""),2.21)</f>
        <v>2.21</v>
      </c>
      <c r="Y96" s="65">
        <f>IFERROR(__xludf.DUMMYFUNCTION("""COMPUTED_VALUE"""),4.42)</f>
        <v>4.42</v>
      </c>
      <c r="Z96" s="65">
        <f>IFERROR(__xludf.DUMMYFUNCTION("""COMPUTED_VALUE"""),120732.0)</f>
        <v>120732</v>
      </c>
      <c r="AA96" s="65" t="str">
        <f>IFERROR(__xludf.DUMMYFUNCTION("""COMPUTED_VALUE"""),"PROV-LMPVT")</f>
        <v>PROV-LMPVT</v>
      </c>
      <c r="AB96" s="65"/>
      <c r="AC96" s="65" t="str">
        <f>IFERROR(__xludf.DUMMYFUNCTION("""COMPUTED_VALUE"""),"LIMPIADOR DE PARABRISAS Y VENTANAS")</f>
        <v>LIMPIADOR DE PARABRISAS Y VENTANAS</v>
      </c>
      <c r="AD96" s="65"/>
      <c r="AE96" s="65">
        <f>IFERROR(__xludf.DUMMYFUNCTION("""COMPUTED_VALUE"""),2.0)</f>
        <v>2</v>
      </c>
      <c r="AF96" s="65"/>
      <c r="AG96" s="65"/>
      <c r="AH96" s="65"/>
      <c r="AI96" s="65"/>
      <c r="AJ96" s="65"/>
      <c r="AK96" s="65"/>
      <c r="AL96" s="65"/>
      <c r="AM96" s="65"/>
      <c r="AN96" s="65" t="str">
        <f>IFERROR(__xludf.DUMMYFUNCTION("""COMPUTED_VALUE"""),"08:31")</f>
        <v>08:31</v>
      </c>
      <c r="AO96" s="65" t="str">
        <f>IFERROR(__xludf.DUMMYFUNCTION("""COMPUTED_VALUE"""),"26-03-2026")</f>
        <v>26-03-2026</v>
      </c>
      <c r="AP96" s="65" t="str">
        <f>IFERROR(__xludf.DUMMYFUNCTION("""COMPUTED_VALUE"""),"INGRESANDO OPERATIVO A")</f>
        <v>INGRESANDO OPERATIVO A</v>
      </c>
      <c r="AQ96" s="65" t="str">
        <f>IFERROR(__xludf.DUMMYFUNCTION("""COMPUTED_VALUE"""),".")</f>
        <v>.</v>
      </c>
      <c r="AR96" s="65"/>
      <c r="AS96" s="65"/>
      <c r="AT96" s="65" t="str">
        <f>IFERROR(__xludf.DUMMYFUNCTION("""COMPUTED_VALUE"""),"SHOPIFY")</f>
        <v>SHOPIFY</v>
      </c>
      <c r="AU96" s="65" t="str">
        <f>IFERROR(__xludf.DUMMYFUNCTION("""COMPUTED_VALUE"""),"IMPORTEX EC")</f>
        <v>IMPORTEX EC</v>
      </c>
      <c r="AV96" s="65" t="str">
        <f>IFERROR(__xludf.DUMMYFUNCTION("""COMPUTED_VALUE"""),"6592425328684")</f>
        <v>6592425328684</v>
      </c>
      <c r="AW96" s="65">
        <f>IFERROR(__xludf.DUMMYFUNCTION("""COMPUTED_VALUE"""),6749.0)</f>
        <v>6749</v>
      </c>
      <c r="AX96" s="65"/>
      <c r="AY96" s="65" t="str">
        <f>IFERROR(__xludf.DUMMYFUNCTION("""COMPUTED_VALUE"""),"23/03/2026")</f>
        <v>23/03/2026</v>
      </c>
      <c r="AZ96" s="65"/>
      <c r="BA96" s="65"/>
    </row>
    <row r="97">
      <c r="A97" s="65" t="str">
        <f>IFERROR(__xludf.DUMMYFUNCTION("""COMPUTED_VALUE"""),"27-03-2026")</f>
        <v>27-03-2026</v>
      </c>
      <c r="B97" s="65">
        <f>IFERROR(__xludf.DUMMYFUNCTION("""COMPUTED_VALUE"""),4866060.0)</f>
        <v>4866060</v>
      </c>
      <c r="C97" s="65" t="str">
        <f>IFERROR(__xludf.DUMMYFUNCTION("""COMPUTED_VALUE"""),"07:57")</f>
        <v>07:57</v>
      </c>
      <c r="D97" s="65" t="str">
        <f>IFERROR(__xludf.DUMMYFUNCTION("""COMPUTED_VALUE"""),"21-03-2026")</f>
        <v>21-03-2026</v>
      </c>
      <c r="E97" s="65" t="str">
        <f>IFERROR(__xludf.DUMMYFUNCTION("""COMPUTED_VALUE"""),"Eduardo Correa")</f>
        <v>Eduardo Correa</v>
      </c>
      <c r="F97" s="65" t="str">
        <f>IFERROR(__xludf.DUMMYFUNCTION("""COMPUTED_VALUE"""),"989596774")</f>
        <v>989596774</v>
      </c>
      <c r="G97" s="65" t="str">
        <f>IFERROR(__xludf.DUMMYFUNCTION("""COMPUTED_VALUE"""),"Eduardo.correaa11@gmail.com")</f>
        <v>Eduardo.correaa11@gmail.com</v>
      </c>
      <c r="H97" s="65"/>
      <c r="I97" s="65"/>
      <c r="J97" s="65" t="str">
        <f>IFERROR(__xludf.DUMMYFUNCTION("""COMPUTED_VALUE"""),"D001445651")</f>
        <v>D001445651</v>
      </c>
      <c r="K97" s="65" t="str">
        <f>IFERROR(__xludf.DUMMYFUNCTION("""COMPUTED_VALUE"""),"ENTREGADO")</f>
        <v>ENTREGADO</v>
      </c>
      <c r="L97" s="65" t="str">
        <f>IFERROR(__xludf.DUMMYFUNCTION("""COMPUTED_VALUE"""),"CON RECAUDO")</f>
        <v>CON RECAUDO</v>
      </c>
      <c r="M97" s="65" t="str">
        <f>IFERROR(__xludf.DUMMYFUNCTION("""COMPUTED_VALUE"""),"AZUAY")</f>
        <v>AZUAY</v>
      </c>
      <c r="N97" s="65" t="str">
        <f>IFERROR(__xludf.DUMMYFUNCTION("""COMPUTED_VALUE"""),"CUENCA")</f>
        <v>CUENCA</v>
      </c>
      <c r="O97" s="65" t="str">
        <f>IFERROR(__xludf.DUMMYFUNCTION("""COMPUTED_VALUE"""),"Calle Chaguarchimbana 2-109 y 24 de Mayo,  2 cuadras antes del Huaira Plaza - REFERENCIA: Al fondo de la cuchara - Cuenca")</f>
        <v>Calle Chaguarchimbana 2-109 y 24 de Mayo,  2 cuadras antes del Huaira Plaza - REFERENCIA: Al fondo de la cuchara - Cuenca</v>
      </c>
      <c r="P97" s="65"/>
      <c r="Q97" s="65" t="str">
        <f>IFERROR(__xludf.DUMMYFUNCTION("""COMPUTED_VALUE"""),"GINTRACOM")</f>
        <v>GINTRACOM</v>
      </c>
      <c r="R97" s="65">
        <f>IFERROR(__xludf.DUMMYFUNCTION("""COMPUTED_VALUE"""),24.99)</f>
        <v>24.99</v>
      </c>
      <c r="S97" s="65">
        <f>IFERROR(__xludf.DUMMYFUNCTION("""COMPUTED_VALUE"""),12.41)</f>
        <v>12.41</v>
      </c>
      <c r="T97" s="65">
        <f>IFERROR(__xludf.DUMMYFUNCTION("""COMPUTED_VALUE"""),5.95)</f>
        <v>5.95</v>
      </c>
      <c r="U97" s="65">
        <f>IFERROR(__xludf.DUMMYFUNCTION("""COMPUTED_VALUE"""),0.0)</f>
        <v>0</v>
      </c>
      <c r="V97" s="65">
        <f>IFERROR(__xludf.DUMMYFUNCTION("""COMPUTED_VALUE"""),0.0)</f>
        <v>0</v>
      </c>
      <c r="W97" s="65">
        <f>IFERROR(__xludf.DUMMYFUNCTION("""COMPUTED_VALUE"""),0.0)</f>
        <v>0</v>
      </c>
      <c r="X97" s="65">
        <f>IFERROR(__xludf.DUMMYFUNCTION("""COMPUTED_VALUE"""),2.21)</f>
        <v>2.21</v>
      </c>
      <c r="Y97" s="65">
        <f>IFERROR(__xludf.DUMMYFUNCTION("""COMPUTED_VALUE"""),6.63)</f>
        <v>6.63</v>
      </c>
      <c r="Z97" s="65">
        <f>IFERROR(__xludf.DUMMYFUNCTION("""COMPUTED_VALUE"""),120732.0)</f>
        <v>120732</v>
      </c>
      <c r="AA97" s="65" t="str">
        <f>IFERROR(__xludf.DUMMYFUNCTION("""COMPUTED_VALUE"""),"PROV-LMPVT")</f>
        <v>PROV-LMPVT</v>
      </c>
      <c r="AB97" s="65"/>
      <c r="AC97" s="65" t="str">
        <f>IFERROR(__xludf.DUMMYFUNCTION("""COMPUTED_VALUE"""),"LIMPIADOR DE PARABRISAS Y VENTANAS")</f>
        <v>LIMPIADOR DE PARABRISAS Y VENTANAS</v>
      </c>
      <c r="AD97" s="65"/>
      <c r="AE97" s="65">
        <f>IFERROR(__xludf.DUMMYFUNCTION("""COMPUTED_VALUE"""),3.0)</f>
        <v>3</v>
      </c>
      <c r="AF97" s="65"/>
      <c r="AG97" s="65"/>
      <c r="AH97" s="65"/>
      <c r="AI97" s="65"/>
      <c r="AJ97" s="65"/>
      <c r="AK97" s="65"/>
      <c r="AL97" s="65"/>
      <c r="AM97" s="65"/>
      <c r="AN97" s="65" t="str">
        <f>IFERROR(__xludf.DUMMYFUNCTION("""COMPUTED_VALUE"""),"08:59")</f>
        <v>08:59</v>
      </c>
      <c r="AO97" s="65" t="str">
        <f>IFERROR(__xludf.DUMMYFUNCTION("""COMPUTED_VALUE"""),"25-03-2026")</f>
        <v>25-03-2026</v>
      </c>
      <c r="AP97" s="65" t="str">
        <f>IFERROR(__xludf.DUMMYFUNCTION("""COMPUTED_VALUE"""),"EN REPARTO")</f>
        <v>EN REPARTO</v>
      </c>
      <c r="AQ97" s="65" t="str">
        <f>IFERROR(__xludf.DUMMYFUNCTION("""COMPUTED_VALUE"""),"EN REPARTO")</f>
        <v>EN REPARTO</v>
      </c>
      <c r="AR97" s="65"/>
      <c r="AS97" s="65"/>
      <c r="AT97" s="65" t="str">
        <f>IFERROR(__xludf.DUMMYFUNCTION("""COMPUTED_VALUE"""),"SHOPIFY")</f>
        <v>SHOPIFY</v>
      </c>
      <c r="AU97" s="65" t="str">
        <f>IFERROR(__xludf.DUMMYFUNCTION("""COMPUTED_VALUE"""),"IMPORTEX EC")</f>
        <v>IMPORTEX EC</v>
      </c>
      <c r="AV97" s="65" t="str">
        <f>IFERROR(__xludf.DUMMYFUNCTION("""COMPUTED_VALUE"""),"6592329678892")</f>
        <v>6592329678892</v>
      </c>
      <c r="AW97" s="65">
        <f>IFERROR(__xludf.DUMMYFUNCTION("""COMPUTED_VALUE"""),6747.0)</f>
        <v>6747</v>
      </c>
      <c r="AX97" s="65"/>
      <c r="AY97" s="65" t="str">
        <f>IFERROR(__xludf.DUMMYFUNCTION("""COMPUTED_VALUE"""),"23/03/2026")</f>
        <v>23/03/2026</v>
      </c>
      <c r="AZ97" s="65"/>
      <c r="BA97" s="65"/>
    </row>
    <row r="98">
      <c r="A98" s="65" t="str">
        <f>IFERROR(__xludf.DUMMYFUNCTION("""COMPUTED_VALUE"""),"27-03-2026")</f>
        <v>27-03-2026</v>
      </c>
      <c r="B98" s="65">
        <f>IFERROR(__xludf.DUMMYFUNCTION("""COMPUTED_VALUE"""),4866057.0)</f>
        <v>4866057</v>
      </c>
      <c r="C98" s="65" t="str">
        <f>IFERROR(__xludf.DUMMYFUNCTION("""COMPUTED_VALUE"""),"07:57")</f>
        <v>07:57</v>
      </c>
      <c r="D98" s="65" t="str">
        <f>IFERROR(__xludf.DUMMYFUNCTION("""COMPUTED_VALUE"""),"21-03-2026")</f>
        <v>21-03-2026</v>
      </c>
      <c r="E98" s="65" t="str">
        <f>IFERROR(__xludf.DUMMYFUNCTION("""COMPUTED_VALUE"""),"Viviana Cepeda")</f>
        <v>Viviana Cepeda</v>
      </c>
      <c r="F98" s="65" t="str">
        <f>IFERROR(__xludf.DUMMYFUNCTION("""COMPUTED_VALUE"""),"992740120")</f>
        <v>992740120</v>
      </c>
      <c r="G98" s="65" t="str">
        <f>IFERROR(__xludf.DUMMYFUNCTION("""COMPUTED_VALUE"""),"vcepeda272@gmail.com")</f>
        <v>vcepeda272@gmail.com</v>
      </c>
      <c r="H98" s="65"/>
      <c r="I98" s="65"/>
      <c r="J98" s="65" t="str">
        <f>IFERROR(__xludf.DUMMYFUNCTION("""COMPUTED_VALUE"""),"D001445652")</f>
        <v>D001445652</v>
      </c>
      <c r="K98" s="65" t="str">
        <f>IFERROR(__xludf.DUMMYFUNCTION("""COMPUTED_VALUE"""),"EN REPARTO")</f>
        <v>EN REPARTO</v>
      </c>
      <c r="L98" s="65" t="str">
        <f>IFERROR(__xludf.DUMMYFUNCTION("""COMPUTED_VALUE"""),"CON RECAUDO")</f>
        <v>CON RECAUDO</v>
      </c>
      <c r="M98" s="65" t="str">
        <f>IFERROR(__xludf.DUMMYFUNCTION("""COMPUTED_VALUE"""),"PICHINCHA")</f>
        <v>PICHINCHA</v>
      </c>
      <c r="N98" s="65" t="str">
        <f>IFERROR(__xludf.DUMMYFUNCTION("""COMPUTED_VALUE"""),"QUITO")</f>
        <v>QUITO</v>
      </c>
      <c r="O98" s="65" t="str">
        <f>IFERROR(__xludf.DUMMYFUNCTION("""COMPUTED_VALUE"""),"Luis Felipe Borja y Charles Darwin La Armenia, Conjunto Lafayette, frente a la Carreta restaurante")</f>
        <v>Luis Felipe Borja y Charles Darwin La Armenia, Conjunto Lafayette, frente a la Carreta restaurante</v>
      </c>
      <c r="P98" s="65"/>
      <c r="Q98" s="65" t="str">
        <f>IFERROR(__xludf.DUMMYFUNCTION("""COMPUTED_VALUE"""),"GINTRACOM")</f>
        <v>GINTRACOM</v>
      </c>
      <c r="R98" s="65">
        <f>IFERROR(__xludf.DUMMYFUNCTION("""COMPUTED_VALUE"""),20.0)</f>
        <v>20</v>
      </c>
      <c r="S98" s="65"/>
      <c r="T98" s="65">
        <f>IFERROR(__xludf.DUMMYFUNCTION("""COMPUTED_VALUE"""),5.75)</f>
        <v>5.75</v>
      </c>
      <c r="U98" s="65">
        <f>IFERROR(__xludf.DUMMYFUNCTION("""COMPUTED_VALUE"""),0.0)</f>
        <v>0</v>
      </c>
      <c r="V98" s="65">
        <f>IFERROR(__xludf.DUMMYFUNCTION("""COMPUTED_VALUE"""),0.0)</f>
        <v>0</v>
      </c>
      <c r="W98" s="65">
        <f>IFERROR(__xludf.DUMMYFUNCTION("""COMPUTED_VALUE"""),0.0)</f>
        <v>0</v>
      </c>
      <c r="X98" s="65">
        <f>IFERROR(__xludf.DUMMYFUNCTION("""COMPUTED_VALUE"""),2.21)</f>
        <v>2.21</v>
      </c>
      <c r="Y98" s="65">
        <f>IFERROR(__xludf.DUMMYFUNCTION("""COMPUTED_VALUE"""),4.42)</f>
        <v>4.42</v>
      </c>
      <c r="Z98" s="65">
        <f>IFERROR(__xludf.DUMMYFUNCTION("""COMPUTED_VALUE"""),120732.0)</f>
        <v>120732</v>
      </c>
      <c r="AA98" s="65" t="str">
        <f>IFERROR(__xludf.DUMMYFUNCTION("""COMPUTED_VALUE"""),"PROV-LMPVT")</f>
        <v>PROV-LMPVT</v>
      </c>
      <c r="AB98" s="65"/>
      <c r="AC98" s="65" t="str">
        <f>IFERROR(__xludf.DUMMYFUNCTION("""COMPUTED_VALUE"""),"LIMPIADOR DE PARABRISAS Y VENTANAS")</f>
        <v>LIMPIADOR DE PARABRISAS Y VENTANAS</v>
      </c>
      <c r="AD98" s="65"/>
      <c r="AE98" s="65">
        <f>IFERROR(__xludf.DUMMYFUNCTION("""COMPUTED_VALUE"""),2.0)</f>
        <v>2</v>
      </c>
      <c r="AF98" s="65" t="str">
        <f>IFERROR(__xludf.DUMMYFUNCTION("""COMPUTED_VALUE"""),"DESTINATARIO NO CONTESTA LLAMADAS NI WHATSAPP")</f>
        <v>DESTINATARIO NO CONTESTA LLAMADAS NI WHATSAPP</v>
      </c>
      <c r="AG98" s="65" t="str">
        <f>IFERROR(__xludf.DUMMYFUNCTION("""COMPUTED_VALUE"""),"SI")</f>
        <v>SI</v>
      </c>
      <c r="AH98" s="65" t="str">
        <f>IFERROR(__xludf.DUMMYFUNCTION("""COMPUTED_VALUE"""),"17:22")</f>
        <v>17:22</v>
      </c>
      <c r="AI98" s="65" t="str">
        <f>IFERROR(__xludf.DUMMYFUNCTION("""COMPUTED_VALUE"""),"25-03-2026")</f>
        <v>25-03-2026</v>
      </c>
      <c r="AJ98" s="65" t="str">
        <f>IFERROR(__xludf.DUMMYFUNCTION("""COMPUTED_VALUE"""),"El cliente requiere entrega inmediata; por favor, coordinar directamente con él/la cliente para concretar la entrega.")</f>
        <v>El cliente requiere entrega inmediata; por favor, coordinar directamente con él/la cliente para concretar la entrega.</v>
      </c>
      <c r="AK98" s="65" t="str">
        <f>IFERROR(__xludf.DUMMYFUNCTION("""COMPUTED_VALUE"""),"10:22")</f>
        <v>10:22</v>
      </c>
      <c r="AL98" s="65" t="str">
        <f>IFERROR(__xludf.DUMMYFUNCTION("""COMPUTED_VALUE"""),"26-03-2026")</f>
        <v>26-03-2026</v>
      </c>
      <c r="AM98" s="65"/>
      <c r="AN98" s="65" t="str">
        <f>IFERROR(__xludf.DUMMYFUNCTION("""COMPUTED_VALUE"""),"08:18")</f>
        <v>08:18</v>
      </c>
      <c r="AO98" s="65" t="str">
        <f>IFERROR(__xludf.DUMMYFUNCTION("""COMPUTED_VALUE"""),"27-03-2026")</f>
        <v>27-03-2026</v>
      </c>
      <c r="AP98" s="65" t="str">
        <f>IFERROR(__xludf.DUMMYFUNCTION("""COMPUTED_VALUE"""),"EN REPARTO")</f>
        <v>EN REPARTO</v>
      </c>
      <c r="AQ98" s="65" t="str">
        <f>IFERROR(__xludf.DUMMYFUNCTION("""COMPUTED_VALUE"""),"EN REPARTO")</f>
        <v>EN REPARTO</v>
      </c>
      <c r="AR98" s="65"/>
      <c r="AS98" s="65"/>
      <c r="AT98" s="65" t="str">
        <f>IFERROR(__xludf.DUMMYFUNCTION("""COMPUTED_VALUE"""),"SHOPIFY")</f>
        <v>SHOPIFY</v>
      </c>
      <c r="AU98" s="65" t="str">
        <f>IFERROR(__xludf.DUMMYFUNCTION("""COMPUTED_VALUE"""),"IMPORTEX EC")</f>
        <v>IMPORTEX EC</v>
      </c>
      <c r="AV98" s="65" t="str">
        <f>IFERROR(__xludf.DUMMYFUNCTION("""COMPUTED_VALUE"""),"6592266895404")</f>
        <v>6592266895404</v>
      </c>
      <c r="AW98" s="65">
        <f>IFERROR(__xludf.DUMMYFUNCTION("""COMPUTED_VALUE"""),6746.0)</f>
        <v>6746</v>
      </c>
      <c r="AX98" s="65"/>
      <c r="AY98" s="65" t="str">
        <f>IFERROR(__xludf.DUMMYFUNCTION("""COMPUTED_VALUE"""),"23/03/2026")</f>
        <v>23/03/2026</v>
      </c>
      <c r="AZ98" s="65"/>
      <c r="BA98" s="65"/>
    </row>
    <row r="99">
      <c r="A99" s="65" t="str">
        <f>IFERROR(__xludf.DUMMYFUNCTION("""COMPUTED_VALUE"""),"27-03-2026")</f>
        <v>27-03-2026</v>
      </c>
      <c r="B99" s="65">
        <f>IFERROR(__xludf.DUMMYFUNCTION("""COMPUTED_VALUE"""),4866055.0)</f>
        <v>4866055</v>
      </c>
      <c r="C99" s="65" t="str">
        <f>IFERROR(__xludf.DUMMYFUNCTION("""COMPUTED_VALUE"""),"07:57")</f>
        <v>07:57</v>
      </c>
      <c r="D99" s="65" t="str">
        <f>IFERROR(__xludf.DUMMYFUNCTION("""COMPUTED_VALUE"""),"21-03-2026")</f>
        <v>21-03-2026</v>
      </c>
      <c r="E99" s="65" t="str">
        <f>IFERROR(__xludf.DUMMYFUNCTION("""COMPUTED_VALUE"""),"Patricia Soto Soto")</f>
        <v>Patricia Soto Soto</v>
      </c>
      <c r="F99" s="65" t="str">
        <f>IFERROR(__xludf.DUMMYFUNCTION("""COMPUTED_VALUE"""),"983110578")</f>
        <v>983110578</v>
      </c>
      <c r="G99" s="65" t="str">
        <f>IFERROR(__xludf.DUMMYFUNCTION("""COMPUTED_VALUE"""),"nina16111979@hotmail.com")</f>
        <v>nina16111979@hotmail.com</v>
      </c>
      <c r="H99" s="65"/>
      <c r="I99" s="65"/>
      <c r="J99" s="65" t="str">
        <f>IFERROR(__xludf.DUMMYFUNCTION("""COMPUTED_VALUE"""),"D001445653")</f>
        <v>D001445653</v>
      </c>
      <c r="K99" s="65" t="str">
        <f>IFERROR(__xludf.DUMMYFUNCTION("""COMPUTED_VALUE"""),"NOVEDAD")</f>
        <v>NOVEDAD</v>
      </c>
      <c r="L99" s="65" t="str">
        <f>IFERROR(__xludf.DUMMYFUNCTION("""COMPUTED_VALUE"""),"CON RECAUDO")</f>
        <v>CON RECAUDO</v>
      </c>
      <c r="M99" s="65" t="str">
        <f>IFERROR(__xludf.DUMMYFUNCTION("""COMPUTED_VALUE"""),"PICHINCHA")</f>
        <v>PICHINCHA</v>
      </c>
      <c r="N99" s="65" t="str">
        <f>IFERROR(__xludf.DUMMYFUNCTION("""COMPUTED_VALUE"""),"QUITO")</f>
        <v>QUITO</v>
      </c>
      <c r="O99" s="65" t="str">
        <f>IFERROR(__xludf.DUMMYFUNCTION("""COMPUTED_VALUE"""),"Calle la Independencia y marcelina Nolivos, Conjunto La Joya, casa 32 - Pomasqui")</f>
        <v>Calle la Independencia y marcelina Nolivos, Conjunto La Joya, casa 32 - Pomasqui</v>
      </c>
      <c r="P99" s="65"/>
      <c r="Q99" s="65" t="str">
        <f>IFERROR(__xludf.DUMMYFUNCTION("""COMPUTED_VALUE"""),"GINTRACOM")</f>
        <v>GINTRACOM</v>
      </c>
      <c r="R99" s="65">
        <f>IFERROR(__xludf.DUMMYFUNCTION("""COMPUTED_VALUE"""),20.0)</f>
        <v>20</v>
      </c>
      <c r="S99" s="65"/>
      <c r="T99" s="65">
        <f>IFERROR(__xludf.DUMMYFUNCTION("""COMPUTED_VALUE"""),5.75)</f>
        <v>5.75</v>
      </c>
      <c r="U99" s="65">
        <f>IFERROR(__xludf.DUMMYFUNCTION("""COMPUTED_VALUE"""),0.0)</f>
        <v>0</v>
      </c>
      <c r="V99" s="65">
        <f>IFERROR(__xludf.DUMMYFUNCTION("""COMPUTED_VALUE"""),0.0)</f>
        <v>0</v>
      </c>
      <c r="W99" s="65">
        <f>IFERROR(__xludf.DUMMYFUNCTION("""COMPUTED_VALUE"""),0.0)</f>
        <v>0</v>
      </c>
      <c r="X99" s="65">
        <f>IFERROR(__xludf.DUMMYFUNCTION("""COMPUTED_VALUE"""),2.21)</f>
        <v>2.21</v>
      </c>
      <c r="Y99" s="65">
        <f>IFERROR(__xludf.DUMMYFUNCTION("""COMPUTED_VALUE"""),4.42)</f>
        <v>4.42</v>
      </c>
      <c r="Z99" s="65">
        <f>IFERROR(__xludf.DUMMYFUNCTION("""COMPUTED_VALUE"""),120732.0)</f>
        <v>120732</v>
      </c>
      <c r="AA99" s="65" t="str">
        <f>IFERROR(__xludf.DUMMYFUNCTION("""COMPUTED_VALUE"""),"PROV-LMPVT")</f>
        <v>PROV-LMPVT</v>
      </c>
      <c r="AB99" s="65"/>
      <c r="AC99" s="65" t="str">
        <f>IFERROR(__xludf.DUMMYFUNCTION("""COMPUTED_VALUE"""),"LIMPIADOR DE PARABRISAS Y VENTANAS")</f>
        <v>LIMPIADOR DE PARABRISAS Y VENTANAS</v>
      </c>
      <c r="AD99" s="65"/>
      <c r="AE99" s="65">
        <f>IFERROR(__xludf.DUMMYFUNCTION("""COMPUTED_VALUE"""),2.0)</f>
        <v>2</v>
      </c>
      <c r="AF99" s="65" t="str">
        <f>IFERROR(__xludf.DUMMYFUNCTION("""COMPUTED_VALUE"""),"DESTINATARIO NO CONTESTA LLAMADAS NI WHATSAPP")</f>
        <v>DESTINATARIO NO CONTESTA LLAMADAS NI WHATSAPP</v>
      </c>
      <c r="AG99" s="65" t="str">
        <f>IFERROR(__xludf.DUMMYFUNCTION("""COMPUTED_VALUE"""),"NO")</f>
        <v>NO</v>
      </c>
      <c r="AH99" s="65" t="str">
        <f>IFERROR(__xludf.DUMMYFUNCTION("""COMPUTED_VALUE"""),"22:29")</f>
        <v>22:29</v>
      </c>
      <c r="AI99" s="65" t="str">
        <f>IFERROR(__xludf.DUMMYFUNCTION("""COMPUTED_VALUE"""),"26-03-2026")</f>
        <v>26-03-2026</v>
      </c>
      <c r="AJ99" s="65"/>
      <c r="AK99" s="65"/>
      <c r="AL99" s="65"/>
      <c r="AM99" s="65"/>
      <c r="AN99" s="65" t="str">
        <f>IFERROR(__xludf.DUMMYFUNCTION("""COMPUTED_VALUE"""),"22:29")</f>
        <v>22:29</v>
      </c>
      <c r="AO99" s="65" t="str">
        <f>IFERROR(__xludf.DUMMYFUNCTION("""COMPUTED_VALUE"""),"26-03-2026")</f>
        <v>26-03-2026</v>
      </c>
      <c r="AP99" s="65" t="str">
        <f>IFERROR(__xludf.DUMMYFUNCTION("""COMPUTED_VALUE"""),"DESTINATARIO NO CONTESTA LLAMADAS NI WHATSAPP")</f>
        <v>DESTINATARIO NO CONTESTA LLAMADAS NI WHATSAPP</v>
      </c>
      <c r="AQ99" s="65" t="str">
        <f>IFERROR(__xludf.DUMMYFUNCTION("""COMPUTED_VALUE"""),"DESTINATARIO NO CONTESTA LLAMADAS NI WHATSAPP")</f>
        <v>DESTINATARIO NO CONTESTA LLAMADAS NI WHATSAPP</v>
      </c>
      <c r="AR99" s="65"/>
      <c r="AS99" s="65"/>
      <c r="AT99" s="65" t="str">
        <f>IFERROR(__xludf.DUMMYFUNCTION("""COMPUTED_VALUE"""),"SHOPIFY")</f>
        <v>SHOPIFY</v>
      </c>
      <c r="AU99" s="65" t="str">
        <f>IFERROR(__xludf.DUMMYFUNCTION("""COMPUTED_VALUE"""),"IMPORTEX EC")</f>
        <v>IMPORTEX EC</v>
      </c>
      <c r="AV99" s="65" t="str">
        <f>IFERROR(__xludf.DUMMYFUNCTION("""COMPUTED_VALUE"""),"6592154075180")</f>
        <v>6592154075180</v>
      </c>
      <c r="AW99" s="65">
        <f>IFERROR(__xludf.DUMMYFUNCTION("""COMPUTED_VALUE"""),6745.0)</f>
        <v>6745</v>
      </c>
      <c r="AX99" s="65"/>
      <c r="AY99" s="65" t="str">
        <f>IFERROR(__xludf.DUMMYFUNCTION("""COMPUTED_VALUE"""),"23/03/2026")</f>
        <v>23/03/2026</v>
      </c>
      <c r="AZ99" s="65"/>
      <c r="BA99" s="65"/>
    </row>
    <row r="100">
      <c r="A100" s="65" t="str">
        <f>IFERROR(__xludf.DUMMYFUNCTION("""COMPUTED_VALUE"""),"27-03-2026")</f>
        <v>27-03-2026</v>
      </c>
      <c r="B100" s="65">
        <f>IFERROR(__xludf.DUMMYFUNCTION("""COMPUTED_VALUE"""),4866054.0)</f>
        <v>4866054</v>
      </c>
      <c r="C100" s="65" t="str">
        <f>IFERROR(__xludf.DUMMYFUNCTION("""COMPUTED_VALUE"""),"07:57")</f>
        <v>07:57</v>
      </c>
      <c r="D100" s="65" t="str">
        <f>IFERROR(__xludf.DUMMYFUNCTION("""COMPUTED_VALUE"""),"21-03-2026")</f>
        <v>21-03-2026</v>
      </c>
      <c r="E100" s="65" t="str">
        <f>IFERROR(__xludf.DUMMYFUNCTION("""COMPUTED_VALUE"""),"Ricardo Carrera")</f>
        <v>Ricardo Carrera</v>
      </c>
      <c r="F100" s="65" t="str">
        <f>IFERROR(__xludf.DUMMYFUNCTION("""COMPUTED_VALUE"""),"989028651")</f>
        <v>989028651</v>
      </c>
      <c r="G100" s="65" t="str">
        <f>IFERROR(__xludf.DUMMYFUNCTION("""COMPUTED_VALUE"""),"ricardocarrerab@hotmail.com")</f>
        <v>ricardocarrerab@hotmail.com</v>
      </c>
      <c r="H100" s="65"/>
      <c r="I100" s="65"/>
      <c r="J100" s="65" t="str">
        <f>IFERROR(__xludf.DUMMYFUNCTION("""COMPUTED_VALUE"""),"D001445654")</f>
        <v>D001445654</v>
      </c>
      <c r="K100" s="65" t="str">
        <f>IFERROR(__xludf.DUMMYFUNCTION("""COMPUTED_VALUE"""),"EN REPARTO")</f>
        <v>EN REPARTO</v>
      </c>
      <c r="L100" s="65" t="str">
        <f>IFERROR(__xludf.DUMMYFUNCTION("""COMPUTED_VALUE"""),"CON RECAUDO")</f>
        <v>CON RECAUDO</v>
      </c>
      <c r="M100" s="65" t="str">
        <f>IFERROR(__xludf.DUMMYFUNCTION("""COMPUTED_VALUE"""),"GUAYAS")</f>
        <v>GUAYAS</v>
      </c>
      <c r="N100" s="65" t="str">
        <f>IFERROR(__xludf.DUMMYFUNCTION("""COMPUTED_VALUE"""),"GUAYAQUIL")</f>
        <v>GUAYAQUIL</v>
      </c>
      <c r="O100" s="65" t="str">
        <f>IFERROR(__xludf.DUMMYFUNCTION("""COMPUTED_VALUE"""),"Samanes 4 Etapa Mz 408 Villa 26 Esquina A Lado Del Parque Tarqui -")</f>
        <v>Samanes 4 Etapa Mz 408 Villa 26 Esquina A Lado Del Parque Tarqui -</v>
      </c>
      <c r="P100" s="65"/>
      <c r="Q100" s="65" t="str">
        <f>IFERROR(__xludf.DUMMYFUNCTION("""COMPUTED_VALUE"""),"GINTRACOM")</f>
        <v>GINTRACOM</v>
      </c>
      <c r="R100" s="65">
        <f>IFERROR(__xludf.DUMMYFUNCTION("""COMPUTED_VALUE"""),30.0)</f>
        <v>30</v>
      </c>
      <c r="S100" s="65"/>
      <c r="T100" s="65">
        <f>IFERROR(__xludf.DUMMYFUNCTION("""COMPUTED_VALUE"""),4.55)</f>
        <v>4.55</v>
      </c>
      <c r="U100" s="65">
        <f>IFERROR(__xludf.DUMMYFUNCTION("""COMPUTED_VALUE"""),0.0)</f>
        <v>0</v>
      </c>
      <c r="V100" s="65">
        <f>IFERROR(__xludf.DUMMYFUNCTION("""COMPUTED_VALUE"""),0.0)</f>
        <v>0</v>
      </c>
      <c r="W100" s="65">
        <f>IFERROR(__xludf.DUMMYFUNCTION("""COMPUTED_VALUE"""),0.0)</f>
        <v>0</v>
      </c>
      <c r="X100" s="65">
        <f>IFERROR(__xludf.DUMMYFUNCTION("""COMPUTED_VALUE"""),2.21)</f>
        <v>2.21</v>
      </c>
      <c r="Y100" s="65">
        <f>IFERROR(__xludf.DUMMYFUNCTION("""COMPUTED_VALUE"""),8.84)</f>
        <v>8.84</v>
      </c>
      <c r="Z100" s="65">
        <f>IFERROR(__xludf.DUMMYFUNCTION("""COMPUTED_VALUE"""),120732.0)</f>
        <v>120732</v>
      </c>
      <c r="AA100" s="65" t="str">
        <f>IFERROR(__xludf.DUMMYFUNCTION("""COMPUTED_VALUE"""),"PROV-LMPVT")</f>
        <v>PROV-LMPVT</v>
      </c>
      <c r="AB100" s="65"/>
      <c r="AC100" s="65" t="str">
        <f>IFERROR(__xludf.DUMMYFUNCTION("""COMPUTED_VALUE"""),"LIMPIADOR DE PARABRISAS Y VENTANAS")</f>
        <v>LIMPIADOR DE PARABRISAS Y VENTANAS</v>
      </c>
      <c r="AD100" s="65"/>
      <c r="AE100" s="65">
        <f>IFERROR(__xludf.DUMMYFUNCTION("""COMPUTED_VALUE"""),4.0)</f>
        <v>4</v>
      </c>
      <c r="AF100" s="65" t="str">
        <f>IFERROR(__xludf.DUMMYFUNCTION("""COMPUTED_VALUE"""),"DESTINATARIO NO CONTESTA LLAMADAS NI WHATSAPP")</f>
        <v>DESTINATARIO NO CONTESTA LLAMADAS NI WHATSAPP</v>
      </c>
      <c r="AG100" s="65" t="str">
        <f>IFERROR(__xludf.DUMMYFUNCTION("""COMPUTED_VALUE"""),"SI")</f>
        <v>SI</v>
      </c>
      <c r="AH100" s="65" t="str">
        <f>IFERROR(__xludf.DUMMYFUNCTION("""COMPUTED_VALUE"""),"15:45")</f>
        <v>15:45</v>
      </c>
      <c r="AI100" s="65" t="str">
        <f>IFERROR(__xludf.DUMMYFUNCTION("""COMPUTED_VALUE"""),"24-03-2026")</f>
        <v>24-03-2026</v>
      </c>
      <c r="AJ100" s="65" t="str">
        <f>IFERROR(__xludf.DUMMYFUNCTION("""COMPUTED_VALUE"""),"El cliente requiere entrega inmediata; por favor, coordinar directamente con él para concretar la entrega.")</f>
        <v>El cliente requiere entrega inmediata; por favor, coordinar directamente con él para concretar la entrega.</v>
      </c>
      <c r="AK100" s="65" t="str">
        <f>IFERROR(__xludf.DUMMYFUNCTION("""COMPUTED_VALUE"""),"10:51")</f>
        <v>10:51</v>
      </c>
      <c r="AL100" s="65" t="str">
        <f>IFERROR(__xludf.DUMMYFUNCTION("""COMPUTED_VALUE"""),"25-03-2026")</f>
        <v>25-03-2026</v>
      </c>
      <c r="AM100" s="65"/>
      <c r="AN100" s="65" t="str">
        <f>IFERROR(__xludf.DUMMYFUNCTION("""COMPUTED_VALUE"""),"08:09")</f>
        <v>08:09</v>
      </c>
      <c r="AO100" s="65" t="str">
        <f>IFERROR(__xludf.DUMMYFUNCTION("""COMPUTED_VALUE"""),"27-03-2026")</f>
        <v>27-03-2026</v>
      </c>
      <c r="AP100" s="65" t="str">
        <f>IFERROR(__xludf.DUMMYFUNCTION("""COMPUTED_VALUE"""),"EN REPARTO")</f>
        <v>EN REPARTO</v>
      </c>
      <c r="AQ100" s="65" t="str">
        <f>IFERROR(__xludf.DUMMYFUNCTION("""COMPUTED_VALUE"""),"EN REPARTO")</f>
        <v>EN REPARTO</v>
      </c>
      <c r="AR100" s="65"/>
      <c r="AS100" s="65"/>
      <c r="AT100" s="65" t="str">
        <f>IFERROR(__xludf.DUMMYFUNCTION("""COMPUTED_VALUE"""),"SHOPIFY")</f>
        <v>SHOPIFY</v>
      </c>
      <c r="AU100" s="65" t="str">
        <f>IFERROR(__xludf.DUMMYFUNCTION("""COMPUTED_VALUE"""),"IMPORTEX EC")</f>
        <v>IMPORTEX EC</v>
      </c>
      <c r="AV100" s="65" t="str">
        <f>IFERROR(__xludf.DUMMYFUNCTION("""COMPUTED_VALUE"""),"6592110559276")</f>
        <v>6592110559276</v>
      </c>
      <c r="AW100" s="65">
        <f>IFERROR(__xludf.DUMMYFUNCTION("""COMPUTED_VALUE"""),6744.0)</f>
        <v>6744</v>
      </c>
      <c r="AX100" s="65"/>
      <c r="AY100" s="65" t="str">
        <f>IFERROR(__xludf.DUMMYFUNCTION("""COMPUTED_VALUE"""),"23/03/2026")</f>
        <v>23/03/2026</v>
      </c>
      <c r="AZ100" s="65"/>
      <c r="BA100" s="65"/>
    </row>
    <row r="101">
      <c r="A101" s="65" t="str">
        <f>IFERROR(__xludf.DUMMYFUNCTION("""COMPUTED_VALUE"""),"27-03-2026")</f>
        <v>27-03-2026</v>
      </c>
      <c r="B101" s="65">
        <f>IFERROR(__xludf.DUMMYFUNCTION("""COMPUTED_VALUE"""),4848259.0)</f>
        <v>4848259</v>
      </c>
      <c r="C101" s="65" t="str">
        <f>IFERROR(__xludf.DUMMYFUNCTION("""COMPUTED_VALUE"""),"11:08")</f>
        <v>11:08</v>
      </c>
      <c r="D101" s="65" t="str">
        <f>IFERROR(__xludf.DUMMYFUNCTION("""COMPUTED_VALUE"""),"19-03-2026")</f>
        <v>19-03-2026</v>
      </c>
      <c r="E101" s="65" t="str">
        <f>IFERROR(__xludf.DUMMYFUNCTION("""COMPUTED_VALUE"""),"Cesar Galarza")</f>
        <v>Cesar Galarza</v>
      </c>
      <c r="F101" s="65" t="str">
        <f>IFERROR(__xludf.DUMMYFUNCTION("""COMPUTED_VALUE"""),"981126645")</f>
        <v>981126645</v>
      </c>
      <c r="G101" s="65"/>
      <c r="H101" s="65"/>
      <c r="I101" s="65"/>
      <c r="J101" s="65" t="str">
        <f>IFERROR(__xludf.DUMMYFUNCTION("""COMPUTED_VALUE"""),"185014312")</f>
        <v>185014312</v>
      </c>
      <c r="K101" s="65" t="str">
        <f>IFERROR(__xludf.DUMMYFUNCTION("""COMPUTED_VALUE"""),"PARA RETIRO EN AGENCIA SERVIENTREGA")</f>
        <v>PARA RETIRO EN AGENCIA SERVIENTREGA</v>
      </c>
      <c r="L101" s="65" t="str">
        <f>IFERROR(__xludf.DUMMYFUNCTION("""COMPUTED_VALUE"""),"CON RECAUDO")</f>
        <v>CON RECAUDO</v>
      </c>
      <c r="M101" s="65" t="str">
        <f>IFERROR(__xludf.DUMMYFUNCTION("""COMPUTED_VALUE"""),"TUNGURAHUA")</f>
        <v>TUNGURAHUA</v>
      </c>
      <c r="N101" s="65" t="str">
        <f>IFERROR(__xludf.DUMMYFUNCTION("""COMPUTED_VALUE"""),"AMBATO")</f>
        <v>AMBATO</v>
      </c>
      <c r="O101" s="65" t="str">
        <f>IFERROR(__xludf.DUMMYFUNCTION("""COMPUTED_VALUE"""),"RETIRA EN CS: AMBATO SANTA ROSA, VIA GUARANDA S/N Y VIA A ECUATRAN")</f>
        <v>RETIRA EN CS: AMBATO SANTA ROSA, VIA GUARANDA S/N Y VIA A ECUATRAN</v>
      </c>
      <c r="P101" s="65"/>
      <c r="Q101" s="65" t="str">
        <f>IFERROR(__xludf.DUMMYFUNCTION("""COMPUTED_VALUE"""),"SERVIENTREGA")</f>
        <v>SERVIENTREGA</v>
      </c>
      <c r="R101" s="65">
        <f>IFERROR(__xludf.DUMMYFUNCTION("""COMPUTED_VALUE"""),30.0)</f>
        <v>30</v>
      </c>
      <c r="S101" s="65"/>
      <c r="T101" s="65">
        <f>IFERROR(__xludf.DUMMYFUNCTION("""COMPUTED_VALUE"""),6.12)</f>
        <v>6.12</v>
      </c>
      <c r="U101" s="65">
        <f>IFERROR(__xludf.DUMMYFUNCTION("""COMPUTED_VALUE"""),0.0)</f>
        <v>0</v>
      </c>
      <c r="V101" s="65">
        <f>IFERROR(__xludf.DUMMYFUNCTION("""COMPUTED_VALUE"""),0.0)</f>
        <v>0</v>
      </c>
      <c r="W101" s="65">
        <f>IFERROR(__xludf.DUMMYFUNCTION("""COMPUTED_VALUE"""),0.0)</f>
        <v>0</v>
      </c>
      <c r="X101" s="65">
        <f>IFERROR(__xludf.DUMMYFUNCTION("""COMPUTED_VALUE"""),2.35)</f>
        <v>2.35</v>
      </c>
      <c r="Y101" s="65">
        <f>IFERROR(__xludf.DUMMYFUNCTION("""COMPUTED_VALUE"""),7.05)</f>
        <v>7.05</v>
      </c>
      <c r="Z101" s="65">
        <f>IFERROR(__xludf.DUMMYFUNCTION("""COMPUTED_VALUE"""),116679.0)</f>
        <v>116679</v>
      </c>
      <c r="AA101" s="65" t="str">
        <f>IFERROR(__xludf.DUMMYFUNCTION("""COMPUTED_VALUE"""),"AMC-2738")</f>
        <v>AMC-2738</v>
      </c>
      <c r="AB101" s="65"/>
      <c r="AC101" s="65" t="str">
        <f>IFERROR(__xludf.DUMMYFUNCTION("""COMPUTED_VALUE"""),"ESPONJA ANTILLUVIA DE PARABRISAS")</f>
        <v>ESPONJA ANTILLUVIA DE PARABRISAS</v>
      </c>
      <c r="AD101" s="65"/>
      <c r="AE101" s="65">
        <f>IFERROR(__xludf.DUMMYFUNCTION("""COMPUTED_VALUE"""),3.0)</f>
        <v>3</v>
      </c>
      <c r="AF101" s="65"/>
      <c r="AG101" s="65"/>
      <c r="AH101" s="65"/>
      <c r="AI101" s="65"/>
      <c r="AJ101" s="65"/>
      <c r="AK101" s="65"/>
      <c r="AL101" s="65"/>
      <c r="AM101" s="65"/>
      <c r="AN101" s="65" t="str">
        <f>IFERROR(__xludf.DUMMYFUNCTION("""COMPUTED_VALUE"""),"10:12")</f>
        <v>10:12</v>
      </c>
      <c r="AO101" s="65" t="str">
        <f>IFERROR(__xludf.DUMMYFUNCTION("""COMPUTED_VALUE"""),"21-03-2026")</f>
        <v>21-03-2026</v>
      </c>
      <c r="AP101" s="65" t="str">
        <f>IFERROR(__xludf.DUMMYFUNCTION("""COMPUTED_VALUE"""),"INGRESANDO EN AGENCIA")</f>
        <v>INGRESANDO EN AGENCIA</v>
      </c>
      <c r="AQ101" s="65" t="str">
        <f>IFERROR(__xludf.DUMMYFUNCTION("""COMPUTED_VALUE"""),".")</f>
        <v>.</v>
      </c>
      <c r="AR101" s="65"/>
      <c r="AS101" s="65"/>
      <c r="AT101" s="65" t="str">
        <f>IFERROR(__xludf.DUMMYFUNCTION("""COMPUTED_VALUE"""),"CHATEA PRO")</f>
        <v>CHATEA PRO</v>
      </c>
      <c r="AU101" s="65" t="str">
        <f>IFERROR(__xludf.DUMMYFUNCTION("""COMPUTED_VALUE"""),"CHATEA PRO")</f>
        <v>CHATEA PRO</v>
      </c>
      <c r="AV101" s="65"/>
      <c r="AW101" s="65"/>
      <c r="AX101" s="65"/>
      <c r="AY101" s="65" t="str">
        <f>IFERROR(__xludf.DUMMYFUNCTION("""COMPUTED_VALUE"""),"20/03/2026")</f>
        <v>20/03/2026</v>
      </c>
      <c r="AZ101" s="65"/>
      <c r="BA101" s="65"/>
    </row>
    <row r="102">
      <c r="A102" s="65" t="str">
        <f>IFERROR(__xludf.DUMMYFUNCTION("""COMPUTED_VALUE"""),"27-03-2026")</f>
        <v>27-03-2026</v>
      </c>
      <c r="B102" s="65">
        <f>IFERROR(__xludf.DUMMYFUNCTION("""COMPUTED_VALUE"""),4845663.0)</f>
        <v>4845663</v>
      </c>
      <c r="C102" s="65" t="str">
        <f>IFERROR(__xludf.DUMMYFUNCTION("""COMPUTED_VALUE"""),"05:38")</f>
        <v>05:38</v>
      </c>
      <c r="D102" s="65" t="str">
        <f>IFERROR(__xludf.DUMMYFUNCTION("""COMPUTED_VALUE"""),"19-03-2026")</f>
        <v>19-03-2026</v>
      </c>
      <c r="E102" s="65" t="str">
        <f>IFERROR(__xludf.DUMMYFUNCTION("""COMPUTED_VALUE"""),"Cesar Ayala")</f>
        <v>Cesar Ayala</v>
      </c>
      <c r="F102" s="65" t="str">
        <f>IFERROR(__xludf.DUMMYFUNCTION("""COMPUTED_VALUE"""),"998695329")</f>
        <v>998695329</v>
      </c>
      <c r="G102" s="65" t="str">
        <f>IFERROR(__xludf.DUMMYFUNCTION("""COMPUTED_VALUE"""),"cgayala91@gmail.com")</f>
        <v>cgayala91@gmail.com</v>
      </c>
      <c r="H102" s="65"/>
      <c r="I102" s="65"/>
      <c r="J102" s="65" t="str">
        <f>IFERROR(__xludf.DUMMYFUNCTION("""COMPUTED_VALUE"""),"D001435699")</f>
        <v>D001435699</v>
      </c>
      <c r="K102" s="65" t="str">
        <f>IFERROR(__xludf.DUMMYFUNCTION("""COMPUTED_VALUE"""),"ENTREGADO")</f>
        <v>ENTREGADO</v>
      </c>
      <c r="L102" s="65" t="str">
        <f>IFERROR(__xludf.DUMMYFUNCTION("""COMPUTED_VALUE"""),"CON RECAUDO")</f>
        <v>CON RECAUDO</v>
      </c>
      <c r="M102" s="65" t="str">
        <f>IFERROR(__xludf.DUMMYFUNCTION("""COMPUTED_VALUE"""),"PICHINCHA")</f>
        <v>PICHINCHA</v>
      </c>
      <c r="N102" s="65" t="str">
        <f>IFERROR(__xludf.DUMMYFUNCTION("""COMPUTED_VALUE"""),"CUMBAYA")</f>
        <v>CUMBAYA</v>
      </c>
      <c r="O102" s="65" t="str">
        <f>IFERROR(__xludf.DUMMYFUNCTION("""COMPUTED_VALUE"""),"Pasaje San Marcos y via a Santa Ines - Conjunto Alcalá de henares, Casa numero 11")</f>
        <v>Pasaje San Marcos y via a Santa Ines - Conjunto Alcalá de henares, Casa numero 11</v>
      </c>
      <c r="P102" s="65"/>
      <c r="Q102" s="65" t="str">
        <f>IFERROR(__xludf.DUMMYFUNCTION("""COMPUTED_VALUE"""),"GINTRACOM")</f>
        <v>GINTRACOM</v>
      </c>
      <c r="R102" s="65">
        <f>IFERROR(__xludf.DUMMYFUNCTION("""COMPUTED_VALUE"""),30.0)</f>
        <v>30</v>
      </c>
      <c r="S102" s="65">
        <f>IFERROR(__xludf.DUMMYFUNCTION("""COMPUTED_VALUE"""),15.48)</f>
        <v>15.48</v>
      </c>
      <c r="T102" s="65">
        <f>IFERROR(__xludf.DUMMYFUNCTION("""COMPUTED_VALUE"""),5.12)</f>
        <v>5.12</v>
      </c>
      <c r="U102" s="65">
        <f>IFERROR(__xludf.DUMMYFUNCTION("""COMPUTED_VALUE"""),0.0)</f>
        <v>0</v>
      </c>
      <c r="V102" s="65">
        <f>IFERROR(__xludf.DUMMYFUNCTION("""COMPUTED_VALUE"""),0.0)</f>
        <v>0</v>
      </c>
      <c r="W102" s="65">
        <f>IFERROR(__xludf.DUMMYFUNCTION("""COMPUTED_VALUE"""),0.0)</f>
        <v>0</v>
      </c>
      <c r="X102" s="65">
        <f>IFERROR(__xludf.DUMMYFUNCTION("""COMPUTED_VALUE"""),2.35)</f>
        <v>2.35</v>
      </c>
      <c r="Y102" s="65">
        <f>IFERROR(__xludf.DUMMYFUNCTION("""COMPUTED_VALUE"""),9.4)</f>
        <v>9.4</v>
      </c>
      <c r="Z102" s="65">
        <f>IFERROR(__xludf.DUMMYFUNCTION("""COMPUTED_VALUE"""),116679.0)</f>
        <v>116679</v>
      </c>
      <c r="AA102" s="65" t="str">
        <f>IFERROR(__xludf.DUMMYFUNCTION("""COMPUTED_VALUE"""),"AMC-2738")</f>
        <v>AMC-2738</v>
      </c>
      <c r="AB102" s="65"/>
      <c r="AC102" s="65" t="str">
        <f>IFERROR(__xludf.DUMMYFUNCTION("""COMPUTED_VALUE"""),"ESPONJA ANTILLUVIA DE PARABRISAS")</f>
        <v>ESPONJA ANTILLUVIA DE PARABRISAS</v>
      </c>
      <c r="AD102" s="65"/>
      <c r="AE102" s="65">
        <f>IFERROR(__xludf.DUMMYFUNCTION("""COMPUTED_VALUE"""),4.0)</f>
        <v>4</v>
      </c>
      <c r="AF102" s="65"/>
      <c r="AG102" s="65"/>
      <c r="AH102" s="65"/>
      <c r="AI102" s="65"/>
      <c r="AJ102" s="65"/>
      <c r="AK102" s="65"/>
      <c r="AL102" s="65"/>
      <c r="AM102" s="65"/>
      <c r="AN102" s="65" t="str">
        <f>IFERROR(__xludf.DUMMYFUNCTION("""COMPUTED_VALUE"""),"12:12")</f>
        <v>12:12</v>
      </c>
      <c r="AO102" s="65" t="str">
        <f>IFERROR(__xludf.DUMMYFUNCTION("""COMPUTED_VALUE"""),"24-03-2026")</f>
        <v>24-03-2026</v>
      </c>
      <c r="AP102" s="65" t="str">
        <f>IFERROR(__xludf.DUMMYFUNCTION("""COMPUTED_VALUE"""),"ENTREGADA GINTRACOM")</f>
        <v>ENTREGADA GINTRACOM</v>
      </c>
      <c r="AQ102" s="65" t="str">
        <f>IFERROR(__xludf.DUMMYFUNCTION("""COMPUTED_VALUE"""),"ENTREGADA GINTRACOM")</f>
        <v>ENTREGADA GINTRACOM</v>
      </c>
      <c r="AR102" s="65"/>
      <c r="AS102" s="65"/>
      <c r="AT102" s="65" t="str">
        <f>IFERROR(__xludf.DUMMYFUNCTION("""COMPUTED_VALUE"""),"SHOPIFY")</f>
        <v>SHOPIFY</v>
      </c>
      <c r="AU102" s="65" t="str">
        <f>IFERROR(__xludf.DUMMYFUNCTION("""COMPUTED_VALUE"""),"IMPORTEX EC")</f>
        <v>IMPORTEX EC</v>
      </c>
      <c r="AV102" s="65" t="str">
        <f>IFERROR(__xludf.DUMMYFUNCTION("""COMPUTED_VALUE"""),"6588964601900")</f>
        <v>6588964601900</v>
      </c>
      <c r="AW102" s="65">
        <f>IFERROR(__xludf.DUMMYFUNCTION("""COMPUTED_VALUE"""),6743.0)</f>
        <v>6743</v>
      </c>
      <c r="AX102" s="65"/>
      <c r="AY102" s="65" t="str">
        <f>IFERROR(__xludf.DUMMYFUNCTION("""COMPUTED_VALUE"""),"20/03/2026")</f>
        <v>20/03/2026</v>
      </c>
      <c r="AZ102" s="65"/>
      <c r="BA102" s="65"/>
    </row>
    <row r="103">
      <c r="A103" s="65" t="str">
        <f>IFERROR(__xludf.DUMMYFUNCTION("""COMPUTED_VALUE"""),"27-03-2026")</f>
        <v>27-03-2026</v>
      </c>
      <c r="B103" s="65">
        <f>IFERROR(__xludf.DUMMYFUNCTION("""COMPUTED_VALUE"""),4844193.0)</f>
        <v>4844193</v>
      </c>
      <c r="C103" s="65" t="str">
        <f>IFERROR(__xludf.DUMMYFUNCTION("""COMPUTED_VALUE"""),"22:12")</f>
        <v>22:12</v>
      </c>
      <c r="D103" s="65" t="str">
        <f>IFERROR(__xludf.DUMMYFUNCTION("""COMPUTED_VALUE"""),"18-03-2026")</f>
        <v>18-03-2026</v>
      </c>
      <c r="E103" s="65" t="str">
        <f>IFERROR(__xludf.DUMMYFUNCTION("""COMPUTED_VALUE"""),"Denture Rosendo")</f>
        <v>Denture Rosendo</v>
      </c>
      <c r="F103" s="65" t="str">
        <f>IFERROR(__xludf.DUMMYFUNCTION("""COMPUTED_VALUE"""),"992149916")</f>
        <v>992149916</v>
      </c>
      <c r="G103" s="65" t="str">
        <f>IFERROR(__xludf.DUMMYFUNCTION("""COMPUTED_VALUE"""),"sheluha@yahoo.es")</f>
        <v>sheluha@yahoo.es</v>
      </c>
      <c r="H103" s="65"/>
      <c r="I103" s="65"/>
      <c r="J103" s="65" t="str">
        <f>IFERROR(__xludf.DUMMYFUNCTION("""COMPUTED_VALUE"""),"D001436701")</f>
        <v>D001436701</v>
      </c>
      <c r="K103" s="65" t="str">
        <f>IFERROR(__xludf.DUMMYFUNCTION("""COMPUTED_VALUE"""),"ENTREGADO")</f>
        <v>ENTREGADO</v>
      </c>
      <c r="L103" s="65" t="str">
        <f>IFERROR(__xludf.DUMMYFUNCTION("""COMPUTED_VALUE"""),"CON RECAUDO")</f>
        <v>CON RECAUDO</v>
      </c>
      <c r="M103" s="65" t="str">
        <f>IFERROR(__xludf.DUMMYFUNCTION("""COMPUTED_VALUE"""),"NAPO")</f>
        <v>NAPO</v>
      </c>
      <c r="N103" s="65" t="str">
        <f>IFERROR(__xludf.DUMMYFUNCTION("""COMPUTED_VALUE"""),"ARCHIDONA")</f>
        <v>ARCHIDONA</v>
      </c>
      <c r="O103" s="65" t="str">
        <f>IFERROR(__xludf.DUMMYFUNCTION("""COMPUTED_VALUE"""),"Av Rocafuerte y Napo,  Hospilal Stadler Richerd - Archidona")</f>
        <v>Av Rocafuerte y Napo,  Hospilal Stadler Richerd - Archidona</v>
      </c>
      <c r="P103" s="65"/>
      <c r="Q103" s="65" t="str">
        <f>IFERROR(__xludf.DUMMYFUNCTION("""COMPUTED_VALUE"""),"GINTRACOM")</f>
        <v>GINTRACOM</v>
      </c>
      <c r="R103" s="65">
        <f>IFERROR(__xludf.DUMMYFUNCTION("""COMPUTED_VALUE"""),30.0)</f>
        <v>30</v>
      </c>
      <c r="S103" s="65">
        <f>IFERROR(__xludf.DUMMYFUNCTION("""COMPUTED_VALUE"""),16.22)</f>
        <v>16.22</v>
      </c>
      <c r="T103" s="65">
        <f>IFERROR(__xludf.DUMMYFUNCTION("""COMPUTED_VALUE"""),6.73)</f>
        <v>6.73</v>
      </c>
      <c r="U103" s="65">
        <f>IFERROR(__xludf.DUMMYFUNCTION("""COMPUTED_VALUE"""),0.0)</f>
        <v>0</v>
      </c>
      <c r="V103" s="65">
        <f>IFERROR(__xludf.DUMMYFUNCTION("""COMPUTED_VALUE"""),0.0)</f>
        <v>0</v>
      </c>
      <c r="W103" s="65">
        <f>IFERROR(__xludf.DUMMYFUNCTION("""COMPUTED_VALUE"""),0.0)</f>
        <v>0</v>
      </c>
      <c r="X103" s="65">
        <f>IFERROR(__xludf.DUMMYFUNCTION("""COMPUTED_VALUE"""),2.35)</f>
        <v>2.35</v>
      </c>
      <c r="Y103" s="65">
        <f>IFERROR(__xludf.DUMMYFUNCTION("""COMPUTED_VALUE"""),7.05)</f>
        <v>7.05</v>
      </c>
      <c r="Z103" s="65">
        <f>IFERROR(__xludf.DUMMYFUNCTION("""COMPUTED_VALUE"""),116679.0)</f>
        <v>116679</v>
      </c>
      <c r="AA103" s="65" t="str">
        <f>IFERROR(__xludf.DUMMYFUNCTION("""COMPUTED_VALUE"""),"AMC-2738")</f>
        <v>AMC-2738</v>
      </c>
      <c r="AB103" s="65"/>
      <c r="AC103" s="65" t="str">
        <f>IFERROR(__xludf.DUMMYFUNCTION("""COMPUTED_VALUE"""),"ESPONJA ANTILLUVIA DE PARABRISAS")</f>
        <v>ESPONJA ANTILLUVIA DE PARABRISAS</v>
      </c>
      <c r="AD103" s="65"/>
      <c r="AE103" s="65">
        <f>IFERROR(__xludf.DUMMYFUNCTION("""COMPUTED_VALUE"""),3.0)</f>
        <v>3</v>
      </c>
      <c r="AF103" s="65"/>
      <c r="AG103" s="65"/>
      <c r="AH103" s="65"/>
      <c r="AI103" s="65"/>
      <c r="AJ103" s="65"/>
      <c r="AK103" s="65"/>
      <c r="AL103" s="65"/>
      <c r="AM103" s="65"/>
      <c r="AN103" s="65" t="str">
        <f>IFERROR(__xludf.DUMMYFUNCTION("""COMPUTED_VALUE"""),"17:56")</f>
        <v>17:56</v>
      </c>
      <c r="AO103" s="65" t="str">
        <f>IFERROR(__xludf.DUMMYFUNCTION("""COMPUTED_VALUE"""),"26-03-2026")</f>
        <v>26-03-2026</v>
      </c>
      <c r="AP103" s="65" t="str">
        <f>IFERROR(__xludf.DUMMYFUNCTION("""COMPUTED_VALUE"""),"ENTREGADA GINTRACOM")</f>
        <v>ENTREGADA GINTRACOM</v>
      </c>
      <c r="AQ103" s="65" t="str">
        <f>IFERROR(__xludf.DUMMYFUNCTION("""COMPUTED_VALUE"""),"ENTREGADA GINTRACOM")</f>
        <v>ENTREGADA GINTRACOM</v>
      </c>
      <c r="AR103" s="65"/>
      <c r="AS103" s="65"/>
      <c r="AT103" s="65" t="str">
        <f>IFERROR(__xludf.DUMMYFUNCTION("""COMPUTED_VALUE"""),"SHOPIFY")</f>
        <v>SHOPIFY</v>
      </c>
      <c r="AU103" s="65" t="str">
        <f>IFERROR(__xludf.DUMMYFUNCTION("""COMPUTED_VALUE"""),"IMPORTEX EC")</f>
        <v>IMPORTEX EC</v>
      </c>
      <c r="AV103" s="65" t="str">
        <f>IFERROR(__xludf.DUMMYFUNCTION("""COMPUTED_VALUE"""),"6588536586284")</f>
        <v>6588536586284</v>
      </c>
      <c r="AW103" s="65">
        <f>IFERROR(__xludf.DUMMYFUNCTION("""COMPUTED_VALUE"""),6742.0)</f>
        <v>6742</v>
      </c>
      <c r="AX103" s="65"/>
      <c r="AY103" s="65" t="str">
        <f>IFERROR(__xludf.DUMMYFUNCTION("""COMPUTED_VALUE"""),"20/03/2026")</f>
        <v>20/03/2026</v>
      </c>
      <c r="AZ103" s="65"/>
      <c r="BA103" s="65"/>
    </row>
    <row r="104">
      <c r="A104" s="65" t="str">
        <f>IFERROR(__xludf.DUMMYFUNCTION("""COMPUTED_VALUE"""),"27-03-2026")</f>
        <v>27-03-2026</v>
      </c>
      <c r="B104" s="65">
        <f>IFERROR(__xludf.DUMMYFUNCTION("""COMPUTED_VALUE"""),4843973.0)</f>
        <v>4843973</v>
      </c>
      <c r="C104" s="65" t="str">
        <f>IFERROR(__xludf.DUMMYFUNCTION("""COMPUTED_VALUE"""),"21:53")</f>
        <v>21:53</v>
      </c>
      <c r="D104" s="65" t="str">
        <f>IFERROR(__xludf.DUMMYFUNCTION("""COMPUTED_VALUE"""),"18-03-2026")</f>
        <v>18-03-2026</v>
      </c>
      <c r="E104" s="65" t="str">
        <f>IFERROR(__xludf.DUMMYFUNCTION("""COMPUTED_VALUE"""),"Monica Miño Miño")</f>
        <v>Monica Miño Miño</v>
      </c>
      <c r="F104" s="65" t="str">
        <f>IFERROR(__xludf.DUMMYFUNCTION("""COMPUTED_VALUE"""),"998090023")</f>
        <v>998090023</v>
      </c>
      <c r="G104" s="65" t="str">
        <f>IFERROR(__xludf.DUMMYFUNCTION("""COMPUTED_VALUE"""),"ventas1@tmgfabricantes.com")</f>
        <v>ventas1@tmgfabricantes.com</v>
      </c>
      <c r="H104" s="65"/>
      <c r="I104" s="65"/>
      <c r="J104" s="65" t="str">
        <f>IFERROR(__xludf.DUMMYFUNCTION("""COMPUTED_VALUE"""),"D001436073")</f>
        <v>D001436073</v>
      </c>
      <c r="K104" s="65" t="str">
        <f>IFERROR(__xludf.DUMMYFUNCTION("""COMPUTED_VALUE"""),"ENTREGADO")</f>
        <v>ENTREGADO</v>
      </c>
      <c r="L104" s="65" t="str">
        <f>IFERROR(__xludf.DUMMYFUNCTION("""COMPUTED_VALUE"""),"CON RECAUDO")</f>
        <v>CON RECAUDO</v>
      </c>
      <c r="M104" s="65" t="str">
        <f>IFERROR(__xludf.DUMMYFUNCTION("""COMPUTED_VALUE"""),"PICHINCHA")</f>
        <v>PICHINCHA</v>
      </c>
      <c r="N104" s="65" t="str">
        <f>IFERROR(__xludf.DUMMYFUNCTION("""COMPUTED_VALUE"""),"QUITO")</f>
        <v>QUITO</v>
      </c>
      <c r="O104" s="65" t="str">
        <f>IFERROR(__xludf.DUMMYFUNCTION("""COMPUTED_VALUE"""),"Calle Quitus Oe2 392 y Princesa Toa, sector la Magdalena,  casa verde 4 pisos - Quito")</f>
        <v>Calle Quitus Oe2 392 y Princesa Toa, sector la Magdalena,  casa verde 4 pisos - Quito</v>
      </c>
      <c r="P104" s="65"/>
      <c r="Q104" s="65" t="str">
        <f>IFERROR(__xludf.DUMMYFUNCTION("""COMPUTED_VALUE"""),"GINTRACOM")</f>
        <v>GINTRACOM</v>
      </c>
      <c r="R104" s="65">
        <f>IFERROR(__xludf.DUMMYFUNCTION("""COMPUTED_VALUE"""),30.0)</f>
        <v>30</v>
      </c>
      <c r="S104" s="65">
        <f>IFERROR(__xludf.DUMMYFUNCTION("""COMPUTED_VALUE"""),18.4)</f>
        <v>18.4</v>
      </c>
      <c r="T104" s="65">
        <f>IFERROR(__xludf.DUMMYFUNCTION("""COMPUTED_VALUE"""),4.55)</f>
        <v>4.55</v>
      </c>
      <c r="U104" s="65">
        <f>IFERROR(__xludf.DUMMYFUNCTION("""COMPUTED_VALUE"""),0.0)</f>
        <v>0</v>
      </c>
      <c r="V104" s="65">
        <f>IFERROR(__xludf.DUMMYFUNCTION("""COMPUTED_VALUE"""),0.0)</f>
        <v>0</v>
      </c>
      <c r="W104" s="65">
        <f>IFERROR(__xludf.DUMMYFUNCTION("""COMPUTED_VALUE"""),0.0)</f>
        <v>0</v>
      </c>
      <c r="X104" s="65">
        <f>IFERROR(__xludf.DUMMYFUNCTION("""COMPUTED_VALUE"""),2.35)</f>
        <v>2.35</v>
      </c>
      <c r="Y104" s="65">
        <f>IFERROR(__xludf.DUMMYFUNCTION("""COMPUTED_VALUE"""),7.05)</f>
        <v>7.05</v>
      </c>
      <c r="Z104" s="65">
        <f>IFERROR(__xludf.DUMMYFUNCTION("""COMPUTED_VALUE"""),116679.0)</f>
        <v>116679</v>
      </c>
      <c r="AA104" s="65" t="str">
        <f>IFERROR(__xludf.DUMMYFUNCTION("""COMPUTED_VALUE"""),"AMC-2738")</f>
        <v>AMC-2738</v>
      </c>
      <c r="AB104" s="65"/>
      <c r="AC104" s="65" t="str">
        <f>IFERROR(__xludf.DUMMYFUNCTION("""COMPUTED_VALUE"""),"ESPONJA ANTILLUVIA DE PARABRISAS")</f>
        <v>ESPONJA ANTILLUVIA DE PARABRISAS</v>
      </c>
      <c r="AD104" s="65"/>
      <c r="AE104" s="65">
        <f>IFERROR(__xludf.DUMMYFUNCTION("""COMPUTED_VALUE"""),3.0)</f>
        <v>3</v>
      </c>
      <c r="AF104" s="65"/>
      <c r="AG104" s="65"/>
      <c r="AH104" s="65"/>
      <c r="AI104" s="65"/>
      <c r="AJ104" s="65"/>
      <c r="AK104" s="65"/>
      <c r="AL104" s="65"/>
      <c r="AM104" s="65"/>
      <c r="AN104" s="65" t="str">
        <f>IFERROR(__xludf.DUMMYFUNCTION("""COMPUTED_VALUE"""),"12:36")</f>
        <v>12:36</v>
      </c>
      <c r="AO104" s="65" t="str">
        <f>IFERROR(__xludf.DUMMYFUNCTION("""COMPUTED_VALUE"""),"24-03-2026")</f>
        <v>24-03-2026</v>
      </c>
      <c r="AP104" s="65" t="str">
        <f>IFERROR(__xludf.DUMMYFUNCTION("""COMPUTED_VALUE"""),"ENTREGADA GINTRACOM")</f>
        <v>ENTREGADA GINTRACOM</v>
      </c>
      <c r="AQ104" s="65" t="str">
        <f>IFERROR(__xludf.DUMMYFUNCTION("""COMPUTED_VALUE"""),"ENTREGADA GINTRACOM")</f>
        <v>ENTREGADA GINTRACOM</v>
      </c>
      <c r="AR104" s="65"/>
      <c r="AS104" s="65"/>
      <c r="AT104" s="65" t="str">
        <f>IFERROR(__xludf.DUMMYFUNCTION("""COMPUTED_VALUE"""),"SHOPIFY")</f>
        <v>SHOPIFY</v>
      </c>
      <c r="AU104" s="65" t="str">
        <f>IFERROR(__xludf.DUMMYFUNCTION("""COMPUTED_VALUE"""),"IMPORTEX EC")</f>
        <v>IMPORTEX EC</v>
      </c>
      <c r="AV104" s="65" t="str">
        <f>IFERROR(__xludf.DUMMYFUNCTION("""COMPUTED_VALUE"""),"6588504014892")</f>
        <v>6588504014892</v>
      </c>
      <c r="AW104" s="65">
        <f>IFERROR(__xludf.DUMMYFUNCTION("""COMPUTED_VALUE"""),6741.0)</f>
        <v>6741</v>
      </c>
      <c r="AX104" s="65"/>
      <c r="AY104" s="65" t="str">
        <f>IFERROR(__xludf.DUMMYFUNCTION("""COMPUTED_VALUE"""),"20/03/2026")</f>
        <v>20/03/2026</v>
      </c>
      <c r="AZ104" s="65"/>
      <c r="BA104" s="65"/>
    </row>
    <row r="105">
      <c r="A105" s="65" t="str">
        <f>IFERROR(__xludf.DUMMYFUNCTION("""COMPUTED_VALUE"""),"27-03-2026")</f>
        <v>27-03-2026</v>
      </c>
      <c r="B105" s="65">
        <f>IFERROR(__xludf.DUMMYFUNCTION("""COMPUTED_VALUE"""),4843467.0)</f>
        <v>4843467</v>
      </c>
      <c r="C105" s="65" t="str">
        <f>IFERROR(__xludf.DUMMYFUNCTION("""COMPUTED_VALUE"""),"21:04")</f>
        <v>21:04</v>
      </c>
      <c r="D105" s="65" t="str">
        <f>IFERROR(__xludf.DUMMYFUNCTION("""COMPUTED_VALUE"""),"18-03-2026")</f>
        <v>18-03-2026</v>
      </c>
      <c r="E105" s="65" t="str">
        <f>IFERROR(__xludf.DUMMYFUNCTION("""COMPUTED_VALUE"""),"María disnarda calberto Calberto Tello")</f>
        <v>María disnarda calberto Calberto Tello</v>
      </c>
      <c r="F105" s="65" t="str">
        <f>IFERROR(__xludf.DUMMYFUNCTION("""COMPUTED_VALUE"""),"980735926")</f>
        <v>980735926</v>
      </c>
      <c r="G105" s="65" t="str">
        <f>IFERROR(__xludf.DUMMYFUNCTION("""COMPUTED_VALUE"""),"alumarq2011@hotmail.con")</f>
        <v>alumarq2011@hotmail.con</v>
      </c>
      <c r="H105" s="65"/>
      <c r="I105" s="65"/>
      <c r="J105" s="65" t="str">
        <f>IFERROR(__xludf.DUMMYFUNCTION("""COMPUTED_VALUE"""),"D001436451")</f>
        <v>D001436451</v>
      </c>
      <c r="K105" s="65" t="str">
        <f>IFERROR(__xludf.DUMMYFUNCTION("""COMPUTED_VALUE"""),"ENTREGADO")</f>
        <v>ENTREGADO</v>
      </c>
      <c r="L105" s="65" t="str">
        <f>IFERROR(__xludf.DUMMYFUNCTION("""COMPUTED_VALUE"""),"CON RECAUDO")</f>
        <v>CON RECAUDO</v>
      </c>
      <c r="M105" s="65" t="str">
        <f>IFERROR(__xludf.DUMMYFUNCTION("""COMPUTED_VALUE"""),"ESMERALDAS")</f>
        <v>ESMERALDAS</v>
      </c>
      <c r="N105" s="65" t="str">
        <f>IFERROR(__xludf.DUMMYFUNCTION("""COMPUTED_VALUE"""),"ESMERALDAS")</f>
        <v>ESMERALDAS</v>
      </c>
      <c r="O105" s="65" t="str">
        <f>IFERROR(__xludf.DUMMYFUNCTION("""COMPUTED_VALUE"""),"Avenida Colon,  entre la  calle Quito y Calderón, en  Vidreria ALUMARQ,  Edificio de 5 pisos")</f>
        <v>Avenida Colon,  entre la  calle Quito y Calderón, en  Vidreria ALUMARQ,  Edificio de 5 pisos</v>
      </c>
      <c r="P105" s="65"/>
      <c r="Q105" s="65" t="str">
        <f>IFERROR(__xludf.DUMMYFUNCTION("""COMPUTED_VALUE"""),"GINTRACOM")</f>
        <v>GINTRACOM</v>
      </c>
      <c r="R105" s="65">
        <f>IFERROR(__xludf.DUMMYFUNCTION("""COMPUTED_VALUE"""),30.0)</f>
        <v>30</v>
      </c>
      <c r="S105" s="65">
        <f>IFERROR(__xludf.DUMMYFUNCTION("""COMPUTED_VALUE"""),16.79)</f>
        <v>16.79</v>
      </c>
      <c r="T105" s="65">
        <f>IFERROR(__xludf.DUMMYFUNCTION("""COMPUTED_VALUE"""),6.16)</f>
        <v>6.16</v>
      </c>
      <c r="U105" s="65">
        <f>IFERROR(__xludf.DUMMYFUNCTION("""COMPUTED_VALUE"""),0.0)</f>
        <v>0</v>
      </c>
      <c r="V105" s="65">
        <f>IFERROR(__xludf.DUMMYFUNCTION("""COMPUTED_VALUE"""),0.0)</f>
        <v>0</v>
      </c>
      <c r="W105" s="65">
        <f>IFERROR(__xludf.DUMMYFUNCTION("""COMPUTED_VALUE"""),0.0)</f>
        <v>0</v>
      </c>
      <c r="X105" s="65">
        <f>IFERROR(__xludf.DUMMYFUNCTION("""COMPUTED_VALUE"""),2.35)</f>
        <v>2.35</v>
      </c>
      <c r="Y105" s="65">
        <f>IFERROR(__xludf.DUMMYFUNCTION("""COMPUTED_VALUE"""),7.05)</f>
        <v>7.05</v>
      </c>
      <c r="Z105" s="65">
        <f>IFERROR(__xludf.DUMMYFUNCTION("""COMPUTED_VALUE"""),116679.0)</f>
        <v>116679</v>
      </c>
      <c r="AA105" s="65" t="str">
        <f>IFERROR(__xludf.DUMMYFUNCTION("""COMPUTED_VALUE"""),"AMC-2738")</f>
        <v>AMC-2738</v>
      </c>
      <c r="AB105" s="65"/>
      <c r="AC105" s="65" t="str">
        <f>IFERROR(__xludf.DUMMYFUNCTION("""COMPUTED_VALUE"""),"ESPONJA ANTILLUVIA DE PARABRISAS")</f>
        <v>ESPONJA ANTILLUVIA DE PARABRISAS</v>
      </c>
      <c r="AD105" s="65"/>
      <c r="AE105" s="65">
        <f>IFERROR(__xludf.DUMMYFUNCTION("""COMPUTED_VALUE"""),3.0)</f>
        <v>3</v>
      </c>
      <c r="AF105" s="65"/>
      <c r="AG105" s="65"/>
      <c r="AH105" s="65"/>
      <c r="AI105" s="65"/>
      <c r="AJ105" s="65"/>
      <c r="AK105" s="65"/>
      <c r="AL105" s="65"/>
      <c r="AM105" s="65"/>
      <c r="AN105" s="65" t="str">
        <f>IFERROR(__xludf.DUMMYFUNCTION("""COMPUTED_VALUE"""),"12:40")</f>
        <v>12:40</v>
      </c>
      <c r="AO105" s="65" t="str">
        <f>IFERROR(__xludf.DUMMYFUNCTION("""COMPUTED_VALUE"""),"26-03-2026")</f>
        <v>26-03-2026</v>
      </c>
      <c r="AP105" s="65" t="str">
        <f>IFERROR(__xludf.DUMMYFUNCTION("""COMPUTED_VALUE"""),"ENTREGADA GINTRACOM")</f>
        <v>ENTREGADA GINTRACOM</v>
      </c>
      <c r="AQ105" s="65" t="str">
        <f>IFERROR(__xludf.DUMMYFUNCTION("""COMPUTED_VALUE"""),"ENTREGADA GINTRACOM")</f>
        <v>ENTREGADA GINTRACOM</v>
      </c>
      <c r="AR105" s="65"/>
      <c r="AS105" s="65"/>
      <c r="AT105" s="65" t="str">
        <f>IFERROR(__xludf.DUMMYFUNCTION("""COMPUTED_VALUE"""),"SHOPIFY")</f>
        <v>SHOPIFY</v>
      </c>
      <c r="AU105" s="65" t="str">
        <f>IFERROR(__xludf.DUMMYFUNCTION("""COMPUTED_VALUE"""),"IMPORTEX EC")</f>
        <v>IMPORTEX EC</v>
      </c>
      <c r="AV105" s="65" t="str">
        <f>IFERROR(__xludf.DUMMYFUNCTION("""COMPUTED_VALUE"""),"6588426944556")</f>
        <v>6588426944556</v>
      </c>
      <c r="AW105" s="65">
        <f>IFERROR(__xludf.DUMMYFUNCTION("""COMPUTED_VALUE"""),6740.0)</f>
        <v>6740</v>
      </c>
      <c r="AX105" s="65"/>
      <c r="AY105" s="65" t="str">
        <f>IFERROR(__xludf.DUMMYFUNCTION("""COMPUTED_VALUE"""),"20/03/2026")</f>
        <v>20/03/2026</v>
      </c>
      <c r="AZ105" s="65"/>
      <c r="BA105" s="65"/>
    </row>
    <row r="106">
      <c r="A106" s="65" t="str">
        <f>IFERROR(__xludf.DUMMYFUNCTION("""COMPUTED_VALUE"""),"27-03-2026")</f>
        <v>27-03-2026</v>
      </c>
      <c r="B106" s="65">
        <f>IFERROR(__xludf.DUMMYFUNCTION("""COMPUTED_VALUE"""),4842056.0)</f>
        <v>4842056</v>
      </c>
      <c r="C106" s="65" t="str">
        <f>IFERROR(__xludf.DUMMYFUNCTION("""COMPUTED_VALUE"""),"18:10")</f>
        <v>18:10</v>
      </c>
      <c r="D106" s="65" t="str">
        <f>IFERROR(__xludf.DUMMYFUNCTION("""COMPUTED_VALUE"""),"18-03-2026")</f>
        <v>18-03-2026</v>
      </c>
      <c r="E106" s="65" t="str">
        <f>IFERROR(__xludf.DUMMYFUNCTION("""COMPUTED_VALUE"""),"Jaider Celorio")</f>
        <v>Jaider Celorio</v>
      </c>
      <c r="F106" s="65" t="str">
        <f>IFERROR(__xludf.DUMMYFUNCTION("""COMPUTED_VALUE"""),"986700338")</f>
        <v>986700338</v>
      </c>
      <c r="G106" s="65" t="str">
        <f>IFERROR(__xludf.DUMMYFUNCTION("""COMPUTED_VALUE"""),"jaidercelorio05@gmail.com")</f>
        <v>jaidercelorio05@gmail.com</v>
      </c>
      <c r="H106" s="65"/>
      <c r="I106" s="65"/>
      <c r="J106" s="65" t="str">
        <f>IFERROR(__xludf.DUMMYFUNCTION("""COMPUTED_VALUE"""),"185014326")</f>
        <v>185014326</v>
      </c>
      <c r="K106" s="65" t="str">
        <f>IFERROR(__xludf.DUMMYFUNCTION("""COMPUTED_VALUE"""),"ENTREGADO")</f>
        <v>ENTREGADO</v>
      </c>
      <c r="L106" s="65" t="str">
        <f>IFERROR(__xludf.DUMMYFUNCTION("""COMPUTED_VALUE"""),"CON RECAUDO")</f>
        <v>CON RECAUDO</v>
      </c>
      <c r="M106" s="65" t="str">
        <f>IFERROR(__xludf.DUMMYFUNCTION("""COMPUTED_VALUE"""),"SANTO DOMINGO DE LOS TSACHILAS")</f>
        <v>SANTO DOMINGO DE LOS TSACHILAS</v>
      </c>
      <c r="N106" s="65" t="str">
        <f>IFERROR(__xludf.DUMMYFUNCTION("""COMPUTED_VALUE"""),"SAN JACINTO DEL BUA")</f>
        <v>SAN JACINTO DEL BUA</v>
      </c>
      <c r="O106" s="65" t="str">
        <f>IFERROR(__xludf.DUMMYFUNCTION("""COMPUTED_VALUE"""),"Calle 16 de agosto, Vía Palma sola - REFERENCIA:  Frente al terminal de los buses.")</f>
        <v>Calle 16 de agosto, Vía Palma sola - REFERENCIA:  Frente al terminal de los buses.</v>
      </c>
      <c r="P106" s="65"/>
      <c r="Q106" s="65" t="str">
        <f>IFERROR(__xludf.DUMMYFUNCTION("""COMPUTED_VALUE"""),"SERVIENTREGA")</f>
        <v>SERVIENTREGA</v>
      </c>
      <c r="R106" s="65">
        <f>IFERROR(__xludf.DUMMYFUNCTION("""COMPUTED_VALUE"""),30.0)</f>
        <v>30</v>
      </c>
      <c r="S106" s="65">
        <f>IFERROR(__xludf.DUMMYFUNCTION("""COMPUTED_VALUE"""),15.13)</f>
        <v>15.13</v>
      </c>
      <c r="T106" s="65">
        <f>IFERROR(__xludf.DUMMYFUNCTION("""COMPUTED_VALUE"""),7.82)</f>
        <v>7.82</v>
      </c>
      <c r="U106" s="65">
        <f>IFERROR(__xludf.DUMMYFUNCTION("""COMPUTED_VALUE"""),0.0)</f>
        <v>0</v>
      </c>
      <c r="V106" s="65">
        <f>IFERROR(__xludf.DUMMYFUNCTION("""COMPUTED_VALUE"""),0.0)</f>
        <v>0</v>
      </c>
      <c r="W106" s="65">
        <f>IFERROR(__xludf.DUMMYFUNCTION("""COMPUTED_VALUE"""),0.0)</f>
        <v>0</v>
      </c>
      <c r="X106" s="65">
        <f>IFERROR(__xludf.DUMMYFUNCTION("""COMPUTED_VALUE"""),2.35)</f>
        <v>2.35</v>
      </c>
      <c r="Y106" s="65">
        <f>IFERROR(__xludf.DUMMYFUNCTION("""COMPUTED_VALUE"""),7.05)</f>
        <v>7.05</v>
      </c>
      <c r="Z106" s="65">
        <f>IFERROR(__xludf.DUMMYFUNCTION("""COMPUTED_VALUE"""),116679.0)</f>
        <v>116679</v>
      </c>
      <c r="AA106" s="65" t="str">
        <f>IFERROR(__xludf.DUMMYFUNCTION("""COMPUTED_VALUE"""),"AMC-2738")</f>
        <v>AMC-2738</v>
      </c>
      <c r="AB106" s="65"/>
      <c r="AC106" s="65" t="str">
        <f>IFERROR(__xludf.DUMMYFUNCTION("""COMPUTED_VALUE"""),"ESPONJA ANTILLUVIA DE PARABRISAS")</f>
        <v>ESPONJA ANTILLUVIA DE PARABRISAS</v>
      </c>
      <c r="AD106" s="65"/>
      <c r="AE106" s="65">
        <f>IFERROR(__xludf.DUMMYFUNCTION("""COMPUTED_VALUE"""),3.0)</f>
        <v>3</v>
      </c>
      <c r="AF106" s="65"/>
      <c r="AG106" s="65"/>
      <c r="AH106" s="65"/>
      <c r="AI106" s="65"/>
      <c r="AJ106" s="65"/>
      <c r="AK106" s="65"/>
      <c r="AL106" s="65"/>
      <c r="AM106" s="65"/>
      <c r="AN106" s="65" t="str">
        <f>IFERROR(__xludf.DUMMYFUNCTION("""COMPUTED_VALUE"""),"11:38")</f>
        <v>11:38</v>
      </c>
      <c r="AO106" s="65" t="str">
        <f>IFERROR(__xludf.DUMMYFUNCTION("""COMPUTED_VALUE"""),"23-03-2026")</f>
        <v>23-03-2026</v>
      </c>
      <c r="AP106" s="65" t="str">
        <f>IFERROR(__xludf.DUMMYFUNCTION("""COMPUTED_VALUE"""),"REPORTADO ENTREGADO EN APP")</f>
        <v>REPORTADO ENTREGADO EN APP</v>
      </c>
      <c r="AQ106" s="65" t="str">
        <f>IFERROR(__xludf.DUMMYFUNCTION("""COMPUTED_VALUE"""),"jeider celorio")</f>
        <v>jeider celorio</v>
      </c>
      <c r="AR106" s="65"/>
      <c r="AS106" s="65"/>
      <c r="AT106" s="65" t="str">
        <f>IFERROR(__xludf.DUMMYFUNCTION("""COMPUTED_VALUE"""),"SHOPIFY")</f>
        <v>SHOPIFY</v>
      </c>
      <c r="AU106" s="65" t="str">
        <f>IFERROR(__xludf.DUMMYFUNCTION("""COMPUTED_VALUE"""),"IMPORTEX EC")</f>
        <v>IMPORTEX EC</v>
      </c>
      <c r="AV106" s="65" t="str">
        <f>IFERROR(__xludf.DUMMYFUNCTION("""COMPUTED_VALUE"""),"6588130361388")</f>
        <v>6588130361388</v>
      </c>
      <c r="AW106" s="65">
        <f>IFERROR(__xludf.DUMMYFUNCTION("""COMPUTED_VALUE"""),6739.0)</f>
        <v>6739</v>
      </c>
      <c r="AX106" s="65"/>
      <c r="AY106" s="65" t="str">
        <f>IFERROR(__xludf.DUMMYFUNCTION("""COMPUTED_VALUE"""),"20/03/2026")</f>
        <v>20/03/2026</v>
      </c>
      <c r="AZ106" s="65"/>
      <c r="BA106" s="65"/>
    </row>
    <row r="107">
      <c r="A107" s="65" t="str">
        <f>IFERROR(__xludf.DUMMYFUNCTION("""COMPUTED_VALUE"""),"27-03-2026")</f>
        <v>27-03-2026</v>
      </c>
      <c r="B107" s="65">
        <f>IFERROR(__xludf.DUMMYFUNCTION("""COMPUTED_VALUE"""),4841469.0)</f>
        <v>4841469</v>
      </c>
      <c r="C107" s="65" t="str">
        <f>IFERROR(__xludf.DUMMYFUNCTION("""COMPUTED_VALUE"""),"16:46")</f>
        <v>16:46</v>
      </c>
      <c r="D107" s="65" t="str">
        <f>IFERROR(__xludf.DUMMYFUNCTION("""COMPUTED_VALUE"""),"18-03-2026")</f>
        <v>18-03-2026</v>
      </c>
      <c r="E107" s="65" t="str">
        <f>IFERROR(__xludf.DUMMYFUNCTION("""COMPUTED_VALUE"""),"Lester Alberto Jara vasquez")</f>
        <v>Lester Alberto Jara vasquez</v>
      </c>
      <c r="F107" s="65" t="str">
        <f>IFERROR(__xludf.DUMMYFUNCTION("""COMPUTED_VALUE"""),"990778062")</f>
        <v>990778062</v>
      </c>
      <c r="G107" s="65" t="str">
        <f>IFERROR(__xludf.DUMMYFUNCTION("""COMPUTED_VALUE"""),"les_mar@live.com")</f>
        <v>les_mar@live.com</v>
      </c>
      <c r="H107" s="65"/>
      <c r="I107" s="65"/>
      <c r="J107" s="65"/>
      <c r="K107" s="65" t="str">
        <f>IFERROR(__xludf.DUMMYFUNCTION("""COMPUTED_VALUE"""),"PENDIENTE CONFIRMACION")</f>
        <v>PENDIENTE CONFIRMACION</v>
      </c>
      <c r="L107" s="65" t="str">
        <f>IFERROR(__xludf.DUMMYFUNCTION("""COMPUTED_VALUE"""),"CON RECAUDO")</f>
        <v>CON RECAUDO</v>
      </c>
      <c r="M107" s="65" t="str">
        <f>IFERROR(__xludf.DUMMYFUNCTION("""COMPUTED_VALUE"""),"LOS RIOS")</f>
        <v>LOS RIOS</v>
      </c>
      <c r="N107" s="65" t="str">
        <f>IFERROR(__xludf.DUMMYFUNCTION("""COMPUTED_VALUE"""),"VENTANAS")</f>
        <v>VENTANAS</v>
      </c>
      <c r="O107" s="65" t="str">
        <f>IFERROR(__xludf.DUMMYFUNCTION("""COMPUTED_VALUE"""),"Héctor Cabrera 303 Av. Velasco Ibarra -")</f>
        <v>Héctor Cabrera 303 Av. Velasco Ibarra -</v>
      </c>
      <c r="P107" s="65"/>
      <c r="Q107" s="65" t="str">
        <f>IFERROR(__xludf.DUMMYFUNCTION("""COMPUTED_VALUE"""),"GINTRACOM")</f>
        <v>GINTRACOM</v>
      </c>
      <c r="R107" s="65">
        <f>IFERROR(__xludf.DUMMYFUNCTION("""COMPUTED_VALUE"""),25.0)</f>
        <v>25</v>
      </c>
      <c r="S107" s="65"/>
      <c r="T107" s="65">
        <f>IFERROR(__xludf.DUMMYFUNCTION("""COMPUTED_VALUE"""),5.96)</f>
        <v>5.96</v>
      </c>
      <c r="U107" s="65">
        <f>IFERROR(__xludf.DUMMYFUNCTION("""COMPUTED_VALUE"""),0.0)</f>
        <v>0</v>
      </c>
      <c r="V107" s="65">
        <f>IFERROR(__xludf.DUMMYFUNCTION("""COMPUTED_VALUE"""),0.0)</f>
        <v>0</v>
      </c>
      <c r="W107" s="65">
        <f>IFERROR(__xludf.DUMMYFUNCTION("""COMPUTED_VALUE"""),0.0)</f>
        <v>0</v>
      </c>
      <c r="X107" s="65">
        <f>IFERROR(__xludf.DUMMYFUNCTION("""COMPUTED_VALUE"""),2.35)</f>
        <v>2.35</v>
      </c>
      <c r="Y107" s="65">
        <f>IFERROR(__xludf.DUMMYFUNCTION("""COMPUTED_VALUE"""),4.7)</f>
        <v>4.7</v>
      </c>
      <c r="Z107" s="65">
        <f>IFERROR(__xludf.DUMMYFUNCTION("""COMPUTED_VALUE"""),116679.0)</f>
        <v>116679</v>
      </c>
      <c r="AA107" s="65" t="str">
        <f>IFERROR(__xludf.DUMMYFUNCTION("""COMPUTED_VALUE"""),"AMC-2738")</f>
        <v>AMC-2738</v>
      </c>
      <c r="AB107" s="65"/>
      <c r="AC107" s="65" t="str">
        <f>IFERROR(__xludf.DUMMYFUNCTION("""COMPUTED_VALUE"""),"ESPONJA ANTILLUVIA DE PARABRISAS")</f>
        <v>ESPONJA ANTILLUVIA DE PARABRISAS</v>
      </c>
      <c r="AD107" s="65"/>
      <c r="AE107" s="65">
        <f>IFERROR(__xludf.DUMMYFUNCTION("""COMPUTED_VALUE"""),2.0)</f>
        <v>2</v>
      </c>
      <c r="AF107" s="65"/>
      <c r="AG107" s="65"/>
      <c r="AH107" s="65"/>
      <c r="AI107" s="65"/>
      <c r="AJ107" s="65"/>
      <c r="AK107" s="65"/>
      <c r="AL107" s="65"/>
      <c r="AM107" s="65"/>
      <c r="AN107" s="65"/>
      <c r="AO107" s="65"/>
      <c r="AP107" s="65"/>
      <c r="AQ107" s="65"/>
      <c r="AR107" s="65"/>
      <c r="AS107" s="65"/>
      <c r="AT107" s="65" t="str">
        <f>IFERROR(__xludf.DUMMYFUNCTION("""COMPUTED_VALUE"""),"SHOPIFY")</f>
        <v>SHOPIFY</v>
      </c>
      <c r="AU107" s="65" t="str">
        <f>IFERROR(__xludf.DUMMYFUNCTION("""COMPUTED_VALUE"""),"IMPORTEX EC")</f>
        <v>IMPORTEX EC</v>
      </c>
      <c r="AV107" s="65" t="str">
        <f>IFERROR(__xludf.DUMMYFUNCTION("""COMPUTED_VALUE"""),"6587985625132")</f>
        <v>6587985625132</v>
      </c>
      <c r="AW107" s="65">
        <f>IFERROR(__xludf.DUMMYFUNCTION("""COMPUTED_VALUE"""),6738.0)</f>
        <v>6738</v>
      </c>
      <c r="AX107" s="65"/>
      <c r="AY107" s="65"/>
      <c r="AZ107" s="65"/>
      <c r="BA107" s="65"/>
    </row>
    <row r="108">
      <c r="A108" s="65" t="str">
        <f>IFERROR(__xludf.DUMMYFUNCTION("""COMPUTED_VALUE"""),"27-03-2026")</f>
        <v>27-03-2026</v>
      </c>
      <c r="B108" s="65">
        <f>IFERROR(__xludf.DUMMYFUNCTION("""COMPUTED_VALUE"""),4841220.0)</f>
        <v>4841220</v>
      </c>
      <c r="C108" s="65" t="str">
        <f>IFERROR(__xludf.DUMMYFUNCTION("""COMPUTED_VALUE"""),"16:17")</f>
        <v>16:17</v>
      </c>
      <c r="D108" s="65" t="str">
        <f>IFERROR(__xludf.DUMMYFUNCTION("""COMPUTED_VALUE"""),"18-03-2026")</f>
        <v>18-03-2026</v>
      </c>
      <c r="E108" s="65" t="str">
        <f>IFERROR(__xludf.DUMMYFUNCTION("""COMPUTED_VALUE"""),"Lenin Macias")</f>
        <v>Lenin Macias</v>
      </c>
      <c r="F108" s="65" t="str">
        <f>IFERROR(__xludf.DUMMYFUNCTION("""COMPUTED_VALUE"""),"959203242")</f>
        <v>959203242</v>
      </c>
      <c r="G108" s="65"/>
      <c r="H108" s="65"/>
      <c r="I108" s="65"/>
      <c r="J108" s="65"/>
      <c r="K108" s="65" t="str">
        <f>IFERROR(__xludf.DUMMYFUNCTION("""COMPUTED_VALUE"""),"PENDIENTE CONFIRMACION")</f>
        <v>PENDIENTE CONFIRMACION</v>
      </c>
      <c r="L108" s="65" t="str">
        <f>IFERROR(__xludf.DUMMYFUNCTION("""COMPUTED_VALUE"""),"CON RECAUDO")</f>
        <v>CON RECAUDO</v>
      </c>
      <c r="M108" s="65" t="str">
        <f>IFERROR(__xludf.DUMMYFUNCTION("""COMPUTED_VALUE"""),"GUAYAS")</f>
        <v>GUAYAS</v>
      </c>
      <c r="N108" s="65" t="str">
        <f>IFERROR(__xludf.DUMMYFUNCTION("""COMPUTED_VALUE"""),"NARANJITO")</f>
        <v>NARANJITO</v>
      </c>
      <c r="O108" s="65" t="str">
        <f>IFERROR(__xludf.DUMMYFUNCTION("""COMPUTED_VALUE"""),"Mercado nuevo de naranjito Casa para todos ciudadela -")</f>
        <v>Mercado nuevo de naranjito Casa para todos ciudadela -</v>
      </c>
      <c r="P108" s="65"/>
      <c r="Q108" s="65" t="str">
        <f>IFERROR(__xludf.DUMMYFUNCTION("""COMPUTED_VALUE"""),"GINTRACOM")</f>
        <v>GINTRACOM</v>
      </c>
      <c r="R108" s="65">
        <f>IFERROR(__xludf.DUMMYFUNCTION("""COMPUTED_VALUE"""),25.0)</f>
        <v>25</v>
      </c>
      <c r="S108" s="65"/>
      <c r="T108" s="65">
        <f>IFERROR(__xludf.DUMMYFUNCTION("""COMPUTED_VALUE"""),6.53)</f>
        <v>6.53</v>
      </c>
      <c r="U108" s="65">
        <f>IFERROR(__xludf.DUMMYFUNCTION("""COMPUTED_VALUE"""),0.0)</f>
        <v>0</v>
      </c>
      <c r="V108" s="65">
        <f>IFERROR(__xludf.DUMMYFUNCTION("""COMPUTED_VALUE"""),0.0)</f>
        <v>0</v>
      </c>
      <c r="W108" s="65">
        <f>IFERROR(__xludf.DUMMYFUNCTION("""COMPUTED_VALUE"""),0.0)</f>
        <v>0</v>
      </c>
      <c r="X108" s="65">
        <f>IFERROR(__xludf.DUMMYFUNCTION("""COMPUTED_VALUE"""),2.35)</f>
        <v>2.35</v>
      </c>
      <c r="Y108" s="65">
        <f>IFERROR(__xludf.DUMMYFUNCTION("""COMPUTED_VALUE"""),4.7)</f>
        <v>4.7</v>
      </c>
      <c r="Z108" s="65">
        <f>IFERROR(__xludf.DUMMYFUNCTION("""COMPUTED_VALUE"""),116679.0)</f>
        <v>116679</v>
      </c>
      <c r="AA108" s="65" t="str">
        <f>IFERROR(__xludf.DUMMYFUNCTION("""COMPUTED_VALUE"""),"AMC-2738")</f>
        <v>AMC-2738</v>
      </c>
      <c r="AB108" s="65"/>
      <c r="AC108" s="65" t="str">
        <f>IFERROR(__xludf.DUMMYFUNCTION("""COMPUTED_VALUE"""),"ESPONJA ANTILLUVIA DE PARABRISAS")</f>
        <v>ESPONJA ANTILLUVIA DE PARABRISAS</v>
      </c>
      <c r="AD108" s="65"/>
      <c r="AE108" s="65">
        <f>IFERROR(__xludf.DUMMYFUNCTION("""COMPUTED_VALUE"""),2.0)</f>
        <v>2</v>
      </c>
      <c r="AF108" s="65"/>
      <c r="AG108" s="65"/>
      <c r="AH108" s="65"/>
      <c r="AI108" s="65"/>
      <c r="AJ108" s="65"/>
      <c r="AK108" s="65"/>
      <c r="AL108" s="65"/>
      <c r="AM108" s="65"/>
      <c r="AN108" s="65"/>
      <c r="AO108" s="65"/>
      <c r="AP108" s="65"/>
      <c r="AQ108" s="65"/>
      <c r="AR108" s="65"/>
      <c r="AS108" s="65"/>
      <c r="AT108" s="65" t="str">
        <f>IFERROR(__xludf.DUMMYFUNCTION("""COMPUTED_VALUE"""),"SHOPIFY")</f>
        <v>SHOPIFY</v>
      </c>
      <c r="AU108" s="65" t="str">
        <f>IFERROR(__xludf.DUMMYFUNCTION("""COMPUTED_VALUE"""),"IMPORTEX EC")</f>
        <v>IMPORTEX EC</v>
      </c>
      <c r="AV108" s="65" t="str">
        <f>IFERROR(__xludf.DUMMYFUNCTION("""COMPUTED_VALUE"""),"6587931754540")</f>
        <v>6587931754540</v>
      </c>
      <c r="AW108" s="65">
        <f>IFERROR(__xludf.DUMMYFUNCTION("""COMPUTED_VALUE"""),6737.0)</f>
        <v>6737</v>
      </c>
      <c r="AX108" s="65"/>
      <c r="AY108" s="65"/>
      <c r="AZ108" s="65"/>
      <c r="BA108" s="65"/>
    </row>
    <row r="109">
      <c r="A109" s="65" t="str">
        <f>IFERROR(__xludf.DUMMYFUNCTION("""COMPUTED_VALUE"""),"27-03-2026")</f>
        <v>27-03-2026</v>
      </c>
      <c r="B109" s="65">
        <f>IFERROR(__xludf.DUMMYFUNCTION("""COMPUTED_VALUE"""),4840104.0)</f>
        <v>4840104</v>
      </c>
      <c r="C109" s="65" t="str">
        <f>IFERROR(__xludf.DUMMYFUNCTION("""COMPUTED_VALUE"""),"14:22")</f>
        <v>14:22</v>
      </c>
      <c r="D109" s="65" t="str">
        <f>IFERROR(__xludf.DUMMYFUNCTION("""COMPUTED_VALUE"""),"18-03-2026")</f>
        <v>18-03-2026</v>
      </c>
      <c r="E109" s="65" t="str">
        <f>IFERROR(__xludf.DUMMYFUNCTION("""COMPUTED_VALUE"""),"Fernando Portilla")</f>
        <v>Fernando Portilla</v>
      </c>
      <c r="F109" s="65" t="str">
        <f>IFERROR(__xludf.DUMMYFUNCTION("""COMPUTED_VALUE"""),"990568355")</f>
        <v>990568355</v>
      </c>
      <c r="G109" s="65" t="str">
        <f>IFERROR(__xludf.DUMMYFUNCTION("""COMPUTED_VALUE"""),"portillafer@hotmail.com")</f>
        <v>portillafer@hotmail.com</v>
      </c>
      <c r="H109" s="65"/>
      <c r="I109" s="65"/>
      <c r="J109" s="65" t="str">
        <f>IFERROR(__xludf.DUMMYFUNCTION("""COMPUTED_VALUE"""),"D001437878")</f>
        <v>D001437878</v>
      </c>
      <c r="K109" s="65" t="str">
        <f>IFERROR(__xludf.DUMMYFUNCTION("""COMPUTED_VALUE"""),"ENTREGADO")</f>
        <v>ENTREGADO</v>
      </c>
      <c r="L109" s="65" t="str">
        <f>IFERROR(__xludf.DUMMYFUNCTION("""COMPUTED_VALUE"""),"CON RECAUDO")</f>
        <v>CON RECAUDO</v>
      </c>
      <c r="M109" s="65" t="str">
        <f>IFERROR(__xludf.DUMMYFUNCTION("""COMPUTED_VALUE"""),"PICHINCHA")</f>
        <v>PICHINCHA</v>
      </c>
      <c r="N109" s="65" t="str">
        <f>IFERROR(__xludf.DUMMYFUNCTION("""COMPUTED_VALUE"""),"CUMBAYA")</f>
        <v>CUMBAYA</v>
      </c>
      <c r="O109" s="65" t="str">
        <f>IFERROR(__xludf.DUMMYFUNCTION("""COMPUTED_VALUE"""),"Calle 23 de Abril y Alfonso Lamiña - Conjunto Parques de Andalucía, casa # 85.")</f>
        <v>Calle 23 de Abril y Alfonso Lamiña - Conjunto Parques de Andalucía, casa # 85.</v>
      </c>
      <c r="P109" s="65"/>
      <c r="Q109" s="65" t="str">
        <f>IFERROR(__xludf.DUMMYFUNCTION("""COMPUTED_VALUE"""),"GINTRACOM")</f>
        <v>GINTRACOM</v>
      </c>
      <c r="R109" s="65">
        <f>IFERROR(__xludf.DUMMYFUNCTION("""COMPUTED_VALUE"""),25.0)</f>
        <v>25</v>
      </c>
      <c r="S109" s="65">
        <f>IFERROR(__xludf.DUMMYFUNCTION("""COMPUTED_VALUE"""),15.38)</f>
        <v>15.38</v>
      </c>
      <c r="T109" s="65">
        <f>IFERROR(__xludf.DUMMYFUNCTION("""COMPUTED_VALUE"""),4.92)</f>
        <v>4.92</v>
      </c>
      <c r="U109" s="65">
        <f>IFERROR(__xludf.DUMMYFUNCTION("""COMPUTED_VALUE"""),0.0)</f>
        <v>0</v>
      </c>
      <c r="V109" s="65">
        <f>IFERROR(__xludf.DUMMYFUNCTION("""COMPUTED_VALUE"""),0.0)</f>
        <v>0</v>
      </c>
      <c r="W109" s="65">
        <f>IFERROR(__xludf.DUMMYFUNCTION("""COMPUTED_VALUE"""),0.0)</f>
        <v>0</v>
      </c>
      <c r="X109" s="65">
        <f>IFERROR(__xludf.DUMMYFUNCTION("""COMPUTED_VALUE"""),2.35)</f>
        <v>2.35</v>
      </c>
      <c r="Y109" s="65">
        <f>IFERROR(__xludf.DUMMYFUNCTION("""COMPUTED_VALUE"""),4.7)</f>
        <v>4.7</v>
      </c>
      <c r="Z109" s="65">
        <f>IFERROR(__xludf.DUMMYFUNCTION("""COMPUTED_VALUE"""),116679.0)</f>
        <v>116679</v>
      </c>
      <c r="AA109" s="65" t="str">
        <f>IFERROR(__xludf.DUMMYFUNCTION("""COMPUTED_VALUE"""),"AMC-2738")</f>
        <v>AMC-2738</v>
      </c>
      <c r="AB109" s="65"/>
      <c r="AC109" s="65" t="str">
        <f>IFERROR(__xludf.DUMMYFUNCTION("""COMPUTED_VALUE"""),"ESPONJA ANTILLUVIA DE PARABRISAS")</f>
        <v>ESPONJA ANTILLUVIA DE PARABRISAS</v>
      </c>
      <c r="AD109" s="65"/>
      <c r="AE109" s="65">
        <f>IFERROR(__xludf.DUMMYFUNCTION("""COMPUTED_VALUE"""),2.0)</f>
        <v>2</v>
      </c>
      <c r="AF109" s="65"/>
      <c r="AG109" s="65"/>
      <c r="AH109" s="65"/>
      <c r="AI109" s="65"/>
      <c r="AJ109" s="65"/>
      <c r="AK109" s="65"/>
      <c r="AL109" s="65"/>
      <c r="AM109" s="65"/>
      <c r="AN109" s="65" t="str">
        <f>IFERROR(__xludf.DUMMYFUNCTION("""COMPUTED_VALUE"""),"12:02")</f>
        <v>12:02</v>
      </c>
      <c r="AO109" s="65" t="str">
        <f>IFERROR(__xludf.DUMMYFUNCTION("""COMPUTED_VALUE"""),"24-03-2026")</f>
        <v>24-03-2026</v>
      </c>
      <c r="AP109" s="65" t="str">
        <f>IFERROR(__xludf.DUMMYFUNCTION("""COMPUTED_VALUE"""),"ENTREGADA GINTRACOM")</f>
        <v>ENTREGADA GINTRACOM</v>
      </c>
      <c r="AQ109" s="65" t="str">
        <f>IFERROR(__xludf.DUMMYFUNCTION("""COMPUTED_VALUE"""),"ENTREGADA GINTRACOM")</f>
        <v>ENTREGADA GINTRACOM</v>
      </c>
      <c r="AR109" s="65"/>
      <c r="AS109" s="65"/>
      <c r="AT109" s="65" t="str">
        <f>IFERROR(__xludf.DUMMYFUNCTION("""COMPUTED_VALUE"""),"SHOPIFY")</f>
        <v>SHOPIFY</v>
      </c>
      <c r="AU109" s="65" t="str">
        <f>IFERROR(__xludf.DUMMYFUNCTION("""COMPUTED_VALUE"""),"IMPORTEX EC")</f>
        <v>IMPORTEX EC</v>
      </c>
      <c r="AV109" s="65" t="str">
        <f>IFERROR(__xludf.DUMMYFUNCTION("""COMPUTED_VALUE"""),"6587706802220")</f>
        <v>6587706802220</v>
      </c>
      <c r="AW109" s="65">
        <f>IFERROR(__xludf.DUMMYFUNCTION("""COMPUTED_VALUE"""),6736.0)</f>
        <v>6736</v>
      </c>
      <c r="AX109" s="65"/>
      <c r="AY109" s="65" t="str">
        <f>IFERROR(__xludf.DUMMYFUNCTION("""COMPUTED_VALUE"""),"20/03/2026")</f>
        <v>20/03/2026</v>
      </c>
      <c r="AZ109" s="65"/>
      <c r="BA109" s="65"/>
    </row>
    <row r="110">
      <c r="A110" s="65" t="str">
        <f>IFERROR(__xludf.DUMMYFUNCTION("""COMPUTED_VALUE"""),"27-03-2026")</f>
        <v>27-03-2026</v>
      </c>
      <c r="B110" s="65">
        <f>IFERROR(__xludf.DUMMYFUNCTION("""COMPUTED_VALUE"""),4839944.0)</f>
        <v>4839944</v>
      </c>
      <c r="C110" s="65" t="str">
        <f>IFERROR(__xludf.DUMMYFUNCTION("""COMPUTED_VALUE"""),"14:04")</f>
        <v>14:04</v>
      </c>
      <c r="D110" s="65" t="str">
        <f>IFERROR(__xludf.DUMMYFUNCTION("""COMPUTED_VALUE"""),"18-03-2026")</f>
        <v>18-03-2026</v>
      </c>
      <c r="E110" s="65" t="str">
        <f>IFERROR(__xludf.DUMMYFUNCTION("""COMPUTED_VALUE"""),"Elvis Castro")</f>
        <v>Elvis Castro</v>
      </c>
      <c r="F110" s="65" t="str">
        <f>IFERROR(__xludf.DUMMYFUNCTION("""COMPUTED_VALUE"""),"939190338")</f>
        <v>939190338</v>
      </c>
      <c r="G110" s="65" t="str">
        <f>IFERROR(__xludf.DUMMYFUNCTION("""COMPUTED_VALUE"""),"eacb.0804651941@gmail.com")</f>
        <v>eacb.0804651941@gmail.com</v>
      </c>
      <c r="H110" s="65"/>
      <c r="I110" s="65"/>
      <c r="J110" s="65" t="str">
        <f>IFERROR(__xludf.DUMMYFUNCTION("""COMPUTED_VALUE"""),"D001437993")</f>
        <v>D001437993</v>
      </c>
      <c r="K110" s="65" t="str">
        <f>IFERROR(__xludf.DUMMYFUNCTION("""COMPUTED_VALUE"""),"CANCELADA POR TRANSPORTADORA")</f>
        <v>CANCELADA POR TRANSPORTADORA</v>
      </c>
      <c r="L110" s="65" t="str">
        <f>IFERROR(__xludf.DUMMYFUNCTION("""COMPUTED_VALUE"""),"CON RECAUDO")</f>
        <v>CON RECAUDO</v>
      </c>
      <c r="M110" s="65" t="str">
        <f>IFERROR(__xludf.DUMMYFUNCTION("""COMPUTED_VALUE"""),"SANTO DOMINGO DE LOS TSACHILAS")</f>
        <v>SANTO DOMINGO DE LOS TSACHILAS</v>
      </c>
      <c r="N110" s="65" t="str">
        <f>IFERROR(__xludf.DUMMYFUNCTION("""COMPUTED_VALUE"""),"LA CONCORDIA")</f>
        <v>LA CONCORDIA</v>
      </c>
      <c r="O110" s="65" t="str">
        <f>IFERROR(__xludf.DUMMYFUNCTION("""COMPUTED_VALUE"""),"Calle Guayas y calle Rio Bua, Barrio Santa Rosa - REFERENCIA : Frente a Unidad Educativa Dr. Andrés F Cordova Segundo Bloque")</f>
        <v>Calle Guayas y calle Rio Bua, Barrio Santa Rosa - REFERENCIA : Frente a Unidad Educativa Dr. Andrés F Cordova Segundo Bloque</v>
      </c>
      <c r="P110" s="65"/>
      <c r="Q110" s="65" t="str">
        <f>IFERROR(__xludf.DUMMYFUNCTION("""COMPUTED_VALUE"""),"GINTRACOM")</f>
        <v>GINTRACOM</v>
      </c>
      <c r="R110" s="65">
        <f>IFERROR(__xludf.DUMMYFUNCTION("""COMPUTED_VALUE"""),28.0)</f>
        <v>28</v>
      </c>
      <c r="S110" s="65"/>
      <c r="T110" s="65">
        <f>IFERROR(__xludf.DUMMYFUNCTION("""COMPUTED_VALUE"""),6.65)</f>
        <v>6.65</v>
      </c>
      <c r="U110" s="65">
        <f>IFERROR(__xludf.DUMMYFUNCTION("""COMPUTED_VALUE"""),0.0)</f>
        <v>0</v>
      </c>
      <c r="V110" s="65">
        <f>IFERROR(__xludf.DUMMYFUNCTION("""COMPUTED_VALUE"""),0.0)</f>
        <v>0</v>
      </c>
      <c r="W110" s="65">
        <f>IFERROR(__xludf.DUMMYFUNCTION("""COMPUTED_VALUE"""),0.0)</f>
        <v>0</v>
      </c>
      <c r="X110" s="65">
        <f>IFERROR(__xludf.DUMMYFUNCTION("""COMPUTED_VALUE"""),5.0)</f>
        <v>5</v>
      </c>
      <c r="Y110" s="65">
        <f>IFERROR(__xludf.DUMMYFUNCTION("""COMPUTED_VALUE"""),10.0)</f>
        <v>10</v>
      </c>
      <c r="Z110" s="65">
        <f>IFERROR(__xludf.DUMMYFUNCTION("""COMPUTED_VALUE"""),110680.0)</f>
        <v>110680</v>
      </c>
      <c r="AA110" s="65" t="str">
        <f>IFERROR(__xludf.DUMMYFUNCTION("""COMPUTED_VALUE"""),"IMP-044-PARG200")</f>
        <v>IMP-044-PARG200</v>
      </c>
      <c r="AB110" s="65"/>
      <c r="AC110" s="65" t="str">
        <f>IFERROR(__xludf.DUMMYFUNCTION("""COMPUTED_VALUE"""),"Altavoz Bluetooth magnético G200")</f>
        <v>Altavoz Bluetooth magnético G200</v>
      </c>
      <c r="AD110" s="65"/>
      <c r="AE110" s="65">
        <f>IFERROR(__xludf.DUMMYFUNCTION("""COMPUTED_VALUE"""),2.0)</f>
        <v>2</v>
      </c>
      <c r="AF110" s="65"/>
      <c r="AG110" s="65"/>
      <c r="AH110" s="65"/>
      <c r="AI110" s="65"/>
      <c r="AJ110" s="65"/>
      <c r="AK110" s="65"/>
      <c r="AL110" s="65"/>
      <c r="AM110" s="65"/>
      <c r="AN110" s="65" t="str">
        <f>IFERROR(__xludf.DUMMYFUNCTION("""COMPUTED_VALUE"""),"03:14")</f>
        <v>03:14</v>
      </c>
      <c r="AO110" s="65" t="str">
        <f>IFERROR(__xludf.DUMMYFUNCTION("""COMPUTED_VALUE"""),"27-03-2026")</f>
        <v>27-03-2026</v>
      </c>
      <c r="AP110" s="65" t="str">
        <f>IFERROR(__xludf.DUMMYFUNCTION("""COMPUTED_VALUE"""),"CANCELADA POR TRANSPORTADORA")</f>
        <v>CANCELADA POR TRANSPORTADORA</v>
      </c>
      <c r="AQ110" s="65" t="str">
        <f>IFERROR(__xludf.DUMMYFUNCTION("""COMPUTED_VALUE"""),"CANCELADA POR TRANSPORTADORA")</f>
        <v>CANCELADA POR TRANSPORTADORA</v>
      </c>
      <c r="AR110" s="65"/>
      <c r="AS110" s="65"/>
      <c r="AT110" s="65" t="str">
        <f>IFERROR(__xludf.DUMMYFUNCTION("""COMPUTED_VALUE"""),"SHOPIFY")</f>
        <v>SHOPIFY</v>
      </c>
      <c r="AU110" s="65" t="str">
        <f>IFERROR(__xludf.DUMMYFUNCTION("""COMPUTED_VALUE"""),"IMPORTEX EC")</f>
        <v>IMPORTEX EC</v>
      </c>
      <c r="AV110" s="65" t="str">
        <f>IFERROR(__xludf.DUMMYFUNCTION("""COMPUTED_VALUE"""),"6587671511084")</f>
        <v>6587671511084</v>
      </c>
      <c r="AW110" s="65">
        <f>IFERROR(__xludf.DUMMYFUNCTION("""COMPUTED_VALUE"""),6735.0)</f>
        <v>6735</v>
      </c>
      <c r="AX110" s="65"/>
      <c r="AY110" s="65" t="str">
        <f>IFERROR(__xludf.DUMMYFUNCTION("""COMPUTED_VALUE"""),"20/03/2026")</f>
        <v>20/03/2026</v>
      </c>
      <c r="AZ110" s="65"/>
      <c r="BA110" s="65"/>
    </row>
    <row r="111">
      <c r="A111" s="65" t="str">
        <f>IFERROR(__xludf.DUMMYFUNCTION("""COMPUTED_VALUE"""),"27-03-2026")</f>
        <v>27-03-2026</v>
      </c>
      <c r="B111" s="65">
        <f>IFERROR(__xludf.DUMMYFUNCTION("""COMPUTED_VALUE"""),4839623.0)</f>
        <v>4839623</v>
      </c>
      <c r="C111" s="65" t="str">
        <f>IFERROR(__xludf.DUMMYFUNCTION("""COMPUTED_VALUE"""),"13:34")</f>
        <v>13:34</v>
      </c>
      <c r="D111" s="65" t="str">
        <f>IFERROR(__xludf.DUMMYFUNCTION("""COMPUTED_VALUE"""),"18-03-2026")</f>
        <v>18-03-2026</v>
      </c>
      <c r="E111" s="65" t="str">
        <f>IFERROR(__xludf.DUMMYFUNCTION("""COMPUTED_VALUE"""),"Carlos Campoverde")</f>
        <v>Carlos Campoverde</v>
      </c>
      <c r="F111" s="65" t="str">
        <f>IFERROR(__xludf.DUMMYFUNCTION("""COMPUTED_VALUE"""),"996501959")</f>
        <v>996501959</v>
      </c>
      <c r="G111" s="65"/>
      <c r="H111" s="65"/>
      <c r="I111" s="65"/>
      <c r="J111" s="65"/>
      <c r="K111" s="65" t="str">
        <f>IFERROR(__xludf.DUMMYFUNCTION("""COMPUTED_VALUE"""),"PENDIENTE CONFIRMACION")</f>
        <v>PENDIENTE CONFIRMACION</v>
      </c>
      <c r="L111" s="65" t="str">
        <f>IFERROR(__xludf.DUMMYFUNCTION("""COMPUTED_VALUE"""),"CON RECAUDO")</f>
        <v>CON RECAUDO</v>
      </c>
      <c r="M111" s="65" t="str">
        <f>IFERROR(__xludf.DUMMYFUNCTION("""COMPUTED_VALUE"""),"LOJA")</f>
        <v>LOJA</v>
      </c>
      <c r="N111" s="65" t="str">
        <f>IFERROR(__xludf.DUMMYFUNCTION("""COMPUTED_VALUE"""),"LOJA")</f>
        <v>LOJA</v>
      </c>
      <c r="O111" s="65" t="str">
        <f>IFERROR(__xludf.DUMMYFUNCTION("""COMPUTED_VALUE"""),"Retira en CS:  LOJA FRANCISCO LECARO , FRANCISCO LECARO Y JAIME ROLDOS ESQ.")</f>
        <v>Retira en CS:  LOJA FRANCISCO LECARO , FRANCISCO LECARO Y JAIME ROLDOS ESQ.</v>
      </c>
      <c r="P111" s="65"/>
      <c r="Q111" s="65" t="str">
        <f>IFERROR(__xludf.DUMMYFUNCTION("""COMPUTED_VALUE"""),"SERVIENTREGA")</f>
        <v>SERVIENTREGA</v>
      </c>
      <c r="R111" s="65">
        <f>IFERROR(__xludf.DUMMYFUNCTION("""COMPUTED_VALUE"""),30.0)</f>
        <v>30</v>
      </c>
      <c r="S111" s="65"/>
      <c r="T111" s="65">
        <f>IFERROR(__xludf.DUMMYFUNCTION("""COMPUTED_VALUE"""),6.38)</f>
        <v>6.38</v>
      </c>
      <c r="U111" s="65">
        <f>IFERROR(__xludf.DUMMYFUNCTION("""COMPUTED_VALUE"""),0.0)</f>
        <v>0</v>
      </c>
      <c r="V111" s="65">
        <f>IFERROR(__xludf.DUMMYFUNCTION("""COMPUTED_VALUE"""),0.0)</f>
        <v>0</v>
      </c>
      <c r="W111" s="65">
        <f>IFERROR(__xludf.DUMMYFUNCTION("""COMPUTED_VALUE"""),0.0)</f>
        <v>0</v>
      </c>
      <c r="X111" s="65">
        <f>IFERROR(__xludf.DUMMYFUNCTION("""COMPUTED_VALUE"""),2.35)</f>
        <v>2.35</v>
      </c>
      <c r="Y111" s="65">
        <f>IFERROR(__xludf.DUMMYFUNCTION("""COMPUTED_VALUE"""),7.05)</f>
        <v>7.05</v>
      </c>
      <c r="Z111" s="65">
        <f>IFERROR(__xludf.DUMMYFUNCTION("""COMPUTED_VALUE"""),116679.0)</f>
        <v>116679</v>
      </c>
      <c r="AA111" s="65" t="str">
        <f>IFERROR(__xludf.DUMMYFUNCTION("""COMPUTED_VALUE"""),"AMC-2738")</f>
        <v>AMC-2738</v>
      </c>
      <c r="AB111" s="65"/>
      <c r="AC111" s="65" t="str">
        <f>IFERROR(__xludf.DUMMYFUNCTION("""COMPUTED_VALUE"""),"ESPONJA ANTILLUVIA DE PARABRISAS")</f>
        <v>ESPONJA ANTILLUVIA DE PARABRISAS</v>
      </c>
      <c r="AD111" s="65"/>
      <c r="AE111" s="65">
        <f>IFERROR(__xludf.DUMMYFUNCTION("""COMPUTED_VALUE"""),3.0)</f>
        <v>3</v>
      </c>
      <c r="AF111" s="65"/>
      <c r="AG111" s="65"/>
      <c r="AH111" s="65"/>
      <c r="AI111" s="65"/>
      <c r="AJ111" s="65"/>
      <c r="AK111" s="65"/>
      <c r="AL111" s="65"/>
      <c r="AM111" s="65"/>
      <c r="AN111" s="65"/>
      <c r="AO111" s="65"/>
      <c r="AP111" s="65"/>
      <c r="AQ111" s="65"/>
      <c r="AR111" s="65"/>
      <c r="AS111" s="65" t="str">
        <f>IFERROR(__xludf.DUMMYFUNCTION("""COMPUTED_VALUE"""),"PAUL BORJA")</f>
        <v>PAUL BORJA</v>
      </c>
      <c r="AT111" s="65"/>
      <c r="AU111" s="65"/>
      <c r="AV111" s="65"/>
      <c r="AW111" s="65"/>
      <c r="AX111" s="65"/>
      <c r="AY111" s="65"/>
      <c r="AZ111" s="65"/>
      <c r="BA111" s="65"/>
    </row>
    <row r="112">
      <c r="A112" s="65" t="str">
        <f>IFERROR(__xludf.DUMMYFUNCTION("""COMPUTED_VALUE"""),"27-03-2026")</f>
        <v>27-03-2026</v>
      </c>
      <c r="B112" s="65">
        <f>IFERROR(__xludf.DUMMYFUNCTION("""COMPUTED_VALUE"""),4839024.0)</f>
        <v>4839024</v>
      </c>
      <c r="C112" s="65" t="str">
        <f>IFERROR(__xludf.DUMMYFUNCTION("""COMPUTED_VALUE"""),"12:28")</f>
        <v>12:28</v>
      </c>
      <c r="D112" s="65" t="str">
        <f>IFERROR(__xludf.DUMMYFUNCTION("""COMPUTED_VALUE"""),"18-03-2026")</f>
        <v>18-03-2026</v>
      </c>
      <c r="E112" s="65" t="str">
        <f>IFERROR(__xludf.DUMMYFUNCTION("""COMPUTED_VALUE"""),"Rosalía Campuzano Araujo")</f>
        <v>Rosalía Campuzano Araujo</v>
      </c>
      <c r="F112" s="65" t="str">
        <f>IFERROR(__xludf.DUMMYFUNCTION("""COMPUTED_VALUE"""),"969220987")</f>
        <v>969220987</v>
      </c>
      <c r="G112" s="65" t="str">
        <f>IFERROR(__xludf.DUMMYFUNCTION("""COMPUTED_VALUE"""),"campuzanorosalia69@gmail.com")</f>
        <v>campuzanorosalia69@gmail.com</v>
      </c>
      <c r="H112" s="65"/>
      <c r="I112" s="65"/>
      <c r="J112" s="65" t="str">
        <f>IFERROR(__xludf.DUMMYFUNCTION("""COMPUTED_VALUE"""),"D001436720")</f>
        <v>D001436720</v>
      </c>
      <c r="K112" s="65" t="str">
        <f>IFERROR(__xludf.DUMMYFUNCTION("""COMPUTED_VALUE"""),"EN REPARTO")</f>
        <v>EN REPARTO</v>
      </c>
      <c r="L112" s="65" t="str">
        <f>IFERROR(__xludf.DUMMYFUNCTION("""COMPUTED_VALUE"""),"CON RECAUDO")</f>
        <v>CON RECAUDO</v>
      </c>
      <c r="M112" s="65" t="str">
        <f>IFERROR(__xludf.DUMMYFUNCTION("""COMPUTED_VALUE"""),"LOS RIOS")</f>
        <v>LOS RIOS</v>
      </c>
      <c r="N112" s="65" t="str">
        <f>IFERROR(__xludf.DUMMYFUNCTION("""COMPUTED_VALUE"""),"QUEVEDO")</f>
        <v>QUEVEDO</v>
      </c>
      <c r="O112" s="65" t="str">
        <f>IFERROR(__xludf.DUMMYFUNCTION("""COMPUTED_VALUE"""),"QUEVEDO.  PARROQUIA 7 DE OCTUBRE , GUAYACAN,  DIAGONAL AL COMERCIAL LA  CUADRA")</f>
        <v>QUEVEDO.  PARROQUIA 7 DE OCTUBRE , GUAYACAN,  DIAGONAL AL COMERCIAL LA  CUADRA</v>
      </c>
      <c r="P112" s="65"/>
      <c r="Q112" s="65" t="str">
        <f>IFERROR(__xludf.DUMMYFUNCTION("""COMPUTED_VALUE"""),"GINTRACOM")</f>
        <v>GINTRACOM</v>
      </c>
      <c r="R112" s="65">
        <f>IFERROR(__xludf.DUMMYFUNCTION("""COMPUTED_VALUE"""),30.0)</f>
        <v>30</v>
      </c>
      <c r="S112" s="65"/>
      <c r="T112" s="65">
        <f>IFERROR(__xludf.DUMMYFUNCTION("""COMPUTED_VALUE"""),6.16)</f>
        <v>6.16</v>
      </c>
      <c r="U112" s="65">
        <f>IFERROR(__xludf.DUMMYFUNCTION("""COMPUTED_VALUE"""),0.0)</f>
        <v>0</v>
      </c>
      <c r="V112" s="65">
        <f>IFERROR(__xludf.DUMMYFUNCTION("""COMPUTED_VALUE"""),0.0)</f>
        <v>0</v>
      </c>
      <c r="W112" s="65">
        <f>IFERROR(__xludf.DUMMYFUNCTION("""COMPUTED_VALUE"""),0.0)</f>
        <v>0</v>
      </c>
      <c r="X112" s="65">
        <f>IFERROR(__xludf.DUMMYFUNCTION("""COMPUTED_VALUE"""),2.35)</f>
        <v>2.35</v>
      </c>
      <c r="Y112" s="65">
        <f>IFERROR(__xludf.DUMMYFUNCTION("""COMPUTED_VALUE"""),7.05)</f>
        <v>7.05</v>
      </c>
      <c r="Z112" s="65">
        <f>IFERROR(__xludf.DUMMYFUNCTION("""COMPUTED_VALUE"""),116679.0)</f>
        <v>116679</v>
      </c>
      <c r="AA112" s="65" t="str">
        <f>IFERROR(__xludf.DUMMYFUNCTION("""COMPUTED_VALUE"""),"AMC-2738")</f>
        <v>AMC-2738</v>
      </c>
      <c r="AB112" s="65"/>
      <c r="AC112" s="65" t="str">
        <f>IFERROR(__xludf.DUMMYFUNCTION("""COMPUTED_VALUE"""),"ESPONJA ANTILLUVIA DE PARABRISAS")</f>
        <v>ESPONJA ANTILLUVIA DE PARABRISAS</v>
      </c>
      <c r="AD112" s="65"/>
      <c r="AE112" s="65">
        <f>IFERROR(__xludf.DUMMYFUNCTION("""COMPUTED_VALUE"""),3.0)</f>
        <v>3</v>
      </c>
      <c r="AF112" s="65"/>
      <c r="AG112" s="65"/>
      <c r="AH112" s="65"/>
      <c r="AI112" s="65"/>
      <c r="AJ112" s="65"/>
      <c r="AK112" s="65"/>
      <c r="AL112" s="65"/>
      <c r="AM112" s="65"/>
      <c r="AN112" s="65" t="str">
        <f>IFERROR(__xludf.DUMMYFUNCTION("""COMPUTED_VALUE"""),"09:11")</f>
        <v>09:11</v>
      </c>
      <c r="AO112" s="65" t="str">
        <f>IFERROR(__xludf.DUMMYFUNCTION("""COMPUTED_VALUE"""),"26-03-2026")</f>
        <v>26-03-2026</v>
      </c>
      <c r="AP112" s="65" t="str">
        <f>IFERROR(__xludf.DUMMYFUNCTION("""COMPUTED_VALUE"""),"EN REPARTO")</f>
        <v>EN REPARTO</v>
      </c>
      <c r="AQ112" s="65" t="str">
        <f>IFERROR(__xludf.DUMMYFUNCTION("""COMPUTED_VALUE"""),"EN REPARTO")</f>
        <v>EN REPARTO</v>
      </c>
      <c r="AR112" s="65"/>
      <c r="AS112" s="65"/>
      <c r="AT112" s="65" t="str">
        <f>IFERROR(__xludf.DUMMYFUNCTION("""COMPUTED_VALUE"""),"SHOPIFY")</f>
        <v>SHOPIFY</v>
      </c>
      <c r="AU112" s="65" t="str">
        <f>IFERROR(__xludf.DUMMYFUNCTION("""COMPUTED_VALUE"""),"IMPORTEX EC")</f>
        <v>IMPORTEX EC</v>
      </c>
      <c r="AV112" s="65" t="str">
        <f>IFERROR(__xludf.DUMMYFUNCTION("""COMPUTED_VALUE"""),"6587479293996")</f>
        <v>6587479293996</v>
      </c>
      <c r="AW112" s="65">
        <f>IFERROR(__xludf.DUMMYFUNCTION("""COMPUTED_VALUE"""),6734.0)</f>
        <v>6734</v>
      </c>
      <c r="AX112" s="65"/>
      <c r="AY112" s="65" t="str">
        <f>IFERROR(__xludf.DUMMYFUNCTION("""COMPUTED_VALUE"""),"20/03/2026")</f>
        <v>20/03/2026</v>
      </c>
      <c r="AZ112" s="65"/>
      <c r="BA112" s="65"/>
    </row>
    <row r="113">
      <c r="A113" s="65" t="str">
        <f>IFERROR(__xludf.DUMMYFUNCTION("""COMPUTED_VALUE"""),"27-03-2026")</f>
        <v>27-03-2026</v>
      </c>
      <c r="B113" s="65">
        <f>IFERROR(__xludf.DUMMYFUNCTION("""COMPUTED_VALUE"""),4838588.0)</f>
        <v>4838588</v>
      </c>
      <c r="C113" s="65" t="str">
        <f>IFERROR(__xludf.DUMMYFUNCTION("""COMPUTED_VALUE"""),"11:47")</f>
        <v>11:47</v>
      </c>
      <c r="D113" s="65" t="str">
        <f>IFERROR(__xludf.DUMMYFUNCTION("""COMPUTED_VALUE"""),"18-03-2026")</f>
        <v>18-03-2026</v>
      </c>
      <c r="E113" s="65" t="str">
        <f>IFERROR(__xludf.DUMMYFUNCTION("""COMPUTED_VALUE"""),"ALEX BORJA")</f>
        <v>ALEX BORJA</v>
      </c>
      <c r="F113" s="65" t="str">
        <f>IFERROR(__xludf.DUMMYFUNCTION("""COMPUTED_VALUE"""),"979110761")</f>
        <v>979110761</v>
      </c>
      <c r="G113" s="65" t="str">
        <f>IFERROR(__xludf.DUMMYFUNCTION("""COMPUTED_VALUE"""),"importex120622@gmail.com")</f>
        <v>importex120622@gmail.com</v>
      </c>
      <c r="H113" s="65"/>
      <c r="I113" s="65"/>
      <c r="J113" s="65"/>
      <c r="K113" s="65" t="str">
        <f>IFERROR(__xludf.DUMMYFUNCTION("""COMPUTED_VALUE"""),"PENDIENTE CONFIRMACION")</f>
        <v>PENDIENTE CONFIRMACION</v>
      </c>
      <c r="L113" s="65" t="str">
        <f>IFERROR(__xludf.DUMMYFUNCTION("""COMPUTED_VALUE"""),"CON RECAUDO")</f>
        <v>CON RECAUDO</v>
      </c>
      <c r="M113" s="65" t="str">
        <f>IFERROR(__xludf.DUMMYFUNCTION("""COMPUTED_VALUE"""),"PICHINCHA")</f>
        <v>PICHINCHA</v>
      </c>
      <c r="N113" s="65" t="str">
        <f>IFERROR(__xludf.DUMMYFUNCTION("""COMPUTED_VALUE"""),"QUITO")</f>
        <v>QUITO</v>
      </c>
      <c r="O113" s="65" t="str">
        <f>IFERROR(__xludf.DUMMYFUNCTION("""COMPUTED_VALUE"""),"LAS CASAS LAS CASS -")</f>
        <v>LAS CASAS LAS CASS -</v>
      </c>
      <c r="P113" s="65"/>
      <c r="Q113" s="65" t="str">
        <f>IFERROR(__xludf.DUMMYFUNCTION("""COMPUTED_VALUE"""),"GINTRACOM")</f>
        <v>GINTRACOM</v>
      </c>
      <c r="R113" s="65">
        <f>IFERROR(__xludf.DUMMYFUNCTION("""COMPUTED_VALUE"""),22.0)</f>
        <v>22</v>
      </c>
      <c r="S113" s="65"/>
      <c r="T113" s="65">
        <f>IFERROR(__xludf.DUMMYFUNCTION("""COMPUTED_VALUE"""),4.23)</f>
        <v>4.23</v>
      </c>
      <c r="U113" s="65">
        <f>IFERROR(__xludf.DUMMYFUNCTION("""COMPUTED_VALUE"""),0.0)</f>
        <v>0</v>
      </c>
      <c r="V113" s="65">
        <f>IFERROR(__xludf.DUMMYFUNCTION("""COMPUTED_VALUE"""),0.0)</f>
        <v>0</v>
      </c>
      <c r="W113" s="65">
        <f>IFERROR(__xludf.DUMMYFUNCTION("""COMPUTED_VALUE"""),0.0)</f>
        <v>0</v>
      </c>
      <c r="X113" s="65">
        <f>IFERROR(__xludf.DUMMYFUNCTION("""COMPUTED_VALUE"""),5.0)</f>
        <v>5</v>
      </c>
      <c r="Y113" s="65">
        <f>IFERROR(__xludf.DUMMYFUNCTION("""COMPUTED_VALUE"""),5.0)</f>
        <v>5</v>
      </c>
      <c r="Z113" s="65">
        <f>IFERROR(__xludf.DUMMYFUNCTION("""COMPUTED_VALUE"""),110680.0)</f>
        <v>110680</v>
      </c>
      <c r="AA113" s="65" t="str">
        <f>IFERROR(__xludf.DUMMYFUNCTION("""COMPUTED_VALUE"""),"IMP-044-PARG200")</f>
        <v>IMP-044-PARG200</v>
      </c>
      <c r="AB113" s="65"/>
      <c r="AC113" s="65" t="str">
        <f>IFERROR(__xludf.DUMMYFUNCTION("""COMPUTED_VALUE"""),"Altavoz Bluetooth magnético G200")</f>
        <v>Altavoz Bluetooth magnético G200</v>
      </c>
      <c r="AD113" s="65"/>
      <c r="AE113" s="65">
        <f>IFERROR(__xludf.DUMMYFUNCTION("""COMPUTED_VALUE"""),1.0)</f>
        <v>1</v>
      </c>
      <c r="AF113" s="65"/>
      <c r="AG113" s="65"/>
      <c r="AH113" s="65"/>
      <c r="AI113" s="65"/>
      <c r="AJ113" s="65"/>
      <c r="AK113" s="65"/>
      <c r="AL113" s="65"/>
      <c r="AM113" s="65"/>
      <c r="AN113" s="65"/>
      <c r="AO113" s="65"/>
      <c r="AP113" s="65"/>
      <c r="AQ113" s="65"/>
      <c r="AR113" s="65"/>
      <c r="AS113" s="65"/>
      <c r="AT113" s="65" t="str">
        <f>IFERROR(__xludf.DUMMYFUNCTION("""COMPUTED_VALUE"""),"SHOPIFY")</f>
        <v>SHOPIFY</v>
      </c>
      <c r="AU113" s="65" t="str">
        <f>IFERROR(__xludf.DUMMYFUNCTION("""COMPUTED_VALUE"""),"IMPORTEX EC")</f>
        <v>IMPORTEX EC</v>
      </c>
      <c r="AV113" s="65" t="str">
        <f>IFERROR(__xludf.DUMMYFUNCTION("""COMPUTED_VALUE"""),"6587386626092")</f>
        <v>6587386626092</v>
      </c>
      <c r="AW113" s="65">
        <f>IFERROR(__xludf.DUMMYFUNCTION("""COMPUTED_VALUE"""),6733.0)</f>
        <v>6733</v>
      </c>
      <c r="AX113" s="65"/>
      <c r="AY113" s="65"/>
      <c r="AZ113" s="65"/>
      <c r="BA113" s="65"/>
    </row>
    <row r="114">
      <c r="A114" s="65" t="str">
        <f>IFERROR(__xludf.DUMMYFUNCTION("""COMPUTED_VALUE"""),"27-03-2026")</f>
        <v>27-03-2026</v>
      </c>
      <c r="B114" s="65">
        <f>IFERROR(__xludf.DUMMYFUNCTION("""COMPUTED_VALUE"""),4836488.0)</f>
        <v>4836488</v>
      </c>
      <c r="C114" s="65" t="str">
        <f>IFERROR(__xludf.DUMMYFUNCTION("""COMPUTED_VALUE"""),"08:44")</f>
        <v>08:44</v>
      </c>
      <c r="D114" s="65" t="str">
        <f>IFERROR(__xludf.DUMMYFUNCTION("""COMPUTED_VALUE"""),"18-03-2026")</f>
        <v>18-03-2026</v>
      </c>
      <c r="E114" s="65" t="str">
        <f>IFERROR(__xludf.DUMMYFUNCTION("""COMPUTED_VALUE"""),"Paul Troya")</f>
        <v>Paul Troya</v>
      </c>
      <c r="F114" s="65" t="str">
        <f>IFERROR(__xludf.DUMMYFUNCTION("""COMPUTED_VALUE"""),"984148121")</f>
        <v>984148121</v>
      </c>
      <c r="G114" s="65" t="str">
        <f>IFERROR(__xludf.DUMMYFUNCTION("""COMPUTED_VALUE"""),"paul-w-troy@hotmail.com")</f>
        <v>paul-w-troy@hotmail.com</v>
      </c>
      <c r="H114" s="65"/>
      <c r="I114" s="65"/>
      <c r="J114" s="65"/>
      <c r="K114" s="65" t="str">
        <f>IFERROR(__xludf.DUMMYFUNCTION("""COMPUTED_VALUE"""),"CANCELADO")</f>
        <v>CANCELADO</v>
      </c>
      <c r="L114" s="65" t="str">
        <f>IFERROR(__xludf.DUMMYFUNCTION("""COMPUTED_VALUE"""),"CON RECAUDO")</f>
        <v>CON RECAUDO</v>
      </c>
      <c r="M114" s="65" t="str">
        <f>IFERROR(__xludf.DUMMYFUNCTION("""COMPUTED_VALUE"""),"PICHINCHA")</f>
        <v>PICHINCHA</v>
      </c>
      <c r="N114" s="65" t="str">
        <f>IFERROR(__xludf.DUMMYFUNCTION("""COMPUTED_VALUE"""),"QUITO")</f>
        <v>QUITO</v>
      </c>
      <c r="O114" s="65" t="str">
        <f>IFERROR(__xludf.DUMMYFUNCTION("""COMPUTED_VALUE"""),"Pedro tobar y Antonia Salinas Urbanizacion madrigal -")</f>
        <v>Pedro tobar y Antonia Salinas Urbanizacion madrigal -</v>
      </c>
      <c r="P114" s="65"/>
      <c r="Q114" s="65" t="str">
        <f>IFERROR(__xludf.DUMMYFUNCTION("""COMPUTED_VALUE"""),"GINTRACOM")</f>
        <v>GINTRACOM</v>
      </c>
      <c r="R114" s="65">
        <f>IFERROR(__xludf.DUMMYFUNCTION("""COMPUTED_VALUE"""),25.0)</f>
        <v>25</v>
      </c>
      <c r="S114" s="65"/>
      <c r="T114" s="65">
        <f>IFERROR(__xludf.DUMMYFUNCTION("""COMPUTED_VALUE"""),4.35)</f>
        <v>4.35</v>
      </c>
      <c r="U114" s="65">
        <f>IFERROR(__xludf.DUMMYFUNCTION("""COMPUTED_VALUE"""),0.0)</f>
        <v>0</v>
      </c>
      <c r="V114" s="65">
        <f>IFERROR(__xludf.DUMMYFUNCTION("""COMPUTED_VALUE"""),0.0)</f>
        <v>0</v>
      </c>
      <c r="W114" s="65">
        <f>IFERROR(__xludf.DUMMYFUNCTION("""COMPUTED_VALUE"""),0.0)</f>
        <v>0</v>
      </c>
      <c r="X114" s="65">
        <f>IFERROR(__xludf.DUMMYFUNCTION("""COMPUTED_VALUE"""),2.35)</f>
        <v>2.35</v>
      </c>
      <c r="Y114" s="65">
        <f>IFERROR(__xludf.DUMMYFUNCTION("""COMPUTED_VALUE"""),4.7)</f>
        <v>4.7</v>
      </c>
      <c r="Z114" s="65">
        <f>IFERROR(__xludf.DUMMYFUNCTION("""COMPUTED_VALUE"""),116679.0)</f>
        <v>116679</v>
      </c>
      <c r="AA114" s="65" t="str">
        <f>IFERROR(__xludf.DUMMYFUNCTION("""COMPUTED_VALUE"""),"AMC-2738")</f>
        <v>AMC-2738</v>
      </c>
      <c r="AB114" s="65"/>
      <c r="AC114" s="65" t="str">
        <f>IFERROR(__xludf.DUMMYFUNCTION("""COMPUTED_VALUE"""),"ESPONJA ANTILLUVIA DE PARABRISAS")</f>
        <v>ESPONJA ANTILLUVIA DE PARABRISAS</v>
      </c>
      <c r="AD114" s="65"/>
      <c r="AE114" s="65">
        <f>IFERROR(__xludf.DUMMYFUNCTION("""COMPUTED_VALUE"""),2.0)</f>
        <v>2</v>
      </c>
      <c r="AF114" s="65"/>
      <c r="AG114" s="65"/>
      <c r="AH114" s="65"/>
      <c r="AI114" s="65"/>
      <c r="AJ114" s="65"/>
      <c r="AK114" s="65"/>
      <c r="AL114" s="65"/>
      <c r="AM114" s="65"/>
      <c r="AN114" s="65"/>
      <c r="AO114" s="65"/>
      <c r="AP114" s="65"/>
      <c r="AQ114" s="65"/>
      <c r="AR114" s="65"/>
      <c r="AS114" s="65"/>
      <c r="AT114" s="65" t="str">
        <f>IFERROR(__xludf.DUMMYFUNCTION("""COMPUTED_VALUE"""),"SHOPIFY")</f>
        <v>SHOPIFY</v>
      </c>
      <c r="AU114" s="65" t="str">
        <f>IFERROR(__xludf.DUMMYFUNCTION("""COMPUTED_VALUE"""),"IMPORTEX EC")</f>
        <v>IMPORTEX EC</v>
      </c>
      <c r="AV114" s="65" t="str">
        <f>IFERROR(__xludf.DUMMYFUNCTION("""COMPUTED_VALUE"""),"6586973978668")</f>
        <v>6586973978668</v>
      </c>
      <c r="AW114" s="65">
        <f>IFERROR(__xludf.DUMMYFUNCTION("""COMPUTED_VALUE"""),6732.0)</f>
        <v>6732</v>
      </c>
      <c r="AX114" s="65"/>
      <c r="AY114" s="65"/>
      <c r="AZ114" s="65"/>
      <c r="BA114" s="65"/>
    </row>
    <row r="115">
      <c r="A115" s="65" t="str">
        <f>IFERROR(__xludf.DUMMYFUNCTION("""COMPUTED_VALUE"""),"27-03-2026")</f>
        <v>27-03-2026</v>
      </c>
      <c r="B115" s="65">
        <f>IFERROR(__xludf.DUMMYFUNCTION("""COMPUTED_VALUE"""),4836364.0)</f>
        <v>4836364</v>
      </c>
      <c r="C115" s="65" t="str">
        <f>IFERROR(__xludf.DUMMYFUNCTION("""COMPUTED_VALUE"""),"08:32")</f>
        <v>08:32</v>
      </c>
      <c r="D115" s="65" t="str">
        <f>IFERROR(__xludf.DUMMYFUNCTION("""COMPUTED_VALUE"""),"18-03-2026")</f>
        <v>18-03-2026</v>
      </c>
      <c r="E115" s="65" t="str">
        <f>IFERROR(__xludf.DUMMYFUNCTION("""COMPUTED_VALUE"""),"Carlos Campoverde")</f>
        <v>Carlos Campoverde</v>
      </c>
      <c r="F115" s="65" t="str">
        <f>IFERROR(__xludf.DUMMYFUNCTION("""COMPUTED_VALUE"""),"996501959")</f>
        <v>996501959</v>
      </c>
      <c r="G115" s="65" t="str">
        <f>IFERROR(__xludf.DUMMYFUNCTION("""COMPUTED_VALUE"""),"sin-fronteras1@hotmail.com")</f>
        <v>sin-fronteras1@hotmail.com</v>
      </c>
      <c r="H115" s="65"/>
      <c r="I115" s="65"/>
      <c r="J115" s="65"/>
      <c r="K115" s="65" t="str">
        <f>IFERROR(__xludf.DUMMYFUNCTION("""COMPUTED_VALUE"""),"CANCELADO")</f>
        <v>CANCELADO</v>
      </c>
      <c r="L115" s="65" t="str">
        <f>IFERROR(__xludf.DUMMYFUNCTION("""COMPUTED_VALUE"""),"CON RECAUDO")</f>
        <v>CON RECAUDO</v>
      </c>
      <c r="M115" s="65" t="str">
        <f>IFERROR(__xludf.DUMMYFUNCTION("""COMPUTED_VALUE"""),"LOJA")</f>
        <v>LOJA</v>
      </c>
      <c r="N115" s="65" t="str">
        <f>IFERROR(__xludf.DUMMYFUNCTION("""COMPUTED_VALUE"""),"LOJA")</f>
        <v>LOJA</v>
      </c>
      <c r="O115" s="65" t="str">
        <f>IFERROR(__xludf.DUMMYFUNCTION("""COMPUTED_VALUE"""),"me llaman y los encuentro Barrio Esmeralda norte -")</f>
        <v>me llaman y los encuentro Barrio Esmeralda norte -</v>
      </c>
      <c r="P115" s="65"/>
      <c r="Q115" s="65" t="str">
        <f>IFERROR(__xludf.DUMMYFUNCTION("""COMPUTED_VALUE"""),"GINTRACOM")</f>
        <v>GINTRACOM</v>
      </c>
      <c r="R115" s="65">
        <f>IFERROR(__xludf.DUMMYFUNCTION("""COMPUTED_VALUE"""),30.0)</f>
        <v>30</v>
      </c>
      <c r="S115" s="65"/>
      <c r="T115" s="65">
        <f>IFERROR(__xludf.DUMMYFUNCTION("""COMPUTED_VALUE"""),6.16)</f>
        <v>6.16</v>
      </c>
      <c r="U115" s="65">
        <f>IFERROR(__xludf.DUMMYFUNCTION("""COMPUTED_VALUE"""),0.0)</f>
        <v>0</v>
      </c>
      <c r="V115" s="65">
        <f>IFERROR(__xludf.DUMMYFUNCTION("""COMPUTED_VALUE"""),0.0)</f>
        <v>0</v>
      </c>
      <c r="W115" s="65">
        <f>IFERROR(__xludf.DUMMYFUNCTION("""COMPUTED_VALUE"""),0.0)</f>
        <v>0</v>
      </c>
      <c r="X115" s="65">
        <f>IFERROR(__xludf.DUMMYFUNCTION("""COMPUTED_VALUE"""),2.35)</f>
        <v>2.35</v>
      </c>
      <c r="Y115" s="65">
        <f>IFERROR(__xludf.DUMMYFUNCTION("""COMPUTED_VALUE"""),7.05)</f>
        <v>7.05</v>
      </c>
      <c r="Z115" s="65">
        <f>IFERROR(__xludf.DUMMYFUNCTION("""COMPUTED_VALUE"""),116679.0)</f>
        <v>116679</v>
      </c>
      <c r="AA115" s="65" t="str">
        <f>IFERROR(__xludf.DUMMYFUNCTION("""COMPUTED_VALUE"""),"AMC-2738")</f>
        <v>AMC-2738</v>
      </c>
      <c r="AB115" s="65"/>
      <c r="AC115" s="65" t="str">
        <f>IFERROR(__xludf.DUMMYFUNCTION("""COMPUTED_VALUE"""),"ESPONJA ANTILLUVIA DE PARABRISAS")</f>
        <v>ESPONJA ANTILLUVIA DE PARABRISAS</v>
      </c>
      <c r="AD115" s="65"/>
      <c r="AE115" s="65">
        <f>IFERROR(__xludf.DUMMYFUNCTION("""COMPUTED_VALUE"""),3.0)</f>
        <v>3</v>
      </c>
      <c r="AF115" s="65"/>
      <c r="AG115" s="65"/>
      <c r="AH115" s="65"/>
      <c r="AI115" s="65"/>
      <c r="AJ115" s="65"/>
      <c r="AK115" s="65"/>
      <c r="AL115" s="65"/>
      <c r="AM115" s="65"/>
      <c r="AN115" s="65"/>
      <c r="AO115" s="65"/>
      <c r="AP115" s="65"/>
      <c r="AQ115" s="65"/>
      <c r="AR115" s="65"/>
      <c r="AS115" s="65"/>
      <c r="AT115" s="65" t="str">
        <f>IFERROR(__xludf.DUMMYFUNCTION("""COMPUTED_VALUE"""),"SHOPIFY")</f>
        <v>SHOPIFY</v>
      </c>
      <c r="AU115" s="65" t="str">
        <f>IFERROR(__xludf.DUMMYFUNCTION("""COMPUTED_VALUE"""),"IMPORTEX EC")</f>
        <v>IMPORTEX EC</v>
      </c>
      <c r="AV115" s="65" t="str">
        <f>IFERROR(__xludf.DUMMYFUNCTION("""COMPUTED_VALUE"""),"6586943701036")</f>
        <v>6586943701036</v>
      </c>
      <c r="AW115" s="65">
        <f>IFERROR(__xludf.DUMMYFUNCTION("""COMPUTED_VALUE"""),6731.0)</f>
        <v>6731</v>
      </c>
      <c r="AX115" s="65"/>
      <c r="AY115" s="65"/>
      <c r="AZ115" s="65"/>
      <c r="BA115" s="65"/>
    </row>
    <row r="116">
      <c r="A116" s="65" t="str">
        <f>IFERROR(__xludf.DUMMYFUNCTION("""COMPUTED_VALUE"""),"27-03-2026")</f>
        <v>27-03-2026</v>
      </c>
      <c r="B116" s="65">
        <f>IFERROR(__xludf.DUMMYFUNCTION("""COMPUTED_VALUE"""),4836044.0)</f>
        <v>4836044</v>
      </c>
      <c r="C116" s="65" t="str">
        <f>IFERROR(__xludf.DUMMYFUNCTION("""COMPUTED_VALUE"""),"07:57")</f>
        <v>07:57</v>
      </c>
      <c r="D116" s="65" t="str">
        <f>IFERROR(__xludf.DUMMYFUNCTION("""COMPUTED_VALUE"""),"18-03-2026")</f>
        <v>18-03-2026</v>
      </c>
      <c r="E116" s="65" t="str">
        <f>IFERROR(__xludf.DUMMYFUNCTION("""COMPUTED_VALUE"""),"Leopoldo Merino")</f>
        <v>Leopoldo Merino</v>
      </c>
      <c r="F116" s="65" t="str">
        <f>IFERROR(__xludf.DUMMYFUNCTION("""COMPUTED_VALUE"""),"990444621")</f>
        <v>990444621</v>
      </c>
      <c r="G116" s="65" t="str">
        <f>IFERROR(__xludf.DUMMYFUNCTION("""COMPUTED_VALUE"""),"merinoleopoldo6@gmail.com")</f>
        <v>merinoleopoldo6@gmail.com</v>
      </c>
      <c r="H116" s="65"/>
      <c r="I116" s="65"/>
      <c r="J116" s="65" t="str">
        <f>IFERROR(__xludf.DUMMYFUNCTION("""COMPUTED_VALUE"""),"D001438015")</f>
        <v>D001438015</v>
      </c>
      <c r="K116" s="65" t="str">
        <f>IFERROR(__xludf.DUMMYFUNCTION("""COMPUTED_VALUE"""),"ENTREGADO")</f>
        <v>ENTREGADO</v>
      </c>
      <c r="L116" s="65" t="str">
        <f>IFERROR(__xludf.DUMMYFUNCTION("""COMPUTED_VALUE"""),"CON RECAUDO")</f>
        <v>CON RECAUDO</v>
      </c>
      <c r="M116" s="65" t="str">
        <f>IFERROR(__xludf.DUMMYFUNCTION("""COMPUTED_VALUE"""),"MORONA SANTIAGO")</f>
        <v>MORONA SANTIAGO</v>
      </c>
      <c r="N116" s="65" t="str">
        <f>IFERROR(__xludf.DUMMYFUNCTION("""COMPUTED_VALUE"""),"MACAS")</f>
        <v>MACAS</v>
      </c>
      <c r="O116" s="65" t="str">
        <f>IFERROR(__xludf.DUMMYFUNCTION("""COMPUTED_VALUE"""),"Avenida 29 de Mayo y Guamote,  Diagonal a la gobernación - Casa 3 pisos color Terracota")</f>
        <v>Avenida 29 de Mayo y Guamote,  Diagonal a la gobernación - Casa 3 pisos color Terracota</v>
      </c>
      <c r="P116" s="65"/>
      <c r="Q116" s="65" t="str">
        <f>IFERROR(__xludf.DUMMYFUNCTION("""COMPUTED_VALUE"""),"GINTRACOM")</f>
        <v>GINTRACOM</v>
      </c>
      <c r="R116" s="65">
        <f>IFERROR(__xludf.DUMMYFUNCTION("""COMPUTED_VALUE"""),25.0)</f>
        <v>25</v>
      </c>
      <c r="S116" s="65">
        <f>IFERROR(__xludf.DUMMYFUNCTION("""COMPUTED_VALUE"""),14.34)</f>
        <v>14.34</v>
      </c>
      <c r="T116" s="65">
        <f>IFERROR(__xludf.DUMMYFUNCTION("""COMPUTED_VALUE"""),5.96)</f>
        <v>5.96</v>
      </c>
      <c r="U116" s="65">
        <f>IFERROR(__xludf.DUMMYFUNCTION("""COMPUTED_VALUE"""),0.0)</f>
        <v>0</v>
      </c>
      <c r="V116" s="65">
        <f>IFERROR(__xludf.DUMMYFUNCTION("""COMPUTED_VALUE"""),0.0)</f>
        <v>0</v>
      </c>
      <c r="W116" s="65">
        <f>IFERROR(__xludf.DUMMYFUNCTION("""COMPUTED_VALUE"""),0.0)</f>
        <v>0</v>
      </c>
      <c r="X116" s="65">
        <f>IFERROR(__xludf.DUMMYFUNCTION("""COMPUTED_VALUE"""),2.35)</f>
        <v>2.35</v>
      </c>
      <c r="Y116" s="65">
        <f>IFERROR(__xludf.DUMMYFUNCTION("""COMPUTED_VALUE"""),4.7)</f>
        <v>4.7</v>
      </c>
      <c r="Z116" s="65">
        <f>IFERROR(__xludf.DUMMYFUNCTION("""COMPUTED_VALUE"""),116679.0)</f>
        <v>116679</v>
      </c>
      <c r="AA116" s="65" t="str">
        <f>IFERROR(__xludf.DUMMYFUNCTION("""COMPUTED_VALUE"""),"AMC-2738")</f>
        <v>AMC-2738</v>
      </c>
      <c r="AB116" s="65"/>
      <c r="AC116" s="65" t="str">
        <f>IFERROR(__xludf.DUMMYFUNCTION("""COMPUTED_VALUE"""),"ESPONJA ANTILLUVIA DE PARABRISAS")</f>
        <v>ESPONJA ANTILLUVIA DE PARABRISAS</v>
      </c>
      <c r="AD116" s="65"/>
      <c r="AE116" s="65">
        <f>IFERROR(__xludf.DUMMYFUNCTION("""COMPUTED_VALUE"""),2.0)</f>
        <v>2</v>
      </c>
      <c r="AF116" s="65"/>
      <c r="AG116" s="65"/>
      <c r="AH116" s="65"/>
      <c r="AI116" s="65"/>
      <c r="AJ116" s="65"/>
      <c r="AK116" s="65"/>
      <c r="AL116" s="65"/>
      <c r="AM116" s="65"/>
      <c r="AN116" s="65" t="str">
        <f>IFERROR(__xludf.DUMMYFUNCTION("""COMPUTED_VALUE"""),"13:27")</f>
        <v>13:27</v>
      </c>
      <c r="AO116" s="65" t="str">
        <f>IFERROR(__xludf.DUMMYFUNCTION("""COMPUTED_VALUE"""),"26-03-2026")</f>
        <v>26-03-2026</v>
      </c>
      <c r="AP116" s="65" t="str">
        <f>IFERROR(__xludf.DUMMYFUNCTION("""COMPUTED_VALUE"""),"ENTREGADA GINTRACOM")</f>
        <v>ENTREGADA GINTRACOM</v>
      </c>
      <c r="AQ116" s="65" t="str">
        <f>IFERROR(__xludf.DUMMYFUNCTION("""COMPUTED_VALUE"""),"ENTREGADA GINTRACOM")</f>
        <v>ENTREGADA GINTRACOM</v>
      </c>
      <c r="AR116" s="65"/>
      <c r="AS116" s="65"/>
      <c r="AT116" s="65" t="str">
        <f>IFERROR(__xludf.DUMMYFUNCTION("""COMPUTED_VALUE"""),"SHOPIFY")</f>
        <v>SHOPIFY</v>
      </c>
      <c r="AU116" s="65" t="str">
        <f>IFERROR(__xludf.DUMMYFUNCTION("""COMPUTED_VALUE"""),"IMPORTEX EC")</f>
        <v>IMPORTEX EC</v>
      </c>
      <c r="AV116" s="65" t="str">
        <f>IFERROR(__xludf.DUMMYFUNCTION("""COMPUTED_VALUE"""),"6586875379756")</f>
        <v>6586875379756</v>
      </c>
      <c r="AW116" s="65">
        <f>IFERROR(__xludf.DUMMYFUNCTION("""COMPUTED_VALUE"""),6730.0)</f>
        <v>6730</v>
      </c>
      <c r="AX116" s="65"/>
      <c r="AY116" s="65" t="str">
        <f>IFERROR(__xludf.DUMMYFUNCTION("""COMPUTED_VALUE"""),"20/03/2026")</f>
        <v>20/03/2026</v>
      </c>
      <c r="AZ116" s="65"/>
      <c r="BA116" s="65"/>
    </row>
    <row r="117">
      <c r="A117" s="65" t="str">
        <f>IFERROR(__xludf.DUMMYFUNCTION("""COMPUTED_VALUE"""),"27-03-2026")</f>
        <v>27-03-2026</v>
      </c>
      <c r="B117" s="65">
        <f>IFERROR(__xludf.DUMMYFUNCTION("""COMPUTED_VALUE"""),4835709.0)</f>
        <v>4835709</v>
      </c>
      <c r="C117" s="65" t="str">
        <f>IFERROR(__xludf.DUMMYFUNCTION("""COMPUTED_VALUE"""),"07:16")</f>
        <v>07:16</v>
      </c>
      <c r="D117" s="65" t="str">
        <f>IFERROR(__xludf.DUMMYFUNCTION("""COMPUTED_VALUE"""),"18-03-2026")</f>
        <v>18-03-2026</v>
      </c>
      <c r="E117" s="65" t="str">
        <f>IFERROR(__xludf.DUMMYFUNCTION("""COMPUTED_VALUE"""),"Patricia posligua Ortiz")</f>
        <v>Patricia posligua Ortiz</v>
      </c>
      <c r="F117" s="65" t="str">
        <f>IFERROR(__xludf.DUMMYFUNCTION("""COMPUTED_VALUE"""),"984310809")</f>
        <v>984310809</v>
      </c>
      <c r="G117" s="65" t="str">
        <f>IFERROR(__xludf.DUMMYFUNCTION("""COMPUTED_VALUE"""),"liz.posligua68@gmail.com")</f>
        <v>liz.posligua68@gmail.com</v>
      </c>
      <c r="H117" s="65"/>
      <c r="I117" s="65"/>
      <c r="J117" s="65" t="str">
        <f>IFERROR(__xludf.DUMMYFUNCTION("""COMPUTED_VALUE"""),"D001436241")</f>
        <v>D001436241</v>
      </c>
      <c r="K117" s="65" t="str">
        <f>IFERROR(__xludf.DUMMYFUNCTION("""COMPUTED_VALUE"""),"ENTREGADO")</f>
        <v>ENTREGADO</v>
      </c>
      <c r="L117" s="65" t="str">
        <f>IFERROR(__xludf.DUMMYFUNCTION("""COMPUTED_VALUE"""),"CON RECAUDO")</f>
        <v>CON RECAUDO</v>
      </c>
      <c r="M117" s="65" t="str">
        <f>IFERROR(__xludf.DUMMYFUNCTION("""COMPUTED_VALUE"""),"MANABI")</f>
        <v>MANABI</v>
      </c>
      <c r="N117" s="65" t="str">
        <f>IFERROR(__xludf.DUMMYFUNCTION("""COMPUTED_VALUE"""),"MANTA")</f>
        <v>MANTA</v>
      </c>
      <c r="O117" s="65" t="str">
        <f>IFERROR(__xludf.DUMMYFUNCTION("""COMPUTED_VALUE"""),"Avenida 24 de Mayo,  frente a la Bahia  -  ALMACEN YAMAMOTOR")</f>
        <v>Avenida 24 de Mayo,  frente a la Bahia  -  ALMACEN YAMAMOTOR</v>
      </c>
      <c r="P117" s="65"/>
      <c r="Q117" s="65" t="str">
        <f>IFERROR(__xludf.DUMMYFUNCTION("""COMPUTED_VALUE"""),"GINTRACOM")</f>
        <v>GINTRACOM</v>
      </c>
      <c r="R117" s="65">
        <f>IFERROR(__xludf.DUMMYFUNCTION("""COMPUTED_VALUE"""),25.0)</f>
        <v>25</v>
      </c>
      <c r="S117" s="65">
        <f>IFERROR(__xludf.DUMMYFUNCTION("""COMPUTED_VALUE"""),14.34)</f>
        <v>14.34</v>
      </c>
      <c r="T117" s="65">
        <f>IFERROR(__xludf.DUMMYFUNCTION("""COMPUTED_VALUE"""),5.96)</f>
        <v>5.96</v>
      </c>
      <c r="U117" s="65">
        <f>IFERROR(__xludf.DUMMYFUNCTION("""COMPUTED_VALUE"""),0.0)</f>
        <v>0</v>
      </c>
      <c r="V117" s="65">
        <f>IFERROR(__xludf.DUMMYFUNCTION("""COMPUTED_VALUE"""),0.0)</f>
        <v>0</v>
      </c>
      <c r="W117" s="65">
        <f>IFERROR(__xludf.DUMMYFUNCTION("""COMPUTED_VALUE"""),0.0)</f>
        <v>0</v>
      </c>
      <c r="X117" s="65">
        <f>IFERROR(__xludf.DUMMYFUNCTION("""COMPUTED_VALUE"""),2.35)</f>
        <v>2.35</v>
      </c>
      <c r="Y117" s="65">
        <f>IFERROR(__xludf.DUMMYFUNCTION("""COMPUTED_VALUE"""),4.7)</f>
        <v>4.7</v>
      </c>
      <c r="Z117" s="65">
        <f>IFERROR(__xludf.DUMMYFUNCTION("""COMPUTED_VALUE"""),116679.0)</f>
        <v>116679</v>
      </c>
      <c r="AA117" s="65" t="str">
        <f>IFERROR(__xludf.DUMMYFUNCTION("""COMPUTED_VALUE"""),"AMC-2738")</f>
        <v>AMC-2738</v>
      </c>
      <c r="AB117" s="65"/>
      <c r="AC117" s="65" t="str">
        <f>IFERROR(__xludf.DUMMYFUNCTION("""COMPUTED_VALUE"""),"ESPONJA ANTILLUVIA DE PARABRISAS")</f>
        <v>ESPONJA ANTILLUVIA DE PARABRISAS</v>
      </c>
      <c r="AD117" s="65"/>
      <c r="AE117" s="65">
        <f>IFERROR(__xludf.DUMMYFUNCTION("""COMPUTED_VALUE"""),2.0)</f>
        <v>2</v>
      </c>
      <c r="AF117" s="65"/>
      <c r="AG117" s="65"/>
      <c r="AH117" s="65"/>
      <c r="AI117" s="65"/>
      <c r="AJ117" s="65"/>
      <c r="AK117" s="65"/>
      <c r="AL117" s="65"/>
      <c r="AM117" s="65"/>
      <c r="AN117" s="65" t="str">
        <f>IFERROR(__xludf.DUMMYFUNCTION("""COMPUTED_VALUE"""),"10:58")</f>
        <v>10:58</v>
      </c>
      <c r="AO117" s="65" t="str">
        <f>IFERROR(__xludf.DUMMYFUNCTION("""COMPUTED_VALUE"""),"26-03-2026")</f>
        <v>26-03-2026</v>
      </c>
      <c r="AP117" s="65" t="str">
        <f>IFERROR(__xludf.DUMMYFUNCTION("""COMPUTED_VALUE"""),"ENTREGADA GINTRACOM")</f>
        <v>ENTREGADA GINTRACOM</v>
      </c>
      <c r="AQ117" s="65" t="str">
        <f>IFERROR(__xludf.DUMMYFUNCTION("""COMPUTED_VALUE"""),"ENTREGADA GINTRACOM")</f>
        <v>ENTREGADA GINTRACOM</v>
      </c>
      <c r="AR117" s="65"/>
      <c r="AS117" s="65"/>
      <c r="AT117" s="65" t="str">
        <f>IFERROR(__xludf.DUMMYFUNCTION("""COMPUTED_VALUE"""),"SHOPIFY")</f>
        <v>SHOPIFY</v>
      </c>
      <c r="AU117" s="65" t="str">
        <f>IFERROR(__xludf.DUMMYFUNCTION("""COMPUTED_VALUE"""),"IMPORTEX EC")</f>
        <v>IMPORTEX EC</v>
      </c>
      <c r="AV117" s="65" t="str">
        <f>IFERROR(__xludf.DUMMYFUNCTION("""COMPUTED_VALUE"""),"6586793721900")</f>
        <v>6586793721900</v>
      </c>
      <c r="AW117" s="65">
        <f>IFERROR(__xludf.DUMMYFUNCTION("""COMPUTED_VALUE"""),6729.0)</f>
        <v>6729</v>
      </c>
      <c r="AX117" s="65"/>
      <c r="AY117" s="65" t="str">
        <f>IFERROR(__xludf.DUMMYFUNCTION("""COMPUTED_VALUE"""),"20/03/2026")</f>
        <v>20/03/2026</v>
      </c>
      <c r="AZ117" s="65"/>
      <c r="BA117" s="65"/>
    </row>
    <row r="118">
      <c r="A118" s="65" t="str">
        <f>IFERROR(__xludf.DUMMYFUNCTION("""COMPUTED_VALUE"""),"27-03-2026")</f>
        <v>27-03-2026</v>
      </c>
      <c r="B118" s="65">
        <f>IFERROR(__xludf.DUMMYFUNCTION("""COMPUTED_VALUE"""),4835569.0)</f>
        <v>4835569</v>
      </c>
      <c r="C118" s="65" t="str">
        <f>IFERROR(__xludf.DUMMYFUNCTION("""COMPUTED_VALUE"""),"06:56")</f>
        <v>06:56</v>
      </c>
      <c r="D118" s="65" t="str">
        <f>IFERROR(__xludf.DUMMYFUNCTION("""COMPUTED_VALUE"""),"18-03-2026")</f>
        <v>18-03-2026</v>
      </c>
      <c r="E118" s="65" t="str">
        <f>IFERROR(__xludf.DUMMYFUNCTION("""COMPUTED_VALUE"""),"Javier Paredes")</f>
        <v>Javier Paredes</v>
      </c>
      <c r="F118" s="65" t="str">
        <f>IFERROR(__xludf.DUMMYFUNCTION("""COMPUTED_VALUE"""),"992510526")</f>
        <v>992510526</v>
      </c>
      <c r="G118" s="65" t="str">
        <f>IFERROR(__xludf.DUMMYFUNCTION("""COMPUTED_VALUE"""),"javierdid@gmail.com")</f>
        <v>javierdid@gmail.com</v>
      </c>
      <c r="H118" s="65"/>
      <c r="I118" s="65"/>
      <c r="J118" s="65" t="str">
        <f>IFERROR(__xludf.DUMMYFUNCTION("""COMPUTED_VALUE"""),"D001436289")</f>
        <v>D001436289</v>
      </c>
      <c r="K118" s="65" t="str">
        <f>IFERROR(__xludf.DUMMYFUNCTION("""COMPUTED_VALUE"""),"ENTREGADO")</f>
        <v>ENTREGADO</v>
      </c>
      <c r="L118" s="65" t="str">
        <f>IFERROR(__xludf.DUMMYFUNCTION("""COMPUTED_VALUE"""),"CON RECAUDO")</f>
        <v>CON RECAUDO</v>
      </c>
      <c r="M118" s="65" t="str">
        <f>IFERROR(__xludf.DUMMYFUNCTION("""COMPUTED_VALUE"""),"PICHINCHA")</f>
        <v>PICHINCHA</v>
      </c>
      <c r="N118" s="65" t="str">
        <f>IFERROR(__xludf.DUMMYFUNCTION("""COMPUTED_VALUE"""),"QUITO")</f>
        <v>QUITO</v>
      </c>
      <c r="O118" s="65" t="str">
        <f>IFERROR(__xludf.DUMMYFUNCTION("""COMPUTED_VALUE"""),"Av Carapungo y Pedro de Gasca N4380 - REFERENCIA: Frente a  locales comerciales, portón gris grande")</f>
        <v>Av Carapungo y Pedro de Gasca N4380 - REFERENCIA: Frente a  locales comerciales, portón gris grande</v>
      </c>
      <c r="P118" s="65"/>
      <c r="Q118" s="65" t="str">
        <f>IFERROR(__xludf.DUMMYFUNCTION("""COMPUTED_VALUE"""),"GINTRACOM")</f>
        <v>GINTRACOM</v>
      </c>
      <c r="R118" s="65">
        <f>IFERROR(__xludf.DUMMYFUNCTION("""COMPUTED_VALUE"""),20.0)</f>
        <v>20</v>
      </c>
      <c r="S118" s="65"/>
      <c r="T118" s="65">
        <f>IFERROR(__xludf.DUMMYFUNCTION("""COMPUTED_VALUE"""),4.15)</f>
        <v>4.15</v>
      </c>
      <c r="U118" s="65">
        <f>IFERROR(__xludf.DUMMYFUNCTION("""COMPUTED_VALUE"""),0.0)</f>
        <v>0</v>
      </c>
      <c r="V118" s="65">
        <f>IFERROR(__xludf.DUMMYFUNCTION("""COMPUTED_VALUE"""),0.0)</f>
        <v>0</v>
      </c>
      <c r="W118" s="65">
        <f>IFERROR(__xludf.DUMMYFUNCTION("""COMPUTED_VALUE"""),0.0)</f>
        <v>0</v>
      </c>
      <c r="X118" s="65">
        <f>IFERROR(__xludf.DUMMYFUNCTION("""COMPUTED_VALUE"""),2.35)</f>
        <v>2.35</v>
      </c>
      <c r="Y118" s="65">
        <f>IFERROR(__xludf.DUMMYFUNCTION("""COMPUTED_VALUE"""),2.35)</f>
        <v>2.35</v>
      </c>
      <c r="Z118" s="65">
        <f>IFERROR(__xludf.DUMMYFUNCTION("""COMPUTED_VALUE"""),116679.0)</f>
        <v>116679</v>
      </c>
      <c r="AA118" s="65" t="str">
        <f>IFERROR(__xludf.DUMMYFUNCTION("""COMPUTED_VALUE"""),"AMC-2738")</f>
        <v>AMC-2738</v>
      </c>
      <c r="AB118" s="65"/>
      <c r="AC118" s="65" t="str">
        <f>IFERROR(__xludf.DUMMYFUNCTION("""COMPUTED_VALUE"""),"ESPONJA ANTILLUVIA DE PARABRISAS")</f>
        <v>ESPONJA ANTILLUVIA DE PARABRISAS</v>
      </c>
      <c r="AD118" s="65"/>
      <c r="AE118" s="65">
        <f>IFERROR(__xludf.DUMMYFUNCTION("""COMPUTED_VALUE"""),1.0)</f>
        <v>1</v>
      </c>
      <c r="AF118" s="65" t="str">
        <f>IFERROR(__xludf.DUMMYFUNCTION("""COMPUTED_VALUE"""),"DESTINATARIO NO SE ENCUENTRA EN LUGAR DE ENTREGA.")</f>
        <v>DESTINATARIO NO SE ENCUENTRA EN LUGAR DE ENTREGA.</v>
      </c>
      <c r="AG118" s="65" t="str">
        <f>IFERROR(__xludf.DUMMYFUNCTION("""COMPUTED_VALUE"""),"SI")</f>
        <v>SI</v>
      </c>
      <c r="AH118" s="65" t="str">
        <f>IFERROR(__xludf.DUMMYFUNCTION("""COMPUTED_VALUE"""),"14:59")</f>
        <v>14:59</v>
      </c>
      <c r="AI118" s="65" t="str">
        <f>IFERROR(__xludf.DUMMYFUNCTION("""COMPUTED_VALUE"""),"25-03-2026")</f>
        <v>25-03-2026</v>
      </c>
      <c r="AJ118" s="65" t="str">
        <f>IFERROR(__xludf.DUMMYFUNCTION("""COMPUTED_VALUE"""),"El cliente requiere entrega inmediata; por favor, coordinar directamente con él/la cliente para concretar la entrega.")</f>
        <v>El cliente requiere entrega inmediata; por favor, coordinar directamente con él/la cliente para concretar la entrega.</v>
      </c>
      <c r="AK118" s="65" t="str">
        <f>IFERROR(__xludf.DUMMYFUNCTION("""COMPUTED_VALUE"""),"10:21")</f>
        <v>10:21</v>
      </c>
      <c r="AL118" s="65" t="str">
        <f>IFERROR(__xludf.DUMMYFUNCTION("""COMPUTED_VALUE"""),"26-03-2026")</f>
        <v>26-03-2026</v>
      </c>
      <c r="AM118" s="65"/>
      <c r="AN118" s="65" t="str">
        <f>IFERROR(__xludf.DUMMYFUNCTION("""COMPUTED_VALUE"""),"09:35")</f>
        <v>09:35</v>
      </c>
      <c r="AO118" s="65" t="str">
        <f>IFERROR(__xludf.DUMMYFUNCTION("""COMPUTED_VALUE"""),"27-03-2026")</f>
        <v>27-03-2026</v>
      </c>
      <c r="AP118" s="65" t="str">
        <f>IFERROR(__xludf.DUMMYFUNCTION("""COMPUTED_VALUE"""),"ENTREGADA GINTRACOM")</f>
        <v>ENTREGADA GINTRACOM</v>
      </c>
      <c r="AQ118" s="65" t="str">
        <f>IFERROR(__xludf.DUMMYFUNCTION("""COMPUTED_VALUE"""),"ENTREGADA GINTRACOM")</f>
        <v>ENTREGADA GINTRACOM</v>
      </c>
      <c r="AR118" s="65"/>
      <c r="AS118" s="65"/>
      <c r="AT118" s="65" t="str">
        <f>IFERROR(__xludf.DUMMYFUNCTION("""COMPUTED_VALUE"""),"SHOPIFY")</f>
        <v>SHOPIFY</v>
      </c>
      <c r="AU118" s="65" t="str">
        <f>IFERROR(__xludf.DUMMYFUNCTION("""COMPUTED_VALUE"""),"IMPORTEX EC")</f>
        <v>IMPORTEX EC</v>
      </c>
      <c r="AV118" s="65" t="str">
        <f>IFERROR(__xludf.DUMMYFUNCTION("""COMPUTED_VALUE"""),"6586768916524")</f>
        <v>6586768916524</v>
      </c>
      <c r="AW118" s="65">
        <f>IFERROR(__xludf.DUMMYFUNCTION("""COMPUTED_VALUE"""),6728.0)</f>
        <v>6728</v>
      </c>
      <c r="AX118" s="65"/>
      <c r="AY118" s="65" t="str">
        <f>IFERROR(__xludf.DUMMYFUNCTION("""COMPUTED_VALUE"""),"20/03/2026")</f>
        <v>20/03/2026</v>
      </c>
      <c r="AZ118" s="65"/>
      <c r="BA118" s="65"/>
    </row>
    <row r="119">
      <c r="A119" s="65" t="str">
        <f>IFERROR(__xludf.DUMMYFUNCTION("""COMPUTED_VALUE"""),"27-03-2026")</f>
        <v>27-03-2026</v>
      </c>
      <c r="B119" s="65">
        <f>IFERROR(__xludf.DUMMYFUNCTION("""COMPUTED_VALUE"""),4835442.0)</f>
        <v>4835442</v>
      </c>
      <c r="C119" s="65" t="str">
        <f>IFERROR(__xludf.DUMMYFUNCTION("""COMPUTED_VALUE"""),"06:34")</f>
        <v>06:34</v>
      </c>
      <c r="D119" s="65" t="str">
        <f>IFERROR(__xludf.DUMMYFUNCTION("""COMPUTED_VALUE"""),"18-03-2026")</f>
        <v>18-03-2026</v>
      </c>
      <c r="E119" s="65" t="str">
        <f>IFERROR(__xludf.DUMMYFUNCTION("""COMPUTED_VALUE"""),"Anibal Guamba")</f>
        <v>Anibal Guamba</v>
      </c>
      <c r="F119" s="65" t="str">
        <f>IFERROR(__xludf.DUMMYFUNCTION("""COMPUTED_VALUE"""),"980729099")</f>
        <v>980729099</v>
      </c>
      <c r="G119" s="65" t="str">
        <f>IFERROR(__xludf.DUMMYFUNCTION("""COMPUTED_VALUE"""),"jllum13@gmail.com")</f>
        <v>jllum13@gmail.com</v>
      </c>
      <c r="H119" s="65"/>
      <c r="I119" s="65"/>
      <c r="J119" s="65"/>
      <c r="K119" s="65" t="str">
        <f>IFERROR(__xludf.DUMMYFUNCTION("""COMPUTED_VALUE"""),"PENDIENTE CONFIRMACION")</f>
        <v>PENDIENTE CONFIRMACION</v>
      </c>
      <c r="L119" s="65" t="str">
        <f>IFERROR(__xludf.DUMMYFUNCTION("""COMPUTED_VALUE"""),"CON RECAUDO")</f>
        <v>CON RECAUDO</v>
      </c>
      <c r="M119" s="65" t="str">
        <f>IFERROR(__xludf.DUMMYFUNCTION("""COMPUTED_VALUE"""),"PICHINCHA")</f>
        <v>PICHINCHA</v>
      </c>
      <c r="N119" s="65" t="str">
        <f>IFERROR(__xludf.DUMMYFUNCTION("""COMPUTED_VALUE"""),"QUITO")</f>
        <v>QUITO</v>
      </c>
      <c r="O119" s="65" t="str">
        <f>IFERROR(__xludf.DUMMYFUNCTION("""COMPUTED_VALUE"""),"Alonso de la fuente 0e2-103 Emilio muliendorf -")</f>
        <v>Alonso de la fuente 0e2-103 Emilio muliendorf -</v>
      </c>
      <c r="P119" s="65"/>
      <c r="Q119" s="65" t="str">
        <f>IFERROR(__xludf.DUMMYFUNCTION("""COMPUTED_VALUE"""),"GINTRACOM")</f>
        <v>GINTRACOM</v>
      </c>
      <c r="R119" s="65">
        <f>IFERROR(__xludf.DUMMYFUNCTION("""COMPUTED_VALUE"""),25.0)</f>
        <v>25</v>
      </c>
      <c r="S119" s="65"/>
      <c r="T119" s="65">
        <f>IFERROR(__xludf.DUMMYFUNCTION("""COMPUTED_VALUE"""),4.35)</f>
        <v>4.35</v>
      </c>
      <c r="U119" s="65">
        <f>IFERROR(__xludf.DUMMYFUNCTION("""COMPUTED_VALUE"""),0.0)</f>
        <v>0</v>
      </c>
      <c r="V119" s="65">
        <f>IFERROR(__xludf.DUMMYFUNCTION("""COMPUTED_VALUE"""),0.0)</f>
        <v>0</v>
      </c>
      <c r="W119" s="65">
        <f>IFERROR(__xludf.DUMMYFUNCTION("""COMPUTED_VALUE"""),0.0)</f>
        <v>0</v>
      </c>
      <c r="X119" s="65">
        <f>IFERROR(__xludf.DUMMYFUNCTION("""COMPUTED_VALUE"""),2.35)</f>
        <v>2.35</v>
      </c>
      <c r="Y119" s="65">
        <f>IFERROR(__xludf.DUMMYFUNCTION("""COMPUTED_VALUE"""),4.7)</f>
        <v>4.7</v>
      </c>
      <c r="Z119" s="65">
        <f>IFERROR(__xludf.DUMMYFUNCTION("""COMPUTED_VALUE"""),116679.0)</f>
        <v>116679</v>
      </c>
      <c r="AA119" s="65" t="str">
        <f>IFERROR(__xludf.DUMMYFUNCTION("""COMPUTED_VALUE"""),"AMC-2738")</f>
        <v>AMC-2738</v>
      </c>
      <c r="AB119" s="65"/>
      <c r="AC119" s="65" t="str">
        <f>IFERROR(__xludf.DUMMYFUNCTION("""COMPUTED_VALUE"""),"ESPONJA ANTILLUVIA DE PARABRISAS")</f>
        <v>ESPONJA ANTILLUVIA DE PARABRISAS</v>
      </c>
      <c r="AD119" s="65"/>
      <c r="AE119" s="65">
        <f>IFERROR(__xludf.DUMMYFUNCTION("""COMPUTED_VALUE"""),2.0)</f>
        <v>2</v>
      </c>
      <c r="AF119" s="65"/>
      <c r="AG119" s="65"/>
      <c r="AH119" s="65"/>
      <c r="AI119" s="65"/>
      <c r="AJ119" s="65"/>
      <c r="AK119" s="65"/>
      <c r="AL119" s="65"/>
      <c r="AM119" s="65"/>
      <c r="AN119" s="65"/>
      <c r="AO119" s="65"/>
      <c r="AP119" s="65"/>
      <c r="AQ119" s="65"/>
      <c r="AR119" s="65"/>
      <c r="AS119" s="65"/>
      <c r="AT119" s="65" t="str">
        <f>IFERROR(__xludf.DUMMYFUNCTION("""COMPUTED_VALUE"""),"SHOPIFY")</f>
        <v>SHOPIFY</v>
      </c>
      <c r="AU119" s="65" t="str">
        <f>IFERROR(__xludf.DUMMYFUNCTION("""COMPUTED_VALUE"""),"IMPORTEX EC")</f>
        <v>IMPORTEX EC</v>
      </c>
      <c r="AV119" s="65" t="str">
        <f>IFERROR(__xludf.DUMMYFUNCTION("""COMPUTED_VALUE"""),"6586749321260")</f>
        <v>6586749321260</v>
      </c>
      <c r="AW119" s="65">
        <f>IFERROR(__xludf.DUMMYFUNCTION("""COMPUTED_VALUE"""),6727.0)</f>
        <v>6727</v>
      </c>
      <c r="AX119" s="65"/>
      <c r="AY119" s="65"/>
      <c r="AZ119" s="65"/>
      <c r="BA119" s="65"/>
    </row>
    <row r="120">
      <c r="A120" s="65" t="str">
        <f>IFERROR(__xludf.DUMMYFUNCTION("""COMPUTED_VALUE"""),"27-03-2026")</f>
        <v>27-03-2026</v>
      </c>
      <c r="B120" s="65">
        <f>IFERROR(__xludf.DUMMYFUNCTION("""COMPUTED_VALUE"""),4834865.0)</f>
        <v>4834865</v>
      </c>
      <c r="C120" s="65" t="str">
        <f>IFERROR(__xludf.DUMMYFUNCTION("""COMPUTED_VALUE"""),"01:41")</f>
        <v>01:41</v>
      </c>
      <c r="D120" s="65" t="str">
        <f>IFERROR(__xludf.DUMMYFUNCTION("""COMPUTED_VALUE"""),"18-03-2026")</f>
        <v>18-03-2026</v>
      </c>
      <c r="E120" s="65" t="str">
        <f>IFERROR(__xludf.DUMMYFUNCTION("""COMPUTED_VALUE"""),"Juan guamanjuancarlos2020@gmail.com")</f>
        <v>Juan guamanjuancarlos2020@gmail.com</v>
      </c>
      <c r="F120" s="65" t="str">
        <f>IFERROR(__xludf.DUMMYFUNCTION("""COMPUTED_VALUE"""),"984122690")</f>
        <v>984122690</v>
      </c>
      <c r="G120" s="65" t="str">
        <f>IFERROR(__xludf.DUMMYFUNCTION("""COMPUTED_VALUE"""),"guamanjuan_1977@hotmail.com")</f>
        <v>guamanjuan_1977@hotmail.com</v>
      </c>
      <c r="H120" s="65"/>
      <c r="I120" s="65"/>
      <c r="J120" s="65"/>
      <c r="K120" s="65" t="str">
        <f>IFERROR(__xludf.DUMMYFUNCTION("""COMPUTED_VALUE"""),"PENDIENTE CONFIRMACION")</f>
        <v>PENDIENTE CONFIRMACION</v>
      </c>
      <c r="L120" s="65" t="str">
        <f>IFERROR(__xludf.DUMMYFUNCTION("""COMPUTED_VALUE"""),"CON RECAUDO")</f>
        <v>CON RECAUDO</v>
      </c>
      <c r="M120" s="65" t="str">
        <f>IFERROR(__xludf.DUMMYFUNCTION("""COMPUTED_VALUE"""),"PICHINCHA")</f>
        <v>PICHINCHA</v>
      </c>
      <c r="N120" s="65" t="str">
        <f>IFERROR(__xludf.DUMMYFUNCTION("""COMPUTED_VALUE"""),"CALDERON")</f>
        <v>CALDERON</v>
      </c>
      <c r="O120" s="65" t="str">
        <f>IFERROR(__xludf.DUMMYFUNCTION("""COMPUTED_VALUE"""),"Pasaje los gansos Barrio san Rafael -")</f>
        <v>Pasaje los gansos Barrio san Rafael -</v>
      </c>
      <c r="P120" s="65"/>
      <c r="Q120" s="65" t="str">
        <f>IFERROR(__xludf.DUMMYFUNCTION("""COMPUTED_VALUE"""),"GINTRACOM")</f>
        <v>GINTRACOM</v>
      </c>
      <c r="R120" s="65">
        <f>IFERROR(__xludf.DUMMYFUNCTION("""COMPUTED_VALUE"""),20.0)</f>
        <v>20</v>
      </c>
      <c r="S120" s="65"/>
      <c r="T120" s="65">
        <f>IFERROR(__xludf.DUMMYFUNCTION("""COMPUTED_VALUE"""),4.72)</f>
        <v>4.72</v>
      </c>
      <c r="U120" s="65">
        <f>IFERROR(__xludf.DUMMYFUNCTION("""COMPUTED_VALUE"""),0.0)</f>
        <v>0</v>
      </c>
      <c r="V120" s="65">
        <f>IFERROR(__xludf.DUMMYFUNCTION("""COMPUTED_VALUE"""),0.0)</f>
        <v>0</v>
      </c>
      <c r="W120" s="65">
        <f>IFERROR(__xludf.DUMMYFUNCTION("""COMPUTED_VALUE"""),0.0)</f>
        <v>0</v>
      </c>
      <c r="X120" s="65">
        <f>IFERROR(__xludf.DUMMYFUNCTION("""COMPUTED_VALUE"""),2.35)</f>
        <v>2.35</v>
      </c>
      <c r="Y120" s="65">
        <f>IFERROR(__xludf.DUMMYFUNCTION("""COMPUTED_VALUE"""),2.35)</f>
        <v>2.35</v>
      </c>
      <c r="Z120" s="65">
        <f>IFERROR(__xludf.DUMMYFUNCTION("""COMPUTED_VALUE"""),116679.0)</f>
        <v>116679</v>
      </c>
      <c r="AA120" s="65" t="str">
        <f>IFERROR(__xludf.DUMMYFUNCTION("""COMPUTED_VALUE"""),"AMC-2738")</f>
        <v>AMC-2738</v>
      </c>
      <c r="AB120" s="65"/>
      <c r="AC120" s="65" t="str">
        <f>IFERROR(__xludf.DUMMYFUNCTION("""COMPUTED_VALUE"""),"ESPONJA ANTILLUVIA DE PARABRISAS")</f>
        <v>ESPONJA ANTILLUVIA DE PARABRISAS</v>
      </c>
      <c r="AD120" s="65"/>
      <c r="AE120" s="65">
        <f>IFERROR(__xludf.DUMMYFUNCTION("""COMPUTED_VALUE"""),1.0)</f>
        <v>1</v>
      </c>
      <c r="AF120" s="65"/>
      <c r="AG120" s="65"/>
      <c r="AH120" s="65"/>
      <c r="AI120" s="65"/>
      <c r="AJ120" s="65"/>
      <c r="AK120" s="65"/>
      <c r="AL120" s="65"/>
      <c r="AM120" s="65"/>
      <c r="AN120" s="65"/>
      <c r="AO120" s="65"/>
      <c r="AP120" s="65"/>
      <c r="AQ120" s="65"/>
      <c r="AR120" s="65"/>
      <c r="AS120" s="65"/>
      <c r="AT120" s="65" t="str">
        <f>IFERROR(__xludf.DUMMYFUNCTION("""COMPUTED_VALUE"""),"SHOPIFY")</f>
        <v>SHOPIFY</v>
      </c>
      <c r="AU120" s="65" t="str">
        <f>IFERROR(__xludf.DUMMYFUNCTION("""COMPUTED_VALUE"""),"IMPORTEX EC")</f>
        <v>IMPORTEX EC</v>
      </c>
      <c r="AV120" s="65" t="str">
        <f>IFERROR(__xludf.DUMMYFUNCTION("""COMPUTED_VALUE"""),"6586479378476")</f>
        <v>6586479378476</v>
      </c>
      <c r="AW120" s="65">
        <f>IFERROR(__xludf.DUMMYFUNCTION("""COMPUTED_VALUE"""),6726.0)</f>
        <v>6726</v>
      </c>
      <c r="AX120" s="65"/>
      <c r="AY120" s="65"/>
      <c r="AZ120" s="65"/>
      <c r="BA120" s="65"/>
    </row>
    <row r="121">
      <c r="A121" s="65" t="str">
        <f>IFERROR(__xludf.DUMMYFUNCTION("""COMPUTED_VALUE"""),"27-03-2026")</f>
        <v>27-03-2026</v>
      </c>
      <c r="B121" s="65">
        <f>IFERROR(__xludf.DUMMYFUNCTION("""COMPUTED_VALUE"""),4834469.0)</f>
        <v>4834469</v>
      </c>
      <c r="C121" s="65" t="str">
        <f>IFERROR(__xludf.DUMMYFUNCTION("""COMPUTED_VALUE"""),"23:39")</f>
        <v>23:39</v>
      </c>
      <c r="D121" s="65" t="str">
        <f>IFERROR(__xludf.DUMMYFUNCTION("""COMPUTED_VALUE"""),"17-03-2026")</f>
        <v>17-03-2026</v>
      </c>
      <c r="E121" s="65" t="str">
        <f>IFERROR(__xludf.DUMMYFUNCTION("""COMPUTED_VALUE"""),"Katty Muñoz")</f>
        <v>Katty Muñoz</v>
      </c>
      <c r="F121" s="65" t="str">
        <f>IFERROR(__xludf.DUMMYFUNCTION("""COMPUTED_VALUE"""),"990784273")</f>
        <v>990784273</v>
      </c>
      <c r="G121" s="65" t="str">
        <f>IFERROR(__xludf.DUMMYFUNCTION("""COMPUTED_VALUE"""),"gregkaseb@gmail.com")</f>
        <v>gregkaseb@gmail.com</v>
      </c>
      <c r="H121" s="65"/>
      <c r="I121" s="65"/>
      <c r="J121" s="65" t="str">
        <f>IFERROR(__xludf.DUMMYFUNCTION("""COMPUTED_VALUE"""),"D001428506")</f>
        <v>D001428506</v>
      </c>
      <c r="K121" s="65" t="str">
        <f>IFERROR(__xludf.DUMMYFUNCTION("""COMPUTED_VALUE"""),"EN REPARTO")</f>
        <v>EN REPARTO</v>
      </c>
      <c r="L121" s="65" t="str">
        <f>IFERROR(__xludf.DUMMYFUNCTION("""COMPUTED_VALUE"""),"CON RECAUDO")</f>
        <v>CON RECAUDO</v>
      </c>
      <c r="M121" s="65" t="str">
        <f>IFERROR(__xludf.DUMMYFUNCTION("""COMPUTED_VALUE"""),"LOS RIOS")</f>
        <v>LOS RIOS</v>
      </c>
      <c r="N121" s="65" t="str">
        <f>IFERROR(__xludf.DUMMYFUNCTION("""COMPUTED_VALUE"""),"BABAHOYO")</f>
        <v>BABAHOYO</v>
      </c>
      <c r="O121" s="65" t="str">
        <f>IFERROR(__xludf.DUMMYFUNCTION("""COMPUTED_VALUE"""),"Valle Verde 2,  Etapa 1,  casa B8")</f>
        <v>Valle Verde 2,  Etapa 1,  casa B8</v>
      </c>
      <c r="P121" s="65"/>
      <c r="Q121" s="65" t="str">
        <f>IFERROR(__xludf.DUMMYFUNCTION("""COMPUTED_VALUE"""),"GINTRACOM")</f>
        <v>GINTRACOM</v>
      </c>
      <c r="R121" s="65">
        <f>IFERROR(__xludf.DUMMYFUNCTION("""COMPUTED_VALUE"""),20.0)</f>
        <v>20</v>
      </c>
      <c r="S121" s="65"/>
      <c r="T121" s="65">
        <f>IFERROR(__xludf.DUMMYFUNCTION("""COMPUTED_VALUE"""),5.76)</f>
        <v>5.76</v>
      </c>
      <c r="U121" s="65">
        <f>IFERROR(__xludf.DUMMYFUNCTION("""COMPUTED_VALUE"""),0.0)</f>
        <v>0</v>
      </c>
      <c r="V121" s="65">
        <f>IFERROR(__xludf.DUMMYFUNCTION("""COMPUTED_VALUE"""),0.0)</f>
        <v>0</v>
      </c>
      <c r="W121" s="65">
        <f>IFERROR(__xludf.DUMMYFUNCTION("""COMPUTED_VALUE"""),0.0)</f>
        <v>0</v>
      </c>
      <c r="X121" s="65">
        <f>IFERROR(__xludf.DUMMYFUNCTION("""COMPUTED_VALUE"""),2.35)</f>
        <v>2.35</v>
      </c>
      <c r="Y121" s="65">
        <f>IFERROR(__xludf.DUMMYFUNCTION("""COMPUTED_VALUE"""),2.35)</f>
        <v>2.35</v>
      </c>
      <c r="Z121" s="65">
        <f>IFERROR(__xludf.DUMMYFUNCTION("""COMPUTED_VALUE"""),116679.0)</f>
        <v>116679</v>
      </c>
      <c r="AA121" s="65" t="str">
        <f>IFERROR(__xludf.DUMMYFUNCTION("""COMPUTED_VALUE"""),"AMC-2738")</f>
        <v>AMC-2738</v>
      </c>
      <c r="AB121" s="65"/>
      <c r="AC121" s="65" t="str">
        <f>IFERROR(__xludf.DUMMYFUNCTION("""COMPUTED_VALUE"""),"ESPONJA ANTILLUVIA DE PARABRISAS")</f>
        <v>ESPONJA ANTILLUVIA DE PARABRISAS</v>
      </c>
      <c r="AD121" s="65"/>
      <c r="AE121" s="65">
        <f>IFERROR(__xludf.DUMMYFUNCTION("""COMPUTED_VALUE"""),1.0)</f>
        <v>1</v>
      </c>
      <c r="AF121" s="65"/>
      <c r="AG121" s="65"/>
      <c r="AH121" s="65"/>
      <c r="AI121" s="65"/>
      <c r="AJ121" s="65"/>
      <c r="AK121" s="65"/>
      <c r="AL121" s="65"/>
      <c r="AM121" s="65"/>
      <c r="AN121" s="65" t="str">
        <f>IFERROR(__xludf.DUMMYFUNCTION("""COMPUTED_VALUE"""),"14:10")</f>
        <v>14:10</v>
      </c>
      <c r="AO121" s="65" t="str">
        <f>IFERROR(__xludf.DUMMYFUNCTION("""COMPUTED_VALUE"""),"26-03-2026")</f>
        <v>26-03-2026</v>
      </c>
      <c r="AP121" s="65" t="str">
        <f>IFERROR(__xludf.DUMMYFUNCTION("""COMPUTED_VALUE"""),"EN REPARTO")</f>
        <v>EN REPARTO</v>
      </c>
      <c r="AQ121" s="65" t="str">
        <f>IFERROR(__xludf.DUMMYFUNCTION("""COMPUTED_VALUE"""),"EN REPARTO")</f>
        <v>EN REPARTO</v>
      </c>
      <c r="AR121" s="65"/>
      <c r="AS121" s="65"/>
      <c r="AT121" s="65" t="str">
        <f>IFERROR(__xludf.DUMMYFUNCTION("""COMPUTED_VALUE"""),"SHOPIFY")</f>
        <v>SHOPIFY</v>
      </c>
      <c r="AU121" s="65" t="str">
        <f>IFERROR(__xludf.DUMMYFUNCTION("""COMPUTED_VALUE"""),"IMPORTEX EC")</f>
        <v>IMPORTEX EC</v>
      </c>
      <c r="AV121" s="65" t="str">
        <f>IFERROR(__xludf.DUMMYFUNCTION("""COMPUTED_VALUE"""),"6586383761452")</f>
        <v>6586383761452</v>
      </c>
      <c r="AW121" s="65">
        <f>IFERROR(__xludf.DUMMYFUNCTION("""COMPUTED_VALUE"""),6725.0)</f>
        <v>6725</v>
      </c>
      <c r="AX121" s="65"/>
      <c r="AY121" s="65" t="str">
        <f>IFERROR(__xludf.DUMMYFUNCTION("""COMPUTED_VALUE"""),"18/03/2026")</f>
        <v>18/03/2026</v>
      </c>
      <c r="AZ121" s="65"/>
      <c r="BA121" s="65"/>
    </row>
    <row r="122">
      <c r="A122" s="65" t="str">
        <f>IFERROR(__xludf.DUMMYFUNCTION("""COMPUTED_VALUE"""),"27-03-2026")</f>
        <v>27-03-2026</v>
      </c>
      <c r="B122" s="65">
        <f>IFERROR(__xludf.DUMMYFUNCTION("""COMPUTED_VALUE"""),4833627.0)</f>
        <v>4833627</v>
      </c>
      <c r="C122" s="65" t="str">
        <f>IFERROR(__xludf.DUMMYFUNCTION("""COMPUTED_VALUE"""),"22:08")</f>
        <v>22:08</v>
      </c>
      <c r="D122" s="65" t="str">
        <f>IFERROR(__xludf.DUMMYFUNCTION("""COMPUTED_VALUE"""),"17-03-2026")</f>
        <v>17-03-2026</v>
      </c>
      <c r="E122" s="65" t="str">
        <f>IFERROR(__xludf.DUMMYFUNCTION("""COMPUTED_VALUE"""),"ELDER DUEÑAS")</f>
        <v>ELDER DUEÑAS</v>
      </c>
      <c r="F122" s="65" t="str">
        <f>IFERROR(__xludf.DUMMYFUNCTION("""COMPUTED_VALUE"""),"939498255")</f>
        <v>939498255</v>
      </c>
      <c r="G122" s="65" t="str">
        <f>IFERROR(__xludf.DUMMYFUNCTION("""COMPUTED_VALUE"""),"mrvpvillafuerte67@gmail.com")</f>
        <v>mrvpvillafuerte67@gmail.com</v>
      </c>
      <c r="H122" s="65"/>
      <c r="I122" s="65"/>
      <c r="J122" s="65" t="str">
        <f>IFERROR(__xludf.DUMMYFUNCTION("""COMPUTED_VALUE"""),"D001428508")</f>
        <v>D001428508</v>
      </c>
      <c r="K122" s="65" t="str">
        <f>IFERROR(__xludf.DUMMYFUNCTION("""COMPUTED_VALUE"""),"NOVEDAD")</f>
        <v>NOVEDAD</v>
      </c>
      <c r="L122" s="65" t="str">
        <f>IFERROR(__xludf.DUMMYFUNCTION("""COMPUTED_VALUE"""),"CON RECAUDO")</f>
        <v>CON RECAUDO</v>
      </c>
      <c r="M122" s="65" t="str">
        <f>IFERROR(__xludf.DUMMYFUNCTION("""COMPUTED_VALUE"""),"GUAYAS")</f>
        <v>GUAYAS</v>
      </c>
      <c r="N122" s="65" t="str">
        <f>IFERROR(__xludf.DUMMYFUNCTION("""COMPUTED_VALUE"""),"GUAYAQUIL")</f>
        <v>GUAYAQUIL</v>
      </c>
      <c r="O122" s="65" t="str">
        <f>IFERROR(__xludf.DUMMYFUNCTION("""COMPUTED_VALUE"""),"Km 12 1/2 VIA DAULE,  COLINAS DEL SOL - Garita")</f>
        <v>Km 12 1/2 VIA DAULE,  COLINAS DEL SOL - Garita</v>
      </c>
      <c r="P122" s="65"/>
      <c r="Q122" s="65" t="str">
        <f>IFERROR(__xludf.DUMMYFUNCTION("""COMPUTED_VALUE"""),"GINTRACOM")</f>
        <v>GINTRACOM</v>
      </c>
      <c r="R122" s="65">
        <f>IFERROR(__xludf.DUMMYFUNCTION("""COMPUTED_VALUE"""),30.0)</f>
        <v>30</v>
      </c>
      <c r="S122" s="65"/>
      <c r="T122" s="65">
        <f>IFERROR(__xludf.DUMMYFUNCTION("""COMPUTED_VALUE"""),6.16)</f>
        <v>6.16</v>
      </c>
      <c r="U122" s="65">
        <f>IFERROR(__xludf.DUMMYFUNCTION("""COMPUTED_VALUE"""),0.0)</f>
        <v>0</v>
      </c>
      <c r="V122" s="65">
        <f>IFERROR(__xludf.DUMMYFUNCTION("""COMPUTED_VALUE"""),0.0)</f>
        <v>0</v>
      </c>
      <c r="W122" s="65">
        <f>IFERROR(__xludf.DUMMYFUNCTION("""COMPUTED_VALUE"""),0.0)</f>
        <v>0</v>
      </c>
      <c r="X122" s="65">
        <f>IFERROR(__xludf.DUMMYFUNCTION("""COMPUTED_VALUE"""),2.35)</f>
        <v>2.35</v>
      </c>
      <c r="Y122" s="65">
        <f>IFERROR(__xludf.DUMMYFUNCTION("""COMPUTED_VALUE"""),7.05)</f>
        <v>7.05</v>
      </c>
      <c r="Z122" s="65">
        <f>IFERROR(__xludf.DUMMYFUNCTION("""COMPUTED_VALUE"""),116679.0)</f>
        <v>116679</v>
      </c>
      <c r="AA122" s="65" t="str">
        <f>IFERROR(__xludf.DUMMYFUNCTION("""COMPUTED_VALUE"""),"AMC-2738")</f>
        <v>AMC-2738</v>
      </c>
      <c r="AB122" s="65"/>
      <c r="AC122" s="65" t="str">
        <f>IFERROR(__xludf.DUMMYFUNCTION("""COMPUTED_VALUE"""),"ESPONJA ANTILLUVIA DE PARABRISAS")</f>
        <v>ESPONJA ANTILLUVIA DE PARABRISAS</v>
      </c>
      <c r="AD122" s="65"/>
      <c r="AE122" s="65">
        <f>IFERROR(__xludf.DUMMYFUNCTION("""COMPUTED_VALUE"""),3.0)</f>
        <v>3</v>
      </c>
      <c r="AF122" s="65" t="str">
        <f>IFERROR(__xludf.DUMMYFUNCTION("""COMPUTED_VALUE"""),"DESTINATARIO NO CONTESTA LLAMADAS NI WHATSAPP")</f>
        <v>DESTINATARIO NO CONTESTA LLAMADAS NI WHATSAPP</v>
      </c>
      <c r="AG122" s="65" t="str">
        <f>IFERROR(__xludf.DUMMYFUNCTION("""COMPUTED_VALUE"""),"NO")</f>
        <v>NO</v>
      </c>
      <c r="AH122" s="65" t="str">
        <f>IFERROR(__xludf.DUMMYFUNCTION("""COMPUTED_VALUE"""),"16:14")</f>
        <v>16:14</v>
      </c>
      <c r="AI122" s="65" t="str">
        <f>IFERROR(__xludf.DUMMYFUNCTION("""COMPUTED_VALUE"""),"26-03-2026")</f>
        <v>26-03-2026</v>
      </c>
      <c r="AJ122" s="65"/>
      <c r="AK122" s="65"/>
      <c r="AL122" s="65"/>
      <c r="AM122" s="65"/>
      <c r="AN122" s="65" t="str">
        <f>IFERROR(__xludf.DUMMYFUNCTION("""COMPUTED_VALUE"""),"16:14")</f>
        <v>16:14</v>
      </c>
      <c r="AO122" s="65" t="str">
        <f>IFERROR(__xludf.DUMMYFUNCTION("""COMPUTED_VALUE"""),"26-03-2026")</f>
        <v>26-03-2026</v>
      </c>
      <c r="AP122" s="65" t="str">
        <f>IFERROR(__xludf.DUMMYFUNCTION("""COMPUTED_VALUE"""),"DESTINATARIO NO CONTESTA LLAMADAS NI WHATSAPP")</f>
        <v>DESTINATARIO NO CONTESTA LLAMADAS NI WHATSAPP</v>
      </c>
      <c r="AQ122" s="65" t="str">
        <f>IFERROR(__xludf.DUMMYFUNCTION("""COMPUTED_VALUE"""),"DESTINATARIO NO CONTESTA LLAMADAS NI WHATSAPP")</f>
        <v>DESTINATARIO NO CONTESTA LLAMADAS NI WHATSAPP</v>
      </c>
      <c r="AR122" s="65"/>
      <c r="AS122" s="65"/>
      <c r="AT122" s="65" t="str">
        <f>IFERROR(__xludf.DUMMYFUNCTION("""COMPUTED_VALUE"""),"SHOPIFY")</f>
        <v>SHOPIFY</v>
      </c>
      <c r="AU122" s="65" t="str">
        <f>IFERROR(__xludf.DUMMYFUNCTION("""COMPUTED_VALUE"""),"IMPORTEX EC")</f>
        <v>IMPORTEX EC</v>
      </c>
      <c r="AV122" s="65" t="str">
        <f>IFERROR(__xludf.DUMMYFUNCTION("""COMPUTED_VALUE"""),"6586263306284")</f>
        <v>6586263306284</v>
      </c>
      <c r="AW122" s="65">
        <f>IFERROR(__xludf.DUMMYFUNCTION("""COMPUTED_VALUE"""),6724.0)</f>
        <v>6724</v>
      </c>
      <c r="AX122" s="65"/>
      <c r="AY122" s="65" t="str">
        <f>IFERROR(__xludf.DUMMYFUNCTION("""COMPUTED_VALUE"""),"18/03/2026")</f>
        <v>18/03/2026</v>
      </c>
      <c r="AZ122" s="65"/>
      <c r="BA122" s="65"/>
    </row>
    <row r="123">
      <c r="A123" s="65" t="str">
        <f>IFERROR(__xludf.DUMMYFUNCTION("""COMPUTED_VALUE"""),"27-03-2026")</f>
        <v>27-03-2026</v>
      </c>
      <c r="B123" s="65">
        <f>IFERROR(__xludf.DUMMYFUNCTION("""COMPUTED_VALUE"""),4832640.0)</f>
        <v>4832640</v>
      </c>
      <c r="C123" s="65" t="str">
        <f>IFERROR(__xludf.DUMMYFUNCTION("""COMPUTED_VALUE"""),"20:38")</f>
        <v>20:38</v>
      </c>
      <c r="D123" s="65" t="str">
        <f>IFERROR(__xludf.DUMMYFUNCTION("""COMPUTED_VALUE"""),"17-03-2026")</f>
        <v>17-03-2026</v>
      </c>
      <c r="E123" s="65" t="str">
        <f>IFERROR(__xludf.DUMMYFUNCTION("""COMPUTED_VALUE"""),"Jonathan Roldan")</f>
        <v>Jonathan Roldan</v>
      </c>
      <c r="F123" s="65" t="str">
        <f>IFERROR(__xludf.DUMMYFUNCTION("""COMPUTED_VALUE"""),"997047188")</f>
        <v>997047188</v>
      </c>
      <c r="G123" s="65" t="str">
        <f>IFERROR(__xludf.DUMMYFUNCTION("""COMPUTED_VALUE"""),"jonathanyrony_@hotmail.com")</f>
        <v>jonathanyrony_@hotmail.com</v>
      </c>
      <c r="H123" s="65"/>
      <c r="I123" s="65"/>
      <c r="J123" s="65"/>
      <c r="K123" s="65" t="str">
        <f>IFERROR(__xludf.DUMMYFUNCTION("""COMPUTED_VALUE"""),"PENDIENTE CONFIRMACION")</f>
        <v>PENDIENTE CONFIRMACION</v>
      </c>
      <c r="L123" s="65" t="str">
        <f>IFERROR(__xludf.DUMMYFUNCTION("""COMPUTED_VALUE"""),"CON RECAUDO")</f>
        <v>CON RECAUDO</v>
      </c>
      <c r="M123" s="65" t="str">
        <f>IFERROR(__xludf.DUMMYFUNCTION("""COMPUTED_VALUE"""),"GUAYAS")</f>
        <v>GUAYAS</v>
      </c>
      <c r="N123" s="65" t="str">
        <f>IFERROR(__xludf.DUMMYFUNCTION("""COMPUTED_VALUE"""),"GUAYAQUIL")</f>
        <v>GUAYAQUIL</v>
      </c>
      <c r="O123" s="65" t="str">
        <f>IFERROR(__xludf.DUMMYFUNCTION("""COMPUTED_VALUE"""),"Pascuales Pascuales -")</f>
        <v>Pascuales Pascuales -</v>
      </c>
      <c r="P123" s="65"/>
      <c r="Q123" s="65" t="str">
        <f>IFERROR(__xludf.DUMMYFUNCTION("""COMPUTED_VALUE"""),"GINTRACOM")</f>
        <v>GINTRACOM</v>
      </c>
      <c r="R123" s="65">
        <f>IFERROR(__xludf.DUMMYFUNCTION("""COMPUTED_VALUE"""),20.0)</f>
        <v>20</v>
      </c>
      <c r="S123" s="65"/>
      <c r="T123" s="65">
        <f>IFERROR(__xludf.DUMMYFUNCTION("""COMPUTED_VALUE"""),5.76)</f>
        <v>5.76</v>
      </c>
      <c r="U123" s="65">
        <f>IFERROR(__xludf.DUMMYFUNCTION("""COMPUTED_VALUE"""),0.0)</f>
        <v>0</v>
      </c>
      <c r="V123" s="65">
        <f>IFERROR(__xludf.DUMMYFUNCTION("""COMPUTED_VALUE"""),0.0)</f>
        <v>0</v>
      </c>
      <c r="W123" s="65">
        <f>IFERROR(__xludf.DUMMYFUNCTION("""COMPUTED_VALUE"""),0.0)</f>
        <v>0</v>
      </c>
      <c r="X123" s="65">
        <f>IFERROR(__xludf.DUMMYFUNCTION("""COMPUTED_VALUE"""),2.35)</f>
        <v>2.35</v>
      </c>
      <c r="Y123" s="65">
        <f>IFERROR(__xludf.DUMMYFUNCTION("""COMPUTED_VALUE"""),2.35)</f>
        <v>2.35</v>
      </c>
      <c r="Z123" s="65">
        <f>IFERROR(__xludf.DUMMYFUNCTION("""COMPUTED_VALUE"""),116679.0)</f>
        <v>116679</v>
      </c>
      <c r="AA123" s="65" t="str">
        <f>IFERROR(__xludf.DUMMYFUNCTION("""COMPUTED_VALUE"""),"AMC-2738")</f>
        <v>AMC-2738</v>
      </c>
      <c r="AB123" s="65"/>
      <c r="AC123" s="65" t="str">
        <f>IFERROR(__xludf.DUMMYFUNCTION("""COMPUTED_VALUE"""),"ESPONJA ANTILLUVIA DE PARABRISAS")</f>
        <v>ESPONJA ANTILLUVIA DE PARABRISAS</v>
      </c>
      <c r="AD123" s="65"/>
      <c r="AE123" s="65">
        <f>IFERROR(__xludf.DUMMYFUNCTION("""COMPUTED_VALUE"""),1.0)</f>
        <v>1</v>
      </c>
      <c r="AF123" s="65"/>
      <c r="AG123" s="65"/>
      <c r="AH123" s="65"/>
      <c r="AI123" s="65"/>
      <c r="AJ123" s="65"/>
      <c r="AK123" s="65"/>
      <c r="AL123" s="65"/>
      <c r="AM123" s="65"/>
      <c r="AN123" s="65"/>
      <c r="AO123" s="65"/>
      <c r="AP123" s="65"/>
      <c r="AQ123" s="65"/>
      <c r="AR123" s="65"/>
      <c r="AS123" s="65"/>
      <c r="AT123" s="65" t="str">
        <f>IFERROR(__xludf.DUMMYFUNCTION("""COMPUTED_VALUE"""),"SHOPIFY")</f>
        <v>SHOPIFY</v>
      </c>
      <c r="AU123" s="65" t="str">
        <f>IFERROR(__xludf.DUMMYFUNCTION("""COMPUTED_VALUE"""),"IMPORTEX EC")</f>
        <v>IMPORTEX EC</v>
      </c>
      <c r="AV123" s="65" t="str">
        <f>IFERROR(__xludf.DUMMYFUNCTION("""COMPUTED_VALUE"""),"6586131644460")</f>
        <v>6586131644460</v>
      </c>
      <c r="AW123" s="65">
        <f>IFERROR(__xludf.DUMMYFUNCTION("""COMPUTED_VALUE"""),6723.0)</f>
        <v>6723</v>
      </c>
      <c r="AX123" s="65"/>
      <c r="AY123" s="65"/>
      <c r="AZ123" s="65"/>
      <c r="BA123" s="65"/>
    </row>
    <row r="124">
      <c r="A124" s="65" t="str">
        <f>IFERROR(__xludf.DUMMYFUNCTION("""COMPUTED_VALUE"""),"27-03-2026")</f>
        <v>27-03-2026</v>
      </c>
      <c r="B124" s="65">
        <f>IFERROR(__xludf.DUMMYFUNCTION("""COMPUTED_VALUE"""),4832151.0)</f>
        <v>4832151</v>
      </c>
      <c r="C124" s="65" t="str">
        <f>IFERROR(__xludf.DUMMYFUNCTION("""COMPUTED_VALUE"""),"19:48")</f>
        <v>19:48</v>
      </c>
      <c r="D124" s="65" t="str">
        <f>IFERROR(__xludf.DUMMYFUNCTION("""COMPUTED_VALUE"""),"17-03-2026")</f>
        <v>17-03-2026</v>
      </c>
      <c r="E124" s="65" t="str">
        <f>IFERROR(__xludf.DUMMYFUNCTION("""COMPUTED_VALUE"""),"Fausto Leonardo Espinoza  Paredes")</f>
        <v>Fausto Leonardo Espinoza  Paredes</v>
      </c>
      <c r="F124" s="65" t="str">
        <f>IFERROR(__xludf.DUMMYFUNCTION("""COMPUTED_VALUE"""),"990172722")</f>
        <v>990172722</v>
      </c>
      <c r="G124" s="65" t="str">
        <f>IFERROR(__xludf.DUMMYFUNCTION("""COMPUTED_VALUE"""),"fespinoza_9@hotmail.com")</f>
        <v>fespinoza_9@hotmail.com</v>
      </c>
      <c r="H124" s="65"/>
      <c r="I124" s="65"/>
      <c r="J124" s="65" t="str">
        <f>IFERROR(__xludf.DUMMYFUNCTION("""COMPUTED_VALUE"""),"D001431115")</f>
        <v>D001431115</v>
      </c>
      <c r="K124" s="65" t="str">
        <f>IFERROR(__xludf.DUMMYFUNCTION("""COMPUTED_VALUE"""),"EN REPARTO")</f>
        <v>EN REPARTO</v>
      </c>
      <c r="L124" s="65" t="str">
        <f>IFERROR(__xludf.DUMMYFUNCTION("""COMPUTED_VALUE"""),"CON RECAUDO")</f>
        <v>CON RECAUDO</v>
      </c>
      <c r="M124" s="65" t="str">
        <f>IFERROR(__xludf.DUMMYFUNCTION("""COMPUTED_VALUE"""),"SANTA ELENA")</f>
        <v>SANTA ELENA</v>
      </c>
      <c r="N124" s="65" t="str">
        <f>IFERROR(__xludf.DUMMYFUNCTION("""COMPUTED_VALUE"""),"ANCON")</f>
        <v>ANCON</v>
      </c>
      <c r="O124" s="65" t="str">
        <f>IFERROR(__xludf.DUMMYFUNCTION("""COMPUTED_VALUE"""),"Ancon. Barrío Unión. Av. El Petrolero frente al mercado municipal. y casa color durazno -")</f>
        <v>Ancon. Barrío Unión. Av. El Petrolero frente al mercado municipal. y casa color durazno -</v>
      </c>
      <c r="P124" s="65"/>
      <c r="Q124" s="65" t="str">
        <f>IFERROR(__xludf.DUMMYFUNCTION("""COMPUTED_VALUE"""),"GINTRACOM")</f>
        <v>GINTRACOM</v>
      </c>
      <c r="R124" s="65">
        <f>IFERROR(__xludf.DUMMYFUNCTION("""COMPUTED_VALUE"""),25.0)</f>
        <v>25</v>
      </c>
      <c r="S124" s="65"/>
      <c r="T124" s="65">
        <f>IFERROR(__xludf.DUMMYFUNCTION("""COMPUTED_VALUE"""),6.53)</f>
        <v>6.53</v>
      </c>
      <c r="U124" s="65">
        <f>IFERROR(__xludf.DUMMYFUNCTION("""COMPUTED_VALUE"""),0.0)</f>
        <v>0</v>
      </c>
      <c r="V124" s="65">
        <f>IFERROR(__xludf.DUMMYFUNCTION("""COMPUTED_VALUE"""),0.0)</f>
        <v>0</v>
      </c>
      <c r="W124" s="65">
        <f>IFERROR(__xludf.DUMMYFUNCTION("""COMPUTED_VALUE"""),0.0)</f>
        <v>0</v>
      </c>
      <c r="X124" s="65">
        <f>IFERROR(__xludf.DUMMYFUNCTION("""COMPUTED_VALUE"""),2.35)</f>
        <v>2.35</v>
      </c>
      <c r="Y124" s="65">
        <f>IFERROR(__xludf.DUMMYFUNCTION("""COMPUTED_VALUE"""),4.7)</f>
        <v>4.7</v>
      </c>
      <c r="Z124" s="65">
        <f>IFERROR(__xludf.DUMMYFUNCTION("""COMPUTED_VALUE"""),116679.0)</f>
        <v>116679</v>
      </c>
      <c r="AA124" s="65" t="str">
        <f>IFERROR(__xludf.DUMMYFUNCTION("""COMPUTED_VALUE"""),"AMC-2738")</f>
        <v>AMC-2738</v>
      </c>
      <c r="AB124" s="65"/>
      <c r="AC124" s="65" t="str">
        <f>IFERROR(__xludf.DUMMYFUNCTION("""COMPUTED_VALUE"""),"ESPONJA ANTILLUVIA DE PARABRISAS")</f>
        <v>ESPONJA ANTILLUVIA DE PARABRISAS</v>
      </c>
      <c r="AD124" s="65"/>
      <c r="AE124" s="65">
        <f>IFERROR(__xludf.DUMMYFUNCTION("""COMPUTED_VALUE"""),2.0)</f>
        <v>2</v>
      </c>
      <c r="AF124" s="65"/>
      <c r="AG124" s="65"/>
      <c r="AH124" s="65"/>
      <c r="AI124" s="65"/>
      <c r="AJ124" s="65"/>
      <c r="AK124" s="65"/>
      <c r="AL124" s="65"/>
      <c r="AM124" s="65"/>
      <c r="AN124" s="65" t="str">
        <f>IFERROR(__xludf.DUMMYFUNCTION("""COMPUTED_VALUE"""),"19:34")</f>
        <v>19:34</v>
      </c>
      <c r="AO124" s="65" t="str">
        <f>IFERROR(__xludf.DUMMYFUNCTION("""COMPUTED_VALUE"""),"25-03-2026")</f>
        <v>25-03-2026</v>
      </c>
      <c r="AP124" s="65" t="str">
        <f>IFERROR(__xludf.DUMMYFUNCTION("""COMPUTED_VALUE"""),"FUERA DE COBERTURA, NO COINCIDE LA CIUDAD REAL DESTINO CON LA CIUDAD INGRESADA")</f>
        <v>FUERA DE COBERTURA, NO COINCIDE LA CIUDAD REAL DESTINO CON LA CIUDAD INGRESADA</v>
      </c>
      <c r="AQ124" s="65" t="str">
        <f>IFERROR(__xludf.DUMMYFUNCTION("""COMPUTED_VALUE"""),"FUERA DE COBERTURA, NO COINCIDE LA CIUDAD REAL DESTINO CON LA CIUDAD INGRESADA")</f>
        <v>FUERA DE COBERTURA, NO COINCIDE LA CIUDAD REAL DESTINO CON LA CIUDAD INGRESADA</v>
      </c>
      <c r="AR124" s="65"/>
      <c r="AS124" s="65"/>
      <c r="AT124" s="65" t="str">
        <f>IFERROR(__xludf.DUMMYFUNCTION("""COMPUTED_VALUE"""),"SHOPIFY")</f>
        <v>SHOPIFY</v>
      </c>
      <c r="AU124" s="65" t="str">
        <f>IFERROR(__xludf.DUMMYFUNCTION("""COMPUTED_VALUE"""),"IMPORTEX EC")</f>
        <v>IMPORTEX EC</v>
      </c>
      <c r="AV124" s="65" t="str">
        <f>IFERROR(__xludf.DUMMYFUNCTION("""COMPUTED_VALUE"""),"6586052182060")</f>
        <v>6586052182060</v>
      </c>
      <c r="AW124" s="65">
        <f>IFERROR(__xludf.DUMMYFUNCTION("""COMPUTED_VALUE"""),6722.0)</f>
        <v>6722</v>
      </c>
      <c r="AX124" s="65"/>
      <c r="AY124" s="65" t="str">
        <f>IFERROR(__xludf.DUMMYFUNCTION("""COMPUTED_VALUE"""),"19/03/2026")</f>
        <v>19/03/2026</v>
      </c>
      <c r="AZ124" s="65"/>
      <c r="BA124" s="65"/>
    </row>
    <row r="125">
      <c r="A125" s="65" t="str">
        <f>IFERROR(__xludf.DUMMYFUNCTION("""COMPUTED_VALUE"""),"27-03-2026")</f>
        <v>27-03-2026</v>
      </c>
      <c r="B125" s="65">
        <f>IFERROR(__xludf.DUMMYFUNCTION("""COMPUTED_VALUE"""),4831616.0)</f>
        <v>4831616</v>
      </c>
      <c r="C125" s="65" t="str">
        <f>IFERROR(__xludf.DUMMYFUNCTION("""COMPUTED_VALUE"""),"18:36")</f>
        <v>18:36</v>
      </c>
      <c r="D125" s="65" t="str">
        <f>IFERROR(__xludf.DUMMYFUNCTION("""COMPUTED_VALUE"""),"17-03-2026")</f>
        <v>17-03-2026</v>
      </c>
      <c r="E125" s="65" t="str">
        <f>IFERROR(__xludf.DUMMYFUNCTION("""COMPUTED_VALUE"""),"Aleksiey Ramón Zambrano Arteaga")</f>
        <v>Aleksiey Ramón Zambrano Arteaga</v>
      </c>
      <c r="F125" s="65" t="str">
        <f>IFERROR(__xludf.DUMMYFUNCTION("""COMPUTED_VALUE"""),"958828122")</f>
        <v>958828122</v>
      </c>
      <c r="G125" s="65" t="str">
        <f>IFERROR(__xludf.DUMMYFUNCTION("""COMPUTED_VALUE"""),"kingdogzamb01@gmail.com")</f>
        <v>kingdogzamb01@gmail.com</v>
      </c>
      <c r="H125" s="65"/>
      <c r="I125" s="65"/>
      <c r="J125" s="65" t="str">
        <f>IFERROR(__xludf.DUMMYFUNCTION("""COMPUTED_VALUE"""),"D001428511")</f>
        <v>D001428511</v>
      </c>
      <c r="K125" s="65" t="str">
        <f>IFERROR(__xludf.DUMMYFUNCTION("""COMPUTED_VALUE"""),"ENTREGADO")</f>
        <v>ENTREGADO</v>
      </c>
      <c r="L125" s="65" t="str">
        <f>IFERROR(__xludf.DUMMYFUNCTION("""COMPUTED_VALUE"""),"CON RECAUDO")</f>
        <v>CON RECAUDO</v>
      </c>
      <c r="M125" s="65" t="str">
        <f>IFERROR(__xludf.DUMMYFUNCTION("""COMPUTED_VALUE"""),"MANABI")</f>
        <v>MANABI</v>
      </c>
      <c r="N125" s="65" t="str">
        <f>IFERROR(__xludf.DUMMYFUNCTION("""COMPUTED_VALUE"""),"MONTECRISTI")</f>
        <v>MONTECRISTI</v>
      </c>
      <c r="O125" s="65" t="str">
        <f>IFERROR(__xludf.DUMMYFUNCTION("""COMPUTED_VALUE"""),"Montecristi,  Av Metropolitana y calle 10 de Agosto,  Veterinaria King Dog , sector del TÍA")</f>
        <v>Montecristi,  Av Metropolitana y calle 10 de Agosto,  Veterinaria King Dog , sector del TÍA</v>
      </c>
      <c r="P125" s="65"/>
      <c r="Q125" s="65" t="str">
        <f>IFERROR(__xludf.DUMMYFUNCTION("""COMPUTED_VALUE"""),"GINTRACOM")</f>
        <v>GINTRACOM</v>
      </c>
      <c r="R125" s="65">
        <f>IFERROR(__xludf.DUMMYFUNCTION("""COMPUTED_VALUE"""),30.0)</f>
        <v>30</v>
      </c>
      <c r="S125" s="65">
        <f>IFERROR(__xludf.DUMMYFUNCTION("""COMPUTED_VALUE"""),16.22)</f>
        <v>16.22</v>
      </c>
      <c r="T125" s="65">
        <f>IFERROR(__xludf.DUMMYFUNCTION("""COMPUTED_VALUE"""),6.73)</f>
        <v>6.73</v>
      </c>
      <c r="U125" s="65">
        <f>IFERROR(__xludf.DUMMYFUNCTION("""COMPUTED_VALUE"""),0.0)</f>
        <v>0</v>
      </c>
      <c r="V125" s="65">
        <f>IFERROR(__xludf.DUMMYFUNCTION("""COMPUTED_VALUE"""),0.0)</f>
        <v>0</v>
      </c>
      <c r="W125" s="65">
        <f>IFERROR(__xludf.DUMMYFUNCTION("""COMPUTED_VALUE"""),0.0)</f>
        <v>0</v>
      </c>
      <c r="X125" s="65">
        <f>IFERROR(__xludf.DUMMYFUNCTION("""COMPUTED_VALUE"""),2.35)</f>
        <v>2.35</v>
      </c>
      <c r="Y125" s="65">
        <f>IFERROR(__xludf.DUMMYFUNCTION("""COMPUTED_VALUE"""),7.05)</f>
        <v>7.05</v>
      </c>
      <c r="Z125" s="65">
        <f>IFERROR(__xludf.DUMMYFUNCTION("""COMPUTED_VALUE"""),116679.0)</f>
        <v>116679</v>
      </c>
      <c r="AA125" s="65" t="str">
        <f>IFERROR(__xludf.DUMMYFUNCTION("""COMPUTED_VALUE"""),"AMC-2738")</f>
        <v>AMC-2738</v>
      </c>
      <c r="AB125" s="65"/>
      <c r="AC125" s="65" t="str">
        <f>IFERROR(__xludf.DUMMYFUNCTION("""COMPUTED_VALUE"""),"ESPONJA ANTILLUVIA DE PARABRISAS")</f>
        <v>ESPONJA ANTILLUVIA DE PARABRISAS</v>
      </c>
      <c r="AD125" s="65"/>
      <c r="AE125" s="65">
        <f>IFERROR(__xludf.DUMMYFUNCTION("""COMPUTED_VALUE"""),3.0)</f>
        <v>3</v>
      </c>
      <c r="AF125" s="65"/>
      <c r="AG125" s="65"/>
      <c r="AH125" s="65"/>
      <c r="AI125" s="65"/>
      <c r="AJ125" s="65"/>
      <c r="AK125" s="65"/>
      <c r="AL125" s="65"/>
      <c r="AM125" s="65"/>
      <c r="AN125" s="65" t="str">
        <f>IFERROR(__xludf.DUMMYFUNCTION("""COMPUTED_VALUE"""),"16:49")</f>
        <v>16:49</v>
      </c>
      <c r="AO125" s="65" t="str">
        <f>IFERROR(__xludf.DUMMYFUNCTION("""COMPUTED_VALUE"""),"25-03-2026")</f>
        <v>25-03-2026</v>
      </c>
      <c r="AP125" s="65" t="str">
        <f>IFERROR(__xludf.DUMMYFUNCTION("""COMPUTED_VALUE"""),"ENTREGADA GINTRACOM")</f>
        <v>ENTREGADA GINTRACOM</v>
      </c>
      <c r="AQ125" s="65" t="str">
        <f>IFERROR(__xludf.DUMMYFUNCTION("""COMPUTED_VALUE"""),"ENTREGADA GINTRACOM")</f>
        <v>ENTREGADA GINTRACOM</v>
      </c>
      <c r="AR125" s="65"/>
      <c r="AS125" s="65"/>
      <c r="AT125" s="65" t="str">
        <f>IFERROR(__xludf.DUMMYFUNCTION("""COMPUTED_VALUE"""),"SHOPIFY")</f>
        <v>SHOPIFY</v>
      </c>
      <c r="AU125" s="65" t="str">
        <f>IFERROR(__xludf.DUMMYFUNCTION("""COMPUTED_VALUE"""),"IMPORTEX EC")</f>
        <v>IMPORTEX EC</v>
      </c>
      <c r="AV125" s="65" t="str">
        <f>IFERROR(__xludf.DUMMYFUNCTION("""COMPUTED_VALUE"""),"6585937297452")</f>
        <v>6585937297452</v>
      </c>
      <c r="AW125" s="65">
        <f>IFERROR(__xludf.DUMMYFUNCTION("""COMPUTED_VALUE"""),6721.0)</f>
        <v>6721</v>
      </c>
      <c r="AX125" s="65"/>
      <c r="AY125" s="65" t="str">
        <f>IFERROR(__xludf.DUMMYFUNCTION("""COMPUTED_VALUE"""),"18/03/2026")</f>
        <v>18/03/2026</v>
      </c>
      <c r="AZ125" s="65"/>
      <c r="BA125" s="65"/>
    </row>
    <row r="126">
      <c r="A126" s="65" t="str">
        <f>IFERROR(__xludf.DUMMYFUNCTION("""COMPUTED_VALUE"""),"27-03-2026")</f>
        <v>27-03-2026</v>
      </c>
      <c r="B126" s="65">
        <f>IFERROR(__xludf.DUMMYFUNCTION("""COMPUTED_VALUE"""),4830959.0)</f>
        <v>4830959</v>
      </c>
      <c r="C126" s="65" t="str">
        <f>IFERROR(__xludf.DUMMYFUNCTION("""COMPUTED_VALUE"""),"17:10")</f>
        <v>17:10</v>
      </c>
      <c r="D126" s="65" t="str">
        <f>IFERROR(__xludf.DUMMYFUNCTION("""COMPUTED_VALUE"""),"17-03-2026")</f>
        <v>17-03-2026</v>
      </c>
      <c r="E126" s="65" t="str">
        <f>IFERROR(__xludf.DUMMYFUNCTION("""COMPUTED_VALUE"""),"Jheison Delgado")</f>
        <v>Jheison Delgado</v>
      </c>
      <c r="F126" s="65" t="str">
        <f>IFERROR(__xludf.DUMMYFUNCTION("""COMPUTED_VALUE"""),"960778765")</f>
        <v>960778765</v>
      </c>
      <c r="G126" s="65"/>
      <c r="H126" s="65"/>
      <c r="I126" s="65"/>
      <c r="J126" s="65" t="str">
        <f>IFERROR(__xludf.DUMMYFUNCTION("""COMPUTED_VALUE"""),"185004199")</f>
        <v>185004199</v>
      </c>
      <c r="K126" s="65" t="str">
        <f>IFERROR(__xludf.DUMMYFUNCTION("""COMPUTED_VALUE"""),"ENTREGADO")</f>
        <v>ENTREGADO</v>
      </c>
      <c r="L126" s="65" t="str">
        <f>IFERROR(__xludf.DUMMYFUNCTION("""COMPUTED_VALUE"""),"CON RECAUDO")</f>
        <v>CON RECAUDO</v>
      </c>
      <c r="M126" s="65" t="str">
        <f>IFERROR(__xludf.DUMMYFUNCTION("""COMPUTED_VALUE"""),"GUAYAS")</f>
        <v>GUAYAS</v>
      </c>
      <c r="N126" s="65" t="str">
        <f>IFERROR(__xludf.DUMMYFUNCTION("""COMPUTED_VALUE"""),"GUAYAQUIL")</f>
        <v>GUAYAQUIL</v>
      </c>
      <c r="O126" s="65" t="str">
        <f>IFERROR(__xludf.DUMMYFUNCTION("""COMPUTED_VALUE"""),"RETIRA EN CS : GUAYAQUIL_ALBOCENTRO 4 - CDLA.ALBORADA 5TA ETAPA MZ.51X SOLAR 3")</f>
        <v>RETIRA EN CS : GUAYAQUIL_ALBOCENTRO 4 - CDLA.ALBORADA 5TA ETAPA MZ.51X SOLAR 3</v>
      </c>
      <c r="P126" s="65"/>
      <c r="Q126" s="65" t="str">
        <f>IFERROR(__xludf.DUMMYFUNCTION("""COMPUTED_VALUE"""),"SERVIENTREGA")</f>
        <v>SERVIENTREGA</v>
      </c>
      <c r="R126" s="65">
        <f>IFERROR(__xludf.DUMMYFUNCTION("""COMPUTED_VALUE"""),15.5)</f>
        <v>15.5</v>
      </c>
      <c r="S126" s="65">
        <f>IFERROR(__xludf.DUMMYFUNCTION("""COMPUTED_VALUE"""),2.33)</f>
        <v>2.33</v>
      </c>
      <c r="T126" s="65">
        <f>IFERROR(__xludf.DUMMYFUNCTION("""COMPUTED_VALUE"""),6.17)</f>
        <v>6.17</v>
      </c>
      <c r="U126" s="65">
        <f>IFERROR(__xludf.DUMMYFUNCTION("""COMPUTED_VALUE"""),0.0)</f>
        <v>0</v>
      </c>
      <c r="V126" s="65">
        <f>IFERROR(__xludf.DUMMYFUNCTION("""COMPUTED_VALUE"""),0.0)</f>
        <v>0</v>
      </c>
      <c r="W126" s="65">
        <f>IFERROR(__xludf.DUMMYFUNCTION("""COMPUTED_VALUE"""),0.0)</f>
        <v>0</v>
      </c>
      <c r="X126" s="65">
        <f>IFERROR(__xludf.DUMMYFUNCTION("""COMPUTED_VALUE"""),3.5)</f>
        <v>3.5</v>
      </c>
      <c r="Y126" s="65">
        <f>IFERROR(__xludf.DUMMYFUNCTION("""COMPUTED_VALUE"""),7.0)</f>
        <v>7</v>
      </c>
      <c r="Z126" s="65">
        <f>IFERROR(__xludf.DUMMYFUNCTION("""COMPUTED_VALUE"""),110064.0)</f>
        <v>110064</v>
      </c>
      <c r="AA126" s="65" t="str">
        <f>IFERROR(__xludf.DUMMYFUNCTION("""COMPUTED_VALUE"""),"IMX-00001")</f>
        <v>IMX-00001</v>
      </c>
      <c r="AB126" s="65"/>
      <c r="AC126" s="65" t="str">
        <f>IFERROR(__xludf.DUMMYFUNCTION("""COMPUTED_VALUE"""),"LLAVE TRINQUETE")</f>
        <v>LLAVE TRINQUETE</v>
      </c>
      <c r="AD126" s="65"/>
      <c r="AE126" s="65">
        <f>IFERROR(__xludf.DUMMYFUNCTION("""COMPUTED_VALUE"""),2.0)</f>
        <v>2</v>
      </c>
      <c r="AF126" s="65"/>
      <c r="AG126" s="65"/>
      <c r="AH126" s="65"/>
      <c r="AI126" s="65"/>
      <c r="AJ126" s="65"/>
      <c r="AK126" s="65"/>
      <c r="AL126" s="65"/>
      <c r="AM126" s="65"/>
      <c r="AN126" s="65" t="str">
        <f>IFERROR(__xludf.DUMMYFUNCTION("""COMPUTED_VALUE"""),"12:17")</f>
        <v>12:17</v>
      </c>
      <c r="AO126" s="65" t="str">
        <f>IFERROR(__xludf.DUMMYFUNCTION("""COMPUTED_VALUE"""),"20-03-2026")</f>
        <v>20-03-2026</v>
      </c>
      <c r="AP126" s="65" t="str">
        <f>IFERROR(__xludf.DUMMYFUNCTION("""COMPUTED_VALUE"""),"REPORTADO ENTREGADO EN AGENCIA")</f>
        <v>REPORTADO ENTREGADO EN AGENCIA</v>
      </c>
      <c r="AQ126" s="65" t="str">
        <f>IFERROR(__xludf.DUMMYFUNCTION("""COMPUTED_VALUE"""),"JHEISON DELGADO")</f>
        <v>JHEISON DELGADO</v>
      </c>
      <c r="AR126" s="65"/>
      <c r="AS126" s="65"/>
      <c r="AT126" s="65"/>
      <c r="AU126" s="65"/>
      <c r="AV126" s="65"/>
      <c r="AW126" s="65"/>
      <c r="AX126" s="65"/>
      <c r="AY126" s="65" t="str">
        <f>IFERROR(__xludf.DUMMYFUNCTION("""COMPUTED_VALUE"""),"18/03/2026")</f>
        <v>18/03/2026</v>
      </c>
      <c r="AZ126" s="65"/>
      <c r="BA126" s="65"/>
    </row>
    <row r="127">
      <c r="A127" s="65" t="str">
        <f>IFERROR(__xludf.DUMMYFUNCTION("""COMPUTED_VALUE"""),"27-03-2026")</f>
        <v>27-03-2026</v>
      </c>
      <c r="B127" s="65">
        <f>IFERROR(__xludf.DUMMYFUNCTION("""COMPUTED_VALUE"""),4829048.0)</f>
        <v>4829048</v>
      </c>
      <c r="C127" s="65" t="str">
        <f>IFERROR(__xludf.DUMMYFUNCTION("""COMPUTED_VALUE"""),"13:42")</f>
        <v>13:42</v>
      </c>
      <c r="D127" s="65" t="str">
        <f>IFERROR(__xludf.DUMMYFUNCTION("""COMPUTED_VALUE"""),"17-03-2026")</f>
        <v>17-03-2026</v>
      </c>
      <c r="E127" s="65" t="str">
        <f>IFERROR(__xludf.DUMMYFUNCTION("""COMPUTED_VALUE"""),"Willan Soria")</f>
        <v>Willan Soria</v>
      </c>
      <c r="F127" s="65" t="str">
        <f>IFERROR(__xludf.DUMMYFUNCTION("""COMPUTED_VALUE"""),"967176573")</f>
        <v>967176573</v>
      </c>
      <c r="G127" s="65" t="str">
        <f>IFERROR(__xludf.DUMMYFUNCTION("""COMPUTED_VALUE"""),"william.soria@hotmail.com")</f>
        <v>william.soria@hotmail.com</v>
      </c>
      <c r="H127" s="65"/>
      <c r="I127" s="65"/>
      <c r="J127" s="65" t="str">
        <f>IFERROR(__xludf.DUMMYFUNCTION("""COMPUTED_VALUE"""),"D001431116")</f>
        <v>D001431116</v>
      </c>
      <c r="K127" s="65" t="str">
        <f>IFERROR(__xludf.DUMMYFUNCTION("""COMPUTED_VALUE"""),"EN REPARTO")</f>
        <v>EN REPARTO</v>
      </c>
      <c r="L127" s="65" t="str">
        <f>IFERROR(__xludf.DUMMYFUNCTION("""COMPUTED_VALUE"""),"CON RECAUDO")</f>
        <v>CON RECAUDO</v>
      </c>
      <c r="M127" s="65" t="str">
        <f>IFERROR(__xludf.DUMMYFUNCTION("""COMPUTED_VALUE"""),"PICHINCHA")</f>
        <v>PICHINCHA</v>
      </c>
      <c r="N127" s="65" t="str">
        <f>IFERROR(__xludf.DUMMYFUNCTION("""COMPUTED_VALUE"""),"QUITO")</f>
        <v>QUITO</v>
      </c>
      <c r="O127" s="65" t="str">
        <f>IFERROR(__xludf.DUMMYFUNCTION("""COMPUTED_VALUE"""),"Avenida Bartolomé Alves E 4-23 Chimbacalle -")</f>
        <v>Avenida Bartolomé Alves E 4-23 Chimbacalle -</v>
      </c>
      <c r="P127" s="65"/>
      <c r="Q127" s="65" t="str">
        <f>IFERROR(__xludf.DUMMYFUNCTION("""COMPUTED_VALUE"""),"GINTRACOM")</f>
        <v>GINTRACOM</v>
      </c>
      <c r="R127" s="65">
        <f>IFERROR(__xludf.DUMMYFUNCTION("""COMPUTED_VALUE"""),20.0)</f>
        <v>20</v>
      </c>
      <c r="S127" s="65"/>
      <c r="T127" s="65">
        <f>IFERROR(__xludf.DUMMYFUNCTION("""COMPUTED_VALUE"""),4.15)</f>
        <v>4.15</v>
      </c>
      <c r="U127" s="65">
        <f>IFERROR(__xludf.DUMMYFUNCTION("""COMPUTED_VALUE"""),0.0)</f>
        <v>0</v>
      </c>
      <c r="V127" s="65">
        <f>IFERROR(__xludf.DUMMYFUNCTION("""COMPUTED_VALUE"""),0.0)</f>
        <v>0</v>
      </c>
      <c r="W127" s="65">
        <f>IFERROR(__xludf.DUMMYFUNCTION("""COMPUTED_VALUE"""),0.0)</f>
        <v>0</v>
      </c>
      <c r="X127" s="65">
        <f>IFERROR(__xludf.DUMMYFUNCTION("""COMPUTED_VALUE"""),2.35)</f>
        <v>2.35</v>
      </c>
      <c r="Y127" s="65">
        <f>IFERROR(__xludf.DUMMYFUNCTION("""COMPUTED_VALUE"""),2.35)</f>
        <v>2.35</v>
      </c>
      <c r="Z127" s="65">
        <f>IFERROR(__xludf.DUMMYFUNCTION("""COMPUTED_VALUE"""),116679.0)</f>
        <v>116679</v>
      </c>
      <c r="AA127" s="65" t="str">
        <f>IFERROR(__xludf.DUMMYFUNCTION("""COMPUTED_VALUE"""),"AMC-2738")</f>
        <v>AMC-2738</v>
      </c>
      <c r="AB127" s="65"/>
      <c r="AC127" s="65" t="str">
        <f>IFERROR(__xludf.DUMMYFUNCTION("""COMPUTED_VALUE"""),"ESPONJA ANTILLUVIA DE PARABRISAS")</f>
        <v>ESPONJA ANTILLUVIA DE PARABRISAS</v>
      </c>
      <c r="AD127" s="65"/>
      <c r="AE127" s="65">
        <f>IFERROR(__xludf.DUMMYFUNCTION("""COMPUTED_VALUE"""),1.0)</f>
        <v>1</v>
      </c>
      <c r="AF127" s="65" t="str">
        <f>IFERROR(__xludf.DUMMYFUNCTION("""COMPUTED_VALUE"""),"DESTINATARIO NO CONTESTA LLAMADAS NI WHATSAPP")</f>
        <v>DESTINATARIO NO CONTESTA LLAMADAS NI WHATSAPP</v>
      </c>
      <c r="AG127" s="65" t="str">
        <f>IFERROR(__xludf.DUMMYFUNCTION("""COMPUTED_VALUE"""),"SI")</f>
        <v>SI</v>
      </c>
      <c r="AH127" s="65" t="str">
        <f>IFERROR(__xludf.DUMMYFUNCTION("""COMPUTED_VALUE"""),"18:22")</f>
        <v>18:22</v>
      </c>
      <c r="AI127" s="65" t="str">
        <f>IFERROR(__xludf.DUMMYFUNCTION("""COMPUTED_VALUE"""),"24-03-2026")</f>
        <v>24-03-2026</v>
      </c>
      <c r="AJ127" s="65" t="str">
        <f>IFERROR(__xludf.DUMMYFUNCTION("""COMPUTED_VALUE"""),"El cliente requiere entrega inmediata; por favor, coordinar directamente con él para concretar la entrega.")</f>
        <v>El cliente requiere entrega inmediata; por favor, coordinar directamente con él para concretar la entrega.</v>
      </c>
      <c r="AK127" s="65" t="str">
        <f>IFERROR(__xludf.DUMMYFUNCTION("""COMPUTED_VALUE"""),"10:52")</f>
        <v>10:52</v>
      </c>
      <c r="AL127" s="65" t="str">
        <f>IFERROR(__xludf.DUMMYFUNCTION("""COMPUTED_VALUE"""),"25-03-2026")</f>
        <v>25-03-2026</v>
      </c>
      <c r="AM127" s="65"/>
      <c r="AN127" s="65" t="str">
        <f>IFERROR(__xludf.DUMMYFUNCTION("""COMPUTED_VALUE"""),"12:34")</f>
        <v>12:34</v>
      </c>
      <c r="AO127" s="65" t="str">
        <f>IFERROR(__xludf.DUMMYFUNCTION("""COMPUTED_VALUE"""),"26-03-2026")</f>
        <v>26-03-2026</v>
      </c>
      <c r="AP127" s="65" t="str">
        <f>IFERROR(__xludf.DUMMYFUNCTION("""COMPUTED_VALUE"""),"DESTINATARIO INDICA QUE YA NO DESEA EL PRODUCTO")</f>
        <v>DESTINATARIO INDICA QUE YA NO DESEA EL PRODUCTO</v>
      </c>
      <c r="AQ127" s="65" t="str">
        <f>IFERROR(__xludf.DUMMYFUNCTION("""COMPUTED_VALUE"""),"DESTINATARIO INDICA QUE YA NO DESEA EL PRODUCTO")</f>
        <v>DESTINATARIO INDICA QUE YA NO DESEA EL PRODUCTO</v>
      </c>
      <c r="AR127" s="65"/>
      <c r="AS127" s="65"/>
      <c r="AT127" s="65" t="str">
        <f>IFERROR(__xludf.DUMMYFUNCTION("""COMPUTED_VALUE"""),"SHOPIFY")</f>
        <v>SHOPIFY</v>
      </c>
      <c r="AU127" s="65" t="str">
        <f>IFERROR(__xludf.DUMMYFUNCTION("""COMPUTED_VALUE"""),"IMPORTEX EC")</f>
        <v>IMPORTEX EC</v>
      </c>
      <c r="AV127" s="65" t="str">
        <f>IFERROR(__xludf.DUMMYFUNCTION("""COMPUTED_VALUE"""),"6585438437420")</f>
        <v>6585438437420</v>
      </c>
      <c r="AW127" s="65">
        <f>IFERROR(__xludf.DUMMYFUNCTION("""COMPUTED_VALUE"""),6720.0)</f>
        <v>6720</v>
      </c>
      <c r="AX127" s="65"/>
      <c r="AY127" s="65" t="str">
        <f>IFERROR(__xludf.DUMMYFUNCTION("""COMPUTED_VALUE"""),"19/03/2026")</f>
        <v>19/03/2026</v>
      </c>
      <c r="AZ127" s="65"/>
      <c r="BA127" s="65"/>
    </row>
    <row r="128">
      <c r="A128" s="65" t="str">
        <f>IFERROR(__xludf.DUMMYFUNCTION("""COMPUTED_VALUE"""),"27-03-2026")</f>
        <v>27-03-2026</v>
      </c>
      <c r="B128" s="65">
        <f>IFERROR(__xludf.DUMMYFUNCTION("""COMPUTED_VALUE"""),4828661.0)</f>
        <v>4828661</v>
      </c>
      <c r="C128" s="65" t="str">
        <f>IFERROR(__xludf.DUMMYFUNCTION("""COMPUTED_VALUE"""),"12:56")</f>
        <v>12:56</v>
      </c>
      <c r="D128" s="65" t="str">
        <f>IFERROR(__xludf.DUMMYFUNCTION("""COMPUTED_VALUE"""),"17-03-2026")</f>
        <v>17-03-2026</v>
      </c>
      <c r="E128" s="65" t="str">
        <f>IFERROR(__xludf.DUMMYFUNCTION("""COMPUTED_VALUE"""),"Alonso García")</f>
        <v>Alonso García</v>
      </c>
      <c r="F128" s="65" t="str">
        <f>IFERROR(__xludf.DUMMYFUNCTION("""COMPUTED_VALUE"""),"958879436")</f>
        <v>958879436</v>
      </c>
      <c r="G128" s="65" t="str">
        <f>IFERROR(__xludf.DUMMYFUNCTION("""COMPUTED_VALUE"""),"alonso.garcia84@hotmail.com")</f>
        <v>alonso.garcia84@hotmail.com</v>
      </c>
      <c r="H128" s="65"/>
      <c r="I128" s="65"/>
      <c r="J128" s="65"/>
      <c r="K128" s="65" t="str">
        <f>IFERROR(__xludf.DUMMYFUNCTION("""COMPUTED_VALUE"""),"CANCELADO")</f>
        <v>CANCELADO</v>
      </c>
      <c r="L128" s="65" t="str">
        <f>IFERROR(__xludf.DUMMYFUNCTION("""COMPUTED_VALUE"""),"CON RECAUDO")</f>
        <v>CON RECAUDO</v>
      </c>
      <c r="M128" s="65" t="str">
        <f>IFERROR(__xludf.DUMMYFUNCTION("""COMPUTED_VALUE"""),"MANABI")</f>
        <v>MANABI</v>
      </c>
      <c r="N128" s="65" t="str">
        <f>IFERROR(__xludf.DUMMYFUNCTION("""COMPUTED_VALUE"""),"CHONE")</f>
        <v>CHONE</v>
      </c>
      <c r="O128" s="65" t="str">
        <f>IFERROR(__xludf.DUMMYFUNCTION("""COMPUTED_VALUE"""),"Via San Vicente Y malecón # 111 -")</f>
        <v>Via San Vicente Y malecón # 111 -</v>
      </c>
      <c r="P128" s="65"/>
      <c r="Q128" s="65" t="str">
        <f>IFERROR(__xludf.DUMMYFUNCTION("""COMPUTED_VALUE"""),"GINTRACOM")</f>
        <v>GINTRACOM</v>
      </c>
      <c r="R128" s="65">
        <f>IFERROR(__xludf.DUMMYFUNCTION("""COMPUTED_VALUE"""),20.0)</f>
        <v>20</v>
      </c>
      <c r="S128" s="65"/>
      <c r="T128" s="65">
        <f>IFERROR(__xludf.DUMMYFUNCTION("""COMPUTED_VALUE"""),5.76)</f>
        <v>5.76</v>
      </c>
      <c r="U128" s="65">
        <f>IFERROR(__xludf.DUMMYFUNCTION("""COMPUTED_VALUE"""),0.0)</f>
        <v>0</v>
      </c>
      <c r="V128" s="65">
        <f>IFERROR(__xludf.DUMMYFUNCTION("""COMPUTED_VALUE"""),0.0)</f>
        <v>0</v>
      </c>
      <c r="W128" s="65">
        <f>IFERROR(__xludf.DUMMYFUNCTION("""COMPUTED_VALUE"""),0.0)</f>
        <v>0</v>
      </c>
      <c r="X128" s="65">
        <f>IFERROR(__xludf.DUMMYFUNCTION("""COMPUTED_VALUE"""),2.35)</f>
        <v>2.35</v>
      </c>
      <c r="Y128" s="65">
        <f>IFERROR(__xludf.DUMMYFUNCTION("""COMPUTED_VALUE"""),2.35)</f>
        <v>2.35</v>
      </c>
      <c r="Z128" s="65">
        <f>IFERROR(__xludf.DUMMYFUNCTION("""COMPUTED_VALUE"""),116679.0)</f>
        <v>116679</v>
      </c>
      <c r="AA128" s="65" t="str">
        <f>IFERROR(__xludf.DUMMYFUNCTION("""COMPUTED_VALUE"""),"AMC-2738")</f>
        <v>AMC-2738</v>
      </c>
      <c r="AB128" s="65"/>
      <c r="AC128" s="65" t="str">
        <f>IFERROR(__xludf.DUMMYFUNCTION("""COMPUTED_VALUE"""),"ESPONJA ANTILLUVIA DE PARABRISAS")</f>
        <v>ESPONJA ANTILLUVIA DE PARABRISAS</v>
      </c>
      <c r="AD128" s="65"/>
      <c r="AE128" s="65">
        <f>IFERROR(__xludf.DUMMYFUNCTION("""COMPUTED_VALUE"""),1.0)</f>
        <v>1</v>
      </c>
      <c r="AF128" s="65"/>
      <c r="AG128" s="65"/>
      <c r="AH128" s="65"/>
      <c r="AI128" s="65"/>
      <c r="AJ128" s="65"/>
      <c r="AK128" s="65"/>
      <c r="AL128" s="65"/>
      <c r="AM128" s="65"/>
      <c r="AN128" s="65"/>
      <c r="AO128" s="65"/>
      <c r="AP128" s="65"/>
      <c r="AQ128" s="65"/>
      <c r="AR128" s="65"/>
      <c r="AS128" s="65"/>
      <c r="AT128" s="65" t="str">
        <f>IFERROR(__xludf.DUMMYFUNCTION("""COMPUTED_VALUE"""),"SHOPIFY")</f>
        <v>SHOPIFY</v>
      </c>
      <c r="AU128" s="65" t="str">
        <f>IFERROR(__xludf.DUMMYFUNCTION("""COMPUTED_VALUE"""),"IMPORTEX EC")</f>
        <v>IMPORTEX EC</v>
      </c>
      <c r="AV128" s="65" t="str">
        <f>IFERROR(__xludf.DUMMYFUNCTION("""COMPUTED_VALUE"""),"6585352290348")</f>
        <v>6585352290348</v>
      </c>
      <c r="AW128" s="65">
        <f>IFERROR(__xludf.DUMMYFUNCTION("""COMPUTED_VALUE"""),6719.0)</f>
        <v>6719</v>
      </c>
      <c r="AX128" s="65"/>
      <c r="AY128" s="65"/>
      <c r="AZ128" s="65"/>
      <c r="BA128" s="65"/>
    </row>
    <row r="129">
      <c r="A129" s="65" t="str">
        <f>IFERROR(__xludf.DUMMYFUNCTION("""COMPUTED_VALUE"""),"27-03-2026")</f>
        <v>27-03-2026</v>
      </c>
      <c r="B129" s="65">
        <f>IFERROR(__xludf.DUMMYFUNCTION("""COMPUTED_VALUE"""),4828369.0)</f>
        <v>4828369</v>
      </c>
      <c r="C129" s="65" t="str">
        <f>IFERROR(__xludf.DUMMYFUNCTION("""COMPUTED_VALUE"""),"12:21")</f>
        <v>12:21</v>
      </c>
      <c r="D129" s="65" t="str">
        <f>IFERROR(__xludf.DUMMYFUNCTION("""COMPUTED_VALUE"""),"17-03-2026")</f>
        <v>17-03-2026</v>
      </c>
      <c r="E129" s="65" t="str">
        <f>IFERROR(__xludf.DUMMYFUNCTION("""COMPUTED_VALUE"""),"Franck Banguera")</f>
        <v>Franck Banguera</v>
      </c>
      <c r="F129" s="65" t="str">
        <f>IFERROR(__xludf.DUMMYFUNCTION("""COMPUTED_VALUE"""),"992677277")</f>
        <v>992677277</v>
      </c>
      <c r="G129" s="65" t="str">
        <f>IFERROR(__xludf.DUMMYFUNCTION("""COMPUTED_VALUE"""),"franckjoel2411@hotmail.com")</f>
        <v>franckjoel2411@hotmail.com</v>
      </c>
      <c r="H129" s="65"/>
      <c r="I129" s="65"/>
      <c r="J129" s="65" t="str">
        <f>IFERROR(__xludf.DUMMYFUNCTION("""COMPUTED_VALUE"""),"D001427327")</f>
        <v>D001427327</v>
      </c>
      <c r="K129" s="65" t="str">
        <f>IFERROR(__xludf.DUMMYFUNCTION("""COMPUTED_VALUE"""),"ENTREGADO")</f>
        <v>ENTREGADO</v>
      </c>
      <c r="L129" s="65" t="str">
        <f>IFERROR(__xludf.DUMMYFUNCTION("""COMPUTED_VALUE"""),"CON RECAUDO")</f>
        <v>CON RECAUDO</v>
      </c>
      <c r="M129" s="65" t="str">
        <f>IFERROR(__xludf.DUMMYFUNCTION("""COMPUTED_VALUE"""),"GUAYAS")</f>
        <v>GUAYAS</v>
      </c>
      <c r="N129" s="65" t="str">
        <f>IFERROR(__xludf.DUMMYFUNCTION("""COMPUTED_VALUE"""),"GUAYAQUIL")</f>
        <v>GUAYAQUIL</v>
      </c>
      <c r="O129" s="65" t="str">
        <f>IFERROR(__xludf.DUMMYFUNCTION("""COMPUTED_VALUE"""),"Cdla Los Ceibos av. del bombero,  Frente Unidad Educativa Bilingüe Javier - Condominio 111")</f>
        <v>Cdla Los Ceibos av. del bombero,  Frente Unidad Educativa Bilingüe Javier - Condominio 111</v>
      </c>
      <c r="P129" s="65"/>
      <c r="Q129" s="65" t="str">
        <f>IFERROR(__xludf.DUMMYFUNCTION("""COMPUTED_VALUE"""),"GINTRACOM")</f>
        <v>GINTRACOM</v>
      </c>
      <c r="R129" s="65">
        <f>IFERROR(__xludf.DUMMYFUNCTION("""COMPUTED_VALUE"""),20.0)</f>
        <v>20</v>
      </c>
      <c r="S129" s="65">
        <f>IFERROR(__xludf.DUMMYFUNCTION("""COMPUTED_VALUE"""),11.89)</f>
        <v>11.89</v>
      </c>
      <c r="T129" s="65">
        <f>IFERROR(__xludf.DUMMYFUNCTION("""COMPUTED_VALUE"""),5.76)</f>
        <v>5.76</v>
      </c>
      <c r="U129" s="65">
        <f>IFERROR(__xludf.DUMMYFUNCTION("""COMPUTED_VALUE"""),0.0)</f>
        <v>0</v>
      </c>
      <c r="V129" s="65">
        <f>IFERROR(__xludf.DUMMYFUNCTION("""COMPUTED_VALUE"""),0.0)</f>
        <v>0</v>
      </c>
      <c r="W129" s="65">
        <f>IFERROR(__xludf.DUMMYFUNCTION("""COMPUTED_VALUE"""),0.0)</f>
        <v>0</v>
      </c>
      <c r="X129" s="65">
        <f>IFERROR(__xludf.DUMMYFUNCTION("""COMPUTED_VALUE"""),2.35)</f>
        <v>2.35</v>
      </c>
      <c r="Y129" s="65">
        <f>IFERROR(__xludf.DUMMYFUNCTION("""COMPUTED_VALUE"""),2.35)</f>
        <v>2.35</v>
      </c>
      <c r="Z129" s="65">
        <f>IFERROR(__xludf.DUMMYFUNCTION("""COMPUTED_VALUE"""),116679.0)</f>
        <v>116679</v>
      </c>
      <c r="AA129" s="65" t="str">
        <f>IFERROR(__xludf.DUMMYFUNCTION("""COMPUTED_VALUE"""),"AMC-2738")</f>
        <v>AMC-2738</v>
      </c>
      <c r="AB129" s="65"/>
      <c r="AC129" s="65" t="str">
        <f>IFERROR(__xludf.DUMMYFUNCTION("""COMPUTED_VALUE"""),"ESPONJA ANTILLUVIA DE PARABRISAS")</f>
        <v>ESPONJA ANTILLUVIA DE PARABRISAS</v>
      </c>
      <c r="AD129" s="65"/>
      <c r="AE129" s="65">
        <f>IFERROR(__xludf.DUMMYFUNCTION("""COMPUTED_VALUE"""),1.0)</f>
        <v>1</v>
      </c>
      <c r="AF129" s="65"/>
      <c r="AG129" s="65"/>
      <c r="AH129" s="65"/>
      <c r="AI129" s="65"/>
      <c r="AJ129" s="65"/>
      <c r="AK129" s="65"/>
      <c r="AL129" s="65"/>
      <c r="AM129" s="65"/>
      <c r="AN129" s="65" t="str">
        <f>IFERROR(__xludf.DUMMYFUNCTION("""COMPUTED_VALUE"""),"14:39")</f>
        <v>14:39</v>
      </c>
      <c r="AO129" s="65" t="str">
        <f>IFERROR(__xludf.DUMMYFUNCTION("""COMPUTED_VALUE"""),"24-03-2026")</f>
        <v>24-03-2026</v>
      </c>
      <c r="AP129" s="65" t="str">
        <f>IFERROR(__xludf.DUMMYFUNCTION("""COMPUTED_VALUE"""),"ENTREGADA GINTRACOM")</f>
        <v>ENTREGADA GINTRACOM</v>
      </c>
      <c r="AQ129" s="65" t="str">
        <f>IFERROR(__xludf.DUMMYFUNCTION("""COMPUTED_VALUE"""),"ENTREGADA GINTRACOM")</f>
        <v>ENTREGADA GINTRACOM</v>
      </c>
      <c r="AR129" s="65"/>
      <c r="AS129" s="65"/>
      <c r="AT129" s="65" t="str">
        <f>IFERROR(__xludf.DUMMYFUNCTION("""COMPUTED_VALUE"""),"SHOPIFY")</f>
        <v>SHOPIFY</v>
      </c>
      <c r="AU129" s="65" t="str">
        <f>IFERROR(__xludf.DUMMYFUNCTION("""COMPUTED_VALUE"""),"IMPORTEX EC")</f>
        <v>IMPORTEX EC</v>
      </c>
      <c r="AV129" s="65" t="str">
        <f>IFERROR(__xludf.DUMMYFUNCTION("""COMPUTED_VALUE"""),"6585293013036")</f>
        <v>6585293013036</v>
      </c>
      <c r="AW129" s="65">
        <f>IFERROR(__xludf.DUMMYFUNCTION("""COMPUTED_VALUE"""),6718.0)</f>
        <v>6718</v>
      </c>
      <c r="AX129" s="65"/>
      <c r="AY129" s="65" t="str">
        <f>IFERROR(__xludf.DUMMYFUNCTION("""COMPUTED_VALUE"""),"18/03/2026")</f>
        <v>18/03/2026</v>
      </c>
      <c r="AZ129" s="65"/>
      <c r="BA129" s="65"/>
    </row>
    <row r="130">
      <c r="A130" s="65" t="str">
        <f>IFERROR(__xludf.DUMMYFUNCTION("""COMPUTED_VALUE"""),"27-03-2026")</f>
        <v>27-03-2026</v>
      </c>
      <c r="B130" s="65">
        <f>IFERROR(__xludf.DUMMYFUNCTION("""COMPUTED_VALUE"""),4827880.0)</f>
        <v>4827880</v>
      </c>
      <c r="C130" s="65" t="str">
        <f>IFERROR(__xludf.DUMMYFUNCTION("""COMPUTED_VALUE"""),"11:38")</f>
        <v>11:38</v>
      </c>
      <c r="D130" s="65" t="str">
        <f>IFERROR(__xludf.DUMMYFUNCTION("""COMPUTED_VALUE"""),"17-03-2026")</f>
        <v>17-03-2026</v>
      </c>
      <c r="E130" s="65" t="str">
        <f>IFERROR(__xludf.DUMMYFUNCTION("""COMPUTED_VALUE"""),"Rina Valarezo Torres")</f>
        <v>Rina Valarezo Torres</v>
      </c>
      <c r="F130" s="65" t="str">
        <f>IFERROR(__xludf.DUMMYFUNCTION("""COMPUTED_VALUE"""),"968298596")</f>
        <v>968298596</v>
      </c>
      <c r="G130" s="65"/>
      <c r="H130" s="65"/>
      <c r="I130" s="65"/>
      <c r="J130" s="65" t="str">
        <f>IFERROR(__xludf.DUMMYFUNCTION("""COMPUTED_VALUE"""),"LC53134285")</f>
        <v>LC53134285</v>
      </c>
      <c r="K130" s="65" t="str">
        <f>IFERROR(__xludf.DUMMYFUNCTION("""COMPUTED_VALUE"""),"ENTREGADO")</f>
        <v>ENTREGADO</v>
      </c>
      <c r="L130" s="65" t="str">
        <f>IFERROR(__xludf.DUMMYFUNCTION("""COMPUTED_VALUE"""),"CON RECAUDO")</f>
        <v>CON RECAUDO</v>
      </c>
      <c r="M130" s="65" t="str">
        <f>IFERROR(__xludf.DUMMYFUNCTION("""COMPUTED_VALUE"""),"EL ORO")</f>
        <v>EL ORO</v>
      </c>
      <c r="N130" s="65" t="str">
        <f>IFERROR(__xludf.DUMMYFUNCTION("""COMPUTED_VALUE"""),"PINAS")</f>
        <v>PINAS</v>
      </c>
      <c r="O130" s="65" t="str">
        <f>IFERROR(__xludf.DUMMYFUNCTION("""COMPUTED_VALUE"""),"Av la independencia y Andres R,  Hotel Arasari")</f>
        <v>Av la independencia y Andres R,  Hotel Arasari</v>
      </c>
      <c r="P130" s="65"/>
      <c r="Q130" s="65" t="str">
        <f>IFERROR(__xludf.DUMMYFUNCTION("""COMPUTED_VALUE"""),"LAARCOURIER")</f>
        <v>LAARCOURIER</v>
      </c>
      <c r="R130" s="65">
        <f>IFERROR(__xludf.DUMMYFUNCTION("""COMPUTED_VALUE"""),20.0)</f>
        <v>20</v>
      </c>
      <c r="S130" s="65">
        <f>IFERROR(__xludf.DUMMYFUNCTION("""COMPUTED_VALUE"""),10.97)</f>
        <v>10.97</v>
      </c>
      <c r="T130" s="65">
        <f>IFERROR(__xludf.DUMMYFUNCTION("""COMPUTED_VALUE"""),6.68)</f>
        <v>6.68</v>
      </c>
      <c r="U130" s="65">
        <f>IFERROR(__xludf.DUMMYFUNCTION("""COMPUTED_VALUE"""),0.0)</f>
        <v>0</v>
      </c>
      <c r="V130" s="65">
        <f>IFERROR(__xludf.DUMMYFUNCTION("""COMPUTED_VALUE"""),0.0)</f>
        <v>0</v>
      </c>
      <c r="W130" s="65">
        <f>IFERROR(__xludf.DUMMYFUNCTION("""COMPUTED_VALUE"""),0.0)</f>
        <v>0</v>
      </c>
      <c r="X130" s="65">
        <f>IFERROR(__xludf.DUMMYFUNCTION("""COMPUTED_VALUE"""),2.35)</f>
        <v>2.35</v>
      </c>
      <c r="Y130" s="65">
        <f>IFERROR(__xludf.DUMMYFUNCTION("""COMPUTED_VALUE"""),2.35)</f>
        <v>2.35</v>
      </c>
      <c r="Z130" s="65">
        <f>IFERROR(__xludf.DUMMYFUNCTION("""COMPUTED_VALUE"""),116679.0)</f>
        <v>116679</v>
      </c>
      <c r="AA130" s="65" t="str">
        <f>IFERROR(__xludf.DUMMYFUNCTION("""COMPUTED_VALUE"""),"AMC-2738")</f>
        <v>AMC-2738</v>
      </c>
      <c r="AB130" s="65"/>
      <c r="AC130" s="65" t="str">
        <f>IFERROR(__xludf.DUMMYFUNCTION("""COMPUTED_VALUE"""),"ESPONJA ANTILLUVIA DE PARABRISAS")</f>
        <v>ESPONJA ANTILLUVIA DE PARABRISAS</v>
      </c>
      <c r="AD130" s="65"/>
      <c r="AE130" s="65">
        <f>IFERROR(__xludf.DUMMYFUNCTION("""COMPUTED_VALUE"""),1.0)</f>
        <v>1</v>
      </c>
      <c r="AF130" s="65"/>
      <c r="AG130" s="65"/>
      <c r="AH130" s="65"/>
      <c r="AI130" s="65"/>
      <c r="AJ130" s="65"/>
      <c r="AK130" s="65"/>
      <c r="AL130" s="65"/>
      <c r="AM130" s="65"/>
      <c r="AN130" s="65" t="str">
        <f>IFERROR(__xludf.DUMMYFUNCTION("""COMPUTED_VALUE"""),"17:59")</f>
        <v>17:59</v>
      </c>
      <c r="AO130" s="65" t="str">
        <f>IFERROR(__xludf.DUMMYFUNCTION("""COMPUTED_VALUE"""),"20-03-2026")</f>
        <v>20-03-2026</v>
      </c>
      <c r="AP130" s="65" t="str">
        <f>IFERROR(__xludf.DUMMYFUNCTION("""COMPUTED_VALUE"""),"ENTREGADO")</f>
        <v>ENTREGADO</v>
      </c>
      <c r="AQ130" s="65" t="str">
        <f>IFERROR(__xludf.DUMMYFUNCTION("""COMPUTED_VALUE"""),"ENTREGADO")</f>
        <v>ENTREGADO</v>
      </c>
      <c r="AR130" s="65"/>
      <c r="AS130" s="65" t="str">
        <f>IFERROR(__xludf.DUMMYFUNCTION("""COMPUTED_VALUE"""),"PAUL BORJA")</f>
        <v>PAUL BORJA</v>
      </c>
      <c r="AT130" s="65"/>
      <c r="AU130" s="65"/>
      <c r="AV130" s="65"/>
      <c r="AW130" s="65"/>
      <c r="AX130" s="65"/>
      <c r="AY130" s="65" t="str">
        <f>IFERROR(__xludf.DUMMYFUNCTION("""COMPUTED_VALUE"""),"18/03/2026")</f>
        <v>18/03/2026</v>
      </c>
      <c r="AZ130" s="65"/>
      <c r="BA130" s="65"/>
    </row>
    <row r="131">
      <c r="A131" s="65" t="str">
        <f>IFERROR(__xludf.DUMMYFUNCTION("""COMPUTED_VALUE"""),"27-03-2026")</f>
        <v>27-03-2026</v>
      </c>
      <c r="B131" s="65">
        <f>IFERROR(__xludf.DUMMYFUNCTION("""COMPUTED_VALUE"""),4827878.0)</f>
        <v>4827878</v>
      </c>
      <c r="C131" s="65" t="str">
        <f>IFERROR(__xludf.DUMMYFUNCTION("""COMPUTED_VALUE"""),"11:38")</f>
        <v>11:38</v>
      </c>
      <c r="D131" s="65" t="str">
        <f>IFERROR(__xludf.DUMMYFUNCTION("""COMPUTED_VALUE"""),"17-03-2026")</f>
        <v>17-03-2026</v>
      </c>
      <c r="E131" s="65" t="str">
        <f>IFERROR(__xludf.DUMMYFUNCTION("""COMPUTED_VALUE"""),"Rudy Ramiro Maiquez Baque")</f>
        <v>Rudy Ramiro Maiquez Baque</v>
      </c>
      <c r="F131" s="65" t="str">
        <f>IFERROR(__xludf.DUMMYFUNCTION("""COMPUTED_VALUE"""),"986018544")</f>
        <v>986018544</v>
      </c>
      <c r="G131" s="65" t="str">
        <f>IFERROR(__xludf.DUMMYFUNCTION("""COMPUTED_VALUE"""),"elect_ing2009@yahoo.com")</f>
        <v>elect_ing2009@yahoo.com</v>
      </c>
      <c r="H131" s="65"/>
      <c r="I131" s="65"/>
      <c r="J131" s="65" t="str">
        <f>IFERROR(__xludf.DUMMYFUNCTION("""COMPUTED_VALUE"""),"D001428514")</f>
        <v>D001428514</v>
      </c>
      <c r="K131" s="65" t="str">
        <f>IFERROR(__xludf.DUMMYFUNCTION("""COMPUTED_VALUE"""),"ENTREGADO")</f>
        <v>ENTREGADO</v>
      </c>
      <c r="L131" s="65" t="str">
        <f>IFERROR(__xludf.DUMMYFUNCTION("""COMPUTED_VALUE"""),"CON RECAUDO")</f>
        <v>CON RECAUDO</v>
      </c>
      <c r="M131" s="65" t="str">
        <f>IFERROR(__xludf.DUMMYFUNCTION("""COMPUTED_VALUE"""),"SUCUMBIOS")</f>
        <v>SUCUMBIOS</v>
      </c>
      <c r="N131" s="65" t="str">
        <f>IFERROR(__xludf.DUMMYFUNCTION("""COMPUTED_VALUE"""),"SHUSHUFINDI")</f>
        <v>SHUSHUFINDI</v>
      </c>
      <c r="O131" s="65" t="str">
        <f>IFERROR(__xludf.DUMMYFUNCTION("""COMPUTED_VALUE"""),"Av. Unidad Nacional y Argentina, Barrio la Unión - Atrás del Mega Mercado Municipal de Shushufindi")</f>
        <v>Av. Unidad Nacional y Argentina, Barrio la Unión - Atrás del Mega Mercado Municipal de Shushufindi</v>
      </c>
      <c r="P131" s="65"/>
      <c r="Q131" s="65" t="str">
        <f>IFERROR(__xludf.DUMMYFUNCTION("""COMPUTED_VALUE"""),"GINTRACOM")</f>
        <v>GINTRACOM</v>
      </c>
      <c r="R131" s="65">
        <f>IFERROR(__xludf.DUMMYFUNCTION("""COMPUTED_VALUE"""),25.0)</f>
        <v>25</v>
      </c>
      <c r="S131" s="65">
        <f>IFERROR(__xludf.DUMMYFUNCTION("""COMPUTED_VALUE"""),14.34)</f>
        <v>14.34</v>
      </c>
      <c r="T131" s="65">
        <f>IFERROR(__xludf.DUMMYFUNCTION("""COMPUTED_VALUE"""),5.96)</f>
        <v>5.96</v>
      </c>
      <c r="U131" s="65">
        <f>IFERROR(__xludf.DUMMYFUNCTION("""COMPUTED_VALUE"""),0.0)</f>
        <v>0</v>
      </c>
      <c r="V131" s="65">
        <f>IFERROR(__xludf.DUMMYFUNCTION("""COMPUTED_VALUE"""),0.0)</f>
        <v>0</v>
      </c>
      <c r="W131" s="65">
        <f>IFERROR(__xludf.DUMMYFUNCTION("""COMPUTED_VALUE"""),0.0)</f>
        <v>0</v>
      </c>
      <c r="X131" s="65">
        <f>IFERROR(__xludf.DUMMYFUNCTION("""COMPUTED_VALUE"""),2.35)</f>
        <v>2.35</v>
      </c>
      <c r="Y131" s="65">
        <f>IFERROR(__xludf.DUMMYFUNCTION("""COMPUTED_VALUE"""),4.7)</f>
        <v>4.7</v>
      </c>
      <c r="Z131" s="65">
        <f>IFERROR(__xludf.DUMMYFUNCTION("""COMPUTED_VALUE"""),116679.0)</f>
        <v>116679</v>
      </c>
      <c r="AA131" s="65" t="str">
        <f>IFERROR(__xludf.DUMMYFUNCTION("""COMPUTED_VALUE"""),"AMC-2738")</f>
        <v>AMC-2738</v>
      </c>
      <c r="AB131" s="65"/>
      <c r="AC131" s="65" t="str">
        <f>IFERROR(__xludf.DUMMYFUNCTION("""COMPUTED_VALUE"""),"ESPONJA ANTILLUVIA DE PARABRISAS")</f>
        <v>ESPONJA ANTILLUVIA DE PARABRISAS</v>
      </c>
      <c r="AD131" s="65"/>
      <c r="AE131" s="65">
        <f>IFERROR(__xludf.DUMMYFUNCTION("""COMPUTED_VALUE"""),2.0)</f>
        <v>2</v>
      </c>
      <c r="AF131" s="65"/>
      <c r="AG131" s="65"/>
      <c r="AH131" s="65"/>
      <c r="AI131" s="65"/>
      <c r="AJ131" s="65"/>
      <c r="AK131" s="65"/>
      <c r="AL131" s="65"/>
      <c r="AM131" s="65"/>
      <c r="AN131" s="65" t="str">
        <f>IFERROR(__xludf.DUMMYFUNCTION("""COMPUTED_VALUE"""),"14:31")</f>
        <v>14:31</v>
      </c>
      <c r="AO131" s="65" t="str">
        <f>IFERROR(__xludf.DUMMYFUNCTION("""COMPUTED_VALUE"""),"26-03-2026")</f>
        <v>26-03-2026</v>
      </c>
      <c r="AP131" s="65" t="str">
        <f>IFERROR(__xludf.DUMMYFUNCTION("""COMPUTED_VALUE"""),"ENTREGADA GINTRACOM")</f>
        <v>ENTREGADA GINTRACOM</v>
      </c>
      <c r="AQ131" s="65" t="str">
        <f>IFERROR(__xludf.DUMMYFUNCTION("""COMPUTED_VALUE"""),"ENTREGADA GINTRACOM")</f>
        <v>ENTREGADA GINTRACOM</v>
      </c>
      <c r="AR131" s="65"/>
      <c r="AS131" s="65"/>
      <c r="AT131" s="65" t="str">
        <f>IFERROR(__xludf.DUMMYFUNCTION("""COMPUTED_VALUE"""),"SHOPIFY")</f>
        <v>SHOPIFY</v>
      </c>
      <c r="AU131" s="65" t="str">
        <f>IFERROR(__xludf.DUMMYFUNCTION("""COMPUTED_VALUE"""),"IMPORTEX EC")</f>
        <v>IMPORTEX EC</v>
      </c>
      <c r="AV131" s="65" t="str">
        <f>IFERROR(__xludf.DUMMYFUNCTION("""COMPUTED_VALUE"""),"6585155944492")</f>
        <v>6585155944492</v>
      </c>
      <c r="AW131" s="65">
        <f>IFERROR(__xludf.DUMMYFUNCTION("""COMPUTED_VALUE"""),6717.0)</f>
        <v>6717</v>
      </c>
      <c r="AX131" s="65"/>
      <c r="AY131" s="65" t="str">
        <f>IFERROR(__xludf.DUMMYFUNCTION("""COMPUTED_VALUE"""),"18/03/2026")</f>
        <v>18/03/2026</v>
      </c>
      <c r="AZ131" s="65"/>
      <c r="BA131" s="65"/>
    </row>
    <row r="132">
      <c r="A132" s="65" t="str">
        <f>IFERROR(__xludf.DUMMYFUNCTION("""COMPUTED_VALUE"""),"27-03-2026")</f>
        <v>27-03-2026</v>
      </c>
      <c r="B132" s="65">
        <f>IFERROR(__xludf.DUMMYFUNCTION("""COMPUTED_VALUE"""),4827504.0)</f>
        <v>4827504</v>
      </c>
      <c r="C132" s="65" t="str">
        <f>IFERROR(__xludf.DUMMYFUNCTION("""COMPUTED_VALUE"""),"11:07")</f>
        <v>11:07</v>
      </c>
      <c r="D132" s="65" t="str">
        <f>IFERROR(__xludf.DUMMYFUNCTION("""COMPUTED_VALUE"""),"17-03-2026")</f>
        <v>17-03-2026</v>
      </c>
      <c r="E132" s="65" t="str">
        <f>IFERROR(__xludf.DUMMYFUNCTION("""COMPUTED_VALUE"""),"Marina Vinces")</f>
        <v>Marina Vinces</v>
      </c>
      <c r="F132" s="65" t="str">
        <f>IFERROR(__xludf.DUMMYFUNCTION("""COMPUTED_VALUE"""),"993171712")</f>
        <v>993171712</v>
      </c>
      <c r="G132" s="65" t="str">
        <f>IFERROR(__xludf.DUMMYFUNCTION("""COMPUTED_VALUE"""),"marinavinces8@gmail.com")</f>
        <v>marinavinces8@gmail.com</v>
      </c>
      <c r="H132" s="65"/>
      <c r="I132" s="65"/>
      <c r="J132" s="65"/>
      <c r="K132" s="65" t="str">
        <f>IFERROR(__xludf.DUMMYFUNCTION("""COMPUTED_VALUE"""),"PENDIENTE CONFIRMACION")</f>
        <v>PENDIENTE CONFIRMACION</v>
      </c>
      <c r="L132" s="65" t="str">
        <f>IFERROR(__xludf.DUMMYFUNCTION("""COMPUTED_VALUE"""),"CON RECAUDO")</f>
        <v>CON RECAUDO</v>
      </c>
      <c r="M132" s="65" t="str">
        <f>IFERROR(__xludf.DUMMYFUNCTION("""COMPUTED_VALUE"""),"MANABI")</f>
        <v>MANABI</v>
      </c>
      <c r="N132" s="65" t="str">
        <f>IFERROR(__xludf.DUMMYFUNCTION("""COMPUTED_VALUE"""),"MANTA")</f>
        <v>MANTA</v>
      </c>
      <c r="O132" s="65" t="str">
        <f>IFERROR(__xludf.DUMMYFUNCTION("""COMPUTED_VALUE"""),"San Mateo San mateo  barrio la montaña  via sauces -")</f>
        <v>San Mateo San mateo  barrio la montaña  via sauces -</v>
      </c>
      <c r="P132" s="65"/>
      <c r="Q132" s="65" t="str">
        <f>IFERROR(__xludf.DUMMYFUNCTION("""COMPUTED_VALUE"""),"GINTRACOM")</f>
        <v>GINTRACOM</v>
      </c>
      <c r="R132" s="65">
        <f>IFERROR(__xludf.DUMMYFUNCTION("""COMPUTED_VALUE"""),25.0)</f>
        <v>25</v>
      </c>
      <c r="S132" s="65"/>
      <c r="T132" s="65">
        <f>IFERROR(__xludf.DUMMYFUNCTION("""COMPUTED_VALUE"""),5.96)</f>
        <v>5.96</v>
      </c>
      <c r="U132" s="65">
        <f>IFERROR(__xludf.DUMMYFUNCTION("""COMPUTED_VALUE"""),0.0)</f>
        <v>0</v>
      </c>
      <c r="V132" s="65">
        <f>IFERROR(__xludf.DUMMYFUNCTION("""COMPUTED_VALUE"""),0.0)</f>
        <v>0</v>
      </c>
      <c r="W132" s="65">
        <f>IFERROR(__xludf.DUMMYFUNCTION("""COMPUTED_VALUE"""),0.0)</f>
        <v>0</v>
      </c>
      <c r="X132" s="65">
        <f>IFERROR(__xludf.DUMMYFUNCTION("""COMPUTED_VALUE"""),2.35)</f>
        <v>2.35</v>
      </c>
      <c r="Y132" s="65">
        <f>IFERROR(__xludf.DUMMYFUNCTION("""COMPUTED_VALUE"""),4.7)</f>
        <v>4.7</v>
      </c>
      <c r="Z132" s="65">
        <f>IFERROR(__xludf.DUMMYFUNCTION("""COMPUTED_VALUE"""),116679.0)</f>
        <v>116679</v>
      </c>
      <c r="AA132" s="65" t="str">
        <f>IFERROR(__xludf.DUMMYFUNCTION("""COMPUTED_VALUE"""),"AMC-2738")</f>
        <v>AMC-2738</v>
      </c>
      <c r="AB132" s="65"/>
      <c r="AC132" s="65" t="str">
        <f>IFERROR(__xludf.DUMMYFUNCTION("""COMPUTED_VALUE"""),"ESPONJA ANTILLUVIA DE PARABRISAS")</f>
        <v>ESPONJA ANTILLUVIA DE PARABRISAS</v>
      </c>
      <c r="AD132" s="65"/>
      <c r="AE132" s="65">
        <f>IFERROR(__xludf.DUMMYFUNCTION("""COMPUTED_VALUE"""),2.0)</f>
        <v>2</v>
      </c>
      <c r="AF132" s="65"/>
      <c r="AG132" s="65"/>
      <c r="AH132" s="65"/>
      <c r="AI132" s="65"/>
      <c r="AJ132" s="65"/>
      <c r="AK132" s="65"/>
      <c r="AL132" s="65"/>
      <c r="AM132" s="65"/>
      <c r="AN132" s="65"/>
      <c r="AO132" s="65"/>
      <c r="AP132" s="65"/>
      <c r="AQ132" s="65"/>
      <c r="AR132" s="65"/>
      <c r="AS132" s="65"/>
      <c r="AT132" s="65" t="str">
        <f>IFERROR(__xludf.DUMMYFUNCTION("""COMPUTED_VALUE"""),"SHOPIFY")</f>
        <v>SHOPIFY</v>
      </c>
      <c r="AU132" s="65" t="str">
        <f>IFERROR(__xludf.DUMMYFUNCTION("""COMPUTED_VALUE"""),"IMPORTEX EC")</f>
        <v>IMPORTEX EC</v>
      </c>
      <c r="AV132" s="65" t="str">
        <f>IFERROR(__xludf.DUMMYFUNCTION("""COMPUTED_VALUE"""),"6585071403052")</f>
        <v>6585071403052</v>
      </c>
      <c r="AW132" s="65">
        <f>IFERROR(__xludf.DUMMYFUNCTION("""COMPUTED_VALUE"""),6716.0)</f>
        <v>6716</v>
      </c>
      <c r="AX132" s="65"/>
      <c r="AY132" s="65"/>
      <c r="AZ132" s="65"/>
      <c r="BA132" s="65"/>
    </row>
    <row r="133">
      <c r="A133" s="65" t="str">
        <f>IFERROR(__xludf.DUMMYFUNCTION("""COMPUTED_VALUE"""),"27-03-2026")</f>
        <v>27-03-2026</v>
      </c>
      <c r="B133" s="65">
        <f>IFERROR(__xludf.DUMMYFUNCTION("""COMPUTED_VALUE"""),4827239.0)</f>
        <v>4827239</v>
      </c>
      <c r="C133" s="65" t="str">
        <f>IFERROR(__xludf.DUMMYFUNCTION("""COMPUTED_VALUE"""),"10:43")</f>
        <v>10:43</v>
      </c>
      <c r="D133" s="65" t="str">
        <f>IFERROR(__xludf.DUMMYFUNCTION("""COMPUTED_VALUE"""),"17-03-2026")</f>
        <v>17-03-2026</v>
      </c>
      <c r="E133" s="65" t="str">
        <f>IFERROR(__xludf.DUMMYFUNCTION("""COMPUTED_VALUE"""),"Stalin Tituaña")</f>
        <v>Stalin Tituaña</v>
      </c>
      <c r="F133" s="65" t="str">
        <f>IFERROR(__xludf.DUMMYFUNCTION("""COMPUTED_VALUE"""),"983489344")</f>
        <v>983489344</v>
      </c>
      <c r="G133" s="65" t="str">
        <f>IFERROR(__xludf.DUMMYFUNCTION("""COMPUTED_VALUE"""),"stalin_tituana@hotmail.com")</f>
        <v>stalin_tituana@hotmail.com</v>
      </c>
      <c r="H133" s="65"/>
      <c r="I133" s="65"/>
      <c r="J133" s="65"/>
      <c r="K133" s="65" t="str">
        <f>IFERROR(__xludf.DUMMYFUNCTION("""COMPUTED_VALUE"""),"PENDIENTE CONFIRMACION")</f>
        <v>PENDIENTE CONFIRMACION</v>
      </c>
      <c r="L133" s="65" t="str">
        <f>IFERROR(__xludf.DUMMYFUNCTION("""COMPUTED_VALUE"""),"CON RECAUDO")</f>
        <v>CON RECAUDO</v>
      </c>
      <c r="M133" s="65" t="str">
        <f>IFERROR(__xludf.DUMMYFUNCTION("""COMPUTED_VALUE"""),"PICHINCHA")</f>
        <v>PICHINCHA</v>
      </c>
      <c r="N133" s="65" t="str">
        <f>IFERROR(__xludf.DUMMYFUNCTION("""COMPUTED_VALUE"""),"QUITO")</f>
        <v>QUITO</v>
      </c>
      <c r="O133" s="65" t="str">
        <f>IFERROR(__xludf.DUMMYFUNCTION("""COMPUTED_VALUE"""),"Geovanny calles Calderón -")</f>
        <v>Geovanny calles Calderón -</v>
      </c>
      <c r="P133" s="65"/>
      <c r="Q133" s="65" t="str">
        <f>IFERROR(__xludf.DUMMYFUNCTION("""COMPUTED_VALUE"""),"GINTRACOM")</f>
        <v>GINTRACOM</v>
      </c>
      <c r="R133" s="65">
        <f>IFERROR(__xludf.DUMMYFUNCTION("""COMPUTED_VALUE"""),20.0)</f>
        <v>20</v>
      </c>
      <c r="S133" s="65"/>
      <c r="T133" s="65">
        <f>IFERROR(__xludf.DUMMYFUNCTION("""COMPUTED_VALUE"""),4.15)</f>
        <v>4.15</v>
      </c>
      <c r="U133" s="65">
        <f>IFERROR(__xludf.DUMMYFUNCTION("""COMPUTED_VALUE"""),0.0)</f>
        <v>0</v>
      </c>
      <c r="V133" s="65">
        <f>IFERROR(__xludf.DUMMYFUNCTION("""COMPUTED_VALUE"""),0.0)</f>
        <v>0</v>
      </c>
      <c r="W133" s="65">
        <f>IFERROR(__xludf.DUMMYFUNCTION("""COMPUTED_VALUE"""),0.0)</f>
        <v>0</v>
      </c>
      <c r="X133" s="65">
        <f>IFERROR(__xludf.DUMMYFUNCTION("""COMPUTED_VALUE"""),2.35)</f>
        <v>2.35</v>
      </c>
      <c r="Y133" s="65">
        <f>IFERROR(__xludf.DUMMYFUNCTION("""COMPUTED_VALUE"""),2.35)</f>
        <v>2.35</v>
      </c>
      <c r="Z133" s="65">
        <f>IFERROR(__xludf.DUMMYFUNCTION("""COMPUTED_VALUE"""),116679.0)</f>
        <v>116679</v>
      </c>
      <c r="AA133" s="65" t="str">
        <f>IFERROR(__xludf.DUMMYFUNCTION("""COMPUTED_VALUE"""),"AMC-2738")</f>
        <v>AMC-2738</v>
      </c>
      <c r="AB133" s="65"/>
      <c r="AC133" s="65" t="str">
        <f>IFERROR(__xludf.DUMMYFUNCTION("""COMPUTED_VALUE"""),"ESPONJA ANTILLUVIA DE PARABRISAS")</f>
        <v>ESPONJA ANTILLUVIA DE PARABRISAS</v>
      </c>
      <c r="AD133" s="65"/>
      <c r="AE133" s="65">
        <f>IFERROR(__xludf.DUMMYFUNCTION("""COMPUTED_VALUE"""),1.0)</f>
        <v>1</v>
      </c>
      <c r="AF133" s="65"/>
      <c r="AG133" s="65"/>
      <c r="AH133" s="65"/>
      <c r="AI133" s="65"/>
      <c r="AJ133" s="65"/>
      <c r="AK133" s="65"/>
      <c r="AL133" s="65"/>
      <c r="AM133" s="65"/>
      <c r="AN133" s="65"/>
      <c r="AO133" s="65"/>
      <c r="AP133" s="65"/>
      <c r="AQ133" s="65"/>
      <c r="AR133" s="65"/>
      <c r="AS133" s="65"/>
      <c r="AT133" s="65" t="str">
        <f>IFERROR(__xludf.DUMMYFUNCTION("""COMPUTED_VALUE"""),"SHOPIFY")</f>
        <v>SHOPIFY</v>
      </c>
      <c r="AU133" s="65" t="str">
        <f>IFERROR(__xludf.DUMMYFUNCTION("""COMPUTED_VALUE"""),"IMPORTEX EC")</f>
        <v>IMPORTEX EC</v>
      </c>
      <c r="AV133" s="65" t="str">
        <f>IFERROR(__xludf.DUMMYFUNCTION("""COMPUTED_VALUE"""),"6585015107628")</f>
        <v>6585015107628</v>
      </c>
      <c r="AW133" s="65">
        <f>IFERROR(__xludf.DUMMYFUNCTION("""COMPUTED_VALUE"""),6715.0)</f>
        <v>6715</v>
      </c>
      <c r="AX133" s="65"/>
      <c r="AY133" s="65"/>
      <c r="AZ133" s="65"/>
      <c r="BA133" s="65"/>
    </row>
    <row r="134">
      <c r="A134" s="65" t="str">
        <f>IFERROR(__xludf.DUMMYFUNCTION("""COMPUTED_VALUE"""),"27-03-2026")</f>
        <v>27-03-2026</v>
      </c>
      <c r="B134" s="65">
        <f>IFERROR(__xludf.DUMMYFUNCTION("""COMPUTED_VALUE"""),4825540.0)</f>
        <v>4825540</v>
      </c>
      <c r="C134" s="65" t="str">
        <f>IFERROR(__xludf.DUMMYFUNCTION("""COMPUTED_VALUE"""),"08:27")</f>
        <v>08:27</v>
      </c>
      <c r="D134" s="65" t="str">
        <f>IFERROR(__xludf.DUMMYFUNCTION("""COMPUTED_VALUE"""),"17-03-2026")</f>
        <v>17-03-2026</v>
      </c>
      <c r="E134" s="65" t="str">
        <f>IFERROR(__xludf.DUMMYFUNCTION("""COMPUTED_VALUE"""),"Rina valarezo torres")</f>
        <v>Rina valarezo torres</v>
      </c>
      <c r="F134" s="65" t="str">
        <f>IFERROR(__xludf.DUMMYFUNCTION("""COMPUTED_VALUE"""),"968298596")</f>
        <v>968298596</v>
      </c>
      <c r="G134" s="65" t="str">
        <f>IFERROR(__xludf.DUMMYFUNCTION("""COMPUTED_VALUE"""),"rinavalarez070@gmail.com")</f>
        <v>rinavalarez070@gmail.com</v>
      </c>
      <c r="H134" s="65"/>
      <c r="I134" s="65"/>
      <c r="J134" s="65"/>
      <c r="K134" s="65" t="str">
        <f>IFERROR(__xludf.DUMMYFUNCTION("""COMPUTED_VALUE"""),"CANCELADO")</f>
        <v>CANCELADO</v>
      </c>
      <c r="L134" s="65" t="str">
        <f>IFERROR(__xludf.DUMMYFUNCTION("""COMPUTED_VALUE"""),"CON RECAUDO")</f>
        <v>CON RECAUDO</v>
      </c>
      <c r="M134" s="65" t="str">
        <f>IFERROR(__xludf.DUMMYFUNCTION("""COMPUTED_VALUE"""),"EL ORO")</f>
        <v>EL ORO</v>
      </c>
      <c r="N134" s="65" t="str">
        <f>IFERROR(__xludf.DUMMYFUNCTION("""COMPUTED_VALUE"""),"PIÑAS")</f>
        <v>PIÑAS</v>
      </c>
      <c r="O134" s="65" t="str">
        <f>IFERROR(__xludf.DUMMYFUNCTION("""COMPUTED_VALUE"""),"Av la independencia y andres R Hotel arasari -")</f>
        <v>Av la independencia y andres R Hotel arasari -</v>
      </c>
      <c r="P134" s="65"/>
      <c r="Q134" s="65" t="str">
        <f>IFERROR(__xludf.DUMMYFUNCTION("""COMPUTED_VALUE"""),"GINTRACOM")</f>
        <v>GINTRACOM</v>
      </c>
      <c r="R134" s="65">
        <f>IFERROR(__xludf.DUMMYFUNCTION("""COMPUTED_VALUE"""),25.0)</f>
        <v>25</v>
      </c>
      <c r="S134" s="65"/>
      <c r="T134" s="65">
        <f>IFERROR(__xludf.DUMMYFUNCTION("""COMPUTED_VALUE"""),6.53)</f>
        <v>6.53</v>
      </c>
      <c r="U134" s="65">
        <f>IFERROR(__xludf.DUMMYFUNCTION("""COMPUTED_VALUE"""),0.0)</f>
        <v>0</v>
      </c>
      <c r="V134" s="65">
        <f>IFERROR(__xludf.DUMMYFUNCTION("""COMPUTED_VALUE"""),0.0)</f>
        <v>0</v>
      </c>
      <c r="W134" s="65">
        <f>IFERROR(__xludf.DUMMYFUNCTION("""COMPUTED_VALUE"""),0.0)</f>
        <v>0</v>
      </c>
      <c r="X134" s="65">
        <f>IFERROR(__xludf.DUMMYFUNCTION("""COMPUTED_VALUE"""),2.35)</f>
        <v>2.35</v>
      </c>
      <c r="Y134" s="65">
        <f>IFERROR(__xludf.DUMMYFUNCTION("""COMPUTED_VALUE"""),4.7)</f>
        <v>4.7</v>
      </c>
      <c r="Z134" s="65">
        <f>IFERROR(__xludf.DUMMYFUNCTION("""COMPUTED_VALUE"""),116679.0)</f>
        <v>116679</v>
      </c>
      <c r="AA134" s="65" t="str">
        <f>IFERROR(__xludf.DUMMYFUNCTION("""COMPUTED_VALUE"""),"AMC-2738")</f>
        <v>AMC-2738</v>
      </c>
      <c r="AB134" s="65"/>
      <c r="AC134" s="65" t="str">
        <f>IFERROR(__xludf.DUMMYFUNCTION("""COMPUTED_VALUE"""),"ESPONJA ANTILLUVIA DE PARABRISAS")</f>
        <v>ESPONJA ANTILLUVIA DE PARABRISAS</v>
      </c>
      <c r="AD134" s="65"/>
      <c r="AE134" s="65">
        <f>IFERROR(__xludf.DUMMYFUNCTION("""COMPUTED_VALUE"""),2.0)</f>
        <v>2</v>
      </c>
      <c r="AF134" s="65"/>
      <c r="AG134" s="65"/>
      <c r="AH134" s="65"/>
      <c r="AI134" s="65"/>
      <c r="AJ134" s="65"/>
      <c r="AK134" s="65"/>
      <c r="AL134" s="65"/>
      <c r="AM134" s="65"/>
      <c r="AN134" s="65"/>
      <c r="AO134" s="65"/>
      <c r="AP134" s="65"/>
      <c r="AQ134" s="65"/>
      <c r="AR134" s="65"/>
      <c r="AS134" s="65"/>
      <c r="AT134" s="65" t="str">
        <f>IFERROR(__xludf.DUMMYFUNCTION("""COMPUTED_VALUE"""),"SHOPIFY")</f>
        <v>SHOPIFY</v>
      </c>
      <c r="AU134" s="65" t="str">
        <f>IFERROR(__xludf.DUMMYFUNCTION("""COMPUTED_VALUE"""),"IMPORTEX EC")</f>
        <v>IMPORTEX EC</v>
      </c>
      <c r="AV134" s="65" t="str">
        <f>IFERROR(__xludf.DUMMYFUNCTION("""COMPUTED_VALUE"""),"6584781504556")</f>
        <v>6584781504556</v>
      </c>
      <c r="AW134" s="65">
        <f>IFERROR(__xludf.DUMMYFUNCTION("""COMPUTED_VALUE"""),6714.0)</f>
        <v>6714</v>
      </c>
      <c r="AX134" s="65"/>
      <c r="AY134" s="65"/>
      <c r="AZ134" s="65"/>
      <c r="BA134" s="65"/>
    </row>
    <row r="135">
      <c r="A135" s="65" t="str">
        <f>IFERROR(__xludf.DUMMYFUNCTION("""COMPUTED_VALUE"""),"27-03-2026")</f>
        <v>27-03-2026</v>
      </c>
      <c r="B135" s="65">
        <f>IFERROR(__xludf.DUMMYFUNCTION("""COMPUTED_VALUE"""),4824839.0)</f>
        <v>4824839</v>
      </c>
      <c r="C135" s="65" t="str">
        <f>IFERROR(__xludf.DUMMYFUNCTION("""COMPUTED_VALUE"""),"07:00")</f>
        <v>07:00</v>
      </c>
      <c r="D135" s="65" t="str">
        <f>IFERROR(__xludf.DUMMYFUNCTION("""COMPUTED_VALUE"""),"17-03-2026")</f>
        <v>17-03-2026</v>
      </c>
      <c r="E135" s="65" t="str">
        <f>IFERROR(__xludf.DUMMYFUNCTION("""COMPUTED_VALUE"""),"Jose Mendoza Mendoza")</f>
        <v>Jose Mendoza Mendoza</v>
      </c>
      <c r="F135" s="65" t="str">
        <f>IFERROR(__xludf.DUMMYFUNCTION("""COMPUTED_VALUE"""),"999242723")</f>
        <v>999242723</v>
      </c>
      <c r="G135" s="65" t="str">
        <f>IFERROR(__xludf.DUMMYFUNCTION("""COMPUTED_VALUE"""),"pepitomendoza22@gmail.com")</f>
        <v>pepitomendoza22@gmail.com</v>
      </c>
      <c r="H135" s="65"/>
      <c r="I135" s="65"/>
      <c r="J135" s="65" t="str">
        <f>IFERROR(__xludf.DUMMYFUNCTION("""COMPUTED_VALUE"""),"D001427335")</f>
        <v>D001427335</v>
      </c>
      <c r="K135" s="65" t="str">
        <f>IFERROR(__xludf.DUMMYFUNCTION("""COMPUTED_VALUE"""),"ENTREGADO")</f>
        <v>ENTREGADO</v>
      </c>
      <c r="L135" s="65" t="str">
        <f>IFERROR(__xludf.DUMMYFUNCTION("""COMPUTED_VALUE"""),"CON RECAUDO")</f>
        <v>CON RECAUDO</v>
      </c>
      <c r="M135" s="65" t="str">
        <f>IFERROR(__xludf.DUMMYFUNCTION("""COMPUTED_VALUE"""),"PICHINCHA")</f>
        <v>PICHINCHA</v>
      </c>
      <c r="N135" s="65" t="str">
        <f>IFERROR(__xludf.DUMMYFUNCTION("""COMPUTED_VALUE"""),"QUITO")</f>
        <v>QUITO</v>
      </c>
      <c r="O135" s="65" t="str">
        <f>IFERROR(__xludf.DUMMYFUNCTION("""COMPUTED_VALUE"""),"Avenida Mariana de Jesús OE8  y  Nicolas Arteta, Centro Meditropoli 5 piso consultorio 501 - Quito")</f>
        <v>Avenida Mariana de Jesús OE8  y  Nicolas Arteta, Centro Meditropoli 5 piso consultorio 501 - Quito</v>
      </c>
      <c r="P135" s="65"/>
      <c r="Q135" s="65" t="str">
        <f>IFERROR(__xludf.DUMMYFUNCTION("""COMPUTED_VALUE"""),"GINTRACOM")</f>
        <v>GINTRACOM</v>
      </c>
      <c r="R135" s="65">
        <f>IFERROR(__xludf.DUMMYFUNCTION("""COMPUTED_VALUE"""),30.0)</f>
        <v>30</v>
      </c>
      <c r="S135" s="65">
        <f>IFERROR(__xludf.DUMMYFUNCTION("""COMPUTED_VALUE"""),18.4)</f>
        <v>18.4</v>
      </c>
      <c r="T135" s="65">
        <f>IFERROR(__xludf.DUMMYFUNCTION("""COMPUTED_VALUE"""),4.55)</f>
        <v>4.55</v>
      </c>
      <c r="U135" s="65">
        <f>IFERROR(__xludf.DUMMYFUNCTION("""COMPUTED_VALUE"""),0.0)</f>
        <v>0</v>
      </c>
      <c r="V135" s="65">
        <f>IFERROR(__xludf.DUMMYFUNCTION("""COMPUTED_VALUE"""),0.0)</f>
        <v>0</v>
      </c>
      <c r="W135" s="65">
        <f>IFERROR(__xludf.DUMMYFUNCTION("""COMPUTED_VALUE"""),0.0)</f>
        <v>0</v>
      </c>
      <c r="X135" s="65">
        <f>IFERROR(__xludf.DUMMYFUNCTION("""COMPUTED_VALUE"""),2.35)</f>
        <v>2.35</v>
      </c>
      <c r="Y135" s="65">
        <f>IFERROR(__xludf.DUMMYFUNCTION("""COMPUTED_VALUE"""),7.05)</f>
        <v>7.05</v>
      </c>
      <c r="Z135" s="65">
        <f>IFERROR(__xludf.DUMMYFUNCTION("""COMPUTED_VALUE"""),116679.0)</f>
        <v>116679</v>
      </c>
      <c r="AA135" s="65" t="str">
        <f>IFERROR(__xludf.DUMMYFUNCTION("""COMPUTED_VALUE"""),"AMC-2738")</f>
        <v>AMC-2738</v>
      </c>
      <c r="AB135" s="65"/>
      <c r="AC135" s="65" t="str">
        <f>IFERROR(__xludf.DUMMYFUNCTION("""COMPUTED_VALUE"""),"ESPONJA ANTILLUVIA DE PARABRISAS")</f>
        <v>ESPONJA ANTILLUVIA DE PARABRISAS</v>
      </c>
      <c r="AD135" s="65"/>
      <c r="AE135" s="65">
        <f>IFERROR(__xludf.DUMMYFUNCTION("""COMPUTED_VALUE"""),3.0)</f>
        <v>3</v>
      </c>
      <c r="AF135" s="65"/>
      <c r="AG135" s="65"/>
      <c r="AH135" s="65"/>
      <c r="AI135" s="65"/>
      <c r="AJ135" s="65"/>
      <c r="AK135" s="65"/>
      <c r="AL135" s="65"/>
      <c r="AM135" s="65"/>
      <c r="AN135" s="65" t="str">
        <f>IFERROR(__xludf.DUMMYFUNCTION("""COMPUTED_VALUE"""),"11:34")</f>
        <v>11:34</v>
      </c>
      <c r="AO135" s="65" t="str">
        <f>IFERROR(__xludf.DUMMYFUNCTION("""COMPUTED_VALUE"""),"19-03-2026")</f>
        <v>19-03-2026</v>
      </c>
      <c r="AP135" s="65" t="str">
        <f>IFERROR(__xludf.DUMMYFUNCTION("""COMPUTED_VALUE"""),"ENTREGADA GINTRACOM")</f>
        <v>ENTREGADA GINTRACOM</v>
      </c>
      <c r="AQ135" s="65" t="str">
        <f>IFERROR(__xludf.DUMMYFUNCTION("""COMPUTED_VALUE"""),"ENTREGADA GINTRACOM")</f>
        <v>ENTREGADA GINTRACOM</v>
      </c>
      <c r="AR135" s="65"/>
      <c r="AS135" s="65"/>
      <c r="AT135" s="65" t="str">
        <f>IFERROR(__xludf.DUMMYFUNCTION("""COMPUTED_VALUE"""),"SHOPIFY")</f>
        <v>SHOPIFY</v>
      </c>
      <c r="AU135" s="65" t="str">
        <f>IFERROR(__xludf.DUMMYFUNCTION("""COMPUTED_VALUE"""),"IMPORTEX EC")</f>
        <v>IMPORTEX EC</v>
      </c>
      <c r="AV135" s="65" t="str">
        <f>IFERROR(__xludf.DUMMYFUNCTION("""COMPUTED_VALUE"""),"6584676384812")</f>
        <v>6584676384812</v>
      </c>
      <c r="AW135" s="65">
        <f>IFERROR(__xludf.DUMMYFUNCTION("""COMPUTED_VALUE"""),6713.0)</f>
        <v>6713</v>
      </c>
      <c r="AX135" s="65"/>
      <c r="AY135" s="65" t="str">
        <f>IFERROR(__xludf.DUMMYFUNCTION("""COMPUTED_VALUE"""),"18/03/2026")</f>
        <v>18/03/2026</v>
      </c>
      <c r="AZ135" s="65"/>
      <c r="BA135" s="65"/>
    </row>
    <row r="136">
      <c r="A136" s="65" t="str">
        <f>IFERROR(__xludf.DUMMYFUNCTION("""COMPUTED_VALUE"""),"27-03-2026")</f>
        <v>27-03-2026</v>
      </c>
      <c r="B136" s="65">
        <f>IFERROR(__xludf.DUMMYFUNCTION("""COMPUTED_VALUE"""),4824558.0)</f>
        <v>4824558</v>
      </c>
      <c r="C136" s="65" t="str">
        <f>IFERROR(__xludf.DUMMYFUNCTION("""COMPUTED_VALUE"""),"05:44")</f>
        <v>05:44</v>
      </c>
      <c r="D136" s="65" t="str">
        <f>IFERROR(__xludf.DUMMYFUNCTION("""COMPUTED_VALUE"""),"17-03-2026")</f>
        <v>17-03-2026</v>
      </c>
      <c r="E136" s="65" t="str">
        <f>IFERROR(__xludf.DUMMYFUNCTION("""COMPUTED_VALUE"""),"Gina Chavez Chavez")</f>
        <v>Gina Chavez Chavez</v>
      </c>
      <c r="F136" s="65" t="str">
        <f>IFERROR(__xludf.DUMMYFUNCTION("""COMPUTED_VALUE"""),"995877867")</f>
        <v>995877867</v>
      </c>
      <c r="G136" s="65" t="str">
        <f>IFERROR(__xludf.DUMMYFUNCTION("""COMPUTED_VALUE"""),"ginachv2@yahoo.es")</f>
        <v>ginachv2@yahoo.es</v>
      </c>
      <c r="H136" s="65"/>
      <c r="I136" s="65"/>
      <c r="J136" s="65" t="str">
        <f>IFERROR(__xludf.DUMMYFUNCTION("""COMPUTED_VALUE"""),"D001427338")</f>
        <v>D001427338</v>
      </c>
      <c r="K136" s="65" t="str">
        <f>IFERROR(__xludf.DUMMYFUNCTION("""COMPUTED_VALUE"""),"ENTREGADO")</f>
        <v>ENTREGADO</v>
      </c>
      <c r="L136" s="65" t="str">
        <f>IFERROR(__xludf.DUMMYFUNCTION("""COMPUTED_VALUE"""),"CON RECAUDO")</f>
        <v>CON RECAUDO</v>
      </c>
      <c r="M136" s="65" t="str">
        <f>IFERROR(__xludf.DUMMYFUNCTION("""COMPUTED_VALUE"""),"PICHINCHA")</f>
        <v>PICHINCHA</v>
      </c>
      <c r="N136" s="65" t="str">
        <f>IFERROR(__xludf.DUMMYFUNCTION("""COMPUTED_VALUE"""),"QUITO")</f>
        <v>QUITO</v>
      </c>
      <c r="O136" s="65" t="str">
        <f>IFERROR(__xludf.DUMMYFUNCTION("""COMPUTED_VALUE"""),"Av. Amazonas y  Villalengua, Edificio IAEN esquinero")</f>
        <v>Av. Amazonas y  Villalengua, Edificio IAEN esquinero</v>
      </c>
      <c r="P136" s="65"/>
      <c r="Q136" s="65" t="str">
        <f>IFERROR(__xludf.DUMMYFUNCTION("""COMPUTED_VALUE"""),"GINTRACOM")</f>
        <v>GINTRACOM</v>
      </c>
      <c r="R136" s="65">
        <f>IFERROR(__xludf.DUMMYFUNCTION("""COMPUTED_VALUE"""),30.0)</f>
        <v>30</v>
      </c>
      <c r="S136" s="65">
        <f>IFERROR(__xludf.DUMMYFUNCTION("""COMPUTED_VALUE"""),18.4)</f>
        <v>18.4</v>
      </c>
      <c r="T136" s="65">
        <f>IFERROR(__xludf.DUMMYFUNCTION("""COMPUTED_VALUE"""),4.55)</f>
        <v>4.55</v>
      </c>
      <c r="U136" s="65">
        <f>IFERROR(__xludf.DUMMYFUNCTION("""COMPUTED_VALUE"""),0.0)</f>
        <v>0</v>
      </c>
      <c r="V136" s="65">
        <f>IFERROR(__xludf.DUMMYFUNCTION("""COMPUTED_VALUE"""),0.0)</f>
        <v>0</v>
      </c>
      <c r="W136" s="65">
        <f>IFERROR(__xludf.DUMMYFUNCTION("""COMPUTED_VALUE"""),0.0)</f>
        <v>0</v>
      </c>
      <c r="X136" s="65">
        <f>IFERROR(__xludf.DUMMYFUNCTION("""COMPUTED_VALUE"""),2.35)</f>
        <v>2.35</v>
      </c>
      <c r="Y136" s="65">
        <f>IFERROR(__xludf.DUMMYFUNCTION("""COMPUTED_VALUE"""),7.05)</f>
        <v>7.05</v>
      </c>
      <c r="Z136" s="65">
        <f>IFERROR(__xludf.DUMMYFUNCTION("""COMPUTED_VALUE"""),116679.0)</f>
        <v>116679</v>
      </c>
      <c r="AA136" s="65" t="str">
        <f>IFERROR(__xludf.DUMMYFUNCTION("""COMPUTED_VALUE"""),"AMC-2738")</f>
        <v>AMC-2738</v>
      </c>
      <c r="AB136" s="65"/>
      <c r="AC136" s="65" t="str">
        <f>IFERROR(__xludf.DUMMYFUNCTION("""COMPUTED_VALUE"""),"ESPONJA ANTILLUVIA DE PARABRISAS")</f>
        <v>ESPONJA ANTILLUVIA DE PARABRISAS</v>
      </c>
      <c r="AD136" s="65"/>
      <c r="AE136" s="65">
        <f>IFERROR(__xludf.DUMMYFUNCTION("""COMPUTED_VALUE"""),3.0)</f>
        <v>3</v>
      </c>
      <c r="AF136" s="65"/>
      <c r="AG136" s="65"/>
      <c r="AH136" s="65"/>
      <c r="AI136" s="65"/>
      <c r="AJ136" s="65"/>
      <c r="AK136" s="65"/>
      <c r="AL136" s="65"/>
      <c r="AM136" s="65"/>
      <c r="AN136" s="65" t="str">
        <f>IFERROR(__xludf.DUMMYFUNCTION("""COMPUTED_VALUE"""),"11:39")</f>
        <v>11:39</v>
      </c>
      <c r="AO136" s="65" t="str">
        <f>IFERROR(__xludf.DUMMYFUNCTION("""COMPUTED_VALUE"""),"24-03-2026")</f>
        <v>24-03-2026</v>
      </c>
      <c r="AP136" s="65" t="str">
        <f>IFERROR(__xludf.DUMMYFUNCTION("""COMPUTED_VALUE"""),"ENTREGADA GINTRACOM")</f>
        <v>ENTREGADA GINTRACOM</v>
      </c>
      <c r="AQ136" s="65" t="str">
        <f>IFERROR(__xludf.DUMMYFUNCTION("""COMPUTED_VALUE"""),"ENTREGADA GINTRACOM")</f>
        <v>ENTREGADA GINTRACOM</v>
      </c>
      <c r="AR136" s="65"/>
      <c r="AS136" s="65"/>
      <c r="AT136" s="65" t="str">
        <f>IFERROR(__xludf.DUMMYFUNCTION("""COMPUTED_VALUE"""),"SHOPIFY")</f>
        <v>SHOPIFY</v>
      </c>
      <c r="AU136" s="65" t="str">
        <f>IFERROR(__xludf.DUMMYFUNCTION("""COMPUTED_VALUE"""),"IMPORTEX EC")</f>
        <v>IMPORTEX EC</v>
      </c>
      <c r="AV136" s="65" t="str">
        <f>IFERROR(__xludf.DUMMYFUNCTION("""COMPUTED_VALUE"""),"6584608522284")</f>
        <v>6584608522284</v>
      </c>
      <c r="AW136" s="65">
        <f>IFERROR(__xludf.DUMMYFUNCTION("""COMPUTED_VALUE"""),6712.0)</f>
        <v>6712</v>
      </c>
      <c r="AX136" s="65"/>
      <c r="AY136" s="65" t="str">
        <f>IFERROR(__xludf.DUMMYFUNCTION("""COMPUTED_VALUE"""),"18/03/2026")</f>
        <v>18/03/2026</v>
      </c>
      <c r="AZ136" s="65"/>
      <c r="BA136" s="65"/>
    </row>
    <row r="137">
      <c r="A137" s="65" t="str">
        <f>IFERROR(__xludf.DUMMYFUNCTION("""COMPUTED_VALUE"""),"27-03-2026")</f>
        <v>27-03-2026</v>
      </c>
      <c r="B137" s="65">
        <f>IFERROR(__xludf.DUMMYFUNCTION("""COMPUTED_VALUE"""),4824403.0)</f>
        <v>4824403</v>
      </c>
      <c r="C137" s="65" t="str">
        <f>IFERROR(__xludf.DUMMYFUNCTION("""COMPUTED_VALUE"""),"03:32")</f>
        <v>03:32</v>
      </c>
      <c r="D137" s="65" t="str">
        <f>IFERROR(__xludf.DUMMYFUNCTION("""COMPUTED_VALUE"""),"17-03-2026")</f>
        <v>17-03-2026</v>
      </c>
      <c r="E137" s="65" t="str">
        <f>IFERROR(__xludf.DUMMYFUNCTION("""COMPUTED_VALUE"""),"Ivan Bravo")</f>
        <v>Ivan Bravo</v>
      </c>
      <c r="F137" s="65" t="str">
        <f>IFERROR(__xludf.DUMMYFUNCTION("""COMPUTED_VALUE"""),"996516159")</f>
        <v>996516159</v>
      </c>
      <c r="G137" s="65" t="str">
        <f>IFERROR(__xludf.DUMMYFUNCTION("""COMPUTED_VALUE"""),"segasa_ivan@hotmail.com")</f>
        <v>segasa_ivan@hotmail.com</v>
      </c>
      <c r="H137" s="65"/>
      <c r="I137" s="65"/>
      <c r="J137" s="65" t="str">
        <f>IFERROR(__xludf.DUMMYFUNCTION("""COMPUTED_VALUE"""),"D001427339")</f>
        <v>D001427339</v>
      </c>
      <c r="K137" s="65" t="str">
        <f>IFERROR(__xludf.DUMMYFUNCTION("""COMPUTED_VALUE"""),"ENTREGADO")</f>
        <v>ENTREGADO</v>
      </c>
      <c r="L137" s="65" t="str">
        <f>IFERROR(__xludf.DUMMYFUNCTION("""COMPUTED_VALUE"""),"CON RECAUDO")</f>
        <v>CON RECAUDO</v>
      </c>
      <c r="M137" s="65" t="str">
        <f>IFERROR(__xludf.DUMMYFUNCTION("""COMPUTED_VALUE"""),"AZUAY")</f>
        <v>AZUAY</v>
      </c>
      <c r="N137" s="65" t="str">
        <f>IFERROR(__xludf.DUMMYFUNCTION("""COMPUTED_VALUE"""),"CUENCA")</f>
        <v>CUENCA</v>
      </c>
      <c r="O137" s="65" t="str">
        <f>IFERROR(__xludf.DUMMYFUNCTION("""COMPUTED_VALUE"""),"Gran Colombia y los Capulies, Frente al Banco Pacífico, HIDROTERM IMPORTADORA, REFERENCIA: a una cuadra de la Av de las Americas")</f>
        <v>Gran Colombia y los Capulies, Frente al Banco Pacífico, HIDROTERM IMPORTADORA, REFERENCIA: a una cuadra de la Av de las Americas</v>
      </c>
      <c r="P137" s="65"/>
      <c r="Q137" s="65" t="str">
        <f>IFERROR(__xludf.DUMMYFUNCTION("""COMPUTED_VALUE"""),"GINTRACOM")</f>
        <v>GINTRACOM</v>
      </c>
      <c r="R137" s="65">
        <f>IFERROR(__xludf.DUMMYFUNCTION("""COMPUTED_VALUE"""),25.0)</f>
        <v>25</v>
      </c>
      <c r="S137" s="65">
        <f>IFERROR(__xludf.DUMMYFUNCTION("""COMPUTED_VALUE"""),14.34)</f>
        <v>14.34</v>
      </c>
      <c r="T137" s="65">
        <f>IFERROR(__xludf.DUMMYFUNCTION("""COMPUTED_VALUE"""),5.96)</f>
        <v>5.96</v>
      </c>
      <c r="U137" s="65">
        <f>IFERROR(__xludf.DUMMYFUNCTION("""COMPUTED_VALUE"""),0.0)</f>
        <v>0</v>
      </c>
      <c r="V137" s="65">
        <f>IFERROR(__xludf.DUMMYFUNCTION("""COMPUTED_VALUE"""),0.0)</f>
        <v>0</v>
      </c>
      <c r="W137" s="65">
        <f>IFERROR(__xludf.DUMMYFUNCTION("""COMPUTED_VALUE"""),0.0)</f>
        <v>0</v>
      </c>
      <c r="X137" s="65">
        <f>IFERROR(__xludf.DUMMYFUNCTION("""COMPUTED_VALUE"""),2.35)</f>
        <v>2.35</v>
      </c>
      <c r="Y137" s="65">
        <f>IFERROR(__xludf.DUMMYFUNCTION("""COMPUTED_VALUE"""),4.7)</f>
        <v>4.7</v>
      </c>
      <c r="Z137" s="65">
        <f>IFERROR(__xludf.DUMMYFUNCTION("""COMPUTED_VALUE"""),116679.0)</f>
        <v>116679</v>
      </c>
      <c r="AA137" s="65" t="str">
        <f>IFERROR(__xludf.DUMMYFUNCTION("""COMPUTED_VALUE"""),"AMC-2738")</f>
        <v>AMC-2738</v>
      </c>
      <c r="AB137" s="65"/>
      <c r="AC137" s="65" t="str">
        <f>IFERROR(__xludf.DUMMYFUNCTION("""COMPUTED_VALUE"""),"ESPONJA ANTILLUVIA DE PARABRISAS")</f>
        <v>ESPONJA ANTILLUVIA DE PARABRISAS</v>
      </c>
      <c r="AD137" s="65"/>
      <c r="AE137" s="65">
        <f>IFERROR(__xludf.DUMMYFUNCTION("""COMPUTED_VALUE"""),2.0)</f>
        <v>2</v>
      </c>
      <c r="AF137" s="65"/>
      <c r="AG137" s="65"/>
      <c r="AH137" s="65"/>
      <c r="AI137" s="65"/>
      <c r="AJ137" s="65"/>
      <c r="AK137" s="65"/>
      <c r="AL137" s="65"/>
      <c r="AM137" s="65"/>
      <c r="AN137" s="65" t="str">
        <f>IFERROR(__xludf.DUMMYFUNCTION("""COMPUTED_VALUE"""),"12:06")</f>
        <v>12:06</v>
      </c>
      <c r="AO137" s="65" t="str">
        <f>IFERROR(__xludf.DUMMYFUNCTION("""COMPUTED_VALUE"""),"20-03-2026")</f>
        <v>20-03-2026</v>
      </c>
      <c r="AP137" s="65" t="str">
        <f>IFERROR(__xludf.DUMMYFUNCTION("""COMPUTED_VALUE"""),"ENTREGADA GINTRACOM")</f>
        <v>ENTREGADA GINTRACOM</v>
      </c>
      <c r="AQ137" s="65" t="str">
        <f>IFERROR(__xludf.DUMMYFUNCTION("""COMPUTED_VALUE"""),"ENTREGADA GINTRACOM")</f>
        <v>ENTREGADA GINTRACOM</v>
      </c>
      <c r="AR137" s="65"/>
      <c r="AS137" s="65"/>
      <c r="AT137" s="65" t="str">
        <f>IFERROR(__xludf.DUMMYFUNCTION("""COMPUTED_VALUE"""),"SHOPIFY")</f>
        <v>SHOPIFY</v>
      </c>
      <c r="AU137" s="65" t="str">
        <f>IFERROR(__xludf.DUMMYFUNCTION("""COMPUTED_VALUE"""),"IMPORTEX EC")</f>
        <v>IMPORTEX EC</v>
      </c>
      <c r="AV137" s="65" t="str">
        <f>IFERROR(__xludf.DUMMYFUNCTION("""COMPUTED_VALUE"""),"6584532205612")</f>
        <v>6584532205612</v>
      </c>
      <c r="AW137" s="65">
        <f>IFERROR(__xludf.DUMMYFUNCTION("""COMPUTED_VALUE"""),6711.0)</f>
        <v>6711</v>
      </c>
      <c r="AX137" s="65"/>
      <c r="AY137" s="65" t="str">
        <f>IFERROR(__xludf.DUMMYFUNCTION("""COMPUTED_VALUE"""),"18/03/2026")</f>
        <v>18/03/2026</v>
      </c>
      <c r="AZ137" s="65"/>
      <c r="BA137" s="65"/>
    </row>
    <row r="138">
      <c r="A138" s="65" t="str">
        <f>IFERROR(__xludf.DUMMYFUNCTION("""COMPUTED_VALUE"""),"27-03-2026")</f>
        <v>27-03-2026</v>
      </c>
      <c r="B138" s="65">
        <f>IFERROR(__xludf.DUMMYFUNCTION("""COMPUTED_VALUE"""),4823285.0)</f>
        <v>4823285</v>
      </c>
      <c r="C138" s="65" t="str">
        <f>IFERROR(__xludf.DUMMYFUNCTION("""COMPUTED_VALUE"""),"22:25")</f>
        <v>22:25</v>
      </c>
      <c r="D138" s="65" t="str">
        <f>IFERROR(__xludf.DUMMYFUNCTION("""COMPUTED_VALUE"""),"16-03-2026")</f>
        <v>16-03-2026</v>
      </c>
      <c r="E138" s="65" t="str">
        <f>IFERROR(__xludf.DUMMYFUNCTION("""COMPUTED_VALUE"""),"José Gamboa briones")</f>
        <v>José Gamboa briones</v>
      </c>
      <c r="F138" s="65" t="str">
        <f>IFERROR(__xludf.DUMMYFUNCTION("""COMPUTED_VALUE"""),"939265590")</f>
        <v>939265590</v>
      </c>
      <c r="G138" s="65" t="str">
        <f>IFERROR(__xludf.DUMMYFUNCTION("""COMPUTED_VALUE"""),"j.briones_l@hotmail.com")</f>
        <v>j.briones_l@hotmail.com</v>
      </c>
      <c r="H138" s="65"/>
      <c r="I138" s="65"/>
      <c r="J138" s="65"/>
      <c r="K138" s="65" t="str">
        <f>IFERROR(__xludf.DUMMYFUNCTION("""COMPUTED_VALUE"""),"CANCELADO")</f>
        <v>CANCELADO</v>
      </c>
      <c r="L138" s="65" t="str">
        <f>IFERROR(__xludf.DUMMYFUNCTION("""COMPUTED_VALUE"""),"CON RECAUDO")</f>
        <v>CON RECAUDO</v>
      </c>
      <c r="M138" s="65" t="str">
        <f>IFERROR(__xludf.DUMMYFUNCTION("""COMPUTED_VALUE"""),"GUAYAS")</f>
        <v>GUAYAS</v>
      </c>
      <c r="N138" s="65" t="str">
        <f>IFERROR(__xludf.DUMMYFUNCTION("""COMPUTED_VALUE"""),"DURAN")</f>
        <v>DURAN</v>
      </c>
      <c r="O138" s="65" t="str">
        <f>IFERROR(__xludf.DUMMYFUNCTION("""COMPUTED_VALUE"""),"Duran Eloy alfaro y Recreo 5ta etapa mz 545 villaa 28 -")</f>
        <v>Duran Eloy alfaro y Recreo 5ta etapa mz 545 villaa 28 -</v>
      </c>
      <c r="P138" s="65"/>
      <c r="Q138" s="65" t="str">
        <f>IFERROR(__xludf.DUMMYFUNCTION("""COMPUTED_VALUE"""),"GINTRACOM")</f>
        <v>GINTRACOM</v>
      </c>
      <c r="R138" s="65">
        <f>IFERROR(__xludf.DUMMYFUNCTION("""COMPUTED_VALUE"""),20.0)</f>
        <v>20</v>
      </c>
      <c r="S138" s="65"/>
      <c r="T138" s="65">
        <f>IFERROR(__xludf.DUMMYFUNCTION("""COMPUTED_VALUE"""),5.76)</f>
        <v>5.76</v>
      </c>
      <c r="U138" s="65">
        <f>IFERROR(__xludf.DUMMYFUNCTION("""COMPUTED_VALUE"""),0.0)</f>
        <v>0</v>
      </c>
      <c r="V138" s="65">
        <f>IFERROR(__xludf.DUMMYFUNCTION("""COMPUTED_VALUE"""),0.0)</f>
        <v>0</v>
      </c>
      <c r="W138" s="65">
        <f>IFERROR(__xludf.DUMMYFUNCTION("""COMPUTED_VALUE"""),0.0)</f>
        <v>0</v>
      </c>
      <c r="X138" s="65">
        <f>IFERROR(__xludf.DUMMYFUNCTION("""COMPUTED_VALUE"""),2.35)</f>
        <v>2.35</v>
      </c>
      <c r="Y138" s="65">
        <f>IFERROR(__xludf.DUMMYFUNCTION("""COMPUTED_VALUE"""),2.35)</f>
        <v>2.35</v>
      </c>
      <c r="Z138" s="65">
        <f>IFERROR(__xludf.DUMMYFUNCTION("""COMPUTED_VALUE"""),116679.0)</f>
        <v>116679</v>
      </c>
      <c r="AA138" s="65" t="str">
        <f>IFERROR(__xludf.DUMMYFUNCTION("""COMPUTED_VALUE"""),"AMC-2738")</f>
        <v>AMC-2738</v>
      </c>
      <c r="AB138" s="65"/>
      <c r="AC138" s="65" t="str">
        <f>IFERROR(__xludf.DUMMYFUNCTION("""COMPUTED_VALUE"""),"ESPONJA ANTILLUVIA DE PARABRISAS")</f>
        <v>ESPONJA ANTILLUVIA DE PARABRISAS</v>
      </c>
      <c r="AD138" s="65"/>
      <c r="AE138" s="65">
        <f>IFERROR(__xludf.DUMMYFUNCTION("""COMPUTED_VALUE"""),1.0)</f>
        <v>1</v>
      </c>
      <c r="AF138" s="65"/>
      <c r="AG138" s="65"/>
      <c r="AH138" s="65"/>
      <c r="AI138" s="65"/>
      <c r="AJ138" s="65"/>
      <c r="AK138" s="65"/>
      <c r="AL138" s="65"/>
      <c r="AM138" s="65"/>
      <c r="AN138" s="65"/>
      <c r="AO138" s="65"/>
      <c r="AP138" s="65"/>
      <c r="AQ138" s="65"/>
      <c r="AR138" s="65"/>
      <c r="AS138" s="65"/>
      <c r="AT138" s="65" t="str">
        <f>IFERROR(__xludf.DUMMYFUNCTION("""COMPUTED_VALUE"""),"SHOPIFY")</f>
        <v>SHOPIFY</v>
      </c>
      <c r="AU138" s="65" t="str">
        <f>IFERROR(__xludf.DUMMYFUNCTION("""COMPUTED_VALUE"""),"IMPORTEX EC")</f>
        <v>IMPORTEX EC</v>
      </c>
      <c r="AV138" s="65" t="str">
        <f>IFERROR(__xludf.DUMMYFUNCTION("""COMPUTED_VALUE"""),"6584159600684")</f>
        <v>6584159600684</v>
      </c>
      <c r="AW138" s="65">
        <f>IFERROR(__xludf.DUMMYFUNCTION("""COMPUTED_VALUE"""),6709.0)</f>
        <v>6709</v>
      </c>
      <c r="AX138" s="65"/>
      <c r="AY138" s="65"/>
      <c r="AZ138" s="65"/>
      <c r="BA138" s="65"/>
    </row>
    <row r="139">
      <c r="A139" s="65" t="str">
        <f>IFERROR(__xludf.DUMMYFUNCTION("""COMPUTED_VALUE"""),"27-03-2026")</f>
        <v>27-03-2026</v>
      </c>
      <c r="B139" s="65">
        <f>IFERROR(__xludf.DUMMYFUNCTION("""COMPUTED_VALUE"""),4823284.0)</f>
        <v>4823284</v>
      </c>
      <c r="C139" s="65" t="str">
        <f>IFERROR(__xludf.DUMMYFUNCTION("""COMPUTED_VALUE"""),"22:25")</f>
        <v>22:25</v>
      </c>
      <c r="D139" s="65" t="str">
        <f>IFERROR(__xludf.DUMMYFUNCTION("""COMPUTED_VALUE"""),"16-03-2026")</f>
        <v>16-03-2026</v>
      </c>
      <c r="E139" s="65" t="str">
        <f>IFERROR(__xludf.DUMMYFUNCTION("""COMPUTED_VALUE"""),"José Gamboa briones")</f>
        <v>José Gamboa briones</v>
      </c>
      <c r="F139" s="65" t="str">
        <f>IFERROR(__xludf.DUMMYFUNCTION("""COMPUTED_VALUE"""),"939265590")</f>
        <v>939265590</v>
      </c>
      <c r="G139" s="65" t="str">
        <f>IFERROR(__xludf.DUMMYFUNCTION("""COMPUTED_VALUE"""),"j.briones_l@hotmail.com")</f>
        <v>j.briones_l@hotmail.com</v>
      </c>
      <c r="H139" s="65"/>
      <c r="I139" s="65"/>
      <c r="J139" s="65" t="str">
        <f>IFERROR(__xludf.DUMMYFUNCTION("""COMPUTED_VALUE"""),"D001431117")</f>
        <v>D001431117</v>
      </c>
      <c r="K139" s="65" t="str">
        <f>IFERROR(__xludf.DUMMYFUNCTION("""COMPUTED_VALUE"""),"NOVEDAD SOLUCIONADA")</f>
        <v>NOVEDAD SOLUCIONADA</v>
      </c>
      <c r="L139" s="65" t="str">
        <f>IFERROR(__xludf.DUMMYFUNCTION("""COMPUTED_VALUE"""),"CON RECAUDO")</f>
        <v>CON RECAUDO</v>
      </c>
      <c r="M139" s="65" t="str">
        <f>IFERROR(__xludf.DUMMYFUNCTION("""COMPUTED_VALUE"""),"GUAYAS")</f>
        <v>GUAYAS</v>
      </c>
      <c r="N139" s="65" t="str">
        <f>IFERROR(__xludf.DUMMYFUNCTION("""COMPUTED_VALUE"""),"DURAN")</f>
        <v>DURAN</v>
      </c>
      <c r="O139" s="65" t="str">
        <f>IFERROR(__xludf.DUMMYFUNCTION("""COMPUTED_VALUE"""),"Duran,  Eloy alfaro y Recreo,  5ta etapa mz 545 villaa 28 -")</f>
        <v>Duran,  Eloy alfaro y Recreo,  5ta etapa mz 545 villaa 28 -</v>
      </c>
      <c r="P139" s="65"/>
      <c r="Q139" s="65" t="str">
        <f>IFERROR(__xludf.DUMMYFUNCTION("""COMPUTED_VALUE"""),"GINTRACOM")</f>
        <v>GINTRACOM</v>
      </c>
      <c r="R139" s="65">
        <f>IFERROR(__xludf.DUMMYFUNCTION("""COMPUTED_VALUE"""),20.0)</f>
        <v>20</v>
      </c>
      <c r="S139" s="65"/>
      <c r="T139" s="65">
        <f>IFERROR(__xludf.DUMMYFUNCTION("""COMPUTED_VALUE"""),5.76)</f>
        <v>5.76</v>
      </c>
      <c r="U139" s="65">
        <f>IFERROR(__xludf.DUMMYFUNCTION("""COMPUTED_VALUE"""),0.0)</f>
        <v>0</v>
      </c>
      <c r="V139" s="65">
        <f>IFERROR(__xludf.DUMMYFUNCTION("""COMPUTED_VALUE"""),0.0)</f>
        <v>0</v>
      </c>
      <c r="W139" s="65">
        <f>IFERROR(__xludf.DUMMYFUNCTION("""COMPUTED_VALUE"""),0.0)</f>
        <v>0</v>
      </c>
      <c r="X139" s="65">
        <f>IFERROR(__xludf.DUMMYFUNCTION("""COMPUTED_VALUE"""),2.35)</f>
        <v>2.35</v>
      </c>
      <c r="Y139" s="65">
        <f>IFERROR(__xludf.DUMMYFUNCTION("""COMPUTED_VALUE"""),2.35)</f>
        <v>2.35</v>
      </c>
      <c r="Z139" s="65">
        <f>IFERROR(__xludf.DUMMYFUNCTION("""COMPUTED_VALUE"""),116679.0)</f>
        <v>116679</v>
      </c>
      <c r="AA139" s="65" t="str">
        <f>IFERROR(__xludf.DUMMYFUNCTION("""COMPUTED_VALUE"""),"AMC-2738")</f>
        <v>AMC-2738</v>
      </c>
      <c r="AB139" s="65"/>
      <c r="AC139" s="65" t="str">
        <f>IFERROR(__xludf.DUMMYFUNCTION("""COMPUTED_VALUE"""),"ESPONJA ANTILLUVIA DE PARABRISAS")</f>
        <v>ESPONJA ANTILLUVIA DE PARABRISAS</v>
      </c>
      <c r="AD139" s="65"/>
      <c r="AE139" s="65">
        <f>IFERROR(__xludf.DUMMYFUNCTION("""COMPUTED_VALUE"""),1.0)</f>
        <v>1</v>
      </c>
      <c r="AF139" s="65" t="str">
        <f>IFERROR(__xludf.DUMMYFUNCTION("""COMPUTED_VALUE"""),"DESTINATARIO NO CONTESTA LLAMADAS NI WHATSAPP")</f>
        <v>DESTINATARIO NO CONTESTA LLAMADAS NI WHATSAPP</v>
      </c>
      <c r="AG139" s="65" t="str">
        <f>IFERROR(__xludf.DUMMYFUNCTION("""COMPUTED_VALUE"""),"SI")</f>
        <v>SI</v>
      </c>
      <c r="AH139" s="65" t="str">
        <f>IFERROR(__xludf.DUMMYFUNCTION("""COMPUTED_VALUE"""),"15:58")</f>
        <v>15:58</v>
      </c>
      <c r="AI139" s="65" t="str">
        <f>IFERROR(__xludf.DUMMYFUNCTION("""COMPUTED_VALUE"""),"25-03-2026")</f>
        <v>25-03-2026</v>
      </c>
      <c r="AJ139" s="65" t="str">
        <f>IFERROR(__xludf.DUMMYFUNCTION("""COMPUTED_VALUE"""),"El cliente requiere entrega inmediata; por favor, coordinar directamente con él/la cliente para concretar la entrega.")</f>
        <v>El cliente requiere entrega inmediata; por favor, coordinar directamente con él/la cliente para concretar la entrega.</v>
      </c>
      <c r="AK139" s="65" t="str">
        <f>IFERROR(__xludf.DUMMYFUNCTION("""COMPUTED_VALUE"""),"10:21")</f>
        <v>10:21</v>
      </c>
      <c r="AL139" s="65" t="str">
        <f>IFERROR(__xludf.DUMMYFUNCTION("""COMPUTED_VALUE"""),"26-03-2026")</f>
        <v>26-03-2026</v>
      </c>
      <c r="AM139" s="65"/>
      <c r="AN139" s="65" t="str">
        <f>IFERROR(__xludf.DUMMYFUNCTION("""COMPUTED_VALUE"""),"10:21")</f>
        <v>10:21</v>
      </c>
      <c r="AO139" s="65" t="str">
        <f>IFERROR(__xludf.DUMMYFUNCTION("""COMPUTED_VALUE"""),"26-03-2026")</f>
        <v>26-03-2026</v>
      </c>
      <c r="AP139" s="65" t="str">
        <f>IFERROR(__xludf.DUMMYFUNCTION("""COMPUTED_VALUE"""),"SOLUCION APROBADA")</f>
        <v>SOLUCION APROBADA</v>
      </c>
      <c r="AQ139" s="65" t="str">
        <f>IFERROR(__xludf.DUMMYFUNCTION("""COMPUTED_VALUE"""),"SOLUCION APROBADA")</f>
        <v>SOLUCION APROBADA</v>
      </c>
      <c r="AR139" s="65"/>
      <c r="AS139" s="65"/>
      <c r="AT139" s="65" t="str">
        <f>IFERROR(__xludf.DUMMYFUNCTION("""COMPUTED_VALUE"""),"SHOPIFY")</f>
        <v>SHOPIFY</v>
      </c>
      <c r="AU139" s="65" t="str">
        <f>IFERROR(__xludf.DUMMYFUNCTION("""COMPUTED_VALUE"""),"IMPORTEX EC")</f>
        <v>IMPORTEX EC</v>
      </c>
      <c r="AV139" s="65" t="str">
        <f>IFERROR(__xludf.DUMMYFUNCTION("""COMPUTED_VALUE"""),"6584159633452")</f>
        <v>6584159633452</v>
      </c>
      <c r="AW139" s="65">
        <f>IFERROR(__xludf.DUMMYFUNCTION("""COMPUTED_VALUE"""),6710.0)</f>
        <v>6710</v>
      </c>
      <c r="AX139" s="65"/>
      <c r="AY139" s="65" t="str">
        <f>IFERROR(__xludf.DUMMYFUNCTION("""COMPUTED_VALUE"""),"19/03/2026")</f>
        <v>19/03/2026</v>
      </c>
      <c r="AZ139" s="65"/>
      <c r="BA139" s="65"/>
    </row>
    <row r="140">
      <c r="A140" s="65" t="str">
        <f>IFERROR(__xludf.DUMMYFUNCTION("""COMPUTED_VALUE"""),"27-03-2026")</f>
        <v>27-03-2026</v>
      </c>
      <c r="B140" s="65">
        <f>IFERROR(__xludf.DUMMYFUNCTION("""COMPUTED_VALUE"""),4822855.0)</f>
        <v>4822855</v>
      </c>
      <c r="C140" s="65" t="str">
        <f>IFERROR(__xludf.DUMMYFUNCTION("""COMPUTED_VALUE"""),"21:35")</f>
        <v>21:35</v>
      </c>
      <c r="D140" s="65" t="str">
        <f>IFERROR(__xludf.DUMMYFUNCTION("""COMPUTED_VALUE"""),"16-03-2026")</f>
        <v>16-03-2026</v>
      </c>
      <c r="E140" s="65" t="str">
        <f>IFERROR(__xludf.DUMMYFUNCTION("""COMPUTED_VALUE"""),"Julio Muñoz")</f>
        <v>Julio Muñoz</v>
      </c>
      <c r="F140" s="65" t="str">
        <f>IFERROR(__xludf.DUMMYFUNCTION("""COMPUTED_VALUE"""),"979071794")</f>
        <v>979071794</v>
      </c>
      <c r="G140" s="65"/>
      <c r="H140" s="65"/>
      <c r="I140" s="65"/>
      <c r="J140" s="65" t="str">
        <f>IFERROR(__xludf.DUMMYFUNCTION("""COMPUTED_VALUE"""),"D001423171")</f>
        <v>D001423171</v>
      </c>
      <c r="K140" s="65" t="str">
        <f>IFERROR(__xludf.DUMMYFUNCTION("""COMPUTED_VALUE"""),"ENTREGADO")</f>
        <v>ENTREGADO</v>
      </c>
      <c r="L140" s="65" t="str">
        <f>IFERROR(__xludf.DUMMYFUNCTION("""COMPUTED_VALUE"""),"CON RECAUDO")</f>
        <v>CON RECAUDO</v>
      </c>
      <c r="M140" s="65" t="str">
        <f>IFERROR(__xludf.DUMMYFUNCTION("""COMPUTED_VALUE"""),"PICHINCHA")</f>
        <v>PICHINCHA</v>
      </c>
      <c r="N140" s="65" t="str">
        <f>IFERROR(__xludf.DUMMYFUNCTION("""COMPUTED_VALUE"""),"QUITO")</f>
        <v>QUITO</v>
      </c>
      <c r="O140" s="65" t="str">
        <f>IFERROR(__xludf.DUMMYFUNCTION("""COMPUTED_VALUE"""),"avenida el Inca E8-08 y Morlan")</f>
        <v>avenida el Inca E8-08 y Morlan</v>
      </c>
      <c r="P140" s="65"/>
      <c r="Q140" s="65" t="str">
        <f>IFERROR(__xludf.DUMMYFUNCTION("""COMPUTED_VALUE"""),"GINTRACOM")</f>
        <v>GINTRACOM</v>
      </c>
      <c r="R140" s="65">
        <f>IFERROR(__xludf.DUMMYFUNCTION("""COMPUTED_VALUE"""),13.5)</f>
        <v>13.5</v>
      </c>
      <c r="S140" s="65">
        <f>IFERROR(__xludf.DUMMYFUNCTION("""COMPUTED_VALUE"""),2.61)</f>
        <v>2.61</v>
      </c>
      <c r="T140" s="65">
        <f>IFERROR(__xludf.DUMMYFUNCTION("""COMPUTED_VALUE"""),3.89)</f>
        <v>3.89</v>
      </c>
      <c r="U140" s="65">
        <f>IFERROR(__xludf.DUMMYFUNCTION("""COMPUTED_VALUE"""),0.0)</f>
        <v>0</v>
      </c>
      <c r="V140" s="65">
        <f>IFERROR(__xludf.DUMMYFUNCTION("""COMPUTED_VALUE"""),0.0)</f>
        <v>0</v>
      </c>
      <c r="W140" s="65">
        <f>IFERROR(__xludf.DUMMYFUNCTION("""COMPUTED_VALUE"""),0.0)</f>
        <v>0</v>
      </c>
      <c r="X140" s="65">
        <f>IFERROR(__xludf.DUMMYFUNCTION("""COMPUTED_VALUE"""),3.5)</f>
        <v>3.5</v>
      </c>
      <c r="Y140" s="65">
        <f>IFERROR(__xludf.DUMMYFUNCTION("""COMPUTED_VALUE"""),7.0)</f>
        <v>7</v>
      </c>
      <c r="Z140" s="65">
        <f>IFERROR(__xludf.DUMMYFUNCTION("""COMPUTED_VALUE"""),110064.0)</f>
        <v>110064</v>
      </c>
      <c r="AA140" s="65" t="str">
        <f>IFERROR(__xludf.DUMMYFUNCTION("""COMPUTED_VALUE"""),"IMX-00001")</f>
        <v>IMX-00001</v>
      </c>
      <c r="AB140" s="65"/>
      <c r="AC140" s="65" t="str">
        <f>IFERROR(__xludf.DUMMYFUNCTION("""COMPUTED_VALUE"""),"LLAVE TRINQUETE")</f>
        <v>LLAVE TRINQUETE</v>
      </c>
      <c r="AD140" s="65"/>
      <c r="AE140" s="65">
        <f>IFERROR(__xludf.DUMMYFUNCTION("""COMPUTED_VALUE"""),2.0)</f>
        <v>2</v>
      </c>
      <c r="AF140" s="65" t="str">
        <f>IFERROR(__xludf.DUMMYFUNCTION("""COMPUTED_VALUE"""),"DESTINATARIO NO CONTESTA LLAMADAS NI WHATSAPP")</f>
        <v>DESTINATARIO NO CONTESTA LLAMADAS NI WHATSAPP</v>
      </c>
      <c r="AG140" s="65" t="str">
        <f>IFERROR(__xludf.DUMMYFUNCTION("""COMPUTED_VALUE"""),"NO")</f>
        <v>NO</v>
      </c>
      <c r="AH140" s="65" t="str">
        <f>IFERROR(__xludf.DUMMYFUNCTION("""COMPUTED_VALUE"""),"10:42")</f>
        <v>10:42</v>
      </c>
      <c r="AI140" s="65" t="str">
        <f>IFERROR(__xludf.DUMMYFUNCTION("""COMPUTED_VALUE"""),"18-03-2026")</f>
        <v>18-03-2026</v>
      </c>
      <c r="AJ140" s="65"/>
      <c r="AK140" s="65"/>
      <c r="AL140" s="65"/>
      <c r="AM140" s="65"/>
      <c r="AN140" s="65" t="str">
        <f>IFERROR(__xludf.DUMMYFUNCTION("""COMPUTED_VALUE"""),"14:23")</f>
        <v>14:23</v>
      </c>
      <c r="AO140" s="65" t="str">
        <f>IFERROR(__xludf.DUMMYFUNCTION("""COMPUTED_VALUE"""),"18-03-2026")</f>
        <v>18-03-2026</v>
      </c>
      <c r="AP140" s="65" t="str">
        <f>IFERROR(__xludf.DUMMYFUNCTION("""COMPUTED_VALUE"""),"ENTREGADA GINTRACOM")</f>
        <v>ENTREGADA GINTRACOM</v>
      </c>
      <c r="AQ140" s="65" t="str">
        <f>IFERROR(__xludf.DUMMYFUNCTION("""COMPUTED_VALUE"""),"ENTREGADA GINTRACOM")</f>
        <v>ENTREGADA GINTRACOM</v>
      </c>
      <c r="AR140" s="65"/>
      <c r="AS140" s="65"/>
      <c r="AT140" s="65"/>
      <c r="AU140" s="65"/>
      <c r="AV140" s="65"/>
      <c r="AW140" s="65"/>
      <c r="AX140" s="65"/>
      <c r="AY140" s="65" t="str">
        <f>IFERROR(__xludf.DUMMYFUNCTION("""COMPUTED_VALUE"""),"17/03/2026")</f>
        <v>17/03/2026</v>
      </c>
      <c r="AZ140" s="65"/>
      <c r="BA140" s="65"/>
    </row>
    <row r="141">
      <c r="A141" s="65" t="str">
        <f>IFERROR(__xludf.DUMMYFUNCTION("""COMPUTED_VALUE"""),"27-03-2026")</f>
        <v>27-03-2026</v>
      </c>
      <c r="B141" s="65">
        <f>IFERROR(__xludf.DUMMYFUNCTION("""COMPUTED_VALUE"""),4822148.0)</f>
        <v>4822148</v>
      </c>
      <c r="C141" s="65" t="str">
        <f>IFERROR(__xludf.DUMMYFUNCTION("""COMPUTED_VALUE"""),"20:14")</f>
        <v>20:14</v>
      </c>
      <c r="D141" s="65" t="str">
        <f>IFERROR(__xludf.DUMMYFUNCTION("""COMPUTED_VALUE"""),"16-03-2026")</f>
        <v>16-03-2026</v>
      </c>
      <c r="E141" s="65" t="str">
        <f>IFERROR(__xludf.DUMMYFUNCTION("""COMPUTED_VALUE"""),"Alexis lozano")</f>
        <v>Alexis lozano</v>
      </c>
      <c r="F141" s="65" t="str">
        <f>IFERROR(__xludf.DUMMYFUNCTION("""COMPUTED_VALUE"""),"968003475")</f>
        <v>968003475</v>
      </c>
      <c r="G141" s="65" t="str">
        <f>IFERROR(__xludf.DUMMYFUNCTION("""COMPUTED_VALUE"""),"lozanowilmer2003@gmail.com")</f>
        <v>lozanowilmer2003@gmail.com</v>
      </c>
      <c r="H141" s="65"/>
      <c r="I141" s="65"/>
      <c r="J141" s="65" t="str">
        <f>IFERROR(__xludf.DUMMYFUNCTION("""COMPUTED_VALUE"""),"D001427343")</f>
        <v>D001427343</v>
      </c>
      <c r="K141" s="65" t="str">
        <f>IFERROR(__xludf.DUMMYFUNCTION("""COMPUTED_VALUE"""),"DEVOLUCION")</f>
        <v>DEVOLUCION</v>
      </c>
      <c r="L141" s="65" t="str">
        <f>IFERROR(__xludf.DUMMYFUNCTION("""COMPUTED_VALUE"""),"CON RECAUDO")</f>
        <v>CON RECAUDO</v>
      </c>
      <c r="M141" s="65" t="str">
        <f>IFERROR(__xludf.DUMMYFUNCTION("""COMPUTED_VALUE"""),"TUNGURAHUA")</f>
        <v>TUNGURAHUA</v>
      </c>
      <c r="N141" s="65" t="str">
        <f>IFERROR(__xludf.DUMMYFUNCTION("""COMPUTED_VALUE"""),"AMBATO")</f>
        <v>AMBATO</v>
      </c>
      <c r="O141" s="65" t="str">
        <f>IFERROR(__xludf.DUMMYFUNCTION("""COMPUTED_VALUE"""),"Cacique Alvarez y nueve de octubre Sector letamendi - Callejón mariano ortega")</f>
        <v>Cacique Alvarez y nueve de octubre Sector letamendi - Callejón mariano ortega</v>
      </c>
      <c r="P141" s="65"/>
      <c r="Q141" s="65" t="str">
        <f>IFERROR(__xludf.DUMMYFUNCTION("""COMPUTED_VALUE"""),"GINTRACOM")</f>
        <v>GINTRACOM</v>
      </c>
      <c r="R141" s="65">
        <f>IFERROR(__xludf.DUMMYFUNCTION("""COMPUTED_VALUE"""),30.0)</f>
        <v>30</v>
      </c>
      <c r="S141" s="65"/>
      <c r="T141" s="65">
        <f>IFERROR(__xludf.DUMMYFUNCTION("""COMPUTED_VALUE"""),6.16)</f>
        <v>6.16</v>
      </c>
      <c r="U141" s="65">
        <f>IFERROR(__xludf.DUMMYFUNCTION("""COMPUTED_VALUE"""),0.0)</f>
        <v>0</v>
      </c>
      <c r="V141" s="65">
        <f>IFERROR(__xludf.DUMMYFUNCTION("""COMPUTED_VALUE"""),0.0)</f>
        <v>0</v>
      </c>
      <c r="W141" s="65">
        <f>IFERROR(__xludf.DUMMYFUNCTION("""COMPUTED_VALUE"""),0.0)</f>
        <v>0</v>
      </c>
      <c r="X141" s="65">
        <f>IFERROR(__xludf.DUMMYFUNCTION("""COMPUTED_VALUE"""),2.35)</f>
        <v>2.35</v>
      </c>
      <c r="Y141" s="65">
        <f>IFERROR(__xludf.DUMMYFUNCTION("""COMPUTED_VALUE"""),7.05)</f>
        <v>7.05</v>
      </c>
      <c r="Z141" s="65">
        <f>IFERROR(__xludf.DUMMYFUNCTION("""COMPUTED_VALUE"""),116679.0)</f>
        <v>116679</v>
      </c>
      <c r="AA141" s="65" t="str">
        <f>IFERROR(__xludf.DUMMYFUNCTION("""COMPUTED_VALUE"""),"AMC-2738")</f>
        <v>AMC-2738</v>
      </c>
      <c r="AB141" s="65"/>
      <c r="AC141" s="65" t="str">
        <f>IFERROR(__xludf.DUMMYFUNCTION("""COMPUTED_VALUE"""),"ESPONJA ANTILLUVIA DE PARABRISAS")</f>
        <v>ESPONJA ANTILLUVIA DE PARABRISAS</v>
      </c>
      <c r="AD141" s="65"/>
      <c r="AE141" s="65">
        <f>IFERROR(__xludf.DUMMYFUNCTION("""COMPUTED_VALUE"""),3.0)</f>
        <v>3</v>
      </c>
      <c r="AF141" s="65"/>
      <c r="AG141" s="65"/>
      <c r="AH141" s="65"/>
      <c r="AI141" s="65"/>
      <c r="AJ141" s="65"/>
      <c r="AK141" s="65"/>
      <c r="AL141" s="65"/>
      <c r="AM141" s="65"/>
      <c r="AN141" s="65" t="str">
        <f>IFERROR(__xludf.DUMMYFUNCTION("""COMPUTED_VALUE"""),"15:33")</f>
        <v>15:33</v>
      </c>
      <c r="AO141" s="65" t="str">
        <f>IFERROR(__xludf.DUMMYFUNCTION("""COMPUTED_VALUE"""),"26-03-2026")</f>
        <v>26-03-2026</v>
      </c>
      <c r="AP141" s="65" t="str">
        <f>IFERROR(__xludf.DUMMYFUNCTION("""COMPUTED_VALUE"""),"DEVOLUCIÓN ENTREGADA A ORIGEN")</f>
        <v>DEVOLUCIÓN ENTREGADA A ORIGEN</v>
      </c>
      <c r="AQ141" s="65" t="str">
        <f>IFERROR(__xludf.DUMMYFUNCTION("""COMPUTED_VALUE"""),"DEVOLUCIÓN ENTREGADA A ORIGEN")</f>
        <v>DEVOLUCIÓN ENTREGADA A ORIGEN</v>
      </c>
      <c r="AR141" s="65"/>
      <c r="AS141" s="65"/>
      <c r="AT141" s="65" t="str">
        <f>IFERROR(__xludf.DUMMYFUNCTION("""COMPUTED_VALUE"""),"SHOPIFY")</f>
        <v>SHOPIFY</v>
      </c>
      <c r="AU141" s="65" t="str">
        <f>IFERROR(__xludf.DUMMYFUNCTION("""COMPUTED_VALUE"""),"IMPORTEX EC")</f>
        <v>IMPORTEX EC</v>
      </c>
      <c r="AV141" s="65" t="str">
        <f>IFERROR(__xludf.DUMMYFUNCTION("""COMPUTED_VALUE"""),"6583949951020")</f>
        <v>6583949951020</v>
      </c>
      <c r="AW141" s="65">
        <f>IFERROR(__xludf.DUMMYFUNCTION("""COMPUTED_VALUE"""),6708.0)</f>
        <v>6708</v>
      </c>
      <c r="AX141" s="65"/>
      <c r="AY141" s="65" t="str">
        <f>IFERROR(__xludf.DUMMYFUNCTION("""COMPUTED_VALUE"""),"18/03/2026")</f>
        <v>18/03/2026</v>
      </c>
      <c r="AZ141" s="65"/>
      <c r="BA141" s="65"/>
    </row>
    <row r="142">
      <c r="A142" s="65" t="str">
        <f>IFERROR(__xludf.DUMMYFUNCTION("""COMPUTED_VALUE"""),"27-03-2026")</f>
        <v>27-03-2026</v>
      </c>
      <c r="B142" s="65">
        <f>IFERROR(__xludf.DUMMYFUNCTION("""COMPUTED_VALUE"""),4820540.0)</f>
        <v>4820540</v>
      </c>
      <c r="C142" s="65" t="str">
        <f>IFERROR(__xludf.DUMMYFUNCTION("""COMPUTED_VALUE"""),"16:44")</f>
        <v>16:44</v>
      </c>
      <c r="D142" s="65" t="str">
        <f>IFERROR(__xludf.DUMMYFUNCTION("""COMPUTED_VALUE"""),"16-03-2026")</f>
        <v>16-03-2026</v>
      </c>
      <c r="E142" s="65" t="str">
        <f>IFERROR(__xludf.DUMMYFUNCTION("""COMPUTED_VALUE"""),"Eduardo Verdezoto")</f>
        <v>Eduardo Verdezoto</v>
      </c>
      <c r="F142" s="65" t="str">
        <f>IFERROR(__xludf.DUMMYFUNCTION("""COMPUTED_VALUE"""),"987450151")</f>
        <v>987450151</v>
      </c>
      <c r="G142" s="65" t="str">
        <f>IFERROR(__xludf.DUMMYFUNCTION("""COMPUTED_VALUE"""),"eduardoverdezoto2019@gmail.com")</f>
        <v>eduardoverdezoto2019@gmail.com</v>
      </c>
      <c r="H142" s="65"/>
      <c r="I142" s="65"/>
      <c r="J142" s="65"/>
      <c r="K142" s="65" t="str">
        <f>IFERROR(__xludf.DUMMYFUNCTION("""COMPUTED_VALUE"""),"CANCELADO")</f>
        <v>CANCELADO</v>
      </c>
      <c r="L142" s="65" t="str">
        <f>IFERROR(__xludf.DUMMYFUNCTION("""COMPUTED_VALUE"""),"CON RECAUDO")</f>
        <v>CON RECAUDO</v>
      </c>
      <c r="M142" s="65" t="str">
        <f>IFERROR(__xludf.DUMMYFUNCTION("""COMPUTED_VALUE"""),"SUCUMBIOS")</f>
        <v>SUCUMBIOS</v>
      </c>
      <c r="N142" s="65" t="str">
        <f>IFERROR(__xludf.DUMMYFUNCTION("""COMPUTED_VALUE"""),"NUEVA LOJA")</f>
        <v>NUEVA LOJA</v>
      </c>
      <c r="O142" s="65" t="str">
        <f>IFERROR(__xludf.DUMMYFUNCTION("""COMPUTED_VALUE"""),"Av. Venezuela y 24 de mayo Parque de la madre esquina -")</f>
        <v>Av. Venezuela y 24 de mayo Parque de la madre esquina -</v>
      </c>
      <c r="P142" s="65"/>
      <c r="Q142" s="65" t="str">
        <f>IFERROR(__xludf.DUMMYFUNCTION("""COMPUTED_VALUE"""),"LAARCOURIER")</f>
        <v>LAARCOURIER</v>
      </c>
      <c r="R142" s="65">
        <f>IFERROR(__xludf.DUMMYFUNCTION("""COMPUTED_VALUE"""),25.0)</f>
        <v>25</v>
      </c>
      <c r="S142" s="65"/>
      <c r="T142" s="65">
        <f>IFERROR(__xludf.DUMMYFUNCTION("""COMPUTED_VALUE"""),7.79)</f>
        <v>7.79</v>
      </c>
      <c r="U142" s="65">
        <f>IFERROR(__xludf.DUMMYFUNCTION("""COMPUTED_VALUE"""),0.0)</f>
        <v>0</v>
      </c>
      <c r="V142" s="65">
        <f>IFERROR(__xludf.DUMMYFUNCTION("""COMPUTED_VALUE"""),0.0)</f>
        <v>0</v>
      </c>
      <c r="W142" s="65">
        <f>IFERROR(__xludf.DUMMYFUNCTION("""COMPUTED_VALUE"""),0.0)</f>
        <v>0</v>
      </c>
      <c r="X142" s="65">
        <f>IFERROR(__xludf.DUMMYFUNCTION("""COMPUTED_VALUE"""),2.35)</f>
        <v>2.35</v>
      </c>
      <c r="Y142" s="65">
        <f>IFERROR(__xludf.DUMMYFUNCTION("""COMPUTED_VALUE"""),4.7)</f>
        <v>4.7</v>
      </c>
      <c r="Z142" s="65">
        <f>IFERROR(__xludf.DUMMYFUNCTION("""COMPUTED_VALUE"""),116679.0)</f>
        <v>116679</v>
      </c>
      <c r="AA142" s="65" t="str">
        <f>IFERROR(__xludf.DUMMYFUNCTION("""COMPUTED_VALUE"""),"AMC-2738")</f>
        <v>AMC-2738</v>
      </c>
      <c r="AB142" s="65"/>
      <c r="AC142" s="65" t="str">
        <f>IFERROR(__xludf.DUMMYFUNCTION("""COMPUTED_VALUE"""),"ESPONJA ANTILLUVIA DE PARABRISAS")</f>
        <v>ESPONJA ANTILLUVIA DE PARABRISAS</v>
      </c>
      <c r="AD142" s="65"/>
      <c r="AE142" s="65">
        <f>IFERROR(__xludf.DUMMYFUNCTION("""COMPUTED_VALUE"""),2.0)</f>
        <v>2</v>
      </c>
      <c r="AF142" s="65"/>
      <c r="AG142" s="65"/>
      <c r="AH142" s="65"/>
      <c r="AI142" s="65"/>
      <c r="AJ142" s="65"/>
      <c r="AK142" s="65"/>
      <c r="AL142" s="65"/>
      <c r="AM142" s="65"/>
      <c r="AN142" s="65"/>
      <c r="AO142" s="65"/>
      <c r="AP142" s="65"/>
      <c r="AQ142" s="65"/>
      <c r="AR142" s="65"/>
      <c r="AS142" s="65"/>
      <c r="AT142" s="65" t="str">
        <f>IFERROR(__xludf.DUMMYFUNCTION("""COMPUTED_VALUE"""),"SHOPIFY")</f>
        <v>SHOPIFY</v>
      </c>
      <c r="AU142" s="65" t="str">
        <f>IFERROR(__xludf.DUMMYFUNCTION("""COMPUTED_VALUE"""),"IMPORTEX EC")</f>
        <v>IMPORTEX EC</v>
      </c>
      <c r="AV142" s="65" t="str">
        <f>IFERROR(__xludf.DUMMYFUNCTION("""COMPUTED_VALUE"""),"6583133470764")</f>
        <v>6583133470764</v>
      </c>
      <c r="AW142" s="65">
        <f>IFERROR(__xludf.DUMMYFUNCTION("""COMPUTED_VALUE"""),6705.0)</f>
        <v>6705</v>
      </c>
      <c r="AX142" s="65"/>
      <c r="AY142" s="65"/>
      <c r="AZ142" s="65"/>
      <c r="BA142" s="65"/>
    </row>
    <row r="143">
      <c r="A143" s="65" t="str">
        <f>IFERROR(__xludf.DUMMYFUNCTION("""COMPUTED_VALUE"""),"27-03-2026")</f>
        <v>27-03-2026</v>
      </c>
      <c r="B143" s="65">
        <f>IFERROR(__xludf.DUMMYFUNCTION("""COMPUTED_VALUE"""),4820028.0)</f>
        <v>4820028</v>
      </c>
      <c r="C143" s="65" t="str">
        <f>IFERROR(__xludf.DUMMYFUNCTION("""COMPUTED_VALUE"""),"15:58")</f>
        <v>15:58</v>
      </c>
      <c r="D143" s="65" t="str">
        <f>IFERROR(__xludf.DUMMYFUNCTION("""COMPUTED_VALUE"""),"16-03-2026")</f>
        <v>16-03-2026</v>
      </c>
      <c r="E143" s="65" t="str">
        <f>IFERROR(__xludf.DUMMYFUNCTION("""COMPUTED_VALUE"""),"Holger Ortega Vega")</f>
        <v>Holger Ortega Vega</v>
      </c>
      <c r="F143" s="65" t="str">
        <f>IFERROR(__xludf.DUMMYFUNCTION("""COMPUTED_VALUE"""),"997159725")</f>
        <v>997159725</v>
      </c>
      <c r="G143" s="65" t="str">
        <f>IFERROR(__xludf.DUMMYFUNCTION("""COMPUTED_VALUE"""),"oswaldius198232@gmail.com")</f>
        <v>oswaldius198232@gmail.com</v>
      </c>
      <c r="H143" s="65"/>
      <c r="I143" s="65"/>
      <c r="J143" s="65" t="str">
        <f>IFERROR(__xludf.DUMMYFUNCTION("""COMPUTED_VALUE"""),"D001423800")</f>
        <v>D001423800</v>
      </c>
      <c r="K143" s="65" t="str">
        <f>IFERROR(__xludf.DUMMYFUNCTION("""COMPUTED_VALUE"""),"EN REPARTO")</f>
        <v>EN REPARTO</v>
      </c>
      <c r="L143" s="65" t="str">
        <f>IFERROR(__xludf.DUMMYFUNCTION("""COMPUTED_VALUE"""),"CON RECAUDO")</f>
        <v>CON RECAUDO</v>
      </c>
      <c r="M143" s="65" t="str">
        <f>IFERROR(__xludf.DUMMYFUNCTION("""COMPUTED_VALUE"""),"GUAYAS")</f>
        <v>GUAYAS</v>
      </c>
      <c r="N143" s="65" t="str">
        <f>IFERROR(__xludf.DUMMYFUNCTION("""COMPUTED_VALUE"""),"DURAN")</f>
        <v>DURAN</v>
      </c>
      <c r="O143" s="65" t="str">
        <f>IFERROR(__xludf.DUMMYFUNCTION("""COMPUTED_VALUE"""),"Avenida Nicolás Lapenti,  Terminal de duran a lado del shopping - Oficina de transporte Zaracay")</f>
        <v>Avenida Nicolás Lapenti,  Terminal de duran a lado del shopping - Oficina de transporte Zaracay</v>
      </c>
      <c r="P143" s="65"/>
      <c r="Q143" s="65" t="str">
        <f>IFERROR(__xludf.DUMMYFUNCTION("""COMPUTED_VALUE"""),"GINTRACOM")</f>
        <v>GINTRACOM</v>
      </c>
      <c r="R143" s="65">
        <f>IFERROR(__xludf.DUMMYFUNCTION("""COMPUTED_VALUE"""),30.0)</f>
        <v>30</v>
      </c>
      <c r="S143" s="65"/>
      <c r="T143" s="65">
        <f>IFERROR(__xludf.DUMMYFUNCTION("""COMPUTED_VALUE"""),6.16)</f>
        <v>6.16</v>
      </c>
      <c r="U143" s="65">
        <f>IFERROR(__xludf.DUMMYFUNCTION("""COMPUTED_VALUE"""),0.0)</f>
        <v>0</v>
      </c>
      <c r="V143" s="65">
        <f>IFERROR(__xludf.DUMMYFUNCTION("""COMPUTED_VALUE"""),0.0)</f>
        <v>0</v>
      </c>
      <c r="W143" s="65">
        <f>IFERROR(__xludf.DUMMYFUNCTION("""COMPUTED_VALUE"""),0.0)</f>
        <v>0</v>
      </c>
      <c r="X143" s="65">
        <f>IFERROR(__xludf.DUMMYFUNCTION("""COMPUTED_VALUE"""),2.35)</f>
        <v>2.35</v>
      </c>
      <c r="Y143" s="65">
        <f>IFERROR(__xludf.DUMMYFUNCTION("""COMPUTED_VALUE"""),7.05)</f>
        <v>7.05</v>
      </c>
      <c r="Z143" s="65">
        <f>IFERROR(__xludf.DUMMYFUNCTION("""COMPUTED_VALUE"""),116679.0)</f>
        <v>116679</v>
      </c>
      <c r="AA143" s="65" t="str">
        <f>IFERROR(__xludf.DUMMYFUNCTION("""COMPUTED_VALUE"""),"AMC-2738")</f>
        <v>AMC-2738</v>
      </c>
      <c r="AB143" s="65"/>
      <c r="AC143" s="65" t="str">
        <f>IFERROR(__xludf.DUMMYFUNCTION("""COMPUTED_VALUE"""),"ESPONJA ANTILLUVIA DE PARABRISAS")</f>
        <v>ESPONJA ANTILLUVIA DE PARABRISAS</v>
      </c>
      <c r="AD143" s="65"/>
      <c r="AE143" s="65">
        <f>IFERROR(__xludf.DUMMYFUNCTION("""COMPUTED_VALUE"""),3.0)</f>
        <v>3</v>
      </c>
      <c r="AF143" s="65" t="str">
        <f>IFERROR(__xludf.DUMMYFUNCTION("""COMPUTED_VALUE"""),"DESTINATARIO NO CONTESTA LLAMADAS NI WHATSAPP")</f>
        <v>DESTINATARIO NO CONTESTA LLAMADAS NI WHATSAPP</v>
      </c>
      <c r="AG143" s="65" t="str">
        <f>IFERROR(__xludf.DUMMYFUNCTION("""COMPUTED_VALUE"""),"SI")</f>
        <v>SI</v>
      </c>
      <c r="AH143" s="65" t="str">
        <f>IFERROR(__xludf.DUMMYFUNCTION("""COMPUTED_VALUE"""),"15:41")</f>
        <v>15:41</v>
      </c>
      <c r="AI143" s="65" t="str">
        <f>IFERROR(__xludf.DUMMYFUNCTION("""COMPUTED_VALUE"""),"20-03-2026")</f>
        <v>20-03-2026</v>
      </c>
      <c r="AJ143" s="65" t="str">
        <f>IFERROR(__xludf.DUMMYFUNCTION("""COMPUTED_VALUE"""),"El cliente requiere entrega inmediata; por favor, coordinar directamente con él para concretar la entrega.")</f>
        <v>El cliente requiere entrega inmediata; por favor, coordinar directamente con él para concretar la entrega.</v>
      </c>
      <c r="AK143" s="65" t="str">
        <f>IFERROR(__xludf.DUMMYFUNCTION("""COMPUTED_VALUE"""),"10:37")</f>
        <v>10:37</v>
      </c>
      <c r="AL143" s="65" t="str">
        <f>IFERROR(__xludf.DUMMYFUNCTION("""COMPUTED_VALUE"""),"23-03-2026")</f>
        <v>23-03-2026</v>
      </c>
      <c r="AM143" s="65"/>
      <c r="AN143" s="65" t="str">
        <f>IFERROR(__xludf.DUMMYFUNCTION("""COMPUTED_VALUE"""),"08:32")</f>
        <v>08:32</v>
      </c>
      <c r="AO143" s="65" t="str">
        <f>IFERROR(__xludf.DUMMYFUNCTION("""COMPUTED_VALUE"""),"24-03-2026")</f>
        <v>24-03-2026</v>
      </c>
      <c r="AP143" s="65" t="str">
        <f>IFERROR(__xludf.DUMMYFUNCTION("""COMPUTED_VALUE"""),"DESTINATARIO INDICA QUE YA NO DESEA EL PRODUCTO")</f>
        <v>DESTINATARIO INDICA QUE YA NO DESEA EL PRODUCTO</v>
      </c>
      <c r="AQ143" s="65" t="str">
        <f>IFERROR(__xludf.DUMMYFUNCTION("""COMPUTED_VALUE"""),"DESTINATARIO INDICA QUE YA NO DESEA EL PRODUCTO")</f>
        <v>DESTINATARIO INDICA QUE YA NO DESEA EL PRODUCTO</v>
      </c>
      <c r="AR143" s="65"/>
      <c r="AS143" s="65"/>
      <c r="AT143" s="65" t="str">
        <f>IFERROR(__xludf.DUMMYFUNCTION("""COMPUTED_VALUE"""),"SHOPIFY")</f>
        <v>SHOPIFY</v>
      </c>
      <c r="AU143" s="65" t="str">
        <f>IFERROR(__xludf.DUMMYFUNCTION("""COMPUTED_VALUE"""),"IMPORTEX EC")</f>
        <v>IMPORTEX EC</v>
      </c>
      <c r="AV143" s="65" t="str">
        <f>IFERROR(__xludf.DUMMYFUNCTION("""COMPUTED_VALUE"""),"6583484022828")</f>
        <v>6583484022828</v>
      </c>
      <c r="AW143" s="65">
        <f>IFERROR(__xludf.DUMMYFUNCTION("""COMPUTED_VALUE"""),6707.0)</f>
        <v>6707</v>
      </c>
      <c r="AX143" s="65"/>
      <c r="AY143" s="65" t="str">
        <f>IFERROR(__xludf.DUMMYFUNCTION("""COMPUTED_VALUE"""),"17/03/2026")</f>
        <v>17/03/2026</v>
      </c>
      <c r="AZ143" s="65"/>
      <c r="BA143" s="65"/>
    </row>
    <row r="144">
      <c r="A144" s="65" t="str">
        <f>IFERROR(__xludf.DUMMYFUNCTION("""COMPUTED_VALUE"""),"27-03-2026")</f>
        <v>27-03-2026</v>
      </c>
      <c r="B144" s="65">
        <f>IFERROR(__xludf.DUMMYFUNCTION("""COMPUTED_VALUE"""),4819578.0)</f>
        <v>4819578</v>
      </c>
      <c r="C144" s="65" t="str">
        <f>IFERROR(__xludf.DUMMYFUNCTION("""COMPUTED_VALUE"""),"15:16")</f>
        <v>15:16</v>
      </c>
      <c r="D144" s="65" t="str">
        <f>IFERROR(__xludf.DUMMYFUNCTION("""COMPUTED_VALUE"""),"16-03-2026")</f>
        <v>16-03-2026</v>
      </c>
      <c r="E144" s="65" t="str">
        <f>IFERROR(__xludf.DUMMYFUNCTION("""COMPUTED_VALUE"""),"ALFREDO PATRICIO DÁVILA CARVAJAL")</f>
        <v>ALFREDO PATRICIO DÁVILA CARVAJAL</v>
      </c>
      <c r="F144" s="65" t="str">
        <f>IFERROR(__xludf.DUMMYFUNCTION("""COMPUTED_VALUE"""),"963244098")</f>
        <v>963244098</v>
      </c>
      <c r="G144" s="65" t="str">
        <f>IFERROR(__xludf.DUMMYFUNCTION("""COMPUTED_VALUE"""),"pdavilamagap@yahoo.com")</f>
        <v>pdavilamagap@yahoo.com</v>
      </c>
      <c r="H144" s="65"/>
      <c r="I144" s="65"/>
      <c r="J144" s="65" t="str">
        <f>IFERROR(__xludf.DUMMYFUNCTION("""COMPUTED_VALUE"""),"LC53147418")</f>
        <v>LC53147418</v>
      </c>
      <c r="K144" s="65" t="str">
        <f>IFERROR(__xludf.DUMMYFUNCTION("""COMPUTED_VALUE"""),"DEVOLUCION")</f>
        <v>DEVOLUCION</v>
      </c>
      <c r="L144" s="65" t="str">
        <f>IFERROR(__xludf.DUMMYFUNCTION("""COMPUTED_VALUE"""),"CON RECAUDO")</f>
        <v>CON RECAUDO</v>
      </c>
      <c r="M144" s="65" t="str">
        <f>IFERROR(__xludf.DUMMYFUNCTION("""COMPUTED_VALUE"""),"PICHINCHA")</f>
        <v>PICHINCHA</v>
      </c>
      <c r="N144" s="65" t="str">
        <f>IFERROR(__xludf.DUMMYFUNCTION("""COMPUTED_VALUE"""),"PEDRO V. MALDONADO")</f>
        <v>PEDRO V. MALDONADO</v>
      </c>
      <c r="O144" s="65" t="str">
        <f>IFERROR(__xludf.DUMMYFUNCTION("""COMPUTED_VALUE"""),"Av. Manuel Córdoba Galarza y Pichincha,  Infocentro, Barrio Josué Izaguirre")</f>
        <v>Av. Manuel Córdoba Galarza y Pichincha,  Infocentro, Barrio Josué Izaguirre</v>
      </c>
      <c r="P144" s="65"/>
      <c r="Q144" s="65" t="str">
        <f>IFERROR(__xludf.DUMMYFUNCTION("""COMPUTED_VALUE"""),"LAARCOURIER")</f>
        <v>LAARCOURIER</v>
      </c>
      <c r="R144" s="65">
        <f>IFERROR(__xludf.DUMMYFUNCTION("""COMPUTED_VALUE"""),30.0)</f>
        <v>30</v>
      </c>
      <c r="S144" s="65"/>
      <c r="T144" s="65">
        <f>IFERROR(__xludf.DUMMYFUNCTION("""COMPUTED_VALUE"""),7.26)</f>
        <v>7.26</v>
      </c>
      <c r="U144" s="65">
        <f>IFERROR(__xludf.DUMMYFUNCTION("""COMPUTED_VALUE"""),0.0)</f>
        <v>0</v>
      </c>
      <c r="V144" s="65">
        <f>IFERROR(__xludf.DUMMYFUNCTION("""COMPUTED_VALUE"""),0.0)</f>
        <v>0</v>
      </c>
      <c r="W144" s="65">
        <f>IFERROR(__xludf.DUMMYFUNCTION("""COMPUTED_VALUE"""),0.0)</f>
        <v>0</v>
      </c>
      <c r="X144" s="65">
        <f>IFERROR(__xludf.DUMMYFUNCTION("""COMPUTED_VALUE"""),2.35)</f>
        <v>2.35</v>
      </c>
      <c r="Y144" s="65">
        <f>IFERROR(__xludf.DUMMYFUNCTION("""COMPUTED_VALUE"""),7.05)</f>
        <v>7.05</v>
      </c>
      <c r="Z144" s="65">
        <f>IFERROR(__xludf.DUMMYFUNCTION("""COMPUTED_VALUE"""),116679.0)</f>
        <v>116679</v>
      </c>
      <c r="AA144" s="65" t="str">
        <f>IFERROR(__xludf.DUMMYFUNCTION("""COMPUTED_VALUE"""),"AMC-2738")</f>
        <v>AMC-2738</v>
      </c>
      <c r="AB144" s="65"/>
      <c r="AC144" s="65" t="str">
        <f>IFERROR(__xludf.DUMMYFUNCTION("""COMPUTED_VALUE"""),"ESPONJA ANTILLUVIA DE PARABRISAS")</f>
        <v>ESPONJA ANTILLUVIA DE PARABRISAS</v>
      </c>
      <c r="AD144" s="65"/>
      <c r="AE144" s="65">
        <f>IFERROR(__xludf.DUMMYFUNCTION("""COMPUTED_VALUE"""),3.0)</f>
        <v>3</v>
      </c>
      <c r="AF144" s="65"/>
      <c r="AG144" s="65"/>
      <c r="AH144" s="65"/>
      <c r="AI144" s="65"/>
      <c r="AJ144" s="65"/>
      <c r="AK144" s="65"/>
      <c r="AL144" s="65"/>
      <c r="AM144" s="65"/>
      <c r="AN144" s="65" t="str">
        <f>IFERROR(__xludf.DUMMYFUNCTION("""COMPUTED_VALUE"""),"11:45")</f>
        <v>11:45</v>
      </c>
      <c r="AO144" s="65" t="str">
        <f>IFERROR(__xludf.DUMMYFUNCTION("""COMPUTED_VALUE"""),"26-03-2026")</f>
        <v>26-03-2026</v>
      </c>
      <c r="AP144" s="65" t="str">
        <f>IFERROR(__xludf.DUMMYFUNCTION("""COMPUTED_VALUE"""),"DEVOLUCIÓN / ENTREGA")</f>
        <v>DEVOLUCIÓN / ENTREGA</v>
      </c>
      <c r="AQ144" s="65" t="str">
        <f>IFERROR(__xludf.DUMMYFUNCTION("""COMPUTED_VALUE"""),"DEVOLUCIÓN / ENTREGA")</f>
        <v>DEVOLUCIÓN / ENTREGA</v>
      </c>
      <c r="AR144" s="65"/>
      <c r="AS144" s="65"/>
      <c r="AT144" s="65" t="str">
        <f>IFERROR(__xludf.DUMMYFUNCTION("""COMPUTED_VALUE"""),"SHOPIFY")</f>
        <v>SHOPIFY</v>
      </c>
      <c r="AU144" s="65" t="str">
        <f>IFERROR(__xludf.DUMMYFUNCTION("""COMPUTED_VALUE"""),"IMPORTEX EC")</f>
        <v>IMPORTEX EC</v>
      </c>
      <c r="AV144" s="65" t="str">
        <f>IFERROR(__xludf.DUMMYFUNCTION("""COMPUTED_VALUE"""),"6581573517356")</f>
        <v>6581573517356</v>
      </c>
      <c r="AW144" s="65">
        <f>IFERROR(__xludf.DUMMYFUNCTION("""COMPUTED_VALUE"""),6694.0)</f>
        <v>6694</v>
      </c>
      <c r="AX144" s="65"/>
      <c r="AY144" s="65" t="str">
        <f>IFERROR(__xludf.DUMMYFUNCTION("""COMPUTED_VALUE"""),"19/03/2026")</f>
        <v>19/03/2026</v>
      </c>
      <c r="AZ144" s="65"/>
      <c r="BA144" s="65"/>
    </row>
    <row r="145">
      <c r="A145" s="65" t="str">
        <f>IFERROR(__xludf.DUMMYFUNCTION("""COMPUTED_VALUE"""),"27-03-2026")</f>
        <v>27-03-2026</v>
      </c>
      <c r="B145" s="65">
        <f>IFERROR(__xludf.DUMMYFUNCTION("""COMPUTED_VALUE"""),4819090.0)</f>
        <v>4819090</v>
      </c>
      <c r="C145" s="65" t="str">
        <f>IFERROR(__xludf.DUMMYFUNCTION("""COMPUTED_VALUE"""),"14:29")</f>
        <v>14:29</v>
      </c>
      <c r="D145" s="65" t="str">
        <f>IFERROR(__xludf.DUMMYFUNCTION("""COMPUTED_VALUE"""),"16-03-2026")</f>
        <v>16-03-2026</v>
      </c>
      <c r="E145" s="65" t="str">
        <f>IFERROR(__xludf.DUMMYFUNCTION("""COMPUTED_VALUE"""),"ELVIS ILLESCAS")</f>
        <v>ELVIS ILLESCAS</v>
      </c>
      <c r="F145" s="65" t="str">
        <f>IFERROR(__xludf.DUMMYFUNCTION("""COMPUTED_VALUE"""),"963211602")</f>
        <v>963211602</v>
      </c>
      <c r="G145" s="65" t="str">
        <f>IFERROR(__xludf.DUMMYFUNCTION("""COMPUTED_VALUE"""),"elvisillescas1000@gmail.com")</f>
        <v>elvisillescas1000@gmail.com</v>
      </c>
      <c r="H145" s="65"/>
      <c r="I145" s="65"/>
      <c r="J145" s="65" t="str">
        <f>IFERROR(__xludf.DUMMYFUNCTION("""COMPUTED_VALUE"""),"D001423802")</f>
        <v>D001423802</v>
      </c>
      <c r="K145" s="65" t="str">
        <f>IFERROR(__xludf.DUMMYFUNCTION("""COMPUTED_VALUE"""),"NOVEDAD")</f>
        <v>NOVEDAD</v>
      </c>
      <c r="L145" s="65" t="str">
        <f>IFERROR(__xludf.DUMMYFUNCTION("""COMPUTED_VALUE"""),"CON RECAUDO")</f>
        <v>CON RECAUDO</v>
      </c>
      <c r="M145" s="65" t="str">
        <f>IFERROR(__xludf.DUMMYFUNCTION("""COMPUTED_VALUE"""),"GUAYAS")</f>
        <v>GUAYAS</v>
      </c>
      <c r="N145" s="65" t="str">
        <f>IFERROR(__xludf.DUMMYFUNCTION("""COMPUTED_VALUE"""),"GUAYAQUIL")</f>
        <v>GUAYAQUIL</v>
      </c>
      <c r="O145" s="65" t="str">
        <f>IFERROR(__xludf.DUMMYFUNCTION("""COMPUTED_VALUE"""),"Paraíso de la Flor , Cooperativa  Abraham Lincon , Ingresando por la Optica Gianni,  al frente del chifa,  portón de rejas color rojo")</f>
        <v>Paraíso de la Flor , Cooperativa  Abraham Lincon , Ingresando por la Optica Gianni,  al frente del chifa,  portón de rejas color rojo</v>
      </c>
      <c r="P145" s="65"/>
      <c r="Q145" s="65" t="str">
        <f>IFERROR(__xludf.DUMMYFUNCTION("""COMPUTED_VALUE"""),"GINTRACOM")</f>
        <v>GINTRACOM</v>
      </c>
      <c r="R145" s="65">
        <f>IFERROR(__xludf.DUMMYFUNCTION("""COMPUTED_VALUE"""),30.0)</f>
        <v>30</v>
      </c>
      <c r="S145" s="65"/>
      <c r="T145" s="65">
        <f>IFERROR(__xludf.DUMMYFUNCTION("""COMPUTED_VALUE"""),6.16)</f>
        <v>6.16</v>
      </c>
      <c r="U145" s="65">
        <f>IFERROR(__xludf.DUMMYFUNCTION("""COMPUTED_VALUE"""),0.0)</f>
        <v>0</v>
      </c>
      <c r="V145" s="65">
        <f>IFERROR(__xludf.DUMMYFUNCTION("""COMPUTED_VALUE"""),0.0)</f>
        <v>0</v>
      </c>
      <c r="W145" s="65">
        <f>IFERROR(__xludf.DUMMYFUNCTION("""COMPUTED_VALUE"""),0.0)</f>
        <v>0</v>
      </c>
      <c r="X145" s="65">
        <f>IFERROR(__xludf.DUMMYFUNCTION("""COMPUTED_VALUE"""),2.35)</f>
        <v>2.35</v>
      </c>
      <c r="Y145" s="65">
        <f>IFERROR(__xludf.DUMMYFUNCTION("""COMPUTED_VALUE"""),7.05)</f>
        <v>7.05</v>
      </c>
      <c r="Z145" s="65">
        <f>IFERROR(__xludf.DUMMYFUNCTION("""COMPUTED_VALUE"""),116679.0)</f>
        <v>116679</v>
      </c>
      <c r="AA145" s="65" t="str">
        <f>IFERROR(__xludf.DUMMYFUNCTION("""COMPUTED_VALUE"""),"AMC-2738")</f>
        <v>AMC-2738</v>
      </c>
      <c r="AB145" s="65"/>
      <c r="AC145" s="65" t="str">
        <f>IFERROR(__xludf.DUMMYFUNCTION("""COMPUTED_VALUE"""),"ESPONJA ANTILLUVIA DE PARABRISAS")</f>
        <v>ESPONJA ANTILLUVIA DE PARABRISAS</v>
      </c>
      <c r="AD145" s="65"/>
      <c r="AE145" s="65">
        <f>IFERROR(__xludf.DUMMYFUNCTION("""COMPUTED_VALUE"""),3.0)</f>
        <v>3</v>
      </c>
      <c r="AF145" s="65" t="str">
        <f>IFERROR(__xludf.DUMMYFUNCTION("""COMPUTED_VALUE"""),"DESTINATARIO NO CONTESTA LLAMADAS NI WHATSAPP")</f>
        <v>DESTINATARIO NO CONTESTA LLAMADAS NI WHATSAPP</v>
      </c>
      <c r="AG145" s="65" t="str">
        <f>IFERROR(__xludf.DUMMYFUNCTION("""COMPUTED_VALUE"""),"NO")</f>
        <v>NO</v>
      </c>
      <c r="AH145" s="65" t="str">
        <f>IFERROR(__xludf.DUMMYFUNCTION("""COMPUTED_VALUE"""),"09:00")</f>
        <v>09:00</v>
      </c>
      <c r="AI145" s="65" t="str">
        <f>IFERROR(__xludf.DUMMYFUNCTION("""COMPUTED_VALUE"""),"27-03-2026")</f>
        <v>27-03-2026</v>
      </c>
      <c r="AJ145" s="65"/>
      <c r="AK145" s="65"/>
      <c r="AL145" s="65"/>
      <c r="AM145" s="65"/>
      <c r="AN145" s="65" t="str">
        <f>IFERROR(__xludf.DUMMYFUNCTION("""COMPUTED_VALUE"""),"09:03")</f>
        <v>09:03</v>
      </c>
      <c r="AO145" s="65" t="str">
        <f>IFERROR(__xludf.DUMMYFUNCTION("""COMPUTED_VALUE"""),"27-03-2026")</f>
        <v>27-03-2026</v>
      </c>
      <c r="AP145" s="65" t="str">
        <f>IFERROR(__xludf.DUMMYFUNCTION("""COMPUTED_VALUE"""),"DESTINATARIO NO CONTESTA LLAMADAS NI WHATSAPP")</f>
        <v>DESTINATARIO NO CONTESTA LLAMADAS NI WHATSAPP</v>
      </c>
      <c r="AQ145" s="65" t="str">
        <f>IFERROR(__xludf.DUMMYFUNCTION("""COMPUTED_VALUE"""),"DESTINATARIO NO CONTESTA LLAMADAS NI WHATSAPP")</f>
        <v>DESTINATARIO NO CONTESTA LLAMADAS NI WHATSAPP</v>
      </c>
      <c r="AR145" s="65"/>
      <c r="AS145" s="65"/>
      <c r="AT145" s="65" t="str">
        <f>IFERROR(__xludf.DUMMYFUNCTION("""COMPUTED_VALUE"""),"SHOPIFY")</f>
        <v>SHOPIFY</v>
      </c>
      <c r="AU145" s="65" t="str">
        <f>IFERROR(__xludf.DUMMYFUNCTION("""COMPUTED_VALUE"""),"IMPORTEX EC")</f>
        <v>IMPORTEX EC</v>
      </c>
      <c r="AV145" s="65" t="str">
        <f>IFERROR(__xludf.DUMMYFUNCTION("""COMPUTED_VALUE"""),"6583320543276")</f>
        <v>6583320543276</v>
      </c>
      <c r="AW145" s="65">
        <f>IFERROR(__xludf.DUMMYFUNCTION("""COMPUTED_VALUE"""),6706.0)</f>
        <v>6706</v>
      </c>
      <c r="AX145" s="65"/>
      <c r="AY145" s="65" t="str">
        <f>IFERROR(__xludf.DUMMYFUNCTION("""COMPUTED_VALUE"""),"17/03/2026")</f>
        <v>17/03/2026</v>
      </c>
      <c r="AZ145" s="65"/>
      <c r="BA145" s="65"/>
    </row>
    <row r="146">
      <c r="A146" s="65" t="str">
        <f>IFERROR(__xludf.DUMMYFUNCTION("""COMPUTED_VALUE"""),"27-03-2026")</f>
        <v>27-03-2026</v>
      </c>
      <c r="B146" s="65">
        <f>IFERROR(__xludf.DUMMYFUNCTION("""COMPUTED_VALUE"""),4818937.0)</f>
        <v>4818937</v>
      </c>
      <c r="C146" s="65" t="str">
        <f>IFERROR(__xludf.DUMMYFUNCTION("""COMPUTED_VALUE"""),"14:16")</f>
        <v>14:16</v>
      </c>
      <c r="D146" s="65" t="str">
        <f>IFERROR(__xludf.DUMMYFUNCTION("""COMPUTED_VALUE"""),"16-03-2026")</f>
        <v>16-03-2026</v>
      </c>
      <c r="E146" s="65" t="str">
        <f>IFERROR(__xludf.DUMMYFUNCTION("""COMPUTED_VALUE"""),"Abraham Moreira Zamora")</f>
        <v>Abraham Moreira Zamora</v>
      </c>
      <c r="F146" s="65" t="str">
        <f>IFERROR(__xludf.DUMMYFUNCTION("""COMPUTED_VALUE"""),"990336787")</f>
        <v>990336787</v>
      </c>
      <c r="G146" s="65" t="str">
        <f>IFERROR(__xludf.DUMMYFUNCTION("""COMPUTED_VALUE"""),"abraham.moreira@unacem.ec")</f>
        <v>abraham.moreira@unacem.ec</v>
      </c>
      <c r="H146" s="65"/>
      <c r="I146" s="65"/>
      <c r="J146" s="65" t="str">
        <f>IFERROR(__xludf.DUMMYFUNCTION("""COMPUTED_VALUE"""),"LC53147420")</f>
        <v>LC53147420</v>
      </c>
      <c r="K146" s="65" t="str">
        <f>IFERROR(__xludf.DUMMYFUNCTION("""COMPUTED_VALUE"""),"ZONA DE ENTREGA")</f>
        <v>ZONA DE ENTREGA</v>
      </c>
      <c r="L146" s="65" t="str">
        <f>IFERROR(__xludf.DUMMYFUNCTION("""COMPUTED_VALUE"""),"CON RECAUDO")</f>
        <v>CON RECAUDO</v>
      </c>
      <c r="M146" s="65" t="str">
        <f>IFERROR(__xludf.DUMMYFUNCTION("""COMPUTED_VALUE"""),"SUCUMBIOS")</f>
        <v>SUCUMBIOS</v>
      </c>
      <c r="N146" s="65" t="str">
        <f>IFERROR(__xludf.DUMMYFUNCTION("""COMPUTED_VALUE"""),"NUEVA LOJA")</f>
        <v>NUEVA LOJA</v>
      </c>
      <c r="O146" s="65" t="str">
        <f>IFERROR(__xludf.DUMMYFUNCTION("""COMPUTED_VALUE"""),"Lago Agrio Barrio Israel km 6ymedio - Casa 13 Mz 3")</f>
        <v>Lago Agrio Barrio Israel km 6ymedio - Casa 13 Mz 3</v>
      </c>
      <c r="P146" s="65"/>
      <c r="Q146" s="65" t="str">
        <f>IFERROR(__xludf.DUMMYFUNCTION("""COMPUTED_VALUE"""),"LAARCOURIER")</f>
        <v>LAARCOURIER</v>
      </c>
      <c r="R146" s="65">
        <f>IFERROR(__xludf.DUMMYFUNCTION("""COMPUTED_VALUE"""),25.0)</f>
        <v>25</v>
      </c>
      <c r="S146" s="65"/>
      <c r="T146" s="65">
        <f>IFERROR(__xludf.DUMMYFUNCTION("""COMPUTED_VALUE"""),7.79)</f>
        <v>7.79</v>
      </c>
      <c r="U146" s="65">
        <f>IFERROR(__xludf.DUMMYFUNCTION("""COMPUTED_VALUE"""),0.0)</f>
        <v>0</v>
      </c>
      <c r="V146" s="65">
        <f>IFERROR(__xludf.DUMMYFUNCTION("""COMPUTED_VALUE"""),0.0)</f>
        <v>0</v>
      </c>
      <c r="W146" s="65">
        <f>IFERROR(__xludf.DUMMYFUNCTION("""COMPUTED_VALUE"""),0.0)</f>
        <v>0</v>
      </c>
      <c r="X146" s="65">
        <f>IFERROR(__xludf.DUMMYFUNCTION("""COMPUTED_VALUE"""),2.35)</f>
        <v>2.35</v>
      </c>
      <c r="Y146" s="65">
        <f>IFERROR(__xludf.DUMMYFUNCTION("""COMPUTED_VALUE"""),4.7)</f>
        <v>4.7</v>
      </c>
      <c r="Z146" s="65">
        <f>IFERROR(__xludf.DUMMYFUNCTION("""COMPUTED_VALUE"""),116679.0)</f>
        <v>116679</v>
      </c>
      <c r="AA146" s="65" t="str">
        <f>IFERROR(__xludf.DUMMYFUNCTION("""COMPUTED_VALUE"""),"AMC-2738")</f>
        <v>AMC-2738</v>
      </c>
      <c r="AB146" s="65"/>
      <c r="AC146" s="65" t="str">
        <f>IFERROR(__xludf.DUMMYFUNCTION("""COMPUTED_VALUE"""),"ESPONJA ANTILLUVIA DE PARABRISAS")</f>
        <v>ESPONJA ANTILLUVIA DE PARABRISAS</v>
      </c>
      <c r="AD146" s="65"/>
      <c r="AE146" s="65">
        <f>IFERROR(__xludf.DUMMYFUNCTION("""COMPUTED_VALUE"""),2.0)</f>
        <v>2</v>
      </c>
      <c r="AF146" s="65"/>
      <c r="AG146" s="65"/>
      <c r="AH146" s="65"/>
      <c r="AI146" s="65"/>
      <c r="AJ146" s="65"/>
      <c r="AK146" s="65"/>
      <c r="AL146" s="65"/>
      <c r="AM146" s="65"/>
      <c r="AN146" s="65" t="str">
        <f>IFERROR(__xludf.DUMMYFUNCTION("""COMPUTED_VALUE"""),"08:06")</f>
        <v>08:06</v>
      </c>
      <c r="AO146" s="65" t="str">
        <f>IFERROR(__xludf.DUMMYFUNCTION("""COMPUTED_VALUE"""),"27-03-2026")</f>
        <v>27-03-2026</v>
      </c>
      <c r="AP146" s="65" t="str">
        <f>IFERROR(__xludf.DUMMYFUNCTION("""COMPUTED_VALUE"""),"ZONA DE ENTREGA")</f>
        <v>ZONA DE ENTREGA</v>
      </c>
      <c r="AQ146" s="65" t="str">
        <f>IFERROR(__xludf.DUMMYFUNCTION("""COMPUTED_VALUE"""),"ZONA DE ENTREGA")</f>
        <v>ZONA DE ENTREGA</v>
      </c>
      <c r="AR146" s="65"/>
      <c r="AS146" s="65"/>
      <c r="AT146" s="65" t="str">
        <f>IFERROR(__xludf.DUMMYFUNCTION("""COMPUTED_VALUE"""),"SHOPIFY")</f>
        <v>SHOPIFY</v>
      </c>
      <c r="AU146" s="65" t="str">
        <f>IFERROR(__xludf.DUMMYFUNCTION("""COMPUTED_VALUE"""),"IMPORTEX EC")</f>
        <v>IMPORTEX EC</v>
      </c>
      <c r="AV146" s="65" t="str">
        <f>IFERROR(__xludf.DUMMYFUNCTION("""COMPUTED_VALUE"""),"6580283867180")</f>
        <v>6580283867180</v>
      </c>
      <c r="AW146" s="65">
        <f>IFERROR(__xludf.DUMMYFUNCTION("""COMPUTED_VALUE"""),6684.0)</f>
        <v>6684</v>
      </c>
      <c r="AX146" s="65"/>
      <c r="AY146" s="65" t="str">
        <f>IFERROR(__xludf.DUMMYFUNCTION("""COMPUTED_VALUE"""),"19/03/2026")</f>
        <v>19/03/2026</v>
      </c>
      <c r="AZ146" s="65"/>
      <c r="BA146" s="65"/>
    </row>
    <row r="147">
      <c r="A147" s="65" t="str">
        <f>IFERROR(__xludf.DUMMYFUNCTION("""COMPUTED_VALUE"""),"27-03-2026")</f>
        <v>27-03-2026</v>
      </c>
      <c r="B147" s="65">
        <f>IFERROR(__xludf.DUMMYFUNCTION("""COMPUTED_VALUE"""),4816516.0)</f>
        <v>4816516</v>
      </c>
      <c r="C147" s="65" t="str">
        <f>IFERROR(__xludf.DUMMYFUNCTION("""COMPUTED_VALUE"""),"11:02")</f>
        <v>11:02</v>
      </c>
      <c r="D147" s="65" t="str">
        <f>IFERROR(__xludf.DUMMYFUNCTION("""COMPUTED_VALUE"""),"16-03-2026")</f>
        <v>16-03-2026</v>
      </c>
      <c r="E147" s="65" t="str">
        <f>IFERROR(__xludf.DUMMYFUNCTION("""COMPUTED_VALUE"""),"César Sanabria")</f>
        <v>César Sanabria</v>
      </c>
      <c r="F147" s="65" t="str">
        <f>IFERROR(__xludf.DUMMYFUNCTION("""COMPUTED_VALUE"""),"967598550")</f>
        <v>967598550</v>
      </c>
      <c r="G147" s="65" t="str">
        <f>IFERROR(__xludf.DUMMYFUNCTION("""COMPUTED_VALUE"""),"cesitar1073@gmail.com")</f>
        <v>cesitar1073@gmail.com</v>
      </c>
      <c r="H147" s="65"/>
      <c r="I147" s="65"/>
      <c r="J147" s="65"/>
      <c r="K147" s="65" t="str">
        <f>IFERROR(__xludf.DUMMYFUNCTION("""COMPUTED_VALUE"""),"CANCELADO")</f>
        <v>CANCELADO</v>
      </c>
      <c r="L147" s="65" t="str">
        <f>IFERROR(__xludf.DUMMYFUNCTION("""COMPUTED_VALUE"""),"CON RECAUDO")</f>
        <v>CON RECAUDO</v>
      </c>
      <c r="M147" s="65" t="str">
        <f>IFERROR(__xludf.DUMMYFUNCTION("""COMPUTED_VALUE"""),"BOLIVAR")</f>
        <v>BOLIVAR</v>
      </c>
      <c r="N147" s="65" t="str">
        <f>IFERROR(__xludf.DUMMYFUNCTION("""COMPUTED_VALUE"""),"SAN MIGUEL DE BOLIVAR")</f>
        <v>SAN MIGUEL DE BOLIVAR</v>
      </c>
      <c r="O147" s="65" t="str">
        <f>IFERROR(__xludf.DUMMYFUNCTION("""COMPUTED_VALUE"""),"Avenida el maestro No hay -")</f>
        <v>Avenida el maestro No hay -</v>
      </c>
      <c r="P147" s="65"/>
      <c r="Q147" s="65" t="str">
        <f>IFERROR(__xludf.DUMMYFUNCTION("""COMPUTED_VALUE"""),"GINTRACOM")</f>
        <v>GINTRACOM</v>
      </c>
      <c r="R147" s="65">
        <f>IFERROR(__xludf.DUMMYFUNCTION("""COMPUTED_VALUE"""),20.0)</f>
        <v>20</v>
      </c>
      <c r="S147" s="65"/>
      <c r="T147" s="65">
        <f>IFERROR(__xludf.DUMMYFUNCTION("""COMPUTED_VALUE"""),6.33)</f>
        <v>6.33</v>
      </c>
      <c r="U147" s="65">
        <f>IFERROR(__xludf.DUMMYFUNCTION("""COMPUTED_VALUE"""),0.0)</f>
        <v>0</v>
      </c>
      <c r="V147" s="65">
        <f>IFERROR(__xludf.DUMMYFUNCTION("""COMPUTED_VALUE"""),0.0)</f>
        <v>0</v>
      </c>
      <c r="W147" s="65">
        <f>IFERROR(__xludf.DUMMYFUNCTION("""COMPUTED_VALUE"""),0.0)</f>
        <v>0</v>
      </c>
      <c r="X147" s="65">
        <f>IFERROR(__xludf.DUMMYFUNCTION("""COMPUTED_VALUE"""),2.35)</f>
        <v>2.35</v>
      </c>
      <c r="Y147" s="65">
        <f>IFERROR(__xludf.DUMMYFUNCTION("""COMPUTED_VALUE"""),2.35)</f>
        <v>2.35</v>
      </c>
      <c r="Z147" s="65">
        <f>IFERROR(__xludf.DUMMYFUNCTION("""COMPUTED_VALUE"""),116679.0)</f>
        <v>116679</v>
      </c>
      <c r="AA147" s="65" t="str">
        <f>IFERROR(__xludf.DUMMYFUNCTION("""COMPUTED_VALUE"""),"AMC-2738")</f>
        <v>AMC-2738</v>
      </c>
      <c r="AB147" s="65"/>
      <c r="AC147" s="65" t="str">
        <f>IFERROR(__xludf.DUMMYFUNCTION("""COMPUTED_VALUE"""),"ESPONJA ANTILLUVIA DE PARABRISAS")</f>
        <v>ESPONJA ANTILLUVIA DE PARABRISAS</v>
      </c>
      <c r="AD147" s="65"/>
      <c r="AE147" s="65">
        <f>IFERROR(__xludf.DUMMYFUNCTION("""COMPUTED_VALUE"""),1.0)</f>
        <v>1</v>
      </c>
      <c r="AF147" s="65"/>
      <c r="AG147" s="65"/>
      <c r="AH147" s="65"/>
      <c r="AI147" s="65"/>
      <c r="AJ147" s="65"/>
      <c r="AK147" s="65"/>
      <c r="AL147" s="65"/>
      <c r="AM147" s="65"/>
      <c r="AN147" s="65"/>
      <c r="AO147" s="65"/>
      <c r="AP147" s="65"/>
      <c r="AQ147" s="65"/>
      <c r="AR147" s="65"/>
      <c r="AS147" s="65"/>
      <c r="AT147" s="65" t="str">
        <f>IFERROR(__xludf.DUMMYFUNCTION("""COMPUTED_VALUE"""),"SHOPIFY")</f>
        <v>SHOPIFY</v>
      </c>
      <c r="AU147" s="65" t="str">
        <f>IFERROR(__xludf.DUMMYFUNCTION("""COMPUTED_VALUE"""),"IMPORTEX EC")</f>
        <v>IMPORTEX EC</v>
      </c>
      <c r="AV147" s="65" t="str">
        <f>IFERROR(__xludf.DUMMYFUNCTION("""COMPUTED_VALUE"""),"6578018484268")</f>
        <v>6578018484268</v>
      </c>
      <c r="AW147" s="65">
        <f>IFERROR(__xludf.DUMMYFUNCTION("""COMPUTED_VALUE"""),6667.0)</f>
        <v>6667</v>
      </c>
      <c r="AX147" s="65"/>
      <c r="AY147" s="65"/>
      <c r="AZ147" s="65"/>
      <c r="BA147" s="65"/>
    </row>
    <row r="148">
      <c r="A148" s="65" t="str">
        <f>IFERROR(__xludf.DUMMYFUNCTION("""COMPUTED_VALUE"""),"27-03-2026")</f>
        <v>27-03-2026</v>
      </c>
      <c r="B148" s="65">
        <f>IFERROR(__xludf.DUMMYFUNCTION("""COMPUTED_VALUE"""),4816291.0)</f>
        <v>4816291</v>
      </c>
      <c r="C148" s="65" t="str">
        <f>IFERROR(__xludf.DUMMYFUNCTION("""COMPUTED_VALUE"""),"10:50")</f>
        <v>10:50</v>
      </c>
      <c r="D148" s="65" t="str">
        <f>IFERROR(__xludf.DUMMYFUNCTION("""COMPUTED_VALUE"""),"16-03-2026")</f>
        <v>16-03-2026</v>
      </c>
      <c r="E148" s="65" t="str">
        <f>IFERROR(__xludf.DUMMYFUNCTION("""COMPUTED_VALUE"""),"Galo Erazo")</f>
        <v>Galo Erazo</v>
      </c>
      <c r="F148" s="65" t="str">
        <f>IFERROR(__xludf.DUMMYFUNCTION("""COMPUTED_VALUE"""),"960164118")</f>
        <v>960164118</v>
      </c>
      <c r="G148" s="65"/>
      <c r="H148" s="65"/>
      <c r="I148" s="65"/>
      <c r="J148" s="65" t="str">
        <f>IFERROR(__xludf.DUMMYFUNCTION("""COMPUTED_VALUE"""),"D001423810")</f>
        <v>D001423810</v>
      </c>
      <c r="K148" s="65" t="str">
        <f>IFERROR(__xludf.DUMMYFUNCTION("""COMPUTED_VALUE"""),"ENTREGADO")</f>
        <v>ENTREGADO</v>
      </c>
      <c r="L148" s="65" t="str">
        <f>IFERROR(__xludf.DUMMYFUNCTION("""COMPUTED_VALUE"""),"CON RECAUDO")</f>
        <v>CON RECAUDO</v>
      </c>
      <c r="M148" s="65" t="str">
        <f>IFERROR(__xludf.DUMMYFUNCTION("""COMPUTED_VALUE"""),"EL ORO")</f>
        <v>EL ORO</v>
      </c>
      <c r="N148" s="65" t="str">
        <f>IFERROR(__xludf.DUMMYFUNCTION("""COMPUTED_VALUE"""),"MACHALA")</f>
        <v>MACHALA</v>
      </c>
      <c r="O148" s="65" t="str">
        <f>IFERROR(__xludf.DUMMYFUNCTION("""COMPUTED_VALUE"""),"Calles 25 de Junio y Juan Montalvo (Local PUNTO PAGO) , REFERECIA:  frente al centro comercial Ugarte")</f>
        <v>Calles 25 de Junio y Juan Montalvo (Local PUNTO PAGO) , REFERECIA:  frente al centro comercial Ugarte</v>
      </c>
      <c r="P148" s="65"/>
      <c r="Q148" s="65" t="str">
        <f>IFERROR(__xludf.DUMMYFUNCTION("""COMPUTED_VALUE"""),"GINTRACOM")</f>
        <v>GINTRACOM</v>
      </c>
      <c r="R148" s="65">
        <f>IFERROR(__xludf.DUMMYFUNCTION("""COMPUTED_VALUE"""),25.0)</f>
        <v>25</v>
      </c>
      <c r="S148" s="65">
        <f>IFERROR(__xludf.DUMMYFUNCTION("""COMPUTED_VALUE"""),14.34)</f>
        <v>14.34</v>
      </c>
      <c r="T148" s="65">
        <f>IFERROR(__xludf.DUMMYFUNCTION("""COMPUTED_VALUE"""),5.96)</f>
        <v>5.96</v>
      </c>
      <c r="U148" s="65">
        <f>IFERROR(__xludf.DUMMYFUNCTION("""COMPUTED_VALUE"""),0.0)</f>
        <v>0</v>
      </c>
      <c r="V148" s="65">
        <f>IFERROR(__xludf.DUMMYFUNCTION("""COMPUTED_VALUE"""),0.0)</f>
        <v>0</v>
      </c>
      <c r="W148" s="65">
        <f>IFERROR(__xludf.DUMMYFUNCTION("""COMPUTED_VALUE"""),0.0)</f>
        <v>0</v>
      </c>
      <c r="X148" s="65">
        <f>IFERROR(__xludf.DUMMYFUNCTION("""COMPUTED_VALUE"""),2.35)</f>
        <v>2.35</v>
      </c>
      <c r="Y148" s="65">
        <f>IFERROR(__xludf.DUMMYFUNCTION("""COMPUTED_VALUE"""),4.7)</f>
        <v>4.7</v>
      </c>
      <c r="Z148" s="65">
        <f>IFERROR(__xludf.DUMMYFUNCTION("""COMPUTED_VALUE"""),116679.0)</f>
        <v>116679</v>
      </c>
      <c r="AA148" s="65" t="str">
        <f>IFERROR(__xludf.DUMMYFUNCTION("""COMPUTED_VALUE"""),"AMC-2738")</f>
        <v>AMC-2738</v>
      </c>
      <c r="AB148" s="65"/>
      <c r="AC148" s="65" t="str">
        <f>IFERROR(__xludf.DUMMYFUNCTION("""COMPUTED_VALUE"""),"ESPONJA ANTILLUVIA DE PARABRISAS")</f>
        <v>ESPONJA ANTILLUVIA DE PARABRISAS</v>
      </c>
      <c r="AD148" s="65"/>
      <c r="AE148" s="65">
        <f>IFERROR(__xludf.DUMMYFUNCTION("""COMPUTED_VALUE"""),2.0)</f>
        <v>2</v>
      </c>
      <c r="AF148" s="65"/>
      <c r="AG148" s="65"/>
      <c r="AH148" s="65"/>
      <c r="AI148" s="65"/>
      <c r="AJ148" s="65"/>
      <c r="AK148" s="65"/>
      <c r="AL148" s="65"/>
      <c r="AM148" s="65"/>
      <c r="AN148" s="65" t="str">
        <f>IFERROR(__xludf.DUMMYFUNCTION("""COMPUTED_VALUE"""),"15:19")</f>
        <v>15:19</v>
      </c>
      <c r="AO148" s="65" t="str">
        <f>IFERROR(__xludf.DUMMYFUNCTION("""COMPUTED_VALUE"""),"19-03-2026")</f>
        <v>19-03-2026</v>
      </c>
      <c r="AP148" s="65" t="str">
        <f>IFERROR(__xludf.DUMMYFUNCTION("""COMPUTED_VALUE"""),"EN REPARTO")</f>
        <v>EN REPARTO</v>
      </c>
      <c r="AQ148" s="65" t="str">
        <f>IFERROR(__xludf.DUMMYFUNCTION("""COMPUTED_VALUE"""),"EN REPARTO")</f>
        <v>EN REPARTO</v>
      </c>
      <c r="AR148" s="65"/>
      <c r="AS148" s="65"/>
      <c r="AT148" s="65" t="str">
        <f>IFERROR(__xludf.DUMMYFUNCTION("""COMPUTED_VALUE"""),"SHOPIFY")</f>
        <v>SHOPIFY</v>
      </c>
      <c r="AU148" s="65" t="str">
        <f>IFERROR(__xludf.DUMMYFUNCTION("""COMPUTED_VALUE"""),"IMPORTEX EC")</f>
        <v>IMPORTEX EC</v>
      </c>
      <c r="AV148" s="65" t="str">
        <f>IFERROR(__xludf.DUMMYFUNCTION("""COMPUTED_VALUE"""),"6582812278828")</f>
        <v>6582812278828</v>
      </c>
      <c r="AW148" s="65">
        <f>IFERROR(__xludf.DUMMYFUNCTION("""COMPUTED_VALUE"""),6704.0)</f>
        <v>6704</v>
      </c>
      <c r="AX148" s="65"/>
      <c r="AY148" s="65" t="str">
        <f>IFERROR(__xludf.DUMMYFUNCTION("""COMPUTED_VALUE"""),"17/03/2026")</f>
        <v>17/03/2026</v>
      </c>
      <c r="AZ148" s="65"/>
      <c r="BA148" s="65"/>
    </row>
    <row r="149">
      <c r="A149" s="65" t="str">
        <f>IFERROR(__xludf.DUMMYFUNCTION("""COMPUTED_VALUE"""),"27-03-2026")</f>
        <v>27-03-2026</v>
      </c>
      <c r="B149" s="65">
        <f>IFERROR(__xludf.DUMMYFUNCTION("""COMPUTED_VALUE"""),4814438.0)</f>
        <v>4814438</v>
      </c>
      <c r="C149" s="65" t="str">
        <f>IFERROR(__xludf.DUMMYFUNCTION("""COMPUTED_VALUE"""),"08:42")</f>
        <v>08:42</v>
      </c>
      <c r="D149" s="65" t="str">
        <f>IFERROR(__xludf.DUMMYFUNCTION("""COMPUTED_VALUE"""),"16-03-2026")</f>
        <v>16-03-2026</v>
      </c>
      <c r="E149" s="65" t="str">
        <f>IFERROR(__xludf.DUMMYFUNCTION("""COMPUTED_VALUE"""),"Mauricio Ortega")</f>
        <v>Mauricio Ortega</v>
      </c>
      <c r="F149" s="65" t="str">
        <f>IFERROR(__xludf.DUMMYFUNCTION("""COMPUTED_VALUE"""),"995252772")</f>
        <v>995252772</v>
      </c>
      <c r="G149" s="65" t="str">
        <f>IFERROR(__xludf.DUMMYFUNCTION("""COMPUTED_VALUE"""),"msebasdelpozo@hotmail.com")</f>
        <v>msebasdelpozo@hotmail.com</v>
      </c>
      <c r="H149" s="65"/>
      <c r="I149" s="65"/>
      <c r="J149" s="65" t="str">
        <f>IFERROR(__xludf.DUMMYFUNCTION("""COMPUTED_VALUE"""),"D001423817")</f>
        <v>D001423817</v>
      </c>
      <c r="K149" s="65" t="str">
        <f>IFERROR(__xludf.DUMMYFUNCTION("""COMPUTED_VALUE"""),"ENTREGADO")</f>
        <v>ENTREGADO</v>
      </c>
      <c r="L149" s="65" t="str">
        <f>IFERROR(__xludf.DUMMYFUNCTION("""COMPUTED_VALUE"""),"CON RECAUDO")</f>
        <v>CON RECAUDO</v>
      </c>
      <c r="M149" s="65" t="str">
        <f>IFERROR(__xludf.DUMMYFUNCTION("""COMPUTED_VALUE"""),"PICHINCHA")</f>
        <v>PICHINCHA</v>
      </c>
      <c r="N149" s="65" t="str">
        <f>IFERROR(__xludf.DUMMYFUNCTION("""COMPUTED_VALUE"""),"QUITO")</f>
        <v>QUITO</v>
      </c>
      <c r="O149" s="65" t="str">
        <f>IFERROR(__xludf.DUMMYFUNCTION("""COMPUTED_VALUE"""),"Calle E14 y de los Cardos,  Sector el Inca - en el  callejón al fondo.")</f>
        <v>Calle E14 y de los Cardos,  Sector el Inca - en el  callejón al fondo.</v>
      </c>
      <c r="P149" s="65"/>
      <c r="Q149" s="65" t="str">
        <f>IFERROR(__xludf.DUMMYFUNCTION("""COMPUTED_VALUE"""),"GINTRACOM")</f>
        <v>GINTRACOM</v>
      </c>
      <c r="R149" s="65">
        <f>IFERROR(__xludf.DUMMYFUNCTION("""COMPUTED_VALUE"""),20.0)</f>
        <v>20</v>
      </c>
      <c r="S149" s="65">
        <f>IFERROR(__xludf.DUMMYFUNCTION("""COMPUTED_VALUE"""),13.5)</f>
        <v>13.5</v>
      </c>
      <c r="T149" s="65">
        <f>IFERROR(__xludf.DUMMYFUNCTION("""COMPUTED_VALUE"""),4.15)</f>
        <v>4.15</v>
      </c>
      <c r="U149" s="65">
        <f>IFERROR(__xludf.DUMMYFUNCTION("""COMPUTED_VALUE"""),0.0)</f>
        <v>0</v>
      </c>
      <c r="V149" s="65">
        <f>IFERROR(__xludf.DUMMYFUNCTION("""COMPUTED_VALUE"""),0.0)</f>
        <v>0</v>
      </c>
      <c r="W149" s="65">
        <f>IFERROR(__xludf.DUMMYFUNCTION("""COMPUTED_VALUE"""),0.0)</f>
        <v>0</v>
      </c>
      <c r="X149" s="65">
        <f>IFERROR(__xludf.DUMMYFUNCTION("""COMPUTED_VALUE"""),2.35)</f>
        <v>2.35</v>
      </c>
      <c r="Y149" s="65">
        <f>IFERROR(__xludf.DUMMYFUNCTION("""COMPUTED_VALUE"""),2.35)</f>
        <v>2.35</v>
      </c>
      <c r="Z149" s="65">
        <f>IFERROR(__xludf.DUMMYFUNCTION("""COMPUTED_VALUE"""),116679.0)</f>
        <v>116679</v>
      </c>
      <c r="AA149" s="65" t="str">
        <f>IFERROR(__xludf.DUMMYFUNCTION("""COMPUTED_VALUE"""),"AMC-2738")</f>
        <v>AMC-2738</v>
      </c>
      <c r="AB149" s="65"/>
      <c r="AC149" s="65" t="str">
        <f>IFERROR(__xludf.DUMMYFUNCTION("""COMPUTED_VALUE"""),"ESPONJA ANTILLUVIA DE PARABRISAS")</f>
        <v>ESPONJA ANTILLUVIA DE PARABRISAS</v>
      </c>
      <c r="AD149" s="65"/>
      <c r="AE149" s="65">
        <f>IFERROR(__xludf.DUMMYFUNCTION("""COMPUTED_VALUE"""),1.0)</f>
        <v>1</v>
      </c>
      <c r="AF149" s="65" t="str">
        <f>IFERROR(__xludf.DUMMYFUNCTION("""COMPUTED_VALUE"""),"DESTINATARIO NO SE ENCUENTRA EN LUGAR DE ENTREGA.")</f>
        <v>DESTINATARIO NO SE ENCUENTRA EN LUGAR DE ENTREGA.</v>
      </c>
      <c r="AG149" s="65" t="str">
        <f>IFERROR(__xludf.DUMMYFUNCTION("""COMPUTED_VALUE"""),"SI")</f>
        <v>SI</v>
      </c>
      <c r="AH149" s="65" t="str">
        <f>IFERROR(__xludf.DUMMYFUNCTION("""COMPUTED_VALUE"""),"09:43")</f>
        <v>09:43</v>
      </c>
      <c r="AI149" s="65" t="str">
        <f>IFERROR(__xludf.DUMMYFUNCTION("""COMPUTED_VALUE"""),"18-03-2026")</f>
        <v>18-03-2026</v>
      </c>
      <c r="AJ149" s="65" t="str">
        <f>IFERROR(__xludf.DUMMYFUNCTION("""COMPUTED_VALUE"""),"El cliente requiere entrega inmediata; por favor, coordinar directamente con él para concretar la entrega.")</f>
        <v>El cliente requiere entrega inmediata; por favor, coordinar directamente con él para concretar la entrega.</v>
      </c>
      <c r="AK149" s="65" t="str">
        <f>IFERROR(__xludf.DUMMYFUNCTION("""COMPUTED_VALUE"""),"10:16")</f>
        <v>10:16</v>
      </c>
      <c r="AL149" s="65" t="str">
        <f>IFERROR(__xludf.DUMMYFUNCTION("""COMPUTED_VALUE"""),"19-03-2026")</f>
        <v>19-03-2026</v>
      </c>
      <c r="AM149" s="65"/>
      <c r="AN149" s="65" t="str">
        <f>IFERROR(__xludf.DUMMYFUNCTION("""COMPUTED_VALUE"""),"13:11")</f>
        <v>13:11</v>
      </c>
      <c r="AO149" s="65" t="str">
        <f>IFERROR(__xludf.DUMMYFUNCTION("""COMPUTED_VALUE"""),"20-03-2026")</f>
        <v>20-03-2026</v>
      </c>
      <c r="AP149" s="65" t="str">
        <f>IFERROR(__xludf.DUMMYFUNCTION("""COMPUTED_VALUE"""),"ENTREGADA GINTRACOM")</f>
        <v>ENTREGADA GINTRACOM</v>
      </c>
      <c r="AQ149" s="65" t="str">
        <f>IFERROR(__xludf.DUMMYFUNCTION("""COMPUTED_VALUE"""),"ENTREGADA GINTRACOM")</f>
        <v>ENTREGADA GINTRACOM</v>
      </c>
      <c r="AR149" s="65"/>
      <c r="AS149" s="65"/>
      <c r="AT149" s="65" t="str">
        <f>IFERROR(__xludf.DUMMYFUNCTION("""COMPUTED_VALUE"""),"SHOPIFY")</f>
        <v>SHOPIFY</v>
      </c>
      <c r="AU149" s="65" t="str">
        <f>IFERROR(__xludf.DUMMYFUNCTION("""COMPUTED_VALUE"""),"IMPORTEX EC")</f>
        <v>IMPORTEX EC</v>
      </c>
      <c r="AV149" s="65" t="str">
        <f>IFERROR(__xludf.DUMMYFUNCTION("""COMPUTED_VALUE"""),"6582587916332")</f>
        <v>6582587916332</v>
      </c>
      <c r="AW149" s="65">
        <f>IFERROR(__xludf.DUMMYFUNCTION("""COMPUTED_VALUE"""),6703.0)</f>
        <v>6703</v>
      </c>
      <c r="AX149" s="65"/>
      <c r="AY149" s="65" t="str">
        <f>IFERROR(__xludf.DUMMYFUNCTION("""COMPUTED_VALUE"""),"17/03/2026")</f>
        <v>17/03/2026</v>
      </c>
      <c r="AZ149" s="65"/>
      <c r="BA149" s="65"/>
    </row>
    <row r="150">
      <c r="A150" s="65" t="str">
        <f>IFERROR(__xludf.DUMMYFUNCTION("""COMPUTED_VALUE"""),"27-03-2026")</f>
        <v>27-03-2026</v>
      </c>
      <c r="B150" s="65">
        <f>IFERROR(__xludf.DUMMYFUNCTION("""COMPUTED_VALUE"""),4813891.0)</f>
        <v>4813891</v>
      </c>
      <c r="C150" s="65" t="str">
        <f>IFERROR(__xludf.DUMMYFUNCTION("""COMPUTED_VALUE"""),"07:48")</f>
        <v>07:48</v>
      </c>
      <c r="D150" s="65" t="str">
        <f>IFERROR(__xludf.DUMMYFUNCTION("""COMPUTED_VALUE"""),"16-03-2026")</f>
        <v>16-03-2026</v>
      </c>
      <c r="E150" s="65" t="str">
        <f>IFERROR(__xludf.DUMMYFUNCTION("""COMPUTED_VALUE"""),"Geovanni Naranjo")</f>
        <v>Geovanni Naranjo</v>
      </c>
      <c r="F150" s="65" t="str">
        <f>IFERROR(__xludf.DUMMYFUNCTION("""COMPUTED_VALUE"""),"999674949")</f>
        <v>999674949</v>
      </c>
      <c r="G150" s="65" t="str">
        <f>IFERROR(__xludf.DUMMYFUNCTION("""COMPUTED_VALUE"""),"geovanni_naranjo@hotmail.com")</f>
        <v>geovanni_naranjo@hotmail.com</v>
      </c>
      <c r="H150" s="65"/>
      <c r="I150" s="65"/>
      <c r="J150" s="65" t="str">
        <f>IFERROR(__xludf.DUMMYFUNCTION("""COMPUTED_VALUE"""),"D001423819")</f>
        <v>D001423819</v>
      </c>
      <c r="K150" s="65" t="str">
        <f>IFERROR(__xludf.DUMMYFUNCTION("""COMPUTED_VALUE"""),"NOVEDAD SOLUCIONADA")</f>
        <v>NOVEDAD SOLUCIONADA</v>
      </c>
      <c r="L150" s="65" t="str">
        <f>IFERROR(__xludf.DUMMYFUNCTION("""COMPUTED_VALUE"""),"CON RECAUDO")</f>
        <v>CON RECAUDO</v>
      </c>
      <c r="M150" s="65" t="str">
        <f>IFERROR(__xludf.DUMMYFUNCTION("""COMPUTED_VALUE"""),"CHIMBORAZO")</f>
        <v>CHIMBORAZO</v>
      </c>
      <c r="N150" s="65" t="str">
        <f>IFERROR(__xludf.DUMMYFUNCTION("""COMPUTED_VALUE"""),"RIOBAMBA")</f>
        <v>RIOBAMBA</v>
      </c>
      <c r="O150" s="65" t="str">
        <f>IFERROR(__xludf.DUMMYFUNCTION("""COMPUTED_VALUE"""),"Av. Cesar Davila Andrade y La Floresta , Oficina de GN Inmobiliaria, Guano.")</f>
        <v>Av. Cesar Davila Andrade y La Floresta , Oficina de GN Inmobiliaria, Guano.</v>
      </c>
      <c r="P150" s="65"/>
      <c r="Q150" s="65" t="str">
        <f>IFERROR(__xludf.DUMMYFUNCTION("""COMPUTED_VALUE"""),"GINTRACOM")</f>
        <v>GINTRACOM</v>
      </c>
      <c r="R150" s="65">
        <f>IFERROR(__xludf.DUMMYFUNCTION("""COMPUTED_VALUE"""),30.0)</f>
        <v>30</v>
      </c>
      <c r="S150" s="65"/>
      <c r="T150" s="65">
        <f>IFERROR(__xludf.DUMMYFUNCTION("""COMPUTED_VALUE"""),6.16)</f>
        <v>6.16</v>
      </c>
      <c r="U150" s="65">
        <f>IFERROR(__xludf.DUMMYFUNCTION("""COMPUTED_VALUE"""),0.0)</f>
        <v>0</v>
      </c>
      <c r="V150" s="65">
        <f>IFERROR(__xludf.DUMMYFUNCTION("""COMPUTED_VALUE"""),0.0)</f>
        <v>0</v>
      </c>
      <c r="W150" s="65">
        <f>IFERROR(__xludf.DUMMYFUNCTION("""COMPUTED_VALUE"""),0.0)</f>
        <v>0</v>
      </c>
      <c r="X150" s="65">
        <f>IFERROR(__xludf.DUMMYFUNCTION("""COMPUTED_VALUE"""),2.35)</f>
        <v>2.35</v>
      </c>
      <c r="Y150" s="65">
        <f>IFERROR(__xludf.DUMMYFUNCTION("""COMPUTED_VALUE"""),7.05)</f>
        <v>7.05</v>
      </c>
      <c r="Z150" s="65">
        <f>IFERROR(__xludf.DUMMYFUNCTION("""COMPUTED_VALUE"""),116679.0)</f>
        <v>116679</v>
      </c>
      <c r="AA150" s="65" t="str">
        <f>IFERROR(__xludf.DUMMYFUNCTION("""COMPUTED_VALUE"""),"AMC-2738")</f>
        <v>AMC-2738</v>
      </c>
      <c r="AB150" s="65"/>
      <c r="AC150" s="65" t="str">
        <f>IFERROR(__xludf.DUMMYFUNCTION("""COMPUTED_VALUE"""),"ESPONJA ANTILLUVIA DE PARABRISAS")</f>
        <v>ESPONJA ANTILLUVIA DE PARABRISAS</v>
      </c>
      <c r="AD150" s="65"/>
      <c r="AE150" s="65">
        <f>IFERROR(__xludf.DUMMYFUNCTION("""COMPUTED_VALUE"""),3.0)</f>
        <v>3</v>
      </c>
      <c r="AF150" s="65" t="str">
        <f>IFERROR(__xludf.DUMMYFUNCTION("""COMPUTED_VALUE"""),"DESTINATARIO NO CONTESTA LLAMADAS NI WHATSAPP")</f>
        <v>DESTINATARIO NO CONTESTA LLAMADAS NI WHATSAPP</v>
      </c>
      <c r="AG150" s="65" t="str">
        <f>IFERROR(__xludf.DUMMYFUNCTION("""COMPUTED_VALUE"""),"SI")</f>
        <v>SI</v>
      </c>
      <c r="AH150" s="65" t="str">
        <f>IFERROR(__xludf.DUMMYFUNCTION("""COMPUTED_VALUE"""),"14:01")</f>
        <v>14:01</v>
      </c>
      <c r="AI150" s="65" t="str">
        <f>IFERROR(__xludf.DUMMYFUNCTION("""COMPUTED_VALUE"""),"20-03-2026")</f>
        <v>20-03-2026</v>
      </c>
      <c r="AJ150" s="65" t="str">
        <f>IFERROR(__xludf.DUMMYFUNCTION("""COMPUTED_VALUE"""),"El cliente requiere entrega inmediata; por favor, coordinar directamente con él para concretar la entrega.")</f>
        <v>El cliente requiere entrega inmediata; por favor, coordinar directamente con él para concretar la entrega.</v>
      </c>
      <c r="AK150" s="65" t="str">
        <f>IFERROR(__xludf.DUMMYFUNCTION("""COMPUTED_VALUE"""),"10:36")</f>
        <v>10:36</v>
      </c>
      <c r="AL150" s="65" t="str">
        <f>IFERROR(__xludf.DUMMYFUNCTION("""COMPUTED_VALUE"""),"23-03-2026")</f>
        <v>23-03-2026</v>
      </c>
      <c r="AM150" s="65"/>
      <c r="AN150" s="65" t="str">
        <f>IFERROR(__xludf.DUMMYFUNCTION("""COMPUTED_VALUE"""),"10:36")</f>
        <v>10:36</v>
      </c>
      <c r="AO150" s="65" t="str">
        <f>IFERROR(__xludf.DUMMYFUNCTION("""COMPUTED_VALUE"""),"23-03-2026")</f>
        <v>23-03-2026</v>
      </c>
      <c r="AP150" s="65" t="str">
        <f>IFERROR(__xludf.DUMMYFUNCTION("""COMPUTED_VALUE"""),"SOLUCION APROBADA")</f>
        <v>SOLUCION APROBADA</v>
      </c>
      <c r="AQ150" s="65" t="str">
        <f>IFERROR(__xludf.DUMMYFUNCTION("""COMPUTED_VALUE"""),"SOLUCION APROBADA")</f>
        <v>SOLUCION APROBADA</v>
      </c>
      <c r="AR150" s="65"/>
      <c r="AS150" s="65"/>
      <c r="AT150" s="65" t="str">
        <f>IFERROR(__xludf.DUMMYFUNCTION("""COMPUTED_VALUE"""),"SHOPIFY")</f>
        <v>SHOPIFY</v>
      </c>
      <c r="AU150" s="65" t="str">
        <f>IFERROR(__xludf.DUMMYFUNCTION("""COMPUTED_VALUE"""),"IMPORTEX EC")</f>
        <v>IMPORTEX EC</v>
      </c>
      <c r="AV150" s="65" t="str">
        <f>IFERROR(__xludf.DUMMYFUNCTION("""COMPUTED_VALUE"""),"6582517366828")</f>
        <v>6582517366828</v>
      </c>
      <c r="AW150" s="65">
        <f>IFERROR(__xludf.DUMMYFUNCTION("""COMPUTED_VALUE"""),6702.0)</f>
        <v>6702</v>
      </c>
      <c r="AX150" s="65"/>
      <c r="AY150" s="65" t="str">
        <f>IFERROR(__xludf.DUMMYFUNCTION("""COMPUTED_VALUE"""),"17/03/2026")</f>
        <v>17/03/2026</v>
      </c>
      <c r="AZ150" s="65"/>
      <c r="BA150" s="65"/>
    </row>
    <row r="151">
      <c r="A151" s="65" t="str">
        <f>IFERROR(__xludf.DUMMYFUNCTION("""COMPUTED_VALUE"""),"27-03-2026")</f>
        <v>27-03-2026</v>
      </c>
      <c r="B151" s="65">
        <f>IFERROR(__xludf.DUMMYFUNCTION("""COMPUTED_VALUE"""),4813771.0)</f>
        <v>4813771</v>
      </c>
      <c r="C151" s="65" t="str">
        <f>IFERROR(__xludf.DUMMYFUNCTION("""COMPUTED_VALUE"""),"07:33")</f>
        <v>07:33</v>
      </c>
      <c r="D151" s="65" t="str">
        <f>IFERROR(__xludf.DUMMYFUNCTION("""COMPUTED_VALUE"""),"16-03-2026")</f>
        <v>16-03-2026</v>
      </c>
      <c r="E151" s="65" t="str">
        <f>IFERROR(__xludf.DUMMYFUNCTION("""COMPUTED_VALUE"""),"Jesus Vega")</f>
        <v>Jesus Vega</v>
      </c>
      <c r="F151" s="65" t="str">
        <f>IFERROR(__xludf.DUMMYFUNCTION("""COMPUTED_VALUE"""),"999056841")</f>
        <v>999056841</v>
      </c>
      <c r="G151" s="65" t="str">
        <f>IFERROR(__xludf.DUMMYFUNCTION("""COMPUTED_VALUE"""),"jesusmarcelovc@hotmail.com")</f>
        <v>jesusmarcelovc@hotmail.com</v>
      </c>
      <c r="H151" s="65"/>
      <c r="I151" s="65"/>
      <c r="J151" s="65" t="str">
        <f>IFERROR(__xludf.DUMMYFUNCTION("""COMPUTED_VALUE"""),"D001423821")</f>
        <v>D001423821</v>
      </c>
      <c r="K151" s="65" t="str">
        <f>IFERROR(__xludf.DUMMYFUNCTION("""COMPUTED_VALUE"""),"ENTREGADO")</f>
        <v>ENTREGADO</v>
      </c>
      <c r="L151" s="65" t="str">
        <f>IFERROR(__xludf.DUMMYFUNCTION("""COMPUTED_VALUE"""),"CON RECAUDO")</f>
        <v>CON RECAUDO</v>
      </c>
      <c r="M151" s="65" t="str">
        <f>IFERROR(__xludf.DUMMYFUNCTION("""COMPUTED_VALUE"""),"PICHINCHA")</f>
        <v>PICHINCHA</v>
      </c>
      <c r="N151" s="65" t="str">
        <f>IFERROR(__xludf.DUMMYFUNCTION("""COMPUTED_VALUE"""),"QUITO")</f>
        <v>QUITO</v>
      </c>
      <c r="O151" s="65" t="str">
        <f>IFERROR(__xludf.DUMMYFUNCTION("""COMPUTED_VALUE"""),"Consejo Provincial Calle F N-89-57 y calle J,  150 metros pasando la cancha de fútbol -")</f>
        <v>Consejo Provincial Calle F N-89-57 y calle J,  150 metros pasando la cancha de fútbol -</v>
      </c>
      <c r="P151" s="65"/>
      <c r="Q151" s="65" t="str">
        <f>IFERROR(__xludf.DUMMYFUNCTION("""COMPUTED_VALUE"""),"GINTRACOM")</f>
        <v>GINTRACOM</v>
      </c>
      <c r="R151" s="65">
        <f>IFERROR(__xludf.DUMMYFUNCTION("""COMPUTED_VALUE"""),25.0)</f>
        <v>25</v>
      </c>
      <c r="S151" s="65">
        <f>IFERROR(__xludf.DUMMYFUNCTION("""COMPUTED_VALUE"""),15.95)</f>
        <v>15.95</v>
      </c>
      <c r="T151" s="65">
        <f>IFERROR(__xludf.DUMMYFUNCTION("""COMPUTED_VALUE"""),4.35)</f>
        <v>4.35</v>
      </c>
      <c r="U151" s="65">
        <f>IFERROR(__xludf.DUMMYFUNCTION("""COMPUTED_VALUE"""),0.0)</f>
        <v>0</v>
      </c>
      <c r="V151" s="65">
        <f>IFERROR(__xludf.DUMMYFUNCTION("""COMPUTED_VALUE"""),0.0)</f>
        <v>0</v>
      </c>
      <c r="W151" s="65">
        <f>IFERROR(__xludf.DUMMYFUNCTION("""COMPUTED_VALUE"""),0.0)</f>
        <v>0</v>
      </c>
      <c r="X151" s="65">
        <f>IFERROR(__xludf.DUMMYFUNCTION("""COMPUTED_VALUE"""),2.35)</f>
        <v>2.35</v>
      </c>
      <c r="Y151" s="65">
        <f>IFERROR(__xludf.DUMMYFUNCTION("""COMPUTED_VALUE"""),4.7)</f>
        <v>4.7</v>
      </c>
      <c r="Z151" s="65">
        <f>IFERROR(__xludf.DUMMYFUNCTION("""COMPUTED_VALUE"""),116679.0)</f>
        <v>116679</v>
      </c>
      <c r="AA151" s="65" t="str">
        <f>IFERROR(__xludf.DUMMYFUNCTION("""COMPUTED_VALUE"""),"AMC-2738")</f>
        <v>AMC-2738</v>
      </c>
      <c r="AB151" s="65"/>
      <c r="AC151" s="65" t="str">
        <f>IFERROR(__xludf.DUMMYFUNCTION("""COMPUTED_VALUE"""),"ESPONJA ANTILLUVIA DE PARABRISAS")</f>
        <v>ESPONJA ANTILLUVIA DE PARABRISAS</v>
      </c>
      <c r="AD151" s="65"/>
      <c r="AE151" s="65">
        <f>IFERROR(__xludf.DUMMYFUNCTION("""COMPUTED_VALUE"""),2.0)</f>
        <v>2</v>
      </c>
      <c r="AF151" s="65"/>
      <c r="AG151" s="65"/>
      <c r="AH151" s="65"/>
      <c r="AI151" s="65"/>
      <c r="AJ151" s="65"/>
      <c r="AK151" s="65"/>
      <c r="AL151" s="65"/>
      <c r="AM151" s="65"/>
      <c r="AN151" s="65" t="str">
        <f>IFERROR(__xludf.DUMMYFUNCTION("""COMPUTED_VALUE"""),"13:41")</f>
        <v>13:41</v>
      </c>
      <c r="AO151" s="65" t="str">
        <f>IFERROR(__xludf.DUMMYFUNCTION("""COMPUTED_VALUE"""),"18-03-2026")</f>
        <v>18-03-2026</v>
      </c>
      <c r="AP151" s="65" t="str">
        <f>IFERROR(__xludf.DUMMYFUNCTION("""COMPUTED_VALUE"""),"ENTREGADA GINTRACOM")</f>
        <v>ENTREGADA GINTRACOM</v>
      </c>
      <c r="AQ151" s="65" t="str">
        <f>IFERROR(__xludf.DUMMYFUNCTION("""COMPUTED_VALUE"""),"ENTREGADA GINTRACOM")</f>
        <v>ENTREGADA GINTRACOM</v>
      </c>
      <c r="AR151" s="65"/>
      <c r="AS151" s="65"/>
      <c r="AT151" s="65" t="str">
        <f>IFERROR(__xludf.DUMMYFUNCTION("""COMPUTED_VALUE"""),"SHOPIFY")</f>
        <v>SHOPIFY</v>
      </c>
      <c r="AU151" s="65" t="str">
        <f>IFERROR(__xludf.DUMMYFUNCTION("""COMPUTED_VALUE"""),"IMPORTEX EC")</f>
        <v>IMPORTEX EC</v>
      </c>
      <c r="AV151" s="65" t="str">
        <f>IFERROR(__xludf.DUMMYFUNCTION("""COMPUTED_VALUE"""),"6582501441580")</f>
        <v>6582501441580</v>
      </c>
      <c r="AW151" s="65">
        <f>IFERROR(__xludf.DUMMYFUNCTION("""COMPUTED_VALUE"""),6701.0)</f>
        <v>6701</v>
      </c>
      <c r="AX151" s="65"/>
      <c r="AY151" s="65" t="str">
        <f>IFERROR(__xludf.DUMMYFUNCTION("""COMPUTED_VALUE"""),"17/03/2026")</f>
        <v>17/03/2026</v>
      </c>
      <c r="AZ151" s="65"/>
      <c r="BA151" s="65"/>
    </row>
    <row r="152">
      <c r="A152" s="65" t="str">
        <f>IFERROR(__xludf.DUMMYFUNCTION("""COMPUTED_VALUE"""),"27-03-2026")</f>
        <v>27-03-2026</v>
      </c>
      <c r="B152" s="65">
        <f>IFERROR(__xludf.DUMMYFUNCTION("""COMPUTED_VALUE"""),4813142.0)</f>
        <v>4813142</v>
      </c>
      <c r="C152" s="65" t="str">
        <f>IFERROR(__xludf.DUMMYFUNCTION("""COMPUTED_VALUE"""),"05:33")</f>
        <v>05:33</v>
      </c>
      <c r="D152" s="65" t="str">
        <f>IFERROR(__xludf.DUMMYFUNCTION("""COMPUTED_VALUE"""),"16-03-2026")</f>
        <v>16-03-2026</v>
      </c>
      <c r="E152" s="65" t="str">
        <f>IFERROR(__xludf.DUMMYFUNCTION("""COMPUTED_VALUE"""),"Manuel antonio Bone espinoza")</f>
        <v>Manuel antonio Bone espinoza</v>
      </c>
      <c r="F152" s="65" t="str">
        <f>IFERROR(__xludf.DUMMYFUNCTION("""COMPUTED_VALUE"""),"992200935")</f>
        <v>992200935</v>
      </c>
      <c r="G152" s="65" t="str">
        <f>IFERROR(__xludf.DUMMYFUNCTION("""COMPUTED_VALUE"""),"manubone73@gmail.com")</f>
        <v>manubone73@gmail.com</v>
      </c>
      <c r="H152" s="65"/>
      <c r="I152" s="65"/>
      <c r="J152" s="65" t="str">
        <f>IFERROR(__xludf.DUMMYFUNCTION("""COMPUTED_VALUE"""),"D001423823")</f>
        <v>D001423823</v>
      </c>
      <c r="K152" s="65" t="str">
        <f>IFERROR(__xludf.DUMMYFUNCTION("""COMPUTED_VALUE"""),"ENTREGADO")</f>
        <v>ENTREGADO</v>
      </c>
      <c r="L152" s="65" t="str">
        <f>IFERROR(__xludf.DUMMYFUNCTION("""COMPUTED_VALUE"""),"CON RECAUDO")</f>
        <v>CON RECAUDO</v>
      </c>
      <c r="M152" s="65" t="str">
        <f>IFERROR(__xludf.DUMMYFUNCTION("""COMPUTED_VALUE"""),"GUAYAS")</f>
        <v>GUAYAS</v>
      </c>
      <c r="N152" s="65" t="str">
        <f>IFERROR(__xludf.DUMMYFUNCTION("""COMPUTED_VALUE"""),"GUAYAQUIL")</f>
        <v>GUAYAQUIL</v>
      </c>
      <c r="O152" s="65" t="str">
        <f>IFERROR(__xludf.DUMMYFUNCTION("""COMPUTED_VALUE"""),"Km 23 vía Daule, RESTAURANTE CORVINAS DE VICKY, frente al lago de Capeyra,  al lado de la empresa Fortuna")</f>
        <v>Km 23 vía Daule, RESTAURANTE CORVINAS DE VICKY, frente al lago de Capeyra,  al lado de la empresa Fortuna</v>
      </c>
      <c r="P152" s="65"/>
      <c r="Q152" s="65" t="str">
        <f>IFERROR(__xludf.DUMMYFUNCTION("""COMPUTED_VALUE"""),"GINTRACOM")</f>
        <v>GINTRACOM</v>
      </c>
      <c r="R152" s="65">
        <f>IFERROR(__xludf.DUMMYFUNCTION("""COMPUTED_VALUE"""),30.0)</f>
        <v>30</v>
      </c>
      <c r="S152" s="65">
        <f>IFERROR(__xludf.DUMMYFUNCTION("""COMPUTED_VALUE"""),16.79)</f>
        <v>16.79</v>
      </c>
      <c r="T152" s="65">
        <f>IFERROR(__xludf.DUMMYFUNCTION("""COMPUTED_VALUE"""),6.16)</f>
        <v>6.16</v>
      </c>
      <c r="U152" s="65">
        <f>IFERROR(__xludf.DUMMYFUNCTION("""COMPUTED_VALUE"""),0.0)</f>
        <v>0</v>
      </c>
      <c r="V152" s="65">
        <f>IFERROR(__xludf.DUMMYFUNCTION("""COMPUTED_VALUE"""),0.0)</f>
        <v>0</v>
      </c>
      <c r="W152" s="65">
        <f>IFERROR(__xludf.DUMMYFUNCTION("""COMPUTED_VALUE"""),0.0)</f>
        <v>0</v>
      </c>
      <c r="X152" s="65">
        <f>IFERROR(__xludf.DUMMYFUNCTION("""COMPUTED_VALUE"""),2.35)</f>
        <v>2.35</v>
      </c>
      <c r="Y152" s="65">
        <f>IFERROR(__xludf.DUMMYFUNCTION("""COMPUTED_VALUE"""),7.05)</f>
        <v>7.05</v>
      </c>
      <c r="Z152" s="65">
        <f>IFERROR(__xludf.DUMMYFUNCTION("""COMPUTED_VALUE"""),116679.0)</f>
        <v>116679</v>
      </c>
      <c r="AA152" s="65" t="str">
        <f>IFERROR(__xludf.DUMMYFUNCTION("""COMPUTED_VALUE"""),"AMC-2738")</f>
        <v>AMC-2738</v>
      </c>
      <c r="AB152" s="65"/>
      <c r="AC152" s="65" t="str">
        <f>IFERROR(__xludf.DUMMYFUNCTION("""COMPUTED_VALUE"""),"ESPONJA ANTILLUVIA DE PARABRISAS")</f>
        <v>ESPONJA ANTILLUVIA DE PARABRISAS</v>
      </c>
      <c r="AD152" s="65"/>
      <c r="AE152" s="65">
        <f>IFERROR(__xludf.DUMMYFUNCTION("""COMPUTED_VALUE"""),3.0)</f>
        <v>3</v>
      </c>
      <c r="AF152" s="65"/>
      <c r="AG152" s="65"/>
      <c r="AH152" s="65"/>
      <c r="AI152" s="65"/>
      <c r="AJ152" s="65"/>
      <c r="AK152" s="65"/>
      <c r="AL152" s="65"/>
      <c r="AM152" s="65"/>
      <c r="AN152" s="65" t="str">
        <f>IFERROR(__xludf.DUMMYFUNCTION("""COMPUTED_VALUE"""),"14:15")</f>
        <v>14:15</v>
      </c>
      <c r="AO152" s="65" t="str">
        <f>IFERROR(__xludf.DUMMYFUNCTION("""COMPUTED_VALUE"""),"19-03-2026")</f>
        <v>19-03-2026</v>
      </c>
      <c r="AP152" s="65" t="str">
        <f>IFERROR(__xludf.DUMMYFUNCTION("""COMPUTED_VALUE"""),"ENTREGADA GINTRACOM")</f>
        <v>ENTREGADA GINTRACOM</v>
      </c>
      <c r="AQ152" s="65" t="str">
        <f>IFERROR(__xludf.DUMMYFUNCTION("""COMPUTED_VALUE"""),"ENTREGADA GINTRACOM")</f>
        <v>ENTREGADA GINTRACOM</v>
      </c>
      <c r="AR152" s="65"/>
      <c r="AS152" s="65"/>
      <c r="AT152" s="65" t="str">
        <f>IFERROR(__xludf.DUMMYFUNCTION("""COMPUTED_VALUE"""),"SHOPIFY")</f>
        <v>SHOPIFY</v>
      </c>
      <c r="AU152" s="65" t="str">
        <f>IFERROR(__xludf.DUMMYFUNCTION("""COMPUTED_VALUE"""),"IMPORTEX EC")</f>
        <v>IMPORTEX EC</v>
      </c>
      <c r="AV152" s="65" t="str">
        <f>IFERROR(__xludf.DUMMYFUNCTION("""COMPUTED_VALUE"""),"6582401826860")</f>
        <v>6582401826860</v>
      </c>
      <c r="AW152" s="65">
        <f>IFERROR(__xludf.DUMMYFUNCTION("""COMPUTED_VALUE"""),6700.0)</f>
        <v>6700</v>
      </c>
      <c r="AX152" s="65"/>
      <c r="AY152" s="65" t="str">
        <f>IFERROR(__xludf.DUMMYFUNCTION("""COMPUTED_VALUE"""),"17/03/2026")</f>
        <v>17/03/2026</v>
      </c>
      <c r="AZ152" s="65"/>
      <c r="BA152" s="65"/>
    </row>
    <row r="153">
      <c r="A153" s="65" t="str">
        <f>IFERROR(__xludf.DUMMYFUNCTION("""COMPUTED_VALUE"""),"27-03-2026")</f>
        <v>27-03-2026</v>
      </c>
      <c r="B153" s="65">
        <f>IFERROR(__xludf.DUMMYFUNCTION("""COMPUTED_VALUE"""),4812005.0)</f>
        <v>4812005</v>
      </c>
      <c r="C153" s="65" t="str">
        <f>IFERROR(__xludf.DUMMYFUNCTION("""COMPUTED_VALUE"""),"23:02")</f>
        <v>23:02</v>
      </c>
      <c r="D153" s="65" t="str">
        <f>IFERROR(__xludf.DUMMYFUNCTION("""COMPUTED_VALUE"""),"15-03-2026")</f>
        <v>15-03-2026</v>
      </c>
      <c r="E153" s="65" t="str">
        <f>IFERROR(__xludf.DUMMYFUNCTION("""COMPUTED_VALUE"""),"Cynthia Villarreal")</f>
        <v>Cynthia Villarreal</v>
      </c>
      <c r="F153" s="65" t="str">
        <f>IFERROR(__xludf.DUMMYFUNCTION("""COMPUTED_VALUE"""),"992333169")</f>
        <v>992333169</v>
      </c>
      <c r="G153" s="65" t="str">
        <f>IFERROR(__xludf.DUMMYFUNCTION("""COMPUTED_VALUE"""),"vcynthiarosario@hotmail.com")</f>
        <v>vcynthiarosario@hotmail.com</v>
      </c>
      <c r="H153" s="65"/>
      <c r="I153" s="65"/>
      <c r="J153" s="65"/>
      <c r="K153" s="65" t="str">
        <f>IFERROR(__xludf.DUMMYFUNCTION("""COMPUTED_VALUE"""),"PENDIENTE CONFIRMACION")</f>
        <v>PENDIENTE CONFIRMACION</v>
      </c>
      <c r="L153" s="65" t="str">
        <f>IFERROR(__xludf.DUMMYFUNCTION("""COMPUTED_VALUE"""),"CON RECAUDO")</f>
        <v>CON RECAUDO</v>
      </c>
      <c r="M153" s="65" t="str">
        <f>IFERROR(__xludf.DUMMYFUNCTION("""COMPUTED_VALUE"""),"LOS RIOS")</f>
        <v>LOS RIOS</v>
      </c>
      <c r="N153" s="65" t="str">
        <f>IFERROR(__xludf.DUMMYFUNCTION("""COMPUTED_VALUE"""),"QUEVEDO")</f>
        <v>QUEVEDO</v>
      </c>
      <c r="O153" s="65" t="str">
        <f>IFERROR(__xludf.DUMMYFUNCTION("""COMPUTED_VALUE"""),"Camilo arevalo y c San camilo -")</f>
        <v>Camilo arevalo y c San camilo -</v>
      </c>
      <c r="P153" s="65"/>
      <c r="Q153" s="65" t="str">
        <f>IFERROR(__xludf.DUMMYFUNCTION("""COMPUTED_VALUE"""),"GINTRACOM")</f>
        <v>GINTRACOM</v>
      </c>
      <c r="R153" s="65">
        <f>IFERROR(__xludf.DUMMYFUNCTION("""COMPUTED_VALUE"""),25.0)</f>
        <v>25</v>
      </c>
      <c r="S153" s="65"/>
      <c r="T153" s="65">
        <f>IFERROR(__xludf.DUMMYFUNCTION("""COMPUTED_VALUE"""),5.96)</f>
        <v>5.96</v>
      </c>
      <c r="U153" s="65">
        <f>IFERROR(__xludf.DUMMYFUNCTION("""COMPUTED_VALUE"""),0.0)</f>
        <v>0</v>
      </c>
      <c r="V153" s="65">
        <f>IFERROR(__xludf.DUMMYFUNCTION("""COMPUTED_VALUE"""),0.0)</f>
        <v>0</v>
      </c>
      <c r="W153" s="65">
        <f>IFERROR(__xludf.DUMMYFUNCTION("""COMPUTED_VALUE"""),0.0)</f>
        <v>0</v>
      </c>
      <c r="X153" s="65">
        <f>IFERROR(__xludf.DUMMYFUNCTION("""COMPUTED_VALUE"""),2.35)</f>
        <v>2.35</v>
      </c>
      <c r="Y153" s="65">
        <f>IFERROR(__xludf.DUMMYFUNCTION("""COMPUTED_VALUE"""),4.7)</f>
        <v>4.7</v>
      </c>
      <c r="Z153" s="65">
        <f>IFERROR(__xludf.DUMMYFUNCTION("""COMPUTED_VALUE"""),116679.0)</f>
        <v>116679</v>
      </c>
      <c r="AA153" s="65" t="str">
        <f>IFERROR(__xludf.DUMMYFUNCTION("""COMPUTED_VALUE"""),"AMC-2738")</f>
        <v>AMC-2738</v>
      </c>
      <c r="AB153" s="65"/>
      <c r="AC153" s="65" t="str">
        <f>IFERROR(__xludf.DUMMYFUNCTION("""COMPUTED_VALUE"""),"ESPONJA ANTILLUVIA DE PARABRISAS")</f>
        <v>ESPONJA ANTILLUVIA DE PARABRISAS</v>
      </c>
      <c r="AD153" s="65"/>
      <c r="AE153" s="65">
        <f>IFERROR(__xludf.DUMMYFUNCTION("""COMPUTED_VALUE"""),2.0)</f>
        <v>2</v>
      </c>
      <c r="AF153" s="65"/>
      <c r="AG153" s="65"/>
      <c r="AH153" s="65"/>
      <c r="AI153" s="65"/>
      <c r="AJ153" s="65"/>
      <c r="AK153" s="65"/>
      <c r="AL153" s="65"/>
      <c r="AM153" s="65"/>
      <c r="AN153" s="65"/>
      <c r="AO153" s="65"/>
      <c r="AP153" s="65"/>
      <c r="AQ153" s="65"/>
      <c r="AR153" s="65"/>
      <c r="AS153" s="65"/>
      <c r="AT153" s="65" t="str">
        <f>IFERROR(__xludf.DUMMYFUNCTION("""COMPUTED_VALUE"""),"SHOPIFY")</f>
        <v>SHOPIFY</v>
      </c>
      <c r="AU153" s="65" t="str">
        <f>IFERROR(__xludf.DUMMYFUNCTION("""COMPUTED_VALUE"""),"IMPORTEX EC")</f>
        <v>IMPORTEX EC</v>
      </c>
      <c r="AV153" s="65" t="str">
        <f>IFERROR(__xludf.DUMMYFUNCTION("""COMPUTED_VALUE"""),"6581976236076")</f>
        <v>6581976236076</v>
      </c>
      <c r="AW153" s="65">
        <f>IFERROR(__xludf.DUMMYFUNCTION("""COMPUTED_VALUE"""),6699.0)</f>
        <v>6699</v>
      </c>
      <c r="AX153" s="65"/>
      <c r="AY153" s="65"/>
      <c r="AZ153" s="65"/>
      <c r="BA153" s="65"/>
    </row>
    <row r="154">
      <c r="A154" s="65" t="str">
        <f>IFERROR(__xludf.DUMMYFUNCTION("""COMPUTED_VALUE"""),"27-03-2026")</f>
        <v>27-03-2026</v>
      </c>
      <c r="B154" s="65">
        <f>IFERROR(__xludf.DUMMYFUNCTION("""COMPUTED_VALUE"""),4811895.0)</f>
        <v>4811895</v>
      </c>
      <c r="C154" s="65" t="str">
        <f>IFERROR(__xludf.DUMMYFUNCTION("""COMPUTED_VALUE"""),"22:50")</f>
        <v>22:50</v>
      </c>
      <c r="D154" s="65" t="str">
        <f>IFERROR(__xludf.DUMMYFUNCTION("""COMPUTED_VALUE"""),"15-03-2026")</f>
        <v>15-03-2026</v>
      </c>
      <c r="E154" s="65" t="str">
        <f>IFERROR(__xludf.DUMMYFUNCTION("""COMPUTED_VALUE"""),"Jefferson Huerta")</f>
        <v>Jefferson Huerta</v>
      </c>
      <c r="F154" s="65" t="str">
        <f>IFERROR(__xludf.DUMMYFUNCTION("""COMPUTED_VALUE"""),"960815008")</f>
        <v>960815008</v>
      </c>
      <c r="G154" s="65" t="str">
        <f>IFERROR(__xludf.DUMMYFUNCTION("""COMPUTED_VALUE"""),"Jeffersonalexanderh7@gmail.com")</f>
        <v>Jeffersonalexanderh7@gmail.com</v>
      </c>
      <c r="H154" s="65"/>
      <c r="I154" s="65"/>
      <c r="J154" s="65" t="str">
        <f>IFERROR(__xludf.DUMMYFUNCTION("""COMPUTED_VALUE"""),"D001423827")</f>
        <v>D001423827</v>
      </c>
      <c r="K154" s="65" t="str">
        <f>IFERROR(__xludf.DUMMYFUNCTION("""COMPUTED_VALUE"""),"ENTREGADO")</f>
        <v>ENTREGADO</v>
      </c>
      <c r="L154" s="65" t="str">
        <f>IFERROR(__xludf.DUMMYFUNCTION("""COMPUTED_VALUE"""),"CON RECAUDO")</f>
        <v>CON RECAUDO</v>
      </c>
      <c r="M154" s="65" t="str">
        <f>IFERROR(__xludf.DUMMYFUNCTION("""COMPUTED_VALUE"""),"SANTO DOMINGO DE LOS TSACHILAS")</f>
        <v>SANTO DOMINGO DE LOS TSACHILAS</v>
      </c>
      <c r="N154" s="65" t="str">
        <f>IFERROR(__xludf.DUMMYFUNCTION("""COMPUTED_VALUE"""),"SANTO DOMINGO")</f>
        <v>SANTO DOMINGO</v>
      </c>
      <c r="O154" s="65" t="str">
        <f>IFERROR(__xludf.DUMMYFUNCTION("""COMPUTED_VALUE"""),"Cesar Fernández y Humberto Fiallos - REFERENCIA: Diagonal Hotel campos -   sector terminal terrestre")</f>
        <v>Cesar Fernández y Humberto Fiallos - REFERENCIA: Diagonal Hotel campos -   sector terminal terrestre</v>
      </c>
      <c r="P154" s="65"/>
      <c r="Q154" s="65" t="str">
        <f>IFERROR(__xludf.DUMMYFUNCTION("""COMPUTED_VALUE"""),"GINTRACOM")</f>
        <v>GINTRACOM</v>
      </c>
      <c r="R154" s="65">
        <f>IFERROR(__xludf.DUMMYFUNCTION("""COMPUTED_VALUE"""),20.0)</f>
        <v>20</v>
      </c>
      <c r="S154" s="65">
        <f>IFERROR(__xludf.DUMMYFUNCTION("""COMPUTED_VALUE"""),11.89)</f>
        <v>11.89</v>
      </c>
      <c r="T154" s="65">
        <f>IFERROR(__xludf.DUMMYFUNCTION("""COMPUTED_VALUE"""),5.76)</f>
        <v>5.76</v>
      </c>
      <c r="U154" s="65">
        <f>IFERROR(__xludf.DUMMYFUNCTION("""COMPUTED_VALUE"""),0.0)</f>
        <v>0</v>
      </c>
      <c r="V154" s="65">
        <f>IFERROR(__xludf.DUMMYFUNCTION("""COMPUTED_VALUE"""),0.0)</f>
        <v>0</v>
      </c>
      <c r="W154" s="65">
        <f>IFERROR(__xludf.DUMMYFUNCTION("""COMPUTED_VALUE"""),0.0)</f>
        <v>0</v>
      </c>
      <c r="X154" s="65">
        <f>IFERROR(__xludf.DUMMYFUNCTION("""COMPUTED_VALUE"""),2.35)</f>
        <v>2.35</v>
      </c>
      <c r="Y154" s="65">
        <f>IFERROR(__xludf.DUMMYFUNCTION("""COMPUTED_VALUE"""),2.35)</f>
        <v>2.35</v>
      </c>
      <c r="Z154" s="65">
        <f>IFERROR(__xludf.DUMMYFUNCTION("""COMPUTED_VALUE"""),116679.0)</f>
        <v>116679</v>
      </c>
      <c r="AA154" s="65" t="str">
        <f>IFERROR(__xludf.DUMMYFUNCTION("""COMPUTED_VALUE"""),"AMC-2738")</f>
        <v>AMC-2738</v>
      </c>
      <c r="AB154" s="65"/>
      <c r="AC154" s="65" t="str">
        <f>IFERROR(__xludf.DUMMYFUNCTION("""COMPUTED_VALUE"""),"ESPONJA ANTILLUVIA DE PARABRISAS")</f>
        <v>ESPONJA ANTILLUVIA DE PARABRISAS</v>
      </c>
      <c r="AD154" s="65"/>
      <c r="AE154" s="65">
        <f>IFERROR(__xludf.DUMMYFUNCTION("""COMPUTED_VALUE"""),1.0)</f>
        <v>1</v>
      </c>
      <c r="AF154" s="65"/>
      <c r="AG154" s="65"/>
      <c r="AH154" s="65"/>
      <c r="AI154" s="65"/>
      <c r="AJ154" s="65"/>
      <c r="AK154" s="65"/>
      <c r="AL154" s="65"/>
      <c r="AM154" s="65"/>
      <c r="AN154" s="65" t="str">
        <f>IFERROR(__xludf.DUMMYFUNCTION("""COMPUTED_VALUE"""),"14:12")</f>
        <v>14:12</v>
      </c>
      <c r="AO154" s="65" t="str">
        <f>IFERROR(__xludf.DUMMYFUNCTION("""COMPUTED_VALUE"""),"23-03-2026")</f>
        <v>23-03-2026</v>
      </c>
      <c r="AP154" s="65" t="str">
        <f>IFERROR(__xludf.DUMMYFUNCTION("""COMPUTED_VALUE"""),"ENTREGADA GINTRACOM")</f>
        <v>ENTREGADA GINTRACOM</v>
      </c>
      <c r="AQ154" s="65" t="str">
        <f>IFERROR(__xludf.DUMMYFUNCTION("""COMPUTED_VALUE"""),"ENTREGADA GINTRACOM")</f>
        <v>ENTREGADA GINTRACOM</v>
      </c>
      <c r="AR154" s="65"/>
      <c r="AS154" s="65"/>
      <c r="AT154" s="65" t="str">
        <f>IFERROR(__xludf.DUMMYFUNCTION("""COMPUTED_VALUE"""),"SHOPIFY")</f>
        <v>SHOPIFY</v>
      </c>
      <c r="AU154" s="65" t="str">
        <f>IFERROR(__xludf.DUMMYFUNCTION("""COMPUTED_VALUE"""),"IMPORTEX EC")</f>
        <v>IMPORTEX EC</v>
      </c>
      <c r="AV154" s="65" t="str">
        <f>IFERROR(__xludf.DUMMYFUNCTION("""COMPUTED_VALUE"""),"6581961293868")</f>
        <v>6581961293868</v>
      </c>
      <c r="AW154" s="65">
        <f>IFERROR(__xludf.DUMMYFUNCTION("""COMPUTED_VALUE"""),6698.0)</f>
        <v>6698</v>
      </c>
      <c r="AX154" s="65"/>
      <c r="AY154" s="65" t="str">
        <f>IFERROR(__xludf.DUMMYFUNCTION("""COMPUTED_VALUE"""),"17/03/2026")</f>
        <v>17/03/2026</v>
      </c>
      <c r="AZ154" s="65"/>
      <c r="BA154" s="65"/>
    </row>
    <row r="155">
      <c r="A155" s="65" t="str">
        <f>IFERROR(__xludf.DUMMYFUNCTION("""COMPUTED_VALUE"""),"27-03-2026")</f>
        <v>27-03-2026</v>
      </c>
      <c r="B155" s="65">
        <f>IFERROR(__xludf.DUMMYFUNCTION("""COMPUTED_VALUE"""),4811820.0)</f>
        <v>4811820</v>
      </c>
      <c r="C155" s="65" t="str">
        <f>IFERROR(__xludf.DUMMYFUNCTION("""COMPUTED_VALUE"""),"22:43")</f>
        <v>22:43</v>
      </c>
      <c r="D155" s="65" t="str">
        <f>IFERROR(__xludf.DUMMYFUNCTION("""COMPUTED_VALUE"""),"15-03-2026")</f>
        <v>15-03-2026</v>
      </c>
      <c r="E155" s="65" t="str">
        <f>IFERROR(__xludf.DUMMYFUNCTION("""COMPUTED_VALUE"""),"Francisca Cortez Cortez cortez")</f>
        <v>Francisca Cortez Cortez cortez</v>
      </c>
      <c r="F155" s="65" t="str">
        <f>IFERROR(__xludf.DUMMYFUNCTION("""COMPUTED_VALUE"""),"997112639")</f>
        <v>997112639</v>
      </c>
      <c r="G155" s="65" t="str">
        <f>IFERROR(__xludf.DUMMYFUNCTION("""COMPUTED_VALUE"""),"francis.57@hotmail.es")</f>
        <v>francis.57@hotmail.es</v>
      </c>
      <c r="H155" s="65"/>
      <c r="I155" s="65"/>
      <c r="J155" s="65"/>
      <c r="K155" s="65" t="str">
        <f>IFERROR(__xludf.DUMMYFUNCTION("""COMPUTED_VALUE"""),"PENDIENTE CONFIRMACION")</f>
        <v>PENDIENTE CONFIRMACION</v>
      </c>
      <c r="L155" s="65" t="str">
        <f>IFERROR(__xludf.DUMMYFUNCTION("""COMPUTED_VALUE"""),"CON RECAUDO")</f>
        <v>CON RECAUDO</v>
      </c>
      <c r="M155" s="65" t="str">
        <f>IFERROR(__xludf.DUMMYFUNCTION("""COMPUTED_VALUE"""),"GUAYAS")</f>
        <v>GUAYAS</v>
      </c>
      <c r="N155" s="65" t="str">
        <f>IFERROR(__xludf.DUMMYFUNCTION("""COMPUTED_VALUE"""),"GUAYAQUIL")</f>
        <v>GUAYAQUIL</v>
      </c>
      <c r="O155" s="65" t="str">
        <f>IFERROR(__xludf.DUMMYFUNCTION("""COMPUTED_VALUE"""),"Av ernesto alban y calle 4ta y frente a depratty hogar sur -")</f>
        <v>Av ernesto alban y calle 4ta y frente a depratty hogar sur -</v>
      </c>
      <c r="P155" s="65"/>
      <c r="Q155" s="65" t="str">
        <f>IFERROR(__xludf.DUMMYFUNCTION("""COMPUTED_VALUE"""),"GINTRACOM")</f>
        <v>GINTRACOM</v>
      </c>
      <c r="R155" s="65">
        <f>IFERROR(__xludf.DUMMYFUNCTION("""COMPUTED_VALUE"""),30.0)</f>
        <v>30</v>
      </c>
      <c r="S155" s="65"/>
      <c r="T155" s="65">
        <f>IFERROR(__xludf.DUMMYFUNCTION("""COMPUTED_VALUE"""),6.16)</f>
        <v>6.16</v>
      </c>
      <c r="U155" s="65">
        <f>IFERROR(__xludf.DUMMYFUNCTION("""COMPUTED_VALUE"""),0.0)</f>
        <v>0</v>
      </c>
      <c r="V155" s="65">
        <f>IFERROR(__xludf.DUMMYFUNCTION("""COMPUTED_VALUE"""),0.0)</f>
        <v>0</v>
      </c>
      <c r="W155" s="65">
        <f>IFERROR(__xludf.DUMMYFUNCTION("""COMPUTED_VALUE"""),0.0)</f>
        <v>0</v>
      </c>
      <c r="X155" s="65">
        <f>IFERROR(__xludf.DUMMYFUNCTION("""COMPUTED_VALUE"""),2.35)</f>
        <v>2.35</v>
      </c>
      <c r="Y155" s="65">
        <f>IFERROR(__xludf.DUMMYFUNCTION("""COMPUTED_VALUE"""),7.05)</f>
        <v>7.05</v>
      </c>
      <c r="Z155" s="65">
        <f>IFERROR(__xludf.DUMMYFUNCTION("""COMPUTED_VALUE"""),116679.0)</f>
        <v>116679</v>
      </c>
      <c r="AA155" s="65" t="str">
        <f>IFERROR(__xludf.DUMMYFUNCTION("""COMPUTED_VALUE"""),"AMC-2738")</f>
        <v>AMC-2738</v>
      </c>
      <c r="AB155" s="65"/>
      <c r="AC155" s="65" t="str">
        <f>IFERROR(__xludf.DUMMYFUNCTION("""COMPUTED_VALUE"""),"ESPONJA ANTILLUVIA DE PARABRISAS")</f>
        <v>ESPONJA ANTILLUVIA DE PARABRISAS</v>
      </c>
      <c r="AD155" s="65"/>
      <c r="AE155" s="65">
        <f>IFERROR(__xludf.DUMMYFUNCTION("""COMPUTED_VALUE"""),3.0)</f>
        <v>3</v>
      </c>
      <c r="AF155" s="65"/>
      <c r="AG155" s="65"/>
      <c r="AH155" s="65"/>
      <c r="AI155" s="65"/>
      <c r="AJ155" s="65"/>
      <c r="AK155" s="65"/>
      <c r="AL155" s="65"/>
      <c r="AM155" s="65"/>
      <c r="AN155" s="65"/>
      <c r="AO155" s="65"/>
      <c r="AP155" s="65"/>
      <c r="AQ155" s="65"/>
      <c r="AR155" s="65"/>
      <c r="AS155" s="65"/>
      <c r="AT155" s="65" t="str">
        <f>IFERROR(__xludf.DUMMYFUNCTION("""COMPUTED_VALUE"""),"SHOPIFY")</f>
        <v>SHOPIFY</v>
      </c>
      <c r="AU155" s="65" t="str">
        <f>IFERROR(__xludf.DUMMYFUNCTION("""COMPUTED_VALUE"""),"IMPORTEX EC")</f>
        <v>IMPORTEX EC</v>
      </c>
      <c r="AV155" s="65" t="str">
        <f>IFERROR(__xludf.DUMMYFUNCTION("""COMPUTED_VALUE"""),"6581950152748")</f>
        <v>6581950152748</v>
      </c>
      <c r="AW155" s="65">
        <f>IFERROR(__xludf.DUMMYFUNCTION("""COMPUTED_VALUE"""),6697.0)</f>
        <v>6697</v>
      </c>
      <c r="AX155" s="65"/>
      <c r="AY155" s="65"/>
      <c r="AZ155" s="65"/>
      <c r="BA155" s="65"/>
    </row>
    <row r="156">
      <c r="A156" s="65" t="str">
        <f>IFERROR(__xludf.DUMMYFUNCTION("""COMPUTED_VALUE"""),"27-03-2026")</f>
        <v>27-03-2026</v>
      </c>
      <c r="B156" s="65">
        <f>IFERROR(__xludf.DUMMYFUNCTION("""COMPUTED_VALUE"""),4811704.0)</f>
        <v>4811704</v>
      </c>
      <c r="C156" s="65" t="str">
        <f>IFERROR(__xludf.DUMMYFUNCTION("""COMPUTED_VALUE"""),"22:32")</f>
        <v>22:32</v>
      </c>
      <c r="D156" s="65" t="str">
        <f>IFERROR(__xludf.DUMMYFUNCTION("""COMPUTED_VALUE"""),"15-03-2026")</f>
        <v>15-03-2026</v>
      </c>
      <c r="E156" s="65" t="str">
        <f>IFERROR(__xludf.DUMMYFUNCTION("""COMPUTED_VALUE"""),"Marcelo ivan Lopez mera López mera")</f>
        <v>Marcelo ivan Lopez mera López mera</v>
      </c>
      <c r="F156" s="65" t="str">
        <f>IFERROR(__xludf.DUMMYFUNCTION("""COMPUTED_VALUE"""),"997524368")</f>
        <v>997524368</v>
      </c>
      <c r="G156" s="65" t="str">
        <f>IFERROR(__xludf.DUMMYFUNCTION("""COMPUTED_VALUE"""),"lopezmeramarceloivan@gmail.com")</f>
        <v>lopezmeramarceloivan@gmail.com</v>
      </c>
      <c r="H156" s="65"/>
      <c r="I156" s="65"/>
      <c r="J156" s="65" t="str">
        <f>IFERROR(__xludf.DUMMYFUNCTION("""COMPUTED_VALUE"""),"D001423830")</f>
        <v>D001423830</v>
      </c>
      <c r="K156" s="65" t="str">
        <f>IFERROR(__xludf.DUMMYFUNCTION("""COMPUTED_VALUE"""),"ENTREGADO")</f>
        <v>ENTREGADO</v>
      </c>
      <c r="L156" s="65" t="str">
        <f>IFERROR(__xludf.DUMMYFUNCTION("""COMPUTED_VALUE"""),"CON RECAUDO")</f>
        <v>CON RECAUDO</v>
      </c>
      <c r="M156" s="65" t="str">
        <f>IFERROR(__xludf.DUMMYFUNCTION("""COMPUTED_VALUE"""),"TUNGURAHUA")</f>
        <v>TUNGURAHUA</v>
      </c>
      <c r="N156" s="65" t="str">
        <f>IFERROR(__xludf.DUMMYFUNCTION("""COMPUTED_VALUE"""),"AMBATO")</f>
        <v>AMBATO</v>
      </c>
      <c r="O156" s="65" t="str">
        <f>IFERROR(__xludf.DUMMYFUNCTION("""COMPUTED_VALUE"""),"Av Leónidas Plaza y Camilo Ponce - CAFETERIA 7 COLINAS")</f>
        <v>Av Leónidas Plaza y Camilo Ponce - CAFETERIA 7 COLINAS</v>
      </c>
      <c r="P156" s="65"/>
      <c r="Q156" s="65" t="str">
        <f>IFERROR(__xludf.DUMMYFUNCTION("""COMPUTED_VALUE"""),"GINTRACOM")</f>
        <v>GINTRACOM</v>
      </c>
      <c r="R156" s="65">
        <f>IFERROR(__xludf.DUMMYFUNCTION("""COMPUTED_VALUE"""),25.0)</f>
        <v>25</v>
      </c>
      <c r="S156" s="65">
        <f>IFERROR(__xludf.DUMMYFUNCTION("""COMPUTED_VALUE"""),14.34)</f>
        <v>14.34</v>
      </c>
      <c r="T156" s="65">
        <f>IFERROR(__xludf.DUMMYFUNCTION("""COMPUTED_VALUE"""),5.96)</f>
        <v>5.96</v>
      </c>
      <c r="U156" s="65">
        <f>IFERROR(__xludf.DUMMYFUNCTION("""COMPUTED_VALUE"""),0.0)</f>
        <v>0</v>
      </c>
      <c r="V156" s="65">
        <f>IFERROR(__xludf.DUMMYFUNCTION("""COMPUTED_VALUE"""),0.0)</f>
        <v>0</v>
      </c>
      <c r="W156" s="65">
        <f>IFERROR(__xludf.DUMMYFUNCTION("""COMPUTED_VALUE"""),0.0)</f>
        <v>0</v>
      </c>
      <c r="X156" s="65">
        <f>IFERROR(__xludf.DUMMYFUNCTION("""COMPUTED_VALUE"""),2.35)</f>
        <v>2.35</v>
      </c>
      <c r="Y156" s="65">
        <f>IFERROR(__xludf.DUMMYFUNCTION("""COMPUTED_VALUE"""),4.7)</f>
        <v>4.7</v>
      </c>
      <c r="Z156" s="65">
        <f>IFERROR(__xludf.DUMMYFUNCTION("""COMPUTED_VALUE"""),116679.0)</f>
        <v>116679</v>
      </c>
      <c r="AA156" s="65" t="str">
        <f>IFERROR(__xludf.DUMMYFUNCTION("""COMPUTED_VALUE"""),"AMC-2738")</f>
        <v>AMC-2738</v>
      </c>
      <c r="AB156" s="65"/>
      <c r="AC156" s="65" t="str">
        <f>IFERROR(__xludf.DUMMYFUNCTION("""COMPUTED_VALUE"""),"ESPONJA ANTILLUVIA DE PARABRISAS")</f>
        <v>ESPONJA ANTILLUVIA DE PARABRISAS</v>
      </c>
      <c r="AD156" s="65"/>
      <c r="AE156" s="65">
        <f>IFERROR(__xludf.DUMMYFUNCTION("""COMPUTED_VALUE"""),2.0)</f>
        <v>2</v>
      </c>
      <c r="AF156" s="65"/>
      <c r="AG156" s="65"/>
      <c r="AH156" s="65"/>
      <c r="AI156" s="65"/>
      <c r="AJ156" s="65"/>
      <c r="AK156" s="65"/>
      <c r="AL156" s="65"/>
      <c r="AM156" s="65"/>
      <c r="AN156" s="65" t="str">
        <f>IFERROR(__xludf.DUMMYFUNCTION("""COMPUTED_VALUE"""),"14:14")</f>
        <v>14:14</v>
      </c>
      <c r="AO156" s="65" t="str">
        <f>IFERROR(__xludf.DUMMYFUNCTION("""COMPUTED_VALUE"""),"23-03-2026")</f>
        <v>23-03-2026</v>
      </c>
      <c r="AP156" s="65" t="str">
        <f>IFERROR(__xludf.DUMMYFUNCTION("""COMPUTED_VALUE"""),"ENTREGADA GINTRACOM")</f>
        <v>ENTREGADA GINTRACOM</v>
      </c>
      <c r="AQ156" s="65" t="str">
        <f>IFERROR(__xludf.DUMMYFUNCTION("""COMPUTED_VALUE"""),"ENTREGADA GINTRACOM")</f>
        <v>ENTREGADA GINTRACOM</v>
      </c>
      <c r="AR156" s="65"/>
      <c r="AS156" s="65"/>
      <c r="AT156" s="65" t="str">
        <f>IFERROR(__xludf.DUMMYFUNCTION("""COMPUTED_VALUE"""),"SHOPIFY")</f>
        <v>SHOPIFY</v>
      </c>
      <c r="AU156" s="65" t="str">
        <f>IFERROR(__xludf.DUMMYFUNCTION("""COMPUTED_VALUE"""),"IMPORTEX EC")</f>
        <v>IMPORTEX EC</v>
      </c>
      <c r="AV156" s="65" t="str">
        <f>IFERROR(__xludf.DUMMYFUNCTION("""COMPUTED_VALUE"""),"6581935898668")</f>
        <v>6581935898668</v>
      </c>
      <c r="AW156" s="65">
        <f>IFERROR(__xludf.DUMMYFUNCTION("""COMPUTED_VALUE"""),6696.0)</f>
        <v>6696</v>
      </c>
      <c r="AX156" s="65"/>
      <c r="AY156" s="65" t="str">
        <f>IFERROR(__xludf.DUMMYFUNCTION("""COMPUTED_VALUE"""),"17/03/2026")</f>
        <v>17/03/2026</v>
      </c>
      <c r="AZ156" s="65"/>
      <c r="BA156" s="65"/>
    </row>
    <row r="157">
      <c r="A157" s="65" t="str">
        <f>IFERROR(__xludf.DUMMYFUNCTION("""COMPUTED_VALUE"""),"27-03-2026")</f>
        <v>27-03-2026</v>
      </c>
      <c r="B157" s="65">
        <f>IFERROR(__xludf.DUMMYFUNCTION("""COMPUTED_VALUE"""),4810622.0)</f>
        <v>4810622</v>
      </c>
      <c r="C157" s="65" t="str">
        <f>IFERROR(__xludf.DUMMYFUNCTION("""COMPUTED_VALUE"""),"21:08")</f>
        <v>21:08</v>
      </c>
      <c r="D157" s="65" t="str">
        <f>IFERROR(__xludf.DUMMYFUNCTION("""COMPUTED_VALUE"""),"15-03-2026")</f>
        <v>15-03-2026</v>
      </c>
      <c r="E157" s="65" t="str">
        <f>IFERROR(__xludf.DUMMYFUNCTION("""COMPUTED_VALUE"""),"Carlos Daniel ordoñes Calle")</f>
        <v>Carlos Daniel ordoñes Calle</v>
      </c>
      <c r="F157" s="65" t="str">
        <f>IFERROR(__xludf.DUMMYFUNCTION("""COMPUTED_VALUE"""),"995628630")</f>
        <v>995628630</v>
      </c>
      <c r="G157" s="65" t="str">
        <f>IFERROR(__xludf.DUMMYFUNCTION("""COMPUTED_VALUE"""),"freddy.villavicencio.04@gmail.com")</f>
        <v>freddy.villavicencio.04@gmail.com</v>
      </c>
      <c r="H157" s="65"/>
      <c r="I157" s="65"/>
      <c r="J157" s="65"/>
      <c r="K157" s="65" t="str">
        <f>IFERROR(__xludf.DUMMYFUNCTION("""COMPUTED_VALUE"""),"PENDIENTE CONFIRMACION")</f>
        <v>PENDIENTE CONFIRMACION</v>
      </c>
      <c r="L157" s="65" t="str">
        <f>IFERROR(__xludf.DUMMYFUNCTION("""COMPUTED_VALUE"""),"CON RECAUDO")</f>
        <v>CON RECAUDO</v>
      </c>
      <c r="M157" s="65" t="str">
        <f>IFERROR(__xludf.DUMMYFUNCTION("""COMPUTED_VALUE"""),"AZUAY")</f>
        <v>AZUAY</v>
      </c>
      <c r="N157" s="65" t="str">
        <f>IFERROR(__xludf.DUMMYFUNCTION("""COMPUTED_VALUE"""),"SANTA ISABEL")</f>
        <v>SANTA ISABEL</v>
      </c>
      <c r="O157" s="65" t="str">
        <f>IFERROR(__xludf.DUMMYFUNCTION("""COMPUTED_VALUE"""),"Isadro Rodríguez la Abdón Calderón Isauro Rodríguez la Abdón Calderón -")</f>
        <v>Isadro Rodríguez la Abdón Calderón Isauro Rodríguez la Abdón Calderón -</v>
      </c>
      <c r="P157" s="65"/>
      <c r="Q157" s="65" t="str">
        <f>IFERROR(__xludf.DUMMYFUNCTION("""COMPUTED_VALUE"""),"LAARCOURIER")</f>
        <v>LAARCOURIER</v>
      </c>
      <c r="R157" s="65">
        <f>IFERROR(__xludf.DUMMYFUNCTION("""COMPUTED_VALUE"""),20.0)</f>
        <v>20</v>
      </c>
      <c r="S157" s="65"/>
      <c r="T157" s="65">
        <f>IFERROR(__xludf.DUMMYFUNCTION("""COMPUTED_VALUE"""),6.68)</f>
        <v>6.68</v>
      </c>
      <c r="U157" s="65">
        <f>IFERROR(__xludf.DUMMYFUNCTION("""COMPUTED_VALUE"""),0.0)</f>
        <v>0</v>
      </c>
      <c r="V157" s="65">
        <f>IFERROR(__xludf.DUMMYFUNCTION("""COMPUTED_VALUE"""),0.0)</f>
        <v>0</v>
      </c>
      <c r="W157" s="65">
        <f>IFERROR(__xludf.DUMMYFUNCTION("""COMPUTED_VALUE"""),0.0)</f>
        <v>0</v>
      </c>
      <c r="X157" s="65">
        <f>IFERROR(__xludf.DUMMYFUNCTION("""COMPUTED_VALUE"""),2.35)</f>
        <v>2.35</v>
      </c>
      <c r="Y157" s="65">
        <f>IFERROR(__xludf.DUMMYFUNCTION("""COMPUTED_VALUE"""),2.35)</f>
        <v>2.35</v>
      </c>
      <c r="Z157" s="65">
        <f>IFERROR(__xludf.DUMMYFUNCTION("""COMPUTED_VALUE"""),116679.0)</f>
        <v>116679</v>
      </c>
      <c r="AA157" s="65" t="str">
        <f>IFERROR(__xludf.DUMMYFUNCTION("""COMPUTED_VALUE"""),"AMC-2738")</f>
        <v>AMC-2738</v>
      </c>
      <c r="AB157" s="65"/>
      <c r="AC157" s="65" t="str">
        <f>IFERROR(__xludf.DUMMYFUNCTION("""COMPUTED_VALUE"""),"ESPONJA ANTILLUVIA DE PARABRISAS")</f>
        <v>ESPONJA ANTILLUVIA DE PARABRISAS</v>
      </c>
      <c r="AD157" s="65"/>
      <c r="AE157" s="65">
        <f>IFERROR(__xludf.DUMMYFUNCTION("""COMPUTED_VALUE"""),1.0)</f>
        <v>1</v>
      </c>
      <c r="AF157" s="65"/>
      <c r="AG157" s="65"/>
      <c r="AH157" s="65"/>
      <c r="AI157" s="65"/>
      <c r="AJ157" s="65"/>
      <c r="AK157" s="65"/>
      <c r="AL157" s="65"/>
      <c r="AM157" s="65"/>
      <c r="AN157" s="65"/>
      <c r="AO157" s="65"/>
      <c r="AP157" s="65"/>
      <c r="AQ157" s="65"/>
      <c r="AR157" s="65"/>
      <c r="AS157" s="65"/>
      <c r="AT157" s="65" t="str">
        <f>IFERROR(__xludf.DUMMYFUNCTION("""COMPUTED_VALUE"""),"SHOPIFY")</f>
        <v>SHOPIFY</v>
      </c>
      <c r="AU157" s="65" t="str">
        <f>IFERROR(__xludf.DUMMYFUNCTION("""COMPUTED_VALUE"""),"IMPORTEX EC")</f>
        <v>IMPORTEX EC</v>
      </c>
      <c r="AV157" s="65" t="str">
        <f>IFERROR(__xludf.DUMMYFUNCTION("""COMPUTED_VALUE"""),"6581798043692")</f>
        <v>6581798043692</v>
      </c>
      <c r="AW157" s="65">
        <f>IFERROR(__xludf.DUMMYFUNCTION("""COMPUTED_VALUE"""),6695.0)</f>
        <v>6695</v>
      </c>
      <c r="AX157" s="65"/>
      <c r="AY157" s="65"/>
      <c r="AZ157" s="65"/>
      <c r="BA157" s="65"/>
    </row>
    <row r="158">
      <c r="A158" s="65" t="str">
        <f>IFERROR(__xludf.DUMMYFUNCTION("""COMPUTED_VALUE"""),"27-03-2026")</f>
        <v>27-03-2026</v>
      </c>
      <c r="B158" s="65">
        <f>IFERROR(__xludf.DUMMYFUNCTION("""COMPUTED_VALUE"""),4808974.0)</f>
        <v>4808974</v>
      </c>
      <c r="C158" s="65" t="str">
        <f>IFERROR(__xludf.DUMMYFUNCTION("""COMPUTED_VALUE"""),"17:43")</f>
        <v>17:43</v>
      </c>
      <c r="D158" s="65" t="str">
        <f>IFERROR(__xludf.DUMMYFUNCTION("""COMPUTED_VALUE"""),"15-03-2026")</f>
        <v>15-03-2026</v>
      </c>
      <c r="E158" s="65" t="str">
        <f>IFERROR(__xludf.DUMMYFUNCTION("""COMPUTED_VALUE"""),"Valery Elizabeth Contreras Paredes")</f>
        <v>Valery Elizabeth Contreras Paredes</v>
      </c>
      <c r="F158" s="65" t="str">
        <f>IFERROR(__xludf.DUMMYFUNCTION("""COMPUTED_VALUE"""),"997833710")</f>
        <v>997833710</v>
      </c>
      <c r="G158" s="65" t="str">
        <f>IFERROR(__xludf.DUMMYFUNCTION("""COMPUTED_VALUE"""),"contrerasvaleiana@yahoo.com")</f>
        <v>contrerasvaleiana@yahoo.com</v>
      </c>
      <c r="H158" s="65"/>
      <c r="I158" s="65"/>
      <c r="J158" s="65" t="str">
        <f>IFERROR(__xludf.DUMMYFUNCTION("""COMPUTED_VALUE"""),"D001423833")</f>
        <v>D001423833</v>
      </c>
      <c r="K158" s="65" t="str">
        <f>IFERROR(__xludf.DUMMYFUNCTION("""COMPUTED_VALUE"""),"ENTREGADO")</f>
        <v>ENTREGADO</v>
      </c>
      <c r="L158" s="65" t="str">
        <f>IFERROR(__xludf.DUMMYFUNCTION("""COMPUTED_VALUE"""),"CON RECAUDO")</f>
        <v>CON RECAUDO</v>
      </c>
      <c r="M158" s="65" t="str">
        <f>IFERROR(__xludf.DUMMYFUNCTION("""COMPUTED_VALUE"""),"PICHINCHA")</f>
        <v>PICHINCHA</v>
      </c>
      <c r="N158" s="65" t="str">
        <f>IFERROR(__xludf.DUMMYFUNCTION("""COMPUTED_VALUE"""),"QUITO")</f>
        <v>QUITO</v>
      </c>
      <c r="O158" s="65" t="str">
        <f>IFERROR(__xludf.DUMMYFUNCTION("""COMPUTED_VALUE"""),"De los Alhelies E15-136 y las Farsalias , Conjunto HaVitad V")</f>
        <v>De los Alhelies E15-136 y las Farsalias , Conjunto HaVitad V</v>
      </c>
      <c r="P158" s="65"/>
      <c r="Q158" s="65" t="str">
        <f>IFERROR(__xludf.DUMMYFUNCTION("""COMPUTED_VALUE"""),"GINTRACOM")</f>
        <v>GINTRACOM</v>
      </c>
      <c r="R158" s="65">
        <f>IFERROR(__xludf.DUMMYFUNCTION("""COMPUTED_VALUE"""),30.0)</f>
        <v>30</v>
      </c>
      <c r="S158" s="65">
        <f>IFERROR(__xludf.DUMMYFUNCTION("""COMPUTED_VALUE"""),18.4)</f>
        <v>18.4</v>
      </c>
      <c r="T158" s="65">
        <f>IFERROR(__xludf.DUMMYFUNCTION("""COMPUTED_VALUE"""),4.55)</f>
        <v>4.55</v>
      </c>
      <c r="U158" s="65">
        <f>IFERROR(__xludf.DUMMYFUNCTION("""COMPUTED_VALUE"""),0.0)</f>
        <v>0</v>
      </c>
      <c r="V158" s="65">
        <f>IFERROR(__xludf.DUMMYFUNCTION("""COMPUTED_VALUE"""),0.0)</f>
        <v>0</v>
      </c>
      <c r="W158" s="65">
        <f>IFERROR(__xludf.DUMMYFUNCTION("""COMPUTED_VALUE"""),0.0)</f>
        <v>0</v>
      </c>
      <c r="X158" s="65">
        <f>IFERROR(__xludf.DUMMYFUNCTION("""COMPUTED_VALUE"""),2.35)</f>
        <v>2.35</v>
      </c>
      <c r="Y158" s="65">
        <f>IFERROR(__xludf.DUMMYFUNCTION("""COMPUTED_VALUE"""),7.05)</f>
        <v>7.05</v>
      </c>
      <c r="Z158" s="65">
        <f>IFERROR(__xludf.DUMMYFUNCTION("""COMPUTED_VALUE"""),116679.0)</f>
        <v>116679</v>
      </c>
      <c r="AA158" s="65" t="str">
        <f>IFERROR(__xludf.DUMMYFUNCTION("""COMPUTED_VALUE"""),"AMC-2738")</f>
        <v>AMC-2738</v>
      </c>
      <c r="AB158" s="65"/>
      <c r="AC158" s="65" t="str">
        <f>IFERROR(__xludf.DUMMYFUNCTION("""COMPUTED_VALUE"""),"ESPONJA ANTILLUVIA DE PARABRISAS")</f>
        <v>ESPONJA ANTILLUVIA DE PARABRISAS</v>
      </c>
      <c r="AD158" s="65"/>
      <c r="AE158" s="65">
        <f>IFERROR(__xludf.DUMMYFUNCTION("""COMPUTED_VALUE"""),3.0)</f>
        <v>3</v>
      </c>
      <c r="AF158" s="65"/>
      <c r="AG158" s="65"/>
      <c r="AH158" s="65"/>
      <c r="AI158" s="65"/>
      <c r="AJ158" s="65"/>
      <c r="AK158" s="65"/>
      <c r="AL158" s="65"/>
      <c r="AM158" s="65"/>
      <c r="AN158" s="65" t="str">
        <f>IFERROR(__xludf.DUMMYFUNCTION("""COMPUTED_VALUE"""),"14:15")</f>
        <v>14:15</v>
      </c>
      <c r="AO158" s="65" t="str">
        <f>IFERROR(__xludf.DUMMYFUNCTION("""COMPUTED_VALUE"""),"23-03-2026")</f>
        <v>23-03-2026</v>
      </c>
      <c r="AP158" s="65" t="str">
        <f>IFERROR(__xludf.DUMMYFUNCTION("""COMPUTED_VALUE"""),"ENTREGADA GINTRACOM")</f>
        <v>ENTREGADA GINTRACOM</v>
      </c>
      <c r="AQ158" s="65" t="str">
        <f>IFERROR(__xludf.DUMMYFUNCTION("""COMPUTED_VALUE"""),"ENTREGADA GINTRACOM")</f>
        <v>ENTREGADA GINTRACOM</v>
      </c>
      <c r="AR158" s="65"/>
      <c r="AS158" s="65"/>
      <c r="AT158" s="65" t="str">
        <f>IFERROR(__xludf.DUMMYFUNCTION("""COMPUTED_VALUE"""),"SHOPIFY")</f>
        <v>SHOPIFY</v>
      </c>
      <c r="AU158" s="65" t="str">
        <f>IFERROR(__xludf.DUMMYFUNCTION("""COMPUTED_VALUE"""),"IMPORTEX EC")</f>
        <v>IMPORTEX EC</v>
      </c>
      <c r="AV158" s="65" t="str">
        <f>IFERROR(__xludf.DUMMYFUNCTION("""COMPUTED_VALUE"""),"6581427437612")</f>
        <v>6581427437612</v>
      </c>
      <c r="AW158" s="65">
        <f>IFERROR(__xludf.DUMMYFUNCTION("""COMPUTED_VALUE"""),6692.0)</f>
        <v>6692</v>
      </c>
      <c r="AX158" s="65"/>
      <c r="AY158" s="65" t="str">
        <f>IFERROR(__xludf.DUMMYFUNCTION("""COMPUTED_VALUE"""),"17/03/2026")</f>
        <v>17/03/2026</v>
      </c>
      <c r="AZ158" s="65"/>
      <c r="BA158" s="65"/>
    </row>
    <row r="159">
      <c r="A159" s="65" t="str">
        <f>IFERROR(__xludf.DUMMYFUNCTION("""COMPUTED_VALUE"""),"27-03-2026")</f>
        <v>27-03-2026</v>
      </c>
      <c r="B159" s="65">
        <f>IFERROR(__xludf.DUMMYFUNCTION("""COMPUTED_VALUE"""),4808437.0)</f>
        <v>4808437</v>
      </c>
      <c r="C159" s="65" t="str">
        <f>IFERROR(__xludf.DUMMYFUNCTION("""COMPUTED_VALUE"""),"16:28")</f>
        <v>16:28</v>
      </c>
      <c r="D159" s="65" t="str">
        <f>IFERROR(__xludf.DUMMYFUNCTION("""COMPUTED_VALUE"""),"15-03-2026")</f>
        <v>15-03-2026</v>
      </c>
      <c r="E159" s="65" t="str">
        <f>IFERROR(__xludf.DUMMYFUNCTION("""COMPUTED_VALUE"""),"Juan Piñuela")</f>
        <v>Juan Piñuela</v>
      </c>
      <c r="F159" s="65" t="str">
        <f>IFERROR(__xludf.DUMMYFUNCTION("""COMPUTED_VALUE"""),"969599561")</f>
        <v>969599561</v>
      </c>
      <c r="G159" s="65" t="str">
        <f>IFERROR(__xludf.DUMMYFUNCTION("""COMPUTED_VALUE"""),"juanpinuela@gmail.com")</f>
        <v>juanpinuela@gmail.com</v>
      </c>
      <c r="H159" s="65"/>
      <c r="I159" s="65"/>
      <c r="J159" s="65" t="str">
        <f>IFERROR(__xludf.DUMMYFUNCTION("""COMPUTED_VALUE"""),"D001423836")</f>
        <v>D001423836</v>
      </c>
      <c r="K159" s="65" t="str">
        <f>IFERROR(__xludf.DUMMYFUNCTION("""COMPUTED_VALUE"""),"ENTREGADO")</f>
        <v>ENTREGADO</v>
      </c>
      <c r="L159" s="65" t="str">
        <f>IFERROR(__xludf.DUMMYFUNCTION("""COMPUTED_VALUE"""),"CON RECAUDO")</f>
        <v>CON RECAUDO</v>
      </c>
      <c r="M159" s="65" t="str">
        <f>IFERROR(__xludf.DUMMYFUNCTION("""COMPUTED_VALUE"""),"PICHINCHA")</f>
        <v>PICHINCHA</v>
      </c>
      <c r="N159" s="65" t="str">
        <f>IFERROR(__xludf.DUMMYFUNCTION("""COMPUTED_VALUE"""),"QUITO")</f>
        <v>QUITO</v>
      </c>
      <c r="O159" s="65" t="str">
        <f>IFERROR(__xludf.DUMMYFUNCTION("""COMPUTED_VALUE"""),"Calle OE7A, CASA N3170, entre Mariana de Jesús y San Gabriel. Sector Hospital Metropolitano - QUITO")</f>
        <v>Calle OE7A, CASA N3170, entre Mariana de Jesús y San Gabriel. Sector Hospital Metropolitano - QUITO</v>
      </c>
      <c r="P159" s="65"/>
      <c r="Q159" s="65" t="str">
        <f>IFERROR(__xludf.DUMMYFUNCTION("""COMPUTED_VALUE"""),"GINTRACOM")</f>
        <v>GINTRACOM</v>
      </c>
      <c r="R159" s="65">
        <f>IFERROR(__xludf.DUMMYFUNCTION("""COMPUTED_VALUE"""),30.0)</f>
        <v>30</v>
      </c>
      <c r="S159" s="65">
        <f>IFERROR(__xludf.DUMMYFUNCTION("""COMPUTED_VALUE"""),18.4)</f>
        <v>18.4</v>
      </c>
      <c r="T159" s="65">
        <f>IFERROR(__xludf.DUMMYFUNCTION("""COMPUTED_VALUE"""),4.55)</f>
        <v>4.55</v>
      </c>
      <c r="U159" s="65">
        <f>IFERROR(__xludf.DUMMYFUNCTION("""COMPUTED_VALUE"""),0.0)</f>
        <v>0</v>
      </c>
      <c r="V159" s="65">
        <f>IFERROR(__xludf.DUMMYFUNCTION("""COMPUTED_VALUE"""),0.0)</f>
        <v>0</v>
      </c>
      <c r="W159" s="65">
        <f>IFERROR(__xludf.DUMMYFUNCTION("""COMPUTED_VALUE"""),0.0)</f>
        <v>0</v>
      </c>
      <c r="X159" s="65">
        <f>IFERROR(__xludf.DUMMYFUNCTION("""COMPUTED_VALUE"""),2.35)</f>
        <v>2.35</v>
      </c>
      <c r="Y159" s="65">
        <f>IFERROR(__xludf.DUMMYFUNCTION("""COMPUTED_VALUE"""),7.05)</f>
        <v>7.05</v>
      </c>
      <c r="Z159" s="65">
        <f>IFERROR(__xludf.DUMMYFUNCTION("""COMPUTED_VALUE"""),116679.0)</f>
        <v>116679</v>
      </c>
      <c r="AA159" s="65" t="str">
        <f>IFERROR(__xludf.DUMMYFUNCTION("""COMPUTED_VALUE"""),"AMC-2738")</f>
        <v>AMC-2738</v>
      </c>
      <c r="AB159" s="65"/>
      <c r="AC159" s="65" t="str">
        <f>IFERROR(__xludf.DUMMYFUNCTION("""COMPUTED_VALUE"""),"ESPONJA ANTILLUVIA DE PARABRISAS")</f>
        <v>ESPONJA ANTILLUVIA DE PARABRISAS</v>
      </c>
      <c r="AD159" s="65"/>
      <c r="AE159" s="65">
        <f>IFERROR(__xludf.DUMMYFUNCTION("""COMPUTED_VALUE"""),3.0)</f>
        <v>3</v>
      </c>
      <c r="AF159" s="65" t="str">
        <f>IFERROR(__xludf.DUMMYFUNCTION("""COMPUTED_VALUE"""),"DESTINATARIO NO CONTESTA LLAMADAS NI WHATSAPP")</f>
        <v>DESTINATARIO NO CONTESTA LLAMADAS NI WHATSAPP</v>
      </c>
      <c r="AG159" s="65" t="str">
        <f>IFERROR(__xludf.DUMMYFUNCTION("""COMPUTED_VALUE"""),"SI")</f>
        <v>SI</v>
      </c>
      <c r="AH159" s="65" t="str">
        <f>IFERROR(__xludf.DUMMYFUNCTION("""COMPUTED_VALUE"""),"13:05")</f>
        <v>13:05</v>
      </c>
      <c r="AI159" s="65" t="str">
        <f>IFERROR(__xludf.DUMMYFUNCTION("""COMPUTED_VALUE"""),"18-03-2026")</f>
        <v>18-03-2026</v>
      </c>
      <c r="AJ159" s="65" t="str">
        <f>IFERROR(__xludf.DUMMYFUNCTION("""COMPUTED_VALUE"""),"El cliente requiere entrega inmediata; por favor, coordinar directamente con él para concretar la entrega.")</f>
        <v>El cliente requiere entrega inmediata; por favor, coordinar directamente con él para concretar la entrega.</v>
      </c>
      <c r="AK159" s="65" t="str">
        <f>IFERROR(__xludf.DUMMYFUNCTION("""COMPUTED_VALUE"""),"10:17")</f>
        <v>10:17</v>
      </c>
      <c r="AL159" s="65" t="str">
        <f>IFERROR(__xludf.DUMMYFUNCTION("""COMPUTED_VALUE"""),"19-03-2026")</f>
        <v>19-03-2026</v>
      </c>
      <c r="AM159" s="65"/>
      <c r="AN159" s="65" t="str">
        <f>IFERROR(__xludf.DUMMYFUNCTION("""COMPUTED_VALUE"""),"10:11")</f>
        <v>10:11</v>
      </c>
      <c r="AO159" s="65" t="str">
        <f>IFERROR(__xludf.DUMMYFUNCTION("""COMPUTED_VALUE"""),"21-03-2026")</f>
        <v>21-03-2026</v>
      </c>
      <c r="AP159" s="65" t="str">
        <f>IFERROR(__xludf.DUMMYFUNCTION("""COMPUTED_VALUE"""),"ENTREGADA GINTRACOM")</f>
        <v>ENTREGADA GINTRACOM</v>
      </c>
      <c r="AQ159" s="65" t="str">
        <f>IFERROR(__xludf.DUMMYFUNCTION("""COMPUTED_VALUE"""),"ENTREGADA GINTRACOM")</f>
        <v>ENTREGADA GINTRACOM</v>
      </c>
      <c r="AR159" s="65"/>
      <c r="AS159" s="65"/>
      <c r="AT159" s="65" t="str">
        <f>IFERROR(__xludf.DUMMYFUNCTION("""COMPUTED_VALUE"""),"SHOPIFY")</f>
        <v>SHOPIFY</v>
      </c>
      <c r="AU159" s="65" t="str">
        <f>IFERROR(__xludf.DUMMYFUNCTION("""COMPUTED_VALUE"""),"IMPORTEX EC")</f>
        <v>IMPORTEX EC</v>
      </c>
      <c r="AV159" s="65" t="str">
        <f>IFERROR(__xludf.DUMMYFUNCTION("""COMPUTED_VALUE"""),"6581277392940")</f>
        <v>6581277392940</v>
      </c>
      <c r="AW159" s="65">
        <f>IFERROR(__xludf.DUMMYFUNCTION("""COMPUTED_VALUE"""),6691.0)</f>
        <v>6691</v>
      </c>
      <c r="AX159" s="65"/>
      <c r="AY159" s="65" t="str">
        <f>IFERROR(__xludf.DUMMYFUNCTION("""COMPUTED_VALUE"""),"17/03/2026")</f>
        <v>17/03/2026</v>
      </c>
      <c r="AZ159" s="65"/>
      <c r="BA159" s="65"/>
    </row>
    <row r="160">
      <c r="A160" s="65" t="str">
        <f>IFERROR(__xludf.DUMMYFUNCTION("""COMPUTED_VALUE"""),"27-03-2026")</f>
        <v>27-03-2026</v>
      </c>
      <c r="B160" s="65">
        <f>IFERROR(__xludf.DUMMYFUNCTION("""COMPUTED_VALUE"""),4808114.0)</f>
        <v>4808114</v>
      </c>
      <c r="C160" s="65" t="str">
        <f>IFERROR(__xludf.DUMMYFUNCTION("""COMPUTED_VALUE"""),"15:46")</f>
        <v>15:46</v>
      </c>
      <c r="D160" s="65" t="str">
        <f>IFERROR(__xludf.DUMMYFUNCTION("""COMPUTED_VALUE"""),"15-03-2026")</f>
        <v>15-03-2026</v>
      </c>
      <c r="E160" s="65" t="str">
        <f>IFERROR(__xludf.DUMMYFUNCTION("""COMPUTED_VALUE"""),"Ana Mora")</f>
        <v>Ana Mora</v>
      </c>
      <c r="F160" s="65" t="str">
        <f>IFERROR(__xludf.DUMMYFUNCTION("""COMPUTED_VALUE"""),"990330312")</f>
        <v>990330312</v>
      </c>
      <c r="G160" s="65" t="str">
        <f>IFERROR(__xludf.DUMMYFUNCTION("""COMPUTED_VALUE"""),"a69828524@gmail.com")</f>
        <v>a69828524@gmail.com</v>
      </c>
      <c r="H160" s="65"/>
      <c r="I160" s="65"/>
      <c r="J160" s="65" t="str">
        <f>IFERROR(__xludf.DUMMYFUNCTION("""COMPUTED_VALUE"""),"D001427346")</f>
        <v>D001427346</v>
      </c>
      <c r="K160" s="65" t="str">
        <f>IFERROR(__xludf.DUMMYFUNCTION("""COMPUTED_VALUE"""),"ENTREGADO")</f>
        <v>ENTREGADO</v>
      </c>
      <c r="L160" s="65" t="str">
        <f>IFERROR(__xludf.DUMMYFUNCTION("""COMPUTED_VALUE"""),"CON RECAUDO")</f>
        <v>CON RECAUDO</v>
      </c>
      <c r="M160" s="65" t="str">
        <f>IFERROR(__xludf.DUMMYFUNCTION("""COMPUTED_VALUE"""),"MORONA SANTIAGO")</f>
        <v>MORONA SANTIAGO</v>
      </c>
      <c r="N160" s="65" t="str">
        <f>IFERROR(__xludf.DUMMYFUNCTION("""COMPUTED_VALUE"""),"MACAS")</f>
        <v>MACAS</v>
      </c>
      <c r="O160" s="65" t="str">
        <f>IFERROR(__xludf.DUMMYFUNCTION("""COMPUTED_VALUE"""),"Vía Macas Riobamba,  A pocos metros del Parque central Jimbitono -  General Proaño / Jimbitono/ barrio San Antonio")</f>
        <v>Vía Macas Riobamba,  A pocos metros del Parque central Jimbitono -  General Proaño / Jimbitono/ barrio San Antonio</v>
      </c>
      <c r="P160" s="65"/>
      <c r="Q160" s="65" t="str">
        <f>IFERROR(__xludf.DUMMYFUNCTION("""COMPUTED_VALUE"""),"GINTRACOM")</f>
        <v>GINTRACOM</v>
      </c>
      <c r="R160" s="65">
        <f>IFERROR(__xludf.DUMMYFUNCTION("""COMPUTED_VALUE"""),25.0)</f>
        <v>25</v>
      </c>
      <c r="S160" s="65">
        <f>IFERROR(__xludf.DUMMYFUNCTION("""COMPUTED_VALUE"""),14.34)</f>
        <v>14.34</v>
      </c>
      <c r="T160" s="65">
        <f>IFERROR(__xludf.DUMMYFUNCTION("""COMPUTED_VALUE"""),5.96)</f>
        <v>5.96</v>
      </c>
      <c r="U160" s="65">
        <f>IFERROR(__xludf.DUMMYFUNCTION("""COMPUTED_VALUE"""),0.0)</f>
        <v>0</v>
      </c>
      <c r="V160" s="65">
        <f>IFERROR(__xludf.DUMMYFUNCTION("""COMPUTED_VALUE"""),0.0)</f>
        <v>0</v>
      </c>
      <c r="W160" s="65">
        <f>IFERROR(__xludf.DUMMYFUNCTION("""COMPUTED_VALUE"""),0.0)</f>
        <v>0</v>
      </c>
      <c r="X160" s="65">
        <f>IFERROR(__xludf.DUMMYFUNCTION("""COMPUTED_VALUE"""),2.35)</f>
        <v>2.35</v>
      </c>
      <c r="Y160" s="65">
        <f>IFERROR(__xludf.DUMMYFUNCTION("""COMPUTED_VALUE"""),4.7)</f>
        <v>4.7</v>
      </c>
      <c r="Z160" s="65">
        <f>IFERROR(__xludf.DUMMYFUNCTION("""COMPUTED_VALUE"""),116679.0)</f>
        <v>116679</v>
      </c>
      <c r="AA160" s="65" t="str">
        <f>IFERROR(__xludf.DUMMYFUNCTION("""COMPUTED_VALUE"""),"AMC-2738")</f>
        <v>AMC-2738</v>
      </c>
      <c r="AB160" s="65"/>
      <c r="AC160" s="65" t="str">
        <f>IFERROR(__xludf.DUMMYFUNCTION("""COMPUTED_VALUE"""),"ESPONJA ANTILLUVIA DE PARABRISAS")</f>
        <v>ESPONJA ANTILLUVIA DE PARABRISAS</v>
      </c>
      <c r="AD160" s="65"/>
      <c r="AE160" s="65">
        <f>IFERROR(__xludf.DUMMYFUNCTION("""COMPUTED_VALUE"""),2.0)</f>
        <v>2</v>
      </c>
      <c r="AF160" s="65" t="str">
        <f>IFERROR(__xludf.DUMMYFUNCTION("""COMPUTED_VALUE"""),"DESTINATARIO NO CONTESTA LLAMADAS NI WHATSAPP")</f>
        <v>DESTINATARIO NO CONTESTA LLAMADAS NI WHATSAPP</v>
      </c>
      <c r="AG160" s="65" t="str">
        <f>IFERROR(__xludf.DUMMYFUNCTION("""COMPUTED_VALUE"""),"SI")</f>
        <v>SI</v>
      </c>
      <c r="AH160" s="65" t="str">
        <f>IFERROR(__xludf.DUMMYFUNCTION("""COMPUTED_VALUE"""),"17:11")</f>
        <v>17:11</v>
      </c>
      <c r="AI160" s="65" t="str">
        <f>IFERROR(__xludf.DUMMYFUNCTION("""COMPUTED_VALUE"""),"20-03-2026")</f>
        <v>20-03-2026</v>
      </c>
      <c r="AJ160" s="65" t="str">
        <f>IFERROR(__xludf.DUMMYFUNCTION("""COMPUTED_VALUE"""),"El cliente requiere entrega inmediata; por favor, coordinar directamente con él para concretar la entrega.")</f>
        <v>El cliente requiere entrega inmediata; por favor, coordinar directamente con él para concretar la entrega.</v>
      </c>
      <c r="AK160" s="65" t="str">
        <f>IFERROR(__xludf.DUMMYFUNCTION("""COMPUTED_VALUE"""),"10:39")</f>
        <v>10:39</v>
      </c>
      <c r="AL160" s="65" t="str">
        <f>IFERROR(__xludf.DUMMYFUNCTION("""COMPUTED_VALUE"""),"23-03-2026")</f>
        <v>23-03-2026</v>
      </c>
      <c r="AM160" s="65"/>
      <c r="AN160" s="65" t="str">
        <f>IFERROR(__xludf.DUMMYFUNCTION("""COMPUTED_VALUE"""),"19:08")</f>
        <v>19:08</v>
      </c>
      <c r="AO160" s="65" t="str">
        <f>IFERROR(__xludf.DUMMYFUNCTION("""COMPUTED_VALUE"""),"26-03-2026")</f>
        <v>26-03-2026</v>
      </c>
      <c r="AP160" s="65" t="str">
        <f>IFERROR(__xludf.DUMMYFUNCTION("""COMPUTED_VALUE"""),"ENTREGADA GINTRACOM")</f>
        <v>ENTREGADA GINTRACOM</v>
      </c>
      <c r="AQ160" s="65" t="str">
        <f>IFERROR(__xludf.DUMMYFUNCTION("""COMPUTED_VALUE"""),"ENTREGADA GINTRACOM")</f>
        <v>ENTREGADA GINTRACOM</v>
      </c>
      <c r="AR160" s="65"/>
      <c r="AS160" s="65"/>
      <c r="AT160" s="65" t="str">
        <f>IFERROR(__xludf.DUMMYFUNCTION("""COMPUTED_VALUE"""),"SHOPIFY")</f>
        <v>SHOPIFY</v>
      </c>
      <c r="AU160" s="65" t="str">
        <f>IFERROR(__xludf.DUMMYFUNCTION("""COMPUTED_VALUE"""),"IMPORTEX EC")</f>
        <v>IMPORTEX EC</v>
      </c>
      <c r="AV160" s="65" t="str">
        <f>IFERROR(__xludf.DUMMYFUNCTION("""COMPUTED_VALUE"""),"6581186691116")</f>
        <v>6581186691116</v>
      </c>
      <c r="AW160" s="65">
        <f>IFERROR(__xludf.DUMMYFUNCTION("""COMPUTED_VALUE"""),6690.0)</f>
        <v>6690</v>
      </c>
      <c r="AX160" s="65"/>
      <c r="AY160" s="65" t="str">
        <f>IFERROR(__xludf.DUMMYFUNCTION("""COMPUTED_VALUE"""),"18/03/2026")</f>
        <v>18/03/2026</v>
      </c>
      <c r="AZ160" s="65"/>
      <c r="BA160" s="65"/>
    </row>
    <row r="161">
      <c r="A161" s="65" t="str">
        <f>IFERROR(__xludf.DUMMYFUNCTION("""COMPUTED_VALUE"""),"27-03-2026")</f>
        <v>27-03-2026</v>
      </c>
      <c r="B161" s="65">
        <f>IFERROR(__xludf.DUMMYFUNCTION("""COMPUTED_VALUE"""),4807432.0)</f>
        <v>4807432</v>
      </c>
      <c r="C161" s="65" t="str">
        <f>IFERROR(__xludf.DUMMYFUNCTION("""COMPUTED_VALUE"""),"14:14")</f>
        <v>14:14</v>
      </c>
      <c r="D161" s="65" t="str">
        <f>IFERROR(__xludf.DUMMYFUNCTION("""COMPUTED_VALUE"""),"15-03-2026")</f>
        <v>15-03-2026</v>
      </c>
      <c r="E161" s="65" t="str">
        <f>IFERROR(__xludf.DUMMYFUNCTION("""COMPUTED_VALUE"""),"Daniela Delgado")</f>
        <v>Daniela Delgado</v>
      </c>
      <c r="F161" s="65" t="str">
        <f>IFERROR(__xludf.DUMMYFUNCTION("""COMPUTED_VALUE"""),"962132222")</f>
        <v>962132222</v>
      </c>
      <c r="G161" s="65" t="str">
        <f>IFERROR(__xludf.DUMMYFUNCTION("""COMPUTED_VALUE"""),"danidelgado16@hotmail.com")</f>
        <v>danidelgado16@hotmail.com</v>
      </c>
      <c r="H161" s="65"/>
      <c r="I161" s="65"/>
      <c r="J161" s="65" t="str">
        <f>IFERROR(__xludf.DUMMYFUNCTION("""COMPUTED_VALUE"""),"D001423838")</f>
        <v>D001423838</v>
      </c>
      <c r="K161" s="65" t="str">
        <f>IFERROR(__xludf.DUMMYFUNCTION("""COMPUTED_VALUE"""),"ENTREGADO")</f>
        <v>ENTREGADO</v>
      </c>
      <c r="L161" s="65" t="str">
        <f>IFERROR(__xludf.DUMMYFUNCTION("""COMPUTED_VALUE"""),"CON RECAUDO")</f>
        <v>CON RECAUDO</v>
      </c>
      <c r="M161" s="65" t="str">
        <f>IFERROR(__xludf.DUMMYFUNCTION("""COMPUTED_VALUE"""),"TUNGURAHUA")</f>
        <v>TUNGURAHUA</v>
      </c>
      <c r="N161" s="65" t="str">
        <f>IFERROR(__xludf.DUMMYFUNCTION("""COMPUTED_VALUE"""),"AMBATO")</f>
        <v>AMBATO</v>
      </c>
      <c r="O161" s="65" t="str">
        <f>IFERROR(__xludf.DUMMYFUNCTION("""COMPUTED_VALUE"""),"Av. Los Guaytambos y La Delicia, Ficoa, Frente a Kywi")</f>
        <v>Av. Los Guaytambos y La Delicia, Ficoa, Frente a Kywi</v>
      </c>
      <c r="P161" s="65"/>
      <c r="Q161" s="65" t="str">
        <f>IFERROR(__xludf.DUMMYFUNCTION("""COMPUTED_VALUE"""),"GINTRACOM")</f>
        <v>GINTRACOM</v>
      </c>
      <c r="R161" s="65">
        <f>IFERROR(__xludf.DUMMYFUNCTION("""COMPUTED_VALUE"""),30.0)</f>
        <v>30</v>
      </c>
      <c r="S161" s="65">
        <f>IFERROR(__xludf.DUMMYFUNCTION("""COMPUTED_VALUE"""),16.79)</f>
        <v>16.79</v>
      </c>
      <c r="T161" s="65">
        <f>IFERROR(__xludf.DUMMYFUNCTION("""COMPUTED_VALUE"""),6.16)</f>
        <v>6.16</v>
      </c>
      <c r="U161" s="65">
        <f>IFERROR(__xludf.DUMMYFUNCTION("""COMPUTED_VALUE"""),0.0)</f>
        <v>0</v>
      </c>
      <c r="V161" s="65">
        <f>IFERROR(__xludf.DUMMYFUNCTION("""COMPUTED_VALUE"""),0.0)</f>
        <v>0</v>
      </c>
      <c r="W161" s="65">
        <f>IFERROR(__xludf.DUMMYFUNCTION("""COMPUTED_VALUE"""),0.0)</f>
        <v>0</v>
      </c>
      <c r="X161" s="65">
        <f>IFERROR(__xludf.DUMMYFUNCTION("""COMPUTED_VALUE"""),2.35)</f>
        <v>2.35</v>
      </c>
      <c r="Y161" s="65">
        <f>IFERROR(__xludf.DUMMYFUNCTION("""COMPUTED_VALUE"""),7.05)</f>
        <v>7.05</v>
      </c>
      <c r="Z161" s="65">
        <f>IFERROR(__xludf.DUMMYFUNCTION("""COMPUTED_VALUE"""),116679.0)</f>
        <v>116679</v>
      </c>
      <c r="AA161" s="65" t="str">
        <f>IFERROR(__xludf.DUMMYFUNCTION("""COMPUTED_VALUE"""),"AMC-2738")</f>
        <v>AMC-2738</v>
      </c>
      <c r="AB161" s="65"/>
      <c r="AC161" s="65" t="str">
        <f>IFERROR(__xludf.DUMMYFUNCTION("""COMPUTED_VALUE"""),"ESPONJA ANTILLUVIA DE PARABRISAS")</f>
        <v>ESPONJA ANTILLUVIA DE PARABRISAS</v>
      </c>
      <c r="AD161" s="65"/>
      <c r="AE161" s="65">
        <f>IFERROR(__xludf.DUMMYFUNCTION("""COMPUTED_VALUE"""),3.0)</f>
        <v>3</v>
      </c>
      <c r="AF161" s="65"/>
      <c r="AG161" s="65"/>
      <c r="AH161" s="65"/>
      <c r="AI161" s="65"/>
      <c r="AJ161" s="65"/>
      <c r="AK161" s="65"/>
      <c r="AL161" s="65"/>
      <c r="AM161" s="65"/>
      <c r="AN161" s="65" t="str">
        <f>IFERROR(__xludf.DUMMYFUNCTION("""COMPUTED_VALUE"""),"14:06")</f>
        <v>14:06</v>
      </c>
      <c r="AO161" s="65" t="str">
        <f>IFERROR(__xludf.DUMMYFUNCTION("""COMPUTED_VALUE"""),"19-03-2026")</f>
        <v>19-03-2026</v>
      </c>
      <c r="AP161" s="65" t="str">
        <f>IFERROR(__xludf.DUMMYFUNCTION("""COMPUTED_VALUE"""),"ENTREGADA GINTRACOM")</f>
        <v>ENTREGADA GINTRACOM</v>
      </c>
      <c r="AQ161" s="65" t="str">
        <f>IFERROR(__xludf.DUMMYFUNCTION("""COMPUTED_VALUE"""),"ENTREGADA GINTRACOM")</f>
        <v>ENTREGADA GINTRACOM</v>
      </c>
      <c r="AR161" s="65"/>
      <c r="AS161" s="65"/>
      <c r="AT161" s="65" t="str">
        <f>IFERROR(__xludf.DUMMYFUNCTION("""COMPUTED_VALUE"""),"SHOPIFY")</f>
        <v>SHOPIFY</v>
      </c>
      <c r="AU161" s="65" t="str">
        <f>IFERROR(__xludf.DUMMYFUNCTION("""COMPUTED_VALUE"""),"IMPORTEX EC")</f>
        <v>IMPORTEX EC</v>
      </c>
      <c r="AV161" s="65" t="str">
        <f>IFERROR(__xludf.DUMMYFUNCTION("""COMPUTED_VALUE"""),"6580996472876")</f>
        <v>6580996472876</v>
      </c>
      <c r="AW161" s="65">
        <f>IFERROR(__xludf.DUMMYFUNCTION("""COMPUTED_VALUE"""),6689.0)</f>
        <v>6689</v>
      </c>
      <c r="AX161" s="65"/>
      <c r="AY161" s="65" t="str">
        <f>IFERROR(__xludf.DUMMYFUNCTION("""COMPUTED_VALUE"""),"17/03/2026")</f>
        <v>17/03/2026</v>
      </c>
      <c r="AZ161" s="65"/>
      <c r="BA161" s="65"/>
    </row>
    <row r="162">
      <c r="A162" s="65" t="str">
        <f>IFERROR(__xludf.DUMMYFUNCTION("""COMPUTED_VALUE"""),"27-03-2026")</f>
        <v>27-03-2026</v>
      </c>
      <c r="B162" s="65">
        <f>IFERROR(__xludf.DUMMYFUNCTION("""COMPUTED_VALUE"""),4806665.0)</f>
        <v>4806665</v>
      </c>
      <c r="C162" s="65" t="str">
        <f>IFERROR(__xludf.DUMMYFUNCTION("""COMPUTED_VALUE"""),"12:16")</f>
        <v>12:16</v>
      </c>
      <c r="D162" s="65" t="str">
        <f>IFERROR(__xludf.DUMMYFUNCTION("""COMPUTED_VALUE"""),"15-03-2026")</f>
        <v>15-03-2026</v>
      </c>
      <c r="E162" s="65" t="str">
        <f>IFERROR(__xludf.DUMMYFUNCTION("""COMPUTED_VALUE"""),"gina cobeña")</f>
        <v>gina cobeña</v>
      </c>
      <c r="F162" s="65" t="str">
        <f>IFERROR(__xludf.DUMMYFUNCTION("""COMPUTED_VALUE"""),"963753710")</f>
        <v>963753710</v>
      </c>
      <c r="G162" s="65" t="str">
        <f>IFERROR(__xludf.DUMMYFUNCTION("""COMPUTED_VALUE"""),"ginaalexandracobenamunoz@gmail.com")</f>
        <v>ginaalexandracobenamunoz@gmail.com</v>
      </c>
      <c r="H162" s="65"/>
      <c r="I162" s="65"/>
      <c r="J162" s="65" t="str">
        <f>IFERROR(__xludf.DUMMYFUNCTION("""COMPUTED_VALUE"""),"D001423840")</f>
        <v>D001423840</v>
      </c>
      <c r="K162" s="65" t="str">
        <f>IFERROR(__xludf.DUMMYFUNCTION("""COMPUTED_VALUE"""),"ENTREGADO")</f>
        <v>ENTREGADO</v>
      </c>
      <c r="L162" s="65" t="str">
        <f>IFERROR(__xludf.DUMMYFUNCTION("""COMPUTED_VALUE"""),"CON RECAUDO")</f>
        <v>CON RECAUDO</v>
      </c>
      <c r="M162" s="65" t="str">
        <f>IFERROR(__xludf.DUMMYFUNCTION("""COMPUTED_VALUE"""),"MANABI")</f>
        <v>MANABI</v>
      </c>
      <c r="N162" s="65" t="str">
        <f>IFERROR(__xludf.DUMMYFUNCTION("""COMPUTED_VALUE"""),"EL CARMEN")</f>
        <v>EL CARMEN</v>
      </c>
      <c r="O162" s="65" t="str">
        <f>IFERROR(__xludf.DUMMYFUNCTION("""COMPUTED_VALUE"""),"RETIRA EN CS: EL CARMEN PRINCIPAL, CARLOS ALBERTO ARAY S/N Y ELOY ALFARO")</f>
        <v>RETIRA EN CS: EL CARMEN PRINCIPAL, CARLOS ALBERTO ARAY S/N Y ELOY ALFARO</v>
      </c>
      <c r="P162" s="65"/>
      <c r="Q162" s="65" t="str">
        <f>IFERROR(__xludf.DUMMYFUNCTION("""COMPUTED_VALUE"""),"GINTRACOM")</f>
        <v>GINTRACOM</v>
      </c>
      <c r="R162" s="65">
        <f>IFERROR(__xludf.DUMMYFUNCTION("""COMPUTED_VALUE"""),20.0)</f>
        <v>20</v>
      </c>
      <c r="S162" s="65">
        <f>IFERROR(__xludf.DUMMYFUNCTION("""COMPUTED_VALUE"""),11.89)</f>
        <v>11.89</v>
      </c>
      <c r="T162" s="65">
        <f>IFERROR(__xludf.DUMMYFUNCTION("""COMPUTED_VALUE"""),5.76)</f>
        <v>5.76</v>
      </c>
      <c r="U162" s="65">
        <f>IFERROR(__xludf.DUMMYFUNCTION("""COMPUTED_VALUE"""),0.0)</f>
        <v>0</v>
      </c>
      <c r="V162" s="65">
        <f>IFERROR(__xludf.DUMMYFUNCTION("""COMPUTED_VALUE"""),0.0)</f>
        <v>0</v>
      </c>
      <c r="W162" s="65">
        <f>IFERROR(__xludf.DUMMYFUNCTION("""COMPUTED_VALUE"""),0.0)</f>
        <v>0</v>
      </c>
      <c r="X162" s="65">
        <f>IFERROR(__xludf.DUMMYFUNCTION("""COMPUTED_VALUE"""),2.35)</f>
        <v>2.35</v>
      </c>
      <c r="Y162" s="65">
        <f>IFERROR(__xludf.DUMMYFUNCTION("""COMPUTED_VALUE"""),2.35)</f>
        <v>2.35</v>
      </c>
      <c r="Z162" s="65">
        <f>IFERROR(__xludf.DUMMYFUNCTION("""COMPUTED_VALUE"""),116679.0)</f>
        <v>116679</v>
      </c>
      <c r="AA162" s="65" t="str">
        <f>IFERROR(__xludf.DUMMYFUNCTION("""COMPUTED_VALUE"""),"AMC-2738")</f>
        <v>AMC-2738</v>
      </c>
      <c r="AB162" s="65"/>
      <c r="AC162" s="65" t="str">
        <f>IFERROR(__xludf.DUMMYFUNCTION("""COMPUTED_VALUE"""),"ESPONJA ANTILLUVIA DE PARABRISAS")</f>
        <v>ESPONJA ANTILLUVIA DE PARABRISAS</v>
      </c>
      <c r="AD162" s="65"/>
      <c r="AE162" s="65">
        <f>IFERROR(__xludf.DUMMYFUNCTION("""COMPUTED_VALUE"""),1.0)</f>
        <v>1</v>
      </c>
      <c r="AF162" s="65"/>
      <c r="AG162" s="65"/>
      <c r="AH162" s="65"/>
      <c r="AI162" s="65"/>
      <c r="AJ162" s="65"/>
      <c r="AK162" s="65"/>
      <c r="AL162" s="65"/>
      <c r="AM162" s="65"/>
      <c r="AN162" s="65" t="str">
        <f>IFERROR(__xludf.DUMMYFUNCTION("""COMPUTED_VALUE"""),"14:20")</f>
        <v>14:20</v>
      </c>
      <c r="AO162" s="65" t="str">
        <f>IFERROR(__xludf.DUMMYFUNCTION("""COMPUTED_VALUE"""),"23-03-2026")</f>
        <v>23-03-2026</v>
      </c>
      <c r="AP162" s="65" t="str">
        <f>IFERROR(__xludf.DUMMYFUNCTION("""COMPUTED_VALUE"""),"ENTREGADA GINTRACOM")</f>
        <v>ENTREGADA GINTRACOM</v>
      </c>
      <c r="AQ162" s="65" t="str">
        <f>IFERROR(__xludf.DUMMYFUNCTION("""COMPUTED_VALUE"""),"ENTREGADA GINTRACOM")</f>
        <v>ENTREGADA GINTRACOM</v>
      </c>
      <c r="AR162" s="65"/>
      <c r="AS162" s="65"/>
      <c r="AT162" s="65" t="str">
        <f>IFERROR(__xludf.DUMMYFUNCTION("""COMPUTED_VALUE"""),"SHOPIFY")</f>
        <v>SHOPIFY</v>
      </c>
      <c r="AU162" s="65" t="str">
        <f>IFERROR(__xludf.DUMMYFUNCTION("""COMPUTED_VALUE"""),"IMPORTEX EC")</f>
        <v>IMPORTEX EC</v>
      </c>
      <c r="AV162" s="65" t="str">
        <f>IFERROR(__xludf.DUMMYFUNCTION("""COMPUTED_VALUE"""),"6580737212460")</f>
        <v>6580737212460</v>
      </c>
      <c r="AW162" s="65">
        <f>IFERROR(__xludf.DUMMYFUNCTION("""COMPUTED_VALUE"""),6688.0)</f>
        <v>6688</v>
      </c>
      <c r="AX162" s="65"/>
      <c r="AY162" s="65" t="str">
        <f>IFERROR(__xludf.DUMMYFUNCTION("""COMPUTED_VALUE"""),"17/03/2026")</f>
        <v>17/03/2026</v>
      </c>
      <c r="AZ162" s="65"/>
      <c r="BA162" s="65"/>
    </row>
    <row r="163">
      <c r="A163" s="65" t="str">
        <f>IFERROR(__xludf.DUMMYFUNCTION("""COMPUTED_VALUE"""),"27-03-2026")</f>
        <v>27-03-2026</v>
      </c>
      <c r="B163" s="65">
        <f>IFERROR(__xludf.DUMMYFUNCTION("""COMPUTED_VALUE"""),4806128.0)</f>
        <v>4806128</v>
      </c>
      <c r="C163" s="65" t="str">
        <f>IFERROR(__xludf.DUMMYFUNCTION("""COMPUTED_VALUE"""),"11:06")</f>
        <v>11:06</v>
      </c>
      <c r="D163" s="65" t="str">
        <f>IFERROR(__xludf.DUMMYFUNCTION("""COMPUTED_VALUE"""),"15-03-2026")</f>
        <v>15-03-2026</v>
      </c>
      <c r="E163" s="65" t="str">
        <f>IFERROR(__xludf.DUMMYFUNCTION("""COMPUTED_VALUE"""),"Anthony Ganchozo")</f>
        <v>Anthony Ganchozo</v>
      </c>
      <c r="F163" s="65" t="str">
        <f>IFERROR(__xludf.DUMMYFUNCTION("""COMPUTED_VALUE"""),"986641757")</f>
        <v>986641757</v>
      </c>
      <c r="G163" s="65" t="str">
        <f>IFERROR(__xludf.DUMMYFUNCTION("""COMPUTED_VALUE"""),"aganchozo.98@gmail.com")</f>
        <v>aganchozo.98@gmail.com</v>
      </c>
      <c r="H163" s="65"/>
      <c r="I163" s="65"/>
      <c r="J163" s="65" t="str">
        <f>IFERROR(__xludf.DUMMYFUNCTION("""COMPUTED_VALUE"""),"D001423842")</f>
        <v>D001423842</v>
      </c>
      <c r="K163" s="65" t="str">
        <f>IFERROR(__xludf.DUMMYFUNCTION("""COMPUTED_VALUE"""),"ENTREGADO")</f>
        <v>ENTREGADO</v>
      </c>
      <c r="L163" s="65" t="str">
        <f>IFERROR(__xludf.DUMMYFUNCTION("""COMPUTED_VALUE"""),"CON RECAUDO")</f>
        <v>CON RECAUDO</v>
      </c>
      <c r="M163" s="65" t="str">
        <f>IFERROR(__xludf.DUMMYFUNCTION("""COMPUTED_VALUE"""),"ESMERALDAS")</f>
        <v>ESMERALDAS</v>
      </c>
      <c r="N163" s="65" t="str">
        <f>IFERROR(__xludf.DUMMYFUNCTION("""COMPUTED_VALUE"""),"QUININDE")</f>
        <v>QUININDE</v>
      </c>
      <c r="O163" s="65" t="str">
        <f>IFERROR(__xludf.DUMMYFUNCTION("""COMPUTED_VALUE"""),"Via Guayabamba km 1/2 , Frente al KARAOKE El Papi en la  Via Guayabamba km1/2 - QUININDE")</f>
        <v>Via Guayabamba km 1/2 , Frente al KARAOKE El Papi en la  Via Guayabamba km1/2 - QUININDE</v>
      </c>
      <c r="P163" s="65"/>
      <c r="Q163" s="65" t="str">
        <f>IFERROR(__xludf.DUMMYFUNCTION("""COMPUTED_VALUE"""),"GINTRACOM")</f>
        <v>GINTRACOM</v>
      </c>
      <c r="R163" s="65">
        <f>IFERROR(__xludf.DUMMYFUNCTION("""COMPUTED_VALUE"""),30.0)</f>
        <v>30</v>
      </c>
      <c r="S163" s="65">
        <f>IFERROR(__xludf.DUMMYFUNCTION("""COMPUTED_VALUE"""),16.79)</f>
        <v>16.79</v>
      </c>
      <c r="T163" s="65">
        <f>IFERROR(__xludf.DUMMYFUNCTION("""COMPUTED_VALUE"""),6.16)</f>
        <v>6.16</v>
      </c>
      <c r="U163" s="65">
        <f>IFERROR(__xludf.DUMMYFUNCTION("""COMPUTED_VALUE"""),0.0)</f>
        <v>0</v>
      </c>
      <c r="V163" s="65">
        <f>IFERROR(__xludf.DUMMYFUNCTION("""COMPUTED_VALUE"""),0.0)</f>
        <v>0</v>
      </c>
      <c r="W163" s="65">
        <f>IFERROR(__xludf.DUMMYFUNCTION("""COMPUTED_VALUE"""),0.0)</f>
        <v>0</v>
      </c>
      <c r="X163" s="65">
        <f>IFERROR(__xludf.DUMMYFUNCTION("""COMPUTED_VALUE"""),2.35)</f>
        <v>2.35</v>
      </c>
      <c r="Y163" s="65">
        <f>IFERROR(__xludf.DUMMYFUNCTION("""COMPUTED_VALUE"""),7.05)</f>
        <v>7.05</v>
      </c>
      <c r="Z163" s="65">
        <f>IFERROR(__xludf.DUMMYFUNCTION("""COMPUTED_VALUE"""),116679.0)</f>
        <v>116679</v>
      </c>
      <c r="AA163" s="65" t="str">
        <f>IFERROR(__xludf.DUMMYFUNCTION("""COMPUTED_VALUE"""),"AMC-2738")</f>
        <v>AMC-2738</v>
      </c>
      <c r="AB163" s="65"/>
      <c r="AC163" s="65" t="str">
        <f>IFERROR(__xludf.DUMMYFUNCTION("""COMPUTED_VALUE"""),"ESPONJA ANTILLUVIA DE PARABRISAS")</f>
        <v>ESPONJA ANTILLUVIA DE PARABRISAS</v>
      </c>
      <c r="AD163" s="65"/>
      <c r="AE163" s="65">
        <f>IFERROR(__xludf.DUMMYFUNCTION("""COMPUTED_VALUE"""),3.0)</f>
        <v>3</v>
      </c>
      <c r="AF163" s="65"/>
      <c r="AG163" s="65"/>
      <c r="AH163" s="65"/>
      <c r="AI163" s="65"/>
      <c r="AJ163" s="65"/>
      <c r="AK163" s="65"/>
      <c r="AL163" s="65"/>
      <c r="AM163" s="65"/>
      <c r="AN163" s="65" t="str">
        <f>IFERROR(__xludf.DUMMYFUNCTION("""COMPUTED_VALUE"""),"14:21")</f>
        <v>14:21</v>
      </c>
      <c r="AO163" s="65" t="str">
        <f>IFERROR(__xludf.DUMMYFUNCTION("""COMPUTED_VALUE"""),"23-03-2026")</f>
        <v>23-03-2026</v>
      </c>
      <c r="AP163" s="65" t="str">
        <f>IFERROR(__xludf.DUMMYFUNCTION("""COMPUTED_VALUE"""),"ENTREGADA GINTRACOM")</f>
        <v>ENTREGADA GINTRACOM</v>
      </c>
      <c r="AQ163" s="65" t="str">
        <f>IFERROR(__xludf.DUMMYFUNCTION("""COMPUTED_VALUE"""),"ENTREGADA GINTRACOM")</f>
        <v>ENTREGADA GINTRACOM</v>
      </c>
      <c r="AR163" s="65"/>
      <c r="AS163" s="65"/>
      <c r="AT163" s="65" t="str">
        <f>IFERROR(__xludf.DUMMYFUNCTION("""COMPUTED_VALUE"""),"SHOPIFY")</f>
        <v>SHOPIFY</v>
      </c>
      <c r="AU163" s="65" t="str">
        <f>IFERROR(__xludf.DUMMYFUNCTION("""COMPUTED_VALUE"""),"IMPORTEX EC")</f>
        <v>IMPORTEX EC</v>
      </c>
      <c r="AV163" s="65" t="str">
        <f>IFERROR(__xludf.DUMMYFUNCTION("""COMPUTED_VALUE"""),"6580583694380")</f>
        <v>6580583694380</v>
      </c>
      <c r="AW163" s="65">
        <f>IFERROR(__xludf.DUMMYFUNCTION("""COMPUTED_VALUE"""),6687.0)</f>
        <v>6687</v>
      </c>
      <c r="AX163" s="65"/>
      <c r="AY163" s="65" t="str">
        <f>IFERROR(__xludf.DUMMYFUNCTION("""COMPUTED_VALUE"""),"17/03/2026")</f>
        <v>17/03/2026</v>
      </c>
      <c r="AZ163" s="65"/>
      <c r="BA163" s="65"/>
    </row>
    <row r="164">
      <c r="A164" s="65" t="str">
        <f>IFERROR(__xludf.DUMMYFUNCTION("""COMPUTED_VALUE"""),"27-03-2026")</f>
        <v>27-03-2026</v>
      </c>
      <c r="B164" s="65">
        <f>IFERROR(__xludf.DUMMYFUNCTION("""COMPUTED_VALUE"""),4805481.0)</f>
        <v>4805481</v>
      </c>
      <c r="C164" s="65" t="str">
        <f>IFERROR(__xludf.DUMMYFUNCTION("""COMPUTED_VALUE"""),"09:48")</f>
        <v>09:48</v>
      </c>
      <c r="D164" s="65" t="str">
        <f>IFERROR(__xludf.DUMMYFUNCTION("""COMPUTED_VALUE"""),"15-03-2026")</f>
        <v>15-03-2026</v>
      </c>
      <c r="E164" s="65" t="str">
        <f>IFERROR(__xludf.DUMMYFUNCTION("""COMPUTED_VALUE"""),"Marcia Echeverría")</f>
        <v>Marcia Echeverría</v>
      </c>
      <c r="F164" s="65" t="str">
        <f>IFERROR(__xludf.DUMMYFUNCTION("""COMPUTED_VALUE"""),"969535018")</f>
        <v>969535018</v>
      </c>
      <c r="G164" s="65" t="str">
        <f>IFERROR(__xludf.DUMMYFUNCTION("""COMPUTED_VALUE"""),"nenabeia101980@gmail.com")</f>
        <v>nenabeia101980@gmail.com</v>
      </c>
      <c r="H164" s="65"/>
      <c r="I164" s="65"/>
      <c r="J164" s="65" t="str">
        <f>IFERROR(__xludf.DUMMYFUNCTION("""COMPUTED_VALUE"""),"D001423843")</f>
        <v>D001423843</v>
      </c>
      <c r="K164" s="65" t="str">
        <f>IFERROR(__xludf.DUMMYFUNCTION("""COMPUTED_VALUE"""),"ENTREGADO")</f>
        <v>ENTREGADO</v>
      </c>
      <c r="L164" s="65" t="str">
        <f>IFERROR(__xludf.DUMMYFUNCTION("""COMPUTED_VALUE"""),"CON RECAUDO")</f>
        <v>CON RECAUDO</v>
      </c>
      <c r="M164" s="65" t="str">
        <f>IFERROR(__xludf.DUMMYFUNCTION("""COMPUTED_VALUE"""),"GUAYAS")</f>
        <v>GUAYAS</v>
      </c>
      <c r="N164" s="65" t="str">
        <f>IFERROR(__xludf.DUMMYFUNCTION("""COMPUTED_VALUE"""),"SAMBORONDON")</f>
        <v>SAMBORONDON</v>
      </c>
      <c r="O164" s="65" t="str">
        <f>IFERROR(__xludf.DUMMYFUNCTION("""COMPUTED_VALUE"""),"Samborondon Ciudad Celeste Costanera Mz 5 Villa 17 - Samborondon")</f>
        <v>Samborondon Ciudad Celeste Costanera Mz 5 Villa 17 - Samborondon</v>
      </c>
      <c r="P164" s="65"/>
      <c r="Q164" s="65" t="str">
        <f>IFERROR(__xludf.DUMMYFUNCTION("""COMPUTED_VALUE"""),"GINTRACOM")</f>
        <v>GINTRACOM</v>
      </c>
      <c r="R164" s="65">
        <f>IFERROR(__xludf.DUMMYFUNCTION("""COMPUTED_VALUE"""),25.0)</f>
        <v>25</v>
      </c>
      <c r="S164" s="65">
        <f>IFERROR(__xludf.DUMMYFUNCTION("""COMPUTED_VALUE"""),14.34)</f>
        <v>14.34</v>
      </c>
      <c r="T164" s="65">
        <f>IFERROR(__xludf.DUMMYFUNCTION("""COMPUTED_VALUE"""),5.96)</f>
        <v>5.96</v>
      </c>
      <c r="U164" s="65">
        <f>IFERROR(__xludf.DUMMYFUNCTION("""COMPUTED_VALUE"""),0.0)</f>
        <v>0</v>
      </c>
      <c r="V164" s="65">
        <f>IFERROR(__xludf.DUMMYFUNCTION("""COMPUTED_VALUE"""),0.0)</f>
        <v>0</v>
      </c>
      <c r="W164" s="65">
        <f>IFERROR(__xludf.DUMMYFUNCTION("""COMPUTED_VALUE"""),0.0)</f>
        <v>0</v>
      </c>
      <c r="X164" s="65">
        <f>IFERROR(__xludf.DUMMYFUNCTION("""COMPUTED_VALUE"""),2.35)</f>
        <v>2.35</v>
      </c>
      <c r="Y164" s="65">
        <f>IFERROR(__xludf.DUMMYFUNCTION("""COMPUTED_VALUE"""),4.7)</f>
        <v>4.7</v>
      </c>
      <c r="Z164" s="65">
        <f>IFERROR(__xludf.DUMMYFUNCTION("""COMPUTED_VALUE"""),116679.0)</f>
        <v>116679</v>
      </c>
      <c r="AA164" s="65" t="str">
        <f>IFERROR(__xludf.DUMMYFUNCTION("""COMPUTED_VALUE"""),"AMC-2738")</f>
        <v>AMC-2738</v>
      </c>
      <c r="AB164" s="65"/>
      <c r="AC164" s="65" t="str">
        <f>IFERROR(__xludf.DUMMYFUNCTION("""COMPUTED_VALUE"""),"ESPONJA ANTILLUVIA DE PARABRISAS")</f>
        <v>ESPONJA ANTILLUVIA DE PARABRISAS</v>
      </c>
      <c r="AD164" s="65"/>
      <c r="AE164" s="65">
        <f>IFERROR(__xludf.DUMMYFUNCTION("""COMPUTED_VALUE"""),2.0)</f>
        <v>2</v>
      </c>
      <c r="AF164" s="65"/>
      <c r="AG164" s="65"/>
      <c r="AH164" s="65"/>
      <c r="AI164" s="65"/>
      <c r="AJ164" s="65"/>
      <c r="AK164" s="65"/>
      <c r="AL164" s="65"/>
      <c r="AM164" s="65"/>
      <c r="AN164" s="65" t="str">
        <f>IFERROR(__xludf.DUMMYFUNCTION("""COMPUTED_VALUE"""),"14:21")</f>
        <v>14:21</v>
      </c>
      <c r="AO164" s="65" t="str">
        <f>IFERROR(__xludf.DUMMYFUNCTION("""COMPUTED_VALUE"""),"23-03-2026")</f>
        <v>23-03-2026</v>
      </c>
      <c r="AP164" s="65" t="str">
        <f>IFERROR(__xludf.DUMMYFUNCTION("""COMPUTED_VALUE"""),"ENTREGADA GINTRACOM")</f>
        <v>ENTREGADA GINTRACOM</v>
      </c>
      <c r="AQ164" s="65" t="str">
        <f>IFERROR(__xludf.DUMMYFUNCTION("""COMPUTED_VALUE"""),"ENTREGADA GINTRACOM")</f>
        <v>ENTREGADA GINTRACOM</v>
      </c>
      <c r="AR164" s="65"/>
      <c r="AS164" s="65"/>
      <c r="AT164" s="65" t="str">
        <f>IFERROR(__xludf.DUMMYFUNCTION("""COMPUTED_VALUE"""),"SHOPIFY")</f>
        <v>SHOPIFY</v>
      </c>
      <c r="AU164" s="65" t="str">
        <f>IFERROR(__xludf.DUMMYFUNCTION("""COMPUTED_VALUE"""),"IMPORTEX EC")</f>
        <v>IMPORTEX EC</v>
      </c>
      <c r="AV164" s="65" t="str">
        <f>IFERROR(__xludf.DUMMYFUNCTION("""COMPUTED_VALUE"""),"6580418969644")</f>
        <v>6580418969644</v>
      </c>
      <c r="AW164" s="65">
        <f>IFERROR(__xludf.DUMMYFUNCTION("""COMPUTED_VALUE"""),6686.0)</f>
        <v>6686</v>
      </c>
      <c r="AX164" s="65"/>
      <c r="AY164" s="65" t="str">
        <f>IFERROR(__xludf.DUMMYFUNCTION("""COMPUTED_VALUE"""),"17/03/2026")</f>
        <v>17/03/2026</v>
      </c>
      <c r="AZ164" s="65"/>
      <c r="BA164" s="65"/>
    </row>
    <row r="165">
      <c r="A165" s="65" t="str">
        <f>IFERROR(__xludf.DUMMYFUNCTION("""COMPUTED_VALUE"""),"27-03-2026")</f>
        <v>27-03-2026</v>
      </c>
      <c r="B165" s="65">
        <f>IFERROR(__xludf.DUMMYFUNCTION("""COMPUTED_VALUE"""),4804813.0)</f>
        <v>4804813</v>
      </c>
      <c r="C165" s="65" t="str">
        <f>IFERROR(__xludf.DUMMYFUNCTION("""COMPUTED_VALUE"""),"08:20")</f>
        <v>08:20</v>
      </c>
      <c r="D165" s="65" t="str">
        <f>IFERROR(__xludf.DUMMYFUNCTION("""COMPUTED_VALUE"""),"15-03-2026")</f>
        <v>15-03-2026</v>
      </c>
      <c r="E165" s="65" t="str">
        <f>IFERROR(__xludf.DUMMYFUNCTION("""COMPUTED_VALUE"""),"Juan Carlos Escobar Perez")</f>
        <v>Juan Carlos Escobar Perez</v>
      </c>
      <c r="F165" s="65" t="str">
        <f>IFERROR(__xludf.DUMMYFUNCTION("""COMPUTED_VALUE"""),"995953675")</f>
        <v>995953675</v>
      </c>
      <c r="G165" s="65" t="str">
        <f>IFERROR(__xludf.DUMMYFUNCTION("""COMPUTED_VALUE"""),"jcep1980@gmail.com")</f>
        <v>jcep1980@gmail.com</v>
      </c>
      <c r="H165" s="65"/>
      <c r="I165" s="65"/>
      <c r="J165" s="65" t="str">
        <f>IFERROR(__xludf.DUMMYFUNCTION("""COMPUTED_VALUE"""),"D001423845")</f>
        <v>D001423845</v>
      </c>
      <c r="K165" s="65" t="str">
        <f>IFERROR(__xludf.DUMMYFUNCTION("""COMPUTED_VALUE"""),"DEVOLUCION")</f>
        <v>DEVOLUCION</v>
      </c>
      <c r="L165" s="65" t="str">
        <f>IFERROR(__xludf.DUMMYFUNCTION("""COMPUTED_VALUE"""),"CON RECAUDO")</f>
        <v>CON RECAUDO</v>
      </c>
      <c r="M165" s="65" t="str">
        <f>IFERROR(__xludf.DUMMYFUNCTION("""COMPUTED_VALUE"""),"GUAYAS")</f>
        <v>GUAYAS</v>
      </c>
      <c r="N165" s="65" t="str">
        <f>IFERROR(__xludf.DUMMYFUNCTION("""COMPUTED_VALUE"""),"GUAYAQUIL")</f>
        <v>GUAYAQUIL</v>
      </c>
      <c r="O165" s="65" t="str">
        <f>IFERROR(__xludf.DUMMYFUNCTION("""COMPUTED_VALUE"""),"Urbanización Lago de Capeira,  Km 23.5, Mz 3 solar 57, calle camino de las aguas, Casa ladrillo visto una piso.")</f>
        <v>Urbanización Lago de Capeira,  Km 23.5, Mz 3 solar 57, calle camino de las aguas, Casa ladrillo visto una piso.</v>
      </c>
      <c r="P165" s="65"/>
      <c r="Q165" s="65" t="str">
        <f>IFERROR(__xludf.DUMMYFUNCTION("""COMPUTED_VALUE"""),"GINTRACOM")</f>
        <v>GINTRACOM</v>
      </c>
      <c r="R165" s="65">
        <f>IFERROR(__xludf.DUMMYFUNCTION("""COMPUTED_VALUE"""),30.0)</f>
        <v>30</v>
      </c>
      <c r="S165" s="65"/>
      <c r="T165" s="65">
        <f>IFERROR(__xludf.DUMMYFUNCTION("""COMPUTED_VALUE"""),6.16)</f>
        <v>6.16</v>
      </c>
      <c r="U165" s="65">
        <f>IFERROR(__xludf.DUMMYFUNCTION("""COMPUTED_VALUE"""),0.0)</f>
        <v>0</v>
      </c>
      <c r="V165" s="65">
        <f>IFERROR(__xludf.DUMMYFUNCTION("""COMPUTED_VALUE"""),0.0)</f>
        <v>0</v>
      </c>
      <c r="W165" s="65">
        <f>IFERROR(__xludf.DUMMYFUNCTION("""COMPUTED_VALUE"""),0.0)</f>
        <v>0</v>
      </c>
      <c r="X165" s="65">
        <f>IFERROR(__xludf.DUMMYFUNCTION("""COMPUTED_VALUE"""),2.35)</f>
        <v>2.35</v>
      </c>
      <c r="Y165" s="65">
        <f>IFERROR(__xludf.DUMMYFUNCTION("""COMPUTED_VALUE"""),7.05)</f>
        <v>7.05</v>
      </c>
      <c r="Z165" s="65">
        <f>IFERROR(__xludf.DUMMYFUNCTION("""COMPUTED_VALUE"""),116679.0)</f>
        <v>116679</v>
      </c>
      <c r="AA165" s="65" t="str">
        <f>IFERROR(__xludf.DUMMYFUNCTION("""COMPUTED_VALUE"""),"AMC-2738")</f>
        <v>AMC-2738</v>
      </c>
      <c r="AB165" s="65"/>
      <c r="AC165" s="65" t="str">
        <f>IFERROR(__xludf.DUMMYFUNCTION("""COMPUTED_VALUE"""),"ESPONJA ANTILLUVIA DE PARABRISAS")</f>
        <v>ESPONJA ANTILLUVIA DE PARABRISAS</v>
      </c>
      <c r="AD165" s="65"/>
      <c r="AE165" s="65">
        <f>IFERROR(__xludf.DUMMYFUNCTION("""COMPUTED_VALUE"""),3.0)</f>
        <v>3</v>
      </c>
      <c r="AF165" s="65"/>
      <c r="AG165" s="65"/>
      <c r="AH165" s="65"/>
      <c r="AI165" s="65"/>
      <c r="AJ165" s="65"/>
      <c r="AK165" s="65"/>
      <c r="AL165" s="65"/>
      <c r="AM165" s="65"/>
      <c r="AN165" s="65" t="str">
        <f>IFERROR(__xludf.DUMMYFUNCTION("""COMPUTED_VALUE"""),"03:07")</f>
        <v>03:07</v>
      </c>
      <c r="AO165" s="65" t="str">
        <f>IFERROR(__xludf.DUMMYFUNCTION("""COMPUTED_VALUE"""),"27-03-2026")</f>
        <v>27-03-2026</v>
      </c>
      <c r="AP165" s="65" t="str">
        <f>IFERROR(__xludf.DUMMYFUNCTION("""COMPUTED_VALUE"""),"DEVOLUCIÓN")</f>
        <v>DEVOLUCIÓN</v>
      </c>
      <c r="AQ165" s="65" t="str">
        <f>IFERROR(__xludf.DUMMYFUNCTION("""COMPUTED_VALUE"""),"DEVOLUCIÓN")</f>
        <v>DEVOLUCIÓN</v>
      </c>
      <c r="AR165" s="65"/>
      <c r="AS165" s="65"/>
      <c r="AT165" s="65" t="str">
        <f>IFERROR(__xludf.DUMMYFUNCTION("""COMPUTED_VALUE"""),"SHOPIFY")</f>
        <v>SHOPIFY</v>
      </c>
      <c r="AU165" s="65" t="str">
        <f>IFERROR(__xludf.DUMMYFUNCTION("""COMPUTED_VALUE"""),"IMPORTEX EC")</f>
        <v>IMPORTEX EC</v>
      </c>
      <c r="AV165" s="65" t="str">
        <f>IFERROR(__xludf.DUMMYFUNCTION("""COMPUTED_VALUE"""),"6580292943916")</f>
        <v>6580292943916</v>
      </c>
      <c r="AW165" s="65">
        <f>IFERROR(__xludf.DUMMYFUNCTION("""COMPUTED_VALUE"""),6685.0)</f>
        <v>6685</v>
      </c>
      <c r="AX165" s="65"/>
      <c r="AY165" s="65" t="str">
        <f>IFERROR(__xludf.DUMMYFUNCTION("""COMPUTED_VALUE"""),"17/03/2026")</f>
        <v>17/03/2026</v>
      </c>
      <c r="AZ165" s="65"/>
      <c r="BA165" s="65"/>
    </row>
    <row r="166">
      <c r="A166" s="65" t="str">
        <f>IFERROR(__xludf.DUMMYFUNCTION("""COMPUTED_VALUE"""),"27-03-2026")</f>
        <v>27-03-2026</v>
      </c>
      <c r="B166" s="65">
        <f>IFERROR(__xludf.DUMMYFUNCTION("""COMPUTED_VALUE"""),4804739.0)</f>
        <v>4804739</v>
      </c>
      <c r="C166" s="65" t="str">
        <f>IFERROR(__xludf.DUMMYFUNCTION("""COMPUTED_VALUE"""),"08:10")</f>
        <v>08:10</v>
      </c>
      <c r="D166" s="65" t="str">
        <f>IFERROR(__xludf.DUMMYFUNCTION("""COMPUTED_VALUE"""),"15-03-2026")</f>
        <v>15-03-2026</v>
      </c>
      <c r="E166" s="65" t="str">
        <f>IFERROR(__xludf.DUMMYFUNCTION("""COMPUTED_VALUE"""),"Douglas Barona Lozada")</f>
        <v>Douglas Barona Lozada</v>
      </c>
      <c r="F166" s="65" t="str">
        <f>IFERROR(__xludf.DUMMYFUNCTION("""COMPUTED_VALUE"""),"985424272")</f>
        <v>985424272</v>
      </c>
      <c r="G166" s="65" t="str">
        <f>IFERROR(__xludf.DUMMYFUNCTION("""COMPUTED_VALUE"""),"douglasbaroba@yahoo.com")</f>
        <v>douglasbaroba@yahoo.com</v>
      </c>
      <c r="H166" s="65"/>
      <c r="I166" s="65"/>
      <c r="J166" s="65"/>
      <c r="K166" s="65" t="str">
        <f>IFERROR(__xludf.DUMMYFUNCTION("""COMPUTED_VALUE"""),"CANCELADO")</f>
        <v>CANCELADO</v>
      </c>
      <c r="L166" s="65" t="str">
        <f>IFERROR(__xludf.DUMMYFUNCTION("""COMPUTED_VALUE"""),"CON RECAUDO")</f>
        <v>CON RECAUDO</v>
      </c>
      <c r="M166" s="65" t="str">
        <f>IFERROR(__xludf.DUMMYFUNCTION("""COMPUTED_VALUE"""),"TUNGURAHUA")</f>
        <v>TUNGURAHUA</v>
      </c>
      <c r="N166" s="65" t="str">
        <f>IFERROR(__xludf.DUMMYFUNCTION("""COMPUTED_VALUE"""),"AMBATO")</f>
        <v>AMBATO</v>
      </c>
      <c r="O166" s="65" t="str">
        <f>IFERROR(__xludf.DUMMYFUNCTION("""COMPUTED_VALUE"""),"Epiclachima y Chapera Tras la junta de calificaciones -")</f>
        <v>Epiclachima y Chapera Tras la junta de calificaciones -</v>
      </c>
      <c r="P166" s="65"/>
      <c r="Q166" s="65" t="str">
        <f>IFERROR(__xludf.DUMMYFUNCTION("""COMPUTED_VALUE"""),"GINTRACOM")</f>
        <v>GINTRACOM</v>
      </c>
      <c r="R166" s="65">
        <f>IFERROR(__xludf.DUMMYFUNCTION("""COMPUTED_VALUE"""),25.0)</f>
        <v>25</v>
      </c>
      <c r="S166" s="65"/>
      <c r="T166" s="65">
        <f>IFERROR(__xludf.DUMMYFUNCTION("""COMPUTED_VALUE"""),5.96)</f>
        <v>5.96</v>
      </c>
      <c r="U166" s="65">
        <f>IFERROR(__xludf.DUMMYFUNCTION("""COMPUTED_VALUE"""),0.0)</f>
        <v>0</v>
      </c>
      <c r="V166" s="65">
        <f>IFERROR(__xludf.DUMMYFUNCTION("""COMPUTED_VALUE"""),0.0)</f>
        <v>0</v>
      </c>
      <c r="W166" s="65">
        <f>IFERROR(__xludf.DUMMYFUNCTION("""COMPUTED_VALUE"""),0.0)</f>
        <v>0</v>
      </c>
      <c r="X166" s="65">
        <f>IFERROR(__xludf.DUMMYFUNCTION("""COMPUTED_VALUE"""),2.35)</f>
        <v>2.35</v>
      </c>
      <c r="Y166" s="65">
        <f>IFERROR(__xludf.DUMMYFUNCTION("""COMPUTED_VALUE"""),4.7)</f>
        <v>4.7</v>
      </c>
      <c r="Z166" s="65">
        <f>IFERROR(__xludf.DUMMYFUNCTION("""COMPUTED_VALUE"""),116679.0)</f>
        <v>116679</v>
      </c>
      <c r="AA166" s="65" t="str">
        <f>IFERROR(__xludf.DUMMYFUNCTION("""COMPUTED_VALUE"""),"AMC-2738")</f>
        <v>AMC-2738</v>
      </c>
      <c r="AB166" s="65"/>
      <c r="AC166" s="65" t="str">
        <f>IFERROR(__xludf.DUMMYFUNCTION("""COMPUTED_VALUE"""),"ESPONJA ANTILLUVIA DE PARABRISAS")</f>
        <v>ESPONJA ANTILLUVIA DE PARABRISAS</v>
      </c>
      <c r="AD166" s="65"/>
      <c r="AE166" s="65">
        <f>IFERROR(__xludf.DUMMYFUNCTION("""COMPUTED_VALUE"""),2.0)</f>
        <v>2</v>
      </c>
      <c r="AF166" s="65"/>
      <c r="AG166" s="65"/>
      <c r="AH166" s="65"/>
      <c r="AI166" s="65"/>
      <c r="AJ166" s="65"/>
      <c r="AK166" s="65"/>
      <c r="AL166" s="65"/>
      <c r="AM166" s="65"/>
      <c r="AN166" s="65"/>
      <c r="AO166" s="65"/>
      <c r="AP166" s="65"/>
      <c r="AQ166" s="65"/>
      <c r="AR166" s="65"/>
      <c r="AS166" s="65"/>
      <c r="AT166" s="65" t="str">
        <f>IFERROR(__xludf.DUMMYFUNCTION("""COMPUTED_VALUE"""),"SHOPIFY")</f>
        <v>SHOPIFY</v>
      </c>
      <c r="AU166" s="65" t="str">
        <f>IFERROR(__xludf.DUMMYFUNCTION("""COMPUTED_VALUE"""),"IMPORTEX EC")</f>
        <v>IMPORTEX EC</v>
      </c>
      <c r="AV166" s="65" t="str">
        <f>IFERROR(__xludf.DUMMYFUNCTION("""COMPUTED_VALUE"""),"6580280721452")</f>
        <v>6580280721452</v>
      </c>
      <c r="AW166" s="65">
        <f>IFERROR(__xludf.DUMMYFUNCTION("""COMPUTED_VALUE"""),6683.0)</f>
        <v>6683</v>
      </c>
      <c r="AX166" s="65"/>
      <c r="AY166" s="65"/>
      <c r="AZ166" s="65"/>
      <c r="BA166" s="65"/>
    </row>
    <row r="167">
      <c r="A167" s="65" t="str">
        <f>IFERROR(__xludf.DUMMYFUNCTION("""COMPUTED_VALUE"""),"27-03-2026")</f>
        <v>27-03-2026</v>
      </c>
      <c r="B167" s="65">
        <f>IFERROR(__xludf.DUMMYFUNCTION("""COMPUTED_VALUE"""),4804515.0)</f>
        <v>4804515</v>
      </c>
      <c r="C167" s="65" t="str">
        <f>IFERROR(__xludf.DUMMYFUNCTION("""COMPUTED_VALUE"""),"07:31")</f>
        <v>07:31</v>
      </c>
      <c r="D167" s="65" t="str">
        <f>IFERROR(__xludf.DUMMYFUNCTION("""COMPUTED_VALUE"""),"15-03-2026")</f>
        <v>15-03-2026</v>
      </c>
      <c r="E167" s="65" t="str">
        <f>IFERROR(__xludf.DUMMYFUNCTION("""COMPUTED_VALUE"""),"Santiago Mena")</f>
        <v>Santiago Mena</v>
      </c>
      <c r="F167" s="65" t="str">
        <f>IFERROR(__xludf.DUMMYFUNCTION("""COMPUTED_VALUE"""),"999794875")</f>
        <v>999794875</v>
      </c>
      <c r="G167" s="65" t="str">
        <f>IFERROR(__xludf.DUMMYFUNCTION("""COMPUTED_VALUE"""),"cristia.mena9@utc.edu.ec")</f>
        <v>cristia.mena9@utc.edu.ec</v>
      </c>
      <c r="H167" s="65"/>
      <c r="I167" s="65"/>
      <c r="J167" s="65" t="str">
        <f>IFERROR(__xludf.DUMMYFUNCTION("""COMPUTED_VALUE"""),"D001423848")</f>
        <v>D001423848</v>
      </c>
      <c r="K167" s="65" t="str">
        <f>IFERROR(__xludf.DUMMYFUNCTION("""COMPUTED_VALUE"""),"ENTREGADO")</f>
        <v>ENTREGADO</v>
      </c>
      <c r="L167" s="65" t="str">
        <f>IFERROR(__xludf.DUMMYFUNCTION("""COMPUTED_VALUE"""),"CON RECAUDO")</f>
        <v>CON RECAUDO</v>
      </c>
      <c r="M167" s="65" t="str">
        <f>IFERROR(__xludf.DUMMYFUNCTION("""COMPUTED_VALUE"""),"COTOPAXI")</f>
        <v>COTOPAXI</v>
      </c>
      <c r="N167" s="65" t="str">
        <f>IFERROR(__xludf.DUMMYFUNCTION("""COMPUTED_VALUE"""),"LATACUNGA")</f>
        <v>LATACUNGA</v>
      </c>
      <c r="O167" s="65" t="str">
        <f>IFERROR(__xludf.DUMMYFUNCTION("""COMPUTED_VALUE"""),"Calle Antonio Jose de Sucre y Amazonas - Junto al local de cosméticos - latacunga")</f>
        <v>Calle Antonio Jose de Sucre y Amazonas - Junto al local de cosméticos - latacunga</v>
      </c>
      <c r="P167" s="65"/>
      <c r="Q167" s="65" t="str">
        <f>IFERROR(__xludf.DUMMYFUNCTION("""COMPUTED_VALUE"""),"GINTRACOM")</f>
        <v>GINTRACOM</v>
      </c>
      <c r="R167" s="65">
        <f>IFERROR(__xludf.DUMMYFUNCTION("""COMPUTED_VALUE"""),30.0)</f>
        <v>30</v>
      </c>
      <c r="S167" s="65">
        <f>IFERROR(__xludf.DUMMYFUNCTION("""COMPUTED_VALUE"""),16.79)</f>
        <v>16.79</v>
      </c>
      <c r="T167" s="65">
        <f>IFERROR(__xludf.DUMMYFUNCTION("""COMPUTED_VALUE"""),6.16)</f>
        <v>6.16</v>
      </c>
      <c r="U167" s="65">
        <f>IFERROR(__xludf.DUMMYFUNCTION("""COMPUTED_VALUE"""),0.0)</f>
        <v>0</v>
      </c>
      <c r="V167" s="65">
        <f>IFERROR(__xludf.DUMMYFUNCTION("""COMPUTED_VALUE"""),0.0)</f>
        <v>0</v>
      </c>
      <c r="W167" s="65">
        <f>IFERROR(__xludf.DUMMYFUNCTION("""COMPUTED_VALUE"""),0.0)</f>
        <v>0</v>
      </c>
      <c r="X167" s="65">
        <f>IFERROR(__xludf.DUMMYFUNCTION("""COMPUTED_VALUE"""),2.35)</f>
        <v>2.35</v>
      </c>
      <c r="Y167" s="65">
        <f>IFERROR(__xludf.DUMMYFUNCTION("""COMPUTED_VALUE"""),7.05)</f>
        <v>7.05</v>
      </c>
      <c r="Z167" s="65">
        <f>IFERROR(__xludf.DUMMYFUNCTION("""COMPUTED_VALUE"""),116679.0)</f>
        <v>116679</v>
      </c>
      <c r="AA167" s="65" t="str">
        <f>IFERROR(__xludf.DUMMYFUNCTION("""COMPUTED_VALUE"""),"AMC-2738")</f>
        <v>AMC-2738</v>
      </c>
      <c r="AB167" s="65"/>
      <c r="AC167" s="65" t="str">
        <f>IFERROR(__xludf.DUMMYFUNCTION("""COMPUTED_VALUE"""),"ESPONJA ANTILLUVIA DE PARABRISAS")</f>
        <v>ESPONJA ANTILLUVIA DE PARABRISAS</v>
      </c>
      <c r="AD167" s="65"/>
      <c r="AE167" s="65">
        <f>IFERROR(__xludf.DUMMYFUNCTION("""COMPUTED_VALUE"""),3.0)</f>
        <v>3</v>
      </c>
      <c r="AF167" s="65"/>
      <c r="AG167" s="65"/>
      <c r="AH167" s="65"/>
      <c r="AI167" s="65"/>
      <c r="AJ167" s="65"/>
      <c r="AK167" s="65"/>
      <c r="AL167" s="65"/>
      <c r="AM167" s="65"/>
      <c r="AN167" s="65" t="str">
        <f>IFERROR(__xludf.DUMMYFUNCTION("""COMPUTED_VALUE"""),"13:38")</f>
        <v>13:38</v>
      </c>
      <c r="AO167" s="65" t="str">
        <f>IFERROR(__xludf.DUMMYFUNCTION("""COMPUTED_VALUE"""),"19-03-2026")</f>
        <v>19-03-2026</v>
      </c>
      <c r="AP167" s="65" t="str">
        <f>IFERROR(__xludf.DUMMYFUNCTION("""COMPUTED_VALUE"""),"ENTREGADA GINTRACOM")</f>
        <v>ENTREGADA GINTRACOM</v>
      </c>
      <c r="AQ167" s="65" t="str">
        <f>IFERROR(__xludf.DUMMYFUNCTION("""COMPUTED_VALUE"""),"ENTREGADA GINTRACOM")</f>
        <v>ENTREGADA GINTRACOM</v>
      </c>
      <c r="AR167" s="65"/>
      <c r="AS167" s="65"/>
      <c r="AT167" s="65" t="str">
        <f>IFERROR(__xludf.DUMMYFUNCTION("""COMPUTED_VALUE"""),"SHOPIFY")</f>
        <v>SHOPIFY</v>
      </c>
      <c r="AU167" s="65" t="str">
        <f>IFERROR(__xludf.DUMMYFUNCTION("""COMPUTED_VALUE"""),"IMPORTEX EC")</f>
        <v>IMPORTEX EC</v>
      </c>
      <c r="AV167" s="65" t="str">
        <f>IFERROR(__xludf.DUMMYFUNCTION("""COMPUTED_VALUE"""),"6580241825836")</f>
        <v>6580241825836</v>
      </c>
      <c r="AW167" s="65">
        <f>IFERROR(__xludf.DUMMYFUNCTION("""COMPUTED_VALUE"""),6682.0)</f>
        <v>6682</v>
      </c>
      <c r="AX167" s="65"/>
      <c r="AY167" s="65" t="str">
        <f>IFERROR(__xludf.DUMMYFUNCTION("""COMPUTED_VALUE"""),"17/03/2026")</f>
        <v>17/03/2026</v>
      </c>
      <c r="AZ167" s="65"/>
      <c r="BA167" s="65"/>
    </row>
    <row r="168">
      <c r="A168" s="65" t="str">
        <f>IFERROR(__xludf.DUMMYFUNCTION("""COMPUTED_VALUE"""),"27-03-2026")</f>
        <v>27-03-2026</v>
      </c>
      <c r="B168" s="65">
        <f>IFERROR(__xludf.DUMMYFUNCTION("""COMPUTED_VALUE"""),4804478.0)</f>
        <v>4804478</v>
      </c>
      <c r="C168" s="65" t="str">
        <f>IFERROR(__xludf.DUMMYFUNCTION("""COMPUTED_VALUE"""),"07:22")</f>
        <v>07:22</v>
      </c>
      <c r="D168" s="65" t="str">
        <f>IFERROR(__xludf.DUMMYFUNCTION("""COMPUTED_VALUE"""),"15-03-2026")</f>
        <v>15-03-2026</v>
      </c>
      <c r="E168" s="65" t="str">
        <f>IFERROR(__xludf.DUMMYFUNCTION("""COMPUTED_VALUE"""),"Abel Viteri")</f>
        <v>Abel Viteri</v>
      </c>
      <c r="F168" s="65" t="str">
        <f>IFERROR(__xludf.DUMMYFUNCTION("""COMPUTED_VALUE"""),"997447438")</f>
        <v>997447438</v>
      </c>
      <c r="G168" s="65" t="str">
        <f>IFERROR(__xludf.DUMMYFUNCTION("""COMPUTED_VALUE"""),"abelviterigiler@gmail.com")</f>
        <v>abelviterigiler@gmail.com</v>
      </c>
      <c r="H168" s="65"/>
      <c r="I168" s="65"/>
      <c r="J168" s="65" t="str">
        <f>IFERROR(__xludf.DUMMYFUNCTION("""COMPUTED_VALUE"""),"D001423850")</f>
        <v>D001423850</v>
      </c>
      <c r="K168" s="65" t="str">
        <f>IFERROR(__xludf.DUMMYFUNCTION("""COMPUTED_VALUE"""),"ENTREGADO")</f>
        <v>ENTREGADO</v>
      </c>
      <c r="L168" s="65" t="str">
        <f>IFERROR(__xludf.DUMMYFUNCTION("""COMPUTED_VALUE"""),"CON RECAUDO")</f>
        <v>CON RECAUDO</v>
      </c>
      <c r="M168" s="65" t="str">
        <f>IFERROR(__xludf.DUMMYFUNCTION("""COMPUTED_VALUE"""),"GUAYAS")</f>
        <v>GUAYAS</v>
      </c>
      <c r="N168" s="65" t="str">
        <f>IFERROR(__xludf.DUMMYFUNCTION("""COMPUTED_VALUE"""),"GUAYAQUIL")</f>
        <v>GUAYAQUIL</v>
      </c>
      <c r="O168" s="65" t="str">
        <f>IFERROR(__xludf.DUMMYFUNCTION("""COMPUTED_VALUE"""),"Calle Segunda 133 Entre Av Principal y Av Primer - A dos cuadras de la iglesia de los Ceibos, calle con garita y  portones grandes en  color blanco")</f>
        <v>Calle Segunda 133 Entre Av Principal y Av Primer - A dos cuadras de la iglesia de los Ceibos, calle con garita y  portones grandes en  color blanco</v>
      </c>
      <c r="P168" s="65"/>
      <c r="Q168" s="65" t="str">
        <f>IFERROR(__xludf.DUMMYFUNCTION("""COMPUTED_VALUE"""),"GINTRACOM")</f>
        <v>GINTRACOM</v>
      </c>
      <c r="R168" s="65">
        <f>IFERROR(__xludf.DUMMYFUNCTION("""COMPUTED_VALUE"""),30.0)</f>
        <v>30</v>
      </c>
      <c r="S168" s="65">
        <f>IFERROR(__xludf.DUMMYFUNCTION("""COMPUTED_VALUE"""),16.79)</f>
        <v>16.79</v>
      </c>
      <c r="T168" s="65">
        <f>IFERROR(__xludf.DUMMYFUNCTION("""COMPUTED_VALUE"""),6.16)</f>
        <v>6.16</v>
      </c>
      <c r="U168" s="65">
        <f>IFERROR(__xludf.DUMMYFUNCTION("""COMPUTED_VALUE"""),0.0)</f>
        <v>0</v>
      </c>
      <c r="V168" s="65">
        <f>IFERROR(__xludf.DUMMYFUNCTION("""COMPUTED_VALUE"""),0.0)</f>
        <v>0</v>
      </c>
      <c r="W168" s="65">
        <f>IFERROR(__xludf.DUMMYFUNCTION("""COMPUTED_VALUE"""),0.0)</f>
        <v>0</v>
      </c>
      <c r="X168" s="65">
        <f>IFERROR(__xludf.DUMMYFUNCTION("""COMPUTED_VALUE"""),2.35)</f>
        <v>2.35</v>
      </c>
      <c r="Y168" s="65">
        <f>IFERROR(__xludf.DUMMYFUNCTION("""COMPUTED_VALUE"""),7.05)</f>
        <v>7.05</v>
      </c>
      <c r="Z168" s="65">
        <f>IFERROR(__xludf.DUMMYFUNCTION("""COMPUTED_VALUE"""),116679.0)</f>
        <v>116679</v>
      </c>
      <c r="AA168" s="65" t="str">
        <f>IFERROR(__xludf.DUMMYFUNCTION("""COMPUTED_VALUE"""),"AMC-2738")</f>
        <v>AMC-2738</v>
      </c>
      <c r="AB168" s="65"/>
      <c r="AC168" s="65" t="str">
        <f>IFERROR(__xludf.DUMMYFUNCTION("""COMPUTED_VALUE"""),"ESPONJA ANTILLUVIA DE PARABRISAS")</f>
        <v>ESPONJA ANTILLUVIA DE PARABRISAS</v>
      </c>
      <c r="AD168" s="65"/>
      <c r="AE168" s="65">
        <f>IFERROR(__xludf.DUMMYFUNCTION("""COMPUTED_VALUE"""),3.0)</f>
        <v>3</v>
      </c>
      <c r="AF168" s="65"/>
      <c r="AG168" s="65"/>
      <c r="AH168" s="65"/>
      <c r="AI168" s="65"/>
      <c r="AJ168" s="65"/>
      <c r="AK168" s="65"/>
      <c r="AL168" s="65"/>
      <c r="AM168" s="65"/>
      <c r="AN168" s="65" t="str">
        <f>IFERROR(__xludf.DUMMYFUNCTION("""COMPUTED_VALUE"""),"07:59")</f>
        <v>07:59</v>
      </c>
      <c r="AO168" s="65" t="str">
        <f>IFERROR(__xludf.DUMMYFUNCTION("""COMPUTED_VALUE"""),"20-03-2026")</f>
        <v>20-03-2026</v>
      </c>
      <c r="AP168" s="65" t="str">
        <f>IFERROR(__xludf.DUMMYFUNCTION("""COMPUTED_VALUE"""),"EN REPARTO")</f>
        <v>EN REPARTO</v>
      </c>
      <c r="AQ168" s="65" t="str">
        <f>IFERROR(__xludf.DUMMYFUNCTION("""COMPUTED_VALUE"""),"EN REPARTO")</f>
        <v>EN REPARTO</v>
      </c>
      <c r="AR168" s="65"/>
      <c r="AS168" s="65"/>
      <c r="AT168" s="65" t="str">
        <f>IFERROR(__xludf.DUMMYFUNCTION("""COMPUTED_VALUE"""),"SHOPIFY")</f>
        <v>SHOPIFY</v>
      </c>
      <c r="AU168" s="65" t="str">
        <f>IFERROR(__xludf.DUMMYFUNCTION("""COMPUTED_VALUE"""),"IMPORTEX EC")</f>
        <v>IMPORTEX EC</v>
      </c>
      <c r="AV168" s="65" t="str">
        <f>IFERROR(__xludf.DUMMYFUNCTION("""COMPUTED_VALUE"""),"6580233207852")</f>
        <v>6580233207852</v>
      </c>
      <c r="AW168" s="65">
        <f>IFERROR(__xludf.DUMMYFUNCTION("""COMPUTED_VALUE"""),6681.0)</f>
        <v>6681</v>
      </c>
      <c r="AX168" s="65"/>
      <c r="AY168" s="65" t="str">
        <f>IFERROR(__xludf.DUMMYFUNCTION("""COMPUTED_VALUE"""),"17/03/2026")</f>
        <v>17/03/2026</v>
      </c>
      <c r="AZ168" s="65"/>
      <c r="BA168" s="65"/>
    </row>
    <row r="169">
      <c r="A169" s="65" t="str">
        <f>IFERROR(__xludf.DUMMYFUNCTION("""COMPUTED_VALUE"""),"27-03-2026")</f>
        <v>27-03-2026</v>
      </c>
      <c r="B169" s="65">
        <f>IFERROR(__xludf.DUMMYFUNCTION("""COMPUTED_VALUE"""),4804433.0)</f>
        <v>4804433</v>
      </c>
      <c r="C169" s="65" t="str">
        <f>IFERROR(__xludf.DUMMYFUNCTION("""COMPUTED_VALUE"""),"07:13")</f>
        <v>07:13</v>
      </c>
      <c r="D169" s="65" t="str">
        <f>IFERROR(__xludf.DUMMYFUNCTION("""COMPUTED_VALUE"""),"15-03-2026")</f>
        <v>15-03-2026</v>
      </c>
      <c r="E169" s="65" t="str">
        <f>IFERROR(__xludf.DUMMYFUNCTION("""COMPUTED_VALUE"""),"Martha Velasco")</f>
        <v>Martha Velasco</v>
      </c>
      <c r="F169" s="65" t="str">
        <f>IFERROR(__xludf.DUMMYFUNCTION("""COMPUTED_VALUE"""),"988708518")</f>
        <v>988708518</v>
      </c>
      <c r="G169" s="65" t="str">
        <f>IFERROR(__xludf.DUMMYFUNCTION("""COMPUTED_VALUE"""),"p-attyto1980@hotmail.com")</f>
        <v>p-attyto1980@hotmail.com</v>
      </c>
      <c r="H169" s="65"/>
      <c r="I169" s="65"/>
      <c r="J169" s="65" t="str">
        <f>IFERROR(__xludf.DUMMYFUNCTION("""COMPUTED_VALUE"""),"D001423851")</f>
        <v>D001423851</v>
      </c>
      <c r="K169" s="65" t="str">
        <f>IFERROR(__xludf.DUMMYFUNCTION("""COMPUTED_VALUE"""),"EN REPARTO")</f>
        <v>EN REPARTO</v>
      </c>
      <c r="L169" s="65" t="str">
        <f>IFERROR(__xludf.DUMMYFUNCTION("""COMPUTED_VALUE"""),"CON RECAUDO")</f>
        <v>CON RECAUDO</v>
      </c>
      <c r="M169" s="65" t="str">
        <f>IFERROR(__xludf.DUMMYFUNCTION("""COMPUTED_VALUE"""),"AZUAY")</f>
        <v>AZUAY</v>
      </c>
      <c r="N169" s="65" t="str">
        <f>IFERROR(__xludf.DUMMYFUNCTION("""COMPUTED_VALUE"""),"CUENCA")</f>
        <v>CUENCA</v>
      </c>
      <c r="O169" s="65" t="str">
        <f>IFERROR(__xludf.DUMMYFUNCTION("""COMPUTED_VALUE"""),"Av. González Suarez 1. 72 y Huayna Capac,  San Blas  Local Nuñez corp hidrovac -")</f>
        <v>Av. González Suarez 1. 72 y Huayna Capac,  San Blas  Local Nuñez corp hidrovac -</v>
      </c>
      <c r="P169" s="65"/>
      <c r="Q169" s="65" t="str">
        <f>IFERROR(__xludf.DUMMYFUNCTION("""COMPUTED_VALUE"""),"GINTRACOM")</f>
        <v>GINTRACOM</v>
      </c>
      <c r="R169" s="65">
        <f>IFERROR(__xludf.DUMMYFUNCTION("""COMPUTED_VALUE"""),25.0)</f>
        <v>25</v>
      </c>
      <c r="S169" s="65"/>
      <c r="T169" s="65">
        <f>IFERROR(__xludf.DUMMYFUNCTION("""COMPUTED_VALUE"""),5.96)</f>
        <v>5.96</v>
      </c>
      <c r="U169" s="65">
        <f>IFERROR(__xludf.DUMMYFUNCTION("""COMPUTED_VALUE"""),0.0)</f>
        <v>0</v>
      </c>
      <c r="V169" s="65">
        <f>IFERROR(__xludf.DUMMYFUNCTION("""COMPUTED_VALUE"""),0.0)</f>
        <v>0</v>
      </c>
      <c r="W169" s="65">
        <f>IFERROR(__xludf.DUMMYFUNCTION("""COMPUTED_VALUE"""),0.0)</f>
        <v>0</v>
      </c>
      <c r="X169" s="65">
        <f>IFERROR(__xludf.DUMMYFUNCTION("""COMPUTED_VALUE"""),2.35)</f>
        <v>2.35</v>
      </c>
      <c r="Y169" s="65">
        <f>IFERROR(__xludf.DUMMYFUNCTION("""COMPUTED_VALUE"""),4.7)</f>
        <v>4.7</v>
      </c>
      <c r="Z169" s="65">
        <f>IFERROR(__xludf.DUMMYFUNCTION("""COMPUTED_VALUE"""),116679.0)</f>
        <v>116679</v>
      </c>
      <c r="AA169" s="65" t="str">
        <f>IFERROR(__xludf.DUMMYFUNCTION("""COMPUTED_VALUE"""),"AMC-2738")</f>
        <v>AMC-2738</v>
      </c>
      <c r="AB169" s="65"/>
      <c r="AC169" s="65" t="str">
        <f>IFERROR(__xludf.DUMMYFUNCTION("""COMPUTED_VALUE"""),"ESPONJA ANTILLUVIA DE PARABRISAS")</f>
        <v>ESPONJA ANTILLUVIA DE PARABRISAS</v>
      </c>
      <c r="AD169" s="65"/>
      <c r="AE169" s="65">
        <f>IFERROR(__xludf.DUMMYFUNCTION("""COMPUTED_VALUE"""),2.0)</f>
        <v>2</v>
      </c>
      <c r="AF169" s="65"/>
      <c r="AG169" s="65"/>
      <c r="AH169" s="65"/>
      <c r="AI169" s="65"/>
      <c r="AJ169" s="65"/>
      <c r="AK169" s="65"/>
      <c r="AL169" s="65"/>
      <c r="AM169" s="65"/>
      <c r="AN169" s="65" t="str">
        <f>IFERROR(__xludf.DUMMYFUNCTION("""COMPUTED_VALUE"""),"14:02")</f>
        <v>14:02</v>
      </c>
      <c r="AO169" s="65" t="str">
        <f>IFERROR(__xludf.DUMMYFUNCTION("""COMPUTED_VALUE"""),"19-03-2026")</f>
        <v>19-03-2026</v>
      </c>
      <c r="AP169" s="65" t="str">
        <f>IFERROR(__xludf.DUMMYFUNCTION("""COMPUTED_VALUE"""),"DESTINATARIO INDICA QUE YA NO DESEA EL PRODUCTO")</f>
        <v>DESTINATARIO INDICA QUE YA NO DESEA EL PRODUCTO</v>
      </c>
      <c r="AQ169" s="65" t="str">
        <f>IFERROR(__xludf.DUMMYFUNCTION("""COMPUTED_VALUE"""),"DESTINATARIO INDICA QUE YA NO DESEA EL PRODUCTO")</f>
        <v>DESTINATARIO INDICA QUE YA NO DESEA EL PRODUCTO</v>
      </c>
      <c r="AR169" s="65"/>
      <c r="AS169" s="65"/>
      <c r="AT169" s="65" t="str">
        <f>IFERROR(__xludf.DUMMYFUNCTION("""COMPUTED_VALUE"""),"SHOPIFY")</f>
        <v>SHOPIFY</v>
      </c>
      <c r="AU169" s="65" t="str">
        <f>IFERROR(__xludf.DUMMYFUNCTION("""COMPUTED_VALUE"""),"IMPORTEX EC")</f>
        <v>IMPORTEX EC</v>
      </c>
      <c r="AV169" s="65" t="str">
        <f>IFERROR(__xludf.DUMMYFUNCTION("""COMPUTED_VALUE"""),"6580225048620")</f>
        <v>6580225048620</v>
      </c>
      <c r="AW169" s="65">
        <f>IFERROR(__xludf.DUMMYFUNCTION("""COMPUTED_VALUE"""),6680.0)</f>
        <v>6680</v>
      </c>
      <c r="AX169" s="65"/>
      <c r="AY169" s="65" t="str">
        <f>IFERROR(__xludf.DUMMYFUNCTION("""COMPUTED_VALUE"""),"17/03/2026")</f>
        <v>17/03/2026</v>
      </c>
      <c r="AZ169" s="65"/>
      <c r="BA169" s="65"/>
    </row>
    <row r="170">
      <c r="A170" s="65" t="str">
        <f>IFERROR(__xludf.DUMMYFUNCTION("""COMPUTED_VALUE"""),"27-03-2026")</f>
        <v>27-03-2026</v>
      </c>
      <c r="B170" s="65">
        <f>IFERROR(__xludf.DUMMYFUNCTION("""COMPUTED_VALUE"""),4804225.0)</f>
        <v>4804225</v>
      </c>
      <c r="C170" s="65" t="str">
        <f>IFERROR(__xludf.DUMMYFUNCTION("""COMPUTED_VALUE"""),"06:11")</f>
        <v>06:11</v>
      </c>
      <c r="D170" s="65" t="str">
        <f>IFERROR(__xludf.DUMMYFUNCTION("""COMPUTED_VALUE"""),"15-03-2026")</f>
        <v>15-03-2026</v>
      </c>
      <c r="E170" s="65" t="str">
        <f>IFERROR(__xludf.DUMMYFUNCTION("""COMPUTED_VALUE"""),"Lourdes Figueroa")</f>
        <v>Lourdes Figueroa</v>
      </c>
      <c r="F170" s="65" t="str">
        <f>IFERROR(__xludf.DUMMYFUNCTION("""COMPUTED_VALUE"""),"999937531")</f>
        <v>999937531</v>
      </c>
      <c r="G170" s="65" t="str">
        <f>IFERROR(__xludf.DUMMYFUNCTION("""COMPUTED_VALUE"""),"yfs08@hotmail.com")</f>
        <v>yfs08@hotmail.com</v>
      </c>
      <c r="H170" s="65"/>
      <c r="I170" s="65"/>
      <c r="J170" s="65" t="str">
        <f>IFERROR(__xludf.DUMMYFUNCTION("""COMPUTED_VALUE"""),"V4002362891")</f>
        <v>V4002362891</v>
      </c>
      <c r="K170" s="65" t="str">
        <f>IFERROR(__xludf.DUMMYFUNCTION("""COMPUTED_VALUE"""),"ENTREGADO")</f>
        <v>ENTREGADO</v>
      </c>
      <c r="L170" s="65" t="str">
        <f>IFERROR(__xludf.DUMMYFUNCTION("""COMPUTED_VALUE"""),"CON RECAUDO")</f>
        <v>CON RECAUDO</v>
      </c>
      <c r="M170" s="65" t="str">
        <f>IFERROR(__xludf.DUMMYFUNCTION("""COMPUTED_VALUE"""),"PICHINCHA")</f>
        <v>PICHINCHA</v>
      </c>
      <c r="N170" s="65" t="str">
        <f>IFERROR(__xludf.DUMMYFUNCTION("""COMPUTED_VALUE"""),"SAN RAFAEL")</f>
        <v>SAN RAFAEL</v>
      </c>
      <c r="O170" s="65" t="str">
        <f>IFERROR(__xludf.DUMMYFUNCTION("""COMPUTED_VALUE"""),"Av General Rumiñahui 12-14,  frente a la KIA MOTORS,  Casa blanca con negro -")</f>
        <v>Av General Rumiñahui 12-14,  frente a la KIA MOTORS,  Casa blanca con negro -</v>
      </c>
      <c r="P170" s="65"/>
      <c r="Q170" s="65" t="str">
        <f>IFERROR(__xludf.DUMMYFUNCTION("""COMPUTED_VALUE"""),"VELOCES")</f>
        <v>VELOCES</v>
      </c>
      <c r="R170" s="65">
        <f>IFERROR(__xludf.DUMMYFUNCTION("""COMPUTED_VALUE"""),25.0)</f>
        <v>25</v>
      </c>
      <c r="S170" s="65">
        <f>IFERROR(__xludf.DUMMYFUNCTION("""COMPUTED_VALUE"""),15.58)</f>
        <v>15.58</v>
      </c>
      <c r="T170" s="65">
        <f>IFERROR(__xludf.DUMMYFUNCTION("""COMPUTED_VALUE"""),4.72)</f>
        <v>4.72</v>
      </c>
      <c r="U170" s="65">
        <f>IFERROR(__xludf.DUMMYFUNCTION("""COMPUTED_VALUE"""),0.0)</f>
        <v>0</v>
      </c>
      <c r="V170" s="65">
        <f>IFERROR(__xludf.DUMMYFUNCTION("""COMPUTED_VALUE"""),0.0)</f>
        <v>0</v>
      </c>
      <c r="W170" s="65">
        <f>IFERROR(__xludf.DUMMYFUNCTION("""COMPUTED_VALUE"""),0.0)</f>
        <v>0</v>
      </c>
      <c r="X170" s="65">
        <f>IFERROR(__xludf.DUMMYFUNCTION("""COMPUTED_VALUE"""),2.35)</f>
        <v>2.35</v>
      </c>
      <c r="Y170" s="65">
        <f>IFERROR(__xludf.DUMMYFUNCTION("""COMPUTED_VALUE"""),4.7)</f>
        <v>4.7</v>
      </c>
      <c r="Z170" s="65">
        <f>IFERROR(__xludf.DUMMYFUNCTION("""COMPUTED_VALUE"""),116679.0)</f>
        <v>116679</v>
      </c>
      <c r="AA170" s="65" t="str">
        <f>IFERROR(__xludf.DUMMYFUNCTION("""COMPUTED_VALUE"""),"AMC-2738")</f>
        <v>AMC-2738</v>
      </c>
      <c r="AB170" s="65"/>
      <c r="AC170" s="65" t="str">
        <f>IFERROR(__xludf.DUMMYFUNCTION("""COMPUTED_VALUE"""),"ESPONJA ANTILLUVIA DE PARABRISAS")</f>
        <v>ESPONJA ANTILLUVIA DE PARABRISAS</v>
      </c>
      <c r="AD170" s="65"/>
      <c r="AE170" s="65">
        <f>IFERROR(__xludf.DUMMYFUNCTION("""COMPUTED_VALUE"""),2.0)</f>
        <v>2</v>
      </c>
      <c r="AF170" s="65"/>
      <c r="AG170" s="65"/>
      <c r="AH170" s="65"/>
      <c r="AI170" s="65"/>
      <c r="AJ170" s="65"/>
      <c r="AK170" s="65"/>
      <c r="AL170" s="65"/>
      <c r="AM170" s="65"/>
      <c r="AN170" s="65"/>
      <c r="AO170" s="65"/>
      <c r="AP170" s="65"/>
      <c r="AQ170" s="65"/>
      <c r="AR170" s="65"/>
      <c r="AS170" s="65"/>
      <c r="AT170" s="65" t="str">
        <f>IFERROR(__xludf.DUMMYFUNCTION("""COMPUTED_VALUE"""),"SHOPIFY")</f>
        <v>SHOPIFY</v>
      </c>
      <c r="AU170" s="65" t="str">
        <f>IFERROR(__xludf.DUMMYFUNCTION("""COMPUTED_VALUE"""),"IMPORTEX EC")</f>
        <v>IMPORTEX EC</v>
      </c>
      <c r="AV170" s="65" t="str">
        <f>IFERROR(__xludf.DUMMYFUNCTION("""COMPUTED_VALUE"""),"6580176617516")</f>
        <v>6580176617516</v>
      </c>
      <c r="AW170" s="65">
        <f>IFERROR(__xludf.DUMMYFUNCTION("""COMPUTED_VALUE"""),6679.0)</f>
        <v>6679</v>
      </c>
      <c r="AX170" s="65"/>
      <c r="AY170" s="65" t="str">
        <f>IFERROR(__xludf.DUMMYFUNCTION("""COMPUTED_VALUE"""),"17/03/2026")</f>
        <v>17/03/2026</v>
      </c>
      <c r="AZ170" s="65"/>
      <c r="BA170" s="65"/>
    </row>
    <row r="171">
      <c r="A171" s="65" t="str">
        <f>IFERROR(__xludf.DUMMYFUNCTION("""COMPUTED_VALUE"""),"27-03-2026")</f>
        <v>27-03-2026</v>
      </c>
      <c r="B171" s="65">
        <f>IFERROR(__xludf.DUMMYFUNCTION("""COMPUTED_VALUE"""),4803679.0)</f>
        <v>4803679</v>
      </c>
      <c r="C171" s="65" t="str">
        <f>IFERROR(__xludf.DUMMYFUNCTION("""COMPUTED_VALUE"""),"23:25")</f>
        <v>23:25</v>
      </c>
      <c r="D171" s="65" t="str">
        <f>IFERROR(__xludf.DUMMYFUNCTION("""COMPUTED_VALUE"""),"14-03-2026")</f>
        <v>14-03-2026</v>
      </c>
      <c r="E171" s="65" t="str">
        <f>IFERROR(__xludf.DUMMYFUNCTION("""COMPUTED_VALUE"""),"Javier Zurita")</f>
        <v>Javier Zurita</v>
      </c>
      <c r="F171" s="65" t="str">
        <f>IFERROR(__xludf.DUMMYFUNCTION("""COMPUTED_VALUE"""),"993250922")</f>
        <v>993250922</v>
      </c>
      <c r="G171" s="65" t="str">
        <f>IFERROR(__xludf.DUMMYFUNCTION("""COMPUTED_VALUE"""),"javierzuritacalderon@gmail.com")</f>
        <v>javierzuritacalderon@gmail.com</v>
      </c>
      <c r="H171" s="65"/>
      <c r="I171" s="65"/>
      <c r="J171" s="65" t="str">
        <f>IFERROR(__xludf.DUMMYFUNCTION("""COMPUTED_VALUE"""),"D001423852")</f>
        <v>D001423852</v>
      </c>
      <c r="K171" s="65" t="str">
        <f>IFERROR(__xludf.DUMMYFUNCTION("""COMPUTED_VALUE"""),"ENTREGADO")</f>
        <v>ENTREGADO</v>
      </c>
      <c r="L171" s="65" t="str">
        <f>IFERROR(__xludf.DUMMYFUNCTION("""COMPUTED_VALUE"""),"CON RECAUDO")</f>
        <v>CON RECAUDO</v>
      </c>
      <c r="M171" s="65" t="str">
        <f>IFERROR(__xludf.DUMMYFUNCTION("""COMPUTED_VALUE"""),"GUAYAS")</f>
        <v>GUAYAS</v>
      </c>
      <c r="N171" s="65" t="str">
        <f>IFERROR(__xludf.DUMMYFUNCTION("""COMPUTED_VALUE"""),"GUAYAQUIL")</f>
        <v>GUAYAQUIL</v>
      </c>
      <c r="O171" s="65" t="str">
        <f>IFERROR(__xludf.DUMMYFUNCTION("""COMPUTED_VALUE"""),"7ma 1921 y Argentina (cerramiento de rejas verdes con pared naranja y una gigantografia de cursos vacacionales y escuela de Karate) Parroquia Letamendi -")</f>
        <v>7ma 1921 y Argentina (cerramiento de rejas verdes con pared naranja y una gigantografia de cursos vacacionales y escuela de Karate) Parroquia Letamendi -</v>
      </c>
      <c r="P171" s="65"/>
      <c r="Q171" s="65" t="str">
        <f>IFERROR(__xludf.DUMMYFUNCTION("""COMPUTED_VALUE"""),"GINTRACOM")</f>
        <v>GINTRACOM</v>
      </c>
      <c r="R171" s="65">
        <f>IFERROR(__xludf.DUMMYFUNCTION("""COMPUTED_VALUE"""),30.0)</f>
        <v>30</v>
      </c>
      <c r="S171" s="65">
        <f>IFERROR(__xludf.DUMMYFUNCTION("""COMPUTED_VALUE"""),16.79)</f>
        <v>16.79</v>
      </c>
      <c r="T171" s="65">
        <f>IFERROR(__xludf.DUMMYFUNCTION("""COMPUTED_VALUE"""),6.16)</f>
        <v>6.16</v>
      </c>
      <c r="U171" s="65">
        <f>IFERROR(__xludf.DUMMYFUNCTION("""COMPUTED_VALUE"""),0.0)</f>
        <v>0</v>
      </c>
      <c r="V171" s="65">
        <f>IFERROR(__xludf.DUMMYFUNCTION("""COMPUTED_VALUE"""),0.0)</f>
        <v>0</v>
      </c>
      <c r="W171" s="65">
        <f>IFERROR(__xludf.DUMMYFUNCTION("""COMPUTED_VALUE"""),0.0)</f>
        <v>0</v>
      </c>
      <c r="X171" s="65">
        <f>IFERROR(__xludf.DUMMYFUNCTION("""COMPUTED_VALUE"""),2.35)</f>
        <v>2.35</v>
      </c>
      <c r="Y171" s="65">
        <f>IFERROR(__xludf.DUMMYFUNCTION("""COMPUTED_VALUE"""),7.05)</f>
        <v>7.05</v>
      </c>
      <c r="Z171" s="65">
        <f>IFERROR(__xludf.DUMMYFUNCTION("""COMPUTED_VALUE"""),116679.0)</f>
        <v>116679</v>
      </c>
      <c r="AA171" s="65" t="str">
        <f>IFERROR(__xludf.DUMMYFUNCTION("""COMPUTED_VALUE"""),"AMC-2738")</f>
        <v>AMC-2738</v>
      </c>
      <c r="AB171" s="65"/>
      <c r="AC171" s="65" t="str">
        <f>IFERROR(__xludf.DUMMYFUNCTION("""COMPUTED_VALUE"""),"ESPONJA ANTILLUVIA DE PARABRISAS")</f>
        <v>ESPONJA ANTILLUVIA DE PARABRISAS</v>
      </c>
      <c r="AD171" s="65"/>
      <c r="AE171" s="65">
        <f>IFERROR(__xludf.DUMMYFUNCTION("""COMPUTED_VALUE"""),3.0)</f>
        <v>3</v>
      </c>
      <c r="AF171" s="65"/>
      <c r="AG171" s="65"/>
      <c r="AH171" s="65"/>
      <c r="AI171" s="65"/>
      <c r="AJ171" s="65"/>
      <c r="AK171" s="65"/>
      <c r="AL171" s="65"/>
      <c r="AM171" s="65"/>
      <c r="AN171" s="65" t="str">
        <f>IFERROR(__xludf.DUMMYFUNCTION("""COMPUTED_VALUE"""),"10:24")</f>
        <v>10:24</v>
      </c>
      <c r="AO171" s="65" t="str">
        <f>IFERROR(__xludf.DUMMYFUNCTION("""COMPUTED_VALUE"""),"19-03-2026")</f>
        <v>19-03-2026</v>
      </c>
      <c r="AP171" s="65" t="str">
        <f>IFERROR(__xludf.DUMMYFUNCTION("""COMPUTED_VALUE"""),"EN REPARTO")</f>
        <v>EN REPARTO</v>
      </c>
      <c r="AQ171" s="65" t="str">
        <f>IFERROR(__xludf.DUMMYFUNCTION("""COMPUTED_VALUE"""),"EN REPARTO")</f>
        <v>EN REPARTO</v>
      </c>
      <c r="AR171" s="65"/>
      <c r="AS171" s="65"/>
      <c r="AT171" s="65" t="str">
        <f>IFERROR(__xludf.DUMMYFUNCTION("""COMPUTED_VALUE"""),"SHOPIFY")</f>
        <v>SHOPIFY</v>
      </c>
      <c r="AU171" s="65" t="str">
        <f>IFERROR(__xludf.DUMMYFUNCTION("""COMPUTED_VALUE"""),"IMPORTEX EC")</f>
        <v>IMPORTEX EC</v>
      </c>
      <c r="AV171" s="65" t="str">
        <f>IFERROR(__xludf.DUMMYFUNCTION("""COMPUTED_VALUE"""),"6579805290540")</f>
        <v>6579805290540</v>
      </c>
      <c r="AW171" s="65">
        <f>IFERROR(__xludf.DUMMYFUNCTION("""COMPUTED_VALUE"""),6678.0)</f>
        <v>6678</v>
      </c>
      <c r="AX171" s="65"/>
      <c r="AY171" s="65" t="str">
        <f>IFERROR(__xludf.DUMMYFUNCTION("""COMPUTED_VALUE"""),"17/03/2026")</f>
        <v>17/03/2026</v>
      </c>
      <c r="AZ171" s="65"/>
      <c r="BA171" s="65"/>
    </row>
    <row r="172">
      <c r="A172" s="65" t="str">
        <f>IFERROR(__xludf.DUMMYFUNCTION("""COMPUTED_VALUE"""),"27-03-2026")</f>
        <v>27-03-2026</v>
      </c>
      <c r="B172" s="65">
        <f>IFERROR(__xludf.DUMMYFUNCTION("""COMPUTED_VALUE"""),4802907.0)</f>
        <v>4802907</v>
      </c>
      <c r="C172" s="65" t="str">
        <f>IFERROR(__xludf.DUMMYFUNCTION("""COMPUTED_VALUE"""),"21:23")</f>
        <v>21:23</v>
      </c>
      <c r="D172" s="65" t="str">
        <f>IFERROR(__xludf.DUMMYFUNCTION("""COMPUTED_VALUE"""),"14-03-2026")</f>
        <v>14-03-2026</v>
      </c>
      <c r="E172" s="65" t="str">
        <f>IFERROR(__xludf.DUMMYFUNCTION("""COMPUTED_VALUE"""),"Cesar Galarza")</f>
        <v>Cesar Galarza</v>
      </c>
      <c r="F172" s="65" t="str">
        <f>IFERROR(__xludf.DUMMYFUNCTION("""COMPUTED_VALUE"""),"981126645")</f>
        <v>981126645</v>
      </c>
      <c r="G172" s="65" t="str">
        <f>IFERROR(__xludf.DUMMYFUNCTION("""COMPUTED_VALUE"""),"julioGalarza267@gmil.com")</f>
        <v>julioGalarza267@gmil.com</v>
      </c>
      <c r="H172" s="65"/>
      <c r="I172" s="65"/>
      <c r="J172" s="65"/>
      <c r="K172" s="65" t="str">
        <f>IFERROR(__xludf.DUMMYFUNCTION("""COMPUTED_VALUE"""),"CANCELADO")</f>
        <v>CANCELADO</v>
      </c>
      <c r="L172" s="65" t="str">
        <f>IFERROR(__xludf.DUMMYFUNCTION("""COMPUTED_VALUE"""),"CON RECAUDO")</f>
        <v>CON RECAUDO</v>
      </c>
      <c r="M172" s="65" t="str">
        <f>IFERROR(__xludf.DUMMYFUNCTION("""COMPUTED_VALUE"""),"TUNGURAHUA")</f>
        <v>TUNGURAHUA</v>
      </c>
      <c r="N172" s="65" t="str">
        <f>IFERROR(__xludf.DUMMYFUNCTION("""COMPUTED_VALUE"""),"AMBATO")</f>
        <v>AMBATO</v>
      </c>
      <c r="O172" s="65" t="str">
        <f>IFERROR(__xludf.DUMMYFUNCTION("""COMPUTED_VALUE"""),"Juliogalarza267@gmail.com Santa rosa -")</f>
        <v>Juliogalarza267@gmail.com Santa rosa -</v>
      </c>
      <c r="P172" s="65"/>
      <c r="Q172" s="65" t="str">
        <f>IFERROR(__xludf.DUMMYFUNCTION("""COMPUTED_VALUE"""),"GINTRACOM")</f>
        <v>GINTRACOM</v>
      </c>
      <c r="R172" s="65">
        <f>IFERROR(__xludf.DUMMYFUNCTION("""COMPUTED_VALUE"""),30.0)</f>
        <v>30</v>
      </c>
      <c r="S172" s="65"/>
      <c r="T172" s="65">
        <f>IFERROR(__xludf.DUMMYFUNCTION("""COMPUTED_VALUE"""),6.16)</f>
        <v>6.16</v>
      </c>
      <c r="U172" s="65">
        <f>IFERROR(__xludf.DUMMYFUNCTION("""COMPUTED_VALUE"""),0.0)</f>
        <v>0</v>
      </c>
      <c r="V172" s="65">
        <f>IFERROR(__xludf.DUMMYFUNCTION("""COMPUTED_VALUE"""),0.0)</f>
        <v>0</v>
      </c>
      <c r="W172" s="65">
        <f>IFERROR(__xludf.DUMMYFUNCTION("""COMPUTED_VALUE"""),0.0)</f>
        <v>0</v>
      </c>
      <c r="X172" s="65">
        <f>IFERROR(__xludf.DUMMYFUNCTION("""COMPUTED_VALUE"""),2.35)</f>
        <v>2.35</v>
      </c>
      <c r="Y172" s="65">
        <f>IFERROR(__xludf.DUMMYFUNCTION("""COMPUTED_VALUE"""),7.05)</f>
        <v>7.05</v>
      </c>
      <c r="Z172" s="65">
        <f>IFERROR(__xludf.DUMMYFUNCTION("""COMPUTED_VALUE"""),116679.0)</f>
        <v>116679</v>
      </c>
      <c r="AA172" s="65" t="str">
        <f>IFERROR(__xludf.DUMMYFUNCTION("""COMPUTED_VALUE"""),"AMC-2738")</f>
        <v>AMC-2738</v>
      </c>
      <c r="AB172" s="65"/>
      <c r="AC172" s="65" t="str">
        <f>IFERROR(__xludf.DUMMYFUNCTION("""COMPUTED_VALUE"""),"ESPONJA ANTILLUVIA DE PARABRISAS")</f>
        <v>ESPONJA ANTILLUVIA DE PARABRISAS</v>
      </c>
      <c r="AD172" s="65"/>
      <c r="AE172" s="65">
        <f>IFERROR(__xludf.DUMMYFUNCTION("""COMPUTED_VALUE"""),3.0)</f>
        <v>3</v>
      </c>
      <c r="AF172" s="65"/>
      <c r="AG172" s="65"/>
      <c r="AH172" s="65"/>
      <c r="AI172" s="65"/>
      <c r="AJ172" s="65"/>
      <c r="AK172" s="65"/>
      <c r="AL172" s="65"/>
      <c r="AM172" s="65"/>
      <c r="AN172" s="65"/>
      <c r="AO172" s="65"/>
      <c r="AP172" s="65"/>
      <c r="AQ172" s="65"/>
      <c r="AR172" s="65"/>
      <c r="AS172" s="65"/>
      <c r="AT172" s="65" t="str">
        <f>IFERROR(__xludf.DUMMYFUNCTION("""COMPUTED_VALUE"""),"SHOPIFY")</f>
        <v>SHOPIFY</v>
      </c>
      <c r="AU172" s="65" t="str">
        <f>IFERROR(__xludf.DUMMYFUNCTION("""COMPUTED_VALUE"""),"IMPORTEX EC")</f>
        <v>IMPORTEX EC</v>
      </c>
      <c r="AV172" s="65" t="str">
        <f>IFERROR(__xludf.DUMMYFUNCTION("""COMPUTED_VALUE"""),"6579627851820")</f>
        <v>6579627851820</v>
      </c>
      <c r="AW172" s="65">
        <f>IFERROR(__xludf.DUMMYFUNCTION("""COMPUTED_VALUE"""),6677.0)</f>
        <v>6677</v>
      </c>
      <c r="AX172" s="65"/>
      <c r="AY172" s="65"/>
      <c r="AZ172" s="65"/>
      <c r="BA172" s="65"/>
    </row>
    <row r="173">
      <c r="A173" s="65" t="str">
        <f>IFERROR(__xludf.DUMMYFUNCTION("""COMPUTED_VALUE"""),"27-03-2026")</f>
        <v>27-03-2026</v>
      </c>
      <c r="B173" s="65">
        <f>IFERROR(__xludf.DUMMYFUNCTION("""COMPUTED_VALUE"""),4802747.0)</f>
        <v>4802747</v>
      </c>
      <c r="C173" s="65" t="str">
        <f>IFERROR(__xludf.DUMMYFUNCTION("""COMPUTED_VALUE"""),"20:57")</f>
        <v>20:57</v>
      </c>
      <c r="D173" s="65" t="str">
        <f>IFERROR(__xludf.DUMMYFUNCTION("""COMPUTED_VALUE"""),"14-03-2026")</f>
        <v>14-03-2026</v>
      </c>
      <c r="E173" s="65" t="str">
        <f>IFERROR(__xludf.DUMMYFUNCTION("""COMPUTED_VALUE"""),"Carlos Cesar Alvares Alvarado")</f>
        <v>Carlos Cesar Alvares Alvarado</v>
      </c>
      <c r="F173" s="65" t="str">
        <f>IFERROR(__xludf.DUMMYFUNCTION("""COMPUTED_VALUE"""),"968840552")</f>
        <v>968840552</v>
      </c>
      <c r="G173" s="65" t="str">
        <f>IFERROR(__xludf.DUMMYFUNCTION("""COMPUTED_VALUE"""),"dixondanielalvaradogarzon@gmail.com")</f>
        <v>dixondanielalvaradogarzon@gmail.com</v>
      </c>
      <c r="H173" s="65"/>
      <c r="I173" s="65"/>
      <c r="J173" s="65" t="str">
        <f>IFERROR(__xludf.DUMMYFUNCTION("""COMPUTED_VALUE"""),"D001423853")</f>
        <v>D001423853</v>
      </c>
      <c r="K173" s="65" t="str">
        <f>IFERROR(__xludf.DUMMYFUNCTION("""COMPUTED_VALUE"""),"NOVEDAD")</f>
        <v>NOVEDAD</v>
      </c>
      <c r="L173" s="65" t="str">
        <f>IFERROR(__xludf.DUMMYFUNCTION("""COMPUTED_VALUE"""),"CON RECAUDO")</f>
        <v>CON RECAUDO</v>
      </c>
      <c r="M173" s="65" t="str">
        <f>IFERROR(__xludf.DUMMYFUNCTION("""COMPUTED_VALUE"""),"GUAYAS")</f>
        <v>GUAYAS</v>
      </c>
      <c r="N173" s="65" t="str">
        <f>IFERROR(__xludf.DUMMYFUNCTION("""COMPUTED_VALUE"""),"NARANJITO")</f>
        <v>NARANJITO</v>
      </c>
      <c r="O173" s="65" t="str">
        <f>IFERROR(__xludf.DUMMYFUNCTION("""COMPUTED_VALUE"""),"RETIRA EN CS:  NARANJITO GENERAL CORDOVA, 5 DE OCTUBRE 1418 Y GENERAL CORDOVA")</f>
        <v>RETIRA EN CS:  NARANJITO GENERAL CORDOVA, 5 DE OCTUBRE 1418 Y GENERAL CORDOVA</v>
      </c>
      <c r="P173" s="65"/>
      <c r="Q173" s="65" t="str">
        <f>IFERROR(__xludf.DUMMYFUNCTION("""COMPUTED_VALUE"""),"GINTRACOM")</f>
        <v>GINTRACOM</v>
      </c>
      <c r="R173" s="65">
        <f>IFERROR(__xludf.DUMMYFUNCTION("""COMPUTED_VALUE"""),20.0)</f>
        <v>20</v>
      </c>
      <c r="S173" s="65"/>
      <c r="T173" s="65">
        <f>IFERROR(__xludf.DUMMYFUNCTION("""COMPUTED_VALUE"""),6.33)</f>
        <v>6.33</v>
      </c>
      <c r="U173" s="65">
        <f>IFERROR(__xludf.DUMMYFUNCTION("""COMPUTED_VALUE"""),0.0)</f>
        <v>0</v>
      </c>
      <c r="V173" s="65">
        <f>IFERROR(__xludf.DUMMYFUNCTION("""COMPUTED_VALUE"""),0.0)</f>
        <v>0</v>
      </c>
      <c r="W173" s="65">
        <f>IFERROR(__xludf.DUMMYFUNCTION("""COMPUTED_VALUE"""),0.0)</f>
        <v>0</v>
      </c>
      <c r="X173" s="65">
        <f>IFERROR(__xludf.DUMMYFUNCTION("""COMPUTED_VALUE"""),2.35)</f>
        <v>2.35</v>
      </c>
      <c r="Y173" s="65">
        <f>IFERROR(__xludf.DUMMYFUNCTION("""COMPUTED_VALUE"""),2.35)</f>
        <v>2.35</v>
      </c>
      <c r="Z173" s="65">
        <f>IFERROR(__xludf.DUMMYFUNCTION("""COMPUTED_VALUE"""),116679.0)</f>
        <v>116679</v>
      </c>
      <c r="AA173" s="65" t="str">
        <f>IFERROR(__xludf.DUMMYFUNCTION("""COMPUTED_VALUE"""),"AMC-2738")</f>
        <v>AMC-2738</v>
      </c>
      <c r="AB173" s="65"/>
      <c r="AC173" s="65" t="str">
        <f>IFERROR(__xludf.DUMMYFUNCTION("""COMPUTED_VALUE"""),"ESPONJA ANTILLUVIA DE PARABRISAS")</f>
        <v>ESPONJA ANTILLUVIA DE PARABRISAS</v>
      </c>
      <c r="AD173" s="65"/>
      <c r="AE173" s="65">
        <f>IFERROR(__xludf.DUMMYFUNCTION("""COMPUTED_VALUE"""),1.0)</f>
        <v>1</v>
      </c>
      <c r="AF173" s="65" t="str">
        <f>IFERROR(__xludf.DUMMYFUNCTION("""COMPUTED_VALUE"""),"DESTINATARIO INDICA QUE SE ENCUENTRA FUERA DE LA CIUDAD")</f>
        <v>DESTINATARIO INDICA QUE SE ENCUENTRA FUERA DE LA CIUDAD</v>
      </c>
      <c r="AG173" s="65" t="str">
        <f>IFERROR(__xludf.DUMMYFUNCTION("""COMPUTED_VALUE"""),"NO")</f>
        <v>NO</v>
      </c>
      <c r="AH173" s="65" t="str">
        <f>IFERROR(__xludf.DUMMYFUNCTION("""COMPUTED_VALUE"""),"12:35")</f>
        <v>12:35</v>
      </c>
      <c r="AI173" s="65" t="str">
        <f>IFERROR(__xludf.DUMMYFUNCTION("""COMPUTED_VALUE"""),"25-03-2026")</f>
        <v>25-03-2026</v>
      </c>
      <c r="AJ173" s="65"/>
      <c r="AK173" s="65"/>
      <c r="AL173" s="65"/>
      <c r="AM173" s="65"/>
      <c r="AN173" s="65" t="str">
        <f>IFERROR(__xludf.DUMMYFUNCTION("""COMPUTED_VALUE"""),"12:35")</f>
        <v>12:35</v>
      </c>
      <c r="AO173" s="65" t="str">
        <f>IFERROR(__xludf.DUMMYFUNCTION("""COMPUTED_VALUE"""),"25-03-2026")</f>
        <v>25-03-2026</v>
      </c>
      <c r="AP173" s="65" t="str">
        <f>IFERROR(__xludf.DUMMYFUNCTION("""COMPUTED_VALUE"""),"DESTINATARIO INDICA QUE SE ENCUENTRA FUERA DE LA CIUDAD")</f>
        <v>DESTINATARIO INDICA QUE SE ENCUENTRA FUERA DE LA CIUDAD</v>
      </c>
      <c r="AQ173" s="65" t="str">
        <f>IFERROR(__xludf.DUMMYFUNCTION("""COMPUTED_VALUE"""),"DESTINATARIO INDICA QUE SE ENCUENTRA FUERA DE LA CIUDAD")</f>
        <v>DESTINATARIO INDICA QUE SE ENCUENTRA FUERA DE LA CIUDAD</v>
      </c>
      <c r="AR173" s="65"/>
      <c r="AS173" s="65"/>
      <c r="AT173" s="65" t="str">
        <f>IFERROR(__xludf.DUMMYFUNCTION("""COMPUTED_VALUE"""),"SHOPIFY")</f>
        <v>SHOPIFY</v>
      </c>
      <c r="AU173" s="65" t="str">
        <f>IFERROR(__xludf.DUMMYFUNCTION("""COMPUTED_VALUE"""),"IMPORTEX EC")</f>
        <v>IMPORTEX EC</v>
      </c>
      <c r="AV173" s="65" t="str">
        <f>IFERROR(__xludf.DUMMYFUNCTION("""COMPUTED_VALUE"""),"6579583123500")</f>
        <v>6579583123500</v>
      </c>
      <c r="AW173" s="65">
        <f>IFERROR(__xludf.DUMMYFUNCTION("""COMPUTED_VALUE"""),6676.0)</f>
        <v>6676</v>
      </c>
      <c r="AX173" s="65"/>
      <c r="AY173" s="65" t="str">
        <f>IFERROR(__xludf.DUMMYFUNCTION("""COMPUTED_VALUE"""),"17/03/2026")</f>
        <v>17/03/2026</v>
      </c>
      <c r="AZ173" s="65"/>
      <c r="BA173" s="65"/>
    </row>
    <row r="174">
      <c r="A174" s="65" t="str">
        <f>IFERROR(__xludf.DUMMYFUNCTION("""COMPUTED_VALUE"""),"27-03-2026")</f>
        <v>27-03-2026</v>
      </c>
      <c r="B174" s="65">
        <f>IFERROR(__xludf.DUMMYFUNCTION("""COMPUTED_VALUE"""),4802729.0)</f>
        <v>4802729</v>
      </c>
      <c r="C174" s="65" t="str">
        <f>IFERROR(__xludf.DUMMYFUNCTION("""COMPUTED_VALUE"""),"20:54")</f>
        <v>20:54</v>
      </c>
      <c r="D174" s="65" t="str">
        <f>IFERROR(__xludf.DUMMYFUNCTION("""COMPUTED_VALUE"""),"14-03-2026")</f>
        <v>14-03-2026</v>
      </c>
      <c r="E174" s="65" t="str">
        <f>IFERROR(__xludf.DUMMYFUNCTION("""COMPUTED_VALUE"""),"Monica Dominguez")</f>
        <v>Monica Dominguez</v>
      </c>
      <c r="F174" s="65" t="str">
        <f>IFERROR(__xludf.DUMMYFUNCTION("""COMPUTED_VALUE"""),"997675976")</f>
        <v>997675976</v>
      </c>
      <c r="G174" s="65" t="str">
        <f>IFERROR(__xludf.DUMMYFUNCTION("""COMPUTED_VALUE"""),"mdomnguez43@hotmail.com")</f>
        <v>mdomnguez43@hotmail.com</v>
      </c>
      <c r="H174" s="65"/>
      <c r="I174" s="65"/>
      <c r="J174" s="65" t="str">
        <f>IFERROR(__xludf.DUMMYFUNCTION("""COMPUTED_VALUE"""),"D001423854")</f>
        <v>D001423854</v>
      </c>
      <c r="K174" s="65" t="str">
        <f>IFERROR(__xludf.DUMMYFUNCTION("""COMPUTED_VALUE"""),"ENTREGADO")</f>
        <v>ENTREGADO</v>
      </c>
      <c r="L174" s="65" t="str">
        <f>IFERROR(__xludf.DUMMYFUNCTION("""COMPUTED_VALUE"""),"CON RECAUDO")</f>
        <v>CON RECAUDO</v>
      </c>
      <c r="M174" s="65" t="str">
        <f>IFERROR(__xludf.DUMMYFUNCTION("""COMPUTED_VALUE"""),"AZUAY")</f>
        <v>AZUAY</v>
      </c>
      <c r="N174" s="65" t="str">
        <f>IFERROR(__xludf.DUMMYFUNCTION("""COMPUTED_VALUE"""),"CUENCA")</f>
        <v>CUENCA</v>
      </c>
      <c r="O174" s="65" t="str">
        <f>IFERROR(__xludf.DUMMYFUNCTION("""COMPUTED_VALUE"""),"Paseo de los Cañaris y Ayapungo, Unidad educativa Ricardo Muñoz Chavez Totoracocha -")</f>
        <v>Paseo de los Cañaris y Ayapungo, Unidad educativa Ricardo Muñoz Chavez Totoracocha -</v>
      </c>
      <c r="P174" s="65"/>
      <c r="Q174" s="65" t="str">
        <f>IFERROR(__xludf.DUMMYFUNCTION("""COMPUTED_VALUE"""),"GINTRACOM")</f>
        <v>GINTRACOM</v>
      </c>
      <c r="R174" s="65">
        <f>IFERROR(__xludf.DUMMYFUNCTION("""COMPUTED_VALUE"""),30.0)</f>
        <v>30</v>
      </c>
      <c r="S174" s="65">
        <f>IFERROR(__xludf.DUMMYFUNCTION("""COMPUTED_VALUE"""),16.79)</f>
        <v>16.79</v>
      </c>
      <c r="T174" s="65">
        <f>IFERROR(__xludf.DUMMYFUNCTION("""COMPUTED_VALUE"""),6.16)</f>
        <v>6.16</v>
      </c>
      <c r="U174" s="65">
        <f>IFERROR(__xludf.DUMMYFUNCTION("""COMPUTED_VALUE"""),0.0)</f>
        <v>0</v>
      </c>
      <c r="V174" s="65">
        <f>IFERROR(__xludf.DUMMYFUNCTION("""COMPUTED_VALUE"""),0.0)</f>
        <v>0</v>
      </c>
      <c r="W174" s="65">
        <f>IFERROR(__xludf.DUMMYFUNCTION("""COMPUTED_VALUE"""),0.0)</f>
        <v>0</v>
      </c>
      <c r="X174" s="65">
        <f>IFERROR(__xludf.DUMMYFUNCTION("""COMPUTED_VALUE"""),2.35)</f>
        <v>2.35</v>
      </c>
      <c r="Y174" s="65">
        <f>IFERROR(__xludf.DUMMYFUNCTION("""COMPUTED_VALUE"""),7.05)</f>
        <v>7.05</v>
      </c>
      <c r="Z174" s="65">
        <f>IFERROR(__xludf.DUMMYFUNCTION("""COMPUTED_VALUE"""),116679.0)</f>
        <v>116679</v>
      </c>
      <c r="AA174" s="65" t="str">
        <f>IFERROR(__xludf.DUMMYFUNCTION("""COMPUTED_VALUE"""),"AMC-2738")</f>
        <v>AMC-2738</v>
      </c>
      <c r="AB174" s="65"/>
      <c r="AC174" s="65" t="str">
        <f>IFERROR(__xludf.DUMMYFUNCTION("""COMPUTED_VALUE"""),"ESPONJA ANTILLUVIA DE PARABRISAS")</f>
        <v>ESPONJA ANTILLUVIA DE PARABRISAS</v>
      </c>
      <c r="AD174" s="65"/>
      <c r="AE174" s="65">
        <f>IFERROR(__xludf.DUMMYFUNCTION("""COMPUTED_VALUE"""),3.0)</f>
        <v>3</v>
      </c>
      <c r="AF174" s="65"/>
      <c r="AG174" s="65"/>
      <c r="AH174" s="65"/>
      <c r="AI174" s="65"/>
      <c r="AJ174" s="65"/>
      <c r="AK174" s="65"/>
      <c r="AL174" s="65"/>
      <c r="AM174" s="65"/>
      <c r="AN174" s="65" t="str">
        <f>IFERROR(__xludf.DUMMYFUNCTION("""COMPUTED_VALUE"""),"11:54")</f>
        <v>11:54</v>
      </c>
      <c r="AO174" s="65" t="str">
        <f>IFERROR(__xludf.DUMMYFUNCTION("""COMPUTED_VALUE"""),"19-03-2026")</f>
        <v>19-03-2026</v>
      </c>
      <c r="AP174" s="65" t="str">
        <f>IFERROR(__xludf.DUMMYFUNCTION("""COMPUTED_VALUE"""),"ENTREGADA GINTRACOM")</f>
        <v>ENTREGADA GINTRACOM</v>
      </c>
      <c r="AQ174" s="65" t="str">
        <f>IFERROR(__xludf.DUMMYFUNCTION("""COMPUTED_VALUE"""),"ENTREGADA GINTRACOM")</f>
        <v>ENTREGADA GINTRACOM</v>
      </c>
      <c r="AR174" s="65"/>
      <c r="AS174" s="65"/>
      <c r="AT174" s="65" t="str">
        <f>IFERROR(__xludf.DUMMYFUNCTION("""COMPUTED_VALUE"""),"SHOPIFY")</f>
        <v>SHOPIFY</v>
      </c>
      <c r="AU174" s="65" t="str">
        <f>IFERROR(__xludf.DUMMYFUNCTION("""COMPUTED_VALUE"""),"IMPORTEX EC")</f>
        <v>IMPORTEX EC</v>
      </c>
      <c r="AV174" s="65" t="str">
        <f>IFERROR(__xludf.DUMMYFUNCTION("""COMPUTED_VALUE"""),"6579578732588")</f>
        <v>6579578732588</v>
      </c>
      <c r="AW174" s="65">
        <f>IFERROR(__xludf.DUMMYFUNCTION("""COMPUTED_VALUE"""),6675.0)</f>
        <v>6675</v>
      </c>
      <c r="AX174" s="65"/>
      <c r="AY174" s="65" t="str">
        <f>IFERROR(__xludf.DUMMYFUNCTION("""COMPUTED_VALUE"""),"17/03/2026")</f>
        <v>17/03/2026</v>
      </c>
      <c r="AZ174" s="65"/>
      <c r="BA174" s="65"/>
    </row>
    <row r="175">
      <c r="A175" s="65" t="str">
        <f>IFERROR(__xludf.DUMMYFUNCTION("""COMPUTED_VALUE"""),"27-03-2026")</f>
        <v>27-03-2026</v>
      </c>
      <c r="B175" s="65">
        <f>IFERROR(__xludf.DUMMYFUNCTION("""COMPUTED_VALUE"""),4802385.0)</f>
        <v>4802385</v>
      </c>
      <c r="C175" s="65" t="str">
        <f>IFERROR(__xludf.DUMMYFUNCTION("""COMPUTED_VALUE"""),"20:03")</f>
        <v>20:03</v>
      </c>
      <c r="D175" s="65" t="str">
        <f>IFERROR(__xludf.DUMMYFUNCTION("""COMPUTED_VALUE"""),"14-03-2026")</f>
        <v>14-03-2026</v>
      </c>
      <c r="E175" s="65" t="str">
        <f>IFERROR(__xludf.DUMMYFUNCTION("""COMPUTED_VALUE"""),"Jorge Mendez")</f>
        <v>Jorge Mendez</v>
      </c>
      <c r="F175" s="65" t="str">
        <f>IFERROR(__xludf.DUMMYFUNCTION("""COMPUTED_VALUE"""),"998591803")</f>
        <v>998591803</v>
      </c>
      <c r="G175" s="65" t="str">
        <f>IFERROR(__xludf.DUMMYFUNCTION("""COMPUTED_VALUE"""),"jorgemendezj69@gmail.com")</f>
        <v>jorgemendezj69@gmail.com</v>
      </c>
      <c r="H175" s="65"/>
      <c r="I175" s="65"/>
      <c r="J175" s="65" t="str">
        <f>IFERROR(__xludf.DUMMYFUNCTION("""COMPUTED_VALUE"""),"D001423855")</f>
        <v>D001423855</v>
      </c>
      <c r="K175" s="65" t="str">
        <f>IFERROR(__xludf.DUMMYFUNCTION("""COMPUTED_VALUE"""),"ENTREGADO")</f>
        <v>ENTREGADO</v>
      </c>
      <c r="L175" s="65" t="str">
        <f>IFERROR(__xludf.DUMMYFUNCTION("""COMPUTED_VALUE"""),"CON RECAUDO")</f>
        <v>CON RECAUDO</v>
      </c>
      <c r="M175" s="65" t="str">
        <f>IFERROR(__xludf.DUMMYFUNCTION("""COMPUTED_VALUE"""),"AZUAY")</f>
        <v>AZUAY</v>
      </c>
      <c r="N175" s="65" t="str">
        <f>IFERROR(__xludf.DUMMYFUNCTION("""COMPUTED_VALUE"""),"CUENCA")</f>
        <v>CUENCA</v>
      </c>
      <c r="O175" s="65" t="str">
        <f>IFERROR(__xludf.DUMMYFUNCTION("""COMPUTED_VALUE"""),"RETIRA EN CS:  CUENCA LUIS CORDERO, LUIS CORDERO 12-64 E/ SANGURIMA Y VEGA MUNOZ")</f>
        <v>RETIRA EN CS:  CUENCA LUIS CORDERO, LUIS CORDERO 12-64 E/ SANGURIMA Y VEGA MUNOZ</v>
      </c>
      <c r="P175" s="65"/>
      <c r="Q175" s="65" t="str">
        <f>IFERROR(__xludf.DUMMYFUNCTION("""COMPUTED_VALUE"""),"GINTRACOM")</f>
        <v>GINTRACOM</v>
      </c>
      <c r="R175" s="65">
        <f>IFERROR(__xludf.DUMMYFUNCTION("""COMPUTED_VALUE"""),20.0)</f>
        <v>20</v>
      </c>
      <c r="S175" s="65">
        <f>IFERROR(__xludf.DUMMYFUNCTION("""COMPUTED_VALUE"""),11.89)</f>
        <v>11.89</v>
      </c>
      <c r="T175" s="65">
        <f>IFERROR(__xludf.DUMMYFUNCTION("""COMPUTED_VALUE"""),5.76)</f>
        <v>5.76</v>
      </c>
      <c r="U175" s="65">
        <f>IFERROR(__xludf.DUMMYFUNCTION("""COMPUTED_VALUE"""),0.0)</f>
        <v>0</v>
      </c>
      <c r="V175" s="65">
        <f>IFERROR(__xludf.DUMMYFUNCTION("""COMPUTED_VALUE"""),0.0)</f>
        <v>0</v>
      </c>
      <c r="W175" s="65">
        <f>IFERROR(__xludf.DUMMYFUNCTION("""COMPUTED_VALUE"""),0.0)</f>
        <v>0</v>
      </c>
      <c r="X175" s="65">
        <f>IFERROR(__xludf.DUMMYFUNCTION("""COMPUTED_VALUE"""),2.35)</f>
        <v>2.35</v>
      </c>
      <c r="Y175" s="65">
        <f>IFERROR(__xludf.DUMMYFUNCTION("""COMPUTED_VALUE"""),2.35)</f>
        <v>2.35</v>
      </c>
      <c r="Z175" s="65">
        <f>IFERROR(__xludf.DUMMYFUNCTION("""COMPUTED_VALUE"""),116679.0)</f>
        <v>116679</v>
      </c>
      <c r="AA175" s="65" t="str">
        <f>IFERROR(__xludf.DUMMYFUNCTION("""COMPUTED_VALUE"""),"AMC-2738")</f>
        <v>AMC-2738</v>
      </c>
      <c r="AB175" s="65"/>
      <c r="AC175" s="65" t="str">
        <f>IFERROR(__xludf.DUMMYFUNCTION("""COMPUTED_VALUE"""),"ESPONJA ANTILLUVIA DE PARABRISAS")</f>
        <v>ESPONJA ANTILLUVIA DE PARABRISAS</v>
      </c>
      <c r="AD175" s="65"/>
      <c r="AE175" s="65">
        <f>IFERROR(__xludf.DUMMYFUNCTION("""COMPUTED_VALUE"""),1.0)</f>
        <v>1</v>
      </c>
      <c r="AF175" s="65"/>
      <c r="AG175" s="65"/>
      <c r="AH175" s="65"/>
      <c r="AI175" s="65"/>
      <c r="AJ175" s="65"/>
      <c r="AK175" s="65"/>
      <c r="AL175" s="65"/>
      <c r="AM175" s="65"/>
      <c r="AN175" s="65" t="str">
        <f>IFERROR(__xludf.DUMMYFUNCTION("""COMPUTED_VALUE"""),"12:10")</f>
        <v>12:10</v>
      </c>
      <c r="AO175" s="65" t="str">
        <f>IFERROR(__xludf.DUMMYFUNCTION("""COMPUTED_VALUE"""),"19-03-2026")</f>
        <v>19-03-2026</v>
      </c>
      <c r="AP175" s="65" t="str">
        <f>IFERROR(__xludf.DUMMYFUNCTION("""COMPUTED_VALUE"""),"ENTREGADA GINTRACOM")</f>
        <v>ENTREGADA GINTRACOM</v>
      </c>
      <c r="AQ175" s="65" t="str">
        <f>IFERROR(__xludf.DUMMYFUNCTION("""COMPUTED_VALUE"""),"ENTREGADA GINTRACOM")</f>
        <v>ENTREGADA GINTRACOM</v>
      </c>
      <c r="AR175" s="65"/>
      <c r="AS175" s="65"/>
      <c r="AT175" s="65" t="str">
        <f>IFERROR(__xludf.DUMMYFUNCTION("""COMPUTED_VALUE"""),"SHOPIFY")</f>
        <v>SHOPIFY</v>
      </c>
      <c r="AU175" s="65" t="str">
        <f>IFERROR(__xludf.DUMMYFUNCTION("""COMPUTED_VALUE"""),"IMPORTEX EC")</f>
        <v>IMPORTEX EC</v>
      </c>
      <c r="AV175" s="65" t="str">
        <f>IFERROR(__xludf.DUMMYFUNCTION("""COMPUTED_VALUE"""),"6579493273644")</f>
        <v>6579493273644</v>
      </c>
      <c r="AW175" s="65">
        <f>IFERROR(__xludf.DUMMYFUNCTION("""COMPUTED_VALUE"""),6674.0)</f>
        <v>6674</v>
      </c>
      <c r="AX175" s="65"/>
      <c r="AY175" s="65" t="str">
        <f>IFERROR(__xludf.DUMMYFUNCTION("""COMPUTED_VALUE"""),"17/03/2026")</f>
        <v>17/03/2026</v>
      </c>
      <c r="AZ175" s="65"/>
      <c r="BA175" s="65"/>
    </row>
    <row r="176">
      <c r="A176" s="65" t="str">
        <f>IFERROR(__xludf.DUMMYFUNCTION("""COMPUTED_VALUE"""),"27-03-2026")</f>
        <v>27-03-2026</v>
      </c>
      <c r="B176" s="65">
        <f>IFERROR(__xludf.DUMMYFUNCTION("""COMPUTED_VALUE"""),4801489.0)</f>
        <v>4801489</v>
      </c>
      <c r="C176" s="65" t="str">
        <f>IFERROR(__xludf.DUMMYFUNCTION("""COMPUTED_VALUE"""),"17:37")</f>
        <v>17:37</v>
      </c>
      <c r="D176" s="65" t="str">
        <f>IFERROR(__xludf.DUMMYFUNCTION("""COMPUTED_VALUE"""),"14-03-2026")</f>
        <v>14-03-2026</v>
      </c>
      <c r="E176" s="65" t="str">
        <f>IFERROR(__xludf.DUMMYFUNCTION("""COMPUTED_VALUE"""),"Pablo Davila")</f>
        <v>Pablo Davila</v>
      </c>
      <c r="F176" s="65" t="str">
        <f>IFERROR(__xludf.DUMMYFUNCTION("""COMPUTED_VALUE"""),"995200204")</f>
        <v>995200204</v>
      </c>
      <c r="G176" s="65" t="str">
        <f>IFERROR(__xludf.DUMMYFUNCTION("""COMPUTED_VALUE"""),"pdavila_18@live.com")</f>
        <v>pdavila_18@live.com</v>
      </c>
      <c r="H176" s="65"/>
      <c r="I176" s="65"/>
      <c r="J176" s="65" t="str">
        <f>IFERROR(__xludf.DUMMYFUNCTION("""COMPUTED_VALUE"""),"D001423856")</f>
        <v>D001423856</v>
      </c>
      <c r="K176" s="65" t="str">
        <f>IFERROR(__xludf.DUMMYFUNCTION("""COMPUTED_VALUE"""),"ENTREGADO")</f>
        <v>ENTREGADO</v>
      </c>
      <c r="L176" s="65" t="str">
        <f>IFERROR(__xludf.DUMMYFUNCTION("""COMPUTED_VALUE"""),"CON RECAUDO")</f>
        <v>CON RECAUDO</v>
      </c>
      <c r="M176" s="65" t="str">
        <f>IFERROR(__xludf.DUMMYFUNCTION("""COMPUTED_VALUE"""),"PICHINCHA")</f>
        <v>PICHINCHA</v>
      </c>
      <c r="N176" s="65" t="str">
        <f>IFERROR(__xludf.DUMMYFUNCTION("""COMPUTED_VALUE"""),"QUITO")</f>
        <v>QUITO</v>
      </c>
      <c r="O176" s="65" t="str">
        <f>IFERROR(__xludf.DUMMYFUNCTION("""COMPUTED_VALUE"""),"magasi del inca y  Calle B2 - Urbanización Orquídeas del Norte")</f>
        <v>magasi del inca y  Calle B2 - Urbanización Orquídeas del Norte</v>
      </c>
      <c r="P176" s="65"/>
      <c r="Q176" s="65" t="str">
        <f>IFERROR(__xludf.DUMMYFUNCTION("""COMPUTED_VALUE"""),"GINTRACOM")</f>
        <v>GINTRACOM</v>
      </c>
      <c r="R176" s="65">
        <f>IFERROR(__xludf.DUMMYFUNCTION("""COMPUTED_VALUE"""),20.0)</f>
        <v>20</v>
      </c>
      <c r="S176" s="65">
        <f>IFERROR(__xludf.DUMMYFUNCTION("""COMPUTED_VALUE"""),13.5)</f>
        <v>13.5</v>
      </c>
      <c r="T176" s="65">
        <f>IFERROR(__xludf.DUMMYFUNCTION("""COMPUTED_VALUE"""),4.15)</f>
        <v>4.15</v>
      </c>
      <c r="U176" s="65">
        <f>IFERROR(__xludf.DUMMYFUNCTION("""COMPUTED_VALUE"""),0.0)</f>
        <v>0</v>
      </c>
      <c r="V176" s="65">
        <f>IFERROR(__xludf.DUMMYFUNCTION("""COMPUTED_VALUE"""),0.0)</f>
        <v>0</v>
      </c>
      <c r="W176" s="65">
        <f>IFERROR(__xludf.DUMMYFUNCTION("""COMPUTED_VALUE"""),0.0)</f>
        <v>0</v>
      </c>
      <c r="X176" s="65">
        <f>IFERROR(__xludf.DUMMYFUNCTION("""COMPUTED_VALUE"""),2.35)</f>
        <v>2.35</v>
      </c>
      <c r="Y176" s="65">
        <f>IFERROR(__xludf.DUMMYFUNCTION("""COMPUTED_VALUE"""),2.35)</f>
        <v>2.35</v>
      </c>
      <c r="Z176" s="65">
        <f>IFERROR(__xludf.DUMMYFUNCTION("""COMPUTED_VALUE"""),116679.0)</f>
        <v>116679</v>
      </c>
      <c r="AA176" s="65" t="str">
        <f>IFERROR(__xludf.DUMMYFUNCTION("""COMPUTED_VALUE"""),"AMC-2738")</f>
        <v>AMC-2738</v>
      </c>
      <c r="AB176" s="65"/>
      <c r="AC176" s="65" t="str">
        <f>IFERROR(__xludf.DUMMYFUNCTION("""COMPUTED_VALUE"""),"ESPONJA ANTILLUVIA DE PARABRISAS")</f>
        <v>ESPONJA ANTILLUVIA DE PARABRISAS</v>
      </c>
      <c r="AD176" s="65"/>
      <c r="AE176" s="65">
        <f>IFERROR(__xludf.DUMMYFUNCTION("""COMPUTED_VALUE"""),1.0)</f>
        <v>1</v>
      </c>
      <c r="AF176" s="65"/>
      <c r="AG176" s="65"/>
      <c r="AH176" s="65"/>
      <c r="AI176" s="65"/>
      <c r="AJ176" s="65"/>
      <c r="AK176" s="65"/>
      <c r="AL176" s="65"/>
      <c r="AM176" s="65"/>
      <c r="AN176" s="65" t="str">
        <f>IFERROR(__xludf.DUMMYFUNCTION("""COMPUTED_VALUE"""),"10:02")</f>
        <v>10:02</v>
      </c>
      <c r="AO176" s="65" t="str">
        <f>IFERROR(__xludf.DUMMYFUNCTION("""COMPUTED_VALUE"""),"18-03-2026")</f>
        <v>18-03-2026</v>
      </c>
      <c r="AP176" s="65" t="str">
        <f>IFERROR(__xludf.DUMMYFUNCTION("""COMPUTED_VALUE"""),"EN REPARTO")</f>
        <v>EN REPARTO</v>
      </c>
      <c r="AQ176" s="65" t="str">
        <f>IFERROR(__xludf.DUMMYFUNCTION("""COMPUTED_VALUE"""),"EN REPARTO")</f>
        <v>EN REPARTO</v>
      </c>
      <c r="AR176" s="65"/>
      <c r="AS176" s="65"/>
      <c r="AT176" s="65" t="str">
        <f>IFERROR(__xludf.DUMMYFUNCTION("""COMPUTED_VALUE"""),"SHOPIFY")</f>
        <v>SHOPIFY</v>
      </c>
      <c r="AU176" s="65" t="str">
        <f>IFERROR(__xludf.DUMMYFUNCTION("""COMPUTED_VALUE"""),"IMPORTEX EC")</f>
        <v>IMPORTEX EC</v>
      </c>
      <c r="AV176" s="65" t="str">
        <f>IFERROR(__xludf.DUMMYFUNCTION("""COMPUTED_VALUE"""),"6579245056044")</f>
        <v>6579245056044</v>
      </c>
      <c r="AW176" s="65">
        <f>IFERROR(__xludf.DUMMYFUNCTION("""COMPUTED_VALUE"""),6673.0)</f>
        <v>6673</v>
      </c>
      <c r="AX176" s="65"/>
      <c r="AY176" s="65" t="str">
        <f>IFERROR(__xludf.DUMMYFUNCTION("""COMPUTED_VALUE"""),"17/03/2026")</f>
        <v>17/03/2026</v>
      </c>
      <c r="AZ176" s="65"/>
      <c r="BA176" s="65"/>
    </row>
    <row r="177">
      <c r="A177" s="65" t="str">
        <f>IFERROR(__xludf.DUMMYFUNCTION("""COMPUTED_VALUE"""),"27-03-2026")</f>
        <v>27-03-2026</v>
      </c>
      <c r="B177" s="65">
        <f>IFERROR(__xludf.DUMMYFUNCTION("""COMPUTED_VALUE"""),4801475.0)</f>
        <v>4801475</v>
      </c>
      <c r="C177" s="65" t="str">
        <f>IFERROR(__xludf.DUMMYFUNCTION("""COMPUTED_VALUE"""),"17:34")</f>
        <v>17:34</v>
      </c>
      <c r="D177" s="65" t="str">
        <f>IFERROR(__xludf.DUMMYFUNCTION("""COMPUTED_VALUE"""),"14-03-2026")</f>
        <v>14-03-2026</v>
      </c>
      <c r="E177" s="65" t="str">
        <f>IFERROR(__xludf.DUMMYFUNCTION("""COMPUTED_VALUE"""),"Marco Oñate")</f>
        <v>Marco Oñate</v>
      </c>
      <c r="F177" s="65" t="str">
        <f>IFERROR(__xludf.DUMMYFUNCTION("""COMPUTED_VALUE"""),"998031794")</f>
        <v>998031794</v>
      </c>
      <c r="G177" s="65" t="str">
        <f>IFERROR(__xludf.DUMMYFUNCTION("""COMPUTED_VALUE"""),"shelerylia2709@gmail.com")</f>
        <v>shelerylia2709@gmail.com</v>
      </c>
      <c r="H177" s="65"/>
      <c r="I177" s="65"/>
      <c r="J177" s="65"/>
      <c r="K177" s="65" t="str">
        <f>IFERROR(__xludf.DUMMYFUNCTION("""COMPUTED_VALUE"""),"CANCELADO")</f>
        <v>CANCELADO</v>
      </c>
      <c r="L177" s="65" t="str">
        <f>IFERROR(__xludf.DUMMYFUNCTION("""COMPUTED_VALUE"""),"CON RECAUDO")</f>
        <v>CON RECAUDO</v>
      </c>
      <c r="M177" s="65" t="str">
        <f>IFERROR(__xludf.DUMMYFUNCTION("""COMPUTED_VALUE"""),"COTOPAXI")</f>
        <v>COTOPAXI</v>
      </c>
      <c r="N177" s="65" t="str">
        <f>IFERROR(__xludf.DUMMYFUNCTION("""COMPUTED_VALUE"""),"PUJILI")</f>
        <v>PUJILI</v>
      </c>
      <c r="O177" s="65" t="str">
        <f>IFERROR(__xludf.DUMMYFUNCTION("""COMPUTED_VALUE"""),"luis Felipe Chávez frente al coliseo -")</f>
        <v>luis Felipe Chávez frente al coliseo -</v>
      </c>
      <c r="P177" s="65"/>
      <c r="Q177" s="65" t="str">
        <f>IFERROR(__xludf.DUMMYFUNCTION("""COMPUTED_VALUE"""),"GINTRACOM")</f>
        <v>GINTRACOM</v>
      </c>
      <c r="R177" s="65">
        <f>IFERROR(__xludf.DUMMYFUNCTION("""COMPUTED_VALUE"""),20.0)</f>
        <v>20</v>
      </c>
      <c r="S177" s="65"/>
      <c r="T177" s="65">
        <f>IFERROR(__xludf.DUMMYFUNCTION("""COMPUTED_VALUE"""),6.33)</f>
        <v>6.33</v>
      </c>
      <c r="U177" s="65">
        <f>IFERROR(__xludf.DUMMYFUNCTION("""COMPUTED_VALUE"""),0.0)</f>
        <v>0</v>
      </c>
      <c r="V177" s="65">
        <f>IFERROR(__xludf.DUMMYFUNCTION("""COMPUTED_VALUE"""),0.0)</f>
        <v>0</v>
      </c>
      <c r="W177" s="65">
        <f>IFERROR(__xludf.DUMMYFUNCTION("""COMPUTED_VALUE"""),0.0)</f>
        <v>0</v>
      </c>
      <c r="X177" s="65">
        <f>IFERROR(__xludf.DUMMYFUNCTION("""COMPUTED_VALUE"""),2.35)</f>
        <v>2.35</v>
      </c>
      <c r="Y177" s="65">
        <f>IFERROR(__xludf.DUMMYFUNCTION("""COMPUTED_VALUE"""),2.35)</f>
        <v>2.35</v>
      </c>
      <c r="Z177" s="65">
        <f>IFERROR(__xludf.DUMMYFUNCTION("""COMPUTED_VALUE"""),116679.0)</f>
        <v>116679</v>
      </c>
      <c r="AA177" s="65" t="str">
        <f>IFERROR(__xludf.DUMMYFUNCTION("""COMPUTED_VALUE"""),"AMC-2738")</f>
        <v>AMC-2738</v>
      </c>
      <c r="AB177" s="65"/>
      <c r="AC177" s="65" t="str">
        <f>IFERROR(__xludf.DUMMYFUNCTION("""COMPUTED_VALUE"""),"ESPONJA ANTILLUVIA DE PARABRISAS")</f>
        <v>ESPONJA ANTILLUVIA DE PARABRISAS</v>
      </c>
      <c r="AD177" s="65"/>
      <c r="AE177" s="65">
        <f>IFERROR(__xludf.DUMMYFUNCTION("""COMPUTED_VALUE"""),1.0)</f>
        <v>1</v>
      </c>
      <c r="AF177" s="65"/>
      <c r="AG177" s="65"/>
      <c r="AH177" s="65"/>
      <c r="AI177" s="65"/>
      <c r="AJ177" s="65"/>
      <c r="AK177" s="65"/>
      <c r="AL177" s="65"/>
      <c r="AM177" s="65"/>
      <c r="AN177" s="65"/>
      <c r="AO177" s="65"/>
      <c r="AP177" s="65"/>
      <c r="AQ177" s="65"/>
      <c r="AR177" s="65"/>
      <c r="AS177" s="65"/>
      <c r="AT177" s="65" t="str">
        <f>IFERROR(__xludf.DUMMYFUNCTION("""COMPUTED_VALUE"""),"SHOPIFY")</f>
        <v>SHOPIFY</v>
      </c>
      <c r="AU177" s="65" t="str">
        <f>IFERROR(__xludf.DUMMYFUNCTION("""COMPUTED_VALUE"""),"IMPORTEX EC")</f>
        <v>IMPORTEX EC</v>
      </c>
      <c r="AV177" s="65" t="str">
        <f>IFERROR(__xludf.DUMMYFUNCTION("""COMPUTED_VALUE"""),"6579240271916")</f>
        <v>6579240271916</v>
      </c>
      <c r="AW177" s="65">
        <f>IFERROR(__xludf.DUMMYFUNCTION("""COMPUTED_VALUE"""),6672.0)</f>
        <v>6672</v>
      </c>
      <c r="AX177" s="65"/>
      <c r="AY177" s="65"/>
      <c r="AZ177" s="65"/>
      <c r="BA177" s="65"/>
    </row>
    <row r="178">
      <c r="A178" s="65" t="str">
        <f>IFERROR(__xludf.DUMMYFUNCTION("""COMPUTED_VALUE"""),"27-03-2026")</f>
        <v>27-03-2026</v>
      </c>
      <c r="B178" s="65">
        <f>IFERROR(__xludf.DUMMYFUNCTION("""COMPUTED_VALUE"""),4800472.0)</f>
        <v>4800472</v>
      </c>
      <c r="C178" s="65" t="str">
        <f>IFERROR(__xludf.DUMMYFUNCTION("""COMPUTED_VALUE"""),"14:46")</f>
        <v>14:46</v>
      </c>
      <c r="D178" s="65" t="str">
        <f>IFERROR(__xludf.DUMMYFUNCTION("""COMPUTED_VALUE"""),"14-03-2026")</f>
        <v>14-03-2026</v>
      </c>
      <c r="E178" s="65" t="str">
        <f>IFERROR(__xludf.DUMMYFUNCTION("""COMPUTED_VALUE"""),"Luis Loor")</f>
        <v>Luis Loor</v>
      </c>
      <c r="F178" s="65" t="str">
        <f>IFERROR(__xludf.DUMMYFUNCTION("""COMPUTED_VALUE"""),"986003183")</f>
        <v>986003183</v>
      </c>
      <c r="G178" s="65" t="str">
        <f>IFERROR(__xludf.DUMMYFUNCTION("""COMPUTED_VALUE"""),"luisloor859@gmail.com")</f>
        <v>luisloor859@gmail.com</v>
      </c>
      <c r="H178" s="65"/>
      <c r="I178" s="65"/>
      <c r="J178" s="65" t="str">
        <f>IFERROR(__xludf.DUMMYFUNCTION("""COMPUTED_VALUE"""),"LC53123545")</f>
        <v>LC53123545</v>
      </c>
      <c r="K178" s="65" t="str">
        <f>IFERROR(__xludf.DUMMYFUNCTION("""COMPUTED_VALUE"""),"EN TRÁNSITO")</f>
        <v>EN TRÁNSITO</v>
      </c>
      <c r="L178" s="65" t="str">
        <f>IFERROR(__xludf.DUMMYFUNCTION("""COMPUTED_VALUE"""),"CON RECAUDO")</f>
        <v>CON RECAUDO</v>
      </c>
      <c r="M178" s="65" t="str">
        <f>IFERROR(__xludf.DUMMYFUNCTION("""COMPUTED_VALUE"""),"SANTA ELENA")</f>
        <v>SANTA ELENA</v>
      </c>
      <c r="N178" s="65" t="str">
        <f>IFERROR(__xludf.DUMMYFUNCTION("""COMPUTED_VALUE"""),"BALLENITA")</f>
        <v>BALLENITA</v>
      </c>
      <c r="O178" s="65" t="str">
        <f>IFERROR(__xludf.DUMMYFUNCTION("""COMPUTED_VALUE"""),"Retira en CS: SANTA ELENA COMERCIAL AGUILAR , GUAYAQUIL S/N Y 9 OCTUBRE - SANTA ELENA")</f>
        <v>Retira en CS: SANTA ELENA COMERCIAL AGUILAR , GUAYAQUIL S/N Y 9 OCTUBRE - SANTA ELENA</v>
      </c>
      <c r="P178" s="65"/>
      <c r="Q178" s="65" t="str">
        <f>IFERROR(__xludf.DUMMYFUNCTION("""COMPUTED_VALUE"""),"LAARCOURIER")</f>
        <v>LAARCOURIER</v>
      </c>
      <c r="R178" s="65">
        <f>IFERROR(__xludf.DUMMYFUNCTION("""COMPUTED_VALUE"""),20.0)</f>
        <v>20</v>
      </c>
      <c r="S178" s="65"/>
      <c r="T178" s="65">
        <f>IFERROR(__xludf.DUMMYFUNCTION("""COMPUTED_VALUE"""),6.68)</f>
        <v>6.68</v>
      </c>
      <c r="U178" s="65">
        <f>IFERROR(__xludf.DUMMYFUNCTION("""COMPUTED_VALUE"""),0.0)</f>
        <v>0</v>
      </c>
      <c r="V178" s="65">
        <f>IFERROR(__xludf.DUMMYFUNCTION("""COMPUTED_VALUE"""),0.0)</f>
        <v>0</v>
      </c>
      <c r="W178" s="65">
        <f>IFERROR(__xludf.DUMMYFUNCTION("""COMPUTED_VALUE"""),0.0)</f>
        <v>0</v>
      </c>
      <c r="X178" s="65">
        <f>IFERROR(__xludf.DUMMYFUNCTION("""COMPUTED_VALUE"""),2.35)</f>
        <v>2.35</v>
      </c>
      <c r="Y178" s="65">
        <f>IFERROR(__xludf.DUMMYFUNCTION("""COMPUTED_VALUE"""),2.35)</f>
        <v>2.35</v>
      </c>
      <c r="Z178" s="65">
        <f>IFERROR(__xludf.DUMMYFUNCTION("""COMPUTED_VALUE"""),116679.0)</f>
        <v>116679</v>
      </c>
      <c r="AA178" s="65" t="str">
        <f>IFERROR(__xludf.DUMMYFUNCTION("""COMPUTED_VALUE"""),"AMC-2738")</f>
        <v>AMC-2738</v>
      </c>
      <c r="AB178" s="65"/>
      <c r="AC178" s="65" t="str">
        <f>IFERROR(__xludf.DUMMYFUNCTION("""COMPUTED_VALUE"""),"ESPONJA ANTILLUVIA DE PARABRISAS")</f>
        <v>ESPONJA ANTILLUVIA DE PARABRISAS</v>
      </c>
      <c r="AD178" s="65"/>
      <c r="AE178" s="65">
        <f>IFERROR(__xludf.DUMMYFUNCTION("""COMPUTED_VALUE"""),1.0)</f>
        <v>1</v>
      </c>
      <c r="AF178" s="65"/>
      <c r="AG178" s="65"/>
      <c r="AH178" s="65"/>
      <c r="AI178" s="65"/>
      <c r="AJ178" s="65"/>
      <c r="AK178" s="65"/>
      <c r="AL178" s="65"/>
      <c r="AM178" s="65"/>
      <c r="AN178" s="65" t="str">
        <f>IFERROR(__xludf.DUMMYFUNCTION("""COMPUTED_VALUE"""),"17:12")</f>
        <v>17:12</v>
      </c>
      <c r="AO178" s="65" t="str">
        <f>IFERROR(__xludf.DUMMYFUNCTION("""COMPUTED_VALUE"""),"26-03-2026")</f>
        <v>26-03-2026</v>
      </c>
      <c r="AP178" s="65" t="str">
        <f>IFERROR(__xludf.DUMMYFUNCTION("""COMPUTED_VALUE"""),"EN TRÁNSITO")</f>
        <v>EN TRÁNSITO</v>
      </c>
      <c r="AQ178" s="65" t="str">
        <f>IFERROR(__xludf.DUMMYFUNCTION("""COMPUTED_VALUE"""),"EN TRÁNSITO")</f>
        <v>EN TRÁNSITO</v>
      </c>
      <c r="AR178" s="65"/>
      <c r="AS178" s="65"/>
      <c r="AT178" s="65" t="str">
        <f>IFERROR(__xludf.DUMMYFUNCTION("""COMPUTED_VALUE"""),"SHOPIFY")</f>
        <v>SHOPIFY</v>
      </c>
      <c r="AU178" s="65" t="str">
        <f>IFERROR(__xludf.DUMMYFUNCTION("""COMPUTED_VALUE"""),"IMPORTEX EC")</f>
        <v>IMPORTEX EC</v>
      </c>
      <c r="AV178" s="65" t="str">
        <f>IFERROR(__xludf.DUMMYFUNCTION("""COMPUTED_VALUE"""),"6578898075692")</f>
        <v>6578898075692</v>
      </c>
      <c r="AW178" s="65">
        <f>IFERROR(__xludf.DUMMYFUNCTION("""COMPUTED_VALUE"""),6671.0)</f>
        <v>6671</v>
      </c>
      <c r="AX178" s="65"/>
      <c r="AY178" s="65" t="str">
        <f>IFERROR(__xludf.DUMMYFUNCTION("""COMPUTED_VALUE"""),"17/03/2026")</f>
        <v>17/03/2026</v>
      </c>
      <c r="AZ178" s="65"/>
      <c r="BA178" s="65"/>
    </row>
    <row r="179">
      <c r="A179" s="65" t="str">
        <f>IFERROR(__xludf.DUMMYFUNCTION("""COMPUTED_VALUE"""),"27-03-2026")</f>
        <v>27-03-2026</v>
      </c>
      <c r="B179" s="65">
        <f>IFERROR(__xludf.DUMMYFUNCTION("""COMPUTED_VALUE"""),4798925.0)</f>
        <v>4798925</v>
      </c>
      <c r="C179" s="65" t="str">
        <f>IFERROR(__xludf.DUMMYFUNCTION("""COMPUTED_VALUE"""),"11:29")</f>
        <v>11:29</v>
      </c>
      <c r="D179" s="65" t="str">
        <f>IFERROR(__xludf.DUMMYFUNCTION("""COMPUTED_VALUE"""),"14-03-2026")</f>
        <v>14-03-2026</v>
      </c>
      <c r="E179" s="65" t="str">
        <f>IFERROR(__xludf.DUMMYFUNCTION("""COMPUTED_VALUE"""),"Fernando Yavar")</f>
        <v>Fernando Yavar</v>
      </c>
      <c r="F179" s="65" t="str">
        <f>IFERROR(__xludf.DUMMYFUNCTION("""COMPUTED_VALUE"""),"994143611")</f>
        <v>994143611</v>
      </c>
      <c r="G179" s="65" t="str">
        <f>IFERROR(__xludf.DUMMYFUNCTION("""COMPUTED_VALUE"""),"fernandoyavar@hotmail.com")</f>
        <v>fernandoyavar@hotmail.com</v>
      </c>
      <c r="H179" s="65"/>
      <c r="I179" s="65"/>
      <c r="J179" s="65" t="str">
        <f>IFERROR(__xludf.DUMMYFUNCTION("""COMPUTED_VALUE"""),"D001423858")</f>
        <v>D001423858</v>
      </c>
      <c r="K179" s="65" t="str">
        <f>IFERROR(__xludf.DUMMYFUNCTION("""COMPUTED_VALUE"""),"ENTREGADO")</f>
        <v>ENTREGADO</v>
      </c>
      <c r="L179" s="65" t="str">
        <f>IFERROR(__xludf.DUMMYFUNCTION("""COMPUTED_VALUE"""),"CON RECAUDO")</f>
        <v>CON RECAUDO</v>
      </c>
      <c r="M179" s="65" t="str">
        <f>IFERROR(__xludf.DUMMYFUNCTION("""COMPUTED_VALUE"""),"GUAYAS")</f>
        <v>GUAYAS</v>
      </c>
      <c r="N179" s="65" t="str">
        <f>IFERROR(__xludf.DUMMYFUNCTION("""COMPUTED_VALUE"""),"SAMBORONDON")</f>
        <v>SAMBORONDON</v>
      </c>
      <c r="O179" s="65" t="str">
        <f>IFERROR(__xludf.DUMMYFUNCTION("""COMPUTED_VALUE"""),"Km 8 Via A Samborondon,  Urb. Laguna Del Sol Mz H Villa 2")</f>
        <v>Km 8 Via A Samborondon,  Urb. Laguna Del Sol Mz H Villa 2</v>
      </c>
      <c r="P179" s="65"/>
      <c r="Q179" s="65" t="str">
        <f>IFERROR(__xludf.DUMMYFUNCTION("""COMPUTED_VALUE"""),"GINTRACOM")</f>
        <v>GINTRACOM</v>
      </c>
      <c r="R179" s="65">
        <f>IFERROR(__xludf.DUMMYFUNCTION("""COMPUTED_VALUE"""),20.0)</f>
        <v>20</v>
      </c>
      <c r="S179" s="65">
        <f>IFERROR(__xludf.DUMMYFUNCTION("""COMPUTED_VALUE"""),11.89)</f>
        <v>11.89</v>
      </c>
      <c r="T179" s="65">
        <f>IFERROR(__xludf.DUMMYFUNCTION("""COMPUTED_VALUE"""),5.76)</f>
        <v>5.76</v>
      </c>
      <c r="U179" s="65">
        <f>IFERROR(__xludf.DUMMYFUNCTION("""COMPUTED_VALUE"""),0.0)</f>
        <v>0</v>
      </c>
      <c r="V179" s="65">
        <f>IFERROR(__xludf.DUMMYFUNCTION("""COMPUTED_VALUE"""),0.0)</f>
        <v>0</v>
      </c>
      <c r="W179" s="65">
        <f>IFERROR(__xludf.DUMMYFUNCTION("""COMPUTED_VALUE"""),0.0)</f>
        <v>0</v>
      </c>
      <c r="X179" s="65">
        <f>IFERROR(__xludf.DUMMYFUNCTION("""COMPUTED_VALUE"""),2.35)</f>
        <v>2.35</v>
      </c>
      <c r="Y179" s="65">
        <f>IFERROR(__xludf.DUMMYFUNCTION("""COMPUTED_VALUE"""),2.35)</f>
        <v>2.35</v>
      </c>
      <c r="Z179" s="65">
        <f>IFERROR(__xludf.DUMMYFUNCTION("""COMPUTED_VALUE"""),116679.0)</f>
        <v>116679</v>
      </c>
      <c r="AA179" s="65" t="str">
        <f>IFERROR(__xludf.DUMMYFUNCTION("""COMPUTED_VALUE"""),"AMC-2738")</f>
        <v>AMC-2738</v>
      </c>
      <c r="AB179" s="65"/>
      <c r="AC179" s="65" t="str">
        <f>IFERROR(__xludf.DUMMYFUNCTION("""COMPUTED_VALUE"""),"ESPONJA ANTILLUVIA DE PARABRISAS")</f>
        <v>ESPONJA ANTILLUVIA DE PARABRISAS</v>
      </c>
      <c r="AD179" s="65"/>
      <c r="AE179" s="65">
        <f>IFERROR(__xludf.DUMMYFUNCTION("""COMPUTED_VALUE"""),1.0)</f>
        <v>1</v>
      </c>
      <c r="AF179" s="65"/>
      <c r="AG179" s="65"/>
      <c r="AH179" s="65"/>
      <c r="AI179" s="65"/>
      <c r="AJ179" s="65"/>
      <c r="AK179" s="65"/>
      <c r="AL179" s="65"/>
      <c r="AM179" s="65"/>
      <c r="AN179" s="65" t="str">
        <f>IFERROR(__xludf.DUMMYFUNCTION("""COMPUTED_VALUE"""),"15:06")</f>
        <v>15:06</v>
      </c>
      <c r="AO179" s="65" t="str">
        <f>IFERROR(__xludf.DUMMYFUNCTION("""COMPUTED_VALUE"""),"19-03-2026")</f>
        <v>19-03-2026</v>
      </c>
      <c r="AP179" s="65" t="str">
        <f>IFERROR(__xludf.DUMMYFUNCTION("""COMPUTED_VALUE"""),"ENTREGADA GINTRACOM")</f>
        <v>ENTREGADA GINTRACOM</v>
      </c>
      <c r="AQ179" s="65" t="str">
        <f>IFERROR(__xludf.DUMMYFUNCTION("""COMPUTED_VALUE"""),"ENTREGADA GINTRACOM")</f>
        <v>ENTREGADA GINTRACOM</v>
      </c>
      <c r="AR179" s="65"/>
      <c r="AS179" s="65"/>
      <c r="AT179" s="65" t="str">
        <f>IFERROR(__xludf.DUMMYFUNCTION("""COMPUTED_VALUE"""),"SHOPIFY")</f>
        <v>SHOPIFY</v>
      </c>
      <c r="AU179" s="65" t="str">
        <f>IFERROR(__xludf.DUMMYFUNCTION("""COMPUTED_VALUE"""),"IMPORTEX EC")</f>
        <v>IMPORTEX EC</v>
      </c>
      <c r="AV179" s="65" t="str">
        <f>IFERROR(__xludf.DUMMYFUNCTION("""COMPUTED_VALUE"""),"6578456002604")</f>
        <v>6578456002604</v>
      </c>
      <c r="AW179" s="65">
        <f>IFERROR(__xludf.DUMMYFUNCTION("""COMPUTED_VALUE"""),6670.0)</f>
        <v>6670</v>
      </c>
      <c r="AX179" s="65"/>
      <c r="AY179" s="65" t="str">
        <f>IFERROR(__xludf.DUMMYFUNCTION("""COMPUTED_VALUE"""),"17/03/2026")</f>
        <v>17/03/2026</v>
      </c>
      <c r="AZ179" s="65"/>
      <c r="BA179" s="65"/>
    </row>
    <row r="180">
      <c r="A180" s="65" t="str">
        <f>IFERROR(__xludf.DUMMYFUNCTION("""COMPUTED_VALUE"""),"27-03-2026")</f>
        <v>27-03-2026</v>
      </c>
      <c r="B180" s="65">
        <f>IFERROR(__xludf.DUMMYFUNCTION("""COMPUTED_VALUE"""),4797948.0)</f>
        <v>4797948</v>
      </c>
      <c r="C180" s="65" t="str">
        <f>IFERROR(__xludf.DUMMYFUNCTION("""COMPUTED_VALUE"""),"09:40")</f>
        <v>09:40</v>
      </c>
      <c r="D180" s="65" t="str">
        <f>IFERROR(__xludf.DUMMYFUNCTION("""COMPUTED_VALUE"""),"14-03-2026")</f>
        <v>14-03-2026</v>
      </c>
      <c r="E180" s="65" t="str">
        <f>IFERROR(__xludf.DUMMYFUNCTION("""COMPUTED_VALUE"""),"Armando Monteverde")</f>
        <v>Armando Monteverde</v>
      </c>
      <c r="F180" s="65" t="str">
        <f>IFERROR(__xludf.DUMMYFUNCTION("""COMPUTED_VALUE"""),"984993738")</f>
        <v>984993738</v>
      </c>
      <c r="G180" s="65" t="str">
        <f>IFERROR(__xludf.DUMMYFUNCTION("""COMPUTED_VALUE"""),"armandomonteverde212@hotmail.com")</f>
        <v>armandomonteverde212@hotmail.com</v>
      </c>
      <c r="H180" s="65"/>
      <c r="I180" s="65"/>
      <c r="J180" s="65" t="str">
        <f>IFERROR(__xludf.DUMMYFUNCTION("""COMPUTED_VALUE"""),"V4002362892")</f>
        <v>V4002362892</v>
      </c>
      <c r="K180" s="65" t="str">
        <f>IFERROR(__xludf.DUMMYFUNCTION("""COMPUTED_VALUE"""),"ENTREGADO")</f>
        <v>ENTREGADO</v>
      </c>
      <c r="L180" s="65" t="str">
        <f>IFERROR(__xludf.DUMMYFUNCTION("""COMPUTED_VALUE"""),"CON RECAUDO")</f>
        <v>CON RECAUDO</v>
      </c>
      <c r="M180" s="65" t="str">
        <f>IFERROR(__xludf.DUMMYFUNCTION("""COMPUTED_VALUE"""),"PICHINCHA")</f>
        <v>PICHINCHA</v>
      </c>
      <c r="N180" s="65" t="str">
        <f>IFERROR(__xludf.DUMMYFUNCTION("""COMPUTED_VALUE"""),"MITAD DEL MUNDO")</f>
        <v>MITAD DEL MUNDO</v>
      </c>
      <c r="O180" s="65" t="str">
        <f>IFERROR(__xludf.DUMMYFUNCTION("""COMPUTED_VALUE"""),"Av. Manuel cordova Galazar km 10 1/2 , conjunto Alcazar de Toledo 2 , La Pampa")</f>
        <v>Av. Manuel cordova Galazar km 10 1/2 , conjunto Alcazar de Toledo 2 , La Pampa</v>
      </c>
      <c r="P180" s="65"/>
      <c r="Q180" s="65" t="str">
        <f>IFERROR(__xludf.DUMMYFUNCTION("""COMPUTED_VALUE"""),"VELOCES")</f>
        <v>VELOCES</v>
      </c>
      <c r="R180" s="65">
        <f>IFERROR(__xludf.DUMMYFUNCTION("""COMPUTED_VALUE"""),20.0)</f>
        <v>20</v>
      </c>
      <c r="S180" s="65">
        <f>IFERROR(__xludf.DUMMYFUNCTION("""COMPUTED_VALUE"""),13.05)</f>
        <v>13.05</v>
      </c>
      <c r="T180" s="65">
        <f>IFERROR(__xludf.DUMMYFUNCTION("""COMPUTED_VALUE"""),4.6)</f>
        <v>4.6</v>
      </c>
      <c r="U180" s="65">
        <f>IFERROR(__xludf.DUMMYFUNCTION("""COMPUTED_VALUE"""),0.0)</f>
        <v>0</v>
      </c>
      <c r="V180" s="65">
        <f>IFERROR(__xludf.DUMMYFUNCTION("""COMPUTED_VALUE"""),0.0)</f>
        <v>0</v>
      </c>
      <c r="W180" s="65">
        <f>IFERROR(__xludf.DUMMYFUNCTION("""COMPUTED_VALUE"""),0.0)</f>
        <v>0</v>
      </c>
      <c r="X180" s="65">
        <f>IFERROR(__xludf.DUMMYFUNCTION("""COMPUTED_VALUE"""),2.35)</f>
        <v>2.35</v>
      </c>
      <c r="Y180" s="65">
        <f>IFERROR(__xludf.DUMMYFUNCTION("""COMPUTED_VALUE"""),2.35)</f>
        <v>2.35</v>
      </c>
      <c r="Z180" s="65">
        <f>IFERROR(__xludf.DUMMYFUNCTION("""COMPUTED_VALUE"""),116679.0)</f>
        <v>116679</v>
      </c>
      <c r="AA180" s="65" t="str">
        <f>IFERROR(__xludf.DUMMYFUNCTION("""COMPUTED_VALUE"""),"AMC-2738")</f>
        <v>AMC-2738</v>
      </c>
      <c r="AB180" s="65"/>
      <c r="AC180" s="65" t="str">
        <f>IFERROR(__xludf.DUMMYFUNCTION("""COMPUTED_VALUE"""),"ESPONJA ANTILLUVIA DE PARABRISAS")</f>
        <v>ESPONJA ANTILLUVIA DE PARABRISAS</v>
      </c>
      <c r="AD180" s="65"/>
      <c r="AE180" s="65">
        <f>IFERROR(__xludf.DUMMYFUNCTION("""COMPUTED_VALUE"""),1.0)</f>
        <v>1</v>
      </c>
      <c r="AF180" s="65"/>
      <c r="AG180" s="65"/>
      <c r="AH180" s="65"/>
      <c r="AI180" s="65"/>
      <c r="AJ180" s="65"/>
      <c r="AK180" s="65"/>
      <c r="AL180" s="65"/>
      <c r="AM180" s="65"/>
      <c r="AN180" s="65"/>
      <c r="AO180" s="65"/>
      <c r="AP180" s="65"/>
      <c r="AQ180" s="65"/>
      <c r="AR180" s="65"/>
      <c r="AS180" s="65"/>
      <c r="AT180" s="65" t="str">
        <f>IFERROR(__xludf.DUMMYFUNCTION("""COMPUTED_VALUE"""),"SHOPIFY")</f>
        <v>SHOPIFY</v>
      </c>
      <c r="AU180" s="65" t="str">
        <f>IFERROR(__xludf.DUMMYFUNCTION("""COMPUTED_VALUE"""),"IMPORTEX EC")</f>
        <v>IMPORTEX EC</v>
      </c>
      <c r="AV180" s="65" t="str">
        <f>IFERROR(__xludf.DUMMYFUNCTION("""COMPUTED_VALUE"""),"6578192941100")</f>
        <v>6578192941100</v>
      </c>
      <c r="AW180" s="65">
        <f>IFERROR(__xludf.DUMMYFUNCTION("""COMPUTED_VALUE"""),6669.0)</f>
        <v>6669</v>
      </c>
      <c r="AX180" s="65"/>
      <c r="AY180" s="65" t="str">
        <f>IFERROR(__xludf.DUMMYFUNCTION("""COMPUTED_VALUE"""),"17/03/2026")</f>
        <v>17/03/2026</v>
      </c>
      <c r="AZ180" s="65"/>
      <c r="BA180" s="65"/>
    </row>
    <row r="181">
      <c r="A181" s="65" t="str">
        <f>IFERROR(__xludf.DUMMYFUNCTION("""COMPUTED_VALUE"""),"27-03-2026")</f>
        <v>27-03-2026</v>
      </c>
      <c r="B181" s="65">
        <f>IFERROR(__xludf.DUMMYFUNCTION("""COMPUTED_VALUE"""),4797057.0)</f>
        <v>4797057</v>
      </c>
      <c r="C181" s="65" t="str">
        <f>IFERROR(__xludf.DUMMYFUNCTION("""COMPUTED_VALUE"""),"08:01")</f>
        <v>08:01</v>
      </c>
      <c r="D181" s="65" t="str">
        <f>IFERROR(__xludf.DUMMYFUNCTION("""COMPUTED_VALUE"""),"14-03-2026")</f>
        <v>14-03-2026</v>
      </c>
      <c r="E181" s="65" t="str">
        <f>IFERROR(__xludf.DUMMYFUNCTION("""COMPUTED_VALUE"""),"JIM LUMONA")</f>
        <v>JIM LUMONA</v>
      </c>
      <c r="F181" s="65" t="str">
        <f>IFERROR(__xludf.DUMMYFUNCTION("""COMPUTED_VALUE"""),"967695919")</f>
        <v>967695919</v>
      </c>
      <c r="G181" s="65" t="str">
        <f>IFERROR(__xludf.DUMMYFUNCTION("""COMPUTED_VALUE"""),"lumona007@yahoo.es")</f>
        <v>lumona007@yahoo.es</v>
      </c>
      <c r="H181" s="65"/>
      <c r="I181" s="65"/>
      <c r="J181" s="65" t="str">
        <f>IFERROR(__xludf.DUMMYFUNCTION("""COMPUTED_VALUE"""),"D001423859")</f>
        <v>D001423859</v>
      </c>
      <c r="K181" s="65" t="str">
        <f>IFERROR(__xludf.DUMMYFUNCTION("""COMPUTED_VALUE"""),"ENTREGADO")</f>
        <v>ENTREGADO</v>
      </c>
      <c r="L181" s="65" t="str">
        <f>IFERROR(__xludf.DUMMYFUNCTION("""COMPUTED_VALUE"""),"CON RECAUDO")</f>
        <v>CON RECAUDO</v>
      </c>
      <c r="M181" s="65" t="str">
        <f>IFERROR(__xludf.DUMMYFUNCTION("""COMPUTED_VALUE"""),"SANTA ELENA")</f>
        <v>SANTA ELENA</v>
      </c>
      <c r="N181" s="65" t="str">
        <f>IFERROR(__xludf.DUMMYFUNCTION("""COMPUTED_VALUE"""),"SALINAS")</f>
        <v>SALINAS</v>
      </c>
      <c r="O181" s="65" t="str">
        <f>IFERROR(__xludf.DUMMYFUNCTION("""COMPUTED_VALUE"""),"Ciudadela Costa de oro, Calle 3 y Ave 11- Urbanizacion Las Arenas, REFERENCIA: Diagonal a Oficinas De Aguapen")</f>
        <v>Ciudadela Costa de oro, Calle 3 y Ave 11- Urbanizacion Las Arenas, REFERENCIA: Diagonal a Oficinas De Aguapen</v>
      </c>
      <c r="P181" s="65"/>
      <c r="Q181" s="65" t="str">
        <f>IFERROR(__xludf.DUMMYFUNCTION("""COMPUTED_VALUE"""),"GINTRACOM")</f>
        <v>GINTRACOM</v>
      </c>
      <c r="R181" s="65">
        <f>IFERROR(__xludf.DUMMYFUNCTION("""COMPUTED_VALUE"""),25.0)</f>
        <v>25</v>
      </c>
      <c r="S181" s="65">
        <f>IFERROR(__xludf.DUMMYFUNCTION("""COMPUTED_VALUE"""),13.77)</f>
        <v>13.77</v>
      </c>
      <c r="T181" s="65">
        <f>IFERROR(__xludf.DUMMYFUNCTION("""COMPUTED_VALUE"""),6.53)</f>
        <v>6.53</v>
      </c>
      <c r="U181" s="65">
        <f>IFERROR(__xludf.DUMMYFUNCTION("""COMPUTED_VALUE"""),0.0)</f>
        <v>0</v>
      </c>
      <c r="V181" s="65">
        <f>IFERROR(__xludf.DUMMYFUNCTION("""COMPUTED_VALUE"""),0.0)</f>
        <v>0</v>
      </c>
      <c r="W181" s="65">
        <f>IFERROR(__xludf.DUMMYFUNCTION("""COMPUTED_VALUE"""),0.0)</f>
        <v>0</v>
      </c>
      <c r="X181" s="65">
        <f>IFERROR(__xludf.DUMMYFUNCTION("""COMPUTED_VALUE"""),2.35)</f>
        <v>2.35</v>
      </c>
      <c r="Y181" s="65">
        <f>IFERROR(__xludf.DUMMYFUNCTION("""COMPUTED_VALUE"""),4.7)</f>
        <v>4.7</v>
      </c>
      <c r="Z181" s="65">
        <f>IFERROR(__xludf.DUMMYFUNCTION("""COMPUTED_VALUE"""),116679.0)</f>
        <v>116679</v>
      </c>
      <c r="AA181" s="65" t="str">
        <f>IFERROR(__xludf.DUMMYFUNCTION("""COMPUTED_VALUE"""),"AMC-2738")</f>
        <v>AMC-2738</v>
      </c>
      <c r="AB181" s="65"/>
      <c r="AC181" s="65" t="str">
        <f>IFERROR(__xludf.DUMMYFUNCTION("""COMPUTED_VALUE"""),"ESPONJA ANTILLUVIA DE PARABRISAS")</f>
        <v>ESPONJA ANTILLUVIA DE PARABRISAS</v>
      </c>
      <c r="AD181" s="65"/>
      <c r="AE181" s="65">
        <f>IFERROR(__xludf.DUMMYFUNCTION("""COMPUTED_VALUE"""),2.0)</f>
        <v>2</v>
      </c>
      <c r="AF181" s="65" t="str">
        <f>IFERROR(__xludf.DUMMYFUNCTION("""COMPUTED_VALUE"""),"DESTINATARIO NO SE ENCUENTRA EN LUGAR DE ENTREGA.")</f>
        <v>DESTINATARIO NO SE ENCUENTRA EN LUGAR DE ENTREGA.</v>
      </c>
      <c r="AG181" s="65" t="str">
        <f>IFERROR(__xludf.DUMMYFUNCTION("""COMPUTED_VALUE"""),"SI")</f>
        <v>SI</v>
      </c>
      <c r="AH181" s="65" t="str">
        <f>IFERROR(__xludf.DUMMYFUNCTION("""COMPUTED_VALUE"""),"18:42")</f>
        <v>18:42</v>
      </c>
      <c r="AI181" s="65" t="str">
        <f>IFERROR(__xludf.DUMMYFUNCTION("""COMPUTED_VALUE"""),"20-03-2026")</f>
        <v>20-03-2026</v>
      </c>
      <c r="AJ181" s="65" t="str">
        <f>IFERROR(__xludf.DUMMYFUNCTION("""COMPUTED_VALUE"""),"El cliente requiere entrega inmediata; por favor, coordinar directamente con él para concretar la entrega.")</f>
        <v>El cliente requiere entrega inmediata; por favor, coordinar directamente con él para concretar la entrega.</v>
      </c>
      <c r="AK181" s="65" t="str">
        <f>IFERROR(__xludf.DUMMYFUNCTION("""COMPUTED_VALUE"""),"10:40")</f>
        <v>10:40</v>
      </c>
      <c r="AL181" s="65" t="str">
        <f>IFERROR(__xludf.DUMMYFUNCTION("""COMPUTED_VALUE"""),"23-03-2026")</f>
        <v>23-03-2026</v>
      </c>
      <c r="AM181" s="65"/>
      <c r="AN181" s="65" t="str">
        <f>IFERROR(__xludf.DUMMYFUNCTION("""COMPUTED_VALUE"""),"10:37")</f>
        <v>10:37</v>
      </c>
      <c r="AO181" s="65" t="str">
        <f>IFERROR(__xludf.DUMMYFUNCTION("""COMPUTED_VALUE"""),"24-03-2026")</f>
        <v>24-03-2026</v>
      </c>
      <c r="AP181" s="65" t="str">
        <f>IFERROR(__xludf.DUMMYFUNCTION("""COMPUTED_VALUE"""),"ENTREGADA GINTRACOM")</f>
        <v>ENTREGADA GINTRACOM</v>
      </c>
      <c r="AQ181" s="65" t="str">
        <f>IFERROR(__xludf.DUMMYFUNCTION("""COMPUTED_VALUE"""),"ENTREGADA GINTRACOM")</f>
        <v>ENTREGADA GINTRACOM</v>
      </c>
      <c r="AR181" s="65"/>
      <c r="AS181" s="65"/>
      <c r="AT181" s="65" t="str">
        <f>IFERROR(__xludf.DUMMYFUNCTION("""COMPUTED_VALUE"""),"SHOPIFY")</f>
        <v>SHOPIFY</v>
      </c>
      <c r="AU181" s="65" t="str">
        <f>IFERROR(__xludf.DUMMYFUNCTION("""COMPUTED_VALUE"""),"IMPORTEX EC")</f>
        <v>IMPORTEX EC</v>
      </c>
      <c r="AV181" s="65" t="str">
        <f>IFERROR(__xludf.DUMMYFUNCTION("""COMPUTED_VALUE"""),"6578042339372")</f>
        <v>6578042339372</v>
      </c>
      <c r="AW181" s="65">
        <f>IFERROR(__xludf.DUMMYFUNCTION("""COMPUTED_VALUE"""),6668.0)</f>
        <v>6668</v>
      </c>
      <c r="AX181" s="65"/>
      <c r="AY181" s="65" t="str">
        <f>IFERROR(__xludf.DUMMYFUNCTION("""COMPUTED_VALUE"""),"17/03/2026")</f>
        <v>17/03/2026</v>
      </c>
      <c r="AZ181" s="65"/>
      <c r="BA181" s="65"/>
    </row>
    <row r="182">
      <c r="A182" s="65" t="str">
        <f>IFERROR(__xludf.DUMMYFUNCTION("""COMPUTED_VALUE"""),"27-03-2026")</f>
        <v>27-03-2026</v>
      </c>
      <c r="B182" s="65">
        <f>IFERROR(__xludf.DUMMYFUNCTION("""COMPUTED_VALUE"""),4795021.0)</f>
        <v>4795021</v>
      </c>
      <c r="C182" s="65" t="str">
        <f>IFERROR(__xludf.DUMMYFUNCTION("""COMPUTED_VALUE"""),"22:16")</f>
        <v>22:16</v>
      </c>
      <c r="D182" s="65" t="str">
        <f>IFERROR(__xludf.DUMMYFUNCTION("""COMPUTED_VALUE"""),"13-03-2026")</f>
        <v>13-03-2026</v>
      </c>
      <c r="E182" s="65" t="str">
        <f>IFERROR(__xludf.DUMMYFUNCTION("""COMPUTED_VALUE"""),"Ronal Alexander Mosquera feijoo")</f>
        <v>Ronal Alexander Mosquera feijoo</v>
      </c>
      <c r="F182" s="65" t="str">
        <f>IFERROR(__xludf.DUMMYFUNCTION("""COMPUTED_VALUE"""),"980812057")</f>
        <v>980812057</v>
      </c>
      <c r="G182" s="65"/>
      <c r="H182" s="65"/>
      <c r="I182" s="65"/>
      <c r="J182" s="65" t="str">
        <f>IFERROR(__xludf.DUMMYFUNCTION("""COMPUTED_VALUE"""),"LC53108605")</f>
        <v>LC53108605</v>
      </c>
      <c r="K182" s="65" t="str">
        <f>IFERROR(__xludf.DUMMYFUNCTION("""COMPUTED_VALUE"""),"ENTREGADO")</f>
        <v>ENTREGADO</v>
      </c>
      <c r="L182" s="65" t="str">
        <f>IFERROR(__xludf.DUMMYFUNCTION("""COMPUTED_VALUE"""),"CON RECAUDO")</f>
        <v>CON RECAUDO</v>
      </c>
      <c r="M182" s="65" t="str">
        <f>IFERROR(__xludf.DUMMYFUNCTION("""COMPUTED_VALUE"""),"EL ORO")</f>
        <v>EL ORO</v>
      </c>
      <c r="N182" s="65" t="str">
        <f>IFERROR(__xludf.DUMMYFUNCTION("""COMPUTED_VALUE"""),"PINAS")</f>
        <v>PINAS</v>
      </c>
      <c r="O182" s="65" t="str">
        <f>IFERROR(__xludf.DUMMYFUNCTION("""COMPUTED_VALUE"""),"Avenida Ángel Salvador Ochoa  a la altura del  Mercado Nuevo")</f>
        <v>Avenida Ángel Salvador Ochoa  a la altura del  Mercado Nuevo</v>
      </c>
      <c r="P182" s="65"/>
      <c r="Q182" s="65" t="str">
        <f>IFERROR(__xludf.DUMMYFUNCTION("""COMPUTED_VALUE"""),"LAARCOURIER")</f>
        <v>LAARCOURIER</v>
      </c>
      <c r="R182" s="65">
        <f>IFERROR(__xludf.DUMMYFUNCTION("""COMPUTED_VALUE"""),11.0)</f>
        <v>11</v>
      </c>
      <c r="S182" s="65">
        <f>IFERROR(__xludf.DUMMYFUNCTION("""COMPUTED_VALUE"""),1.34)</f>
        <v>1.34</v>
      </c>
      <c r="T182" s="65">
        <f>IFERROR(__xludf.DUMMYFUNCTION("""COMPUTED_VALUE"""),6.16)</f>
        <v>6.16</v>
      </c>
      <c r="U182" s="65">
        <f>IFERROR(__xludf.DUMMYFUNCTION("""COMPUTED_VALUE"""),0.0)</f>
        <v>0</v>
      </c>
      <c r="V182" s="65">
        <f>IFERROR(__xludf.DUMMYFUNCTION("""COMPUTED_VALUE"""),0.0)</f>
        <v>0</v>
      </c>
      <c r="W182" s="65">
        <f>IFERROR(__xludf.DUMMYFUNCTION("""COMPUTED_VALUE"""),0.0)</f>
        <v>0</v>
      </c>
      <c r="X182" s="65">
        <f>IFERROR(__xludf.DUMMYFUNCTION("""COMPUTED_VALUE"""),3.5)</f>
        <v>3.5</v>
      </c>
      <c r="Y182" s="65">
        <f>IFERROR(__xludf.DUMMYFUNCTION("""COMPUTED_VALUE"""),3.5)</f>
        <v>3.5</v>
      </c>
      <c r="Z182" s="65">
        <f>IFERROR(__xludf.DUMMYFUNCTION("""COMPUTED_VALUE"""),110064.0)</f>
        <v>110064</v>
      </c>
      <c r="AA182" s="65" t="str">
        <f>IFERROR(__xludf.DUMMYFUNCTION("""COMPUTED_VALUE"""),"IMX-00001")</f>
        <v>IMX-00001</v>
      </c>
      <c r="AB182" s="65"/>
      <c r="AC182" s="65" t="str">
        <f>IFERROR(__xludf.DUMMYFUNCTION("""COMPUTED_VALUE"""),"LLAVE TRINQUETE")</f>
        <v>LLAVE TRINQUETE</v>
      </c>
      <c r="AD182" s="65"/>
      <c r="AE182" s="65">
        <f>IFERROR(__xludf.DUMMYFUNCTION("""COMPUTED_VALUE"""),1.0)</f>
        <v>1</v>
      </c>
      <c r="AF182" s="65"/>
      <c r="AG182" s="65"/>
      <c r="AH182" s="65"/>
      <c r="AI182" s="65"/>
      <c r="AJ182" s="65"/>
      <c r="AK182" s="65"/>
      <c r="AL182" s="65"/>
      <c r="AM182" s="65"/>
      <c r="AN182" s="65" t="str">
        <f>IFERROR(__xludf.DUMMYFUNCTION("""COMPUTED_VALUE"""),"17:54")</f>
        <v>17:54</v>
      </c>
      <c r="AO182" s="65" t="str">
        <f>IFERROR(__xludf.DUMMYFUNCTION("""COMPUTED_VALUE"""),"18-03-2026")</f>
        <v>18-03-2026</v>
      </c>
      <c r="AP182" s="65" t="str">
        <f>IFERROR(__xludf.DUMMYFUNCTION("""COMPUTED_VALUE"""),"ENTREGADO")</f>
        <v>ENTREGADO</v>
      </c>
      <c r="AQ182" s="65" t="str">
        <f>IFERROR(__xludf.DUMMYFUNCTION("""COMPUTED_VALUE"""),"ENTREGADO")</f>
        <v>ENTREGADO</v>
      </c>
      <c r="AR182" s="65"/>
      <c r="AS182" s="65"/>
      <c r="AT182" s="65"/>
      <c r="AU182" s="65"/>
      <c r="AV182" s="65"/>
      <c r="AW182" s="65"/>
      <c r="AX182" s="65"/>
      <c r="AY182" s="65" t="str">
        <f>IFERROR(__xludf.DUMMYFUNCTION("""COMPUTED_VALUE"""),"16/03/2026")</f>
        <v>16/03/2026</v>
      </c>
      <c r="AZ182" s="65"/>
      <c r="BA182" s="65"/>
    </row>
    <row r="183">
      <c r="A183" s="65" t="str">
        <f>IFERROR(__xludf.DUMMYFUNCTION("""COMPUTED_VALUE"""),"27-03-2026")</f>
        <v>27-03-2026</v>
      </c>
      <c r="B183" s="65">
        <f>IFERROR(__xludf.DUMMYFUNCTION("""COMPUTED_VALUE"""),4791043.0)</f>
        <v>4791043</v>
      </c>
      <c r="C183" s="65" t="str">
        <f>IFERROR(__xludf.DUMMYFUNCTION("""COMPUTED_VALUE"""),"13:37")</f>
        <v>13:37</v>
      </c>
      <c r="D183" s="65" t="str">
        <f>IFERROR(__xludf.DUMMYFUNCTION("""COMPUTED_VALUE"""),"13-03-2026")</f>
        <v>13-03-2026</v>
      </c>
      <c r="E183" s="65" t="str">
        <f>IFERROR(__xludf.DUMMYFUNCTION("""COMPUTED_VALUE"""),"Andees yamusca")</f>
        <v>Andees yamusca</v>
      </c>
      <c r="F183" s="65" t="str">
        <f>IFERROR(__xludf.DUMMYFUNCTION("""COMPUTED_VALUE"""),"991187410")</f>
        <v>991187410</v>
      </c>
      <c r="G183" s="65"/>
      <c r="H183" s="65"/>
      <c r="I183" s="65"/>
      <c r="J183" s="65" t="str">
        <f>IFERROR(__xludf.DUMMYFUNCTION("""COMPUTED_VALUE"""),"186659575")</f>
        <v>186659575</v>
      </c>
      <c r="K183" s="65" t="str">
        <f>IFERROR(__xludf.DUMMYFUNCTION("""COMPUTED_VALUE"""),"ENTREGADO")</f>
        <v>ENTREGADO</v>
      </c>
      <c r="L183" s="65" t="str">
        <f>IFERROR(__xludf.DUMMYFUNCTION("""COMPUTED_VALUE"""),"CON RECAUDO")</f>
        <v>CON RECAUDO</v>
      </c>
      <c r="M183" s="65" t="str">
        <f>IFERROR(__xludf.DUMMYFUNCTION("""COMPUTED_VALUE"""),"LOS RIOS")</f>
        <v>LOS RIOS</v>
      </c>
      <c r="N183" s="65" t="str">
        <f>IFERROR(__xludf.DUMMYFUNCTION("""COMPUTED_VALUE"""),"VENTANAS")</f>
        <v>VENTANAS</v>
      </c>
      <c r="O183" s="65" t="str">
        <f>IFERROR(__xludf.DUMMYFUNCTION("""COMPUTED_VALUE"""),"Retira en CS:  VENTANAS PARQUE LA ROTONDA, MALECON S/N ENTRE 9 DE OCTUBRE Y BOLIVAR - FRENTE A LAS PISCINAS DEL MALECON")</f>
        <v>Retira en CS:  VENTANAS PARQUE LA ROTONDA, MALECON S/N ENTRE 9 DE OCTUBRE Y BOLIVAR - FRENTE A LAS PISCINAS DEL MALECON</v>
      </c>
      <c r="P183" s="65"/>
      <c r="Q183" s="65" t="str">
        <f>IFERROR(__xludf.DUMMYFUNCTION("""COMPUTED_VALUE"""),"SERVIENTREGA")</f>
        <v>SERVIENTREGA</v>
      </c>
      <c r="R183" s="65">
        <f>IFERROR(__xludf.DUMMYFUNCTION("""COMPUTED_VALUE"""),25.0)</f>
        <v>25</v>
      </c>
      <c r="S183" s="65">
        <f>IFERROR(__xludf.DUMMYFUNCTION("""COMPUTED_VALUE"""),13.99)</f>
        <v>13.99</v>
      </c>
      <c r="T183" s="65">
        <f>IFERROR(__xludf.DUMMYFUNCTION("""COMPUTED_VALUE"""),6.31)</f>
        <v>6.31</v>
      </c>
      <c r="U183" s="65">
        <f>IFERROR(__xludf.DUMMYFUNCTION("""COMPUTED_VALUE"""),0.0)</f>
        <v>0</v>
      </c>
      <c r="V183" s="65">
        <f>IFERROR(__xludf.DUMMYFUNCTION("""COMPUTED_VALUE"""),0.0)</f>
        <v>0</v>
      </c>
      <c r="W183" s="65">
        <f>IFERROR(__xludf.DUMMYFUNCTION("""COMPUTED_VALUE"""),0.0)</f>
        <v>0</v>
      </c>
      <c r="X183" s="65">
        <f>IFERROR(__xludf.DUMMYFUNCTION("""COMPUTED_VALUE"""),2.35)</f>
        <v>2.35</v>
      </c>
      <c r="Y183" s="65">
        <f>IFERROR(__xludf.DUMMYFUNCTION("""COMPUTED_VALUE"""),4.7)</f>
        <v>4.7</v>
      </c>
      <c r="Z183" s="65">
        <f>IFERROR(__xludf.DUMMYFUNCTION("""COMPUTED_VALUE"""),116679.0)</f>
        <v>116679</v>
      </c>
      <c r="AA183" s="65" t="str">
        <f>IFERROR(__xludf.DUMMYFUNCTION("""COMPUTED_VALUE"""),"AMC-2738")</f>
        <v>AMC-2738</v>
      </c>
      <c r="AB183" s="65"/>
      <c r="AC183" s="65" t="str">
        <f>IFERROR(__xludf.DUMMYFUNCTION("""COMPUTED_VALUE"""),"ESPONJA ANTILLUVIA DE PARABRISAS")</f>
        <v>ESPONJA ANTILLUVIA DE PARABRISAS</v>
      </c>
      <c r="AD183" s="65"/>
      <c r="AE183" s="65">
        <f>IFERROR(__xludf.DUMMYFUNCTION("""COMPUTED_VALUE"""),2.0)</f>
        <v>2</v>
      </c>
      <c r="AF183" s="65"/>
      <c r="AG183" s="65"/>
      <c r="AH183" s="65"/>
      <c r="AI183" s="65"/>
      <c r="AJ183" s="65"/>
      <c r="AK183" s="65"/>
      <c r="AL183" s="65"/>
      <c r="AM183" s="65"/>
      <c r="AN183" s="65" t="str">
        <f>IFERROR(__xludf.DUMMYFUNCTION("""COMPUTED_VALUE"""),"16:33")</f>
        <v>16:33</v>
      </c>
      <c r="AO183" s="65" t="str">
        <f>IFERROR(__xludf.DUMMYFUNCTION("""COMPUTED_VALUE"""),"19-03-2026")</f>
        <v>19-03-2026</v>
      </c>
      <c r="AP183" s="65" t="str">
        <f>IFERROR(__xludf.DUMMYFUNCTION("""COMPUTED_VALUE"""),"REPORTADO ENTREGADO EN AGENCIA")</f>
        <v>REPORTADO ENTREGADO EN AGENCIA</v>
      </c>
      <c r="AQ183" s="65" t="str">
        <f>IFERROR(__xludf.DUMMYFUNCTION("""COMPUTED_VALUE"""),"ANDEES YAMUSCA")</f>
        <v>ANDEES YAMUSCA</v>
      </c>
      <c r="AR183" s="65"/>
      <c r="AS183" s="65"/>
      <c r="AT183" s="65" t="str">
        <f>IFERROR(__xludf.DUMMYFUNCTION("""COMPUTED_VALUE"""),"CHATEA PRO")</f>
        <v>CHATEA PRO</v>
      </c>
      <c r="AU183" s="65" t="str">
        <f>IFERROR(__xludf.DUMMYFUNCTION("""COMPUTED_VALUE"""),"CHATEA PRO")</f>
        <v>CHATEA PRO</v>
      </c>
      <c r="AV183" s="65"/>
      <c r="AW183" s="65"/>
      <c r="AX183" s="65"/>
      <c r="AY183" s="65" t="str">
        <f>IFERROR(__xludf.DUMMYFUNCTION("""COMPUTED_VALUE"""),"14/03/2026")</f>
        <v>14/03/2026</v>
      </c>
      <c r="AZ183" s="65"/>
      <c r="BA183" s="65"/>
    </row>
    <row r="184">
      <c r="A184" s="65" t="str">
        <f>IFERROR(__xludf.DUMMYFUNCTION("""COMPUTED_VALUE"""),"27-03-2026")</f>
        <v>27-03-2026</v>
      </c>
      <c r="B184" s="65">
        <f>IFERROR(__xludf.DUMMYFUNCTION("""COMPUTED_VALUE"""),4789492.0)</f>
        <v>4789492</v>
      </c>
      <c r="C184" s="65" t="str">
        <f>IFERROR(__xludf.DUMMYFUNCTION("""COMPUTED_VALUE"""),"11:03")</f>
        <v>11:03</v>
      </c>
      <c r="D184" s="65" t="str">
        <f>IFERROR(__xludf.DUMMYFUNCTION("""COMPUTED_VALUE"""),"13-03-2026")</f>
        <v>13-03-2026</v>
      </c>
      <c r="E184" s="65" t="str">
        <f>IFERROR(__xludf.DUMMYFUNCTION("""COMPUTED_VALUE"""),"Eduardo Martínez")</f>
        <v>Eduardo Martínez</v>
      </c>
      <c r="F184" s="65" t="str">
        <f>IFERROR(__xludf.DUMMYFUNCTION("""COMPUTED_VALUE"""),"997243182")</f>
        <v>997243182</v>
      </c>
      <c r="G184" s="65" t="str">
        <f>IFERROR(__xludf.DUMMYFUNCTION("""COMPUTED_VALUE"""),"jsdrdmrtnzgmz@gmail.com")</f>
        <v>jsdrdmrtnzgmz@gmail.com</v>
      </c>
      <c r="H184" s="65"/>
      <c r="I184" s="65"/>
      <c r="J184" s="65" t="str">
        <f>IFERROR(__xludf.DUMMYFUNCTION("""COMPUTED_VALUE"""),"D001413722")</f>
        <v>D001413722</v>
      </c>
      <c r="K184" s="65" t="str">
        <f>IFERROR(__xludf.DUMMYFUNCTION("""COMPUTED_VALUE"""),"ENTREGADO")</f>
        <v>ENTREGADO</v>
      </c>
      <c r="L184" s="65" t="str">
        <f>IFERROR(__xludf.DUMMYFUNCTION("""COMPUTED_VALUE"""),"CON RECAUDO")</f>
        <v>CON RECAUDO</v>
      </c>
      <c r="M184" s="65" t="str">
        <f>IFERROR(__xludf.DUMMYFUNCTION("""COMPUTED_VALUE"""),"TUNGURAHUA")</f>
        <v>TUNGURAHUA</v>
      </c>
      <c r="N184" s="65" t="str">
        <f>IFERROR(__xludf.DUMMYFUNCTION("""COMPUTED_VALUE"""),"PELILEO")</f>
        <v>PELILEO</v>
      </c>
      <c r="O184" s="65" t="str">
        <f>IFERROR(__xludf.DUMMYFUNCTION("""COMPUTED_VALUE"""),"Calle El paraíso y 24 de mayo esquina,  La confraternidad - Frente a promasero")</f>
        <v>Calle El paraíso y 24 de mayo esquina,  La confraternidad - Frente a promasero</v>
      </c>
      <c r="P184" s="65"/>
      <c r="Q184" s="65" t="str">
        <f>IFERROR(__xludf.DUMMYFUNCTION("""COMPUTED_VALUE"""),"GINTRACOM")</f>
        <v>GINTRACOM</v>
      </c>
      <c r="R184" s="65">
        <f>IFERROR(__xludf.DUMMYFUNCTION("""COMPUTED_VALUE"""),25.0)</f>
        <v>25</v>
      </c>
      <c r="S184" s="65">
        <f>IFERROR(__xludf.DUMMYFUNCTION("""COMPUTED_VALUE"""),13.77)</f>
        <v>13.77</v>
      </c>
      <c r="T184" s="65">
        <f>IFERROR(__xludf.DUMMYFUNCTION("""COMPUTED_VALUE"""),6.53)</f>
        <v>6.53</v>
      </c>
      <c r="U184" s="65">
        <f>IFERROR(__xludf.DUMMYFUNCTION("""COMPUTED_VALUE"""),0.0)</f>
        <v>0</v>
      </c>
      <c r="V184" s="65">
        <f>IFERROR(__xludf.DUMMYFUNCTION("""COMPUTED_VALUE"""),0.0)</f>
        <v>0</v>
      </c>
      <c r="W184" s="65">
        <f>IFERROR(__xludf.DUMMYFUNCTION("""COMPUTED_VALUE"""),0.0)</f>
        <v>0</v>
      </c>
      <c r="X184" s="65">
        <f>IFERROR(__xludf.DUMMYFUNCTION("""COMPUTED_VALUE"""),2.35)</f>
        <v>2.35</v>
      </c>
      <c r="Y184" s="65">
        <f>IFERROR(__xludf.DUMMYFUNCTION("""COMPUTED_VALUE"""),4.7)</f>
        <v>4.7</v>
      </c>
      <c r="Z184" s="65">
        <f>IFERROR(__xludf.DUMMYFUNCTION("""COMPUTED_VALUE"""),116679.0)</f>
        <v>116679</v>
      </c>
      <c r="AA184" s="65" t="str">
        <f>IFERROR(__xludf.DUMMYFUNCTION("""COMPUTED_VALUE"""),"AMC-2738")</f>
        <v>AMC-2738</v>
      </c>
      <c r="AB184" s="65"/>
      <c r="AC184" s="65" t="str">
        <f>IFERROR(__xludf.DUMMYFUNCTION("""COMPUTED_VALUE"""),"ESPONJA ANTILLUVIA DE PARABRISAS")</f>
        <v>ESPONJA ANTILLUVIA DE PARABRISAS</v>
      </c>
      <c r="AD184" s="65"/>
      <c r="AE184" s="65">
        <f>IFERROR(__xludf.DUMMYFUNCTION("""COMPUTED_VALUE"""),2.0)</f>
        <v>2</v>
      </c>
      <c r="AF184" s="65"/>
      <c r="AG184" s="65"/>
      <c r="AH184" s="65"/>
      <c r="AI184" s="65"/>
      <c r="AJ184" s="65"/>
      <c r="AK184" s="65"/>
      <c r="AL184" s="65"/>
      <c r="AM184" s="65"/>
      <c r="AN184" s="65" t="str">
        <f>IFERROR(__xludf.DUMMYFUNCTION("""COMPUTED_VALUE"""),"07:31")</f>
        <v>07:31</v>
      </c>
      <c r="AO184" s="65" t="str">
        <f>IFERROR(__xludf.DUMMYFUNCTION("""COMPUTED_VALUE"""),"18-03-2026")</f>
        <v>18-03-2026</v>
      </c>
      <c r="AP184" s="65" t="str">
        <f>IFERROR(__xludf.DUMMYFUNCTION("""COMPUTED_VALUE"""),"ENTREGADA GINTRACOM")</f>
        <v>ENTREGADA GINTRACOM</v>
      </c>
      <c r="AQ184" s="65" t="str">
        <f>IFERROR(__xludf.DUMMYFUNCTION("""COMPUTED_VALUE"""),"ENTREGADA GINTRACOM")</f>
        <v>ENTREGADA GINTRACOM</v>
      </c>
      <c r="AR184" s="65"/>
      <c r="AS184" s="65"/>
      <c r="AT184" s="65" t="str">
        <f>IFERROR(__xludf.DUMMYFUNCTION("""COMPUTED_VALUE"""),"SHOPIFY")</f>
        <v>SHOPIFY</v>
      </c>
      <c r="AU184" s="65" t="str">
        <f>IFERROR(__xludf.DUMMYFUNCTION("""COMPUTED_VALUE"""),"IMPORTEX EC")</f>
        <v>IMPORTEX EC</v>
      </c>
      <c r="AV184" s="65" t="str">
        <f>IFERROR(__xludf.DUMMYFUNCTION("""COMPUTED_VALUE"""),"6574568833068")</f>
        <v>6574568833068</v>
      </c>
      <c r="AW184" s="65">
        <f>IFERROR(__xludf.DUMMYFUNCTION("""COMPUTED_VALUE"""),6661.0)</f>
        <v>6661</v>
      </c>
      <c r="AX184" s="65"/>
      <c r="AY184" s="65" t="str">
        <f>IFERROR(__xludf.DUMMYFUNCTION("""COMPUTED_VALUE"""),"14/03/2026")</f>
        <v>14/03/2026</v>
      </c>
      <c r="AZ184" s="65"/>
      <c r="BA184" s="65"/>
    </row>
    <row r="185">
      <c r="A185" s="65" t="str">
        <f>IFERROR(__xludf.DUMMYFUNCTION("""COMPUTED_VALUE"""),"27-03-2026")</f>
        <v>27-03-2026</v>
      </c>
      <c r="B185" s="65">
        <f>IFERROR(__xludf.DUMMYFUNCTION("""COMPUTED_VALUE"""),4789062.0)</f>
        <v>4789062</v>
      </c>
      <c r="C185" s="65" t="str">
        <f>IFERROR(__xludf.DUMMYFUNCTION("""COMPUTED_VALUE"""),"10:24")</f>
        <v>10:24</v>
      </c>
      <c r="D185" s="65" t="str">
        <f>IFERROR(__xludf.DUMMYFUNCTION("""COMPUTED_VALUE"""),"13-03-2026")</f>
        <v>13-03-2026</v>
      </c>
      <c r="E185" s="65" t="str">
        <f>IFERROR(__xludf.DUMMYFUNCTION("""COMPUTED_VALUE"""),"Eugenio Vaca")</f>
        <v>Eugenio Vaca</v>
      </c>
      <c r="F185" s="65" t="str">
        <f>IFERROR(__xludf.DUMMYFUNCTION("""COMPUTED_VALUE"""),"939356053")</f>
        <v>939356053</v>
      </c>
      <c r="G185" s="65" t="str">
        <f>IFERROR(__xludf.DUMMYFUNCTION("""COMPUTED_VALUE"""),"bohingervaca@gmaol.com")</f>
        <v>bohingervaca@gmaol.com</v>
      </c>
      <c r="H185" s="65"/>
      <c r="I185" s="65"/>
      <c r="J185" s="65"/>
      <c r="K185" s="65" t="str">
        <f>IFERROR(__xludf.DUMMYFUNCTION("""COMPUTED_VALUE"""),"PENDIENTE CONFIRMACION")</f>
        <v>PENDIENTE CONFIRMACION</v>
      </c>
      <c r="L185" s="65" t="str">
        <f>IFERROR(__xludf.DUMMYFUNCTION("""COMPUTED_VALUE"""),"CON RECAUDO")</f>
        <v>CON RECAUDO</v>
      </c>
      <c r="M185" s="65" t="str">
        <f>IFERROR(__xludf.DUMMYFUNCTION("""COMPUTED_VALUE"""),"SUCUMBIOS")</f>
        <v>SUCUMBIOS</v>
      </c>
      <c r="N185" s="65" t="str">
        <f>IFERROR(__xludf.DUMMYFUNCTION("""COMPUTED_VALUE"""),"NUEVA LOJA")</f>
        <v>NUEVA LOJA</v>
      </c>
      <c r="O185" s="65" t="str">
        <f>IFERROR(__xludf.DUMMYFUNCTION("""COMPUTED_VALUE"""),"Manabi y quito -")</f>
        <v>Manabi y quito -</v>
      </c>
      <c r="P185" s="65"/>
      <c r="Q185" s="65" t="str">
        <f>IFERROR(__xludf.DUMMYFUNCTION("""COMPUTED_VALUE"""),"LAARCOURIER")</f>
        <v>LAARCOURIER</v>
      </c>
      <c r="R185" s="65">
        <f>IFERROR(__xludf.DUMMYFUNCTION("""COMPUTED_VALUE"""),25.0)</f>
        <v>25</v>
      </c>
      <c r="S185" s="65"/>
      <c r="T185" s="65">
        <f>IFERROR(__xludf.DUMMYFUNCTION("""COMPUTED_VALUE"""),7.79)</f>
        <v>7.79</v>
      </c>
      <c r="U185" s="65">
        <f>IFERROR(__xludf.DUMMYFUNCTION("""COMPUTED_VALUE"""),0.0)</f>
        <v>0</v>
      </c>
      <c r="V185" s="65">
        <f>IFERROR(__xludf.DUMMYFUNCTION("""COMPUTED_VALUE"""),0.0)</f>
        <v>0</v>
      </c>
      <c r="W185" s="65">
        <f>IFERROR(__xludf.DUMMYFUNCTION("""COMPUTED_VALUE"""),0.0)</f>
        <v>0</v>
      </c>
      <c r="X185" s="65">
        <f>IFERROR(__xludf.DUMMYFUNCTION("""COMPUTED_VALUE"""),2.35)</f>
        <v>2.35</v>
      </c>
      <c r="Y185" s="65">
        <f>IFERROR(__xludf.DUMMYFUNCTION("""COMPUTED_VALUE"""),4.7)</f>
        <v>4.7</v>
      </c>
      <c r="Z185" s="65">
        <f>IFERROR(__xludf.DUMMYFUNCTION("""COMPUTED_VALUE"""),116679.0)</f>
        <v>116679</v>
      </c>
      <c r="AA185" s="65" t="str">
        <f>IFERROR(__xludf.DUMMYFUNCTION("""COMPUTED_VALUE"""),"AMC-2738")</f>
        <v>AMC-2738</v>
      </c>
      <c r="AB185" s="65"/>
      <c r="AC185" s="65" t="str">
        <f>IFERROR(__xludf.DUMMYFUNCTION("""COMPUTED_VALUE"""),"ESPONJA ANTILLUVIA DE PARABRISAS")</f>
        <v>ESPONJA ANTILLUVIA DE PARABRISAS</v>
      </c>
      <c r="AD185" s="65"/>
      <c r="AE185" s="65">
        <f>IFERROR(__xludf.DUMMYFUNCTION("""COMPUTED_VALUE"""),2.0)</f>
        <v>2</v>
      </c>
      <c r="AF185" s="65"/>
      <c r="AG185" s="65"/>
      <c r="AH185" s="65"/>
      <c r="AI185" s="65"/>
      <c r="AJ185" s="65"/>
      <c r="AK185" s="65"/>
      <c r="AL185" s="65"/>
      <c r="AM185" s="65"/>
      <c r="AN185" s="65"/>
      <c r="AO185" s="65"/>
      <c r="AP185" s="65"/>
      <c r="AQ185" s="65"/>
      <c r="AR185" s="65"/>
      <c r="AS185" s="65"/>
      <c r="AT185" s="65" t="str">
        <f>IFERROR(__xludf.DUMMYFUNCTION("""COMPUTED_VALUE"""),"SHOPIFY")</f>
        <v>SHOPIFY</v>
      </c>
      <c r="AU185" s="65" t="str">
        <f>IFERROR(__xludf.DUMMYFUNCTION("""COMPUTED_VALUE"""),"IMPORTEX EC")</f>
        <v>IMPORTEX EC</v>
      </c>
      <c r="AV185" s="65" t="str">
        <f>IFERROR(__xludf.DUMMYFUNCTION("""COMPUTED_VALUE"""),"6574326743084")</f>
        <v>6574326743084</v>
      </c>
      <c r="AW185" s="65">
        <f>IFERROR(__xludf.DUMMYFUNCTION("""COMPUTED_VALUE"""),6656.0)</f>
        <v>6656</v>
      </c>
      <c r="AX185" s="65"/>
      <c r="AY185" s="65"/>
      <c r="AZ185" s="65"/>
      <c r="BA185" s="65"/>
    </row>
    <row r="186">
      <c r="A186" s="65" t="str">
        <f>IFERROR(__xludf.DUMMYFUNCTION("""COMPUTED_VALUE"""),"27-03-2026")</f>
        <v>27-03-2026</v>
      </c>
      <c r="B186" s="65">
        <f>IFERROR(__xludf.DUMMYFUNCTION("""COMPUTED_VALUE"""),4786546.0)</f>
        <v>4786546</v>
      </c>
      <c r="C186" s="65" t="str">
        <f>IFERROR(__xludf.DUMMYFUNCTION("""COMPUTED_VALUE"""),"05:40")</f>
        <v>05:40</v>
      </c>
      <c r="D186" s="65" t="str">
        <f>IFERROR(__xludf.DUMMYFUNCTION("""COMPUTED_VALUE"""),"13-03-2026")</f>
        <v>13-03-2026</v>
      </c>
      <c r="E186" s="65" t="str">
        <f>IFERROR(__xludf.DUMMYFUNCTION("""COMPUTED_VALUE"""),"Andees yamusca")</f>
        <v>Andees yamusca</v>
      </c>
      <c r="F186" s="65" t="str">
        <f>IFERROR(__xludf.DUMMYFUNCTION("""COMPUTED_VALUE"""),"991187410")</f>
        <v>991187410</v>
      </c>
      <c r="G186" s="65"/>
      <c r="H186" s="65"/>
      <c r="I186" s="65"/>
      <c r="J186" s="65"/>
      <c r="K186" s="65" t="str">
        <f>IFERROR(__xludf.DUMMYFUNCTION("""COMPUTED_VALUE"""),"CANCELADO")</f>
        <v>CANCELADO</v>
      </c>
      <c r="L186" s="65" t="str">
        <f>IFERROR(__xludf.DUMMYFUNCTION("""COMPUTED_VALUE"""),"CON RECAUDO")</f>
        <v>CON RECAUDO</v>
      </c>
      <c r="M186" s="65" t="str">
        <f>IFERROR(__xludf.DUMMYFUNCTION("""COMPUTED_VALUE"""),"LOS RIOS")</f>
        <v>LOS RIOS</v>
      </c>
      <c r="N186" s="65" t="str">
        <f>IFERROR(__xludf.DUMMYFUNCTION("""COMPUTED_VALUE"""),"VENTANAS")</f>
        <v>VENTANAS</v>
      </c>
      <c r="O186" s="65" t="str">
        <f>IFERROR(__xludf.DUMMYFUNCTION("""COMPUTED_VALUE"""),"Servi Entrega - -")</f>
        <v>Servi Entrega - -</v>
      </c>
      <c r="P186" s="65"/>
      <c r="Q186" s="65" t="str">
        <f>IFERROR(__xludf.DUMMYFUNCTION("""COMPUTED_VALUE"""),"GINTRACOM")</f>
        <v>GINTRACOM</v>
      </c>
      <c r="R186" s="65">
        <f>IFERROR(__xludf.DUMMYFUNCTION("""COMPUTED_VALUE"""),25.0)</f>
        <v>25</v>
      </c>
      <c r="S186" s="65"/>
      <c r="T186" s="65">
        <f>IFERROR(__xludf.DUMMYFUNCTION("""COMPUTED_VALUE"""),5.96)</f>
        <v>5.96</v>
      </c>
      <c r="U186" s="65">
        <f>IFERROR(__xludf.DUMMYFUNCTION("""COMPUTED_VALUE"""),0.0)</f>
        <v>0</v>
      </c>
      <c r="V186" s="65">
        <f>IFERROR(__xludf.DUMMYFUNCTION("""COMPUTED_VALUE"""),0.0)</f>
        <v>0</v>
      </c>
      <c r="W186" s="65">
        <f>IFERROR(__xludf.DUMMYFUNCTION("""COMPUTED_VALUE"""),0.0)</f>
        <v>0</v>
      </c>
      <c r="X186" s="65">
        <f>IFERROR(__xludf.DUMMYFUNCTION("""COMPUTED_VALUE"""),2.35)</f>
        <v>2.35</v>
      </c>
      <c r="Y186" s="65">
        <f>IFERROR(__xludf.DUMMYFUNCTION("""COMPUTED_VALUE"""),4.7)</f>
        <v>4.7</v>
      </c>
      <c r="Z186" s="65">
        <f>IFERROR(__xludf.DUMMYFUNCTION("""COMPUTED_VALUE"""),116679.0)</f>
        <v>116679</v>
      </c>
      <c r="AA186" s="65" t="str">
        <f>IFERROR(__xludf.DUMMYFUNCTION("""COMPUTED_VALUE"""),"AMC-2738")</f>
        <v>AMC-2738</v>
      </c>
      <c r="AB186" s="65"/>
      <c r="AC186" s="65" t="str">
        <f>IFERROR(__xludf.DUMMYFUNCTION("""COMPUTED_VALUE"""),"ESPONJA ANTILLUVIA DE PARABRISAS")</f>
        <v>ESPONJA ANTILLUVIA DE PARABRISAS</v>
      </c>
      <c r="AD186" s="65"/>
      <c r="AE186" s="65">
        <f>IFERROR(__xludf.DUMMYFUNCTION("""COMPUTED_VALUE"""),2.0)</f>
        <v>2</v>
      </c>
      <c r="AF186" s="65"/>
      <c r="AG186" s="65"/>
      <c r="AH186" s="65"/>
      <c r="AI186" s="65"/>
      <c r="AJ186" s="65"/>
      <c r="AK186" s="65"/>
      <c r="AL186" s="65"/>
      <c r="AM186" s="65"/>
      <c r="AN186" s="65"/>
      <c r="AO186" s="65"/>
      <c r="AP186" s="65"/>
      <c r="AQ186" s="65"/>
      <c r="AR186" s="65"/>
      <c r="AS186" s="65"/>
      <c r="AT186" s="65" t="str">
        <f>IFERROR(__xludf.DUMMYFUNCTION("""COMPUTED_VALUE"""),"SHOPIFY")</f>
        <v>SHOPIFY</v>
      </c>
      <c r="AU186" s="65" t="str">
        <f>IFERROR(__xludf.DUMMYFUNCTION("""COMPUTED_VALUE"""),"IMPORTEX EC")</f>
        <v>IMPORTEX EC</v>
      </c>
      <c r="AV186" s="65" t="str">
        <f>IFERROR(__xludf.DUMMYFUNCTION("""COMPUTED_VALUE"""),"6575408709676")</f>
        <v>6575408709676</v>
      </c>
      <c r="AW186" s="65">
        <f>IFERROR(__xludf.DUMMYFUNCTION("""COMPUTED_VALUE"""),6666.0)</f>
        <v>6666</v>
      </c>
      <c r="AX186" s="65"/>
      <c r="AY186" s="65"/>
      <c r="AZ186" s="65"/>
      <c r="BA186" s="65"/>
    </row>
    <row r="187">
      <c r="A187" s="65" t="str">
        <f>IFERROR(__xludf.DUMMYFUNCTION("""COMPUTED_VALUE"""),"27-03-2026")</f>
        <v>27-03-2026</v>
      </c>
      <c r="B187" s="65">
        <f>IFERROR(__xludf.DUMMYFUNCTION("""COMPUTED_VALUE"""),4785524.0)</f>
        <v>4785524</v>
      </c>
      <c r="C187" s="65" t="str">
        <f>IFERROR(__xludf.DUMMYFUNCTION("""COMPUTED_VALUE"""),"22:56")</f>
        <v>22:56</v>
      </c>
      <c r="D187" s="65" t="str">
        <f>IFERROR(__xludf.DUMMYFUNCTION("""COMPUTED_VALUE"""),"12-03-2026")</f>
        <v>12-03-2026</v>
      </c>
      <c r="E187" s="65" t="str">
        <f>IFERROR(__xludf.DUMMYFUNCTION("""COMPUTED_VALUE"""),"Harley García")</f>
        <v>Harley García</v>
      </c>
      <c r="F187" s="65" t="str">
        <f>IFERROR(__xludf.DUMMYFUNCTION("""COMPUTED_VALUE"""),"991315127")</f>
        <v>991315127</v>
      </c>
      <c r="G187" s="65" t="str">
        <f>IFERROR(__xludf.DUMMYFUNCTION("""COMPUTED_VALUE"""),"harleyvgarcia@gmail.com")</f>
        <v>harleyvgarcia@gmail.com</v>
      </c>
      <c r="H187" s="65"/>
      <c r="I187" s="65"/>
      <c r="J187" s="65" t="str">
        <f>IFERROR(__xludf.DUMMYFUNCTION("""COMPUTED_VALUE"""),"D001413732")</f>
        <v>D001413732</v>
      </c>
      <c r="K187" s="65" t="str">
        <f>IFERROR(__xludf.DUMMYFUNCTION("""COMPUTED_VALUE"""),"ENTREGADO")</f>
        <v>ENTREGADO</v>
      </c>
      <c r="L187" s="65" t="str">
        <f>IFERROR(__xludf.DUMMYFUNCTION("""COMPUTED_VALUE"""),"CON RECAUDO")</f>
        <v>CON RECAUDO</v>
      </c>
      <c r="M187" s="65" t="str">
        <f>IFERROR(__xludf.DUMMYFUNCTION("""COMPUTED_VALUE"""),"LOJA")</f>
        <v>LOJA</v>
      </c>
      <c r="N187" s="65" t="str">
        <f>IFERROR(__xludf.DUMMYFUNCTION("""COMPUTED_VALUE"""),"LOJA")</f>
        <v>LOJA</v>
      </c>
      <c r="O187" s="65" t="str">
        <f>IFERROR(__xludf.DUMMYFUNCTION("""COMPUTED_VALUE"""),"Calle Sucre 154-81 y Juan de Salinas")</f>
        <v>Calle Sucre 154-81 y Juan de Salinas</v>
      </c>
      <c r="P187" s="65"/>
      <c r="Q187" s="65" t="str">
        <f>IFERROR(__xludf.DUMMYFUNCTION("""COMPUTED_VALUE"""),"GINTRACOM")</f>
        <v>GINTRACOM</v>
      </c>
      <c r="R187" s="65">
        <f>IFERROR(__xludf.DUMMYFUNCTION("""COMPUTED_VALUE"""),20.0)</f>
        <v>20</v>
      </c>
      <c r="S187" s="65">
        <f>IFERROR(__xludf.DUMMYFUNCTION("""COMPUTED_VALUE"""),11.89)</f>
        <v>11.89</v>
      </c>
      <c r="T187" s="65">
        <f>IFERROR(__xludf.DUMMYFUNCTION("""COMPUTED_VALUE"""),5.76)</f>
        <v>5.76</v>
      </c>
      <c r="U187" s="65">
        <f>IFERROR(__xludf.DUMMYFUNCTION("""COMPUTED_VALUE"""),0.0)</f>
        <v>0</v>
      </c>
      <c r="V187" s="65">
        <f>IFERROR(__xludf.DUMMYFUNCTION("""COMPUTED_VALUE"""),0.0)</f>
        <v>0</v>
      </c>
      <c r="W187" s="65">
        <f>IFERROR(__xludf.DUMMYFUNCTION("""COMPUTED_VALUE"""),0.0)</f>
        <v>0</v>
      </c>
      <c r="X187" s="65">
        <f>IFERROR(__xludf.DUMMYFUNCTION("""COMPUTED_VALUE"""),2.35)</f>
        <v>2.35</v>
      </c>
      <c r="Y187" s="65">
        <f>IFERROR(__xludf.DUMMYFUNCTION("""COMPUTED_VALUE"""),2.35)</f>
        <v>2.35</v>
      </c>
      <c r="Z187" s="65">
        <f>IFERROR(__xludf.DUMMYFUNCTION("""COMPUTED_VALUE"""),116679.0)</f>
        <v>116679</v>
      </c>
      <c r="AA187" s="65" t="str">
        <f>IFERROR(__xludf.DUMMYFUNCTION("""COMPUTED_VALUE"""),"AMC-2738")</f>
        <v>AMC-2738</v>
      </c>
      <c r="AB187" s="65"/>
      <c r="AC187" s="65" t="str">
        <f>IFERROR(__xludf.DUMMYFUNCTION("""COMPUTED_VALUE"""),"ESPONJA ANTILLUVIA DE PARABRISAS")</f>
        <v>ESPONJA ANTILLUVIA DE PARABRISAS</v>
      </c>
      <c r="AD187" s="65"/>
      <c r="AE187" s="65">
        <f>IFERROR(__xludf.DUMMYFUNCTION("""COMPUTED_VALUE"""),1.0)</f>
        <v>1</v>
      </c>
      <c r="AF187" s="65"/>
      <c r="AG187" s="65"/>
      <c r="AH187" s="65"/>
      <c r="AI187" s="65"/>
      <c r="AJ187" s="65"/>
      <c r="AK187" s="65"/>
      <c r="AL187" s="65"/>
      <c r="AM187" s="65"/>
      <c r="AN187" s="65" t="str">
        <f>IFERROR(__xludf.DUMMYFUNCTION("""COMPUTED_VALUE"""),"16:32")</f>
        <v>16:32</v>
      </c>
      <c r="AO187" s="65" t="str">
        <f>IFERROR(__xludf.DUMMYFUNCTION("""COMPUTED_VALUE"""),"20-03-2026")</f>
        <v>20-03-2026</v>
      </c>
      <c r="AP187" s="65" t="str">
        <f>IFERROR(__xludf.DUMMYFUNCTION("""COMPUTED_VALUE"""),"ENTREGADA GINTRACOM")</f>
        <v>ENTREGADA GINTRACOM</v>
      </c>
      <c r="AQ187" s="65" t="str">
        <f>IFERROR(__xludf.DUMMYFUNCTION("""COMPUTED_VALUE"""),"ENTREGADA GINTRACOM")</f>
        <v>ENTREGADA GINTRACOM</v>
      </c>
      <c r="AR187" s="65"/>
      <c r="AS187" s="65"/>
      <c r="AT187" s="65" t="str">
        <f>IFERROR(__xludf.DUMMYFUNCTION("""COMPUTED_VALUE"""),"SHOPIFY")</f>
        <v>SHOPIFY</v>
      </c>
      <c r="AU187" s="65" t="str">
        <f>IFERROR(__xludf.DUMMYFUNCTION("""COMPUTED_VALUE"""),"IMPORTEX EC")</f>
        <v>IMPORTEX EC</v>
      </c>
      <c r="AV187" s="65" t="str">
        <f>IFERROR(__xludf.DUMMYFUNCTION("""COMPUTED_VALUE"""),"6575015460908")</f>
        <v>6575015460908</v>
      </c>
      <c r="AW187" s="65">
        <f>IFERROR(__xludf.DUMMYFUNCTION("""COMPUTED_VALUE"""),6665.0)</f>
        <v>6665</v>
      </c>
      <c r="AX187" s="65"/>
      <c r="AY187" s="65" t="str">
        <f>IFERROR(__xludf.DUMMYFUNCTION("""COMPUTED_VALUE"""),"14/03/2026")</f>
        <v>14/03/2026</v>
      </c>
      <c r="AZ187" s="65"/>
      <c r="BA187" s="65"/>
    </row>
    <row r="188">
      <c r="A188" s="65" t="str">
        <f>IFERROR(__xludf.DUMMYFUNCTION("""COMPUTED_VALUE"""),"27-03-2026")</f>
        <v>27-03-2026</v>
      </c>
      <c r="B188" s="65">
        <f>IFERROR(__xludf.DUMMYFUNCTION("""COMPUTED_VALUE"""),4785518.0)</f>
        <v>4785518</v>
      </c>
      <c r="C188" s="65" t="str">
        <f>IFERROR(__xludf.DUMMYFUNCTION("""COMPUTED_VALUE"""),"22:55")</f>
        <v>22:55</v>
      </c>
      <c r="D188" s="65" t="str">
        <f>IFERROR(__xludf.DUMMYFUNCTION("""COMPUTED_VALUE"""),"12-03-2026")</f>
        <v>12-03-2026</v>
      </c>
      <c r="E188" s="65" t="str">
        <f>IFERROR(__xludf.DUMMYFUNCTION("""COMPUTED_VALUE"""),"Nelly Raquel Vera Gomez")</f>
        <v>Nelly Raquel Vera Gomez</v>
      </c>
      <c r="F188" s="65" t="str">
        <f>IFERROR(__xludf.DUMMYFUNCTION("""COMPUTED_VALUE"""),"999471657")</f>
        <v>999471657</v>
      </c>
      <c r="G188" s="65" t="str">
        <f>IFERROR(__xludf.DUMMYFUNCTION("""COMPUTED_VALUE"""),"nelly.nrvg@gmail.com")</f>
        <v>nelly.nrvg@gmail.com</v>
      </c>
      <c r="H188" s="65"/>
      <c r="I188" s="65"/>
      <c r="J188" s="65" t="str">
        <f>IFERROR(__xludf.DUMMYFUNCTION("""COMPUTED_VALUE"""),"D001413734")</f>
        <v>D001413734</v>
      </c>
      <c r="K188" s="65" t="str">
        <f>IFERROR(__xludf.DUMMYFUNCTION("""COMPUTED_VALUE"""),"ENTREGADO")</f>
        <v>ENTREGADO</v>
      </c>
      <c r="L188" s="65" t="str">
        <f>IFERROR(__xludf.DUMMYFUNCTION("""COMPUTED_VALUE"""),"CON RECAUDO")</f>
        <v>CON RECAUDO</v>
      </c>
      <c r="M188" s="65" t="str">
        <f>IFERROR(__xludf.DUMMYFUNCTION("""COMPUTED_VALUE"""),"GUAYAS")</f>
        <v>GUAYAS</v>
      </c>
      <c r="N188" s="65" t="str">
        <f>IFERROR(__xludf.DUMMYFUNCTION("""COMPUTED_VALUE"""),"MILAGRO")</f>
        <v>MILAGRO</v>
      </c>
      <c r="O188" s="65" t="str">
        <f>IFERROR(__xludf.DUMMYFUNCTION("""COMPUTED_VALUE"""),"Eduardo Cardenas y Víctor Hugo Vicuña, Casa  azul y beige  portón plomo,  Planta de agua")</f>
        <v>Eduardo Cardenas y Víctor Hugo Vicuña, Casa  azul y beige  portón plomo,  Planta de agua</v>
      </c>
      <c r="P188" s="65"/>
      <c r="Q188" s="65" t="str">
        <f>IFERROR(__xludf.DUMMYFUNCTION("""COMPUTED_VALUE"""),"GINTRACOM")</f>
        <v>GINTRACOM</v>
      </c>
      <c r="R188" s="65">
        <f>IFERROR(__xludf.DUMMYFUNCTION("""COMPUTED_VALUE"""),25.0)</f>
        <v>25</v>
      </c>
      <c r="S188" s="65">
        <f>IFERROR(__xludf.DUMMYFUNCTION("""COMPUTED_VALUE"""),14.34)</f>
        <v>14.34</v>
      </c>
      <c r="T188" s="65">
        <f>IFERROR(__xludf.DUMMYFUNCTION("""COMPUTED_VALUE"""),5.96)</f>
        <v>5.96</v>
      </c>
      <c r="U188" s="65">
        <f>IFERROR(__xludf.DUMMYFUNCTION("""COMPUTED_VALUE"""),0.0)</f>
        <v>0</v>
      </c>
      <c r="V188" s="65">
        <f>IFERROR(__xludf.DUMMYFUNCTION("""COMPUTED_VALUE"""),0.0)</f>
        <v>0</v>
      </c>
      <c r="W188" s="65">
        <f>IFERROR(__xludf.DUMMYFUNCTION("""COMPUTED_VALUE"""),0.0)</f>
        <v>0</v>
      </c>
      <c r="X188" s="65">
        <f>IFERROR(__xludf.DUMMYFUNCTION("""COMPUTED_VALUE"""),2.35)</f>
        <v>2.35</v>
      </c>
      <c r="Y188" s="65">
        <f>IFERROR(__xludf.DUMMYFUNCTION("""COMPUTED_VALUE"""),4.7)</f>
        <v>4.7</v>
      </c>
      <c r="Z188" s="65">
        <f>IFERROR(__xludf.DUMMYFUNCTION("""COMPUTED_VALUE"""),116679.0)</f>
        <v>116679</v>
      </c>
      <c r="AA188" s="65" t="str">
        <f>IFERROR(__xludf.DUMMYFUNCTION("""COMPUTED_VALUE"""),"AMC-2738")</f>
        <v>AMC-2738</v>
      </c>
      <c r="AB188" s="65"/>
      <c r="AC188" s="65" t="str">
        <f>IFERROR(__xludf.DUMMYFUNCTION("""COMPUTED_VALUE"""),"ESPONJA ANTILLUVIA DE PARABRISAS")</f>
        <v>ESPONJA ANTILLUVIA DE PARABRISAS</v>
      </c>
      <c r="AD188" s="65"/>
      <c r="AE188" s="65">
        <f>IFERROR(__xludf.DUMMYFUNCTION("""COMPUTED_VALUE"""),2.0)</f>
        <v>2</v>
      </c>
      <c r="AF188" s="65"/>
      <c r="AG188" s="65"/>
      <c r="AH188" s="65"/>
      <c r="AI188" s="65"/>
      <c r="AJ188" s="65"/>
      <c r="AK188" s="65"/>
      <c r="AL188" s="65"/>
      <c r="AM188" s="65"/>
      <c r="AN188" s="65" t="str">
        <f>IFERROR(__xludf.DUMMYFUNCTION("""COMPUTED_VALUE"""),"11:19")</f>
        <v>11:19</v>
      </c>
      <c r="AO188" s="65" t="str">
        <f>IFERROR(__xludf.DUMMYFUNCTION("""COMPUTED_VALUE"""),"17-03-2026")</f>
        <v>17-03-2026</v>
      </c>
      <c r="AP188" s="65" t="str">
        <f>IFERROR(__xludf.DUMMYFUNCTION("""COMPUTED_VALUE"""),"EN REPARTO")</f>
        <v>EN REPARTO</v>
      </c>
      <c r="AQ188" s="65" t="str">
        <f>IFERROR(__xludf.DUMMYFUNCTION("""COMPUTED_VALUE"""),"EN REPARTO")</f>
        <v>EN REPARTO</v>
      </c>
      <c r="AR188" s="65"/>
      <c r="AS188" s="65"/>
      <c r="AT188" s="65" t="str">
        <f>IFERROR(__xludf.DUMMYFUNCTION("""COMPUTED_VALUE"""),"SHOPIFY")</f>
        <v>SHOPIFY</v>
      </c>
      <c r="AU188" s="65" t="str">
        <f>IFERROR(__xludf.DUMMYFUNCTION("""COMPUTED_VALUE"""),"IMPORTEX EC")</f>
        <v>IMPORTEX EC</v>
      </c>
      <c r="AV188" s="65" t="str">
        <f>IFERROR(__xludf.DUMMYFUNCTION("""COMPUTED_VALUE"""),"6575014543404")</f>
        <v>6575014543404</v>
      </c>
      <c r="AW188" s="65">
        <f>IFERROR(__xludf.DUMMYFUNCTION("""COMPUTED_VALUE"""),6664.0)</f>
        <v>6664</v>
      </c>
      <c r="AX188" s="65"/>
      <c r="AY188" s="65" t="str">
        <f>IFERROR(__xludf.DUMMYFUNCTION("""COMPUTED_VALUE"""),"14/03/2026")</f>
        <v>14/03/2026</v>
      </c>
      <c r="AZ188" s="65"/>
      <c r="BA188" s="65"/>
    </row>
    <row r="189">
      <c r="A189" s="65" t="str">
        <f>IFERROR(__xludf.DUMMYFUNCTION("""COMPUTED_VALUE"""),"27-03-2026")</f>
        <v>27-03-2026</v>
      </c>
      <c r="B189" s="65">
        <f>IFERROR(__xludf.DUMMYFUNCTION("""COMPUTED_VALUE"""),4785499.0)</f>
        <v>4785499</v>
      </c>
      <c r="C189" s="65" t="str">
        <f>IFERROR(__xludf.DUMMYFUNCTION("""COMPUTED_VALUE"""),"22:54")</f>
        <v>22:54</v>
      </c>
      <c r="D189" s="65" t="str">
        <f>IFERROR(__xludf.DUMMYFUNCTION("""COMPUTED_VALUE"""),"12-03-2026")</f>
        <v>12-03-2026</v>
      </c>
      <c r="E189" s="65" t="str">
        <f>IFERROR(__xludf.DUMMYFUNCTION("""COMPUTED_VALUE"""),"Dora Guerrero")</f>
        <v>Dora Guerrero</v>
      </c>
      <c r="F189" s="65" t="str">
        <f>IFERROR(__xludf.DUMMYFUNCTION("""COMPUTED_VALUE"""),"998740587")</f>
        <v>998740587</v>
      </c>
      <c r="G189" s="65" t="str">
        <f>IFERROR(__xludf.DUMMYFUNCTION("""COMPUTED_VALUE"""),"doritabichos@gmail.com")</f>
        <v>doritabichos@gmail.com</v>
      </c>
      <c r="H189" s="65"/>
      <c r="I189" s="65"/>
      <c r="J189" s="65" t="str">
        <f>IFERROR(__xludf.DUMMYFUNCTION("""COMPUTED_VALUE"""),"D001413736")</f>
        <v>D001413736</v>
      </c>
      <c r="K189" s="65" t="str">
        <f>IFERROR(__xludf.DUMMYFUNCTION("""COMPUTED_VALUE"""),"ENTREGADO")</f>
        <v>ENTREGADO</v>
      </c>
      <c r="L189" s="65" t="str">
        <f>IFERROR(__xludf.DUMMYFUNCTION("""COMPUTED_VALUE"""),"CON RECAUDO")</f>
        <v>CON RECAUDO</v>
      </c>
      <c r="M189" s="65" t="str">
        <f>IFERROR(__xludf.DUMMYFUNCTION("""COMPUTED_VALUE"""),"GUAYAS")</f>
        <v>GUAYAS</v>
      </c>
      <c r="N189" s="65" t="str">
        <f>IFERROR(__xludf.DUMMYFUNCTION("""COMPUTED_VALUE"""),"GUAYAQUIL")</f>
        <v>GUAYAQUIL</v>
      </c>
      <c r="O189" s="65" t="str">
        <f>IFERROR(__xludf.DUMMYFUNCTION("""COMPUTED_VALUE"""),"Samanes 3 Manzana 301 villa 29")</f>
        <v>Samanes 3 Manzana 301 villa 29</v>
      </c>
      <c r="P189" s="65"/>
      <c r="Q189" s="65" t="str">
        <f>IFERROR(__xludf.DUMMYFUNCTION("""COMPUTED_VALUE"""),"GINTRACOM")</f>
        <v>GINTRACOM</v>
      </c>
      <c r="R189" s="65">
        <f>IFERROR(__xludf.DUMMYFUNCTION("""COMPUTED_VALUE"""),30.0)</f>
        <v>30</v>
      </c>
      <c r="S189" s="65">
        <f>IFERROR(__xludf.DUMMYFUNCTION("""COMPUTED_VALUE"""),16.79)</f>
        <v>16.79</v>
      </c>
      <c r="T189" s="65">
        <f>IFERROR(__xludf.DUMMYFUNCTION("""COMPUTED_VALUE"""),6.16)</f>
        <v>6.16</v>
      </c>
      <c r="U189" s="65">
        <f>IFERROR(__xludf.DUMMYFUNCTION("""COMPUTED_VALUE"""),0.0)</f>
        <v>0</v>
      </c>
      <c r="V189" s="65">
        <f>IFERROR(__xludf.DUMMYFUNCTION("""COMPUTED_VALUE"""),0.0)</f>
        <v>0</v>
      </c>
      <c r="W189" s="65">
        <f>IFERROR(__xludf.DUMMYFUNCTION("""COMPUTED_VALUE"""),0.0)</f>
        <v>0</v>
      </c>
      <c r="X189" s="65">
        <f>IFERROR(__xludf.DUMMYFUNCTION("""COMPUTED_VALUE"""),2.35)</f>
        <v>2.35</v>
      </c>
      <c r="Y189" s="65">
        <f>IFERROR(__xludf.DUMMYFUNCTION("""COMPUTED_VALUE"""),7.05)</f>
        <v>7.05</v>
      </c>
      <c r="Z189" s="65">
        <f>IFERROR(__xludf.DUMMYFUNCTION("""COMPUTED_VALUE"""),116679.0)</f>
        <v>116679</v>
      </c>
      <c r="AA189" s="65" t="str">
        <f>IFERROR(__xludf.DUMMYFUNCTION("""COMPUTED_VALUE"""),"AMC-2738")</f>
        <v>AMC-2738</v>
      </c>
      <c r="AB189" s="65"/>
      <c r="AC189" s="65" t="str">
        <f>IFERROR(__xludf.DUMMYFUNCTION("""COMPUTED_VALUE"""),"ESPONJA ANTILLUVIA DE PARABRISAS")</f>
        <v>ESPONJA ANTILLUVIA DE PARABRISAS</v>
      </c>
      <c r="AD189" s="65"/>
      <c r="AE189" s="65">
        <f>IFERROR(__xludf.DUMMYFUNCTION("""COMPUTED_VALUE"""),3.0)</f>
        <v>3</v>
      </c>
      <c r="AF189" s="65"/>
      <c r="AG189" s="65"/>
      <c r="AH189" s="65"/>
      <c r="AI189" s="65"/>
      <c r="AJ189" s="65"/>
      <c r="AK189" s="65"/>
      <c r="AL189" s="65"/>
      <c r="AM189" s="65"/>
      <c r="AN189" s="65" t="str">
        <f>IFERROR(__xludf.DUMMYFUNCTION("""COMPUTED_VALUE"""),"11:48")</f>
        <v>11:48</v>
      </c>
      <c r="AO189" s="65" t="str">
        <f>IFERROR(__xludf.DUMMYFUNCTION("""COMPUTED_VALUE"""),"16-03-2026")</f>
        <v>16-03-2026</v>
      </c>
      <c r="AP189" s="65" t="str">
        <f>IFERROR(__xludf.DUMMYFUNCTION("""COMPUTED_VALUE"""),"ENTREGADA GINTRACOM")</f>
        <v>ENTREGADA GINTRACOM</v>
      </c>
      <c r="AQ189" s="65" t="str">
        <f>IFERROR(__xludf.DUMMYFUNCTION("""COMPUTED_VALUE"""),"ENTREGADA GINTRACOM")</f>
        <v>ENTREGADA GINTRACOM</v>
      </c>
      <c r="AR189" s="65"/>
      <c r="AS189" s="65"/>
      <c r="AT189" s="65" t="str">
        <f>IFERROR(__xludf.DUMMYFUNCTION("""COMPUTED_VALUE"""),"SHOPIFY")</f>
        <v>SHOPIFY</v>
      </c>
      <c r="AU189" s="65" t="str">
        <f>IFERROR(__xludf.DUMMYFUNCTION("""COMPUTED_VALUE"""),"IMPORTEX EC")</f>
        <v>IMPORTEX EC</v>
      </c>
      <c r="AV189" s="65" t="str">
        <f>IFERROR(__xludf.DUMMYFUNCTION("""COMPUTED_VALUE"""),"6575011921964")</f>
        <v>6575011921964</v>
      </c>
      <c r="AW189" s="65">
        <f>IFERROR(__xludf.DUMMYFUNCTION("""COMPUTED_VALUE"""),6663.0)</f>
        <v>6663</v>
      </c>
      <c r="AX189" s="65"/>
      <c r="AY189" s="65" t="str">
        <f>IFERROR(__xludf.DUMMYFUNCTION("""COMPUTED_VALUE"""),"14/03/2026")</f>
        <v>14/03/2026</v>
      </c>
      <c r="AZ189" s="65"/>
      <c r="BA189" s="65"/>
    </row>
    <row r="190">
      <c r="A190" s="65" t="str">
        <f>IFERROR(__xludf.DUMMYFUNCTION("""COMPUTED_VALUE"""),"27-03-2026")</f>
        <v>27-03-2026</v>
      </c>
      <c r="B190" s="65">
        <f>IFERROR(__xludf.DUMMYFUNCTION("""COMPUTED_VALUE"""),4784062.0)</f>
        <v>4784062</v>
      </c>
      <c r="C190" s="65" t="str">
        <f>IFERROR(__xludf.DUMMYFUNCTION("""COMPUTED_VALUE"""),"20:22")</f>
        <v>20:22</v>
      </c>
      <c r="D190" s="65" t="str">
        <f>IFERROR(__xludf.DUMMYFUNCTION("""COMPUTED_VALUE"""),"12-03-2026")</f>
        <v>12-03-2026</v>
      </c>
      <c r="E190" s="65" t="str">
        <f>IFERROR(__xludf.DUMMYFUNCTION("""COMPUTED_VALUE"""),"Jeniffer Mendoza")</f>
        <v>Jeniffer Mendoza</v>
      </c>
      <c r="F190" s="65" t="str">
        <f>IFERROR(__xludf.DUMMYFUNCTION("""COMPUTED_VALUE"""),"994756253")</f>
        <v>994756253</v>
      </c>
      <c r="G190" s="65" t="str">
        <f>IFERROR(__xludf.DUMMYFUNCTION("""COMPUTED_VALUE"""),"jeniffermendozamantilla6@gmail.com")</f>
        <v>jeniffermendozamantilla6@gmail.com</v>
      </c>
      <c r="H190" s="65"/>
      <c r="I190" s="65"/>
      <c r="J190" s="65" t="str">
        <f>IFERROR(__xludf.DUMMYFUNCTION("""COMPUTED_VALUE"""),"D001413739")</f>
        <v>D001413739</v>
      </c>
      <c r="K190" s="65" t="str">
        <f>IFERROR(__xludf.DUMMYFUNCTION("""COMPUTED_VALUE"""),"DEVOLUCION")</f>
        <v>DEVOLUCION</v>
      </c>
      <c r="L190" s="65" t="str">
        <f>IFERROR(__xludf.DUMMYFUNCTION("""COMPUTED_VALUE"""),"CON RECAUDO")</f>
        <v>CON RECAUDO</v>
      </c>
      <c r="M190" s="65" t="str">
        <f>IFERROR(__xludf.DUMMYFUNCTION("""COMPUTED_VALUE"""),"GUAYAS")</f>
        <v>GUAYAS</v>
      </c>
      <c r="N190" s="65" t="str">
        <f>IFERROR(__xludf.DUMMYFUNCTION("""COMPUTED_VALUE"""),"GUAYAQUIL")</f>
        <v>GUAYAQUIL</v>
      </c>
      <c r="O190" s="65" t="str">
        <f>IFERROR(__xludf.DUMMYFUNCTION("""COMPUTED_VALUE"""),"Isla trinitaria, coop 29 de Abril,  Mz589 Sl 1 Entrada del comisariato del constructor, trinipurto -")</f>
        <v>Isla trinitaria, coop 29 de Abril,  Mz589 Sl 1 Entrada del comisariato del constructor, trinipurto -</v>
      </c>
      <c r="P190" s="65"/>
      <c r="Q190" s="65" t="str">
        <f>IFERROR(__xludf.DUMMYFUNCTION("""COMPUTED_VALUE"""),"GINTRACOM")</f>
        <v>GINTRACOM</v>
      </c>
      <c r="R190" s="65">
        <f>IFERROR(__xludf.DUMMYFUNCTION("""COMPUTED_VALUE"""),20.0)</f>
        <v>20</v>
      </c>
      <c r="S190" s="65"/>
      <c r="T190" s="65">
        <f>IFERROR(__xludf.DUMMYFUNCTION("""COMPUTED_VALUE"""),5.76)</f>
        <v>5.76</v>
      </c>
      <c r="U190" s="65">
        <f>IFERROR(__xludf.DUMMYFUNCTION("""COMPUTED_VALUE"""),0.0)</f>
        <v>0</v>
      </c>
      <c r="V190" s="65">
        <f>IFERROR(__xludf.DUMMYFUNCTION("""COMPUTED_VALUE"""),0.0)</f>
        <v>0</v>
      </c>
      <c r="W190" s="65">
        <f>IFERROR(__xludf.DUMMYFUNCTION("""COMPUTED_VALUE"""),0.0)</f>
        <v>0</v>
      </c>
      <c r="X190" s="65">
        <f>IFERROR(__xludf.DUMMYFUNCTION("""COMPUTED_VALUE"""),2.35)</f>
        <v>2.35</v>
      </c>
      <c r="Y190" s="65">
        <f>IFERROR(__xludf.DUMMYFUNCTION("""COMPUTED_VALUE"""),2.35)</f>
        <v>2.35</v>
      </c>
      <c r="Z190" s="65">
        <f>IFERROR(__xludf.DUMMYFUNCTION("""COMPUTED_VALUE"""),116679.0)</f>
        <v>116679</v>
      </c>
      <c r="AA190" s="65" t="str">
        <f>IFERROR(__xludf.DUMMYFUNCTION("""COMPUTED_VALUE"""),"AMC-2738")</f>
        <v>AMC-2738</v>
      </c>
      <c r="AB190" s="65"/>
      <c r="AC190" s="65" t="str">
        <f>IFERROR(__xludf.DUMMYFUNCTION("""COMPUTED_VALUE"""),"ESPONJA ANTILLUVIA DE PARABRISAS")</f>
        <v>ESPONJA ANTILLUVIA DE PARABRISAS</v>
      </c>
      <c r="AD190" s="65"/>
      <c r="AE190" s="65">
        <f>IFERROR(__xludf.DUMMYFUNCTION("""COMPUTED_VALUE"""),1.0)</f>
        <v>1</v>
      </c>
      <c r="AF190" s="65" t="str">
        <f>IFERROR(__xludf.DUMMYFUNCTION("""COMPUTED_VALUE"""),"DESTINATARIO NO CONTESTA LLAMADAS NI WHATSAPP")</f>
        <v>DESTINATARIO NO CONTESTA LLAMADAS NI WHATSAPP</v>
      </c>
      <c r="AG190" s="65" t="str">
        <f>IFERROR(__xludf.DUMMYFUNCTION("""COMPUTED_VALUE"""),"NO")</f>
        <v>NO</v>
      </c>
      <c r="AH190" s="65" t="str">
        <f>IFERROR(__xludf.DUMMYFUNCTION("""COMPUTED_VALUE"""),"09:00")</f>
        <v>09:00</v>
      </c>
      <c r="AI190" s="65" t="str">
        <f>IFERROR(__xludf.DUMMYFUNCTION("""COMPUTED_VALUE"""),"24-03-2026")</f>
        <v>24-03-2026</v>
      </c>
      <c r="AJ190" s="65"/>
      <c r="AK190" s="65"/>
      <c r="AL190" s="65"/>
      <c r="AM190" s="65"/>
      <c r="AN190" s="65" t="str">
        <f>IFERROR(__xludf.DUMMYFUNCTION("""COMPUTED_VALUE"""),"03:05")</f>
        <v>03:05</v>
      </c>
      <c r="AO190" s="65" t="str">
        <f>IFERROR(__xludf.DUMMYFUNCTION("""COMPUTED_VALUE"""),"26-03-2026")</f>
        <v>26-03-2026</v>
      </c>
      <c r="AP190" s="65" t="str">
        <f>IFERROR(__xludf.DUMMYFUNCTION("""COMPUTED_VALUE"""),"DEVOLUCIÓN")</f>
        <v>DEVOLUCIÓN</v>
      </c>
      <c r="AQ190" s="65" t="str">
        <f>IFERROR(__xludf.DUMMYFUNCTION("""COMPUTED_VALUE"""),"DEVOLUCIÓN")</f>
        <v>DEVOLUCIÓN</v>
      </c>
      <c r="AR190" s="65"/>
      <c r="AS190" s="65"/>
      <c r="AT190" s="65" t="str">
        <f>IFERROR(__xludf.DUMMYFUNCTION("""COMPUTED_VALUE"""),"SHOPIFY")</f>
        <v>SHOPIFY</v>
      </c>
      <c r="AU190" s="65" t="str">
        <f>IFERROR(__xludf.DUMMYFUNCTION("""COMPUTED_VALUE"""),"IMPORTEX EC")</f>
        <v>IMPORTEX EC</v>
      </c>
      <c r="AV190" s="65" t="str">
        <f>IFERROR(__xludf.DUMMYFUNCTION("""COMPUTED_VALUE"""),"6574761017388")</f>
        <v>6574761017388</v>
      </c>
      <c r="AW190" s="65">
        <f>IFERROR(__xludf.DUMMYFUNCTION("""COMPUTED_VALUE"""),6662.0)</f>
        <v>6662</v>
      </c>
      <c r="AX190" s="65"/>
      <c r="AY190" s="65" t="str">
        <f>IFERROR(__xludf.DUMMYFUNCTION("""COMPUTED_VALUE"""),"14/03/2026")</f>
        <v>14/03/2026</v>
      </c>
      <c r="AZ190" s="65"/>
      <c r="BA190" s="65"/>
    </row>
    <row r="191">
      <c r="A191" s="65" t="str">
        <f>IFERROR(__xludf.DUMMYFUNCTION("""COMPUTED_VALUE"""),"27-03-2026")</f>
        <v>27-03-2026</v>
      </c>
      <c r="B191" s="65">
        <f>IFERROR(__xludf.DUMMYFUNCTION("""COMPUTED_VALUE"""),4783095.0)</f>
        <v>4783095</v>
      </c>
      <c r="C191" s="65" t="str">
        <f>IFERROR(__xludf.DUMMYFUNCTION("""COMPUTED_VALUE"""),"18:18")</f>
        <v>18:18</v>
      </c>
      <c r="D191" s="65" t="str">
        <f>IFERROR(__xludf.DUMMYFUNCTION("""COMPUTED_VALUE"""),"12-03-2026")</f>
        <v>12-03-2026</v>
      </c>
      <c r="E191" s="65" t="str">
        <f>IFERROR(__xludf.DUMMYFUNCTION("""COMPUTED_VALUE"""),"Marco Galarza")</f>
        <v>Marco Galarza</v>
      </c>
      <c r="F191" s="65" t="str">
        <f>IFERROR(__xludf.DUMMYFUNCTION("""COMPUTED_VALUE"""),"991670735")</f>
        <v>991670735</v>
      </c>
      <c r="G191" s="65" t="str">
        <f>IFERROR(__xludf.DUMMYFUNCTION("""COMPUTED_VALUE"""),"marcogalarza1986@gmail.com")</f>
        <v>marcogalarza1986@gmail.com</v>
      </c>
      <c r="H191" s="65"/>
      <c r="I191" s="65"/>
      <c r="J191" s="65" t="str">
        <f>IFERROR(__xludf.DUMMYFUNCTION("""COMPUTED_VALUE"""),"D001413741")</f>
        <v>D001413741</v>
      </c>
      <c r="K191" s="65" t="str">
        <f>IFERROR(__xludf.DUMMYFUNCTION("""COMPUTED_VALUE"""),"ENTREGADO")</f>
        <v>ENTREGADO</v>
      </c>
      <c r="L191" s="65" t="str">
        <f>IFERROR(__xludf.DUMMYFUNCTION("""COMPUTED_VALUE"""),"CON RECAUDO")</f>
        <v>CON RECAUDO</v>
      </c>
      <c r="M191" s="65" t="str">
        <f>IFERROR(__xludf.DUMMYFUNCTION("""COMPUTED_VALUE"""),"TUNGURAHUA")</f>
        <v>TUNGURAHUA</v>
      </c>
      <c r="N191" s="65" t="str">
        <f>IFERROR(__xludf.DUMMYFUNCTION("""COMPUTED_VALUE"""),"AMBATO")</f>
        <v>AMBATO</v>
      </c>
      <c r="O191" s="65" t="str">
        <f>IFERROR(__xludf.DUMMYFUNCTION("""COMPUTED_VALUE"""),"Calle Cacique Alvares y Fray Juan Maria Ormaza - Embutidos LLapin")</f>
        <v>Calle Cacique Alvares y Fray Juan Maria Ormaza - Embutidos LLapin</v>
      </c>
      <c r="P191" s="65"/>
      <c r="Q191" s="65" t="str">
        <f>IFERROR(__xludf.DUMMYFUNCTION("""COMPUTED_VALUE"""),"GINTRACOM")</f>
        <v>GINTRACOM</v>
      </c>
      <c r="R191" s="65">
        <f>IFERROR(__xludf.DUMMYFUNCTION("""COMPUTED_VALUE"""),25.0)</f>
        <v>25</v>
      </c>
      <c r="S191" s="65">
        <f>IFERROR(__xludf.DUMMYFUNCTION("""COMPUTED_VALUE"""),14.34)</f>
        <v>14.34</v>
      </c>
      <c r="T191" s="65">
        <f>IFERROR(__xludf.DUMMYFUNCTION("""COMPUTED_VALUE"""),5.96)</f>
        <v>5.96</v>
      </c>
      <c r="U191" s="65">
        <f>IFERROR(__xludf.DUMMYFUNCTION("""COMPUTED_VALUE"""),0.0)</f>
        <v>0</v>
      </c>
      <c r="V191" s="65">
        <f>IFERROR(__xludf.DUMMYFUNCTION("""COMPUTED_VALUE"""),0.0)</f>
        <v>0</v>
      </c>
      <c r="W191" s="65">
        <f>IFERROR(__xludf.DUMMYFUNCTION("""COMPUTED_VALUE"""),0.0)</f>
        <v>0</v>
      </c>
      <c r="X191" s="65">
        <f>IFERROR(__xludf.DUMMYFUNCTION("""COMPUTED_VALUE"""),2.35)</f>
        <v>2.35</v>
      </c>
      <c r="Y191" s="65">
        <f>IFERROR(__xludf.DUMMYFUNCTION("""COMPUTED_VALUE"""),4.7)</f>
        <v>4.7</v>
      </c>
      <c r="Z191" s="65">
        <f>IFERROR(__xludf.DUMMYFUNCTION("""COMPUTED_VALUE"""),116679.0)</f>
        <v>116679</v>
      </c>
      <c r="AA191" s="65" t="str">
        <f>IFERROR(__xludf.DUMMYFUNCTION("""COMPUTED_VALUE"""),"AMC-2738")</f>
        <v>AMC-2738</v>
      </c>
      <c r="AB191" s="65"/>
      <c r="AC191" s="65" t="str">
        <f>IFERROR(__xludf.DUMMYFUNCTION("""COMPUTED_VALUE"""),"ESPONJA ANTILLUVIA DE PARABRISAS")</f>
        <v>ESPONJA ANTILLUVIA DE PARABRISAS</v>
      </c>
      <c r="AD191" s="65"/>
      <c r="AE191" s="65">
        <f>IFERROR(__xludf.DUMMYFUNCTION("""COMPUTED_VALUE"""),2.0)</f>
        <v>2</v>
      </c>
      <c r="AF191" s="65"/>
      <c r="AG191" s="65"/>
      <c r="AH191" s="65"/>
      <c r="AI191" s="65"/>
      <c r="AJ191" s="65"/>
      <c r="AK191" s="65"/>
      <c r="AL191" s="65"/>
      <c r="AM191" s="65"/>
      <c r="AN191" s="65" t="str">
        <f>IFERROR(__xludf.DUMMYFUNCTION("""COMPUTED_VALUE"""),"14:39")</f>
        <v>14:39</v>
      </c>
      <c r="AO191" s="65" t="str">
        <f>IFERROR(__xludf.DUMMYFUNCTION("""COMPUTED_VALUE"""),"16-03-2026")</f>
        <v>16-03-2026</v>
      </c>
      <c r="AP191" s="65" t="str">
        <f>IFERROR(__xludf.DUMMYFUNCTION("""COMPUTED_VALUE"""),"ENTREGADA GINTRACOM")</f>
        <v>ENTREGADA GINTRACOM</v>
      </c>
      <c r="AQ191" s="65" t="str">
        <f>IFERROR(__xludf.DUMMYFUNCTION("""COMPUTED_VALUE"""),"ENTREGADA GINTRACOM")</f>
        <v>ENTREGADA GINTRACOM</v>
      </c>
      <c r="AR191" s="65"/>
      <c r="AS191" s="65"/>
      <c r="AT191" s="65" t="str">
        <f>IFERROR(__xludf.DUMMYFUNCTION("""COMPUTED_VALUE"""),"SHOPIFY")</f>
        <v>SHOPIFY</v>
      </c>
      <c r="AU191" s="65" t="str">
        <f>IFERROR(__xludf.DUMMYFUNCTION("""COMPUTED_VALUE"""),"IMPORTEX EC")</f>
        <v>IMPORTEX EC</v>
      </c>
      <c r="AV191" s="65" t="str">
        <f>IFERROR(__xludf.DUMMYFUNCTION("""COMPUTED_VALUE"""),"6574534262828")</f>
        <v>6574534262828</v>
      </c>
      <c r="AW191" s="65">
        <f>IFERROR(__xludf.DUMMYFUNCTION("""COMPUTED_VALUE"""),6660.0)</f>
        <v>6660</v>
      </c>
      <c r="AX191" s="65"/>
      <c r="AY191" s="65" t="str">
        <f>IFERROR(__xludf.DUMMYFUNCTION("""COMPUTED_VALUE"""),"14/03/2026")</f>
        <v>14/03/2026</v>
      </c>
      <c r="AZ191" s="65"/>
      <c r="BA191" s="65"/>
    </row>
    <row r="192">
      <c r="A192" s="65" t="str">
        <f>IFERROR(__xludf.DUMMYFUNCTION("""COMPUTED_VALUE"""),"27-03-2026")</f>
        <v>27-03-2026</v>
      </c>
      <c r="B192" s="65">
        <f>IFERROR(__xludf.DUMMYFUNCTION("""COMPUTED_VALUE"""),4782914.0)</f>
        <v>4782914</v>
      </c>
      <c r="C192" s="65" t="str">
        <f>IFERROR(__xludf.DUMMYFUNCTION("""COMPUTED_VALUE"""),"17:57")</f>
        <v>17:57</v>
      </c>
      <c r="D192" s="65" t="str">
        <f>IFERROR(__xludf.DUMMYFUNCTION("""COMPUTED_VALUE"""),"12-03-2026")</f>
        <v>12-03-2026</v>
      </c>
      <c r="E192" s="65" t="str">
        <f>IFERROR(__xludf.DUMMYFUNCTION("""COMPUTED_VALUE"""),"Javier Pilco")</f>
        <v>Javier Pilco</v>
      </c>
      <c r="F192" s="65" t="str">
        <f>IFERROR(__xludf.DUMMYFUNCTION("""COMPUTED_VALUE"""),"992840596")</f>
        <v>992840596</v>
      </c>
      <c r="G192" s="65" t="str">
        <f>IFERROR(__xludf.DUMMYFUNCTION("""COMPUTED_VALUE"""),"pilcojavier@hotmail.com")</f>
        <v>pilcojavier@hotmail.com</v>
      </c>
      <c r="H192" s="65"/>
      <c r="I192" s="65"/>
      <c r="J192" s="65"/>
      <c r="K192" s="65" t="str">
        <f>IFERROR(__xludf.DUMMYFUNCTION("""COMPUTED_VALUE"""),"PENDIENTE CONFIRMACION")</f>
        <v>PENDIENTE CONFIRMACION</v>
      </c>
      <c r="L192" s="65" t="str">
        <f>IFERROR(__xludf.DUMMYFUNCTION("""COMPUTED_VALUE"""),"CON RECAUDO")</f>
        <v>CON RECAUDO</v>
      </c>
      <c r="M192" s="65" t="str">
        <f>IFERROR(__xludf.DUMMYFUNCTION("""COMPUTED_VALUE"""),"NAPO")</f>
        <v>NAPO</v>
      </c>
      <c r="N192" s="65" t="str">
        <f>IFERROR(__xludf.DUMMYFUNCTION("""COMPUTED_VALUE"""),"ARCHIDONA")</f>
        <v>ARCHIDONA</v>
      </c>
      <c r="O192" s="65" t="str">
        <f>IFERROR(__xludf.DUMMYFUNCTION("""COMPUTED_VALUE"""),"Archidona Frente a la guarderia -")</f>
        <v>Archidona Frente a la guarderia -</v>
      </c>
      <c r="P192" s="65"/>
      <c r="Q192" s="65" t="str">
        <f>IFERROR(__xludf.DUMMYFUNCTION("""COMPUTED_VALUE"""),"GINTRACOM")</f>
        <v>GINTRACOM</v>
      </c>
      <c r="R192" s="65">
        <f>IFERROR(__xludf.DUMMYFUNCTION("""COMPUTED_VALUE"""),30.0)</f>
        <v>30</v>
      </c>
      <c r="S192" s="65"/>
      <c r="T192" s="65">
        <f>IFERROR(__xludf.DUMMYFUNCTION("""COMPUTED_VALUE"""),6.73)</f>
        <v>6.73</v>
      </c>
      <c r="U192" s="65">
        <f>IFERROR(__xludf.DUMMYFUNCTION("""COMPUTED_VALUE"""),0.0)</f>
        <v>0</v>
      </c>
      <c r="V192" s="65">
        <f>IFERROR(__xludf.DUMMYFUNCTION("""COMPUTED_VALUE"""),0.0)</f>
        <v>0</v>
      </c>
      <c r="W192" s="65">
        <f>IFERROR(__xludf.DUMMYFUNCTION("""COMPUTED_VALUE"""),0.0)</f>
        <v>0</v>
      </c>
      <c r="X192" s="65">
        <f>IFERROR(__xludf.DUMMYFUNCTION("""COMPUTED_VALUE"""),2.35)</f>
        <v>2.35</v>
      </c>
      <c r="Y192" s="65">
        <f>IFERROR(__xludf.DUMMYFUNCTION("""COMPUTED_VALUE"""),7.05)</f>
        <v>7.05</v>
      </c>
      <c r="Z192" s="65">
        <f>IFERROR(__xludf.DUMMYFUNCTION("""COMPUTED_VALUE"""),116679.0)</f>
        <v>116679</v>
      </c>
      <c r="AA192" s="65" t="str">
        <f>IFERROR(__xludf.DUMMYFUNCTION("""COMPUTED_VALUE"""),"AMC-2738")</f>
        <v>AMC-2738</v>
      </c>
      <c r="AB192" s="65"/>
      <c r="AC192" s="65" t="str">
        <f>IFERROR(__xludf.DUMMYFUNCTION("""COMPUTED_VALUE"""),"ESPONJA ANTILLUVIA DE PARABRISAS")</f>
        <v>ESPONJA ANTILLUVIA DE PARABRISAS</v>
      </c>
      <c r="AD192" s="65"/>
      <c r="AE192" s="65">
        <f>IFERROR(__xludf.DUMMYFUNCTION("""COMPUTED_VALUE"""),3.0)</f>
        <v>3</v>
      </c>
      <c r="AF192" s="65"/>
      <c r="AG192" s="65"/>
      <c r="AH192" s="65"/>
      <c r="AI192" s="65"/>
      <c r="AJ192" s="65"/>
      <c r="AK192" s="65"/>
      <c r="AL192" s="65"/>
      <c r="AM192" s="65"/>
      <c r="AN192" s="65"/>
      <c r="AO192" s="65"/>
      <c r="AP192" s="65"/>
      <c r="AQ192" s="65"/>
      <c r="AR192" s="65"/>
      <c r="AS192" s="65"/>
      <c r="AT192" s="65" t="str">
        <f>IFERROR(__xludf.DUMMYFUNCTION("""COMPUTED_VALUE"""),"SHOPIFY")</f>
        <v>SHOPIFY</v>
      </c>
      <c r="AU192" s="65" t="str">
        <f>IFERROR(__xludf.DUMMYFUNCTION("""COMPUTED_VALUE"""),"IMPORTEX EC")</f>
        <v>IMPORTEX EC</v>
      </c>
      <c r="AV192" s="65" t="str">
        <f>IFERROR(__xludf.DUMMYFUNCTION("""COMPUTED_VALUE"""),"6574488584236")</f>
        <v>6574488584236</v>
      </c>
      <c r="AW192" s="65">
        <f>IFERROR(__xludf.DUMMYFUNCTION("""COMPUTED_VALUE"""),6659.0)</f>
        <v>6659</v>
      </c>
      <c r="AX192" s="65"/>
      <c r="AY192" s="65"/>
      <c r="AZ192" s="65"/>
      <c r="BA192" s="65"/>
    </row>
    <row r="193">
      <c r="A193" s="65" t="str">
        <f>IFERROR(__xludf.DUMMYFUNCTION("""COMPUTED_VALUE"""),"27-03-2026")</f>
        <v>27-03-2026</v>
      </c>
      <c r="B193" s="65">
        <f>IFERROR(__xludf.DUMMYFUNCTION("""COMPUTED_VALUE"""),4782624.0)</f>
        <v>4782624</v>
      </c>
      <c r="C193" s="65" t="str">
        <f>IFERROR(__xludf.DUMMYFUNCTION("""COMPUTED_VALUE"""),"17:25")</f>
        <v>17:25</v>
      </c>
      <c r="D193" s="65" t="str">
        <f>IFERROR(__xludf.DUMMYFUNCTION("""COMPUTED_VALUE"""),"12-03-2026")</f>
        <v>12-03-2026</v>
      </c>
      <c r="E193" s="65" t="str">
        <f>IFERROR(__xludf.DUMMYFUNCTION("""COMPUTED_VALUE"""),"Jorge Delgado")</f>
        <v>Jorge Delgado</v>
      </c>
      <c r="F193" s="65" t="str">
        <f>IFERROR(__xludf.DUMMYFUNCTION("""COMPUTED_VALUE"""),"994329091")</f>
        <v>994329091</v>
      </c>
      <c r="G193" s="65" t="str">
        <f>IFERROR(__xludf.DUMMYFUNCTION("""COMPUTED_VALUE"""),"jlcomelon1986@hotmail.com")</f>
        <v>jlcomelon1986@hotmail.com</v>
      </c>
      <c r="H193" s="65"/>
      <c r="I193" s="65"/>
      <c r="J193" s="65"/>
      <c r="K193" s="65" t="str">
        <f>IFERROR(__xludf.DUMMYFUNCTION("""COMPUTED_VALUE"""),"PENDIENTE CONFIRMACION")</f>
        <v>PENDIENTE CONFIRMACION</v>
      </c>
      <c r="L193" s="65" t="str">
        <f>IFERROR(__xludf.DUMMYFUNCTION("""COMPUTED_VALUE"""),"CON RECAUDO")</f>
        <v>CON RECAUDO</v>
      </c>
      <c r="M193" s="65" t="str">
        <f>IFERROR(__xludf.DUMMYFUNCTION("""COMPUTED_VALUE"""),"MANABI")</f>
        <v>MANABI</v>
      </c>
      <c r="N193" s="65" t="str">
        <f>IFERROR(__xludf.DUMMYFUNCTION("""COMPUTED_VALUE"""),"MANTA")</f>
        <v>MANTA</v>
      </c>
      <c r="O193" s="65" t="str">
        <f>IFERROR(__xludf.DUMMYFUNCTION("""COMPUTED_VALUE"""),"Calle 312 Avenida 214 -")</f>
        <v>Calle 312 Avenida 214 -</v>
      </c>
      <c r="P193" s="65"/>
      <c r="Q193" s="65" t="str">
        <f>IFERROR(__xludf.DUMMYFUNCTION("""COMPUTED_VALUE"""),"GINTRACOM")</f>
        <v>GINTRACOM</v>
      </c>
      <c r="R193" s="65">
        <f>IFERROR(__xludf.DUMMYFUNCTION("""COMPUTED_VALUE"""),20.0)</f>
        <v>20</v>
      </c>
      <c r="S193" s="65"/>
      <c r="T193" s="65">
        <f>IFERROR(__xludf.DUMMYFUNCTION("""COMPUTED_VALUE"""),5.76)</f>
        <v>5.76</v>
      </c>
      <c r="U193" s="65">
        <f>IFERROR(__xludf.DUMMYFUNCTION("""COMPUTED_VALUE"""),0.0)</f>
        <v>0</v>
      </c>
      <c r="V193" s="65">
        <f>IFERROR(__xludf.DUMMYFUNCTION("""COMPUTED_VALUE"""),0.0)</f>
        <v>0</v>
      </c>
      <c r="W193" s="65">
        <f>IFERROR(__xludf.DUMMYFUNCTION("""COMPUTED_VALUE"""),0.0)</f>
        <v>0</v>
      </c>
      <c r="X193" s="65">
        <f>IFERROR(__xludf.DUMMYFUNCTION("""COMPUTED_VALUE"""),2.35)</f>
        <v>2.35</v>
      </c>
      <c r="Y193" s="65">
        <f>IFERROR(__xludf.DUMMYFUNCTION("""COMPUTED_VALUE"""),2.35)</f>
        <v>2.35</v>
      </c>
      <c r="Z193" s="65">
        <f>IFERROR(__xludf.DUMMYFUNCTION("""COMPUTED_VALUE"""),116679.0)</f>
        <v>116679</v>
      </c>
      <c r="AA193" s="65" t="str">
        <f>IFERROR(__xludf.DUMMYFUNCTION("""COMPUTED_VALUE"""),"AMC-2738")</f>
        <v>AMC-2738</v>
      </c>
      <c r="AB193" s="65"/>
      <c r="AC193" s="65" t="str">
        <f>IFERROR(__xludf.DUMMYFUNCTION("""COMPUTED_VALUE"""),"ESPONJA ANTILLUVIA DE PARABRISAS")</f>
        <v>ESPONJA ANTILLUVIA DE PARABRISAS</v>
      </c>
      <c r="AD193" s="65"/>
      <c r="AE193" s="65">
        <f>IFERROR(__xludf.DUMMYFUNCTION("""COMPUTED_VALUE"""),1.0)</f>
        <v>1</v>
      </c>
      <c r="AF193" s="65"/>
      <c r="AG193" s="65"/>
      <c r="AH193" s="65"/>
      <c r="AI193" s="65"/>
      <c r="AJ193" s="65"/>
      <c r="AK193" s="65"/>
      <c r="AL193" s="65"/>
      <c r="AM193" s="65"/>
      <c r="AN193" s="65"/>
      <c r="AO193" s="65"/>
      <c r="AP193" s="65"/>
      <c r="AQ193" s="65"/>
      <c r="AR193" s="65"/>
      <c r="AS193" s="65"/>
      <c r="AT193" s="65" t="str">
        <f>IFERROR(__xludf.DUMMYFUNCTION("""COMPUTED_VALUE"""),"SHOPIFY")</f>
        <v>SHOPIFY</v>
      </c>
      <c r="AU193" s="65" t="str">
        <f>IFERROR(__xludf.DUMMYFUNCTION("""COMPUTED_VALUE"""),"IMPORTEX EC")</f>
        <v>IMPORTEX EC</v>
      </c>
      <c r="AV193" s="65" t="str">
        <f>IFERROR(__xludf.DUMMYFUNCTION("""COMPUTED_VALUE"""),"6574424227884")</f>
        <v>6574424227884</v>
      </c>
      <c r="AW193" s="65">
        <f>IFERROR(__xludf.DUMMYFUNCTION("""COMPUTED_VALUE"""),6658.0)</f>
        <v>6658</v>
      </c>
      <c r="AX193" s="65"/>
      <c r="AY193" s="65"/>
      <c r="AZ193" s="65"/>
      <c r="BA193" s="65"/>
    </row>
    <row r="194">
      <c r="A194" s="65" t="str">
        <f>IFERROR(__xludf.DUMMYFUNCTION("""COMPUTED_VALUE"""),"27-03-2026")</f>
        <v>27-03-2026</v>
      </c>
      <c r="B194" s="65">
        <f>IFERROR(__xludf.DUMMYFUNCTION("""COMPUTED_VALUE"""),4782582.0)</f>
        <v>4782582</v>
      </c>
      <c r="C194" s="65" t="str">
        <f>IFERROR(__xludf.DUMMYFUNCTION("""COMPUTED_VALUE"""),"17:20")</f>
        <v>17:20</v>
      </c>
      <c r="D194" s="65" t="str">
        <f>IFERROR(__xludf.DUMMYFUNCTION("""COMPUTED_VALUE"""),"12-03-2026")</f>
        <v>12-03-2026</v>
      </c>
      <c r="E194" s="65" t="str">
        <f>IFERROR(__xludf.DUMMYFUNCTION("""COMPUTED_VALUE"""),"Juan Farez")</f>
        <v>Juan Farez</v>
      </c>
      <c r="F194" s="65" t="str">
        <f>IFERROR(__xludf.DUMMYFUNCTION("""COMPUTED_VALUE"""),"986255591")</f>
        <v>986255591</v>
      </c>
      <c r="G194" s="65" t="str">
        <f>IFERROR(__xludf.DUMMYFUNCTION("""COMPUTED_VALUE"""),"juan21farez@gmail.com")</f>
        <v>juan21farez@gmail.com</v>
      </c>
      <c r="H194" s="65"/>
      <c r="I194" s="65"/>
      <c r="J194" s="65" t="str">
        <f>IFERROR(__xludf.DUMMYFUNCTION("""COMPUTED_VALUE"""),"D001413742")</f>
        <v>D001413742</v>
      </c>
      <c r="K194" s="65" t="str">
        <f>IFERROR(__xludf.DUMMYFUNCTION("""COMPUTED_VALUE"""),"ENTREGADO")</f>
        <v>ENTREGADO</v>
      </c>
      <c r="L194" s="65" t="str">
        <f>IFERROR(__xludf.DUMMYFUNCTION("""COMPUTED_VALUE"""),"CON RECAUDO")</f>
        <v>CON RECAUDO</v>
      </c>
      <c r="M194" s="65" t="str">
        <f>IFERROR(__xludf.DUMMYFUNCTION("""COMPUTED_VALUE"""),"AZUAY")</f>
        <v>AZUAY</v>
      </c>
      <c r="N194" s="65" t="str">
        <f>IFERROR(__xludf.DUMMYFUNCTION("""COMPUTED_VALUE"""),"CUENCA")</f>
        <v>CUENCA</v>
      </c>
      <c r="O194" s="65" t="str">
        <f>IFERROR(__xludf.DUMMYFUNCTION("""COMPUTED_VALUE"""),"Guadalajara y Autopista Cuenca-Azogues Cancha CintÉtica Gol ManÍa/ Frente Al Condominio Salmed Y Diagonal Al Colegio Latinoamericano -")</f>
        <v>Guadalajara y Autopista Cuenca-Azogues Cancha CintÉtica Gol ManÍa/ Frente Al Condominio Salmed Y Diagonal Al Colegio Latinoamericano -</v>
      </c>
      <c r="P194" s="65"/>
      <c r="Q194" s="65" t="str">
        <f>IFERROR(__xludf.DUMMYFUNCTION("""COMPUTED_VALUE"""),"GINTRACOM")</f>
        <v>GINTRACOM</v>
      </c>
      <c r="R194" s="65">
        <f>IFERROR(__xludf.DUMMYFUNCTION("""COMPUTED_VALUE"""),20.0)</f>
        <v>20</v>
      </c>
      <c r="S194" s="65">
        <f>IFERROR(__xludf.DUMMYFUNCTION("""COMPUTED_VALUE"""),11.89)</f>
        <v>11.89</v>
      </c>
      <c r="T194" s="65">
        <f>IFERROR(__xludf.DUMMYFUNCTION("""COMPUTED_VALUE"""),5.76)</f>
        <v>5.76</v>
      </c>
      <c r="U194" s="65">
        <f>IFERROR(__xludf.DUMMYFUNCTION("""COMPUTED_VALUE"""),0.0)</f>
        <v>0</v>
      </c>
      <c r="V194" s="65">
        <f>IFERROR(__xludf.DUMMYFUNCTION("""COMPUTED_VALUE"""),0.0)</f>
        <v>0</v>
      </c>
      <c r="W194" s="65">
        <f>IFERROR(__xludf.DUMMYFUNCTION("""COMPUTED_VALUE"""),0.0)</f>
        <v>0</v>
      </c>
      <c r="X194" s="65">
        <f>IFERROR(__xludf.DUMMYFUNCTION("""COMPUTED_VALUE"""),2.35)</f>
        <v>2.35</v>
      </c>
      <c r="Y194" s="65">
        <f>IFERROR(__xludf.DUMMYFUNCTION("""COMPUTED_VALUE"""),2.35)</f>
        <v>2.35</v>
      </c>
      <c r="Z194" s="65">
        <f>IFERROR(__xludf.DUMMYFUNCTION("""COMPUTED_VALUE"""),116679.0)</f>
        <v>116679</v>
      </c>
      <c r="AA194" s="65" t="str">
        <f>IFERROR(__xludf.DUMMYFUNCTION("""COMPUTED_VALUE"""),"AMC-2738")</f>
        <v>AMC-2738</v>
      </c>
      <c r="AB194" s="65"/>
      <c r="AC194" s="65" t="str">
        <f>IFERROR(__xludf.DUMMYFUNCTION("""COMPUTED_VALUE"""),"ESPONJA ANTILLUVIA DE PARABRISAS")</f>
        <v>ESPONJA ANTILLUVIA DE PARABRISAS</v>
      </c>
      <c r="AD194" s="65"/>
      <c r="AE194" s="65">
        <f>IFERROR(__xludf.DUMMYFUNCTION("""COMPUTED_VALUE"""),1.0)</f>
        <v>1</v>
      </c>
      <c r="AF194" s="65"/>
      <c r="AG194" s="65"/>
      <c r="AH194" s="65"/>
      <c r="AI194" s="65"/>
      <c r="AJ194" s="65"/>
      <c r="AK194" s="65"/>
      <c r="AL194" s="65"/>
      <c r="AM194" s="65"/>
      <c r="AN194" s="65" t="str">
        <f>IFERROR(__xludf.DUMMYFUNCTION("""COMPUTED_VALUE"""),"16:44")</f>
        <v>16:44</v>
      </c>
      <c r="AO194" s="65" t="str">
        <f>IFERROR(__xludf.DUMMYFUNCTION("""COMPUTED_VALUE"""),"16-03-2026")</f>
        <v>16-03-2026</v>
      </c>
      <c r="AP194" s="65" t="str">
        <f>IFERROR(__xludf.DUMMYFUNCTION("""COMPUTED_VALUE"""),"ENTREGADA GINTRACOM")</f>
        <v>ENTREGADA GINTRACOM</v>
      </c>
      <c r="AQ194" s="65" t="str">
        <f>IFERROR(__xludf.DUMMYFUNCTION("""COMPUTED_VALUE"""),"ENTREGADA GINTRACOM")</f>
        <v>ENTREGADA GINTRACOM</v>
      </c>
      <c r="AR194" s="65"/>
      <c r="AS194" s="65"/>
      <c r="AT194" s="65" t="str">
        <f>IFERROR(__xludf.DUMMYFUNCTION("""COMPUTED_VALUE"""),"SHOPIFY")</f>
        <v>SHOPIFY</v>
      </c>
      <c r="AU194" s="65" t="str">
        <f>IFERROR(__xludf.DUMMYFUNCTION("""COMPUTED_VALUE"""),"IMPORTEX EC")</f>
        <v>IMPORTEX EC</v>
      </c>
      <c r="AV194" s="65" t="str">
        <f>IFERROR(__xludf.DUMMYFUNCTION("""COMPUTED_VALUE"""),"6574415642668")</f>
        <v>6574415642668</v>
      </c>
      <c r="AW194" s="65">
        <f>IFERROR(__xludf.DUMMYFUNCTION("""COMPUTED_VALUE"""),6657.0)</f>
        <v>6657</v>
      </c>
      <c r="AX194" s="65"/>
      <c r="AY194" s="65" t="str">
        <f>IFERROR(__xludf.DUMMYFUNCTION("""COMPUTED_VALUE"""),"14/03/2026")</f>
        <v>14/03/2026</v>
      </c>
      <c r="AZ194" s="65"/>
      <c r="BA194" s="65"/>
    </row>
    <row r="195">
      <c r="A195" s="65" t="str">
        <f>IFERROR(__xludf.DUMMYFUNCTION("""COMPUTED_VALUE"""),"27-03-2026")</f>
        <v>27-03-2026</v>
      </c>
      <c r="B195" s="65">
        <f>IFERROR(__xludf.DUMMYFUNCTION("""COMPUTED_VALUE"""),4782062.0)</f>
        <v>4782062</v>
      </c>
      <c r="C195" s="65" t="str">
        <f>IFERROR(__xludf.DUMMYFUNCTION("""COMPUTED_VALUE"""),"16:27")</f>
        <v>16:27</v>
      </c>
      <c r="D195" s="65" t="str">
        <f>IFERROR(__xludf.DUMMYFUNCTION("""COMPUTED_VALUE"""),"12-03-2026")</f>
        <v>12-03-2026</v>
      </c>
      <c r="E195" s="65" t="str">
        <f>IFERROR(__xludf.DUMMYFUNCTION("""COMPUTED_VALUE"""),"Bertha Balladares Bazurto")</f>
        <v>Bertha Balladares Bazurto</v>
      </c>
      <c r="F195" s="65" t="str">
        <f>IFERROR(__xludf.DUMMYFUNCTION("""COMPUTED_VALUE"""),"982031790")</f>
        <v>982031790</v>
      </c>
      <c r="G195" s="65" t="str">
        <f>IFERROR(__xludf.DUMMYFUNCTION("""COMPUTED_VALUE"""),"bibbngnegris69@gmail.com")</f>
        <v>bibbngnegris69@gmail.com</v>
      </c>
      <c r="H195" s="65"/>
      <c r="I195" s="65"/>
      <c r="J195" s="65" t="str">
        <f>IFERROR(__xludf.DUMMYFUNCTION("""COMPUTED_VALUE"""),"LC53097584")</f>
        <v>LC53097584</v>
      </c>
      <c r="K195" s="65" t="str">
        <f>IFERROR(__xludf.DUMMYFUNCTION("""COMPUTED_VALUE"""),"ENTREGADO")</f>
        <v>ENTREGADO</v>
      </c>
      <c r="L195" s="65" t="str">
        <f>IFERROR(__xludf.DUMMYFUNCTION("""COMPUTED_VALUE"""),"CON RECAUDO")</f>
        <v>CON RECAUDO</v>
      </c>
      <c r="M195" s="65" t="str">
        <f>IFERROR(__xludf.DUMMYFUNCTION("""COMPUTED_VALUE"""),"SANTO DOMINGO DE LOS TSACHILAS")</f>
        <v>SANTO DOMINGO DE LOS TSACHILAS</v>
      </c>
      <c r="N195" s="65" t="str">
        <f>IFERROR(__xludf.DUMMYFUNCTION("""COMPUTED_VALUE"""),"MONTERREY")</f>
        <v>MONTERREY</v>
      </c>
      <c r="O195" s="65" t="str">
        <f>IFERROR(__xludf.DUMMYFUNCTION("""COMPUTED_VALUE"""),"Av. Coronel Galo Andrade Y Calle 10,  A los lados de Fashion Store - Panadería Monterrey")</f>
        <v>Av. Coronel Galo Andrade Y Calle 10,  A los lados de Fashion Store - Panadería Monterrey</v>
      </c>
      <c r="P195" s="65"/>
      <c r="Q195" s="65" t="str">
        <f>IFERROR(__xludf.DUMMYFUNCTION("""COMPUTED_VALUE"""),"LAARCOURIER")</f>
        <v>LAARCOURIER</v>
      </c>
      <c r="R195" s="65">
        <f>IFERROR(__xludf.DUMMYFUNCTION("""COMPUTED_VALUE"""),20.0)</f>
        <v>20</v>
      </c>
      <c r="S195" s="65">
        <f>IFERROR(__xludf.DUMMYFUNCTION("""COMPUTED_VALUE"""),10.97)</f>
        <v>10.97</v>
      </c>
      <c r="T195" s="65">
        <f>IFERROR(__xludf.DUMMYFUNCTION("""COMPUTED_VALUE"""),6.68)</f>
        <v>6.68</v>
      </c>
      <c r="U195" s="65">
        <f>IFERROR(__xludf.DUMMYFUNCTION("""COMPUTED_VALUE"""),0.0)</f>
        <v>0</v>
      </c>
      <c r="V195" s="65">
        <f>IFERROR(__xludf.DUMMYFUNCTION("""COMPUTED_VALUE"""),0.0)</f>
        <v>0</v>
      </c>
      <c r="W195" s="65">
        <f>IFERROR(__xludf.DUMMYFUNCTION("""COMPUTED_VALUE"""),0.0)</f>
        <v>0</v>
      </c>
      <c r="X195" s="65">
        <f>IFERROR(__xludf.DUMMYFUNCTION("""COMPUTED_VALUE"""),2.35)</f>
        <v>2.35</v>
      </c>
      <c r="Y195" s="65">
        <f>IFERROR(__xludf.DUMMYFUNCTION("""COMPUTED_VALUE"""),2.35)</f>
        <v>2.35</v>
      </c>
      <c r="Z195" s="65">
        <f>IFERROR(__xludf.DUMMYFUNCTION("""COMPUTED_VALUE"""),116679.0)</f>
        <v>116679</v>
      </c>
      <c r="AA195" s="65" t="str">
        <f>IFERROR(__xludf.DUMMYFUNCTION("""COMPUTED_VALUE"""),"AMC-2738")</f>
        <v>AMC-2738</v>
      </c>
      <c r="AB195" s="65"/>
      <c r="AC195" s="65" t="str">
        <f>IFERROR(__xludf.DUMMYFUNCTION("""COMPUTED_VALUE"""),"ESPONJA ANTILLUVIA DE PARABRISAS")</f>
        <v>ESPONJA ANTILLUVIA DE PARABRISAS</v>
      </c>
      <c r="AD195" s="65"/>
      <c r="AE195" s="65">
        <f>IFERROR(__xludf.DUMMYFUNCTION("""COMPUTED_VALUE"""),1.0)</f>
        <v>1</v>
      </c>
      <c r="AF195" s="65"/>
      <c r="AG195" s="65"/>
      <c r="AH195" s="65"/>
      <c r="AI195" s="65"/>
      <c r="AJ195" s="65"/>
      <c r="AK195" s="65"/>
      <c r="AL195" s="65"/>
      <c r="AM195" s="65"/>
      <c r="AN195" s="65" t="str">
        <f>IFERROR(__xludf.DUMMYFUNCTION("""COMPUTED_VALUE"""),"14:52")</f>
        <v>14:52</v>
      </c>
      <c r="AO195" s="65" t="str">
        <f>IFERROR(__xludf.DUMMYFUNCTION("""COMPUTED_VALUE"""),"17-03-2026")</f>
        <v>17-03-2026</v>
      </c>
      <c r="AP195" s="65" t="str">
        <f>IFERROR(__xludf.DUMMYFUNCTION("""COMPUTED_VALUE"""),"ENTREGADO")</f>
        <v>ENTREGADO</v>
      </c>
      <c r="AQ195" s="65" t="str">
        <f>IFERROR(__xludf.DUMMYFUNCTION("""COMPUTED_VALUE"""),"ENTREGADO")</f>
        <v>ENTREGADO</v>
      </c>
      <c r="AR195" s="65"/>
      <c r="AS195" s="65"/>
      <c r="AT195" s="65" t="str">
        <f>IFERROR(__xludf.DUMMYFUNCTION("""COMPUTED_VALUE"""),"SHOPIFY")</f>
        <v>SHOPIFY</v>
      </c>
      <c r="AU195" s="65" t="str">
        <f>IFERROR(__xludf.DUMMYFUNCTION("""COMPUTED_VALUE"""),"IMPORTEX EC")</f>
        <v>IMPORTEX EC</v>
      </c>
      <c r="AV195" s="65" t="str">
        <f>IFERROR(__xludf.DUMMYFUNCTION("""COMPUTED_VALUE"""),"6574300004396")</f>
        <v>6574300004396</v>
      </c>
      <c r="AW195" s="65">
        <f>IFERROR(__xludf.DUMMYFUNCTION("""COMPUTED_VALUE"""),6655.0)</f>
        <v>6655</v>
      </c>
      <c r="AX195" s="65"/>
      <c r="AY195" s="65" t="str">
        <f>IFERROR(__xludf.DUMMYFUNCTION("""COMPUTED_VALUE"""),"13/03/2026")</f>
        <v>13/03/2026</v>
      </c>
      <c r="AZ195" s="65"/>
      <c r="BA195" s="65"/>
    </row>
    <row r="196">
      <c r="A196" s="65" t="str">
        <f>IFERROR(__xludf.DUMMYFUNCTION("""COMPUTED_VALUE"""),"27-03-2026")</f>
        <v>27-03-2026</v>
      </c>
      <c r="B196" s="65">
        <f>IFERROR(__xludf.DUMMYFUNCTION("""COMPUTED_VALUE"""),4781745.0)</f>
        <v>4781745</v>
      </c>
      <c r="C196" s="65" t="str">
        <f>IFERROR(__xludf.DUMMYFUNCTION("""COMPUTED_VALUE"""),"15:55")</f>
        <v>15:55</v>
      </c>
      <c r="D196" s="65" t="str">
        <f>IFERROR(__xludf.DUMMYFUNCTION("""COMPUTED_VALUE"""),"12-03-2026")</f>
        <v>12-03-2026</v>
      </c>
      <c r="E196" s="65" t="str">
        <f>IFERROR(__xludf.DUMMYFUNCTION("""COMPUTED_VALUE"""),"Adriana Camacho")</f>
        <v>Adriana Camacho</v>
      </c>
      <c r="F196" s="65" t="str">
        <f>IFERROR(__xludf.DUMMYFUNCTION("""COMPUTED_VALUE"""),"995235820")</f>
        <v>995235820</v>
      </c>
      <c r="G196" s="65" t="str">
        <f>IFERROR(__xludf.DUMMYFUNCTION("""COMPUTED_VALUE"""),"adrycamachosanchez@gmail.com")</f>
        <v>adrycamachosanchez@gmail.com</v>
      </c>
      <c r="H196" s="65"/>
      <c r="I196" s="65"/>
      <c r="J196" s="65"/>
      <c r="K196" s="65" t="str">
        <f>IFERROR(__xludf.DUMMYFUNCTION("""COMPUTED_VALUE"""),"PENDIENTE CONFIRMACION")</f>
        <v>PENDIENTE CONFIRMACION</v>
      </c>
      <c r="L196" s="65" t="str">
        <f>IFERROR(__xludf.DUMMYFUNCTION("""COMPUTED_VALUE"""),"CON RECAUDO")</f>
        <v>CON RECAUDO</v>
      </c>
      <c r="M196" s="65" t="str">
        <f>IFERROR(__xludf.DUMMYFUNCTION("""COMPUTED_VALUE"""),"BOLIVAR")</f>
        <v>BOLIVAR</v>
      </c>
      <c r="N196" s="65" t="str">
        <f>IFERROR(__xludf.DUMMYFUNCTION("""COMPUTED_VALUE"""),"GUARANDA")</f>
        <v>GUARANDA</v>
      </c>
      <c r="O196" s="65" t="str">
        <f>IFERROR(__xludf.DUMMYFUNCTION("""COMPUTED_VALUE"""),"Gabriel Silva del Pozo Conjunto El Portal -")</f>
        <v>Gabriel Silva del Pozo Conjunto El Portal -</v>
      </c>
      <c r="P196" s="65"/>
      <c r="Q196" s="65" t="str">
        <f>IFERROR(__xludf.DUMMYFUNCTION("""COMPUTED_VALUE"""),"GINTRACOM")</f>
        <v>GINTRACOM</v>
      </c>
      <c r="R196" s="65">
        <f>IFERROR(__xludf.DUMMYFUNCTION("""COMPUTED_VALUE"""),30.0)</f>
        <v>30</v>
      </c>
      <c r="S196" s="65"/>
      <c r="T196" s="65">
        <f>IFERROR(__xludf.DUMMYFUNCTION("""COMPUTED_VALUE"""),6.16)</f>
        <v>6.16</v>
      </c>
      <c r="U196" s="65">
        <f>IFERROR(__xludf.DUMMYFUNCTION("""COMPUTED_VALUE"""),0.0)</f>
        <v>0</v>
      </c>
      <c r="V196" s="65">
        <f>IFERROR(__xludf.DUMMYFUNCTION("""COMPUTED_VALUE"""),0.0)</f>
        <v>0</v>
      </c>
      <c r="W196" s="65">
        <f>IFERROR(__xludf.DUMMYFUNCTION("""COMPUTED_VALUE"""),0.0)</f>
        <v>0</v>
      </c>
      <c r="X196" s="65">
        <f>IFERROR(__xludf.DUMMYFUNCTION("""COMPUTED_VALUE"""),2.35)</f>
        <v>2.35</v>
      </c>
      <c r="Y196" s="65">
        <f>IFERROR(__xludf.DUMMYFUNCTION("""COMPUTED_VALUE"""),7.05)</f>
        <v>7.05</v>
      </c>
      <c r="Z196" s="65">
        <f>IFERROR(__xludf.DUMMYFUNCTION("""COMPUTED_VALUE"""),116679.0)</f>
        <v>116679</v>
      </c>
      <c r="AA196" s="65" t="str">
        <f>IFERROR(__xludf.DUMMYFUNCTION("""COMPUTED_VALUE"""),"AMC-2738")</f>
        <v>AMC-2738</v>
      </c>
      <c r="AB196" s="65"/>
      <c r="AC196" s="65" t="str">
        <f>IFERROR(__xludf.DUMMYFUNCTION("""COMPUTED_VALUE"""),"ESPONJA ANTILLUVIA DE PARABRISAS")</f>
        <v>ESPONJA ANTILLUVIA DE PARABRISAS</v>
      </c>
      <c r="AD196" s="65"/>
      <c r="AE196" s="65">
        <f>IFERROR(__xludf.DUMMYFUNCTION("""COMPUTED_VALUE"""),3.0)</f>
        <v>3</v>
      </c>
      <c r="AF196" s="65"/>
      <c r="AG196" s="65"/>
      <c r="AH196" s="65"/>
      <c r="AI196" s="65"/>
      <c r="AJ196" s="65"/>
      <c r="AK196" s="65"/>
      <c r="AL196" s="65"/>
      <c r="AM196" s="65"/>
      <c r="AN196" s="65"/>
      <c r="AO196" s="65"/>
      <c r="AP196" s="65"/>
      <c r="AQ196" s="65"/>
      <c r="AR196" s="65"/>
      <c r="AS196" s="65"/>
      <c r="AT196" s="65" t="str">
        <f>IFERROR(__xludf.DUMMYFUNCTION("""COMPUTED_VALUE"""),"SHOPIFY")</f>
        <v>SHOPIFY</v>
      </c>
      <c r="AU196" s="65" t="str">
        <f>IFERROR(__xludf.DUMMYFUNCTION("""COMPUTED_VALUE"""),"IMPORTEX EC")</f>
        <v>IMPORTEX EC</v>
      </c>
      <c r="AV196" s="65" t="str">
        <f>IFERROR(__xludf.DUMMYFUNCTION("""COMPUTED_VALUE"""),"6574244331564")</f>
        <v>6574244331564</v>
      </c>
      <c r="AW196" s="65">
        <f>IFERROR(__xludf.DUMMYFUNCTION("""COMPUTED_VALUE"""),6654.0)</f>
        <v>6654</v>
      </c>
      <c r="AX196" s="65"/>
      <c r="AY196" s="65"/>
      <c r="AZ196" s="65"/>
      <c r="BA196" s="65"/>
    </row>
    <row r="197">
      <c r="A197" s="65" t="str">
        <f>IFERROR(__xludf.DUMMYFUNCTION("""COMPUTED_VALUE"""),"27-03-2026")</f>
        <v>27-03-2026</v>
      </c>
      <c r="B197" s="65">
        <f>IFERROR(__xludf.DUMMYFUNCTION("""COMPUTED_VALUE"""),4781402.0)</f>
        <v>4781402</v>
      </c>
      <c r="C197" s="65" t="str">
        <f>IFERROR(__xludf.DUMMYFUNCTION("""COMPUTED_VALUE"""),"15:24")</f>
        <v>15:24</v>
      </c>
      <c r="D197" s="65" t="str">
        <f>IFERROR(__xludf.DUMMYFUNCTION("""COMPUTED_VALUE"""),"12-03-2026")</f>
        <v>12-03-2026</v>
      </c>
      <c r="E197" s="65" t="str">
        <f>IFERROR(__xludf.DUMMYFUNCTION("""COMPUTED_VALUE"""),"Cristina Orellana")</f>
        <v>Cristina Orellana</v>
      </c>
      <c r="F197" s="65" t="str">
        <f>IFERROR(__xludf.DUMMYFUNCTION("""COMPUTED_VALUE"""),"991584258")</f>
        <v>991584258</v>
      </c>
      <c r="G197" s="65" t="str">
        <f>IFERROR(__xludf.DUMMYFUNCTION("""COMPUTED_VALUE"""),"catored_183@hotmail.com")</f>
        <v>catored_183@hotmail.com</v>
      </c>
      <c r="H197" s="65"/>
      <c r="I197" s="65"/>
      <c r="J197" s="65" t="str">
        <f>IFERROR(__xludf.DUMMYFUNCTION("""COMPUTED_VALUE"""),"LC53097591")</f>
        <v>LC53097591</v>
      </c>
      <c r="K197" s="65" t="str">
        <f>IFERROR(__xludf.DUMMYFUNCTION("""COMPUTED_VALUE"""),"ENTREGADO")</f>
        <v>ENTREGADO</v>
      </c>
      <c r="L197" s="65" t="str">
        <f>IFERROR(__xludf.DUMMYFUNCTION("""COMPUTED_VALUE"""),"CON RECAUDO")</f>
        <v>CON RECAUDO</v>
      </c>
      <c r="M197" s="65" t="str">
        <f>IFERROR(__xludf.DUMMYFUNCTION("""COMPUTED_VALUE"""),"GUAYAS")</f>
        <v>GUAYAS</v>
      </c>
      <c r="N197" s="65" t="str">
        <f>IFERROR(__xludf.DUMMYFUNCTION("""COMPUTED_VALUE"""),"LA PUNTILLA")</f>
        <v>LA PUNTILLA</v>
      </c>
      <c r="O197" s="65" t="str">
        <f>IFERROR(__xludf.DUMMYFUNCTION("""COMPUTED_VALUE"""),"Urbanización. Las Riberas Mz I Villa 15 ( Entre Rios) Casa I 15 -")</f>
        <v>Urbanización. Las Riberas Mz I Villa 15 ( Entre Rios) Casa I 15 -</v>
      </c>
      <c r="P197" s="65"/>
      <c r="Q197" s="65" t="str">
        <f>IFERROR(__xludf.DUMMYFUNCTION("""COMPUTED_VALUE"""),"LAARCOURIER")</f>
        <v>LAARCOURIER</v>
      </c>
      <c r="R197" s="65">
        <f>IFERROR(__xludf.DUMMYFUNCTION("""COMPUTED_VALUE"""),30.0)</f>
        <v>30</v>
      </c>
      <c r="S197" s="65">
        <f>IFERROR(__xludf.DUMMYFUNCTION("""COMPUTED_VALUE"""),15.69)</f>
        <v>15.69</v>
      </c>
      <c r="T197" s="65">
        <f>IFERROR(__xludf.DUMMYFUNCTION("""COMPUTED_VALUE"""),7.26)</f>
        <v>7.26</v>
      </c>
      <c r="U197" s="65">
        <f>IFERROR(__xludf.DUMMYFUNCTION("""COMPUTED_VALUE"""),0.0)</f>
        <v>0</v>
      </c>
      <c r="V197" s="65">
        <f>IFERROR(__xludf.DUMMYFUNCTION("""COMPUTED_VALUE"""),0.0)</f>
        <v>0</v>
      </c>
      <c r="W197" s="65">
        <f>IFERROR(__xludf.DUMMYFUNCTION("""COMPUTED_VALUE"""),0.0)</f>
        <v>0</v>
      </c>
      <c r="X197" s="65">
        <f>IFERROR(__xludf.DUMMYFUNCTION("""COMPUTED_VALUE"""),2.35)</f>
        <v>2.35</v>
      </c>
      <c r="Y197" s="65">
        <f>IFERROR(__xludf.DUMMYFUNCTION("""COMPUTED_VALUE"""),7.05)</f>
        <v>7.05</v>
      </c>
      <c r="Z197" s="65">
        <f>IFERROR(__xludf.DUMMYFUNCTION("""COMPUTED_VALUE"""),116679.0)</f>
        <v>116679</v>
      </c>
      <c r="AA197" s="65" t="str">
        <f>IFERROR(__xludf.DUMMYFUNCTION("""COMPUTED_VALUE"""),"AMC-2738")</f>
        <v>AMC-2738</v>
      </c>
      <c r="AB197" s="65"/>
      <c r="AC197" s="65" t="str">
        <f>IFERROR(__xludf.DUMMYFUNCTION("""COMPUTED_VALUE"""),"ESPONJA ANTILLUVIA DE PARABRISAS")</f>
        <v>ESPONJA ANTILLUVIA DE PARABRISAS</v>
      </c>
      <c r="AD197" s="65"/>
      <c r="AE197" s="65">
        <f>IFERROR(__xludf.DUMMYFUNCTION("""COMPUTED_VALUE"""),3.0)</f>
        <v>3</v>
      </c>
      <c r="AF197" s="65"/>
      <c r="AG197" s="65"/>
      <c r="AH197" s="65"/>
      <c r="AI197" s="65"/>
      <c r="AJ197" s="65"/>
      <c r="AK197" s="65"/>
      <c r="AL197" s="65"/>
      <c r="AM197" s="65"/>
      <c r="AN197" s="65" t="str">
        <f>IFERROR(__xludf.DUMMYFUNCTION("""COMPUTED_VALUE"""),"15:03")</f>
        <v>15:03</v>
      </c>
      <c r="AO197" s="65" t="str">
        <f>IFERROR(__xludf.DUMMYFUNCTION("""COMPUTED_VALUE"""),"21-03-2026")</f>
        <v>21-03-2026</v>
      </c>
      <c r="AP197" s="65" t="str">
        <f>IFERROR(__xludf.DUMMYFUNCTION("""COMPUTED_VALUE"""),"ENTREGADO")</f>
        <v>ENTREGADO</v>
      </c>
      <c r="AQ197" s="65" t="str">
        <f>IFERROR(__xludf.DUMMYFUNCTION("""COMPUTED_VALUE"""),"ENTREGADO")</f>
        <v>ENTREGADO</v>
      </c>
      <c r="AR197" s="65"/>
      <c r="AS197" s="65"/>
      <c r="AT197" s="65" t="str">
        <f>IFERROR(__xludf.DUMMYFUNCTION("""COMPUTED_VALUE"""),"SHOPIFY")</f>
        <v>SHOPIFY</v>
      </c>
      <c r="AU197" s="65" t="str">
        <f>IFERROR(__xludf.DUMMYFUNCTION("""COMPUTED_VALUE"""),"IMPORTEX EC")</f>
        <v>IMPORTEX EC</v>
      </c>
      <c r="AV197" s="65" t="str">
        <f>IFERROR(__xludf.DUMMYFUNCTION("""COMPUTED_VALUE"""),"6574186889260")</f>
        <v>6574186889260</v>
      </c>
      <c r="AW197" s="65">
        <f>IFERROR(__xludf.DUMMYFUNCTION("""COMPUTED_VALUE"""),6653.0)</f>
        <v>6653</v>
      </c>
      <c r="AX197" s="65"/>
      <c r="AY197" s="65" t="str">
        <f>IFERROR(__xludf.DUMMYFUNCTION("""COMPUTED_VALUE"""),"13/03/2026")</f>
        <v>13/03/2026</v>
      </c>
      <c r="AZ197" s="65"/>
      <c r="BA197" s="65"/>
    </row>
    <row r="198">
      <c r="A198" s="65" t="str">
        <f>IFERROR(__xludf.DUMMYFUNCTION("""COMPUTED_VALUE"""),"27-03-2026")</f>
        <v>27-03-2026</v>
      </c>
      <c r="B198" s="65">
        <f>IFERROR(__xludf.DUMMYFUNCTION("""COMPUTED_VALUE"""),4781232.0)</f>
        <v>4781232</v>
      </c>
      <c r="C198" s="65" t="str">
        <f>IFERROR(__xludf.DUMMYFUNCTION("""COMPUTED_VALUE"""),"15:08")</f>
        <v>15:08</v>
      </c>
      <c r="D198" s="65" t="str">
        <f>IFERROR(__xludf.DUMMYFUNCTION("""COMPUTED_VALUE"""),"12-03-2026")</f>
        <v>12-03-2026</v>
      </c>
      <c r="E198" s="65" t="str">
        <f>IFERROR(__xludf.DUMMYFUNCTION("""COMPUTED_VALUE"""),"Oscar Dario Mindiola Totoy")</f>
        <v>Oscar Dario Mindiola Totoy</v>
      </c>
      <c r="F198" s="65" t="str">
        <f>IFERROR(__xludf.DUMMYFUNCTION("""COMPUTED_VALUE"""),"979555446")</f>
        <v>979555446</v>
      </c>
      <c r="G198" s="65" t="str">
        <f>IFERROR(__xludf.DUMMYFUNCTION("""COMPUTED_VALUE"""),"oscardariom19@gmail.com")</f>
        <v>oscardariom19@gmail.com</v>
      </c>
      <c r="H198" s="65"/>
      <c r="I198" s="65"/>
      <c r="J198" s="65" t="str">
        <f>IFERROR(__xludf.DUMMYFUNCTION("""COMPUTED_VALUE"""),"D001411270")</f>
        <v>D001411270</v>
      </c>
      <c r="K198" s="65" t="str">
        <f>IFERROR(__xludf.DUMMYFUNCTION("""COMPUTED_VALUE"""),"DEVOLUCION")</f>
        <v>DEVOLUCION</v>
      </c>
      <c r="L198" s="65" t="str">
        <f>IFERROR(__xludf.DUMMYFUNCTION("""COMPUTED_VALUE"""),"CON RECAUDO")</f>
        <v>CON RECAUDO</v>
      </c>
      <c r="M198" s="65" t="str">
        <f>IFERROR(__xludf.DUMMYFUNCTION("""COMPUTED_VALUE"""),"GUAYAS")</f>
        <v>GUAYAS</v>
      </c>
      <c r="N198" s="65" t="str">
        <f>IFERROR(__xludf.DUMMYFUNCTION("""COMPUTED_VALUE"""),"GUAYAQUIL")</f>
        <v>GUAYAQUIL</v>
      </c>
      <c r="O198" s="65" t="str">
        <f>IFERROR(__xludf.DUMMYFUNCTION("""COMPUTED_VALUE"""),"Av. Huancavilca 4032,  Entre La 13ava Y 14ava, Edificio Bolivarence")</f>
        <v>Av. Huancavilca 4032,  Entre La 13ava Y 14ava, Edificio Bolivarence</v>
      </c>
      <c r="P198" s="65"/>
      <c r="Q198" s="65" t="str">
        <f>IFERROR(__xludf.DUMMYFUNCTION("""COMPUTED_VALUE"""),"GINTRACOM")</f>
        <v>GINTRACOM</v>
      </c>
      <c r="R198" s="65">
        <f>IFERROR(__xludf.DUMMYFUNCTION("""COMPUTED_VALUE"""),20.0)</f>
        <v>20</v>
      </c>
      <c r="S198" s="65"/>
      <c r="T198" s="65">
        <f>IFERROR(__xludf.DUMMYFUNCTION("""COMPUTED_VALUE"""),5.76)</f>
        <v>5.76</v>
      </c>
      <c r="U198" s="65">
        <f>IFERROR(__xludf.DUMMYFUNCTION("""COMPUTED_VALUE"""),0.0)</f>
        <v>0</v>
      </c>
      <c r="V198" s="65">
        <f>IFERROR(__xludf.DUMMYFUNCTION("""COMPUTED_VALUE"""),0.0)</f>
        <v>0</v>
      </c>
      <c r="W198" s="65">
        <f>IFERROR(__xludf.DUMMYFUNCTION("""COMPUTED_VALUE"""),0.0)</f>
        <v>0</v>
      </c>
      <c r="X198" s="65">
        <f>IFERROR(__xludf.DUMMYFUNCTION("""COMPUTED_VALUE"""),2.35)</f>
        <v>2.35</v>
      </c>
      <c r="Y198" s="65">
        <f>IFERROR(__xludf.DUMMYFUNCTION("""COMPUTED_VALUE"""),2.35)</f>
        <v>2.35</v>
      </c>
      <c r="Z198" s="65">
        <f>IFERROR(__xludf.DUMMYFUNCTION("""COMPUTED_VALUE"""),116679.0)</f>
        <v>116679</v>
      </c>
      <c r="AA198" s="65" t="str">
        <f>IFERROR(__xludf.DUMMYFUNCTION("""COMPUTED_VALUE"""),"AMC-2738")</f>
        <v>AMC-2738</v>
      </c>
      <c r="AB198" s="65"/>
      <c r="AC198" s="65" t="str">
        <f>IFERROR(__xludf.DUMMYFUNCTION("""COMPUTED_VALUE"""),"ESPONJA ANTILLUVIA DE PARABRISAS")</f>
        <v>ESPONJA ANTILLUVIA DE PARABRISAS</v>
      </c>
      <c r="AD198" s="65"/>
      <c r="AE198" s="65">
        <f>IFERROR(__xludf.DUMMYFUNCTION("""COMPUTED_VALUE"""),1.0)</f>
        <v>1</v>
      </c>
      <c r="AF198" s="65" t="str">
        <f>IFERROR(__xludf.DUMMYFUNCTION("""COMPUTED_VALUE"""),"DESTINATARIO NO CONTESTA LLAMADAS NI WHATSAPP")</f>
        <v>DESTINATARIO NO CONTESTA LLAMADAS NI WHATSAPP</v>
      </c>
      <c r="AG198" s="65" t="str">
        <f>IFERROR(__xludf.DUMMYFUNCTION("""COMPUTED_VALUE"""),"NO")</f>
        <v>NO</v>
      </c>
      <c r="AH198" s="65" t="str">
        <f>IFERROR(__xludf.DUMMYFUNCTION("""COMPUTED_VALUE"""),"09:00")</f>
        <v>09:00</v>
      </c>
      <c r="AI198" s="65" t="str">
        <f>IFERROR(__xludf.DUMMYFUNCTION("""COMPUTED_VALUE"""),"24-03-2026")</f>
        <v>24-03-2026</v>
      </c>
      <c r="AJ198" s="65"/>
      <c r="AK198" s="65"/>
      <c r="AL198" s="65"/>
      <c r="AM198" s="65"/>
      <c r="AN198" s="65" t="str">
        <f>IFERROR(__xludf.DUMMYFUNCTION("""COMPUTED_VALUE"""),"03:03")</f>
        <v>03:03</v>
      </c>
      <c r="AO198" s="65" t="str">
        <f>IFERROR(__xludf.DUMMYFUNCTION("""COMPUTED_VALUE"""),"26-03-2026")</f>
        <v>26-03-2026</v>
      </c>
      <c r="AP198" s="65" t="str">
        <f>IFERROR(__xludf.DUMMYFUNCTION("""COMPUTED_VALUE"""),"DEVOLUCIÓN")</f>
        <v>DEVOLUCIÓN</v>
      </c>
      <c r="AQ198" s="65" t="str">
        <f>IFERROR(__xludf.DUMMYFUNCTION("""COMPUTED_VALUE"""),"DEVOLUCIÓN")</f>
        <v>DEVOLUCIÓN</v>
      </c>
      <c r="AR198" s="65"/>
      <c r="AS198" s="65"/>
      <c r="AT198" s="65" t="str">
        <f>IFERROR(__xludf.DUMMYFUNCTION("""COMPUTED_VALUE"""),"SHOPIFY")</f>
        <v>SHOPIFY</v>
      </c>
      <c r="AU198" s="65" t="str">
        <f>IFERROR(__xludf.DUMMYFUNCTION("""COMPUTED_VALUE"""),"IMPORTEX EC")</f>
        <v>IMPORTEX EC</v>
      </c>
      <c r="AV198" s="65" t="str">
        <f>IFERROR(__xludf.DUMMYFUNCTION("""COMPUTED_VALUE"""),"6574154252332")</f>
        <v>6574154252332</v>
      </c>
      <c r="AW198" s="65">
        <f>IFERROR(__xludf.DUMMYFUNCTION("""COMPUTED_VALUE"""),6652.0)</f>
        <v>6652</v>
      </c>
      <c r="AX198" s="65"/>
      <c r="AY198" s="65" t="str">
        <f>IFERROR(__xludf.DUMMYFUNCTION("""COMPUTED_VALUE"""),"13/03/2026")</f>
        <v>13/03/2026</v>
      </c>
      <c r="AZ198" s="65"/>
      <c r="BA198" s="65"/>
    </row>
    <row r="199">
      <c r="A199" s="65" t="str">
        <f>IFERROR(__xludf.DUMMYFUNCTION("""COMPUTED_VALUE"""),"27-03-2026")</f>
        <v>27-03-2026</v>
      </c>
      <c r="B199" s="65">
        <f>IFERROR(__xludf.DUMMYFUNCTION("""COMPUTED_VALUE"""),4780356.0)</f>
        <v>4780356</v>
      </c>
      <c r="C199" s="65" t="str">
        <f>IFERROR(__xludf.DUMMYFUNCTION("""COMPUTED_VALUE"""),"13:39")</f>
        <v>13:39</v>
      </c>
      <c r="D199" s="65" t="str">
        <f>IFERROR(__xludf.DUMMYFUNCTION("""COMPUTED_VALUE"""),"12-03-2026")</f>
        <v>12-03-2026</v>
      </c>
      <c r="E199" s="65" t="str">
        <f>IFERROR(__xludf.DUMMYFUNCTION("""COMPUTED_VALUE"""),"Yandry Cedeño")</f>
        <v>Yandry Cedeño</v>
      </c>
      <c r="F199" s="65" t="str">
        <f>IFERROR(__xludf.DUMMYFUNCTION("""COMPUTED_VALUE"""),"960528099")</f>
        <v>960528099</v>
      </c>
      <c r="G199" s="65" t="str">
        <f>IFERROR(__xludf.DUMMYFUNCTION("""COMPUTED_VALUE"""),"yandryramon29@gmail.com")</f>
        <v>yandryramon29@gmail.com</v>
      </c>
      <c r="H199" s="65"/>
      <c r="I199" s="65"/>
      <c r="J199" s="65"/>
      <c r="K199" s="65" t="str">
        <f>IFERROR(__xludf.DUMMYFUNCTION("""COMPUTED_VALUE"""),"PENDIENTE CONFIRMACION")</f>
        <v>PENDIENTE CONFIRMACION</v>
      </c>
      <c r="L199" s="65" t="str">
        <f>IFERROR(__xludf.DUMMYFUNCTION("""COMPUTED_VALUE"""),"CON RECAUDO")</f>
        <v>CON RECAUDO</v>
      </c>
      <c r="M199" s="65" t="str">
        <f>IFERROR(__xludf.DUMMYFUNCTION("""COMPUTED_VALUE"""),"MANABI")</f>
        <v>MANABI</v>
      </c>
      <c r="N199" s="65" t="str">
        <f>IFERROR(__xludf.DUMMYFUNCTION("""COMPUTED_VALUE"""),"PORTOVIEJO")</f>
        <v>PORTOVIEJO</v>
      </c>
      <c r="O199" s="65" t="str">
        <f>IFERROR(__xludf.DUMMYFUNCTION("""COMPUTED_VALUE"""),"Vía Portoviejo Calderón San Gabriel -")</f>
        <v>Vía Portoviejo Calderón San Gabriel -</v>
      </c>
      <c r="P199" s="65"/>
      <c r="Q199" s="65" t="str">
        <f>IFERROR(__xludf.DUMMYFUNCTION("""COMPUTED_VALUE"""),"GINTRACOM")</f>
        <v>GINTRACOM</v>
      </c>
      <c r="R199" s="65">
        <f>IFERROR(__xludf.DUMMYFUNCTION("""COMPUTED_VALUE"""),30.0)</f>
        <v>30</v>
      </c>
      <c r="S199" s="65"/>
      <c r="T199" s="65">
        <f>IFERROR(__xludf.DUMMYFUNCTION("""COMPUTED_VALUE"""),6.16)</f>
        <v>6.16</v>
      </c>
      <c r="U199" s="65">
        <f>IFERROR(__xludf.DUMMYFUNCTION("""COMPUTED_VALUE"""),0.0)</f>
        <v>0</v>
      </c>
      <c r="V199" s="65">
        <f>IFERROR(__xludf.DUMMYFUNCTION("""COMPUTED_VALUE"""),0.0)</f>
        <v>0</v>
      </c>
      <c r="W199" s="65">
        <f>IFERROR(__xludf.DUMMYFUNCTION("""COMPUTED_VALUE"""),0.0)</f>
        <v>0</v>
      </c>
      <c r="X199" s="65">
        <f>IFERROR(__xludf.DUMMYFUNCTION("""COMPUTED_VALUE"""),2.35)</f>
        <v>2.35</v>
      </c>
      <c r="Y199" s="65">
        <f>IFERROR(__xludf.DUMMYFUNCTION("""COMPUTED_VALUE"""),7.05)</f>
        <v>7.05</v>
      </c>
      <c r="Z199" s="65">
        <f>IFERROR(__xludf.DUMMYFUNCTION("""COMPUTED_VALUE"""),116679.0)</f>
        <v>116679</v>
      </c>
      <c r="AA199" s="65" t="str">
        <f>IFERROR(__xludf.DUMMYFUNCTION("""COMPUTED_VALUE"""),"AMC-2738")</f>
        <v>AMC-2738</v>
      </c>
      <c r="AB199" s="65"/>
      <c r="AC199" s="65" t="str">
        <f>IFERROR(__xludf.DUMMYFUNCTION("""COMPUTED_VALUE"""),"ESPONJA ANTILLUVIA DE PARABRISAS")</f>
        <v>ESPONJA ANTILLUVIA DE PARABRISAS</v>
      </c>
      <c r="AD199" s="65"/>
      <c r="AE199" s="65">
        <f>IFERROR(__xludf.DUMMYFUNCTION("""COMPUTED_VALUE"""),3.0)</f>
        <v>3</v>
      </c>
      <c r="AF199" s="65"/>
      <c r="AG199" s="65"/>
      <c r="AH199" s="65"/>
      <c r="AI199" s="65"/>
      <c r="AJ199" s="65"/>
      <c r="AK199" s="65"/>
      <c r="AL199" s="65"/>
      <c r="AM199" s="65"/>
      <c r="AN199" s="65"/>
      <c r="AO199" s="65"/>
      <c r="AP199" s="65"/>
      <c r="AQ199" s="65"/>
      <c r="AR199" s="65"/>
      <c r="AS199" s="65"/>
      <c r="AT199" s="65" t="str">
        <f>IFERROR(__xludf.DUMMYFUNCTION("""COMPUTED_VALUE"""),"SHOPIFY")</f>
        <v>SHOPIFY</v>
      </c>
      <c r="AU199" s="65" t="str">
        <f>IFERROR(__xludf.DUMMYFUNCTION("""COMPUTED_VALUE"""),"IMPORTEX EC")</f>
        <v>IMPORTEX EC</v>
      </c>
      <c r="AV199" s="65" t="str">
        <f>IFERROR(__xludf.DUMMYFUNCTION("""COMPUTED_VALUE"""),"6573978583084")</f>
        <v>6573978583084</v>
      </c>
      <c r="AW199" s="65">
        <f>IFERROR(__xludf.DUMMYFUNCTION("""COMPUTED_VALUE"""),6651.0)</f>
        <v>6651</v>
      </c>
      <c r="AX199" s="65"/>
      <c r="AY199" s="65"/>
      <c r="AZ199" s="65"/>
      <c r="BA199" s="65"/>
    </row>
    <row r="200">
      <c r="A200" s="65" t="str">
        <f>IFERROR(__xludf.DUMMYFUNCTION("""COMPUTED_VALUE"""),"27-03-2026")</f>
        <v>27-03-2026</v>
      </c>
      <c r="B200" s="65">
        <f>IFERROR(__xludf.DUMMYFUNCTION("""COMPUTED_VALUE"""),4779562.0)</f>
        <v>4779562</v>
      </c>
      <c r="C200" s="65" t="str">
        <f>IFERROR(__xludf.DUMMYFUNCTION("""COMPUTED_VALUE"""),"12:19")</f>
        <v>12:19</v>
      </c>
      <c r="D200" s="65" t="str">
        <f>IFERROR(__xludf.DUMMYFUNCTION("""COMPUTED_VALUE"""),"12-03-2026")</f>
        <v>12-03-2026</v>
      </c>
      <c r="E200" s="65" t="str">
        <f>IFERROR(__xludf.DUMMYFUNCTION("""COMPUTED_VALUE"""),"Milton Calle")</f>
        <v>Milton Calle</v>
      </c>
      <c r="F200" s="65" t="str">
        <f>IFERROR(__xludf.DUMMYFUNCTION("""COMPUTED_VALUE"""),"984883141")</f>
        <v>984883141</v>
      </c>
      <c r="G200" s="65" t="str">
        <f>IFERROR(__xludf.DUMMYFUNCTION("""COMPUTED_VALUE"""),"micava1960@hotmail.com")</f>
        <v>micava1960@hotmail.com</v>
      </c>
      <c r="H200" s="65"/>
      <c r="I200" s="65"/>
      <c r="J200" s="65" t="str">
        <f>IFERROR(__xludf.DUMMYFUNCTION("""COMPUTED_VALUE"""),"D001411233")</f>
        <v>D001411233</v>
      </c>
      <c r="K200" s="65" t="str">
        <f>IFERROR(__xludf.DUMMYFUNCTION("""COMPUTED_VALUE"""),"ENTREGADO")</f>
        <v>ENTREGADO</v>
      </c>
      <c r="L200" s="65" t="str">
        <f>IFERROR(__xludf.DUMMYFUNCTION("""COMPUTED_VALUE"""),"CON RECAUDO")</f>
        <v>CON RECAUDO</v>
      </c>
      <c r="M200" s="65" t="str">
        <f>IFERROR(__xludf.DUMMYFUNCTION("""COMPUTED_VALUE"""),"CAÑAR")</f>
        <v>CAÑAR</v>
      </c>
      <c r="N200" s="65" t="str">
        <f>IFERROR(__xludf.DUMMYFUNCTION("""COMPUTED_VALUE"""),"CAÑAR")</f>
        <v>CAÑAR</v>
      </c>
      <c r="O200" s="65" t="str">
        <f>IFERROR(__xludf.DUMMYFUNCTION("""COMPUTED_VALUE"""),"Calle Arturo Ordoñez entre Tres de noviembre y Tarqui. Ciudadela del Chofer a media cuadra de la escuela Ezequiel Cardenas. -")</f>
        <v>Calle Arturo Ordoñez entre Tres de noviembre y Tarqui. Ciudadela del Chofer a media cuadra de la escuela Ezequiel Cardenas. -</v>
      </c>
      <c r="P200" s="65"/>
      <c r="Q200" s="65" t="str">
        <f>IFERROR(__xludf.DUMMYFUNCTION("""COMPUTED_VALUE"""),"GINTRACOM")</f>
        <v>GINTRACOM</v>
      </c>
      <c r="R200" s="65">
        <f>IFERROR(__xludf.DUMMYFUNCTION("""COMPUTED_VALUE"""),30.0)</f>
        <v>30</v>
      </c>
      <c r="S200" s="65">
        <f>IFERROR(__xludf.DUMMYFUNCTION("""COMPUTED_VALUE"""),16.79)</f>
        <v>16.79</v>
      </c>
      <c r="T200" s="65">
        <f>IFERROR(__xludf.DUMMYFUNCTION("""COMPUTED_VALUE"""),6.16)</f>
        <v>6.16</v>
      </c>
      <c r="U200" s="65">
        <f>IFERROR(__xludf.DUMMYFUNCTION("""COMPUTED_VALUE"""),0.0)</f>
        <v>0</v>
      </c>
      <c r="V200" s="65">
        <f>IFERROR(__xludf.DUMMYFUNCTION("""COMPUTED_VALUE"""),0.0)</f>
        <v>0</v>
      </c>
      <c r="W200" s="65">
        <f>IFERROR(__xludf.DUMMYFUNCTION("""COMPUTED_VALUE"""),0.0)</f>
        <v>0</v>
      </c>
      <c r="X200" s="65">
        <f>IFERROR(__xludf.DUMMYFUNCTION("""COMPUTED_VALUE"""),2.35)</f>
        <v>2.35</v>
      </c>
      <c r="Y200" s="65">
        <f>IFERROR(__xludf.DUMMYFUNCTION("""COMPUTED_VALUE"""),7.05)</f>
        <v>7.05</v>
      </c>
      <c r="Z200" s="65">
        <f>IFERROR(__xludf.DUMMYFUNCTION("""COMPUTED_VALUE"""),116679.0)</f>
        <v>116679</v>
      </c>
      <c r="AA200" s="65" t="str">
        <f>IFERROR(__xludf.DUMMYFUNCTION("""COMPUTED_VALUE"""),"AMC-2738")</f>
        <v>AMC-2738</v>
      </c>
      <c r="AB200" s="65"/>
      <c r="AC200" s="65" t="str">
        <f>IFERROR(__xludf.DUMMYFUNCTION("""COMPUTED_VALUE"""),"ESPONJA ANTILLUVIA DE PARABRISAS")</f>
        <v>ESPONJA ANTILLUVIA DE PARABRISAS</v>
      </c>
      <c r="AD200" s="65"/>
      <c r="AE200" s="65">
        <f>IFERROR(__xludf.DUMMYFUNCTION("""COMPUTED_VALUE"""),3.0)</f>
        <v>3</v>
      </c>
      <c r="AF200" s="65"/>
      <c r="AG200" s="65"/>
      <c r="AH200" s="65"/>
      <c r="AI200" s="65"/>
      <c r="AJ200" s="65"/>
      <c r="AK200" s="65"/>
      <c r="AL200" s="65"/>
      <c r="AM200" s="65"/>
      <c r="AN200" s="65" t="str">
        <f>IFERROR(__xludf.DUMMYFUNCTION("""COMPUTED_VALUE"""),"10:56")</f>
        <v>10:56</v>
      </c>
      <c r="AO200" s="65" t="str">
        <f>IFERROR(__xludf.DUMMYFUNCTION("""COMPUTED_VALUE"""),"16-03-2026")</f>
        <v>16-03-2026</v>
      </c>
      <c r="AP200" s="65" t="str">
        <f>IFERROR(__xludf.DUMMYFUNCTION("""COMPUTED_VALUE"""),"ENTREGADA GINTRACOM")</f>
        <v>ENTREGADA GINTRACOM</v>
      </c>
      <c r="AQ200" s="65" t="str">
        <f>IFERROR(__xludf.DUMMYFUNCTION("""COMPUTED_VALUE"""),"ENTREGADA GINTRACOM")</f>
        <v>ENTREGADA GINTRACOM</v>
      </c>
      <c r="AR200" s="65"/>
      <c r="AS200" s="65"/>
      <c r="AT200" s="65" t="str">
        <f>IFERROR(__xludf.DUMMYFUNCTION("""COMPUTED_VALUE"""),"SHOPIFY")</f>
        <v>SHOPIFY</v>
      </c>
      <c r="AU200" s="65" t="str">
        <f>IFERROR(__xludf.DUMMYFUNCTION("""COMPUTED_VALUE"""),"IMPORTEX EC")</f>
        <v>IMPORTEX EC</v>
      </c>
      <c r="AV200" s="65" t="str">
        <f>IFERROR(__xludf.DUMMYFUNCTION("""COMPUTED_VALUE"""),"6573833879596")</f>
        <v>6573833879596</v>
      </c>
      <c r="AW200" s="65">
        <f>IFERROR(__xludf.DUMMYFUNCTION("""COMPUTED_VALUE"""),6650.0)</f>
        <v>6650</v>
      </c>
      <c r="AX200" s="65"/>
      <c r="AY200" s="65" t="str">
        <f>IFERROR(__xludf.DUMMYFUNCTION("""COMPUTED_VALUE"""),"13/03/2026")</f>
        <v>13/03/2026</v>
      </c>
      <c r="AZ200" s="65"/>
      <c r="BA200" s="65"/>
    </row>
    <row r="201">
      <c r="A201" s="65" t="str">
        <f>IFERROR(__xludf.DUMMYFUNCTION("""COMPUTED_VALUE"""),"27-03-2026")</f>
        <v>27-03-2026</v>
      </c>
      <c r="B201" s="65">
        <f>IFERROR(__xludf.DUMMYFUNCTION("""COMPUTED_VALUE"""),4778034.0)</f>
        <v>4778034</v>
      </c>
      <c r="C201" s="65" t="str">
        <f>IFERROR(__xludf.DUMMYFUNCTION("""COMPUTED_VALUE"""),"10:17")</f>
        <v>10:17</v>
      </c>
      <c r="D201" s="65" t="str">
        <f>IFERROR(__xludf.DUMMYFUNCTION("""COMPUTED_VALUE"""),"12-03-2026")</f>
        <v>12-03-2026</v>
      </c>
      <c r="E201" s="65" t="str">
        <f>IFERROR(__xludf.DUMMYFUNCTION("""COMPUTED_VALUE"""),"jorge Jefferson Ortiz Caicedo")</f>
        <v>jorge Jefferson Ortiz Caicedo</v>
      </c>
      <c r="F201" s="65" t="str">
        <f>IFERROR(__xludf.DUMMYFUNCTION("""COMPUTED_VALUE"""),"986858269")</f>
        <v>986858269</v>
      </c>
      <c r="G201" s="65"/>
      <c r="H201" s="65"/>
      <c r="I201" s="65"/>
      <c r="J201" s="65" t="str">
        <f>IFERROR(__xludf.DUMMYFUNCTION("""COMPUTED_VALUE"""),"186651457")</f>
        <v>186651457</v>
      </c>
      <c r="K201" s="65" t="str">
        <f>IFERROR(__xludf.DUMMYFUNCTION("""COMPUTED_VALUE"""),"DEVOLUCION")</f>
        <v>DEVOLUCION</v>
      </c>
      <c r="L201" s="65" t="str">
        <f>IFERROR(__xludf.DUMMYFUNCTION("""COMPUTED_VALUE"""),"CON RECAUDO")</f>
        <v>CON RECAUDO</v>
      </c>
      <c r="M201" s="65" t="str">
        <f>IFERROR(__xludf.DUMMYFUNCTION("""COMPUTED_VALUE"""),"ESMERALDAS")</f>
        <v>ESMERALDAS</v>
      </c>
      <c r="N201" s="65" t="str">
        <f>IFERROR(__xludf.DUMMYFUNCTION("""COMPUTED_VALUE"""),"ESMERALDAS")</f>
        <v>ESMERALDAS</v>
      </c>
      <c r="O201" s="65" t="str">
        <f>IFERROR(__xludf.DUMMYFUNCTION("""COMPUTED_VALUE"""),"Retira en CS: ESMERALDAS OLMEDO -  AV OLMEDO S/N Y 10 DE AGOSTO")</f>
        <v>Retira en CS: ESMERALDAS OLMEDO -  AV OLMEDO S/N Y 10 DE AGOSTO</v>
      </c>
      <c r="P201" s="65"/>
      <c r="Q201" s="65" t="str">
        <f>IFERROR(__xludf.DUMMYFUNCTION("""COMPUTED_VALUE"""),"SERVIENTREGA")</f>
        <v>SERVIENTREGA</v>
      </c>
      <c r="R201" s="65">
        <f>IFERROR(__xludf.DUMMYFUNCTION("""COMPUTED_VALUE"""),30.0)</f>
        <v>30</v>
      </c>
      <c r="S201" s="65"/>
      <c r="T201" s="65">
        <f>IFERROR(__xludf.DUMMYFUNCTION("""COMPUTED_VALUE"""),6.12)</f>
        <v>6.12</v>
      </c>
      <c r="U201" s="65">
        <f>IFERROR(__xludf.DUMMYFUNCTION("""COMPUTED_VALUE"""),0.0)</f>
        <v>0</v>
      </c>
      <c r="V201" s="65">
        <f>IFERROR(__xludf.DUMMYFUNCTION("""COMPUTED_VALUE"""),0.0)</f>
        <v>0</v>
      </c>
      <c r="W201" s="65">
        <f>IFERROR(__xludf.DUMMYFUNCTION("""COMPUTED_VALUE"""),0.0)</f>
        <v>0</v>
      </c>
      <c r="X201" s="65">
        <f>IFERROR(__xludf.DUMMYFUNCTION("""COMPUTED_VALUE"""),2.35)</f>
        <v>2.35</v>
      </c>
      <c r="Y201" s="65">
        <f>IFERROR(__xludf.DUMMYFUNCTION("""COMPUTED_VALUE"""),7.05)</f>
        <v>7.05</v>
      </c>
      <c r="Z201" s="65">
        <f>IFERROR(__xludf.DUMMYFUNCTION("""COMPUTED_VALUE"""),116679.0)</f>
        <v>116679</v>
      </c>
      <c r="AA201" s="65" t="str">
        <f>IFERROR(__xludf.DUMMYFUNCTION("""COMPUTED_VALUE"""),"AMC-2738")</f>
        <v>AMC-2738</v>
      </c>
      <c r="AB201" s="65"/>
      <c r="AC201" s="65" t="str">
        <f>IFERROR(__xludf.DUMMYFUNCTION("""COMPUTED_VALUE"""),"ESPONJA ANTILLUVIA DE PARABRISAS")</f>
        <v>ESPONJA ANTILLUVIA DE PARABRISAS</v>
      </c>
      <c r="AD201" s="65"/>
      <c r="AE201" s="65">
        <f>IFERROR(__xludf.DUMMYFUNCTION("""COMPUTED_VALUE"""),3.0)</f>
        <v>3</v>
      </c>
      <c r="AF201" s="65" t="str">
        <f>IFERROR(__xludf.DUMMYFUNCTION("""COMPUTED_VALUE"""),"DEVUELTO DE")</f>
        <v>DEVUELTO DE</v>
      </c>
      <c r="AG201" s="65" t="str">
        <f>IFERROR(__xludf.DUMMYFUNCTION("""COMPUTED_VALUE"""),"NO")</f>
        <v>NO</v>
      </c>
      <c r="AH201" s="65" t="str">
        <f>IFERROR(__xludf.DUMMYFUNCTION("""COMPUTED_VALUE"""),"10:03")</f>
        <v>10:03</v>
      </c>
      <c r="AI201" s="65" t="str">
        <f>IFERROR(__xludf.DUMMYFUNCTION("""COMPUTED_VALUE"""),"21-03-2026")</f>
        <v>21-03-2026</v>
      </c>
      <c r="AJ201" s="65"/>
      <c r="AK201" s="65"/>
      <c r="AL201" s="65"/>
      <c r="AM201" s="65"/>
      <c r="AN201" s="65" t="str">
        <f>IFERROR(__xludf.DUMMYFUNCTION("""COMPUTED_VALUE"""),"19:52")</f>
        <v>19:52</v>
      </c>
      <c r="AO201" s="65" t="str">
        <f>IFERROR(__xludf.DUMMYFUNCTION("""COMPUTED_VALUE"""),"24-03-2026")</f>
        <v>24-03-2026</v>
      </c>
      <c r="AP201" s="65" t="str">
        <f>IFERROR(__xludf.DUMMYFUNCTION("""COMPUTED_VALUE"""),"DEVOLUCION AL REMITENTE")</f>
        <v>DEVOLUCION AL REMITENTE</v>
      </c>
      <c r="AQ201" s="65" t="str">
        <f>IFERROR(__xludf.DUMMYFUNCTION("""COMPUTED_VALUE"""),"ANDY CALERO")</f>
        <v>ANDY CALERO</v>
      </c>
      <c r="AR201" s="65"/>
      <c r="AS201" s="65"/>
      <c r="AT201" s="65" t="str">
        <f>IFERROR(__xludf.DUMMYFUNCTION("""COMPUTED_VALUE"""),"CHATEA PRO")</f>
        <v>CHATEA PRO</v>
      </c>
      <c r="AU201" s="65" t="str">
        <f>IFERROR(__xludf.DUMMYFUNCTION("""COMPUTED_VALUE"""),"CHATEA PRO")</f>
        <v>CHATEA PRO</v>
      </c>
      <c r="AV201" s="65"/>
      <c r="AW201" s="65"/>
      <c r="AX201" s="65"/>
      <c r="AY201" s="65" t="str">
        <f>IFERROR(__xludf.DUMMYFUNCTION("""COMPUTED_VALUE"""),"12/03/2026")</f>
        <v>12/03/2026</v>
      </c>
      <c r="AZ201" s="65"/>
      <c r="BA201" s="65"/>
    </row>
    <row r="202">
      <c r="A202" s="65" t="str">
        <f>IFERROR(__xludf.DUMMYFUNCTION("""COMPUTED_VALUE"""),"27-03-2026")</f>
        <v>27-03-2026</v>
      </c>
      <c r="B202" s="65">
        <f>IFERROR(__xludf.DUMMYFUNCTION("""COMPUTED_VALUE"""),4776071.0)</f>
        <v>4776071</v>
      </c>
      <c r="C202" s="65" t="str">
        <f>IFERROR(__xludf.DUMMYFUNCTION("""COMPUTED_VALUE"""),"07:25")</f>
        <v>07:25</v>
      </c>
      <c r="D202" s="65" t="str">
        <f>IFERROR(__xludf.DUMMYFUNCTION("""COMPUTED_VALUE"""),"12-03-2026")</f>
        <v>12-03-2026</v>
      </c>
      <c r="E202" s="65" t="str">
        <f>IFERROR(__xludf.DUMMYFUNCTION("""COMPUTED_VALUE"""),"Enrique Enrique Rivera")</f>
        <v>Enrique Enrique Rivera</v>
      </c>
      <c r="F202" s="65" t="str">
        <f>IFERROR(__xludf.DUMMYFUNCTION("""COMPUTED_VALUE"""),"991471780")</f>
        <v>991471780</v>
      </c>
      <c r="G202" s="65" t="str">
        <f>IFERROR(__xludf.DUMMYFUNCTION("""COMPUTED_VALUE"""),"enrique58rivera@gmail.com")</f>
        <v>enrique58rivera@gmail.com</v>
      </c>
      <c r="H202" s="65"/>
      <c r="I202" s="65"/>
      <c r="J202" s="65"/>
      <c r="K202" s="65" t="str">
        <f>IFERROR(__xludf.DUMMYFUNCTION("""COMPUTED_VALUE"""),"PENDIENTE CONFIRMACION")</f>
        <v>PENDIENTE CONFIRMACION</v>
      </c>
      <c r="L202" s="65" t="str">
        <f>IFERROR(__xludf.DUMMYFUNCTION("""COMPUTED_VALUE"""),"CON RECAUDO")</f>
        <v>CON RECAUDO</v>
      </c>
      <c r="M202" s="65" t="str">
        <f>IFERROR(__xludf.DUMMYFUNCTION("""COMPUTED_VALUE"""),"CHIMBORAZO")</f>
        <v>CHIMBORAZO</v>
      </c>
      <c r="N202" s="65" t="str">
        <f>IFERROR(__xludf.DUMMYFUNCTION("""COMPUTED_VALUE"""),"PALLATANGA")</f>
        <v>PALLATANGA</v>
      </c>
      <c r="O202" s="65" t="str">
        <f>IFERROR(__xludf.DUMMYFUNCTION("""COMPUTED_VALUE"""),"Pallatanga")</f>
        <v>Pallatanga</v>
      </c>
      <c r="P202" s="65" t="str">
        <f>IFERROR(__xludf.DUMMYFUNCTION("""COMPUTED_VALUE"""),"ESPONJA ANTILLUVIA DE PARABRISAS: Default Title ***")</f>
        <v>ESPONJA ANTILLUVIA DE PARABRISAS: Default Title ***</v>
      </c>
      <c r="Q202" s="65" t="str">
        <f>IFERROR(__xludf.DUMMYFUNCTION("""COMPUTED_VALUE"""),"GINTRACOM")</f>
        <v>GINTRACOM</v>
      </c>
      <c r="R202" s="65">
        <f>IFERROR(__xludf.DUMMYFUNCTION("""COMPUTED_VALUE"""),20.0)</f>
        <v>20</v>
      </c>
      <c r="S202" s="65"/>
      <c r="T202" s="65">
        <f>IFERROR(__xludf.DUMMYFUNCTION("""COMPUTED_VALUE"""),6.33)</f>
        <v>6.33</v>
      </c>
      <c r="U202" s="65">
        <f>IFERROR(__xludf.DUMMYFUNCTION("""COMPUTED_VALUE"""),0.0)</f>
        <v>0</v>
      </c>
      <c r="V202" s="65">
        <f>IFERROR(__xludf.DUMMYFUNCTION("""COMPUTED_VALUE"""),0.0)</f>
        <v>0</v>
      </c>
      <c r="W202" s="65">
        <f>IFERROR(__xludf.DUMMYFUNCTION("""COMPUTED_VALUE"""),0.0)</f>
        <v>0</v>
      </c>
      <c r="X202" s="65">
        <f>IFERROR(__xludf.DUMMYFUNCTION("""COMPUTED_VALUE"""),2.35)</f>
        <v>2.35</v>
      </c>
      <c r="Y202" s="65">
        <f>IFERROR(__xludf.DUMMYFUNCTION("""COMPUTED_VALUE"""),2.35)</f>
        <v>2.35</v>
      </c>
      <c r="Z202" s="65">
        <f>IFERROR(__xludf.DUMMYFUNCTION("""COMPUTED_VALUE"""),116679.0)</f>
        <v>116679</v>
      </c>
      <c r="AA202" s="65" t="str">
        <f>IFERROR(__xludf.DUMMYFUNCTION("""COMPUTED_VALUE"""),"AMC-2738")</f>
        <v>AMC-2738</v>
      </c>
      <c r="AB202" s="65"/>
      <c r="AC202" s="65" t="str">
        <f>IFERROR(__xludf.DUMMYFUNCTION("""COMPUTED_VALUE"""),"ESPONJA ANTILLUVIA DE PARABRISAS")</f>
        <v>ESPONJA ANTILLUVIA DE PARABRISAS</v>
      </c>
      <c r="AD202" s="65"/>
      <c r="AE202" s="65">
        <f>IFERROR(__xludf.DUMMYFUNCTION("""COMPUTED_VALUE"""),1.0)</f>
        <v>1</v>
      </c>
      <c r="AF202" s="65"/>
      <c r="AG202" s="65"/>
      <c r="AH202" s="65"/>
      <c r="AI202" s="65"/>
      <c r="AJ202" s="65"/>
      <c r="AK202" s="65"/>
      <c r="AL202" s="65"/>
      <c r="AM202" s="65"/>
      <c r="AN202" s="65"/>
      <c r="AO202" s="65"/>
      <c r="AP202" s="65"/>
      <c r="AQ202" s="65"/>
      <c r="AR202" s="65"/>
      <c r="AS202" s="65"/>
      <c r="AT202" s="65" t="str">
        <f>IFERROR(__xludf.DUMMYFUNCTION("""COMPUTED_VALUE"""),"SHOPIFY")</f>
        <v>SHOPIFY</v>
      </c>
      <c r="AU202" s="65" t="str">
        <f>IFERROR(__xludf.DUMMYFUNCTION("""COMPUTED_VALUE"""),"IMPORTEX EC")</f>
        <v>IMPORTEX EC</v>
      </c>
      <c r="AV202" s="65" t="str">
        <f>IFERROR(__xludf.DUMMYFUNCTION("""COMPUTED_VALUE"""),"6573329612844")</f>
        <v>6573329612844</v>
      </c>
      <c r="AW202" s="65">
        <f>IFERROR(__xludf.DUMMYFUNCTION("""COMPUTED_VALUE"""),6649.0)</f>
        <v>6649</v>
      </c>
      <c r="AX202" s="65"/>
      <c r="AY202" s="65"/>
      <c r="AZ202" s="65"/>
      <c r="BA202" s="65"/>
    </row>
    <row r="203">
      <c r="A203" s="65" t="str">
        <f>IFERROR(__xludf.DUMMYFUNCTION("""COMPUTED_VALUE"""),"27-03-2026")</f>
        <v>27-03-2026</v>
      </c>
      <c r="B203" s="65">
        <f>IFERROR(__xludf.DUMMYFUNCTION("""COMPUTED_VALUE"""),4774981.0)</f>
        <v>4774981</v>
      </c>
      <c r="C203" s="65" t="str">
        <f>IFERROR(__xludf.DUMMYFUNCTION("""COMPUTED_VALUE"""),"00:01")</f>
        <v>00:01</v>
      </c>
      <c r="D203" s="65" t="str">
        <f>IFERROR(__xludf.DUMMYFUNCTION("""COMPUTED_VALUE"""),"12-03-2026")</f>
        <v>12-03-2026</v>
      </c>
      <c r="E203" s="65" t="str">
        <f>IFERROR(__xludf.DUMMYFUNCTION("""COMPUTED_VALUE"""),"Maria Saltos")</f>
        <v>Maria Saltos</v>
      </c>
      <c r="F203" s="65" t="str">
        <f>IFERROR(__xludf.DUMMYFUNCTION("""COMPUTED_VALUE"""),"998703137")</f>
        <v>998703137</v>
      </c>
      <c r="G203" s="65" t="str">
        <f>IFERROR(__xludf.DUMMYFUNCTION("""COMPUTED_VALUE"""),"saltosmarya@gmail.com")</f>
        <v>saltosmarya@gmail.com</v>
      </c>
      <c r="H203" s="65"/>
      <c r="I203" s="65"/>
      <c r="J203" s="65" t="str">
        <f>IFERROR(__xludf.DUMMYFUNCTION("""COMPUTED_VALUE"""),"D001411490")</f>
        <v>D001411490</v>
      </c>
      <c r="K203" s="65" t="str">
        <f>IFERROR(__xludf.DUMMYFUNCTION("""COMPUTED_VALUE"""),"DEVOLUCION")</f>
        <v>DEVOLUCION</v>
      </c>
      <c r="L203" s="65" t="str">
        <f>IFERROR(__xludf.DUMMYFUNCTION("""COMPUTED_VALUE"""),"CON RECAUDO")</f>
        <v>CON RECAUDO</v>
      </c>
      <c r="M203" s="65" t="str">
        <f>IFERROR(__xludf.DUMMYFUNCTION("""COMPUTED_VALUE"""),"PICHINCHA")</f>
        <v>PICHINCHA</v>
      </c>
      <c r="N203" s="65" t="str">
        <f>IFERROR(__xludf.DUMMYFUNCTION("""COMPUTED_VALUE"""),"SANGOLQUI")</f>
        <v>SANGOLQUI</v>
      </c>
      <c r="O203" s="65" t="str">
        <f>IFERROR(__xludf.DUMMYFUNCTION("""COMPUTED_VALUE"""),"calle Guayaquil 334  y  Quiroga , Sangolqui")</f>
        <v>calle Guayaquil 334  y  Quiroga , Sangolqui</v>
      </c>
      <c r="P203" s="65"/>
      <c r="Q203" s="65" t="str">
        <f>IFERROR(__xludf.DUMMYFUNCTION("""COMPUTED_VALUE"""),"GINTRACOM")</f>
        <v>GINTRACOM</v>
      </c>
      <c r="R203" s="65">
        <f>IFERROR(__xludf.DUMMYFUNCTION("""COMPUTED_VALUE"""),25.0)</f>
        <v>25</v>
      </c>
      <c r="S203" s="65"/>
      <c r="T203" s="65">
        <f>IFERROR(__xludf.DUMMYFUNCTION("""COMPUTED_VALUE"""),5.96)</f>
        <v>5.96</v>
      </c>
      <c r="U203" s="65">
        <f>IFERROR(__xludf.DUMMYFUNCTION("""COMPUTED_VALUE"""),0.0)</f>
        <v>0</v>
      </c>
      <c r="V203" s="65">
        <f>IFERROR(__xludf.DUMMYFUNCTION("""COMPUTED_VALUE"""),0.0)</f>
        <v>0</v>
      </c>
      <c r="W203" s="65">
        <f>IFERROR(__xludf.DUMMYFUNCTION("""COMPUTED_VALUE"""),0.0)</f>
        <v>0</v>
      </c>
      <c r="X203" s="65">
        <f>IFERROR(__xludf.DUMMYFUNCTION("""COMPUTED_VALUE"""),3.5)</f>
        <v>3.5</v>
      </c>
      <c r="Y203" s="65">
        <f>IFERROR(__xludf.DUMMYFUNCTION("""COMPUTED_VALUE"""),7.0)</f>
        <v>7</v>
      </c>
      <c r="Z203" s="65">
        <f>IFERROR(__xludf.DUMMYFUNCTION("""COMPUTED_VALUE"""),87095.0)</f>
        <v>87095</v>
      </c>
      <c r="AA203" s="65" t="str">
        <f>IFERROR(__xludf.DUMMYFUNCTION("""COMPUTED_VALUE"""),"FILTRO DE DRENAJE")</f>
        <v>FILTRO DE DRENAJE</v>
      </c>
      <c r="AB203" s="65"/>
      <c r="AC203" s="65" t="str">
        <f>IFERROR(__xludf.DUMMYFUNCTION("""COMPUTED_VALUE"""),"FILTRO DE DRENAJE")</f>
        <v>FILTRO DE DRENAJE</v>
      </c>
      <c r="AD203" s="65"/>
      <c r="AE203" s="65">
        <f>IFERROR(__xludf.DUMMYFUNCTION("""COMPUTED_VALUE"""),2.0)</f>
        <v>2</v>
      </c>
      <c r="AF203" s="65" t="str">
        <f>IFERROR(__xludf.DUMMYFUNCTION("""COMPUTED_VALUE"""),"DESTINATARIO NO CONTESTA LLAMADAS NI WHATSAPP")</f>
        <v>DESTINATARIO NO CONTESTA LLAMADAS NI WHATSAPP</v>
      </c>
      <c r="AG203" s="65" t="str">
        <f>IFERROR(__xludf.DUMMYFUNCTION("""COMPUTED_VALUE"""),"NO")</f>
        <v>NO</v>
      </c>
      <c r="AH203" s="65" t="str">
        <f>IFERROR(__xludf.DUMMYFUNCTION("""COMPUTED_VALUE"""),"09:00")</f>
        <v>09:00</v>
      </c>
      <c r="AI203" s="65" t="str">
        <f>IFERROR(__xludf.DUMMYFUNCTION("""COMPUTED_VALUE"""),"22-03-2026")</f>
        <v>22-03-2026</v>
      </c>
      <c r="AJ203" s="65"/>
      <c r="AK203" s="65"/>
      <c r="AL203" s="65"/>
      <c r="AM203" s="65"/>
      <c r="AN203" s="65" t="str">
        <f>IFERROR(__xludf.DUMMYFUNCTION("""COMPUTED_VALUE"""),"03:06")</f>
        <v>03:06</v>
      </c>
      <c r="AO203" s="65" t="str">
        <f>IFERROR(__xludf.DUMMYFUNCTION("""COMPUTED_VALUE"""),"24-03-2026")</f>
        <v>24-03-2026</v>
      </c>
      <c r="AP203" s="65" t="str">
        <f>IFERROR(__xludf.DUMMYFUNCTION("""COMPUTED_VALUE"""),"DEVOLUCIÓN")</f>
        <v>DEVOLUCIÓN</v>
      </c>
      <c r="AQ203" s="65" t="str">
        <f>IFERROR(__xludf.DUMMYFUNCTION("""COMPUTED_VALUE"""),"DEVOLUCIÓN")</f>
        <v>DEVOLUCIÓN</v>
      </c>
      <c r="AR203" s="65"/>
      <c r="AS203" s="65"/>
      <c r="AT203" s="65" t="str">
        <f>IFERROR(__xludf.DUMMYFUNCTION("""COMPUTED_VALUE"""),"SHOPIFY")</f>
        <v>SHOPIFY</v>
      </c>
      <c r="AU203" s="65" t="str">
        <f>IFERROR(__xludf.DUMMYFUNCTION("""COMPUTED_VALUE"""),"IMPORTEX EC")</f>
        <v>IMPORTEX EC</v>
      </c>
      <c r="AV203" s="65" t="str">
        <f>IFERROR(__xludf.DUMMYFUNCTION("""COMPUTED_VALUE"""),"6572931940396")</f>
        <v>6572931940396</v>
      </c>
      <c r="AW203" s="65">
        <f>IFERROR(__xludf.DUMMYFUNCTION("""COMPUTED_VALUE"""),6648.0)</f>
        <v>6648</v>
      </c>
      <c r="AX203" s="65"/>
      <c r="AY203" s="65" t="str">
        <f>IFERROR(__xludf.DUMMYFUNCTION("""COMPUTED_VALUE"""),"13/03/2026")</f>
        <v>13/03/2026</v>
      </c>
      <c r="AZ203" s="65"/>
      <c r="BA203" s="65"/>
    </row>
    <row r="204">
      <c r="A204" s="65" t="str">
        <f>IFERROR(__xludf.DUMMYFUNCTION("""COMPUTED_VALUE"""),"27-03-2026")</f>
        <v>27-03-2026</v>
      </c>
      <c r="B204" s="65">
        <f>IFERROR(__xludf.DUMMYFUNCTION("""COMPUTED_VALUE"""),4774388.0)</f>
        <v>4774388</v>
      </c>
      <c r="C204" s="65" t="str">
        <f>IFERROR(__xludf.DUMMYFUNCTION("""COMPUTED_VALUE"""),"22:36")</f>
        <v>22:36</v>
      </c>
      <c r="D204" s="65" t="str">
        <f>IFERROR(__xludf.DUMMYFUNCTION("""COMPUTED_VALUE"""),"11-03-2026")</f>
        <v>11-03-2026</v>
      </c>
      <c r="E204" s="65" t="str">
        <f>IFERROR(__xludf.DUMMYFUNCTION("""COMPUTED_VALUE"""),"Maicol Ante")</f>
        <v>Maicol Ante</v>
      </c>
      <c r="F204" s="65" t="str">
        <f>IFERROR(__xludf.DUMMYFUNCTION("""COMPUTED_VALUE"""),"981235528")</f>
        <v>981235528</v>
      </c>
      <c r="G204" s="65"/>
      <c r="H204" s="65"/>
      <c r="I204" s="65"/>
      <c r="J204" s="65" t="str">
        <f>IFERROR(__xludf.DUMMYFUNCTION("""COMPUTED_VALUE"""),"D001411255")</f>
        <v>D001411255</v>
      </c>
      <c r="K204" s="65" t="str">
        <f>IFERROR(__xludf.DUMMYFUNCTION("""COMPUTED_VALUE"""),"ENTREGADO")</f>
        <v>ENTREGADO</v>
      </c>
      <c r="L204" s="65" t="str">
        <f>IFERROR(__xludf.DUMMYFUNCTION("""COMPUTED_VALUE"""),"CON RECAUDO")</f>
        <v>CON RECAUDO</v>
      </c>
      <c r="M204" s="65" t="str">
        <f>IFERROR(__xludf.DUMMYFUNCTION("""COMPUTED_VALUE"""),"PICHINCHA")</f>
        <v>PICHINCHA</v>
      </c>
      <c r="N204" s="65" t="str">
        <f>IFERROR(__xludf.DUMMYFUNCTION("""COMPUTED_VALUE"""),"QUITO")</f>
        <v>QUITO</v>
      </c>
      <c r="O204" s="65" t="str">
        <f>IFERROR(__xludf.DUMMYFUNCTION("""COMPUTED_VALUE"""),"Calle S39A , Santa clara Etapa 3 y Manuel Lavaya ,  Frente a la Ferretería -  chillogallo")</f>
        <v>Calle S39A , Santa clara Etapa 3 y Manuel Lavaya ,  Frente a la Ferretería -  chillogallo</v>
      </c>
      <c r="P204" s="65"/>
      <c r="Q204" s="65" t="str">
        <f>IFERROR(__xludf.DUMMYFUNCTION("""COMPUTED_VALUE"""),"GINTRACOM")</f>
        <v>GINTRACOM</v>
      </c>
      <c r="R204" s="65">
        <f>IFERROR(__xludf.DUMMYFUNCTION("""COMPUTED_VALUE"""),30.0)</f>
        <v>30</v>
      </c>
      <c r="S204" s="65">
        <f>IFERROR(__xludf.DUMMYFUNCTION("""COMPUTED_VALUE"""),18.4)</f>
        <v>18.4</v>
      </c>
      <c r="T204" s="65">
        <f>IFERROR(__xludf.DUMMYFUNCTION("""COMPUTED_VALUE"""),4.55)</f>
        <v>4.55</v>
      </c>
      <c r="U204" s="65">
        <f>IFERROR(__xludf.DUMMYFUNCTION("""COMPUTED_VALUE"""),0.0)</f>
        <v>0</v>
      </c>
      <c r="V204" s="65">
        <f>IFERROR(__xludf.DUMMYFUNCTION("""COMPUTED_VALUE"""),0.0)</f>
        <v>0</v>
      </c>
      <c r="W204" s="65">
        <f>IFERROR(__xludf.DUMMYFUNCTION("""COMPUTED_VALUE"""),0.0)</f>
        <v>0</v>
      </c>
      <c r="X204" s="65">
        <f>IFERROR(__xludf.DUMMYFUNCTION("""COMPUTED_VALUE"""),2.35)</f>
        <v>2.35</v>
      </c>
      <c r="Y204" s="65">
        <f>IFERROR(__xludf.DUMMYFUNCTION("""COMPUTED_VALUE"""),7.05)</f>
        <v>7.05</v>
      </c>
      <c r="Z204" s="65">
        <f>IFERROR(__xludf.DUMMYFUNCTION("""COMPUTED_VALUE"""),116679.0)</f>
        <v>116679</v>
      </c>
      <c r="AA204" s="65" t="str">
        <f>IFERROR(__xludf.DUMMYFUNCTION("""COMPUTED_VALUE"""),"AMC-2738")</f>
        <v>AMC-2738</v>
      </c>
      <c r="AB204" s="65"/>
      <c r="AC204" s="65" t="str">
        <f>IFERROR(__xludf.DUMMYFUNCTION("""COMPUTED_VALUE"""),"ESPONJA ANTILLUVIA DE PARABRISAS")</f>
        <v>ESPONJA ANTILLUVIA DE PARABRISAS</v>
      </c>
      <c r="AD204" s="65"/>
      <c r="AE204" s="65">
        <f>IFERROR(__xludf.DUMMYFUNCTION("""COMPUTED_VALUE"""),3.0)</f>
        <v>3</v>
      </c>
      <c r="AF204" s="65"/>
      <c r="AG204" s="65"/>
      <c r="AH204" s="65"/>
      <c r="AI204" s="65"/>
      <c r="AJ204" s="65"/>
      <c r="AK204" s="65"/>
      <c r="AL204" s="65"/>
      <c r="AM204" s="65"/>
      <c r="AN204" s="65" t="str">
        <f>IFERROR(__xludf.DUMMYFUNCTION("""COMPUTED_VALUE"""),"08:03")</f>
        <v>08:03</v>
      </c>
      <c r="AO204" s="65" t="str">
        <f>IFERROR(__xludf.DUMMYFUNCTION("""COMPUTED_VALUE"""),"14-03-2026")</f>
        <v>14-03-2026</v>
      </c>
      <c r="AP204" s="65" t="str">
        <f>IFERROR(__xludf.DUMMYFUNCTION("""COMPUTED_VALUE"""),"EN REPARTO")</f>
        <v>EN REPARTO</v>
      </c>
      <c r="AQ204" s="65" t="str">
        <f>IFERROR(__xludf.DUMMYFUNCTION("""COMPUTED_VALUE"""),"EN REPARTO")</f>
        <v>EN REPARTO</v>
      </c>
      <c r="AR204" s="65"/>
      <c r="AS204" s="65"/>
      <c r="AT204" s="65" t="str">
        <f>IFERROR(__xludf.DUMMYFUNCTION("""COMPUTED_VALUE"""),"SHOPIFY")</f>
        <v>SHOPIFY</v>
      </c>
      <c r="AU204" s="65" t="str">
        <f>IFERROR(__xludf.DUMMYFUNCTION("""COMPUTED_VALUE"""),"IMPORTEX EC")</f>
        <v>IMPORTEX EC</v>
      </c>
      <c r="AV204" s="65" t="str">
        <f>IFERROR(__xludf.DUMMYFUNCTION("""COMPUTED_VALUE"""),"6572819808300")</f>
        <v>6572819808300</v>
      </c>
      <c r="AW204" s="65">
        <f>IFERROR(__xludf.DUMMYFUNCTION("""COMPUTED_VALUE"""),6647.0)</f>
        <v>6647</v>
      </c>
      <c r="AX204" s="65"/>
      <c r="AY204" s="65" t="str">
        <f>IFERROR(__xludf.DUMMYFUNCTION("""COMPUTED_VALUE"""),"13/03/2026")</f>
        <v>13/03/2026</v>
      </c>
      <c r="AZ204" s="65"/>
      <c r="BA204" s="65"/>
    </row>
    <row r="205">
      <c r="A205" s="65" t="str">
        <f>IFERROR(__xludf.DUMMYFUNCTION("""COMPUTED_VALUE"""),"27-03-2026")</f>
        <v>27-03-2026</v>
      </c>
      <c r="B205" s="65">
        <f>IFERROR(__xludf.DUMMYFUNCTION("""COMPUTED_VALUE"""),4773632.0)</f>
        <v>4773632</v>
      </c>
      <c r="C205" s="65" t="str">
        <f>IFERROR(__xludf.DUMMYFUNCTION("""COMPUTED_VALUE"""),"21:27")</f>
        <v>21:27</v>
      </c>
      <c r="D205" s="65" t="str">
        <f>IFERROR(__xludf.DUMMYFUNCTION("""COMPUTED_VALUE"""),"11-03-2026")</f>
        <v>11-03-2026</v>
      </c>
      <c r="E205" s="65" t="str">
        <f>IFERROR(__xludf.DUMMYFUNCTION("""COMPUTED_VALUE"""),"Eduardo Ayala")</f>
        <v>Eduardo Ayala</v>
      </c>
      <c r="F205" s="65" t="str">
        <f>IFERROR(__xludf.DUMMYFUNCTION("""COMPUTED_VALUE"""),"998990401")</f>
        <v>998990401</v>
      </c>
      <c r="G205" s="65" t="str">
        <f>IFERROR(__xludf.DUMMYFUNCTION("""COMPUTED_VALUE"""),"elayavino2017@gmail.com")</f>
        <v>elayavino2017@gmail.com</v>
      </c>
      <c r="H205" s="65"/>
      <c r="I205" s="65"/>
      <c r="J205" s="65" t="str">
        <f>IFERROR(__xludf.DUMMYFUNCTION("""COMPUTED_VALUE"""),"D001411256")</f>
        <v>D001411256</v>
      </c>
      <c r="K205" s="65" t="str">
        <f>IFERROR(__xludf.DUMMYFUNCTION("""COMPUTED_VALUE"""),"ENTREGADO")</f>
        <v>ENTREGADO</v>
      </c>
      <c r="L205" s="65" t="str">
        <f>IFERROR(__xludf.DUMMYFUNCTION("""COMPUTED_VALUE"""),"CON RECAUDO")</f>
        <v>CON RECAUDO</v>
      </c>
      <c r="M205" s="65" t="str">
        <f>IFERROR(__xludf.DUMMYFUNCTION("""COMPUTED_VALUE"""),"PICHINCHA")</f>
        <v>PICHINCHA</v>
      </c>
      <c r="N205" s="65" t="str">
        <f>IFERROR(__xludf.DUMMYFUNCTION("""COMPUTED_VALUE"""),"QUITO")</f>
        <v>QUITO</v>
      </c>
      <c r="O205" s="65" t="str">
        <f>IFERROR(__xludf.DUMMYFUNCTION("""COMPUTED_VALUE"""),"Av. de la República y Burgeois, esquina Av. República, Edificio Royal Prestige")</f>
        <v>Av. de la República y Burgeois, esquina Av. República, Edificio Royal Prestige</v>
      </c>
      <c r="P205" s="65"/>
      <c r="Q205" s="65" t="str">
        <f>IFERROR(__xludf.DUMMYFUNCTION("""COMPUTED_VALUE"""),"GINTRACOM")</f>
        <v>GINTRACOM</v>
      </c>
      <c r="R205" s="65">
        <f>IFERROR(__xludf.DUMMYFUNCTION("""COMPUTED_VALUE"""),25.0)</f>
        <v>25</v>
      </c>
      <c r="S205" s="65">
        <f>IFERROR(__xludf.DUMMYFUNCTION("""COMPUTED_VALUE"""),15.95)</f>
        <v>15.95</v>
      </c>
      <c r="T205" s="65">
        <f>IFERROR(__xludf.DUMMYFUNCTION("""COMPUTED_VALUE"""),4.35)</f>
        <v>4.35</v>
      </c>
      <c r="U205" s="65">
        <f>IFERROR(__xludf.DUMMYFUNCTION("""COMPUTED_VALUE"""),0.0)</f>
        <v>0</v>
      </c>
      <c r="V205" s="65">
        <f>IFERROR(__xludf.DUMMYFUNCTION("""COMPUTED_VALUE"""),0.0)</f>
        <v>0</v>
      </c>
      <c r="W205" s="65">
        <f>IFERROR(__xludf.DUMMYFUNCTION("""COMPUTED_VALUE"""),0.0)</f>
        <v>0</v>
      </c>
      <c r="X205" s="65">
        <f>IFERROR(__xludf.DUMMYFUNCTION("""COMPUTED_VALUE"""),2.35)</f>
        <v>2.35</v>
      </c>
      <c r="Y205" s="65">
        <f>IFERROR(__xludf.DUMMYFUNCTION("""COMPUTED_VALUE"""),4.7)</f>
        <v>4.7</v>
      </c>
      <c r="Z205" s="65">
        <f>IFERROR(__xludf.DUMMYFUNCTION("""COMPUTED_VALUE"""),116679.0)</f>
        <v>116679</v>
      </c>
      <c r="AA205" s="65" t="str">
        <f>IFERROR(__xludf.DUMMYFUNCTION("""COMPUTED_VALUE"""),"AMC-2738")</f>
        <v>AMC-2738</v>
      </c>
      <c r="AB205" s="65"/>
      <c r="AC205" s="65" t="str">
        <f>IFERROR(__xludf.DUMMYFUNCTION("""COMPUTED_VALUE"""),"ESPONJA ANTILLUVIA DE PARABRISAS")</f>
        <v>ESPONJA ANTILLUVIA DE PARABRISAS</v>
      </c>
      <c r="AD205" s="65"/>
      <c r="AE205" s="65">
        <f>IFERROR(__xludf.DUMMYFUNCTION("""COMPUTED_VALUE"""),2.0)</f>
        <v>2</v>
      </c>
      <c r="AF205" s="65"/>
      <c r="AG205" s="65"/>
      <c r="AH205" s="65"/>
      <c r="AI205" s="65"/>
      <c r="AJ205" s="65"/>
      <c r="AK205" s="65"/>
      <c r="AL205" s="65"/>
      <c r="AM205" s="65"/>
      <c r="AN205" s="65" t="str">
        <f>IFERROR(__xludf.DUMMYFUNCTION("""COMPUTED_VALUE"""),"17:38")</f>
        <v>17:38</v>
      </c>
      <c r="AO205" s="65" t="str">
        <f>IFERROR(__xludf.DUMMYFUNCTION("""COMPUTED_VALUE"""),"19-03-2026")</f>
        <v>19-03-2026</v>
      </c>
      <c r="AP205" s="65" t="str">
        <f>IFERROR(__xludf.DUMMYFUNCTION("""COMPUTED_VALUE"""),"ENTREGADA GINTRACOM")</f>
        <v>ENTREGADA GINTRACOM</v>
      </c>
      <c r="AQ205" s="65" t="str">
        <f>IFERROR(__xludf.DUMMYFUNCTION("""COMPUTED_VALUE"""),"ENTREGADA GINTRACOM")</f>
        <v>ENTREGADA GINTRACOM</v>
      </c>
      <c r="AR205" s="65"/>
      <c r="AS205" s="65"/>
      <c r="AT205" s="65" t="str">
        <f>IFERROR(__xludf.DUMMYFUNCTION("""COMPUTED_VALUE"""),"SHOPIFY")</f>
        <v>SHOPIFY</v>
      </c>
      <c r="AU205" s="65" t="str">
        <f>IFERROR(__xludf.DUMMYFUNCTION("""COMPUTED_VALUE"""),"IMPORTEX EC")</f>
        <v>IMPORTEX EC</v>
      </c>
      <c r="AV205" s="65" t="str">
        <f>IFERROR(__xludf.DUMMYFUNCTION("""COMPUTED_VALUE"""),"6572721307692")</f>
        <v>6572721307692</v>
      </c>
      <c r="AW205" s="65">
        <f>IFERROR(__xludf.DUMMYFUNCTION("""COMPUTED_VALUE"""),6646.0)</f>
        <v>6646</v>
      </c>
      <c r="AX205" s="65"/>
      <c r="AY205" s="65" t="str">
        <f>IFERROR(__xludf.DUMMYFUNCTION("""COMPUTED_VALUE"""),"13/03/2026")</f>
        <v>13/03/2026</v>
      </c>
      <c r="AZ205" s="65"/>
      <c r="BA205" s="65"/>
    </row>
    <row r="206">
      <c r="A206" s="65" t="str">
        <f>IFERROR(__xludf.DUMMYFUNCTION("""COMPUTED_VALUE"""),"27-03-2026")</f>
        <v>27-03-2026</v>
      </c>
      <c r="B206" s="65">
        <f>IFERROR(__xludf.DUMMYFUNCTION("""COMPUTED_VALUE"""),4772631.0)</f>
        <v>4772631</v>
      </c>
      <c r="C206" s="65" t="str">
        <f>IFERROR(__xludf.DUMMYFUNCTION("""COMPUTED_VALUE"""),"19:48")</f>
        <v>19:48</v>
      </c>
      <c r="D206" s="65" t="str">
        <f>IFERROR(__xludf.DUMMYFUNCTION("""COMPUTED_VALUE"""),"11-03-2026")</f>
        <v>11-03-2026</v>
      </c>
      <c r="E206" s="65" t="str">
        <f>IFERROR(__xludf.DUMMYFUNCTION("""COMPUTED_VALUE"""),"Diego ORDOÑEZ")</f>
        <v>Diego ORDOÑEZ</v>
      </c>
      <c r="F206" s="65" t="str">
        <f>IFERROR(__xludf.DUMMYFUNCTION("""COMPUTED_VALUE"""),"968660854")</f>
        <v>968660854</v>
      </c>
      <c r="G206" s="65" t="str">
        <f>IFERROR(__xludf.DUMMYFUNCTION("""COMPUTED_VALUE"""),"gudyka.3008@gmail.com")</f>
        <v>gudyka.3008@gmail.com</v>
      </c>
      <c r="H206" s="65"/>
      <c r="I206" s="65"/>
      <c r="J206" s="65" t="str">
        <f>IFERROR(__xludf.DUMMYFUNCTION("""COMPUTED_VALUE"""),"186655924")</f>
        <v>186655924</v>
      </c>
      <c r="K206" s="65" t="str">
        <f>IFERROR(__xludf.DUMMYFUNCTION("""COMPUTED_VALUE"""),"ENTREGADO")</f>
        <v>ENTREGADO</v>
      </c>
      <c r="L206" s="65" t="str">
        <f>IFERROR(__xludf.DUMMYFUNCTION("""COMPUTED_VALUE"""),"CON RECAUDO")</f>
        <v>CON RECAUDO</v>
      </c>
      <c r="M206" s="65" t="str">
        <f>IFERROR(__xludf.DUMMYFUNCTION("""COMPUTED_VALUE"""),"IMBABURA")</f>
        <v>IMBABURA</v>
      </c>
      <c r="N206" s="65" t="str">
        <f>IFERROR(__xludf.DUMMYFUNCTION("""COMPUTED_VALUE"""),"ADUANA")</f>
        <v>ADUANA</v>
      </c>
      <c r="O206" s="65" t="str">
        <f>IFERROR(__xludf.DUMMYFUNCTION("""COMPUTED_VALUE"""),"Calle piman y piñan Priorato -")</f>
        <v>Calle piman y piñan Priorato -</v>
      </c>
      <c r="P206" s="65"/>
      <c r="Q206" s="65" t="str">
        <f>IFERROR(__xludf.DUMMYFUNCTION("""COMPUTED_VALUE"""),"SERVIENTREGA")</f>
        <v>SERVIENTREGA</v>
      </c>
      <c r="R206" s="65">
        <f>IFERROR(__xludf.DUMMYFUNCTION("""COMPUTED_VALUE"""),25.0)</f>
        <v>25</v>
      </c>
      <c r="S206" s="65">
        <f>IFERROR(__xludf.DUMMYFUNCTION("""COMPUTED_VALUE"""),12.55)</f>
        <v>12.55</v>
      </c>
      <c r="T206" s="65">
        <f>IFERROR(__xludf.DUMMYFUNCTION("""COMPUTED_VALUE"""),7.75)</f>
        <v>7.75</v>
      </c>
      <c r="U206" s="65">
        <f>IFERROR(__xludf.DUMMYFUNCTION("""COMPUTED_VALUE"""),0.0)</f>
        <v>0</v>
      </c>
      <c r="V206" s="65">
        <f>IFERROR(__xludf.DUMMYFUNCTION("""COMPUTED_VALUE"""),0.0)</f>
        <v>0</v>
      </c>
      <c r="W206" s="65">
        <f>IFERROR(__xludf.DUMMYFUNCTION("""COMPUTED_VALUE"""),0.0)</f>
        <v>0</v>
      </c>
      <c r="X206" s="65">
        <f>IFERROR(__xludf.DUMMYFUNCTION("""COMPUTED_VALUE"""),2.35)</f>
        <v>2.35</v>
      </c>
      <c r="Y206" s="65">
        <f>IFERROR(__xludf.DUMMYFUNCTION("""COMPUTED_VALUE"""),4.7)</f>
        <v>4.7</v>
      </c>
      <c r="Z206" s="65">
        <f>IFERROR(__xludf.DUMMYFUNCTION("""COMPUTED_VALUE"""),116679.0)</f>
        <v>116679</v>
      </c>
      <c r="AA206" s="65" t="str">
        <f>IFERROR(__xludf.DUMMYFUNCTION("""COMPUTED_VALUE"""),"AMC-2738")</f>
        <v>AMC-2738</v>
      </c>
      <c r="AB206" s="65"/>
      <c r="AC206" s="65" t="str">
        <f>IFERROR(__xludf.DUMMYFUNCTION("""COMPUTED_VALUE"""),"ESPONJA ANTILLUVIA DE PARABRISAS")</f>
        <v>ESPONJA ANTILLUVIA DE PARABRISAS</v>
      </c>
      <c r="AD206" s="65"/>
      <c r="AE206" s="65">
        <f>IFERROR(__xludf.DUMMYFUNCTION("""COMPUTED_VALUE"""),2.0)</f>
        <v>2</v>
      </c>
      <c r="AF206" s="65"/>
      <c r="AG206" s="65"/>
      <c r="AH206" s="65"/>
      <c r="AI206" s="65"/>
      <c r="AJ206" s="65"/>
      <c r="AK206" s="65"/>
      <c r="AL206" s="65"/>
      <c r="AM206" s="65"/>
      <c r="AN206" s="65" t="str">
        <f>IFERROR(__xludf.DUMMYFUNCTION("""COMPUTED_VALUE"""),"10:48")</f>
        <v>10:48</v>
      </c>
      <c r="AO206" s="65" t="str">
        <f>IFERROR(__xludf.DUMMYFUNCTION("""COMPUTED_VALUE"""),"16-03-2026")</f>
        <v>16-03-2026</v>
      </c>
      <c r="AP206" s="65" t="str">
        <f>IFERROR(__xludf.DUMMYFUNCTION("""COMPUTED_VALUE"""),"REPORTADO ENTREGADO EN APP")</f>
        <v>REPORTADO ENTREGADO EN APP</v>
      </c>
      <c r="AQ206" s="65" t="str">
        <f>IFERROR(__xludf.DUMMYFUNCTION("""COMPUTED_VALUE"""),"diego ordoes")</f>
        <v>diego ordoes</v>
      </c>
      <c r="AR206" s="65"/>
      <c r="AS206" s="65"/>
      <c r="AT206" s="65" t="str">
        <f>IFERROR(__xludf.DUMMYFUNCTION("""COMPUTED_VALUE"""),"SHOPIFY")</f>
        <v>SHOPIFY</v>
      </c>
      <c r="AU206" s="65" t="str">
        <f>IFERROR(__xludf.DUMMYFUNCTION("""COMPUTED_VALUE"""),"IMPORTEX EC")</f>
        <v>IMPORTEX EC</v>
      </c>
      <c r="AV206" s="65" t="str">
        <f>IFERROR(__xludf.DUMMYFUNCTION("""COMPUTED_VALUE"""),"6572559335468")</f>
        <v>6572559335468</v>
      </c>
      <c r="AW206" s="65">
        <f>IFERROR(__xludf.DUMMYFUNCTION("""COMPUTED_VALUE"""),6645.0)</f>
        <v>6645</v>
      </c>
      <c r="AX206" s="65"/>
      <c r="AY206" s="65" t="str">
        <f>IFERROR(__xludf.DUMMYFUNCTION("""COMPUTED_VALUE"""),"13/03/2026")</f>
        <v>13/03/2026</v>
      </c>
      <c r="AZ206" s="65"/>
      <c r="BA206" s="65"/>
    </row>
    <row r="207">
      <c r="A207" s="65" t="str">
        <f>IFERROR(__xludf.DUMMYFUNCTION("""COMPUTED_VALUE"""),"27-03-2026")</f>
        <v>27-03-2026</v>
      </c>
      <c r="B207" s="65">
        <f>IFERROR(__xludf.DUMMYFUNCTION("""COMPUTED_VALUE"""),4772442.0)</f>
        <v>4772442</v>
      </c>
      <c r="C207" s="65" t="str">
        <f>IFERROR(__xludf.DUMMYFUNCTION("""COMPUTED_VALUE"""),"19:27")</f>
        <v>19:27</v>
      </c>
      <c r="D207" s="65" t="str">
        <f>IFERROR(__xludf.DUMMYFUNCTION("""COMPUTED_VALUE"""),"11-03-2026")</f>
        <v>11-03-2026</v>
      </c>
      <c r="E207" s="65" t="str">
        <f>IFERROR(__xludf.DUMMYFUNCTION("""COMPUTED_VALUE"""),"Ivan Montalvo Cajas")</f>
        <v>Ivan Montalvo Cajas</v>
      </c>
      <c r="F207" s="65" t="str">
        <f>IFERROR(__xludf.DUMMYFUNCTION("""COMPUTED_VALUE"""),"995401414")</f>
        <v>995401414</v>
      </c>
      <c r="G207" s="65" t="str">
        <f>IFERROR(__xludf.DUMMYFUNCTION("""COMPUTED_VALUE"""),"ivanmontalvo_ec@hotmail.com")</f>
        <v>ivanmontalvo_ec@hotmail.com</v>
      </c>
      <c r="H207" s="65"/>
      <c r="I207" s="65"/>
      <c r="J207" s="65"/>
      <c r="K207" s="65" t="str">
        <f>IFERROR(__xludf.DUMMYFUNCTION("""COMPUTED_VALUE"""),"PENDIENTE CONFIRMACION")</f>
        <v>PENDIENTE CONFIRMACION</v>
      </c>
      <c r="L207" s="65" t="str">
        <f>IFERROR(__xludf.DUMMYFUNCTION("""COMPUTED_VALUE"""),"CON RECAUDO")</f>
        <v>CON RECAUDO</v>
      </c>
      <c r="M207" s="65" t="str">
        <f>IFERROR(__xludf.DUMMYFUNCTION("""COMPUTED_VALUE"""),"COTOPAXI")</f>
        <v>COTOPAXI</v>
      </c>
      <c r="N207" s="65" t="str">
        <f>IFERROR(__xludf.DUMMYFUNCTION("""COMPUTED_VALUE"""),"LATACUNGA")</f>
        <v>LATACUNGA</v>
      </c>
      <c r="O207" s="65" t="str">
        <f>IFERROR(__xludf.DUMMYFUNCTION("""COMPUTED_VALUE"""),"Susana Donoso y Gabriela Mistral Unidad nacional -")</f>
        <v>Susana Donoso y Gabriela Mistral Unidad nacional -</v>
      </c>
      <c r="P207" s="65"/>
      <c r="Q207" s="65" t="str">
        <f>IFERROR(__xludf.DUMMYFUNCTION("""COMPUTED_VALUE"""),"GINTRACOM")</f>
        <v>GINTRACOM</v>
      </c>
      <c r="R207" s="65">
        <f>IFERROR(__xludf.DUMMYFUNCTION("""COMPUTED_VALUE"""),25.0)</f>
        <v>25</v>
      </c>
      <c r="S207" s="65"/>
      <c r="T207" s="65">
        <f>IFERROR(__xludf.DUMMYFUNCTION("""COMPUTED_VALUE"""),5.96)</f>
        <v>5.96</v>
      </c>
      <c r="U207" s="65">
        <f>IFERROR(__xludf.DUMMYFUNCTION("""COMPUTED_VALUE"""),0.0)</f>
        <v>0</v>
      </c>
      <c r="V207" s="65">
        <f>IFERROR(__xludf.DUMMYFUNCTION("""COMPUTED_VALUE"""),0.0)</f>
        <v>0</v>
      </c>
      <c r="W207" s="65">
        <f>IFERROR(__xludf.DUMMYFUNCTION("""COMPUTED_VALUE"""),0.0)</f>
        <v>0</v>
      </c>
      <c r="X207" s="65">
        <f>IFERROR(__xludf.DUMMYFUNCTION("""COMPUTED_VALUE"""),3.5)</f>
        <v>3.5</v>
      </c>
      <c r="Y207" s="65">
        <f>IFERROR(__xludf.DUMMYFUNCTION("""COMPUTED_VALUE"""),7.0)</f>
        <v>7</v>
      </c>
      <c r="Z207" s="65">
        <f>IFERROR(__xludf.DUMMYFUNCTION("""COMPUTED_VALUE"""),87095.0)</f>
        <v>87095</v>
      </c>
      <c r="AA207" s="65" t="str">
        <f>IFERROR(__xludf.DUMMYFUNCTION("""COMPUTED_VALUE"""),"FILTRO DE DRENAJE")</f>
        <v>FILTRO DE DRENAJE</v>
      </c>
      <c r="AB207" s="65"/>
      <c r="AC207" s="65" t="str">
        <f>IFERROR(__xludf.DUMMYFUNCTION("""COMPUTED_VALUE"""),"FILTRO DE DRENAJE")</f>
        <v>FILTRO DE DRENAJE</v>
      </c>
      <c r="AD207" s="65"/>
      <c r="AE207" s="65">
        <f>IFERROR(__xludf.DUMMYFUNCTION("""COMPUTED_VALUE"""),2.0)</f>
        <v>2</v>
      </c>
      <c r="AF207" s="65"/>
      <c r="AG207" s="65"/>
      <c r="AH207" s="65"/>
      <c r="AI207" s="65"/>
      <c r="AJ207" s="65"/>
      <c r="AK207" s="65"/>
      <c r="AL207" s="65"/>
      <c r="AM207" s="65"/>
      <c r="AN207" s="65"/>
      <c r="AO207" s="65"/>
      <c r="AP207" s="65"/>
      <c r="AQ207" s="65"/>
      <c r="AR207" s="65"/>
      <c r="AS207" s="65"/>
      <c r="AT207" s="65" t="str">
        <f>IFERROR(__xludf.DUMMYFUNCTION("""COMPUTED_VALUE"""),"SHOPIFY")</f>
        <v>SHOPIFY</v>
      </c>
      <c r="AU207" s="65" t="str">
        <f>IFERROR(__xludf.DUMMYFUNCTION("""COMPUTED_VALUE"""),"IMPORTEX EC")</f>
        <v>IMPORTEX EC</v>
      </c>
      <c r="AV207" s="65" t="str">
        <f>IFERROR(__xludf.DUMMYFUNCTION("""COMPUTED_VALUE"""),"6572528304172")</f>
        <v>6572528304172</v>
      </c>
      <c r="AW207" s="65">
        <f>IFERROR(__xludf.DUMMYFUNCTION("""COMPUTED_VALUE"""),6644.0)</f>
        <v>6644</v>
      </c>
      <c r="AX207" s="65"/>
      <c r="AY207" s="65"/>
      <c r="AZ207" s="65"/>
      <c r="BA207" s="65"/>
    </row>
    <row r="208">
      <c r="A208" s="65" t="str">
        <f>IFERROR(__xludf.DUMMYFUNCTION("""COMPUTED_VALUE"""),"27-03-2026")</f>
        <v>27-03-2026</v>
      </c>
      <c r="B208" s="65">
        <f>IFERROR(__xludf.DUMMYFUNCTION("""COMPUTED_VALUE"""),4771703.0)</f>
        <v>4771703</v>
      </c>
      <c r="C208" s="65" t="str">
        <f>IFERROR(__xludf.DUMMYFUNCTION("""COMPUTED_VALUE"""),"17:52")</f>
        <v>17:52</v>
      </c>
      <c r="D208" s="65" t="str">
        <f>IFERROR(__xludf.DUMMYFUNCTION("""COMPUTED_VALUE"""),"11-03-2026")</f>
        <v>11-03-2026</v>
      </c>
      <c r="E208" s="65" t="str">
        <f>IFERROR(__xludf.DUMMYFUNCTION("""COMPUTED_VALUE"""),"Angel Enrique Bautista Guerrero")</f>
        <v>Angel Enrique Bautista Guerrero</v>
      </c>
      <c r="F208" s="65" t="str">
        <f>IFERROR(__xludf.DUMMYFUNCTION("""COMPUTED_VALUE"""),"980176130")</f>
        <v>980176130</v>
      </c>
      <c r="G208" s="65" t="str">
        <f>IFERROR(__xludf.DUMMYFUNCTION("""COMPUTED_VALUE"""),"aebautista1002@gmail.com")</f>
        <v>aebautista1002@gmail.com</v>
      </c>
      <c r="H208" s="65"/>
      <c r="I208" s="65"/>
      <c r="J208" s="65" t="str">
        <f>IFERROR(__xludf.DUMMYFUNCTION("""COMPUTED_VALUE"""),"D001411491")</f>
        <v>D001411491</v>
      </c>
      <c r="K208" s="65" t="str">
        <f>IFERROR(__xludf.DUMMYFUNCTION("""COMPUTED_VALUE"""),"ENTREGADO")</f>
        <v>ENTREGADO</v>
      </c>
      <c r="L208" s="65" t="str">
        <f>IFERROR(__xludf.DUMMYFUNCTION("""COMPUTED_VALUE"""),"CON RECAUDO")</f>
        <v>CON RECAUDO</v>
      </c>
      <c r="M208" s="65" t="str">
        <f>IFERROR(__xludf.DUMMYFUNCTION("""COMPUTED_VALUE"""),"PICHINCHA")</f>
        <v>PICHINCHA</v>
      </c>
      <c r="N208" s="65" t="str">
        <f>IFERROR(__xludf.DUMMYFUNCTION("""COMPUTED_VALUE"""),"QUITO")</f>
        <v>QUITO</v>
      </c>
      <c r="O208" s="65" t="str">
        <f>IFERROR(__xludf.DUMMYFUNCTION("""COMPUTED_VALUE"""),"Calle 23 de Abril , Conjunto Llano Dorado   Casa N3  y  Calle  25 de Noviembre,  Llano Grande,  sector el Carmen -  quito")</f>
        <v>Calle 23 de Abril , Conjunto Llano Dorado   Casa N3  y  Calle  25 de Noviembre,  Llano Grande,  sector el Carmen -  quito</v>
      </c>
      <c r="P208" s="65"/>
      <c r="Q208" s="65" t="str">
        <f>IFERROR(__xludf.DUMMYFUNCTION("""COMPUTED_VALUE"""),"GINTRACOM")</f>
        <v>GINTRACOM</v>
      </c>
      <c r="R208" s="65">
        <f>IFERROR(__xludf.DUMMYFUNCTION("""COMPUTED_VALUE"""),32.01)</f>
        <v>32.01</v>
      </c>
      <c r="S208" s="65">
        <f>IFERROR(__xludf.DUMMYFUNCTION("""COMPUTED_VALUE"""),15.27)</f>
        <v>15.27</v>
      </c>
      <c r="T208" s="65">
        <f>IFERROR(__xludf.DUMMYFUNCTION("""COMPUTED_VALUE"""),6.24)</f>
        <v>6.24</v>
      </c>
      <c r="U208" s="65">
        <f>IFERROR(__xludf.DUMMYFUNCTION("""COMPUTED_VALUE"""),0.0)</f>
        <v>0</v>
      </c>
      <c r="V208" s="65">
        <f>IFERROR(__xludf.DUMMYFUNCTION("""COMPUTED_VALUE"""),0.0)</f>
        <v>0</v>
      </c>
      <c r="W208" s="65">
        <f>IFERROR(__xludf.DUMMYFUNCTION("""COMPUTED_VALUE"""),0.0)</f>
        <v>0</v>
      </c>
      <c r="X208" s="65">
        <f>IFERROR(__xludf.DUMMYFUNCTION("""COMPUTED_VALUE"""),3.5)</f>
        <v>3.5</v>
      </c>
      <c r="Y208" s="65">
        <f>IFERROR(__xludf.DUMMYFUNCTION("""COMPUTED_VALUE"""),10.5)</f>
        <v>10.5</v>
      </c>
      <c r="Z208" s="65">
        <f>IFERROR(__xludf.DUMMYFUNCTION("""COMPUTED_VALUE"""),87095.0)</f>
        <v>87095</v>
      </c>
      <c r="AA208" s="65" t="str">
        <f>IFERROR(__xludf.DUMMYFUNCTION("""COMPUTED_VALUE"""),"FILTRO DE DRENAJE")</f>
        <v>FILTRO DE DRENAJE</v>
      </c>
      <c r="AB208" s="65"/>
      <c r="AC208" s="65" t="str">
        <f>IFERROR(__xludf.DUMMYFUNCTION("""COMPUTED_VALUE"""),"FILTRO DE DRENAJE")</f>
        <v>FILTRO DE DRENAJE</v>
      </c>
      <c r="AD208" s="65"/>
      <c r="AE208" s="65">
        <f>IFERROR(__xludf.DUMMYFUNCTION("""COMPUTED_VALUE"""),3.0)</f>
        <v>3</v>
      </c>
      <c r="AF208" s="65" t="str">
        <f>IFERROR(__xludf.DUMMYFUNCTION("""COMPUTED_VALUE"""),"DESTINATARIO NO SE ENCUENTRA EN LUGAR DE ENTREGA.")</f>
        <v>DESTINATARIO NO SE ENCUENTRA EN LUGAR DE ENTREGA.</v>
      </c>
      <c r="AG208" s="65" t="str">
        <f>IFERROR(__xludf.DUMMYFUNCTION("""COMPUTED_VALUE"""),"SI")</f>
        <v>SI</v>
      </c>
      <c r="AH208" s="65" t="str">
        <f>IFERROR(__xludf.DUMMYFUNCTION("""COMPUTED_VALUE"""),"16:34")</f>
        <v>16:34</v>
      </c>
      <c r="AI208" s="65" t="str">
        <f>IFERROR(__xludf.DUMMYFUNCTION("""COMPUTED_VALUE"""),"14-03-2026")</f>
        <v>14-03-2026</v>
      </c>
      <c r="AJ208" s="65" t="str">
        <f>IFERROR(__xludf.DUMMYFUNCTION("""COMPUTED_VALUE"""),"Cliente solicita la entrega inmediata")</f>
        <v>Cliente solicita la entrega inmediata</v>
      </c>
      <c r="AK208" s="65" t="str">
        <f>IFERROR(__xludf.DUMMYFUNCTION("""COMPUTED_VALUE"""),"11:29")</f>
        <v>11:29</v>
      </c>
      <c r="AL208" s="65" t="str">
        <f>IFERROR(__xludf.DUMMYFUNCTION("""COMPUTED_VALUE"""),"16-03-2026")</f>
        <v>16-03-2026</v>
      </c>
      <c r="AM208" s="65"/>
      <c r="AN208" s="65" t="str">
        <f>IFERROR(__xludf.DUMMYFUNCTION("""COMPUTED_VALUE"""),"09:05")</f>
        <v>09:05</v>
      </c>
      <c r="AO208" s="65" t="str">
        <f>IFERROR(__xludf.DUMMYFUNCTION("""COMPUTED_VALUE"""),"17-03-2026")</f>
        <v>17-03-2026</v>
      </c>
      <c r="AP208" s="65" t="str">
        <f>IFERROR(__xludf.DUMMYFUNCTION("""COMPUTED_VALUE"""),"EN REPARTO")</f>
        <v>EN REPARTO</v>
      </c>
      <c r="AQ208" s="65" t="str">
        <f>IFERROR(__xludf.DUMMYFUNCTION("""COMPUTED_VALUE"""),"EN REPARTO")</f>
        <v>EN REPARTO</v>
      </c>
      <c r="AR208" s="65"/>
      <c r="AS208" s="65"/>
      <c r="AT208" s="65" t="str">
        <f>IFERROR(__xludf.DUMMYFUNCTION("""COMPUTED_VALUE"""),"SHOPIFY")</f>
        <v>SHOPIFY</v>
      </c>
      <c r="AU208" s="65" t="str">
        <f>IFERROR(__xludf.DUMMYFUNCTION("""COMPUTED_VALUE"""),"IMPORTEX EC")</f>
        <v>IMPORTEX EC</v>
      </c>
      <c r="AV208" s="65" t="str">
        <f>IFERROR(__xludf.DUMMYFUNCTION("""COMPUTED_VALUE"""),"6572373475372")</f>
        <v>6572373475372</v>
      </c>
      <c r="AW208" s="65">
        <f>IFERROR(__xludf.DUMMYFUNCTION("""COMPUTED_VALUE"""),6643.0)</f>
        <v>6643</v>
      </c>
      <c r="AX208" s="65"/>
      <c r="AY208" s="65" t="str">
        <f>IFERROR(__xludf.DUMMYFUNCTION("""COMPUTED_VALUE"""),"13/03/2026")</f>
        <v>13/03/2026</v>
      </c>
      <c r="AZ208" s="65"/>
      <c r="BA208" s="65"/>
    </row>
    <row r="209">
      <c r="A209" s="65" t="str">
        <f>IFERROR(__xludf.DUMMYFUNCTION("""COMPUTED_VALUE"""),"27-03-2026")</f>
        <v>27-03-2026</v>
      </c>
      <c r="B209" s="65">
        <f>IFERROR(__xludf.DUMMYFUNCTION("""COMPUTED_VALUE"""),4771528.0)</f>
        <v>4771528</v>
      </c>
      <c r="C209" s="65" t="str">
        <f>IFERROR(__xludf.DUMMYFUNCTION("""COMPUTED_VALUE"""),"17:30")</f>
        <v>17:30</v>
      </c>
      <c r="D209" s="65" t="str">
        <f>IFERROR(__xludf.DUMMYFUNCTION("""COMPUTED_VALUE"""),"11-03-2026")</f>
        <v>11-03-2026</v>
      </c>
      <c r="E209" s="65" t="str">
        <f>IFERROR(__xludf.DUMMYFUNCTION("""COMPUTED_VALUE"""),"Mariana Ayllon")</f>
        <v>Mariana Ayllon</v>
      </c>
      <c r="F209" s="65" t="str">
        <f>IFERROR(__xludf.DUMMYFUNCTION("""COMPUTED_VALUE"""),"987240271")</f>
        <v>987240271</v>
      </c>
      <c r="G209" s="65" t="str">
        <f>IFERROR(__xludf.DUMMYFUNCTION("""COMPUTED_VALUE"""),"marianadejesusa@gmail.com")</f>
        <v>marianadejesusa@gmail.com</v>
      </c>
      <c r="H209" s="65"/>
      <c r="I209" s="65"/>
      <c r="J209" s="65" t="str">
        <f>IFERROR(__xludf.DUMMYFUNCTION("""COMPUTED_VALUE"""),"D001411257")</f>
        <v>D001411257</v>
      </c>
      <c r="K209" s="65" t="str">
        <f>IFERROR(__xludf.DUMMYFUNCTION("""COMPUTED_VALUE"""),"ENTREGADO")</f>
        <v>ENTREGADO</v>
      </c>
      <c r="L209" s="65" t="str">
        <f>IFERROR(__xludf.DUMMYFUNCTION("""COMPUTED_VALUE"""),"CON RECAUDO")</f>
        <v>CON RECAUDO</v>
      </c>
      <c r="M209" s="65" t="str">
        <f>IFERROR(__xludf.DUMMYFUNCTION("""COMPUTED_VALUE"""),"EL ORO")</f>
        <v>EL ORO</v>
      </c>
      <c r="N209" s="65" t="str">
        <f>IFERROR(__xludf.DUMMYFUNCTION("""COMPUTED_VALUE"""),"MACHALA")</f>
        <v>MACHALA</v>
      </c>
      <c r="O209" s="65" t="str">
        <f>IFERROR(__xludf.DUMMYFUNCTION("""COMPUTED_VALUE"""),"Urzeza 2  Sector 3 - REFERENCIA : Lubricadora lubrimor")</f>
        <v>Urzeza 2  Sector 3 - REFERENCIA : Lubricadora lubrimor</v>
      </c>
      <c r="P209" s="65"/>
      <c r="Q209" s="65" t="str">
        <f>IFERROR(__xludf.DUMMYFUNCTION("""COMPUTED_VALUE"""),"GINTRACOM")</f>
        <v>GINTRACOM</v>
      </c>
      <c r="R209" s="65">
        <f>IFERROR(__xludf.DUMMYFUNCTION("""COMPUTED_VALUE"""),20.0)</f>
        <v>20</v>
      </c>
      <c r="S209" s="65">
        <f>IFERROR(__xludf.DUMMYFUNCTION("""COMPUTED_VALUE"""),11.89)</f>
        <v>11.89</v>
      </c>
      <c r="T209" s="65">
        <f>IFERROR(__xludf.DUMMYFUNCTION("""COMPUTED_VALUE"""),5.76)</f>
        <v>5.76</v>
      </c>
      <c r="U209" s="65">
        <f>IFERROR(__xludf.DUMMYFUNCTION("""COMPUTED_VALUE"""),0.0)</f>
        <v>0</v>
      </c>
      <c r="V209" s="65">
        <f>IFERROR(__xludf.DUMMYFUNCTION("""COMPUTED_VALUE"""),0.0)</f>
        <v>0</v>
      </c>
      <c r="W209" s="65">
        <f>IFERROR(__xludf.DUMMYFUNCTION("""COMPUTED_VALUE"""),0.0)</f>
        <v>0</v>
      </c>
      <c r="X209" s="65">
        <f>IFERROR(__xludf.DUMMYFUNCTION("""COMPUTED_VALUE"""),2.35)</f>
        <v>2.35</v>
      </c>
      <c r="Y209" s="65">
        <f>IFERROR(__xludf.DUMMYFUNCTION("""COMPUTED_VALUE"""),2.35)</f>
        <v>2.35</v>
      </c>
      <c r="Z209" s="65">
        <f>IFERROR(__xludf.DUMMYFUNCTION("""COMPUTED_VALUE"""),116679.0)</f>
        <v>116679</v>
      </c>
      <c r="AA209" s="65" t="str">
        <f>IFERROR(__xludf.DUMMYFUNCTION("""COMPUTED_VALUE"""),"AMC-2738")</f>
        <v>AMC-2738</v>
      </c>
      <c r="AB209" s="65"/>
      <c r="AC209" s="65" t="str">
        <f>IFERROR(__xludf.DUMMYFUNCTION("""COMPUTED_VALUE"""),"ESPONJA ANTILLUVIA DE PARABRISAS")</f>
        <v>ESPONJA ANTILLUVIA DE PARABRISAS</v>
      </c>
      <c r="AD209" s="65"/>
      <c r="AE209" s="65">
        <f>IFERROR(__xludf.DUMMYFUNCTION("""COMPUTED_VALUE"""),1.0)</f>
        <v>1</v>
      </c>
      <c r="AF209" s="65" t="str">
        <f>IFERROR(__xludf.DUMMYFUNCTION("""COMPUTED_VALUE"""),"DESTINATARIO NO CONTESTA LLAMADAS NI WHATSAPP")</f>
        <v>DESTINATARIO NO CONTESTA LLAMADAS NI WHATSAPP</v>
      </c>
      <c r="AG209" s="65" t="str">
        <f>IFERROR(__xludf.DUMMYFUNCTION("""COMPUTED_VALUE"""),"NO")</f>
        <v>NO</v>
      </c>
      <c r="AH209" s="65" t="str">
        <f>IFERROR(__xludf.DUMMYFUNCTION("""COMPUTED_VALUE"""),"16:10")</f>
        <v>16:10</v>
      </c>
      <c r="AI209" s="65" t="str">
        <f>IFERROR(__xludf.DUMMYFUNCTION("""COMPUTED_VALUE"""),"20-03-2026")</f>
        <v>20-03-2026</v>
      </c>
      <c r="AJ209" s="65"/>
      <c r="AK209" s="65"/>
      <c r="AL209" s="65"/>
      <c r="AM209" s="65"/>
      <c r="AN209" s="65" t="str">
        <f>IFERROR(__xludf.DUMMYFUNCTION("""COMPUTED_VALUE"""),"10:37")</f>
        <v>10:37</v>
      </c>
      <c r="AO209" s="65" t="str">
        <f>IFERROR(__xludf.DUMMYFUNCTION("""COMPUTED_VALUE"""),"21-03-2026")</f>
        <v>21-03-2026</v>
      </c>
      <c r="AP209" s="65" t="str">
        <f>IFERROR(__xludf.DUMMYFUNCTION("""COMPUTED_VALUE"""),"ENTREGADA GINTRACOM")</f>
        <v>ENTREGADA GINTRACOM</v>
      </c>
      <c r="AQ209" s="65" t="str">
        <f>IFERROR(__xludf.DUMMYFUNCTION("""COMPUTED_VALUE"""),"ENTREGADA GINTRACOM")</f>
        <v>ENTREGADA GINTRACOM</v>
      </c>
      <c r="AR209" s="65"/>
      <c r="AS209" s="65"/>
      <c r="AT209" s="65" t="str">
        <f>IFERROR(__xludf.DUMMYFUNCTION("""COMPUTED_VALUE"""),"SHOPIFY")</f>
        <v>SHOPIFY</v>
      </c>
      <c r="AU209" s="65" t="str">
        <f>IFERROR(__xludf.DUMMYFUNCTION("""COMPUTED_VALUE"""),"IMPORTEX EC")</f>
        <v>IMPORTEX EC</v>
      </c>
      <c r="AV209" s="65" t="str">
        <f>IFERROR(__xludf.DUMMYFUNCTION("""COMPUTED_VALUE"""),"6572337463340")</f>
        <v>6572337463340</v>
      </c>
      <c r="AW209" s="65">
        <f>IFERROR(__xludf.DUMMYFUNCTION("""COMPUTED_VALUE"""),6642.0)</f>
        <v>6642</v>
      </c>
      <c r="AX209" s="65"/>
      <c r="AY209" s="65" t="str">
        <f>IFERROR(__xludf.DUMMYFUNCTION("""COMPUTED_VALUE"""),"13/03/2026")</f>
        <v>13/03/2026</v>
      </c>
      <c r="AZ209" s="65"/>
      <c r="BA209" s="65"/>
    </row>
    <row r="210">
      <c r="A210" s="65" t="str">
        <f>IFERROR(__xludf.DUMMYFUNCTION("""COMPUTED_VALUE"""),"27-03-2026")</f>
        <v>27-03-2026</v>
      </c>
      <c r="B210" s="65">
        <f>IFERROR(__xludf.DUMMYFUNCTION("""COMPUTED_VALUE"""),4771478.0)</f>
        <v>4771478</v>
      </c>
      <c r="C210" s="65" t="str">
        <f>IFERROR(__xludf.DUMMYFUNCTION("""COMPUTED_VALUE"""),"17:23")</f>
        <v>17:23</v>
      </c>
      <c r="D210" s="65" t="str">
        <f>IFERROR(__xludf.DUMMYFUNCTION("""COMPUTED_VALUE"""),"11-03-2026")</f>
        <v>11-03-2026</v>
      </c>
      <c r="E210" s="65" t="str">
        <f>IFERROR(__xludf.DUMMYFUNCTION("""COMPUTED_VALUE"""),"Frank Quevedo")</f>
        <v>Frank Quevedo</v>
      </c>
      <c r="F210" s="65" t="str">
        <f>IFERROR(__xludf.DUMMYFUNCTION("""COMPUTED_VALUE"""),"989657085")</f>
        <v>989657085</v>
      </c>
      <c r="G210" s="65"/>
      <c r="H210" s="65"/>
      <c r="I210" s="65"/>
      <c r="J210" s="65" t="str">
        <f>IFERROR(__xludf.DUMMYFUNCTION("""COMPUTED_VALUE"""),"D001411258")</f>
        <v>D001411258</v>
      </c>
      <c r="K210" s="65" t="str">
        <f>IFERROR(__xludf.DUMMYFUNCTION("""COMPUTED_VALUE"""),"ENTREGADO")</f>
        <v>ENTREGADO</v>
      </c>
      <c r="L210" s="65" t="str">
        <f>IFERROR(__xludf.DUMMYFUNCTION("""COMPUTED_VALUE"""),"CON RECAUDO")</f>
        <v>CON RECAUDO</v>
      </c>
      <c r="M210" s="65" t="str">
        <f>IFERROR(__xludf.DUMMYFUNCTION("""COMPUTED_VALUE"""),"EL ORO")</f>
        <v>EL ORO</v>
      </c>
      <c r="N210" s="65" t="str">
        <f>IFERROR(__xludf.DUMMYFUNCTION("""COMPUTED_VALUE"""),"MACHALA")</f>
        <v>MACHALA</v>
      </c>
      <c r="O210" s="65" t="str">
        <f>IFERROR(__xludf.DUMMYFUNCTION("""COMPUTED_VALUE"""),"16 0este 503 entre 3ra y 4ta Sur, Barrio  24 de Mayo -")</f>
        <v>16 0este 503 entre 3ra y 4ta Sur, Barrio  24 de Mayo -</v>
      </c>
      <c r="P210" s="65"/>
      <c r="Q210" s="65" t="str">
        <f>IFERROR(__xludf.DUMMYFUNCTION("""COMPUTED_VALUE"""),"GINTRACOM")</f>
        <v>GINTRACOM</v>
      </c>
      <c r="R210" s="65">
        <f>IFERROR(__xludf.DUMMYFUNCTION("""COMPUTED_VALUE"""),20.0)</f>
        <v>20</v>
      </c>
      <c r="S210" s="65">
        <f>IFERROR(__xludf.DUMMYFUNCTION("""COMPUTED_VALUE"""),11.89)</f>
        <v>11.89</v>
      </c>
      <c r="T210" s="65">
        <f>IFERROR(__xludf.DUMMYFUNCTION("""COMPUTED_VALUE"""),5.76)</f>
        <v>5.76</v>
      </c>
      <c r="U210" s="65">
        <f>IFERROR(__xludf.DUMMYFUNCTION("""COMPUTED_VALUE"""),0.0)</f>
        <v>0</v>
      </c>
      <c r="V210" s="65">
        <f>IFERROR(__xludf.DUMMYFUNCTION("""COMPUTED_VALUE"""),0.0)</f>
        <v>0</v>
      </c>
      <c r="W210" s="65">
        <f>IFERROR(__xludf.DUMMYFUNCTION("""COMPUTED_VALUE"""),0.0)</f>
        <v>0</v>
      </c>
      <c r="X210" s="65">
        <f>IFERROR(__xludf.DUMMYFUNCTION("""COMPUTED_VALUE"""),2.35)</f>
        <v>2.35</v>
      </c>
      <c r="Y210" s="65">
        <f>IFERROR(__xludf.DUMMYFUNCTION("""COMPUTED_VALUE"""),2.35)</f>
        <v>2.35</v>
      </c>
      <c r="Z210" s="65">
        <f>IFERROR(__xludf.DUMMYFUNCTION("""COMPUTED_VALUE"""),116679.0)</f>
        <v>116679</v>
      </c>
      <c r="AA210" s="65" t="str">
        <f>IFERROR(__xludf.DUMMYFUNCTION("""COMPUTED_VALUE"""),"AMC-2738")</f>
        <v>AMC-2738</v>
      </c>
      <c r="AB210" s="65"/>
      <c r="AC210" s="65" t="str">
        <f>IFERROR(__xludf.DUMMYFUNCTION("""COMPUTED_VALUE"""),"ESPONJA ANTILLUVIA DE PARABRISAS")</f>
        <v>ESPONJA ANTILLUVIA DE PARABRISAS</v>
      </c>
      <c r="AD210" s="65"/>
      <c r="AE210" s="65">
        <f>IFERROR(__xludf.DUMMYFUNCTION("""COMPUTED_VALUE"""),1.0)</f>
        <v>1</v>
      </c>
      <c r="AF210" s="65"/>
      <c r="AG210" s="65"/>
      <c r="AH210" s="65"/>
      <c r="AI210" s="65"/>
      <c r="AJ210" s="65"/>
      <c r="AK210" s="65"/>
      <c r="AL210" s="65"/>
      <c r="AM210" s="65"/>
      <c r="AN210" s="65" t="str">
        <f>IFERROR(__xludf.DUMMYFUNCTION("""COMPUTED_VALUE"""),"12:53")</f>
        <v>12:53</v>
      </c>
      <c r="AO210" s="65" t="str">
        <f>IFERROR(__xludf.DUMMYFUNCTION("""COMPUTED_VALUE"""),"16-03-2026")</f>
        <v>16-03-2026</v>
      </c>
      <c r="AP210" s="65" t="str">
        <f>IFERROR(__xludf.DUMMYFUNCTION("""COMPUTED_VALUE"""),"ENTREGADA GINTRACOM")</f>
        <v>ENTREGADA GINTRACOM</v>
      </c>
      <c r="AQ210" s="65" t="str">
        <f>IFERROR(__xludf.DUMMYFUNCTION("""COMPUTED_VALUE"""),"ENTREGADA GINTRACOM")</f>
        <v>ENTREGADA GINTRACOM</v>
      </c>
      <c r="AR210" s="65"/>
      <c r="AS210" s="65"/>
      <c r="AT210" s="65" t="str">
        <f>IFERROR(__xludf.DUMMYFUNCTION("""COMPUTED_VALUE"""),"SHOPIFY")</f>
        <v>SHOPIFY</v>
      </c>
      <c r="AU210" s="65" t="str">
        <f>IFERROR(__xludf.DUMMYFUNCTION("""COMPUTED_VALUE"""),"IMPORTEX EC")</f>
        <v>IMPORTEX EC</v>
      </c>
      <c r="AV210" s="65" t="str">
        <f>IFERROR(__xludf.DUMMYFUNCTION("""COMPUTED_VALUE"""),"6572322488364")</f>
        <v>6572322488364</v>
      </c>
      <c r="AW210" s="65">
        <f>IFERROR(__xludf.DUMMYFUNCTION("""COMPUTED_VALUE"""),6641.0)</f>
        <v>6641</v>
      </c>
      <c r="AX210" s="65"/>
      <c r="AY210" s="65" t="str">
        <f>IFERROR(__xludf.DUMMYFUNCTION("""COMPUTED_VALUE"""),"13/03/2026")</f>
        <v>13/03/2026</v>
      </c>
      <c r="AZ210" s="65"/>
      <c r="BA210" s="65"/>
    </row>
    <row r="211">
      <c r="A211" s="65" t="str">
        <f>IFERROR(__xludf.DUMMYFUNCTION("""COMPUTED_VALUE"""),"27-03-2026")</f>
        <v>27-03-2026</v>
      </c>
      <c r="B211" s="65">
        <f>IFERROR(__xludf.DUMMYFUNCTION("""COMPUTED_VALUE"""),4771233.0)</f>
        <v>4771233</v>
      </c>
      <c r="C211" s="65" t="str">
        <f>IFERROR(__xludf.DUMMYFUNCTION("""COMPUTED_VALUE"""),"16:54")</f>
        <v>16:54</v>
      </c>
      <c r="D211" s="65" t="str">
        <f>IFERROR(__xludf.DUMMYFUNCTION("""COMPUTED_VALUE"""),"11-03-2026")</f>
        <v>11-03-2026</v>
      </c>
      <c r="E211" s="65" t="str">
        <f>IFERROR(__xludf.DUMMYFUNCTION("""COMPUTED_VALUE"""),"Alexander Peñafiel")</f>
        <v>Alexander Peñafiel</v>
      </c>
      <c r="F211" s="65" t="str">
        <f>IFERROR(__xludf.DUMMYFUNCTION("""COMPUTED_VALUE"""),"0939367037")</f>
        <v>0939367037</v>
      </c>
      <c r="G211" s="65"/>
      <c r="H211" s="65"/>
      <c r="I211" s="65"/>
      <c r="J211" s="65" t="str">
        <f>IFERROR(__xludf.DUMMYFUNCTION("""COMPUTED_VALUE"""),"D001411260")</f>
        <v>D001411260</v>
      </c>
      <c r="K211" s="65" t="str">
        <f>IFERROR(__xludf.DUMMYFUNCTION("""COMPUTED_VALUE"""),"ENTREGADO")</f>
        <v>ENTREGADO</v>
      </c>
      <c r="L211" s="65" t="str">
        <f>IFERROR(__xludf.DUMMYFUNCTION("""COMPUTED_VALUE"""),"CON RECAUDO")</f>
        <v>CON RECAUDO</v>
      </c>
      <c r="M211" s="65" t="str">
        <f>IFERROR(__xludf.DUMMYFUNCTION("""COMPUTED_VALUE"""),"COTOPAXI")</f>
        <v>COTOPAXI</v>
      </c>
      <c r="N211" s="65" t="str">
        <f>IFERROR(__xludf.DUMMYFUNCTION("""COMPUTED_VALUE"""),"LA MANA")</f>
        <v>LA MANA</v>
      </c>
      <c r="O211" s="65" t="str">
        <f>IFERROR(__xludf.DUMMYFUNCTION("""COMPUTED_VALUE"""),"CALLE ASCASIA Y GUAYAQUIL ,  CASA SOLOR PLOMO - REFERENCIA DIAGONAL A UNIVERSIDAD COTOPAXI")</f>
        <v>CALLE ASCASIA Y GUAYAQUIL ,  CASA SOLOR PLOMO - REFERENCIA DIAGONAL A UNIVERSIDAD COTOPAXI</v>
      </c>
      <c r="P211" s="65" t="str">
        <f>IFERROR(__xludf.DUMMYFUNCTION("""COMPUTED_VALUE"""),"ESPONJA ANTILLUVIA DE PARABRISAS: Default Title ***")</f>
        <v>ESPONJA ANTILLUVIA DE PARABRISAS: Default Title ***</v>
      </c>
      <c r="Q211" s="65" t="str">
        <f>IFERROR(__xludf.DUMMYFUNCTION("""COMPUTED_VALUE"""),"GINTRACOM")</f>
        <v>GINTRACOM</v>
      </c>
      <c r="R211" s="65">
        <f>IFERROR(__xludf.DUMMYFUNCTION("""COMPUTED_VALUE"""),20.0)</f>
        <v>20</v>
      </c>
      <c r="S211" s="65">
        <f>IFERROR(__xludf.DUMMYFUNCTION("""COMPUTED_VALUE"""),11.89)</f>
        <v>11.89</v>
      </c>
      <c r="T211" s="65">
        <f>IFERROR(__xludf.DUMMYFUNCTION("""COMPUTED_VALUE"""),5.76)</f>
        <v>5.76</v>
      </c>
      <c r="U211" s="65">
        <f>IFERROR(__xludf.DUMMYFUNCTION("""COMPUTED_VALUE"""),0.0)</f>
        <v>0</v>
      </c>
      <c r="V211" s="65">
        <f>IFERROR(__xludf.DUMMYFUNCTION("""COMPUTED_VALUE"""),0.0)</f>
        <v>0</v>
      </c>
      <c r="W211" s="65">
        <f>IFERROR(__xludf.DUMMYFUNCTION("""COMPUTED_VALUE"""),0.0)</f>
        <v>0</v>
      </c>
      <c r="X211" s="65">
        <f>IFERROR(__xludf.DUMMYFUNCTION("""COMPUTED_VALUE"""),2.35)</f>
        <v>2.35</v>
      </c>
      <c r="Y211" s="65">
        <f>IFERROR(__xludf.DUMMYFUNCTION("""COMPUTED_VALUE"""),2.35)</f>
        <v>2.35</v>
      </c>
      <c r="Z211" s="65">
        <f>IFERROR(__xludf.DUMMYFUNCTION("""COMPUTED_VALUE"""),116679.0)</f>
        <v>116679</v>
      </c>
      <c r="AA211" s="65" t="str">
        <f>IFERROR(__xludf.DUMMYFUNCTION("""COMPUTED_VALUE"""),"AMC-2738")</f>
        <v>AMC-2738</v>
      </c>
      <c r="AB211" s="65"/>
      <c r="AC211" s="65" t="str">
        <f>IFERROR(__xludf.DUMMYFUNCTION("""COMPUTED_VALUE"""),"ESPONJA ANTILLUVIA DE PARABRISAS")</f>
        <v>ESPONJA ANTILLUVIA DE PARABRISAS</v>
      </c>
      <c r="AD211" s="65"/>
      <c r="AE211" s="65">
        <f>IFERROR(__xludf.DUMMYFUNCTION("""COMPUTED_VALUE"""),1.0)</f>
        <v>1</v>
      </c>
      <c r="AF211" s="65" t="str">
        <f>IFERROR(__xludf.DUMMYFUNCTION("""COMPUTED_VALUE"""),"DESTINATARIO NO CONTESTA LLAMADAS NI WHATSAPP")</f>
        <v>DESTINATARIO NO CONTESTA LLAMADAS NI WHATSAPP</v>
      </c>
      <c r="AG211" s="65" t="str">
        <f>IFERROR(__xludf.DUMMYFUNCTION("""COMPUTED_VALUE"""),"SI")</f>
        <v>SI</v>
      </c>
      <c r="AH211" s="65" t="str">
        <f>IFERROR(__xludf.DUMMYFUNCTION("""COMPUTED_VALUE"""),"18:47")</f>
        <v>18:47</v>
      </c>
      <c r="AI211" s="65" t="str">
        <f>IFERROR(__xludf.DUMMYFUNCTION("""COMPUTED_VALUE"""),"19-03-2026")</f>
        <v>19-03-2026</v>
      </c>
      <c r="AJ211" s="65" t="str">
        <f>IFERROR(__xludf.DUMMYFUNCTION("""COMPUTED_VALUE"""),"El cliente requiere entrega inmediata; por favor, coordinar directamente con él para concretar la entrega.")</f>
        <v>El cliente requiere entrega inmediata; por favor, coordinar directamente con él para concretar la entrega.</v>
      </c>
      <c r="AK211" s="65" t="str">
        <f>IFERROR(__xludf.DUMMYFUNCTION("""COMPUTED_VALUE"""),"12:38")</f>
        <v>12:38</v>
      </c>
      <c r="AL211" s="65" t="str">
        <f>IFERROR(__xludf.DUMMYFUNCTION("""COMPUTED_VALUE"""),"20-03-2026")</f>
        <v>20-03-2026</v>
      </c>
      <c r="AM211" s="65"/>
      <c r="AN211" s="65" t="str">
        <f>IFERROR(__xludf.DUMMYFUNCTION("""COMPUTED_VALUE"""),"08:53")</f>
        <v>08:53</v>
      </c>
      <c r="AO211" s="65" t="str">
        <f>IFERROR(__xludf.DUMMYFUNCTION("""COMPUTED_VALUE"""),"25-03-2026")</f>
        <v>25-03-2026</v>
      </c>
      <c r="AP211" s="65" t="str">
        <f>IFERROR(__xludf.DUMMYFUNCTION("""COMPUTED_VALUE"""),"ENTREGADA GINTRACOM")</f>
        <v>ENTREGADA GINTRACOM</v>
      </c>
      <c r="AQ211" s="65" t="str">
        <f>IFERROR(__xludf.DUMMYFUNCTION("""COMPUTED_VALUE"""),"ENTREGADA GINTRACOM")</f>
        <v>ENTREGADA GINTRACOM</v>
      </c>
      <c r="AR211" s="65"/>
      <c r="AS211" s="65"/>
      <c r="AT211" s="65" t="str">
        <f>IFERROR(__xludf.DUMMYFUNCTION("""COMPUTED_VALUE"""),"SHOPIFY")</f>
        <v>SHOPIFY</v>
      </c>
      <c r="AU211" s="65" t="str">
        <f>IFERROR(__xludf.DUMMYFUNCTION("""COMPUTED_VALUE"""),"IMPORTEX EC")</f>
        <v>IMPORTEX EC</v>
      </c>
      <c r="AV211" s="65" t="str">
        <f>IFERROR(__xludf.DUMMYFUNCTION("""COMPUTED_VALUE"""),"6572278218796")</f>
        <v>6572278218796</v>
      </c>
      <c r="AW211" s="65">
        <f>IFERROR(__xludf.DUMMYFUNCTION("""COMPUTED_VALUE"""),6640.0)</f>
        <v>6640</v>
      </c>
      <c r="AX211" s="65"/>
      <c r="AY211" s="65" t="str">
        <f>IFERROR(__xludf.DUMMYFUNCTION("""COMPUTED_VALUE"""),"13/03/2026")</f>
        <v>13/03/2026</v>
      </c>
      <c r="AZ211" s="65"/>
      <c r="BA211" s="65"/>
    </row>
    <row r="212">
      <c r="A212" s="65" t="str">
        <f>IFERROR(__xludf.DUMMYFUNCTION("""COMPUTED_VALUE"""),"27-03-2026")</f>
        <v>27-03-2026</v>
      </c>
      <c r="B212" s="65">
        <f>IFERROR(__xludf.DUMMYFUNCTION("""COMPUTED_VALUE"""),4768952.0)</f>
        <v>4768952</v>
      </c>
      <c r="C212" s="65" t="str">
        <f>IFERROR(__xludf.DUMMYFUNCTION("""COMPUTED_VALUE"""),"12:56")</f>
        <v>12:56</v>
      </c>
      <c r="D212" s="65" t="str">
        <f>IFERROR(__xludf.DUMMYFUNCTION("""COMPUTED_VALUE"""),"11-03-2026")</f>
        <v>11-03-2026</v>
      </c>
      <c r="E212" s="65" t="str">
        <f>IFERROR(__xludf.DUMMYFUNCTION("""COMPUTED_VALUE"""),"Marco Lozada")</f>
        <v>Marco Lozada</v>
      </c>
      <c r="F212" s="65" t="str">
        <f>IFERROR(__xludf.DUMMYFUNCTION("""COMPUTED_VALUE"""),"991148110")</f>
        <v>991148110</v>
      </c>
      <c r="G212" s="65"/>
      <c r="H212" s="65"/>
      <c r="I212" s="65"/>
      <c r="J212" s="65" t="str">
        <f>IFERROR(__xludf.DUMMYFUNCTION("""COMPUTED_VALUE"""),"V4002343154")</f>
        <v>V4002343154</v>
      </c>
      <c r="K212" s="65" t="str">
        <f>IFERROR(__xludf.DUMMYFUNCTION("""COMPUTED_VALUE"""),"ENTREGADO")</f>
        <v>ENTREGADO</v>
      </c>
      <c r="L212" s="65" t="str">
        <f>IFERROR(__xludf.DUMMYFUNCTION("""COMPUTED_VALUE"""),"CON RECAUDO")</f>
        <v>CON RECAUDO</v>
      </c>
      <c r="M212" s="65" t="str">
        <f>IFERROR(__xludf.DUMMYFUNCTION("""COMPUTED_VALUE"""),"GUAYAS")</f>
        <v>GUAYAS</v>
      </c>
      <c r="N212" s="65" t="str">
        <f>IFERROR(__xludf.DUMMYFUNCTION("""COMPUTED_VALUE"""),"GUAYAQUIL")</f>
        <v>GUAYAQUIL</v>
      </c>
      <c r="O212" s="65" t="str">
        <f>IFERROR(__xludf.DUMMYFUNCTION("""COMPUTED_VALUE"""),"EN LA 24  ENTRE LA M Y LA L  -  ENTRANDO  POR LA 29 AL Suburbio - REFERENCIA:   CERCA ESTACION 98")</f>
        <v>EN LA 24  ENTRE LA M Y LA L  -  ENTRANDO  POR LA 29 AL Suburbio - REFERENCIA:   CERCA ESTACION 98</v>
      </c>
      <c r="P212" s="65"/>
      <c r="Q212" s="65" t="str">
        <f>IFERROR(__xludf.DUMMYFUNCTION("""COMPUTED_VALUE"""),"VELOCES")</f>
        <v>VELOCES</v>
      </c>
      <c r="R212" s="65">
        <f>IFERROR(__xludf.DUMMYFUNCTION("""COMPUTED_VALUE"""),20.0)</f>
        <v>20</v>
      </c>
      <c r="S212" s="65">
        <f>IFERROR(__xludf.DUMMYFUNCTION("""COMPUTED_VALUE"""),12.15)</f>
        <v>12.15</v>
      </c>
      <c r="T212" s="65">
        <f>IFERROR(__xludf.DUMMYFUNCTION("""COMPUTED_VALUE"""),5.75)</f>
        <v>5.75</v>
      </c>
      <c r="U212" s="65">
        <f>IFERROR(__xludf.DUMMYFUNCTION("""COMPUTED_VALUE"""),0.0)</f>
        <v>0</v>
      </c>
      <c r="V212" s="65">
        <f>IFERROR(__xludf.DUMMYFUNCTION("""COMPUTED_VALUE"""),0.0)</f>
        <v>0</v>
      </c>
      <c r="W212" s="65">
        <f>IFERROR(__xludf.DUMMYFUNCTION("""COMPUTED_VALUE"""),0.0)</f>
        <v>0</v>
      </c>
      <c r="X212" s="65">
        <f>IFERROR(__xludf.DUMMYFUNCTION("""COMPUTED_VALUE"""),2.1)</f>
        <v>2.1</v>
      </c>
      <c r="Y212" s="65">
        <f>IFERROR(__xludf.DUMMYFUNCTION("""COMPUTED_VALUE"""),2.1)</f>
        <v>2.1</v>
      </c>
      <c r="Z212" s="65">
        <f>IFERROR(__xludf.DUMMYFUNCTION("""COMPUTED_VALUE"""),106245.0)</f>
        <v>106245</v>
      </c>
      <c r="AA212" s="65" t="str">
        <f>IFERROR(__xludf.DUMMYFUNCTION("""COMPUTED_VALUE"""),"IMP-045-CEPLIMAUT")</f>
        <v>IMP-045-CEPLIMAUT</v>
      </c>
      <c r="AB212" s="65"/>
      <c r="AC212" s="65" t="str">
        <f>IFERROR(__xludf.DUMMYFUNCTION("""COMPUTED_VALUE"""),"LIMPIADOR DE PARABRISAS Y VENTANAS")</f>
        <v>LIMPIADOR DE PARABRISAS Y VENTANAS</v>
      </c>
      <c r="AD212" s="65"/>
      <c r="AE212" s="65">
        <f>IFERROR(__xludf.DUMMYFUNCTION("""COMPUTED_VALUE"""),1.0)</f>
        <v>1</v>
      </c>
      <c r="AF212" s="65"/>
      <c r="AG212" s="65"/>
      <c r="AH212" s="65"/>
      <c r="AI212" s="65"/>
      <c r="AJ212" s="65"/>
      <c r="AK212" s="65"/>
      <c r="AL212" s="65"/>
      <c r="AM212" s="65"/>
      <c r="AN212" s="65"/>
      <c r="AO212" s="65"/>
      <c r="AP212" s="65"/>
      <c r="AQ212" s="65"/>
      <c r="AR212" s="65"/>
      <c r="AS212" s="65" t="str">
        <f>IFERROR(__xludf.DUMMYFUNCTION("""COMPUTED_VALUE"""),"PAUL BORJA")</f>
        <v>PAUL BORJA</v>
      </c>
      <c r="AT212" s="65"/>
      <c r="AU212" s="65"/>
      <c r="AV212" s="65"/>
      <c r="AW212" s="65"/>
      <c r="AX212" s="65"/>
      <c r="AY212" s="65" t="str">
        <f>IFERROR(__xludf.DUMMYFUNCTION("""COMPUTED_VALUE"""),"12/03/2026")</f>
        <v>12/03/2026</v>
      </c>
      <c r="AZ212" s="65"/>
      <c r="BA212" s="65"/>
    </row>
    <row r="213">
      <c r="A213" s="65" t="str">
        <f>IFERROR(__xludf.DUMMYFUNCTION("""COMPUTED_VALUE"""),"27-03-2026")</f>
        <v>27-03-2026</v>
      </c>
      <c r="B213" s="65">
        <f>IFERROR(__xludf.DUMMYFUNCTION("""COMPUTED_VALUE"""),4768605.0)</f>
        <v>4768605</v>
      </c>
      <c r="C213" s="65" t="str">
        <f>IFERROR(__xludf.DUMMYFUNCTION("""COMPUTED_VALUE"""),"12:22")</f>
        <v>12:22</v>
      </c>
      <c r="D213" s="65" t="str">
        <f>IFERROR(__xludf.DUMMYFUNCTION("""COMPUTED_VALUE"""),"11-03-2026")</f>
        <v>11-03-2026</v>
      </c>
      <c r="E213" s="65" t="str">
        <f>IFERROR(__xludf.DUMMYFUNCTION("""COMPUTED_VALUE"""),"Fausto Llori")</f>
        <v>Fausto Llori</v>
      </c>
      <c r="F213" s="65" t="str">
        <f>IFERROR(__xludf.DUMMYFUNCTION("""COMPUTED_VALUE"""),"981008274")</f>
        <v>981008274</v>
      </c>
      <c r="G213" s="65" t="str">
        <f>IFERROR(__xludf.DUMMYFUNCTION("""COMPUTED_VALUE"""),"faustollori2019@gmail.com")</f>
        <v>faustollori2019@gmail.com</v>
      </c>
      <c r="H213" s="65"/>
      <c r="I213" s="65"/>
      <c r="J213" s="65"/>
      <c r="K213" s="65" t="str">
        <f>IFERROR(__xludf.DUMMYFUNCTION("""COMPUTED_VALUE"""),"CANCELADO")</f>
        <v>CANCELADO</v>
      </c>
      <c r="L213" s="65" t="str">
        <f>IFERROR(__xludf.DUMMYFUNCTION("""COMPUTED_VALUE"""),"CON RECAUDO")</f>
        <v>CON RECAUDO</v>
      </c>
      <c r="M213" s="65" t="str">
        <f>IFERROR(__xludf.DUMMYFUNCTION("""COMPUTED_VALUE"""),"ESMERALDAS")</f>
        <v>ESMERALDAS</v>
      </c>
      <c r="N213" s="65" t="str">
        <f>IFERROR(__xludf.DUMMYFUNCTION("""COMPUTED_VALUE"""),"QUININDE")</f>
        <v>QUININDE</v>
      </c>
      <c r="O213" s="65" t="str">
        <f>IFERROR(__xludf.DUMMYFUNCTION("""COMPUTED_VALUE"""),"Retirar en la oficina Retirar en la oficina -")</f>
        <v>Retirar en la oficina Retirar en la oficina -</v>
      </c>
      <c r="P213" s="65"/>
      <c r="Q213" s="65" t="str">
        <f>IFERROR(__xludf.DUMMYFUNCTION("""COMPUTED_VALUE"""),"GINTRACOM")</f>
        <v>GINTRACOM</v>
      </c>
      <c r="R213" s="65">
        <f>IFERROR(__xludf.DUMMYFUNCTION("""COMPUTED_VALUE"""),25.0)</f>
        <v>25</v>
      </c>
      <c r="S213" s="65"/>
      <c r="T213" s="65">
        <f>IFERROR(__xludf.DUMMYFUNCTION("""COMPUTED_VALUE"""),5.96)</f>
        <v>5.96</v>
      </c>
      <c r="U213" s="65">
        <f>IFERROR(__xludf.DUMMYFUNCTION("""COMPUTED_VALUE"""),0.0)</f>
        <v>0</v>
      </c>
      <c r="V213" s="65">
        <f>IFERROR(__xludf.DUMMYFUNCTION("""COMPUTED_VALUE"""),0.0)</f>
        <v>0</v>
      </c>
      <c r="W213" s="65">
        <f>IFERROR(__xludf.DUMMYFUNCTION("""COMPUTED_VALUE"""),0.0)</f>
        <v>0</v>
      </c>
      <c r="X213" s="65">
        <f>IFERROR(__xludf.DUMMYFUNCTION("""COMPUTED_VALUE"""),3.5)</f>
        <v>3.5</v>
      </c>
      <c r="Y213" s="65">
        <f>IFERROR(__xludf.DUMMYFUNCTION("""COMPUTED_VALUE"""),7.0)</f>
        <v>7</v>
      </c>
      <c r="Z213" s="65">
        <f>IFERROR(__xludf.DUMMYFUNCTION("""COMPUTED_VALUE"""),87095.0)</f>
        <v>87095</v>
      </c>
      <c r="AA213" s="65" t="str">
        <f>IFERROR(__xludf.DUMMYFUNCTION("""COMPUTED_VALUE"""),"FILTRO DE DRENAJE")</f>
        <v>FILTRO DE DRENAJE</v>
      </c>
      <c r="AB213" s="65"/>
      <c r="AC213" s="65" t="str">
        <f>IFERROR(__xludf.DUMMYFUNCTION("""COMPUTED_VALUE"""),"FILTRO DE DRENAJE")</f>
        <v>FILTRO DE DRENAJE</v>
      </c>
      <c r="AD213" s="65"/>
      <c r="AE213" s="65">
        <f>IFERROR(__xludf.DUMMYFUNCTION("""COMPUTED_VALUE"""),2.0)</f>
        <v>2</v>
      </c>
      <c r="AF213" s="65"/>
      <c r="AG213" s="65"/>
      <c r="AH213" s="65"/>
      <c r="AI213" s="65"/>
      <c r="AJ213" s="65"/>
      <c r="AK213" s="65"/>
      <c r="AL213" s="65"/>
      <c r="AM213" s="65"/>
      <c r="AN213" s="65"/>
      <c r="AO213" s="65"/>
      <c r="AP213" s="65"/>
      <c r="AQ213" s="65"/>
      <c r="AR213" s="65"/>
      <c r="AS213" s="65"/>
      <c r="AT213" s="65" t="str">
        <f>IFERROR(__xludf.DUMMYFUNCTION("""COMPUTED_VALUE"""),"SHOPIFY")</f>
        <v>SHOPIFY</v>
      </c>
      <c r="AU213" s="65" t="str">
        <f>IFERROR(__xludf.DUMMYFUNCTION("""COMPUTED_VALUE"""),"IMPORTEX EC")</f>
        <v>IMPORTEX EC</v>
      </c>
      <c r="AV213" s="65" t="str">
        <f>IFERROR(__xludf.DUMMYFUNCTION("""COMPUTED_VALUE"""),"6571794399276")</f>
        <v>6571794399276</v>
      </c>
      <c r="AW213" s="65">
        <f>IFERROR(__xludf.DUMMYFUNCTION("""COMPUTED_VALUE"""),6639.0)</f>
        <v>6639</v>
      </c>
      <c r="AX213" s="65"/>
      <c r="AY213" s="65"/>
      <c r="AZ213" s="65"/>
      <c r="BA213" s="65"/>
    </row>
    <row r="214">
      <c r="A214" s="65" t="str">
        <f>IFERROR(__xludf.DUMMYFUNCTION("""COMPUTED_VALUE"""),"27-03-2026")</f>
        <v>27-03-2026</v>
      </c>
      <c r="B214" s="65">
        <f>IFERROR(__xludf.DUMMYFUNCTION("""COMPUTED_VALUE"""),4768237.0)</f>
        <v>4768237</v>
      </c>
      <c r="C214" s="65" t="str">
        <f>IFERROR(__xludf.DUMMYFUNCTION("""COMPUTED_VALUE"""),"11:45")</f>
        <v>11:45</v>
      </c>
      <c r="D214" s="65" t="str">
        <f>IFERROR(__xludf.DUMMYFUNCTION("""COMPUTED_VALUE"""),"11-03-2026")</f>
        <v>11-03-2026</v>
      </c>
      <c r="E214" s="65" t="str">
        <f>IFERROR(__xludf.DUMMYFUNCTION("""COMPUTED_VALUE"""),"Hiter Zambrano")</f>
        <v>Hiter Zambrano</v>
      </c>
      <c r="F214" s="65" t="str">
        <f>IFERROR(__xludf.DUMMYFUNCTION("""COMPUTED_VALUE"""),"988722721")</f>
        <v>988722721</v>
      </c>
      <c r="G214" s="65" t="str">
        <f>IFERROR(__xludf.DUMMYFUNCTION("""COMPUTED_VALUE"""),"hjzambrano.23@hotmail.com")</f>
        <v>hjzambrano.23@hotmail.com</v>
      </c>
      <c r="H214" s="65"/>
      <c r="I214" s="65"/>
      <c r="J214" s="65"/>
      <c r="K214" s="65" t="str">
        <f>IFERROR(__xludf.DUMMYFUNCTION("""COMPUTED_VALUE"""),"CANCELADO")</f>
        <v>CANCELADO</v>
      </c>
      <c r="L214" s="65" t="str">
        <f>IFERROR(__xludf.DUMMYFUNCTION("""COMPUTED_VALUE"""),"CON RECAUDO")</f>
        <v>CON RECAUDO</v>
      </c>
      <c r="M214" s="65" t="str">
        <f>IFERROR(__xludf.DUMMYFUNCTION("""COMPUTED_VALUE"""),"GUAYAS")</f>
        <v>GUAYAS</v>
      </c>
      <c r="N214" s="65" t="str">
        <f>IFERROR(__xludf.DUMMYFUNCTION("""COMPUTED_VALUE"""),"GUAYAQUIL")</f>
        <v>GUAYAQUIL</v>
      </c>
      <c r="O214" s="65" t="str">
        <f>IFERROR(__xludf.DUMMYFUNCTION("""COMPUTED_VALUE"""),"Dra. Mariana Argudo chejin Guasmo sur -")</f>
        <v>Dra. Mariana Argudo chejin Guasmo sur -</v>
      </c>
      <c r="P214" s="65"/>
      <c r="Q214" s="65" t="str">
        <f>IFERROR(__xludf.DUMMYFUNCTION("""COMPUTED_VALUE"""),"GINTRACOM")</f>
        <v>GINTRACOM</v>
      </c>
      <c r="R214" s="65">
        <f>IFERROR(__xludf.DUMMYFUNCTION("""COMPUTED_VALUE"""),25.0)</f>
        <v>25</v>
      </c>
      <c r="S214" s="65"/>
      <c r="T214" s="65">
        <f>IFERROR(__xludf.DUMMYFUNCTION("""COMPUTED_VALUE"""),5.96)</f>
        <v>5.96</v>
      </c>
      <c r="U214" s="65">
        <f>IFERROR(__xludf.DUMMYFUNCTION("""COMPUTED_VALUE"""),0.0)</f>
        <v>0</v>
      </c>
      <c r="V214" s="65">
        <f>IFERROR(__xludf.DUMMYFUNCTION("""COMPUTED_VALUE"""),0.0)</f>
        <v>0</v>
      </c>
      <c r="W214" s="65">
        <f>IFERROR(__xludf.DUMMYFUNCTION("""COMPUTED_VALUE"""),0.0)</f>
        <v>0</v>
      </c>
      <c r="X214" s="65">
        <f>IFERROR(__xludf.DUMMYFUNCTION("""COMPUTED_VALUE"""),2.35)</f>
        <v>2.35</v>
      </c>
      <c r="Y214" s="65">
        <f>IFERROR(__xludf.DUMMYFUNCTION("""COMPUTED_VALUE"""),4.7)</f>
        <v>4.7</v>
      </c>
      <c r="Z214" s="65">
        <f>IFERROR(__xludf.DUMMYFUNCTION("""COMPUTED_VALUE"""),116679.0)</f>
        <v>116679</v>
      </c>
      <c r="AA214" s="65" t="str">
        <f>IFERROR(__xludf.DUMMYFUNCTION("""COMPUTED_VALUE"""),"AMC-2738")</f>
        <v>AMC-2738</v>
      </c>
      <c r="AB214" s="65"/>
      <c r="AC214" s="65" t="str">
        <f>IFERROR(__xludf.DUMMYFUNCTION("""COMPUTED_VALUE"""),"ESPONJA ANTILLUVIA DE PARABRISAS")</f>
        <v>ESPONJA ANTILLUVIA DE PARABRISAS</v>
      </c>
      <c r="AD214" s="65"/>
      <c r="AE214" s="65">
        <f>IFERROR(__xludf.DUMMYFUNCTION("""COMPUTED_VALUE"""),2.0)</f>
        <v>2</v>
      </c>
      <c r="AF214" s="65"/>
      <c r="AG214" s="65"/>
      <c r="AH214" s="65"/>
      <c r="AI214" s="65"/>
      <c r="AJ214" s="65"/>
      <c r="AK214" s="65"/>
      <c r="AL214" s="65"/>
      <c r="AM214" s="65"/>
      <c r="AN214" s="65"/>
      <c r="AO214" s="65"/>
      <c r="AP214" s="65"/>
      <c r="AQ214" s="65"/>
      <c r="AR214" s="65"/>
      <c r="AS214" s="65"/>
      <c r="AT214" s="65" t="str">
        <f>IFERROR(__xludf.DUMMYFUNCTION("""COMPUTED_VALUE"""),"SHOPIFY")</f>
        <v>SHOPIFY</v>
      </c>
      <c r="AU214" s="65" t="str">
        <f>IFERROR(__xludf.DUMMYFUNCTION("""COMPUTED_VALUE"""),"IMPORTEX EC")</f>
        <v>IMPORTEX EC</v>
      </c>
      <c r="AV214" s="65" t="str">
        <f>IFERROR(__xludf.DUMMYFUNCTION("""COMPUTED_VALUE"""),"6571714347052")</f>
        <v>6571714347052</v>
      </c>
      <c r="AW214" s="65">
        <f>IFERROR(__xludf.DUMMYFUNCTION("""COMPUTED_VALUE"""),6638.0)</f>
        <v>6638</v>
      </c>
      <c r="AX214" s="65"/>
      <c r="AY214" s="65"/>
      <c r="AZ214" s="65"/>
      <c r="BA214" s="65"/>
    </row>
    <row r="215">
      <c r="A215" s="65" t="str">
        <f>IFERROR(__xludf.DUMMYFUNCTION("""COMPUTED_VALUE"""),"27-03-2026")</f>
        <v>27-03-2026</v>
      </c>
      <c r="B215" s="65">
        <f>IFERROR(__xludf.DUMMYFUNCTION("""COMPUTED_VALUE"""),4767747.0)</f>
        <v>4767747</v>
      </c>
      <c r="C215" s="65" t="str">
        <f>IFERROR(__xludf.DUMMYFUNCTION("""COMPUTED_VALUE"""),"11:03")</f>
        <v>11:03</v>
      </c>
      <c r="D215" s="65" t="str">
        <f>IFERROR(__xludf.DUMMYFUNCTION("""COMPUTED_VALUE"""),"11-03-2026")</f>
        <v>11-03-2026</v>
      </c>
      <c r="E215" s="65" t="str">
        <f>IFERROR(__xludf.DUMMYFUNCTION("""COMPUTED_VALUE"""),"Michell Castro")</f>
        <v>Michell Castro</v>
      </c>
      <c r="F215" s="65" t="str">
        <f>IFERROR(__xludf.DUMMYFUNCTION("""COMPUTED_VALUE"""),"994113911")</f>
        <v>994113911</v>
      </c>
      <c r="G215" s="65" t="str">
        <f>IFERROR(__xludf.DUMMYFUNCTION("""COMPUTED_VALUE"""),"blanchys@gmail.com")</f>
        <v>blanchys@gmail.com</v>
      </c>
      <c r="H215" s="65"/>
      <c r="I215" s="65"/>
      <c r="J215" s="65" t="str">
        <f>IFERROR(__xludf.DUMMYFUNCTION("""COMPUTED_VALUE"""),"D001408974")</f>
        <v>D001408974</v>
      </c>
      <c r="K215" s="65" t="str">
        <f>IFERROR(__xludf.DUMMYFUNCTION("""COMPUTED_VALUE"""),"ENTREGADO")</f>
        <v>ENTREGADO</v>
      </c>
      <c r="L215" s="65" t="str">
        <f>IFERROR(__xludf.DUMMYFUNCTION("""COMPUTED_VALUE"""),"CON RECAUDO")</f>
        <v>CON RECAUDO</v>
      </c>
      <c r="M215" s="65" t="str">
        <f>IFERROR(__xludf.DUMMYFUNCTION("""COMPUTED_VALUE"""),"EL ORO")</f>
        <v>EL ORO</v>
      </c>
      <c r="N215" s="65" t="str">
        <f>IFERROR(__xludf.DUMMYFUNCTION("""COMPUTED_VALUE"""),"PASAJE")</f>
        <v>PASAJE</v>
      </c>
      <c r="O215" s="65" t="str">
        <f>IFERROR(__xludf.DUMMYFUNCTION("""COMPUTED_VALUE"""),"Av. Ochoa León, entre calle san martín y cuatro de agosto -  REFERENCIA:  Diagonal a  cerámica Matute")</f>
        <v>Av. Ochoa León, entre calle san martín y cuatro de agosto -  REFERENCIA:  Diagonal a  cerámica Matute</v>
      </c>
      <c r="P215" s="65"/>
      <c r="Q215" s="65" t="str">
        <f>IFERROR(__xludf.DUMMYFUNCTION("""COMPUTED_VALUE"""),"GINTRACOM")</f>
        <v>GINTRACOM</v>
      </c>
      <c r="R215" s="65">
        <f>IFERROR(__xludf.DUMMYFUNCTION("""COMPUTED_VALUE"""),25.0)</f>
        <v>25</v>
      </c>
      <c r="S215" s="65">
        <f>IFERROR(__xludf.DUMMYFUNCTION("""COMPUTED_VALUE"""),12.04)</f>
        <v>12.04</v>
      </c>
      <c r="T215" s="65">
        <f>IFERROR(__xludf.DUMMYFUNCTION("""COMPUTED_VALUE"""),5.96)</f>
        <v>5.96</v>
      </c>
      <c r="U215" s="65">
        <f>IFERROR(__xludf.DUMMYFUNCTION("""COMPUTED_VALUE"""),0.0)</f>
        <v>0</v>
      </c>
      <c r="V215" s="65">
        <f>IFERROR(__xludf.DUMMYFUNCTION("""COMPUTED_VALUE"""),0.0)</f>
        <v>0</v>
      </c>
      <c r="W215" s="65">
        <f>IFERROR(__xludf.DUMMYFUNCTION("""COMPUTED_VALUE"""),0.0)</f>
        <v>0</v>
      </c>
      <c r="X215" s="65">
        <f>IFERROR(__xludf.DUMMYFUNCTION("""COMPUTED_VALUE"""),3.5)</f>
        <v>3.5</v>
      </c>
      <c r="Y215" s="65">
        <f>IFERROR(__xludf.DUMMYFUNCTION("""COMPUTED_VALUE"""),7.0)</f>
        <v>7</v>
      </c>
      <c r="Z215" s="65">
        <f>IFERROR(__xludf.DUMMYFUNCTION("""COMPUTED_VALUE"""),87095.0)</f>
        <v>87095</v>
      </c>
      <c r="AA215" s="65" t="str">
        <f>IFERROR(__xludf.DUMMYFUNCTION("""COMPUTED_VALUE"""),"FILTRO DE DRENAJE")</f>
        <v>FILTRO DE DRENAJE</v>
      </c>
      <c r="AB215" s="65"/>
      <c r="AC215" s="65" t="str">
        <f>IFERROR(__xludf.DUMMYFUNCTION("""COMPUTED_VALUE"""),"FILTRO DE DRENAJE")</f>
        <v>FILTRO DE DRENAJE</v>
      </c>
      <c r="AD215" s="65"/>
      <c r="AE215" s="65">
        <f>IFERROR(__xludf.DUMMYFUNCTION("""COMPUTED_VALUE"""),2.0)</f>
        <v>2</v>
      </c>
      <c r="AF215" s="65" t="str">
        <f>IFERROR(__xludf.DUMMYFUNCTION("""COMPUTED_VALUE"""),"DESTINATARIO NO CONTESTA LLAMADAS NI WHATSAPP")</f>
        <v>DESTINATARIO NO CONTESTA LLAMADAS NI WHATSAPP</v>
      </c>
      <c r="AG215" s="65" t="str">
        <f>IFERROR(__xludf.DUMMYFUNCTION("""COMPUTED_VALUE"""),"SI")</f>
        <v>SI</v>
      </c>
      <c r="AH215" s="65" t="str">
        <f>IFERROR(__xludf.DUMMYFUNCTION("""COMPUTED_VALUE"""),"14:52")</f>
        <v>14:52</v>
      </c>
      <c r="AI215" s="65" t="str">
        <f>IFERROR(__xludf.DUMMYFUNCTION("""COMPUTED_VALUE"""),"14-03-2026")</f>
        <v>14-03-2026</v>
      </c>
      <c r="AJ215" s="65" t="str">
        <f>IFERROR(__xludf.DUMMYFUNCTION("""COMPUTED_VALUE"""),"Cliente solicita la entrega inmediata")</f>
        <v>Cliente solicita la entrega inmediata</v>
      </c>
      <c r="AK215" s="65" t="str">
        <f>IFERROR(__xludf.DUMMYFUNCTION("""COMPUTED_VALUE"""),"11:26")</f>
        <v>11:26</v>
      </c>
      <c r="AL215" s="65" t="str">
        <f>IFERROR(__xludf.DUMMYFUNCTION("""COMPUTED_VALUE"""),"16-03-2026")</f>
        <v>16-03-2026</v>
      </c>
      <c r="AM215" s="65"/>
      <c r="AN215" s="65" t="str">
        <f>IFERROR(__xludf.DUMMYFUNCTION("""COMPUTED_VALUE"""),"16:30")</f>
        <v>16:30</v>
      </c>
      <c r="AO215" s="65" t="str">
        <f>IFERROR(__xludf.DUMMYFUNCTION("""COMPUTED_VALUE"""),"17-03-2026")</f>
        <v>17-03-2026</v>
      </c>
      <c r="AP215" s="65" t="str">
        <f>IFERROR(__xludf.DUMMYFUNCTION("""COMPUTED_VALUE"""),"ENTREGADA GINTRACOM")</f>
        <v>ENTREGADA GINTRACOM</v>
      </c>
      <c r="AQ215" s="65" t="str">
        <f>IFERROR(__xludf.DUMMYFUNCTION("""COMPUTED_VALUE"""),"ENTREGADA GINTRACOM")</f>
        <v>ENTREGADA GINTRACOM</v>
      </c>
      <c r="AR215" s="65"/>
      <c r="AS215" s="65"/>
      <c r="AT215" s="65" t="str">
        <f>IFERROR(__xludf.DUMMYFUNCTION("""COMPUTED_VALUE"""),"SHOPIFY")</f>
        <v>SHOPIFY</v>
      </c>
      <c r="AU215" s="65" t="str">
        <f>IFERROR(__xludf.DUMMYFUNCTION("""COMPUTED_VALUE"""),"IMPORTEX EC")</f>
        <v>IMPORTEX EC</v>
      </c>
      <c r="AV215" s="65" t="str">
        <f>IFERROR(__xludf.DUMMYFUNCTION("""COMPUTED_VALUE"""),"6571618533420")</f>
        <v>6571618533420</v>
      </c>
      <c r="AW215" s="65">
        <f>IFERROR(__xludf.DUMMYFUNCTION("""COMPUTED_VALUE"""),6637.0)</f>
        <v>6637</v>
      </c>
      <c r="AX215" s="65"/>
      <c r="AY215" s="65" t="str">
        <f>IFERROR(__xludf.DUMMYFUNCTION("""COMPUTED_VALUE"""),"12/03/2026")</f>
        <v>12/03/2026</v>
      </c>
      <c r="AZ215" s="65"/>
      <c r="BA215" s="65"/>
    </row>
    <row r="216">
      <c r="A216" s="65" t="str">
        <f>IFERROR(__xludf.DUMMYFUNCTION("""COMPUTED_VALUE"""),"27-03-2026")</f>
        <v>27-03-2026</v>
      </c>
      <c r="B216" s="65">
        <f>IFERROR(__xludf.DUMMYFUNCTION("""COMPUTED_VALUE"""),4767500.0)</f>
        <v>4767500</v>
      </c>
      <c r="C216" s="65" t="str">
        <f>IFERROR(__xludf.DUMMYFUNCTION("""COMPUTED_VALUE"""),"10:43")</f>
        <v>10:43</v>
      </c>
      <c r="D216" s="65" t="str">
        <f>IFERROR(__xludf.DUMMYFUNCTION("""COMPUTED_VALUE"""),"11-03-2026")</f>
        <v>11-03-2026</v>
      </c>
      <c r="E216" s="65" t="str">
        <f>IFERROR(__xludf.DUMMYFUNCTION("""COMPUTED_VALUE"""),"Luis Madera")</f>
        <v>Luis Madera</v>
      </c>
      <c r="F216" s="65" t="str">
        <f>IFERROR(__xludf.DUMMYFUNCTION("""COMPUTED_VALUE"""),"960152010")</f>
        <v>960152010</v>
      </c>
      <c r="G216" s="65" t="str">
        <f>IFERROR(__xludf.DUMMYFUNCTION("""COMPUTED_VALUE"""),"luismadera1984@gmail.com")</f>
        <v>luismadera1984@gmail.com</v>
      </c>
      <c r="H216" s="65"/>
      <c r="I216" s="65"/>
      <c r="J216" s="65" t="str">
        <f>IFERROR(__xludf.DUMMYFUNCTION("""COMPUTED_VALUE"""),"LC53097595")</f>
        <v>LC53097595</v>
      </c>
      <c r="K216" s="65" t="str">
        <f>IFERROR(__xludf.DUMMYFUNCTION("""COMPUTED_VALUE"""),"ENTREGADO")</f>
        <v>ENTREGADO</v>
      </c>
      <c r="L216" s="65" t="str">
        <f>IFERROR(__xludf.DUMMYFUNCTION("""COMPUTED_VALUE"""),"CON RECAUDO")</f>
        <v>CON RECAUDO</v>
      </c>
      <c r="M216" s="65" t="str">
        <f>IFERROR(__xludf.DUMMYFUNCTION("""COMPUTED_VALUE"""),"PICHINCHA")</f>
        <v>PICHINCHA</v>
      </c>
      <c r="N216" s="65" t="str">
        <f>IFERROR(__xludf.DUMMYFUNCTION("""COMPUTED_VALUE"""),"RUMIÑAHUI")</f>
        <v>RUMIÑAHUI</v>
      </c>
      <c r="O216" s="65" t="str">
        <f>IFERROR(__xludf.DUMMYFUNCTION("""COMPUTED_VALUE"""),"AV. GEOVANI FARINA Y SAN CRISTOBAL - DISTRITO DE POLICIA RUMIÑAHUI")</f>
        <v>AV. GEOVANI FARINA Y SAN CRISTOBAL - DISTRITO DE POLICIA RUMIÑAHUI</v>
      </c>
      <c r="P216" s="65"/>
      <c r="Q216" s="65" t="str">
        <f>IFERROR(__xludf.DUMMYFUNCTION("""COMPUTED_VALUE"""),"LAARCOURIER")</f>
        <v>LAARCOURIER</v>
      </c>
      <c r="R216" s="65">
        <f>IFERROR(__xludf.DUMMYFUNCTION("""COMPUTED_VALUE"""),20.0)</f>
        <v>20</v>
      </c>
      <c r="S216" s="65">
        <f>IFERROR(__xludf.DUMMYFUNCTION("""COMPUTED_VALUE"""),11.41)</f>
        <v>11.41</v>
      </c>
      <c r="T216" s="65">
        <f>IFERROR(__xludf.DUMMYFUNCTION("""COMPUTED_VALUE"""),6.24)</f>
        <v>6.24</v>
      </c>
      <c r="U216" s="65">
        <f>IFERROR(__xludf.DUMMYFUNCTION("""COMPUTED_VALUE"""),0.0)</f>
        <v>0</v>
      </c>
      <c r="V216" s="65">
        <f>IFERROR(__xludf.DUMMYFUNCTION("""COMPUTED_VALUE"""),0.0)</f>
        <v>0</v>
      </c>
      <c r="W216" s="65">
        <f>IFERROR(__xludf.DUMMYFUNCTION("""COMPUTED_VALUE"""),0.0)</f>
        <v>0</v>
      </c>
      <c r="X216" s="65">
        <f>IFERROR(__xludf.DUMMYFUNCTION("""COMPUTED_VALUE"""),2.35)</f>
        <v>2.35</v>
      </c>
      <c r="Y216" s="65">
        <f>IFERROR(__xludf.DUMMYFUNCTION("""COMPUTED_VALUE"""),2.35)</f>
        <v>2.35</v>
      </c>
      <c r="Z216" s="65">
        <f>IFERROR(__xludf.DUMMYFUNCTION("""COMPUTED_VALUE"""),116679.0)</f>
        <v>116679</v>
      </c>
      <c r="AA216" s="65" t="str">
        <f>IFERROR(__xludf.DUMMYFUNCTION("""COMPUTED_VALUE"""),"AMC-2738")</f>
        <v>AMC-2738</v>
      </c>
      <c r="AB216" s="65"/>
      <c r="AC216" s="65" t="str">
        <f>IFERROR(__xludf.DUMMYFUNCTION("""COMPUTED_VALUE"""),"ESPONJA ANTILLUVIA DE PARABRISAS")</f>
        <v>ESPONJA ANTILLUVIA DE PARABRISAS</v>
      </c>
      <c r="AD216" s="65"/>
      <c r="AE216" s="65">
        <f>IFERROR(__xludf.DUMMYFUNCTION("""COMPUTED_VALUE"""),1.0)</f>
        <v>1</v>
      </c>
      <c r="AF216" s="65"/>
      <c r="AG216" s="65"/>
      <c r="AH216" s="65"/>
      <c r="AI216" s="65"/>
      <c r="AJ216" s="65"/>
      <c r="AK216" s="65"/>
      <c r="AL216" s="65"/>
      <c r="AM216" s="65"/>
      <c r="AN216" s="65" t="str">
        <f>IFERROR(__xludf.DUMMYFUNCTION("""COMPUTED_VALUE"""),"11:41")</f>
        <v>11:41</v>
      </c>
      <c r="AO216" s="65" t="str">
        <f>IFERROR(__xludf.DUMMYFUNCTION("""COMPUTED_VALUE"""),"16-03-2026")</f>
        <v>16-03-2026</v>
      </c>
      <c r="AP216" s="65" t="str">
        <f>IFERROR(__xludf.DUMMYFUNCTION("""COMPUTED_VALUE"""),"ENTREGADO")</f>
        <v>ENTREGADO</v>
      </c>
      <c r="AQ216" s="65" t="str">
        <f>IFERROR(__xludf.DUMMYFUNCTION("""COMPUTED_VALUE"""),"ENTREGADO")</f>
        <v>ENTREGADO</v>
      </c>
      <c r="AR216" s="65"/>
      <c r="AS216" s="65"/>
      <c r="AT216" s="65" t="str">
        <f>IFERROR(__xludf.DUMMYFUNCTION("""COMPUTED_VALUE"""),"SHOPIFY")</f>
        <v>SHOPIFY</v>
      </c>
      <c r="AU216" s="65" t="str">
        <f>IFERROR(__xludf.DUMMYFUNCTION("""COMPUTED_VALUE"""),"IMPORTEX EC")</f>
        <v>IMPORTEX EC</v>
      </c>
      <c r="AV216" s="65" t="str">
        <f>IFERROR(__xludf.DUMMYFUNCTION("""COMPUTED_VALUE"""),"6571578163244")</f>
        <v>6571578163244</v>
      </c>
      <c r="AW216" s="65">
        <f>IFERROR(__xludf.DUMMYFUNCTION("""COMPUTED_VALUE"""),6636.0)</f>
        <v>6636</v>
      </c>
      <c r="AX216" s="65"/>
      <c r="AY216" s="65" t="str">
        <f>IFERROR(__xludf.DUMMYFUNCTION("""COMPUTED_VALUE"""),"13/03/2026")</f>
        <v>13/03/2026</v>
      </c>
      <c r="AZ216" s="65"/>
      <c r="BA216" s="65"/>
    </row>
    <row r="217">
      <c r="A217" s="65" t="str">
        <f>IFERROR(__xludf.DUMMYFUNCTION("""COMPUTED_VALUE"""),"27-03-2026")</f>
        <v>27-03-2026</v>
      </c>
      <c r="B217" s="65">
        <f>IFERROR(__xludf.DUMMYFUNCTION("""COMPUTED_VALUE"""),4767233.0)</f>
        <v>4767233</v>
      </c>
      <c r="C217" s="65" t="str">
        <f>IFERROR(__xludf.DUMMYFUNCTION("""COMPUTED_VALUE"""),"10:21")</f>
        <v>10:21</v>
      </c>
      <c r="D217" s="65" t="str">
        <f>IFERROR(__xludf.DUMMYFUNCTION("""COMPUTED_VALUE"""),"11-03-2026")</f>
        <v>11-03-2026</v>
      </c>
      <c r="E217" s="65" t="str">
        <f>IFERROR(__xludf.DUMMYFUNCTION("""COMPUTED_VALUE"""),"Hernán Chipantiza")</f>
        <v>Hernán Chipantiza</v>
      </c>
      <c r="F217" s="65" t="str">
        <f>IFERROR(__xludf.DUMMYFUNCTION("""COMPUTED_VALUE"""),"984341266")</f>
        <v>984341266</v>
      </c>
      <c r="G217" s="65" t="str">
        <f>IFERROR(__xludf.DUMMYFUNCTION("""COMPUTED_VALUE"""),"hernanch@outlook.es")</f>
        <v>hernanch@outlook.es</v>
      </c>
      <c r="H217" s="65"/>
      <c r="I217" s="65"/>
      <c r="J217" s="65" t="str">
        <f>IFERROR(__xludf.DUMMYFUNCTION("""COMPUTED_VALUE"""),"D001407719")</f>
        <v>D001407719</v>
      </c>
      <c r="K217" s="65" t="str">
        <f>IFERROR(__xludf.DUMMYFUNCTION("""COMPUTED_VALUE"""),"ENTREGADO")</f>
        <v>ENTREGADO</v>
      </c>
      <c r="L217" s="65" t="str">
        <f>IFERROR(__xludf.DUMMYFUNCTION("""COMPUTED_VALUE"""),"CON RECAUDO")</f>
        <v>CON RECAUDO</v>
      </c>
      <c r="M217" s="65" t="str">
        <f>IFERROR(__xludf.DUMMYFUNCTION("""COMPUTED_VALUE"""),"PICHINCHA")</f>
        <v>PICHINCHA</v>
      </c>
      <c r="N217" s="65" t="str">
        <f>IFERROR(__xludf.DUMMYFUNCTION("""COMPUTED_VALUE"""),"QUITO")</f>
        <v>QUITO</v>
      </c>
      <c r="O217" s="65" t="str">
        <f>IFERROR(__xludf.DUMMYFUNCTION("""COMPUTED_VALUE"""),"Av Huigra S13 - 229 y Quichuas - Sector  IESS FUT - REFERENCIA: Edificio CERAGEM, casa de 4 pisos  - QUITO")</f>
        <v>Av Huigra S13 - 229 y Quichuas - Sector  IESS FUT - REFERENCIA: Edificio CERAGEM, casa de 4 pisos  - QUITO</v>
      </c>
      <c r="P217" s="65"/>
      <c r="Q217" s="65" t="str">
        <f>IFERROR(__xludf.DUMMYFUNCTION("""COMPUTED_VALUE"""),"GINTRACOM")</f>
        <v>GINTRACOM</v>
      </c>
      <c r="R217" s="65">
        <f>IFERROR(__xludf.DUMMYFUNCTION("""COMPUTED_VALUE"""),30.0)</f>
        <v>30</v>
      </c>
      <c r="S217" s="65">
        <f>IFERROR(__xludf.DUMMYFUNCTION("""COMPUTED_VALUE"""),18.4)</f>
        <v>18.4</v>
      </c>
      <c r="T217" s="65">
        <f>IFERROR(__xludf.DUMMYFUNCTION("""COMPUTED_VALUE"""),4.55)</f>
        <v>4.55</v>
      </c>
      <c r="U217" s="65">
        <f>IFERROR(__xludf.DUMMYFUNCTION("""COMPUTED_VALUE"""),0.0)</f>
        <v>0</v>
      </c>
      <c r="V217" s="65">
        <f>IFERROR(__xludf.DUMMYFUNCTION("""COMPUTED_VALUE"""),0.0)</f>
        <v>0</v>
      </c>
      <c r="W217" s="65">
        <f>IFERROR(__xludf.DUMMYFUNCTION("""COMPUTED_VALUE"""),0.0)</f>
        <v>0</v>
      </c>
      <c r="X217" s="65">
        <f>IFERROR(__xludf.DUMMYFUNCTION("""COMPUTED_VALUE"""),2.35)</f>
        <v>2.35</v>
      </c>
      <c r="Y217" s="65">
        <f>IFERROR(__xludf.DUMMYFUNCTION("""COMPUTED_VALUE"""),7.05)</f>
        <v>7.05</v>
      </c>
      <c r="Z217" s="65">
        <f>IFERROR(__xludf.DUMMYFUNCTION("""COMPUTED_VALUE"""),116679.0)</f>
        <v>116679</v>
      </c>
      <c r="AA217" s="65" t="str">
        <f>IFERROR(__xludf.DUMMYFUNCTION("""COMPUTED_VALUE"""),"AMC-2738")</f>
        <v>AMC-2738</v>
      </c>
      <c r="AB217" s="65"/>
      <c r="AC217" s="65" t="str">
        <f>IFERROR(__xludf.DUMMYFUNCTION("""COMPUTED_VALUE"""),"ESPONJA ANTILLUVIA DE PARABRISAS")</f>
        <v>ESPONJA ANTILLUVIA DE PARABRISAS</v>
      </c>
      <c r="AD217" s="65"/>
      <c r="AE217" s="65">
        <f>IFERROR(__xludf.DUMMYFUNCTION("""COMPUTED_VALUE"""),3.0)</f>
        <v>3</v>
      </c>
      <c r="AF217" s="65"/>
      <c r="AG217" s="65"/>
      <c r="AH217" s="65"/>
      <c r="AI217" s="65"/>
      <c r="AJ217" s="65"/>
      <c r="AK217" s="65"/>
      <c r="AL217" s="65"/>
      <c r="AM217" s="65"/>
      <c r="AN217" s="65" t="str">
        <f>IFERROR(__xludf.DUMMYFUNCTION("""COMPUTED_VALUE"""),"13:13")</f>
        <v>13:13</v>
      </c>
      <c r="AO217" s="65" t="str">
        <f>IFERROR(__xludf.DUMMYFUNCTION("""COMPUTED_VALUE"""),"14-03-2026")</f>
        <v>14-03-2026</v>
      </c>
      <c r="AP217" s="65" t="str">
        <f>IFERROR(__xludf.DUMMYFUNCTION("""COMPUTED_VALUE"""),"ENTREGADA GINTRACOM")</f>
        <v>ENTREGADA GINTRACOM</v>
      </c>
      <c r="AQ217" s="65" t="str">
        <f>IFERROR(__xludf.DUMMYFUNCTION("""COMPUTED_VALUE"""),"ENTREGADA GINTRACOM")</f>
        <v>ENTREGADA GINTRACOM</v>
      </c>
      <c r="AR217" s="65"/>
      <c r="AS217" s="65"/>
      <c r="AT217" s="65" t="str">
        <f>IFERROR(__xludf.DUMMYFUNCTION("""COMPUTED_VALUE"""),"SHOPIFY")</f>
        <v>SHOPIFY</v>
      </c>
      <c r="AU217" s="65" t="str">
        <f>IFERROR(__xludf.DUMMYFUNCTION("""COMPUTED_VALUE"""),"IMPORTEX EC")</f>
        <v>IMPORTEX EC</v>
      </c>
      <c r="AV217" s="65" t="str">
        <f>IFERROR(__xludf.DUMMYFUNCTION("""COMPUTED_VALUE"""),"6571529011244")</f>
        <v>6571529011244</v>
      </c>
      <c r="AW217" s="65">
        <f>IFERROR(__xludf.DUMMYFUNCTION("""COMPUTED_VALUE"""),6635.0)</f>
        <v>6635</v>
      </c>
      <c r="AX217" s="65"/>
      <c r="AY217" s="65" t="str">
        <f>IFERROR(__xludf.DUMMYFUNCTION("""COMPUTED_VALUE"""),"12/03/2026")</f>
        <v>12/03/2026</v>
      </c>
      <c r="AZ217" s="65"/>
      <c r="BA217" s="65"/>
    </row>
    <row r="218">
      <c r="A218" s="65" t="str">
        <f>IFERROR(__xludf.DUMMYFUNCTION("""COMPUTED_VALUE"""),"27-03-2026")</f>
        <v>27-03-2026</v>
      </c>
      <c r="B218" s="65">
        <f>IFERROR(__xludf.DUMMYFUNCTION("""COMPUTED_VALUE"""),4766959.0)</f>
        <v>4766959</v>
      </c>
      <c r="C218" s="65" t="str">
        <f>IFERROR(__xludf.DUMMYFUNCTION("""COMPUTED_VALUE"""),"10:01")</f>
        <v>10:01</v>
      </c>
      <c r="D218" s="65" t="str">
        <f>IFERROR(__xludf.DUMMYFUNCTION("""COMPUTED_VALUE"""),"11-03-2026")</f>
        <v>11-03-2026</v>
      </c>
      <c r="E218" s="65" t="str">
        <f>IFERROR(__xludf.DUMMYFUNCTION("""COMPUTED_VALUE"""),"Sebastián Torres")</f>
        <v>Sebastián Torres</v>
      </c>
      <c r="F218" s="65" t="str">
        <f>IFERROR(__xludf.DUMMYFUNCTION("""COMPUTED_VALUE"""),"988542924")</f>
        <v>988542924</v>
      </c>
      <c r="G218" s="65" t="str">
        <f>IFERROR(__xludf.DUMMYFUNCTION("""COMPUTED_VALUE"""),"torresmora1994@gmail.com")</f>
        <v>torresmora1994@gmail.com</v>
      </c>
      <c r="H218" s="65"/>
      <c r="I218" s="65"/>
      <c r="J218" s="65" t="str">
        <f>IFERROR(__xludf.DUMMYFUNCTION("""COMPUTED_VALUE"""),"D001405626")</f>
        <v>D001405626</v>
      </c>
      <c r="K218" s="65" t="str">
        <f>IFERROR(__xludf.DUMMYFUNCTION("""COMPUTED_VALUE"""),"DEVOLUCION")</f>
        <v>DEVOLUCION</v>
      </c>
      <c r="L218" s="65" t="str">
        <f>IFERROR(__xludf.DUMMYFUNCTION("""COMPUTED_VALUE"""),"CON RECAUDO")</f>
        <v>CON RECAUDO</v>
      </c>
      <c r="M218" s="65" t="str">
        <f>IFERROR(__xludf.DUMMYFUNCTION("""COMPUTED_VALUE"""),"LOS RIOS")</f>
        <v>LOS RIOS</v>
      </c>
      <c r="N218" s="65" t="str">
        <f>IFERROR(__xludf.DUMMYFUNCTION("""COMPUTED_VALUE"""),"BABA")</f>
        <v>BABA</v>
      </c>
      <c r="O218" s="65" t="str">
        <f>IFERROR(__xludf.DUMMYFUNCTION("""COMPUTED_VALUE"""),"RETIRA EN CS: BABA  CALLE GUAYAQUIL - CALLE GUAYAQUIL NUMERO 0 Y BARONA REF A 50 METROS DE AGRIPAC FRENTE AL COMERCIAL TRES HERMANOS")</f>
        <v>RETIRA EN CS: BABA  CALLE GUAYAQUIL - CALLE GUAYAQUIL NUMERO 0 Y BARONA REF A 50 METROS DE AGRIPAC FRENTE AL COMERCIAL TRES HERMANOS</v>
      </c>
      <c r="P218" s="65" t="str">
        <f>IFERROR(__xludf.DUMMYFUNCTION("""COMPUTED_VALUE"""),"Parlante GO4 JBL REPLICA: MORADO ***")</f>
        <v>Parlante GO4 JBL REPLICA: MORADO ***</v>
      </c>
      <c r="Q218" s="65" t="str">
        <f>IFERROR(__xludf.DUMMYFUNCTION("""COMPUTED_VALUE"""),"GINTRACOM")</f>
        <v>GINTRACOM</v>
      </c>
      <c r="R218" s="65">
        <f>IFERROR(__xludf.DUMMYFUNCTION("""COMPUTED_VALUE"""),34.99)</f>
        <v>34.99</v>
      </c>
      <c r="S218" s="65"/>
      <c r="T218" s="65">
        <f>IFERROR(__xludf.DUMMYFUNCTION("""COMPUTED_VALUE"""),6.92)</f>
        <v>6.92</v>
      </c>
      <c r="U218" s="65">
        <f>IFERROR(__xludf.DUMMYFUNCTION("""COMPUTED_VALUE"""),0.0)</f>
        <v>0</v>
      </c>
      <c r="V218" s="65">
        <f>IFERROR(__xludf.DUMMYFUNCTION("""COMPUTED_VALUE"""),0.0)</f>
        <v>0</v>
      </c>
      <c r="W218" s="65">
        <f>IFERROR(__xludf.DUMMYFUNCTION("""COMPUTED_VALUE"""),0.0)</f>
        <v>0</v>
      </c>
      <c r="X218" s="65">
        <f>IFERROR(__xludf.DUMMYFUNCTION("""COMPUTED_VALUE"""),16.0)</f>
        <v>16</v>
      </c>
      <c r="Y218" s="65">
        <f>IFERROR(__xludf.DUMMYFUNCTION("""COMPUTED_VALUE"""),16.0)</f>
        <v>16</v>
      </c>
      <c r="Z218" s="65">
        <f>IFERROR(__xludf.DUMMYFUNCTION("""COMPUTED_VALUE"""),122587.0)</f>
        <v>122587</v>
      </c>
      <c r="AA218" s="65" t="str">
        <f>IFERROR(__xludf.DUMMYFUNCTION("""COMPUTED_VALUE"""),"LIN0800-4")</f>
        <v>LIN0800-4</v>
      </c>
      <c r="AB218" s="65">
        <f>IFERROR(__xludf.DUMMYFUNCTION("""COMPUTED_VALUE"""),37380.0)</f>
        <v>37380</v>
      </c>
      <c r="AC218" s="65" t="str">
        <f>IFERROR(__xludf.DUMMYFUNCTION("""COMPUTED_VALUE"""),"Parlante GO4 JBL REPLICA")</f>
        <v>Parlante GO4 JBL REPLICA</v>
      </c>
      <c r="AD218" s="65" t="str">
        <f>IFERROR(__xludf.DUMMYFUNCTION("""COMPUTED_VALUE"""),"MORADO")</f>
        <v>MORADO</v>
      </c>
      <c r="AE218" s="65">
        <f>IFERROR(__xludf.DUMMYFUNCTION("""COMPUTED_VALUE"""),1.0)</f>
        <v>1</v>
      </c>
      <c r="AF218" s="65"/>
      <c r="AG218" s="65"/>
      <c r="AH218" s="65"/>
      <c r="AI218" s="65"/>
      <c r="AJ218" s="65"/>
      <c r="AK218" s="65"/>
      <c r="AL218" s="65"/>
      <c r="AM218" s="65"/>
      <c r="AN218" s="65" t="str">
        <f>IFERROR(__xludf.DUMMYFUNCTION("""COMPUTED_VALUE"""),"16:48")</f>
        <v>16:48</v>
      </c>
      <c r="AO218" s="65" t="str">
        <f>IFERROR(__xludf.DUMMYFUNCTION("""COMPUTED_VALUE"""),"26-03-2026")</f>
        <v>26-03-2026</v>
      </c>
      <c r="AP218" s="65" t="str">
        <f>IFERROR(__xludf.DUMMYFUNCTION("""COMPUTED_VALUE"""),"DEV CONFIRMADA POR BODEGA")</f>
        <v>DEV CONFIRMADA POR BODEGA</v>
      </c>
      <c r="AQ218" s="65"/>
      <c r="AR218" s="65" t="str">
        <f>IFERROR(__xludf.DUMMYFUNCTION("""COMPUTED_VALUE"""),"Managed by: Tendencias 100k Importadora, email: tendencias@ecommerce100k.com, total order items: 1")</f>
        <v>Managed by: Tendencias 100k Importadora, email: tendencias@ecommerce100k.com, total order items: 1</v>
      </c>
      <c r="AS218" s="65"/>
      <c r="AT218" s="65" t="str">
        <f>IFERROR(__xludf.DUMMYFUNCTION("""COMPUTED_VALUE"""),"SHOPIFY")</f>
        <v>SHOPIFY</v>
      </c>
      <c r="AU218" s="65" t="str">
        <f>IFERROR(__xludf.DUMMYFUNCTION("""COMPUTED_VALUE"""),"IMPORTEX EC")</f>
        <v>IMPORTEX EC</v>
      </c>
      <c r="AV218" s="65" t="str">
        <f>IFERROR(__xludf.DUMMYFUNCTION("""COMPUTED_VALUE"""),"6571495751724")</f>
        <v>6571495751724</v>
      </c>
      <c r="AW218" s="65">
        <f>IFERROR(__xludf.DUMMYFUNCTION("""COMPUTED_VALUE"""),6634.0)</f>
        <v>6634</v>
      </c>
      <c r="AX218" s="65"/>
      <c r="AY218" s="65" t="str">
        <f>IFERROR(__xludf.DUMMYFUNCTION("""COMPUTED_VALUE"""),"11/03/2026")</f>
        <v>11/03/2026</v>
      </c>
      <c r="AZ218" s="65"/>
      <c r="BA218" s="65"/>
    </row>
    <row r="219">
      <c r="A219" s="65" t="str">
        <f>IFERROR(__xludf.DUMMYFUNCTION("""COMPUTED_VALUE"""),"27-03-2026")</f>
        <v>27-03-2026</v>
      </c>
      <c r="B219" s="65">
        <f>IFERROR(__xludf.DUMMYFUNCTION("""COMPUTED_VALUE"""),4766239.0)</f>
        <v>4766239</v>
      </c>
      <c r="C219" s="65" t="str">
        <f>IFERROR(__xludf.DUMMYFUNCTION("""COMPUTED_VALUE"""),"09:05")</f>
        <v>09:05</v>
      </c>
      <c r="D219" s="65" t="str">
        <f>IFERROR(__xludf.DUMMYFUNCTION("""COMPUTED_VALUE"""),"11-03-2026")</f>
        <v>11-03-2026</v>
      </c>
      <c r="E219" s="65" t="str">
        <f>IFERROR(__xludf.DUMMYFUNCTION("""COMPUTED_VALUE"""),"Walter Guam baña")</f>
        <v>Walter Guam baña</v>
      </c>
      <c r="F219" s="65" t="str">
        <f>IFERROR(__xludf.DUMMYFUNCTION("""COMPUTED_VALUE"""),"969879878")</f>
        <v>969879878</v>
      </c>
      <c r="G219" s="65" t="str">
        <f>IFERROR(__xludf.DUMMYFUNCTION("""COMPUTED_VALUE"""),"walterguamb@gmail.com")</f>
        <v>walterguamb@gmail.com</v>
      </c>
      <c r="H219" s="65"/>
      <c r="I219" s="65"/>
      <c r="J219" s="65" t="str">
        <f>IFERROR(__xludf.DUMMYFUNCTION("""COMPUTED_VALUE"""),"D001407731")</f>
        <v>D001407731</v>
      </c>
      <c r="K219" s="65" t="str">
        <f>IFERROR(__xludf.DUMMYFUNCTION("""COMPUTED_VALUE"""),"ENTREGADO")</f>
        <v>ENTREGADO</v>
      </c>
      <c r="L219" s="65" t="str">
        <f>IFERROR(__xludf.DUMMYFUNCTION("""COMPUTED_VALUE"""),"CON RECAUDO")</f>
        <v>CON RECAUDO</v>
      </c>
      <c r="M219" s="65" t="str">
        <f>IFERROR(__xludf.DUMMYFUNCTION("""COMPUTED_VALUE"""),"AZUAY")</f>
        <v>AZUAY</v>
      </c>
      <c r="N219" s="65" t="str">
        <f>IFERROR(__xludf.DUMMYFUNCTION("""COMPUTED_VALUE"""),"CUENCA")</f>
        <v>CUENCA</v>
      </c>
      <c r="O219" s="65" t="str">
        <f>IFERROR(__xludf.DUMMYFUNCTION("""COMPUTED_VALUE"""),"Miguel Cabello Balboa 1-93 y Gaspar de Carvajal -  Centro infantil Mis Pequeñas Pandas")</f>
        <v>Miguel Cabello Balboa 1-93 y Gaspar de Carvajal -  Centro infantil Mis Pequeñas Pandas</v>
      </c>
      <c r="P219" s="65"/>
      <c r="Q219" s="65" t="str">
        <f>IFERROR(__xludf.DUMMYFUNCTION("""COMPUTED_VALUE"""),"GINTRACOM")</f>
        <v>GINTRACOM</v>
      </c>
      <c r="R219" s="65">
        <f>IFERROR(__xludf.DUMMYFUNCTION("""COMPUTED_VALUE"""),20.0)</f>
        <v>20</v>
      </c>
      <c r="S219" s="65">
        <f>IFERROR(__xludf.DUMMYFUNCTION("""COMPUTED_VALUE"""),11.89)</f>
        <v>11.89</v>
      </c>
      <c r="T219" s="65">
        <f>IFERROR(__xludf.DUMMYFUNCTION("""COMPUTED_VALUE"""),5.76)</f>
        <v>5.76</v>
      </c>
      <c r="U219" s="65">
        <f>IFERROR(__xludf.DUMMYFUNCTION("""COMPUTED_VALUE"""),0.0)</f>
        <v>0</v>
      </c>
      <c r="V219" s="65">
        <f>IFERROR(__xludf.DUMMYFUNCTION("""COMPUTED_VALUE"""),0.0)</f>
        <v>0</v>
      </c>
      <c r="W219" s="65">
        <f>IFERROR(__xludf.DUMMYFUNCTION("""COMPUTED_VALUE"""),0.0)</f>
        <v>0</v>
      </c>
      <c r="X219" s="65">
        <f>IFERROR(__xludf.DUMMYFUNCTION("""COMPUTED_VALUE"""),2.35)</f>
        <v>2.35</v>
      </c>
      <c r="Y219" s="65">
        <f>IFERROR(__xludf.DUMMYFUNCTION("""COMPUTED_VALUE"""),2.35)</f>
        <v>2.35</v>
      </c>
      <c r="Z219" s="65">
        <f>IFERROR(__xludf.DUMMYFUNCTION("""COMPUTED_VALUE"""),116679.0)</f>
        <v>116679</v>
      </c>
      <c r="AA219" s="65" t="str">
        <f>IFERROR(__xludf.DUMMYFUNCTION("""COMPUTED_VALUE"""),"AMC-2738")</f>
        <v>AMC-2738</v>
      </c>
      <c r="AB219" s="65"/>
      <c r="AC219" s="65" t="str">
        <f>IFERROR(__xludf.DUMMYFUNCTION("""COMPUTED_VALUE"""),"ESPONJA ANTILLUVIA DE PARABRISAS")</f>
        <v>ESPONJA ANTILLUVIA DE PARABRISAS</v>
      </c>
      <c r="AD219" s="65"/>
      <c r="AE219" s="65">
        <f>IFERROR(__xludf.DUMMYFUNCTION("""COMPUTED_VALUE"""),1.0)</f>
        <v>1</v>
      </c>
      <c r="AF219" s="65"/>
      <c r="AG219" s="65"/>
      <c r="AH219" s="65"/>
      <c r="AI219" s="65"/>
      <c r="AJ219" s="65"/>
      <c r="AK219" s="65"/>
      <c r="AL219" s="65"/>
      <c r="AM219" s="65"/>
      <c r="AN219" s="65" t="str">
        <f>IFERROR(__xludf.DUMMYFUNCTION("""COMPUTED_VALUE"""),"14:24")</f>
        <v>14:24</v>
      </c>
      <c r="AO219" s="65" t="str">
        <f>IFERROR(__xludf.DUMMYFUNCTION("""COMPUTED_VALUE"""),"16-03-2026")</f>
        <v>16-03-2026</v>
      </c>
      <c r="AP219" s="65" t="str">
        <f>IFERROR(__xludf.DUMMYFUNCTION("""COMPUTED_VALUE"""),"ENTREGADA GINTRACOM")</f>
        <v>ENTREGADA GINTRACOM</v>
      </c>
      <c r="AQ219" s="65" t="str">
        <f>IFERROR(__xludf.DUMMYFUNCTION("""COMPUTED_VALUE"""),"ENTREGADA GINTRACOM")</f>
        <v>ENTREGADA GINTRACOM</v>
      </c>
      <c r="AR219" s="65"/>
      <c r="AS219" s="65"/>
      <c r="AT219" s="65" t="str">
        <f>IFERROR(__xludf.DUMMYFUNCTION("""COMPUTED_VALUE"""),"SHOPIFY")</f>
        <v>SHOPIFY</v>
      </c>
      <c r="AU219" s="65" t="str">
        <f>IFERROR(__xludf.DUMMYFUNCTION("""COMPUTED_VALUE"""),"IMPORTEX EC")</f>
        <v>IMPORTEX EC</v>
      </c>
      <c r="AV219" s="65" t="str">
        <f>IFERROR(__xludf.DUMMYFUNCTION("""COMPUTED_VALUE"""),"6571404623916")</f>
        <v>6571404623916</v>
      </c>
      <c r="AW219" s="65">
        <f>IFERROR(__xludf.DUMMYFUNCTION("""COMPUTED_VALUE"""),6633.0)</f>
        <v>6633</v>
      </c>
      <c r="AX219" s="65"/>
      <c r="AY219" s="65" t="str">
        <f>IFERROR(__xludf.DUMMYFUNCTION("""COMPUTED_VALUE"""),"12/03/2026")</f>
        <v>12/03/2026</v>
      </c>
      <c r="AZ219" s="65"/>
      <c r="BA219" s="65"/>
    </row>
    <row r="220">
      <c r="A220" s="65" t="str">
        <f>IFERROR(__xludf.DUMMYFUNCTION("""COMPUTED_VALUE"""),"27-03-2026")</f>
        <v>27-03-2026</v>
      </c>
      <c r="B220" s="65">
        <f>IFERROR(__xludf.DUMMYFUNCTION("""COMPUTED_VALUE"""),4766205.0)</f>
        <v>4766205</v>
      </c>
      <c r="C220" s="65" t="str">
        <f>IFERROR(__xludf.DUMMYFUNCTION("""COMPUTED_VALUE"""),"09:03")</f>
        <v>09:03</v>
      </c>
      <c r="D220" s="65" t="str">
        <f>IFERROR(__xludf.DUMMYFUNCTION("""COMPUTED_VALUE"""),"11-03-2026")</f>
        <v>11-03-2026</v>
      </c>
      <c r="E220" s="65" t="str">
        <f>IFERROR(__xludf.DUMMYFUNCTION("""COMPUTED_VALUE"""),"Marco Lozada")</f>
        <v>Marco Lozada</v>
      </c>
      <c r="F220" s="65" t="str">
        <f>IFERROR(__xludf.DUMMYFUNCTION("""COMPUTED_VALUE"""),"991148110")</f>
        <v>991148110</v>
      </c>
      <c r="G220" s="65" t="str">
        <f>IFERROR(__xludf.DUMMYFUNCTION("""COMPUTED_VALUE"""),"marcoloz991@gnail.com")</f>
        <v>marcoloz991@gnail.com</v>
      </c>
      <c r="H220" s="65"/>
      <c r="I220" s="65"/>
      <c r="J220" s="65"/>
      <c r="K220" s="65" t="str">
        <f>IFERROR(__xludf.DUMMYFUNCTION("""COMPUTED_VALUE"""),"CANCELADO")</f>
        <v>CANCELADO</v>
      </c>
      <c r="L220" s="65" t="str">
        <f>IFERROR(__xludf.DUMMYFUNCTION("""COMPUTED_VALUE"""),"CON RECAUDO")</f>
        <v>CON RECAUDO</v>
      </c>
      <c r="M220" s="65" t="str">
        <f>IFERROR(__xludf.DUMMYFUNCTION("""COMPUTED_VALUE"""),"GUAYAS")</f>
        <v>GUAYAS</v>
      </c>
      <c r="N220" s="65" t="str">
        <f>IFERROR(__xludf.DUMMYFUNCTION("""COMPUTED_VALUE"""),"GUAYAQUIL")</f>
        <v>GUAYAQUIL</v>
      </c>
      <c r="O220" s="65" t="str">
        <f>IFERROR(__xludf.DUMMYFUNCTION("""COMPUTED_VALUE"""),"24 y la M Suburbio -")</f>
        <v>24 y la M Suburbio -</v>
      </c>
      <c r="P220" s="65"/>
      <c r="Q220" s="65" t="str">
        <f>IFERROR(__xludf.DUMMYFUNCTION("""COMPUTED_VALUE"""),"GINTRACOM")</f>
        <v>GINTRACOM</v>
      </c>
      <c r="R220" s="65">
        <f>IFERROR(__xludf.DUMMYFUNCTION("""COMPUTED_VALUE"""),30.0)</f>
        <v>30</v>
      </c>
      <c r="S220" s="65"/>
      <c r="T220" s="65">
        <f>IFERROR(__xludf.DUMMYFUNCTION("""COMPUTED_VALUE"""),6.16)</f>
        <v>6.16</v>
      </c>
      <c r="U220" s="65">
        <f>IFERROR(__xludf.DUMMYFUNCTION("""COMPUTED_VALUE"""),0.0)</f>
        <v>0</v>
      </c>
      <c r="V220" s="65">
        <f>IFERROR(__xludf.DUMMYFUNCTION("""COMPUTED_VALUE"""),0.0)</f>
        <v>0</v>
      </c>
      <c r="W220" s="65">
        <f>IFERROR(__xludf.DUMMYFUNCTION("""COMPUTED_VALUE"""),0.0)</f>
        <v>0</v>
      </c>
      <c r="X220" s="65">
        <f>IFERROR(__xludf.DUMMYFUNCTION("""COMPUTED_VALUE"""),2.35)</f>
        <v>2.35</v>
      </c>
      <c r="Y220" s="65">
        <f>IFERROR(__xludf.DUMMYFUNCTION("""COMPUTED_VALUE"""),7.05)</f>
        <v>7.05</v>
      </c>
      <c r="Z220" s="65">
        <f>IFERROR(__xludf.DUMMYFUNCTION("""COMPUTED_VALUE"""),116679.0)</f>
        <v>116679</v>
      </c>
      <c r="AA220" s="65" t="str">
        <f>IFERROR(__xludf.DUMMYFUNCTION("""COMPUTED_VALUE"""),"AMC-2738")</f>
        <v>AMC-2738</v>
      </c>
      <c r="AB220" s="65"/>
      <c r="AC220" s="65" t="str">
        <f>IFERROR(__xludf.DUMMYFUNCTION("""COMPUTED_VALUE"""),"ESPONJA ANTILLUVIA DE PARABRISAS")</f>
        <v>ESPONJA ANTILLUVIA DE PARABRISAS</v>
      </c>
      <c r="AD220" s="65"/>
      <c r="AE220" s="65">
        <f>IFERROR(__xludf.DUMMYFUNCTION("""COMPUTED_VALUE"""),3.0)</f>
        <v>3</v>
      </c>
      <c r="AF220" s="65"/>
      <c r="AG220" s="65"/>
      <c r="AH220" s="65"/>
      <c r="AI220" s="65"/>
      <c r="AJ220" s="65"/>
      <c r="AK220" s="65"/>
      <c r="AL220" s="65"/>
      <c r="AM220" s="65"/>
      <c r="AN220" s="65"/>
      <c r="AO220" s="65"/>
      <c r="AP220" s="65"/>
      <c r="AQ220" s="65"/>
      <c r="AR220" s="65"/>
      <c r="AS220" s="65"/>
      <c r="AT220" s="65" t="str">
        <f>IFERROR(__xludf.DUMMYFUNCTION("""COMPUTED_VALUE"""),"SHOPIFY")</f>
        <v>SHOPIFY</v>
      </c>
      <c r="AU220" s="65" t="str">
        <f>IFERROR(__xludf.DUMMYFUNCTION("""COMPUTED_VALUE"""),"IMPORTEX EC")</f>
        <v>IMPORTEX EC</v>
      </c>
      <c r="AV220" s="65" t="str">
        <f>IFERROR(__xludf.DUMMYFUNCTION("""COMPUTED_VALUE"""),"6571399086124")</f>
        <v>6571399086124</v>
      </c>
      <c r="AW220" s="65">
        <f>IFERROR(__xludf.DUMMYFUNCTION("""COMPUTED_VALUE"""),6632.0)</f>
        <v>6632</v>
      </c>
      <c r="AX220" s="65"/>
      <c r="AY220" s="65"/>
      <c r="AZ220" s="65"/>
      <c r="BA220" s="65"/>
    </row>
    <row r="221">
      <c r="A221" s="65" t="str">
        <f>IFERROR(__xludf.DUMMYFUNCTION("""COMPUTED_VALUE"""),"27-03-2026")</f>
        <v>27-03-2026</v>
      </c>
      <c r="B221" s="65">
        <f>IFERROR(__xludf.DUMMYFUNCTION("""COMPUTED_VALUE"""),4765957.0)</f>
        <v>4765957</v>
      </c>
      <c r="C221" s="65" t="str">
        <f>IFERROR(__xludf.DUMMYFUNCTION("""COMPUTED_VALUE"""),"08:38")</f>
        <v>08:38</v>
      </c>
      <c r="D221" s="65" t="str">
        <f>IFERROR(__xludf.DUMMYFUNCTION("""COMPUTED_VALUE"""),"11-03-2026")</f>
        <v>11-03-2026</v>
      </c>
      <c r="E221" s="65" t="str">
        <f>IFERROR(__xludf.DUMMYFUNCTION("""COMPUTED_VALUE"""),"Sandra Guerrero")</f>
        <v>Sandra Guerrero</v>
      </c>
      <c r="F221" s="65" t="str">
        <f>IFERROR(__xludf.DUMMYFUNCTION("""COMPUTED_VALUE"""),"983826762")</f>
        <v>983826762</v>
      </c>
      <c r="G221" s="65" t="str">
        <f>IFERROR(__xludf.DUMMYFUNCTION("""COMPUTED_VALUE"""),"sandraguerrero2828@hotmail.com")</f>
        <v>sandraguerrero2828@hotmail.com</v>
      </c>
      <c r="H221" s="65"/>
      <c r="I221" s="65"/>
      <c r="J221" s="65" t="str">
        <f>IFERROR(__xludf.DUMMYFUNCTION("""COMPUTED_VALUE"""),"D001405423")</f>
        <v>D001405423</v>
      </c>
      <c r="K221" s="65" t="str">
        <f>IFERROR(__xludf.DUMMYFUNCTION("""COMPUTED_VALUE"""),"ENTREGADO")</f>
        <v>ENTREGADO</v>
      </c>
      <c r="L221" s="65" t="str">
        <f>IFERROR(__xludf.DUMMYFUNCTION("""COMPUTED_VALUE"""),"CON RECAUDO")</f>
        <v>CON RECAUDO</v>
      </c>
      <c r="M221" s="65" t="str">
        <f>IFERROR(__xludf.DUMMYFUNCTION("""COMPUTED_VALUE"""),"GUAYAS")</f>
        <v>GUAYAS</v>
      </c>
      <c r="N221" s="65" t="str">
        <f>IFERROR(__xludf.DUMMYFUNCTION("""COMPUTED_VALUE"""),"GUAYAQUIL")</f>
        <v>GUAYAQUIL</v>
      </c>
      <c r="O221" s="65" t="str">
        <f>IFERROR(__xludf.DUMMYFUNCTION("""COMPUTED_VALUE"""),"Via  a la costa km 23 Ciudad olimpo - Etapa 1 ingreso de Chongon")</f>
        <v>Via  a la costa km 23 Ciudad olimpo - Etapa 1 ingreso de Chongon</v>
      </c>
      <c r="P221" s="65"/>
      <c r="Q221" s="65" t="str">
        <f>IFERROR(__xludf.DUMMYFUNCTION("""COMPUTED_VALUE"""),"GINTRACOM")</f>
        <v>GINTRACOM</v>
      </c>
      <c r="R221" s="65">
        <f>IFERROR(__xludf.DUMMYFUNCTION("""COMPUTED_VALUE"""),25.0)</f>
        <v>25</v>
      </c>
      <c r="S221" s="65">
        <f>IFERROR(__xludf.DUMMYFUNCTION("""COMPUTED_VALUE"""),13.65)</f>
        <v>13.65</v>
      </c>
      <c r="T221" s="65">
        <f>IFERROR(__xludf.DUMMYFUNCTION("""COMPUTED_VALUE"""),4.35)</f>
        <v>4.35</v>
      </c>
      <c r="U221" s="65">
        <f>IFERROR(__xludf.DUMMYFUNCTION("""COMPUTED_VALUE"""),0.0)</f>
        <v>0</v>
      </c>
      <c r="V221" s="65">
        <f>IFERROR(__xludf.DUMMYFUNCTION("""COMPUTED_VALUE"""),0.0)</f>
        <v>0</v>
      </c>
      <c r="W221" s="65">
        <f>IFERROR(__xludf.DUMMYFUNCTION("""COMPUTED_VALUE"""),0.0)</f>
        <v>0</v>
      </c>
      <c r="X221" s="65">
        <f>IFERROR(__xludf.DUMMYFUNCTION("""COMPUTED_VALUE"""),3.5)</f>
        <v>3.5</v>
      </c>
      <c r="Y221" s="65">
        <f>IFERROR(__xludf.DUMMYFUNCTION("""COMPUTED_VALUE"""),7.0)</f>
        <v>7</v>
      </c>
      <c r="Z221" s="65">
        <f>IFERROR(__xludf.DUMMYFUNCTION("""COMPUTED_VALUE"""),87095.0)</f>
        <v>87095</v>
      </c>
      <c r="AA221" s="65" t="str">
        <f>IFERROR(__xludf.DUMMYFUNCTION("""COMPUTED_VALUE"""),"FILTRO DE DRENAJE")</f>
        <v>FILTRO DE DRENAJE</v>
      </c>
      <c r="AB221" s="65"/>
      <c r="AC221" s="65" t="str">
        <f>IFERROR(__xludf.DUMMYFUNCTION("""COMPUTED_VALUE"""),"FILTRO DE DRENAJE")</f>
        <v>FILTRO DE DRENAJE</v>
      </c>
      <c r="AD221" s="65"/>
      <c r="AE221" s="65">
        <f>IFERROR(__xludf.DUMMYFUNCTION("""COMPUTED_VALUE"""),2.0)</f>
        <v>2</v>
      </c>
      <c r="AF221" s="65" t="str">
        <f>IFERROR(__xludf.DUMMYFUNCTION("""COMPUTED_VALUE"""),"DESTINATARIO NO CONTESTA LLAMADAS NI WHATSAPP")</f>
        <v>DESTINATARIO NO CONTESTA LLAMADAS NI WHATSAPP</v>
      </c>
      <c r="AG221" s="65" t="str">
        <f>IFERROR(__xludf.DUMMYFUNCTION("""COMPUTED_VALUE"""),"SI")</f>
        <v>SI</v>
      </c>
      <c r="AH221" s="65" t="str">
        <f>IFERROR(__xludf.DUMMYFUNCTION("""COMPUTED_VALUE"""),"08:45")</f>
        <v>08:45</v>
      </c>
      <c r="AI221" s="65" t="str">
        <f>IFERROR(__xludf.DUMMYFUNCTION("""COMPUTED_VALUE"""),"12-03-2026")</f>
        <v>12-03-2026</v>
      </c>
      <c r="AJ221" s="65" t="str">
        <f>IFERROR(__xludf.DUMMYFUNCTION("""COMPUTED_VALUE"""),"Cliente solicita la entrega inmediata")</f>
        <v>Cliente solicita la entrega inmediata</v>
      </c>
      <c r="AK221" s="65" t="str">
        <f>IFERROR(__xludf.DUMMYFUNCTION("""COMPUTED_VALUE"""),"11:01")</f>
        <v>11:01</v>
      </c>
      <c r="AL221" s="65" t="str">
        <f>IFERROR(__xludf.DUMMYFUNCTION("""COMPUTED_VALUE"""),"12-03-2026")</f>
        <v>12-03-2026</v>
      </c>
      <c r="AM221" s="65"/>
      <c r="AN221" s="65" t="str">
        <f>IFERROR(__xludf.DUMMYFUNCTION("""COMPUTED_VALUE"""),"13:35")</f>
        <v>13:35</v>
      </c>
      <c r="AO221" s="65" t="str">
        <f>IFERROR(__xludf.DUMMYFUNCTION("""COMPUTED_VALUE"""),"13-03-2026")</f>
        <v>13-03-2026</v>
      </c>
      <c r="AP221" s="65" t="str">
        <f>IFERROR(__xludf.DUMMYFUNCTION("""COMPUTED_VALUE"""),"ENTREGADA GINTRACOM")</f>
        <v>ENTREGADA GINTRACOM</v>
      </c>
      <c r="AQ221" s="65" t="str">
        <f>IFERROR(__xludf.DUMMYFUNCTION("""COMPUTED_VALUE"""),"ENTREGADA GINTRACOM")</f>
        <v>ENTREGADA GINTRACOM</v>
      </c>
      <c r="AR221" s="65"/>
      <c r="AS221" s="65"/>
      <c r="AT221" s="65" t="str">
        <f>IFERROR(__xludf.DUMMYFUNCTION("""COMPUTED_VALUE"""),"SHOPIFY")</f>
        <v>SHOPIFY</v>
      </c>
      <c r="AU221" s="65" t="str">
        <f>IFERROR(__xludf.DUMMYFUNCTION("""COMPUTED_VALUE"""),"IMPORTEX EC")</f>
        <v>IMPORTEX EC</v>
      </c>
      <c r="AV221" s="65" t="str">
        <f>IFERROR(__xludf.DUMMYFUNCTION("""COMPUTED_VALUE"""),"6571368284204")</f>
        <v>6571368284204</v>
      </c>
      <c r="AW221" s="65">
        <f>IFERROR(__xludf.DUMMYFUNCTION("""COMPUTED_VALUE"""),6631.0)</f>
        <v>6631</v>
      </c>
      <c r="AX221" s="65"/>
      <c r="AY221" s="65" t="str">
        <f>IFERROR(__xludf.DUMMYFUNCTION("""COMPUTED_VALUE"""),"11/03/2026")</f>
        <v>11/03/2026</v>
      </c>
      <c r="AZ221" s="65"/>
      <c r="BA221" s="65"/>
    </row>
    <row r="222">
      <c r="A222" s="65" t="str">
        <f>IFERROR(__xludf.DUMMYFUNCTION("""COMPUTED_VALUE"""),"27-03-2026")</f>
        <v>27-03-2026</v>
      </c>
      <c r="B222" s="65">
        <f>IFERROR(__xludf.DUMMYFUNCTION("""COMPUTED_VALUE"""),4765291.0)</f>
        <v>4765291</v>
      </c>
      <c r="C222" s="65" t="str">
        <f>IFERROR(__xludf.DUMMYFUNCTION("""COMPUTED_VALUE"""),"07:36")</f>
        <v>07:36</v>
      </c>
      <c r="D222" s="65" t="str">
        <f>IFERROR(__xludf.DUMMYFUNCTION("""COMPUTED_VALUE"""),"11-03-2026")</f>
        <v>11-03-2026</v>
      </c>
      <c r="E222" s="65" t="str">
        <f>IFERROR(__xludf.DUMMYFUNCTION("""COMPUTED_VALUE"""),"Jose Chango")</f>
        <v>Jose Chango</v>
      </c>
      <c r="F222" s="65" t="str">
        <f>IFERROR(__xludf.DUMMYFUNCTION("""COMPUTED_VALUE"""),"963084678")</f>
        <v>963084678</v>
      </c>
      <c r="G222" s="65" t="str">
        <f>IFERROR(__xludf.DUMMYFUNCTION("""COMPUTED_VALUE"""),"jose_luis.ch@hotmail.com")</f>
        <v>jose_luis.ch@hotmail.com</v>
      </c>
      <c r="H222" s="65"/>
      <c r="I222" s="65"/>
      <c r="J222" s="65" t="str">
        <f>IFERROR(__xludf.DUMMYFUNCTION("""COMPUTED_VALUE"""),"D001407736")</f>
        <v>D001407736</v>
      </c>
      <c r="K222" s="65" t="str">
        <f>IFERROR(__xludf.DUMMYFUNCTION("""COMPUTED_VALUE"""),"ENTREGADO")</f>
        <v>ENTREGADO</v>
      </c>
      <c r="L222" s="65" t="str">
        <f>IFERROR(__xludf.DUMMYFUNCTION("""COMPUTED_VALUE"""),"CON RECAUDO")</f>
        <v>CON RECAUDO</v>
      </c>
      <c r="M222" s="65" t="str">
        <f>IFERROR(__xludf.DUMMYFUNCTION("""COMPUTED_VALUE"""),"PICHINCHA")</f>
        <v>PICHINCHA</v>
      </c>
      <c r="N222" s="65" t="str">
        <f>IFERROR(__xludf.DUMMYFUNCTION("""COMPUTED_VALUE"""),"QUITO")</f>
        <v>QUITO</v>
      </c>
      <c r="O222" s="65" t="str">
        <f>IFERROR(__xludf.DUMMYFUNCTION("""COMPUTED_VALUE"""),"AV CARLOS FREIRE Y PASAJE EL PEDREGAL - REFERENCIA:   DIAGONAL A  CONDOMINIOS CASA SUYA - QUITO")</f>
        <v>AV CARLOS FREIRE Y PASAJE EL PEDREGAL - REFERENCIA:   DIAGONAL A  CONDOMINIOS CASA SUYA - QUITO</v>
      </c>
      <c r="P222" s="65"/>
      <c r="Q222" s="65" t="str">
        <f>IFERROR(__xludf.DUMMYFUNCTION("""COMPUTED_VALUE"""),"GINTRACOM")</f>
        <v>GINTRACOM</v>
      </c>
      <c r="R222" s="65">
        <f>IFERROR(__xludf.DUMMYFUNCTION("""COMPUTED_VALUE"""),25.0)</f>
        <v>25</v>
      </c>
      <c r="S222" s="65">
        <f>IFERROR(__xludf.DUMMYFUNCTION("""COMPUTED_VALUE"""),15.95)</f>
        <v>15.95</v>
      </c>
      <c r="T222" s="65">
        <f>IFERROR(__xludf.DUMMYFUNCTION("""COMPUTED_VALUE"""),4.35)</f>
        <v>4.35</v>
      </c>
      <c r="U222" s="65">
        <f>IFERROR(__xludf.DUMMYFUNCTION("""COMPUTED_VALUE"""),0.0)</f>
        <v>0</v>
      </c>
      <c r="V222" s="65">
        <f>IFERROR(__xludf.DUMMYFUNCTION("""COMPUTED_VALUE"""),0.0)</f>
        <v>0</v>
      </c>
      <c r="W222" s="65">
        <f>IFERROR(__xludf.DUMMYFUNCTION("""COMPUTED_VALUE"""),0.0)</f>
        <v>0</v>
      </c>
      <c r="X222" s="65">
        <f>IFERROR(__xludf.DUMMYFUNCTION("""COMPUTED_VALUE"""),2.35)</f>
        <v>2.35</v>
      </c>
      <c r="Y222" s="65">
        <f>IFERROR(__xludf.DUMMYFUNCTION("""COMPUTED_VALUE"""),4.7)</f>
        <v>4.7</v>
      </c>
      <c r="Z222" s="65">
        <f>IFERROR(__xludf.DUMMYFUNCTION("""COMPUTED_VALUE"""),116679.0)</f>
        <v>116679</v>
      </c>
      <c r="AA222" s="65" t="str">
        <f>IFERROR(__xludf.DUMMYFUNCTION("""COMPUTED_VALUE"""),"AMC-2738")</f>
        <v>AMC-2738</v>
      </c>
      <c r="AB222" s="65"/>
      <c r="AC222" s="65" t="str">
        <f>IFERROR(__xludf.DUMMYFUNCTION("""COMPUTED_VALUE"""),"ESPONJA ANTILLUVIA DE PARABRISAS")</f>
        <v>ESPONJA ANTILLUVIA DE PARABRISAS</v>
      </c>
      <c r="AD222" s="65"/>
      <c r="AE222" s="65">
        <f>IFERROR(__xludf.DUMMYFUNCTION("""COMPUTED_VALUE"""),2.0)</f>
        <v>2</v>
      </c>
      <c r="AF222" s="65"/>
      <c r="AG222" s="65"/>
      <c r="AH222" s="65"/>
      <c r="AI222" s="65"/>
      <c r="AJ222" s="65"/>
      <c r="AK222" s="65"/>
      <c r="AL222" s="65"/>
      <c r="AM222" s="65"/>
      <c r="AN222" s="65" t="str">
        <f>IFERROR(__xludf.DUMMYFUNCTION("""COMPUTED_VALUE"""),"11:09")</f>
        <v>11:09</v>
      </c>
      <c r="AO222" s="65" t="str">
        <f>IFERROR(__xludf.DUMMYFUNCTION("""COMPUTED_VALUE"""),"16-03-2026")</f>
        <v>16-03-2026</v>
      </c>
      <c r="AP222" s="65" t="str">
        <f>IFERROR(__xludf.DUMMYFUNCTION("""COMPUTED_VALUE"""),"ENTREGADA GINTRACOM")</f>
        <v>ENTREGADA GINTRACOM</v>
      </c>
      <c r="AQ222" s="65" t="str">
        <f>IFERROR(__xludf.DUMMYFUNCTION("""COMPUTED_VALUE"""),"ENTREGADA GINTRACOM")</f>
        <v>ENTREGADA GINTRACOM</v>
      </c>
      <c r="AR222" s="65"/>
      <c r="AS222" s="65"/>
      <c r="AT222" s="65" t="str">
        <f>IFERROR(__xludf.DUMMYFUNCTION("""COMPUTED_VALUE"""),"SHOPIFY")</f>
        <v>SHOPIFY</v>
      </c>
      <c r="AU222" s="65" t="str">
        <f>IFERROR(__xludf.DUMMYFUNCTION("""COMPUTED_VALUE"""),"IMPORTEX EC")</f>
        <v>IMPORTEX EC</v>
      </c>
      <c r="AV222" s="65" t="str">
        <f>IFERROR(__xludf.DUMMYFUNCTION("""COMPUTED_VALUE"""),"6571290984492")</f>
        <v>6571290984492</v>
      </c>
      <c r="AW222" s="65">
        <f>IFERROR(__xludf.DUMMYFUNCTION("""COMPUTED_VALUE"""),6630.0)</f>
        <v>6630</v>
      </c>
      <c r="AX222" s="65"/>
      <c r="AY222" s="65" t="str">
        <f>IFERROR(__xludf.DUMMYFUNCTION("""COMPUTED_VALUE"""),"12/03/2026")</f>
        <v>12/03/2026</v>
      </c>
      <c r="AZ222" s="65"/>
      <c r="BA222" s="65"/>
    </row>
    <row r="223">
      <c r="A223" s="65" t="str">
        <f>IFERROR(__xludf.DUMMYFUNCTION("""COMPUTED_VALUE"""),"27-03-2026")</f>
        <v>27-03-2026</v>
      </c>
      <c r="B223" s="65">
        <f>IFERROR(__xludf.DUMMYFUNCTION("""COMPUTED_VALUE"""),4765226.0)</f>
        <v>4765226</v>
      </c>
      <c r="C223" s="65" t="str">
        <f>IFERROR(__xludf.DUMMYFUNCTION("""COMPUTED_VALUE"""),"07:26")</f>
        <v>07:26</v>
      </c>
      <c r="D223" s="65" t="str">
        <f>IFERROR(__xludf.DUMMYFUNCTION("""COMPUTED_VALUE"""),"11-03-2026")</f>
        <v>11-03-2026</v>
      </c>
      <c r="E223" s="65" t="str">
        <f>IFERROR(__xludf.DUMMYFUNCTION("""COMPUTED_VALUE"""),"Diana Solorzano")</f>
        <v>Diana Solorzano</v>
      </c>
      <c r="F223" s="65" t="str">
        <f>IFERROR(__xludf.DUMMYFUNCTION("""COMPUTED_VALUE"""),"963666540")</f>
        <v>963666540</v>
      </c>
      <c r="G223" s="65" t="str">
        <f>IFERROR(__xludf.DUMMYFUNCTION("""COMPUTED_VALUE"""),"dianasol529@gmail.com")</f>
        <v>dianasol529@gmail.com</v>
      </c>
      <c r="H223" s="65"/>
      <c r="I223" s="65"/>
      <c r="J223" s="65" t="str">
        <f>IFERROR(__xludf.DUMMYFUNCTION("""COMPUTED_VALUE"""),"D001405424")</f>
        <v>D001405424</v>
      </c>
      <c r="K223" s="65" t="str">
        <f>IFERROR(__xludf.DUMMYFUNCTION("""COMPUTED_VALUE"""),"ENTREGADO")</f>
        <v>ENTREGADO</v>
      </c>
      <c r="L223" s="65" t="str">
        <f>IFERROR(__xludf.DUMMYFUNCTION("""COMPUTED_VALUE"""),"CON RECAUDO")</f>
        <v>CON RECAUDO</v>
      </c>
      <c r="M223" s="65" t="str">
        <f>IFERROR(__xludf.DUMMYFUNCTION("""COMPUTED_VALUE"""),"GUAYAS")</f>
        <v>GUAYAS</v>
      </c>
      <c r="N223" s="65" t="str">
        <f>IFERROR(__xludf.DUMMYFUNCTION("""COMPUTED_VALUE"""),"GUAYAQUIL")</f>
        <v>GUAYAQUIL</v>
      </c>
      <c r="O223" s="65" t="str">
        <f>IFERROR(__xludf.DUMMYFUNCTION("""COMPUTED_VALUE"""),"Urbanizacion Terranostra etapa Tarragona Mz-1722 villa 5 Via a la costa  km 14 -")</f>
        <v>Urbanizacion Terranostra etapa Tarragona Mz-1722 villa 5 Via a la costa  km 14 -</v>
      </c>
      <c r="P223" s="65"/>
      <c r="Q223" s="65" t="str">
        <f>IFERROR(__xludf.DUMMYFUNCTION("""COMPUTED_VALUE"""),"GINTRACOM")</f>
        <v>GINTRACOM</v>
      </c>
      <c r="R223" s="65">
        <f>IFERROR(__xludf.DUMMYFUNCTION("""COMPUTED_VALUE"""),25.0)</f>
        <v>25</v>
      </c>
      <c r="S223" s="65">
        <f>IFERROR(__xludf.DUMMYFUNCTION("""COMPUTED_VALUE"""),13.65)</f>
        <v>13.65</v>
      </c>
      <c r="T223" s="65">
        <f>IFERROR(__xludf.DUMMYFUNCTION("""COMPUTED_VALUE"""),4.35)</f>
        <v>4.35</v>
      </c>
      <c r="U223" s="65">
        <f>IFERROR(__xludf.DUMMYFUNCTION("""COMPUTED_VALUE"""),0.0)</f>
        <v>0</v>
      </c>
      <c r="V223" s="65">
        <f>IFERROR(__xludf.DUMMYFUNCTION("""COMPUTED_VALUE"""),0.0)</f>
        <v>0</v>
      </c>
      <c r="W223" s="65">
        <f>IFERROR(__xludf.DUMMYFUNCTION("""COMPUTED_VALUE"""),0.0)</f>
        <v>0</v>
      </c>
      <c r="X223" s="65">
        <f>IFERROR(__xludf.DUMMYFUNCTION("""COMPUTED_VALUE"""),3.5)</f>
        <v>3.5</v>
      </c>
      <c r="Y223" s="65">
        <f>IFERROR(__xludf.DUMMYFUNCTION("""COMPUTED_VALUE"""),7.0)</f>
        <v>7</v>
      </c>
      <c r="Z223" s="65">
        <f>IFERROR(__xludf.DUMMYFUNCTION("""COMPUTED_VALUE"""),87095.0)</f>
        <v>87095</v>
      </c>
      <c r="AA223" s="65" t="str">
        <f>IFERROR(__xludf.DUMMYFUNCTION("""COMPUTED_VALUE"""),"FILTRO DE DRENAJE")</f>
        <v>FILTRO DE DRENAJE</v>
      </c>
      <c r="AB223" s="65"/>
      <c r="AC223" s="65" t="str">
        <f>IFERROR(__xludf.DUMMYFUNCTION("""COMPUTED_VALUE"""),"FILTRO DE DRENAJE")</f>
        <v>FILTRO DE DRENAJE</v>
      </c>
      <c r="AD223" s="65"/>
      <c r="AE223" s="65">
        <f>IFERROR(__xludf.DUMMYFUNCTION("""COMPUTED_VALUE"""),2.0)</f>
        <v>2</v>
      </c>
      <c r="AF223" s="65"/>
      <c r="AG223" s="65"/>
      <c r="AH223" s="65"/>
      <c r="AI223" s="65"/>
      <c r="AJ223" s="65"/>
      <c r="AK223" s="65"/>
      <c r="AL223" s="65"/>
      <c r="AM223" s="65"/>
      <c r="AN223" s="65" t="str">
        <f>IFERROR(__xludf.DUMMYFUNCTION("""COMPUTED_VALUE"""),"08:10")</f>
        <v>08:10</v>
      </c>
      <c r="AO223" s="65" t="str">
        <f>IFERROR(__xludf.DUMMYFUNCTION("""COMPUTED_VALUE"""),"12-03-2026")</f>
        <v>12-03-2026</v>
      </c>
      <c r="AP223" s="65" t="str">
        <f>IFERROR(__xludf.DUMMYFUNCTION("""COMPUTED_VALUE"""),"EN REPARTO")</f>
        <v>EN REPARTO</v>
      </c>
      <c r="AQ223" s="65" t="str">
        <f>IFERROR(__xludf.DUMMYFUNCTION("""COMPUTED_VALUE"""),"EN REPARTO")</f>
        <v>EN REPARTO</v>
      </c>
      <c r="AR223" s="65"/>
      <c r="AS223" s="65"/>
      <c r="AT223" s="65" t="str">
        <f>IFERROR(__xludf.DUMMYFUNCTION("""COMPUTED_VALUE"""),"SHOPIFY")</f>
        <v>SHOPIFY</v>
      </c>
      <c r="AU223" s="65" t="str">
        <f>IFERROR(__xludf.DUMMYFUNCTION("""COMPUTED_VALUE"""),"IMPORTEX EC")</f>
        <v>IMPORTEX EC</v>
      </c>
      <c r="AV223" s="65" t="str">
        <f>IFERROR(__xludf.DUMMYFUNCTION("""COMPUTED_VALUE"""),"6571280629804")</f>
        <v>6571280629804</v>
      </c>
      <c r="AW223" s="65">
        <f>IFERROR(__xludf.DUMMYFUNCTION("""COMPUTED_VALUE"""),6629.0)</f>
        <v>6629</v>
      </c>
      <c r="AX223" s="65"/>
      <c r="AY223" s="65" t="str">
        <f>IFERROR(__xludf.DUMMYFUNCTION("""COMPUTED_VALUE"""),"11/03/2026")</f>
        <v>11/03/2026</v>
      </c>
      <c r="AZ223" s="65"/>
      <c r="BA223" s="65"/>
    </row>
    <row r="224">
      <c r="A224" s="65" t="str">
        <f>IFERROR(__xludf.DUMMYFUNCTION("""COMPUTED_VALUE"""),"27-03-2026")</f>
        <v>27-03-2026</v>
      </c>
      <c r="B224" s="65">
        <f>IFERROR(__xludf.DUMMYFUNCTION("""COMPUTED_VALUE"""),4764089.0)</f>
        <v>4764089</v>
      </c>
      <c r="C224" s="65" t="str">
        <f>IFERROR(__xludf.DUMMYFUNCTION("""COMPUTED_VALUE"""),"23:56")</f>
        <v>23:56</v>
      </c>
      <c r="D224" s="65" t="str">
        <f>IFERROR(__xludf.DUMMYFUNCTION("""COMPUTED_VALUE"""),"10-03-2026")</f>
        <v>10-03-2026</v>
      </c>
      <c r="E224" s="65" t="str">
        <f>IFERROR(__xludf.DUMMYFUNCTION("""COMPUTED_VALUE"""),"Edilma Valencia")</f>
        <v>Edilma Valencia</v>
      </c>
      <c r="F224" s="65" t="str">
        <f>IFERROR(__xludf.DUMMYFUNCTION("""COMPUTED_VALUE"""),"990846486")</f>
        <v>990846486</v>
      </c>
      <c r="G224" s="65" t="str">
        <f>IFERROR(__xludf.DUMMYFUNCTION("""COMPUTED_VALUE"""),"edgarfalconi41@gmail.com")</f>
        <v>edgarfalconi41@gmail.com</v>
      </c>
      <c r="H224" s="65"/>
      <c r="I224" s="65"/>
      <c r="J224" s="65"/>
      <c r="K224" s="65" t="str">
        <f>IFERROR(__xludf.DUMMYFUNCTION("""COMPUTED_VALUE"""),"PENDIENTE CONFIRMACION")</f>
        <v>PENDIENTE CONFIRMACION</v>
      </c>
      <c r="L224" s="65" t="str">
        <f>IFERROR(__xludf.DUMMYFUNCTION("""COMPUTED_VALUE"""),"CON RECAUDO")</f>
        <v>CON RECAUDO</v>
      </c>
      <c r="M224" s="65" t="str">
        <f>IFERROR(__xludf.DUMMYFUNCTION("""COMPUTED_VALUE"""),"PICHINCHA")</f>
        <v>PICHINCHA</v>
      </c>
      <c r="N224" s="65" t="str">
        <f>IFERROR(__xludf.DUMMYFUNCTION("""COMPUTED_VALUE"""),"QUITO")</f>
        <v>QUITO</v>
      </c>
      <c r="O224" s="65" t="str">
        <f>IFERROR(__xludf.DUMMYFUNCTION("""COMPUTED_VALUE"""),"Tulipanes y 6 de diciembre El inca -")</f>
        <v>Tulipanes y 6 de diciembre El inca -</v>
      </c>
      <c r="P224" s="65"/>
      <c r="Q224" s="65" t="str">
        <f>IFERROR(__xludf.DUMMYFUNCTION("""COMPUTED_VALUE"""),"GINTRACOM")</f>
        <v>GINTRACOM</v>
      </c>
      <c r="R224" s="65">
        <f>IFERROR(__xludf.DUMMYFUNCTION("""COMPUTED_VALUE"""),25.0)</f>
        <v>25</v>
      </c>
      <c r="S224" s="65"/>
      <c r="T224" s="65">
        <f>IFERROR(__xludf.DUMMYFUNCTION("""COMPUTED_VALUE"""),4.35)</f>
        <v>4.35</v>
      </c>
      <c r="U224" s="65">
        <f>IFERROR(__xludf.DUMMYFUNCTION("""COMPUTED_VALUE"""),0.0)</f>
        <v>0</v>
      </c>
      <c r="V224" s="65">
        <f>IFERROR(__xludf.DUMMYFUNCTION("""COMPUTED_VALUE"""),0.0)</f>
        <v>0</v>
      </c>
      <c r="W224" s="65">
        <f>IFERROR(__xludf.DUMMYFUNCTION("""COMPUTED_VALUE"""),0.0)</f>
        <v>0</v>
      </c>
      <c r="X224" s="65">
        <f>IFERROR(__xludf.DUMMYFUNCTION("""COMPUTED_VALUE"""),2.35)</f>
        <v>2.35</v>
      </c>
      <c r="Y224" s="65">
        <f>IFERROR(__xludf.DUMMYFUNCTION("""COMPUTED_VALUE"""),4.7)</f>
        <v>4.7</v>
      </c>
      <c r="Z224" s="65">
        <f>IFERROR(__xludf.DUMMYFUNCTION("""COMPUTED_VALUE"""),116679.0)</f>
        <v>116679</v>
      </c>
      <c r="AA224" s="65" t="str">
        <f>IFERROR(__xludf.DUMMYFUNCTION("""COMPUTED_VALUE"""),"AMC-2738")</f>
        <v>AMC-2738</v>
      </c>
      <c r="AB224" s="65"/>
      <c r="AC224" s="65" t="str">
        <f>IFERROR(__xludf.DUMMYFUNCTION("""COMPUTED_VALUE"""),"ESPONJA ANTILLUVIA DE PARABRISAS")</f>
        <v>ESPONJA ANTILLUVIA DE PARABRISAS</v>
      </c>
      <c r="AD224" s="65"/>
      <c r="AE224" s="65">
        <f>IFERROR(__xludf.DUMMYFUNCTION("""COMPUTED_VALUE"""),2.0)</f>
        <v>2</v>
      </c>
      <c r="AF224" s="65"/>
      <c r="AG224" s="65"/>
      <c r="AH224" s="65"/>
      <c r="AI224" s="65"/>
      <c r="AJ224" s="65"/>
      <c r="AK224" s="65"/>
      <c r="AL224" s="65"/>
      <c r="AM224" s="65"/>
      <c r="AN224" s="65"/>
      <c r="AO224" s="65"/>
      <c r="AP224" s="65"/>
      <c r="AQ224" s="65"/>
      <c r="AR224" s="65"/>
      <c r="AS224" s="65"/>
      <c r="AT224" s="65" t="str">
        <f>IFERROR(__xludf.DUMMYFUNCTION("""COMPUTED_VALUE"""),"SHOPIFY")</f>
        <v>SHOPIFY</v>
      </c>
      <c r="AU224" s="65" t="str">
        <f>IFERROR(__xludf.DUMMYFUNCTION("""COMPUTED_VALUE"""),"IMPORTEX EC")</f>
        <v>IMPORTEX EC</v>
      </c>
      <c r="AV224" s="65" t="str">
        <f>IFERROR(__xludf.DUMMYFUNCTION("""COMPUTED_VALUE"""),"6570875519020")</f>
        <v>6570875519020</v>
      </c>
      <c r="AW224" s="65">
        <f>IFERROR(__xludf.DUMMYFUNCTION("""COMPUTED_VALUE"""),6628.0)</f>
        <v>6628</v>
      </c>
      <c r="AX224" s="65"/>
      <c r="AY224" s="65"/>
      <c r="AZ224" s="65"/>
      <c r="BA224" s="65"/>
    </row>
    <row r="225">
      <c r="A225" s="65" t="str">
        <f>IFERROR(__xludf.DUMMYFUNCTION("""COMPUTED_VALUE"""),"27-03-2026")</f>
        <v>27-03-2026</v>
      </c>
      <c r="B225" s="65">
        <f>IFERROR(__xludf.DUMMYFUNCTION("""COMPUTED_VALUE"""),4761051.0)</f>
        <v>4761051</v>
      </c>
      <c r="C225" s="65" t="str">
        <f>IFERROR(__xludf.DUMMYFUNCTION("""COMPUTED_VALUE"""),"18:35")</f>
        <v>18:35</v>
      </c>
      <c r="D225" s="65" t="str">
        <f>IFERROR(__xludf.DUMMYFUNCTION("""COMPUTED_VALUE"""),"10-03-2026")</f>
        <v>10-03-2026</v>
      </c>
      <c r="E225" s="65" t="str">
        <f>IFERROR(__xludf.DUMMYFUNCTION("""COMPUTED_VALUE"""),"Fausto Naranjo Gomez")</f>
        <v>Fausto Naranjo Gomez</v>
      </c>
      <c r="F225" s="65" t="str">
        <f>IFERROR(__xludf.DUMMYFUNCTION("""COMPUTED_VALUE"""),"939980534")</f>
        <v>939980534</v>
      </c>
      <c r="G225" s="65"/>
      <c r="H225" s="65"/>
      <c r="I225" s="65"/>
      <c r="J225" s="65"/>
      <c r="K225" s="65" t="str">
        <f>IFERROR(__xludf.DUMMYFUNCTION("""COMPUTED_VALUE"""),"PENDIENTE CONFIRMACION")</f>
        <v>PENDIENTE CONFIRMACION</v>
      </c>
      <c r="L225" s="65" t="str">
        <f>IFERROR(__xludf.DUMMYFUNCTION("""COMPUTED_VALUE"""),"CON RECAUDO")</f>
        <v>CON RECAUDO</v>
      </c>
      <c r="M225" s="65" t="str">
        <f>IFERROR(__xludf.DUMMYFUNCTION("""COMPUTED_VALUE"""),"SANTO DOMINGO DE LOS TSACHILAS")</f>
        <v>SANTO DOMINGO DE LOS TSACHILAS</v>
      </c>
      <c r="N225" s="65" t="str">
        <f>IFERROR(__xludf.DUMMYFUNCTION("""COMPUTED_VALUE"""),"SANTO DOMINGO")</f>
        <v>SANTO DOMINGO</v>
      </c>
      <c r="O225" s="65" t="str">
        <f>IFERROR(__xludf.DUMMYFUNCTION("""COMPUTED_VALUE"""),"Calle Miguel de Santiago yLuis Toro Moreno Coop Víctor Manuel López -")</f>
        <v>Calle Miguel de Santiago yLuis Toro Moreno Coop Víctor Manuel López -</v>
      </c>
      <c r="P225" s="65"/>
      <c r="Q225" s="65" t="str">
        <f>IFERROR(__xludf.DUMMYFUNCTION("""COMPUTED_VALUE"""),"GINTRACOM")</f>
        <v>GINTRACOM</v>
      </c>
      <c r="R225" s="65">
        <f>IFERROR(__xludf.DUMMYFUNCTION("""COMPUTED_VALUE"""),32.01)</f>
        <v>32.01</v>
      </c>
      <c r="S225" s="65"/>
      <c r="T225" s="65">
        <f>IFERROR(__xludf.DUMMYFUNCTION("""COMPUTED_VALUE"""),6.24)</f>
        <v>6.24</v>
      </c>
      <c r="U225" s="65">
        <f>IFERROR(__xludf.DUMMYFUNCTION("""COMPUTED_VALUE"""),0.0)</f>
        <v>0</v>
      </c>
      <c r="V225" s="65">
        <f>IFERROR(__xludf.DUMMYFUNCTION("""COMPUTED_VALUE"""),0.0)</f>
        <v>0</v>
      </c>
      <c r="W225" s="65">
        <f>IFERROR(__xludf.DUMMYFUNCTION("""COMPUTED_VALUE"""),0.0)</f>
        <v>0</v>
      </c>
      <c r="X225" s="65">
        <f>IFERROR(__xludf.DUMMYFUNCTION("""COMPUTED_VALUE"""),3.5)</f>
        <v>3.5</v>
      </c>
      <c r="Y225" s="65">
        <f>IFERROR(__xludf.DUMMYFUNCTION("""COMPUTED_VALUE"""),10.5)</f>
        <v>10.5</v>
      </c>
      <c r="Z225" s="65">
        <f>IFERROR(__xludf.DUMMYFUNCTION("""COMPUTED_VALUE"""),87095.0)</f>
        <v>87095</v>
      </c>
      <c r="AA225" s="65" t="str">
        <f>IFERROR(__xludf.DUMMYFUNCTION("""COMPUTED_VALUE"""),"FILTRO DE DRENAJE")</f>
        <v>FILTRO DE DRENAJE</v>
      </c>
      <c r="AB225" s="65"/>
      <c r="AC225" s="65" t="str">
        <f>IFERROR(__xludf.DUMMYFUNCTION("""COMPUTED_VALUE"""),"FILTRO DE DRENAJE")</f>
        <v>FILTRO DE DRENAJE</v>
      </c>
      <c r="AD225" s="65"/>
      <c r="AE225" s="65">
        <f>IFERROR(__xludf.DUMMYFUNCTION("""COMPUTED_VALUE"""),3.0)</f>
        <v>3</v>
      </c>
      <c r="AF225" s="65"/>
      <c r="AG225" s="65"/>
      <c r="AH225" s="65"/>
      <c r="AI225" s="65"/>
      <c r="AJ225" s="65"/>
      <c r="AK225" s="65"/>
      <c r="AL225" s="65"/>
      <c r="AM225" s="65"/>
      <c r="AN225" s="65"/>
      <c r="AO225" s="65"/>
      <c r="AP225" s="65"/>
      <c r="AQ225" s="65"/>
      <c r="AR225" s="65"/>
      <c r="AS225" s="65"/>
      <c r="AT225" s="65" t="str">
        <f>IFERROR(__xludf.DUMMYFUNCTION("""COMPUTED_VALUE"""),"SHOPIFY")</f>
        <v>SHOPIFY</v>
      </c>
      <c r="AU225" s="65" t="str">
        <f>IFERROR(__xludf.DUMMYFUNCTION("""COMPUTED_VALUE"""),"IMPORTEX EC")</f>
        <v>IMPORTEX EC</v>
      </c>
      <c r="AV225" s="65" t="str">
        <f>IFERROR(__xludf.DUMMYFUNCTION("""COMPUTED_VALUE"""),"6570387079212")</f>
        <v>6570387079212</v>
      </c>
      <c r="AW225" s="65">
        <f>IFERROR(__xludf.DUMMYFUNCTION("""COMPUTED_VALUE"""),6627.0)</f>
        <v>6627</v>
      </c>
      <c r="AX225" s="65"/>
      <c r="AY225" s="65"/>
      <c r="AZ225" s="65"/>
      <c r="BA225" s="65"/>
    </row>
    <row r="226">
      <c r="A226" s="65" t="str">
        <f>IFERROR(__xludf.DUMMYFUNCTION("""COMPUTED_VALUE"""),"27-03-2026")</f>
        <v>27-03-2026</v>
      </c>
      <c r="B226" s="65">
        <f>IFERROR(__xludf.DUMMYFUNCTION("""COMPUTED_VALUE"""),4759886.0)</f>
        <v>4759886</v>
      </c>
      <c r="C226" s="65" t="str">
        <f>IFERROR(__xludf.DUMMYFUNCTION("""COMPUTED_VALUE"""),"16:26")</f>
        <v>16:26</v>
      </c>
      <c r="D226" s="65" t="str">
        <f>IFERROR(__xludf.DUMMYFUNCTION("""COMPUTED_VALUE"""),"10-03-2026")</f>
        <v>10-03-2026</v>
      </c>
      <c r="E226" s="65" t="str">
        <f>IFERROR(__xludf.DUMMYFUNCTION("""COMPUTED_VALUE"""),"María Ponce")</f>
        <v>María Ponce</v>
      </c>
      <c r="F226" s="65" t="str">
        <f>IFERROR(__xludf.DUMMYFUNCTION("""COMPUTED_VALUE"""),"991722743")</f>
        <v>991722743</v>
      </c>
      <c r="G226" s="65" t="str">
        <f>IFERROR(__xludf.DUMMYFUNCTION("""COMPUTED_VALUE"""),"malexandraponce@hotmail.com")</f>
        <v>malexandraponce@hotmail.com</v>
      </c>
      <c r="H226" s="65"/>
      <c r="I226" s="65"/>
      <c r="J226" s="65"/>
      <c r="K226" s="65" t="str">
        <f>IFERROR(__xludf.DUMMYFUNCTION("""COMPUTED_VALUE"""),"PENDIENTE CONFIRMACION")</f>
        <v>PENDIENTE CONFIRMACION</v>
      </c>
      <c r="L226" s="65" t="str">
        <f>IFERROR(__xludf.DUMMYFUNCTION("""COMPUTED_VALUE"""),"CON RECAUDO")</f>
        <v>CON RECAUDO</v>
      </c>
      <c r="M226" s="65" t="str">
        <f>IFERROR(__xludf.DUMMYFUNCTION("""COMPUTED_VALUE"""),"GUAYAS")</f>
        <v>GUAYAS</v>
      </c>
      <c r="N226" s="65" t="str">
        <f>IFERROR(__xludf.DUMMYFUNCTION("""COMPUTED_VALUE"""),"GUAYAQUIL")</f>
        <v>GUAYAQUIL</v>
      </c>
      <c r="O226" s="65" t="str">
        <f>IFERROR(__xludf.DUMMYFUNCTION("""COMPUTED_VALUE"""),"Urbanizacion Olimpus villa 20 Ceibos -")</f>
        <v>Urbanizacion Olimpus villa 20 Ceibos -</v>
      </c>
      <c r="P226" s="65"/>
      <c r="Q226" s="65" t="str">
        <f>IFERROR(__xludf.DUMMYFUNCTION("""COMPUTED_VALUE"""),"GINTRACOM")</f>
        <v>GINTRACOM</v>
      </c>
      <c r="R226" s="65">
        <f>IFERROR(__xludf.DUMMYFUNCTION("""COMPUTED_VALUE"""),25.0)</f>
        <v>25</v>
      </c>
      <c r="S226" s="65"/>
      <c r="T226" s="65">
        <f>IFERROR(__xludf.DUMMYFUNCTION("""COMPUTED_VALUE"""),4.35)</f>
        <v>4.35</v>
      </c>
      <c r="U226" s="65">
        <f>IFERROR(__xludf.DUMMYFUNCTION("""COMPUTED_VALUE"""),0.0)</f>
        <v>0</v>
      </c>
      <c r="V226" s="65">
        <f>IFERROR(__xludf.DUMMYFUNCTION("""COMPUTED_VALUE"""),0.0)</f>
        <v>0</v>
      </c>
      <c r="W226" s="65">
        <f>IFERROR(__xludf.DUMMYFUNCTION("""COMPUTED_VALUE"""),0.0)</f>
        <v>0</v>
      </c>
      <c r="X226" s="65">
        <f>IFERROR(__xludf.DUMMYFUNCTION("""COMPUTED_VALUE"""),3.5)</f>
        <v>3.5</v>
      </c>
      <c r="Y226" s="65">
        <f>IFERROR(__xludf.DUMMYFUNCTION("""COMPUTED_VALUE"""),7.0)</f>
        <v>7</v>
      </c>
      <c r="Z226" s="65">
        <f>IFERROR(__xludf.DUMMYFUNCTION("""COMPUTED_VALUE"""),87095.0)</f>
        <v>87095</v>
      </c>
      <c r="AA226" s="65" t="str">
        <f>IFERROR(__xludf.DUMMYFUNCTION("""COMPUTED_VALUE"""),"FILTRO DE DRENAJE")</f>
        <v>FILTRO DE DRENAJE</v>
      </c>
      <c r="AB226" s="65"/>
      <c r="AC226" s="65" t="str">
        <f>IFERROR(__xludf.DUMMYFUNCTION("""COMPUTED_VALUE"""),"FILTRO DE DRENAJE")</f>
        <v>FILTRO DE DRENAJE</v>
      </c>
      <c r="AD226" s="65"/>
      <c r="AE226" s="65">
        <f>IFERROR(__xludf.DUMMYFUNCTION("""COMPUTED_VALUE"""),2.0)</f>
        <v>2</v>
      </c>
      <c r="AF226" s="65"/>
      <c r="AG226" s="65"/>
      <c r="AH226" s="65"/>
      <c r="AI226" s="65"/>
      <c r="AJ226" s="65"/>
      <c r="AK226" s="65"/>
      <c r="AL226" s="65"/>
      <c r="AM226" s="65"/>
      <c r="AN226" s="65"/>
      <c r="AO226" s="65"/>
      <c r="AP226" s="65"/>
      <c r="AQ226" s="65"/>
      <c r="AR226" s="65"/>
      <c r="AS226" s="65"/>
      <c r="AT226" s="65" t="str">
        <f>IFERROR(__xludf.DUMMYFUNCTION("""COMPUTED_VALUE"""),"SHOPIFY")</f>
        <v>SHOPIFY</v>
      </c>
      <c r="AU226" s="65" t="str">
        <f>IFERROR(__xludf.DUMMYFUNCTION("""COMPUTED_VALUE"""),"IMPORTEX EC")</f>
        <v>IMPORTEX EC</v>
      </c>
      <c r="AV226" s="65" t="str">
        <f>IFERROR(__xludf.DUMMYFUNCTION("""COMPUTED_VALUE"""),"6570182967340")</f>
        <v>6570182967340</v>
      </c>
      <c r="AW226" s="65">
        <f>IFERROR(__xludf.DUMMYFUNCTION("""COMPUTED_VALUE"""),6626.0)</f>
        <v>6626</v>
      </c>
      <c r="AX226" s="65"/>
      <c r="AY226" s="65"/>
      <c r="AZ226" s="65"/>
      <c r="BA226" s="65"/>
    </row>
    <row r="227">
      <c r="A227" s="65" t="str">
        <f>IFERROR(__xludf.DUMMYFUNCTION("""COMPUTED_VALUE"""),"27-03-2026")</f>
        <v>27-03-2026</v>
      </c>
      <c r="B227" s="65">
        <f>IFERROR(__xludf.DUMMYFUNCTION("""COMPUTED_VALUE"""),4758944.0)</f>
        <v>4758944</v>
      </c>
      <c r="C227" s="65" t="str">
        <f>IFERROR(__xludf.DUMMYFUNCTION("""COMPUTED_VALUE"""),"14:50")</f>
        <v>14:50</v>
      </c>
      <c r="D227" s="65" t="str">
        <f>IFERROR(__xludf.DUMMYFUNCTION("""COMPUTED_VALUE"""),"10-03-2026")</f>
        <v>10-03-2026</v>
      </c>
      <c r="E227" s="65" t="str">
        <f>IFERROR(__xludf.DUMMYFUNCTION("""COMPUTED_VALUE"""),"Iván Solorzano")</f>
        <v>Iván Solorzano</v>
      </c>
      <c r="F227" s="65" t="str">
        <f>IFERROR(__xludf.DUMMYFUNCTION("""COMPUTED_VALUE"""),"997824842")</f>
        <v>997824842</v>
      </c>
      <c r="G227" s="65" t="str">
        <f>IFERROR(__xludf.DUMMYFUNCTION("""COMPUTED_VALUE"""),"i-solorzano@hotmail.com")</f>
        <v>i-solorzano@hotmail.com</v>
      </c>
      <c r="H227" s="65"/>
      <c r="I227" s="65"/>
      <c r="J227" s="65" t="str">
        <f>IFERROR(__xludf.DUMMYFUNCTION("""COMPUTED_VALUE"""),"D001407762")</f>
        <v>D001407762</v>
      </c>
      <c r="K227" s="65" t="str">
        <f>IFERROR(__xludf.DUMMYFUNCTION("""COMPUTED_VALUE"""),"ENTREGADO")</f>
        <v>ENTREGADO</v>
      </c>
      <c r="L227" s="65" t="str">
        <f>IFERROR(__xludf.DUMMYFUNCTION("""COMPUTED_VALUE"""),"CON RECAUDO")</f>
        <v>CON RECAUDO</v>
      </c>
      <c r="M227" s="65" t="str">
        <f>IFERROR(__xludf.DUMMYFUNCTION("""COMPUTED_VALUE"""),"PICHINCHA")</f>
        <v>PICHINCHA</v>
      </c>
      <c r="N227" s="65" t="str">
        <f>IFERROR(__xludf.DUMMYFUNCTION("""COMPUTED_VALUE"""),"PIFO")</f>
        <v>PIFO</v>
      </c>
      <c r="O227" s="65" t="str">
        <f>IFERROR(__xludf.DUMMYFUNCTION("""COMPUTED_VALUE"""),"Km 24.5 via Interoceanica - Bodegas La Mancha Pifo, REFERENCIA: Frente a la Gasolinera Primax, Quito 170179")</f>
        <v>Km 24.5 via Interoceanica - Bodegas La Mancha Pifo, REFERENCIA: Frente a la Gasolinera Primax, Quito 170179</v>
      </c>
      <c r="P227" s="65"/>
      <c r="Q227" s="65" t="str">
        <f>IFERROR(__xludf.DUMMYFUNCTION("""COMPUTED_VALUE"""),"GINTRACOM")</f>
        <v>GINTRACOM</v>
      </c>
      <c r="R227" s="65">
        <f>IFERROR(__xludf.DUMMYFUNCTION("""COMPUTED_VALUE"""),25.0)</f>
        <v>25</v>
      </c>
      <c r="S227" s="65">
        <f>IFERROR(__xludf.DUMMYFUNCTION("""COMPUTED_VALUE"""),15.38)</f>
        <v>15.38</v>
      </c>
      <c r="T227" s="65">
        <f>IFERROR(__xludf.DUMMYFUNCTION("""COMPUTED_VALUE"""),4.92)</f>
        <v>4.92</v>
      </c>
      <c r="U227" s="65">
        <f>IFERROR(__xludf.DUMMYFUNCTION("""COMPUTED_VALUE"""),0.0)</f>
        <v>0</v>
      </c>
      <c r="V227" s="65">
        <f>IFERROR(__xludf.DUMMYFUNCTION("""COMPUTED_VALUE"""),0.0)</f>
        <v>0</v>
      </c>
      <c r="W227" s="65">
        <f>IFERROR(__xludf.DUMMYFUNCTION("""COMPUTED_VALUE"""),0.0)</f>
        <v>0</v>
      </c>
      <c r="X227" s="65">
        <f>IFERROR(__xludf.DUMMYFUNCTION("""COMPUTED_VALUE"""),2.35)</f>
        <v>2.35</v>
      </c>
      <c r="Y227" s="65">
        <f>IFERROR(__xludf.DUMMYFUNCTION("""COMPUTED_VALUE"""),4.7)</f>
        <v>4.7</v>
      </c>
      <c r="Z227" s="65">
        <f>IFERROR(__xludf.DUMMYFUNCTION("""COMPUTED_VALUE"""),116679.0)</f>
        <v>116679</v>
      </c>
      <c r="AA227" s="65" t="str">
        <f>IFERROR(__xludf.DUMMYFUNCTION("""COMPUTED_VALUE"""),"AMC-2738")</f>
        <v>AMC-2738</v>
      </c>
      <c r="AB227" s="65"/>
      <c r="AC227" s="65" t="str">
        <f>IFERROR(__xludf.DUMMYFUNCTION("""COMPUTED_VALUE"""),"ESPONJA ANTILLUVIA DE PARABRISAS")</f>
        <v>ESPONJA ANTILLUVIA DE PARABRISAS</v>
      </c>
      <c r="AD227" s="65"/>
      <c r="AE227" s="65">
        <f>IFERROR(__xludf.DUMMYFUNCTION("""COMPUTED_VALUE"""),2.0)</f>
        <v>2</v>
      </c>
      <c r="AF227" s="65"/>
      <c r="AG227" s="65"/>
      <c r="AH227" s="65"/>
      <c r="AI227" s="65"/>
      <c r="AJ227" s="65"/>
      <c r="AK227" s="65"/>
      <c r="AL227" s="65"/>
      <c r="AM227" s="65"/>
      <c r="AN227" s="65" t="str">
        <f>IFERROR(__xludf.DUMMYFUNCTION("""COMPUTED_VALUE"""),"13:45")</f>
        <v>13:45</v>
      </c>
      <c r="AO227" s="65" t="str">
        <f>IFERROR(__xludf.DUMMYFUNCTION("""COMPUTED_VALUE"""),"16-03-2026")</f>
        <v>16-03-2026</v>
      </c>
      <c r="AP227" s="65" t="str">
        <f>IFERROR(__xludf.DUMMYFUNCTION("""COMPUTED_VALUE"""),"ENTREGADA GINTRACOM")</f>
        <v>ENTREGADA GINTRACOM</v>
      </c>
      <c r="AQ227" s="65" t="str">
        <f>IFERROR(__xludf.DUMMYFUNCTION("""COMPUTED_VALUE"""),"ENTREGADA GINTRACOM")</f>
        <v>ENTREGADA GINTRACOM</v>
      </c>
      <c r="AR227" s="65"/>
      <c r="AS227" s="65"/>
      <c r="AT227" s="65" t="str">
        <f>IFERROR(__xludf.DUMMYFUNCTION("""COMPUTED_VALUE"""),"SHOPIFY")</f>
        <v>SHOPIFY</v>
      </c>
      <c r="AU227" s="65" t="str">
        <f>IFERROR(__xludf.DUMMYFUNCTION("""COMPUTED_VALUE"""),"IMPORTEX EC")</f>
        <v>IMPORTEX EC</v>
      </c>
      <c r="AV227" s="65" t="str">
        <f>IFERROR(__xludf.DUMMYFUNCTION("""COMPUTED_VALUE"""),"6570014867500")</f>
        <v>6570014867500</v>
      </c>
      <c r="AW227" s="65">
        <f>IFERROR(__xludf.DUMMYFUNCTION("""COMPUTED_VALUE"""),6625.0)</f>
        <v>6625</v>
      </c>
      <c r="AX227" s="65"/>
      <c r="AY227" s="65" t="str">
        <f>IFERROR(__xludf.DUMMYFUNCTION("""COMPUTED_VALUE"""),"12/03/2026")</f>
        <v>12/03/2026</v>
      </c>
      <c r="AZ227" s="65"/>
      <c r="BA227" s="65"/>
    </row>
    <row r="228">
      <c r="A228" s="65" t="str">
        <f>IFERROR(__xludf.DUMMYFUNCTION("""COMPUTED_VALUE"""),"27-03-2026")</f>
        <v>27-03-2026</v>
      </c>
      <c r="B228" s="65">
        <f>IFERROR(__xludf.DUMMYFUNCTION("""COMPUTED_VALUE"""),4758331.0)</f>
        <v>4758331</v>
      </c>
      <c r="C228" s="65" t="str">
        <f>IFERROR(__xludf.DUMMYFUNCTION("""COMPUTED_VALUE"""),"13:35")</f>
        <v>13:35</v>
      </c>
      <c r="D228" s="65" t="str">
        <f>IFERROR(__xludf.DUMMYFUNCTION("""COMPUTED_VALUE"""),"10-03-2026")</f>
        <v>10-03-2026</v>
      </c>
      <c r="E228" s="65" t="str">
        <f>IFERROR(__xludf.DUMMYFUNCTION("""COMPUTED_VALUE"""),"Serena Samaniego")</f>
        <v>Serena Samaniego</v>
      </c>
      <c r="F228" s="65" t="str">
        <f>IFERROR(__xludf.DUMMYFUNCTION("""COMPUTED_VALUE"""),"999213725")</f>
        <v>999213725</v>
      </c>
      <c r="G228" s="65"/>
      <c r="H228" s="65"/>
      <c r="I228" s="65"/>
      <c r="J228" s="65" t="str">
        <f>IFERROR(__xludf.DUMMYFUNCTION("""COMPUTED_VALUE"""),"V4002337571")</f>
        <v>V4002337571</v>
      </c>
      <c r="K228" s="65" t="str">
        <f>IFERROR(__xludf.DUMMYFUNCTION("""COMPUTED_VALUE"""),"ENTREGADO")</f>
        <v>ENTREGADO</v>
      </c>
      <c r="L228" s="65" t="str">
        <f>IFERROR(__xludf.DUMMYFUNCTION("""COMPUTED_VALUE"""),"CON RECAUDO")</f>
        <v>CON RECAUDO</v>
      </c>
      <c r="M228" s="65" t="str">
        <f>IFERROR(__xludf.DUMMYFUNCTION("""COMPUTED_VALUE"""),"PICHINCHA")</f>
        <v>PICHINCHA</v>
      </c>
      <c r="N228" s="65" t="str">
        <f>IFERROR(__xludf.DUMMYFUNCTION("""COMPUTED_VALUE"""),"QUITO")</f>
        <v>QUITO</v>
      </c>
      <c r="O228" s="65" t="str">
        <f>IFERROR(__xludf.DUMMYFUNCTION("""COMPUTED_VALUE"""),"Fray Francisco Caicedo y  Av Brasil esquina,  Edificio Brasil 500  Sector Quito Tennis, REFERENCIA: en el Edificio en donde está Fybeca")</f>
        <v>Fray Francisco Caicedo y  Av Brasil esquina,  Edificio Brasil 500  Sector Quito Tennis, REFERENCIA: en el Edificio en donde está Fybeca</v>
      </c>
      <c r="P228" s="65"/>
      <c r="Q228" s="65" t="str">
        <f>IFERROR(__xludf.DUMMYFUNCTION("""COMPUTED_VALUE"""),"VELOCES")</f>
        <v>VELOCES</v>
      </c>
      <c r="R228" s="65">
        <f>IFERROR(__xludf.DUMMYFUNCTION("""COMPUTED_VALUE"""),25.0)</f>
        <v>25</v>
      </c>
      <c r="S228" s="65">
        <f>IFERROR(__xludf.DUMMYFUNCTION("""COMPUTED_VALUE"""),12.13)</f>
        <v>12.13</v>
      </c>
      <c r="T228" s="65">
        <f>IFERROR(__xludf.DUMMYFUNCTION("""COMPUTED_VALUE"""),5.87)</f>
        <v>5.87</v>
      </c>
      <c r="U228" s="65">
        <f>IFERROR(__xludf.DUMMYFUNCTION("""COMPUTED_VALUE"""),0.0)</f>
        <v>0</v>
      </c>
      <c r="V228" s="65">
        <f>IFERROR(__xludf.DUMMYFUNCTION("""COMPUTED_VALUE"""),0.0)</f>
        <v>0</v>
      </c>
      <c r="W228" s="65">
        <f>IFERROR(__xludf.DUMMYFUNCTION("""COMPUTED_VALUE"""),0.0)</f>
        <v>0</v>
      </c>
      <c r="X228" s="65">
        <f>IFERROR(__xludf.DUMMYFUNCTION("""COMPUTED_VALUE"""),3.5)</f>
        <v>3.5</v>
      </c>
      <c r="Y228" s="65">
        <f>IFERROR(__xludf.DUMMYFUNCTION("""COMPUTED_VALUE"""),7.0)</f>
        <v>7</v>
      </c>
      <c r="Z228" s="65">
        <f>IFERROR(__xludf.DUMMYFUNCTION("""COMPUTED_VALUE"""),87095.0)</f>
        <v>87095</v>
      </c>
      <c r="AA228" s="65" t="str">
        <f>IFERROR(__xludf.DUMMYFUNCTION("""COMPUTED_VALUE"""),"FILTRO DE DRENAJE")</f>
        <v>FILTRO DE DRENAJE</v>
      </c>
      <c r="AB228" s="65"/>
      <c r="AC228" s="65" t="str">
        <f>IFERROR(__xludf.DUMMYFUNCTION("""COMPUTED_VALUE"""),"FILTRO DE DRENAJE")</f>
        <v>FILTRO DE DRENAJE</v>
      </c>
      <c r="AD228" s="65"/>
      <c r="AE228" s="65">
        <f>IFERROR(__xludf.DUMMYFUNCTION("""COMPUTED_VALUE"""),2.0)</f>
        <v>2</v>
      </c>
      <c r="AF228" s="65" t="str">
        <f>IFERROR(__xludf.DUMMYFUNCTION("""COMPUTED_VALUE"""),"El cliente no estaba en su domicilio")</f>
        <v>El cliente no estaba en su domicilio</v>
      </c>
      <c r="AG228" s="65" t="str">
        <f>IFERROR(__xludf.DUMMYFUNCTION("""COMPUTED_VALUE"""),"NO")</f>
        <v>NO</v>
      </c>
      <c r="AH228" s="65" t="str">
        <f>IFERROR(__xludf.DUMMYFUNCTION("""COMPUTED_VALUE"""),"12:06")</f>
        <v>12:06</v>
      </c>
      <c r="AI228" s="65" t="str">
        <f>IFERROR(__xludf.DUMMYFUNCTION("""COMPUTED_VALUE"""),"14-03-2026")</f>
        <v>14-03-2026</v>
      </c>
      <c r="AJ228" s="65"/>
      <c r="AK228" s="65"/>
      <c r="AL228" s="65"/>
      <c r="AM228" s="65"/>
      <c r="AN228" s="65"/>
      <c r="AO228" s="65"/>
      <c r="AP228" s="65"/>
      <c r="AQ228" s="65"/>
      <c r="AR228" s="65"/>
      <c r="AS228" s="65" t="str">
        <f>IFERROR(__xludf.DUMMYFUNCTION("""COMPUTED_VALUE"""),"PAUL BORJA")</f>
        <v>PAUL BORJA</v>
      </c>
      <c r="AT228" s="65"/>
      <c r="AU228" s="65"/>
      <c r="AV228" s="65"/>
      <c r="AW228" s="65"/>
      <c r="AX228" s="65"/>
      <c r="AY228" s="65" t="str">
        <f>IFERROR(__xludf.DUMMYFUNCTION("""COMPUTED_VALUE"""),"10/03/2026")</f>
        <v>10/03/2026</v>
      </c>
      <c r="AZ228" s="65"/>
      <c r="BA228" s="65"/>
    </row>
    <row r="229">
      <c r="A229" s="65" t="str">
        <f>IFERROR(__xludf.DUMMYFUNCTION("""COMPUTED_VALUE"""),"27-03-2026")</f>
        <v>27-03-2026</v>
      </c>
      <c r="B229" s="65">
        <f>IFERROR(__xludf.DUMMYFUNCTION("""COMPUTED_VALUE"""),4757675.0)</f>
        <v>4757675</v>
      </c>
      <c r="C229" s="65" t="str">
        <f>IFERROR(__xludf.DUMMYFUNCTION("""COMPUTED_VALUE"""),"12:28")</f>
        <v>12:28</v>
      </c>
      <c r="D229" s="65" t="str">
        <f>IFERROR(__xludf.DUMMYFUNCTION("""COMPUTED_VALUE"""),"10-03-2026")</f>
        <v>10-03-2026</v>
      </c>
      <c r="E229" s="65" t="str">
        <f>IFERROR(__xludf.DUMMYFUNCTION("""COMPUTED_VALUE"""),"Byron Viteri")</f>
        <v>Byron Viteri</v>
      </c>
      <c r="F229" s="65" t="str">
        <f>IFERROR(__xludf.DUMMYFUNCTION("""COMPUTED_VALUE"""),"996679430")</f>
        <v>996679430</v>
      </c>
      <c r="G229" s="65" t="str">
        <f>IFERROR(__xludf.DUMMYFUNCTION("""COMPUTED_VALUE"""),"wilo666@live.com")</f>
        <v>wilo666@live.com</v>
      </c>
      <c r="H229" s="65"/>
      <c r="I229" s="65"/>
      <c r="J229" s="65" t="str">
        <f>IFERROR(__xludf.DUMMYFUNCTION("""COMPUTED_VALUE"""),"D001407764")</f>
        <v>D001407764</v>
      </c>
      <c r="K229" s="65" t="str">
        <f>IFERROR(__xludf.DUMMYFUNCTION("""COMPUTED_VALUE"""),"ENTREGADO")</f>
        <v>ENTREGADO</v>
      </c>
      <c r="L229" s="65" t="str">
        <f>IFERROR(__xludf.DUMMYFUNCTION("""COMPUTED_VALUE"""),"CON RECAUDO")</f>
        <v>CON RECAUDO</v>
      </c>
      <c r="M229" s="65" t="str">
        <f>IFERROR(__xludf.DUMMYFUNCTION("""COMPUTED_VALUE"""),"NAPO")</f>
        <v>NAPO</v>
      </c>
      <c r="N229" s="65" t="str">
        <f>IFERROR(__xludf.DUMMYFUNCTION("""COMPUTED_VALUE"""),"TENA")</f>
        <v>TENA</v>
      </c>
      <c r="O229" s="65" t="str">
        <f>IFERROR(__xludf.DUMMYFUNCTION("""COMPUTED_VALUE"""),"Federico Monteros y Agusto Rueda Frente al Comando de Policía del Tena")</f>
        <v>Federico Monteros y Agusto Rueda Frente al Comando de Policía del Tena</v>
      </c>
      <c r="P229" s="65"/>
      <c r="Q229" s="65" t="str">
        <f>IFERROR(__xludf.DUMMYFUNCTION("""COMPUTED_VALUE"""),"GINTRACOM")</f>
        <v>GINTRACOM</v>
      </c>
      <c r="R229" s="65">
        <f>IFERROR(__xludf.DUMMYFUNCTION("""COMPUTED_VALUE"""),30.0)</f>
        <v>30</v>
      </c>
      <c r="S229" s="65">
        <f>IFERROR(__xludf.DUMMYFUNCTION("""COMPUTED_VALUE"""),16.79)</f>
        <v>16.79</v>
      </c>
      <c r="T229" s="65">
        <f>IFERROR(__xludf.DUMMYFUNCTION("""COMPUTED_VALUE"""),6.16)</f>
        <v>6.16</v>
      </c>
      <c r="U229" s="65">
        <f>IFERROR(__xludf.DUMMYFUNCTION("""COMPUTED_VALUE"""),0.0)</f>
        <v>0</v>
      </c>
      <c r="V229" s="65">
        <f>IFERROR(__xludf.DUMMYFUNCTION("""COMPUTED_VALUE"""),0.0)</f>
        <v>0</v>
      </c>
      <c r="W229" s="65">
        <f>IFERROR(__xludf.DUMMYFUNCTION("""COMPUTED_VALUE"""),0.0)</f>
        <v>0</v>
      </c>
      <c r="X229" s="65">
        <f>IFERROR(__xludf.DUMMYFUNCTION("""COMPUTED_VALUE"""),2.35)</f>
        <v>2.35</v>
      </c>
      <c r="Y229" s="65">
        <f>IFERROR(__xludf.DUMMYFUNCTION("""COMPUTED_VALUE"""),7.05)</f>
        <v>7.05</v>
      </c>
      <c r="Z229" s="65">
        <f>IFERROR(__xludf.DUMMYFUNCTION("""COMPUTED_VALUE"""),116679.0)</f>
        <v>116679</v>
      </c>
      <c r="AA229" s="65" t="str">
        <f>IFERROR(__xludf.DUMMYFUNCTION("""COMPUTED_VALUE"""),"AMC-2738")</f>
        <v>AMC-2738</v>
      </c>
      <c r="AB229" s="65"/>
      <c r="AC229" s="65" t="str">
        <f>IFERROR(__xludf.DUMMYFUNCTION("""COMPUTED_VALUE"""),"ESPONJA ANTILLUVIA DE PARABRISAS")</f>
        <v>ESPONJA ANTILLUVIA DE PARABRISAS</v>
      </c>
      <c r="AD229" s="65"/>
      <c r="AE229" s="65">
        <f>IFERROR(__xludf.DUMMYFUNCTION("""COMPUTED_VALUE"""),3.0)</f>
        <v>3</v>
      </c>
      <c r="AF229" s="65"/>
      <c r="AG229" s="65"/>
      <c r="AH229" s="65"/>
      <c r="AI229" s="65"/>
      <c r="AJ229" s="65"/>
      <c r="AK229" s="65"/>
      <c r="AL229" s="65"/>
      <c r="AM229" s="65"/>
      <c r="AN229" s="65" t="str">
        <f>IFERROR(__xludf.DUMMYFUNCTION("""COMPUTED_VALUE"""),"13:13")</f>
        <v>13:13</v>
      </c>
      <c r="AO229" s="65" t="str">
        <f>IFERROR(__xludf.DUMMYFUNCTION("""COMPUTED_VALUE"""),"18-03-2026")</f>
        <v>18-03-2026</v>
      </c>
      <c r="AP229" s="65" t="str">
        <f>IFERROR(__xludf.DUMMYFUNCTION("""COMPUTED_VALUE"""),"ENTREGADA GINTRACOM")</f>
        <v>ENTREGADA GINTRACOM</v>
      </c>
      <c r="AQ229" s="65" t="str">
        <f>IFERROR(__xludf.DUMMYFUNCTION("""COMPUTED_VALUE"""),"ENTREGADA GINTRACOM")</f>
        <v>ENTREGADA GINTRACOM</v>
      </c>
      <c r="AR229" s="65"/>
      <c r="AS229" s="65"/>
      <c r="AT229" s="65" t="str">
        <f>IFERROR(__xludf.DUMMYFUNCTION("""COMPUTED_VALUE"""),"SHOPIFY")</f>
        <v>SHOPIFY</v>
      </c>
      <c r="AU229" s="65" t="str">
        <f>IFERROR(__xludf.DUMMYFUNCTION("""COMPUTED_VALUE"""),"IMPORTEX EC")</f>
        <v>IMPORTEX EC</v>
      </c>
      <c r="AV229" s="65" t="str">
        <f>IFERROR(__xludf.DUMMYFUNCTION("""COMPUTED_VALUE"""),"6569744924716")</f>
        <v>6569744924716</v>
      </c>
      <c r="AW229" s="65">
        <f>IFERROR(__xludf.DUMMYFUNCTION("""COMPUTED_VALUE"""),6624.0)</f>
        <v>6624</v>
      </c>
      <c r="AX229" s="65"/>
      <c r="AY229" s="65" t="str">
        <f>IFERROR(__xludf.DUMMYFUNCTION("""COMPUTED_VALUE"""),"12/03/2026")</f>
        <v>12/03/2026</v>
      </c>
      <c r="AZ229" s="65"/>
      <c r="BA229" s="65"/>
    </row>
    <row r="230">
      <c r="A230" s="65" t="str">
        <f>IFERROR(__xludf.DUMMYFUNCTION("""COMPUTED_VALUE"""),"27-03-2026")</f>
        <v>27-03-2026</v>
      </c>
      <c r="B230" s="65">
        <f>IFERROR(__xludf.DUMMYFUNCTION("""COMPUTED_VALUE"""),4754333.0)</f>
        <v>4754333</v>
      </c>
      <c r="C230" s="65" t="str">
        <f>IFERROR(__xludf.DUMMYFUNCTION("""COMPUTED_VALUE"""),"07:46")</f>
        <v>07:46</v>
      </c>
      <c r="D230" s="65" t="str">
        <f>IFERROR(__xludf.DUMMYFUNCTION("""COMPUTED_VALUE"""),"10-03-2026")</f>
        <v>10-03-2026</v>
      </c>
      <c r="E230" s="65" t="str">
        <f>IFERROR(__xludf.DUMMYFUNCTION("""COMPUTED_VALUE"""),"Martha Espinel")</f>
        <v>Martha Espinel</v>
      </c>
      <c r="F230" s="65" t="str">
        <f>IFERROR(__xludf.DUMMYFUNCTION("""COMPUTED_VALUE"""),"993678840")</f>
        <v>993678840</v>
      </c>
      <c r="G230" s="65" t="str">
        <f>IFERROR(__xludf.DUMMYFUNCTION("""COMPUTED_VALUE"""),"martucae@hotmail.com")</f>
        <v>martucae@hotmail.com</v>
      </c>
      <c r="H230" s="65"/>
      <c r="I230" s="65"/>
      <c r="J230" s="65"/>
      <c r="K230" s="65" t="str">
        <f>IFERROR(__xludf.DUMMYFUNCTION("""COMPUTED_VALUE"""),"PENDIENTE CONFIRMACION")</f>
        <v>PENDIENTE CONFIRMACION</v>
      </c>
      <c r="L230" s="65" t="str">
        <f>IFERROR(__xludf.DUMMYFUNCTION("""COMPUTED_VALUE"""),"CON RECAUDO")</f>
        <v>CON RECAUDO</v>
      </c>
      <c r="M230" s="65" t="str">
        <f>IFERROR(__xludf.DUMMYFUNCTION("""COMPUTED_VALUE"""),"PICHINCHA")</f>
        <v>PICHINCHA</v>
      </c>
      <c r="N230" s="65" t="str">
        <f>IFERROR(__xludf.DUMMYFUNCTION("""COMPUTED_VALUE"""),"CUMBAYA")</f>
        <v>CUMBAYA</v>
      </c>
      <c r="O230" s="65" t="str">
        <f>IFERROR(__xludf.DUMMYFUNCTION("""COMPUTED_VALUE"""),"Ave. De los Cardenales Conjunto Las Orquideas Casa 2 Timbre 6 A lado Urbanizacion La Catolica -")</f>
        <v>Ave. De los Cardenales Conjunto Las Orquideas Casa 2 Timbre 6 A lado Urbanizacion La Catolica -</v>
      </c>
      <c r="P230" s="65"/>
      <c r="Q230" s="65" t="str">
        <f>IFERROR(__xludf.DUMMYFUNCTION("""COMPUTED_VALUE"""),"GINTRACOM")</f>
        <v>GINTRACOM</v>
      </c>
      <c r="R230" s="65">
        <f>IFERROR(__xludf.DUMMYFUNCTION("""COMPUTED_VALUE"""),25.0)</f>
        <v>25</v>
      </c>
      <c r="S230" s="65"/>
      <c r="T230" s="65">
        <f>IFERROR(__xludf.DUMMYFUNCTION("""COMPUTED_VALUE"""),5.96)</f>
        <v>5.96</v>
      </c>
      <c r="U230" s="65">
        <f>IFERROR(__xludf.DUMMYFUNCTION("""COMPUTED_VALUE"""),0.0)</f>
        <v>0</v>
      </c>
      <c r="V230" s="65">
        <f>IFERROR(__xludf.DUMMYFUNCTION("""COMPUTED_VALUE"""),0.0)</f>
        <v>0</v>
      </c>
      <c r="W230" s="65">
        <f>IFERROR(__xludf.DUMMYFUNCTION("""COMPUTED_VALUE"""),0.0)</f>
        <v>0</v>
      </c>
      <c r="X230" s="65">
        <f>IFERROR(__xludf.DUMMYFUNCTION("""COMPUTED_VALUE"""),3.5)</f>
        <v>3.5</v>
      </c>
      <c r="Y230" s="65">
        <f>IFERROR(__xludf.DUMMYFUNCTION("""COMPUTED_VALUE"""),7.0)</f>
        <v>7</v>
      </c>
      <c r="Z230" s="65">
        <f>IFERROR(__xludf.DUMMYFUNCTION("""COMPUTED_VALUE"""),87095.0)</f>
        <v>87095</v>
      </c>
      <c r="AA230" s="65" t="str">
        <f>IFERROR(__xludf.DUMMYFUNCTION("""COMPUTED_VALUE"""),"FILTRO DE DRENAJE")</f>
        <v>FILTRO DE DRENAJE</v>
      </c>
      <c r="AB230" s="65"/>
      <c r="AC230" s="65" t="str">
        <f>IFERROR(__xludf.DUMMYFUNCTION("""COMPUTED_VALUE"""),"FILTRO DE DRENAJE")</f>
        <v>FILTRO DE DRENAJE</v>
      </c>
      <c r="AD230" s="65"/>
      <c r="AE230" s="65">
        <f>IFERROR(__xludf.DUMMYFUNCTION("""COMPUTED_VALUE"""),2.0)</f>
        <v>2</v>
      </c>
      <c r="AF230" s="65"/>
      <c r="AG230" s="65"/>
      <c r="AH230" s="65"/>
      <c r="AI230" s="65"/>
      <c r="AJ230" s="65"/>
      <c r="AK230" s="65"/>
      <c r="AL230" s="65"/>
      <c r="AM230" s="65"/>
      <c r="AN230" s="65"/>
      <c r="AO230" s="65"/>
      <c r="AP230" s="65"/>
      <c r="AQ230" s="65"/>
      <c r="AR230" s="65"/>
      <c r="AS230" s="65"/>
      <c r="AT230" s="65" t="str">
        <f>IFERROR(__xludf.DUMMYFUNCTION("""COMPUTED_VALUE"""),"SHOPIFY")</f>
        <v>SHOPIFY</v>
      </c>
      <c r="AU230" s="65" t="str">
        <f>IFERROR(__xludf.DUMMYFUNCTION("""COMPUTED_VALUE"""),"IMPORTEX EC")</f>
        <v>IMPORTEX EC</v>
      </c>
      <c r="AV230" s="65" t="str">
        <f>IFERROR(__xludf.DUMMYFUNCTION("""COMPUTED_VALUE"""),"6569238429740")</f>
        <v>6569238429740</v>
      </c>
      <c r="AW230" s="65">
        <f>IFERROR(__xludf.DUMMYFUNCTION("""COMPUTED_VALUE"""),6623.0)</f>
        <v>6623</v>
      </c>
      <c r="AX230" s="65"/>
      <c r="AY230" s="65"/>
      <c r="AZ230" s="65"/>
      <c r="BA230" s="65"/>
    </row>
    <row r="231">
      <c r="A231" s="65" t="str">
        <f>IFERROR(__xludf.DUMMYFUNCTION("""COMPUTED_VALUE"""),"27-03-2026")</f>
        <v>27-03-2026</v>
      </c>
      <c r="B231" s="65">
        <f>IFERROR(__xludf.DUMMYFUNCTION("""COMPUTED_VALUE"""),4752101.0)</f>
        <v>4752101</v>
      </c>
      <c r="C231" s="65" t="str">
        <f>IFERROR(__xludf.DUMMYFUNCTION("""COMPUTED_VALUE"""),"22:13")</f>
        <v>22:13</v>
      </c>
      <c r="D231" s="65" t="str">
        <f>IFERROR(__xludf.DUMMYFUNCTION("""COMPUTED_VALUE"""),"09-03-2026")</f>
        <v>09-03-2026</v>
      </c>
      <c r="E231" s="65" t="str">
        <f>IFERROR(__xludf.DUMMYFUNCTION("""COMPUTED_VALUE"""),"Christian Muñoz")</f>
        <v>Christian Muñoz</v>
      </c>
      <c r="F231" s="65" t="str">
        <f>IFERROR(__xludf.DUMMYFUNCTION("""COMPUTED_VALUE"""),"991892079")</f>
        <v>991892079</v>
      </c>
      <c r="G231" s="65" t="str">
        <f>IFERROR(__xludf.DUMMYFUNCTION("""COMPUTED_VALUE"""),"cmunozczs5@gmail.com")</f>
        <v>cmunozczs5@gmail.com</v>
      </c>
      <c r="H231" s="65"/>
      <c r="I231" s="65"/>
      <c r="J231" s="65" t="str">
        <f>IFERROR(__xludf.DUMMYFUNCTION("""COMPUTED_VALUE"""),"D001404566")</f>
        <v>D001404566</v>
      </c>
      <c r="K231" s="65" t="str">
        <f>IFERROR(__xludf.DUMMYFUNCTION("""COMPUTED_VALUE"""),"ENTREGADO")</f>
        <v>ENTREGADO</v>
      </c>
      <c r="L231" s="65" t="str">
        <f>IFERROR(__xludf.DUMMYFUNCTION("""COMPUTED_VALUE"""),"CON RECAUDO")</f>
        <v>CON RECAUDO</v>
      </c>
      <c r="M231" s="65" t="str">
        <f>IFERROR(__xludf.DUMMYFUNCTION("""COMPUTED_VALUE"""),"LOS RIOS")</f>
        <v>LOS RIOS</v>
      </c>
      <c r="N231" s="65" t="str">
        <f>IFERROR(__xludf.DUMMYFUNCTION("""COMPUTED_VALUE"""),"VENTANAS")</f>
        <v>VENTANAS</v>
      </c>
      <c r="O231" s="65" t="str">
        <f>IFERROR(__xludf.DUMMYFUNCTION("""COMPUTED_VALUE"""),"ciudadela loma grande Manzana A. Villa 22 - Ventanas provincia de los ríos -")</f>
        <v>ciudadela loma grande Manzana A. Villa 22 - Ventanas provincia de los ríos -</v>
      </c>
      <c r="P231" s="65"/>
      <c r="Q231" s="65" t="str">
        <f>IFERROR(__xludf.DUMMYFUNCTION("""COMPUTED_VALUE"""),"GINTRACOM")</f>
        <v>GINTRACOM</v>
      </c>
      <c r="R231" s="65">
        <f>IFERROR(__xludf.DUMMYFUNCTION("""COMPUTED_VALUE"""),25.0)</f>
        <v>25</v>
      </c>
      <c r="S231" s="65">
        <f>IFERROR(__xludf.DUMMYFUNCTION("""COMPUTED_VALUE"""),14.34)</f>
        <v>14.34</v>
      </c>
      <c r="T231" s="65">
        <f>IFERROR(__xludf.DUMMYFUNCTION("""COMPUTED_VALUE"""),5.96)</f>
        <v>5.96</v>
      </c>
      <c r="U231" s="65">
        <f>IFERROR(__xludf.DUMMYFUNCTION("""COMPUTED_VALUE"""),0.0)</f>
        <v>0</v>
      </c>
      <c r="V231" s="65">
        <f>IFERROR(__xludf.DUMMYFUNCTION("""COMPUTED_VALUE"""),0.0)</f>
        <v>0</v>
      </c>
      <c r="W231" s="65">
        <f>IFERROR(__xludf.DUMMYFUNCTION("""COMPUTED_VALUE"""),0.0)</f>
        <v>0</v>
      </c>
      <c r="X231" s="65">
        <f>IFERROR(__xludf.DUMMYFUNCTION("""COMPUTED_VALUE"""),2.35)</f>
        <v>2.35</v>
      </c>
      <c r="Y231" s="65">
        <f>IFERROR(__xludf.DUMMYFUNCTION("""COMPUTED_VALUE"""),4.7)</f>
        <v>4.7</v>
      </c>
      <c r="Z231" s="65">
        <f>IFERROR(__xludf.DUMMYFUNCTION("""COMPUTED_VALUE"""),116679.0)</f>
        <v>116679</v>
      </c>
      <c r="AA231" s="65" t="str">
        <f>IFERROR(__xludf.DUMMYFUNCTION("""COMPUTED_VALUE"""),"AMC-2738")</f>
        <v>AMC-2738</v>
      </c>
      <c r="AB231" s="65"/>
      <c r="AC231" s="65" t="str">
        <f>IFERROR(__xludf.DUMMYFUNCTION("""COMPUTED_VALUE"""),"ESPONJA ANTILLUVIA DE PARABRISAS")</f>
        <v>ESPONJA ANTILLUVIA DE PARABRISAS</v>
      </c>
      <c r="AD231" s="65"/>
      <c r="AE231" s="65">
        <f>IFERROR(__xludf.DUMMYFUNCTION("""COMPUTED_VALUE"""),2.0)</f>
        <v>2</v>
      </c>
      <c r="AF231" s="65"/>
      <c r="AG231" s="65"/>
      <c r="AH231" s="65"/>
      <c r="AI231" s="65"/>
      <c r="AJ231" s="65"/>
      <c r="AK231" s="65"/>
      <c r="AL231" s="65"/>
      <c r="AM231" s="65"/>
      <c r="AN231" s="65" t="str">
        <f>IFERROR(__xludf.DUMMYFUNCTION("""COMPUTED_VALUE"""),"11:34")</f>
        <v>11:34</v>
      </c>
      <c r="AO231" s="65" t="str">
        <f>IFERROR(__xludf.DUMMYFUNCTION("""COMPUTED_VALUE"""),"16-03-2026")</f>
        <v>16-03-2026</v>
      </c>
      <c r="AP231" s="65" t="str">
        <f>IFERROR(__xludf.DUMMYFUNCTION("""COMPUTED_VALUE"""),"ENTREGADA GINTRACOM")</f>
        <v>ENTREGADA GINTRACOM</v>
      </c>
      <c r="AQ231" s="65" t="str">
        <f>IFERROR(__xludf.DUMMYFUNCTION("""COMPUTED_VALUE"""),"ENTREGADA GINTRACOM")</f>
        <v>ENTREGADA GINTRACOM</v>
      </c>
      <c r="AR231" s="65"/>
      <c r="AS231" s="65"/>
      <c r="AT231" s="65" t="str">
        <f>IFERROR(__xludf.DUMMYFUNCTION("""COMPUTED_VALUE"""),"SHOPIFY")</f>
        <v>SHOPIFY</v>
      </c>
      <c r="AU231" s="65" t="str">
        <f>IFERROR(__xludf.DUMMYFUNCTION("""COMPUTED_VALUE"""),"IMPORTEX EC")</f>
        <v>IMPORTEX EC</v>
      </c>
      <c r="AV231" s="65" t="str">
        <f>IFERROR(__xludf.DUMMYFUNCTION("""COMPUTED_VALUE"""),"6568679833644")</f>
        <v>6568679833644</v>
      </c>
      <c r="AW231" s="65">
        <f>IFERROR(__xludf.DUMMYFUNCTION("""COMPUTED_VALUE"""),6622.0)</f>
        <v>6622</v>
      </c>
      <c r="AX231" s="65"/>
      <c r="AY231" s="65" t="str">
        <f>IFERROR(__xludf.DUMMYFUNCTION("""COMPUTED_VALUE"""),"11/03/2026")</f>
        <v>11/03/2026</v>
      </c>
      <c r="AZ231" s="65"/>
      <c r="BA231" s="65"/>
    </row>
    <row r="232">
      <c r="A232" s="65" t="str">
        <f>IFERROR(__xludf.DUMMYFUNCTION("""COMPUTED_VALUE"""),"27-03-2026")</f>
        <v>27-03-2026</v>
      </c>
      <c r="B232" s="65">
        <f>IFERROR(__xludf.DUMMYFUNCTION("""COMPUTED_VALUE"""),4751307.0)</f>
        <v>4751307</v>
      </c>
      <c r="C232" s="65" t="str">
        <f>IFERROR(__xludf.DUMMYFUNCTION("""COMPUTED_VALUE"""),"21:11")</f>
        <v>21:11</v>
      </c>
      <c r="D232" s="65" t="str">
        <f>IFERROR(__xludf.DUMMYFUNCTION("""COMPUTED_VALUE"""),"09-03-2026")</f>
        <v>09-03-2026</v>
      </c>
      <c r="E232" s="65" t="str">
        <f>IFERROR(__xludf.DUMMYFUNCTION("""COMPUTED_VALUE"""),"Jerson Criollo")</f>
        <v>Jerson Criollo</v>
      </c>
      <c r="F232" s="65" t="str">
        <f>IFERROR(__xludf.DUMMYFUNCTION("""COMPUTED_VALUE"""),"986776013")</f>
        <v>986776013</v>
      </c>
      <c r="G232" s="65"/>
      <c r="H232" s="65"/>
      <c r="I232" s="65"/>
      <c r="J232" s="65"/>
      <c r="K232" s="65" t="str">
        <f>IFERROR(__xludf.DUMMYFUNCTION("""COMPUTED_VALUE"""),"PENDIENTE CONFIRMACION")</f>
        <v>PENDIENTE CONFIRMACION</v>
      </c>
      <c r="L232" s="65" t="str">
        <f>IFERROR(__xludf.DUMMYFUNCTION("""COMPUTED_VALUE"""),"CON RECAUDO")</f>
        <v>CON RECAUDO</v>
      </c>
      <c r="M232" s="65" t="str">
        <f>IFERROR(__xludf.DUMMYFUNCTION("""COMPUTED_VALUE"""),"IMBABURA")</f>
        <v>IMBABURA</v>
      </c>
      <c r="N232" s="65" t="str">
        <f>IFERROR(__xludf.DUMMYFUNCTION("""COMPUTED_VALUE"""),"OTAVALO")</f>
        <v>OTAVALO</v>
      </c>
      <c r="O232" s="65" t="str">
        <f>IFERROR(__xludf.DUMMYFUNCTION("""COMPUTED_VALUE"""),"Tupac yupanqui y Tahuantinsuyo Semáforo de huaycopungo comunidad de tocagon -")</f>
        <v>Tupac yupanqui y Tahuantinsuyo Semáforo de huaycopungo comunidad de tocagon -</v>
      </c>
      <c r="P232" s="65"/>
      <c r="Q232" s="65" t="str">
        <f>IFERROR(__xludf.DUMMYFUNCTION("""COMPUTED_VALUE"""),"GINTRACOM")</f>
        <v>GINTRACOM</v>
      </c>
      <c r="R232" s="65">
        <f>IFERROR(__xludf.DUMMYFUNCTION("""COMPUTED_VALUE"""),30.0)</f>
        <v>30</v>
      </c>
      <c r="S232" s="65"/>
      <c r="T232" s="65">
        <f>IFERROR(__xludf.DUMMYFUNCTION("""COMPUTED_VALUE"""),6.16)</f>
        <v>6.16</v>
      </c>
      <c r="U232" s="65">
        <f>IFERROR(__xludf.DUMMYFUNCTION("""COMPUTED_VALUE"""),0.0)</f>
        <v>0</v>
      </c>
      <c r="V232" s="65">
        <f>IFERROR(__xludf.DUMMYFUNCTION("""COMPUTED_VALUE"""),0.0)</f>
        <v>0</v>
      </c>
      <c r="W232" s="65">
        <f>IFERROR(__xludf.DUMMYFUNCTION("""COMPUTED_VALUE"""),0.0)</f>
        <v>0</v>
      </c>
      <c r="X232" s="65">
        <f>IFERROR(__xludf.DUMMYFUNCTION("""COMPUTED_VALUE"""),2.35)</f>
        <v>2.35</v>
      </c>
      <c r="Y232" s="65">
        <f>IFERROR(__xludf.DUMMYFUNCTION("""COMPUTED_VALUE"""),7.05)</f>
        <v>7.05</v>
      </c>
      <c r="Z232" s="65">
        <f>IFERROR(__xludf.DUMMYFUNCTION("""COMPUTED_VALUE"""),116679.0)</f>
        <v>116679</v>
      </c>
      <c r="AA232" s="65" t="str">
        <f>IFERROR(__xludf.DUMMYFUNCTION("""COMPUTED_VALUE"""),"AMC-2738")</f>
        <v>AMC-2738</v>
      </c>
      <c r="AB232" s="65"/>
      <c r="AC232" s="65" t="str">
        <f>IFERROR(__xludf.DUMMYFUNCTION("""COMPUTED_VALUE"""),"ESPONJA ANTILLUVIA DE PARABRISAS")</f>
        <v>ESPONJA ANTILLUVIA DE PARABRISAS</v>
      </c>
      <c r="AD232" s="65"/>
      <c r="AE232" s="65">
        <f>IFERROR(__xludf.DUMMYFUNCTION("""COMPUTED_VALUE"""),3.0)</f>
        <v>3</v>
      </c>
      <c r="AF232" s="65"/>
      <c r="AG232" s="65"/>
      <c r="AH232" s="65"/>
      <c r="AI232" s="65"/>
      <c r="AJ232" s="65"/>
      <c r="AK232" s="65"/>
      <c r="AL232" s="65"/>
      <c r="AM232" s="65"/>
      <c r="AN232" s="65"/>
      <c r="AO232" s="65"/>
      <c r="AP232" s="65"/>
      <c r="AQ232" s="65"/>
      <c r="AR232" s="65"/>
      <c r="AS232" s="65"/>
      <c r="AT232" s="65" t="str">
        <f>IFERROR(__xludf.DUMMYFUNCTION("""COMPUTED_VALUE"""),"SHOPIFY")</f>
        <v>SHOPIFY</v>
      </c>
      <c r="AU232" s="65" t="str">
        <f>IFERROR(__xludf.DUMMYFUNCTION("""COMPUTED_VALUE"""),"IMPORTEX EC")</f>
        <v>IMPORTEX EC</v>
      </c>
      <c r="AV232" s="65" t="str">
        <f>IFERROR(__xludf.DUMMYFUNCTION("""COMPUTED_VALUE"""),"6568579432492")</f>
        <v>6568579432492</v>
      </c>
      <c r="AW232" s="65">
        <f>IFERROR(__xludf.DUMMYFUNCTION("""COMPUTED_VALUE"""),6621.0)</f>
        <v>6621</v>
      </c>
      <c r="AX232" s="65"/>
      <c r="AY232" s="65"/>
      <c r="AZ232" s="65"/>
      <c r="BA232" s="65"/>
    </row>
    <row r="233">
      <c r="A233" s="65" t="str">
        <f>IFERROR(__xludf.DUMMYFUNCTION("""COMPUTED_VALUE"""),"27-03-2026")</f>
        <v>27-03-2026</v>
      </c>
      <c r="B233" s="65">
        <f>IFERROR(__xludf.DUMMYFUNCTION("""COMPUTED_VALUE"""),4750308.0)</f>
        <v>4750308</v>
      </c>
      <c r="C233" s="65" t="str">
        <f>IFERROR(__xludf.DUMMYFUNCTION("""COMPUTED_VALUE"""),"19:19")</f>
        <v>19:19</v>
      </c>
      <c r="D233" s="65" t="str">
        <f>IFERROR(__xludf.DUMMYFUNCTION("""COMPUTED_VALUE"""),"09-03-2026")</f>
        <v>09-03-2026</v>
      </c>
      <c r="E233" s="65" t="str">
        <f>IFERROR(__xludf.DUMMYFUNCTION("""COMPUTED_VALUE"""),"Milton Quinaucho")</f>
        <v>Milton Quinaucho</v>
      </c>
      <c r="F233" s="65" t="str">
        <f>IFERROR(__xludf.DUMMYFUNCTION("""COMPUTED_VALUE"""),"992106655")</f>
        <v>992106655</v>
      </c>
      <c r="G233" s="65" t="str">
        <f>IFERROR(__xludf.DUMMYFUNCTION("""COMPUTED_VALUE"""),"rodygor1983@gmail.com")</f>
        <v>rodygor1983@gmail.com</v>
      </c>
      <c r="H233" s="65"/>
      <c r="I233" s="65"/>
      <c r="J233" s="65" t="str">
        <f>IFERROR(__xludf.DUMMYFUNCTION("""COMPUTED_VALUE"""),"D001407765")</f>
        <v>D001407765</v>
      </c>
      <c r="K233" s="65" t="str">
        <f>IFERROR(__xludf.DUMMYFUNCTION("""COMPUTED_VALUE"""),"ENTREGADO")</f>
        <v>ENTREGADO</v>
      </c>
      <c r="L233" s="65" t="str">
        <f>IFERROR(__xludf.DUMMYFUNCTION("""COMPUTED_VALUE"""),"CON RECAUDO")</f>
        <v>CON RECAUDO</v>
      </c>
      <c r="M233" s="65" t="str">
        <f>IFERROR(__xludf.DUMMYFUNCTION("""COMPUTED_VALUE"""),"PICHINCHA")</f>
        <v>PICHINCHA</v>
      </c>
      <c r="N233" s="65" t="str">
        <f>IFERROR(__xludf.DUMMYFUNCTION("""COMPUTED_VALUE"""),"QUITO")</f>
        <v>QUITO</v>
      </c>
      <c r="O233" s="65" t="str">
        <f>IFERROR(__xludf.DUMMYFUNCTION("""COMPUTED_VALUE"""),"AV Graciela Escudero y  Leonidas Dubles - REFERENCIA: Diagonal a JL SPORTS  SHOES  DIRIGIENDOSE POR AV GRACIELA ESCUDERO  - SECTOR CAUPICHO")</f>
        <v>AV Graciela Escudero y  Leonidas Dubles - REFERENCIA: Diagonal a JL SPORTS  SHOES  DIRIGIENDOSE POR AV GRACIELA ESCUDERO  - SECTOR CAUPICHO</v>
      </c>
      <c r="P233" s="65"/>
      <c r="Q233" s="65" t="str">
        <f>IFERROR(__xludf.DUMMYFUNCTION("""COMPUTED_VALUE"""),"GINTRACOM")</f>
        <v>GINTRACOM</v>
      </c>
      <c r="R233" s="65">
        <f>IFERROR(__xludf.DUMMYFUNCTION("""COMPUTED_VALUE"""),25.0)</f>
        <v>25</v>
      </c>
      <c r="S233" s="65">
        <f>IFERROR(__xludf.DUMMYFUNCTION("""COMPUTED_VALUE"""),15.95)</f>
        <v>15.95</v>
      </c>
      <c r="T233" s="65">
        <f>IFERROR(__xludf.DUMMYFUNCTION("""COMPUTED_VALUE"""),4.35)</f>
        <v>4.35</v>
      </c>
      <c r="U233" s="65">
        <f>IFERROR(__xludf.DUMMYFUNCTION("""COMPUTED_VALUE"""),0.0)</f>
        <v>0</v>
      </c>
      <c r="V233" s="65">
        <f>IFERROR(__xludf.DUMMYFUNCTION("""COMPUTED_VALUE"""),0.0)</f>
        <v>0</v>
      </c>
      <c r="W233" s="65">
        <f>IFERROR(__xludf.DUMMYFUNCTION("""COMPUTED_VALUE"""),0.0)</f>
        <v>0</v>
      </c>
      <c r="X233" s="65">
        <f>IFERROR(__xludf.DUMMYFUNCTION("""COMPUTED_VALUE"""),2.35)</f>
        <v>2.35</v>
      </c>
      <c r="Y233" s="65">
        <f>IFERROR(__xludf.DUMMYFUNCTION("""COMPUTED_VALUE"""),4.7)</f>
        <v>4.7</v>
      </c>
      <c r="Z233" s="65">
        <f>IFERROR(__xludf.DUMMYFUNCTION("""COMPUTED_VALUE"""),116679.0)</f>
        <v>116679</v>
      </c>
      <c r="AA233" s="65" t="str">
        <f>IFERROR(__xludf.DUMMYFUNCTION("""COMPUTED_VALUE"""),"AMC-2738")</f>
        <v>AMC-2738</v>
      </c>
      <c r="AB233" s="65"/>
      <c r="AC233" s="65" t="str">
        <f>IFERROR(__xludf.DUMMYFUNCTION("""COMPUTED_VALUE"""),"ESPONJA ANTILLUVIA DE PARABRISAS")</f>
        <v>ESPONJA ANTILLUVIA DE PARABRISAS</v>
      </c>
      <c r="AD233" s="65"/>
      <c r="AE233" s="65">
        <f>IFERROR(__xludf.DUMMYFUNCTION("""COMPUTED_VALUE"""),2.0)</f>
        <v>2</v>
      </c>
      <c r="AF233" s="65"/>
      <c r="AG233" s="65"/>
      <c r="AH233" s="65"/>
      <c r="AI233" s="65"/>
      <c r="AJ233" s="65"/>
      <c r="AK233" s="65"/>
      <c r="AL233" s="65"/>
      <c r="AM233" s="65"/>
      <c r="AN233" s="65" t="str">
        <f>IFERROR(__xludf.DUMMYFUNCTION("""COMPUTED_VALUE"""),"13:07")</f>
        <v>13:07</v>
      </c>
      <c r="AO233" s="65" t="str">
        <f>IFERROR(__xludf.DUMMYFUNCTION("""COMPUTED_VALUE"""),"13-03-2026")</f>
        <v>13-03-2026</v>
      </c>
      <c r="AP233" s="65" t="str">
        <f>IFERROR(__xludf.DUMMYFUNCTION("""COMPUTED_VALUE"""),"ENTREGADA GINTRACOM")</f>
        <v>ENTREGADA GINTRACOM</v>
      </c>
      <c r="AQ233" s="65" t="str">
        <f>IFERROR(__xludf.DUMMYFUNCTION("""COMPUTED_VALUE"""),"ENTREGADA GINTRACOM")</f>
        <v>ENTREGADA GINTRACOM</v>
      </c>
      <c r="AR233" s="65"/>
      <c r="AS233" s="65"/>
      <c r="AT233" s="65" t="str">
        <f>IFERROR(__xludf.DUMMYFUNCTION("""COMPUTED_VALUE"""),"SHOPIFY")</f>
        <v>SHOPIFY</v>
      </c>
      <c r="AU233" s="65" t="str">
        <f>IFERROR(__xludf.DUMMYFUNCTION("""COMPUTED_VALUE"""),"IMPORTEX EC")</f>
        <v>IMPORTEX EC</v>
      </c>
      <c r="AV233" s="65" t="str">
        <f>IFERROR(__xludf.DUMMYFUNCTION("""COMPUTED_VALUE"""),"6568393637932")</f>
        <v>6568393637932</v>
      </c>
      <c r="AW233" s="65">
        <f>IFERROR(__xludf.DUMMYFUNCTION("""COMPUTED_VALUE"""),6620.0)</f>
        <v>6620</v>
      </c>
      <c r="AX233" s="65"/>
      <c r="AY233" s="65" t="str">
        <f>IFERROR(__xludf.DUMMYFUNCTION("""COMPUTED_VALUE"""),"12/03/2026")</f>
        <v>12/03/2026</v>
      </c>
      <c r="AZ233" s="65"/>
      <c r="BA233" s="65"/>
    </row>
    <row r="234">
      <c r="A234" s="65" t="str">
        <f>IFERROR(__xludf.DUMMYFUNCTION("""COMPUTED_VALUE"""),"27-03-2026")</f>
        <v>27-03-2026</v>
      </c>
      <c r="B234" s="65">
        <f>IFERROR(__xludf.DUMMYFUNCTION("""COMPUTED_VALUE"""),4750179.0)</f>
        <v>4750179</v>
      </c>
      <c r="C234" s="65" t="str">
        <f>IFERROR(__xludf.DUMMYFUNCTION("""COMPUTED_VALUE"""),"19:00")</f>
        <v>19:00</v>
      </c>
      <c r="D234" s="65" t="str">
        <f>IFERROR(__xludf.DUMMYFUNCTION("""COMPUTED_VALUE"""),"09-03-2026")</f>
        <v>09-03-2026</v>
      </c>
      <c r="E234" s="65" t="str">
        <f>IFERROR(__xludf.DUMMYFUNCTION("""COMPUTED_VALUE"""),"José Chaluisa")</f>
        <v>José Chaluisa</v>
      </c>
      <c r="F234" s="65" t="str">
        <f>IFERROR(__xludf.DUMMYFUNCTION("""COMPUTED_VALUE"""),"990623377")</f>
        <v>990623377</v>
      </c>
      <c r="G234" s="65" t="str">
        <f>IFERROR(__xludf.DUMMYFUNCTION("""COMPUTED_VALUE"""),"edgarchaluisa30@gmail.com")</f>
        <v>edgarchaluisa30@gmail.com</v>
      </c>
      <c r="H234" s="65"/>
      <c r="I234" s="65"/>
      <c r="J234" s="65"/>
      <c r="K234" s="65" t="str">
        <f>IFERROR(__xludf.DUMMYFUNCTION("""COMPUTED_VALUE"""),"PENDIENTE CONFIRMACION")</f>
        <v>PENDIENTE CONFIRMACION</v>
      </c>
      <c r="L234" s="65" t="str">
        <f>IFERROR(__xludf.DUMMYFUNCTION("""COMPUTED_VALUE"""),"CON RECAUDO")</f>
        <v>CON RECAUDO</v>
      </c>
      <c r="M234" s="65" t="str">
        <f>IFERROR(__xludf.DUMMYFUNCTION("""COMPUTED_VALUE"""),"PICHINCHA")</f>
        <v>PICHINCHA</v>
      </c>
      <c r="N234" s="65" t="str">
        <f>IFERROR(__xludf.DUMMYFUNCTION("""COMPUTED_VALUE"""),"QUITO")</f>
        <v>QUITO</v>
      </c>
      <c r="O234" s="65" t="str">
        <f>IFERROR(__xludf.DUMMYFUNCTION("""COMPUTED_VALUE"""),"Mojas Autopista -")</f>
        <v>Mojas Autopista -</v>
      </c>
      <c r="P234" s="65"/>
      <c r="Q234" s="65" t="str">
        <f>IFERROR(__xludf.DUMMYFUNCTION("""COMPUTED_VALUE"""),"GINTRACOM")</f>
        <v>GINTRACOM</v>
      </c>
      <c r="R234" s="65">
        <f>IFERROR(__xludf.DUMMYFUNCTION("""COMPUTED_VALUE"""),25.0)</f>
        <v>25</v>
      </c>
      <c r="S234" s="65"/>
      <c r="T234" s="65">
        <f>IFERROR(__xludf.DUMMYFUNCTION("""COMPUTED_VALUE"""),4.35)</f>
        <v>4.35</v>
      </c>
      <c r="U234" s="65">
        <f>IFERROR(__xludf.DUMMYFUNCTION("""COMPUTED_VALUE"""),0.0)</f>
        <v>0</v>
      </c>
      <c r="V234" s="65">
        <f>IFERROR(__xludf.DUMMYFUNCTION("""COMPUTED_VALUE"""),0.0)</f>
        <v>0</v>
      </c>
      <c r="W234" s="65">
        <f>IFERROR(__xludf.DUMMYFUNCTION("""COMPUTED_VALUE"""),0.0)</f>
        <v>0</v>
      </c>
      <c r="X234" s="65">
        <f>IFERROR(__xludf.DUMMYFUNCTION("""COMPUTED_VALUE"""),2.35)</f>
        <v>2.35</v>
      </c>
      <c r="Y234" s="65">
        <f>IFERROR(__xludf.DUMMYFUNCTION("""COMPUTED_VALUE"""),4.7)</f>
        <v>4.7</v>
      </c>
      <c r="Z234" s="65">
        <f>IFERROR(__xludf.DUMMYFUNCTION("""COMPUTED_VALUE"""),116679.0)</f>
        <v>116679</v>
      </c>
      <c r="AA234" s="65" t="str">
        <f>IFERROR(__xludf.DUMMYFUNCTION("""COMPUTED_VALUE"""),"AMC-2738")</f>
        <v>AMC-2738</v>
      </c>
      <c r="AB234" s="65"/>
      <c r="AC234" s="65" t="str">
        <f>IFERROR(__xludf.DUMMYFUNCTION("""COMPUTED_VALUE"""),"ESPONJA ANTILLUVIA DE PARABRISAS")</f>
        <v>ESPONJA ANTILLUVIA DE PARABRISAS</v>
      </c>
      <c r="AD234" s="65"/>
      <c r="AE234" s="65">
        <f>IFERROR(__xludf.DUMMYFUNCTION("""COMPUTED_VALUE"""),2.0)</f>
        <v>2</v>
      </c>
      <c r="AF234" s="65"/>
      <c r="AG234" s="65"/>
      <c r="AH234" s="65"/>
      <c r="AI234" s="65"/>
      <c r="AJ234" s="65"/>
      <c r="AK234" s="65"/>
      <c r="AL234" s="65"/>
      <c r="AM234" s="65"/>
      <c r="AN234" s="65"/>
      <c r="AO234" s="65"/>
      <c r="AP234" s="65"/>
      <c r="AQ234" s="65"/>
      <c r="AR234" s="65"/>
      <c r="AS234" s="65"/>
      <c r="AT234" s="65" t="str">
        <f>IFERROR(__xludf.DUMMYFUNCTION("""COMPUTED_VALUE"""),"SHOPIFY")</f>
        <v>SHOPIFY</v>
      </c>
      <c r="AU234" s="65" t="str">
        <f>IFERROR(__xludf.DUMMYFUNCTION("""COMPUTED_VALUE"""),"IMPORTEX EC")</f>
        <v>IMPORTEX EC</v>
      </c>
      <c r="AV234" s="65" t="str">
        <f>IFERROR(__xludf.DUMMYFUNCTION("""COMPUTED_VALUE"""),"6568361328684")</f>
        <v>6568361328684</v>
      </c>
      <c r="AW234" s="65">
        <f>IFERROR(__xludf.DUMMYFUNCTION("""COMPUTED_VALUE"""),6619.0)</f>
        <v>6619</v>
      </c>
      <c r="AX234" s="65"/>
      <c r="AY234" s="65"/>
      <c r="AZ234" s="65"/>
      <c r="BA234" s="65"/>
    </row>
    <row r="235">
      <c r="A235" s="65" t="str">
        <f>IFERROR(__xludf.DUMMYFUNCTION("""COMPUTED_VALUE"""),"27-03-2026")</f>
        <v>27-03-2026</v>
      </c>
      <c r="B235" s="65">
        <f>IFERROR(__xludf.DUMMYFUNCTION("""COMPUTED_VALUE"""),4749776.0)</f>
        <v>4749776</v>
      </c>
      <c r="C235" s="65" t="str">
        <f>IFERROR(__xludf.DUMMYFUNCTION("""COMPUTED_VALUE"""),"18:11")</f>
        <v>18:11</v>
      </c>
      <c r="D235" s="65" t="str">
        <f>IFERROR(__xludf.DUMMYFUNCTION("""COMPUTED_VALUE"""),"09-03-2026")</f>
        <v>09-03-2026</v>
      </c>
      <c r="E235" s="65" t="str">
        <f>IFERROR(__xludf.DUMMYFUNCTION("""COMPUTED_VALUE"""),"Alejandro Castillo")</f>
        <v>Alejandro Castillo</v>
      </c>
      <c r="F235" s="65" t="str">
        <f>IFERROR(__xludf.DUMMYFUNCTION("""COMPUTED_VALUE"""),"987598957")</f>
        <v>987598957</v>
      </c>
      <c r="G235" s="65" t="str">
        <f>IFERROR(__xludf.DUMMYFUNCTION("""COMPUTED_VALUE"""),"dralejandrocastillom@gmail.com")</f>
        <v>dralejandrocastillom@gmail.com</v>
      </c>
      <c r="H235" s="65"/>
      <c r="I235" s="65"/>
      <c r="J235" s="65" t="str">
        <f>IFERROR(__xludf.DUMMYFUNCTION("""COMPUTED_VALUE"""),"D001404950")</f>
        <v>D001404950</v>
      </c>
      <c r="K235" s="65" t="str">
        <f>IFERROR(__xludf.DUMMYFUNCTION("""COMPUTED_VALUE"""),"DEVOLUCION")</f>
        <v>DEVOLUCION</v>
      </c>
      <c r="L235" s="65" t="str">
        <f>IFERROR(__xludf.DUMMYFUNCTION("""COMPUTED_VALUE"""),"CON RECAUDO")</f>
        <v>CON RECAUDO</v>
      </c>
      <c r="M235" s="65" t="str">
        <f>IFERROR(__xludf.DUMMYFUNCTION("""COMPUTED_VALUE"""),"PICHINCHA")</f>
        <v>PICHINCHA</v>
      </c>
      <c r="N235" s="65" t="str">
        <f>IFERROR(__xludf.DUMMYFUNCTION("""COMPUTED_VALUE"""),"QUITO")</f>
        <v>QUITO</v>
      </c>
      <c r="O235" s="65" t="str">
        <f>IFERROR(__xludf.DUMMYFUNCTION("""COMPUTED_VALUE"""),"Nicolas Delgado 274 y Camilo Egas Urbanizacion San Isidro II Miravalle - Quito")</f>
        <v>Nicolas Delgado 274 y Camilo Egas Urbanizacion San Isidro II Miravalle - Quito</v>
      </c>
      <c r="P235" s="65"/>
      <c r="Q235" s="65" t="str">
        <f>IFERROR(__xludf.DUMMYFUNCTION("""COMPUTED_VALUE"""),"GINTRACOM")</f>
        <v>GINTRACOM</v>
      </c>
      <c r="R235" s="65">
        <f>IFERROR(__xludf.DUMMYFUNCTION("""COMPUTED_VALUE"""),32.01)</f>
        <v>32.01</v>
      </c>
      <c r="S235" s="65"/>
      <c r="T235" s="65">
        <f>IFERROR(__xludf.DUMMYFUNCTION("""COMPUTED_VALUE"""),6.24)</f>
        <v>6.24</v>
      </c>
      <c r="U235" s="65">
        <f>IFERROR(__xludf.DUMMYFUNCTION("""COMPUTED_VALUE"""),0.0)</f>
        <v>0</v>
      </c>
      <c r="V235" s="65">
        <f>IFERROR(__xludf.DUMMYFUNCTION("""COMPUTED_VALUE"""),0.0)</f>
        <v>0</v>
      </c>
      <c r="W235" s="65">
        <f>IFERROR(__xludf.DUMMYFUNCTION("""COMPUTED_VALUE"""),0.0)</f>
        <v>0</v>
      </c>
      <c r="X235" s="65">
        <f>IFERROR(__xludf.DUMMYFUNCTION("""COMPUTED_VALUE"""),3.5)</f>
        <v>3.5</v>
      </c>
      <c r="Y235" s="65">
        <f>IFERROR(__xludf.DUMMYFUNCTION("""COMPUTED_VALUE"""),10.5)</f>
        <v>10.5</v>
      </c>
      <c r="Z235" s="65">
        <f>IFERROR(__xludf.DUMMYFUNCTION("""COMPUTED_VALUE"""),87095.0)</f>
        <v>87095</v>
      </c>
      <c r="AA235" s="65" t="str">
        <f>IFERROR(__xludf.DUMMYFUNCTION("""COMPUTED_VALUE"""),"FILTRO DE DRENAJE")</f>
        <v>FILTRO DE DRENAJE</v>
      </c>
      <c r="AB235" s="65"/>
      <c r="AC235" s="65" t="str">
        <f>IFERROR(__xludf.DUMMYFUNCTION("""COMPUTED_VALUE"""),"FILTRO DE DRENAJE")</f>
        <v>FILTRO DE DRENAJE</v>
      </c>
      <c r="AD235" s="65"/>
      <c r="AE235" s="65">
        <f>IFERROR(__xludf.DUMMYFUNCTION("""COMPUTED_VALUE"""),3.0)</f>
        <v>3</v>
      </c>
      <c r="AF235" s="65"/>
      <c r="AG235" s="65"/>
      <c r="AH235" s="65"/>
      <c r="AI235" s="65"/>
      <c r="AJ235" s="65"/>
      <c r="AK235" s="65"/>
      <c r="AL235" s="65"/>
      <c r="AM235" s="65"/>
      <c r="AN235" s="65" t="str">
        <f>IFERROR(__xludf.DUMMYFUNCTION("""COMPUTED_VALUE"""),"15:07")</f>
        <v>15:07</v>
      </c>
      <c r="AO235" s="65" t="str">
        <f>IFERROR(__xludf.DUMMYFUNCTION("""COMPUTED_VALUE"""),"26-03-2026")</f>
        <v>26-03-2026</v>
      </c>
      <c r="AP235" s="65" t="str">
        <f>IFERROR(__xludf.DUMMYFUNCTION("""COMPUTED_VALUE"""),"DEVOLUCIÓN ENTREGADA A ORIGEN")</f>
        <v>DEVOLUCIÓN ENTREGADA A ORIGEN</v>
      </c>
      <c r="AQ235" s="65" t="str">
        <f>IFERROR(__xludf.DUMMYFUNCTION("""COMPUTED_VALUE"""),"DEVOLUCIÓN ENTREGADA A ORIGEN")</f>
        <v>DEVOLUCIÓN ENTREGADA A ORIGEN</v>
      </c>
      <c r="AR235" s="65"/>
      <c r="AS235" s="65"/>
      <c r="AT235" s="65" t="str">
        <f>IFERROR(__xludf.DUMMYFUNCTION("""COMPUTED_VALUE"""),"SHOPIFY")</f>
        <v>SHOPIFY</v>
      </c>
      <c r="AU235" s="65" t="str">
        <f>IFERROR(__xludf.DUMMYFUNCTION("""COMPUTED_VALUE"""),"IMPORTEX EC")</f>
        <v>IMPORTEX EC</v>
      </c>
      <c r="AV235" s="65" t="str">
        <f>IFERROR(__xludf.DUMMYFUNCTION("""COMPUTED_VALUE"""),"6568279375916")</f>
        <v>6568279375916</v>
      </c>
      <c r="AW235" s="65">
        <f>IFERROR(__xludf.DUMMYFUNCTION("""COMPUTED_VALUE"""),6618.0)</f>
        <v>6618</v>
      </c>
      <c r="AX235" s="65"/>
      <c r="AY235" s="65" t="str">
        <f>IFERROR(__xludf.DUMMYFUNCTION("""COMPUTED_VALUE"""),"11/03/2026")</f>
        <v>11/03/2026</v>
      </c>
      <c r="AZ235" s="65"/>
      <c r="BA235" s="65"/>
    </row>
    <row r="236">
      <c r="A236" s="65" t="str">
        <f>IFERROR(__xludf.DUMMYFUNCTION("""COMPUTED_VALUE"""),"27-03-2026")</f>
        <v>27-03-2026</v>
      </c>
      <c r="B236" s="65">
        <f>IFERROR(__xludf.DUMMYFUNCTION("""COMPUTED_VALUE"""),4749647.0)</f>
        <v>4749647</v>
      </c>
      <c r="C236" s="65" t="str">
        <f>IFERROR(__xludf.DUMMYFUNCTION("""COMPUTED_VALUE"""),"17:56")</f>
        <v>17:56</v>
      </c>
      <c r="D236" s="65" t="str">
        <f>IFERROR(__xludf.DUMMYFUNCTION("""COMPUTED_VALUE"""),"09-03-2026")</f>
        <v>09-03-2026</v>
      </c>
      <c r="E236" s="65" t="str">
        <f>IFERROR(__xludf.DUMMYFUNCTION("""COMPUTED_VALUE"""),"Oswaldo Velástegui")</f>
        <v>Oswaldo Velástegui</v>
      </c>
      <c r="F236" s="65" t="str">
        <f>IFERROR(__xludf.DUMMYFUNCTION("""COMPUTED_VALUE"""),"992747954")</f>
        <v>992747954</v>
      </c>
      <c r="G236" s="65" t="str">
        <f>IFERROR(__xludf.DUMMYFUNCTION("""COMPUTED_VALUE"""),"papovelas1@yahoo.es")</f>
        <v>papovelas1@yahoo.es</v>
      </c>
      <c r="H236" s="65"/>
      <c r="I236" s="65"/>
      <c r="J236" s="65" t="str">
        <f>IFERROR(__xludf.DUMMYFUNCTION("""COMPUTED_VALUE"""),"D001402495")</f>
        <v>D001402495</v>
      </c>
      <c r="K236" s="65" t="str">
        <f>IFERROR(__xludf.DUMMYFUNCTION("""COMPUTED_VALUE"""),"ENTREGADO")</f>
        <v>ENTREGADO</v>
      </c>
      <c r="L236" s="65" t="str">
        <f>IFERROR(__xludf.DUMMYFUNCTION("""COMPUTED_VALUE"""),"CON RECAUDO")</f>
        <v>CON RECAUDO</v>
      </c>
      <c r="M236" s="65" t="str">
        <f>IFERROR(__xludf.DUMMYFUNCTION("""COMPUTED_VALUE"""),"TUNGURAHUA")</f>
        <v>TUNGURAHUA</v>
      </c>
      <c r="N236" s="65" t="str">
        <f>IFERROR(__xludf.DUMMYFUNCTION("""COMPUTED_VALUE"""),"AMBATO")</f>
        <v>AMBATO</v>
      </c>
      <c r="O236" s="65" t="str">
        <f>IFERROR(__xludf.DUMMYFUNCTION("""COMPUTED_VALUE"""),"Huayna Capac 0320 y Cañaris Ciudadela San Antonio -")</f>
        <v>Huayna Capac 0320 y Cañaris Ciudadela San Antonio -</v>
      </c>
      <c r="P236" s="65"/>
      <c r="Q236" s="65" t="str">
        <f>IFERROR(__xludf.DUMMYFUNCTION("""COMPUTED_VALUE"""),"GINTRACOM")</f>
        <v>GINTRACOM</v>
      </c>
      <c r="R236" s="65">
        <f>IFERROR(__xludf.DUMMYFUNCTION("""COMPUTED_VALUE"""),25.0)</f>
        <v>25</v>
      </c>
      <c r="S236" s="65">
        <f>IFERROR(__xludf.DUMMYFUNCTION("""COMPUTED_VALUE"""),12.04)</f>
        <v>12.04</v>
      </c>
      <c r="T236" s="65">
        <f>IFERROR(__xludf.DUMMYFUNCTION("""COMPUTED_VALUE"""),5.96)</f>
        <v>5.96</v>
      </c>
      <c r="U236" s="65">
        <f>IFERROR(__xludf.DUMMYFUNCTION("""COMPUTED_VALUE"""),0.0)</f>
        <v>0</v>
      </c>
      <c r="V236" s="65">
        <f>IFERROR(__xludf.DUMMYFUNCTION("""COMPUTED_VALUE"""),0.0)</f>
        <v>0</v>
      </c>
      <c r="W236" s="65">
        <f>IFERROR(__xludf.DUMMYFUNCTION("""COMPUTED_VALUE"""),0.0)</f>
        <v>0</v>
      </c>
      <c r="X236" s="65">
        <f>IFERROR(__xludf.DUMMYFUNCTION("""COMPUTED_VALUE"""),3.5)</f>
        <v>3.5</v>
      </c>
      <c r="Y236" s="65">
        <f>IFERROR(__xludf.DUMMYFUNCTION("""COMPUTED_VALUE"""),7.0)</f>
        <v>7</v>
      </c>
      <c r="Z236" s="65">
        <f>IFERROR(__xludf.DUMMYFUNCTION("""COMPUTED_VALUE"""),87095.0)</f>
        <v>87095</v>
      </c>
      <c r="AA236" s="65" t="str">
        <f>IFERROR(__xludf.DUMMYFUNCTION("""COMPUTED_VALUE"""),"FILTRO DE DRENAJE")</f>
        <v>FILTRO DE DRENAJE</v>
      </c>
      <c r="AB236" s="65"/>
      <c r="AC236" s="65" t="str">
        <f>IFERROR(__xludf.DUMMYFUNCTION("""COMPUTED_VALUE"""),"FILTRO DE DRENAJE")</f>
        <v>FILTRO DE DRENAJE</v>
      </c>
      <c r="AD236" s="65"/>
      <c r="AE236" s="65">
        <f>IFERROR(__xludf.DUMMYFUNCTION("""COMPUTED_VALUE"""),2.0)</f>
        <v>2</v>
      </c>
      <c r="AF236" s="65"/>
      <c r="AG236" s="65"/>
      <c r="AH236" s="65"/>
      <c r="AI236" s="65"/>
      <c r="AJ236" s="65"/>
      <c r="AK236" s="65"/>
      <c r="AL236" s="65"/>
      <c r="AM236" s="65"/>
      <c r="AN236" s="65" t="str">
        <f>IFERROR(__xludf.DUMMYFUNCTION("""COMPUTED_VALUE"""),"10:48")</f>
        <v>10:48</v>
      </c>
      <c r="AO236" s="65" t="str">
        <f>IFERROR(__xludf.DUMMYFUNCTION("""COMPUTED_VALUE"""),"14-03-2026")</f>
        <v>14-03-2026</v>
      </c>
      <c r="AP236" s="65" t="str">
        <f>IFERROR(__xludf.DUMMYFUNCTION("""COMPUTED_VALUE"""),"ENTREGADA GINTRACOM")</f>
        <v>ENTREGADA GINTRACOM</v>
      </c>
      <c r="AQ236" s="65" t="str">
        <f>IFERROR(__xludf.DUMMYFUNCTION("""COMPUTED_VALUE"""),"ENTREGADA GINTRACOM")</f>
        <v>ENTREGADA GINTRACOM</v>
      </c>
      <c r="AR236" s="65"/>
      <c r="AS236" s="65"/>
      <c r="AT236" s="65" t="str">
        <f>IFERROR(__xludf.DUMMYFUNCTION("""COMPUTED_VALUE"""),"SHOPIFY")</f>
        <v>SHOPIFY</v>
      </c>
      <c r="AU236" s="65" t="str">
        <f>IFERROR(__xludf.DUMMYFUNCTION("""COMPUTED_VALUE"""),"IMPORTEX EC")</f>
        <v>IMPORTEX EC</v>
      </c>
      <c r="AV236" s="65" t="str">
        <f>IFERROR(__xludf.DUMMYFUNCTION("""COMPUTED_VALUE"""),"6568255094828")</f>
        <v>6568255094828</v>
      </c>
      <c r="AW236" s="65">
        <f>IFERROR(__xludf.DUMMYFUNCTION("""COMPUTED_VALUE"""),6617.0)</f>
        <v>6617</v>
      </c>
      <c r="AX236" s="65"/>
      <c r="AY236" s="65" t="str">
        <f>IFERROR(__xludf.DUMMYFUNCTION("""COMPUTED_VALUE"""),"10/03/2026")</f>
        <v>10/03/2026</v>
      </c>
      <c r="AZ236" s="65"/>
      <c r="BA236" s="65"/>
    </row>
    <row r="237">
      <c r="A237" s="65" t="str">
        <f>IFERROR(__xludf.DUMMYFUNCTION("""COMPUTED_VALUE"""),"27-03-2026")</f>
        <v>27-03-2026</v>
      </c>
      <c r="B237" s="65">
        <f>IFERROR(__xludf.DUMMYFUNCTION("""COMPUTED_VALUE"""),4749001.0)</f>
        <v>4749001</v>
      </c>
      <c r="C237" s="65" t="str">
        <f>IFERROR(__xludf.DUMMYFUNCTION("""COMPUTED_VALUE"""),"16:53")</f>
        <v>16:53</v>
      </c>
      <c r="D237" s="65" t="str">
        <f>IFERROR(__xludf.DUMMYFUNCTION("""COMPUTED_VALUE"""),"09-03-2026")</f>
        <v>09-03-2026</v>
      </c>
      <c r="E237" s="65" t="str">
        <f>IFERROR(__xludf.DUMMYFUNCTION("""COMPUTED_VALUE"""),"Luis Paez")</f>
        <v>Luis Paez</v>
      </c>
      <c r="F237" s="65" t="str">
        <f>IFERROR(__xludf.DUMMYFUNCTION("""COMPUTED_VALUE"""),"959106307")</f>
        <v>959106307</v>
      </c>
      <c r="G237" s="65" t="str">
        <f>IFERROR(__xludf.DUMMYFUNCTION("""COMPUTED_VALUE"""),"paezrene@hotmail.com")</f>
        <v>paezrene@hotmail.com</v>
      </c>
      <c r="H237" s="65"/>
      <c r="I237" s="65"/>
      <c r="J237" s="65" t="str">
        <f>IFERROR(__xludf.DUMMYFUNCTION("""COMPUTED_VALUE"""),"D001402496")</f>
        <v>D001402496</v>
      </c>
      <c r="K237" s="65" t="str">
        <f>IFERROR(__xludf.DUMMYFUNCTION("""COMPUTED_VALUE"""),"ENTREGADO")</f>
        <v>ENTREGADO</v>
      </c>
      <c r="L237" s="65" t="str">
        <f>IFERROR(__xludf.DUMMYFUNCTION("""COMPUTED_VALUE"""),"CON RECAUDO")</f>
        <v>CON RECAUDO</v>
      </c>
      <c r="M237" s="65" t="str">
        <f>IFERROR(__xludf.DUMMYFUNCTION("""COMPUTED_VALUE"""),"AZUAY")</f>
        <v>AZUAY</v>
      </c>
      <c r="N237" s="65" t="str">
        <f>IFERROR(__xludf.DUMMYFUNCTION("""COMPUTED_VALUE"""),"CUENCA")</f>
        <v>CUENCA</v>
      </c>
      <c r="O237" s="65" t="str">
        <f>IFERROR(__xludf.DUMMYFUNCTION("""COMPUTED_VALUE"""),"Gran colombia y benigno malo Centro - HOTEL Carvallo")</f>
        <v>Gran colombia y benigno malo Centro - HOTEL Carvallo</v>
      </c>
      <c r="P237" s="65"/>
      <c r="Q237" s="65" t="str">
        <f>IFERROR(__xludf.DUMMYFUNCTION("""COMPUTED_VALUE"""),"GINTRACOM")</f>
        <v>GINTRACOM</v>
      </c>
      <c r="R237" s="65">
        <f>IFERROR(__xludf.DUMMYFUNCTION("""COMPUTED_VALUE"""),25.0)</f>
        <v>25</v>
      </c>
      <c r="S237" s="65">
        <f>IFERROR(__xludf.DUMMYFUNCTION("""COMPUTED_VALUE"""),12.04)</f>
        <v>12.04</v>
      </c>
      <c r="T237" s="65">
        <f>IFERROR(__xludf.DUMMYFUNCTION("""COMPUTED_VALUE"""),5.96)</f>
        <v>5.96</v>
      </c>
      <c r="U237" s="65">
        <f>IFERROR(__xludf.DUMMYFUNCTION("""COMPUTED_VALUE"""),0.0)</f>
        <v>0</v>
      </c>
      <c r="V237" s="65">
        <f>IFERROR(__xludf.DUMMYFUNCTION("""COMPUTED_VALUE"""),0.0)</f>
        <v>0</v>
      </c>
      <c r="W237" s="65">
        <f>IFERROR(__xludf.DUMMYFUNCTION("""COMPUTED_VALUE"""),0.0)</f>
        <v>0</v>
      </c>
      <c r="X237" s="65">
        <f>IFERROR(__xludf.DUMMYFUNCTION("""COMPUTED_VALUE"""),3.5)</f>
        <v>3.5</v>
      </c>
      <c r="Y237" s="65">
        <f>IFERROR(__xludf.DUMMYFUNCTION("""COMPUTED_VALUE"""),7.0)</f>
        <v>7</v>
      </c>
      <c r="Z237" s="65">
        <f>IFERROR(__xludf.DUMMYFUNCTION("""COMPUTED_VALUE"""),87095.0)</f>
        <v>87095</v>
      </c>
      <c r="AA237" s="65" t="str">
        <f>IFERROR(__xludf.DUMMYFUNCTION("""COMPUTED_VALUE"""),"FILTRO DE DRENAJE")</f>
        <v>FILTRO DE DRENAJE</v>
      </c>
      <c r="AB237" s="65"/>
      <c r="AC237" s="65" t="str">
        <f>IFERROR(__xludf.DUMMYFUNCTION("""COMPUTED_VALUE"""),"FILTRO DE DRENAJE")</f>
        <v>FILTRO DE DRENAJE</v>
      </c>
      <c r="AD237" s="65"/>
      <c r="AE237" s="65">
        <f>IFERROR(__xludf.DUMMYFUNCTION("""COMPUTED_VALUE"""),2.0)</f>
        <v>2</v>
      </c>
      <c r="AF237" s="65"/>
      <c r="AG237" s="65"/>
      <c r="AH237" s="65"/>
      <c r="AI237" s="65"/>
      <c r="AJ237" s="65"/>
      <c r="AK237" s="65"/>
      <c r="AL237" s="65"/>
      <c r="AM237" s="65"/>
      <c r="AN237" s="65" t="str">
        <f>IFERROR(__xludf.DUMMYFUNCTION("""COMPUTED_VALUE"""),"12:59")</f>
        <v>12:59</v>
      </c>
      <c r="AO237" s="65" t="str">
        <f>IFERROR(__xludf.DUMMYFUNCTION("""COMPUTED_VALUE"""),"13-03-2026")</f>
        <v>13-03-2026</v>
      </c>
      <c r="AP237" s="65" t="str">
        <f>IFERROR(__xludf.DUMMYFUNCTION("""COMPUTED_VALUE"""),"ENTREGADA GINTRACOM")</f>
        <v>ENTREGADA GINTRACOM</v>
      </c>
      <c r="AQ237" s="65" t="str">
        <f>IFERROR(__xludf.DUMMYFUNCTION("""COMPUTED_VALUE"""),"ENTREGADA GINTRACOM")</f>
        <v>ENTREGADA GINTRACOM</v>
      </c>
      <c r="AR237" s="65"/>
      <c r="AS237" s="65"/>
      <c r="AT237" s="65" t="str">
        <f>IFERROR(__xludf.DUMMYFUNCTION("""COMPUTED_VALUE"""),"SHOPIFY")</f>
        <v>SHOPIFY</v>
      </c>
      <c r="AU237" s="65" t="str">
        <f>IFERROR(__xludf.DUMMYFUNCTION("""COMPUTED_VALUE"""),"IMPORTEX EC")</f>
        <v>IMPORTEX EC</v>
      </c>
      <c r="AV237" s="65" t="str">
        <f>IFERROR(__xludf.DUMMYFUNCTION("""COMPUTED_VALUE"""),"6568156856364")</f>
        <v>6568156856364</v>
      </c>
      <c r="AW237" s="65">
        <f>IFERROR(__xludf.DUMMYFUNCTION("""COMPUTED_VALUE"""),6616.0)</f>
        <v>6616</v>
      </c>
      <c r="AX237" s="65"/>
      <c r="AY237" s="65" t="str">
        <f>IFERROR(__xludf.DUMMYFUNCTION("""COMPUTED_VALUE"""),"10/03/2026")</f>
        <v>10/03/2026</v>
      </c>
      <c r="AZ237" s="65"/>
      <c r="BA237" s="65"/>
    </row>
    <row r="238">
      <c r="A238" s="65" t="str">
        <f>IFERROR(__xludf.DUMMYFUNCTION("""COMPUTED_VALUE"""),"27-03-2026")</f>
        <v>27-03-2026</v>
      </c>
      <c r="B238" s="65">
        <f>IFERROR(__xludf.DUMMYFUNCTION("""COMPUTED_VALUE"""),4747799.0)</f>
        <v>4747799</v>
      </c>
      <c r="C238" s="65" t="str">
        <f>IFERROR(__xludf.DUMMYFUNCTION("""COMPUTED_VALUE"""),"15:06")</f>
        <v>15:06</v>
      </c>
      <c r="D238" s="65" t="str">
        <f>IFERROR(__xludf.DUMMYFUNCTION("""COMPUTED_VALUE"""),"09-03-2026")</f>
        <v>09-03-2026</v>
      </c>
      <c r="E238" s="65" t="str">
        <f>IFERROR(__xludf.DUMMYFUNCTION("""COMPUTED_VALUE"""),"WELINTON VARGAS")</f>
        <v>WELINTON VARGAS</v>
      </c>
      <c r="F238" s="65" t="str">
        <f>IFERROR(__xludf.DUMMYFUNCTION("""COMPUTED_VALUE"""),"981588822")</f>
        <v>981588822</v>
      </c>
      <c r="G238" s="65" t="str">
        <f>IFERROR(__xludf.DUMMYFUNCTION("""COMPUTED_VALUE"""),"welintonvargas2016@gmail.com")</f>
        <v>welintonvargas2016@gmail.com</v>
      </c>
      <c r="H238" s="65"/>
      <c r="I238" s="65"/>
      <c r="J238" s="65" t="str">
        <f>IFERROR(__xludf.DUMMYFUNCTION("""COMPUTED_VALUE"""),"D001402497")</f>
        <v>D001402497</v>
      </c>
      <c r="K238" s="65" t="str">
        <f>IFERROR(__xludf.DUMMYFUNCTION("""COMPUTED_VALUE"""),"ENTREGADO")</f>
        <v>ENTREGADO</v>
      </c>
      <c r="L238" s="65" t="str">
        <f>IFERROR(__xludf.DUMMYFUNCTION("""COMPUTED_VALUE"""),"CON RECAUDO")</f>
        <v>CON RECAUDO</v>
      </c>
      <c r="M238" s="65" t="str">
        <f>IFERROR(__xludf.DUMMYFUNCTION("""COMPUTED_VALUE"""),"MANABI")</f>
        <v>MANABI</v>
      </c>
      <c r="N238" s="65" t="str">
        <f>IFERROR(__xludf.DUMMYFUNCTION("""COMPUTED_VALUE"""),"CHONE")</f>
        <v>CHONE</v>
      </c>
      <c r="O238" s="65" t="str">
        <f>IFERROR(__xludf.DUMMYFUNCTION("""COMPUTED_VALUE"""),"CALLE VARGAS TORRES Y BOLIVAR ,  EN TRENDY STORE - CHONE")</f>
        <v>CALLE VARGAS TORRES Y BOLIVAR ,  EN TRENDY STORE - CHONE</v>
      </c>
      <c r="P238" s="65"/>
      <c r="Q238" s="65" t="str">
        <f>IFERROR(__xludf.DUMMYFUNCTION("""COMPUTED_VALUE"""),"GINTRACOM")</f>
        <v>GINTRACOM</v>
      </c>
      <c r="R238" s="65">
        <f>IFERROR(__xludf.DUMMYFUNCTION("""COMPUTED_VALUE"""),25.0)</f>
        <v>25</v>
      </c>
      <c r="S238" s="65">
        <f>IFERROR(__xludf.DUMMYFUNCTION("""COMPUTED_VALUE"""),12.04)</f>
        <v>12.04</v>
      </c>
      <c r="T238" s="65">
        <f>IFERROR(__xludf.DUMMYFUNCTION("""COMPUTED_VALUE"""),5.96)</f>
        <v>5.96</v>
      </c>
      <c r="U238" s="65">
        <f>IFERROR(__xludf.DUMMYFUNCTION("""COMPUTED_VALUE"""),0.0)</f>
        <v>0</v>
      </c>
      <c r="V238" s="65">
        <f>IFERROR(__xludf.DUMMYFUNCTION("""COMPUTED_VALUE"""),0.0)</f>
        <v>0</v>
      </c>
      <c r="W238" s="65">
        <f>IFERROR(__xludf.DUMMYFUNCTION("""COMPUTED_VALUE"""),0.0)</f>
        <v>0</v>
      </c>
      <c r="X238" s="65">
        <f>IFERROR(__xludf.DUMMYFUNCTION("""COMPUTED_VALUE"""),3.5)</f>
        <v>3.5</v>
      </c>
      <c r="Y238" s="65">
        <f>IFERROR(__xludf.DUMMYFUNCTION("""COMPUTED_VALUE"""),7.0)</f>
        <v>7</v>
      </c>
      <c r="Z238" s="65">
        <f>IFERROR(__xludf.DUMMYFUNCTION("""COMPUTED_VALUE"""),87095.0)</f>
        <v>87095</v>
      </c>
      <c r="AA238" s="65" t="str">
        <f>IFERROR(__xludf.DUMMYFUNCTION("""COMPUTED_VALUE"""),"FILTRO DE DRENAJE")</f>
        <v>FILTRO DE DRENAJE</v>
      </c>
      <c r="AB238" s="65"/>
      <c r="AC238" s="65" t="str">
        <f>IFERROR(__xludf.DUMMYFUNCTION("""COMPUTED_VALUE"""),"FILTRO DE DRENAJE")</f>
        <v>FILTRO DE DRENAJE</v>
      </c>
      <c r="AD238" s="65"/>
      <c r="AE238" s="65">
        <f>IFERROR(__xludf.DUMMYFUNCTION("""COMPUTED_VALUE"""),2.0)</f>
        <v>2</v>
      </c>
      <c r="AF238" s="65"/>
      <c r="AG238" s="65"/>
      <c r="AH238" s="65"/>
      <c r="AI238" s="65"/>
      <c r="AJ238" s="65"/>
      <c r="AK238" s="65"/>
      <c r="AL238" s="65"/>
      <c r="AM238" s="65"/>
      <c r="AN238" s="65" t="str">
        <f>IFERROR(__xludf.DUMMYFUNCTION("""COMPUTED_VALUE"""),"11:35")</f>
        <v>11:35</v>
      </c>
      <c r="AO238" s="65" t="str">
        <f>IFERROR(__xludf.DUMMYFUNCTION("""COMPUTED_VALUE"""),"14-03-2026")</f>
        <v>14-03-2026</v>
      </c>
      <c r="AP238" s="65" t="str">
        <f>IFERROR(__xludf.DUMMYFUNCTION("""COMPUTED_VALUE"""),"ENTREGADA GINTRACOM")</f>
        <v>ENTREGADA GINTRACOM</v>
      </c>
      <c r="AQ238" s="65" t="str">
        <f>IFERROR(__xludf.DUMMYFUNCTION("""COMPUTED_VALUE"""),"ENTREGADA GINTRACOM")</f>
        <v>ENTREGADA GINTRACOM</v>
      </c>
      <c r="AR238" s="65"/>
      <c r="AS238" s="65"/>
      <c r="AT238" s="65" t="str">
        <f>IFERROR(__xludf.DUMMYFUNCTION("""COMPUTED_VALUE"""),"SHOPIFY")</f>
        <v>SHOPIFY</v>
      </c>
      <c r="AU238" s="65" t="str">
        <f>IFERROR(__xludf.DUMMYFUNCTION("""COMPUTED_VALUE"""),"IMPORTEX EC")</f>
        <v>IMPORTEX EC</v>
      </c>
      <c r="AV238" s="65" t="str">
        <f>IFERROR(__xludf.DUMMYFUNCTION("""COMPUTED_VALUE"""),"6567967129644")</f>
        <v>6567967129644</v>
      </c>
      <c r="AW238" s="65">
        <f>IFERROR(__xludf.DUMMYFUNCTION("""COMPUTED_VALUE"""),6615.0)</f>
        <v>6615</v>
      </c>
      <c r="AX238" s="65"/>
      <c r="AY238" s="65" t="str">
        <f>IFERROR(__xludf.DUMMYFUNCTION("""COMPUTED_VALUE"""),"10/03/2026")</f>
        <v>10/03/2026</v>
      </c>
      <c r="AZ238" s="65"/>
      <c r="BA238" s="65"/>
    </row>
    <row r="239">
      <c r="A239" s="65" t="str">
        <f>IFERROR(__xludf.DUMMYFUNCTION("""COMPUTED_VALUE"""),"27-03-2026")</f>
        <v>27-03-2026</v>
      </c>
      <c r="B239" s="65">
        <f>IFERROR(__xludf.DUMMYFUNCTION("""COMPUTED_VALUE"""),4747149.0)</f>
        <v>4747149</v>
      </c>
      <c r="C239" s="65" t="str">
        <f>IFERROR(__xludf.DUMMYFUNCTION("""COMPUTED_VALUE"""),"14:00")</f>
        <v>14:00</v>
      </c>
      <c r="D239" s="65" t="str">
        <f>IFERROR(__xludf.DUMMYFUNCTION("""COMPUTED_VALUE"""),"09-03-2026")</f>
        <v>09-03-2026</v>
      </c>
      <c r="E239" s="65" t="str">
        <f>IFERROR(__xludf.DUMMYFUNCTION("""COMPUTED_VALUE"""),"Julio Hernandez")</f>
        <v>Julio Hernandez</v>
      </c>
      <c r="F239" s="65" t="str">
        <f>IFERROR(__xludf.DUMMYFUNCTION("""COMPUTED_VALUE"""),"983429124")</f>
        <v>983429124</v>
      </c>
      <c r="G239" s="65"/>
      <c r="H239" s="65"/>
      <c r="I239" s="65"/>
      <c r="J239" s="65" t="str">
        <f>IFERROR(__xludf.DUMMYFUNCTION("""COMPUTED_VALUE"""),"186641614")</f>
        <v>186641614</v>
      </c>
      <c r="K239" s="65" t="str">
        <f>IFERROR(__xludf.DUMMYFUNCTION("""COMPUTED_VALUE"""),"ENTREGADO")</f>
        <v>ENTREGADO</v>
      </c>
      <c r="L239" s="65" t="str">
        <f>IFERROR(__xludf.DUMMYFUNCTION("""COMPUTED_VALUE"""),"CON RECAUDO")</f>
        <v>CON RECAUDO</v>
      </c>
      <c r="M239" s="65" t="str">
        <f>IFERROR(__xludf.DUMMYFUNCTION("""COMPUTED_VALUE"""),"GUAYAS")</f>
        <v>GUAYAS</v>
      </c>
      <c r="N239" s="65" t="str">
        <f>IFERROR(__xludf.DUMMYFUNCTION("""COMPUTED_VALUE"""),"YAGUACHI")</f>
        <v>YAGUACHI</v>
      </c>
      <c r="O239" s="65" t="str">
        <f>IFERROR(__xludf.DUMMYFUNCTION("""COMPUTED_VALUE"""),"Retira en CS:  YAGUACHI  CARRETERO DURAN - AV SEGUNDA 0 Y CARRETERO DURAN - Guayas")</f>
        <v>Retira en CS:  YAGUACHI  CARRETERO DURAN - AV SEGUNDA 0 Y CARRETERO DURAN - Guayas</v>
      </c>
      <c r="P239" s="65"/>
      <c r="Q239" s="65" t="str">
        <f>IFERROR(__xludf.DUMMYFUNCTION("""COMPUTED_VALUE"""),"SERVIENTREGA")</f>
        <v>SERVIENTREGA</v>
      </c>
      <c r="R239" s="65">
        <f>IFERROR(__xludf.DUMMYFUNCTION("""COMPUTED_VALUE"""),30.0)</f>
        <v>30</v>
      </c>
      <c r="S239" s="65">
        <f>IFERROR(__xludf.DUMMYFUNCTION("""COMPUTED_VALUE"""),15.13)</f>
        <v>15.13</v>
      </c>
      <c r="T239" s="65">
        <f>IFERROR(__xludf.DUMMYFUNCTION("""COMPUTED_VALUE"""),7.82)</f>
        <v>7.82</v>
      </c>
      <c r="U239" s="65">
        <f>IFERROR(__xludf.DUMMYFUNCTION("""COMPUTED_VALUE"""),0.0)</f>
        <v>0</v>
      </c>
      <c r="V239" s="65">
        <f>IFERROR(__xludf.DUMMYFUNCTION("""COMPUTED_VALUE"""),0.0)</f>
        <v>0</v>
      </c>
      <c r="W239" s="65">
        <f>IFERROR(__xludf.DUMMYFUNCTION("""COMPUTED_VALUE"""),0.0)</f>
        <v>0</v>
      </c>
      <c r="X239" s="65">
        <f>IFERROR(__xludf.DUMMYFUNCTION("""COMPUTED_VALUE"""),2.35)</f>
        <v>2.35</v>
      </c>
      <c r="Y239" s="65">
        <f>IFERROR(__xludf.DUMMYFUNCTION("""COMPUTED_VALUE"""),7.05)</f>
        <v>7.05</v>
      </c>
      <c r="Z239" s="65">
        <f>IFERROR(__xludf.DUMMYFUNCTION("""COMPUTED_VALUE"""),116679.0)</f>
        <v>116679</v>
      </c>
      <c r="AA239" s="65" t="str">
        <f>IFERROR(__xludf.DUMMYFUNCTION("""COMPUTED_VALUE"""),"AMC-2738")</f>
        <v>AMC-2738</v>
      </c>
      <c r="AB239" s="65"/>
      <c r="AC239" s="65" t="str">
        <f>IFERROR(__xludf.DUMMYFUNCTION("""COMPUTED_VALUE"""),"ESPONJA ANTILLUVIA DE PARABRISAS")</f>
        <v>ESPONJA ANTILLUVIA DE PARABRISAS</v>
      </c>
      <c r="AD239" s="65"/>
      <c r="AE239" s="65">
        <f>IFERROR(__xludf.DUMMYFUNCTION("""COMPUTED_VALUE"""),3.0)</f>
        <v>3</v>
      </c>
      <c r="AF239" s="65"/>
      <c r="AG239" s="65"/>
      <c r="AH239" s="65"/>
      <c r="AI239" s="65"/>
      <c r="AJ239" s="65"/>
      <c r="AK239" s="65"/>
      <c r="AL239" s="65"/>
      <c r="AM239" s="65"/>
      <c r="AN239" s="65" t="str">
        <f>IFERROR(__xludf.DUMMYFUNCTION("""COMPUTED_VALUE"""),"19:43")</f>
        <v>19:43</v>
      </c>
      <c r="AO239" s="65" t="str">
        <f>IFERROR(__xludf.DUMMYFUNCTION("""COMPUTED_VALUE"""),"18-03-2026")</f>
        <v>18-03-2026</v>
      </c>
      <c r="AP239" s="65" t="str">
        <f>IFERROR(__xludf.DUMMYFUNCTION("""COMPUTED_VALUE"""),"REPORTADO ENTREGADO EN AGENCIA")</f>
        <v>REPORTADO ENTREGADO EN AGENCIA</v>
      </c>
      <c r="AQ239" s="65" t="str">
        <f>IFERROR(__xludf.DUMMYFUNCTION("""COMPUTED_VALUE"""),"JULIO HERNANDEZ")</f>
        <v>JULIO HERNANDEZ</v>
      </c>
      <c r="AR239" s="65"/>
      <c r="AS239" s="65"/>
      <c r="AT239" s="65" t="str">
        <f>IFERROR(__xludf.DUMMYFUNCTION("""COMPUTED_VALUE"""),"CHATEA PRO")</f>
        <v>CHATEA PRO</v>
      </c>
      <c r="AU239" s="65" t="str">
        <f>IFERROR(__xludf.DUMMYFUNCTION("""COMPUTED_VALUE"""),"CHATEA PRO")</f>
        <v>CHATEA PRO</v>
      </c>
      <c r="AV239" s="65"/>
      <c r="AW239" s="65"/>
      <c r="AX239" s="65"/>
      <c r="AY239" s="65" t="str">
        <f>IFERROR(__xludf.DUMMYFUNCTION("""COMPUTED_VALUE"""),"10/03/2026")</f>
        <v>10/03/2026</v>
      </c>
      <c r="AZ239" s="65"/>
      <c r="BA239" s="65"/>
    </row>
    <row r="240">
      <c r="A240" s="65" t="str">
        <f>IFERROR(__xludf.DUMMYFUNCTION("""COMPUTED_VALUE"""),"27-03-2026")</f>
        <v>27-03-2026</v>
      </c>
      <c r="B240" s="65">
        <f>IFERROR(__xludf.DUMMYFUNCTION("""COMPUTED_VALUE"""),4746995.0)</f>
        <v>4746995</v>
      </c>
      <c r="C240" s="65" t="str">
        <f>IFERROR(__xludf.DUMMYFUNCTION("""COMPUTED_VALUE"""),"13:45")</f>
        <v>13:45</v>
      </c>
      <c r="D240" s="65" t="str">
        <f>IFERROR(__xludf.DUMMYFUNCTION("""COMPUTED_VALUE"""),"09-03-2026")</f>
        <v>09-03-2026</v>
      </c>
      <c r="E240" s="65" t="str">
        <f>IFERROR(__xludf.DUMMYFUNCTION("""COMPUTED_VALUE"""),"Ricardo Yangua")</f>
        <v>Ricardo Yangua</v>
      </c>
      <c r="F240" s="65" t="str">
        <f>IFERROR(__xludf.DUMMYFUNCTION("""COMPUTED_VALUE"""),"999135818")</f>
        <v>999135818</v>
      </c>
      <c r="G240" s="65"/>
      <c r="H240" s="65"/>
      <c r="I240" s="65"/>
      <c r="J240" s="65" t="str">
        <f>IFERROR(__xludf.DUMMYFUNCTION("""COMPUTED_VALUE"""),"186641616")</f>
        <v>186641616</v>
      </c>
      <c r="K240" s="65" t="str">
        <f>IFERROR(__xludf.DUMMYFUNCTION("""COMPUTED_VALUE"""),"ENTREGADO")</f>
        <v>ENTREGADO</v>
      </c>
      <c r="L240" s="65" t="str">
        <f>IFERROR(__xludf.DUMMYFUNCTION("""COMPUTED_VALUE"""),"CON RECAUDO")</f>
        <v>CON RECAUDO</v>
      </c>
      <c r="M240" s="65" t="str">
        <f>IFERROR(__xludf.DUMMYFUNCTION("""COMPUTED_VALUE"""),"MORONA SANTIAGO")</f>
        <v>MORONA SANTIAGO</v>
      </c>
      <c r="N240" s="65" t="str">
        <f>IFERROR(__xludf.DUMMYFUNCTION("""COMPUTED_VALUE"""),"SUCUA")</f>
        <v>SUCUA</v>
      </c>
      <c r="O240" s="65" t="str">
        <f>IFERROR(__xludf.DUMMYFUNCTION("""COMPUTED_VALUE"""),"Retira en CS:  SUCUA PRINCIPAL  -  AV. DOMINGO COMIN S/N Y EFREN ZUÑIGA -   MORONA SANTIAGO")</f>
        <v>Retira en CS:  SUCUA PRINCIPAL  -  AV. DOMINGO COMIN S/N Y EFREN ZUÑIGA -   MORONA SANTIAGO</v>
      </c>
      <c r="P240" s="65"/>
      <c r="Q240" s="65" t="str">
        <f>IFERROR(__xludf.DUMMYFUNCTION("""COMPUTED_VALUE"""),"SERVIENTREGA")</f>
        <v>SERVIENTREGA</v>
      </c>
      <c r="R240" s="65">
        <f>IFERROR(__xludf.DUMMYFUNCTION("""COMPUTED_VALUE"""),25.0)</f>
        <v>25</v>
      </c>
      <c r="S240" s="65">
        <f>IFERROR(__xludf.DUMMYFUNCTION("""COMPUTED_VALUE"""),12.55)</f>
        <v>12.55</v>
      </c>
      <c r="T240" s="65">
        <f>IFERROR(__xludf.DUMMYFUNCTION("""COMPUTED_VALUE"""),7.75)</f>
        <v>7.75</v>
      </c>
      <c r="U240" s="65">
        <f>IFERROR(__xludf.DUMMYFUNCTION("""COMPUTED_VALUE"""),0.0)</f>
        <v>0</v>
      </c>
      <c r="V240" s="65">
        <f>IFERROR(__xludf.DUMMYFUNCTION("""COMPUTED_VALUE"""),0.0)</f>
        <v>0</v>
      </c>
      <c r="W240" s="65">
        <f>IFERROR(__xludf.DUMMYFUNCTION("""COMPUTED_VALUE"""),0.0)</f>
        <v>0</v>
      </c>
      <c r="X240" s="65">
        <f>IFERROR(__xludf.DUMMYFUNCTION("""COMPUTED_VALUE"""),2.35)</f>
        <v>2.35</v>
      </c>
      <c r="Y240" s="65">
        <f>IFERROR(__xludf.DUMMYFUNCTION("""COMPUTED_VALUE"""),4.7)</f>
        <v>4.7</v>
      </c>
      <c r="Z240" s="65">
        <f>IFERROR(__xludf.DUMMYFUNCTION("""COMPUTED_VALUE"""),116679.0)</f>
        <v>116679</v>
      </c>
      <c r="AA240" s="65" t="str">
        <f>IFERROR(__xludf.DUMMYFUNCTION("""COMPUTED_VALUE"""),"AMC-2738")</f>
        <v>AMC-2738</v>
      </c>
      <c r="AB240" s="65"/>
      <c r="AC240" s="65" t="str">
        <f>IFERROR(__xludf.DUMMYFUNCTION("""COMPUTED_VALUE"""),"ESPONJA ANTILLUVIA DE PARABRISAS")</f>
        <v>ESPONJA ANTILLUVIA DE PARABRISAS</v>
      </c>
      <c r="AD240" s="65"/>
      <c r="AE240" s="65">
        <f>IFERROR(__xludf.DUMMYFUNCTION("""COMPUTED_VALUE"""),2.0)</f>
        <v>2</v>
      </c>
      <c r="AF240" s="65"/>
      <c r="AG240" s="65"/>
      <c r="AH240" s="65"/>
      <c r="AI240" s="65"/>
      <c r="AJ240" s="65"/>
      <c r="AK240" s="65"/>
      <c r="AL240" s="65"/>
      <c r="AM240" s="65"/>
      <c r="AN240" s="65" t="str">
        <f>IFERROR(__xludf.DUMMYFUNCTION("""COMPUTED_VALUE"""),"12:27")</f>
        <v>12:27</v>
      </c>
      <c r="AO240" s="65" t="str">
        <f>IFERROR(__xludf.DUMMYFUNCTION("""COMPUTED_VALUE"""),"23-03-2026")</f>
        <v>23-03-2026</v>
      </c>
      <c r="AP240" s="65" t="str">
        <f>IFERROR(__xludf.DUMMYFUNCTION("""COMPUTED_VALUE"""),"ENTREGA DIGITALIZADA EN CENTRO LOGISTICO")</f>
        <v>ENTREGA DIGITALIZADA EN CENTRO LOGISTICO</v>
      </c>
      <c r="AQ240" s="65" t="str">
        <f>IFERROR(__xludf.DUMMYFUNCTION("""COMPUTED_VALUE"""),"RICARDO YANGUA")</f>
        <v>RICARDO YANGUA</v>
      </c>
      <c r="AR240" s="65"/>
      <c r="AS240" s="65"/>
      <c r="AT240" s="65" t="str">
        <f>IFERROR(__xludf.DUMMYFUNCTION("""COMPUTED_VALUE"""),"CHATEA PRO")</f>
        <v>CHATEA PRO</v>
      </c>
      <c r="AU240" s="65" t="str">
        <f>IFERROR(__xludf.DUMMYFUNCTION("""COMPUTED_VALUE"""),"CHATEA PRO")</f>
        <v>CHATEA PRO</v>
      </c>
      <c r="AV240" s="65"/>
      <c r="AW240" s="65"/>
      <c r="AX240" s="65"/>
      <c r="AY240" s="65" t="str">
        <f>IFERROR(__xludf.DUMMYFUNCTION("""COMPUTED_VALUE"""),"10/03/2026")</f>
        <v>10/03/2026</v>
      </c>
      <c r="AZ240" s="65"/>
      <c r="BA240" s="65"/>
    </row>
    <row r="241">
      <c r="A241" s="65" t="str">
        <f>IFERROR(__xludf.DUMMYFUNCTION("""COMPUTED_VALUE"""),"27-03-2026")</f>
        <v>27-03-2026</v>
      </c>
      <c r="B241" s="65">
        <f>IFERROR(__xludf.DUMMYFUNCTION("""COMPUTED_VALUE"""),4744892.0)</f>
        <v>4744892</v>
      </c>
      <c r="C241" s="65" t="str">
        <f>IFERROR(__xludf.DUMMYFUNCTION("""COMPUTED_VALUE"""),"11:01")</f>
        <v>11:01</v>
      </c>
      <c r="D241" s="65" t="str">
        <f>IFERROR(__xludf.DUMMYFUNCTION("""COMPUTED_VALUE"""),"09-03-2026")</f>
        <v>09-03-2026</v>
      </c>
      <c r="E241" s="65" t="str">
        <f>IFERROR(__xludf.DUMMYFUNCTION("""COMPUTED_VALUE"""),"Ipatia Rojas")</f>
        <v>Ipatia Rojas</v>
      </c>
      <c r="F241" s="65" t="str">
        <f>IFERROR(__xludf.DUMMYFUNCTION("""COMPUTED_VALUE"""),"996379987")</f>
        <v>996379987</v>
      </c>
      <c r="G241" s="65" t="str">
        <f>IFERROR(__xludf.DUMMYFUNCTION("""COMPUTED_VALUE"""),"patito312004@gmail.com")</f>
        <v>patito312004@gmail.com</v>
      </c>
      <c r="H241" s="65"/>
      <c r="I241" s="65"/>
      <c r="J241" s="65"/>
      <c r="K241" s="65" t="str">
        <f>IFERROR(__xludf.DUMMYFUNCTION("""COMPUTED_VALUE"""),"CANCELADO")</f>
        <v>CANCELADO</v>
      </c>
      <c r="L241" s="65" t="str">
        <f>IFERROR(__xludf.DUMMYFUNCTION("""COMPUTED_VALUE"""),"CON RECAUDO")</f>
        <v>CON RECAUDO</v>
      </c>
      <c r="M241" s="65" t="str">
        <f>IFERROR(__xludf.DUMMYFUNCTION("""COMPUTED_VALUE"""),"IMBABURA")</f>
        <v>IMBABURA</v>
      </c>
      <c r="N241" s="65" t="str">
        <f>IFERROR(__xludf.DUMMYFUNCTION("""COMPUTED_VALUE"""),"SAN MIGUEL DE IBARRA")</f>
        <v>SAN MIGUEL DE IBARRA</v>
      </c>
      <c r="O241" s="65" t="str">
        <f>IFERROR(__xludf.DUMMYFUNCTION("""COMPUTED_VALUE"""),"Los Ceibos Avenida del Retorno y Río Pastaza Los Ceibos -")</f>
        <v>Los Ceibos Avenida del Retorno y Río Pastaza Los Ceibos -</v>
      </c>
      <c r="P241" s="65"/>
      <c r="Q241" s="65" t="str">
        <f>IFERROR(__xludf.DUMMYFUNCTION("""COMPUTED_VALUE"""),"LAARCOURIER")</f>
        <v>LAARCOURIER</v>
      </c>
      <c r="R241" s="65">
        <f>IFERROR(__xludf.DUMMYFUNCTION("""COMPUTED_VALUE"""),25.0)</f>
        <v>25</v>
      </c>
      <c r="S241" s="65"/>
      <c r="T241" s="65">
        <f>IFERROR(__xludf.DUMMYFUNCTION("""COMPUTED_VALUE"""),6.97)</f>
        <v>6.97</v>
      </c>
      <c r="U241" s="65">
        <f>IFERROR(__xludf.DUMMYFUNCTION("""COMPUTED_VALUE"""),0.0)</f>
        <v>0</v>
      </c>
      <c r="V241" s="65">
        <f>IFERROR(__xludf.DUMMYFUNCTION("""COMPUTED_VALUE"""),0.0)</f>
        <v>0</v>
      </c>
      <c r="W241" s="65">
        <f>IFERROR(__xludf.DUMMYFUNCTION("""COMPUTED_VALUE"""),0.0)</f>
        <v>0</v>
      </c>
      <c r="X241" s="65">
        <f>IFERROR(__xludf.DUMMYFUNCTION("""COMPUTED_VALUE"""),3.5)</f>
        <v>3.5</v>
      </c>
      <c r="Y241" s="65">
        <f>IFERROR(__xludf.DUMMYFUNCTION("""COMPUTED_VALUE"""),7.0)</f>
        <v>7</v>
      </c>
      <c r="Z241" s="65">
        <f>IFERROR(__xludf.DUMMYFUNCTION("""COMPUTED_VALUE"""),87095.0)</f>
        <v>87095</v>
      </c>
      <c r="AA241" s="65" t="str">
        <f>IFERROR(__xludf.DUMMYFUNCTION("""COMPUTED_VALUE"""),"FILTRO DE DRENAJE")</f>
        <v>FILTRO DE DRENAJE</v>
      </c>
      <c r="AB241" s="65"/>
      <c r="AC241" s="65" t="str">
        <f>IFERROR(__xludf.DUMMYFUNCTION("""COMPUTED_VALUE"""),"FILTRO DE DRENAJE")</f>
        <v>FILTRO DE DRENAJE</v>
      </c>
      <c r="AD241" s="65"/>
      <c r="AE241" s="65">
        <f>IFERROR(__xludf.DUMMYFUNCTION("""COMPUTED_VALUE"""),2.0)</f>
        <v>2</v>
      </c>
      <c r="AF241" s="65"/>
      <c r="AG241" s="65"/>
      <c r="AH241" s="65"/>
      <c r="AI241" s="65"/>
      <c r="AJ241" s="65"/>
      <c r="AK241" s="65"/>
      <c r="AL241" s="65"/>
      <c r="AM241" s="65"/>
      <c r="AN241" s="65"/>
      <c r="AO241" s="65"/>
      <c r="AP241" s="65"/>
      <c r="AQ241" s="65"/>
      <c r="AR241" s="65"/>
      <c r="AS241" s="65"/>
      <c r="AT241" s="65" t="str">
        <f>IFERROR(__xludf.DUMMYFUNCTION("""COMPUTED_VALUE"""),"SHOPIFY")</f>
        <v>SHOPIFY</v>
      </c>
      <c r="AU241" s="65" t="str">
        <f>IFERROR(__xludf.DUMMYFUNCTION("""COMPUTED_VALUE"""),"IMPORTEX EC")</f>
        <v>IMPORTEX EC</v>
      </c>
      <c r="AV241" s="65" t="str">
        <f>IFERROR(__xludf.DUMMYFUNCTION("""COMPUTED_VALUE"""),"6566143459372")</f>
        <v>6566143459372</v>
      </c>
      <c r="AW241" s="65">
        <f>IFERROR(__xludf.DUMMYFUNCTION("""COMPUTED_VALUE"""),6611.0)</f>
        <v>6611</v>
      </c>
      <c r="AX241" s="65"/>
      <c r="AY241" s="65"/>
      <c r="AZ241" s="65"/>
      <c r="BA241" s="65"/>
    </row>
    <row r="242">
      <c r="A242" s="65" t="str">
        <f>IFERROR(__xludf.DUMMYFUNCTION("""COMPUTED_VALUE"""),"27-03-2026")</f>
        <v>27-03-2026</v>
      </c>
      <c r="B242" s="65">
        <f>IFERROR(__xludf.DUMMYFUNCTION("""COMPUTED_VALUE"""),4744680.0)</f>
        <v>4744680</v>
      </c>
      <c r="C242" s="65" t="str">
        <f>IFERROR(__xludf.DUMMYFUNCTION("""COMPUTED_VALUE"""),"10:54")</f>
        <v>10:54</v>
      </c>
      <c r="D242" s="65" t="str">
        <f>IFERROR(__xludf.DUMMYFUNCTION("""COMPUTED_VALUE"""),"09-03-2026")</f>
        <v>09-03-2026</v>
      </c>
      <c r="E242" s="65" t="str">
        <f>IFERROR(__xludf.DUMMYFUNCTION("""COMPUTED_VALUE"""),"Julio Canelos")</f>
        <v>Julio Canelos</v>
      </c>
      <c r="F242" s="65" t="str">
        <f>IFERROR(__xludf.DUMMYFUNCTION("""COMPUTED_VALUE"""),"984606728")</f>
        <v>984606728</v>
      </c>
      <c r="G242" s="65" t="str">
        <f>IFERROR(__xludf.DUMMYFUNCTION("""COMPUTED_VALUE"""),"juliocanelos6@hotmail.com")</f>
        <v>juliocanelos6@hotmail.com</v>
      </c>
      <c r="H242" s="65"/>
      <c r="I242" s="65"/>
      <c r="J242" s="65" t="str">
        <f>IFERROR(__xludf.DUMMYFUNCTION("""COMPUTED_VALUE"""),"D001402498")</f>
        <v>D001402498</v>
      </c>
      <c r="K242" s="65" t="str">
        <f>IFERROR(__xludf.DUMMYFUNCTION("""COMPUTED_VALUE"""),"ENTREGADO")</f>
        <v>ENTREGADO</v>
      </c>
      <c r="L242" s="65" t="str">
        <f>IFERROR(__xludf.DUMMYFUNCTION("""COMPUTED_VALUE"""),"CON RECAUDO")</f>
        <v>CON RECAUDO</v>
      </c>
      <c r="M242" s="65" t="str">
        <f>IFERROR(__xludf.DUMMYFUNCTION("""COMPUTED_VALUE"""),"PICHINCHA")</f>
        <v>PICHINCHA</v>
      </c>
      <c r="N242" s="65" t="str">
        <f>IFERROR(__xludf.DUMMYFUNCTION("""COMPUTED_VALUE"""),"QUITO")</f>
        <v>QUITO</v>
      </c>
      <c r="O242" s="65" t="str">
        <f>IFERROR(__xludf.DUMMYFUNCTION("""COMPUTED_VALUE"""),"José Peralta S12- 497 y Delfín Treviño - REFERENCIA: Casa de 3 pisos color beige - EL RECREO")</f>
        <v>José Peralta S12- 497 y Delfín Treviño - REFERENCIA: Casa de 3 pisos color beige - EL RECREO</v>
      </c>
      <c r="P242" s="65"/>
      <c r="Q242" s="65" t="str">
        <f>IFERROR(__xludf.DUMMYFUNCTION("""COMPUTED_VALUE"""),"GINTRACOM")</f>
        <v>GINTRACOM</v>
      </c>
      <c r="R242" s="65">
        <f>IFERROR(__xludf.DUMMYFUNCTION("""COMPUTED_VALUE"""),32.01)</f>
        <v>32.01</v>
      </c>
      <c r="S242" s="65">
        <f>IFERROR(__xludf.DUMMYFUNCTION("""COMPUTED_VALUE"""),15.27)</f>
        <v>15.27</v>
      </c>
      <c r="T242" s="65">
        <f>IFERROR(__xludf.DUMMYFUNCTION("""COMPUTED_VALUE"""),6.24)</f>
        <v>6.24</v>
      </c>
      <c r="U242" s="65">
        <f>IFERROR(__xludf.DUMMYFUNCTION("""COMPUTED_VALUE"""),0.0)</f>
        <v>0</v>
      </c>
      <c r="V242" s="65">
        <f>IFERROR(__xludf.DUMMYFUNCTION("""COMPUTED_VALUE"""),0.0)</f>
        <v>0</v>
      </c>
      <c r="W242" s="65">
        <f>IFERROR(__xludf.DUMMYFUNCTION("""COMPUTED_VALUE"""),0.0)</f>
        <v>0</v>
      </c>
      <c r="X242" s="65">
        <f>IFERROR(__xludf.DUMMYFUNCTION("""COMPUTED_VALUE"""),3.5)</f>
        <v>3.5</v>
      </c>
      <c r="Y242" s="65">
        <f>IFERROR(__xludf.DUMMYFUNCTION("""COMPUTED_VALUE"""),10.5)</f>
        <v>10.5</v>
      </c>
      <c r="Z242" s="65">
        <f>IFERROR(__xludf.DUMMYFUNCTION("""COMPUTED_VALUE"""),87095.0)</f>
        <v>87095</v>
      </c>
      <c r="AA242" s="65" t="str">
        <f>IFERROR(__xludf.DUMMYFUNCTION("""COMPUTED_VALUE"""),"FILTRO DE DRENAJE")</f>
        <v>FILTRO DE DRENAJE</v>
      </c>
      <c r="AB242" s="65"/>
      <c r="AC242" s="65" t="str">
        <f>IFERROR(__xludf.DUMMYFUNCTION("""COMPUTED_VALUE"""),"FILTRO DE DRENAJE")</f>
        <v>FILTRO DE DRENAJE</v>
      </c>
      <c r="AD242" s="65"/>
      <c r="AE242" s="65">
        <f>IFERROR(__xludf.DUMMYFUNCTION("""COMPUTED_VALUE"""),3.0)</f>
        <v>3</v>
      </c>
      <c r="AF242" s="65"/>
      <c r="AG242" s="65"/>
      <c r="AH242" s="65"/>
      <c r="AI242" s="65"/>
      <c r="AJ242" s="65"/>
      <c r="AK242" s="65"/>
      <c r="AL242" s="65"/>
      <c r="AM242" s="65"/>
      <c r="AN242" s="65" t="str">
        <f>IFERROR(__xludf.DUMMYFUNCTION("""COMPUTED_VALUE"""),"19:34")</f>
        <v>19:34</v>
      </c>
      <c r="AO242" s="65" t="str">
        <f>IFERROR(__xludf.DUMMYFUNCTION("""COMPUTED_VALUE"""),"13-03-2026")</f>
        <v>13-03-2026</v>
      </c>
      <c r="AP242" s="65" t="str">
        <f>IFERROR(__xludf.DUMMYFUNCTION("""COMPUTED_VALUE"""),"ENTREGADA GINTRACOM")</f>
        <v>ENTREGADA GINTRACOM</v>
      </c>
      <c r="AQ242" s="65" t="str">
        <f>IFERROR(__xludf.DUMMYFUNCTION("""COMPUTED_VALUE"""),"ENTREGADA GINTRACOM")</f>
        <v>ENTREGADA GINTRACOM</v>
      </c>
      <c r="AR242" s="65"/>
      <c r="AS242" s="65"/>
      <c r="AT242" s="65" t="str">
        <f>IFERROR(__xludf.DUMMYFUNCTION("""COMPUTED_VALUE"""),"SHOPIFY")</f>
        <v>SHOPIFY</v>
      </c>
      <c r="AU242" s="65" t="str">
        <f>IFERROR(__xludf.DUMMYFUNCTION("""COMPUTED_VALUE"""),"IMPORTEX EC")</f>
        <v>IMPORTEX EC</v>
      </c>
      <c r="AV242" s="65" t="str">
        <f>IFERROR(__xludf.DUMMYFUNCTION("""COMPUTED_VALUE"""),"6567451983916")</f>
        <v>6567451983916</v>
      </c>
      <c r="AW242" s="65">
        <f>IFERROR(__xludf.DUMMYFUNCTION("""COMPUTED_VALUE"""),6614.0)</f>
        <v>6614</v>
      </c>
      <c r="AX242" s="65"/>
      <c r="AY242" s="65" t="str">
        <f>IFERROR(__xludf.DUMMYFUNCTION("""COMPUTED_VALUE"""),"10/03/2026")</f>
        <v>10/03/2026</v>
      </c>
      <c r="AZ242" s="65"/>
      <c r="BA242" s="65"/>
    </row>
    <row r="243">
      <c r="A243" s="65" t="str">
        <f>IFERROR(__xludf.DUMMYFUNCTION("""COMPUTED_VALUE"""),"27-03-2026")</f>
        <v>27-03-2026</v>
      </c>
      <c r="B243" s="65">
        <f>IFERROR(__xludf.DUMMYFUNCTION("""COMPUTED_VALUE"""),4744676.0)</f>
        <v>4744676</v>
      </c>
      <c r="C243" s="65" t="str">
        <f>IFERROR(__xludf.DUMMYFUNCTION("""COMPUTED_VALUE"""),"10:54")</f>
        <v>10:54</v>
      </c>
      <c r="D243" s="65" t="str">
        <f>IFERROR(__xludf.DUMMYFUNCTION("""COMPUTED_VALUE"""),"09-03-2026")</f>
        <v>09-03-2026</v>
      </c>
      <c r="E243" s="65" t="str">
        <f>IFERROR(__xludf.DUMMYFUNCTION("""COMPUTED_VALUE"""),"Humberto Francisco Figueroa orrala")</f>
        <v>Humberto Francisco Figueroa orrala</v>
      </c>
      <c r="F243" s="65" t="str">
        <f>IFERROR(__xludf.DUMMYFUNCTION("""COMPUTED_VALUE"""),"986358514")</f>
        <v>986358514</v>
      </c>
      <c r="G243" s="65" t="str">
        <f>IFERROR(__xludf.DUMMYFUNCTION("""COMPUTED_VALUE"""),"5humbertofrancisco@gmail.com")</f>
        <v>5humbertofrancisco@gmail.com</v>
      </c>
      <c r="H243" s="65"/>
      <c r="I243" s="65"/>
      <c r="J243" s="65"/>
      <c r="K243" s="65" t="str">
        <f>IFERROR(__xludf.DUMMYFUNCTION("""COMPUTED_VALUE"""),"PENDIENTE CONFIRMACION")</f>
        <v>PENDIENTE CONFIRMACION</v>
      </c>
      <c r="L243" s="65" t="str">
        <f>IFERROR(__xludf.DUMMYFUNCTION("""COMPUTED_VALUE"""),"CON RECAUDO")</f>
        <v>CON RECAUDO</v>
      </c>
      <c r="M243" s="65" t="str">
        <f>IFERROR(__xludf.DUMMYFUNCTION("""COMPUTED_VALUE"""),"SANTA ELENA")</f>
        <v>SANTA ELENA</v>
      </c>
      <c r="N243" s="65" t="str">
        <f>IFERROR(__xludf.DUMMYFUNCTION("""COMPUTED_VALUE"""),"SAN PABLO SANTA ELENA")</f>
        <v>SAN PABLO SANTA ELENA</v>
      </c>
      <c r="O243" s="65" t="str">
        <f>IFERROR(__xludf.DUMMYFUNCTION("""COMPUTED_VALUE"""),"Santa elena Santa Elena -")</f>
        <v>Santa elena Santa Elena -</v>
      </c>
      <c r="P243" s="65"/>
      <c r="Q243" s="65" t="str">
        <f>IFERROR(__xludf.DUMMYFUNCTION("""COMPUTED_VALUE"""),"LAARCOURIER")</f>
        <v>LAARCOURIER</v>
      </c>
      <c r="R243" s="65">
        <f>IFERROR(__xludf.DUMMYFUNCTION("""COMPUTED_VALUE"""),20.0)</f>
        <v>20</v>
      </c>
      <c r="S243" s="65"/>
      <c r="T243" s="65">
        <f>IFERROR(__xludf.DUMMYFUNCTION("""COMPUTED_VALUE"""),6.68)</f>
        <v>6.68</v>
      </c>
      <c r="U243" s="65">
        <f>IFERROR(__xludf.DUMMYFUNCTION("""COMPUTED_VALUE"""),0.0)</f>
        <v>0</v>
      </c>
      <c r="V243" s="65">
        <f>IFERROR(__xludf.DUMMYFUNCTION("""COMPUTED_VALUE"""),0.0)</f>
        <v>0</v>
      </c>
      <c r="W243" s="65">
        <f>IFERROR(__xludf.DUMMYFUNCTION("""COMPUTED_VALUE"""),0.0)</f>
        <v>0</v>
      </c>
      <c r="X243" s="65">
        <f>IFERROR(__xludf.DUMMYFUNCTION("""COMPUTED_VALUE"""),2.35)</f>
        <v>2.35</v>
      </c>
      <c r="Y243" s="65">
        <f>IFERROR(__xludf.DUMMYFUNCTION("""COMPUTED_VALUE"""),2.35)</f>
        <v>2.35</v>
      </c>
      <c r="Z243" s="65">
        <f>IFERROR(__xludf.DUMMYFUNCTION("""COMPUTED_VALUE"""),116679.0)</f>
        <v>116679</v>
      </c>
      <c r="AA243" s="65" t="str">
        <f>IFERROR(__xludf.DUMMYFUNCTION("""COMPUTED_VALUE"""),"AMC-2738")</f>
        <v>AMC-2738</v>
      </c>
      <c r="AB243" s="65"/>
      <c r="AC243" s="65" t="str">
        <f>IFERROR(__xludf.DUMMYFUNCTION("""COMPUTED_VALUE"""),"ESPONJA ANTILLUVIA DE PARABRISAS")</f>
        <v>ESPONJA ANTILLUVIA DE PARABRISAS</v>
      </c>
      <c r="AD243" s="65"/>
      <c r="AE243" s="65">
        <f>IFERROR(__xludf.DUMMYFUNCTION("""COMPUTED_VALUE"""),1.0)</f>
        <v>1</v>
      </c>
      <c r="AF243" s="65"/>
      <c r="AG243" s="65"/>
      <c r="AH243" s="65"/>
      <c r="AI243" s="65"/>
      <c r="AJ243" s="65"/>
      <c r="AK243" s="65"/>
      <c r="AL243" s="65"/>
      <c r="AM243" s="65"/>
      <c r="AN243" s="65"/>
      <c r="AO243" s="65"/>
      <c r="AP243" s="65"/>
      <c r="AQ243" s="65"/>
      <c r="AR243" s="65"/>
      <c r="AS243" s="65"/>
      <c r="AT243" s="65" t="str">
        <f>IFERROR(__xludf.DUMMYFUNCTION("""COMPUTED_VALUE"""),"SHOPIFY")</f>
        <v>SHOPIFY</v>
      </c>
      <c r="AU243" s="65" t="str">
        <f>IFERROR(__xludf.DUMMYFUNCTION("""COMPUTED_VALUE"""),"IMPORTEX EC")</f>
        <v>IMPORTEX EC</v>
      </c>
      <c r="AV243" s="65" t="str">
        <f>IFERROR(__xludf.DUMMYFUNCTION("""COMPUTED_VALUE"""),"6565405917228")</f>
        <v>6565405917228</v>
      </c>
      <c r="AW243" s="65">
        <f>IFERROR(__xludf.DUMMYFUNCTION("""COMPUTED_VALUE"""),6603.0)</f>
        <v>6603</v>
      </c>
      <c r="AX243" s="65"/>
      <c r="AY243" s="65"/>
      <c r="AZ243" s="65"/>
      <c r="BA243" s="65"/>
    </row>
    <row r="244">
      <c r="A244" s="65" t="str">
        <f>IFERROR(__xludf.DUMMYFUNCTION("""COMPUTED_VALUE"""),"27-03-2026")</f>
        <v>27-03-2026</v>
      </c>
      <c r="B244" s="65">
        <f>IFERROR(__xludf.DUMMYFUNCTION("""COMPUTED_VALUE"""),4739835.0)</f>
        <v>4739835</v>
      </c>
      <c r="C244" s="65" t="str">
        <f>IFERROR(__xludf.DUMMYFUNCTION("""COMPUTED_VALUE"""),"22:08")</f>
        <v>22:08</v>
      </c>
      <c r="D244" s="65" t="str">
        <f>IFERROR(__xludf.DUMMYFUNCTION("""COMPUTED_VALUE"""),"08-03-2026")</f>
        <v>08-03-2026</v>
      </c>
      <c r="E244" s="65" t="str">
        <f>IFERROR(__xludf.DUMMYFUNCTION("""COMPUTED_VALUE"""),"Serena Samaniego")</f>
        <v>Serena Samaniego</v>
      </c>
      <c r="F244" s="65" t="str">
        <f>IFERROR(__xludf.DUMMYFUNCTION("""COMPUTED_VALUE"""),"999213725")</f>
        <v>999213725</v>
      </c>
      <c r="G244" s="65" t="str">
        <f>IFERROR(__xludf.DUMMYFUNCTION("""COMPUTED_VALUE"""),"serena.samaniego@gmail.com")</f>
        <v>serena.samaniego@gmail.com</v>
      </c>
      <c r="H244" s="65"/>
      <c r="I244" s="65"/>
      <c r="J244" s="65"/>
      <c r="K244" s="65" t="str">
        <f>IFERROR(__xludf.DUMMYFUNCTION("""COMPUTED_VALUE"""),"CANCELADO")</f>
        <v>CANCELADO</v>
      </c>
      <c r="L244" s="65" t="str">
        <f>IFERROR(__xludf.DUMMYFUNCTION("""COMPUTED_VALUE"""),"CON RECAUDO")</f>
        <v>CON RECAUDO</v>
      </c>
      <c r="M244" s="65" t="str">
        <f>IFERROR(__xludf.DUMMYFUNCTION("""COMPUTED_VALUE"""),"PICHINCHA")</f>
        <v>PICHINCHA</v>
      </c>
      <c r="N244" s="65" t="str">
        <f>IFERROR(__xludf.DUMMYFUNCTION("""COMPUTED_VALUE"""),"QUITO")</f>
        <v>QUITO</v>
      </c>
      <c r="O244" s="65" t="str">
        <f>IFERROR(__xludf.DUMMYFUNCTION("""COMPUTED_VALUE"""),"Fray Francisco Caicedo y Av Brasil esq.  Edificio Brasil 500 Quito Tennis, en el Edif en donde está Fybeca -")</f>
        <v>Fray Francisco Caicedo y Av Brasil esq.  Edificio Brasil 500 Quito Tennis, en el Edif en donde está Fybeca -</v>
      </c>
      <c r="P244" s="65"/>
      <c r="Q244" s="65" t="str">
        <f>IFERROR(__xludf.DUMMYFUNCTION("""COMPUTED_VALUE"""),"GINTRACOM")</f>
        <v>GINTRACOM</v>
      </c>
      <c r="R244" s="65">
        <f>IFERROR(__xludf.DUMMYFUNCTION("""COMPUTED_VALUE"""),32.01)</f>
        <v>32.01</v>
      </c>
      <c r="S244" s="65"/>
      <c r="T244" s="65">
        <f>IFERROR(__xludf.DUMMYFUNCTION("""COMPUTED_VALUE"""),6.24)</f>
        <v>6.24</v>
      </c>
      <c r="U244" s="65">
        <f>IFERROR(__xludf.DUMMYFUNCTION("""COMPUTED_VALUE"""),0.0)</f>
        <v>0</v>
      </c>
      <c r="V244" s="65">
        <f>IFERROR(__xludf.DUMMYFUNCTION("""COMPUTED_VALUE"""),0.0)</f>
        <v>0</v>
      </c>
      <c r="W244" s="65">
        <f>IFERROR(__xludf.DUMMYFUNCTION("""COMPUTED_VALUE"""),0.0)</f>
        <v>0</v>
      </c>
      <c r="X244" s="65">
        <f>IFERROR(__xludf.DUMMYFUNCTION("""COMPUTED_VALUE"""),3.5)</f>
        <v>3.5</v>
      </c>
      <c r="Y244" s="65">
        <f>IFERROR(__xludf.DUMMYFUNCTION("""COMPUTED_VALUE"""),10.5)</f>
        <v>10.5</v>
      </c>
      <c r="Z244" s="65">
        <f>IFERROR(__xludf.DUMMYFUNCTION("""COMPUTED_VALUE"""),87095.0)</f>
        <v>87095</v>
      </c>
      <c r="AA244" s="65" t="str">
        <f>IFERROR(__xludf.DUMMYFUNCTION("""COMPUTED_VALUE"""),"FILTRO DE DRENAJE")</f>
        <v>FILTRO DE DRENAJE</v>
      </c>
      <c r="AB244" s="65"/>
      <c r="AC244" s="65" t="str">
        <f>IFERROR(__xludf.DUMMYFUNCTION("""COMPUTED_VALUE"""),"FILTRO DE DRENAJE")</f>
        <v>FILTRO DE DRENAJE</v>
      </c>
      <c r="AD244" s="65"/>
      <c r="AE244" s="65">
        <f>IFERROR(__xludf.DUMMYFUNCTION("""COMPUTED_VALUE"""),3.0)</f>
        <v>3</v>
      </c>
      <c r="AF244" s="65"/>
      <c r="AG244" s="65"/>
      <c r="AH244" s="65"/>
      <c r="AI244" s="65"/>
      <c r="AJ244" s="65"/>
      <c r="AK244" s="65"/>
      <c r="AL244" s="65"/>
      <c r="AM244" s="65"/>
      <c r="AN244" s="65"/>
      <c r="AO244" s="65"/>
      <c r="AP244" s="65"/>
      <c r="AQ244" s="65"/>
      <c r="AR244" s="65"/>
      <c r="AS244" s="65"/>
      <c r="AT244" s="65" t="str">
        <f>IFERROR(__xludf.DUMMYFUNCTION("""COMPUTED_VALUE"""),"SHOPIFY")</f>
        <v>SHOPIFY</v>
      </c>
      <c r="AU244" s="65" t="str">
        <f>IFERROR(__xludf.DUMMYFUNCTION("""COMPUTED_VALUE"""),"IMPORTEX EC")</f>
        <v>IMPORTEX EC</v>
      </c>
      <c r="AV244" s="65" t="str">
        <f>IFERROR(__xludf.DUMMYFUNCTION("""COMPUTED_VALUE"""),"6566535954476")</f>
        <v>6566535954476</v>
      </c>
      <c r="AW244" s="65">
        <f>IFERROR(__xludf.DUMMYFUNCTION("""COMPUTED_VALUE"""),6613.0)</f>
        <v>6613</v>
      </c>
      <c r="AX244" s="65"/>
      <c r="AY244" s="65"/>
      <c r="AZ244" s="65"/>
      <c r="BA244" s="65"/>
    </row>
    <row r="245">
      <c r="A245" s="65" t="str">
        <f>IFERROR(__xludf.DUMMYFUNCTION("""COMPUTED_VALUE"""),"27-03-2026")</f>
        <v>27-03-2026</v>
      </c>
      <c r="B245" s="65">
        <f>IFERROR(__xludf.DUMMYFUNCTION("""COMPUTED_VALUE"""),4738367.0)</f>
        <v>4738367</v>
      </c>
      <c r="C245" s="65" t="str">
        <f>IFERROR(__xludf.DUMMYFUNCTION("""COMPUTED_VALUE"""),"20:01")</f>
        <v>20:01</v>
      </c>
      <c r="D245" s="65" t="str">
        <f>IFERROR(__xludf.DUMMYFUNCTION("""COMPUTED_VALUE"""),"08-03-2026")</f>
        <v>08-03-2026</v>
      </c>
      <c r="E245" s="65" t="str">
        <f>IFERROR(__xludf.DUMMYFUNCTION("""COMPUTED_VALUE"""),"Franklin Borbor Cochea")</f>
        <v>Franklin Borbor Cochea</v>
      </c>
      <c r="F245" s="65" t="str">
        <f>IFERROR(__xludf.DUMMYFUNCTION("""COMPUTED_VALUE"""),"985218748")</f>
        <v>985218748</v>
      </c>
      <c r="G245" s="65" t="str">
        <f>IFERROR(__xludf.DUMMYFUNCTION("""COMPUTED_VALUE"""),"frank.asociados77@gmail.com")</f>
        <v>frank.asociados77@gmail.com</v>
      </c>
      <c r="H245" s="65"/>
      <c r="I245" s="65"/>
      <c r="J245" s="65" t="str">
        <f>IFERROR(__xludf.DUMMYFUNCTION("""COMPUTED_VALUE"""),"D001398276")</f>
        <v>D001398276</v>
      </c>
      <c r="K245" s="65" t="str">
        <f>IFERROR(__xludf.DUMMYFUNCTION("""COMPUTED_VALUE"""),"ENTREGADO")</f>
        <v>ENTREGADO</v>
      </c>
      <c r="L245" s="65" t="str">
        <f>IFERROR(__xludf.DUMMYFUNCTION("""COMPUTED_VALUE"""),"CON RECAUDO")</f>
        <v>CON RECAUDO</v>
      </c>
      <c r="M245" s="65" t="str">
        <f>IFERROR(__xludf.DUMMYFUNCTION("""COMPUTED_VALUE"""),"SANTA ELENA")</f>
        <v>SANTA ELENA</v>
      </c>
      <c r="N245" s="65" t="str">
        <f>IFERROR(__xludf.DUMMYFUNCTION("""COMPUTED_VALUE"""),"SANTA ELENA")</f>
        <v>SANTA ELENA</v>
      </c>
      <c r="O245" s="65" t="str">
        <f>IFERROR(__xludf.DUMMYFUNCTION("""COMPUTED_VALUE"""),"CALLE ROCAFUERTE Y CALLE  AUGUSTO  FAJARDO ESPINOZA -")</f>
        <v>CALLE ROCAFUERTE Y CALLE  AUGUSTO  FAJARDO ESPINOZA -</v>
      </c>
      <c r="P245" s="65"/>
      <c r="Q245" s="65" t="str">
        <f>IFERROR(__xludf.DUMMYFUNCTION("""COMPUTED_VALUE"""),"GINTRACOM")</f>
        <v>GINTRACOM</v>
      </c>
      <c r="R245" s="65">
        <f>IFERROR(__xludf.DUMMYFUNCTION("""COMPUTED_VALUE"""),30.0)</f>
        <v>30</v>
      </c>
      <c r="S245" s="65">
        <f>IFERROR(__xludf.DUMMYFUNCTION("""COMPUTED_VALUE"""),16.79)</f>
        <v>16.79</v>
      </c>
      <c r="T245" s="65">
        <f>IFERROR(__xludf.DUMMYFUNCTION("""COMPUTED_VALUE"""),6.16)</f>
        <v>6.16</v>
      </c>
      <c r="U245" s="65">
        <f>IFERROR(__xludf.DUMMYFUNCTION("""COMPUTED_VALUE"""),0.0)</f>
        <v>0</v>
      </c>
      <c r="V245" s="65">
        <f>IFERROR(__xludf.DUMMYFUNCTION("""COMPUTED_VALUE"""),0.0)</f>
        <v>0</v>
      </c>
      <c r="W245" s="65">
        <f>IFERROR(__xludf.DUMMYFUNCTION("""COMPUTED_VALUE"""),0.0)</f>
        <v>0</v>
      </c>
      <c r="X245" s="65">
        <f>IFERROR(__xludf.DUMMYFUNCTION("""COMPUTED_VALUE"""),2.35)</f>
        <v>2.35</v>
      </c>
      <c r="Y245" s="65">
        <f>IFERROR(__xludf.DUMMYFUNCTION("""COMPUTED_VALUE"""),7.05)</f>
        <v>7.05</v>
      </c>
      <c r="Z245" s="65">
        <f>IFERROR(__xludf.DUMMYFUNCTION("""COMPUTED_VALUE"""),116679.0)</f>
        <v>116679</v>
      </c>
      <c r="AA245" s="65" t="str">
        <f>IFERROR(__xludf.DUMMYFUNCTION("""COMPUTED_VALUE"""),"AMC-2738")</f>
        <v>AMC-2738</v>
      </c>
      <c r="AB245" s="65"/>
      <c r="AC245" s="65" t="str">
        <f>IFERROR(__xludf.DUMMYFUNCTION("""COMPUTED_VALUE"""),"ESPONJA ANTILLUVIA DE PARABRISAS")</f>
        <v>ESPONJA ANTILLUVIA DE PARABRISAS</v>
      </c>
      <c r="AD245" s="65"/>
      <c r="AE245" s="65">
        <f>IFERROR(__xludf.DUMMYFUNCTION("""COMPUTED_VALUE"""),3.0)</f>
        <v>3</v>
      </c>
      <c r="AF245" s="65"/>
      <c r="AG245" s="65"/>
      <c r="AH245" s="65"/>
      <c r="AI245" s="65"/>
      <c r="AJ245" s="65"/>
      <c r="AK245" s="65"/>
      <c r="AL245" s="65"/>
      <c r="AM245" s="65"/>
      <c r="AN245" s="65" t="str">
        <f>IFERROR(__xludf.DUMMYFUNCTION("""COMPUTED_VALUE"""),"17:53")</f>
        <v>17:53</v>
      </c>
      <c r="AO245" s="65" t="str">
        <f>IFERROR(__xludf.DUMMYFUNCTION("""COMPUTED_VALUE"""),"12-03-2026")</f>
        <v>12-03-2026</v>
      </c>
      <c r="AP245" s="65" t="str">
        <f>IFERROR(__xludf.DUMMYFUNCTION("""COMPUTED_VALUE"""),"DESTINATARIO RE-PROGRAMA FECHA DE ENTREGA")</f>
        <v>DESTINATARIO RE-PROGRAMA FECHA DE ENTREGA</v>
      </c>
      <c r="AQ245" s="65" t="str">
        <f>IFERROR(__xludf.DUMMYFUNCTION("""COMPUTED_VALUE"""),"DESTINATARIO RE-PROGRAMA FECHA DE ENTREGA")</f>
        <v>DESTINATARIO RE-PROGRAMA FECHA DE ENTREGA</v>
      </c>
      <c r="AR245" s="65"/>
      <c r="AS245" s="65"/>
      <c r="AT245" s="65" t="str">
        <f>IFERROR(__xludf.DUMMYFUNCTION("""COMPUTED_VALUE"""),"SHOPIFY")</f>
        <v>SHOPIFY</v>
      </c>
      <c r="AU245" s="65" t="str">
        <f>IFERROR(__xludf.DUMMYFUNCTION("""COMPUTED_VALUE"""),"IMPORTEX EC")</f>
        <v>IMPORTEX EC</v>
      </c>
      <c r="AV245" s="65" t="str">
        <f>IFERROR(__xludf.DUMMYFUNCTION("""COMPUTED_VALUE"""),"6566316376108")</f>
        <v>6566316376108</v>
      </c>
      <c r="AW245" s="65">
        <f>IFERROR(__xludf.DUMMYFUNCTION("""COMPUTED_VALUE"""),6612.0)</f>
        <v>6612</v>
      </c>
      <c r="AX245" s="65"/>
      <c r="AY245" s="65" t="str">
        <f>IFERROR(__xludf.DUMMYFUNCTION("""COMPUTED_VALUE"""),"09/03/2026")</f>
        <v>09/03/2026</v>
      </c>
      <c r="AZ245" s="65"/>
      <c r="BA245" s="65"/>
    </row>
    <row r="246">
      <c r="A246" s="65" t="str">
        <f>IFERROR(__xludf.DUMMYFUNCTION("""COMPUTED_VALUE"""),"27-03-2026")</f>
        <v>27-03-2026</v>
      </c>
      <c r="B246" s="65">
        <f>IFERROR(__xludf.DUMMYFUNCTION("""COMPUTED_VALUE"""),4737547.0)</f>
        <v>4737547</v>
      </c>
      <c r="C246" s="65" t="str">
        <f>IFERROR(__xludf.DUMMYFUNCTION("""COMPUTED_VALUE"""),"18:07")</f>
        <v>18:07</v>
      </c>
      <c r="D246" s="65" t="str">
        <f>IFERROR(__xludf.DUMMYFUNCTION("""COMPUTED_VALUE"""),"08-03-2026")</f>
        <v>08-03-2026</v>
      </c>
      <c r="E246" s="65" t="str">
        <f>IFERROR(__xludf.DUMMYFUNCTION("""COMPUTED_VALUE"""),"Lorena Buitron")</f>
        <v>Lorena Buitron</v>
      </c>
      <c r="F246" s="65" t="str">
        <f>IFERROR(__xludf.DUMMYFUNCTION("""COMPUTED_VALUE"""),"999780761")</f>
        <v>999780761</v>
      </c>
      <c r="G246" s="65" t="str">
        <f>IFERROR(__xludf.DUMMYFUNCTION("""COMPUTED_VALUE"""),"buitron.lorena@gmail.com")</f>
        <v>buitron.lorena@gmail.com</v>
      </c>
      <c r="H246" s="65"/>
      <c r="I246" s="65"/>
      <c r="J246" s="65" t="str">
        <f>IFERROR(__xludf.DUMMYFUNCTION("""COMPUTED_VALUE"""),"D001397702")</f>
        <v>D001397702</v>
      </c>
      <c r="K246" s="65" t="str">
        <f>IFERROR(__xludf.DUMMYFUNCTION("""COMPUTED_VALUE"""),"ENTREGADO")</f>
        <v>ENTREGADO</v>
      </c>
      <c r="L246" s="65" t="str">
        <f>IFERROR(__xludf.DUMMYFUNCTION("""COMPUTED_VALUE"""),"CON RECAUDO")</f>
        <v>CON RECAUDO</v>
      </c>
      <c r="M246" s="65" t="str">
        <f>IFERROR(__xludf.DUMMYFUNCTION("""COMPUTED_VALUE"""),"PICHINCHA")</f>
        <v>PICHINCHA</v>
      </c>
      <c r="N246" s="65" t="str">
        <f>IFERROR(__xludf.DUMMYFUNCTION("""COMPUTED_VALUE"""),"QUITO")</f>
        <v>QUITO</v>
      </c>
      <c r="O246" s="65" t="str">
        <f>IFERROR(__xludf.DUMMYFUNCTION("""COMPUTED_VALUE"""),"Juan de Dios Martinez N37-82 y Carlos Julio Arosemena Batan Alto -")</f>
        <v>Juan de Dios Martinez N37-82 y Carlos Julio Arosemena Batan Alto -</v>
      </c>
      <c r="P246" s="65"/>
      <c r="Q246" s="65" t="str">
        <f>IFERROR(__xludf.DUMMYFUNCTION("""COMPUTED_VALUE"""),"GINTRACOM")</f>
        <v>GINTRACOM</v>
      </c>
      <c r="R246" s="65">
        <f>IFERROR(__xludf.DUMMYFUNCTION("""COMPUTED_VALUE"""),25.0)</f>
        <v>25</v>
      </c>
      <c r="S246" s="65">
        <f>IFERROR(__xludf.DUMMYFUNCTION("""COMPUTED_VALUE"""),12.04)</f>
        <v>12.04</v>
      </c>
      <c r="T246" s="65">
        <f>IFERROR(__xludf.DUMMYFUNCTION("""COMPUTED_VALUE"""),5.96)</f>
        <v>5.96</v>
      </c>
      <c r="U246" s="65">
        <f>IFERROR(__xludf.DUMMYFUNCTION("""COMPUTED_VALUE"""),0.0)</f>
        <v>0</v>
      </c>
      <c r="V246" s="65">
        <f>IFERROR(__xludf.DUMMYFUNCTION("""COMPUTED_VALUE"""),0.0)</f>
        <v>0</v>
      </c>
      <c r="W246" s="65">
        <f>IFERROR(__xludf.DUMMYFUNCTION("""COMPUTED_VALUE"""),0.0)</f>
        <v>0</v>
      </c>
      <c r="X246" s="65">
        <f>IFERROR(__xludf.DUMMYFUNCTION("""COMPUTED_VALUE"""),3.5)</f>
        <v>3.5</v>
      </c>
      <c r="Y246" s="65">
        <f>IFERROR(__xludf.DUMMYFUNCTION("""COMPUTED_VALUE"""),7.0)</f>
        <v>7</v>
      </c>
      <c r="Z246" s="65">
        <f>IFERROR(__xludf.DUMMYFUNCTION("""COMPUTED_VALUE"""),87095.0)</f>
        <v>87095</v>
      </c>
      <c r="AA246" s="65" t="str">
        <f>IFERROR(__xludf.DUMMYFUNCTION("""COMPUTED_VALUE"""),"FILTRO DE DRENAJE")</f>
        <v>FILTRO DE DRENAJE</v>
      </c>
      <c r="AB246" s="65"/>
      <c r="AC246" s="65" t="str">
        <f>IFERROR(__xludf.DUMMYFUNCTION("""COMPUTED_VALUE"""),"FILTRO DE DRENAJE")</f>
        <v>FILTRO DE DRENAJE</v>
      </c>
      <c r="AD246" s="65"/>
      <c r="AE246" s="65">
        <f>IFERROR(__xludf.DUMMYFUNCTION("""COMPUTED_VALUE"""),2.0)</f>
        <v>2</v>
      </c>
      <c r="AF246" s="65" t="str">
        <f>IFERROR(__xludf.DUMMYFUNCTION("""COMPUTED_VALUE"""),"DESTINATARIO INDICA QUE YA RECIBIÓ EL PRODUCTO")</f>
        <v>DESTINATARIO INDICA QUE YA RECIBIÓ EL PRODUCTO</v>
      </c>
      <c r="AG246" s="65" t="str">
        <f>IFERROR(__xludf.DUMMYFUNCTION("""COMPUTED_VALUE"""),"SI")</f>
        <v>SI</v>
      </c>
      <c r="AH246" s="65" t="str">
        <f>IFERROR(__xludf.DUMMYFUNCTION("""COMPUTED_VALUE"""),"16:38")</f>
        <v>16:38</v>
      </c>
      <c r="AI246" s="65" t="str">
        <f>IFERROR(__xludf.DUMMYFUNCTION("""COMPUTED_VALUE"""),"09-03-2026")</f>
        <v>09-03-2026</v>
      </c>
      <c r="AJ246" s="65"/>
      <c r="AK246" s="65"/>
      <c r="AL246" s="65"/>
      <c r="AM246" s="65"/>
      <c r="AN246" s="65" t="str">
        <f>IFERROR(__xludf.DUMMYFUNCTION("""COMPUTED_VALUE"""),"16:07")</f>
        <v>16:07</v>
      </c>
      <c r="AO246" s="65" t="str">
        <f>IFERROR(__xludf.DUMMYFUNCTION("""COMPUTED_VALUE"""),"10-03-2026")</f>
        <v>10-03-2026</v>
      </c>
      <c r="AP246" s="65" t="str">
        <f>IFERROR(__xludf.DUMMYFUNCTION("""COMPUTED_VALUE"""),"ENTREGADA GINTRACOM")</f>
        <v>ENTREGADA GINTRACOM</v>
      </c>
      <c r="AQ246" s="65" t="str">
        <f>IFERROR(__xludf.DUMMYFUNCTION("""COMPUTED_VALUE"""),"ENTREGADA GINTRACOM")</f>
        <v>ENTREGADA GINTRACOM</v>
      </c>
      <c r="AR246" s="65"/>
      <c r="AS246" s="65"/>
      <c r="AT246" s="65" t="str">
        <f>IFERROR(__xludf.DUMMYFUNCTION("""COMPUTED_VALUE"""),"SHOPIFY")</f>
        <v>SHOPIFY</v>
      </c>
      <c r="AU246" s="65" t="str">
        <f>IFERROR(__xludf.DUMMYFUNCTION("""COMPUTED_VALUE"""),"IMPORTEX EC")</f>
        <v>IMPORTEX EC</v>
      </c>
      <c r="AV246" s="65" t="str">
        <f>IFERROR(__xludf.DUMMYFUNCTION("""COMPUTED_VALUE"""),"6566110887980")</f>
        <v>6566110887980</v>
      </c>
      <c r="AW246" s="65">
        <f>IFERROR(__xludf.DUMMYFUNCTION("""COMPUTED_VALUE"""),6610.0)</f>
        <v>6610</v>
      </c>
      <c r="AX246" s="65"/>
      <c r="AY246" s="65" t="str">
        <f>IFERROR(__xludf.DUMMYFUNCTION("""COMPUTED_VALUE"""),"09/03/2026")</f>
        <v>09/03/2026</v>
      </c>
      <c r="AZ246" s="65"/>
      <c r="BA246" s="65"/>
    </row>
    <row r="247">
      <c r="A247" s="65" t="str">
        <f>IFERROR(__xludf.DUMMYFUNCTION("""COMPUTED_VALUE"""),"27-03-2026")</f>
        <v>27-03-2026</v>
      </c>
      <c r="B247" s="65">
        <f>IFERROR(__xludf.DUMMYFUNCTION("""COMPUTED_VALUE"""),4737310.0)</f>
        <v>4737310</v>
      </c>
      <c r="C247" s="65" t="str">
        <f>IFERROR(__xludf.DUMMYFUNCTION("""COMPUTED_VALUE"""),"17:31")</f>
        <v>17:31</v>
      </c>
      <c r="D247" s="65" t="str">
        <f>IFERROR(__xludf.DUMMYFUNCTION("""COMPUTED_VALUE"""),"08-03-2026")</f>
        <v>08-03-2026</v>
      </c>
      <c r="E247" s="65" t="str">
        <f>IFERROR(__xludf.DUMMYFUNCTION("""COMPUTED_VALUE"""),"Victor Patiño")</f>
        <v>Victor Patiño</v>
      </c>
      <c r="F247" s="65" t="str">
        <f>IFERROR(__xludf.DUMMYFUNCTION("""COMPUTED_VALUE"""),"996265903")</f>
        <v>996265903</v>
      </c>
      <c r="G247" s="65" t="str">
        <f>IFERROR(__xludf.DUMMYFUNCTION("""COMPUTED_VALUE"""),"teacher8023@gmail.com")</f>
        <v>teacher8023@gmail.com</v>
      </c>
      <c r="H247" s="65"/>
      <c r="I247" s="65"/>
      <c r="J247" s="65" t="str">
        <f>IFERROR(__xludf.DUMMYFUNCTION("""COMPUTED_VALUE"""),"D001403946")</f>
        <v>D001403946</v>
      </c>
      <c r="K247" s="65" t="str">
        <f>IFERROR(__xludf.DUMMYFUNCTION("""COMPUTED_VALUE"""),"ENTREGADO")</f>
        <v>ENTREGADO</v>
      </c>
      <c r="L247" s="65" t="str">
        <f>IFERROR(__xludf.DUMMYFUNCTION("""COMPUTED_VALUE"""),"CON RECAUDO")</f>
        <v>CON RECAUDO</v>
      </c>
      <c r="M247" s="65" t="str">
        <f>IFERROR(__xludf.DUMMYFUNCTION("""COMPUTED_VALUE"""),"AZUAY")</f>
        <v>AZUAY</v>
      </c>
      <c r="N247" s="65" t="str">
        <f>IFERROR(__xludf.DUMMYFUNCTION("""COMPUTED_VALUE"""),"CUENCA")</f>
        <v>CUENCA</v>
      </c>
      <c r="O247" s="65" t="str">
        <f>IFERROR(__xludf.DUMMYFUNCTION("""COMPUTED_VALUE"""),"Av.5 de Febrero y Escultor Frente a Cooperco Cuenca Sinincay")</f>
        <v>Av.5 de Febrero y Escultor Frente a Cooperco Cuenca Sinincay</v>
      </c>
      <c r="P247" s="65"/>
      <c r="Q247" s="65" t="str">
        <f>IFERROR(__xludf.DUMMYFUNCTION("""COMPUTED_VALUE"""),"GINTRACOM")</f>
        <v>GINTRACOM</v>
      </c>
      <c r="R247" s="65">
        <f>IFERROR(__xludf.DUMMYFUNCTION("""COMPUTED_VALUE"""),22.0)</f>
        <v>22</v>
      </c>
      <c r="S247" s="65">
        <f>IFERROR(__xludf.DUMMYFUNCTION("""COMPUTED_VALUE"""),6.16)</f>
        <v>6.16</v>
      </c>
      <c r="T247" s="65">
        <f>IFERROR(__xludf.DUMMYFUNCTION("""COMPUTED_VALUE"""),5.84)</f>
        <v>5.84</v>
      </c>
      <c r="U247" s="65">
        <f>IFERROR(__xludf.DUMMYFUNCTION("""COMPUTED_VALUE"""),0.0)</f>
        <v>0</v>
      </c>
      <c r="V247" s="65">
        <f>IFERROR(__xludf.DUMMYFUNCTION("""COMPUTED_VALUE"""),0.0)</f>
        <v>0</v>
      </c>
      <c r="W247" s="65">
        <f>IFERROR(__xludf.DUMMYFUNCTION("""COMPUTED_VALUE"""),0.0)</f>
        <v>0</v>
      </c>
      <c r="X247" s="65">
        <f>IFERROR(__xludf.DUMMYFUNCTION("""COMPUTED_VALUE"""),5.0)</f>
        <v>5</v>
      </c>
      <c r="Y247" s="65">
        <f>IFERROR(__xludf.DUMMYFUNCTION("""COMPUTED_VALUE"""),10.0)</f>
        <v>10</v>
      </c>
      <c r="Z247" s="65">
        <f>IFERROR(__xludf.DUMMYFUNCTION("""COMPUTED_VALUE"""),130492.0)</f>
        <v>130492</v>
      </c>
      <c r="AA247" s="65" t="str">
        <f>IFERROR(__xludf.DUMMYFUNCTION("""COMPUTED_VALUE"""),"IMX-00006")</f>
        <v>IMX-00006</v>
      </c>
      <c r="AB247" s="65"/>
      <c r="AC247" s="65" t="str">
        <f>IFERROR(__xludf.DUMMYFUNCTION("""COMPUTED_VALUE"""),"Receptor Bluetooth")</f>
        <v>Receptor Bluetooth</v>
      </c>
      <c r="AD247" s="65"/>
      <c r="AE247" s="65">
        <f>IFERROR(__xludf.DUMMYFUNCTION("""COMPUTED_VALUE"""),2.0)</f>
        <v>2</v>
      </c>
      <c r="AF247" s="65"/>
      <c r="AG247" s="65"/>
      <c r="AH247" s="65"/>
      <c r="AI247" s="65"/>
      <c r="AJ247" s="65"/>
      <c r="AK247" s="65"/>
      <c r="AL247" s="65"/>
      <c r="AM247" s="65"/>
      <c r="AN247" s="65" t="str">
        <f>IFERROR(__xludf.DUMMYFUNCTION("""COMPUTED_VALUE"""),"13:18")</f>
        <v>13:18</v>
      </c>
      <c r="AO247" s="65" t="str">
        <f>IFERROR(__xludf.DUMMYFUNCTION("""COMPUTED_VALUE"""),"12-03-2026")</f>
        <v>12-03-2026</v>
      </c>
      <c r="AP247" s="65" t="str">
        <f>IFERROR(__xludf.DUMMYFUNCTION("""COMPUTED_VALUE"""),"ENTREGADA GINTRACOM")</f>
        <v>ENTREGADA GINTRACOM</v>
      </c>
      <c r="AQ247" s="65" t="str">
        <f>IFERROR(__xludf.DUMMYFUNCTION("""COMPUTED_VALUE"""),"ENTREGADA GINTRACOM")</f>
        <v>ENTREGADA GINTRACOM</v>
      </c>
      <c r="AR247" s="65"/>
      <c r="AS247" s="65"/>
      <c r="AT247" s="65" t="str">
        <f>IFERROR(__xludf.DUMMYFUNCTION("""COMPUTED_VALUE"""),"SHOPIFY")</f>
        <v>SHOPIFY</v>
      </c>
      <c r="AU247" s="65" t="str">
        <f>IFERROR(__xludf.DUMMYFUNCTION("""COMPUTED_VALUE"""),"IMPORTEX EC")</f>
        <v>IMPORTEX EC</v>
      </c>
      <c r="AV247" s="65" t="str">
        <f>IFERROR(__xludf.DUMMYFUNCTION("""COMPUTED_VALUE"""),"6566051315756")</f>
        <v>6566051315756</v>
      </c>
      <c r="AW247" s="65">
        <f>IFERROR(__xludf.DUMMYFUNCTION("""COMPUTED_VALUE"""),6609.0)</f>
        <v>6609</v>
      </c>
      <c r="AX247" s="65"/>
      <c r="AY247" s="65" t="str">
        <f>IFERROR(__xludf.DUMMYFUNCTION("""COMPUTED_VALUE"""),"11/03/2026")</f>
        <v>11/03/2026</v>
      </c>
      <c r="AZ247" s="65"/>
      <c r="BA247" s="65"/>
    </row>
    <row r="248">
      <c r="A248" s="65" t="str">
        <f>IFERROR(__xludf.DUMMYFUNCTION("""COMPUTED_VALUE"""),"27-03-2026")</f>
        <v>27-03-2026</v>
      </c>
      <c r="B248" s="65">
        <f>IFERROR(__xludf.DUMMYFUNCTION("""COMPUTED_VALUE"""),4736916.0)</f>
        <v>4736916</v>
      </c>
      <c r="C248" s="65" t="str">
        <f>IFERROR(__xludf.DUMMYFUNCTION("""COMPUTED_VALUE"""),"16:22")</f>
        <v>16:22</v>
      </c>
      <c r="D248" s="65" t="str">
        <f>IFERROR(__xludf.DUMMYFUNCTION("""COMPUTED_VALUE"""),"08-03-2026")</f>
        <v>08-03-2026</v>
      </c>
      <c r="E248" s="65" t="str">
        <f>IFERROR(__xludf.DUMMYFUNCTION("""COMPUTED_VALUE"""),"Jusn Zambrano")</f>
        <v>Jusn Zambrano</v>
      </c>
      <c r="F248" s="65" t="str">
        <f>IFERROR(__xludf.DUMMYFUNCTION("""COMPUTED_VALUE"""),"996821392")</f>
        <v>996821392</v>
      </c>
      <c r="G248" s="65" t="str">
        <f>IFERROR(__xludf.DUMMYFUNCTION("""COMPUTED_VALUE"""),"jazs_e@hotmail.com")</f>
        <v>jazs_e@hotmail.com</v>
      </c>
      <c r="H248" s="65"/>
      <c r="I248" s="65"/>
      <c r="J248" s="65"/>
      <c r="K248" s="65" t="str">
        <f>IFERROR(__xludf.DUMMYFUNCTION("""COMPUTED_VALUE"""),"PENDIENTE CONFIRMACION")</f>
        <v>PENDIENTE CONFIRMACION</v>
      </c>
      <c r="L248" s="65" t="str">
        <f>IFERROR(__xludf.DUMMYFUNCTION("""COMPUTED_VALUE"""),"CON RECAUDO")</f>
        <v>CON RECAUDO</v>
      </c>
      <c r="M248" s="65" t="str">
        <f>IFERROR(__xludf.DUMMYFUNCTION("""COMPUTED_VALUE"""),"PICHINCHA")</f>
        <v>PICHINCHA</v>
      </c>
      <c r="N248" s="65" t="str">
        <f>IFERROR(__xludf.DUMMYFUNCTION("""COMPUTED_VALUE"""),"QUITO")</f>
        <v>QUITO</v>
      </c>
      <c r="O248" s="65" t="str">
        <f>IFERROR(__xludf.DUMMYFUNCTION("""COMPUTED_VALUE"""),"Manuela saenz N2-392 conjunto Los tulipanes Cumbaya frente a la pizzeria la Briciola -")</f>
        <v>Manuela saenz N2-392 conjunto Los tulipanes Cumbaya frente a la pizzeria la Briciola -</v>
      </c>
      <c r="P248" s="65"/>
      <c r="Q248" s="65" t="str">
        <f>IFERROR(__xludf.DUMMYFUNCTION("""COMPUTED_VALUE"""),"GINTRACOM")</f>
        <v>GINTRACOM</v>
      </c>
      <c r="R248" s="65">
        <f>IFERROR(__xludf.DUMMYFUNCTION("""COMPUTED_VALUE"""),25.0)</f>
        <v>25</v>
      </c>
      <c r="S248" s="65"/>
      <c r="T248" s="65">
        <f>IFERROR(__xludf.DUMMYFUNCTION("""COMPUTED_VALUE"""),5.96)</f>
        <v>5.96</v>
      </c>
      <c r="U248" s="65">
        <f>IFERROR(__xludf.DUMMYFUNCTION("""COMPUTED_VALUE"""),0.0)</f>
        <v>0</v>
      </c>
      <c r="V248" s="65">
        <f>IFERROR(__xludf.DUMMYFUNCTION("""COMPUTED_VALUE"""),0.0)</f>
        <v>0</v>
      </c>
      <c r="W248" s="65">
        <f>IFERROR(__xludf.DUMMYFUNCTION("""COMPUTED_VALUE"""),0.0)</f>
        <v>0</v>
      </c>
      <c r="X248" s="65">
        <f>IFERROR(__xludf.DUMMYFUNCTION("""COMPUTED_VALUE"""),3.5)</f>
        <v>3.5</v>
      </c>
      <c r="Y248" s="65">
        <f>IFERROR(__xludf.DUMMYFUNCTION("""COMPUTED_VALUE"""),7.0)</f>
        <v>7</v>
      </c>
      <c r="Z248" s="65">
        <f>IFERROR(__xludf.DUMMYFUNCTION("""COMPUTED_VALUE"""),87095.0)</f>
        <v>87095</v>
      </c>
      <c r="AA248" s="65" t="str">
        <f>IFERROR(__xludf.DUMMYFUNCTION("""COMPUTED_VALUE"""),"FILTRO DE DRENAJE")</f>
        <v>FILTRO DE DRENAJE</v>
      </c>
      <c r="AB248" s="65"/>
      <c r="AC248" s="65" t="str">
        <f>IFERROR(__xludf.DUMMYFUNCTION("""COMPUTED_VALUE"""),"FILTRO DE DRENAJE")</f>
        <v>FILTRO DE DRENAJE</v>
      </c>
      <c r="AD248" s="65"/>
      <c r="AE248" s="65">
        <f>IFERROR(__xludf.DUMMYFUNCTION("""COMPUTED_VALUE"""),2.0)</f>
        <v>2</v>
      </c>
      <c r="AF248" s="65"/>
      <c r="AG248" s="65"/>
      <c r="AH248" s="65"/>
      <c r="AI248" s="65"/>
      <c r="AJ248" s="65"/>
      <c r="AK248" s="65"/>
      <c r="AL248" s="65"/>
      <c r="AM248" s="65"/>
      <c r="AN248" s="65"/>
      <c r="AO248" s="65"/>
      <c r="AP248" s="65"/>
      <c r="AQ248" s="65"/>
      <c r="AR248" s="65"/>
      <c r="AS248" s="65"/>
      <c r="AT248" s="65" t="str">
        <f>IFERROR(__xludf.DUMMYFUNCTION("""COMPUTED_VALUE"""),"SHOPIFY")</f>
        <v>SHOPIFY</v>
      </c>
      <c r="AU248" s="65" t="str">
        <f>IFERROR(__xludf.DUMMYFUNCTION("""COMPUTED_VALUE"""),"IMPORTEX EC")</f>
        <v>IMPORTEX EC</v>
      </c>
      <c r="AV248" s="65" t="str">
        <f>IFERROR(__xludf.DUMMYFUNCTION("""COMPUTED_VALUE"""),"6565930270764")</f>
        <v>6565930270764</v>
      </c>
      <c r="AW248" s="65">
        <f>IFERROR(__xludf.DUMMYFUNCTION("""COMPUTED_VALUE"""),6608.0)</f>
        <v>6608</v>
      </c>
      <c r="AX248" s="65"/>
      <c r="AY248" s="65"/>
      <c r="AZ248" s="65"/>
      <c r="BA248" s="65"/>
    </row>
    <row r="249">
      <c r="A249" s="65" t="str">
        <f>IFERROR(__xludf.DUMMYFUNCTION("""COMPUTED_VALUE"""),"27-03-2026")</f>
        <v>27-03-2026</v>
      </c>
      <c r="B249" s="65">
        <f>IFERROR(__xludf.DUMMYFUNCTION("""COMPUTED_VALUE"""),4736068.0)</f>
        <v>4736068</v>
      </c>
      <c r="C249" s="65" t="str">
        <f>IFERROR(__xludf.DUMMYFUNCTION("""COMPUTED_VALUE"""),"13:53")</f>
        <v>13:53</v>
      </c>
      <c r="D249" s="65" t="str">
        <f>IFERROR(__xludf.DUMMYFUNCTION("""COMPUTED_VALUE"""),"08-03-2026")</f>
        <v>08-03-2026</v>
      </c>
      <c r="E249" s="65" t="str">
        <f>IFERROR(__xludf.DUMMYFUNCTION("""COMPUTED_VALUE"""),"Manuel Quille Quille")</f>
        <v>Manuel Quille Quille</v>
      </c>
      <c r="F249" s="65" t="str">
        <f>IFERROR(__xludf.DUMMYFUNCTION("""COMPUTED_VALUE"""),"996858320")</f>
        <v>996858320</v>
      </c>
      <c r="G249" s="65" t="str">
        <f>IFERROR(__xludf.DUMMYFUNCTION("""COMPUTED_VALUE"""),"manuelquille1996@gmail.com")</f>
        <v>manuelquille1996@gmail.com</v>
      </c>
      <c r="H249" s="65"/>
      <c r="I249" s="65"/>
      <c r="J249" s="65" t="str">
        <f>IFERROR(__xludf.DUMMYFUNCTION("""COMPUTED_VALUE"""),"186646655")</f>
        <v>186646655</v>
      </c>
      <c r="K249" s="65" t="str">
        <f>IFERROR(__xludf.DUMMYFUNCTION("""COMPUTED_VALUE"""),"ENTREGADO")</f>
        <v>ENTREGADO</v>
      </c>
      <c r="L249" s="65" t="str">
        <f>IFERROR(__xludf.DUMMYFUNCTION("""COMPUTED_VALUE"""),"CON RECAUDO")</f>
        <v>CON RECAUDO</v>
      </c>
      <c r="M249" s="65" t="str">
        <f>IFERROR(__xludf.DUMMYFUNCTION("""COMPUTED_VALUE"""),"ZAMORA CHINCHIPE")</f>
        <v>ZAMORA CHINCHIPE</v>
      </c>
      <c r="N249" s="65" t="str">
        <f>IFERROR(__xludf.DUMMYFUNCTION("""COMPUTED_VALUE"""),"EL PANGUI")</f>
        <v>EL PANGUI</v>
      </c>
      <c r="O249" s="65" t="str">
        <f>IFERROR(__xludf.DUMMYFUNCTION("""COMPUTED_VALUE"""),"Retira en CS,  EL PANGUI_SAN DIEGO HERMINIO:  AV SAN DIEGO HERMINIO CARRION S/N AV QUITO A 2 CUADRAS")</f>
        <v>Retira en CS,  EL PANGUI_SAN DIEGO HERMINIO:  AV SAN DIEGO HERMINIO CARRION S/N AV QUITO A 2 CUADRAS</v>
      </c>
      <c r="P249" s="65"/>
      <c r="Q249" s="65" t="str">
        <f>IFERROR(__xludf.DUMMYFUNCTION("""COMPUTED_VALUE"""),"SERVIENTREGA")</f>
        <v>SERVIENTREGA</v>
      </c>
      <c r="R249" s="65">
        <f>IFERROR(__xludf.DUMMYFUNCTION("""COMPUTED_VALUE"""),30.0)</f>
        <v>30</v>
      </c>
      <c r="S249" s="65">
        <f>IFERROR(__xludf.DUMMYFUNCTION("""COMPUTED_VALUE"""),15.13)</f>
        <v>15.13</v>
      </c>
      <c r="T249" s="65">
        <f>IFERROR(__xludf.DUMMYFUNCTION("""COMPUTED_VALUE"""),7.82)</f>
        <v>7.82</v>
      </c>
      <c r="U249" s="65">
        <f>IFERROR(__xludf.DUMMYFUNCTION("""COMPUTED_VALUE"""),0.0)</f>
        <v>0</v>
      </c>
      <c r="V249" s="65">
        <f>IFERROR(__xludf.DUMMYFUNCTION("""COMPUTED_VALUE"""),0.0)</f>
        <v>0</v>
      </c>
      <c r="W249" s="65">
        <f>IFERROR(__xludf.DUMMYFUNCTION("""COMPUTED_VALUE"""),0.0)</f>
        <v>0</v>
      </c>
      <c r="X249" s="65">
        <f>IFERROR(__xludf.DUMMYFUNCTION("""COMPUTED_VALUE"""),2.35)</f>
        <v>2.35</v>
      </c>
      <c r="Y249" s="65">
        <f>IFERROR(__xludf.DUMMYFUNCTION("""COMPUTED_VALUE"""),7.05)</f>
        <v>7.05</v>
      </c>
      <c r="Z249" s="65">
        <f>IFERROR(__xludf.DUMMYFUNCTION("""COMPUTED_VALUE"""),116679.0)</f>
        <v>116679</v>
      </c>
      <c r="AA249" s="65" t="str">
        <f>IFERROR(__xludf.DUMMYFUNCTION("""COMPUTED_VALUE"""),"AMC-2738")</f>
        <v>AMC-2738</v>
      </c>
      <c r="AB249" s="65"/>
      <c r="AC249" s="65" t="str">
        <f>IFERROR(__xludf.DUMMYFUNCTION("""COMPUTED_VALUE"""),"ESPONJA ANTILLUVIA DE PARABRISAS")</f>
        <v>ESPONJA ANTILLUVIA DE PARABRISAS</v>
      </c>
      <c r="AD249" s="65"/>
      <c r="AE249" s="65">
        <f>IFERROR(__xludf.DUMMYFUNCTION("""COMPUTED_VALUE"""),3.0)</f>
        <v>3</v>
      </c>
      <c r="AF249" s="65"/>
      <c r="AG249" s="65"/>
      <c r="AH249" s="65"/>
      <c r="AI249" s="65"/>
      <c r="AJ249" s="65"/>
      <c r="AK249" s="65"/>
      <c r="AL249" s="65"/>
      <c r="AM249" s="65"/>
      <c r="AN249" s="65" t="str">
        <f>IFERROR(__xludf.DUMMYFUNCTION("""COMPUTED_VALUE"""),"14:43")</f>
        <v>14:43</v>
      </c>
      <c r="AO249" s="65" t="str">
        <f>IFERROR(__xludf.DUMMYFUNCTION("""COMPUTED_VALUE"""),"17-03-2026")</f>
        <v>17-03-2026</v>
      </c>
      <c r="AP249" s="65" t="str">
        <f>IFERROR(__xludf.DUMMYFUNCTION("""COMPUTED_VALUE"""),"REPORTADO ENTREGADO EN AGENCIA")</f>
        <v>REPORTADO ENTREGADO EN AGENCIA</v>
      </c>
      <c r="AQ249" s="65" t="str">
        <f>IFERROR(__xludf.DUMMYFUNCTION("""COMPUTED_VALUE"""),"MANUEL QUILLE")</f>
        <v>MANUEL QUILLE</v>
      </c>
      <c r="AR249" s="65"/>
      <c r="AS249" s="65"/>
      <c r="AT249" s="65" t="str">
        <f>IFERROR(__xludf.DUMMYFUNCTION("""COMPUTED_VALUE"""),"SHOPIFY")</f>
        <v>SHOPIFY</v>
      </c>
      <c r="AU249" s="65" t="str">
        <f>IFERROR(__xludf.DUMMYFUNCTION("""COMPUTED_VALUE"""),"IMPORTEX EC")</f>
        <v>IMPORTEX EC</v>
      </c>
      <c r="AV249" s="65" t="str">
        <f>IFERROR(__xludf.DUMMYFUNCTION("""COMPUTED_VALUE"""),"6565638242348")</f>
        <v>6565638242348</v>
      </c>
      <c r="AW249" s="65">
        <f>IFERROR(__xludf.DUMMYFUNCTION("""COMPUTED_VALUE"""),6607.0)</f>
        <v>6607</v>
      </c>
      <c r="AX249" s="65"/>
      <c r="AY249" s="65" t="str">
        <f>IFERROR(__xludf.DUMMYFUNCTION("""COMPUTED_VALUE"""),"11/03/2026")</f>
        <v>11/03/2026</v>
      </c>
      <c r="AZ249" s="65"/>
      <c r="BA249" s="65"/>
    </row>
    <row r="250">
      <c r="A250" s="65" t="str">
        <f>IFERROR(__xludf.DUMMYFUNCTION("""COMPUTED_VALUE"""),"27-03-2026")</f>
        <v>27-03-2026</v>
      </c>
      <c r="B250" s="65">
        <f>IFERROR(__xludf.DUMMYFUNCTION("""COMPUTED_VALUE"""),4735984.0)</f>
        <v>4735984</v>
      </c>
      <c r="C250" s="65" t="str">
        <f>IFERROR(__xludf.DUMMYFUNCTION("""COMPUTED_VALUE"""),"13:35")</f>
        <v>13:35</v>
      </c>
      <c r="D250" s="65" t="str">
        <f>IFERROR(__xludf.DUMMYFUNCTION("""COMPUTED_VALUE"""),"08-03-2026")</f>
        <v>08-03-2026</v>
      </c>
      <c r="E250" s="65" t="str">
        <f>IFERROR(__xludf.DUMMYFUNCTION("""COMPUTED_VALUE"""),"Nathaly Gomez")</f>
        <v>Nathaly Gomez</v>
      </c>
      <c r="F250" s="65" t="str">
        <f>IFERROR(__xludf.DUMMYFUNCTION("""COMPUTED_VALUE"""),"985044613")</f>
        <v>985044613</v>
      </c>
      <c r="G250" s="65" t="str">
        <f>IFERROR(__xludf.DUMMYFUNCTION("""COMPUTED_VALUE"""),"nmgr11@hotmail.com")</f>
        <v>nmgr11@hotmail.com</v>
      </c>
      <c r="H250" s="65"/>
      <c r="I250" s="65"/>
      <c r="J250" s="65" t="str">
        <f>IFERROR(__xludf.DUMMYFUNCTION("""COMPUTED_VALUE"""),"D001398279")</f>
        <v>D001398279</v>
      </c>
      <c r="K250" s="65" t="str">
        <f>IFERROR(__xludf.DUMMYFUNCTION("""COMPUTED_VALUE"""),"ENTREGADO")</f>
        <v>ENTREGADO</v>
      </c>
      <c r="L250" s="65" t="str">
        <f>IFERROR(__xludf.DUMMYFUNCTION("""COMPUTED_VALUE"""),"CON RECAUDO")</f>
        <v>CON RECAUDO</v>
      </c>
      <c r="M250" s="65" t="str">
        <f>IFERROR(__xludf.DUMMYFUNCTION("""COMPUTED_VALUE"""),"SANTA ELENA")</f>
        <v>SANTA ELENA</v>
      </c>
      <c r="N250" s="65" t="str">
        <f>IFERROR(__xludf.DUMMYFUNCTION("""COMPUTED_VALUE"""),"LA LIBERTAD")</f>
        <v>LA LIBERTAD</v>
      </c>
      <c r="O250" s="65" t="str">
        <f>IFERROR(__xludf.DUMMYFUNCTION("""COMPUTED_VALUE"""),"A. Eleodoro Solorzano entre calles 14 y 15 Junto a la Clínica Baste -")</f>
        <v>A. Eleodoro Solorzano entre calles 14 y 15 Junto a la Clínica Baste -</v>
      </c>
      <c r="P250" s="65"/>
      <c r="Q250" s="65" t="str">
        <f>IFERROR(__xludf.DUMMYFUNCTION("""COMPUTED_VALUE"""),"GINTRACOM")</f>
        <v>GINTRACOM</v>
      </c>
      <c r="R250" s="65">
        <f>IFERROR(__xludf.DUMMYFUNCTION("""COMPUTED_VALUE"""),25.0)</f>
        <v>25</v>
      </c>
      <c r="S250" s="65">
        <f>IFERROR(__xludf.DUMMYFUNCTION("""COMPUTED_VALUE"""),14.34)</f>
        <v>14.34</v>
      </c>
      <c r="T250" s="65">
        <f>IFERROR(__xludf.DUMMYFUNCTION("""COMPUTED_VALUE"""),5.96)</f>
        <v>5.96</v>
      </c>
      <c r="U250" s="65">
        <f>IFERROR(__xludf.DUMMYFUNCTION("""COMPUTED_VALUE"""),0.0)</f>
        <v>0</v>
      </c>
      <c r="V250" s="65">
        <f>IFERROR(__xludf.DUMMYFUNCTION("""COMPUTED_VALUE"""),0.0)</f>
        <v>0</v>
      </c>
      <c r="W250" s="65">
        <f>IFERROR(__xludf.DUMMYFUNCTION("""COMPUTED_VALUE"""),0.0)</f>
        <v>0</v>
      </c>
      <c r="X250" s="65">
        <f>IFERROR(__xludf.DUMMYFUNCTION("""COMPUTED_VALUE"""),2.35)</f>
        <v>2.35</v>
      </c>
      <c r="Y250" s="65">
        <f>IFERROR(__xludf.DUMMYFUNCTION("""COMPUTED_VALUE"""),4.7)</f>
        <v>4.7</v>
      </c>
      <c r="Z250" s="65">
        <f>IFERROR(__xludf.DUMMYFUNCTION("""COMPUTED_VALUE"""),116679.0)</f>
        <v>116679</v>
      </c>
      <c r="AA250" s="65" t="str">
        <f>IFERROR(__xludf.DUMMYFUNCTION("""COMPUTED_VALUE"""),"AMC-2738")</f>
        <v>AMC-2738</v>
      </c>
      <c r="AB250" s="65"/>
      <c r="AC250" s="65" t="str">
        <f>IFERROR(__xludf.DUMMYFUNCTION("""COMPUTED_VALUE"""),"ESPONJA ANTILLUVIA DE PARABRISAS")</f>
        <v>ESPONJA ANTILLUVIA DE PARABRISAS</v>
      </c>
      <c r="AD250" s="65"/>
      <c r="AE250" s="65">
        <f>IFERROR(__xludf.DUMMYFUNCTION("""COMPUTED_VALUE"""),2.0)</f>
        <v>2</v>
      </c>
      <c r="AF250" s="65"/>
      <c r="AG250" s="65"/>
      <c r="AH250" s="65"/>
      <c r="AI250" s="65"/>
      <c r="AJ250" s="65"/>
      <c r="AK250" s="65"/>
      <c r="AL250" s="65"/>
      <c r="AM250" s="65"/>
      <c r="AN250" s="65" t="str">
        <f>IFERROR(__xludf.DUMMYFUNCTION("""COMPUTED_VALUE"""),"13:06")</f>
        <v>13:06</v>
      </c>
      <c r="AO250" s="65" t="str">
        <f>IFERROR(__xludf.DUMMYFUNCTION("""COMPUTED_VALUE"""),"12-03-2026")</f>
        <v>12-03-2026</v>
      </c>
      <c r="AP250" s="65" t="str">
        <f>IFERROR(__xludf.DUMMYFUNCTION("""COMPUTED_VALUE"""),"ENTREGADA GINTRACOM")</f>
        <v>ENTREGADA GINTRACOM</v>
      </c>
      <c r="AQ250" s="65" t="str">
        <f>IFERROR(__xludf.DUMMYFUNCTION("""COMPUTED_VALUE"""),"ENTREGADA GINTRACOM")</f>
        <v>ENTREGADA GINTRACOM</v>
      </c>
      <c r="AR250" s="65"/>
      <c r="AS250" s="65"/>
      <c r="AT250" s="65" t="str">
        <f>IFERROR(__xludf.DUMMYFUNCTION("""COMPUTED_VALUE"""),"SHOPIFY")</f>
        <v>SHOPIFY</v>
      </c>
      <c r="AU250" s="65" t="str">
        <f>IFERROR(__xludf.DUMMYFUNCTION("""COMPUTED_VALUE"""),"IMPORTEX EC")</f>
        <v>IMPORTEX EC</v>
      </c>
      <c r="AV250" s="65" t="str">
        <f>IFERROR(__xludf.DUMMYFUNCTION("""COMPUTED_VALUE"""),"6565606162476")</f>
        <v>6565606162476</v>
      </c>
      <c r="AW250" s="65">
        <f>IFERROR(__xludf.DUMMYFUNCTION("""COMPUTED_VALUE"""),6606.0)</f>
        <v>6606</v>
      </c>
      <c r="AX250" s="65"/>
      <c r="AY250" s="65" t="str">
        <f>IFERROR(__xludf.DUMMYFUNCTION("""COMPUTED_VALUE"""),"09/03/2026")</f>
        <v>09/03/2026</v>
      </c>
      <c r="AZ250" s="65"/>
      <c r="BA250" s="65"/>
    </row>
    <row r="251">
      <c r="A251" s="65" t="str">
        <f>IFERROR(__xludf.DUMMYFUNCTION("""COMPUTED_VALUE"""),"27-03-2026")</f>
        <v>27-03-2026</v>
      </c>
      <c r="B251" s="65">
        <f>IFERROR(__xludf.DUMMYFUNCTION("""COMPUTED_VALUE"""),4735578.0)</f>
        <v>4735578</v>
      </c>
      <c r="C251" s="65" t="str">
        <f>IFERROR(__xludf.DUMMYFUNCTION("""COMPUTED_VALUE"""),"12:33")</f>
        <v>12:33</v>
      </c>
      <c r="D251" s="65" t="str">
        <f>IFERROR(__xludf.DUMMYFUNCTION("""COMPUTED_VALUE"""),"08-03-2026")</f>
        <v>08-03-2026</v>
      </c>
      <c r="E251" s="65" t="str">
        <f>IFERROR(__xludf.DUMMYFUNCTION("""COMPUTED_VALUE"""),"García Narváez Fredy FredyGarcia")</f>
        <v>García Narváez Fredy FredyGarcia</v>
      </c>
      <c r="F251" s="65" t="str">
        <f>IFERROR(__xludf.DUMMYFUNCTION("""COMPUTED_VALUE"""),"992960208")</f>
        <v>992960208</v>
      </c>
      <c r="G251" s="65" t="str">
        <f>IFERROR(__xludf.DUMMYFUNCTION("""COMPUTED_VALUE"""),"fredygarcia.1957@gmail.com")</f>
        <v>fredygarcia.1957@gmail.com</v>
      </c>
      <c r="H251" s="65"/>
      <c r="I251" s="65"/>
      <c r="J251" s="65" t="str">
        <f>IFERROR(__xludf.DUMMYFUNCTION("""COMPUTED_VALUE"""),"D001404582")</f>
        <v>D001404582</v>
      </c>
      <c r="K251" s="65" t="str">
        <f>IFERROR(__xludf.DUMMYFUNCTION("""COMPUTED_VALUE"""),"DEVOLUCION")</f>
        <v>DEVOLUCION</v>
      </c>
      <c r="L251" s="65" t="str">
        <f>IFERROR(__xludf.DUMMYFUNCTION("""COMPUTED_VALUE"""),"CON RECAUDO")</f>
        <v>CON RECAUDO</v>
      </c>
      <c r="M251" s="65" t="str">
        <f>IFERROR(__xludf.DUMMYFUNCTION("""COMPUTED_VALUE"""),"IMBABURA")</f>
        <v>IMBABURA</v>
      </c>
      <c r="N251" s="65" t="str">
        <f>IFERROR(__xludf.DUMMYFUNCTION("""COMPUTED_VALUE"""),"OTAVALO")</f>
        <v>OTAVALO</v>
      </c>
      <c r="O251" s="65" t="str">
        <f>IFERROR(__xludf.DUMMYFUNCTION("""COMPUTED_VALUE"""),"Petrona Cortez y Juan Rojas Casa 14 Manzana 7 - Otavalo")</f>
        <v>Petrona Cortez y Juan Rojas Casa 14 Manzana 7 - Otavalo</v>
      </c>
      <c r="P251" s="65"/>
      <c r="Q251" s="65" t="str">
        <f>IFERROR(__xludf.DUMMYFUNCTION("""COMPUTED_VALUE"""),"GINTRACOM")</f>
        <v>GINTRACOM</v>
      </c>
      <c r="R251" s="65">
        <f>IFERROR(__xludf.DUMMYFUNCTION("""COMPUTED_VALUE"""),30.0)</f>
        <v>30</v>
      </c>
      <c r="S251" s="65"/>
      <c r="T251" s="65">
        <f>IFERROR(__xludf.DUMMYFUNCTION("""COMPUTED_VALUE"""),6.16)</f>
        <v>6.16</v>
      </c>
      <c r="U251" s="65">
        <f>IFERROR(__xludf.DUMMYFUNCTION("""COMPUTED_VALUE"""),0.0)</f>
        <v>0</v>
      </c>
      <c r="V251" s="65">
        <f>IFERROR(__xludf.DUMMYFUNCTION("""COMPUTED_VALUE"""),0.0)</f>
        <v>0</v>
      </c>
      <c r="W251" s="65">
        <f>IFERROR(__xludf.DUMMYFUNCTION("""COMPUTED_VALUE"""),0.0)</f>
        <v>0</v>
      </c>
      <c r="X251" s="65">
        <f>IFERROR(__xludf.DUMMYFUNCTION("""COMPUTED_VALUE"""),2.35)</f>
        <v>2.35</v>
      </c>
      <c r="Y251" s="65">
        <f>IFERROR(__xludf.DUMMYFUNCTION("""COMPUTED_VALUE"""),7.05)</f>
        <v>7.05</v>
      </c>
      <c r="Z251" s="65">
        <f>IFERROR(__xludf.DUMMYFUNCTION("""COMPUTED_VALUE"""),116679.0)</f>
        <v>116679</v>
      </c>
      <c r="AA251" s="65" t="str">
        <f>IFERROR(__xludf.DUMMYFUNCTION("""COMPUTED_VALUE"""),"AMC-2738")</f>
        <v>AMC-2738</v>
      </c>
      <c r="AB251" s="65"/>
      <c r="AC251" s="65" t="str">
        <f>IFERROR(__xludf.DUMMYFUNCTION("""COMPUTED_VALUE"""),"ESPONJA ANTILLUVIA DE PARABRISAS")</f>
        <v>ESPONJA ANTILLUVIA DE PARABRISAS</v>
      </c>
      <c r="AD251" s="65"/>
      <c r="AE251" s="65">
        <f>IFERROR(__xludf.DUMMYFUNCTION("""COMPUTED_VALUE"""),3.0)</f>
        <v>3</v>
      </c>
      <c r="AF251" s="65" t="str">
        <f>IFERROR(__xludf.DUMMYFUNCTION("""COMPUTED_VALUE"""),"DESTINATARIO NO CONTESTA LLAMADAS NI WHATSAPP")</f>
        <v>DESTINATARIO NO CONTESTA LLAMADAS NI WHATSAPP</v>
      </c>
      <c r="AG251" s="65" t="str">
        <f>IFERROR(__xludf.DUMMYFUNCTION("""COMPUTED_VALUE"""),"NO")</f>
        <v>NO</v>
      </c>
      <c r="AH251" s="65" t="str">
        <f>IFERROR(__xludf.DUMMYFUNCTION("""COMPUTED_VALUE"""),"16:25")</f>
        <v>16:25</v>
      </c>
      <c r="AI251" s="65" t="str">
        <f>IFERROR(__xludf.DUMMYFUNCTION("""COMPUTED_VALUE"""),"20-03-2026")</f>
        <v>20-03-2026</v>
      </c>
      <c r="AJ251" s="65"/>
      <c r="AK251" s="65"/>
      <c r="AL251" s="65"/>
      <c r="AM251" s="65"/>
      <c r="AN251" s="65" t="str">
        <f>IFERROR(__xludf.DUMMYFUNCTION("""COMPUTED_VALUE"""),"03:03")</f>
        <v>03:03</v>
      </c>
      <c r="AO251" s="65" t="str">
        <f>IFERROR(__xludf.DUMMYFUNCTION("""COMPUTED_VALUE"""),"23-03-2026")</f>
        <v>23-03-2026</v>
      </c>
      <c r="AP251" s="65" t="str">
        <f>IFERROR(__xludf.DUMMYFUNCTION("""COMPUTED_VALUE"""),"DEVOLUCIÓN")</f>
        <v>DEVOLUCIÓN</v>
      </c>
      <c r="AQ251" s="65" t="str">
        <f>IFERROR(__xludf.DUMMYFUNCTION("""COMPUTED_VALUE"""),"DEVOLUCIÓN")</f>
        <v>DEVOLUCIÓN</v>
      </c>
      <c r="AR251" s="65"/>
      <c r="AS251" s="65"/>
      <c r="AT251" s="65" t="str">
        <f>IFERROR(__xludf.DUMMYFUNCTION("""COMPUTED_VALUE"""),"SHOPIFY")</f>
        <v>SHOPIFY</v>
      </c>
      <c r="AU251" s="65" t="str">
        <f>IFERROR(__xludf.DUMMYFUNCTION("""COMPUTED_VALUE"""),"IMPORTEX EC")</f>
        <v>IMPORTEX EC</v>
      </c>
      <c r="AV251" s="65" t="str">
        <f>IFERROR(__xludf.DUMMYFUNCTION("""COMPUTED_VALUE"""),"6565468373036")</f>
        <v>6565468373036</v>
      </c>
      <c r="AW251" s="65">
        <f>IFERROR(__xludf.DUMMYFUNCTION("""COMPUTED_VALUE"""),6605.0)</f>
        <v>6605</v>
      </c>
      <c r="AX251" s="65"/>
      <c r="AY251" s="65" t="str">
        <f>IFERROR(__xludf.DUMMYFUNCTION("""COMPUTED_VALUE"""),"11/03/2026")</f>
        <v>11/03/2026</v>
      </c>
      <c r="AZ251" s="65"/>
      <c r="BA251" s="65"/>
    </row>
    <row r="252">
      <c r="A252" s="65" t="str">
        <f>IFERROR(__xludf.DUMMYFUNCTION("""COMPUTED_VALUE"""),"27-03-2026")</f>
        <v>27-03-2026</v>
      </c>
      <c r="B252" s="65">
        <f>IFERROR(__xludf.DUMMYFUNCTION("""COMPUTED_VALUE"""),4735420.0)</f>
        <v>4735420</v>
      </c>
      <c r="C252" s="65" t="str">
        <f>IFERROR(__xludf.DUMMYFUNCTION("""COMPUTED_VALUE"""),"12:11")</f>
        <v>12:11</v>
      </c>
      <c r="D252" s="65" t="str">
        <f>IFERROR(__xludf.DUMMYFUNCTION("""COMPUTED_VALUE"""),"08-03-2026")</f>
        <v>08-03-2026</v>
      </c>
      <c r="E252" s="65" t="str">
        <f>IFERROR(__xludf.DUMMYFUNCTION("""COMPUTED_VALUE"""),"Cristhian Antonio Potes Pilalo")</f>
        <v>Cristhian Antonio Potes Pilalo</v>
      </c>
      <c r="F252" s="65" t="str">
        <f>IFERROR(__xludf.DUMMYFUNCTION("""COMPUTED_VALUE"""),"990543185")</f>
        <v>990543185</v>
      </c>
      <c r="G252" s="65" t="str">
        <f>IFERROR(__xludf.DUMMYFUNCTION("""COMPUTED_VALUE"""),"cristhianpotes614@gmail.com")</f>
        <v>cristhianpotes614@gmail.com</v>
      </c>
      <c r="H252" s="65"/>
      <c r="I252" s="65"/>
      <c r="J252" s="65" t="str">
        <f>IFERROR(__xludf.DUMMYFUNCTION("""COMPUTED_VALUE"""),"D001398280")</f>
        <v>D001398280</v>
      </c>
      <c r="K252" s="65" t="str">
        <f>IFERROR(__xludf.DUMMYFUNCTION("""COMPUTED_VALUE"""),"DEVOLUCION")</f>
        <v>DEVOLUCION</v>
      </c>
      <c r="L252" s="65" t="str">
        <f>IFERROR(__xludf.DUMMYFUNCTION("""COMPUTED_VALUE"""),"CON RECAUDO")</f>
        <v>CON RECAUDO</v>
      </c>
      <c r="M252" s="65" t="str">
        <f>IFERROR(__xludf.DUMMYFUNCTION("""COMPUTED_VALUE"""),"GUAYAS")</f>
        <v>GUAYAS</v>
      </c>
      <c r="N252" s="65" t="str">
        <f>IFERROR(__xludf.DUMMYFUNCTION("""COMPUTED_VALUE"""),"NARANJAL")</f>
        <v>NARANJAL</v>
      </c>
      <c r="O252" s="65" t="str">
        <f>IFERROR(__xludf.DUMMYFUNCTION("""COMPUTED_VALUE"""),"Miraflores y calderon 12 de abril -")</f>
        <v>Miraflores y calderon 12 de abril -</v>
      </c>
      <c r="P252" s="65"/>
      <c r="Q252" s="65" t="str">
        <f>IFERROR(__xludf.DUMMYFUNCTION("""COMPUTED_VALUE"""),"GINTRACOM")</f>
        <v>GINTRACOM</v>
      </c>
      <c r="R252" s="65">
        <f>IFERROR(__xludf.DUMMYFUNCTION("""COMPUTED_VALUE"""),20.0)</f>
        <v>20</v>
      </c>
      <c r="S252" s="65"/>
      <c r="T252" s="65">
        <f>IFERROR(__xludf.DUMMYFUNCTION("""COMPUTED_VALUE"""),5.76)</f>
        <v>5.76</v>
      </c>
      <c r="U252" s="65">
        <f>IFERROR(__xludf.DUMMYFUNCTION("""COMPUTED_VALUE"""),0.0)</f>
        <v>0</v>
      </c>
      <c r="V252" s="65">
        <f>IFERROR(__xludf.DUMMYFUNCTION("""COMPUTED_VALUE"""),0.0)</f>
        <v>0</v>
      </c>
      <c r="W252" s="65">
        <f>IFERROR(__xludf.DUMMYFUNCTION("""COMPUTED_VALUE"""),0.0)</f>
        <v>0</v>
      </c>
      <c r="X252" s="65">
        <f>IFERROR(__xludf.DUMMYFUNCTION("""COMPUTED_VALUE"""),2.35)</f>
        <v>2.35</v>
      </c>
      <c r="Y252" s="65">
        <f>IFERROR(__xludf.DUMMYFUNCTION("""COMPUTED_VALUE"""),2.35)</f>
        <v>2.35</v>
      </c>
      <c r="Z252" s="65">
        <f>IFERROR(__xludf.DUMMYFUNCTION("""COMPUTED_VALUE"""),116679.0)</f>
        <v>116679</v>
      </c>
      <c r="AA252" s="65" t="str">
        <f>IFERROR(__xludf.DUMMYFUNCTION("""COMPUTED_VALUE"""),"AMC-2738")</f>
        <v>AMC-2738</v>
      </c>
      <c r="AB252" s="65"/>
      <c r="AC252" s="65" t="str">
        <f>IFERROR(__xludf.DUMMYFUNCTION("""COMPUTED_VALUE"""),"ESPONJA ANTILLUVIA DE PARABRISAS")</f>
        <v>ESPONJA ANTILLUVIA DE PARABRISAS</v>
      </c>
      <c r="AD252" s="65"/>
      <c r="AE252" s="65">
        <f>IFERROR(__xludf.DUMMYFUNCTION("""COMPUTED_VALUE"""),1.0)</f>
        <v>1</v>
      </c>
      <c r="AF252" s="65" t="str">
        <f>IFERROR(__xludf.DUMMYFUNCTION("""COMPUTED_VALUE"""),"DESTINATARIO NO CONTESTA LLAMADAS NI WHATSAPP")</f>
        <v>DESTINATARIO NO CONTESTA LLAMADAS NI WHATSAPP</v>
      </c>
      <c r="AG252" s="65" t="str">
        <f>IFERROR(__xludf.DUMMYFUNCTION("""COMPUTED_VALUE"""),"NO")</f>
        <v>NO</v>
      </c>
      <c r="AH252" s="65" t="str">
        <f>IFERROR(__xludf.DUMMYFUNCTION("""COMPUTED_VALUE"""),"09:00")</f>
        <v>09:00</v>
      </c>
      <c r="AI252" s="65" t="str">
        <f>IFERROR(__xludf.DUMMYFUNCTION("""COMPUTED_VALUE"""),"20-03-2026")</f>
        <v>20-03-2026</v>
      </c>
      <c r="AJ252" s="65"/>
      <c r="AK252" s="65"/>
      <c r="AL252" s="65"/>
      <c r="AM252" s="65"/>
      <c r="AN252" s="65" t="str">
        <f>IFERROR(__xludf.DUMMYFUNCTION("""COMPUTED_VALUE"""),"03:01")</f>
        <v>03:01</v>
      </c>
      <c r="AO252" s="65" t="str">
        <f>IFERROR(__xludf.DUMMYFUNCTION("""COMPUTED_VALUE"""),"22-03-2026")</f>
        <v>22-03-2026</v>
      </c>
      <c r="AP252" s="65" t="str">
        <f>IFERROR(__xludf.DUMMYFUNCTION("""COMPUTED_VALUE"""),"DEVOLUCIÓN")</f>
        <v>DEVOLUCIÓN</v>
      </c>
      <c r="AQ252" s="65" t="str">
        <f>IFERROR(__xludf.DUMMYFUNCTION("""COMPUTED_VALUE"""),"DEVOLUCIÓN")</f>
        <v>DEVOLUCIÓN</v>
      </c>
      <c r="AR252" s="65"/>
      <c r="AS252" s="65"/>
      <c r="AT252" s="65" t="str">
        <f>IFERROR(__xludf.DUMMYFUNCTION("""COMPUTED_VALUE"""),"SHOPIFY")</f>
        <v>SHOPIFY</v>
      </c>
      <c r="AU252" s="65" t="str">
        <f>IFERROR(__xludf.DUMMYFUNCTION("""COMPUTED_VALUE"""),"IMPORTEX EC")</f>
        <v>IMPORTEX EC</v>
      </c>
      <c r="AV252" s="65" t="str">
        <f>IFERROR(__xludf.DUMMYFUNCTION("""COMPUTED_VALUE"""),"6565420433452")</f>
        <v>6565420433452</v>
      </c>
      <c r="AW252" s="65">
        <f>IFERROR(__xludf.DUMMYFUNCTION("""COMPUTED_VALUE"""),6604.0)</f>
        <v>6604</v>
      </c>
      <c r="AX252" s="65"/>
      <c r="AY252" s="65" t="str">
        <f>IFERROR(__xludf.DUMMYFUNCTION("""COMPUTED_VALUE"""),"09/03/2026")</f>
        <v>09/03/2026</v>
      </c>
      <c r="AZ252" s="65"/>
      <c r="BA252" s="65"/>
    </row>
    <row r="253">
      <c r="A253" s="65" t="str">
        <f>IFERROR(__xludf.DUMMYFUNCTION("""COMPUTED_VALUE"""),"27-03-2026")</f>
        <v>27-03-2026</v>
      </c>
      <c r="B253" s="65">
        <f>IFERROR(__xludf.DUMMYFUNCTION("""COMPUTED_VALUE"""),4735258.0)</f>
        <v>4735258</v>
      </c>
      <c r="C253" s="65" t="str">
        <f>IFERROR(__xludf.DUMMYFUNCTION("""COMPUTED_VALUE"""),"11:47")</f>
        <v>11:47</v>
      </c>
      <c r="D253" s="65" t="str">
        <f>IFERROR(__xludf.DUMMYFUNCTION("""COMPUTED_VALUE"""),"08-03-2026")</f>
        <v>08-03-2026</v>
      </c>
      <c r="E253" s="65" t="str">
        <f>IFERROR(__xludf.DUMMYFUNCTION("""COMPUTED_VALUE"""),"Liborio Abdon Hurtado Cabeza")</f>
        <v>Liborio Abdon Hurtado Cabeza</v>
      </c>
      <c r="F253" s="65" t="str">
        <f>IFERROR(__xludf.DUMMYFUNCTION("""COMPUTED_VALUE"""),"995487171")</f>
        <v>995487171</v>
      </c>
      <c r="G253" s="65" t="str">
        <f>IFERROR(__xludf.DUMMYFUNCTION("""COMPUTED_VALUE"""),"libhurtcabz@gmail.com")</f>
        <v>libhurtcabz@gmail.com</v>
      </c>
      <c r="H253" s="65"/>
      <c r="I253" s="65"/>
      <c r="J253" s="65" t="str">
        <f>IFERROR(__xludf.DUMMYFUNCTION("""COMPUTED_VALUE"""),"D001398281")</f>
        <v>D001398281</v>
      </c>
      <c r="K253" s="65" t="str">
        <f>IFERROR(__xludf.DUMMYFUNCTION("""COMPUTED_VALUE"""),"ENTREGADO")</f>
        <v>ENTREGADO</v>
      </c>
      <c r="L253" s="65" t="str">
        <f>IFERROR(__xludf.DUMMYFUNCTION("""COMPUTED_VALUE"""),"CON RECAUDO")</f>
        <v>CON RECAUDO</v>
      </c>
      <c r="M253" s="65" t="str">
        <f>IFERROR(__xludf.DUMMYFUNCTION("""COMPUTED_VALUE"""),"GUAYAS")</f>
        <v>GUAYAS</v>
      </c>
      <c r="N253" s="65" t="str">
        <f>IFERROR(__xludf.DUMMYFUNCTION("""COMPUTED_VALUE"""),"DURAN")</f>
        <v>DURAN</v>
      </c>
      <c r="O253" s="65" t="str">
        <f>IFERROR(__xludf.DUMMYFUNCTION("""COMPUTED_VALUE"""),"Av tanaza y Ac semillas Duran zona industrial - REFERENCIA :  fábrica skreting")</f>
        <v>Av tanaza y Ac semillas Duran zona industrial - REFERENCIA :  fábrica skreting</v>
      </c>
      <c r="P253" s="65"/>
      <c r="Q253" s="65" t="str">
        <f>IFERROR(__xludf.DUMMYFUNCTION("""COMPUTED_VALUE"""),"GINTRACOM")</f>
        <v>GINTRACOM</v>
      </c>
      <c r="R253" s="65">
        <f>IFERROR(__xludf.DUMMYFUNCTION("""COMPUTED_VALUE"""),30.0)</f>
        <v>30</v>
      </c>
      <c r="S253" s="65">
        <f>IFERROR(__xludf.DUMMYFUNCTION("""COMPUTED_VALUE"""),16.79)</f>
        <v>16.79</v>
      </c>
      <c r="T253" s="65">
        <f>IFERROR(__xludf.DUMMYFUNCTION("""COMPUTED_VALUE"""),6.16)</f>
        <v>6.16</v>
      </c>
      <c r="U253" s="65">
        <f>IFERROR(__xludf.DUMMYFUNCTION("""COMPUTED_VALUE"""),0.0)</f>
        <v>0</v>
      </c>
      <c r="V253" s="65">
        <f>IFERROR(__xludf.DUMMYFUNCTION("""COMPUTED_VALUE"""),0.0)</f>
        <v>0</v>
      </c>
      <c r="W253" s="65">
        <f>IFERROR(__xludf.DUMMYFUNCTION("""COMPUTED_VALUE"""),0.0)</f>
        <v>0</v>
      </c>
      <c r="X253" s="65">
        <f>IFERROR(__xludf.DUMMYFUNCTION("""COMPUTED_VALUE"""),2.35)</f>
        <v>2.35</v>
      </c>
      <c r="Y253" s="65">
        <f>IFERROR(__xludf.DUMMYFUNCTION("""COMPUTED_VALUE"""),7.05)</f>
        <v>7.05</v>
      </c>
      <c r="Z253" s="65">
        <f>IFERROR(__xludf.DUMMYFUNCTION("""COMPUTED_VALUE"""),116679.0)</f>
        <v>116679</v>
      </c>
      <c r="AA253" s="65" t="str">
        <f>IFERROR(__xludf.DUMMYFUNCTION("""COMPUTED_VALUE"""),"AMC-2738")</f>
        <v>AMC-2738</v>
      </c>
      <c r="AB253" s="65"/>
      <c r="AC253" s="65" t="str">
        <f>IFERROR(__xludf.DUMMYFUNCTION("""COMPUTED_VALUE"""),"ESPONJA ANTILLUVIA DE PARABRISAS")</f>
        <v>ESPONJA ANTILLUVIA DE PARABRISAS</v>
      </c>
      <c r="AD253" s="65"/>
      <c r="AE253" s="65">
        <f>IFERROR(__xludf.DUMMYFUNCTION("""COMPUTED_VALUE"""),3.0)</f>
        <v>3</v>
      </c>
      <c r="AF253" s="65"/>
      <c r="AG253" s="65"/>
      <c r="AH253" s="65"/>
      <c r="AI253" s="65"/>
      <c r="AJ253" s="65"/>
      <c r="AK253" s="65"/>
      <c r="AL253" s="65"/>
      <c r="AM253" s="65"/>
      <c r="AN253" s="65" t="str">
        <f>IFERROR(__xludf.DUMMYFUNCTION("""COMPUTED_VALUE"""),"10:40")</f>
        <v>10:40</v>
      </c>
      <c r="AO253" s="65" t="str">
        <f>IFERROR(__xludf.DUMMYFUNCTION("""COMPUTED_VALUE"""),"17-03-2026")</f>
        <v>17-03-2026</v>
      </c>
      <c r="AP253" s="65" t="str">
        <f>IFERROR(__xludf.DUMMYFUNCTION("""COMPUTED_VALUE"""),"EN REPARTO")</f>
        <v>EN REPARTO</v>
      </c>
      <c r="AQ253" s="65" t="str">
        <f>IFERROR(__xludf.DUMMYFUNCTION("""COMPUTED_VALUE"""),"EN REPARTO")</f>
        <v>EN REPARTO</v>
      </c>
      <c r="AR253" s="65"/>
      <c r="AS253" s="65"/>
      <c r="AT253" s="65" t="str">
        <f>IFERROR(__xludf.DUMMYFUNCTION("""COMPUTED_VALUE"""),"SHOPIFY")</f>
        <v>SHOPIFY</v>
      </c>
      <c r="AU253" s="65" t="str">
        <f>IFERROR(__xludf.DUMMYFUNCTION("""COMPUTED_VALUE"""),"IMPORTEX EC")</f>
        <v>IMPORTEX EC</v>
      </c>
      <c r="AV253" s="65" t="str">
        <f>IFERROR(__xludf.DUMMYFUNCTION("""COMPUTED_VALUE"""),"6565367611436")</f>
        <v>6565367611436</v>
      </c>
      <c r="AW253" s="65">
        <f>IFERROR(__xludf.DUMMYFUNCTION("""COMPUTED_VALUE"""),6602.0)</f>
        <v>6602</v>
      </c>
      <c r="AX253" s="65"/>
      <c r="AY253" s="65" t="str">
        <f>IFERROR(__xludf.DUMMYFUNCTION("""COMPUTED_VALUE"""),"09/03/2026")</f>
        <v>09/03/2026</v>
      </c>
      <c r="AZ253" s="65"/>
      <c r="BA253" s="65"/>
    </row>
    <row r="254">
      <c r="A254" s="65" t="str">
        <f>IFERROR(__xludf.DUMMYFUNCTION("""COMPUTED_VALUE"""),"27-03-2026")</f>
        <v>27-03-2026</v>
      </c>
      <c r="B254" s="65">
        <f>IFERROR(__xludf.DUMMYFUNCTION("""COMPUTED_VALUE"""),4734863.0)</f>
        <v>4734863</v>
      </c>
      <c r="C254" s="65" t="str">
        <f>IFERROR(__xludf.DUMMYFUNCTION("""COMPUTED_VALUE"""),"10:46")</f>
        <v>10:46</v>
      </c>
      <c r="D254" s="65" t="str">
        <f>IFERROR(__xludf.DUMMYFUNCTION("""COMPUTED_VALUE"""),"08-03-2026")</f>
        <v>08-03-2026</v>
      </c>
      <c r="E254" s="65" t="str">
        <f>IFERROR(__xludf.DUMMYFUNCTION("""COMPUTED_VALUE"""),"Patricio Luciano Avila Avila0980937466")</f>
        <v>Patricio Luciano Avila Avila0980937466</v>
      </c>
      <c r="F254" s="65" t="str">
        <f>IFERROR(__xludf.DUMMYFUNCTION("""COMPUTED_VALUE"""),"980937466")</f>
        <v>980937466</v>
      </c>
      <c r="G254" s="65" t="str">
        <f>IFERROR(__xludf.DUMMYFUNCTION("""COMPUTED_VALUE"""),"chinoavilam@yahoo.com")</f>
        <v>chinoavilam@yahoo.com</v>
      </c>
      <c r="H254" s="65"/>
      <c r="I254" s="65"/>
      <c r="J254" s="65"/>
      <c r="K254" s="65" t="str">
        <f>IFERROR(__xludf.DUMMYFUNCTION("""COMPUTED_VALUE"""),"CANCELADO")</f>
        <v>CANCELADO</v>
      </c>
      <c r="L254" s="65" t="str">
        <f>IFERROR(__xludf.DUMMYFUNCTION("""COMPUTED_VALUE"""),"CON RECAUDO")</f>
        <v>CON RECAUDO</v>
      </c>
      <c r="M254" s="65" t="str">
        <f>IFERROR(__xludf.DUMMYFUNCTION("""COMPUTED_VALUE"""),"MANABI")</f>
        <v>MANABI</v>
      </c>
      <c r="N254" s="65" t="str">
        <f>IFERROR(__xludf.DUMMYFUNCTION("""COMPUTED_VALUE"""),"PORTOVIEJO")</f>
        <v>PORTOVIEJO</v>
      </c>
      <c r="O254" s="65" t="str">
        <f>IFERROR(__xludf.DUMMYFUNCTION("""COMPUTED_VALUE"""),"La acacias y nardo Y Villas de la 15 -")</f>
        <v>La acacias y nardo Y Villas de la 15 -</v>
      </c>
      <c r="P254" s="65"/>
      <c r="Q254" s="65" t="str">
        <f>IFERROR(__xludf.DUMMYFUNCTION("""COMPUTED_VALUE"""),"GINTRACOM")</f>
        <v>GINTRACOM</v>
      </c>
      <c r="R254" s="65">
        <f>IFERROR(__xludf.DUMMYFUNCTION("""COMPUTED_VALUE"""),20.0)</f>
        <v>20</v>
      </c>
      <c r="S254" s="65"/>
      <c r="T254" s="65">
        <f>IFERROR(__xludf.DUMMYFUNCTION("""COMPUTED_VALUE"""),5.76)</f>
        <v>5.76</v>
      </c>
      <c r="U254" s="65">
        <f>IFERROR(__xludf.DUMMYFUNCTION("""COMPUTED_VALUE"""),0.0)</f>
        <v>0</v>
      </c>
      <c r="V254" s="65">
        <f>IFERROR(__xludf.DUMMYFUNCTION("""COMPUTED_VALUE"""),0.0)</f>
        <v>0</v>
      </c>
      <c r="W254" s="65">
        <f>IFERROR(__xludf.DUMMYFUNCTION("""COMPUTED_VALUE"""),0.0)</f>
        <v>0</v>
      </c>
      <c r="X254" s="65">
        <f>IFERROR(__xludf.DUMMYFUNCTION("""COMPUTED_VALUE"""),2.35)</f>
        <v>2.35</v>
      </c>
      <c r="Y254" s="65">
        <f>IFERROR(__xludf.DUMMYFUNCTION("""COMPUTED_VALUE"""),2.35)</f>
        <v>2.35</v>
      </c>
      <c r="Z254" s="65">
        <f>IFERROR(__xludf.DUMMYFUNCTION("""COMPUTED_VALUE"""),116679.0)</f>
        <v>116679</v>
      </c>
      <c r="AA254" s="65" t="str">
        <f>IFERROR(__xludf.DUMMYFUNCTION("""COMPUTED_VALUE"""),"AMC-2738")</f>
        <v>AMC-2738</v>
      </c>
      <c r="AB254" s="65"/>
      <c r="AC254" s="65" t="str">
        <f>IFERROR(__xludf.DUMMYFUNCTION("""COMPUTED_VALUE"""),"ESPONJA ANTILLUVIA DE PARABRISAS")</f>
        <v>ESPONJA ANTILLUVIA DE PARABRISAS</v>
      </c>
      <c r="AD254" s="65"/>
      <c r="AE254" s="65">
        <f>IFERROR(__xludf.DUMMYFUNCTION("""COMPUTED_VALUE"""),1.0)</f>
        <v>1</v>
      </c>
      <c r="AF254" s="65"/>
      <c r="AG254" s="65"/>
      <c r="AH254" s="65"/>
      <c r="AI254" s="65"/>
      <c r="AJ254" s="65"/>
      <c r="AK254" s="65"/>
      <c r="AL254" s="65"/>
      <c r="AM254" s="65"/>
      <c r="AN254" s="65"/>
      <c r="AO254" s="65"/>
      <c r="AP254" s="65"/>
      <c r="AQ254" s="65"/>
      <c r="AR254" s="65"/>
      <c r="AS254" s="65"/>
      <c r="AT254" s="65" t="str">
        <f>IFERROR(__xludf.DUMMYFUNCTION("""COMPUTED_VALUE"""),"SHOPIFY")</f>
        <v>SHOPIFY</v>
      </c>
      <c r="AU254" s="65" t="str">
        <f>IFERROR(__xludf.DUMMYFUNCTION("""COMPUTED_VALUE"""),"IMPORTEX EC")</f>
        <v>IMPORTEX EC</v>
      </c>
      <c r="AV254" s="65" t="str">
        <f>IFERROR(__xludf.DUMMYFUNCTION("""COMPUTED_VALUE"""),"6565229396012")</f>
        <v>6565229396012</v>
      </c>
      <c r="AW254" s="65">
        <f>IFERROR(__xludf.DUMMYFUNCTION("""COMPUTED_VALUE"""),6601.0)</f>
        <v>6601</v>
      </c>
      <c r="AX254" s="65"/>
      <c r="AY254" s="65"/>
      <c r="AZ254" s="65"/>
      <c r="BA254" s="65"/>
    </row>
    <row r="255">
      <c r="A255" s="65" t="str">
        <f>IFERROR(__xludf.DUMMYFUNCTION("""COMPUTED_VALUE"""),"27-03-2026")</f>
        <v>27-03-2026</v>
      </c>
      <c r="B255" s="65">
        <f>IFERROR(__xludf.DUMMYFUNCTION("""COMPUTED_VALUE"""),4734768.0)</f>
        <v>4734768</v>
      </c>
      <c r="C255" s="65" t="str">
        <f>IFERROR(__xludf.DUMMYFUNCTION("""COMPUTED_VALUE"""),"10:31")</f>
        <v>10:31</v>
      </c>
      <c r="D255" s="65" t="str">
        <f>IFERROR(__xludf.DUMMYFUNCTION("""COMPUTED_VALUE"""),"08-03-2026")</f>
        <v>08-03-2026</v>
      </c>
      <c r="E255" s="65" t="str">
        <f>IFERROR(__xludf.DUMMYFUNCTION("""COMPUTED_VALUE"""),"Patricia Proaño")</f>
        <v>Patricia Proaño</v>
      </c>
      <c r="F255" s="65" t="str">
        <f>IFERROR(__xludf.DUMMYFUNCTION("""COMPUTED_VALUE"""),"983652733")</f>
        <v>983652733</v>
      </c>
      <c r="G255" s="65" t="str">
        <f>IFERROR(__xludf.DUMMYFUNCTION("""COMPUTED_VALUE"""),"patriciaproano66@hotmail.comcom")</f>
        <v>patriciaproano66@hotmail.comcom</v>
      </c>
      <c r="H255" s="65"/>
      <c r="I255" s="65"/>
      <c r="J255" s="65"/>
      <c r="K255" s="65" t="str">
        <f>IFERROR(__xludf.DUMMYFUNCTION("""COMPUTED_VALUE"""),"CANCELADO")</f>
        <v>CANCELADO</v>
      </c>
      <c r="L255" s="65" t="str">
        <f>IFERROR(__xludf.DUMMYFUNCTION("""COMPUTED_VALUE"""),"CON RECAUDO")</f>
        <v>CON RECAUDO</v>
      </c>
      <c r="M255" s="65" t="str">
        <f>IFERROR(__xludf.DUMMYFUNCTION("""COMPUTED_VALUE"""),"GUAYAS")</f>
        <v>GUAYAS</v>
      </c>
      <c r="N255" s="65" t="str">
        <f>IFERROR(__xludf.DUMMYFUNCTION("""COMPUTED_VALUE"""),"DURAN")</f>
        <v>DURAN</v>
      </c>
      <c r="O255" s="65" t="str">
        <f>IFERROR(__xludf.DUMMYFUNCTION("""COMPUTED_VALUE"""),"Av. Jaime nebot Combatientes dek 41 -")</f>
        <v>Av. Jaime nebot Combatientes dek 41 -</v>
      </c>
      <c r="P255" s="65"/>
      <c r="Q255" s="65" t="str">
        <f>IFERROR(__xludf.DUMMYFUNCTION("""COMPUTED_VALUE"""),"GINTRACOM")</f>
        <v>GINTRACOM</v>
      </c>
      <c r="R255" s="65">
        <f>IFERROR(__xludf.DUMMYFUNCTION("""COMPUTED_VALUE"""),25.0)</f>
        <v>25</v>
      </c>
      <c r="S255" s="65"/>
      <c r="T255" s="65">
        <f>IFERROR(__xludf.DUMMYFUNCTION("""COMPUTED_VALUE"""),5.38)</f>
        <v>5.38</v>
      </c>
      <c r="U255" s="65">
        <f>IFERROR(__xludf.DUMMYFUNCTION("""COMPUTED_VALUE"""),0.0)</f>
        <v>0</v>
      </c>
      <c r="V255" s="65">
        <f>IFERROR(__xludf.DUMMYFUNCTION("""COMPUTED_VALUE"""),0.0)</f>
        <v>0</v>
      </c>
      <c r="W255" s="65">
        <f>IFERROR(__xludf.DUMMYFUNCTION("""COMPUTED_VALUE"""),0.0)</f>
        <v>0</v>
      </c>
      <c r="X255" s="65">
        <f>IFERROR(__xludf.DUMMYFUNCTION("""COMPUTED_VALUE"""),3.5)</f>
        <v>3.5</v>
      </c>
      <c r="Y255" s="65">
        <f>IFERROR(__xludf.DUMMYFUNCTION("""COMPUTED_VALUE"""),7.0)</f>
        <v>7</v>
      </c>
      <c r="Z255" s="65">
        <f>IFERROR(__xludf.DUMMYFUNCTION("""COMPUTED_VALUE"""),87095.0)</f>
        <v>87095</v>
      </c>
      <c r="AA255" s="65" t="str">
        <f>IFERROR(__xludf.DUMMYFUNCTION("""COMPUTED_VALUE"""),"FILTRO DE DRENAJE")</f>
        <v>FILTRO DE DRENAJE</v>
      </c>
      <c r="AB255" s="65"/>
      <c r="AC255" s="65" t="str">
        <f>IFERROR(__xludf.DUMMYFUNCTION("""COMPUTED_VALUE"""),"FILTRO DE DRENAJE")</f>
        <v>FILTRO DE DRENAJE</v>
      </c>
      <c r="AD255" s="65"/>
      <c r="AE255" s="65">
        <f>IFERROR(__xludf.DUMMYFUNCTION("""COMPUTED_VALUE"""),2.0)</f>
        <v>2</v>
      </c>
      <c r="AF255" s="65"/>
      <c r="AG255" s="65"/>
      <c r="AH255" s="65"/>
      <c r="AI255" s="65"/>
      <c r="AJ255" s="65"/>
      <c r="AK255" s="65"/>
      <c r="AL255" s="65"/>
      <c r="AM255" s="65"/>
      <c r="AN255" s="65"/>
      <c r="AO255" s="65"/>
      <c r="AP255" s="65"/>
      <c r="AQ255" s="65"/>
      <c r="AR255" s="65"/>
      <c r="AS255" s="65"/>
      <c r="AT255" s="65" t="str">
        <f>IFERROR(__xludf.DUMMYFUNCTION("""COMPUTED_VALUE"""),"SHOPIFY")</f>
        <v>SHOPIFY</v>
      </c>
      <c r="AU255" s="65" t="str">
        <f>IFERROR(__xludf.DUMMYFUNCTION("""COMPUTED_VALUE"""),"IMPORTEX EC")</f>
        <v>IMPORTEX EC</v>
      </c>
      <c r="AV255" s="65" t="str">
        <f>IFERROR(__xludf.DUMMYFUNCTION("""COMPUTED_VALUE"""),"6562170994732")</f>
        <v>6562170994732</v>
      </c>
      <c r="AW255" s="65">
        <f>IFERROR(__xludf.DUMMYFUNCTION("""COMPUTED_VALUE"""),6559.0)</f>
        <v>6559</v>
      </c>
      <c r="AX255" s="65"/>
      <c r="AY255" s="65"/>
      <c r="AZ255" s="65"/>
      <c r="BA255" s="65"/>
    </row>
    <row r="256">
      <c r="A256" s="65" t="str">
        <f>IFERROR(__xludf.DUMMYFUNCTION("""COMPUTED_VALUE"""),"27-03-2026")</f>
        <v>27-03-2026</v>
      </c>
      <c r="B256" s="65">
        <f>IFERROR(__xludf.DUMMYFUNCTION("""COMPUTED_VALUE"""),4734635.0)</f>
        <v>4734635</v>
      </c>
      <c r="C256" s="65" t="str">
        <f>IFERROR(__xludf.DUMMYFUNCTION("""COMPUTED_VALUE"""),"10:14")</f>
        <v>10:14</v>
      </c>
      <c r="D256" s="65" t="str">
        <f>IFERROR(__xludf.DUMMYFUNCTION("""COMPUTED_VALUE"""),"08-03-2026")</f>
        <v>08-03-2026</v>
      </c>
      <c r="E256" s="65" t="str">
        <f>IFERROR(__xludf.DUMMYFUNCTION("""COMPUTED_VALUE"""),"Jeny Bustamante")</f>
        <v>Jeny Bustamante</v>
      </c>
      <c r="F256" s="65" t="str">
        <f>IFERROR(__xludf.DUMMYFUNCTION("""COMPUTED_VALUE"""),"984654150")</f>
        <v>984654150</v>
      </c>
      <c r="G256" s="65" t="str">
        <f>IFERROR(__xludf.DUMMYFUNCTION("""COMPUTED_VALUE"""),"jenmelbys@yahoo.es")</f>
        <v>jenmelbys@yahoo.es</v>
      </c>
      <c r="H256" s="65"/>
      <c r="I256" s="65"/>
      <c r="J256" s="65"/>
      <c r="K256" s="65" t="str">
        <f>IFERROR(__xludf.DUMMYFUNCTION("""COMPUTED_VALUE"""),"PENDIENTE CONFIRMACION")</f>
        <v>PENDIENTE CONFIRMACION</v>
      </c>
      <c r="L256" s="65" t="str">
        <f>IFERROR(__xludf.DUMMYFUNCTION("""COMPUTED_VALUE"""),"CON RECAUDO")</f>
        <v>CON RECAUDO</v>
      </c>
      <c r="M256" s="65" t="str">
        <f>IFERROR(__xludf.DUMMYFUNCTION("""COMPUTED_VALUE"""),"PICHINCHA")</f>
        <v>PICHINCHA</v>
      </c>
      <c r="N256" s="65" t="str">
        <f>IFERROR(__xludf.DUMMYFUNCTION("""COMPUTED_VALUE"""),"QUITO")</f>
        <v>QUITO</v>
      </c>
      <c r="O256" s="65" t="str">
        <f>IFERROR(__xludf.DUMMYFUNCTION("""COMPUTED_VALUE"""),"Perez Concha, hostal la estaci y AV Diego Vazquez de cepeda -")</f>
        <v>Perez Concha, hostal la estaci y AV Diego Vazquez de cepeda -</v>
      </c>
      <c r="P256" s="65"/>
      <c r="Q256" s="65" t="str">
        <f>IFERROR(__xludf.DUMMYFUNCTION("""COMPUTED_VALUE"""),"GINTRACOM")</f>
        <v>GINTRACOM</v>
      </c>
      <c r="R256" s="65">
        <f>IFERROR(__xludf.DUMMYFUNCTION("""COMPUTED_VALUE"""),25.0)</f>
        <v>25</v>
      </c>
      <c r="S256" s="65"/>
      <c r="T256" s="65">
        <f>IFERROR(__xludf.DUMMYFUNCTION("""COMPUTED_VALUE"""),4.35)</f>
        <v>4.35</v>
      </c>
      <c r="U256" s="65">
        <f>IFERROR(__xludf.DUMMYFUNCTION("""COMPUTED_VALUE"""),0.0)</f>
        <v>0</v>
      </c>
      <c r="V256" s="65">
        <f>IFERROR(__xludf.DUMMYFUNCTION("""COMPUTED_VALUE"""),0.0)</f>
        <v>0</v>
      </c>
      <c r="W256" s="65">
        <f>IFERROR(__xludf.DUMMYFUNCTION("""COMPUTED_VALUE"""),0.0)</f>
        <v>0</v>
      </c>
      <c r="X256" s="65">
        <f>IFERROR(__xludf.DUMMYFUNCTION("""COMPUTED_VALUE"""),2.35)</f>
        <v>2.35</v>
      </c>
      <c r="Y256" s="65">
        <f>IFERROR(__xludf.DUMMYFUNCTION("""COMPUTED_VALUE"""),4.7)</f>
        <v>4.7</v>
      </c>
      <c r="Z256" s="65">
        <f>IFERROR(__xludf.DUMMYFUNCTION("""COMPUTED_VALUE"""),116679.0)</f>
        <v>116679</v>
      </c>
      <c r="AA256" s="65" t="str">
        <f>IFERROR(__xludf.DUMMYFUNCTION("""COMPUTED_VALUE"""),"AMC-2738")</f>
        <v>AMC-2738</v>
      </c>
      <c r="AB256" s="65"/>
      <c r="AC256" s="65" t="str">
        <f>IFERROR(__xludf.DUMMYFUNCTION("""COMPUTED_VALUE"""),"ESPONJA ANTILLUVIA DE PARABRISAS")</f>
        <v>ESPONJA ANTILLUVIA DE PARABRISAS</v>
      </c>
      <c r="AD256" s="65"/>
      <c r="AE256" s="65">
        <f>IFERROR(__xludf.DUMMYFUNCTION("""COMPUTED_VALUE"""),2.0)</f>
        <v>2</v>
      </c>
      <c r="AF256" s="65"/>
      <c r="AG256" s="65"/>
      <c r="AH256" s="65"/>
      <c r="AI256" s="65"/>
      <c r="AJ256" s="65"/>
      <c r="AK256" s="65"/>
      <c r="AL256" s="65"/>
      <c r="AM256" s="65"/>
      <c r="AN256" s="65"/>
      <c r="AO256" s="65"/>
      <c r="AP256" s="65"/>
      <c r="AQ256" s="65"/>
      <c r="AR256" s="65"/>
      <c r="AS256" s="65"/>
      <c r="AT256" s="65" t="str">
        <f>IFERROR(__xludf.DUMMYFUNCTION("""COMPUTED_VALUE"""),"SHOPIFY")</f>
        <v>SHOPIFY</v>
      </c>
      <c r="AU256" s="65" t="str">
        <f>IFERROR(__xludf.DUMMYFUNCTION("""COMPUTED_VALUE"""),"IMPORTEX EC")</f>
        <v>IMPORTEX EC</v>
      </c>
      <c r="AV256" s="65" t="str">
        <f>IFERROR(__xludf.DUMMYFUNCTION("""COMPUTED_VALUE"""),"6565165334572")</f>
        <v>6565165334572</v>
      </c>
      <c r="AW256" s="65">
        <f>IFERROR(__xludf.DUMMYFUNCTION("""COMPUTED_VALUE"""),6600.0)</f>
        <v>6600</v>
      </c>
      <c r="AX256" s="65"/>
      <c r="AY256" s="65"/>
      <c r="AZ256" s="65"/>
      <c r="BA256" s="65"/>
    </row>
    <row r="257">
      <c r="A257" s="65" t="str">
        <f>IFERROR(__xludf.DUMMYFUNCTION("""COMPUTED_VALUE"""),"27-03-2026")</f>
        <v>27-03-2026</v>
      </c>
      <c r="B257" s="65">
        <f>IFERROR(__xludf.DUMMYFUNCTION("""COMPUTED_VALUE"""),4734202.0)</f>
        <v>4734202</v>
      </c>
      <c r="C257" s="65" t="str">
        <f>IFERROR(__xludf.DUMMYFUNCTION("""COMPUTED_VALUE"""),"09:02")</f>
        <v>09:02</v>
      </c>
      <c r="D257" s="65" t="str">
        <f>IFERROR(__xludf.DUMMYFUNCTION("""COMPUTED_VALUE"""),"08-03-2026")</f>
        <v>08-03-2026</v>
      </c>
      <c r="E257" s="65" t="str">
        <f>IFERROR(__xludf.DUMMYFUNCTION("""COMPUTED_VALUE"""),"Diego Mosquera Ayala")</f>
        <v>Diego Mosquera Ayala</v>
      </c>
      <c r="F257" s="65" t="str">
        <f>IFERROR(__xludf.DUMMYFUNCTION("""COMPUTED_VALUE"""),"984584570")</f>
        <v>984584570</v>
      </c>
      <c r="G257" s="65" t="str">
        <f>IFERROR(__xludf.DUMMYFUNCTION("""COMPUTED_VALUE"""),"diegoesteban9.84@gmail.com")</f>
        <v>diegoesteban9.84@gmail.com</v>
      </c>
      <c r="H257" s="65"/>
      <c r="I257" s="65"/>
      <c r="J257" s="65" t="str">
        <f>IFERROR(__xludf.DUMMYFUNCTION("""COMPUTED_VALUE"""),"D001398282")</f>
        <v>D001398282</v>
      </c>
      <c r="K257" s="65" t="str">
        <f>IFERROR(__xludf.DUMMYFUNCTION("""COMPUTED_VALUE"""),"DEVOLUCION")</f>
        <v>DEVOLUCION</v>
      </c>
      <c r="L257" s="65" t="str">
        <f>IFERROR(__xludf.DUMMYFUNCTION("""COMPUTED_VALUE"""),"CON RECAUDO")</f>
        <v>CON RECAUDO</v>
      </c>
      <c r="M257" s="65" t="str">
        <f>IFERROR(__xludf.DUMMYFUNCTION("""COMPUTED_VALUE"""),"PICHINCHA")</f>
        <v>PICHINCHA</v>
      </c>
      <c r="N257" s="65" t="str">
        <f>IFERROR(__xludf.DUMMYFUNCTION("""COMPUTED_VALUE"""),"CONOCOTO")</f>
        <v>CONOCOTO</v>
      </c>
      <c r="O257" s="65" t="str">
        <f>IFERROR(__xludf.DUMMYFUNCTION("""COMPUTED_VALUE"""),"Juan Montalvo Y Leonidas Plaza - conocoto")</f>
        <v>Juan Montalvo Y Leonidas Plaza - conocoto</v>
      </c>
      <c r="P257" s="65" t="str">
        <f>IFERROR(__xludf.DUMMYFUNCTION("""COMPUTED_VALUE"""),"ESPONJA ANTILLUVIA DE PARABRISAS: Default Title ***")</f>
        <v>ESPONJA ANTILLUVIA DE PARABRISAS: Default Title ***</v>
      </c>
      <c r="Q257" s="65" t="str">
        <f>IFERROR(__xludf.DUMMYFUNCTION("""COMPUTED_VALUE"""),"GINTRACOM")</f>
        <v>GINTRACOM</v>
      </c>
      <c r="R257" s="65">
        <f>IFERROR(__xludf.DUMMYFUNCTION("""COMPUTED_VALUE"""),20.0)</f>
        <v>20</v>
      </c>
      <c r="S257" s="65"/>
      <c r="T257" s="65">
        <f>IFERROR(__xludf.DUMMYFUNCTION("""COMPUTED_VALUE"""),4.72)</f>
        <v>4.72</v>
      </c>
      <c r="U257" s="65">
        <f>IFERROR(__xludf.DUMMYFUNCTION("""COMPUTED_VALUE"""),0.0)</f>
        <v>0</v>
      </c>
      <c r="V257" s="65">
        <f>IFERROR(__xludf.DUMMYFUNCTION("""COMPUTED_VALUE"""),0.0)</f>
        <v>0</v>
      </c>
      <c r="W257" s="65">
        <f>IFERROR(__xludf.DUMMYFUNCTION("""COMPUTED_VALUE"""),0.0)</f>
        <v>0</v>
      </c>
      <c r="X257" s="65">
        <f>IFERROR(__xludf.DUMMYFUNCTION("""COMPUTED_VALUE"""),2.35)</f>
        <v>2.35</v>
      </c>
      <c r="Y257" s="65">
        <f>IFERROR(__xludf.DUMMYFUNCTION("""COMPUTED_VALUE"""),2.35)</f>
        <v>2.35</v>
      </c>
      <c r="Z257" s="65">
        <f>IFERROR(__xludf.DUMMYFUNCTION("""COMPUTED_VALUE"""),116679.0)</f>
        <v>116679</v>
      </c>
      <c r="AA257" s="65" t="str">
        <f>IFERROR(__xludf.DUMMYFUNCTION("""COMPUTED_VALUE"""),"AMC-2738")</f>
        <v>AMC-2738</v>
      </c>
      <c r="AB257" s="65"/>
      <c r="AC257" s="65" t="str">
        <f>IFERROR(__xludf.DUMMYFUNCTION("""COMPUTED_VALUE"""),"ESPONJA ANTILLUVIA DE PARABRISAS")</f>
        <v>ESPONJA ANTILLUVIA DE PARABRISAS</v>
      </c>
      <c r="AD257" s="65"/>
      <c r="AE257" s="65">
        <f>IFERROR(__xludf.DUMMYFUNCTION("""COMPUTED_VALUE"""),1.0)</f>
        <v>1</v>
      </c>
      <c r="AF257" s="65" t="str">
        <f>IFERROR(__xludf.DUMMYFUNCTION("""COMPUTED_VALUE"""),"DESTINATARIO NO CONTESTA LLAMADAS NI WHATSAPP")</f>
        <v>DESTINATARIO NO CONTESTA LLAMADAS NI WHATSAPP</v>
      </c>
      <c r="AG257" s="65" t="str">
        <f>IFERROR(__xludf.DUMMYFUNCTION("""COMPUTED_VALUE"""),"SI")</f>
        <v>SI</v>
      </c>
      <c r="AH257" s="65" t="str">
        <f>IFERROR(__xludf.DUMMYFUNCTION("""COMPUTED_VALUE"""),"19:08")</f>
        <v>19:08</v>
      </c>
      <c r="AI257" s="65" t="str">
        <f>IFERROR(__xludf.DUMMYFUNCTION("""COMPUTED_VALUE"""),"11-03-2026")</f>
        <v>11-03-2026</v>
      </c>
      <c r="AJ257" s="65" t="str">
        <f>IFERROR(__xludf.DUMMYFUNCTION("""COMPUTED_VALUE"""),"Cliente solicita la entrega inmediata")</f>
        <v>Cliente solicita la entrega inmediata</v>
      </c>
      <c r="AK257" s="65" t="str">
        <f>IFERROR(__xludf.DUMMYFUNCTION("""COMPUTED_VALUE"""),"10:59")</f>
        <v>10:59</v>
      </c>
      <c r="AL257" s="65" t="str">
        <f>IFERROR(__xludf.DUMMYFUNCTION("""COMPUTED_VALUE"""),"12-03-2026")</f>
        <v>12-03-2026</v>
      </c>
      <c r="AM257" s="65"/>
      <c r="AN257" s="65" t="str">
        <f>IFERROR(__xludf.DUMMYFUNCTION("""COMPUTED_VALUE"""),"15:33")</f>
        <v>15:33</v>
      </c>
      <c r="AO257" s="65" t="str">
        <f>IFERROR(__xludf.DUMMYFUNCTION("""COMPUTED_VALUE"""),"26-03-2026")</f>
        <v>26-03-2026</v>
      </c>
      <c r="AP257" s="65" t="str">
        <f>IFERROR(__xludf.DUMMYFUNCTION("""COMPUTED_VALUE"""),"DEVOLUCIÓN ENTREGADA A ORIGEN")</f>
        <v>DEVOLUCIÓN ENTREGADA A ORIGEN</v>
      </c>
      <c r="AQ257" s="65" t="str">
        <f>IFERROR(__xludf.DUMMYFUNCTION("""COMPUTED_VALUE"""),"DEVOLUCIÓN ENTREGADA A ORIGEN")</f>
        <v>DEVOLUCIÓN ENTREGADA A ORIGEN</v>
      </c>
      <c r="AR257" s="65"/>
      <c r="AS257" s="65"/>
      <c r="AT257" s="65" t="str">
        <f>IFERROR(__xludf.DUMMYFUNCTION("""COMPUTED_VALUE"""),"SHOPIFY")</f>
        <v>SHOPIFY</v>
      </c>
      <c r="AU257" s="65" t="str">
        <f>IFERROR(__xludf.DUMMYFUNCTION("""COMPUTED_VALUE"""),"IMPORTEX EC")</f>
        <v>IMPORTEX EC</v>
      </c>
      <c r="AV257" s="65" t="str">
        <f>IFERROR(__xludf.DUMMYFUNCTION("""COMPUTED_VALUE"""),"6565060411436")</f>
        <v>6565060411436</v>
      </c>
      <c r="AW257" s="65">
        <f>IFERROR(__xludf.DUMMYFUNCTION("""COMPUTED_VALUE"""),6599.0)</f>
        <v>6599</v>
      </c>
      <c r="AX257" s="65"/>
      <c r="AY257" s="65" t="str">
        <f>IFERROR(__xludf.DUMMYFUNCTION("""COMPUTED_VALUE"""),"09/03/2026")</f>
        <v>09/03/2026</v>
      </c>
      <c r="AZ257" s="65"/>
      <c r="BA257" s="65"/>
    </row>
    <row r="258">
      <c r="A258" s="65" t="str">
        <f>IFERROR(__xludf.DUMMYFUNCTION("""COMPUTED_VALUE"""),"27-03-2026")</f>
        <v>27-03-2026</v>
      </c>
      <c r="B258" s="65">
        <f>IFERROR(__xludf.DUMMYFUNCTION("""COMPUTED_VALUE"""),4734047.0)</f>
        <v>4734047</v>
      </c>
      <c r="C258" s="65" t="str">
        <f>IFERROR(__xludf.DUMMYFUNCTION("""COMPUTED_VALUE"""),"08:36")</f>
        <v>08:36</v>
      </c>
      <c r="D258" s="65" t="str">
        <f>IFERROR(__xludf.DUMMYFUNCTION("""COMPUTED_VALUE"""),"08-03-2026")</f>
        <v>08-03-2026</v>
      </c>
      <c r="E258" s="65" t="str">
        <f>IFERROR(__xludf.DUMMYFUNCTION("""COMPUTED_VALUE"""),"Jorge Guevara")</f>
        <v>Jorge Guevara</v>
      </c>
      <c r="F258" s="65" t="str">
        <f>IFERROR(__xludf.DUMMYFUNCTION("""COMPUTED_VALUE"""),"994421785")</f>
        <v>994421785</v>
      </c>
      <c r="G258" s="65" t="str">
        <f>IFERROR(__xludf.DUMMYFUNCTION("""COMPUTED_VALUE"""),"vicguevara32@gmail.com")</f>
        <v>vicguevara32@gmail.com</v>
      </c>
      <c r="H258" s="65"/>
      <c r="I258" s="65"/>
      <c r="J258" s="65" t="str">
        <f>IFERROR(__xludf.DUMMYFUNCTION("""COMPUTED_VALUE"""),"D001404583")</f>
        <v>D001404583</v>
      </c>
      <c r="K258" s="65" t="str">
        <f>IFERROR(__xludf.DUMMYFUNCTION("""COMPUTED_VALUE"""),"ENTREGADO")</f>
        <v>ENTREGADO</v>
      </c>
      <c r="L258" s="65" t="str">
        <f>IFERROR(__xludf.DUMMYFUNCTION("""COMPUTED_VALUE"""),"CON RECAUDO")</f>
        <v>CON RECAUDO</v>
      </c>
      <c r="M258" s="65" t="str">
        <f>IFERROR(__xludf.DUMMYFUNCTION("""COMPUTED_VALUE"""),"GUAYAS")</f>
        <v>GUAYAS</v>
      </c>
      <c r="N258" s="65" t="str">
        <f>IFERROR(__xludf.DUMMYFUNCTION("""COMPUTED_VALUE"""),"MILAGRO")</f>
        <v>MILAGRO</v>
      </c>
      <c r="O258" s="65" t="str">
        <f>IFERROR(__xludf.DUMMYFUNCTION("""COMPUTED_VALUE"""),"Via Km26 Puente chimbo. -")</f>
        <v>Via Km26 Puente chimbo. -</v>
      </c>
      <c r="P258" s="65"/>
      <c r="Q258" s="65" t="str">
        <f>IFERROR(__xludf.DUMMYFUNCTION("""COMPUTED_VALUE"""),"GINTRACOM")</f>
        <v>GINTRACOM</v>
      </c>
      <c r="R258" s="65">
        <f>IFERROR(__xludf.DUMMYFUNCTION("""COMPUTED_VALUE"""),25.0)</f>
        <v>25</v>
      </c>
      <c r="S258" s="65">
        <f>IFERROR(__xludf.DUMMYFUNCTION("""COMPUTED_VALUE"""),14.34)</f>
        <v>14.34</v>
      </c>
      <c r="T258" s="65">
        <f>IFERROR(__xludf.DUMMYFUNCTION("""COMPUTED_VALUE"""),5.96)</f>
        <v>5.96</v>
      </c>
      <c r="U258" s="65">
        <f>IFERROR(__xludf.DUMMYFUNCTION("""COMPUTED_VALUE"""),0.0)</f>
        <v>0</v>
      </c>
      <c r="V258" s="65">
        <f>IFERROR(__xludf.DUMMYFUNCTION("""COMPUTED_VALUE"""),0.0)</f>
        <v>0</v>
      </c>
      <c r="W258" s="65">
        <f>IFERROR(__xludf.DUMMYFUNCTION("""COMPUTED_VALUE"""),0.0)</f>
        <v>0</v>
      </c>
      <c r="X258" s="65">
        <f>IFERROR(__xludf.DUMMYFUNCTION("""COMPUTED_VALUE"""),2.35)</f>
        <v>2.35</v>
      </c>
      <c r="Y258" s="65">
        <f>IFERROR(__xludf.DUMMYFUNCTION("""COMPUTED_VALUE"""),4.7)</f>
        <v>4.7</v>
      </c>
      <c r="Z258" s="65">
        <f>IFERROR(__xludf.DUMMYFUNCTION("""COMPUTED_VALUE"""),116679.0)</f>
        <v>116679</v>
      </c>
      <c r="AA258" s="65" t="str">
        <f>IFERROR(__xludf.DUMMYFUNCTION("""COMPUTED_VALUE"""),"AMC-2738")</f>
        <v>AMC-2738</v>
      </c>
      <c r="AB258" s="65"/>
      <c r="AC258" s="65" t="str">
        <f>IFERROR(__xludf.DUMMYFUNCTION("""COMPUTED_VALUE"""),"ESPONJA ANTILLUVIA DE PARABRISAS")</f>
        <v>ESPONJA ANTILLUVIA DE PARABRISAS</v>
      </c>
      <c r="AD258" s="65"/>
      <c r="AE258" s="65">
        <f>IFERROR(__xludf.DUMMYFUNCTION("""COMPUTED_VALUE"""),2.0)</f>
        <v>2</v>
      </c>
      <c r="AF258" s="65"/>
      <c r="AG258" s="65"/>
      <c r="AH258" s="65"/>
      <c r="AI258" s="65"/>
      <c r="AJ258" s="65"/>
      <c r="AK258" s="65"/>
      <c r="AL258" s="65"/>
      <c r="AM258" s="65"/>
      <c r="AN258" s="65" t="str">
        <f>IFERROR(__xludf.DUMMYFUNCTION("""COMPUTED_VALUE"""),"10:38")</f>
        <v>10:38</v>
      </c>
      <c r="AO258" s="65" t="str">
        <f>IFERROR(__xludf.DUMMYFUNCTION("""COMPUTED_VALUE"""),"14-03-2026")</f>
        <v>14-03-2026</v>
      </c>
      <c r="AP258" s="65" t="str">
        <f>IFERROR(__xludf.DUMMYFUNCTION("""COMPUTED_VALUE"""),"ENTREGADA GINTRACOM")</f>
        <v>ENTREGADA GINTRACOM</v>
      </c>
      <c r="AQ258" s="65" t="str">
        <f>IFERROR(__xludf.DUMMYFUNCTION("""COMPUTED_VALUE"""),"ENTREGADA GINTRACOM")</f>
        <v>ENTREGADA GINTRACOM</v>
      </c>
      <c r="AR258" s="65"/>
      <c r="AS258" s="65"/>
      <c r="AT258" s="65" t="str">
        <f>IFERROR(__xludf.DUMMYFUNCTION("""COMPUTED_VALUE"""),"SHOPIFY")</f>
        <v>SHOPIFY</v>
      </c>
      <c r="AU258" s="65" t="str">
        <f>IFERROR(__xludf.DUMMYFUNCTION("""COMPUTED_VALUE"""),"IMPORTEX EC")</f>
        <v>IMPORTEX EC</v>
      </c>
      <c r="AV258" s="65" t="str">
        <f>IFERROR(__xludf.DUMMYFUNCTION("""COMPUTED_VALUE"""),"6565031149612")</f>
        <v>6565031149612</v>
      </c>
      <c r="AW258" s="65">
        <f>IFERROR(__xludf.DUMMYFUNCTION("""COMPUTED_VALUE"""),6598.0)</f>
        <v>6598</v>
      </c>
      <c r="AX258" s="65"/>
      <c r="AY258" s="65" t="str">
        <f>IFERROR(__xludf.DUMMYFUNCTION("""COMPUTED_VALUE"""),"11/03/2026")</f>
        <v>11/03/2026</v>
      </c>
      <c r="AZ258" s="65"/>
      <c r="BA258" s="65"/>
    </row>
    <row r="259">
      <c r="A259" s="65" t="str">
        <f>IFERROR(__xludf.DUMMYFUNCTION("""COMPUTED_VALUE"""),"27-03-2026")</f>
        <v>27-03-2026</v>
      </c>
      <c r="B259" s="65">
        <f>IFERROR(__xludf.DUMMYFUNCTION("""COMPUTED_VALUE"""),4733964.0)</f>
        <v>4733964</v>
      </c>
      <c r="C259" s="65" t="str">
        <f>IFERROR(__xludf.DUMMYFUNCTION("""COMPUTED_VALUE"""),"08:25")</f>
        <v>08:25</v>
      </c>
      <c r="D259" s="65" t="str">
        <f>IFERROR(__xludf.DUMMYFUNCTION("""COMPUTED_VALUE"""),"08-03-2026")</f>
        <v>08-03-2026</v>
      </c>
      <c r="E259" s="65" t="str">
        <f>IFERROR(__xludf.DUMMYFUNCTION("""COMPUTED_VALUE"""),"Javier Viteri")</f>
        <v>Javier Viteri</v>
      </c>
      <c r="F259" s="65" t="str">
        <f>IFERROR(__xludf.DUMMYFUNCTION("""COMPUTED_VALUE"""),"994500865")</f>
        <v>994500865</v>
      </c>
      <c r="G259" s="65" t="str">
        <f>IFERROR(__xludf.DUMMYFUNCTION("""COMPUTED_VALUE"""),"javierviteri@yahoo.com")</f>
        <v>javierviteri@yahoo.com</v>
      </c>
      <c r="H259" s="65"/>
      <c r="I259" s="65"/>
      <c r="J259" s="65" t="str">
        <f>IFERROR(__xludf.DUMMYFUNCTION("""COMPUTED_VALUE"""),"LC53063015")</f>
        <v>LC53063015</v>
      </c>
      <c r="K259" s="65" t="str">
        <f>IFERROR(__xludf.DUMMYFUNCTION("""COMPUTED_VALUE"""),"ENTREGADO")</f>
        <v>ENTREGADO</v>
      </c>
      <c r="L259" s="65" t="str">
        <f>IFERROR(__xludf.DUMMYFUNCTION("""COMPUTED_VALUE"""),"CON RECAUDO")</f>
        <v>CON RECAUDO</v>
      </c>
      <c r="M259" s="65" t="str">
        <f>IFERROR(__xludf.DUMMYFUNCTION("""COMPUTED_VALUE"""),"GUAYAS")</f>
        <v>GUAYAS</v>
      </c>
      <c r="N259" s="65" t="str">
        <f>IFERROR(__xludf.DUMMYFUNCTION("""COMPUTED_VALUE"""),"LA PUNTILLA")</f>
        <v>LA PUNTILLA</v>
      </c>
      <c r="O259" s="65" t="str">
        <f>IFERROR(__xludf.DUMMYFUNCTION("""COMPUTED_VALUE"""),"Lagos del batan etapa del lago villa 2 Plaza lagos")</f>
        <v>Lagos del batan etapa del lago villa 2 Plaza lagos</v>
      </c>
      <c r="P259" s="65"/>
      <c r="Q259" s="65" t="str">
        <f>IFERROR(__xludf.DUMMYFUNCTION("""COMPUTED_VALUE"""),"LAARCOURIER")</f>
        <v>LAARCOURIER</v>
      </c>
      <c r="R259" s="65">
        <f>IFERROR(__xludf.DUMMYFUNCTION("""COMPUTED_VALUE"""),25.0)</f>
        <v>25</v>
      </c>
      <c r="S259" s="65">
        <f>IFERROR(__xludf.DUMMYFUNCTION("""COMPUTED_VALUE"""),13.33)</f>
        <v>13.33</v>
      </c>
      <c r="T259" s="65">
        <f>IFERROR(__xludf.DUMMYFUNCTION("""COMPUTED_VALUE"""),6.97)</f>
        <v>6.97</v>
      </c>
      <c r="U259" s="65">
        <f>IFERROR(__xludf.DUMMYFUNCTION("""COMPUTED_VALUE"""),0.0)</f>
        <v>0</v>
      </c>
      <c r="V259" s="65">
        <f>IFERROR(__xludf.DUMMYFUNCTION("""COMPUTED_VALUE"""),0.0)</f>
        <v>0</v>
      </c>
      <c r="W259" s="65">
        <f>IFERROR(__xludf.DUMMYFUNCTION("""COMPUTED_VALUE"""),0.0)</f>
        <v>0</v>
      </c>
      <c r="X259" s="65">
        <f>IFERROR(__xludf.DUMMYFUNCTION("""COMPUTED_VALUE"""),2.35)</f>
        <v>2.35</v>
      </c>
      <c r="Y259" s="65">
        <f>IFERROR(__xludf.DUMMYFUNCTION("""COMPUTED_VALUE"""),4.7)</f>
        <v>4.7</v>
      </c>
      <c r="Z259" s="65">
        <f>IFERROR(__xludf.DUMMYFUNCTION("""COMPUTED_VALUE"""),116679.0)</f>
        <v>116679</v>
      </c>
      <c r="AA259" s="65" t="str">
        <f>IFERROR(__xludf.DUMMYFUNCTION("""COMPUTED_VALUE"""),"AMC-2738")</f>
        <v>AMC-2738</v>
      </c>
      <c r="AB259" s="65"/>
      <c r="AC259" s="65" t="str">
        <f>IFERROR(__xludf.DUMMYFUNCTION("""COMPUTED_VALUE"""),"ESPONJA ANTILLUVIA DE PARABRISAS")</f>
        <v>ESPONJA ANTILLUVIA DE PARABRISAS</v>
      </c>
      <c r="AD259" s="65"/>
      <c r="AE259" s="65">
        <f>IFERROR(__xludf.DUMMYFUNCTION("""COMPUTED_VALUE"""),2.0)</f>
        <v>2</v>
      </c>
      <c r="AF259" s="65"/>
      <c r="AG259" s="65"/>
      <c r="AH259" s="65"/>
      <c r="AI259" s="65"/>
      <c r="AJ259" s="65"/>
      <c r="AK259" s="65"/>
      <c r="AL259" s="65"/>
      <c r="AM259" s="65"/>
      <c r="AN259" s="65" t="str">
        <f>IFERROR(__xludf.DUMMYFUNCTION("""COMPUTED_VALUE"""),"14:21")</f>
        <v>14:21</v>
      </c>
      <c r="AO259" s="65" t="str">
        <f>IFERROR(__xludf.DUMMYFUNCTION("""COMPUTED_VALUE"""),"12-03-2026")</f>
        <v>12-03-2026</v>
      </c>
      <c r="AP259" s="65" t="str">
        <f>IFERROR(__xludf.DUMMYFUNCTION("""COMPUTED_VALUE"""),"ENTREGADO")</f>
        <v>ENTREGADO</v>
      </c>
      <c r="AQ259" s="65" t="str">
        <f>IFERROR(__xludf.DUMMYFUNCTION("""COMPUTED_VALUE"""),"ENTREGADO")</f>
        <v>ENTREGADO</v>
      </c>
      <c r="AR259" s="65"/>
      <c r="AS259" s="65"/>
      <c r="AT259" s="65" t="str">
        <f>IFERROR(__xludf.DUMMYFUNCTION("""COMPUTED_VALUE"""),"SHOPIFY")</f>
        <v>SHOPIFY</v>
      </c>
      <c r="AU259" s="65" t="str">
        <f>IFERROR(__xludf.DUMMYFUNCTION("""COMPUTED_VALUE"""),"IMPORTEX EC")</f>
        <v>IMPORTEX EC</v>
      </c>
      <c r="AV259" s="65" t="str">
        <f>IFERROR(__xludf.DUMMYFUNCTION("""COMPUTED_VALUE"""),"6565021319212")</f>
        <v>6565021319212</v>
      </c>
      <c r="AW259" s="65">
        <f>IFERROR(__xludf.DUMMYFUNCTION("""COMPUTED_VALUE"""),6597.0)</f>
        <v>6597</v>
      </c>
      <c r="AX259" s="65"/>
      <c r="AY259" s="65" t="str">
        <f>IFERROR(__xludf.DUMMYFUNCTION("""COMPUTED_VALUE"""),"10/03/2026")</f>
        <v>10/03/2026</v>
      </c>
      <c r="AZ259" s="65"/>
      <c r="BA259" s="65"/>
    </row>
    <row r="260">
      <c r="A260" s="65" t="str">
        <f>IFERROR(__xludf.DUMMYFUNCTION("""COMPUTED_VALUE"""),"27-03-2026")</f>
        <v>27-03-2026</v>
      </c>
      <c r="B260" s="65">
        <f>IFERROR(__xludf.DUMMYFUNCTION("""COMPUTED_VALUE"""),4733872.0)</f>
        <v>4733872</v>
      </c>
      <c r="C260" s="65" t="str">
        <f>IFERROR(__xludf.DUMMYFUNCTION("""COMPUTED_VALUE"""),"08:13")</f>
        <v>08:13</v>
      </c>
      <c r="D260" s="65" t="str">
        <f>IFERROR(__xludf.DUMMYFUNCTION("""COMPUTED_VALUE"""),"08-03-2026")</f>
        <v>08-03-2026</v>
      </c>
      <c r="E260" s="65" t="str">
        <f>IFERROR(__xludf.DUMMYFUNCTION("""COMPUTED_VALUE"""),"Walter Cortez mora cortez")</f>
        <v>Walter Cortez mora cortez</v>
      </c>
      <c r="F260" s="65" t="str">
        <f>IFERROR(__xludf.DUMMYFUNCTION("""COMPUTED_VALUE"""),"969339979")</f>
        <v>969339979</v>
      </c>
      <c r="G260" s="65" t="str">
        <f>IFERROR(__xludf.DUMMYFUNCTION("""COMPUTED_VALUE"""),"walltercortez@gmail.com")</f>
        <v>walltercortez@gmail.com</v>
      </c>
      <c r="H260" s="65"/>
      <c r="I260" s="65"/>
      <c r="J260" s="65" t="str">
        <f>IFERROR(__xludf.DUMMYFUNCTION("""COMPUTED_VALUE"""),"LC53063016")</f>
        <v>LC53063016</v>
      </c>
      <c r="K260" s="65" t="str">
        <f>IFERROR(__xludf.DUMMYFUNCTION("""COMPUTED_VALUE"""),"ENTREGADO")</f>
        <v>ENTREGADO</v>
      </c>
      <c r="L260" s="65" t="str">
        <f>IFERROR(__xludf.DUMMYFUNCTION("""COMPUTED_VALUE"""),"CON RECAUDO")</f>
        <v>CON RECAUDO</v>
      </c>
      <c r="M260" s="65" t="str">
        <f>IFERROR(__xludf.DUMMYFUNCTION("""COMPUTED_VALUE"""),"LOS RIOS")</f>
        <v>LOS RIOS</v>
      </c>
      <c r="N260" s="65" t="str">
        <f>IFERROR(__xludf.DUMMYFUNCTION("""COMPUTED_VALUE"""),"CATARAMA")</f>
        <v>CATARAMA</v>
      </c>
      <c r="O260" s="65" t="str">
        <f>IFERROR(__xludf.DUMMYFUNCTION("""COMPUTED_VALUE"""),"AV ALFONSO BUSTAMENTE Y CONCEPCION LANDIBAR - REFERECIA:  MUNICIPIO DE URDANETA ENTREGAR DE   8AM A 5PM")</f>
        <v>AV ALFONSO BUSTAMENTE Y CONCEPCION LANDIBAR - REFERECIA:  MUNICIPIO DE URDANETA ENTREGAR DE   8AM A 5PM</v>
      </c>
      <c r="P260" s="65"/>
      <c r="Q260" s="65" t="str">
        <f>IFERROR(__xludf.DUMMYFUNCTION("""COMPUTED_VALUE"""),"LAARCOURIER")</f>
        <v>LAARCOURIER</v>
      </c>
      <c r="R260" s="65">
        <f>IFERROR(__xludf.DUMMYFUNCTION("""COMPUTED_VALUE"""),30.0)</f>
        <v>30</v>
      </c>
      <c r="S260" s="65">
        <f>IFERROR(__xludf.DUMMYFUNCTION("""COMPUTED_VALUE"""),15.69)</f>
        <v>15.69</v>
      </c>
      <c r="T260" s="65">
        <f>IFERROR(__xludf.DUMMYFUNCTION("""COMPUTED_VALUE"""),7.26)</f>
        <v>7.26</v>
      </c>
      <c r="U260" s="65">
        <f>IFERROR(__xludf.DUMMYFUNCTION("""COMPUTED_VALUE"""),0.0)</f>
        <v>0</v>
      </c>
      <c r="V260" s="65">
        <f>IFERROR(__xludf.DUMMYFUNCTION("""COMPUTED_VALUE"""),0.0)</f>
        <v>0</v>
      </c>
      <c r="W260" s="65">
        <f>IFERROR(__xludf.DUMMYFUNCTION("""COMPUTED_VALUE"""),0.0)</f>
        <v>0</v>
      </c>
      <c r="X260" s="65">
        <f>IFERROR(__xludf.DUMMYFUNCTION("""COMPUTED_VALUE"""),2.35)</f>
        <v>2.35</v>
      </c>
      <c r="Y260" s="65">
        <f>IFERROR(__xludf.DUMMYFUNCTION("""COMPUTED_VALUE"""),7.05)</f>
        <v>7.05</v>
      </c>
      <c r="Z260" s="65">
        <f>IFERROR(__xludf.DUMMYFUNCTION("""COMPUTED_VALUE"""),116679.0)</f>
        <v>116679</v>
      </c>
      <c r="AA260" s="65" t="str">
        <f>IFERROR(__xludf.DUMMYFUNCTION("""COMPUTED_VALUE"""),"AMC-2738")</f>
        <v>AMC-2738</v>
      </c>
      <c r="AB260" s="65"/>
      <c r="AC260" s="65" t="str">
        <f>IFERROR(__xludf.DUMMYFUNCTION("""COMPUTED_VALUE"""),"ESPONJA ANTILLUVIA DE PARABRISAS")</f>
        <v>ESPONJA ANTILLUVIA DE PARABRISAS</v>
      </c>
      <c r="AD260" s="65"/>
      <c r="AE260" s="65">
        <f>IFERROR(__xludf.DUMMYFUNCTION("""COMPUTED_VALUE"""),3.0)</f>
        <v>3</v>
      </c>
      <c r="AF260" s="65"/>
      <c r="AG260" s="65"/>
      <c r="AH260" s="65"/>
      <c r="AI260" s="65"/>
      <c r="AJ260" s="65"/>
      <c r="AK260" s="65"/>
      <c r="AL260" s="65"/>
      <c r="AM260" s="65"/>
      <c r="AN260" s="65" t="str">
        <f>IFERROR(__xludf.DUMMYFUNCTION("""COMPUTED_VALUE"""),"13:09")</f>
        <v>13:09</v>
      </c>
      <c r="AO260" s="65" t="str">
        <f>IFERROR(__xludf.DUMMYFUNCTION("""COMPUTED_VALUE"""),"18-03-2026")</f>
        <v>18-03-2026</v>
      </c>
      <c r="AP260" s="65" t="str">
        <f>IFERROR(__xludf.DUMMYFUNCTION("""COMPUTED_VALUE"""),"ENTREGADO")</f>
        <v>ENTREGADO</v>
      </c>
      <c r="AQ260" s="65" t="str">
        <f>IFERROR(__xludf.DUMMYFUNCTION("""COMPUTED_VALUE"""),"ENTREGADO")</f>
        <v>ENTREGADO</v>
      </c>
      <c r="AR260" s="65"/>
      <c r="AS260" s="65"/>
      <c r="AT260" s="65" t="str">
        <f>IFERROR(__xludf.DUMMYFUNCTION("""COMPUTED_VALUE"""),"SHOPIFY")</f>
        <v>SHOPIFY</v>
      </c>
      <c r="AU260" s="65" t="str">
        <f>IFERROR(__xludf.DUMMYFUNCTION("""COMPUTED_VALUE"""),"IMPORTEX EC")</f>
        <v>IMPORTEX EC</v>
      </c>
      <c r="AV260" s="65" t="str">
        <f>IFERROR(__xludf.DUMMYFUNCTION("""COMPUTED_VALUE"""),"6565008801836")</f>
        <v>6565008801836</v>
      </c>
      <c r="AW260" s="65">
        <f>IFERROR(__xludf.DUMMYFUNCTION("""COMPUTED_VALUE"""),6596.0)</f>
        <v>6596</v>
      </c>
      <c r="AX260" s="65"/>
      <c r="AY260" s="65" t="str">
        <f>IFERROR(__xludf.DUMMYFUNCTION("""COMPUTED_VALUE"""),"10/03/2026")</f>
        <v>10/03/2026</v>
      </c>
      <c r="AZ260" s="65"/>
      <c r="BA260" s="65"/>
    </row>
    <row r="261">
      <c r="A261" s="65" t="str">
        <f>IFERROR(__xludf.DUMMYFUNCTION("""COMPUTED_VALUE"""),"27-03-2026")</f>
        <v>27-03-2026</v>
      </c>
      <c r="B261" s="65">
        <f>IFERROR(__xludf.DUMMYFUNCTION("""COMPUTED_VALUE"""),4733626.0)</f>
        <v>4733626</v>
      </c>
      <c r="C261" s="65" t="str">
        <f>IFERROR(__xludf.DUMMYFUNCTION("""COMPUTED_VALUE"""),"07:23")</f>
        <v>07:23</v>
      </c>
      <c r="D261" s="65" t="str">
        <f>IFERROR(__xludf.DUMMYFUNCTION("""COMPUTED_VALUE"""),"08-03-2026")</f>
        <v>08-03-2026</v>
      </c>
      <c r="E261" s="65" t="str">
        <f>IFERROR(__xludf.DUMMYFUNCTION("""COMPUTED_VALUE"""),"Diego Mosquera Ayala")</f>
        <v>Diego Mosquera Ayala</v>
      </c>
      <c r="F261" s="65" t="str">
        <f>IFERROR(__xludf.DUMMYFUNCTION("""COMPUTED_VALUE"""),"984584570")</f>
        <v>984584570</v>
      </c>
      <c r="G261" s="65" t="str">
        <f>IFERROR(__xludf.DUMMYFUNCTION("""COMPUTED_VALUE"""),"diegoesteban9.84@gmail.com")</f>
        <v>diegoesteban9.84@gmail.com</v>
      </c>
      <c r="H261" s="65"/>
      <c r="I261" s="65"/>
      <c r="J261" s="65"/>
      <c r="K261" s="65" t="str">
        <f>IFERROR(__xludf.DUMMYFUNCTION("""COMPUTED_VALUE"""),"CANCELADO")</f>
        <v>CANCELADO</v>
      </c>
      <c r="L261" s="65" t="str">
        <f>IFERROR(__xludf.DUMMYFUNCTION("""COMPUTED_VALUE"""),"CON RECAUDO")</f>
        <v>CON RECAUDO</v>
      </c>
      <c r="M261" s="65" t="str">
        <f>IFERROR(__xludf.DUMMYFUNCTION("""COMPUTED_VALUE"""),"PICHINCHA")</f>
        <v>PICHINCHA</v>
      </c>
      <c r="N261" s="65" t="str">
        <f>IFERROR(__xludf.DUMMYFUNCTION("""COMPUTED_VALUE"""),"CONOCOTO")</f>
        <v>CONOCOTO</v>
      </c>
      <c r="O261" s="65" t="str">
        <f>IFERROR(__xludf.DUMMYFUNCTION("""COMPUTED_VALUE"""),"Juan Montalvo Leonidas palza -")</f>
        <v>Juan Montalvo Leonidas palza -</v>
      </c>
      <c r="P261" s="65"/>
      <c r="Q261" s="65" t="str">
        <f>IFERROR(__xludf.DUMMYFUNCTION("""COMPUTED_VALUE"""),"GINTRACOM")</f>
        <v>GINTRACOM</v>
      </c>
      <c r="R261" s="65">
        <f>IFERROR(__xludf.DUMMYFUNCTION("""COMPUTED_VALUE"""),25.0)</f>
        <v>25</v>
      </c>
      <c r="S261" s="65"/>
      <c r="T261" s="65">
        <f>IFERROR(__xludf.DUMMYFUNCTION("""COMPUTED_VALUE"""),4.92)</f>
        <v>4.92</v>
      </c>
      <c r="U261" s="65">
        <f>IFERROR(__xludf.DUMMYFUNCTION("""COMPUTED_VALUE"""),0.0)</f>
        <v>0</v>
      </c>
      <c r="V261" s="65">
        <f>IFERROR(__xludf.DUMMYFUNCTION("""COMPUTED_VALUE"""),0.0)</f>
        <v>0</v>
      </c>
      <c r="W261" s="65">
        <f>IFERROR(__xludf.DUMMYFUNCTION("""COMPUTED_VALUE"""),0.0)</f>
        <v>0</v>
      </c>
      <c r="X261" s="65">
        <f>IFERROR(__xludf.DUMMYFUNCTION("""COMPUTED_VALUE"""),2.35)</f>
        <v>2.35</v>
      </c>
      <c r="Y261" s="65">
        <f>IFERROR(__xludf.DUMMYFUNCTION("""COMPUTED_VALUE"""),4.7)</f>
        <v>4.7</v>
      </c>
      <c r="Z261" s="65">
        <f>IFERROR(__xludf.DUMMYFUNCTION("""COMPUTED_VALUE"""),116679.0)</f>
        <v>116679</v>
      </c>
      <c r="AA261" s="65" t="str">
        <f>IFERROR(__xludf.DUMMYFUNCTION("""COMPUTED_VALUE"""),"AMC-2738")</f>
        <v>AMC-2738</v>
      </c>
      <c r="AB261" s="65"/>
      <c r="AC261" s="65" t="str">
        <f>IFERROR(__xludf.DUMMYFUNCTION("""COMPUTED_VALUE"""),"ESPONJA ANTILLUVIA DE PARABRISAS")</f>
        <v>ESPONJA ANTILLUVIA DE PARABRISAS</v>
      </c>
      <c r="AD261" s="65"/>
      <c r="AE261" s="65">
        <f>IFERROR(__xludf.DUMMYFUNCTION("""COMPUTED_VALUE"""),2.0)</f>
        <v>2</v>
      </c>
      <c r="AF261" s="65"/>
      <c r="AG261" s="65"/>
      <c r="AH261" s="65"/>
      <c r="AI261" s="65"/>
      <c r="AJ261" s="65"/>
      <c r="AK261" s="65"/>
      <c r="AL261" s="65"/>
      <c r="AM261" s="65"/>
      <c r="AN261" s="65"/>
      <c r="AO261" s="65"/>
      <c r="AP261" s="65"/>
      <c r="AQ261" s="65"/>
      <c r="AR261" s="65"/>
      <c r="AS261" s="65"/>
      <c r="AT261" s="65" t="str">
        <f>IFERROR(__xludf.DUMMYFUNCTION("""COMPUTED_VALUE"""),"SHOPIFY")</f>
        <v>SHOPIFY</v>
      </c>
      <c r="AU261" s="65" t="str">
        <f>IFERROR(__xludf.DUMMYFUNCTION("""COMPUTED_VALUE"""),"IMPORTEX EC")</f>
        <v>IMPORTEX EC</v>
      </c>
      <c r="AV261" s="65" t="str">
        <f>IFERROR(__xludf.DUMMYFUNCTION("""COMPUTED_VALUE"""),"6564961452076")</f>
        <v>6564961452076</v>
      </c>
      <c r="AW261" s="65">
        <f>IFERROR(__xludf.DUMMYFUNCTION("""COMPUTED_VALUE"""),6595.0)</f>
        <v>6595</v>
      </c>
      <c r="AX261" s="65"/>
      <c r="AY261" s="65"/>
      <c r="AZ261" s="65"/>
      <c r="BA261" s="65"/>
    </row>
    <row r="262">
      <c r="A262" s="65" t="str">
        <f>IFERROR(__xludf.DUMMYFUNCTION("""COMPUTED_VALUE"""),"27-03-2026")</f>
        <v>27-03-2026</v>
      </c>
      <c r="B262" s="65">
        <f>IFERROR(__xludf.DUMMYFUNCTION("""COMPUTED_VALUE"""),4733175.0)</f>
        <v>4733175</v>
      </c>
      <c r="C262" s="65" t="str">
        <f>IFERROR(__xludf.DUMMYFUNCTION("""COMPUTED_VALUE"""),"01:39")</f>
        <v>01:39</v>
      </c>
      <c r="D262" s="65" t="str">
        <f>IFERROR(__xludf.DUMMYFUNCTION("""COMPUTED_VALUE"""),"08-03-2026")</f>
        <v>08-03-2026</v>
      </c>
      <c r="E262" s="65" t="str">
        <f>IFERROR(__xludf.DUMMYFUNCTION("""COMPUTED_VALUE"""),"Diego Alquinga Alquinga paredes")</f>
        <v>Diego Alquinga Alquinga paredes</v>
      </c>
      <c r="F262" s="65" t="str">
        <f>IFERROR(__xludf.DUMMYFUNCTION("""COMPUTED_VALUE"""),"989302103")</f>
        <v>989302103</v>
      </c>
      <c r="G262" s="65" t="str">
        <f>IFERROR(__xludf.DUMMYFUNCTION("""COMPUTED_VALUE"""),"diegoalquinga1@gmail.com")</f>
        <v>diegoalquinga1@gmail.com</v>
      </c>
      <c r="H262" s="65"/>
      <c r="I262" s="65"/>
      <c r="J262" s="65" t="str">
        <f>IFERROR(__xludf.DUMMYFUNCTION("""COMPUTED_VALUE"""),"LC53063017")</f>
        <v>LC53063017</v>
      </c>
      <c r="K262" s="65" t="str">
        <f>IFERROR(__xludf.DUMMYFUNCTION("""COMPUTED_VALUE"""),"DEVOLUCION")</f>
        <v>DEVOLUCION</v>
      </c>
      <c r="L262" s="65" t="str">
        <f>IFERROR(__xludf.DUMMYFUNCTION("""COMPUTED_VALUE"""),"CON RECAUDO")</f>
        <v>CON RECAUDO</v>
      </c>
      <c r="M262" s="65" t="str">
        <f>IFERROR(__xludf.DUMMYFUNCTION("""COMPUTED_VALUE"""),"PICHINCHA")</f>
        <v>PICHINCHA</v>
      </c>
      <c r="N262" s="65" t="str">
        <f>IFERROR(__xludf.DUMMYFUNCTION("""COMPUTED_VALUE"""),"ALOASI")</f>
        <v>ALOASI</v>
      </c>
      <c r="O262" s="65" t="str">
        <f>IFERROR(__xludf.DUMMYFUNCTION("""COMPUTED_VALUE"""),"Culala Bajo Sector La Samora Aloasi - Frente a la casa barrial la samora")</f>
        <v>Culala Bajo Sector La Samora Aloasi - Frente a la casa barrial la samora</v>
      </c>
      <c r="P262" s="65"/>
      <c r="Q262" s="65" t="str">
        <f>IFERROR(__xludf.DUMMYFUNCTION("""COMPUTED_VALUE"""),"LAARCOURIER")</f>
        <v>LAARCOURIER</v>
      </c>
      <c r="R262" s="65">
        <f>IFERROR(__xludf.DUMMYFUNCTION("""COMPUTED_VALUE"""),30.0)</f>
        <v>30</v>
      </c>
      <c r="S262" s="65"/>
      <c r="T262" s="65">
        <f>IFERROR(__xludf.DUMMYFUNCTION("""COMPUTED_VALUE"""),6.82)</f>
        <v>6.82</v>
      </c>
      <c r="U262" s="65">
        <f>IFERROR(__xludf.DUMMYFUNCTION("""COMPUTED_VALUE"""),0.0)</f>
        <v>0</v>
      </c>
      <c r="V262" s="65">
        <f>IFERROR(__xludf.DUMMYFUNCTION("""COMPUTED_VALUE"""),0.0)</f>
        <v>0</v>
      </c>
      <c r="W262" s="65">
        <f>IFERROR(__xludf.DUMMYFUNCTION("""COMPUTED_VALUE"""),0.0)</f>
        <v>0</v>
      </c>
      <c r="X262" s="65">
        <f>IFERROR(__xludf.DUMMYFUNCTION("""COMPUTED_VALUE"""),2.35)</f>
        <v>2.35</v>
      </c>
      <c r="Y262" s="65">
        <f>IFERROR(__xludf.DUMMYFUNCTION("""COMPUTED_VALUE"""),7.05)</f>
        <v>7.05</v>
      </c>
      <c r="Z262" s="65">
        <f>IFERROR(__xludf.DUMMYFUNCTION("""COMPUTED_VALUE"""),116679.0)</f>
        <v>116679</v>
      </c>
      <c r="AA262" s="65" t="str">
        <f>IFERROR(__xludf.DUMMYFUNCTION("""COMPUTED_VALUE"""),"AMC-2738")</f>
        <v>AMC-2738</v>
      </c>
      <c r="AB262" s="65"/>
      <c r="AC262" s="65" t="str">
        <f>IFERROR(__xludf.DUMMYFUNCTION("""COMPUTED_VALUE"""),"ESPONJA ANTILLUVIA DE PARABRISAS")</f>
        <v>ESPONJA ANTILLUVIA DE PARABRISAS</v>
      </c>
      <c r="AD262" s="65"/>
      <c r="AE262" s="65">
        <f>IFERROR(__xludf.DUMMYFUNCTION("""COMPUTED_VALUE"""),3.0)</f>
        <v>3</v>
      </c>
      <c r="AF262" s="65"/>
      <c r="AG262" s="65"/>
      <c r="AH262" s="65"/>
      <c r="AI262" s="65"/>
      <c r="AJ262" s="65"/>
      <c r="AK262" s="65"/>
      <c r="AL262" s="65"/>
      <c r="AM262" s="65"/>
      <c r="AN262" s="65" t="str">
        <f>IFERROR(__xludf.DUMMYFUNCTION("""COMPUTED_VALUE"""),"08:22")</f>
        <v>08:22</v>
      </c>
      <c r="AO262" s="65" t="str">
        <f>IFERROR(__xludf.DUMMYFUNCTION("""COMPUTED_VALUE"""),"17-03-2026")</f>
        <v>17-03-2026</v>
      </c>
      <c r="AP262" s="65" t="str">
        <f>IFERROR(__xludf.DUMMYFUNCTION("""COMPUTED_VALUE"""),"ZONA DE ENTREGA")</f>
        <v>ZONA DE ENTREGA</v>
      </c>
      <c r="AQ262" s="65" t="str">
        <f>IFERROR(__xludf.DUMMYFUNCTION("""COMPUTED_VALUE"""),"ZONA DE ENTREGA")</f>
        <v>ZONA DE ENTREGA</v>
      </c>
      <c r="AR262" s="65"/>
      <c r="AS262" s="65"/>
      <c r="AT262" s="65" t="str">
        <f>IFERROR(__xludf.DUMMYFUNCTION("""COMPUTED_VALUE"""),"SHOPIFY")</f>
        <v>SHOPIFY</v>
      </c>
      <c r="AU262" s="65" t="str">
        <f>IFERROR(__xludf.DUMMYFUNCTION("""COMPUTED_VALUE"""),"IMPORTEX EC")</f>
        <v>IMPORTEX EC</v>
      </c>
      <c r="AV262" s="65" t="str">
        <f>IFERROR(__xludf.DUMMYFUNCTION("""COMPUTED_VALUE"""),"6564640325676")</f>
        <v>6564640325676</v>
      </c>
      <c r="AW262" s="65">
        <f>IFERROR(__xludf.DUMMYFUNCTION("""COMPUTED_VALUE"""),6594.0)</f>
        <v>6594</v>
      </c>
      <c r="AX262" s="65"/>
      <c r="AY262" s="65" t="str">
        <f>IFERROR(__xludf.DUMMYFUNCTION("""COMPUTED_VALUE"""),"10/03/2026")</f>
        <v>10/03/2026</v>
      </c>
      <c r="AZ262" s="65"/>
      <c r="BA262" s="65"/>
    </row>
    <row r="263">
      <c r="A263" s="65" t="str">
        <f>IFERROR(__xludf.DUMMYFUNCTION("""COMPUTED_VALUE"""),"27-03-2026")</f>
        <v>27-03-2026</v>
      </c>
      <c r="B263" s="65">
        <f>IFERROR(__xludf.DUMMYFUNCTION("""COMPUTED_VALUE"""),4732822.0)</f>
        <v>4732822</v>
      </c>
      <c r="C263" s="65" t="str">
        <f>IFERROR(__xludf.DUMMYFUNCTION("""COMPUTED_VALUE"""),"23:20")</f>
        <v>23:20</v>
      </c>
      <c r="D263" s="65" t="str">
        <f>IFERROR(__xludf.DUMMYFUNCTION("""COMPUTED_VALUE"""),"07-03-2026")</f>
        <v>07-03-2026</v>
      </c>
      <c r="E263" s="65" t="str">
        <f>IFERROR(__xludf.DUMMYFUNCTION("""COMPUTED_VALUE"""),"Rolando Mario Villegas Aguiler Villegas Aguilera")</f>
        <v>Rolando Mario Villegas Aguiler Villegas Aguilera</v>
      </c>
      <c r="F263" s="65" t="str">
        <f>IFERROR(__xludf.DUMMYFUNCTION("""COMPUTED_VALUE"""),"994822999")</f>
        <v>994822999</v>
      </c>
      <c r="G263" s="65" t="str">
        <f>IFERROR(__xludf.DUMMYFUNCTION("""COMPUTED_VALUE"""),"romaviag@yahoo.com")</f>
        <v>romaviag@yahoo.com</v>
      </c>
      <c r="H263" s="65"/>
      <c r="I263" s="65"/>
      <c r="J263" s="65" t="str">
        <f>IFERROR(__xludf.DUMMYFUNCTION("""COMPUTED_VALUE"""),"D001398284")</f>
        <v>D001398284</v>
      </c>
      <c r="K263" s="65" t="str">
        <f>IFERROR(__xludf.DUMMYFUNCTION("""COMPUTED_VALUE"""),"ENTREGADO")</f>
        <v>ENTREGADO</v>
      </c>
      <c r="L263" s="65" t="str">
        <f>IFERROR(__xludf.DUMMYFUNCTION("""COMPUTED_VALUE"""),"CON RECAUDO")</f>
        <v>CON RECAUDO</v>
      </c>
      <c r="M263" s="65" t="str">
        <f>IFERROR(__xludf.DUMMYFUNCTION("""COMPUTED_VALUE"""),"GUAYAS")</f>
        <v>GUAYAS</v>
      </c>
      <c r="N263" s="65" t="str">
        <f>IFERROR(__xludf.DUMMYFUNCTION("""COMPUTED_VALUE"""),"MILAGRO")</f>
        <v>MILAGRO</v>
      </c>
      <c r="O263" s="65" t="str">
        <f>IFERROR(__xludf.DUMMYFUNCTION("""COMPUTED_VALUE"""),"Eloy Alfaro y Enrique Valdez, en Almacén de Repuestos Emmanuel - GUAYAS")</f>
        <v>Eloy Alfaro y Enrique Valdez, en Almacén de Repuestos Emmanuel - GUAYAS</v>
      </c>
      <c r="P263" s="65"/>
      <c r="Q263" s="65" t="str">
        <f>IFERROR(__xludf.DUMMYFUNCTION("""COMPUTED_VALUE"""),"GINTRACOM")</f>
        <v>GINTRACOM</v>
      </c>
      <c r="R263" s="65">
        <f>IFERROR(__xludf.DUMMYFUNCTION("""COMPUTED_VALUE"""),30.0)</f>
        <v>30</v>
      </c>
      <c r="S263" s="65">
        <f>IFERROR(__xludf.DUMMYFUNCTION("""COMPUTED_VALUE"""),16.79)</f>
        <v>16.79</v>
      </c>
      <c r="T263" s="65">
        <f>IFERROR(__xludf.DUMMYFUNCTION("""COMPUTED_VALUE"""),6.16)</f>
        <v>6.16</v>
      </c>
      <c r="U263" s="65">
        <f>IFERROR(__xludf.DUMMYFUNCTION("""COMPUTED_VALUE"""),0.0)</f>
        <v>0</v>
      </c>
      <c r="V263" s="65">
        <f>IFERROR(__xludf.DUMMYFUNCTION("""COMPUTED_VALUE"""),0.0)</f>
        <v>0</v>
      </c>
      <c r="W263" s="65">
        <f>IFERROR(__xludf.DUMMYFUNCTION("""COMPUTED_VALUE"""),0.0)</f>
        <v>0</v>
      </c>
      <c r="X263" s="65">
        <f>IFERROR(__xludf.DUMMYFUNCTION("""COMPUTED_VALUE"""),2.35)</f>
        <v>2.35</v>
      </c>
      <c r="Y263" s="65">
        <f>IFERROR(__xludf.DUMMYFUNCTION("""COMPUTED_VALUE"""),7.05)</f>
        <v>7.05</v>
      </c>
      <c r="Z263" s="65">
        <f>IFERROR(__xludf.DUMMYFUNCTION("""COMPUTED_VALUE"""),116679.0)</f>
        <v>116679</v>
      </c>
      <c r="AA263" s="65" t="str">
        <f>IFERROR(__xludf.DUMMYFUNCTION("""COMPUTED_VALUE"""),"AMC-2738")</f>
        <v>AMC-2738</v>
      </c>
      <c r="AB263" s="65"/>
      <c r="AC263" s="65" t="str">
        <f>IFERROR(__xludf.DUMMYFUNCTION("""COMPUTED_VALUE"""),"ESPONJA ANTILLUVIA DE PARABRISAS")</f>
        <v>ESPONJA ANTILLUVIA DE PARABRISAS</v>
      </c>
      <c r="AD263" s="65"/>
      <c r="AE263" s="65">
        <f>IFERROR(__xludf.DUMMYFUNCTION("""COMPUTED_VALUE"""),3.0)</f>
        <v>3</v>
      </c>
      <c r="AF263" s="65" t="str">
        <f>IFERROR(__xludf.DUMMYFUNCTION("""COMPUTED_VALUE"""),"DESTINATARIO NO CONTESTA LLAMADAS NI WHATSAPP")</f>
        <v>DESTINATARIO NO CONTESTA LLAMADAS NI WHATSAPP</v>
      </c>
      <c r="AG263" s="65" t="str">
        <f>IFERROR(__xludf.DUMMYFUNCTION("""COMPUTED_VALUE"""),"NO")</f>
        <v>NO</v>
      </c>
      <c r="AH263" s="65" t="str">
        <f>IFERROR(__xludf.DUMMYFUNCTION("""COMPUTED_VALUE"""),"13:49")</f>
        <v>13:49</v>
      </c>
      <c r="AI263" s="65" t="str">
        <f>IFERROR(__xludf.DUMMYFUNCTION("""COMPUTED_VALUE"""),"13-03-2026")</f>
        <v>13-03-2026</v>
      </c>
      <c r="AJ263" s="65"/>
      <c r="AK263" s="65"/>
      <c r="AL263" s="65"/>
      <c r="AM263" s="65"/>
      <c r="AN263" s="65" t="str">
        <f>IFERROR(__xludf.DUMMYFUNCTION("""COMPUTED_VALUE"""),"13:59")</f>
        <v>13:59</v>
      </c>
      <c r="AO263" s="65" t="str">
        <f>IFERROR(__xludf.DUMMYFUNCTION("""COMPUTED_VALUE"""),"14-03-2026")</f>
        <v>14-03-2026</v>
      </c>
      <c r="AP263" s="65" t="str">
        <f>IFERROR(__xludf.DUMMYFUNCTION("""COMPUTED_VALUE"""),"ENTREGADA GINTRACOM")</f>
        <v>ENTREGADA GINTRACOM</v>
      </c>
      <c r="AQ263" s="65" t="str">
        <f>IFERROR(__xludf.DUMMYFUNCTION("""COMPUTED_VALUE"""),"ENTREGADA GINTRACOM")</f>
        <v>ENTREGADA GINTRACOM</v>
      </c>
      <c r="AR263" s="65"/>
      <c r="AS263" s="65"/>
      <c r="AT263" s="65" t="str">
        <f>IFERROR(__xludf.DUMMYFUNCTION("""COMPUTED_VALUE"""),"SHOPIFY")</f>
        <v>SHOPIFY</v>
      </c>
      <c r="AU263" s="65" t="str">
        <f>IFERROR(__xludf.DUMMYFUNCTION("""COMPUTED_VALUE"""),"IMPORTEX EC")</f>
        <v>IMPORTEX EC</v>
      </c>
      <c r="AV263" s="65" t="str">
        <f>IFERROR(__xludf.DUMMYFUNCTION("""COMPUTED_VALUE"""),"6564476387372")</f>
        <v>6564476387372</v>
      </c>
      <c r="AW263" s="65">
        <f>IFERROR(__xludf.DUMMYFUNCTION("""COMPUTED_VALUE"""),6593.0)</f>
        <v>6593</v>
      </c>
      <c r="AX263" s="65"/>
      <c r="AY263" s="65" t="str">
        <f>IFERROR(__xludf.DUMMYFUNCTION("""COMPUTED_VALUE"""),"09/03/2026")</f>
        <v>09/03/2026</v>
      </c>
      <c r="AZ263" s="65"/>
      <c r="BA263" s="65"/>
    </row>
    <row r="264">
      <c r="A264" s="65" t="str">
        <f>IFERROR(__xludf.DUMMYFUNCTION("""COMPUTED_VALUE"""),"27-03-2026")</f>
        <v>27-03-2026</v>
      </c>
      <c r="B264" s="65">
        <f>IFERROR(__xludf.DUMMYFUNCTION("""COMPUTED_VALUE"""),4732475.0)</f>
        <v>4732475</v>
      </c>
      <c r="C264" s="65" t="str">
        <f>IFERROR(__xludf.DUMMYFUNCTION("""COMPUTED_VALUE"""),"22:16")</f>
        <v>22:16</v>
      </c>
      <c r="D264" s="65" t="str">
        <f>IFERROR(__xludf.DUMMYFUNCTION("""COMPUTED_VALUE"""),"07-03-2026")</f>
        <v>07-03-2026</v>
      </c>
      <c r="E264" s="65" t="str">
        <f>IFERROR(__xludf.DUMMYFUNCTION("""COMPUTED_VALUE"""),"Cristian Clavijo")</f>
        <v>Cristian Clavijo</v>
      </c>
      <c r="F264" s="65" t="str">
        <f>IFERROR(__xludf.DUMMYFUNCTION("""COMPUTED_VALUE"""),"987218665")</f>
        <v>987218665</v>
      </c>
      <c r="G264" s="65" t="str">
        <f>IFERROR(__xludf.DUMMYFUNCTION("""COMPUTED_VALUE"""),"cristianclavijo@hotmail.com")</f>
        <v>cristianclavijo@hotmail.com</v>
      </c>
      <c r="H264" s="65"/>
      <c r="I264" s="65"/>
      <c r="J264" s="65" t="str">
        <f>IFERROR(__xludf.DUMMYFUNCTION("""COMPUTED_VALUE"""),"D001404584")</f>
        <v>D001404584</v>
      </c>
      <c r="K264" s="65" t="str">
        <f>IFERROR(__xludf.DUMMYFUNCTION("""COMPUTED_VALUE"""),"ENTREGADO")</f>
        <v>ENTREGADO</v>
      </c>
      <c r="L264" s="65" t="str">
        <f>IFERROR(__xludf.DUMMYFUNCTION("""COMPUTED_VALUE"""),"CON RECAUDO")</f>
        <v>CON RECAUDO</v>
      </c>
      <c r="M264" s="65" t="str">
        <f>IFERROR(__xludf.DUMMYFUNCTION("""COMPUTED_VALUE"""),"PICHINCHA")</f>
        <v>PICHINCHA</v>
      </c>
      <c r="N264" s="65" t="str">
        <f>IFERROR(__xludf.DUMMYFUNCTION("""COMPUTED_VALUE"""),"QUITO")</f>
        <v>QUITO</v>
      </c>
      <c r="O264" s="65" t="str">
        <f>IFERROR(__xludf.DUMMYFUNCTION("""COMPUTED_VALUE"""),"Sector carolina Sector carolina -")</f>
        <v>Sector carolina Sector carolina -</v>
      </c>
      <c r="P264" s="65"/>
      <c r="Q264" s="65" t="str">
        <f>IFERROR(__xludf.DUMMYFUNCTION("""COMPUTED_VALUE"""),"GINTRACOM")</f>
        <v>GINTRACOM</v>
      </c>
      <c r="R264" s="65">
        <f>IFERROR(__xludf.DUMMYFUNCTION("""COMPUTED_VALUE"""),20.0)</f>
        <v>20</v>
      </c>
      <c r="S264" s="65">
        <f>IFERROR(__xludf.DUMMYFUNCTION("""COMPUTED_VALUE"""),13.5)</f>
        <v>13.5</v>
      </c>
      <c r="T264" s="65">
        <f>IFERROR(__xludf.DUMMYFUNCTION("""COMPUTED_VALUE"""),4.15)</f>
        <v>4.15</v>
      </c>
      <c r="U264" s="65">
        <f>IFERROR(__xludf.DUMMYFUNCTION("""COMPUTED_VALUE"""),0.0)</f>
        <v>0</v>
      </c>
      <c r="V264" s="65">
        <f>IFERROR(__xludf.DUMMYFUNCTION("""COMPUTED_VALUE"""),0.0)</f>
        <v>0</v>
      </c>
      <c r="W264" s="65">
        <f>IFERROR(__xludf.DUMMYFUNCTION("""COMPUTED_VALUE"""),0.0)</f>
        <v>0</v>
      </c>
      <c r="X264" s="65">
        <f>IFERROR(__xludf.DUMMYFUNCTION("""COMPUTED_VALUE"""),2.35)</f>
        <v>2.35</v>
      </c>
      <c r="Y264" s="65">
        <f>IFERROR(__xludf.DUMMYFUNCTION("""COMPUTED_VALUE"""),2.35)</f>
        <v>2.35</v>
      </c>
      <c r="Z264" s="65">
        <f>IFERROR(__xludf.DUMMYFUNCTION("""COMPUTED_VALUE"""),116679.0)</f>
        <v>116679</v>
      </c>
      <c r="AA264" s="65" t="str">
        <f>IFERROR(__xludf.DUMMYFUNCTION("""COMPUTED_VALUE"""),"AMC-2738")</f>
        <v>AMC-2738</v>
      </c>
      <c r="AB264" s="65"/>
      <c r="AC264" s="65" t="str">
        <f>IFERROR(__xludf.DUMMYFUNCTION("""COMPUTED_VALUE"""),"ESPONJA ANTILLUVIA DE PARABRISAS")</f>
        <v>ESPONJA ANTILLUVIA DE PARABRISAS</v>
      </c>
      <c r="AD264" s="65"/>
      <c r="AE264" s="65">
        <f>IFERROR(__xludf.DUMMYFUNCTION("""COMPUTED_VALUE"""),1.0)</f>
        <v>1</v>
      </c>
      <c r="AF264" s="65"/>
      <c r="AG264" s="65"/>
      <c r="AH264" s="65"/>
      <c r="AI264" s="65"/>
      <c r="AJ264" s="65"/>
      <c r="AK264" s="65"/>
      <c r="AL264" s="65"/>
      <c r="AM264" s="65"/>
      <c r="AN264" s="65" t="str">
        <f>IFERROR(__xludf.DUMMYFUNCTION("""COMPUTED_VALUE"""),"12:56")</f>
        <v>12:56</v>
      </c>
      <c r="AO264" s="65" t="str">
        <f>IFERROR(__xludf.DUMMYFUNCTION("""COMPUTED_VALUE"""),"12-03-2026")</f>
        <v>12-03-2026</v>
      </c>
      <c r="AP264" s="65" t="str">
        <f>IFERROR(__xludf.DUMMYFUNCTION("""COMPUTED_VALUE"""),"ENTREGADA GINTRACOM")</f>
        <v>ENTREGADA GINTRACOM</v>
      </c>
      <c r="AQ264" s="65" t="str">
        <f>IFERROR(__xludf.DUMMYFUNCTION("""COMPUTED_VALUE"""),"ENTREGADA GINTRACOM")</f>
        <v>ENTREGADA GINTRACOM</v>
      </c>
      <c r="AR264" s="65"/>
      <c r="AS264" s="65"/>
      <c r="AT264" s="65" t="str">
        <f>IFERROR(__xludf.DUMMYFUNCTION("""COMPUTED_VALUE"""),"SHOPIFY")</f>
        <v>SHOPIFY</v>
      </c>
      <c r="AU264" s="65" t="str">
        <f>IFERROR(__xludf.DUMMYFUNCTION("""COMPUTED_VALUE"""),"IMPORTEX EC")</f>
        <v>IMPORTEX EC</v>
      </c>
      <c r="AV264" s="65" t="str">
        <f>IFERROR(__xludf.DUMMYFUNCTION("""COMPUTED_VALUE"""),"6564385292332")</f>
        <v>6564385292332</v>
      </c>
      <c r="AW264" s="65">
        <f>IFERROR(__xludf.DUMMYFUNCTION("""COMPUTED_VALUE"""),6592.0)</f>
        <v>6592</v>
      </c>
      <c r="AX264" s="65"/>
      <c r="AY264" s="65" t="str">
        <f>IFERROR(__xludf.DUMMYFUNCTION("""COMPUTED_VALUE"""),"11/03/2026")</f>
        <v>11/03/2026</v>
      </c>
      <c r="AZ264" s="65"/>
      <c r="BA264" s="65"/>
    </row>
    <row r="265">
      <c r="A265" s="65" t="str">
        <f>IFERROR(__xludf.DUMMYFUNCTION("""COMPUTED_VALUE"""),"27-03-2026")</f>
        <v>27-03-2026</v>
      </c>
      <c r="B265" s="65">
        <f>IFERROR(__xludf.DUMMYFUNCTION("""COMPUTED_VALUE"""),4732167.0)</f>
        <v>4732167</v>
      </c>
      <c r="C265" s="65" t="str">
        <f>IFERROR(__xludf.DUMMYFUNCTION("""COMPUTED_VALUE"""),"21:34")</f>
        <v>21:34</v>
      </c>
      <c r="D265" s="65" t="str">
        <f>IFERROR(__xludf.DUMMYFUNCTION("""COMPUTED_VALUE"""),"07-03-2026")</f>
        <v>07-03-2026</v>
      </c>
      <c r="E265" s="65" t="str">
        <f>IFERROR(__xludf.DUMMYFUNCTION("""COMPUTED_VALUE"""),"Ale Castillo Mosquera")</f>
        <v>Ale Castillo Mosquera</v>
      </c>
      <c r="F265" s="65" t="str">
        <f>IFERROR(__xludf.DUMMYFUNCTION("""COMPUTED_VALUE"""),"987598957")</f>
        <v>987598957</v>
      </c>
      <c r="G265" s="65" t="str">
        <f>IFERROR(__xludf.DUMMYFUNCTION("""COMPUTED_VALUE"""),"dralejandrocastillom@gmail.com")</f>
        <v>dralejandrocastillom@gmail.com</v>
      </c>
      <c r="H265" s="65"/>
      <c r="I265" s="65"/>
      <c r="J265" s="65" t="str">
        <f>IFERROR(__xludf.DUMMYFUNCTION("""COMPUTED_VALUE"""),"D001401260")</f>
        <v>D001401260</v>
      </c>
      <c r="K265" s="65" t="str">
        <f>IFERROR(__xludf.DUMMYFUNCTION("""COMPUTED_VALUE"""),"DEVOLUCION")</f>
        <v>DEVOLUCION</v>
      </c>
      <c r="L265" s="65" t="str">
        <f>IFERROR(__xludf.DUMMYFUNCTION("""COMPUTED_VALUE"""),"CON RECAUDO")</f>
        <v>CON RECAUDO</v>
      </c>
      <c r="M265" s="65" t="str">
        <f>IFERROR(__xludf.DUMMYFUNCTION("""COMPUTED_VALUE"""),"PICHINCHA")</f>
        <v>PICHINCHA</v>
      </c>
      <c r="N265" s="65" t="str">
        <f>IFERROR(__xludf.DUMMYFUNCTION("""COMPUTED_VALUE"""),"QUITO")</f>
        <v>QUITO</v>
      </c>
      <c r="O265" s="65" t="str">
        <f>IFERROR(__xludf.DUMMYFUNCTION("""COMPUTED_VALUE"""),"Nicolas Delgado 274 y Camilo Egas, urbanización San Isidro II, Miravalle - REFERENCIA: Atrás de la gasolinera de Miravalle")</f>
        <v>Nicolas Delgado 274 y Camilo Egas, urbanización San Isidro II, Miravalle - REFERENCIA: Atrás de la gasolinera de Miravalle</v>
      </c>
      <c r="P265" s="65"/>
      <c r="Q265" s="65" t="str">
        <f>IFERROR(__xludf.DUMMYFUNCTION("""COMPUTED_VALUE"""),"GINTRACOM")</f>
        <v>GINTRACOM</v>
      </c>
      <c r="R265" s="65">
        <f>IFERROR(__xludf.DUMMYFUNCTION("""COMPUTED_VALUE"""),32.01)</f>
        <v>32.01</v>
      </c>
      <c r="S265" s="65"/>
      <c r="T265" s="65">
        <f>IFERROR(__xludf.DUMMYFUNCTION("""COMPUTED_VALUE"""),6.24)</f>
        <v>6.24</v>
      </c>
      <c r="U265" s="65">
        <f>IFERROR(__xludf.DUMMYFUNCTION("""COMPUTED_VALUE"""),0.0)</f>
        <v>0</v>
      </c>
      <c r="V265" s="65">
        <f>IFERROR(__xludf.DUMMYFUNCTION("""COMPUTED_VALUE"""),0.0)</f>
        <v>0</v>
      </c>
      <c r="W265" s="65">
        <f>IFERROR(__xludf.DUMMYFUNCTION("""COMPUTED_VALUE"""),0.0)</f>
        <v>0</v>
      </c>
      <c r="X265" s="65">
        <f>IFERROR(__xludf.DUMMYFUNCTION("""COMPUTED_VALUE"""),3.5)</f>
        <v>3.5</v>
      </c>
      <c r="Y265" s="65">
        <f>IFERROR(__xludf.DUMMYFUNCTION("""COMPUTED_VALUE"""),10.5)</f>
        <v>10.5</v>
      </c>
      <c r="Z265" s="65">
        <f>IFERROR(__xludf.DUMMYFUNCTION("""COMPUTED_VALUE"""),87095.0)</f>
        <v>87095</v>
      </c>
      <c r="AA265" s="65" t="str">
        <f>IFERROR(__xludf.DUMMYFUNCTION("""COMPUTED_VALUE"""),"FILTRO DE DRENAJE")</f>
        <v>FILTRO DE DRENAJE</v>
      </c>
      <c r="AB265" s="65"/>
      <c r="AC265" s="65" t="str">
        <f>IFERROR(__xludf.DUMMYFUNCTION("""COMPUTED_VALUE"""),"FILTRO DE DRENAJE")</f>
        <v>FILTRO DE DRENAJE</v>
      </c>
      <c r="AD265" s="65"/>
      <c r="AE265" s="65">
        <f>IFERROR(__xludf.DUMMYFUNCTION("""COMPUTED_VALUE"""),3.0)</f>
        <v>3</v>
      </c>
      <c r="AF265" s="65" t="str">
        <f>IFERROR(__xludf.DUMMYFUNCTION("""COMPUTED_VALUE"""),"DESTINATARIO INDICA QUE ESTÁ INCONFORME CON EL PRODUCTO. (NO RECIBE)")</f>
        <v>DESTINATARIO INDICA QUE ESTÁ INCONFORME CON EL PRODUCTO. (NO RECIBE)</v>
      </c>
      <c r="AG265" s="65" t="str">
        <f>IFERROR(__xludf.DUMMYFUNCTION("""COMPUTED_VALUE"""),"SI")</f>
        <v>SI</v>
      </c>
      <c r="AH265" s="65" t="str">
        <f>IFERROR(__xludf.DUMMYFUNCTION("""COMPUTED_VALUE"""),"13:47")</f>
        <v>13:47</v>
      </c>
      <c r="AI265" s="65" t="str">
        <f>IFERROR(__xludf.DUMMYFUNCTION("""COMPUTED_VALUE"""),"11-03-2026")</f>
        <v>11-03-2026</v>
      </c>
      <c r="AJ265" s="65" t="str">
        <f>IFERROR(__xludf.DUMMYFUNCTION("""COMPUTED_VALUE"""),"Cliente solicita la entrega inmediata")</f>
        <v>Cliente solicita la entrega inmediata</v>
      </c>
      <c r="AK265" s="65" t="str">
        <f>IFERROR(__xludf.DUMMYFUNCTION("""COMPUTED_VALUE"""),"14:12")</f>
        <v>14:12</v>
      </c>
      <c r="AL265" s="65" t="str">
        <f>IFERROR(__xludf.DUMMYFUNCTION("""COMPUTED_VALUE"""),"13-03-2026")</f>
        <v>13-03-2026</v>
      </c>
      <c r="AM265" s="65"/>
      <c r="AN265" s="65" t="str">
        <f>IFERROR(__xludf.DUMMYFUNCTION("""COMPUTED_VALUE"""),"15:07")</f>
        <v>15:07</v>
      </c>
      <c r="AO265" s="65" t="str">
        <f>IFERROR(__xludf.DUMMYFUNCTION("""COMPUTED_VALUE"""),"26-03-2026")</f>
        <v>26-03-2026</v>
      </c>
      <c r="AP265" s="65" t="str">
        <f>IFERROR(__xludf.DUMMYFUNCTION("""COMPUTED_VALUE"""),"DEVOLUCIÓN ENTREGADA A ORIGEN")</f>
        <v>DEVOLUCIÓN ENTREGADA A ORIGEN</v>
      </c>
      <c r="AQ265" s="65" t="str">
        <f>IFERROR(__xludf.DUMMYFUNCTION("""COMPUTED_VALUE"""),"DEVOLUCIÓN ENTREGADA A ORIGEN")</f>
        <v>DEVOLUCIÓN ENTREGADA A ORIGEN</v>
      </c>
      <c r="AR265" s="65"/>
      <c r="AS265" s="65"/>
      <c r="AT265" s="65" t="str">
        <f>IFERROR(__xludf.DUMMYFUNCTION("""COMPUTED_VALUE"""),"SHOPIFY")</f>
        <v>SHOPIFY</v>
      </c>
      <c r="AU265" s="65" t="str">
        <f>IFERROR(__xludf.DUMMYFUNCTION("""COMPUTED_VALUE"""),"IMPORTEX EC")</f>
        <v>IMPORTEX EC</v>
      </c>
      <c r="AV265" s="65" t="str">
        <f>IFERROR(__xludf.DUMMYFUNCTION("""COMPUTED_VALUE"""),"6564321624108")</f>
        <v>6564321624108</v>
      </c>
      <c r="AW265" s="65">
        <f>IFERROR(__xludf.DUMMYFUNCTION("""COMPUTED_VALUE"""),6591.0)</f>
        <v>6591</v>
      </c>
      <c r="AX265" s="65"/>
      <c r="AY265" s="65" t="str">
        <f>IFERROR(__xludf.DUMMYFUNCTION("""COMPUTED_VALUE"""),"10/03/2026")</f>
        <v>10/03/2026</v>
      </c>
      <c r="AZ265" s="65"/>
      <c r="BA265" s="65"/>
    </row>
    <row r="266">
      <c r="A266" s="65" t="str">
        <f>IFERROR(__xludf.DUMMYFUNCTION("""COMPUTED_VALUE"""),"27-03-2026")</f>
        <v>27-03-2026</v>
      </c>
      <c r="B266" s="65">
        <f>IFERROR(__xludf.DUMMYFUNCTION("""COMPUTED_VALUE"""),4731930.0)</f>
        <v>4731930</v>
      </c>
      <c r="C266" s="65" t="str">
        <f>IFERROR(__xludf.DUMMYFUNCTION("""COMPUTED_VALUE"""),"21:04")</f>
        <v>21:04</v>
      </c>
      <c r="D266" s="65" t="str">
        <f>IFERROR(__xludf.DUMMYFUNCTION("""COMPUTED_VALUE"""),"07-03-2026")</f>
        <v>07-03-2026</v>
      </c>
      <c r="E266" s="65" t="str">
        <f>IFERROR(__xludf.DUMMYFUNCTION("""COMPUTED_VALUE"""),"Boris Marquez")</f>
        <v>Boris Marquez</v>
      </c>
      <c r="F266" s="65" t="str">
        <f>IFERROR(__xludf.DUMMYFUNCTION("""COMPUTED_VALUE"""),"962523375")</f>
        <v>962523375</v>
      </c>
      <c r="G266" s="65" t="str">
        <f>IFERROR(__xludf.DUMMYFUNCTION("""COMPUTED_VALUE"""),"marquezboris931@gmai.com")</f>
        <v>marquezboris931@gmai.com</v>
      </c>
      <c r="H266" s="65"/>
      <c r="I266" s="65"/>
      <c r="J266" s="65" t="str">
        <f>IFERROR(__xludf.DUMMYFUNCTION("""COMPUTED_VALUE"""),"D001398285")</f>
        <v>D001398285</v>
      </c>
      <c r="K266" s="65" t="str">
        <f>IFERROR(__xludf.DUMMYFUNCTION("""COMPUTED_VALUE"""),"ENTREGADO")</f>
        <v>ENTREGADO</v>
      </c>
      <c r="L266" s="65" t="str">
        <f>IFERROR(__xludf.DUMMYFUNCTION("""COMPUTED_VALUE"""),"CON RECAUDO")</f>
        <v>CON RECAUDO</v>
      </c>
      <c r="M266" s="65" t="str">
        <f>IFERROR(__xludf.DUMMYFUNCTION("""COMPUTED_VALUE"""),"AZUAY")</f>
        <v>AZUAY</v>
      </c>
      <c r="N266" s="65" t="str">
        <f>IFERROR(__xludf.DUMMYFUNCTION("""COMPUTED_VALUE"""),"CUENCA")</f>
        <v>CUENCA</v>
      </c>
      <c r="O266" s="65" t="str">
        <f>IFERROR(__xludf.DUMMYFUNCTION("""COMPUTED_VALUE"""),"Jose Ortega y Gaset 14-16 , Antigua vía a Turi - Redondel de los tres puentes")</f>
        <v>Jose Ortega y Gaset 14-16 , Antigua vía a Turi - Redondel de los tres puentes</v>
      </c>
      <c r="P266" s="65"/>
      <c r="Q266" s="65" t="str">
        <f>IFERROR(__xludf.DUMMYFUNCTION("""COMPUTED_VALUE"""),"GINTRACOM")</f>
        <v>GINTRACOM</v>
      </c>
      <c r="R266" s="65">
        <f>IFERROR(__xludf.DUMMYFUNCTION("""COMPUTED_VALUE"""),30.0)</f>
        <v>30</v>
      </c>
      <c r="S266" s="65">
        <f>IFERROR(__xludf.DUMMYFUNCTION("""COMPUTED_VALUE"""),16.79)</f>
        <v>16.79</v>
      </c>
      <c r="T266" s="65">
        <f>IFERROR(__xludf.DUMMYFUNCTION("""COMPUTED_VALUE"""),6.16)</f>
        <v>6.16</v>
      </c>
      <c r="U266" s="65">
        <f>IFERROR(__xludf.DUMMYFUNCTION("""COMPUTED_VALUE"""),0.0)</f>
        <v>0</v>
      </c>
      <c r="V266" s="65">
        <f>IFERROR(__xludf.DUMMYFUNCTION("""COMPUTED_VALUE"""),0.0)</f>
        <v>0</v>
      </c>
      <c r="W266" s="65">
        <f>IFERROR(__xludf.DUMMYFUNCTION("""COMPUTED_VALUE"""),0.0)</f>
        <v>0</v>
      </c>
      <c r="X266" s="65">
        <f>IFERROR(__xludf.DUMMYFUNCTION("""COMPUTED_VALUE"""),2.35)</f>
        <v>2.35</v>
      </c>
      <c r="Y266" s="65">
        <f>IFERROR(__xludf.DUMMYFUNCTION("""COMPUTED_VALUE"""),7.05)</f>
        <v>7.05</v>
      </c>
      <c r="Z266" s="65">
        <f>IFERROR(__xludf.DUMMYFUNCTION("""COMPUTED_VALUE"""),116679.0)</f>
        <v>116679</v>
      </c>
      <c r="AA266" s="65" t="str">
        <f>IFERROR(__xludf.DUMMYFUNCTION("""COMPUTED_VALUE"""),"AMC-2738")</f>
        <v>AMC-2738</v>
      </c>
      <c r="AB266" s="65"/>
      <c r="AC266" s="65" t="str">
        <f>IFERROR(__xludf.DUMMYFUNCTION("""COMPUTED_VALUE"""),"ESPONJA ANTILLUVIA DE PARABRISAS")</f>
        <v>ESPONJA ANTILLUVIA DE PARABRISAS</v>
      </c>
      <c r="AD266" s="65"/>
      <c r="AE266" s="65">
        <f>IFERROR(__xludf.DUMMYFUNCTION("""COMPUTED_VALUE"""),3.0)</f>
        <v>3</v>
      </c>
      <c r="AF266" s="65"/>
      <c r="AG266" s="65"/>
      <c r="AH266" s="65"/>
      <c r="AI266" s="65"/>
      <c r="AJ266" s="65"/>
      <c r="AK266" s="65"/>
      <c r="AL266" s="65"/>
      <c r="AM266" s="65"/>
      <c r="AN266" s="65" t="str">
        <f>IFERROR(__xludf.DUMMYFUNCTION("""COMPUTED_VALUE"""),"13:11")</f>
        <v>13:11</v>
      </c>
      <c r="AO266" s="65" t="str">
        <f>IFERROR(__xludf.DUMMYFUNCTION("""COMPUTED_VALUE"""),"13-03-2026")</f>
        <v>13-03-2026</v>
      </c>
      <c r="AP266" s="65" t="str">
        <f>IFERROR(__xludf.DUMMYFUNCTION("""COMPUTED_VALUE"""),"ENTREGADA GINTRACOM")</f>
        <v>ENTREGADA GINTRACOM</v>
      </c>
      <c r="AQ266" s="65" t="str">
        <f>IFERROR(__xludf.DUMMYFUNCTION("""COMPUTED_VALUE"""),"ENTREGADA GINTRACOM")</f>
        <v>ENTREGADA GINTRACOM</v>
      </c>
      <c r="AR266" s="65"/>
      <c r="AS266" s="65"/>
      <c r="AT266" s="65" t="str">
        <f>IFERROR(__xludf.DUMMYFUNCTION("""COMPUTED_VALUE"""),"SHOPIFY")</f>
        <v>SHOPIFY</v>
      </c>
      <c r="AU266" s="65" t="str">
        <f>IFERROR(__xludf.DUMMYFUNCTION("""COMPUTED_VALUE"""),"IMPORTEX EC")</f>
        <v>IMPORTEX EC</v>
      </c>
      <c r="AV266" s="65" t="str">
        <f>IFERROR(__xludf.DUMMYFUNCTION("""COMPUTED_VALUE"""),"6564272439340")</f>
        <v>6564272439340</v>
      </c>
      <c r="AW266" s="65">
        <f>IFERROR(__xludf.DUMMYFUNCTION("""COMPUTED_VALUE"""),6590.0)</f>
        <v>6590</v>
      </c>
      <c r="AX266" s="65"/>
      <c r="AY266" s="65" t="str">
        <f>IFERROR(__xludf.DUMMYFUNCTION("""COMPUTED_VALUE"""),"09/03/2026")</f>
        <v>09/03/2026</v>
      </c>
      <c r="AZ266" s="65"/>
      <c r="BA266" s="65"/>
    </row>
    <row r="267">
      <c r="A267" s="65" t="str">
        <f>IFERROR(__xludf.DUMMYFUNCTION("""COMPUTED_VALUE"""),"27-03-2026")</f>
        <v>27-03-2026</v>
      </c>
      <c r="B267" s="65">
        <f>IFERROR(__xludf.DUMMYFUNCTION("""COMPUTED_VALUE"""),4731809.0)</f>
        <v>4731809</v>
      </c>
      <c r="C267" s="65" t="str">
        <f>IFERROR(__xludf.DUMMYFUNCTION("""COMPUTED_VALUE"""),"20:49")</f>
        <v>20:49</v>
      </c>
      <c r="D267" s="65" t="str">
        <f>IFERROR(__xludf.DUMMYFUNCTION("""COMPUTED_VALUE"""),"07-03-2026")</f>
        <v>07-03-2026</v>
      </c>
      <c r="E267" s="65" t="str">
        <f>IFERROR(__xludf.DUMMYFUNCTION("""COMPUTED_VALUE"""),"Roberto tapia Mejía")</f>
        <v>Roberto tapia Mejía</v>
      </c>
      <c r="F267" s="65" t="str">
        <f>IFERROR(__xludf.DUMMYFUNCTION("""COMPUTED_VALUE"""),"968253945")</f>
        <v>968253945</v>
      </c>
      <c r="G267" s="65" t="str">
        <f>IFERROR(__xludf.DUMMYFUNCTION("""COMPUTED_VALUE"""),"kimberlytapiaq@gmail.com")</f>
        <v>kimberlytapiaq@gmail.com</v>
      </c>
      <c r="H267" s="65"/>
      <c r="I267" s="65"/>
      <c r="J267" s="65" t="str">
        <f>IFERROR(__xludf.DUMMYFUNCTION("""COMPUTED_VALUE"""),"D001398286")</f>
        <v>D001398286</v>
      </c>
      <c r="K267" s="65" t="str">
        <f>IFERROR(__xludf.DUMMYFUNCTION("""COMPUTED_VALUE"""),"ENTREGADO")</f>
        <v>ENTREGADO</v>
      </c>
      <c r="L267" s="65" t="str">
        <f>IFERROR(__xludf.DUMMYFUNCTION("""COMPUTED_VALUE"""),"CON RECAUDO")</f>
        <v>CON RECAUDO</v>
      </c>
      <c r="M267" s="65" t="str">
        <f>IFERROR(__xludf.DUMMYFUNCTION("""COMPUTED_VALUE"""),"CAÑAR")</f>
        <v>CAÑAR</v>
      </c>
      <c r="N267" s="65" t="str">
        <f>IFERROR(__xludf.DUMMYFUNCTION("""COMPUTED_VALUE"""),"LA TRONCAL")</f>
        <v>LA TRONCAL</v>
      </c>
      <c r="O267" s="65" t="str">
        <f>IFERROR(__xludf.DUMMYFUNCTION("""COMPUTED_VALUE"""),"1 de mayo y  luis cordero -")</f>
        <v>1 de mayo y  luis cordero -</v>
      </c>
      <c r="P267" s="65"/>
      <c r="Q267" s="65" t="str">
        <f>IFERROR(__xludf.DUMMYFUNCTION("""COMPUTED_VALUE"""),"GINTRACOM")</f>
        <v>GINTRACOM</v>
      </c>
      <c r="R267" s="65">
        <f>IFERROR(__xludf.DUMMYFUNCTION("""COMPUTED_VALUE"""),20.0)</f>
        <v>20</v>
      </c>
      <c r="S267" s="65">
        <f>IFERROR(__xludf.DUMMYFUNCTION("""COMPUTED_VALUE"""),11.89)</f>
        <v>11.89</v>
      </c>
      <c r="T267" s="65">
        <f>IFERROR(__xludf.DUMMYFUNCTION("""COMPUTED_VALUE"""),5.76)</f>
        <v>5.76</v>
      </c>
      <c r="U267" s="65">
        <f>IFERROR(__xludf.DUMMYFUNCTION("""COMPUTED_VALUE"""),0.0)</f>
        <v>0</v>
      </c>
      <c r="V267" s="65">
        <f>IFERROR(__xludf.DUMMYFUNCTION("""COMPUTED_VALUE"""),0.0)</f>
        <v>0</v>
      </c>
      <c r="W267" s="65">
        <f>IFERROR(__xludf.DUMMYFUNCTION("""COMPUTED_VALUE"""),0.0)</f>
        <v>0</v>
      </c>
      <c r="X267" s="65">
        <f>IFERROR(__xludf.DUMMYFUNCTION("""COMPUTED_VALUE"""),2.35)</f>
        <v>2.35</v>
      </c>
      <c r="Y267" s="65">
        <f>IFERROR(__xludf.DUMMYFUNCTION("""COMPUTED_VALUE"""),2.35)</f>
        <v>2.35</v>
      </c>
      <c r="Z267" s="65">
        <f>IFERROR(__xludf.DUMMYFUNCTION("""COMPUTED_VALUE"""),116679.0)</f>
        <v>116679</v>
      </c>
      <c r="AA267" s="65" t="str">
        <f>IFERROR(__xludf.DUMMYFUNCTION("""COMPUTED_VALUE"""),"AMC-2738")</f>
        <v>AMC-2738</v>
      </c>
      <c r="AB267" s="65"/>
      <c r="AC267" s="65" t="str">
        <f>IFERROR(__xludf.DUMMYFUNCTION("""COMPUTED_VALUE"""),"ESPONJA ANTILLUVIA DE PARABRISAS")</f>
        <v>ESPONJA ANTILLUVIA DE PARABRISAS</v>
      </c>
      <c r="AD267" s="65"/>
      <c r="AE267" s="65">
        <f>IFERROR(__xludf.DUMMYFUNCTION("""COMPUTED_VALUE"""),1.0)</f>
        <v>1</v>
      </c>
      <c r="AF267" s="65"/>
      <c r="AG267" s="65"/>
      <c r="AH267" s="65"/>
      <c r="AI267" s="65"/>
      <c r="AJ267" s="65"/>
      <c r="AK267" s="65"/>
      <c r="AL267" s="65"/>
      <c r="AM267" s="65"/>
      <c r="AN267" s="65" t="str">
        <f>IFERROR(__xludf.DUMMYFUNCTION("""COMPUTED_VALUE"""),"18:05")</f>
        <v>18:05</v>
      </c>
      <c r="AO267" s="65" t="str">
        <f>IFERROR(__xludf.DUMMYFUNCTION("""COMPUTED_VALUE"""),"13-03-2026")</f>
        <v>13-03-2026</v>
      </c>
      <c r="AP267" s="65" t="str">
        <f>IFERROR(__xludf.DUMMYFUNCTION("""COMPUTED_VALUE"""),"ENTREGADA GINTRACOM")</f>
        <v>ENTREGADA GINTRACOM</v>
      </c>
      <c r="AQ267" s="65" t="str">
        <f>IFERROR(__xludf.DUMMYFUNCTION("""COMPUTED_VALUE"""),"ENTREGADA GINTRACOM")</f>
        <v>ENTREGADA GINTRACOM</v>
      </c>
      <c r="AR267" s="65"/>
      <c r="AS267" s="65"/>
      <c r="AT267" s="65" t="str">
        <f>IFERROR(__xludf.DUMMYFUNCTION("""COMPUTED_VALUE"""),"SHOPIFY")</f>
        <v>SHOPIFY</v>
      </c>
      <c r="AU267" s="65" t="str">
        <f>IFERROR(__xludf.DUMMYFUNCTION("""COMPUTED_VALUE"""),"IMPORTEX EC")</f>
        <v>IMPORTEX EC</v>
      </c>
      <c r="AV267" s="65" t="str">
        <f>IFERROR(__xludf.DUMMYFUNCTION("""COMPUTED_VALUE"""),"6564247109676")</f>
        <v>6564247109676</v>
      </c>
      <c r="AW267" s="65">
        <f>IFERROR(__xludf.DUMMYFUNCTION("""COMPUTED_VALUE"""),6589.0)</f>
        <v>6589</v>
      </c>
      <c r="AX267" s="65"/>
      <c r="AY267" s="65" t="str">
        <f>IFERROR(__xludf.DUMMYFUNCTION("""COMPUTED_VALUE"""),"09/03/2026")</f>
        <v>09/03/2026</v>
      </c>
      <c r="AZ267" s="65"/>
      <c r="BA267" s="65"/>
    </row>
    <row r="268">
      <c r="A268" s="65" t="str">
        <f>IFERROR(__xludf.DUMMYFUNCTION("""COMPUTED_VALUE"""),"27-03-2026")</f>
        <v>27-03-2026</v>
      </c>
      <c r="B268" s="65">
        <f>IFERROR(__xludf.DUMMYFUNCTION("""COMPUTED_VALUE"""),4731695.0)</f>
        <v>4731695</v>
      </c>
      <c r="C268" s="65" t="str">
        <f>IFERROR(__xludf.DUMMYFUNCTION("""COMPUTED_VALUE"""),"20:32")</f>
        <v>20:32</v>
      </c>
      <c r="D268" s="65" t="str">
        <f>IFERROR(__xludf.DUMMYFUNCTION("""COMPUTED_VALUE"""),"07-03-2026")</f>
        <v>07-03-2026</v>
      </c>
      <c r="E268" s="65" t="str">
        <f>IFERROR(__xludf.DUMMYFUNCTION("""COMPUTED_VALUE"""),"Hugo Ortiz")</f>
        <v>Hugo Ortiz</v>
      </c>
      <c r="F268" s="65" t="str">
        <f>IFERROR(__xludf.DUMMYFUNCTION("""COMPUTED_VALUE"""),"992110625")</f>
        <v>992110625</v>
      </c>
      <c r="G268" s="65" t="str">
        <f>IFERROR(__xludf.DUMMYFUNCTION("""COMPUTED_VALUE"""),"ortizrivadeneira@gmail.com")</f>
        <v>ortizrivadeneira@gmail.com</v>
      </c>
      <c r="H268" s="65"/>
      <c r="I268" s="65"/>
      <c r="J268" s="65" t="str">
        <f>IFERROR(__xludf.DUMMYFUNCTION("""COMPUTED_VALUE"""),"D001401261")</f>
        <v>D001401261</v>
      </c>
      <c r="K268" s="65" t="str">
        <f>IFERROR(__xludf.DUMMYFUNCTION("""COMPUTED_VALUE"""),"DEVOLUCION")</f>
        <v>DEVOLUCION</v>
      </c>
      <c r="L268" s="65" t="str">
        <f>IFERROR(__xludf.DUMMYFUNCTION("""COMPUTED_VALUE"""),"CON RECAUDO")</f>
        <v>CON RECAUDO</v>
      </c>
      <c r="M268" s="65" t="str">
        <f>IFERROR(__xludf.DUMMYFUNCTION("""COMPUTED_VALUE"""),"CHIMBORAZO")</f>
        <v>CHIMBORAZO</v>
      </c>
      <c r="N268" s="65" t="str">
        <f>IFERROR(__xludf.DUMMYFUNCTION("""COMPUTED_VALUE"""),"RIOBAMBA")</f>
        <v>RIOBAMBA</v>
      </c>
      <c r="O268" s="65" t="str">
        <f>IFERROR(__xludf.DUMMYFUNCTION("""COMPUTED_VALUE"""),"Huayna Capac 21-35 y Calicuchima Parque de Piedra -")</f>
        <v>Huayna Capac 21-35 y Calicuchima Parque de Piedra -</v>
      </c>
      <c r="P268" s="65"/>
      <c r="Q268" s="65" t="str">
        <f>IFERROR(__xludf.DUMMYFUNCTION("""COMPUTED_VALUE"""),"GINTRACOM")</f>
        <v>GINTRACOM</v>
      </c>
      <c r="R268" s="65">
        <f>IFERROR(__xludf.DUMMYFUNCTION("""COMPUTED_VALUE"""),32.01)</f>
        <v>32.01</v>
      </c>
      <c r="S268" s="65"/>
      <c r="T268" s="65">
        <f>IFERROR(__xludf.DUMMYFUNCTION("""COMPUTED_VALUE"""),6.24)</f>
        <v>6.24</v>
      </c>
      <c r="U268" s="65">
        <f>IFERROR(__xludf.DUMMYFUNCTION("""COMPUTED_VALUE"""),0.0)</f>
        <v>0</v>
      </c>
      <c r="V268" s="65">
        <f>IFERROR(__xludf.DUMMYFUNCTION("""COMPUTED_VALUE"""),0.0)</f>
        <v>0</v>
      </c>
      <c r="W268" s="65">
        <f>IFERROR(__xludf.DUMMYFUNCTION("""COMPUTED_VALUE"""),0.0)</f>
        <v>0</v>
      </c>
      <c r="X268" s="65">
        <f>IFERROR(__xludf.DUMMYFUNCTION("""COMPUTED_VALUE"""),3.5)</f>
        <v>3.5</v>
      </c>
      <c r="Y268" s="65">
        <f>IFERROR(__xludf.DUMMYFUNCTION("""COMPUTED_VALUE"""),10.5)</f>
        <v>10.5</v>
      </c>
      <c r="Z268" s="65">
        <f>IFERROR(__xludf.DUMMYFUNCTION("""COMPUTED_VALUE"""),87095.0)</f>
        <v>87095</v>
      </c>
      <c r="AA268" s="65" t="str">
        <f>IFERROR(__xludf.DUMMYFUNCTION("""COMPUTED_VALUE"""),"FILTRO DE DRENAJE")</f>
        <v>FILTRO DE DRENAJE</v>
      </c>
      <c r="AB268" s="65"/>
      <c r="AC268" s="65" t="str">
        <f>IFERROR(__xludf.DUMMYFUNCTION("""COMPUTED_VALUE"""),"FILTRO DE DRENAJE")</f>
        <v>FILTRO DE DRENAJE</v>
      </c>
      <c r="AD268" s="65"/>
      <c r="AE268" s="65">
        <f>IFERROR(__xludf.DUMMYFUNCTION("""COMPUTED_VALUE"""),3.0)</f>
        <v>3</v>
      </c>
      <c r="AF268" s="65"/>
      <c r="AG268" s="65"/>
      <c r="AH268" s="65"/>
      <c r="AI268" s="65"/>
      <c r="AJ268" s="65"/>
      <c r="AK268" s="65"/>
      <c r="AL268" s="65"/>
      <c r="AM268" s="65"/>
      <c r="AN268" s="65" t="str">
        <f>IFERROR(__xludf.DUMMYFUNCTION("""COMPUTED_VALUE"""),"03:07")</f>
        <v>03:07</v>
      </c>
      <c r="AO268" s="65" t="str">
        <f>IFERROR(__xludf.DUMMYFUNCTION("""COMPUTED_VALUE"""),"20-03-2026")</f>
        <v>20-03-2026</v>
      </c>
      <c r="AP268" s="65" t="str">
        <f>IFERROR(__xludf.DUMMYFUNCTION("""COMPUTED_VALUE"""),"DEVOLUCIÓN")</f>
        <v>DEVOLUCIÓN</v>
      </c>
      <c r="AQ268" s="65" t="str">
        <f>IFERROR(__xludf.DUMMYFUNCTION("""COMPUTED_VALUE"""),"DEVOLUCIÓN")</f>
        <v>DEVOLUCIÓN</v>
      </c>
      <c r="AR268" s="65"/>
      <c r="AS268" s="65"/>
      <c r="AT268" s="65" t="str">
        <f>IFERROR(__xludf.DUMMYFUNCTION("""COMPUTED_VALUE"""),"SHOPIFY")</f>
        <v>SHOPIFY</v>
      </c>
      <c r="AU268" s="65" t="str">
        <f>IFERROR(__xludf.DUMMYFUNCTION("""COMPUTED_VALUE"""),"IMPORTEX EC")</f>
        <v>IMPORTEX EC</v>
      </c>
      <c r="AV268" s="65" t="str">
        <f>IFERROR(__xludf.DUMMYFUNCTION("""COMPUTED_VALUE"""),"6564220698668")</f>
        <v>6564220698668</v>
      </c>
      <c r="AW268" s="65">
        <f>IFERROR(__xludf.DUMMYFUNCTION("""COMPUTED_VALUE"""),6588.0)</f>
        <v>6588</v>
      </c>
      <c r="AX268" s="65"/>
      <c r="AY268" s="65" t="str">
        <f>IFERROR(__xludf.DUMMYFUNCTION("""COMPUTED_VALUE"""),"10/03/2026")</f>
        <v>10/03/2026</v>
      </c>
      <c r="AZ268" s="65"/>
      <c r="BA268" s="65"/>
    </row>
    <row r="269">
      <c r="A269" s="65" t="str">
        <f>IFERROR(__xludf.DUMMYFUNCTION("""COMPUTED_VALUE"""),"27-03-2026")</f>
        <v>27-03-2026</v>
      </c>
      <c r="B269" s="65">
        <f>IFERROR(__xludf.DUMMYFUNCTION("""COMPUTED_VALUE"""),4731668.0)</f>
        <v>4731668</v>
      </c>
      <c r="C269" s="65" t="str">
        <f>IFERROR(__xludf.DUMMYFUNCTION("""COMPUTED_VALUE"""),"20:29")</f>
        <v>20:29</v>
      </c>
      <c r="D269" s="65" t="str">
        <f>IFERROR(__xludf.DUMMYFUNCTION("""COMPUTED_VALUE"""),"07-03-2026")</f>
        <v>07-03-2026</v>
      </c>
      <c r="E269" s="65" t="str">
        <f>IFERROR(__xludf.DUMMYFUNCTION("""COMPUTED_VALUE"""),"Julio Hernandez")</f>
        <v>Julio Hernandez</v>
      </c>
      <c r="F269" s="65" t="str">
        <f>IFERROR(__xludf.DUMMYFUNCTION("""COMPUTED_VALUE"""),"983429124")</f>
        <v>983429124</v>
      </c>
      <c r="G269" s="65" t="str">
        <f>IFERROR(__xludf.DUMMYFUNCTION("""COMPUTED_VALUE"""),"jehthd2002@hotmail.com")</f>
        <v>jehthd2002@hotmail.com</v>
      </c>
      <c r="H269" s="65"/>
      <c r="I269" s="65"/>
      <c r="J269" s="65"/>
      <c r="K269" s="65" t="str">
        <f>IFERROR(__xludf.DUMMYFUNCTION("""COMPUTED_VALUE"""),"CANCELADO")</f>
        <v>CANCELADO</v>
      </c>
      <c r="L269" s="65" t="str">
        <f>IFERROR(__xludf.DUMMYFUNCTION("""COMPUTED_VALUE"""),"CON RECAUDO")</f>
        <v>CON RECAUDO</v>
      </c>
      <c r="M269" s="65" t="str">
        <f>IFERROR(__xludf.DUMMYFUNCTION("""COMPUTED_VALUE"""),"GUAYAS")</f>
        <v>GUAYAS</v>
      </c>
      <c r="N269" s="65" t="str">
        <f>IFERROR(__xludf.DUMMYFUNCTION("""COMPUTED_VALUE"""),"YAGUACHI")</f>
        <v>YAGUACHI</v>
      </c>
      <c r="O269" s="65" t="str">
        <f>IFERROR(__xludf.DUMMYFUNCTION("""COMPUTED_VALUE"""),"Servientrega Yaguachi -")</f>
        <v>Servientrega Yaguachi -</v>
      </c>
      <c r="P269" s="65"/>
      <c r="Q269" s="65" t="str">
        <f>IFERROR(__xludf.DUMMYFUNCTION("""COMPUTED_VALUE"""),"GINTRACOM")</f>
        <v>GINTRACOM</v>
      </c>
      <c r="R269" s="65">
        <f>IFERROR(__xludf.DUMMYFUNCTION("""COMPUTED_VALUE"""),30.0)</f>
        <v>30</v>
      </c>
      <c r="S269" s="65"/>
      <c r="T269" s="65">
        <f>IFERROR(__xludf.DUMMYFUNCTION("""COMPUTED_VALUE"""),6.73)</f>
        <v>6.73</v>
      </c>
      <c r="U269" s="65">
        <f>IFERROR(__xludf.DUMMYFUNCTION("""COMPUTED_VALUE"""),0.0)</f>
        <v>0</v>
      </c>
      <c r="V269" s="65">
        <f>IFERROR(__xludf.DUMMYFUNCTION("""COMPUTED_VALUE"""),0.0)</f>
        <v>0</v>
      </c>
      <c r="W269" s="65">
        <f>IFERROR(__xludf.DUMMYFUNCTION("""COMPUTED_VALUE"""),0.0)</f>
        <v>0</v>
      </c>
      <c r="X269" s="65">
        <f>IFERROR(__xludf.DUMMYFUNCTION("""COMPUTED_VALUE"""),2.35)</f>
        <v>2.35</v>
      </c>
      <c r="Y269" s="65">
        <f>IFERROR(__xludf.DUMMYFUNCTION("""COMPUTED_VALUE"""),7.05)</f>
        <v>7.05</v>
      </c>
      <c r="Z269" s="65">
        <f>IFERROR(__xludf.DUMMYFUNCTION("""COMPUTED_VALUE"""),116679.0)</f>
        <v>116679</v>
      </c>
      <c r="AA269" s="65" t="str">
        <f>IFERROR(__xludf.DUMMYFUNCTION("""COMPUTED_VALUE"""),"AMC-2738")</f>
        <v>AMC-2738</v>
      </c>
      <c r="AB269" s="65"/>
      <c r="AC269" s="65" t="str">
        <f>IFERROR(__xludf.DUMMYFUNCTION("""COMPUTED_VALUE"""),"ESPONJA ANTILLUVIA DE PARABRISAS")</f>
        <v>ESPONJA ANTILLUVIA DE PARABRISAS</v>
      </c>
      <c r="AD269" s="65"/>
      <c r="AE269" s="65">
        <f>IFERROR(__xludf.DUMMYFUNCTION("""COMPUTED_VALUE"""),3.0)</f>
        <v>3</v>
      </c>
      <c r="AF269" s="65"/>
      <c r="AG269" s="65"/>
      <c r="AH269" s="65"/>
      <c r="AI269" s="65"/>
      <c r="AJ269" s="65"/>
      <c r="AK269" s="65"/>
      <c r="AL269" s="65"/>
      <c r="AM269" s="65"/>
      <c r="AN269" s="65"/>
      <c r="AO269" s="65"/>
      <c r="AP269" s="65"/>
      <c r="AQ269" s="65"/>
      <c r="AR269" s="65"/>
      <c r="AS269" s="65"/>
      <c r="AT269" s="65" t="str">
        <f>IFERROR(__xludf.DUMMYFUNCTION("""COMPUTED_VALUE"""),"SHOPIFY")</f>
        <v>SHOPIFY</v>
      </c>
      <c r="AU269" s="65" t="str">
        <f>IFERROR(__xludf.DUMMYFUNCTION("""COMPUTED_VALUE"""),"IMPORTEX EC")</f>
        <v>IMPORTEX EC</v>
      </c>
      <c r="AV269" s="65" t="str">
        <f>IFERROR(__xludf.DUMMYFUNCTION("""COMPUTED_VALUE"""),"6564216012844")</f>
        <v>6564216012844</v>
      </c>
      <c r="AW269" s="65">
        <f>IFERROR(__xludf.DUMMYFUNCTION("""COMPUTED_VALUE"""),6587.0)</f>
        <v>6587</v>
      </c>
      <c r="AX269" s="65"/>
      <c r="AY269" s="65"/>
      <c r="AZ269" s="65"/>
      <c r="BA269" s="65"/>
    </row>
    <row r="270">
      <c r="A270" s="65" t="str">
        <f>IFERROR(__xludf.DUMMYFUNCTION("""COMPUTED_VALUE"""),"27-03-2026")</f>
        <v>27-03-2026</v>
      </c>
      <c r="B270" s="65">
        <f>IFERROR(__xludf.DUMMYFUNCTION("""COMPUTED_VALUE"""),4731652.0)</f>
        <v>4731652</v>
      </c>
      <c r="C270" s="65" t="str">
        <f>IFERROR(__xludf.DUMMYFUNCTION("""COMPUTED_VALUE"""),"20:25")</f>
        <v>20:25</v>
      </c>
      <c r="D270" s="65" t="str">
        <f>IFERROR(__xludf.DUMMYFUNCTION("""COMPUTED_VALUE"""),"07-03-2026")</f>
        <v>07-03-2026</v>
      </c>
      <c r="E270" s="65" t="str">
        <f>IFERROR(__xludf.DUMMYFUNCTION("""COMPUTED_VALUE"""),"Ricardo Yangua")</f>
        <v>Ricardo Yangua</v>
      </c>
      <c r="F270" s="65" t="str">
        <f>IFERROR(__xludf.DUMMYFUNCTION("""COMPUTED_VALUE"""),"999135818")</f>
        <v>999135818</v>
      </c>
      <c r="G270" s="65"/>
      <c r="H270" s="65"/>
      <c r="I270" s="65"/>
      <c r="J270" s="65"/>
      <c r="K270" s="65" t="str">
        <f>IFERROR(__xludf.DUMMYFUNCTION("""COMPUTED_VALUE"""),"CANCELADO")</f>
        <v>CANCELADO</v>
      </c>
      <c r="L270" s="65" t="str">
        <f>IFERROR(__xludf.DUMMYFUNCTION("""COMPUTED_VALUE"""),"CON RECAUDO")</f>
        <v>CON RECAUDO</v>
      </c>
      <c r="M270" s="65" t="str">
        <f>IFERROR(__xludf.DUMMYFUNCTION("""COMPUTED_VALUE"""),"MORONA SANTIAGO")</f>
        <v>MORONA SANTIAGO</v>
      </c>
      <c r="N270" s="65" t="str">
        <f>IFERROR(__xludf.DUMMYFUNCTION("""COMPUTED_VALUE"""),"SUCUA")</f>
        <v>SUCUA</v>
      </c>
      <c r="O270" s="65" t="str">
        <f>IFERROR(__xludf.DUMMYFUNCTION("""COMPUTED_VALUE"""),"8 de diciembre Servientrega -")</f>
        <v>8 de diciembre Servientrega -</v>
      </c>
      <c r="P270" s="65"/>
      <c r="Q270" s="65" t="str">
        <f>IFERROR(__xludf.DUMMYFUNCTION("""COMPUTED_VALUE"""),"LAARCOURIER")</f>
        <v>LAARCOURIER</v>
      </c>
      <c r="R270" s="65">
        <f>IFERROR(__xludf.DUMMYFUNCTION("""COMPUTED_VALUE"""),25.0)</f>
        <v>25</v>
      </c>
      <c r="S270" s="65"/>
      <c r="T270" s="65">
        <f>IFERROR(__xludf.DUMMYFUNCTION("""COMPUTED_VALUE"""),7.79)</f>
        <v>7.79</v>
      </c>
      <c r="U270" s="65">
        <f>IFERROR(__xludf.DUMMYFUNCTION("""COMPUTED_VALUE"""),0.0)</f>
        <v>0</v>
      </c>
      <c r="V270" s="65">
        <f>IFERROR(__xludf.DUMMYFUNCTION("""COMPUTED_VALUE"""),0.0)</f>
        <v>0</v>
      </c>
      <c r="W270" s="65">
        <f>IFERROR(__xludf.DUMMYFUNCTION("""COMPUTED_VALUE"""),0.0)</f>
        <v>0</v>
      </c>
      <c r="X270" s="65">
        <f>IFERROR(__xludf.DUMMYFUNCTION("""COMPUTED_VALUE"""),2.35)</f>
        <v>2.35</v>
      </c>
      <c r="Y270" s="65">
        <f>IFERROR(__xludf.DUMMYFUNCTION("""COMPUTED_VALUE"""),4.7)</f>
        <v>4.7</v>
      </c>
      <c r="Z270" s="65">
        <f>IFERROR(__xludf.DUMMYFUNCTION("""COMPUTED_VALUE"""),116679.0)</f>
        <v>116679</v>
      </c>
      <c r="AA270" s="65" t="str">
        <f>IFERROR(__xludf.DUMMYFUNCTION("""COMPUTED_VALUE"""),"AMC-2738")</f>
        <v>AMC-2738</v>
      </c>
      <c r="AB270" s="65"/>
      <c r="AC270" s="65" t="str">
        <f>IFERROR(__xludf.DUMMYFUNCTION("""COMPUTED_VALUE"""),"ESPONJA ANTILLUVIA DE PARABRISAS")</f>
        <v>ESPONJA ANTILLUVIA DE PARABRISAS</v>
      </c>
      <c r="AD270" s="65"/>
      <c r="AE270" s="65">
        <f>IFERROR(__xludf.DUMMYFUNCTION("""COMPUTED_VALUE"""),2.0)</f>
        <v>2</v>
      </c>
      <c r="AF270" s="65"/>
      <c r="AG270" s="65"/>
      <c r="AH270" s="65"/>
      <c r="AI270" s="65"/>
      <c r="AJ270" s="65"/>
      <c r="AK270" s="65"/>
      <c r="AL270" s="65"/>
      <c r="AM270" s="65"/>
      <c r="AN270" s="65"/>
      <c r="AO270" s="65"/>
      <c r="AP270" s="65"/>
      <c r="AQ270" s="65"/>
      <c r="AR270" s="65"/>
      <c r="AS270" s="65"/>
      <c r="AT270" s="65" t="str">
        <f>IFERROR(__xludf.DUMMYFUNCTION("""COMPUTED_VALUE"""),"SHOPIFY")</f>
        <v>SHOPIFY</v>
      </c>
      <c r="AU270" s="65" t="str">
        <f>IFERROR(__xludf.DUMMYFUNCTION("""COMPUTED_VALUE"""),"IMPORTEX EC")</f>
        <v>IMPORTEX EC</v>
      </c>
      <c r="AV270" s="65" t="str">
        <f>IFERROR(__xludf.DUMMYFUNCTION("""COMPUTED_VALUE"""),"6564209623084")</f>
        <v>6564209623084</v>
      </c>
      <c r="AW270" s="65">
        <f>IFERROR(__xludf.DUMMYFUNCTION("""COMPUTED_VALUE"""),6586.0)</f>
        <v>6586</v>
      </c>
      <c r="AX270" s="65"/>
      <c r="AY270" s="65"/>
      <c r="AZ270" s="65"/>
      <c r="BA270" s="65"/>
    </row>
    <row r="271">
      <c r="A271" s="65" t="str">
        <f>IFERROR(__xludf.DUMMYFUNCTION("""COMPUTED_VALUE"""),"27-03-2026")</f>
        <v>27-03-2026</v>
      </c>
      <c r="B271" s="65">
        <f>IFERROR(__xludf.DUMMYFUNCTION("""COMPUTED_VALUE"""),4731616.0)</f>
        <v>4731616</v>
      </c>
      <c r="C271" s="65" t="str">
        <f>IFERROR(__xludf.DUMMYFUNCTION("""COMPUTED_VALUE"""),"20:21")</f>
        <v>20:21</v>
      </c>
      <c r="D271" s="65" t="str">
        <f>IFERROR(__xludf.DUMMYFUNCTION("""COMPUTED_VALUE"""),"07-03-2026")</f>
        <v>07-03-2026</v>
      </c>
      <c r="E271" s="65" t="str">
        <f>IFERROR(__xludf.DUMMYFUNCTION("""COMPUTED_VALUE"""),"Wilson García")</f>
        <v>Wilson García</v>
      </c>
      <c r="F271" s="65" t="str">
        <f>IFERROR(__xludf.DUMMYFUNCTION("""COMPUTED_VALUE"""),"997378707")</f>
        <v>997378707</v>
      </c>
      <c r="G271" s="65" t="str">
        <f>IFERROR(__xludf.DUMMYFUNCTION("""COMPUTED_VALUE"""),"wilargacam@hotmail.com")</f>
        <v>wilargacam@hotmail.com</v>
      </c>
      <c r="H271" s="65"/>
      <c r="I271" s="65"/>
      <c r="J271" s="65"/>
      <c r="K271" s="65" t="str">
        <f>IFERROR(__xludf.DUMMYFUNCTION("""COMPUTED_VALUE"""),"PENDIENTE CONFIRMACION")</f>
        <v>PENDIENTE CONFIRMACION</v>
      </c>
      <c r="L271" s="65" t="str">
        <f>IFERROR(__xludf.DUMMYFUNCTION("""COMPUTED_VALUE"""),"CON RECAUDO")</f>
        <v>CON RECAUDO</v>
      </c>
      <c r="M271" s="65" t="str">
        <f>IFERROR(__xludf.DUMMYFUNCTION("""COMPUTED_VALUE"""),"BOLIVAR")</f>
        <v>BOLIVAR</v>
      </c>
      <c r="N271" s="65" t="str">
        <f>IFERROR(__xludf.DUMMYFUNCTION("""COMPUTED_VALUE"""),"GUARANDA")</f>
        <v>GUARANDA</v>
      </c>
      <c r="O271" s="65" t="str">
        <f>IFERROR(__xludf.DUMMYFUNCTION("""COMPUTED_VALUE"""),"Espejo y Coronel García Parque 9 de octubre ( centro de salud) -")</f>
        <v>Espejo y Coronel García Parque 9 de octubre ( centro de salud) -</v>
      </c>
      <c r="P271" s="65"/>
      <c r="Q271" s="65" t="str">
        <f>IFERROR(__xludf.DUMMYFUNCTION("""COMPUTED_VALUE"""),"GINTRACOM")</f>
        <v>GINTRACOM</v>
      </c>
      <c r="R271" s="65">
        <f>IFERROR(__xludf.DUMMYFUNCTION("""COMPUTED_VALUE"""),22.0)</f>
        <v>22</v>
      </c>
      <c r="S271" s="65"/>
      <c r="T271" s="65">
        <f>IFERROR(__xludf.DUMMYFUNCTION("""COMPUTED_VALUE"""),5.84)</f>
        <v>5.84</v>
      </c>
      <c r="U271" s="65">
        <f>IFERROR(__xludf.DUMMYFUNCTION("""COMPUTED_VALUE"""),0.0)</f>
        <v>0</v>
      </c>
      <c r="V271" s="65">
        <f>IFERROR(__xludf.DUMMYFUNCTION("""COMPUTED_VALUE"""),0.0)</f>
        <v>0</v>
      </c>
      <c r="W271" s="65">
        <f>IFERROR(__xludf.DUMMYFUNCTION("""COMPUTED_VALUE"""),0.0)</f>
        <v>0</v>
      </c>
      <c r="X271" s="65">
        <f>IFERROR(__xludf.DUMMYFUNCTION("""COMPUTED_VALUE"""),5.0)</f>
        <v>5</v>
      </c>
      <c r="Y271" s="65">
        <f>IFERROR(__xludf.DUMMYFUNCTION("""COMPUTED_VALUE"""),10.0)</f>
        <v>10</v>
      </c>
      <c r="Z271" s="65">
        <f>IFERROR(__xludf.DUMMYFUNCTION("""COMPUTED_VALUE"""),130492.0)</f>
        <v>130492</v>
      </c>
      <c r="AA271" s="65" t="str">
        <f>IFERROR(__xludf.DUMMYFUNCTION("""COMPUTED_VALUE"""),"IMX-00006")</f>
        <v>IMX-00006</v>
      </c>
      <c r="AB271" s="65"/>
      <c r="AC271" s="65" t="str">
        <f>IFERROR(__xludf.DUMMYFUNCTION("""COMPUTED_VALUE"""),"Receptor Bluetooth")</f>
        <v>Receptor Bluetooth</v>
      </c>
      <c r="AD271" s="65"/>
      <c r="AE271" s="65">
        <f>IFERROR(__xludf.DUMMYFUNCTION("""COMPUTED_VALUE"""),2.0)</f>
        <v>2</v>
      </c>
      <c r="AF271" s="65"/>
      <c r="AG271" s="65"/>
      <c r="AH271" s="65"/>
      <c r="AI271" s="65"/>
      <c r="AJ271" s="65"/>
      <c r="AK271" s="65"/>
      <c r="AL271" s="65"/>
      <c r="AM271" s="65"/>
      <c r="AN271" s="65"/>
      <c r="AO271" s="65"/>
      <c r="AP271" s="65"/>
      <c r="AQ271" s="65"/>
      <c r="AR271" s="65"/>
      <c r="AS271" s="65"/>
      <c r="AT271" s="65" t="str">
        <f>IFERROR(__xludf.DUMMYFUNCTION("""COMPUTED_VALUE"""),"SHOPIFY")</f>
        <v>SHOPIFY</v>
      </c>
      <c r="AU271" s="65" t="str">
        <f>IFERROR(__xludf.DUMMYFUNCTION("""COMPUTED_VALUE"""),"IMPORTEX EC")</f>
        <v>IMPORTEX EC</v>
      </c>
      <c r="AV271" s="65" t="str">
        <f>IFERROR(__xludf.DUMMYFUNCTION("""COMPUTED_VALUE"""),"6564200284204")</f>
        <v>6564200284204</v>
      </c>
      <c r="AW271" s="65">
        <f>IFERROR(__xludf.DUMMYFUNCTION("""COMPUTED_VALUE"""),6585.0)</f>
        <v>6585</v>
      </c>
      <c r="AX271" s="65"/>
      <c r="AY271" s="65"/>
      <c r="AZ271" s="65"/>
      <c r="BA271" s="65"/>
    </row>
    <row r="272">
      <c r="A272" s="65" t="str">
        <f>IFERROR(__xludf.DUMMYFUNCTION("""COMPUTED_VALUE"""),"27-03-2026")</f>
        <v>27-03-2026</v>
      </c>
      <c r="B272" s="65">
        <f>IFERROR(__xludf.DUMMYFUNCTION("""COMPUTED_VALUE"""),4731349.0)</f>
        <v>4731349</v>
      </c>
      <c r="C272" s="65" t="str">
        <f>IFERROR(__xludf.DUMMYFUNCTION("""COMPUTED_VALUE"""),"19:28")</f>
        <v>19:28</v>
      </c>
      <c r="D272" s="65" t="str">
        <f>IFERROR(__xludf.DUMMYFUNCTION("""COMPUTED_VALUE"""),"07-03-2026")</f>
        <v>07-03-2026</v>
      </c>
      <c r="E272" s="65" t="str">
        <f>IFERROR(__xludf.DUMMYFUNCTION("""COMPUTED_VALUE"""),"Carlos Eduardo Galarza Asanza")</f>
        <v>Carlos Eduardo Galarza Asanza</v>
      </c>
      <c r="F272" s="65" t="str">
        <f>IFERROR(__xludf.DUMMYFUNCTION("""COMPUTED_VALUE"""),"990423564")</f>
        <v>990423564</v>
      </c>
      <c r="G272" s="65" t="str">
        <f>IFERROR(__xludf.DUMMYFUNCTION("""COMPUTED_VALUE"""),"ustedlosvioirse@gmail.com")</f>
        <v>ustedlosvioirse@gmail.com</v>
      </c>
      <c r="H272" s="65"/>
      <c r="I272" s="65"/>
      <c r="J272" s="65"/>
      <c r="K272" s="65" t="str">
        <f>IFERROR(__xludf.DUMMYFUNCTION("""COMPUTED_VALUE"""),"PENDIENTE CONFIRMACION")</f>
        <v>PENDIENTE CONFIRMACION</v>
      </c>
      <c r="L272" s="65" t="str">
        <f>IFERROR(__xludf.DUMMYFUNCTION("""COMPUTED_VALUE"""),"CON RECAUDO")</f>
        <v>CON RECAUDO</v>
      </c>
      <c r="M272" s="65" t="str">
        <f>IFERROR(__xludf.DUMMYFUNCTION("""COMPUTED_VALUE"""),"EL ORO")</f>
        <v>EL ORO</v>
      </c>
      <c r="N272" s="65" t="str">
        <f>IFERROR(__xludf.DUMMYFUNCTION("""COMPUTED_VALUE"""),"PIÑAS")</f>
        <v>PIÑAS</v>
      </c>
      <c r="O272" s="65" t="str">
        <f>IFERROR(__xludf.DUMMYFUNCTION("""COMPUTED_VALUE"""),"Servientrega Servientrega -")</f>
        <v>Servientrega Servientrega -</v>
      </c>
      <c r="P272" s="65"/>
      <c r="Q272" s="65" t="str">
        <f>IFERROR(__xludf.DUMMYFUNCTION("""COMPUTED_VALUE"""),"GINTRACOM")</f>
        <v>GINTRACOM</v>
      </c>
      <c r="R272" s="65">
        <f>IFERROR(__xludf.DUMMYFUNCTION("""COMPUTED_VALUE"""),25.0)</f>
        <v>25</v>
      </c>
      <c r="S272" s="65"/>
      <c r="T272" s="65">
        <f>IFERROR(__xludf.DUMMYFUNCTION("""COMPUTED_VALUE"""),6.53)</f>
        <v>6.53</v>
      </c>
      <c r="U272" s="65">
        <f>IFERROR(__xludf.DUMMYFUNCTION("""COMPUTED_VALUE"""),0.0)</f>
        <v>0</v>
      </c>
      <c r="V272" s="65">
        <f>IFERROR(__xludf.DUMMYFUNCTION("""COMPUTED_VALUE"""),0.0)</f>
        <v>0</v>
      </c>
      <c r="W272" s="65">
        <f>IFERROR(__xludf.DUMMYFUNCTION("""COMPUTED_VALUE"""),0.0)</f>
        <v>0</v>
      </c>
      <c r="X272" s="65">
        <f>IFERROR(__xludf.DUMMYFUNCTION("""COMPUTED_VALUE"""),2.35)</f>
        <v>2.35</v>
      </c>
      <c r="Y272" s="65">
        <f>IFERROR(__xludf.DUMMYFUNCTION("""COMPUTED_VALUE"""),4.7)</f>
        <v>4.7</v>
      </c>
      <c r="Z272" s="65">
        <f>IFERROR(__xludf.DUMMYFUNCTION("""COMPUTED_VALUE"""),116679.0)</f>
        <v>116679</v>
      </c>
      <c r="AA272" s="65" t="str">
        <f>IFERROR(__xludf.DUMMYFUNCTION("""COMPUTED_VALUE"""),"AMC-2738")</f>
        <v>AMC-2738</v>
      </c>
      <c r="AB272" s="65"/>
      <c r="AC272" s="65" t="str">
        <f>IFERROR(__xludf.DUMMYFUNCTION("""COMPUTED_VALUE"""),"ESPONJA ANTILLUVIA DE PARABRISAS")</f>
        <v>ESPONJA ANTILLUVIA DE PARABRISAS</v>
      </c>
      <c r="AD272" s="65"/>
      <c r="AE272" s="65">
        <f>IFERROR(__xludf.DUMMYFUNCTION("""COMPUTED_VALUE"""),2.0)</f>
        <v>2</v>
      </c>
      <c r="AF272" s="65"/>
      <c r="AG272" s="65"/>
      <c r="AH272" s="65"/>
      <c r="AI272" s="65"/>
      <c r="AJ272" s="65"/>
      <c r="AK272" s="65"/>
      <c r="AL272" s="65"/>
      <c r="AM272" s="65"/>
      <c r="AN272" s="65"/>
      <c r="AO272" s="65"/>
      <c r="AP272" s="65"/>
      <c r="AQ272" s="65"/>
      <c r="AR272" s="65"/>
      <c r="AS272" s="65"/>
      <c r="AT272" s="65" t="str">
        <f>IFERROR(__xludf.DUMMYFUNCTION("""COMPUTED_VALUE"""),"SHOPIFY")</f>
        <v>SHOPIFY</v>
      </c>
      <c r="AU272" s="65" t="str">
        <f>IFERROR(__xludf.DUMMYFUNCTION("""COMPUTED_VALUE"""),"IMPORTEX EC")</f>
        <v>IMPORTEX EC</v>
      </c>
      <c r="AV272" s="65" t="str">
        <f>IFERROR(__xludf.DUMMYFUNCTION("""COMPUTED_VALUE"""),"6564106076204")</f>
        <v>6564106076204</v>
      </c>
      <c r="AW272" s="65">
        <f>IFERROR(__xludf.DUMMYFUNCTION("""COMPUTED_VALUE"""),6584.0)</f>
        <v>6584</v>
      </c>
      <c r="AX272" s="65"/>
      <c r="AY272" s="65"/>
      <c r="AZ272" s="65"/>
      <c r="BA272" s="65"/>
    </row>
    <row r="273">
      <c r="A273" s="65" t="str">
        <f>IFERROR(__xludf.DUMMYFUNCTION("""COMPUTED_VALUE"""),"27-03-2026")</f>
        <v>27-03-2026</v>
      </c>
      <c r="B273" s="65">
        <f>IFERROR(__xludf.DUMMYFUNCTION("""COMPUTED_VALUE"""),4731326.0)</f>
        <v>4731326</v>
      </c>
      <c r="C273" s="65" t="str">
        <f>IFERROR(__xludf.DUMMYFUNCTION("""COMPUTED_VALUE"""),"19:24")</f>
        <v>19:24</v>
      </c>
      <c r="D273" s="65" t="str">
        <f>IFERROR(__xludf.DUMMYFUNCTION("""COMPUTED_VALUE"""),"07-03-2026")</f>
        <v>07-03-2026</v>
      </c>
      <c r="E273" s="65" t="str">
        <f>IFERROR(__xludf.DUMMYFUNCTION("""COMPUTED_VALUE"""),"Nascha Bermello")</f>
        <v>Nascha Bermello</v>
      </c>
      <c r="F273" s="65" t="str">
        <f>IFERROR(__xludf.DUMMYFUNCTION("""COMPUTED_VALUE"""),"981299351")</f>
        <v>981299351</v>
      </c>
      <c r="G273" s="65" t="str">
        <f>IFERROR(__xludf.DUMMYFUNCTION("""COMPUTED_VALUE"""),"aida.narciza.b@hotmail.com")</f>
        <v>aida.narciza.b@hotmail.com</v>
      </c>
      <c r="H273" s="65"/>
      <c r="I273" s="65"/>
      <c r="J273" s="65"/>
      <c r="K273" s="65" t="str">
        <f>IFERROR(__xludf.DUMMYFUNCTION("""COMPUTED_VALUE"""),"PENDIENTE CONFIRMACION")</f>
        <v>PENDIENTE CONFIRMACION</v>
      </c>
      <c r="L273" s="65" t="str">
        <f>IFERROR(__xludf.DUMMYFUNCTION("""COMPUTED_VALUE"""),"CON RECAUDO")</f>
        <v>CON RECAUDO</v>
      </c>
      <c r="M273" s="65" t="str">
        <f>IFERROR(__xludf.DUMMYFUNCTION("""COMPUTED_VALUE"""),"MANABI")</f>
        <v>MANABI</v>
      </c>
      <c r="N273" s="65" t="str">
        <f>IFERROR(__xludf.DUMMYFUNCTION("""COMPUTED_VALUE"""),"CRUCITA")</f>
        <v>CRUCITA</v>
      </c>
      <c r="O273" s="65" t="str">
        <f>IFERROR(__xludf.DUMMYFUNCTION("""COMPUTED_VALUE"""),"24 de junio y 25 de mayo -")</f>
        <v>24 de junio y 25 de mayo -</v>
      </c>
      <c r="P273" s="65"/>
      <c r="Q273" s="65" t="str">
        <f>IFERROR(__xludf.DUMMYFUNCTION("""COMPUTED_VALUE"""),"GINTRACOM")</f>
        <v>GINTRACOM</v>
      </c>
      <c r="R273" s="65">
        <f>IFERROR(__xludf.DUMMYFUNCTION("""COMPUTED_VALUE"""),25.0)</f>
        <v>25</v>
      </c>
      <c r="S273" s="65"/>
      <c r="T273" s="65">
        <f>IFERROR(__xludf.DUMMYFUNCTION("""COMPUTED_VALUE"""),6.53)</f>
        <v>6.53</v>
      </c>
      <c r="U273" s="65">
        <f>IFERROR(__xludf.DUMMYFUNCTION("""COMPUTED_VALUE"""),0.0)</f>
        <v>0</v>
      </c>
      <c r="V273" s="65">
        <f>IFERROR(__xludf.DUMMYFUNCTION("""COMPUTED_VALUE"""),0.0)</f>
        <v>0</v>
      </c>
      <c r="W273" s="65">
        <f>IFERROR(__xludf.DUMMYFUNCTION("""COMPUTED_VALUE"""),0.0)</f>
        <v>0</v>
      </c>
      <c r="X273" s="65">
        <f>IFERROR(__xludf.DUMMYFUNCTION("""COMPUTED_VALUE"""),2.35)</f>
        <v>2.35</v>
      </c>
      <c r="Y273" s="65">
        <f>IFERROR(__xludf.DUMMYFUNCTION("""COMPUTED_VALUE"""),4.7)</f>
        <v>4.7</v>
      </c>
      <c r="Z273" s="65">
        <f>IFERROR(__xludf.DUMMYFUNCTION("""COMPUTED_VALUE"""),116679.0)</f>
        <v>116679</v>
      </c>
      <c r="AA273" s="65" t="str">
        <f>IFERROR(__xludf.DUMMYFUNCTION("""COMPUTED_VALUE"""),"AMC-2738")</f>
        <v>AMC-2738</v>
      </c>
      <c r="AB273" s="65"/>
      <c r="AC273" s="65" t="str">
        <f>IFERROR(__xludf.DUMMYFUNCTION("""COMPUTED_VALUE"""),"ESPONJA ANTILLUVIA DE PARABRISAS")</f>
        <v>ESPONJA ANTILLUVIA DE PARABRISAS</v>
      </c>
      <c r="AD273" s="65"/>
      <c r="AE273" s="65">
        <f>IFERROR(__xludf.DUMMYFUNCTION("""COMPUTED_VALUE"""),2.0)</f>
        <v>2</v>
      </c>
      <c r="AF273" s="65"/>
      <c r="AG273" s="65"/>
      <c r="AH273" s="65"/>
      <c r="AI273" s="65"/>
      <c r="AJ273" s="65"/>
      <c r="AK273" s="65"/>
      <c r="AL273" s="65"/>
      <c r="AM273" s="65"/>
      <c r="AN273" s="65"/>
      <c r="AO273" s="65"/>
      <c r="AP273" s="65"/>
      <c r="AQ273" s="65"/>
      <c r="AR273" s="65"/>
      <c r="AS273" s="65"/>
      <c r="AT273" s="65" t="str">
        <f>IFERROR(__xludf.DUMMYFUNCTION("""COMPUTED_VALUE"""),"SHOPIFY")</f>
        <v>SHOPIFY</v>
      </c>
      <c r="AU273" s="65" t="str">
        <f>IFERROR(__xludf.DUMMYFUNCTION("""COMPUTED_VALUE"""),"IMPORTEX EC")</f>
        <v>IMPORTEX EC</v>
      </c>
      <c r="AV273" s="65" t="str">
        <f>IFERROR(__xludf.DUMMYFUNCTION("""COMPUTED_VALUE"""),"6564098015276")</f>
        <v>6564098015276</v>
      </c>
      <c r="AW273" s="65">
        <f>IFERROR(__xludf.DUMMYFUNCTION("""COMPUTED_VALUE"""),6583.0)</f>
        <v>6583</v>
      </c>
      <c r="AX273" s="65"/>
      <c r="AY273" s="65"/>
      <c r="AZ273" s="65"/>
      <c r="BA273" s="65"/>
    </row>
    <row r="274">
      <c r="A274" s="65" t="str">
        <f>IFERROR(__xludf.DUMMYFUNCTION("""COMPUTED_VALUE"""),"27-03-2026")</f>
        <v>27-03-2026</v>
      </c>
      <c r="B274" s="65">
        <f>IFERROR(__xludf.DUMMYFUNCTION("""COMPUTED_VALUE"""),4731266.0)</f>
        <v>4731266</v>
      </c>
      <c r="C274" s="65" t="str">
        <f>IFERROR(__xludf.DUMMYFUNCTION("""COMPUTED_VALUE"""),"19:12")</f>
        <v>19:12</v>
      </c>
      <c r="D274" s="65" t="str">
        <f>IFERROR(__xludf.DUMMYFUNCTION("""COMPUTED_VALUE"""),"07-03-2026")</f>
        <v>07-03-2026</v>
      </c>
      <c r="E274" s="65" t="str">
        <f>IFERROR(__xludf.DUMMYFUNCTION("""COMPUTED_VALUE"""),"Cristian Yépez")</f>
        <v>Cristian Yépez</v>
      </c>
      <c r="F274" s="65" t="str">
        <f>IFERROR(__xludf.DUMMYFUNCTION("""COMPUTED_VALUE"""),"997112423")</f>
        <v>997112423</v>
      </c>
      <c r="G274" s="65" t="str">
        <f>IFERROR(__xludf.DUMMYFUNCTION("""COMPUTED_VALUE"""),"cristian.yepez@yahoo.com")</f>
        <v>cristian.yepez@yahoo.com</v>
      </c>
      <c r="H274" s="65"/>
      <c r="I274" s="65"/>
      <c r="J274" s="65" t="str">
        <f>IFERROR(__xludf.DUMMYFUNCTION("""COMPUTED_VALUE"""),"D001397703")</f>
        <v>D001397703</v>
      </c>
      <c r="K274" s="65" t="str">
        <f>IFERROR(__xludf.DUMMYFUNCTION("""COMPUTED_VALUE"""),"ENTREGADO")</f>
        <v>ENTREGADO</v>
      </c>
      <c r="L274" s="65" t="str">
        <f>IFERROR(__xludf.DUMMYFUNCTION("""COMPUTED_VALUE"""),"CON RECAUDO")</f>
        <v>CON RECAUDO</v>
      </c>
      <c r="M274" s="65" t="str">
        <f>IFERROR(__xludf.DUMMYFUNCTION("""COMPUTED_VALUE"""),"PICHINCHA")</f>
        <v>PICHINCHA</v>
      </c>
      <c r="N274" s="65" t="str">
        <f>IFERROR(__xludf.DUMMYFUNCTION("""COMPUTED_VALUE"""),"QUITO")</f>
        <v>QUITO</v>
      </c>
      <c r="O274" s="65" t="str">
        <f>IFERROR(__xludf.DUMMYFUNCTION("""COMPUTED_VALUE"""),"Elisa Ayala González 65 y Ramiro Jacome, Edificio Vittoria I, Departamento 401, Urbanización Vista Grande Miravalle -")</f>
        <v>Elisa Ayala González 65 y Ramiro Jacome, Edificio Vittoria I, Departamento 401, Urbanización Vista Grande Miravalle -</v>
      </c>
      <c r="P274" s="65"/>
      <c r="Q274" s="65" t="str">
        <f>IFERROR(__xludf.DUMMYFUNCTION("""COMPUTED_VALUE"""),"GINTRACOM")</f>
        <v>GINTRACOM</v>
      </c>
      <c r="R274" s="65">
        <f>IFERROR(__xludf.DUMMYFUNCTION("""COMPUTED_VALUE"""),32.01)</f>
        <v>32.01</v>
      </c>
      <c r="S274" s="65">
        <f>IFERROR(__xludf.DUMMYFUNCTION("""COMPUTED_VALUE"""),15.27)</f>
        <v>15.27</v>
      </c>
      <c r="T274" s="65">
        <f>IFERROR(__xludf.DUMMYFUNCTION("""COMPUTED_VALUE"""),6.24)</f>
        <v>6.24</v>
      </c>
      <c r="U274" s="65">
        <f>IFERROR(__xludf.DUMMYFUNCTION("""COMPUTED_VALUE"""),0.0)</f>
        <v>0</v>
      </c>
      <c r="V274" s="65">
        <f>IFERROR(__xludf.DUMMYFUNCTION("""COMPUTED_VALUE"""),0.0)</f>
        <v>0</v>
      </c>
      <c r="W274" s="65">
        <f>IFERROR(__xludf.DUMMYFUNCTION("""COMPUTED_VALUE"""),0.0)</f>
        <v>0</v>
      </c>
      <c r="X274" s="65">
        <f>IFERROR(__xludf.DUMMYFUNCTION("""COMPUTED_VALUE"""),3.5)</f>
        <v>3.5</v>
      </c>
      <c r="Y274" s="65">
        <f>IFERROR(__xludf.DUMMYFUNCTION("""COMPUTED_VALUE"""),10.5)</f>
        <v>10.5</v>
      </c>
      <c r="Z274" s="65">
        <f>IFERROR(__xludf.DUMMYFUNCTION("""COMPUTED_VALUE"""),87095.0)</f>
        <v>87095</v>
      </c>
      <c r="AA274" s="65" t="str">
        <f>IFERROR(__xludf.DUMMYFUNCTION("""COMPUTED_VALUE"""),"FILTRO DE DRENAJE")</f>
        <v>FILTRO DE DRENAJE</v>
      </c>
      <c r="AB274" s="65"/>
      <c r="AC274" s="65" t="str">
        <f>IFERROR(__xludf.DUMMYFUNCTION("""COMPUTED_VALUE"""),"FILTRO DE DRENAJE")</f>
        <v>FILTRO DE DRENAJE</v>
      </c>
      <c r="AD274" s="65"/>
      <c r="AE274" s="65">
        <f>IFERROR(__xludf.DUMMYFUNCTION("""COMPUTED_VALUE"""),3.0)</f>
        <v>3</v>
      </c>
      <c r="AF274" s="65"/>
      <c r="AG274" s="65"/>
      <c r="AH274" s="65"/>
      <c r="AI274" s="65"/>
      <c r="AJ274" s="65"/>
      <c r="AK274" s="65"/>
      <c r="AL274" s="65"/>
      <c r="AM274" s="65"/>
      <c r="AN274" s="65" t="str">
        <f>IFERROR(__xludf.DUMMYFUNCTION("""COMPUTED_VALUE"""),"11:23")</f>
        <v>11:23</v>
      </c>
      <c r="AO274" s="65" t="str">
        <f>IFERROR(__xludf.DUMMYFUNCTION("""COMPUTED_VALUE"""),"10-03-2026")</f>
        <v>10-03-2026</v>
      </c>
      <c r="AP274" s="65" t="str">
        <f>IFERROR(__xludf.DUMMYFUNCTION("""COMPUTED_VALUE"""),"ENTREGADA GINTRACOM")</f>
        <v>ENTREGADA GINTRACOM</v>
      </c>
      <c r="AQ274" s="65" t="str">
        <f>IFERROR(__xludf.DUMMYFUNCTION("""COMPUTED_VALUE"""),"ENTREGADA GINTRACOM")</f>
        <v>ENTREGADA GINTRACOM</v>
      </c>
      <c r="AR274" s="65"/>
      <c r="AS274" s="65"/>
      <c r="AT274" s="65" t="str">
        <f>IFERROR(__xludf.DUMMYFUNCTION("""COMPUTED_VALUE"""),"SHOPIFY")</f>
        <v>SHOPIFY</v>
      </c>
      <c r="AU274" s="65" t="str">
        <f>IFERROR(__xludf.DUMMYFUNCTION("""COMPUTED_VALUE"""),"IMPORTEX EC")</f>
        <v>IMPORTEX EC</v>
      </c>
      <c r="AV274" s="65" t="str">
        <f>IFERROR(__xludf.DUMMYFUNCTION("""COMPUTED_VALUE"""),"6564079075372")</f>
        <v>6564079075372</v>
      </c>
      <c r="AW274" s="65">
        <f>IFERROR(__xludf.DUMMYFUNCTION("""COMPUTED_VALUE"""),6582.0)</f>
        <v>6582</v>
      </c>
      <c r="AX274" s="65"/>
      <c r="AY274" s="65" t="str">
        <f>IFERROR(__xludf.DUMMYFUNCTION("""COMPUTED_VALUE"""),"09/03/2026")</f>
        <v>09/03/2026</v>
      </c>
      <c r="AZ274" s="65"/>
      <c r="BA274" s="65"/>
    </row>
    <row r="275">
      <c r="A275" s="65" t="str">
        <f>IFERROR(__xludf.DUMMYFUNCTION("""COMPUTED_VALUE"""),"27-03-2026")</f>
        <v>27-03-2026</v>
      </c>
      <c r="B275" s="65">
        <f>IFERROR(__xludf.DUMMYFUNCTION("""COMPUTED_VALUE"""),4731155.0)</f>
        <v>4731155</v>
      </c>
      <c r="C275" s="65" t="str">
        <f>IFERROR(__xludf.DUMMYFUNCTION("""COMPUTED_VALUE"""),"18:52")</f>
        <v>18:52</v>
      </c>
      <c r="D275" s="65" t="str">
        <f>IFERROR(__xludf.DUMMYFUNCTION("""COMPUTED_VALUE"""),"07-03-2026")</f>
        <v>07-03-2026</v>
      </c>
      <c r="E275" s="65" t="str">
        <f>IFERROR(__xludf.DUMMYFUNCTION("""COMPUTED_VALUE"""),"jorge Jefferson Ortiz Caicedo")</f>
        <v>jorge Jefferson Ortiz Caicedo</v>
      </c>
      <c r="F275" s="65" t="str">
        <f>IFERROR(__xludf.DUMMYFUNCTION("""COMPUTED_VALUE"""),"986858269")</f>
        <v>986858269</v>
      </c>
      <c r="G275" s="65" t="str">
        <f>IFERROR(__xludf.DUMMYFUNCTION("""COMPUTED_VALUE"""),"arqjhefferson@hotmail.com")</f>
        <v>arqjhefferson@hotmail.com</v>
      </c>
      <c r="H275" s="65"/>
      <c r="I275" s="65"/>
      <c r="J275" s="65"/>
      <c r="K275" s="65" t="str">
        <f>IFERROR(__xludf.DUMMYFUNCTION("""COMPUTED_VALUE"""),"CANCELADO")</f>
        <v>CANCELADO</v>
      </c>
      <c r="L275" s="65" t="str">
        <f>IFERROR(__xludf.DUMMYFUNCTION("""COMPUTED_VALUE"""),"CON RECAUDO")</f>
        <v>CON RECAUDO</v>
      </c>
      <c r="M275" s="65" t="str">
        <f>IFERROR(__xludf.DUMMYFUNCTION("""COMPUTED_VALUE"""),"ESMERALDAS")</f>
        <v>ESMERALDAS</v>
      </c>
      <c r="N275" s="65" t="str">
        <f>IFERROR(__xludf.DUMMYFUNCTION("""COMPUTED_VALUE"""),"ESMERALDAS")</f>
        <v>ESMERALDAS</v>
      </c>
      <c r="O275" s="65" t="str">
        <f>IFERROR(__xludf.DUMMYFUNCTION("""COMPUTED_VALUE"""),"Calle santa rosa Calle salinas -")</f>
        <v>Calle santa rosa Calle salinas -</v>
      </c>
      <c r="P275" s="65"/>
      <c r="Q275" s="65" t="str">
        <f>IFERROR(__xludf.DUMMYFUNCTION("""COMPUTED_VALUE"""),"GINTRACOM")</f>
        <v>GINTRACOM</v>
      </c>
      <c r="R275" s="65">
        <f>IFERROR(__xludf.DUMMYFUNCTION("""COMPUTED_VALUE"""),30.0)</f>
        <v>30</v>
      </c>
      <c r="S275" s="65"/>
      <c r="T275" s="65">
        <f>IFERROR(__xludf.DUMMYFUNCTION("""COMPUTED_VALUE"""),6.16)</f>
        <v>6.16</v>
      </c>
      <c r="U275" s="65">
        <f>IFERROR(__xludf.DUMMYFUNCTION("""COMPUTED_VALUE"""),0.0)</f>
        <v>0</v>
      </c>
      <c r="V275" s="65">
        <f>IFERROR(__xludf.DUMMYFUNCTION("""COMPUTED_VALUE"""),0.0)</f>
        <v>0</v>
      </c>
      <c r="W275" s="65">
        <f>IFERROR(__xludf.DUMMYFUNCTION("""COMPUTED_VALUE"""),0.0)</f>
        <v>0</v>
      </c>
      <c r="X275" s="65">
        <f>IFERROR(__xludf.DUMMYFUNCTION("""COMPUTED_VALUE"""),2.35)</f>
        <v>2.35</v>
      </c>
      <c r="Y275" s="65">
        <f>IFERROR(__xludf.DUMMYFUNCTION("""COMPUTED_VALUE"""),7.05)</f>
        <v>7.05</v>
      </c>
      <c r="Z275" s="65">
        <f>IFERROR(__xludf.DUMMYFUNCTION("""COMPUTED_VALUE"""),116679.0)</f>
        <v>116679</v>
      </c>
      <c r="AA275" s="65" t="str">
        <f>IFERROR(__xludf.DUMMYFUNCTION("""COMPUTED_VALUE"""),"AMC-2738")</f>
        <v>AMC-2738</v>
      </c>
      <c r="AB275" s="65"/>
      <c r="AC275" s="65" t="str">
        <f>IFERROR(__xludf.DUMMYFUNCTION("""COMPUTED_VALUE"""),"ESPONJA ANTILLUVIA DE PARABRISAS")</f>
        <v>ESPONJA ANTILLUVIA DE PARABRISAS</v>
      </c>
      <c r="AD275" s="65"/>
      <c r="AE275" s="65">
        <f>IFERROR(__xludf.DUMMYFUNCTION("""COMPUTED_VALUE"""),3.0)</f>
        <v>3</v>
      </c>
      <c r="AF275" s="65"/>
      <c r="AG275" s="65"/>
      <c r="AH275" s="65"/>
      <c r="AI275" s="65"/>
      <c r="AJ275" s="65"/>
      <c r="AK275" s="65"/>
      <c r="AL275" s="65"/>
      <c r="AM275" s="65"/>
      <c r="AN275" s="65"/>
      <c r="AO275" s="65"/>
      <c r="AP275" s="65"/>
      <c r="AQ275" s="65"/>
      <c r="AR275" s="65"/>
      <c r="AS275" s="65"/>
      <c r="AT275" s="65" t="str">
        <f>IFERROR(__xludf.DUMMYFUNCTION("""COMPUTED_VALUE"""),"SHOPIFY")</f>
        <v>SHOPIFY</v>
      </c>
      <c r="AU275" s="65" t="str">
        <f>IFERROR(__xludf.DUMMYFUNCTION("""COMPUTED_VALUE"""),"IMPORTEX EC")</f>
        <v>IMPORTEX EC</v>
      </c>
      <c r="AV275" s="65" t="str">
        <f>IFERROR(__xludf.DUMMYFUNCTION("""COMPUTED_VALUE"""),"6564044701740")</f>
        <v>6564044701740</v>
      </c>
      <c r="AW275" s="65">
        <f>IFERROR(__xludf.DUMMYFUNCTION("""COMPUTED_VALUE"""),6581.0)</f>
        <v>6581</v>
      </c>
      <c r="AX275" s="65"/>
      <c r="AY275" s="65"/>
      <c r="AZ275" s="65"/>
      <c r="BA275" s="65"/>
    </row>
    <row r="276">
      <c r="A276" s="65" t="str">
        <f>IFERROR(__xludf.DUMMYFUNCTION("""COMPUTED_VALUE"""),"27-03-2026")</f>
        <v>27-03-2026</v>
      </c>
      <c r="B276" s="65">
        <f>IFERROR(__xludf.DUMMYFUNCTION("""COMPUTED_VALUE"""),4731077.0)</f>
        <v>4731077</v>
      </c>
      <c r="C276" s="65" t="str">
        <f>IFERROR(__xludf.DUMMYFUNCTION("""COMPUTED_VALUE"""),"18:35")</f>
        <v>18:35</v>
      </c>
      <c r="D276" s="65" t="str">
        <f>IFERROR(__xludf.DUMMYFUNCTION("""COMPUTED_VALUE"""),"07-03-2026")</f>
        <v>07-03-2026</v>
      </c>
      <c r="E276" s="65" t="str">
        <f>IFERROR(__xludf.DUMMYFUNCTION("""COMPUTED_VALUE"""),"Job Avilés")</f>
        <v>Job Avilés</v>
      </c>
      <c r="F276" s="65" t="str">
        <f>IFERROR(__xludf.DUMMYFUNCTION("""COMPUTED_VALUE"""),"992561191")</f>
        <v>992561191</v>
      </c>
      <c r="G276" s="65" t="str">
        <f>IFERROR(__xludf.DUMMYFUNCTION("""COMPUTED_VALUE"""),"misael1967avil@gmail.com")</f>
        <v>misael1967avil@gmail.com</v>
      </c>
      <c r="H276" s="65"/>
      <c r="I276" s="65"/>
      <c r="J276" s="65" t="str">
        <f>IFERROR(__xludf.DUMMYFUNCTION("""COMPUTED_VALUE"""),"D001398287")</f>
        <v>D001398287</v>
      </c>
      <c r="K276" s="65" t="str">
        <f>IFERROR(__xludf.DUMMYFUNCTION("""COMPUTED_VALUE"""),"ENTREGADO")</f>
        <v>ENTREGADO</v>
      </c>
      <c r="L276" s="65" t="str">
        <f>IFERROR(__xludf.DUMMYFUNCTION("""COMPUTED_VALUE"""),"CON RECAUDO")</f>
        <v>CON RECAUDO</v>
      </c>
      <c r="M276" s="65" t="str">
        <f>IFERROR(__xludf.DUMMYFUNCTION("""COMPUTED_VALUE"""),"LOS RIOS")</f>
        <v>LOS RIOS</v>
      </c>
      <c r="N276" s="65" t="str">
        <f>IFERROR(__xludf.DUMMYFUNCTION("""COMPUTED_VALUE"""),"VALENCIA")</f>
        <v>VALENCIA</v>
      </c>
      <c r="O276" s="65" t="str">
        <f>IFERROR(__xludf.DUMMYFUNCTION("""COMPUTED_VALUE"""),"Av. 13 de diciembre y la cuarta Al frente del palacio del caucho -")</f>
        <v>Av. 13 de diciembre y la cuarta Al frente del palacio del caucho -</v>
      </c>
      <c r="P276" s="65"/>
      <c r="Q276" s="65" t="str">
        <f>IFERROR(__xludf.DUMMYFUNCTION("""COMPUTED_VALUE"""),"GINTRACOM")</f>
        <v>GINTRACOM</v>
      </c>
      <c r="R276" s="65">
        <f>IFERROR(__xludf.DUMMYFUNCTION("""COMPUTED_VALUE"""),25.0)</f>
        <v>25</v>
      </c>
      <c r="S276" s="65">
        <f>IFERROR(__xludf.DUMMYFUNCTION("""COMPUTED_VALUE"""),13.77)</f>
        <v>13.77</v>
      </c>
      <c r="T276" s="65">
        <f>IFERROR(__xludf.DUMMYFUNCTION("""COMPUTED_VALUE"""),6.53)</f>
        <v>6.53</v>
      </c>
      <c r="U276" s="65">
        <f>IFERROR(__xludf.DUMMYFUNCTION("""COMPUTED_VALUE"""),0.0)</f>
        <v>0</v>
      </c>
      <c r="V276" s="65">
        <f>IFERROR(__xludf.DUMMYFUNCTION("""COMPUTED_VALUE"""),0.0)</f>
        <v>0</v>
      </c>
      <c r="W276" s="65">
        <f>IFERROR(__xludf.DUMMYFUNCTION("""COMPUTED_VALUE"""),0.0)</f>
        <v>0</v>
      </c>
      <c r="X276" s="65">
        <f>IFERROR(__xludf.DUMMYFUNCTION("""COMPUTED_VALUE"""),2.35)</f>
        <v>2.35</v>
      </c>
      <c r="Y276" s="65">
        <f>IFERROR(__xludf.DUMMYFUNCTION("""COMPUTED_VALUE"""),4.7)</f>
        <v>4.7</v>
      </c>
      <c r="Z276" s="65">
        <f>IFERROR(__xludf.DUMMYFUNCTION("""COMPUTED_VALUE"""),116679.0)</f>
        <v>116679</v>
      </c>
      <c r="AA276" s="65" t="str">
        <f>IFERROR(__xludf.DUMMYFUNCTION("""COMPUTED_VALUE"""),"AMC-2738")</f>
        <v>AMC-2738</v>
      </c>
      <c r="AB276" s="65"/>
      <c r="AC276" s="65" t="str">
        <f>IFERROR(__xludf.DUMMYFUNCTION("""COMPUTED_VALUE"""),"ESPONJA ANTILLUVIA DE PARABRISAS")</f>
        <v>ESPONJA ANTILLUVIA DE PARABRISAS</v>
      </c>
      <c r="AD276" s="65"/>
      <c r="AE276" s="65">
        <f>IFERROR(__xludf.DUMMYFUNCTION("""COMPUTED_VALUE"""),2.0)</f>
        <v>2</v>
      </c>
      <c r="AF276" s="65"/>
      <c r="AG276" s="65"/>
      <c r="AH276" s="65"/>
      <c r="AI276" s="65"/>
      <c r="AJ276" s="65"/>
      <c r="AK276" s="65"/>
      <c r="AL276" s="65"/>
      <c r="AM276" s="65"/>
      <c r="AN276" s="65" t="str">
        <f>IFERROR(__xludf.DUMMYFUNCTION("""COMPUTED_VALUE"""),"17:45")</f>
        <v>17:45</v>
      </c>
      <c r="AO276" s="65" t="str">
        <f>IFERROR(__xludf.DUMMYFUNCTION("""COMPUTED_VALUE"""),"12-03-2026")</f>
        <v>12-03-2026</v>
      </c>
      <c r="AP276" s="65" t="str">
        <f>IFERROR(__xludf.DUMMYFUNCTION("""COMPUTED_VALUE"""),"ENTREGADA GINTRACOM")</f>
        <v>ENTREGADA GINTRACOM</v>
      </c>
      <c r="AQ276" s="65" t="str">
        <f>IFERROR(__xludf.DUMMYFUNCTION("""COMPUTED_VALUE"""),"ENTREGADA GINTRACOM")</f>
        <v>ENTREGADA GINTRACOM</v>
      </c>
      <c r="AR276" s="65"/>
      <c r="AS276" s="65"/>
      <c r="AT276" s="65" t="str">
        <f>IFERROR(__xludf.DUMMYFUNCTION("""COMPUTED_VALUE"""),"SHOPIFY")</f>
        <v>SHOPIFY</v>
      </c>
      <c r="AU276" s="65" t="str">
        <f>IFERROR(__xludf.DUMMYFUNCTION("""COMPUTED_VALUE"""),"IMPORTEX EC")</f>
        <v>IMPORTEX EC</v>
      </c>
      <c r="AV276" s="65" t="str">
        <f>IFERROR(__xludf.DUMMYFUNCTION("""COMPUTED_VALUE"""),"6564020191276")</f>
        <v>6564020191276</v>
      </c>
      <c r="AW276" s="65">
        <f>IFERROR(__xludf.DUMMYFUNCTION("""COMPUTED_VALUE"""),6580.0)</f>
        <v>6580</v>
      </c>
      <c r="AX276" s="65"/>
      <c r="AY276" s="65" t="str">
        <f>IFERROR(__xludf.DUMMYFUNCTION("""COMPUTED_VALUE"""),"09/03/2026")</f>
        <v>09/03/2026</v>
      </c>
      <c r="AZ276" s="65"/>
      <c r="BA276" s="65"/>
    </row>
    <row r="277">
      <c r="A277" s="65" t="str">
        <f>IFERROR(__xludf.DUMMYFUNCTION("""COMPUTED_VALUE"""),"27-03-2026")</f>
        <v>27-03-2026</v>
      </c>
      <c r="B277" s="65">
        <f>IFERROR(__xludf.DUMMYFUNCTION("""COMPUTED_VALUE"""),4730956.0)</f>
        <v>4730956</v>
      </c>
      <c r="C277" s="65" t="str">
        <f>IFERROR(__xludf.DUMMYFUNCTION("""COMPUTED_VALUE"""),"18:13")</f>
        <v>18:13</v>
      </c>
      <c r="D277" s="65" t="str">
        <f>IFERROR(__xludf.DUMMYFUNCTION("""COMPUTED_VALUE"""),"07-03-2026")</f>
        <v>07-03-2026</v>
      </c>
      <c r="E277" s="65" t="str">
        <f>IFERROR(__xludf.DUMMYFUNCTION("""COMPUTED_VALUE"""),"Edison Flores")</f>
        <v>Edison Flores</v>
      </c>
      <c r="F277" s="65" t="str">
        <f>IFERROR(__xludf.DUMMYFUNCTION("""COMPUTED_VALUE"""),"960465773")</f>
        <v>960465773</v>
      </c>
      <c r="G277" s="65" t="str">
        <f>IFERROR(__xludf.DUMMYFUNCTION("""COMPUTED_VALUE"""),"eddy.29flores@gmail.com")</f>
        <v>eddy.29flores@gmail.com</v>
      </c>
      <c r="H277" s="65"/>
      <c r="I277" s="65"/>
      <c r="J277" s="65" t="str">
        <f>IFERROR(__xludf.DUMMYFUNCTION("""COMPUTED_VALUE"""),"D001398289")</f>
        <v>D001398289</v>
      </c>
      <c r="K277" s="65" t="str">
        <f>IFERROR(__xludf.DUMMYFUNCTION("""COMPUTED_VALUE"""),"ENTREGADO")</f>
        <v>ENTREGADO</v>
      </c>
      <c r="L277" s="65" t="str">
        <f>IFERROR(__xludf.DUMMYFUNCTION("""COMPUTED_VALUE"""),"CON RECAUDO")</f>
        <v>CON RECAUDO</v>
      </c>
      <c r="M277" s="65" t="str">
        <f>IFERROR(__xludf.DUMMYFUNCTION("""COMPUTED_VALUE"""),"GUAYAS")</f>
        <v>GUAYAS</v>
      </c>
      <c r="N277" s="65" t="str">
        <f>IFERROR(__xludf.DUMMYFUNCTION("""COMPUTED_VALUE"""),"NARANJAL")</f>
        <v>NARANJAL</v>
      </c>
      <c r="O277" s="65" t="str">
        <f>IFERROR(__xludf.DUMMYFUNCTION("""COMPUTED_VALUE"""),"Panamericana y Guayaquil, Junto al Banco del Pichincha")</f>
        <v>Panamericana y Guayaquil, Junto al Banco del Pichincha</v>
      </c>
      <c r="P277" s="65"/>
      <c r="Q277" s="65" t="str">
        <f>IFERROR(__xludf.DUMMYFUNCTION("""COMPUTED_VALUE"""),"GINTRACOM")</f>
        <v>GINTRACOM</v>
      </c>
      <c r="R277" s="65">
        <f>IFERROR(__xludf.DUMMYFUNCTION("""COMPUTED_VALUE"""),25.0)</f>
        <v>25</v>
      </c>
      <c r="S277" s="65">
        <f>IFERROR(__xludf.DUMMYFUNCTION("""COMPUTED_VALUE"""),14.34)</f>
        <v>14.34</v>
      </c>
      <c r="T277" s="65">
        <f>IFERROR(__xludf.DUMMYFUNCTION("""COMPUTED_VALUE"""),5.96)</f>
        <v>5.96</v>
      </c>
      <c r="U277" s="65">
        <f>IFERROR(__xludf.DUMMYFUNCTION("""COMPUTED_VALUE"""),0.0)</f>
        <v>0</v>
      </c>
      <c r="V277" s="65">
        <f>IFERROR(__xludf.DUMMYFUNCTION("""COMPUTED_VALUE"""),0.0)</f>
        <v>0</v>
      </c>
      <c r="W277" s="65">
        <f>IFERROR(__xludf.DUMMYFUNCTION("""COMPUTED_VALUE"""),0.0)</f>
        <v>0</v>
      </c>
      <c r="X277" s="65">
        <f>IFERROR(__xludf.DUMMYFUNCTION("""COMPUTED_VALUE"""),2.35)</f>
        <v>2.35</v>
      </c>
      <c r="Y277" s="65">
        <f>IFERROR(__xludf.DUMMYFUNCTION("""COMPUTED_VALUE"""),4.7)</f>
        <v>4.7</v>
      </c>
      <c r="Z277" s="65">
        <f>IFERROR(__xludf.DUMMYFUNCTION("""COMPUTED_VALUE"""),116679.0)</f>
        <v>116679</v>
      </c>
      <c r="AA277" s="65" t="str">
        <f>IFERROR(__xludf.DUMMYFUNCTION("""COMPUTED_VALUE"""),"AMC-2738")</f>
        <v>AMC-2738</v>
      </c>
      <c r="AB277" s="65"/>
      <c r="AC277" s="65" t="str">
        <f>IFERROR(__xludf.DUMMYFUNCTION("""COMPUTED_VALUE"""),"ESPONJA ANTILLUVIA DE PARABRISAS")</f>
        <v>ESPONJA ANTILLUVIA DE PARABRISAS</v>
      </c>
      <c r="AD277" s="65"/>
      <c r="AE277" s="65">
        <f>IFERROR(__xludf.DUMMYFUNCTION("""COMPUTED_VALUE"""),2.0)</f>
        <v>2</v>
      </c>
      <c r="AF277" s="65"/>
      <c r="AG277" s="65"/>
      <c r="AH277" s="65"/>
      <c r="AI277" s="65"/>
      <c r="AJ277" s="65"/>
      <c r="AK277" s="65"/>
      <c r="AL277" s="65"/>
      <c r="AM277" s="65"/>
      <c r="AN277" s="65" t="str">
        <f>IFERROR(__xludf.DUMMYFUNCTION("""COMPUTED_VALUE"""),"14:18")</f>
        <v>14:18</v>
      </c>
      <c r="AO277" s="65" t="str">
        <f>IFERROR(__xludf.DUMMYFUNCTION("""COMPUTED_VALUE"""),"26-03-2026")</f>
        <v>26-03-2026</v>
      </c>
      <c r="AP277" s="65" t="str">
        <f>IFERROR(__xludf.DUMMYFUNCTION("""COMPUTED_VALUE"""),"ENTREGADA GINTRACOM")</f>
        <v>ENTREGADA GINTRACOM</v>
      </c>
      <c r="AQ277" s="65" t="str">
        <f>IFERROR(__xludf.DUMMYFUNCTION("""COMPUTED_VALUE"""),"ENTREGADA GINTRACOM")</f>
        <v>ENTREGADA GINTRACOM</v>
      </c>
      <c r="AR277" s="65"/>
      <c r="AS277" s="65"/>
      <c r="AT277" s="65" t="str">
        <f>IFERROR(__xludf.DUMMYFUNCTION("""COMPUTED_VALUE"""),"SHOPIFY")</f>
        <v>SHOPIFY</v>
      </c>
      <c r="AU277" s="65" t="str">
        <f>IFERROR(__xludf.DUMMYFUNCTION("""COMPUTED_VALUE"""),"IMPORTEX EC")</f>
        <v>IMPORTEX EC</v>
      </c>
      <c r="AV277" s="65" t="str">
        <f>IFERROR(__xludf.DUMMYFUNCTION("""COMPUTED_VALUE"""),"6563981459500")</f>
        <v>6563981459500</v>
      </c>
      <c r="AW277" s="65">
        <f>IFERROR(__xludf.DUMMYFUNCTION("""COMPUTED_VALUE"""),6579.0)</f>
        <v>6579</v>
      </c>
      <c r="AX277" s="65"/>
      <c r="AY277" s="65" t="str">
        <f>IFERROR(__xludf.DUMMYFUNCTION("""COMPUTED_VALUE"""),"09/03/2026")</f>
        <v>09/03/2026</v>
      </c>
      <c r="AZ277" s="65"/>
      <c r="BA277" s="65"/>
    </row>
    <row r="278">
      <c r="A278" s="65" t="str">
        <f>IFERROR(__xludf.DUMMYFUNCTION("""COMPUTED_VALUE"""),"27-03-2026")</f>
        <v>27-03-2026</v>
      </c>
      <c r="B278" s="65">
        <f>IFERROR(__xludf.DUMMYFUNCTION("""COMPUTED_VALUE"""),4730307.0)</f>
        <v>4730307</v>
      </c>
      <c r="C278" s="65" t="str">
        <f>IFERROR(__xludf.DUMMYFUNCTION("""COMPUTED_VALUE"""),"16:17")</f>
        <v>16:17</v>
      </c>
      <c r="D278" s="65" t="str">
        <f>IFERROR(__xludf.DUMMYFUNCTION("""COMPUTED_VALUE"""),"07-03-2026")</f>
        <v>07-03-2026</v>
      </c>
      <c r="E278" s="65" t="str">
        <f>IFERROR(__xludf.DUMMYFUNCTION("""COMPUTED_VALUE"""),"Catalina Cordero")</f>
        <v>Catalina Cordero</v>
      </c>
      <c r="F278" s="65" t="str">
        <f>IFERROR(__xludf.DUMMYFUNCTION("""COMPUTED_VALUE"""),"999945311")</f>
        <v>999945311</v>
      </c>
      <c r="G278" s="65" t="str">
        <f>IFERROR(__xludf.DUMMYFUNCTION("""COMPUTED_VALUE"""),"katti.cordero@hotmail.com")</f>
        <v>katti.cordero@hotmail.com</v>
      </c>
      <c r="H278" s="65"/>
      <c r="I278" s="65"/>
      <c r="J278" s="65" t="str">
        <f>IFERROR(__xludf.DUMMYFUNCTION("""COMPUTED_VALUE"""),"D001397704")</f>
        <v>D001397704</v>
      </c>
      <c r="K278" s="65" t="str">
        <f>IFERROR(__xludf.DUMMYFUNCTION("""COMPUTED_VALUE"""),"ENTREGADO")</f>
        <v>ENTREGADO</v>
      </c>
      <c r="L278" s="65" t="str">
        <f>IFERROR(__xludf.DUMMYFUNCTION("""COMPUTED_VALUE"""),"CON RECAUDO")</f>
        <v>CON RECAUDO</v>
      </c>
      <c r="M278" s="65" t="str">
        <f>IFERROR(__xludf.DUMMYFUNCTION("""COMPUTED_VALUE"""),"AZUAY")</f>
        <v>AZUAY</v>
      </c>
      <c r="N278" s="65" t="str">
        <f>IFERROR(__xludf.DUMMYFUNCTION("""COMPUTED_VALUE"""),"CUENCA")</f>
        <v>CUENCA</v>
      </c>
      <c r="O278" s="65" t="str">
        <f>IFERROR(__xludf.DUMMYFUNCTION("""COMPUTED_VALUE"""),"Av calle Chirote, Urbanizacion La AURORA, Junto a la Universidad del Azuay -  Azuay")</f>
        <v>Av calle Chirote, Urbanizacion La AURORA, Junto a la Universidad del Azuay -  Azuay</v>
      </c>
      <c r="P278" s="65"/>
      <c r="Q278" s="65" t="str">
        <f>IFERROR(__xludf.DUMMYFUNCTION("""COMPUTED_VALUE"""),"GINTRACOM")</f>
        <v>GINTRACOM</v>
      </c>
      <c r="R278" s="65">
        <f>IFERROR(__xludf.DUMMYFUNCTION("""COMPUTED_VALUE"""),25.0)</f>
        <v>25</v>
      </c>
      <c r="S278" s="65">
        <f>IFERROR(__xludf.DUMMYFUNCTION("""COMPUTED_VALUE"""),12.04)</f>
        <v>12.04</v>
      </c>
      <c r="T278" s="65">
        <f>IFERROR(__xludf.DUMMYFUNCTION("""COMPUTED_VALUE"""),5.96)</f>
        <v>5.96</v>
      </c>
      <c r="U278" s="65">
        <f>IFERROR(__xludf.DUMMYFUNCTION("""COMPUTED_VALUE"""),0.0)</f>
        <v>0</v>
      </c>
      <c r="V278" s="65">
        <f>IFERROR(__xludf.DUMMYFUNCTION("""COMPUTED_VALUE"""),0.0)</f>
        <v>0</v>
      </c>
      <c r="W278" s="65">
        <f>IFERROR(__xludf.DUMMYFUNCTION("""COMPUTED_VALUE"""),0.0)</f>
        <v>0</v>
      </c>
      <c r="X278" s="65">
        <f>IFERROR(__xludf.DUMMYFUNCTION("""COMPUTED_VALUE"""),3.5)</f>
        <v>3.5</v>
      </c>
      <c r="Y278" s="65">
        <f>IFERROR(__xludf.DUMMYFUNCTION("""COMPUTED_VALUE"""),7.0)</f>
        <v>7</v>
      </c>
      <c r="Z278" s="65">
        <f>IFERROR(__xludf.DUMMYFUNCTION("""COMPUTED_VALUE"""),87095.0)</f>
        <v>87095</v>
      </c>
      <c r="AA278" s="65" t="str">
        <f>IFERROR(__xludf.DUMMYFUNCTION("""COMPUTED_VALUE"""),"FILTRO DE DRENAJE")</f>
        <v>FILTRO DE DRENAJE</v>
      </c>
      <c r="AB278" s="65"/>
      <c r="AC278" s="65" t="str">
        <f>IFERROR(__xludf.DUMMYFUNCTION("""COMPUTED_VALUE"""),"FILTRO DE DRENAJE")</f>
        <v>FILTRO DE DRENAJE</v>
      </c>
      <c r="AD278" s="65"/>
      <c r="AE278" s="65">
        <f>IFERROR(__xludf.DUMMYFUNCTION("""COMPUTED_VALUE"""),2.0)</f>
        <v>2</v>
      </c>
      <c r="AF278" s="65"/>
      <c r="AG278" s="65"/>
      <c r="AH278" s="65"/>
      <c r="AI278" s="65"/>
      <c r="AJ278" s="65"/>
      <c r="AK278" s="65"/>
      <c r="AL278" s="65"/>
      <c r="AM278" s="65"/>
      <c r="AN278" s="65" t="str">
        <f>IFERROR(__xludf.DUMMYFUNCTION("""COMPUTED_VALUE"""),"10:58")</f>
        <v>10:58</v>
      </c>
      <c r="AO278" s="65" t="str">
        <f>IFERROR(__xludf.DUMMYFUNCTION("""COMPUTED_VALUE"""),"11-03-2026")</f>
        <v>11-03-2026</v>
      </c>
      <c r="AP278" s="65" t="str">
        <f>IFERROR(__xludf.DUMMYFUNCTION("""COMPUTED_VALUE"""),"ENTREGADA GINTRACOM")</f>
        <v>ENTREGADA GINTRACOM</v>
      </c>
      <c r="AQ278" s="65" t="str">
        <f>IFERROR(__xludf.DUMMYFUNCTION("""COMPUTED_VALUE"""),"ENTREGADA GINTRACOM")</f>
        <v>ENTREGADA GINTRACOM</v>
      </c>
      <c r="AR278" s="65"/>
      <c r="AS278" s="65"/>
      <c r="AT278" s="65" t="str">
        <f>IFERROR(__xludf.DUMMYFUNCTION("""COMPUTED_VALUE"""),"SHOPIFY")</f>
        <v>SHOPIFY</v>
      </c>
      <c r="AU278" s="65" t="str">
        <f>IFERROR(__xludf.DUMMYFUNCTION("""COMPUTED_VALUE"""),"IMPORTEX EC")</f>
        <v>IMPORTEX EC</v>
      </c>
      <c r="AV278" s="65" t="str">
        <f>IFERROR(__xludf.DUMMYFUNCTION("""COMPUTED_VALUE"""),"6563756736556")</f>
        <v>6563756736556</v>
      </c>
      <c r="AW278" s="65">
        <f>IFERROR(__xludf.DUMMYFUNCTION("""COMPUTED_VALUE"""),6578.0)</f>
        <v>6578</v>
      </c>
      <c r="AX278" s="65"/>
      <c r="AY278" s="65" t="str">
        <f>IFERROR(__xludf.DUMMYFUNCTION("""COMPUTED_VALUE"""),"09/03/2026")</f>
        <v>09/03/2026</v>
      </c>
      <c r="AZ278" s="65"/>
      <c r="BA278" s="65"/>
    </row>
    <row r="279">
      <c r="A279" s="65" t="str">
        <f>IFERROR(__xludf.DUMMYFUNCTION("""COMPUTED_VALUE"""),"27-03-2026")</f>
        <v>27-03-2026</v>
      </c>
      <c r="B279" s="65">
        <f>IFERROR(__xludf.DUMMYFUNCTION("""COMPUTED_VALUE"""),4730245.0)</f>
        <v>4730245</v>
      </c>
      <c r="C279" s="65" t="str">
        <f>IFERROR(__xludf.DUMMYFUNCTION("""COMPUTED_VALUE"""),"16:07")</f>
        <v>16:07</v>
      </c>
      <c r="D279" s="65" t="str">
        <f>IFERROR(__xludf.DUMMYFUNCTION("""COMPUTED_VALUE"""),"07-03-2026")</f>
        <v>07-03-2026</v>
      </c>
      <c r="E279" s="65" t="str">
        <f>IFERROR(__xludf.DUMMYFUNCTION("""COMPUTED_VALUE"""),"Jonathan Castro")</f>
        <v>Jonathan Castro</v>
      </c>
      <c r="F279" s="65" t="str">
        <f>IFERROR(__xludf.DUMMYFUNCTION("""COMPUTED_VALUE"""),"979660565")</f>
        <v>979660565</v>
      </c>
      <c r="G279" s="65" t="str">
        <f>IFERROR(__xludf.DUMMYFUNCTION("""COMPUTED_VALUE"""),"jonathan_castror1992@outlook.com")</f>
        <v>jonathan_castror1992@outlook.com</v>
      </c>
      <c r="H279" s="65"/>
      <c r="I279" s="65"/>
      <c r="J279" s="65"/>
      <c r="K279" s="65" t="str">
        <f>IFERROR(__xludf.DUMMYFUNCTION("""COMPUTED_VALUE"""),"PENDIENTE CONFIRMACION")</f>
        <v>PENDIENTE CONFIRMACION</v>
      </c>
      <c r="L279" s="65" t="str">
        <f>IFERROR(__xludf.DUMMYFUNCTION("""COMPUTED_VALUE"""),"CON RECAUDO")</f>
        <v>CON RECAUDO</v>
      </c>
      <c r="M279" s="65" t="str">
        <f>IFERROR(__xludf.DUMMYFUNCTION("""COMPUTED_VALUE"""),"EL ORO")</f>
        <v>EL ORO</v>
      </c>
      <c r="N279" s="65" t="str">
        <f>IFERROR(__xludf.DUMMYFUNCTION("""COMPUTED_VALUE"""),"EL CAMBIO")</f>
        <v>EL CAMBIO</v>
      </c>
      <c r="O279" s="65" t="str">
        <f>IFERROR(__xludf.DUMMYFUNCTION("""COMPUTED_VALUE"""),"Panamericana 1era suy frente al cambio -")</f>
        <v>Panamericana 1era suy frente al cambio -</v>
      </c>
      <c r="P279" s="65"/>
      <c r="Q279" s="65" t="str">
        <f>IFERROR(__xludf.DUMMYFUNCTION("""COMPUTED_VALUE"""),"GINTRACOM")</f>
        <v>GINTRACOM</v>
      </c>
      <c r="R279" s="65">
        <f>IFERROR(__xludf.DUMMYFUNCTION("""COMPUTED_VALUE"""),20.0)</f>
        <v>20</v>
      </c>
      <c r="S279" s="65"/>
      <c r="T279" s="65">
        <f>IFERROR(__xludf.DUMMYFUNCTION("""COMPUTED_VALUE"""),6.33)</f>
        <v>6.33</v>
      </c>
      <c r="U279" s="65">
        <f>IFERROR(__xludf.DUMMYFUNCTION("""COMPUTED_VALUE"""),0.0)</f>
        <v>0</v>
      </c>
      <c r="V279" s="65">
        <f>IFERROR(__xludf.DUMMYFUNCTION("""COMPUTED_VALUE"""),0.0)</f>
        <v>0</v>
      </c>
      <c r="W279" s="65">
        <f>IFERROR(__xludf.DUMMYFUNCTION("""COMPUTED_VALUE"""),0.0)</f>
        <v>0</v>
      </c>
      <c r="X279" s="65">
        <f>IFERROR(__xludf.DUMMYFUNCTION("""COMPUTED_VALUE"""),2.35)</f>
        <v>2.35</v>
      </c>
      <c r="Y279" s="65">
        <f>IFERROR(__xludf.DUMMYFUNCTION("""COMPUTED_VALUE"""),2.35)</f>
        <v>2.35</v>
      </c>
      <c r="Z279" s="65">
        <f>IFERROR(__xludf.DUMMYFUNCTION("""COMPUTED_VALUE"""),116679.0)</f>
        <v>116679</v>
      </c>
      <c r="AA279" s="65" t="str">
        <f>IFERROR(__xludf.DUMMYFUNCTION("""COMPUTED_VALUE"""),"AMC-2738")</f>
        <v>AMC-2738</v>
      </c>
      <c r="AB279" s="65"/>
      <c r="AC279" s="65" t="str">
        <f>IFERROR(__xludf.DUMMYFUNCTION("""COMPUTED_VALUE"""),"ESPONJA ANTILLUVIA DE PARABRISAS")</f>
        <v>ESPONJA ANTILLUVIA DE PARABRISAS</v>
      </c>
      <c r="AD279" s="65"/>
      <c r="AE279" s="65">
        <f>IFERROR(__xludf.DUMMYFUNCTION("""COMPUTED_VALUE"""),1.0)</f>
        <v>1</v>
      </c>
      <c r="AF279" s="65"/>
      <c r="AG279" s="65"/>
      <c r="AH279" s="65"/>
      <c r="AI279" s="65"/>
      <c r="AJ279" s="65"/>
      <c r="AK279" s="65"/>
      <c r="AL279" s="65"/>
      <c r="AM279" s="65"/>
      <c r="AN279" s="65"/>
      <c r="AO279" s="65"/>
      <c r="AP279" s="65"/>
      <c r="AQ279" s="65"/>
      <c r="AR279" s="65"/>
      <c r="AS279" s="65"/>
      <c r="AT279" s="65" t="str">
        <f>IFERROR(__xludf.DUMMYFUNCTION("""COMPUTED_VALUE"""),"SHOPIFY")</f>
        <v>SHOPIFY</v>
      </c>
      <c r="AU279" s="65" t="str">
        <f>IFERROR(__xludf.DUMMYFUNCTION("""COMPUTED_VALUE"""),"IMPORTEX EC")</f>
        <v>IMPORTEX EC</v>
      </c>
      <c r="AV279" s="65" t="str">
        <f>IFERROR(__xludf.DUMMYFUNCTION("""COMPUTED_VALUE"""),"6563739009068")</f>
        <v>6563739009068</v>
      </c>
      <c r="AW279" s="65">
        <f>IFERROR(__xludf.DUMMYFUNCTION("""COMPUTED_VALUE"""),6577.0)</f>
        <v>6577</v>
      </c>
      <c r="AX279" s="65"/>
      <c r="AY279" s="65"/>
      <c r="AZ279" s="65"/>
      <c r="BA279" s="65"/>
    </row>
    <row r="280">
      <c r="A280" s="65" t="str">
        <f>IFERROR(__xludf.DUMMYFUNCTION("""COMPUTED_VALUE"""),"27-03-2026")</f>
        <v>27-03-2026</v>
      </c>
      <c r="B280" s="65">
        <f>IFERROR(__xludf.DUMMYFUNCTION("""COMPUTED_VALUE"""),4729842.0)</f>
        <v>4729842</v>
      </c>
      <c r="C280" s="65" t="str">
        <f>IFERROR(__xludf.DUMMYFUNCTION("""COMPUTED_VALUE"""),"14:59")</f>
        <v>14:59</v>
      </c>
      <c r="D280" s="65" t="str">
        <f>IFERROR(__xludf.DUMMYFUNCTION("""COMPUTED_VALUE"""),"07-03-2026")</f>
        <v>07-03-2026</v>
      </c>
      <c r="E280" s="65" t="str">
        <f>IFERROR(__xludf.DUMMYFUNCTION("""COMPUTED_VALUE"""),"Eduardo Rivadeneira Rivadeneira")</f>
        <v>Eduardo Rivadeneira Rivadeneira</v>
      </c>
      <c r="F280" s="65" t="str">
        <f>IFERROR(__xludf.DUMMYFUNCTION("""COMPUTED_VALUE"""),"962788795")</f>
        <v>962788795</v>
      </c>
      <c r="G280" s="65" t="str">
        <f>IFERROR(__xludf.DUMMYFUNCTION("""COMPUTED_VALUE"""),"eduenriva@hotmail.com")</f>
        <v>eduenriva@hotmail.com</v>
      </c>
      <c r="H280" s="65"/>
      <c r="I280" s="65"/>
      <c r="J280" s="65" t="str">
        <f>IFERROR(__xludf.DUMMYFUNCTION("""COMPUTED_VALUE"""),"D001403947")</f>
        <v>D001403947</v>
      </c>
      <c r="K280" s="65" t="str">
        <f>IFERROR(__xludf.DUMMYFUNCTION("""COMPUTED_VALUE"""),"ENTREGADO")</f>
        <v>ENTREGADO</v>
      </c>
      <c r="L280" s="65" t="str">
        <f>IFERROR(__xludf.DUMMYFUNCTION("""COMPUTED_VALUE"""),"CON RECAUDO")</f>
        <v>CON RECAUDO</v>
      </c>
      <c r="M280" s="65" t="str">
        <f>IFERROR(__xludf.DUMMYFUNCTION("""COMPUTED_VALUE"""),"PICHINCHA")</f>
        <v>PICHINCHA</v>
      </c>
      <c r="N280" s="65" t="str">
        <f>IFERROR(__xludf.DUMMYFUNCTION("""COMPUTED_VALUE"""),"QUITO")</f>
        <v>QUITO</v>
      </c>
      <c r="O280" s="65" t="str">
        <f>IFERROR(__xludf.DUMMYFUNCTION("""COMPUTED_VALUE"""),"Conjunto girasoles No. 3 Conjunto girasoles No. 3 -")</f>
        <v>Conjunto girasoles No. 3 Conjunto girasoles No. 3 -</v>
      </c>
      <c r="P280" s="65"/>
      <c r="Q280" s="65" t="str">
        <f>IFERROR(__xludf.DUMMYFUNCTION("""COMPUTED_VALUE"""),"GINTRACOM")</f>
        <v>GINTRACOM</v>
      </c>
      <c r="R280" s="65">
        <f>IFERROR(__xludf.DUMMYFUNCTION("""COMPUTED_VALUE"""),22.0)</f>
        <v>22</v>
      </c>
      <c r="S280" s="65">
        <f>IFERROR(__xludf.DUMMYFUNCTION("""COMPUTED_VALUE"""),7.77)</f>
        <v>7.77</v>
      </c>
      <c r="T280" s="65">
        <f>IFERROR(__xludf.DUMMYFUNCTION("""COMPUTED_VALUE"""),4.23)</f>
        <v>4.23</v>
      </c>
      <c r="U280" s="65">
        <f>IFERROR(__xludf.DUMMYFUNCTION("""COMPUTED_VALUE"""),0.0)</f>
        <v>0</v>
      </c>
      <c r="V280" s="65">
        <f>IFERROR(__xludf.DUMMYFUNCTION("""COMPUTED_VALUE"""),0.0)</f>
        <v>0</v>
      </c>
      <c r="W280" s="65">
        <f>IFERROR(__xludf.DUMMYFUNCTION("""COMPUTED_VALUE"""),0.0)</f>
        <v>0</v>
      </c>
      <c r="X280" s="65">
        <f>IFERROR(__xludf.DUMMYFUNCTION("""COMPUTED_VALUE"""),5.0)</f>
        <v>5</v>
      </c>
      <c r="Y280" s="65">
        <f>IFERROR(__xludf.DUMMYFUNCTION("""COMPUTED_VALUE"""),10.0)</f>
        <v>10</v>
      </c>
      <c r="Z280" s="65">
        <f>IFERROR(__xludf.DUMMYFUNCTION("""COMPUTED_VALUE"""),130492.0)</f>
        <v>130492</v>
      </c>
      <c r="AA280" s="65" t="str">
        <f>IFERROR(__xludf.DUMMYFUNCTION("""COMPUTED_VALUE"""),"IMX-00006")</f>
        <v>IMX-00006</v>
      </c>
      <c r="AB280" s="65"/>
      <c r="AC280" s="65" t="str">
        <f>IFERROR(__xludf.DUMMYFUNCTION("""COMPUTED_VALUE"""),"Receptor Bluetooth")</f>
        <v>Receptor Bluetooth</v>
      </c>
      <c r="AD280" s="65"/>
      <c r="AE280" s="65">
        <f>IFERROR(__xludf.DUMMYFUNCTION("""COMPUTED_VALUE"""),2.0)</f>
        <v>2</v>
      </c>
      <c r="AF280" s="65" t="str">
        <f>IFERROR(__xludf.DUMMYFUNCTION("""COMPUTED_VALUE"""),"DESTINATARIO NO CONTESTA LLAMADAS NI WHATSAPP")</f>
        <v>DESTINATARIO NO CONTESTA LLAMADAS NI WHATSAPP</v>
      </c>
      <c r="AG280" s="65" t="str">
        <f>IFERROR(__xludf.DUMMYFUNCTION("""COMPUTED_VALUE"""),"NO")</f>
        <v>NO</v>
      </c>
      <c r="AH280" s="65" t="str">
        <f>IFERROR(__xludf.DUMMYFUNCTION("""COMPUTED_VALUE"""),"19:57")</f>
        <v>19:57</v>
      </c>
      <c r="AI280" s="65" t="str">
        <f>IFERROR(__xludf.DUMMYFUNCTION("""COMPUTED_VALUE"""),"13-03-2026")</f>
        <v>13-03-2026</v>
      </c>
      <c r="AJ280" s="65"/>
      <c r="AK280" s="65"/>
      <c r="AL280" s="65"/>
      <c r="AM280" s="65"/>
      <c r="AN280" s="65" t="str">
        <f>IFERROR(__xludf.DUMMYFUNCTION("""COMPUTED_VALUE"""),"19:57")</f>
        <v>19:57</v>
      </c>
      <c r="AO280" s="65" t="str">
        <f>IFERROR(__xludf.DUMMYFUNCTION("""COMPUTED_VALUE"""),"13-03-2026")</f>
        <v>13-03-2026</v>
      </c>
      <c r="AP280" s="65" t="str">
        <f>IFERROR(__xludf.DUMMYFUNCTION("""COMPUTED_VALUE"""),"DESTINATARIO NO CONTESTA LLAMADAS NI WHATSAPP")</f>
        <v>DESTINATARIO NO CONTESTA LLAMADAS NI WHATSAPP</v>
      </c>
      <c r="AQ280" s="65" t="str">
        <f>IFERROR(__xludf.DUMMYFUNCTION("""COMPUTED_VALUE"""),"DESTINATARIO NO CONTESTA LLAMADAS NI WHATSAPP")</f>
        <v>DESTINATARIO NO CONTESTA LLAMADAS NI WHATSAPP</v>
      </c>
      <c r="AR280" s="65"/>
      <c r="AS280" s="65"/>
      <c r="AT280" s="65" t="str">
        <f>IFERROR(__xludf.DUMMYFUNCTION("""COMPUTED_VALUE"""),"SHOPIFY")</f>
        <v>SHOPIFY</v>
      </c>
      <c r="AU280" s="65" t="str">
        <f>IFERROR(__xludf.DUMMYFUNCTION("""COMPUTED_VALUE"""),"IMPORTEX EC")</f>
        <v>IMPORTEX EC</v>
      </c>
      <c r="AV280" s="65" t="str">
        <f>IFERROR(__xludf.DUMMYFUNCTION("""COMPUTED_VALUE"""),"6563592405036")</f>
        <v>6563592405036</v>
      </c>
      <c r="AW280" s="65">
        <f>IFERROR(__xludf.DUMMYFUNCTION("""COMPUTED_VALUE"""),6576.0)</f>
        <v>6576</v>
      </c>
      <c r="AX280" s="65"/>
      <c r="AY280" s="65" t="str">
        <f>IFERROR(__xludf.DUMMYFUNCTION("""COMPUTED_VALUE"""),"11/03/2026")</f>
        <v>11/03/2026</v>
      </c>
      <c r="AZ280" s="65"/>
      <c r="BA280" s="65"/>
    </row>
    <row r="281">
      <c r="A281" s="65" t="str">
        <f>IFERROR(__xludf.DUMMYFUNCTION("""COMPUTED_VALUE"""),"27-03-2026")</f>
        <v>27-03-2026</v>
      </c>
      <c r="B281" s="65">
        <f>IFERROR(__xludf.DUMMYFUNCTION("""COMPUTED_VALUE"""),4729454.0)</f>
        <v>4729454</v>
      </c>
      <c r="C281" s="65" t="str">
        <f>IFERROR(__xludf.DUMMYFUNCTION("""COMPUTED_VALUE"""),"13:51")</f>
        <v>13:51</v>
      </c>
      <c r="D281" s="65" t="str">
        <f>IFERROR(__xludf.DUMMYFUNCTION("""COMPUTED_VALUE"""),"07-03-2026")</f>
        <v>07-03-2026</v>
      </c>
      <c r="E281" s="65" t="str">
        <f>IFERROR(__xludf.DUMMYFUNCTION("""COMPUTED_VALUE"""),"Alfonso Estrada Peña")</f>
        <v>Alfonso Estrada Peña</v>
      </c>
      <c r="F281" s="65" t="str">
        <f>IFERROR(__xludf.DUMMYFUNCTION("""COMPUTED_VALUE"""),"978792935")</f>
        <v>978792935</v>
      </c>
      <c r="G281" s="65" t="str">
        <f>IFERROR(__xludf.DUMMYFUNCTION("""COMPUTED_VALUE"""),"alnegro.7@hotmail.com")</f>
        <v>alnegro.7@hotmail.com</v>
      </c>
      <c r="H281" s="65"/>
      <c r="I281" s="65"/>
      <c r="J281" s="65" t="str">
        <f>IFERROR(__xludf.DUMMYFUNCTION("""COMPUTED_VALUE"""),"D001398292")</f>
        <v>D001398292</v>
      </c>
      <c r="K281" s="65" t="str">
        <f>IFERROR(__xludf.DUMMYFUNCTION("""COMPUTED_VALUE"""),"ENTREGADO")</f>
        <v>ENTREGADO</v>
      </c>
      <c r="L281" s="65" t="str">
        <f>IFERROR(__xludf.DUMMYFUNCTION("""COMPUTED_VALUE"""),"CON RECAUDO")</f>
        <v>CON RECAUDO</v>
      </c>
      <c r="M281" s="65" t="str">
        <f>IFERROR(__xludf.DUMMYFUNCTION("""COMPUTED_VALUE"""),"SANTA ELENA")</f>
        <v>SANTA ELENA</v>
      </c>
      <c r="N281" s="65" t="str">
        <f>IFERROR(__xludf.DUMMYFUNCTION("""COMPUTED_VALUE"""),"SALINAS")</f>
        <v>SALINAS</v>
      </c>
      <c r="O281" s="65" t="str">
        <f>IFERROR(__xludf.DUMMYFUNCTION("""COMPUTED_VALUE"""),"Cdla carbo viteri av.43 calle 19 Carbo viteri por el colegio salinas diagonal")</f>
        <v>Cdla carbo viteri av.43 calle 19 Carbo viteri por el colegio salinas diagonal</v>
      </c>
      <c r="P281" s="65"/>
      <c r="Q281" s="65" t="str">
        <f>IFERROR(__xludf.DUMMYFUNCTION("""COMPUTED_VALUE"""),"GINTRACOM")</f>
        <v>GINTRACOM</v>
      </c>
      <c r="R281" s="65">
        <f>IFERROR(__xludf.DUMMYFUNCTION("""COMPUTED_VALUE"""),30.0)</f>
        <v>30</v>
      </c>
      <c r="S281" s="65">
        <f>IFERROR(__xludf.DUMMYFUNCTION("""COMPUTED_VALUE"""),16.22)</f>
        <v>16.22</v>
      </c>
      <c r="T281" s="65">
        <f>IFERROR(__xludf.DUMMYFUNCTION("""COMPUTED_VALUE"""),6.73)</f>
        <v>6.73</v>
      </c>
      <c r="U281" s="65">
        <f>IFERROR(__xludf.DUMMYFUNCTION("""COMPUTED_VALUE"""),0.0)</f>
        <v>0</v>
      </c>
      <c r="V281" s="65">
        <f>IFERROR(__xludf.DUMMYFUNCTION("""COMPUTED_VALUE"""),0.0)</f>
        <v>0</v>
      </c>
      <c r="W281" s="65">
        <f>IFERROR(__xludf.DUMMYFUNCTION("""COMPUTED_VALUE"""),0.0)</f>
        <v>0</v>
      </c>
      <c r="X281" s="65">
        <f>IFERROR(__xludf.DUMMYFUNCTION("""COMPUTED_VALUE"""),2.35)</f>
        <v>2.35</v>
      </c>
      <c r="Y281" s="65">
        <f>IFERROR(__xludf.DUMMYFUNCTION("""COMPUTED_VALUE"""),7.05)</f>
        <v>7.05</v>
      </c>
      <c r="Z281" s="65">
        <f>IFERROR(__xludf.DUMMYFUNCTION("""COMPUTED_VALUE"""),116679.0)</f>
        <v>116679</v>
      </c>
      <c r="AA281" s="65" t="str">
        <f>IFERROR(__xludf.DUMMYFUNCTION("""COMPUTED_VALUE"""),"AMC-2738")</f>
        <v>AMC-2738</v>
      </c>
      <c r="AB281" s="65"/>
      <c r="AC281" s="65" t="str">
        <f>IFERROR(__xludf.DUMMYFUNCTION("""COMPUTED_VALUE"""),"ESPONJA ANTILLUVIA DE PARABRISAS")</f>
        <v>ESPONJA ANTILLUVIA DE PARABRISAS</v>
      </c>
      <c r="AD281" s="65"/>
      <c r="AE281" s="65">
        <f>IFERROR(__xludf.DUMMYFUNCTION("""COMPUTED_VALUE"""),3.0)</f>
        <v>3</v>
      </c>
      <c r="AF281" s="65"/>
      <c r="AG281" s="65"/>
      <c r="AH281" s="65"/>
      <c r="AI281" s="65"/>
      <c r="AJ281" s="65"/>
      <c r="AK281" s="65"/>
      <c r="AL281" s="65"/>
      <c r="AM281" s="65"/>
      <c r="AN281" s="65" t="str">
        <f>IFERROR(__xludf.DUMMYFUNCTION("""COMPUTED_VALUE"""),"16:36")</f>
        <v>16:36</v>
      </c>
      <c r="AO281" s="65" t="str">
        <f>IFERROR(__xludf.DUMMYFUNCTION("""COMPUTED_VALUE"""),"12-03-2026")</f>
        <v>12-03-2026</v>
      </c>
      <c r="AP281" s="65" t="str">
        <f>IFERROR(__xludf.DUMMYFUNCTION("""COMPUTED_VALUE"""),"ENTREGADA GINTRACOM")</f>
        <v>ENTREGADA GINTRACOM</v>
      </c>
      <c r="AQ281" s="65" t="str">
        <f>IFERROR(__xludf.DUMMYFUNCTION("""COMPUTED_VALUE"""),"ENTREGADA GINTRACOM")</f>
        <v>ENTREGADA GINTRACOM</v>
      </c>
      <c r="AR281" s="65"/>
      <c r="AS281" s="65"/>
      <c r="AT281" s="65" t="str">
        <f>IFERROR(__xludf.DUMMYFUNCTION("""COMPUTED_VALUE"""),"SHOPIFY")</f>
        <v>SHOPIFY</v>
      </c>
      <c r="AU281" s="65" t="str">
        <f>IFERROR(__xludf.DUMMYFUNCTION("""COMPUTED_VALUE"""),"IMPORTEX EC")</f>
        <v>IMPORTEX EC</v>
      </c>
      <c r="AV281" s="65" t="str">
        <f>IFERROR(__xludf.DUMMYFUNCTION("""COMPUTED_VALUE"""),"6563447078956")</f>
        <v>6563447078956</v>
      </c>
      <c r="AW281" s="65">
        <f>IFERROR(__xludf.DUMMYFUNCTION("""COMPUTED_VALUE"""),6575.0)</f>
        <v>6575</v>
      </c>
      <c r="AX281" s="65"/>
      <c r="AY281" s="65" t="str">
        <f>IFERROR(__xludf.DUMMYFUNCTION("""COMPUTED_VALUE"""),"09/03/2026")</f>
        <v>09/03/2026</v>
      </c>
      <c r="AZ281" s="65"/>
      <c r="BA281" s="65"/>
    </row>
    <row r="282">
      <c r="A282" s="65" t="str">
        <f>IFERROR(__xludf.DUMMYFUNCTION("""COMPUTED_VALUE"""),"27-03-2026")</f>
        <v>27-03-2026</v>
      </c>
      <c r="B282" s="65">
        <f>IFERROR(__xludf.DUMMYFUNCTION("""COMPUTED_VALUE"""),4728366.0)</f>
        <v>4728366</v>
      </c>
      <c r="C282" s="65" t="str">
        <f>IFERROR(__xludf.DUMMYFUNCTION("""COMPUTED_VALUE"""),"11:18")</f>
        <v>11:18</v>
      </c>
      <c r="D282" s="65" t="str">
        <f>IFERROR(__xludf.DUMMYFUNCTION("""COMPUTED_VALUE"""),"07-03-2026")</f>
        <v>07-03-2026</v>
      </c>
      <c r="E282" s="65" t="str">
        <f>IFERROR(__xludf.DUMMYFUNCTION("""COMPUTED_VALUE"""),"Geovanny Coba")</f>
        <v>Geovanny Coba</v>
      </c>
      <c r="F282" s="65" t="str">
        <f>IFERROR(__xludf.DUMMYFUNCTION("""COMPUTED_VALUE"""),"998441745")</f>
        <v>998441745</v>
      </c>
      <c r="G282" s="65" t="str">
        <f>IFERROR(__xludf.DUMMYFUNCTION("""COMPUTED_VALUE"""),"geocoba@gmail.com")</f>
        <v>geocoba@gmail.com</v>
      </c>
      <c r="H282" s="65"/>
      <c r="I282" s="65"/>
      <c r="J282" s="65" t="str">
        <f>IFERROR(__xludf.DUMMYFUNCTION("""COMPUTED_VALUE"""),"D001397049")</f>
        <v>D001397049</v>
      </c>
      <c r="K282" s="65" t="str">
        <f>IFERROR(__xludf.DUMMYFUNCTION("""COMPUTED_VALUE"""),"ENTREGADO")</f>
        <v>ENTREGADO</v>
      </c>
      <c r="L282" s="65" t="str">
        <f>IFERROR(__xludf.DUMMYFUNCTION("""COMPUTED_VALUE"""),"CON RECAUDO")</f>
        <v>CON RECAUDO</v>
      </c>
      <c r="M282" s="65" t="str">
        <f>IFERROR(__xludf.DUMMYFUNCTION("""COMPUTED_VALUE"""),"PICHINCHA")</f>
        <v>PICHINCHA</v>
      </c>
      <c r="N282" s="65" t="str">
        <f>IFERROR(__xludf.DUMMYFUNCTION("""COMPUTED_VALUE"""),"QUITO")</f>
        <v>QUITO</v>
      </c>
      <c r="O282" s="65" t="str">
        <f>IFERROR(__xludf.DUMMYFUNCTION("""COMPUTED_VALUE"""),"Quito Sector Monjas Monjas Barrio alma lojana, atrás de la iglesia de alma lojana calle e21c 98 y calle s2i")</f>
        <v>Quito Sector Monjas Monjas Barrio alma lojana, atrás de la iglesia de alma lojana calle e21c 98 y calle s2i</v>
      </c>
      <c r="P282" s="65"/>
      <c r="Q282" s="65" t="str">
        <f>IFERROR(__xludf.DUMMYFUNCTION("""COMPUTED_VALUE"""),"GINTRACOM")</f>
        <v>GINTRACOM</v>
      </c>
      <c r="R282" s="65">
        <f>IFERROR(__xludf.DUMMYFUNCTION("""COMPUTED_VALUE"""),25.0)</f>
        <v>25</v>
      </c>
      <c r="S282" s="65">
        <f>IFERROR(__xludf.DUMMYFUNCTION("""COMPUTED_VALUE"""),12.04)</f>
        <v>12.04</v>
      </c>
      <c r="T282" s="65">
        <f>IFERROR(__xludf.DUMMYFUNCTION("""COMPUTED_VALUE"""),5.96)</f>
        <v>5.96</v>
      </c>
      <c r="U282" s="65">
        <f>IFERROR(__xludf.DUMMYFUNCTION("""COMPUTED_VALUE"""),0.0)</f>
        <v>0</v>
      </c>
      <c r="V282" s="65">
        <f>IFERROR(__xludf.DUMMYFUNCTION("""COMPUTED_VALUE"""),0.0)</f>
        <v>0</v>
      </c>
      <c r="W282" s="65">
        <f>IFERROR(__xludf.DUMMYFUNCTION("""COMPUTED_VALUE"""),0.0)</f>
        <v>0</v>
      </c>
      <c r="X282" s="65">
        <f>IFERROR(__xludf.DUMMYFUNCTION("""COMPUTED_VALUE"""),3.5)</f>
        <v>3.5</v>
      </c>
      <c r="Y282" s="65">
        <f>IFERROR(__xludf.DUMMYFUNCTION("""COMPUTED_VALUE"""),7.0)</f>
        <v>7</v>
      </c>
      <c r="Z282" s="65">
        <f>IFERROR(__xludf.DUMMYFUNCTION("""COMPUTED_VALUE"""),87095.0)</f>
        <v>87095</v>
      </c>
      <c r="AA282" s="65" t="str">
        <f>IFERROR(__xludf.DUMMYFUNCTION("""COMPUTED_VALUE"""),"FILTRO DE DRENAJE")</f>
        <v>FILTRO DE DRENAJE</v>
      </c>
      <c r="AB282" s="65"/>
      <c r="AC282" s="65" t="str">
        <f>IFERROR(__xludf.DUMMYFUNCTION("""COMPUTED_VALUE"""),"FILTRO DE DRENAJE")</f>
        <v>FILTRO DE DRENAJE</v>
      </c>
      <c r="AD282" s="65"/>
      <c r="AE282" s="65">
        <f>IFERROR(__xludf.DUMMYFUNCTION("""COMPUTED_VALUE"""),2.0)</f>
        <v>2</v>
      </c>
      <c r="AF282" s="65"/>
      <c r="AG282" s="65"/>
      <c r="AH282" s="65"/>
      <c r="AI282" s="65"/>
      <c r="AJ282" s="65"/>
      <c r="AK282" s="65"/>
      <c r="AL282" s="65"/>
      <c r="AM282" s="65"/>
      <c r="AN282" s="65" t="str">
        <f>IFERROR(__xludf.DUMMYFUNCTION("""COMPUTED_VALUE"""),"14:28")</f>
        <v>14:28</v>
      </c>
      <c r="AO282" s="65" t="str">
        <f>IFERROR(__xludf.DUMMYFUNCTION("""COMPUTED_VALUE"""),"11-03-2026")</f>
        <v>11-03-2026</v>
      </c>
      <c r="AP282" s="65" t="str">
        <f>IFERROR(__xludf.DUMMYFUNCTION("""COMPUTED_VALUE"""),"ENTREGADA GINTRACOM")</f>
        <v>ENTREGADA GINTRACOM</v>
      </c>
      <c r="AQ282" s="65" t="str">
        <f>IFERROR(__xludf.DUMMYFUNCTION("""COMPUTED_VALUE"""),"ENTREGADA GINTRACOM")</f>
        <v>ENTREGADA GINTRACOM</v>
      </c>
      <c r="AR282" s="65"/>
      <c r="AS282" s="65"/>
      <c r="AT282" s="65" t="str">
        <f>IFERROR(__xludf.DUMMYFUNCTION("""COMPUTED_VALUE"""),"SHOPIFY")</f>
        <v>SHOPIFY</v>
      </c>
      <c r="AU282" s="65" t="str">
        <f>IFERROR(__xludf.DUMMYFUNCTION("""COMPUTED_VALUE"""),"IMPORTEX EC")</f>
        <v>IMPORTEX EC</v>
      </c>
      <c r="AV282" s="65" t="str">
        <f>IFERROR(__xludf.DUMMYFUNCTION("""COMPUTED_VALUE"""),"6563064709164")</f>
        <v>6563064709164</v>
      </c>
      <c r="AW282" s="65">
        <f>IFERROR(__xludf.DUMMYFUNCTION("""COMPUTED_VALUE"""),6574.0)</f>
        <v>6574</v>
      </c>
      <c r="AX282" s="65"/>
      <c r="AY282" s="65" t="str">
        <f>IFERROR(__xludf.DUMMYFUNCTION("""COMPUTED_VALUE"""),"09/03/2026")</f>
        <v>09/03/2026</v>
      </c>
      <c r="AZ282" s="65"/>
      <c r="BA282" s="65"/>
    </row>
    <row r="283">
      <c r="A283" s="65" t="str">
        <f>IFERROR(__xludf.DUMMYFUNCTION("""COMPUTED_VALUE"""),"27-03-2026")</f>
        <v>27-03-2026</v>
      </c>
      <c r="B283" s="65">
        <f>IFERROR(__xludf.DUMMYFUNCTION("""COMPUTED_VALUE"""),4728052.0)</f>
        <v>4728052</v>
      </c>
      <c r="C283" s="65" t="str">
        <f>IFERROR(__xludf.DUMMYFUNCTION("""COMPUTED_VALUE"""),"10:39")</f>
        <v>10:39</v>
      </c>
      <c r="D283" s="65" t="str">
        <f>IFERROR(__xludf.DUMMYFUNCTION("""COMPUTED_VALUE"""),"07-03-2026")</f>
        <v>07-03-2026</v>
      </c>
      <c r="E283" s="65" t="str">
        <f>IFERROR(__xludf.DUMMYFUNCTION("""COMPUTED_VALUE"""),"Hernan Jimenez")</f>
        <v>Hernan Jimenez</v>
      </c>
      <c r="F283" s="65" t="str">
        <f>IFERROR(__xludf.DUMMYFUNCTION("""COMPUTED_VALUE"""),"998151857")</f>
        <v>998151857</v>
      </c>
      <c r="G283" s="65" t="str">
        <f>IFERROR(__xludf.DUMMYFUNCTION("""COMPUTED_VALUE"""),"hjimenez1981@gmail.com")</f>
        <v>hjimenez1981@gmail.com</v>
      </c>
      <c r="H283" s="65"/>
      <c r="I283" s="65"/>
      <c r="J283" s="65" t="str">
        <f>IFERROR(__xludf.DUMMYFUNCTION("""COMPUTED_VALUE"""),"D001404588")</f>
        <v>D001404588</v>
      </c>
      <c r="K283" s="65" t="str">
        <f>IFERROR(__xludf.DUMMYFUNCTION("""COMPUTED_VALUE"""),"DEVOLUCION")</f>
        <v>DEVOLUCION</v>
      </c>
      <c r="L283" s="65" t="str">
        <f>IFERROR(__xludf.DUMMYFUNCTION("""COMPUTED_VALUE"""),"CON RECAUDO")</f>
        <v>CON RECAUDO</v>
      </c>
      <c r="M283" s="65" t="str">
        <f>IFERROR(__xludf.DUMMYFUNCTION("""COMPUTED_VALUE"""),"PICHINCHA")</f>
        <v>PICHINCHA</v>
      </c>
      <c r="N283" s="65" t="str">
        <f>IFERROR(__xludf.DUMMYFUNCTION("""COMPUTED_VALUE"""),"QUITO")</f>
        <v>QUITO</v>
      </c>
      <c r="O283" s="65" t="str">
        <f>IFERROR(__xludf.DUMMYFUNCTION("""COMPUTED_VALUE"""),"Harcher harman Francisco muñoz -")</f>
        <v>Harcher harman Francisco muñoz -</v>
      </c>
      <c r="P283" s="65"/>
      <c r="Q283" s="65" t="str">
        <f>IFERROR(__xludf.DUMMYFUNCTION("""COMPUTED_VALUE"""),"GINTRACOM")</f>
        <v>GINTRACOM</v>
      </c>
      <c r="R283" s="65">
        <f>IFERROR(__xludf.DUMMYFUNCTION("""COMPUTED_VALUE"""),20.0)</f>
        <v>20</v>
      </c>
      <c r="S283" s="65"/>
      <c r="T283" s="65">
        <f>IFERROR(__xludf.DUMMYFUNCTION("""COMPUTED_VALUE"""),4.15)</f>
        <v>4.15</v>
      </c>
      <c r="U283" s="65">
        <f>IFERROR(__xludf.DUMMYFUNCTION("""COMPUTED_VALUE"""),0.0)</f>
        <v>0</v>
      </c>
      <c r="V283" s="65">
        <f>IFERROR(__xludf.DUMMYFUNCTION("""COMPUTED_VALUE"""),0.0)</f>
        <v>0</v>
      </c>
      <c r="W283" s="65">
        <f>IFERROR(__xludf.DUMMYFUNCTION("""COMPUTED_VALUE"""),0.0)</f>
        <v>0</v>
      </c>
      <c r="X283" s="65">
        <f>IFERROR(__xludf.DUMMYFUNCTION("""COMPUTED_VALUE"""),2.35)</f>
        <v>2.35</v>
      </c>
      <c r="Y283" s="65">
        <f>IFERROR(__xludf.DUMMYFUNCTION("""COMPUTED_VALUE"""),2.35)</f>
        <v>2.35</v>
      </c>
      <c r="Z283" s="65">
        <f>IFERROR(__xludf.DUMMYFUNCTION("""COMPUTED_VALUE"""),116679.0)</f>
        <v>116679</v>
      </c>
      <c r="AA283" s="65" t="str">
        <f>IFERROR(__xludf.DUMMYFUNCTION("""COMPUTED_VALUE"""),"AMC-2738")</f>
        <v>AMC-2738</v>
      </c>
      <c r="AB283" s="65"/>
      <c r="AC283" s="65" t="str">
        <f>IFERROR(__xludf.DUMMYFUNCTION("""COMPUTED_VALUE"""),"ESPONJA ANTILLUVIA DE PARABRISAS")</f>
        <v>ESPONJA ANTILLUVIA DE PARABRISAS</v>
      </c>
      <c r="AD283" s="65"/>
      <c r="AE283" s="65">
        <f>IFERROR(__xludf.DUMMYFUNCTION("""COMPUTED_VALUE"""),1.0)</f>
        <v>1</v>
      </c>
      <c r="AF283" s="65" t="str">
        <f>IFERROR(__xludf.DUMMYFUNCTION("""COMPUTED_VALUE"""),"DESTINATARIO NO CONTESTA LLAMADAS NI WHATSAPP")</f>
        <v>DESTINATARIO NO CONTESTA LLAMADAS NI WHATSAPP</v>
      </c>
      <c r="AG283" s="65" t="str">
        <f>IFERROR(__xludf.DUMMYFUNCTION("""COMPUTED_VALUE"""),"SI")</f>
        <v>SI</v>
      </c>
      <c r="AH283" s="65" t="str">
        <f>IFERROR(__xludf.DUMMYFUNCTION("""COMPUTED_VALUE"""),"09:00")</f>
        <v>09:00</v>
      </c>
      <c r="AI283" s="65" t="str">
        <f>IFERROR(__xludf.DUMMYFUNCTION("""COMPUTED_VALUE"""),"20-03-2026")</f>
        <v>20-03-2026</v>
      </c>
      <c r="AJ283" s="65" t="str">
        <f>IFERROR(__xludf.DUMMYFUNCTION("""COMPUTED_VALUE"""),"El cliente requiere entrega inmediata; por favor, coordinar directamente con él para concretar la entrega.")</f>
        <v>El cliente requiere entrega inmediata; por favor, coordinar directamente con él para concretar la entrega.</v>
      </c>
      <c r="AK283" s="65" t="str">
        <f>IFERROR(__xludf.DUMMYFUNCTION("""COMPUTED_VALUE"""),"12:50")</f>
        <v>12:50</v>
      </c>
      <c r="AL283" s="65" t="str">
        <f>IFERROR(__xludf.DUMMYFUNCTION("""COMPUTED_VALUE"""),"20-03-2026")</f>
        <v>20-03-2026</v>
      </c>
      <c r="AM283" s="65"/>
      <c r="AN283" s="65" t="str">
        <f>IFERROR(__xludf.DUMMYFUNCTION("""COMPUTED_VALUE"""),"15:33")</f>
        <v>15:33</v>
      </c>
      <c r="AO283" s="65" t="str">
        <f>IFERROR(__xludf.DUMMYFUNCTION("""COMPUTED_VALUE"""),"26-03-2026")</f>
        <v>26-03-2026</v>
      </c>
      <c r="AP283" s="65" t="str">
        <f>IFERROR(__xludf.DUMMYFUNCTION("""COMPUTED_VALUE"""),"DEVOLUCIÓN ENTREGADA A ORIGEN")</f>
        <v>DEVOLUCIÓN ENTREGADA A ORIGEN</v>
      </c>
      <c r="AQ283" s="65" t="str">
        <f>IFERROR(__xludf.DUMMYFUNCTION("""COMPUTED_VALUE"""),"DEVOLUCIÓN ENTREGADA A ORIGEN")</f>
        <v>DEVOLUCIÓN ENTREGADA A ORIGEN</v>
      </c>
      <c r="AR283" s="65"/>
      <c r="AS283" s="65"/>
      <c r="AT283" s="65" t="str">
        <f>IFERROR(__xludf.DUMMYFUNCTION("""COMPUTED_VALUE"""),"SHOPIFY")</f>
        <v>SHOPIFY</v>
      </c>
      <c r="AU283" s="65" t="str">
        <f>IFERROR(__xludf.DUMMYFUNCTION("""COMPUTED_VALUE"""),"IMPORTEX EC")</f>
        <v>IMPORTEX EC</v>
      </c>
      <c r="AV283" s="65" t="str">
        <f>IFERROR(__xludf.DUMMYFUNCTION("""COMPUTED_VALUE"""),"6562987704364")</f>
        <v>6562987704364</v>
      </c>
      <c r="AW283" s="65">
        <f>IFERROR(__xludf.DUMMYFUNCTION("""COMPUTED_VALUE"""),6573.0)</f>
        <v>6573</v>
      </c>
      <c r="AX283" s="65"/>
      <c r="AY283" s="65" t="str">
        <f>IFERROR(__xludf.DUMMYFUNCTION("""COMPUTED_VALUE"""),"11/03/2026")</f>
        <v>11/03/2026</v>
      </c>
      <c r="AZ283" s="65"/>
      <c r="BA283" s="65"/>
    </row>
    <row r="284">
      <c r="A284" s="65" t="str">
        <f>IFERROR(__xludf.DUMMYFUNCTION("""COMPUTED_VALUE"""),"27-03-2026")</f>
        <v>27-03-2026</v>
      </c>
      <c r="B284" s="65">
        <f>IFERROR(__xludf.DUMMYFUNCTION("""COMPUTED_VALUE"""),4727993.0)</f>
        <v>4727993</v>
      </c>
      <c r="C284" s="65" t="str">
        <f>IFERROR(__xludf.DUMMYFUNCTION("""COMPUTED_VALUE"""),"10:32")</f>
        <v>10:32</v>
      </c>
      <c r="D284" s="65" t="str">
        <f>IFERROR(__xludf.DUMMYFUNCTION("""COMPUTED_VALUE"""),"07-03-2026")</f>
        <v>07-03-2026</v>
      </c>
      <c r="E284" s="65" t="str">
        <f>IFERROR(__xludf.DUMMYFUNCTION("""COMPUTED_VALUE"""),"Pablo Leonardo Salazar Justicia")</f>
        <v>Pablo Leonardo Salazar Justicia</v>
      </c>
      <c r="F284" s="65" t="str">
        <f>IFERROR(__xludf.DUMMYFUNCTION("""COMPUTED_VALUE"""),"987271853")</f>
        <v>987271853</v>
      </c>
      <c r="G284" s="65" t="str">
        <f>IFERROR(__xludf.DUMMYFUNCTION("""COMPUTED_VALUE"""),"pablosalazar05@hotmail.com")</f>
        <v>pablosalazar05@hotmail.com</v>
      </c>
      <c r="H284" s="65"/>
      <c r="I284" s="65"/>
      <c r="J284" s="65" t="str">
        <f>IFERROR(__xludf.DUMMYFUNCTION("""COMPUTED_VALUE"""),"LC53050543")</f>
        <v>LC53050543</v>
      </c>
      <c r="K284" s="65" t="str">
        <f>IFERROR(__xludf.DUMMYFUNCTION("""COMPUTED_VALUE"""),"ENTREGADO")</f>
        <v>ENTREGADO</v>
      </c>
      <c r="L284" s="65" t="str">
        <f>IFERROR(__xludf.DUMMYFUNCTION("""COMPUTED_VALUE"""),"CON RECAUDO")</f>
        <v>CON RECAUDO</v>
      </c>
      <c r="M284" s="65" t="str">
        <f>IFERROR(__xludf.DUMMYFUNCTION("""COMPUTED_VALUE"""),"CARCHI")</f>
        <v>CARCHI</v>
      </c>
      <c r="N284" s="65" t="str">
        <f>IFERROR(__xludf.DUMMYFUNCTION("""COMPUTED_VALUE"""),"EL ANGEL")</f>
        <v>EL ANGEL</v>
      </c>
      <c r="O284" s="65" t="str">
        <f>IFERROR(__xludf.DUMMYFUNCTION("""COMPUTED_VALUE"""),"Abdón Calderon 0484 y Río Frio")</f>
        <v>Abdón Calderon 0484 y Río Frio</v>
      </c>
      <c r="P284" s="65"/>
      <c r="Q284" s="65" t="str">
        <f>IFERROR(__xludf.DUMMYFUNCTION("""COMPUTED_VALUE"""),"LAARCOURIER")</f>
        <v>LAARCOURIER</v>
      </c>
      <c r="R284" s="65">
        <f>IFERROR(__xludf.DUMMYFUNCTION("""COMPUTED_VALUE"""),25.0)</f>
        <v>25</v>
      </c>
      <c r="S284" s="65">
        <f>IFERROR(__xludf.DUMMYFUNCTION("""COMPUTED_VALUE"""),13.33)</f>
        <v>13.33</v>
      </c>
      <c r="T284" s="65">
        <f>IFERROR(__xludf.DUMMYFUNCTION("""COMPUTED_VALUE"""),6.97)</f>
        <v>6.97</v>
      </c>
      <c r="U284" s="65">
        <f>IFERROR(__xludf.DUMMYFUNCTION("""COMPUTED_VALUE"""),0.0)</f>
        <v>0</v>
      </c>
      <c r="V284" s="65">
        <f>IFERROR(__xludf.DUMMYFUNCTION("""COMPUTED_VALUE"""),0.0)</f>
        <v>0</v>
      </c>
      <c r="W284" s="65">
        <f>IFERROR(__xludf.DUMMYFUNCTION("""COMPUTED_VALUE"""),0.0)</f>
        <v>0</v>
      </c>
      <c r="X284" s="65">
        <f>IFERROR(__xludf.DUMMYFUNCTION("""COMPUTED_VALUE"""),2.35)</f>
        <v>2.35</v>
      </c>
      <c r="Y284" s="65">
        <f>IFERROR(__xludf.DUMMYFUNCTION("""COMPUTED_VALUE"""),4.7)</f>
        <v>4.7</v>
      </c>
      <c r="Z284" s="65">
        <f>IFERROR(__xludf.DUMMYFUNCTION("""COMPUTED_VALUE"""),116679.0)</f>
        <v>116679</v>
      </c>
      <c r="AA284" s="65" t="str">
        <f>IFERROR(__xludf.DUMMYFUNCTION("""COMPUTED_VALUE"""),"AMC-2738")</f>
        <v>AMC-2738</v>
      </c>
      <c r="AB284" s="65"/>
      <c r="AC284" s="65" t="str">
        <f>IFERROR(__xludf.DUMMYFUNCTION("""COMPUTED_VALUE"""),"ESPONJA ANTILLUVIA DE PARABRISAS")</f>
        <v>ESPONJA ANTILLUVIA DE PARABRISAS</v>
      </c>
      <c r="AD284" s="65"/>
      <c r="AE284" s="65">
        <f>IFERROR(__xludf.DUMMYFUNCTION("""COMPUTED_VALUE"""),2.0)</f>
        <v>2</v>
      </c>
      <c r="AF284" s="65"/>
      <c r="AG284" s="65"/>
      <c r="AH284" s="65"/>
      <c r="AI284" s="65"/>
      <c r="AJ284" s="65"/>
      <c r="AK284" s="65"/>
      <c r="AL284" s="65"/>
      <c r="AM284" s="65"/>
      <c r="AN284" s="65" t="str">
        <f>IFERROR(__xludf.DUMMYFUNCTION("""COMPUTED_VALUE"""),"04:28")</f>
        <v>04:28</v>
      </c>
      <c r="AO284" s="65" t="str">
        <f>IFERROR(__xludf.DUMMYFUNCTION("""COMPUTED_VALUE"""),"12-03-2026")</f>
        <v>12-03-2026</v>
      </c>
      <c r="AP284" s="65" t="str">
        <f>IFERROR(__xludf.DUMMYFUNCTION("""COMPUTED_VALUE"""),"ZONA DE ENTREGA")</f>
        <v>ZONA DE ENTREGA</v>
      </c>
      <c r="AQ284" s="65" t="str">
        <f>IFERROR(__xludf.DUMMYFUNCTION("""COMPUTED_VALUE"""),"ZONA DE ENTREGA")</f>
        <v>ZONA DE ENTREGA</v>
      </c>
      <c r="AR284" s="65"/>
      <c r="AS284" s="65"/>
      <c r="AT284" s="65" t="str">
        <f>IFERROR(__xludf.DUMMYFUNCTION("""COMPUTED_VALUE"""),"SHOPIFY")</f>
        <v>SHOPIFY</v>
      </c>
      <c r="AU284" s="65" t="str">
        <f>IFERROR(__xludf.DUMMYFUNCTION("""COMPUTED_VALUE"""),"IMPORTEX EC")</f>
        <v>IMPORTEX EC</v>
      </c>
      <c r="AV284" s="65" t="str">
        <f>IFERROR(__xludf.DUMMYFUNCTION("""COMPUTED_VALUE"""),"6562974400556")</f>
        <v>6562974400556</v>
      </c>
      <c r="AW284" s="65">
        <f>IFERROR(__xludf.DUMMYFUNCTION("""COMPUTED_VALUE"""),6572.0)</f>
        <v>6572</v>
      </c>
      <c r="AX284" s="65"/>
      <c r="AY284" s="65" t="str">
        <f>IFERROR(__xludf.DUMMYFUNCTION("""COMPUTED_VALUE"""),"09/03/2026")</f>
        <v>09/03/2026</v>
      </c>
      <c r="AZ284" s="65"/>
      <c r="BA284" s="65"/>
    </row>
    <row r="285">
      <c r="A285" s="65" t="str">
        <f>IFERROR(__xludf.DUMMYFUNCTION("""COMPUTED_VALUE"""),"27-03-2026")</f>
        <v>27-03-2026</v>
      </c>
      <c r="B285" s="65">
        <f>IFERROR(__xludf.DUMMYFUNCTION("""COMPUTED_VALUE"""),4727865.0)</f>
        <v>4727865</v>
      </c>
      <c r="C285" s="65" t="str">
        <f>IFERROR(__xludf.DUMMYFUNCTION("""COMPUTED_VALUE"""),"10:15")</f>
        <v>10:15</v>
      </c>
      <c r="D285" s="65" t="str">
        <f>IFERROR(__xludf.DUMMYFUNCTION("""COMPUTED_VALUE"""),"07-03-2026")</f>
        <v>07-03-2026</v>
      </c>
      <c r="E285" s="65" t="str">
        <f>IFERROR(__xludf.DUMMYFUNCTION("""COMPUTED_VALUE"""),"German Villao")</f>
        <v>German Villao</v>
      </c>
      <c r="F285" s="65" t="str">
        <f>IFERROR(__xludf.DUMMYFUNCTION("""COMPUTED_VALUE"""),"980988097")</f>
        <v>980988097</v>
      </c>
      <c r="G285" s="65" t="str">
        <f>IFERROR(__xludf.DUMMYFUNCTION("""COMPUTED_VALUE"""),"villaogerman4@gmail.com")</f>
        <v>villaogerman4@gmail.com</v>
      </c>
      <c r="H285" s="65"/>
      <c r="I285" s="65"/>
      <c r="J285" s="65"/>
      <c r="K285" s="65" t="str">
        <f>IFERROR(__xludf.DUMMYFUNCTION("""COMPUTED_VALUE"""),"PENDIENTE CONFIRMACION")</f>
        <v>PENDIENTE CONFIRMACION</v>
      </c>
      <c r="L285" s="65" t="str">
        <f>IFERROR(__xludf.DUMMYFUNCTION("""COMPUTED_VALUE"""),"CON RECAUDO")</f>
        <v>CON RECAUDO</v>
      </c>
      <c r="M285" s="65" t="str">
        <f>IFERROR(__xludf.DUMMYFUNCTION("""COMPUTED_VALUE"""),"GUAYAS")</f>
        <v>GUAYAS</v>
      </c>
      <c r="N285" s="65" t="str">
        <f>IFERROR(__xludf.DUMMYFUNCTION("""COMPUTED_VALUE"""),"CHONGON")</f>
        <v>CHONGON</v>
      </c>
      <c r="O285" s="65" t="str">
        <f>IFERROR(__xludf.DUMMYFUNCTION("""COMPUTED_VALUE"""),"Calle 3ra Chongon Upc frente -")</f>
        <v>Calle 3ra Chongon Upc frente -</v>
      </c>
      <c r="P285" s="65"/>
      <c r="Q285" s="65" t="str">
        <f>IFERROR(__xludf.DUMMYFUNCTION("""COMPUTED_VALUE"""),"LAARCOURIER")</f>
        <v>LAARCOURIER</v>
      </c>
      <c r="R285" s="65">
        <f>IFERROR(__xludf.DUMMYFUNCTION("""COMPUTED_VALUE"""),20.0)</f>
        <v>20</v>
      </c>
      <c r="S285" s="65"/>
      <c r="T285" s="65">
        <f>IFERROR(__xludf.DUMMYFUNCTION("""COMPUTED_VALUE"""),6.68)</f>
        <v>6.68</v>
      </c>
      <c r="U285" s="65">
        <f>IFERROR(__xludf.DUMMYFUNCTION("""COMPUTED_VALUE"""),0.0)</f>
        <v>0</v>
      </c>
      <c r="V285" s="65">
        <f>IFERROR(__xludf.DUMMYFUNCTION("""COMPUTED_VALUE"""),0.0)</f>
        <v>0</v>
      </c>
      <c r="W285" s="65">
        <f>IFERROR(__xludf.DUMMYFUNCTION("""COMPUTED_VALUE"""),0.0)</f>
        <v>0</v>
      </c>
      <c r="X285" s="65">
        <f>IFERROR(__xludf.DUMMYFUNCTION("""COMPUTED_VALUE"""),2.35)</f>
        <v>2.35</v>
      </c>
      <c r="Y285" s="65">
        <f>IFERROR(__xludf.DUMMYFUNCTION("""COMPUTED_VALUE"""),2.35)</f>
        <v>2.35</v>
      </c>
      <c r="Z285" s="65">
        <f>IFERROR(__xludf.DUMMYFUNCTION("""COMPUTED_VALUE"""),116679.0)</f>
        <v>116679</v>
      </c>
      <c r="AA285" s="65" t="str">
        <f>IFERROR(__xludf.DUMMYFUNCTION("""COMPUTED_VALUE"""),"AMC-2738")</f>
        <v>AMC-2738</v>
      </c>
      <c r="AB285" s="65"/>
      <c r="AC285" s="65" t="str">
        <f>IFERROR(__xludf.DUMMYFUNCTION("""COMPUTED_VALUE"""),"ESPONJA ANTILLUVIA DE PARABRISAS")</f>
        <v>ESPONJA ANTILLUVIA DE PARABRISAS</v>
      </c>
      <c r="AD285" s="65"/>
      <c r="AE285" s="65">
        <f>IFERROR(__xludf.DUMMYFUNCTION("""COMPUTED_VALUE"""),1.0)</f>
        <v>1</v>
      </c>
      <c r="AF285" s="65"/>
      <c r="AG285" s="65"/>
      <c r="AH285" s="65"/>
      <c r="AI285" s="65"/>
      <c r="AJ285" s="65"/>
      <c r="AK285" s="65"/>
      <c r="AL285" s="65"/>
      <c r="AM285" s="65"/>
      <c r="AN285" s="65"/>
      <c r="AO285" s="65"/>
      <c r="AP285" s="65"/>
      <c r="AQ285" s="65"/>
      <c r="AR285" s="65"/>
      <c r="AS285" s="65"/>
      <c r="AT285" s="65" t="str">
        <f>IFERROR(__xludf.DUMMYFUNCTION("""COMPUTED_VALUE"""),"SHOPIFY")</f>
        <v>SHOPIFY</v>
      </c>
      <c r="AU285" s="65" t="str">
        <f>IFERROR(__xludf.DUMMYFUNCTION("""COMPUTED_VALUE"""),"IMPORTEX EC")</f>
        <v>IMPORTEX EC</v>
      </c>
      <c r="AV285" s="65" t="str">
        <f>IFERROR(__xludf.DUMMYFUNCTION("""COMPUTED_VALUE"""),"6562938748972")</f>
        <v>6562938748972</v>
      </c>
      <c r="AW285" s="65">
        <f>IFERROR(__xludf.DUMMYFUNCTION("""COMPUTED_VALUE"""),6571.0)</f>
        <v>6571</v>
      </c>
      <c r="AX285" s="65"/>
      <c r="AY285" s="65"/>
      <c r="AZ285" s="65"/>
      <c r="BA285" s="65"/>
    </row>
    <row r="286">
      <c r="A286" s="65" t="str">
        <f>IFERROR(__xludf.DUMMYFUNCTION("""COMPUTED_VALUE"""),"27-03-2026")</f>
        <v>27-03-2026</v>
      </c>
      <c r="B286" s="65">
        <f>IFERROR(__xludf.DUMMYFUNCTION("""COMPUTED_VALUE"""),4727511.0)</f>
        <v>4727511</v>
      </c>
      <c r="C286" s="65" t="str">
        <f>IFERROR(__xludf.DUMMYFUNCTION("""COMPUTED_VALUE"""),"09:36")</f>
        <v>09:36</v>
      </c>
      <c r="D286" s="65" t="str">
        <f>IFERROR(__xludf.DUMMYFUNCTION("""COMPUTED_VALUE"""),"07-03-2026")</f>
        <v>07-03-2026</v>
      </c>
      <c r="E286" s="65" t="str">
        <f>IFERROR(__xludf.DUMMYFUNCTION("""COMPUTED_VALUE"""),"Daniel MEDINA")</f>
        <v>Daniel MEDINA</v>
      </c>
      <c r="F286" s="65" t="str">
        <f>IFERROR(__xludf.DUMMYFUNCTION("""COMPUTED_VALUE"""),"984604205")</f>
        <v>984604205</v>
      </c>
      <c r="G286" s="65" t="str">
        <f>IFERROR(__xludf.DUMMYFUNCTION("""COMPUTED_VALUE"""),"dajomeca777@gmail.com")</f>
        <v>dajomeca777@gmail.com</v>
      </c>
      <c r="H286" s="65"/>
      <c r="I286" s="65"/>
      <c r="J286" s="65" t="str">
        <f>IFERROR(__xludf.DUMMYFUNCTION("""COMPUTED_VALUE"""),"D001396917")</f>
        <v>D001396917</v>
      </c>
      <c r="K286" s="65" t="str">
        <f>IFERROR(__xludf.DUMMYFUNCTION("""COMPUTED_VALUE"""),"ENTREGADO")</f>
        <v>ENTREGADO</v>
      </c>
      <c r="L286" s="65" t="str">
        <f>IFERROR(__xludf.DUMMYFUNCTION("""COMPUTED_VALUE"""),"CON RECAUDO")</f>
        <v>CON RECAUDO</v>
      </c>
      <c r="M286" s="65" t="str">
        <f>IFERROR(__xludf.DUMMYFUNCTION("""COMPUTED_VALUE"""),"PICHINCHA")</f>
        <v>PICHINCHA</v>
      </c>
      <c r="N286" s="65" t="str">
        <f>IFERROR(__xludf.DUMMYFUNCTION("""COMPUTED_VALUE"""),"QUITO")</f>
        <v>QUITO</v>
      </c>
      <c r="O286" s="65" t="str">
        <f>IFERROR(__xludf.DUMMYFUNCTION("""COMPUTED_VALUE"""),"Calle Baquedano y Reina victoria La Mariscal -")</f>
        <v>Calle Baquedano y Reina victoria La Mariscal -</v>
      </c>
      <c r="P286" s="65"/>
      <c r="Q286" s="65" t="str">
        <f>IFERROR(__xludf.DUMMYFUNCTION("""COMPUTED_VALUE"""),"GINTRACOM")</f>
        <v>GINTRACOM</v>
      </c>
      <c r="R286" s="65">
        <f>IFERROR(__xludf.DUMMYFUNCTION("""COMPUTED_VALUE"""),25.0)</f>
        <v>25</v>
      </c>
      <c r="S286" s="65">
        <f>IFERROR(__xludf.DUMMYFUNCTION("""COMPUTED_VALUE"""),15.95)</f>
        <v>15.95</v>
      </c>
      <c r="T286" s="65">
        <f>IFERROR(__xludf.DUMMYFUNCTION("""COMPUTED_VALUE"""),4.35)</f>
        <v>4.35</v>
      </c>
      <c r="U286" s="65">
        <f>IFERROR(__xludf.DUMMYFUNCTION("""COMPUTED_VALUE"""),0.0)</f>
        <v>0</v>
      </c>
      <c r="V286" s="65">
        <f>IFERROR(__xludf.DUMMYFUNCTION("""COMPUTED_VALUE"""),0.0)</f>
        <v>0</v>
      </c>
      <c r="W286" s="65">
        <f>IFERROR(__xludf.DUMMYFUNCTION("""COMPUTED_VALUE"""),0.0)</f>
        <v>0</v>
      </c>
      <c r="X286" s="65">
        <f>IFERROR(__xludf.DUMMYFUNCTION("""COMPUTED_VALUE"""),2.35)</f>
        <v>2.35</v>
      </c>
      <c r="Y286" s="65">
        <f>IFERROR(__xludf.DUMMYFUNCTION("""COMPUTED_VALUE"""),4.7)</f>
        <v>4.7</v>
      </c>
      <c r="Z286" s="65">
        <f>IFERROR(__xludf.DUMMYFUNCTION("""COMPUTED_VALUE"""),116679.0)</f>
        <v>116679</v>
      </c>
      <c r="AA286" s="65" t="str">
        <f>IFERROR(__xludf.DUMMYFUNCTION("""COMPUTED_VALUE"""),"AMC-2738")</f>
        <v>AMC-2738</v>
      </c>
      <c r="AB286" s="65"/>
      <c r="AC286" s="65" t="str">
        <f>IFERROR(__xludf.DUMMYFUNCTION("""COMPUTED_VALUE"""),"ESPONJA ANTILLUVIA DE PARABRISAS")</f>
        <v>ESPONJA ANTILLUVIA DE PARABRISAS</v>
      </c>
      <c r="AD286" s="65"/>
      <c r="AE286" s="65">
        <f>IFERROR(__xludf.DUMMYFUNCTION("""COMPUTED_VALUE"""),2.0)</f>
        <v>2</v>
      </c>
      <c r="AF286" s="65" t="str">
        <f>IFERROR(__xludf.DUMMYFUNCTION("""COMPUTED_VALUE"""),"DESTINATARIO AGENDA, FECHA Y HORA DE ENTREGA Y YA NO CONTESTA")</f>
        <v>DESTINATARIO AGENDA, FECHA Y HORA DE ENTREGA Y YA NO CONTESTA</v>
      </c>
      <c r="AG286" s="65" t="str">
        <f>IFERROR(__xludf.DUMMYFUNCTION("""COMPUTED_VALUE"""),"SI")</f>
        <v>SI</v>
      </c>
      <c r="AH286" s="65" t="str">
        <f>IFERROR(__xludf.DUMMYFUNCTION("""COMPUTED_VALUE"""),"16:50")</f>
        <v>16:50</v>
      </c>
      <c r="AI286" s="65" t="str">
        <f>IFERROR(__xludf.DUMMYFUNCTION("""COMPUTED_VALUE"""),"13-03-2026")</f>
        <v>13-03-2026</v>
      </c>
      <c r="AJ286" s="65" t="str">
        <f>IFERROR(__xludf.DUMMYFUNCTION("""COMPUTED_VALUE"""),"Cliente solicita la entrega inmediata, el cliente indica que le den mensajes de anticipacion para que este pendiente y poder obtener el producto.")</f>
        <v>Cliente solicita la entrega inmediata, el cliente indica que le den mensajes de anticipacion para que este pendiente y poder obtener el producto.</v>
      </c>
      <c r="AK286" s="65" t="str">
        <f>IFERROR(__xludf.DUMMYFUNCTION("""COMPUTED_VALUE"""),"11:16")</f>
        <v>11:16</v>
      </c>
      <c r="AL286" s="65" t="str">
        <f>IFERROR(__xludf.DUMMYFUNCTION("""COMPUTED_VALUE"""),"16-03-2026")</f>
        <v>16-03-2026</v>
      </c>
      <c r="AM286" s="65"/>
      <c r="AN286" s="65" t="str">
        <f>IFERROR(__xludf.DUMMYFUNCTION("""COMPUTED_VALUE"""),"11:24")</f>
        <v>11:24</v>
      </c>
      <c r="AO286" s="65" t="str">
        <f>IFERROR(__xludf.DUMMYFUNCTION("""COMPUTED_VALUE"""),"19-03-2026")</f>
        <v>19-03-2026</v>
      </c>
      <c r="AP286" s="65" t="str">
        <f>IFERROR(__xludf.DUMMYFUNCTION("""COMPUTED_VALUE"""),"ENTREGADA GINTRACOM")</f>
        <v>ENTREGADA GINTRACOM</v>
      </c>
      <c r="AQ286" s="65" t="str">
        <f>IFERROR(__xludf.DUMMYFUNCTION("""COMPUTED_VALUE"""),"ENTREGADA GINTRACOM")</f>
        <v>ENTREGADA GINTRACOM</v>
      </c>
      <c r="AR286" s="65"/>
      <c r="AS286" s="65"/>
      <c r="AT286" s="65" t="str">
        <f>IFERROR(__xludf.DUMMYFUNCTION("""COMPUTED_VALUE"""),"SHOPIFY")</f>
        <v>SHOPIFY</v>
      </c>
      <c r="AU286" s="65" t="str">
        <f>IFERROR(__xludf.DUMMYFUNCTION("""COMPUTED_VALUE"""),"IMPORTEX EC")</f>
        <v>IMPORTEX EC</v>
      </c>
      <c r="AV286" s="65" t="str">
        <f>IFERROR(__xludf.DUMMYFUNCTION("""COMPUTED_VALUE"""),"6562875047980")</f>
        <v>6562875047980</v>
      </c>
      <c r="AW286" s="65">
        <f>IFERROR(__xludf.DUMMYFUNCTION("""COMPUTED_VALUE"""),6570.0)</f>
        <v>6570</v>
      </c>
      <c r="AX286" s="65"/>
      <c r="AY286" s="65" t="str">
        <f>IFERROR(__xludf.DUMMYFUNCTION("""COMPUTED_VALUE"""),"09/03/2026")</f>
        <v>09/03/2026</v>
      </c>
      <c r="AZ286" s="65"/>
      <c r="BA286" s="65"/>
    </row>
    <row r="287">
      <c r="A287" s="65" t="str">
        <f>IFERROR(__xludf.DUMMYFUNCTION("""COMPUTED_VALUE"""),"27-03-2026")</f>
        <v>27-03-2026</v>
      </c>
      <c r="B287" s="65">
        <f>IFERROR(__xludf.DUMMYFUNCTION("""COMPUTED_VALUE"""),4727374.0)</f>
        <v>4727374</v>
      </c>
      <c r="C287" s="65" t="str">
        <f>IFERROR(__xludf.DUMMYFUNCTION("""COMPUTED_VALUE"""),"09:26")</f>
        <v>09:26</v>
      </c>
      <c r="D287" s="65" t="str">
        <f>IFERROR(__xludf.DUMMYFUNCTION("""COMPUTED_VALUE"""),"07-03-2026")</f>
        <v>07-03-2026</v>
      </c>
      <c r="E287" s="65" t="str">
        <f>IFERROR(__xludf.DUMMYFUNCTION("""COMPUTED_VALUE"""),"Evelyn CHAFLA")</f>
        <v>Evelyn CHAFLA</v>
      </c>
      <c r="F287" s="65" t="str">
        <f>IFERROR(__xludf.DUMMYFUNCTION("""COMPUTED_VALUE"""),"939986787")</f>
        <v>939986787</v>
      </c>
      <c r="G287" s="65" t="str">
        <f>IFERROR(__xludf.DUMMYFUNCTION("""COMPUTED_VALUE"""),"evelynchafla@hotmail.com")</f>
        <v>evelynchafla@hotmail.com</v>
      </c>
      <c r="H287" s="65"/>
      <c r="I287" s="65"/>
      <c r="J287" s="65" t="str">
        <f>IFERROR(__xludf.DUMMYFUNCTION("""COMPUTED_VALUE"""),"D001396918")</f>
        <v>D001396918</v>
      </c>
      <c r="K287" s="65" t="str">
        <f>IFERROR(__xludf.DUMMYFUNCTION("""COMPUTED_VALUE"""),"ENTREGADO")</f>
        <v>ENTREGADO</v>
      </c>
      <c r="L287" s="65" t="str">
        <f>IFERROR(__xludf.DUMMYFUNCTION("""COMPUTED_VALUE"""),"CON RECAUDO")</f>
        <v>CON RECAUDO</v>
      </c>
      <c r="M287" s="65" t="str">
        <f>IFERROR(__xludf.DUMMYFUNCTION("""COMPUTED_VALUE"""),"GUAYAS")</f>
        <v>GUAYAS</v>
      </c>
      <c r="N287" s="65" t="str">
        <f>IFERROR(__xludf.DUMMYFUNCTION("""COMPUTED_VALUE"""),"DAULE")</f>
        <v>DAULE</v>
      </c>
      <c r="O287" s="65" t="str">
        <f>IFERROR(__xludf.DUMMYFUNCTION("""COMPUTED_VALUE"""),"Daule_animas llegando al muro de animas vía a santa Lucia referencia negocio de ensalada de frutas Animas -")</f>
        <v>Daule_animas llegando al muro de animas vía a santa Lucia referencia negocio de ensalada de frutas Animas -</v>
      </c>
      <c r="P287" s="65"/>
      <c r="Q287" s="65" t="str">
        <f>IFERROR(__xludf.DUMMYFUNCTION("""COMPUTED_VALUE"""),"GINTRACOM")</f>
        <v>GINTRACOM</v>
      </c>
      <c r="R287" s="65">
        <f>IFERROR(__xludf.DUMMYFUNCTION("""COMPUTED_VALUE"""),30.0)</f>
        <v>30</v>
      </c>
      <c r="S287" s="65">
        <f>IFERROR(__xludf.DUMMYFUNCTION("""COMPUTED_VALUE"""),16.79)</f>
        <v>16.79</v>
      </c>
      <c r="T287" s="65">
        <f>IFERROR(__xludf.DUMMYFUNCTION("""COMPUTED_VALUE"""),6.16)</f>
        <v>6.16</v>
      </c>
      <c r="U287" s="65">
        <f>IFERROR(__xludf.DUMMYFUNCTION("""COMPUTED_VALUE"""),0.0)</f>
        <v>0</v>
      </c>
      <c r="V287" s="65">
        <f>IFERROR(__xludf.DUMMYFUNCTION("""COMPUTED_VALUE"""),0.0)</f>
        <v>0</v>
      </c>
      <c r="W287" s="65">
        <f>IFERROR(__xludf.DUMMYFUNCTION("""COMPUTED_VALUE"""),0.0)</f>
        <v>0</v>
      </c>
      <c r="X287" s="65">
        <f>IFERROR(__xludf.DUMMYFUNCTION("""COMPUTED_VALUE"""),2.35)</f>
        <v>2.35</v>
      </c>
      <c r="Y287" s="65">
        <f>IFERROR(__xludf.DUMMYFUNCTION("""COMPUTED_VALUE"""),7.05)</f>
        <v>7.05</v>
      </c>
      <c r="Z287" s="65">
        <f>IFERROR(__xludf.DUMMYFUNCTION("""COMPUTED_VALUE"""),116679.0)</f>
        <v>116679</v>
      </c>
      <c r="AA287" s="65" t="str">
        <f>IFERROR(__xludf.DUMMYFUNCTION("""COMPUTED_VALUE"""),"AMC-2738")</f>
        <v>AMC-2738</v>
      </c>
      <c r="AB287" s="65"/>
      <c r="AC287" s="65" t="str">
        <f>IFERROR(__xludf.DUMMYFUNCTION("""COMPUTED_VALUE"""),"ESPONJA ANTILLUVIA DE PARABRISAS")</f>
        <v>ESPONJA ANTILLUVIA DE PARABRISAS</v>
      </c>
      <c r="AD287" s="65"/>
      <c r="AE287" s="65">
        <f>IFERROR(__xludf.DUMMYFUNCTION("""COMPUTED_VALUE"""),3.0)</f>
        <v>3</v>
      </c>
      <c r="AF287" s="65"/>
      <c r="AG287" s="65"/>
      <c r="AH287" s="65"/>
      <c r="AI287" s="65"/>
      <c r="AJ287" s="65"/>
      <c r="AK287" s="65"/>
      <c r="AL287" s="65"/>
      <c r="AM287" s="65"/>
      <c r="AN287" s="65" t="str">
        <f>IFERROR(__xludf.DUMMYFUNCTION("""COMPUTED_VALUE"""),"10:08")</f>
        <v>10:08</v>
      </c>
      <c r="AO287" s="65" t="str">
        <f>IFERROR(__xludf.DUMMYFUNCTION("""COMPUTED_VALUE"""),"26-03-2026")</f>
        <v>26-03-2026</v>
      </c>
      <c r="AP287" s="65" t="str">
        <f>IFERROR(__xludf.DUMMYFUNCTION("""COMPUTED_VALUE"""),"ENTREGADA GINTRACOM")</f>
        <v>ENTREGADA GINTRACOM</v>
      </c>
      <c r="AQ287" s="65" t="str">
        <f>IFERROR(__xludf.DUMMYFUNCTION("""COMPUTED_VALUE"""),"ENTREGADA GINTRACOM")</f>
        <v>ENTREGADA GINTRACOM</v>
      </c>
      <c r="AR287" s="65"/>
      <c r="AS287" s="65"/>
      <c r="AT287" s="65" t="str">
        <f>IFERROR(__xludf.DUMMYFUNCTION("""COMPUTED_VALUE"""),"SHOPIFY")</f>
        <v>SHOPIFY</v>
      </c>
      <c r="AU287" s="65" t="str">
        <f>IFERROR(__xludf.DUMMYFUNCTION("""COMPUTED_VALUE"""),"IMPORTEX EC")</f>
        <v>IMPORTEX EC</v>
      </c>
      <c r="AV287" s="65" t="str">
        <f>IFERROR(__xludf.DUMMYFUNCTION("""COMPUTED_VALUE"""),"6562857091116")</f>
        <v>6562857091116</v>
      </c>
      <c r="AW287" s="65">
        <f>IFERROR(__xludf.DUMMYFUNCTION("""COMPUTED_VALUE"""),6569.0)</f>
        <v>6569</v>
      </c>
      <c r="AX287" s="65"/>
      <c r="AY287" s="65" t="str">
        <f>IFERROR(__xludf.DUMMYFUNCTION("""COMPUTED_VALUE"""),"09/03/2026")</f>
        <v>09/03/2026</v>
      </c>
      <c r="AZ287" s="65"/>
      <c r="BA287" s="65"/>
    </row>
    <row r="288">
      <c r="A288" s="65" t="str">
        <f>IFERROR(__xludf.DUMMYFUNCTION("""COMPUTED_VALUE"""),"27-03-2026")</f>
        <v>27-03-2026</v>
      </c>
      <c r="B288" s="65">
        <f>IFERROR(__xludf.DUMMYFUNCTION("""COMPUTED_VALUE"""),4727036.0)</f>
        <v>4727036</v>
      </c>
      <c r="C288" s="65" t="str">
        <f>IFERROR(__xludf.DUMMYFUNCTION("""COMPUTED_VALUE"""),"08:50")</f>
        <v>08:50</v>
      </c>
      <c r="D288" s="65" t="str">
        <f>IFERROR(__xludf.DUMMYFUNCTION("""COMPUTED_VALUE"""),"07-03-2026")</f>
        <v>07-03-2026</v>
      </c>
      <c r="E288" s="65" t="str">
        <f>IFERROR(__xludf.DUMMYFUNCTION("""COMPUTED_VALUE"""),"Marina Flores")</f>
        <v>Marina Flores</v>
      </c>
      <c r="F288" s="65" t="str">
        <f>IFERROR(__xludf.DUMMYFUNCTION("""COMPUTED_VALUE"""),"999612705")</f>
        <v>999612705</v>
      </c>
      <c r="G288" s="65"/>
      <c r="H288" s="65"/>
      <c r="I288" s="65"/>
      <c r="J288" s="65" t="str">
        <f>IFERROR(__xludf.DUMMYFUNCTION("""COMPUTED_VALUE"""),"D001397053")</f>
        <v>D001397053</v>
      </c>
      <c r="K288" s="65" t="str">
        <f>IFERROR(__xludf.DUMMYFUNCTION("""COMPUTED_VALUE"""),"ENTREGADO")</f>
        <v>ENTREGADO</v>
      </c>
      <c r="L288" s="65" t="str">
        <f>IFERROR(__xludf.DUMMYFUNCTION("""COMPUTED_VALUE"""),"CON RECAUDO")</f>
        <v>CON RECAUDO</v>
      </c>
      <c r="M288" s="65" t="str">
        <f>IFERROR(__xludf.DUMMYFUNCTION("""COMPUTED_VALUE"""),"AZUAY")</f>
        <v>AZUAY</v>
      </c>
      <c r="N288" s="65" t="str">
        <f>IFERROR(__xludf.DUMMYFUNCTION("""COMPUTED_VALUE"""),"CUENCA")</f>
        <v>CUENCA</v>
      </c>
      <c r="O288" s="65" t="str">
        <f>IFERROR(__xludf.DUMMYFUNCTION("""COMPUTED_VALUE"""),"Ordoñez Lazo y los claveles Hotel Oro Verde -")</f>
        <v>Ordoñez Lazo y los claveles Hotel Oro Verde -</v>
      </c>
      <c r="P288" s="65"/>
      <c r="Q288" s="65" t="str">
        <f>IFERROR(__xludf.DUMMYFUNCTION("""COMPUTED_VALUE"""),"GINTRACOM")</f>
        <v>GINTRACOM</v>
      </c>
      <c r="R288" s="65">
        <f>IFERROR(__xludf.DUMMYFUNCTION("""COMPUTED_VALUE"""),25.0)</f>
        <v>25</v>
      </c>
      <c r="S288" s="65">
        <f>IFERROR(__xludf.DUMMYFUNCTION("""COMPUTED_VALUE"""),12.04)</f>
        <v>12.04</v>
      </c>
      <c r="T288" s="65">
        <f>IFERROR(__xludf.DUMMYFUNCTION("""COMPUTED_VALUE"""),5.96)</f>
        <v>5.96</v>
      </c>
      <c r="U288" s="65">
        <f>IFERROR(__xludf.DUMMYFUNCTION("""COMPUTED_VALUE"""),0.0)</f>
        <v>0</v>
      </c>
      <c r="V288" s="65">
        <f>IFERROR(__xludf.DUMMYFUNCTION("""COMPUTED_VALUE"""),0.0)</f>
        <v>0</v>
      </c>
      <c r="W288" s="65">
        <f>IFERROR(__xludf.DUMMYFUNCTION("""COMPUTED_VALUE"""),0.0)</f>
        <v>0</v>
      </c>
      <c r="X288" s="65">
        <f>IFERROR(__xludf.DUMMYFUNCTION("""COMPUTED_VALUE"""),3.5)</f>
        <v>3.5</v>
      </c>
      <c r="Y288" s="65">
        <f>IFERROR(__xludf.DUMMYFUNCTION("""COMPUTED_VALUE"""),7.0)</f>
        <v>7</v>
      </c>
      <c r="Z288" s="65">
        <f>IFERROR(__xludf.DUMMYFUNCTION("""COMPUTED_VALUE"""),87095.0)</f>
        <v>87095</v>
      </c>
      <c r="AA288" s="65" t="str">
        <f>IFERROR(__xludf.DUMMYFUNCTION("""COMPUTED_VALUE"""),"FILTRO DE DRENAJE")</f>
        <v>FILTRO DE DRENAJE</v>
      </c>
      <c r="AB288" s="65"/>
      <c r="AC288" s="65" t="str">
        <f>IFERROR(__xludf.DUMMYFUNCTION("""COMPUTED_VALUE"""),"FILTRO DE DRENAJE")</f>
        <v>FILTRO DE DRENAJE</v>
      </c>
      <c r="AD288" s="65"/>
      <c r="AE288" s="65">
        <f>IFERROR(__xludf.DUMMYFUNCTION("""COMPUTED_VALUE"""),2.0)</f>
        <v>2</v>
      </c>
      <c r="AF288" s="65"/>
      <c r="AG288" s="65"/>
      <c r="AH288" s="65"/>
      <c r="AI288" s="65"/>
      <c r="AJ288" s="65"/>
      <c r="AK288" s="65"/>
      <c r="AL288" s="65"/>
      <c r="AM288" s="65"/>
      <c r="AN288" s="65" t="str">
        <f>IFERROR(__xludf.DUMMYFUNCTION("""COMPUTED_VALUE"""),"01:31")</f>
        <v>01:31</v>
      </c>
      <c r="AO288" s="65" t="str">
        <f>IFERROR(__xludf.DUMMYFUNCTION("""COMPUTED_VALUE"""),"11-03-2026")</f>
        <v>11-03-2026</v>
      </c>
      <c r="AP288" s="65" t="str">
        <f>IFERROR(__xludf.DUMMYFUNCTION("""COMPUTED_VALUE"""),"EN TRÁNSITO")</f>
        <v>EN TRÁNSITO</v>
      </c>
      <c r="AQ288" s="65" t="str">
        <f>IFERROR(__xludf.DUMMYFUNCTION("""COMPUTED_VALUE"""),"EN TRÁNSITO")</f>
        <v>EN TRÁNSITO</v>
      </c>
      <c r="AR288" s="65"/>
      <c r="AS288" s="65"/>
      <c r="AT288" s="65" t="str">
        <f>IFERROR(__xludf.DUMMYFUNCTION("""COMPUTED_VALUE"""),"SHOPIFY")</f>
        <v>SHOPIFY</v>
      </c>
      <c r="AU288" s="65" t="str">
        <f>IFERROR(__xludf.DUMMYFUNCTION("""COMPUTED_VALUE"""),"IMPORTEX EC")</f>
        <v>IMPORTEX EC</v>
      </c>
      <c r="AV288" s="65" t="str">
        <f>IFERROR(__xludf.DUMMYFUNCTION("""COMPUTED_VALUE"""),"6562804138028")</f>
        <v>6562804138028</v>
      </c>
      <c r="AW288" s="65">
        <f>IFERROR(__xludf.DUMMYFUNCTION("""COMPUTED_VALUE"""),6568.0)</f>
        <v>6568</v>
      </c>
      <c r="AX288" s="65"/>
      <c r="AY288" s="65" t="str">
        <f>IFERROR(__xludf.DUMMYFUNCTION("""COMPUTED_VALUE"""),"09/03/2026")</f>
        <v>09/03/2026</v>
      </c>
      <c r="AZ288" s="65"/>
      <c r="BA288" s="65"/>
    </row>
    <row r="289">
      <c r="A289" s="65" t="str">
        <f>IFERROR(__xludf.DUMMYFUNCTION("""COMPUTED_VALUE"""),"27-03-2026")</f>
        <v>27-03-2026</v>
      </c>
      <c r="B289" s="65">
        <f>IFERROR(__xludf.DUMMYFUNCTION("""COMPUTED_VALUE"""),4726977.0)</f>
        <v>4726977</v>
      </c>
      <c r="C289" s="65" t="str">
        <f>IFERROR(__xludf.DUMMYFUNCTION("""COMPUTED_VALUE"""),"08:45")</f>
        <v>08:45</v>
      </c>
      <c r="D289" s="65" t="str">
        <f>IFERROR(__xludf.DUMMYFUNCTION("""COMPUTED_VALUE"""),"07-03-2026")</f>
        <v>07-03-2026</v>
      </c>
      <c r="E289" s="65" t="str">
        <f>IFERROR(__xludf.DUMMYFUNCTION("""COMPUTED_VALUE"""),"CarlosXavier Pera")</f>
        <v>CarlosXavier Pera</v>
      </c>
      <c r="F289" s="65" t="str">
        <f>IFERROR(__xludf.DUMMYFUNCTION("""COMPUTED_VALUE"""),"985829829")</f>
        <v>985829829</v>
      </c>
      <c r="G289" s="65" t="str">
        <f>IFERROR(__xludf.DUMMYFUNCTION("""COMPUTED_VALUE"""),"cxpera@gmail.com")</f>
        <v>cxpera@gmail.com</v>
      </c>
      <c r="H289" s="65"/>
      <c r="I289" s="65"/>
      <c r="J289" s="65" t="str">
        <f>IFERROR(__xludf.DUMMYFUNCTION("""COMPUTED_VALUE"""),"D001396807")</f>
        <v>D001396807</v>
      </c>
      <c r="K289" s="65" t="str">
        <f>IFERROR(__xludf.DUMMYFUNCTION("""COMPUTED_VALUE"""),"ENTREGADO")</f>
        <v>ENTREGADO</v>
      </c>
      <c r="L289" s="65" t="str">
        <f>IFERROR(__xludf.DUMMYFUNCTION("""COMPUTED_VALUE"""),"CON RECAUDO")</f>
        <v>CON RECAUDO</v>
      </c>
      <c r="M289" s="65" t="str">
        <f>IFERROR(__xludf.DUMMYFUNCTION("""COMPUTED_VALUE"""),"GUAYAS")</f>
        <v>GUAYAS</v>
      </c>
      <c r="N289" s="65" t="str">
        <f>IFERROR(__xludf.DUMMYFUNCTION("""COMPUTED_VALUE"""),"GUAYAQUIL")</f>
        <v>GUAYAQUIL</v>
      </c>
      <c r="O289" s="65" t="str">
        <f>IFERROR(__xludf.DUMMYFUNCTION("""COMPUTED_VALUE"""),"Km 8 1/2 via sambo, Urb Aires de Batan Fase 2 casa 58 -")</f>
        <v>Km 8 1/2 via sambo, Urb Aires de Batan Fase 2 casa 58 -</v>
      </c>
      <c r="P289" s="65"/>
      <c r="Q289" s="65" t="str">
        <f>IFERROR(__xludf.DUMMYFUNCTION("""COMPUTED_VALUE"""),"GINTRACOM")</f>
        <v>GINTRACOM</v>
      </c>
      <c r="R289" s="65">
        <f>IFERROR(__xludf.DUMMYFUNCTION("""COMPUTED_VALUE"""),25.0)</f>
        <v>25</v>
      </c>
      <c r="S289" s="65">
        <f>IFERROR(__xludf.DUMMYFUNCTION("""COMPUTED_VALUE"""),14.34)</f>
        <v>14.34</v>
      </c>
      <c r="T289" s="65">
        <f>IFERROR(__xludf.DUMMYFUNCTION("""COMPUTED_VALUE"""),5.96)</f>
        <v>5.96</v>
      </c>
      <c r="U289" s="65">
        <f>IFERROR(__xludf.DUMMYFUNCTION("""COMPUTED_VALUE"""),0.0)</f>
        <v>0</v>
      </c>
      <c r="V289" s="65">
        <f>IFERROR(__xludf.DUMMYFUNCTION("""COMPUTED_VALUE"""),0.0)</f>
        <v>0</v>
      </c>
      <c r="W289" s="65">
        <f>IFERROR(__xludf.DUMMYFUNCTION("""COMPUTED_VALUE"""),0.0)</f>
        <v>0</v>
      </c>
      <c r="X289" s="65">
        <f>IFERROR(__xludf.DUMMYFUNCTION("""COMPUTED_VALUE"""),2.35)</f>
        <v>2.35</v>
      </c>
      <c r="Y289" s="65">
        <f>IFERROR(__xludf.DUMMYFUNCTION("""COMPUTED_VALUE"""),4.7)</f>
        <v>4.7</v>
      </c>
      <c r="Z289" s="65">
        <f>IFERROR(__xludf.DUMMYFUNCTION("""COMPUTED_VALUE"""),116679.0)</f>
        <v>116679</v>
      </c>
      <c r="AA289" s="65" t="str">
        <f>IFERROR(__xludf.DUMMYFUNCTION("""COMPUTED_VALUE"""),"AMC-2738")</f>
        <v>AMC-2738</v>
      </c>
      <c r="AB289" s="65"/>
      <c r="AC289" s="65" t="str">
        <f>IFERROR(__xludf.DUMMYFUNCTION("""COMPUTED_VALUE"""),"ESPONJA ANTILLUVIA DE PARABRISAS")</f>
        <v>ESPONJA ANTILLUVIA DE PARABRISAS</v>
      </c>
      <c r="AD289" s="65"/>
      <c r="AE289" s="65">
        <f>IFERROR(__xludf.DUMMYFUNCTION("""COMPUTED_VALUE"""),2.0)</f>
        <v>2</v>
      </c>
      <c r="AF289" s="65"/>
      <c r="AG289" s="65"/>
      <c r="AH289" s="65"/>
      <c r="AI289" s="65"/>
      <c r="AJ289" s="65"/>
      <c r="AK289" s="65"/>
      <c r="AL289" s="65"/>
      <c r="AM289" s="65"/>
      <c r="AN289" s="65" t="str">
        <f>IFERROR(__xludf.DUMMYFUNCTION("""COMPUTED_VALUE"""),"15:57")</f>
        <v>15:57</v>
      </c>
      <c r="AO289" s="65" t="str">
        <f>IFERROR(__xludf.DUMMYFUNCTION("""COMPUTED_VALUE"""),"11-03-2026")</f>
        <v>11-03-2026</v>
      </c>
      <c r="AP289" s="65" t="str">
        <f>IFERROR(__xludf.DUMMYFUNCTION("""COMPUTED_VALUE"""),"ENTREGADA GINTRACOM")</f>
        <v>ENTREGADA GINTRACOM</v>
      </c>
      <c r="AQ289" s="65" t="str">
        <f>IFERROR(__xludf.DUMMYFUNCTION("""COMPUTED_VALUE"""),"ENTREGADA GINTRACOM")</f>
        <v>ENTREGADA GINTRACOM</v>
      </c>
      <c r="AR289" s="65"/>
      <c r="AS289" s="65"/>
      <c r="AT289" s="65" t="str">
        <f>IFERROR(__xludf.DUMMYFUNCTION("""COMPUTED_VALUE"""),"SHOPIFY")</f>
        <v>SHOPIFY</v>
      </c>
      <c r="AU289" s="65" t="str">
        <f>IFERROR(__xludf.DUMMYFUNCTION("""COMPUTED_VALUE"""),"IMPORTEX EC")</f>
        <v>IMPORTEX EC</v>
      </c>
      <c r="AV289" s="65" t="str">
        <f>IFERROR(__xludf.DUMMYFUNCTION("""COMPUTED_VALUE"""),"6562796240940")</f>
        <v>6562796240940</v>
      </c>
      <c r="AW289" s="65">
        <f>IFERROR(__xludf.DUMMYFUNCTION("""COMPUTED_VALUE"""),6567.0)</f>
        <v>6567</v>
      </c>
      <c r="AX289" s="65"/>
      <c r="AY289" s="65" t="str">
        <f>IFERROR(__xludf.DUMMYFUNCTION("""COMPUTED_VALUE"""),"09/03/2026")</f>
        <v>09/03/2026</v>
      </c>
      <c r="AZ289" s="65"/>
      <c r="BA289" s="65"/>
    </row>
    <row r="290">
      <c r="A290" s="65" t="str">
        <f>IFERROR(__xludf.DUMMYFUNCTION("""COMPUTED_VALUE"""),"27-03-2026")</f>
        <v>27-03-2026</v>
      </c>
      <c r="B290" s="65">
        <f>IFERROR(__xludf.DUMMYFUNCTION("""COMPUTED_VALUE"""),4726632.0)</f>
        <v>4726632</v>
      </c>
      <c r="C290" s="65" t="str">
        <f>IFERROR(__xludf.DUMMYFUNCTION("""COMPUTED_VALUE"""),"08:09")</f>
        <v>08:09</v>
      </c>
      <c r="D290" s="65" t="str">
        <f>IFERROR(__xludf.DUMMYFUNCTION("""COMPUTED_VALUE"""),"07-03-2026")</f>
        <v>07-03-2026</v>
      </c>
      <c r="E290" s="65" t="str">
        <f>IFERROR(__xludf.DUMMYFUNCTION("""COMPUTED_VALUE"""),"Juan Bonilla")</f>
        <v>Juan Bonilla</v>
      </c>
      <c r="F290" s="65" t="str">
        <f>IFERROR(__xludf.DUMMYFUNCTION("""COMPUTED_VALUE"""),"999709552")</f>
        <v>999709552</v>
      </c>
      <c r="G290" s="65" t="str">
        <f>IFERROR(__xludf.DUMMYFUNCTION("""COMPUTED_VALUE"""),"juankabonillaa@gmail.com")</f>
        <v>juankabonillaa@gmail.com</v>
      </c>
      <c r="H290" s="65"/>
      <c r="I290" s="65"/>
      <c r="J290" s="65" t="str">
        <f>IFERROR(__xludf.DUMMYFUNCTION("""COMPUTED_VALUE"""),"D001396817")</f>
        <v>D001396817</v>
      </c>
      <c r="K290" s="65" t="str">
        <f>IFERROR(__xludf.DUMMYFUNCTION("""COMPUTED_VALUE"""),"ENTREGADO")</f>
        <v>ENTREGADO</v>
      </c>
      <c r="L290" s="65" t="str">
        <f>IFERROR(__xludf.DUMMYFUNCTION("""COMPUTED_VALUE"""),"CON RECAUDO")</f>
        <v>CON RECAUDO</v>
      </c>
      <c r="M290" s="65" t="str">
        <f>IFERROR(__xludf.DUMMYFUNCTION("""COMPUTED_VALUE"""),"PICHINCHA")</f>
        <v>PICHINCHA</v>
      </c>
      <c r="N290" s="65" t="str">
        <f>IFERROR(__xludf.DUMMYFUNCTION("""COMPUTED_VALUE"""),"QUITO")</f>
        <v>QUITO</v>
      </c>
      <c r="O290" s="65" t="str">
        <f>IFERROR(__xludf.DUMMYFUNCTION("""COMPUTED_VALUE"""),"Lorenzo Ghiberti S10-56 y Valdivia, Conj. Zaragoza casa8 Frente a Urb. Real Alto - SECTOR LUMBISI")</f>
        <v>Lorenzo Ghiberti S10-56 y Valdivia, Conj. Zaragoza casa8 Frente a Urb. Real Alto - SECTOR LUMBISI</v>
      </c>
      <c r="P290" s="65"/>
      <c r="Q290" s="65" t="str">
        <f>IFERROR(__xludf.DUMMYFUNCTION("""COMPUTED_VALUE"""),"GINTRACOM")</f>
        <v>GINTRACOM</v>
      </c>
      <c r="R290" s="65">
        <f>IFERROR(__xludf.DUMMYFUNCTION("""COMPUTED_VALUE"""),20.0)</f>
        <v>20</v>
      </c>
      <c r="S290" s="65">
        <f>IFERROR(__xludf.DUMMYFUNCTION("""COMPUTED_VALUE"""),13.5)</f>
        <v>13.5</v>
      </c>
      <c r="T290" s="65">
        <f>IFERROR(__xludf.DUMMYFUNCTION("""COMPUTED_VALUE"""),4.15)</f>
        <v>4.15</v>
      </c>
      <c r="U290" s="65">
        <f>IFERROR(__xludf.DUMMYFUNCTION("""COMPUTED_VALUE"""),0.0)</f>
        <v>0</v>
      </c>
      <c r="V290" s="65">
        <f>IFERROR(__xludf.DUMMYFUNCTION("""COMPUTED_VALUE"""),0.0)</f>
        <v>0</v>
      </c>
      <c r="W290" s="65">
        <f>IFERROR(__xludf.DUMMYFUNCTION("""COMPUTED_VALUE"""),0.0)</f>
        <v>0</v>
      </c>
      <c r="X290" s="65">
        <f>IFERROR(__xludf.DUMMYFUNCTION("""COMPUTED_VALUE"""),2.35)</f>
        <v>2.35</v>
      </c>
      <c r="Y290" s="65">
        <f>IFERROR(__xludf.DUMMYFUNCTION("""COMPUTED_VALUE"""),2.35)</f>
        <v>2.35</v>
      </c>
      <c r="Z290" s="65">
        <f>IFERROR(__xludf.DUMMYFUNCTION("""COMPUTED_VALUE"""),116679.0)</f>
        <v>116679</v>
      </c>
      <c r="AA290" s="65" t="str">
        <f>IFERROR(__xludf.DUMMYFUNCTION("""COMPUTED_VALUE"""),"AMC-2738")</f>
        <v>AMC-2738</v>
      </c>
      <c r="AB290" s="65"/>
      <c r="AC290" s="65" t="str">
        <f>IFERROR(__xludf.DUMMYFUNCTION("""COMPUTED_VALUE"""),"ESPONJA ANTILLUVIA DE PARABRISAS")</f>
        <v>ESPONJA ANTILLUVIA DE PARABRISAS</v>
      </c>
      <c r="AD290" s="65"/>
      <c r="AE290" s="65">
        <f>IFERROR(__xludf.DUMMYFUNCTION("""COMPUTED_VALUE"""),1.0)</f>
        <v>1</v>
      </c>
      <c r="AF290" s="65"/>
      <c r="AG290" s="65"/>
      <c r="AH290" s="65"/>
      <c r="AI290" s="65"/>
      <c r="AJ290" s="65"/>
      <c r="AK290" s="65"/>
      <c r="AL290" s="65"/>
      <c r="AM290" s="65"/>
      <c r="AN290" s="65" t="str">
        <f>IFERROR(__xludf.DUMMYFUNCTION("""COMPUTED_VALUE"""),"13:41")</f>
        <v>13:41</v>
      </c>
      <c r="AO290" s="65" t="str">
        <f>IFERROR(__xludf.DUMMYFUNCTION("""COMPUTED_VALUE"""),"11-03-2026")</f>
        <v>11-03-2026</v>
      </c>
      <c r="AP290" s="65" t="str">
        <f>IFERROR(__xludf.DUMMYFUNCTION("""COMPUTED_VALUE"""),"ENTREGADA GINTRACOM")</f>
        <v>ENTREGADA GINTRACOM</v>
      </c>
      <c r="AQ290" s="65" t="str">
        <f>IFERROR(__xludf.DUMMYFUNCTION("""COMPUTED_VALUE"""),"ENTREGADA GINTRACOM")</f>
        <v>ENTREGADA GINTRACOM</v>
      </c>
      <c r="AR290" s="65"/>
      <c r="AS290" s="65"/>
      <c r="AT290" s="65" t="str">
        <f>IFERROR(__xludf.DUMMYFUNCTION("""COMPUTED_VALUE"""),"SHOPIFY")</f>
        <v>SHOPIFY</v>
      </c>
      <c r="AU290" s="65" t="str">
        <f>IFERROR(__xludf.DUMMYFUNCTION("""COMPUTED_VALUE"""),"IMPORTEX EC")</f>
        <v>IMPORTEX EC</v>
      </c>
      <c r="AV290" s="65" t="str">
        <f>IFERROR(__xludf.DUMMYFUNCTION("""COMPUTED_VALUE"""),"6562755051564")</f>
        <v>6562755051564</v>
      </c>
      <c r="AW290" s="65">
        <f>IFERROR(__xludf.DUMMYFUNCTION("""COMPUTED_VALUE"""),6566.0)</f>
        <v>6566</v>
      </c>
      <c r="AX290" s="65"/>
      <c r="AY290" s="65" t="str">
        <f>IFERROR(__xludf.DUMMYFUNCTION("""COMPUTED_VALUE"""),"09/03/2026")</f>
        <v>09/03/2026</v>
      </c>
      <c r="AZ290" s="65"/>
      <c r="BA290" s="65"/>
    </row>
    <row r="291">
      <c r="A291" s="65" t="str">
        <f>IFERROR(__xludf.DUMMYFUNCTION("""COMPUTED_VALUE"""),"27-03-2026")</f>
        <v>27-03-2026</v>
      </c>
      <c r="B291" s="65">
        <f>IFERROR(__xludf.DUMMYFUNCTION("""COMPUTED_VALUE"""),4726385.0)</f>
        <v>4726385</v>
      </c>
      <c r="C291" s="65" t="str">
        <f>IFERROR(__xludf.DUMMYFUNCTION("""COMPUTED_VALUE"""),"07:47")</f>
        <v>07:47</v>
      </c>
      <c r="D291" s="65" t="str">
        <f>IFERROR(__xludf.DUMMYFUNCTION("""COMPUTED_VALUE"""),"07-03-2026")</f>
        <v>07-03-2026</v>
      </c>
      <c r="E291" s="65" t="str">
        <f>IFERROR(__xludf.DUMMYFUNCTION("""COMPUTED_VALUE"""),"Martinez Martinez")</f>
        <v>Martinez Martinez</v>
      </c>
      <c r="F291" s="65" t="str">
        <f>IFERROR(__xludf.DUMMYFUNCTION("""COMPUTED_VALUE"""),"992952269")</f>
        <v>992952269</v>
      </c>
      <c r="G291" s="65" t="str">
        <f>IFERROR(__xludf.DUMMYFUNCTION("""COMPUTED_VALUE"""),"romanoecuador@hotmail.com")</f>
        <v>romanoecuador@hotmail.com</v>
      </c>
      <c r="H291" s="65"/>
      <c r="I291" s="65"/>
      <c r="J291" s="65" t="str">
        <f>IFERROR(__xludf.DUMMYFUNCTION("""COMPUTED_VALUE"""),"D001396820")</f>
        <v>D001396820</v>
      </c>
      <c r="K291" s="65" t="str">
        <f>IFERROR(__xludf.DUMMYFUNCTION("""COMPUTED_VALUE"""),"DEVOLUCION")</f>
        <v>DEVOLUCION</v>
      </c>
      <c r="L291" s="65" t="str">
        <f>IFERROR(__xludf.DUMMYFUNCTION("""COMPUTED_VALUE"""),"CON RECAUDO")</f>
        <v>CON RECAUDO</v>
      </c>
      <c r="M291" s="65" t="str">
        <f>IFERROR(__xludf.DUMMYFUNCTION("""COMPUTED_VALUE"""),"GUAYAS")</f>
        <v>GUAYAS</v>
      </c>
      <c r="N291" s="65" t="str">
        <f>IFERROR(__xludf.DUMMYFUNCTION("""COMPUTED_VALUE"""),"DAULE")</f>
        <v>DAULE</v>
      </c>
      <c r="O291" s="65" t="str">
        <f>IFERROR(__xludf.DUMMYFUNCTION("""COMPUTED_VALUE"""),"Vial 10 la Rioja y Av Leon Febres Cordero Urbanización la Rioja etapa Asturias mz 8 villa 6 -")</f>
        <v>Vial 10 la Rioja y Av Leon Febres Cordero Urbanización la Rioja etapa Asturias mz 8 villa 6 -</v>
      </c>
      <c r="P291" s="65"/>
      <c r="Q291" s="65" t="str">
        <f>IFERROR(__xludf.DUMMYFUNCTION("""COMPUTED_VALUE"""),"GINTRACOM")</f>
        <v>GINTRACOM</v>
      </c>
      <c r="R291" s="65">
        <f>IFERROR(__xludf.DUMMYFUNCTION("""COMPUTED_VALUE"""),20.0)</f>
        <v>20</v>
      </c>
      <c r="S291" s="65"/>
      <c r="T291" s="65">
        <f>IFERROR(__xludf.DUMMYFUNCTION("""COMPUTED_VALUE"""),5.76)</f>
        <v>5.76</v>
      </c>
      <c r="U291" s="65">
        <f>IFERROR(__xludf.DUMMYFUNCTION("""COMPUTED_VALUE"""),0.0)</f>
        <v>0</v>
      </c>
      <c r="V291" s="65">
        <f>IFERROR(__xludf.DUMMYFUNCTION("""COMPUTED_VALUE"""),0.0)</f>
        <v>0</v>
      </c>
      <c r="W291" s="65">
        <f>IFERROR(__xludf.DUMMYFUNCTION("""COMPUTED_VALUE"""),0.0)</f>
        <v>0</v>
      </c>
      <c r="X291" s="65">
        <f>IFERROR(__xludf.DUMMYFUNCTION("""COMPUTED_VALUE"""),2.35)</f>
        <v>2.35</v>
      </c>
      <c r="Y291" s="65">
        <f>IFERROR(__xludf.DUMMYFUNCTION("""COMPUTED_VALUE"""),2.35)</f>
        <v>2.35</v>
      </c>
      <c r="Z291" s="65">
        <f>IFERROR(__xludf.DUMMYFUNCTION("""COMPUTED_VALUE"""),116679.0)</f>
        <v>116679</v>
      </c>
      <c r="AA291" s="65" t="str">
        <f>IFERROR(__xludf.DUMMYFUNCTION("""COMPUTED_VALUE"""),"AMC-2738")</f>
        <v>AMC-2738</v>
      </c>
      <c r="AB291" s="65"/>
      <c r="AC291" s="65" t="str">
        <f>IFERROR(__xludf.DUMMYFUNCTION("""COMPUTED_VALUE"""),"ESPONJA ANTILLUVIA DE PARABRISAS")</f>
        <v>ESPONJA ANTILLUVIA DE PARABRISAS</v>
      </c>
      <c r="AD291" s="65"/>
      <c r="AE291" s="65">
        <f>IFERROR(__xludf.DUMMYFUNCTION("""COMPUTED_VALUE"""),1.0)</f>
        <v>1</v>
      </c>
      <c r="AF291" s="65" t="str">
        <f>IFERROR(__xludf.DUMMYFUNCTION("""COMPUTED_VALUE"""),"DESTINATARIO NO CONTESTA LLAMADAS NI WHATSAPP")</f>
        <v>DESTINATARIO NO CONTESTA LLAMADAS NI WHATSAPP</v>
      </c>
      <c r="AG291" s="65" t="str">
        <f>IFERROR(__xludf.DUMMYFUNCTION("""COMPUTED_VALUE"""),"NO")</f>
        <v>NO</v>
      </c>
      <c r="AH291" s="65" t="str">
        <f>IFERROR(__xludf.DUMMYFUNCTION("""COMPUTED_VALUE"""),"09:00")</f>
        <v>09:00</v>
      </c>
      <c r="AI291" s="65" t="str">
        <f>IFERROR(__xludf.DUMMYFUNCTION("""COMPUTED_VALUE"""),"19-03-2026")</f>
        <v>19-03-2026</v>
      </c>
      <c r="AJ291" s="65"/>
      <c r="AK291" s="65"/>
      <c r="AL291" s="65"/>
      <c r="AM291" s="65"/>
      <c r="AN291" s="65" t="str">
        <f>IFERROR(__xludf.DUMMYFUNCTION("""COMPUTED_VALUE"""),"03:04")</f>
        <v>03:04</v>
      </c>
      <c r="AO291" s="65" t="str">
        <f>IFERROR(__xludf.DUMMYFUNCTION("""COMPUTED_VALUE"""),"21-03-2026")</f>
        <v>21-03-2026</v>
      </c>
      <c r="AP291" s="65" t="str">
        <f>IFERROR(__xludf.DUMMYFUNCTION("""COMPUTED_VALUE"""),"DEVOLUCIÓN")</f>
        <v>DEVOLUCIÓN</v>
      </c>
      <c r="AQ291" s="65" t="str">
        <f>IFERROR(__xludf.DUMMYFUNCTION("""COMPUTED_VALUE"""),"DEVOLUCIÓN")</f>
        <v>DEVOLUCIÓN</v>
      </c>
      <c r="AR291" s="65"/>
      <c r="AS291" s="65"/>
      <c r="AT291" s="65" t="str">
        <f>IFERROR(__xludf.DUMMYFUNCTION("""COMPUTED_VALUE"""),"SHOPIFY")</f>
        <v>SHOPIFY</v>
      </c>
      <c r="AU291" s="65" t="str">
        <f>IFERROR(__xludf.DUMMYFUNCTION("""COMPUTED_VALUE"""),"IMPORTEX EC")</f>
        <v>IMPORTEX EC</v>
      </c>
      <c r="AV291" s="65" t="str">
        <f>IFERROR(__xludf.DUMMYFUNCTION("""COMPUTED_VALUE"""),"6562729132076")</f>
        <v>6562729132076</v>
      </c>
      <c r="AW291" s="65">
        <f>IFERROR(__xludf.DUMMYFUNCTION("""COMPUTED_VALUE"""),6565.0)</f>
        <v>6565</v>
      </c>
      <c r="AX291" s="65"/>
      <c r="AY291" s="65" t="str">
        <f>IFERROR(__xludf.DUMMYFUNCTION("""COMPUTED_VALUE"""),"09/03/2026")</f>
        <v>09/03/2026</v>
      </c>
      <c r="AZ291" s="65"/>
      <c r="BA291" s="65"/>
    </row>
    <row r="292">
      <c r="A292" s="65" t="str">
        <f>IFERROR(__xludf.DUMMYFUNCTION("""COMPUTED_VALUE"""),"27-03-2026")</f>
        <v>27-03-2026</v>
      </c>
      <c r="B292" s="65">
        <f>IFERROR(__xludf.DUMMYFUNCTION("""COMPUTED_VALUE"""),4726120.0)</f>
        <v>4726120</v>
      </c>
      <c r="C292" s="65" t="str">
        <f>IFERROR(__xludf.DUMMYFUNCTION("""COMPUTED_VALUE"""),"07:16")</f>
        <v>07:16</v>
      </c>
      <c r="D292" s="65" t="str">
        <f>IFERROR(__xludf.DUMMYFUNCTION("""COMPUTED_VALUE"""),"07-03-2026")</f>
        <v>07-03-2026</v>
      </c>
      <c r="E292" s="65" t="str">
        <f>IFERROR(__xludf.DUMMYFUNCTION("""COMPUTED_VALUE"""),"Anthoni Moncayo")</f>
        <v>Anthoni Moncayo</v>
      </c>
      <c r="F292" s="65" t="str">
        <f>IFERROR(__xludf.DUMMYFUNCTION("""COMPUTED_VALUE"""),"998297122")</f>
        <v>998297122</v>
      </c>
      <c r="G292" s="65" t="str">
        <f>IFERROR(__xludf.DUMMYFUNCTION("""COMPUTED_VALUE"""),"anthonimoncayo@hotmail.com")</f>
        <v>anthonimoncayo@hotmail.com</v>
      </c>
      <c r="H292" s="65"/>
      <c r="I292" s="65"/>
      <c r="J292" s="65" t="str">
        <f>IFERROR(__xludf.DUMMYFUNCTION("""COMPUTED_VALUE"""),"D001396836")</f>
        <v>D001396836</v>
      </c>
      <c r="K292" s="65" t="str">
        <f>IFERROR(__xludf.DUMMYFUNCTION("""COMPUTED_VALUE"""),"ENTREGADO")</f>
        <v>ENTREGADO</v>
      </c>
      <c r="L292" s="65" t="str">
        <f>IFERROR(__xludf.DUMMYFUNCTION("""COMPUTED_VALUE"""),"CON RECAUDO")</f>
        <v>CON RECAUDO</v>
      </c>
      <c r="M292" s="65" t="str">
        <f>IFERROR(__xludf.DUMMYFUNCTION("""COMPUTED_VALUE"""),"AZUAY")</f>
        <v>AZUAY</v>
      </c>
      <c r="N292" s="65" t="str">
        <f>IFERROR(__xludf.DUMMYFUNCTION("""COMPUTED_VALUE"""),"CUENCA")</f>
        <v>CUENCA</v>
      </c>
      <c r="O292" s="65" t="str">
        <f>IFERROR(__xludf.DUMMYFUNCTION("""COMPUTED_VALUE"""),"Nueva Loja  entre Guayas y Remigio Tamariz -  Junto a la casa 2:05,  portón negro - REFERENCIA: detrás de ferretería continental")</f>
        <v>Nueva Loja  entre Guayas y Remigio Tamariz -  Junto a la casa 2:05,  portón negro - REFERENCIA: detrás de ferretería continental</v>
      </c>
      <c r="P292" s="65"/>
      <c r="Q292" s="65" t="str">
        <f>IFERROR(__xludf.DUMMYFUNCTION("""COMPUTED_VALUE"""),"GINTRACOM")</f>
        <v>GINTRACOM</v>
      </c>
      <c r="R292" s="65">
        <f>IFERROR(__xludf.DUMMYFUNCTION("""COMPUTED_VALUE"""),30.0)</f>
        <v>30</v>
      </c>
      <c r="S292" s="65">
        <f>IFERROR(__xludf.DUMMYFUNCTION("""COMPUTED_VALUE"""),16.79)</f>
        <v>16.79</v>
      </c>
      <c r="T292" s="65">
        <f>IFERROR(__xludf.DUMMYFUNCTION("""COMPUTED_VALUE"""),6.16)</f>
        <v>6.16</v>
      </c>
      <c r="U292" s="65">
        <f>IFERROR(__xludf.DUMMYFUNCTION("""COMPUTED_VALUE"""),0.0)</f>
        <v>0</v>
      </c>
      <c r="V292" s="65">
        <f>IFERROR(__xludf.DUMMYFUNCTION("""COMPUTED_VALUE"""),0.0)</f>
        <v>0</v>
      </c>
      <c r="W292" s="65">
        <f>IFERROR(__xludf.DUMMYFUNCTION("""COMPUTED_VALUE"""),0.0)</f>
        <v>0</v>
      </c>
      <c r="X292" s="65">
        <f>IFERROR(__xludf.DUMMYFUNCTION("""COMPUTED_VALUE"""),2.35)</f>
        <v>2.35</v>
      </c>
      <c r="Y292" s="65">
        <f>IFERROR(__xludf.DUMMYFUNCTION("""COMPUTED_VALUE"""),7.05)</f>
        <v>7.05</v>
      </c>
      <c r="Z292" s="65">
        <f>IFERROR(__xludf.DUMMYFUNCTION("""COMPUTED_VALUE"""),116679.0)</f>
        <v>116679</v>
      </c>
      <c r="AA292" s="65" t="str">
        <f>IFERROR(__xludf.DUMMYFUNCTION("""COMPUTED_VALUE"""),"AMC-2738")</f>
        <v>AMC-2738</v>
      </c>
      <c r="AB292" s="65"/>
      <c r="AC292" s="65" t="str">
        <f>IFERROR(__xludf.DUMMYFUNCTION("""COMPUTED_VALUE"""),"ESPONJA ANTILLUVIA DE PARABRISAS")</f>
        <v>ESPONJA ANTILLUVIA DE PARABRISAS</v>
      </c>
      <c r="AD292" s="65"/>
      <c r="AE292" s="65">
        <f>IFERROR(__xludf.DUMMYFUNCTION("""COMPUTED_VALUE"""),3.0)</f>
        <v>3</v>
      </c>
      <c r="AF292" s="65"/>
      <c r="AG292" s="65"/>
      <c r="AH292" s="65"/>
      <c r="AI292" s="65"/>
      <c r="AJ292" s="65"/>
      <c r="AK292" s="65"/>
      <c r="AL292" s="65"/>
      <c r="AM292" s="65"/>
      <c r="AN292" s="65" t="str">
        <f>IFERROR(__xludf.DUMMYFUNCTION("""COMPUTED_VALUE"""),"09:43")</f>
        <v>09:43</v>
      </c>
      <c r="AO292" s="65" t="str">
        <f>IFERROR(__xludf.DUMMYFUNCTION("""COMPUTED_VALUE"""),"26-03-2026")</f>
        <v>26-03-2026</v>
      </c>
      <c r="AP292" s="65" t="str">
        <f>IFERROR(__xludf.DUMMYFUNCTION("""COMPUTED_VALUE"""),"ENTREGADA GINTRACOM")</f>
        <v>ENTREGADA GINTRACOM</v>
      </c>
      <c r="AQ292" s="65" t="str">
        <f>IFERROR(__xludf.DUMMYFUNCTION("""COMPUTED_VALUE"""),"ENTREGADA GINTRACOM")</f>
        <v>ENTREGADA GINTRACOM</v>
      </c>
      <c r="AR292" s="65"/>
      <c r="AS292" s="65"/>
      <c r="AT292" s="65" t="str">
        <f>IFERROR(__xludf.DUMMYFUNCTION("""COMPUTED_VALUE"""),"SHOPIFY")</f>
        <v>SHOPIFY</v>
      </c>
      <c r="AU292" s="65" t="str">
        <f>IFERROR(__xludf.DUMMYFUNCTION("""COMPUTED_VALUE"""),"IMPORTEX EC")</f>
        <v>IMPORTEX EC</v>
      </c>
      <c r="AV292" s="65" t="str">
        <f>IFERROR(__xludf.DUMMYFUNCTION("""COMPUTED_VALUE"""),"6562703474732")</f>
        <v>6562703474732</v>
      </c>
      <c r="AW292" s="65">
        <f>IFERROR(__xludf.DUMMYFUNCTION("""COMPUTED_VALUE"""),6564.0)</f>
        <v>6564</v>
      </c>
      <c r="AX292" s="65"/>
      <c r="AY292" s="65" t="str">
        <f>IFERROR(__xludf.DUMMYFUNCTION("""COMPUTED_VALUE"""),"09/03/2026")</f>
        <v>09/03/2026</v>
      </c>
      <c r="AZ292" s="65"/>
      <c r="BA292" s="65"/>
    </row>
    <row r="293">
      <c r="A293" s="65" t="str">
        <f>IFERROR(__xludf.DUMMYFUNCTION("""COMPUTED_VALUE"""),"27-03-2026")</f>
        <v>27-03-2026</v>
      </c>
      <c r="B293" s="65">
        <f>IFERROR(__xludf.DUMMYFUNCTION("""COMPUTED_VALUE"""),4725992.0)</f>
        <v>4725992</v>
      </c>
      <c r="C293" s="65" t="str">
        <f>IFERROR(__xludf.DUMMYFUNCTION("""COMPUTED_VALUE"""),"06:56")</f>
        <v>06:56</v>
      </c>
      <c r="D293" s="65" t="str">
        <f>IFERROR(__xludf.DUMMYFUNCTION("""COMPUTED_VALUE"""),"07-03-2026")</f>
        <v>07-03-2026</v>
      </c>
      <c r="E293" s="65" t="str">
        <f>IFERROR(__xludf.DUMMYFUNCTION("""COMPUTED_VALUE"""),"romel fueltala")</f>
        <v>romel fueltala</v>
      </c>
      <c r="F293" s="65" t="str">
        <f>IFERROR(__xludf.DUMMYFUNCTION("""COMPUTED_VALUE"""),"984681629")</f>
        <v>984681629</v>
      </c>
      <c r="G293" s="65" t="str">
        <f>IFERROR(__xludf.DUMMYFUNCTION("""COMPUTED_VALUE"""),"romelfuel17@gmail.com")</f>
        <v>romelfuel17@gmail.com</v>
      </c>
      <c r="H293" s="65"/>
      <c r="I293" s="65"/>
      <c r="J293" s="65" t="str">
        <f>IFERROR(__xludf.DUMMYFUNCTION("""COMPUTED_VALUE"""),"D001396841")</f>
        <v>D001396841</v>
      </c>
      <c r="K293" s="65" t="str">
        <f>IFERROR(__xludf.DUMMYFUNCTION("""COMPUTED_VALUE"""),"ENTREGADO")</f>
        <v>ENTREGADO</v>
      </c>
      <c r="L293" s="65" t="str">
        <f>IFERROR(__xludf.DUMMYFUNCTION("""COMPUTED_VALUE"""),"CON RECAUDO")</f>
        <v>CON RECAUDO</v>
      </c>
      <c r="M293" s="65" t="str">
        <f>IFERROR(__xludf.DUMMYFUNCTION("""COMPUTED_VALUE"""),"PICHINCHA")</f>
        <v>PICHINCHA</v>
      </c>
      <c r="N293" s="65" t="str">
        <f>IFERROR(__xludf.DUMMYFUNCTION("""COMPUTED_VALUE"""),"QUITO")</f>
        <v>QUITO</v>
      </c>
      <c r="O293" s="65" t="str">
        <f>IFERROR(__xludf.DUMMYFUNCTION("""COMPUTED_VALUE"""),"Julián mestanza N60_36 Felipe proaño, en el comité del pueblo")</f>
        <v>Julián mestanza N60_36 Felipe proaño, en el comité del pueblo</v>
      </c>
      <c r="P293" s="65"/>
      <c r="Q293" s="65" t="str">
        <f>IFERROR(__xludf.DUMMYFUNCTION("""COMPUTED_VALUE"""),"GINTRACOM")</f>
        <v>GINTRACOM</v>
      </c>
      <c r="R293" s="65">
        <f>IFERROR(__xludf.DUMMYFUNCTION("""COMPUTED_VALUE"""),20.0)</f>
        <v>20</v>
      </c>
      <c r="S293" s="65">
        <f>IFERROR(__xludf.DUMMYFUNCTION("""COMPUTED_VALUE"""),13.5)</f>
        <v>13.5</v>
      </c>
      <c r="T293" s="65">
        <f>IFERROR(__xludf.DUMMYFUNCTION("""COMPUTED_VALUE"""),4.15)</f>
        <v>4.15</v>
      </c>
      <c r="U293" s="65">
        <f>IFERROR(__xludf.DUMMYFUNCTION("""COMPUTED_VALUE"""),0.0)</f>
        <v>0</v>
      </c>
      <c r="V293" s="65">
        <f>IFERROR(__xludf.DUMMYFUNCTION("""COMPUTED_VALUE"""),0.0)</f>
        <v>0</v>
      </c>
      <c r="W293" s="65">
        <f>IFERROR(__xludf.DUMMYFUNCTION("""COMPUTED_VALUE"""),0.0)</f>
        <v>0</v>
      </c>
      <c r="X293" s="65">
        <f>IFERROR(__xludf.DUMMYFUNCTION("""COMPUTED_VALUE"""),2.35)</f>
        <v>2.35</v>
      </c>
      <c r="Y293" s="65">
        <f>IFERROR(__xludf.DUMMYFUNCTION("""COMPUTED_VALUE"""),2.35)</f>
        <v>2.35</v>
      </c>
      <c r="Z293" s="65">
        <f>IFERROR(__xludf.DUMMYFUNCTION("""COMPUTED_VALUE"""),116679.0)</f>
        <v>116679</v>
      </c>
      <c r="AA293" s="65" t="str">
        <f>IFERROR(__xludf.DUMMYFUNCTION("""COMPUTED_VALUE"""),"AMC-2738")</f>
        <v>AMC-2738</v>
      </c>
      <c r="AB293" s="65"/>
      <c r="AC293" s="65" t="str">
        <f>IFERROR(__xludf.DUMMYFUNCTION("""COMPUTED_VALUE"""),"ESPONJA ANTILLUVIA DE PARABRISAS")</f>
        <v>ESPONJA ANTILLUVIA DE PARABRISAS</v>
      </c>
      <c r="AD293" s="65"/>
      <c r="AE293" s="65">
        <f>IFERROR(__xludf.DUMMYFUNCTION("""COMPUTED_VALUE"""),1.0)</f>
        <v>1</v>
      </c>
      <c r="AF293" s="65"/>
      <c r="AG293" s="65"/>
      <c r="AH293" s="65"/>
      <c r="AI293" s="65"/>
      <c r="AJ293" s="65"/>
      <c r="AK293" s="65"/>
      <c r="AL293" s="65"/>
      <c r="AM293" s="65"/>
      <c r="AN293" s="65" t="str">
        <f>IFERROR(__xludf.DUMMYFUNCTION("""COMPUTED_VALUE"""),"01:31")</f>
        <v>01:31</v>
      </c>
      <c r="AO293" s="65" t="str">
        <f>IFERROR(__xludf.DUMMYFUNCTION("""COMPUTED_VALUE"""),"14-03-2026")</f>
        <v>14-03-2026</v>
      </c>
      <c r="AP293" s="65" t="str">
        <f>IFERROR(__xludf.DUMMYFUNCTION("""COMPUTED_VALUE"""),"DESTINATARIO RE-PROGRAMA FECHA DE ENTREGA")</f>
        <v>DESTINATARIO RE-PROGRAMA FECHA DE ENTREGA</v>
      </c>
      <c r="AQ293" s="65" t="str">
        <f>IFERROR(__xludf.DUMMYFUNCTION("""COMPUTED_VALUE"""),"DESTINATARIO RE-PROGRAMA FECHA DE ENTREGA")</f>
        <v>DESTINATARIO RE-PROGRAMA FECHA DE ENTREGA</v>
      </c>
      <c r="AR293" s="65"/>
      <c r="AS293" s="65"/>
      <c r="AT293" s="65" t="str">
        <f>IFERROR(__xludf.DUMMYFUNCTION("""COMPUTED_VALUE"""),"SHOPIFY")</f>
        <v>SHOPIFY</v>
      </c>
      <c r="AU293" s="65" t="str">
        <f>IFERROR(__xludf.DUMMYFUNCTION("""COMPUTED_VALUE"""),"IMPORTEX EC")</f>
        <v>IMPORTEX EC</v>
      </c>
      <c r="AV293" s="65" t="str">
        <f>IFERROR(__xludf.DUMMYFUNCTION("""COMPUTED_VALUE"""),"6562688401452")</f>
        <v>6562688401452</v>
      </c>
      <c r="AW293" s="65">
        <f>IFERROR(__xludf.DUMMYFUNCTION("""COMPUTED_VALUE"""),6563.0)</f>
        <v>6563</v>
      </c>
      <c r="AX293" s="65"/>
      <c r="AY293" s="65" t="str">
        <f>IFERROR(__xludf.DUMMYFUNCTION("""COMPUTED_VALUE"""),"09/03/2026")</f>
        <v>09/03/2026</v>
      </c>
      <c r="AZ293" s="65"/>
      <c r="BA293" s="65"/>
    </row>
    <row r="294">
      <c r="A294" s="65" t="str">
        <f>IFERROR(__xludf.DUMMYFUNCTION("""COMPUTED_VALUE"""),"27-03-2026")</f>
        <v>27-03-2026</v>
      </c>
      <c r="B294" s="65">
        <f>IFERROR(__xludf.DUMMYFUNCTION("""COMPUTED_VALUE"""),4725679.0)</f>
        <v>4725679</v>
      </c>
      <c r="C294" s="65" t="str">
        <f>IFERROR(__xludf.DUMMYFUNCTION("""COMPUTED_VALUE"""),"05:16")</f>
        <v>05:16</v>
      </c>
      <c r="D294" s="65" t="str">
        <f>IFERROR(__xludf.DUMMYFUNCTION("""COMPUTED_VALUE"""),"07-03-2026")</f>
        <v>07-03-2026</v>
      </c>
      <c r="E294" s="65" t="str">
        <f>IFERROR(__xludf.DUMMYFUNCTION("""COMPUTED_VALUE"""),"victor Kronfle")</f>
        <v>victor Kronfle</v>
      </c>
      <c r="F294" s="65" t="str">
        <f>IFERROR(__xludf.DUMMYFUNCTION("""COMPUTED_VALUE"""),"967361322")</f>
        <v>967361322</v>
      </c>
      <c r="G294" s="65" t="str">
        <f>IFERROR(__xludf.DUMMYFUNCTION("""COMPUTED_VALUE"""),"victor.kronfle@gmail.com")</f>
        <v>victor.kronfle@gmail.com</v>
      </c>
      <c r="H294" s="65"/>
      <c r="I294" s="65"/>
      <c r="J294" s="65"/>
      <c r="K294" s="65" t="str">
        <f>IFERROR(__xludf.DUMMYFUNCTION("""COMPUTED_VALUE"""),"PENDIENTE CONFIRMACION")</f>
        <v>PENDIENTE CONFIRMACION</v>
      </c>
      <c r="L294" s="65" t="str">
        <f>IFERROR(__xludf.DUMMYFUNCTION("""COMPUTED_VALUE"""),"CON RECAUDO")</f>
        <v>CON RECAUDO</v>
      </c>
      <c r="M294" s="65" t="str">
        <f>IFERROR(__xludf.DUMMYFUNCTION("""COMPUTED_VALUE"""),"GUAYAS")</f>
        <v>GUAYAS</v>
      </c>
      <c r="N294" s="65" t="str">
        <f>IFERROR(__xludf.DUMMYFUNCTION("""COMPUTED_VALUE"""),"SAMBORONDON")</f>
        <v>SAMBORONDON</v>
      </c>
      <c r="O294" s="65" t="str">
        <f>IFERROR(__xludf.DUMMYFUNCTION("""COMPUTED_VALUE"""),"sotileza casa C17 Isla mocoli -")</f>
        <v>sotileza casa C17 Isla mocoli -</v>
      </c>
      <c r="P294" s="65"/>
      <c r="Q294" s="65" t="str">
        <f>IFERROR(__xludf.DUMMYFUNCTION("""COMPUTED_VALUE"""),"GINTRACOM")</f>
        <v>GINTRACOM</v>
      </c>
      <c r="R294" s="65">
        <f>IFERROR(__xludf.DUMMYFUNCTION("""COMPUTED_VALUE"""),25.0)</f>
        <v>25</v>
      </c>
      <c r="S294" s="65"/>
      <c r="T294" s="65">
        <f>IFERROR(__xludf.DUMMYFUNCTION("""COMPUTED_VALUE"""),5.96)</f>
        <v>5.96</v>
      </c>
      <c r="U294" s="65">
        <f>IFERROR(__xludf.DUMMYFUNCTION("""COMPUTED_VALUE"""),0.0)</f>
        <v>0</v>
      </c>
      <c r="V294" s="65">
        <f>IFERROR(__xludf.DUMMYFUNCTION("""COMPUTED_VALUE"""),0.0)</f>
        <v>0</v>
      </c>
      <c r="W294" s="65">
        <f>IFERROR(__xludf.DUMMYFUNCTION("""COMPUTED_VALUE"""),0.0)</f>
        <v>0</v>
      </c>
      <c r="X294" s="65">
        <f>IFERROR(__xludf.DUMMYFUNCTION("""COMPUTED_VALUE"""),2.35)</f>
        <v>2.35</v>
      </c>
      <c r="Y294" s="65">
        <f>IFERROR(__xludf.DUMMYFUNCTION("""COMPUTED_VALUE"""),4.7)</f>
        <v>4.7</v>
      </c>
      <c r="Z294" s="65">
        <f>IFERROR(__xludf.DUMMYFUNCTION("""COMPUTED_VALUE"""),116679.0)</f>
        <v>116679</v>
      </c>
      <c r="AA294" s="65" t="str">
        <f>IFERROR(__xludf.DUMMYFUNCTION("""COMPUTED_VALUE"""),"AMC-2738")</f>
        <v>AMC-2738</v>
      </c>
      <c r="AB294" s="65"/>
      <c r="AC294" s="65" t="str">
        <f>IFERROR(__xludf.DUMMYFUNCTION("""COMPUTED_VALUE"""),"ESPONJA ANTILLUVIA DE PARABRISAS")</f>
        <v>ESPONJA ANTILLUVIA DE PARABRISAS</v>
      </c>
      <c r="AD294" s="65"/>
      <c r="AE294" s="65">
        <f>IFERROR(__xludf.DUMMYFUNCTION("""COMPUTED_VALUE"""),2.0)</f>
        <v>2</v>
      </c>
      <c r="AF294" s="65"/>
      <c r="AG294" s="65"/>
      <c r="AH294" s="65"/>
      <c r="AI294" s="65"/>
      <c r="AJ294" s="65"/>
      <c r="AK294" s="65"/>
      <c r="AL294" s="65"/>
      <c r="AM294" s="65"/>
      <c r="AN294" s="65"/>
      <c r="AO294" s="65"/>
      <c r="AP294" s="65"/>
      <c r="AQ294" s="65"/>
      <c r="AR294" s="65"/>
      <c r="AS294" s="65"/>
      <c r="AT294" s="65" t="str">
        <f>IFERROR(__xludf.DUMMYFUNCTION("""COMPUTED_VALUE"""),"SHOPIFY")</f>
        <v>SHOPIFY</v>
      </c>
      <c r="AU294" s="65" t="str">
        <f>IFERROR(__xludf.DUMMYFUNCTION("""COMPUTED_VALUE"""),"IMPORTEX EC")</f>
        <v>IMPORTEX EC</v>
      </c>
      <c r="AV294" s="65" t="str">
        <f>IFERROR(__xludf.DUMMYFUNCTION("""COMPUTED_VALUE"""),"6562627452972")</f>
        <v>6562627452972</v>
      </c>
      <c r="AW294" s="65">
        <f>IFERROR(__xludf.DUMMYFUNCTION("""COMPUTED_VALUE"""),6562.0)</f>
        <v>6562</v>
      </c>
      <c r="AX294" s="65"/>
      <c r="AY294" s="65"/>
      <c r="AZ294" s="65"/>
      <c r="BA294" s="65"/>
    </row>
    <row r="295">
      <c r="A295" s="65" t="str">
        <f>IFERROR(__xludf.DUMMYFUNCTION("""COMPUTED_VALUE"""),"27-03-2026")</f>
        <v>27-03-2026</v>
      </c>
      <c r="B295" s="65">
        <f>IFERROR(__xludf.DUMMYFUNCTION("""COMPUTED_VALUE"""),4725128.0)</f>
        <v>4725128</v>
      </c>
      <c r="C295" s="65" t="str">
        <f>IFERROR(__xludf.DUMMYFUNCTION("""COMPUTED_VALUE"""),"00:02")</f>
        <v>00:02</v>
      </c>
      <c r="D295" s="65" t="str">
        <f>IFERROR(__xludf.DUMMYFUNCTION("""COMPUTED_VALUE"""),"07-03-2026")</f>
        <v>07-03-2026</v>
      </c>
      <c r="E295" s="65" t="str">
        <f>IFERROR(__xludf.DUMMYFUNCTION("""COMPUTED_VALUE"""),"Diego De la Cruz")</f>
        <v>Diego De la Cruz</v>
      </c>
      <c r="F295" s="65" t="str">
        <f>IFERROR(__xludf.DUMMYFUNCTION("""COMPUTED_VALUE"""),"991124094")</f>
        <v>991124094</v>
      </c>
      <c r="G295" s="65" t="str">
        <f>IFERROR(__xludf.DUMMYFUNCTION("""COMPUTED_VALUE"""),"diggytg10@gmail.com")</f>
        <v>diggytg10@gmail.com</v>
      </c>
      <c r="H295" s="65"/>
      <c r="I295" s="65"/>
      <c r="J295" s="65"/>
      <c r="K295" s="65" t="str">
        <f>IFERROR(__xludf.DUMMYFUNCTION("""COMPUTED_VALUE"""),"PENDIENTE CONFIRMACION")</f>
        <v>PENDIENTE CONFIRMACION</v>
      </c>
      <c r="L295" s="65" t="str">
        <f>IFERROR(__xludf.DUMMYFUNCTION("""COMPUTED_VALUE"""),"CON RECAUDO")</f>
        <v>CON RECAUDO</v>
      </c>
      <c r="M295" s="65" t="str">
        <f>IFERROR(__xludf.DUMMYFUNCTION("""COMPUTED_VALUE"""),"SANTO DOMINGO DE LOS TSACHILAS")</f>
        <v>SANTO DOMINGO DE LOS TSACHILAS</v>
      </c>
      <c r="N295" s="65" t="str">
        <f>IFERROR(__xludf.DUMMYFUNCTION("""COMPUTED_VALUE"""),"SANTO DOMINGO")</f>
        <v>SANTO DOMINGO</v>
      </c>
      <c r="O295" s="65" t="str">
        <f>IFERROR(__xludf.DUMMYFUNCTION("""COMPUTED_VALUE"""),"Vicente rocafuerte y jacinto cortes  Jaya al lado del colegio santo domingo Coop. 17 de diciembre -")</f>
        <v>Vicente rocafuerte y jacinto cortes  Jaya al lado del colegio santo domingo Coop. 17 de diciembre -</v>
      </c>
      <c r="P295" s="65"/>
      <c r="Q295" s="65" t="str">
        <f>IFERROR(__xludf.DUMMYFUNCTION("""COMPUTED_VALUE"""),"GINTRACOM")</f>
        <v>GINTRACOM</v>
      </c>
      <c r="R295" s="65">
        <f>IFERROR(__xludf.DUMMYFUNCTION("""COMPUTED_VALUE"""),20.0)</f>
        <v>20</v>
      </c>
      <c r="S295" s="65"/>
      <c r="T295" s="65">
        <f>IFERROR(__xludf.DUMMYFUNCTION("""COMPUTED_VALUE"""),5.76)</f>
        <v>5.76</v>
      </c>
      <c r="U295" s="65">
        <f>IFERROR(__xludf.DUMMYFUNCTION("""COMPUTED_VALUE"""),0.0)</f>
        <v>0</v>
      </c>
      <c r="V295" s="65">
        <f>IFERROR(__xludf.DUMMYFUNCTION("""COMPUTED_VALUE"""),0.0)</f>
        <v>0</v>
      </c>
      <c r="W295" s="65">
        <f>IFERROR(__xludf.DUMMYFUNCTION("""COMPUTED_VALUE"""),0.0)</f>
        <v>0</v>
      </c>
      <c r="X295" s="65">
        <f>IFERROR(__xludf.DUMMYFUNCTION("""COMPUTED_VALUE"""),2.35)</f>
        <v>2.35</v>
      </c>
      <c r="Y295" s="65">
        <f>IFERROR(__xludf.DUMMYFUNCTION("""COMPUTED_VALUE"""),2.35)</f>
        <v>2.35</v>
      </c>
      <c r="Z295" s="65">
        <f>IFERROR(__xludf.DUMMYFUNCTION("""COMPUTED_VALUE"""),116679.0)</f>
        <v>116679</v>
      </c>
      <c r="AA295" s="65" t="str">
        <f>IFERROR(__xludf.DUMMYFUNCTION("""COMPUTED_VALUE"""),"AMC-2738")</f>
        <v>AMC-2738</v>
      </c>
      <c r="AB295" s="65"/>
      <c r="AC295" s="65" t="str">
        <f>IFERROR(__xludf.DUMMYFUNCTION("""COMPUTED_VALUE"""),"ESPONJA ANTILLUVIA DE PARABRISAS")</f>
        <v>ESPONJA ANTILLUVIA DE PARABRISAS</v>
      </c>
      <c r="AD295" s="65"/>
      <c r="AE295" s="65">
        <f>IFERROR(__xludf.DUMMYFUNCTION("""COMPUTED_VALUE"""),1.0)</f>
        <v>1</v>
      </c>
      <c r="AF295" s="65"/>
      <c r="AG295" s="65"/>
      <c r="AH295" s="65"/>
      <c r="AI295" s="65"/>
      <c r="AJ295" s="65"/>
      <c r="AK295" s="65"/>
      <c r="AL295" s="65"/>
      <c r="AM295" s="65"/>
      <c r="AN295" s="65"/>
      <c r="AO295" s="65"/>
      <c r="AP295" s="65"/>
      <c r="AQ295" s="65"/>
      <c r="AR295" s="65"/>
      <c r="AS295" s="65"/>
      <c r="AT295" s="65" t="str">
        <f>IFERROR(__xludf.DUMMYFUNCTION("""COMPUTED_VALUE"""),"SHOPIFY")</f>
        <v>SHOPIFY</v>
      </c>
      <c r="AU295" s="65" t="str">
        <f>IFERROR(__xludf.DUMMYFUNCTION("""COMPUTED_VALUE"""),"IMPORTEX EC")</f>
        <v>IMPORTEX EC</v>
      </c>
      <c r="AV295" s="65" t="str">
        <f>IFERROR(__xludf.DUMMYFUNCTION("""COMPUTED_VALUE"""),"6562289483820")</f>
        <v>6562289483820</v>
      </c>
      <c r="AW295" s="65">
        <f>IFERROR(__xludf.DUMMYFUNCTION("""COMPUTED_VALUE"""),6561.0)</f>
        <v>6561</v>
      </c>
      <c r="AX295" s="65"/>
      <c r="AY295" s="65"/>
      <c r="AZ295" s="65"/>
      <c r="BA295" s="65"/>
    </row>
    <row r="296">
      <c r="A296" s="65" t="str">
        <f>IFERROR(__xludf.DUMMYFUNCTION("""COMPUTED_VALUE"""),"27-03-2026")</f>
        <v>27-03-2026</v>
      </c>
      <c r="B296" s="65">
        <f>IFERROR(__xludf.DUMMYFUNCTION("""COMPUTED_VALUE"""),4724715.0)</f>
        <v>4724715</v>
      </c>
      <c r="C296" s="65" t="str">
        <f>IFERROR(__xludf.DUMMYFUNCTION("""COMPUTED_VALUE"""),"22:57")</f>
        <v>22:57</v>
      </c>
      <c r="D296" s="65" t="str">
        <f>IFERROR(__xludf.DUMMYFUNCTION("""COMPUTED_VALUE"""),"06-03-2026")</f>
        <v>06-03-2026</v>
      </c>
      <c r="E296" s="65" t="str">
        <f>IFERROR(__xludf.DUMMYFUNCTION("""COMPUTED_VALUE"""),"Favio García")</f>
        <v>Favio García</v>
      </c>
      <c r="F296" s="65" t="str">
        <f>IFERROR(__xludf.DUMMYFUNCTION("""COMPUTED_VALUE"""),"992327574")</f>
        <v>992327574</v>
      </c>
      <c r="G296" s="65" t="str">
        <f>IFERROR(__xludf.DUMMYFUNCTION("""COMPUTED_VALUE"""),"favio_bombillo1929@hotmail.com")</f>
        <v>favio_bombillo1929@hotmail.com</v>
      </c>
      <c r="H296" s="65"/>
      <c r="I296" s="65"/>
      <c r="J296" s="65"/>
      <c r="K296" s="65" t="str">
        <f>IFERROR(__xludf.DUMMYFUNCTION("""COMPUTED_VALUE"""),"CANCELADO")</f>
        <v>CANCELADO</v>
      </c>
      <c r="L296" s="65" t="str">
        <f>IFERROR(__xludf.DUMMYFUNCTION("""COMPUTED_VALUE"""),"CON RECAUDO")</f>
        <v>CON RECAUDO</v>
      </c>
      <c r="M296" s="65" t="str">
        <f>IFERROR(__xludf.DUMMYFUNCTION("""COMPUTED_VALUE"""),"ESMERALDAS")</f>
        <v>ESMERALDAS</v>
      </c>
      <c r="N296" s="65" t="str">
        <f>IFERROR(__xludf.DUMMYFUNCTION("""COMPUTED_VALUE"""),"QUININDE")</f>
        <v>QUININDE</v>
      </c>
      <c r="O296" s="65" t="str">
        <f>IFERROR(__xludf.DUMMYFUNCTION("""COMPUTED_VALUE"""),"Quininde-Servientrega Parque de la madre -")</f>
        <v>Quininde-Servientrega Parque de la madre -</v>
      </c>
      <c r="P296" s="65"/>
      <c r="Q296" s="65" t="str">
        <f>IFERROR(__xludf.DUMMYFUNCTION("""COMPUTED_VALUE"""),"GINTRACOM")</f>
        <v>GINTRACOM</v>
      </c>
      <c r="R296" s="65">
        <f>IFERROR(__xludf.DUMMYFUNCTION("""COMPUTED_VALUE"""),20.0)</f>
        <v>20</v>
      </c>
      <c r="S296" s="65"/>
      <c r="T296" s="65">
        <f>IFERROR(__xludf.DUMMYFUNCTION("""COMPUTED_VALUE"""),5.76)</f>
        <v>5.76</v>
      </c>
      <c r="U296" s="65">
        <f>IFERROR(__xludf.DUMMYFUNCTION("""COMPUTED_VALUE"""),0.0)</f>
        <v>0</v>
      </c>
      <c r="V296" s="65">
        <f>IFERROR(__xludf.DUMMYFUNCTION("""COMPUTED_VALUE"""),0.0)</f>
        <v>0</v>
      </c>
      <c r="W296" s="65">
        <f>IFERROR(__xludf.DUMMYFUNCTION("""COMPUTED_VALUE"""),0.0)</f>
        <v>0</v>
      </c>
      <c r="X296" s="65">
        <f>IFERROR(__xludf.DUMMYFUNCTION("""COMPUTED_VALUE"""),2.35)</f>
        <v>2.35</v>
      </c>
      <c r="Y296" s="65">
        <f>IFERROR(__xludf.DUMMYFUNCTION("""COMPUTED_VALUE"""),2.35)</f>
        <v>2.35</v>
      </c>
      <c r="Z296" s="65">
        <f>IFERROR(__xludf.DUMMYFUNCTION("""COMPUTED_VALUE"""),116679.0)</f>
        <v>116679</v>
      </c>
      <c r="AA296" s="65" t="str">
        <f>IFERROR(__xludf.DUMMYFUNCTION("""COMPUTED_VALUE"""),"AMC-2738")</f>
        <v>AMC-2738</v>
      </c>
      <c r="AB296" s="65"/>
      <c r="AC296" s="65" t="str">
        <f>IFERROR(__xludf.DUMMYFUNCTION("""COMPUTED_VALUE"""),"ESPONJA ANTILLUVIA DE PARABRISAS")</f>
        <v>ESPONJA ANTILLUVIA DE PARABRISAS</v>
      </c>
      <c r="AD296" s="65"/>
      <c r="AE296" s="65">
        <f>IFERROR(__xludf.DUMMYFUNCTION("""COMPUTED_VALUE"""),1.0)</f>
        <v>1</v>
      </c>
      <c r="AF296" s="65"/>
      <c r="AG296" s="65"/>
      <c r="AH296" s="65"/>
      <c r="AI296" s="65"/>
      <c r="AJ296" s="65"/>
      <c r="AK296" s="65"/>
      <c r="AL296" s="65"/>
      <c r="AM296" s="65"/>
      <c r="AN296" s="65"/>
      <c r="AO296" s="65"/>
      <c r="AP296" s="65"/>
      <c r="AQ296" s="65"/>
      <c r="AR296" s="65"/>
      <c r="AS296" s="65"/>
      <c r="AT296" s="65" t="str">
        <f>IFERROR(__xludf.DUMMYFUNCTION("""COMPUTED_VALUE"""),"SHOPIFY")</f>
        <v>SHOPIFY</v>
      </c>
      <c r="AU296" s="65" t="str">
        <f>IFERROR(__xludf.DUMMYFUNCTION("""COMPUTED_VALUE"""),"IMPORTEX EC")</f>
        <v>IMPORTEX EC</v>
      </c>
      <c r="AV296" s="65" t="str">
        <f>IFERROR(__xludf.DUMMYFUNCTION("""COMPUTED_VALUE"""),"6562197307436")</f>
        <v>6562197307436</v>
      </c>
      <c r="AW296" s="65">
        <f>IFERROR(__xludf.DUMMYFUNCTION("""COMPUTED_VALUE"""),6560.0)</f>
        <v>6560</v>
      </c>
      <c r="AX296" s="65"/>
      <c r="AY296" s="65"/>
      <c r="AZ296" s="65"/>
      <c r="BA296" s="65"/>
    </row>
    <row r="297">
      <c r="A297" s="65" t="str">
        <f>IFERROR(__xludf.DUMMYFUNCTION("""COMPUTED_VALUE"""),"27-03-2026")</f>
        <v>27-03-2026</v>
      </c>
      <c r="B297" s="65">
        <f>IFERROR(__xludf.DUMMYFUNCTION("""COMPUTED_VALUE"""),4723994.0)</f>
        <v>4723994</v>
      </c>
      <c r="C297" s="65" t="str">
        <f>IFERROR(__xludf.DUMMYFUNCTION("""COMPUTED_VALUE"""),"21:42")</f>
        <v>21:42</v>
      </c>
      <c r="D297" s="65" t="str">
        <f>IFERROR(__xludf.DUMMYFUNCTION("""COMPUTED_VALUE"""),"06-03-2026")</f>
        <v>06-03-2026</v>
      </c>
      <c r="E297" s="65" t="str">
        <f>IFERROR(__xludf.DUMMYFUNCTION("""COMPUTED_VALUE"""),"Manuel Guzmán")</f>
        <v>Manuel Guzmán</v>
      </c>
      <c r="F297" s="65" t="str">
        <f>IFERROR(__xludf.DUMMYFUNCTION("""COMPUTED_VALUE"""),"995854939")</f>
        <v>995854939</v>
      </c>
      <c r="G297" s="65" t="str">
        <f>IFERROR(__xludf.DUMMYFUNCTION("""COMPUTED_VALUE"""),"moguzmana2922@gmail.com")</f>
        <v>moguzmana2922@gmail.com</v>
      </c>
      <c r="H297" s="65"/>
      <c r="I297" s="65"/>
      <c r="J297" s="65" t="str">
        <f>IFERROR(__xludf.DUMMYFUNCTION("""COMPUTED_VALUE"""),"D001396862")</f>
        <v>D001396862</v>
      </c>
      <c r="K297" s="65" t="str">
        <f>IFERROR(__xludf.DUMMYFUNCTION("""COMPUTED_VALUE"""),"ENTREGADO")</f>
        <v>ENTREGADO</v>
      </c>
      <c r="L297" s="65" t="str">
        <f>IFERROR(__xludf.DUMMYFUNCTION("""COMPUTED_VALUE"""),"CON RECAUDO")</f>
        <v>CON RECAUDO</v>
      </c>
      <c r="M297" s="65" t="str">
        <f>IFERROR(__xludf.DUMMYFUNCTION("""COMPUTED_VALUE"""),"TUNGURAHUA")</f>
        <v>TUNGURAHUA</v>
      </c>
      <c r="N297" s="65" t="str">
        <f>IFERROR(__xludf.DUMMYFUNCTION("""COMPUTED_VALUE"""),"AMBATO")</f>
        <v>AMBATO</v>
      </c>
      <c r="O297" s="65" t="str">
        <f>IFERROR(__xludf.DUMMYFUNCTION("""COMPUTED_VALUE"""),"Ciudadela Nuevo Ambato Pasaje Rio Curaray H06 Y Rio Patate -")</f>
        <v>Ciudadela Nuevo Ambato Pasaje Rio Curaray H06 Y Rio Patate -</v>
      </c>
      <c r="P297" s="65"/>
      <c r="Q297" s="65" t="str">
        <f>IFERROR(__xludf.DUMMYFUNCTION("""COMPUTED_VALUE"""),"GINTRACOM")</f>
        <v>GINTRACOM</v>
      </c>
      <c r="R297" s="65">
        <f>IFERROR(__xludf.DUMMYFUNCTION("""COMPUTED_VALUE"""),30.0)</f>
        <v>30</v>
      </c>
      <c r="S297" s="65">
        <f>IFERROR(__xludf.DUMMYFUNCTION("""COMPUTED_VALUE"""),16.79)</f>
        <v>16.79</v>
      </c>
      <c r="T297" s="65">
        <f>IFERROR(__xludf.DUMMYFUNCTION("""COMPUTED_VALUE"""),6.16)</f>
        <v>6.16</v>
      </c>
      <c r="U297" s="65">
        <f>IFERROR(__xludf.DUMMYFUNCTION("""COMPUTED_VALUE"""),0.0)</f>
        <v>0</v>
      </c>
      <c r="V297" s="65">
        <f>IFERROR(__xludf.DUMMYFUNCTION("""COMPUTED_VALUE"""),0.0)</f>
        <v>0</v>
      </c>
      <c r="W297" s="65">
        <f>IFERROR(__xludf.DUMMYFUNCTION("""COMPUTED_VALUE"""),0.0)</f>
        <v>0</v>
      </c>
      <c r="X297" s="65">
        <f>IFERROR(__xludf.DUMMYFUNCTION("""COMPUTED_VALUE"""),2.35)</f>
        <v>2.35</v>
      </c>
      <c r="Y297" s="65">
        <f>IFERROR(__xludf.DUMMYFUNCTION("""COMPUTED_VALUE"""),7.05)</f>
        <v>7.05</v>
      </c>
      <c r="Z297" s="65">
        <f>IFERROR(__xludf.DUMMYFUNCTION("""COMPUTED_VALUE"""),116679.0)</f>
        <v>116679</v>
      </c>
      <c r="AA297" s="65" t="str">
        <f>IFERROR(__xludf.DUMMYFUNCTION("""COMPUTED_VALUE"""),"AMC-2738")</f>
        <v>AMC-2738</v>
      </c>
      <c r="AB297" s="65"/>
      <c r="AC297" s="65" t="str">
        <f>IFERROR(__xludf.DUMMYFUNCTION("""COMPUTED_VALUE"""),"ESPONJA ANTILLUVIA DE PARABRISAS")</f>
        <v>ESPONJA ANTILLUVIA DE PARABRISAS</v>
      </c>
      <c r="AD297" s="65"/>
      <c r="AE297" s="65">
        <f>IFERROR(__xludf.DUMMYFUNCTION("""COMPUTED_VALUE"""),3.0)</f>
        <v>3</v>
      </c>
      <c r="AF297" s="65"/>
      <c r="AG297" s="65"/>
      <c r="AH297" s="65"/>
      <c r="AI297" s="65"/>
      <c r="AJ297" s="65"/>
      <c r="AK297" s="65"/>
      <c r="AL297" s="65"/>
      <c r="AM297" s="65"/>
      <c r="AN297" s="65" t="str">
        <f>IFERROR(__xludf.DUMMYFUNCTION("""COMPUTED_VALUE"""),"10:01")</f>
        <v>10:01</v>
      </c>
      <c r="AO297" s="65" t="str">
        <f>IFERROR(__xludf.DUMMYFUNCTION("""COMPUTED_VALUE"""),"26-03-2026")</f>
        <v>26-03-2026</v>
      </c>
      <c r="AP297" s="65" t="str">
        <f>IFERROR(__xludf.DUMMYFUNCTION("""COMPUTED_VALUE"""),"ENTREGADA GINTRACOM")</f>
        <v>ENTREGADA GINTRACOM</v>
      </c>
      <c r="AQ297" s="65" t="str">
        <f>IFERROR(__xludf.DUMMYFUNCTION("""COMPUTED_VALUE"""),"ENTREGADA GINTRACOM")</f>
        <v>ENTREGADA GINTRACOM</v>
      </c>
      <c r="AR297" s="65"/>
      <c r="AS297" s="65"/>
      <c r="AT297" s="65" t="str">
        <f>IFERROR(__xludf.DUMMYFUNCTION("""COMPUTED_VALUE"""),"SHOPIFY")</f>
        <v>SHOPIFY</v>
      </c>
      <c r="AU297" s="65" t="str">
        <f>IFERROR(__xludf.DUMMYFUNCTION("""COMPUTED_VALUE"""),"IMPORTEX EC")</f>
        <v>IMPORTEX EC</v>
      </c>
      <c r="AV297" s="65" t="str">
        <f>IFERROR(__xludf.DUMMYFUNCTION("""COMPUTED_VALUE"""),"6562060009516")</f>
        <v>6562060009516</v>
      </c>
      <c r="AW297" s="65">
        <f>IFERROR(__xludf.DUMMYFUNCTION("""COMPUTED_VALUE"""),6558.0)</f>
        <v>6558</v>
      </c>
      <c r="AX297" s="65"/>
      <c r="AY297" s="65" t="str">
        <f>IFERROR(__xludf.DUMMYFUNCTION("""COMPUTED_VALUE"""),"09/03/2026")</f>
        <v>09/03/2026</v>
      </c>
      <c r="AZ297" s="65"/>
      <c r="BA297" s="65"/>
    </row>
    <row r="298">
      <c r="A298" s="65" t="str">
        <f>IFERROR(__xludf.DUMMYFUNCTION("""COMPUTED_VALUE"""),"27-03-2026")</f>
        <v>27-03-2026</v>
      </c>
      <c r="B298" s="65">
        <f>IFERROR(__xludf.DUMMYFUNCTION("""COMPUTED_VALUE"""),4723354.0)</f>
        <v>4723354</v>
      </c>
      <c r="C298" s="65" t="str">
        <f>IFERROR(__xludf.DUMMYFUNCTION("""COMPUTED_VALUE"""),"20:34")</f>
        <v>20:34</v>
      </c>
      <c r="D298" s="65" t="str">
        <f>IFERROR(__xludf.DUMMYFUNCTION("""COMPUTED_VALUE"""),"06-03-2026")</f>
        <v>06-03-2026</v>
      </c>
      <c r="E298" s="65" t="str">
        <f>IFERROR(__xludf.DUMMYFUNCTION("""COMPUTED_VALUE"""),"Oswaldo Agoti")</f>
        <v>Oswaldo Agoti</v>
      </c>
      <c r="F298" s="65" t="str">
        <f>IFERROR(__xludf.DUMMYFUNCTION("""COMPUTED_VALUE"""),"984051061")</f>
        <v>984051061</v>
      </c>
      <c r="G298" s="65" t="str">
        <f>IFERROR(__xludf.DUMMYFUNCTION("""COMPUTED_VALUE"""),"oswaldoargoti528@gmail.com")</f>
        <v>oswaldoargoti528@gmail.com</v>
      </c>
      <c r="H298" s="65"/>
      <c r="I298" s="65"/>
      <c r="J298" s="65"/>
      <c r="K298" s="65" t="str">
        <f>IFERROR(__xludf.DUMMYFUNCTION("""COMPUTED_VALUE"""),"CANCELADO")</f>
        <v>CANCELADO</v>
      </c>
      <c r="L298" s="65" t="str">
        <f>IFERROR(__xludf.DUMMYFUNCTION("""COMPUTED_VALUE"""),"CON RECAUDO")</f>
        <v>CON RECAUDO</v>
      </c>
      <c r="M298" s="65" t="str">
        <f>IFERROR(__xludf.DUMMYFUNCTION("""COMPUTED_VALUE"""),"PICHINCHA")</f>
        <v>PICHINCHA</v>
      </c>
      <c r="N298" s="65" t="str">
        <f>IFERROR(__xludf.DUMMYFUNCTION("""COMPUTED_VALUE"""),"QUITO")</f>
        <v>QUITO</v>
      </c>
      <c r="O298" s="65" t="str">
        <f>IFERROR(__xludf.DUMMYFUNCTION("""COMPUTED_VALUE"""),"Domingo Velandia Oe3 186 Solanda parque las Acacias -")</f>
        <v>Domingo Velandia Oe3 186 Solanda parque las Acacias -</v>
      </c>
      <c r="P298" s="65"/>
      <c r="Q298" s="65" t="str">
        <f>IFERROR(__xludf.DUMMYFUNCTION("""COMPUTED_VALUE"""),"GINTRACOM")</f>
        <v>GINTRACOM</v>
      </c>
      <c r="R298" s="65">
        <f>IFERROR(__xludf.DUMMYFUNCTION("""COMPUTED_VALUE"""),25.0)</f>
        <v>25</v>
      </c>
      <c r="S298" s="65"/>
      <c r="T298" s="65">
        <f>IFERROR(__xludf.DUMMYFUNCTION("""COMPUTED_VALUE"""),4.35)</f>
        <v>4.35</v>
      </c>
      <c r="U298" s="65">
        <f>IFERROR(__xludf.DUMMYFUNCTION("""COMPUTED_VALUE"""),0.0)</f>
        <v>0</v>
      </c>
      <c r="V298" s="65">
        <f>IFERROR(__xludf.DUMMYFUNCTION("""COMPUTED_VALUE"""),0.0)</f>
        <v>0</v>
      </c>
      <c r="W298" s="65">
        <f>IFERROR(__xludf.DUMMYFUNCTION("""COMPUTED_VALUE"""),0.0)</f>
        <v>0</v>
      </c>
      <c r="X298" s="65">
        <f>IFERROR(__xludf.DUMMYFUNCTION("""COMPUTED_VALUE"""),4.0)</f>
        <v>4</v>
      </c>
      <c r="Y298" s="65">
        <f>IFERROR(__xludf.DUMMYFUNCTION("""COMPUTED_VALUE"""),8.0)</f>
        <v>8</v>
      </c>
      <c r="Z298" s="65">
        <f>IFERROR(__xludf.DUMMYFUNCTION("""COMPUTED_VALUE"""),116882.0)</f>
        <v>116882</v>
      </c>
      <c r="AA298" s="65" t="str">
        <f>IFERROR(__xludf.DUMMYFUNCTION("""COMPUTED_VALUE"""),"IMX-00002")</f>
        <v>IMX-00002</v>
      </c>
      <c r="AB298" s="65"/>
      <c r="AC298" s="65" t="str">
        <f>IFERROR(__xludf.DUMMYFUNCTION("""COMPUTED_VALUE"""),"FILTRO DE LAVAMANOS")</f>
        <v>FILTRO DE LAVAMANOS</v>
      </c>
      <c r="AD298" s="65"/>
      <c r="AE298" s="65">
        <f>IFERROR(__xludf.DUMMYFUNCTION("""COMPUTED_VALUE"""),2.0)</f>
        <v>2</v>
      </c>
      <c r="AF298" s="65"/>
      <c r="AG298" s="65"/>
      <c r="AH298" s="65"/>
      <c r="AI298" s="65"/>
      <c r="AJ298" s="65"/>
      <c r="AK298" s="65"/>
      <c r="AL298" s="65"/>
      <c r="AM298" s="65"/>
      <c r="AN298" s="65"/>
      <c r="AO298" s="65"/>
      <c r="AP298" s="65"/>
      <c r="AQ298" s="65"/>
      <c r="AR298" s="65"/>
      <c r="AS298" s="65"/>
      <c r="AT298" s="65" t="str">
        <f>IFERROR(__xludf.DUMMYFUNCTION("""COMPUTED_VALUE"""),"SHOPIFY")</f>
        <v>SHOPIFY</v>
      </c>
      <c r="AU298" s="65" t="str">
        <f>IFERROR(__xludf.DUMMYFUNCTION("""COMPUTED_VALUE"""),"IMPORTEX EC")</f>
        <v>IMPORTEX EC</v>
      </c>
      <c r="AV298" s="65" t="str">
        <f>IFERROR(__xludf.DUMMYFUNCTION("""COMPUTED_VALUE"""),"6561943715884")</f>
        <v>6561943715884</v>
      </c>
      <c r="AW298" s="65">
        <f>IFERROR(__xludf.DUMMYFUNCTION("""COMPUTED_VALUE"""),6557.0)</f>
        <v>6557</v>
      </c>
      <c r="AX298" s="65"/>
      <c r="AY298" s="65"/>
      <c r="AZ298" s="65"/>
      <c r="BA298" s="65"/>
    </row>
    <row r="299">
      <c r="A299" s="65" t="str">
        <f>IFERROR(__xludf.DUMMYFUNCTION("""COMPUTED_VALUE"""),"27-03-2026")</f>
        <v>27-03-2026</v>
      </c>
      <c r="B299" s="65">
        <f>IFERROR(__xludf.DUMMYFUNCTION("""COMPUTED_VALUE"""),4723290.0)</f>
        <v>4723290</v>
      </c>
      <c r="C299" s="65" t="str">
        <f>IFERROR(__xludf.DUMMYFUNCTION("""COMPUTED_VALUE"""),"20:28")</f>
        <v>20:28</v>
      </c>
      <c r="D299" s="65" t="str">
        <f>IFERROR(__xludf.DUMMYFUNCTION("""COMPUTED_VALUE"""),"06-03-2026")</f>
        <v>06-03-2026</v>
      </c>
      <c r="E299" s="65" t="str">
        <f>IFERROR(__xludf.DUMMYFUNCTION("""COMPUTED_VALUE"""),"Maribel Aguilar")</f>
        <v>Maribel Aguilar</v>
      </c>
      <c r="F299" s="65" t="str">
        <f>IFERROR(__xludf.DUMMYFUNCTION("""COMPUTED_VALUE"""),"989555890")</f>
        <v>989555890</v>
      </c>
      <c r="G299" s="65" t="str">
        <f>IFERROR(__xludf.DUMMYFUNCTION("""COMPUTED_VALUE"""),"claraaguilar77@outlook.es")</f>
        <v>claraaguilar77@outlook.es</v>
      </c>
      <c r="H299" s="65"/>
      <c r="I299" s="65"/>
      <c r="J299" s="65" t="str">
        <f>IFERROR(__xludf.DUMMYFUNCTION("""COMPUTED_VALUE"""),"D001396864")</f>
        <v>D001396864</v>
      </c>
      <c r="K299" s="65" t="str">
        <f>IFERROR(__xludf.DUMMYFUNCTION("""COMPUTED_VALUE"""),"ENTREGADO")</f>
        <v>ENTREGADO</v>
      </c>
      <c r="L299" s="65" t="str">
        <f>IFERROR(__xludf.DUMMYFUNCTION("""COMPUTED_VALUE"""),"CON RECAUDO")</f>
        <v>CON RECAUDO</v>
      </c>
      <c r="M299" s="65" t="str">
        <f>IFERROR(__xludf.DUMMYFUNCTION("""COMPUTED_VALUE"""),"EL ORO")</f>
        <v>EL ORO</v>
      </c>
      <c r="N299" s="65" t="str">
        <f>IFERROR(__xludf.DUMMYFUNCTION("""COMPUTED_VALUE"""),"MACHALA")</f>
        <v>MACHALA</v>
      </c>
      <c r="O299" s="65" t="str">
        <f>IFERROR(__xludf.DUMMYFUNCTION("""COMPUTED_VALUE"""),"Marcel laneado y 9 oeste Cdla de los profesores, frente Hospital Espeganza, manzana 3 villa 36, casa de la Sra. Lorena Aguilar.")</f>
        <v>Marcel laneado y 9 oeste Cdla de los profesores, frente Hospital Espeganza, manzana 3 villa 36, casa de la Sra. Lorena Aguilar.</v>
      </c>
      <c r="P299" s="65"/>
      <c r="Q299" s="65" t="str">
        <f>IFERROR(__xludf.DUMMYFUNCTION("""COMPUTED_VALUE"""),"GINTRACOM")</f>
        <v>GINTRACOM</v>
      </c>
      <c r="R299" s="65">
        <f>IFERROR(__xludf.DUMMYFUNCTION("""COMPUTED_VALUE"""),25.0)</f>
        <v>25</v>
      </c>
      <c r="S299" s="65">
        <f>IFERROR(__xludf.DUMMYFUNCTION("""COMPUTED_VALUE"""),14.34)</f>
        <v>14.34</v>
      </c>
      <c r="T299" s="65">
        <f>IFERROR(__xludf.DUMMYFUNCTION("""COMPUTED_VALUE"""),5.96)</f>
        <v>5.96</v>
      </c>
      <c r="U299" s="65">
        <f>IFERROR(__xludf.DUMMYFUNCTION("""COMPUTED_VALUE"""),0.0)</f>
        <v>0</v>
      </c>
      <c r="V299" s="65">
        <f>IFERROR(__xludf.DUMMYFUNCTION("""COMPUTED_VALUE"""),0.0)</f>
        <v>0</v>
      </c>
      <c r="W299" s="65">
        <f>IFERROR(__xludf.DUMMYFUNCTION("""COMPUTED_VALUE"""),0.0)</f>
        <v>0</v>
      </c>
      <c r="X299" s="65">
        <f>IFERROR(__xludf.DUMMYFUNCTION("""COMPUTED_VALUE"""),2.35)</f>
        <v>2.35</v>
      </c>
      <c r="Y299" s="65">
        <f>IFERROR(__xludf.DUMMYFUNCTION("""COMPUTED_VALUE"""),4.7)</f>
        <v>4.7</v>
      </c>
      <c r="Z299" s="65">
        <f>IFERROR(__xludf.DUMMYFUNCTION("""COMPUTED_VALUE"""),116679.0)</f>
        <v>116679</v>
      </c>
      <c r="AA299" s="65" t="str">
        <f>IFERROR(__xludf.DUMMYFUNCTION("""COMPUTED_VALUE"""),"AMC-2738")</f>
        <v>AMC-2738</v>
      </c>
      <c r="AB299" s="65"/>
      <c r="AC299" s="65" t="str">
        <f>IFERROR(__xludf.DUMMYFUNCTION("""COMPUTED_VALUE"""),"ESPONJA ANTILLUVIA DE PARABRISAS")</f>
        <v>ESPONJA ANTILLUVIA DE PARABRISAS</v>
      </c>
      <c r="AD299" s="65"/>
      <c r="AE299" s="65">
        <f>IFERROR(__xludf.DUMMYFUNCTION("""COMPUTED_VALUE"""),2.0)</f>
        <v>2</v>
      </c>
      <c r="AF299" s="65"/>
      <c r="AG299" s="65"/>
      <c r="AH299" s="65"/>
      <c r="AI299" s="65"/>
      <c r="AJ299" s="65"/>
      <c r="AK299" s="65"/>
      <c r="AL299" s="65"/>
      <c r="AM299" s="65"/>
      <c r="AN299" s="65" t="str">
        <f>IFERROR(__xludf.DUMMYFUNCTION("""COMPUTED_VALUE"""),"01:31")</f>
        <v>01:31</v>
      </c>
      <c r="AO299" s="65" t="str">
        <f>IFERROR(__xludf.DUMMYFUNCTION("""COMPUTED_VALUE"""),"11-03-2026")</f>
        <v>11-03-2026</v>
      </c>
      <c r="AP299" s="65" t="str">
        <f>IFERROR(__xludf.DUMMYFUNCTION("""COMPUTED_VALUE"""),"EN TRÁNSITO")</f>
        <v>EN TRÁNSITO</v>
      </c>
      <c r="AQ299" s="65" t="str">
        <f>IFERROR(__xludf.DUMMYFUNCTION("""COMPUTED_VALUE"""),"EN TRÁNSITO")</f>
        <v>EN TRÁNSITO</v>
      </c>
      <c r="AR299" s="65"/>
      <c r="AS299" s="65"/>
      <c r="AT299" s="65" t="str">
        <f>IFERROR(__xludf.DUMMYFUNCTION("""COMPUTED_VALUE"""),"SHOPIFY")</f>
        <v>SHOPIFY</v>
      </c>
      <c r="AU299" s="65" t="str">
        <f>IFERROR(__xludf.DUMMYFUNCTION("""COMPUTED_VALUE"""),"IMPORTEX EC")</f>
        <v>IMPORTEX EC</v>
      </c>
      <c r="AV299" s="65" t="str">
        <f>IFERROR(__xludf.DUMMYFUNCTION("""COMPUTED_VALUE"""),"6561933688876")</f>
        <v>6561933688876</v>
      </c>
      <c r="AW299" s="65">
        <f>IFERROR(__xludf.DUMMYFUNCTION("""COMPUTED_VALUE"""),6556.0)</f>
        <v>6556</v>
      </c>
      <c r="AX299" s="65"/>
      <c r="AY299" s="65" t="str">
        <f>IFERROR(__xludf.DUMMYFUNCTION("""COMPUTED_VALUE"""),"09/03/2026")</f>
        <v>09/03/2026</v>
      </c>
      <c r="AZ299" s="65"/>
      <c r="BA299" s="65"/>
    </row>
    <row r="300">
      <c r="A300" s="65" t="str">
        <f>IFERROR(__xludf.DUMMYFUNCTION("""COMPUTED_VALUE"""),"27-03-2026")</f>
        <v>27-03-2026</v>
      </c>
      <c r="B300" s="65">
        <f>IFERROR(__xludf.DUMMYFUNCTION("""COMPUTED_VALUE"""),4722961.0)</f>
        <v>4722961</v>
      </c>
      <c r="C300" s="65" t="str">
        <f>IFERROR(__xludf.DUMMYFUNCTION("""COMPUTED_VALUE"""),"19:43")</f>
        <v>19:43</v>
      </c>
      <c r="D300" s="65" t="str">
        <f>IFERROR(__xludf.DUMMYFUNCTION("""COMPUTED_VALUE"""),"06-03-2026")</f>
        <v>06-03-2026</v>
      </c>
      <c r="E300" s="65" t="str">
        <f>IFERROR(__xludf.DUMMYFUNCTION("""COMPUTED_VALUE"""),"Marilyn Mera")</f>
        <v>Marilyn Mera</v>
      </c>
      <c r="F300" s="65" t="str">
        <f>IFERROR(__xludf.DUMMYFUNCTION("""COMPUTED_VALUE"""),"986725948")</f>
        <v>986725948</v>
      </c>
      <c r="G300" s="65" t="str">
        <f>IFERROR(__xludf.DUMMYFUNCTION("""COMPUTED_VALUE"""),"evelynmera94@gmail.com")</f>
        <v>evelynmera94@gmail.com</v>
      </c>
      <c r="H300" s="65"/>
      <c r="I300" s="65"/>
      <c r="J300" s="65"/>
      <c r="K300" s="65" t="str">
        <f>IFERROR(__xludf.DUMMYFUNCTION("""COMPUTED_VALUE"""),"PENDIENTE CONFIRMACION")</f>
        <v>PENDIENTE CONFIRMACION</v>
      </c>
      <c r="L300" s="65" t="str">
        <f>IFERROR(__xludf.DUMMYFUNCTION("""COMPUTED_VALUE"""),"CON RECAUDO")</f>
        <v>CON RECAUDO</v>
      </c>
      <c r="M300" s="65" t="str">
        <f>IFERROR(__xludf.DUMMYFUNCTION("""COMPUTED_VALUE"""),"MANABI")</f>
        <v>MANABI</v>
      </c>
      <c r="N300" s="65" t="str">
        <f>IFERROR(__xludf.DUMMYFUNCTION("""COMPUTED_VALUE"""),"MANTA")</f>
        <v>MANTA</v>
      </c>
      <c r="O300" s="65" t="str">
        <f>IFERROR(__xludf.DUMMYFUNCTION("""COMPUTED_VALUE"""),"Manta, Calle 12 Av 43, Callejón E La Epoca, ingresando por redondel frente a universidad, tienda Pablo pintada color azul Pepsi. -")</f>
        <v>Manta, Calle 12 Av 43, Callejón E La Epoca, ingresando por redondel frente a universidad, tienda Pablo pintada color azul Pepsi. -</v>
      </c>
      <c r="P300" s="65"/>
      <c r="Q300" s="65" t="str">
        <f>IFERROR(__xludf.DUMMYFUNCTION("""COMPUTED_VALUE"""),"GINTRACOM")</f>
        <v>GINTRACOM</v>
      </c>
      <c r="R300" s="65">
        <f>IFERROR(__xludf.DUMMYFUNCTION("""COMPUTED_VALUE"""),30.0)</f>
        <v>30</v>
      </c>
      <c r="S300" s="65"/>
      <c r="T300" s="65">
        <f>IFERROR(__xludf.DUMMYFUNCTION("""COMPUTED_VALUE"""),6.16)</f>
        <v>6.16</v>
      </c>
      <c r="U300" s="65">
        <f>IFERROR(__xludf.DUMMYFUNCTION("""COMPUTED_VALUE"""),0.0)</f>
        <v>0</v>
      </c>
      <c r="V300" s="65">
        <f>IFERROR(__xludf.DUMMYFUNCTION("""COMPUTED_VALUE"""),0.0)</f>
        <v>0</v>
      </c>
      <c r="W300" s="65">
        <f>IFERROR(__xludf.DUMMYFUNCTION("""COMPUTED_VALUE"""),0.0)</f>
        <v>0</v>
      </c>
      <c r="X300" s="65">
        <f>IFERROR(__xludf.DUMMYFUNCTION("""COMPUTED_VALUE"""),2.35)</f>
        <v>2.35</v>
      </c>
      <c r="Y300" s="65">
        <f>IFERROR(__xludf.DUMMYFUNCTION("""COMPUTED_VALUE"""),7.05)</f>
        <v>7.05</v>
      </c>
      <c r="Z300" s="65">
        <f>IFERROR(__xludf.DUMMYFUNCTION("""COMPUTED_VALUE"""),116679.0)</f>
        <v>116679</v>
      </c>
      <c r="AA300" s="65" t="str">
        <f>IFERROR(__xludf.DUMMYFUNCTION("""COMPUTED_VALUE"""),"AMC-2738")</f>
        <v>AMC-2738</v>
      </c>
      <c r="AB300" s="65"/>
      <c r="AC300" s="65" t="str">
        <f>IFERROR(__xludf.DUMMYFUNCTION("""COMPUTED_VALUE"""),"ESPONJA ANTILLUVIA DE PARABRISAS")</f>
        <v>ESPONJA ANTILLUVIA DE PARABRISAS</v>
      </c>
      <c r="AD300" s="65"/>
      <c r="AE300" s="65">
        <f>IFERROR(__xludf.DUMMYFUNCTION("""COMPUTED_VALUE"""),3.0)</f>
        <v>3</v>
      </c>
      <c r="AF300" s="65"/>
      <c r="AG300" s="65"/>
      <c r="AH300" s="65"/>
      <c r="AI300" s="65"/>
      <c r="AJ300" s="65"/>
      <c r="AK300" s="65"/>
      <c r="AL300" s="65"/>
      <c r="AM300" s="65"/>
      <c r="AN300" s="65"/>
      <c r="AO300" s="65"/>
      <c r="AP300" s="65"/>
      <c r="AQ300" s="65"/>
      <c r="AR300" s="65"/>
      <c r="AS300" s="65"/>
      <c r="AT300" s="65" t="str">
        <f>IFERROR(__xludf.DUMMYFUNCTION("""COMPUTED_VALUE"""),"SHOPIFY")</f>
        <v>SHOPIFY</v>
      </c>
      <c r="AU300" s="65" t="str">
        <f>IFERROR(__xludf.DUMMYFUNCTION("""COMPUTED_VALUE"""),"IMPORTEX EC")</f>
        <v>IMPORTEX EC</v>
      </c>
      <c r="AV300" s="65" t="str">
        <f>IFERROR(__xludf.DUMMYFUNCTION("""COMPUTED_VALUE"""),"6561842462764")</f>
        <v>6561842462764</v>
      </c>
      <c r="AW300" s="65">
        <f>IFERROR(__xludf.DUMMYFUNCTION("""COMPUTED_VALUE"""),6555.0)</f>
        <v>6555</v>
      </c>
      <c r="AX300" s="65"/>
      <c r="AY300" s="65"/>
      <c r="AZ300" s="65"/>
      <c r="BA300" s="65"/>
    </row>
    <row r="301">
      <c r="A301" s="65" t="str">
        <f>IFERROR(__xludf.DUMMYFUNCTION("""COMPUTED_VALUE"""),"27-03-2026")</f>
        <v>27-03-2026</v>
      </c>
      <c r="B301" s="65">
        <f>IFERROR(__xludf.DUMMYFUNCTION("""COMPUTED_VALUE"""),4722934.0)</f>
        <v>4722934</v>
      </c>
      <c r="C301" s="65" t="str">
        <f>IFERROR(__xludf.DUMMYFUNCTION("""COMPUTED_VALUE"""),"19:38")</f>
        <v>19:38</v>
      </c>
      <c r="D301" s="65" t="str">
        <f>IFERROR(__xludf.DUMMYFUNCTION("""COMPUTED_VALUE"""),"06-03-2026")</f>
        <v>06-03-2026</v>
      </c>
      <c r="E301" s="65" t="str">
        <f>IFERROR(__xludf.DUMMYFUNCTION("""COMPUTED_VALUE"""),"Tomás Alarcón")</f>
        <v>Tomás Alarcón</v>
      </c>
      <c r="F301" s="65" t="str">
        <f>IFERROR(__xludf.DUMMYFUNCTION("""COMPUTED_VALUE"""),"997189271")</f>
        <v>997189271</v>
      </c>
      <c r="G301" s="65" t="str">
        <f>IFERROR(__xludf.DUMMYFUNCTION("""COMPUTED_VALUE"""),"jennyjanethortizgomez@hotmail.com")</f>
        <v>jennyjanethortizgomez@hotmail.com</v>
      </c>
      <c r="H301" s="65"/>
      <c r="I301" s="65"/>
      <c r="J301" s="65" t="str">
        <f>IFERROR(__xludf.DUMMYFUNCTION("""COMPUTED_VALUE"""),"D001396867")</f>
        <v>D001396867</v>
      </c>
      <c r="K301" s="65" t="str">
        <f>IFERROR(__xludf.DUMMYFUNCTION("""COMPUTED_VALUE"""),"DEVOLUCION")</f>
        <v>DEVOLUCION</v>
      </c>
      <c r="L301" s="65" t="str">
        <f>IFERROR(__xludf.DUMMYFUNCTION("""COMPUTED_VALUE"""),"CON RECAUDO")</f>
        <v>CON RECAUDO</v>
      </c>
      <c r="M301" s="65" t="str">
        <f>IFERROR(__xludf.DUMMYFUNCTION("""COMPUTED_VALUE"""),"GUAYAS")</f>
        <v>GUAYAS</v>
      </c>
      <c r="N301" s="65" t="str">
        <f>IFERROR(__xludf.DUMMYFUNCTION("""COMPUTED_VALUE"""),"GUAYAQUIL")</f>
        <v>GUAYAQUIL</v>
      </c>
      <c r="O301" s="65" t="str">
        <f>IFERROR(__xludf.DUMMYFUNCTION("""COMPUTED_VALUE"""),"Av. 29 y Segundo Paseo 48 Entrada a Trinipuerto diagonal al Comisariato del Constructor al lado de la Unidad Educativa Isla Seymour -")</f>
        <v>Av. 29 y Segundo Paseo 48 Entrada a Trinipuerto diagonal al Comisariato del Constructor al lado de la Unidad Educativa Isla Seymour -</v>
      </c>
      <c r="P301" s="65"/>
      <c r="Q301" s="65" t="str">
        <f>IFERROR(__xludf.DUMMYFUNCTION("""COMPUTED_VALUE"""),"GINTRACOM")</f>
        <v>GINTRACOM</v>
      </c>
      <c r="R301" s="65">
        <f>IFERROR(__xludf.DUMMYFUNCTION("""COMPUTED_VALUE"""),25.0)</f>
        <v>25</v>
      </c>
      <c r="S301" s="65"/>
      <c r="T301" s="65">
        <f>IFERROR(__xludf.DUMMYFUNCTION("""COMPUTED_VALUE"""),5.96)</f>
        <v>5.96</v>
      </c>
      <c r="U301" s="65">
        <f>IFERROR(__xludf.DUMMYFUNCTION("""COMPUTED_VALUE"""),0.0)</f>
        <v>0</v>
      </c>
      <c r="V301" s="65">
        <f>IFERROR(__xludf.DUMMYFUNCTION("""COMPUTED_VALUE"""),0.0)</f>
        <v>0</v>
      </c>
      <c r="W301" s="65">
        <f>IFERROR(__xludf.DUMMYFUNCTION("""COMPUTED_VALUE"""),0.0)</f>
        <v>0</v>
      </c>
      <c r="X301" s="65">
        <f>IFERROR(__xludf.DUMMYFUNCTION("""COMPUTED_VALUE"""),2.35)</f>
        <v>2.35</v>
      </c>
      <c r="Y301" s="65">
        <f>IFERROR(__xludf.DUMMYFUNCTION("""COMPUTED_VALUE"""),4.7)</f>
        <v>4.7</v>
      </c>
      <c r="Z301" s="65">
        <f>IFERROR(__xludf.DUMMYFUNCTION("""COMPUTED_VALUE"""),116679.0)</f>
        <v>116679</v>
      </c>
      <c r="AA301" s="65" t="str">
        <f>IFERROR(__xludf.DUMMYFUNCTION("""COMPUTED_VALUE"""),"AMC-2738")</f>
        <v>AMC-2738</v>
      </c>
      <c r="AB301" s="65"/>
      <c r="AC301" s="65" t="str">
        <f>IFERROR(__xludf.DUMMYFUNCTION("""COMPUTED_VALUE"""),"ESPONJA ANTILLUVIA DE PARABRISAS")</f>
        <v>ESPONJA ANTILLUVIA DE PARABRISAS</v>
      </c>
      <c r="AD301" s="65"/>
      <c r="AE301" s="65">
        <f>IFERROR(__xludf.DUMMYFUNCTION("""COMPUTED_VALUE"""),2.0)</f>
        <v>2</v>
      </c>
      <c r="AF301" s="65" t="str">
        <f>IFERROR(__xludf.DUMMYFUNCTION("""COMPUTED_VALUE"""),"DESTINATARIO NO CONTESTA LLAMADAS NI WHATSAPP")</f>
        <v>DESTINATARIO NO CONTESTA LLAMADAS NI WHATSAPP</v>
      </c>
      <c r="AG301" s="65" t="str">
        <f>IFERROR(__xludf.DUMMYFUNCTION("""COMPUTED_VALUE"""),"NO")</f>
        <v>NO</v>
      </c>
      <c r="AH301" s="65" t="str">
        <f>IFERROR(__xludf.DUMMYFUNCTION("""COMPUTED_VALUE"""),"09:00")</f>
        <v>09:00</v>
      </c>
      <c r="AI301" s="65" t="str">
        <f>IFERROR(__xludf.DUMMYFUNCTION("""COMPUTED_VALUE"""),"19-03-2026")</f>
        <v>19-03-2026</v>
      </c>
      <c r="AJ301" s="65"/>
      <c r="AK301" s="65"/>
      <c r="AL301" s="65"/>
      <c r="AM301" s="65"/>
      <c r="AN301" s="65" t="str">
        <f>IFERROR(__xludf.DUMMYFUNCTION("""COMPUTED_VALUE"""),"15:33")</f>
        <v>15:33</v>
      </c>
      <c r="AO301" s="65" t="str">
        <f>IFERROR(__xludf.DUMMYFUNCTION("""COMPUTED_VALUE"""),"26-03-2026")</f>
        <v>26-03-2026</v>
      </c>
      <c r="AP301" s="65" t="str">
        <f>IFERROR(__xludf.DUMMYFUNCTION("""COMPUTED_VALUE"""),"DEVOLUCIÓN ENTREGADA A ORIGEN")</f>
        <v>DEVOLUCIÓN ENTREGADA A ORIGEN</v>
      </c>
      <c r="AQ301" s="65" t="str">
        <f>IFERROR(__xludf.DUMMYFUNCTION("""COMPUTED_VALUE"""),"DEVOLUCIÓN ENTREGADA A ORIGEN")</f>
        <v>DEVOLUCIÓN ENTREGADA A ORIGEN</v>
      </c>
      <c r="AR301" s="65"/>
      <c r="AS301" s="65"/>
      <c r="AT301" s="65" t="str">
        <f>IFERROR(__xludf.DUMMYFUNCTION("""COMPUTED_VALUE"""),"SHOPIFY")</f>
        <v>SHOPIFY</v>
      </c>
      <c r="AU301" s="65" t="str">
        <f>IFERROR(__xludf.DUMMYFUNCTION("""COMPUTED_VALUE"""),"IMPORTEX EC")</f>
        <v>IMPORTEX EC</v>
      </c>
      <c r="AV301" s="65" t="str">
        <f>IFERROR(__xludf.DUMMYFUNCTION("""COMPUTED_VALUE"""),"6561835876396")</f>
        <v>6561835876396</v>
      </c>
      <c r="AW301" s="65">
        <f>IFERROR(__xludf.DUMMYFUNCTION("""COMPUTED_VALUE"""),6554.0)</f>
        <v>6554</v>
      </c>
      <c r="AX301" s="65"/>
      <c r="AY301" s="65" t="str">
        <f>IFERROR(__xludf.DUMMYFUNCTION("""COMPUTED_VALUE"""),"09/03/2026")</f>
        <v>09/03/2026</v>
      </c>
      <c r="AZ301" s="65"/>
      <c r="BA301" s="65"/>
    </row>
    <row r="302">
      <c r="A302" s="65" t="str">
        <f>IFERROR(__xludf.DUMMYFUNCTION("""COMPUTED_VALUE"""),"27-03-2026")</f>
        <v>27-03-2026</v>
      </c>
      <c r="B302" s="65">
        <f>IFERROR(__xludf.DUMMYFUNCTION("""COMPUTED_VALUE"""),4722368.0)</f>
        <v>4722368</v>
      </c>
      <c r="C302" s="65" t="str">
        <f>IFERROR(__xludf.DUMMYFUNCTION("""COMPUTED_VALUE"""),"18:13")</f>
        <v>18:13</v>
      </c>
      <c r="D302" s="65" t="str">
        <f>IFERROR(__xludf.DUMMYFUNCTION("""COMPUTED_VALUE"""),"06-03-2026")</f>
        <v>06-03-2026</v>
      </c>
      <c r="E302" s="65" t="str">
        <f>IFERROR(__xludf.DUMMYFUNCTION("""COMPUTED_VALUE"""),"Alberto Yajamin")</f>
        <v>Alberto Yajamin</v>
      </c>
      <c r="F302" s="65" t="str">
        <f>IFERROR(__xludf.DUMMYFUNCTION("""COMPUTED_VALUE"""),"981574916")</f>
        <v>981574916</v>
      </c>
      <c r="G302" s="65" t="str">
        <f>IFERROR(__xludf.DUMMYFUNCTION("""COMPUTED_VALUE"""),"albertoyajamin71@gmail.com")</f>
        <v>albertoyajamin71@gmail.com</v>
      </c>
      <c r="H302" s="65"/>
      <c r="I302" s="65"/>
      <c r="J302" s="65"/>
      <c r="K302" s="65" t="str">
        <f>IFERROR(__xludf.DUMMYFUNCTION("""COMPUTED_VALUE"""),"PENDIENTE CONFIRMACION")</f>
        <v>PENDIENTE CONFIRMACION</v>
      </c>
      <c r="L302" s="65" t="str">
        <f>IFERROR(__xludf.DUMMYFUNCTION("""COMPUTED_VALUE"""),"CON RECAUDO")</f>
        <v>CON RECAUDO</v>
      </c>
      <c r="M302" s="65" t="str">
        <f>IFERROR(__xludf.DUMMYFUNCTION("""COMPUTED_VALUE"""),"PICHINCHA")</f>
        <v>PICHINCHA</v>
      </c>
      <c r="N302" s="65" t="str">
        <f>IFERROR(__xludf.DUMMYFUNCTION("""COMPUTED_VALUE"""),"QUITO")</f>
        <v>QUITO</v>
      </c>
      <c r="O302" s="65" t="str">
        <f>IFERROR(__xludf.DUMMYFUNCTION("""COMPUTED_VALUE"""),"23 de abril 23 de abril y miramelinda -")</f>
        <v>23 de abril 23 de abril y miramelinda -</v>
      </c>
      <c r="P302" s="65"/>
      <c r="Q302" s="65" t="str">
        <f>IFERROR(__xludf.DUMMYFUNCTION("""COMPUTED_VALUE"""),"GINTRACOM")</f>
        <v>GINTRACOM</v>
      </c>
      <c r="R302" s="65">
        <f>IFERROR(__xludf.DUMMYFUNCTION("""COMPUTED_VALUE"""),27.99)</f>
        <v>27.99</v>
      </c>
      <c r="S302" s="65"/>
      <c r="T302" s="65">
        <f>IFERROR(__xludf.DUMMYFUNCTION("""COMPUTED_VALUE"""),4.47)</f>
        <v>4.47</v>
      </c>
      <c r="U302" s="65">
        <f>IFERROR(__xludf.DUMMYFUNCTION("""COMPUTED_VALUE"""),0.0)</f>
        <v>0</v>
      </c>
      <c r="V302" s="65">
        <f>IFERROR(__xludf.DUMMYFUNCTION("""COMPUTED_VALUE"""),0.0)</f>
        <v>0</v>
      </c>
      <c r="W302" s="65">
        <f>IFERROR(__xludf.DUMMYFUNCTION("""COMPUTED_VALUE"""),0.0)</f>
        <v>0</v>
      </c>
      <c r="X302" s="65">
        <f>IFERROR(__xludf.DUMMYFUNCTION("""COMPUTED_VALUE"""),5.0)</f>
        <v>5</v>
      </c>
      <c r="Y302" s="65">
        <f>IFERROR(__xludf.DUMMYFUNCTION("""COMPUTED_VALUE"""),15.0)</f>
        <v>15</v>
      </c>
      <c r="Z302" s="65">
        <f>IFERROR(__xludf.DUMMYFUNCTION("""COMPUTED_VALUE"""),130492.0)</f>
        <v>130492</v>
      </c>
      <c r="AA302" s="65" t="str">
        <f>IFERROR(__xludf.DUMMYFUNCTION("""COMPUTED_VALUE"""),"IMX-00006")</f>
        <v>IMX-00006</v>
      </c>
      <c r="AB302" s="65"/>
      <c r="AC302" s="65" t="str">
        <f>IFERROR(__xludf.DUMMYFUNCTION("""COMPUTED_VALUE"""),"Receptor Bluetooth")</f>
        <v>Receptor Bluetooth</v>
      </c>
      <c r="AD302" s="65"/>
      <c r="AE302" s="65">
        <f>IFERROR(__xludf.DUMMYFUNCTION("""COMPUTED_VALUE"""),3.0)</f>
        <v>3</v>
      </c>
      <c r="AF302" s="65"/>
      <c r="AG302" s="65"/>
      <c r="AH302" s="65"/>
      <c r="AI302" s="65"/>
      <c r="AJ302" s="65"/>
      <c r="AK302" s="65"/>
      <c r="AL302" s="65"/>
      <c r="AM302" s="65"/>
      <c r="AN302" s="65"/>
      <c r="AO302" s="65"/>
      <c r="AP302" s="65"/>
      <c r="AQ302" s="65"/>
      <c r="AR302" s="65"/>
      <c r="AS302" s="65"/>
      <c r="AT302" s="65" t="str">
        <f>IFERROR(__xludf.DUMMYFUNCTION("""COMPUTED_VALUE"""),"SHOPIFY")</f>
        <v>SHOPIFY</v>
      </c>
      <c r="AU302" s="65" t="str">
        <f>IFERROR(__xludf.DUMMYFUNCTION("""COMPUTED_VALUE"""),"IMPORTEX EC")</f>
        <v>IMPORTEX EC</v>
      </c>
      <c r="AV302" s="65" t="str">
        <f>IFERROR(__xludf.DUMMYFUNCTION("""COMPUTED_VALUE"""),"6561695236140")</f>
        <v>6561695236140</v>
      </c>
      <c r="AW302" s="65">
        <f>IFERROR(__xludf.DUMMYFUNCTION("""COMPUTED_VALUE"""),6553.0)</f>
        <v>6553</v>
      </c>
      <c r="AX302" s="65"/>
      <c r="AY302" s="65"/>
      <c r="AZ302" s="65"/>
      <c r="BA302" s="65"/>
    </row>
    <row r="303">
      <c r="A303" s="65" t="str">
        <f>IFERROR(__xludf.DUMMYFUNCTION("""COMPUTED_VALUE"""),"27-03-2026")</f>
        <v>27-03-2026</v>
      </c>
      <c r="B303" s="65">
        <f>IFERROR(__xludf.DUMMYFUNCTION("""COMPUTED_VALUE"""),4721478.0)</f>
        <v>4721478</v>
      </c>
      <c r="C303" s="65" t="str">
        <f>IFERROR(__xludf.DUMMYFUNCTION("""COMPUTED_VALUE"""),"16:25")</f>
        <v>16:25</v>
      </c>
      <c r="D303" s="65" t="str">
        <f>IFERROR(__xludf.DUMMYFUNCTION("""COMPUTED_VALUE"""),"06-03-2026")</f>
        <v>06-03-2026</v>
      </c>
      <c r="E303" s="65" t="str">
        <f>IFERROR(__xludf.DUMMYFUNCTION("""COMPUTED_VALUE"""),"Galo Catucuamba")</f>
        <v>Galo Catucuamba</v>
      </c>
      <c r="F303" s="65" t="str">
        <f>IFERROR(__xludf.DUMMYFUNCTION("""COMPUTED_VALUE"""),"990856023")</f>
        <v>990856023</v>
      </c>
      <c r="G303" s="65"/>
      <c r="H303" s="65"/>
      <c r="I303" s="65"/>
      <c r="J303" s="65" t="str">
        <f>IFERROR(__xludf.DUMMYFUNCTION("""COMPUTED_VALUE"""),"186632658")</f>
        <v>186632658</v>
      </c>
      <c r="K303" s="65" t="str">
        <f>IFERROR(__xludf.DUMMYFUNCTION("""COMPUTED_VALUE"""),"ENTREGADO")</f>
        <v>ENTREGADO</v>
      </c>
      <c r="L303" s="65" t="str">
        <f>IFERROR(__xludf.DUMMYFUNCTION("""COMPUTED_VALUE"""),"CON RECAUDO")</f>
        <v>CON RECAUDO</v>
      </c>
      <c r="M303" s="65" t="str">
        <f>IFERROR(__xludf.DUMMYFUNCTION("""COMPUTED_VALUE"""),"PICHINCHA")</f>
        <v>PICHINCHA</v>
      </c>
      <c r="N303" s="65" t="str">
        <f>IFERROR(__xludf.DUMMYFUNCTION("""COMPUTED_VALUE"""),"CAYAMBE")</f>
        <v>CAYAMBE</v>
      </c>
      <c r="O303" s="65" t="str">
        <f>IFERROR(__xludf.DUMMYFUNCTION("""COMPUTED_VALUE"""),"Retira en CS: CAYAMBE PRINCIPAL -  ASCAZUBI N5-97 E IMBABURA")</f>
        <v>Retira en CS: CAYAMBE PRINCIPAL -  ASCAZUBI N5-97 E IMBABURA</v>
      </c>
      <c r="P303" s="65"/>
      <c r="Q303" s="65" t="str">
        <f>IFERROR(__xludf.DUMMYFUNCTION("""COMPUTED_VALUE"""),"SERVIENTREGA")</f>
        <v>SERVIENTREGA</v>
      </c>
      <c r="R303" s="65">
        <f>IFERROR(__xludf.DUMMYFUNCTION("""COMPUTED_VALUE"""),27.99)</f>
        <v>27.99</v>
      </c>
      <c r="S303" s="65">
        <f>IFERROR(__xludf.DUMMYFUNCTION("""COMPUTED_VALUE"""),7.24)</f>
        <v>7.24</v>
      </c>
      <c r="T303" s="65">
        <f>IFERROR(__xludf.DUMMYFUNCTION("""COMPUTED_VALUE"""),5.75)</f>
        <v>5.75</v>
      </c>
      <c r="U303" s="65">
        <f>IFERROR(__xludf.DUMMYFUNCTION("""COMPUTED_VALUE"""),0.0)</f>
        <v>0</v>
      </c>
      <c r="V303" s="65">
        <f>IFERROR(__xludf.DUMMYFUNCTION("""COMPUTED_VALUE"""),0.0)</f>
        <v>0</v>
      </c>
      <c r="W303" s="65">
        <f>IFERROR(__xludf.DUMMYFUNCTION("""COMPUTED_VALUE"""),0.0)</f>
        <v>0</v>
      </c>
      <c r="X303" s="65">
        <f>IFERROR(__xludf.DUMMYFUNCTION("""COMPUTED_VALUE"""),5.0)</f>
        <v>5</v>
      </c>
      <c r="Y303" s="65">
        <f>IFERROR(__xludf.DUMMYFUNCTION("""COMPUTED_VALUE"""),15.0)</f>
        <v>15</v>
      </c>
      <c r="Z303" s="65">
        <f>IFERROR(__xludf.DUMMYFUNCTION("""COMPUTED_VALUE"""),130492.0)</f>
        <v>130492</v>
      </c>
      <c r="AA303" s="65" t="str">
        <f>IFERROR(__xludf.DUMMYFUNCTION("""COMPUTED_VALUE"""),"IMX-00006")</f>
        <v>IMX-00006</v>
      </c>
      <c r="AB303" s="65"/>
      <c r="AC303" s="65" t="str">
        <f>IFERROR(__xludf.DUMMYFUNCTION("""COMPUTED_VALUE"""),"Receptor Bluetooth")</f>
        <v>Receptor Bluetooth</v>
      </c>
      <c r="AD303" s="65"/>
      <c r="AE303" s="65">
        <f>IFERROR(__xludf.DUMMYFUNCTION("""COMPUTED_VALUE"""),3.0)</f>
        <v>3</v>
      </c>
      <c r="AF303" s="65"/>
      <c r="AG303" s="65"/>
      <c r="AH303" s="65"/>
      <c r="AI303" s="65"/>
      <c r="AJ303" s="65"/>
      <c r="AK303" s="65"/>
      <c r="AL303" s="65"/>
      <c r="AM303" s="65"/>
      <c r="AN303" s="65" t="str">
        <f>IFERROR(__xludf.DUMMYFUNCTION("""COMPUTED_VALUE"""),"13:36")</f>
        <v>13:36</v>
      </c>
      <c r="AO303" s="65" t="str">
        <f>IFERROR(__xludf.DUMMYFUNCTION("""COMPUTED_VALUE"""),"19-03-2026")</f>
        <v>19-03-2026</v>
      </c>
      <c r="AP303" s="65" t="str">
        <f>IFERROR(__xludf.DUMMYFUNCTION("""COMPUTED_VALUE"""),"ENTREGA DIGITALIZADA EN CENTRO LOGISTICO")</f>
        <v>ENTREGA DIGITALIZADA EN CENTRO LOGISTICO</v>
      </c>
      <c r="AQ303" s="65" t="str">
        <f>IFERROR(__xludf.DUMMYFUNCTION("""COMPUTED_VALUE"""),"GALO CATUCUAMBA")</f>
        <v>GALO CATUCUAMBA</v>
      </c>
      <c r="AR303" s="65"/>
      <c r="AS303" s="65"/>
      <c r="AT303" s="65" t="str">
        <f>IFERROR(__xludf.DUMMYFUNCTION("""COMPUTED_VALUE"""),"CHATEA PRO")</f>
        <v>CHATEA PRO</v>
      </c>
      <c r="AU303" s="65" t="str">
        <f>IFERROR(__xludf.DUMMYFUNCTION("""COMPUTED_VALUE"""),"CHATEA PRO")</f>
        <v>CHATEA PRO</v>
      </c>
      <c r="AV303" s="65"/>
      <c r="AW303" s="65"/>
      <c r="AX303" s="65"/>
      <c r="AY303" s="65" t="str">
        <f>IFERROR(__xludf.DUMMYFUNCTION("""COMPUTED_VALUE"""),"09/03/2026")</f>
        <v>09/03/2026</v>
      </c>
      <c r="AZ303" s="65"/>
      <c r="BA303" s="65"/>
    </row>
    <row r="304">
      <c r="A304" s="65" t="str">
        <f>IFERROR(__xludf.DUMMYFUNCTION("""COMPUTED_VALUE"""),"27-03-2026")</f>
        <v>27-03-2026</v>
      </c>
      <c r="B304" s="65">
        <f>IFERROR(__xludf.DUMMYFUNCTION("""COMPUTED_VALUE"""),4720656.0)</f>
        <v>4720656</v>
      </c>
      <c r="C304" s="65" t="str">
        <f>IFERROR(__xludf.DUMMYFUNCTION("""COMPUTED_VALUE"""),"15:06")</f>
        <v>15:06</v>
      </c>
      <c r="D304" s="65" t="str">
        <f>IFERROR(__xludf.DUMMYFUNCTION("""COMPUTED_VALUE"""),"06-03-2026")</f>
        <v>06-03-2026</v>
      </c>
      <c r="E304" s="65" t="str">
        <f>IFERROR(__xludf.DUMMYFUNCTION("""COMPUTED_VALUE"""),"Carlos Eduardo Macías Santana")</f>
        <v>Carlos Eduardo Macías Santana</v>
      </c>
      <c r="F304" s="65" t="str">
        <f>IFERROR(__xludf.DUMMYFUNCTION("""COMPUTED_VALUE"""),"980195017")</f>
        <v>980195017</v>
      </c>
      <c r="G304" s="65"/>
      <c r="H304" s="65"/>
      <c r="I304" s="65"/>
      <c r="J304" s="65" t="str">
        <f>IFERROR(__xludf.DUMMYFUNCTION("""COMPUTED_VALUE"""),"186630143")</f>
        <v>186630143</v>
      </c>
      <c r="K304" s="65" t="str">
        <f>IFERROR(__xludf.DUMMYFUNCTION("""COMPUTED_VALUE"""),"ENTREGADO")</f>
        <v>ENTREGADO</v>
      </c>
      <c r="L304" s="65" t="str">
        <f>IFERROR(__xludf.DUMMYFUNCTION("""COMPUTED_VALUE"""),"CON RECAUDO")</f>
        <v>CON RECAUDO</v>
      </c>
      <c r="M304" s="65" t="str">
        <f>IFERROR(__xludf.DUMMYFUNCTION("""COMPUTED_VALUE"""),"MANABI")</f>
        <v>MANABI</v>
      </c>
      <c r="N304" s="65" t="str">
        <f>IFERROR(__xludf.DUMMYFUNCTION("""COMPUTED_VALUE"""),"PEDERNALES")</f>
        <v>PEDERNALES</v>
      </c>
      <c r="O304" s="65" t="str">
        <f>IFERROR(__xludf.DUMMYFUNCTION("""COMPUTED_VALUE"""),"Retira en Cs: PEDERNALES PRINCIPAL - GARCIA MORENO S/N Y MARIA AUXILIADORA")</f>
        <v>Retira en Cs: PEDERNALES PRINCIPAL - GARCIA MORENO S/N Y MARIA AUXILIADORA</v>
      </c>
      <c r="P304" s="65"/>
      <c r="Q304" s="65" t="str">
        <f>IFERROR(__xludf.DUMMYFUNCTION("""COMPUTED_VALUE"""),"SERVIENTREGA")</f>
        <v>SERVIENTREGA</v>
      </c>
      <c r="R304" s="65">
        <f>IFERROR(__xludf.DUMMYFUNCTION("""COMPUTED_VALUE"""),25.0)</f>
        <v>25</v>
      </c>
      <c r="S304" s="65">
        <f>IFERROR(__xludf.DUMMYFUNCTION("""COMPUTED_VALUE"""),12.55)</f>
        <v>12.55</v>
      </c>
      <c r="T304" s="65">
        <f>IFERROR(__xludf.DUMMYFUNCTION("""COMPUTED_VALUE"""),7.75)</f>
        <v>7.75</v>
      </c>
      <c r="U304" s="65">
        <f>IFERROR(__xludf.DUMMYFUNCTION("""COMPUTED_VALUE"""),0.0)</f>
        <v>0</v>
      </c>
      <c r="V304" s="65">
        <f>IFERROR(__xludf.DUMMYFUNCTION("""COMPUTED_VALUE"""),0.0)</f>
        <v>0</v>
      </c>
      <c r="W304" s="65">
        <f>IFERROR(__xludf.DUMMYFUNCTION("""COMPUTED_VALUE"""),0.0)</f>
        <v>0</v>
      </c>
      <c r="X304" s="65">
        <f>IFERROR(__xludf.DUMMYFUNCTION("""COMPUTED_VALUE"""),2.35)</f>
        <v>2.35</v>
      </c>
      <c r="Y304" s="65">
        <f>IFERROR(__xludf.DUMMYFUNCTION("""COMPUTED_VALUE"""),4.7)</f>
        <v>4.7</v>
      </c>
      <c r="Z304" s="65">
        <f>IFERROR(__xludf.DUMMYFUNCTION("""COMPUTED_VALUE"""),116679.0)</f>
        <v>116679</v>
      </c>
      <c r="AA304" s="65" t="str">
        <f>IFERROR(__xludf.DUMMYFUNCTION("""COMPUTED_VALUE"""),"AMC-2738")</f>
        <v>AMC-2738</v>
      </c>
      <c r="AB304" s="65"/>
      <c r="AC304" s="65" t="str">
        <f>IFERROR(__xludf.DUMMYFUNCTION("""COMPUTED_VALUE"""),"ESPONJA ANTILLUVIA DE PARABRISAS")</f>
        <v>ESPONJA ANTILLUVIA DE PARABRISAS</v>
      </c>
      <c r="AD304" s="65"/>
      <c r="AE304" s="65">
        <f>IFERROR(__xludf.DUMMYFUNCTION("""COMPUTED_VALUE"""),2.0)</f>
        <v>2</v>
      </c>
      <c r="AF304" s="65"/>
      <c r="AG304" s="65"/>
      <c r="AH304" s="65"/>
      <c r="AI304" s="65"/>
      <c r="AJ304" s="65"/>
      <c r="AK304" s="65"/>
      <c r="AL304" s="65"/>
      <c r="AM304" s="65"/>
      <c r="AN304" s="65" t="str">
        <f>IFERROR(__xludf.DUMMYFUNCTION("""COMPUTED_VALUE"""),"13:47")</f>
        <v>13:47</v>
      </c>
      <c r="AO304" s="65" t="str">
        <f>IFERROR(__xludf.DUMMYFUNCTION("""COMPUTED_VALUE"""),"18-03-2026")</f>
        <v>18-03-2026</v>
      </c>
      <c r="AP304" s="65" t="str">
        <f>IFERROR(__xludf.DUMMYFUNCTION("""COMPUTED_VALUE"""),"ENTREGA DIGITALIZADA EN CENTRO LOGISTICO")</f>
        <v>ENTREGA DIGITALIZADA EN CENTRO LOGISTICO</v>
      </c>
      <c r="AQ304" s="65" t="str">
        <f>IFERROR(__xludf.DUMMYFUNCTION("""COMPUTED_VALUE"""),"CARLOS MACIAS")</f>
        <v>CARLOS MACIAS</v>
      </c>
      <c r="AR304" s="65"/>
      <c r="AS304" s="65"/>
      <c r="AT304" s="65" t="str">
        <f>IFERROR(__xludf.DUMMYFUNCTION("""COMPUTED_VALUE"""),"CHATEA PRO")</f>
        <v>CHATEA PRO</v>
      </c>
      <c r="AU304" s="65" t="str">
        <f>IFERROR(__xludf.DUMMYFUNCTION("""COMPUTED_VALUE"""),"CHATEA PRO")</f>
        <v>CHATEA PRO</v>
      </c>
      <c r="AV304" s="65"/>
      <c r="AW304" s="65"/>
      <c r="AX304" s="65"/>
      <c r="AY304" s="65" t="str">
        <f>IFERROR(__xludf.DUMMYFUNCTION("""COMPUTED_VALUE"""),"07/03/2026")</f>
        <v>07/03/2026</v>
      </c>
      <c r="AZ304" s="65"/>
      <c r="BA304" s="65"/>
    </row>
    <row r="305">
      <c r="A305" s="65" t="str">
        <f>IFERROR(__xludf.DUMMYFUNCTION("""COMPUTED_VALUE"""),"27-03-2026")</f>
        <v>27-03-2026</v>
      </c>
      <c r="B305" s="65">
        <f>IFERROR(__xludf.DUMMYFUNCTION("""COMPUTED_VALUE"""),4720550.0)</f>
        <v>4720550</v>
      </c>
      <c r="C305" s="65" t="str">
        <f>IFERROR(__xludf.DUMMYFUNCTION("""COMPUTED_VALUE"""),"14:57")</f>
        <v>14:57</v>
      </c>
      <c r="D305" s="65" t="str">
        <f>IFERROR(__xludf.DUMMYFUNCTION("""COMPUTED_VALUE"""),"06-03-2026")</f>
        <v>06-03-2026</v>
      </c>
      <c r="E305" s="65" t="str">
        <f>IFERROR(__xludf.DUMMYFUNCTION("""COMPUTED_VALUE"""),"José Sucunuta")</f>
        <v>José Sucunuta</v>
      </c>
      <c r="F305" s="65" t="str">
        <f>IFERROR(__xludf.DUMMYFUNCTION("""COMPUTED_VALUE"""),"968678424")</f>
        <v>968678424</v>
      </c>
      <c r="G305" s="65"/>
      <c r="H305" s="65"/>
      <c r="I305" s="65"/>
      <c r="J305" s="65" t="str">
        <f>IFERROR(__xludf.DUMMYFUNCTION("""COMPUTED_VALUE"""),"186630144")</f>
        <v>186630144</v>
      </c>
      <c r="K305" s="65" t="str">
        <f>IFERROR(__xludf.DUMMYFUNCTION("""COMPUTED_VALUE"""),"ENTREGADO")</f>
        <v>ENTREGADO</v>
      </c>
      <c r="L305" s="65" t="str">
        <f>IFERROR(__xludf.DUMMYFUNCTION("""COMPUTED_VALUE"""),"CON RECAUDO")</f>
        <v>CON RECAUDO</v>
      </c>
      <c r="M305" s="65" t="str">
        <f>IFERROR(__xludf.DUMMYFUNCTION("""COMPUTED_VALUE"""),"ZAMORA CHINCHIPE")</f>
        <v>ZAMORA CHINCHIPE</v>
      </c>
      <c r="N305" s="65" t="str">
        <f>IFERROR(__xludf.DUMMYFUNCTION("""COMPUTED_VALUE"""),"ZAMORA")</f>
        <v>ZAMORA</v>
      </c>
      <c r="O305" s="65" t="str">
        <f>IFERROR(__xludf.DUMMYFUNCTION("""COMPUTED_VALUE"""),"Retira en CS: ZAMORA MANUELITA CANIZARES - MANUELITA CANIZARES Y AV. HEROES DEL PAQUISHA")</f>
        <v>Retira en CS: ZAMORA MANUELITA CANIZARES - MANUELITA CANIZARES Y AV. HEROES DEL PAQUISHA</v>
      </c>
      <c r="P305" s="65"/>
      <c r="Q305" s="65" t="str">
        <f>IFERROR(__xludf.DUMMYFUNCTION("""COMPUTED_VALUE"""),"SERVIENTREGA")</f>
        <v>SERVIENTREGA</v>
      </c>
      <c r="R305" s="65">
        <f>IFERROR(__xludf.DUMMYFUNCTION("""COMPUTED_VALUE"""),20.0)</f>
        <v>20</v>
      </c>
      <c r="S305" s="65">
        <f>IFERROR(__xludf.DUMMYFUNCTION("""COMPUTED_VALUE"""),9.98)</f>
        <v>9.98</v>
      </c>
      <c r="T305" s="65">
        <f>IFERROR(__xludf.DUMMYFUNCTION("""COMPUTED_VALUE"""),7.67)</f>
        <v>7.67</v>
      </c>
      <c r="U305" s="65">
        <f>IFERROR(__xludf.DUMMYFUNCTION("""COMPUTED_VALUE"""),0.0)</f>
        <v>0</v>
      </c>
      <c r="V305" s="65">
        <f>IFERROR(__xludf.DUMMYFUNCTION("""COMPUTED_VALUE"""),0.0)</f>
        <v>0</v>
      </c>
      <c r="W305" s="65">
        <f>IFERROR(__xludf.DUMMYFUNCTION("""COMPUTED_VALUE"""),0.0)</f>
        <v>0</v>
      </c>
      <c r="X305" s="65">
        <f>IFERROR(__xludf.DUMMYFUNCTION("""COMPUTED_VALUE"""),2.35)</f>
        <v>2.35</v>
      </c>
      <c r="Y305" s="65">
        <f>IFERROR(__xludf.DUMMYFUNCTION("""COMPUTED_VALUE"""),2.35)</f>
        <v>2.35</v>
      </c>
      <c r="Z305" s="65">
        <f>IFERROR(__xludf.DUMMYFUNCTION("""COMPUTED_VALUE"""),116679.0)</f>
        <v>116679</v>
      </c>
      <c r="AA305" s="65" t="str">
        <f>IFERROR(__xludf.DUMMYFUNCTION("""COMPUTED_VALUE"""),"AMC-2738")</f>
        <v>AMC-2738</v>
      </c>
      <c r="AB305" s="65"/>
      <c r="AC305" s="65" t="str">
        <f>IFERROR(__xludf.DUMMYFUNCTION("""COMPUTED_VALUE"""),"ESPONJA ANTILLUVIA DE PARABRISAS")</f>
        <v>ESPONJA ANTILLUVIA DE PARABRISAS</v>
      </c>
      <c r="AD305" s="65"/>
      <c r="AE305" s="65">
        <f>IFERROR(__xludf.DUMMYFUNCTION("""COMPUTED_VALUE"""),1.0)</f>
        <v>1</v>
      </c>
      <c r="AF305" s="65"/>
      <c r="AG305" s="65"/>
      <c r="AH305" s="65"/>
      <c r="AI305" s="65"/>
      <c r="AJ305" s="65"/>
      <c r="AK305" s="65"/>
      <c r="AL305" s="65"/>
      <c r="AM305" s="65"/>
      <c r="AN305" s="65" t="str">
        <f>IFERROR(__xludf.DUMMYFUNCTION("""COMPUTED_VALUE"""),"18:32")</f>
        <v>18:32</v>
      </c>
      <c r="AO305" s="65" t="str">
        <f>IFERROR(__xludf.DUMMYFUNCTION("""COMPUTED_VALUE"""),"24-03-2026")</f>
        <v>24-03-2026</v>
      </c>
      <c r="AP305" s="65" t="str">
        <f>IFERROR(__xludf.DUMMYFUNCTION("""COMPUTED_VALUE"""),"ENTREGA DIGITALIZADA EN CENTRO LOGISTICO")</f>
        <v>ENTREGA DIGITALIZADA EN CENTRO LOGISTICO</v>
      </c>
      <c r="AQ305" s="65" t="str">
        <f>IFERROR(__xludf.DUMMYFUNCTION("""COMPUTED_VALUE"""),"JOSE SUCUNUTA")</f>
        <v>JOSE SUCUNUTA</v>
      </c>
      <c r="AR305" s="65"/>
      <c r="AS305" s="65"/>
      <c r="AT305" s="65" t="str">
        <f>IFERROR(__xludf.DUMMYFUNCTION("""COMPUTED_VALUE"""),"CHATEA PRO")</f>
        <v>CHATEA PRO</v>
      </c>
      <c r="AU305" s="65" t="str">
        <f>IFERROR(__xludf.DUMMYFUNCTION("""COMPUTED_VALUE"""),"CHATEA PRO")</f>
        <v>CHATEA PRO</v>
      </c>
      <c r="AV305" s="65"/>
      <c r="AW305" s="65"/>
      <c r="AX305" s="65"/>
      <c r="AY305" s="65" t="str">
        <f>IFERROR(__xludf.DUMMYFUNCTION("""COMPUTED_VALUE"""),"07/03/2026")</f>
        <v>07/03/2026</v>
      </c>
      <c r="AZ305" s="65"/>
      <c r="BA305" s="65"/>
    </row>
    <row r="306">
      <c r="A306" s="65" t="str">
        <f>IFERROR(__xludf.DUMMYFUNCTION("""COMPUTED_VALUE"""),"27-03-2026")</f>
        <v>27-03-2026</v>
      </c>
      <c r="B306" s="65">
        <f>IFERROR(__xludf.DUMMYFUNCTION("""COMPUTED_VALUE"""),4720277.0)</f>
        <v>4720277</v>
      </c>
      <c r="C306" s="65" t="str">
        <f>IFERROR(__xludf.DUMMYFUNCTION("""COMPUTED_VALUE"""),"14:31")</f>
        <v>14:31</v>
      </c>
      <c r="D306" s="65" t="str">
        <f>IFERROR(__xludf.DUMMYFUNCTION("""COMPUTED_VALUE"""),"06-03-2026")</f>
        <v>06-03-2026</v>
      </c>
      <c r="E306" s="65" t="str">
        <f>IFERROR(__xludf.DUMMYFUNCTION("""COMPUTED_VALUE"""),"Rigoberto González")</f>
        <v>Rigoberto González</v>
      </c>
      <c r="F306" s="65" t="str">
        <f>IFERROR(__xludf.DUMMYFUNCTION("""COMPUTED_VALUE"""),"997579114")</f>
        <v>997579114</v>
      </c>
      <c r="G306" s="65" t="str">
        <f>IFERROR(__xludf.DUMMYFUNCTION("""COMPUTED_VALUE"""),"rigoberto.gonzalez2011@gmail.com")</f>
        <v>rigoberto.gonzalez2011@gmail.com</v>
      </c>
      <c r="H306" s="65"/>
      <c r="I306" s="65"/>
      <c r="J306" s="65" t="str">
        <f>IFERROR(__xludf.DUMMYFUNCTION("""COMPUTED_VALUE"""),"D001396869")</f>
        <v>D001396869</v>
      </c>
      <c r="K306" s="65" t="str">
        <f>IFERROR(__xludf.DUMMYFUNCTION("""COMPUTED_VALUE"""),"ENTREGADO")</f>
        <v>ENTREGADO</v>
      </c>
      <c r="L306" s="65" t="str">
        <f>IFERROR(__xludf.DUMMYFUNCTION("""COMPUTED_VALUE"""),"CON RECAUDO")</f>
        <v>CON RECAUDO</v>
      </c>
      <c r="M306" s="65" t="str">
        <f>IFERROR(__xludf.DUMMYFUNCTION("""COMPUTED_VALUE"""),"GUAYAS")</f>
        <v>GUAYAS</v>
      </c>
      <c r="N306" s="65" t="str">
        <f>IFERROR(__xludf.DUMMYFUNCTION("""COMPUTED_VALUE"""),"GUAYAQUIL")</f>
        <v>GUAYAQUIL</v>
      </c>
      <c r="O306" s="65" t="str">
        <f>IFERROR(__xludf.DUMMYFUNCTION("""COMPUTED_VALUE"""),"Cdla. Los Almendros mz i villa 17 Sur -")</f>
        <v>Cdla. Los Almendros mz i villa 17 Sur -</v>
      </c>
      <c r="P306" s="65"/>
      <c r="Q306" s="65" t="str">
        <f>IFERROR(__xludf.DUMMYFUNCTION("""COMPUTED_VALUE"""),"GINTRACOM")</f>
        <v>GINTRACOM</v>
      </c>
      <c r="R306" s="65">
        <f>IFERROR(__xludf.DUMMYFUNCTION("""COMPUTED_VALUE"""),25.0)</f>
        <v>25</v>
      </c>
      <c r="S306" s="65">
        <f>IFERROR(__xludf.DUMMYFUNCTION("""COMPUTED_VALUE"""),14.34)</f>
        <v>14.34</v>
      </c>
      <c r="T306" s="65">
        <f>IFERROR(__xludf.DUMMYFUNCTION("""COMPUTED_VALUE"""),5.96)</f>
        <v>5.96</v>
      </c>
      <c r="U306" s="65">
        <f>IFERROR(__xludf.DUMMYFUNCTION("""COMPUTED_VALUE"""),0.0)</f>
        <v>0</v>
      </c>
      <c r="V306" s="65">
        <f>IFERROR(__xludf.DUMMYFUNCTION("""COMPUTED_VALUE"""),0.0)</f>
        <v>0</v>
      </c>
      <c r="W306" s="65">
        <f>IFERROR(__xludf.DUMMYFUNCTION("""COMPUTED_VALUE"""),0.0)</f>
        <v>0</v>
      </c>
      <c r="X306" s="65">
        <f>IFERROR(__xludf.DUMMYFUNCTION("""COMPUTED_VALUE"""),2.35)</f>
        <v>2.35</v>
      </c>
      <c r="Y306" s="65">
        <f>IFERROR(__xludf.DUMMYFUNCTION("""COMPUTED_VALUE"""),4.7)</f>
        <v>4.7</v>
      </c>
      <c r="Z306" s="65">
        <f>IFERROR(__xludf.DUMMYFUNCTION("""COMPUTED_VALUE"""),116679.0)</f>
        <v>116679</v>
      </c>
      <c r="AA306" s="65" t="str">
        <f>IFERROR(__xludf.DUMMYFUNCTION("""COMPUTED_VALUE"""),"AMC-2738")</f>
        <v>AMC-2738</v>
      </c>
      <c r="AB306" s="65"/>
      <c r="AC306" s="65" t="str">
        <f>IFERROR(__xludf.DUMMYFUNCTION("""COMPUTED_VALUE"""),"ESPONJA ANTILLUVIA DE PARABRISAS")</f>
        <v>ESPONJA ANTILLUVIA DE PARABRISAS</v>
      </c>
      <c r="AD306" s="65"/>
      <c r="AE306" s="65">
        <f>IFERROR(__xludf.DUMMYFUNCTION("""COMPUTED_VALUE"""),2.0)</f>
        <v>2</v>
      </c>
      <c r="AF306" s="65" t="str">
        <f>IFERROR(__xludf.DUMMYFUNCTION("""COMPUTED_VALUE"""),"DESTINATARIO INDICA QUE NO ES EL VALOR ACORDADO")</f>
        <v>DESTINATARIO INDICA QUE NO ES EL VALOR ACORDADO</v>
      </c>
      <c r="AG306" s="65" t="str">
        <f>IFERROR(__xludf.DUMMYFUNCTION("""COMPUTED_VALUE"""),"SI")</f>
        <v>SI</v>
      </c>
      <c r="AH306" s="65" t="str">
        <f>IFERROR(__xludf.DUMMYFUNCTION("""COMPUTED_VALUE"""),"08:59")</f>
        <v>08:59</v>
      </c>
      <c r="AI306" s="65" t="str">
        <f>IFERROR(__xludf.DUMMYFUNCTION("""COMPUTED_VALUE"""),"11-03-2026")</f>
        <v>11-03-2026</v>
      </c>
      <c r="AJ306" s="65"/>
      <c r="AK306" s="65"/>
      <c r="AL306" s="65"/>
      <c r="AM306" s="65"/>
      <c r="AN306" s="65" t="str">
        <f>IFERROR(__xludf.DUMMYFUNCTION("""COMPUTED_VALUE"""),"15:00")</f>
        <v>15:00</v>
      </c>
      <c r="AO306" s="65" t="str">
        <f>IFERROR(__xludf.DUMMYFUNCTION("""COMPUTED_VALUE"""),"12-03-2026")</f>
        <v>12-03-2026</v>
      </c>
      <c r="AP306" s="65" t="str">
        <f>IFERROR(__xludf.DUMMYFUNCTION("""COMPUTED_VALUE"""),"ENTREGADA GINTRACOM")</f>
        <v>ENTREGADA GINTRACOM</v>
      </c>
      <c r="AQ306" s="65" t="str">
        <f>IFERROR(__xludf.DUMMYFUNCTION("""COMPUTED_VALUE"""),"ENTREGADA GINTRACOM")</f>
        <v>ENTREGADA GINTRACOM</v>
      </c>
      <c r="AR306" s="65"/>
      <c r="AS306" s="65"/>
      <c r="AT306" s="65" t="str">
        <f>IFERROR(__xludf.DUMMYFUNCTION("""COMPUTED_VALUE"""),"SHOPIFY")</f>
        <v>SHOPIFY</v>
      </c>
      <c r="AU306" s="65" t="str">
        <f>IFERROR(__xludf.DUMMYFUNCTION("""COMPUTED_VALUE"""),"IMPORTEX EC")</f>
        <v>IMPORTEX EC</v>
      </c>
      <c r="AV306" s="65" t="str">
        <f>IFERROR(__xludf.DUMMYFUNCTION("""COMPUTED_VALUE"""),"6561248051244")</f>
        <v>6561248051244</v>
      </c>
      <c r="AW306" s="65">
        <f>IFERROR(__xludf.DUMMYFUNCTION("""COMPUTED_VALUE"""),6552.0)</f>
        <v>6552</v>
      </c>
      <c r="AX306" s="65"/>
      <c r="AY306" s="65" t="str">
        <f>IFERROR(__xludf.DUMMYFUNCTION("""COMPUTED_VALUE"""),"09/03/2026")</f>
        <v>09/03/2026</v>
      </c>
      <c r="AZ306" s="65"/>
      <c r="BA306" s="65"/>
    </row>
    <row r="307">
      <c r="A307" s="65" t="str">
        <f>IFERROR(__xludf.DUMMYFUNCTION("""COMPUTED_VALUE"""),"27-03-2026")</f>
        <v>27-03-2026</v>
      </c>
      <c r="B307" s="65">
        <f>IFERROR(__xludf.DUMMYFUNCTION("""COMPUTED_VALUE"""),4720038.0)</f>
        <v>4720038</v>
      </c>
      <c r="C307" s="65" t="str">
        <f>IFERROR(__xludf.DUMMYFUNCTION("""COMPUTED_VALUE"""),"14:08")</f>
        <v>14:08</v>
      </c>
      <c r="D307" s="65" t="str">
        <f>IFERROR(__xludf.DUMMYFUNCTION("""COMPUTED_VALUE"""),"06-03-2026")</f>
        <v>06-03-2026</v>
      </c>
      <c r="E307" s="65" t="str">
        <f>IFERROR(__xludf.DUMMYFUNCTION("""COMPUTED_VALUE"""),"Luis Coronel")</f>
        <v>Luis Coronel</v>
      </c>
      <c r="F307" s="65" t="str">
        <f>IFERROR(__xludf.DUMMYFUNCTION("""COMPUTED_VALUE"""),"958700196")</f>
        <v>958700196</v>
      </c>
      <c r="G307" s="65" t="str">
        <f>IFERROR(__xludf.DUMMYFUNCTION("""COMPUTED_VALUE"""),"casbrasssa039@gmail.com")</f>
        <v>casbrasssa039@gmail.com</v>
      </c>
      <c r="H307" s="65"/>
      <c r="I307" s="65"/>
      <c r="J307" s="65" t="str">
        <f>IFERROR(__xludf.DUMMYFUNCTION("""COMPUTED_VALUE"""),"D001394145")</f>
        <v>D001394145</v>
      </c>
      <c r="K307" s="65" t="str">
        <f>IFERROR(__xludf.DUMMYFUNCTION("""COMPUTED_VALUE"""),"ENTREGADO")</f>
        <v>ENTREGADO</v>
      </c>
      <c r="L307" s="65" t="str">
        <f>IFERROR(__xludf.DUMMYFUNCTION("""COMPUTED_VALUE"""),"CON RECAUDO")</f>
        <v>CON RECAUDO</v>
      </c>
      <c r="M307" s="65" t="str">
        <f>IFERROR(__xludf.DUMMYFUNCTION("""COMPUTED_VALUE"""),"GUAYAS")</f>
        <v>GUAYAS</v>
      </c>
      <c r="N307" s="65" t="str">
        <f>IFERROR(__xludf.DUMMYFUNCTION("""COMPUTED_VALUE"""),"GUAYAQUIL")</f>
        <v>GUAYAQUIL</v>
      </c>
      <c r="O307" s="65" t="str">
        <f>IFERROR(__xludf.DUMMYFUNCTION("""COMPUTED_VALUE"""),"Bosques de la Costa mz 22 villa 15 Frente a Puerto Azul -")</f>
        <v>Bosques de la Costa mz 22 villa 15 Frente a Puerto Azul -</v>
      </c>
      <c r="P307" s="65"/>
      <c r="Q307" s="65" t="str">
        <f>IFERROR(__xludf.DUMMYFUNCTION("""COMPUTED_VALUE"""),"GINTRACOM")</f>
        <v>GINTRACOM</v>
      </c>
      <c r="R307" s="65">
        <f>IFERROR(__xludf.DUMMYFUNCTION("""COMPUTED_VALUE"""),32.01)</f>
        <v>32.01</v>
      </c>
      <c r="S307" s="65">
        <f>IFERROR(__xludf.DUMMYFUNCTION("""COMPUTED_VALUE"""),13.77)</f>
        <v>13.77</v>
      </c>
      <c r="T307" s="65">
        <f>IFERROR(__xludf.DUMMYFUNCTION("""COMPUTED_VALUE"""),6.24)</f>
        <v>6.24</v>
      </c>
      <c r="U307" s="65">
        <f>IFERROR(__xludf.DUMMYFUNCTION("""COMPUTED_VALUE"""),0.0)</f>
        <v>0</v>
      </c>
      <c r="V307" s="65">
        <f>IFERROR(__xludf.DUMMYFUNCTION("""COMPUTED_VALUE"""),0.0)</f>
        <v>0</v>
      </c>
      <c r="W307" s="65">
        <f>IFERROR(__xludf.DUMMYFUNCTION("""COMPUTED_VALUE"""),0.0)</f>
        <v>0</v>
      </c>
      <c r="X307" s="65">
        <f>IFERROR(__xludf.DUMMYFUNCTION("""COMPUTED_VALUE"""),4.0)</f>
        <v>4</v>
      </c>
      <c r="Y307" s="65">
        <f>IFERROR(__xludf.DUMMYFUNCTION("""COMPUTED_VALUE"""),12.0)</f>
        <v>12</v>
      </c>
      <c r="Z307" s="65">
        <f>IFERROR(__xludf.DUMMYFUNCTION("""COMPUTED_VALUE"""),116882.0)</f>
        <v>116882</v>
      </c>
      <c r="AA307" s="65" t="str">
        <f>IFERROR(__xludf.DUMMYFUNCTION("""COMPUTED_VALUE"""),"IMX-00002")</f>
        <v>IMX-00002</v>
      </c>
      <c r="AB307" s="65"/>
      <c r="AC307" s="65" t="str">
        <f>IFERROR(__xludf.DUMMYFUNCTION("""COMPUTED_VALUE"""),"FILTRO DE LAVAMANOS")</f>
        <v>FILTRO DE LAVAMANOS</v>
      </c>
      <c r="AD307" s="65"/>
      <c r="AE307" s="65">
        <f>IFERROR(__xludf.DUMMYFUNCTION("""COMPUTED_VALUE"""),3.0)</f>
        <v>3</v>
      </c>
      <c r="AF307" s="65"/>
      <c r="AG307" s="65"/>
      <c r="AH307" s="65"/>
      <c r="AI307" s="65"/>
      <c r="AJ307" s="65"/>
      <c r="AK307" s="65"/>
      <c r="AL307" s="65"/>
      <c r="AM307" s="65"/>
      <c r="AN307" s="65" t="str">
        <f>IFERROR(__xludf.DUMMYFUNCTION("""COMPUTED_VALUE"""),"15:43")</f>
        <v>15:43</v>
      </c>
      <c r="AO307" s="65" t="str">
        <f>IFERROR(__xludf.DUMMYFUNCTION("""COMPUTED_VALUE"""),"13-03-2026")</f>
        <v>13-03-2026</v>
      </c>
      <c r="AP307" s="65" t="str">
        <f>IFERROR(__xludf.DUMMYFUNCTION("""COMPUTED_VALUE"""),"ENTREGADA GINTRACOM")</f>
        <v>ENTREGADA GINTRACOM</v>
      </c>
      <c r="AQ307" s="65" t="str">
        <f>IFERROR(__xludf.DUMMYFUNCTION("""COMPUTED_VALUE"""),"ENTREGADA GINTRACOM")</f>
        <v>ENTREGADA GINTRACOM</v>
      </c>
      <c r="AR307" s="65"/>
      <c r="AS307" s="65"/>
      <c r="AT307" s="65" t="str">
        <f>IFERROR(__xludf.DUMMYFUNCTION("""COMPUTED_VALUE"""),"SHOPIFY")</f>
        <v>SHOPIFY</v>
      </c>
      <c r="AU307" s="65" t="str">
        <f>IFERROR(__xludf.DUMMYFUNCTION("""COMPUTED_VALUE"""),"IMPORTEX EC")</f>
        <v>IMPORTEX EC</v>
      </c>
      <c r="AV307" s="65" t="str">
        <f>IFERROR(__xludf.DUMMYFUNCTION("""COMPUTED_VALUE"""),"6561199849516")</f>
        <v>6561199849516</v>
      </c>
      <c r="AW307" s="65">
        <f>IFERROR(__xludf.DUMMYFUNCTION("""COMPUTED_VALUE"""),6551.0)</f>
        <v>6551</v>
      </c>
      <c r="AX307" s="65"/>
      <c r="AY307" s="65" t="str">
        <f>IFERROR(__xludf.DUMMYFUNCTION("""COMPUTED_VALUE"""),"09/03/2026")</f>
        <v>09/03/2026</v>
      </c>
      <c r="AZ307" s="65"/>
      <c r="BA307" s="65"/>
    </row>
    <row r="308">
      <c r="A308" s="65" t="str">
        <f>IFERROR(__xludf.DUMMYFUNCTION("""COMPUTED_VALUE"""),"27-03-2026")</f>
        <v>27-03-2026</v>
      </c>
      <c r="B308" s="65">
        <f>IFERROR(__xludf.DUMMYFUNCTION("""COMPUTED_VALUE"""),4719952.0)</f>
        <v>4719952</v>
      </c>
      <c r="C308" s="65" t="str">
        <f>IFERROR(__xludf.DUMMYFUNCTION("""COMPUTED_VALUE"""),"13:59")</f>
        <v>13:59</v>
      </c>
      <c r="D308" s="65" t="str">
        <f>IFERROR(__xludf.DUMMYFUNCTION("""COMPUTED_VALUE"""),"06-03-2026")</f>
        <v>06-03-2026</v>
      </c>
      <c r="E308" s="65" t="str">
        <f>IFERROR(__xludf.DUMMYFUNCTION("""COMPUTED_VALUE"""),"Alejandro Jaramillo")</f>
        <v>Alejandro Jaramillo</v>
      </c>
      <c r="F308" s="65" t="str">
        <f>IFERROR(__xludf.DUMMYFUNCTION("""COMPUTED_VALUE"""),"993550354")</f>
        <v>993550354</v>
      </c>
      <c r="G308" s="65" t="str">
        <f>IFERROR(__xludf.DUMMYFUNCTION("""COMPUTED_VALUE"""),"leandrobegins@hotmail.com")</f>
        <v>leandrobegins@hotmail.com</v>
      </c>
      <c r="H308" s="65"/>
      <c r="I308" s="65"/>
      <c r="J308" s="65" t="str">
        <f>IFERROR(__xludf.DUMMYFUNCTION("""COMPUTED_VALUE"""),"D001394148")</f>
        <v>D001394148</v>
      </c>
      <c r="K308" s="65" t="str">
        <f>IFERROR(__xludf.DUMMYFUNCTION("""COMPUTED_VALUE"""),"ENTREGADO")</f>
        <v>ENTREGADO</v>
      </c>
      <c r="L308" s="65" t="str">
        <f>IFERROR(__xludf.DUMMYFUNCTION("""COMPUTED_VALUE"""),"CON RECAUDO")</f>
        <v>CON RECAUDO</v>
      </c>
      <c r="M308" s="65" t="str">
        <f>IFERROR(__xludf.DUMMYFUNCTION("""COMPUTED_VALUE"""),"PICHINCHA")</f>
        <v>PICHINCHA</v>
      </c>
      <c r="N308" s="65" t="str">
        <f>IFERROR(__xludf.DUMMYFUNCTION("""COMPUTED_VALUE"""),"QUITO")</f>
        <v>QUITO</v>
      </c>
      <c r="O308" s="65" t="str">
        <f>IFERROR(__xludf.DUMMYFUNCTION("""COMPUTED_VALUE"""),"Av. Cóndor Ñan OE3-206 y Rumichaca")</f>
        <v>Av. Cóndor Ñan OE3-206 y Rumichaca</v>
      </c>
      <c r="P308" s="65"/>
      <c r="Q308" s="65" t="str">
        <f>IFERROR(__xludf.DUMMYFUNCTION("""COMPUTED_VALUE"""),"GINTRACOM")</f>
        <v>GINTRACOM</v>
      </c>
      <c r="R308" s="65">
        <f>IFERROR(__xludf.DUMMYFUNCTION("""COMPUTED_VALUE"""),32.01)</f>
        <v>32.01</v>
      </c>
      <c r="S308" s="65">
        <f>IFERROR(__xludf.DUMMYFUNCTION("""COMPUTED_VALUE"""),15.38)</f>
        <v>15.38</v>
      </c>
      <c r="T308" s="65">
        <f>IFERROR(__xludf.DUMMYFUNCTION("""COMPUTED_VALUE"""),4.63)</f>
        <v>4.63</v>
      </c>
      <c r="U308" s="65">
        <f>IFERROR(__xludf.DUMMYFUNCTION("""COMPUTED_VALUE"""),0.0)</f>
        <v>0</v>
      </c>
      <c r="V308" s="65">
        <f>IFERROR(__xludf.DUMMYFUNCTION("""COMPUTED_VALUE"""),0.0)</f>
        <v>0</v>
      </c>
      <c r="W308" s="65">
        <f>IFERROR(__xludf.DUMMYFUNCTION("""COMPUTED_VALUE"""),0.0)</f>
        <v>0</v>
      </c>
      <c r="X308" s="65">
        <f>IFERROR(__xludf.DUMMYFUNCTION("""COMPUTED_VALUE"""),4.0)</f>
        <v>4</v>
      </c>
      <c r="Y308" s="65">
        <f>IFERROR(__xludf.DUMMYFUNCTION("""COMPUTED_VALUE"""),12.0)</f>
        <v>12</v>
      </c>
      <c r="Z308" s="65">
        <f>IFERROR(__xludf.DUMMYFUNCTION("""COMPUTED_VALUE"""),116882.0)</f>
        <v>116882</v>
      </c>
      <c r="AA308" s="65" t="str">
        <f>IFERROR(__xludf.DUMMYFUNCTION("""COMPUTED_VALUE"""),"IMX-00002")</f>
        <v>IMX-00002</v>
      </c>
      <c r="AB308" s="65"/>
      <c r="AC308" s="65" t="str">
        <f>IFERROR(__xludf.DUMMYFUNCTION("""COMPUTED_VALUE"""),"FILTRO DE LAVAMANOS")</f>
        <v>FILTRO DE LAVAMANOS</v>
      </c>
      <c r="AD308" s="65"/>
      <c r="AE308" s="65">
        <f>IFERROR(__xludf.DUMMYFUNCTION("""COMPUTED_VALUE"""),3.0)</f>
        <v>3</v>
      </c>
      <c r="AF308" s="65"/>
      <c r="AG308" s="65"/>
      <c r="AH308" s="65"/>
      <c r="AI308" s="65"/>
      <c r="AJ308" s="65"/>
      <c r="AK308" s="65"/>
      <c r="AL308" s="65"/>
      <c r="AM308" s="65"/>
      <c r="AN308" s="65" t="str">
        <f>IFERROR(__xludf.DUMMYFUNCTION("""COMPUTED_VALUE"""),"13:13")</f>
        <v>13:13</v>
      </c>
      <c r="AO308" s="65" t="str">
        <f>IFERROR(__xludf.DUMMYFUNCTION("""COMPUTED_VALUE"""),"10-03-2026")</f>
        <v>10-03-2026</v>
      </c>
      <c r="AP308" s="65" t="str">
        <f>IFERROR(__xludf.DUMMYFUNCTION("""COMPUTED_VALUE"""),"ENTREGADA GINTRACOM")</f>
        <v>ENTREGADA GINTRACOM</v>
      </c>
      <c r="AQ308" s="65" t="str">
        <f>IFERROR(__xludf.DUMMYFUNCTION("""COMPUTED_VALUE"""),"ENTREGADA GINTRACOM")</f>
        <v>ENTREGADA GINTRACOM</v>
      </c>
      <c r="AR308" s="65"/>
      <c r="AS308" s="65"/>
      <c r="AT308" s="65" t="str">
        <f>IFERROR(__xludf.DUMMYFUNCTION("""COMPUTED_VALUE"""),"SHOPIFY")</f>
        <v>SHOPIFY</v>
      </c>
      <c r="AU308" s="65" t="str">
        <f>IFERROR(__xludf.DUMMYFUNCTION("""COMPUTED_VALUE"""),"IMPORTEX EC")</f>
        <v>IMPORTEX EC</v>
      </c>
      <c r="AV308" s="65" t="str">
        <f>IFERROR(__xludf.DUMMYFUNCTION("""COMPUTED_VALUE"""),"6561180123180")</f>
        <v>6561180123180</v>
      </c>
      <c r="AW308" s="65">
        <f>IFERROR(__xludf.DUMMYFUNCTION("""COMPUTED_VALUE"""),6550.0)</f>
        <v>6550</v>
      </c>
      <c r="AX308" s="65"/>
      <c r="AY308" s="65" t="str">
        <f>IFERROR(__xludf.DUMMYFUNCTION("""COMPUTED_VALUE"""),"09/03/2026")</f>
        <v>09/03/2026</v>
      </c>
      <c r="AZ308" s="65"/>
      <c r="BA308" s="65"/>
    </row>
    <row r="309">
      <c r="A309" s="65" t="str">
        <f>IFERROR(__xludf.DUMMYFUNCTION("""COMPUTED_VALUE"""),"27-03-2026")</f>
        <v>27-03-2026</v>
      </c>
      <c r="B309" s="65">
        <f>IFERROR(__xludf.DUMMYFUNCTION("""COMPUTED_VALUE"""),4719539.0)</f>
        <v>4719539</v>
      </c>
      <c r="C309" s="65" t="str">
        <f>IFERROR(__xludf.DUMMYFUNCTION("""COMPUTED_VALUE"""),"13:19")</f>
        <v>13:19</v>
      </c>
      <c r="D309" s="65" t="str">
        <f>IFERROR(__xludf.DUMMYFUNCTION("""COMPUTED_VALUE"""),"06-03-2026")</f>
        <v>06-03-2026</v>
      </c>
      <c r="E309" s="65" t="str">
        <f>IFERROR(__xludf.DUMMYFUNCTION("""COMPUTED_VALUE"""),"Paulino Barbecho Barbecho")</f>
        <v>Paulino Barbecho Barbecho</v>
      </c>
      <c r="F309" s="65" t="str">
        <f>IFERROR(__xludf.DUMMYFUNCTION("""COMPUTED_VALUE"""),"963768575")</f>
        <v>963768575</v>
      </c>
      <c r="G309" s="65" t="str">
        <f>IFERROR(__xludf.DUMMYFUNCTION("""COMPUTED_VALUE"""),"clementepaulino644@gmail.com")</f>
        <v>clementepaulino644@gmail.com</v>
      </c>
      <c r="H309" s="65"/>
      <c r="I309" s="65"/>
      <c r="J309" s="65" t="str">
        <f>IFERROR(__xludf.DUMMYFUNCTION("""COMPUTED_VALUE"""),"D001394149")</f>
        <v>D001394149</v>
      </c>
      <c r="K309" s="65" t="str">
        <f>IFERROR(__xludf.DUMMYFUNCTION("""COMPUTED_VALUE"""),"ENTREGADO")</f>
        <v>ENTREGADO</v>
      </c>
      <c r="L309" s="65" t="str">
        <f>IFERROR(__xludf.DUMMYFUNCTION("""COMPUTED_VALUE"""),"CON RECAUDO")</f>
        <v>CON RECAUDO</v>
      </c>
      <c r="M309" s="65" t="str">
        <f>IFERROR(__xludf.DUMMYFUNCTION("""COMPUTED_VALUE"""),"AZUAY")</f>
        <v>AZUAY</v>
      </c>
      <c r="N309" s="65" t="str">
        <f>IFERROR(__xludf.DUMMYFUNCTION("""COMPUTED_VALUE"""),"CUENCA")</f>
        <v>CUENCA</v>
      </c>
      <c r="O309" s="65" t="str">
        <f>IFERROR(__xludf.DUMMYFUNCTION("""COMPUTED_VALUE"""),"Av 25 de marzo y via San Miguel esquina semáforo casa amarilla Barrio Buena Esperanza sector Instituto Sudamericano -")</f>
        <v>Av 25 de marzo y via San Miguel esquina semáforo casa amarilla Barrio Buena Esperanza sector Instituto Sudamericano -</v>
      </c>
      <c r="P309" s="65"/>
      <c r="Q309" s="65" t="str">
        <f>IFERROR(__xludf.DUMMYFUNCTION("""COMPUTED_VALUE"""),"GINTRACOM")</f>
        <v>GINTRACOM</v>
      </c>
      <c r="R309" s="65">
        <f>IFERROR(__xludf.DUMMYFUNCTION("""COMPUTED_VALUE"""),27.99)</f>
        <v>27.99</v>
      </c>
      <c r="S309" s="65">
        <f>IFERROR(__xludf.DUMMYFUNCTION("""COMPUTED_VALUE"""),6.91)</f>
        <v>6.91</v>
      </c>
      <c r="T309" s="65">
        <f>IFERROR(__xludf.DUMMYFUNCTION("""COMPUTED_VALUE"""),6.08)</f>
        <v>6.08</v>
      </c>
      <c r="U309" s="65">
        <f>IFERROR(__xludf.DUMMYFUNCTION("""COMPUTED_VALUE"""),0.0)</f>
        <v>0</v>
      </c>
      <c r="V309" s="65">
        <f>IFERROR(__xludf.DUMMYFUNCTION("""COMPUTED_VALUE"""),0.0)</f>
        <v>0</v>
      </c>
      <c r="W309" s="65">
        <f>IFERROR(__xludf.DUMMYFUNCTION("""COMPUTED_VALUE"""),0.0)</f>
        <v>0</v>
      </c>
      <c r="X309" s="65">
        <f>IFERROR(__xludf.DUMMYFUNCTION("""COMPUTED_VALUE"""),5.0)</f>
        <v>5</v>
      </c>
      <c r="Y309" s="65">
        <f>IFERROR(__xludf.DUMMYFUNCTION("""COMPUTED_VALUE"""),15.0)</f>
        <v>15</v>
      </c>
      <c r="Z309" s="65">
        <f>IFERROR(__xludf.DUMMYFUNCTION("""COMPUTED_VALUE"""),130492.0)</f>
        <v>130492</v>
      </c>
      <c r="AA309" s="65" t="str">
        <f>IFERROR(__xludf.DUMMYFUNCTION("""COMPUTED_VALUE"""),"IMX-00006")</f>
        <v>IMX-00006</v>
      </c>
      <c r="AB309" s="65"/>
      <c r="AC309" s="65" t="str">
        <f>IFERROR(__xludf.DUMMYFUNCTION("""COMPUTED_VALUE"""),"Receptor Bluetooth")</f>
        <v>Receptor Bluetooth</v>
      </c>
      <c r="AD309" s="65"/>
      <c r="AE309" s="65">
        <f>IFERROR(__xludf.DUMMYFUNCTION("""COMPUTED_VALUE"""),3.0)</f>
        <v>3</v>
      </c>
      <c r="AF309" s="65"/>
      <c r="AG309" s="65"/>
      <c r="AH309" s="65"/>
      <c r="AI309" s="65"/>
      <c r="AJ309" s="65"/>
      <c r="AK309" s="65"/>
      <c r="AL309" s="65"/>
      <c r="AM309" s="65"/>
      <c r="AN309" s="65" t="str">
        <f>IFERROR(__xludf.DUMMYFUNCTION("""COMPUTED_VALUE"""),"14:57")</f>
        <v>14:57</v>
      </c>
      <c r="AO309" s="65" t="str">
        <f>IFERROR(__xludf.DUMMYFUNCTION("""COMPUTED_VALUE"""),"11-03-2026")</f>
        <v>11-03-2026</v>
      </c>
      <c r="AP309" s="65" t="str">
        <f>IFERROR(__xludf.DUMMYFUNCTION("""COMPUTED_VALUE"""),"ENTREGADA GINTRACOM")</f>
        <v>ENTREGADA GINTRACOM</v>
      </c>
      <c r="AQ309" s="65" t="str">
        <f>IFERROR(__xludf.DUMMYFUNCTION("""COMPUTED_VALUE"""),"ENTREGADA GINTRACOM")</f>
        <v>ENTREGADA GINTRACOM</v>
      </c>
      <c r="AR309" s="65"/>
      <c r="AS309" s="65"/>
      <c r="AT309" s="65" t="str">
        <f>IFERROR(__xludf.DUMMYFUNCTION("""COMPUTED_VALUE"""),"SHOPIFY")</f>
        <v>SHOPIFY</v>
      </c>
      <c r="AU309" s="65" t="str">
        <f>IFERROR(__xludf.DUMMYFUNCTION("""COMPUTED_VALUE"""),"IMPORTEX EC")</f>
        <v>IMPORTEX EC</v>
      </c>
      <c r="AV309" s="65" t="str">
        <f>IFERROR(__xludf.DUMMYFUNCTION("""COMPUTED_VALUE"""),"6561083785260")</f>
        <v>6561083785260</v>
      </c>
      <c r="AW309" s="65">
        <f>IFERROR(__xludf.DUMMYFUNCTION("""COMPUTED_VALUE"""),6549.0)</f>
        <v>6549</v>
      </c>
      <c r="AX309" s="65"/>
      <c r="AY309" s="65" t="str">
        <f>IFERROR(__xludf.DUMMYFUNCTION("""COMPUTED_VALUE"""),"09/03/2026")</f>
        <v>09/03/2026</v>
      </c>
      <c r="AZ309" s="65"/>
      <c r="BA309" s="65"/>
    </row>
    <row r="310">
      <c r="A310" s="65" t="str">
        <f>IFERROR(__xludf.DUMMYFUNCTION("""COMPUTED_VALUE"""),"27-03-2026")</f>
        <v>27-03-2026</v>
      </c>
      <c r="B310" s="65">
        <f>IFERROR(__xludf.DUMMYFUNCTION("""COMPUTED_VALUE"""),4719309.0)</f>
        <v>4719309</v>
      </c>
      <c r="C310" s="65" t="str">
        <f>IFERROR(__xludf.DUMMYFUNCTION("""COMPUTED_VALUE"""),"12:54")</f>
        <v>12:54</v>
      </c>
      <c r="D310" s="65" t="str">
        <f>IFERROR(__xludf.DUMMYFUNCTION("""COMPUTED_VALUE"""),"06-03-2026")</f>
        <v>06-03-2026</v>
      </c>
      <c r="E310" s="65" t="str">
        <f>IFERROR(__xludf.DUMMYFUNCTION("""COMPUTED_VALUE"""),"Freddy Cortez")</f>
        <v>Freddy Cortez</v>
      </c>
      <c r="F310" s="65" t="str">
        <f>IFERROR(__xludf.DUMMYFUNCTION("""COMPUTED_VALUE"""),"983401510")</f>
        <v>983401510</v>
      </c>
      <c r="G310" s="65" t="str">
        <f>IFERROR(__xludf.DUMMYFUNCTION("""COMPUTED_VALUE"""),"freddycortezb1982@gmail.com")</f>
        <v>freddycortezb1982@gmail.com</v>
      </c>
      <c r="H310" s="65"/>
      <c r="I310" s="65"/>
      <c r="J310" s="65" t="str">
        <f>IFERROR(__xludf.DUMMYFUNCTION("""COMPUTED_VALUE"""),"D001396871")</f>
        <v>D001396871</v>
      </c>
      <c r="K310" s="65" t="str">
        <f>IFERROR(__xludf.DUMMYFUNCTION("""COMPUTED_VALUE"""),"DEVOLUCION")</f>
        <v>DEVOLUCION</v>
      </c>
      <c r="L310" s="65" t="str">
        <f>IFERROR(__xludf.DUMMYFUNCTION("""COMPUTED_VALUE"""),"CON RECAUDO")</f>
        <v>CON RECAUDO</v>
      </c>
      <c r="M310" s="65" t="str">
        <f>IFERROR(__xludf.DUMMYFUNCTION("""COMPUTED_VALUE"""),"SANTA ELENA")</f>
        <v>SANTA ELENA</v>
      </c>
      <c r="N310" s="65" t="str">
        <f>IFERROR(__xludf.DUMMYFUNCTION("""COMPUTED_VALUE"""),"LA LIBERTAD")</f>
        <v>LA LIBERTAD</v>
      </c>
      <c r="O310" s="65" t="str">
        <f>IFERROR(__xludf.DUMMYFUNCTION("""COMPUTED_VALUE"""),"Calle 14 Diagonal a la esquina de perez #1 dos cuadras a mano derecha -")</f>
        <v>Calle 14 Diagonal a la esquina de perez #1 dos cuadras a mano derecha -</v>
      </c>
      <c r="P310" s="65"/>
      <c r="Q310" s="65" t="str">
        <f>IFERROR(__xludf.DUMMYFUNCTION("""COMPUTED_VALUE"""),"GINTRACOM")</f>
        <v>GINTRACOM</v>
      </c>
      <c r="R310" s="65">
        <f>IFERROR(__xludf.DUMMYFUNCTION("""COMPUTED_VALUE"""),30.0)</f>
        <v>30</v>
      </c>
      <c r="S310" s="65"/>
      <c r="T310" s="65">
        <f>IFERROR(__xludf.DUMMYFUNCTION("""COMPUTED_VALUE"""),6.16)</f>
        <v>6.16</v>
      </c>
      <c r="U310" s="65">
        <f>IFERROR(__xludf.DUMMYFUNCTION("""COMPUTED_VALUE"""),0.0)</f>
        <v>0</v>
      </c>
      <c r="V310" s="65">
        <f>IFERROR(__xludf.DUMMYFUNCTION("""COMPUTED_VALUE"""),0.0)</f>
        <v>0</v>
      </c>
      <c r="W310" s="65">
        <f>IFERROR(__xludf.DUMMYFUNCTION("""COMPUTED_VALUE"""),0.0)</f>
        <v>0</v>
      </c>
      <c r="X310" s="65">
        <f>IFERROR(__xludf.DUMMYFUNCTION("""COMPUTED_VALUE"""),2.35)</f>
        <v>2.35</v>
      </c>
      <c r="Y310" s="65">
        <f>IFERROR(__xludf.DUMMYFUNCTION("""COMPUTED_VALUE"""),7.05)</f>
        <v>7.05</v>
      </c>
      <c r="Z310" s="65">
        <f>IFERROR(__xludf.DUMMYFUNCTION("""COMPUTED_VALUE"""),116679.0)</f>
        <v>116679</v>
      </c>
      <c r="AA310" s="65" t="str">
        <f>IFERROR(__xludf.DUMMYFUNCTION("""COMPUTED_VALUE"""),"AMC-2738")</f>
        <v>AMC-2738</v>
      </c>
      <c r="AB310" s="65"/>
      <c r="AC310" s="65" t="str">
        <f>IFERROR(__xludf.DUMMYFUNCTION("""COMPUTED_VALUE"""),"ESPONJA ANTILLUVIA DE PARABRISAS")</f>
        <v>ESPONJA ANTILLUVIA DE PARABRISAS</v>
      </c>
      <c r="AD310" s="65"/>
      <c r="AE310" s="65">
        <f>IFERROR(__xludf.DUMMYFUNCTION("""COMPUTED_VALUE"""),3.0)</f>
        <v>3</v>
      </c>
      <c r="AF310" s="65" t="str">
        <f>IFERROR(__xludf.DUMMYFUNCTION("""COMPUTED_VALUE"""),"DESTINATARIO NO CONTESTA LLAMADAS NI WHATSAPP")</f>
        <v>DESTINATARIO NO CONTESTA LLAMADAS NI WHATSAPP</v>
      </c>
      <c r="AG310" s="65" t="str">
        <f>IFERROR(__xludf.DUMMYFUNCTION("""COMPUTED_VALUE"""),"NO")</f>
        <v>NO</v>
      </c>
      <c r="AH310" s="65" t="str">
        <f>IFERROR(__xludf.DUMMYFUNCTION("""COMPUTED_VALUE"""),"09:00")</f>
        <v>09:00</v>
      </c>
      <c r="AI310" s="65" t="str">
        <f>IFERROR(__xludf.DUMMYFUNCTION("""COMPUTED_VALUE"""),"19-03-2026")</f>
        <v>19-03-2026</v>
      </c>
      <c r="AJ310" s="65"/>
      <c r="AK310" s="65"/>
      <c r="AL310" s="65"/>
      <c r="AM310" s="65"/>
      <c r="AN310" s="65" t="str">
        <f>IFERROR(__xludf.DUMMYFUNCTION("""COMPUTED_VALUE"""),"03:04")</f>
        <v>03:04</v>
      </c>
      <c r="AO310" s="65" t="str">
        <f>IFERROR(__xludf.DUMMYFUNCTION("""COMPUTED_VALUE"""),"21-03-2026")</f>
        <v>21-03-2026</v>
      </c>
      <c r="AP310" s="65" t="str">
        <f>IFERROR(__xludf.DUMMYFUNCTION("""COMPUTED_VALUE"""),"DEVOLUCIÓN")</f>
        <v>DEVOLUCIÓN</v>
      </c>
      <c r="AQ310" s="65" t="str">
        <f>IFERROR(__xludf.DUMMYFUNCTION("""COMPUTED_VALUE"""),"DEVOLUCIÓN")</f>
        <v>DEVOLUCIÓN</v>
      </c>
      <c r="AR310" s="65"/>
      <c r="AS310" s="65"/>
      <c r="AT310" s="65" t="str">
        <f>IFERROR(__xludf.DUMMYFUNCTION("""COMPUTED_VALUE"""),"SHOPIFY")</f>
        <v>SHOPIFY</v>
      </c>
      <c r="AU310" s="65" t="str">
        <f>IFERROR(__xludf.DUMMYFUNCTION("""COMPUTED_VALUE"""),"IMPORTEX EC")</f>
        <v>IMPORTEX EC</v>
      </c>
      <c r="AV310" s="65" t="str">
        <f>IFERROR(__xludf.DUMMYFUNCTION("""COMPUTED_VALUE"""),"6561021460524")</f>
        <v>6561021460524</v>
      </c>
      <c r="AW310" s="65">
        <f>IFERROR(__xludf.DUMMYFUNCTION("""COMPUTED_VALUE"""),6548.0)</f>
        <v>6548</v>
      </c>
      <c r="AX310" s="65"/>
      <c r="AY310" s="65" t="str">
        <f>IFERROR(__xludf.DUMMYFUNCTION("""COMPUTED_VALUE"""),"09/03/2026")</f>
        <v>09/03/2026</v>
      </c>
      <c r="AZ310" s="65"/>
      <c r="BA310" s="65"/>
    </row>
    <row r="311">
      <c r="A311" s="65" t="str">
        <f>IFERROR(__xludf.DUMMYFUNCTION("""COMPUTED_VALUE"""),"27-03-2026")</f>
        <v>27-03-2026</v>
      </c>
      <c r="B311" s="65">
        <f>IFERROR(__xludf.DUMMYFUNCTION("""COMPUTED_VALUE"""),4717788.0)</f>
        <v>4717788</v>
      </c>
      <c r="C311" s="65" t="str">
        <f>IFERROR(__xludf.DUMMYFUNCTION("""COMPUTED_VALUE"""),"10:42")</f>
        <v>10:42</v>
      </c>
      <c r="D311" s="65" t="str">
        <f>IFERROR(__xludf.DUMMYFUNCTION("""COMPUTED_VALUE"""),"06-03-2026")</f>
        <v>06-03-2026</v>
      </c>
      <c r="E311" s="65" t="str">
        <f>IFERROR(__xludf.DUMMYFUNCTION("""COMPUTED_VALUE"""),"Jose david Coveñas")</f>
        <v>Jose david Coveñas</v>
      </c>
      <c r="F311" s="65" t="str">
        <f>IFERROR(__xludf.DUMMYFUNCTION("""COMPUTED_VALUE"""),"968727145")</f>
        <v>968727145</v>
      </c>
      <c r="G311" s="65" t="str">
        <f>IFERROR(__xludf.DUMMYFUNCTION("""COMPUTED_VALUE"""),"davocovenas29@gmail.com")</f>
        <v>davocovenas29@gmail.com</v>
      </c>
      <c r="H311" s="65"/>
      <c r="I311" s="65"/>
      <c r="J311" s="65" t="str">
        <f>IFERROR(__xludf.DUMMYFUNCTION("""COMPUTED_VALUE"""),"D001394150")</f>
        <v>D001394150</v>
      </c>
      <c r="K311" s="65" t="str">
        <f>IFERROR(__xludf.DUMMYFUNCTION("""COMPUTED_VALUE"""),"ENTREGADO")</f>
        <v>ENTREGADO</v>
      </c>
      <c r="L311" s="65" t="str">
        <f>IFERROR(__xludf.DUMMYFUNCTION("""COMPUTED_VALUE"""),"CON RECAUDO")</f>
        <v>CON RECAUDO</v>
      </c>
      <c r="M311" s="65" t="str">
        <f>IFERROR(__xludf.DUMMYFUNCTION("""COMPUTED_VALUE"""),"MANABI")</f>
        <v>MANABI</v>
      </c>
      <c r="N311" s="65" t="str">
        <f>IFERROR(__xludf.DUMMYFUNCTION("""COMPUTED_VALUE"""),"MANTA")</f>
        <v>MANTA</v>
      </c>
      <c r="O311" s="65" t="str">
        <f>IFERROR(__xludf.DUMMYFUNCTION("""COMPUTED_VALUE"""),"Ciudadela el Egole Egole - Pasando la unidad educativa León de Judá")</f>
        <v>Ciudadela el Egole Egole - Pasando la unidad educativa León de Judá</v>
      </c>
      <c r="P311" s="65"/>
      <c r="Q311" s="65" t="str">
        <f>IFERROR(__xludf.DUMMYFUNCTION("""COMPUTED_VALUE"""),"GINTRACOM")</f>
        <v>GINTRACOM</v>
      </c>
      <c r="R311" s="65">
        <f>IFERROR(__xludf.DUMMYFUNCTION("""COMPUTED_VALUE"""),25.0)</f>
        <v>25</v>
      </c>
      <c r="S311" s="65">
        <f>IFERROR(__xludf.DUMMYFUNCTION("""COMPUTED_VALUE"""),11.04)</f>
        <v>11.04</v>
      </c>
      <c r="T311" s="65">
        <f>IFERROR(__xludf.DUMMYFUNCTION("""COMPUTED_VALUE"""),5.96)</f>
        <v>5.96</v>
      </c>
      <c r="U311" s="65">
        <f>IFERROR(__xludf.DUMMYFUNCTION("""COMPUTED_VALUE"""),0.0)</f>
        <v>0</v>
      </c>
      <c r="V311" s="65">
        <f>IFERROR(__xludf.DUMMYFUNCTION("""COMPUTED_VALUE"""),0.0)</f>
        <v>0</v>
      </c>
      <c r="W311" s="65">
        <f>IFERROR(__xludf.DUMMYFUNCTION("""COMPUTED_VALUE"""),0.0)</f>
        <v>0</v>
      </c>
      <c r="X311" s="65">
        <f>IFERROR(__xludf.DUMMYFUNCTION("""COMPUTED_VALUE"""),4.0)</f>
        <v>4</v>
      </c>
      <c r="Y311" s="65">
        <f>IFERROR(__xludf.DUMMYFUNCTION("""COMPUTED_VALUE"""),8.0)</f>
        <v>8</v>
      </c>
      <c r="Z311" s="65">
        <f>IFERROR(__xludf.DUMMYFUNCTION("""COMPUTED_VALUE"""),116882.0)</f>
        <v>116882</v>
      </c>
      <c r="AA311" s="65" t="str">
        <f>IFERROR(__xludf.DUMMYFUNCTION("""COMPUTED_VALUE"""),"IMX-00002")</f>
        <v>IMX-00002</v>
      </c>
      <c r="AB311" s="65"/>
      <c r="AC311" s="65" t="str">
        <f>IFERROR(__xludf.DUMMYFUNCTION("""COMPUTED_VALUE"""),"FILTRO DE LAVAMANOS")</f>
        <v>FILTRO DE LAVAMANOS</v>
      </c>
      <c r="AD311" s="65"/>
      <c r="AE311" s="65">
        <f>IFERROR(__xludf.DUMMYFUNCTION("""COMPUTED_VALUE"""),2.0)</f>
        <v>2</v>
      </c>
      <c r="AF311" s="65"/>
      <c r="AG311" s="65"/>
      <c r="AH311" s="65"/>
      <c r="AI311" s="65"/>
      <c r="AJ311" s="65"/>
      <c r="AK311" s="65"/>
      <c r="AL311" s="65"/>
      <c r="AM311" s="65"/>
      <c r="AN311" s="65" t="str">
        <f>IFERROR(__xludf.DUMMYFUNCTION("""COMPUTED_VALUE"""),"12:24")</f>
        <v>12:24</v>
      </c>
      <c r="AO311" s="65" t="str">
        <f>IFERROR(__xludf.DUMMYFUNCTION("""COMPUTED_VALUE"""),"10-03-2026")</f>
        <v>10-03-2026</v>
      </c>
      <c r="AP311" s="65" t="str">
        <f>IFERROR(__xludf.DUMMYFUNCTION("""COMPUTED_VALUE"""),"ENTREGADA GINTRACOM")</f>
        <v>ENTREGADA GINTRACOM</v>
      </c>
      <c r="AQ311" s="65" t="str">
        <f>IFERROR(__xludf.DUMMYFUNCTION("""COMPUTED_VALUE"""),"ENTREGADA GINTRACOM")</f>
        <v>ENTREGADA GINTRACOM</v>
      </c>
      <c r="AR311" s="65"/>
      <c r="AS311" s="65"/>
      <c r="AT311" s="65" t="str">
        <f>IFERROR(__xludf.DUMMYFUNCTION("""COMPUTED_VALUE"""),"SHOPIFY")</f>
        <v>SHOPIFY</v>
      </c>
      <c r="AU311" s="65" t="str">
        <f>IFERROR(__xludf.DUMMYFUNCTION("""COMPUTED_VALUE"""),"IMPORTEX EC")</f>
        <v>IMPORTEX EC</v>
      </c>
      <c r="AV311" s="65" t="str">
        <f>IFERROR(__xludf.DUMMYFUNCTION("""COMPUTED_VALUE"""),"6560696762412")</f>
        <v>6560696762412</v>
      </c>
      <c r="AW311" s="65">
        <f>IFERROR(__xludf.DUMMYFUNCTION("""COMPUTED_VALUE"""),6547.0)</f>
        <v>6547</v>
      </c>
      <c r="AX311" s="65"/>
      <c r="AY311" s="65" t="str">
        <f>IFERROR(__xludf.DUMMYFUNCTION("""COMPUTED_VALUE"""),"09/03/2026")</f>
        <v>09/03/2026</v>
      </c>
      <c r="AZ311" s="65"/>
      <c r="BA311" s="65"/>
    </row>
    <row r="312">
      <c r="A312" s="65" t="str">
        <f>IFERROR(__xludf.DUMMYFUNCTION("""COMPUTED_VALUE"""),"27-03-2026")</f>
        <v>27-03-2026</v>
      </c>
      <c r="B312" s="65">
        <f>IFERROR(__xludf.DUMMYFUNCTION("""COMPUTED_VALUE"""),4717650.0)</f>
        <v>4717650</v>
      </c>
      <c r="C312" s="65" t="str">
        <f>IFERROR(__xludf.DUMMYFUNCTION("""COMPUTED_VALUE"""),"10:30")</f>
        <v>10:30</v>
      </c>
      <c r="D312" s="65" t="str">
        <f>IFERROR(__xludf.DUMMYFUNCTION("""COMPUTED_VALUE"""),"06-03-2026")</f>
        <v>06-03-2026</v>
      </c>
      <c r="E312" s="65" t="str">
        <f>IFERROR(__xludf.DUMMYFUNCTION("""COMPUTED_VALUE"""),"Alexander Pilaguano")</f>
        <v>Alexander Pilaguano</v>
      </c>
      <c r="F312" s="65" t="str">
        <f>IFERROR(__xludf.DUMMYFUNCTION("""COMPUTED_VALUE"""),"978970718")</f>
        <v>978970718</v>
      </c>
      <c r="G312" s="65" t="str">
        <f>IFERROR(__xludf.DUMMYFUNCTION("""COMPUTED_VALUE"""),"alexander.pilaguano1997@gmail.com")</f>
        <v>alexander.pilaguano1997@gmail.com</v>
      </c>
      <c r="H312" s="65"/>
      <c r="I312" s="65"/>
      <c r="J312" s="65" t="str">
        <f>IFERROR(__xludf.DUMMYFUNCTION("""COMPUTED_VALUE"""),"D001396873")</f>
        <v>D001396873</v>
      </c>
      <c r="K312" s="65" t="str">
        <f>IFERROR(__xludf.DUMMYFUNCTION("""COMPUTED_VALUE"""),"ENTREGADO")</f>
        <v>ENTREGADO</v>
      </c>
      <c r="L312" s="65" t="str">
        <f>IFERROR(__xludf.DUMMYFUNCTION("""COMPUTED_VALUE"""),"CON RECAUDO")</f>
        <v>CON RECAUDO</v>
      </c>
      <c r="M312" s="65" t="str">
        <f>IFERROR(__xludf.DUMMYFUNCTION("""COMPUTED_VALUE"""),"COTOPAXI")</f>
        <v>COTOPAXI</v>
      </c>
      <c r="N312" s="65" t="str">
        <f>IFERROR(__xludf.DUMMYFUNCTION("""COMPUTED_VALUE"""),"LA MANA")</f>
        <v>LA MANA</v>
      </c>
      <c r="O312" s="65" t="str">
        <f>IFERROR(__xludf.DUMMYFUNCTION("""COMPUTED_VALUE"""),"Calle San Pablo y Otto Arosemena sucursal virgen del Carmen A una cuadra antes de la policía judicial -")</f>
        <v>Calle San Pablo y Otto Arosemena sucursal virgen del Carmen A una cuadra antes de la policía judicial -</v>
      </c>
      <c r="P312" s="65"/>
      <c r="Q312" s="65" t="str">
        <f>IFERROR(__xludf.DUMMYFUNCTION("""COMPUTED_VALUE"""),"GINTRACOM")</f>
        <v>GINTRACOM</v>
      </c>
      <c r="R312" s="65">
        <f>IFERROR(__xludf.DUMMYFUNCTION("""COMPUTED_VALUE"""),25.0)</f>
        <v>25</v>
      </c>
      <c r="S312" s="65">
        <f>IFERROR(__xludf.DUMMYFUNCTION("""COMPUTED_VALUE"""),14.34)</f>
        <v>14.34</v>
      </c>
      <c r="T312" s="65">
        <f>IFERROR(__xludf.DUMMYFUNCTION("""COMPUTED_VALUE"""),5.96)</f>
        <v>5.96</v>
      </c>
      <c r="U312" s="65">
        <f>IFERROR(__xludf.DUMMYFUNCTION("""COMPUTED_VALUE"""),0.0)</f>
        <v>0</v>
      </c>
      <c r="V312" s="65">
        <f>IFERROR(__xludf.DUMMYFUNCTION("""COMPUTED_VALUE"""),0.0)</f>
        <v>0</v>
      </c>
      <c r="W312" s="65">
        <f>IFERROR(__xludf.DUMMYFUNCTION("""COMPUTED_VALUE"""),0.0)</f>
        <v>0</v>
      </c>
      <c r="X312" s="65">
        <f>IFERROR(__xludf.DUMMYFUNCTION("""COMPUTED_VALUE"""),2.35)</f>
        <v>2.35</v>
      </c>
      <c r="Y312" s="65">
        <f>IFERROR(__xludf.DUMMYFUNCTION("""COMPUTED_VALUE"""),4.7)</f>
        <v>4.7</v>
      </c>
      <c r="Z312" s="65">
        <f>IFERROR(__xludf.DUMMYFUNCTION("""COMPUTED_VALUE"""),116679.0)</f>
        <v>116679</v>
      </c>
      <c r="AA312" s="65" t="str">
        <f>IFERROR(__xludf.DUMMYFUNCTION("""COMPUTED_VALUE"""),"AMC-2738")</f>
        <v>AMC-2738</v>
      </c>
      <c r="AB312" s="65"/>
      <c r="AC312" s="65" t="str">
        <f>IFERROR(__xludf.DUMMYFUNCTION("""COMPUTED_VALUE"""),"ESPONJA ANTILLUVIA DE PARABRISAS")</f>
        <v>ESPONJA ANTILLUVIA DE PARABRISAS</v>
      </c>
      <c r="AD312" s="65"/>
      <c r="AE312" s="65">
        <f>IFERROR(__xludf.DUMMYFUNCTION("""COMPUTED_VALUE"""),2.0)</f>
        <v>2</v>
      </c>
      <c r="AF312" s="65" t="str">
        <f>IFERROR(__xludf.DUMMYFUNCTION("""COMPUTED_VALUE"""),"DESTINATARIO NO CONTESTA LLAMADAS NI WHATSAPP")</f>
        <v>DESTINATARIO NO CONTESTA LLAMADAS NI WHATSAPP</v>
      </c>
      <c r="AG312" s="65" t="str">
        <f>IFERROR(__xludf.DUMMYFUNCTION("""COMPUTED_VALUE"""),"SI")</f>
        <v>SI</v>
      </c>
      <c r="AH312" s="65" t="str">
        <f>IFERROR(__xludf.DUMMYFUNCTION("""COMPUTED_VALUE"""),"07:02")</f>
        <v>07:02</v>
      </c>
      <c r="AI312" s="65" t="str">
        <f>IFERROR(__xludf.DUMMYFUNCTION("""COMPUTED_VALUE"""),"12-03-2026")</f>
        <v>12-03-2026</v>
      </c>
      <c r="AJ312" s="65" t="str">
        <f>IFERROR(__xludf.DUMMYFUNCTION("""COMPUTED_VALUE"""),"Cliente solicita la entrega inmediata")</f>
        <v>Cliente solicita la entrega inmediata</v>
      </c>
      <c r="AK312" s="65" t="str">
        <f>IFERROR(__xludf.DUMMYFUNCTION("""COMPUTED_VALUE"""),"11:01")</f>
        <v>11:01</v>
      </c>
      <c r="AL312" s="65" t="str">
        <f>IFERROR(__xludf.DUMMYFUNCTION("""COMPUTED_VALUE"""),"12-03-2026")</f>
        <v>12-03-2026</v>
      </c>
      <c r="AM312" s="65"/>
      <c r="AN312" s="65" t="str">
        <f>IFERROR(__xludf.DUMMYFUNCTION("""COMPUTED_VALUE"""),"18:01")</f>
        <v>18:01</v>
      </c>
      <c r="AO312" s="65" t="str">
        <f>IFERROR(__xludf.DUMMYFUNCTION("""COMPUTED_VALUE"""),"13-03-2026")</f>
        <v>13-03-2026</v>
      </c>
      <c r="AP312" s="65" t="str">
        <f>IFERROR(__xludf.DUMMYFUNCTION("""COMPUTED_VALUE"""),"ENTREGADA GINTRACOM")</f>
        <v>ENTREGADA GINTRACOM</v>
      </c>
      <c r="AQ312" s="65" t="str">
        <f>IFERROR(__xludf.DUMMYFUNCTION("""COMPUTED_VALUE"""),"ENTREGADA GINTRACOM")</f>
        <v>ENTREGADA GINTRACOM</v>
      </c>
      <c r="AR312" s="65"/>
      <c r="AS312" s="65"/>
      <c r="AT312" s="65" t="str">
        <f>IFERROR(__xludf.DUMMYFUNCTION("""COMPUTED_VALUE"""),"SHOPIFY")</f>
        <v>SHOPIFY</v>
      </c>
      <c r="AU312" s="65" t="str">
        <f>IFERROR(__xludf.DUMMYFUNCTION("""COMPUTED_VALUE"""),"IMPORTEX EC")</f>
        <v>IMPORTEX EC</v>
      </c>
      <c r="AV312" s="65" t="str">
        <f>IFERROR(__xludf.DUMMYFUNCTION("""COMPUTED_VALUE"""),"6560671596588")</f>
        <v>6560671596588</v>
      </c>
      <c r="AW312" s="65">
        <f>IFERROR(__xludf.DUMMYFUNCTION("""COMPUTED_VALUE"""),6546.0)</f>
        <v>6546</v>
      </c>
      <c r="AX312" s="65"/>
      <c r="AY312" s="65" t="str">
        <f>IFERROR(__xludf.DUMMYFUNCTION("""COMPUTED_VALUE"""),"09/03/2026")</f>
        <v>09/03/2026</v>
      </c>
      <c r="AZ312" s="65"/>
      <c r="BA312" s="65"/>
    </row>
    <row r="313">
      <c r="A313" s="65" t="str">
        <f>IFERROR(__xludf.DUMMYFUNCTION("""COMPUTED_VALUE"""),"27-03-2026")</f>
        <v>27-03-2026</v>
      </c>
      <c r="B313" s="65">
        <f>IFERROR(__xludf.DUMMYFUNCTION("""COMPUTED_VALUE"""),4717166.0)</f>
        <v>4717166</v>
      </c>
      <c r="C313" s="65" t="str">
        <f>IFERROR(__xludf.DUMMYFUNCTION("""COMPUTED_VALUE"""),"09:50")</f>
        <v>09:50</v>
      </c>
      <c r="D313" s="65" t="str">
        <f>IFERROR(__xludf.DUMMYFUNCTION("""COMPUTED_VALUE"""),"06-03-2026")</f>
        <v>06-03-2026</v>
      </c>
      <c r="E313" s="65" t="str">
        <f>IFERROR(__xludf.DUMMYFUNCTION("""COMPUTED_VALUE"""),"hugo ponce")</f>
        <v>hugo ponce</v>
      </c>
      <c r="F313" s="65" t="str">
        <f>IFERROR(__xludf.DUMMYFUNCTION("""COMPUTED_VALUE"""),"989439490")</f>
        <v>989439490</v>
      </c>
      <c r="G313" s="65" t="str">
        <f>IFERROR(__xludf.DUMMYFUNCTION("""COMPUTED_VALUE"""),"hugoponce1223@gmail.com")</f>
        <v>hugoponce1223@gmail.com</v>
      </c>
      <c r="H313" s="65"/>
      <c r="I313" s="65"/>
      <c r="J313" s="65"/>
      <c r="K313" s="65" t="str">
        <f>IFERROR(__xludf.DUMMYFUNCTION("""COMPUTED_VALUE"""),"PENDIENTE CONFIRMACION")</f>
        <v>PENDIENTE CONFIRMACION</v>
      </c>
      <c r="L313" s="65" t="str">
        <f>IFERROR(__xludf.DUMMYFUNCTION("""COMPUTED_VALUE"""),"CON RECAUDO")</f>
        <v>CON RECAUDO</v>
      </c>
      <c r="M313" s="65" t="str">
        <f>IFERROR(__xludf.DUMMYFUNCTION("""COMPUTED_VALUE"""),"AZUAY")</f>
        <v>AZUAY</v>
      </c>
      <c r="N313" s="65" t="str">
        <f>IFERROR(__xludf.DUMMYFUNCTION("""COMPUTED_VALUE"""),"BANOS")</f>
        <v>BANOS</v>
      </c>
      <c r="O313" s="65" t="str">
        <f>IFERROR(__xludf.DUMMYFUNCTION("""COMPUTED_VALUE"""),"Lot 17 Coral Way y Ibarra ecuador -")</f>
        <v>Lot 17 Coral Way y Ibarra ecuador -</v>
      </c>
      <c r="P313" s="65"/>
      <c r="Q313" s="65" t="str">
        <f>IFERROR(__xludf.DUMMYFUNCTION("""COMPUTED_VALUE"""),"SERVIENTREGA")</f>
        <v>SERVIENTREGA</v>
      </c>
      <c r="R313" s="65">
        <f>IFERROR(__xludf.DUMMYFUNCTION("""COMPUTED_VALUE"""),20.0)</f>
        <v>20</v>
      </c>
      <c r="S313" s="65"/>
      <c r="T313" s="65">
        <f>IFERROR(__xludf.DUMMYFUNCTION("""COMPUTED_VALUE"""),7.67)</f>
        <v>7.67</v>
      </c>
      <c r="U313" s="65">
        <f>IFERROR(__xludf.DUMMYFUNCTION("""COMPUTED_VALUE"""),0.0)</f>
        <v>0</v>
      </c>
      <c r="V313" s="65">
        <f>IFERROR(__xludf.DUMMYFUNCTION("""COMPUTED_VALUE"""),0.0)</f>
        <v>0</v>
      </c>
      <c r="W313" s="65">
        <f>IFERROR(__xludf.DUMMYFUNCTION("""COMPUTED_VALUE"""),0.0)</f>
        <v>0</v>
      </c>
      <c r="X313" s="65">
        <f>IFERROR(__xludf.DUMMYFUNCTION("""COMPUTED_VALUE"""),2.35)</f>
        <v>2.35</v>
      </c>
      <c r="Y313" s="65">
        <f>IFERROR(__xludf.DUMMYFUNCTION("""COMPUTED_VALUE"""),2.35)</f>
        <v>2.35</v>
      </c>
      <c r="Z313" s="65">
        <f>IFERROR(__xludf.DUMMYFUNCTION("""COMPUTED_VALUE"""),116679.0)</f>
        <v>116679</v>
      </c>
      <c r="AA313" s="65" t="str">
        <f>IFERROR(__xludf.DUMMYFUNCTION("""COMPUTED_VALUE"""),"AMC-2738")</f>
        <v>AMC-2738</v>
      </c>
      <c r="AB313" s="65"/>
      <c r="AC313" s="65" t="str">
        <f>IFERROR(__xludf.DUMMYFUNCTION("""COMPUTED_VALUE"""),"ESPONJA ANTILLUVIA DE PARABRISAS")</f>
        <v>ESPONJA ANTILLUVIA DE PARABRISAS</v>
      </c>
      <c r="AD313" s="65"/>
      <c r="AE313" s="65">
        <f>IFERROR(__xludf.DUMMYFUNCTION("""COMPUTED_VALUE"""),1.0)</f>
        <v>1</v>
      </c>
      <c r="AF313" s="65"/>
      <c r="AG313" s="65"/>
      <c r="AH313" s="65"/>
      <c r="AI313" s="65"/>
      <c r="AJ313" s="65"/>
      <c r="AK313" s="65"/>
      <c r="AL313" s="65"/>
      <c r="AM313" s="65"/>
      <c r="AN313" s="65"/>
      <c r="AO313" s="65"/>
      <c r="AP313" s="65"/>
      <c r="AQ313" s="65"/>
      <c r="AR313" s="65"/>
      <c r="AS313" s="65"/>
      <c r="AT313" s="65" t="str">
        <f>IFERROR(__xludf.DUMMYFUNCTION("""COMPUTED_VALUE"""),"SHOPIFY")</f>
        <v>SHOPIFY</v>
      </c>
      <c r="AU313" s="65" t="str">
        <f>IFERROR(__xludf.DUMMYFUNCTION("""COMPUTED_VALUE"""),"IMPORTEX EC")</f>
        <v>IMPORTEX EC</v>
      </c>
      <c r="AV313" s="65" t="str">
        <f>IFERROR(__xludf.DUMMYFUNCTION("""COMPUTED_VALUE"""),"6559048335404")</f>
        <v>6559048335404</v>
      </c>
      <c r="AW313" s="65">
        <f>IFERROR(__xludf.DUMMYFUNCTION("""COMPUTED_VALUE"""),6528.0)</f>
        <v>6528</v>
      </c>
      <c r="AX313" s="65"/>
      <c r="AY313" s="65"/>
      <c r="AZ313" s="65"/>
      <c r="BA313" s="65"/>
    </row>
    <row r="314">
      <c r="A314" s="65" t="str">
        <f>IFERROR(__xludf.DUMMYFUNCTION("""COMPUTED_VALUE"""),"27-03-2026")</f>
        <v>27-03-2026</v>
      </c>
      <c r="B314" s="65">
        <f>IFERROR(__xludf.DUMMYFUNCTION("""COMPUTED_VALUE"""),4717016.0)</f>
        <v>4717016</v>
      </c>
      <c r="C314" s="65" t="str">
        <f>IFERROR(__xludf.DUMMYFUNCTION("""COMPUTED_VALUE"""),"09:36")</f>
        <v>09:36</v>
      </c>
      <c r="D314" s="65" t="str">
        <f>IFERROR(__xludf.DUMMYFUNCTION("""COMPUTED_VALUE"""),"06-03-2026")</f>
        <v>06-03-2026</v>
      </c>
      <c r="E314" s="65" t="str">
        <f>IFERROR(__xludf.DUMMYFUNCTION("""COMPUTED_VALUE"""),"German Mosquera")</f>
        <v>German Mosquera</v>
      </c>
      <c r="F314" s="65" t="str">
        <f>IFERROR(__xludf.DUMMYFUNCTION("""COMPUTED_VALUE"""),"999619275")</f>
        <v>999619275</v>
      </c>
      <c r="G314" s="65" t="str">
        <f>IFERROR(__xludf.DUMMYFUNCTION("""COMPUTED_VALUE"""),"gmosquera71@gmail.com")</f>
        <v>gmosquera71@gmail.com</v>
      </c>
      <c r="H314" s="65"/>
      <c r="I314" s="65"/>
      <c r="J314" s="65" t="str">
        <f>IFERROR(__xludf.DUMMYFUNCTION("""COMPUTED_VALUE"""),"D001394151")</f>
        <v>D001394151</v>
      </c>
      <c r="K314" s="65" t="str">
        <f>IFERROR(__xludf.DUMMYFUNCTION("""COMPUTED_VALUE"""),"ENTREGADO")</f>
        <v>ENTREGADO</v>
      </c>
      <c r="L314" s="65" t="str">
        <f>IFERROR(__xludf.DUMMYFUNCTION("""COMPUTED_VALUE"""),"CON RECAUDO")</f>
        <v>CON RECAUDO</v>
      </c>
      <c r="M314" s="65" t="str">
        <f>IFERROR(__xludf.DUMMYFUNCTION("""COMPUTED_VALUE"""),"SANTA ELENA")</f>
        <v>SANTA ELENA</v>
      </c>
      <c r="N314" s="65" t="str">
        <f>IFERROR(__xludf.DUMMYFUNCTION("""COMPUTED_VALUE"""),"SALINAS")</f>
        <v>SALINAS</v>
      </c>
      <c r="O314" s="65" t="str">
        <f>IFERROR(__xludf.DUMMYFUNCTION("""COMPUTED_VALUE"""),"Puertas del Sol Mz J Villa 2 Tv cable -")</f>
        <v>Puertas del Sol Mz J Villa 2 Tv cable -</v>
      </c>
      <c r="P314" s="65"/>
      <c r="Q314" s="65" t="str">
        <f>IFERROR(__xludf.DUMMYFUNCTION("""COMPUTED_VALUE"""),"GINTRACOM")</f>
        <v>GINTRACOM</v>
      </c>
      <c r="R314" s="65">
        <f>IFERROR(__xludf.DUMMYFUNCTION("""COMPUTED_VALUE"""),25.0)</f>
        <v>25</v>
      </c>
      <c r="S314" s="65">
        <f>IFERROR(__xludf.DUMMYFUNCTION("""COMPUTED_VALUE"""),10.47)</f>
        <v>10.47</v>
      </c>
      <c r="T314" s="65">
        <f>IFERROR(__xludf.DUMMYFUNCTION("""COMPUTED_VALUE"""),6.53)</f>
        <v>6.53</v>
      </c>
      <c r="U314" s="65">
        <f>IFERROR(__xludf.DUMMYFUNCTION("""COMPUTED_VALUE"""),0.0)</f>
        <v>0</v>
      </c>
      <c r="V314" s="65">
        <f>IFERROR(__xludf.DUMMYFUNCTION("""COMPUTED_VALUE"""),0.0)</f>
        <v>0</v>
      </c>
      <c r="W314" s="65">
        <f>IFERROR(__xludf.DUMMYFUNCTION("""COMPUTED_VALUE"""),0.0)</f>
        <v>0</v>
      </c>
      <c r="X314" s="65">
        <f>IFERROR(__xludf.DUMMYFUNCTION("""COMPUTED_VALUE"""),4.0)</f>
        <v>4</v>
      </c>
      <c r="Y314" s="65">
        <f>IFERROR(__xludf.DUMMYFUNCTION("""COMPUTED_VALUE"""),8.0)</f>
        <v>8</v>
      </c>
      <c r="Z314" s="65">
        <f>IFERROR(__xludf.DUMMYFUNCTION("""COMPUTED_VALUE"""),116882.0)</f>
        <v>116882</v>
      </c>
      <c r="AA314" s="65" t="str">
        <f>IFERROR(__xludf.DUMMYFUNCTION("""COMPUTED_VALUE"""),"IMX-00002")</f>
        <v>IMX-00002</v>
      </c>
      <c r="AB314" s="65"/>
      <c r="AC314" s="65" t="str">
        <f>IFERROR(__xludf.DUMMYFUNCTION("""COMPUTED_VALUE"""),"FILTRO DE LAVAMANOS")</f>
        <v>FILTRO DE LAVAMANOS</v>
      </c>
      <c r="AD314" s="65"/>
      <c r="AE314" s="65">
        <f>IFERROR(__xludf.DUMMYFUNCTION("""COMPUTED_VALUE"""),2.0)</f>
        <v>2</v>
      </c>
      <c r="AF314" s="65"/>
      <c r="AG314" s="65"/>
      <c r="AH314" s="65"/>
      <c r="AI314" s="65"/>
      <c r="AJ314" s="65"/>
      <c r="AK314" s="65"/>
      <c r="AL314" s="65"/>
      <c r="AM314" s="65"/>
      <c r="AN314" s="65" t="str">
        <f>IFERROR(__xludf.DUMMYFUNCTION("""COMPUTED_VALUE"""),"15:02")</f>
        <v>15:02</v>
      </c>
      <c r="AO314" s="65" t="str">
        <f>IFERROR(__xludf.DUMMYFUNCTION("""COMPUTED_VALUE"""),"16-03-2026")</f>
        <v>16-03-2026</v>
      </c>
      <c r="AP314" s="65" t="str">
        <f>IFERROR(__xludf.DUMMYFUNCTION("""COMPUTED_VALUE"""),"ENTREGADA GINTRACOM")</f>
        <v>ENTREGADA GINTRACOM</v>
      </c>
      <c r="AQ314" s="65" t="str">
        <f>IFERROR(__xludf.DUMMYFUNCTION("""COMPUTED_VALUE"""),"ENTREGADA GINTRACOM")</f>
        <v>ENTREGADA GINTRACOM</v>
      </c>
      <c r="AR314" s="65"/>
      <c r="AS314" s="65"/>
      <c r="AT314" s="65" t="str">
        <f>IFERROR(__xludf.DUMMYFUNCTION("""COMPUTED_VALUE"""),"SHOPIFY")</f>
        <v>SHOPIFY</v>
      </c>
      <c r="AU314" s="65" t="str">
        <f>IFERROR(__xludf.DUMMYFUNCTION("""COMPUTED_VALUE"""),"IMPORTEX EC")</f>
        <v>IMPORTEX EC</v>
      </c>
      <c r="AV314" s="65" t="str">
        <f>IFERROR(__xludf.DUMMYFUNCTION("""COMPUTED_VALUE"""),"6560571359276")</f>
        <v>6560571359276</v>
      </c>
      <c r="AW314" s="65">
        <f>IFERROR(__xludf.DUMMYFUNCTION("""COMPUTED_VALUE"""),6545.0)</f>
        <v>6545</v>
      </c>
      <c r="AX314" s="65"/>
      <c r="AY314" s="65" t="str">
        <f>IFERROR(__xludf.DUMMYFUNCTION("""COMPUTED_VALUE"""),"09/03/2026")</f>
        <v>09/03/2026</v>
      </c>
      <c r="AZ314" s="65"/>
      <c r="BA314" s="65"/>
    </row>
    <row r="315">
      <c r="A315" s="65" t="str">
        <f>IFERROR(__xludf.DUMMYFUNCTION("""COMPUTED_VALUE"""),"27-03-2026")</f>
        <v>27-03-2026</v>
      </c>
      <c r="B315" s="65">
        <f>IFERROR(__xludf.DUMMYFUNCTION("""COMPUTED_VALUE"""),4716872.0)</f>
        <v>4716872</v>
      </c>
      <c r="C315" s="65" t="str">
        <f>IFERROR(__xludf.DUMMYFUNCTION("""COMPUTED_VALUE"""),"09:23")</f>
        <v>09:23</v>
      </c>
      <c r="D315" s="65" t="str">
        <f>IFERROR(__xludf.DUMMYFUNCTION("""COMPUTED_VALUE"""),"06-03-2026")</f>
        <v>06-03-2026</v>
      </c>
      <c r="E315" s="65" t="str">
        <f>IFERROR(__xludf.DUMMYFUNCTION("""COMPUTED_VALUE"""),"Margarita Gallo")</f>
        <v>Margarita Gallo</v>
      </c>
      <c r="F315" s="65" t="str">
        <f>IFERROR(__xludf.DUMMYFUNCTION("""COMPUTED_VALUE"""),"999112790")</f>
        <v>999112790</v>
      </c>
      <c r="G315" s="65" t="str">
        <f>IFERROR(__xludf.DUMMYFUNCTION("""COMPUTED_VALUE"""),"ire.gallo@gmail.com")</f>
        <v>ire.gallo@gmail.com</v>
      </c>
      <c r="H315" s="65"/>
      <c r="I315" s="65"/>
      <c r="J315" s="65" t="str">
        <f>IFERROR(__xludf.DUMMYFUNCTION("""COMPUTED_VALUE"""),"D001394155")</f>
        <v>D001394155</v>
      </c>
      <c r="K315" s="65" t="str">
        <f>IFERROR(__xludf.DUMMYFUNCTION("""COMPUTED_VALUE"""),"ENTREGADO")</f>
        <v>ENTREGADO</v>
      </c>
      <c r="L315" s="65" t="str">
        <f>IFERROR(__xludf.DUMMYFUNCTION("""COMPUTED_VALUE"""),"CON RECAUDO")</f>
        <v>CON RECAUDO</v>
      </c>
      <c r="M315" s="65" t="str">
        <f>IFERROR(__xludf.DUMMYFUNCTION("""COMPUTED_VALUE"""),"PICHINCHA")</f>
        <v>PICHINCHA</v>
      </c>
      <c r="N315" s="65" t="str">
        <f>IFERROR(__xludf.DUMMYFUNCTION("""COMPUTED_VALUE"""),"QUITO")</f>
        <v>QUITO</v>
      </c>
      <c r="O315" s="65" t="str">
        <f>IFERROR(__xludf.DUMMYFUNCTION("""COMPUTED_VALUE"""),"San José y E15E, Conjunto Entrepinos, Garita 1 Amagasi del Inca -")</f>
        <v>San José y E15E, Conjunto Entrepinos, Garita 1 Amagasi del Inca -</v>
      </c>
      <c r="P315" s="65"/>
      <c r="Q315" s="65" t="str">
        <f>IFERROR(__xludf.DUMMYFUNCTION("""COMPUTED_VALUE"""),"GINTRACOM")</f>
        <v>GINTRACOM</v>
      </c>
      <c r="R315" s="65">
        <f>IFERROR(__xludf.DUMMYFUNCTION("""COMPUTED_VALUE"""),25.0)</f>
        <v>25</v>
      </c>
      <c r="S315" s="65">
        <f>IFERROR(__xludf.DUMMYFUNCTION("""COMPUTED_VALUE"""),12.65)</f>
        <v>12.65</v>
      </c>
      <c r="T315" s="65">
        <f>IFERROR(__xludf.DUMMYFUNCTION("""COMPUTED_VALUE"""),4.35)</f>
        <v>4.35</v>
      </c>
      <c r="U315" s="65">
        <f>IFERROR(__xludf.DUMMYFUNCTION("""COMPUTED_VALUE"""),0.0)</f>
        <v>0</v>
      </c>
      <c r="V315" s="65">
        <f>IFERROR(__xludf.DUMMYFUNCTION("""COMPUTED_VALUE"""),0.0)</f>
        <v>0</v>
      </c>
      <c r="W315" s="65">
        <f>IFERROR(__xludf.DUMMYFUNCTION("""COMPUTED_VALUE"""),0.0)</f>
        <v>0</v>
      </c>
      <c r="X315" s="65">
        <f>IFERROR(__xludf.DUMMYFUNCTION("""COMPUTED_VALUE"""),4.0)</f>
        <v>4</v>
      </c>
      <c r="Y315" s="65">
        <f>IFERROR(__xludf.DUMMYFUNCTION("""COMPUTED_VALUE"""),8.0)</f>
        <v>8</v>
      </c>
      <c r="Z315" s="65">
        <f>IFERROR(__xludf.DUMMYFUNCTION("""COMPUTED_VALUE"""),116882.0)</f>
        <v>116882</v>
      </c>
      <c r="AA315" s="65" t="str">
        <f>IFERROR(__xludf.DUMMYFUNCTION("""COMPUTED_VALUE"""),"IMX-00002")</f>
        <v>IMX-00002</v>
      </c>
      <c r="AB315" s="65"/>
      <c r="AC315" s="65" t="str">
        <f>IFERROR(__xludf.DUMMYFUNCTION("""COMPUTED_VALUE"""),"FILTRO DE LAVAMANOS")</f>
        <v>FILTRO DE LAVAMANOS</v>
      </c>
      <c r="AD315" s="65"/>
      <c r="AE315" s="65">
        <f>IFERROR(__xludf.DUMMYFUNCTION("""COMPUTED_VALUE"""),2.0)</f>
        <v>2</v>
      </c>
      <c r="AF315" s="65"/>
      <c r="AG315" s="65"/>
      <c r="AH315" s="65"/>
      <c r="AI315" s="65"/>
      <c r="AJ315" s="65"/>
      <c r="AK315" s="65"/>
      <c r="AL315" s="65"/>
      <c r="AM315" s="65"/>
      <c r="AN315" s="65" t="str">
        <f>IFERROR(__xludf.DUMMYFUNCTION("""COMPUTED_VALUE"""),"10:57")</f>
        <v>10:57</v>
      </c>
      <c r="AO315" s="65" t="str">
        <f>IFERROR(__xludf.DUMMYFUNCTION("""COMPUTED_VALUE"""),"10-03-2026")</f>
        <v>10-03-2026</v>
      </c>
      <c r="AP315" s="65" t="str">
        <f>IFERROR(__xludf.DUMMYFUNCTION("""COMPUTED_VALUE"""),"ENTREGADA GINTRACOM")</f>
        <v>ENTREGADA GINTRACOM</v>
      </c>
      <c r="AQ315" s="65" t="str">
        <f>IFERROR(__xludf.DUMMYFUNCTION("""COMPUTED_VALUE"""),"ENTREGADA GINTRACOM")</f>
        <v>ENTREGADA GINTRACOM</v>
      </c>
      <c r="AR315" s="65"/>
      <c r="AS315" s="65"/>
      <c r="AT315" s="65" t="str">
        <f>IFERROR(__xludf.DUMMYFUNCTION("""COMPUTED_VALUE"""),"SHOPIFY")</f>
        <v>SHOPIFY</v>
      </c>
      <c r="AU315" s="65" t="str">
        <f>IFERROR(__xludf.DUMMYFUNCTION("""COMPUTED_VALUE"""),"IMPORTEX EC")</f>
        <v>IMPORTEX EC</v>
      </c>
      <c r="AV315" s="65" t="str">
        <f>IFERROR(__xludf.DUMMYFUNCTION("""COMPUTED_VALUE"""),"6560545767468")</f>
        <v>6560545767468</v>
      </c>
      <c r="AW315" s="65">
        <f>IFERROR(__xludf.DUMMYFUNCTION("""COMPUTED_VALUE"""),6544.0)</f>
        <v>6544</v>
      </c>
      <c r="AX315" s="65"/>
      <c r="AY315" s="65" t="str">
        <f>IFERROR(__xludf.DUMMYFUNCTION("""COMPUTED_VALUE"""),"09/03/2026")</f>
        <v>09/03/2026</v>
      </c>
      <c r="AZ315" s="65"/>
      <c r="BA315" s="65"/>
    </row>
    <row r="316">
      <c r="A316" s="65" t="str">
        <f>IFERROR(__xludf.DUMMYFUNCTION("""COMPUTED_VALUE"""),"27-03-2026")</f>
        <v>27-03-2026</v>
      </c>
      <c r="B316" s="65">
        <f>IFERROR(__xludf.DUMMYFUNCTION("""COMPUTED_VALUE"""),4716418.0)</f>
        <v>4716418</v>
      </c>
      <c r="C316" s="65" t="str">
        <f>IFERROR(__xludf.DUMMYFUNCTION("""COMPUTED_VALUE"""),"08:47")</f>
        <v>08:47</v>
      </c>
      <c r="D316" s="65" t="str">
        <f>IFERROR(__xludf.DUMMYFUNCTION("""COMPUTED_VALUE"""),"06-03-2026")</f>
        <v>06-03-2026</v>
      </c>
      <c r="E316" s="65" t="str">
        <f>IFERROR(__xludf.DUMMYFUNCTION("""COMPUTED_VALUE"""),"Ronald Rondon")</f>
        <v>Ronald Rondon</v>
      </c>
      <c r="F316" s="65" t="str">
        <f>IFERROR(__xludf.DUMMYFUNCTION("""COMPUTED_VALUE"""),"978953407")</f>
        <v>978953407</v>
      </c>
      <c r="G316" s="65" t="str">
        <f>IFERROR(__xludf.DUMMYFUNCTION("""COMPUTED_VALUE"""),"ronaldrondon10@gmail.com")</f>
        <v>ronaldrondon10@gmail.com</v>
      </c>
      <c r="H316" s="65"/>
      <c r="I316" s="65"/>
      <c r="J316" s="65" t="str">
        <f>IFERROR(__xludf.DUMMYFUNCTION("""COMPUTED_VALUE"""),"D001391429")</f>
        <v>D001391429</v>
      </c>
      <c r="K316" s="65" t="str">
        <f>IFERROR(__xludf.DUMMYFUNCTION("""COMPUTED_VALUE"""),"ENTREGADO")</f>
        <v>ENTREGADO</v>
      </c>
      <c r="L316" s="65" t="str">
        <f>IFERROR(__xludf.DUMMYFUNCTION("""COMPUTED_VALUE"""),"CON RECAUDO")</f>
        <v>CON RECAUDO</v>
      </c>
      <c r="M316" s="65" t="str">
        <f>IFERROR(__xludf.DUMMYFUNCTION("""COMPUTED_VALUE"""),"MANABI")</f>
        <v>MANABI</v>
      </c>
      <c r="N316" s="65" t="str">
        <f>IFERROR(__xludf.DUMMYFUNCTION("""COMPUTED_VALUE"""),"MONTECRISTI")</f>
        <v>MONTECRISTI</v>
      </c>
      <c r="O316" s="65" t="str">
        <f>IFERROR(__xludf.DUMMYFUNCTION("""COMPUTED_VALUE"""),"Calle 28 de mayo con calle 16 Leónidas Proaño La Proaño - tienda esquinera  frente al parque -")</f>
        <v>Calle 28 de mayo con calle 16 Leónidas Proaño La Proaño - tienda esquinera  frente al parque -</v>
      </c>
      <c r="P316" s="65"/>
      <c r="Q316" s="65" t="str">
        <f>IFERROR(__xludf.DUMMYFUNCTION("""COMPUTED_VALUE"""),"GINTRACOM")</f>
        <v>GINTRACOM</v>
      </c>
      <c r="R316" s="65">
        <f>IFERROR(__xludf.DUMMYFUNCTION("""COMPUTED_VALUE"""),25.0)</f>
        <v>25</v>
      </c>
      <c r="S316" s="65">
        <f>IFERROR(__xludf.DUMMYFUNCTION("""COMPUTED_VALUE"""),13.77)</f>
        <v>13.77</v>
      </c>
      <c r="T316" s="65">
        <f>IFERROR(__xludf.DUMMYFUNCTION("""COMPUTED_VALUE"""),6.53)</f>
        <v>6.53</v>
      </c>
      <c r="U316" s="65">
        <f>IFERROR(__xludf.DUMMYFUNCTION("""COMPUTED_VALUE"""),0.0)</f>
        <v>0</v>
      </c>
      <c r="V316" s="65">
        <f>IFERROR(__xludf.DUMMYFUNCTION("""COMPUTED_VALUE"""),0.0)</f>
        <v>0</v>
      </c>
      <c r="W316" s="65">
        <f>IFERROR(__xludf.DUMMYFUNCTION("""COMPUTED_VALUE"""),0.0)</f>
        <v>0</v>
      </c>
      <c r="X316" s="65">
        <f>IFERROR(__xludf.DUMMYFUNCTION("""COMPUTED_VALUE"""),2.35)</f>
        <v>2.35</v>
      </c>
      <c r="Y316" s="65">
        <f>IFERROR(__xludf.DUMMYFUNCTION("""COMPUTED_VALUE"""),4.7)</f>
        <v>4.7</v>
      </c>
      <c r="Z316" s="65">
        <f>IFERROR(__xludf.DUMMYFUNCTION("""COMPUTED_VALUE"""),116679.0)</f>
        <v>116679</v>
      </c>
      <c r="AA316" s="65" t="str">
        <f>IFERROR(__xludf.DUMMYFUNCTION("""COMPUTED_VALUE"""),"AMC-2738")</f>
        <v>AMC-2738</v>
      </c>
      <c r="AB316" s="65"/>
      <c r="AC316" s="65" t="str">
        <f>IFERROR(__xludf.DUMMYFUNCTION("""COMPUTED_VALUE"""),"ESPONJA ANTILLUVIA DE PARABRISAS")</f>
        <v>ESPONJA ANTILLUVIA DE PARABRISAS</v>
      </c>
      <c r="AD316" s="65"/>
      <c r="AE316" s="65">
        <f>IFERROR(__xludf.DUMMYFUNCTION("""COMPUTED_VALUE"""),2.0)</f>
        <v>2</v>
      </c>
      <c r="AF316" s="65"/>
      <c r="AG316" s="65"/>
      <c r="AH316" s="65"/>
      <c r="AI316" s="65"/>
      <c r="AJ316" s="65"/>
      <c r="AK316" s="65"/>
      <c r="AL316" s="65"/>
      <c r="AM316" s="65"/>
      <c r="AN316" s="65" t="str">
        <f>IFERROR(__xludf.DUMMYFUNCTION("""COMPUTED_VALUE"""),"14:48")</f>
        <v>14:48</v>
      </c>
      <c r="AO316" s="65" t="str">
        <f>IFERROR(__xludf.DUMMYFUNCTION("""COMPUTED_VALUE"""),"09-03-2026")</f>
        <v>09-03-2026</v>
      </c>
      <c r="AP316" s="65" t="str">
        <f>IFERROR(__xludf.DUMMYFUNCTION("""COMPUTED_VALUE"""),"ENTREGADA GINTRACOM")</f>
        <v>ENTREGADA GINTRACOM</v>
      </c>
      <c r="AQ316" s="65" t="str">
        <f>IFERROR(__xludf.DUMMYFUNCTION("""COMPUTED_VALUE"""),"ENTREGADA GINTRACOM")</f>
        <v>ENTREGADA GINTRACOM</v>
      </c>
      <c r="AR316" s="65"/>
      <c r="AS316" s="65"/>
      <c r="AT316" s="65" t="str">
        <f>IFERROR(__xludf.DUMMYFUNCTION("""COMPUTED_VALUE"""),"SHOPIFY")</f>
        <v>SHOPIFY</v>
      </c>
      <c r="AU316" s="65" t="str">
        <f>IFERROR(__xludf.DUMMYFUNCTION("""COMPUTED_VALUE"""),"IMPORTEX EC")</f>
        <v>IMPORTEX EC</v>
      </c>
      <c r="AV316" s="65" t="str">
        <f>IFERROR(__xludf.DUMMYFUNCTION("""COMPUTED_VALUE"""),"6560481869868")</f>
        <v>6560481869868</v>
      </c>
      <c r="AW316" s="65">
        <f>IFERROR(__xludf.DUMMYFUNCTION("""COMPUTED_VALUE"""),6543.0)</f>
        <v>6543</v>
      </c>
      <c r="AX316" s="65"/>
      <c r="AY316" s="65" t="str">
        <f>IFERROR(__xludf.DUMMYFUNCTION("""COMPUTED_VALUE"""),"07/03/2026")</f>
        <v>07/03/2026</v>
      </c>
      <c r="AZ316" s="65"/>
      <c r="BA316" s="65"/>
    </row>
    <row r="317">
      <c r="A317" s="65" t="str">
        <f>IFERROR(__xludf.DUMMYFUNCTION("""COMPUTED_VALUE"""),"27-03-2026")</f>
        <v>27-03-2026</v>
      </c>
      <c r="B317" s="65">
        <f>IFERROR(__xludf.DUMMYFUNCTION("""COMPUTED_VALUE"""),4715815.0)</f>
        <v>4715815</v>
      </c>
      <c r="C317" s="65" t="str">
        <f>IFERROR(__xludf.DUMMYFUNCTION("""COMPUTED_VALUE"""),"07:41")</f>
        <v>07:41</v>
      </c>
      <c r="D317" s="65" t="str">
        <f>IFERROR(__xludf.DUMMYFUNCTION("""COMPUTED_VALUE"""),"06-03-2026")</f>
        <v>06-03-2026</v>
      </c>
      <c r="E317" s="65" t="str">
        <f>IFERROR(__xludf.DUMMYFUNCTION("""COMPUTED_VALUE"""),"Carlos Eduardo Macías Santana")</f>
        <v>Carlos Eduardo Macías Santana</v>
      </c>
      <c r="F317" s="65" t="str">
        <f>IFERROR(__xludf.DUMMYFUNCTION("""COMPUTED_VALUE"""),"980195017")</f>
        <v>980195017</v>
      </c>
      <c r="G317" s="65" t="str">
        <f>IFERROR(__xludf.DUMMYFUNCTION("""COMPUTED_VALUE"""),"eduardomaciasantana75@gmail.com")</f>
        <v>eduardomaciasantana75@gmail.com</v>
      </c>
      <c r="H317" s="65"/>
      <c r="I317" s="65"/>
      <c r="J317" s="65"/>
      <c r="K317" s="65" t="str">
        <f>IFERROR(__xludf.DUMMYFUNCTION("""COMPUTED_VALUE"""),"CANCELADO")</f>
        <v>CANCELADO</v>
      </c>
      <c r="L317" s="65" t="str">
        <f>IFERROR(__xludf.DUMMYFUNCTION("""COMPUTED_VALUE"""),"CON RECAUDO")</f>
        <v>CON RECAUDO</v>
      </c>
      <c r="M317" s="65" t="str">
        <f>IFERROR(__xludf.DUMMYFUNCTION("""COMPUTED_VALUE"""),"MANABI")</f>
        <v>MANABI</v>
      </c>
      <c r="N317" s="65" t="str">
        <f>IFERROR(__xludf.DUMMYFUNCTION("""COMPUTED_VALUE"""),"PEDERNALES")</f>
        <v>PEDERNALES</v>
      </c>
      <c r="O317" s="65" t="str">
        <f>IFERROR(__xludf.DUMMYFUNCTION("""COMPUTED_VALUE"""),"Eloy Alfaro y 8va transversal Barrio las Mercedes -")</f>
        <v>Eloy Alfaro y 8va transversal Barrio las Mercedes -</v>
      </c>
      <c r="P317" s="65"/>
      <c r="Q317" s="65" t="str">
        <f>IFERROR(__xludf.DUMMYFUNCTION("""COMPUTED_VALUE"""),"LAARCOURIER")</f>
        <v>LAARCOURIER</v>
      </c>
      <c r="R317" s="65">
        <f>IFERROR(__xludf.DUMMYFUNCTION("""COMPUTED_VALUE"""),25.0)</f>
        <v>25</v>
      </c>
      <c r="S317" s="65"/>
      <c r="T317" s="65">
        <f>IFERROR(__xludf.DUMMYFUNCTION("""COMPUTED_VALUE"""),6.97)</f>
        <v>6.97</v>
      </c>
      <c r="U317" s="65">
        <f>IFERROR(__xludf.DUMMYFUNCTION("""COMPUTED_VALUE"""),0.0)</f>
        <v>0</v>
      </c>
      <c r="V317" s="65">
        <f>IFERROR(__xludf.DUMMYFUNCTION("""COMPUTED_VALUE"""),0.0)</f>
        <v>0</v>
      </c>
      <c r="W317" s="65">
        <f>IFERROR(__xludf.DUMMYFUNCTION("""COMPUTED_VALUE"""),0.0)</f>
        <v>0</v>
      </c>
      <c r="X317" s="65">
        <f>IFERROR(__xludf.DUMMYFUNCTION("""COMPUTED_VALUE"""),2.35)</f>
        <v>2.35</v>
      </c>
      <c r="Y317" s="65">
        <f>IFERROR(__xludf.DUMMYFUNCTION("""COMPUTED_VALUE"""),4.7)</f>
        <v>4.7</v>
      </c>
      <c r="Z317" s="65">
        <f>IFERROR(__xludf.DUMMYFUNCTION("""COMPUTED_VALUE"""),116679.0)</f>
        <v>116679</v>
      </c>
      <c r="AA317" s="65" t="str">
        <f>IFERROR(__xludf.DUMMYFUNCTION("""COMPUTED_VALUE"""),"AMC-2738")</f>
        <v>AMC-2738</v>
      </c>
      <c r="AB317" s="65"/>
      <c r="AC317" s="65" t="str">
        <f>IFERROR(__xludf.DUMMYFUNCTION("""COMPUTED_VALUE"""),"ESPONJA ANTILLUVIA DE PARABRISAS")</f>
        <v>ESPONJA ANTILLUVIA DE PARABRISAS</v>
      </c>
      <c r="AD317" s="65"/>
      <c r="AE317" s="65">
        <f>IFERROR(__xludf.DUMMYFUNCTION("""COMPUTED_VALUE"""),2.0)</f>
        <v>2</v>
      </c>
      <c r="AF317" s="65"/>
      <c r="AG317" s="65"/>
      <c r="AH317" s="65"/>
      <c r="AI317" s="65"/>
      <c r="AJ317" s="65"/>
      <c r="AK317" s="65"/>
      <c r="AL317" s="65"/>
      <c r="AM317" s="65"/>
      <c r="AN317" s="65"/>
      <c r="AO317" s="65"/>
      <c r="AP317" s="65"/>
      <c r="AQ317" s="65"/>
      <c r="AR317" s="65"/>
      <c r="AS317" s="65"/>
      <c r="AT317" s="65" t="str">
        <f>IFERROR(__xludf.DUMMYFUNCTION("""COMPUTED_VALUE"""),"SHOPIFY")</f>
        <v>SHOPIFY</v>
      </c>
      <c r="AU317" s="65" t="str">
        <f>IFERROR(__xludf.DUMMYFUNCTION("""COMPUTED_VALUE"""),"IMPORTEX EC")</f>
        <v>IMPORTEX EC</v>
      </c>
      <c r="AV317" s="65" t="str">
        <f>IFERROR(__xludf.DUMMYFUNCTION("""COMPUTED_VALUE"""),"6560390053932")</f>
        <v>6560390053932</v>
      </c>
      <c r="AW317" s="65">
        <f>IFERROR(__xludf.DUMMYFUNCTION("""COMPUTED_VALUE"""),6542.0)</f>
        <v>6542</v>
      </c>
      <c r="AX317" s="65"/>
      <c r="AY317" s="65"/>
      <c r="AZ317" s="65"/>
      <c r="BA317" s="65"/>
    </row>
    <row r="318">
      <c r="A318" s="65" t="str">
        <f>IFERROR(__xludf.DUMMYFUNCTION("""COMPUTED_VALUE"""),"27-03-2026")</f>
        <v>27-03-2026</v>
      </c>
      <c r="B318" s="65">
        <f>IFERROR(__xludf.DUMMYFUNCTION("""COMPUTED_VALUE"""),4715293.0)</f>
        <v>4715293</v>
      </c>
      <c r="C318" s="65" t="str">
        <f>IFERROR(__xludf.DUMMYFUNCTION("""COMPUTED_VALUE"""),"06:57")</f>
        <v>06:57</v>
      </c>
      <c r="D318" s="65" t="str">
        <f>IFERROR(__xludf.DUMMYFUNCTION("""COMPUTED_VALUE"""),"06-03-2026")</f>
        <v>06-03-2026</v>
      </c>
      <c r="E318" s="65" t="str">
        <f>IFERROR(__xludf.DUMMYFUNCTION("""COMPUTED_VALUE"""),"Patricio Sanchez")</f>
        <v>Patricio Sanchez</v>
      </c>
      <c r="F318" s="65" t="str">
        <f>IFERROR(__xludf.DUMMYFUNCTION("""COMPUTED_VALUE"""),"998174727")</f>
        <v>998174727</v>
      </c>
      <c r="G318" s="65" t="str">
        <f>IFERROR(__xludf.DUMMYFUNCTION("""COMPUTED_VALUE"""),"paxasago@hotmail.com")</f>
        <v>paxasago@hotmail.com</v>
      </c>
      <c r="H318" s="65"/>
      <c r="I318" s="65"/>
      <c r="J318" s="65" t="str">
        <f>IFERROR(__xludf.DUMMYFUNCTION("""COMPUTED_VALUE"""),"D001391433")</f>
        <v>D001391433</v>
      </c>
      <c r="K318" s="65" t="str">
        <f>IFERROR(__xludf.DUMMYFUNCTION("""COMPUTED_VALUE"""),"ENTREGADO")</f>
        <v>ENTREGADO</v>
      </c>
      <c r="L318" s="65" t="str">
        <f>IFERROR(__xludf.DUMMYFUNCTION("""COMPUTED_VALUE"""),"CON RECAUDO")</f>
        <v>CON RECAUDO</v>
      </c>
      <c r="M318" s="65" t="str">
        <f>IFERROR(__xludf.DUMMYFUNCTION("""COMPUTED_VALUE"""),"PICHINCHA")</f>
        <v>PICHINCHA</v>
      </c>
      <c r="N318" s="65" t="str">
        <f>IFERROR(__xludf.DUMMYFUNCTION("""COMPUTED_VALUE"""),"TUMBACO")</f>
        <v>TUMBACO</v>
      </c>
      <c r="O318" s="65" t="str">
        <f>IFERROR(__xludf.DUMMYFUNCTION("""COMPUTED_VALUE"""),"Av. Oswaldo Guayasamin OE4-100 y Rodrigo Nuñez - Tumbaco.- la Granja")</f>
        <v>Av. Oswaldo Guayasamin OE4-100 y Rodrigo Nuñez - Tumbaco.- la Granja</v>
      </c>
      <c r="P318" s="65"/>
      <c r="Q318" s="65" t="str">
        <f>IFERROR(__xludf.DUMMYFUNCTION("""COMPUTED_VALUE"""),"GINTRACOM")</f>
        <v>GINTRACOM</v>
      </c>
      <c r="R318" s="65">
        <f>IFERROR(__xludf.DUMMYFUNCTION("""COMPUTED_VALUE"""),30.0)</f>
        <v>30</v>
      </c>
      <c r="S318" s="65">
        <f>IFERROR(__xludf.DUMMYFUNCTION("""COMPUTED_VALUE"""),17.83)</f>
        <v>17.83</v>
      </c>
      <c r="T318" s="65">
        <f>IFERROR(__xludf.DUMMYFUNCTION("""COMPUTED_VALUE"""),5.12)</f>
        <v>5.12</v>
      </c>
      <c r="U318" s="65">
        <f>IFERROR(__xludf.DUMMYFUNCTION("""COMPUTED_VALUE"""),0.0)</f>
        <v>0</v>
      </c>
      <c r="V318" s="65">
        <f>IFERROR(__xludf.DUMMYFUNCTION("""COMPUTED_VALUE"""),0.0)</f>
        <v>0</v>
      </c>
      <c r="W318" s="65">
        <f>IFERROR(__xludf.DUMMYFUNCTION("""COMPUTED_VALUE"""),0.0)</f>
        <v>0</v>
      </c>
      <c r="X318" s="65">
        <f>IFERROR(__xludf.DUMMYFUNCTION("""COMPUTED_VALUE"""),2.35)</f>
        <v>2.35</v>
      </c>
      <c r="Y318" s="65">
        <f>IFERROR(__xludf.DUMMYFUNCTION("""COMPUTED_VALUE"""),7.05)</f>
        <v>7.05</v>
      </c>
      <c r="Z318" s="65">
        <f>IFERROR(__xludf.DUMMYFUNCTION("""COMPUTED_VALUE"""),116679.0)</f>
        <v>116679</v>
      </c>
      <c r="AA318" s="65" t="str">
        <f>IFERROR(__xludf.DUMMYFUNCTION("""COMPUTED_VALUE"""),"AMC-2738")</f>
        <v>AMC-2738</v>
      </c>
      <c r="AB318" s="65"/>
      <c r="AC318" s="65" t="str">
        <f>IFERROR(__xludf.DUMMYFUNCTION("""COMPUTED_VALUE"""),"ESPONJA ANTILLUVIA DE PARABRISAS")</f>
        <v>ESPONJA ANTILLUVIA DE PARABRISAS</v>
      </c>
      <c r="AD318" s="65"/>
      <c r="AE318" s="65">
        <f>IFERROR(__xludf.DUMMYFUNCTION("""COMPUTED_VALUE"""),3.0)</f>
        <v>3</v>
      </c>
      <c r="AF318" s="65"/>
      <c r="AG318" s="65"/>
      <c r="AH318" s="65"/>
      <c r="AI318" s="65"/>
      <c r="AJ318" s="65"/>
      <c r="AK318" s="65"/>
      <c r="AL318" s="65"/>
      <c r="AM318" s="65"/>
      <c r="AN318" s="65" t="str">
        <f>IFERROR(__xludf.DUMMYFUNCTION("""COMPUTED_VALUE"""),"10:28")</f>
        <v>10:28</v>
      </c>
      <c r="AO318" s="65" t="str">
        <f>IFERROR(__xludf.DUMMYFUNCTION("""COMPUTED_VALUE"""),"21-03-2026")</f>
        <v>21-03-2026</v>
      </c>
      <c r="AP318" s="65" t="str">
        <f>IFERROR(__xludf.DUMMYFUNCTION("""COMPUTED_VALUE"""),"ENTREGADA GINTRACOM")</f>
        <v>ENTREGADA GINTRACOM</v>
      </c>
      <c r="AQ318" s="65" t="str">
        <f>IFERROR(__xludf.DUMMYFUNCTION("""COMPUTED_VALUE"""),"ENTREGADA GINTRACOM")</f>
        <v>ENTREGADA GINTRACOM</v>
      </c>
      <c r="AR318" s="65"/>
      <c r="AS318" s="65"/>
      <c r="AT318" s="65" t="str">
        <f>IFERROR(__xludf.DUMMYFUNCTION("""COMPUTED_VALUE"""),"SHOPIFY")</f>
        <v>SHOPIFY</v>
      </c>
      <c r="AU318" s="65" t="str">
        <f>IFERROR(__xludf.DUMMYFUNCTION("""COMPUTED_VALUE"""),"IMPORTEX EC")</f>
        <v>IMPORTEX EC</v>
      </c>
      <c r="AV318" s="65" t="str">
        <f>IFERROR(__xludf.DUMMYFUNCTION("""COMPUTED_VALUE"""),"6560339460140")</f>
        <v>6560339460140</v>
      </c>
      <c r="AW318" s="65">
        <f>IFERROR(__xludf.DUMMYFUNCTION("""COMPUTED_VALUE"""),6541.0)</f>
        <v>6541</v>
      </c>
      <c r="AX318" s="65"/>
      <c r="AY318" s="65" t="str">
        <f>IFERROR(__xludf.DUMMYFUNCTION("""COMPUTED_VALUE"""),"07/03/2026")</f>
        <v>07/03/2026</v>
      </c>
      <c r="AZ318" s="65"/>
      <c r="BA318" s="65"/>
    </row>
    <row r="319">
      <c r="A319" s="65" t="str">
        <f>IFERROR(__xludf.DUMMYFUNCTION("""COMPUTED_VALUE"""),"27-03-2026")</f>
        <v>27-03-2026</v>
      </c>
      <c r="B319" s="65">
        <f>IFERROR(__xludf.DUMMYFUNCTION("""COMPUTED_VALUE"""),4715067.0)</f>
        <v>4715067</v>
      </c>
      <c r="C319" s="65" t="str">
        <f>IFERROR(__xludf.DUMMYFUNCTION("""COMPUTED_VALUE"""),"06:12")</f>
        <v>06:12</v>
      </c>
      <c r="D319" s="65" t="str">
        <f>IFERROR(__xludf.DUMMYFUNCTION("""COMPUTED_VALUE"""),"06-03-2026")</f>
        <v>06-03-2026</v>
      </c>
      <c r="E319" s="65" t="str">
        <f>IFERROR(__xludf.DUMMYFUNCTION("""COMPUTED_VALUE"""),"Dario Panchi")</f>
        <v>Dario Panchi</v>
      </c>
      <c r="F319" s="65" t="str">
        <f>IFERROR(__xludf.DUMMYFUNCTION("""COMPUTED_VALUE"""),"987466887")</f>
        <v>987466887</v>
      </c>
      <c r="G319" s="65" t="str">
        <f>IFERROR(__xludf.DUMMYFUNCTION("""COMPUTED_VALUE"""),"alex_dario93@hotmail.com")</f>
        <v>alex_dario93@hotmail.com</v>
      </c>
      <c r="H319" s="65"/>
      <c r="I319" s="65"/>
      <c r="J319" s="65" t="str">
        <f>IFERROR(__xludf.DUMMYFUNCTION("""COMPUTED_VALUE"""),"D001404591")</f>
        <v>D001404591</v>
      </c>
      <c r="K319" s="65" t="str">
        <f>IFERROR(__xludf.DUMMYFUNCTION("""COMPUTED_VALUE"""),"DEVOLUCION")</f>
        <v>DEVOLUCION</v>
      </c>
      <c r="L319" s="65" t="str">
        <f>IFERROR(__xludf.DUMMYFUNCTION("""COMPUTED_VALUE"""),"CON RECAUDO")</f>
        <v>CON RECAUDO</v>
      </c>
      <c r="M319" s="65" t="str">
        <f>IFERROR(__xludf.DUMMYFUNCTION("""COMPUTED_VALUE"""),"COTOPAXI")</f>
        <v>COTOPAXI</v>
      </c>
      <c r="N319" s="65" t="str">
        <f>IFERROR(__xludf.DUMMYFUNCTION("""COMPUTED_VALUE"""),"LATACUNGA")</f>
        <v>LATACUNGA</v>
      </c>
      <c r="O319" s="65" t="str">
        <f>IFERROR(__xludf.DUMMYFUNCTION("""COMPUTED_VALUE"""),"Marquez de manzana y zamorano santiago La laguna -")</f>
        <v>Marquez de manzana y zamorano santiago La laguna -</v>
      </c>
      <c r="P319" s="65"/>
      <c r="Q319" s="65" t="str">
        <f>IFERROR(__xludf.DUMMYFUNCTION("""COMPUTED_VALUE"""),"GINTRACOM")</f>
        <v>GINTRACOM</v>
      </c>
      <c r="R319" s="65">
        <f>IFERROR(__xludf.DUMMYFUNCTION("""COMPUTED_VALUE"""),25.0)</f>
        <v>25</v>
      </c>
      <c r="S319" s="65"/>
      <c r="T319" s="65">
        <f>IFERROR(__xludf.DUMMYFUNCTION("""COMPUTED_VALUE"""),5.96)</f>
        <v>5.96</v>
      </c>
      <c r="U319" s="65">
        <f>IFERROR(__xludf.DUMMYFUNCTION("""COMPUTED_VALUE"""),0.0)</f>
        <v>0</v>
      </c>
      <c r="V319" s="65">
        <f>IFERROR(__xludf.DUMMYFUNCTION("""COMPUTED_VALUE"""),0.0)</f>
        <v>0</v>
      </c>
      <c r="W319" s="65">
        <f>IFERROR(__xludf.DUMMYFUNCTION("""COMPUTED_VALUE"""),0.0)</f>
        <v>0</v>
      </c>
      <c r="X319" s="65">
        <f>IFERROR(__xludf.DUMMYFUNCTION("""COMPUTED_VALUE"""),2.35)</f>
        <v>2.35</v>
      </c>
      <c r="Y319" s="65">
        <f>IFERROR(__xludf.DUMMYFUNCTION("""COMPUTED_VALUE"""),4.7)</f>
        <v>4.7</v>
      </c>
      <c r="Z319" s="65">
        <f>IFERROR(__xludf.DUMMYFUNCTION("""COMPUTED_VALUE"""),116679.0)</f>
        <v>116679</v>
      </c>
      <c r="AA319" s="65" t="str">
        <f>IFERROR(__xludf.DUMMYFUNCTION("""COMPUTED_VALUE"""),"AMC-2738")</f>
        <v>AMC-2738</v>
      </c>
      <c r="AB319" s="65"/>
      <c r="AC319" s="65" t="str">
        <f>IFERROR(__xludf.DUMMYFUNCTION("""COMPUTED_VALUE"""),"ESPONJA ANTILLUVIA DE PARABRISAS")</f>
        <v>ESPONJA ANTILLUVIA DE PARABRISAS</v>
      </c>
      <c r="AD319" s="65"/>
      <c r="AE319" s="65">
        <f>IFERROR(__xludf.DUMMYFUNCTION("""COMPUTED_VALUE"""),2.0)</f>
        <v>2</v>
      </c>
      <c r="AF319" s="65" t="str">
        <f>IFERROR(__xludf.DUMMYFUNCTION("""COMPUTED_VALUE"""),"DESTINATARIO NO CONTESTA LLAMADAS NI WHATSAPP")</f>
        <v>DESTINATARIO NO CONTESTA LLAMADAS NI WHATSAPP</v>
      </c>
      <c r="AG319" s="65" t="str">
        <f>IFERROR(__xludf.DUMMYFUNCTION("""COMPUTED_VALUE"""),"NO")</f>
        <v>NO</v>
      </c>
      <c r="AH319" s="65" t="str">
        <f>IFERROR(__xludf.DUMMYFUNCTION("""COMPUTED_VALUE"""),"17:03")</f>
        <v>17:03</v>
      </c>
      <c r="AI319" s="65" t="str">
        <f>IFERROR(__xludf.DUMMYFUNCTION("""COMPUTED_VALUE"""),"20-03-2026")</f>
        <v>20-03-2026</v>
      </c>
      <c r="AJ319" s="65"/>
      <c r="AK319" s="65"/>
      <c r="AL319" s="65"/>
      <c r="AM319" s="65"/>
      <c r="AN319" s="65" t="str">
        <f>IFERROR(__xludf.DUMMYFUNCTION("""COMPUTED_VALUE"""),"03:03")</f>
        <v>03:03</v>
      </c>
      <c r="AO319" s="65" t="str">
        <f>IFERROR(__xludf.DUMMYFUNCTION("""COMPUTED_VALUE"""),"23-03-2026")</f>
        <v>23-03-2026</v>
      </c>
      <c r="AP319" s="65" t="str">
        <f>IFERROR(__xludf.DUMMYFUNCTION("""COMPUTED_VALUE"""),"DEVOLUCIÓN")</f>
        <v>DEVOLUCIÓN</v>
      </c>
      <c r="AQ319" s="65" t="str">
        <f>IFERROR(__xludf.DUMMYFUNCTION("""COMPUTED_VALUE"""),"DEVOLUCIÓN")</f>
        <v>DEVOLUCIÓN</v>
      </c>
      <c r="AR319" s="65"/>
      <c r="AS319" s="65"/>
      <c r="AT319" s="65" t="str">
        <f>IFERROR(__xludf.DUMMYFUNCTION("""COMPUTED_VALUE"""),"SHOPIFY")</f>
        <v>SHOPIFY</v>
      </c>
      <c r="AU319" s="65" t="str">
        <f>IFERROR(__xludf.DUMMYFUNCTION("""COMPUTED_VALUE"""),"IMPORTEX EC")</f>
        <v>IMPORTEX EC</v>
      </c>
      <c r="AV319" s="65" t="str">
        <f>IFERROR(__xludf.DUMMYFUNCTION("""COMPUTED_VALUE"""),"6560301187116")</f>
        <v>6560301187116</v>
      </c>
      <c r="AW319" s="65">
        <f>IFERROR(__xludf.DUMMYFUNCTION("""COMPUTED_VALUE"""),6540.0)</f>
        <v>6540</v>
      </c>
      <c r="AX319" s="65"/>
      <c r="AY319" s="65" t="str">
        <f>IFERROR(__xludf.DUMMYFUNCTION("""COMPUTED_VALUE"""),"11/03/2026")</f>
        <v>11/03/2026</v>
      </c>
      <c r="AZ319" s="65"/>
      <c r="BA319" s="65"/>
    </row>
    <row r="320">
      <c r="A320" s="65" t="str">
        <f>IFERROR(__xludf.DUMMYFUNCTION("""COMPUTED_VALUE"""),"27-03-2026")</f>
        <v>27-03-2026</v>
      </c>
      <c r="B320" s="65">
        <f>IFERROR(__xludf.DUMMYFUNCTION("""COMPUTED_VALUE"""),4714888.0)</f>
        <v>4714888</v>
      </c>
      <c r="C320" s="65" t="str">
        <f>IFERROR(__xludf.DUMMYFUNCTION("""COMPUTED_VALUE"""),"05:02")</f>
        <v>05:02</v>
      </c>
      <c r="D320" s="65" t="str">
        <f>IFERROR(__xludf.DUMMYFUNCTION("""COMPUTED_VALUE"""),"06-03-2026")</f>
        <v>06-03-2026</v>
      </c>
      <c r="E320" s="65" t="str">
        <f>IFERROR(__xludf.DUMMYFUNCTION("""COMPUTED_VALUE"""),"Luis Enrique V v v")</f>
        <v>Luis Enrique V v v</v>
      </c>
      <c r="F320" s="65" t="str">
        <f>IFERROR(__xludf.DUMMYFUNCTION("""COMPUTED_VALUE"""),"939503353")</f>
        <v>939503353</v>
      </c>
      <c r="G320" s="65" t="str">
        <f>IFERROR(__xludf.DUMMYFUNCTION("""COMPUTED_VALUE"""),"mejiaperezluis1964@gmail.com")</f>
        <v>mejiaperezluis1964@gmail.com</v>
      </c>
      <c r="H320" s="65"/>
      <c r="I320" s="65"/>
      <c r="J320" s="65" t="str">
        <f>IFERROR(__xludf.DUMMYFUNCTION("""COMPUTED_VALUE"""),"D001394156")</f>
        <v>D001394156</v>
      </c>
      <c r="K320" s="65" t="str">
        <f>IFERROR(__xludf.DUMMYFUNCTION("""COMPUTED_VALUE"""),"DEVOLUCION")</f>
        <v>DEVOLUCION</v>
      </c>
      <c r="L320" s="65" t="str">
        <f>IFERROR(__xludf.DUMMYFUNCTION("""COMPUTED_VALUE"""),"CON RECAUDO")</f>
        <v>CON RECAUDO</v>
      </c>
      <c r="M320" s="65" t="str">
        <f>IFERROR(__xludf.DUMMYFUNCTION("""COMPUTED_VALUE"""),"GUAYAS")</f>
        <v>GUAYAS</v>
      </c>
      <c r="N320" s="65" t="str">
        <f>IFERROR(__xludf.DUMMYFUNCTION("""COMPUTED_VALUE"""),"GUAYAQUIL")</f>
        <v>GUAYAQUIL</v>
      </c>
      <c r="O320" s="65" t="str">
        <f>IFERROR(__xludf.DUMMYFUNCTION("""COMPUTED_VALUE"""),"Av, Galo plaza Lazo  callejon 51D Guasmo norte - REFERENCIA: por la gasolinera")</f>
        <v>Av, Galo plaza Lazo  callejon 51D Guasmo norte - REFERENCIA: por la gasolinera</v>
      </c>
      <c r="P320" s="65"/>
      <c r="Q320" s="65" t="str">
        <f>IFERROR(__xludf.DUMMYFUNCTION("""COMPUTED_VALUE"""),"GINTRACOM")</f>
        <v>GINTRACOM</v>
      </c>
      <c r="R320" s="65">
        <f>IFERROR(__xludf.DUMMYFUNCTION("""COMPUTED_VALUE"""),22.0)</f>
        <v>22</v>
      </c>
      <c r="S320" s="65"/>
      <c r="T320" s="65">
        <f>IFERROR(__xludf.DUMMYFUNCTION("""COMPUTED_VALUE"""),5.84)</f>
        <v>5.84</v>
      </c>
      <c r="U320" s="65">
        <f>IFERROR(__xludf.DUMMYFUNCTION("""COMPUTED_VALUE"""),0.0)</f>
        <v>0</v>
      </c>
      <c r="V320" s="65">
        <f>IFERROR(__xludf.DUMMYFUNCTION("""COMPUTED_VALUE"""),0.0)</f>
        <v>0</v>
      </c>
      <c r="W320" s="65">
        <f>IFERROR(__xludf.DUMMYFUNCTION("""COMPUTED_VALUE"""),0.0)</f>
        <v>0</v>
      </c>
      <c r="X320" s="65">
        <f>IFERROR(__xludf.DUMMYFUNCTION("""COMPUTED_VALUE"""),5.0)</f>
        <v>5</v>
      </c>
      <c r="Y320" s="65">
        <f>IFERROR(__xludf.DUMMYFUNCTION("""COMPUTED_VALUE"""),10.0)</f>
        <v>10</v>
      </c>
      <c r="Z320" s="65">
        <f>IFERROR(__xludf.DUMMYFUNCTION("""COMPUTED_VALUE"""),130492.0)</f>
        <v>130492</v>
      </c>
      <c r="AA320" s="65" t="str">
        <f>IFERROR(__xludf.DUMMYFUNCTION("""COMPUTED_VALUE"""),"IMX-00006")</f>
        <v>IMX-00006</v>
      </c>
      <c r="AB320" s="65"/>
      <c r="AC320" s="65" t="str">
        <f>IFERROR(__xludf.DUMMYFUNCTION("""COMPUTED_VALUE"""),"Receptor Bluetooth")</f>
        <v>Receptor Bluetooth</v>
      </c>
      <c r="AD320" s="65"/>
      <c r="AE320" s="65">
        <f>IFERROR(__xludf.DUMMYFUNCTION("""COMPUTED_VALUE"""),2.0)</f>
        <v>2</v>
      </c>
      <c r="AF320" s="65" t="str">
        <f>IFERROR(__xludf.DUMMYFUNCTION("""COMPUTED_VALUE"""),"DESTINATARIO NO CONTESTA LLAMADAS NI WHATSAPP")</f>
        <v>DESTINATARIO NO CONTESTA LLAMADAS NI WHATSAPP</v>
      </c>
      <c r="AG320" s="65" t="str">
        <f>IFERROR(__xludf.DUMMYFUNCTION("""COMPUTED_VALUE"""),"NO")</f>
        <v>NO</v>
      </c>
      <c r="AH320" s="65" t="str">
        <f>IFERROR(__xludf.DUMMYFUNCTION("""COMPUTED_VALUE"""),"09:00")</f>
        <v>09:00</v>
      </c>
      <c r="AI320" s="65" t="str">
        <f>IFERROR(__xludf.DUMMYFUNCTION("""COMPUTED_VALUE"""),"18-03-2026")</f>
        <v>18-03-2026</v>
      </c>
      <c r="AJ320" s="65"/>
      <c r="AK320" s="65"/>
      <c r="AL320" s="65"/>
      <c r="AM320" s="65"/>
      <c r="AN320" s="65" t="str">
        <f>IFERROR(__xludf.DUMMYFUNCTION("""COMPUTED_VALUE"""),"11:03")</f>
        <v>11:03</v>
      </c>
      <c r="AO320" s="65" t="str">
        <f>IFERROR(__xludf.DUMMYFUNCTION("""COMPUTED_VALUE"""),"26-03-2026")</f>
        <v>26-03-2026</v>
      </c>
      <c r="AP320" s="65" t="str">
        <f>IFERROR(__xludf.DUMMYFUNCTION("""COMPUTED_VALUE"""),"DEVOLUCIÓN ENTREGADA A ORIGEN")</f>
        <v>DEVOLUCIÓN ENTREGADA A ORIGEN</v>
      </c>
      <c r="AQ320" s="65" t="str">
        <f>IFERROR(__xludf.DUMMYFUNCTION("""COMPUTED_VALUE"""),"DEVOLUCIÓN ENTREGADA A ORIGEN")</f>
        <v>DEVOLUCIÓN ENTREGADA A ORIGEN</v>
      </c>
      <c r="AR320" s="65"/>
      <c r="AS320" s="65"/>
      <c r="AT320" s="65" t="str">
        <f>IFERROR(__xludf.DUMMYFUNCTION("""COMPUTED_VALUE"""),"SHOPIFY")</f>
        <v>SHOPIFY</v>
      </c>
      <c r="AU320" s="65" t="str">
        <f>IFERROR(__xludf.DUMMYFUNCTION("""COMPUTED_VALUE"""),"IMPORTEX EC")</f>
        <v>IMPORTEX EC</v>
      </c>
      <c r="AV320" s="65" t="str">
        <f>IFERROR(__xludf.DUMMYFUNCTION("""COMPUTED_VALUE"""),"6560254689324")</f>
        <v>6560254689324</v>
      </c>
      <c r="AW320" s="65">
        <f>IFERROR(__xludf.DUMMYFUNCTION("""COMPUTED_VALUE"""),6539.0)</f>
        <v>6539</v>
      </c>
      <c r="AX320" s="65"/>
      <c r="AY320" s="65" t="str">
        <f>IFERROR(__xludf.DUMMYFUNCTION("""COMPUTED_VALUE"""),"09/03/2026")</f>
        <v>09/03/2026</v>
      </c>
      <c r="AZ320" s="65"/>
      <c r="BA320" s="65"/>
    </row>
    <row r="321">
      <c r="A321" s="65" t="str">
        <f>IFERROR(__xludf.DUMMYFUNCTION("""COMPUTED_VALUE"""),"27-03-2026")</f>
        <v>27-03-2026</v>
      </c>
      <c r="B321" s="65">
        <f>IFERROR(__xludf.DUMMYFUNCTION("""COMPUTED_VALUE"""),4714440.0)</f>
        <v>4714440</v>
      </c>
      <c r="C321" s="65" t="str">
        <f>IFERROR(__xludf.DUMMYFUNCTION("""COMPUTED_VALUE"""),"00:29")</f>
        <v>00:29</v>
      </c>
      <c r="D321" s="65" t="str">
        <f>IFERROR(__xludf.DUMMYFUNCTION("""COMPUTED_VALUE"""),"06-03-2026")</f>
        <v>06-03-2026</v>
      </c>
      <c r="E321" s="65" t="str">
        <f>IFERROR(__xludf.DUMMYFUNCTION("""COMPUTED_VALUE"""),"Victor Hurtado")</f>
        <v>Victor Hurtado</v>
      </c>
      <c r="F321" s="65" t="str">
        <f>IFERROR(__xludf.DUMMYFUNCTION("""COMPUTED_VALUE"""),"998245713")</f>
        <v>998245713</v>
      </c>
      <c r="G321" s="65"/>
      <c r="H321" s="65"/>
      <c r="I321" s="65"/>
      <c r="J321" s="65"/>
      <c r="K321" s="65" t="str">
        <f>IFERROR(__xludf.DUMMYFUNCTION("""COMPUTED_VALUE"""),"CANCELADO")</f>
        <v>CANCELADO</v>
      </c>
      <c r="L321" s="65" t="str">
        <f>IFERROR(__xludf.DUMMYFUNCTION("""COMPUTED_VALUE"""),"CON RECAUDO")</f>
        <v>CON RECAUDO</v>
      </c>
      <c r="M321" s="65" t="str">
        <f>IFERROR(__xludf.DUMMYFUNCTION("""COMPUTED_VALUE"""),"GUAYAS")</f>
        <v>GUAYAS</v>
      </c>
      <c r="N321" s="65" t="str">
        <f>IFERROR(__xludf.DUMMYFUNCTION("""COMPUTED_VALUE"""),"GUAYAQUIL")</f>
        <v>GUAYAQUIL</v>
      </c>
      <c r="O321" s="65" t="str">
        <f>IFERROR(__xludf.DUMMYFUNCTION("""COMPUTED_VALUE"""),"Flor del norte manzana 1102 solar 10 Orizontes del fortin -")</f>
        <v>Flor del norte manzana 1102 solar 10 Orizontes del fortin -</v>
      </c>
      <c r="P321" s="65"/>
      <c r="Q321" s="65" t="str">
        <f>IFERROR(__xludf.DUMMYFUNCTION("""COMPUTED_VALUE"""),"GINTRACOM")</f>
        <v>GINTRACOM</v>
      </c>
      <c r="R321" s="65">
        <f>IFERROR(__xludf.DUMMYFUNCTION("""COMPUTED_VALUE"""),20.0)</f>
        <v>20</v>
      </c>
      <c r="S321" s="65"/>
      <c r="T321" s="65">
        <f>IFERROR(__xludf.DUMMYFUNCTION("""COMPUTED_VALUE"""),5.76)</f>
        <v>5.76</v>
      </c>
      <c r="U321" s="65">
        <f>IFERROR(__xludf.DUMMYFUNCTION("""COMPUTED_VALUE"""),0.0)</f>
        <v>0</v>
      </c>
      <c r="V321" s="65">
        <f>IFERROR(__xludf.DUMMYFUNCTION("""COMPUTED_VALUE"""),0.0)</f>
        <v>0</v>
      </c>
      <c r="W321" s="65">
        <f>IFERROR(__xludf.DUMMYFUNCTION("""COMPUTED_VALUE"""),0.0)</f>
        <v>0</v>
      </c>
      <c r="X321" s="65">
        <f>IFERROR(__xludf.DUMMYFUNCTION("""COMPUTED_VALUE"""),2.35)</f>
        <v>2.35</v>
      </c>
      <c r="Y321" s="65">
        <f>IFERROR(__xludf.DUMMYFUNCTION("""COMPUTED_VALUE"""),2.35)</f>
        <v>2.35</v>
      </c>
      <c r="Z321" s="65">
        <f>IFERROR(__xludf.DUMMYFUNCTION("""COMPUTED_VALUE"""),116679.0)</f>
        <v>116679</v>
      </c>
      <c r="AA321" s="65" t="str">
        <f>IFERROR(__xludf.DUMMYFUNCTION("""COMPUTED_VALUE"""),"AMC-2738")</f>
        <v>AMC-2738</v>
      </c>
      <c r="AB321" s="65"/>
      <c r="AC321" s="65" t="str">
        <f>IFERROR(__xludf.DUMMYFUNCTION("""COMPUTED_VALUE"""),"ESPONJA ANTILLUVIA DE PARABRISAS")</f>
        <v>ESPONJA ANTILLUVIA DE PARABRISAS</v>
      </c>
      <c r="AD321" s="65"/>
      <c r="AE321" s="65">
        <f>IFERROR(__xludf.DUMMYFUNCTION("""COMPUTED_VALUE"""),1.0)</f>
        <v>1</v>
      </c>
      <c r="AF321" s="65"/>
      <c r="AG321" s="65"/>
      <c r="AH321" s="65"/>
      <c r="AI321" s="65"/>
      <c r="AJ321" s="65"/>
      <c r="AK321" s="65"/>
      <c r="AL321" s="65"/>
      <c r="AM321" s="65"/>
      <c r="AN321" s="65"/>
      <c r="AO321" s="65"/>
      <c r="AP321" s="65"/>
      <c r="AQ321" s="65"/>
      <c r="AR321" s="65"/>
      <c r="AS321" s="65"/>
      <c r="AT321" s="65" t="str">
        <f>IFERROR(__xludf.DUMMYFUNCTION("""COMPUTED_VALUE"""),"SHOPIFY")</f>
        <v>SHOPIFY</v>
      </c>
      <c r="AU321" s="65" t="str">
        <f>IFERROR(__xludf.DUMMYFUNCTION("""COMPUTED_VALUE"""),"IMPORTEX EC")</f>
        <v>IMPORTEX EC</v>
      </c>
      <c r="AV321" s="65" t="str">
        <f>IFERROR(__xludf.DUMMYFUNCTION("""COMPUTED_VALUE"""),"6559965347884")</f>
        <v>6559965347884</v>
      </c>
      <c r="AW321" s="65">
        <f>IFERROR(__xludf.DUMMYFUNCTION("""COMPUTED_VALUE"""),6538.0)</f>
        <v>6538</v>
      </c>
      <c r="AX321" s="65"/>
      <c r="AY321" s="65"/>
      <c r="AZ321" s="65"/>
      <c r="BA321" s="65"/>
    </row>
    <row r="322">
      <c r="A322" s="65" t="str">
        <f>IFERROR(__xludf.DUMMYFUNCTION("""COMPUTED_VALUE"""),"27-03-2026")</f>
        <v>27-03-2026</v>
      </c>
      <c r="B322" s="65">
        <f>IFERROR(__xludf.DUMMYFUNCTION("""COMPUTED_VALUE"""),4714204.0)</f>
        <v>4714204</v>
      </c>
      <c r="C322" s="65" t="str">
        <f>IFERROR(__xludf.DUMMYFUNCTION("""COMPUTED_VALUE"""),"23:40")</f>
        <v>23:40</v>
      </c>
      <c r="D322" s="65" t="str">
        <f>IFERROR(__xludf.DUMMYFUNCTION("""COMPUTED_VALUE"""),"05-03-2026")</f>
        <v>05-03-2026</v>
      </c>
      <c r="E322" s="65" t="str">
        <f>IFERROR(__xludf.DUMMYFUNCTION("""COMPUTED_VALUE"""),"Jorge Lenin Intriago pico")</f>
        <v>Jorge Lenin Intriago pico</v>
      </c>
      <c r="F322" s="65" t="str">
        <f>IFERROR(__xludf.DUMMYFUNCTION("""COMPUTED_VALUE"""),"994588802")</f>
        <v>994588802</v>
      </c>
      <c r="G322" s="65" t="str">
        <f>IFERROR(__xludf.DUMMYFUNCTION("""COMPUTED_VALUE"""),"leninintri1960@gmail.com")</f>
        <v>leninintri1960@gmail.com</v>
      </c>
      <c r="H322" s="65"/>
      <c r="I322" s="65"/>
      <c r="J322" s="65" t="str">
        <f>IFERROR(__xludf.DUMMYFUNCTION("""COMPUTED_VALUE"""),"LC53063018")</f>
        <v>LC53063018</v>
      </c>
      <c r="K322" s="65" t="str">
        <f>IFERROR(__xludf.DUMMYFUNCTION("""COMPUTED_VALUE"""),"ENTREGADO")</f>
        <v>ENTREGADO</v>
      </c>
      <c r="L322" s="65" t="str">
        <f>IFERROR(__xludf.DUMMYFUNCTION("""COMPUTED_VALUE"""),"CON RECAUDO")</f>
        <v>CON RECAUDO</v>
      </c>
      <c r="M322" s="65" t="str">
        <f>IFERROR(__xludf.DUMMYFUNCTION("""COMPUTED_VALUE"""),"LOS RIOS")</f>
        <v>LOS RIOS</v>
      </c>
      <c r="N322" s="65" t="str">
        <f>IFERROR(__xludf.DUMMYFUNCTION("""COMPUTED_VALUE"""),"MONTALVO")</f>
        <v>MONTALVO</v>
      </c>
      <c r="O322" s="65" t="str">
        <f>IFERROR(__xludf.DUMMYFUNCTION("""COMPUTED_VALUE"""),"Via Guaranda Ambato Pisagua alto -")</f>
        <v>Via Guaranda Ambato Pisagua alto -</v>
      </c>
      <c r="P322" s="65" t="str">
        <f>IFERROR(__xludf.DUMMYFUNCTION("""COMPUTED_VALUE"""),"ESPONJA ANTILLUVIA DE PARABRISAS: Default Title ***")</f>
        <v>ESPONJA ANTILLUVIA DE PARABRISAS: Default Title ***</v>
      </c>
      <c r="Q322" s="65" t="str">
        <f>IFERROR(__xludf.DUMMYFUNCTION("""COMPUTED_VALUE"""),"LAARCOURIER")</f>
        <v>LAARCOURIER</v>
      </c>
      <c r="R322" s="65">
        <f>IFERROR(__xludf.DUMMYFUNCTION("""COMPUTED_VALUE"""),30.0)</f>
        <v>30</v>
      </c>
      <c r="S322" s="65">
        <f>IFERROR(__xludf.DUMMYFUNCTION("""COMPUTED_VALUE"""),15.69)</f>
        <v>15.69</v>
      </c>
      <c r="T322" s="65">
        <f>IFERROR(__xludf.DUMMYFUNCTION("""COMPUTED_VALUE"""),7.26)</f>
        <v>7.26</v>
      </c>
      <c r="U322" s="65">
        <f>IFERROR(__xludf.DUMMYFUNCTION("""COMPUTED_VALUE"""),0.0)</f>
        <v>0</v>
      </c>
      <c r="V322" s="65">
        <f>IFERROR(__xludf.DUMMYFUNCTION("""COMPUTED_VALUE"""),0.0)</f>
        <v>0</v>
      </c>
      <c r="W322" s="65">
        <f>IFERROR(__xludf.DUMMYFUNCTION("""COMPUTED_VALUE"""),0.0)</f>
        <v>0</v>
      </c>
      <c r="X322" s="65">
        <f>IFERROR(__xludf.DUMMYFUNCTION("""COMPUTED_VALUE"""),2.35)</f>
        <v>2.35</v>
      </c>
      <c r="Y322" s="65">
        <f>IFERROR(__xludf.DUMMYFUNCTION("""COMPUTED_VALUE"""),7.05)</f>
        <v>7.05</v>
      </c>
      <c r="Z322" s="65">
        <f>IFERROR(__xludf.DUMMYFUNCTION("""COMPUTED_VALUE"""),116679.0)</f>
        <v>116679</v>
      </c>
      <c r="AA322" s="65" t="str">
        <f>IFERROR(__xludf.DUMMYFUNCTION("""COMPUTED_VALUE"""),"AMC-2738")</f>
        <v>AMC-2738</v>
      </c>
      <c r="AB322" s="65"/>
      <c r="AC322" s="65" t="str">
        <f>IFERROR(__xludf.DUMMYFUNCTION("""COMPUTED_VALUE"""),"ESPONJA ANTILLUVIA DE PARABRISAS")</f>
        <v>ESPONJA ANTILLUVIA DE PARABRISAS</v>
      </c>
      <c r="AD322" s="65"/>
      <c r="AE322" s="65">
        <f>IFERROR(__xludf.DUMMYFUNCTION("""COMPUTED_VALUE"""),3.0)</f>
        <v>3</v>
      </c>
      <c r="AF322" s="65"/>
      <c r="AG322" s="65"/>
      <c r="AH322" s="65"/>
      <c r="AI322" s="65"/>
      <c r="AJ322" s="65"/>
      <c r="AK322" s="65"/>
      <c r="AL322" s="65"/>
      <c r="AM322" s="65"/>
      <c r="AN322" s="65" t="str">
        <f>IFERROR(__xludf.DUMMYFUNCTION("""COMPUTED_VALUE"""),"17:01")</f>
        <v>17:01</v>
      </c>
      <c r="AO322" s="65" t="str">
        <f>IFERROR(__xludf.DUMMYFUNCTION("""COMPUTED_VALUE"""),"12-03-2026")</f>
        <v>12-03-2026</v>
      </c>
      <c r="AP322" s="65" t="str">
        <f>IFERROR(__xludf.DUMMYFUNCTION("""COMPUTED_VALUE"""),"ENTREGADO")</f>
        <v>ENTREGADO</v>
      </c>
      <c r="AQ322" s="65" t="str">
        <f>IFERROR(__xludf.DUMMYFUNCTION("""COMPUTED_VALUE"""),"ENTREGADO")</f>
        <v>ENTREGADO</v>
      </c>
      <c r="AR322" s="65"/>
      <c r="AS322" s="65"/>
      <c r="AT322" s="65" t="str">
        <f>IFERROR(__xludf.DUMMYFUNCTION("""COMPUTED_VALUE"""),"SHOPIFY")</f>
        <v>SHOPIFY</v>
      </c>
      <c r="AU322" s="65" t="str">
        <f>IFERROR(__xludf.DUMMYFUNCTION("""COMPUTED_VALUE"""),"IMPORTEX EC")</f>
        <v>IMPORTEX EC</v>
      </c>
      <c r="AV322" s="65" t="str">
        <f>IFERROR(__xludf.DUMMYFUNCTION("""COMPUTED_VALUE"""),"6559899811884")</f>
        <v>6559899811884</v>
      </c>
      <c r="AW322" s="65">
        <f>IFERROR(__xludf.DUMMYFUNCTION("""COMPUTED_VALUE"""),6537.0)</f>
        <v>6537</v>
      </c>
      <c r="AX322" s="65"/>
      <c r="AY322" s="65" t="str">
        <f>IFERROR(__xludf.DUMMYFUNCTION("""COMPUTED_VALUE"""),"10/03/2026")</f>
        <v>10/03/2026</v>
      </c>
      <c r="AZ322" s="65"/>
      <c r="BA322" s="65"/>
    </row>
    <row r="323">
      <c r="A323" s="65" t="str">
        <f>IFERROR(__xludf.DUMMYFUNCTION("""COMPUTED_VALUE"""),"27-03-2026")</f>
        <v>27-03-2026</v>
      </c>
      <c r="B323" s="65">
        <f>IFERROR(__xludf.DUMMYFUNCTION("""COMPUTED_VALUE"""),4714009.0)</f>
        <v>4714009</v>
      </c>
      <c r="C323" s="65" t="str">
        <f>IFERROR(__xludf.DUMMYFUNCTION("""COMPUTED_VALUE"""),"23:20")</f>
        <v>23:20</v>
      </c>
      <c r="D323" s="65" t="str">
        <f>IFERROR(__xludf.DUMMYFUNCTION("""COMPUTED_VALUE"""),"05-03-2026")</f>
        <v>05-03-2026</v>
      </c>
      <c r="E323" s="65" t="str">
        <f>IFERROR(__xludf.DUMMYFUNCTION("""COMPUTED_VALUE"""),"Milton zambrano zambrano")</f>
        <v>Milton zambrano zambrano</v>
      </c>
      <c r="F323" s="65" t="str">
        <f>IFERROR(__xludf.DUMMYFUNCTION("""COMPUTED_VALUE"""),"989093576")</f>
        <v>989093576</v>
      </c>
      <c r="G323" s="65" t="str">
        <f>IFERROR(__xludf.DUMMYFUNCTION("""COMPUTED_VALUE"""),"miltonzambranore@gmail.com")</f>
        <v>miltonzambranore@gmail.com</v>
      </c>
      <c r="H323" s="65"/>
      <c r="I323" s="65"/>
      <c r="J323" s="65" t="str">
        <f>IFERROR(__xludf.DUMMYFUNCTION("""COMPUTED_VALUE"""),"LC53048030")</f>
        <v>LC53048030</v>
      </c>
      <c r="K323" s="65" t="str">
        <f>IFERROR(__xludf.DUMMYFUNCTION("""COMPUTED_VALUE"""),"ENTREGADO")</f>
        <v>ENTREGADO</v>
      </c>
      <c r="L323" s="65" t="str">
        <f>IFERROR(__xludf.DUMMYFUNCTION("""COMPUTED_VALUE"""),"CON RECAUDO")</f>
        <v>CON RECAUDO</v>
      </c>
      <c r="M323" s="65" t="str">
        <f>IFERROR(__xludf.DUMMYFUNCTION("""COMPUTED_VALUE"""),"GUAYAS")</f>
        <v>GUAYAS</v>
      </c>
      <c r="N323" s="65" t="str">
        <f>IFERROR(__xludf.DUMMYFUNCTION("""COMPUTED_VALUE"""),"DATA DE PLAYAS")</f>
        <v>DATA DE PLAYAS</v>
      </c>
      <c r="O323" s="65" t="str">
        <f>IFERROR(__xludf.DUMMYFUNCTION("""COMPUTED_VALUE"""),"Barrio Cuba diagonal a la universidad UPSE")</f>
        <v>Barrio Cuba diagonal a la universidad UPSE</v>
      </c>
      <c r="P323" s="65"/>
      <c r="Q323" s="65" t="str">
        <f>IFERROR(__xludf.DUMMYFUNCTION("""COMPUTED_VALUE"""),"LAARCOURIER")</f>
        <v>LAARCOURIER</v>
      </c>
      <c r="R323" s="65">
        <f>IFERROR(__xludf.DUMMYFUNCTION("""COMPUTED_VALUE"""),22.0)</f>
        <v>22</v>
      </c>
      <c r="S323" s="65">
        <f>IFERROR(__xludf.DUMMYFUNCTION("""COMPUTED_VALUE"""),5.2)</f>
        <v>5.2</v>
      </c>
      <c r="T323" s="65">
        <f>IFERROR(__xludf.DUMMYFUNCTION("""COMPUTED_VALUE"""),6.8)</f>
        <v>6.8</v>
      </c>
      <c r="U323" s="65">
        <f>IFERROR(__xludf.DUMMYFUNCTION("""COMPUTED_VALUE"""),0.0)</f>
        <v>0</v>
      </c>
      <c r="V323" s="65">
        <f>IFERROR(__xludf.DUMMYFUNCTION("""COMPUTED_VALUE"""),0.0)</f>
        <v>0</v>
      </c>
      <c r="W323" s="65">
        <f>IFERROR(__xludf.DUMMYFUNCTION("""COMPUTED_VALUE"""),0.0)</f>
        <v>0</v>
      </c>
      <c r="X323" s="65">
        <f>IFERROR(__xludf.DUMMYFUNCTION("""COMPUTED_VALUE"""),5.0)</f>
        <v>5</v>
      </c>
      <c r="Y323" s="65">
        <f>IFERROR(__xludf.DUMMYFUNCTION("""COMPUTED_VALUE"""),10.0)</f>
        <v>10</v>
      </c>
      <c r="Z323" s="65">
        <f>IFERROR(__xludf.DUMMYFUNCTION("""COMPUTED_VALUE"""),130492.0)</f>
        <v>130492</v>
      </c>
      <c r="AA323" s="65" t="str">
        <f>IFERROR(__xludf.DUMMYFUNCTION("""COMPUTED_VALUE"""),"IMX-00006")</f>
        <v>IMX-00006</v>
      </c>
      <c r="AB323" s="65"/>
      <c r="AC323" s="65" t="str">
        <f>IFERROR(__xludf.DUMMYFUNCTION("""COMPUTED_VALUE"""),"Receptor Bluetooth")</f>
        <v>Receptor Bluetooth</v>
      </c>
      <c r="AD323" s="65"/>
      <c r="AE323" s="65">
        <f>IFERROR(__xludf.DUMMYFUNCTION("""COMPUTED_VALUE"""),2.0)</f>
        <v>2</v>
      </c>
      <c r="AF323" s="65"/>
      <c r="AG323" s="65"/>
      <c r="AH323" s="65"/>
      <c r="AI323" s="65"/>
      <c r="AJ323" s="65"/>
      <c r="AK323" s="65"/>
      <c r="AL323" s="65"/>
      <c r="AM323" s="65"/>
      <c r="AN323" s="65" t="str">
        <f>IFERROR(__xludf.DUMMYFUNCTION("""COMPUTED_VALUE"""),"14:56")</f>
        <v>14:56</v>
      </c>
      <c r="AO323" s="65" t="str">
        <f>IFERROR(__xludf.DUMMYFUNCTION("""COMPUTED_VALUE"""),"10-03-2026")</f>
        <v>10-03-2026</v>
      </c>
      <c r="AP323" s="65" t="str">
        <f>IFERROR(__xludf.DUMMYFUNCTION("""COMPUTED_VALUE"""),"ENTREGADO")</f>
        <v>ENTREGADO</v>
      </c>
      <c r="AQ323" s="65" t="str">
        <f>IFERROR(__xludf.DUMMYFUNCTION("""COMPUTED_VALUE"""),"ENTREGADO")</f>
        <v>ENTREGADO</v>
      </c>
      <c r="AR323" s="65"/>
      <c r="AS323" s="65"/>
      <c r="AT323" s="65" t="str">
        <f>IFERROR(__xludf.DUMMYFUNCTION("""COMPUTED_VALUE"""),"SHOPIFY")</f>
        <v>SHOPIFY</v>
      </c>
      <c r="AU323" s="65" t="str">
        <f>IFERROR(__xludf.DUMMYFUNCTION("""COMPUTED_VALUE"""),"IMPORTEX EC")</f>
        <v>IMPORTEX EC</v>
      </c>
      <c r="AV323" s="65" t="str">
        <f>IFERROR(__xludf.DUMMYFUNCTION("""COMPUTED_VALUE"""),"6559874842668")</f>
        <v>6559874842668</v>
      </c>
      <c r="AW323" s="65">
        <f>IFERROR(__xludf.DUMMYFUNCTION("""COMPUTED_VALUE"""),6536.0)</f>
        <v>6536</v>
      </c>
      <c r="AX323" s="65"/>
      <c r="AY323" s="65" t="str">
        <f>IFERROR(__xludf.DUMMYFUNCTION("""COMPUTED_VALUE"""),"09/03/2026")</f>
        <v>09/03/2026</v>
      </c>
      <c r="AZ323" s="65"/>
      <c r="BA323" s="65"/>
    </row>
    <row r="324">
      <c r="A324" s="65" t="str">
        <f>IFERROR(__xludf.DUMMYFUNCTION("""COMPUTED_VALUE"""),"27-03-2026")</f>
        <v>27-03-2026</v>
      </c>
      <c r="B324" s="65">
        <f>IFERROR(__xludf.DUMMYFUNCTION("""COMPUTED_VALUE"""),4713819.0)</f>
        <v>4713819</v>
      </c>
      <c r="C324" s="65" t="str">
        <f>IFERROR(__xludf.DUMMYFUNCTION("""COMPUTED_VALUE"""),"23:03")</f>
        <v>23:03</v>
      </c>
      <c r="D324" s="65" t="str">
        <f>IFERROR(__xludf.DUMMYFUNCTION("""COMPUTED_VALUE"""),"05-03-2026")</f>
        <v>05-03-2026</v>
      </c>
      <c r="E324" s="65" t="str">
        <f>IFERROR(__xludf.DUMMYFUNCTION("""COMPUTED_VALUE"""),"José Sucunuta")</f>
        <v>José Sucunuta</v>
      </c>
      <c r="F324" s="65" t="str">
        <f>IFERROR(__xludf.DUMMYFUNCTION("""COMPUTED_VALUE"""),"968678424")</f>
        <v>968678424</v>
      </c>
      <c r="G324" s="65" t="str">
        <f>IFERROR(__xludf.DUMMYFUNCTION("""COMPUTED_VALUE"""),"josesucunutajarro@gmail.com")</f>
        <v>josesucunutajarro@gmail.com</v>
      </c>
      <c r="H324" s="65"/>
      <c r="I324" s="65"/>
      <c r="J324" s="65"/>
      <c r="K324" s="65" t="str">
        <f>IFERROR(__xludf.DUMMYFUNCTION("""COMPUTED_VALUE"""),"CANCELADO")</f>
        <v>CANCELADO</v>
      </c>
      <c r="L324" s="65" t="str">
        <f>IFERROR(__xludf.DUMMYFUNCTION("""COMPUTED_VALUE"""),"CON RECAUDO")</f>
        <v>CON RECAUDO</v>
      </c>
      <c r="M324" s="65" t="str">
        <f>IFERROR(__xludf.DUMMYFUNCTION("""COMPUTED_VALUE"""),"ZAMORA CHINCHIPE")</f>
        <v>ZAMORA CHINCHIPE</v>
      </c>
      <c r="N324" s="65" t="str">
        <f>IFERROR(__xludf.DUMMYFUNCTION("""COMPUTED_VALUE"""),"ZAMORA")</f>
        <v>ZAMORA</v>
      </c>
      <c r="O324" s="65" t="str">
        <f>IFERROR(__xludf.DUMMYFUNCTION("""COMPUTED_VALUE"""),"Bia yanzasa Entrada a timbara -")</f>
        <v>Bia yanzasa Entrada a timbara -</v>
      </c>
      <c r="P324" s="65"/>
      <c r="Q324" s="65" t="str">
        <f>IFERROR(__xludf.DUMMYFUNCTION("""COMPUTED_VALUE"""),"GINTRACOM")</f>
        <v>GINTRACOM</v>
      </c>
      <c r="R324" s="65">
        <f>IFERROR(__xludf.DUMMYFUNCTION("""COMPUTED_VALUE"""),20.0)</f>
        <v>20</v>
      </c>
      <c r="S324" s="65"/>
      <c r="T324" s="65">
        <f>IFERROR(__xludf.DUMMYFUNCTION("""COMPUTED_VALUE"""),5.76)</f>
        <v>5.76</v>
      </c>
      <c r="U324" s="65">
        <f>IFERROR(__xludf.DUMMYFUNCTION("""COMPUTED_VALUE"""),0.0)</f>
        <v>0</v>
      </c>
      <c r="V324" s="65">
        <f>IFERROR(__xludf.DUMMYFUNCTION("""COMPUTED_VALUE"""),0.0)</f>
        <v>0</v>
      </c>
      <c r="W324" s="65">
        <f>IFERROR(__xludf.DUMMYFUNCTION("""COMPUTED_VALUE"""),0.0)</f>
        <v>0</v>
      </c>
      <c r="X324" s="65">
        <f>IFERROR(__xludf.DUMMYFUNCTION("""COMPUTED_VALUE"""),2.35)</f>
        <v>2.35</v>
      </c>
      <c r="Y324" s="65">
        <f>IFERROR(__xludf.DUMMYFUNCTION("""COMPUTED_VALUE"""),2.35)</f>
        <v>2.35</v>
      </c>
      <c r="Z324" s="65">
        <f>IFERROR(__xludf.DUMMYFUNCTION("""COMPUTED_VALUE"""),116679.0)</f>
        <v>116679</v>
      </c>
      <c r="AA324" s="65" t="str">
        <f>IFERROR(__xludf.DUMMYFUNCTION("""COMPUTED_VALUE"""),"AMC-2738")</f>
        <v>AMC-2738</v>
      </c>
      <c r="AB324" s="65"/>
      <c r="AC324" s="65" t="str">
        <f>IFERROR(__xludf.DUMMYFUNCTION("""COMPUTED_VALUE"""),"ESPONJA ANTILLUVIA DE PARABRISAS")</f>
        <v>ESPONJA ANTILLUVIA DE PARABRISAS</v>
      </c>
      <c r="AD324" s="65"/>
      <c r="AE324" s="65">
        <f>IFERROR(__xludf.DUMMYFUNCTION("""COMPUTED_VALUE"""),1.0)</f>
        <v>1</v>
      </c>
      <c r="AF324" s="65"/>
      <c r="AG324" s="65"/>
      <c r="AH324" s="65"/>
      <c r="AI324" s="65"/>
      <c r="AJ324" s="65"/>
      <c r="AK324" s="65"/>
      <c r="AL324" s="65"/>
      <c r="AM324" s="65"/>
      <c r="AN324" s="65"/>
      <c r="AO324" s="65"/>
      <c r="AP324" s="65"/>
      <c r="AQ324" s="65"/>
      <c r="AR324" s="65"/>
      <c r="AS324" s="65"/>
      <c r="AT324" s="65" t="str">
        <f>IFERROR(__xludf.DUMMYFUNCTION("""COMPUTED_VALUE"""),"SHOPIFY")</f>
        <v>SHOPIFY</v>
      </c>
      <c r="AU324" s="65" t="str">
        <f>IFERROR(__xludf.DUMMYFUNCTION("""COMPUTED_VALUE"""),"IMPORTEX EC")</f>
        <v>IMPORTEX EC</v>
      </c>
      <c r="AV324" s="65" t="str">
        <f>IFERROR(__xludf.DUMMYFUNCTION("""COMPUTED_VALUE"""),"6559848071212")</f>
        <v>6559848071212</v>
      </c>
      <c r="AW324" s="65">
        <f>IFERROR(__xludf.DUMMYFUNCTION("""COMPUTED_VALUE"""),6535.0)</f>
        <v>6535</v>
      </c>
      <c r="AX324" s="65"/>
      <c r="AY324" s="65"/>
      <c r="AZ324" s="65"/>
      <c r="BA324" s="65"/>
    </row>
    <row r="325">
      <c r="A325" s="65" t="str">
        <f>IFERROR(__xludf.DUMMYFUNCTION("""COMPUTED_VALUE"""),"27-03-2026")</f>
        <v>27-03-2026</v>
      </c>
      <c r="B325" s="65">
        <f>IFERROR(__xludf.DUMMYFUNCTION("""COMPUTED_VALUE"""),4713802.0)</f>
        <v>4713802</v>
      </c>
      <c r="C325" s="65" t="str">
        <f>IFERROR(__xludf.DUMMYFUNCTION("""COMPUTED_VALUE"""),"23:02")</f>
        <v>23:02</v>
      </c>
      <c r="D325" s="65" t="str">
        <f>IFERROR(__xludf.DUMMYFUNCTION("""COMPUTED_VALUE"""),"05-03-2026")</f>
        <v>05-03-2026</v>
      </c>
      <c r="E325" s="65" t="str">
        <f>IFERROR(__xludf.DUMMYFUNCTION("""COMPUTED_VALUE"""),"Deber Ibarra")</f>
        <v>Deber Ibarra</v>
      </c>
      <c r="F325" s="65" t="str">
        <f>IFERROR(__xludf.DUMMYFUNCTION("""COMPUTED_VALUE"""),"986685797")</f>
        <v>986685797</v>
      </c>
      <c r="G325" s="65" t="str">
        <f>IFERROR(__xludf.DUMMYFUNCTION("""COMPUTED_VALUE"""),"deberibarraa@gmail.com")</f>
        <v>deberibarraa@gmail.com</v>
      </c>
      <c r="H325" s="65"/>
      <c r="I325" s="65"/>
      <c r="J325" s="65" t="str">
        <f>IFERROR(__xludf.DUMMYFUNCTION("""COMPUTED_VALUE"""),"LC53048031")</f>
        <v>LC53048031</v>
      </c>
      <c r="K325" s="65" t="str">
        <f>IFERROR(__xludf.DUMMYFUNCTION("""COMPUTED_VALUE"""),"ZONA DE ENTREGA")</f>
        <v>ZONA DE ENTREGA</v>
      </c>
      <c r="L325" s="65" t="str">
        <f>IFERROR(__xludf.DUMMYFUNCTION("""COMPUTED_VALUE"""),"CON RECAUDO")</f>
        <v>CON RECAUDO</v>
      </c>
      <c r="M325" s="65" t="str">
        <f>IFERROR(__xludf.DUMMYFUNCTION("""COMPUTED_VALUE"""),"LOS RIOS")</f>
        <v>LOS RIOS</v>
      </c>
      <c r="N325" s="65" t="str">
        <f>IFERROR(__xludf.DUMMYFUNCTION("""COMPUTED_VALUE"""),"PATRICIA PILAR")</f>
        <v>PATRICIA PILAR</v>
      </c>
      <c r="O325" s="65" t="str">
        <f>IFERROR(__xludf.DUMMYFUNCTION("""COMPUTED_VALUE"""),"Panamericana E25 Y  Ruta a santa María del tuachi - Frente al banco Pichincha")</f>
        <v>Panamericana E25 Y  Ruta a santa María del tuachi - Frente al banco Pichincha</v>
      </c>
      <c r="P325" s="65"/>
      <c r="Q325" s="65" t="str">
        <f>IFERROR(__xludf.DUMMYFUNCTION("""COMPUTED_VALUE"""),"LAARCOURIER")</f>
        <v>LAARCOURIER</v>
      </c>
      <c r="R325" s="65">
        <f>IFERROR(__xludf.DUMMYFUNCTION("""COMPUTED_VALUE"""),22.0)</f>
        <v>22</v>
      </c>
      <c r="S325" s="65"/>
      <c r="T325" s="65">
        <f>IFERROR(__xludf.DUMMYFUNCTION("""COMPUTED_VALUE"""),6.36)</f>
        <v>6.36</v>
      </c>
      <c r="U325" s="65">
        <f>IFERROR(__xludf.DUMMYFUNCTION("""COMPUTED_VALUE"""),0.0)</f>
        <v>0</v>
      </c>
      <c r="V325" s="65">
        <f>IFERROR(__xludf.DUMMYFUNCTION("""COMPUTED_VALUE"""),0.0)</f>
        <v>0</v>
      </c>
      <c r="W325" s="65">
        <f>IFERROR(__xludf.DUMMYFUNCTION("""COMPUTED_VALUE"""),0.0)</f>
        <v>0</v>
      </c>
      <c r="X325" s="65">
        <f>IFERROR(__xludf.DUMMYFUNCTION("""COMPUTED_VALUE"""),5.0)</f>
        <v>5</v>
      </c>
      <c r="Y325" s="65">
        <f>IFERROR(__xludf.DUMMYFUNCTION("""COMPUTED_VALUE"""),10.0)</f>
        <v>10</v>
      </c>
      <c r="Z325" s="65">
        <f>IFERROR(__xludf.DUMMYFUNCTION("""COMPUTED_VALUE"""),130492.0)</f>
        <v>130492</v>
      </c>
      <c r="AA325" s="65" t="str">
        <f>IFERROR(__xludf.DUMMYFUNCTION("""COMPUTED_VALUE"""),"IMX-00006")</f>
        <v>IMX-00006</v>
      </c>
      <c r="AB325" s="65"/>
      <c r="AC325" s="65" t="str">
        <f>IFERROR(__xludf.DUMMYFUNCTION("""COMPUTED_VALUE"""),"Receptor Bluetooth")</f>
        <v>Receptor Bluetooth</v>
      </c>
      <c r="AD325" s="65"/>
      <c r="AE325" s="65">
        <f>IFERROR(__xludf.DUMMYFUNCTION("""COMPUTED_VALUE"""),2.0)</f>
        <v>2</v>
      </c>
      <c r="AF325" s="65"/>
      <c r="AG325" s="65"/>
      <c r="AH325" s="65"/>
      <c r="AI325" s="65"/>
      <c r="AJ325" s="65"/>
      <c r="AK325" s="65"/>
      <c r="AL325" s="65"/>
      <c r="AM325" s="65"/>
      <c r="AN325" s="65" t="str">
        <f>IFERROR(__xludf.DUMMYFUNCTION("""COMPUTED_VALUE"""),"08:14")</f>
        <v>08:14</v>
      </c>
      <c r="AO325" s="65" t="str">
        <f>IFERROR(__xludf.DUMMYFUNCTION("""COMPUTED_VALUE"""),"27-03-2026")</f>
        <v>27-03-2026</v>
      </c>
      <c r="AP325" s="65" t="str">
        <f>IFERROR(__xludf.DUMMYFUNCTION("""COMPUTED_VALUE"""),"ZONA DE ENTREGA")</f>
        <v>ZONA DE ENTREGA</v>
      </c>
      <c r="AQ325" s="65" t="str">
        <f>IFERROR(__xludf.DUMMYFUNCTION("""COMPUTED_VALUE"""),"ZONA DE ENTREGA")</f>
        <v>ZONA DE ENTREGA</v>
      </c>
      <c r="AR325" s="65"/>
      <c r="AS325" s="65"/>
      <c r="AT325" s="65" t="str">
        <f>IFERROR(__xludf.DUMMYFUNCTION("""COMPUTED_VALUE"""),"SHOPIFY")</f>
        <v>SHOPIFY</v>
      </c>
      <c r="AU325" s="65" t="str">
        <f>IFERROR(__xludf.DUMMYFUNCTION("""COMPUTED_VALUE"""),"IMPORTEX EC")</f>
        <v>IMPORTEX EC</v>
      </c>
      <c r="AV325" s="65" t="str">
        <f>IFERROR(__xludf.DUMMYFUNCTION("""COMPUTED_VALUE"""),"6559845056556")</f>
        <v>6559845056556</v>
      </c>
      <c r="AW325" s="65">
        <f>IFERROR(__xludf.DUMMYFUNCTION("""COMPUTED_VALUE"""),6534.0)</f>
        <v>6534</v>
      </c>
      <c r="AX325" s="65"/>
      <c r="AY325" s="65" t="str">
        <f>IFERROR(__xludf.DUMMYFUNCTION("""COMPUTED_VALUE"""),"09/03/2026")</f>
        <v>09/03/2026</v>
      </c>
      <c r="AZ325" s="65"/>
      <c r="BA325" s="65"/>
    </row>
    <row r="326">
      <c r="A326" s="65" t="str">
        <f>IFERROR(__xludf.DUMMYFUNCTION("""COMPUTED_VALUE"""),"27-03-2026")</f>
        <v>27-03-2026</v>
      </c>
      <c r="B326" s="65">
        <f>IFERROR(__xludf.DUMMYFUNCTION("""COMPUTED_VALUE"""),4712390.0)</f>
        <v>4712390</v>
      </c>
      <c r="C326" s="65" t="str">
        <f>IFERROR(__xludf.DUMMYFUNCTION("""COMPUTED_VALUE"""),"20:48")</f>
        <v>20:48</v>
      </c>
      <c r="D326" s="65" t="str">
        <f>IFERROR(__xludf.DUMMYFUNCTION("""COMPUTED_VALUE"""),"05-03-2026")</f>
        <v>05-03-2026</v>
      </c>
      <c r="E326" s="65" t="str">
        <f>IFERROR(__xludf.DUMMYFUNCTION("""COMPUTED_VALUE"""),"Jorge Lenin Intriago pico")</f>
        <v>Jorge Lenin Intriago pico</v>
      </c>
      <c r="F326" s="65" t="str">
        <f>IFERROR(__xludf.DUMMYFUNCTION("""COMPUTED_VALUE"""),"994588802")</f>
        <v>994588802</v>
      </c>
      <c r="G326" s="65" t="str">
        <f>IFERROR(__xludf.DUMMYFUNCTION("""COMPUTED_VALUE"""),"leninintri1960@gmail.com")</f>
        <v>leninintri1960@gmail.com</v>
      </c>
      <c r="H326" s="65"/>
      <c r="I326" s="65"/>
      <c r="J326" s="65"/>
      <c r="K326" s="65" t="str">
        <f>IFERROR(__xludf.DUMMYFUNCTION("""COMPUTED_VALUE"""),"CANCELADO")</f>
        <v>CANCELADO</v>
      </c>
      <c r="L326" s="65" t="str">
        <f>IFERROR(__xludf.DUMMYFUNCTION("""COMPUTED_VALUE"""),"CON RECAUDO")</f>
        <v>CON RECAUDO</v>
      </c>
      <c r="M326" s="65" t="str">
        <f>IFERROR(__xludf.DUMMYFUNCTION("""COMPUTED_VALUE"""),"LOS RIOS")</f>
        <v>LOS RIOS</v>
      </c>
      <c r="N326" s="65" t="str">
        <f>IFERROR(__xludf.DUMMYFUNCTION("""COMPUTED_VALUE"""),"MONTALVO")</f>
        <v>MONTALVO</v>
      </c>
      <c r="O326" s="65" t="str">
        <f>IFERROR(__xludf.DUMMYFUNCTION("""COMPUTED_VALUE"""),"Via Guaranda Ambato Pisagua alto -")</f>
        <v>Via Guaranda Ambato Pisagua alto -</v>
      </c>
      <c r="P326" s="65"/>
      <c r="Q326" s="65" t="str">
        <f>IFERROR(__xludf.DUMMYFUNCTION("""COMPUTED_VALUE"""),"LAARCOURIER")</f>
        <v>LAARCOURIER</v>
      </c>
      <c r="R326" s="65">
        <f>IFERROR(__xludf.DUMMYFUNCTION("""COMPUTED_VALUE"""),30.0)</f>
        <v>30</v>
      </c>
      <c r="S326" s="65"/>
      <c r="T326" s="65">
        <f>IFERROR(__xludf.DUMMYFUNCTION("""COMPUTED_VALUE"""),7.26)</f>
        <v>7.26</v>
      </c>
      <c r="U326" s="65">
        <f>IFERROR(__xludf.DUMMYFUNCTION("""COMPUTED_VALUE"""),0.0)</f>
        <v>0</v>
      </c>
      <c r="V326" s="65">
        <f>IFERROR(__xludf.DUMMYFUNCTION("""COMPUTED_VALUE"""),0.0)</f>
        <v>0</v>
      </c>
      <c r="W326" s="65">
        <f>IFERROR(__xludf.DUMMYFUNCTION("""COMPUTED_VALUE"""),0.0)</f>
        <v>0</v>
      </c>
      <c r="X326" s="65">
        <f>IFERROR(__xludf.DUMMYFUNCTION("""COMPUTED_VALUE"""),2.35)</f>
        <v>2.35</v>
      </c>
      <c r="Y326" s="65">
        <f>IFERROR(__xludf.DUMMYFUNCTION("""COMPUTED_VALUE"""),7.05)</f>
        <v>7.05</v>
      </c>
      <c r="Z326" s="65">
        <f>IFERROR(__xludf.DUMMYFUNCTION("""COMPUTED_VALUE"""),116679.0)</f>
        <v>116679</v>
      </c>
      <c r="AA326" s="65" t="str">
        <f>IFERROR(__xludf.DUMMYFUNCTION("""COMPUTED_VALUE"""),"AMC-2738")</f>
        <v>AMC-2738</v>
      </c>
      <c r="AB326" s="65"/>
      <c r="AC326" s="65" t="str">
        <f>IFERROR(__xludf.DUMMYFUNCTION("""COMPUTED_VALUE"""),"ESPONJA ANTILLUVIA DE PARABRISAS")</f>
        <v>ESPONJA ANTILLUVIA DE PARABRISAS</v>
      </c>
      <c r="AD326" s="65"/>
      <c r="AE326" s="65">
        <f>IFERROR(__xludf.DUMMYFUNCTION("""COMPUTED_VALUE"""),3.0)</f>
        <v>3</v>
      </c>
      <c r="AF326" s="65"/>
      <c r="AG326" s="65"/>
      <c r="AH326" s="65"/>
      <c r="AI326" s="65"/>
      <c r="AJ326" s="65"/>
      <c r="AK326" s="65"/>
      <c r="AL326" s="65"/>
      <c r="AM326" s="65"/>
      <c r="AN326" s="65"/>
      <c r="AO326" s="65"/>
      <c r="AP326" s="65"/>
      <c r="AQ326" s="65"/>
      <c r="AR326" s="65"/>
      <c r="AS326" s="65"/>
      <c r="AT326" s="65" t="str">
        <f>IFERROR(__xludf.DUMMYFUNCTION("""COMPUTED_VALUE"""),"SHOPIFY")</f>
        <v>SHOPIFY</v>
      </c>
      <c r="AU326" s="65" t="str">
        <f>IFERROR(__xludf.DUMMYFUNCTION("""COMPUTED_VALUE"""),"IMPORTEX EC")</f>
        <v>IMPORTEX EC</v>
      </c>
      <c r="AV326" s="65" t="str">
        <f>IFERROR(__xludf.DUMMYFUNCTION("""COMPUTED_VALUE"""),"6559627378732")</f>
        <v>6559627378732</v>
      </c>
      <c r="AW326" s="65">
        <f>IFERROR(__xludf.DUMMYFUNCTION("""COMPUTED_VALUE"""),6533.0)</f>
        <v>6533</v>
      </c>
      <c r="AX326" s="65"/>
      <c r="AY326" s="65"/>
      <c r="AZ326" s="65"/>
      <c r="BA326" s="65"/>
    </row>
    <row r="327">
      <c r="A327" s="65" t="str">
        <f>IFERROR(__xludf.DUMMYFUNCTION("""COMPUTED_VALUE"""),"27-03-2026")</f>
        <v>27-03-2026</v>
      </c>
      <c r="B327" s="65">
        <f>IFERROR(__xludf.DUMMYFUNCTION("""COMPUTED_VALUE"""),4712162.0)</f>
        <v>4712162</v>
      </c>
      <c r="C327" s="65" t="str">
        <f>IFERROR(__xludf.DUMMYFUNCTION("""COMPUTED_VALUE"""),"20:23")</f>
        <v>20:23</v>
      </c>
      <c r="D327" s="65" t="str">
        <f>IFERROR(__xludf.DUMMYFUNCTION("""COMPUTED_VALUE"""),"05-03-2026")</f>
        <v>05-03-2026</v>
      </c>
      <c r="E327" s="65" t="str">
        <f>IFERROR(__xludf.DUMMYFUNCTION("""COMPUTED_VALUE"""),"David Cañar")</f>
        <v>David Cañar</v>
      </c>
      <c r="F327" s="65" t="str">
        <f>IFERROR(__xludf.DUMMYFUNCTION("""COMPUTED_VALUE"""),"984470196")</f>
        <v>984470196</v>
      </c>
      <c r="G327" s="65" t="str">
        <f>IFERROR(__xludf.DUMMYFUNCTION("""COMPUTED_VALUE"""),"alexdaco3@gmail.com")</f>
        <v>alexdaco3@gmail.com</v>
      </c>
      <c r="H327" s="65"/>
      <c r="I327" s="65"/>
      <c r="J327" s="65" t="str">
        <f>IFERROR(__xludf.DUMMYFUNCTION("""COMPUTED_VALUE"""),"D001391464")</f>
        <v>D001391464</v>
      </c>
      <c r="K327" s="65" t="str">
        <f>IFERROR(__xludf.DUMMYFUNCTION("""COMPUTED_VALUE"""),"ENTREGADO")</f>
        <v>ENTREGADO</v>
      </c>
      <c r="L327" s="65" t="str">
        <f>IFERROR(__xludf.DUMMYFUNCTION("""COMPUTED_VALUE"""),"CON RECAUDO")</f>
        <v>CON RECAUDO</v>
      </c>
      <c r="M327" s="65" t="str">
        <f>IFERROR(__xludf.DUMMYFUNCTION("""COMPUTED_VALUE"""),"PICHINCHA")</f>
        <v>PICHINCHA</v>
      </c>
      <c r="N327" s="65" t="str">
        <f>IFERROR(__xludf.DUMMYFUNCTION("""COMPUTED_VALUE"""),"QUITO")</f>
        <v>QUITO</v>
      </c>
      <c r="O327" s="65" t="str">
        <f>IFERROR(__xludf.DUMMYFUNCTION("""COMPUTED_VALUE"""),"Av.cordova galarza y 13 de junio San Antonio de pichincha - Referencia ensambladora Maresa parte posterior tanques de agua potable")</f>
        <v>Av.cordova galarza y 13 de junio San Antonio de pichincha - Referencia ensambladora Maresa parte posterior tanques de agua potable</v>
      </c>
      <c r="P327" s="65"/>
      <c r="Q327" s="65" t="str">
        <f>IFERROR(__xludf.DUMMYFUNCTION("""COMPUTED_VALUE"""),"GINTRACOM")</f>
        <v>GINTRACOM</v>
      </c>
      <c r="R327" s="65">
        <f>IFERROR(__xludf.DUMMYFUNCTION("""COMPUTED_VALUE"""),30.0)</f>
        <v>30</v>
      </c>
      <c r="S327" s="65">
        <f>IFERROR(__xludf.DUMMYFUNCTION("""COMPUTED_VALUE"""),18.4)</f>
        <v>18.4</v>
      </c>
      <c r="T327" s="65">
        <f>IFERROR(__xludf.DUMMYFUNCTION("""COMPUTED_VALUE"""),4.55)</f>
        <v>4.55</v>
      </c>
      <c r="U327" s="65">
        <f>IFERROR(__xludf.DUMMYFUNCTION("""COMPUTED_VALUE"""),0.0)</f>
        <v>0</v>
      </c>
      <c r="V327" s="65">
        <f>IFERROR(__xludf.DUMMYFUNCTION("""COMPUTED_VALUE"""),0.0)</f>
        <v>0</v>
      </c>
      <c r="W327" s="65">
        <f>IFERROR(__xludf.DUMMYFUNCTION("""COMPUTED_VALUE"""),0.0)</f>
        <v>0</v>
      </c>
      <c r="X327" s="65">
        <f>IFERROR(__xludf.DUMMYFUNCTION("""COMPUTED_VALUE"""),2.35)</f>
        <v>2.35</v>
      </c>
      <c r="Y327" s="65">
        <f>IFERROR(__xludf.DUMMYFUNCTION("""COMPUTED_VALUE"""),7.05)</f>
        <v>7.05</v>
      </c>
      <c r="Z327" s="65">
        <f>IFERROR(__xludf.DUMMYFUNCTION("""COMPUTED_VALUE"""),116679.0)</f>
        <v>116679</v>
      </c>
      <c r="AA327" s="65" t="str">
        <f>IFERROR(__xludf.DUMMYFUNCTION("""COMPUTED_VALUE"""),"AMC-2738")</f>
        <v>AMC-2738</v>
      </c>
      <c r="AB327" s="65"/>
      <c r="AC327" s="65" t="str">
        <f>IFERROR(__xludf.DUMMYFUNCTION("""COMPUTED_VALUE"""),"ESPONJA ANTILLUVIA DE PARABRISAS")</f>
        <v>ESPONJA ANTILLUVIA DE PARABRISAS</v>
      </c>
      <c r="AD327" s="65"/>
      <c r="AE327" s="65">
        <f>IFERROR(__xludf.DUMMYFUNCTION("""COMPUTED_VALUE"""),3.0)</f>
        <v>3</v>
      </c>
      <c r="AF327" s="65"/>
      <c r="AG327" s="65"/>
      <c r="AH327" s="65"/>
      <c r="AI327" s="65"/>
      <c r="AJ327" s="65"/>
      <c r="AK327" s="65"/>
      <c r="AL327" s="65"/>
      <c r="AM327" s="65"/>
      <c r="AN327" s="65" t="str">
        <f>IFERROR(__xludf.DUMMYFUNCTION("""COMPUTED_VALUE"""),"10:38")</f>
        <v>10:38</v>
      </c>
      <c r="AO327" s="65" t="str">
        <f>IFERROR(__xludf.DUMMYFUNCTION("""COMPUTED_VALUE"""),"21-03-2026")</f>
        <v>21-03-2026</v>
      </c>
      <c r="AP327" s="65" t="str">
        <f>IFERROR(__xludf.DUMMYFUNCTION("""COMPUTED_VALUE"""),"ENTREGADA GINTRACOM")</f>
        <v>ENTREGADA GINTRACOM</v>
      </c>
      <c r="AQ327" s="65" t="str">
        <f>IFERROR(__xludf.DUMMYFUNCTION("""COMPUTED_VALUE"""),"ENTREGADA GINTRACOM")</f>
        <v>ENTREGADA GINTRACOM</v>
      </c>
      <c r="AR327" s="65"/>
      <c r="AS327" s="65"/>
      <c r="AT327" s="65" t="str">
        <f>IFERROR(__xludf.DUMMYFUNCTION("""COMPUTED_VALUE"""),"SHOPIFY")</f>
        <v>SHOPIFY</v>
      </c>
      <c r="AU327" s="65" t="str">
        <f>IFERROR(__xludf.DUMMYFUNCTION("""COMPUTED_VALUE"""),"IMPORTEX EC")</f>
        <v>IMPORTEX EC</v>
      </c>
      <c r="AV327" s="65" t="str">
        <f>IFERROR(__xludf.DUMMYFUNCTION("""COMPUTED_VALUE"""),"6559585992748")</f>
        <v>6559585992748</v>
      </c>
      <c r="AW327" s="65">
        <f>IFERROR(__xludf.DUMMYFUNCTION("""COMPUTED_VALUE"""),6532.0)</f>
        <v>6532</v>
      </c>
      <c r="AX327" s="65"/>
      <c r="AY327" s="65" t="str">
        <f>IFERROR(__xludf.DUMMYFUNCTION("""COMPUTED_VALUE"""),"07/03/2026")</f>
        <v>07/03/2026</v>
      </c>
      <c r="AZ327" s="65"/>
      <c r="BA327" s="65"/>
    </row>
    <row r="328">
      <c r="A328" s="65" t="str">
        <f>IFERROR(__xludf.DUMMYFUNCTION("""COMPUTED_VALUE"""),"27-03-2026")</f>
        <v>27-03-2026</v>
      </c>
      <c r="B328" s="65">
        <f>IFERROR(__xludf.DUMMYFUNCTION("""COMPUTED_VALUE"""),4711684.0)</f>
        <v>4711684</v>
      </c>
      <c r="C328" s="65" t="str">
        <f>IFERROR(__xludf.DUMMYFUNCTION("""COMPUTED_VALUE"""),"19:23")</f>
        <v>19:23</v>
      </c>
      <c r="D328" s="65" t="str">
        <f>IFERROR(__xludf.DUMMYFUNCTION("""COMPUTED_VALUE"""),"05-03-2026")</f>
        <v>05-03-2026</v>
      </c>
      <c r="E328" s="65" t="str">
        <f>IFERROR(__xludf.DUMMYFUNCTION("""COMPUTED_VALUE"""),"Freddy EMILIANO Guerrero hidalgo")</f>
        <v>Freddy EMILIANO Guerrero hidalgo</v>
      </c>
      <c r="F328" s="65" t="str">
        <f>IFERROR(__xludf.DUMMYFUNCTION("""COMPUTED_VALUE"""),"997197347")</f>
        <v>997197347</v>
      </c>
      <c r="G328" s="65" t="str">
        <f>IFERROR(__xludf.DUMMYFUNCTION("""COMPUTED_VALUE"""),"Emilianoguerrerohidalgo@outlook.es")</f>
        <v>Emilianoguerrerohidalgo@outlook.es</v>
      </c>
      <c r="H328" s="65"/>
      <c r="I328" s="65"/>
      <c r="J328" s="65" t="str">
        <f>IFERROR(__xludf.DUMMYFUNCTION("""COMPUTED_VALUE"""),"D001394170")</f>
        <v>D001394170</v>
      </c>
      <c r="K328" s="65" t="str">
        <f>IFERROR(__xludf.DUMMYFUNCTION("""COMPUTED_VALUE"""),"ENTREGADO")</f>
        <v>ENTREGADO</v>
      </c>
      <c r="L328" s="65" t="str">
        <f>IFERROR(__xludf.DUMMYFUNCTION("""COMPUTED_VALUE"""),"CON RECAUDO")</f>
        <v>CON RECAUDO</v>
      </c>
      <c r="M328" s="65" t="str">
        <f>IFERROR(__xludf.DUMMYFUNCTION("""COMPUTED_VALUE"""),"GUAYAS")</f>
        <v>GUAYAS</v>
      </c>
      <c r="N328" s="65" t="str">
        <f>IFERROR(__xludf.DUMMYFUNCTION("""COMPUTED_VALUE"""),"GUAYAQUIL")</f>
        <v>GUAYAQUIL</v>
      </c>
      <c r="O328" s="65" t="str">
        <f>IFERROR(__xludf.DUMMYFUNCTION("""COMPUTED_VALUE"""),"Guerrero Martínez y 4 de noviembre A dos Cuadra de el tía -")</f>
        <v>Guerrero Martínez y 4 de noviembre A dos Cuadra de el tía -</v>
      </c>
      <c r="P328" s="65"/>
      <c r="Q328" s="65" t="str">
        <f>IFERROR(__xludf.DUMMYFUNCTION("""COMPUTED_VALUE"""),"GINTRACOM")</f>
        <v>GINTRACOM</v>
      </c>
      <c r="R328" s="65">
        <f>IFERROR(__xludf.DUMMYFUNCTION("""COMPUTED_VALUE"""),22.0)</f>
        <v>22</v>
      </c>
      <c r="S328" s="65">
        <f>IFERROR(__xludf.DUMMYFUNCTION("""COMPUTED_VALUE"""),6.16)</f>
        <v>6.16</v>
      </c>
      <c r="T328" s="65">
        <f>IFERROR(__xludf.DUMMYFUNCTION("""COMPUTED_VALUE"""),5.84)</f>
        <v>5.84</v>
      </c>
      <c r="U328" s="65">
        <f>IFERROR(__xludf.DUMMYFUNCTION("""COMPUTED_VALUE"""),0.0)</f>
        <v>0</v>
      </c>
      <c r="V328" s="65">
        <f>IFERROR(__xludf.DUMMYFUNCTION("""COMPUTED_VALUE"""),0.0)</f>
        <v>0</v>
      </c>
      <c r="W328" s="65">
        <f>IFERROR(__xludf.DUMMYFUNCTION("""COMPUTED_VALUE"""),0.0)</f>
        <v>0</v>
      </c>
      <c r="X328" s="65">
        <f>IFERROR(__xludf.DUMMYFUNCTION("""COMPUTED_VALUE"""),5.0)</f>
        <v>5</v>
      </c>
      <c r="Y328" s="65">
        <f>IFERROR(__xludf.DUMMYFUNCTION("""COMPUTED_VALUE"""),10.0)</f>
        <v>10</v>
      </c>
      <c r="Z328" s="65">
        <f>IFERROR(__xludf.DUMMYFUNCTION("""COMPUTED_VALUE"""),130492.0)</f>
        <v>130492</v>
      </c>
      <c r="AA328" s="65" t="str">
        <f>IFERROR(__xludf.DUMMYFUNCTION("""COMPUTED_VALUE"""),"IMX-00006")</f>
        <v>IMX-00006</v>
      </c>
      <c r="AB328" s="65"/>
      <c r="AC328" s="65" t="str">
        <f>IFERROR(__xludf.DUMMYFUNCTION("""COMPUTED_VALUE"""),"Receptor Bluetooth")</f>
        <v>Receptor Bluetooth</v>
      </c>
      <c r="AD328" s="65"/>
      <c r="AE328" s="65">
        <f>IFERROR(__xludf.DUMMYFUNCTION("""COMPUTED_VALUE"""),2.0)</f>
        <v>2</v>
      </c>
      <c r="AF328" s="65"/>
      <c r="AG328" s="65"/>
      <c r="AH328" s="65"/>
      <c r="AI328" s="65"/>
      <c r="AJ328" s="65"/>
      <c r="AK328" s="65"/>
      <c r="AL328" s="65"/>
      <c r="AM328" s="65"/>
      <c r="AN328" s="65" t="str">
        <f>IFERROR(__xludf.DUMMYFUNCTION("""COMPUTED_VALUE"""),"10:07")</f>
        <v>10:07</v>
      </c>
      <c r="AO328" s="65" t="str">
        <f>IFERROR(__xludf.DUMMYFUNCTION("""COMPUTED_VALUE"""),"10-03-2026")</f>
        <v>10-03-2026</v>
      </c>
      <c r="AP328" s="65" t="str">
        <f>IFERROR(__xludf.DUMMYFUNCTION("""COMPUTED_VALUE"""),"EN REPARTO")</f>
        <v>EN REPARTO</v>
      </c>
      <c r="AQ328" s="65" t="str">
        <f>IFERROR(__xludf.DUMMYFUNCTION("""COMPUTED_VALUE"""),"EN REPARTO")</f>
        <v>EN REPARTO</v>
      </c>
      <c r="AR328" s="65"/>
      <c r="AS328" s="65"/>
      <c r="AT328" s="65" t="str">
        <f>IFERROR(__xludf.DUMMYFUNCTION("""COMPUTED_VALUE"""),"SHOPIFY")</f>
        <v>SHOPIFY</v>
      </c>
      <c r="AU328" s="65" t="str">
        <f>IFERROR(__xludf.DUMMYFUNCTION("""COMPUTED_VALUE"""),"IMPORTEX EC")</f>
        <v>IMPORTEX EC</v>
      </c>
      <c r="AV328" s="65" t="str">
        <f>IFERROR(__xludf.DUMMYFUNCTION("""COMPUTED_VALUE"""),"6559474745388")</f>
        <v>6559474745388</v>
      </c>
      <c r="AW328" s="65">
        <f>IFERROR(__xludf.DUMMYFUNCTION("""COMPUTED_VALUE"""),6531.0)</f>
        <v>6531</v>
      </c>
      <c r="AX328" s="65"/>
      <c r="AY328" s="65" t="str">
        <f>IFERROR(__xludf.DUMMYFUNCTION("""COMPUTED_VALUE"""),"09/03/2026")</f>
        <v>09/03/2026</v>
      </c>
      <c r="AZ328" s="65"/>
      <c r="BA328" s="65"/>
    </row>
    <row r="329">
      <c r="A329" s="65" t="str">
        <f>IFERROR(__xludf.DUMMYFUNCTION("""COMPUTED_VALUE"""),"27-03-2026")</f>
        <v>27-03-2026</v>
      </c>
      <c r="B329" s="65">
        <f>IFERROR(__xludf.DUMMYFUNCTION("""COMPUTED_VALUE"""),4711680.0)</f>
        <v>4711680</v>
      </c>
      <c r="C329" s="65" t="str">
        <f>IFERROR(__xludf.DUMMYFUNCTION("""COMPUTED_VALUE"""),"19:23")</f>
        <v>19:23</v>
      </c>
      <c r="D329" s="65" t="str">
        <f>IFERROR(__xludf.DUMMYFUNCTION("""COMPUTED_VALUE"""),"05-03-2026")</f>
        <v>05-03-2026</v>
      </c>
      <c r="E329" s="65" t="str">
        <f>IFERROR(__xludf.DUMMYFUNCTION("""COMPUTED_VALUE"""),"Galo Catucuamba")</f>
        <v>Galo Catucuamba</v>
      </c>
      <c r="F329" s="65" t="str">
        <f>IFERROR(__xludf.DUMMYFUNCTION("""COMPUTED_VALUE"""),"990856023")</f>
        <v>990856023</v>
      </c>
      <c r="G329" s="65"/>
      <c r="H329" s="65"/>
      <c r="I329" s="65"/>
      <c r="J329" s="65"/>
      <c r="K329" s="65" t="str">
        <f>IFERROR(__xludf.DUMMYFUNCTION("""COMPUTED_VALUE"""),"CANCELADO")</f>
        <v>CANCELADO</v>
      </c>
      <c r="L329" s="65" t="str">
        <f>IFERROR(__xludf.DUMMYFUNCTION("""COMPUTED_VALUE"""),"CON RECAUDO")</f>
        <v>CON RECAUDO</v>
      </c>
      <c r="M329" s="65" t="str">
        <f>IFERROR(__xludf.DUMMYFUNCTION("""COMPUTED_VALUE"""),"PICHINCHA")</f>
        <v>PICHINCHA</v>
      </c>
      <c r="N329" s="65" t="str">
        <f>IFERROR(__xludf.DUMMYFUNCTION("""COMPUTED_VALUE"""),"CAYAMBE")</f>
        <v>CAYAMBE</v>
      </c>
      <c r="O329" s="65" t="str">
        <f>IFERROR(__xludf.DUMMYFUNCTION("""COMPUTED_VALUE"""),"Servientrega Cayambe -")</f>
        <v>Servientrega Cayambe -</v>
      </c>
      <c r="P329" s="65"/>
      <c r="Q329" s="65" t="str">
        <f>IFERROR(__xludf.DUMMYFUNCTION("""COMPUTED_VALUE"""),"GINTRACOM")</f>
        <v>GINTRACOM</v>
      </c>
      <c r="R329" s="65">
        <f>IFERROR(__xludf.DUMMYFUNCTION("""COMPUTED_VALUE"""),27.99)</f>
        <v>27.99</v>
      </c>
      <c r="S329" s="65"/>
      <c r="T329" s="65">
        <f>IFERROR(__xludf.DUMMYFUNCTION("""COMPUTED_VALUE"""),5.5)</f>
        <v>5.5</v>
      </c>
      <c r="U329" s="65">
        <f>IFERROR(__xludf.DUMMYFUNCTION("""COMPUTED_VALUE"""),0.0)</f>
        <v>0</v>
      </c>
      <c r="V329" s="65">
        <f>IFERROR(__xludf.DUMMYFUNCTION("""COMPUTED_VALUE"""),0.0)</f>
        <v>0</v>
      </c>
      <c r="W329" s="65">
        <f>IFERROR(__xludf.DUMMYFUNCTION("""COMPUTED_VALUE"""),0.0)</f>
        <v>0</v>
      </c>
      <c r="X329" s="65">
        <f>IFERROR(__xludf.DUMMYFUNCTION("""COMPUTED_VALUE"""),5.0)</f>
        <v>5</v>
      </c>
      <c r="Y329" s="65">
        <f>IFERROR(__xludf.DUMMYFUNCTION("""COMPUTED_VALUE"""),15.0)</f>
        <v>15</v>
      </c>
      <c r="Z329" s="65">
        <f>IFERROR(__xludf.DUMMYFUNCTION("""COMPUTED_VALUE"""),130492.0)</f>
        <v>130492</v>
      </c>
      <c r="AA329" s="65" t="str">
        <f>IFERROR(__xludf.DUMMYFUNCTION("""COMPUTED_VALUE"""),"IMX-00006")</f>
        <v>IMX-00006</v>
      </c>
      <c r="AB329" s="65"/>
      <c r="AC329" s="65" t="str">
        <f>IFERROR(__xludf.DUMMYFUNCTION("""COMPUTED_VALUE"""),"Receptor Bluetooth")</f>
        <v>Receptor Bluetooth</v>
      </c>
      <c r="AD329" s="65"/>
      <c r="AE329" s="65">
        <f>IFERROR(__xludf.DUMMYFUNCTION("""COMPUTED_VALUE"""),3.0)</f>
        <v>3</v>
      </c>
      <c r="AF329" s="65"/>
      <c r="AG329" s="65"/>
      <c r="AH329" s="65"/>
      <c r="AI329" s="65"/>
      <c r="AJ329" s="65"/>
      <c r="AK329" s="65"/>
      <c r="AL329" s="65"/>
      <c r="AM329" s="65"/>
      <c r="AN329" s="65"/>
      <c r="AO329" s="65"/>
      <c r="AP329" s="65"/>
      <c r="AQ329" s="65"/>
      <c r="AR329" s="65"/>
      <c r="AS329" s="65"/>
      <c r="AT329" s="65" t="str">
        <f>IFERROR(__xludf.DUMMYFUNCTION("""COMPUTED_VALUE"""),"SHOPIFY")</f>
        <v>SHOPIFY</v>
      </c>
      <c r="AU329" s="65" t="str">
        <f>IFERROR(__xludf.DUMMYFUNCTION("""COMPUTED_VALUE"""),"IMPORTEX EC")</f>
        <v>IMPORTEX EC</v>
      </c>
      <c r="AV329" s="65" t="str">
        <f>IFERROR(__xludf.DUMMYFUNCTION("""COMPUTED_VALUE"""),"6559474122796")</f>
        <v>6559474122796</v>
      </c>
      <c r="AW329" s="65">
        <f>IFERROR(__xludf.DUMMYFUNCTION("""COMPUTED_VALUE"""),6530.0)</f>
        <v>6530</v>
      </c>
      <c r="AX329" s="65"/>
      <c r="AY329" s="65"/>
      <c r="AZ329" s="65"/>
      <c r="BA329" s="65"/>
    </row>
    <row r="330">
      <c r="A330" s="65" t="str">
        <f>IFERROR(__xludf.DUMMYFUNCTION("""COMPUTED_VALUE"""),"27-03-2026")</f>
        <v>27-03-2026</v>
      </c>
      <c r="B330" s="65">
        <f>IFERROR(__xludf.DUMMYFUNCTION("""COMPUTED_VALUE"""),4711538.0)</f>
        <v>4711538</v>
      </c>
      <c r="C330" s="65" t="str">
        <f>IFERROR(__xludf.DUMMYFUNCTION("""COMPUTED_VALUE"""),"19:00")</f>
        <v>19:00</v>
      </c>
      <c r="D330" s="65" t="str">
        <f>IFERROR(__xludf.DUMMYFUNCTION("""COMPUTED_VALUE"""),"05-03-2026")</f>
        <v>05-03-2026</v>
      </c>
      <c r="E330" s="65" t="str">
        <f>IFERROR(__xludf.DUMMYFUNCTION("""COMPUTED_VALUE"""),"Yomar Suarez")</f>
        <v>Yomar Suarez</v>
      </c>
      <c r="F330" s="65" t="str">
        <f>IFERROR(__xludf.DUMMYFUNCTION("""COMPUTED_VALUE"""),"997473934")</f>
        <v>997473934</v>
      </c>
      <c r="G330" s="65"/>
      <c r="H330" s="65"/>
      <c r="I330" s="65"/>
      <c r="J330" s="65" t="str">
        <f>IFERROR(__xludf.DUMMYFUNCTION("""COMPUTED_VALUE"""),"D001391465")</f>
        <v>D001391465</v>
      </c>
      <c r="K330" s="65" t="str">
        <f>IFERROR(__xludf.DUMMYFUNCTION("""COMPUTED_VALUE"""),"DEVOLUCION")</f>
        <v>DEVOLUCION</v>
      </c>
      <c r="L330" s="65" t="str">
        <f>IFERROR(__xludf.DUMMYFUNCTION("""COMPUTED_VALUE"""),"CON RECAUDO")</f>
        <v>CON RECAUDO</v>
      </c>
      <c r="M330" s="65" t="str">
        <f>IFERROR(__xludf.DUMMYFUNCTION("""COMPUTED_VALUE"""),"GUAYAS")</f>
        <v>GUAYAS</v>
      </c>
      <c r="N330" s="65" t="str">
        <f>IFERROR(__xludf.DUMMYFUNCTION("""COMPUTED_VALUE"""),"GUAYAQUIL")</f>
        <v>GUAYAQUIL</v>
      </c>
      <c r="O330" s="65" t="str">
        <f>IFERROR(__xludf.DUMMYFUNCTION("""COMPUTED_VALUE"""),"Colinas de la Alborada El Ceibal - ALAMOS NORTE")</f>
        <v>Colinas de la Alborada El Ceibal - ALAMOS NORTE</v>
      </c>
      <c r="P330" s="65"/>
      <c r="Q330" s="65" t="str">
        <f>IFERROR(__xludf.DUMMYFUNCTION("""COMPUTED_VALUE"""),"GINTRACOM")</f>
        <v>GINTRACOM</v>
      </c>
      <c r="R330" s="65">
        <f>IFERROR(__xludf.DUMMYFUNCTION("""COMPUTED_VALUE"""),20.0)</f>
        <v>20</v>
      </c>
      <c r="S330" s="65"/>
      <c r="T330" s="65">
        <f>IFERROR(__xludf.DUMMYFUNCTION("""COMPUTED_VALUE"""),5.76)</f>
        <v>5.76</v>
      </c>
      <c r="U330" s="65">
        <f>IFERROR(__xludf.DUMMYFUNCTION("""COMPUTED_VALUE"""),0.0)</f>
        <v>0</v>
      </c>
      <c r="V330" s="65">
        <f>IFERROR(__xludf.DUMMYFUNCTION("""COMPUTED_VALUE"""),0.0)</f>
        <v>0</v>
      </c>
      <c r="W330" s="65">
        <f>IFERROR(__xludf.DUMMYFUNCTION("""COMPUTED_VALUE"""),0.0)</f>
        <v>0</v>
      </c>
      <c r="X330" s="65">
        <f>IFERROR(__xludf.DUMMYFUNCTION("""COMPUTED_VALUE"""),2.35)</f>
        <v>2.35</v>
      </c>
      <c r="Y330" s="65">
        <f>IFERROR(__xludf.DUMMYFUNCTION("""COMPUTED_VALUE"""),2.35)</f>
        <v>2.35</v>
      </c>
      <c r="Z330" s="65">
        <f>IFERROR(__xludf.DUMMYFUNCTION("""COMPUTED_VALUE"""),116679.0)</f>
        <v>116679</v>
      </c>
      <c r="AA330" s="65" t="str">
        <f>IFERROR(__xludf.DUMMYFUNCTION("""COMPUTED_VALUE"""),"AMC-2738")</f>
        <v>AMC-2738</v>
      </c>
      <c r="AB330" s="65"/>
      <c r="AC330" s="65" t="str">
        <f>IFERROR(__xludf.DUMMYFUNCTION("""COMPUTED_VALUE"""),"ESPONJA ANTILLUVIA DE PARABRISAS")</f>
        <v>ESPONJA ANTILLUVIA DE PARABRISAS</v>
      </c>
      <c r="AD330" s="65"/>
      <c r="AE330" s="65">
        <f>IFERROR(__xludf.DUMMYFUNCTION("""COMPUTED_VALUE"""),1.0)</f>
        <v>1</v>
      </c>
      <c r="AF330" s="65" t="str">
        <f>IFERROR(__xludf.DUMMYFUNCTION("""COMPUTED_VALUE"""),"DESTINATARIO NO CONTESTA LLAMADAS NI WHATSAPP")</f>
        <v>DESTINATARIO NO CONTESTA LLAMADAS NI WHATSAPP</v>
      </c>
      <c r="AG330" s="65" t="str">
        <f>IFERROR(__xludf.DUMMYFUNCTION("""COMPUTED_VALUE"""),"NO")</f>
        <v>NO</v>
      </c>
      <c r="AH330" s="65" t="str">
        <f>IFERROR(__xludf.DUMMYFUNCTION("""COMPUTED_VALUE"""),"09:00")</f>
        <v>09:00</v>
      </c>
      <c r="AI330" s="65" t="str">
        <f>IFERROR(__xludf.DUMMYFUNCTION("""COMPUTED_VALUE"""),"17-03-2026")</f>
        <v>17-03-2026</v>
      </c>
      <c r="AJ330" s="65"/>
      <c r="AK330" s="65"/>
      <c r="AL330" s="65"/>
      <c r="AM330" s="65"/>
      <c r="AN330" s="65" t="str">
        <f>IFERROR(__xludf.DUMMYFUNCTION("""COMPUTED_VALUE"""),"15:33")</f>
        <v>15:33</v>
      </c>
      <c r="AO330" s="65" t="str">
        <f>IFERROR(__xludf.DUMMYFUNCTION("""COMPUTED_VALUE"""),"26-03-2026")</f>
        <v>26-03-2026</v>
      </c>
      <c r="AP330" s="65" t="str">
        <f>IFERROR(__xludf.DUMMYFUNCTION("""COMPUTED_VALUE"""),"DEVOLUCIÓN ENTREGADA A ORIGEN")</f>
        <v>DEVOLUCIÓN ENTREGADA A ORIGEN</v>
      </c>
      <c r="AQ330" s="65" t="str">
        <f>IFERROR(__xludf.DUMMYFUNCTION("""COMPUTED_VALUE"""),"DEVOLUCIÓN ENTREGADA A ORIGEN")</f>
        <v>DEVOLUCIÓN ENTREGADA A ORIGEN</v>
      </c>
      <c r="AR330" s="65"/>
      <c r="AS330" s="65"/>
      <c r="AT330" s="65" t="str">
        <f>IFERROR(__xludf.DUMMYFUNCTION("""COMPUTED_VALUE"""),"SHOPIFY")</f>
        <v>SHOPIFY</v>
      </c>
      <c r="AU330" s="65" t="str">
        <f>IFERROR(__xludf.DUMMYFUNCTION("""COMPUTED_VALUE"""),"IMPORTEX EC")</f>
        <v>IMPORTEX EC</v>
      </c>
      <c r="AV330" s="65" t="str">
        <f>IFERROR(__xludf.DUMMYFUNCTION("""COMPUTED_VALUE"""),"6559437422636")</f>
        <v>6559437422636</v>
      </c>
      <c r="AW330" s="65">
        <f>IFERROR(__xludf.DUMMYFUNCTION("""COMPUTED_VALUE"""),6529.0)</f>
        <v>6529</v>
      </c>
      <c r="AX330" s="65"/>
      <c r="AY330" s="65" t="str">
        <f>IFERROR(__xludf.DUMMYFUNCTION("""COMPUTED_VALUE"""),"07/03/2026")</f>
        <v>07/03/2026</v>
      </c>
      <c r="AZ330" s="65"/>
      <c r="BA330" s="65"/>
    </row>
    <row r="331">
      <c r="A331" s="65" t="str">
        <f>IFERROR(__xludf.DUMMYFUNCTION("""COMPUTED_VALUE"""),"27-03-2026")</f>
        <v>27-03-2026</v>
      </c>
      <c r="B331" s="65">
        <f>IFERROR(__xludf.DUMMYFUNCTION("""COMPUTED_VALUE"""),4709501.0)</f>
        <v>4709501</v>
      </c>
      <c r="C331" s="65" t="str">
        <f>IFERROR(__xludf.DUMMYFUNCTION("""COMPUTED_VALUE"""),"15:05")</f>
        <v>15:05</v>
      </c>
      <c r="D331" s="65" t="str">
        <f>IFERROR(__xludf.DUMMYFUNCTION("""COMPUTED_VALUE"""),"05-03-2026")</f>
        <v>05-03-2026</v>
      </c>
      <c r="E331" s="65" t="str">
        <f>IFERROR(__xludf.DUMMYFUNCTION("""COMPUTED_VALUE"""),"Abel Castillo")</f>
        <v>Abel Castillo</v>
      </c>
      <c r="F331" s="65" t="str">
        <f>IFERROR(__xludf.DUMMYFUNCTION("""COMPUTED_VALUE"""),"992777253")</f>
        <v>992777253</v>
      </c>
      <c r="G331" s="65"/>
      <c r="H331" s="65"/>
      <c r="I331" s="65"/>
      <c r="J331" s="65" t="str">
        <f>IFERROR(__xludf.DUMMYFUNCTION("""COMPUTED_VALUE"""),"D001391471")</f>
        <v>D001391471</v>
      </c>
      <c r="K331" s="65" t="str">
        <f>IFERROR(__xludf.DUMMYFUNCTION("""COMPUTED_VALUE"""),"ENTREGADO")</f>
        <v>ENTREGADO</v>
      </c>
      <c r="L331" s="65" t="str">
        <f>IFERROR(__xludf.DUMMYFUNCTION("""COMPUTED_VALUE"""),"CON RECAUDO")</f>
        <v>CON RECAUDO</v>
      </c>
      <c r="M331" s="65" t="str">
        <f>IFERROR(__xludf.DUMMYFUNCTION("""COMPUTED_VALUE"""),"GUAYAS")</f>
        <v>GUAYAS</v>
      </c>
      <c r="N331" s="65" t="str">
        <f>IFERROR(__xludf.DUMMYFUNCTION("""COMPUTED_VALUE"""),"GUAYAQUIL")</f>
        <v>GUAYAQUIL</v>
      </c>
      <c r="O331" s="65" t="str">
        <f>IFERROR(__xludf.DUMMYFUNCTION("""COMPUTED_VALUE"""),"Cdla. Bellavista, Mz 69 villa 26  Av. Velasco Ibarra - REFERENCIA gasolinera Primax")</f>
        <v>Cdla. Bellavista, Mz 69 villa 26  Av. Velasco Ibarra - REFERENCIA gasolinera Primax</v>
      </c>
      <c r="P331" s="65"/>
      <c r="Q331" s="65" t="str">
        <f>IFERROR(__xludf.DUMMYFUNCTION("""COMPUTED_VALUE"""),"GINTRACOM")</f>
        <v>GINTRACOM</v>
      </c>
      <c r="R331" s="65">
        <f>IFERROR(__xludf.DUMMYFUNCTION("""COMPUTED_VALUE"""),30.0)</f>
        <v>30</v>
      </c>
      <c r="S331" s="65">
        <f>IFERROR(__xludf.DUMMYFUNCTION("""COMPUTED_VALUE"""),16.79)</f>
        <v>16.79</v>
      </c>
      <c r="T331" s="65">
        <f>IFERROR(__xludf.DUMMYFUNCTION("""COMPUTED_VALUE"""),6.16)</f>
        <v>6.16</v>
      </c>
      <c r="U331" s="65">
        <f>IFERROR(__xludf.DUMMYFUNCTION("""COMPUTED_VALUE"""),0.0)</f>
        <v>0</v>
      </c>
      <c r="V331" s="65">
        <f>IFERROR(__xludf.DUMMYFUNCTION("""COMPUTED_VALUE"""),0.0)</f>
        <v>0</v>
      </c>
      <c r="W331" s="65">
        <f>IFERROR(__xludf.DUMMYFUNCTION("""COMPUTED_VALUE"""),0.0)</f>
        <v>0</v>
      </c>
      <c r="X331" s="65">
        <f>IFERROR(__xludf.DUMMYFUNCTION("""COMPUTED_VALUE"""),2.35)</f>
        <v>2.35</v>
      </c>
      <c r="Y331" s="65">
        <f>IFERROR(__xludf.DUMMYFUNCTION("""COMPUTED_VALUE"""),7.05)</f>
        <v>7.05</v>
      </c>
      <c r="Z331" s="65">
        <f>IFERROR(__xludf.DUMMYFUNCTION("""COMPUTED_VALUE"""),116679.0)</f>
        <v>116679</v>
      </c>
      <c r="AA331" s="65" t="str">
        <f>IFERROR(__xludf.DUMMYFUNCTION("""COMPUTED_VALUE"""),"AMC-2738")</f>
        <v>AMC-2738</v>
      </c>
      <c r="AB331" s="65"/>
      <c r="AC331" s="65" t="str">
        <f>IFERROR(__xludf.DUMMYFUNCTION("""COMPUTED_VALUE"""),"ESPONJA ANTILLUVIA DE PARABRISAS")</f>
        <v>ESPONJA ANTILLUVIA DE PARABRISAS</v>
      </c>
      <c r="AD331" s="65"/>
      <c r="AE331" s="65">
        <f>IFERROR(__xludf.DUMMYFUNCTION("""COMPUTED_VALUE"""),3.0)</f>
        <v>3</v>
      </c>
      <c r="AF331" s="65"/>
      <c r="AG331" s="65"/>
      <c r="AH331" s="65"/>
      <c r="AI331" s="65"/>
      <c r="AJ331" s="65"/>
      <c r="AK331" s="65"/>
      <c r="AL331" s="65"/>
      <c r="AM331" s="65"/>
      <c r="AN331" s="65" t="str">
        <f>IFERROR(__xludf.DUMMYFUNCTION("""COMPUTED_VALUE"""),"14:38")</f>
        <v>14:38</v>
      </c>
      <c r="AO331" s="65" t="str">
        <f>IFERROR(__xludf.DUMMYFUNCTION("""COMPUTED_VALUE"""),"09-03-2026")</f>
        <v>09-03-2026</v>
      </c>
      <c r="AP331" s="65" t="str">
        <f>IFERROR(__xludf.DUMMYFUNCTION("""COMPUTED_VALUE"""),"ENTREGADA GINTRACOM")</f>
        <v>ENTREGADA GINTRACOM</v>
      </c>
      <c r="AQ331" s="65" t="str">
        <f>IFERROR(__xludf.DUMMYFUNCTION("""COMPUTED_VALUE"""),"ENTREGADA GINTRACOM")</f>
        <v>ENTREGADA GINTRACOM</v>
      </c>
      <c r="AR331" s="65"/>
      <c r="AS331" s="65"/>
      <c r="AT331" s="65" t="str">
        <f>IFERROR(__xludf.DUMMYFUNCTION("""COMPUTED_VALUE"""),"SHOPIFY")</f>
        <v>SHOPIFY</v>
      </c>
      <c r="AU331" s="65" t="str">
        <f>IFERROR(__xludf.DUMMYFUNCTION("""COMPUTED_VALUE"""),"IMPORTEX EC")</f>
        <v>IMPORTEX EC</v>
      </c>
      <c r="AV331" s="65" t="str">
        <f>IFERROR(__xludf.DUMMYFUNCTION("""COMPUTED_VALUE"""),"6559022612524")</f>
        <v>6559022612524</v>
      </c>
      <c r="AW331" s="65">
        <f>IFERROR(__xludf.DUMMYFUNCTION("""COMPUTED_VALUE"""),6527.0)</f>
        <v>6527</v>
      </c>
      <c r="AX331" s="65"/>
      <c r="AY331" s="65" t="str">
        <f>IFERROR(__xludf.DUMMYFUNCTION("""COMPUTED_VALUE"""),"07/03/2026")</f>
        <v>07/03/2026</v>
      </c>
      <c r="AZ331" s="65"/>
      <c r="BA331" s="65"/>
    </row>
    <row r="332">
      <c r="A332" s="65" t="str">
        <f>IFERROR(__xludf.DUMMYFUNCTION("""COMPUTED_VALUE"""),"27-03-2026")</f>
        <v>27-03-2026</v>
      </c>
      <c r="B332" s="65">
        <f>IFERROR(__xludf.DUMMYFUNCTION("""COMPUTED_VALUE"""),4709445.0)</f>
        <v>4709445</v>
      </c>
      <c r="C332" s="65" t="str">
        <f>IFERROR(__xludf.DUMMYFUNCTION("""COMPUTED_VALUE"""),"15:02")</f>
        <v>15:02</v>
      </c>
      <c r="D332" s="65" t="str">
        <f>IFERROR(__xludf.DUMMYFUNCTION("""COMPUTED_VALUE"""),"05-03-2026")</f>
        <v>05-03-2026</v>
      </c>
      <c r="E332" s="65" t="str">
        <f>IFERROR(__xludf.DUMMYFUNCTION("""COMPUTED_VALUE"""),"Elvis Stalin Vera mera")</f>
        <v>Elvis Stalin Vera mera</v>
      </c>
      <c r="F332" s="65" t="str">
        <f>IFERROR(__xludf.DUMMYFUNCTION("""COMPUTED_VALUE"""),"986879434")</f>
        <v>986879434</v>
      </c>
      <c r="G332" s="65" t="str">
        <f>IFERROR(__xludf.DUMMYFUNCTION("""COMPUTED_VALUE"""),"elvisveramera@hotmail.com")</f>
        <v>elvisveramera@hotmail.com</v>
      </c>
      <c r="H332" s="65"/>
      <c r="I332" s="65"/>
      <c r="J332" s="65" t="str">
        <f>IFERROR(__xludf.DUMMYFUNCTION("""COMPUTED_VALUE"""),"D001391472")</f>
        <v>D001391472</v>
      </c>
      <c r="K332" s="65" t="str">
        <f>IFERROR(__xludf.DUMMYFUNCTION("""COMPUTED_VALUE"""),"ENTREGADO")</f>
        <v>ENTREGADO</v>
      </c>
      <c r="L332" s="65" t="str">
        <f>IFERROR(__xludf.DUMMYFUNCTION("""COMPUTED_VALUE"""),"CON RECAUDO")</f>
        <v>CON RECAUDO</v>
      </c>
      <c r="M332" s="65" t="str">
        <f>IFERROR(__xludf.DUMMYFUNCTION("""COMPUTED_VALUE"""),"MANABI")</f>
        <v>MANABI</v>
      </c>
      <c r="N332" s="65" t="str">
        <f>IFERROR(__xludf.DUMMYFUNCTION("""COMPUTED_VALUE"""),"PORTOVIEJO")</f>
        <v>PORTOVIEJO</v>
      </c>
      <c r="O332" s="65" t="str">
        <f>IFERROR(__xludf.DUMMYFUNCTION("""COMPUTED_VALUE"""),"Calle Miguel Ángel Cevallos y Av vicente mendoza -  Diagonal al centro de salud  -")</f>
        <v>Calle Miguel Ángel Cevallos y Av vicente mendoza -  Diagonal al centro de salud  -</v>
      </c>
      <c r="P332" s="65"/>
      <c r="Q332" s="65" t="str">
        <f>IFERROR(__xludf.DUMMYFUNCTION("""COMPUTED_VALUE"""),"GINTRACOM")</f>
        <v>GINTRACOM</v>
      </c>
      <c r="R332" s="65">
        <f>IFERROR(__xludf.DUMMYFUNCTION("""COMPUTED_VALUE"""),25.0)</f>
        <v>25</v>
      </c>
      <c r="S332" s="65">
        <f>IFERROR(__xludf.DUMMYFUNCTION("""COMPUTED_VALUE"""),14.34)</f>
        <v>14.34</v>
      </c>
      <c r="T332" s="65">
        <f>IFERROR(__xludf.DUMMYFUNCTION("""COMPUTED_VALUE"""),5.96)</f>
        <v>5.96</v>
      </c>
      <c r="U332" s="65">
        <f>IFERROR(__xludf.DUMMYFUNCTION("""COMPUTED_VALUE"""),0.0)</f>
        <v>0</v>
      </c>
      <c r="V332" s="65">
        <f>IFERROR(__xludf.DUMMYFUNCTION("""COMPUTED_VALUE"""),0.0)</f>
        <v>0</v>
      </c>
      <c r="W332" s="65">
        <f>IFERROR(__xludf.DUMMYFUNCTION("""COMPUTED_VALUE"""),0.0)</f>
        <v>0</v>
      </c>
      <c r="X332" s="65">
        <f>IFERROR(__xludf.DUMMYFUNCTION("""COMPUTED_VALUE"""),2.35)</f>
        <v>2.35</v>
      </c>
      <c r="Y332" s="65">
        <f>IFERROR(__xludf.DUMMYFUNCTION("""COMPUTED_VALUE"""),4.7)</f>
        <v>4.7</v>
      </c>
      <c r="Z332" s="65">
        <f>IFERROR(__xludf.DUMMYFUNCTION("""COMPUTED_VALUE"""),116679.0)</f>
        <v>116679</v>
      </c>
      <c r="AA332" s="65" t="str">
        <f>IFERROR(__xludf.DUMMYFUNCTION("""COMPUTED_VALUE"""),"AMC-2738")</f>
        <v>AMC-2738</v>
      </c>
      <c r="AB332" s="65"/>
      <c r="AC332" s="65" t="str">
        <f>IFERROR(__xludf.DUMMYFUNCTION("""COMPUTED_VALUE"""),"ESPONJA ANTILLUVIA DE PARABRISAS")</f>
        <v>ESPONJA ANTILLUVIA DE PARABRISAS</v>
      </c>
      <c r="AD332" s="65"/>
      <c r="AE332" s="65">
        <f>IFERROR(__xludf.DUMMYFUNCTION("""COMPUTED_VALUE"""),2.0)</f>
        <v>2</v>
      </c>
      <c r="AF332" s="65"/>
      <c r="AG332" s="65"/>
      <c r="AH332" s="65"/>
      <c r="AI332" s="65"/>
      <c r="AJ332" s="65"/>
      <c r="AK332" s="65"/>
      <c r="AL332" s="65"/>
      <c r="AM332" s="65"/>
      <c r="AN332" s="65" t="str">
        <f>IFERROR(__xludf.DUMMYFUNCTION("""COMPUTED_VALUE"""),"10:44")</f>
        <v>10:44</v>
      </c>
      <c r="AO332" s="65" t="str">
        <f>IFERROR(__xludf.DUMMYFUNCTION("""COMPUTED_VALUE"""),"21-03-2026")</f>
        <v>21-03-2026</v>
      </c>
      <c r="AP332" s="65" t="str">
        <f>IFERROR(__xludf.DUMMYFUNCTION("""COMPUTED_VALUE"""),"ENTREGADA GINTRACOM")</f>
        <v>ENTREGADA GINTRACOM</v>
      </c>
      <c r="AQ332" s="65" t="str">
        <f>IFERROR(__xludf.DUMMYFUNCTION("""COMPUTED_VALUE"""),"ENTREGADA GINTRACOM")</f>
        <v>ENTREGADA GINTRACOM</v>
      </c>
      <c r="AR332" s="65"/>
      <c r="AS332" s="65"/>
      <c r="AT332" s="65" t="str">
        <f>IFERROR(__xludf.DUMMYFUNCTION("""COMPUTED_VALUE"""),"SHOPIFY")</f>
        <v>SHOPIFY</v>
      </c>
      <c r="AU332" s="65" t="str">
        <f>IFERROR(__xludf.DUMMYFUNCTION("""COMPUTED_VALUE"""),"IMPORTEX EC")</f>
        <v>IMPORTEX EC</v>
      </c>
      <c r="AV332" s="65" t="str">
        <f>IFERROR(__xludf.DUMMYFUNCTION("""COMPUTED_VALUE"""),"6559021039660")</f>
        <v>6559021039660</v>
      </c>
      <c r="AW332" s="65">
        <f>IFERROR(__xludf.DUMMYFUNCTION("""COMPUTED_VALUE"""),6526.0)</f>
        <v>6526</v>
      </c>
      <c r="AX332" s="65"/>
      <c r="AY332" s="65" t="str">
        <f>IFERROR(__xludf.DUMMYFUNCTION("""COMPUTED_VALUE"""),"07/03/2026")</f>
        <v>07/03/2026</v>
      </c>
      <c r="AZ332" s="65"/>
      <c r="BA332" s="65"/>
    </row>
    <row r="333">
      <c r="A333" s="65" t="str">
        <f>IFERROR(__xludf.DUMMYFUNCTION("""COMPUTED_VALUE"""),"27-03-2026")</f>
        <v>27-03-2026</v>
      </c>
      <c r="B333" s="65">
        <f>IFERROR(__xludf.DUMMYFUNCTION("""COMPUTED_VALUE"""),4709186.0)</f>
        <v>4709186</v>
      </c>
      <c r="C333" s="65" t="str">
        <f>IFERROR(__xludf.DUMMYFUNCTION("""COMPUTED_VALUE"""),"14:40")</f>
        <v>14:40</v>
      </c>
      <c r="D333" s="65" t="str">
        <f>IFERROR(__xludf.DUMMYFUNCTION("""COMPUTED_VALUE"""),"05-03-2026")</f>
        <v>05-03-2026</v>
      </c>
      <c r="E333" s="65" t="str">
        <f>IFERROR(__xludf.DUMMYFUNCTION("""COMPUTED_VALUE"""),"Marcos Avila")</f>
        <v>Marcos Avila</v>
      </c>
      <c r="F333" s="65" t="str">
        <f>IFERROR(__xludf.DUMMYFUNCTION("""COMPUTED_VALUE"""),"968501488")</f>
        <v>968501488</v>
      </c>
      <c r="G333" s="65" t="str">
        <f>IFERROR(__xludf.DUMMYFUNCTION("""COMPUTED_VALUE"""),"mavila_77@hotmail.com")</f>
        <v>mavila_77@hotmail.com</v>
      </c>
      <c r="H333" s="65"/>
      <c r="I333" s="65"/>
      <c r="J333" s="65" t="str">
        <f>IFERROR(__xludf.DUMMYFUNCTION("""COMPUTED_VALUE"""),"186630169")</f>
        <v>186630169</v>
      </c>
      <c r="K333" s="65" t="str">
        <f>IFERROR(__xludf.DUMMYFUNCTION("""COMPUTED_VALUE"""),"ENTREGADO")</f>
        <v>ENTREGADO</v>
      </c>
      <c r="L333" s="65" t="str">
        <f>IFERROR(__xludf.DUMMYFUNCTION("""COMPUTED_VALUE"""),"CON RECAUDO")</f>
        <v>CON RECAUDO</v>
      </c>
      <c r="M333" s="65" t="str">
        <f>IFERROR(__xludf.DUMMYFUNCTION("""COMPUTED_VALUE"""),"CAÑAR")</f>
        <v>CAÑAR</v>
      </c>
      <c r="N333" s="65" t="str">
        <f>IFERROR(__xludf.DUMMYFUNCTION("""COMPUTED_VALUE"""),"COCHANCAY")</f>
        <v>COCHANCAY</v>
      </c>
      <c r="O333" s="65" t="str">
        <f>IFERROR(__xludf.DUMMYFUNCTION("""COMPUTED_VALUE"""),"Retira en CS: Cañar la Troncal,  AV. 24 DE MAYO # 308 Y ELOY ALFARO")</f>
        <v>Retira en CS: Cañar la Troncal,  AV. 24 DE MAYO # 308 Y ELOY ALFARO</v>
      </c>
      <c r="P333" s="65"/>
      <c r="Q333" s="65" t="str">
        <f>IFERROR(__xludf.DUMMYFUNCTION("""COMPUTED_VALUE"""),"SERVIENTREGA")</f>
        <v>SERVIENTREGA</v>
      </c>
      <c r="R333" s="65">
        <f>IFERROR(__xludf.DUMMYFUNCTION("""COMPUTED_VALUE"""),25.0)</f>
        <v>25</v>
      </c>
      <c r="S333" s="65">
        <f>IFERROR(__xludf.DUMMYFUNCTION("""COMPUTED_VALUE"""),12.55)</f>
        <v>12.55</v>
      </c>
      <c r="T333" s="65">
        <f>IFERROR(__xludf.DUMMYFUNCTION("""COMPUTED_VALUE"""),7.75)</f>
        <v>7.75</v>
      </c>
      <c r="U333" s="65">
        <f>IFERROR(__xludf.DUMMYFUNCTION("""COMPUTED_VALUE"""),0.0)</f>
        <v>0</v>
      </c>
      <c r="V333" s="65">
        <f>IFERROR(__xludf.DUMMYFUNCTION("""COMPUTED_VALUE"""),0.0)</f>
        <v>0</v>
      </c>
      <c r="W333" s="65">
        <f>IFERROR(__xludf.DUMMYFUNCTION("""COMPUTED_VALUE"""),0.0)</f>
        <v>0</v>
      </c>
      <c r="X333" s="65">
        <f>IFERROR(__xludf.DUMMYFUNCTION("""COMPUTED_VALUE"""),2.35)</f>
        <v>2.35</v>
      </c>
      <c r="Y333" s="65">
        <f>IFERROR(__xludf.DUMMYFUNCTION("""COMPUTED_VALUE"""),4.7)</f>
        <v>4.7</v>
      </c>
      <c r="Z333" s="65">
        <f>IFERROR(__xludf.DUMMYFUNCTION("""COMPUTED_VALUE"""),116679.0)</f>
        <v>116679</v>
      </c>
      <c r="AA333" s="65" t="str">
        <f>IFERROR(__xludf.DUMMYFUNCTION("""COMPUTED_VALUE"""),"AMC-2738")</f>
        <v>AMC-2738</v>
      </c>
      <c r="AB333" s="65"/>
      <c r="AC333" s="65" t="str">
        <f>IFERROR(__xludf.DUMMYFUNCTION("""COMPUTED_VALUE"""),"ESPONJA ANTILLUVIA DE PARABRISAS")</f>
        <v>ESPONJA ANTILLUVIA DE PARABRISAS</v>
      </c>
      <c r="AD333" s="65"/>
      <c r="AE333" s="65">
        <f>IFERROR(__xludf.DUMMYFUNCTION("""COMPUTED_VALUE"""),2.0)</f>
        <v>2</v>
      </c>
      <c r="AF333" s="65" t="str">
        <f>IFERROR(__xludf.DUMMYFUNCTION("""COMPUTED_VALUE"""),"CONDICIONES CLIMATOLOGICAS ADVERSAS")</f>
        <v>CONDICIONES CLIMATOLOGICAS ADVERSAS</v>
      </c>
      <c r="AG333" s="65" t="str">
        <f>IFERROR(__xludf.DUMMYFUNCTION("""COMPUTED_VALUE"""),"SI")</f>
        <v>SI</v>
      </c>
      <c r="AH333" s="65" t="str">
        <f>IFERROR(__xludf.DUMMYFUNCTION("""COMPUTED_VALUE"""),"07:57")</f>
        <v>07:57</v>
      </c>
      <c r="AI333" s="65" t="str">
        <f>IFERROR(__xludf.DUMMYFUNCTION("""COMPUTED_VALUE"""),"10-03-2026")</f>
        <v>10-03-2026</v>
      </c>
      <c r="AJ333" s="65" t="str">
        <f>IFERROR(__xludf.DUMMYFUNCTION("""COMPUTED_VALUE"""),"Cliente solicita la entrega inmediata")</f>
        <v>Cliente solicita la entrega inmediata</v>
      </c>
      <c r="AK333" s="65" t="str">
        <f>IFERROR(__xludf.DUMMYFUNCTION("""COMPUTED_VALUE"""),"10:00")</f>
        <v>10:00</v>
      </c>
      <c r="AL333" s="65" t="str">
        <f>IFERROR(__xludf.DUMMYFUNCTION("""COMPUTED_VALUE"""),"10-03-2026")</f>
        <v>10-03-2026</v>
      </c>
      <c r="AM333" s="65"/>
      <c r="AN333" s="65" t="str">
        <f>IFERROR(__xludf.DUMMYFUNCTION("""COMPUTED_VALUE"""),"13:51")</f>
        <v>13:51</v>
      </c>
      <c r="AO333" s="65" t="str">
        <f>IFERROR(__xludf.DUMMYFUNCTION("""COMPUTED_VALUE"""),"19-03-2026")</f>
        <v>19-03-2026</v>
      </c>
      <c r="AP333" s="65" t="str">
        <f>IFERROR(__xludf.DUMMYFUNCTION("""COMPUTED_VALUE"""),"ENTREGA DIGITALIZADA EN CENTRO LOGISTICO")</f>
        <v>ENTREGA DIGITALIZADA EN CENTRO LOGISTICO</v>
      </c>
      <c r="AQ333" s="65" t="str">
        <f>IFERROR(__xludf.DUMMYFUNCTION("""COMPUTED_VALUE"""),"marco avila")</f>
        <v>marco avila</v>
      </c>
      <c r="AR333" s="65"/>
      <c r="AS333" s="65"/>
      <c r="AT333" s="65" t="str">
        <f>IFERROR(__xludf.DUMMYFUNCTION("""COMPUTED_VALUE"""),"SHOPIFY")</f>
        <v>SHOPIFY</v>
      </c>
      <c r="AU333" s="65" t="str">
        <f>IFERROR(__xludf.DUMMYFUNCTION("""COMPUTED_VALUE"""),"IMPORTEX EC")</f>
        <v>IMPORTEX EC</v>
      </c>
      <c r="AV333" s="65" t="str">
        <f>IFERROR(__xludf.DUMMYFUNCTION("""COMPUTED_VALUE"""),"6558980866092")</f>
        <v>6558980866092</v>
      </c>
      <c r="AW333" s="65">
        <f>IFERROR(__xludf.DUMMYFUNCTION("""COMPUTED_VALUE"""),6525.0)</f>
        <v>6525</v>
      </c>
      <c r="AX333" s="65"/>
      <c r="AY333" s="65" t="str">
        <f>IFERROR(__xludf.DUMMYFUNCTION("""COMPUTED_VALUE"""),"07/03/2026")</f>
        <v>07/03/2026</v>
      </c>
      <c r="AZ333" s="65"/>
      <c r="BA333" s="65"/>
    </row>
    <row r="334">
      <c r="A334" s="65" t="str">
        <f>IFERROR(__xludf.DUMMYFUNCTION("""COMPUTED_VALUE"""),"27-03-2026")</f>
        <v>27-03-2026</v>
      </c>
      <c r="B334" s="65">
        <f>IFERROR(__xludf.DUMMYFUNCTION("""COMPUTED_VALUE"""),4708831.0)</f>
        <v>4708831</v>
      </c>
      <c r="C334" s="65" t="str">
        <f>IFERROR(__xludf.DUMMYFUNCTION("""COMPUTED_VALUE"""),"14:08")</f>
        <v>14:08</v>
      </c>
      <c r="D334" s="65" t="str">
        <f>IFERROR(__xludf.DUMMYFUNCTION("""COMPUTED_VALUE"""),"05-03-2026")</f>
        <v>05-03-2026</v>
      </c>
      <c r="E334" s="65" t="str">
        <f>IFERROR(__xludf.DUMMYFUNCTION("""COMPUTED_VALUE"""),"Ana Simisterra Simisterra")</f>
        <v>Ana Simisterra Simisterra</v>
      </c>
      <c r="F334" s="65" t="str">
        <f>IFERROR(__xludf.DUMMYFUNCTION("""COMPUTED_VALUE"""),"981679118")</f>
        <v>981679118</v>
      </c>
      <c r="G334" s="65" t="str">
        <f>IFERROR(__xludf.DUMMYFUNCTION("""COMPUTED_VALUE"""),"anarita1973@outlook.es")</f>
        <v>anarita1973@outlook.es</v>
      </c>
      <c r="H334" s="65"/>
      <c r="I334" s="65"/>
      <c r="J334" s="65" t="str">
        <f>IFERROR(__xludf.DUMMYFUNCTION("""COMPUTED_VALUE"""),"D001388499")</f>
        <v>D001388499</v>
      </c>
      <c r="K334" s="65" t="str">
        <f>IFERROR(__xludf.DUMMYFUNCTION("""COMPUTED_VALUE"""),"ENTREGADO")</f>
        <v>ENTREGADO</v>
      </c>
      <c r="L334" s="65" t="str">
        <f>IFERROR(__xludf.DUMMYFUNCTION("""COMPUTED_VALUE"""),"CON RECAUDO")</f>
        <v>CON RECAUDO</v>
      </c>
      <c r="M334" s="65" t="str">
        <f>IFERROR(__xludf.DUMMYFUNCTION("""COMPUTED_VALUE"""),"ESMERALDAS")</f>
        <v>ESMERALDAS</v>
      </c>
      <c r="N334" s="65" t="str">
        <f>IFERROR(__xludf.DUMMYFUNCTION("""COMPUTED_VALUE"""),"ESMERALDAS")</f>
        <v>ESMERALDAS</v>
      </c>
      <c r="O334" s="65" t="str">
        <f>IFERROR(__xludf.DUMMYFUNCTION("""COMPUTED_VALUE"""),"Retira en CS: ESMERALDAS - OLMEDO - AV OLMEDO S/N Y 10 DE AGOSTO")</f>
        <v>Retira en CS: ESMERALDAS - OLMEDO - AV OLMEDO S/N Y 10 DE AGOSTO</v>
      </c>
      <c r="P334" s="65"/>
      <c r="Q334" s="65" t="str">
        <f>IFERROR(__xludf.DUMMYFUNCTION("""COMPUTED_VALUE"""),"GINTRACOM")</f>
        <v>GINTRACOM</v>
      </c>
      <c r="R334" s="65">
        <f>IFERROR(__xludf.DUMMYFUNCTION("""COMPUTED_VALUE"""),20.0)</f>
        <v>20</v>
      </c>
      <c r="S334" s="65">
        <f>IFERROR(__xludf.DUMMYFUNCTION("""COMPUTED_VALUE"""),11.89)</f>
        <v>11.89</v>
      </c>
      <c r="T334" s="65">
        <f>IFERROR(__xludf.DUMMYFUNCTION("""COMPUTED_VALUE"""),5.76)</f>
        <v>5.76</v>
      </c>
      <c r="U334" s="65">
        <f>IFERROR(__xludf.DUMMYFUNCTION("""COMPUTED_VALUE"""),0.0)</f>
        <v>0</v>
      </c>
      <c r="V334" s="65">
        <f>IFERROR(__xludf.DUMMYFUNCTION("""COMPUTED_VALUE"""),0.0)</f>
        <v>0</v>
      </c>
      <c r="W334" s="65">
        <f>IFERROR(__xludf.DUMMYFUNCTION("""COMPUTED_VALUE"""),0.0)</f>
        <v>0</v>
      </c>
      <c r="X334" s="65">
        <f>IFERROR(__xludf.DUMMYFUNCTION("""COMPUTED_VALUE"""),2.35)</f>
        <v>2.35</v>
      </c>
      <c r="Y334" s="65">
        <f>IFERROR(__xludf.DUMMYFUNCTION("""COMPUTED_VALUE"""),2.35)</f>
        <v>2.35</v>
      </c>
      <c r="Z334" s="65">
        <f>IFERROR(__xludf.DUMMYFUNCTION("""COMPUTED_VALUE"""),116679.0)</f>
        <v>116679</v>
      </c>
      <c r="AA334" s="65" t="str">
        <f>IFERROR(__xludf.DUMMYFUNCTION("""COMPUTED_VALUE"""),"AMC-2738")</f>
        <v>AMC-2738</v>
      </c>
      <c r="AB334" s="65"/>
      <c r="AC334" s="65" t="str">
        <f>IFERROR(__xludf.DUMMYFUNCTION("""COMPUTED_VALUE"""),"ESPONJA ANTILLUVIA DE PARABRISAS")</f>
        <v>ESPONJA ANTILLUVIA DE PARABRISAS</v>
      </c>
      <c r="AD334" s="65"/>
      <c r="AE334" s="65">
        <f>IFERROR(__xludf.DUMMYFUNCTION("""COMPUTED_VALUE"""),1.0)</f>
        <v>1</v>
      </c>
      <c r="AF334" s="65"/>
      <c r="AG334" s="65"/>
      <c r="AH334" s="65"/>
      <c r="AI334" s="65"/>
      <c r="AJ334" s="65"/>
      <c r="AK334" s="65"/>
      <c r="AL334" s="65"/>
      <c r="AM334" s="65"/>
      <c r="AN334" s="65" t="str">
        <f>IFERROR(__xludf.DUMMYFUNCTION("""COMPUTED_VALUE"""),"14:35")</f>
        <v>14:35</v>
      </c>
      <c r="AO334" s="65" t="str">
        <f>IFERROR(__xludf.DUMMYFUNCTION("""COMPUTED_VALUE"""),"09-03-2026")</f>
        <v>09-03-2026</v>
      </c>
      <c r="AP334" s="65" t="str">
        <f>IFERROR(__xludf.DUMMYFUNCTION("""COMPUTED_VALUE"""),"ENTREGADA GINTRACOM")</f>
        <v>ENTREGADA GINTRACOM</v>
      </c>
      <c r="AQ334" s="65" t="str">
        <f>IFERROR(__xludf.DUMMYFUNCTION("""COMPUTED_VALUE"""),"ENTREGADA GINTRACOM")</f>
        <v>ENTREGADA GINTRACOM</v>
      </c>
      <c r="AR334" s="65"/>
      <c r="AS334" s="65"/>
      <c r="AT334" s="65" t="str">
        <f>IFERROR(__xludf.DUMMYFUNCTION("""COMPUTED_VALUE"""),"SHOPIFY")</f>
        <v>SHOPIFY</v>
      </c>
      <c r="AU334" s="65" t="str">
        <f>IFERROR(__xludf.DUMMYFUNCTION("""COMPUTED_VALUE"""),"IMPORTEX EC")</f>
        <v>IMPORTEX EC</v>
      </c>
      <c r="AV334" s="65" t="str">
        <f>IFERROR(__xludf.DUMMYFUNCTION("""COMPUTED_VALUE"""),"6558916280364")</f>
        <v>6558916280364</v>
      </c>
      <c r="AW334" s="65">
        <f>IFERROR(__xludf.DUMMYFUNCTION("""COMPUTED_VALUE"""),6524.0)</f>
        <v>6524</v>
      </c>
      <c r="AX334" s="65"/>
      <c r="AY334" s="65" t="str">
        <f>IFERROR(__xludf.DUMMYFUNCTION("""COMPUTED_VALUE"""),"06/03/2026")</f>
        <v>06/03/2026</v>
      </c>
      <c r="AZ334" s="65"/>
      <c r="BA334" s="65"/>
    </row>
    <row r="335">
      <c r="A335" s="65" t="str">
        <f>IFERROR(__xludf.DUMMYFUNCTION("""COMPUTED_VALUE"""),"27-03-2026")</f>
        <v>27-03-2026</v>
      </c>
      <c r="B335" s="65">
        <f>IFERROR(__xludf.DUMMYFUNCTION("""COMPUTED_VALUE"""),4708600.0)</f>
        <v>4708600</v>
      </c>
      <c r="C335" s="65" t="str">
        <f>IFERROR(__xludf.DUMMYFUNCTION("""COMPUTED_VALUE"""),"13:40")</f>
        <v>13:40</v>
      </c>
      <c r="D335" s="65" t="str">
        <f>IFERROR(__xludf.DUMMYFUNCTION("""COMPUTED_VALUE"""),"05-03-2026")</f>
        <v>05-03-2026</v>
      </c>
      <c r="E335" s="65" t="str">
        <f>IFERROR(__xludf.DUMMYFUNCTION("""COMPUTED_VALUE"""),"Néstor Vásquez")</f>
        <v>Néstor Vásquez</v>
      </c>
      <c r="F335" s="65" t="str">
        <f>IFERROR(__xludf.DUMMYFUNCTION("""COMPUTED_VALUE"""),"987017229")</f>
        <v>987017229</v>
      </c>
      <c r="G335" s="65" t="str">
        <f>IFERROR(__xludf.DUMMYFUNCTION("""COMPUTED_VALUE"""),"nvasquezmore@hotmail.com")</f>
        <v>nvasquezmore@hotmail.com</v>
      </c>
      <c r="H335" s="65"/>
      <c r="I335" s="65"/>
      <c r="J335" s="65" t="str">
        <f>IFERROR(__xludf.DUMMYFUNCTION("""COMPUTED_VALUE"""),"D001391474")</f>
        <v>D001391474</v>
      </c>
      <c r="K335" s="65" t="str">
        <f>IFERROR(__xludf.DUMMYFUNCTION("""COMPUTED_VALUE"""),"ENTREGADO")</f>
        <v>ENTREGADO</v>
      </c>
      <c r="L335" s="65" t="str">
        <f>IFERROR(__xludf.DUMMYFUNCTION("""COMPUTED_VALUE"""),"CON RECAUDO")</f>
        <v>CON RECAUDO</v>
      </c>
      <c r="M335" s="65" t="str">
        <f>IFERROR(__xludf.DUMMYFUNCTION("""COMPUTED_VALUE"""),"PICHINCHA")</f>
        <v>PICHINCHA</v>
      </c>
      <c r="N335" s="65" t="str">
        <f>IFERROR(__xludf.DUMMYFUNCTION("""COMPUTED_VALUE"""),"QUITO")</f>
        <v>QUITO</v>
      </c>
      <c r="O335" s="65" t="str">
        <f>IFERROR(__xludf.DUMMYFUNCTION("""COMPUTED_VALUE"""),"Av Panamericana Norte E14-371 y Av Simon Bolivar PORTAL Shopping junto a PINTULAC -")</f>
        <v>Av Panamericana Norte E14-371 y Av Simon Bolivar PORTAL Shopping junto a PINTULAC -</v>
      </c>
      <c r="P335" s="65"/>
      <c r="Q335" s="65" t="str">
        <f>IFERROR(__xludf.DUMMYFUNCTION("""COMPUTED_VALUE"""),"GINTRACOM")</f>
        <v>GINTRACOM</v>
      </c>
      <c r="R335" s="65">
        <f>IFERROR(__xludf.DUMMYFUNCTION("""COMPUTED_VALUE"""),20.0)</f>
        <v>20</v>
      </c>
      <c r="S335" s="65">
        <f>IFERROR(__xludf.DUMMYFUNCTION("""COMPUTED_VALUE"""),13.5)</f>
        <v>13.5</v>
      </c>
      <c r="T335" s="65">
        <f>IFERROR(__xludf.DUMMYFUNCTION("""COMPUTED_VALUE"""),4.15)</f>
        <v>4.15</v>
      </c>
      <c r="U335" s="65">
        <f>IFERROR(__xludf.DUMMYFUNCTION("""COMPUTED_VALUE"""),0.0)</f>
        <v>0</v>
      </c>
      <c r="V335" s="65">
        <f>IFERROR(__xludf.DUMMYFUNCTION("""COMPUTED_VALUE"""),0.0)</f>
        <v>0</v>
      </c>
      <c r="W335" s="65">
        <f>IFERROR(__xludf.DUMMYFUNCTION("""COMPUTED_VALUE"""),0.0)</f>
        <v>0</v>
      </c>
      <c r="X335" s="65">
        <f>IFERROR(__xludf.DUMMYFUNCTION("""COMPUTED_VALUE"""),2.35)</f>
        <v>2.35</v>
      </c>
      <c r="Y335" s="65">
        <f>IFERROR(__xludf.DUMMYFUNCTION("""COMPUTED_VALUE"""),2.35)</f>
        <v>2.35</v>
      </c>
      <c r="Z335" s="65">
        <f>IFERROR(__xludf.DUMMYFUNCTION("""COMPUTED_VALUE"""),116679.0)</f>
        <v>116679</v>
      </c>
      <c r="AA335" s="65" t="str">
        <f>IFERROR(__xludf.DUMMYFUNCTION("""COMPUTED_VALUE"""),"AMC-2738")</f>
        <v>AMC-2738</v>
      </c>
      <c r="AB335" s="65"/>
      <c r="AC335" s="65" t="str">
        <f>IFERROR(__xludf.DUMMYFUNCTION("""COMPUTED_VALUE"""),"ESPONJA ANTILLUVIA DE PARABRISAS")</f>
        <v>ESPONJA ANTILLUVIA DE PARABRISAS</v>
      </c>
      <c r="AD335" s="65"/>
      <c r="AE335" s="65">
        <f>IFERROR(__xludf.DUMMYFUNCTION("""COMPUTED_VALUE"""),1.0)</f>
        <v>1</v>
      </c>
      <c r="AF335" s="65" t="str">
        <f>IFERROR(__xludf.DUMMYFUNCTION("""COMPUTED_VALUE"""),"DESTINATARIO NO CONTESTA LLAMADAS NI WHATSAPP")</f>
        <v>DESTINATARIO NO CONTESTA LLAMADAS NI WHATSAPP</v>
      </c>
      <c r="AG335" s="65" t="str">
        <f>IFERROR(__xludf.DUMMYFUNCTION("""COMPUTED_VALUE"""),"SI")</f>
        <v>SI</v>
      </c>
      <c r="AH335" s="65" t="str">
        <f>IFERROR(__xludf.DUMMYFUNCTION("""COMPUTED_VALUE"""),"17:48")</f>
        <v>17:48</v>
      </c>
      <c r="AI335" s="65" t="str">
        <f>IFERROR(__xludf.DUMMYFUNCTION("""COMPUTED_VALUE"""),"13-03-2026")</f>
        <v>13-03-2026</v>
      </c>
      <c r="AJ335" s="65" t="str">
        <f>IFERROR(__xludf.DUMMYFUNCTION("""COMPUTED_VALUE"""),"Cliente solicita la entrega inmediata")</f>
        <v>Cliente solicita la entrega inmediata</v>
      </c>
      <c r="AK335" s="65" t="str">
        <f>IFERROR(__xludf.DUMMYFUNCTION("""COMPUTED_VALUE"""),"11:05")</f>
        <v>11:05</v>
      </c>
      <c r="AL335" s="65" t="str">
        <f>IFERROR(__xludf.DUMMYFUNCTION("""COMPUTED_VALUE"""),"16-03-2026")</f>
        <v>16-03-2026</v>
      </c>
      <c r="AM335" s="65"/>
      <c r="AN335" s="65" t="str">
        <f>IFERROR(__xludf.DUMMYFUNCTION("""COMPUTED_VALUE"""),"10:46")</f>
        <v>10:46</v>
      </c>
      <c r="AO335" s="65" t="str">
        <f>IFERROR(__xludf.DUMMYFUNCTION("""COMPUTED_VALUE"""),"21-03-2026")</f>
        <v>21-03-2026</v>
      </c>
      <c r="AP335" s="65" t="str">
        <f>IFERROR(__xludf.DUMMYFUNCTION("""COMPUTED_VALUE"""),"ENTREGADA GINTRACOM")</f>
        <v>ENTREGADA GINTRACOM</v>
      </c>
      <c r="AQ335" s="65" t="str">
        <f>IFERROR(__xludf.DUMMYFUNCTION("""COMPUTED_VALUE"""),"ENTREGADA GINTRACOM")</f>
        <v>ENTREGADA GINTRACOM</v>
      </c>
      <c r="AR335" s="65"/>
      <c r="AS335" s="65"/>
      <c r="AT335" s="65" t="str">
        <f>IFERROR(__xludf.DUMMYFUNCTION("""COMPUTED_VALUE"""),"SHOPIFY")</f>
        <v>SHOPIFY</v>
      </c>
      <c r="AU335" s="65" t="str">
        <f>IFERROR(__xludf.DUMMYFUNCTION("""COMPUTED_VALUE"""),"IMPORTEX EC")</f>
        <v>IMPORTEX EC</v>
      </c>
      <c r="AV335" s="65" t="str">
        <f>IFERROR(__xludf.DUMMYFUNCTION("""COMPUTED_VALUE"""),"6558855135276")</f>
        <v>6558855135276</v>
      </c>
      <c r="AW335" s="65">
        <f>IFERROR(__xludf.DUMMYFUNCTION("""COMPUTED_VALUE"""),6523.0)</f>
        <v>6523</v>
      </c>
      <c r="AX335" s="65"/>
      <c r="AY335" s="65" t="str">
        <f>IFERROR(__xludf.DUMMYFUNCTION("""COMPUTED_VALUE"""),"07/03/2026")</f>
        <v>07/03/2026</v>
      </c>
      <c r="AZ335" s="65"/>
      <c r="BA335" s="65"/>
    </row>
    <row r="336">
      <c r="A336" s="65" t="str">
        <f>IFERROR(__xludf.DUMMYFUNCTION("""COMPUTED_VALUE"""),"27-03-2026")</f>
        <v>27-03-2026</v>
      </c>
      <c r="B336" s="65">
        <f>IFERROR(__xludf.DUMMYFUNCTION("""COMPUTED_VALUE"""),4708455.0)</f>
        <v>4708455</v>
      </c>
      <c r="C336" s="65" t="str">
        <f>IFERROR(__xludf.DUMMYFUNCTION("""COMPUTED_VALUE"""),"13:24")</f>
        <v>13:24</v>
      </c>
      <c r="D336" s="65" t="str">
        <f>IFERROR(__xludf.DUMMYFUNCTION("""COMPUTED_VALUE"""),"05-03-2026")</f>
        <v>05-03-2026</v>
      </c>
      <c r="E336" s="65" t="str">
        <f>IFERROR(__xludf.DUMMYFUNCTION("""COMPUTED_VALUE"""),"PEDRO SILVA CASTRO")</f>
        <v>PEDRO SILVA CASTRO</v>
      </c>
      <c r="F336" s="65" t="str">
        <f>IFERROR(__xludf.DUMMYFUNCTION("""COMPUTED_VALUE"""),"994082963")</f>
        <v>994082963</v>
      </c>
      <c r="G336" s="65" t="str">
        <f>IFERROR(__xludf.DUMMYFUNCTION("""COMPUTED_VALUE"""),"silvacastropedro656@gmail.com")</f>
        <v>silvacastropedro656@gmail.com</v>
      </c>
      <c r="H336" s="65"/>
      <c r="I336" s="65"/>
      <c r="J336" s="65" t="str">
        <f>IFERROR(__xludf.DUMMYFUNCTION("""COMPUTED_VALUE"""),"LC53035990")</f>
        <v>LC53035990</v>
      </c>
      <c r="K336" s="65" t="str">
        <f>IFERROR(__xludf.DUMMYFUNCTION("""COMPUTED_VALUE"""),"ENTREGADO")</f>
        <v>ENTREGADO</v>
      </c>
      <c r="L336" s="65" t="str">
        <f>IFERROR(__xludf.DUMMYFUNCTION("""COMPUTED_VALUE"""),"CON RECAUDO")</f>
        <v>CON RECAUDO</v>
      </c>
      <c r="M336" s="65" t="str">
        <f>IFERROR(__xludf.DUMMYFUNCTION("""COMPUTED_VALUE"""),"GUAYAS")</f>
        <v>GUAYAS</v>
      </c>
      <c r="N336" s="65" t="str">
        <f>IFERROR(__xludf.DUMMYFUNCTION("""COMPUTED_VALUE"""),"SANTA LUCIA")</f>
        <v>SANTA LUCIA</v>
      </c>
      <c r="O336" s="65" t="str">
        <f>IFERROR(__xludf.DUMMYFUNCTION("""COMPUTED_VALUE"""),"Calle Ricardo Martinez y Jaime Roldos , Taller de motos  el pavo - REFERENCIA: Frente del taller tubon")</f>
        <v>Calle Ricardo Martinez y Jaime Roldos , Taller de motos  el pavo - REFERENCIA: Frente del taller tubon</v>
      </c>
      <c r="P336" s="65"/>
      <c r="Q336" s="65" t="str">
        <f>IFERROR(__xludf.DUMMYFUNCTION("""COMPUTED_VALUE"""),"LAARCOURIER")</f>
        <v>LAARCOURIER</v>
      </c>
      <c r="R336" s="65">
        <f>IFERROR(__xludf.DUMMYFUNCTION("""COMPUTED_VALUE"""),20.0)</f>
        <v>20</v>
      </c>
      <c r="S336" s="65">
        <f>IFERROR(__xludf.DUMMYFUNCTION("""COMPUTED_VALUE"""),10.97)</f>
        <v>10.97</v>
      </c>
      <c r="T336" s="65">
        <f>IFERROR(__xludf.DUMMYFUNCTION("""COMPUTED_VALUE"""),6.68)</f>
        <v>6.68</v>
      </c>
      <c r="U336" s="65">
        <f>IFERROR(__xludf.DUMMYFUNCTION("""COMPUTED_VALUE"""),0.0)</f>
        <v>0</v>
      </c>
      <c r="V336" s="65">
        <f>IFERROR(__xludf.DUMMYFUNCTION("""COMPUTED_VALUE"""),0.0)</f>
        <v>0</v>
      </c>
      <c r="W336" s="65">
        <f>IFERROR(__xludf.DUMMYFUNCTION("""COMPUTED_VALUE"""),0.0)</f>
        <v>0</v>
      </c>
      <c r="X336" s="65">
        <f>IFERROR(__xludf.DUMMYFUNCTION("""COMPUTED_VALUE"""),2.35)</f>
        <v>2.35</v>
      </c>
      <c r="Y336" s="65">
        <f>IFERROR(__xludf.DUMMYFUNCTION("""COMPUTED_VALUE"""),2.35)</f>
        <v>2.35</v>
      </c>
      <c r="Z336" s="65">
        <f>IFERROR(__xludf.DUMMYFUNCTION("""COMPUTED_VALUE"""),116679.0)</f>
        <v>116679</v>
      </c>
      <c r="AA336" s="65" t="str">
        <f>IFERROR(__xludf.DUMMYFUNCTION("""COMPUTED_VALUE"""),"AMC-2738")</f>
        <v>AMC-2738</v>
      </c>
      <c r="AB336" s="65"/>
      <c r="AC336" s="65" t="str">
        <f>IFERROR(__xludf.DUMMYFUNCTION("""COMPUTED_VALUE"""),"ESPONJA ANTILLUVIA DE PARABRISAS")</f>
        <v>ESPONJA ANTILLUVIA DE PARABRISAS</v>
      </c>
      <c r="AD336" s="65"/>
      <c r="AE336" s="65">
        <f>IFERROR(__xludf.DUMMYFUNCTION("""COMPUTED_VALUE"""),1.0)</f>
        <v>1</v>
      </c>
      <c r="AF336" s="65"/>
      <c r="AG336" s="65"/>
      <c r="AH336" s="65"/>
      <c r="AI336" s="65"/>
      <c r="AJ336" s="65"/>
      <c r="AK336" s="65"/>
      <c r="AL336" s="65"/>
      <c r="AM336" s="65"/>
      <c r="AN336" s="65" t="str">
        <f>IFERROR(__xludf.DUMMYFUNCTION("""COMPUTED_VALUE"""),"12:25")</f>
        <v>12:25</v>
      </c>
      <c r="AO336" s="65" t="str">
        <f>IFERROR(__xludf.DUMMYFUNCTION("""COMPUTED_VALUE"""),"09-03-2026")</f>
        <v>09-03-2026</v>
      </c>
      <c r="AP336" s="65" t="str">
        <f>IFERROR(__xludf.DUMMYFUNCTION("""COMPUTED_VALUE"""),"ENTREGADO")</f>
        <v>ENTREGADO</v>
      </c>
      <c r="AQ336" s="65" t="str">
        <f>IFERROR(__xludf.DUMMYFUNCTION("""COMPUTED_VALUE"""),"ENTREGADO")</f>
        <v>ENTREGADO</v>
      </c>
      <c r="AR336" s="65"/>
      <c r="AS336" s="65"/>
      <c r="AT336" s="65" t="str">
        <f>IFERROR(__xludf.DUMMYFUNCTION("""COMPUTED_VALUE"""),"SHOPIFY")</f>
        <v>SHOPIFY</v>
      </c>
      <c r="AU336" s="65" t="str">
        <f>IFERROR(__xludf.DUMMYFUNCTION("""COMPUTED_VALUE"""),"IMPORTEX EC")</f>
        <v>IMPORTEX EC</v>
      </c>
      <c r="AV336" s="65" t="str">
        <f>IFERROR(__xludf.DUMMYFUNCTION("""COMPUTED_VALUE"""),"6558819156012")</f>
        <v>6558819156012</v>
      </c>
      <c r="AW336" s="65">
        <f>IFERROR(__xludf.DUMMYFUNCTION("""COMPUTED_VALUE"""),6522.0)</f>
        <v>6522</v>
      </c>
      <c r="AX336" s="65"/>
      <c r="AY336" s="65" t="str">
        <f>IFERROR(__xludf.DUMMYFUNCTION("""COMPUTED_VALUE"""),"06/03/2026")</f>
        <v>06/03/2026</v>
      </c>
      <c r="AZ336" s="65"/>
      <c r="BA336" s="65"/>
    </row>
    <row r="337">
      <c r="A337" s="65" t="str">
        <f>IFERROR(__xludf.DUMMYFUNCTION("""COMPUTED_VALUE"""),"27-03-2026")</f>
        <v>27-03-2026</v>
      </c>
      <c r="B337" s="65">
        <f>IFERROR(__xludf.DUMMYFUNCTION("""COMPUTED_VALUE"""),4707881.0)</f>
        <v>4707881</v>
      </c>
      <c r="C337" s="65" t="str">
        <f>IFERROR(__xludf.DUMMYFUNCTION("""COMPUTED_VALUE"""),"12:29")</f>
        <v>12:29</v>
      </c>
      <c r="D337" s="65" t="str">
        <f>IFERROR(__xludf.DUMMYFUNCTION("""COMPUTED_VALUE"""),"05-03-2026")</f>
        <v>05-03-2026</v>
      </c>
      <c r="E337" s="65" t="str">
        <f>IFERROR(__xludf.DUMMYFUNCTION("""COMPUTED_VALUE"""),"Alvaro Peñaherrera Peñaherrera")</f>
        <v>Alvaro Peñaherrera Peñaherrera</v>
      </c>
      <c r="F337" s="65" t="str">
        <f>IFERROR(__xludf.DUMMYFUNCTION("""COMPUTED_VALUE"""),"998480480")</f>
        <v>998480480</v>
      </c>
      <c r="G337" s="65" t="str">
        <f>IFERROR(__xludf.DUMMYFUNCTION("""COMPUTED_VALUE"""),"alvaro290573@gmail.com")</f>
        <v>alvaro290573@gmail.com</v>
      </c>
      <c r="H337" s="65"/>
      <c r="I337" s="65"/>
      <c r="J337" s="65"/>
      <c r="K337" s="65" t="str">
        <f>IFERROR(__xludf.DUMMYFUNCTION("""COMPUTED_VALUE"""),"PENDIENTE CONFIRMACION")</f>
        <v>PENDIENTE CONFIRMACION</v>
      </c>
      <c r="L337" s="65" t="str">
        <f>IFERROR(__xludf.DUMMYFUNCTION("""COMPUTED_VALUE"""),"CON RECAUDO")</f>
        <v>CON RECAUDO</v>
      </c>
      <c r="M337" s="65" t="str">
        <f>IFERROR(__xludf.DUMMYFUNCTION("""COMPUTED_VALUE"""),"NAPO")</f>
        <v>NAPO</v>
      </c>
      <c r="N337" s="65" t="str">
        <f>IFERROR(__xludf.DUMMYFUNCTION("""COMPUTED_VALUE"""),"TENA")</f>
        <v>TENA</v>
      </c>
      <c r="O337" s="65" t="str">
        <f>IFERROR(__xludf.DUMMYFUNCTION("""COMPUTED_VALUE"""),"Aeropuerto 2 y las colinas -")</f>
        <v>Aeropuerto 2 y las colinas -</v>
      </c>
      <c r="P337" s="65"/>
      <c r="Q337" s="65" t="str">
        <f>IFERROR(__xludf.DUMMYFUNCTION("""COMPUTED_VALUE"""),"GINTRACOM")</f>
        <v>GINTRACOM</v>
      </c>
      <c r="R337" s="65">
        <f>IFERROR(__xludf.DUMMYFUNCTION("""COMPUTED_VALUE"""),22.0)</f>
        <v>22</v>
      </c>
      <c r="S337" s="65"/>
      <c r="T337" s="65">
        <f>IFERROR(__xludf.DUMMYFUNCTION("""COMPUTED_VALUE"""),5.84)</f>
        <v>5.84</v>
      </c>
      <c r="U337" s="65">
        <f>IFERROR(__xludf.DUMMYFUNCTION("""COMPUTED_VALUE"""),0.0)</f>
        <v>0</v>
      </c>
      <c r="V337" s="65">
        <f>IFERROR(__xludf.DUMMYFUNCTION("""COMPUTED_VALUE"""),0.0)</f>
        <v>0</v>
      </c>
      <c r="W337" s="65">
        <f>IFERROR(__xludf.DUMMYFUNCTION("""COMPUTED_VALUE"""),0.0)</f>
        <v>0</v>
      </c>
      <c r="X337" s="65">
        <f>IFERROR(__xludf.DUMMYFUNCTION("""COMPUTED_VALUE"""),5.0)</f>
        <v>5</v>
      </c>
      <c r="Y337" s="65">
        <f>IFERROR(__xludf.DUMMYFUNCTION("""COMPUTED_VALUE"""),10.0)</f>
        <v>10</v>
      </c>
      <c r="Z337" s="65">
        <f>IFERROR(__xludf.DUMMYFUNCTION("""COMPUTED_VALUE"""),130492.0)</f>
        <v>130492</v>
      </c>
      <c r="AA337" s="65" t="str">
        <f>IFERROR(__xludf.DUMMYFUNCTION("""COMPUTED_VALUE"""),"IMX-00006")</f>
        <v>IMX-00006</v>
      </c>
      <c r="AB337" s="65"/>
      <c r="AC337" s="65" t="str">
        <f>IFERROR(__xludf.DUMMYFUNCTION("""COMPUTED_VALUE"""),"Receptor Bluetooth")</f>
        <v>Receptor Bluetooth</v>
      </c>
      <c r="AD337" s="65"/>
      <c r="AE337" s="65">
        <f>IFERROR(__xludf.DUMMYFUNCTION("""COMPUTED_VALUE"""),2.0)</f>
        <v>2</v>
      </c>
      <c r="AF337" s="65"/>
      <c r="AG337" s="65"/>
      <c r="AH337" s="65"/>
      <c r="AI337" s="65"/>
      <c r="AJ337" s="65"/>
      <c r="AK337" s="65"/>
      <c r="AL337" s="65"/>
      <c r="AM337" s="65"/>
      <c r="AN337" s="65"/>
      <c r="AO337" s="65"/>
      <c r="AP337" s="65"/>
      <c r="AQ337" s="65"/>
      <c r="AR337" s="65"/>
      <c r="AS337" s="65"/>
      <c r="AT337" s="65" t="str">
        <f>IFERROR(__xludf.DUMMYFUNCTION("""COMPUTED_VALUE"""),"SHOPIFY")</f>
        <v>SHOPIFY</v>
      </c>
      <c r="AU337" s="65" t="str">
        <f>IFERROR(__xludf.DUMMYFUNCTION("""COMPUTED_VALUE"""),"IMPORTEX EC")</f>
        <v>IMPORTEX EC</v>
      </c>
      <c r="AV337" s="65" t="str">
        <f>IFERROR(__xludf.DUMMYFUNCTION("""COMPUTED_VALUE"""),"6558682415148")</f>
        <v>6558682415148</v>
      </c>
      <c r="AW337" s="65">
        <f>IFERROR(__xludf.DUMMYFUNCTION("""COMPUTED_VALUE"""),6521.0)</f>
        <v>6521</v>
      </c>
      <c r="AX337" s="65"/>
      <c r="AY337" s="65"/>
      <c r="AZ337" s="65"/>
      <c r="BA337" s="65"/>
    </row>
    <row r="338">
      <c r="A338" s="65" t="str">
        <f>IFERROR(__xludf.DUMMYFUNCTION("""COMPUTED_VALUE"""),"27-03-2026")</f>
        <v>27-03-2026</v>
      </c>
      <c r="B338" s="65">
        <f>IFERROR(__xludf.DUMMYFUNCTION("""COMPUTED_VALUE"""),4706266.0)</f>
        <v>4706266</v>
      </c>
      <c r="C338" s="65" t="str">
        <f>IFERROR(__xludf.DUMMYFUNCTION("""COMPUTED_VALUE"""),"10:13")</f>
        <v>10:13</v>
      </c>
      <c r="D338" s="65" t="str">
        <f>IFERROR(__xludf.DUMMYFUNCTION("""COMPUTED_VALUE"""),"05-03-2026")</f>
        <v>05-03-2026</v>
      </c>
      <c r="E338" s="65" t="str">
        <f>IFERROR(__xludf.DUMMYFUNCTION("""COMPUTED_VALUE"""),"Gunter Velasquez")</f>
        <v>Gunter Velasquez</v>
      </c>
      <c r="F338" s="65" t="str">
        <f>IFERROR(__xludf.DUMMYFUNCTION("""COMPUTED_VALUE"""),"987217239")</f>
        <v>987217239</v>
      </c>
      <c r="G338" s="65" t="str">
        <f>IFERROR(__xludf.DUMMYFUNCTION("""COMPUTED_VALUE"""),"d.rgunter@hotmail.com")</f>
        <v>d.rgunter@hotmail.com</v>
      </c>
      <c r="H338" s="65"/>
      <c r="I338" s="65"/>
      <c r="J338" s="65" t="str">
        <f>IFERROR(__xludf.DUMMYFUNCTION("""COMPUTED_VALUE"""),"D001391476")</f>
        <v>D001391476</v>
      </c>
      <c r="K338" s="65" t="str">
        <f>IFERROR(__xludf.DUMMYFUNCTION("""COMPUTED_VALUE"""),"ENTREGADO")</f>
        <v>ENTREGADO</v>
      </c>
      <c r="L338" s="65" t="str">
        <f>IFERROR(__xludf.DUMMYFUNCTION("""COMPUTED_VALUE"""),"CON RECAUDO")</f>
        <v>CON RECAUDO</v>
      </c>
      <c r="M338" s="65" t="str">
        <f>IFERROR(__xludf.DUMMYFUNCTION("""COMPUTED_VALUE"""),"MANABI")</f>
        <v>MANABI</v>
      </c>
      <c r="N338" s="65" t="str">
        <f>IFERROR(__xludf.DUMMYFUNCTION("""COMPUTED_VALUE"""),"MANTA")</f>
        <v>MANTA</v>
      </c>
      <c r="O338" s="65" t="str">
        <f>IFERROR(__xludf.DUMMYFUNCTION("""COMPUTED_VALUE"""),"Avenida 16 y calle 14 Centro -")</f>
        <v>Avenida 16 y calle 14 Centro -</v>
      </c>
      <c r="P338" s="65"/>
      <c r="Q338" s="65" t="str">
        <f>IFERROR(__xludf.DUMMYFUNCTION("""COMPUTED_VALUE"""),"GINTRACOM")</f>
        <v>GINTRACOM</v>
      </c>
      <c r="R338" s="65">
        <f>IFERROR(__xludf.DUMMYFUNCTION("""COMPUTED_VALUE"""),30.0)</f>
        <v>30</v>
      </c>
      <c r="S338" s="65">
        <f>IFERROR(__xludf.DUMMYFUNCTION("""COMPUTED_VALUE"""),16.79)</f>
        <v>16.79</v>
      </c>
      <c r="T338" s="65">
        <f>IFERROR(__xludf.DUMMYFUNCTION("""COMPUTED_VALUE"""),6.16)</f>
        <v>6.16</v>
      </c>
      <c r="U338" s="65">
        <f>IFERROR(__xludf.DUMMYFUNCTION("""COMPUTED_VALUE"""),0.0)</f>
        <v>0</v>
      </c>
      <c r="V338" s="65">
        <f>IFERROR(__xludf.DUMMYFUNCTION("""COMPUTED_VALUE"""),0.0)</f>
        <v>0</v>
      </c>
      <c r="W338" s="65">
        <f>IFERROR(__xludf.DUMMYFUNCTION("""COMPUTED_VALUE"""),0.0)</f>
        <v>0</v>
      </c>
      <c r="X338" s="65">
        <f>IFERROR(__xludf.DUMMYFUNCTION("""COMPUTED_VALUE"""),2.35)</f>
        <v>2.35</v>
      </c>
      <c r="Y338" s="65">
        <f>IFERROR(__xludf.DUMMYFUNCTION("""COMPUTED_VALUE"""),7.05)</f>
        <v>7.05</v>
      </c>
      <c r="Z338" s="65">
        <f>IFERROR(__xludf.DUMMYFUNCTION("""COMPUTED_VALUE"""),116679.0)</f>
        <v>116679</v>
      </c>
      <c r="AA338" s="65" t="str">
        <f>IFERROR(__xludf.DUMMYFUNCTION("""COMPUTED_VALUE"""),"AMC-2738")</f>
        <v>AMC-2738</v>
      </c>
      <c r="AB338" s="65"/>
      <c r="AC338" s="65" t="str">
        <f>IFERROR(__xludf.DUMMYFUNCTION("""COMPUTED_VALUE"""),"ESPONJA ANTILLUVIA DE PARABRISAS")</f>
        <v>ESPONJA ANTILLUVIA DE PARABRISAS</v>
      </c>
      <c r="AD338" s="65"/>
      <c r="AE338" s="65">
        <f>IFERROR(__xludf.DUMMYFUNCTION("""COMPUTED_VALUE"""),3.0)</f>
        <v>3</v>
      </c>
      <c r="AF338" s="65"/>
      <c r="AG338" s="65"/>
      <c r="AH338" s="65"/>
      <c r="AI338" s="65"/>
      <c r="AJ338" s="65"/>
      <c r="AK338" s="65"/>
      <c r="AL338" s="65"/>
      <c r="AM338" s="65"/>
      <c r="AN338" s="65" t="str">
        <f>IFERROR(__xludf.DUMMYFUNCTION("""COMPUTED_VALUE"""),"14:05")</f>
        <v>14:05</v>
      </c>
      <c r="AO338" s="65" t="str">
        <f>IFERROR(__xludf.DUMMYFUNCTION("""COMPUTED_VALUE"""),"09-03-2026")</f>
        <v>09-03-2026</v>
      </c>
      <c r="AP338" s="65" t="str">
        <f>IFERROR(__xludf.DUMMYFUNCTION("""COMPUTED_VALUE"""),"EN REPARTO")</f>
        <v>EN REPARTO</v>
      </c>
      <c r="AQ338" s="65" t="str">
        <f>IFERROR(__xludf.DUMMYFUNCTION("""COMPUTED_VALUE"""),"EN REPARTO")</f>
        <v>EN REPARTO</v>
      </c>
      <c r="AR338" s="65"/>
      <c r="AS338" s="65"/>
      <c r="AT338" s="65" t="str">
        <f>IFERROR(__xludf.DUMMYFUNCTION("""COMPUTED_VALUE"""),"SHOPIFY")</f>
        <v>SHOPIFY</v>
      </c>
      <c r="AU338" s="65" t="str">
        <f>IFERROR(__xludf.DUMMYFUNCTION("""COMPUTED_VALUE"""),"IMPORTEX EC")</f>
        <v>IMPORTEX EC</v>
      </c>
      <c r="AV338" s="65" t="str">
        <f>IFERROR(__xludf.DUMMYFUNCTION("""COMPUTED_VALUE"""),"6558384095276")</f>
        <v>6558384095276</v>
      </c>
      <c r="AW338" s="65">
        <f>IFERROR(__xludf.DUMMYFUNCTION("""COMPUTED_VALUE"""),6520.0)</f>
        <v>6520</v>
      </c>
      <c r="AX338" s="65"/>
      <c r="AY338" s="65" t="str">
        <f>IFERROR(__xludf.DUMMYFUNCTION("""COMPUTED_VALUE"""),"07/03/2026")</f>
        <v>07/03/2026</v>
      </c>
      <c r="AZ338" s="65"/>
      <c r="BA338" s="65"/>
    </row>
    <row r="339">
      <c r="A339" s="65" t="str">
        <f>IFERROR(__xludf.DUMMYFUNCTION("""COMPUTED_VALUE"""),"27-03-2026")</f>
        <v>27-03-2026</v>
      </c>
      <c r="B339" s="65">
        <f>IFERROR(__xludf.DUMMYFUNCTION("""COMPUTED_VALUE"""),4698237.0)</f>
        <v>4698237</v>
      </c>
      <c r="C339" s="65" t="str">
        <f>IFERROR(__xludf.DUMMYFUNCTION("""COMPUTED_VALUE"""),"15:32")</f>
        <v>15:32</v>
      </c>
      <c r="D339" s="65" t="str">
        <f>IFERROR(__xludf.DUMMYFUNCTION("""COMPUTED_VALUE"""),"04-03-2026")</f>
        <v>04-03-2026</v>
      </c>
      <c r="E339" s="65" t="str">
        <f>IFERROR(__xludf.DUMMYFUNCTION("""COMPUTED_VALUE"""),"Luis Angel sangopanta Sangopanta")</f>
        <v>Luis Angel sangopanta Sangopanta</v>
      </c>
      <c r="F339" s="65" t="str">
        <f>IFERROR(__xludf.DUMMYFUNCTION("""COMPUTED_VALUE"""),"999705559")</f>
        <v>999705559</v>
      </c>
      <c r="G339" s="65"/>
      <c r="H339" s="65"/>
      <c r="I339" s="65"/>
      <c r="J339" s="65" t="str">
        <f>IFERROR(__xludf.DUMMYFUNCTION("""COMPUTED_VALUE"""),"186620022")</f>
        <v>186620022</v>
      </c>
      <c r="K339" s="65" t="str">
        <f>IFERROR(__xludf.DUMMYFUNCTION("""COMPUTED_VALUE"""),"ENTREGADO")</f>
        <v>ENTREGADO</v>
      </c>
      <c r="L339" s="65" t="str">
        <f>IFERROR(__xludf.DUMMYFUNCTION("""COMPUTED_VALUE"""),"CON RECAUDO")</f>
        <v>CON RECAUDO</v>
      </c>
      <c r="M339" s="65" t="str">
        <f>IFERROR(__xludf.DUMMYFUNCTION("""COMPUTED_VALUE"""),"COTOPAXI")</f>
        <v>COTOPAXI</v>
      </c>
      <c r="N339" s="65" t="str">
        <f>IFERROR(__xludf.DUMMYFUNCTION("""COMPUTED_VALUE"""),"PUJILI")</f>
        <v>PUJILI</v>
      </c>
      <c r="O339" s="65" t="str">
        <f>IFERROR(__xludf.DUMMYFUNCTION("""COMPUTED_VALUE"""),"Retira en CS: PUJILI - CENTRAL ,  AV SUCRE Y TEOFILO SEGOVIA")</f>
        <v>Retira en CS: PUJILI - CENTRAL ,  AV SUCRE Y TEOFILO SEGOVIA</v>
      </c>
      <c r="P339" s="65"/>
      <c r="Q339" s="65" t="str">
        <f>IFERROR(__xludf.DUMMYFUNCTION("""COMPUTED_VALUE"""),"SERVIENTREGA")</f>
        <v>SERVIENTREGA</v>
      </c>
      <c r="R339" s="65">
        <f>IFERROR(__xludf.DUMMYFUNCTION("""COMPUTED_VALUE"""),36.0)</f>
        <v>36</v>
      </c>
      <c r="S339" s="65">
        <f>IFERROR(__xludf.DUMMYFUNCTION("""COMPUTED_VALUE"""),8.0)</f>
        <v>8</v>
      </c>
      <c r="T339" s="65">
        <f>IFERROR(__xludf.DUMMYFUNCTION("""COMPUTED_VALUE"""),8.0)</f>
        <v>8</v>
      </c>
      <c r="U339" s="65">
        <f>IFERROR(__xludf.DUMMYFUNCTION("""COMPUTED_VALUE"""),0.0)</f>
        <v>0</v>
      </c>
      <c r="V339" s="65">
        <f>IFERROR(__xludf.DUMMYFUNCTION("""COMPUTED_VALUE"""),0.0)</f>
        <v>0</v>
      </c>
      <c r="W339" s="65">
        <f>IFERROR(__xludf.DUMMYFUNCTION("""COMPUTED_VALUE"""),0.0)</f>
        <v>0</v>
      </c>
      <c r="X339" s="65">
        <f>IFERROR(__xludf.DUMMYFUNCTION("""COMPUTED_VALUE"""),5.0)</f>
        <v>5</v>
      </c>
      <c r="Y339" s="65">
        <f>IFERROR(__xludf.DUMMYFUNCTION("""COMPUTED_VALUE"""),20.0)</f>
        <v>20</v>
      </c>
      <c r="Z339" s="65">
        <f>IFERROR(__xludf.DUMMYFUNCTION("""COMPUTED_VALUE"""),130492.0)</f>
        <v>130492</v>
      </c>
      <c r="AA339" s="65" t="str">
        <f>IFERROR(__xludf.DUMMYFUNCTION("""COMPUTED_VALUE"""),"IMX-00006")</f>
        <v>IMX-00006</v>
      </c>
      <c r="AB339" s="65"/>
      <c r="AC339" s="65" t="str">
        <f>IFERROR(__xludf.DUMMYFUNCTION("""COMPUTED_VALUE"""),"Receptor Bluetooth")</f>
        <v>Receptor Bluetooth</v>
      </c>
      <c r="AD339" s="65"/>
      <c r="AE339" s="65">
        <f>IFERROR(__xludf.DUMMYFUNCTION("""COMPUTED_VALUE"""),4.0)</f>
        <v>4</v>
      </c>
      <c r="AF339" s="65"/>
      <c r="AG339" s="65"/>
      <c r="AH339" s="65"/>
      <c r="AI339" s="65"/>
      <c r="AJ339" s="65"/>
      <c r="AK339" s="65"/>
      <c r="AL339" s="65"/>
      <c r="AM339" s="65"/>
      <c r="AN339" s="65" t="str">
        <f>IFERROR(__xludf.DUMMYFUNCTION("""COMPUTED_VALUE"""),"13:13")</f>
        <v>13:13</v>
      </c>
      <c r="AO339" s="65" t="str">
        <f>IFERROR(__xludf.DUMMYFUNCTION("""COMPUTED_VALUE"""),"24-03-2026")</f>
        <v>24-03-2026</v>
      </c>
      <c r="AP339" s="65" t="str">
        <f>IFERROR(__xludf.DUMMYFUNCTION("""COMPUTED_VALUE"""),"ENTREGA DIGITALIZADA EN CENTRO LOGISTICO")</f>
        <v>ENTREGA DIGITALIZADA EN CENTRO LOGISTICO</v>
      </c>
      <c r="AQ339" s="65" t="str">
        <f>IFERROR(__xludf.DUMMYFUNCTION("""COMPUTED_VALUE"""),"LUIS SANGOPANTA")</f>
        <v>LUIS SANGOPANTA</v>
      </c>
      <c r="AR339" s="65"/>
      <c r="AS339" s="65"/>
      <c r="AT339" s="65" t="str">
        <f>IFERROR(__xludf.DUMMYFUNCTION("""COMPUTED_VALUE"""),"CHATEA PRO")</f>
        <v>CHATEA PRO</v>
      </c>
      <c r="AU339" s="65" t="str">
        <f>IFERROR(__xludf.DUMMYFUNCTION("""COMPUTED_VALUE"""),"CHATEA PRO")</f>
        <v>CHATEA PRO</v>
      </c>
      <c r="AV339" s="65"/>
      <c r="AW339" s="65"/>
      <c r="AX339" s="65"/>
      <c r="AY339" s="65" t="str">
        <f>IFERROR(__xludf.DUMMYFUNCTION("""COMPUTED_VALUE"""),"05/03/2026")</f>
        <v>05/03/2026</v>
      </c>
      <c r="AZ339" s="65"/>
      <c r="BA339" s="65"/>
    </row>
    <row r="340">
      <c r="A340" s="65" t="str">
        <f>IFERROR(__xludf.DUMMYFUNCTION("""COMPUTED_VALUE"""),"27-03-2026")</f>
        <v>27-03-2026</v>
      </c>
      <c r="B340" s="65">
        <f>IFERROR(__xludf.DUMMYFUNCTION("""COMPUTED_VALUE"""),4680837.0)</f>
        <v>4680837</v>
      </c>
      <c r="C340" s="65" t="str">
        <f>IFERROR(__xludf.DUMMYFUNCTION("""COMPUTED_VALUE"""),"07:24")</f>
        <v>07:24</v>
      </c>
      <c r="D340" s="65" t="str">
        <f>IFERROR(__xludf.DUMMYFUNCTION("""COMPUTED_VALUE"""),"03-03-2026")</f>
        <v>03-03-2026</v>
      </c>
      <c r="E340" s="65" t="str">
        <f>IFERROR(__xludf.DUMMYFUNCTION("""COMPUTED_VALUE"""),"Jack Melendez")</f>
        <v>Jack Melendez</v>
      </c>
      <c r="F340" s="65" t="str">
        <f>IFERROR(__xludf.DUMMYFUNCTION("""COMPUTED_VALUE"""),"998421850")</f>
        <v>998421850</v>
      </c>
      <c r="G340" s="65" t="str">
        <f>IFERROR(__xludf.DUMMYFUNCTION("""COMPUTED_VALUE"""),"jackomelendez2015@gmail.com")</f>
        <v>jackomelendez2015@gmail.com</v>
      </c>
      <c r="H340" s="65"/>
      <c r="I340" s="65"/>
      <c r="J340" s="65"/>
      <c r="K340" s="65" t="str">
        <f>IFERROR(__xludf.DUMMYFUNCTION("""COMPUTED_VALUE"""),"PENDIENTE CONFIRMACION")</f>
        <v>PENDIENTE CONFIRMACION</v>
      </c>
      <c r="L340" s="65" t="str">
        <f>IFERROR(__xludf.DUMMYFUNCTION("""COMPUTED_VALUE"""),"CON RECAUDO")</f>
        <v>CON RECAUDO</v>
      </c>
      <c r="M340" s="65" t="str">
        <f>IFERROR(__xludf.DUMMYFUNCTION("""COMPUTED_VALUE"""),"TUNGURAHUA")</f>
        <v>TUNGURAHUA</v>
      </c>
      <c r="N340" s="65" t="str">
        <f>IFERROR(__xludf.DUMMYFUNCTION("""COMPUTED_VALUE"""),"AMBATO")</f>
        <v>AMBATO</v>
      </c>
      <c r="O340" s="65" t="str">
        <f>IFERROR(__xludf.DUMMYFUNCTION("""COMPUTED_VALUE"""),"Av Atahualpa. Y Victor hugo Mall de los Andes..segundo piso isla GISSMOVIL -")</f>
        <v>Av Atahualpa. Y Victor hugo Mall de los Andes..segundo piso isla GISSMOVIL -</v>
      </c>
      <c r="P340" s="65"/>
      <c r="Q340" s="65" t="str">
        <f>IFERROR(__xludf.DUMMYFUNCTION("""COMPUTED_VALUE"""),"GINTRACOM")</f>
        <v>GINTRACOM</v>
      </c>
      <c r="R340" s="65">
        <f>IFERROR(__xludf.DUMMYFUNCTION("""COMPUTED_VALUE"""),22.0)</f>
        <v>22</v>
      </c>
      <c r="S340" s="65"/>
      <c r="T340" s="65">
        <f>IFERROR(__xludf.DUMMYFUNCTION("""COMPUTED_VALUE"""),5.84)</f>
        <v>5.84</v>
      </c>
      <c r="U340" s="65">
        <f>IFERROR(__xludf.DUMMYFUNCTION("""COMPUTED_VALUE"""),0.0)</f>
        <v>0</v>
      </c>
      <c r="V340" s="65">
        <f>IFERROR(__xludf.DUMMYFUNCTION("""COMPUTED_VALUE"""),0.0)</f>
        <v>0</v>
      </c>
      <c r="W340" s="65">
        <f>IFERROR(__xludf.DUMMYFUNCTION("""COMPUTED_VALUE"""),0.0)</f>
        <v>0</v>
      </c>
      <c r="X340" s="65">
        <f>IFERROR(__xludf.DUMMYFUNCTION("""COMPUTED_VALUE"""),5.0)</f>
        <v>5</v>
      </c>
      <c r="Y340" s="65">
        <f>IFERROR(__xludf.DUMMYFUNCTION("""COMPUTED_VALUE"""),10.0)</f>
        <v>10</v>
      </c>
      <c r="Z340" s="65">
        <f>IFERROR(__xludf.DUMMYFUNCTION("""COMPUTED_VALUE"""),130492.0)</f>
        <v>130492</v>
      </c>
      <c r="AA340" s="65" t="str">
        <f>IFERROR(__xludf.DUMMYFUNCTION("""COMPUTED_VALUE"""),"IMX-00006")</f>
        <v>IMX-00006</v>
      </c>
      <c r="AB340" s="65"/>
      <c r="AC340" s="65" t="str">
        <f>IFERROR(__xludf.DUMMYFUNCTION("""COMPUTED_VALUE"""),"Receptor Bluetooth")</f>
        <v>Receptor Bluetooth</v>
      </c>
      <c r="AD340" s="65"/>
      <c r="AE340" s="65">
        <f>IFERROR(__xludf.DUMMYFUNCTION("""COMPUTED_VALUE"""),2.0)</f>
        <v>2</v>
      </c>
      <c r="AF340" s="65"/>
      <c r="AG340" s="65"/>
      <c r="AH340" s="65"/>
      <c r="AI340" s="65"/>
      <c r="AJ340" s="65"/>
      <c r="AK340" s="65"/>
      <c r="AL340" s="65"/>
      <c r="AM340" s="65"/>
      <c r="AN340" s="65"/>
      <c r="AO340" s="65"/>
      <c r="AP340" s="65"/>
      <c r="AQ340" s="65"/>
      <c r="AR340" s="65"/>
      <c r="AS340" s="65"/>
      <c r="AT340" s="65" t="str">
        <f>IFERROR(__xludf.DUMMYFUNCTION("""COMPUTED_VALUE"""),"SHOPIFY")</f>
        <v>SHOPIFY</v>
      </c>
      <c r="AU340" s="65" t="str">
        <f>IFERROR(__xludf.DUMMYFUNCTION("""COMPUTED_VALUE"""),"IMPORTEX EC")</f>
        <v>IMPORTEX EC</v>
      </c>
      <c r="AV340" s="65" t="str">
        <f>IFERROR(__xludf.DUMMYFUNCTION("""COMPUTED_VALUE"""),"6553928695852")</f>
        <v>6553928695852</v>
      </c>
      <c r="AW340" s="65">
        <f>IFERROR(__xludf.DUMMYFUNCTION("""COMPUTED_VALUE"""),6519.0)</f>
        <v>6519</v>
      </c>
      <c r="AX340" s="65"/>
      <c r="AY340" s="65"/>
      <c r="AZ340" s="65"/>
      <c r="BA340" s="65"/>
    </row>
    <row r="341">
      <c r="A341" s="65" t="str">
        <f>IFERROR(__xludf.DUMMYFUNCTION("""COMPUTED_VALUE"""),"27-03-2026")</f>
        <v>27-03-2026</v>
      </c>
      <c r="B341" s="65">
        <f>IFERROR(__xludf.DUMMYFUNCTION("""COMPUTED_VALUE"""),4680498.0)</f>
        <v>4680498</v>
      </c>
      <c r="C341" s="65" t="str">
        <f>IFERROR(__xludf.DUMMYFUNCTION("""COMPUTED_VALUE"""),"06:36")</f>
        <v>06:36</v>
      </c>
      <c r="D341" s="65" t="str">
        <f>IFERROR(__xludf.DUMMYFUNCTION("""COMPUTED_VALUE"""),"03-03-2026")</f>
        <v>03-03-2026</v>
      </c>
      <c r="E341" s="65" t="str">
        <f>IFERROR(__xludf.DUMMYFUNCTION("""COMPUTED_VALUE"""),"Carlos Guaman")</f>
        <v>Carlos Guaman</v>
      </c>
      <c r="F341" s="65" t="str">
        <f>IFERROR(__xludf.DUMMYFUNCTION("""COMPUTED_VALUE"""),"958835402")</f>
        <v>958835402</v>
      </c>
      <c r="G341" s="65" t="str">
        <f>IFERROR(__xludf.DUMMYFUNCTION("""COMPUTED_VALUE"""),"carlos76guaman.v@hotmail.com")</f>
        <v>carlos76guaman.v@hotmail.com</v>
      </c>
      <c r="H341" s="65"/>
      <c r="I341" s="65"/>
      <c r="J341" s="65" t="str">
        <f>IFERROR(__xludf.DUMMYFUNCTION("""COMPUTED_VALUE"""),"LC53014121")</f>
        <v>LC53014121</v>
      </c>
      <c r="K341" s="65" t="str">
        <f>IFERROR(__xludf.DUMMYFUNCTION("""COMPUTED_VALUE"""),"ENTREGADO")</f>
        <v>ENTREGADO</v>
      </c>
      <c r="L341" s="65" t="str">
        <f>IFERROR(__xludf.DUMMYFUNCTION("""COMPUTED_VALUE"""),"CON RECAUDO")</f>
        <v>CON RECAUDO</v>
      </c>
      <c r="M341" s="65" t="str">
        <f>IFERROR(__xludf.DUMMYFUNCTION("""COMPUTED_VALUE"""),"CHIMBORAZO")</f>
        <v>CHIMBORAZO</v>
      </c>
      <c r="N341" s="65" t="str">
        <f>IFERROR(__xludf.DUMMYFUNCTION("""COMPUTED_VALUE"""),"CAJABAMBA")</f>
        <v>CAJABAMBA</v>
      </c>
      <c r="O341" s="65" t="str">
        <f>IFERROR(__xludf.DUMMYFUNCTION("""COMPUTED_VALUE"""),"Juan la valle y Gaspar de Villaroel")</f>
        <v>Juan la valle y Gaspar de Villaroel</v>
      </c>
      <c r="P341" s="65"/>
      <c r="Q341" s="65" t="str">
        <f>IFERROR(__xludf.DUMMYFUNCTION("""COMPUTED_VALUE"""),"LAARCOURIER")</f>
        <v>LAARCOURIER</v>
      </c>
      <c r="R341" s="65">
        <f>IFERROR(__xludf.DUMMYFUNCTION("""COMPUTED_VALUE"""),25.0)</f>
        <v>25</v>
      </c>
      <c r="S341" s="65">
        <f>IFERROR(__xludf.DUMMYFUNCTION("""COMPUTED_VALUE"""),13.11)</f>
        <v>13.11</v>
      </c>
      <c r="T341" s="65">
        <f>IFERROR(__xludf.DUMMYFUNCTION("""COMPUTED_VALUE"""),7.19)</f>
        <v>7.19</v>
      </c>
      <c r="U341" s="65">
        <f>IFERROR(__xludf.DUMMYFUNCTION("""COMPUTED_VALUE"""),0.0)</f>
        <v>0</v>
      </c>
      <c r="V341" s="65">
        <f>IFERROR(__xludf.DUMMYFUNCTION("""COMPUTED_VALUE"""),0.0)</f>
        <v>0</v>
      </c>
      <c r="W341" s="65">
        <f>IFERROR(__xludf.DUMMYFUNCTION("""COMPUTED_VALUE"""),0.0)</f>
        <v>0</v>
      </c>
      <c r="X341" s="65">
        <f>IFERROR(__xludf.DUMMYFUNCTION("""COMPUTED_VALUE"""),2.35)</f>
        <v>2.35</v>
      </c>
      <c r="Y341" s="65">
        <f>IFERROR(__xludf.DUMMYFUNCTION("""COMPUTED_VALUE"""),4.7)</f>
        <v>4.7</v>
      </c>
      <c r="Z341" s="65">
        <f>IFERROR(__xludf.DUMMYFUNCTION("""COMPUTED_VALUE"""),116679.0)</f>
        <v>116679</v>
      </c>
      <c r="AA341" s="65" t="str">
        <f>IFERROR(__xludf.DUMMYFUNCTION("""COMPUTED_VALUE"""),"AMC-2738")</f>
        <v>AMC-2738</v>
      </c>
      <c r="AB341" s="65"/>
      <c r="AC341" s="65" t="str">
        <f>IFERROR(__xludf.DUMMYFUNCTION("""COMPUTED_VALUE"""),"ESPONJA ANTILLUVIA DE PARABRISAS")</f>
        <v>ESPONJA ANTILLUVIA DE PARABRISAS</v>
      </c>
      <c r="AD341" s="65"/>
      <c r="AE341" s="65">
        <f>IFERROR(__xludf.DUMMYFUNCTION("""COMPUTED_VALUE"""),2.0)</f>
        <v>2</v>
      </c>
      <c r="AF341" s="65"/>
      <c r="AG341" s="65"/>
      <c r="AH341" s="65"/>
      <c r="AI341" s="65"/>
      <c r="AJ341" s="65"/>
      <c r="AK341" s="65"/>
      <c r="AL341" s="65"/>
      <c r="AM341" s="65"/>
      <c r="AN341" s="65" t="str">
        <f>IFERROR(__xludf.DUMMYFUNCTION("""COMPUTED_VALUE"""),"15:49")</f>
        <v>15:49</v>
      </c>
      <c r="AO341" s="65" t="str">
        <f>IFERROR(__xludf.DUMMYFUNCTION("""COMPUTED_VALUE"""),"10-03-2026")</f>
        <v>10-03-2026</v>
      </c>
      <c r="AP341" s="65" t="str">
        <f>IFERROR(__xludf.DUMMYFUNCTION("""COMPUTED_VALUE"""),"ENTREGADO")</f>
        <v>ENTREGADO</v>
      </c>
      <c r="AQ341" s="65" t="str">
        <f>IFERROR(__xludf.DUMMYFUNCTION("""COMPUTED_VALUE"""),"ENTREGADO")</f>
        <v>ENTREGADO</v>
      </c>
      <c r="AR341" s="65"/>
      <c r="AS341" s="65"/>
      <c r="AT341" s="65" t="str">
        <f>IFERROR(__xludf.DUMMYFUNCTION("""COMPUTED_VALUE"""),"SHOPIFY")</f>
        <v>SHOPIFY</v>
      </c>
      <c r="AU341" s="65" t="str">
        <f>IFERROR(__xludf.DUMMYFUNCTION("""COMPUTED_VALUE"""),"IMPORTEX EC")</f>
        <v>IMPORTEX EC</v>
      </c>
      <c r="AV341" s="65" t="str">
        <f>IFERROR(__xludf.DUMMYFUNCTION("""COMPUTED_VALUE"""),"6553889603628")</f>
        <v>6553889603628</v>
      </c>
      <c r="AW341" s="65">
        <f>IFERROR(__xludf.DUMMYFUNCTION("""COMPUTED_VALUE"""),6518.0)</f>
        <v>6518</v>
      </c>
      <c r="AX341" s="65"/>
      <c r="AY341" s="65" t="str">
        <f>IFERROR(__xludf.DUMMYFUNCTION("""COMPUTED_VALUE"""),"04/03/2026")</f>
        <v>04/03/2026</v>
      </c>
      <c r="AZ341" s="65"/>
      <c r="BA341" s="65"/>
    </row>
    <row r="342">
      <c r="A342" s="65" t="str">
        <f>IFERROR(__xludf.DUMMYFUNCTION("""COMPUTED_VALUE"""),"27-03-2026")</f>
        <v>27-03-2026</v>
      </c>
      <c r="B342" s="65">
        <f>IFERROR(__xludf.DUMMYFUNCTION("""COMPUTED_VALUE"""),4680356.0)</f>
        <v>4680356</v>
      </c>
      <c r="C342" s="65" t="str">
        <f>IFERROR(__xludf.DUMMYFUNCTION("""COMPUTED_VALUE"""),"05:58")</f>
        <v>05:58</v>
      </c>
      <c r="D342" s="65" t="str">
        <f>IFERROR(__xludf.DUMMYFUNCTION("""COMPUTED_VALUE"""),"03-03-2026")</f>
        <v>03-03-2026</v>
      </c>
      <c r="E342" s="65" t="str">
        <f>IFERROR(__xludf.DUMMYFUNCTION("""COMPUTED_VALUE"""),"Xavier Andrés Encarnación")</f>
        <v>Xavier Andrés Encarnación</v>
      </c>
      <c r="F342" s="65" t="str">
        <f>IFERROR(__xludf.DUMMYFUNCTION("""COMPUTED_VALUE"""),"985099407")</f>
        <v>985099407</v>
      </c>
      <c r="G342" s="65" t="str">
        <f>IFERROR(__xludf.DUMMYFUNCTION("""COMPUTED_VALUE"""),"xencarnacionbalcazar@gmail.com")</f>
        <v>xencarnacionbalcazar@gmail.com</v>
      </c>
      <c r="H342" s="65"/>
      <c r="I342" s="65"/>
      <c r="J342" s="65"/>
      <c r="K342" s="65" t="str">
        <f>IFERROR(__xludf.DUMMYFUNCTION("""COMPUTED_VALUE"""),"CANCELADO")</f>
        <v>CANCELADO</v>
      </c>
      <c r="L342" s="65" t="str">
        <f>IFERROR(__xludf.DUMMYFUNCTION("""COMPUTED_VALUE"""),"CON RECAUDO")</f>
        <v>CON RECAUDO</v>
      </c>
      <c r="M342" s="65" t="str">
        <f>IFERROR(__xludf.DUMMYFUNCTION("""COMPUTED_VALUE"""),"EL ORO")</f>
        <v>EL ORO</v>
      </c>
      <c r="N342" s="65" t="str">
        <f>IFERROR(__xludf.DUMMYFUNCTION("""COMPUTED_VALUE"""),"PIÑAS")</f>
        <v>PIÑAS</v>
      </c>
      <c r="O342" s="65" t="str">
        <f>IFERROR(__xludf.DUMMYFUNCTION("""COMPUTED_VALUE"""),"Saracay Saracay -")</f>
        <v>Saracay Saracay -</v>
      </c>
      <c r="P342" s="65"/>
      <c r="Q342" s="65" t="str">
        <f>IFERROR(__xludf.DUMMYFUNCTION("""COMPUTED_VALUE"""),"URBANO")</f>
        <v>URBANO</v>
      </c>
      <c r="R342" s="65">
        <f>IFERROR(__xludf.DUMMYFUNCTION("""COMPUTED_VALUE"""),20.0)</f>
        <v>20</v>
      </c>
      <c r="S342" s="65"/>
      <c r="T342" s="65">
        <f>IFERROR(__xludf.DUMMYFUNCTION("""COMPUTED_VALUE"""),5.41)</f>
        <v>5.41</v>
      </c>
      <c r="U342" s="65">
        <f>IFERROR(__xludf.DUMMYFUNCTION("""COMPUTED_VALUE"""),0.0)</f>
        <v>0</v>
      </c>
      <c r="V342" s="65">
        <f>IFERROR(__xludf.DUMMYFUNCTION("""COMPUTED_VALUE"""),0.0)</f>
        <v>0</v>
      </c>
      <c r="W342" s="65">
        <f>IFERROR(__xludf.DUMMYFUNCTION("""COMPUTED_VALUE"""),0.0)</f>
        <v>0</v>
      </c>
      <c r="X342" s="65">
        <f>IFERROR(__xludf.DUMMYFUNCTION("""COMPUTED_VALUE"""),2.35)</f>
        <v>2.35</v>
      </c>
      <c r="Y342" s="65">
        <f>IFERROR(__xludf.DUMMYFUNCTION("""COMPUTED_VALUE"""),2.35)</f>
        <v>2.35</v>
      </c>
      <c r="Z342" s="65">
        <f>IFERROR(__xludf.DUMMYFUNCTION("""COMPUTED_VALUE"""),116679.0)</f>
        <v>116679</v>
      </c>
      <c r="AA342" s="65" t="str">
        <f>IFERROR(__xludf.DUMMYFUNCTION("""COMPUTED_VALUE"""),"AMC-2738")</f>
        <v>AMC-2738</v>
      </c>
      <c r="AB342" s="65"/>
      <c r="AC342" s="65" t="str">
        <f>IFERROR(__xludf.DUMMYFUNCTION("""COMPUTED_VALUE"""),"ESPONJA ANTILLUVIA DE PARABRISAS")</f>
        <v>ESPONJA ANTILLUVIA DE PARABRISAS</v>
      </c>
      <c r="AD342" s="65"/>
      <c r="AE342" s="65">
        <f>IFERROR(__xludf.DUMMYFUNCTION("""COMPUTED_VALUE"""),1.0)</f>
        <v>1</v>
      </c>
      <c r="AF342" s="65"/>
      <c r="AG342" s="65"/>
      <c r="AH342" s="65"/>
      <c r="AI342" s="65"/>
      <c r="AJ342" s="65"/>
      <c r="AK342" s="65"/>
      <c r="AL342" s="65"/>
      <c r="AM342" s="65"/>
      <c r="AN342" s="65"/>
      <c r="AO342" s="65"/>
      <c r="AP342" s="65"/>
      <c r="AQ342" s="65"/>
      <c r="AR342" s="65"/>
      <c r="AS342" s="65"/>
      <c r="AT342" s="65" t="str">
        <f>IFERROR(__xludf.DUMMYFUNCTION("""COMPUTED_VALUE"""),"SHOPIFY")</f>
        <v>SHOPIFY</v>
      </c>
      <c r="AU342" s="65" t="str">
        <f>IFERROR(__xludf.DUMMYFUNCTION("""COMPUTED_VALUE"""),"IMPORTEX EC")</f>
        <v>IMPORTEX EC</v>
      </c>
      <c r="AV342" s="65" t="str">
        <f>IFERROR(__xludf.DUMMYFUNCTION("""COMPUTED_VALUE"""),"6553863323692")</f>
        <v>6553863323692</v>
      </c>
      <c r="AW342" s="65">
        <f>IFERROR(__xludf.DUMMYFUNCTION("""COMPUTED_VALUE"""),6517.0)</f>
        <v>6517</v>
      </c>
      <c r="AX342" s="65"/>
      <c r="AY342" s="65"/>
      <c r="AZ342" s="65"/>
      <c r="BA342" s="65"/>
    </row>
    <row r="343">
      <c r="A343" s="65" t="str">
        <f>IFERROR(__xludf.DUMMYFUNCTION("""COMPUTED_VALUE"""),"27-03-2026")</f>
        <v>27-03-2026</v>
      </c>
      <c r="B343" s="65">
        <f>IFERROR(__xludf.DUMMYFUNCTION("""COMPUTED_VALUE"""),4677799.0)</f>
        <v>4677799</v>
      </c>
      <c r="C343" s="65" t="str">
        <f>IFERROR(__xludf.DUMMYFUNCTION("""COMPUTED_VALUE"""),"20:46")</f>
        <v>20:46</v>
      </c>
      <c r="D343" s="65" t="str">
        <f>IFERROR(__xludf.DUMMYFUNCTION("""COMPUTED_VALUE"""),"02-03-2026")</f>
        <v>02-03-2026</v>
      </c>
      <c r="E343" s="65" t="str">
        <f>IFERROR(__xludf.DUMMYFUNCTION("""COMPUTED_VALUE"""),"Líder Eduardo Mendoza Garcia Eduardo Mendoza Garcia")</f>
        <v>Líder Eduardo Mendoza Garcia Eduardo Mendoza Garcia</v>
      </c>
      <c r="F343" s="65" t="str">
        <f>IFERROR(__xludf.DUMMYFUNCTION("""COMPUTED_VALUE"""),"988802131")</f>
        <v>988802131</v>
      </c>
      <c r="G343" s="65" t="str">
        <f>IFERROR(__xludf.DUMMYFUNCTION("""COMPUTED_VALUE"""),"mendozalider485@gmail.com")</f>
        <v>mendozalider485@gmail.com</v>
      </c>
      <c r="H343" s="65"/>
      <c r="I343" s="65"/>
      <c r="J343" s="65"/>
      <c r="K343" s="65" t="str">
        <f>IFERROR(__xludf.DUMMYFUNCTION("""COMPUTED_VALUE"""),"PENDIENTE CONFIRMACION")</f>
        <v>PENDIENTE CONFIRMACION</v>
      </c>
      <c r="L343" s="65" t="str">
        <f>IFERROR(__xludf.DUMMYFUNCTION("""COMPUTED_VALUE"""),"CON RECAUDO")</f>
        <v>CON RECAUDO</v>
      </c>
      <c r="M343" s="65" t="str">
        <f>IFERROR(__xludf.DUMMYFUNCTION("""COMPUTED_VALUE"""),"GUAYAS")</f>
        <v>GUAYAS</v>
      </c>
      <c r="N343" s="65" t="str">
        <f>IFERROR(__xludf.DUMMYFUNCTION("""COMPUTED_VALUE"""),"DAULE")</f>
        <v>DAULE</v>
      </c>
      <c r="O343" s="65" t="str">
        <f>IFERROR(__xludf.DUMMYFUNCTION("""COMPUTED_VALUE"""),"Avenida León Febres cordero Enterando por las joyas hasta villas del Rey etapa princesa Kate mz 10 villa 5 -")</f>
        <v>Avenida León Febres cordero Enterando por las joyas hasta villas del Rey etapa princesa Kate mz 10 villa 5 -</v>
      </c>
      <c r="P343" s="65"/>
      <c r="Q343" s="65" t="str">
        <f>IFERROR(__xludf.DUMMYFUNCTION("""COMPUTED_VALUE"""),"GINTRACOM")</f>
        <v>GINTRACOM</v>
      </c>
      <c r="R343" s="65">
        <f>IFERROR(__xludf.DUMMYFUNCTION("""COMPUTED_VALUE"""),27.0)</f>
        <v>27</v>
      </c>
      <c r="S343" s="65"/>
      <c r="T343" s="65">
        <f>IFERROR(__xludf.DUMMYFUNCTION("""COMPUTED_VALUE"""),6.03)</f>
        <v>6.03</v>
      </c>
      <c r="U343" s="65">
        <f>IFERROR(__xludf.DUMMYFUNCTION("""COMPUTED_VALUE"""),0.0)</f>
        <v>0</v>
      </c>
      <c r="V343" s="65">
        <f>IFERROR(__xludf.DUMMYFUNCTION("""COMPUTED_VALUE"""),0.0)</f>
        <v>0</v>
      </c>
      <c r="W343" s="65">
        <f>IFERROR(__xludf.DUMMYFUNCTION("""COMPUTED_VALUE"""),0.0)</f>
        <v>0</v>
      </c>
      <c r="X343" s="65">
        <f>IFERROR(__xludf.DUMMYFUNCTION("""COMPUTED_VALUE"""),3.75)</f>
        <v>3.75</v>
      </c>
      <c r="Y343" s="65">
        <f>IFERROR(__xludf.DUMMYFUNCTION("""COMPUTED_VALUE"""),11.25)</f>
        <v>11.25</v>
      </c>
      <c r="Z343" s="65">
        <f>IFERROR(__xludf.DUMMYFUNCTION("""COMPUTED_VALUE"""),113116.0)</f>
        <v>113116</v>
      </c>
      <c r="AA343" s="65" t="str">
        <f>IFERROR(__xludf.DUMMYFUNCTION("""COMPUTED_VALUE"""),"IM-TAZAKI")</f>
        <v>IM-TAZAKI</v>
      </c>
      <c r="AB343" s="65"/>
      <c r="AC343" s="65" t="str">
        <f>IFERROR(__xludf.DUMMYFUNCTION("""COMPUTED_VALUE"""),"Cuchillo tazaki")</f>
        <v>Cuchillo tazaki</v>
      </c>
      <c r="AD343" s="65"/>
      <c r="AE343" s="65">
        <f>IFERROR(__xludf.DUMMYFUNCTION("""COMPUTED_VALUE"""),3.0)</f>
        <v>3</v>
      </c>
      <c r="AF343" s="65"/>
      <c r="AG343" s="65"/>
      <c r="AH343" s="65"/>
      <c r="AI343" s="65"/>
      <c r="AJ343" s="65"/>
      <c r="AK343" s="65"/>
      <c r="AL343" s="65"/>
      <c r="AM343" s="65"/>
      <c r="AN343" s="65"/>
      <c r="AO343" s="65"/>
      <c r="AP343" s="65"/>
      <c r="AQ343" s="65"/>
      <c r="AR343" s="65"/>
      <c r="AS343" s="65"/>
      <c r="AT343" s="65" t="str">
        <f>IFERROR(__xludf.DUMMYFUNCTION("""COMPUTED_VALUE"""),"SHOPIFY")</f>
        <v>SHOPIFY</v>
      </c>
      <c r="AU343" s="65" t="str">
        <f>IFERROR(__xludf.DUMMYFUNCTION("""COMPUTED_VALUE"""),"IMPORTEX EC")</f>
        <v>IMPORTEX EC</v>
      </c>
      <c r="AV343" s="65" t="str">
        <f>IFERROR(__xludf.DUMMYFUNCTION("""COMPUTED_VALUE"""),"6553158221868")</f>
        <v>6553158221868</v>
      </c>
      <c r="AW343" s="65">
        <f>IFERROR(__xludf.DUMMYFUNCTION("""COMPUTED_VALUE"""),6516.0)</f>
        <v>6516</v>
      </c>
      <c r="AX343" s="65"/>
      <c r="AY343" s="65"/>
      <c r="AZ343" s="65"/>
      <c r="BA343" s="65"/>
    </row>
    <row r="344">
      <c r="A344" s="65" t="str">
        <f>IFERROR(__xludf.DUMMYFUNCTION("""COMPUTED_VALUE"""),"27-03-2026")</f>
        <v>27-03-2026</v>
      </c>
      <c r="B344" s="65">
        <f>IFERROR(__xludf.DUMMYFUNCTION("""COMPUTED_VALUE"""),4677782.0)</f>
        <v>4677782</v>
      </c>
      <c r="C344" s="65" t="str">
        <f>IFERROR(__xludf.DUMMYFUNCTION("""COMPUTED_VALUE"""),"20:44")</f>
        <v>20:44</v>
      </c>
      <c r="D344" s="65" t="str">
        <f>IFERROR(__xludf.DUMMYFUNCTION("""COMPUTED_VALUE"""),"02-03-2026")</f>
        <v>02-03-2026</v>
      </c>
      <c r="E344" s="65" t="str">
        <f>IFERROR(__xludf.DUMMYFUNCTION("""COMPUTED_VALUE"""),"Jorge bunay Buñay")</f>
        <v>Jorge bunay Buñay</v>
      </c>
      <c r="F344" s="65" t="str">
        <f>IFERROR(__xludf.DUMMYFUNCTION("""COMPUTED_VALUE"""),"959268087")</f>
        <v>959268087</v>
      </c>
      <c r="G344" s="65" t="str">
        <f>IFERROR(__xludf.DUMMYFUNCTION("""COMPUTED_VALUE"""),"bunayjorge763@gmail.com")</f>
        <v>bunayjorge763@gmail.com</v>
      </c>
      <c r="H344" s="65"/>
      <c r="I344" s="65"/>
      <c r="J344" s="65"/>
      <c r="K344" s="65" t="str">
        <f>IFERROR(__xludf.DUMMYFUNCTION("""COMPUTED_VALUE"""),"PENDIENTE CONFIRMACION")</f>
        <v>PENDIENTE CONFIRMACION</v>
      </c>
      <c r="L344" s="65" t="str">
        <f>IFERROR(__xludf.DUMMYFUNCTION("""COMPUTED_VALUE"""),"CON RECAUDO")</f>
        <v>CON RECAUDO</v>
      </c>
      <c r="M344" s="65" t="str">
        <f>IFERROR(__xludf.DUMMYFUNCTION("""COMPUTED_VALUE"""),"EL ORO")</f>
        <v>EL ORO</v>
      </c>
      <c r="N344" s="65" t="str">
        <f>IFERROR(__xludf.DUMMYFUNCTION("""COMPUTED_VALUE"""),"MACHALA")</f>
        <v>MACHALA</v>
      </c>
      <c r="O344" s="65" t="str">
        <f>IFERROR(__xludf.DUMMYFUNCTION("""COMPUTED_VALUE"""),"Calle guabo carrera 8 oeste Entre marceliado -")</f>
        <v>Calle guabo carrera 8 oeste Entre marceliado -</v>
      </c>
      <c r="P344" s="65"/>
      <c r="Q344" s="65" t="str">
        <f>IFERROR(__xludf.DUMMYFUNCTION("""COMPUTED_VALUE"""),"GINTRACOM")</f>
        <v>GINTRACOM</v>
      </c>
      <c r="R344" s="65">
        <f>IFERROR(__xludf.DUMMYFUNCTION("""COMPUTED_VALUE"""),22.0)</f>
        <v>22</v>
      </c>
      <c r="S344" s="65"/>
      <c r="T344" s="65">
        <f>IFERROR(__xludf.DUMMYFUNCTION("""COMPUTED_VALUE"""),5.84)</f>
        <v>5.84</v>
      </c>
      <c r="U344" s="65">
        <f>IFERROR(__xludf.DUMMYFUNCTION("""COMPUTED_VALUE"""),0.0)</f>
        <v>0</v>
      </c>
      <c r="V344" s="65">
        <f>IFERROR(__xludf.DUMMYFUNCTION("""COMPUTED_VALUE"""),0.0)</f>
        <v>0</v>
      </c>
      <c r="W344" s="65">
        <f>IFERROR(__xludf.DUMMYFUNCTION("""COMPUTED_VALUE"""),0.0)</f>
        <v>0</v>
      </c>
      <c r="X344" s="65">
        <f>IFERROR(__xludf.DUMMYFUNCTION("""COMPUTED_VALUE"""),5.0)</f>
        <v>5</v>
      </c>
      <c r="Y344" s="65">
        <f>IFERROR(__xludf.DUMMYFUNCTION("""COMPUTED_VALUE"""),10.0)</f>
        <v>10</v>
      </c>
      <c r="Z344" s="65">
        <f>IFERROR(__xludf.DUMMYFUNCTION("""COMPUTED_VALUE"""),130492.0)</f>
        <v>130492</v>
      </c>
      <c r="AA344" s="65" t="str">
        <f>IFERROR(__xludf.DUMMYFUNCTION("""COMPUTED_VALUE"""),"IMX-00006")</f>
        <v>IMX-00006</v>
      </c>
      <c r="AB344" s="65"/>
      <c r="AC344" s="65" t="str">
        <f>IFERROR(__xludf.DUMMYFUNCTION("""COMPUTED_VALUE"""),"Receptor Bluetooth")</f>
        <v>Receptor Bluetooth</v>
      </c>
      <c r="AD344" s="65"/>
      <c r="AE344" s="65">
        <f>IFERROR(__xludf.DUMMYFUNCTION("""COMPUTED_VALUE"""),2.0)</f>
        <v>2</v>
      </c>
      <c r="AF344" s="65"/>
      <c r="AG344" s="65"/>
      <c r="AH344" s="65"/>
      <c r="AI344" s="65"/>
      <c r="AJ344" s="65"/>
      <c r="AK344" s="65"/>
      <c r="AL344" s="65"/>
      <c r="AM344" s="65"/>
      <c r="AN344" s="65"/>
      <c r="AO344" s="65"/>
      <c r="AP344" s="65"/>
      <c r="AQ344" s="65"/>
      <c r="AR344" s="65"/>
      <c r="AS344" s="65"/>
      <c r="AT344" s="65" t="str">
        <f>IFERROR(__xludf.DUMMYFUNCTION("""COMPUTED_VALUE"""),"SHOPIFY")</f>
        <v>SHOPIFY</v>
      </c>
      <c r="AU344" s="65" t="str">
        <f>IFERROR(__xludf.DUMMYFUNCTION("""COMPUTED_VALUE"""),"IMPORTEX EC")</f>
        <v>IMPORTEX EC</v>
      </c>
      <c r="AV344" s="65" t="str">
        <f>IFERROR(__xludf.DUMMYFUNCTION("""COMPUTED_VALUE"""),"6553153962028")</f>
        <v>6553153962028</v>
      </c>
      <c r="AW344" s="65">
        <f>IFERROR(__xludf.DUMMYFUNCTION("""COMPUTED_VALUE"""),6515.0)</f>
        <v>6515</v>
      </c>
      <c r="AX344" s="65"/>
      <c r="AY344" s="65"/>
      <c r="AZ344" s="65"/>
      <c r="BA344" s="65"/>
    </row>
    <row r="345">
      <c r="A345" s="65" t="str">
        <f>IFERROR(__xludf.DUMMYFUNCTION("""COMPUTED_VALUE"""),"27-03-2026")</f>
        <v>27-03-2026</v>
      </c>
      <c r="B345" s="65">
        <f>IFERROR(__xludf.DUMMYFUNCTION("""COMPUTED_VALUE"""),4677674.0)</f>
        <v>4677674</v>
      </c>
      <c r="C345" s="65" t="str">
        <f>IFERROR(__xludf.DUMMYFUNCTION("""COMPUTED_VALUE"""),"20:29")</f>
        <v>20:29</v>
      </c>
      <c r="D345" s="65" t="str">
        <f>IFERROR(__xludf.DUMMYFUNCTION("""COMPUTED_VALUE"""),"02-03-2026")</f>
        <v>02-03-2026</v>
      </c>
      <c r="E345" s="65" t="str">
        <f>IFERROR(__xludf.DUMMYFUNCTION("""COMPUTED_VALUE"""),"Edison Gualoto")</f>
        <v>Edison Gualoto</v>
      </c>
      <c r="F345" s="65" t="str">
        <f>IFERROR(__xludf.DUMMYFUNCTION("""COMPUTED_VALUE"""),"989039368")</f>
        <v>989039368</v>
      </c>
      <c r="G345" s="65" t="str">
        <f>IFERROR(__xludf.DUMMYFUNCTION("""COMPUTED_VALUE"""),"gualotoe77@gmail.com")</f>
        <v>gualotoe77@gmail.com</v>
      </c>
      <c r="H345" s="65"/>
      <c r="I345" s="65"/>
      <c r="J345" s="65"/>
      <c r="K345" s="65" t="str">
        <f>IFERROR(__xludf.DUMMYFUNCTION("""COMPUTED_VALUE"""),"CANCELADO")</f>
        <v>CANCELADO</v>
      </c>
      <c r="L345" s="65" t="str">
        <f>IFERROR(__xludf.DUMMYFUNCTION("""COMPUTED_VALUE"""),"CON RECAUDO")</f>
        <v>CON RECAUDO</v>
      </c>
      <c r="M345" s="65" t="str">
        <f>IFERROR(__xludf.DUMMYFUNCTION("""COMPUTED_VALUE"""),"GUAYAS")</f>
        <v>GUAYAS</v>
      </c>
      <c r="N345" s="65" t="str">
        <f>IFERROR(__xludf.DUMMYFUNCTION("""COMPUTED_VALUE"""),"BUCAY")</f>
        <v>BUCAY</v>
      </c>
      <c r="O345" s="65" t="str">
        <f>IFERROR(__xludf.DUMMYFUNCTION("""COMPUTED_VALUE"""),"Rcto san Alfonso Rcto san José -")</f>
        <v>Rcto san Alfonso Rcto san José -</v>
      </c>
      <c r="P345" s="65"/>
      <c r="Q345" s="65" t="str">
        <f>IFERROR(__xludf.DUMMYFUNCTION("""COMPUTED_VALUE"""),"LAARCOURIER")</f>
        <v>LAARCOURIER</v>
      </c>
      <c r="R345" s="65">
        <f>IFERROR(__xludf.DUMMYFUNCTION("""COMPUTED_VALUE"""),30.0)</f>
        <v>30</v>
      </c>
      <c r="S345" s="65"/>
      <c r="T345" s="65">
        <f>IFERROR(__xludf.DUMMYFUNCTION("""COMPUTED_VALUE"""),7.48)</f>
        <v>7.48</v>
      </c>
      <c r="U345" s="65">
        <f>IFERROR(__xludf.DUMMYFUNCTION("""COMPUTED_VALUE"""),0.0)</f>
        <v>0</v>
      </c>
      <c r="V345" s="65">
        <f>IFERROR(__xludf.DUMMYFUNCTION("""COMPUTED_VALUE"""),0.0)</f>
        <v>0</v>
      </c>
      <c r="W345" s="65">
        <f>IFERROR(__xludf.DUMMYFUNCTION("""COMPUTED_VALUE"""),0.0)</f>
        <v>0</v>
      </c>
      <c r="X345" s="65">
        <f>IFERROR(__xludf.DUMMYFUNCTION("""COMPUTED_VALUE"""),2.35)</f>
        <v>2.35</v>
      </c>
      <c r="Y345" s="65">
        <f>IFERROR(__xludf.DUMMYFUNCTION("""COMPUTED_VALUE"""),7.05)</f>
        <v>7.05</v>
      </c>
      <c r="Z345" s="65">
        <f>IFERROR(__xludf.DUMMYFUNCTION("""COMPUTED_VALUE"""),116679.0)</f>
        <v>116679</v>
      </c>
      <c r="AA345" s="65" t="str">
        <f>IFERROR(__xludf.DUMMYFUNCTION("""COMPUTED_VALUE"""),"AMC-2738")</f>
        <v>AMC-2738</v>
      </c>
      <c r="AB345" s="65"/>
      <c r="AC345" s="65" t="str">
        <f>IFERROR(__xludf.DUMMYFUNCTION("""COMPUTED_VALUE"""),"ESPONJA ANTILLUVIA DE PARABRISAS")</f>
        <v>ESPONJA ANTILLUVIA DE PARABRISAS</v>
      </c>
      <c r="AD345" s="65"/>
      <c r="AE345" s="65">
        <f>IFERROR(__xludf.DUMMYFUNCTION("""COMPUTED_VALUE"""),3.0)</f>
        <v>3</v>
      </c>
      <c r="AF345" s="65"/>
      <c r="AG345" s="65"/>
      <c r="AH345" s="65"/>
      <c r="AI345" s="65"/>
      <c r="AJ345" s="65"/>
      <c r="AK345" s="65"/>
      <c r="AL345" s="65"/>
      <c r="AM345" s="65"/>
      <c r="AN345" s="65"/>
      <c r="AO345" s="65"/>
      <c r="AP345" s="65"/>
      <c r="AQ345" s="65"/>
      <c r="AR345" s="65"/>
      <c r="AS345" s="65"/>
      <c r="AT345" s="65" t="str">
        <f>IFERROR(__xludf.DUMMYFUNCTION("""COMPUTED_VALUE"""),"SHOPIFY")</f>
        <v>SHOPIFY</v>
      </c>
      <c r="AU345" s="65" t="str">
        <f>IFERROR(__xludf.DUMMYFUNCTION("""COMPUTED_VALUE"""),"IMPORTEX EC")</f>
        <v>IMPORTEX EC</v>
      </c>
      <c r="AV345" s="65" t="str">
        <f>IFERROR(__xludf.DUMMYFUNCTION("""COMPUTED_VALUE"""),"6553130401836")</f>
        <v>6553130401836</v>
      </c>
      <c r="AW345" s="65">
        <f>IFERROR(__xludf.DUMMYFUNCTION("""COMPUTED_VALUE"""),6514.0)</f>
        <v>6514</v>
      </c>
      <c r="AX345" s="65"/>
      <c r="AY345" s="65"/>
      <c r="AZ345" s="65"/>
      <c r="BA345" s="65"/>
    </row>
    <row r="346">
      <c r="A346" s="65" t="str">
        <f>IFERROR(__xludf.DUMMYFUNCTION("""COMPUTED_VALUE"""),"27-03-2026")</f>
        <v>27-03-2026</v>
      </c>
      <c r="B346" s="65">
        <f>IFERROR(__xludf.DUMMYFUNCTION("""COMPUTED_VALUE"""),4677137.0)</f>
        <v>4677137</v>
      </c>
      <c r="C346" s="65" t="str">
        <f>IFERROR(__xludf.DUMMYFUNCTION("""COMPUTED_VALUE"""),"19:21")</f>
        <v>19:21</v>
      </c>
      <c r="D346" s="65" t="str">
        <f>IFERROR(__xludf.DUMMYFUNCTION("""COMPUTED_VALUE"""),"02-03-2026")</f>
        <v>02-03-2026</v>
      </c>
      <c r="E346" s="65" t="str">
        <f>IFERROR(__xludf.DUMMYFUNCTION("""COMPUTED_VALUE"""),"Irina Mejia")</f>
        <v>Irina Mejia</v>
      </c>
      <c r="F346" s="65" t="str">
        <f>IFERROR(__xludf.DUMMYFUNCTION("""COMPUTED_VALUE"""),"992843043")</f>
        <v>992843043</v>
      </c>
      <c r="G346" s="65" t="str">
        <f>IFERROR(__xludf.DUMMYFUNCTION("""COMPUTED_VALUE"""),"davelen@gmail.com")</f>
        <v>davelen@gmail.com</v>
      </c>
      <c r="H346" s="65"/>
      <c r="I346" s="65"/>
      <c r="J346" s="65" t="str">
        <f>IFERROR(__xludf.DUMMYFUNCTION("""COMPUTED_VALUE"""),"D001384839")</f>
        <v>D001384839</v>
      </c>
      <c r="K346" s="65" t="str">
        <f>IFERROR(__xludf.DUMMYFUNCTION("""COMPUTED_VALUE"""),"ENTREGADO")</f>
        <v>ENTREGADO</v>
      </c>
      <c r="L346" s="65" t="str">
        <f>IFERROR(__xludf.DUMMYFUNCTION("""COMPUTED_VALUE"""),"CON RECAUDO")</f>
        <v>CON RECAUDO</v>
      </c>
      <c r="M346" s="65" t="str">
        <f>IFERROR(__xludf.DUMMYFUNCTION("""COMPUTED_VALUE"""),"PICHINCHA")</f>
        <v>PICHINCHA</v>
      </c>
      <c r="N346" s="65" t="str">
        <f>IFERROR(__xludf.DUMMYFUNCTION("""COMPUTED_VALUE"""),"QUITO")</f>
        <v>QUITO</v>
      </c>
      <c r="O346" s="65" t="str">
        <f>IFERROR(__xludf.DUMMYFUNCTION("""COMPUTED_VALUE"""),"Medardo silva s4-186 y emilio estrada San juan de cumbaya -")</f>
        <v>Medardo silva s4-186 y emilio estrada San juan de cumbaya -</v>
      </c>
      <c r="P346" s="65"/>
      <c r="Q346" s="65" t="str">
        <f>IFERROR(__xludf.DUMMYFUNCTION("""COMPUTED_VALUE"""),"GINTRACOM")</f>
        <v>GINTRACOM</v>
      </c>
      <c r="R346" s="65">
        <f>IFERROR(__xludf.DUMMYFUNCTION("""COMPUTED_VALUE"""),25.0)</f>
        <v>25</v>
      </c>
      <c r="S346" s="65">
        <f>IFERROR(__xludf.DUMMYFUNCTION("""COMPUTED_VALUE"""),15.95)</f>
        <v>15.95</v>
      </c>
      <c r="T346" s="65">
        <f>IFERROR(__xludf.DUMMYFUNCTION("""COMPUTED_VALUE"""),4.35)</f>
        <v>4.35</v>
      </c>
      <c r="U346" s="65">
        <f>IFERROR(__xludf.DUMMYFUNCTION("""COMPUTED_VALUE"""),0.0)</f>
        <v>0</v>
      </c>
      <c r="V346" s="65">
        <f>IFERROR(__xludf.DUMMYFUNCTION("""COMPUTED_VALUE"""),0.0)</f>
        <v>0</v>
      </c>
      <c r="W346" s="65">
        <f>IFERROR(__xludf.DUMMYFUNCTION("""COMPUTED_VALUE"""),0.0)</f>
        <v>0</v>
      </c>
      <c r="X346" s="65">
        <f>IFERROR(__xludf.DUMMYFUNCTION("""COMPUTED_VALUE"""),2.35)</f>
        <v>2.35</v>
      </c>
      <c r="Y346" s="65">
        <f>IFERROR(__xludf.DUMMYFUNCTION("""COMPUTED_VALUE"""),4.7)</f>
        <v>4.7</v>
      </c>
      <c r="Z346" s="65">
        <f>IFERROR(__xludf.DUMMYFUNCTION("""COMPUTED_VALUE"""),116679.0)</f>
        <v>116679</v>
      </c>
      <c r="AA346" s="65" t="str">
        <f>IFERROR(__xludf.DUMMYFUNCTION("""COMPUTED_VALUE"""),"AMC-2738")</f>
        <v>AMC-2738</v>
      </c>
      <c r="AB346" s="65"/>
      <c r="AC346" s="65" t="str">
        <f>IFERROR(__xludf.DUMMYFUNCTION("""COMPUTED_VALUE"""),"ESPONJA ANTILLUVIA DE PARABRISAS")</f>
        <v>ESPONJA ANTILLUVIA DE PARABRISAS</v>
      </c>
      <c r="AD346" s="65"/>
      <c r="AE346" s="65">
        <f>IFERROR(__xludf.DUMMYFUNCTION("""COMPUTED_VALUE"""),2.0)</f>
        <v>2</v>
      </c>
      <c r="AF346" s="65"/>
      <c r="AG346" s="65"/>
      <c r="AH346" s="65"/>
      <c r="AI346" s="65"/>
      <c r="AJ346" s="65"/>
      <c r="AK346" s="65"/>
      <c r="AL346" s="65"/>
      <c r="AM346" s="65"/>
      <c r="AN346" s="65" t="str">
        <f>IFERROR(__xludf.DUMMYFUNCTION("""COMPUTED_VALUE"""),"11:52")</f>
        <v>11:52</v>
      </c>
      <c r="AO346" s="65" t="str">
        <f>IFERROR(__xludf.DUMMYFUNCTION("""COMPUTED_VALUE"""),"16-03-2026")</f>
        <v>16-03-2026</v>
      </c>
      <c r="AP346" s="65" t="str">
        <f>IFERROR(__xludf.DUMMYFUNCTION("""COMPUTED_VALUE"""),"ENTREGADA GINTRACOM")</f>
        <v>ENTREGADA GINTRACOM</v>
      </c>
      <c r="AQ346" s="65" t="str">
        <f>IFERROR(__xludf.DUMMYFUNCTION("""COMPUTED_VALUE"""),"ENTREGADA GINTRACOM")</f>
        <v>ENTREGADA GINTRACOM</v>
      </c>
      <c r="AR346" s="65"/>
      <c r="AS346" s="65"/>
      <c r="AT346" s="65" t="str">
        <f>IFERROR(__xludf.DUMMYFUNCTION("""COMPUTED_VALUE"""),"SHOPIFY")</f>
        <v>SHOPIFY</v>
      </c>
      <c r="AU346" s="65" t="str">
        <f>IFERROR(__xludf.DUMMYFUNCTION("""COMPUTED_VALUE"""),"IMPORTEX EC")</f>
        <v>IMPORTEX EC</v>
      </c>
      <c r="AV346" s="65" t="str">
        <f>IFERROR(__xludf.DUMMYFUNCTION("""COMPUTED_VALUE"""),"6553005883436")</f>
        <v>6553005883436</v>
      </c>
      <c r="AW346" s="65">
        <f>IFERROR(__xludf.DUMMYFUNCTION("""COMPUTED_VALUE"""),6513.0)</f>
        <v>6513</v>
      </c>
      <c r="AX346" s="65"/>
      <c r="AY346" s="65" t="str">
        <f>IFERROR(__xludf.DUMMYFUNCTION("""COMPUTED_VALUE"""),"05/03/2026")</f>
        <v>05/03/2026</v>
      </c>
      <c r="AZ346" s="65"/>
      <c r="BA346" s="65"/>
    </row>
    <row r="347">
      <c r="A347" s="65" t="str">
        <f>IFERROR(__xludf.DUMMYFUNCTION("""COMPUTED_VALUE"""),"27-03-2026")</f>
        <v>27-03-2026</v>
      </c>
      <c r="B347" s="65">
        <f>IFERROR(__xludf.DUMMYFUNCTION("""COMPUTED_VALUE"""),4677031.0)</f>
        <v>4677031</v>
      </c>
      <c r="C347" s="65" t="str">
        <f>IFERROR(__xludf.DUMMYFUNCTION("""COMPUTED_VALUE"""),"19:06")</f>
        <v>19:06</v>
      </c>
      <c r="D347" s="65" t="str">
        <f>IFERROR(__xludf.DUMMYFUNCTION("""COMPUTED_VALUE"""),"02-03-2026")</f>
        <v>02-03-2026</v>
      </c>
      <c r="E347" s="65" t="str">
        <f>IFERROR(__xludf.DUMMYFUNCTION("""COMPUTED_VALUE"""),"Hector Lenin Gallardo Robalino")</f>
        <v>Hector Lenin Gallardo Robalino</v>
      </c>
      <c r="F347" s="65" t="str">
        <f>IFERROR(__xludf.DUMMYFUNCTION("""COMPUTED_VALUE"""),"968389959")</f>
        <v>968389959</v>
      </c>
      <c r="G347" s="65" t="str">
        <f>IFERROR(__xludf.DUMMYFUNCTION("""COMPUTED_VALUE"""),"hectorgallardo1974@yahoo.com")</f>
        <v>hectorgallardo1974@yahoo.com</v>
      </c>
      <c r="H347" s="65"/>
      <c r="I347" s="65"/>
      <c r="J347" s="65"/>
      <c r="K347" s="65" t="str">
        <f>IFERROR(__xludf.DUMMYFUNCTION("""COMPUTED_VALUE"""),"PENDIENTE CONFIRMACION")</f>
        <v>PENDIENTE CONFIRMACION</v>
      </c>
      <c r="L347" s="65" t="str">
        <f>IFERROR(__xludf.DUMMYFUNCTION("""COMPUTED_VALUE"""),"CON RECAUDO")</f>
        <v>CON RECAUDO</v>
      </c>
      <c r="M347" s="65" t="str">
        <f>IFERROR(__xludf.DUMMYFUNCTION("""COMPUTED_VALUE"""),"PICHINCHA")</f>
        <v>PICHINCHA</v>
      </c>
      <c r="N347" s="65" t="str">
        <f>IFERROR(__xludf.DUMMYFUNCTION("""COMPUTED_VALUE"""),"QUITO")</f>
        <v>QUITO</v>
      </c>
      <c r="O347" s="65" t="str">
        <f>IFERROR(__xludf.DUMMYFUNCTION("""COMPUTED_VALUE"""),"Diego Lovato y Arenilla S10-333 la magdalena -")</f>
        <v>Diego Lovato y Arenilla S10-333 la magdalena -</v>
      </c>
      <c r="P347" s="65"/>
      <c r="Q347" s="65" t="str">
        <f>IFERROR(__xludf.DUMMYFUNCTION("""COMPUTED_VALUE"""),"GINTRACOM")</f>
        <v>GINTRACOM</v>
      </c>
      <c r="R347" s="65">
        <f>IFERROR(__xludf.DUMMYFUNCTION("""COMPUTED_VALUE"""),22.0)</f>
        <v>22</v>
      </c>
      <c r="S347" s="65"/>
      <c r="T347" s="65">
        <f>IFERROR(__xludf.DUMMYFUNCTION("""COMPUTED_VALUE"""),4.23)</f>
        <v>4.23</v>
      </c>
      <c r="U347" s="65">
        <f>IFERROR(__xludf.DUMMYFUNCTION("""COMPUTED_VALUE"""),0.0)</f>
        <v>0</v>
      </c>
      <c r="V347" s="65">
        <f>IFERROR(__xludf.DUMMYFUNCTION("""COMPUTED_VALUE"""),0.0)</f>
        <v>0</v>
      </c>
      <c r="W347" s="65">
        <f>IFERROR(__xludf.DUMMYFUNCTION("""COMPUTED_VALUE"""),0.0)</f>
        <v>0</v>
      </c>
      <c r="X347" s="65">
        <f>IFERROR(__xludf.DUMMYFUNCTION("""COMPUTED_VALUE"""),5.0)</f>
        <v>5</v>
      </c>
      <c r="Y347" s="65">
        <f>IFERROR(__xludf.DUMMYFUNCTION("""COMPUTED_VALUE"""),10.0)</f>
        <v>10</v>
      </c>
      <c r="Z347" s="65">
        <f>IFERROR(__xludf.DUMMYFUNCTION("""COMPUTED_VALUE"""),130492.0)</f>
        <v>130492</v>
      </c>
      <c r="AA347" s="65" t="str">
        <f>IFERROR(__xludf.DUMMYFUNCTION("""COMPUTED_VALUE"""),"IMX-00006")</f>
        <v>IMX-00006</v>
      </c>
      <c r="AB347" s="65"/>
      <c r="AC347" s="65" t="str">
        <f>IFERROR(__xludf.DUMMYFUNCTION("""COMPUTED_VALUE"""),"Receptor Bluetooth")</f>
        <v>Receptor Bluetooth</v>
      </c>
      <c r="AD347" s="65"/>
      <c r="AE347" s="65">
        <f>IFERROR(__xludf.DUMMYFUNCTION("""COMPUTED_VALUE"""),2.0)</f>
        <v>2</v>
      </c>
      <c r="AF347" s="65"/>
      <c r="AG347" s="65"/>
      <c r="AH347" s="65"/>
      <c r="AI347" s="65"/>
      <c r="AJ347" s="65"/>
      <c r="AK347" s="65"/>
      <c r="AL347" s="65"/>
      <c r="AM347" s="65"/>
      <c r="AN347" s="65"/>
      <c r="AO347" s="65"/>
      <c r="AP347" s="65"/>
      <c r="AQ347" s="65"/>
      <c r="AR347" s="65"/>
      <c r="AS347" s="65"/>
      <c r="AT347" s="65" t="str">
        <f>IFERROR(__xludf.DUMMYFUNCTION("""COMPUTED_VALUE"""),"SHOPIFY")</f>
        <v>SHOPIFY</v>
      </c>
      <c r="AU347" s="65" t="str">
        <f>IFERROR(__xludf.DUMMYFUNCTION("""COMPUTED_VALUE"""),"IMPORTEX EC")</f>
        <v>IMPORTEX EC</v>
      </c>
      <c r="AV347" s="65" t="str">
        <f>IFERROR(__xludf.DUMMYFUNCTION("""COMPUTED_VALUE"""),"6552980160556")</f>
        <v>6552980160556</v>
      </c>
      <c r="AW347" s="65">
        <f>IFERROR(__xludf.DUMMYFUNCTION("""COMPUTED_VALUE"""),6512.0)</f>
        <v>6512</v>
      </c>
      <c r="AX347" s="65"/>
      <c r="AY347" s="65"/>
      <c r="AZ347" s="65"/>
      <c r="BA347" s="65"/>
    </row>
    <row r="348">
      <c r="A348" s="65" t="str">
        <f>IFERROR(__xludf.DUMMYFUNCTION("""COMPUTED_VALUE"""),"27-03-2026")</f>
        <v>27-03-2026</v>
      </c>
      <c r="B348" s="65">
        <f>IFERROR(__xludf.DUMMYFUNCTION("""COMPUTED_VALUE"""),4676950.0)</f>
        <v>4676950</v>
      </c>
      <c r="C348" s="65" t="str">
        <f>IFERROR(__xludf.DUMMYFUNCTION("""COMPUTED_VALUE"""),"18:53")</f>
        <v>18:53</v>
      </c>
      <c r="D348" s="65" t="str">
        <f>IFERROR(__xludf.DUMMYFUNCTION("""COMPUTED_VALUE"""),"02-03-2026")</f>
        <v>02-03-2026</v>
      </c>
      <c r="E348" s="65" t="str">
        <f>IFERROR(__xludf.DUMMYFUNCTION("""COMPUTED_VALUE"""),"Jefferson Ismael Tello Govea")</f>
        <v>Jefferson Ismael Tello Govea</v>
      </c>
      <c r="F348" s="65" t="str">
        <f>IFERROR(__xludf.DUMMYFUNCTION("""COMPUTED_VALUE"""),"985725019")</f>
        <v>985725019</v>
      </c>
      <c r="G348" s="65"/>
      <c r="H348" s="65"/>
      <c r="I348" s="65"/>
      <c r="J348" s="65" t="str">
        <f>IFERROR(__xludf.DUMMYFUNCTION("""COMPUTED_VALUE"""),"186609024")</f>
        <v>186609024</v>
      </c>
      <c r="K348" s="65" t="str">
        <f>IFERROR(__xludf.DUMMYFUNCTION("""COMPUTED_VALUE"""),"ENTREGADO")</f>
        <v>ENTREGADO</v>
      </c>
      <c r="L348" s="65" t="str">
        <f>IFERROR(__xludf.DUMMYFUNCTION("""COMPUTED_VALUE"""),"CON RECAUDO")</f>
        <v>CON RECAUDO</v>
      </c>
      <c r="M348" s="65" t="str">
        <f>IFERROR(__xludf.DUMMYFUNCTION("""COMPUTED_VALUE"""),"ESMERALDAS")</f>
        <v>ESMERALDAS</v>
      </c>
      <c r="N348" s="65" t="str">
        <f>IFERROR(__xludf.DUMMYFUNCTION("""COMPUTED_VALUE"""),"ESMERALDAS")</f>
        <v>ESMERALDAS</v>
      </c>
      <c r="O348" s="65" t="str">
        <f>IFERROR(__xludf.DUMMYFUNCTION("""COMPUTED_VALUE"""),"RETIRA EN CS : RIO VERDE_PRINCIPAL - PROGRESO N35 SL 4 Y 10 DE AGOSTO")</f>
        <v>RETIRA EN CS : RIO VERDE_PRINCIPAL - PROGRESO N35 SL 4 Y 10 DE AGOSTO</v>
      </c>
      <c r="P348" s="65"/>
      <c r="Q348" s="65" t="str">
        <f>IFERROR(__xludf.DUMMYFUNCTION("""COMPUTED_VALUE"""),"SERVIENTREGA")</f>
        <v>SERVIENTREGA</v>
      </c>
      <c r="R348" s="65">
        <f>IFERROR(__xludf.DUMMYFUNCTION("""COMPUTED_VALUE"""),24.2)</f>
        <v>24.2</v>
      </c>
      <c r="S348" s="65">
        <f>IFERROR(__xludf.DUMMYFUNCTION("""COMPUTED_VALUE"""),8.17)</f>
        <v>8.17</v>
      </c>
      <c r="T348" s="65">
        <f>IFERROR(__xludf.DUMMYFUNCTION("""COMPUTED_VALUE"""),6.03)</f>
        <v>6.03</v>
      </c>
      <c r="U348" s="65">
        <f>IFERROR(__xludf.DUMMYFUNCTION("""COMPUTED_VALUE"""),0.0)</f>
        <v>0</v>
      </c>
      <c r="V348" s="65">
        <f>IFERROR(__xludf.DUMMYFUNCTION("""COMPUTED_VALUE"""),0.0)</f>
        <v>0</v>
      </c>
      <c r="W348" s="65">
        <f>IFERROR(__xludf.DUMMYFUNCTION("""COMPUTED_VALUE"""),0.0)</f>
        <v>0</v>
      </c>
      <c r="X348" s="65">
        <f>IFERROR(__xludf.DUMMYFUNCTION("""COMPUTED_VALUE"""),5.0)</f>
        <v>5</v>
      </c>
      <c r="Y348" s="65">
        <f>IFERROR(__xludf.DUMMYFUNCTION("""COMPUTED_VALUE"""),10.0)</f>
        <v>10</v>
      </c>
      <c r="Z348" s="65">
        <f>IFERROR(__xludf.DUMMYFUNCTION("""COMPUTED_VALUE"""),130492.0)</f>
        <v>130492</v>
      </c>
      <c r="AA348" s="65" t="str">
        <f>IFERROR(__xludf.DUMMYFUNCTION("""COMPUTED_VALUE"""),"IMX-00006")</f>
        <v>IMX-00006</v>
      </c>
      <c r="AB348" s="65"/>
      <c r="AC348" s="65" t="str">
        <f>IFERROR(__xludf.DUMMYFUNCTION("""COMPUTED_VALUE"""),"Receptor Bluetooth")</f>
        <v>Receptor Bluetooth</v>
      </c>
      <c r="AD348" s="65"/>
      <c r="AE348" s="65">
        <f>IFERROR(__xludf.DUMMYFUNCTION("""COMPUTED_VALUE"""),2.0)</f>
        <v>2</v>
      </c>
      <c r="AF348" s="65"/>
      <c r="AG348" s="65"/>
      <c r="AH348" s="65"/>
      <c r="AI348" s="65"/>
      <c r="AJ348" s="65"/>
      <c r="AK348" s="65"/>
      <c r="AL348" s="65"/>
      <c r="AM348" s="65"/>
      <c r="AN348" s="65" t="str">
        <f>IFERROR(__xludf.DUMMYFUNCTION("""COMPUTED_VALUE"""),"09:47")</f>
        <v>09:47</v>
      </c>
      <c r="AO348" s="65" t="str">
        <f>IFERROR(__xludf.DUMMYFUNCTION("""COMPUTED_VALUE"""),"26-03-2026")</f>
        <v>26-03-2026</v>
      </c>
      <c r="AP348" s="65" t="str">
        <f>IFERROR(__xludf.DUMMYFUNCTION("""COMPUTED_VALUE"""),"ENTREGA DIGITALIZADA EN CENTRO LOGISTICO")</f>
        <v>ENTREGA DIGITALIZADA EN CENTRO LOGISTICO</v>
      </c>
      <c r="AQ348" s="65" t="str">
        <f>IFERROR(__xludf.DUMMYFUNCTION("""COMPUTED_VALUE"""),"JEFFERSON TELLO")</f>
        <v>JEFFERSON TELLO</v>
      </c>
      <c r="AR348" s="65"/>
      <c r="AS348" s="65"/>
      <c r="AT348" s="65" t="str">
        <f>IFERROR(__xludf.DUMMYFUNCTION("""COMPUTED_VALUE"""),"CHATEA PRO")</f>
        <v>CHATEA PRO</v>
      </c>
      <c r="AU348" s="65" t="str">
        <f>IFERROR(__xludf.DUMMYFUNCTION("""COMPUTED_VALUE"""),"CHATEA PRO")</f>
        <v>CHATEA PRO</v>
      </c>
      <c r="AV348" s="65"/>
      <c r="AW348" s="65"/>
      <c r="AX348" s="65"/>
      <c r="AY348" s="65" t="str">
        <f>IFERROR(__xludf.DUMMYFUNCTION("""COMPUTED_VALUE"""),"03/03/2026")</f>
        <v>03/03/2026</v>
      </c>
      <c r="AZ348" s="65"/>
      <c r="BA348" s="65"/>
    </row>
    <row r="349">
      <c r="A349" s="65" t="str">
        <f>IFERROR(__xludf.DUMMYFUNCTION("""COMPUTED_VALUE"""),"27-03-2026")</f>
        <v>27-03-2026</v>
      </c>
      <c r="B349" s="65">
        <f>IFERROR(__xludf.DUMMYFUNCTION("""COMPUTED_VALUE"""),4676556.0)</f>
        <v>4676556</v>
      </c>
      <c r="C349" s="65" t="str">
        <f>IFERROR(__xludf.DUMMYFUNCTION("""COMPUTED_VALUE"""),"17:57")</f>
        <v>17:57</v>
      </c>
      <c r="D349" s="65" t="str">
        <f>IFERROR(__xludf.DUMMYFUNCTION("""COMPUTED_VALUE"""),"02-03-2026")</f>
        <v>02-03-2026</v>
      </c>
      <c r="E349" s="65" t="str">
        <f>IFERROR(__xludf.DUMMYFUNCTION("""COMPUTED_VALUE"""),"Jhon Loor")</f>
        <v>Jhon Loor</v>
      </c>
      <c r="F349" s="65" t="str">
        <f>IFERROR(__xludf.DUMMYFUNCTION("""COMPUTED_VALUE"""),"939165952")</f>
        <v>939165952</v>
      </c>
      <c r="G349" s="65" t="str">
        <f>IFERROR(__xludf.DUMMYFUNCTION("""COMPUTED_VALUE"""),"jhonloor008@gmail.com")</f>
        <v>jhonloor008@gmail.com</v>
      </c>
      <c r="H349" s="65"/>
      <c r="I349" s="65"/>
      <c r="J349" s="65" t="str">
        <f>IFERROR(__xludf.DUMMYFUNCTION("""COMPUTED_VALUE"""),"D001380067")</f>
        <v>D001380067</v>
      </c>
      <c r="K349" s="65" t="str">
        <f>IFERROR(__xludf.DUMMYFUNCTION("""COMPUTED_VALUE"""),"ENTREGADO")</f>
        <v>ENTREGADO</v>
      </c>
      <c r="L349" s="65" t="str">
        <f>IFERROR(__xludf.DUMMYFUNCTION("""COMPUTED_VALUE"""),"CON RECAUDO")</f>
        <v>CON RECAUDO</v>
      </c>
      <c r="M349" s="65" t="str">
        <f>IFERROR(__xludf.DUMMYFUNCTION("""COMPUTED_VALUE"""),"GUAYAS")</f>
        <v>GUAYAS</v>
      </c>
      <c r="N349" s="65" t="str">
        <f>IFERROR(__xludf.DUMMYFUNCTION("""COMPUTED_VALUE"""),"GUAYAQUIL")</f>
        <v>GUAYAQUIL</v>
      </c>
      <c r="O349" s="65" t="str">
        <f>IFERROR(__xludf.DUMMYFUNCTION("""COMPUTED_VALUE"""),"BASTION POPULAR bloque 1b Mz 529 solar 32 entrando por el tía de peca por el parque mercado viejo -")</f>
        <v>BASTION POPULAR bloque 1b Mz 529 solar 32 entrando por el tía de peca por el parque mercado viejo -</v>
      </c>
      <c r="P349" s="65"/>
      <c r="Q349" s="65" t="str">
        <f>IFERROR(__xludf.DUMMYFUNCTION("""COMPUTED_VALUE"""),"GINTRACOM")</f>
        <v>GINTRACOM</v>
      </c>
      <c r="R349" s="65">
        <f>IFERROR(__xludf.DUMMYFUNCTION("""COMPUTED_VALUE"""),22.0)</f>
        <v>22</v>
      </c>
      <c r="S349" s="65">
        <f>IFERROR(__xludf.DUMMYFUNCTION("""COMPUTED_VALUE"""),8.66)</f>
        <v>8.66</v>
      </c>
      <c r="T349" s="65">
        <f>IFERROR(__xludf.DUMMYFUNCTION("""COMPUTED_VALUE"""),5.84)</f>
        <v>5.84</v>
      </c>
      <c r="U349" s="65">
        <f>IFERROR(__xludf.DUMMYFUNCTION("""COMPUTED_VALUE"""),0.0)</f>
        <v>0</v>
      </c>
      <c r="V349" s="65">
        <f>IFERROR(__xludf.DUMMYFUNCTION("""COMPUTED_VALUE"""),0.0)</f>
        <v>0</v>
      </c>
      <c r="W349" s="65">
        <f>IFERROR(__xludf.DUMMYFUNCTION("""COMPUTED_VALUE"""),0.0)</f>
        <v>0</v>
      </c>
      <c r="X349" s="65">
        <f>IFERROR(__xludf.DUMMYFUNCTION("""COMPUTED_VALUE"""),3.75)</f>
        <v>3.75</v>
      </c>
      <c r="Y349" s="65">
        <f>IFERROR(__xludf.DUMMYFUNCTION("""COMPUTED_VALUE"""),7.5)</f>
        <v>7.5</v>
      </c>
      <c r="Z349" s="65">
        <f>IFERROR(__xludf.DUMMYFUNCTION("""COMPUTED_VALUE"""),113116.0)</f>
        <v>113116</v>
      </c>
      <c r="AA349" s="65" t="str">
        <f>IFERROR(__xludf.DUMMYFUNCTION("""COMPUTED_VALUE"""),"IM-TAZAKI")</f>
        <v>IM-TAZAKI</v>
      </c>
      <c r="AB349" s="65"/>
      <c r="AC349" s="65" t="str">
        <f>IFERROR(__xludf.DUMMYFUNCTION("""COMPUTED_VALUE"""),"Cuchillo tazaki")</f>
        <v>Cuchillo tazaki</v>
      </c>
      <c r="AD349" s="65"/>
      <c r="AE349" s="65">
        <f>IFERROR(__xludf.DUMMYFUNCTION("""COMPUTED_VALUE"""),2.0)</f>
        <v>2</v>
      </c>
      <c r="AF349" s="65"/>
      <c r="AG349" s="65"/>
      <c r="AH349" s="65"/>
      <c r="AI349" s="65"/>
      <c r="AJ349" s="65"/>
      <c r="AK349" s="65"/>
      <c r="AL349" s="65"/>
      <c r="AM349" s="65"/>
      <c r="AN349" s="65" t="str">
        <f>IFERROR(__xludf.DUMMYFUNCTION("""COMPUTED_VALUE"""),"13:48")</f>
        <v>13:48</v>
      </c>
      <c r="AO349" s="65" t="str">
        <f>IFERROR(__xludf.DUMMYFUNCTION("""COMPUTED_VALUE"""),"06-03-2026")</f>
        <v>06-03-2026</v>
      </c>
      <c r="AP349" s="65" t="str">
        <f>IFERROR(__xludf.DUMMYFUNCTION("""COMPUTED_VALUE"""),"ENTREGADA GINTRACOM")</f>
        <v>ENTREGADA GINTRACOM</v>
      </c>
      <c r="AQ349" s="65" t="str">
        <f>IFERROR(__xludf.DUMMYFUNCTION("""COMPUTED_VALUE"""),"ENTREGADA GINTRACOM")</f>
        <v>ENTREGADA GINTRACOM</v>
      </c>
      <c r="AR349" s="65"/>
      <c r="AS349" s="65"/>
      <c r="AT349" s="65" t="str">
        <f>IFERROR(__xludf.DUMMYFUNCTION("""COMPUTED_VALUE"""),"SHOPIFY")</f>
        <v>SHOPIFY</v>
      </c>
      <c r="AU349" s="65" t="str">
        <f>IFERROR(__xludf.DUMMYFUNCTION("""COMPUTED_VALUE"""),"IMPORTEX EC")</f>
        <v>IMPORTEX EC</v>
      </c>
      <c r="AV349" s="65" t="str">
        <f>IFERROR(__xludf.DUMMYFUNCTION("""COMPUTED_VALUE"""),"6552870617132")</f>
        <v>6552870617132</v>
      </c>
      <c r="AW349" s="65">
        <f>IFERROR(__xludf.DUMMYFUNCTION("""COMPUTED_VALUE"""),6511.0)</f>
        <v>6511</v>
      </c>
      <c r="AX349" s="65"/>
      <c r="AY349" s="65" t="str">
        <f>IFERROR(__xludf.DUMMYFUNCTION("""COMPUTED_VALUE"""),"04/03/2026")</f>
        <v>04/03/2026</v>
      </c>
      <c r="AZ349" s="65"/>
      <c r="BA349" s="65"/>
    </row>
    <row r="350">
      <c r="A350" s="65" t="str">
        <f>IFERROR(__xludf.DUMMYFUNCTION("""COMPUTED_VALUE"""),"27-03-2026")</f>
        <v>27-03-2026</v>
      </c>
      <c r="B350" s="65">
        <f>IFERROR(__xludf.DUMMYFUNCTION("""COMPUTED_VALUE"""),4676341.0)</f>
        <v>4676341</v>
      </c>
      <c r="C350" s="65" t="str">
        <f>IFERROR(__xludf.DUMMYFUNCTION("""COMPUTED_VALUE"""),"17:30")</f>
        <v>17:30</v>
      </c>
      <c r="D350" s="65" t="str">
        <f>IFERROR(__xludf.DUMMYFUNCTION("""COMPUTED_VALUE"""),"02-03-2026")</f>
        <v>02-03-2026</v>
      </c>
      <c r="E350" s="65" t="str">
        <f>IFERROR(__xludf.DUMMYFUNCTION("""COMPUTED_VALUE"""),"Mario Segura")</f>
        <v>Mario Segura</v>
      </c>
      <c r="F350" s="65" t="str">
        <f>IFERROR(__xludf.DUMMYFUNCTION("""COMPUTED_VALUE"""),"988728099")</f>
        <v>988728099</v>
      </c>
      <c r="G350" s="65" t="str">
        <f>IFERROR(__xludf.DUMMYFUNCTION("""COMPUTED_VALUE"""),"mayravillamar00@gmail.com")</f>
        <v>mayravillamar00@gmail.com</v>
      </c>
      <c r="H350" s="65"/>
      <c r="I350" s="65"/>
      <c r="J350" s="65"/>
      <c r="K350" s="65" t="str">
        <f>IFERROR(__xludf.DUMMYFUNCTION("""COMPUTED_VALUE"""),"PENDIENTE CONFIRMACION")</f>
        <v>PENDIENTE CONFIRMACION</v>
      </c>
      <c r="L350" s="65" t="str">
        <f>IFERROR(__xludf.DUMMYFUNCTION("""COMPUTED_VALUE"""),"CON RECAUDO")</f>
        <v>CON RECAUDO</v>
      </c>
      <c r="M350" s="65" t="str">
        <f>IFERROR(__xludf.DUMMYFUNCTION("""COMPUTED_VALUE"""),"LOS RIOS")</f>
        <v>LOS RIOS</v>
      </c>
      <c r="N350" s="65" t="str">
        <f>IFERROR(__xludf.DUMMYFUNCTION("""COMPUTED_VALUE"""),"CATARAMA")</f>
        <v>CATARAMA</v>
      </c>
      <c r="O350" s="65" t="str">
        <f>IFERROR(__xludf.DUMMYFUNCTION("""COMPUTED_VALUE"""),"Lizardo García y Concepción Landívar San Vicente -")</f>
        <v>Lizardo García y Concepción Landívar San Vicente -</v>
      </c>
      <c r="P350" s="65"/>
      <c r="Q350" s="65" t="str">
        <f>IFERROR(__xludf.DUMMYFUNCTION("""COMPUTED_VALUE"""),"LAARCOURIER")</f>
        <v>LAARCOURIER</v>
      </c>
      <c r="R350" s="65">
        <f>IFERROR(__xludf.DUMMYFUNCTION("""COMPUTED_VALUE"""),30.0)</f>
        <v>30</v>
      </c>
      <c r="S350" s="65"/>
      <c r="T350" s="65">
        <f>IFERROR(__xludf.DUMMYFUNCTION("""COMPUTED_VALUE"""),7.48)</f>
        <v>7.48</v>
      </c>
      <c r="U350" s="65">
        <f>IFERROR(__xludf.DUMMYFUNCTION("""COMPUTED_VALUE"""),0.0)</f>
        <v>0</v>
      </c>
      <c r="V350" s="65">
        <f>IFERROR(__xludf.DUMMYFUNCTION("""COMPUTED_VALUE"""),0.0)</f>
        <v>0</v>
      </c>
      <c r="W350" s="65">
        <f>IFERROR(__xludf.DUMMYFUNCTION("""COMPUTED_VALUE"""),0.0)</f>
        <v>0</v>
      </c>
      <c r="X350" s="65">
        <f>IFERROR(__xludf.DUMMYFUNCTION("""COMPUTED_VALUE"""),2.35)</f>
        <v>2.35</v>
      </c>
      <c r="Y350" s="65">
        <f>IFERROR(__xludf.DUMMYFUNCTION("""COMPUTED_VALUE"""),7.05)</f>
        <v>7.05</v>
      </c>
      <c r="Z350" s="65">
        <f>IFERROR(__xludf.DUMMYFUNCTION("""COMPUTED_VALUE"""),116679.0)</f>
        <v>116679</v>
      </c>
      <c r="AA350" s="65" t="str">
        <f>IFERROR(__xludf.DUMMYFUNCTION("""COMPUTED_VALUE"""),"AMC-2738")</f>
        <v>AMC-2738</v>
      </c>
      <c r="AB350" s="65"/>
      <c r="AC350" s="65" t="str">
        <f>IFERROR(__xludf.DUMMYFUNCTION("""COMPUTED_VALUE"""),"ESPONJA ANTILLUVIA DE PARABRISAS")</f>
        <v>ESPONJA ANTILLUVIA DE PARABRISAS</v>
      </c>
      <c r="AD350" s="65"/>
      <c r="AE350" s="65">
        <f>IFERROR(__xludf.DUMMYFUNCTION("""COMPUTED_VALUE"""),3.0)</f>
        <v>3</v>
      </c>
      <c r="AF350" s="65"/>
      <c r="AG350" s="65"/>
      <c r="AH350" s="65"/>
      <c r="AI350" s="65"/>
      <c r="AJ350" s="65"/>
      <c r="AK350" s="65"/>
      <c r="AL350" s="65"/>
      <c r="AM350" s="65"/>
      <c r="AN350" s="65"/>
      <c r="AO350" s="65"/>
      <c r="AP350" s="65"/>
      <c r="AQ350" s="65"/>
      <c r="AR350" s="65"/>
      <c r="AS350" s="65"/>
      <c r="AT350" s="65" t="str">
        <f>IFERROR(__xludf.DUMMYFUNCTION("""COMPUTED_VALUE"""),"SHOPIFY")</f>
        <v>SHOPIFY</v>
      </c>
      <c r="AU350" s="65" t="str">
        <f>IFERROR(__xludf.DUMMYFUNCTION("""COMPUTED_VALUE"""),"IMPORTEX EC")</f>
        <v>IMPORTEX EC</v>
      </c>
      <c r="AV350" s="65" t="str">
        <f>IFERROR(__xludf.DUMMYFUNCTION("""COMPUTED_VALUE"""),"6552824610860")</f>
        <v>6552824610860</v>
      </c>
      <c r="AW350" s="65">
        <f>IFERROR(__xludf.DUMMYFUNCTION("""COMPUTED_VALUE"""),6510.0)</f>
        <v>6510</v>
      </c>
      <c r="AX350" s="65"/>
      <c r="AY350" s="65"/>
      <c r="AZ350" s="65"/>
      <c r="BA350" s="65"/>
    </row>
    <row r="351">
      <c r="A351" s="65" t="str">
        <f>IFERROR(__xludf.DUMMYFUNCTION("""COMPUTED_VALUE"""),"27-03-2026")</f>
        <v>27-03-2026</v>
      </c>
      <c r="B351" s="65">
        <f>IFERROR(__xludf.DUMMYFUNCTION("""COMPUTED_VALUE"""),4675897.0)</f>
        <v>4675897</v>
      </c>
      <c r="C351" s="65" t="str">
        <f>IFERROR(__xludf.DUMMYFUNCTION("""COMPUTED_VALUE"""),"16:49")</f>
        <v>16:49</v>
      </c>
      <c r="D351" s="65" t="str">
        <f>IFERROR(__xludf.DUMMYFUNCTION("""COMPUTED_VALUE"""),"02-03-2026")</f>
        <v>02-03-2026</v>
      </c>
      <c r="E351" s="65" t="str">
        <f>IFERROR(__xludf.DUMMYFUNCTION("""COMPUTED_VALUE"""),"Fanny Castillo")</f>
        <v>Fanny Castillo</v>
      </c>
      <c r="F351" s="65" t="str">
        <f>IFERROR(__xludf.DUMMYFUNCTION("""COMPUTED_VALUE"""),"992084824")</f>
        <v>992084824</v>
      </c>
      <c r="G351" s="65"/>
      <c r="H351" s="65"/>
      <c r="I351" s="65"/>
      <c r="J351" s="65" t="str">
        <f>IFERROR(__xludf.DUMMYFUNCTION("""COMPUTED_VALUE"""),"186611272")</f>
        <v>186611272</v>
      </c>
      <c r="K351" s="65" t="str">
        <f>IFERROR(__xludf.DUMMYFUNCTION("""COMPUTED_VALUE"""),"ENTREGADO")</f>
        <v>ENTREGADO</v>
      </c>
      <c r="L351" s="65" t="str">
        <f>IFERROR(__xludf.DUMMYFUNCTION("""COMPUTED_VALUE"""),"CON RECAUDO")</f>
        <v>CON RECAUDO</v>
      </c>
      <c r="M351" s="65" t="str">
        <f>IFERROR(__xludf.DUMMYFUNCTION("""COMPUTED_VALUE"""),"ORELLANA")</f>
        <v>ORELLANA</v>
      </c>
      <c r="N351" s="65" t="str">
        <f>IFERROR(__xludf.DUMMYFUNCTION("""COMPUTED_VALUE"""),"EL COCA")</f>
        <v>EL COCA</v>
      </c>
      <c r="O351" s="65" t="str">
        <f>IFERROR(__xludf.DUMMYFUNCTION("""COMPUTED_VALUE"""),"RETIAR EN CS : JOYA DE LOS SACHAS_MARISCAL - AV MARISCAL SUCRE 3403 Y MONSENOR LABAKA")</f>
        <v>RETIAR EN CS : JOYA DE LOS SACHAS_MARISCAL - AV MARISCAL SUCRE 3403 Y MONSENOR LABAKA</v>
      </c>
      <c r="P351" s="65"/>
      <c r="Q351" s="65" t="str">
        <f>IFERROR(__xludf.DUMMYFUNCTION("""COMPUTED_VALUE"""),"SERVIENTREGA")</f>
        <v>SERVIENTREGA</v>
      </c>
      <c r="R351" s="65">
        <f>IFERROR(__xludf.DUMMYFUNCTION("""COMPUTED_VALUE"""),22.0)</f>
        <v>22</v>
      </c>
      <c r="S351" s="65">
        <f>IFERROR(__xludf.DUMMYFUNCTION("""COMPUTED_VALUE"""),6.8)</f>
        <v>6.8</v>
      </c>
      <c r="T351" s="65">
        <f>IFERROR(__xludf.DUMMYFUNCTION("""COMPUTED_VALUE"""),7.7)</f>
        <v>7.7</v>
      </c>
      <c r="U351" s="65">
        <f>IFERROR(__xludf.DUMMYFUNCTION("""COMPUTED_VALUE"""),0.0)</f>
        <v>0</v>
      </c>
      <c r="V351" s="65">
        <f>IFERROR(__xludf.DUMMYFUNCTION("""COMPUTED_VALUE"""),0.0)</f>
        <v>0</v>
      </c>
      <c r="W351" s="65">
        <f>IFERROR(__xludf.DUMMYFUNCTION("""COMPUTED_VALUE"""),0.0)</f>
        <v>0</v>
      </c>
      <c r="X351" s="65">
        <f>IFERROR(__xludf.DUMMYFUNCTION("""COMPUTED_VALUE"""),3.75)</f>
        <v>3.75</v>
      </c>
      <c r="Y351" s="65">
        <f>IFERROR(__xludf.DUMMYFUNCTION("""COMPUTED_VALUE"""),7.5)</f>
        <v>7.5</v>
      </c>
      <c r="Z351" s="65">
        <f>IFERROR(__xludf.DUMMYFUNCTION("""COMPUTED_VALUE"""),113116.0)</f>
        <v>113116</v>
      </c>
      <c r="AA351" s="65" t="str">
        <f>IFERROR(__xludf.DUMMYFUNCTION("""COMPUTED_VALUE"""),"IM-TAZAKI")</f>
        <v>IM-TAZAKI</v>
      </c>
      <c r="AB351" s="65"/>
      <c r="AC351" s="65" t="str">
        <f>IFERROR(__xludf.DUMMYFUNCTION("""COMPUTED_VALUE"""),"Cuchillo tazaki")</f>
        <v>Cuchillo tazaki</v>
      </c>
      <c r="AD351" s="65"/>
      <c r="AE351" s="65">
        <f>IFERROR(__xludf.DUMMYFUNCTION("""COMPUTED_VALUE"""),2.0)</f>
        <v>2</v>
      </c>
      <c r="AF351" s="65"/>
      <c r="AG351" s="65"/>
      <c r="AH351" s="65"/>
      <c r="AI351" s="65"/>
      <c r="AJ351" s="65"/>
      <c r="AK351" s="65"/>
      <c r="AL351" s="65"/>
      <c r="AM351" s="65"/>
      <c r="AN351" s="65" t="str">
        <f>IFERROR(__xludf.DUMMYFUNCTION("""COMPUTED_VALUE"""),"17:04")</f>
        <v>17:04</v>
      </c>
      <c r="AO351" s="65" t="str">
        <f>IFERROR(__xludf.DUMMYFUNCTION("""COMPUTED_VALUE"""),"24-03-2026")</f>
        <v>24-03-2026</v>
      </c>
      <c r="AP351" s="65" t="str">
        <f>IFERROR(__xludf.DUMMYFUNCTION("""COMPUTED_VALUE"""),"ENTREGA DIGITALIZADA EN CENTRO LOGISTICO")</f>
        <v>ENTREGA DIGITALIZADA EN CENTRO LOGISTICO</v>
      </c>
      <c r="AQ351" s="65" t="str">
        <f>IFERROR(__xludf.DUMMYFUNCTION("""COMPUTED_VALUE"""),"CAMILO VELASCO")</f>
        <v>CAMILO VELASCO</v>
      </c>
      <c r="AR351" s="65"/>
      <c r="AS351" s="65"/>
      <c r="AT351" s="65" t="str">
        <f>IFERROR(__xludf.DUMMYFUNCTION("""COMPUTED_VALUE"""),"CHATEA PRO")</f>
        <v>CHATEA PRO</v>
      </c>
      <c r="AU351" s="65" t="str">
        <f>IFERROR(__xludf.DUMMYFUNCTION("""COMPUTED_VALUE"""),"CHATEA PRO")</f>
        <v>CHATEA PRO</v>
      </c>
      <c r="AV351" s="65"/>
      <c r="AW351" s="65"/>
      <c r="AX351" s="65"/>
      <c r="AY351" s="65" t="str">
        <f>IFERROR(__xludf.DUMMYFUNCTION("""COMPUTED_VALUE"""),"03/03/2026")</f>
        <v>03/03/2026</v>
      </c>
      <c r="AZ351" s="65"/>
      <c r="BA351" s="65"/>
    </row>
    <row r="352">
      <c r="A352" s="65" t="str">
        <f>IFERROR(__xludf.DUMMYFUNCTION("""COMPUTED_VALUE"""),"27-03-2026")</f>
        <v>27-03-2026</v>
      </c>
      <c r="B352" s="65">
        <f>IFERROR(__xludf.DUMMYFUNCTION("""COMPUTED_VALUE"""),4675769.0)</f>
        <v>4675769</v>
      </c>
      <c r="C352" s="65" t="str">
        <f>IFERROR(__xludf.DUMMYFUNCTION("""COMPUTED_VALUE"""),"16:38")</f>
        <v>16:38</v>
      </c>
      <c r="D352" s="65" t="str">
        <f>IFERROR(__xludf.DUMMYFUNCTION("""COMPUTED_VALUE"""),"02-03-2026")</f>
        <v>02-03-2026</v>
      </c>
      <c r="E352" s="65" t="str">
        <f>IFERROR(__xludf.DUMMYFUNCTION("""COMPUTED_VALUE"""),"Ronald fernando mosquera matute")</f>
        <v>Ronald fernando mosquera matute</v>
      </c>
      <c r="F352" s="65" t="str">
        <f>IFERROR(__xludf.DUMMYFUNCTION("""COMPUTED_VALUE"""),"996219613")</f>
        <v>996219613</v>
      </c>
      <c r="G352" s="65" t="str">
        <f>IFERROR(__xludf.DUMMYFUNCTION("""COMPUTED_VALUE"""),"ronaldmluz08@outlook.com")</f>
        <v>ronaldmluz08@outlook.com</v>
      </c>
      <c r="H352" s="65"/>
      <c r="I352" s="65"/>
      <c r="J352" s="65"/>
      <c r="K352" s="65" t="str">
        <f>IFERROR(__xludf.DUMMYFUNCTION("""COMPUTED_VALUE"""),"CANCELADO")</f>
        <v>CANCELADO</v>
      </c>
      <c r="L352" s="65" t="str">
        <f>IFERROR(__xludf.DUMMYFUNCTION("""COMPUTED_VALUE"""),"CON RECAUDO")</f>
        <v>CON RECAUDO</v>
      </c>
      <c r="M352" s="65" t="str">
        <f>IFERROR(__xludf.DUMMYFUNCTION("""COMPUTED_VALUE"""),"GUAYAS")</f>
        <v>GUAYAS</v>
      </c>
      <c r="N352" s="65" t="str">
        <f>IFERROR(__xludf.DUMMYFUNCTION("""COMPUTED_VALUE"""),"NARANJITO")</f>
        <v>NARANJITO</v>
      </c>
      <c r="O352" s="65" t="str">
        <f>IFERROR(__xludf.DUMMYFUNCTION("""COMPUTED_VALUE"""),"Juan paredes Mercado central -")</f>
        <v>Juan paredes Mercado central -</v>
      </c>
      <c r="P352" s="65"/>
      <c r="Q352" s="65" t="str">
        <f>IFERROR(__xludf.DUMMYFUNCTION("""COMPUTED_VALUE"""),"GINTRACOM")</f>
        <v>GINTRACOM</v>
      </c>
      <c r="R352" s="65">
        <f>IFERROR(__xludf.DUMMYFUNCTION("""COMPUTED_VALUE"""),22.0)</f>
        <v>22</v>
      </c>
      <c r="S352" s="65"/>
      <c r="T352" s="65">
        <f>IFERROR(__xludf.DUMMYFUNCTION("""COMPUTED_VALUE"""),6.41)</f>
        <v>6.41</v>
      </c>
      <c r="U352" s="65">
        <f>IFERROR(__xludf.DUMMYFUNCTION("""COMPUTED_VALUE"""),0.0)</f>
        <v>0</v>
      </c>
      <c r="V352" s="65">
        <f>IFERROR(__xludf.DUMMYFUNCTION("""COMPUTED_VALUE"""),0.0)</f>
        <v>0</v>
      </c>
      <c r="W352" s="65">
        <f>IFERROR(__xludf.DUMMYFUNCTION("""COMPUTED_VALUE"""),0.0)</f>
        <v>0</v>
      </c>
      <c r="X352" s="65">
        <f>IFERROR(__xludf.DUMMYFUNCTION("""COMPUTED_VALUE"""),3.75)</f>
        <v>3.75</v>
      </c>
      <c r="Y352" s="65">
        <f>IFERROR(__xludf.DUMMYFUNCTION("""COMPUTED_VALUE"""),7.5)</f>
        <v>7.5</v>
      </c>
      <c r="Z352" s="65">
        <f>IFERROR(__xludf.DUMMYFUNCTION("""COMPUTED_VALUE"""),113116.0)</f>
        <v>113116</v>
      </c>
      <c r="AA352" s="65" t="str">
        <f>IFERROR(__xludf.DUMMYFUNCTION("""COMPUTED_VALUE"""),"IM-TAZAKI")</f>
        <v>IM-TAZAKI</v>
      </c>
      <c r="AB352" s="65"/>
      <c r="AC352" s="65" t="str">
        <f>IFERROR(__xludf.DUMMYFUNCTION("""COMPUTED_VALUE"""),"Cuchillo tazaki")</f>
        <v>Cuchillo tazaki</v>
      </c>
      <c r="AD352" s="65"/>
      <c r="AE352" s="65">
        <f>IFERROR(__xludf.DUMMYFUNCTION("""COMPUTED_VALUE"""),2.0)</f>
        <v>2</v>
      </c>
      <c r="AF352" s="65"/>
      <c r="AG352" s="65"/>
      <c r="AH352" s="65"/>
      <c r="AI352" s="65"/>
      <c r="AJ352" s="65"/>
      <c r="AK352" s="65"/>
      <c r="AL352" s="65"/>
      <c r="AM352" s="65"/>
      <c r="AN352" s="65"/>
      <c r="AO352" s="65"/>
      <c r="AP352" s="65"/>
      <c r="AQ352" s="65"/>
      <c r="AR352" s="65"/>
      <c r="AS352" s="65"/>
      <c r="AT352" s="65" t="str">
        <f>IFERROR(__xludf.DUMMYFUNCTION("""COMPUTED_VALUE"""),"SHOPIFY")</f>
        <v>SHOPIFY</v>
      </c>
      <c r="AU352" s="65" t="str">
        <f>IFERROR(__xludf.DUMMYFUNCTION("""COMPUTED_VALUE"""),"IMPORTEX EC")</f>
        <v>IMPORTEX EC</v>
      </c>
      <c r="AV352" s="65" t="str">
        <f>IFERROR(__xludf.DUMMYFUNCTION("""COMPUTED_VALUE"""),"6552744951852")</f>
        <v>6552744951852</v>
      </c>
      <c r="AW352" s="65">
        <f>IFERROR(__xludf.DUMMYFUNCTION("""COMPUTED_VALUE"""),6509.0)</f>
        <v>6509</v>
      </c>
      <c r="AX352" s="65"/>
      <c r="AY352" s="65"/>
      <c r="AZ352" s="65"/>
      <c r="BA352" s="65"/>
    </row>
    <row r="353">
      <c r="A353" s="65" t="str">
        <f>IFERROR(__xludf.DUMMYFUNCTION("""COMPUTED_VALUE"""),"27-03-2026")</f>
        <v>27-03-2026</v>
      </c>
      <c r="B353" s="65">
        <f>IFERROR(__xludf.DUMMYFUNCTION("""COMPUTED_VALUE"""),4675749.0)</f>
        <v>4675749</v>
      </c>
      <c r="C353" s="65" t="str">
        <f>IFERROR(__xludf.DUMMYFUNCTION("""COMPUTED_VALUE"""),"16:36")</f>
        <v>16:36</v>
      </c>
      <c r="D353" s="65" t="str">
        <f>IFERROR(__xludf.DUMMYFUNCTION("""COMPUTED_VALUE"""),"02-03-2026")</f>
        <v>02-03-2026</v>
      </c>
      <c r="E353" s="65" t="str">
        <f>IFERROR(__xludf.DUMMYFUNCTION("""COMPUTED_VALUE"""),"Juan Recalde")</f>
        <v>Juan Recalde</v>
      </c>
      <c r="F353" s="65" t="str">
        <f>IFERROR(__xludf.DUMMYFUNCTION("""COMPUTED_VALUE"""),"984123585")</f>
        <v>984123585</v>
      </c>
      <c r="G353" s="65"/>
      <c r="H353" s="65"/>
      <c r="I353" s="65"/>
      <c r="J353" s="65" t="str">
        <f>IFERROR(__xludf.DUMMYFUNCTION("""COMPUTED_VALUE"""),"186610351")</f>
        <v>186610351</v>
      </c>
      <c r="K353" s="65" t="str">
        <f>IFERROR(__xludf.DUMMYFUNCTION("""COMPUTED_VALUE"""),"DEVOLUCION")</f>
        <v>DEVOLUCION</v>
      </c>
      <c r="L353" s="65" t="str">
        <f>IFERROR(__xludf.DUMMYFUNCTION("""COMPUTED_VALUE"""),"CON RECAUDO")</f>
        <v>CON RECAUDO</v>
      </c>
      <c r="M353" s="65" t="str">
        <f>IFERROR(__xludf.DUMMYFUNCTION("""COMPUTED_VALUE"""),"IMBABURA")</f>
        <v>IMBABURA</v>
      </c>
      <c r="N353" s="65" t="str">
        <f>IFERROR(__xludf.DUMMYFUNCTION("""COMPUTED_VALUE"""),"URCUQUI")</f>
        <v>URCUQUI</v>
      </c>
      <c r="O353" s="65" t="str">
        <f>IFERROR(__xludf.DUMMYFUNCTION("""COMPUTED_VALUE"""),"RETIAR EN CS : URCUQUI_PRINCIPAL  -ANTONIO ANTE S/N Y EUGENIO ESPEJO")</f>
        <v>RETIAR EN CS : URCUQUI_PRINCIPAL  -ANTONIO ANTE S/N Y EUGENIO ESPEJO</v>
      </c>
      <c r="P353" s="65"/>
      <c r="Q353" s="65" t="str">
        <f>IFERROR(__xludf.DUMMYFUNCTION("""COMPUTED_VALUE"""),"SERVIENTREGA")</f>
        <v>SERVIENTREGA</v>
      </c>
      <c r="R353" s="65">
        <f>IFERROR(__xludf.DUMMYFUNCTION("""COMPUTED_VALUE"""),25.0)</f>
        <v>25</v>
      </c>
      <c r="S353" s="65"/>
      <c r="T353" s="65">
        <f>IFERROR(__xludf.DUMMYFUNCTION("""COMPUTED_VALUE"""),7.75)</f>
        <v>7.75</v>
      </c>
      <c r="U353" s="65">
        <f>IFERROR(__xludf.DUMMYFUNCTION("""COMPUTED_VALUE"""),0.0)</f>
        <v>0</v>
      </c>
      <c r="V353" s="65">
        <f>IFERROR(__xludf.DUMMYFUNCTION("""COMPUTED_VALUE"""),0.0)</f>
        <v>0</v>
      </c>
      <c r="W353" s="65">
        <f>IFERROR(__xludf.DUMMYFUNCTION("""COMPUTED_VALUE"""),0.0)</f>
        <v>0</v>
      </c>
      <c r="X353" s="65">
        <f>IFERROR(__xludf.DUMMYFUNCTION("""COMPUTED_VALUE"""),2.35)</f>
        <v>2.35</v>
      </c>
      <c r="Y353" s="65">
        <f>IFERROR(__xludf.DUMMYFUNCTION("""COMPUTED_VALUE"""),4.7)</f>
        <v>4.7</v>
      </c>
      <c r="Z353" s="65">
        <f>IFERROR(__xludf.DUMMYFUNCTION("""COMPUTED_VALUE"""),116679.0)</f>
        <v>116679</v>
      </c>
      <c r="AA353" s="65" t="str">
        <f>IFERROR(__xludf.DUMMYFUNCTION("""COMPUTED_VALUE"""),"AMC-2738")</f>
        <v>AMC-2738</v>
      </c>
      <c r="AB353" s="65"/>
      <c r="AC353" s="65" t="str">
        <f>IFERROR(__xludf.DUMMYFUNCTION("""COMPUTED_VALUE"""),"ESPONJA ANTILLUVIA DE PARABRISAS")</f>
        <v>ESPONJA ANTILLUVIA DE PARABRISAS</v>
      </c>
      <c r="AD353" s="65"/>
      <c r="AE353" s="65">
        <f>IFERROR(__xludf.DUMMYFUNCTION("""COMPUTED_VALUE"""),2.0)</f>
        <v>2</v>
      </c>
      <c r="AF353" s="65" t="str">
        <f>IFERROR(__xludf.DUMMYFUNCTION("""COMPUTED_VALUE"""),"DEVUELTO DE")</f>
        <v>DEVUELTO DE</v>
      </c>
      <c r="AG353" s="65" t="str">
        <f>IFERROR(__xludf.DUMMYFUNCTION("""COMPUTED_VALUE"""),"NO")</f>
        <v>NO</v>
      </c>
      <c r="AH353" s="65" t="str">
        <f>IFERROR(__xludf.DUMMYFUNCTION("""COMPUTED_VALUE"""),"09:56")</f>
        <v>09:56</v>
      </c>
      <c r="AI353" s="65" t="str">
        <f>IFERROR(__xludf.DUMMYFUNCTION("""COMPUTED_VALUE"""),"14-03-2026")</f>
        <v>14-03-2026</v>
      </c>
      <c r="AJ353" s="65"/>
      <c r="AK353" s="65"/>
      <c r="AL353" s="65"/>
      <c r="AM353" s="65"/>
      <c r="AN353" s="65" t="str">
        <f>IFERROR(__xludf.DUMMYFUNCTION("""COMPUTED_VALUE"""),"12:18")</f>
        <v>12:18</v>
      </c>
      <c r="AO353" s="65" t="str">
        <f>IFERROR(__xludf.DUMMYFUNCTION("""COMPUTED_VALUE"""),"18-03-2026")</f>
        <v>18-03-2026</v>
      </c>
      <c r="AP353" s="65" t="str">
        <f>IFERROR(__xludf.DUMMYFUNCTION("""COMPUTED_VALUE"""),"EN DISTRIBUCIÓN A CLIENTE")</f>
        <v>EN DISTRIBUCIÓN A CLIENTE</v>
      </c>
      <c r="AQ353" s="65" t="str">
        <f>IFERROR(__xludf.DUMMYFUNCTION("""COMPUTED_VALUE"""),"NO RETIRO DE OFICINA")</f>
        <v>NO RETIRO DE OFICINA</v>
      </c>
      <c r="AR353" s="65"/>
      <c r="AS353" s="65"/>
      <c r="AT353" s="65" t="str">
        <f>IFERROR(__xludf.DUMMYFUNCTION("""COMPUTED_VALUE"""),"CHATEA PRO")</f>
        <v>CHATEA PRO</v>
      </c>
      <c r="AU353" s="65" t="str">
        <f>IFERROR(__xludf.DUMMYFUNCTION("""COMPUTED_VALUE"""),"CHATEA PRO")</f>
        <v>CHATEA PRO</v>
      </c>
      <c r="AV353" s="65"/>
      <c r="AW353" s="65"/>
      <c r="AX353" s="65"/>
      <c r="AY353" s="65" t="str">
        <f>IFERROR(__xludf.DUMMYFUNCTION("""COMPUTED_VALUE"""),"03/03/2026")</f>
        <v>03/03/2026</v>
      </c>
      <c r="AZ353" s="65"/>
      <c r="BA353" s="65"/>
    </row>
    <row r="354">
      <c r="A354" s="65" t="str">
        <f>IFERROR(__xludf.DUMMYFUNCTION("""COMPUTED_VALUE"""),"27-03-2026")</f>
        <v>27-03-2026</v>
      </c>
      <c r="B354" s="65">
        <f>IFERROR(__xludf.DUMMYFUNCTION("""COMPUTED_VALUE"""),4675709.0)</f>
        <v>4675709</v>
      </c>
      <c r="C354" s="65" t="str">
        <f>IFERROR(__xludf.DUMMYFUNCTION("""COMPUTED_VALUE"""),"16:32")</f>
        <v>16:32</v>
      </c>
      <c r="D354" s="65" t="str">
        <f>IFERROR(__xludf.DUMMYFUNCTION("""COMPUTED_VALUE"""),"02-03-2026")</f>
        <v>02-03-2026</v>
      </c>
      <c r="E354" s="65" t="str">
        <f>IFERROR(__xludf.DUMMYFUNCTION("""COMPUTED_VALUE"""),"Lourdes Zambrano Loor")</f>
        <v>Lourdes Zambrano Loor</v>
      </c>
      <c r="F354" s="65" t="str">
        <f>IFERROR(__xludf.DUMMYFUNCTION("""COMPUTED_VALUE"""),"959104899")</f>
        <v>959104899</v>
      </c>
      <c r="G354" s="65" t="str">
        <f>IFERROR(__xludf.DUMMYFUNCTION("""COMPUTED_VALUE"""),"lourdeszambrano09@gmail.com")</f>
        <v>lourdeszambrano09@gmail.com</v>
      </c>
      <c r="H354" s="65"/>
      <c r="I354" s="65"/>
      <c r="J354" s="65"/>
      <c r="K354" s="65" t="str">
        <f>IFERROR(__xludf.DUMMYFUNCTION("""COMPUTED_VALUE"""),"PENDIENTE CONFIRMACION")</f>
        <v>PENDIENTE CONFIRMACION</v>
      </c>
      <c r="L354" s="65" t="str">
        <f>IFERROR(__xludf.DUMMYFUNCTION("""COMPUTED_VALUE"""),"CON RECAUDO")</f>
        <v>CON RECAUDO</v>
      </c>
      <c r="M354" s="65" t="str">
        <f>IFERROR(__xludf.DUMMYFUNCTION("""COMPUTED_VALUE"""),"MANABI")</f>
        <v>MANABI</v>
      </c>
      <c r="N354" s="65" t="str">
        <f>IFERROR(__xludf.DUMMYFUNCTION("""COMPUTED_VALUE"""),"ROCAFUERTE")</f>
        <v>ROCAFUERTE</v>
      </c>
      <c r="O354" s="65" t="str">
        <f>IFERROR(__xludf.DUMMYFUNCTION("""COMPUTED_VALUE"""),"Atahualpa y 2 de Agosto CIUDADELA LOS SAUCES -")</f>
        <v>Atahualpa y 2 de Agosto CIUDADELA LOS SAUCES -</v>
      </c>
      <c r="P354" s="65"/>
      <c r="Q354" s="65" t="str">
        <f>IFERROR(__xludf.DUMMYFUNCTION("""COMPUTED_VALUE"""),"GINTRACOM")</f>
        <v>GINTRACOM</v>
      </c>
      <c r="R354" s="65">
        <f>IFERROR(__xludf.DUMMYFUNCTION("""COMPUTED_VALUE"""),22.0)</f>
        <v>22</v>
      </c>
      <c r="S354" s="65"/>
      <c r="T354" s="65">
        <f>IFERROR(__xludf.DUMMYFUNCTION("""COMPUTED_VALUE"""),6.41)</f>
        <v>6.41</v>
      </c>
      <c r="U354" s="65">
        <f>IFERROR(__xludf.DUMMYFUNCTION("""COMPUTED_VALUE"""),0.0)</f>
        <v>0</v>
      </c>
      <c r="V354" s="65">
        <f>IFERROR(__xludf.DUMMYFUNCTION("""COMPUTED_VALUE"""),0.0)</f>
        <v>0</v>
      </c>
      <c r="W354" s="65">
        <f>IFERROR(__xludf.DUMMYFUNCTION("""COMPUTED_VALUE"""),0.0)</f>
        <v>0</v>
      </c>
      <c r="X354" s="65">
        <f>IFERROR(__xludf.DUMMYFUNCTION("""COMPUTED_VALUE"""),3.75)</f>
        <v>3.75</v>
      </c>
      <c r="Y354" s="65">
        <f>IFERROR(__xludf.DUMMYFUNCTION("""COMPUTED_VALUE"""),7.5)</f>
        <v>7.5</v>
      </c>
      <c r="Z354" s="65">
        <f>IFERROR(__xludf.DUMMYFUNCTION("""COMPUTED_VALUE"""),113116.0)</f>
        <v>113116</v>
      </c>
      <c r="AA354" s="65" t="str">
        <f>IFERROR(__xludf.DUMMYFUNCTION("""COMPUTED_VALUE"""),"IM-TAZAKI")</f>
        <v>IM-TAZAKI</v>
      </c>
      <c r="AB354" s="65"/>
      <c r="AC354" s="65" t="str">
        <f>IFERROR(__xludf.DUMMYFUNCTION("""COMPUTED_VALUE"""),"Cuchillo tazaki")</f>
        <v>Cuchillo tazaki</v>
      </c>
      <c r="AD354" s="65"/>
      <c r="AE354" s="65">
        <f>IFERROR(__xludf.DUMMYFUNCTION("""COMPUTED_VALUE"""),2.0)</f>
        <v>2</v>
      </c>
      <c r="AF354" s="65"/>
      <c r="AG354" s="65"/>
      <c r="AH354" s="65"/>
      <c r="AI354" s="65"/>
      <c r="AJ354" s="65"/>
      <c r="AK354" s="65"/>
      <c r="AL354" s="65"/>
      <c r="AM354" s="65"/>
      <c r="AN354" s="65"/>
      <c r="AO354" s="65"/>
      <c r="AP354" s="65"/>
      <c r="AQ354" s="65"/>
      <c r="AR354" s="65"/>
      <c r="AS354" s="65"/>
      <c r="AT354" s="65" t="str">
        <f>IFERROR(__xludf.DUMMYFUNCTION("""COMPUTED_VALUE"""),"SHOPIFY")</f>
        <v>SHOPIFY</v>
      </c>
      <c r="AU354" s="65" t="str">
        <f>IFERROR(__xludf.DUMMYFUNCTION("""COMPUTED_VALUE"""),"IMPORTEX EC")</f>
        <v>IMPORTEX EC</v>
      </c>
      <c r="AV354" s="65" t="str">
        <f>IFERROR(__xludf.DUMMYFUNCTION("""COMPUTED_VALUE"""),"6551327440940")</f>
        <v>6551327440940</v>
      </c>
      <c r="AW354" s="65">
        <f>IFERROR(__xludf.DUMMYFUNCTION("""COMPUTED_VALUE"""),6496.0)</f>
        <v>6496</v>
      </c>
      <c r="AX354" s="65"/>
      <c r="AY354" s="65"/>
      <c r="AZ354" s="65"/>
      <c r="BA354" s="65"/>
    </row>
    <row r="355">
      <c r="A355" s="65" t="str">
        <f>IFERROR(__xludf.DUMMYFUNCTION("""COMPUTED_VALUE"""),"27-03-2026")</f>
        <v>27-03-2026</v>
      </c>
      <c r="B355" s="65">
        <f>IFERROR(__xludf.DUMMYFUNCTION("""COMPUTED_VALUE"""),4675688.0)</f>
        <v>4675688</v>
      </c>
      <c r="C355" s="65" t="str">
        <f>IFERROR(__xludf.DUMMYFUNCTION("""COMPUTED_VALUE"""),"16:30")</f>
        <v>16:30</v>
      </c>
      <c r="D355" s="65" t="str">
        <f>IFERROR(__xludf.DUMMYFUNCTION("""COMPUTED_VALUE"""),"02-03-2026")</f>
        <v>02-03-2026</v>
      </c>
      <c r="E355" s="65" t="str">
        <f>IFERROR(__xludf.DUMMYFUNCTION("""COMPUTED_VALUE"""),"Eddy Aguavil")</f>
        <v>Eddy Aguavil</v>
      </c>
      <c r="F355" s="65" t="str">
        <f>IFERROR(__xludf.DUMMYFUNCTION("""COMPUTED_VALUE"""),"980343005")</f>
        <v>980343005</v>
      </c>
      <c r="G355" s="65" t="str">
        <f>IFERROR(__xludf.DUMMYFUNCTION("""COMPUTED_VALUE"""),"eddyaguavil656@gmail.com")</f>
        <v>eddyaguavil656@gmail.com</v>
      </c>
      <c r="H355" s="65"/>
      <c r="I355" s="65"/>
      <c r="J355" s="65" t="str">
        <f>IFERROR(__xludf.DUMMYFUNCTION("""COMPUTED_VALUE"""),"D001388544")</f>
        <v>D001388544</v>
      </c>
      <c r="K355" s="65" t="str">
        <f>IFERROR(__xludf.DUMMYFUNCTION("""COMPUTED_VALUE"""),"ENTREGADO")</f>
        <v>ENTREGADO</v>
      </c>
      <c r="L355" s="65" t="str">
        <f>IFERROR(__xludf.DUMMYFUNCTION("""COMPUTED_VALUE"""),"CON RECAUDO")</f>
        <v>CON RECAUDO</v>
      </c>
      <c r="M355" s="65" t="str">
        <f>IFERROR(__xludf.DUMMYFUNCTION("""COMPUTED_VALUE"""),"SANTO DOMINGO DE LOS TSACHILAS")</f>
        <v>SANTO DOMINGO DE LOS TSACHILAS</v>
      </c>
      <c r="N355" s="65" t="str">
        <f>IFERROR(__xludf.DUMMYFUNCTION("""COMPUTED_VALUE"""),"SANTO DOMINGO")</f>
        <v>SANTO DOMINGO</v>
      </c>
      <c r="O355" s="65" t="str">
        <f>IFERROR(__xludf.DUMMYFUNCTION("""COMPUTED_VALUE"""),"Av Rio Cajones y av Esmeraldas -  atrás de cooelec Santo domingo.")</f>
        <v>Av Rio Cajones y av Esmeraldas -  atrás de cooelec Santo domingo.</v>
      </c>
      <c r="P355" s="65"/>
      <c r="Q355" s="65" t="str">
        <f>IFERROR(__xludf.DUMMYFUNCTION("""COMPUTED_VALUE"""),"GINTRACOM")</f>
        <v>GINTRACOM</v>
      </c>
      <c r="R355" s="65">
        <f>IFERROR(__xludf.DUMMYFUNCTION("""COMPUTED_VALUE"""),25.0)</f>
        <v>25</v>
      </c>
      <c r="S355" s="65">
        <f>IFERROR(__xludf.DUMMYFUNCTION("""COMPUTED_VALUE"""),14.34)</f>
        <v>14.34</v>
      </c>
      <c r="T355" s="65">
        <f>IFERROR(__xludf.DUMMYFUNCTION("""COMPUTED_VALUE"""),5.96)</f>
        <v>5.96</v>
      </c>
      <c r="U355" s="65">
        <f>IFERROR(__xludf.DUMMYFUNCTION("""COMPUTED_VALUE"""),0.0)</f>
        <v>0</v>
      </c>
      <c r="V355" s="65">
        <f>IFERROR(__xludf.DUMMYFUNCTION("""COMPUTED_VALUE"""),0.0)</f>
        <v>0</v>
      </c>
      <c r="W355" s="65">
        <f>IFERROR(__xludf.DUMMYFUNCTION("""COMPUTED_VALUE"""),0.0)</f>
        <v>0</v>
      </c>
      <c r="X355" s="65">
        <f>IFERROR(__xludf.DUMMYFUNCTION("""COMPUTED_VALUE"""),2.35)</f>
        <v>2.35</v>
      </c>
      <c r="Y355" s="65">
        <f>IFERROR(__xludf.DUMMYFUNCTION("""COMPUTED_VALUE"""),4.7)</f>
        <v>4.7</v>
      </c>
      <c r="Z355" s="65">
        <f>IFERROR(__xludf.DUMMYFUNCTION("""COMPUTED_VALUE"""),116679.0)</f>
        <v>116679</v>
      </c>
      <c r="AA355" s="65" t="str">
        <f>IFERROR(__xludf.DUMMYFUNCTION("""COMPUTED_VALUE"""),"AMC-2738")</f>
        <v>AMC-2738</v>
      </c>
      <c r="AB355" s="65"/>
      <c r="AC355" s="65" t="str">
        <f>IFERROR(__xludf.DUMMYFUNCTION("""COMPUTED_VALUE"""),"ESPONJA ANTILLUVIA DE PARABRISAS")</f>
        <v>ESPONJA ANTILLUVIA DE PARABRISAS</v>
      </c>
      <c r="AD355" s="65"/>
      <c r="AE355" s="65">
        <f>IFERROR(__xludf.DUMMYFUNCTION("""COMPUTED_VALUE"""),2.0)</f>
        <v>2</v>
      </c>
      <c r="AF355" s="65"/>
      <c r="AG355" s="65"/>
      <c r="AH355" s="65"/>
      <c r="AI355" s="65"/>
      <c r="AJ355" s="65"/>
      <c r="AK355" s="65"/>
      <c r="AL355" s="65"/>
      <c r="AM355" s="65"/>
      <c r="AN355" s="65" t="str">
        <f>IFERROR(__xludf.DUMMYFUNCTION("""COMPUTED_VALUE"""),"09:44")</f>
        <v>09:44</v>
      </c>
      <c r="AO355" s="65" t="str">
        <f>IFERROR(__xludf.DUMMYFUNCTION("""COMPUTED_VALUE"""),"09-03-2026")</f>
        <v>09-03-2026</v>
      </c>
      <c r="AP355" s="65" t="str">
        <f>IFERROR(__xludf.DUMMYFUNCTION("""COMPUTED_VALUE"""),"EN REPARTO")</f>
        <v>EN REPARTO</v>
      </c>
      <c r="AQ355" s="65" t="str">
        <f>IFERROR(__xludf.DUMMYFUNCTION("""COMPUTED_VALUE"""),"EN REPARTO")</f>
        <v>EN REPARTO</v>
      </c>
      <c r="AR355" s="65"/>
      <c r="AS355" s="65"/>
      <c r="AT355" s="65" t="str">
        <f>IFERROR(__xludf.DUMMYFUNCTION("""COMPUTED_VALUE"""),"SHOPIFY")</f>
        <v>SHOPIFY</v>
      </c>
      <c r="AU355" s="65" t="str">
        <f>IFERROR(__xludf.DUMMYFUNCTION("""COMPUTED_VALUE"""),"IMPORTEX EC")</f>
        <v>IMPORTEX EC</v>
      </c>
      <c r="AV355" s="65" t="str">
        <f>IFERROR(__xludf.DUMMYFUNCTION("""COMPUTED_VALUE"""),"6550965059628")</f>
        <v>6550965059628</v>
      </c>
      <c r="AW355" s="65">
        <f>IFERROR(__xludf.DUMMYFUNCTION("""COMPUTED_VALUE"""),6491.0)</f>
        <v>6491</v>
      </c>
      <c r="AX355" s="65"/>
      <c r="AY355" s="65" t="str">
        <f>IFERROR(__xludf.DUMMYFUNCTION("""COMPUTED_VALUE"""),"06/03/2026")</f>
        <v>06/03/2026</v>
      </c>
      <c r="AZ355" s="65"/>
      <c r="BA355" s="65"/>
    </row>
    <row r="356">
      <c r="A356" s="65" t="str">
        <f>IFERROR(__xludf.DUMMYFUNCTION("""COMPUTED_VALUE"""),"27-03-2026")</f>
        <v>27-03-2026</v>
      </c>
      <c r="B356" s="65">
        <f>IFERROR(__xludf.DUMMYFUNCTION("""COMPUTED_VALUE"""),4675664.0)</f>
        <v>4675664</v>
      </c>
      <c r="C356" s="65" t="str">
        <f>IFERROR(__xludf.DUMMYFUNCTION("""COMPUTED_VALUE"""),"16:29")</f>
        <v>16:29</v>
      </c>
      <c r="D356" s="65" t="str">
        <f>IFERROR(__xludf.DUMMYFUNCTION("""COMPUTED_VALUE"""),"02-03-2026")</f>
        <v>02-03-2026</v>
      </c>
      <c r="E356" s="65" t="str">
        <f>IFERROR(__xludf.DUMMYFUNCTION("""COMPUTED_VALUE"""),"Silvio Haro")</f>
        <v>Silvio Haro</v>
      </c>
      <c r="F356" s="65" t="str">
        <f>IFERROR(__xludf.DUMMYFUNCTION("""COMPUTED_VALUE"""),"996342187")</f>
        <v>996342187</v>
      </c>
      <c r="G356" s="65" t="str">
        <f>IFERROR(__xludf.DUMMYFUNCTION("""COMPUTED_VALUE"""),"romeoharo@hotmail.com")</f>
        <v>romeoharo@hotmail.com</v>
      </c>
      <c r="H356" s="65"/>
      <c r="I356" s="65"/>
      <c r="J356" s="65" t="str">
        <f>IFERROR(__xludf.DUMMYFUNCTION("""COMPUTED_VALUE"""),"D001377154")</f>
        <v>D001377154</v>
      </c>
      <c r="K356" s="65" t="str">
        <f>IFERROR(__xludf.DUMMYFUNCTION("""COMPUTED_VALUE"""),"ENTREGADO")</f>
        <v>ENTREGADO</v>
      </c>
      <c r="L356" s="65" t="str">
        <f>IFERROR(__xludf.DUMMYFUNCTION("""COMPUTED_VALUE"""),"CON RECAUDO")</f>
        <v>CON RECAUDO</v>
      </c>
      <c r="M356" s="65" t="str">
        <f>IFERROR(__xludf.DUMMYFUNCTION("""COMPUTED_VALUE"""),"SANTO DOMINGO DE LOS TSACHILAS")</f>
        <v>SANTO DOMINGO DE LOS TSACHILAS</v>
      </c>
      <c r="N356" s="65" t="str">
        <f>IFERROR(__xludf.DUMMYFUNCTION("""COMPUTED_VALUE"""),"SANTO DOMINGO")</f>
        <v>SANTO DOMINGO</v>
      </c>
      <c r="O356" s="65" t="str">
        <f>IFERROR(__xludf.DUMMYFUNCTION("""COMPUTED_VALUE"""),"Ciudadela del Magisterio Calle 8 casa 11 y Avenida Principal Balneario Mi Chuchito -")</f>
        <v>Ciudadela del Magisterio Calle 8 casa 11 y Avenida Principal Balneario Mi Chuchito -</v>
      </c>
      <c r="P356" s="65"/>
      <c r="Q356" s="65" t="str">
        <f>IFERROR(__xludf.DUMMYFUNCTION("""COMPUTED_VALUE"""),"GINTRACOM")</f>
        <v>GINTRACOM</v>
      </c>
      <c r="R356" s="65">
        <f>IFERROR(__xludf.DUMMYFUNCTION("""COMPUTED_VALUE"""),24.2)</f>
        <v>24.2</v>
      </c>
      <c r="S356" s="65">
        <f>IFERROR(__xludf.DUMMYFUNCTION("""COMPUTED_VALUE"""),8.28)</f>
        <v>8.28</v>
      </c>
      <c r="T356" s="65">
        <f>IFERROR(__xludf.DUMMYFUNCTION("""COMPUTED_VALUE"""),5.92)</f>
        <v>5.92</v>
      </c>
      <c r="U356" s="65">
        <f>IFERROR(__xludf.DUMMYFUNCTION("""COMPUTED_VALUE"""),0.0)</f>
        <v>0</v>
      </c>
      <c r="V356" s="65">
        <f>IFERROR(__xludf.DUMMYFUNCTION("""COMPUTED_VALUE"""),0.0)</f>
        <v>0</v>
      </c>
      <c r="W356" s="65">
        <f>IFERROR(__xludf.DUMMYFUNCTION("""COMPUTED_VALUE"""),0.0)</f>
        <v>0</v>
      </c>
      <c r="X356" s="65">
        <f>IFERROR(__xludf.DUMMYFUNCTION("""COMPUTED_VALUE"""),5.0)</f>
        <v>5</v>
      </c>
      <c r="Y356" s="65">
        <f>IFERROR(__xludf.DUMMYFUNCTION("""COMPUTED_VALUE"""),10.0)</f>
        <v>10</v>
      </c>
      <c r="Z356" s="65">
        <f>IFERROR(__xludf.DUMMYFUNCTION("""COMPUTED_VALUE"""),130492.0)</f>
        <v>130492</v>
      </c>
      <c r="AA356" s="65" t="str">
        <f>IFERROR(__xludf.DUMMYFUNCTION("""COMPUTED_VALUE"""),"IMX-00006")</f>
        <v>IMX-00006</v>
      </c>
      <c r="AB356" s="65"/>
      <c r="AC356" s="65" t="str">
        <f>IFERROR(__xludf.DUMMYFUNCTION("""COMPUTED_VALUE"""),"Receptor Bluetooth")</f>
        <v>Receptor Bluetooth</v>
      </c>
      <c r="AD356" s="65"/>
      <c r="AE356" s="65">
        <f>IFERROR(__xludf.DUMMYFUNCTION("""COMPUTED_VALUE"""),2.0)</f>
        <v>2</v>
      </c>
      <c r="AF356" s="65" t="str">
        <f>IFERROR(__xludf.DUMMYFUNCTION("""COMPUTED_VALUE"""),"DESTINATARIO NO CONTESTA LLAMADAS NI WHATSAPP")</f>
        <v>DESTINATARIO NO CONTESTA LLAMADAS NI WHATSAPP</v>
      </c>
      <c r="AG356" s="65" t="str">
        <f>IFERROR(__xludf.DUMMYFUNCTION("""COMPUTED_VALUE"""),"SI")</f>
        <v>SI</v>
      </c>
      <c r="AH356" s="65" t="str">
        <f>IFERROR(__xludf.DUMMYFUNCTION("""COMPUTED_VALUE"""),"17:23")</f>
        <v>17:23</v>
      </c>
      <c r="AI356" s="65" t="str">
        <f>IFERROR(__xludf.DUMMYFUNCTION("""COMPUTED_VALUE"""),"04-03-2026")</f>
        <v>04-03-2026</v>
      </c>
      <c r="AJ356" s="65" t="str">
        <f>IFERROR(__xludf.DUMMYFUNCTION("""COMPUTED_VALUE"""),"CLIENTE SOLICITA LA ENTREGA HASTA EL MEDIO DIA EL DIA DE MAÑANA")</f>
        <v>CLIENTE SOLICITA LA ENTREGA HASTA EL MEDIO DIA EL DIA DE MAÑANA</v>
      </c>
      <c r="AK356" s="65" t="str">
        <f>IFERROR(__xludf.DUMMYFUNCTION("""COMPUTED_VALUE"""),"19:48")</f>
        <v>19:48</v>
      </c>
      <c r="AL356" s="65" t="str">
        <f>IFERROR(__xludf.DUMMYFUNCTION("""COMPUTED_VALUE"""),"04-03-2026")</f>
        <v>04-03-2026</v>
      </c>
      <c r="AM356" s="65"/>
      <c r="AN356" s="65" t="str">
        <f>IFERROR(__xludf.DUMMYFUNCTION("""COMPUTED_VALUE"""),"19:48")</f>
        <v>19:48</v>
      </c>
      <c r="AO356" s="65" t="str">
        <f>IFERROR(__xludf.DUMMYFUNCTION("""COMPUTED_VALUE"""),"04-03-2026")</f>
        <v>04-03-2026</v>
      </c>
      <c r="AP356" s="65" t="str">
        <f>IFERROR(__xludf.DUMMYFUNCTION("""COMPUTED_VALUE"""),"DESTINATARIO NO CONTESTA LLAMADAS NI WHATSAPP")</f>
        <v>DESTINATARIO NO CONTESTA LLAMADAS NI WHATSAPP</v>
      </c>
      <c r="AQ356" s="65" t="str">
        <f>IFERROR(__xludf.DUMMYFUNCTION("""COMPUTED_VALUE"""),"DESTINATARIO NO CONTESTA LLAMADAS NI WHATSAPP")</f>
        <v>DESTINATARIO NO CONTESTA LLAMADAS NI WHATSAPP</v>
      </c>
      <c r="AR356" s="65"/>
      <c r="AS356" s="65"/>
      <c r="AT356" s="65" t="str">
        <f>IFERROR(__xludf.DUMMYFUNCTION("""COMPUTED_VALUE"""),"SHOPIFY")</f>
        <v>SHOPIFY</v>
      </c>
      <c r="AU356" s="65" t="str">
        <f>IFERROR(__xludf.DUMMYFUNCTION("""COMPUTED_VALUE"""),"IMPORTEX EC")</f>
        <v>IMPORTEX EC</v>
      </c>
      <c r="AV356" s="65" t="str">
        <f>IFERROR(__xludf.DUMMYFUNCTION("""COMPUTED_VALUE"""),"6550562078764")</f>
        <v>6550562078764</v>
      </c>
      <c r="AW356" s="65">
        <f>IFERROR(__xludf.DUMMYFUNCTION("""COMPUTED_VALUE"""),6486.0)</f>
        <v>6486</v>
      </c>
      <c r="AX356" s="65"/>
      <c r="AY356" s="65" t="str">
        <f>IFERROR(__xludf.DUMMYFUNCTION("""COMPUTED_VALUE"""),"03/03/2026")</f>
        <v>03/03/2026</v>
      </c>
      <c r="AZ356" s="65"/>
      <c r="BA356" s="65"/>
    </row>
    <row r="357">
      <c r="A357" s="65" t="str">
        <f>IFERROR(__xludf.DUMMYFUNCTION("""COMPUTED_VALUE"""),"27-03-2026")</f>
        <v>27-03-2026</v>
      </c>
      <c r="B357" s="65">
        <f>IFERROR(__xludf.DUMMYFUNCTION("""COMPUTED_VALUE"""),4675663.0)</f>
        <v>4675663</v>
      </c>
      <c r="C357" s="65" t="str">
        <f>IFERROR(__xludf.DUMMYFUNCTION("""COMPUTED_VALUE"""),"16:29")</f>
        <v>16:29</v>
      </c>
      <c r="D357" s="65" t="str">
        <f>IFERROR(__xludf.DUMMYFUNCTION("""COMPUTED_VALUE"""),"02-03-2026")</f>
        <v>02-03-2026</v>
      </c>
      <c r="E357" s="65" t="str">
        <f>IFERROR(__xludf.DUMMYFUNCTION("""COMPUTED_VALUE"""),"Braulio Cisneros")</f>
        <v>Braulio Cisneros</v>
      </c>
      <c r="F357" s="65" t="str">
        <f>IFERROR(__xludf.DUMMYFUNCTION("""COMPUTED_VALUE"""),"989411444")</f>
        <v>989411444</v>
      </c>
      <c r="G357" s="65" t="str">
        <f>IFERROR(__xludf.DUMMYFUNCTION("""COMPUTED_VALUE"""),"braulio_cisneros@yahoo.com")</f>
        <v>braulio_cisneros@yahoo.com</v>
      </c>
      <c r="H357" s="65"/>
      <c r="I357" s="65"/>
      <c r="J357" s="65" t="str">
        <f>IFERROR(__xludf.DUMMYFUNCTION("""COMPUTED_VALUE"""),"D001388547")</f>
        <v>D001388547</v>
      </c>
      <c r="K357" s="65" t="str">
        <f>IFERROR(__xludf.DUMMYFUNCTION("""COMPUTED_VALUE"""),"DEVOLUCION")</f>
        <v>DEVOLUCION</v>
      </c>
      <c r="L357" s="65" t="str">
        <f>IFERROR(__xludf.DUMMYFUNCTION("""COMPUTED_VALUE"""),"CON RECAUDO")</f>
        <v>CON RECAUDO</v>
      </c>
      <c r="M357" s="65" t="str">
        <f>IFERROR(__xludf.DUMMYFUNCTION("""COMPUTED_VALUE"""),"SANTA ELENA")</f>
        <v>SANTA ELENA</v>
      </c>
      <c r="N357" s="65" t="str">
        <f>IFERROR(__xludf.DUMMYFUNCTION("""COMPUTED_VALUE"""),"SANTA ELENA")</f>
        <v>SANTA ELENA</v>
      </c>
      <c r="O357" s="65" t="str">
        <f>IFERROR(__xludf.DUMMYFUNCTION("""COMPUTED_VALUE"""),"Ciudadela Delfín, manzana 13, villa 8, casa esquinera - REFERENCIA frente a un salón de uñas que se llama Brenda Nails.")</f>
        <v>Ciudadela Delfín, manzana 13, villa 8, casa esquinera - REFERENCIA frente a un salón de uñas que se llama Brenda Nails.</v>
      </c>
      <c r="P357" s="65"/>
      <c r="Q357" s="65" t="str">
        <f>IFERROR(__xludf.DUMMYFUNCTION("""COMPUTED_VALUE"""),"GINTRACOM")</f>
        <v>GINTRACOM</v>
      </c>
      <c r="R357" s="65">
        <f>IFERROR(__xludf.DUMMYFUNCTION("""COMPUTED_VALUE"""),25.0)</f>
        <v>25</v>
      </c>
      <c r="S357" s="65"/>
      <c r="T357" s="65">
        <f>IFERROR(__xludf.DUMMYFUNCTION("""COMPUTED_VALUE"""),5.96)</f>
        <v>5.96</v>
      </c>
      <c r="U357" s="65">
        <f>IFERROR(__xludf.DUMMYFUNCTION("""COMPUTED_VALUE"""),0.0)</f>
        <v>0</v>
      </c>
      <c r="V357" s="65">
        <f>IFERROR(__xludf.DUMMYFUNCTION("""COMPUTED_VALUE"""),0.0)</f>
        <v>0</v>
      </c>
      <c r="W357" s="65">
        <f>IFERROR(__xludf.DUMMYFUNCTION("""COMPUTED_VALUE"""),0.0)</f>
        <v>0</v>
      </c>
      <c r="X357" s="65">
        <f>IFERROR(__xludf.DUMMYFUNCTION("""COMPUTED_VALUE"""),2.35)</f>
        <v>2.35</v>
      </c>
      <c r="Y357" s="65">
        <f>IFERROR(__xludf.DUMMYFUNCTION("""COMPUTED_VALUE"""),4.7)</f>
        <v>4.7</v>
      </c>
      <c r="Z357" s="65">
        <f>IFERROR(__xludf.DUMMYFUNCTION("""COMPUTED_VALUE"""),116679.0)</f>
        <v>116679</v>
      </c>
      <c r="AA357" s="65" t="str">
        <f>IFERROR(__xludf.DUMMYFUNCTION("""COMPUTED_VALUE"""),"AMC-2738")</f>
        <v>AMC-2738</v>
      </c>
      <c r="AB357" s="65"/>
      <c r="AC357" s="65" t="str">
        <f>IFERROR(__xludf.DUMMYFUNCTION("""COMPUTED_VALUE"""),"ESPONJA ANTILLUVIA DE PARABRISAS")</f>
        <v>ESPONJA ANTILLUVIA DE PARABRISAS</v>
      </c>
      <c r="AD357" s="65"/>
      <c r="AE357" s="65">
        <f>IFERROR(__xludf.DUMMYFUNCTION("""COMPUTED_VALUE"""),2.0)</f>
        <v>2</v>
      </c>
      <c r="AF357" s="65" t="str">
        <f>IFERROR(__xludf.DUMMYFUNCTION("""COMPUTED_VALUE"""),"DESTINATARIO NO CONTESTA LLAMADAS NI WHATSAPP")</f>
        <v>DESTINATARIO NO CONTESTA LLAMADAS NI WHATSAPP</v>
      </c>
      <c r="AG357" s="65" t="str">
        <f>IFERROR(__xludf.DUMMYFUNCTION("""COMPUTED_VALUE"""),"NO")</f>
        <v>NO</v>
      </c>
      <c r="AH357" s="65" t="str">
        <f>IFERROR(__xludf.DUMMYFUNCTION("""COMPUTED_VALUE"""),"09:00")</f>
        <v>09:00</v>
      </c>
      <c r="AI357" s="65" t="str">
        <f>IFERROR(__xludf.DUMMYFUNCTION("""COMPUTED_VALUE"""),"17-03-2026")</f>
        <v>17-03-2026</v>
      </c>
      <c r="AJ357" s="65"/>
      <c r="AK357" s="65"/>
      <c r="AL357" s="65"/>
      <c r="AM357" s="65"/>
      <c r="AN357" s="65" t="str">
        <f>IFERROR(__xludf.DUMMYFUNCTION("""COMPUTED_VALUE"""),"03:02")</f>
        <v>03:02</v>
      </c>
      <c r="AO357" s="65" t="str">
        <f>IFERROR(__xludf.DUMMYFUNCTION("""COMPUTED_VALUE"""),"19-03-2026")</f>
        <v>19-03-2026</v>
      </c>
      <c r="AP357" s="65" t="str">
        <f>IFERROR(__xludf.DUMMYFUNCTION("""COMPUTED_VALUE"""),"DEVOLUCIÓN")</f>
        <v>DEVOLUCIÓN</v>
      </c>
      <c r="AQ357" s="65" t="str">
        <f>IFERROR(__xludf.DUMMYFUNCTION("""COMPUTED_VALUE"""),"DEVOLUCIÓN")</f>
        <v>DEVOLUCIÓN</v>
      </c>
      <c r="AR357" s="65"/>
      <c r="AS357" s="65"/>
      <c r="AT357" s="65" t="str">
        <f>IFERROR(__xludf.DUMMYFUNCTION("""COMPUTED_VALUE"""),"SHOPIFY")</f>
        <v>SHOPIFY</v>
      </c>
      <c r="AU357" s="65" t="str">
        <f>IFERROR(__xludf.DUMMYFUNCTION("""COMPUTED_VALUE"""),"IMPORTEX EC")</f>
        <v>IMPORTEX EC</v>
      </c>
      <c r="AV357" s="65" t="str">
        <f>IFERROR(__xludf.DUMMYFUNCTION("""COMPUTED_VALUE"""),"6552724537388")</f>
        <v>6552724537388</v>
      </c>
      <c r="AW357" s="65">
        <f>IFERROR(__xludf.DUMMYFUNCTION("""COMPUTED_VALUE"""),6508.0)</f>
        <v>6508</v>
      </c>
      <c r="AX357" s="65"/>
      <c r="AY357" s="65" t="str">
        <f>IFERROR(__xludf.DUMMYFUNCTION("""COMPUTED_VALUE"""),"06/03/2026")</f>
        <v>06/03/2026</v>
      </c>
      <c r="AZ357" s="65"/>
      <c r="BA357" s="65"/>
    </row>
    <row r="358">
      <c r="A358" s="65" t="str">
        <f>IFERROR(__xludf.DUMMYFUNCTION("""COMPUTED_VALUE"""),"27-03-2026")</f>
        <v>27-03-2026</v>
      </c>
      <c r="B358" s="65">
        <f>IFERROR(__xludf.DUMMYFUNCTION("""COMPUTED_VALUE"""),4674958.0)</f>
        <v>4674958</v>
      </c>
      <c r="C358" s="65" t="str">
        <f>IFERROR(__xludf.DUMMYFUNCTION("""COMPUTED_VALUE"""),"15:30")</f>
        <v>15:30</v>
      </c>
      <c r="D358" s="65" t="str">
        <f>IFERROR(__xludf.DUMMYFUNCTION("""COMPUTED_VALUE"""),"02-03-2026")</f>
        <v>02-03-2026</v>
      </c>
      <c r="E358" s="65" t="str">
        <f>IFERROR(__xludf.DUMMYFUNCTION("""COMPUTED_VALUE"""),"DIGNA MARISOL ROSERO GAVILANEZ")</f>
        <v>DIGNA MARISOL ROSERO GAVILANEZ</v>
      </c>
      <c r="F358" s="65" t="str">
        <f>IFERROR(__xludf.DUMMYFUNCTION("""COMPUTED_VALUE"""),"969121535")</f>
        <v>969121535</v>
      </c>
      <c r="G358" s="65" t="str">
        <f>IFERROR(__xludf.DUMMYFUNCTION("""COMPUTED_VALUE"""),"dignarosero1977@gmail.com")</f>
        <v>dignarosero1977@gmail.com</v>
      </c>
      <c r="H358" s="65"/>
      <c r="I358" s="65"/>
      <c r="J358" s="65"/>
      <c r="K358" s="65" t="str">
        <f>IFERROR(__xludf.DUMMYFUNCTION("""COMPUTED_VALUE"""),"PENDIENTE CONFIRMACION")</f>
        <v>PENDIENTE CONFIRMACION</v>
      </c>
      <c r="L358" s="65" t="str">
        <f>IFERROR(__xludf.DUMMYFUNCTION("""COMPUTED_VALUE"""),"CON RECAUDO")</f>
        <v>CON RECAUDO</v>
      </c>
      <c r="M358" s="65" t="str">
        <f>IFERROR(__xludf.DUMMYFUNCTION("""COMPUTED_VALUE"""),"SANTA ELENA")</f>
        <v>SANTA ELENA</v>
      </c>
      <c r="N358" s="65" t="str">
        <f>IFERROR(__xludf.DUMMYFUNCTION("""COMPUTED_VALUE"""),"LA LIBERTAD")</f>
        <v>LA LIBERTAD</v>
      </c>
      <c r="O358" s="65" t="str">
        <f>IFERROR(__xludf.DUMMYFUNCTION("""COMPUTED_VALUE"""),"Calle 21 y 20 Manabí -")</f>
        <v>Calle 21 y 20 Manabí -</v>
      </c>
      <c r="P358" s="65"/>
      <c r="Q358" s="65" t="str">
        <f>IFERROR(__xludf.DUMMYFUNCTION("""COMPUTED_VALUE"""),"GINTRACOM")</f>
        <v>GINTRACOM</v>
      </c>
      <c r="R358" s="65">
        <f>IFERROR(__xludf.DUMMYFUNCTION("""COMPUTED_VALUE"""),25.0)</f>
        <v>25</v>
      </c>
      <c r="S358" s="65"/>
      <c r="T358" s="65">
        <f>IFERROR(__xludf.DUMMYFUNCTION("""COMPUTED_VALUE"""),5.96)</f>
        <v>5.96</v>
      </c>
      <c r="U358" s="65">
        <f>IFERROR(__xludf.DUMMYFUNCTION("""COMPUTED_VALUE"""),0.0)</f>
        <v>0</v>
      </c>
      <c r="V358" s="65">
        <f>IFERROR(__xludf.DUMMYFUNCTION("""COMPUTED_VALUE"""),0.0)</f>
        <v>0</v>
      </c>
      <c r="W358" s="65">
        <f>IFERROR(__xludf.DUMMYFUNCTION("""COMPUTED_VALUE"""),0.0)</f>
        <v>0</v>
      </c>
      <c r="X358" s="65">
        <f>IFERROR(__xludf.DUMMYFUNCTION("""COMPUTED_VALUE"""),2.35)</f>
        <v>2.35</v>
      </c>
      <c r="Y358" s="65">
        <f>IFERROR(__xludf.DUMMYFUNCTION("""COMPUTED_VALUE"""),4.7)</f>
        <v>4.7</v>
      </c>
      <c r="Z358" s="65">
        <f>IFERROR(__xludf.DUMMYFUNCTION("""COMPUTED_VALUE"""),116679.0)</f>
        <v>116679</v>
      </c>
      <c r="AA358" s="65" t="str">
        <f>IFERROR(__xludf.DUMMYFUNCTION("""COMPUTED_VALUE"""),"AMC-2738")</f>
        <v>AMC-2738</v>
      </c>
      <c r="AB358" s="65"/>
      <c r="AC358" s="65" t="str">
        <f>IFERROR(__xludf.DUMMYFUNCTION("""COMPUTED_VALUE"""),"ESPONJA ANTILLUVIA DE PARABRISAS")</f>
        <v>ESPONJA ANTILLUVIA DE PARABRISAS</v>
      </c>
      <c r="AD358" s="65"/>
      <c r="AE358" s="65">
        <f>IFERROR(__xludf.DUMMYFUNCTION("""COMPUTED_VALUE"""),2.0)</f>
        <v>2</v>
      </c>
      <c r="AF358" s="65"/>
      <c r="AG358" s="65"/>
      <c r="AH358" s="65"/>
      <c r="AI358" s="65"/>
      <c r="AJ358" s="65"/>
      <c r="AK358" s="65"/>
      <c r="AL358" s="65"/>
      <c r="AM358" s="65"/>
      <c r="AN358" s="65"/>
      <c r="AO358" s="65"/>
      <c r="AP358" s="65"/>
      <c r="AQ358" s="65"/>
      <c r="AR358" s="65"/>
      <c r="AS358" s="65"/>
      <c r="AT358" s="65" t="str">
        <f>IFERROR(__xludf.DUMMYFUNCTION("""COMPUTED_VALUE"""),"SHOPIFY")</f>
        <v>SHOPIFY</v>
      </c>
      <c r="AU358" s="65" t="str">
        <f>IFERROR(__xludf.DUMMYFUNCTION("""COMPUTED_VALUE"""),"IMPORTEX EC")</f>
        <v>IMPORTEX EC</v>
      </c>
      <c r="AV358" s="65" t="str">
        <f>IFERROR(__xludf.DUMMYFUNCTION("""COMPUTED_VALUE"""),"6552620728364")</f>
        <v>6552620728364</v>
      </c>
      <c r="AW358" s="65">
        <f>IFERROR(__xludf.DUMMYFUNCTION("""COMPUTED_VALUE"""),6507.0)</f>
        <v>6507</v>
      </c>
      <c r="AX358" s="65"/>
      <c r="AY358" s="65"/>
      <c r="AZ358" s="65"/>
      <c r="BA358" s="65"/>
    </row>
    <row r="359">
      <c r="A359" s="65" t="str">
        <f>IFERROR(__xludf.DUMMYFUNCTION("""COMPUTED_VALUE"""),"27-03-2026")</f>
        <v>27-03-2026</v>
      </c>
      <c r="B359" s="65">
        <f>IFERROR(__xludf.DUMMYFUNCTION("""COMPUTED_VALUE"""),4674255.0)</f>
        <v>4674255</v>
      </c>
      <c r="C359" s="65" t="str">
        <f>IFERROR(__xludf.DUMMYFUNCTION("""COMPUTED_VALUE"""),"14:30")</f>
        <v>14:30</v>
      </c>
      <c r="D359" s="65" t="str">
        <f>IFERROR(__xludf.DUMMYFUNCTION("""COMPUTED_VALUE"""),"02-03-2026")</f>
        <v>02-03-2026</v>
      </c>
      <c r="E359" s="65" t="str">
        <f>IFERROR(__xludf.DUMMYFUNCTION("""COMPUTED_VALUE"""),"Luis Guaman")</f>
        <v>Luis Guaman</v>
      </c>
      <c r="F359" s="65" t="str">
        <f>IFERROR(__xludf.DUMMYFUNCTION("""COMPUTED_VALUE"""),"968684747")</f>
        <v>968684747</v>
      </c>
      <c r="G359" s="65" t="str">
        <f>IFERROR(__xludf.DUMMYFUNCTION("""COMPUTED_VALUE"""),"73lgguamanluisenrique@gmail.com")</f>
        <v>73lgguamanluisenrique@gmail.com</v>
      </c>
      <c r="H359" s="65"/>
      <c r="I359" s="65"/>
      <c r="J359" s="65" t="str">
        <f>IFERROR(__xludf.DUMMYFUNCTION("""COMPUTED_VALUE"""),"D001387434")</f>
        <v>D001387434</v>
      </c>
      <c r="K359" s="65" t="str">
        <f>IFERROR(__xludf.DUMMYFUNCTION("""COMPUTED_VALUE"""),"ENTREGADO")</f>
        <v>ENTREGADO</v>
      </c>
      <c r="L359" s="65" t="str">
        <f>IFERROR(__xludf.DUMMYFUNCTION("""COMPUTED_VALUE"""),"CON RECAUDO")</f>
        <v>CON RECAUDO</v>
      </c>
      <c r="M359" s="65" t="str">
        <f>IFERROR(__xludf.DUMMYFUNCTION("""COMPUTED_VALUE"""),"AZUAY")</f>
        <v>AZUAY</v>
      </c>
      <c r="N359" s="65" t="str">
        <f>IFERROR(__xludf.DUMMYFUNCTION("""COMPUTED_VALUE"""),"CUENCA")</f>
        <v>CUENCA</v>
      </c>
      <c r="O359" s="65" t="str">
        <f>IFERROR(__xludf.DUMMYFUNCTION("""COMPUTED_VALUE"""),"Av General torres y Juan Jaramillo - REFERENCIA Mercado 10 de agosto")</f>
        <v>Av General torres y Juan Jaramillo - REFERENCIA Mercado 10 de agosto</v>
      </c>
      <c r="P359" s="65"/>
      <c r="Q359" s="65" t="str">
        <f>IFERROR(__xludf.DUMMYFUNCTION("""COMPUTED_VALUE"""),"GINTRACOM")</f>
        <v>GINTRACOM</v>
      </c>
      <c r="R359" s="65">
        <f>IFERROR(__xludf.DUMMYFUNCTION("""COMPUTED_VALUE"""),24.2)</f>
        <v>24.2</v>
      </c>
      <c r="S359" s="65">
        <f>IFERROR(__xludf.DUMMYFUNCTION("""COMPUTED_VALUE"""),8.28)</f>
        <v>8.28</v>
      </c>
      <c r="T359" s="65">
        <f>IFERROR(__xludf.DUMMYFUNCTION("""COMPUTED_VALUE"""),5.92)</f>
        <v>5.92</v>
      </c>
      <c r="U359" s="65">
        <f>IFERROR(__xludf.DUMMYFUNCTION("""COMPUTED_VALUE"""),0.0)</f>
        <v>0</v>
      </c>
      <c r="V359" s="65">
        <f>IFERROR(__xludf.DUMMYFUNCTION("""COMPUTED_VALUE"""),0.0)</f>
        <v>0</v>
      </c>
      <c r="W359" s="65">
        <f>IFERROR(__xludf.DUMMYFUNCTION("""COMPUTED_VALUE"""),0.0)</f>
        <v>0</v>
      </c>
      <c r="X359" s="65">
        <f>IFERROR(__xludf.DUMMYFUNCTION("""COMPUTED_VALUE"""),5.0)</f>
        <v>5</v>
      </c>
      <c r="Y359" s="65">
        <f>IFERROR(__xludf.DUMMYFUNCTION("""COMPUTED_VALUE"""),10.0)</f>
        <v>10</v>
      </c>
      <c r="Z359" s="65">
        <f>IFERROR(__xludf.DUMMYFUNCTION("""COMPUTED_VALUE"""),130492.0)</f>
        <v>130492</v>
      </c>
      <c r="AA359" s="65" t="str">
        <f>IFERROR(__xludf.DUMMYFUNCTION("""COMPUTED_VALUE"""),"IMX-00006")</f>
        <v>IMX-00006</v>
      </c>
      <c r="AB359" s="65"/>
      <c r="AC359" s="65" t="str">
        <f>IFERROR(__xludf.DUMMYFUNCTION("""COMPUTED_VALUE"""),"Receptor Bluetooth")</f>
        <v>Receptor Bluetooth</v>
      </c>
      <c r="AD359" s="65"/>
      <c r="AE359" s="65">
        <f>IFERROR(__xludf.DUMMYFUNCTION("""COMPUTED_VALUE"""),2.0)</f>
        <v>2</v>
      </c>
      <c r="AF359" s="65"/>
      <c r="AG359" s="65"/>
      <c r="AH359" s="65"/>
      <c r="AI359" s="65"/>
      <c r="AJ359" s="65"/>
      <c r="AK359" s="65"/>
      <c r="AL359" s="65"/>
      <c r="AM359" s="65"/>
      <c r="AN359" s="65" t="str">
        <f>IFERROR(__xludf.DUMMYFUNCTION("""COMPUTED_VALUE"""),"13:52")</f>
        <v>13:52</v>
      </c>
      <c r="AO359" s="65" t="str">
        <f>IFERROR(__xludf.DUMMYFUNCTION("""COMPUTED_VALUE"""),"07-03-2026")</f>
        <v>07-03-2026</v>
      </c>
      <c r="AP359" s="65" t="str">
        <f>IFERROR(__xludf.DUMMYFUNCTION("""COMPUTED_VALUE"""),"ENTREGADA GINTRACOM")</f>
        <v>ENTREGADA GINTRACOM</v>
      </c>
      <c r="AQ359" s="65" t="str">
        <f>IFERROR(__xludf.DUMMYFUNCTION("""COMPUTED_VALUE"""),"ENTREGADA GINTRACOM")</f>
        <v>ENTREGADA GINTRACOM</v>
      </c>
      <c r="AR359" s="65"/>
      <c r="AS359" s="65"/>
      <c r="AT359" s="65" t="str">
        <f>IFERROR(__xludf.DUMMYFUNCTION("""COMPUTED_VALUE"""),"SHOPIFY")</f>
        <v>SHOPIFY</v>
      </c>
      <c r="AU359" s="65" t="str">
        <f>IFERROR(__xludf.DUMMYFUNCTION("""COMPUTED_VALUE"""),"IMPORTEX EC")</f>
        <v>IMPORTEX EC</v>
      </c>
      <c r="AV359" s="65" t="str">
        <f>IFERROR(__xludf.DUMMYFUNCTION("""COMPUTED_VALUE"""),"6552491655212")</f>
        <v>6552491655212</v>
      </c>
      <c r="AW359" s="65">
        <f>IFERROR(__xludf.DUMMYFUNCTION("""COMPUTED_VALUE"""),6506.0)</f>
        <v>6506</v>
      </c>
      <c r="AX359" s="65"/>
      <c r="AY359" s="65" t="str">
        <f>IFERROR(__xludf.DUMMYFUNCTION("""COMPUTED_VALUE"""),"06/03/2026")</f>
        <v>06/03/2026</v>
      </c>
      <c r="AZ359" s="65"/>
      <c r="BA359" s="65"/>
    </row>
    <row r="360">
      <c r="A360" s="65" t="str">
        <f>IFERROR(__xludf.DUMMYFUNCTION("""COMPUTED_VALUE"""),"27-03-2026")</f>
        <v>27-03-2026</v>
      </c>
      <c r="B360" s="65">
        <f>IFERROR(__xludf.DUMMYFUNCTION("""COMPUTED_VALUE"""),4674081.0)</f>
        <v>4674081</v>
      </c>
      <c r="C360" s="65" t="str">
        <f>IFERROR(__xludf.DUMMYFUNCTION("""COMPUTED_VALUE"""),"14:23")</f>
        <v>14:23</v>
      </c>
      <c r="D360" s="65" t="str">
        <f>IFERROR(__xludf.DUMMYFUNCTION("""COMPUTED_VALUE"""),"02-03-2026")</f>
        <v>02-03-2026</v>
      </c>
      <c r="E360" s="65" t="str">
        <f>IFERROR(__xludf.DUMMYFUNCTION("""COMPUTED_VALUE"""),"Pedro Castillo")</f>
        <v>Pedro Castillo</v>
      </c>
      <c r="F360" s="65" t="str">
        <f>IFERROR(__xludf.DUMMYFUNCTION("""COMPUTED_VALUE"""),"959593157")</f>
        <v>959593157</v>
      </c>
      <c r="G360" s="65"/>
      <c r="H360" s="65"/>
      <c r="I360" s="65"/>
      <c r="J360" s="65"/>
      <c r="K360" s="65" t="str">
        <f>IFERROR(__xludf.DUMMYFUNCTION("""COMPUTED_VALUE"""),"PENDIENTE CONFIRMACION")</f>
        <v>PENDIENTE CONFIRMACION</v>
      </c>
      <c r="L360" s="65" t="str">
        <f>IFERROR(__xludf.DUMMYFUNCTION("""COMPUTED_VALUE"""),"CON RECAUDO")</f>
        <v>CON RECAUDO</v>
      </c>
      <c r="M360" s="65" t="str">
        <f>IFERROR(__xludf.DUMMYFUNCTION("""COMPUTED_VALUE"""),"AZUAY")</f>
        <v>AZUAY</v>
      </c>
      <c r="N360" s="65" t="str">
        <f>IFERROR(__xludf.DUMMYFUNCTION("""COMPUTED_VALUE"""),"PONCE ENRIQUEZ")</f>
        <v>PONCE ENRIQUEZ</v>
      </c>
      <c r="O360" s="65" t="str">
        <f>IFERROR(__xludf.DUMMYFUNCTION("""COMPUTED_VALUE"""),"-")</f>
        <v>-</v>
      </c>
      <c r="P360" s="65" t="str">
        <f>IFERROR(__xludf.DUMMYFUNCTION("""COMPUTED_VALUE"""),"Cuchillo tazaki: Default Title ***")</f>
        <v>Cuchillo tazaki: Default Title ***</v>
      </c>
      <c r="Q360" s="65" t="str">
        <f>IFERROR(__xludf.DUMMYFUNCTION("""COMPUTED_VALUE"""),"LAARCOURIER")</f>
        <v>LAARCOURIER</v>
      </c>
      <c r="R360" s="65">
        <f>IFERROR(__xludf.DUMMYFUNCTION("""COMPUTED_VALUE"""),43.98)</f>
        <v>43.98</v>
      </c>
      <c r="S360" s="65"/>
      <c r="T360" s="65">
        <f>IFERROR(__xludf.DUMMYFUNCTION("""COMPUTED_VALUE"""),8.28)</f>
        <v>8.28</v>
      </c>
      <c r="U360" s="65">
        <f>IFERROR(__xludf.DUMMYFUNCTION("""COMPUTED_VALUE"""),0.0)</f>
        <v>0</v>
      </c>
      <c r="V360" s="65">
        <f>IFERROR(__xludf.DUMMYFUNCTION("""COMPUTED_VALUE"""),0.0)</f>
        <v>0</v>
      </c>
      <c r="W360" s="65">
        <f>IFERROR(__xludf.DUMMYFUNCTION("""COMPUTED_VALUE"""),0.0)</f>
        <v>0</v>
      </c>
      <c r="X360" s="65">
        <f>IFERROR(__xludf.DUMMYFUNCTION("""COMPUTED_VALUE"""),3.75)</f>
        <v>3.75</v>
      </c>
      <c r="Y360" s="65">
        <f>IFERROR(__xludf.DUMMYFUNCTION("""COMPUTED_VALUE"""),7.5)</f>
        <v>7.5</v>
      </c>
      <c r="Z360" s="65">
        <f>IFERROR(__xludf.DUMMYFUNCTION("""COMPUTED_VALUE"""),113116.0)</f>
        <v>113116</v>
      </c>
      <c r="AA360" s="65" t="str">
        <f>IFERROR(__xludf.DUMMYFUNCTION("""COMPUTED_VALUE"""),"IM-TAZAKI")</f>
        <v>IM-TAZAKI</v>
      </c>
      <c r="AB360" s="65"/>
      <c r="AC360" s="65" t="str">
        <f>IFERROR(__xludf.DUMMYFUNCTION("""COMPUTED_VALUE"""),"Cuchillo tazaki")</f>
        <v>Cuchillo tazaki</v>
      </c>
      <c r="AD360" s="65"/>
      <c r="AE360" s="65">
        <f>IFERROR(__xludf.DUMMYFUNCTION("""COMPUTED_VALUE"""),2.0)</f>
        <v>2</v>
      </c>
      <c r="AF360" s="65"/>
      <c r="AG360" s="65"/>
      <c r="AH360" s="65"/>
      <c r="AI360" s="65"/>
      <c r="AJ360" s="65"/>
      <c r="AK360" s="65"/>
      <c r="AL360" s="65"/>
      <c r="AM360" s="65"/>
      <c r="AN360" s="65"/>
      <c r="AO360" s="65"/>
      <c r="AP360" s="65"/>
      <c r="AQ360" s="65"/>
      <c r="AR360" s="65"/>
      <c r="AS360" s="65"/>
      <c r="AT360" s="65" t="str">
        <f>IFERROR(__xludf.DUMMYFUNCTION("""COMPUTED_VALUE"""),"SHOPIFY")</f>
        <v>SHOPIFY</v>
      </c>
      <c r="AU360" s="65" t="str">
        <f>IFERROR(__xludf.DUMMYFUNCTION("""COMPUTED_VALUE"""),"IMPORTEX EC")</f>
        <v>IMPORTEX EC</v>
      </c>
      <c r="AV360" s="65" t="str">
        <f>IFERROR(__xludf.DUMMYFUNCTION("""COMPUTED_VALUE"""),"6552475697196")</f>
        <v>6552475697196</v>
      </c>
      <c r="AW360" s="65">
        <f>IFERROR(__xludf.DUMMYFUNCTION("""COMPUTED_VALUE"""),6505.0)</f>
        <v>6505</v>
      </c>
      <c r="AX360" s="65"/>
      <c r="AY360" s="65"/>
      <c r="AZ360" s="65"/>
      <c r="BA360" s="65"/>
    </row>
    <row r="361">
      <c r="A361" s="65" t="str">
        <f>IFERROR(__xludf.DUMMYFUNCTION("""COMPUTED_VALUE"""),"27-03-2026")</f>
        <v>27-03-2026</v>
      </c>
      <c r="B361" s="65">
        <f>IFERROR(__xludf.DUMMYFUNCTION("""COMPUTED_VALUE"""),4673701.0)</f>
        <v>4673701</v>
      </c>
      <c r="C361" s="65" t="str">
        <f>IFERROR(__xludf.DUMMYFUNCTION("""COMPUTED_VALUE"""),"13:50")</f>
        <v>13:50</v>
      </c>
      <c r="D361" s="65" t="str">
        <f>IFERROR(__xludf.DUMMYFUNCTION("""COMPUTED_VALUE"""),"02-03-2026")</f>
        <v>02-03-2026</v>
      </c>
      <c r="E361" s="65" t="str">
        <f>IFERROR(__xludf.DUMMYFUNCTION("""COMPUTED_VALUE"""),"FRANCISCO POVEDA")</f>
        <v>FRANCISCO POVEDA</v>
      </c>
      <c r="F361" s="65" t="str">
        <f>IFERROR(__xludf.DUMMYFUNCTION("""COMPUTED_VALUE"""),"961931960")</f>
        <v>961931960</v>
      </c>
      <c r="G361" s="65" t="str">
        <f>IFERROR(__xludf.DUMMYFUNCTION("""COMPUTED_VALUE"""),"Poveda1960juan@gmail.com")</f>
        <v>Poveda1960juan@gmail.com</v>
      </c>
      <c r="H361" s="65"/>
      <c r="I361" s="65"/>
      <c r="J361" s="65" t="str">
        <f>IFERROR(__xludf.DUMMYFUNCTION("""COMPUTED_VALUE"""),"D001378213")</f>
        <v>D001378213</v>
      </c>
      <c r="K361" s="65" t="str">
        <f>IFERROR(__xludf.DUMMYFUNCTION("""COMPUTED_VALUE"""),"ENTREGADO")</f>
        <v>ENTREGADO</v>
      </c>
      <c r="L361" s="65" t="str">
        <f>IFERROR(__xludf.DUMMYFUNCTION("""COMPUTED_VALUE"""),"CON RECAUDO")</f>
        <v>CON RECAUDO</v>
      </c>
      <c r="M361" s="65" t="str">
        <f>IFERROR(__xludf.DUMMYFUNCTION("""COMPUTED_VALUE"""),"TUNGURAHUA")</f>
        <v>TUNGURAHUA</v>
      </c>
      <c r="N361" s="65" t="str">
        <f>IFERROR(__xludf.DUMMYFUNCTION("""COMPUTED_VALUE"""),"AMBATO")</f>
        <v>AMBATO</v>
      </c>
      <c r="O361" s="65" t="str">
        <f>IFERROR(__xludf.DUMMYFUNCTION("""COMPUTED_VALUE"""),"MANABI 1113 Y CHONE BELLAVISTA TRAS DEL ESTADIO - Casa de color Durasno de teja")</f>
        <v>MANABI 1113 Y CHONE BELLAVISTA TRAS DEL ESTADIO - Casa de color Durasno de teja</v>
      </c>
      <c r="P361" s="65"/>
      <c r="Q361" s="65" t="str">
        <f>IFERROR(__xludf.DUMMYFUNCTION("""COMPUTED_VALUE"""),"GINTRACOM")</f>
        <v>GINTRACOM</v>
      </c>
      <c r="R361" s="65">
        <f>IFERROR(__xludf.DUMMYFUNCTION("""COMPUTED_VALUE"""),22.0)</f>
        <v>22</v>
      </c>
      <c r="S361" s="65">
        <f>IFERROR(__xludf.DUMMYFUNCTION("""COMPUTED_VALUE"""),8.66)</f>
        <v>8.66</v>
      </c>
      <c r="T361" s="65">
        <f>IFERROR(__xludf.DUMMYFUNCTION("""COMPUTED_VALUE"""),5.84)</f>
        <v>5.84</v>
      </c>
      <c r="U361" s="65">
        <f>IFERROR(__xludf.DUMMYFUNCTION("""COMPUTED_VALUE"""),0.0)</f>
        <v>0</v>
      </c>
      <c r="V361" s="65">
        <f>IFERROR(__xludf.DUMMYFUNCTION("""COMPUTED_VALUE"""),0.0)</f>
        <v>0</v>
      </c>
      <c r="W361" s="65">
        <f>IFERROR(__xludf.DUMMYFUNCTION("""COMPUTED_VALUE"""),0.0)</f>
        <v>0</v>
      </c>
      <c r="X361" s="65">
        <f>IFERROR(__xludf.DUMMYFUNCTION("""COMPUTED_VALUE"""),3.75)</f>
        <v>3.75</v>
      </c>
      <c r="Y361" s="65">
        <f>IFERROR(__xludf.DUMMYFUNCTION("""COMPUTED_VALUE"""),7.5)</f>
        <v>7.5</v>
      </c>
      <c r="Z361" s="65">
        <f>IFERROR(__xludf.DUMMYFUNCTION("""COMPUTED_VALUE"""),113116.0)</f>
        <v>113116</v>
      </c>
      <c r="AA361" s="65" t="str">
        <f>IFERROR(__xludf.DUMMYFUNCTION("""COMPUTED_VALUE"""),"IM-TAZAKI")</f>
        <v>IM-TAZAKI</v>
      </c>
      <c r="AB361" s="65"/>
      <c r="AC361" s="65" t="str">
        <f>IFERROR(__xludf.DUMMYFUNCTION("""COMPUTED_VALUE"""),"Cuchillo tazaki")</f>
        <v>Cuchillo tazaki</v>
      </c>
      <c r="AD361" s="65"/>
      <c r="AE361" s="65">
        <f>IFERROR(__xludf.DUMMYFUNCTION("""COMPUTED_VALUE"""),2.0)</f>
        <v>2</v>
      </c>
      <c r="AF361" s="65" t="str">
        <f>IFERROR(__xludf.DUMMYFUNCTION("""COMPUTED_VALUE"""),"DESTINATARIO NO CONTESTA LLAMADAS NI WHATSAPP")</f>
        <v>DESTINATARIO NO CONTESTA LLAMADAS NI WHATSAPP</v>
      </c>
      <c r="AG361" s="65" t="str">
        <f>IFERROR(__xludf.DUMMYFUNCTION("""COMPUTED_VALUE"""),"SI")</f>
        <v>SI</v>
      </c>
      <c r="AH361" s="65" t="str">
        <f>IFERROR(__xludf.DUMMYFUNCTION("""COMPUTED_VALUE"""),"09:00")</f>
        <v>09:00</v>
      </c>
      <c r="AI361" s="65" t="str">
        <f>IFERROR(__xludf.DUMMYFUNCTION("""COMPUTED_VALUE"""),"08-03-2026")</f>
        <v>08-03-2026</v>
      </c>
      <c r="AJ361" s="65" t="str">
        <f>IFERROR(__xludf.DUMMYFUNCTION("""COMPUTED_VALUE"""),"Cliente solicita la entrega inmediata")</f>
        <v>Cliente solicita la entrega inmediata</v>
      </c>
      <c r="AK361" s="65" t="str">
        <f>IFERROR(__xludf.DUMMYFUNCTION("""COMPUTED_VALUE"""),"09:49")</f>
        <v>09:49</v>
      </c>
      <c r="AL361" s="65" t="str">
        <f>IFERROR(__xludf.DUMMYFUNCTION("""COMPUTED_VALUE"""),"10-03-2026")</f>
        <v>10-03-2026</v>
      </c>
      <c r="AM361" s="65"/>
      <c r="AN361" s="65" t="str">
        <f>IFERROR(__xludf.DUMMYFUNCTION("""COMPUTED_VALUE"""),"09:39")</f>
        <v>09:39</v>
      </c>
      <c r="AO361" s="65" t="str">
        <f>IFERROR(__xludf.DUMMYFUNCTION("""COMPUTED_VALUE"""),"12-03-2026")</f>
        <v>12-03-2026</v>
      </c>
      <c r="AP361" s="65" t="str">
        <f>IFERROR(__xludf.DUMMYFUNCTION("""COMPUTED_VALUE"""),"ENTREGADA GINTRACOM")</f>
        <v>ENTREGADA GINTRACOM</v>
      </c>
      <c r="AQ361" s="65" t="str">
        <f>IFERROR(__xludf.DUMMYFUNCTION("""COMPUTED_VALUE"""),"ENTREGADA GINTRACOM")</f>
        <v>ENTREGADA GINTRACOM</v>
      </c>
      <c r="AR361" s="65"/>
      <c r="AS361" s="65"/>
      <c r="AT361" s="65" t="str">
        <f>IFERROR(__xludf.DUMMYFUNCTION("""COMPUTED_VALUE"""),"SHOPIFY")</f>
        <v>SHOPIFY</v>
      </c>
      <c r="AU361" s="65" t="str">
        <f>IFERROR(__xludf.DUMMYFUNCTION("""COMPUTED_VALUE"""),"IMPORTEX EC")</f>
        <v>IMPORTEX EC</v>
      </c>
      <c r="AV361" s="65" t="str">
        <f>IFERROR(__xludf.DUMMYFUNCTION("""COMPUTED_VALUE"""),"6552387256364")</f>
        <v>6552387256364</v>
      </c>
      <c r="AW361" s="65">
        <f>IFERROR(__xludf.DUMMYFUNCTION("""COMPUTED_VALUE"""),6504.0)</f>
        <v>6504</v>
      </c>
      <c r="AX361" s="65"/>
      <c r="AY361" s="65" t="str">
        <f>IFERROR(__xludf.DUMMYFUNCTION("""COMPUTED_VALUE"""),"03/03/2026")</f>
        <v>03/03/2026</v>
      </c>
      <c r="AZ361" s="65"/>
      <c r="BA361" s="65"/>
    </row>
    <row r="362">
      <c r="A362" s="65" t="str">
        <f>IFERROR(__xludf.DUMMYFUNCTION("""COMPUTED_VALUE"""),"27-03-2026")</f>
        <v>27-03-2026</v>
      </c>
      <c r="B362" s="65">
        <f>IFERROR(__xludf.DUMMYFUNCTION("""COMPUTED_VALUE"""),4672869.0)</f>
        <v>4672869</v>
      </c>
      <c r="C362" s="65" t="str">
        <f>IFERROR(__xludf.DUMMYFUNCTION("""COMPUTED_VALUE"""),"12:42")</f>
        <v>12:42</v>
      </c>
      <c r="D362" s="65" t="str">
        <f>IFERROR(__xludf.DUMMYFUNCTION("""COMPUTED_VALUE"""),"02-03-2026")</f>
        <v>02-03-2026</v>
      </c>
      <c r="E362" s="65" t="str">
        <f>IFERROR(__xludf.DUMMYFUNCTION("""COMPUTED_VALUE"""),"Eduardo Ullauri S")</f>
        <v>Eduardo Ullauri S</v>
      </c>
      <c r="F362" s="65" t="str">
        <f>IFERROR(__xludf.DUMMYFUNCTION("""COMPUTED_VALUE"""),"986453382")</f>
        <v>986453382</v>
      </c>
      <c r="G362" s="65"/>
      <c r="H362" s="65"/>
      <c r="I362" s="65"/>
      <c r="J362" s="65" t="str">
        <f>IFERROR(__xludf.DUMMYFUNCTION("""COMPUTED_VALUE"""),"186610356")</f>
        <v>186610356</v>
      </c>
      <c r="K362" s="65" t="str">
        <f>IFERROR(__xludf.DUMMYFUNCTION("""COMPUTED_VALUE"""),"ENTREGADO")</f>
        <v>ENTREGADO</v>
      </c>
      <c r="L362" s="65" t="str">
        <f>IFERROR(__xludf.DUMMYFUNCTION("""COMPUTED_VALUE"""),"CON RECAUDO")</f>
        <v>CON RECAUDO</v>
      </c>
      <c r="M362" s="65" t="str">
        <f>IFERROR(__xludf.DUMMYFUNCTION("""COMPUTED_VALUE"""),"GUAYAS")</f>
        <v>GUAYAS</v>
      </c>
      <c r="N362" s="65" t="str">
        <f>IFERROR(__xludf.DUMMYFUNCTION("""COMPUTED_VALUE"""),"DURAN")</f>
        <v>DURAN</v>
      </c>
      <c r="O362" s="65" t="str">
        <f>IFERROR(__xludf.DUMMYFUNCTION("""COMPUTED_VALUE"""),"RETIRA EN CS : DURAN_PRIMAVERA 2 - PRIMAVERA 2 SECTOR IC MZ 16 V8")</f>
        <v>RETIRA EN CS : DURAN_PRIMAVERA 2 - PRIMAVERA 2 SECTOR IC MZ 16 V8</v>
      </c>
      <c r="P362" s="65"/>
      <c r="Q362" s="65" t="str">
        <f>IFERROR(__xludf.DUMMYFUNCTION("""COMPUTED_VALUE"""),"SERVIENTREGA")</f>
        <v>SERVIENTREGA</v>
      </c>
      <c r="R362" s="65">
        <f>IFERROR(__xludf.DUMMYFUNCTION("""COMPUTED_VALUE"""),25.0)</f>
        <v>25</v>
      </c>
      <c r="S362" s="65">
        <f>IFERROR(__xludf.DUMMYFUNCTION("""COMPUTED_VALUE"""),13.99)</f>
        <v>13.99</v>
      </c>
      <c r="T362" s="65">
        <f>IFERROR(__xludf.DUMMYFUNCTION("""COMPUTED_VALUE"""),6.31)</f>
        <v>6.31</v>
      </c>
      <c r="U362" s="65">
        <f>IFERROR(__xludf.DUMMYFUNCTION("""COMPUTED_VALUE"""),0.0)</f>
        <v>0</v>
      </c>
      <c r="V362" s="65">
        <f>IFERROR(__xludf.DUMMYFUNCTION("""COMPUTED_VALUE"""),0.0)</f>
        <v>0</v>
      </c>
      <c r="W362" s="65">
        <f>IFERROR(__xludf.DUMMYFUNCTION("""COMPUTED_VALUE"""),0.0)</f>
        <v>0</v>
      </c>
      <c r="X362" s="65">
        <f>IFERROR(__xludf.DUMMYFUNCTION("""COMPUTED_VALUE"""),2.35)</f>
        <v>2.35</v>
      </c>
      <c r="Y362" s="65">
        <f>IFERROR(__xludf.DUMMYFUNCTION("""COMPUTED_VALUE"""),4.7)</f>
        <v>4.7</v>
      </c>
      <c r="Z362" s="65">
        <f>IFERROR(__xludf.DUMMYFUNCTION("""COMPUTED_VALUE"""),116679.0)</f>
        <v>116679</v>
      </c>
      <c r="AA362" s="65" t="str">
        <f>IFERROR(__xludf.DUMMYFUNCTION("""COMPUTED_VALUE"""),"AMC-2738")</f>
        <v>AMC-2738</v>
      </c>
      <c r="AB362" s="65"/>
      <c r="AC362" s="65" t="str">
        <f>IFERROR(__xludf.DUMMYFUNCTION("""COMPUTED_VALUE"""),"ESPONJA ANTILLUVIA DE PARABRISAS")</f>
        <v>ESPONJA ANTILLUVIA DE PARABRISAS</v>
      </c>
      <c r="AD362" s="65"/>
      <c r="AE362" s="65">
        <f>IFERROR(__xludf.DUMMYFUNCTION("""COMPUTED_VALUE"""),2.0)</f>
        <v>2</v>
      </c>
      <c r="AF362" s="65"/>
      <c r="AG362" s="65"/>
      <c r="AH362" s="65"/>
      <c r="AI362" s="65"/>
      <c r="AJ362" s="65"/>
      <c r="AK362" s="65"/>
      <c r="AL362" s="65"/>
      <c r="AM362" s="65"/>
      <c r="AN362" s="65" t="str">
        <f>IFERROR(__xludf.DUMMYFUNCTION("""COMPUTED_VALUE"""),"10:01")</f>
        <v>10:01</v>
      </c>
      <c r="AO362" s="65" t="str">
        <f>IFERROR(__xludf.DUMMYFUNCTION("""COMPUTED_VALUE"""),"20-03-2026")</f>
        <v>20-03-2026</v>
      </c>
      <c r="AP362" s="65" t="str">
        <f>IFERROR(__xludf.DUMMYFUNCTION("""COMPUTED_VALUE"""),"ENTREGA DIGITALIZADA EN CENTRO LOGISTICO")</f>
        <v>ENTREGA DIGITALIZADA EN CENTRO LOGISTICO</v>
      </c>
      <c r="AQ362" s="65" t="str">
        <f>IFERROR(__xludf.DUMMYFUNCTION("""COMPUTED_VALUE"""),"EDUARDO ULLAURI S")</f>
        <v>EDUARDO ULLAURI S</v>
      </c>
      <c r="AR362" s="65"/>
      <c r="AS362" s="65"/>
      <c r="AT362" s="65"/>
      <c r="AU362" s="65"/>
      <c r="AV362" s="65"/>
      <c r="AW362" s="65"/>
      <c r="AX362" s="65"/>
      <c r="AY362" s="65" t="str">
        <f>IFERROR(__xludf.DUMMYFUNCTION("""COMPUTED_VALUE"""),"03/03/2026")</f>
        <v>03/03/2026</v>
      </c>
      <c r="AZ362" s="65"/>
      <c r="BA362" s="65"/>
    </row>
    <row r="363">
      <c r="A363" s="65" t="str">
        <f>IFERROR(__xludf.DUMMYFUNCTION("""COMPUTED_VALUE"""),"27-03-2026")</f>
        <v>27-03-2026</v>
      </c>
      <c r="B363" s="65">
        <f>IFERROR(__xludf.DUMMYFUNCTION("""COMPUTED_VALUE"""),4672811.0)</f>
        <v>4672811</v>
      </c>
      <c r="C363" s="65" t="str">
        <f>IFERROR(__xludf.DUMMYFUNCTION("""COMPUTED_VALUE"""),"12:38")</f>
        <v>12:38</v>
      </c>
      <c r="D363" s="65" t="str">
        <f>IFERROR(__xludf.DUMMYFUNCTION("""COMPUTED_VALUE"""),"02-03-2026")</f>
        <v>02-03-2026</v>
      </c>
      <c r="E363" s="65" t="str">
        <f>IFERROR(__xludf.DUMMYFUNCTION("""COMPUTED_VALUE"""),"Eduardo Ullauri S")</f>
        <v>Eduardo Ullauri S</v>
      </c>
      <c r="F363" s="65" t="str">
        <f>IFERROR(__xludf.DUMMYFUNCTION("""COMPUTED_VALUE"""),"986453382")</f>
        <v>986453382</v>
      </c>
      <c r="G363" s="65"/>
      <c r="H363" s="65"/>
      <c r="I363" s="65"/>
      <c r="J363" s="65"/>
      <c r="K363" s="65" t="str">
        <f>IFERROR(__xludf.DUMMYFUNCTION("""COMPUTED_VALUE"""),"CANCELADO")</f>
        <v>CANCELADO</v>
      </c>
      <c r="L363" s="65" t="str">
        <f>IFERROR(__xludf.DUMMYFUNCTION("""COMPUTED_VALUE"""),"CON RECAUDO")</f>
        <v>CON RECAUDO</v>
      </c>
      <c r="M363" s="65" t="str">
        <f>IFERROR(__xludf.DUMMYFUNCTION("""COMPUTED_VALUE"""),"GUAYAS")</f>
        <v>GUAYAS</v>
      </c>
      <c r="N363" s="65" t="str">
        <f>IFERROR(__xludf.DUMMYFUNCTION("""COMPUTED_VALUE"""),"DURAN")</f>
        <v>DURAN</v>
      </c>
      <c r="O363" s="65" t="str">
        <f>IFERROR(__xludf.DUMMYFUNCTION("""COMPUTED_VALUE"""),"RETIRA EN CS : DURAN_PRIMAVERA 2 - PRIMAVERA 2 SECTOR IC MZ 16 V8")</f>
        <v>RETIRA EN CS : DURAN_PRIMAVERA 2 - PRIMAVERA 2 SECTOR IC MZ 16 V8</v>
      </c>
      <c r="P363" s="65"/>
      <c r="Q363" s="65" t="str">
        <f>IFERROR(__xludf.DUMMYFUNCTION("""COMPUTED_VALUE"""),"SERVIENTREGA")</f>
        <v>SERVIENTREGA</v>
      </c>
      <c r="R363" s="65">
        <f>IFERROR(__xludf.DUMMYFUNCTION("""COMPUTED_VALUE"""),20.0)</f>
        <v>20</v>
      </c>
      <c r="S363" s="65"/>
      <c r="T363" s="65">
        <f>IFERROR(__xludf.DUMMYFUNCTION("""COMPUTED_VALUE"""),6.24)</f>
        <v>6.24</v>
      </c>
      <c r="U363" s="65">
        <f>IFERROR(__xludf.DUMMYFUNCTION("""COMPUTED_VALUE"""),0.0)</f>
        <v>0</v>
      </c>
      <c r="V363" s="65">
        <f>IFERROR(__xludf.DUMMYFUNCTION("""COMPUTED_VALUE"""),0.0)</f>
        <v>0</v>
      </c>
      <c r="W363" s="65">
        <f>IFERROR(__xludf.DUMMYFUNCTION("""COMPUTED_VALUE"""),0.0)</f>
        <v>0</v>
      </c>
      <c r="X363" s="65">
        <f>IFERROR(__xludf.DUMMYFUNCTION("""COMPUTED_VALUE"""),2.35)</f>
        <v>2.35</v>
      </c>
      <c r="Y363" s="65">
        <f>IFERROR(__xludf.DUMMYFUNCTION("""COMPUTED_VALUE"""),2.35)</f>
        <v>2.35</v>
      </c>
      <c r="Z363" s="65">
        <f>IFERROR(__xludf.DUMMYFUNCTION("""COMPUTED_VALUE"""),116679.0)</f>
        <v>116679</v>
      </c>
      <c r="AA363" s="65" t="str">
        <f>IFERROR(__xludf.DUMMYFUNCTION("""COMPUTED_VALUE"""),"AMC-2738")</f>
        <v>AMC-2738</v>
      </c>
      <c r="AB363" s="65"/>
      <c r="AC363" s="65" t="str">
        <f>IFERROR(__xludf.DUMMYFUNCTION("""COMPUTED_VALUE"""),"ESPONJA ANTILLUVIA DE PARABRISAS")</f>
        <v>ESPONJA ANTILLUVIA DE PARABRISAS</v>
      </c>
      <c r="AD363" s="65"/>
      <c r="AE363" s="65">
        <f>IFERROR(__xludf.DUMMYFUNCTION("""COMPUTED_VALUE"""),1.0)</f>
        <v>1</v>
      </c>
      <c r="AF363" s="65"/>
      <c r="AG363" s="65"/>
      <c r="AH363" s="65"/>
      <c r="AI363" s="65"/>
      <c r="AJ363" s="65"/>
      <c r="AK363" s="65"/>
      <c r="AL363" s="65"/>
      <c r="AM363" s="65"/>
      <c r="AN363" s="65"/>
      <c r="AO363" s="65"/>
      <c r="AP363" s="65"/>
      <c r="AQ363" s="65"/>
      <c r="AR363" s="65"/>
      <c r="AS363" s="65"/>
      <c r="AT363" s="65" t="str">
        <f>IFERROR(__xludf.DUMMYFUNCTION("""COMPUTED_VALUE"""),"CHATEA PRO")</f>
        <v>CHATEA PRO</v>
      </c>
      <c r="AU363" s="65" t="str">
        <f>IFERROR(__xludf.DUMMYFUNCTION("""COMPUTED_VALUE"""),"CHATEA PRO")</f>
        <v>CHATEA PRO</v>
      </c>
      <c r="AV363" s="65"/>
      <c r="AW363" s="65"/>
      <c r="AX363" s="65"/>
      <c r="AY363" s="65"/>
      <c r="AZ363" s="65"/>
      <c r="BA363" s="65"/>
    </row>
    <row r="364">
      <c r="A364" s="65" t="str">
        <f>IFERROR(__xludf.DUMMYFUNCTION("""COMPUTED_VALUE"""),"27-03-2026")</f>
        <v>27-03-2026</v>
      </c>
      <c r="B364" s="65">
        <f>IFERROR(__xludf.DUMMYFUNCTION("""COMPUTED_VALUE"""),4671140.0)</f>
        <v>4671140</v>
      </c>
      <c r="C364" s="65" t="str">
        <f>IFERROR(__xludf.DUMMYFUNCTION("""COMPUTED_VALUE"""),"10:34")</f>
        <v>10:34</v>
      </c>
      <c r="D364" s="65" t="str">
        <f>IFERROR(__xludf.DUMMYFUNCTION("""COMPUTED_VALUE"""),"02-03-2026")</f>
        <v>02-03-2026</v>
      </c>
      <c r="E364" s="65" t="str">
        <f>IFERROR(__xludf.DUMMYFUNCTION("""COMPUTED_VALUE"""),"Daniel Cárdenas")</f>
        <v>Daniel Cárdenas</v>
      </c>
      <c r="F364" s="65" t="str">
        <f>IFERROR(__xludf.DUMMYFUNCTION("""COMPUTED_VALUE"""),"983080155")</f>
        <v>983080155</v>
      </c>
      <c r="G364" s="65" t="str">
        <f>IFERROR(__xludf.DUMMYFUNCTION("""COMPUTED_VALUE"""),"pdcs1022@gmail.com")</f>
        <v>pdcs1022@gmail.com</v>
      </c>
      <c r="H364" s="65"/>
      <c r="I364" s="65"/>
      <c r="J364" s="65" t="str">
        <f>IFERROR(__xludf.DUMMYFUNCTION("""COMPUTED_VALUE"""),"D001378842")</f>
        <v>D001378842</v>
      </c>
      <c r="K364" s="65" t="str">
        <f>IFERROR(__xludf.DUMMYFUNCTION("""COMPUTED_VALUE"""),"ENTREGADO")</f>
        <v>ENTREGADO</v>
      </c>
      <c r="L364" s="65" t="str">
        <f>IFERROR(__xludf.DUMMYFUNCTION("""COMPUTED_VALUE"""),"CON RECAUDO")</f>
        <v>CON RECAUDO</v>
      </c>
      <c r="M364" s="65" t="str">
        <f>IFERROR(__xludf.DUMMYFUNCTION("""COMPUTED_VALUE"""),"GUAYAS")</f>
        <v>GUAYAS</v>
      </c>
      <c r="N364" s="65" t="str">
        <f>IFERROR(__xludf.DUMMYFUNCTION("""COMPUTED_VALUE"""),"GUAYAQUIL")</f>
        <v>GUAYAQUIL</v>
      </c>
      <c r="O364" s="65" t="str">
        <f>IFERROR(__xludf.DUMMYFUNCTION("""COMPUTED_VALUE"""),"Babahoyo 2728 y Pedro Robles Chember Diagonal a una iglesia Test Jehová.")</f>
        <v>Babahoyo 2728 y Pedro Robles Chember Diagonal a una iglesia Test Jehová.</v>
      </c>
      <c r="P364" s="65"/>
      <c r="Q364" s="65" t="str">
        <f>IFERROR(__xludf.DUMMYFUNCTION("""COMPUTED_VALUE"""),"GINTRACOM")</f>
        <v>GINTRACOM</v>
      </c>
      <c r="R364" s="65">
        <f>IFERROR(__xludf.DUMMYFUNCTION("""COMPUTED_VALUE"""),25.0)</f>
        <v>25</v>
      </c>
      <c r="S364" s="65">
        <f>IFERROR(__xludf.DUMMYFUNCTION("""COMPUTED_VALUE"""),14.34)</f>
        <v>14.34</v>
      </c>
      <c r="T364" s="65">
        <f>IFERROR(__xludf.DUMMYFUNCTION("""COMPUTED_VALUE"""),5.96)</f>
        <v>5.96</v>
      </c>
      <c r="U364" s="65">
        <f>IFERROR(__xludf.DUMMYFUNCTION("""COMPUTED_VALUE"""),0.0)</f>
        <v>0</v>
      </c>
      <c r="V364" s="65">
        <f>IFERROR(__xludf.DUMMYFUNCTION("""COMPUTED_VALUE"""),0.0)</f>
        <v>0</v>
      </c>
      <c r="W364" s="65">
        <f>IFERROR(__xludf.DUMMYFUNCTION("""COMPUTED_VALUE"""),0.0)</f>
        <v>0</v>
      </c>
      <c r="X364" s="65">
        <f>IFERROR(__xludf.DUMMYFUNCTION("""COMPUTED_VALUE"""),2.35)</f>
        <v>2.35</v>
      </c>
      <c r="Y364" s="65">
        <f>IFERROR(__xludf.DUMMYFUNCTION("""COMPUTED_VALUE"""),4.7)</f>
        <v>4.7</v>
      </c>
      <c r="Z364" s="65">
        <f>IFERROR(__xludf.DUMMYFUNCTION("""COMPUTED_VALUE"""),116679.0)</f>
        <v>116679</v>
      </c>
      <c r="AA364" s="65" t="str">
        <f>IFERROR(__xludf.DUMMYFUNCTION("""COMPUTED_VALUE"""),"AMC-2738")</f>
        <v>AMC-2738</v>
      </c>
      <c r="AB364" s="65"/>
      <c r="AC364" s="65" t="str">
        <f>IFERROR(__xludf.DUMMYFUNCTION("""COMPUTED_VALUE"""),"ESPONJA ANTILLUVIA DE PARABRISAS")</f>
        <v>ESPONJA ANTILLUVIA DE PARABRISAS</v>
      </c>
      <c r="AD364" s="65"/>
      <c r="AE364" s="65">
        <f>IFERROR(__xludf.DUMMYFUNCTION("""COMPUTED_VALUE"""),2.0)</f>
        <v>2</v>
      </c>
      <c r="AF364" s="65"/>
      <c r="AG364" s="65"/>
      <c r="AH364" s="65"/>
      <c r="AI364" s="65"/>
      <c r="AJ364" s="65"/>
      <c r="AK364" s="65"/>
      <c r="AL364" s="65"/>
      <c r="AM364" s="65"/>
      <c r="AN364" s="65" t="str">
        <f>IFERROR(__xludf.DUMMYFUNCTION("""COMPUTED_VALUE"""),"09:55")</f>
        <v>09:55</v>
      </c>
      <c r="AO364" s="65" t="str">
        <f>IFERROR(__xludf.DUMMYFUNCTION("""COMPUTED_VALUE"""),"09-03-2026")</f>
        <v>09-03-2026</v>
      </c>
      <c r="AP364" s="65" t="str">
        <f>IFERROR(__xludf.DUMMYFUNCTION("""COMPUTED_VALUE"""),"EN REPARTO")</f>
        <v>EN REPARTO</v>
      </c>
      <c r="AQ364" s="65" t="str">
        <f>IFERROR(__xludf.DUMMYFUNCTION("""COMPUTED_VALUE"""),"EN REPARTO")</f>
        <v>EN REPARTO</v>
      </c>
      <c r="AR364" s="65"/>
      <c r="AS364" s="65"/>
      <c r="AT364" s="65" t="str">
        <f>IFERROR(__xludf.DUMMYFUNCTION("""COMPUTED_VALUE"""),"SHOPIFY")</f>
        <v>SHOPIFY</v>
      </c>
      <c r="AU364" s="65" t="str">
        <f>IFERROR(__xludf.DUMMYFUNCTION("""COMPUTED_VALUE"""),"IMPORTEX EC")</f>
        <v>IMPORTEX EC</v>
      </c>
      <c r="AV364" s="65" t="str">
        <f>IFERROR(__xludf.DUMMYFUNCTION("""COMPUTED_VALUE"""),"6551958028332")</f>
        <v>6551958028332</v>
      </c>
      <c r="AW364" s="65">
        <f>IFERROR(__xludf.DUMMYFUNCTION("""COMPUTED_VALUE"""),6503.0)</f>
        <v>6503</v>
      </c>
      <c r="AX364" s="65"/>
      <c r="AY364" s="65" t="str">
        <f>IFERROR(__xludf.DUMMYFUNCTION("""COMPUTED_VALUE"""),"03/03/2026")</f>
        <v>03/03/2026</v>
      </c>
      <c r="AZ364" s="65"/>
      <c r="BA364" s="65"/>
    </row>
    <row r="365">
      <c r="A365" s="65" t="str">
        <f>IFERROR(__xludf.DUMMYFUNCTION("""COMPUTED_VALUE"""),"27-03-2026")</f>
        <v>27-03-2026</v>
      </c>
      <c r="B365" s="65">
        <f>IFERROR(__xludf.DUMMYFUNCTION("""COMPUTED_VALUE"""),4670381.0)</f>
        <v>4670381</v>
      </c>
      <c r="C365" s="65" t="str">
        <f>IFERROR(__xludf.DUMMYFUNCTION("""COMPUTED_VALUE"""),"09:43")</f>
        <v>09:43</v>
      </c>
      <c r="D365" s="65" t="str">
        <f>IFERROR(__xludf.DUMMYFUNCTION("""COMPUTED_VALUE"""),"02-03-2026")</f>
        <v>02-03-2026</v>
      </c>
      <c r="E365" s="65" t="str">
        <f>IFERROR(__xludf.DUMMYFUNCTION("""COMPUTED_VALUE"""),"Narciso Valentín Asencio Torres")</f>
        <v>Narciso Valentín Asencio Torres</v>
      </c>
      <c r="F365" s="65" t="str">
        <f>IFERROR(__xludf.DUMMYFUNCTION("""COMPUTED_VALUE"""),"997700234")</f>
        <v>997700234</v>
      </c>
      <c r="G365" s="65"/>
      <c r="H365" s="65"/>
      <c r="I365" s="65"/>
      <c r="J365" s="65" t="str">
        <f>IFERROR(__xludf.DUMMYFUNCTION("""COMPUTED_VALUE"""),"LC53001708")</f>
        <v>LC53001708</v>
      </c>
      <c r="K365" s="65" t="str">
        <f>IFERROR(__xludf.DUMMYFUNCTION("""COMPUTED_VALUE"""),"DEVOLUCION")</f>
        <v>DEVOLUCION</v>
      </c>
      <c r="L365" s="65" t="str">
        <f>IFERROR(__xludf.DUMMYFUNCTION("""COMPUTED_VALUE"""),"CON RECAUDO")</f>
        <v>CON RECAUDO</v>
      </c>
      <c r="M365" s="65" t="str">
        <f>IFERROR(__xludf.DUMMYFUNCTION("""COMPUTED_VALUE"""),"GUAYAS")</f>
        <v>GUAYAS</v>
      </c>
      <c r="N365" s="65" t="str">
        <f>IFERROR(__xludf.DUMMYFUNCTION("""COMPUTED_VALUE"""),"BALAO")</f>
        <v>BALAO</v>
      </c>
      <c r="O365" s="65" t="str">
        <f>IFERROR(__xludf.DUMMYFUNCTION("""COMPUTED_VALUE"""),"Calle Comercio y 9 de Octubre - Balao Grande")</f>
        <v>Calle Comercio y 9 de Octubre - Balao Grande</v>
      </c>
      <c r="P365" s="65"/>
      <c r="Q365" s="65" t="str">
        <f>IFERROR(__xludf.DUMMYFUNCTION("""COMPUTED_VALUE"""),"LAARCOURIER")</f>
        <v>LAARCOURIER</v>
      </c>
      <c r="R365" s="65">
        <f>IFERROR(__xludf.DUMMYFUNCTION("""COMPUTED_VALUE"""),24.2)</f>
        <v>24.2</v>
      </c>
      <c r="S365" s="65"/>
      <c r="T365" s="65">
        <f>IFERROR(__xludf.DUMMYFUNCTION("""COMPUTED_VALUE"""),7.14)</f>
        <v>7.14</v>
      </c>
      <c r="U365" s="65">
        <f>IFERROR(__xludf.DUMMYFUNCTION("""COMPUTED_VALUE"""),0.0)</f>
        <v>0</v>
      </c>
      <c r="V365" s="65">
        <f>IFERROR(__xludf.DUMMYFUNCTION("""COMPUTED_VALUE"""),0.0)</f>
        <v>0</v>
      </c>
      <c r="W365" s="65">
        <f>IFERROR(__xludf.DUMMYFUNCTION("""COMPUTED_VALUE"""),0.0)</f>
        <v>0</v>
      </c>
      <c r="X365" s="65">
        <f>IFERROR(__xludf.DUMMYFUNCTION("""COMPUTED_VALUE"""),5.0)</f>
        <v>5</v>
      </c>
      <c r="Y365" s="65">
        <f>IFERROR(__xludf.DUMMYFUNCTION("""COMPUTED_VALUE"""),10.0)</f>
        <v>10</v>
      </c>
      <c r="Z365" s="65">
        <f>IFERROR(__xludf.DUMMYFUNCTION("""COMPUTED_VALUE"""),130492.0)</f>
        <v>130492</v>
      </c>
      <c r="AA365" s="65" t="str">
        <f>IFERROR(__xludf.DUMMYFUNCTION("""COMPUTED_VALUE"""),"IMX-00006")</f>
        <v>IMX-00006</v>
      </c>
      <c r="AB365" s="65"/>
      <c r="AC365" s="65" t="str">
        <f>IFERROR(__xludf.DUMMYFUNCTION("""COMPUTED_VALUE"""),"Receptor Bluetooth")</f>
        <v>Receptor Bluetooth</v>
      </c>
      <c r="AD365" s="65"/>
      <c r="AE365" s="65">
        <f>IFERROR(__xludf.DUMMYFUNCTION("""COMPUTED_VALUE"""),2.0)</f>
        <v>2</v>
      </c>
      <c r="AF365" s="65"/>
      <c r="AG365" s="65"/>
      <c r="AH365" s="65"/>
      <c r="AI365" s="65"/>
      <c r="AJ365" s="65"/>
      <c r="AK365" s="65"/>
      <c r="AL365" s="65"/>
      <c r="AM365" s="65"/>
      <c r="AN365" s="65" t="str">
        <f>IFERROR(__xludf.DUMMYFUNCTION("""COMPUTED_VALUE"""),"10:17")</f>
        <v>10:17</v>
      </c>
      <c r="AO365" s="65" t="str">
        <f>IFERROR(__xludf.DUMMYFUNCTION("""COMPUTED_VALUE"""),"16-03-2026")</f>
        <v>16-03-2026</v>
      </c>
      <c r="AP365" s="65" t="str">
        <f>IFERROR(__xludf.DUMMYFUNCTION("""COMPUTED_VALUE"""),"DEVOLUCIÓN / ENTREGA")</f>
        <v>DEVOLUCIÓN / ENTREGA</v>
      </c>
      <c r="AQ365" s="65" t="str">
        <f>IFERROR(__xludf.DUMMYFUNCTION("""COMPUTED_VALUE"""),"DEVOLUCIÓN / ENTREGA")</f>
        <v>DEVOLUCIÓN / ENTREGA</v>
      </c>
      <c r="AR365" s="65"/>
      <c r="AS365" s="65"/>
      <c r="AT365" s="65" t="str">
        <f>IFERROR(__xludf.DUMMYFUNCTION("""COMPUTED_VALUE"""),"CHATEA PRO")</f>
        <v>CHATEA PRO</v>
      </c>
      <c r="AU365" s="65" t="str">
        <f>IFERROR(__xludf.DUMMYFUNCTION("""COMPUTED_VALUE"""),"CHATEA PRO")</f>
        <v>CHATEA PRO</v>
      </c>
      <c r="AV365" s="65"/>
      <c r="AW365" s="65"/>
      <c r="AX365" s="65"/>
      <c r="AY365" s="65" t="str">
        <f>IFERROR(__xludf.DUMMYFUNCTION("""COMPUTED_VALUE"""),"03/03/2026")</f>
        <v>03/03/2026</v>
      </c>
      <c r="AZ365" s="65"/>
      <c r="BA365" s="65"/>
    </row>
    <row r="366">
      <c r="A366" s="65" t="str">
        <f>IFERROR(__xludf.DUMMYFUNCTION("""COMPUTED_VALUE"""),"27-03-2026")</f>
        <v>27-03-2026</v>
      </c>
      <c r="B366" s="65">
        <f>IFERROR(__xludf.DUMMYFUNCTION("""COMPUTED_VALUE"""),4670201.0)</f>
        <v>4670201</v>
      </c>
      <c r="C366" s="65" t="str">
        <f>IFERROR(__xludf.DUMMYFUNCTION("""COMPUTED_VALUE"""),"09:29")</f>
        <v>09:29</v>
      </c>
      <c r="D366" s="65" t="str">
        <f>IFERROR(__xludf.DUMMYFUNCTION("""COMPUTED_VALUE"""),"02-03-2026")</f>
        <v>02-03-2026</v>
      </c>
      <c r="E366" s="65" t="str">
        <f>IFERROR(__xludf.DUMMYFUNCTION("""COMPUTED_VALUE"""),"Christian Cueva")</f>
        <v>Christian Cueva</v>
      </c>
      <c r="F366" s="65" t="str">
        <f>IFERROR(__xludf.DUMMYFUNCTION("""COMPUTED_VALUE"""),"990389561")</f>
        <v>990389561</v>
      </c>
      <c r="G366" s="65" t="str">
        <f>IFERROR(__xludf.DUMMYFUNCTION("""COMPUTED_VALUE"""),"chriscueva1274@hotmail.com")</f>
        <v>chriscueva1274@hotmail.com</v>
      </c>
      <c r="H366" s="65"/>
      <c r="I366" s="65"/>
      <c r="J366" s="65"/>
      <c r="K366" s="65" t="str">
        <f>IFERROR(__xludf.DUMMYFUNCTION("""COMPUTED_VALUE"""),"PENDIENTE CONFIRMACION")</f>
        <v>PENDIENTE CONFIRMACION</v>
      </c>
      <c r="L366" s="65" t="str">
        <f>IFERROR(__xludf.DUMMYFUNCTION("""COMPUTED_VALUE"""),"CON RECAUDO")</f>
        <v>CON RECAUDO</v>
      </c>
      <c r="M366" s="65" t="str">
        <f>IFERROR(__xludf.DUMMYFUNCTION("""COMPUTED_VALUE"""),"PICHINCHA")</f>
        <v>PICHINCHA</v>
      </c>
      <c r="N366" s="65" t="str">
        <f>IFERROR(__xludf.DUMMYFUNCTION("""COMPUTED_VALUE"""),"QUITO")</f>
        <v>QUITO</v>
      </c>
      <c r="O366" s="65" t="str">
        <f>IFERROR(__xludf.DUMMYFUNCTION("""COMPUTED_VALUE"""),"Shuaras Oe4-12 y Gonzalo Benitez Ex cines gemelos -")</f>
        <v>Shuaras Oe4-12 y Gonzalo Benitez Ex cines gemelos -</v>
      </c>
      <c r="P366" s="65"/>
      <c r="Q366" s="65" t="str">
        <f>IFERROR(__xludf.DUMMYFUNCTION("""COMPUTED_VALUE"""),"GINTRACOM")</f>
        <v>GINTRACOM</v>
      </c>
      <c r="R366" s="65">
        <f>IFERROR(__xludf.DUMMYFUNCTION("""COMPUTED_VALUE"""),24.2)</f>
        <v>24.2</v>
      </c>
      <c r="S366" s="65"/>
      <c r="T366" s="65">
        <f>IFERROR(__xludf.DUMMYFUNCTION("""COMPUTED_VALUE"""),4.31)</f>
        <v>4.31</v>
      </c>
      <c r="U366" s="65">
        <f>IFERROR(__xludf.DUMMYFUNCTION("""COMPUTED_VALUE"""),0.0)</f>
        <v>0</v>
      </c>
      <c r="V366" s="65">
        <f>IFERROR(__xludf.DUMMYFUNCTION("""COMPUTED_VALUE"""),0.0)</f>
        <v>0</v>
      </c>
      <c r="W366" s="65">
        <f>IFERROR(__xludf.DUMMYFUNCTION("""COMPUTED_VALUE"""),0.0)</f>
        <v>0</v>
      </c>
      <c r="X366" s="65">
        <f>IFERROR(__xludf.DUMMYFUNCTION("""COMPUTED_VALUE"""),5.0)</f>
        <v>5</v>
      </c>
      <c r="Y366" s="65">
        <f>IFERROR(__xludf.DUMMYFUNCTION("""COMPUTED_VALUE"""),10.0)</f>
        <v>10</v>
      </c>
      <c r="Z366" s="65">
        <f>IFERROR(__xludf.DUMMYFUNCTION("""COMPUTED_VALUE"""),130492.0)</f>
        <v>130492</v>
      </c>
      <c r="AA366" s="65" t="str">
        <f>IFERROR(__xludf.DUMMYFUNCTION("""COMPUTED_VALUE"""),"IMX-00006")</f>
        <v>IMX-00006</v>
      </c>
      <c r="AB366" s="65"/>
      <c r="AC366" s="65" t="str">
        <f>IFERROR(__xludf.DUMMYFUNCTION("""COMPUTED_VALUE"""),"Receptor Bluetooth")</f>
        <v>Receptor Bluetooth</v>
      </c>
      <c r="AD366" s="65"/>
      <c r="AE366" s="65">
        <f>IFERROR(__xludf.DUMMYFUNCTION("""COMPUTED_VALUE"""),2.0)</f>
        <v>2</v>
      </c>
      <c r="AF366" s="65"/>
      <c r="AG366" s="65"/>
      <c r="AH366" s="65"/>
      <c r="AI366" s="65"/>
      <c r="AJ366" s="65"/>
      <c r="AK366" s="65"/>
      <c r="AL366" s="65"/>
      <c r="AM366" s="65"/>
      <c r="AN366" s="65"/>
      <c r="AO366" s="65"/>
      <c r="AP366" s="65"/>
      <c r="AQ366" s="65"/>
      <c r="AR366" s="65"/>
      <c r="AS366" s="65"/>
      <c r="AT366" s="65" t="str">
        <f>IFERROR(__xludf.DUMMYFUNCTION("""COMPUTED_VALUE"""),"SHOPIFY")</f>
        <v>SHOPIFY</v>
      </c>
      <c r="AU366" s="65" t="str">
        <f>IFERROR(__xludf.DUMMYFUNCTION("""COMPUTED_VALUE"""),"IMPORTEX EC")</f>
        <v>IMPORTEX EC</v>
      </c>
      <c r="AV366" s="65" t="str">
        <f>IFERROR(__xludf.DUMMYFUNCTION("""COMPUTED_VALUE"""),"6546677530668")</f>
        <v>6546677530668</v>
      </c>
      <c r="AW366" s="65">
        <f>IFERROR(__xludf.DUMMYFUNCTION("""COMPUTED_VALUE"""),6412.0)</f>
        <v>6412</v>
      </c>
      <c r="AX366" s="65"/>
      <c r="AY366" s="65"/>
      <c r="AZ366" s="65"/>
      <c r="BA366" s="65"/>
    </row>
    <row r="367">
      <c r="A367" s="65" t="str">
        <f>IFERROR(__xludf.DUMMYFUNCTION("""COMPUTED_VALUE"""),"27-03-2026")</f>
        <v>27-03-2026</v>
      </c>
      <c r="B367" s="65">
        <f>IFERROR(__xludf.DUMMYFUNCTION("""COMPUTED_VALUE"""),4669338.0)</f>
        <v>4669338</v>
      </c>
      <c r="C367" s="65" t="str">
        <f>IFERROR(__xludf.DUMMYFUNCTION("""COMPUTED_VALUE"""),"08:28")</f>
        <v>08:28</v>
      </c>
      <c r="D367" s="65" t="str">
        <f>IFERROR(__xludf.DUMMYFUNCTION("""COMPUTED_VALUE"""),"02-03-2026")</f>
        <v>02-03-2026</v>
      </c>
      <c r="E367" s="65" t="str">
        <f>IFERROR(__xludf.DUMMYFUNCTION("""COMPUTED_VALUE"""),"Claudia Villamagua")</f>
        <v>Claudia Villamagua</v>
      </c>
      <c r="F367" s="65" t="str">
        <f>IFERROR(__xludf.DUMMYFUNCTION("""COMPUTED_VALUE"""),"988361693")</f>
        <v>988361693</v>
      </c>
      <c r="G367" s="65" t="str">
        <f>IFERROR(__xludf.DUMMYFUNCTION("""COMPUTED_VALUE"""),"claudia06villamagua@gmail.com")</f>
        <v>claudia06villamagua@gmail.com</v>
      </c>
      <c r="H367" s="65"/>
      <c r="I367" s="65"/>
      <c r="J367" s="65" t="str">
        <f>IFERROR(__xludf.DUMMYFUNCTION("""COMPUTED_VALUE"""),"D001378214")</f>
        <v>D001378214</v>
      </c>
      <c r="K367" s="65" t="str">
        <f>IFERROR(__xludf.DUMMYFUNCTION("""COMPUTED_VALUE"""),"ENTREGADO")</f>
        <v>ENTREGADO</v>
      </c>
      <c r="L367" s="65" t="str">
        <f>IFERROR(__xludf.DUMMYFUNCTION("""COMPUTED_VALUE"""),"CON RECAUDO")</f>
        <v>CON RECAUDO</v>
      </c>
      <c r="M367" s="65" t="str">
        <f>IFERROR(__xludf.DUMMYFUNCTION("""COMPUTED_VALUE"""),"EL ORO")</f>
        <v>EL ORO</v>
      </c>
      <c r="N367" s="65" t="str">
        <f>IFERROR(__xludf.DUMMYFUNCTION("""COMPUTED_VALUE"""),"MACHALA")</f>
        <v>MACHALA</v>
      </c>
      <c r="O367" s="65" t="str">
        <f>IFERROR(__xludf.DUMMYFUNCTION("""COMPUTED_VALUE"""),"Av 25 de Junio urbanización Orocity 1 mza A villa 12 entrando frente al parque de la urbanización.")</f>
        <v>Av 25 de Junio urbanización Orocity 1 mza A villa 12 entrando frente al parque de la urbanización.</v>
      </c>
      <c r="P367" s="65"/>
      <c r="Q367" s="65" t="str">
        <f>IFERROR(__xludf.DUMMYFUNCTION("""COMPUTED_VALUE"""),"GINTRACOM")</f>
        <v>GINTRACOM</v>
      </c>
      <c r="R367" s="65">
        <f>IFERROR(__xludf.DUMMYFUNCTION("""COMPUTED_VALUE"""),22.0)</f>
        <v>22</v>
      </c>
      <c r="S367" s="65">
        <f>IFERROR(__xludf.DUMMYFUNCTION("""COMPUTED_VALUE"""),8.66)</f>
        <v>8.66</v>
      </c>
      <c r="T367" s="65">
        <f>IFERROR(__xludf.DUMMYFUNCTION("""COMPUTED_VALUE"""),5.84)</f>
        <v>5.84</v>
      </c>
      <c r="U367" s="65">
        <f>IFERROR(__xludf.DUMMYFUNCTION("""COMPUTED_VALUE"""),0.0)</f>
        <v>0</v>
      </c>
      <c r="V367" s="65">
        <f>IFERROR(__xludf.DUMMYFUNCTION("""COMPUTED_VALUE"""),0.0)</f>
        <v>0</v>
      </c>
      <c r="W367" s="65">
        <f>IFERROR(__xludf.DUMMYFUNCTION("""COMPUTED_VALUE"""),0.0)</f>
        <v>0</v>
      </c>
      <c r="X367" s="65">
        <f>IFERROR(__xludf.DUMMYFUNCTION("""COMPUTED_VALUE"""),3.75)</f>
        <v>3.75</v>
      </c>
      <c r="Y367" s="65">
        <f>IFERROR(__xludf.DUMMYFUNCTION("""COMPUTED_VALUE"""),7.5)</f>
        <v>7.5</v>
      </c>
      <c r="Z367" s="65">
        <f>IFERROR(__xludf.DUMMYFUNCTION("""COMPUTED_VALUE"""),113116.0)</f>
        <v>113116</v>
      </c>
      <c r="AA367" s="65" t="str">
        <f>IFERROR(__xludf.DUMMYFUNCTION("""COMPUTED_VALUE"""),"IM-TAZAKI")</f>
        <v>IM-TAZAKI</v>
      </c>
      <c r="AB367" s="65"/>
      <c r="AC367" s="65" t="str">
        <f>IFERROR(__xludf.DUMMYFUNCTION("""COMPUTED_VALUE"""),"Cuchillo tazaki")</f>
        <v>Cuchillo tazaki</v>
      </c>
      <c r="AD367" s="65"/>
      <c r="AE367" s="65">
        <f>IFERROR(__xludf.DUMMYFUNCTION("""COMPUTED_VALUE"""),2.0)</f>
        <v>2</v>
      </c>
      <c r="AF367" s="65"/>
      <c r="AG367" s="65"/>
      <c r="AH367" s="65"/>
      <c r="AI367" s="65"/>
      <c r="AJ367" s="65"/>
      <c r="AK367" s="65"/>
      <c r="AL367" s="65"/>
      <c r="AM367" s="65"/>
      <c r="AN367" s="65" t="str">
        <f>IFERROR(__xludf.DUMMYFUNCTION("""COMPUTED_VALUE"""),"10:01")</f>
        <v>10:01</v>
      </c>
      <c r="AO367" s="65" t="str">
        <f>IFERROR(__xludf.DUMMYFUNCTION("""COMPUTED_VALUE"""),"09-03-2026")</f>
        <v>09-03-2026</v>
      </c>
      <c r="AP367" s="65" t="str">
        <f>IFERROR(__xludf.DUMMYFUNCTION("""COMPUTED_VALUE"""),"EN REPARTO")</f>
        <v>EN REPARTO</v>
      </c>
      <c r="AQ367" s="65" t="str">
        <f>IFERROR(__xludf.DUMMYFUNCTION("""COMPUTED_VALUE"""),"EN REPARTO")</f>
        <v>EN REPARTO</v>
      </c>
      <c r="AR367" s="65"/>
      <c r="AS367" s="65"/>
      <c r="AT367" s="65" t="str">
        <f>IFERROR(__xludf.DUMMYFUNCTION("""COMPUTED_VALUE"""),"SHOPIFY")</f>
        <v>SHOPIFY</v>
      </c>
      <c r="AU367" s="65" t="str">
        <f>IFERROR(__xludf.DUMMYFUNCTION("""COMPUTED_VALUE"""),"IMPORTEX EC")</f>
        <v>IMPORTEX EC</v>
      </c>
      <c r="AV367" s="65" t="str">
        <f>IFERROR(__xludf.DUMMYFUNCTION("""COMPUTED_VALUE"""),"6551764860972")</f>
        <v>6551764860972</v>
      </c>
      <c r="AW367" s="65">
        <f>IFERROR(__xludf.DUMMYFUNCTION("""COMPUTED_VALUE"""),6502.0)</f>
        <v>6502</v>
      </c>
      <c r="AX367" s="65"/>
      <c r="AY367" s="65" t="str">
        <f>IFERROR(__xludf.DUMMYFUNCTION("""COMPUTED_VALUE"""),"03/03/2026")</f>
        <v>03/03/2026</v>
      </c>
      <c r="AZ367" s="65"/>
      <c r="BA367" s="65"/>
    </row>
    <row r="368">
      <c r="A368" s="65" t="str">
        <f>IFERROR(__xludf.DUMMYFUNCTION("""COMPUTED_VALUE"""),"27-03-2026")</f>
        <v>27-03-2026</v>
      </c>
      <c r="B368" s="65">
        <f>IFERROR(__xludf.DUMMYFUNCTION("""COMPUTED_VALUE"""),4668591.0)</f>
        <v>4668591</v>
      </c>
      <c r="C368" s="65" t="str">
        <f>IFERROR(__xludf.DUMMYFUNCTION("""COMPUTED_VALUE"""),"07:26")</f>
        <v>07:26</v>
      </c>
      <c r="D368" s="65" t="str">
        <f>IFERROR(__xludf.DUMMYFUNCTION("""COMPUTED_VALUE"""),"02-03-2026")</f>
        <v>02-03-2026</v>
      </c>
      <c r="E368" s="65" t="str">
        <f>IFERROR(__xludf.DUMMYFUNCTION("""COMPUTED_VALUE"""),"Cesar Beroy")</f>
        <v>Cesar Beroy</v>
      </c>
      <c r="F368" s="65" t="str">
        <f>IFERROR(__xludf.DUMMYFUNCTION("""COMPUTED_VALUE"""),"997446869")</f>
        <v>997446869</v>
      </c>
      <c r="G368" s="65" t="str">
        <f>IFERROR(__xludf.DUMMYFUNCTION("""COMPUTED_VALUE"""),"amadoberoy@gmail.com")</f>
        <v>amadoberoy@gmail.com</v>
      </c>
      <c r="H368" s="65"/>
      <c r="I368" s="65"/>
      <c r="J368" s="65"/>
      <c r="K368" s="65" t="str">
        <f>IFERROR(__xludf.DUMMYFUNCTION("""COMPUTED_VALUE"""),"PENDIENTE CONFIRMACION")</f>
        <v>PENDIENTE CONFIRMACION</v>
      </c>
      <c r="L368" s="65" t="str">
        <f>IFERROR(__xludf.DUMMYFUNCTION("""COMPUTED_VALUE"""),"CON RECAUDO")</f>
        <v>CON RECAUDO</v>
      </c>
      <c r="M368" s="65" t="str">
        <f>IFERROR(__xludf.DUMMYFUNCTION("""COMPUTED_VALUE"""),"EL ORO")</f>
        <v>EL ORO</v>
      </c>
      <c r="N368" s="65" t="str">
        <f>IFERROR(__xludf.DUMMYFUNCTION("""COMPUTED_VALUE"""),"HUAQUILLAS")</f>
        <v>HUAQUILLAS</v>
      </c>
      <c r="O368" s="65" t="str">
        <f>IFERROR(__xludf.DUMMYFUNCTION("""COMPUTED_VALUE"""),"Ciudadelas las brisas del mar Calles piñas y garzas -")</f>
        <v>Ciudadelas las brisas del mar Calles piñas y garzas -</v>
      </c>
      <c r="P368" s="65"/>
      <c r="Q368" s="65" t="str">
        <f>IFERROR(__xludf.DUMMYFUNCTION("""COMPUTED_VALUE"""),"GINTRACOM")</f>
        <v>GINTRACOM</v>
      </c>
      <c r="R368" s="65">
        <f>IFERROR(__xludf.DUMMYFUNCTION("""COMPUTED_VALUE"""),24.2)</f>
        <v>24.2</v>
      </c>
      <c r="S368" s="65"/>
      <c r="T368" s="65">
        <f>IFERROR(__xludf.DUMMYFUNCTION("""COMPUTED_VALUE"""),5.92)</f>
        <v>5.92</v>
      </c>
      <c r="U368" s="65">
        <f>IFERROR(__xludf.DUMMYFUNCTION("""COMPUTED_VALUE"""),0.0)</f>
        <v>0</v>
      </c>
      <c r="V368" s="65">
        <f>IFERROR(__xludf.DUMMYFUNCTION("""COMPUTED_VALUE"""),0.0)</f>
        <v>0</v>
      </c>
      <c r="W368" s="65">
        <f>IFERROR(__xludf.DUMMYFUNCTION("""COMPUTED_VALUE"""),0.0)</f>
        <v>0</v>
      </c>
      <c r="X368" s="65">
        <f>IFERROR(__xludf.DUMMYFUNCTION("""COMPUTED_VALUE"""),5.0)</f>
        <v>5</v>
      </c>
      <c r="Y368" s="65">
        <f>IFERROR(__xludf.DUMMYFUNCTION("""COMPUTED_VALUE"""),10.0)</f>
        <v>10</v>
      </c>
      <c r="Z368" s="65">
        <f>IFERROR(__xludf.DUMMYFUNCTION("""COMPUTED_VALUE"""),130492.0)</f>
        <v>130492</v>
      </c>
      <c r="AA368" s="65" t="str">
        <f>IFERROR(__xludf.DUMMYFUNCTION("""COMPUTED_VALUE"""),"IMX-00006")</f>
        <v>IMX-00006</v>
      </c>
      <c r="AB368" s="65"/>
      <c r="AC368" s="65" t="str">
        <f>IFERROR(__xludf.DUMMYFUNCTION("""COMPUTED_VALUE"""),"Receptor Bluetooth")</f>
        <v>Receptor Bluetooth</v>
      </c>
      <c r="AD368" s="65"/>
      <c r="AE368" s="65">
        <f>IFERROR(__xludf.DUMMYFUNCTION("""COMPUTED_VALUE"""),2.0)</f>
        <v>2</v>
      </c>
      <c r="AF368" s="65"/>
      <c r="AG368" s="65"/>
      <c r="AH368" s="65"/>
      <c r="AI368" s="65"/>
      <c r="AJ368" s="65"/>
      <c r="AK368" s="65"/>
      <c r="AL368" s="65"/>
      <c r="AM368" s="65"/>
      <c r="AN368" s="65"/>
      <c r="AO368" s="65"/>
      <c r="AP368" s="65"/>
      <c r="AQ368" s="65"/>
      <c r="AR368" s="65"/>
      <c r="AS368" s="65"/>
      <c r="AT368" s="65" t="str">
        <f>IFERROR(__xludf.DUMMYFUNCTION("""COMPUTED_VALUE"""),"SHOPIFY")</f>
        <v>SHOPIFY</v>
      </c>
      <c r="AU368" s="65" t="str">
        <f>IFERROR(__xludf.DUMMYFUNCTION("""COMPUTED_VALUE"""),"IMPORTEX EC")</f>
        <v>IMPORTEX EC</v>
      </c>
      <c r="AV368" s="65" t="str">
        <f>IFERROR(__xludf.DUMMYFUNCTION("""COMPUTED_VALUE"""),"6551702437932")</f>
        <v>6551702437932</v>
      </c>
      <c r="AW368" s="65">
        <f>IFERROR(__xludf.DUMMYFUNCTION("""COMPUTED_VALUE"""),6501.0)</f>
        <v>6501</v>
      </c>
      <c r="AX368" s="65"/>
      <c r="AY368" s="65"/>
      <c r="AZ368" s="65"/>
      <c r="BA368" s="65"/>
    </row>
    <row r="369">
      <c r="A369" s="65" t="str">
        <f>IFERROR(__xludf.DUMMYFUNCTION("""COMPUTED_VALUE"""),"27-03-2026")</f>
        <v>27-03-2026</v>
      </c>
      <c r="B369" s="65">
        <f>IFERROR(__xludf.DUMMYFUNCTION("""COMPUTED_VALUE"""),4668426.0)</f>
        <v>4668426</v>
      </c>
      <c r="C369" s="65" t="str">
        <f>IFERROR(__xludf.DUMMYFUNCTION("""COMPUTED_VALUE"""),"07:03")</f>
        <v>07:03</v>
      </c>
      <c r="D369" s="65" t="str">
        <f>IFERROR(__xludf.DUMMYFUNCTION("""COMPUTED_VALUE"""),"02-03-2026")</f>
        <v>02-03-2026</v>
      </c>
      <c r="E369" s="65" t="str">
        <f>IFERROR(__xludf.DUMMYFUNCTION("""COMPUTED_VALUE"""),"Emily Loor")</f>
        <v>Emily Loor</v>
      </c>
      <c r="F369" s="65" t="str">
        <f>IFERROR(__xludf.DUMMYFUNCTION("""COMPUTED_VALUE"""),"962881946")</f>
        <v>962881946</v>
      </c>
      <c r="G369" s="65" t="str">
        <f>IFERROR(__xludf.DUMMYFUNCTION("""COMPUTED_VALUE"""),"emilyloorq@hotmail.com")</f>
        <v>emilyloorq@hotmail.com</v>
      </c>
      <c r="H369" s="65"/>
      <c r="I369" s="65"/>
      <c r="J369" s="65"/>
      <c r="K369" s="65" t="str">
        <f>IFERROR(__xludf.DUMMYFUNCTION("""COMPUTED_VALUE"""),"PENDIENTE CONFIRMACION")</f>
        <v>PENDIENTE CONFIRMACION</v>
      </c>
      <c r="L369" s="65" t="str">
        <f>IFERROR(__xludf.DUMMYFUNCTION("""COMPUTED_VALUE"""),"CON RECAUDO")</f>
        <v>CON RECAUDO</v>
      </c>
      <c r="M369" s="65" t="str">
        <f>IFERROR(__xludf.DUMMYFUNCTION("""COMPUTED_VALUE"""),"GUAYAS")</f>
        <v>GUAYAS</v>
      </c>
      <c r="N369" s="65" t="str">
        <f>IFERROR(__xludf.DUMMYFUNCTION("""COMPUTED_VALUE"""),"EL EMPALME")</f>
        <v>EL EMPALME</v>
      </c>
      <c r="O369" s="65" t="str">
        <f>IFERROR(__xludf.DUMMYFUNCTION("""COMPUTED_VALUE"""),"A la altura del AKI Av Manabi Diagonal al Tuti Libreria La Eskuelita -")</f>
        <v>A la altura del AKI Av Manabi Diagonal al Tuti Libreria La Eskuelita -</v>
      </c>
      <c r="P369" s="65"/>
      <c r="Q369" s="65" t="str">
        <f>IFERROR(__xludf.DUMMYFUNCTION("""COMPUTED_VALUE"""),"GINTRACOM")</f>
        <v>GINTRACOM</v>
      </c>
      <c r="R369" s="65">
        <f>IFERROR(__xludf.DUMMYFUNCTION("""COMPUTED_VALUE"""),25.0)</f>
        <v>25</v>
      </c>
      <c r="S369" s="65"/>
      <c r="T369" s="65">
        <f>IFERROR(__xludf.DUMMYFUNCTION("""COMPUTED_VALUE"""),6.53)</f>
        <v>6.53</v>
      </c>
      <c r="U369" s="65">
        <f>IFERROR(__xludf.DUMMYFUNCTION("""COMPUTED_VALUE"""),0.0)</f>
        <v>0</v>
      </c>
      <c r="V369" s="65">
        <f>IFERROR(__xludf.DUMMYFUNCTION("""COMPUTED_VALUE"""),0.0)</f>
        <v>0</v>
      </c>
      <c r="W369" s="65">
        <f>IFERROR(__xludf.DUMMYFUNCTION("""COMPUTED_VALUE"""),0.0)</f>
        <v>0</v>
      </c>
      <c r="X369" s="65">
        <f>IFERROR(__xludf.DUMMYFUNCTION("""COMPUTED_VALUE"""),2.35)</f>
        <v>2.35</v>
      </c>
      <c r="Y369" s="65">
        <f>IFERROR(__xludf.DUMMYFUNCTION("""COMPUTED_VALUE"""),4.7)</f>
        <v>4.7</v>
      </c>
      <c r="Z369" s="65">
        <f>IFERROR(__xludf.DUMMYFUNCTION("""COMPUTED_VALUE"""),116679.0)</f>
        <v>116679</v>
      </c>
      <c r="AA369" s="65" t="str">
        <f>IFERROR(__xludf.DUMMYFUNCTION("""COMPUTED_VALUE"""),"AMC-2738")</f>
        <v>AMC-2738</v>
      </c>
      <c r="AB369" s="65"/>
      <c r="AC369" s="65" t="str">
        <f>IFERROR(__xludf.DUMMYFUNCTION("""COMPUTED_VALUE"""),"ESPONJA ANTILLUVIA DE PARABRISAS")</f>
        <v>ESPONJA ANTILLUVIA DE PARABRISAS</v>
      </c>
      <c r="AD369" s="65"/>
      <c r="AE369" s="65">
        <f>IFERROR(__xludf.DUMMYFUNCTION("""COMPUTED_VALUE"""),2.0)</f>
        <v>2</v>
      </c>
      <c r="AF369" s="65"/>
      <c r="AG369" s="65"/>
      <c r="AH369" s="65"/>
      <c r="AI369" s="65"/>
      <c r="AJ369" s="65"/>
      <c r="AK369" s="65"/>
      <c r="AL369" s="65"/>
      <c r="AM369" s="65"/>
      <c r="AN369" s="65"/>
      <c r="AO369" s="65"/>
      <c r="AP369" s="65"/>
      <c r="AQ369" s="65"/>
      <c r="AR369" s="65"/>
      <c r="AS369" s="65"/>
      <c r="AT369" s="65" t="str">
        <f>IFERROR(__xludf.DUMMYFUNCTION("""COMPUTED_VALUE"""),"SHOPIFY")</f>
        <v>SHOPIFY</v>
      </c>
      <c r="AU369" s="65" t="str">
        <f>IFERROR(__xludf.DUMMYFUNCTION("""COMPUTED_VALUE"""),"IMPORTEX EC")</f>
        <v>IMPORTEX EC</v>
      </c>
      <c r="AV369" s="65" t="str">
        <f>IFERROR(__xludf.DUMMYFUNCTION("""COMPUTED_VALUE"""),"6551684186156")</f>
        <v>6551684186156</v>
      </c>
      <c r="AW369" s="65">
        <f>IFERROR(__xludf.DUMMYFUNCTION("""COMPUTED_VALUE"""),6500.0)</f>
        <v>6500</v>
      </c>
      <c r="AX369" s="65"/>
      <c r="AY369" s="65"/>
      <c r="AZ369" s="65"/>
      <c r="BA369" s="65"/>
    </row>
    <row r="370">
      <c r="A370" s="65" t="str">
        <f>IFERROR(__xludf.DUMMYFUNCTION("""COMPUTED_VALUE"""),"27-03-2026")</f>
        <v>27-03-2026</v>
      </c>
      <c r="B370" s="65">
        <f>IFERROR(__xludf.DUMMYFUNCTION("""COMPUTED_VALUE"""),4668364.0)</f>
        <v>4668364</v>
      </c>
      <c r="C370" s="65" t="str">
        <f>IFERROR(__xludf.DUMMYFUNCTION("""COMPUTED_VALUE"""),"06:49")</f>
        <v>06:49</v>
      </c>
      <c r="D370" s="65" t="str">
        <f>IFERROR(__xludf.DUMMYFUNCTION("""COMPUTED_VALUE"""),"02-03-2026")</f>
        <v>02-03-2026</v>
      </c>
      <c r="E370" s="65" t="str">
        <f>IFERROR(__xludf.DUMMYFUNCTION("""COMPUTED_VALUE"""),"Marco Simbaña")</f>
        <v>Marco Simbaña</v>
      </c>
      <c r="F370" s="65" t="str">
        <f>IFERROR(__xludf.DUMMYFUNCTION("""COMPUTED_VALUE"""),"994214370")</f>
        <v>994214370</v>
      </c>
      <c r="G370" s="65" t="str">
        <f>IFERROR(__xludf.DUMMYFUNCTION("""COMPUTED_VALUE"""),"marcusanibal@hotmail.es")</f>
        <v>marcusanibal@hotmail.es</v>
      </c>
      <c r="H370" s="65"/>
      <c r="I370" s="65"/>
      <c r="J370" s="65" t="str">
        <f>IFERROR(__xludf.DUMMYFUNCTION("""COMPUTED_VALUE"""),"186611281")</f>
        <v>186611281</v>
      </c>
      <c r="K370" s="65" t="str">
        <f>IFERROR(__xludf.DUMMYFUNCTION("""COMPUTED_VALUE"""),"ENTREGADO")</f>
        <v>ENTREGADO</v>
      </c>
      <c r="L370" s="65" t="str">
        <f>IFERROR(__xludf.DUMMYFUNCTION("""COMPUTED_VALUE"""),"CON RECAUDO")</f>
        <v>CON RECAUDO</v>
      </c>
      <c r="M370" s="65" t="str">
        <f>IFERROR(__xludf.DUMMYFUNCTION("""COMPUTED_VALUE"""),"NAPO")</f>
        <v>NAPO</v>
      </c>
      <c r="N370" s="65" t="str">
        <f>IFERROR(__xludf.DUMMYFUNCTION("""COMPUTED_VALUE"""),"BAEZA")</f>
        <v>BAEZA</v>
      </c>
      <c r="O370" s="65" t="str">
        <f>IFERROR(__xludf.DUMMYFUNCTION("""COMPUTED_VALUE"""),"Rio coca Frente al hospital Baeza - Barrio vista hermosa")</f>
        <v>Rio coca Frente al hospital Baeza - Barrio vista hermosa</v>
      </c>
      <c r="P370" s="65"/>
      <c r="Q370" s="65" t="str">
        <f>IFERROR(__xludf.DUMMYFUNCTION("""COMPUTED_VALUE"""),"SERVIENTREGA")</f>
        <v>SERVIENTREGA</v>
      </c>
      <c r="R370" s="65">
        <f>IFERROR(__xludf.DUMMYFUNCTION("""COMPUTED_VALUE"""),22.0)</f>
        <v>22</v>
      </c>
      <c r="S370" s="65">
        <f>IFERROR(__xludf.DUMMYFUNCTION("""COMPUTED_VALUE"""),6.8)</f>
        <v>6.8</v>
      </c>
      <c r="T370" s="65">
        <f>IFERROR(__xludf.DUMMYFUNCTION("""COMPUTED_VALUE"""),7.7)</f>
        <v>7.7</v>
      </c>
      <c r="U370" s="65">
        <f>IFERROR(__xludf.DUMMYFUNCTION("""COMPUTED_VALUE"""),0.0)</f>
        <v>0</v>
      </c>
      <c r="V370" s="65">
        <f>IFERROR(__xludf.DUMMYFUNCTION("""COMPUTED_VALUE"""),0.0)</f>
        <v>0</v>
      </c>
      <c r="W370" s="65">
        <f>IFERROR(__xludf.DUMMYFUNCTION("""COMPUTED_VALUE"""),0.0)</f>
        <v>0</v>
      </c>
      <c r="X370" s="65">
        <f>IFERROR(__xludf.DUMMYFUNCTION("""COMPUTED_VALUE"""),3.75)</f>
        <v>3.75</v>
      </c>
      <c r="Y370" s="65">
        <f>IFERROR(__xludf.DUMMYFUNCTION("""COMPUTED_VALUE"""),7.5)</f>
        <v>7.5</v>
      </c>
      <c r="Z370" s="65">
        <f>IFERROR(__xludf.DUMMYFUNCTION("""COMPUTED_VALUE"""),113116.0)</f>
        <v>113116</v>
      </c>
      <c r="AA370" s="65" t="str">
        <f>IFERROR(__xludf.DUMMYFUNCTION("""COMPUTED_VALUE"""),"IM-TAZAKI")</f>
        <v>IM-TAZAKI</v>
      </c>
      <c r="AB370" s="65"/>
      <c r="AC370" s="65" t="str">
        <f>IFERROR(__xludf.DUMMYFUNCTION("""COMPUTED_VALUE"""),"Cuchillo tazaki")</f>
        <v>Cuchillo tazaki</v>
      </c>
      <c r="AD370" s="65"/>
      <c r="AE370" s="65">
        <f>IFERROR(__xludf.DUMMYFUNCTION("""COMPUTED_VALUE"""),2.0)</f>
        <v>2</v>
      </c>
      <c r="AF370" s="65"/>
      <c r="AG370" s="65"/>
      <c r="AH370" s="65"/>
      <c r="AI370" s="65"/>
      <c r="AJ370" s="65"/>
      <c r="AK370" s="65"/>
      <c r="AL370" s="65"/>
      <c r="AM370" s="65"/>
      <c r="AN370" s="65" t="str">
        <f>IFERROR(__xludf.DUMMYFUNCTION("""COMPUTED_VALUE"""),"19:38")</f>
        <v>19:38</v>
      </c>
      <c r="AO370" s="65" t="str">
        <f>IFERROR(__xludf.DUMMYFUNCTION("""COMPUTED_VALUE"""),"06-03-2026")</f>
        <v>06-03-2026</v>
      </c>
      <c r="AP370" s="65" t="str">
        <f>IFERROR(__xludf.DUMMYFUNCTION("""COMPUTED_VALUE"""),"REPORTADO ENTREGADO EN APP")</f>
        <v>REPORTADO ENTREGADO EN APP</v>
      </c>
      <c r="AQ370" s="65" t="str">
        <f>IFERROR(__xludf.DUMMYFUNCTION("""COMPUTED_VALUE"""),"Marco simbaa")</f>
        <v>Marco simbaa</v>
      </c>
      <c r="AR370" s="65"/>
      <c r="AS370" s="65"/>
      <c r="AT370" s="65" t="str">
        <f>IFERROR(__xludf.DUMMYFUNCTION("""COMPUTED_VALUE"""),"SHOPIFY")</f>
        <v>SHOPIFY</v>
      </c>
      <c r="AU370" s="65" t="str">
        <f>IFERROR(__xludf.DUMMYFUNCTION("""COMPUTED_VALUE"""),"IMPORTEX EC")</f>
        <v>IMPORTEX EC</v>
      </c>
      <c r="AV370" s="65" t="str">
        <f>IFERROR(__xludf.DUMMYFUNCTION("""COMPUTED_VALUE"""),"6551673471020")</f>
        <v>6551673471020</v>
      </c>
      <c r="AW370" s="65">
        <f>IFERROR(__xludf.DUMMYFUNCTION("""COMPUTED_VALUE"""),6499.0)</f>
        <v>6499</v>
      </c>
      <c r="AX370" s="65"/>
      <c r="AY370" s="65" t="str">
        <f>IFERROR(__xludf.DUMMYFUNCTION("""COMPUTED_VALUE"""),"03/03/2026")</f>
        <v>03/03/2026</v>
      </c>
      <c r="AZ370" s="65"/>
      <c r="BA370" s="65"/>
    </row>
    <row r="371">
      <c r="A371" s="65" t="str">
        <f>IFERROR(__xludf.DUMMYFUNCTION("""COMPUTED_VALUE"""),"27-03-2026")</f>
        <v>27-03-2026</v>
      </c>
      <c r="B371" s="65">
        <f>IFERROR(__xludf.DUMMYFUNCTION("""COMPUTED_VALUE"""),4668266.0)</f>
        <v>4668266</v>
      </c>
      <c r="C371" s="65" t="str">
        <f>IFERROR(__xludf.DUMMYFUNCTION("""COMPUTED_VALUE"""),"06:19")</f>
        <v>06:19</v>
      </c>
      <c r="D371" s="65" t="str">
        <f>IFERROR(__xludf.DUMMYFUNCTION("""COMPUTED_VALUE"""),"02-03-2026")</f>
        <v>02-03-2026</v>
      </c>
      <c r="E371" s="65" t="str">
        <f>IFERROR(__xludf.DUMMYFUNCTION("""COMPUTED_VALUE"""),"David Alberto Bustillos Castillo")</f>
        <v>David Alberto Bustillos Castillo</v>
      </c>
      <c r="F371" s="65" t="str">
        <f>IFERROR(__xludf.DUMMYFUNCTION("""COMPUTED_VALUE"""),"939224449")</f>
        <v>939224449</v>
      </c>
      <c r="G371" s="65" t="str">
        <f>IFERROR(__xludf.DUMMYFUNCTION("""COMPUTED_VALUE"""),"davidbustillos1966@gmail.com")</f>
        <v>davidbustillos1966@gmail.com</v>
      </c>
      <c r="H371" s="65"/>
      <c r="I371" s="65"/>
      <c r="J371" s="65" t="str">
        <f>IFERROR(__xludf.DUMMYFUNCTION("""COMPUTED_VALUE"""),"LC53026998")</f>
        <v>LC53026998</v>
      </c>
      <c r="K371" s="65" t="str">
        <f>IFERROR(__xludf.DUMMYFUNCTION("""COMPUTED_VALUE"""),"ENTREGADO")</f>
        <v>ENTREGADO</v>
      </c>
      <c r="L371" s="65" t="str">
        <f>IFERROR(__xludf.DUMMYFUNCTION("""COMPUTED_VALUE"""),"CON RECAUDO")</f>
        <v>CON RECAUDO</v>
      </c>
      <c r="M371" s="65" t="str">
        <f>IFERROR(__xludf.DUMMYFUNCTION("""COMPUTED_VALUE"""),"GUAYAS")</f>
        <v>GUAYAS</v>
      </c>
      <c r="N371" s="65" t="str">
        <f>IFERROR(__xludf.DUMMYFUNCTION("""COMPUTED_VALUE"""),"PLAYAS")</f>
        <v>PLAYAS</v>
      </c>
      <c r="O371" s="65" t="str">
        <f>IFERROR(__xludf.DUMMYFUNCTION("""COMPUTED_VALUE"""),"Calle 9na , solar 33 entre avenida 3ra y 4ta . Jardines de VILLAMIL entrando Por el Castillo  mano derecha")</f>
        <v>Calle 9na , solar 33 entre avenida 3ra y 4ta . Jardines de VILLAMIL entrando Por el Castillo  mano derecha</v>
      </c>
      <c r="P371" s="65"/>
      <c r="Q371" s="65" t="str">
        <f>IFERROR(__xludf.DUMMYFUNCTION("""COMPUTED_VALUE"""),"LAARCOURIER")</f>
        <v>LAARCOURIER</v>
      </c>
      <c r="R371" s="65">
        <f>IFERROR(__xludf.DUMMYFUNCTION("""COMPUTED_VALUE"""),30.0)</f>
        <v>30</v>
      </c>
      <c r="S371" s="65">
        <f>IFERROR(__xludf.DUMMYFUNCTION("""COMPUTED_VALUE"""),15.47)</f>
        <v>15.47</v>
      </c>
      <c r="T371" s="65">
        <f>IFERROR(__xludf.DUMMYFUNCTION("""COMPUTED_VALUE"""),7.48)</f>
        <v>7.48</v>
      </c>
      <c r="U371" s="65">
        <f>IFERROR(__xludf.DUMMYFUNCTION("""COMPUTED_VALUE"""),0.0)</f>
        <v>0</v>
      </c>
      <c r="V371" s="65">
        <f>IFERROR(__xludf.DUMMYFUNCTION("""COMPUTED_VALUE"""),0.0)</f>
        <v>0</v>
      </c>
      <c r="W371" s="65">
        <f>IFERROR(__xludf.DUMMYFUNCTION("""COMPUTED_VALUE"""),0.0)</f>
        <v>0</v>
      </c>
      <c r="X371" s="65">
        <f>IFERROR(__xludf.DUMMYFUNCTION("""COMPUTED_VALUE"""),2.35)</f>
        <v>2.35</v>
      </c>
      <c r="Y371" s="65">
        <f>IFERROR(__xludf.DUMMYFUNCTION("""COMPUTED_VALUE"""),7.05)</f>
        <v>7.05</v>
      </c>
      <c r="Z371" s="65">
        <f>IFERROR(__xludf.DUMMYFUNCTION("""COMPUTED_VALUE"""),116679.0)</f>
        <v>116679</v>
      </c>
      <c r="AA371" s="65" t="str">
        <f>IFERROR(__xludf.DUMMYFUNCTION("""COMPUTED_VALUE"""),"AMC-2738")</f>
        <v>AMC-2738</v>
      </c>
      <c r="AB371" s="65"/>
      <c r="AC371" s="65" t="str">
        <f>IFERROR(__xludf.DUMMYFUNCTION("""COMPUTED_VALUE"""),"ESPONJA ANTILLUVIA DE PARABRISAS")</f>
        <v>ESPONJA ANTILLUVIA DE PARABRISAS</v>
      </c>
      <c r="AD371" s="65"/>
      <c r="AE371" s="65">
        <f>IFERROR(__xludf.DUMMYFUNCTION("""COMPUTED_VALUE"""),3.0)</f>
        <v>3</v>
      </c>
      <c r="AF371" s="65"/>
      <c r="AG371" s="65"/>
      <c r="AH371" s="65"/>
      <c r="AI371" s="65"/>
      <c r="AJ371" s="65"/>
      <c r="AK371" s="65"/>
      <c r="AL371" s="65"/>
      <c r="AM371" s="65"/>
      <c r="AN371" s="65" t="str">
        <f>IFERROR(__xludf.DUMMYFUNCTION("""COMPUTED_VALUE"""),"14:55")</f>
        <v>14:55</v>
      </c>
      <c r="AO371" s="65" t="str">
        <f>IFERROR(__xludf.DUMMYFUNCTION("""COMPUTED_VALUE"""),"09-03-2026")</f>
        <v>09-03-2026</v>
      </c>
      <c r="AP371" s="65" t="str">
        <f>IFERROR(__xludf.DUMMYFUNCTION("""COMPUTED_VALUE"""),"ENTREGADO")</f>
        <v>ENTREGADO</v>
      </c>
      <c r="AQ371" s="65" t="str">
        <f>IFERROR(__xludf.DUMMYFUNCTION("""COMPUTED_VALUE"""),"ENTREGADO")</f>
        <v>ENTREGADO</v>
      </c>
      <c r="AR371" s="65"/>
      <c r="AS371" s="65"/>
      <c r="AT371" s="65" t="str">
        <f>IFERROR(__xludf.DUMMYFUNCTION("""COMPUTED_VALUE"""),"SHOPIFY")</f>
        <v>SHOPIFY</v>
      </c>
      <c r="AU371" s="65" t="str">
        <f>IFERROR(__xludf.DUMMYFUNCTION("""COMPUTED_VALUE"""),"IMPORTEX EC")</f>
        <v>IMPORTEX EC</v>
      </c>
      <c r="AV371" s="65" t="str">
        <f>IFERROR(__xludf.DUMMYFUNCTION("""COMPUTED_VALUE"""),"6551654596652")</f>
        <v>6551654596652</v>
      </c>
      <c r="AW371" s="65">
        <f>IFERROR(__xludf.DUMMYFUNCTION("""COMPUTED_VALUE"""),6498.0)</f>
        <v>6498</v>
      </c>
      <c r="AX371" s="65"/>
      <c r="AY371" s="65" t="str">
        <f>IFERROR(__xludf.DUMMYFUNCTION("""COMPUTED_VALUE"""),"05/03/2026")</f>
        <v>05/03/2026</v>
      </c>
      <c r="AZ371" s="65"/>
      <c r="BA371" s="65"/>
    </row>
    <row r="372">
      <c r="A372" s="65" t="str">
        <f>IFERROR(__xludf.DUMMYFUNCTION("""COMPUTED_VALUE"""),"27-03-2026")</f>
        <v>27-03-2026</v>
      </c>
      <c r="B372" s="65">
        <f>IFERROR(__xludf.DUMMYFUNCTION("""COMPUTED_VALUE"""),4667719.0)</f>
        <v>4667719</v>
      </c>
      <c r="C372" s="65" t="str">
        <f>IFERROR(__xludf.DUMMYFUNCTION("""COMPUTED_VALUE"""),"01:28")</f>
        <v>01:28</v>
      </c>
      <c r="D372" s="65" t="str">
        <f>IFERROR(__xludf.DUMMYFUNCTION("""COMPUTED_VALUE"""),"02-03-2026")</f>
        <v>02-03-2026</v>
      </c>
      <c r="E372" s="65" t="str">
        <f>IFERROR(__xludf.DUMMYFUNCTION("""COMPUTED_VALUE"""),"Juan Andres Ube")</f>
        <v>Juan Andres Ube</v>
      </c>
      <c r="F372" s="65" t="str">
        <f>IFERROR(__xludf.DUMMYFUNCTION("""COMPUTED_VALUE"""),"959127265")</f>
        <v>959127265</v>
      </c>
      <c r="G372" s="65" t="str">
        <f>IFERROR(__xludf.DUMMYFUNCTION("""COMPUTED_VALUE"""),"andresuberomero@gimail.com")</f>
        <v>andresuberomero@gimail.com</v>
      </c>
      <c r="H372" s="65"/>
      <c r="I372" s="65"/>
      <c r="J372" s="65"/>
      <c r="K372" s="65" t="str">
        <f>IFERROR(__xludf.DUMMYFUNCTION("""COMPUTED_VALUE"""),"PENDIENTE CONFIRMACION")</f>
        <v>PENDIENTE CONFIRMACION</v>
      </c>
      <c r="L372" s="65" t="str">
        <f>IFERROR(__xludf.DUMMYFUNCTION("""COMPUTED_VALUE"""),"CON RECAUDO")</f>
        <v>CON RECAUDO</v>
      </c>
      <c r="M372" s="65" t="str">
        <f>IFERROR(__xludf.DUMMYFUNCTION("""COMPUTED_VALUE"""),"GUAYAS")</f>
        <v>GUAYAS</v>
      </c>
      <c r="N372" s="65" t="str">
        <f>IFERROR(__xludf.DUMMYFUNCTION("""COMPUTED_VALUE"""),"MILAGRO")</f>
        <v>MILAGRO</v>
      </c>
      <c r="O372" s="65" t="str">
        <f>IFERROR(__xludf.DUMMYFUNCTION("""COMPUTED_VALUE"""),"Via a naranjito entrada al colegio otto arosemena Via a naranjito entrada al colegio otto arosemena -")</f>
        <v>Via a naranjito entrada al colegio otto arosemena Via a naranjito entrada al colegio otto arosemena -</v>
      </c>
      <c r="P372" s="65"/>
      <c r="Q372" s="65" t="str">
        <f>IFERROR(__xludf.DUMMYFUNCTION("""COMPUTED_VALUE"""),"GINTRACOM")</f>
        <v>GINTRACOM</v>
      </c>
      <c r="R372" s="65">
        <f>IFERROR(__xludf.DUMMYFUNCTION("""COMPUTED_VALUE"""),20.0)</f>
        <v>20</v>
      </c>
      <c r="S372" s="65"/>
      <c r="T372" s="65">
        <f>IFERROR(__xludf.DUMMYFUNCTION("""COMPUTED_VALUE"""),5.76)</f>
        <v>5.76</v>
      </c>
      <c r="U372" s="65">
        <f>IFERROR(__xludf.DUMMYFUNCTION("""COMPUTED_VALUE"""),0.0)</f>
        <v>0</v>
      </c>
      <c r="V372" s="65">
        <f>IFERROR(__xludf.DUMMYFUNCTION("""COMPUTED_VALUE"""),0.0)</f>
        <v>0</v>
      </c>
      <c r="W372" s="65">
        <f>IFERROR(__xludf.DUMMYFUNCTION("""COMPUTED_VALUE"""),0.0)</f>
        <v>0</v>
      </c>
      <c r="X372" s="65">
        <f>IFERROR(__xludf.DUMMYFUNCTION("""COMPUTED_VALUE"""),2.35)</f>
        <v>2.35</v>
      </c>
      <c r="Y372" s="65">
        <f>IFERROR(__xludf.DUMMYFUNCTION("""COMPUTED_VALUE"""),2.35)</f>
        <v>2.35</v>
      </c>
      <c r="Z372" s="65">
        <f>IFERROR(__xludf.DUMMYFUNCTION("""COMPUTED_VALUE"""),116679.0)</f>
        <v>116679</v>
      </c>
      <c r="AA372" s="65" t="str">
        <f>IFERROR(__xludf.DUMMYFUNCTION("""COMPUTED_VALUE"""),"AMC-2738")</f>
        <v>AMC-2738</v>
      </c>
      <c r="AB372" s="65"/>
      <c r="AC372" s="65" t="str">
        <f>IFERROR(__xludf.DUMMYFUNCTION("""COMPUTED_VALUE"""),"ESPONJA ANTILLUVIA DE PARABRISAS")</f>
        <v>ESPONJA ANTILLUVIA DE PARABRISAS</v>
      </c>
      <c r="AD372" s="65"/>
      <c r="AE372" s="65">
        <f>IFERROR(__xludf.DUMMYFUNCTION("""COMPUTED_VALUE"""),1.0)</f>
        <v>1</v>
      </c>
      <c r="AF372" s="65"/>
      <c r="AG372" s="65"/>
      <c r="AH372" s="65"/>
      <c r="AI372" s="65"/>
      <c r="AJ372" s="65"/>
      <c r="AK372" s="65"/>
      <c r="AL372" s="65"/>
      <c r="AM372" s="65"/>
      <c r="AN372" s="65"/>
      <c r="AO372" s="65"/>
      <c r="AP372" s="65"/>
      <c r="AQ372" s="65"/>
      <c r="AR372" s="65"/>
      <c r="AS372" s="65"/>
      <c r="AT372" s="65" t="str">
        <f>IFERROR(__xludf.DUMMYFUNCTION("""COMPUTED_VALUE"""),"SHOPIFY")</f>
        <v>SHOPIFY</v>
      </c>
      <c r="AU372" s="65" t="str">
        <f>IFERROR(__xludf.DUMMYFUNCTION("""COMPUTED_VALUE"""),"IMPORTEX EC")</f>
        <v>IMPORTEX EC</v>
      </c>
      <c r="AV372" s="65" t="str">
        <f>IFERROR(__xludf.DUMMYFUNCTION("""COMPUTED_VALUE"""),"6551363452972")</f>
        <v>6551363452972</v>
      </c>
      <c r="AW372" s="65">
        <f>IFERROR(__xludf.DUMMYFUNCTION("""COMPUTED_VALUE"""),6497.0)</f>
        <v>6497</v>
      </c>
      <c r="AX372" s="65"/>
      <c r="AY372" s="65"/>
      <c r="AZ372" s="65"/>
      <c r="BA372" s="65"/>
    </row>
    <row r="373">
      <c r="A373" s="65" t="str">
        <f>IFERROR(__xludf.DUMMYFUNCTION("""COMPUTED_VALUE"""),"27-03-2026")</f>
        <v>27-03-2026</v>
      </c>
      <c r="B373" s="65">
        <f>IFERROR(__xludf.DUMMYFUNCTION("""COMPUTED_VALUE"""),4666246.0)</f>
        <v>4666246</v>
      </c>
      <c r="C373" s="65" t="str">
        <f>IFERROR(__xludf.DUMMYFUNCTION("""COMPUTED_VALUE"""),"22:18")</f>
        <v>22:18</v>
      </c>
      <c r="D373" s="65" t="str">
        <f>IFERROR(__xludf.DUMMYFUNCTION("""COMPUTED_VALUE"""),"01-03-2026")</f>
        <v>01-03-2026</v>
      </c>
      <c r="E373" s="65" t="str">
        <f>IFERROR(__xludf.DUMMYFUNCTION("""COMPUTED_VALUE"""),"Jesus Bermello")</f>
        <v>Jesus Bermello</v>
      </c>
      <c r="F373" s="65" t="str">
        <f>IFERROR(__xludf.DUMMYFUNCTION("""COMPUTED_VALUE"""),"978683951")</f>
        <v>978683951</v>
      </c>
      <c r="G373" s="65" t="str">
        <f>IFERROR(__xludf.DUMMYFUNCTION("""COMPUTED_VALUE"""),"jesusbermello66@gmail.com")</f>
        <v>jesusbermello66@gmail.com</v>
      </c>
      <c r="H373" s="65"/>
      <c r="I373" s="65"/>
      <c r="J373" s="65"/>
      <c r="K373" s="65" t="str">
        <f>IFERROR(__xludf.DUMMYFUNCTION("""COMPUTED_VALUE"""),"PENDIENTE CONFIRMACION")</f>
        <v>PENDIENTE CONFIRMACION</v>
      </c>
      <c r="L373" s="65" t="str">
        <f>IFERROR(__xludf.DUMMYFUNCTION("""COMPUTED_VALUE"""),"CON RECAUDO")</f>
        <v>CON RECAUDO</v>
      </c>
      <c r="M373" s="65" t="str">
        <f>IFERROR(__xludf.DUMMYFUNCTION("""COMPUTED_VALUE"""),"MANABI")</f>
        <v>MANABI</v>
      </c>
      <c r="N373" s="65" t="str">
        <f>IFERROR(__xludf.DUMMYFUNCTION("""COMPUTED_VALUE"""),"TOSAGUA")</f>
        <v>TOSAGUA</v>
      </c>
      <c r="O373" s="65" t="str">
        <f>IFERROR(__xludf.DUMMYFUNCTION("""COMPUTED_VALUE"""),"Tosagua y Muyuyal -")</f>
        <v>Tosagua y Muyuyal -</v>
      </c>
      <c r="P373" s="65"/>
      <c r="Q373" s="65" t="str">
        <f>IFERROR(__xludf.DUMMYFUNCTION("""COMPUTED_VALUE"""),"GINTRACOM")</f>
        <v>GINTRACOM</v>
      </c>
      <c r="R373" s="65">
        <f>IFERROR(__xludf.DUMMYFUNCTION("""COMPUTED_VALUE"""),32.0)</f>
        <v>32</v>
      </c>
      <c r="S373" s="65"/>
      <c r="T373" s="65">
        <f>IFERROR(__xludf.DUMMYFUNCTION("""COMPUTED_VALUE"""),6.81)</f>
        <v>6.81</v>
      </c>
      <c r="U373" s="65">
        <f>IFERROR(__xludf.DUMMYFUNCTION("""COMPUTED_VALUE"""),0.0)</f>
        <v>0</v>
      </c>
      <c r="V373" s="65">
        <f>IFERROR(__xludf.DUMMYFUNCTION("""COMPUTED_VALUE"""),0.0)</f>
        <v>0</v>
      </c>
      <c r="W373" s="65">
        <f>IFERROR(__xludf.DUMMYFUNCTION("""COMPUTED_VALUE"""),0.0)</f>
        <v>0</v>
      </c>
      <c r="X373" s="65">
        <f>IFERROR(__xludf.DUMMYFUNCTION("""COMPUTED_VALUE"""),3.75)</f>
        <v>3.75</v>
      </c>
      <c r="Y373" s="65">
        <f>IFERROR(__xludf.DUMMYFUNCTION("""COMPUTED_VALUE"""),15.0)</f>
        <v>15</v>
      </c>
      <c r="Z373" s="65">
        <f>IFERROR(__xludf.DUMMYFUNCTION("""COMPUTED_VALUE"""),113116.0)</f>
        <v>113116</v>
      </c>
      <c r="AA373" s="65" t="str">
        <f>IFERROR(__xludf.DUMMYFUNCTION("""COMPUTED_VALUE"""),"IM-TAZAKI")</f>
        <v>IM-TAZAKI</v>
      </c>
      <c r="AB373" s="65"/>
      <c r="AC373" s="65" t="str">
        <f>IFERROR(__xludf.DUMMYFUNCTION("""COMPUTED_VALUE"""),"Cuchillo tazaki")</f>
        <v>Cuchillo tazaki</v>
      </c>
      <c r="AD373" s="65"/>
      <c r="AE373" s="65">
        <f>IFERROR(__xludf.DUMMYFUNCTION("""COMPUTED_VALUE"""),4.0)</f>
        <v>4</v>
      </c>
      <c r="AF373" s="65"/>
      <c r="AG373" s="65"/>
      <c r="AH373" s="65"/>
      <c r="AI373" s="65"/>
      <c r="AJ373" s="65"/>
      <c r="AK373" s="65"/>
      <c r="AL373" s="65"/>
      <c r="AM373" s="65"/>
      <c r="AN373" s="65"/>
      <c r="AO373" s="65"/>
      <c r="AP373" s="65"/>
      <c r="AQ373" s="65"/>
      <c r="AR373" s="65"/>
      <c r="AS373" s="65"/>
      <c r="AT373" s="65" t="str">
        <f>IFERROR(__xludf.DUMMYFUNCTION("""COMPUTED_VALUE"""),"SHOPIFY")</f>
        <v>SHOPIFY</v>
      </c>
      <c r="AU373" s="65" t="str">
        <f>IFERROR(__xludf.DUMMYFUNCTION("""COMPUTED_VALUE"""),"IMPORTEX EC")</f>
        <v>IMPORTEX EC</v>
      </c>
      <c r="AV373" s="65" t="str">
        <f>IFERROR(__xludf.DUMMYFUNCTION("""COMPUTED_VALUE"""),"6551101276204")</f>
        <v>6551101276204</v>
      </c>
      <c r="AW373" s="65">
        <f>IFERROR(__xludf.DUMMYFUNCTION("""COMPUTED_VALUE"""),6495.0)</f>
        <v>6495</v>
      </c>
      <c r="AX373" s="65"/>
      <c r="AY373" s="65"/>
      <c r="AZ373" s="65"/>
      <c r="BA373" s="65"/>
    </row>
    <row r="374">
      <c r="A374" s="65" t="str">
        <f>IFERROR(__xludf.DUMMYFUNCTION("""COMPUTED_VALUE"""),"27-03-2026")</f>
        <v>27-03-2026</v>
      </c>
      <c r="B374" s="65">
        <f>IFERROR(__xludf.DUMMYFUNCTION("""COMPUTED_VALUE"""),4666185.0)</f>
        <v>4666185</v>
      </c>
      <c r="C374" s="65" t="str">
        <f>IFERROR(__xludf.DUMMYFUNCTION("""COMPUTED_VALUE"""),"22:12")</f>
        <v>22:12</v>
      </c>
      <c r="D374" s="65" t="str">
        <f>IFERROR(__xludf.DUMMYFUNCTION("""COMPUTED_VALUE"""),"01-03-2026")</f>
        <v>01-03-2026</v>
      </c>
      <c r="E374" s="65" t="str">
        <f>IFERROR(__xludf.DUMMYFUNCTION("""COMPUTED_VALUE"""),"Luis Cagua")</f>
        <v>Luis Cagua</v>
      </c>
      <c r="F374" s="65" t="str">
        <f>IFERROR(__xludf.DUMMYFUNCTION("""COMPUTED_VALUE"""),"967258971")</f>
        <v>967258971</v>
      </c>
      <c r="G374" s="65" t="str">
        <f>IFERROR(__xludf.DUMMYFUNCTION("""COMPUTED_VALUE"""),"cagua9481@gmail.com")</f>
        <v>cagua9481@gmail.com</v>
      </c>
      <c r="H374" s="65"/>
      <c r="I374" s="65"/>
      <c r="J374" s="65"/>
      <c r="K374" s="65" t="str">
        <f>IFERROR(__xludf.DUMMYFUNCTION("""COMPUTED_VALUE"""),"PENDIENTE CONFIRMACION")</f>
        <v>PENDIENTE CONFIRMACION</v>
      </c>
      <c r="L374" s="65" t="str">
        <f>IFERROR(__xludf.DUMMYFUNCTION("""COMPUTED_VALUE"""),"CON RECAUDO")</f>
        <v>CON RECAUDO</v>
      </c>
      <c r="M374" s="65" t="str">
        <f>IFERROR(__xludf.DUMMYFUNCTION("""COMPUTED_VALUE"""),"ESMERALDAS")</f>
        <v>ESMERALDAS</v>
      </c>
      <c r="N374" s="65" t="str">
        <f>IFERROR(__xludf.DUMMYFUNCTION("""COMPUTED_VALUE"""),"MUISNE")</f>
        <v>MUISNE</v>
      </c>
      <c r="O374" s="65" t="str">
        <f>IFERROR(__xludf.DUMMYFUNCTION("""COMPUTED_VALUE"""),"Muisne Calle principal -")</f>
        <v>Muisne Calle principal -</v>
      </c>
      <c r="P374" s="65"/>
      <c r="Q374" s="65" t="str">
        <f>IFERROR(__xludf.DUMMYFUNCTION("""COMPUTED_VALUE"""),"SERVIENTREGA")</f>
        <v>SERVIENTREGA</v>
      </c>
      <c r="R374" s="65">
        <f>IFERROR(__xludf.DUMMYFUNCTION("""COMPUTED_VALUE"""),24.2)</f>
        <v>24.2</v>
      </c>
      <c r="S374" s="65"/>
      <c r="T374" s="65">
        <f>IFERROR(__xludf.DUMMYFUNCTION("""COMPUTED_VALUE"""),7.73)</f>
        <v>7.73</v>
      </c>
      <c r="U374" s="65">
        <f>IFERROR(__xludf.DUMMYFUNCTION("""COMPUTED_VALUE"""),0.0)</f>
        <v>0</v>
      </c>
      <c r="V374" s="65">
        <f>IFERROR(__xludf.DUMMYFUNCTION("""COMPUTED_VALUE"""),0.0)</f>
        <v>0</v>
      </c>
      <c r="W374" s="65">
        <f>IFERROR(__xludf.DUMMYFUNCTION("""COMPUTED_VALUE"""),0.0)</f>
        <v>0</v>
      </c>
      <c r="X374" s="65">
        <f>IFERROR(__xludf.DUMMYFUNCTION("""COMPUTED_VALUE"""),5.0)</f>
        <v>5</v>
      </c>
      <c r="Y374" s="65">
        <f>IFERROR(__xludf.DUMMYFUNCTION("""COMPUTED_VALUE"""),10.0)</f>
        <v>10</v>
      </c>
      <c r="Z374" s="65">
        <f>IFERROR(__xludf.DUMMYFUNCTION("""COMPUTED_VALUE"""),130492.0)</f>
        <v>130492</v>
      </c>
      <c r="AA374" s="65" t="str">
        <f>IFERROR(__xludf.DUMMYFUNCTION("""COMPUTED_VALUE"""),"IMX-00006")</f>
        <v>IMX-00006</v>
      </c>
      <c r="AB374" s="65"/>
      <c r="AC374" s="65" t="str">
        <f>IFERROR(__xludf.DUMMYFUNCTION("""COMPUTED_VALUE"""),"Receptor Bluetooth")</f>
        <v>Receptor Bluetooth</v>
      </c>
      <c r="AD374" s="65"/>
      <c r="AE374" s="65">
        <f>IFERROR(__xludf.DUMMYFUNCTION("""COMPUTED_VALUE"""),2.0)</f>
        <v>2</v>
      </c>
      <c r="AF374" s="65"/>
      <c r="AG374" s="65"/>
      <c r="AH374" s="65"/>
      <c r="AI374" s="65"/>
      <c r="AJ374" s="65"/>
      <c r="AK374" s="65"/>
      <c r="AL374" s="65"/>
      <c r="AM374" s="65"/>
      <c r="AN374" s="65"/>
      <c r="AO374" s="65"/>
      <c r="AP374" s="65"/>
      <c r="AQ374" s="65"/>
      <c r="AR374" s="65"/>
      <c r="AS374" s="65"/>
      <c r="AT374" s="65" t="str">
        <f>IFERROR(__xludf.DUMMYFUNCTION("""COMPUTED_VALUE"""),"SHOPIFY")</f>
        <v>SHOPIFY</v>
      </c>
      <c r="AU374" s="65" t="str">
        <f>IFERROR(__xludf.DUMMYFUNCTION("""COMPUTED_VALUE"""),"IMPORTEX EC")</f>
        <v>IMPORTEX EC</v>
      </c>
      <c r="AV374" s="65" t="str">
        <f>IFERROR(__xludf.DUMMYFUNCTION("""COMPUTED_VALUE"""),"6551092199468")</f>
        <v>6551092199468</v>
      </c>
      <c r="AW374" s="65">
        <f>IFERROR(__xludf.DUMMYFUNCTION("""COMPUTED_VALUE"""),6494.0)</f>
        <v>6494</v>
      </c>
      <c r="AX374" s="65"/>
      <c r="AY374" s="65"/>
      <c r="AZ374" s="65"/>
      <c r="BA374" s="65"/>
    </row>
    <row r="375">
      <c r="A375" s="65" t="str">
        <f>IFERROR(__xludf.DUMMYFUNCTION("""COMPUTED_VALUE"""),"27-03-2026")</f>
        <v>27-03-2026</v>
      </c>
      <c r="B375" s="65">
        <f>IFERROR(__xludf.DUMMYFUNCTION("""COMPUTED_VALUE"""),4665798.0)</f>
        <v>4665798</v>
      </c>
      <c r="C375" s="65" t="str">
        <f>IFERROR(__xludf.DUMMYFUNCTION("""COMPUTED_VALUE"""),"21:42")</f>
        <v>21:42</v>
      </c>
      <c r="D375" s="65" t="str">
        <f>IFERROR(__xludf.DUMMYFUNCTION("""COMPUTED_VALUE"""),"01-03-2026")</f>
        <v>01-03-2026</v>
      </c>
      <c r="E375" s="65" t="str">
        <f>IFERROR(__xludf.DUMMYFUNCTION("""COMPUTED_VALUE"""),"Edwin Israel Arturo Loor")</f>
        <v>Edwin Israel Arturo Loor</v>
      </c>
      <c r="F375" s="65" t="str">
        <f>IFERROR(__xludf.DUMMYFUNCTION("""COMPUTED_VALUE"""),"980092483")</f>
        <v>980092483</v>
      </c>
      <c r="G375" s="65" t="str">
        <f>IFERROR(__xludf.DUMMYFUNCTION("""COMPUTED_VALUE"""),"edwinarturo89@hotmail.com")</f>
        <v>edwinarturo89@hotmail.com</v>
      </c>
      <c r="H375" s="65"/>
      <c r="I375" s="65"/>
      <c r="J375" s="65"/>
      <c r="K375" s="65" t="str">
        <f>IFERROR(__xludf.DUMMYFUNCTION("""COMPUTED_VALUE"""),"PENDIENTE CONFIRMACION")</f>
        <v>PENDIENTE CONFIRMACION</v>
      </c>
      <c r="L375" s="65" t="str">
        <f>IFERROR(__xludf.DUMMYFUNCTION("""COMPUTED_VALUE"""),"CON RECAUDO")</f>
        <v>CON RECAUDO</v>
      </c>
      <c r="M375" s="65" t="str">
        <f>IFERROR(__xludf.DUMMYFUNCTION("""COMPUTED_VALUE"""),"MANABI")</f>
        <v>MANABI</v>
      </c>
      <c r="N375" s="65" t="str">
        <f>IFERROR(__xludf.DUMMYFUNCTION("""COMPUTED_VALUE"""),"SAN VICENTE")</f>
        <v>SAN VICENTE</v>
      </c>
      <c r="O375" s="65" t="str">
        <f>IFERROR(__xludf.DUMMYFUNCTION("""COMPUTED_VALUE"""),"Malecón leonidas vegas Barrio primero de enero calle 28 de diciembre -")</f>
        <v>Malecón leonidas vegas Barrio primero de enero calle 28 de diciembre -</v>
      </c>
      <c r="P375" s="65"/>
      <c r="Q375" s="65" t="str">
        <f>IFERROR(__xludf.DUMMYFUNCTION("""COMPUTED_VALUE"""),"LAARCOURIER")</f>
        <v>LAARCOURIER</v>
      </c>
      <c r="R375" s="65">
        <f>IFERROR(__xludf.DUMMYFUNCTION("""COMPUTED_VALUE"""),25.0)</f>
        <v>25</v>
      </c>
      <c r="S375" s="65"/>
      <c r="T375" s="65">
        <f>IFERROR(__xludf.DUMMYFUNCTION("""COMPUTED_VALUE"""),7.19)</f>
        <v>7.19</v>
      </c>
      <c r="U375" s="65">
        <f>IFERROR(__xludf.DUMMYFUNCTION("""COMPUTED_VALUE"""),0.0)</f>
        <v>0</v>
      </c>
      <c r="V375" s="65">
        <f>IFERROR(__xludf.DUMMYFUNCTION("""COMPUTED_VALUE"""),0.0)</f>
        <v>0</v>
      </c>
      <c r="W375" s="65">
        <f>IFERROR(__xludf.DUMMYFUNCTION("""COMPUTED_VALUE"""),0.0)</f>
        <v>0</v>
      </c>
      <c r="X375" s="65">
        <f>IFERROR(__xludf.DUMMYFUNCTION("""COMPUTED_VALUE"""),2.35)</f>
        <v>2.35</v>
      </c>
      <c r="Y375" s="65">
        <f>IFERROR(__xludf.DUMMYFUNCTION("""COMPUTED_VALUE"""),4.7)</f>
        <v>4.7</v>
      </c>
      <c r="Z375" s="65">
        <f>IFERROR(__xludf.DUMMYFUNCTION("""COMPUTED_VALUE"""),116679.0)</f>
        <v>116679</v>
      </c>
      <c r="AA375" s="65" t="str">
        <f>IFERROR(__xludf.DUMMYFUNCTION("""COMPUTED_VALUE"""),"AMC-2738")</f>
        <v>AMC-2738</v>
      </c>
      <c r="AB375" s="65"/>
      <c r="AC375" s="65" t="str">
        <f>IFERROR(__xludf.DUMMYFUNCTION("""COMPUTED_VALUE"""),"ESPONJA ANTILLUVIA DE PARABRISAS")</f>
        <v>ESPONJA ANTILLUVIA DE PARABRISAS</v>
      </c>
      <c r="AD375" s="65"/>
      <c r="AE375" s="65">
        <f>IFERROR(__xludf.DUMMYFUNCTION("""COMPUTED_VALUE"""),2.0)</f>
        <v>2</v>
      </c>
      <c r="AF375" s="65"/>
      <c r="AG375" s="65"/>
      <c r="AH375" s="65"/>
      <c r="AI375" s="65"/>
      <c r="AJ375" s="65"/>
      <c r="AK375" s="65"/>
      <c r="AL375" s="65"/>
      <c r="AM375" s="65"/>
      <c r="AN375" s="65"/>
      <c r="AO375" s="65"/>
      <c r="AP375" s="65"/>
      <c r="AQ375" s="65"/>
      <c r="AR375" s="65"/>
      <c r="AS375" s="65"/>
      <c r="AT375" s="65" t="str">
        <f>IFERROR(__xludf.DUMMYFUNCTION("""COMPUTED_VALUE"""),"SHOPIFY")</f>
        <v>SHOPIFY</v>
      </c>
      <c r="AU375" s="65" t="str">
        <f>IFERROR(__xludf.DUMMYFUNCTION("""COMPUTED_VALUE"""),"IMPORTEX EC")</f>
        <v>IMPORTEX EC</v>
      </c>
      <c r="AV375" s="65" t="str">
        <f>IFERROR(__xludf.DUMMYFUNCTION("""COMPUTED_VALUE"""),"6551023648812")</f>
        <v>6551023648812</v>
      </c>
      <c r="AW375" s="65">
        <f>IFERROR(__xludf.DUMMYFUNCTION("""COMPUTED_VALUE"""),6493.0)</f>
        <v>6493</v>
      </c>
      <c r="AX375" s="65"/>
      <c r="AY375" s="65"/>
      <c r="AZ375" s="65"/>
      <c r="BA375" s="65"/>
    </row>
    <row r="376">
      <c r="A376" s="65" t="str">
        <f>IFERROR(__xludf.DUMMYFUNCTION("""COMPUTED_VALUE"""),"27-03-2026")</f>
        <v>27-03-2026</v>
      </c>
      <c r="B376" s="65">
        <f>IFERROR(__xludf.DUMMYFUNCTION("""COMPUTED_VALUE"""),4665661.0)</f>
        <v>4665661</v>
      </c>
      <c r="C376" s="65" t="str">
        <f>IFERROR(__xludf.DUMMYFUNCTION("""COMPUTED_VALUE"""),"21:31")</f>
        <v>21:31</v>
      </c>
      <c r="D376" s="65" t="str">
        <f>IFERROR(__xludf.DUMMYFUNCTION("""COMPUTED_VALUE"""),"01-03-2026")</f>
        <v>01-03-2026</v>
      </c>
      <c r="E376" s="65" t="str">
        <f>IFERROR(__xludf.DUMMYFUNCTION("""COMPUTED_VALUE"""),"Carlos Solorzano")</f>
        <v>Carlos Solorzano</v>
      </c>
      <c r="F376" s="65" t="str">
        <f>IFERROR(__xludf.DUMMYFUNCTION("""COMPUTED_VALUE"""),"991604617")</f>
        <v>991604617</v>
      </c>
      <c r="G376" s="65" t="str">
        <f>IFERROR(__xludf.DUMMYFUNCTION("""COMPUTED_VALUE"""),"carbosol_7@hotmail.com")</f>
        <v>carbosol_7@hotmail.com</v>
      </c>
      <c r="H376" s="65"/>
      <c r="I376" s="65"/>
      <c r="J376" s="65" t="str">
        <f>IFERROR(__xludf.DUMMYFUNCTION("""COMPUTED_VALUE"""),"D001377921")</f>
        <v>D001377921</v>
      </c>
      <c r="K376" s="65" t="str">
        <f>IFERROR(__xludf.DUMMYFUNCTION("""COMPUTED_VALUE"""),"ENTREGADO")</f>
        <v>ENTREGADO</v>
      </c>
      <c r="L376" s="65" t="str">
        <f>IFERROR(__xludf.DUMMYFUNCTION("""COMPUTED_VALUE"""),"CON RECAUDO")</f>
        <v>CON RECAUDO</v>
      </c>
      <c r="M376" s="65" t="str">
        <f>IFERROR(__xludf.DUMMYFUNCTION("""COMPUTED_VALUE"""),"MANABI")</f>
        <v>MANABI</v>
      </c>
      <c r="N376" s="65" t="str">
        <f>IFERROR(__xludf.DUMMYFUNCTION("""COMPUTED_VALUE"""),"PORTOVIEJO")</f>
        <v>PORTOVIEJO</v>
      </c>
      <c r="O376" s="65" t="str">
        <f>IFERROR(__xludf.DUMMYFUNCTION("""COMPUTED_VALUE"""),"El Negrital Av. Jose Maria Urvina y che Guevara")</f>
        <v>El Negrital Av. Jose Maria Urvina y che Guevara</v>
      </c>
      <c r="P376" s="65"/>
      <c r="Q376" s="65" t="str">
        <f>IFERROR(__xludf.DUMMYFUNCTION("""COMPUTED_VALUE"""),"GINTRACOM")</f>
        <v>GINTRACOM</v>
      </c>
      <c r="R376" s="65">
        <f>IFERROR(__xludf.DUMMYFUNCTION("""COMPUTED_VALUE"""),30.0)</f>
        <v>30</v>
      </c>
      <c r="S376" s="65">
        <f>IFERROR(__xludf.DUMMYFUNCTION("""COMPUTED_VALUE"""),16.79)</f>
        <v>16.79</v>
      </c>
      <c r="T376" s="65">
        <f>IFERROR(__xludf.DUMMYFUNCTION("""COMPUTED_VALUE"""),6.16)</f>
        <v>6.16</v>
      </c>
      <c r="U376" s="65">
        <f>IFERROR(__xludf.DUMMYFUNCTION("""COMPUTED_VALUE"""),0.0)</f>
        <v>0</v>
      </c>
      <c r="V376" s="65">
        <f>IFERROR(__xludf.DUMMYFUNCTION("""COMPUTED_VALUE"""),0.0)</f>
        <v>0</v>
      </c>
      <c r="W376" s="65">
        <f>IFERROR(__xludf.DUMMYFUNCTION("""COMPUTED_VALUE"""),0.0)</f>
        <v>0</v>
      </c>
      <c r="X376" s="65">
        <f>IFERROR(__xludf.DUMMYFUNCTION("""COMPUTED_VALUE"""),2.35)</f>
        <v>2.35</v>
      </c>
      <c r="Y376" s="65">
        <f>IFERROR(__xludf.DUMMYFUNCTION("""COMPUTED_VALUE"""),7.05)</f>
        <v>7.05</v>
      </c>
      <c r="Z376" s="65">
        <f>IFERROR(__xludf.DUMMYFUNCTION("""COMPUTED_VALUE"""),116679.0)</f>
        <v>116679</v>
      </c>
      <c r="AA376" s="65" t="str">
        <f>IFERROR(__xludf.DUMMYFUNCTION("""COMPUTED_VALUE"""),"AMC-2738")</f>
        <v>AMC-2738</v>
      </c>
      <c r="AB376" s="65"/>
      <c r="AC376" s="65" t="str">
        <f>IFERROR(__xludf.DUMMYFUNCTION("""COMPUTED_VALUE"""),"ESPONJA ANTILLUVIA DE PARABRISAS")</f>
        <v>ESPONJA ANTILLUVIA DE PARABRISAS</v>
      </c>
      <c r="AD376" s="65"/>
      <c r="AE376" s="65">
        <f>IFERROR(__xludf.DUMMYFUNCTION("""COMPUTED_VALUE"""),3.0)</f>
        <v>3</v>
      </c>
      <c r="AF376" s="65"/>
      <c r="AG376" s="65"/>
      <c r="AH376" s="65"/>
      <c r="AI376" s="65"/>
      <c r="AJ376" s="65"/>
      <c r="AK376" s="65"/>
      <c r="AL376" s="65"/>
      <c r="AM376" s="65"/>
      <c r="AN376" s="65" t="str">
        <f>IFERROR(__xludf.DUMMYFUNCTION("""COMPUTED_VALUE"""),"15:35")</f>
        <v>15:35</v>
      </c>
      <c r="AO376" s="65" t="str">
        <f>IFERROR(__xludf.DUMMYFUNCTION("""COMPUTED_VALUE"""),"06-03-2026")</f>
        <v>06-03-2026</v>
      </c>
      <c r="AP376" s="65" t="str">
        <f>IFERROR(__xludf.DUMMYFUNCTION("""COMPUTED_VALUE"""),"ENTREGADA GINTRACOM")</f>
        <v>ENTREGADA GINTRACOM</v>
      </c>
      <c r="AQ376" s="65" t="str">
        <f>IFERROR(__xludf.DUMMYFUNCTION("""COMPUTED_VALUE"""),"ENTREGADA GINTRACOM")</f>
        <v>ENTREGADA GINTRACOM</v>
      </c>
      <c r="AR376" s="65"/>
      <c r="AS376" s="65"/>
      <c r="AT376" s="65" t="str">
        <f>IFERROR(__xludf.DUMMYFUNCTION("""COMPUTED_VALUE"""),"SHOPIFY")</f>
        <v>SHOPIFY</v>
      </c>
      <c r="AU376" s="65" t="str">
        <f>IFERROR(__xludf.DUMMYFUNCTION("""COMPUTED_VALUE"""),"IMPORTEX EC")</f>
        <v>IMPORTEX EC</v>
      </c>
      <c r="AV376" s="65" t="str">
        <f>IFERROR(__xludf.DUMMYFUNCTION("""COMPUTED_VALUE"""),"6551003725868")</f>
        <v>6551003725868</v>
      </c>
      <c r="AW376" s="65">
        <f>IFERROR(__xludf.DUMMYFUNCTION("""COMPUTED_VALUE"""),6492.0)</f>
        <v>6492</v>
      </c>
      <c r="AX376" s="65"/>
      <c r="AY376" s="65" t="str">
        <f>IFERROR(__xludf.DUMMYFUNCTION("""COMPUTED_VALUE"""),"03/03/2026")</f>
        <v>03/03/2026</v>
      </c>
      <c r="AZ376" s="65"/>
      <c r="BA376" s="65"/>
    </row>
    <row r="377">
      <c r="A377" s="65" t="str">
        <f>IFERROR(__xludf.DUMMYFUNCTION("""COMPUTED_VALUE"""),"27-03-2026")</f>
        <v>27-03-2026</v>
      </c>
      <c r="B377" s="65">
        <f>IFERROR(__xludf.DUMMYFUNCTION("""COMPUTED_VALUE"""),4664458.0)</f>
        <v>4664458</v>
      </c>
      <c r="C377" s="65" t="str">
        <f>IFERROR(__xludf.DUMMYFUNCTION("""COMPUTED_VALUE"""),"20:00")</f>
        <v>20:00</v>
      </c>
      <c r="D377" s="65" t="str">
        <f>IFERROR(__xludf.DUMMYFUNCTION("""COMPUTED_VALUE"""),"01-03-2026")</f>
        <v>01-03-2026</v>
      </c>
      <c r="E377" s="65" t="str">
        <f>IFERROR(__xludf.DUMMYFUNCTION("""COMPUTED_VALUE"""),"Jefferson Ismael Tello Govea")</f>
        <v>Jefferson Ismael Tello Govea</v>
      </c>
      <c r="F377" s="65" t="str">
        <f>IFERROR(__xludf.DUMMYFUNCTION("""COMPUTED_VALUE"""),"985725019")</f>
        <v>985725019</v>
      </c>
      <c r="G377" s="65" t="str">
        <f>IFERROR(__xludf.DUMMYFUNCTION("""COMPUTED_VALUE"""),"jeffersontellogovea935@gmail.com")</f>
        <v>jeffersontellogovea935@gmail.com</v>
      </c>
      <c r="H377" s="65"/>
      <c r="I377" s="65"/>
      <c r="J377" s="65"/>
      <c r="K377" s="65" t="str">
        <f>IFERROR(__xludf.DUMMYFUNCTION("""COMPUTED_VALUE"""),"CANCELADO")</f>
        <v>CANCELADO</v>
      </c>
      <c r="L377" s="65" t="str">
        <f>IFERROR(__xludf.DUMMYFUNCTION("""COMPUTED_VALUE"""),"CON RECAUDO")</f>
        <v>CON RECAUDO</v>
      </c>
      <c r="M377" s="65" t="str">
        <f>IFERROR(__xludf.DUMMYFUNCTION("""COMPUTED_VALUE"""),"ESMERALDAS")</f>
        <v>ESMERALDAS</v>
      </c>
      <c r="N377" s="65" t="str">
        <f>IFERROR(__xludf.DUMMYFUNCTION("""COMPUTED_VALUE"""),"ESMERALDAS")</f>
        <v>ESMERALDAS</v>
      </c>
      <c r="O377" s="65" t="str">
        <f>IFERROR(__xludf.DUMMYFUNCTION("""COMPUTED_VALUE"""),"Palestina Servientrega Cantón Rioverde palestina Servientrega -")</f>
        <v>Palestina Servientrega Cantón Rioverde palestina Servientrega -</v>
      </c>
      <c r="P377" s="65"/>
      <c r="Q377" s="65" t="str">
        <f>IFERROR(__xludf.DUMMYFUNCTION("""COMPUTED_VALUE"""),"GINTRACOM")</f>
        <v>GINTRACOM</v>
      </c>
      <c r="R377" s="65">
        <f>IFERROR(__xludf.DUMMYFUNCTION("""COMPUTED_VALUE"""),24.2)</f>
        <v>24.2</v>
      </c>
      <c r="S377" s="65"/>
      <c r="T377" s="65">
        <f>IFERROR(__xludf.DUMMYFUNCTION("""COMPUTED_VALUE"""),5.92)</f>
        <v>5.92</v>
      </c>
      <c r="U377" s="65">
        <f>IFERROR(__xludf.DUMMYFUNCTION("""COMPUTED_VALUE"""),0.0)</f>
        <v>0</v>
      </c>
      <c r="V377" s="65">
        <f>IFERROR(__xludf.DUMMYFUNCTION("""COMPUTED_VALUE"""),0.0)</f>
        <v>0</v>
      </c>
      <c r="W377" s="65">
        <f>IFERROR(__xludf.DUMMYFUNCTION("""COMPUTED_VALUE"""),0.0)</f>
        <v>0</v>
      </c>
      <c r="X377" s="65">
        <f>IFERROR(__xludf.DUMMYFUNCTION("""COMPUTED_VALUE"""),5.0)</f>
        <v>5</v>
      </c>
      <c r="Y377" s="65">
        <f>IFERROR(__xludf.DUMMYFUNCTION("""COMPUTED_VALUE"""),10.0)</f>
        <v>10</v>
      </c>
      <c r="Z377" s="65">
        <f>IFERROR(__xludf.DUMMYFUNCTION("""COMPUTED_VALUE"""),130492.0)</f>
        <v>130492</v>
      </c>
      <c r="AA377" s="65" t="str">
        <f>IFERROR(__xludf.DUMMYFUNCTION("""COMPUTED_VALUE"""),"IMX-00006")</f>
        <v>IMX-00006</v>
      </c>
      <c r="AB377" s="65"/>
      <c r="AC377" s="65" t="str">
        <f>IFERROR(__xludf.DUMMYFUNCTION("""COMPUTED_VALUE"""),"Receptor Bluetooth")</f>
        <v>Receptor Bluetooth</v>
      </c>
      <c r="AD377" s="65"/>
      <c r="AE377" s="65">
        <f>IFERROR(__xludf.DUMMYFUNCTION("""COMPUTED_VALUE"""),2.0)</f>
        <v>2</v>
      </c>
      <c r="AF377" s="65"/>
      <c r="AG377" s="65"/>
      <c r="AH377" s="65"/>
      <c r="AI377" s="65"/>
      <c r="AJ377" s="65"/>
      <c r="AK377" s="65"/>
      <c r="AL377" s="65"/>
      <c r="AM377" s="65"/>
      <c r="AN377" s="65"/>
      <c r="AO377" s="65"/>
      <c r="AP377" s="65"/>
      <c r="AQ377" s="65"/>
      <c r="AR377" s="65"/>
      <c r="AS377" s="65"/>
      <c r="AT377" s="65" t="str">
        <f>IFERROR(__xludf.DUMMYFUNCTION("""COMPUTED_VALUE"""),"SHOPIFY")</f>
        <v>SHOPIFY</v>
      </c>
      <c r="AU377" s="65" t="str">
        <f>IFERROR(__xludf.DUMMYFUNCTION("""COMPUTED_VALUE"""),"IMPORTEX EC")</f>
        <v>IMPORTEX EC</v>
      </c>
      <c r="AV377" s="65" t="str">
        <f>IFERROR(__xludf.DUMMYFUNCTION("""COMPUTED_VALUE"""),"6550827270188")</f>
        <v>6550827270188</v>
      </c>
      <c r="AW377" s="65">
        <f>IFERROR(__xludf.DUMMYFUNCTION("""COMPUTED_VALUE"""),6490.0)</f>
        <v>6490</v>
      </c>
      <c r="AX377" s="65"/>
      <c r="AY377" s="65"/>
      <c r="AZ377" s="65"/>
      <c r="BA377" s="65"/>
    </row>
    <row r="378">
      <c r="A378" s="65" t="str">
        <f>IFERROR(__xludf.DUMMYFUNCTION("""COMPUTED_VALUE"""),"27-03-2026")</f>
        <v>27-03-2026</v>
      </c>
      <c r="B378" s="65">
        <f>IFERROR(__xludf.DUMMYFUNCTION("""COMPUTED_VALUE"""),4664375.0)</f>
        <v>4664375</v>
      </c>
      <c r="C378" s="65" t="str">
        <f>IFERROR(__xludf.DUMMYFUNCTION("""COMPUTED_VALUE"""),"19:55")</f>
        <v>19:55</v>
      </c>
      <c r="D378" s="65" t="str">
        <f>IFERROR(__xludf.DUMMYFUNCTION("""COMPUTED_VALUE"""),"01-03-2026")</f>
        <v>01-03-2026</v>
      </c>
      <c r="E378" s="65" t="str">
        <f>IFERROR(__xludf.DUMMYFUNCTION("""COMPUTED_VALUE"""),"William Francisco Álava Morante")</f>
        <v>William Francisco Álava Morante</v>
      </c>
      <c r="F378" s="65" t="str">
        <f>IFERROR(__xludf.DUMMYFUNCTION("""COMPUTED_VALUE"""),"967534865")</f>
        <v>967534865</v>
      </c>
      <c r="G378" s="65" t="str">
        <f>IFERROR(__xludf.DUMMYFUNCTION("""COMPUTED_VALUE"""),"williamalava9@gmail.com")</f>
        <v>williamalava9@gmail.com</v>
      </c>
      <c r="H378" s="65"/>
      <c r="I378" s="65"/>
      <c r="J378" s="65" t="str">
        <f>IFERROR(__xludf.DUMMYFUNCTION("""COMPUTED_VALUE"""),"D001377923")</f>
        <v>D001377923</v>
      </c>
      <c r="K378" s="65" t="str">
        <f>IFERROR(__xludf.DUMMYFUNCTION("""COMPUTED_VALUE"""),"DEVOLUCION")</f>
        <v>DEVOLUCION</v>
      </c>
      <c r="L378" s="65" t="str">
        <f>IFERROR(__xludf.DUMMYFUNCTION("""COMPUTED_VALUE"""),"CON RECAUDO")</f>
        <v>CON RECAUDO</v>
      </c>
      <c r="M378" s="65" t="str">
        <f>IFERROR(__xludf.DUMMYFUNCTION("""COMPUTED_VALUE"""),"GUAYAS")</f>
        <v>GUAYAS</v>
      </c>
      <c r="N378" s="65" t="str">
        <f>IFERROR(__xludf.DUMMYFUNCTION("""COMPUTED_VALUE"""),"GUAYAQUIL")</f>
        <v>GUAYAQUIL</v>
      </c>
      <c r="O378" s="65" t="str">
        <f>IFERROR(__xludf.DUMMYFUNCTION("""COMPUTED_VALUE"""),"Tía Perimetral Loma de la Florida")</f>
        <v>Tía Perimetral Loma de la Florida</v>
      </c>
      <c r="P378" s="65"/>
      <c r="Q378" s="65" t="str">
        <f>IFERROR(__xludf.DUMMYFUNCTION("""COMPUTED_VALUE"""),"GINTRACOM")</f>
        <v>GINTRACOM</v>
      </c>
      <c r="R378" s="65">
        <f>IFERROR(__xludf.DUMMYFUNCTION("""COMPUTED_VALUE"""),25.0)</f>
        <v>25</v>
      </c>
      <c r="S378" s="65"/>
      <c r="T378" s="65">
        <f>IFERROR(__xludf.DUMMYFUNCTION("""COMPUTED_VALUE"""),5.96)</f>
        <v>5.96</v>
      </c>
      <c r="U378" s="65">
        <f>IFERROR(__xludf.DUMMYFUNCTION("""COMPUTED_VALUE"""),0.0)</f>
        <v>0</v>
      </c>
      <c r="V378" s="65">
        <f>IFERROR(__xludf.DUMMYFUNCTION("""COMPUTED_VALUE"""),0.0)</f>
        <v>0</v>
      </c>
      <c r="W378" s="65">
        <f>IFERROR(__xludf.DUMMYFUNCTION("""COMPUTED_VALUE"""),0.0)</f>
        <v>0</v>
      </c>
      <c r="X378" s="65">
        <f>IFERROR(__xludf.DUMMYFUNCTION("""COMPUTED_VALUE"""),2.35)</f>
        <v>2.35</v>
      </c>
      <c r="Y378" s="65">
        <f>IFERROR(__xludf.DUMMYFUNCTION("""COMPUTED_VALUE"""),4.7)</f>
        <v>4.7</v>
      </c>
      <c r="Z378" s="65">
        <f>IFERROR(__xludf.DUMMYFUNCTION("""COMPUTED_VALUE"""),116679.0)</f>
        <v>116679</v>
      </c>
      <c r="AA378" s="65" t="str">
        <f>IFERROR(__xludf.DUMMYFUNCTION("""COMPUTED_VALUE"""),"AMC-2738")</f>
        <v>AMC-2738</v>
      </c>
      <c r="AB378" s="65"/>
      <c r="AC378" s="65" t="str">
        <f>IFERROR(__xludf.DUMMYFUNCTION("""COMPUTED_VALUE"""),"ESPONJA ANTILLUVIA DE PARABRISAS")</f>
        <v>ESPONJA ANTILLUVIA DE PARABRISAS</v>
      </c>
      <c r="AD378" s="65"/>
      <c r="AE378" s="65">
        <f>IFERROR(__xludf.DUMMYFUNCTION("""COMPUTED_VALUE"""),2.0)</f>
        <v>2</v>
      </c>
      <c r="AF378" s="65" t="str">
        <f>IFERROR(__xludf.DUMMYFUNCTION("""COMPUTED_VALUE"""),"DESTINATARIO NO CONTESTA LLAMADAS NI WHATSAPP")</f>
        <v>DESTINATARIO NO CONTESTA LLAMADAS NI WHATSAPP</v>
      </c>
      <c r="AG378" s="65" t="str">
        <f>IFERROR(__xludf.DUMMYFUNCTION("""COMPUTED_VALUE"""),"NO")</f>
        <v>NO</v>
      </c>
      <c r="AH378" s="65" t="str">
        <f>IFERROR(__xludf.DUMMYFUNCTION("""COMPUTED_VALUE"""),"09:00")</f>
        <v>09:00</v>
      </c>
      <c r="AI378" s="65" t="str">
        <f>IFERROR(__xludf.DUMMYFUNCTION("""COMPUTED_VALUE"""),"14-03-2026")</f>
        <v>14-03-2026</v>
      </c>
      <c r="AJ378" s="65"/>
      <c r="AK378" s="65"/>
      <c r="AL378" s="65"/>
      <c r="AM378" s="65"/>
      <c r="AN378" s="65" t="str">
        <f>IFERROR(__xludf.DUMMYFUNCTION("""COMPUTED_VALUE"""),"15:33")</f>
        <v>15:33</v>
      </c>
      <c r="AO378" s="65" t="str">
        <f>IFERROR(__xludf.DUMMYFUNCTION("""COMPUTED_VALUE"""),"26-03-2026")</f>
        <v>26-03-2026</v>
      </c>
      <c r="AP378" s="65" t="str">
        <f>IFERROR(__xludf.DUMMYFUNCTION("""COMPUTED_VALUE"""),"DEVOLUCIÓN ENTREGADA A ORIGEN")</f>
        <v>DEVOLUCIÓN ENTREGADA A ORIGEN</v>
      </c>
      <c r="AQ378" s="65" t="str">
        <f>IFERROR(__xludf.DUMMYFUNCTION("""COMPUTED_VALUE"""),"DEVOLUCIÓN ENTREGADA A ORIGEN")</f>
        <v>DEVOLUCIÓN ENTREGADA A ORIGEN</v>
      </c>
      <c r="AR378" s="65"/>
      <c r="AS378" s="65"/>
      <c r="AT378" s="65" t="str">
        <f>IFERROR(__xludf.DUMMYFUNCTION("""COMPUTED_VALUE"""),"SHOPIFY")</f>
        <v>SHOPIFY</v>
      </c>
      <c r="AU378" s="65" t="str">
        <f>IFERROR(__xludf.DUMMYFUNCTION("""COMPUTED_VALUE"""),"IMPORTEX EC")</f>
        <v>IMPORTEX EC</v>
      </c>
      <c r="AV378" s="65" t="str">
        <f>IFERROR(__xludf.DUMMYFUNCTION("""COMPUTED_VALUE"""),"6550814654508")</f>
        <v>6550814654508</v>
      </c>
      <c r="AW378" s="65">
        <f>IFERROR(__xludf.DUMMYFUNCTION("""COMPUTED_VALUE"""),6489.0)</f>
        <v>6489</v>
      </c>
      <c r="AX378" s="65"/>
      <c r="AY378" s="65" t="str">
        <f>IFERROR(__xludf.DUMMYFUNCTION("""COMPUTED_VALUE"""),"03/03/2026")</f>
        <v>03/03/2026</v>
      </c>
      <c r="AZ378" s="65"/>
      <c r="BA378" s="65"/>
    </row>
    <row r="379">
      <c r="A379" s="65" t="str">
        <f>IFERROR(__xludf.DUMMYFUNCTION("""COMPUTED_VALUE"""),"27-03-2026")</f>
        <v>27-03-2026</v>
      </c>
      <c r="B379" s="65">
        <f>IFERROR(__xludf.DUMMYFUNCTION("""COMPUTED_VALUE"""),4664010.0)</f>
        <v>4664010</v>
      </c>
      <c r="C379" s="65" t="str">
        <f>IFERROR(__xludf.DUMMYFUNCTION("""COMPUTED_VALUE"""),"19:21")</f>
        <v>19:21</v>
      </c>
      <c r="D379" s="65" t="str">
        <f>IFERROR(__xludf.DUMMYFUNCTION("""COMPUTED_VALUE"""),"01-03-2026")</f>
        <v>01-03-2026</v>
      </c>
      <c r="E379" s="65" t="str">
        <f>IFERROR(__xludf.DUMMYFUNCTION("""COMPUTED_VALUE"""),"Jhonny Cabello")</f>
        <v>Jhonny Cabello</v>
      </c>
      <c r="F379" s="65" t="str">
        <f>IFERROR(__xludf.DUMMYFUNCTION("""COMPUTED_VALUE"""),"959019051")</f>
        <v>959019051</v>
      </c>
      <c r="G379" s="65" t="str">
        <f>IFERROR(__xludf.DUMMYFUNCTION("""COMPUTED_VALUE"""),"jhonnycabello18@gmail.com")</f>
        <v>jhonnycabello18@gmail.com</v>
      </c>
      <c r="H379" s="65"/>
      <c r="I379" s="65"/>
      <c r="J379" s="65"/>
      <c r="K379" s="65" t="str">
        <f>IFERROR(__xludf.DUMMYFUNCTION("""COMPUTED_VALUE"""),"PENDIENTE CONFIRMACION")</f>
        <v>PENDIENTE CONFIRMACION</v>
      </c>
      <c r="L379" s="65" t="str">
        <f>IFERROR(__xludf.DUMMYFUNCTION("""COMPUTED_VALUE"""),"CON RECAUDO")</f>
        <v>CON RECAUDO</v>
      </c>
      <c r="M379" s="65" t="str">
        <f>IFERROR(__xludf.DUMMYFUNCTION("""COMPUTED_VALUE"""),"GUAYAS")</f>
        <v>GUAYAS</v>
      </c>
      <c r="N379" s="65" t="str">
        <f>IFERROR(__xludf.DUMMYFUNCTION("""COMPUTED_VALUE"""),"DAULE")</f>
        <v>DAULE</v>
      </c>
      <c r="O379" s="65" t="str">
        <f>IFERROR(__xludf.DUMMYFUNCTION("""COMPUTED_VALUE"""),"Carlo cuello y José María Velasco Ibarra Patria nueva -")</f>
        <v>Carlo cuello y José María Velasco Ibarra Patria nueva -</v>
      </c>
      <c r="P379" s="65"/>
      <c r="Q379" s="65" t="str">
        <f>IFERROR(__xludf.DUMMYFUNCTION("""COMPUTED_VALUE"""),"GINTRACOM")</f>
        <v>GINTRACOM</v>
      </c>
      <c r="R379" s="65">
        <f>IFERROR(__xludf.DUMMYFUNCTION("""COMPUTED_VALUE"""),27.0)</f>
        <v>27</v>
      </c>
      <c r="S379" s="65"/>
      <c r="T379" s="65">
        <f>IFERROR(__xludf.DUMMYFUNCTION("""COMPUTED_VALUE"""),6.03)</f>
        <v>6.03</v>
      </c>
      <c r="U379" s="65">
        <f>IFERROR(__xludf.DUMMYFUNCTION("""COMPUTED_VALUE"""),0.0)</f>
        <v>0</v>
      </c>
      <c r="V379" s="65">
        <f>IFERROR(__xludf.DUMMYFUNCTION("""COMPUTED_VALUE"""),0.0)</f>
        <v>0</v>
      </c>
      <c r="W379" s="65">
        <f>IFERROR(__xludf.DUMMYFUNCTION("""COMPUTED_VALUE"""),0.0)</f>
        <v>0</v>
      </c>
      <c r="X379" s="65">
        <f>IFERROR(__xludf.DUMMYFUNCTION("""COMPUTED_VALUE"""),3.75)</f>
        <v>3.75</v>
      </c>
      <c r="Y379" s="65">
        <f>IFERROR(__xludf.DUMMYFUNCTION("""COMPUTED_VALUE"""),11.25)</f>
        <v>11.25</v>
      </c>
      <c r="Z379" s="65">
        <f>IFERROR(__xludf.DUMMYFUNCTION("""COMPUTED_VALUE"""),113116.0)</f>
        <v>113116</v>
      </c>
      <c r="AA379" s="65" t="str">
        <f>IFERROR(__xludf.DUMMYFUNCTION("""COMPUTED_VALUE"""),"IM-TAZAKI")</f>
        <v>IM-TAZAKI</v>
      </c>
      <c r="AB379" s="65"/>
      <c r="AC379" s="65" t="str">
        <f>IFERROR(__xludf.DUMMYFUNCTION("""COMPUTED_VALUE"""),"Cuchillo tazaki")</f>
        <v>Cuchillo tazaki</v>
      </c>
      <c r="AD379" s="65"/>
      <c r="AE379" s="65">
        <f>IFERROR(__xludf.DUMMYFUNCTION("""COMPUTED_VALUE"""),3.0)</f>
        <v>3</v>
      </c>
      <c r="AF379" s="65"/>
      <c r="AG379" s="65"/>
      <c r="AH379" s="65"/>
      <c r="AI379" s="65"/>
      <c r="AJ379" s="65"/>
      <c r="AK379" s="65"/>
      <c r="AL379" s="65"/>
      <c r="AM379" s="65"/>
      <c r="AN379" s="65"/>
      <c r="AO379" s="65"/>
      <c r="AP379" s="65"/>
      <c r="AQ379" s="65"/>
      <c r="AR379" s="65"/>
      <c r="AS379" s="65"/>
      <c r="AT379" s="65" t="str">
        <f>IFERROR(__xludf.DUMMYFUNCTION("""COMPUTED_VALUE"""),"SHOPIFY")</f>
        <v>SHOPIFY</v>
      </c>
      <c r="AU379" s="65" t="str">
        <f>IFERROR(__xludf.DUMMYFUNCTION("""COMPUTED_VALUE"""),"IMPORTEX EC")</f>
        <v>IMPORTEX EC</v>
      </c>
      <c r="AV379" s="65" t="str">
        <f>IFERROR(__xludf.DUMMYFUNCTION("""COMPUTED_VALUE"""),"6550755475500")</f>
        <v>6550755475500</v>
      </c>
      <c r="AW379" s="65">
        <f>IFERROR(__xludf.DUMMYFUNCTION("""COMPUTED_VALUE"""),6488.0)</f>
        <v>6488</v>
      </c>
      <c r="AX379" s="65"/>
      <c r="AY379" s="65"/>
      <c r="AZ379" s="65"/>
      <c r="BA379" s="65"/>
    </row>
    <row r="380">
      <c r="A380" s="65" t="str">
        <f>IFERROR(__xludf.DUMMYFUNCTION("""COMPUTED_VALUE"""),"27-03-2026")</f>
        <v>27-03-2026</v>
      </c>
      <c r="B380" s="65">
        <f>IFERROR(__xludf.DUMMYFUNCTION("""COMPUTED_VALUE"""),4663348.0)</f>
        <v>4663348</v>
      </c>
      <c r="C380" s="65" t="str">
        <f>IFERROR(__xludf.DUMMYFUNCTION("""COMPUTED_VALUE"""),"18:11")</f>
        <v>18:11</v>
      </c>
      <c r="D380" s="65" t="str">
        <f>IFERROR(__xludf.DUMMYFUNCTION("""COMPUTED_VALUE"""),"01-03-2026")</f>
        <v>01-03-2026</v>
      </c>
      <c r="E380" s="65" t="str">
        <f>IFERROR(__xludf.DUMMYFUNCTION("""COMPUTED_VALUE"""),"Sergio Rea Tabares")</f>
        <v>Sergio Rea Tabares</v>
      </c>
      <c r="F380" s="65" t="str">
        <f>IFERROR(__xludf.DUMMYFUNCTION("""COMPUTED_VALUE"""),"986062648")</f>
        <v>986062648</v>
      </c>
      <c r="G380" s="65" t="str">
        <f>IFERROR(__xludf.DUMMYFUNCTION("""COMPUTED_VALUE"""),"sdennysreat@gmail.com")</f>
        <v>sdennysreat@gmail.com</v>
      </c>
      <c r="H380" s="65"/>
      <c r="I380" s="65"/>
      <c r="J380" s="65" t="str">
        <f>IFERROR(__xludf.DUMMYFUNCTION("""COMPUTED_VALUE"""),"WYB168612605")</f>
        <v>WYB168612605</v>
      </c>
      <c r="K380" s="65" t="str">
        <f>IFERROR(__xludf.DUMMYFUNCTION("""COMPUTED_VALUE"""),"ENTREGADO")</f>
        <v>ENTREGADO</v>
      </c>
      <c r="L380" s="65" t="str">
        <f>IFERROR(__xludf.DUMMYFUNCTION("""COMPUTED_VALUE"""),"CON RECAUDO")</f>
        <v>CON RECAUDO</v>
      </c>
      <c r="M380" s="65" t="str">
        <f>IFERROR(__xludf.DUMMYFUNCTION("""COMPUTED_VALUE"""),"EL ORO")</f>
        <v>EL ORO</v>
      </c>
      <c r="N380" s="65" t="str">
        <f>IFERROR(__xludf.DUMMYFUNCTION("""COMPUTED_VALUE"""),"PIÑAS")</f>
        <v>PIÑAS</v>
      </c>
      <c r="O380" s="65" t="str">
        <f>IFERROR(__xludf.DUMMYFUNCTION("""COMPUTED_VALUE"""),"8 de noviembre Y Loja - La cadena - Sobre repuestos don bolo edificio de 5 pisos")</f>
        <v>8 de noviembre Y Loja - La cadena - Sobre repuestos don bolo edificio de 5 pisos</v>
      </c>
      <c r="P380" s="65"/>
      <c r="Q380" s="65" t="str">
        <f>IFERROR(__xludf.DUMMYFUNCTION("""COMPUTED_VALUE"""),"URBANO")</f>
        <v>URBANO</v>
      </c>
      <c r="R380" s="65">
        <f>IFERROR(__xludf.DUMMYFUNCTION("""COMPUTED_VALUE"""),22.0)</f>
        <v>22</v>
      </c>
      <c r="S380" s="65">
        <f>IFERROR(__xludf.DUMMYFUNCTION("""COMPUTED_VALUE"""),9.01)</f>
        <v>9.01</v>
      </c>
      <c r="T380" s="65">
        <f>IFERROR(__xludf.DUMMYFUNCTION("""COMPUTED_VALUE"""),5.49)</f>
        <v>5.49</v>
      </c>
      <c r="U380" s="65">
        <f>IFERROR(__xludf.DUMMYFUNCTION("""COMPUTED_VALUE"""),0.0)</f>
        <v>0</v>
      </c>
      <c r="V380" s="65">
        <f>IFERROR(__xludf.DUMMYFUNCTION("""COMPUTED_VALUE"""),0.0)</f>
        <v>0</v>
      </c>
      <c r="W380" s="65">
        <f>IFERROR(__xludf.DUMMYFUNCTION("""COMPUTED_VALUE"""),0.0)</f>
        <v>0</v>
      </c>
      <c r="X380" s="65">
        <f>IFERROR(__xludf.DUMMYFUNCTION("""COMPUTED_VALUE"""),3.75)</f>
        <v>3.75</v>
      </c>
      <c r="Y380" s="65">
        <f>IFERROR(__xludf.DUMMYFUNCTION("""COMPUTED_VALUE"""),7.5)</f>
        <v>7.5</v>
      </c>
      <c r="Z380" s="65">
        <f>IFERROR(__xludf.DUMMYFUNCTION("""COMPUTED_VALUE"""),113116.0)</f>
        <v>113116</v>
      </c>
      <c r="AA380" s="65" t="str">
        <f>IFERROR(__xludf.DUMMYFUNCTION("""COMPUTED_VALUE"""),"IM-TAZAKI")</f>
        <v>IM-TAZAKI</v>
      </c>
      <c r="AB380" s="65"/>
      <c r="AC380" s="65" t="str">
        <f>IFERROR(__xludf.DUMMYFUNCTION("""COMPUTED_VALUE"""),"Cuchillo tazaki")</f>
        <v>Cuchillo tazaki</v>
      </c>
      <c r="AD380" s="65"/>
      <c r="AE380" s="65">
        <f>IFERROR(__xludf.DUMMYFUNCTION("""COMPUTED_VALUE"""),2.0)</f>
        <v>2</v>
      </c>
      <c r="AF380" s="65"/>
      <c r="AG380" s="65"/>
      <c r="AH380" s="65"/>
      <c r="AI380" s="65"/>
      <c r="AJ380" s="65"/>
      <c r="AK380" s="65"/>
      <c r="AL380" s="65"/>
      <c r="AM380" s="65"/>
      <c r="AN380" s="65"/>
      <c r="AO380" s="65"/>
      <c r="AP380" s="65"/>
      <c r="AQ380" s="65"/>
      <c r="AR380" s="65"/>
      <c r="AS380" s="65"/>
      <c r="AT380" s="65" t="str">
        <f>IFERROR(__xludf.DUMMYFUNCTION("""COMPUTED_VALUE"""),"SHOPIFY")</f>
        <v>SHOPIFY</v>
      </c>
      <c r="AU380" s="65" t="str">
        <f>IFERROR(__xludf.DUMMYFUNCTION("""COMPUTED_VALUE"""),"IMPORTEX EC")</f>
        <v>IMPORTEX EC</v>
      </c>
      <c r="AV380" s="65" t="str">
        <f>IFERROR(__xludf.DUMMYFUNCTION("""COMPUTED_VALUE"""),"6550627680300")</f>
        <v>6550627680300</v>
      </c>
      <c r="AW380" s="65">
        <f>IFERROR(__xludf.DUMMYFUNCTION("""COMPUTED_VALUE"""),6487.0)</f>
        <v>6487</v>
      </c>
      <c r="AX380" s="65"/>
      <c r="AY380" s="65" t="str">
        <f>IFERROR(__xludf.DUMMYFUNCTION("""COMPUTED_VALUE"""),"03/03/2026")</f>
        <v>03/03/2026</v>
      </c>
      <c r="AZ380" s="65"/>
      <c r="BA380" s="65"/>
    </row>
    <row r="381">
      <c r="A381" s="65" t="str">
        <f>IFERROR(__xludf.DUMMYFUNCTION("""COMPUTED_VALUE"""),"27-03-2026")</f>
        <v>27-03-2026</v>
      </c>
      <c r="B381" s="65">
        <f>IFERROR(__xludf.DUMMYFUNCTION("""COMPUTED_VALUE"""),4662935.0)</f>
        <v>4662935</v>
      </c>
      <c r="C381" s="65" t="str">
        <f>IFERROR(__xludf.DUMMYFUNCTION("""COMPUTED_VALUE"""),"17:25")</f>
        <v>17:25</v>
      </c>
      <c r="D381" s="65" t="str">
        <f>IFERROR(__xludf.DUMMYFUNCTION("""COMPUTED_VALUE"""),"01-03-2026")</f>
        <v>01-03-2026</v>
      </c>
      <c r="E381" s="65" t="str">
        <f>IFERROR(__xludf.DUMMYFUNCTION("""COMPUTED_VALUE"""),"Luis Baños")</f>
        <v>Luis Baños</v>
      </c>
      <c r="F381" s="65" t="str">
        <f>IFERROR(__xludf.DUMMYFUNCTION("""COMPUTED_VALUE"""),"994164662")</f>
        <v>994164662</v>
      </c>
      <c r="G381" s="65" t="str">
        <f>IFERROR(__xludf.DUMMYFUNCTION("""COMPUTED_VALUE"""),"luisdavidb2001@hotmail.com")</f>
        <v>luisdavidb2001@hotmail.com</v>
      </c>
      <c r="H381" s="65"/>
      <c r="I381" s="65"/>
      <c r="J381" s="65" t="str">
        <f>IFERROR(__xludf.DUMMYFUNCTION("""COMPUTED_VALUE"""),"D001377925")</f>
        <v>D001377925</v>
      </c>
      <c r="K381" s="65" t="str">
        <f>IFERROR(__xludf.DUMMYFUNCTION("""COMPUTED_VALUE"""),"ENTREGADO")</f>
        <v>ENTREGADO</v>
      </c>
      <c r="L381" s="65" t="str">
        <f>IFERROR(__xludf.DUMMYFUNCTION("""COMPUTED_VALUE"""),"CON RECAUDO")</f>
        <v>CON RECAUDO</v>
      </c>
      <c r="M381" s="65" t="str">
        <f>IFERROR(__xludf.DUMMYFUNCTION("""COMPUTED_VALUE"""),"LOS RIOS")</f>
        <v>LOS RIOS</v>
      </c>
      <c r="N381" s="65" t="str">
        <f>IFERROR(__xludf.DUMMYFUNCTION("""COMPUTED_VALUE"""),"QUEVEDO")</f>
        <v>QUEVEDO</v>
      </c>
      <c r="O381" s="65" t="str">
        <f>IFERROR(__xludf.DUMMYFUNCTION("""COMPUTED_VALUE"""),"San Camilo, AV. Camilo Arévalo entre las cuadras A y B, en la electromecánica CASTILLO")</f>
        <v>San Camilo, AV. Camilo Arévalo entre las cuadras A y B, en la electromecánica CASTILLO</v>
      </c>
      <c r="P381" s="65"/>
      <c r="Q381" s="65" t="str">
        <f>IFERROR(__xludf.DUMMYFUNCTION("""COMPUTED_VALUE"""),"GINTRACOM")</f>
        <v>GINTRACOM</v>
      </c>
      <c r="R381" s="65">
        <f>IFERROR(__xludf.DUMMYFUNCTION("""COMPUTED_VALUE"""),20.0)</f>
        <v>20</v>
      </c>
      <c r="S381" s="65">
        <f>IFERROR(__xludf.DUMMYFUNCTION("""COMPUTED_VALUE"""),11.89)</f>
        <v>11.89</v>
      </c>
      <c r="T381" s="65">
        <f>IFERROR(__xludf.DUMMYFUNCTION("""COMPUTED_VALUE"""),5.76)</f>
        <v>5.76</v>
      </c>
      <c r="U381" s="65">
        <f>IFERROR(__xludf.DUMMYFUNCTION("""COMPUTED_VALUE"""),0.0)</f>
        <v>0</v>
      </c>
      <c r="V381" s="65">
        <f>IFERROR(__xludf.DUMMYFUNCTION("""COMPUTED_VALUE"""),0.0)</f>
        <v>0</v>
      </c>
      <c r="W381" s="65">
        <f>IFERROR(__xludf.DUMMYFUNCTION("""COMPUTED_VALUE"""),0.0)</f>
        <v>0</v>
      </c>
      <c r="X381" s="65">
        <f>IFERROR(__xludf.DUMMYFUNCTION("""COMPUTED_VALUE"""),2.35)</f>
        <v>2.35</v>
      </c>
      <c r="Y381" s="65">
        <f>IFERROR(__xludf.DUMMYFUNCTION("""COMPUTED_VALUE"""),2.35)</f>
        <v>2.35</v>
      </c>
      <c r="Z381" s="65">
        <f>IFERROR(__xludf.DUMMYFUNCTION("""COMPUTED_VALUE"""),116679.0)</f>
        <v>116679</v>
      </c>
      <c r="AA381" s="65" t="str">
        <f>IFERROR(__xludf.DUMMYFUNCTION("""COMPUTED_VALUE"""),"AMC-2738")</f>
        <v>AMC-2738</v>
      </c>
      <c r="AB381" s="65"/>
      <c r="AC381" s="65" t="str">
        <f>IFERROR(__xludf.DUMMYFUNCTION("""COMPUTED_VALUE"""),"ESPONJA ANTILLUVIA DE PARABRISAS")</f>
        <v>ESPONJA ANTILLUVIA DE PARABRISAS</v>
      </c>
      <c r="AD381" s="65"/>
      <c r="AE381" s="65">
        <f>IFERROR(__xludf.DUMMYFUNCTION("""COMPUTED_VALUE"""),1.0)</f>
        <v>1</v>
      </c>
      <c r="AF381" s="65"/>
      <c r="AG381" s="65"/>
      <c r="AH381" s="65"/>
      <c r="AI381" s="65"/>
      <c r="AJ381" s="65"/>
      <c r="AK381" s="65"/>
      <c r="AL381" s="65"/>
      <c r="AM381" s="65"/>
      <c r="AN381" s="65" t="str">
        <f>IFERROR(__xludf.DUMMYFUNCTION("""COMPUTED_VALUE"""),"10:55")</f>
        <v>10:55</v>
      </c>
      <c r="AO381" s="65" t="str">
        <f>IFERROR(__xludf.DUMMYFUNCTION("""COMPUTED_VALUE"""),"06-03-2026")</f>
        <v>06-03-2026</v>
      </c>
      <c r="AP381" s="65" t="str">
        <f>IFERROR(__xludf.DUMMYFUNCTION("""COMPUTED_VALUE"""),"ENTREGADA GINTRACOM")</f>
        <v>ENTREGADA GINTRACOM</v>
      </c>
      <c r="AQ381" s="65" t="str">
        <f>IFERROR(__xludf.DUMMYFUNCTION("""COMPUTED_VALUE"""),"ENTREGADA GINTRACOM")</f>
        <v>ENTREGADA GINTRACOM</v>
      </c>
      <c r="AR381" s="65"/>
      <c r="AS381" s="65"/>
      <c r="AT381" s="65" t="str">
        <f>IFERROR(__xludf.DUMMYFUNCTION("""COMPUTED_VALUE"""),"SHOPIFY")</f>
        <v>SHOPIFY</v>
      </c>
      <c r="AU381" s="65" t="str">
        <f>IFERROR(__xludf.DUMMYFUNCTION("""COMPUTED_VALUE"""),"IMPORTEX EC")</f>
        <v>IMPORTEX EC</v>
      </c>
      <c r="AV381" s="65" t="str">
        <f>IFERROR(__xludf.DUMMYFUNCTION("""COMPUTED_VALUE"""),"6550535438380")</f>
        <v>6550535438380</v>
      </c>
      <c r="AW381" s="65">
        <f>IFERROR(__xludf.DUMMYFUNCTION("""COMPUTED_VALUE"""),6485.0)</f>
        <v>6485</v>
      </c>
      <c r="AX381" s="65"/>
      <c r="AY381" s="65" t="str">
        <f>IFERROR(__xludf.DUMMYFUNCTION("""COMPUTED_VALUE"""),"03/03/2026")</f>
        <v>03/03/2026</v>
      </c>
      <c r="AZ381" s="65"/>
      <c r="BA381" s="65"/>
    </row>
    <row r="382">
      <c r="A382" s="65" t="str">
        <f>IFERROR(__xludf.DUMMYFUNCTION("""COMPUTED_VALUE"""),"27-03-2026")</f>
        <v>27-03-2026</v>
      </c>
      <c r="B382" s="65">
        <f>IFERROR(__xludf.DUMMYFUNCTION("""COMPUTED_VALUE"""),4662823.0)</f>
        <v>4662823</v>
      </c>
      <c r="C382" s="65" t="str">
        <f>IFERROR(__xludf.DUMMYFUNCTION("""COMPUTED_VALUE"""),"17:09")</f>
        <v>17:09</v>
      </c>
      <c r="D382" s="65" t="str">
        <f>IFERROR(__xludf.DUMMYFUNCTION("""COMPUTED_VALUE"""),"01-03-2026")</f>
        <v>01-03-2026</v>
      </c>
      <c r="E382" s="65" t="str">
        <f>IFERROR(__xludf.DUMMYFUNCTION("""COMPUTED_VALUE"""),"Ricardo Ganchoso")</f>
        <v>Ricardo Ganchoso</v>
      </c>
      <c r="F382" s="65" t="str">
        <f>IFERROR(__xludf.DUMMYFUNCTION("""COMPUTED_VALUE"""),"999860545")</f>
        <v>999860545</v>
      </c>
      <c r="G382" s="65" t="str">
        <f>IFERROR(__xludf.DUMMYFUNCTION("""COMPUTED_VALUE"""),"teremar75@hotmail.com")</f>
        <v>teremar75@hotmail.com</v>
      </c>
      <c r="H382" s="65"/>
      <c r="I382" s="65"/>
      <c r="J382" s="65" t="str">
        <f>IFERROR(__xludf.DUMMYFUNCTION("""COMPUTED_VALUE"""),"D001377926")</f>
        <v>D001377926</v>
      </c>
      <c r="K382" s="65" t="str">
        <f>IFERROR(__xludf.DUMMYFUNCTION("""COMPUTED_VALUE"""),"ENTREGADO")</f>
        <v>ENTREGADO</v>
      </c>
      <c r="L382" s="65" t="str">
        <f>IFERROR(__xludf.DUMMYFUNCTION("""COMPUTED_VALUE"""),"CON RECAUDO")</f>
        <v>CON RECAUDO</v>
      </c>
      <c r="M382" s="65" t="str">
        <f>IFERROR(__xludf.DUMMYFUNCTION("""COMPUTED_VALUE"""),"GUAYAS")</f>
        <v>GUAYAS</v>
      </c>
      <c r="N382" s="65" t="str">
        <f>IFERROR(__xludf.DUMMYFUNCTION("""COMPUTED_VALUE"""),"GUAYAQUIL")</f>
        <v>GUAYAQUIL</v>
      </c>
      <c r="O382" s="65" t="str">
        <f>IFERROR(__xludf.DUMMYFUNCTION("""COMPUTED_VALUE"""),"Sauces 2 y Jy roura - Mz F112 villa 104")</f>
        <v>Sauces 2 y Jy roura - Mz F112 villa 104</v>
      </c>
      <c r="P382" s="65"/>
      <c r="Q382" s="65" t="str">
        <f>IFERROR(__xludf.DUMMYFUNCTION("""COMPUTED_VALUE"""),"GINTRACOM")</f>
        <v>GINTRACOM</v>
      </c>
      <c r="R382" s="65">
        <f>IFERROR(__xludf.DUMMYFUNCTION("""COMPUTED_VALUE"""),30.0)</f>
        <v>30</v>
      </c>
      <c r="S382" s="65">
        <f>IFERROR(__xludf.DUMMYFUNCTION("""COMPUTED_VALUE"""),16.79)</f>
        <v>16.79</v>
      </c>
      <c r="T382" s="65">
        <f>IFERROR(__xludf.DUMMYFUNCTION("""COMPUTED_VALUE"""),6.16)</f>
        <v>6.16</v>
      </c>
      <c r="U382" s="65">
        <f>IFERROR(__xludf.DUMMYFUNCTION("""COMPUTED_VALUE"""),0.0)</f>
        <v>0</v>
      </c>
      <c r="V382" s="65">
        <f>IFERROR(__xludf.DUMMYFUNCTION("""COMPUTED_VALUE"""),0.0)</f>
        <v>0</v>
      </c>
      <c r="W382" s="65">
        <f>IFERROR(__xludf.DUMMYFUNCTION("""COMPUTED_VALUE"""),0.0)</f>
        <v>0</v>
      </c>
      <c r="X382" s="65">
        <f>IFERROR(__xludf.DUMMYFUNCTION("""COMPUTED_VALUE"""),2.35)</f>
        <v>2.35</v>
      </c>
      <c r="Y382" s="65">
        <f>IFERROR(__xludf.DUMMYFUNCTION("""COMPUTED_VALUE"""),7.05)</f>
        <v>7.05</v>
      </c>
      <c r="Z382" s="65">
        <f>IFERROR(__xludf.DUMMYFUNCTION("""COMPUTED_VALUE"""),116679.0)</f>
        <v>116679</v>
      </c>
      <c r="AA382" s="65" t="str">
        <f>IFERROR(__xludf.DUMMYFUNCTION("""COMPUTED_VALUE"""),"AMC-2738")</f>
        <v>AMC-2738</v>
      </c>
      <c r="AB382" s="65"/>
      <c r="AC382" s="65" t="str">
        <f>IFERROR(__xludf.DUMMYFUNCTION("""COMPUTED_VALUE"""),"ESPONJA ANTILLUVIA DE PARABRISAS")</f>
        <v>ESPONJA ANTILLUVIA DE PARABRISAS</v>
      </c>
      <c r="AD382" s="65"/>
      <c r="AE382" s="65">
        <f>IFERROR(__xludf.DUMMYFUNCTION("""COMPUTED_VALUE"""),3.0)</f>
        <v>3</v>
      </c>
      <c r="AF382" s="65"/>
      <c r="AG382" s="65"/>
      <c r="AH382" s="65"/>
      <c r="AI382" s="65"/>
      <c r="AJ382" s="65"/>
      <c r="AK382" s="65"/>
      <c r="AL382" s="65"/>
      <c r="AM382" s="65"/>
      <c r="AN382" s="65" t="str">
        <f>IFERROR(__xludf.DUMMYFUNCTION("""COMPUTED_VALUE"""),"10:30")</f>
        <v>10:30</v>
      </c>
      <c r="AO382" s="65" t="str">
        <f>IFERROR(__xludf.DUMMYFUNCTION("""COMPUTED_VALUE"""),"06-03-2026")</f>
        <v>06-03-2026</v>
      </c>
      <c r="AP382" s="65" t="str">
        <f>IFERROR(__xludf.DUMMYFUNCTION("""COMPUTED_VALUE"""),"EN REPARTO")</f>
        <v>EN REPARTO</v>
      </c>
      <c r="AQ382" s="65" t="str">
        <f>IFERROR(__xludf.DUMMYFUNCTION("""COMPUTED_VALUE"""),"EN REPARTO")</f>
        <v>EN REPARTO</v>
      </c>
      <c r="AR382" s="65"/>
      <c r="AS382" s="65"/>
      <c r="AT382" s="65" t="str">
        <f>IFERROR(__xludf.DUMMYFUNCTION("""COMPUTED_VALUE"""),"SHOPIFY")</f>
        <v>SHOPIFY</v>
      </c>
      <c r="AU382" s="65" t="str">
        <f>IFERROR(__xludf.DUMMYFUNCTION("""COMPUTED_VALUE"""),"IMPORTEX EC")</f>
        <v>IMPORTEX EC</v>
      </c>
      <c r="AV382" s="65" t="str">
        <f>IFERROR(__xludf.DUMMYFUNCTION("""COMPUTED_VALUE"""),"6550504013868")</f>
        <v>6550504013868</v>
      </c>
      <c r="AW382" s="65">
        <f>IFERROR(__xludf.DUMMYFUNCTION("""COMPUTED_VALUE"""),6484.0)</f>
        <v>6484</v>
      </c>
      <c r="AX382" s="65"/>
      <c r="AY382" s="65" t="str">
        <f>IFERROR(__xludf.DUMMYFUNCTION("""COMPUTED_VALUE"""),"03/03/2026")</f>
        <v>03/03/2026</v>
      </c>
      <c r="AZ382" s="65"/>
      <c r="BA382" s="65"/>
    </row>
    <row r="383">
      <c r="A383" s="65" t="str">
        <f>IFERROR(__xludf.DUMMYFUNCTION("""COMPUTED_VALUE"""),"27-03-2026")</f>
        <v>27-03-2026</v>
      </c>
      <c r="B383" s="65">
        <f>IFERROR(__xludf.DUMMYFUNCTION("""COMPUTED_VALUE"""),4662357.0)</f>
        <v>4662357</v>
      </c>
      <c r="C383" s="65" t="str">
        <f>IFERROR(__xludf.DUMMYFUNCTION("""COMPUTED_VALUE"""),"16:12")</f>
        <v>16:12</v>
      </c>
      <c r="D383" s="65" t="str">
        <f>IFERROR(__xludf.DUMMYFUNCTION("""COMPUTED_VALUE"""),"01-03-2026")</f>
        <v>01-03-2026</v>
      </c>
      <c r="E383" s="65" t="str">
        <f>IFERROR(__xludf.DUMMYFUNCTION("""COMPUTED_VALUE"""),"Mercedes Alegría")</f>
        <v>Mercedes Alegría</v>
      </c>
      <c r="F383" s="65" t="str">
        <f>IFERROR(__xludf.DUMMYFUNCTION("""COMPUTED_VALUE"""),"987827785")</f>
        <v>987827785</v>
      </c>
      <c r="G383" s="65" t="str">
        <f>IFERROR(__xludf.DUMMYFUNCTION("""COMPUTED_VALUE"""),"mercedesheras68@gmail.com")</f>
        <v>mercedesheras68@gmail.com</v>
      </c>
      <c r="H383" s="65"/>
      <c r="I383" s="65"/>
      <c r="J383" s="65"/>
      <c r="K383" s="65" t="str">
        <f>IFERROR(__xludf.DUMMYFUNCTION("""COMPUTED_VALUE"""),"PENDIENTE CONFIRMACION")</f>
        <v>PENDIENTE CONFIRMACION</v>
      </c>
      <c r="L383" s="65" t="str">
        <f>IFERROR(__xludf.DUMMYFUNCTION("""COMPUTED_VALUE"""),"CON RECAUDO")</f>
        <v>CON RECAUDO</v>
      </c>
      <c r="M383" s="65" t="str">
        <f>IFERROR(__xludf.DUMMYFUNCTION("""COMPUTED_VALUE"""),"AZUAY")</f>
        <v>AZUAY</v>
      </c>
      <c r="N383" s="65" t="str">
        <f>IFERROR(__xludf.DUMMYFUNCTION("""COMPUTED_VALUE"""),"CUENCA")</f>
        <v>CUENCA</v>
      </c>
      <c r="O383" s="65" t="str">
        <f>IFERROR(__xludf.DUMMYFUNCTION("""COMPUTED_VALUE"""),"Calle mapanagua Barrio chictarrumi -")</f>
        <v>Calle mapanagua Barrio chictarrumi -</v>
      </c>
      <c r="P383" s="65"/>
      <c r="Q383" s="65" t="str">
        <f>IFERROR(__xludf.DUMMYFUNCTION("""COMPUTED_VALUE"""),"GINTRACOM")</f>
        <v>GINTRACOM</v>
      </c>
      <c r="R383" s="65">
        <f>IFERROR(__xludf.DUMMYFUNCTION("""COMPUTED_VALUE"""),27.0)</f>
        <v>27</v>
      </c>
      <c r="S383" s="65"/>
      <c r="T383" s="65">
        <f>IFERROR(__xludf.DUMMYFUNCTION("""COMPUTED_VALUE"""),6.03)</f>
        <v>6.03</v>
      </c>
      <c r="U383" s="65">
        <f>IFERROR(__xludf.DUMMYFUNCTION("""COMPUTED_VALUE"""),0.0)</f>
        <v>0</v>
      </c>
      <c r="V383" s="65">
        <f>IFERROR(__xludf.DUMMYFUNCTION("""COMPUTED_VALUE"""),0.0)</f>
        <v>0</v>
      </c>
      <c r="W383" s="65">
        <f>IFERROR(__xludf.DUMMYFUNCTION("""COMPUTED_VALUE"""),0.0)</f>
        <v>0</v>
      </c>
      <c r="X383" s="65">
        <f>IFERROR(__xludf.DUMMYFUNCTION("""COMPUTED_VALUE"""),3.75)</f>
        <v>3.75</v>
      </c>
      <c r="Y383" s="65">
        <f>IFERROR(__xludf.DUMMYFUNCTION("""COMPUTED_VALUE"""),11.25)</f>
        <v>11.25</v>
      </c>
      <c r="Z383" s="65">
        <f>IFERROR(__xludf.DUMMYFUNCTION("""COMPUTED_VALUE"""),113116.0)</f>
        <v>113116</v>
      </c>
      <c r="AA383" s="65" t="str">
        <f>IFERROR(__xludf.DUMMYFUNCTION("""COMPUTED_VALUE"""),"IM-TAZAKI")</f>
        <v>IM-TAZAKI</v>
      </c>
      <c r="AB383" s="65"/>
      <c r="AC383" s="65" t="str">
        <f>IFERROR(__xludf.DUMMYFUNCTION("""COMPUTED_VALUE"""),"Cuchillo tazaki")</f>
        <v>Cuchillo tazaki</v>
      </c>
      <c r="AD383" s="65"/>
      <c r="AE383" s="65">
        <f>IFERROR(__xludf.DUMMYFUNCTION("""COMPUTED_VALUE"""),3.0)</f>
        <v>3</v>
      </c>
      <c r="AF383" s="65"/>
      <c r="AG383" s="65"/>
      <c r="AH383" s="65"/>
      <c r="AI383" s="65"/>
      <c r="AJ383" s="65"/>
      <c r="AK383" s="65"/>
      <c r="AL383" s="65"/>
      <c r="AM383" s="65"/>
      <c r="AN383" s="65"/>
      <c r="AO383" s="65"/>
      <c r="AP383" s="65"/>
      <c r="AQ383" s="65"/>
      <c r="AR383" s="65"/>
      <c r="AS383" s="65"/>
      <c r="AT383" s="65" t="str">
        <f>IFERROR(__xludf.DUMMYFUNCTION("""COMPUTED_VALUE"""),"SHOPIFY")</f>
        <v>SHOPIFY</v>
      </c>
      <c r="AU383" s="65" t="str">
        <f>IFERROR(__xludf.DUMMYFUNCTION("""COMPUTED_VALUE"""),"IMPORTEX EC")</f>
        <v>IMPORTEX EC</v>
      </c>
      <c r="AV383" s="65" t="str">
        <f>IFERROR(__xludf.DUMMYFUNCTION("""COMPUTED_VALUE"""),"6550376185900")</f>
        <v>6550376185900</v>
      </c>
      <c r="AW383" s="65">
        <f>IFERROR(__xludf.DUMMYFUNCTION("""COMPUTED_VALUE"""),6483.0)</f>
        <v>6483</v>
      </c>
      <c r="AX383" s="65"/>
      <c r="AY383" s="65"/>
      <c r="AZ383" s="65"/>
      <c r="BA383" s="65"/>
    </row>
    <row r="384">
      <c r="A384" s="65" t="str">
        <f>IFERROR(__xludf.DUMMYFUNCTION("""COMPUTED_VALUE"""),"27-03-2026")</f>
        <v>27-03-2026</v>
      </c>
      <c r="B384" s="65">
        <f>IFERROR(__xludf.DUMMYFUNCTION("""COMPUTED_VALUE"""),4662303.0)</f>
        <v>4662303</v>
      </c>
      <c r="C384" s="65" t="str">
        <f>IFERROR(__xludf.DUMMYFUNCTION("""COMPUTED_VALUE"""),"16:02")</f>
        <v>16:02</v>
      </c>
      <c r="D384" s="65" t="str">
        <f>IFERROR(__xludf.DUMMYFUNCTION("""COMPUTED_VALUE"""),"01-03-2026")</f>
        <v>01-03-2026</v>
      </c>
      <c r="E384" s="65" t="str">
        <f>IFERROR(__xludf.DUMMYFUNCTION("""COMPUTED_VALUE"""),"Jorge Vega")</f>
        <v>Jorge Vega</v>
      </c>
      <c r="F384" s="65" t="str">
        <f>IFERROR(__xludf.DUMMYFUNCTION("""COMPUTED_VALUE"""),"963084665")</f>
        <v>963084665</v>
      </c>
      <c r="G384" s="65" t="str">
        <f>IFERROR(__xludf.DUMMYFUNCTION("""COMPUTED_VALUE"""),"jorgemiguelvega053@gmail.com")</f>
        <v>jorgemiguelvega053@gmail.com</v>
      </c>
      <c r="H384" s="65"/>
      <c r="I384" s="65"/>
      <c r="J384" s="65" t="str">
        <f>IFERROR(__xludf.DUMMYFUNCTION("""COMPUTED_VALUE"""),"D001377927")</f>
        <v>D001377927</v>
      </c>
      <c r="K384" s="65" t="str">
        <f>IFERROR(__xludf.DUMMYFUNCTION("""COMPUTED_VALUE"""),"ENTREGADO")</f>
        <v>ENTREGADO</v>
      </c>
      <c r="L384" s="65" t="str">
        <f>IFERROR(__xludf.DUMMYFUNCTION("""COMPUTED_VALUE"""),"CON RECAUDO")</f>
        <v>CON RECAUDO</v>
      </c>
      <c r="M384" s="65" t="str">
        <f>IFERROR(__xludf.DUMMYFUNCTION("""COMPUTED_VALUE"""),"AZUAY")</f>
        <v>AZUAY</v>
      </c>
      <c r="N384" s="65" t="str">
        <f>IFERROR(__xludf.DUMMYFUNCTION("""COMPUTED_VALUE"""),"CUENCA")</f>
        <v>CUENCA</v>
      </c>
      <c r="O384" s="65" t="str">
        <f>IFERROR(__xludf.DUMMYFUNCTION("""COMPUTED_VALUE"""),"Pedro Vicente Maldonado y Dos de Agosto Control Sur - Junto a la clínica CETAD")</f>
        <v>Pedro Vicente Maldonado y Dos de Agosto Control Sur - Junto a la clínica CETAD</v>
      </c>
      <c r="P384" s="65"/>
      <c r="Q384" s="65" t="str">
        <f>IFERROR(__xludf.DUMMYFUNCTION("""COMPUTED_VALUE"""),"GINTRACOM")</f>
        <v>GINTRACOM</v>
      </c>
      <c r="R384" s="65">
        <f>IFERROR(__xludf.DUMMYFUNCTION("""COMPUTED_VALUE"""),20.0)</f>
        <v>20</v>
      </c>
      <c r="S384" s="65">
        <f>IFERROR(__xludf.DUMMYFUNCTION("""COMPUTED_VALUE"""),11.89)</f>
        <v>11.89</v>
      </c>
      <c r="T384" s="65">
        <f>IFERROR(__xludf.DUMMYFUNCTION("""COMPUTED_VALUE"""),5.76)</f>
        <v>5.76</v>
      </c>
      <c r="U384" s="65">
        <f>IFERROR(__xludf.DUMMYFUNCTION("""COMPUTED_VALUE"""),0.0)</f>
        <v>0</v>
      </c>
      <c r="V384" s="65">
        <f>IFERROR(__xludf.DUMMYFUNCTION("""COMPUTED_VALUE"""),0.0)</f>
        <v>0</v>
      </c>
      <c r="W384" s="65">
        <f>IFERROR(__xludf.DUMMYFUNCTION("""COMPUTED_VALUE"""),0.0)</f>
        <v>0</v>
      </c>
      <c r="X384" s="65">
        <f>IFERROR(__xludf.DUMMYFUNCTION("""COMPUTED_VALUE"""),2.35)</f>
        <v>2.35</v>
      </c>
      <c r="Y384" s="65">
        <f>IFERROR(__xludf.DUMMYFUNCTION("""COMPUTED_VALUE"""),2.35)</f>
        <v>2.35</v>
      </c>
      <c r="Z384" s="65">
        <f>IFERROR(__xludf.DUMMYFUNCTION("""COMPUTED_VALUE"""),116679.0)</f>
        <v>116679</v>
      </c>
      <c r="AA384" s="65" t="str">
        <f>IFERROR(__xludf.DUMMYFUNCTION("""COMPUTED_VALUE"""),"AMC-2738")</f>
        <v>AMC-2738</v>
      </c>
      <c r="AB384" s="65"/>
      <c r="AC384" s="65" t="str">
        <f>IFERROR(__xludf.DUMMYFUNCTION("""COMPUTED_VALUE"""),"ESPONJA ANTILLUVIA DE PARABRISAS")</f>
        <v>ESPONJA ANTILLUVIA DE PARABRISAS</v>
      </c>
      <c r="AD384" s="65"/>
      <c r="AE384" s="65">
        <f>IFERROR(__xludf.DUMMYFUNCTION("""COMPUTED_VALUE"""),1.0)</f>
        <v>1</v>
      </c>
      <c r="AF384" s="65"/>
      <c r="AG384" s="65"/>
      <c r="AH384" s="65"/>
      <c r="AI384" s="65"/>
      <c r="AJ384" s="65"/>
      <c r="AK384" s="65"/>
      <c r="AL384" s="65"/>
      <c r="AM384" s="65"/>
      <c r="AN384" s="65" t="str">
        <f>IFERROR(__xludf.DUMMYFUNCTION("""COMPUTED_VALUE"""),"08:54")</f>
        <v>08:54</v>
      </c>
      <c r="AO384" s="65" t="str">
        <f>IFERROR(__xludf.DUMMYFUNCTION("""COMPUTED_VALUE"""),"06-03-2026")</f>
        <v>06-03-2026</v>
      </c>
      <c r="AP384" s="65" t="str">
        <f>IFERROR(__xludf.DUMMYFUNCTION("""COMPUTED_VALUE"""),"EN REPARTO")</f>
        <v>EN REPARTO</v>
      </c>
      <c r="AQ384" s="65" t="str">
        <f>IFERROR(__xludf.DUMMYFUNCTION("""COMPUTED_VALUE"""),"EN REPARTO")</f>
        <v>EN REPARTO</v>
      </c>
      <c r="AR384" s="65"/>
      <c r="AS384" s="65"/>
      <c r="AT384" s="65" t="str">
        <f>IFERROR(__xludf.DUMMYFUNCTION("""COMPUTED_VALUE"""),"SHOPIFY")</f>
        <v>SHOPIFY</v>
      </c>
      <c r="AU384" s="65" t="str">
        <f>IFERROR(__xludf.DUMMYFUNCTION("""COMPUTED_VALUE"""),"IMPORTEX EC")</f>
        <v>IMPORTEX EC</v>
      </c>
      <c r="AV384" s="65" t="str">
        <f>IFERROR(__xludf.DUMMYFUNCTION("""COMPUTED_VALUE"""),"6550354329644")</f>
        <v>6550354329644</v>
      </c>
      <c r="AW384" s="65">
        <f>IFERROR(__xludf.DUMMYFUNCTION("""COMPUTED_VALUE"""),6482.0)</f>
        <v>6482</v>
      </c>
      <c r="AX384" s="65"/>
      <c r="AY384" s="65" t="str">
        <f>IFERROR(__xludf.DUMMYFUNCTION("""COMPUTED_VALUE"""),"03/03/2026")</f>
        <v>03/03/2026</v>
      </c>
      <c r="AZ384" s="65"/>
      <c r="BA384" s="65"/>
    </row>
    <row r="385">
      <c r="A385" s="65" t="str">
        <f>IFERROR(__xludf.DUMMYFUNCTION("""COMPUTED_VALUE"""),"27-03-2026")</f>
        <v>27-03-2026</v>
      </c>
      <c r="B385" s="65">
        <f>IFERROR(__xludf.DUMMYFUNCTION("""COMPUTED_VALUE"""),4662240.0)</f>
        <v>4662240</v>
      </c>
      <c r="C385" s="65" t="str">
        <f>IFERROR(__xludf.DUMMYFUNCTION("""COMPUTED_VALUE"""),"15:53")</f>
        <v>15:53</v>
      </c>
      <c r="D385" s="65" t="str">
        <f>IFERROR(__xludf.DUMMYFUNCTION("""COMPUTED_VALUE"""),"01-03-2026")</f>
        <v>01-03-2026</v>
      </c>
      <c r="E385" s="65" t="str">
        <f>IFERROR(__xludf.DUMMYFUNCTION("""COMPUTED_VALUE"""),"Christian Carpio")</f>
        <v>Christian Carpio</v>
      </c>
      <c r="F385" s="65" t="str">
        <f>IFERROR(__xludf.DUMMYFUNCTION("""COMPUTED_VALUE"""),"993459950")</f>
        <v>993459950</v>
      </c>
      <c r="G385" s="65" t="str">
        <f>IFERROR(__xludf.DUMMYFUNCTION("""COMPUTED_VALUE"""),"carpiochristian678@gmail.com")</f>
        <v>carpiochristian678@gmail.com</v>
      </c>
      <c r="H385" s="65"/>
      <c r="I385" s="65"/>
      <c r="J385" s="65"/>
      <c r="K385" s="65" t="str">
        <f>IFERROR(__xludf.DUMMYFUNCTION("""COMPUTED_VALUE"""),"PENDIENTE CONFIRMACION")</f>
        <v>PENDIENTE CONFIRMACION</v>
      </c>
      <c r="L385" s="65" t="str">
        <f>IFERROR(__xludf.DUMMYFUNCTION("""COMPUTED_VALUE"""),"CON RECAUDO")</f>
        <v>CON RECAUDO</v>
      </c>
      <c r="M385" s="65" t="str">
        <f>IFERROR(__xludf.DUMMYFUNCTION("""COMPUTED_VALUE"""),"ZAMORA CHINCHIPE")</f>
        <v>ZAMORA CHINCHIPE</v>
      </c>
      <c r="N385" s="65" t="str">
        <f>IFERROR(__xludf.DUMMYFUNCTION("""COMPUTED_VALUE"""),"YANTZAZA")</f>
        <v>YANTZAZA</v>
      </c>
      <c r="O385" s="65" t="str">
        <f>IFERROR(__xludf.DUMMYFUNCTION("""COMPUTED_VALUE"""),"Vía Montalvo No hay calle secundaria -")</f>
        <v>Vía Montalvo No hay calle secundaria -</v>
      </c>
      <c r="P385" s="65"/>
      <c r="Q385" s="65" t="str">
        <f>IFERROR(__xludf.DUMMYFUNCTION("""COMPUTED_VALUE"""),"LAARCOURIER")</f>
        <v>LAARCOURIER</v>
      </c>
      <c r="R385" s="65">
        <f>IFERROR(__xludf.DUMMYFUNCTION("""COMPUTED_VALUE"""),25.0)</f>
        <v>25</v>
      </c>
      <c r="S385" s="65"/>
      <c r="T385" s="65">
        <f>IFERROR(__xludf.DUMMYFUNCTION("""COMPUTED_VALUE"""),8.34)</f>
        <v>8.34</v>
      </c>
      <c r="U385" s="65">
        <f>IFERROR(__xludf.DUMMYFUNCTION("""COMPUTED_VALUE"""),0.0)</f>
        <v>0</v>
      </c>
      <c r="V385" s="65">
        <f>IFERROR(__xludf.DUMMYFUNCTION("""COMPUTED_VALUE"""),0.0)</f>
        <v>0</v>
      </c>
      <c r="W385" s="65">
        <f>IFERROR(__xludf.DUMMYFUNCTION("""COMPUTED_VALUE"""),0.0)</f>
        <v>0</v>
      </c>
      <c r="X385" s="65">
        <f>IFERROR(__xludf.DUMMYFUNCTION("""COMPUTED_VALUE"""),2.35)</f>
        <v>2.35</v>
      </c>
      <c r="Y385" s="65">
        <f>IFERROR(__xludf.DUMMYFUNCTION("""COMPUTED_VALUE"""),4.7)</f>
        <v>4.7</v>
      </c>
      <c r="Z385" s="65">
        <f>IFERROR(__xludf.DUMMYFUNCTION("""COMPUTED_VALUE"""),116679.0)</f>
        <v>116679</v>
      </c>
      <c r="AA385" s="65" t="str">
        <f>IFERROR(__xludf.DUMMYFUNCTION("""COMPUTED_VALUE"""),"AMC-2738")</f>
        <v>AMC-2738</v>
      </c>
      <c r="AB385" s="65"/>
      <c r="AC385" s="65" t="str">
        <f>IFERROR(__xludf.DUMMYFUNCTION("""COMPUTED_VALUE"""),"ESPONJA ANTILLUVIA DE PARABRISAS")</f>
        <v>ESPONJA ANTILLUVIA DE PARABRISAS</v>
      </c>
      <c r="AD385" s="65"/>
      <c r="AE385" s="65">
        <f>IFERROR(__xludf.DUMMYFUNCTION("""COMPUTED_VALUE"""),2.0)</f>
        <v>2</v>
      </c>
      <c r="AF385" s="65"/>
      <c r="AG385" s="65"/>
      <c r="AH385" s="65"/>
      <c r="AI385" s="65"/>
      <c r="AJ385" s="65"/>
      <c r="AK385" s="65"/>
      <c r="AL385" s="65"/>
      <c r="AM385" s="65"/>
      <c r="AN385" s="65"/>
      <c r="AO385" s="65"/>
      <c r="AP385" s="65"/>
      <c r="AQ385" s="65"/>
      <c r="AR385" s="65"/>
      <c r="AS385" s="65"/>
      <c r="AT385" s="65" t="str">
        <f>IFERROR(__xludf.DUMMYFUNCTION("""COMPUTED_VALUE"""),"SHOPIFY")</f>
        <v>SHOPIFY</v>
      </c>
      <c r="AU385" s="65" t="str">
        <f>IFERROR(__xludf.DUMMYFUNCTION("""COMPUTED_VALUE"""),"IMPORTEX EC")</f>
        <v>IMPORTEX EC</v>
      </c>
      <c r="AV385" s="65" t="str">
        <f>IFERROR(__xludf.DUMMYFUNCTION("""COMPUTED_VALUE"""),"6550339420204")</f>
        <v>6550339420204</v>
      </c>
      <c r="AW385" s="65">
        <f>IFERROR(__xludf.DUMMYFUNCTION("""COMPUTED_VALUE"""),6481.0)</f>
        <v>6481</v>
      </c>
      <c r="AX385" s="65"/>
      <c r="AY385" s="65"/>
      <c r="AZ385" s="65"/>
      <c r="BA385" s="65"/>
    </row>
    <row r="386">
      <c r="A386" s="65" t="str">
        <f>IFERROR(__xludf.DUMMYFUNCTION("""COMPUTED_VALUE"""),"27-03-2026")</f>
        <v>27-03-2026</v>
      </c>
      <c r="B386" s="65">
        <f>IFERROR(__xludf.DUMMYFUNCTION("""COMPUTED_VALUE"""),4662198.0)</f>
        <v>4662198</v>
      </c>
      <c r="C386" s="65" t="str">
        <f>IFERROR(__xludf.DUMMYFUNCTION("""COMPUTED_VALUE"""),"15:49")</f>
        <v>15:49</v>
      </c>
      <c r="D386" s="65" t="str">
        <f>IFERROR(__xludf.DUMMYFUNCTION("""COMPUTED_VALUE"""),"01-03-2026")</f>
        <v>01-03-2026</v>
      </c>
      <c r="E386" s="65" t="str">
        <f>IFERROR(__xludf.DUMMYFUNCTION("""COMPUTED_VALUE"""),"Daniel Briones")</f>
        <v>Daniel Briones</v>
      </c>
      <c r="F386" s="65" t="str">
        <f>IFERROR(__xludf.DUMMYFUNCTION("""COMPUTED_VALUE"""),"989193371")</f>
        <v>989193371</v>
      </c>
      <c r="G386" s="65" t="str">
        <f>IFERROR(__xludf.DUMMYFUNCTION("""COMPUTED_VALUE"""),"danielbriones1979@gmail.com")</f>
        <v>danielbriones1979@gmail.com</v>
      </c>
      <c r="H386" s="65"/>
      <c r="I386" s="65"/>
      <c r="J386" s="65" t="str">
        <f>IFERROR(__xludf.DUMMYFUNCTION("""COMPUTED_VALUE"""),"D001377928")</f>
        <v>D001377928</v>
      </c>
      <c r="K386" s="65" t="str">
        <f>IFERROR(__xludf.DUMMYFUNCTION("""COMPUTED_VALUE"""),"DEVOLUCION")</f>
        <v>DEVOLUCION</v>
      </c>
      <c r="L386" s="65" t="str">
        <f>IFERROR(__xludf.DUMMYFUNCTION("""COMPUTED_VALUE"""),"CON RECAUDO")</f>
        <v>CON RECAUDO</v>
      </c>
      <c r="M386" s="65" t="str">
        <f>IFERROR(__xludf.DUMMYFUNCTION("""COMPUTED_VALUE"""),"GUAYAS")</f>
        <v>GUAYAS</v>
      </c>
      <c r="N386" s="65" t="str">
        <f>IFERROR(__xludf.DUMMYFUNCTION("""COMPUTED_VALUE"""),"GUAYAQUIL")</f>
        <v>GUAYAQUIL</v>
      </c>
      <c r="O386" s="65" t="str">
        <f>IFERROR(__xludf.DUMMYFUNCTION("""COMPUTED_VALUE"""),"Bastión popular bloque 10 MZ.1217 SOLAR  1 Norte -")</f>
        <v>Bastión popular bloque 10 MZ.1217 SOLAR  1 Norte -</v>
      </c>
      <c r="P386" s="65"/>
      <c r="Q386" s="65" t="str">
        <f>IFERROR(__xludf.DUMMYFUNCTION("""COMPUTED_VALUE"""),"GINTRACOM")</f>
        <v>GINTRACOM</v>
      </c>
      <c r="R386" s="65">
        <f>IFERROR(__xludf.DUMMYFUNCTION("""COMPUTED_VALUE"""),25.0)</f>
        <v>25</v>
      </c>
      <c r="S386" s="65"/>
      <c r="T386" s="65">
        <f>IFERROR(__xludf.DUMMYFUNCTION("""COMPUTED_VALUE"""),5.96)</f>
        <v>5.96</v>
      </c>
      <c r="U386" s="65">
        <f>IFERROR(__xludf.DUMMYFUNCTION("""COMPUTED_VALUE"""),0.0)</f>
        <v>0</v>
      </c>
      <c r="V386" s="65">
        <f>IFERROR(__xludf.DUMMYFUNCTION("""COMPUTED_VALUE"""),0.0)</f>
        <v>0</v>
      </c>
      <c r="W386" s="65">
        <f>IFERROR(__xludf.DUMMYFUNCTION("""COMPUTED_VALUE"""),0.0)</f>
        <v>0</v>
      </c>
      <c r="X386" s="65">
        <f>IFERROR(__xludf.DUMMYFUNCTION("""COMPUTED_VALUE"""),2.35)</f>
        <v>2.35</v>
      </c>
      <c r="Y386" s="65">
        <f>IFERROR(__xludf.DUMMYFUNCTION("""COMPUTED_VALUE"""),4.7)</f>
        <v>4.7</v>
      </c>
      <c r="Z386" s="65">
        <f>IFERROR(__xludf.DUMMYFUNCTION("""COMPUTED_VALUE"""),116679.0)</f>
        <v>116679</v>
      </c>
      <c r="AA386" s="65" t="str">
        <f>IFERROR(__xludf.DUMMYFUNCTION("""COMPUTED_VALUE"""),"AMC-2738")</f>
        <v>AMC-2738</v>
      </c>
      <c r="AB386" s="65"/>
      <c r="AC386" s="65" t="str">
        <f>IFERROR(__xludf.DUMMYFUNCTION("""COMPUTED_VALUE"""),"ESPONJA ANTILLUVIA DE PARABRISAS")</f>
        <v>ESPONJA ANTILLUVIA DE PARABRISAS</v>
      </c>
      <c r="AD386" s="65"/>
      <c r="AE386" s="65">
        <f>IFERROR(__xludf.DUMMYFUNCTION("""COMPUTED_VALUE"""),2.0)</f>
        <v>2</v>
      </c>
      <c r="AF386" s="65" t="str">
        <f>IFERROR(__xludf.DUMMYFUNCTION("""COMPUTED_VALUE"""),"DESTINATARIO INDICA QUE NO RECIBE EL PRODUCTO SI NO SE LE PERMITE PROBARLO PRIMERO")</f>
        <v>DESTINATARIO INDICA QUE NO RECIBE EL PRODUCTO SI NO SE LE PERMITE PROBARLO PRIMERO</v>
      </c>
      <c r="AG386" s="65" t="str">
        <f>IFERROR(__xludf.DUMMYFUNCTION("""COMPUTED_VALUE"""),"SI")</f>
        <v>SI</v>
      </c>
      <c r="AH386" s="65" t="str">
        <f>IFERROR(__xludf.DUMMYFUNCTION("""COMPUTED_VALUE"""),"11:13")</f>
        <v>11:13</v>
      </c>
      <c r="AI386" s="65" t="str">
        <f>IFERROR(__xludf.DUMMYFUNCTION("""COMPUTED_VALUE"""),"06-03-2026")</f>
        <v>06-03-2026</v>
      </c>
      <c r="AJ386" s="65" t="str">
        <f>IFERROR(__xludf.DUMMYFUNCTION("""COMPUTED_VALUE"""),"Cliente solicita la entrega inmediata")</f>
        <v>Cliente solicita la entrega inmediata</v>
      </c>
      <c r="AK386" s="65" t="str">
        <f>IFERROR(__xludf.DUMMYFUNCTION("""COMPUTED_VALUE"""),"11:14")</f>
        <v>11:14</v>
      </c>
      <c r="AL386" s="65" t="str">
        <f>IFERROR(__xludf.DUMMYFUNCTION("""COMPUTED_VALUE"""),"09-03-2026")</f>
        <v>09-03-2026</v>
      </c>
      <c r="AM386" s="65"/>
      <c r="AN386" s="65" t="str">
        <f>IFERROR(__xludf.DUMMYFUNCTION("""COMPUTED_VALUE"""),"15:33")</f>
        <v>15:33</v>
      </c>
      <c r="AO386" s="65" t="str">
        <f>IFERROR(__xludf.DUMMYFUNCTION("""COMPUTED_VALUE"""),"26-03-2026")</f>
        <v>26-03-2026</v>
      </c>
      <c r="AP386" s="65" t="str">
        <f>IFERROR(__xludf.DUMMYFUNCTION("""COMPUTED_VALUE"""),"DEVOLUCIÓN ENTREGADA A ORIGEN")</f>
        <v>DEVOLUCIÓN ENTREGADA A ORIGEN</v>
      </c>
      <c r="AQ386" s="65" t="str">
        <f>IFERROR(__xludf.DUMMYFUNCTION("""COMPUTED_VALUE"""),"DEVOLUCIÓN ENTREGADA A ORIGEN")</f>
        <v>DEVOLUCIÓN ENTREGADA A ORIGEN</v>
      </c>
      <c r="AR386" s="65"/>
      <c r="AS386" s="65"/>
      <c r="AT386" s="65" t="str">
        <f>IFERROR(__xludf.DUMMYFUNCTION("""COMPUTED_VALUE"""),"SHOPIFY")</f>
        <v>SHOPIFY</v>
      </c>
      <c r="AU386" s="65" t="str">
        <f>IFERROR(__xludf.DUMMYFUNCTION("""COMPUTED_VALUE"""),"IMPORTEX EC")</f>
        <v>IMPORTEX EC</v>
      </c>
      <c r="AV386" s="65" t="str">
        <f>IFERROR(__xludf.DUMMYFUNCTION("""COMPUTED_VALUE"""),"6550327164972")</f>
        <v>6550327164972</v>
      </c>
      <c r="AW386" s="65">
        <f>IFERROR(__xludf.DUMMYFUNCTION("""COMPUTED_VALUE"""),6480.0)</f>
        <v>6480</v>
      </c>
      <c r="AX386" s="65"/>
      <c r="AY386" s="65" t="str">
        <f>IFERROR(__xludf.DUMMYFUNCTION("""COMPUTED_VALUE"""),"03/03/2026")</f>
        <v>03/03/2026</v>
      </c>
      <c r="AZ386" s="65"/>
      <c r="BA386" s="65"/>
    </row>
    <row r="387">
      <c r="A387" s="65" t="str">
        <f>IFERROR(__xludf.DUMMYFUNCTION("""COMPUTED_VALUE"""),"27-03-2026")</f>
        <v>27-03-2026</v>
      </c>
      <c r="B387" s="65">
        <f>IFERROR(__xludf.DUMMYFUNCTION("""COMPUTED_VALUE"""),4661862.0)</f>
        <v>4661862</v>
      </c>
      <c r="C387" s="65" t="str">
        <f>IFERROR(__xludf.DUMMYFUNCTION("""COMPUTED_VALUE"""),"15:10")</f>
        <v>15:10</v>
      </c>
      <c r="D387" s="65" t="str">
        <f>IFERROR(__xludf.DUMMYFUNCTION("""COMPUTED_VALUE"""),"01-03-2026")</f>
        <v>01-03-2026</v>
      </c>
      <c r="E387" s="65" t="str">
        <f>IFERROR(__xludf.DUMMYFUNCTION("""COMPUTED_VALUE"""),"ANGEL ENRIQUE JARA SALAZAR")</f>
        <v>ANGEL ENRIQUE JARA SALAZAR</v>
      </c>
      <c r="F387" s="65" t="str">
        <f>IFERROR(__xludf.DUMMYFUNCTION("""COMPUTED_VALUE"""),"987883676")</f>
        <v>987883676</v>
      </c>
      <c r="G387" s="65" t="str">
        <f>IFERROR(__xludf.DUMMYFUNCTION("""COMPUTED_VALUE"""),"jarasalazar73@hotmail.com")</f>
        <v>jarasalazar73@hotmail.com</v>
      </c>
      <c r="H387" s="65"/>
      <c r="I387" s="65"/>
      <c r="J387" s="65" t="str">
        <f>IFERROR(__xludf.DUMMYFUNCTION("""COMPUTED_VALUE"""),"186621532")</f>
        <v>186621532</v>
      </c>
      <c r="K387" s="65" t="str">
        <f>IFERROR(__xludf.DUMMYFUNCTION("""COMPUTED_VALUE"""),"ENTREGADO")</f>
        <v>ENTREGADO</v>
      </c>
      <c r="L387" s="65" t="str">
        <f>IFERROR(__xludf.DUMMYFUNCTION("""COMPUTED_VALUE"""),"CON RECAUDO")</f>
        <v>CON RECAUDO</v>
      </c>
      <c r="M387" s="65" t="str">
        <f>IFERROR(__xludf.DUMMYFUNCTION("""COMPUTED_VALUE"""),"MORONA SANTIAGO")</f>
        <v>MORONA SANTIAGO</v>
      </c>
      <c r="N387" s="65" t="str">
        <f>IFERROR(__xludf.DUMMYFUNCTION("""COMPUTED_VALUE"""),"HUAMBOYA")</f>
        <v>HUAMBOYA</v>
      </c>
      <c r="O387" s="65" t="str">
        <f>IFERROR(__xludf.DUMMYFUNCTION("""COMPUTED_VALUE"""),"Calle 14 de Febrero y Napo - Barrio Norte - Cantón Palora - Provincia de Morona Santiago")</f>
        <v>Calle 14 de Febrero y Napo - Barrio Norte - Cantón Palora - Provincia de Morona Santiago</v>
      </c>
      <c r="P387" s="65"/>
      <c r="Q387" s="65" t="str">
        <f>IFERROR(__xludf.DUMMYFUNCTION("""COMPUTED_VALUE"""),"SERVIENTREGA")</f>
        <v>SERVIENTREGA</v>
      </c>
      <c r="R387" s="65">
        <f>IFERROR(__xludf.DUMMYFUNCTION("""COMPUTED_VALUE"""),25.0)</f>
        <v>25</v>
      </c>
      <c r="S387" s="65">
        <f>IFERROR(__xludf.DUMMYFUNCTION("""COMPUTED_VALUE"""),12.55)</f>
        <v>12.55</v>
      </c>
      <c r="T387" s="65">
        <f>IFERROR(__xludf.DUMMYFUNCTION("""COMPUTED_VALUE"""),7.75)</f>
        <v>7.75</v>
      </c>
      <c r="U387" s="65">
        <f>IFERROR(__xludf.DUMMYFUNCTION("""COMPUTED_VALUE"""),0.0)</f>
        <v>0</v>
      </c>
      <c r="V387" s="65">
        <f>IFERROR(__xludf.DUMMYFUNCTION("""COMPUTED_VALUE"""),0.0)</f>
        <v>0</v>
      </c>
      <c r="W387" s="65">
        <f>IFERROR(__xludf.DUMMYFUNCTION("""COMPUTED_VALUE"""),0.0)</f>
        <v>0</v>
      </c>
      <c r="X387" s="65">
        <f>IFERROR(__xludf.DUMMYFUNCTION("""COMPUTED_VALUE"""),2.35)</f>
        <v>2.35</v>
      </c>
      <c r="Y387" s="65">
        <f>IFERROR(__xludf.DUMMYFUNCTION("""COMPUTED_VALUE"""),4.7)</f>
        <v>4.7</v>
      </c>
      <c r="Z387" s="65">
        <f>IFERROR(__xludf.DUMMYFUNCTION("""COMPUTED_VALUE"""),116679.0)</f>
        <v>116679</v>
      </c>
      <c r="AA387" s="65" t="str">
        <f>IFERROR(__xludf.DUMMYFUNCTION("""COMPUTED_VALUE"""),"AMC-2738")</f>
        <v>AMC-2738</v>
      </c>
      <c r="AB387" s="65"/>
      <c r="AC387" s="65" t="str">
        <f>IFERROR(__xludf.DUMMYFUNCTION("""COMPUTED_VALUE"""),"ESPONJA ANTILLUVIA DE PARABRISAS")</f>
        <v>ESPONJA ANTILLUVIA DE PARABRISAS</v>
      </c>
      <c r="AD387" s="65"/>
      <c r="AE387" s="65">
        <f>IFERROR(__xludf.DUMMYFUNCTION("""COMPUTED_VALUE"""),2.0)</f>
        <v>2</v>
      </c>
      <c r="AF387" s="65"/>
      <c r="AG387" s="65"/>
      <c r="AH387" s="65"/>
      <c r="AI387" s="65"/>
      <c r="AJ387" s="65"/>
      <c r="AK387" s="65"/>
      <c r="AL387" s="65"/>
      <c r="AM387" s="65"/>
      <c r="AN387" s="65" t="str">
        <f>IFERROR(__xludf.DUMMYFUNCTION("""COMPUTED_VALUE"""),"12:11")</f>
        <v>12:11</v>
      </c>
      <c r="AO387" s="65" t="str">
        <f>IFERROR(__xludf.DUMMYFUNCTION("""COMPUTED_VALUE"""),"23-03-2026")</f>
        <v>23-03-2026</v>
      </c>
      <c r="AP387" s="65" t="str">
        <f>IFERROR(__xludf.DUMMYFUNCTION("""COMPUTED_VALUE"""),"ENTREGA DIGITALIZADA EN CENTRO LOGISTICO")</f>
        <v>ENTREGA DIGITALIZADA EN CENTRO LOGISTICO</v>
      </c>
      <c r="AQ387" s="65" t="str">
        <f>IFERROR(__xludf.DUMMYFUNCTION("""COMPUTED_VALUE"""),"angel jara")</f>
        <v>angel jara</v>
      </c>
      <c r="AR387" s="65"/>
      <c r="AS387" s="65"/>
      <c r="AT387" s="65" t="str">
        <f>IFERROR(__xludf.DUMMYFUNCTION("""COMPUTED_VALUE"""),"SHOPIFY")</f>
        <v>SHOPIFY</v>
      </c>
      <c r="AU387" s="65" t="str">
        <f>IFERROR(__xludf.DUMMYFUNCTION("""COMPUTED_VALUE"""),"IMPORTEX EC")</f>
        <v>IMPORTEX EC</v>
      </c>
      <c r="AV387" s="65" t="str">
        <f>IFERROR(__xludf.DUMMYFUNCTION("""COMPUTED_VALUE"""),"6550244818988")</f>
        <v>6550244818988</v>
      </c>
      <c r="AW387" s="65">
        <f>IFERROR(__xludf.DUMMYFUNCTION("""COMPUTED_VALUE"""),6479.0)</f>
        <v>6479</v>
      </c>
      <c r="AX387" s="65"/>
      <c r="AY387" s="65" t="str">
        <f>IFERROR(__xludf.DUMMYFUNCTION("""COMPUTED_VALUE"""),"05/03/2026")</f>
        <v>05/03/2026</v>
      </c>
      <c r="AZ387" s="65"/>
      <c r="BA387" s="65"/>
    </row>
    <row r="388">
      <c r="A388" s="65" t="str">
        <f>IFERROR(__xludf.DUMMYFUNCTION("""COMPUTED_VALUE"""),"27-03-2026")</f>
        <v>27-03-2026</v>
      </c>
      <c r="B388" s="65">
        <f>IFERROR(__xludf.DUMMYFUNCTION("""COMPUTED_VALUE"""),4661824.0)</f>
        <v>4661824</v>
      </c>
      <c r="C388" s="65" t="str">
        <f>IFERROR(__xludf.DUMMYFUNCTION("""COMPUTED_VALUE"""),"15:03")</f>
        <v>15:03</v>
      </c>
      <c r="D388" s="65" t="str">
        <f>IFERROR(__xludf.DUMMYFUNCTION("""COMPUTED_VALUE"""),"01-03-2026")</f>
        <v>01-03-2026</v>
      </c>
      <c r="E388" s="65" t="str">
        <f>IFERROR(__xludf.DUMMYFUNCTION("""COMPUTED_VALUE"""),"Jefferson Fuentes")</f>
        <v>Jefferson Fuentes</v>
      </c>
      <c r="F388" s="65" t="str">
        <f>IFERROR(__xludf.DUMMYFUNCTION("""COMPUTED_VALUE"""),"963109022")</f>
        <v>963109022</v>
      </c>
      <c r="G388" s="65" t="str">
        <f>IFERROR(__xludf.DUMMYFUNCTION("""COMPUTED_VALUE"""),"jefferson1976fuente@gmail.com")</f>
        <v>jefferson1976fuente@gmail.com</v>
      </c>
      <c r="H388" s="65"/>
      <c r="I388" s="65"/>
      <c r="J388" s="65"/>
      <c r="K388" s="65" t="str">
        <f>IFERROR(__xludf.DUMMYFUNCTION("""COMPUTED_VALUE"""),"PENDIENTE CONFIRMACION")</f>
        <v>PENDIENTE CONFIRMACION</v>
      </c>
      <c r="L388" s="65" t="str">
        <f>IFERROR(__xludf.DUMMYFUNCTION("""COMPUTED_VALUE"""),"CON RECAUDO")</f>
        <v>CON RECAUDO</v>
      </c>
      <c r="M388" s="65" t="str">
        <f>IFERROR(__xludf.DUMMYFUNCTION("""COMPUTED_VALUE"""),"ESMERALDAS")</f>
        <v>ESMERALDAS</v>
      </c>
      <c r="N388" s="65" t="str">
        <f>IFERROR(__xludf.DUMMYFUNCTION("""COMPUTED_VALUE"""),"ESMERALDAS")</f>
        <v>ESMERALDAS</v>
      </c>
      <c r="O388" s="65" t="str">
        <f>IFERROR(__xludf.DUMMYFUNCTION("""COMPUTED_VALUE"""),"Via Sto. Domingo Recinto pueblo nuevo Frente a la cancha -")</f>
        <v>Via Sto. Domingo Recinto pueblo nuevo Frente a la cancha -</v>
      </c>
      <c r="P388" s="65"/>
      <c r="Q388" s="65" t="str">
        <f>IFERROR(__xludf.DUMMYFUNCTION("""COMPUTED_VALUE"""),"GINTRACOM")</f>
        <v>GINTRACOM</v>
      </c>
      <c r="R388" s="65">
        <f>IFERROR(__xludf.DUMMYFUNCTION("""COMPUTED_VALUE"""),25.0)</f>
        <v>25</v>
      </c>
      <c r="S388" s="65"/>
      <c r="T388" s="65">
        <f>IFERROR(__xludf.DUMMYFUNCTION("""COMPUTED_VALUE"""),5.96)</f>
        <v>5.96</v>
      </c>
      <c r="U388" s="65">
        <f>IFERROR(__xludf.DUMMYFUNCTION("""COMPUTED_VALUE"""),0.0)</f>
        <v>0</v>
      </c>
      <c r="V388" s="65">
        <f>IFERROR(__xludf.DUMMYFUNCTION("""COMPUTED_VALUE"""),0.0)</f>
        <v>0</v>
      </c>
      <c r="W388" s="65">
        <f>IFERROR(__xludf.DUMMYFUNCTION("""COMPUTED_VALUE"""),0.0)</f>
        <v>0</v>
      </c>
      <c r="X388" s="65">
        <f>IFERROR(__xludf.DUMMYFUNCTION("""COMPUTED_VALUE"""),2.35)</f>
        <v>2.35</v>
      </c>
      <c r="Y388" s="65">
        <f>IFERROR(__xludf.DUMMYFUNCTION("""COMPUTED_VALUE"""),4.7)</f>
        <v>4.7</v>
      </c>
      <c r="Z388" s="65">
        <f>IFERROR(__xludf.DUMMYFUNCTION("""COMPUTED_VALUE"""),116679.0)</f>
        <v>116679</v>
      </c>
      <c r="AA388" s="65" t="str">
        <f>IFERROR(__xludf.DUMMYFUNCTION("""COMPUTED_VALUE"""),"AMC-2738")</f>
        <v>AMC-2738</v>
      </c>
      <c r="AB388" s="65"/>
      <c r="AC388" s="65" t="str">
        <f>IFERROR(__xludf.DUMMYFUNCTION("""COMPUTED_VALUE"""),"ESPONJA ANTILLUVIA DE PARABRISAS")</f>
        <v>ESPONJA ANTILLUVIA DE PARABRISAS</v>
      </c>
      <c r="AD388" s="65"/>
      <c r="AE388" s="65">
        <f>IFERROR(__xludf.DUMMYFUNCTION("""COMPUTED_VALUE"""),2.0)</f>
        <v>2</v>
      </c>
      <c r="AF388" s="65"/>
      <c r="AG388" s="65"/>
      <c r="AH388" s="65"/>
      <c r="AI388" s="65"/>
      <c r="AJ388" s="65"/>
      <c r="AK388" s="65"/>
      <c r="AL388" s="65"/>
      <c r="AM388" s="65"/>
      <c r="AN388" s="65"/>
      <c r="AO388" s="65"/>
      <c r="AP388" s="65"/>
      <c r="AQ388" s="65"/>
      <c r="AR388" s="65"/>
      <c r="AS388" s="65"/>
      <c r="AT388" s="65" t="str">
        <f>IFERROR(__xludf.DUMMYFUNCTION("""COMPUTED_VALUE"""),"SHOPIFY")</f>
        <v>SHOPIFY</v>
      </c>
      <c r="AU388" s="65" t="str">
        <f>IFERROR(__xludf.DUMMYFUNCTION("""COMPUTED_VALUE"""),"IMPORTEX EC")</f>
        <v>IMPORTEX EC</v>
      </c>
      <c r="AV388" s="65" t="str">
        <f>IFERROR(__xludf.DUMMYFUNCTION("""COMPUTED_VALUE"""),"6550233677868")</f>
        <v>6550233677868</v>
      </c>
      <c r="AW388" s="65">
        <f>IFERROR(__xludf.DUMMYFUNCTION("""COMPUTED_VALUE"""),6478.0)</f>
        <v>6478</v>
      </c>
      <c r="AX388" s="65"/>
      <c r="AY388" s="65"/>
      <c r="AZ388" s="65"/>
      <c r="BA388" s="65"/>
    </row>
    <row r="389">
      <c r="A389" s="65" t="str">
        <f>IFERROR(__xludf.DUMMYFUNCTION("""COMPUTED_VALUE"""),"27-03-2026")</f>
        <v>27-03-2026</v>
      </c>
      <c r="B389" s="65">
        <f>IFERROR(__xludf.DUMMYFUNCTION("""COMPUTED_VALUE"""),4661182.0)</f>
        <v>4661182</v>
      </c>
      <c r="C389" s="65" t="str">
        <f>IFERROR(__xludf.DUMMYFUNCTION("""COMPUTED_VALUE"""),"13:34")</f>
        <v>13:34</v>
      </c>
      <c r="D389" s="65" t="str">
        <f>IFERROR(__xludf.DUMMYFUNCTION("""COMPUTED_VALUE"""),"01-03-2026")</f>
        <v>01-03-2026</v>
      </c>
      <c r="E389" s="65" t="str">
        <f>IFERROR(__xludf.DUMMYFUNCTION("""COMPUTED_VALUE"""),"Roberto Arriaga")</f>
        <v>Roberto Arriaga</v>
      </c>
      <c r="F389" s="65" t="str">
        <f>IFERROR(__xludf.DUMMYFUNCTION("""COMPUTED_VALUE"""),"988637250")</f>
        <v>988637250</v>
      </c>
      <c r="G389" s="65" t="str">
        <f>IFERROR(__xludf.DUMMYFUNCTION("""COMPUTED_VALUE"""),"rarriagar@utb.edu.ec")</f>
        <v>rarriagar@utb.edu.ec</v>
      </c>
      <c r="H389" s="65"/>
      <c r="I389" s="65"/>
      <c r="J389" s="65" t="str">
        <f>IFERROR(__xludf.DUMMYFUNCTION("""COMPUTED_VALUE"""),"D001376707")</f>
        <v>D001376707</v>
      </c>
      <c r="K389" s="65" t="str">
        <f>IFERROR(__xludf.DUMMYFUNCTION("""COMPUTED_VALUE"""),"ENTREGADO")</f>
        <v>ENTREGADO</v>
      </c>
      <c r="L389" s="65" t="str">
        <f>IFERROR(__xludf.DUMMYFUNCTION("""COMPUTED_VALUE"""),"CON RECAUDO")</f>
        <v>CON RECAUDO</v>
      </c>
      <c r="M389" s="65" t="str">
        <f>IFERROR(__xludf.DUMMYFUNCTION("""COMPUTED_VALUE"""),"LOS RIOS")</f>
        <v>LOS RIOS</v>
      </c>
      <c r="N389" s="65" t="str">
        <f>IFERROR(__xludf.DUMMYFUNCTION("""COMPUTED_VALUE"""),"BABAHOYO")</f>
        <v>BABAHOYO</v>
      </c>
      <c r="O389" s="65" t="str">
        <f>IFERROR(__xludf.DUMMYFUNCTION("""COMPUTED_VALUE"""),"Av universitaria Universidad técnica de Babahoyo Garita 2")</f>
        <v>Av universitaria Universidad técnica de Babahoyo Garita 2</v>
      </c>
      <c r="P389" s="65"/>
      <c r="Q389" s="65" t="str">
        <f>IFERROR(__xludf.DUMMYFUNCTION("""COMPUTED_VALUE"""),"GINTRACOM")</f>
        <v>GINTRACOM</v>
      </c>
      <c r="R389" s="65">
        <f>IFERROR(__xludf.DUMMYFUNCTION("""COMPUTED_VALUE"""),27.0)</f>
        <v>27</v>
      </c>
      <c r="S389" s="65">
        <f>IFERROR(__xludf.DUMMYFUNCTION("""COMPUTED_VALUE"""),9.72)</f>
        <v>9.72</v>
      </c>
      <c r="T389" s="65">
        <f>IFERROR(__xludf.DUMMYFUNCTION("""COMPUTED_VALUE"""),6.03)</f>
        <v>6.03</v>
      </c>
      <c r="U389" s="65">
        <f>IFERROR(__xludf.DUMMYFUNCTION("""COMPUTED_VALUE"""),0.0)</f>
        <v>0</v>
      </c>
      <c r="V389" s="65">
        <f>IFERROR(__xludf.DUMMYFUNCTION("""COMPUTED_VALUE"""),0.0)</f>
        <v>0</v>
      </c>
      <c r="W389" s="65">
        <f>IFERROR(__xludf.DUMMYFUNCTION("""COMPUTED_VALUE"""),0.0)</f>
        <v>0</v>
      </c>
      <c r="X389" s="65">
        <f>IFERROR(__xludf.DUMMYFUNCTION("""COMPUTED_VALUE"""),3.75)</f>
        <v>3.75</v>
      </c>
      <c r="Y389" s="65">
        <f>IFERROR(__xludf.DUMMYFUNCTION("""COMPUTED_VALUE"""),11.25)</f>
        <v>11.25</v>
      </c>
      <c r="Z389" s="65">
        <f>IFERROR(__xludf.DUMMYFUNCTION("""COMPUTED_VALUE"""),113116.0)</f>
        <v>113116</v>
      </c>
      <c r="AA389" s="65" t="str">
        <f>IFERROR(__xludf.DUMMYFUNCTION("""COMPUTED_VALUE"""),"IM-TAZAKI")</f>
        <v>IM-TAZAKI</v>
      </c>
      <c r="AB389" s="65"/>
      <c r="AC389" s="65" t="str">
        <f>IFERROR(__xludf.DUMMYFUNCTION("""COMPUTED_VALUE"""),"Cuchillo tazaki")</f>
        <v>Cuchillo tazaki</v>
      </c>
      <c r="AD389" s="65"/>
      <c r="AE389" s="65">
        <f>IFERROR(__xludf.DUMMYFUNCTION("""COMPUTED_VALUE"""),3.0)</f>
        <v>3</v>
      </c>
      <c r="AF389" s="65"/>
      <c r="AG389" s="65"/>
      <c r="AH389" s="65"/>
      <c r="AI389" s="65"/>
      <c r="AJ389" s="65"/>
      <c r="AK389" s="65"/>
      <c r="AL389" s="65"/>
      <c r="AM389" s="65"/>
      <c r="AN389" s="65" t="str">
        <f>IFERROR(__xludf.DUMMYFUNCTION("""COMPUTED_VALUE"""),"10:34")</f>
        <v>10:34</v>
      </c>
      <c r="AO389" s="65" t="str">
        <f>IFERROR(__xludf.DUMMYFUNCTION("""COMPUTED_VALUE"""),"05-03-2026")</f>
        <v>05-03-2026</v>
      </c>
      <c r="AP389" s="65" t="str">
        <f>IFERROR(__xludf.DUMMYFUNCTION("""COMPUTED_VALUE"""),"ENTREGADA GINTRACOM")</f>
        <v>ENTREGADA GINTRACOM</v>
      </c>
      <c r="AQ389" s="65" t="str">
        <f>IFERROR(__xludf.DUMMYFUNCTION("""COMPUTED_VALUE"""),"ENTREGADA GINTRACOM")</f>
        <v>ENTREGADA GINTRACOM</v>
      </c>
      <c r="AR389" s="65"/>
      <c r="AS389" s="65"/>
      <c r="AT389" s="65" t="str">
        <f>IFERROR(__xludf.DUMMYFUNCTION("""COMPUTED_VALUE"""),"SHOPIFY")</f>
        <v>SHOPIFY</v>
      </c>
      <c r="AU389" s="65" t="str">
        <f>IFERROR(__xludf.DUMMYFUNCTION("""COMPUTED_VALUE"""),"IMPORTEX EC")</f>
        <v>IMPORTEX EC</v>
      </c>
      <c r="AV389" s="65" t="str">
        <f>IFERROR(__xludf.DUMMYFUNCTION("""COMPUTED_VALUE"""),"6550009479212")</f>
        <v>6550009479212</v>
      </c>
      <c r="AW389" s="65">
        <f>IFERROR(__xludf.DUMMYFUNCTION("""COMPUTED_VALUE"""),6477.0)</f>
        <v>6477</v>
      </c>
      <c r="AX389" s="65"/>
      <c r="AY389" s="65" t="str">
        <f>IFERROR(__xludf.DUMMYFUNCTION("""COMPUTED_VALUE"""),"03/03/2026")</f>
        <v>03/03/2026</v>
      </c>
      <c r="AZ389" s="65"/>
      <c r="BA389" s="65"/>
    </row>
    <row r="390">
      <c r="A390" s="65" t="str">
        <f>IFERROR(__xludf.DUMMYFUNCTION("""COMPUTED_VALUE"""),"27-03-2026")</f>
        <v>27-03-2026</v>
      </c>
      <c r="B390" s="65">
        <f>IFERROR(__xludf.DUMMYFUNCTION("""COMPUTED_VALUE"""),4661106.0)</f>
        <v>4661106</v>
      </c>
      <c r="C390" s="65" t="str">
        <f>IFERROR(__xludf.DUMMYFUNCTION("""COMPUTED_VALUE"""),"13:24")</f>
        <v>13:24</v>
      </c>
      <c r="D390" s="65" t="str">
        <f>IFERROR(__xludf.DUMMYFUNCTION("""COMPUTED_VALUE"""),"01-03-2026")</f>
        <v>01-03-2026</v>
      </c>
      <c r="E390" s="65" t="str">
        <f>IFERROR(__xludf.DUMMYFUNCTION("""COMPUTED_VALUE"""),"Eustorgio Tandazo")</f>
        <v>Eustorgio Tandazo</v>
      </c>
      <c r="F390" s="65" t="str">
        <f>IFERROR(__xludf.DUMMYFUNCTION("""COMPUTED_VALUE"""),"985217620")</f>
        <v>985217620</v>
      </c>
      <c r="G390" s="65" t="str">
        <f>IFERROR(__xludf.DUMMYFUNCTION("""COMPUTED_VALUE"""),"togiotandazo@gmail.com")</f>
        <v>togiotandazo@gmail.com</v>
      </c>
      <c r="H390" s="65"/>
      <c r="I390" s="65"/>
      <c r="J390" s="65" t="str">
        <f>IFERROR(__xludf.DUMMYFUNCTION("""COMPUTED_VALUE"""),"D001376708")</f>
        <v>D001376708</v>
      </c>
      <c r="K390" s="65" t="str">
        <f>IFERROR(__xludf.DUMMYFUNCTION("""COMPUTED_VALUE"""),"ENTREGADO")</f>
        <v>ENTREGADO</v>
      </c>
      <c r="L390" s="65" t="str">
        <f>IFERROR(__xludf.DUMMYFUNCTION("""COMPUTED_VALUE"""),"CON RECAUDO")</f>
        <v>CON RECAUDO</v>
      </c>
      <c r="M390" s="65" t="str">
        <f>IFERROR(__xludf.DUMMYFUNCTION("""COMPUTED_VALUE"""),"GUAYAS")</f>
        <v>GUAYAS</v>
      </c>
      <c r="N390" s="65" t="str">
        <f>IFERROR(__xludf.DUMMYFUNCTION("""COMPUTED_VALUE"""),"GUAYAQUIL")</f>
        <v>GUAYAQUIL</v>
      </c>
      <c r="O390" s="65" t="str">
        <f>IFERROR(__xludf.DUMMYFUNCTION("""COMPUTED_VALUE"""),"Ceibos, Urbanización santa cecilia -  Calle septima casa 302 - Entrada 6 - Familia tandazo")</f>
        <v>Ceibos, Urbanización santa cecilia -  Calle septima casa 302 - Entrada 6 - Familia tandazo</v>
      </c>
      <c r="P390" s="65"/>
      <c r="Q390" s="65" t="str">
        <f>IFERROR(__xludf.DUMMYFUNCTION("""COMPUTED_VALUE"""),"GINTRACOM")</f>
        <v>GINTRACOM</v>
      </c>
      <c r="R390" s="65">
        <f>IFERROR(__xludf.DUMMYFUNCTION("""COMPUTED_VALUE"""),27.0)</f>
        <v>27</v>
      </c>
      <c r="S390" s="65">
        <f>IFERROR(__xludf.DUMMYFUNCTION("""COMPUTED_VALUE"""),9.72)</f>
        <v>9.72</v>
      </c>
      <c r="T390" s="65">
        <f>IFERROR(__xludf.DUMMYFUNCTION("""COMPUTED_VALUE"""),6.03)</f>
        <v>6.03</v>
      </c>
      <c r="U390" s="65">
        <f>IFERROR(__xludf.DUMMYFUNCTION("""COMPUTED_VALUE"""),0.0)</f>
        <v>0</v>
      </c>
      <c r="V390" s="65">
        <f>IFERROR(__xludf.DUMMYFUNCTION("""COMPUTED_VALUE"""),0.0)</f>
        <v>0</v>
      </c>
      <c r="W390" s="65">
        <f>IFERROR(__xludf.DUMMYFUNCTION("""COMPUTED_VALUE"""),0.0)</f>
        <v>0</v>
      </c>
      <c r="X390" s="65">
        <f>IFERROR(__xludf.DUMMYFUNCTION("""COMPUTED_VALUE"""),3.75)</f>
        <v>3.75</v>
      </c>
      <c r="Y390" s="65">
        <f>IFERROR(__xludf.DUMMYFUNCTION("""COMPUTED_VALUE"""),11.25)</f>
        <v>11.25</v>
      </c>
      <c r="Z390" s="65">
        <f>IFERROR(__xludf.DUMMYFUNCTION("""COMPUTED_VALUE"""),113116.0)</f>
        <v>113116</v>
      </c>
      <c r="AA390" s="65" t="str">
        <f>IFERROR(__xludf.DUMMYFUNCTION("""COMPUTED_VALUE"""),"IM-TAZAKI")</f>
        <v>IM-TAZAKI</v>
      </c>
      <c r="AB390" s="65"/>
      <c r="AC390" s="65" t="str">
        <f>IFERROR(__xludf.DUMMYFUNCTION("""COMPUTED_VALUE"""),"Cuchillo tazaki")</f>
        <v>Cuchillo tazaki</v>
      </c>
      <c r="AD390" s="65"/>
      <c r="AE390" s="65">
        <f>IFERROR(__xludf.DUMMYFUNCTION("""COMPUTED_VALUE"""),3.0)</f>
        <v>3</v>
      </c>
      <c r="AF390" s="65"/>
      <c r="AG390" s="65"/>
      <c r="AH390" s="65"/>
      <c r="AI390" s="65"/>
      <c r="AJ390" s="65"/>
      <c r="AK390" s="65"/>
      <c r="AL390" s="65"/>
      <c r="AM390" s="65"/>
      <c r="AN390" s="65" t="str">
        <f>IFERROR(__xludf.DUMMYFUNCTION("""COMPUTED_VALUE"""),"12:52")</f>
        <v>12:52</v>
      </c>
      <c r="AO390" s="65" t="str">
        <f>IFERROR(__xludf.DUMMYFUNCTION("""COMPUTED_VALUE"""),"04-03-2026")</f>
        <v>04-03-2026</v>
      </c>
      <c r="AP390" s="65" t="str">
        <f>IFERROR(__xludf.DUMMYFUNCTION("""COMPUTED_VALUE"""),"ENTREGADA GINTRACOM")</f>
        <v>ENTREGADA GINTRACOM</v>
      </c>
      <c r="AQ390" s="65" t="str">
        <f>IFERROR(__xludf.DUMMYFUNCTION("""COMPUTED_VALUE"""),"ENTREGADA GINTRACOM")</f>
        <v>ENTREGADA GINTRACOM</v>
      </c>
      <c r="AR390" s="65"/>
      <c r="AS390" s="65"/>
      <c r="AT390" s="65" t="str">
        <f>IFERROR(__xludf.DUMMYFUNCTION("""COMPUTED_VALUE"""),"SHOPIFY")</f>
        <v>SHOPIFY</v>
      </c>
      <c r="AU390" s="65" t="str">
        <f>IFERROR(__xludf.DUMMYFUNCTION("""COMPUTED_VALUE"""),"IMPORTEX EC")</f>
        <v>IMPORTEX EC</v>
      </c>
      <c r="AV390" s="65" t="str">
        <f>IFERROR(__xludf.DUMMYFUNCTION("""COMPUTED_VALUE"""),"6549980610604")</f>
        <v>6549980610604</v>
      </c>
      <c r="AW390" s="65">
        <f>IFERROR(__xludf.DUMMYFUNCTION("""COMPUTED_VALUE"""),6476.0)</f>
        <v>6476</v>
      </c>
      <c r="AX390" s="65"/>
      <c r="AY390" s="65" t="str">
        <f>IFERROR(__xludf.DUMMYFUNCTION("""COMPUTED_VALUE"""),"03/03/2026")</f>
        <v>03/03/2026</v>
      </c>
      <c r="AZ390" s="65"/>
      <c r="BA390" s="65"/>
    </row>
    <row r="391">
      <c r="A391" s="65" t="str">
        <f>IFERROR(__xludf.DUMMYFUNCTION("""COMPUTED_VALUE"""),"27-03-2026")</f>
        <v>27-03-2026</v>
      </c>
      <c r="B391" s="65">
        <f>IFERROR(__xludf.DUMMYFUNCTION("""COMPUTED_VALUE"""),4660832.0)</f>
        <v>4660832</v>
      </c>
      <c r="C391" s="65" t="str">
        <f>IFERROR(__xludf.DUMMYFUNCTION("""COMPUTED_VALUE"""),"12:49")</f>
        <v>12:49</v>
      </c>
      <c r="D391" s="65" t="str">
        <f>IFERROR(__xludf.DUMMYFUNCTION("""COMPUTED_VALUE"""),"01-03-2026")</f>
        <v>01-03-2026</v>
      </c>
      <c r="E391" s="65" t="str">
        <f>IFERROR(__xludf.DUMMYFUNCTION("""COMPUTED_VALUE"""),"Laura Hidalgo Romero")</f>
        <v>Laura Hidalgo Romero</v>
      </c>
      <c r="F391" s="65" t="str">
        <f>IFERROR(__xludf.DUMMYFUNCTION("""COMPUTED_VALUE"""),"996900025")</f>
        <v>996900025</v>
      </c>
      <c r="G391" s="65" t="str">
        <f>IFERROR(__xludf.DUMMYFUNCTION("""COMPUTED_VALUE"""),"laurajudithidalgo@gmail.com")</f>
        <v>laurajudithidalgo@gmail.com</v>
      </c>
      <c r="H391" s="65"/>
      <c r="I391" s="65"/>
      <c r="J391" s="65" t="str">
        <f>IFERROR(__xludf.DUMMYFUNCTION("""COMPUTED_VALUE"""),"D001376709")</f>
        <v>D001376709</v>
      </c>
      <c r="K391" s="65" t="str">
        <f>IFERROR(__xludf.DUMMYFUNCTION("""COMPUTED_VALUE"""),"ENTREGADO")</f>
        <v>ENTREGADO</v>
      </c>
      <c r="L391" s="65" t="str">
        <f>IFERROR(__xludf.DUMMYFUNCTION("""COMPUTED_VALUE"""),"CON RECAUDO")</f>
        <v>CON RECAUDO</v>
      </c>
      <c r="M391" s="65" t="str">
        <f>IFERROR(__xludf.DUMMYFUNCTION("""COMPUTED_VALUE"""),"EL ORO")</f>
        <v>EL ORO</v>
      </c>
      <c r="N391" s="65" t="str">
        <f>IFERROR(__xludf.DUMMYFUNCTION("""COMPUTED_VALUE"""),"MACHALA")</f>
        <v>MACHALA</v>
      </c>
      <c r="O391" s="65" t="str">
        <f>IFERROR(__xludf.DUMMYFUNCTION("""COMPUTED_VALUE"""),"5ta Norte y 3er Pasaje 1111 Fernando Daquilema - Barrio Fernando Daquilema")</f>
        <v>5ta Norte y 3er Pasaje 1111 Fernando Daquilema - Barrio Fernando Daquilema</v>
      </c>
      <c r="P391" s="65"/>
      <c r="Q391" s="65" t="str">
        <f>IFERROR(__xludf.DUMMYFUNCTION("""COMPUTED_VALUE"""),"GINTRACOM")</f>
        <v>GINTRACOM</v>
      </c>
      <c r="R391" s="65">
        <f>IFERROR(__xludf.DUMMYFUNCTION("""COMPUTED_VALUE"""),22.0)</f>
        <v>22</v>
      </c>
      <c r="S391" s="65">
        <f>IFERROR(__xludf.DUMMYFUNCTION("""COMPUTED_VALUE"""),8.66)</f>
        <v>8.66</v>
      </c>
      <c r="T391" s="65">
        <f>IFERROR(__xludf.DUMMYFUNCTION("""COMPUTED_VALUE"""),5.84)</f>
        <v>5.84</v>
      </c>
      <c r="U391" s="65">
        <f>IFERROR(__xludf.DUMMYFUNCTION("""COMPUTED_VALUE"""),0.0)</f>
        <v>0</v>
      </c>
      <c r="V391" s="65">
        <f>IFERROR(__xludf.DUMMYFUNCTION("""COMPUTED_VALUE"""),0.0)</f>
        <v>0</v>
      </c>
      <c r="W391" s="65">
        <f>IFERROR(__xludf.DUMMYFUNCTION("""COMPUTED_VALUE"""),0.0)</f>
        <v>0</v>
      </c>
      <c r="X391" s="65">
        <f>IFERROR(__xludf.DUMMYFUNCTION("""COMPUTED_VALUE"""),3.75)</f>
        <v>3.75</v>
      </c>
      <c r="Y391" s="65">
        <f>IFERROR(__xludf.DUMMYFUNCTION("""COMPUTED_VALUE"""),7.5)</f>
        <v>7.5</v>
      </c>
      <c r="Z391" s="65">
        <f>IFERROR(__xludf.DUMMYFUNCTION("""COMPUTED_VALUE"""),113116.0)</f>
        <v>113116</v>
      </c>
      <c r="AA391" s="65" t="str">
        <f>IFERROR(__xludf.DUMMYFUNCTION("""COMPUTED_VALUE"""),"IM-TAZAKI")</f>
        <v>IM-TAZAKI</v>
      </c>
      <c r="AB391" s="65"/>
      <c r="AC391" s="65" t="str">
        <f>IFERROR(__xludf.DUMMYFUNCTION("""COMPUTED_VALUE"""),"Cuchillo tazaki")</f>
        <v>Cuchillo tazaki</v>
      </c>
      <c r="AD391" s="65"/>
      <c r="AE391" s="65">
        <f>IFERROR(__xludf.DUMMYFUNCTION("""COMPUTED_VALUE"""),2.0)</f>
        <v>2</v>
      </c>
      <c r="AF391" s="65" t="str">
        <f>IFERROR(__xludf.DUMMYFUNCTION("""COMPUTED_VALUE"""),"DESTINATARIO NO SE ENCUENTRA EN LUGAR DE ENTREGA.")</f>
        <v>DESTINATARIO NO SE ENCUENTRA EN LUGAR DE ENTREGA.</v>
      </c>
      <c r="AG391" s="65" t="str">
        <f>IFERROR(__xludf.DUMMYFUNCTION("""COMPUTED_VALUE"""),"NO")</f>
        <v>NO</v>
      </c>
      <c r="AH391" s="65" t="str">
        <f>IFERROR(__xludf.DUMMYFUNCTION("""COMPUTED_VALUE"""),"14:09")</f>
        <v>14:09</v>
      </c>
      <c r="AI391" s="65" t="str">
        <f>IFERROR(__xludf.DUMMYFUNCTION("""COMPUTED_VALUE"""),"04-03-2026")</f>
        <v>04-03-2026</v>
      </c>
      <c r="AJ391" s="65"/>
      <c r="AK391" s="65"/>
      <c r="AL391" s="65"/>
      <c r="AM391" s="65"/>
      <c r="AN391" s="65" t="str">
        <f>IFERROR(__xludf.DUMMYFUNCTION("""COMPUTED_VALUE"""),"18:05")</f>
        <v>18:05</v>
      </c>
      <c r="AO391" s="65" t="str">
        <f>IFERROR(__xludf.DUMMYFUNCTION("""COMPUTED_VALUE"""),"04-03-2026")</f>
        <v>04-03-2026</v>
      </c>
      <c r="AP391" s="65" t="str">
        <f>IFERROR(__xludf.DUMMYFUNCTION("""COMPUTED_VALUE"""),"ENTREGADA GINTRACOM")</f>
        <v>ENTREGADA GINTRACOM</v>
      </c>
      <c r="AQ391" s="65" t="str">
        <f>IFERROR(__xludf.DUMMYFUNCTION("""COMPUTED_VALUE"""),"ENTREGADA GINTRACOM")</f>
        <v>ENTREGADA GINTRACOM</v>
      </c>
      <c r="AR391" s="65"/>
      <c r="AS391" s="65"/>
      <c r="AT391" s="65" t="str">
        <f>IFERROR(__xludf.DUMMYFUNCTION("""COMPUTED_VALUE"""),"SHOPIFY")</f>
        <v>SHOPIFY</v>
      </c>
      <c r="AU391" s="65" t="str">
        <f>IFERROR(__xludf.DUMMYFUNCTION("""COMPUTED_VALUE"""),"IMPORTEX EC")</f>
        <v>IMPORTEX EC</v>
      </c>
      <c r="AV391" s="65" t="str">
        <f>IFERROR(__xludf.DUMMYFUNCTION("""COMPUTED_VALUE"""),"6549898264620")</f>
        <v>6549898264620</v>
      </c>
      <c r="AW391" s="65">
        <f>IFERROR(__xludf.DUMMYFUNCTION("""COMPUTED_VALUE"""),6475.0)</f>
        <v>6475</v>
      </c>
      <c r="AX391" s="65"/>
      <c r="AY391" s="65" t="str">
        <f>IFERROR(__xludf.DUMMYFUNCTION("""COMPUTED_VALUE"""),"03/03/2026")</f>
        <v>03/03/2026</v>
      </c>
      <c r="AZ391" s="65"/>
      <c r="BA391" s="65"/>
    </row>
    <row r="392">
      <c r="A392" s="65" t="str">
        <f>IFERROR(__xludf.DUMMYFUNCTION("""COMPUTED_VALUE"""),"27-03-2026")</f>
        <v>27-03-2026</v>
      </c>
      <c r="B392" s="65">
        <f>IFERROR(__xludf.DUMMYFUNCTION("""COMPUTED_VALUE"""),4660406.0)</f>
        <v>4660406</v>
      </c>
      <c r="C392" s="65" t="str">
        <f>IFERROR(__xludf.DUMMYFUNCTION("""COMPUTED_VALUE"""),"11:51")</f>
        <v>11:51</v>
      </c>
      <c r="D392" s="65" t="str">
        <f>IFERROR(__xludf.DUMMYFUNCTION("""COMPUTED_VALUE"""),"01-03-2026")</f>
        <v>01-03-2026</v>
      </c>
      <c r="E392" s="65" t="str">
        <f>IFERROR(__xludf.DUMMYFUNCTION("""COMPUTED_VALUE"""),"Jorge Lara")</f>
        <v>Jorge Lara</v>
      </c>
      <c r="F392" s="65" t="str">
        <f>IFERROR(__xludf.DUMMYFUNCTION("""COMPUTED_VALUE"""),"999092792")</f>
        <v>999092792</v>
      </c>
      <c r="G392" s="65" t="str">
        <f>IFERROR(__xludf.DUMMYFUNCTION("""COMPUTED_VALUE"""),"jlarajaramillo@gmail.com")</f>
        <v>jlarajaramillo@gmail.com</v>
      </c>
      <c r="H392" s="65"/>
      <c r="I392" s="65"/>
      <c r="J392" s="65" t="str">
        <f>IFERROR(__xludf.DUMMYFUNCTION("""COMPUTED_VALUE"""),"D001376710")</f>
        <v>D001376710</v>
      </c>
      <c r="K392" s="65" t="str">
        <f>IFERROR(__xludf.DUMMYFUNCTION("""COMPUTED_VALUE"""),"ENTREGADO")</f>
        <v>ENTREGADO</v>
      </c>
      <c r="L392" s="65" t="str">
        <f>IFERROR(__xludf.DUMMYFUNCTION("""COMPUTED_VALUE"""),"CON RECAUDO")</f>
        <v>CON RECAUDO</v>
      </c>
      <c r="M392" s="65" t="str">
        <f>IFERROR(__xludf.DUMMYFUNCTION("""COMPUTED_VALUE"""),"PICHINCHA")</f>
        <v>PICHINCHA</v>
      </c>
      <c r="N392" s="65" t="str">
        <f>IFERROR(__xludf.DUMMYFUNCTION("""COMPUTED_VALUE"""),"QUITO")</f>
        <v>QUITO</v>
      </c>
      <c r="O392" s="65" t="str">
        <f>IFERROR(__xludf.DUMMYFUNCTION("""COMPUTED_VALUE"""),"Laura Barragan y Julio Tovar Donoso, Puembo, urbanización La Finca, Quito - Ecuador - , Lote 10A,  -sector la Cruz de Puembo")</f>
        <v>Laura Barragan y Julio Tovar Donoso, Puembo, urbanización La Finca, Quito - Ecuador - , Lote 10A,  -sector la Cruz de Puembo</v>
      </c>
      <c r="P392" s="65"/>
      <c r="Q392" s="65" t="str">
        <f>IFERROR(__xludf.DUMMYFUNCTION("""COMPUTED_VALUE"""),"GINTRACOM")</f>
        <v>GINTRACOM</v>
      </c>
      <c r="R392" s="65">
        <f>IFERROR(__xludf.DUMMYFUNCTION("""COMPUTED_VALUE"""),27.0)</f>
        <v>27</v>
      </c>
      <c r="S392" s="65">
        <f>IFERROR(__xludf.DUMMYFUNCTION("""COMPUTED_VALUE"""),11.33)</f>
        <v>11.33</v>
      </c>
      <c r="T392" s="65">
        <f>IFERROR(__xludf.DUMMYFUNCTION("""COMPUTED_VALUE"""),4.42)</f>
        <v>4.42</v>
      </c>
      <c r="U392" s="65">
        <f>IFERROR(__xludf.DUMMYFUNCTION("""COMPUTED_VALUE"""),0.0)</f>
        <v>0</v>
      </c>
      <c r="V392" s="65">
        <f>IFERROR(__xludf.DUMMYFUNCTION("""COMPUTED_VALUE"""),0.0)</f>
        <v>0</v>
      </c>
      <c r="W392" s="65">
        <f>IFERROR(__xludf.DUMMYFUNCTION("""COMPUTED_VALUE"""),0.0)</f>
        <v>0</v>
      </c>
      <c r="X392" s="65">
        <f>IFERROR(__xludf.DUMMYFUNCTION("""COMPUTED_VALUE"""),3.75)</f>
        <v>3.75</v>
      </c>
      <c r="Y392" s="65">
        <f>IFERROR(__xludf.DUMMYFUNCTION("""COMPUTED_VALUE"""),11.25)</f>
        <v>11.25</v>
      </c>
      <c r="Z392" s="65">
        <f>IFERROR(__xludf.DUMMYFUNCTION("""COMPUTED_VALUE"""),113116.0)</f>
        <v>113116</v>
      </c>
      <c r="AA392" s="65" t="str">
        <f>IFERROR(__xludf.DUMMYFUNCTION("""COMPUTED_VALUE"""),"IM-TAZAKI")</f>
        <v>IM-TAZAKI</v>
      </c>
      <c r="AB392" s="65"/>
      <c r="AC392" s="65" t="str">
        <f>IFERROR(__xludf.DUMMYFUNCTION("""COMPUTED_VALUE"""),"Cuchillo tazaki")</f>
        <v>Cuchillo tazaki</v>
      </c>
      <c r="AD392" s="65"/>
      <c r="AE392" s="65">
        <f>IFERROR(__xludf.DUMMYFUNCTION("""COMPUTED_VALUE"""),3.0)</f>
        <v>3</v>
      </c>
      <c r="AF392" s="65"/>
      <c r="AG392" s="65"/>
      <c r="AH392" s="65"/>
      <c r="AI392" s="65"/>
      <c r="AJ392" s="65"/>
      <c r="AK392" s="65"/>
      <c r="AL392" s="65"/>
      <c r="AM392" s="65"/>
      <c r="AN392" s="65" t="str">
        <f>IFERROR(__xludf.DUMMYFUNCTION("""COMPUTED_VALUE"""),"10:55")</f>
        <v>10:55</v>
      </c>
      <c r="AO392" s="65" t="str">
        <f>IFERROR(__xludf.DUMMYFUNCTION("""COMPUTED_VALUE"""),"04-03-2026")</f>
        <v>04-03-2026</v>
      </c>
      <c r="AP392" s="65" t="str">
        <f>IFERROR(__xludf.DUMMYFUNCTION("""COMPUTED_VALUE"""),"EN REPARTO")</f>
        <v>EN REPARTO</v>
      </c>
      <c r="AQ392" s="65" t="str">
        <f>IFERROR(__xludf.DUMMYFUNCTION("""COMPUTED_VALUE"""),"EN REPARTO")</f>
        <v>EN REPARTO</v>
      </c>
      <c r="AR392" s="65"/>
      <c r="AS392" s="65"/>
      <c r="AT392" s="65" t="str">
        <f>IFERROR(__xludf.DUMMYFUNCTION("""COMPUTED_VALUE"""),"SHOPIFY")</f>
        <v>SHOPIFY</v>
      </c>
      <c r="AU392" s="65" t="str">
        <f>IFERROR(__xludf.DUMMYFUNCTION("""COMPUTED_VALUE"""),"IMPORTEX EC")</f>
        <v>IMPORTEX EC</v>
      </c>
      <c r="AV392" s="65" t="str">
        <f>IFERROR(__xludf.DUMMYFUNCTION("""COMPUTED_VALUE"""),"6549751791660")</f>
        <v>6549751791660</v>
      </c>
      <c r="AW392" s="65">
        <f>IFERROR(__xludf.DUMMYFUNCTION("""COMPUTED_VALUE"""),6474.0)</f>
        <v>6474</v>
      </c>
      <c r="AX392" s="65"/>
      <c r="AY392" s="65" t="str">
        <f>IFERROR(__xludf.DUMMYFUNCTION("""COMPUTED_VALUE"""),"03/03/2026")</f>
        <v>03/03/2026</v>
      </c>
      <c r="AZ392" s="65"/>
      <c r="BA392" s="65"/>
    </row>
    <row r="393">
      <c r="A393" s="65" t="str">
        <f>IFERROR(__xludf.DUMMYFUNCTION("""COMPUTED_VALUE"""),"27-03-2026")</f>
        <v>27-03-2026</v>
      </c>
      <c r="B393" s="65">
        <f>IFERROR(__xludf.DUMMYFUNCTION("""COMPUTED_VALUE"""),4660277.0)</f>
        <v>4660277</v>
      </c>
      <c r="C393" s="65" t="str">
        <f>IFERROR(__xludf.DUMMYFUNCTION("""COMPUTED_VALUE"""),"11:33")</f>
        <v>11:33</v>
      </c>
      <c r="D393" s="65" t="str">
        <f>IFERROR(__xludf.DUMMYFUNCTION("""COMPUTED_VALUE"""),"01-03-2026")</f>
        <v>01-03-2026</v>
      </c>
      <c r="E393" s="65" t="str">
        <f>IFERROR(__xludf.DUMMYFUNCTION("""COMPUTED_VALUE"""),"Edison Edmundo Moreno Páez")</f>
        <v>Edison Edmundo Moreno Páez</v>
      </c>
      <c r="F393" s="65" t="str">
        <f>IFERROR(__xludf.DUMMYFUNCTION("""COMPUTED_VALUE"""),"998702005")</f>
        <v>998702005</v>
      </c>
      <c r="G393" s="65" t="str">
        <f>IFERROR(__xludf.DUMMYFUNCTION("""COMPUTED_VALUE"""),"edisonemoreno@hotmail.com")</f>
        <v>edisonemoreno@hotmail.com</v>
      </c>
      <c r="H393" s="65"/>
      <c r="I393" s="65"/>
      <c r="J393" s="65" t="str">
        <f>IFERROR(__xludf.DUMMYFUNCTION("""COMPUTED_VALUE"""),"D001377929")</f>
        <v>D001377929</v>
      </c>
      <c r="K393" s="65" t="str">
        <f>IFERROR(__xludf.DUMMYFUNCTION("""COMPUTED_VALUE"""),"ENTREGADO")</f>
        <v>ENTREGADO</v>
      </c>
      <c r="L393" s="65" t="str">
        <f>IFERROR(__xludf.DUMMYFUNCTION("""COMPUTED_VALUE"""),"CON RECAUDO")</f>
        <v>CON RECAUDO</v>
      </c>
      <c r="M393" s="65" t="str">
        <f>IFERROR(__xludf.DUMMYFUNCTION("""COMPUTED_VALUE"""),"CHIMBORAZO")</f>
        <v>CHIMBORAZO</v>
      </c>
      <c r="N393" s="65" t="str">
        <f>IFERROR(__xludf.DUMMYFUNCTION("""COMPUTED_VALUE"""),"RIOBAMBA")</f>
        <v>RIOBAMBA</v>
      </c>
      <c r="O393" s="65" t="str">
        <f>IFERROR(__xludf.DUMMYFUNCTION("""COMPUTED_VALUE"""),"Rio Upano y Ave. Lizarzaburu, Conjunto dulce refugio, casa 11, junto a taller de autofreno.")</f>
        <v>Rio Upano y Ave. Lizarzaburu, Conjunto dulce refugio, casa 11, junto a taller de autofreno.</v>
      </c>
      <c r="P393" s="65"/>
      <c r="Q393" s="65" t="str">
        <f>IFERROR(__xludf.DUMMYFUNCTION("""COMPUTED_VALUE"""),"GINTRACOM")</f>
        <v>GINTRACOM</v>
      </c>
      <c r="R393" s="65">
        <f>IFERROR(__xludf.DUMMYFUNCTION("""COMPUTED_VALUE"""),30.0)</f>
        <v>30</v>
      </c>
      <c r="S393" s="65">
        <f>IFERROR(__xludf.DUMMYFUNCTION("""COMPUTED_VALUE"""),16.79)</f>
        <v>16.79</v>
      </c>
      <c r="T393" s="65">
        <f>IFERROR(__xludf.DUMMYFUNCTION("""COMPUTED_VALUE"""),6.16)</f>
        <v>6.16</v>
      </c>
      <c r="U393" s="65">
        <f>IFERROR(__xludf.DUMMYFUNCTION("""COMPUTED_VALUE"""),0.0)</f>
        <v>0</v>
      </c>
      <c r="V393" s="65">
        <f>IFERROR(__xludf.DUMMYFUNCTION("""COMPUTED_VALUE"""),0.0)</f>
        <v>0</v>
      </c>
      <c r="W393" s="65">
        <f>IFERROR(__xludf.DUMMYFUNCTION("""COMPUTED_VALUE"""),0.0)</f>
        <v>0</v>
      </c>
      <c r="X393" s="65">
        <f>IFERROR(__xludf.DUMMYFUNCTION("""COMPUTED_VALUE"""),2.35)</f>
        <v>2.35</v>
      </c>
      <c r="Y393" s="65">
        <f>IFERROR(__xludf.DUMMYFUNCTION("""COMPUTED_VALUE"""),7.05)</f>
        <v>7.05</v>
      </c>
      <c r="Z393" s="65">
        <f>IFERROR(__xludf.DUMMYFUNCTION("""COMPUTED_VALUE"""),116679.0)</f>
        <v>116679</v>
      </c>
      <c r="AA393" s="65" t="str">
        <f>IFERROR(__xludf.DUMMYFUNCTION("""COMPUTED_VALUE"""),"AMC-2738")</f>
        <v>AMC-2738</v>
      </c>
      <c r="AB393" s="65"/>
      <c r="AC393" s="65" t="str">
        <f>IFERROR(__xludf.DUMMYFUNCTION("""COMPUTED_VALUE"""),"ESPONJA ANTILLUVIA DE PARABRISAS")</f>
        <v>ESPONJA ANTILLUVIA DE PARABRISAS</v>
      </c>
      <c r="AD393" s="65"/>
      <c r="AE393" s="65">
        <f>IFERROR(__xludf.DUMMYFUNCTION("""COMPUTED_VALUE"""),3.0)</f>
        <v>3</v>
      </c>
      <c r="AF393" s="65"/>
      <c r="AG393" s="65"/>
      <c r="AH393" s="65"/>
      <c r="AI393" s="65"/>
      <c r="AJ393" s="65"/>
      <c r="AK393" s="65"/>
      <c r="AL393" s="65"/>
      <c r="AM393" s="65"/>
      <c r="AN393" s="65" t="str">
        <f>IFERROR(__xludf.DUMMYFUNCTION("""COMPUTED_VALUE"""),"10:05")</f>
        <v>10:05</v>
      </c>
      <c r="AO393" s="65" t="str">
        <f>IFERROR(__xludf.DUMMYFUNCTION("""COMPUTED_VALUE"""),"06-03-2026")</f>
        <v>06-03-2026</v>
      </c>
      <c r="AP393" s="65" t="str">
        <f>IFERROR(__xludf.DUMMYFUNCTION("""COMPUTED_VALUE"""),"ENTREGADA GINTRACOM")</f>
        <v>ENTREGADA GINTRACOM</v>
      </c>
      <c r="AQ393" s="65" t="str">
        <f>IFERROR(__xludf.DUMMYFUNCTION("""COMPUTED_VALUE"""),"ENTREGADA GINTRACOM")</f>
        <v>ENTREGADA GINTRACOM</v>
      </c>
      <c r="AR393" s="65"/>
      <c r="AS393" s="65"/>
      <c r="AT393" s="65" t="str">
        <f>IFERROR(__xludf.DUMMYFUNCTION("""COMPUTED_VALUE"""),"SHOPIFY")</f>
        <v>SHOPIFY</v>
      </c>
      <c r="AU393" s="65" t="str">
        <f>IFERROR(__xludf.DUMMYFUNCTION("""COMPUTED_VALUE"""),"IMPORTEX EC")</f>
        <v>IMPORTEX EC</v>
      </c>
      <c r="AV393" s="65" t="str">
        <f>IFERROR(__xludf.DUMMYFUNCTION("""COMPUTED_VALUE"""),"6549713977388")</f>
        <v>6549713977388</v>
      </c>
      <c r="AW393" s="65">
        <f>IFERROR(__xludf.DUMMYFUNCTION("""COMPUTED_VALUE"""),6473.0)</f>
        <v>6473</v>
      </c>
      <c r="AX393" s="65"/>
      <c r="AY393" s="65" t="str">
        <f>IFERROR(__xludf.DUMMYFUNCTION("""COMPUTED_VALUE"""),"03/03/2026")</f>
        <v>03/03/2026</v>
      </c>
      <c r="AZ393" s="65"/>
      <c r="BA393" s="65"/>
    </row>
    <row r="394">
      <c r="A394" s="65" t="str">
        <f>IFERROR(__xludf.DUMMYFUNCTION("""COMPUTED_VALUE"""),"27-03-2026")</f>
        <v>27-03-2026</v>
      </c>
      <c r="B394" s="65">
        <f>IFERROR(__xludf.DUMMYFUNCTION("""COMPUTED_VALUE"""),4660172.0)</f>
        <v>4660172</v>
      </c>
      <c r="C394" s="65" t="str">
        <f>IFERROR(__xludf.DUMMYFUNCTION("""COMPUTED_VALUE"""),"11:18")</f>
        <v>11:18</v>
      </c>
      <c r="D394" s="65" t="str">
        <f>IFERROR(__xludf.DUMMYFUNCTION("""COMPUTED_VALUE"""),"01-03-2026")</f>
        <v>01-03-2026</v>
      </c>
      <c r="E394" s="65" t="str">
        <f>IFERROR(__xludf.DUMMYFUNCTION("""COMPUTED_VALUE"""),"Alejandra Moreno")</f>
        <v>Alejandra Moreno</v>
      </c>
      <c r="F394" s="65" t="str">
        <f>IFERROR(__xludf.DUMMYFUNCTION("""COMPUTED_VALUE"""),"991283812")</f>
        <v>991283812</v>
      </c>
      <c r="G394" s="65" t="str">
        <f>IFERROR(__xludf.DUMMYFUNCTION("""COMPUTED_VALUE"""),"guilleruiz77@gmail.com")</f>
        <v>guilleruiz77@gmail.com</v>
      </c>
      <c r="H394" s="65"/>
      <c r="I394" s="65"/>
      <c r="J394" s="65" t="str">
        <f>IFERROR(__xludf.DUMMYFUNCTION("""COMPUTED_VALUE"""),"D001377930")</f>
        <v>D001377930</v>
      </c>
      <c r="K394" s="65" t="str">
        <f>IFERROR(__xludf.DUMMYFUNCTION("""COMPUTED_VALUE"""),"ENTREGADO")</f>
        <v>ENTREGADO</v>
      </c>
      <c r="L394" s="65" t="str">
        <f>IFERROR(__xludf.DUMMYFUNCTION("""COMPUTED_VALUE"""),"CON RECAUDO")</f>
        <v>CON RECAUDO</v>
      </c>
      <c r="M394" s="65" t="str">
        <f>IFERROR(__xludf.DUMMYFUNCTION("""COMPUTED_VALUE"""),"IMBABURA")</f>
        <v>IMBABURA</v>
      </c>
      <c r="N394" s="65" t="str">
        <f>IFERROR(__xludf.DUMMYFUNCTION("""COMPUTED_VALUE"""),"COTACACHI")</f>
        <v>COTACACHI</v>
      </c>
      <c r="O394" s="65" t="str">
        <f>IFERROR(__xludf.DUMMYFUNCTION("""COMPUTED_VALUE"""),"Calle Bolivar y 24 de Mayo. Sobre calle Bolivar, junto a Martinizing, Letrero Dra Alejandra Moreno Centro de Cotacachi -")</f>
        <v>Calle Bolivar y 24 de Mayo. Sobre calle Bolivar, junto a Martinizing, Letrero Dra Alejandra Moreno Centro de Cotacachi -</v>
      </c>
      <c r="P394" s="65"/>
      <c r="Q394" s="65" t="str">
        <f>IFERROR(__xludf.DUMMYFUNCTION("""COMPUTED_VALUE"""),"GINTRACOM")</f>
        <v>GINTRACOM</v>
      </c>
      <c r="R394" s="65">
        <f>IFERROR(__xludf.DUMMYFUNCTION("""COMPUTED_VALUE"""),30.0)</f>
        <v>30</v>
      </c>
      <c r="S394" s="65">
        <f>IFERROR(__xludf.DUMMYFUNCTION("""COMPUTED_VALUE"""),16.22)</f>
        <v>16.22</v>
      </c>
      <c r="T394" s="65">
        <f>IFERROR(__xludf.DUMMYFUNCTION("""COMPUTED_VALUE"""),6.73)</f>
        <v>6.73</v>
      </c>
      <c r="U394" s="65">
        <f>IFERROR(__xludf.DUMMYFUNCTION("""COMPUTED_VALUE"""),0.0)</f>
        <v>0</v>
      </c>
      <c r="V394" s="65">
        <f>IFERROR(__xludf.DUMMYFUNCTION("""COMPUTED_VALUE"""),0.0)</f>
        <v>0</v>
      </c>
      <c r="W394" s="65">
        <f>IFERROR(__xludf.DUMMYFUNCTION("""COMPUTED_VALUE"""),0.0)</f>
        <v>0</v>
      </c>
      <c r="X394" s="65">
        <f>IFERROR(__xludf.DUMMYFUNCTION("""COMPUTED_VALUE"""),2.35)</f>
        <v>2.35</v>
      </c>
      <c r="Y394" s="65">
        <f>IFERROR(__xludf.DUMMYFUNCTION("""COMPUTED_VALUE"""),7.05)</f>
        <v>7.05</v>
      </c>
      <c r="Z394" s="65">
        <f>IFERROR(__xludf.DUMMYFUNCTION("""COMPUTED_VALUE"""),116679.0)</f>
        <v>116679</v>
      </c>
      <c r="AA394" s="65" t="str">
        <f>IFERROR(__xludf.DUMMYFUNCTION("""COMPUTED_VALUE"""),"AMC-2738")</f>
        <v>AMC-2738</v>
      </c>
      <c r="AB394" s="65"/>
      <c r="AC394" s="65" t="str">
        <f>IFERROR(__xludf.DUMMYFUNCTION("""COMPUTED_VALUE"""),"ESPONJA ANTILLUVIA DE PARABRISAS")</f>
        <v>ESPONJA ANTILLUVIA DE PARABRISAS</v>
      </c>
      <c r="AD394" s="65"/>
      <c r="AE394" s="65">
        <f>IFERROR(__xludf.DUMMYFUNCTION("""COMPUTED_VALUE"""),3.0)</f>
        <v>3</v>
      </c>
      <c r="AF394" s="65"/>
      <c r="AG394" s="65"/>
      <c r="AH394" s="65"/>
      <c r="AI394" s="65"/>
      <c r="AJ394" s="65"/>
      <c r="AK394" s="65"/>
      <c r="AL394" s="65"/>
      <c r="AM394" s="65"/>
      <c r="AN394" s="65" t="str">
        <f>IFERROR(__xludf.DUMMYFUNCTION("""COMPUTED_VALUE"""),"12:11")</f>
        <v>12:11</v>
      </c>
      <c r="AO394" s="65" t="str">
        <f>IFERROR(__xludf.DUMMYFUNCTION("""COMPUTED_VALUE"""),"06-03-2026")</f>
        <v>06-03-2026</v>
      </c>
      <c r="AP394" s="65" t="str">
        <f>IFERROR(__xludf.DUMMYFUNCTION("""COMPUTED_VALUE"""),"ENTREGADA GINTRACOM")</f>
        <v>ENTREGADA GINTRACOM</v>
      </c>
      <c r="AQ394" s="65" t="str">
        <f>IFERROR(__xludf.DUMMYFUNCTION("""COMPUTED_VALUE"""),"ENTREGADA GINTRACOM")</f>
        <v>ENTREGADA GINTRACOM</v>
      </c>
      <c r="AR394" s="65"/>
      <c r="AS394" s="65"/>
      <c r="AT394" s="65" t="str">
        <f>IFERROR(__xludf.DUMMYFUNCTION("""COMPUTED_VALUE"""),"SHOPIFY")</f>
        <v>SHOPIFY</v>
      </c>
      <c r="AU394" s="65" t="str">
        <f>IFERROR(__xludf.DUMMYFUNCTION("""COMPUTED_VALUE"""),"IMPORTEX EC")</f>
        <v>IMPORTEX EC</v>
      </c>
      <c r="AV394" s="65" t="str">
        <f>IFERROR(__xludf.DUMMYFUNCTION("""COMPUTED_VALUE"""),"6549675835436")</f>
        <v>6549675835436</v>
      </c>
      <c r="AW394" s="65">
        <f>IFERROR(__xludf.DUMMYFUNCTION("""COMPUTED_VALUE"""),6472.0)</f>
        <v>6472</v>
      </c>
      <c r="AX394" s="65"/>
      <c r="AY394" s="65" t="str">
        <f>IFERROR(__xludf.DUMMYFUNCTION("""COMPUTED_VALUE"""),"03/03/2026")</f>
        <v>03/03/2026</v>
      </c>
      <c r="AZ394" s="65"/>
      <c r="BA394" s="65"/>
    </row>
    <row r="395">
      <c r="A395" s="65" t="str">
        <f>IFERROR(__xludf.DUMMYFUNCTION("""COMPUTED_VALUE"""),"27-03-2026")</f>
        <v>27-03-2026</v>
      </c>
      <c r="B395" s="65">
        <f>IFERROR(__xludf.DUMMYFUNCTION("""COMPUTED_VALUE"""),4659963.0)</f>
        <v>4659963</v>
      </c>
      <c r="C395" s="65" t="str">
        <f>IFERROR(__xludf.DUMMYFUNCTION("""COMPUTED_VALUE"""),"10:51")</f>
        <v>10:51</v>
      </c>
      <c r="D395" s="65" t="str">
        <f>IFERROR(__xludf.DUMMYFUNCTION("""COMPUTED_VALUE"""),"01-03-2026")</f>
        <v>01-03-2026</v>
      </c>
      <c r="E395" s="65" t="str">
        <f>IFERROR(__xludf.DUMMYFUNCTION("""COMPUTED_VALUE"""),"Pedro Rivadeneira")</f>
        <v>Pedro Rivadeneira</v>
      </c>
      <c r="F395" s="65" t="str">
        <f>IFERROR(__xludf.DUMMYFUNCTION("""COMPUTED_VALUE"""),"990508968")</f>
        <v>990508968</v>
      </c>
      <c r="G395" s="65" t="str">
        <f>IFERROR(__xludf.DUMMYFUNCTION("""COMPUTED_VALUE"""),"emelec77@gmail.com")</f>
        <v>emelec77@gmail.com</v>
      </c>
      <c r="H395" s="65"/>
      <c r="I395" s="65"/>
      <c r="J395" s="65" t="str">
        <f>IFERROR(__xludf.DUMMYFUNCTION("""COMPUTED_VALUE"""),"D001377931")</f>
        <v>D001377931</v>
      </c>
      <c r="K395" s="65" t="str">
        <f>IFERROR(__xludf.DUMMYFUNCTION("""COMPUTED_VALUE"""),"ENTREGADO")</f>
        <v>ENTREGADO</v>
      </c>
      <c r="L395" s="65" t="str">
        <f>IFERROR(__xludf.DUMMYFUNCTION("""COMPUTED_VALUE"""),"CON RECAUDO")</f>
        <v>CON RECAUDO</v>
      </c>
      <c r="M395" s="65" t="str">
        <f>IFERROR(__xludf.DUMMYFUNCTION("""COMPUTED_VALUE"""),"CAÑAR")</f>
        <v>CAÑAR</v>
      </c>
      <c r="N395" s="65" t="str">
        <f>IFERROR(__xludf.DUMMYFUNCTION("""COMPUTED_VALUE"""),"LA TRONCAL")</f>
        <v>LA TRONCAL</v>
      </c>
      <c r="O395" s="65" t="str">
        <f>IFERROR(__xludf.DUMMYFUNCTION("""COMPUTED_VALUE"""),"24 de mayo 301 y el Artesano")</f>
        <v>24 de mayo 301 y el Artesano</v>
      </c>
      <c r="P395" s="65"/>
      <c r="Q395" s="65" t="str">
        <f>IFERROR(__xludf.DUMMYFUNCTION("""COMPUTED_VALUE"""),"GINTRACOM")</f>
        <v>GINTRACOM</v>
      </c>
      <c r="R395" s="65">
        <f>IFERROR(__xludf.DUMMYFUNCTION("""COMPUTED_VALUE"""),20.0)</f>
        <v>20</v>
      </c>
      <c r="S395" s="65">
        <f>IFERROR(__xludf.DUMMYFUNCTION("""COMPUTED_VALUE"""),11.89)</f>
        <v>11.89</v>
      </c>
      <c r="T395" s="65">
        <f>IFERROR(__xludf.DUMMYFUNCTION("""COMPUTED_VALUE"""),5.76)</f>
        <v>5.76</v>
      </c>
      <c r="U395" s="65">
        <f>IFERROR(__xludf.DUMMYFUNCTION("""COMPUTED_VALUE"""),0.0)</f>
        <v>0</v>
      </c>
      <c r="V395" s="65">
        <f>IFERROR(__xludf.DUMMYFUNCTION("""COMPUTED_VALUE"""),0.0)</f>
        <v>0</v>
      </c>
      <c r="W395" s="65">
        <f>IFERROR(__xludf.DUMMYFUNCTION("""COMPUTED_VALUE"""),0.0)</f>
        <v>0</v>
      </c>
      <c r="X395" s="65">
        <f>IFERROR(__xludf.DUMMYFUNCTION("""COMPUTED_VALUE"""),2.35)</f>
        <v>2.35</v>
      </c>
      <c r="Y395" s="65">
        <f>IFERROR(__xludf.DUMMYFUNCTION("""COMPUTED_VALUE"""),2.35)</f>
        <v>2.35</v>
      </c>
      <c r="Z395" s="65">
        <f>IFERROR(__xludf.DUMMYFUNCTION("""COMPUTED_VALUE"""),116679.0)</f>
        <v>116679</v>
      </c>
      <c r="AA395" s="65" t="str">
        <f>IFERROR(__xludf.DUMMYFUNCTION("""COMPUTED_VALUE"""),"AMC-2738")</f>
        <v>AMC-2738</v>
      </c>
      <c r="AB395" s="65"/>
      <c r="AC395" s="65" t="str">
        <f>IFERROR(__xludf.DUMMYFUNCTION("""COMPUTED_VALUE"""),"ESPONJA ANTILLUVIA DE PARABRISAS")</f>
        <v>ESPONJA ANTILLUVIA DE PARABRISAS</v>
      </c>
      <c r="AD395" s="65"/>
      <c r="AE395" s="65">
        <f>IFERROR(__xludf.DUMMYFUNCTION("""COMPUTED_VALUE"""),1.0)</f>
        <v>1</v>
      </c>
      <c r="AF395" s="65" t="str">
        <f>IFERROR(__xludf.DUMMYFUNCTION("""COMPUTED_VALUE"""),"DESTINATARIO NO CONTESTA LLAMADAS NI WHATSAPP")</f>
        <v>DESTINATARIO NO CONTESTA LLAMADAS NI WHATSAPP</v>
      </c>
      <c r="AG395" s="65" t="str">
        <f>IFERROR(__xludf.DUMMYFUNCTION("""COMPUTED_VALUE"""),"SI")</f>
        <v>SI</v>
      </c>
      <c r="AH395" s="65" t="str">
        <f>IFERROR(__xludf.DUMMYFUNCTION("""COMPUTED_VALUE"""),"16:31")</f>
        <v>16:31</v>
      </c>
      <c r="AI395" s="65" t="str">
        <f>IFERROR(__xludf.DUMMYFUNCTION("""COMPUTED_VALUE"""),"07-03-2026")</f>
        <v>07-03-2026</v>
      </c>
      <c r="AJ395" s="65"/>
      <c r="AK395" s="65"/>
      <c r="AL395" s="65"/>
      <c r="AM395" s="65"/>
      <c r="AN395" s="65" t="str">
        <f>IFERROR(__xludf.DUMMYFUNCTION("""COMPUTED_VALUE"""),"10:05")</f>
        <v>10:05</v>
      </c>
      <c r="AO395" s="65" t="str">
        <f>IFERROR(__xludf.DUMMYFUNCTION("""COMPUTED_VALUE"""),"10-03-2026")</f>
        <v>10-03-2026</v>
      </c>
      <c r="AP395" s="65" t="str">
        <f>IFERROR(__xludf.DUMMYFUNCTION("""COMPUTED_VALUE"""),"ENTREGADA GINTRACOM")</f>
        <v>ENTREGADA GINTRACOM</v>
      </c>
      <c r="AQ395" s="65" t="str">
        <f>IFERROR(__xludf.DUMMYFUNCTION("""COMPUTED_VALUE"""),"ENTREGADA GINTRACOM")</f>
        <v>ENTREGADA GINTRACOM</v>
      </c>
      <c r="AR395" s="65"/>
      <c r="AS395" s="65"/>
      <c r="AT395" s="65" t="str">
        <f>IFERROR(__xludf.DUMMYFUNCTION("""COMPUTED_VALUE"""),"SHOPIFY")</f>
        <v>SHOPIFY</v>
      </c>
      <c r="AU395" s="65" t="str">
        <f>IFERROR(__xludf.DUMMYFUNCTION("""COMPUTED_VALUE"""),"IMPORTEX EC")</f>
        <v>IMPORTEX EC</v>
      </c>
      <c r="AV395" s="65" t="str">
        <f>IFERROR(__xludf.DUMMYFUNCTION("""COMPUTED_VALUE"""),"6549625405484")</f>
        <v>6549625405484</v>
      </c>
      <c r="AW395" s="65">
        <f>IFERROR(__xludf.DUMMYFUNCTION("""COMPUTED_VALUE"""),6471.0)</f>
        <v>6471</v>
      </c>
      <c r="AX395" s="65"/>
      <c r="AY395" s="65" t="str">
        <f>IFERROR(__xludf.DUMMYFUNCTION("""COMPUTED_VALUE"""),"03/03/2026")</f>
        <v>03/03/2026</v>
      </c>
      <c r="AZ395" s="65"/>
      <c r="BA395" s="65"/>
    </row>
    <row r="396">
      <c r="A396" s="65" t="str">
        <f>IFERROR(__xludf.DUMMYFUNCTION("""COMPUTED_VALUE"""),"27-03-2026")</f>
        <v>27-03-2026</v>
      </c>
      <c r="B396" s="65">
        <f>IFERROR(__xludf.DUMMYFUNCTION("""COMPUTED_VALUE"""),4659660.0)</f>
        <v>4659660</v>
      </c>
      <c r="C396" s="65" t="str">
        <f>IFERROR(__xludf.DUMMYFUNCTION("""COMPUTED_VALUE"""),"10:17")</f>
        <v>10:17</v>
      </c>
      <c r="D396" s="65" t="str">
        <f>IFERROR(__xludf.DUMMYFUNCTION("""COMPUTED_VALUE"""),"01-03-2026")</f>
        <v>01-03-2026</v>
      </c>
      <c r="E396" s="65" t="str">
        <f>IFERROR(__xludf.DUMMYFUNCTION("""COMPUTED_VALUE"""),"Alex rojas")</f>
        <v>Alex rojas</v>
      </c>
      <c r="F396" s="65" t="str">
        <f>IFERROR(__xludf.DUMMYFUNCTION("""COMPUTED_VALUE"""),"997470815")</f>
        <v>997470815</v>
      </c>
      <c r="G396" s="65" t="str">
        <f>IFERROR(__xludf.DUMMYFUNCTION("""COMPUTED_VALUE"""),"alexrojasmusicsound@gmail.com")</f>
        <v>alexrojasmusicsound@gmail.com</v>
      </c>
      <c r="H396" s="65"/>
      <c r="I396" s="65"/>
      <c r="J396" s="65"/>
      <c r="K396" s="65" t="str">
        <f>IFERROR(__xludf.DUMMYFUNCTION("""COMPUTED_VALUE"""),"PENDIENTE CONFIRMACION")</f>
        <v>PENDIENTE CONFIRMACION</v>
      </c>
      <c r="L396" s="65" t="str">
        <f>IFERROR(__xludf.DUMMYFUNCTION("""COMPUTED_VALUE"""),"CON RECAUDO")</f>
        <v>CON RECAUDO</v>
      </c>
      <c r="M396" s="65" t="str">
        <f>IFERROR(__xludf.DUMMYFUNCTION("""COMPUTED_VALUE"""),"LOJA")</f>
        <v>LOJA</v>
      </c>
      <c r="N396" s="65" t="str">
        <f>IFERROR(__xludf.DUMMYFUNCTION("""COMPUTED_VALUE"""),"CATAMAYO")</f>
        <v>CATAMAYO</v>
      </c>
      <c r="O396" s="65" t="str">
        <f>IFERROR(__xludf.DUMMYFUNCTION("""COMPUTED_VALUE"""),"Catamayo San Vicente -")</f>
        <v>Catamayo San Vicente -</v>
      </c>
      <c r="P396" s="65"/>
      <c r="Q396" s="65" t="str">
        <f>IFERROR(__xludf.DUMMYFUNCTION("""COMPUTED_VALUE"""),"LAARCOURIER")</f>
        <v>LAARCOURIER</v>
      </c>
      <c r="R396" s="65">
        <f>IFERROR(__xludf.DUMMYFUNCTION("""COMPUTED_VALUE"""),24.2)</f>
        <v>24.2</v>
      </c>
      <c r="S396" s="65"/>
      <c r="T396" s="65">
        <f>IFERROR(__xludf.DUMMYFUNCTION("""COMPUTED_VALUE"""),7.14)</f>
        <v>7.14</v>
      </c>
      <c r="U396" s="65">
        <f>IFERROR(__xludf.DUMMYFUNCTION("""COMPUTED_VALUE"""),0.0)</f>
        <v>0</v>
      </c>
      <c r="V396" s="65">
        <f>IFERROR(__xludf.DUMMYFUNCTION("""COMPUTED_VALUE"""),0.0)</f>
        <v>0</v>
      </c>
      <c r="W396" s="65">
        <f>IFERROR(__xludf.DUMMYFUNCTION("""COMPUTED_VALUE"""),0.0)</f>
        <v>0</v>
      </c>
      <c r="X396" s="65">
        <f>IFERROR(__xludf.DUMMYFUNCTION("""COMPUTED_VALUE"""),5.0)</f>
        <v>5</v>
      </c>
      <c r="Y396" s="65">
        <f>IFERROR(__xludf.DUMMYFUNCTION("""COMPUTED_VALUE"""),10.0)</f>
        <v>10</v>
      </c>
      <c r="Z396" s="65">
        <f>IFERROR(__xludf.DUMMYFUNCTION("""COMPUTED_VALUE"""),130492.0)</f>
        <v>130492</v>
      </c>
      <c r="AA396" s="65" t="str">
        <f>IFERROR(__xludf.DUMMYFUNCTION("""COMPUTED_VALUE"""),"IMX-00006")</f>
        <v>IMX-00006</v>
      </c>
      <c r="AB396" s="65"/>
      <c r="AC396" s="65" t="str">
        <f>IFERROR(__xludf.DUMMYFUNCTION("""COMPUTED_VALUE"""),"Receptor Bluetooth")</f>
        <v>Receptor Bluetooth</v>
      </c>
      <c r="AD396" s="65"/>
      <c r="AE396" s="65">
        <f>IFERROR(__xludf.DUMMYFUNCTION("""COMPUTED_VALUE"""),2.0)</f>
        <v>2</v>
      </c>
      <c r="AF396" s="65"/>
      <c r="AG396" s="65"/>
      <c r="AH396" s="65"/>
      <c r="AI396" s="65"/>
      <c r="AJ396" s="65"/>
      <c r="AK396" s="65"/>
      <c r="AL396" s="65"/>
      <c r="AM396" s="65"/>
      <c r="AN396" s="65"/>
      <c r="AO396" s="65"/>
      <c r="AP396" s="65"/>
      <c r="AQ396" s="65"/>
      <c r="AR396" s="65"/>
      <c r="AS396" s="65"/>
      <c r="AT396" s="65" t="str">
        <f>IFERROR(__xludf.DUMMYFUNCTION("""COMPUTED_VALUE"""),"SHOPIFY")</f>
        <v>SHOPIFY</v>
      </c>
      <c r="AU396" s="65" t="str">
        <f>IFERROR(__xludf.DUMMYFUNCTION("""COMPUTED_VALUE"""),"IMPORTEX EC")</f>
        <v>IMPORTEX EC</v>
      </c>
      <c r="AV396" s="65" t="str">
        <f>IFERROR(__xludf.DUMMYFUNCTION("""COMPUTED_VALUE"""),"6549561311276")</f>
        <v>6549561311276</v>
      </c>
      <c r="AW396" s="65">
        <f>IFERROR(__xludf.DUMMYFUNCTION("""COMPUTED_VALUE"""),6470.0)</f>
        <v>6470</v>
      </c>
      <c r="AX396" s="65"/>
      <c r="AY396" s="65"/>
      <c r="AZ396" s="65"/>
      <c r="BA396" s="65"/>
    </row>
    <row r="397">
      <c r="A397" s="65" t="str">
        <f>IFERROR(__xludf.DUMMYFUNCTION("""COMPUTED_VALUE"""),"27-03-2026")</f>
        <v>27-03-2026</v>
      </c>
      <c r="B397" s="65">
        <f>IFERROR(__xludf.DUMMYFUNCTION("""COMPUTED_VALUE"""),4659510.0)</f>
        <v>4659510</v>
      </c>
      <c r="C397" s="65" t="str">
        <f>IFERROR(__xludf.DUMMYFUNCTION("""COMPUTED_VALUE"""),"09:59")</f>
        <v>09:59</v>
      </c>
      <c r="D397" s="65" t="str">
        <f>IFERROR(__xludf.DUMMYFUNCTION("""COMPUTED_VALUE"""),"01-03-2026")</f>
        <v>01-03-2026</v>
      </c>
      <c r="E397" s="65" t="str">
        <f>IFERROR(__xludf.DUMMYFUNCTION("""COMPUTED_VALUE"""),"Cinthya Ramirez")</f>
        <v>Cinthya Ramirez</v>
      </c>
      <c r="F397" s="65" t="str">
        <f>IFERROR(__xludf.DUMMYFUNCTION("""COMPUTED_VALUE"""),"963363405")</f>
        <v>963363405</v>
      </c>
      <c r="G397" s="65" t="str">
        <f>IFERROR(__xludf.DUMMYFUNCTION("""COMPUTED_VALUE"""),"cintyaramirez031@gmail.com")</f>
        <v>cintyaramirez031@gmail.com</v>
      </c>
      <c r="H397" s="65"/>
      <c r="I397" s="65"/>
      <c r="J397" s="65" t="str">
        <f>IFERROR(__xludf.DUMMYFUNCTION("""COMPUTED_VALUE"""),"D001376712")</f>
        <v>D001376712</v>
      </c>
      <c r="K397" s="65" t="str">
        <f>IFERROR(__xludf.DUMMYFUNCTION("""COMPUTED_VALUE"""),"ENTREGADO")</f>
        <v>ENTREGADO</v>
      </c>
      <c r="L397" s="65" t="str">
        <f>IFERROR(__xludf.DUMMYFUNCTION("""COMPUTED_VALUE"""),"CON RECAUDO")</f>
        <v>CON RECAUDO</v>
      </c>
      <c r="M397" s="65" t="str">
        <f>IFERROR(__xludf.DUMMYFUNCTION("""COMPUTED_VALUE"""),"EL ORO")</f>
        <v>EL ORO</v>
      </c>
      <c r="N397" s="65" t="str">
        <f>IFERROR(__xludf.DUMMYFUNCTION("""COMPUTED_VALUE"""),"MACHALA")</f>
        <v>MACHALA</v>
      </c>
      <c r="O397" s="65" t="str">
        <f>IFERROR(__xludf.DUMMYFUNCTION("""COMPUTED_VALUE"""),"10 de agosto y kleber franco esq Restaurante a fuego lento al frente de lleve. Lleve -")</f>
        <v>10 de agosto y kleber franco esq Restaurante a fuego lento al frente de lleve. Lleve -</v>
      </c>
      <c r="P397" s="65"/>
      <c r="Q397" s="65" t="str">
        <f>IFERROR(__xludf.DUMMYFUNCTION("""COMPUTED_VALUE"""),"GINTRACOM")</f>
        <v>GINTRACOM</v>
      </c>
      <c r="R397" s="65">
        <f>IFERROR(__xludf.DUMMYFUNCTION("""COMPUTED_VALUE"""),22.0)</f>
        <v>22</v>
      </c>
      <c r="S397" s="65">
        <f>IFERROR(__xludf.DUMMYFUNCTION("""COMPUTED_VALUE"""),8.66)</f>
        <v>8.66</v>
      </c>
      <c r="T397" s="65">
        <f>IFERROR(__xludf.DUMMYFUNCTION("""COMPUTED_VALUE"""),5.84)</f>
        <v>5.84</v>
      </c>
      <c r="U397" s="65">
        <f>IFERROR(__xludf.DUMMYFUNCTION("""COMPUTED_VALUE"""),0.0)</f>
        <v>0</v>
      </c>
      <c r="V397" s="65">
        <f>IFERROR(__xludf.DUMMYFUNCTION("""COMPUTED_VALUE"""),0.0)</f>
        <v>0</v>
      </c>
      <c r="W397" s="65">
        <f>IFERROR(__xludf.DUMMYFUNCTION("""COMPUTED_VALUE"""),0.0)</f>
        <v>0</v>
      </c>
      <c r="X397" s="65">
        <f>IFERROR(__xludf.DUMMYFUNCTION("""COMPUTED_VALUE"""),3.75)</f>
        <v>3.75</v>
      </c>
      <c r="Y397" s="65">
        <f>IFERROR(__xludf.DUMMYFUNCTION("""COMPUTED_VALUE"""),7.5)</f>
        <v>7.5</v>
      </c>
      <c r="Z397" s="65">
        <f>IFERROR(__xludf.DUMMYFUNCTION("""COMPUTED_VALUE"""),113116.0)</f>
        <v>113116</v>
      </c>
      <c r="AA397" s="65" t="str">
        <f>IFERROR(__xludf.DUMMYFUNCTION("""COMPUTED_VALUE"""),"IM-TAZAKI")</f>
        <v>IM-TAZAKI</v>
      </c>
      <c r="AB397" s="65"/>
      <c r="AC397" s="65" t="str">
        <f>IFERROR(__xludf.DUMMYFUNCTION("""COMPUTED_VALUE"""),"Cuchillo tazaki")</f>
        <v>Cuchillo tazaki</v>
      </c>
      <c r="AD397" s="65"/>
      <c r="AE397" s="65">
        <f>IFERROR(__xludf.DUMMYFUNCTION("""COMPUTED_VALUE"""),2.0)</f>
        <v>2</v>
      </c>
      <c r="AF397" s="65"/>
      <c r="AG397" s="65"/>
      <c r="AH397" s="65"/>
      <c r="AI397" s="65"/>
      <c r="AJ397" s="65"/>
      <c r="AK397" s="65"/>
      <c r="AL397" s="65"/>
      <c r="AM397" s="65"/>
      <c r="AN397" s="65" t="str">
        <f>IFERROR(__xludf.DUMMYFUNCTION("""COMPUTED_VALUE"""),"11:39")</f>
        <v>11:39</v>
      </c>
      <c r="AO397" s="65" t="str">
        <f>IFERROR(__xludf.DUMMYFUNCTION("""COMPUTED_VALUE"""),"05-03-2026")</f>
        <v>05-03-2026</v>
      </c>
      <c r="AP397" s="65" t="str">
        <f>IFERROR(__xludf.DUMMYFUNCTION("""COMPUTED_VALUE"""),"ENTREGADA GINTRACOM")</f>
        <v>ENTREGADA GINTRACOM</v>
      </c>
      <c r="AQ397" s="65" t="str">
        <f>IFERROR(__xludf.DUMMYFUNCTION("""COMPUTED_VALUE"""),"ENTREGADA GINTRACOM")</f>
        <v>ENTREGADA GINTRACOM</v>
      </c>
      <c r="AR397" s="65"/>
      <c r="AS397" s="65"/>
      <c r="AT397" s="65" t="str">
        <f>IFERROR(__xludf.DUMMYFUNCTION("""COMPUTED_VALUE"""),"SHOPIFY")</f>
        <v>SHOPIFY</v>
      </c>
      <c r="AU397" s="65" t="str">
        <f>IFERROR(__xludf.DUMMYFUNCTION("""COMPUTED_VALUE"""),"IMPORTEX EC")</f>
        <v>IMPORTEX EC</v>
      </c>
      <c r="AV397" s="65" t="str">
        <f>IFERROR(__xludf.DUMMYFUNCTION("""COMPUTED_VALUE"""),"6549534801964")</f>
        <v>6549534801964</v>
      </c>
      <c r="AW397" s="65">
        <f>IFERROR(__xludf.DUMMYFUNCTION("""COMPUTED_VALUE"""),6469.0)</f>
        <v>6469</v>
      </c>
      <c r="AX397" s="65"/>
      <c r="AY397" s="65" t="str">
        <f>IFERROR(__xludf.DUMMYFUNCTION("""COMPUTED_VALUE"""),"03/03/2026")</f>
        <v>03/03/2026</v>
      </c>
      <c r="AZ397" s="65"/>
      <c r="BA397" s="65"/>
    </row>
    <row r="398">
      <c r="A398" s="65" t="str">
        <f>IFERROR(__xludf.DUMMYFUNCTION("""COMPUTED_VALUE"""),"27-03-2026")</f>
        <v>27-03-2026</v>
      </c>
      <c r="B398" s="65">
        <f>IFERROR(__xludf.DUMMYFUNCTION("""COMPUTED_VALUE"""),4659313.0)</f>
        <v>4659313</v>
      </c>
      <c r="C398" s="65" t="str">
        <f>IFERROR(__xludf.DUMMYFUNCTION("""COMPUTED_VALUE"""),"09:35")</f>
        <v>09:35</v>
      </c>
      <c r="D398" s="65" t="str">
        <f>IFERROR(__xludf.DUMMYFUNCTION("""COMPUTED_VALUE"""),"01-03-2026")</f>
        <v>01-03-2026</v>
      </c>
      <c r="E398" s="65" t="str">
        <f>IFERROR(__xludf.DUMMYFUNCTION("""COMPUTED_VALUE"""),"Danny Peas Casa blanca")</f>
        <v>Danny Peas Casa blanca</v>
      </c>
      <c r="F398" s="65" t="str">
        <f>IFERROR(__xludf.DUMMYFUNCTION("""COMPUTED_VALUE"""),"961702203")</f>
        <v>961702203</v>
      </c>
      <c r="G398" s="65" t="str">
        <f>IFERROR(__xludf.DUMMYFUNCTION("""COMPUTED_VALUE"""),"dannypinto0703@gmail.con")</f>
        <v>dannypinto0703@gmail.con</v>
      </c>
      <c r="H398" s="65"/>
      <c r="I398" s="65"/>
      <c r="J398" s="65" t="str">
        <f>IFERROR(__xludf.DUMMYFUNCTION("""COMPUTED_VALUE"""),"D001376713")</f>
        <v>D001376713</v>
      </c>
      <c r="K398" s="65" t="str">
        <f>IFERROR(__xludf.DUMMYFUNCTION("""COMPUTED_VALUE"""),"DEVOLUCION")</f>
        <v>DEVOLUCION</v>
      </c>
      <c r="L398" s="65" t="str">
        <f>IFERROR(__xludf.DUMMYFUNCTION("""COMPUTED_VALUE"""),"CON RECAUDO")</f>
        <v>CON RECAUDO</v>
      </c>
      <c r="M398" s="65" t="str">
        <f>IFERROR(__xludf.DUMMYFUNCTION("""COMPUTED_VALUE"""),"ZAMORA CHINCHIPE")</f>
        <v>ZAMORA CHINCHIPE</v>
      </c>
      <c r="N398" s="65" t="str">
        <f>IFERROR(__xludf.DUMMYFUNCTION("""COMPUTED_VALUE"""),"ZAMORA")</f>
        <v>ZAMORA</v>
      </c>
      <c r="O398" s="65" t="str">
        <f>IFERROR(__xludf.DUMMYFUNCTION("""COMPUTED_VALUE"""),"Av. Del Ejercito y Padre Juan Gonzalez , REFERENCIA : freente a las canchas Benjamin carrion - Casa de tres pisos color blanco ,  Vía yanzatza Cumbaratza -")</f>
        <v>Av. Del Ejercito y Padre Juan Gonzalez , REFERENCIA : freente a las canchas Benjamin carrion - Casa de tres pisos color blanco ,  Vía yanzatza Cumbaratza -</v>
      </c>
      <c r="P398" s="65"/>
      <c r="Q398" s="65" t="str">
        <f>IFERROR(__xludf.DUMMYFUNCTION("""COMPUTED_VALUE"""),"GINTRACOM")</f>
        <v>GINTRACOM</v>
      </c>
      <c r="R398" s="65">
        <f>IFERROR(__xludf.DUMMYFUNCTION("""COMPUTED_VALUE"""),22.0)</f>
        <v>22</v>
      </c>
      <c r="S398" s="65"/>
      <c r="T398" s="65">
        <f>IFERROR(__xludf.DUMMYFUNCTION("""COMPUTED_VALUE"""),5.84)</f>
        <v>5.84</v>
      </c>
      <c r="U398" s="65">
        <f>IFERROR(__xludf.DUMMYFUNCTION("""COMPUTED_VALUE"""),0.0)</f>
        <v>0</v>
      </c>
      <c r="V398" s="65">
        <f>IFERROR(__xludf.DUMMYFUNCTION("""COMPUTED_VALUE"""),0.0)</f>
        <v>0</v>
      </c>
      <c r="W398" s="65">
        <f>IFERROR(__xludf.DUMMYFUNCTION("""COMPUTED_VALUE"""),0.0)</f>
        <v>0</v>
      </c>
      <c r="X398" s="65">
        <f>IFERROR(__xludf.DUMMYFUNCTION("""COMPUTED_VALUE"""),3.75)</f>
        <v>3.75</v>
      </c>
      <c r="Y398" s="65">
        <f>IFERROR(__xludf.DUMMYFUNCTION("""COMPUTED_VALUE"""),7.5)</f>
        <v>7.5</v>
      </c>
      <c r="Z398" s="65">
        <f>IFERROR(__xludf.DUMMYFUNCTION("""COMPUTED_VALUE"""),113116.0)</f>
        <v>113116</v>
      </c>
      <c r="AA398" s="65" t="str">
        <f>IFERROR(__xludf.DUMMYFUNCTION("""COMPUTED_VALUE"""),"IM-TAZAKI")</f>
        <v>IM-TAZAKI</v>
      </c>
      <c r="AB398" s="65"/>
      <c r="AC398" s="65" t="str">
        <f>IFERROR(__xludf.DUMMYFUNCTION("""COMPUTED_VALUE"""),"Cuchillo tazaki")</f>
        <v>Cuchillo tazaki</v>
      </c>
      <c r="AD398" s="65"/>
      <c r="AE398" s="65">
        <f>IFERROR(__xludf.DUMMYFUNCTION("""COMPUTED_VALUE"""),2.0)</f>
        <v>2</v>
      </c>
      <c r="AF398" s="65" t="str">
        <f>IFERROR(__xludf.DUMMYFUNCTION("""COMPUTED_VALUE"""),"DESTINATARIO NO CONTESTA LLAMADAS NI WHATSAPP")</f>
        <v>DESTINATARIO NO CONTESTA LLAMADAS NI WHATSAPP</v>
      </c>
      <c r="AG398" s="65" t="str">
        <f>IFERROR(__xludf.DUMMYFUNCTION("""COMPUTED_VALUE"""),"NO")</f>
        <v>NO</v>
      </c>
      <c r="AH398" s="65" t="str">
        <f>IFERROR(__xludf.DUMMYFUNCTION("""COMPUTED_VALUE"""),"17:19")</f>
        <v>17:19</v>
      </c>
      <c r="AI398" s="65" t="str">
        <f>IFERROR(__xludf.DUMMYFUNCTION("""COMPUTED_VALUE"""),"13-03-2026")</f>
        <v>13-03-2026</v>
      </c>
      <c r="AJ398" s="65"/>
      <c r="AK398" s="65"/>
      <c r="AL398" s="65"/>
      <c r="AM398" s="65"/>
      <c r="AN398" s="65" t="str">
        <f>IFERROR(__xludf.DUMMYFUNCTION("""COMPUTED_VALUE"""),"13:09")</f>
        <v>13:09</v>
      </c>
      <c r="AO398" s="65" t="str">
        <f>IFERROR(__xludf.DUMMYFUNCTION("""COMPUTED_VALUE"""),"26-03-2026")</f>
        <v>26-03-2026</v>
      </c>
      <c r="AP398" s="65" t="str">
        <f>IFERROR(__xludf.DUMMYFUNCTION("""COMPUTED_VALUE"""),"DEVOLUCIÓN ENTREGADA A ORIGEN")</f>
        <v>DEVOLUCIÓN ENTREGADA A ORIGEN</v>
      </c>
      <c r="AQ398" s="65" t="str">
        <f>IFERROR(__xludf.DUMMYFUNCTION("""COMPUTED_VALUE"""),"DEVOLUCIÓN ENTREGADA A ORIGEN")</f>
        <v>DEVOLUCIÓN ENTREGADA A ORIGEN</v>
      </c>
      <c r="AR398" s="65"/>
      <c r="AS398" s="65"/>
      <c r="AT398" s="65" t="str">
        <f>IFERROR(__xludf.DUMMYFUNCTION("""COMPUTED_VALUE"""),"SHOPIFY")</f>
        <v>SHOPIFY</v>
      </c>
      <c r="AU398" s="65" t="str">
        <f>IFERROR(__xludf.DUMMYFUNCTION("""COMPUTED_VALUE"""),"IMPORTEX EC")</f>
        <v>IMPORTEX EC</v>
      </c>
      <c r="AV398" s="65" t="str">
        <f>IFERROR(__xludf.DUMMYFUNCTION("""COMPUTED_VALUE"""),"6549490663468")</f>
        <v>6549490663468</v>
      </c>
      <c r="AW398" s="65">
        <f>IFERROR(__xludf.DUMMYFUNCTION("""COMPUTED_VALUE"""),6468.0)</f>
        <v>6468</v>
      </c>
      <c r="AX398" s="65"/>
      <c r="AY398" s="65" t="str">
        <f>IFERROR(__xludf.DUMMYFUNCTION("""COMPUTED_VALUE"""),"03/03/2026")</f>
        <v>03/03/2026</v>
      </c>
      <c r="AZ398" s="65"/>
      <c r="BA398" s="65"/>
    </row>
    <row r="399">
      <c r="A399" s="65" t="str">
        <f>IFERROR(__xludf.DUMMYFUNCTION("""COMPUTED_VALUE"""),"27-03-2026")</f>
        <v>27-03-2026</v>
      </c>
      <c r="B399" s="65">
        <f>IFERROR(__xludf.DUMMYFUNCTION("""COMPUTED_VALUE"""),4659259.0)</f>
        <v>4659259</v>
      </c>
      <c r="C399" s="65" t="str">
        <f>IFERROR(__xludf.DUMMYFUNCTION("""COMPUTED_VALUE"""),"09:26")</f>
        <v>09:26</v>
      </c>
      <c r="D399" s="65" t="str">
        <f>IFERROR(__xludf.DUMMYFUNCTION("""COMPUTED_VALUE"""),"01-03-2026")</f>
        <v>01-03-2026</v>
      </c>
      <c r="E399" s="65" t="str">
        <f>IFERROR(__xludf.DUMMYFUNCTION("""COMPUTED_VALUE"""),"Fabrizio Infante")</f>
        <v>Fabrizio Infante</v>
      </c>
      <c r="F399" s="65" t="str">
        <f>IFERROR(__xludf.DUMMYFUNCTION("""COMPUTED_VALUE"""),"981290724")</f>
        <v>981290724</v>
      </c>
      <c r="G399" s="65" t="str">
        <f>IFERROR(__xludf.DUMMYFUNCTION("""COMPUTED_VALUE"""),"xavierjumbo@hotmail.com")</f>
        <v>xavierjumbo@hotmail.com</v>
      </c>
      <c r="H399" s="65"/>
      <c r="I399" s="65"/>
      <c r="J399" s="65" t="str">
        <f>IFERROR(__xludf.DUMMYFUNCTION("""COMPUTED_VALUE"""),"D001377933")</f>
        <v>D001377933</v>
      </c>
      <c r="K399" s="65" t="str">
        <f>IFERROR(__xludf.DUMMYFUNCTION("""COMPUTED_VALUE"""),"ENTREGADO")</f>
        <v>ENTREGADO</v>
      </c>
      <c r="L399" s="65" t="str">
        <f>IFERROR(__xludf.DUMMYFUNCTION("""COMPUTED_VALUE"""),"CON RECAUDO")</f>
        <v>CON RECAUDO</v>
      </c>
      <c r="M399" s="65" t="str">
        <f>IFERROR(__xludf.DUMMYFUNCTION("""COMPUTED_VALUE"""),"EL ORO")</f>
        <v>EL ORO</v>
      </c>
      <c r="N399" s="65" t="str">
        <f>IFERROR(__xludf.DUMMYFUNCTION("""COMPUTED_VALUE"""),"MACHALA")</f>
        <v>MACHALA</v>
      </c>
      <c r="O399" s="65" t="str">
        <f>IFERROR(__xludf.DUMMYFUNCTION("""COMPUTED_VALUE"""),"Urbanización Miracielo - Circunvalación norte y puente san estuardo -Manzana 4 villa 9 - Diagonal al polideportivo")</f>
        <v>Urbanización Miracielo - Circunvalación norte y puente san estuardo -Manzana 4 villa 9 - Diagonal al polideportivo</v>
      </c>
      <c r="P399" s="65"/>
      <c r="Q399" s="65" t="str">
        <f>IFERROR(__xludf.DUMMYFUNCTION("""COMPUTED_VALUE"""),"GINTRACOM")</f>
        <v>GINTRACOM</v>
      </c>
      <c r="R399" s="65">
        <f>IFERROR(__xludf.DUMMYFUNCTION("""COMPUTED_VALUE"""),25.0)</f>
        <v>25</v>
      </c>
      <c r="S399" s="65">
        <f>IFERROR(__xludf.DUMMYFUNCTION("""COMPUTED_VALUE"""),14.34)</f>
        <v>14.34</v>
      </c>
      <c r="T399" s="65">
        <f>IFERROR(__xludf.DUMMYFUNCTION("""COMPUTED_VALUE"""),5.96)</f>
        <v>5.96</v>
      </c>
      <c r="U399" s="65">
        <f>IFERROR(__xludf.DUMMYFUNCTION("""COMPUTED_VALUE"""),0.0)</f>
        <v>0</v>
      </c>
      <c r="V399" s="65">
        <f>IFERROR(__xludf.DUMMYFUNCTION("""COMPUTED_VALUE"""),0.0)</f>
        <v>0</v>
      </c>
      <c r="W399" s="65">
        <f>IFERROR(__xludf.DUMMYFUNCTION("""COMPUTED_VALUE"""),0.0)</f>
        <v>0</v>
      </c>
      <c r="X399" s="65">
        <f>IFERROR(__xludf.DUMMYFUNCTION("""COMPUTED_VALUE"""),2.35)</f>
        <v>2.35</v>
      </c>
      <c r="Y399" s="65">
        <f>IFERROR(__xludf.DUMMYFUNCTION("""COMPUTED_VALUE"""),4.7)</f>
        <v>4.7</v>
      </c>
      <c r="Z399" s="65">
        <f>IFERROR(__xludf.DUMMYFUNCTION("""COMPUTED_VALUE"""),116679.0)</f>
        <v>116679</v>
      </c>
      <c r="AA399" s="65" t="str">
        <f>IFERROR(__xludf.DUMMYFUNCTION("""COMPUTED_VALUE"""),"AMC-2738")</f>
        <v>AMC-2738</v>
      </c>
      <c r="AB399" s="65"/>
      <c r="AC399" s="65" t="str">
        <f>IFERROR(__xludf.DUMMYFUNCTION("""COMPUTED_VALUE"""),"ESPONJA ANTILLUVIA DE PARABRISAS")</f>
        <v>ESPONJA ANTILLUVIA DE PARABRISAS</v>
      </c>
      <c r="AD399" s="65"/>
      <c r="AE399" s="65">
        <f>IFERROR(__xludf.DUMMYFUNCTION("""COMPUTED_VALUE"""),2.0)</f>
        <v>2</v>
      </c>
      <c r="AF399" s="65"/>
      <c r="AG399" s="65"/>
      <c r="AH399" s="65"/>
      <c r="AI399" s="65"/>
      <c r="AJ399" s="65"/>
      <c r="AK399" s="65"/>
      <c r="AL399" s="65"/>
      <c r="AM399" s="65"/>
      <c r="AN399" s="65" t="str">
        <f>IFERROR(__xludf.DUMMYFUNCTION("""COMPUTED_VALUE"""),"13:06")</f>
        <v>13:06</v>
      </c>
      <c r="AO399" s="65" t="str">
        <f>IFERROR(__xludf.DUMMYFUNCTION("""COMPUTED_VALUE"""),"06-03-2026")</f>
        <v>06-03-2026</v>
      </c>
      <c r="AP399" s="65" t="str">
        <f>IFERROR(__xludf.DUMMYFUNCTION("""COMPUTED_VALUE"""),"ENTREGADA GINTRACOM")</f>
        <v>ENTREGADA GINTRACOM</v>
      </c>
      <c r="AQ399" s="65" t="str">
        <f>IFERROR(__xludf.DUMMYFUNCTION("""COMPUTED_VALUE"""),"ENTREGADA GINTRACOM")</f>
        <v>ENTREGADA GINTRACOM</v>
      </c>
      <c r="AR399" s="65"/>
      <c r="AS399" s="65"/>
      <c r="AT399" s="65" t="str">
        <f>IFERROR(__xludf.DUMMYFUNCTION("""COMPUTED_VALUE"""),"SHOPIFY")</f>
        <v>SHOPIFY</v>
      </c>
      <c r="AU399" s="65" t="str">
        <f>IFERROR(__xludf.DUMMYFUNCTION("""COMPUTED_VALUE"""),"IMPORTEX EC")</f>
        <v>IMPORTEX EC</v>
      </c>
      <c r="AV399" s="65" t="str">
        <f>IFERROR(__xludf.DUMMYFUNCTION("""COMPUTED_VALUE"""),"6549478015020")</f>
        <v>6549478015020</v>
      </c>
      <c r="AW399" s="65">
        <f>IFERROR(__xludf.DUMMYFUNCTION("""COMPUTED_VALUE"""),6467.0)</f>
        <v>6467</v>
      </c>
      <c r="AX399" s="65"/>
      <c r="AY399" s="65" t="str">
        <f>IFERROR(__xludf.DUMMYFUNCTION("""COMPUTED_VALUE"""),"03/03/2026")</f>
        <v>03/03/2026</v>
      </c>
      <c r="AZ399" s="65"/>
      <c r="BA399" s="65"/>
    </row>
    <row r="400">
      <c r="A400" s="65" t="str">
        <f>IFERROR(__xludf.DUMMYFUNCTION("""COMPUTED_VALUE"""),"27-03-2026")</f>
        <v>27-03-2026</v>
      </c>
      <c r="B400" s="65">
        <f>IFERROR(__xludf.DUMMYFUNCTION("""COMPUTED_VALUE"""),4659166.0)</f>
        <v>4659166</v>
      </c>
      <c r="C400" s="65" t="str">
        <f>IFERROR(__xludf.DUMMYFUNCTION("""COMPUTED_VALUE"""),"09:13")</f>
        <v>09:13</v>
      </c>
      <c r="D400" s="65" t="str">
        <f>IFERROR(__xludf.DUMMYFUNCTION("""COMPUTED_VALUE"""),"01-03-2026")</f>
        <v>01-03-2026</v>
      </c>
      <c r="E400" s="65" t="str">
        <f>IFERROR(__xludf.DUMMYFUNCTION("""COMPUTED_VALUE"""),"Alberto yacelga Yacelga lechon")</f>
        <v>Alberto yacelga Yacelga lechon</v>
      </c>
      <c r="F400" s="65" t="str">
        <f>IFERROR(__xludf.DUMMYFUNCTION("""COMPUTED_VALUE"""),"993558711")</f>
        <v>993558711</v>
      </c>
      <c r="G400" s="65" t="str">
        <f>IFERROR(__xludf.DUMMYFUNCTION("""COMPUTED_VALUE"""),"alberto111yacelga@gmail.com")</f>
        <v>alberto111yacelga@gmail.com</v>
      </c>
      <c r="H400" s="65"/>
      <c r="I400" s="65"/>
      <c r="J400" s="65" t="str">
        <f>IFERROR(__xludf.DUMMYFUNCTION("""COMPUTED_VALUE"""),"LC53003230")</f>
        <v>LC53003230</v>
      </c>
      <c r="K400" s="65" t="str">
        <f>IFERROR(__xludf.DUMMYFUNCTION("""COMPUTED_VALUE"""),"DEVOLUCION")</f>
        <v>DEVOLUCION</v>
      </c>
      <c r="L400" s="65" t="str">
        <f>IFERROR(__xludf.DUMMYFUNCTION("""COMPUTED_VALUE"""),"CON RECAUDO")</f>
        <v>CON RECAUDO</v>
      </c>
      <c r="M400" s="65" t="str">
        <f>IFERROR(__xludf.DUMMYFUNCTION("""COMPUTED_VALUE"""),"IMBABURA")</f>
        <v>IMBABURA</v>
      </c>
      <c r="N400" s="65" t="str">
        <f>IFERROR(__xludf.DUMMYFUNCTION("""COMPUTED_VALUE"""),"PIMAMPIRO")</f>
        <v>PIMAMPIRO</v>
      </c>
      <c r="O400" s="65" t="str">
        <f>IFERROR(__xludf.DUMMYFUNCTION("""COMPUTED_VALUE"""),"Ventana grande Y rio Córdoba -")</f>
        <v>Ventana grande Y rio Córdoba -</v>
      </c>
      <c r="P400" s="65"/>
      <c r="Q400" s="65" t="str">
        <f>IFERROR(__xludf.DUMMYFUNCTION("""COMPUTED_VALUE"""),"LAARCOURIER")</f>
        <v>LAARCOURIER</v>
      </c>
      <c r="R400" s="65">
        <f>IFERROR(__xludf.DUMMYFUNCTION("""COMPUTED_VALUE"""),25.0)</f>
        <v>25</v>
      </c>
      <c r="S400" s="65"/>
      <c r="T400" s="65">
        <f>IFERROR(__xludf.DUMMYFUNCTION("""COMPUTED_VALUE"""),7.19)</f>
        <v>7.19</v>
      </c>
      <c r="U400" s="65">
        <f>IFERROR(__xludf.DUMMYFUNCTION("""COMPUTED_VALUE"""),0.0)</f>
        <v>0</v>
      </c>
      <c r="V400" s="65">
        <f>IFERROR(__xludf.DUMMYFUNCTION("""COMPUTED_VALUE"""),0.0)</f>
        <v>0</v>
      </c>
      <c r="W400" s="65">
        <f>IFERROR(__xludf.DUMMYFUNCTION("""COMPUTED_VALUE"""),0.0)</f>
        <v>0</v>
      </c>
      <c r="X400" s="65">
        <f>IFERROR(__xludf.DUMMYFUNCTION("""COMPUTED_VALUE"""),2.35)</f>
        <v>2.35</v>
      </c>
      <c r="Y400" s="65">
        <f>IFERROR(__xludf.DUMMYFUNCTION("""COMPUTED_VALUE"""),4.7)</f>
        <v>4.7</v>
      </c>
      <c r="Z400" s="65">
        <f>IFERROR(__xludf.DUMMYFUNCTION("""COMPUTED_VALUE"""),116679.0)</f>
        <v>116679</v>
      </c>
      <c r="AA400" s="65" t="str">
        <f>IFERROR(__xludf.DUMMYFUNCTION("""COMPUTED_VALUE"""),"AMC-2738")</f>
        <v>AMC-2738</v>
      </c>
      <c r="AB400" s="65"/>
      <c r="AC400" s="65" t="str">
        <f>IFERROR(__xludf.DUMMYFUNCTION("""COMPUTED_VALUE"""),"ESPONJA ANTILLUVIA DE PARABRISAS")</f>
        <v>ESPONJA ANTILLUVIA DE PARABRISAS</v>
      </c>
      <c r="AD400" s="65"/>
      <c r="AE400" s="65">
        <f>IFERROR(__xludf.DUMMYFUNCTION("""COMPUTED_VALUE"""),2.0)</f>
        <v>2</v>
      </c>
      <c r="AF400" s="65"/>
      <c r="AG400" s="65"/>
      <c r="AH400" s="65"/>
      <c r="AI400" s="65"/>
      <c r="AJ400" s="65"/>
      <c r="AK400" s="65"/>
      <c r="AL400" s="65"/>
      <c r="AM400" s="65"/>
      <c r="AN400" s="65" t="str">
        <f>IFERROR(__xludf.DUMMYFUNCTION("""COMPUTED_VALUE"""),"14:29")</f>
        <v>14:29</v>
      </c>
      <c r="AO400" s="65" t="str">
        <f>IFERROR(__xludf.DUMMYFUNCTION("""COMPUTED_VALUE"""),"18-03-2026")</f>
        <v>18-03-2026</v>
      </c>
      <c r="AP400" s="65" t="str">
        <f>IFERROR(__xludf.DUMMYFUNCTION("""COMPUTED_VALUE"""),"DEVOLUCIÓN / ENTREGA")</f>
        <v>DEVOLUCIÓN / ENTREGA</v>
      </c>
      <c r="AQ400" s="65" t="str">
        <f>IFERROR(__xludf.DUMMYFUNCTION("""COMPUTED_VALUE"""),"DEVOLUCIÓN / ENTREGA")</f>
        <v>DEVOLUCIÓN / ENTREGA</v>
      </c>
      <c r="AR400" s="65"/>
      <c r="AS400" s="65"/>
      <c r="AT400" s="65" t="str">
        <f>IFERROR(__xludf.DUMMYFUNCTION("""COMPUTED_VALUE"""),"SHOPIFY")</f>
        <v>SHOPIFY</v>
      </c>
      <c r="AU400" s="65" t="str">
        <f>IFERROR(__xludf.DUMMYFUNCTION("""COMPUTED_VALUE"""),"IMPORTEX EC")</f>
        <v>IMPORTEX EC</v>
      </c>
      <c r="AV400" s="65" t="str">
        <f>IFERROR(__xludf.DUMMYFUNCTION("""COMPUTED_VALUE"""),"6549459370028")</f>
        <v>6549459370028</v>
      </c>
      <c r="AW400" s="65">
        <f>IFERROR(__xludf.DUMMYFUNCTION("""COMPUTED_VALUE"""),6466.0)</f>
        <v>6466</v>
      </c>
      <c r="AX400" s="65"/>
      <c r="AY400" s="65" t="str">
        <f>IFERROR(__xludf.DUMMYFUNCTION("""COMPUTED_VALUE"""),"03/03/2026")</f>
        <v>03/03/2026</v>
      </c>
      <c r="AZ400" s="65"/>
      <c r="BA400" s="65"/>
    </row>
    <row r="401">
      <c r="A401" s="65" t="str">
        <f>IFERROR(__xludf.DUMMYFUNCTION("""COMPUTED_VALUE"""),"27-03-2026")</f>
        <v>27-03-2026</v>
      </c>
      <c r="B401" s="65">
        <f>IFERROR(__xludf.DUMMYFUNCTION("""COMPUTED_VALUE"""),4658937.0)</f>
        <v>4658937</v>
      </c>
      <c r="C401" s="65" t="str">
        <f>IFERROR(__xludf.DUMMYFUNCTION("""COMPUTED_VALUE"""),"08:47")</f>
        <v>08:47</v>
      </c>
      <c r="D401" s="65" t="str">
        <f>IFERROR(__xludf.DUMMYFUNCTION("""COMPUTED_VALUE"""),"01-03-2026")</f>
        <v>01-03-2026</v>
      </c>
      <c r="E401" s="65" t="str">
        <f>IFERROR(__xludf.DUMMYFUNCTION("""COMPUTED_VALUE"""),"TANDAZO GRANDA TEDDY")</f>
        <v>TANDAZO GRANDA TEDDY</v>
      </c>
      <c r="F401" s="65" t="str">
        <f>IFERROR(__xludf.DUMMYFUNCTION("""COMPUTED_VALUE"""),"996027946")</f>
        <v>996027946</v>
      </c>
      <c r="G401" s="65" t="str">
        <f>IFERROR(__xludf.DUMMYFUNCTION("""COMPUTED_VALUE"""),"teddytandazo@hotmail.com")</f>
        <v>teddytandazo@hotmail.com</v>
      </c>
      <c r="H401" s="65"/>
      <c r="I401" s="65"/>
      <c r="J401" s="65" t="str">
        <f>IFERROR(__xludf.DUMMYFUNCTION("""COMPUTED_VALUE"""),"D001377934")</f>
        <v>D001377934</v>
      </c>
      <c r="K401" s="65" t="str">
        <f>IFERROR(__xludf.DUMMYFUNCTION("""COMPUTED_VALUE"""),"ENTREGADO")</f>
        <v>ENTREGADO</v>
      </c>
      <c r="L401" s="65" t="str">
        <f>IFERROR(__xludf.DUMMYFUNCTION("""COMPUTED_VALUE"""),"CON RECAUDO")</f>
        <v>CON RECAUDO</v>
      </c>
      <c r="M401" s="65" t="str">
        <f>IFERROR(__xludf.DUMMYFUNCTION("""COMPUTED_VALUE"""),"PICHINCHA")</f>
        <v>PICHINCHA</v>
      </c>
      <c r="N401" s="65" t="str">
        <f>IFERROR(__xludf.DUMMYFUNCTION("""COMPUTED_VALUE"""),"QUITO")</f>
        <v>QUITO</v>
      </c>
      <c r="O401" s="65" t="str">
        <f>IFERROR(__xludf.DUMMYFUNCTION("""COMPUTED_VALUE"""),"calle Alfonso Pereira N4-23 y Jorge Drom, Edificio Centro de Oficinas Iñaquito 2")</f>
        <v>calle Alfonso Pereira N4-23 y Jorge Drom, Edificio Centro de Oficinas Iñaquito 2</v>
      </c>
      <c r="P401" s="65"/>
      <c r="Q401" s="65" t="str">
        <f>IFERROR(__xludf.DUMMYFUNCTION("""COMPUTED_VALUE"""),"GINTRACOM")</f>
        <v>GINTRACOM</v>
      </c>
      <c r="R401" s="65">
        <f>IFERROR(__xludf.DUMMYFUNCTION("""COMPUTED_VALUE"""),25.0)</f>
        <v>25</v>
      </c>
      <c r="S401" s="65">
        <f>IFERROR(__xludf.DUMMYFUNCTION("""COMPUTED_VALUE"""),15.95)</f>
        <v>15.95</v>
      </c>
      <c r="T401" s="65">
        <f>IFERROR(__xludf.DUMMYFUNCTION("""COMPUTED_VALUE"""),4.35)</f>
        <v>4.35</v>
      </c>
      <c r="U401" s="65">
        <f>IFERROR(__xludf.DUMMYFUNCTION("""COMPUTED_VALUE"""),0.0)</f>
        <v>0</v>
      </c>
      <c r="V401" s="65">
        <f>IFERROR(__xludf.DUMMYFUNCTION("""COMPUTED_VALUE"""),0.0)</f>
        <v>0</v>
      </c>
      <c r="W401" s="65">
        <f>IFERROR(__xludf.DUMMYFUNCTION("""COMPUTED_VALUE"""),0.0)</f>
        <v>0</v>
      </c>
      <c r="X401" s="65">
        <f>IFERROR(__xludf.DUMMYFUNCTION("""COMPUTED_VALUE"""),2.35)</f>
        <v>2.35</v>
      </c>
      <c r="Y401" s="65">
        <f>IFERROR(__xludf.DUMMYFUNCTION("""COMPUTED_VALUE"""),4.7)</f>
        <v>4.7</v>
      </c>
      <c r="Z401" s="65">
        <f>IFERROR(__xludf.DUMMYFUNCTION("""COMPUTED_VALUE"""),116679.0)</f>
        <v>116679</v>
      </c>
      <c r="AA401" s="65" t="str">
        <f>IFERROR(__xludf.DUMMYFUNCTION("""COMPUTED_VALUE"""),"AMC-2738")</f>
        <v>AMC-2738</v>
      </c>
      <c r="AB401" s="65"/>
      <c r="AC401" s="65" t="str">
        <f>IFERROR(__xludf.DUMMYFUNCTION("""COMPUTED_VALUE"""),"ESPONJA ANTILLUVIA DE PARABRISAS")</f>
        <v>ESPONJA ANTILLUVIA DE PARABRISAS</v>
      </c>
      <c r="AD401" s="65"/>
      <c r="AE401" s="65">
        <f>IFERROR(__xludf.DUMMYFUNCTION("""COMPUTED_VALUE"""),2.0)</f>
        <v>2</v>
      </c>
      <c r="AF401" s="65"/>
      <c r="AG401" s="65"/>
      <c r="AH401" s="65"/>
      <c r="AI401" s="65"/>
      <c r="AJ401" s="65"/>
      <c r="AK401" s="65"/>
      <c r="AL401" s="65"/>
      <c r="AM401" s="65"/>
      <c r="AN401" s="65" t="str">
        <f>IFERROR(__xludf.DUMMYFUNCTION("""COMPUTED_VALUE"""),"10:06")</f>
        <v>10:06</v>
      </c>
      <c r="AO401" s="65" t="str">
        <f>IFERROR(__xludf.DUMMYFUNCTION("""COMPUTED_VALUE"""),"10-03-2026")</f>
        <v>10-03-2026</v>
      </c>
      <c r="AP401" s="65" t="str">
        <f>IFERROR(__xludf.DUMMYFUNCTION("""COMPUTED_VALUE"""),"ENTREGADA GINTRACOM")</f>
        <v>ENTREGADA GINTRACOM</v>
      </c>
      <c r="AQ401" s="65" t="str">
        <f>IFERROR(__xludf.DUMMYFUNCTION("""COMPUTED_VALUE"""),"ENTREGADA GINTRACOM")</f>
        <v>ENTREGADA GINTRACOM</v>
      </c>
      <c r="AR401" s="65"/>
      <c r="AS401" s="65"/>
      <c r="AT401" s="65" t="str">
        <f>IFERROR(__xludf.DUMMYFUNCTION("""COMPUTED_VALUE"""),"SHOPIFY")</f>
        <v>SHOPIFY</v>
      </c>
      <c r="AU401" s="65" t="str">
        <f>IFERROR(__xludf.DUMMYFUNCTION("""COMPUTED_VALUE"""),"IMPORTEX EC")</f>
        <v>IMPORTEX EC</v>
      </c>
      <c r="AV401" s="65" t="str">
        <f>IFERROR(__xludf.DUMMYFUNCTION("""COMPUTED_VALUE"""),"6549426044972")</f>
        <v>6549426044972</v>
      </c>
      <c r="AW401" s="65">
        <f>IFERROR(__xludf.DUMMYFUNCTION("""COMPUTED_VALUE"""),6465.0)</f>
        <v>6465</v>
      </c>
      <c r="AX401" s="65"/>
      <c r="AY401" s="65" t="str">
        <f>IFERROR(__xludf.DUMMYFUNCTION("""COMPUTED_VALUE"""),"03/03/2026")</f>
        <v>03/03/2026</v>
      </c>
      <c r="AZ401" s="65"/>
      <c r="BA401" s="65"/>
    </row>
    <row r="402">
      <c r="A402" s="65" t="str">
        <f>IFERROR(__xludf.DUMMYFUNCTION("""COMPUTED_VALUE"""),"27-03-2026")</f>
        <v>27-03-2026</v>
      </c>
      <c r="B402" s="65">
        <f>IFERROR(__xludf.DUMMYFUNCTION("""COMPUTED_VALUE"""),4658796.0)</f>
        <v>4658796</v>
      </c>
      <c r="C402" s="65" t="str">
        <f>IFERROR(__xludf.DUMMYFUNCTION("""COMPUTED_VALUE"""),"08:27")</f>
        <v>08:27</v>
      </c>
      <c r="D402" s="65" t="str">
        <f>IFERROR(__xludf.DUMMYFUNCTION("""COMPUTED_VALUE"""),"01-03-2026")</f>
        <v>01-03-2026</v>
      </c>
      <c r="E402" s="65" t="str">
        <f>IFERROR(__xludf.DUMMYFUNCTION("""COMPUTED_VALUE"""),"Jaime Aimara")</f>
        <v>Jaime Aimara</v>
      </c>
      <c r="F402" s="65" t="str">
        <f>IFERROR(__xludf.DUMMYFUNCTION("""COMPUTED_VALUE"""),"999727596")</f>
        <v>999727596</v>
      </c>
      <c r="G402" s="65" t="str">
        <f>IFERROR(__xludf.DUMMYFUNCTION("""COMPUTED_VALUE"""),"jaime_aymara@hotmail.com")</f>
        <v>jaime_aymara@hotmail.com</v>
      </c>
      <c r="H402" s="65"/>
      <c r="I402" s="65"/>
      <c r="J402" s="65" t="str">
        <f>IFERROR(__xludf.DUMMYFUNCTION("""COMPUTED_VALUE"""),"D001376714")</f>
        <v>D001376714</v>
      </c>
      <c r="K402" s="65" t="str">
        <f>IFERROR(__xludf.DUMMYFUNCTION("""COMPUTED_VALUE"""),"ENTREGADO")</f>
        <v>ENTREGADO</v>
      </c>
      <c r="L402" s="65" t="str">
        <f>IFERROR(__xludf.DUMMYFUNCTION("""COMPUTED_VALUE"""),"CON RECAUDO")</f>
        <v>CON RECAUDO</v>
      </c>
      <c r="M402" s="65" t="str">
        <f>IFERROR(__xludf.DUMMYFUNCTION("""COMPUTED_VALUE"""),"PICHINCHA")</f>
        <v>PICHINCHA</v>
      </c>
      <c r="N402" s="65" t="str">
        <f>IFERROR(__xludf.DUMMYFUNCTION("""COMPUTED_VALUE"""),"QUITO")</f>
        <v>QUITO</v>
      </c>
      <c r="O402" s="65" t="str">
        <f>IFERROR(__xludf.DUMMYFUNCTION("""COMPUTED_VALUE"""),"Valle fe los chillos laarmenia dos calle Julio Matovelle y charles darwin conjunto san sebastian casa 18 La Armenia dos -")</f>
        <v>Valle fe los chillos laarmenia dos calle Julio Matovelle y charles darwin conjunto san sebastian casa 18 La Armenia dos -</v>
      </c>
      <c r="P402" s="65"/>
      <c r="Q402" s="65" t="str">
        <f>IFERROR(__xludf.DUMMYFUNCTION("""COMPUTED_VALUE"""),"GINTRACOM")</f>
        <v>GINTRACOM</v>
      </c>
      <c r="R402" s="65">
        <f>IFERROR(__xludf.DUMMYFUNCTION("""COMPUTED_VALUE"""),32.0)</f>
        <v>32</v>
      </c>
      <c r="S402" s="65">
        <f>IFERROR(__xludf.DUMMYFUNCTION("""COMPUTED_VALUE"""),12.37)</f>
        <v>12.37</v>
      </c>
      <c r="T402" s="65">
        <f>IFERROR(__xludf.DUMMYFUNCTION("""COMPUTED_VALUE"""),4.63)</f>
        <v>4.63</v>
      </c>
      <c r="U402" s="65">
        <f>IFERROR(__xludf.DUMMYFUNCTION("""COMPUTED_VALUE"""),0.0)</f>
        <v>0</v>
      </c>
      <c r="V402" s="65">
        <f>IFERROR(__xludf.DUMMYFUNCTION("""COMPUTED_VALUE"""),0.0)</f>
        <v>0</v>
      </c>
      <c r="W402" s="65">
        <f>IFERROR(__xludf.DUMMYFUNCTION("""COMPUTED_VALUE"""),0.0)</f>
        <v>0</v>
      </c>
      <c r="X402" s="65">
        <f>IFERROR(__xludf.DUMMYFUNCTION("""COMPUTED_VALUE"""),3.75)</f>
        <v>3.75</v>
      </c>
      <c r="Y402" s="65">
        <f>IFERROR(__xludf.DUMMYFUNCTION("""COMPUTED_VALUE"""),15.0)</f>
        <v>15</v>
      </c>
      <c r="Z402" s="65">
        <f>IFERROR(__xludf.DUMMYFUNCTION("""COMPUTED_VALUE"""),113116.0)</f>
        <v>113116</v>
      </c>
      <c r="AA402" s="65" t="str">
        <f>IFERROR(__xludf.DUMMYFUNCTION("""COMPUTED_VALUE"""),"IM-TAZAKI")</f>
        <v>IM-TAZAKI</v>
      </c>
      <c r="AB402" s="65"/>
      <c r="AC402" s="65" t="str">
        <f>IFERROR(__xludf.DUMMYFUNCTION("""COMPUTED_VALUE"""),"Cuchillo tazaki")</f>
        <v>Cuchillo tazaki</v>
      </c>
      <c r="AD402" s="65"/>
      <c r="AE402" s="65">
        <f>IFERROR(__xludf.DUMMYFUNCTION("""COMPUTED_VALUE"""),4.0)</f>
        <v>4</v>
      </c>
      <c r="AF402" s="65"/>
      <c r="AG402" s="65"/>
      <c r="AH402" s="65"/>
      <c r="AI402" s="65"/>
      <c r="AJ402" s="65"/>
      <c r="AK402" s="65"/>
      <c r="AL402" s="65"/>
      <c r="AM402" s="65"/>
      <c r="AN402" s="65" t="str">
        <f>IFERROR(__xludf.DUMMYFUNCTION("""COMPUTED_VALUE"""),"11:08")</f>
        <v>11:08</v>
      </c>
      <c r="AO402" s="65" t="str">
        <f>IFERROR(__xludf.DUMMYFUNCTION("""COMPUTED_VALUE"""),"05-03-2026")</f>
        <v>05-03-2026</v>
      </c>
      <c r="AP402" s="65" t="str">
        <f>IFERROR(__xludf.DUMMYFUNCTION("""COMPUTED_VALUE"""),"EN REPARTO")</f>
        <v>EN REPARTO</v>
      </c>
      <c r="AQ402" s="65" t="str">
        <f>IFERROR(__xludf.DUMMYFUNCTION("""COMPUTED_VALUE"""),"EN REPARTO")</f>
        <v>EN REPARTO</v>
      </c>
      <c r="AR402" s="65"/>
      <c r="AS402" s="65"/>
      <c r="AT402" s="65" t="str">
        <f>IFERROR(__xludf.DUMMYFUNCTION("""COMPUTED_VALUE"""),"SHOPIFY")</f>
        <v>SHOPIFY</v>
      </c>
      <c r="AU402" s="65" t="str">
        <f>IFERROR(__xludf.DUMMYFUNCTION("""COMPUTED_VALUE"""),"IMPORTEX EC")</f>
        <v>IMPORTEX EC</v>
      </c>
      <c r="AV402" s="65" t="str">
        <f>IFERROR(__xludf.DUMMYFUNCTION("""COMPUTED_VALUE"""),"6549405564972")</f>
        <v>6549405564972</v>
      </c>
      <c r="AW402" s="65">
        <f>IFERROR(__xludf.DUMMYFUNCTION("""COMPUTED_VALUE"""),6464.0)</f>
        <v>6464</v>
      </c>
      <c r="AX402" s="65"/>
      <c r="AY402" s="65" t="str">
        <f>IFERROR(__xludf.DUMMYFUNCTION("""COMPUTED_VALUE"""),"03/03/2026")</f>
        <v>03/03/2026</v>
      </c>
      <c r="AZ402" s="65"/>
      <c r="BA402" s="65"/>
    </row>
    <row r="403">
      <c r="A403" s="65" t="str">
        <f>IFERROR(__xludf.DUMMYFUNCTION("""COMPUTED_VALUE"""),"27-03-2026")</f>
        <v>27-03-2026</v>
      </c>
      <c r="B403" s="65">
        <f>IFERROR(__xludf.DUMMYFUNCTION("""COMPUTED_VALUE"""),4658719.0)</f>
        <v>4658719</v>
      </c>
      <c r="C403" s="65" t="str">
        <f>IFERROR(__xludf.DUMMYFUNCTION("""COMPUTED_VALUE"""),"08:22")</f>
        <v>08:22</v>
      </c>
      <c r="D403" s="65" t="str">
        <f>IFERROR(__xludf.DUMMYFUNCTION("""COMPUTED_VALUE"""),"01-03-2026")</f>
        <v>01-03-2026</v>
      </c>
      <c r="E403" s="65" t="str">
        <f>IFERROR(__xludf.DUMMYFUNCTION("""COMPUTED_VALUE"""),"Luis Angel sangopanta Sangopanta")</f>
        <v>Luis Angel sangopanta Sangopanta</v>
      </c>
      <c r="F403" s="65" t="str">
        <f>IFERROR(__xludf.DUMMYFUNCTION("""COMPUTED_VALUE"""),"999705559")</f>
        <v>999705559</v>
      </c>
      <c r="G403" s="65"/>
      <c r="H403" s="65"/>
      <c r="I403" s="65"/>
      <c r="J403" s="65"/>
      <c r="K403" s="65" t="str">
        <f>IFERROR(__xludf.DUMMYFUNCTION("""COMPUTED_VALUE"""),"CANCELADO")</f>
        <v>CANCELADO</v>
      </c>
      <c r="L403" s="65" t="str">
        <f>IFERROR(__xludf.DUMMYFUNCTION("""COMPUTED_VALUE"""),"CON RECAUDO")</f>
        <v>CON RECAUDO</v>
      </c>
      <c r="M403" s="65" t="str">
        <f>IFERROR(__xludf.DUMMYFUNCTION("""COMPUTED_VALUE"""),"COTOPAXI")</f>
        <v>COTOPAXI</v>
      </c>
      <c r="N403" s="65" t="str">
        <f>IFERROR(__xludf.DUMMYFUNCTION("""COMPUTED_VALUE"""),"PUJILI")</f>
        <v>PUJILI</v>
      </c>
      <c r="O403" s="65" t="str">
        <f>IFERROR(__xludf.DUMMYFUNCTION("""COMPUTED_VALUE"""),"Pujili provincia de cotopaxi latacunga")</f>
        <v>Pujili provincia de cotopaxi latacunga</v>
      </c>
      <c r="P403" s="65" t="str">
        <f>IFERROR(__xludf.DUMMYFUNCTION("""COMPUTED_VALUE"""),"Receptor Bluetooth: Default Title ***")</f>
        <v>Receptor Bluetooth: Default Title ***</v>
      </c>
      <c r="Q403" s="65" t="str">
        <f>IFERROR(__xludf.DUMMYFUNCTION("""COMPUTED_VALUE"""),"GINTRACOM")</f>
        <v>GINTRACOM</v>
      </c>
      <c r="R403" s="65">
        <f>IFERROR(__xludf.DUMMYFUNCTION("""COMPUTED_VALUE"""),36.0)</f>
        <v>36</v>
      </c>
      <c r="S403" s="65"/>
      <c r="T403" s="65">
        <f>IFERROR(__xludf.DUMMYFUNCTION("""COMPUTED_VALUE"""),6.97)</f>
        <v>6.97</v>
      </c>
      <c r="U403" s="65">
        <f>IFERROR(__xludf.DUMMYFUNCTION("""COMPUTED_VALUE"""),0.0)</f>
        <v>0</v>
      </c>
      <c r="V403" s="65">
        <f>IFERROR(__xludf.DUMMYFUNCTION("""COMPUTED_VALUE"""),0.0)</f>
        <v>0</v>
      </c>
      <c r="W403" s="65">
        <f>IFERROR(__xludf.DUMMYFUNCTION("""COMPUTED_VALUE"""),0.0)</f>
        <v>0</v>
      </c>
      <c r="X403" s="65">
        <f>IFERROR(__xludf.DUMMYFUNCTION("""COMPUTED_VALUE"""),5.0)</f>
        <v>5</v>
      </c>
      <c r="Y403" s="65">
        <f>IFERROR(__xludf.DUMMYFUNCTION("""COMPUTED_VALUE"""),20.0)</f>
        <v>20</v>
      </c>
      <c r="Z403" s="65">
        <f>IFERROR(__xludf.DUMMYFUNCTION("""COMPUTED_VALUE"""),130492.0)</f>
        <v>130492</v>
      </c>
      <c r="AA403" s="65" t="str">
        <f>IFERROR(__xludf.DUMMYFUNCTION("""COMPUTED_VALUE"""),"IMX-00006")</f>
        <v>IMX-00006</v>
      </c>
      <c r="AB403" s="65"/>
      <c r="AC403" s="65" t="str">
        <f>IFERROR(__xludf.DUMMYFUNCTION("""COMPUTED_VALUE"""),"Receptor Bluetooth")</f>
        <v>Receptor Bluetooth</v>
      </c>
      <c r="AD403" s="65"/>
      <c r="AE403" s="65">
        <f>IFERROR(__xludf.DUMMYFUNCTION("""COMPUTED_VALUE"""),4.0)</f>
        <v>4</v>
      </c>
      <c r="AF403" s="65"/>
      <c r="AG403" s="65"/>
      <c r="AH403" s="65"/>
      <c r="AI403" s="65"/>
      <c r="AJ403" s="65"/>
      <c r="AK403" s="65"/>
      <c r="AL403" s="65"/>
      <c r="AM403" s="65"/>
      <c r="AN403" s="65"/>
      <c r="AO403" s="65"/>
      <c r="AP403" s="65"/>
      <c r="AQ403" s="65"/>
      <c r="AR403" s="65"/>
      <c r="AS403" s="65"/>
      <c r="AT403" s="65" t="str">
        <f>IFERROR(__xludf.DUMMYFUNCTION("""COMPUTED_VALUE"""),"SHOPIFY")</f>
        <v>SHOPIFY</v>
      </c>
      <c r="AU403" s="65" t="str">
        <f>IFERROR(__xludf.DUMMYFUNCTION("""COMPUTED_VALUE"""),"IMPORTEX EC")</f>
        <v>IMPORTEX EC</v>
      </c>
      <c r="AV403" s="65" t="str">
        <f>IFERROR(__xludf.DUMMYFUNCTION("""COMPUTED_VALUE"""),"6549398093868")</f>
        <v>6549398093868</v>
      </c>
      <c r="AW403" s="65">
        <f>IFERROR(__xludf.DUMMYFUNCTION("""COMPUTED_VALUE"""),6463.0)</f>
        <v>6463</v>
      </c>
      <c r="AX403" s="65"/>
      <c r="AY403" s="65"/>
      <c r="AZ403" s="65"/>
      <c r="BA403" s="65"/>
    </row>
    <row r="404">
      <c r="A404" s="65" t="str">
        <f>IFERROR(__xludf.DUMMYFUNCTION("""COMPUTED_VALUE"""),"27-03-2026")</f>
        <v>27-03-2026</v>
      </c>
      <c r="B404" s="65">
        <f>IFERROR(__xludf.DUMMYFUNCTION("""COMPUTED_VALUE"""),4658652.0)</f>
        <v>4658652</v>
      </c>
      <c r="C404" s="65" t="str">
        <f>IFERROR(__xludf.DUMMYFUNCTION("""COMPUTED_VALUE"""),"08:14")</f>
        <v>08:14</v>
      </c>
      <c r="D404" s="65" t="str">
        <f>IFERROR(__xludf.DUMMYFUNCTION("""COMPUTED_VALUE"""),"01-03-2026")</f>
        <v>01-03-2026</v>
      </c>
      <c r="E404" s="65" t="str">
        <f>IFERROR(__xludf.DUMMYFUNCTION("""COMPUTED_VALUE"""),"Ricardo Ordonez")</f>
        <v>Ricardo Ordonez</v>
      </c>
      <c r="F404" s="65" t="str">
        <f>IFERROR(__xludf.DUMMYFUNCTION("""COMPUTED_VALUE"""),"999222871")</f>
        <v>999222871</v>
      </c>
      <c r="G404" s="65" t="str">
        <f>IFERROR(__xludf.DUMMYFUNCTION("""COMPUTED_VALUE"""),"ricardo_ordonez12@hotmail.com")</f>
        <v>ricardo_ordonez12@hotmail.com</v>
      </c>
      <c r="H404" s="65"/>
      <c r="I404" s="65"/>
      <c r="J404" s="65" t="str">
        <f>IFERROR(__xludf.DUMMYFUNCTION("""COMPUTED_VALUE"""),"D001376715")</f>
        <v>D001376715</v>
      </c>
      <c r="K404" s="65" t="str">
        <f>IFERROR(__xludf.DUMMYFUNCTION("""COMPUTED_VALUE"""),"ENTREGADO")</f>
        <v>ENTREGADO</v>
      </c>
      <c r="L404" s="65" t="str">
        <f>IFERROR(__xludf.DUMMYFUNCTION("""COMPUTED_VALUE"""),"CON RECAUDO")</f>
        <v>CON RECAUDO</v>
      </c>
      <c r="M404" s="65" t="str">
        <f>IFERROR(__xludf.DUMMYFUNCTION("""COMPUTED_VALUE"""),"GUAYAS")</f>
        <v>GUAYAS</v>
      </c>
      <c r="N404" s="65" t="str">
        <f>IFERROR(__xludf.DUMMYFUNCTION("""COMPUTED_VALUE"""),"DAULE")</f>
        <v>DAULE</v>
      </c>
      <c r="O404" s="65" t="str">
        <f>IFERROR(__xludf.DUMMYFUNCTION("""COMPUTED_VALUE"""),"Matices, ciudadela zafiro Manzana 44 villa 25 -")</f>
        <v>Matices, ciudadela zafiro Manzana 44 villa 25 -</v>
      </c>
      <c r="P404" s="65"/>
      <c r="Q404" s="65" t="str">
        <f>IFERROR(__xludf.DUMMYFUNCTION("""COMPUTED_VALUE"""),"GINTRACOM")</f>
        <v>GINTRACOM</v>
      </c>
      <c r="R404" s="65">
        <f>IFERROR(__xludf.DUMMYFUNCTION("""COMPUTED_VALUE"""),22.0)</f>
        <v>22</v>
      </c>
      <c r="S404" s="65">
        <f>IFERROR(__xludf.DUMMYFUNCTION("""COMPUTED_VALUE"""),8.66)</f>
        <v>8.66</v>
      </c>
      <c r="T404" s="65">
        <f>IFERROR(__xludf.DUMMYFUNCTION("""COMPUTED_VALUE"""),5.84)</f>
        <v>5.84</v>
      </c>
      <c r="U404" s="65">
        <f>IFERROR(__xludf.DUMMYFUNCTION("""COMPUTED_VALUE"""),0.0)</f>
        <v>0</v>
      </c>
      <c r="V404" s="65">
        <f>IFERROR(__xludf.DUMMYFUNCTION("""COMPUTED_VALUE"""),0.0)</f>
        <v>0</v>
      </c>
      <c r="W404" s="65">
        <f>IFERROR(__xludf.DUMMYFUNCTION("""COMPUTED_VALUE"""),0.0)</f>
        <v>0</v>
      </c>
      <c r="X404" s="65">
        <f>IFERROR(__xludf.DUMMYFUNCTION("""COMPUTED_VALUE"""),3.75)</f>
        <v>3.75</v>
      </c>
      <c r="Y404" s="65">
        <f>IFERROR(__xludf.DUMMYFUNCTION("""COMPUTED_VALUE"""),7.5)</f>
        <v>7.5</v>
      </c>
      <c r="Z404" s="65">
        <f>IFERROR(__xludf.DUMMYFUNCTION("""COMPUTED_VALUE"""),113116.0)</f>
        <v>113116</v>
      </c>
      <c r="AA404" s="65" t="str">
        <f>IFERROR(__xludf.DUMMYFUNCTION("""COMPUTED_VALUE"""),"IM-TAZAKI")</f>
        <v>IM-TAZAKI</v>
      </c>
      <c r="AB404" s="65"/>
      <c r="AC404" s="65" t="str">
        <f>IFERROR(__xludf.DUMMYFUNCTION("""COMPUTED_VALUE"""),"Cuchillo tazaki")</f>
        <v>Cuchillo tazaki</v>
      </c>
      <c r="AD404" s="65"/>
      <c r="AE404" s="65">
        <f>IFERROR(__xludf.DUMMYFUNCTION("""COMPUTED_VALUE"""),2.0)</f>
        <v>2</v>
      </c>
      <c r="AF404" s="65"/>
      <c r="AG404" s="65"/>
      <c r="AH404" s="65"/>
      <c r="AI404" s="65"/>
      <c r="AJ404" s="65"/>
      <c r="AK404" s="65"/>
      <c r="AL404" s="65"/>
      <c r="AM404" s="65"/>
      <c r="AN404" s="65" t="str">
        <f>IFERROR(__xludf.DUMMYFUNCTION("""COMPUTED_VALUE"""),"09:51")</f>
        <v>09:51</v>
      </c>
      <c r="AO404" s="65" t="str">
        <f>IFERROR(__xludf.DUMMYFUNCTION("""COMPUTED_VALUE"""),"05-03-2026")</f>
        <v>05-03-2026</v>
      </c>
      <c r="AP404" s="65" t="str">
        <f>IFERROR(__xludf.DUMMYFUNCTION("""COMPUTED_VALUE"""),"EN REPARTO")</f>
        <v>EN REPARTO</v>
      </c>
      <c r="AQ404" s="65" t="str">
        <f>IFERROR(__xludf.DUMMYFUNCTION("""COMPUTED_VALUE"""),"EN REPARTO")</f>
        <v>EN REPARTO</v>
      </c>
      <c r="AR404" s="65"/>
      <c r="AS404" s="65"/>
      <c r="AT404" s="65" t="str">
        <f>IFERROR(__xludf.DUMMYFUNCTION("""COMPUTED_VALUE"""),"SHOPIFY")</f>
        <v>SHOPIFY</v>
      </c>
      <c r="AU404" s="65" t="str">
        <f>IFERROR(__xludf.DUMMYFUNCTION("""COMPUTED_VALUE"""),"IMPORTEX EC")</f>
        <v>IMPORTEX EC</v>
      </c>
      <c r="AV404" s="65" t="str">
        <f>IFERROR(__xludf.DUMMYFUNCTION("""COMPUTED_VALUE"""),"6549391638572")</f>
        <v>6549391638572</v>
      </c>
      <c r="AW404" s="65">
        <f>IFERROR(__xludf.DUMMYFUNCTION("""COMPUTED_VALUE"""),6462.0)</f>
        <v>6462</v>
      </c>
      <c r="AX404" s="65"/>
      <c r="AY404" s="65" t="str">
        <f>IFERROR(__xludf.DUMMYFUNCTION("""COMPUTED_VALUE"""),"03/03/2026")</f>
        <v>03/03/2026</v>
      </c>
      <c r="AZ404" s="65"/>
      <c r="BA404" s="65"/>
    </row>
    <row r="405">
      <c r="A405" s="65" t="str">
        <f>IFERROR(__xludf.DUMMYFUNCTION("""COMPUTED_VALUE"""),"27-03-2026")</f>
        <v>27-03-2026</v>
      </c>
      <c r="B405" s="65">
        <f>IFERROR(__xludf.DUMMYFUNCTION("""COMPUTED_VALUE"""),4658584.0)</f>
        <v>4658584</v>
      </c>
      <c r="C405" s="65" t="str">
        <f>IFERROR(__xludf.DUMMYFUNCTION("""COMPUTED_VALUE"""),"08:04")</f>
        <v>08:04</v>
      </c>
      <c r="D405" s="65" t="str">
        <f>IFERROR(__xludf.DUMMYFUNCTION("""COMPUTED_VALUE"""),"01-03-2026")</f>
        <v>01-03-2026</v>
      </c>
      <c r="E405" s="65" t="str">
        <f>IFERROR(__xludf.DUMMYFUNCTION("""COMPUTED_VALUE"""),"Marco González González")</f>
        <v>Marco González González</v>
      </c>
      <c r="F405" s="65" t="str">
        <f>IFERROR(__xludf.DUMMYFUNCTION("""COMPUTED_VALUE"""),"991046463")</f>
        <v>991046463</v>
      </c>
      <c r="G405" s="65" t="str">
        <f>IFERROR(__xludf.DUMMYFUNCTION("""COMPUTED_VALUE"""),"marck2salsa@hotmail.com")</f>
        <v>marck2salsa@hotmail.com</v>
      </c>
      <c r="H405" s="65"/>
      <c r="I405" s="65"/>
      <c r="J405" s="65" t="str">
        <f>IFERROR(__xludf.DUMMYFUNCTION("""COMPUTED_VALUE"""),"D001384156")</f>
        <v>D001384156</v>
      </c>
      <c r="K405" s="65" t="str">
        <f>IFERROR(__xludf.DUMMYFUNCTION("""COMPUTED_VALUE"""),"ENTREGADO")</f>
        <v>ENTREGADO</v>
      </c>
      <c r="L405" s="65" t="str">
        <f>IFERROR(__xludf.DUMMYFUNCTION("""COMPUTED_VALUE"""),"CON RECAUDO")</f>
        <v>CON RECAUDO</v>
      </c>
      <c r="M405" s="65" t="str">
        <f>IFERROR(__xludf.DUMMYFUNCTION("""COMPUTED_VALUE"""),"GUAYAS")</f>
        <v>GUAYAS</v>
      </c>
      <c r="N405" s="65" t="str">
        <f>IFERROR(__xludf.DUMMYFUNCTION("""COMPUTED_VALUE"""),"GUAYAQUIL")</f>
        <v>GUAYAQUIL</v>
      </c>
      <c r="O405" s="65" t="str">
        <f>IFERROR(__xludf.DUMMYFUNCTION("""COMPUTED_VALUE"""),"Av Pedro Vicente Maldonado #429 y  Idelfonso Coronel , Diagonal  a Interagua Centro.")</f>
        <v>Av Pedro Vicente Maldonado #429 y  Idelfonso Coronel , Diagonal  a Interagua Centro.</v>
      </c>
      <c r="P405" s="65"/>
      <c r="Q405" s="65" t="str">
        <f>IFERROR(__xludf.DUMMYFUNCTION("""COMPUTED_VALUE"""),"GINTRACOM")</f>
        <v>GINTRACOM</v>
      </c>
      <c r="R405" s="65">
        <f>IFERROR(__xludf.DUMMYFUNCTION("""COMPUTED_VALUE"""),24.2)</f>
        <v>24.2</v>
      </c>
      <c r="S405" s="65">
        <f>IFERROR(__xludf.DUMMYFUNCTION("""COMPUTED_VALUE"""),8.28)</f>
        <v>8.28</v>
      </c>
      <c r="T405" s="65">
        <f>IFERROR(__xludf.DUMMYFUNCTION("""COMPUTED_VALUE"""),5.92)</f>
        <v>5.92</v>
      </c>
      <c r="U405" s="65">
        <f>IFERROR(__xludf.DUMMYFUNCTION("""COMPUTED_VALUE"""),0.0)</f>
        <v>0</v>
      </c>
      <c r="V405" s="65">
        <f>IFERROR(__xludf.DUMMYFUNCTION("""COMPUTED_VALUE"""),0.0)</f>
        <v>0</v>
      </c>
      <c r="W405" s="65">
        <f>IFERROR(__xludf.DUMMYFUNCTION("""COMPUTED_VALUE"""),0.0)</f>
        <v>0</v>
      </c>
      <c r="X405" s="65">
        <f>IFERROR(__xludf.DUMMYFUNCTION("""COMPUTED_VALUE"""),5.0)</f>
        <v>5</v>
      </c>
      <c r="Y405" s="65">
        <f>IFERROR(__xludf.DUMMYFUNCTION("""COMPUTED_VALUE"""),10.0)</f>
        <v>10</v>
      </c>
      <c r="Z405" s="65">
        <f>IFERROR(__xludf.DUMMYFUNCTION("""COMPUTED_VALUE"""),130492.0)</f>
        <v>130492</v>
      </c>
      <c r="AA405" s="65" t="str">
        <f>IFERROR(__xludf.DUMMYFUNCTION("""COMPUTED_VALUE"""),"IMX-00006")</f>
        <v>IMX-00006</v>
      </c>
      <c r="AB405" s="65"/>
      <c r="AC405" s="65" t="str">
        <f>IFERROR(__xludf.DUMMYFUNCTION("""COMPUTED_VALUE"""),"Receptor Bluetooth")</f>
        <v>Receptor Bluetooth</v>
      </c>
      <c r="AD405" s="65"/>
      <c r="AE405" s="65">
        <f>IFERROR(__xludf.DUMMYFUNCTION("""COMPUTED_VALUE"""),2.0)</f>
        <v>2</v>
      </c>
      <c r="AF405" s="65" t="str">
        <f>IFERROR(__xludf.DUMMYFUNCTION("""COMPUTED_VALUE"""),"DESTINATARIO NO CONTESTA LLAMADAS NI WHATSAPP")</f>
        <v>DESTINATARIO NO CONTESTA LLAMADAS NI WHATSAPP</v>
      </c>
      <c r="AG405" s="65" t="str">
        <f>IFERROR(__xludf.DUMMYFUNCTION("""COMPUTED_VALUE"""),"SI")</f>
        <v>SI</v>
      </c>
      <c r="AH405" s="65" t="str">
        <f>IFERROR(__xludf.DUMMYFUNCTION("""COMPUTED_VALUE"""),"18:30")</f>
        <v>18:30</v>
      </c>
      <c r="AI405" s="65" t="str">
        <f>IFERROR(__xludf.DUMMYFUNCTION("""COMPUTED_VALUE"""),"06-03-2026")</f>
        <v>06-03-2026</v>
      </c>
      <c r="AJ405" s="65" t="str">
        <f>IFERROR(__xludf.DUMMYFUNCTION("""COMPUTED_VALUE"""),"Cliente solicita la entrega inmediata")</f>
        <v>Cliente solicita la entrega inmediata</v>
      </c>
      <c r="AK405" s="65" t="str">
        <f>IFERROR(__xludf.DUMMYFUNCTION("""COMPUTED_VALUE"""),"11:21")</f>
        <v>11:21</v>
      </c>
      <c r="AL405" s="65" t="str">
        <f>IFERROR(__xludf.DUMMYFUNCTION("""COMPUTED_VALUE"""),"09-03-2026")</f>
        <v>09-03-2026</v>
      </c>
      <c r="AM405" s="65"/>
      <c r="AN405" s="65" t="str">
        <f>IFERROR(__xludf.DUMMYFUNCTION("""COMPUTED_VALUE"""),"13:03")</f>
        <v>13:03</v>
      </c>
      <c r="AO405" s="65" t="str">
        <f>IFERROR(__xludf.DUMMYFUNCTION("""COMPUTED_VALUE"""),"10-03-2026")</f>
        <v>10-03-2026</v>
      </c>
      <c r="AP405" s="65" t="str">
        <f>IFERROR(__xludf.DUMMYFUNCTION("""COMPUTED_VALUE"""),"ENTREGADA GINTRACOM")</f>
        <v>ENTREGADA GINTRACOM</v>
      </c>
      <c r="AQ405" s="65" t="str">
        <f>IFERROR(__xludf.DUMMYFUNCTION("""COMPUTED_VALUE"""),"ENTREGADA GINTRACOM")</f>
        <v>ENTREGADA GINTRACOM</v>
      </c>
      <c r="AR405" s="65"/>
      <c r="AS405" s="65"/>
      <c r="AT405" s="65" t="str">
        <f>IFERROR(__xludf.DUMMYFUNCTION("""COMPUTED_VALUE"""),"SHOPIFY")</f>
        <v>SHOPIFY</v>
      </c>
      <c r="AU405" s="65" t="str">
        <f>IFERROR(__xludf.DUMMYFUNCTION("""COMPUTED_VALUE"""),"IMPORTEX EC")</f>
        <v>IMPORTEX EC</v>
      </c>
      <c r="AV405" s="65" t="str">
        <f>IFERROR(__xludf.DUMMYFUNCTION("""COMPUTED_VALUE"""),"6549382201388")</f>
        <v>6549382201388</v>
      </c>
      <c r="AW405" s="65">
        <f>IFERROR(__xludf.DUMMYFUNCTION("""COMPUTED_VALUE"""),6461.0)</f>
        <v>6461</v>
      </c>
      <c r="AX405" s="65"/>
      <c r="AY405" s="65" t="str">
        <f>IFERROR(__xludf.DUMMYFUNCTION("""COMPUTED_VALUE"""),"05/03/2026")</f>
        <v>05/03/2026</v>
      </c>
      <c r="AZ405" s="65"/>
      <c r="BA405" s="65"/>
    </row>
    <row r="406">
      <c r="A406" s="65" t="str">
        <f>IFERROR(__xludf.DUMMYFUNCTION("""COMPUTED_VALUE"""),"27-03-2026")</f>
        <v>27-03-2026</v>
      </c>
      <c r="B406" s="65">
        <f>IFERROR(__xludf.DUMMYFUNCTION("""COMPUTED_VALUE"""),4658561.0)</f>
        <v>4658561</v>
      </c>
      <c r="C406" s="65" t="str">
        <f>IFERROR(__xludf.DUMMYFUNCTION("""COMPUTED_VALUE"""),"08:01")</f>
        <v>08:01</v>
      </c>
      <c r="D406" s="65" t="str">
        <f>IFERROR(__xludf.DUMMYFUNCTION("""COMPUTED_VALUE"""),"01-03-2026")</f>
        <v>01-03-2026</v>
      </c>
      <c r="E406" s="65" t="str">
        <f>IFERROR(__xludf.DUMMYFUNCTION("""COMPUTED_VALUE"""),"NELSON ELIAS BODERO M.")</f>
        <v>NELSON ELIAS BODERO M.</v>
      </c>
      <c r="F406" s="65" t="str">
        <f>IFERROR(__xludf.DUMMYFUNCTION("""COMPUTED_VALUE"""),"990338097")</f>
        <v>990338097</v>
      </c>
      <c r="G406" s="65" t="str">
        <f>IFERROR(__xludf.DUMMYFUNCTION("""COMPUTED_VALUE"""),"nelsnbodero@gmail.com")</f>
        <v>nelsnbodero@gmail.com</v>
      </c>
      <c r="H406" s="65"/>
      <c r="I406" s="65"/>
      <c r="J406" s="65" t="str">
        <f>IFERROR(__xludf.DUMMYFUNCTION("""COMPUTED_VALUE"""),"D001377936")</f>
        <v>D001377936</v>
      </c>
      <c r="K406" s="65" t="str">
        <f>IFERROR(__xludf.DUMMYFUNCTION("""COMPUTED_VALUE"""),"ENTREGADO")</f>
        <v>ENTREGADO</v>
      </c>
      <c r="L406" s="65" t="str">
        <f>IFERROR(__xludf.DUMMYFUNCTION("""COMPUTED_VALUE"""),"CON RECAUDO")</f>
        <v>CON RECAUDO</v>
      </c>
      <c r="M406" s="65" t="str">
        <f>IFERROR(__xludf.DUMMYFUNCTION("""COMPUTED_VALUE"""),"GUAYAS")</f>
        <v>GUAYAS</v>
      </c>
      <c r="N406" s="65" t="str">
        <f>IFERROR(__xludf.DUMMYFUNCTION("""COMPUTED_VALUE"""),"GUAYAQUIL")</f>
        <v>GUAYAQUIL</v>
      </c>
      <c r="O406" s="65" t="str">
        <f>IFERROR(__xludf.DUMMYFUNCTION("""COMPUTED_VALUE"""),"Urbanización BeloHorizonte etapa BELAGGIO villa 14 - 8 Km. 11.5 vía la costa -")</f>
        <v>Urbanización BeloHorizonte etapa BELAGGIO villa 14 - 8 Km. 11.5 vía la costa -</v>
      </c>
      <c r="P406" s="65"/>
      <c r="Q406" s="65" t="str">
        <f>IFERROR(__xludf.DUMMYFUNCTION("""COMPUTED_VALUE"""),"GINTRACOM")</f>
        <v>GINTRACOM</v>
      </c>
      <c r="R406" s="65">
        <f>IFERROR(__xludf.DUMMYFUNCTION("""COMPUTED_VALUE"""),25.0)</f>
        <v>25</v>
      </c>
      <c r="S406" s="65">
        <f>IFERROR(__xludf.DUMMYFUNCTION("""COMPUTED_VALUE"""),14.34)</f>
        <v>14.34</v>
      </c>
      <c r="T406" s="65">
        <f>IFERROR(__xludf.DUMMYFUNCTION("""COMPUTED_VALUE"""),5.96)</f>
        <v>5.96</v>
      </c>
      <c r="U406" s="65">
        <f>IFERROR(__xludf.DUMMYFUNCTION("""COMPUTED_VALUE"""),0.0)</f>
        <v>0</v>
      </c>
      <c r="V406" s="65">
        <f>IFERROR(__xludf.DUMMYFUNCTION("""COMPUTED_VALUE"""),0.0)</f>
        <v>0</v>
      </c>
      <c r="W406" s="65">
        <f>IFERROR(__xludf.DUMMYFUNCTION("""COMPUTED_VALUE"""),0.0)</f>
        <v>0</v>
      </c>
      <c r="X406" s="65">
        <f>IFERROR(__xludf.DUMMYFUNCTION("""COMPUTED_VALUE"""),2.35)</f>
        <v>2.35</v>
      </c>
      <c r="Y406" s="65">
        <f>IFERROR(__xludf.DUMMYFUNCTION("""COMPUTED_VALUE"""),4.7)</f>
        <v>4.7</v>
      </c>
      <c r="Z406" s="65">
        <f>IFERROR(__xludf.DUMMYFUNCTION("""COMPUTED_VALUE"""),116679.0)</f>
        <v>116679</v>
      </c>
      <c r="AA406" s="65" t="str">
        <f>IFERROR(__xludf.DUMMYFUNCTION("""COMPUTED_VALUE"""),"AMC-2738")</f>
        <v>AMC-2738</v>
      </c>
      <c r="AB406" s="65"/>
      <c r="AC406" s="65" t="str">
        <f>IFERROR(__xludf.DUMMYFUNCTION("""COMPUTED_VALUE"""),"ESPONJA ANTILLUVIA DE PARABRISAS")</f>
        <v>ESPONJA ANTILLUVIA DE PARABRISAS</v>
      </c>
      <c r="AD406" s="65"/>
      <c r="AE406" s="65">
        <f>IFERROR(__xludf.DUMMYFUNCTION("""COMPUTED_VALUE"""),2.0)</f>
        <v>2</v>
      </c>
      <c r="AF406" s="65"/>
      <c r="AG406" s="65"/>
      <c r="AH406" s="65"/>
      <c r="AI406" s="65"/>
      <c r="AJ406" s="65"/>
      <c r="AK406" s="65"/>
      <c r="AL406" s="65"/>
      <c r="AM406" s="65"/>
      <c r="AN406" s="65" t="str">
        <f>IFERROR(__xludf.DUMMYFUNCTION("""COMPUTED_VALUE"""),"14:09")</f>
        <v>14:09</v>
      </c>
      <c r="AO406" s="65" t="str">
        <f>IFERROR(__xludf.DUMMYFUNCTION("""COMPUTED_VALUE"""),"06-03-2026")</f>
        <v>06-03-2026</v>
      </c>
      <c r="AP406" s="65" t="str">
        <f>IFERROR(__xludf.DUMMYFUNCTION("""COMPUTED_VALUE"""),"ENTREGADA GINTRACOM")</f>
        <v>ENTREGADA GINTRACOM</v>
      </c>
      <c r="AQ406" s="65" t="str">
        <f>IFERROR(__xludf.DUMMYFUNCTION("""COMPUTED_VALUE"""),"ENTREGADA GINTRACOM")</f>
        <v>ENTREGADA GINTRACOM</v>
      </c>
      <c r="AR406" s="65"/>
      <c r="AS406" s="65"/>
      <c r="AT406" s="65" t="str">
        <f>IFERROR(__xludf.DUMMYFUNCTION("""COMPUTED_VALUE"""),"SHOPIFY")</f>
        <v>SHOPIFY</v>
      </c>
      <c r="AU406" s="65" t="str">
        <f>IFERROR(__xludf.DUMMYFUNCTION("""COMPUTED_VALUE"""),"IMPORTEX EC")</f>
        <v>IMPORTEX EC</v>
      </c>
      <c r="AV406" s="65" t="str">
        <f>IFERROR(__xludf.DUMMYFUNCTION("""COMPUTED_VALUE"""),"6549379776556")</f>
        <v>6549379776556</v>
      </c>
      <c r="AW406" s="65">
        <f>IFERROR(__xludf.DUMMYFUNCTION("""COMPUTED_VALUE"""),6460.0)</f>
        <v>6460</v>
      </c>
      <c r="AX406" s="65"/>
      <c r="AY406" s="65" t="str">
        <f>IFERROR(__xludf.DUMMYFUNCTION("""COMPUTED_VALUE"""),"03/03/2026")</f>
        <v>03/03/2026</v>
      </c>
      <c r="AZ406" s="65"/>
      <c r="BA406" s="65"/>
    </row>
    <row r="407">
      <c r="A407" s="65" t="str">
        <f>IFERROR(__xludf.DUMMYFUNCTION("""COMPUTED_VALUE"""),"27-03-2026")</f>
        <v>27-03-2026</v>
      </c>
      <c r="B407" s="65">
        <f>IFERROR(__xludf.DUMMYFUNCTION("""COMPUTED_VALUE"""),4658518.0)</f>
        <v>4658518</v>
      </c>
      <c r="C407" s="65" t="str">
        <f>IFERROR(__xludf.DUMMYFUNCTION("""COMPUTED_VALUE"""),"07:51")</f>
        <v>07:51</v>
      </c>
      <c r="D407" s="65" t="str">
        <f>IFERROR(__xludf.DUMMYFUNCTION("""COMPUTED_VALUE"""),"01-03-2026")</f>
        <v>01-03-2026</v>
      </c>
      <c r="E407" s="65" t="str">
        <f>IFERROR(__xludf.DUMMYFUNCTION("""COMPUTED_VALUE"""),"Fanny Castillo")</f>
        <v>Fanny Castillo</v>
      </c>
      <c r="F407" s="65" t="str">
        <f>IFERROR(__xludf.DUMMYFUNCTION("""COMPUTED_VALUE"""),"992084824")</f>
        <v>992084824</v>
      </c>
      <c r="G407" s="65" t="str">
        <f>IFERROR(__xludf.DUMMYFUNCTION("""COMPUTED_VALUE"""),"rannyrebecacastillomontero@gmail.com")</f>
        <v>rannyrebecacastillomontero@gmail.com</v>
      </c>
      <c r="H407" s="65"/>
      <c r="I407" s="65"/>
      <c r="J407" s="65"/>
      <c r="K407" s="65" t="str">
        <f>IFERROR(__xludf.DUMMYFUNCTION("""COMPUTED_VALUE"""),"CANCELADO")</f>
        <v>CANCELADO</v>
      </c>
      <c r="L407" s="65" t="str">
        <f>IFERROR(__xludf.DUMMYFUNCTION("""COMPUTED_VALUE"""),"CON RECAUDO")</f>
        <v>CON RECAUDO</v>
      </c>
      <c r="M407" s="65" t="str">
        <f>IFERROR(__xludf.DUMMYFUNCTION("""COMPUTED_VALUE"""),"ORELLANA")</f>
        <v>ORELLANA</v>
      </c>
      <c r="N407" s="65" t="str">
        <f>IFERROR(__xludf.DUMMYFUNCTION("""COMPUTED_VALUE"""),"EL COCA")</f>
        <v>EL COCA</v>
      </c>
      <c r="O407" s="65" t="str">
        <f>IFERROR(__xludf.DUMMYFUNCTION("""COMPUTED_VALUE"""),"Ecuador Sector las palomas -")</f>
        <v>Ecuador Sector las palomas -</v>
      </c>
      <c r="P407" s="65"/>
      <c r="Q407" s="65" t="str">
        <f>IFERROR(__xludf.DUMMYFUNCTION("""COMPUTED_VALUE"""),"GINTRACOM")</f>
        <v>GINTRACOM</v>
      </c>
      <c r="R407" s="65">
        <f>IFERROR(__xludf.DUMMYFUNCTION("""COMPUTED_VALUE"""),22.0)</f>
        <v>22</v>
      </c>
      <c r="S407" s="65"/>
      <c r="T407" s="65">
        <f>IFERROR(__xludf.DUMMYFUNCTION("""COMPUTED_VALUE"""),5.84)</f>
        <v>5.84</v>
      </c>
      <c r="U407" s="65">
        <f>IFERROR(__xludf.DUMMYFUNCTION("""COMPUTED_VALUE"""),0.0)</f>
        <v>0</v>
      </c>
      <c r="V407" s="65">
        <f>IFERROR(__xludf.DUMMYFUNCTION("""COMPUTED_VALUE"""),0.0)</f>
        <v>0</v>
      </c>
      <c r="W407" s="65">
        <f>IFERROR(__xludf.DUMMYFUNCTION("""COMPUTED_VALUE"""),0.0)</f>
        <v>0</v>
      </c>
      <c r="X407" s="65">
        <f>IFERROR(__xludf.DUMMYFUNCTION("""COMPUTED_VALUE"""),3.75)</f>
        <v>3.75</v>
      </c>
      <c r="Y407" s="65">
        <f>IFERROR(__xludf.DUMMYFUNCTION("""COMPUTED_VALUE"""),7.5)</f>
        <v>7.5</v>
      </c>
      <c r="Z407" s="65">
        <f>IFERROR(__xludf.DUMMYFUNCTION("""COMPUTED_VALUE"""),113116.0)</f>
        <v>113116</v>
      </c>
      <c r="AA407" s="65" t="str">
        <f>IFERROR(__xludf.DUMMYFUNCTION("""COMPUTED_VALUE"""),"IM-TAZAKI")</f>
        <v>IM-TAZAKI</v>
      </c>
      <c r="AB407" s="65"/>
      <c r="AC407" s="65" t="str">
        <f>IFERROR(__xludf.DUMMYFUNCTION("""COMPUTED_VALUE"""),"Cuchillo tazaki")</f>
        <v>Cuchillo tazaki</v>
      </c>
      <c r="AD407" s="65"/>
      <c r="AE407" s="65">
        <f>IFERROR(__xludf.DUMMYFUNCTION("""COMPUTED_VALUE"""),2.0)</f>
        <v>2</v>
      </c>
      <c r="AF407" s="65"/>
      <c r="AG407" s="65"/>
      <c r="AH407" s="65"/>
      <c r="AI407" s="65"/>
      <c r="AJ407" s="65"/>
      <c r="AK407" s="65"/>
      <c r="AL407" s="65"/>
      <c r="AM407" s="65"/>
      <c r="AN407" s="65"/>
      <c r="AO407" s="65"/>
      <c r="AP407" s="65"/>
      <c r="AQ407" s="65"/>
      <c r="AR407" s="65"/>
      <c r="AS407" s="65"/>
      <c r="AT407" s="65" t="str">
        <f>IFERROR(__xludf.DUMMYFUNCTION("""COMPUTED_VALUE"""),"SHOPIFY")</f>
        <v>SHOPIFY</v>
      </c>
      <c r="AU407" s="65" t="str">
        <f>IFERROR(__xludf.DUMMYFUNCTION("""COMPUTED_VALUE"""),"IMPORTEX EC")</f>
        <v>IMPORTEX EC</v>
      </c>
      <c r="AV407" s="65" t="str">
        <f>IFERROR(__xludf.DUMMYFUNCTION("""COMPUTED_VALUE"""),"6549371682860")</f>
        <v>6549371682860</v>
      </c>
      <c r="AW407" s="65">
        <f>IFERROR(__xludf.DUMMYFUNCTION("""COMPUTED_VALUE"""),6459.0)</f>
        <v>6459</v>
      </c>
      <c r="AX407" s="65"/>
      <c r="AY407" s="65"/>
      <c r="AZ407" s="65"/>
      <c r="BA407" s="65"/>
    </row>
    <row r="408">
      <c r="A408" s="65" t="str">
        <f>IFERROR(__xludf.DUMMYFUNCTION("""COMPUTED_VALUE"""),"27-03-2026")</f>
        <v>27-03-2026</v>
      </c>
      <c r="B408" s="65">
        <f>IFERROR(__xludf.DUMMYFUNCTION("""COMPUTED_VALUE"""),4658425.0)</f>
        <v>4658425</v>
      </c>
      <c r="C408" s="65" t="str">
        <f>IFERROR(__xludf.DUMMYFUNCTION("""COMPUTED_VALUE"""),"07:33")</f>
        <v>07:33</v>
      </c>
      <c r="D408" s="65" t="str">
        <f>IFERROR(__xludf.DUMMYFUNCTION("""COMPUTED_VALUE"""),"01-03-2026")</f>
        <v>01-03-2026</v>
      </c>
      <c r="E408" s="65" t="str">
        <f>IFERROR(__xludf.DUMMYFUNCTION("""COMPUTED_VALUE"""),"Freddy Chávez")</f>
        <v>Freddy Chávez</v>
      </c>
      <c r="F408" s="65" t="str">
        <f>IFERROR(__xludf.DUMMYFUNCTION("""COMPUTED_VALUE"""),"999164527")</f>
        <v>999164527</v>
      </c>
      <c r="G408" s="65" t="str">
        <f>IFERROR(__xludf.DUMMYFUNCTION("""COMPUTED_VALUE"""),"emiliano182011chavez@hotmail.com")</f>
        <v>emiliano182011chavez@hotmail.com</v>
      </c>
      <c r="H408" s="65"/>
      <c r="I408" s="65"/>
      <c r="J408" s="65" t="str">
        <f>IFERROR(__xludf.DUMMYFUNCTION("""COMPUTED_VALUE"""),"D001377937")</f>
        <v>D001377937</v>
      </c>
      <c r="K408" s="65" t="str">
        <f>IFERROR(__xludf.DUMMYFUNCTION("""COMPUTED_VALUE"""),"DEVOLUCION")</f>
        <v>DEVOLUCION</v>
      </c>
      <c r="L408" s="65" t="str">
        <f>IFERROR(__xludf.DUMMYFUNCTION("""COMPUTED_VALUE"""),"CON RECAUDO")</f>
        <v>CON RECAUDO</v>
      </c>
      <c r="M408" s="65" t="str">
        <f>IFERROR(__xludf.DUMMYFUNCTION("""COMPUTED_VALUE"""),"LOS RIOS")</f>
        <v>LOS RIOS</v>
      </c>
      <c r="N408" s="65" t="str">
        <f>IFERROR(__xludf.DUMMYFUNCTION("""COMPUTED_VALUE"""),"QUEVEDO")</f>
        <v>QUEVEDO</v>
      </c>
      <c r="O408" s="65" t="str">
        <f>IFERROR(__xludf.DUMMYFUNCTION("""COMPUTED_VALUE"""),"Manzana A6 Villa # 8 Cdla. El Guayacán, 2da Etapa -")</f>
        <v>Manzana A6 Villa # 8 Cdla. El Guayacán, 2da Etapa -</v>
      </c>
      <c r="P408" s="65"/>
      <c r="Q408" s="65" t="str">
        <f>IFERROR(__xludf.DUMMYFUNCTION("""COMPUTED_VALUE"""),"GINTRACOM")</f>
        <v>GINTRACOM</v>
      </c>
      <c r="R408" s="65">
        <f>IFERROR(__xludf.DUMMYFUNCTION("""COMPUTED_VALUE"""),20.0)</f>
        <v>20</v>
      </c>
      <c r="S408" s="65"/>
      <c r="T408" s="65">
        <f>IFERROR(__xludf.DUMMYFUNCTION("""COMPUTED_VALUE"""),5.76)</f>
        <v>5.76</v>
      </c>
      <c r="U408" s="65">
        <f>IFERROR(__xludf.DUMMYFUNCTION("""COMPUTED_VALUE"""),0.0)</f>
        <v>0</v>
      </c>
      <c r="V408" s="65">
        <f>IFERROR(__xludf.DUMMYFUNCTION("""COMPUTED_VALUE"""),0.0)</f>
        <v>0</v>
      </c>
      <c r="W408" s="65">
        <f>IFERROR(__xludf.DUMMYFUNCTION("""COMPUTED_VALUE"""),0.0)</f>
        <v>0</v>
      </c>
      <c r="X408" s="65">
        <f>IFERROR(__xludf.DUMMYFUNCTION("""COMPUTED_VALUE"""),2.35)</f>
        <v>2.35</v>
      </c>
      <c r="Y408" s="65">
        <f>IFERROR(__xludf.DUMMYFUNCTION("""COMPUTED_VALUE"""),2.35)</f>
        <v>2.35</v>
      </c>
      <c r="Z408" s="65">
        <f>IFERROR(__xludf.DUMMYFUNCTION("""COMPUTED_VALUE"""),116679.0)</f>
        <v>116679</v>
      </c>
      <c r="AA408" s="65" t="str">
        <f>IFERROR(__xludf.DUMMYFUNCTION("""COMPUTED_VALUE"""),"AMC-2738")</f>
        <v>AMC-2738</v>
      </c>
      <c r="AB408" s="65"/>
      <c r="AC408" s="65" t="str">
        <f>IFERROR(__xludf.DUMMYFUNCTION("""COMPUTED_VALUE"""),"ESPONJA ANTILLUVIA DE PARABRISAS")</f>
        <v>ESPONJA ANTILLUVIA DE PARABRISAS</v>
      </c>
      <c r="AD408" s="65"/>
      <c r="AE408" s="65">
        <f>IFERROR(__xludf.DUMMYFUNCTION("""COMPUTED_VALUE"""),1.0)</f>
        <v>1</v>
      </c>
      <c r="AF408" s="65" t="str">
        <f>IFERROR(__xludf.DUMMYFUNCTION("""COMPUTED_VALUE"""),"DESTINATARIO NO CONTESTA LLAMADAS NI WHATSAPP")</f>
        <v>DESTINATARIO NO CONTESTA LLAMADAS NI WHATSAPP</v>
      </c>
      <c r="AG408" s="65" t="str">
        <f>IFERROR(__xludf.DUMMYFUNCTION("""COMPUTED_VALUE"""),"NO")</f>
        <v>NO</v>
      </c>
      <c r="AH408" s="65" t="str">
        <f>IFERROR(__xludf.DUMMYFUNCTION("""COMPUTED_VALUE"""),"16:40")</f>
        <v>16:40</v>
      </c>
      <c r="AI408" s="65" t="str">
        <f>IFERROR(__xludf.DUMMYFUNCTION("""COMPUTED_VALUE"""),"14-03-2026")</f>
        <v>14-03-2026</v>
      </c>
      <c r="AJ408" s="65"/>
      <c r="AK408" s="65"/>
      <c r="AL408" s="65"/>
      <c r="AM408" s="65"/>
      <c r="AN408" s="65" t="str">
        <f>IFERROR(__xludf.DUMMYFUNCTION("""COMPUTED_VALUE"""),"16:40")</f>
        <v>16:40</v>
      </c>
      <c r="AO408" s="65" t="str">
        <f>IFERROR(__xludf.DUMMYFUNCTION("""COMPUTED_VALUE"""),"14-03-2026")</f>
        <v>14-03-2026</v>
      </c>
      <c r="AP408" s="65" t="str">
        <f>IFERROR(__xludf.DUMMYFUNCTION("""COMPUTED_VALUE"""),"DESTINATARIO NO CONTESTA LLAMADAS NI WHATSAPP")</f>
        <v>DESTINATARIO NO CONTESTA LLAMADAS NI WHATSAPP</v>
      </c>
      <c r="AQ408" s="65" t="str">
        <f>IFERROR(__xludf.DUMMYFUNCTION("""COMPUTED_VALUE"""),"DESTINATARIO NO CONTESTA LLAMADAS NI WHATSAPP")</f>
        <v>DESTINATARIO NO CONTESTA LLAMADAS NI WHATSAPP</v>
      </c>
      <c r="AR408" s="65"/>
      <c r="AS408" s="65"/>
      <c r="AT408" s="65" t="str">
        <f>IFERROR(__xludf.DUMMYFUNCTION("""COMPUTED_VALUE"""),"SHOPIFY")</f>
        <v>SHOPIFY</v>
      </c>
      <c r="AU408" s="65" t="str">
        <f>IFERROR(__xludf.DUMMYFUNCTION("""COMPUTED_VALUE"""),"IMPORTEX EC")</f>
        <v>IMPORTEX EC</v>
      </c>
      <c r="AV408" s="65" t="str">
        <f>IFERROR(__xludf.DUMMYFUNCTION("""COMPUTED_VALUE"""),"6549352120364")</f>
        <v>6549352120364</v>
      </c>
      <c r="AW408" s="65">
        <f>IFERROR(__xludf.DUMMYFUNCTION("""COMPUTED_VALUE"""),6458.0)</f>
        <v>6458</v>
      </c>
      <c r="AX408" s="65"/>
      <c r="AY408" s="65" t="str">
        <f>IFERROR(__xludf.DUMMYFUNCTION("""COMPUTED_VALUE"""),"03/03/2026")</f>
        <v>03/03/2026</v>
      </c>
      <c r="AZ408" s="65"/>
      <c r="BA408" s="65"/>
    </row>
    <row r="409">
      <c r="A409" s="65" t="str">
        <f>IFERROR(__xludf.DUMMYFUNCTION("""COMPUTED_VALUE"""),"27-03-2026")</f>
        <v>27-03-2026</v>
      </c>
      <c r="B409" s="65">
        <f>IFERROR(__xludf.DUMMYFUNCTION("""COMPUTED_VALUE"""),4658369.0)</f>
        <v>4658369</v>
      </c>
      <c r="C409" s="65" t="str">
        <f>IFERROR(__xludf.DUMMYFUNCTION("""COMPUTED_VALUE"""),"07:23")</f>
        <v>07:23</v>
      </c>
      <c r="D409" s="65" t="str">
        <f>IFERROR(__xludf.DUMMYFUNCTION("""COMPUTED_VALUE"""),"01-03-2026")</f>
        <v>01-03-2026</v>
      </c>
      <c r="E409" s="65" t="str">
        <f>IFERROR(__xludf.DUMMYFUNCTION("""COMPUTED_VALUE"""),"Jorge Aguinda")</f>
        <v>Jorge Aguinda</v>
      </c>
      <c r="F409" s="65" t="str">
        <f>IFERROR(__xludf.DUMMYFUNCTION("""COMPUTED_VALUE"""),"999912349")</f>
        <v>999912349</v>
      </c>
      <c r="G409" s="65" t="str">
        <f>IFERROR(__xludf.DUMMYFUNCTION("""COMPUTED_VALUE"""),"jorge.aguinda@yahoo.es")</f>
        <v>jorge.aguinda@yahoo.es</v>
      </c>
      <c r="H409" s="65"/>
      <c r="I409" s="65"/>
      <c r="J409" s="65"/>
      <c r="K409" s="65" t="str">
        <f>IFERROR(__xludf.DUMMYFUNCTION("""COMPUTED_VALUE"""),"PENDIENTE CONFIRMACION")</f>
        <v>PENDIENTE CONFIRMACION</v>
      </c>
      <c r="L409" s="65" t="str">
        <f>IFERROR(__xludf.DUMMYFUNCTION("""COMPUTED_VALUE"""),"CON RECAUDO")</f>
        <v>CON RECAUDO</v>
      </c>
      <c r="M409" s="65" t="str">
        <f>IFERROR(__xludf.DUMMYFUNCTION("""COMPUTED_VALUE"""),"NAPO")</f>
        <v>NAPO</v>
      </c>
      <c r="N409" s="65" t="str">
        <f>IFERROR(__xludf.DUMMYFUNCTION("""COMPUTED_VALUE"""),"TENA")</f>
        <v>TENA</v>
      </c>
      <c r="O409" s="65" t="str">
        <f>IFERROR(__xludf.DUMMYFUNCTION("""COMPUTED_VALUE"""),"Av. Sumaco Junto al Ministerio del Ambiente -")</f>
        <v>Av. Sumaco Junto al Ministerio del Ambiente -</v>
      </c>
      <c r="P409" s="65"/>
      <c r="Q409" s="65" t="str">
        <f>IFERROR(__xludf.DUMMYFUNCTION("""COMPUTED_VALUE"""),"GINTRACOM")</f>
        <v>GINTRACOM</v>
      </c>
      <c r="R409" s="65">
        <f>IFERROR(__xludf.DUMMYFUNCTION("""COMPUTED_VALUE"""),30.0)</f>
        <v>30</v>
      </c>
      <c r="S409" s="65"/>
      <c r="T409" s="65">
        <f>IFERROR(__xludf.DUMMYFUNCTION("""COMPUTED_VALUE"""),6.16)</f>
        <v>6.16</v>
      </c>
      <c r="U409" s="65">
        <f>IFERROR(__xludf.DUMMYFUNCTION("""COMPUTED_VALUE"""),0.0)</f>
        <v>0</v>
      </c>
      <c r="V409" s="65">
        <f>IFERROR(__xludf.DUMMYFUNCTION("""COMPUTED_VALUE"""),0.0)</f>
        <v>0</v>
      </c>
      <c r="W409" s="65">
        <f>IFERROR(__xludf.DUMMYFUNCTION("""COMPUTED_VALUE"""),0.0)</f>
        <v>0</v>
      </c>
      <c r="X409" s="65">
        <f>IFERROR(__xludf.DUMMYFUNCTION("""COMPUTED_VALUE"""),2.35)</f>
        <v>2.35</v>
      </c>
      <c r="Y409" s="65">
        <f>IFERROR(__xludf.DUMMYFUNCTION("""COMPUTED_VALUE"""),7.05)</f>
        <v>7.05</v>
      </c>
      <c r="Z409" s="65">
        <f>IFERROR(__xludf.DUMMYFUNCTION("""COMPUTED_VALUE"""),116679.0)</f>
        <v>116679</v>
      </c>
      <c r="AA409" s="65" t="str">
        <f>IFERROR(__xludf.DUMMYFUNCTION("""COMPUTED_VALUE"""),"AMC-2738")</f>
        <v>AMC-2738</v>
      </c>
      <c r="AB409" s="65"/>
      <c r="AC409" s="65" t="str">
        <f>IFERROR(__xludf.DUMMYFUNCTION("""COMPUTED_VALUE"""),"ESPONJA ANTILLUVIA DE PARABRISAS")</f>
        <v>ESPONJA ANTILLUVIA DE PARABRISAS</v>
      </c>
      <c r="AD409" s="65"/>
      <c r="AE409" s="65">
        <f>IFERROR(__xludf.DUMMYFUNCTION("""COMPUTED_VALUE"""),3.0)</f>
        <v>3</v>
      </c>
      <c r="AF409" s="65"/>
      <c r="AG409" s="65"/>
      <c r="AH409" s="65"/>
      <c r="AI409" s="65"/>
      <c r="AJ409" s="65"/>
      <c r="AK409" s="65"/>
      <c r="AL409" s="65"/>
      <c r="AM409" s="65"/>
      <c r="AN409" s="65"/>
      <c r="AO409" s="65"/>
      <c r="AP409" s="65"/>
      <c r="AQ409" s="65"/>
      <c r="AR409" s="65"/>
      <c r="AS409" s="65"/>
      <c r="AT409" s="65" t="str">
        <f>IFERROR(__xludf.DUMMYFUNCTION("""COMPUTED_VALUE"""),"SHOPIFY")</f>
        <v>SHOPIFY</v>
      </c>
      <c r="AU409" s="65" t="str">
        <f>IFERROR(__xludf.DUMMYFUNCTION("""COMPUTED_VALUE"""),"IMPORTEX EC")</f>
        <v>IMPORTEX EC</v>
      </c>
      <c r="AV409" s="65" t="str">
        <f>IFERROR(__xludf.DUMMYFUNCTION("""COMPUTED_VALUE"""),"6549343535148")</f>
        <v>6549343535148</v>
      </c>
      <c r="AW409" s="65">
        <f>IFERROR(__xludf.DUMMYFUNCTION("""COMPUTED_VALUE"""),6457.0)</f>
        <v>6457</v>
      </c>
      <c r="AX409" s="65"/>
      <c r="AY409" s="65"/>
      <c r="AZ409" s="65"/>
      <c r="BA409" s="65"/>
    </row>
    <row r="410">
      <c r="A410" s="65" t="str">
        <f>IFERROR(__xludf.DUMMYFUNCTION("""COMPUTED_VALUE"""),"27-03-2026")</f>
        <v>27-03-2026</v>
      </c>
      <c r="B410" s="65">
        <f>IFERROR(__xludf.DUMMYFUNCTION("""COMPUTED_VALUE"""),4658335.0)</f>
        <v>4658335</v>
      </c>
      <c r="C410" s="65" t="str">
        <f>IFERROR(__xludf.DUMMYFUNCTION("""COMPUTED_VALUE"""),"07:19")</f>
        <v>07:19</v>
      </c>
      <c r="D410" s="65" t="str">
        <f>IFERROR(__xludf.DUMMYFUNCTION("""COMPUTED_VALUE"""),"01-03-2026")</f>
        <v>01-03-2026</v>
      </c>
      <c r="E410" s="65" t="str">
        <f>IFERROR(__xludf.DUMMYFUNCTION("""COMPUTED_VALUE"""),"ANGEL Cedillo")</f>
        <v>ANGEL Cedillo</v>
      </c>
      <c r="F410" s="65" t="str">
        <f>IFERROR(__xludf.DUMMYFUNCTION("""COMPUTED_VALUE"""),"962558506")</f>
        <v>962558506</v>
      </c>
      <c r="G410" s="65" t="str">
        <f>IFERROR(__xludf.DUMMYFUNCTION("""COMPUTED_VALUE"""),"cedillomichael2020@gmail.com")</f>
        <v>cedillomichael2020@gmail.com</v>
      </c>
      <c r="H410" s="65"/>
      <c r="I410" s="65"/>
      <c r="J410" s="65"/>
      <c r="K410" s="65" t="str">
        <f>IFERROR(__xludf.DUMMYFUNCTION("""COMPUTED_VALUE"""),"PENDIENTE CONFIRMACION")</f>
        <v>PENDIENTE CONFIRMACION</v>
      </c>
      <c r="L410" s="65" t="str">
        <f>IFERROR(__xludf.DUMMYFUNCTION("""COMPUTED_VALUE"""),"CON RECAUDO")</f>
        <v>CON RECAUDO</v>
      </c>
      <c r="M410" s="65" t="str">
        <f>IFERROR(__xludf.DUMMYFUNCTION("""COMPUTED_VALUE"""),"GUAYAS")</f>
        <v>GUAYAS</v>
      </c>
      <c r="N410" s="65" t="str">
        <f>IFERROR(__xludf.DUMMYFUNCTION("""COMPUTED_VALUE"""),"EL TRIUNFO")</f>
        <v>EL TRIUNFO</v>
      </c>
      <c r="O410" s="65" t="str">
        <f>IFERROR(__xludf.DUMMYFUNCTION("""COMPUTED_VALUE"""),"Por agripac al fondo Aníbal Zea 1 -")</f>
        <v>Por agripac al fondo Aníbal Zea 1 -</v>
      </c>
      <c r="P410" s="65"/>
      <c r="Q410" s="65" t="str">
        <f>IFERROR(__xludf.DUMMYFUNCTION("""COMPUTED_VALUE"""),"GINTRACOM")</f>
        <v>GINTRACOM</v>
      </c>
      <c r="R410" s="65">
        <f>IFERROR(__xludf.DUMMYFUNCTION("""COMPUTED_VALUE"""),22.0)</f>
        <v>22</v>
      </c>
      <c r="S410" s="65"/>
      <c r="T410" s="65">
        <f>IFERROR(__xludf.DUMMYFUNCTION("""COMPUTED_VALUE"""),6.41)</f>
        <v>6.41</v>
      </c>
      <c r="U410" s="65">
        <f>IFERROR(__xludf.DUMMYFUNCTION("""COMPUTED_VALUE"""),0.0)</f>
        <v>0</v>
      </c>
      <c r="V410" s="65">
        <f>IFERROR(__xludf.DUMMYFUNCTION("""COMPUTED_VALUE"""),0.0)</f>
        <v>0</v>
      </c>
      <c r="W410" s="65">
        <f>IFERROR(__xludf.DUMMYFUNCTION("""COMPUTED_VALUE"""),0.0)</f>
        <v>0</v>
      </c>
      <c r="X410" s="65">
        <f>IFERROR(__xludf.DUMMYFUNCTION("""COMPUTED_VALUE"""),3.75)</f>
        <v>3.75</v>
      </c>
      <c r="Y410" s="65">
        <f>IFERROR(__xludf.DUMMYFUNCTION("""COMPUTED_VALUE"""),7.5)</f>
        <v>7.5</v>
      </c>
      <c r="Z410" s="65">
        <f>IFERROR(__xludf.DUMMYFUNCTION("""COMPUTED_VALUE"""),113116.0)</f>
        <v>113116</v>
      </c>
      <c r="AA410" s="65" t="str">
        <f>IFERROR(__xludf.DUMMYFUNCTION("""COMPUTED_VALUE"""),"IM-TAZAKI")</f>
        <v>IM-TAZAKI</v>
      </c>
      <c r="AB410" s="65"/>
      <c r="AC410" s="65" t="str">
        <f>IFERROR(__xludf.DUMMYFUNCTION("""COMPUTED_VALUE"""),"Cuchillo tazaki")</f>
        <v>Cuchillo tazaki</v>
      </c>
      <c r="AD410" s="65"/>
      <c r="AE410" s="65">
        <f>IFERROR(__xludf.DUMMYFUNCTION("""COMPUTED_VALUE"""),2.0)</f>
        <v>2</v>
      </c>
      <c r="AF410" s="65"/>
      <c r="AG410" s="65"/>
      <c r="AH410" s="65"/>
      <c r="AI410" s="65"/>
      <c r="AJ410" s="65"/>
      <c r="AK410" s="65"/>
      <c r="AL410" s="65"/>
      <c r="AM410" s="65"/>
      <c r="AN410" s="65"/>
      <c r="AO410" s="65"/>
      <c r="AP410" s="65"/>
      <c r="AQ410" s="65"/>
      <c r="AR410" s="65"/>
      <c r="AS410" s="65"/>
      <c r="AT410" s="65" t="str">
        <f>IFERROR(__xludf.DUMMYFUNCTION("""COMPUTED_VALUE"""),"SHOPIFY")</f>
        <v>SHOPIFY</v>
      </c>
      <c r="AU410" s="65" t="str">
        <f>IFERROR(__xludf.DUMMYFUNCTION("""COMPUTED_VALUE"""),"IMPORTEX EC")</f>
        <v>IMPORTEX EC</v>
      </c>
      <c r="AV410" s="65" t="str">
        <f>IFERROR(__xludf.DUMMYFUNCTION("""COMPUTED_VALUE"""),"6549340520492")</f>
        <v>6549340520492</v>
      </c>
      <c r="AW410" s="65">
        <f>IFERROR(__xludf.DUMMYFUNCTION("""COMPUTED_VALUE"""),6456.0)</f>
        <v>6456</v>
      </c>
      <c r="AX410" s="65"/>
      <c r="AY410" s="65"/>
      <c r="AZ410" s="65"/>
      <c r="BA410" s="65"/>
    </row>
    <row r="411">
      <c r="A411" s="65" t="str">
        <f>IFERROR(__xludf.DUMMYFUNCTION("""COMPUTED_VALUE"""),"27-03-2026")</f>
        <v>27-03-2026</v>
      </c>
      <c r="B411" s="65">
        <f>IFERROR(__xludf.DUMMYFUNCTION("""COMPUTED_VALUE"""),4658017.0)</f>
        <v>4658017</v>
      </c>
      <c r="C411" s="65" t="str">
        <f>IFERROR(__xludf.DUMMYFUNCTION("""COMPUTED_VALUE"""),"06:19")</f>
        <v>06:19</v>
      </c>
      <c r="D411" s="65" t="str">
        <f>IFERROR(__xludf.DUMMYFUNCTION("""COMPUTED_VALUE"""),"01-03-2026")</f>
        <v>01-03-2026</v>
      </c>
      <c r="E411" s="65" t="str">
        <f>IFERROR(__xludf.DUMMYFUNCTION("""COMPUTED_VALUE"""),"Roberto Aragón")</f>
        <v>Roberto Aragón</v>
      </c>
      <c r="F411" s="65" t="str">
        <f>IFERROR(__xludf.DUMMYFUNCTION("""COMPUTED_VALUE"""),"998372397")</f>
        <v>998372397</v>
      </c>
      <c r="G411" s="65" t="str">
        <f>IFERROR(__xludf.DUMMYFUNCTION("""COMPUTED_VALUE"""),"eroh14@live.com")</f>
        <v>eroh14@live.com</v>
      </c>
      <c r="H411" s="65"/>
      <c r="I411" s="65"/>
      <c r="J411" s="65" t="str">
        <f>IFERROR(__xludf.DUMMYFUNCTION("""COMPUTED_VALUE"""),"D001377938")</f>
        <v>D001377938</v>
      </c>
      <c r="K411" s="65" t="str">
        <f>IFERROR(__xludf.DUMMYFUNCTION("""COMPUTED_VALUE"""),"ENTREGADO")</f>
        <v>ENTREGADO</v>
      </c>
      <c r="L411" s="65" t="str">
        <f>IFERROR(__xludf.DUMMYFUNCTION("""COMPUTED_VALUE"""),"CON RECAUDO")</f>
        <v>CON RECAUDO</v>
      </c>
      <c r="M411" s="65" t="str">
        <f>IFERROR(__xludf.DUMMYFUNCTION("""COMPUTED_VALUE"""),"PICHINCHA")</f>
        <v>PICHINCHA</v>
      </c>
      <c r="N411" s="65" t="str">
        <f>IFERROR(__xludf.DUMMYFUNCTION("""COMPUTED_VALUE"""),"QUITO")</f>
        <v>QUITO</v>
      </c>
      <c r="O411" s="65" t="str">
        <f>IFERROR(__xludf.DUMMYFUNCTION("""COMPUTED_VALUE"""),"Av. de los Shyris y Rio Coca Nro. 4423 Edificio de la policía a frente de moví compu")</f>
        <v>Av. de los Shyris y Rio Coca Nro. 4423 Edificio de la policía a frente de moví compu</v>
      </c>
      <c r="P411" s="65"/>
      <c r="Q411" s="65" t="str">
        <f>IFERROR(__xludf.DUMMYFUNCTION("""COMPUTED_VALUE"""),"GINTRACOM")</f>
        <v>GINTRACOM</v>
      </c>
      <c r="R411" s="65">
        <f>IFERROR(__xludf.DUMMYFUNCTION("""COMPUTED_VALUE"""),30.0)</f>
        <v>30</v>
      </c>
      <c r="S411" s="65">
        <f>IFERROR(__xludf.DUMMYFUNCTION("""COMPUTED_VALUE"""),18.4)</f>
        <v>18.4</v>
      </c>
      <c r="T411" s="65">
        <f>IFERROR(__xludf.DUMMYFUNCTION("""COMPUTED_VALUE"""),4.55)</f>
        <v>4.55</v>
      </c>
      <c r="U411" s="65">
        <f>IFERROR(__xludf.DUMMYFUNCTION("""COMPUTED_VALUE"""),0.0)</f>
        <v>0</v>
      </c>
      <c r="V411" s="65">
        <f>IFERROR(__xludf.DUMMYFUNCTION("""COMPUTED_VALUE"""),0.0)</f>
        <v>0</v>
      </c>
      <c r="W411" s="65">
        <f>IFERROR(__xludf.DUMMYFUNCTION("""COMPUTED_VALUE"""),0.0)</f>
        <v>0</v>
      </c>
      <c r="X411" s="65">
        <f>IFERROR(__xludf.DUMMYFUNCTION("""COMPUTED_VALUE"""),2.35)</f>
        <v>2.35</v>
      </c>
      <c r="Y411" s="65">
        <f>IFERROR(__xludf.DUMMYFUNCTION("""COMPUTED_VALUE"""),7.05)</f>
        <v>7.05</v>
      </c>
      <c r="Z411" s="65">
        <f>IFERROR(__xludf.DUMMYFUNCTION("""COMPUTED_VALUE"""),116679.0)</f>
        <v>116679</v>
      </c>
      <c r="AA411" s="65" t="str">
        <f>IFERROR(__xludf.DUMMYFUNCTION("""COMPUTED_VALUE"""),"AMC-2738")</f>
        <v>AMC-2738</v>
      </c>
      <c r="AB411" s="65"/>
      <c r="AC411" s="65" t="str">
        <f>IFERROR(__xludf.DUMMYFUNCTION("""COMPUTED_VALUE"""),"ESPONJA ANTILLUVIA DE PARABRISAS")</f>
        <v>ESPONJA ANTILLUVIA DE PARABRISAS</v>
      </c>
      <c r="AD411" s="65"/>
      <c r="AE411" s="65">
        <f>IFERROR(__xludf.DUMMYFUNCTION("""COMPUTED_VALUE"""),3.0)</f>
        <v>3</v>
      </c>
      <c r="AF411" s="65"/>
      <c r="AG411" s="65"/>
      <c r="AH411" s="65"/>
      <c r="AI411" s="65"/>
      <c r="AJ411" s="65"/>
      <c r="AK411" s="65"/>
      <c r="AL411" s="65"/>
      <c r="AM411" s="65"/>
      <c r="AN411" s="65" t="str">
        <f>IFERROR(__xludf.DUMMYFUNCTION("""COMPUTED_VALUE"""),"12:29")</f>
        <v>12:29</v>
      </c>
      <c r="AO411" s="65" t="str">
        <f>IFERROR(__xludf.DUMMYFUNCTION("""COMPUTED_VALUE"""),"05-03-2026")</f>
        <v>05-03-2026</v>
      </c>
      <c r="AP411" s="65" t="str">
        <f>IFERROR(__xludf.DUMMYFUNCTION("""COMPUTED_VALUE"""),"ENTREGADA GINTRACOM")</f>
        <v>ENTREGADA GINTRACOM</v>
      </c>
      <c r="AQ411" s="65" t="str">
        <f>IFERROR(__xludf.DUMMYFUNCTION("""COMPUTED_VALUE"""),"ENTREGADA GINTRACOM")</f>
        <v>ENTREGADA GINTRACOM</v>
      </c>
      <c r="AR411" s="65"/>
      <c r="AS411" s="65"/>
      <c r="AT411" s="65" t="str">
        <f>IFERROR(__xludf.DUMMYFUNCTION("""COMPUTED_VALUE"""),"SHOPIFY")</f>
        <v>SHOPIFY</v>
      </c>
      <c r="AU411" s="65" t="str">
        <f>IFERROR(__xludf.DUMMYFUNCTION("""COMPUTED_VALUE"""),"IMPORTEX EC")</f>
        <v>IMPORTEX EC</v>
      </c>
      <c r="AV411" s="65" t="str">
        <f>IFERROR(__xludf.DUMMYFUNCTION("""COMPUTED_VALUE"""),"6549229764652")</f>
        <v>6549229764652</v>
      </c>
      <c r="AW411" s="65">
        <f>IFERROR(__xludf.DUMMYFUNCTION("""COMPUTED_VALUE"""),6455.0)</f>
        <v>6455</v>
      </c>
      <c r="AX411" s="65"/>
      <c r="AY411" s="65" t="str">
        <f>IFERROR(__xludf.DUMMYFUNCTION("""COMPUTED_VALUE"""),"03/03/2026")</f>
        <v>03/03/2026</v>
      </c>
      <c r="AZ411" s="65"/>
      <c r="BA411" s="65"/>
    </row>
    <row r="412">
      <c r="A412" s="65" t="str">
        <f>IFERROR(__xludf.DUMMYFUNCTION("""COMPUTED_VALUE"""),"27-03-2026")</f>
        <v>27-03-2026</v>
      </c>
      <c r="B412" s="65">
        <f>IFERROR(__xludf.DUMMYFUNCTION("""COMPUTED_VALUE"""),4658016.0)</f>
        <v>4658016</v>
      </c>
      <c r="C412" s="65" t="str">
        <f>IFERROR(__xludf.DUMMYFUNCTION("""COMPUTED_VALUE"""),"06:18")</f>
        <v>06:18</v>
      </c>
      <c r="D412" s="65" t="str">
        <f>IFERROR(__xludf.DUMMYFUNCTION("""COMPUTED_VALUE"""),"01-03-2026")</f>
        <v>01-03-2026</v>
      </c>
      <c r="E412" s="65" t="str">
        <f>IFERROR(__xludf.DUMMYFUNCTION("""COMPUTED_VALUE"""),"Luis Alfredo Avemañay Pilamunga")</f>
        <v>Luis Alfredo Avemañay Pilamunga</v>
      </c>
      <c r="F412" s="65" t="str">
        <f>IFERROR(__xludf.DUMMYFUNCTION("""COMPUTED_VALUE"""),"986836851")</f>
        <v>986836851</v>
      </c>
      <c r="G412" s="65" t="str">
        <f>IFERROR(__xludf.DUMMYFUNCTION("""COMPUTED_VALUE"""),"luisavemanay1981@gmail.com")</f>
        <v>luisavemanay1981@gmail.com</v>
      </c>
      <c r="H412" s="65"/>
      <c r="I412" s="65"/>
      <c r="J412" s="65" t="str">
        <f>IFERROR(__xludf.DUMMYFUNCTION("""COMPUTED_VALUE"""),"D001377156")</f>
        <v>D001377156</v>
      </c>
      <c r="K412" s="65" t="str">
        <f>IFERROR(__xludf.DUMMYFUNCTION("""COMPUTED_VALUE"""),"DEVOLUCION")</f>
        <v>DEVOLUCION</v>
      </c>
      <c r="L412" s="65" t="str">
        <f>IFERROR(__xludf.DUMMYFUNCTION("""COMPUTED_VALUE"""),"CON RECAUDO")</f>
        <v>CON RECAUDO</v>
      </c>
      <c r="M412" s="65" t="str">
        <f>IFERROR(__xludf.DUMMYFUNCTION("""COMPUTED_VALUE"""),"GUAYAS")</f>
        <v>GUAYAS</v>
      </c>
      <c r="N412" s="65" t="str">
        <f>IFERROR(__xludf.DUMMYFUNCTION("""COMPUTED_VALUE"""),"NARANJITO")</f>
        <v>NARANJITO</v>
      </c>
      <c r="O412" s="65" t="str">
        <f>IFERROR(__xludf.DUMMYFUNCTION("""COMPUTED_VALUE"""),"Av. 5 de Octubre y Vicente Rocafuerte Cdla. Xavier Marcos la puntilla -")</f>
        <v>Av. 5 de Octubre y Vicente Rocafuerte Cdla. Xavier Marcos la puntilla -</v>
      </c>
      <c r="P412" s="65"/>
      <c r="Q412" s="65" t="str">
        <f>IFERROR(__xludf.DUMMYFUNCTION("""COMPUTED_VALUE"""),"GINTRACOM")</f>
        <v>GINTRACOM</v>
      </c>
      <c r="R412" s="65">
        <f>IFERROR(__xludf.DUMMYFUNCTION("""COMPUTED_VALUE"""),24.2)</f>
        <v>24.2</v>
      </c>
      <c r="S412" s="65"/>
      <c r="T412" s="65">
        <f>IFERROR(__xludf.DUMMYFUNCTION("""COMPUTED_VALUE"""),6.49)</f>
        <v>6.49</v>
      </c>
      <c r="U412" s="65">
        <f>IFERROR(__xludf.DUMMYFUNCTION("""COMPUTED_VALUE"""),0.0)</f>
        <v>0</v>
      </c>
      <c r="V412" s="65">
        <f>IFERROR(__xludf.DUMMYFUNCTION("""COMPUTED_VALUE"""),0.0)</f>
        <v>0</v>
      </c>
      <c r="W412" s="65">
        <f>IFERROR(__xludf.DUMMYFUNCTION("""COMPUTED_VALUE"""),0.0)</f>
        <v>0</v>
      </c>
      <c r="X412" s="65">
        <f>IFERROR(__xludf.DUMMYFUNCTION("""COMPUTED_VALUE"""),5.0)</f>
        <v>5</v>
      </c>
      <c r="Y412" s="65">
        <f>IFERROR(__xludf.DUMMYFUNCTION("""COMPUTED_VALUE"""),10.0)</f>
        <v>10</v>
      </c>
      <c r="Z412" s="65">
        <f>IFERROR(__xludf.DUMMYFUNCTION("""COMPUTED_VALUE"""),130492.0)</f>
        <v>130492</v>
      </c>
      <c r="AA412" s="65" t="str">
        <f>IFERROR(__xludf.DUMMYFUNCTION("""COMPUTED_VALUE"""),"IMX-00006")</f>
        <v>IMX-00006</v>
      </c>
      <c r="AB412" s="65"/>
      <c r="AC412" s="65" t="str">
        <f>IFERROR(__xludf.DUMMYFUNCTION("""COMPUTED_VALUE"""),"Receptor Bluetooth")</f>
        <v>Receptor Bluetooth</v>
      </c>
      <c r="AD412" s="65"/>
      <c r="AE412" s="65">
        <f>IFERROR(__xludf.DUMMYFUNCTION("""COMPUTED_VALUE"""),2.0)</f>
        <v>2</v>
      </c>
      <c r="AF412" s="65" t="str">
        <f>IFERROR(__xludf.DUMMYFUNCTION("""COMPUTED_VALUE"""),"DESTINATARIO NO CONTESTA LLAMADAS NI WHATSAPP")</f>
        <v>DESTINATARIO NO CONTESTA LLAMADAS NI WHATSAPP</v>
      </c>
      <c r="AG412" s="65" t="str">
        <f>IFERROR(__xludf.DUMMYFUNCTION("""COMPUTED_VALUE"""),"NO")</f>
        <v>NO</v>
      </c>
      <c r="AH412" s="65" t="str">
        <f>IFERROR(__xludf.DUMMYFUNCTION("""COMPUTED_VALUE"""),"16:01")</f>
        <v>16:01</v>
      </c>
      <c r="AI412" s="65" t="str">
        <f>IFERROR(__xludf.DUMMYFUNCTION("""COMPUTED_VALUE"""),"13-03-2026")</f>
        <v>13-03-2026</v>
      </c>
      <c r="AJ412" s="65"/>
      <c r="AK412" s="65"/>
      <c r="AL412" s="65"/>
      <c r="AM412" s="65"/>
      <c r="AN412" s="65" t="str">
        <f>IFERROR(__xludf.DUMMYFUNCTION("""COMPUTED_VALUE"""),"11:03")</f>
        <v>11:03</v>
      </c>
      <c r="AO412" s="65" t="str">
        <f>IFERROR(__xludf.DUMMYFUNCTION("""COMPUTED_VALUE"""),"26-03-2026")</f>
        <v>26-03-2026</v>
      </c>
      <c r="AP412" s="65" t="str">
        <f>IFERROR(__xludf.DUMMYFUNCTION("""COMPUTED_VALUE"""),"DEVOLUCIÓN ENTREGADA A ORIGEN")</f>
        <v>DEVOLUCIÓN ENTREGADA A ORIGEN</v>
      </c>
      <c r="AQ412" s="65" t="str">
        <f>IFERROR(__xludf.DUMMYFUNCTION("""COMPUTED_VALUE"""),"DEVOLUCIÓN ENTREGADA A ORIGEN")</f>
        <v>DEVOLUCIÓN ENTREGADA A ORIGEN</v>
      </c>
      <c r="AR412" s="65"/>
      <c r="AS412" s="65"/>
      <c r="AT412" s="65" t="str">
        <f>IFERROR(__xludf.DUMMYFUNCTION("""COMPUTED_VALUE"""),"SHOPIFY")</f>
        <v>SHOPIFY</v>
      </c>
      <c r="AU412" s="65" t="str">
        <f>IFERROR(__xludf.DUMMYFUNCTION("""COMPUTED_VALUE"""),"IMPORTEX EC")</f>
        <v>IMPORTEX EC</v>
      </c>
      <c r="AV412" s="65" t="str">
        <f>IFERROR(__xludf.DUMMYFUNCTION("""COMPUTED_VALUE"""),"6549228716076")</f>
        <v>6549228716076</v>
      </c>
      <c r="AW412" s="65">
        <f>IFERROR(__xludf.DUMMYFUNCTION("""COMPUTED_VALUE"""),6454.0)</f>
        <v>6454</v>
      </c>
      <c r="AX412" s="65"/>
      <c r="AY412" s="65" t="str">
        <f>IFERROR(__xludf.DUMMYFUNCTION("""COMPUTED_VALUE"""),"03/03/2026")</f>
        <v>03/03/2026</v>
      </c>
      <c r="AZ412" s="65"/>
      <c r="BA412" s="65"/>
    </row>
    <row r="413">
      <c r="A413" s="65" t="str">
        <f>IFERROR(__xludf.DUMMYFUNCTION("""COMPUTED_VALUE"""),"27-03-2026")</f>
        <v>27-03-2026</v>
      </c>
      <c r="B413" s="65">
        <f>IFERROR(__xludf.DUMMYFUNCTION("""COMPUTED_VALUE"""),4657897.0)</f>
        <v>4657897</v>
      </c>
      <c r="C413" s="65" t="str">
        <f>IFERROR(__xludf.DUMMYFUNCTION("""COMPUTED_VALUE"""),"05:06")</f>
        <v>05:06</v>
      </c>
      <c r="D413" s="65" t="str">
        <f>IFERROR(__xludf.DUMMYFUNCTION("""COMPUTED_VALUE"""),"01-03-2026")</f>
        <v>01-03-2026</v>
      </c>
      <c r="E413" s="65" t="str">
        <f>IFERROR(__xludf.DUMMYFUNCTION("""COMPUTED_VALUE"""),"Juan Recalde")</f>
        <v>Juan Recalde</v>
      </c>
      <c r="F413" s="65" t="str">
        <f>IFERROR(__xludf.DUMMYFUNCTION("""COMPUTED_VALUE"""),"984123585")</f>
        <v>984123585</v>
      </c>
      <c r="G413" s="65" t="str">
        <f>IFERROR(__xludf.DUMMYFUNCTION("""COMPUTED_VALUE"""),"carwash1706@gmail.com")</f>
        <v>carwash1706@gmail.com</v>
      </c>
      <c r="H413" s="65"/>
      <c r="I413" s="65"/>
      <c r="J413" s="65"/>
      <c r="K413" s="65" t="str">
        <f>IFERROR(__xludf.DUMMYFUNCTION("""COMPUTED_VALUE"""),"CANCELADO")</f>
        <v>CANCELADO</v>
      </c>
      <c r="L413" s="65" t="str">
        <f>IFERROR(__xludf.DUMMYFUNCTION("""COMPUTED_VALUE"""),"CON RECAUDO")</f>
        <v>CON RECAUDO</v>
      </c>
      <c r="M413" s="65" t="str">
        <f>IFERROR(__xludf.DUMMYFUNCTION("""COMPUTED_VALUE"""),"IMBABURA")</f>
        <v>IMBABURA</v>
      </c>
      <c r="N413" s="65" t="str">
        <f>IFERROR(__xludf.DUMMYFUNCTION("""COMPUTED_VALUE"""),"URCUQUI")</f>
        <v>URCUQUI</v>
      </c>
      <c r="O413" s="65" t="str">
        <f>IFERROR(__xludf.DUMMYFUNCTION("""COMPUTED_VALUE"""),"Urcuqui via san Eloy La Recoleta -")</f>
        <v>Urcuqui via san Eloy La Recoleta -</v>
      </c>
      <c r="P413" s="65"/>
      <c r="Q413" s="65" t="str">
        <f>IFERROR(__xludf.DUMMYFUNCTION("""COMPUTED_VALUE"""),"GINTRACOM")</f>
        <v>GINTRACOM</v>
      </c>
      <c r="R413" s="65">
        <f>IFERROR(__xludf.DUMMYFUNCTION("""COMPUTED_VALUE"""),25.0)</f>
        <v>25</v>
      </c>
      <c r="S413" s="65"/>
      <c r="T413" s="65">
        <f>IFERROR(__xludf.DUMMYFUNCTION("""COMPUTED_VALUE"""),6.53)</f>
        <v>6.53</v>
      </c>
      <c r="U413" s="65">
        <f>IFERROR(__xludf.DUMMYFUNCTION("""COMPUTED_VALUE"""),0.0)</f>
        <v>0</v>
      </c>
      <c r="V413" s="65">
        <f>IFERROR(__xludf.DUMMYFUNCTION("""COMPUTED_VALUE"""),0.0)</f>
        <v>0</v>
      </c>
      <c r="W413" s="65">
        <f>IFERROR(__xludf.DUMMYFUNCTION("""COMPUTED_VALUE"""),0.0)</f>
        <v>0</v>
      </c>
      <c r="X413" s="65">
        <f>IFERROR(__xludf.DUMMYFUNCTION("""COMPUTED_VALUE"""),2.35)</f>
        <v>2.35</v>
      </c>
      <c r="Y413" s="65">
        <f>IFERROR(__xludf.DUMMYFUNCTION("""COMPUTED_VALUE"""),4.7)</f>
        <v>4.7</v>
      </c>
      <c r="Z413" s="65">
        <f>IFERROR(__xludf.DUMMYFUNCTION("""COMPUTED_VALUE"""),116679.0)</f>
        <v>116679</v>
      </c>
      <c r="AA413" s="65" t="str">
        <f>IFERROR(__xludf.DUMMYFUNCTION("""COMPUTED_VALUE"""),"AMC-2738")</f>
        <v>AMC-2738</v>
      </c>
      <c r="AB413" s="65"/>
      <c r="AC413" s="65" t="str">
        <f>IFERROR(__xludf.DUMMYFUNCTION("""COMPUTED_VALUE"""),"ESPONJA ANTILLUVIA DE PARABRISAS")</f>
        <v>ESPONJA ANTILLUVIA DE PARABRISAS</v>
      </c>
      <c r="AD413" s="65"/>
      <c r="AE413" s="65">
        <f>IFERROR(__xludf.DUMMYFUNCTION("""COMPUTED_VALUE"""),2.0)</f>
        <v>2</v>
      </c>
      <c r="AF413" s="65"/>
      <c r="AG413" s="65"/>
      <c r="AH413" s="65"/>
      <c r="AI413" s="65"/>
      <c r="AJ413" s="65"/>
      <c r="AK413" s="65"/>
      <c r="AL413" s="65"/>
      <c r="AM413" s="65"/>
      <c r="AN413" s="65"/>
      <c r="AO413" s="65"/>
      <c r="AP413" s="65"/>
      <c r="AQ413" s="65"/>
      <c r="AR413" s="65"/>
      <c r="AS413" s="65"/>
      <c r="AT413" s="65" t="str">
        <f>IFERROR(__xludf.DUMMYFUNCTION("""COMPUTED_VALUE"""),"SHOPIFY")</f>
        <v>SHOPIFY</v>
      </c>
      <c r="AU413" s="65" t="str">
        <f>IFERROR(__xludf.DUMMYFUNCTION("""COMPUTED_VALUE"""),"IMPORTEX EC")</f>
        <v>IMPORTEX EC</v>
      </c>
      <c r="AV413" s="65" t="str">
        <f>IFERROR(__xludf.DUMMYFUNCTION("""COMPUTED_VALUE"""),"6549176778796")</f>
        <v>6549176778796</v>
      </c>
      <c r="AW413" s="65">
        <f>IFERROR(__xludf.DUMMYFUNCTION("""COMPUTED_VALUE"""),6453.0)</f>
        <v>6453</v>
      </c>
      <c r="AX413" s="65"/>
      <c r="AY413" s="65"/>
      <c r="AZ413" s="65"/>
      <c r="BA413" s="65"/>
    </row>
    <row r="414">
      <c r="A414" s="65" t="str">
        <f>IFERROR(__xludf.DUMMYFUNCTION("""COMPUTED_VALUE"""),"27-03-2026")</f>
        <v>27-03-2026</v>
      </c>
      <c r="B414" s="65">
        <f>IFERROR(__xludf.DUMMYFUNCTION("""COMPUTED_VALUE"""),4657579.0)</f>
        <v>4657579</v>
      </c>
      <c r="C414" s="65" t="str">
        <f>IFERROR(__xludf.DUMMYFUNCTION("""COMPUTED_VALUE"""),"00:47")</f>
        <v>00:47</v>
      </c>
      <c r="D414" s="65" t="str">
        <f>IFERROR(__xludf.DUMMYFUNCTION("""COMPUTED_VALUE"""),"01-03-2026")</f>
        <v>01-03-2026</v>
      </c>
      <c r="E414" s="65" t="str">
        <f>IFERROR(__xludf.DUMMYFUNCTION("""COMPUTED_VALUE"""),"Raul Rodriguez")</f>
        <v>Raul Rodriguez</v>
      </c>
      <c r="F414" s="65" t="str">
        <f>IFERROR(__xludf.DUMMYFUNCTION("""COMPUTED_VALUE"""),"962037570")</f>
        <v>962037570</v>
      </c>
      <c r="G414" s="65" t="str">
        <f>IFERROR(__xludf.DUMMYFUNCTION("""COMPUTED_VALUE"""),"shaul95@hotmail.com")</f>
        <v>shaul95@hotmail.com</v>
      </c>
      <c r="H414" s="65"/>
      <c r="I414" s="65"/>
      <c r="J414" s="65"/>
      <c r="K414" s="65" t="str">
        <f>IFERROR(__xludf.DUMMYFUNCTION("""COMPUTED_VALUE"""),"PENDIENTE CONFIRMACION")</f>
        <v>PENDIENTE CONFIRMACION</v>
      </c>
      <c r="L414" s="65" t="str">
        <f>IFERROR(__xludf.DUMMYFUNCTION("""COMPUTED_VALUE"""),"CON RECAUDO")</f>
        <v>CON RECAUDO</v>
      </c>
      <c r="M414" s="65" t="str">
        <f>IFERROR(__xludf.DUMMYFUNCTION("""COMPUTED_VALUE"""),"TUNGURAHUA")</f>
        <v>TUNGURAHUA</v>
      </c>
      <c r="N414" s="65" t="str">
        <f>IFERROR(__xludf.DUMMYFUNCTION("""COMPUTED_VALUE"""),"BAÑOS DE AGUA SANTA")</f>
        <v>BAÑOS DE AGUA SANTA</v>
      </c>
      <c r="O414" s="65" t="str">
        <f>IFERROR(__xludf.DUMMYFUNCTION("""COMPUTED_VALUE"""),"Pastaza y juan leon Mera Parada Runtun -")</f>
        <v>Pastaza y juan leon Mera Parada Runtun -</v>
      </c>
      <c r="P414" s="65"/>
      <c r="Q414" s="65" t="str">
        <f>IFERROR(__xludf.DUMMYFUNCTION("""COMPUTED_VALUE"""),"LAARCOURIER")</f>
        <v>LAARCOURIER</v>
      </c>
      <c r="R414" s="65">
        <f>IFERROR(__xludf.DUMMYFUNCTION("""COMPUTED_VALUE"""),20.0)</f>
        <v>20</v>
      </c>
      <c r="S414" s="65"/>
      <c r="T414" s="65">
        <f>IFERROR(__xludf.DUMMYFUNCTION("""COMPUTED_VALUE"""),6.9)</f>
        <v>6.9</v>
      </c>
      <c r="U414" s="65">
        <f>IFERROR(__xludf.DUMMYFUNCTION("""COMPUTED_VALUE"""),0.0)</f>
        <v>0</v>
      </c>
      <c r="V414" s="65">
        <f>IFERROR(__xludf.DUMMYFUNCTION("""COMPUTED_VALUE"""),0.0)</f>
        <v>0</v>
      </c>
      <c r="W414" s="65">
        <f>IFERROR(__xludf.DUMMYFUNCTION("""COMPUTED_VALUE"""),0.0)</f>
        <v>0</v>
      </c>
      <c r="X414" s="65">
        <f>IFERROR(__xludf.DUMMYFUNCTION("""COMPUTED_VALUE"""),2.35)</f>
        <v>2.35</v>
      </c>
      <c r="Y414" s="65">
        <f>IFERROR(__xludf.DUMMYFUNCTION("""COMPUTED_VALUE"""),2.35)</f>
        <v>2.35</v>
      </c>
      <c r="Z414" s="65">
        <f>IFERROR(__xludf.DUMMYFUNCTION("""COMPUTED_VALUE"""),116679.0)</f>
        <v>116679</v>
      </c>
      <c r="AA414" s="65" t="str">
        <f>IFERROR(__xludf.DUMMYFUNCTION("""COMPUTED_VALUE"""),"AMC-2738")</f>
        <v>AMC-2738</v>
      </c>
      <c r="AB414" s="65"/>
      <c r="AC414" s="65" t="str">
        <f>IFERROR(__xludf.DUMMYFUNCTION("""COMPUTED_VALUE"""),"ESPONJA ANTILLUVIA DE PARABRISAS")</f>
        <v>ESPONJA ANTILLUVIA DE PARABRISAS</v>
      </c>
      <c r="AD414" s="65"/>
      <c r="AE414" s="65">
        <f>IFERROR(__xludf.DUMMYFUNCTION("""COMPUTED_VALUE"""),1.0)</f>
        <v>1</v>
      </c>
      <c r="AF414" s="65"/>
      <c r="AG414" s="65"/>
      <c r="AH414" s="65"/>
      <c r="AI414" s="65"/>
      <c r="AJ414" s="65"/>
      <c r="AK414" s="65"/>
      <c r="AL414" s="65"/>
      <c r="AM414" s="65"/>
      <c r="AN414" s="65"/>
      <c r="AO414" s="65"/>
      <c r="AP414" s="65"/>
      <c r="AQ414" s="65"/>
      <c r="AR414" s="65"/>
      <c r="AS414" s="65"/>
      <c r="AT414" s="65" t="str">
        <f>IFERROR(__xludf.DUMMYFUNCTION("""COMPUTED_VALUE"""),"SHOPIFY")</f>
        <v>SHOPIFY</v>
      </c>
      <c r="AU414" s="65" t="str">
        <f>IFERROR(__xludf.DUMMYFUNCTION("""COMPUTED_VALUE"""),"IMPORTEX EC")</f>
        <v>IMPORTEX EC</v>
      </c>
      <c r="AV414" s="65" t="str">
        <f>IFERROR(__xludf.DUMMYFUNCTION("""COMPUTED_VALUE"""),"6548854931500")</f>
        <v>6548854931500</v>
      </c>
      <c r="AW414" s="65">
        <f>IFERROR(__xludf.DUMMYFUNCTION("""COMPUTED_VALUE"""),6452.0)</f>
        <v>6452</v>
      </c>
      <c r="AX414" s="65"/>
      <c r="AY414" s="65"/>
      <c r="AZ414" s="65"/>
      <c r="BA414" s="65"/>
    </row>
    <row r="415">
      <c r="A415" s="65" t="str">
        <f>IFERROR(__xludf.DUMMYFUNCTION("""COMPUTED_VALUE"""),"27-03-2026")</f>
        <v>27-03-2026</v>
      </c>
      <c r="B415" s="65">
        <f>IFERROR(__xludf.DUMMYFUNCTION("""COMPUTED_VALUE"""),4657513.0)</f>
        <v>4657513</v>
      </c>
      <c r="C415" s="65" t="str">
        <f>IFERROR(__xludf.DUMMYFUNCTION("""COMPUTED_VALUE"""),"00:25")</f>
        <v>00:25</v>
      </c>
      <c r="D415" s="65" t="str">
        <f>IFERROR(__xludf.DUMMYFUNCTION("""COMPUTED_VALUE"""),"01-03-2026")</f>
        <v>01-03-2026</v>
      </c>
      <c r="E415" s="65" t="str">
        <f>IFERROR(__xludf.DUMMYFUNCTION("""COMPUTED_VALUE"""),"Josi Elizalde")</f>
        <v>Josi Elizalde</v>
      </c>
      <c r="F415" s="65" t="str">
        <f>IFERROR(__xludf.DUMMYFUNCTION("""COMPUTED_VALUE"""),"968479343")</f>
        <v>968479343</v>
      </c>
      <c r="G415" s="65" t="str">
        <f>IFERROR(__xludf.DUMMYFUNCTION("""COMPUTED_VALUE"""),"chumijoselyn@gmail.com")</f>
        <v>chumijoselyn@gmail.com</v>
      </c>
      <c r="H415" s="65"/>
      <c r="I415" s="65"/>
      <c r="J415" s="65" t="str">
        <f>IFERROR(__xludf.DUMMYFUNCTION("""COMPUTED_VALUE"""),"D001376718")</f>
        <v>D001376718</v>
      </c>
      <c r="K415" s="65" t="str">
        <f>IFERROR(__xludf.DUMMYFUNCTION("""COMPUTED_VALUE"""),"ENTREGADO")</f>
        <v>ENTREGADO</v>
      </c>
      <c r="L415" s="65" t="str">
        <f>IFERROR(__xludf.DUMMYFUNCTION("""COMPUTED_VALUE"""),"CON RECAUDO")</f>
        <v>CON RECAUDO</v>
      </c>
      <c r="M415" s="65" t="str">
        <f>IFERROR(__xludf.DUMMYFUNCTION("""COMPUTED_VALUE"""),"EL ORO")</f>
        <v>EL ORO</v>
      </c>
      <c r="N415" s="65" t="str">
        <f>IFERROR(__xludf.DUMMYFUNCTION("""COMPUTED_VALUE"""),"HUAQUILLAS")</f>
        <v>HUAQUILLAS</v>
      </c>
      <c r="O415" s="65" t="str">
        <f>IFERROR(__xludf.DUMMYFUNCTION("""COMPUTED_VALUE"""),"Republica y martha bucaram Jaime roldos licoreria 2 hermanos - A la entrada del monumento de La Paz")</f>
        <v>Republica y martha bucaram Jaime roldos licoreria 2 hermanos - A la entrada del monumento de La Paz</v>
      </c>
      <c r="P415" s="65"/>
      <c r="Q415" s="65" t="str">
        <f>IFERROR(__xludf.DUMMYFUNCTION("""COMPUTED_VALUE"""),"GINTRACOM")</f>
        <v>GINTRACOM</v>
      </c>
      <c r="R415" s="65">
        <f>IFERROR(__xludf.DUMMYFUNCTION("""COMPUTED_VALUE"""),22.0)</f>
        <v>22</v>
      </c>
      <c r="S415" s="65">
        <f>IFERROR(__xludf.DUMMYFUNCTION("""COMPUTED_VALUE"""),8.66)</f>
        <v>8.66</v>
      </c>
      <c r="T415" s="65">
        <f>IFERROR(__xludf.DUMMYFUNCTION("""COMPUTED_VALUE"""),5.84)</f>
        <v>5.84</v>
      </c>
      <c r="U415" s="65">
        <f>IFERROR(__xludf.DUMMYFUNCTION("""COMPUTED_VALUE"""),0.0)</f>
        <v>0</v>
      </c>
      <c r="V415" s="65">
        <f>IFERROR(__xludf.DUMMYFUNCTION("""COMPUTED_VALUE"""),0.0)</f>
        <v>0</v>
      </c>
      <c r="W415" s="65">
        <f>IFERROR(__xludf.DUMMYFUNCTION("""COMPUTED_VALUE"""),0.0)</f>
        <v>0</v>
      </c>
      <c r="X415" s="65">
        <f>IFERROR(__xludf.DUMMYFUNCTION("""COMPUTED_VALUE"""),3.75)</f>
        <v>3.75</v>
      </c>
      <c r="Y415" s="65">
        <f>IFERROR(__xludf.DUMMYFUNCTION("""COMPUTED_VALUE"""),7.5)</f>
        <v>7.5</v>
      </c>
      <c r="Z415" s="65">
        <f>IFERROR(__xludf.DUMMYFUNCTION("""COMPUTED_VALUE"""),113116.0)</f>
        <v>113116</v>
      </c>
      <c r="AA415" s="65" t="str">
        <f>IFERROR(__xludf.DUMMYFUNCTION("""COMPUTED_VALUE"""),"IM-TAZAKI")</f>
        <v>IM-TAZAKI</v>
      </c>
      <c r="AB415" s="65"/>
      <c r="AC415" s="65" t="str">
        <f>IFERROR(__xludf.DUMMYFUNCTION("""COMPUTED_VALUE"""),"Cuchillo tazaki")</f>
        <v>Cuchillo tazaki</v>
      </c>
      <c r="AD415" s="65"/>
      <c r="AE415" s="65">
        <f>IFERROR(__xludf.DUMMYFUNCTION("""COMPUTED_VALUE"""),2.0)</f>
        <v>2</v>
      </c>
      <c r="AF415" s="65"/>
      <c r="AG415" s="65"/>
      <c r="AH415" s="65"/>
      <c r="AI415" s="65"/>
      <c r="AJ415" s="65"/>
      <c r="AK415" s="65"/>
      <c r="AL415" s="65"/>
      <c r="AM415" s="65"/>
      <c r="AN415" s="65" t="str">
        <f>IFERROR(__xludf.DUMMYFUNCTION("""COMPUTED_VALUE"""),"13:11")</f>
        <v>13:11</v>
      </c>
      <c r="AO415" s="65" t="str">
        <f>IFERROR(__xludf.DUMMYFUNCTION("""COMPUTED_VALUE"""),"04-03-2026")</f>
        <v>04-03-2026</v>
      </c>
      <c r="AP415" s="65" t="str">
        <f>IFERROR(__xludf.DUMMYFUNCTION("""COMPUTED_VALUE"""),"EN TRÁNSITO")</f>
        <v>EN TRÁNSITO</v>
      </c>
      <c r="AQ415" s="65" t="str">
        <f>IFERROR(__xludf.DUMMYFUNCTION("""COMPUTED_VALUE"""),"EN TRÁNSITO")</f>
        <v>EN TRÁNSITO</v>
      </c>
      <c r="AR415" s="65"/>
      <c r="AS415" s="65"/>
      <c r="AT415" s="65" t="str">
        <f>IFERROR(__xludf.DUMMYFUNCTION("""COMPUTED_VALUE"""),"SHOPIFY")</f>
        <v>SHOPIFY</v>
      </c>
      <c r="AU415" s="65" t="str">
        <f>IFERROR(__xludf.DUMMYFUNCTION("""COMPUTED_VALUE"""),"IMPORTEX EC")</f>
        <v>IMPORTEX EC</v>
      </c>
      <c r="AV415" s="65" t="str">
        <f>IFERROR(__xludf.DUMMYFUNCTION("""COMPUTED_VALUE"""),"6548820164652")</f>
        <v>6548820164652</v>
      </c>
      <c r="AW415" s="65">
        <f>IFERROR(__xludf.DUMMYFUNCTION("""COMPUTED_VALUE"""),6451.0)</f>
        <v>6451</v>
      </c>
      <c r="AX415" s="65"/>
      <c r="AY415" s="65" t="str">
        <f>IFERROR(__xludf.DUMMYFUNCTION("""COMPUTED_VALUE"""),"03/03/2026")</f>
        <v>03/03/2026</v>
      </c>
      <c r="AZ415" s="65"/>
      <c r="BA415" s="65"/>
    </row>
    <row r="416">
      <c r="A416" s="65" t="str">
        <f>IFERROR(__xludf.DUMMYFUNCTION("""COMPUTED_VALUE"""),"27-03-2026")</f>
        <v>27-03-2026</v>
      </c>
      <c r="B416" s="65">
        <f>IFERROR(__xludf.DUMMYFUNCTION("""COMPUTED_VALUE"""),4657433.0)</f>
        <v>4657433</v>
      </c>
      <c r="C416" s="65" t="str">
        <f>IFERROR(__xludf.DUMMYFUNCTION("""COMPUTED_VALUE"""),"00:01")</f>
        <v>00:01</v>
      </c>
      <c r="D416" s="65" t="str">
        <f>IFERROR(__xludf.DUMMYFUNCTION("""COMPUTED_VALUE"""),"01-03-2026")</f>
        <v>01-03-2026</v>
      </c>
      <c r="E416" s="65" t="str">
        <f>IFERROR(__xludf.DUMMYFUNCTION("""COMPUTED_VALUE"""),"Jessica Solano")</f>
        <v>Jessica Solano</v>
      </c>
      <c r="F416" s="65" t="str">
        <f>IFERROR(__xludf.DUMMYFUNCTION("""COMPUTED_VALUE"""),"967835833")</f>
        <v>967835833</v>
      </c>
      <c r="G416" s="65" t="str">
        <f>IFERROR(__xludf.DUMMYFUNCTION("""COMPUTED_VALUE"""),"solanojessica763@gmail.com")</f>
        <v>solanojessica763@gmail.com</v>
      </c>
      <c r="H416" s="65"/>
      <c r="I416" s="65"/>
      <c r="J416" s="65" t="str">
        <f>IFERROR(__xludf.DUMMYFUNCTION("""COMPUTED_VALUE"""),"D001376719")</f>
        <v>D001376719</v>
      </c>
      <c r="K416" s="65" t="str">
        <f>IFERROR(__xludf.DUMMYFUNCTION("""COMPUTED_VALUE"""),"DEVOLUCION")</f>
        <v>DEVOLUCION</v>
      </c>
      <c r="L416" s="65" t="str">
        <f>IFERROR(__xludf.DUMMYFUNCTION("""COMPUTED_VALUE"""),"CON RECAUDO")</f>
        <v>CON RECAUDO</v>
      </c>
      <c r="M416" s="65" t="str">
        <f>IFERROR(__xludf.DUMMYFUNCTION("""COMPUTED_VALUE"""),"EL ORO")</f>
        <v>EL ORO</v>
      </c>
      <c r="N416" s="65" t="str">
        <f>IFERROR(__xludf.DUMMYFUNCTION("""COMPUTED_VALUE"""),"SANTA ROSA")</f>
        <v>SANTA ROSA</v>
      </c>
      <c r="O416" s="65" t="str">
        <f>IFERROR(__xludf.DUMMYFUNCTION("""COMPUTED_VALUE"""),"Av. Segundo Noblecilla, Via a Puerto Jeli Frente al colegio Santa Rosa -")</f>
        <v>Av. Segundo Noblecilla, Via a Puerto Jeli Frente al colegio Santa Rosa -</v>
      </c>
      <c r="P416" s="65"/>
      <c r="Q416" s="65" t="str">
        <f>IFERROR(__xludf.DUMMYFUNCTION("""COMPUTED_VALUE"""),"GINTRACOM")</f>
        <v>GINTRACOM</v>
      </c>
      <c r="R416" s="65">
        <f>IFERROR(__xludf.DUMMYFUNCTION("""COMPUTED_VALUE"""),22.0)</f>
        <v>22</v>
      </c>
      <c r="S416" s="65"/>
      <c r="T416" s="65">
        <f>IFERROR(__xludf.DUMMYFUNCTION("""COMPUTED_VALUE"""),5.84)</f>
        <v>5.84</v>
      </c>
      <c r="U416" s="65">
        <f>IFERROR(__xludf.DUMMYFUNCTION("""COMPUTED_VALUE"""),0.0)</f>
        <v>0</v>
      </c>
      <c r="V416" s="65">
        <f>IFERROR(__xludf.DUMMYFUNCTION("""COMPUTED_VALUE"""),0.0)</f>
        <v>0</v>
      </c>
      <c r="W416" s="65">
        <f>IFERROR(__xludf.DUMMYFUNCTION("""COMPUTED_VALUE"""),0.0)</f>
        <v>0</v>
      </c>
      <c r="X416" s="65">
        <f>IFERROR(__xludf.DUMMYFUNCTION("""COMPUTED_VALUE"""),3.75)</f>
        <v>3.75</v>
      </c>
      <c r="Y416" s="65">
        <f>IFERROR(__xludf.DUMMYFUNCTION("""COMPUTED_VALUE"""),7.5)</f>
        <v>7.5</v>
      </c>
      <c r="Z416" s="65">
        <f>IFERROR(__xludf.DUMMYFUNCTION("""COMPUTED_VALUE"""),113116.0)</f>
        <v>113116</v>
      </c>
      <c r="AA416" s="65" t="str">
        <f>IFERROR(__xludf.DUMMYFUNCTION("""COMPUTED_VALUE"""),"IM-TAZAKI")</f>
        <v>IM-TAZAKI</v>
      </c>
      <c r="AB416" s="65"/>
      <c r="AC416" s="65" t="str">
        <f>IFERROR(__xludf.DUMMYFUNCTION("""COMPUTED_VALUE"""),"Cuchillo tazaki")</f>
        <v>Cuchillo tazaki</v>
      </c>
      <c r="AD416" s="65"/>
      <c r="AE416" s="65">
        <f>IFERROR(__xludf.DUMMYFUNCTION("""COMPUTED_VALUE"""),2.0)</f>
        <v>2</v>
      </c>
      <c r="AF416" s="65" t="str">
        <f>IFERROR(__xludf.DUMMYFUNCTION("""COMPUTED_VALUE"""),"DESTINATARIO NO CONTESTA LLAMADAS NI WHATSAPP")</f>
        <v>DESTINATARIO NO CONTESTA LLAMADAS NI WHATSAPP</v>
      </c>
      <c r="AG416" s="65" t="str">
        <f>IFERROR(__xludf.DUMMYFUNCTION("""COMPUTED_VALUE"""),"NO")</f>
        <v>NO</v>
      </c>
      <c r="AH416" s="65" t="str">
        <f>IFERROR(__xludf.DUMMYFUNCTION("""COMPUTED_VALUE"""),"09:00")</f>
        <v>09:00</v>
      </c>
      <c r="AI416" s="65" t="str">
        <f>IFERROR(__xludf.DUMMYFUNCTION("""COMPUTED_VALUE"""),"13-03-2026")</f>
        <v>13-03-2026</v>
      </c>
      <c r="AJ416" s="65"/>
      <c r="AK416" s="65"/>
      <c r="AL416" s="65"/>
      <c r="AM416" s="65"/>
      <c r="AN416" s="65" t="str">
        <f>IFERROR(__xludf.DUMMYFUNCTION("""COMPUTED_VALUE"""),"03:02")</f>
        <v>03:02</v>
      </c>
      <c r="AO416" s="65" t="str">
        <f>IFERROR(__xludf.DUMMYFUNCTION("""COMPUTED_VALUE"""),"15-03-2026")</f>
        <v>15-03-2026</v>
      </c>
      <c r="AP416" s="65" t="str">
        <f>IFERROR(__xludf.DUMMYFUNCTION("""COMPUTED_VALUE"""),"DEVOLUCIÓN")</f>
        <v>DEVOLUCIÓN</v>
      </c>
      <c r="AQ416" s="65" t="str">
        <f>IFERROR(__xludf.DUMMYFUNCTION("""COMPUTED_VALUE"""),"DEVOLUCIÓN")</f>
        <v>DEVOLUCIÓN</v>
      </c>
      <c r="AR416" s="65"/>
      <c r="AS416" s="65"/>
      <c r="AT416" s="65" t="str">
        <f>IFERROR(__xludf.DUMMYFUNCTION("""COMPUTED_VALUE"""),"SHOPIFY")</f>
        <v>SHOPIFY</v>
      </c>
      <c r="AU416" s="65" t="str">
        <f>IFERROR(__xludf.DUMMYFUNCTION("""COMPUTED_VALUE"""),"IMPORTEX EC")</f>
        <v>IMPORTEX EC</v>
      </c>
      <c r="AV416" s="65" t="str">
        <f>IFERROR(__xludf.DUMMYFUNCTION("""COMPUTED_VALUE"""),"6548781465644")</f>
        <v>6548781465644</v>
      </c>
      <c r="AW416" s="65">
        <f>IFERROR(__xludf.DUMMYFUNCTION("""COMPUTED_VALUE"""),6450.0)</f>
        <v>6450</v>
      </c>
      <c r="AX416" s="65"/>
      <c r="AY416" s="65" t="str">
        <f>IFERROR(__xludf.DUMMYFUNCTION("""COMPUTED_VALUE"""),"03/03/2026")</f>
        <v>03/03/2026</v>
      </c>
      <c r="AZ416" s="65"/>
      <c r="BA416" s="65"/>
    </row>
    <row r="417">
      <c r="A417" s="65" t="str">
        <f>IFERROR(__xludf.DUMMYFUNCTION("""COMPUTED_VALUE"""),"27-03-2026")</f>
        <v>27-03-2026</v>
      </c>
      <c r="B417" s="65">
        <f>IFERROR(__xludf.DUMMYFUNCTION("""COMPUTED_VALUE"""),4657059.0)</f>
        <v>4657059</v>
      </c>
      <c r="C417" s="65" t="str">
        <f>IFERROR(__xludf.DUMMYFUNCTION("""COMPUTED_VALUE"""),"22:53")</f>
        <v>22:53</v>
      </c>
      <c r="D417" s="65" t="str">
        <f>IFERROR(__xludf.DUMMYFUNCTION("""COMPUTED_VALUE"""),"28-02-2026")</f>
        <v>28-02-2026</v>
      </c>
      <c r="E417" s="65" t="str">
        <f>IFERROR(__xludf.DUMMYFUNCTION("""COMPUTED_VALUE"""),"Cesar Alberto Peñaranda Pucha")</f>
        <v>Cesar Alberto Peñaranda Pucha</v>
      </c>
      <c r="F417" s="65" t="str">
        <f>IFERROR(__xludf.DUMMYFUNCTION("""COMPUTED_VALUE"""),"960089126")</f>
        <v>960089126</v>
      </c>
      <c r="G417" s="65" t="str">
        <f>IFERROR(__xludf.DUMMYFUNCTION("""COMPUTED_VALUE"""),"alberto6166@gmail.com")</f>
        <v>alberto6166@gmail.com</v>
      </c>
      <c r="H417" s="65"/>
      <c r="I417" s="65"/>
      <c r="J417" s="65" t="str">
        <f>IFERROR(__xludf.DUMMYFUNCTION("""COMPUTED_VALUE"""),"LC53001711")</f>
        <v>LC53001711</v>
      </c>
      <c r="K417" s="65" t="str">
        <f>IFERROR(__xludf.DUMMYFUNCTION("""COMPUTED_VALUE"""),"ENTREGADO")</f>
        <v>ENTREGADO</v>
      </c>
      <c r="L417" s="65" t="str">
        <f>IFERROR(__xludf.DUMMYFUNCTION("""COMPUTED_VALUE"""),"CON RECAUDO")</f>
        <v>CON RECAUDO</v>
      </c>
      <c r="M417" s="65" t="str">
        <f>IFERROR(__xludf.DUMMYFUNCTION("""COMPUTED_VALUE"""),"AZUAY")</f>
        <v>AZUAY</v>
      </c>
      <c r="N417" s="65" t="str">
        <f>IFERROR(__xludf.DUMMYFUNCTION("""COMPUTED_VALUE"""),"GUALACEO")</f>
        <v>GUALACEO</v>
      </c>
      <c r="O417" s="65" t="str">
        <f>IFERROR(__xludf.DUMMYFUNCTION("""COMPUTED_VALUE"""),"Gualaceo. Av. Jaime Roldos 5-73 y Fidel Antonio Piedra -")</f>
        <v>Gualaceo. Av. Jaime Roldos 5-73 y Fidel Antonio Piedra -</v>
      </c>
      <c r="P417" s="65"/>
      <c r="Q417" s="65" t="str">
        <f>IFERROR(__xludf.DUMMYFUNCTION("""COMPUTED_VALUE"""),"LAARCOURIER")</f>
        <v>LAARCOURIER</v>
      </c>
      <c r="R417" s="65">
        <f>IFERROR(__xludf.DUMMYFUNCTION("""COMPUTED_VALUE"""),36.32)</f>
        <v>36.32</v>
      </c>
      <c r="S417" s="65">
        <f>IFERROR(__xludf.DUMMYFUNCTION("""COMPUTED_VALUE"""),8.48)</f>
        <v>8.48</v>
      </c>
      <c r="T417" s="65">
        <f>IFERROR(__xludf.DUMMYFUNCTION("""COMPUTED_VALUE"""),7.84)</f>
        <v>7.84</v>
      </c>
      <c r="U417" s="65">
        <f>IFERROR(__xludf.DUMMYFUNCTION("""COMPUTED_VALUE"""),0.0)</f>
        <v>0</v>
      </c>
      <c r="V417" s="65">
        <f>IFERROR(__xludf.DUMMYFUNCTION("""COMPUTED_VALUE"""),0.0)</f>
        <v>0</v>
      </c>
      <c r="W417" s="65">
        <f>IFERROR(__xludf.DUMMYFUNCTION("""COMPUTED_VALUE"""),0.0)</f>
        <v>0</v>
      </c>
      <c r="X417" s="65">
        <f>IFERROR(__xludf.DUMMYFUNCTION("""COMPUTED_VALUE"""),5.0)</f>
        <v>5</v>
      </c>
      <c r="Y417" s="65">
        <f>IFERROR(__xludf.DUMMYFUNCTION("""COMPUTED_VALUE"""),20.0)</f>
        <v>20</v>
      </c>
      <c r="Z417" s="65">
        <f>IFERROR(__xludf.DUMMYFUNCTION("""COMPUTED_VALUE"""),130492.0)</f>
        <v>130492</v>
      </c>
      <c r="AA417" s="65" t="str">
        <f>IFERROR(__xludf.DUMMYFUNCTION("""COMPUTED_VALUE"""),"IMX-00006")</f>
        <v>IMX-00006</v>
      </c>
      <c r="AB417" s="65"/>
      <c r="AC417" s="65" t="str">
        <f>IFERROR(__xludf.DUMMYFUNCTION("""COMPUTED_VALUE"""),"Receptor Bluetooth")</f>
        <v>Receptor Bluetooth</v>
      </c>
      <c r="AD417" s="65"/>
      <c r="AE417" s="65">
        <f>IFERROR(__xludf.DUMMYFUNCTION("""COMPUTED_VALUE"""),4.0)</f>
        <v>4</v>
      </c>
      <c r="AF417" s="65"/>
      <c r="AG417" s="65"/>
      <c r="AH417" s="65"/>
      <c r="AI417" s="65"/>
      <c r="AJ417" s="65"/>
      <c r="AK417" s="65"/>
      <c r="AL417" s="65"/>
      <c r="AM417" s="65"/>
      <c r="AN417" s="65" t="str">
        <f>IFERROR(__xludf.DUMMYFUNCTION("""COMPUTED_VALUE"""),"12:45")</f>
        <v>12:45</v>
      </c>
      <c r="AO417" s="65" t="str">
        <f>IFERROR(__xludf.DUMMYFUNCTION("""COMPUTED_VALUE"""),"06-03-2026")</f>
        <v>06-03-2026</v>
      </c>
      <c r="AP417" s="65" t="str">
        <f>IFERROR(__xludf.DUMMYFUNCTION("""COMPUTED_VALUE"""),"ENTREGADO")</f>
        <v>ENTREGADO</v>
      </c>
      <c r="AQ417" s="65" t="str">
        <f>IFERROR(__xludf.DUMMYFUNCTION("""COMPUTED_VALUE"""),"ENTREGADO")</f>
        <v>ENTREGADO</v>
      </c>
      <c r="AR417" s="65"/>
      <c r="AS417" s="65"/>
      <c r="AT417" s="65" t="str">
        <f>IFERROR(__xludf.DUMMYFUNCTION("""COMPUTED_VALUE"""),"SHOPIFY")</f>
        <v>SHOPIFY</v>
      </c>
      <c r="AU417" s="65" t="str">
        <f>IFERROR(__xludf.DUMMYFUNCTION("""COMPUTED_VALUE"""),"IMPORTEX EC")</f>
        <v>IMPORTEX EC</v>
      </c>
      <c r="AV417" s="65" t="str">
        <f>IFERROR(__xludf.DUMMYFUNCTION("""COMPUTED_VALUE"""),"6548678377516")</f>
        <v>6548678377516</v>
      </c>
      <c r="AW417" s="65">
        <f>IFERROR(__xludf.DUMMYFUNCTION("""COMPUTED_VALUE"""),6449.0)</f>
        <v>6449</v>
      </c>
      <c r="AX417" s="65"/>
      <c r="AY417" s="65" t="str">
        <f>IFERROR(__xludf.DUMMYFUNCTION("""COMPUTED_VALUE"""),"03/03/2026")</f>
        <v>03/03/2026</v>
      </c>
      <c r="AZ417" s="65"/>
      <c r="BA417" s="65"/>
    </row>
    <row r="418">
      <c r="A418" s="65" t="str">
        <f>IFERROR(__xludf.DUMMYFUNCTION("""COMPUTED_VALUE"""),"27-03-2026")</f>
        <v>27-03-2026</v>
      </c>
      <c r="B418" s="65">
        <f>IFERROR(__xludf.DUMMYFUNCTION("""COMPUTED_VALUE"""),4656942.0)</f>
        <v>4656942</v>
      </c>
      <c r="C418" s="65" t="str">
        <f>IFERROR(__xludf.DUMMYFUNCTION("""COMPUTED_VALUE"""),"22:35")</f>
        <v>22:35</v>
      </c>
      <c r="D418" s="65" t="str">
        <f>IFERROR(__xludf.DUMMYFUNCTION("""COMPUTED_VALUE"""),"28-02-2026")</f>
        <v>28-02-2026</v>
      </c>
      <c r="E418" s="65" t="str">
        <f>IFERROR(__xludf.DUMMYFUNCTION("""COMPUTED_VALUE"""),"Denisse Cruz Yance")</f>
        <v>Denisse Cruz Yance</v>
      </c>
      <c r="F418" s="65" t="str">
        <f>IFERROR(__xludf.DUMMYFUNCTION("""COMPUTED_VALUE"""),"960112607")</f>
        <v>960112607</v>
      </c>
      <c r="G418" s="65" t="str">
        <f>IFERROR(__xludf.DUMMYFUNCTION("""COMPUTED_VALUE"""),"gingercruzyance@gmail.com")</f>
        <v>gingercruzyance@gmail.com</v>
      </c>
      <c r="H418" s="65"/>
      <c r="I418" s="65"/>
      <c r="J418" s="65"/>
      <c r="K418" s="65" t="str">
        <f>IFERROR(__xludf.DUMMYFUNCTION("""COMPUTED_VALUE"""),"PENDIENTE CONFIRMACION")</f>
        <v>PENDIENTE CONFIRMACION</v>
      </c>
      <c r="L418" s="65" t="str">
        <f>IFERROR(__xludf.DUMMYFUNCTION("""COMPUTED_VALUE"""),"CON RECAUDO")</f>
        <v>CON RECAUDO</v>
      </c>
      <c r="M418" s="65" t="str">
        <f>IFERROR(__xludf.DUMMYFUNCTION("""COMPUTED_VALUE"""),"GUAYAS")</f>
        <v>GUAYAS</v>
      </c>
      <c r="N418" s="65" t="str">
        <f>IFERROR(__xludf.DUMMYFUNCTION("""COMPUTED_VALUE"""),"GUAYAQUIL")</f>
        <v>GUAYAQUIL</v>
      </c>
      <c r="O418" s="65" t="str">
        <f>IFERROR(__xludf.DUMMYFUNCTION("""COMPUTED_VALUE"""),"Urdesa Central Balsamos 118 y calle unica Edifcio Semgroup Media Lab Urdesa Central Balsamos 118 y calle unica Edifcio Semgroup Media Lab -")</f>
        <v>Urdesa Central Balsamos 118 y calle unica Edifcio Semgroup Media Lab Urdesa Central Balsamos 118 y calle unica Edifcio Semgroup Media Lab -</v>
      </c>
      <c r="P418" s="65"/>
      <c r="Q418" s="65" t="str">
        <f>IFERROR(__xludf.DUMMYFUNCTION("""COMPUTED_VALUE"""),"GINTRACOM")</f>
        <v>GINTRACOM</v>
      </c>
      <c r="R418" s="65">
        <f>IFERROR(__xludf.DUMMYFUNCTION("""COMPUTED_VALUE"""),20.0)</f>
        <v>20</v>
      </c>
      <c r="S418" s="65"/>
      <c r="T418" s="65">
        <f>IFERROR(__xludf.DUMMYFUNCTION("""COMPUTED_VALUE"""),5.76)</f>
        <v>5.76</v>
      </c>
      <c r="U418" s="65">
        <f>IFERROR(__xludf.DUMMYFUNCTION("""COMPUTED_VALUE"""),0.0)</f>
        <v>0</v>
      </c>
      <c r="V418" s="65">
        <f>IFERROR(__xludf.DUMMYFUNCTION("""COMPUTED_VALUE"""),0.0)</f>
        <v>0</v>
      </c>
      <c r="W418" s="65">
        <f>IFERROR(__xludf.DUMMYFUNCTION("""COMPUTED_VALUE"""),0.0)</f>
        <v>0</v>
      </c>
      <c r="X418" s="65">
        <f>IFERROR(__xludf.DUMMYFUNCTION("""COMPUTED_VALUE"""),2.35)</f>
        <v>2.35</v>
      </c>
      <c r="Y418" s="65">
        <f>IFERROR(__xludf.DUMMYFUNCTION("""COMPUTED_VALUE"""),2.35)</f>
        <v>2.35</v>
      </c>
      <c r="Z418" s="65">
        <f>IFERROR(__xludf.DUMMYFUNCTION("""COMPUTED_VALUE"""),116679.0)</f>
        <v>116679</v>
      </c>
      <c r="AA418" s="65" t="str">
        <f>IFERROR(__xludf.DUMMYFUNCTION("""COMPUTED_VALUE"""),"AMC-2738")</f>
        <v>AMC-2738</v>
      </c>
      <c r="AB418" s="65"/>
      <c r="AC418" s="65" t="str">
        <f>IFERROR(__xludf.DUMMYFUNCTION("""COMPUTED_VALUE"""),"ESPONJA ANTILLUVIA DE PARABRISAS")</f>
        <v>ESPONJA ANTILLUVIA DE PARABRISAS</v>
      </c>
      <c r="AD418" s="65"/>
      <c r="AE418" s="65">
        <f>IFERROR(__xludf.DUMMYFUNCTION("""COMPUTED_VALUE"""),1.0)</f>
        <v>1</v>
      </c>
      <c r="AF418" s="65"/>
      <c r="AG418" s="65"/>
      <c r="AH418" s="65"/>
      <c r="AI418" s="65"/>
      <c r="AJ418" s="65"/>
      <c r="AK418" s="65"/>
      <c r="AL418" s="65"/>
      <c r="AM418" s="65"/>
      <c r="AN418" s="65"/>
      <c r="AO418" s="65"/>
      <c r="AP418" s="65"/>
      <c r="AQ418" s="65"/>
      <c r="AR418" s="65"/>
      <c r="AS418" s="65"/>
      <c r="AT418" s="65" t="str">
        <f>IFERROR(__xludf.DUMMYFUNCTION("""COMPUTED_VALUE"""),"SHOPIFY")</f>
        <v>SHOPIFY</v>
      </c>
      <c r="AU418" s="65" t="str">
        <f>IFERROR(__xludf.DUMMYFUNCTION("""COMPUTED_VALUE"""),"IMPORTEX EC")</f>
        <v>IMPORTEX EC</v>
      </c>
      <c r="AV418" s="65" t="str">
        <f>IFERROR(__xludf.DUMMYFUNCTION("""COMPUTED_VALUE"""),"6548650328108")</f>
        <v>6548650328108</v>
      </c>
      <c r="AW418" s="65">
        <f>IFERROR(__xludf.DUMMYFUNCTION("""COMPUTED_VALUE"""),6448.0)</f>
        <v>6448</v>
      </c>
      <c r="AX418" s="65"/>
      <c r="AY418" s="65"/>
      <c r="AZ418" s="65"/>
      <c r="BA418" s="65"/>
    </row>
    <row r="419">
      <c r="A419" s="65" t="str">
        <f>IFERROR(__xludf.DUMMYFUNCTION("""COMPUTED_VALUE"""),"27-03-2026")</f>
        <v>27-03-2026</v>
      </c>
      <c r="B419" s="65">
        <f>IFERROR(__xludf.DUMMYFUNCTION("""COMPUTED_VALUE"""),4656391.0)</f>
        <v>4656391</v>
      </c>
      <c r="C419" s="65" t="str">
        <f>IFERROR(__xludf.DUMMYFUNCTION("""COMPUTED_VALUE"""),"21:23")</f>
        <v>21:23</v>
      </c>
      <c r="D419" s="65" t="str">
        <f>IFERROR(__xludf.DUMMYFUNCTION("""COMPUTED_VALUE"""),"28-02-2026")</f>
        <v>28-02-2026</v>
      </c>
      <c r="E419" s="65" t="str">
        <f>IFERROR(__xludf.DUMMYFUNCTION("""COMPUTED_VALUE"""),"Edmundo Ruiz")</f>
        <v>Edmundo Ruiz</v>
      </c>
      <c r="F419" s="65" t="str">
        <f>IFERROR(__xludf.DUMMYFUNCTION("""COMPUTED_VALUE"""),"958933036")</f>
        <v>958933036</v>
      </c>
      <c r="G419" s="65" t="str">
        <f>IFERROR(__xludf.DUMMYFUNCTION("""COMPUTED_VALUE"""),"efrainruiz_1112@hotmail.com")</f>
        <v>efrainruiz_1112@hotmail.com</v>
      </c>
      <c r="H419" s="65"/>
      <c r="I419" s="65"/>
      <c r="J419" s="65" t="str">
        <f>IFERROR(__xludf.DUMMYFUNCTION("""COMPUTED_VALUE"""),"D001375390")</f>
        <v>D001375390</v>
      </c>
      <c r="K419" s="65" t="str">
        <f>IFERROR(__xludf.DUMMYFUNCTION("""COMPUTED_VALUE"""),"ENTREGADO")</f>
        <v>ENTREGADO</v>
      </c>
      <c r="L419" s="65" t="str">
        <f>IFERROR(__xludf.DUMMYFUNCTION("""COMPUTED_VALUE"""),"CON RECAUDO")</f>
        <v>CON RECAUDO</v>
      </c>
      <c r="M419" s="65" t="str">
        <f>IFERROR(__xludf.DUMMYFUNCTION("""COMPUTED_VALUE"""),"TUNGURAHUA")</f>
        <v>TUNGURAHUA</v>
      </c>
      <c r="N419" s="65" t="str">
        <f>IFERROR(__xludf.DUMMYFUNCTION("""COMPUTED_VALUE"""),"AMBATO")</f>
        <v>AMBATO</v>
      </c>
      <c r="O419" s="65" t="str">
        <f>IFERROR(__xludf.DUMMYFUNCTION("""COMPUTED_VALUE"""),"Ciudadela amazonas 12 de febrero y lago agrio, Fundaimedica, # de casa No")</f>
        <v>Ciudadela amazonas 12 de febrero y lago agrio, Fundaimedica, # de casa No</v>
      </c>
      <c r="P419" s="65"/>
      <c r="Q419" s="65" t="str">
        <f>IFERROR(__xludf.DUMMYFUNCTION("""COMPUTED_VALUE"""),"GINTRACOM")</f>
        <v>GINTRACOM</v>
      </c>
      <c r="R419" s="65">
        <f>IFERROR(__xludf.DUMMYFUNCTION("""COMPUTED_VALUE"""),20.0)</f>
        <v>20</v>
      </c>
      <c r="S419" s="65">
        <f>IFERROR(__xludf.DUMMYFUNCTION("""COMPUTED_VALUE"""),11.89)</f>
        <v>11.89</v>
      </c>
      <c r="T419" s="65">
        <f>IFERROR(__xludf.DUMMYFUNCTION("""COMPUTED_VALUE"""),5.76)</f>
        <v>5.76</v>
      </c>
      <c r="U419" s="65">
        <f>IFERROR(__xludf.DUMMYFUNCTION("""COMPUTED_VALUE"""),0.0)</f>
        <v>0</v>
      </c>
      <c r="V419" s="65">
        <f>IFERROR(__xludf.DUMMYFUNCTION("""COMPUTED_VALUE"""),0.0)</f>
        <v>0</v>
      </c>
      <c r="W419" s="65">
        <f>IFERROR(__xludf.DUMMYFUNCTION("""COMPUTED_VALUE"""),0.0)</f>
        <v>0</v>
      </c>
      <c r="X419" s="65">
        <f>IFERROR(__xludf.DUMMYFUNCTION("""COMPUTED_VALUE"""),2.35)</f>
        <v>2.35</v>
      </c>
      <c r="Y419" s="65">
        <f>IFERROR(__xludf.DUMMYFUNCTION("""COMPUTED_VALUE"""),2.35)</f>
        <v>2.35</v>
      </c>
      <c r="Z419" s="65">
        <f>IFERROR(__xludf.DUMMYFUNCTION("""COMPUTED_VALUE"""),116679.0)</f>
        <v>116679</v>
      </c>
      <c r="AA419" s="65" t="str">
        <f>IFERROR(__xludf.DUMMYFUNCTION("""COMPUTED_VALUE"""),"AMC-2738")</f>
        <v>AMC-2738</v>
      </c>
      <c r="AB419" s="65"/>
      <c r="AC419" s="65" t="str">
        <f>IFERROR(__xludf.DUMMYFUNCTION("""COMPUTED_VALUE"""),"ESPONJA ANTILLUVIA DE PARABRISAS")</f>
        <v>ESPONJA ANTILLUVIA DE PARABRISAS</v>
      </c>
      <c r="AD419" s="65"/>
      <c r="AE419" s="65">
        <f>IFERROR(__xludf.DUMMYFUNCTION("""COMPUTED_VALUE"""),1.0)</f>
        <v>1</v>
      </c>
      <c r="AF419" s="65"/>
      <c r="AG419" s="65"/>
      <c r="AH419" s="65"/>
      <c r="AI419" s="65"/>
      <c r="AJ419" s="65"/>
      <c r="AK419" s="65"/>
      <c r="AL419" s="65"/>
      <c r="AM419" s="65"/>
      <c r="AN419" s="65" t="str">
        <f>IFERROR(__xludf.DUMMYFUNCTION("""COMPUTED_VALUE"""),"12:24")</f>
        <v>12:24</v>
      </c>
      <c r="AO419" s="65" t="str">
        <f>IFERROR(__xludf.DUMMYFUNCTION("""COMPUTED_VALUE"""),"06-03-2026")</f>
        <v>06-03-2026</v>
      </c>
      <c r="AP419" s="65" t="str">
        <f>IFERROR(__xludf.DUMMYFUNCTION("""COMPUTED_VALUE"""),"ENTREGADA GINTRACOM")</f>
        <v>ENTREGADA GINTRACOM</v>
      </c>
      <c r="AQ419" s="65" t="str">
        <f>IFERROR(__xludf.DUMMYFUNCTION("""COMPUTED_VALUE"""),"ENTREGADA GINTRACOM")</f>
        <v>ENTREGADA GINTRACOM</v>
      </c>
      <c r="AR419" s="65"/>
      <c r="AS419" s="65"/>
      <c r="AT419" s="65" t="str">
        <f>IFERROR(__xludf.DUMMYFUNCTION("""COMPUTED_VALUE"""),"SHOPIFY")</f>
        <v>SHOPIFY</v>
      </c>
      <c r="AU419" s="65" t="str">
        <f>IFERROR(__xludf.DUMMYFUNCTION("""COMPUTED_VALUE"""),"IMPORTEX EC")</f>
        <v>IMPORTEX EC</v>
      </c>
      <c r="AV419" s="65" t="str">
        <f>IFERROR(__xludf.DUMMYFUNCTION("""COMPUTED_VALUE"""),"6548515815468")</f>
        <v>6548515815468</v>
      </c>
      <c r="AW419" s="65">
        <f>IFERROR(__xludf.DUMMYFUNCTION("""COMPUTED_VALUE"""),6447.0)</f>
        <v>6447</v>
      </c>
      <c r="AX419" s="65"/>
      <c r="AY419" s="65" t="str">
        <f>IFERROR(__xludf.DUMMYFUNCTION("""COMPUTED_VALUE"""),"02/03/2026")</f>
        <v>02/03/2026</v>
      </c>
      <c r="AZ419" s="65"/>
      <c r="BA419" s="65"/>
    </row>
    <row r="420">
      <c r="A420" s="65" t="str">
        <f>IFERROR(__xludf.DUMMYFUNCTION("""COMPUTED_VALUE"""),"27-03-2026")</f>
        <v>27-03-2026</v>
      </c>
      <c r="B420" s="65">
        <f>IFERROR(__xludf.DUMMYFUNCTION("""COMPUTED_VALUE"""),4656178.0)</f>
        <v>4656178</v>
      </c>
      <c r="C420" s="65" t="str">
        <f>IFERROR(__xludf.DUMMYFUNCTION("""COMPUTED_VALUE"""),"20:55")</f>
        <v>20:55</v>
      </c>
      <c r="D420" s="65" t="str">
        <f>IFERROR(__xludf.DUMMYFUNCTION("""COMPUTED_VALUE"""),"28-02-2026")</f>
        <v>28-02-2026</v>
      </c>
      <c r="E420" s="65" t="str">
        <f>IFERROR(__xludf.DUMMYFUNCTION("""COMPUTED_VALUE"""),"Héctor Manuel Cedeño Vélez")</f>
        <v>Héctor Manuel Cedeño Vélez</v>
      </c>
      <c r="F420" s="65" t="str">
        <f>IFERROR(__xludf.DUMMYFUNCTION("""COMPUTED_VALUE"""),"997207643")</f>
        <v>997207643</v>
      </c>
      <c r="G420" s="65" t="str">
        <f>IFERROR(__xludf.DUMMYFUNCTION("""COMPUTED_VALUE"""),"hcedeve@hotmail.com")</f>
        <v>hcedeve@hotmail.com</v>
      </c>
      <c r="H420" s="65"/>
      <c r="I420" s="65"/>
      <c r="J420" s="65" t="str">
        <f>IFERROR(__xludf.DUMMYFUNCTION("""COMPUTED_VALUE"""),"D001376720")</f>
        <v>D001376720</v>
      </c>
      <c r="K420" s="65" t="str">
        <f>IFERROR(__xludf.DUMMYFUNCTION("""COMPUTED_VALUE"""),"ENTREGADO")</f>
        <v>ENTREGADO</v>
      </c>
      <c r="L420" s="65" t="str">
        <f>IFERROR(__xludf.DUMMYFUNCTION("""COMPUTED_VALUE"""),"CON RECAUDO")</f>
        <v>CON RECAUDO</v>
      </c>
      <c r="M420" s="65" t="str">
        <f>IFERROR(__xludf.DUMMYFUNCTION("""COMPUTED_VALUE"""),"MANABI")</f>
        <v>MANABI</v>
      </c>
      <c r="N420" s="65" t="str">
        <f>IFERROR(__xludf.DUMMYFUNCTION("""COMPUTED_VALUE"""),"EL CARMEN")</f>
        <v>EL CARMEN</v>
      </c>
      <c r="O420" s="65" t="str">
        <f>IFERROR(__xludf.DUMMYFUNCTION("""COMPUTED_VALUE"""),"Ave. Chone y 3 de Julio Calle el pambil y calle 24 junto a la cancha de básquet LUCEVE, casa de una planta color blanco, sector del innfa")</f>
        <v>Ave. Chone y 3 de Julio Calle el pambil y calle 24 junto a la cancha de básquet LUCEVE, casa de una planta color blanco, sector del innfa</v>
      </c>
      <c r="P420" s="65"/>
      <c r="Q420" s="65" t="str">
        <f>IFERROR(__xludf.DUMMYFUNCTION("""COMPUTED_VALUE"""),"GINTRACOM")</f>
        <v>GINTRACOM</v>
      </c>
      <c r="R420" s="65">
        <f>IFERROR(__xludf.DUMMYFUNCTION("""COMPUTED_VALUE"""),22.0)</f>
        <v>22</v>
      </c>
      <c r="S420" s="65">
        <f>IFERROR(__xludf.DUMMYFUNCTION("""COMPUTED_VALUE"""),8.66)</f>
        <v>8.66</v>
      </c>
      <c r="T420" s="65">
        <f>IFERROR(__xludf.DUMMYFUNCTION("""COMPUTED_VALUE"""),5.84)</f>
        <v>5.84</v>
      </c>
      <c r="U420" s="65">
        <f>IFERROR(__xludf.DUMMYFUNCTION("""COMPUTED_VALUE"""),0.0)</f>
        <v>0</v>
      </c>
      <c r="V420" s="65">
        <f>IFERROR(__xludf.DUMMYFUNCTION("""COMPUTED_VALUE"""),0.0)</f>
        <v>0</v>
      </c>
      <c r="W420" s="65">
        <f>IFERROR(__xludf.DUMMYFUNCTION("""COMPUTED_VALUE"""),0.0)</f>
        <v>0</v>
      </c>
      <c r="X420" s="65">
        <f>IFERROR(__xludf.DUMMYFUNCTION("""COMPUTED_VALUE"""),3.75)</f>
        <v>3.75</v>
      </c>
      <c r="Y420" s="65">
        <f>IFERROR(__xludf.DUMMYFUNCTION("""COMPUTED_VALUE"""),7.5)</f>
        <v>7.5</v>
      </c>
      <c r="Z420" s="65">
        <f>IFERROR(__xludf.DUMMYFUNCTION("""COMPUTED_VALUE"""),113116.0)</f>
        <v>113116</v>
      </c>
      <c r="AA420" s="65" t="str">
        <f>IFERROR(__xludf.DUMMYFUNCTION("""COMPUTED_VALUE"""),"IM-TAZAKI")</f>
        <v>IM-TAZAKI</v>
      </c>
      <c r="AB420" s="65"/>
      <c r="AC420" s="65" t="str">
        <f>IFERROR(__xludf.DUMMYFUNCTION("""COMPUTED_VALUE"""),"Cuchillo tazaki")</f>
        <v>Cuchillo tazaki</v>
      </c>
      <c r="AD420" s="65"/>
      <c r="AE420" s="65">
        <f>IFERROR(__xludf.DUMMYFUNCTION("""COMPUTED_VALUE"""),2.0)</f>
        <v>2</v>
      </c>
      <c r="AF420" s="65"/>
      <c r="AG420" s="65"/>
      <c r="AH420" s="65"/>
      <c r="AI420" s="65"/>
      <c r="AJ420" s="65"/>
      <c r="AK420" s="65"/>
      <c r="AL420" s="65"/>
      <c r="AM420" s="65"/>
      <c r="AN420" s="65" t="str">
        <f>IFERROR(__xludf.DUMMYFUNCTION("""COMPUTED_VALUE"""),"10:29")</f>
        <v>10:29</v>
      </c>
      <c r="AO420" s="65" t="str">
        <f>IFERROR(__xludf.DUMMYFUNCTION("""COMPUTED_VALUE"""),"04-03-2026")</f>
        <v>04-03-2026</v>
      </c>
      <c r="AP420" s="65" t="str">
        <f>IFERROR(__xludf.DUMMYFUNCTION("""COMPUTED_VALUE"""),"EN REPARTO")</f>
        <v>EN REPARTO</v>
      </c>
      <c r="AQ420" s="65" t="str">
        <f>IFERROR(__xludf.DUMMYFUNCTION("""COMPUTED_VALUE"""),"EN REPARTO")</f>
        <v>EN REPARTO</v>
      </c>
      <c r="AR420" s="65"/>
      <c r="AS420" s="65"/>
      <c r="AT420" s="65" t="str">
        <f>IFERROR(__xludf.DUMMYFUNCTION("""COMPUTED_VALUE"""),"SHOPIFY")</f>
        <v>SHOPIFY</v>
      </c>
      <c r="AU420" s="65" t="str">
        <f>IFERROR(__xludf.DUMMYFUNCTION("""COMPUTED_VALUE"""),"IMPORTEX EC")</f>
        <v>IMPORTEX EC</v>
      </c>
      <c r="AV420" s="65" t="str">
        <f>IFERROR(__xludf.DUMMYFUNCTION("""COMPUTED_VALUE"""),"6548465352748")</f>
        <v>6548465352748</v>
      </c>
      <c r="AW420" s="65">
        <f>IFERROR(__xludf.DUMMYFUNCTION("""COMPUTED_VALUE"""),6446.0)</f>
        <v>6446</v>
      </c>
      <c r="AX420" s="65"/>
      <c r="AY420" s="65" t="str">
        <f>IFERROR(__xludf.DUMMYFUNCTION("""COMPUTED_VALUE"""),"03/03/2026")</f>
        <v>03/03/2026</v>
      </c>
      <c r="AZ420" s="65"/>
      <c r="BA420" s="65"/>
    </row>
    <row r="421">
      <c r="A421" s="65" t="str">
        <f>IFERROR(__xludf.DUMMYFUNCTION("""COMPUTED_VALUE"""),"27-03-2026")</f>
        <v>27-03-2026</v>
      </c>
      <c r="B421" s="65">
        <f>IFERROR(__xludf.DUMMYFUNCTION("""COMPUTED_VALUE"""),4656084.0)</f>
        <v>4656084</v>
      </c>
      <c r="C421" s="65" t="str">
        <f>IFERROR(__xludf.DUMMYFUNCTION("""COMPUTED_VALUE"""),"20:41")</f>
        <v>20:41</v>
      </c>
      <c r="D421" s="65" t="str">
        <f>IFERROR(__xludf.DUMMYFUNCTION("""COMPUTED_VALUE"""),"28-02-2026")</f>
        <v>28-02-2026</v>
      </c>
      <c r="E421" s="65" t="str">
        <f>IFERROR(__xludf.DUMMYFUNCTION("""COMPUTED_VALUE"""),"Alex Sánchez")</f>
        <v>Alex Sánchez</v>
      </c>
      <c r="F421" s="65" t="str">
        <f>IFERROR(__xludf.DUMMYFUNCTION("""COMPUTED_VALUE"""),"988616288")</f>
        <v>988616288</v>
      </c>
      <c r="G421" s="65" t="str">
        <f>IFERROR(__xludf.DUMMYFUNCTION("""COMPUTED_VALUE"""),"as8803462@gmail.com")</f>
        <v>as8803462@gmail.com</v>
      </c>
      <c r="H421" s="65"/>
      <c r="I421" s="65"/>
      <c r="J421" s="65" t="str">
        <f>IFERROR(__xludf.DUMMYFUNCTION("""COMPUTED_VALUE"""),"D001377158")</f>
        <v>D001377158</v>
      </c>
      <c r="K421" s="65" t="str">
        <f>IFERROR(__xludf.DUMMYFUNCTION("""COMPUTED_VALUE"""),"ENTREGADO")</f>
        <v>ENTREGADO</v>
      </c>
      <c r="L421" s="65" t="str">
        <f>IFERROR(__xludf.DUMMYFUNCTION("""COMPUTED_VALUE"""),"CON RECAUDO")</f>
        <v>CON RECAUDO</v>
      </c>
      <c r="M421" s="65" t="str">
        <f>IFERROR(__xludf.DUMMYFUNCTION("""COMPUTED_VALUE"""),"SUCUMBIOS")</f>
        <v>SUCUMBIOS</v>
      </c>
      <c r="N421" s="65" t="str">
        <f>IFERROR(__xludf.DUMMYFUNCTION("""COMPUTED_VALUE"""),"SHUSHUFINDI")</f>
        <v>SHUSHUFINDI</v>
      </c>
      <c r="O421" s="65" t="str">
        <f>IFERROR(__xludf.DUMMYFUNCTION("""COMPUTED_VALUE"""),"Barrio 24 de mayo Parque de la familia concha acústica - Calle 10 de agosto y Sucumbios")</f>
        <v>Barrio 24 de mayo Parque de la familia concha acústica - Calle 10 de agosto y Sucumbios</v>
      </c>
      <c r="P421" s="65"/>
      <c r="Q421" s="65" t="str">
        <f>IFERROR(__xludf.DUMMYFUNCTION("""COMPUTED_VALUE"""),"GINTRACOM")</f>
        <v>GINTRACOM</v>
      </c>
      <c r="R421" s="65">
        <f>IFERROR(__xludf.DUMMYFUNCTION("""COMPUTED_VALUE"""),24.2)</f>
        <v>24.2</v>
      </c>
      <c r="S421" s="65">
        <f>IFERROR(__xludf.DUMMYFUNCTION("""COMPUTED_VALUE"""),8.28)</f>
        <v>8.28</v>
      </c>
      <c r="T421" s="65">
        <f>IFERROR(__xludf.DUMMYFUNCTION("""COMPUTED_VALUE"""),5.92)</f>
        <v>5.92</v>
      </c>
      <c r="U421" s="65">
        <f>IFERROR(__xludf.DUMMYFUNCTION("""COMPUTED_VALUE"""),0.0)</f>
        <v>0</v>
      </c>
      <c r="V421" s="65">
        <f>IFERROR(__xludf.DUMMYFUNCTION("""COMPUTED_VALUE"""),0.0)</f>
        <v>0</v>
      </c>
      <c r="W421" s="65">
        <f>IFERROR(__xludf.DUMMYFUNCTION("""COMPUTED_VALUE"""),0.0)</f>
        <v>0</v>
      </c>
      <c r="X421" s="65">
        <f>IFERROR(__xludf.DUMMYFUNCTION("""COMPUTED_VALUE"""),5.0)</f>
        <v>5</v>
      </c>
      <c r="Y421" s="65">
        <f>IFERROR(__xludf.DUMMYFUNCTION("""COMPUTED_VALUE"""),10.0)</f>
        <v>10</v>
      </c>
      <c r="Z421" s="65">
        <f>IFERROR(__xludf.DUMMYFUNCTION("""COMPUTED_VALUE"""),130492.0)</f>
        <v>130492</v>
      </c>
      <c r="AA421" s="65" t="str">
        <f>IFERROR(__xludf.DUMMYFUNCTION("""COMPUTED_VALUE"""),"IMX-00006")</f>
        <v>IMX-00006</v>
      </c>
      <c r="AB421" s="65"/>
      <c r="AC421" s="65" t="str">
        <f>IFERROR(__xludf.DUMMYFUNCTION("""COMPUTED_VALUE"""),"Receptor Bluetooth")</f>
        <v>Receptor Bluetooth</v>
      </c>
      <c r="AD421" s="65"/>
      <c r="AE421" s="65">
        <f>IFERROR(__xludf.DUMMYFUNCTION("""COMPUTED_VALUE"""),2.0)</f>
        <v>2</v>
      </c>
      <c r="AF421" s="65"/>
      <c r="AG421" s="65"/>
      <c r="AH421" s="65"/>
      <c r="AI421" s="65"/>
      <c r="AJ421" s="65"/>
      <c r="AK421" s="65"/>
      <c r="AL421" s="65"/>
      <c r="AM421" s="65"/>
      <c r="AN421" s="65" t="str">
        <f>IFERROR(__xludf.DUMMYFUNCTION("""COMPUTED_VALUE"""),"13:09")</f>
        <v>13:09</v>
      </c>
      <c r="AO421" s="65" t="str">
        <f>IFERROR(__xludf.DUMMYFUNCTION("""COMPUTED_VALUE"""),"04-03-2026")</f>
        <v>04-03-2026</v>
      </c>
      <c r="AP421" s="65" t="str">
        <f>IFERROR(__xludf.DUMMYFUNCTION("""COMPUTED_VALUE"""),"ENTREGADA GINTRACOM")</f>
        <v>ENTREGADA GINTRACOM</v>
      </c>
      <c r="AQ421" s="65" t="str">
        <f>IFERROR(__xludf.DUMMYFUNCTION("""COMPUTED_VALUE"""),"ENTREGADA GINTRACOM")</f>
        <v>ENTREGADA GINTRACOM</v>
      </c>
      <c r="AR421" s="65"/>
      <c r="AS421" s="65"/>
      <c r="AT421" s="65" t="str">
        <f>IFERROR(__xludf.DUMMYFUNCTION("""COMPUTED_VALUE"""),"SHOPIFY")</f>
        <v>SHOPIFY</v>
      </c>
      <c r="AU421" s="65" t="str">
        <f>IFERROR(__xludf.DUMMYFUNCTION("""COMPUTED_VALUE"""),"IMPORTEX EC")</f>
        <v>IMPORTEX EC</v>
      </c>
      <c r="AV421" s="65" t="str">
        <f>IFERROR(__xludf.DUMMYFUNCTION("""COMPUTED_VALUE"""),"6548442644524")</f>
        <v>6548442644524</v>
      </c>
      <c r="AW421" s="65">
        <f>IFERROR(__xludf.DUMMYFUNCTION("""COMPUTED_VALUE"""),6445.0)</f>
        <v>6445</v>
      </c>
      <c r="AX421" s="65"/>
      <c r="AY421" s="65" t="str">
        <f>IFERROR(__xludf.DUMMYFUNCTION("""COMPUTED_VALUE"""),"03/03/2026")</f>
        <v>03/03/2026</v>
      </c>
      <c r="AZ421" s="65"/>
      <c r="BA421" s="65"/>
    </row>
    <row r="422">
      <c r="A422" s="65" t="str">
        <f>IFERROR(__xludf.DUMMYFUNCTION("""COMPUTED_VALUE"""),"27-03-2026")</f>
        <v>27-03-2026</v>
      </c>
      <c r="B422" s="65">
        <f>IFERROR(__xludf.DUMMYFUNCTION("""COMPUTED_VALUE"""),4655989.0)</f>
        <v>4655989</v>
      </c>
      <c r="C422" s="65" t="str">
        <f>IFERROR(__xludf.DUMMYFUNCTION("""COMPUTED_VALUE"""),"20:28")</f>
        <v>20:28</v>
      </c>
      <c r="D422" s="65" t="str">
        <f>IFERROR(__xludf.DUMMYFUNCTION("""COMPUTED_VALUE"""),"28-02-2026")</f>
        <v>28-02-2026</v>
      </c>
      <c r="E422" s="65" t="str">
        <f>IFERROR(__xludf.DUMMYFUNCTION("""COMPUTED_VALUE"""),"Ricardo Calderon")</f>
        <v>Ricardo Calderon</v>
      </c>
      <c r="F422" s="65" t="str">
        <f>IFERROR(__xludf.DUMMYFUNCTION("""COMPUTED_VALUE"""),"968805913")</f>
        <v>968805913</v>
      </c>
      <c r="G422" s="65" t="str">
        <f>IFERROR(__xludf.DUMMYFUNCTION("""COMPUTED_VALUE"""),"ricardo.calderon96@gmail.com")</f>
        <v>ricardo.calderon96@gmail.com</v>
      </c>
      <c r="H422" s="65"/>
      <c r="I422" s="65"/>
      <c r="J422" s="65" t="str">
        <f>IFERROR(__xludf.DUMMYFUNCTION("""COMPUTED_VALUE"""),"D001375376")</f>
        <v>D001375376</v>
      </c>
      <c r="K422" s="65" t="str">
        <f>IFERROR(__xludf.DUMMYFUNCTION("""COMPUTED_VALUE"""),"ENTREGADO")</f>
        <v>ENTREGADO</v>
      </c>
      <c r="L422" s="65" t="str">
        <f>IFERROR(__xludf.DUMMYFUNCTION("""COMPUTED_VALUE"""),"CON RECAUDO")</f>
        <v>CON RECAUDO</v>
      </c>
      <c r="M422" s="65" t="str">
        <f>IFERROR(__xludf.DUMMYFUNCTION("""COMPUTED_VALUE"""),"PICHINCHA")</f>
        <v>PICHINCHA</v>
      </c>
      <c r="N422" s="65" t="str">
        <f>IFERROR(__xludf.DUMMYFUNCTION("""COMPUTED_VALUE"""),"TUMBACO")</f>
        <v>TUMBACO</v>
      </c>
      <c r="O422" s="65" t="str">
        <f>IFERROR(__xludf.DUMMYFUNCTION("""COMPUTED_VALUE"""),"Juan montalvo y fray gonzalo de vera Frente a servipagos de tumbaco")</f>
        <v>Juan montalvo y fray gonzalo de vera Frente a servipagos de tumbaco</v>
      </c>
      <c r="P422" s="65"/>
      <c r="Q422" s="65" t="str">
        <f>IFERROR(__xludf.DUMMYFUNCTION("""COMPUTED_VALUE"""),"GINTRACOM")</f>
        <v>GINTRACOM</v>
      </c>
      <c r="R422" s="65">
        <f>IFERROR(__xludf.DUMMYFUNCTION("""COMPUTED_VALUE"""),30.0)</f>
        <v>30</v>
      </c>
      <c r="S422" s="65">
        <f>IFERROR(__xludf.DUMMYFUNCTION("""COMPUTED_VALUE"""),17.83)</f>
        <v>17.83</v>
      </c>
      <c r="T422" s="65">
        <f>IFERROR(__xludf.DUMMYFUNCTION("""COMPUTED_VALUE"""),5.12)</f>
        <v>5.12</v>
      </c>
      <c r="U422" s="65">
        <f>IFERROR(__xludf.DUMMYFUNCTION("""COMPUTED_VALUE"""),0.0)</f>
        <v>0</v>
      </c>
      <c r="V422" s="65">
        <f>IFERROR(__xludf.DUMMYFUNCTION("""COMPUTED_VALUE"""),0.0)</f>
        <v>0</v>
      </c>
      <c r="W422" s="65">
        <f>IFERROR(__xludf.DUMMYFUNCTION("""COMPUTED_VALUE"""),0.0)</f>
        <v>0</v>
      </c>
      <c r="X422" s="65">
        <f>IFERROR(__xludf.DUMMYFUNCTION("""COMPUTED_VALUE"""),2.35)</f>
        <v>2.35</v>
      </c>
      <c r="Y422" s="65">
        <f>IFERROR(__xludf.DUMMYFUNCTION("""COMPUTED_VALUE"""),7.05)</f>
        <v>7.05</v>
      </c>
      <c r="Z422" s="65">
        <f>IFERROR(__xludf.DUMMYFUNCTION("""COMPUTED_VALUE"""),116679.0)</f>
        <v>116679</v>
      </c>
      <c r="AA422" s="65" t="str">
        <f>IFERROR(__xludf.DUMMYFUNCTION("""COMPUTED_VALUE"""),"AMC-2738")</f>
        <v>AMC-2738</v>
      </c>
      <c r="AB422" s="65"/>
      <c r="AC422" s="65" t="str">
        <f>IFERROR(__xludf.DUMMYFUNCTION("""COMPUTED_VALUE"""),"ESPONJA ANTILLUVIA DE PARABRISAS")</f>
        <v>ESPONJA ANTILLUVIA DE PARABRISAS</v>
      </c>
      <c r="AD422" s="65"/>
      <c r="AE422" s="65">
        <f>IFERROR(__xludf.DUMMYFUNCTION("""COMPUTED_VALUE"""),3.0)</f>
        <v>3</v>
      </c>
      <c r="AF422" s="65"/>
      <c r="AG422" s="65"/>
      <c r="AH422" s="65"/>
      <c r="AI422" s="65"/>
      <c r="AJ422" s="65"/>
      <c r="AK422" s="65"/>
      <c r="AL422" s="65"/>
      <c r="AM422" s="65"/>
      <c r="AN422" s="65" t="str">
        <f>IFERROR(__xludf.DUMMYFUNCTION("""COMPUTED_VALUE"""),"16:05")</f>
        <v>16:05</v>
      </c>
      <c r="AO422" s="65" t="str">
        <f>IFERROR(__xludf.DUMMYFUNCTION("""COMPUTED_VALUE"""),"04-03-2026")</f>
        <v>04-03-2026</v>
      </c>
      <c r="AP422" s="65" t="str">
        <f>IFERROR(__xludf.DUMMYFUNCTION("""COMPUTED_VALUE"""),"EN TRÁNSITO")</f>
        <v>EN TRÁNSITO</v>
      </c>
      <c r="AQ422" s="65" t="str">
        <f>IFERROR(__xludf.DUMMYFUNCTION("""COMPUTED_VALUE"""),"EN TRÁNSITO")</f>
        <v>EN TRÁNSITO</v>
      </c>
      <c r="AR422" s="65"/>
      <c r="AS422" s="65"/>
      <c r="AT422" s="65" t="str">
        <f>IFERROR(__xludf.DUMMYFUNCTION("""COMPUTED_VALUE"""),"SHOPIFY")</f>
        <v>SHOPIFY</v>
      </c>
      <c r="AU422" s="65" t="str">
        <f>IFERROR(__xludf.DUMMYFUNCTION("""COMPUTED_VALUE"""),"IMPORTEX EC")</f>
        <v>IMPORTEX EC</v>
      </c>
      <c r="AV422" s="65" t="str">
        <f>IFERROR(__xludf.DUMMYFUNCTION("""COMPUTED_VALUE"""),"6548421443628")</f>
        <v>6548421443628</v>
      </c>
      <c r="AW422" s="65">
        <f>IFERROR(__xludf.DUMMYFUNCTION("""COMPUTED_VALUE"""),6444.0)</f>
        <v>6444</v>
      </c>
      <c r="AX422" s="65"/>
      <c r="AY422" s="65" t="str">
        <f>IFERROR(__xludf.DUMMYFUNCTION("""COMPUTED_VALUE"""),"02/03/2026")</f>
        <v>02/03/2026</v>
      </c>
      <c r="AZ422" s="65"/>
      <c r="BA422" s="65"/>
    </row>
    <row r="423">
      <c r="A423" s="65" t="str">
        <f>IFERROR(__xludf.DUMMYFUNCTION("""COMPUTED_VALUE"""),"27-03-2026")</f>
        <v>27-03-2026</v>
      </c>
      <c r="B423" s="65">
        <f>IFERROR(__xludf.DUMMYFUNCTION("""COMPUTED_VALUE"""),4655832.0)</f>
        <v>4655832</v>
      </c>
      <c r="C423" s="65" t="str">
        <f>IFERROR(__xludf.DUMMYFUNCTION("""COMPUTED_VALUE"""),"20:06")</f>
        <v>20:06</v>
      </c>
      <c r="D423" s="65" t="str">
        <f>IFERROR(__xludf.DUMMYFUNCTION("""COMPUTED_VALUE"""),"28-02-2026")</f>
        <v>28-02-2026</v>
      </c>
      <c r="E423" s="65" t="str">
        <f>IFERROR(__xludf.DUMMYFUNCTION("""COMPUTED_VALUE"""),"Guillermo Antonio Salguero Olmedo")</f>
        <v>Guillermo Antonio Salguero Olmedo</v>
      </c>
      <c r="F423" s="65" t="str">
        <f>IFERROR(__xludf.DUMMYFUNCTION("""COMPUTED_VALUE"""),"997955473")</f>
        <v>997955473</v>
      </c>
      <c r="G423" s="65" t="str">
        <f>IFERROR(__xludf.DUMMYFUNCTION("""COMPUTED_VALUE"""),"guillermosalgueroolmedo@gmail.com")</f>
        <v>guillermosalgueroolmedo@gmail.com</v>
      </c>
      <c r="H423" s="65"/>
      <c r="I423" s="65"/>
      <c r="J423" s="65"/>
      <c r="K423" s="65" t="str">
        <f>IFERROR(__xludf.DUMMYFUNCTION("""COMPUTED_VALUE"""),"PENDIENTE CONFIRMACION")</f>
        <v>PENDIENTE CONFIRMACION</v>
      </c>
      <c r="L423" s="65" t="str">
        <f>IFERROR(__xludf.DUMMYFUNCTION("""COMPUTED_VALUE"""),"CON RECAUDO")</f>
        <v>CON RECAUDO</v>
      </c>
      <c r="M423" s="65" t="str">
        <f>IFERROR(__xludf.DUMMYFUNCTION("""COMPUTED_VALUE"""),"ESMERALDAS")</f>
        <v>ESMERALDAS</v>
      </c>
      <c r="N423" s="65" t="str">
        <f>IFERROR(__xludf.DUMMYFUNCTION("""COMPUTED_VALUE"""),"LA CONCORDIA")</f>
        <v>LA CONCORDIA</v>
      </c>
      <c r="O423" s="65" t="str">
        <f>IFERROR(__xludf.DUMMYFUNCTION("""COMPUTED_VALUE"""),"Calle Eloy Zambrano diagonal a la sede de taxis Escuela del milenio -")</f>
        <v>Calle Eloy Zambrano diagonal a la sede de taxis Escuela del milenio -</v>
      </c>
      <c r="P423" s="65"/>
      <c r="Q423" s="65" t="str">
        <f>IFERROR(__xludf.DUMMYFUNCTION("""COMPUTED_VALUE"""),"SERVIENTREGA")</f>
        <v>SERVIENTREGA</v>
      </c>
      <c r="R423" s="65">
        <f>IFERROR(__xludf.DUMMYFUNCTION("""COMPUTED_VALUE"""),25.0)</f>
        <v>25</v>
      </c>
      <c r="S423" s="65"/>
      <c r="T423" s="65">
        <f>IFERROR(__xludf.DUMMYFUNCTION("""COMPUTED_VALUE"""),7.75)</f>
        <v>7.75</v>
      </c>
      <c r="U423" s="65">
        <f>IFERROR(__xludf.DUMMYFUNCTION("""COMPUTED_VALUE"""),0.0)</f>
        <v>0</v>
      </c>
      <c r="V423" s="65">
        <f>IFERROR(__xludf.DUMMYFUNCTION("""COMPUTED_VALUE"""),0.0)</f>
        <v>0</v>
      </c>
      <c r="W423" s="65">
        <f>IFERROR(__xludf.DUMMYFUNCTION("""COMPUTED_VALUE"""),0.0)</f>
        <v>0</v>
      </c>
      <c r="X423" s="65">
        <f>IFERROR(__xludf.DUMMYFUNCTION("""COMPUTED_VALUE"""),2.35)</f>
        <v>2.35</v>
      </c>
      <c r="Y423" s="65">
        <f>IFERROR(__xludf.DUMMYFUNCTION("""COMPUTED_VALUE"""),4.7)</f>
        <v>4.7</v>
      </c>
      <c r="Z423" s="65">
        <f>IFERROR(__xludf.DUMMYFUNCTION("""COMPUTED_VALUE"""),116679.0)</f>
        <v>116679</v>
      </c>
      <c r="AA423" s="65" t="str">
        <f>IFERROR(__xludf.DUMMYFUNCTION("""COMPUTED_VALUE"""),"AMC-2738")</f>
        <v>AMC-2738</v>
      </c>
      <c r="AB423" s="65"/>
      <c r="AC423" s="65" t="str">
        <f>IFERROR(__xludf.DUMMYFUNCTION("""COMPUTED_VALUE"""),"ESPONJA ANTILLUVIA DE PARABRISAS")</f>
        <v>ESPONJA ANTILLUVIA DE PARABRISAS</v>
      </c>
      <c r="AD423" s="65"/>
      <c r="AE423" s="65">
        <f>IFERROR(__xludf.DUMMYFUNCTION("""COMPUTED_VALUE"""),2.0)</f>
        <v>2</v>
      </c>
      <c r="AF423" s="65"/>
      <c r="AG423" s="65"/>
      <c r="AH423" s="65"/>
      <c r="AI423" s="65"/>
      <c r="AJ423" s="65"/>
      <c r="AK423" s="65"/>
      <c r="AL423" s="65"/>
      <c r="AM423" s="65"/>
      <c r="AN423" s="65"/>
      <c r="AO423" s="65"/>
      <c r="AP423" s="65"/>
      <c r="AQ423" s="65"/>
      <c r="AR423" s="65"/>
      <c r="AS423" s="65"/>
      <c r="AT423" s="65" t="str">
        <f>IFERROR(__xludf.DUMMYFUNCTION("""COMPUTED_VALUE"""),"SHOPIFY")</f>
        <v>SHOPIFY</v>
      </c>
      <c r="AU423" s="65" t="str">
        <f>IFERROR(__xludf.DUMMYFUNCTION("""COMPUTED_VALUE"""),"IMPORTEX EC")</f>
        <v>IMPORTEX EC</v>
      </c>
      <c r="AV423" s="65" t="str">
        <f>IFERROR(__xludf.DUMMYFUNCTION("""COMPUTED_VALUE"""),"6548370522156")</f>
        <v>6548370522156</v>
      </c>
      <c r="AW423" s="65">
        <f>IFERROR(__xludf.DUMMYFUNCTION("""COMPUTED_VALUE"""),6443.0)</f>
        <v>6443</v>
      </c>
      <c r="AX423" s="65"/>
      <c r="AY423" s="65"/>
      <c r="AZ423" s="65"/>
      <c r="BA423" s="65"/>
    </row>
    <row r="424">
      <c r="A424" s="65" t="str">
        <f>IFERROR(__xludf.DUMMYFUNCTION("""COMPUTED_VALUE"""),"27-03-2026")</f>
        <v>27-03-2026</v>
      </c>
      <c r="B424" s="65">
        <f>IFERROR(__xludf.DUMMYFUNCTION("""COMPUTED_VALUE"""),4655613.0)</f>
        <v>4655613</v>
      </c>
      <c r="C424" s="65" t="str">
        <f>IFERROR(__xludf.DUMMYFUNCTION("""COMPUTED_VALUE"""),"19:33")</f>
        <v>19:33</v>
      </c>
      <c r="D424" s="65" t="str">
        <f>IFERROR(__xludf.DUMMYFUNCTION("""COMPUTED_VALUE"""),"28-02-2026")</f>
        <v>28-02-2026</v>
      </c>
      <c r="E424" s="65" t="str">
        <f>IFERROR(__xludf.DUMMYFUNCTION("""COMPUTED_VALUE"""),"Leonel Galarraga")</f>
        <v>Leonel Galarraga</v>
      </c>
      <c r="F424" s="65" t="str">
        <f>IFERROR(__xludf.DUMMYFUNCTION("""COMPUTED_VALUE"""),"969870896")</f>
        <v>969870896</v>
      </c>
      <c r="G424" s="65" t="str">
        <f>IFERROR(__xludf.DUMMYFUNCTION("""COMPUTED_VALUE"""),"leonel_galarraga@hotmail.com")</f>
        <v>leonel_galarraga@hotmail.com</v>
      </c>
      <c r="H424" s="65"/>
      <c r="I424" s="65"/>
      <c r="J424" s="65" t="str">
        <f>IFERROR(__xludf.DUMMYFUNCTION("""COMPUTED_VALUE"""),"D001375377")</f>
        <v>D001375377</v>
      </c>
      <c r="K424" s="65" t="str">
        <f>IFERROR(__xludf.DUMMYFUNCTION("""COMPUTED_VALUE"""),"ENTREGADO")</f>
        <v>ENTREGADO</v>
      </c>
      <c r="L424" s="65" t="str">
        <f>IFERROR(__xludf.DUMMYFUNCTION("""COMPUTED_VALUE"""),"CON RECAUDO")</f>
        <v>CON RECAUDO</v>
      </c>
      <c r="M424" s="65" t="str">
        <f>IFERROR(__xludf.DUMMYFUNCTION("""COMPUTED_VALUE"""),"GUAYAS")</f>
        <v>GUAYAS</v>
      </c>
      <c r="N424" s="65" t="str">
        <f>IFERROR(__xludf.DUMMYFUNCTION("""COMPUTED_VALUE"""),"GUAYAQUIL")</f>
        <v>GUAYAQUIL</v>
      </c>
      <c r="O424" s="65" t="str">
        <f>IFERROR(__xludf.DUMMYFUNCTION("""COMPUTED_VALUE"""),"Garzota 3era etapa manzana 99 solar 5 Garzota -")</f>
        <v>Garzota 3era etapa manzana 99 solar 5 Garzota -</v>
      </c>
      <c r="P424" s="65"/>
      <c r="Q424" s="65" t="str">
        <f>IFERROR(__xludf.DUMMYFUNCTION("""COMPUTED_VALUE"""),"GINTRACOM")</f>
        <v>GINTRACOM</v>
      </c>
      <c r="R424" s="65">
        <f>IFERROR(__xludf.DUMMYFUNCTION("""COMPUTED_VALUE"""),30.0)</f>
        <v>30</v>
      </c>
      <c r="S424" s="65">
        <f>IFERROR(__xludf.DUMMYFUNCTION("""COMPUTED_VALUE"""),16.79)</f>
        <v>16.79</v>
      </c>
      <c r="T424" s="65">
        <f>IFERROR(__xludf.DUMMYFUNCTION("""COMPUTED_VALUE"""),6.16)</f>
        <v>6.16</v>
      </c>
      <c r="U424" s="65">
        <f>IFERROR(__xludf.DUMMYFUNCTION("""COMPUTED_VALUE"""),0.0)</f>
        <v>0</v>
      </c>
      <c r="V424" s="65">
        <f>IFERROR(__xludf.DUMMYFUNCTION("""COMPUTED_VALUE"""),0.0)</f>
        <v>0</v>
      </c>
      <c r="W424" s="65">
        <f>IFERROR(__xludf.DUMMYFUNCTION("""COMPUTED_VALUE"""),0.0)</f>
        <v>0</v>
      </c>
      <c r="X424" s="65">
        <f>IFERROR(__xludf.DUMMYFUNCTION("""COMPUTED_VALUE"""),2.35)</f>
        <v>2.35</v>
      </c>
      <c r="Y424" s="65">
        <f>IFERROR(__xludf.DUMMYFUNCTION("""COMPUTED_VALUE"""),7.05)</f>
        <v>7.05</v>
      </c>
      <c r="Z424" s="65">
        <f>IFERROR(__xludf.DUMMYFUNCTION("""COMPUTED_VALUE"""),116679.0)</f>
        <v>116679</v>
      </c>
      <c r="AA424" s="65" t="str">
        <f>IFERROR(__xludf.DUMMYFUNCTION("""COMPUTED_VALUE"""),"AMC-2738")</f>
        <v>AMC-2738</v>
      </c>
      <c r="AB424" s="65"/>
      <c r="AC424" s="65" t="str">
        <f>IFERROR(__xludf.DUMMYFUNCTION("""COMPUTED_VALUE"""),"ESPONJA ANTILLUVIA DE PARABRISAS")</f>
        <v>ESPONJA ANTILLUVIA DE PARABRISAS</v>
      </c>
      <c r="AD424" s="65"/>
      <c r="AE424" s="65">
        <f>IFERROR(__xludf.DUMMYFUNCTION("""COMPUTED_VALUE"""),3.0)</f>
        <v>3</v>
      </c>
      <c r="AF424" s="65"/>
      <c r="AG424" s="65"/>
      <c r="AH424" s="65"/>
      <c r="AI424" s="65"/>
      <c r="AJ424" s="65"/>
      <c r="AK424" s="65"/>
      <c r="AL424" s="65"/>
      <c r="AM424" s="65"/>
      <c r="AN424" s="65" t="str">
        <f>IFERROR(__xludf.DUMMYFUNCTION("""COMPUTED_VALUE"""),"11:50")</f>
        <v>11:50</v>
      </c>
      <c r="AO424" s="65" t="str">
        <f>IFERROR(__xludf.DUMMYFUNCTION("""COMPUTED_VALUE"""),"06-03-2026")</f>
        <v>06-03-2026</v>
      </c>
      <c r="AP424" s="65" t="str">
        <f>IFERROR(__xludf.DUMMYFUNCTION("""COMPUTED_VALUE"""),"ENTREGADA GINTRACOM")</f>
        <v>ENTREGADA GINTRACOM</v>
      </c>
      <c r="AQ424" s="65" t="str">
        <f>IFERROR(__xludf.DUMMYFUNCTION("""COMPUTED_VALUE"""),"ENTREGADA GINTRACOM")</f>
        <v>ENTREGADA GINTRACOM</v>
      </c>
      <c r="AR424" s="65"/>
      <c r="AS424" s="65"/>
      <c r="AT424" s="65" t="str">
        <f>IFERROR(__xludf.DUMMYFUNCTION("""COMPUTED_VALUE"""),"SHOPIFY")</f>
        <v>SHOPIFY</v>
      </c>
      <c r="AU424" s="65" t="str">
        <f>IFERROR(__xludf.DUMMYFUNCTION("""COMPUTED_VALUE"""),"IMPORTEX EC")</f>
        <v>IMPORTEX EC</v>
      </c>
      <c r="AV424" s="65" t="str">
        <f>IFERROR(__xludf.DUMMYFUNCTION("""COMPUTED_VALUE"""),"6548304920620")</f>
        <v>6548304920620</v>
      </c>
      <c r="AW424" s="65">
        <f>IFERROR(__xludf.DUMMYFUNCTION("""COMPUTED_VALUE"""),6442.0)</f>
        <v>6442</v>
      </c>
      <c r="AX424" s="65"/>
      <c r="AY424" s="65" t="str">
        <f>IFERROR(__xludf.DUMMYFUNCTION("""COMPUTED_VALUE"""),"02/03/2026")</f>
        <v>02/03/2026</v>
      </c>
      <c r="AZ424" s="65"/>
      <c r="BA424" s="65"/>
    </row>
    <row r="425">
      <c r="A425" s="65" t="str">
        <f>IFERROR(__xludf.DUMMYFUNCTION("""COMPUTED_VALUE"""),"27-03-2026")</f>
        <v>27-03-2026</v>
      </c>
      <c r="B425" s="65">
        <f>IFERROR(__xludf.DUMMYFUNCTION("""COMPUTED_VALUE"""),4655101.0)</f>
        <v>4655101</v>
      </c>
      <c r="C425" s="65" t="str">
        <f>IFERROR(__xludf.DUMMYFUNCTION("""COMPUTED_VALUE"""),"18:13")</f>
        <v>18:13</v>
      </c>
      <c r="D425" s="65" t="str">
        <f>IFERROR(__xludf.DUMMYFUNCTION("""COMPUTED_VALUE"""),"28-02-2026")</f>
        <v>28-02-2026</v>
      </c>
      <c r="E425" s="65" t="str">
        <f>IFERROR(__xludf.DUMMYFUNCTION("""COMPUTED_VALUE"""),"Milagros Abril")</f>
        <v>Milagros Abril</v>
      </c>
      <c r="F425" s="65" t="str">
        <f>IFERROR(__xludf.DUMMYFUNCTION("""COMPUTED_VALUE"""),"984656313")</f>
        <v>984656313</v>
      </c>
      <c r="G425" s="65" t="str">
        <f>IFERROR(__xludf.DUMMYFUNCTION("""COMPUTED_VALUE"""),"milysocia18@gmail.com")</f>
        <v>milysocia18@gmail.com</v>
      </c>
      <c r="H425" s="65"/>
      <c r="I425" s="65"/>
      <c r="J425" s="65" t="str">
        <f>IFERROR(__xludf.DUMMYFUNCTION("""COMPUTED_VALUE"""),"D001375378")</f>
        <v>D001375378</v>
      </c>
      <c r="K425" s="65" t="str">
        <f>IFERROR(__xludf.DUMMYFUNCTION("""COMPUTED_VALUE"""),"ENTREGADO")</f>
        <v>ENTREGADO</v>
      </c>
      <c r="L425" s="65" t="str">
        <f>IFERROR(__xludf.DUMMYFUNCTION("""COMPUTED_VALUE"""),"CON RECAUDO")</f>
        <v>CON RECAUDO</v>
      </c>
      <c r="M425" s="65" t="str">
        <f>IFERROR(__xludf.DUMMYFUNCTION("""COMPUTED_VALUE"""),"PICHINCHA")</f>
        <v>PICHINCHA</v>
      </c>
      <c r="N425" s="65" t="str">
        <f>IFERROR(__xludf.DUMMYFUNCTION("""COMPUTED_VALUE"""),"SANGOLQUI")</f>
        <v>SANGOLQUI</v>
      </c>
      <c r="O425" s="65" t="str">
        <f>IFERROR(__xludf.DUMMYFUNCTION("""COMPUTED_VALUE"""),"UrbanizaciÓn La Colina , Calle Pastaza #326 Y Calle Napo, Frente A La Espe Frente a la ESPE -")</f>
        <v>UrbanizaciÓn La Colina , Calle Pastaza #326 Y Calle Napo, Frente A La Espe Frente a la ESPE -</v>
      </c>
      <c r="P425" s="65"/>
      <c r="Q425" s="65" t="str">
        <f>IFERROR(__xludf.DUMMYFUNCTION("""COMPUTED_VALUE"""),"GINTRACOM")</f>
        <v>GINTRACOM</v>
      </c>
      <c r="R425" s="65">
        <f>IFERROR(__xludf.DUMMYFUNCTION("""COMPUTED_VALUE"""),20.0)</f>
        <v>20</v>
      </c>
      <c r="S425" s="65">
        <f>IFERROR(__xludf.DUMMYFUNCTION("""COMPUTED_VALUE"""),12.93)</f>
        <v>12.93</v>
      </c>
      <c r="T425" s="65">
        <f>IFERROR(__xludf.DUMMYFUNCTION("""COMPUTED_VALUE"""),4.72)</f>
        <v>4.72</v>
      </c>
      <c r="U425" s="65">
        <f>IFERROR(__xludf.DUMMYFUNCTION("""COMPUTED_VALUE"""),0.0)</f>
        <v>0</v>
      </c>
      <c r="V425" s="65">
        <f>IFERROR(__xludf.DUMMYFUNCTION("""COMPUTED_VALUE"""),0.0)</f>
        <v>0</v>
      </c>
      <c r="W425" s="65">
        <f>IFERROR(__xludf.DUMMYFUNCTION("""COMPUTED_VALUE"""),0.0)</f>
        <v>0</v>
      </c>
      <c r="X425" s="65">
        <f>IFERROR(__xludf.DUMMYFUNCTION("""COMPUTED_VALUE"""),2.35)</f>
        <v>2.35</v>
      </c>
      <c r="Y425" s="65">
        <f>IFERROR(__xludf.DUMMYFUNCTION("""COMPUTED_VALUE"""),2.35)</f>
        <v>2.35</v>
      </c>
      <c r="Z425" s="65">
        <f>IFERROR(__xludf.DUMMYFUNCTION("""COMPUTED_VALUE"""),116679.0)</f>
        <v>116679</v>
      </c>
      <c r="AA425" s="65" t="str">
        <f>IFERROR(__xludf.DUMMYFUNCTION("""COMPUTED_VALUE"""),"AMC-2738")</f>
        <v>AMC-2738</v>
      </c>
      <c r="AB425" s="65"/>
      <c r="AC425" s="65" t="str">
        <f>IFERROR(__xludf.DUMMYFUNCTION("""COMPUTED_VALUE"""),"ESPONJA ANTILLUVIA DE PARABRISAS")</f>
        <v>ESPONJA ANTILLUVIA DE PARABRISAS</v>
      </c>
      <c r="AD425" s="65"/>
      <c r="AE425" s="65">
        <f>IFERROR(__xludf.DUMMYFUNCTION("""COMPUTED_VALUE"""),1.0)</f>
        <v>1</v>
      </c>
      <c r="AF425" s="65" t="str">
        <f>IFERROR(__xludf.DUMMYFUNCTION("""COMPUTED_VALUE"""),"DESTINATARIO NO SE ENCUENTRA EN LUGAR DE ENTREGA.")</f>
        <v>DESTINATARIO NO SE ENCUENTRA EN LUGAR DE ENTREGA.</v>
      </c>
      <c r="AG425" s="65" t="str">
        <f>IFERROR(__xludf.DUMMYFUNCTION("""COMPUTED_VALUE"""),"SI")</f>
        <v>SI</v>
      </c>
      <c r="AH425" s="65" t="str">
        <f>IFERROR(__xludf.DUMMYFUNCTION("""COMPUTED_VALUE"""),"13:59")</f>
        <v>13:59</v>
      </c>
      <c r="AI425" s="65" t="str">
        <f>IFERROR(__xludf.DUMMYFUNCTION("""COMPUTED_VALUE"""),"05-03-2026")</f>
        <v>05-03-2026</v>
      </c>
      <c r="AJ425" s="65" t="str">
        <f>IFERROR(__xludf.DUMMYFUNCTION("""COMPUTED_VALUE"""),"Cliente solicita la entrega inmediata.")</f>
        <v>Cliente solicita la entrega inmediata.</v>
      </c>
      <c r="AK425" s="65" t="str">
        <f>IFERROR(__xludf.DUMMYFUNCTION("""COMPUTED_VALUE"""),"10:59")</f>
        <v>10:59</v>
      </c>
      <c r="AL425" s="65" t="str">
        <f>IFERROR(__xludf.DUMMYFUNCTION("""COMPUTED_VALUE"""),"06-03-2026")</f>
        <v>06-03-2026</v>
      </c>
      <c r="AM425" s="65"/>
      <c r="AN425" s="65" t="str">
        <f>IFERROR(__xludf.DUMMYFUNCTION("""COMPUTED_VALUE"""),"11:47")</f>
        <v>11:47</v>
      </c>
      <c r="AO425" s="65" t="str">
        <f>IFERROR(__xludf.DUMMYFUNCTION("""COMPUTED_VALUE"""),"07-03-2026")</f>
        <v>07-03-2026</v>
      </c>
      <c r="AP425" s="65" t="str">
        <f>IFERROR(__xludf.DUMMYFUNCTION("""COMPUTED_VALUE"""),"ENTREGADA GINTRACOM")</f>
        <v>ENTREGADA GINTRACOM</v>
      </c>
      <c r="AQ425" s="65" t="str">
        <f>IFERROR(__xludf.DUMMYFUNCTION("""COMPUTED_VALUE"""),"ENTREGADA GINTRACOM")</f>
        <v>ENTREGADA GINTRACOM</v>
      </c>
      <c r="AR425" s="65"/>
      <c r="AS425" s="65"/>
      <c r="AT425" s="65" t="str">
        <f>IFERROR(__xludf.DUMMYFUNCTION("""COMPUTED_VALUE"""),"SHOPIFY")</f>
        <v>SHOPIFY</v>
      </c>
      <c r="AU425" s="65" t="str">
        <f>IFERROR(__xludf.DUMMYFUNCTION("""COMPUTED_VALUE"""),"IMPORTEX EC")</f>
        <v>IMPORTEX EC</v>
      </c>
      <c r="AV425" s="65" t="str">
        <f>IFERROR(__xludf.DUMMYFUNCTION("""COMPUTED_VALUE"""),"6548146257964")</f>
        <v>6548146257964</v>
      </c>
      <c r="AW425" s="65">
        <f>IFERROR(__xludf.DUMMYFUNCTION("""COMPUTED_VALUE"""),6440.0)</f>
        <v>6440</v>
      </c>
      <c r="AX425" s="65"/>
      <c r="AY425" s="65" t="str">
        <f>IFERROR(__xludf.DUMMYFUNCTION("""COMPUTED_VALUE"""),"02/03/2026")</f>
        <v>02/03/2026</v>
      </c>
      <c r="AZ425" s="65"/>
      <c r="BA425" s="65"/>
    </row>
    <row r="426">
      <c r="A426" s="65" t="str">
        <f>IFERROR(__xludf.DUMMYFUNCTION("""COMPUTED_VALUE"""),"27-03-2026")</f>
        <v>27-03-2026</v>
      </c>
      <c r="B426" s="65">
        <f>IFERROR(__xludf.DUMMYFUNCTION("""COMPUTED_VALUE"""),4654767.0)</f>
        <v>4654767</v>
      </c>
      <c r="C426" s="65" t="str">
        <f>IFERROR(__xludf.DUMMYFUNCTION("""COMPUTED_VALUE"""),"17:17")</f>
        <v>17:17</v>
      </c>
      <c r="D426" s="65" t="str">
        <f>IFERROR(__xludf.DUMMYFUNCTION("""COMPUTED_VALUE"""),"28-02-2026")</f>
        <v>28-02-2026</v>
      </c>
      <c r="E426" s="65" t="str">
        <f>IFERROR(__xludf.DUMMYFUNCTION("""COMPUTED_VALUE"""),"Bryan Sánchez Sánchez")</f>
        <v>Bryan Sánchez Sánchez</v>
      </c>
      <c r="F426" s="65" t="str">
        <f>IFERROR(__xludf.DUMMYFUNCTION("""COMPUTED_VALUE"""),"989538161")</f>
        <v>989538161</v>
      </c>
      <c r="G426" s="65" t="str">
        <f>IFERROR(__xludf.DUMMYFUNCTION("""COMPUTED_VALUE"""),"brain_sanz@hotmail.com")</f>
        <v>brain_sanz@hotmail.com</v>
      </c>
      <c r="H426" s="65"/>
      <c r="I426" s="65"/>
      <c r="J426" s="65"/>
      <c r="K426" s="65" t="str">
        <f>IFERROR(__xludf.DUMMYFUNCTION("""COMPUTED_VALUE"""),"PENDIENTE CONFIRMACION")</f>
        <v>PENDIENTE CONFIRMACION</v>
      </c>
      <c r="L426" s="65" t="str">
        <f>IFERROR(__xludf.DUMMYFUNCTION("""COMPUTED_VALUE"""),"CON RECAUDO")</f>
        <v>CON RECAUDO</v>
      </c>
      <c r="M426" s="65" t="str">
        <f>IFERROR(__xludf.DUMMYFUNCTION("""COMPUTED_VALUE"""),"SANTA ELENA")</f>
        <v>SANTA ELENA</v>
      </c>
      <c r="N426" s="65" t="str">
        <f>IFERROR(__xludf.DUMMYFUNCTION("""COMPUTED_VALUE"""),"SANTA ELENA")</f>
        <v>SANTA ELENA</v>
      </c>
      <c r="O426" s="65" t="str">
        <f>IFERROR(__xludf.DUMMYFUNCTION("""COMPUTED_VALUE"""),"Sector chipipe salinas Y eugenio espejo -")</f>
        <v>Sector chipipe salinas Y eugenio espejo -</v>
      </c>
      <c r="P426" s="65"/>
      <c r="Q426" s="65" t="str">
        <f>IFERROR(__xludf.DUMMYFUNCTION("""COMPUTED_VALUE"""),"GINTRACOM")</f>
        <v>GINTRACOM</v>
      </c>
      <c r="R426" s="65">
        <f>IFERROR(__xludf.DUMMYFUNCTION("""COMPUTED_VALUE"""),20.0)</f>
        <v>20</v>
      </c>
      <c r="S426" s="65"/>
      <c r="T426" s="65">
        <f>IFERROR(__xludf.DUMMYFUNCTION("""COMPUTED_VALUE"""),5.76)</f>
        <v>5.76</v>
      </c>
      <c r="U426" s="65">
        <f>IFERROR(__xludf.DUMMYFUNCTION("""COMPUTED_VALUE"""),0.0)</f>
        <v>0</v>
      </c>
      <c r="V426" s="65">
        <f>IFERROR(__xludf.DUMMYFUNCTION("""COMPUTED_VALUE"""),0.0)</f>
        <v>0</v>
      </c>
      <c r="W426" s="65">
        <f>IFERROR(__xludf.DUMMYFUNCTION("""COMPUTED_VALUE"""),0.0)</f>
        <v>0</v>
      </c>
      <c r="X426" s="65">
        <f>IFERROR(__xludf.DUMMYFUNCTION("""COMPUTED_VALUE"""),2.35)</f>
        <v>2.35</v>
      </c>
      <c r="Y426" s="65">
        <f>IFERROR(__xludf.DUMMYFUNCTION("""COMPUTED_VALUE"""),2.35)</f>
        <v>2.35</v>
      </c>
      <c r="Z426" s="65">
        <f>IFERROR(__xludf.DUMMYFUNCTION("""COMPUTED_VALUE"""),116679.0)</f>
        <v>116679</v>
      </c>
      <c r="AA426" s="65" t="str">
        <f>IFERROR(__xludf.DUMMYFUNCTION("""COMPUTED_VALUE"""),"AMC-2738")</f>
        <v>AMC-2738</v>
      </c>
      <c r="AB426" s="65"/>
      <c r="AC426" s="65" t="str">
        <f>IFERROR(__xludf.DUMMYFUNCTION("""COMPUTED_VALUE"""),"ESPONJA ANTILLUVIA DE PARABRISAS")</f>
        <v>ESPONJA ANTILLUVIA DE PARABRISAS</v>
      </c>
      <c r="AD426" s="65"/>
      <c r="AE426" s="65">
        <f>IFERROR(__xludf.DUMMYFUNCTION("""COMPUTED_VALUE"""),1.0)</f>
        <v>1</v>
      </c>
      <c r="AF426" s="65"/>
      <c r="AG426" s="65"/>
      <c r="AH426" s="65"/>
      <c r="AI426" s="65"/>
      <c r="AJ426" s="65"/>
      <c r="AK426" s="65"/>
      <c r="AL426" s="65"/>
      <c r="AM426" s="65"/>
      <c r="AN426" s="65"/>
      <c r="AO426" s="65"/>
      <c r="AP426" s="65"/>
      <c r="AQ426" s="65"/>
      <c r="AR426" s="65"/>
      <c r="AS426" s="65"/>
      <c r="AT426" s="65" t="str">
        <f>IFERROR(__xludf.DUMMYFUNCTION("""COMPUTED_VALUE"""),"SHOPIFY")</f>
        <v>SHOPIFY</v>
      </c>
      <c r="AU426" s="65" t="str">
        <f>IFERROR(__xludf.DUMMYFUNCTION("""COMPUTED_VALUE"""),"IMPORTEX EC")</f>
        <v>IMPORTEX EC</v>
      </c>
      <c r="AV426" s="65" t="str">
        <f>IFERROR(__xludf.DUMMYFUNCTION("""COMPUTED_VALUE"""),"6548034060332")</f>
        <v>6548034060332</v>
      </c>
      <c r="AW426" s="65">
        <f>IFERROR(__xludf.DUMMYFUNCTION("""COMPUTED_VALUE"""),6439.0)</f>
        <v>6439</v>
      </c>
      <c r="AX426" s="65"/>
      <c r="AY426" s="65"/>
      <c r="AZ426" s="65"/>
      <c r="BA426" s="65"/>
    </row>
    <row r="427">
      <c r="A427" s="65" t="str">
        <f>IFERROR(__xludf.DUMMYFUNCTION("""COMPUTED_VALUE"""),"27-03-2026")</f>
        <v>27-03-2026</v>
      </c>
      <c r="B427" s="65">
        <f>IFERROR(__xludf.DUMMYFUNCTION("""COMPUTED_VALUE"""),4654671.0)</f>
        <v>4654671</v>
      </c>
      <c r="C427" s="65" t="str">
        <f>IFERROR(__xludf.DUMMYFUNCTION("""COMPUTED_VALUE"""),"17:01")</f>
        <v>17:01</v>
      </c>
      <c r="D427" s="65" t="str">
        <f>IFERROR(__xludf.DUMMYFUNCTION("""COMPUTED_VALUE"""),"28-02-2026")</f>
        <v>28-02-2026</v>
      </c>
      <c r="E427" s="65" t="str">
        <f>IFERROR(__xludf.DUMMYFUNCTION("""COMPUTED_VALUE"""),"Elvis Vélez")</f>
        <v>Elvis Vélez</v>
      </c>
      <c r="F427" s="65" t="str">
        <f>IFERROR(__xludf.DUMMYFUNCTION("""COMPUTED_VALUE"""),"982980209")</f>
        <v>982980209</v>
      </c>
      <c r="G427" s="65" t="str">
        <f>IFERROR(__xludf.DUMMYFUNCTION("""COMPUTED_VALUE"""),"elvisvelez@hotmail.com")</f>
        <v>elvisvelez@hotmail.com</v>
      </c>
      <c r="H427" s="65"/>
      <c r="I427" s="65"/>
      <c r="J427" s="65" t="str">
        <f>IFERROR(__xludf.DUMMYFUNCTION("""COMPUTED_VALUE"""),"D001376727")</f>
        <v>D001376727</v>
      </c>
      <c r="K427" s="65" t="str">
        <f>IFERROR(__xludf.DUMMYFUNCTION("""COMPUTED_VALUE"""),"ENTREGADO")</f>
        <v>ENTREGADO</v>
      </c>
      <c r="L427" s="65" t="str">
        <f>IFERROR(__xludf.DUMMYFUNCTION("""COMPUTED_VALUE"""),"CON RECAUDO")</f>
        <v>CON RECAUDO</v>
      </c>
      <c r="M427" s="65" t="str">
        <f>IFERROR(__xludf.DUMMYFUNCTION("""COMPUTED_VALUE"""),"EL ORO")</f>
        <v>EL ORO</v>
      </c>
      <c r="N427" s="65" t="str">
        <f>IFERROR(__xludf.DUMMYFUNCTION("""COMPUTED_VALUE"""),"MACHALA")</f>
        <v>MACHALA</v>
      </c>
      <c r="O427" s="65" t="str">
        <f>IFERROR(__xludf.DUMMYFUNCTION("""COMPUTED_VALUE"""),"Arizaga Y pajonal - Restaurante Fusione")</f>
        <v>Arizaga Y pajonal - Restaurante Fusione</v>
      </c>
      <c r="P427" s="65"/>
      <c r="Q427" s="65" t="str">
        <f>IFERROR(__xludf.DUMMYFUNCTION("""COMPUTED_VALUE"""),"GINTRACOM")</f>
        <v>GINTRACOM</v>
      </c>
      <c r="R427" s="65">
        <f>IFERROR(__xludf.DUMMYFUNCTION("""COMPUTED_VALUE"""),32.0)</f>
        <v>32</v>
      </c>
      <c r="S427" s="65">
        <f>IFERROR(__xludf.DUMMYFUNCTION("""COMPUTED_VALUE"""),10.76)</f>
        <v>10.76</v>
      </c>
      <c r="T427" s="65">
        <f>IFERROR(__xludf.DUMMYFUNCTION("""COMPUTED_VALUE"""),6.24)</f>
        <v>6.24</v>
      </c>
      <c r="U427" s="65">
        <f>IFERROR(__xludf.DUMMYFUNCTION("""COMPUTED_VALUE"""),0.0)</f>
        <v>0</v>
      </c>
      <c r="V427" s="65">
        <f>IFERROR(__xludf.DUMMYFUNCTION("""COMPUTED_VALUE"""),0.0)</f>
        <v>0</v>
      </c>
      <c r="W427" s="65">
        <f>IFERROR(__xludf.DUMMYFUNCTION("""COMPUTED_VALUE"""),0.0)</f>
        <v>0</v>
      </c>
      <c r="X427" s="65">
        <f>IFERROR(__xludf.DUMMYFUNCTION("""COMPUTED_VALUE"""),3.75)</f>
        <v>3.75</v>
      </c>
      <c r="Y427" s="65">
        <f>IFERROR(__xludf.DUMMYFUNCTION("""COMPUTED_VALUE"""),15.0)</f>
        <v>15</v>
      </c>
      <c r="Z427" s="65">
        <f>IFERROR(__xludf.DUMMYFUNCTION("""COMPUTED_VALUE"""),113116.0)</f>
        <v>113116</v>
      </c>
      <c r="AA427" s="65" t="str">
        <f>IFERROR(__xludf.DUMMYFUNCTION("""COMPUTED_VALUE"""),"IM-TAZAKI")</f>
        <v>IM-TAZAKI</v>
      </c>
      <c r="AB427" s="65"/>
      <c r="AC427" s="65" t="str">
        <f>IFERROR(__xludf.DUMMYFUNCTION("""COMPUTED_VALUE"""),"Cuchillo tazaki")</f>
        <v>Cuchillo tazaki</v>
      </c>
      <c r="AD427" s="65"/>
      <c r="AE427" s="65">
        <f>IFERROR(__xludf.DUMMYFUNCTION("""COMPUTED_VALUE"""),4.0)</f>
        <v>4</v>
      </c>
      <c r="AF427" s="65" t="str">
        <f>IFERROR(__xludf.DUMMYFUNCTION("""COMPUTED_VALUE"""),"DESTINATARIO NO CONTESTA LLAMADAS NI WHATSAPP")</f>
        <v>DESTINATARIO NO CONTESTA LLAMADAS NI WHATSAPP</v>
      </c>
      <c r="AG427" s="65" t="str">
        <f>IFERROR(__xludf.DUMMYFUNCTION("""COMPUTED_VALUE"""),"SI")</f>
        <v>SI</v>
      </c>
      <c r="AH427" s="65" t="str">
        <f>IFERROR(__xludf.DUMMYFUNCTION("""COMPUTED_VALUE"""),"22:48")</f>
        <v>22:48</v>
      </c>
      <c r="AI427" s="65" t="str">
        <f>IFERROR(__xludf.DUMMYFUNCTION("""COMPUTED_VALUE"""),"04-03-2026")</f>
        <v>04-03-2026</v>
      </c>
      <c r="AJ427" s="65" t="str">
        <f>IFERROR(__xludf.DUMMYFUNCTION("""COMPUTED_VALUE"""),"Cliente solicita la entrega inmediata.")</f>
        <v>Cliente solicita la entrega inmediata.</v>
      </c>
      <c r="AK427" s="65" t="str">
        <f>IFERROR(__xludf.DUMMYFUNCTION("""COMPUTED_VALUE"""),"11:23")</f>
        <v>11:23</v>
      </c>
      <c r="AL427" s="65" t="str">
        <f>IFERROR(__xludf.DUMMYFUNCTION("""COMPUTED_VALUE"""),"05-03-2026")</f>
        <v>05-03-2026</v>
      </c>
      <c r="AM427" s="65"/>
      <c r="AN427" s="65" t="str">
        <f>IFERROR(__xludf.DUMMYFUNCTION("""COMPUTED_VALUE"""),"16:18")</f>
        <v>16:18</v>
      </c>
      <c r="AO427" s="65" t="str">
        <f>IFERROR(__xludf.DUMMYFUNCTION("""COMPUTED_VALUE"""),"05-03-2026")</f>
        <v>05-03-2026</v>
      </c>
      <c r="AP427" s="65" t="str">
        <f>IFERROR(__xludf.DUMMYFUNCTION("""COMPUTED_VALUE"""),"ENTREGADA GINTRACOM")</f>
        <v>ENTREGADA GINTRACOM</v>
      </c>
      <c r="AQ427" s="65" t="str">
        <f>IFERROR(__xludf.DUMMYFUNCTION("""COMPUTED_VALUE"""),"ENTREGADA GINTRACOM")</f>
        <v>ENTREGADA GINTRACOM</v>
      </c>
      <c r="AR427" s="65"/>
      <c r="AS427" s="65"/>
      <c r="AT427" s="65" t="str">
        <f>IFERROR(__xludf.DUMMYFUNCTION("""COMPUTED_VALUE"""),"SHOPIFY")</f>
        <v>SHOPIFY</v>
      </c>
      <c r="AU427" s="65" t="str">
        <f>IFERROR(__xludf.DUMMYFUNCTION("""COMPUTED_VALUE"""),"IMPORTEX EC")</f>
        <v>IMPORTEX EC</v>
      </c>
      <c r="AV427" s="65" t="str">
        <f>IFERROR(__xludf.DUMMYFUNCTION("""COMPUTED_VALUE"""),"6548000636972")</f>
        <v>6548000636972</v>
      </c>
      <c r="AW427" s="65">
        <f>IFERROR(__xludf.DUMMYFUNCTION("""COMPUTED_VALUE"""),6438.0)</f>
        <v>6438</v>
      </c>
      <c r="AX427" s="65"/>
      <c r="AY427" s="65" t="str">
        <f>IFERROR(__xludf.DUMMYFUNCTION("""COMPUTED_VALUE"""),"03/03/2026")</f>
        <v>03/03/2026</v>
      </c>
      <c r="AZ427" s="65"/>
      <c r="BA427" s="65"/>
    </row>
    <row r="428">
      <c r="A428" s="65" t="str">
        <f>IFERROR(__xludf.DUMMYFUNCTION("""COMPUTED_VALUE"""),"27-03-2026")</f>
        <v>27-03-2026</v>
      </c>
      <c r="B428" s="65">
        <f>IFERROR(__xludf.DUMMYFUNCTION("""COMPUTED_VALUE"""),4654230.0)</f>
        <v>4654230</v>
      </c>
      <c r="C428" s="65" t="str">
        <f>IFERROR(__xludf.DUMMYFUNCTION("""COMPUTED_VALUE"""),"15:53")</f>
        <v>15:53</v>
      </c>
      <c r="D428" s="65" t="str">
        <f>IFERROR(__xludf.DUMMYFUNCTION("""COMPUTED_VALUE"""),"28-02-2026")</f>
        <v>28-02-2026</v>
      </c>
      <c r="E428" s="65" t="str">
        <f>IFERROR(__xludf.DUMMYFUNCTION("""COMPUTED_VALUE"""),"FLOR GARZÓN")</f>
        <v>FLOR GARZÓN</v>
      </c>
      <c r="F428" s="65" t="str">
        <f>IFERROR(__xludf.DUMMYFUNCTION("""COMPUTED_VALUE"""),"994722742")</f>
        <v>994722742</v>
      </c>
      <c r="G428" s="65" t="str">
        <f>IFERROR(__xludf.DUMMYFUNCTION("""COMPUTED_VALUE"""),"family_lavagarzon@hotmail.com")</f>
        <v>family_lavagarzon@hotmail.com</v>
      </c>
      <c r="H428" s="65"/>
      <c r="I428" s="65"/>
      <c r="J428" s="65" t="str">
        <f>IFERROR(__xludf.DUMMYFUNCTION("""COMPUTED_VALUE"""),"D001376728")</f>
        <v>D001376728</v>
      </c>
      <c r="K428" s="65" t="str">
        <f>IFERROR(__xludf.DUMMYFUNCTION("""COMPUTED_VALUE"""),"ENTREGADO")</f>
        <v>ENTREGADO</v>
      </c>
      <c r="L428" s="65" t="str">
        <f>IFERROR(__xludf.DUMMYFUNCTION("""COMPUTED_VALUE"""),"CON RECAUDO")</f>
        <v>CON RECAUDO</v>
      </c>
      <c r="M428" s="65" t="str">
        <f>IFERROR(__xludf.DUMMYFUNCTION("""COMPUTED_VALUE"""),"GUAYAS")</f>
        <v>GUAYAS</v>
      </c>
      <c r="N428" s="65" t="str">
        <f>IFERROR(__xludf.DUMMYFUNCTION("""COMPUTED_VALUE"""),"GUAYAQUIL")</f>
        <v>GUAYAQUIL</v>
      </c>
      <c r="O428" s="65" t="str">
        <f>IFERROR(__xludf.DUMMYFUNCTION("""COMPUTED_VALUE"""),"MARIA  BAQUERIZO DE SANDOVAL 1901 Y TULCAN PARROQUIA GARCIA MORENO -")</f>
        <v>MARIA  BAQUERIZO DE SANDOVAL 1901 Y TULCAN PARROQUIA GARCIA MORENO -</v>
      </c>
      <c r="P428" s="65"/>
      <c r="Q428" s="65" t="str">
        <f>IFERROR(__xludf.DUMMYFUNCTION("""COMPUTED_VALUE"""),"GINTRACOM")</f>
        <v>GINTRACOM</v>
      </c>
      <c r="R428" s="65">
        <f>IFERROR(__xludf.DUMMYFUNCTION("""COMPUTED_VALUE"""),22.0)</f>
        <v>22</v>
      </c>
      <c r="S428" s="65">
        <f>IFERROR(__xludf.DUMMYFUNCTION("""COMPUTED_VALUE"""),8.66)</f>
        <v>8.66</v>
      </c>
      <c r="T428" s="65">
        <f>IFERROR(__xludf.DUMMYFUNCTION("""COMPUTED_VALUE"""),5.84)</f>
        <v>5.84</v>
      </c>
      <c r="U428" s="65">
        <f>IFERROR(__xludf.DUMMYFUNCTION("""COMPUTED_VALUE"""),0.0)</f>
        <v>0</v>
      </c>
      <c r="V428" s="65">
        <f>IFERROR(__xludf.DUMMYFUNCTION("""COMPUTED_VALUE"""),0.0)</f>
        <v>0</v>
      </c>
      <c r="W428" s="65">
        <f>IFERROR(__xludf.DUMMYFUNCTION("""COMPUTED_VALUE"""),0.0)</f>
        <v>0</v>
      </c>
      <c r="X428" s="65">
        <f>IFERROR(__xludf.DUMMYFUNCTION("""COMPUTED_VALUE"""),3.75)</f>
        <v>3.75</v>
      </c>
      <c r="Y428" s="65">
        <f>IFERROR(__xludf.DUMMYFUNCTION("""COMPUTED_VALUE"""),7.5)</f>
        <v>7.5</v>
      </c>
      <c r="Z428" s="65">
        <f>IFERROR(__xludf.DUMMYFUNCTION("""COMPUTED_VALUE"""),113116.0)</f>
        <v>113116</v>
      </c>
      <c r="AA428" s="65" t="str">
        <f>IFERROR(__xludf.DUMMYFUNCTION("""COMPUTED_VALUE"""),"IM-TAZAKI")</f>
        <v>IM-TAZAKI</v>
      </c>
      <c r="AB428" s="65"/>
      <c r="AC428" s="65" t="str">
        <f>IFERROR(__xludf.DUMMYFUNCTION("""COMPUTED_VALUE"""),"Cuchillo tazaki")</f>
        <v>Cuchillo tazaki</v>
      </c>
      <c r="AD428" s="65"/>
      <c r="AE428" s="65">
        <f>IFERROR(__xludf.DUMMYFUNCTION("""COMPUTED_VALUE"""),2.0)</f>
        <v>2</v>
      </c>
      <c r="AF428" s="65"/>
      <c r="AG428" s="65"/>
      <c r="AH428" s="65"/>
      <c r="AI428" s="65"/>
      <c r="AJ428" s="65"/>
      <c r="AK428" s="65"/>
      <c r="AL428" s="65"/>
      <c r="AM428" s="65"/>
      <c r="AN428" s="65" t="str">
        <f>IFERROR(__xludf.DUMMYFUNCTION("""COMPUTED_VALUE"""),"14:51")</f>
        <v>14:51</v>
      </c>
      <c r="AO428" s="65" t="str">
        <f>IFERROR(__xludf.DUMMYFUNCTION("""COMPUTED_VALUE"""),"05-03-2026")</f>
        <v>05-03-2026</v>
      </c>
      <c r="AP428" s="65" t="str">
        <f>IFERROR(__xludf.DUMMYFUNCTION("""COMPUTED_VALUE"""),"ENTREGADA GINTRACOM")</f>
        <v>ENTREGADA GINTRACOM</v>
      </c>
      <c r="AQ428" s="65" t="str">
        <f>IFERROR(__xludf.DUMMYFUNCTION("""COMPUTED_VALUE"""),"ENTREGADA GINTRACOM")</f>
        <v>ENTREGADA GINTRACOM</v>
      </c>
      <c r="AR428" s="65"/>
      <c r="AS428" s="65"/>
      <c r="AT428" s="65" t="str">
        <f>IFERROR(__xludf.DUMMYFUNCTION("""COMPUTED_VALUE"""),"SHOPIFY")</f>
        <v>SHOPIFY</v>
      </c>
      <c r="AU428" s="65" t="str">
        <f>IFERROR(__xludf.DUMMYFUNCTION("""COMPUTED_VALUE"""),"IMPORTEX EC")</f>
        <v>IMPORTEX EC</v>
      </c>
      <c r="AV428" s="65" t="str">
        <f>IFERROR(__xludf.DUMMYFUNCTION("""COMPUTED_VALUE"""),"6547844792364")</f>
        <v>6547844792364</v>
      </c>
      <c r="AW428" s="65">
        <f>IFERROR(__xludf.DUMMYFUNCTION("""COMPUTED_VALUE"""),6437.0)</f>
        <v>6437</v>
      </c>
      <c r="AX428" s="65"/>
      <c r="AY428" s="65" t="str">
        <f>IFERROR(__xludf.DUMMYFUNCTION("""COMPUTED_VALUE"""),"03/03/2026")</f>
        <v>03/03/2026</v>
      </c>
      <c r="AZ428" s="65"/>
      <c r="BA428" s="65"/>
    </row>
    <row r="429">
      <c r="A429" s="65" t="str">
        <f>IFERROR(__xludf.DUMMYFUNCTION("""COMPUTED_VALUE"""),"27-03-2026")</f>
        <v>27-03-2026</v>
      </c>
      <c r="B429" s="65">
        <f>IFERROR(__xludf.DUMMYFUNCTION("""COMPUTED_VALUE"""),4654106.0)</f>
        <v>4654106</v>
      </c>
      <c r="C429" s="65" t="str">
        <f>IFERROR(__xludf.DUMMYFUNCTION("""COMPUTED_VALUE"""),"15:32")</f>
        <v>15:32</v>
      </c>
      <c r="D429" s="65" t="str">
        <f>IFERROR(__xludf.DUMMYFUNCTION("""COMPUTED_VALUE"""),"28-02-2026")</f>
        <v>28-02-2026</v>
      </c>
      <c r="E429" s="65" t="str">
        <f>IFERROR(__xludf.DUMMYFUNCTION("""COMPUTED_VALUE"""),"Cristofher Klinger")</f>
        <v>Cristofher Klinger</v>
      </c>
      <c r="F429" s="65" t="str">
        <f>IFERROR(__xludf.DUMMYFUNCTION("""COMPUTED_VALUE"""),"978983291")</f>
        <v>978983291</v>
      </c>
      <c r="G429" s="65" t="str">
        <f>IFERROR(__xludf.DUMMYFUNCTION("""COMPUTED_VALUE"""),"klingercristofher@gmail.com")</f>
        <v>klingercristofher@gmail.com</v>
      </c>
      <c r="H429" s="65"/>
      <c r="I429" s="65"/>
      <c r="J429" s="65" t="str">
        <f>IFERROR(__xludf.DUMMYFUNCTION("""COMPUTED_VALUE"""),"D001375381")</f>
        <v>D001375381</v>
      </c>
      <c r="K429" s="65" t="str">
        <f>IFERROR(__xludf.DUMMYFUNCTION("""COMPUTED_VALUE"""),"ENTREGADO")</f>
        <v>ENTREGADO</v>
      </c>
      <c r="L429" s="65" t="str">
        <f>IFERROR(__xludf.DUMMYFUNCTION("""COMPUTED_VALUE"""),"CON RECAUDO")</f>
        <v>CON RECAUDO</v>
      </c>
      <c r="M429" s="65" t="str">
        <f>IFERROR(__xludf.DUMMYFUNCTION("""COMPUTED_VALUE"""),"GUAYAS")</f>
        <v>GUAYAS</v>
      </c>
      <c r="N429" s="65" t="str">
        <f>IFERROR(__xludf.DUMMYFUNCTION("""COMPUTED_VALUE"""),"DAULE")</f>
        <v>DAULE</v>
      </c>
      <c r="O429" s="65" t="str">
        <f>IFERROR(__xludf.DUMMYFUNCTION("""COMPUTED_VALUE"""),"Urb.villa club etapa hermes Frente a la mariposa -")</f>
        <v>Urb.villa club etapa hermes Frente a la mariposa -</v>
      </c>
      <c r="P429" s="65"/>
      <c r="Q429" s="65" t="str">
        <f>IFERROR(__xludf.DUMMYFUNCTION("""COMPUTED_VALUE"""),"GINTRACOM")</f>
        <v>GINTRACOM</v>
      </c>
      <c r="R429" s="65">
        <f>IFERROR(__xludf.DUMMYFUNCTION("""COMPUTED_VALUE"""),20.0)</f>
        <v>20</v>
      </c>
      <c r="S429" s="65">
        <f>IFERROR(__xludf.DUMMYFUNCTION("""COMPUTED_VALUE"""),11.89)</f>
        <v>11.89</v>
      </c>
      <c r="T429" s="65">
        <f>IFERROR(__xludf.DUMMYFUNCTION("""COMPUTED_VALUE"""),5.76)</f>
        <v>5.76</v>
      </c>
      <c r="U429" s="65">
        <f>IFERROR(__xludf.DUMMYFUNCTION("""COMPUTED_VALUE"""),0.0)</f>
        <v>0</v>
      </c>
      <c r="V429" s="65">
        <f>IFERROR(__xludf.DUMMYFUNCTION("""COMPUTED_VALUE"""),0.0)</f>
        <v>0</v>
      </c>
      <c r="W429" s="65">
        <f>IFERROR(__xludf.DUMMYFUNCTION("""COMPUTED_VALUE"""),0.0)</f>
        <v>0</v>
      </c>
      <c r="X429" s="65">
        <f>IFERROR(__xludf.DUMMYFUNCTION("""COMPUTED_VALUE"""),2.35)</f>
        <v>2.35</v>
      </c>
      <c r="Y429" s="65">
        <f>IFERROR(__xludf.DUMMYFUNCTION("""COMPUTED_VALUE"""),2.35)</f>
        <v>2.35</v>
      </c>
      <c r="Z429" s="65">
        <f>IFERROR(__xludf.DUMMYFUNCTION("""COMPUTED_VALUE"""),116679.0)</f>
        <v>116679</v>
      </c>
      <c r="AA429" s="65" t="str">
        <f>IFERROR(__xludf.DUMMYFUNCTION("""COMPUTED_VALUE"""),"AMC-2738")</f>
        <v>AMC-2738</v>
      </c>
      <c r="AB429" s="65"/>
      <c r="AC429" s="65" t="str">
        <f>IFERROR(__xludf.DUMMYFUNCTION("""COMPUTED_VALUE"""),"ESPONJA ANTILLUVIA DE PARABRISAS")</f>
        <v>ESPONJA ANTILLUVIA DE PARABRISAS</v>
      </c>
      <c r="AD429" s="65"/>
      <c r="AE429" s="65">
        <f>IFERROR(__xludf.DUMMYFUNCTION("""COMPUTED_VALUE"""),1.0)</f>
        <v>1</v>
      </c>
      <c r="AF429" s="65"/>
      <c r="AG429" s="65"/>
      <c r="AH429" s="65"/>
      <c r="AI429" s="65"/>
      <c r="AJ429" s="65"/>
      <c r="AK429" s="65"/>
      <c r="AL429" s="65"/>
      <c r="AM429" s="65"/>
      <c r="AN429" s="65" t="str">
        <f>IFERROR(__xludf.DUMMYFUNCTION("""COMPUTED_VALUE"""),"10:22")</f>
        <v>10:22</v>
      </c>
      <c r="AO429" s="65" t="str">
        <f>IFERROR(__xludf.DUMMYFUNCTION("""COMPUTED_VALUE"""),"09-03-2026")</f>
        <v>09-03-2026</v>
      </c>
      <c r="AP429" s="65" t="str">
        <f>IFERROR(__xludf.DUMMYFUNCTION("""COMPUTED_VALUE"""),"ENTREGADA GINTRACOM")</f>
        <v>ENTREGADA GINTRACOM</v>
      </c>
      <c r="AQ429" s="65" t="str">
        <f>IFERROR(__xludf.DUMMYFUNCTION("""COMPUTED_VALUE"""),"ENTREGADA GINTRACOM")</f>
        <v>ENTREGADA GINTRACOM</v>
      </c>
      <c r="AR429" s="65"/>
      <c r="AS429" s="65"/>
      <c r="AT429" s="65" t="str">
        <f>IFERROR(__xludf.DUMMYFUNCTION("""COMPUTED_VALUE"""),"SHOPIFY")</f>
        <v>SHOPIFY</v>
      </c>
      <c r="AU429" s="65" t="str">
        <f>IFERROR(__xludf.DUMMYFUNCTION("""COMPUTED_VALUE"""),"IMPORTEX EC")</f>
        <v>IMPORTEX EC</v>
      </c>
      <c r="AV429" s="65" t="str">
        <f>IFERROR(__xludf.DUMMYFUNCTION("""COMPUTED_VALUE"""),"6547794460716")</f>
        <v>6547794460716</v>
      </c>
      <c r="AW429" s="65">
        <f>IFERROR(__xludf.DUMMYFUNCTION("""COMPUTED_VALUE"""),6436.0)</f>
        <v>6436</v>
      </c>
      <c r="AX429" s="65"/>
      <c r="AY429" s="65" t="str">
        <f>IFERROR(__xludf.DUMMYFUNCTION("""COMPUTED_VALUE"""),"02/03/2026")</f>
        <v>02/03/2026</v>
      </c>
      <c r="AZ429" s="65"/>
      <c r="BA429" s="65"/>
    </row>
    <row r="430">
      <c r="A430" s="65" t="str">
        <f>IFERROR(__xludf.DUMMYFUNCTION("""COMPUTED_VALUE"""),"27-03-2026")</f>
        <v>27-03-2026</v>
      </c>
      <c r="B430" s="65">
        <f>IFERROR(__xludf.DUMMYFUNCTION("""COMPUTED_VALUE"""),4653848.0)</f>
        <v>4653848</v>
      </c>
      <c r="C430" s="65" t="str">
        <f>IFERROR(__xludf.DUMMYFUNCTION("""COMPUTED_VALUE"""),"14:54")</f>
        <v>14:54</v>
      </c>
      <c r="D430" s="65" t="str">
        <f>IFERROR(__xludf.DUMMYFUNCTION("""COMPUTED_VALUE"""),"28-02-2026")</f>
        <v>28-02-2026</v>
      </c>
      <c r="E430" s="65" t="str">
        <f>IFERROR(__xludf.DUMMYFUNCTION("""COMPUTED_VALUE"""),"Santiago Yumbla")</f>
        <v>Santiago Yumbla</v>
      </c>
      <c r="F430" s="65" t="str">
        <f>IFERROR(__xludf.DUMMYFUNCTION("""COMPUTED_VALUE"""),"999445949")</f>
        <v>999445949</v>
      </c>
      <c r="G430" s="65" t="str">
        <f>IFERROR(__xludf.DUMMYFUNCTION("""COMPUTED_VALUE"""),"santiago@acompasoft.net")</f>
        <v>santiago@acompasoft.net</v>
      </c>
      <c r="H430" s="65"/>
      <c r="I430" s="65"/>
      <c r="J430" s="65" t="str">
        <f>IFERROR(__xludf.DUMMYFUNCTION("""COMPUTED_VALUE"""),"D001375384")</f>
        <v>D001375384</v>
      </c>
      <c r="K430" s="65" t="str">
        <f>IFERROR(__xludf.DUMMYFUNCTION("""COMPUTED_VALUE"""),"ENTREGADO")</f>
        <v>ENTREGADO</v>
      </c>
      <c r="L430" s="65" t="str">
        <f>IFERROR(__xludf.DUMMYFUNCTION("""COMPUTED_VALUE"""),"CON RECAUDO")</f>
        <v>CON RECAUDO</v>
      </c>
      <c r="M430" s="65" t="str">
        <f>IFERROR(__xludf.DUMMYFUNCTION("""COMPUTED_VALUE"""),"PICHINCHA")</f>
        <v>PICHINCHA</v>
      </c>
      <c r="N430" s="65" t="str">
        <f>IFERROR(__xludf.DUMMYFUNCTION("""COMPUTED_VALUE"""),"QUITO")</f>
        <v>QUITO</v>
      </c>
      <c r="O430" s="65" t="str">
        <f>IFERROR(__xludf.DUMMYFUNCTION("""COMPUTED_VALUE"""),"Av Orellana e4-57 y 9 de octubre Casa amarillo con azul - diagonal a gasolinera de shell")</f>
        <v>Av Orellana e4-57 y 9 de octubre Casa amarillo con azul - diagonal a gasolinera de shell</v>
      </c>
      <c r="P430" s="65"/>
      <c r="Q430" s="65" t="str">
        <f>IFERROR(__xludf.DUMMYFUNCTION("""COMPUTED_VALUE"""),"GINTRACOM")</f>
        <v>GINTRACOM</v>
      </c>
      <c r="R430" s="65">
        <f>IFERROR(__xludf.DUMMYFUNCTION("""COMPUTED_VALUE"""),20.0)</f>
        <v>20</v>
      </c>
      <c r="S430" s="65">
        <f>IFERROR(__xludf.DUMMYFUNCTION("""COMPUTED_VALUE"""),13.5)</f>
        <v>13.5</v>
      </c>
      <c r="T430" s="65">
        <f>IFERROR(__xludf.DUMMYFUNCTION("""COMPUTED_VALUE"""),4.15)</f>
        <v>4.15</v>
      </c>
      <c r="U430" s="65">
        <f>IFERROR(__xludf.DUMMYFUNCTION("""COMPUTED_VALUE"""),0.0)</f>
        <v>0</v>
      </c>
      <c r="V430" s="65">
        <f>IFERROR(__xludf.DUMMYFUNCTION("""COMPUTED_VALUE"""),0.0)</f>
        <v>0</v>
      </c>
      <c r="W430" s="65">
        <f>IFERROR(__xludf.DUMMYFUNCTION("""COMPUTED_VALUE"""),0.0)</f>
        <v>0</v>
      </c>
      <c r="X430" s="65">
        <f>IFERROR(__xludf.DUMMYFUNCTION("""COMPUTED_VALUE"""),2.35)</f>
        <v>2.35</v>
      </c>
      <c r="Y430" s="65">
        <f>IFERROR(__xludf.DUMMYFUNCTION("""COMPUTED_VALUE"""),2.35)</f>
        <v>2.35</v>
      </c>
      <c r="Z430" s="65">
        <f>IFERROR(__xludf.DUMMYFUNCTION("""COMPUTED_VALUE"""),116679.0)</f>
        <v>116679</v>
      </c>
      <c r="AA430" s="65" t="str">
        <f>IFERROR(__xludf.DUMMYFUNCTION("""COMPUTED_VALUE"""),"AMC-2738")</f>
        <v>AMC-2738</v>
      </c>
      <c r="AB430" s="65"/>
      <c r="AC430" s="65" t="str">
        <f>IFERROR(__xludf.DUMMYFUNCTION("""COMPUTED_VALUE"""),"ESPONJA ANTILLUVIA DE PARABRISAS")</f>
        <v>ESPONJA ANTILLUVIA DE PARABRISAS</v>
      </c>
      <c r="AD430" s="65"/>
      <c r="AE430" s="65">
        <f>IFERROR(__xludf.DUMMYFUNCTION("""COMPUTED_VALUE"""),1.0)</f>
        <v>1</v>
      </c>
      <c r="AF430" s="65"/>
      <c r="AG430" s="65"/>
      <c r="AH430" s="65"/>
      <c r="AI430" s="65"/>
      <c r="AJ430" s="65"/>
      <c r="AK430" s="65"/>
      <c r="AL430" s="65"/>
      <c r="AM430" s="65"/>
      <c r="AN430" s="65" t="str">
        <f>IFERROR(__xludf.DUMMYFUNCTION("""COMPUTED_VALUE"""),"10:26")</f>
        <v>10:26</v>
      </c>
      <c r="AO430" s="65" t="str">
        <f>IFERROR(__xludf.DUMMYFUNCTION("""COMPUTED_VALUE"""),"09-03-2026")</f>
        <v>09-03-2026</v>
      </c>
      <c r="AP430" s="65" t="str">
        <f>IFERROR(__xludf.DUMMYFUNCTION("""COMPUTED_VALUE"""),"ENTREGADA GINTRACOM")</f>
        <v>ENTREGADA GINTRACOM</v>
      </c>
      <c r="AQ430" s="65" t="str">
        <f>IFERROR(__xludf.DUMMYFUNCTION("""COMPUTED_VALUE"""),"ENTREGADA GINTRACOM")</f>
        <v>ENTREGADA GINTRACOM</v>
      </c>
      <c r="AR430" s="65"/>
      <c r="AS430" s="65"/>
      <c r="AT430" s="65" t="str">
        <f>IFERROR(__xludf.DUMMYFUNCTION("""COMPUTED_VALUE"""),"SHOPIFY")</f>
        <v>SHOPIFY</v>
      </c>
      <c r="AU430" s="65" t="str">
        <f>IFERROR(__xludf.DUMMYFUNCTION("""COMPUTED_VALUE"""),"IMPORTEX EC")</f>
        <v>IMPORTEX EC</v>
      </c>
      <c r="AV430" s="65" t="str">
        <f>IFERROR(__xludf.DUMMYFUNCTION("""COMPUTED_VALUE"""),"6547708346412")</f>
        <v>6547708346412</v>
      </c>
      <c r="AW430" s="65">
        <f>IFERROR(__xludf.DUMMYFUNCTION("""COMPUTED_VALUE"""),6435.0)</f>
        <v>6435</v>
      </c>
      <c r="AX430" s="65"/>
      <c r="AY430" s="65" t="str">
        <f>IFERROR(__xludf.DUMMYFUNCTION("""COMPUTED_VALUE"""),"02/03/2026")</f>
        <v>02/03/2026</v>
      </c>
      <c r="AZ430" s="65"/>
      <c r="BA430" s="65"/>
    </row>
    <row r="431">
      <c r="A431" s="65" t="str">
        <f>IFERROR(__xludf.DUMMYFUNCTION("""COMPUTED_VALUE"""),"27-03-2026")</f>
        <v>27-03-2026</v>
      </c>
      <c r="B431" s="65">
        <f>IFERROR(__xludf.DUMMYFUNCTION("""COMPUTED_VALUE"""),4653575.0)</f>
        <v>4653575</v>
      </c>
      <c r="C431" s="65" t="str">
        <f>IFERROR(__xludf.DUMMYFUNCTION("""COMPUTED_VALUE"""),"14:10")</f>
        <v>14:10</v>
      </c>
      <c r="D431" s="65" t="str">
        <f>IFERROR(__xludf.DUMMYFUNCTION("""COMPUTED_VALUE"""),"28-02-2026")</f>
        <v>28-02-2026</v>
      </c>
      <c r="E431" s="65" t="str">
        <f>IFERROR(__xludf.DUMMYFUNCTION("""COMPUTED_VALUE"""),"Eduardo Ullauri S")</f>
        <v>Eduardo Ullauri S</v>
      </c>
      <c r="F431" s="65" t="str">
        <f>IFERROR(__xludf.DUMMYFUNCTION("""COMPUTED_VALUE"""),"986453382")</f>
        <v>986453382</v>
      </c>
      <c r="G431" s="65" t="str">
        <f>IFERROR(__xludf.DUMMYFUNCTION("""COMPUTED_VALUE"""),"eduardo.ullauri@hotmail.com")</f>
        <v>eduardo.ullauri@hotmail.com</v>
      </c>
      <c r="H431" s="65"/>
      <c r="I431" s="65"/>
      <c r="J431" s="65"/>
      <c r="K431" s="65" t="str">
        <f>IFERROR(__xludf.DUMMYFUNCTION("""COMPUTED_VALUE"""),"CANCELADO")</f>
        <v>CANCELADO</v>
      </c>
      <c r="L431" s="65" t="str">
        <f>IFERROR(__xludf.DUMMYFUNCTION("""COMPUTED_VALUE"""),"CON RECAUDO")</f>
        <v>CON RECAUDO</v>
      </c>
      <c r="M431" s="65" t="str">
        <f>IFERROR(__xludf.DUMMYFUNCTION("""COMPUTED_VALUE"""),"GUAYAS")</f>
        <v>GUAYAS</v>
      </c>
      <c r="N431" s="65" t="str">
        <f>IFERROR(__xludf.DUMMYFUNCTION("""COMPUTED_VALUE"""),"DURAN")</f>
        <v>DURAN</v>
      </c>
      <c r="O431" s="65" t="str">
        <f>IFERROR(__xludf.DUMMYFUNCTION("""COMPUTED_VALUE"""),"Cdla primavera 2 sector 1D mz 7 v 3 Duran ( parqueado de la escuela Ivan gallegos dominquez) uela -")</f>
        <v>Cdla primavera 2 sector 1D mz 7 v 3 Duran ( parqueado de la escuela Ivan gallegos dominquez) uela -</v>
      </c>
      <c r="P431" s="65"/>
      <c r="Q431" s="65" t="str">
        <f>IFERROR(__xludf.DUMMYFUNCTION("""COMPUTED_VALUE"""),"GINTRACOM")</f>
        <v>GINTRACOM</v>
      </c>
      <c r="R431" s="65">
        <f>IFERROR(__xludf.DUMMYFUNCTION("""COMPUTED_VALUE"""),20.0)</f>
        <v>20</v>
      </c>
      <c r="S431" s="65"/>
      <c r="T431" s="65">
        <f>IFERROR(__xludf.DUMMYFUNCTION("""COMPUTED_VALUE"""),5.76)</f>
        <v>5.76</v>
      </c>
      <c r="U431" s="65">
        <f>IFERROR(__xludf.DUMMYFUNCTION("""COMPUTED_VALUE"""),0.0)</f>
        <v>0</v>
      </c>
      <c r="V431" s="65">
        <f>IFERROR(__xludf.DUMMYFUNCTION("""COMPUTED_VALUE"""),0.0)</f>
        <v>0</v>
      </c>
      <c r="W431" s="65">
        <f>IFERROR(__xludf.DUMMYFUNCTION("""COMPUTED_VALUE"""),0.0)</f>
        <v>0</v>
      </c>
      <c r="X431" s="65">
        <f>IFERROR(__xludf.DUMMYFUNCTION("""COMPUTED_VALUE"""),2.35)</f>
        <v>2.35</v>
      </c>
      <c r="Y431" s="65">
        <f>IFERROR(__xludf.DUMMYFUNCTION("""COMPUTED_VALUE"""),2.35)</f>
        <v>2.35</v>
      </c>
      <c r="Z431" s="65">
        <f>IFERROR(__xludf.DUMMYFUNCTION("""COMPUTED_VALUE"""),116679.0)</f>
        <v>116679</v>
      </c>
      <c r="AA431" s="65" t="str">
        <f>IFERROR(__xludf.DUMMYFUNCTION("""COMPUTED_VALUE"""),"AMC-2738")</f>
        <v>AMC-2738</v>
      </c>
      <c r="AB431" s="65"/>
      <c r="AC431" s="65" t="str">
        <f>IFERROR(__xludf.DUMMYFUNCTION("""COMPUTED_VALUE"""),"ESPONJA ANTILLUVIA DE PARABRISAS")</f>
        <v>ESPONJA ANTILLUVIA DE PARABRISAS</v>
      </c>
      <c r="AD431" s="65"/>
      <c r="AE431" s="65">
        <f>IFERROR(__xludf.DUMMYFUNCTION("""COMPUTED_VALUE"""),1.0)</f>
        <v>1</v>
      </c>
      <c r="AF431" s="65"/>
      <c r="AG431" s="65"/>
      <c r="AH431" s="65"/>
      <c r="AI431" s="65"/>
      <c r="AJ431" s="65"/>
      <c r="AK431" s="65"/>
      <c r="AL431" s="65"/>
      <c r="AM431" s="65"/>
      <c r="AN431" s="65"/>
      <c r="AO431" s="65"/>
      <c r="AP431" s="65"/>
      <c r="AQ431" s="65"/>
      <c r="AR431" s="65"/>
      <c r="AS431" s="65"/>
      <c r="AT431" s="65" t="str">
        <f>IFERROR(__xludf.DUMMYFUNCTION("""COMPUTED_VALUE"""),"SHOPIFY")</f>
        <v>SHOPIFY</v>
      </c>
      <c r="AU431" s="65" t="str">
        <f>IFERROR(__xludf.DUMMYFUNCTION("""COMPUTED_VALUE"""),"IMPORTEX EC")</f>
        <v>IMPORTEX EC</v>
      </c>
      <c r="AV431" s="65" t="str">
        <f>IFERROR(__xludf.DUMMYFUNCTION("""COMPUTED_VALUE"""),"6547606732844")</f>
        <v>6547606732844</v>
      </c>
      <c r="AW431" s="65">
        <f>IFERROR(__xludf.DUMMYFUNCTION("""COMPUTED_VALUE"""),6434.0)</f>
        <v>6434</v>
      </c>
      <c r="AX431" s="65"/>
      <c r="AY431" s="65"/>
      <c r="AZ431" s="65"/>
      <c r="BA431" s="65"/>
    </row>
    <row r="432">
      <c r="A432" s="65" t="str">
        <f>IFERROR(__xludf.DUMMYFUNCTION("""COMPUTED_VALUE"""),"27-03-2026")</f>
        <v>27-03-2026</v>
      </c>
      <c r="B432" s="65">
        <f>IFERROR(__xludf.DUMMYFUNCTION("""COMPUTED_VALUE"""),4653362.0)</f>
        <v>4653362</v>
      </c>
      <c r="C432" s="65" t="str">
        <f>IFERROR(__xludf.DUMMYFUNCTION("""COMPUTED_VALUE"""),"13:41")</f>
        <v>13:41</v>
      </c>
      <c r="D432" s="65" t="str">
        <f>IFERROR(__xludf.DUMMYFUNCTION("""COMPUTED_VALUE"""),"28-02-2026")</f>
        <v>28-02-2026</v>
      </c>
      <c r="E432" s="65" t="str">
        <f>IFERROR(__xludf.DUMMYFUNCTION("""COMPUTED_VALUE"""),"Magus Segovia")</f>
        <v>Magus Segovia</v>
      </c>
      <c r="F432" s="65" t="str">
        <f>IFERROR(__xludf.DUMMYFUNCTION("""COMPUTED_VALUE"""),"987422039")</f>
        <v>987422039</v>
      </c>
      <c r="G432" s="65" t="str">
        <f>IFERROR(__xludf.DUMMYFUNCTION("""COMPUTED_VALUE"""),"segoviamagus@gmail.com")</f>
        <v>segoviamagus@gmail.com</v>
      </c>
      <c r="H432" s="65"/>
      <c r="I432" s="65"/>
      <c r="J432" s="65"/>
      <c r="K432" s="65" t="str">
        <f>IFERROR(__xludf.DUMMYFUNCTION("""COMPUTED_VALUE"""),"PENDIENTE CONFIRMACION")</f>
        <v>PENDIENTE CONFIRMACION</v>
      </c>
      <c r="L432" s="65" t="str">
        <f>IFERROR(__xludf.DUMMYFUNCTION("""COMPUTED_VALUE"""),"CON RECAUDO")</f>
        <v>CON RECAUDO</v>
      </c>
      <c r="M432" s="65" t="str">
        <f>IFERROR(__xludf.DUMMYFUNCTION("""COMPUTED_VALUE"""),"PICHINCHA")</f>
        <v>PICHINCHA</v>
      </c>
      <c r="N432" s="65" t="str">
        <f>IFERROR(__xludf.DUMMYFUNCTION("""COMPUTED_VALUE"""),"QUITO")</f>
        <v>QUITO</v>
      </c>
      <c r="O432" s="65" t="str">
        <f>IFERROR(__xludf.DUMMYFUNCTION("""COMPUTED_VALUE"""),"Rusia N3-21 y Eloy Alfaro Sector La Carolina frente a la Alianza Francesa -")</f>
        <v>Rusia N3-21 y Eloy Alfaro Sector La Carolina frente a la Alianza Francesa -</v>
      </c>
      <c r="P432" s="65"/>
      <c r="Q432" s="65" t="str">
        <f>IFERROR(__xludf.DUMMYFUNCTION("""COMPUTED_VALUE"""),"GINTRACOM")</f>
        <v>GINTRACOM</v>
      </c>
      <c r="R432" s="65">
        <f>IFERROR(__xludf.DUMMYFUNCTION("""COMPUTED_VALUE"""),27.0)</f>
        <v>27</v>
      </c>
      <c r="S432" s="65"/>
      <c r="T432" s="65">
        <f>IFERROR(__xludf.DUMMYFUNCTION("""COMPUTED_VALUE"""),4.42)</f>
        <v>4.42</v>
      </c>
      <c r="U432" s="65">
        <f>IFERROR(__xludf.DUMMYFUNCTION("""COMPUTED_VALUE"""),0.0)</f>
        <v>0</v>
      </c>
      <c r="V432" s="65">
        <f>IFERROR(__xludf.DUMMYFUNCTION("""COMPUTED_VALUE"""),0.0)</f>
        <v>0</v>
      </c>
      <c r="W432" s="65">
        <f>IFERROR(__xludf.DUMMYFUNCTION("""COMPUTED_VALUE"""),0.0)</f>
        <v>0</v>
      </c>
      <c r="X432" s="65">
        <f>IFERROR(__xludf.DUMMYFUNCTION("""COMPUTED_VALUE"""),3.75)</f>
        <v>3.75</v>
      </c>
      <c r="Y432" s="65">
        <f>IFERROR(__xludf.DUMMYFUNCTION("""COMPUTED_VALUE"""),11.25)</f>
        <v>11.25</v>
      </c>
      <c r="Z432" s="65">
        <f>IFERROR(__xludf.DUMMYFUNCTION("""COMPUTED_VALUE"""),113116.0)</f>
        <v>113116</v>
      </c>
      <c r="AA432" s="65" t="str">
        <f>IFERROR(__xludf.DUMMYFUNCTION("""COMPUTED_VALUE"""),"IM-TAZAKI")</f>
        <v>IM-TAZAKI</v>
      </c>
      <c r="AB432" s="65"/>
      <c r="AC432" s="65" t="str">
        <f>IFERROR(__xludf.DUMMYFUNCTION("""COMPUTED_VALUE"""),"Cuchillo tazaki")</f>
        <v>Cuchillo tazaki</v>
      </c>
      <c r="AD432" s="65"/>
      <c r="AE432" s="65">
        <f>IFERROR(__xludf.DUMMYFUNCTION("""COMPUTED_VALUE"""),3.0)</f>
        <v>3</v>
      </c>
      <c r="AF432" s="65"/>
      <c r="AG432" s="65"/>
      <c r="AH432" s="65"/>
      <c r="AI432" s="65"/>
      <c r="AJ432" s="65"/>
      <c r="AK432" s="65"/>
      <c r="AL432" s="65"/>
      <c r="AM432" s="65"/>
      <c r="AN432" s="65"/>
      <c r="AO432" s="65"/>
      <c r="AP432" s="65"/>
      <c r="AQ432" s="65"/>
      <c r="AR432" s="65"/>
      <c r="AS432" s="65"/>
      <c r="AT432" s="65" t="str">
        <f>IFERROR(__xludf.DUMMYFUNCTION("""COMPUTED_VALUE"""),"SHOPIFY")</f>
        <v>SHOPIFY</v>
      </c>
      <c r="AU432" s="65" t="str">
        <f>IFERROR(__xludf.DUMMYFUNCTION("""COMPUTED_VALUE"""),"IMPORTEX EC")</f>
        <v>IMPORTEX EC</v>
      </c>
      <c r="AV432" s="65" t="str">
        <f>IFERROR(__xludf.DUMMYFUNCTION("""COMPUTED_VALUE"""),"6547524714540")</f>
        <v>6547524714540</v>
      </c>
      <c r="AW432" s="65">
        <f>IFERROR(__xludf.DUMMYFUNCTION("""COMPUTED_VALUE"""),6433.0)</f>
        <v>6433</v>
      </c>
      <c r="AX432" s="65"/>
      <c r="AY432" s="65"/>
      <c r="AZ432" s="65"/>
      <c r="BA432" s="65"/>
    </row>
    <row r="433">
      <c r="A433" s="65" t="str">
        <f>IFERROR(__xludf.DUMMYFUNCTION("""COMPUTED_VALUE"""),"27-03-2026")</f>
        <v>27-03-2026</v>
      </c>
      <c r="B433" s="65">
        <f>IFERROR(__xludf.DUMMYFUNCTION("""COMPUTED_VALUE"""),4653335.0)</f>
        <v>4653335</v>
      </c>
      <c r="C433" s="65" t="str">
        <f>IFERROR(__xludf.DUMMYFUNCTION("""COMPUTED_VALUE"""),"13:37")</f>
        <v>13:37</v>
      </c>
      <c r="D433" s="65" t="str">
        <f>IFERROR(__xludf.DUMMYFUNCTION("""COMPUTED_VALUE"""),"28-02-2026")</f>
        <v>28-02-2026</v>
      </c>
      <c r="E433" s="65" t="str">
        <f>IFERROR(__xludf.DUMMYFUNCTION("""COMPUTED_VALUE"""),"Joffre Alexander García calva")</f>
        <v>Joffre Alexander García calva</v>
      </c>
      <c r="F433" s="65" t="str">
        <f>IFERROR(__xludf.DUMMYFUNCTION("""COMPUTED_VALUE"""),"963121544")</f>
        <v>963121544</v>
      </c>
      <c r="G433" s="65" t="str">
        <f>IFERROR(__xludf.DUMMYFUNCTION("""COMPUTED_VALUE"""),"garciacalva11f@gmail.com")</f>
        <v>garciacalva11f@gmail.com</v>
      </c>
      <c r="H433" s="65"/>
      <c r="I433" s="65"/>
      <c r="J433" s="65"/>
      <c r="K433" s="65" t="str">
        <f>IFERROR(__xludf.DUMMYFUNCTION("""COMPUTED_VALUE"""),"PENDIENTE CONFIRMACION")</f>
        <v>PENDIENTE CONFIRMACION</v>
      </c>
      <c r="L433" s="65" t="str">
        <f>IFERROR(__xludf.DUMMYFUNCTION("""COMPUTED_VALUE"""),"CON RECAUDO")</f>
        <v>CON RECAUDO</v>
      </c>
      <c r="M433" s="65" t="str">
        <f>IFERROR(__xludf.DUMMYFUNCTION("""COMPUTED_VALUE"""),"ORELLANA")</f>
        <v>ORELLANA</v>
      </c>
      <c r="N433" s="65" t="str">
        <f>IFERROR(__xludf.DUMMYFUNCTION("""COMPUTED_VALUE"""),"EL COCA")</f>
        <v>EL COCA</v>
      </c>
      <c r="O433" s="65" t="str">
        <f>IFERROR(__xludf.DUMMYFUNCTION("""COMPUTED_VALUE"""),"Complejo las palmitas Km33 via auca -")</f>
        <v>Complejo las palmitas Km33 via auca -</v>
      </c>
      <c r="P433" s="65"/>
      <c r="Q433" s="65" t="str">
        <f>IFERROR(__xludf.DUMMYFUNCTION("""COMPUTED_VALUE"""),"GINTRACOM")</f>
        <v>GINTRACOM</v>
      </c>
      <c r="R433" s="65">
        <f>IFERROR(__xludf.DUMMYFUNCTION("""COMPUTED_VALUE"""),22.0)</f>
        <v>22</v>
      </c>
      <c r="S433" s="65"/>
      <c r="T433" s="65">
        <f>IFERROR(__xludf.DUMMYFUNCTION("""COMPUTED_VALUE"""),5.84)</f>
        <v>5.84</v>
      </c>
      <c r="U433" s="65">
        <f>IFERROR(__xludf.DUMMYFUNCTION("""COMPUTED_VALUE"""),0.0)</f>
        <v>0</v>
      </c>
      <c r="V433" s="65">
        <f>IFERROR(__xludf.DUMMYFUNCTION("""COMPUTED_VALUE"""),0.0)</f>
        <v>0</v>
      </c>
      <c r="W433" s="65">
        <f>IFERROR(__xludf.DUMMYFUNCTION("""COMPUTED_VALUE"""),0.0)</f>
        <v>0</v>
      </c>
      <c r="X433" s="65">
        <f>IFERROR(__xludf.DUMMYFUNCTION("""COMPUTED_VALUE"""),3.75)</f>
        <v>3.75</v>
      </c>
      <c r="Y433" s="65">
        <f>IFERROR(__xludf.DUMMYFUNCTION("""COMPUTED_VALUE"""),7.5)</f>
        <v>7.5</v>
      </c>
      <c r="Z433" s="65">
        <f>IFERROR(__xludf.DUMMYFUNCTION("""COMPUTED_VALUE"""),113116.0)</f>
        <v>113116</v>
      </c>
      <c r="AA433" s="65" t="str">
        <f>IFERROR(__xludf.DUMMYFUNCTION("""COMPUTED_VALUE"""),"IM-TAZAKI")</f>
        <v>IM-TAZAKI</v>
      </c>
      <c r="AB433" s="65"/>
      <c r="AC433" s="65" t="str">
        <f>IFERROR(__xludf.DUMMYFUNCTION("""COMPUTED_VALUE"""),"Cuchillo tazaki")</f>
        <v>Cuchillo tazaki</v>
      </c>
      <c r="AD433" s="65"/>
      <c r="AE433" s="65">
        <f>IFERROR(__xludf.DUMMYFUNCTION("""COMPUTED_VALUE"""),2.0)</f>
        <v>2</v>
      </c>
      <c r="AF433" s="65"/>
      <c r="AG433" s="65"/>
      <c r="AH433" s="65"/>
      <c r="AI433" s="65"/>
      <c r="AJ433" s="65"/>
      <c r="AK433" s="65"/>
      <c r="AL433" s="65"/>
      <c r="AM433" s="65"/>
      <c r="AN433" s="65"/>
      <c r="AO433" s="65"/>
      <c r="AP433" s="65"/>
      <c r="AQ433" s="65"/>
      <c r="AR433" s="65"/>
      <c r="AS433" s="65"/>
      <c r="AT433" s="65" t="str">
        <f>IFERROR(__xludf.DUMMYFUNCTION("""COMPUTED_VALUE"""),"SHOPIFY")</f>
        <v>SHOPIFY</v>
      </c>
      <c r="AU433" s="65" t="str">
        <f>IFERROR(__xludf.DUMMYFUNCTION("""COMPUTED_VALUE"""),"IMPORTEX EC")</f>
        <v>IMPORTEX EC</v>
      </c>
      <c r="AV433" s="65" t="str">
        <f>IFERROR(__xludf.DUMMYFUNCTION("""COMPUTED_VALUE"""),"6547514982444")</f>
        <v>6547514982444</v>
      </c>
      <c r="AW433" s="65">
        <f>IFERROR(__xludf.DUMMYFUNCTION("""COMPUTED_VALUE"""),6432.0)</f>
        <v>6432</v>
      </c>
      <c r="AX433" s="65"/>
      <c r="AY433" s="65"/>
      <c r="AZ433" s="65"/>
      <c r="BA433" s="65"/>
    </row>
    <row r="434">
      <c r="A434" s="65" t="str">
        <f>IFERROR(__xludf.DUMMYFUNCTION("""COMPUTED_VALUE"""),"27-03-2026")</f>
        <v>27-03-2026</v>
      </c>
      <c r="B434" s="65">
        <f>IFERROR(__xludf.DUMMYFUNCTION("""COMPUTED_VALUE"""),4653158.0)</f>
        <v>4653158</v>
      </c>
      <c r="C434" s="65" t="str">
        <f>IFERROR(__xludf.DUMMYFUNCTION("""COMPUTED_VALUE"""),"13:11")</f>
        <v>13:11</v>
      </c>
      <c r="D434" s="65" t="str">
        <f>IFERROR(__xludf.DUMMYFUNCTION("""COMPUTED_VALUE"""),"28-02-2026")</f>
        <v>28-02-2026</v>
      </c>
      <c r="E434" s="65" t="str">
        <f>IFERROR(__xludf.DUMMYFUNCTION("""COMPUTED_VALUE"""),"Pamela Vanegas")</f>
        <v>Pamela Vanegas</v>
      </c>
      <c r="F434" s="65" t="str">
        <f>IFERROR(__xludf.DUMMYFUNCTION("""COMPUTED_VALUE"""),"983882916")</f>
        <v>983882916</v>
      </c>
      <c r="G434" s="65" t="str">
        <f>IFERROR(__xludf.DUMMYFUNCTION("""COMPUTED_VALUE"""),"vpvanegasargudo@gmail.com")</f>
        <v>vpvanegasargudo@gmail.com</v>
      </c>
      <c r="H434" s="65"/>
      <c r="I434" s="65"/>
      <c r="J434" s="65" t="str">
        <f>IFERROR(__xludf.DUMMYFUNCTION("""COMPUTED_VALUE"""),"D001376730")</f>
        <v>D001376730</v>
      </c>
      <c r="K434" s="65" t="str">
        <f>IFERROR(__xludf.DUMMYFUNCTION("""COMPUTED_VALUE"""),"ENTREGADO")</f>
        <v>ENTREGADO</v>
      </c>
      <c r="L434" s="65" t="str">
        <f>IFERROR(__xludf.DUMMYFUNCTION("""COMPUTED_VALUE"""),"CON RECAUDO")</f>
        <v>CON RECAUDO</v>
      </c>
      <c r="M434" s="65" t="str">
        <f>IFERROR(__xludf.DUMMYFUNCTION("""COMPUTED_VALUE"""),"AZUAY")</f>
        <v>AZUAY</v>
      </c>
      <c r="N434" s="65" t="str">
        <f>IFERROR(__xludf.DUMMYFUNCTION("""COMPUTED_VALUE"""),"CUENCA")</f>
        <v>CUENCA</v>
      </c>
      <c r="O434" s="65" t="str">
        <f>IFERROR(__xludf.DUMMYFUNCTION("""COMPUTED_VALUE"""),"El salado y cieza de leon La fatima -")</f>
        <v>El salado y cieza de leon La fatima -</v>
      </c>
      <c r="P434" s="65"/>
      <c r="Q434" s="65" t="str">
        <f>IFERROR(__xludf.DUMMYFUNCTION("""COMPUTED_VALUE"""),"GINTRACOM")</f>
        <v>GINTRACOM</v>
      </c>
      <c r="R434" s="65">
        <f>IFERROR(__xludf.DUMMYFUNCTION("""COMPUTED_VALUE"""),22.0)</f>
        <v>22</v>
      </c>
      <c r="S434" s="65">
        <f>IFERROR(__xludf.DUMMYFUNCTION("""COMPUTED_VALUE"""),8.66)</f>
        <v>8.66</v>
      </c>
      <c r="T434" s="65">
        <f>IFERROR(__xludf.DUMMYFUNCTION("""COMPUTED_VALUE"""),5.84)</f>
        <v>5.84</v>
      </c>
      <c r="U434" s="65">
        <f>IFERROR(__xludf.DUMMYFUNCTION("""COMPUTED_VALUE"""),0.0)</f>
        <v>0</v>
      </c>
      <c r="V434" s="65">
        <f>IFERROR(__xludf.DUMMYFUNCTION("""COMPUTED_VALUE"""),0.0)</f>
        <v>0</v>
      </c>
      <c r="W434" s="65">
        <f>IFERROR(__xludf.DUMMYFUNCTION("""COMPUTED_VALUE"""),0.0)</f>
        <v>0</v>
      </c>
      <c r="X434" s="65">
        <f>IFERROR(__xludf.DUMMYFUNCTION("""COMPUTED_VALUE"""),3.75)</f>
        <v>3.75</v>
      </c>
      <c r="Y434" s="65">
        <f>IFERROR(__xludf.DUMMYFUNCTION("""COMPUTED_VALUE"""),7.5)</f>
        <v>7.5</v>
      </c>
      <c r="Z434" s="65">
        <f>IFERROR(__xludf.DUMMYFUNCTION("""COMPUTED_VALUE"""),113116.0)</f>
        <v>113116</v>
      </c>
      <c r="AA434" s="65" t="str">
        <f>IFERROR(__xludf.DUMMYFUNCTION("""COMPUTED_VALUE"""),"IM-TAZAKI")</f>
        <v>IM-TAZAKI</v>
      </c>
      <c r="AB434" s="65"/>
      <c r="AC434" s="65" t="str">
        <f>IFERROR(__xludf.DUMMYFUNCTION("""COMPUTED_VALUE"""),"Cuchillo tazaki")</f>
        <v>Cuchillo tazaki</v>
      </c>
      <c r="AD434" s="65"/>
      <c r="AE434" s="65">
        <f>IFERROR(__xludf.DUMMYFUNCTION("""COMPUTED_VALUE"""),2.0)</f>
        <v>2</v>
      </c>
      <c r="AF434" s="65"/>
      <c r="AG434" s="65"/>
      <c r="AH434" s="65"/>
      <c r="AI434" s="65"/>
      <c r="AJ434" s="65"/>
      <c r="AK434" s="65"/>
      <c r="AL434" s="65"/>
      <c r="AM434" s="65"/>
      <c r="AN434" s="65" t="str">
        <f>IFERROR(__xludf.DUMMYFUNCTION("""COMPUTED_VALUE"""),"15:38")</f>
        <v>15:38</v>
      </c>
      <c r="AO434" s="65" t="str">
        <f>IFERROR(__xludf.DUMMYFUNCTION("""COMPUTED_VALUE"""),"04-03-2026")</f>
        <v>04-03-2026</v>
      </c>
      <c r="AP434" s="65" t="str">
        <f>IFERROR(__xludf.DUMMYFUNCTION("""COMPUTED_VALUE"""),"DESTINATARIO RE-PROGRAMA FECHA DE ENTREGA")</f>
        <v>DESTINATARIO RE-PROGRAMA FECHA DE ENTREGA</v>
      </c>
      <c r="AQ434" s="65" t="str">
        <f>IFERROR(__xludf.DUMMYFUNCTION("""COMPUTED_VALUE"""),"DESTINATARIO RE-PROGRAMA FECHA DE ENTREGA")</f>
        <v>DESTINATARIO RE-PROGRAMA FECHA DE ENTREGA</v>
      </c>
      <c r="AR434" s="65"/>
      <c r="AS434" s="65"/>
      <c r="AT434" s="65" t="str">
        <f>IFERROR(__xludf.DUMMYFUNCTION("""COMPUTED_VALUE"""),"SHOPIFY")</f>
        <v>SHOPIFY</v>
      </c>
      <c r="AU434" s="65" t="str">
        <f>IFERROR(__xludf.DUMMYFUNCTION("""COMPUTED_VALUE"""),"IMPORTEX EC")</f>
        <v>IMPORTEX EC</v>
      </c>
      <c r="AV434" s="65" t="str">
        <f>IFERROR(__xludf.DUMMYFUNCTION("""COMPUTED_VALUE"""),"6547444957228")</f>
        <v>6547444957228</v>
      </c>
      <c r="AW434" s="65">
        <f>IFERROR(__xludf.DUMMYFUNCTION("""COMPUTED_VALUE"""),6431.0)</f>
        <v>6431</v>
      </c>
      <c r="AX434" s="65"/>
      <c r="AY434" s="65" t="str">
        <f>IFERROR(__xludf.DUMMYFUNCTION("""COMPUTED_VALUE"""),"03/03/2026")</f>
        <v>03/03/2026</v>
      </c>
      <c r="AZ434" s="65"/>
      <c r="BA434" s="65"/>
    </row>
    <row r="435">
      <c r="A435" s="65" t="str">
        <f>IFERROR(__xludf.DUMMYFUNCTION("""COMPUTED_VALUE"""),"27-03-2026")</f>
        <v>27-03-2026</v>
      </c>
      <c r="B435" s="65">
        <f>IFERROR(__xludf.DUMMYFUNCTION("""COMPUTED_VALUE"""),4653092.0)</f>
        <v>4653092</v>
      </c>
      <c r="C435" s="65" t="str">
        <f>IFERROR(__xludf.DUMMYFUNCTION("""COMPUTED_VALUE"""),"13:02")</f>
        <v>13:02</v>
      </c>
      <c r="D435" s="65" t="str">
        <f>IFERROR(__xludf.DUMMYFUNCTION("""COMPUTED_VALUE"""),"28-02-2026")</f>
        <v>28-02-2026</v>
      </c>
      <c r="E435" s="65" t="str">
        <f>IFERROR(__xludf.DUMMYFUNCTION("""COMPUTED_VALUE"""),"Fernando Gualli")</f>
        <v>Fernando Gualli</v>
      </c>
      <c r="F435" s="65" t="str">
        <f>IFERROR(__xludf.DUMMYFUNCTION("""COMPUTED_VALUE"""),"995620203")</f>
        <v>995620203</v>
      </c>
      <c r="G435" s="65" t="str">
        <f>IFERROR(__xludf.DUMMYFUNCTION("""COMPUTED_VALUE"""),"guallifernando8@gmail.com")</f>
        <v>guallifernando8@gmail.com</v>
      </c>
      <c r="H435" s="65"/>
      <c r="I435" s="65"/>
      <c r="J435" s="65"/>
      <c r="K435" s="65" t="str">
        <f>IFERROR(__xludf.DUMMYFUNCTION("""COMPUTED_VALUE"""),"PENDIENTE CONFIRMACION")</f>
        <v>PENDIENTE CONFIRMACION</v>
      </c>
      <c r="L435" s="65" t="str">
        <f>IFERROR(__xludf.DUMMYFUNCTION("""COMPUTED_VALUE"""),"CON RECAUDO")</f>
        <v>CON RECAUDO</v>
      </c>
      <c r="M435" s="65" t="str">
        <f>IFERROR(__xludf.DUMMYFUNCTION("""COMPUTED_VALUE"""),"GUAYAS")</f>
        <v>GUAYAS</v>
      </c>
      <c r="N435" s="65" t="str">
        <f>IFERROR(__xludf.DUMMYFUNCTION("""COMPUTED_VALUE"""),"GUAYAQUIL")</f>
        <v>GUAYAQUIL</v>
      </c>
      <c r="O435" s="65" t="str">
        <f>IFERROR(__xludf.DUMMYFUNCTION("""COMPUTED_VALUE"""),"Cooperativa Manuela cañizares solar 3 manzana k My religion service hello hello kitty -")</f>
        <v>Cooperativa Manuela cañizares solar 3 manzana k My religion service hello hello kitty -</v>
      </c>
      <c r="P435" s="65"/>
      <c r="Q435" s="65" t="str">
        <f>IFERROR(__xludf.DUMMYFUNCTION("""COMPUTED_VALUE"""),"GINTRACOM")</f>
        <v>GINTRACOM</v>
      </c>
      <c r="R435" s="65">
        <f>IFERROR(__xludf.DUMMYFUNCTION("""COMPUTED_VALUE"""),20.0)</f>
        <v>20</v>
      </c>
      <c r="S435" s="65"/>
      <c r="T435" s="65">
        <f>IFERROR(__xludf.DUMMYFUNCTION("""COMPUTED_VALUE"""),5.76)</f>
        <v>5.76</v>
      </c>
      <c r="U435" s="65">
        <f>IFERROR(__xludf.DUMMYFUNCTION("""COMPUTED_VALUE"""),0.0)</f>
        <v>0</v>
      </c>
      <c r="V435" s="65">
        <f>IFERROR(__xludf.DUMMYFUNCTION("""COMPUTED_VALUE"""),0.0)</f>
        <v>0</v>
      </c>
      <c r="W435" s="65">
        <f>IFERROR(__xludf.DUMMYFUNCTION("""COMPUTED_VALUE"""),0.0)</f>
        <v>0</v>
      </c>
      <c r="X435" s="65">
        <f>IFERROR(__xludf.DUMMYFUNCTION("""COMPUTED_VALUE"""),2.35)</f>
        <v>2.35</v>
      </c>
      <c r="Y435" s="65">
        <f>IFERROR(__xludf.DUMMYFUNCTION("""COMPUTED_VALUE"""),2.35)</f>
        <v>2.35</v>
      </c>
      <c r="Z435" s="65">
        <f>IFERROR(__xludf.DUMMYFUNCTION("""COMPUTED_VALUE"""),116679.0)</f>
        <v>116679</v>
      </c>
      <c r="AA435" s="65" t="str">
        <f>IFERROR(__xludf.DUMMYFUNCTION("""COMPUTED_VALUE"""),"AMC-2738")</f>
        <v>AMC-2738</v>
      </c>
      <c r="AB435" s="65"/>
      <c r="AC435" s="65" t="str">
        <f>IFERROR(__xludf.DUMMYFUNCTION("""COMPUTED_VALUE"""),"ESPONJA ANTILLUVIA DE PARABRISAS")</f>
        <v>ESPONJA ANTILLUVIA DE PARABRISAS</v>
      </c>
      <c r="AD435" s="65"/>
      <c r="AE435" s="65">
        <f>IFERROR(__xludf.DUMMYFUNCTION("""COMPUTED_VALUE"""),1.0)</f>
        <v>1</v>
      </c>
      <c r="AF435" s="65"/>
      <c r="AG435" s="65"/>
      <c r="AH435" s="65"/>
      <c r="AI435" s="65"/>
      <c r="AJ435" s="65"/>
      <c r="AK435" s="65"/>
      <c r="AL435" s="65"/>
      <c r="AM435" s="65"/>
      <c r="AN435" s="65"/>
      <c r="AO435" s="65"/>
      <c r="AP435" s="65"/>
      <c r="AQ435" s="65"/>
      <c r="AR435" s="65"/>
      <c r="AS435" s="65"/>
      <c r="AT435" s="65" t="str">
        <f>IFERROR(__xludf.DUMMYFUNCTION("""COMPUTED_VALUE"""),"SHOPIFY")</f>
        <v>SHOPIFY</v>
      </c>
      <c r="AU435" s="65" t="str">
        <f>IFERROR(__xludf.DUMMYFUNCTION("""COMPUTED_VALUE"""),"IMPORTEX EC")</f>
        <v>IMPORTEX EC</v>
      </c>
      <c r="AV435" s="65" t="str">
        <f>IFERROR(__xludf.DUMMYFUNCTION("""COMPUTED_VALUE"""),"6547416547372")</f>
        <v>6547416547372</v>
      </c>
      <c r="AW435" s="65">
        <f>IFERROR(__xludf.DUMMYFUNCTION("""COMPUTED_VALUE"""),6430.0)</f>
        <v>6430</v>
      </c>
      <c r="AX435" s="65"/>
      <c r="AY435" s="65"/>
      <c r="AZ435" s="65"/>
      <c r="BA435" s="65"/>
    </row>
    <row r="436">
      <c r="A436" s="65" t="str">
        <f>IFERROR(__xludf.DUMMYFUNCTION("""COMPUTED_VALUE"""),"27-03-2026")</f>
        <v>27-03-2026</v>
      </c>
      <c r="B436" s="65">
        <f>IFERROR(__xludf.DUMMYFUNCTION("""COMPUTED_VALUE"""),4653003.0)</f>
        <v>4653003</v>
      </c>
      <c r="C436" s="65" t="str">
        <f>IFERROR(__xludf.DUMMYFUNCTION("""COMPUTED_VALUE"""),"12:50")</f>
        <v>12:50</v>
      </c>
      <c r="D436" s="65" t="str">
        <f>IFERROR(__xludf.DUMMYFUNCTION("""COMPUTED_VALUE"""),"28-02-2026")</f>
        <v>28-02-2026</v>
      </c>
      <c r="E436" s="65" t="str">
        <f>IFERROR(__xludf.DUMMYFUNCTION("""COMPUTED_VALUE"""),"Jaime Jimenez")</f>
        <v>Jaime Jimenez</v>
      </c>
      <c r="F436" s="65" t="str">
        <f>IFERROR(__xludf.DUMMYFUNCTION("""COMPUTED_VALUE"""),"980680449")</f>
        <v>980680449</v>
      </c>
      <c r="G436" s="65" t="str">
        <f>IFERROR(__xludf.DUMMYFUNCTION("""COMPUTED_VALUE"""),"alegre_jimmy@hotmail.com")</f>
        <v>alegre_jimmy@hotmail.com</v>
      </c>
      <c r="H436" s="65"/>
      <c r="I436" s="65"/>
      <c r="J436" s="65"/>
      <c r="K436" s="65" t="str">
        <f>IFERROR(__xludf.DUMMYFUNCTION("""COMPUTED_VALUE"""),"PENDIENTE CONFIRMACION")</f>
        <v>PENDIENTE CONFIRMACION</v>
      </c>
      <c r="L436" s="65" t="str">
        <f>IFERROR(__xludf.DUMMYFUNCTION("""COMPUTED_VALUE"""),"CON RECAUDO")</f>
        <v>CON RECAUDO</v>
      </c>
      <c r="M436" s="65" t="str">
        <f>IFERROR(__xludf.DUMMYFUNCTION("""COMPUTED_VALUE"""),"LOJA")</f>
        <v>LOJA</v>
      </c>
      <c r="N436" s="65" t="str">
        <f>IFERROR(__xludf.DUMMYFUNCTION("""COMPUTED_VALUE"""),"LOJA")</f>
        <v>LOJA</v>
      </c>
      <c r="O436" s="65" t="str">
        <f>IFERROR(__xludf.DUMMYFUNCTION("""COMPUTED_VALUE"""),"Av Pablo palacios Sector los moteles -")</f>
        <v>Av Pablo palacios Sector los moteles -</v>
      </c>
      <c r="P436" s="65"/>
      <c r="Q436" s="65" t="str">
        <f>IFERROR(__xludf.DUMMYFUNCTION("""COMPUTED_VALUE"""),"GINTRACOM")</f>
        <v>GINTRACOM</v>
      </c>
      <c r="R436" s="65">
        <f>IFERROR(__xludf.DUMMYFUNCTION("""COMPUTED_VALUE"""),20.0)</f>
        <v>20</v>
      </c>
      <c r="S436" s="65"/>
      <c r="T436" s="65">
        <f>IFERROR(__xludf.DUMMYFUNCTION("""COMPUTED_VALUE"""),5.76)</f>
        <v>5.76</v>
      </c>
      <c r="U436" s="65">
        <f>IFERROR(__xludf.DUMMYFUNCTION("""COMPUTED_VALUE"""),0.0)</f>
        <v>0</v>
      </c>
      <c r="V436" s="65">
        <f>IFERROR(__xludf.DUMMYFUNCTION("""COMPUTED_VALUE"""),0.0)</f>
        <v>0</v>
      </c>
      <c r="W436" s="65">
        <f>IFERROR(__xludf.DUMMYFUNCTION("""COMPUTED_VALUE"""),0.0)</f>
        <v>0</v>
      </c>
      <c r="X436" s="65">
        <f>IFERROR(__xludf.DUMMYFUNCTION("""COMPUTED_VALUE"""),2.35)</f>
        <v>2.35</v>
      </c>
      <c r="Y436" s="65">
        <f>IFERROR(__xludf.DUMMYFUNCTION("""COMPUTED_VALUE"""),2.35)</f>
        <v>2.35</v>
      </c>
      <c r="Z436" s="65">
        <f>IFERROR(__xludf.DUMMYFUNCTION("""COMPUTED_VALUE"""),116679.0)</f>
        <v>116679</v>
      </c>
      <c r="AA436" s="65" t="str">
        <f>IFERROR(__xludf.DUMMYFUNCTION("""COMPUTED_VALUE"""),"AMC-2738")</f>
        <v>AMC-2738</v>
      </c>
      <c r="AB436" s="65"/>
      <c r="AC436" s="65" t="str">
        <f>IFERROR(__xludf.DUMMYFUNCTION("""COMPUTED_VALUE"""),"ESPONJA ANTILLUVIA DE PARABRISAS")</f>
        <v>ESPONJA ANTILLUVIA DE PARABRISAS</v>
      </c>
      <c r="AD436" s="65"/>
      <c r="AE436" s="65">
        <f>IFERROR(__xludf.DUMMYFUNCTION("""COMPUTED_VALUE"""),1.0)</f>
        <v>1</v>
      </c>
      <c r="AF436" s="65"/>
      <c r="AG436" s="65"/>
      <c r="AH436" s="65"/>
      <c r="AI436" s="65"/>
      <c r="AJ436" s="65"/>
      <c r="AK436" s="65"/>
      <c r="AL436" s="65"/>
      <c r="AM436" s="65"/>
      <c r="AN436" s="65"/>
      <c r="AO436" s="65"/>
      <c r="AP436" s="65"/>
      <c r="AQ436" s="65"/>
      <c r="AR436" s="65"/>
      <c r="AS436" s="65"/>
      <c r="AT436" s="65" t="str">
        <f>IFERROR(__xludf.DUMMYFUNCTION("""COMPUTED_VALUE"""),"SHOPIFY")</f>
        <v>SHOPIFY</v>
      </c>
      <c r="AU436" s="65" t="str">
        <f>IFERROR(__xludf.DUMMYFUNCTION("""COMPUTED_VALUE"""),"IMPORTEX EC")</f>
        <v>IMPORTEX EC</v>
      </c>
      <c r="AV436" s="65" t="str">
        <f>IFERROR(__xludf.DUMMYFUNCTION("""COMPUTED_VALUE"""),"6547384369196")</f>
        <v>6547384369196</v>
      </c>
      <c r="AW436" s="65">
        <f>IFERROR(__xludf.DUMMYFUNCTION("""COMPUTED_VALUE"""),6429.0)</f>
        <v>6429</v>
      </c>
      <c r="AX436" s="65"/>
      <c r="AY436" s="65"/>
      <c r="AZ436" s="65"/>
      <c r="BA436" s="65"/>
    </row>
    <row r="437">
      <c r="A437" s="65" t="str">
        <f>IFERROR(__xludf.DUMMYFUNCTION("""COMPUTED_VALUE"""),"27-03-2026")</f>
        <v>27-03-2026</v>
      </c>
      <c r="B437" s="65">
        <f>IFERROR(__xludf.DUMMYFUNCTION("""COMPUTED_VALUE"""),4652888.0)</f>
        <v>4652888</v>
      </c>
      <c r="C437" s="65" t="str">
        <f>IFERROR(__xludf.DUMMYFUNCTION("""COMPUTED_VALUE"""),"12:35")</f>
        <v>12:35</v>
      </c>
      <c r="D437" s="65" t="str">
        <f>IFERROR(__xludf.DUMMYFUNCTION("""COMPUTED_VALUE"""),"28-02-2026")</f>
        <v>28-02-2026</v>
      </c>
      <c r="E437" s="65" t="str">
        <f>IFERROR(__xludf.DUMMYFUNCTION("""COMPUTED_VALUE"""),"Jhonny Crespo")</f>
        <v>Jhonny Crespo</v>
      </c>
      <c r="F437" s="65" t="str">
        <f>IFERROR(__xludf.DUMMYFUNCTION("""COMPUTED_VALUE"""),"993976328")</f>
        <v>993976328</v>
      </c>
      <c r="G437" s="65" t="str">
        <f>IFERROR(__xludf.DUMMYFUNCTION("""COMPUTED_VALUE"""),"jhonnycrespo41@gmail.com")</f>
        <v>jhonnycrespo41@gmail.com</v>
      </c>
      <c r="H437" s="65"/>
      <c r="I437" s="65"/>
      <c r="J437" s="65"/>
      <c r="K437" s="65" t="str">
        <f>IFERROR(__xludf.DUMMYFUNCTION("""COMPUTED_VALUE"""),"PENDIENTE CONFIRMACION")</f>
        <v>PENDIENTE CONFIRMACION</v>
      </c>
      <c r="L437" s="65" t="str">
        <f>IFERROR(__xludf.DUMMYFUNCTION("""COMPUTED_VALUE"""),"CON RECAUDO")</f>
        <v>CON RECAUDO</v>
      </c>
      <c r="M437" s="65" t="str">
        <f>IFERROR(__xludf.DUMMYFUNCTION("""COMPUTED_VALUE"""),"LOS RIOS")</f>
        <v>LOS RIOS</v>
      </c>
      <c r="N437" s="65" t="str">
        <f>IFERROR(__xludf.DUMMYFUNCTION("""COMPUTED_VALUE"""),"QUINSALOMA")</f>
        <v>QUINSALOMA</v>
      </c>
      <c r="O437" s="65" t="str">
        <f>IFERROR(__xludf.DUMMYFUNCTION("""COMPUTED_VALUE"""),"Avenida El Progreso Miraflores -")</f>
        <v>Avenida El Progreso Miraflores -</v>
      </c>
      <c r="P437" s="65"/>
      <c r="Q437" s="65" t="str">
        <f>IFERROR(__xludf.DUMMYFUNCTION("""COMPUTED_VALUE"""),"LAARCOURIER")</f>
        <v>LAARCOURIER</v>
      </c>
      <c r="R437" s="65">
        <f>IFERROR(__xludf.DUMMYFUNCTION("""COMPUTED_VALUE"""),24.2)</f>
        <v>24.2</v>
      </c>
      <c r="S437" s="65"/>
      <c r="T437" s="65">
        <f>IFERROR(__xludf.DUMMYFUNCTION("""COMPUTED_VALUE"""),7.14)</f>
        <v>7.14</v>
      </c>
      <c r="U437" s="65">
        <f>IFERROR(__xludf.DUMMYFUNCTION("""COMPUTED_VALUE"""),0.0)</f>
        <v>0</v>
      </c>
      <c r="V437" s="65">
        <f>IFERROR(__xludf.DUMMYFUNCTION("""COMPUTED_VALUE"""),0.0)</f>
        <v>0</v>
      </c>
      <c r="W437" s="65">
        <f>IFERROR(__xludf.DUMMYFUNCTION("""COMPUTED_VALUE"""),0.0)</f>
        <v>0</v>
      </c>
      <c r="X437" s="65">
        <f>IFERROR(__xludf.DUMMYFUNCTION("""COMPUTED_VALUE"""),5.0)</f>
        <v>5</v>
      </c>
      <c r="Y437" s="65">
        <f>IFERROR(__xludf.DUMMYFUNCTION("""COMPUTED_VALUE"""),10.0)</f>
        <v>10</v>
      </c>
      <c r="Z437" s="65">
        <f>IFERROR(__xludf.DUMMYFUNCTION("""COMPUTED_VALUE"""),130492.0)</f>
        <v>130492</v>
      </c>
      <c r="AA437" s="65" t="str">
        <f>IFERROR(__xludf.DUMMYFUNCTION("""COMPUTED_VALUE"""),"IMX-00006")</f>
        <v>IMX-00006</v>
      </c>
      <c r="AB437" s="65"/>
      <c r="AC437" s="65" t="str">
        <f>IFERROR(__xludf.DUMMYFUNCTION("""COMPUTED_VALUE"""),"Receptor Bluetooth")</f>
        <v>Receptor Bluetooth</v>
      </c>
      <c r="AD437" s="65"/>
      <c r="AE437" s="65">
        <f>IFERROR(__xludf.DUMMYFUNCTION("""COMPUTED_VALUE"""),2.0)</f>
        <v>2</v>
      </c>
      <c r="AF437" s="65"/>
      <c r="AG437" s="65"/>
      <c r="AH437" s="65"/>
      <c r="AI437" s="65"/>
      <c r="AJ437" s="65"/>
      <c r="AK437" s="65"/>
      <c r="AL437" s="65"/>
      <c r="AM437" s="65"/>
      <c r="AN437" s="65"/>
      <c r="AO437" s="65"/>
      <c r="AP437" s="65"/>
      <c r="AQ437" s="65"/>
      <c r="AR437" s="65"/>
      <c r="AS437" s="65"/>
      <c r="AT437" s="65" t="str">
        <f>IFERROR(__xludf.DUMMYFUNCTION("""COMPUTED_VALUE"""),"SHOPIFY")</f>
        <v>SHOPIFY</v>
      </c>
      <c r="AU437" s="65" t="str">
        <f>IFERROR(__xludf.DUMMYFUNCTION("""COMPUTED_VALUE"""),"IMPORTEX EC")</f>
        <v>IMPORTEX EC</v>
      </c>
      <c r="AV437" s="65" t="str">
        <f>IFERROR(__xludf.DUMMYFUNCTION("""COMPUTED_VALUE"""),"6547338526764")</f>
        <v>6547338526764</v>
      </c>
      <c r="AW437" s="65">
        <f>IFERROR(__xludf.DUMMYFUNCTION("""COMPUTED_VALUE"""),6428.0)</f>
        <v>6428</v>
      </c>
      <c r="AX437" s="65"/>
      <c r="AY437" s="65"/>
      <c r="AZ437" s="65"/>
      <c r="BA437" s="65"/>
    </row>
    <row r="438">
      <c r="A438" s="65" t="str">
        <f>IFERROR(__xludf.DUMMYFUNCTION("""COMPUTED_VALUE"""),"27-03-2026")</f>
        <v>27-03-2026</v>
      </c>
      <c r="B438" s="65">
        <f>IFERROR(__xludf.DUMMYFUNCTION("""COMPUTED_VALUE"""),4652668.0)</f>
        <v>4652668</v>
      </c>
      <c r="C438" s="65" t="str">
        <f>IFERROR(__xludf.DUMMYFUNCTION("""COMPUTED_VALUE"""),"12:09")</f>
        <v>12:09</v>
      </c>
      <c r="D438" s="65" t="str">
        <f>IFERROR(__xludf.DUMMYFUNCTION("""COMPUTED_VALUE"""),"28-02-2026")</f>
        <v>28-02-2026</v>
      </c>
      <c r="E438" s="65" t="str">
        <f>IFERROR(__xludf.DUMMYFUNCTION("""COMPUTED_VALUE"""),"Gina Rizzo Rizzo")</f>
        <v>Gina Rizzo Rizzo</v>
      </c>
      <c r="F438" s="65" t="str">
        <f>IFERROR(__xludf.DUMMYFUNCTION("""COMPUTED_VALUE"""),"959853274")</f>
        <v>959853274</v>
      </c>
      <c r="G438" s="65" t="str">
        <f>IFERROR(__xludf.DUMMYFUNCTION("""COMPUTED_VALUE"""),"ginardepal@yahoo.com")</f>
        <v>ginardepal@yahoo.com</v>
      </c>
      <c r="H438" s="65"/>
      <c r="I438" s="65"/>
      <c r="J438" s="65" t="str">
        <f>IFERROR(__xludf.DUMMYFUNCTION("""COMPUTED_VALUE"""),"D001375386")</f>
        <v>D001375386</v>
      </c>
      <c r="K438" s="65" t="str">
        <f>IFERROR(__xludf.DUMMYFUNCTION("""COMPUTED_VALUE"""),"ENTREGADO")</f>
        <v>ENTREGADO</v>
      </c>
      <c r="L438" s="65" t="str">
        <f>IFERROR(__xludf.DUMMYFUNCTION("""COMPUTED_VALUE"""),"CON RECAUDO")</f>
        <v>CON RECAUDO</v>
      </c>
      <c r="M438" s="65" t="str">
        <f>IFERROR(__xludf.DUMMYFUNCTION("""COMPUTED_VALUE"""),"EL ORO")</f>
        <v>EL ORO</v>
      </c>
      <c r="N438" s="65" t="str">
        <f>IFERROR(__xludf.DUMMYFUNCTION("""COMPUTED_VALUE"""),"EL GUABO")</f>
        <v>EL GUABO</v>
      </c>
      <c r="O438" s="65" t="str">
        <f>IFERROR(__xludf.DUMMYFUNCTION("""COMPUTED_VALUE"""),"9 De Octubre Y Avda Del Ejercito. A Lado Del Deposito De Gas Godoy 9, A lado del consultorio del Dr Anibal Palacios. Casa color blanco hueso. Villa con cerramiento de hierro grande color blanco.")</f>
        <v>9 De Octubre Y Avda Del Ejercito. A Lado Del Deposito De Gas Godoy 9, A lado del consultorio del Dr Anibal Palacios. Casa color blanco hueso. Villa con cerramiento de hierro grande color blanco.</v>
      </c>
      <c r="P438" s="65"/>
      <c r="Q438" s="65" t="str">
        <f>IFERROR(__xludf.DUMMYFUNCTION("""COMPUTED_VALUE"""),"GINTRACOM")</f>
        <v>GINTRACOM</v>
      </c>
      <c r="R438" s="65">
        <f>IFERROR(__xludf.DUMMYFUNCTION("""COMPUTED_VALUE"""),25.0)</f>
        <v>25</v>
      </c>
      <c r="S438" s="65">
        <f>IFERROR(__xludf.DUMMYFUNCTION("""COMPUTED_VALUE"""),13.77)</f>
        <v>13.77</v>
      </c>
      <c r="T438" s="65">
        <f>IFERROR(__xludf.DUMMYFUNCTION("""COMPUTED_VALUE"""),6.53)</f>
        <v>6.53</v>
      </c>
      <c r="U438" s="65">
        <f>IFERROR(__xludf.DUMMYFUNCTION("""COMPUTED_VALUE"""),0.0)</f>
        <v>0</v>
      </c>
      <c r="V438" s="65">
        <f>IFERROR(__xludf.DUMMYFUNCTION("""COMPUTED_VALUE"""),0.0)</f>
        <v>0</v>
      </c>
      <c r="W438" s="65">
        <f>IFERROR(__xludf.DUMMYFUNCTION("""COMPUTED_VALUE"""),0.0)</f>
        <v>0</v>
      </c>
      <c r="X438" s="65">
        <f>IFERROR(__xludf.DUMMYFUNCTION("""COMPUTED_VALUE"""),2.35)</f>
        <v>2.35</v>
      </c>
      <c r="Y438" s="65">
        <f>IFERROR(__xludf.DUMMYFUNCTION("""COMPUTED_VALUE"""),4.7)</f>
        <v>4.7</v>
      </c>
      <c r="Z438" s="65">
        <f>IFERROR(__xludf.DUMMYFUNCTION("""COMPUTED_VALUE"""),116679.0)</f>
        <v>116679</v>
      </c>
      <c r="AA438" s="65" t="str">
        <f>IFERROR(__xludf.DUMMYFUNCTION("""COMPUTED_VALUE"""),"AMC-2738")</f>
        <v>AMC-2738</v>
      </c>
      <c r="AB438" s="65"/>
      <c r="AC438" s="65" t="str">
        <f>IFERROR(__xludf.DUMMYFUNCTION("""COMPUTED_VALUE"""),"ESPONJA ANTILLUVIA DE PARABRISAS")</f>
        <v>ESPONJA ANTILLUVIA DE PARABRISAS</v>
      </c>
      <c r="AD438" s="65"/>
      <c r="AE438" s="65">
        <f>IFERROR(__xludf.DUMMYFUNCTION("""COMPUTED_VALUE"""),2.0)</f>
        <v>2</v>
      </c>
      <c r="AF438" s="65"/>
      <c r="AG438" s="65"/>
      <c r="AH438" s="65"/>
      <c r="AI438" s="65"/>
      <c r="AJ438" s="65"/>
      <c r="AK438" s="65"/>
      <c r="AL438" s="65"/>
      <c r="AM438" s="65"/>
      <c r="AN438" s="65" t="str">
        <f>IFERROR(__xludf.DUMMYFUNCTION("""COMPUTED_VALUE"""),"10:57")</f>
        <v>10:57</v>
      </c>
      <c r="AO438" s="65" t="str">
        <f>IFERROR(__xludf.DUMMYFUNCTION("""COMPUTED_VALUE"""),"06-03-2026")</f>
        <v>06-03-2026</v>
      </c>
      <c r="AP438" s="65" t="str">
        <f>IFERROR(__xludf.DUMMYFUNCTION("""COMPUTED_VALUE"""),"EN REPARTO")</f>
        <v>EN REPARTO</v>
      </c>
      <c r="AQ438" s="65" t="str">
        <f>IFERROR(__xludf.DUMMYFUNCTION("""COMPUTED_VALUE"""),"EN REPARTO")</f>
        <v>EN REPARTO</v>
      </c>
      <c r="AR438" s="65"/>
      <c r="AS438" s="65"/>
      <c r="AT438" s="65" t="str">
        <f>IFERROR(__xludf.DUMMYFUNCTION("""COMPUTED_VALUE"""),"SHOPIFY")</f>
        <v>SHOPIFY</v>
      </c>
      <c r="AU438" s="65" t="str">
        <f>IFERROR(__xludf.DUMMYFUNCTION("""COMPUTED_VALUE"""),"IMPORTEX EC")</f>
        <v>IMPORTEX EC</v>
      </c>
      <c r="AV438" s="65" t="str">
        <f>IFERROR(__xludf.DUMMYFUNCTION("""COMPUTED_VALUE"""),"6547269681196")</f>
        <v>6547269681196</v>
      </c>
      <c r="AW438" s="65">
        <f>IFERROR(__xludf.DUMMYFUNCTION("""COMPUTED_VALUE"""),6427.0)</f>
        <v>6427</v>
      </c>
      <c r="AX438" s="65"/>
      <c r="AY438" s="65" t="str">
        <f>IFERROR(__xludf.DUMMYFUNCTION("""COMPUTED_VALUE"""),"02/03/2026")</f>
        <v>02/03/2026</v>
      </c>
      <c r="AZ438" s="65"/>
      <c r="BA438" s="65"/>
    </row>
    <row r="439">
      <c r="A439" s="65" t="str">
        <f>IFERROR(__xludf.DUMMYFUNCTION("""COMPUTED_VALUE"""),"27-03-2026")</f>
        <v>27-03-2026</v>
      </c>
      <c r="B439" s="65">
        <f>IFERROR(__xludf.DUMMYFUNCTION("""COMPUTED_VALUE"""),4652632.0)</f>
        <v>4652632</v>
      </c>
      <c r="C439" s="65" t="str">
        <f>IFERROR(__xludf.DUMMYFUNCTION("""COMPUTED_VALUE"""),"12:04")</f>
        <v>12:04</v>
      </c>
      <c r="D439" s="65" t="str">
        <f>IFERROR(__xludf.DUMMYFUNCTION("""COMPUTED_VALUE"""),"28-02-2026")</f>
        <v>28-02-2026</v>
      </c>
      <c r="E439" s="65" t="str">
        <f>IFERROR(__xludf.DUMMYFUNCTION("""COMPUTED_VALUE"""),"Patricio Pazmiño")</f>
        <v>Patricio Pazmiño</v>
      </c>
      <c r="F439" s="65" t="str">
        <f>IFERROR(__xludf.DUMMYFUNCTION("""COMPUTED_VALUE"""),"991343247")</f>
        <v>991343247</v>
      </c>
      <c r="G439" s="65" t="str">
        <f>IFERROR(__xludf.DUMMYFUNCTION("""COMPUTED_VALUE"""),"patricio_akd@yahoo.com")</f>
        <v>patricio_akd@yahoo.com</v>
      </c>
      <c r="H439" s="65"/>
      <c r="I439" s="65"/>
      <c r="J439" s="65"/>
      <c r="K439" s="65" t="str">
        <f>IFERROR(__xludf.DUMMYFUNCTION("""COMPUTED_VALUE"""),"PENDIENTE CONFIRMACION")</f>
        <v>PENDIENTE CONFIRMACION</v>
      </c>
      <c r="L439" s="65" t="str">
        <f>IFERROR(__xludf.DUMMYFUNCTION("""COMPUTED_VALUE"""),"CON RECAUDO")</f>
        <v>CON RECAUDO</v>
      </c>
      <c r="M439" s="65" t="str">
        <f>IFERROR(__xludf.DUMMYFUNCTION("""COMPUTED_VALUE"""),"PICHINCHA")</f>
        <v>PICHINCHA</v>
      </c>
      <c r="N439" s="65" t="str">
        <f>IFERROR(__xludf.DUMMYFUNCTION("""COMPUTED_VALUE"""),"QUITO")</f>
        <v>QUITO</v>
      </c>
      <c r="O439" s="65" t="str">
        <f>IFERROR(__xludf.DUMMYFUNCTION("""COMPUTED_VALUE"""),"Italia N30 56 y Eloy Alfaro 2do piso Juan Montalvo la Carolina -")</f>
        <v>Italia N30 56 y Eloy Alfaro 2do piso Juan Montalvo la Carolina -</v>
      </c>
      <c r="P439" s="65"/>
      <c r="Q439" s="65" t="str">
        <f>IFERROR(__xludf.DUMMYFUNCTION("""COMPUTED_VALUE"""),"GINTRACOM")</f>
        <v>GINTRACOM</v>
      </c>
      <c r="R439" s="65">
        <f>IFERROR(__xludf.DUMMYFUNCTION("""COMPUTED_VALUE"""),20.0)</f>
        <v>20</v>
      </c>
      <c r="S439" s="65"/>
      <c r="T439" s="65">
        <f>IFERROR(__xludf.DUMMYFUNCTION("""COMPUTED_VALUE"""),4.15)</f>
        <v>4.15</v>
      </c>
      <c r="U439" s="65">
        <f>IFERROR(__xludf.DUMMYFUNCTION("""COMPUTED_VALUE"""),0.0)</f>
        <v>0</v>
      </c>
      <c r="V439" s="65">
        <f>IFERROR(__xludf.DUMMYFUNCTION("""COMPUTED_VALUE"""),0.0)</f>
        <v>0</v>
      </c>
      <c r="W439" s="65">
        <f>IFERROR(__xludf.DUMMYFUNCTION("""COMPUTED_VALUE"""),0.0)</f>
        <v>0</v>
      </c>
      <c r="X439" s="65">
        <f>IFERROR(__xludf.DUMMYFUNCTION("""COMPUTED_VALUE"""),2.35)</f>
        <v>2.35</v>
      </c>
      <c r="Y439" s="65">
        <f>IFERROR(__xludf.DUMMYFUNCTION("""COMPUTED_VALUE"""),2.35)</f>
        <v>2.35</v>
      </c>
      <c r="Z439" s="65">
        <f>IFERROR(__xludf.DUMMYFUNCTION("""COMPUTED_VALUE"""),116679.0)</f>
        <v>116679</v>
      </c>
      <c r="AA439" s="65" t="str">
        <f>IFERROR(__xludf.DUMMYFUNCTION("""COMPUTED_VALUE"""),"AMC-2738")</f>
        <v>AMC-2738</v>
      </c>
      <c r="AB439" s="65"/>
      <c r="AC439" s="65" t="str">
        <f>IFERROR(__xludf.DUMMYFUNCTION("""COMPUTED_VALUE"""),"ESPONJA ANTILLUVIA DE PARABRISAS")</f>
        <v>ESPONJA ANTILLUVIA DE PARABRISAS</v>
      </c>
      <c r="AD439" s="65"/>
      <c r="AE439" s="65">
        <f>IFERROR(__xludf.DUMMYFUNCTION("""COMPUTED_VALUE"""),1.0)</f>
        <v>1</v>
      </c>
      <c r="AF439" s="65"/>
      <c r="AG439" s="65"/>
      <c r="AH439" s="65"/>
      <c r="AI439" s="65"/>
      <c r="AJ439" s="65"/>
      <c r="AK439" s="65"/>
      <c r="AL439" s="65"/>
      <c r="AM439" s="65"/>
      <c r="AN439" s="65"/>
      <c r="AO439" s="65"/>
      <c r="AP439" s="65"/>
      <c r="AQ439" s="65"/>
      <c r="AR439" s="65"/>
      <c r="AS439" s="65"/>
      <c r="AT439" s="65" t="str">
        <f>IFERROR(__xludf.DUMMYFUNCTION("""COMPUTED_VALUE"""),"SHOPIFY")</f>
        <v>SHOPIFY</v>
      </c>
      <c r="AU439" s="65" t="str">
        <f>IFERROR(__xludf.DUMMYFUNCTION("""COMPUTED_VALUE"""),"IMPORTEX EC")</f>
        <v>IMPORTEX EC</v>
      </c>
      <c r="AV439" s="65" t="str">
        <f>IFERROR(__xludf.DUMMYFUNCTION("""COMPUTED_VALUE"""),"6547258933292")</f>
        <v>6547258933292</v>
      </c>
      <c r="AW439" s="65">
        <f>IFERROR(__xludf.DUMMYFUNCTION("""COMPUTED_VALUE"""),6426.0)</f>
        <v>6426</v>
      </c>
      <c r="AX439" s="65"/>
      <c r="AY439" s="65"/>
      <c r="AZ439" s="65"/>
      <c r="BA439" s="65"/>
    </row>
    <row r="440">
      <c r="A440" s="65" t="str">
        <f>IFERROR(__xludf.DUMMYFUNCTION("""COMPUTED_VALUE"""),"27-03-2026")</f>
        <v>27-03-2026</v>
      </c>
      <c r="B440" s="65">
        <f>IFERROR(__xludf.DUMMYFUNCTION("""COMPUTED_VALUE"""),4652329.0)</f>
        <v>4652329</v>
      </c>
      <c r="C440" s="65" t="str">
        <f>IFERROR(__xludf.DUMMYFUNCTION("""COMPUTED_VALUE"""),"11:28")</f>
        <v>11:28</v>
      </c>
      <c r="D440" s="65" t="str">
        <f>IFERROR(__xludf.DUMMYFUNCTION("""COMPUTED_VALUE"""),"28-02-2026")</f>
        <v>28-02-2026</v>
      </c>
      <c r="E440" s="65" t="str">
        <f>IFERROR(__xludf.DUMMYFUNCTION("""COMPUTED_VALUE"""),"Betsy Pachito")</f>
        <v>Betsy Pachito</v>
      </c>
      <c r="F440" s="65" t="str">
        <f>IFERROR(__xludf.DUMMYFUNCTION("""COMPUTED_VALUE"""),"986358478")</f>
        <v>986358478</v>
      </c>
      <c r="G440" s="65" t="str">
        <f>IFERROR(__xludf.DUMMYFUNCTION("""COMPUTED_VALUE"""),"sevillanobetsy064@mail.com")</f>
        <v>sevillanobetsy064@mail.com</v>
      </c>
      <c r="H440" s="65"/>
      <c r="I440" s="65"/>
      <c r="J440" s="65" t="str">
        <f>IFERROR(__xludf.DUMMYFUNCTION("""COMPUTED_VALUE"""),"186606976")</f>
        <v>186606976</v>
      </c>
      <c r="K440" s="65" t="str">
        <f>IFERROR(__xludf.DUMMYFUNCTION("""COMPUTED_VALUE"""),"DEVOLUCION")</f>
        <v>DEVOLUCION</v>
      </c>
      <c r="L440" s="65" t="str">
        <f>IFERROR(__xludf.DUMMYFUNCTION("""COMPUTED_VALUE"""),"CON RECAUDO")</f>
        <v>CON RECAUDO</v>
      </c>
      <c r="M440" s="65" t="str">
        <f>IFERROR(__xludf.DUMMYFUNCTION("""COMPUTED_VALUE"""),"ESMERALDAS")</f>
        <v>ESMERALDAS</v>
      </c>
      <c r="N440" s="65" t="str">
        <f>IFERROR(__xludf.DUMMYFUNCTION("""COMPUTED_VALUE"""),"BORBON")</f>
        <v>BORBON</v>
      </c>
      <c r="O440" s="65" t="str">
        <f>IFERROR(__xludf.DUMMYFUNCTION("""COMPUTED_VALUE"""),"RETIRA EN CS : BORBON_PRINCIPAL - HUMBERTO OBANDO SOLAR 17 Y RIO VERDE")</f>
        <v>RETIRA EN CS : BORBON_PRINCIPAL - HUMBERTO OBANDO SOLAR 17 Y RIO VERDE</v>
      </c>
      <c r="P440" s="65"/>
      <c r="Q440" s="65" t="str">
        <f>IFERROR(__xludf.DUMMYFUNCTION("""COMPUTED_VALUE"""),"SERVIENTREGA")</f>
        <v>SERVIENTREGA</v>
      </c>
      <c r="R440" s="65">
        <f>IFERROR(__xludf.DUMMYFUNCTION("""COMPUTED_VALUE"""),22.0)</f>
        <v>22</v>
      </c>
      <c r="S440" s="65"/>
      <c r="T440" s="65">
        <f>IFERROR(__xludf.DUMMYFUNCTION("""COMPUTED_VALUE"""),7.7)</f>
        <v>7.7</v>
      </c>
      <c r="U440" s="65">
        <f>IFERROR(__xludf.DUMMYFUNCTION("""COMPUTED_VALUE"""),0.0)</f>
        <v>0</v>
      </c>
      <c r="V440" s="65">
        <f>IFERROR(__xludf.DUMMYFUNCTION("""COMPUTED_VALUE"""),0.0)</f>
        <v>0</v>
      </c>
      <c r="W440" s="65">
        <f>IFERROR(__xludf.DUMMYFUNCTION("""COMPUTED_VALUE"""),0.0)</f>
        <v>0</v>
      </c>
      <c r="X440" s="65">
        <f>IFERROR(__xludf.DUMMYFUNCTION("""COMPUTED_VALUE"""),3.75)</f>
        <v>3.75</v>
      </c>
      <c r="Y440" s="65">
        <f>IFERROR(__xludf.DUMMYFUNCTION("""COMPUTED_VALUE"""),7.5)</f>
        <v>7.5</v>
      </c>
      <c r="Z440" s="65">
        <f>IFERROR(__xludf.DUMMYFUNCTION("""COMPUTED_VALUE"""),113116.0)</f>
        <v>113116</v>
      </c>
      <c r="AA440" s="65" t="str">
        <f>IFERROR(__xludf.DUMMYFUNCTION("""COMPUTED_VALUE"""),"IM-TAZAKI")</f>
        <v>IM-TAZAKI</v>
      </c>
      <c r="AB440" s="65"/>
      <c r="AC440" s="65" t="str">
        <f>IFERROR(__xludf.DUMMYFUNCTION("""COMPUTED_VALUE"""),"Cuchillo tazaki")</f>
        <v>Cuchillo tazaki</v>
      </c>
      <c r="AD440" s="65"/>
      <c r="AE440" s="65">
        <f>IFERROR(__xludf.DUMMYFUNCTION("""COMPUTED_VALUE"""),2.0)</f>
        <v>2</v>
      </c>
      <c r="AF440" s="65" t="str">
        <f>IFERROR(__xludf.DUMMYFUNCTION("""COMPUTED_VALUE"""),"DEVUELTO DE")</f>
        <v>DEVUELTO DE</v>
      </c>
      <c r="AG440" s="65" t="str">
        <f>IFERROR(__xludf.DUMMYFUNCTION("""COMPUTED_VALUE"""),"NO")</f>
        <v>NO</v>
      </c>
      <c r="AH440" s="65" t="str">
        <f>IFERROR(__xludf.DUMMYFUNCTION("""COMPUTED_VALUE"""),"12:49")</f>
        <v>12:49</v>
      </c>
      <c r="AI440" s="65" t="str">
        <f>IFERROR(__xludf.DUMMYFUNCTION("""COMPUTED_VALUE"""),"10-03-2026")</f>
        <v>10-03-2026</v>
      </c>
      <c r="AJ440" s="65"/>
      <c r="AK440" s="65"/>
      <c r="AL440" s="65"/>
      <c r="AM440" s="65"/>
      <c r="AN440" s="65" t="str">
        <f>IFERROR(__xludf.DUMMYFUNCTION("""COMPUTED_VALUE"""),"01:02")</f>
        <v>01:02</v>
      </c>
      <c r="AO440" s="65" t="str">
        <f>IFERROR(__xludf.DUMMYFUNCTION("""COMPUTED_VALUE"""),"15-03-2026")</f>
        <v>15-03-2026</v>
      </c>
      <c r="AP440" s="65" t="str">
        <f>IFERROR(__xludf.DUMMYFUNCTION("""COMPUTED_VALUE"""),"Certificacion Devolucion al Remitente CL QUITO SUR")</f>
        <v>Certificacion Devolucion al Remitente CL QUITO SUR</v>
      </c>
      <c r="AQ440" s="65" t="str">
        <f>IFERROR(__xludf.DUMMYFUNCTION("""COMPUTED_VALUE"""),"{}")</f>
        <v>{}</v>
      </c>
      <c r="AR440" s="65"/>
      <c r="AS440" s="65"/>
      <c r="AT440" s="65" t="str">
        <f>IFERROR(__xludf.DUMMYFUNCTION("""COMPUTED_VALUE"""),"SHOPIFY")</f>
        <v>SHOPIFY</v>
      </c>
      <c r="AU440" s="65" t="str">
        <f>IFERROR(__xludf.DUMMYFUNCTION("""COMPUTED_VALUE"""),"IMPORTEX EC")</f>
        <v>IMPORTEX EC</v>
      </c>
      <c r="AV440" s="65" t="str">
        <f>IFERROR(__xludf.DUMMYFUNCTION("""COMPUTED_VALUE"""),"6547158499372")</f>
        <v>6547158499372</v>
      </c>
      <c r="AW440" s="65">
        <f>IFERROR(__xludf.DUMMYFUNCTION("""COMPUTED_VALUE"""),6425.0)</f>
        <v>6425</v>
      </c>
      <c r="AX440" s="65"/>
      <c r="AY440" s="65" t="str">
        <f>IFERROR(__xludf.DUMMYFUNCTION("""COMPUTED_VALUE"""),"02/03/2026")</f>
        <v>02/03/2026</v>
      </c>
      <c r="AZ440" s="65"/>
      <c r="BA440" s="65"/>
    </row>
    <row r="441">
      <c r="A441" s="65" t="str">
        <f>IFERROR(__xludf.DUMMYFUNCTION("""COMPUTED_VALUE"""),"27-03-2026")</f>
        <v>27-03-2026</v>
      </c>
      <c r="B441" s="65">
        <f>IFERROR(__xludf.DUMMYFUNCTION("""COMPUTED_VALUE"""),4652030.0)</f>
        <v>4652030</v>
      </c>
      <c r="C441" s="65" t="str">
        <f>IFERROR(__xludf.DUMMYFUNCTION("""COMPUTED_VALUE"""),"11:06")</f>
        <v>11:06</v>
      </c>
      <c r="D441" s="65" t="str">
        <f>IFERROR(__xludf.DUMMYFUNCTION("""COMPUTED_VALUE"""),"28-02-2026")</f>
        <v>28-02-2026</v>
      </c>
      <c r="E441" s="65" t="str">
        <f>IFERROR(__xludf.DUMMYFUNCTION("""COMPUTED_VALUE"""),"Cristian Calle")</f>
        <v>Cristian Calle</v>
      </c>
      <c r="F441" s="65" t="str">
        <f>IFERROR(__xludf.DUMMYFUNCTION("""COMPUTED_VALUE"""),"991268241")</f>
        <v>991268241</v>
      </c>
      <c r="G441" s="65" t="str">
        <f>IFERROR(__xludf.DUMMYFUNCTION("""COMPUTED_VALUE"""),"cristhiancalle.2021@gmail.com")</f>
        <v>cristhiancalle.2021@gmail.com</v>
      </c>
      <c r="H441" s="65"/>
      <c r="I441" s="65"/>
      <c r="J441" s="65"/>
      <c r="K441" s="65" t="str">
        <f>IFERROR(__xludf.DUMMYFUNCTION("""COMPUTED_VALUE"""),"PENDIENTE CONFIRMACION")</f>
        <v>PENDIENTE CONFIRMACION</v>
      </c>
      <c r="L441" s="65" t="str">
        <f>IFERROR(__xludf.DUMMYFUNCTION("""COMPUTED_VALUE"""),"CON RECAUDO")</f>
        <v>CON RECAUDO</v>
      </c>
      <c r="M441" s="65" t="str">
        <f>IFERROR(__xludf.DUMMYFUNCTION("""COMPUTED_VALUE"""),"GUAYAS")</f>
        <v>GUAYAS</v>
      </c>
      <c r="N441" s="65" t="str">
        <f>IFERROR(__xludf.DUMMYFUNCTION("""COMPUTED_VALUE"""),"DAULE")</f>
        <v>DAULE</v>
      </c>
      <c r="O441" s="65" t="str">
        <f>IFERROR(__xludf.DUMMYFUNCTION("""COMPUTED_VALUE"""),"Via malecón y traveesar Limonal -")</f>
        <v>Via malecón y traveesar Limonal -</v>
      </c>
      <c r="P441" s="65"/>
      <c r="Q441" s="65" t="str">
        <f>IFERROR(__xludf.DUMMYFUNCTION("""COMPUTED_VALUE"""),"GINTRACOM")</f>
        <v>GINTRACOM</v>
      </c>
      <c r="R441" s="65">
        <f>IFERROR(__xludf.DUMMYFUNCTION("""COMPUTED_VALUE"""),22.0)</f>
        <v>22</v>
      </c>
      <c r="S441" s="65"/>
      <c r="T441" s="65">
        <f>IFERROR(__xludf.DUMMYFUNCTION("""COMPUTED_VALUE"""),5.84)</f>
        <v>5.84</v>
      </c>
      <c r="U441" s="65">
        <f>IFERROR(__xludf.DUMMYFUNCTION("""COMPUTED_VALUE"""),0.0)</f>
        <v>0</v>
      </c>
      <c r="V441" s="65">
        <f>IFERROR(__xludf.DUMMYFUNCTION("""COMPUTED_VALUE"""),0.0)</f>
        <v>0</v>
      </c>
      <c r="W441" s="65">
        <f>IFERROR(__xludf.DUMMYFUNCTION("""COMPUTED_VALUE"""),0.0)</f>
        <v>0</v>
      </c>
      <c r="X441" s="65">
        <f>IFERROR(__xludf.DUMMYFUNCTION("""COMPUTED_VALUE"""),3.75)</f>
        <v>3.75</v>
      </c>
      <c r="Y441" s="65">
        <f>IFERROR(__xludf.DUMMYFUNCTION("""COMPUTED_VALUE"""),7.5)</f>
        <v>7.5</v>
      </c>
      <c r="Z441" s="65">
        <f>IFERROR(__xludf.DUMMYFUNCTION("""COMPUTED_VALUE"""),113116.0)</f>
        <v>113116</v>
      </c>
      <c r="AA441" s="65" t="str">
        <f>IFERROR(__xludf.DUMMYFUNCTION("""COMPUTED_VALUE"""),"IM-TAZAKI")</f>
        <v>IM-TAZAKI</v>
      </c>
      <c r="AB441" s="65"/>
      <c r="AC441" s="65" t="str">
        <f>IFERROR(__xludf.DUMMYFUNCTION("""COMPUTED_VALUE"""),"Cuchillo tazaki")</f>
        <v>Cuchillo tazaki</v>
      </c>
      <c r="AD441" s="65"/>
      <c r="AE441" s="65">
        <f>IFERROR(__xludf.DUMMYFUNCTION("""COMPUTED_VALUE"""),2.0)</f>
        <v>2</v>
      </c>
      <c r="AF441" s="65"/>
      <c r="AG441" s="65"/>
      <c r="AH441" s="65"/>
      <c r="AI441" s="65"/>
      <c r="AJ441" s="65"/>
      <c r="AK441" s="65"/>
      <c r="AL441" s="65"/>
      <c r="AM441" s="65"/>
      <c r="AN441" s="65"/>
      <c r="AO441" s="65"/>
      <c r="AP441" s="65"/>
      <c r="AQ441" s="65"/>
      <c r="AR441" s="65"/>
      <c r="AS441" s="65"/>
      <c r="AT441" s="65" t="str">
        <f>IFERROR(__xludf.DUMMYFUNCTION("""COMPUTED_VALUE"""),"SHOPIFY")</f>
        <v>SHOPIFY</v>
      </c>
      <c r="AU441" s="65" t="str">
        <f>IFERROR(__xludf.DUMMYFUNCTION("""COMPUTED_VALUE"""),"IMPORTEX EC")</f>
        <v>IMPORTEX EC</v>
      </c>
      <c r="AV441" s="65" t="str">
        <f>IFERROR(__xludf.DUMMYFUNCTION("""COMPUTED_VALUE"""),"6547105710124")</f>
        <v>6547105710124</v>
      </c>
      <c r="AW441" s="65">
        <f>IFERROR(__xludf.DUMMYFUNCTION("""COMPUTED_VALUE"""),6424.0)</f>
        <v>6424</v>
      </c>
      <c r="AX441" s="65"/>
      <c r="AY441" s="65"/>
      <c r="AZ441" s="65"/>
      <c r="BA441" s="65"/>
    </row>
    <row r="442">
      <c r="A442" s="65" t="str">
        <f>IFERROR(__xludf.DUMMYFUNCTION("""COMPUTED_VALUE"""),"27-03-2026")</f>
        <v>27-03-2026</v>
      </c>
      <c r="B442" s="65">
        <f>IFERROR(__xludf.DUMMYFUNCTION("""COMPUTED_VALUE"""),4651561.0)</f>
        <v>4651561</v>
      </c>
      <c r="C442" s="65" t="str">
        <f>IFERROR(__xludf.DUMMYFUNCTION("""COMPUTED_VALUE"""),"10:20")</f>
        <v>10:20</v>
      </c>
      <c r="D442" s="65" t="str">
        <f>IFERROR(__xludf.DUMMYFUNCTION("""COMPUTED_VALUE"""),"28-02-2026")</f>
        <v>28-02-2026</v>
      </c>
      <c r="E442" s="65" t="str">
        <f>IFERROR(__xludf.DUMMYFUNCTION("""COMPUTED_VALUE"""),"Lory Paredes Paredes")</f>
        <v>Lory Paredes Paredes</v>
      </c>
      <c r="F442" s="65" t="str">
        <f>IFERROR(__xludf.DUMMYFUNCTION("""COMPUTED_VALUE"""),"998088510")</f>
        <v>998088510</v>
      </c>
      <c r="G442" s="65" t="str">
        <f>IFERROR(__xludf.DUMMYFUNCTION("""COMPUTED_VALUE"""),"paredeslory10@gmail.com")</f>
        <v>paredeslory10@gmail.com</v>
      </c>
      <c r="H442" s="65"/>
      <c r="I442" s="65"/>
      <c r="J442" s="65"/>
      <c r="K442" s="65" t="str">
        <f>IFERROR(__xludf.DUMMYFUNCTION("""COMPUTED_VALUE"""),"PENDIENTE CONFIRMACION")</f>
        <v>PENDIENTE CONFIRMACION</v>
      </c>
      <c r="L442" s="65" t="str">
        <f>IFERROR(__xludf.DUMMYFUNCTION("""COMPUTED_VALUE"""),"CON RECAUDO")</f>
        <v>CON RECAUDO</v>
      </c>
      <c r="M442" s="65" t="str">
        <f>IFERROR(__xludf.DUMMYFUNCTION("""COMPUTED_VALUE"""),"NAPO")</f>
        <v>NAPO</v>
      </c>
      <c r="N442" s="65" t="str">
        <f>IFERROR(__xludf.DUMMYFUNCTION("""COMPUTED_VALUE"""),"TENA")</f>
        <v>TENA</v>
      </c>
      <c r="O442" s="65" t="str">
        <f>IFERROR(__xludf.DUMMYFUNCTION("""COMPUTED_VALUE"""),"atrás de la casa del diabetico por la calle del rejistro sivi -")</f>
        <v>atrás de la casa del diabetico por la calle del rejistro sivi -</v>
      </c>
      <c r="P442" s="65"/>
      <c r="Q442" s="65" t="str">
        <f>IFERROR(__xludf.DUMMYFUNCTION("""COMPUTED_VALUE"""),"GINTRACOM")</f>
        <v>GINTRACOM</v>
      </c>
      <c r="R442" s="65">
        <f>IFERROR(__xludf.DUMMYFUNCTION("""COMPUTED_VALUE"""),22.0)</f>
        <v>22</v>
      </c>
      <c r="S442" s="65"/>
      <c r="T442" s="65">
        <f>IFERROR(__xludf.DUMMYFUNCTION("""COMPUTED_VALUE"""),5.84)</f>
        <v>5.84</v>
      </c>
      <c r="U442" s="65">
        <f>IFERROR(__xludf.DUMMYFUNCTION("""COMPUTED_VALUE"""),0.0)</f>
        <v>0</v>
      </c>
      <c r="V442" s="65">
        <f>IFERROR(__xludf.DUMMYFUNCTION("""COMPUTED_VALUE"""),0.0)</f>
        <v>0</v>
      </c>
      <c r="W442" s="65">
        <f>IFERROR(__xludf.DUMMYFUNCTION("""COMPUTED_VALUE"""),0.0)</f>
        <v>0</v>
      </c>
      <c r="X442" s="65">
        <f>IFERROR(__xludf.DUMMYFUNCTION("""COMPUTED_VALUE"""),3.75)</f>
        <v>3.75</v>
      </c>
      <c r="Y442" s="65">
        <f>IFERROR(__xludf.DUMMYFUNCTION("""COMPUTED_VALUE"""),7.5)</f>
        <v>7.5</v>
      </c>
      <c r="Z442" s="65">
        <f>IFERROR(__xludf.DUMMYFUNCTION("""COMPUTED_VALUE"""),113116.0)</f>
        <v>113116</v>
      </c>
      <c r="AA442" s="65" t="str">
        <f>IFERROR(__xludf.DUMMYFUNCTION("""COMPUTED_VALUE"""),"IM-TAZAKI")</f>
        <v>IM-TAZAKI</v>
      </c>
      <c r="AB442" s="65"/>
      <c r="AC442" s="65" t="str">
        <f>IFERROR(__xludf.DUMMYFUNCTION("""COMPUTED_VALUE"""),"Cuchillo tazaki")</f>
        <v>Cuchillo tazaki</v>
      </c>
      <c r="AD442" s="65"/>
      <c r="AE442" s="65">
        <f>IFERROR(__xludf.DUMMYFUNCTION("""COMPUTED_VALUE"""),2.0)</f>
        <v>2</v>
      </c>
      <c r="AF442" s="65"/>
      <c r="AG442" s="65"/>
      <c r="AH442" s="65"/>
      <c r="AI442" s="65"/>
      <c r="AJ442" s="65"/>
      <c r="AK442" s="65"/>
      <c r="AL442" s="65"/>
      <c r="AM442" s="65"/>
      <c r="AN442" s="65"/>
      <c r="AO442" s="65"/>
      <c r="AP442" s="65"/>
      <c r="AQ442" s="65"/>
      <c r="AR442" s="65"/>
      <c r="AS442" s="65"/>
      <c r="AT442" s="65" t="str">
        <f>IFERROR(__xludf.DUMMYFUNCTION("""COMPUTED_VALUE"""),"SHOPIFY")</f>
        <v>SHOPIFY</v>
      </c>
      <c r="AU442" s="65" t="str">
        <f>IFERROR(__xludf.DUMMYFUNCTION("""COMPUTED_VALUE"""),"IMPORTEX EC")</f>
        <v>IMPORTEX EC</v>
      </c>
      <c r="AV442" s="65" t="str">
        <f>IFERROR(__xludf.DUMMYFUNCTION("""COMPUTED_VALUE"""),"6547004293164")</f>
        <v>6547004293164</v>
      </c>
      <c r="AW442" s="65">
        <f>IFERROR(__xludf.DUMMYFUNCTION("""COMPUTED_VALUE"""),6423.0)</f>
        <v>6423</v>
      </c>
      <c r="AX442" s="65"/>
      <c r="AY442" s="65"/>
      <c r="AZ442" s="65"/>
      <c r="BA442" s="65"/>
    </row>
    <row r="443">
      <c r="A443" s="65" t="str">
        <f>IFERROR(__xludf.DUMMYFUNCTION("""COMPUTED_VALUE"""),"27-03-2026")</f>
        <v>27-03-2026</v>
      </c>
      <c r="B443" s="65">
        <f>IFERROR(__xludf.DUMMYFUNCTION("""COMPUTED_VALUE"""),4651372.0)</f>
        <v>4651372</v>
      </c>
      <c r="C443" s="65" t="str">
        <f>IFERROR(__xludf.DUMMYFUNCTION("""COMPUTED_VALUE"""),"10:00")</f>
        <v>10:00</v>
      </c>
      <c r="D443" s="65" t="str">
        <f>IFERROR(__xludf.DUMMYFUNCTION("""COMPUTED_VALUE"""),"28-02-2026")</f>
        <v>28-02-2026</v>
      </c>
      <c r="E443" s="65" t="str">
        <f>IFERROR(__xludf.DUMMYFUNCTION("""COMPUTED_VALUE"""),"gladys Vargas")</f>
        <v>gladys Vargas</v>
      </c>
      <c r="F443" s="65" t="str">
        <f>IFERROR(__xludf.DUMMYFUNCTION("""COMPUTED_VALUE"""),"969385695")</f>
        <v>969385695</v>
      </c>
      <c r="G443" s="65" t="str">
        <f>IFERROR(__xludf.DUMMYFUNCTION("""COMPUTED_VALUE"""),"gladisvargas1971@gmail.com")</f>
        <v>gladisvargas1971@gmail.com</v>
      </c>
      <c r="H443" s="65"/>
      <c r="I443" s="65"/>
      <c r="J443" s="65"/>
      <c r="K443" s="65" t="str">
        <f>IFERROR(__xludf.DUMMYFUNCTION("""COMPUTED_VALUE"""),"PENDIENTE CONFIRMACION")</f>
        <v>PENDIENTE CONFIRMACION</v>
      </c>
      <c r="L443" s="65" t="str">
        <f>IFERROR(__xludf.DUMMYFUNCTION("""COMPUTED_VALUE"""),"CON RECAUDO")</f>
        <v>CON RECAUDO</v>
      </c>
      <c r="M443" s="65" t="str">
        <f>IFERROR(__xludf.DUMMYFUNCTION("""COMPUTED_VALUE"""),"PICHINCHA")</f>
        <v>PICHINCHA</v>
      </c>
      <c r="N443" s="65" t="str">
        <f>IFERROR(__xludf.DUMMYFUNCTION("""COMPUTED_VALUE"""),"QUITO")</f>
        <v>QUITO</v>
      </c>
      <c r="O443" s="65" t="str">
        <f>IFERROR(__xludf.DUMMYFUNCTION("""COMPUTED_VALUE"""),"Nueva Jerusalén lote 399 MZ 17 calle F Secto guamani diagonal a la iglesia el garrochal -")</f>
        <v>Nueva Jerusalén lote 399 MZ 17 calle F Secto guamani diagonal a la iglesia el garrochal -</v>
      </c>
      <c r="P443" s="65"/>
      <c r="Q443" s="65" t="str">
        <f>IFERROR(__xludf.DUMMYFUNCTION("""COMPUTED_VALUE"""),"GINTRACOM")</f>
        <v>GINTRACOM</v>
      </c>
      <c r="R443" s="65">
        <f>IFERROR(__xludf.DUMMYFUNCTION("""COMPUTED_VALUE"""),22.0)</f>
        <v>22</v>
      </c>
      <c r="S443" s="65"/>
      <c r="T443" s="65">
        <f>IFERROR(__xludf.DUMMYFUNCTION("""COMPUTED_VALUE"""),4.23)</f>
        <v>4.23</v>
      </c>
      <c r="U443" s="65">
        <f>IFERROR(__xludf.DUMMYFUNCTION("""COMPUTED_VALUE"""),0.0)</f>
        <v>0</v>
      </c>
      <c r="V443" s="65">
        <f>IFERROR(__xludf.DUMMYFUNCTION("""COMPUTED_VALUE"""),0.0)</f>
        <v>0</v>
      </c>
      <c r="W443" s="65">
        <f>IFERROR(__xludf.DUMMYFUNCTION("""COMPUTED_VALUE"""),0.0)</f>
        <v>0</v>
      </c>
      <c r="X443" s="65">
        <f>IFERROR(__xludf.DUMMYFUNCTION("""COMPUTED_VALUE"""),3.75)</f>
        <v>3.75</v>
      </c>
      <c r="Y443" s="65">
        <f>IFERROR(__xludf.DUMMYFUNCTION("""COMPUTED_VALUE"""),7.5)</f>
        <v>7.5</v>
      </c>
      <c r="Z443" s="65">
        <f>IFERROR(__xludf.DUMMYFUNCTION("""COMPUTED_VALUE"""),113116.0)</f>
        <v>113116</v>
      </c>
      <c r="AA443" s="65" t="str">
        <f>IFERROR(__xludf.DUMMYFUNCTION("""COMPUTED_VALUE"""),"IM-TAZAKI")</f>
        <v>IM-TAZAKI</v>
      </c>
      <c r="AB443" s="65"/>
      <c r="AC443" s="65" t="str">
        <f>IFERROR(__xludf.DUMMYFUNCTION("""COMPUTED_VALUE"""),"Cuchillo tazaki")</f>
        <v>Cuchillo tazaki</v>
      </c>
      <c r="AD443" s="65"/>
      <c r="AE443" s="65">
        <f>IFERROR(__xludf.DUMMYFUNCTION("""COMPUTED_VALUE"""),2.0)</f>
        <v>2</v>
      </c>
      <c r="AF443" s="65"/>
      <c r="AG443" s="65"/>
      <c r="AH443" s="65"/>
      <c r="AI443" s="65"/>
      <c r="AJ443" s="65"/>
      <c r="AK443" s="65"/>
      <c r="AL443" s="65"/>
      <c r="AM443" s="65"/>
      <c r="AN443" s="65"/>
      <c r="AO443" s="65"/>
      <c r="AP443" s="65"/>
      <c r="AQ443" s="65"/>
      <c r="AR443" s="65"/>
      <c r="AS443" s="65"/>
      <c r="AT443" s="65" t="str">
        <f>IFERROR(__xludf.DUMMYFUNCTION("""COMPUTED_VALUE"""),"SHOPIFY")</f>
        <v>SHOPIFY</v>
      </c>
      <c r="AU443" s="65" t="str">
        <f>IFERROR(__xludf.DUMMYFUNCTION("""COMPUTED_VALUE"""),"IMPORTEX EC")</f>
        <v>IMPORTEX EC</v>
      </c>
      <c r="AV443" s="65" t="str">
        <f>IFERROR(__xludf.DUMMYFUNCTION("""COMPUTED_VALUE"""),"6546954616876")</f>
        <v>6546954616876</v>
      </c>
      <c r="AW443" s="65">
        <f>IFERROR(__xludf.DUMMYFUNCTION("""COMPUTED_VALUE"""),6422.0)</f>
        <v>6422</v>
      </c>
      <c r="AX443" s="65"/>
      <c r="AY443" s="65"/>
      <c r="AZ443" s="65"/>
      <c r="BA443" s="65"/>
    </row>
    <row r="444">
      <c r="A444" s="65" t="str">
        <f>IFERROR(__xludf.DUMMYFUNCTION("""COMPUTED_VALUE"""),"27-03-2026")</f>
        <v>27-03-2026</v>
      </c>
      <c r="B444" s="65">
        <f>IFERROR(__xludf.DUMMYFUNCTION("""COMPUTED_VALUE"""),4651029.0)</f>
        <v>4651029</v>
      </c>
      <c r="C444" s="65" t="str">
        <f>IFERROR(__xludf.DUMMYFUNCTION("""COMPUTED_VALUE"""),"09:24")</f>
        <v>09:24</v>
      </c>
      <c r="D444" s="65" t="str">
        <f>IFERROR(__xludf.DUMMYFUNCTION("""COMPUTED_VALUE"""),"28-02-2026")</f>
        <v>28-02-2026</v>
      </c>
      <c r="E444" s="65" t="str">
        <f>IFERROR(__xludf.DUMMYFUNCTION("""COMPUTED_VALUE"""),"Daniel Alvarado")</f>
        <v>Daniel Alvarado</v>
      </c>
      <c r="F444" s="65" t="str">
        <f>IFERROR(__xludf.DUMMYFUNCTION("""COMPUTED_VALUE"""),"989212063")</f>
        <v>989212063</v>
      </c>
      <c r="G444" s="65" t="str">
        <f>IFERROR(__xludf.DUMMYFUNCTION("""COMPUTED_VALUE"""),"danialv2211@gmail.com")</f>
        <v>danialv2211@gmail.com</v>
      </c>
      <c r="H444" s="65"/>
      <c r="I444" s="65"/>
      <c r="J444" s="65" t="str">
        <f>IFERROR(__xludf.DUMMYFUNCTION("""COMPUTED_VALUE"""),"D001373960")</f>
        <v>D001373960</v>
      </c>
      <c r="K444" s="65" t="str">
        <f>IFERROR(__xludf.DUMMYFUNCTION("""COMPUTED_VALUE"""),"ENTREGADO")</f>
        <v>ENTREGADO</v>
      </c>
      <c r="L444" s="65" t="str">
        <f>IFERROR(__xludf.DUMMYFUNCTION("""COMPUTED_VALUE"""),"CON RECAUDO")</f>
        <v>CON RECAUDO</v>
      </c>
      <c r="M444" s="65" t="str">
        <f>IFERROR(__xludf.DUMMYFUNCTION("""COMPUTED_VALUE"""),"PICHINCHA")</f>
        <v>PICHINCHA</v>
      </c>
      <c r="N444" s="65" t="str">
        <f>IFERROR(__xludf.DUMMYFUNCTION("""COMPUTED_VALUE"""),"PUEMBO")</f>
        <v>PUEMBO</v>
      </c>
      <c r="O444" s="65" t="str">
        <f>IFERROR(__xludf.DUMMYFUNCTION("""COMPUTED_VALUE"""),"El Chiche Calle Carlos María de la Torre y San Vicente de Paul")</f>
        <v>El Chiche Calle Carlos María de la Torre y San Vicente de Paul</v>
      </c>
      <c r="P444" s="65"/>
      <c r="Q444" s="65" t="str">
        <f>IFERROR(__xludf.DUMMYFUNCTION("""COMPUTED_VALUE"""),"GINTRACOM")</f>
        <v>GINTRACOM</v>
      </c>
      <c r="R444" s="65">
        <f>IFERROR(__xludf.DUMMYFUNCTION("""COMPUTED_VALUE"""),20.0)</f>
        <v>20</v>
      </c>
      <c r="S444" s="65">
        <f>IFERROR(__xludf.DUMMYFUNCTION("""COMPUTED_VALUE"""),12.93)</f>
        <v>12.93</v>
      </c>
      <c r="T444" s="65">
        <f>IFERROR(__xludf.DUMMYFUNCTION("""COMPUTED_VALUE"""),4.72)</f>
        <v>4.72</v>
      </c>
      <c r="U444" s="65">
        <f>IFERROR(__xludf.DUMMYFUNCTION("""COMPUTED_VALUE"""),0.0)</f>
        <v>0</v>
      </c>
      <c r="V444" s="65">
        <f>IFERROR(__xludf.DUMMYFUNCTION("""COMPUTED_VALUE"""),0.0)</f>
        <v>0</v>
      </c>
      <c r="W444" s="65">
        <f>IFERROR(__xludf.DUMMYFUNCTION("""COMPUTED_VALUE"""),0.0)</f>
        <v>0</v>
      </c>
      <c r="X444" s="65">
        <f>IFERROR(__xludf.DUMMYFUNCTION("""COMPUTED_VALUE"""),2.35)</f>
        <v>2.35</v>
      </c>
      <c r="Y444" s="65">
        <f>IFERROR(__xludf.DUMMYFUNCTION("""COMPUTED_VALUE"""),2.35)</f>
        <v>2.35</v>
      </c>
      <c r="Z444" s="65">
        <f>IFERROR(__xludf.DUMMYFUNCTION("""COMPUTED_VALUE"""),116679.0)</f>
        <v>116679</v>
      </c>
      <c r="AA444" s="65" t="str">
        <f>IFERROR(__xludf.DUMMYFUNCTION("""COMPUTED_VALUE"""),"AMC-2738")</f>
        <v>AMC-2738</v>
      </c>
      <c r="AB444" s="65"/>
      <c r="AC444" s="65" t="str">
        <f>IFERROR(__xludf.DUMMYFUNCTION("""COMPUTED_VALUE"""),"ESPONJA ANTILLUVIA DE PARABRISAS")</f>
        <v>ESPONJA ANTILLUVIA DE PARABRISAS</v>
      </c>
      <c r="AD444" s="65"/>
      <c r="AE444" s="65">
        <f>IFERROR(__xludf.DUMMYFUNCTION("""COMPUTED_VALUE"""),1.0)</f>
        <v>1</v>
      </c>
      <c r="AF444" s="65"/>
      <c r="AG444" s="65"/>
      <c r="AH444" s="65"/>
      <c r="AI444" s="65"/>
      <c r="AJ444" s="65"/>
      <c r="AK444" s="65"/>
      <c r="AL444" s="65"/>
      <c r="AM444" s="65"/>
      <c r="AN444" s="65" t="str">
        <f>IFERROR(__xludf.DUMMYFUNCTION("""COMPUTED_VALUE"""),"10:25")</f>
        <v>10:25</v>
      </c>
      <c r="AO444" s="65" t="str">
        <f>IFERROR(__xludf.DUMMYFUNCTION("""COMPUTED_VALUE"""),"03-03-2026")</f>
        <v>03-03-2026</v>
      </c>
      <c r="AP444" s="65" t="str">
        <f>IFERROR(__xludf.DUMMYFUNCTION("""COMPUTED_VALUE"""),"ENTREGADA GINTRACOM")</f>
        <v>ENTREGADA GINTRACOM</v>
      </c>
      <c r="AQ444" s="65" t="str">
        <f>IFERROR(__xludf.DUMMYFUNCTION("""COMPUTED_VALUE"""),"ENTREGADA GINTRACOM")</f>
        <v>ENTREGADA GINTRACOM</v>
      </c>
      <c r="AR444" s="65"/>
      <c r="AS444" s="65"/>
      <c r="AT444" s="65" t="str">
        <f>IFERROR(__xludf.DUMMYFUNCTION("""COMPUTED_VALUE"""),"SHOPIFY")</f>
        <v>SHOPIFY</v>
      </c>
      <c r="AU444" s="65" t="str">
        <f>IFERROR(__xludf.DUMMYFUNCTION("""COMPUTED_VALUE"""),"IMPORTEX EC")</f>
        <v>IMPORTEX EC</v>
      </c>
      <c r="AV444" s="65" t="str">
        <f>IFERROR(__xludf.DUMMYFUNCTION("""COMPUTED_VALUE"""),"6546886459436")</f>
        <v>6546886459436</v>
      </c>
      <c r="AW444" s="65">
        <f>IFERROR(__xludf.DUMMYFUNCTION("""COMPUTED_VALUE"""),6421.0)</f>
        <v>6421</v>
      </c>
      <c r="AX444" s="65"/>
      <c r="AY444" s="65" t="str">
        <f>IFERROR(__xludf.DUMMYFUNCTION("""COMPUTED_VALUE"""),"02/03/2026")</f>
        <v>02/03/2026</v>
      </c>
      <c r="AZ444" s="65"/>
      <c r="BA444" s="65"/>
    </row>
    <row r="445">
      <c r="A445" s="65" t="str">
        <f>IFERROR(__xludf.DUMMYFUNCTION("""COMPUTED_VALUE"""),"27-03-2026")</f>
        <v>27-03-2026</v>
      </c>
      <c r="B445" s="65">
        <f>IFERROR(__xludf.DUMMYFUNCTION("""COMPUTED_VALUE"""),4651002.0)</f>
        <v>4651002</v>
      </c>
      <c r="C445" s="65" t="str">
        <f>IFERROR(__xludf.DUMMYFUNCTION("""COMPUTED_VALUE"""),"09:22")</f>
        <v>09:22</v>
      </c>
      <c r="D445" s="65" t="str">
        <f>IFERROR(__xludf.DUMMYFUNCTION("""COMPUTED_VALUE"""),"28-02-2026")</f>
        <v>28-02-2026</v>
      </c>
      <c r="E445" s="65" t="str">
        <f>IFERROR(__xludf.DUMMYFUNCTION("""COMPUTED_VALUE"""),"Ernesto Ernestoivansalbatierradelao")</f>
        <v>Ernesto Ernestoivansalbatierradelao</v>
      </c>
      <c r="F445" s="65" t="str">
        <f>IFERROR(__xludf.DUMMYFUNCTION("""COMPUTED_VALUE"""),"939191030")</f>
        <v>939191030</v>
      </c>
      <c r="G445" s="65" t="str">
        <f>IFERROR(__xludf.DUMMYFUNCTION("""COMPUTED_VALUE"""),"ernestoivansalbatierradelao@gmail.com")</f>
        <v>ernestoivansalbatierradelao@gmail.com</v>
      </c>
      <c r="H445" s="65"/>
      <c r="I445" s="65"/>
      <c r="J445" s="65" t="str">
        <f>IFERROR(__xludf.DUMMYFUNCTION("""COMPUTED_VALUE"""),"D001373962")</f>
        <v>D001373962</v>
      </c>
      <c r="K445" s="65" t="str">
        <f>IFERROR(__xludf.DUMMYFUNCTION("""COMPUTED_VALUE"""),"DEVOLUCION")</f>
        <v>DEVOLUCION</v>
      </c>
      <c r="L445" s="65" t="str">
        <f>IFERROR(__xludf.DUMMYFUNCTION("""COMPUTED_VALUE"""),"CON RECAUDO")</f>
        <v>CON RECAUDO</v>
      </c>
      <c r="M445" s="65" t="str">
        <f>IFERROR(__xludf.DUMMYFUNCTION("""COMPUTED_VALUE"""),"GUAYAS")</f>
        <v>GUAYAS</v>
      </c>
      <c r="N445" s="65" t="str">
        <f>IFERROR(__xludf.DUMMYFUNCTION("""COMPUTED_VALUE"""),"GUAYAQUIL")</f>
        <v>GUAYAQUIL</v>
      </c>
      <c r="O445" s="65" t="str">
        <f>IFERROR(__xludf.DUMMYFUNCTION("""COMPUTED_VALUE"""),"Posorja  calle Belén y los olivos -")</f>
        <v>Posorja  calle Belén y los olivos -</v>
      </c>
      <c r="P445" s="65"/>
      <c r="Q445" s="65" t="str">
        <f>IFERROR(__xludf.DUMMYFUNCTION("""COMPUTED_VALUE"""),"GINTRACOM")</f>
        <v>GINTRACOM</v>
      </c>
      <c r="R445" s="65">
        <f>IFERROR(__xludf.DUMMYFUNCTION("""COMPUTED_VALUE"""),20.0)</f>
        <v>20</v>
      </c>
      <c r="S445" s="65"/>
      <c r="T445" s="65">
        <f>IFERROR(__xludf.DUMMYFUNCTION("""COMPUTED_VALUE"""),5.76)</f>
        <v>5.76</v>
      </c>
      <c r="U445" s="65">
        <f>IFERROR(__xludf.DUMMYFUNCTION("""COMPUTED_VALUE"""),0.0)</f>
        <v>0</v>
      </c>
      <c r="V445" s="65">
        <f>IFERROR(__xludf.DUMMYFUNCTION("""COMPUTED_VALUE"""),0.0)</f>
        <v>0</v>
      </c>
      <c r="W445" s="65">
        <f>IFERROR(__xludf.DUMMYFUNCTION("""COMPUTED_VALUE"""),0.0)</f>
        <v>0</v>
      </c>
      <c r="X445" s="65">
        <f>IFERROR(__xludf.DUMMYFUNCTION("""COMPUTED_VALUE"""),2.35)</f>
        <v>2.35</v>
      </c>
      <c r="Y445" s="65">
        <f>IFERROR(__xludf.DUMMYFUNCTION("""COMPUTED_VALUE"""),2.35)</f>
        <v>2.35</v>
      </c>
      <c r="Z445" s="65">
        <f>IFERROR(__xludf.DUMMYFUNCTION("""COMPUTED_VALUE"""),116679.0)</f>
        <v>116679</v>
      </c>
      <c r="AA445" s="65" t="str">
        <f>IFERROR(__xludf.DUMMYFUNCTION("""COMPUTED_VALUE"""),"AMC-2738")</f>
        <v>AMC-2738</v>
      </c>
      <c r="AB445" s="65"/>
      <c r="AC445" s="65" t="str">
        <f>IFERROR(__xludf.DUMMYFUNCTION("""COMPUTED_VALUE"""),"ESPONJA ANTILLUVIA DE PARABRISAS")</f>
        <v>ESPONJA ANTILLUVIA DE PARABRISAS</v>
      </c>
      <c r="AD445" s="65"/>
      <c r="AE445" s="65">
        <f>IFERROR(__xludf.DUMMYFUNCTION("""COMPUTED_VALUE"""),1.0)</f>
        <v>1</v>
      </c>
      <c r="AF445" s="65"/>
      <c r="AG445" s="65"/>
      <c r="AH445" s="65"/>
      <c r="AI445" s="65"/>
      <c r="AJ445" s="65"/>
      <c r="AK445" s="65"/>
      <c r="AL445" s="65"/>
      <c r="AM445" s="65"/>
      <c r="AN445" s="65" t="str">
        <f>IFERROR(__xludf.DUMMYFUNCTION("""COMPUTED_VALUE"""),"16:21")</f>
        <v>16:21</v>
      </c>
      <c r="AO445" s="65" t="str">
        <f>IFERROR(__xludf.DUMMYFUNCTION("""COMPUTED_VALUE"""),"18-03-2026")</f>
        <v>18-03-2026</v>
      </c>
      <c r="AP445" s="65" t="str">
        <f>IFERROR(__xludf.DUMMYFUNCTION("""COMPUTED_VALUE"""),"DEVOLUCIÓN ENTREGADA A ORIGEN")</f>
        <v>DEVOLUCIÓN ENTREGADA A ORIGEN</v>
      </c>
      <c r="AQ445" s="65" t="str">
        <f>IFERROR(__xludf.DUMMYFUNCTION("""COMPUTED_VALUE"""),"DEVOLUCIÓN ENTREGADA A ORIGEN")</f>
        <v>DEVOLUCIÓN ENTREGADA A ORIGEN</v>
      </c>
      <c r="AR445" s="65"/>
      <c r="AS445" s="65"/>
      <c r="AT445" s="65" t="str">
        <f>IFERROR(__xludf.DUMMYFUNCTION("""COMPUTED_VALUE"""),"SHOPIFY")</f>
        <v>SHOPIFY</v>
      </c>
      <c r="AU445" s="65" t="str">
        <f>IFERROR(__xludf.DUMMYFUNCTION("""COMPUTED_VALUE"""),"IMPORTEX EC")</f>
        <v>IMPORTEX EC</v>
      </c>
      <c r="AV445" s="65" t="str">
        <f>IFERROR(__xludf.DUMMYFUNCTION("""COMPUTED_VALUE"""),"6546881544236")</f>
        <v>6546881544236</v>
      </c>
      <c r="AW445" s="65">
        <f>IFERROR(__xludf.DUMMYFUNCTION("""COMPUTED_VALUE"""),6420.0)</f>
        <v>6420</v>
      </c>
      <c r="AX445" s="65"/>
      <c r="AY445" s="65" t="str">
        <f>IFERROR(__xludf.DUMMYFUNCTION("""COMPUTED_VALUE"""),"02/03/2026")</f>
        <v>02/03/2026</v>
      </c>
      <c r="AZ445" s="65"/>
      <c r="BA445" s="65"/>
    </row>
    <row r="446">
      <c r="A446" s="65" t="str">
        <f>IFERROR(__xludf.DUMMYFUNCTION("""COMPUTED_VALUE"""),"27-03-2026")</f>
        <v>27-03-2026</v>
      </c>
      <c r="B446" s="65">
        <f>IFERROR(__xludf.DUMMYFUNCTION("""COMPUTED_VALUE"""),4650584.0)</f>
        <v>4650584</v>
      </c>
      <c r="C446" s="65" t="str">
        <f>IFERROR(__xludf.DUMMYFUNCTION("""COMPUTED_VALUE"""),"08:35")</f>
        <v>08:35</v>
      </c>
      <c r="D446" s="65" t="str">
        <f>IFERROR(__xludf.DUMMYFUNCTION("""COMPUTED_VALUE"""),"28-02-2026")</f>
        <v>28-02-2026</v>
      </c>
      <c r="E446" s="65" t="str">
        <f>IFERROR(__xludf.DUMMYFUNCTION("""COMPUTED_VALUE"""),"Santos Holguin")</f>
        <v>Santos Holguin</v>
      </c>
      <c r="F446" s="65" t="str">
        <f>IFERROR(__xludf.DUMMYFUNCTION("""COMPUTED_VALUE"""),"994363091")</f>
        <v>994363091</v>
      </c>
      <c r="G446" s="65" t="str">
        <f>IFERROR(__xludf.DUMMYFUNCTION("""COMPUTED_VALUE"""),"holguinsantana1958@gmail.com")</f>
        <v>holguinsantana1958@gmail.com</v>
      </c>
      <c r="H446" s="65"/>
      <c r="I446" s="65"/>
      <c r="J446" s="65"/>
      <c r="K446" s="65" t="str">
        <f>IFERROR(__xludf.DUMMYFUNCTION("""COMPUTED_VALUE"""),"PENDIENTE CONFIRMACION")</f>
        <v>PENDIENTE CONFIRMACION</v>
      </c>
      <c r="L446" s="65" t="str">
        <f>IFERROR(__xludf.DUMMYFUNCTION("""COMPUTED_VALUE"""),"CON RECAUDO")</f>
        <v>CON RECAUDO</v>
      </c>
      <c r="M446" s="65" t="str">
        <f>IFERROR(__xludf.DUMMYFUNCTION("""COMPUTED_VALUE"""),"MANABI")</f>
        <v>MANABI</v>
      </c>
      <c r="N446" s="65" t="str">
        <f>IFERROR(__xludf.DUMMYFUNCTION("""COMPUTED_VALUE"""),"PORTOVIEJO")</f>
        <v>PORTOVIEJO</v>
      </c>
      <c r="O446" s="65" t="str">
        <f>IFERROR(__xludf.DUMMYFUNCTION("""COMPUTED_VALUE"""),"Cdla california,avda del ejercito No tiene -")</f>
        <v>Cdla california,avda del ejercito No tiene -</v>
      </c>
      <c r="P446" s="65"/>
      <c r="Q446" s="65" t="str">
        <f>IFERROR(__xludf.DUMMYFUNCTION("""COMPUTED_VALUE"""),"GINTRACOM")</f>
        <v>GINTRACOM</v>
      </c>
      <c r="R446" s="65">
        <f>IFERROR(__xludf.DUMMYFUNCTION("""COMPUTED_VALUE"""),24.2)</f>
        <v>24.2</v>
      </c>
      <c r="S446" s="65"/>
      <c r="T446" s="65">
        <f>IFERROR(__xludf.DUMMYFUNCTION("""COMPUTED_VALUE"""),5.92)</f>
        <v>5.92</v>
      </c>
      <c r="U446" s="65">
        <f>IFERROR(__xludf.DUMMYFUNCTION("""COMPUTED_VALUE"""),0.0)</f>
        <v>0</v>
      </c>
      <c r="V446" s="65">
        <f>IFERROR(__xludf.DUMMYFUNCTION("""COMPUTED_VALUE"""),0.0)</f>
        <v>0</v>
      </c>
      <c r="W446" s="65">
        <f>IFERROR(__xludf.DUMMYFUNCTION("""COMPUTED_VALUE"""),0.0)</f>
        <v>0</v>
      </c>
      <c r="X446" s="65">
        <f>IFERROR(__xludf.DUMMYFUNCTION("""COMPUTED_VALUE"""),5.0)</f>
        <v>5</v>
      </c>
      <c r="Y446" s="65">
        <f>IFERROR(__xludf.DUMMYFUNCTION("""COMPUTED_VALUE"""),10.0)</f>
        <v>10</v>
      </c>
      <c r="Z446" s="65">
        <f>IFERROR(__xludf.DUMMYFUNCTION("""COMPUTED_VALUE"""),130492.0)</f>
        <v>130492</v>
      </c>
      <c r="AA446" s="65" t="str">
        <f>IFERROR(__xludf.DUMMYFUNCTION("""COMPUTED_VALUE"""),"IMX-00006")</f>
        <v>IMX-00006</v>
      </c>
      <c r="AB446" s="65"/>
      <c r="AC446" s="65" t="str">
        <f>IFERROR(__xludf.DUMMYFUNCTION("""COMPUTED_VALUE"""),"Receptor Bluetooth")</f>
        <v>Receptor Bluetooth</v>
      </c>
      <c r="AD446" s="65"/>
      <c r="AE446" s="65">
        <f>IFERROR(__xludf.DUMMYFUNCTION("""COMPUTED_VALUE"""),2.0)</f>
        <v>2</v>
      </c>
      <c r="AF446" s="65"/>
      <c r="AG446" s="65"/>
      <c r="AH446" s="65"/>
      <c r="AI446" s="65"/>
      <c r="AJ446" s="65"/>
      <c r="AK446" s="65"/>
      <c r="AL446" s="65"/>
      <c r="AM446" s="65"/>
      <c r="AN446" s="65"/>
      <c r="AO446" s="65"/>
      <c r="AP446" s="65"/>
      <c r="AQ446" s="65"/>
      <c r="AR446" s="65"/>
      <c r="AS446" s="65"/>
      <c r="AT446" s="65" t="str">
        <f>IFERROR(__xludf.DUMMYFUNCTION("""COMPUTED_VALUE"""),"SHOPIFY")</f>
        <v>SHOPIFY</v>
      </c>
      <c r="AU446" s="65" t="str">
        <f>IFERROR(__xludf.DUMMYFUNCTION("""COMPUTED_VALUE"""),"IMPORTEX EC")</f>
        <v>IMPORTEX EC</v>
      </c>
      <c r="AV446" s="65" t="str">
        <f>IFERROR(__xludf.DUMMYFUNCTION("""COMPUTED_VALUE"""),"6546807586860")</f>
        <v>6546807586860</v>
      </c>
      <c r="AW446" s="65">
        <f>IFERROR(__xludf.DUMMYFUNCTION("""COMPUTED_VALUE"""),6419.0)</f>
        <v>6419</v>
      </c>
      <c r="AX446" s="65"/>
      <c r="AY446" s="65"/>
      <c r="AZ446" s="65"/>
      <c r="BA446" s="65"/>
    </row>
    <row r="447">
      <c r="A447" s="65" t="str">
        <f>IFERROR(__xludf.DUMMYFUNCTION("""COMPUTED_VALUE"""),"27-03-2026")</f>
        <v>27-03-2026</v>
      </c>
      <c r="B447" s="65">
        <f>IFERROR(__xludf.DUMMYFUNCTION("""COMPUTED_VALUE"""),4650517.0)</f>
        <v>4650517</v>
      </c>
      <c r="C447" s="65" t="str">
        <f>IFERROR(__xludf.DUMMYFUNCTION("""COMPUTED_VALUE"""),"08:27")</f>
        <v>08:27</v>
      </c>
      <c r="D447" s="65" t="str">
        <f>IFERROR(__xludf.DUMMYFUNCTION("""COMPUTED_VALUE"""),"28-02-2026")</f>
        <v>28-02-2026</v>
      </c>
      <c r="E447" s="65" t="str">
        <f>IFERROR(__xludf.DUMMYFUNCTION("""COMPUTED_VALUE"""),"Narciso Valentín Asencio Torres")</f>
        <v>Narciso Valentín Asencio Torres</v>
      </c>
      <c r="F447" s="65" t="str">
        <f>IFERROR(__xludf.DUMMYFUNCTION("""COMPUTED_VALUE"""),"997700234")</f>
        <v>997700234</v>
      </c>
      <c r="G447" s="65" t="str">
        <f>IFERROR(__xludf.DUMMYFUNCTION("""COMPUTED_VALUE"""),"nacho.asencio@hoymail.com")</f>
        <v>nacho.asencio@hoymail.com</v>
      </c>
      <c r="H447" s="65"/>
      <c r="I447" s="65"/>
      <c r="J447" s="65"/>
      <c r="K447" s="65" t="str">
        <f>IFERROR(__xludf.DUMMYFUNCTION("""COMPUTED_VALUE"""),"CANCELADO")</f>
        <v>CANCELADO</v>
      </c>
      <c r="L447" s="65" t="str">
        <f>IFERROR(__xludf.DUMMYFUNCTION("""COMPUTED_VALUE"""),"CON RECAUDO")</f>
        <v>CON RECAUDO</v>
      </c>
      <c r="M447" s="65" t="str">
        <f>IFERROR(__xludf.DUMMYFUNCTION("""COMPUTED_VALUE"""),"GUAYAS")</f>
        <v>GUAYAS</v>
      </c>
      <c r="N447" s="65" t="str">
        <f>IFERROR(__xludf.DUMMYFUNCTION("""COMPUTED_VALUE"""),"NARANJAL")</f>
        <v>NARANJAL</v>
      </c>
      <c r="O447" s="65" t="str">
        <f>IFERROR(__xludf.DUMMYFUNCTION("""COMPUTED_VALUE"""),"Calle  Geronimo Gonzales Y 11 ava -")</f>
        <v>Calle  Geronimo Gonzales Y 11 ava -</v>
      </c>
      <c r="P447" s="65"/>
      <c r="Q447" s="65" t="str">
        <f>IFERROR(__xludf.DUMMYFUNCTION("""COMPUTED_VALUE"""),"GINTRACOM")</f>
        <v>GINTRACOM</v>
      </c>
      <c r="R447" s="65">
        <f>IFERROR(__xludf.DUMMYFUNCTION("""COMPUTED_VALUE"""),24.2)</f>
        <v>24.2</v>
      </c>
      <c r="S447" s="65"/>
      <c r="T447" s="65">
        <f>IFERROR(__xludf.DUMMYFUNCTION("""COMPUTED_VALUE"""),5.92)</f>
        <v>5.92</v>
      </c>
      <c r="U447" s="65">
        <f>IFERROR(__xludf.DUMMYFUNCTION("""COMPUTED_VALUE"""),0.0)</f>
        <v>0</v>
      </c>
      <c r="V447" s="65">
        <f>IFERROR(__xludf.DUMMYFUNCTION("""COMPUTED_VALUE"""),0.0)</f>
        <v>0</v>
      </c>
      <c r="W447" s="65">
        <f>IFERROR(__xludf.DUMMYFUNCTION("""COMPUTED_VALUE"""),0.0)</f>
        <v>0</v>
      </c>
      <c r="X447" s="65">
        <f>IFERROR(__xludf.DUMMYFUNCTION("""COMPUTED_VALUE"""),5.0)</f>
        <v>5</v>
      </c>
      <c r="Y447" s="65">
        <f>IFERROR(__xludf.DUMMYFUNCTION("""COMPUTED_VALUE"""),10.0)</f>
        <v>10</v>
      </c>
      <c r="Z447" s="65">
        <f>IFERROR(__xludf.DUMMYFUNCTION("""COMPUTED_VALUE"""),130492.0)</f>
        <v>130492</v>
      </c>
      <c r="AA447" s="65" t="str">
        <f>IFERROR(__xludf.DUMMYFUNCTION("""COMPUTED_VALUE"""),"IMX-00006")</f>
        <v>IMX-00006</v>
      </c>
      <c r="AB447" s="65"/>
      <c r="AC447" s="65" t="str">
        <f>IFERROR(__xludf.DUMMYFUNCTION("""COMPUTED_VALUE"""),"Receptor Bluetooth")</f>
        <v>Receptor Bluetooth</v>
      </c>
      <c r="AD447" s="65"/>
      <c r="AE447" s="65">
        <f>IFERROR(__xludf.DUMMYFUNCTION("""COMPUTED_VALUE"""),2.0)</f>
        <v>2</v>
      </c>
      <c r="AF447" s="65"/>
      <c r="AG447" s="65"/>
      <c r="AH447" s="65"/>
      <c r="AI447" s="65"/>
      <c r="AJ447" s="65"/>
      <c r="AK447" s="65"/>
      <c r="AL447" s="65"/>
      <c r="AM447" s="65"/>
      <c r="AN447" s="65"/>
      <c r="AO447" s="65"/>
      <c r="AP447" s="65"/>
      <c r="AQ447" s="65"/>
      <c r="AR447" s="65"/>
      <c r="AS447" s="65"/>
      <c r="AT447" s="65" t="str">
        <f>IFERROR(__xludf.DUMMYFUNCTION("""COMPUTED_VALUE"""),"SHOPIFY")</f>
        <v>SHOPIFY</v>
      </c>
      <c r="AU447" s="65" t="str">
        <f>IFERROR(__xludf.DUMMYFUNCTION("""COMPUTED_VALUE"""),"IMPORTEX EC")</f>
        <v>IMPORTEX EC</v>
      </c>
      <c r="AV447" s="65" t="str">
        <f>IFERROR(__xludf.DUMMYFUNCTION("""COMPUTED_VALUE"""),"6546797461548")</f>
        <v>6546797461548</v>
      </c>
      <c r="AW447" s="65">
        <f>IFERROR(__xludf.DUMMYFUNCTION("""COMPUTED_VALUE"""),6418.0)</f>
        <v>6418</v>
      </c>
      <c r="AX447" s="65"/>
      <c r="AY447" s="65"/>
      <c r="AZ447" s="65"/>
      <c r="BA447" s="65"/>
    </row>
    <row r="448">
      <c r="A448" s="65" t="str">
        <f>IFERROR(__xludf.DUMMYFUNCTION("""COMPUTED_VALUE"""),"27-03-2026")</f>
        <v>27-03-2026</v>
      </c>
      <c r="B448" s="65">
        <f>IFERROR(__xludf.DUMMYFUNCTION("""COMPUTED_VALUE"""),4650503.0)</f>
        <v>4650503</v>
      </c>
      <c r="C448" s="65" t="str">
        <f>IFERROR(__xludf.DUMMYFUNCTION("""COMPUTED_VALUE"""),"08:25")</f>
        <v>08:25</v>
      </c>
      <c r="D448" s="65" t="str">
        <f>IFERROR(__xludf.DUMMYFUNCTION("""COMPUTED_VALUE"""),"28-02-2026")</f>
        <v>28-02-2026</v>
      </c>
      <c r="E448" s="65" t="str">
        <f>IFERROR(__xludf.DUMMYFUNCTION("""COMPUTED_VALUE"""),"Jhon Elizalde")</f>
        <v>Jhon Elizalde</v>
      </c>
      <c r="F448" s="65" t="str">
        <f>IFERROR(__xludf.DUMMYFUNCTION("""COMPUTED_VALUE"""),"986317045")</f>
        <v>986317045</v>
      </c>
      <c r="G448" s="65" t="str">
        <f>IFERROR(__xludf.DUMMYFUNCTION("""COMPUTED_VALUE"""),"jhonstalinelizalde88@gmail.com")</f>
        <v>jhonstalinelizalde88@gmail.com</v>
      </c>
      <c r="H448" s="65"/>
      <c r="I448" s="65"/>
      <c r="J448" s="65"/>
      <c r="K448" s="65" t="str">
        <f>IFERROR(__xludf.DUMMYFUNCTION("""COMPUTED_VALUE"""),"PENDIENTE CONFIRMACION")</f>
        <v>PENDIENTE CONFIRMACION</v>
      </c>
      <c r="L448" s="65" t="str">
        <f>IFERROR(__xludf.DUMMYFUNCTION("""COMPUTED_VALUE"""),"CON RECAUDO")</f>
        <v>CON RECAUDO</v>
      </c>
      <c r="M448" s="65" t="str">
        <f>IFERROR(__xludf.DUMMYFUNCTION("""COMPUTED_VALUE"""),"AZUAY")</f>
        <v>AZUAY</v>
      </c>
      <c r="N448" s="65" t="str">
        <f>IFERROR(__xludf.DUMMYFUNCTION("""COMPUTED_VALUE"""),"CUENCA")</f>
        <v>CUENCA</v>
      </c>
      <c r="O448" s="65" t="str">
        <f>IFERROR(__xludf.DUMMYFUNCTION("""COMPUTED_VALUE"""),"Juan Pablo Orellana A lado de las canchas don gillo -")</f>
        <v>Juan Pablo Orellana A lado de las canchas don gillo -</v>
      </c>
      <c r="P448" s="65"/>
      <c r="Q448" s="65" t="str">
        <f>IFERROR(__xludf.DUMMYFUNCTION("""COMPUTED_VALUE"""),"GINTRACOM")</f>
        <v>GINTRACOM</v>
      </c>
      <c r="R448" s="65">
        <f>IFERROR(__xludf.DUMMYFUNCTION("""COMPUTED_VALUE"""),22.0)</f>
        <v>22</v>
      </c>
      <c r="S448" s="65"/>
      <c r="T448" s="65">
        <f>IFERROR(__xludf.DUMMYFUNCTION("""COMPUTED_VALUE"""),5.84)</f>
        <v>5.84</v>
      </c>
      <c r="U448" s="65">
        <f>IFERROR(__xludf.DUMMYFUNCTION("""COMPUTED_VALUE"""),0.0)</f>
        <v>0</v>
      </c>
      <c r="V448" s="65">
        <f>IFERROR(__xludf.DUMMYFUNCTION("""COMPUTED_VALUE"""),0.0)</f>
        <v>0</v>
      </c>
      <c r="W448" s="65">
        <f>IFERROR(__xludf.DUMMYFUNCTION("""COMPUTED_VALUE"""),0.0)</f>
        <v>0</v>
      </c>
      <c r="X448" s="65">
        <f>IFERROR(__xludf.DUMMYFUNCTION("""COMPUTED_VALUE"""),3.75)</f>
        <v>3.75</v>
      </c>
      <c r="Y448" s="65">
        <f>IFERROR(__xludf.DUMMYFUNCTION("""COMPUTED_VALUE"""),7.5)</f>
        <v>7.5</v>
      </c>
      <c r="Z448" s="65">
        <f>IFERROR(__xludf.DUMMYFUNCTION("""COMPUTED_VALUE"""),113116.0)</f>
        <v>113116</v>
      </c>
      <c r="AA448" s="65" t="str">
        <f>IFERROR(__xludf.DUMMYFUNCTION("""COMPUTED_VALUE"""),"IM-TAZAKI")</f>
        <v>IM-TAZAKI</v>
      </c>
      <c r="AB448" s="65"/>
      <c r="AC448" s="65" t="str">
        <f>IFERROR(__xludf.DUMMYFUNCTION("""COMPUTED_VALUE"""),"Cuchillo tazaki")</f>
        <v>Cuchillo tazaki</v>
      </c>
      <c r="AD448" s="65"/>
      <c r="AE448" s="65">
        <f>IFERROR(__xludf.DUMMYFUNCTION("""COMPUTED_VALUE"""),2.0)</f>
        <v>2</v>
      </c>
      <c r="AF448" s="65"/>
      <c r="AG448" s="65"/>
      <c r="AH448" s="65"/>
      <c r="AI448" s="65"/>
      <c r="AJ448" s="65"/>
      <c r="AK448" s="65"/>
      <c r="AL448" s="65"/>
      <c r="AM448" s="65"/>
      <c r="AN448" s="65"/>
      <c r="AO448" s="65"/>
      <c r="AP448" s="65"/>
      <c r="AQ448" s="65"/>
      <c r="AR448" s="65"/>
      <c r="AS448" s="65"/>
      <c r="AT448" s="65" t="str">
        <f>IFERROR(__xludf.DUMMYFUNCTION("""COMPUTED_VALUE"""),"SHOPIFY")</f>
        <v>SHOPIFY</v>
      </c>
      <c r="AU448" s="65" t="str">
        <f>IFERROR(__xludf.DUMMYFUNCTION("""COMPUTED_VALUE"""),"IMPORTEX EC")</f>
        <v>IMPORTEX EC</v>
      </c>
      <c r="AV448" s="65" t="str">
        <f>IFERROR(__xludf.DUMMYFUNCTION("""COMPUTED_VALUE"""),"6546794512428")</f>
        <v>6546794512428</v>
      </c>
      <c r="AW448" s="65">
        <f>IFERROR(__xludf.DUMMYFUNCTION("""COMPUTED_VALUE"""),6417.0)</f>
        <v>6417</v>
      </c>
      <c r="AX448" s="65"/>
      <c r="AY448" s="65"/>
      <c r="AZ448" s="65"/>
      <c r="BA448" s="65"/>
    </row>
    <row r="449">
      <c r="A449" s="65" t="str">
        <f>IFERROR(__xludf.DUMMYFUNCTION("""COMPUTED_VALUE"""),"27-03-2026")</f>
        <v>27-03-2026</v>
      </c>
      <c r="B449" s="65">
        <f>IFERROR(__xludf.DUMMYFUNCTION("""COMPUTED_VALUE"""),4650259.0)</f>
        <v>4650259</v>
      </c>
      <c r="C449" s="65" t="str">
        <f>IFERROR(__xludf.DUMMYFUNCTION("""COMPUTED_VALUE"""),"07:58")</f>
        <v>07:58</v>
      </c>
      <c r="D449" s="65" t="str">
        <f>IFERROR(__xludf.DUMMYFUNCTION("""COMPUTED_VALUE"""),"28-02-2026")</f>
        <v>28-02-2026</v>
      </c>
      <c r="E449" s="65" t="str">
        <f>IFERROR(__xludf.DUMMYFUNCTION("""COMPUTED_VALUE"""),"Marcelo Carrasco")</f>
        <v>Marcelo Carrasco</v>
      </c>
      <c r="F449" s="65" t="str">
        <f>IFERROR(__xludf.DUMMYFUNCTION("""COMPUTED_VALUE"""),"992442884")</f>
        <v>992442884</v>
      </c>
      <c r="G449" s="65" t="str">
        <f>IFERROR(__xludf.DUMMYFUNCTION("""COMPUTED_VALUE"""),"mcarras82@gmail.com")</f>
        <v>mcarras82@gmail.com</v>
      </c>
      <c r="H449" s="65"/>
      <c r="I449" s="65"/>
      <c r="J449" s="65" t="str">
        <f>IFERROR(__xludf.DUMMYFUNCTION("""COMPUTED_VALUE"""),"D001376734")</f>
        <v>D001376734</v>
      </c>
      <c r="K449" s="65" t="str">
        <f>IFERROR(__xludf.DUMMYFUNCTION("""COMPUTED_VALUE"""),"ENTREGADO")</f>
        <v>ENTREGADO</v>
      </c>
      <c r="L449" s="65" t="str">
        <f>IFERROR(__xludf.DUMMYFUNCTION("""COMPUTED_VALUE"""),"CON RECAUDO")</f>
        <v>CON RECAUDO</v>
      </c>
      <c r="M449" s="65" t="str">
        <f>IFERROR(__xludf.DUMMYFUNCTION("""COMPUTED_VALUE"""),"PICHINCHA")</f>
        <v>PICHINCHA</v>
      </c>
      <c r="N449" s="65" t="str">
        <f>IFERROR(__xludf.DUMMYFUNCTION("""COMPUTED_VALUE"""),"SANGOLQUI")</f>
        <v>SANGOLQUI</v>
      </c>
      <c r="O449" s="65" t="str">
        <f>IFERROR(__xludf.DUMMYFUNCTION("""COMPUTED_VALUE"""),"Urb san Ignacio de Cashapamba Del cóndor y sigueñas El colibrí Sangolqui - Casa 6")</f>
        <v>Urb san Ignacio de Cashapamba Del cóndor y sigueñas El colibrí Sangolqui - Casa 6</v>
      </c>
      <c r="P449" s="65"/>
      <c r="Q449" s="65" t="str">
        <f>IFERROR(__xludf.DUMMYFUNCTION("""COMPUTED_VALUE"""),"GINTRACOM")</f>
        <v>GINTRACOM</v>
      </c>
      <c r="R449" s="65">
        <f>IFERROR(__xludf.DUMMYFUNCTION("""COMPUTED_VALUE"""),27.0)</f>
        <v>27</v>
      </c>
      <c r="S449" s="65">
        <f>IFERROR(__xludf.DUMMYFUNCTION("""COMPUTED_VALUE"""),10.76)</f>
        <v>10.76</v>
      </c>
      <c r="T449" s="65">
        <f>IFERROR(__xludf.DUMMYFUNCTION("""COMPUTED_VALUE"""),4.99)</f>
        <v>4.99</v>
      </c>
      <c r="U449" s="65">
        <f>IFERROR(__xludf.DUMMYFUNCTION("""COMPUTED_VALUE"""),0.0)</f>
        <v>0</v>
      </c>
      <c r="V449" s="65">
        <f>IFERROR(__xludf.DUMMYFUNCTION("""COMPUTED_VALUE"""),0.0)</f>
        <v>0</v>
      </c>
      <c r="W449" s="65">
        <f>IFERROR(__xludf.DUMMYFUNCTION("""COMPUTED_VALUE"""),0.0)</f>
        <v>0</v>
      </c>
      <c r="X449" s="65">
        <f>IFERROR(__xludf.DUMMYFUNCTION("""COMPUTED_VALUE"""),3.75)</f>
        <v>3.75</v>
      </c>
      <c r="Y449" s="65">
        <f>IFERROR(__xludf.DUMMYFUNCTION("""COMPUTED_VALUE"""),11.25)</f>
        <v>11.25</v>
      </c>
      <c r="Z449" s="65">
        <f>IFERROR(__xludf.DUMMYFUNCTION("""COMPUTED_VALUE"""),113116.0)</f>
        <v>113116</v>
      </c>
      <c r="AA449" s="65" t="str">
        <f>IFERROR(__xludf.DUMMYFUNCTION("""COMPUTED_VALUE"""),"IM-TAZAKI")</f>
        <v>IM-TAZAKI</v>
      </c>
      <c r="AB449" s="65"/>
      <c r="AC449" s="65" t="str">
        <f>IFERROR(__xludf.DUMMYFUNCTION("""COMPUTED_VALUE"""),"Cuchillo tazaki")</f>
        <v>Cuchillo tazaki</v>
      </c>
      <c r="AD449" s="65"/>
      <c r="AE449" s="65">
        <f>IFERROR(__xludf.DUMMYFUNCTION("""COMPUTED_VALUE"""),3.0)</f>
        <v>3</v>
      </c>
      <c r="AF449" s="65"/>
      <c r="AG449" s="65"/>
      <c r="AH449" s="65"/>
      <c r="AI449" s="65"/>
      <c r="AJ449" s="65"/>
      <c r="AK449" s="65"/>
      <c r="AL449" s="65"/>
      <c r="AM449" s="65"/>
      <c r="AN449" s="65" t="str">
        <f>IFERROR(__xludf.DUMMYFUNCTION("""COMPUTED_VALUE"""),"08:44")</f>
        <v>08:44</v>
      </c>
      <c r="AO449" s="65" t="str">
        <f>IFERROR(__xludf.DUMMYFUNCTION("""COMPUTED_VALUE"""),"04-03-2026")</f>
        <v>04-03-2026</v>
      </c>
      <c r="AP449" s="65" t="str">
        <f>IFERROR(__xludf.DUMMYFUNCTION("""COMPUTED_VALUE"""),"EN REPARTO")</f>
        <v>EN REPARTO</v>
      </c>
      <c r="AQ449" s="65" t="str">
        <f>IFERROR(__xludf.DUMMYFUNCTION("""COMPUTED_VALUE"""),"EN REPARTO")</f>
        <v>EN REPARTO</v>
      </c>
      <c r="AR449" s="65"/>
      <c r="AS449" s="65"/>
      <c r="AT449" s="65" t="str">
        <f>IFERROR(__xludf.DUMMYFUNCTION("""COMPUTED_VALUE"""),"SHOPIFY")</f>
        <v>SHOPIFY</v>
      </c>
      <c r="AU449" s="65" t="str">
        <f>IFERROR(__xludf.DUMMYFUNCTION("""COMPUTED_VALUE"""),"IMPORTEX EC")</f>
        <v>IMPORTEX EC</v>
      </c>
      <c r="AV449" s="65" t="str">
        <f>IFERROR(__xludf.DUMMYFUNCTION("""COMPUTED_VALUE"""),"6546759647276")</f>
        <v>6546759647276</v>
      </c>
      <c r="AW449" s="65">
        <f>IFERROR(__xludf.DUMMYFUNCTION("""COMPUTED_VALUE"""),6416.0)</f>
        <v>6416</v>
      </c>
      <c r="AX449" s="65"/>
      <c r="AY449" s="65" t="str">
        <f>IFERROR(__xludf.DUMMYFUNCTION("""COMPUTED_VALUE"""),"03/03/2026")</f>
        <v>03/03/2026</v>
      </c>
      <c r="AZ449" s="65"/>
      <c r="BA449" s="65"/>
    </row>
    <row r="450">
      <c r="A450" s="65" t="str">
        <f>IFERROR(__xludf.DUMMYFUNCTION("""COMPUTED_VALUE"""),"27-03-2026")</f>
        <v>27-03-2026</v>
      </c>
      <c r="B450" s="65">
        <f>IFERROR(__xludf.DUMMYFUNCTION("""COMPUTED_VALUE"""),4650171.0)</f>
        <v>4650171</v>
      </c>
      <c r="C450" s="65" t="str">
        <f>IFERROR(__xludf.DUMMYFUNCTION("""COMPUTED_VALUE"""),"07:47")</f>
        <v>07:47</v>
      </c>
      <c r="D450" s="65" t="str">
        <f>IFERROR(__xludf.DUMMYFUNCTION("""COMPUTED_VALUE"""),"28-02-2026")</f>
        <v>28-02-2026</v>
      </c>
      <c r="E450" s="65" t="str">
        <f>IFERROR(__xludf.DUMMYFUNCTION("""COMPUTED_VALUE"""),"David Piedra")</f>
        <v>David Piedra</v>
      </c>
      <c r="F450" s="65" t="str">
        <f>IFERROR(__xludf.DUMMYFUNCTION("""COMPUTED_VALUE"""),"983307251")</f>
        <v>983307251</v>
      </c>
      <c r="G450" s="65" t="str">
        <f>IFERROR(__xludf.DUMMYFUNCTION("""COMPUTED_VALUE"""),"ferdav_83@hotmail.co")</f>
        <v>ferdav_83@hotmail.co</v>
      </c>
      <c r="H450" s="65"/>
      <c r="I450" s="65"/>
      <c r="J450" s="65"/>
      <c r="K450" s="65" t="str">
        <f>IFERROR(__xludf.DUMMYFUNCTION("""COMPUTED_VALUE"""),"PENDIENTE CONFIRMACION")</f>
        <v>PENDIENTE CONFIRMACION</v>
      </c>
      <c r="L450" s="65" t="str">
        <f>IFERROR(__xludf.DUMMYFUNCTION("""COMPUTED_VALUE"""),"CON RECAUDO")</f>
        <v>CON RECAUDO</v>
      </c>
      <c r="M450" s="65" t="str">
        <f>IFERROR(__xludf.DUMMYFUNCTION("""COMPUTED_VALUE"""),"PICHINCHA")</f>
        <v>PICHINCHA</v>
      </c>
      <c r="N450" s="65" t="str">
        <f>IFERROR(__xludf.DUMMYFUNCTION("""COMPUTED_VALUE"""),"QUITO")</f>
        <v>QUITO</v>
      </c>
      <c r="O450" s="65" t="str">
        <f>IFERROR(__xludf.DUMMYFUNCTION("""COMPUTED_VALUE"""),"Aurelio guerrero S34-122 Guajalo cdl plywood -")</f>
        <v>Aurelio guerrero S34-122 Guajalo cdl plywood -</v>
      </c>
      <c r="P450" s="65"/>
      <c r="Q450" s="65" t="str">
        <f>IFERROR(__xludf.DUMMYFUNCTION("""COMPUTED_VALUE"""),"GINTRACOM")</f>
        <v>GINTRACOM</v>
      </c>
      <c r="R450" s="65">
        <f>IFERROR(__xludf.DUMMYFUNCTION("""COMPUTED_VALUE"""),25.0)</f>
        <v>25</v>
      </c>
      <c r="S450" s="65"/>
      <c r="T450" s="65">
        <f>IFERROR(__xludf.DUMMYFUNCTION("""COMPUTED_VALUE"""),4.35)</f>
        <v>4.35</v>
      </c>
      <c r="U450" s="65">
        <f>IFERROR(__xludf.DUMMYFUNCTION("""COMPUTED_VALUE"""),0.0)</f>
        <v>0</v>
      </c>
      <c r="V450" s="65">
        <f>IFERROR(__xludf.DUMMYFUNCTION("""COMPUTED_VALUE"""),0.0)</f>
        <v>0</v>
      </c>
      <c r="W450" s="65">
        <f>IFERROR(__xludf.DUMMYFUNCTION("""COMPUTED_VALUE"""),0.0)</f>
        <v>0</v>
      </c>
      <c r="X450" s="65">
        <f>IFERROR(__xludf.DUMMYFUNCTION("""COMPUTED_VALUE"""),2.35)</f>
        <v>2.35</v>
      </c>
      <c r="Y450" s="65">
        <f>IFERROR(__xludf.DUMMYFUNCTION("""COMPUTED_VALUE"""),4.7)</f>
        <v>4.7</v>
      </c>
      <c r="Z450" s="65">
        <f>IFERROR(__xludf.DUMMYFUNCTION("""COMPUTED_VALUE"""),116679.0)</f>
        <v>116679</v>
      </c>
      <c r="AA450" s="65" t="str">
        <f>IFERROR(__xludf.DUMMYFUNCTION("""COMPUTED_VALUE"""),"AMC-2738")</f>
        <v>AMC-2738</v>
      </c>
      <c r="AB450" s="65"/>
      <c r="AC450" s="65" t="str">
        <f>IFERROR(__xludf.DUMMYFUNCTION("""COMPUTED_VALUE"""),"ESPONJA ANTILLUVIA DE PARABRISAS")</f>
        <v>ESPONJA ANTILLUVIA DE PARABRISAS</v>
      </c>
      <c r="AD450" s="65"/>
      <c r="AE450" s="65">
        <f>IFERROR(__xludf.DUMMYFUNCTION("""COMPUTED_VALUE"""),2.0)</f>
        <v>2</v>
      </c>
      <c r="AF450" s="65"/>
      <c r="AG450" s="65"/>
      <c r="AH450" s="65"/>
      <c r="AI450" s="65"/>
      <c r="AJ450" s="65"/>
      <c r="AK450" s="65"/>
      <c r="AL450" s="65"/>
      <c r="AM450" s="65"/>
      <c r="AN450" s="65"/>
      <c r="AO450" s="65"/>
      <c r="AP450" s="65"/>
      <c r="AQ450" s="65"/>
      <c r="AR450" s="65"/>
      <c r="AS450" s="65"/>
      <c r="AT450" s="65" t="str">
        <f>IFERROR(__xludf.DUMMYFUNCTION("""COMPUTED_VALUE"""),"SHOPIFY")</f>
        <v>SHOPIFY</v>
      </c>
      <c r="AU450" s="65" t="str">
        <f>IFERROR(__xludf.DUMMYFUNCTION("""COMPUTED_VALUE"""),"IMPORTEX EC")</f>
        <v>IMPORTEX EC</v>
      </c>
      <c r="AV450" s="65" t="str">
        <f>IFERROR(__xludf.DUMMYFUNCTION("""COMPUTED_VALUE"""),"6546748735532")</f>
        <v>6546748735532</v>
      </c>
      <c r="AW450" s="65">
        <f>IFERROR(__xludf.DUMMYFUNCTION("""COMPUTED_VALUE"""),6415.0)</f>
        <v>6415</v>
      </c>
      <c r="AX450" s="65"/>
      <c r="AY450" s="65"/>
      <c r="AZ450" s="65"/>
      <c r="BA450" s="65"/>
    </row>
    <row r="451">
      <c r="A451" s="65" t="str">
        <f>IFERROR(__xludf.DUMMYFUNCTION("""COMPUTED_VALUE"""),"27-03-2026")</f>
        <v>27-03-2026</v>
      </c>
      <c r="B451" s="65">
        <f>IFERROR(__xludf.DUMMYFUNCTION("""COMPUTED_VALUE"""),4649890.0)</f>
        <v>4649890</v>
      </c>
      <c r="C451" s="65" t="str">
        <f>IFERROR(__xludf.DUMMYFUNCTION("""COMPUTED_VALUE"""),"07:13")</f>
        <v>07:13</v>
      </c>
      <c r="D451" s="65" t="str">
        <f>IFERROR(__xludf.DUMMYFUNCTION("""COMPUTED_VALUE"""),"28-02-2026")</f>
        <v>28-02-2026</v>
      </c>
      <c r="E451" s="65" t="str">
        <f>IFERROR(__xludf.DUMMYFUNCTION("""COMPUTED_VALUE"""),"Bolivar Casares")</f>
        <v>Bolivar Casares</v>
      </c>
      <c r="F451" s="65" t="str">
        <f>IFERROR(__xludf.DUMMYFUNCTION("""COMPUTED_VALUE"""),"999216949")</f>
        <v>999216949</v>
      </c>
      <c r="G451" s="65" t="str">
        <f>IFERROR(__xludf.DUMMYFUNCTION("""COMPUTED_VALUE"""),"bdcasares@outlook.com")</f>
        <v>bdcasares@outlook.com</v>
      </c>
      <c r="H451" s="65"/>
      <c r="I451" s="65"/>
      <c r="J451" s="65" t="str">
        <f>IFERROR(__xludf.DUMMYFUNCTION("""COMPUTED_VALUE"""),"D001373771")</f>
        <v>D001373771</v>
      </c>
      <c r="K451" s="65" t="str">
        <f>IFERROR(__xludf.DUMMYFUNCTION("""COMPUTED_VALUE"""),"ENTREGADO")</f>
        <v>ENTREGADO</v>
      </c>
      <c r="L451" s="65" t="str">
        <f>IFERROR(__xludf.DUMMYFUNCTION("""COMPUTED_VALUE"""),"CON RECAUDO")</f>
        <v>CON RECAUDO</v>
      </c>
      <c r="M451" s="65" t="str">
        <f>IFERROR(__xludf.DUMMYFUNCTION("""COMPUTED_VALUE"""),"PICHINCHA")</f>
        <v>PICHINCHA</v>
      </c>
      <c r="N451" s="65" t="str">
        <f>IFERROR(__xludf.DUMMYFUNCTION("""COMPUTED_VALUE"""),"QUITO")</f>
        <v>QUITO</v>
      </c>
      <c r="O451" s="65" t="str">
        <f>IFERROR(__xludf.DUMMYFUNCTION("""COMPUTED_VALUE"""),"19 de diciembre s2-360 y Miguel Carpanta junto a asados al paso, nayon - quito")</f>
        <v>19 de diciembre s2-360 y Miguel Carpanta junto a asados al paso, nayon - quito</v>
      </c>
      <c r="P451" s="65"/>
      <c r="Q451" s="65" t="str">
        <f>IFERROR(__xludf.DUMMYFUNCTION("""COMPUTED_VALUE"""),"GINTRACOM")</f>
        <v>GINTRACOM</v>
      </c>
      <c r="R451" s="65">
        <f>IFERROR(__xludf.DUMMYFUNCTION("""COMPUTED_VALUE"""),30.0)</f>
        <v>30</v>
      </c>
      <c r="S451" s="65">
        <f>IFERROR(__xludf.DUMMYFUNCTION("""COMPUTED_VALUE"""),18.4)</f>
        <v>18.4</v>
      </c>
      <c r="T451" s="65">
        <f>IFERROR(__xludf.DUMMYFUNCTION("""COMPUTED_VALUE"""),4.55)</f>
        <v>4.55</v>
      </c>
      <c r="U451" s="65">
        <f>IFERROR(__xludf.DUMMYFUNCTION("""COMPUTED_VALUE"""),0.0)</f>
        <v>0</v>
      </c>
      <c r="V451" s="65">
        <f>IFERROR(__xludf.DUMMYFUNCTION("""COMPUTED_VALUE"""),0.0)</f>
        <v>0</v>
      </c>
      <c r="W451" s="65">
        <f>IFERROR(__xludf.DUMMYFUNCTION("""COMPUTED_VALUE"""),0.0)</f>
        <v>0</v>
      </c>
      <c r="X451" s="65">
        <f>IFERROR(__xludf.DUMMYFUNCTION("""COMPUTED_VALUE"""),2.35)</f>
        <v>2.35</v>
      </c>
      <c r="Y451" s="65">
        <f>IFERROR(__xludf.DUMMYFUNCTION("""COMPUTED_VALUE"""),7.05)</f>
        <v>7.05</v>
      </c>
      <c r="Z451" s="65">
        <f>IFERROR(__xludf.DUMMYFUNCTION("""COMPUTED_VALUE"""),116679.0)</f>
        <v>116679</v>
      </c>
      <c r="AA451" s="65" t="str">
        <f>IFERROR(__xludf.DUMMYFUNCTION("""COMPUTED_VALUE"""),"AMC-2738")</f>
        <v>AMC-2738</v>
      </c>
      <c r="AB451" s="65"/>
      <c r="AC451" s="65" t="str">
        <f>IFERROR(__xludf.DUMMYFUNCTION("""COMPUTED_VALUE"""),"ESPONJA ANTILLUVIA DE PARABRISAS")</f>
        <v>ESPONJA ANTILLUVIA DE PARABRISAS</v>
      </c>
      <c r="AD451" s="65"/>
      <c r="AE451" s="65">
        <f>IFERROR(__xludf.DUMMYFUNCTION("""COMPUTED_VALUE"""),3.0)</f>
        <v>3</v>
      </c>
      <c r="AF451" s="65"/>
      <c r="AG451" s="65"/>
      <c r="AH451" s="65"/>
      <c r="AI451" s="65"/>
      <c r="AJ451" s="65"/>
      <c r="AK451" s="65"/>
      <c r="AL451" s="65"/>
      <c r="AM451" s="65"/>
      <c r="AN451" s="65" t="str">
        <f>IFERROR(__xludf.DUMMYFUNCTION("""COMPUTED_VALUE"""),"10:04")</f>
        <v>10:04</v>
      </c>
      <c r="AO451" s="65" t="str">
        <f>IFERROR(__xludf.DUMMYFUNCTION("""COMPUTED_VALUE"""),"03-03-2026")</f>
        <v>03-03-2026</v>
      </c>
      <c r="AP451" s="65" t="str">
        <f>IFERROR(__xludf.DUMMYFUNCTION("""COMPUTED_VALUE"""),"ENTREGADA GINTRACOM")</f>
        <v>ENTREGADA GINTRACOM</v>
      </c>
      <c r="AQ451" s="65" t="str">
        <f>IFERROR(__xludf.DUMMYFUNCTION("""COMPUTED_VALUE"""),"ENTREGADA GINTRACOM")</f>
        <v>ENTREGADA GINTRACOM</v>
      </c>
      <c r="AR451" s="65"/>
      <c r="AS451" s="65"/>
      <c r="AT451" s="65" t="str">
        <f>IFERROR(__xludf.DUMMYFUNCTION("""COMPUTED_VALUE"""),"SHOPIFY")</f>
        <v>SHOPIFY</v>
      </c>
      <c r="AU451" s="65" t="str">
        <f>IFERROR(__xludf.DUMMYFUNCTION("""COMPUTED_VALUE"""),"IMPORTEX EC")</f>
        <v>IMPORTEX EC</v>
      </c>
      <c r="AV451" s="65" t="str">
        <f>IFERROR(__xludf.DUMMYFUNCTION("""COMPUTED_VALUE"""),"6546719408172")</f>
        <v>6546719408172</v>
      </c>
      <c r="AW451" s="65">
        <f>IFERROR(__xludf.DUMMYFUNCTION("""COMPUTED_VALUE"""),6414.0)</f>
        <v>6414</v>
      </c>
      <c r="AX451" s="65"/>
      <c r="AY451" s="65" t="str">
        <f>IFERROR(__xludf.DUMMYFUNCTION("""COMPUTED_VALUE"""),"02/03/2026")</f>
        <v>02/03/2026</v>
      </c>
      <c r="AZ451" s="65"/>
      <c r="BA451" s="65"/>
    </row>
    <row r="452">
      <c r="A452" s="65" t="str">
        <f>IFERROR(__xludf.DUMMYFUNCTION("""COMPUTED_VALUE"""),"27-03-2026")</f>
        <v>27-03-2026</v>
      </c>
      <c r="B452" s="65">
        <f>IFERROR(__xludf.DUMMYFUNCTION("""COMPUTED_VALUE"""),4649660.0)</f>
        <v>4649660</v>
      </c>
      <c r="C452" s="65" t="str">
        <f>IFERROR(__xludf.DUMMYFUNCTION("""COMPUTED_VALUE"""),"06:35")</f>
        <v>06:35</v>
      </c>
      <c r="D452" s="65" t="str">
        <f>IFERROR(__xludf.DUMMYFUNCTION("""COMPUTED_VALUE"""),"28-02-2026")</f>
        <v>28-02-2026</v>
      </c>
      <c r="E452" s="65" t="str">
        <f>IFERROR(__xludf.DUMMYFUNCTION("""COMPUTED_VALUE"""),"Marlon Zambrano")</f>
        <v>Marlon Zambrano</v>
      </c>
      <c r="F452" s="65" t="str">
        <f>IFERROR(__xludf.DUMMYFUNCTION("""COMPUTED_VALUE"""),"989203991")</f>
        <v>989203991</v>
      </c>
      <c r="G452" s="65" t="str">
        <f>IFERROR(__xludf.DUMMYFUNCTION("""COMPUTED_VALUE"""),"migemazambrano@gmail.com")</f>
        <v>migemazambrano@gmail.com</v>
      </c>
      <c r="H452" s="65"/>
      <c r="I452" s="65"/>
      <c r="J452" s="65" t="str">
        <f>IFERROR(__xludf.DUMMYFUNCTION("""COMPUTED_VALUE"""),"D001373773")</f>
        <v>D001373773</v>
      </c>
      <c r="K452" s="65" t="str">
        <f>IFERROR(__xludf.DUMMYFUNCTION("""COMPUTED_VALUE"""),"ENTREGADO")</f>
        <v>ENTREGADO</v>
      </c>
      <c r="L452" s="65" t="str">
        <f>IFERROR(__xludf.DUMMYFUNCTION("""COMPUTED_VALUE"""),"CON RECAUDO")</f>
        <v>CON RECAUDO</v>
      </c>
      <c r="M452" s="65" t="str">
        <f>IFERROR(__xludf.DUMMYFUNCTION("""COMPUTED_VALUE"""),"LOS RIOS")</f>
        <v>LOS RIOS</v>
      </c>
      <c r="N452" s="65" t="str">
        <f>IFERROR(__xludf.DUMMYFUNCTION("""COMPUTED_VALUE"""),"QUEVEDO")</f>
        <v>QUEVEDO</v>
      </c>
      <c r="O452" s="65" t="str">
        <f>IFERROR(__xludf.DUMMYFUNCTION("""COMPUTED_VALUE"""),"Parroquia 7 de octubre Calle F entre 6ta y 7ma casa 609")</f>
        <v>Parroquia 7 de octubre Calle F entre 6ta y 7ma casa 609</v>
      </c>
      <c r="P452" s="65"/>
      <c r="Q452" s="65" t="str">
        <f>IFERROR(__xludf.DUMMYFUNCTION("""COMPUTED_VALUE"""),"GINTRACOM")</f>
        <v>GINTRACOM</v>
      </c>
      <c r="R452" s="65">
        <f>IFERROR(__xludf.DUMMYFUNCTION("""COMPUTED_VALUE"""),25.0)</f>
        <v>25</v>
      </c>
      <c r="S452" s="65">
        <f>IFERROR(__xludf.DUMMYFUNCTION("""COMPUTED_VALUE"""),14.34)</f>
        <v>14.34</v>
      </c>
      <c r="T452" s="65">
        <f>IFERROR(__xludf.DUMMYFUNCTION("""COMPUTED_VALUE"""),5.96)</f>
        <v>5.96</v>
      </c>
      <c r="U452" s="65">
        <f>IFERROR(__xludf.DUMMYFUNCTION("""COMPUTED_VALUE"""),0.0)</f>
        <v>0</v>
      </c>
      <c r="V452" s="65">
        <f>IFERROR(__xludf.DUMMYFUNCTION("""COMPUTED_VALUE"""),0.0)</f>
        <v>0</v>
      </c>
      <c r="W452" s="65">
        <f>IFERROR(__xludf.DUMMYFUNCTION("""COMPUTED_VALUE"""),0.0)</f>
        <v>0</v>
      </c>
      <c r="X452" s="65">
        <f>IFERROR(__xludf.DUMMYFUNCTION("""COMPUTED_VALUE"""),2.35)</f>
        <v>2.35</v>
      </c>
      <c r="Y452" s="65">
        <f>IFERROR(__xludf.DUMMYFUNCTION("""COMPUTED_VALUE"""),4.7)</f>
        <v>4.7</v>
      </c>
      <c r="Z452" s="65">
        <f>IFERROR(__xludf.DUMMYFUNCTION("""COMPUTED_VALUE"""),116679.0)</f>
        <v>116679</v>
      </c>
      <c r="AA452" s="65" t="str">
        <f>IFERROR(__xludf.DUMMYFUNCTION("""COMPUTED_VALUE"""),"AMC-2738")</f>
        <v>AMC-2738</v>
      </c>
      <c r="AB452" s="65"/>
      <c r="AC452" s="65" t="str">
        <f>IFERROR(__xludf.DUMMYFUNCTION("""COMPUTED_VALUE"""),"ESPONJA ANTILLUVIA DE PARABRISAS")</f>
        <v>ESPONJA ANTILLUVIA DE PARABRISAS</v>
      </c>
      <c r="AD452" s="65"/>
      <c r="AE452" s="65">
        <f>IFERROR(__xludf.DUMMYFUNCTION("""COMPUTED_VALUE"""),2.0)</f>
        <v>2</v>
      </c>
      <c r="AF452" s="65"/>
      <c r="AG452" s="65"/>
      <c r="AH452" s="65"/>
      <c r="AI452" s="65"/>
      <c r="AJ452" s="65"/>
      <c r="AK452" s="65"/>
      <c r="AL452" s="65"/>
      <c r="AM452" s="65"/>
      <c r="AN452" s="65" t="str">
        <f>IFERROR(__xludf.DUMMYFUNCTION("""COMPUTED_VALUE"""),"15:55")</f>
        <v>15:55</v>
      </c>
      <c r="AO452" s="65" t="str">
        <f>IFERROR(__xludf.DUMMYFUNCTION("""COMPUTED_VALUE"""),"04-03-2026")</f>
        <v>04-03-2026</v>
      </c>
      <c r="AP452" s="65" t="str">
        <f>IFERROR(__xludf.DUMMYFUNCTION("""COMPUTED_VALUE"""),"ENTREGADA GINTRACOM")</f>
        <v>ENTREGADA GINTRACOM</v>
      </c>
      <c r="AQ452" s="65" t="str">
        <f>IFERROR(__xludf.DUMMYFUNCTION("""COMPUTED_VALUE"""),"ENTREGADA GINTRACOM")</f>
        <v>ENTREGADA GINTRACOM</v>
      </c>
      <c r="AR452" s="65"/>
      <c r="AS452" s="65"/>
      <c r="AT452" s="65" t="str">
        <f>IFERROR(__xludf.DUMMYFUNCTION("""COMPUTED_VALUE"""),"SHOPIFY")</f>
        <v>SHOPIFY</v>
      </c>
      <c r="AU452" s="65" t="str">
        <f>IFERROR(__xludf.DUMMYFUNCTION("""COMPUTED_VALUE"""),"IMPORTEX EC")</f>
        <v>IMPORTEX EC</v>
      </c>
      <c r="AV452" s="65" t="str">
        <f>IFERROR(__xludf.DUMMYFUNCTION("""COMPUTED_VALUE"""),"6546688278572")</f>
        <v>6546688278572</v>
      </c>
      <c r="AW452" s="65">
        <f>IFERROR(__xludf.DUMMYFUNCTION("""COMPUTED_VALUE"""),6413.0)</f>
        <v>6413</v>
      </c>
      <c r="AX452" s="65"/>
      <c r="AY452" s="65" t="str">
        <f>IFERROR(__xludf.DUMMYFUNCTION("""COMPUTED_VALUE"""),"02/03/2026")</f>
        <v>02/03/2026</v>
      </c>
      <c r="AZ452" s="65"/>
      <c r="BA452" s="65"/>
    </row>
    <row r="453">
      <c r="A453" s="65" t="str">
        <f>IFERROR(__xludf.DUMMYFUNCTION("""COMPUTED_VALUE"""),"27-03-2026")</f>
        <v>27-03-2026</v>
      </c>
      <c r="B453" s="65">
        <f>IFERROR(__xludf.DUMMYFUNCTION("""COMPUTED_VALUE"""),4649365.0)</f>
        <v>4649365</v>
      </c>
      <c r="C453" s="65" t="str">
        <f>IFERROR(__xludf.DUMMYFUNCTION("""COMPUTED_VALUE"""),"04:34")</f>
        <v>04:34</v>
      </c>
      <c r="D453" s="65" t="str">
        <f>IFERROR(__xludf.DUMMYFUNCTION("""COMPUTED_VALUE"""),"28-02-2026")</f>
        <v>28-02-2026</v>
      </c>
      <c r="E453" s="65" t="str">
        <f>IFERROR(__xludf.DUMMYFUNCTION("""COMPUTED_VALUE"""),"Alejandro Jaramillo")</f>
        <v>Alejandro Jaramillo</v>
      </c>
      <c r="F453" s="65" t="str">
        <f>IFERROR(__xludf.DUMMYFUNCTION("""COMPUTED_VALUE"""),"993550354")</f>
        <v>993550354</v>
      </c>
      <c r="G453" s="65" t="str">
        <f>IFERROR(__xludf.DUMMYFUNCTION("""COMPUTED_VALUE"""),"leandrobegins@hotmail.com")</f>
        <v>leandrobegins@hotmail.com</v>
      </c>
      <c r="H453" s="65"/>
      <c r="I453" s="65"/>
      <c r="J453" s="65" t="str">
        <f>IFERROR(__xludf.DUMMYFUNCTION("""COMPUTED_VALUE"""),"D001376736")</f>
        <v>D001376736</v>
      </c>
      <c r="K453" s="65" t="str">
        <f>IFERROR(__xludf.DUMMYFUNCTION("""COMPUTED_VALUE"""),"ENTREGADO")</f>
        <v>ENTREGADO</v>
      </c>
      <c r="L453" s="65" t="str">
        <f>IFERROR(__xludf.DUMMYFUNCTION("""COMPUTED_VALUE"""),"CON RECAUDO")</f>
        <v>CON RECAUDO</v>
      </c>
      <c r="M453" s="65" t="str">
        <f>IFERROR(__xludf.DUMMYFUNCTION("""COMPUTED_VALUE"""),"PICHINCHA")</f>
        <v>PICHINCHA</v>
      </c>
      <c r="N453" s="65" t="str">
        <f>IFERROR(__xludf.DUMMYFUNCTION("""COMPUTED_VALUE"""),"QUITO")</f>
        <v>QUITO</v>
      </c>
      <c r="O453" s="65" t="str">
        <f>IFERROR(__xludf.DUMMYFUNCTION("""COMPUTED_VALUE"""),"Quitumbe, Av Cóndor Ñan Oe3-206 Y Rumichaca -")</f>
        <v>Quitumbe, Av Cóndor Ñan Oe3-206 Y Rumichaca -</v>
      </c>
      <c r="P453" s="65"/>
      <c r="Q453" s="65" t="str">
        <f>IFERROR(__xludf.DUMMYFUNCTION("""COMPUTED_VALUE"""),"GINTRACOM")</f>
        <v>GINTRACOM</v>
      </c>
      <c r="R453" s="65">
        <f>IFERROR(__xludf.DUMMYFUNCTION("""COMPUTED_VALUE"""),32.0)</f>
        <v>32</v>
      </c>
      <c r="S453" s="65">
        <f>IFERROR(__xludf.DUMMYFUNCTION("""COMPUTED_VALUE"""),12.37)</f>
        <v>12.37</v>
      </c>
      <c r="T453" s="65">
        <f>IFERROR(__xludf.DUMMYFUNCTION("""COMPUTED_VALUE"""),4.63)</f>
        <v>4.63</v>
      </c>
      <c r="U453" s="65">
        <f>IFERROR(__xludf.DUMMYFUNCTION("""COMPUTED_VALUE"""),0.0)</f>
        <v>0</v>
      </c>
      <c r="V453" s="65">
        <f>IFERROR(__xludf.DUMMYFUNCTION("""COMPUTED_VALUE"""),0.0)</f>
        <v>0</v>
      </c>
      <c r="W453" s="65">
        <f>IFERROR(__xludf.DUMMYFUNCTION("""COMPUTED_VALUE"""),0.0)</f>
        <v>0</v>
      </c>
      <c r="X453" s="65">
        <f>IFERROR(__xludf.DUMMYFUNCTION("""COMPUTED_VALUE"""),3.75)</f>
        <v>3.75</v>
      </c>
      <c r="Y453" s="65">
        <f>IFERROR(__xludf.DUMMYFUNCTION("""COMPUTED_VALUE"""),15.0)</f>
        <v>15</v>
      </c>
      <c r="Z453" s="65">
        <f>IFERROR(__xludf.DUMMYFUNCTION("""COMPUTED_VALUE"""),113116.0)</f>
        <v>113116</v>
      </c>
      <c r="AA453" s="65" t="str">
        <f>IFERROR(__xludf.DUMMYFUNCTION("""COMPUTED_VALUE"""),"IM-TAZAKI")</f>
        <v>IM-TAZAKI</v>
      </c>
      <c r="AB453" s="65"/>
      <c r="AC453" s="65" t="str">
        <f>IFERROR(__xludf.DUMMYFUNCTION("""COMPUTED_VALUE"""),"Cuchillo tazaki")</f>
        <v>Cuchillo tazaki</v>
      </c>
      <c r="AD453" s="65"/>
      <c r="AE453" s="65">
        <f>IFERROR(__xludf.DUMMYFUNCTION("""COMPUTED_VALUE"""),4.0)</f>
        <v>4</v>
      </c>
      <c r="AF453" s="65"/>
      <c r="AG453" s="65"/>
      <c r="AH453" s="65"/>
      <c r="AI453" s="65"/>
      <c r="AJ453" s="65"/>
      <c r="AK453" s="65"/>
      <c r="AL453" s="65"/>
      <c r="AM453" s="65"/>
      <c r="AN453" s="65" t="str">
        <f>IFERROR(__xludf.DUMMYFUNCTION("""COMPUTED_VALUE"""),"13:52")</f>
        <v>13:52</v>
      </c>
      <c r="AO453" s="65" t="str">
        <f>IFERROR(__xludf.DUMMYFUNCTION("""COMPUTED_VALUE"""),"04-03-2026")</f>
        <v>04-03-2026</v>
      </c>
      <c r="AP453" s="65" t="str">
        <f>IFERROR(__xludf.DUMMYFUNCTION("""COMPUTED_VALUE"""),"ENTREGADA GINTRACOM")</f>
        <v>ENTREGADA GINTRACOM</v>
      </c>
      <c r="AQ453" s="65" t="str">
        <f>IFERROR(__xludf.DUMMYFUNCTION("""COMPUTED_VALUE"""),"ENTREGADA GINTRACOM")</f>
        <v>ENTREGADA GINTRACOM</v>
      </c>
      <c r="AR453" s="65"/>
      <c r="AS453" s="65"/>
      <c r="AT453" s="65" t="str">
        <f>IFERROR(__xludf.DUMMYFUNCTION("""COMPUTED_VALUE"""),"SHOPIFY")</f>
        <v>SHOPIFY</v>
      </c>
      <c r="AU453" s="65" t="str">
        <f>IFERROR(__xludf.DUMMYFUNCTION("""COMPUTED_VALUE"""),"IMPORTEX EC")</f>
        <v>IMPORTEX EC</v>
      </c>
      <c r="AV453" s="65" t="str">
        <f>IFERROR(__xludf.DUMMYFUNCTION("""COMPUTED_VALUE"""),"6546540757036")</f>
        <v>6546540757036</v>
      </c>
      <c r="AW453" s="65">
        <f>IFERROR(__xludf.DUMMYFUNCTION("""COMPUTED_VALUE"""),6411.0)</f>
        <v>6411</v>
      </c>
      <c r="AX453" s="65"/>
      <c r="AY453" s="65" t="str">
        <f>IFERROR(__xludf.DUMMYFUNCTION("""COMPUTED_VALUE"""),"03/03/2026")</f>
        <v>03/03/2026</v>
      </c>
      <c r="AZ453" s="65"/>
      <c r="BA453" s="65"/>
    </row>
    <row r="454">
      <c r="A454" s="65" t="str">
        <f>IFERROR(__xludf.DUMMYFUNCTION("""COMPUTED_VALUE"""),"27-03-2026")</f>
        <v>27-03-2026</v>
      </c>
      <c r="B454" s="65">
        <f>IFERROR(__xludf.DUMMYFUNCTION("""COMPUTED_VALUE"""),4649235.0)</f>
        <v>4649235</v>
      </c>
      <c r="C454" s="65" t="str">
        <f>IFERROR(__xludf.DUMMYFUNCTION("""COMPUTED_VALUE"""),"02:09")</f>
        <v>02:09</v>
      </c>
      <c r="D454" s="65" t="str">
        <f>IFERROR(__xludf.DUMMYFUNCTION("""COMPUTED_VALUE"""),"28-02-2026")</f>
        <v>28-02-2026</v>
      </c>
      <c r="E454" s="65" t="str">
        <f>IFERROR(__xludf.DUMMYFUNCTION("""COMPUTED_VALUE"""),"Juan Juan Daniel chuquimarca")</f>
        <v>Juan Juan Daniel chuquimarca</v>
      </c>
      <c r="F454" s="65" t="str">
        <f>IFERROR(__xludf.DUMMYFUNCTION("""COMPUTED_VALUE"""),"969962854")</f>
        <v>969962854</v>
      </c>
      <c r="G454" s="65" t="str">
        <f>IFERROR(__xludf.DUMMYFUNCTION("""COMPUTED_VALUE"""),"chuquimarcadaniel2@gmail.com")</f>
        <v>chuquimarcadaniel2@gmail.com</v>
      </c>
      <c r="H454" s="65"/>
      <c r="I454" s="65"/>
      <c r="J454" s="65"/>
      <c r="K454" s="65" t="str">
        <f>IFERROR(__xludf.DUMMYFUNCTION("""COMPUTED_VALUE"""),"PENDIENTE CONFIRMACION")</f>
        <v>PENDIENTE CONFIRMACION</v>
      </c>
      <c r="L454" s="65" t="str">
        <f>IFERROR(__xludf.DUMMYFUNCTION("""COMPUTED_VALUE"""),"CON RECAUDO")</f>
        <v>CON RECAUDO</v>
      </c>
      <c r="M454" s="65" t="str">
        <f>IFERROR(__xludf.DUMMYFUNCTION("""COMPUTED_VALUE"""),"PICHINCHA")</f>
        <v>PICHINCHA</v>
      </c>
      <c r="N454" s="65" t="str">
        <f>IFERROR(__xludf.DUMMYFUNCTION("""COMPUTED_VALUE"""),"QUITO")</f>
        <v>QUITO</v>
      </c>
      <c r="O454" s="65" t="str">
        <f>IFERROR(__xludf.DUMMYFUNCTION("""COMPUTED_VALUE"""),"Juan de Larrea Tumbaco tola chica#3 -")</f>
        <v>Juan de Larrea Tumbaco tola chica#3 -</v>
      </c>
      <c r="P454" s="65"/>
      <c r="Q454" s="65" t="str">
        <f>IFERROR(__xludf.DUMMYFUNCTION("""COMPUTED_VALUE"""),"GINTRACOM")</f>
        <v>GINTRACOM</v>
      </c>
      <c r="R454" s="65">
        <f>IFERROR(__xludf.DUMMYFUNCTION("""COMPUTED_VALUE"""),20.0)</f>
        <v>20</v>
      </c>
      <c r="S454" s="65"/>
      <c r="T454" s="65">
        <f>IFERROR(__xludf.DUMMYFUNCTION("""COMPUTED_VALUE"""),4.15)</f>
        <v>4.15</v>
      </c>
      <c r="U454" s="65">
        <f>IFERROR(__xludf.DUMMYFUNCTION("""COMPUTED_VALUE"""),0.0)</f>
        <v>0</v>
      </c>
      <c r="V454" s="65">
        <f>IFERROR(__xludf.DUMMYFUNCTION("""COMPUTED_VALUE"""),0.0)</f>
        <v>0</v>
      </c>
      <c r="W454" s="65">
        <f>IFERROR(__xludf.DUMMYFUNCTION("""COMPUTED_VALUE"""),0.0)</f>
        <v>0</v>
      </c>
      <c r="X454" s="65">
        <f>IFERROR(__xludf.DUMMYFUNCTION("""COMPUTED_VALUE"""),2.35)</f>
        <v>2.35</v>
      </c>
      <c r="Y454" s="65">
        <f>IFERROR(__xludf.DUMMYFUNCTION("""COMPUTED_VALUE"""),2.35)</f>
        <v>2.35</v>
      </c>
      <c r="Z454" s="65">
        <f>IFERROR(__xludf.DUMMYFUNCTION("""COMPUTED_VALUE"""),116679.0)</f>
        <v>116679</v>
      </c>
      <c r="AA454" s="65" t="str">
        <f>IFERROR(__xludf.DUMMYFUNCTION("""COMPUTED_VALUE"""),"AMC-2738")</f>
        <v>AMC-2738</v>
      </c>
      <c r="AB454" s="65"/>
      <c r="AC454" s="65" t="str">
        <f>IFERROR(__xludf.DUMMYFUNCTION("""COMPUTED_VALUE"""),"ESPONJA ANTILLUVIA DE PARABRISAS")</f>
        <v>ESPONJA ANTILLUVIA DE PARABRISAS</v>
      </c>
      <c r="AD454" s="65"/>
      <c r="AE454" s="65">
        <f>IFERROR(__xludf.DUMMYFUNCTION("""COMPUTED_VALUE"""),1.0)</f>
        <v>1</v>
      </c>
      <c r="AF454" s="65"/>
      <c r="AG454" s="65"/>
      <c r="AH454" s="65"/>
      <c r="AI454" s="65"/>
      <c r="AJ454" s="65"/>
      <c r="AK454" s="65"/>
      <c r="AL454" s="65"/>
      <c r="AM454" s="65"/>
      <c r="AN454" s="65"/>
      <c r="AO454" s="65"/>
      <c r="AP454" s="65"/>
      <c r="AQ454" s="65"/>
      <c r="AR454" s="65"/>
      <c r="AS454" s="65"/>
      <c r="AT454" s="65" t="str">
        <f>IFERROR(__xludf.DUMMYFUNCTION("""COMPUTED_VALUE"""),"SHOPIFY")</f>
        <v>SHOPIFY</v>
      </c>
      <c r="AU454" s="65" t="str">
        <f>IFERROR(__xludf.DUMMYFUNCTION("""COMPUTED_VALUE"""),"IMPORTEX EC")</f>
        <v>IMPORTEX EC</v>
      </c>
      <c r="AV454" s="65" t="str">
        <f>IFERROR(__xludf.DUMMYFUNCTION("""COMPUTED_VALUE"""),"6546201968684")</f>
        <v>6546201968684</v>
      </c>
      <c r="AW454" s="65">
        <f>IFERROR(__xludf.DUMMYFUNCTION("""COMPUTED_VALUE"""),6410.0)</f>
        <v>6410</v>
      </c>
      <c r="AX454" s="65"/>
      <c r="AY454" s="65"/>
      <c r="AZ454" s="65"/>
      <c r="BA454" s="65"/>
    </row>
    <row r="455">
      <c r="A455" s="65" t="str">
        <f>IFERROR(__xludf.DUMMYFUNCTION("""COMPUTED_VALUE"""),"27-03-2026")</f>
        <v>27-03-2026</v>
      </c>
      <c r="B455" s="65">
        <f>IFERROR(__xludf.DUMMYFUNCTION("""COMPUTED_VALUE"""),4649023.0)</f>
        <v>4649023</v>
      </c>
      <c r="C455" s="65" t="str">
        <f>IFERROR(__xludf.DUMMYFUNCTION("""COMPUTED_VALUE"""),"00:26")</f>
        <v>00:26</v>
      </c>
      <c r="D455" s="65" t="str">
        <f>IFERROR(__xludf.DUMMYFUNCTION("""COMPUTED_VALUE"""),"28-02-2026")</f>
        <v>28-02-2026</v>
      </c>
      <c r="E455" s="65" t="str">
        <f>IFERROR(__xludf.DUMMYFUNCTION("""COMPUTED_VALUE"""),"Aldana Quiroz")</f>
        <v>Aldana Quiroz</v>
      </c>
      <c r="F455" s="65" t="str">
        <f>IFERROR(__xludf.DUMMYFUNCTION("""COMPUTED_VALUE"""),"995076008")</f>
        <v>995076008</v>
      </c>
      <c r="G455" s="65" t="str">
        <f>IFERROR(__xludf.DUMMYFUNCTION("""COMPUTED_VALUE"""),"trabcon1.2@gmail.com")</f>
        <v>trabcon1.2@gmail.com</v>
      </c>
      <c r="H455" s="65"/>
      <c r="I455" s="65"/>
      <c r="J455" s="65"/>
      <c r="K455" s="65" t="str">
        <f>IFERROR(__xludf.DUMMYFUNCTION("""COMPUTED_VALUE"""),"PENDIENTE CONFIRMACION")</f>
        <v>PENDIENTE CONFIRMACION</v>
      </c>
      <c r="L455" s="65" t="str">
        <f>IFERROR(__xludf.DUMMYFUNCTION("""COMPUTED_VALUE"""),"CON RECAUDO")</f>
        <v>CON RECAUDO</v>
      </c>
      <c r="M455" s="65" t="str">
        <f>IFERROR(__xludf.DUMMYFUNCTION("""COMPUTED_VALUE"""),"CHIMBORAZO")</f>
        <v>CHIMBORAZO</v>
      </c>
      <c r="N455" s="65" t="str">
        <f>IFERROR(__xludf.DUMMYFUNCTION("""COMPUTED_VALUE"""),"RIOBAMBA")</f>
        <v>RIOBAMBA</v>
      </c>
      <c r="O455" s="65" t="str">
        <f>IFERROR(__xludf.DUMMYFUNCTION("""COMPUTED_VALUE"""),"Ayacucho 2008 y tarqui SanAlfonso -")</f>
        <v>Ayacucho 2008 y tarqui SanAlfonso -</v>
      </c>
      <c r="P455" s="65"/>
      <c r="Q455" s="65" t="str">
        <f>IFERROR(__xludf.DUMMYFUNCTION("""COMPUTED_VALUE"""),"GINTRACOM")</f>
        <v>GINTRACOM</v>
      </c>
      <c r="R455" s="65">
        <f>IFERROR(__xludf.DUMMYFUNCTION("""COMPUTED_VALUE"""),22.0)</f>
        <v>22</v>
      </c>
      <c r="S455" s="65"/>
      <c r="T455" s="65">
        <f>IFERROR(__xludf.DUMMYFUNCTION("""COMPUTED_VALUE"""),5.84)</f>
        <v>5.84</v>
      </c>
      <c r="U455" s="65">
        <f>IFERROR(__xludf.DUMMYFUNCTION("""COMPUTED_VALUE"""),0.0)</f>
        <v>0</v>
      </c>
      <c r="V455" s="65">
        <f>IFERROR(__xludf.DUMMYFUNCTION("""COMPUTED_VALUE"""),0.0)</f>
        <v>0</v>
      </c>
      <c r="W455" s="65">
        <f>IFERROR(__xludf.DUMMYFUNCTION("""COMPUTED_VALUE"""),0.0)</f>
        <v>0</v>
      </c>
      <c r="X455" s="65">
        <f>IFERROR(__xludf.DUMMYFUNCTION("""COMPUTED_VALUE"""),3.75)</f>
        <v>3.75</v>
      </c>
      <c r="Y455" s="65">
        <f>IFERROR(__xludf.DUMMYFUNCTION("""COMPUTED_VALUE"""),7.5)</f>
        <v>7.5</v>
      </c>
      <c r="Z455" s="65">
        <f>IFERROR(__xludf.DUMMYFUNCTION("""COMPUTED_VALUE"""),113116.0)</f>
        <v>113116</v>
      </c>
      <c r="AA455" s="65" t="str">
        <f>IFERROR(__xludf.DUMMYFUNCTION("""COMPUTED_VALUE"""),"IM-TAZAKI")</f>
        <v>IM-TAZAKI</v>
      </c>
      <c r="AB455" s="65"/>
      <c r="AC455" s="65" t="str">
        <f>IFERROR(__xludf.DUMMYFUNCTION("""COMPUTED_VALUE"""),"Cuchillo tazaki")</f>
        <v>Cuchillo tazaki</v>
      </c>
      <c r="AD455" s="65"/>
      <c r="AE455" s="65">
        <f>IFERROR(__xludf.DUMMYFUNCTION("""COMPUTED_VALUE"""),2.0)</f>
        <v>2</v>
      </c>
      <c r="AF455" s="65"/>
      <c r="AG455" s="65"/>
      <c r="AH455" s="65"/>
      <c r="AI455" s="65"/>
      <c r="AJ455" s="65"/>
      <c r="AK455" s="65"/>
      <c r="AL455" s="65"/>
      <c r="AM455" s="65"/>
      <c r="AN455" s="65"/>
      <c r="AO455" s="65"/>
      <c r="AP455" s="65"/>
      <c r="AQ455" s="65"/>
      <c r="AR455" s="65"/>
      <c r="AS455" s="65"/>
      <c r="AT455" s="65" t="str">
        <f>IFERROR(__xludf.DUMMYFUNCTION("""COMPUTED_VALUE"""),"SHOPIFY")</f>
        <v>SHOPIFY</v>
      </c>
      <c r="AU455" s="65" t="str">
        <f>IFERROR(__xludf.DUMMYFUNCTION("""COMPUTED_VALUE"""),"IMPORTEX EC")</f>
        <v>IMPORTEX EC</v>
      </c>
      <c r="AV455" s="65" t="str">
        <f>IFERROR(__xludf.DUMMYFUNCTION("""COMPUTED_VALUE"""),"6546057953324")</f>
        <v>6546057953324</v>
      </c>
      <c r="AW455" s="65">
        <f>IFERROR(__xludf.DUMMYFUNCTION("""COMPUTED_VALUE"""),6409.0)</f>
        <v>6409</v>
      </c>
      <c r="AX455" s="65"/>
      <c r="AY455" s="65"/>
      <c r="AZ455" s="65"/>
      <c r="BA455" s="65"/>
    </row>
    <row r="456">
      <c r="A456" s="65" t="str">
        <f>IFERROR(__xludf.DUMMYFUNCTION("""COMPUTED_VALUE"""),"27-03-2026")</f>
        <v>27-03-2026</v>
      </c>
      <c r="B456" s="65">
        <f>IFERROR(__xludf.DUMMYFUNCTION("""COMPUTED_VALUE"""),4648836.0)</f>
        <v>4648836</v>
      </c>
      <c r="C456" s="65" t="str">
        <f>IFERROR(__xludf.DUMMYFUNCTION("""COMPUTED_VALUE"""),"23:29")</f>
        <v>23:29</v>
      </c>
      <c r="D456" s="65" t="str">
        <f>IFERROR(__xludf.DUMMYFUNCTION("""COMPUTED_VALUE"""),"27-02-2026")</f>
        <v>27-02-2026</v>
      </c>
      <c r="E456" s="65" t="str">
        <f>IFERROR(__xludf.DUMMYFUNCTION("""COMPUTED_VALUE"""),"Edwin Rolando Toapanta Uvillus")</f>
        <v>Edwin Rolando Toapanta Uvillus</v>
      </c>
      <c r="F456" s="65" t="str">
        <f>IFERROR(__xludf.DUMMYFUNCTION("""COMPUTED_VALUE"""),"982826294")</f>
        <v>982826294</v>
      </c>
      <c r="G456" s="65"/>
      <c r="H456" s="65"/>
      <c r="I456" s="65"/>
      <c r="J456" s="65" t="str">
        <f>IFERROR(__xludf.DUMMYFUNCTION("""COMPUTED_VALUE"""),"186604258")</f>
        <v>186604258</v>
      </c>
      <c r="K456" s="65" t="str">
        <f>IFERROR(__xludf.DUMMYFUNCTION("""COMPUTED_VALUE"""),"ENTREGADO")</f>
        <v>ENTREGADO</v>
      </c>
      <c r="L456" s="65" t="str">
        <f>IFERROR(__xludf.DUMMYFUNCTION("""COMPUTED_VALUE"""),"CON RECAUDO")</f>
        <v>CON RECAUDO</v>
      </c>
      <c r="M456" s="65" t="str">
        <f>IFERROR(__xludf.DUMMYFUNCTION("""COMPUTED_VALUE"""),"PICHINCHA")</f>
        <v>PICHINCHA</v>
      </c>
      <c r="N456" s="65" t="str">
        <f>IFERROR(__xludf.DUMMYFUNCTION("""COMPUTED_VALUE"""),"MACHACHI")</f>
        <v>MACHACHI</v>
      </c>
      <c r="O456" s="65" t="str">
        <f>IFERROR(__xludf.DUMMYFUNCTION("""COMPUTED_VALUE"""),"Del hogar y  Simón Bolívar - E-41 frente a la unidad educativa machachi detrás del monumento")</f>
        <v>Del hogar y  Simón Bolívar - E-41 frente a la unidad educativa machachi detrás del monumento</v>
      </c>
      <c r="P456" s="65"/>
      <c r="Q456" s="65" t="str">
        <f>IFERROR(__xludf.DUMMYFUNCTION("""COMPUTED_VALUE"""),"SERVIENTREGA")</f>
        <v>SERVIENTREGA</v>
      </c>
      <c r="R456" s="65">
        <f>IFERROR(__xludf.DUMMYFUNCTION("""COMPUTED_VALUE"""),20.0)</f>
        <v>20</v>
      </c>
      <c r="S456" s="65">
        <f>IFERROR(__xludf.DUMMYFUNCTION("""COMPUTED_VALUE"""),12.01)</f>
        <v>12.01</v>
      </c>
      <c r="T456" s="65">
        <f>IFERROR(__xludf.DUMMYFUNCTION("""COMPUTED_VALUE"""),5.64)</f>
        <v>5.64</v>
      </c>
      <c r="U456" s="65">
        <f>IFERROR(__xludf.DUMMYFUNCTION("""COMPUTED_VALUE"""),0.0)</f>
        <v>0</v>
      </c>
      <c r="V456" s="65">
        <f>IFERROR(__xludf.DUMMYFUNCTION("""COMPUTED_VALUE"""),0.0)</f>
        <v>0</v>
      </c>
      <c r="W456" s="65">
        <f>IFERROR(__xludf.DUMMYFUNCTION("""COMPUTED_VALUE"""),0.0)</f>
        <v>0</v>
      </c>
      <c r="X456" s="65">
        <f>IFERROR(__xludf.DUMMYFUNCTION("""COMPUTED_VALUE"""),2.35)</f>
        <v>2.35</v>
      </c>
      <c r="Y456" s="65">
        <f>IFERROR(__xludf.DUMMYFUNCTION("""COMPUTED_VALUE"""),2.35)</f>
        <v>2.35</v>
      </c>
      <c r="Z456" s="65">
        <f>IFERROR(__xludf.DUMMYFUNCTION("""COMPUTED_VALUE"""),116679.0)</f>
        <v>116679</v>
      </c>
      <c r="AA456" s="65" t="str">
        <f>IFERROR(__xludf.DUMMYFUNCTION("""COMPUTED_VALUE"""),"AMC-2738")</f>
        <v>AMC-2738</v>
      </c>
      <c r="AB456" s="65"/>
      <c r="AC456" s="65" t="str">
        <f>IFERROR(__xludf.DUMMYFUNCTION("""COMPUTED_VALUE"""),"ESPONJA ANTILLUVIA DE PARABRISAS")</f>
        <v>ESPONJA ANTILLUVIA DE PARABRISAS</v>
      </c>
      <c r="AD456" s="65"/>
      <c r="AE456" s="65">
        <f>IFERROR(__xludf.DUMMYFUNCTION("""COMPUTED_VALUE"""),1.0)</f>
        <v>1</v>
      </c>
      <c r="AF456" s="65"/>
      <c r="AG456" s="65"/>
      <c r="AH456" s="65"/>
      <c r="AI456" s="65"/>
      <c r="AJ456" s="65"/>
      <c r="AK456" s="65"/>
      <c r="AL456" s="65"/>
      <c r="AM456" s="65"/>
      <c r="AN456" s="65" t="str">
        <f>IFERROR(__xludf.DUMMYFUNCTION("""COMPUTED_VALUE"""),"08:37")</f>
        <v>08:37</v>
      </c>
      <c r="AO456" s="65" t="str">
        <f>IFERROR(__xludf.DUMMYFUNCTION("""COMPUTED_VALUE"""),"03-03-2026")</f>
        <v>03-03-2026</v>
      </c>
      <c r="AP456" s="65" t="str">
        <f>IFERROR(__xludf.DUMMYFUNCTION("""COMPUTED_VALUE"""),"EN DISTRIBUCIÓN A CLIENTE")</f>
        <v>EN DISTRIBUCIÓN A CLIENTE</v>
      </c>
      <c r="AQ456" s="65" t="str">
        <f>IFERROR(__xludf.DUMMYFUNCTION("""COMPUTED_VALUE"""),".")</f>
        <v>.</v>
      </c>
      <c r="AR456" s="65"/>
      <c r="AS456" s="65"/>
      <c r="AT456" s="65" t="str">
        <f>IFERROR(__xludf.DUMMYFUNCTION("""COMPUTED_VALUE"""),"CHATEA PRO")</f>
        <v>CHATEA PRO</v>
      </c>
      <c r="AU456" s="65" t="str">
        <f>IFERROR(__xludf.DUMMYFUNCTION("""COMPUTED_VALUE"""),"CHATEA PRO")</f>
        <v>CHATEA PRO</v>
      </c>
      <c r="AV456" s="65"/>
      <c r="AW456" s="65"/>
      <c r="AX456" s="65"/>
      <c r="AY456" s="65" t="str">
        <f>IFERROR(__xludf.DUMMYFUNCTION("""COMPUTED_VALUE"""),"02/03/2026")</f>
        <v>02/03/2026</v>
      </c>
      <c r="AZ456" s="65"/>
      <c r="BA456" s="65"/>
    </row>
    <row r="457">
      <c r="A457" s="65" t="str">
        <f>IFERROR(__xludf.DUMMYFUNCTION("""COMPUTED_VALUE"""),"27-03-2026")</f>
        <v>27-03-2026</v>
      </c>
      <c r="B457" s="65">
        <f>IFERROR(__xludf.DUMMYFUNCTION("""COMPUTED_VALUE"""),4648519.0)</f>
        <v>4648519</v>
      </c>
      <c r="C457" s="65" t="str">
        <f>IFERROR(__xludf.DUMMYFUNCTION("""COMPUTED_VALUE"""),"22:42")</f>
        <v>22:42</v>
      </c>
      <c r="D457" s="65" t="str">
        <f>IFERROR(__xludf.DUMMYFUNCTION("""COMPUTED_VALUE"""),"27-02-2026")</f>
        <v>27-02-2026</v>
      </c>
      <c r="E457" s="65" t="str">
        <f>IFERROR(__xludf.DUMMYFUNCTION("""COMPUTED_VALUE"""),"Karina Castillo")</f>
        <v>Karina Castillo</v>
      </c>
      <c r="F457" s="65" t="str">
        <f>IFERROR(__xludf.DUMMYFUNCTION("""COMPUTED_VALUE"""),"980041440")</f>
        <v>980041440</v>
      </c>
      <c r="G457" s="65" t="str">
        <f>IFERROR(__xludf.DUMMYFUNCTION("""COMPUTED_VALUE"""),"jessycastillo5486@gmail.com")</f>
        <v>jessycastillo5486@gmail.com</v>
      </c>
      <c r="H457" s="65"/>
      <c r="I457" s="65"/>
      <c r="J457" s="65"/>
      <c r="K457" s="65" t="str">
        <f>IFERROR(__xludf.DUMMYFUNCTION("""COMPUTED_VALUE"""),"PENDIENTE CONFIRMACION")</f>
        <v>PENDIENTE CONFIRMACION</v>
      </c>
      <c r="L457" s="65" t="str">
        <f>IFERROR(__xludf.DUMMYFUNCTION("""COMPUTED_VALUE"""),"CON RECAUDO")</f>
        <v>CON RECAUDO</v>
      </c>
      <c r="M457" s="65" t="str">
        <f>IFERROR(__xludf.DUMMYFUNCTION("""COMPUTED_VALUE"""),"SUCUMBIOS")</f>
        <v>SUCUMBIOS</v>
      </c>
      <c r="N457" s="65" t="str">
        <f>IFERROR(__xludf.DUMMYFUNCTION("""COMPUTED_VALUE"""),"LUMBAQUI")</f>
        <v>LUMBAQUI</v>
      </c>
      <c r="O457" s="65" t="str">
        <f>IFERROR(__xludf.DUMMYFUNCTION("""COMPUTED_VALUE"""),"Av. Los Cofanes  y Rafael Ferrer junto a la oficina De la Cooperativa Baños -")</f>
        <v>Av. Los Cofanes  y Rafael Ferrer junto a la oficina De la Cooperativa Baños -</v>
      </c>
      <c r="P457" s="65"/>
      <c r="Q457" s="65" t="str">
        <f>IFERROR(__xludf.DUMMYFUNCTION("""COMPUTED_VALUE"""),"SERVIENTREGA")</f>
        <v>SERVIENTREGA</v>
      </c>
      <c r="R457" s="65">
        <f>IFERROR(__xludf.DUMMYFUNCTION("""COMPUTED_VALUE"""),30.0)</f>
        <v>30</v>
      </c>
      <c r="S457" s="65"/>
      <c r="T457" s="65">
        <f>IFERROR(__xludf.DUMMYFUNCTION("""COMPUTED_VALUE"""),7.82)</f>
        <v>7.82</v>
      </c>
      <c r="U457" s="65">
        <f>IFERROR(__xludf.DUMMYFUNCTION("""COMPUTED_VALUE"""),0.0)</f>
        <v>0</v>
      </c>
      <c r="V457" s="65">
        <f>IFERROR(__xludf.DUMMYFUNCTION("""COMPUTED_VALUE"""),0.0)</f>
        <v>0</v>
      </c>
      <c r="W457" s="65">
        <f>IFERROR(__xludf.DUMMYFUNCTION("""COMPUTED_VALUE"""),0.0)</f>
        <v>0</v>
      </c>
      <c r="X457" s="65">
        <f>IFERROR(__xludf.DUMMYFUNCTION("""COMPUTED_VALUE"""),2.35)</f>
        <v>2.35</v>
      </c>
      <c r="Y457" s="65">
        <f>IFERROR(__xludf.DUMMYFUNCTION("""COMPUTED_VALUE"""),7.05)</f>
        <v>7.05</v>
      </c>
      <c r="Z457" s="65">
        <f>IFERROR(__xludf.DUMMYFUNCTION("""COMPUTED_VALUE"""),116679.0)</f>
        <v>116679</v>
      </c>
      <c r="AA457" s="65" t="str">
        <f>IFERROR(__xludf.DUMMYFUNCTION("""COMPUTED_VALUE"""),"AMC-2738")</f>
        <v>AMC-2738</v>
      </c>
      <c r="AB457" s="65"/>
      <c r="AC457" s="65" t="str">
        <f>IFERROR(__xludf.DUMMYFUNCTION("""COMPUTED_VALUE"""),"ESPONJA ANTILLUVIA DE PARABRISAS")</f>
        <v>ESPONJA ANTILLUVIA DE PARABRISAS</v>
      </c>
      <c r="AD457" s="65"/>
      <c r="AE457" s="65">
        <f>IFERROR(__xludf.DUMMYFUNCTION("""COMPUTED_VALUE"""),3.0)</f>
        <v>3</v>
      </c>
      <c r="AF457" s="65"/>
      <c r="AG457" s="65"/>
      <c r="AH457" s="65"/>
      <c r="AI457" s="65"/>
      <c r="AJ457" s="65"/>
      <c r="AK457" s="65"/>
      <c r="AL457" s="65"/>
      <c r="AM457" s="65"/>
      <c r="AN457" s="65"/>
      <c r="AO457" s="65"/>
      <c r="AP457" s="65"/>
      <c r="AQ457" s="65"/>
      <c r="AR457" s="65"/>
      <c r="AS457" s="65"/>
      <c r="AT457" s="65" t="str">
        <f>IFERROR(__xludf.DUMMYFUNCTION("""COMPUTED_VALUE"""),"SHOPIFY")</f>
        <v>SHOPIFY</v>
      </c>
      <c r="AU457" s="65" t="str">
        <f>IFERROR(__xludf.DUMMYFUNCTION("""COMPUTED_VALUE"""),"IMPORTEX EC")</f>
        <v>IMPORTEX EC</v>
      </c>
      <c r="AV457" s="65" t="str">
        <f>IFERROR(__xludf.DUMMYFUNCTION("""COMPUTED_VALUE"""),"6545895424044")</f>
        <v>6545895424044</v>
      </c>
      <c r="AW457" s="65">
        <f>IFERROR(__xludf.DUMMYFUNCTION("""COMPUTED_VALUE"""),6408.0)</f>
        <v>6408</v>
      </c>
      <c r="AX457" s="65"/>
      <c r="AY457" s="65"/>
      <c r="AZ457" s="65"/>
      <c r="BA457" s="65"/>
    </row>
    <row r="458">
      <c r="A458" s="65" t="str">
        <f>IFERROR(__xludf.DUMMYFUNCTION("""COMPUTED_VALUE"""),"27-03-2026")</f>
        <v>27-03-2026</v>
      </c>
      <c r="B458" s="65">
        <f>IFERROR(__xludf.DUMMYFUNCTION("""COMPUTED_VALUE"""),4648417.0)</f>
        <v>4648417</v>
      </c>
      <c r="C458" s="65" t="str">
        <f>IFERROR(__xludf.DUMMYFUNCTION("""COMPUTED_VALUE"""),"22:30")</f>
        <v>22:30</v>
      </c>
      <c r="D458" s="65" t="str">
        <f>IFERROR(__xludf.DUMMYFUNCTION("""COMPUTED_VALUE"""),"27-02-2026")</f>
        <v>27-02-2026</v>
      </c>
      <c r="E458" s="65" t="str">
        <f>IFERROR(__xludf.DUMMYFUNCTION("""COMPUTED_VALUE"""),"Victor Hugo Cobos Yagual")</f>
        <v>Victor Hugo Cobos Yagual</v>
      </c>
      <c r="F458" s="65" t="str">
        <f>IFERROR(__xludf.DUMMYFUNCTION("""COMPUTED_VALUE"""),"997501453")</f>
        <v>997501453</v>
      </c>
      <c r="G458" s="65" t="str">
        <f>IFERROR(__xludf.DUMMYFUNCTION("""COMPUTED_VALUE"""),"victorcobos_1@hotmail.com")</f>
        <v>victorcobos_1@hotmail.com</v>
      </c>
      <c r="H458" s="65"/>
      <c r="I458" s="65"/>
      <c r="J458" s="65"/>
      <c r="K458" s="65" t="str">
        <f>IFERROR(__xludf.DUMMYFUNCTION("""COMPUTED_VALUE"""),"CANCELADO")</f>
        <v>CANCELADO</v>
      </c>
      <c r="L458" s="65" t="str">
        <f>IFERROR(__xludf.DUMMYFUNCTION("""COMPUTED_VALUE"""),"CON RECAUDO")</f>
        <v>CON RECAUDO</v>
      </c>
      <c r="M458" s="65" t="str">
        <f>IFERROR(__xludf.DUMMYFUNCTION("""COMPUTED_VALUE"""),"GUAYAS")</f>
        <v>GUAYAS</v>
      </c>
      <c r="N458" s="65" t="str">
        <f>IFERROR(__xludf.DUMMYFUNCTION("""COMPUTED_VALUE"""),"GUAYAQUIL")</f>
        <v>GUAYAQUIL</v>
      </c>
      <c r="O458" s="65" t="str">
        <f>IFERROR(__xludf.DUMMYFUNCTION("""COMPUTED_VALUE"""),"Gomez rendón 3104 la 8va y 9na Barrio garaje frente panadería -")</f>
        <v>Gomez rendón 3104 la 8va y 9na Barrio garaje frente panadería -</v>
      </c>
      <c r="P458" s="65"/>
      <c r="Q458" s="65" t="str">
        <f>IFERROR(__xludf.DUMMYFUNCTION("""COMPUTED_VALUE"""),"GINTRACOM")</f>
        <v>GINTRACOM</v>
      </c>
      <c r="R458" s="65">
        <f>IFERROR(__xludf.DUMMYFUNCTION("""COMPUTED_VALUE"""),25.0)</f>
        <v>25</v>
      </c>
      <c r="S458" s="65"/>
      <c r="T458" s="65">
        <f>IFERROR(__xludf.DUMMYFUNCTION("""COMPUTED_VALUE"""),5.96)</f>
        <v>5.96</v>
      </c>
      <c r="U458" s="65">
        <f>IFERROR(__xludf.DUMMYFUNCTION("""COMPUTED_VALUE"""),0.0)</f>
        <v>0</v>
      </c>
      <c r="V458" s="65">
        <f>IFERROR(__xludf.DUMMYFUNCTION("""COMPUTED_VALUE"""),0.0)</f>
        <v>0</v>
      </c>
      <c r="W458" s="65">
        <f>IFERROR(__xludf.DUMMYFUNCTION("""COMPUTED_VALUE"""),0.0)</f>
        <v>0</v>
      </c>
      <c r="X458" s="65">
        <f>IFERROR(__xludf.DUMMYFUNCTION("""COMPUTED_VALUE"""),2.35)</f>
        <v>2.35</v>
      </c>
      <c r="Y458" s="65">
        <f>IFERROR(__xludf.DUMMYFUNCTION("""COMPUTED_VALUE"""),4.7)</f>
        <v>4.7</v>
      </c>
      <c r="Z458" s="65">
        <f>IFERROR(__xludf.DUMMYFUNCTION("""COMPUTED_VALUE"""),116679.0)</f>
        <v>116679</v>
      </c>
      <c r="AA458" s="65" t="str">
        <f>IFERROR(__xludf.DUMMYFUNCTION("""COMPUTED_VALUE"""),"AMC-2738")</f>
        <v>AMC-2738</v>
      </c>
      <c r="AB458" s="65"/>
      <c r="AC458" s="65" t="str">
        <f>IFERROR(__xludf.DUMMYFUNCTION("""COMPUTED_VALUE"""),"ESPONJA ANTILLUVIA DE PARABRISAS")</f>
        <v>ESPONJA ANTILLUVIA DE PARABRISAS</v>
      </c>
      <c r="AD458" s="65"/>
      <c r="AE458" s="65">
        <f>IFERROR(__xludf.DUMMYFUNCTION("""COMPUTED_VALUE"""),2.0)</f>
        <v>2</v>
      </c>
      <c r="AF458" s="65"/>
      <c r="AG458" s="65"/>
      <c r="AH458" s="65"/>
      <c r="AI458" s="65"/>
      <c r="AJ458" s="65"/>
      <c r="AK458" s="65"/>
      <c r="AL458" s="65"/>
      <c r="AM458" s="65"/>
      <c r="AN458" s="65"/>
      <c r="AO458" s="65"/>
      <c r="AP458" s="65"/>
      <c r="AQ458" s="65"/>
      <c r="AR458" s="65"/>
      <c r="AS458" s="65"/>
      <c r="AT458" s="65" t="str">
        <f>IFERROR(__xludf.DUMMYFUNCTION("""COMPUTED_VALUE"""),"SHOPIFY")</f>
        <v>SHOPIFY</v>
      </c>
      <c r="AU458" s="65" t="str">
        <f>IFERROR(__xludf.DUMMYFUNCTION("""COMPUTED_VALUE"""),"IMPORTEX EC")</f>
        <v>IMPORTEX EC</v>
      </c>
      <c r="AV458" s="65" t="str">
        <f>IFERROR(__xludf.DUMMYFUNCTION("""COMPUTED_VALUE"""),"6545875435564")</f>
        <v>6545875435564</v>
      </c>
      <c r="AW458" s="65">
        <f>IFERROR(__xludf.DUMMYFUNCTION("""COMPUTED_VALUE"""),6407.0)</f>
        <v>6407</v>
      </c>
      <c r="AX458" s="65"/>
      <c r="AY458" s="65"/>
      <c r="AZ458" s="65"/>
      <c r="BA458" s="65"/>
    </row>
    <row r="459">
      <c r="A459" s="65" t="str">
        <f>IFERROR(__xludf.DUMMYFUNCTION("""COMPUTED_VALUE"""),"27-03-2026")</f>
        <v>27-03-2026</v>
      </c>
      <c r="B459" s="65">
        <f>IFERROR(__xludf.DUMMYFUNCTION("""COMPUTED_VALUE"""),4648327.0)</f>
        <v>4648327</v>
      </c>
      <c r="C459" s="65" t="str">
        <f>IFERROR(__xludf.DUMMYFUNCTION("""COMPUTED_VALUE"""),"22:22")</f>
        <v>22:22</v>
      </c>
      <c r="D459" s="65" t="str">
        <f>IFERROR(__xludf.DUMMYFUNCTION("""COMPUTED_VALUE"""),"27-02-2026")</f>
        <v>27-02-2026</v>
      </c>
      <c r="E459" s="65" t="str">
        <f>IFERROR(__xludf.DUMMYFUNCTION("""COMPUTED_VALUE"""),"Gabriel Pozo")</f>
        <v>Gabriel Pozo</v>
      </c>
      <c r="F459" s="65" t="str">
        <f>IFERROR(__xludf.DUMMYFUNCTION("""COMPUTED_VALUE"""),"991119553")</f>
        <v>991119553</v>
      </c>
      <c r="G459" s="65" t="str">
        <f>IFERROR(__xludf.DUMMYFUNCTION("""COMPUTED_VALUE"""),"gabrielpozo25@hotmail.com")</f>
        <v>gabrielpozo25@hotmail.com</v>
      </c>
      <c r="H459" s="65"/>
      <c r="I459" s="65"/>
      <c r="J459" s="65"/>
      <c r="K459" s="65" t="str">
        <f>IFERROR(__xludf.DUMMYFUNCTION("""COMPUTED_VALUE"""),"PENDIENTE CONFIRMACION")</f>
        <v>PENDIENTE CONFIRMACION</v>
      </c>
      <c r="L459" s="65" t="str">
        <f>IFERROR(__xludf.DUMMYFUNCTION("""COMPUTED_VALUE"""),"CON RECAUDO")</f>
        <v>CON RECAUDO</v>
      </c>
      <c r="M459" s="65" t="str">
        <f>IFERROR(__xludf.DUMMYFUNCTION("""COMPUTED_VALUE"""),"IMBABURA")</f>
        <v>IMBABURA</v>
      </c>
      <c r="N459" s="65" t="str">
        <f>IFERROR(__xludf.DUMMYFUNCTION("""COMPUTED_VALUE"""),"IBARRA")</f>
        <v>IBARRA</v>
      </c>
      <c r="O459" s="65" t="str">
        <f>IFERROR(__xludf.DUMMYFUNCTION("""COMPUTED_VALUE"""),"Emperador cacha Parque caranqui -")</f>
        <v>Emperador cacha Parque caranqui -</v>
      </c>
      <c r="P459" s="65"/>
      <c r="Q459" s="65" t="str">
        <f>IFERROR(__xludf.DUMMYFUNCTION("""COMPUTED_VALUE"""),"GINTRACOM")</f>
        <v>GINTRACOM</v>
      </c>
      <c r="R459" s="65">
        <f>IFERROR(__xludf.DUMMYFUNCTION("""COMPUTED_VALUE"""),24.2)</f>
        <v>24.2</v>
      </c>
      <c r="S459" s="65"/>
      <c r="T459" s="65">
        <f>IFERROR(__xludf.DUMMYFUNCTION("""COMPUTED_VALUE"""),5.92)</f>
        <v>5.92</v>
      </c>
      <c r="U459" s="65">
        <f>IFERROR(__xludf.DUMMYFUNCTION("""COMPUTED_VALUE"""),0.0)</f>
        <v>0</v>
      </c>
      <c r="V459" s="65">
        <f>IFERROR(__xludf.DUMMYFUNCTION("""COMPUTED_VALUE"""),0.0)</f>
        <v>0</v>
      </c>
      <c r="W459" s="65">
        <f>IFERROR(__xludf.DUMMYFUNCTION("""COMPUTED_VALUE"""),0.0)</f>
        <v>0</v>
      </c>
      <c r="X459" s="65">
        <f>IFERROR(__xludf.DUMMYFUNCTION("""COMPUTED_VALUE"""),5.0)</f>
        <v>5</v>
      </c>
      <c r="Y459" s="65">
        <f>IFERROR(__xludf.DUMMYFUNCTION("""COMPUTED_VALUE"""),10.0)</f>
        <v>10</v>
      </c>
      <c r="Z459" s="65">
        <f>IFERROR(__xludf.DUMMYFUNCTION("""COMPUTED_VALUE"""),130492.0)</f>
        <v>130492</v>
      </c>
      <c r="AA459" s="65" t="str">
        <f>IFERROR(__xludf.DUMMYFUNCTION("""COMPUTED_VALUE"""),"IMX-00006")</f>
        <v>IMX-00006</v>
      </c>
      <c r="AB459" s="65"/>
      <c r="AC459" s="65" t="str">
        <f>IFERROR(__xludf.DUMMYFUNCTION("""COMPUTED_VALUE"""),"Receptor Bluetooth")</f>
        <v>Receptor Bluetooth</v>
      </c>
      <c r="AD459" s="65"/>
      <c r="AE459" s="65">
        <f>IFERROR(__xludf.DUMMYFUNCTION("""COMPUTED_VALUE"""),2.0)</f>
        <v>2</v>
      </c>
      <c r="AF459" s="65"/>
      <c r="AG459" s="65"/>
      <c r="AH459" s="65"/>
      <c r="AI459" s="65"/>
      <c r="AJ459" s="65"/>
      <c r="AK459" s="65"/>
      <c r="AL459" s="65"/>
      <c r="AM459" s="65"/>
      <c r="AN459" s="65"/>
      <c r="AO459" s="65"/>
      <c r="AP459" s="65"/>
      <c r="AQ459" s="65"/>
      <c r="AR459" s="65"/>
      <c r="AS459" s="65"/>
      <c r="AT459" s="65" t="str">
        <f>IFERROR(__xludf.DUMMYFUNCTION("""COMPUTED_VALUE"""),"SHOPIFY")</f>
        <v>SHOPIFY</v>
      </c>
      <c r="AU459" s="65" t="str">
        <f>IFERROR(__xludf.DUMMYFUNCTION("""COMPUTED_VALUE"""),"IMPORTEX EC")</f>
        <v>IMPORTEX EC</v>
      </c>
      <c r="AV459" s="65" t="str">
        <f>IFERROR(__xludf.DUMMYFUNCTION("""COMPUTED_VALUE"""),"6545859674156")</f>
        <v>6545859674156</v>
      </c>
      <c r="AW459" s="65">
        <f>IFERROR(__xludf.DUMMYFUNCTION("""COMPUTED_VALUE"""),6406.0)</f>
        <v>6406</v>
      </c>
      <c r="AX459" s="65"/>
      <c r="AY459" s="65"/>
      <c r="AZ459" s="65"/>
      <c r="BA459" s="65"/>
    </row>
    <row r="460">
      <c r="A460" s="65" t="str">
        <f>IFERROR(__xludf.DUMMYFUNCTION("""COMPUTED_VALUE"""),"27-03-2026")</f>
        <v>27-03-2026</v>
      </c>
      <c r="B460" s="65">
        <f>IFERROR(__xludf.DUMMYFUNCTION("""COMPUTED_VALUE"""),4648102.0)</f>
        <v>4648102</v>
      </c>
      <c r="C460" s="65" t="str">
        <f>IFERROR(__xludf.DUMMYFUNCTION("""COMPUTED_VALUE"""),"21:56")</f>
        <v>21:56</v>
      </c>
      <c r="D460" s="65" t="str">
        <f>IFERROR(__xludf.DUMMYFUNCTION("""COMPUTED_VALUE"""),"27-02-2026")</f>
        <v>27-02-2026</v>
      </c>
      <c r="E460" s="65" t="str">
        <f>IFERROR(__xludf.DUMMYFUNCTION("""COMPUTED_VALUE"""),"Alejandro Narvaez")</f>
        <v>Alejandro Narvaez</v>
      </c>
      <c r="F460" s="65" t="str">
        <f>IFERROR(__xludf.DUMMYFUNCTION("""COMPUTED_VALUE"""),"959061887")</f>
        <v>959061887</v>
      </c>
      <c r="G460" s="65" t="str">
        <f>IFERROR(__xludf.DUMMYFUNCTION("""COMPUTED_VALUE"""),"alejnar63@hotmail.com")</f>
        <v>alejnar63@hotmail.com</v>
      </c>
      <c r="H460" s="65"/>
      <c r="I460" s="65"/>
      <c r="J460" s="65" t="str">
        <f>IFERROR(__xludf.DUMMYFUNCTION("""COMPUTED_VALUE"""),"D001377159")</f>
        <v>D001377159</v>
      </c>
      <c r="K460" s="65" t="str">
        <f>IFERROR(__xludf.DUMMYFUNCTION("""COMPUTED_VALUE"""),"ENTREGADO")</f>
        <v>ENTREGADO</v>
      </c>
      <c r="L460" s="65" t="str">
        <f>IFERROR(__xludf.DUMMYFUNCTION("""COMPUTED_VALUE"""),"CON RECAUDO")</f>
        <v>CON RECAUDO</v>
      </c>
      <c r="M460" s="65" t="str">
        <f>IFERROR(__xludf.DUMMYFUNCTION("""COMPUTED_VALUE"""),"AZUAY")</f>
        <v>AZUAY</v>
      </c>
      <c r="N460" s="65" t="str">
        <f>IFERROR(__xludf.DUMMYFUNCTION("""COMPUTED_VALUE"""),"CUENCA")</f>
        <v>CUENCA</v>
      </c>
      <c r="O460" s="65" t="str">
        <f>IFERROR(__xludf.DUMMYFUNCTION("""COMPUTED_VALUE"""),"Av del Bombero y  challuabamba - Frente al cementerio")</f>
        <v>Av del Bombero y  challuabamba - Frente al cementerio</v>
      </c>
      <c r="P460" s="65"/>
      <c r="Q460" s="65" t="str">
        <f>IFERROR(__xludf.DUMMYFUNCTION("""COMPUTED_VALUE"""),"GINTRACOM")</f>
        <v>GINTRACOM</v>
      </c>
      <c r="R460" s="65">
        <f>IFERROR(__xludf.DUMMYFUNCTION("""COMPUTED_VALUE"""),24.2)</f>
        <v>24.2</v>
      </c>
      <c r="S460" s="65">
        <f>IFERROR(__xludf.DUMMYFUNCTION("""COMPUTED_VALUE"""),8.28)</f>
        <v>8.28</v>
      </c>
      <c r="T460" s="65">
        <f>IFERROR(__xludf.DUMMYFUNCTION("""COMPUTED_VALUE"""),5.92)</f>
        <v>5.92</v>
      </c>
      <c r="U460" s="65">
        <f>IFERROR(__xludf.DUMMYFUNCTION("""COMPUTED_VALUE"""),0.0)</f>
        <v>0</v>
      </c>
      <c r="V460" s="65">
        <f>IFERROR(__xludf.DUMMYFUNCTION("""COMPUTED_VALUE"""),0.0)</f>
        <v>0</v>
      </c>
      <c r="W460" s="65">
        <f>IFERROR(__xludf.DUMMYFUNCTION("""COMPUTED_VALUE"""),0.0)</f>
        <v>0</v>
      </c>
      <c r="X460" s="65">
        <f>IFERROR(__xludf.DUMMYFUNCTION("""COMPUTED_VALUE"""),5.0)</f>
        <v>5</v>
      </c>
      <c r="Y460" s="65">
        <f>IFERROR(__xludf.DUMMYFUNCTION("""COMPUTED_VALUE"""),10.0)</f>
        <v>10</v>
      </c>
      <c r="Z460" s="65">
        <f>IFERROR(__xludf.DUMMYFUNCTION("""COMPUTED_VALUE"""),130492.0)</f>
        <v>130492</v>
      </c>
      <c r="AA460" s="65" t="str">
        <f>IFERROR(__xludf.DUMMYFUNCTION("""COMPUTED_VALUE"""),"IMX-00006")</f>
        <v>IMX-00006</v>
      </c>
      <c r="AB460" s="65"/>
      <c r="AC460" s="65" t="str">
        <f>IFERROR(__xludf.DUMMYFUNCTION("""COMPUTED_VALUE"""),"Receptor Bluetooth")</f>
        <v>Receptor Bluetooth</v>
      </c>
      <c r="AD460" s="65"/>
      <c r="AE460" s="65">
        <f>IFERROR(__xludf.DUMMYFUNCTION("""COMPUTED_VALUE"""),2.0)</f>
        <v>2</v>
      </c>
      <c r="AF460" s="65" t="str">
        <f>IFERROR(__xludf.DUMMYFUNCTION("""COMPUTED_VALUE"""),"DESTINATARIO AGENDA, FECHA Y HORA DE ENTREGA Y YA NO CONTESTA")</f>
        <v>DESTINATARIO AGENDA, FECHA Y HORA DE ENTREGA Y YA NO CONTESTA</v>
      </c>
      <c r="AG460" s="65" t="str">
        <f>IFERROR(__xludf.DUMMYFUNCTION("""COMPUTED_VALUE"""),"SI")</f>
        <v>SI</v>
      </c>
      <c r="AH460" s="65" t="str">
        <f>IFERROR(__xludf.DUMMYFUNCTION("""COMPUTED_VALUE"""),"14:04")</f>
        <v>14:04</v>
      </c>
      <c r="AI460" s="65" t="str">
        <f>IFERROR(__xludf.DUMMYFUNCTION("""COMPUTED_VALUE"""),"05-03-2026")</f>
        <v>05-03-2026</v>
      </c>
      <c r="AJ460" s="65" t="str">
        <f>IFERROR(__xludf.DUMMYFUNCTION("""COMPUTED_VALUE"""),"Cliente solicita la entrega inmediata.")</f>
        <v>Cliente solicita la entrega inmediata.</v>
      </c>
      <c r="AK460" s="65" t="str">
        <f>IFERROR(__xludf.DUMMYFUNCTION("""COMPUTED_VALUE"""),"11:01")</f>
        <v>11:01</v>
      </c>
      <c r="AL460" s="65" t="str">
        <f>IFERROR(__xludf.DUMMYFUNCTION("""COMPUTED_VALUE"""),"06-03-2026")</f>
        <v>06-03-2026</v>
      </c>
      <c r="AM460" s="65"/>
      <c r="AN460" s="65" t="str">
        <f>IFERROR(__xludf.DUMMYFUNCTION("""COMPUTED_VALUE"""),"17:54")</f>
        <v>17:54</v>
      </c>
      <c r="AO460" s="65" t="str">
        <f>IFERROR(__xludf.DUMMYFUNCTION("""COMPUTED_VALUE"""),"08-03-2026")</f>
        <v>08-03-2026</v>
      </c>
      <c r="AP460" s="65" t="str">
        <f>IFERROR(__xludf.DUMMYFUNCTION("""COMPUTED_VALUE"""),"ENTREGADA GINTRACOM")</f>
        <v>ENTREGADA GINTRACOM</v>
      </c>
      <c r="AQ460" s="65" t="str">
        <f>IFERROR(__xludf.DUMMYFUNCTION("""COMPUTED_VALUE"""),"ENTREGADA GINTRACOM")</f>
        <v>ENTREGADA GINTRACOM</v>
      </c>
      <c r="AR460" s="65"/>
      <c r="AS460" s="65"/>
      <c r="AT460" s="65" t="str">
        <f>IFERROR(__xludf.DUMMYFUNCTION("""COMPUTED_VALUE"""),"SHOPIFY")</f>
        <v>SHOPIFY</v>
      </c>
      <c r="AU460" s="65" t="str">
        <f>IFERROR(__xludf.DUMMYFUNCTION("""COMPUTED_VALUE"""),"IMPORTEX EC")</f>
        <v>IMPORTEX EC</v>
      </c>
      <c r="AV460" s="65" t="str">
        <f>IFERROR(__xludf.DUMMYFUNCTION("""COMPUTED_VALUE"""),"6545812848684")</f>
        <v>6545812848684</v>
      </c>
      <c r="AW460" s="65">
        <f>IFERROR(__xludf.DUMMYFUNCTION("""COMPUTED_VALUE"""),6405.0)</f>
        <v>6405</v>
      </c>
      <c r="AX460" s="65"/>
      <c r="AY460" s="65" t="str">
        <f>IFERROR(__xludf.DUMMYFUNCTION("""COMPUTED_VALUE"""),"03/03/2026")</f>
        <v>03/03/2026</v>
      </c>
      <c r="AZ460" s="65"/>
      <c r="BA460" s="65"/>
    </row>
    <row r="461">
      <c r="A461" s="65" t="str">
        <f>IFERROR(__xludf.DUMMYFUNCTION("""COMPUTED_VALUE"""),"27-03-2026")</f>
        <v>27-03-2026</v>
      </c>
      <c r="B461" s="65">
        <f>IFERROR(__xludf.DUMMYFUNCTION("""COMPUTED_VALUE"""),4647784.0)</f>
        <v>4647784</v>
      </c>
      <c r="C461" s="65" t="str">
        <f>IFERROR(__xludf.DUMMYFUNCTION("""COMPUTED_VALUE"""),"21:17")</f>
        <v>21:17</v>
      </c>
      <c r="D461" s="65" t="str">
        <f>IFERROR(__xludf.DUMMYFUNCTION("""COMPUTED_VALUE"""),"27-02-2026")</f>
        <v>27-02-2026</v>
      </c>
      <c r="E461" s="65" t="str">
        <f>IFERROR(__xludf.DUMMYFUNCTION("""COMPUTED_VALUE"""),"Gina Loor")</f>
        <v>Gina Loor</v>
      </c>
      <c r="F461" s="65" t="str">
        <f>IFERROR(__xludf.DUMMYFUNCTION("""COMPUTED_VALUE"""),"981267638")</f>
        <v>981267638</v>
      </c>
      <c r="G461" s="65" t="str">
        <f>IFERROR(__xludf.DUMMYFUNCTION("""COMPUTED_VALUE"""),"ginajazminloorcaicedo@gmail.com")</f>
        <v>ginajazminloorcaicedo@gmail.com</v>
      </c>
      <c r="H461" s="65"/>
      <c r="I461" s="65"/>
      <c r="J461" s="65" t="str">
        <f>IFERROR(__xludf.DUMMYFUNCTION("""COMPUTED_VALUE"""),"D001373784")</f>
        <v>D001373784</v>
      </c>
      <c r="K461" s="65" t="str">
        <f>IFERROR(__xludf.DUMMYFUNCTION("""COMPUTED_VALUE"""),"DEVOLUCION")</f>
        <v>DEVOLUCION</v>
      </c>
      <c r="L461" s="65" t="str">
        <f>IFERROR(__xludf.DUMMYFUNCTION("""COMPUTED_VALUE"""),"CON RECAUDO")</f>
        <v>CON RECAUDO</v>
      </c>
      <c r="M461" s="65" t="str">
        <f>IFERROR(__xludf.DUMMYFUNCTION("""COMPUTED_VALUE"""),"GUAYAS")</f>
        <v>GUAYAS</v>
      </c>
      <c r="N461" s="65" t="str">
        <f>IFERROR(__xludf.DUMMYFUNCTION("""COMPUTED_VALUE"""),"NARANJAL")</f>
        <v>NARANJAL</v>
      </c>
      <c r="O461" s="65" t="str">
        <f>IFERROR(__xludf.DUMMYFUNCTION("""COMPUTED_VALUE"""),"Av Olmedo y calle Bolivar , Referencia :  parque central")</f>
        <v>Av Olmedo y calle Bolivar , Referencia :  parque central</v>
      </c>
      <c r="P461" s="65"/>
      <c r="Q461" s="65" t="str">
        <f>IFERROR(__xludf.DUMMYFUNCTION("""COMPUTED_VALUE"""),"GINTRACOM")</f>
        <v>GINTRACOM</v>
      </c>
      <c r="R461" s="65">
        <f>IFERROR(__xludf.DUMMYFUNCTION("""COMPUTED_VALUE"""),20.0)</f>
        <v>20</v>
      </c>
      <c r="S461" s="65"/>
      <c r="T461" s="65">
        <f>IFERROR(__xludf.DUMMYFUNCTION("""COMPUTED_VALUE"""),5.76)</f>
        <v>5.76</v>
      </c>
      <c r="U461" s="65">
        <f>IFERROR(__xludf.DUMMYFUNCTION("""COMPUTED_VALUE"""),0.0)</f>
        <v>0</v>
      </c>
      <c r="V461" s="65">
        <f>IFERROR(__xludf.DUMMYFUNCTION("""COMPUTED_VALUE"""),0.0)</f>
        <v>0</v>
      </c>
      <c r="W461" s="65">
        <f>IFERROR(__xludf.DUMMYFUNCTION("""COMPUTED_VALUE"""),0.0)</f>
        <v>0</v>
      </c>
      <c r="X461" s="65">
        <f>IFERROR(__xludf.DUMMYFUNCTION("""COMPUTED_VALUE"""),2.35)</f>
        <v>2.35</v>
      </c>
      <c r="Y461" s="65">
        <f>IFERROR(__xludf.DUMMYFUNCTION("""COMPUTED_VALUE"""),2.35)</f>
        <v>2.35</v>
      </c>
      <c r="Z461" s="65">
        <f>IFERROR(__xludf.DUMMYFUNCTION("""COMPUTED_VALUE"""),116679.0)</f>
        <v>116679</v>
      </c>
      <c r="AA461" s="65" t="str">
        <f>IFERROR(__xludf.DUMMYFUNCTION("""COMPUTED_VALUE"""),"AMC-2738")</f>
        <v>AMC-2738</v>
      </c>
      <c r="AB461" s="65"/>
      <c r="AC461" s="65" t="str">
        <f>IFERROR(__xludf.DUMMYFUNCTION("""COMPUTED_VALUE"""),"ESPONJA ANTILLUVIA DE PARABRISAS")</f>
        <v>ESPONJA ANTILLUVIA DE PARABRISAS</v>
      </c>
      <c r="AD461" s="65"/>
      <c r="AE461" s="65">
        <f>IFERROR(__xludf.DUMMYFUNCTION("""COMPUTED_VALUE"""),1.0)</f>
        <v>1</v>
      </c>
      <c r="AF461" s="65" t="str">
        <f>IFERROR(__xludf.DUMMYFUNCTION("""COMPUTED_VALUE"""),"DESTINATARIO INDICA QUE NO HA COMPRADO NINGÚN PRODUCTO")</f>
        <v>DESTINATARIO INDICA QUE NO HA COMPRADO NINGÚN PRODUCTO</v>
      </c>
      <c r="AG461" s="65" t="str">
        <f>IFERROR(__xludf.DUMMYFUNCTION("""COMPUTED_VALUE"""),"SI")</f>
        <v>SI</v>
      </c>
      <c r="AH461" s="65" t="str">
        <f>IFERROR(__xludf.DUMMYFUNCTION("""COMPUTED_VALUE"""),"14:20")</f>
        <v>14:20</v>
      </c>
      <c r="AI461" s="65" t="str">
        <f>IFERROR(__xludf.DUMMYFUNCTION("""COMPUTED_VALUE"""),"04-03-2026")</f>
        <v>04-03-2026</v>
      </c>
      <c r="AJ461" s="65" t="str">
        <f>IFERROR(__xludf.DUMMYFUNCTION("""COMPUTED_VALUE"""),"CLIENTE INDICA QUE LA TRANSPORTADORA NO SE HA COMUNICADO .. QUE SOLO LE HAN LLAMD PERO NO HA RECHAZADO LA COMPRA")</f>
        <v>CLIENTE INDICA QUE LA TRANSPORTADORA NO SE HA COMUNICADO .. QUE SOLO LE HAN LLAMD PERO NO HA RECHAZADO LA COMPRA</v>
      </c>
      <c r="AK461" s="65" t="str">
        <f>IFERROR(__xludf.DUMMYFUNCTION("""COMPUTED_VALUE"""),"19:52")</f>
        <v>19:52</v>
      </c>
      <c r="AL461" s="65" t="str">
        <f>IFERROR(__xludf.DUMMYFUNCTION("""COMPUTED_VALUE"""),"04-03-2026")</f>
        <v>04-03-2026</v>
      </c>
      <c r="AM461" s="65"/>
      <c r="AN461" s="65" t="str">
        <f>IFERROR(__xludf.DUMMYFUNCTION("""COMPUTED_VALUE"""),"15:34")</f>
        <v>15:34</v>
      </c>
      <c r="AO461" s="65" t="str">
        <f>IFERROR(__xludf.DUMMYFUNCTION("""COMPUTED_VALUE"""),"26-03-2026")</f>
        <v>26-03-2026</v>
      </c>
      <c r="AP461" s="65" t="str">
        <f>IFERROR(__xludf.DUMMYFUNCTION("""COMPUTED_VALUE"""),"DEVOLUCIÓN ENTREGADA A ORIGEN")</f>
        <v>DEVOLUCIÓN ENTREGADA A ORIGEN</v>
      </c>
      <c r="AQ461" s="65" t="str">
        <f>IFERROR(__xludf.DUMMYFUNCTION("""COMPUTED_VALUE"""),"DEVOLUCIÓN ENTREGADA A ORIGEN")</f>
        <v>DEVOLUCIÓN ENTREGADA A ORIGEN</v>
      </c>
      <c r="AR461" s="65"/>
      <c r="AS461" s="65"/>
      <c r="AT461" s="65" t="str">
        <f>IFERROR(__xludf.DUMMYFUNCTION("""COMPUTED_VALUE"""),"SHOPIFY")</f>
        <v>SHOPIFY</v>
      </c>
      <c r="AU461" s="65" t="str">
        <f>IFERROR(__xludf.DUMMYFUNCTION("""COMPUTED_VALUE"""),"IMPORTEX EC")</f>
        <v>IMPORTEX EC</v>
      </c>
      <c r="AV461" s="65" t="str">
        <f>IFERROR(__xludf.DUMMYFUNCTION("""COMPUTED_VALUE"""),"6545740922924")</f>
        <v>6545740922924</v>
      </c>
      <c r="AW461" s="65">
        <f>IFERROR(__xludf.DUMMYFUNCTION("""COMPUTED_VALUE"""),6404.0)</f>
        <v>6404</v>
      </c>
      <c r="AX461" s="65"/>
      <c r="AY461" s="65" t="str">
        <f>IFERROR(__xludf.DUMMYFUNCTION("""COMPUTED_VALUE"""),"02/03/2026")</f>
        <v>02/03/2026</v>
      </c>
      <c r="AZ461" s="65"/>
      <c r="BA461" s="65"/>
    </row>
    <row r="462">
      <c r="A462" s="65" t="str">
        <f>IFERROR(__xludf.DUMMYFUNCTION("""COMPUTED_VALUE"""),"27-03-2026")</f>
        <v>27-03-2026</v>
      </c>
      <c r="B462" s="65">
        <f>IFERROR(__xludf.DUMMYFUNCTION("""COMPUTED_VALUE"""),4647770.0)</f>
        <v>4647770</v>
      </c>
      <c r="C462" s="65" t="str">
        <f>IFERROR(__xludf.DUMMYFUNCTION("""COMPUTED_VALUE"""),"21:16")</f>
        <v>21:16</v>
      </c>
      <c r="D462" s="65" t="str">
        <f>IFERROR(__xludf.DUMMYFUNCTION("""COMPUTED_VALUE"""),"27-02-2026")</f>
        <v>27-02-2026</v>
      </c>
      <c r="E462" s="65" t="str">
        <f>IFERROR(__xludf.DUMMYFUNCTION("""COMPUTED_VALUE"""),"Juan Malliquinga")</f>
        <v>Juan Malliquinga</v>
      </c>
      <c r="F462" s="65" t="str">
        <f>IFERROR(__xludf.DUMMYFUNCTION("""COMPUTED_VALUE"""),"998308778")</f>
        <v>998308778</v>
      </c>
      <c r="G462" s="65" t="str">
        <f>IFERROR(__xludf.DUMMYFUNCTION("""COMPUTED_VALUE"""),"frans8610@gmail.com")</f>
        <v>frans8610@gmail.com</v>
      </c>
      <c r="H462" s="65"/>
      <c r="I462" s="65"/>
      <c r="J462" s="65"/>
      <c r="K462" s="65" t="str">
        <f>IFERROR(__xludf.DUMMYFUNCTION("""COMPUTED_VALUE"""),"PENDIENTE CONFIRMACION")</f>
        <v>PENDIENTE CONFIRMACION</v>
      </c>
      <c r="L462" s="65" t="str">
        <f>IFERROR(__xludf.DUMMYFUNCTION("""COMPUTED_VALUE"""),"CON RECAUDO")</f>
        <v>CON RECAUDO</v>
      </c>
      <c r="M462" s="65" t="str">
        <f>IFERROR(__xludf.DUMMYFUNCTION("""COMPUTED_VALUE"""),"COTOPAXI")</f>
        <v>COTOPAXI</v>
      </c>
      <c r="N462" s="65" t="str">
        <f>IFERROR(__xludf.DUMMYFUNCTION("""COMPUTED_VALUE"""),"PUJILI")</f>
        <v>PUJILI</v>
      </c>
      <c r="O462" s="65" t="str">
        <f>IFERROR(__xludf.DUMMYFUNCTION("""COMPUTED_VALUE"""),"Avenida Velasco Ibarra Barrio patoa de Izurieta -")</f>
        <v>Avenida Velasco Ibarra Barrio patoa de Izurieta -</v>
      </c>
      <c r="P462" s="65"/>
      <c r="Q462" s="65" t="str">
        <f>IFERROR(__xludf.DUMMYFUNCTION("""COMPUTED_VALUE"""),"GINTRACOM")</f>
        <v>GINTRACOM</v>
      </c>
      <c r="R462" s="65">
        <f>IFERROR(__xludf.DUMMYFUNCTION("""COMPUTED_VALUE"""),24.2)</f>
        <v>24.2</v>
      </c>
      <c r="S462" s="65"/>
      <c r="T462" s="65">
        <f>IFERROR(__xludf.DUMMYFUNCTION("""COMPUTED_VALUE"""),6.49)</f>
        <v>6.49</v>
      </c>
      <c r="U462" s="65">
        <f>IFERROR(__xludf.DUMMYFUNCTION("""COMPUTED_VALUE"""),0.0)</f>
        <v>0</v>
      </c>
      <c r="V462" s="65">
        <f>IFERROR(__xludf.DUMMYFUNCTION("""COMPUTED_VALUE"""),0.0)</f>
        <v>0</v>
      </c>
      <c r="W462" s="65">
        <f>IFERROR(__xludf.DUMMYFUNCTION("""COMPUTED_VALUE"""),0.0)</f>
        <v>0</v>
      </c>
      <c r="X462" s="65">
        <f>IFERROR(__xludf.DUMMYFUNCTION("""COMPUTED_VALUE"""),5.0)</f>
        <v>5</v>
      </c>
      <c r="Y462" s="65">
        <f>IFERROR(__xludf.DUMMYFUNCTION("""COMPUTED_VALUE"""),10.0)</f>
        <v>10</v>
      </c>
      <c r="Z462" s="65">
        <f>IFERROR(__xludf.DUMMYFUNCTION("""COMPUTED_VALUE"""),130492.0)</f>
        <v>130492</v>
      </c>
      <c r="AA462" s="65" t="str">
        <f>IFERROR(__xludf.DUMMYFUNCTION("""COMPUTED_VALUE"""),"IMX-00006")</f>
        <v>IMX-00006</v>
      </c>
      <c r="AB462" s="65"/>
      <c r="AC462" s="65" t="str">
        <f>IFERROR(__xludf.DUMMYFUNCTION("""COMPUTED_VALUE"""),"Receptor Bluetooth")</f>
        <v>Receptor Bluetooth</v>
      </c>
      <c r="AD462" s="65"/>
      <c r="AE462" s="65">
        <f>IFERROR(__xludf.DUMMYFUNCTION("""COMPUTED_VALUE"""),2.0)</f>
        <v>2</v>
      </c>
      <c r="AF462" s="65"/>
      <c r="AG462" s="65"/>
      <c r="AH462" s="65"/>
      <c r="AI462" s="65"/>
      <c r="AJ462" s="65"/>
      <c r="AK462" s="65"/>
      <c r="AL462" s="65"/>
      <c r="AM462" s="65"/>
      <c r="AN462" s="65"/>
      <c r="AO462" s="65"/>
      <c r="AP462" s="65"/>
      <c r="AQ462" s="65"/>
      <c r="AR462" s="65"/>
      <c r="AS462" s="65"/>
      <c r="AT462" s="65" t="str">
        <f>IFERROR(__xludf.DUMMYFUNCTION("""COMPUTED_VALUE"""),"SHOPIFY")</f>
        <v>SHOPIFY</v>
      </c>
      <c r="AU462" s="65" t="str">
        <f>IFERROR(__xludf.DUMMYFUNCTION("""COMPUTED_VALUE"""),"IMPORTEX EC")</f>
        <v>IMPORTEX EC</v>
      </c>
      <c r="AV462" s="65" t="str">
        <f>IFERROR(__xludf.DUMMYFUNCTION("""COMPUTED_VALUE"""),"6545737809964")</f>
        <v>6545737809964</v>
      </c>
      <c r="AW462" s="65">
        <f>IFERROR(__xludf.DUMMYFUNCTION("""COMPUTED_VALUE"""),6403.0)</f>
        <v>6403</v>
      </c>
      <c r="AX462" s="65"/>
      <c r="AY462" s="65"/>
      <c r="AZ462" s="65"/>
      <c r="BA462" s="65"/>
    </row>
    <row r="463">
      <c r="A463" s="65" t="str">
        <f>IFERROR(__xludf.DUMMYFUNCTION("""COMPUTED_VALUE"""),"27-03-2026")</f>
        <v>27-03-2026</v>
      </c>
      <c r="B463" s="65">
        <f>IFERROR(__xludf.DUMMYFUNCTION("""COMPUTED_VALUE"""),4647606.0)</f>
        <v>4647606</v>
      </c>
      <c r="C463" s="65" t="str">
        <f>IFERROR(__xludf.DUMMYFUNCTION("""COMPUTED_VALUE"""),"20:55")</f>
        <v>20:55</v>
      </c>
      <c r="D463" s="65" t="str">
        <f>IFERROR(__xludf.DUMMYFUNCTION("""COMPUTED_VALUE"""),"27-02-2026")</f>
        <v>27-02-2026</v>
      </c>
      <c r="E463" s="65" t="str">
        <f>IFERROR(__xludf.DUMMYFUNCTION("""COMPUTED_VALUE"""),"Jose ninasunta")</f>
        <v>Jose ninasunta</v>
      </c>
      <c r="F463" s="65" t="str">
        <f>IFERROR(__xludf.DUMMYFUNCTION("""COMPUTED_VALUE"""),"999827663")</f>
        <v>999827663</v>
      </c>
      <c r="G463" s="65" t="str">
        <f>IFERROR(__xludf.DUMMYFUNCTION("""COMPUTED_VALUE"""),"julioninasunta1968@gmail.com")</f>
        <v>julioninasunta1968@gmail.com</v>
      </c>
      <c r="H463" s="65"/>
      <c r="I463" s="65"/>
      <c r="J463" s="65" t="str">
        <f>IFERROR(__xludf.DUMMYFUNCTION("""COMPUTED_VALUE"""),"D001373785")</f>
        <v>D001373785</v>
      </c>
      <c r="K463" s="65" t="str">
        <f>IFERROR(__xludf.DUMMYFUNCTION("""COMPUTED_VALUE"""),"ENTREGADO")</f>
        <v>ENTREGADO</v>
      </c>
      <c r="L463" s="65" t="str">
        <f>IFERROR(__xludf.DUMMYFUNCTION("""COMPUTED_VALUE"""),"CON RECAUDO")</f>
        <v>CON RECAUDO</v>
      </c>
      <c r="M463" s="65" t="str">
        <f>IFERROR(__xludf.DUMMYFUNCTION("""COMPUTED_VALUE"""),"PICHINCHA")</f>
        <v>PICHINCHA</v>
      </c>
      <c r="N463" s="65" t="str">
        <f>IFERROR(__xludf.DUMMYFUNCTION("""COMPUTED_VALUE"""),"QUITO")</f>
        <v>QUITO</v>
      </c>
      <c r="O463" s="65" t="str">
        <f>IFERROR(__xludf.DUMMYFUNCTION("""COMPUTED_VALUE"""),"Av. Leonidas doubles y E4G barrio Caupicho Sur de Quitoa Diagonal al parque caupicho -")</f>
        <v>Av. Leonidas doubles y E4G barrio Caupicho Sur de Quitoa Diagonal al parque caupicho -</v>
      </c>
      <c r="P463" s="65"/>
      <c r="Q463" s="65" t="str">
        <f>IFERROR(__xludf.DUMMYFUNCTION("""COMPUTED_VALUE"""),"GINTRACOM")</f>
        <v>GINTRACOM</v>
      </c>
      <c r="R463" s="65">
        <f>IFERROR(__xludf.DUMMYFUNCTION("""COMPUTED_VALUE"""),30.0)</f>
        <v>30</v>
      </c>
      <c r="S463" s="65">
        <f>IFERROR(__xludf.DUMMYFUNCTION("""COMPUTED_VALUE"""),18.4)</f>
        <v>18.4</v>
      </c>
      <c r="T463" s="65">
        <f>IFERROR(__xludf.DUMMYFUNCTION("""COMPUTED_VALUE"""),4.55)</f>
        <v>4.55</v>
      </c>
      <c r="U463" s="65">
        <f>IFERROR(__xludf.DUMMYFUNCTION("""COMPUTED_VALUE"""),0.0)</f>
        <v>0</v>
      </c>
      <c r="V463" s="65">
        <f>IFERROR(__xludf.DUMMYFUNCTION("""COMPUTED_VALUE"""),0.0)</f>
        <v>0</v>
      </c>
      <c r="W463" s="65">
        <f>IFERROR(__xludf.DUMMYFUNCTION("""COMPUTED_VALUE"""),0.0)</f>
        <v>0</v>
      </c>
      <c r="X463" s="65">
        <f>IFERROR(__xludf.DUMMYFUNCTION("""COMPUTED_VALUE"""),2.35)</f>
        <v>2.35</v>
      </c>
      <c r="Y463" s="65">
        <f>IFERROR(__xludf.DUMMYFUNCTION("""COMPUTED_VALUE"""),7.05)</f>
        <v>7.05</v>
      </c>
      <c r="Z463" s="65">
        <f>IFERROR(__xludf.DUMMYFUNCTION("""COMPUTED_VALUE"""),116679.0)</f>
        <v>116679</v>
      </c>
      <c r="AA463" s="65" t="str">
        <f>IFERROR(__xludf.DUMMYFUNCTION("""COMPUTED_VALUE"""),"AMC-2738")</f>
        <v>AMC-2738</v>
      </c>
      <c r="AB463" s="65"/>
      <c r="AC463" s="65" t="str">
        <f>IFERROR(__xludf.DUMMYFUNCTION("""COMPUTED_VALUE"""),"ESPONJA ANTILLUVIA DE PARABRISAS")</f>
        <v>ESPONJA ANTILLUVIA DE PARABRISAS</v>
      </c>
      <c r="AD463" s="65"/>
      <c r="AE463" s="65">
        <f>IFERROR(__xludf.DUMMYFUNCTION("""COMPUTED_VALUE"""),3.0)</f>
        <v>3</v>
      </c>
      <c r="AF463" s="65"/>
      <c r="AG463" s="65"/>
      <c r="AH463" s="65"/>
      <c r="AI463" s="65"/>
      <c r="AJ463" s="65"/>
      <c r="AK463" s="65"/>
      <c r="AL463" s="65"/>
      <c r="AM463" s="65"/>
      <c r="AN463" s="65" t="str">
        <f>IFERROR(__xludf.DUMMYFUNCTION("""COMPUTED_VALUE"""),"09:55")</f>
        <v>09:55</v>
      </c>
      <c r="AO463" s="65" t="str">
        <f>IFERROR(__xludf.DUMMYFUNCTION("""COMPUTED_VALUE"""),"06-03-2026")</f>
        <v>06-03-2026</v>
      </c>
      <c r="AP463" s="65" t="str">
        <f>IFERROR(__xludf.DUMMYFUNCTION("""COMPUTED_VALUE"""),"ENTREGADA GINTRACOM")</f>
        <v>ENTREGADA GINTRACOM</v>
      </c>
      <c r="AQ463" s="65" t="str">
        <f>IFERROR(__xludf.DUMMYFUNCTION("""COMPUTED_VALUE"""),"ENTREGADA GINTRACOM")</f>
        <v>ENTREGADA GINTRACOM</v>
      </c>
      <c r="AR463" s="65"/>
      <c r="AS463" s="65"/>
      <c r="AT463" s="65" t="str">
        <f>IFERROR(__xludf.DUMMYFUNCTION("""COMPUTED_VALUE"""),"SHOPIFY")</f>
        <v>SHOPIFY</v>
      </c>
      <c r="AU463" s="65" t="str">
        <f>IFERROR(__xludf.DUMMYFUNCTION("""COMPUTED_VALUE"""),"IMPORTEX EC")</f>
        <v>IMPORTEX EC</v>
      </c>
      <c r="AV463" s="65" t="str">
        <f>IFERROR(__xludf.DUMMYFUNCTION("""COMPUTED_VALUE"""),"6545698816044")</f>
        <v>6545698816044</v>
      </c>
      <c r="AW463" s="65">
        <f>IFERROR(__xludf.DUMMYFUNCTION("""COMPUTED_VALUE"""),6402.0)</f>
        <v>6402</v>
      </c>
      <c r="AX463" s="65"/>
      <c r="AY463" s="65" t="str">
        <f>IFERROR(__xludf.DUMMYFUNCTION("""COMPUTED_VALUE"""),"02/03/2026")</f>
        <v>02/03/2026</v>
      </c>
      <c r="AZ463" s="65"/>
      <c r="BA463" s="65"/>
    </row>
    <row r="464">
      <c r="A464" s="65" t="str">
        <f>IFERROR(__xludf.DUMMYFUNCTION("""COMPUTED_VALUE"""),"27-03-2026")</f>
        <v>27-03-2026</v>
      </c>
      <c r="B464" s="65">
        <f>IFERROR(__xludf.DUMMYFUNCTION("""COMPUTED_VALUE"""),4647597.0)</f>
        <v>4647597</v>
      </c>
      <c r="C464" s="65" t="str">
        <f>IFERROR(__xludf.DUMMYFUNCTION("""COMPUTED_VALUE"""),"20:54")</f>
        <v>20:54</v>
      </c>
      <c r="D464" s="65" t="str">
        <f>IFERROR(__xludf.DUMMYFUNCTION("""COMPUTED_VALUE"""),"27-02-2026")</f>
        <v>27-02-2026</v>
      </c>
      <c r="E464" s="65" t="str">
        <f>IFERROR(__xludf.DUMMYFUNCTION("""COMPUTED_VALUE"""),"Víctor Rosas Rosas")</f>
        <v>Víctor Rosas Rosas</v>
      </c>
      <c r="F464" s="65" t="str">
        <f>IFERROR(__xludf.DUMMYFUNCTION("""COMPUTED_VALUE"""),"995725588")</f>
        <v>995725588</v>
      </c>
      <c r="G464" s="65" t="str">
        <f>IFERROR(__xludf.DUMMYFUNCTION("""COMPUTED_VALUE"""),"victor_rosas63@hotmail.com")</f>
        <v>victor_rosas63@hotmail.com</v>
      </c>
      <c r="H464" s="65"/>
      <c r="I464" s="65"/>
      <c r="J464" s="65" t="str">
        <f>IFERROR(__xludf.DUMMYFUNCTION("""COMPUTED_VALUE"""),"D001373786")</f>
        <v>D001373786</v>
      </c>
      <c r="K464" s="65" t="str">
        <f>IFERROR(__xludf.DUMMYFUNCTION("""COMPUTED_VALUE"""),"ENTREGADO")</f>
        <v>ENTREGADO</v>
      </c>
      <c r="L464" s="65" t="str">
        <f>IFERROR(__xludf.DUMMYFUNCTION("""COMPUTED_VALUE"""),"CON RECAUDO")</f>
        <v>CON RECAUDO</v>
      </c>
      <c r="M464" s="65" t="str">
        <f>IFERROR(__xludf.DUMMYFUNCTION("""COMPUTED_VALUE"""),"MANABI")</f>
        <v>MANABI</v>
      </c>
      <c r="N464" s="65" t="str">
        <f>IFERROR(__xludf.DUMMYFUNCTION("""COMPUTED_VALUE"""),"PORTOVIEJO")</f>
        <v>PORTOVIEJO</v>
      </c>
      <c r="O464" s="65" t="str">
        <f>IFERROR(__xludf.DUMMYFUNCTION("""COMPUTED_VALUE"""),"Las Orquídeas  Calle D-1 Y jJaime Roldos Aguilera . - REFERENCIA : TIENDA 3 HERMANOS . ( BUSCAR EN WAZE O MAPS LA TIENDA)")</f>
        <v>Las Orquídeas  Calle D-1 Y jJaime Roldos Aguilera . - REFERENCIA : TIENDA 3 HERMANOS . ( BUSCAR EN WAZE O MAPS LA TIENDA)</v>
      </c>
      <c r="P464" s="65"/>
      <c r="Q464" s="65" t="str">
        <f>IFERROR(__xludf.DUMMYFUNCTION("""COMPUTED_VALUE"""),"GINTRACOM")</f>
        <v>GINTRACOM</v>
      </c>
      <c r="R464" s="65">
        <f>IFERROR(__xludf.DUMMYFUNCTION("""COMPUTED_VALUE"""),25.0)</f>
        <v>25</v>
      </c>
      <c r="S464" s="65">
        <f>IFERROR(__xludf.DUMMYFUNCTION("""COMPUTED_VALUE"""),14.34)</f>
        <v>14.34</v>
      </c>
      <c r="T464" s="65">
        <f>IFERROR(__xludf.DUMMYFUNCTION("""COMPUTED_VALUE"""),5.96)</f>
        <v>5.96</v>
      </c>
      <c r="U464" s="65">
        <f>IFERROR(__xludf.DUMMYFUNCTION("""COMPUTED_VALUE"""),0.0)</f>
        <v>0</v>
      </c>
      <c r="V464" s="65">
        <f>IFERROR(__xludf.DUMMYFUNCTION("""COMPUTED_VALUE"""),0.0)</f>
        <v>0</v>
      </c>
      <c r="W464" s="65">
        <f>IFERROR(__xludf.DUMMYFUNCTION("""COMPUTED_VALUE"""),0.0)</f>
        <v>0</v>
      </c>
      <c r="X464" s="65">
        <f>IFERROR(__xludf.DUMMYFUNCTION("""COMPUTED_VALUE"""),2.35)</f>
        <v>2.35</v>
      </c>
      <c r="Y464" s="65">
        <f>IFERROR(__xludf.DUMMYFUNCTION("""COMPUTED_VALUE"""),4.7)</f>
        <v>4.7</v>
      </c>
      <c r="Z464" s="65">
        <f>IFERROR(__xludf.DUMMYFUNCTION("""COMPUTED_VALUE"""),116679.0)</f>
        <v>116679</v>
      </c>
      <c r="AA464" s="65" t="str">
        <f>IFERROR(__xludf.DUMMYFUNCTION("""COMPUTED_VALUE"""),"AMC-2738")</f>
        <v>AMC-2738</v>
      </c>
      <c r="AB464" s="65"/>
      <c r="AC464" s="65" t="str">
        <f>IFERROR(__xludf.DUMMYFUNCTION("""COMPUTED_VALUE"""),"ESPONJA ANTILLUVIA DE PARABRISAS")</f>
        <v>ESPONJA ANTILLUVIA DE PARABRISAS</v>
      </c>
      <c r="AD464" s="65"/>
      <c r="AE464" s="65">
        <f>IFERROR(__xludf.DUMMYFUNCTION("""COMPUTED_VALUE"""),2.0)</f>
        <v>2</v>
      </c>
      <c r="AF464" s="65"/>
      <c r="AG464" s="65"/>
      <c r="AH464" s="65"/>
      <c r="AI464" s="65"/>
      <c r="AJ464" s="65"/>
      <c r="AK464" s="65"/>
      <c r="AL464" s="65"/>
      <c r="AM464" s="65"/>
      <c r="AN464" s="65" t="str">
        <f>IFERROR(__xludf.DUMMYFUNCTION("""COMPUTED_VALUE"""),"09:56")</f>
        <v>09:56</v>
      </c>
      <c r="AO464" s="65" t="str">
        <f>IFERROR(__xludf.DUMMYFUNCTION("""COMPUTED_VALUE"""),"06-03-2026")</f>
        <v>06-03-2026</v>
      </c>
      <c r="AP464" s="65" t="str">
        <f>IFERROR(__xludf.DUMMYFUNCTION("""COMPUTED_VALUE"""),"ENTREGADA GINTRACOM")</f>
        <v>ENTREGADA GINTRACOM</v>
      </c>
      <c r="AQ464" s="65" t="str">
        <f>IFERROR(__xludf.DUMMYFUNCTION("""COMPUTED_VALUE"""),"ENTREGADA GINTRACOM")</f>
        <v>ENTREGADA GINTRACOM</v>
      </c>
      <c r="AR464" s="65"/>
      <c r="AS464" s="65"/>
      <c r="AT464" s="65" t="str">
        <f>IFERROR(__xludf.DUMMYFUNCTION("""COMPUTED_VALUE"""),"SHOPIFY")</f>
        <v>SHOPIFY</v>
      </c>
      <c r="AU464" s="65" t="str">
        <f>IFERROR(__xludf.DUMMYFUNCTION("""COMPUTED_VALUE"""),"IMPORTEX EC")</f>
        <v>IMPORTEX EC</v>
      </c>
      <c r="AV464" s="65" t="str">
        <f>IFERROR(__xludf.DUMMYFUNCTION("""COMPUTED_VALUE"""),"6545695572012")</f>
        <v>6545695572012</v>
      </c>
      <c r="AW464" s="65">
        <f>IFERROR(__xludf.DUMMYFUNCTION("""COMPUTED_VALUE"""),6401.0)</f>
        <v>6401</v>
      </c>
      <c r="AX464" s="65"/>
      <c r="AY464" s="65" t="str">
        <f>IFERROR(__xludf.DUMMYFUNCTION("""COMPUTED_VALUE"""),"02/03/2026")</f>
        <v>02/03/2026</v>
      </c>
      <c r="AZ464" s="65"/>
      <c r="BA464" s="65"/>
    </row>
    <row r="465">
      <c r="A465" s="65" t="str">
        <f>IFERROR(__xludf.DUMMYFUNCTION("""COMPUTED_VALUE"""),"27-03-2026")</f>
        <v>27-03-2026</v>
      </c>
      <c r="B465" s="65">
        <f>IFERROR(__xludf.DUMMYFUNCTION("""COMPUTED_VALUE"""),4647463.0)</f>
        <v>4647463</v>
      </c>
      <c r="C465" s="65" t="str">
        <f>IFERROR(__xludf.DUMMYFUNCTION("""COMPUTED_VALUE"""),"20:37")</f>
        <v>20:37</v>
      </c>
      <c r="D465" s="65" t="str">
        <f>IFERROR(__xludf.DUMMYFUNCTION("""COMPUTED_VALUE"""),"27-02-2026")</f>
        <v>27-02-2026</v>
      </c>
      <c r="E465" s="65" t="str">
        <f>IFERROR(__xludf.DUMMYFUNCTION("""COMPUTED_VALUE"""),"Jabe Maldonado")</f>
        <v>Jabe Maldonado</v>
      </c>
      <c r="F465" s="65" t="str">
        <f>IFERROR(__xludf.DUMMYFUNCTION("""COMPUTED_VALUE"""),"983748834")</f>
        <v>983748834</v>
      </c>
      <c r="G465" s="65" t="str">
        <f>IFERROR(__xludf.DUMMYFUNCTION("""COMPUTED_VALUE"""),"jabemaldonado01@gmail.com")</f>
        <v>jabemaldonado01@gmail.com</v>
      </c>
      <c r="H465" s="65"/>
      <c r="I465" s="65"/>
      <c r="J465" s="65" t="str">
        <f>IFERROR(__xludf.DUMMYFUNCTION("""COMPUTED_VALUE"""),"D001376738")</f>
        <v>D001376738</v>
      </c>
      <c r="K465" s="65" t="str">
        <f>IFERROR(__xludf.DUMMYFUNCTION("""COMPUTED_VALUE"""),"ENTREGADO")</f>
        <v>ENTREGADO</v>
      </c>
      <c r="L465" s="65" t="str">
        <f>IFERROR(__xludf.DUMMYFUNCTION("""COMPUTED_VALUE"""),"CON RECAUDO")</f>
        <v>CON RECAUDO</v>
      </c>
      <c r="M465" s="65" t="str">
        <f>IFERROR(__xludf.DUMMYFUNCTION("""COMPUTED_VALUE"""),"AZUAY")</f>
        <v>AZUAY</v>
      </c>
      <c r="N465" s="65" t="str">
        <f>IFERROR(__xludf.DUMMYFUNCTION("""COMPUTED_VALUE"""),"CUENCA")</f>
        <v>CUENCA</v>
      </c>
      <c r="O465" s="65" t="str">
        <f>IFERROR(__xludf.DUMMYFUNCTION("""COMPUTED_VALUE"""),"Av Felipe II y gregorio marañon Frente ceviche del wassa - Restaurante Leandrus")</f>
        <v>Av Felipe II y gregorio marañon Frente ceviche del wassa - Restaurante Leandrus</v>
      </c>
      <c r="P465" s="65"/>
      <c r="Q465" s="65" t="str">
        <f>IFERROR(__xludf.DUMMYFUNCTION("""COMPUTED_VALUE"""),"GINTRACOM")</f>
        <v>GINTRACOM</v>
      </c>
      <c r="R465" s="65">
        <f>IFERROR(__xludf.DUMMYFUNCTION("""COMPUTED_VALUE"""),22.0)</f>
        <v>22</v>
      </c>
      <c r="S465" s="65">
        <f>IFERROR(__xludf.DUMMYFUNCTION("""COMPUTED_VALUE"""),8.66)</f>
        <v>8.66</v>
      </c>
      <c r="T465" s="65">
        <f>IFERROR(__xludf.DUMMYFUNCTION("""COMPUTED_VALUE"""),5.84)</f>
        <v>5.84</v>
      </c>
      <c r="U465" s="65">
        <f>IFERROR(__xludf.DUMMYFUNCTION("""COMPUTED_VALUE"""),0.0)</f>
        <v>0</v>
      </c>
      <c r="V465" s="65">
        <f>IFERROR(__xludf.DUMMYFUNCTION("""COMPUTED_VALUE"""),0.0)</f>
        <v>0</v>
      </c>
      <c r="W465" s="65">
        <f>IFERROR(__xludf.DUMMYFUNCTION("""COMPUTED_VALUE"""),0.0)</f>
        <v>0</v>
      </c>
      <c r="X465" s="65">
        <f>IFERROR(__xludf.DUMMYFUNCTION("""COMPUTED_VALUE"""),3.75)</f>
        <v>3.75</v>
      </c>
      <c r="Y465" s="65">
        <f>IFERROR(__xludf.DUMMYFUNCTION("""COMPUTED_VALUE"""),7.5)</f>
        <v>7.5</v>
      </c>
      <c r="Z465" s="65">
        <f>IFERROR(__xludf.DUMMYFUNCTION("""COMPUTED_VALUE"""),113116.0)</f>
        <v>113116</v>
      </c>
      <c r="AA465" s="65" t="str">
        <f>IFERROR(__xludf.DUMMYFUNCTION("""COMPUTED_VALUE"""),"IM-TAZAKI")</f>
        <v>IM-TAZAKI</v>
      </c>
      <c r="AB465" s="65"/>
      <c r="AC465" s="65" t="str">
        <f>IFERROR(__xludf.DUMMYFUNCTION("""COMPUTED_VALUE"""),"Cuchillo tazaki")</f>
        <v>Cuchillo tazaki</v>
      </c>
      <c r="AD465" s="65"/>
      <c r="AE465" s="65">
        <f>IFERROR(__xludf.DUMMYFUNCTION("""COMPUTED_VALUE"""),2.0)</f>
        <v>2</v>
      </c>
      <c r="AF465" s="65" t="str">
        <f>IFERROR(__xludf.DUMMYFUNCTION("""COMPUTED_VALUE"""),"DESTINATARIO NO CONTESTA LLAMADAS NI WHATSAPP")</f>
        <v>DESTINATARIO NO CONTESTA LLAMADAS NI WHATSAPP</v>
      </c>
      <c r="AG465" s="65" t="str">
        <f>IFERROR(__xludf.DUMMYFUNCTION("""COMPUTED_VALUE"""),"SI")</f>
        <v>SI</v>
      </c>
      <c r="AH465" s="65" t="str">
        <f>IFERROR(__xludf.DUMMYFUNCTION("""COMPUTED_VALUE"""),"13:48")</f>
        <v>13:48</v>
      </c>
      <c r="AI465" s="65" t="str">
        <f>IFERROR(__xludf.DUMMYFUNCTION("""COMPUTED_VALUE"""),"04-03-2026")</f>
        <v>04-03-2026</v>
      </c>
      <c r="AJ465" s="65" t="str">
        <f>IFERROR(__xludf.DUMMYFUNCTION("""COMPUTED_VALUE"""),"CLIENTE SOLICITA QUE LE LLAMEN PARA COORDINAR LA ENTREGA , PERO INDICA QUE EL LUGAR DE ENTREGA ES EN EL RESTAURANTE Y AHI PASA TODO EL DIA")</f>
        <v>CLIENTE SOLICITA QUE LE LLAMEN PARA COORDINAR LA ENTREGA , PERO INDICA QUE EL LUGAR DE ENTREGA ES EN EL RESTAURANTE Y AHI PASA TODO EL DIA</v>
      </c>
      <c r="AK465" s="65" t="str">
        <f>IFERROR(__xludf.DUMMYFUNCTION("""COMPUTED_VALUE"""),"19:54")</f>
        <v>19:54</v>
      </c>
      <c r="AL465" s="65" t="str">
        <f>IFERROR(__xludf.DUMMYFUNCTION("""COMPUTED_VALUE"""),"04-03-2026")</f>
        <v>04-03-2026</v>
      </c>
      <c r="AM465" s="65"/>
      <c r="AN465" s="65" t="str">
        <f>IFERROR(__xludf.DUMMYFUNCTION("""COMPUTED_VALUE"""),"14:37")</f>
        <v>14:37</v>
      </c>
      <c r="AO465" s="65" t="str">
        <f>IFERROR(__xludf.DUMMYFUNCTION("""COMPUTED_VALUE"""),"05-03-2026")</f>
        <v>05-03-2026</v>
      </c>
      <c r="AP465" s="65" t="str">
        <f>IFERROR(__xludf.DUMMYFUNCTION("""COMPUTED_VALUE"""),"ENTREGADA GINTRACOM")</f>
        <v>ENTREGADA GINTRACOM</v>
      </c>
      <c r="AQ465" s="65" t="str">
        <f>IFERROR(__xludf.DUMMYFUNCTION("""COMPUTED_VALUE"""),"ENTREGADA GINTRACOM")</f>
        <v>ENTREGADA GINTRACOM</v>
      </c>
      <c r="AR465" s="65"/>
      <c r="AS465" s="65"/>
      <c r="AT465" s="65" t="str">
        <f>IFERROR(__xludf.DUMMYFUNCTION("""COMPUTED_VALUE"""),"SHOPIFY")</f>
        <v>SHOPIFY</v>
      </c>
      <c r="AU465" s="65" t="str">
        <f>IFERROR(__xludf.DUMMYFUNCTION("""COMPUTED_VALUE"""),"IMPORTEX EC")</f>
        <v>IMPORTEX EC</v>
      </c>
      <c r="AV465" s="65" t="str">
        <f>IFERROR(__xludf.DUMMYFUNCTION("""COMPUTED_VALUE"""),"6545662771244")</f>
        <v>6545662771244</v>
      </c>
      <c r="AW465" s="65">
        <f>IFERROR(__xludf.DUMMYFUNCTION("""COMPUTED_VALUE"""),6400.0)</f>
        <v>6400</v>
      </c>
      <c r="AX465" s="65"/>
      <c r="AY465" s="65" t="str">
        <f>IFERROR(__xludf.DUMMYFUNCTION("""COMPUTED_VALUE"""),"03/03/2026")</f>
        <v>03/03/2026</v>
      </c>
      <c r="AZ465" s="65"/>
      <c r="BA465" s="65"/>
    </row>
    <row r="466">
      <c r="A466" s="65" t="str">
        <f>IFERROR(__xludf.DUMMYFUNCTION("""COMPUTED_VALUE"""),"27-03-2026")</f>
        <v>27-03-2026</v>
      </c>
      <c r="B466" s="65">
        <f>IFERROR(__xludf.DUMMYFUNCTION("""COMPUTED_VALUE"""),4647436.0)</f>
        <v>4647436</v>
      </c>
      <c r="C466" s="65" t="str">
        <f>IFERROR(__xludf.DUMMYFUNCTION("""COMPUTED_VALUE"""),"20:34")</f>
        <v>20:34</v>
      </c>
      <c r="D466" s="65" t="str">
        <f>IFERROR(__xludf.DUMMYFUNCTION("""COMPUTED_VALUE"""),"27-02-2026")</f>
        <v>27-02-2026</v>
      </c>
      <c r="E466" s="65" t="str">
        <f>IFERROR(__xludf.DUMMYFUNCTION("""COMPUTED_VALUE"""),"Damian Eduardo Ballén Loor")</f>
        <v>Damian Eduardo Ballén Loor</v>
      </c>
      <c r="F466" s="65" t="str">
        <f>IFERROR(__xludf.DUMMYFUNCTION("""COMPUTED_VALUE"""),"994561673")</f>
        <v>994561673</v>
      </c>
      <c r="G466" s="65" t="str">
        <f>IFERROR(__xludf.DUMMYFUNCTION("""COMPUTED_VALUE"""),"damianballen78@hotmail.com")</f>
        <v>damianballen78@hotmail.com</v>
      </c>
      <c r="H466" s="65"/>
      <c r="I466" s="65"/>
      <c r="J466" s="65" t="str">
        <f>IFERROR(__xludf.DUMMYFUNCTION("""COMPUTED_VALUE"""),"D001376739")</f>
        <v>D001376739</v>
      </c>
      <c r="K466" s="65" t="str">
        <f>IFERROR(__xludf.DUMMYFUNCTION("""COMPUTED_VALUE"""),"ENTREGADO")</f>
        <v>ENTREGADO</v>
      </c>
      <c r="L466" s="65" t="str">
        <f>IFERROR(__xludf.DUMMYFUNCTION("""COMPUTED_VALUE"""),"CON RECAUDO")</f>
        <v>CON RECAUDO</v>
      </c>
      <c r="M466" s="65" t="str">
        <f>IFERROR(__xludf.DUMMYFUNCTION("""COMPUTED_VALUE"""),"MANABI")</f>
        <v>MANABI</v>
      </c>
      <c r="N466" s="65" t="str">
        <f>IFERROR(__xludf.DUMMYFUNCTION("""COMPUTED_VALUE"""),"PORTOVIEJO")</f>
        <v>PORTOVIEJO</v>
      </c>
      <c r="O466" s="65" t="str">
        <f>IFERROR(__xludf.DUMMYFUNCTION("""COMPUTED_VALUE"""),"Portoviejo avenida Manabí y calle nueva empresa greenland (pronaca) Al frente del tuti -")</f>
        <v>Portoviejo avenida Manabí y calle nueva empresa greenland (pronaca) Al frente del tuti -</v>
      </c>
      <c r="P466" s="65"/>
      <c r="Q466" s="65" t="str">
        <f>IFERROR(__xludf.DUMMYFUNCTION("""COMPUTED_VALUE"""),"GINTRACOM")</f>
        <v>GINTRACOM</v>
      </c>
      <c r="R466" s="65">
        <f>IFERROR(__xludf.DUMMYFUNCTION("""COMPUTED_VALUE"""),27.0)</f>
        <v>27</v>
      </c>
      <c r="S466" s="65">
        <f>IFERROR(__xludf.DUMMYFUNCTION("""COMPUTED_VALUE"""),9.72)</f>
        <v>9.72</v>
      </c>
      <c r="T466" s="65">
        <f>IFERROR(__xludf.DUMMYFUNCTION("""COMPUTED_VALUE"""),6.03)</f>
        <v>6.03</v>
      </c>
      <c r="U466" s="65">
        <f>IFERROR(__xludf.DUMMYFUNCTION("""COMPUTED_VALUE"""),0.0)</f>
        <v>0</v>
      </c>
      <c r="V466" s="65">
        <f>IFERROR(__xludf.DUMMYFUNCTION("""COMPUTED_VALUE"""),0.0)</f>
        <v>0</v>
      </c>
      <c r="W466" s="65">
        <f>IFERROR(__xludf.DUMMYFUNCTION("""COMPUTED_VALUE"""),0.0)</f>
        <v>0</v>
      </c>
      <c r="X466" s="65">
        <f>IFERROR(__xludf.DUMMYFUNCTION("""COMPUTED_VALUE"""),3.75)</f>
        <v>3.75</v>
      </c>
      <c r="Y466" s="65">
        <f>IFERROR(__xludf.DUMMYFUNCTION("""COMPUTED_VALUE"""),11.25)</f>
        <v>11.25</v>
      </c>
      <c r="Z466" s="65">
        <f>IFERROR(__xludf.DUMMYFUNCTION("""COMPUTED_VALUE"""),113116.0)</f>
        <v>113116</v>
      </c>
      <c r="AA466" s="65" t="str">
        <f>IFERROR(__xludf.DUMMYFUNCTION("""COMPUTED_VALUE"""),"IM-TAZAKI")</f>
        <v>IM-TAZAKI</v>
      </c>
      <c r="AB466" s="65"/>
      <c r="AC466" s="65" t="str">
        <f>IFERROR(__xludf.DUMMYFUNCTION("""COMPUTED_VALUE"""),"Cuchillo tazaki")</f>
        <v>Cuchillo tazaki</v>
      </c>
      <c r="AD466" s="65"/>
      <c r="AE466" s="65">
        <f>IFERROR(__xludf.DUMMYFUNCTION("""COMPUTED_VALUE"""),3.0)</f>
        <v>3</v>
      </c>
      <c r="AF466" s="65"/>
      <c r="AG466" s="65"/>
      <c r="AH466" s="65"/>
      <c r="AI466" s="65"/>
      <c r="AJ466" s="65"/>
      <c r="AK466" s="65"/>
      <c r="AL466" s="65"/>
      <c r="AM466" s="65"/>
      <c r="AN466" s="65" t="str">
        <f>IFERROR(__xludf.DUMMYFUNCTION("""COMPUTED_VALUE"""),"09:03")</f>
        <v>09:03</v>
      </c>
      <c r="AO466" s="65" t="str">
        <f>IFERROR(__xludf.DUMMYFUNCTION("""COMPUTED_VALUE"""),"04-03-2026")</f>
        <v>04-03-2026</v>
      </c>
      <c r="AP466" s="65" t="str">
        <f>IFERROR(__xludf.DUMMYFUNCTION("""COMPUTED_VALUE"""),"ENTREGADA GINTRACOM")</f>
        <v>ENTREGADA GINTRACOM</v>
      </c>
      <c r="AQ466" s="65" t="str">
        <f>IFERROR(__xludf.DUMMYFUNCTION("""COMPUTED_VALUE"""),"ENTREGADA GINTRACOM")</f>
        <v>ENTREGADA GINTRACOM</v>
      </c>
      <c r="AR466" s="65"/>
      <c r="AS466" s="65"/>
      <c r="AT466" s="65" t="str">
        <f>IFERROR(__xludf.DUMMYFUNCTION("""COMPUTED_VALUE"""),"SHOPIFY")</f>
        <v>SHOPIFY</v>
      </c>
      <c r="AU466" s="65" t="str">
        <f>IFERROR(__xludf.DUMMYFUNCTION("""COMPUTED_VALUE"""),"IMPORTEX EC")</f>
        <v>IMPORTEX EC</v>
      </c>
      <c r="AV466" s="65" t="str">
        <f>IFERROR(__xludf.DUMMYFUNCTION("""COMPUTED_VALUE"""),"6545656709164")</f>
        <v>6545656709164</v>
      </c>
      <c r="AW466" s="65">
        <f>IFERROR(__xludf.DUMMYFUNCTION("""COMPUTED_VALUE"""),6399.0)</f>
        <v>6399</v>
      </c>
      <c r="AX466" s="65"/>
      <c r="AY466" s="65" t="str">
        <f>IFERROR(__xludf.DUMMYFUNCTION("""COMPUTED_VALUE"""),"03/03/2026")</f>
        <v>03/03/2026</v>
      </c>
      <c r="AZ466" s="65"/>
      <c r="BA466" s="65"/>
    </row>
    <row r="467">
      <c r="A467" s="65" t="str">
        <f>IFERROR(__xludf.DUMMYFUNCTION("""COMPUTED_VALUE"""),"27-03-2026")</f>
        <v>27-03-2026</v>
      </c>
      <c r="B467" s="65">
        <f>IFERROR(__xludf.DUMMYFUNCTION("""COMPUTED_VALUE"""),4647206.0)</f>
        <v>4647206</v>
      </c>
      <c r="C467" s="65" t="str">
        <f>IFERROR(__xludf.DUMMYFUNCTION("""COMPUTED_VALUE"""),"20:09")</f>
        <v>20:09</v>
      </c>
      <c r="D467" s="65" t="str">
        <f>IFERROR(__xludf.DUMMYFUNCTION("""COMPUTED_VALUE"""),"27-02-2026")</f>
        <v>27-02-2026</v>
      </c>
      <c r="E467" s="65" t="str">
        <f>IFERROR(__xludf.DUMMYFUNCTION("""COMPUTED_VALUE"""),"Asalia Báez")</f>
        <v>Asalia Báez</v>
      </c>
      <c r="F467" s="65" t="str">
        <f>IFERROR(__xludf.DUMMYFUNCTION("""COMPUTED_VALUE"""),"982175474")</f>
        <v>982175474</v>
      </c>
      <c r="G467" s="65" t="str">
        <f>IFERROR(__xludf.DUMMYFUNCTION("""COMPUTED_VALUE"""),"asaliabaez@hotmail.com")</f>
        <v>asaliabaez@hotmail.com</v>
      </c>
      <c r="H467" s="65"/>
      <c r="I467" s="65"/>
      <c r="J467" s="65" t="str">
        <f>IFERROR(__xludf.DUMMYFUNCTION("""COMPUTED_VALUE"""),"D001376741")</f>
        <v>D001376741</v>
      </c>
      <c r="K467" s="65" t="str">
        <f>IFERROR(__xludf.DUMMYFUNCTION("""COMPUTED_VALUE"""),"ENTREGADO")</f>
        <v>ENTREGADO</v>
      </c>
      <c r="L467" s="65" t="str">
        <f>IFERROR(__xludf.DUMMYFUNCTION("""COMPUTED_VALUE"""),"CON RECAUDO")</f>
        <v>CON RECAUDO</v>
      </c>
      <c r="M467" s="65" t="str">
        <f>IFERROR(__xludf.DUMMYFUNCTION("""COMPUTED_VALUE"""),"PICHINCHA")</f>
        <v>PICHINCHA</v>
      </c>
      <c r="N467" s="65" t="str">
        <f>IFERROR(__xludf.DUMMYFUNCTION("""COMPUTED_VALUE"""),"QUITO")</f>
        <v>QUITO</v>
      </c>
      <c r="O467" s="65" t="str">
        <f>IFERROR(__xludf.DUMMYFUNCTION("""COMPUTED_VALUE"""),"Sozoranga.S13_285 .y.Serapio Japerabi pon ESCUELA MIGUEL DE UNAMUNO..- SECTOR CARDENAL DE LA TORRE")</f>
        <v>Sozoranga.S13_285 .y.Serapio Japerabi pon ESCUELA MIGUEL DE UNAMUNO..- SECTOR CARDENAL DE LA TORRE</v>
      </c>
      <c r="P467" s="65"/>
      <c r="Q467" s="65" t="str">
        <f>IFERROR(__xludf.DUMMYFUNCTION("""COMPUTED_VALUE"""),"GINTRACOM")</f>
        <v>GINTRACOM</v>
      </c>
      <c r="R467" s="65">
        <f>IFERROR(__xludf.DUMMYFUNCTION("""COMPUTED_VALUE"""),27.0)</f>
        <v>27</v>
      </c>
      <c r="S467" s="65">
        <f>IFERROR(__xludf.DUMMYFUNCTION("""COMPUTED_VALUE"""),11.33)</f>
        <v>11.33</v>
      </c>
      <c r="T467" s="65">
        <f>IFERROR(__xludf.DUMMYFUNCTION("""COMPUTED_VALUE"""),4.42)</f>
        <v>4.42</v>
      </c>
      <c r="U467" s="65">
        <f>IFERROR(__xludf.DUMMYFUNCTION("""COMPUTED_VALUE"""),0.0)</f>
        <v>0</v>
      </c>
      <c r="V467" s="65">
        <f>IFERROR(__xludf.DUMMYFUNCTION("""COMPUTED_VALUE"""),0.0)</f>
        <v>0</v>
      </c>
      <c r="W467" s="65">
        <f>IFERROR(__xludf.DUMMYFUNCTION("""COMPUTED_VALUE"""),0.0)</f>
        <v>0</v>
      </c>
      <c r="X467" s="65">
        <f>IFERROR(__xludf.DUMMYFUNCTION("""COMPUTED_VALUE"""),3.75)</f>
        <v>3.75</v>
      </c>
      <c r="Y467" s="65">
        <f>IFERROR(__xludf.DUMMYFUNCTION("""COMPUTED_VALUE"""),11.25)</f>
        <v>11.25</v>
      </c>
      <c r="Z467" s="65">
        <f>IFERROR(__xludf.DUMMYFUNCTION("""COMPUTED_VALUE"""),113116.0)</f>
        <v>113116</v>
      </c>
      <c r="AA467" s="65" t="str">
        <f>IFERROR(__xludf.DUMMYFUNCTION("""COMPUTED_VALUE"""),"IM-TAZAKI")</f>
        <v>IM-TAZAKI</v>
      </c>
      <c r="AB467" s="65"/>
      <c r="AC467" s="65" t="str">
        <f>IFERROR(__xludf.DUMMYFUNCTION("""COMPUTED_VALUE"""),"Cuchillo tazaki")</f>
        <v>Cuchillo tazaki</v>
      </c>
      <c r="AD467" s="65"/>
      <c r="AE467" s="65">
        <f>IFERROR(__xludf.DUMMYFUNCTION("""COMPUTED_VALUE"""),3.0)</f>
        <v>3</v>
      </c>
      <c r="AF467" s="65"/>
      <c r="AG467" s="65"/>
      <c r="AH467" s="65"/>
      <c r="AI467" s="65"/>
      <c r="AJ467" s="65"/>
      <c r="AK467" s="65"/>
      <c r="AL467" s="65"/>
      <c r="AM467" s="65"/>
      <c r="AN467" s="65" t="str">
        <f>IFERROR(__xludf.DUMMYFUNCTION("""COMPUTED_VALUE"""),"14:29")</f>
        <v>14:29</v>
      </c>
      <c r="AO467" s="65" t="str">
        <f>IFERROR(__xludf.DUMMYFUNCTION("""COMPUTED_VALUE"""),"05-03-2026")</f>
        <v>05-03-2026</v>
      </c>
      <c r="AP467" s="65" t="str">
        <f>IFERROR(__xludf.DUMMYFUNCTION("""COMPUTED_VALUE"""),"ENTREGADA GINTRACOM")</f>
        <v>ENTREGADA GINTRACOM</v>
      </c>
      <c r="AQ467" s="65" t="str">
        <f>IFERROR(__xludf.DUMMYFUNCTION("""COMPUTED_VALUE"""),"ENTREGADA GINTRACOM")</f>
        <v>ENTREGADA GINTRACOM</v>
      </c>
      <c r="AR467" s="65"/>
      <c r="AS467" s="65"/>
      <c r="AT467" s="65" t="str">
        <f>IFERROR(__xludf.DUMMYFUNCTION("""COMPUTED_VALUE"""),"SHOPIFY")</f>
        <v>SHOPIFY</v>
      </c>
      <c r="AU467" s="65" t="str">
        <f>IFERROR(__xludf.DUMMYFUNCTION("""COMPUTED_VALUE"""),"IMPORTEX EC")</f>
        <v>IMPORTEX EC</v>
      </c>
      <c r="AV467" s="65" t="str">
        <f>IFERROR(__xludf.DUMMYFUNCTION("""COMPUTED_VALUE"""),"6545601396780")</f>
        <v>6545601396780</v>
      </c>
      <c r="AW467" s="65">
        <f>IFERROR(__xludf.DUMMYFUNCTION("""COMPUTED_VALUE"""),6398.0)</f>
        <v>6398</v>
      </c>
      <c r="AX467" s="65"/>
      <c r="AY467" s="65" t="str">
        <f>IFERROR(__xludf.DUMMYFUNCTION("""COMPUTED_VALUE"""),"03/03/2026")</f>
        <v>03/03/2026</v>
      </c>
      <c r="AZ467" s="65"/>
      <c r="BA467" s="65"/>
    </row>
    <row r="468">
      <c r="A468" s="65" t="str">
        <f>IFERROR(__xludf.DUMMYFUNCTION("""COMPUTED_VALUE"""),"27-03-2026")</f>
        <v>27-03-2026</v>
      </c>
      <c r="B468" s="65">
        <f>IFERROR(__xludf.DUMMYFUNCTION("""COMPUTED_VALUE"""),4647108.0)</f>
        <v>4647108</v>
      </c>
      <c r="C468" s="65" t="str">
        <f>IFERROR(__xludf.DUMMYFUNCTION("""COMPUTED_VALUE"""),"19:55")</f>
        <v>19:55</v>
      </c>
      <c r="D468" s="65" t="str">
        <f>IFERROR(__xludf.DUMMYFUNCTION("""COMPUTED_VALUE"""),"27-02-2026")</f>
        <v>27-02-2026</v>
      </c>
      <c r="E468" s="65" t="str">
        <f>IFERROR(__xludf.DUMMYFUNCTION("""COMPUTED_VALUE"""),"Miguel Yanchatipan")</f>
        <v>Miguel Yanchatipan</v>
      </c>
      <c r="F468" s="65" t="str">
        <f>IFERROR(__xludf.DUMMYFUNCTION("""COMPUTED_VALUE"""),"999344315")</f>
        <v>999344315</v>
      </c>
      <c r="G468" s="65" t="str">
        <f>IFERROR(__xludf.DUMMYFUNCTION("""COMPUTED_VALUE"""),"miguelyanchatipan270@gmail.com")</f>
        <v>miguelyanchatipan270@gmail.com</v>
      </c>
      <c r="H468" s="65"/>
      <c r="I468" s="65"/>
      <c r="J468" s="65"/>
      <c r="K468" s="65" t="str">
        <f>IFERROR(__xludf.DUMMYFUNCTION("""COMPUTED_VALUE"""),"PENDIENTE CONFIRMACION")</f>
        <v>PENDIENTE CONFIRMACION</v>
      </c>
      <c r="L468" s="65" t="str">
        <f>IFERROR(__xludf.DUMMYFUNCTION("""COMPUTED_VALUE"""),"CON RECAUDO")</f>
        <v>CON RECAUDO</v>
      </c>
      <c r="M468" s="65" t="str">
        <f>IFERROR(__xludf.DUMMYFUNCTION("""COMPUTED_VALUE"""),"COTOPAXI")</f>
        <v>COTOPAXI</v>
      </c>
      <c r="N468" s="65" t="str">
        <f>IFERROR(__xludf.DUMMYFUNCTION("""COMPUTED_VALUE"""),"LATACUNGA")</f>
        <v>LATACUNGA</v>
      </c>
      <c r="O468" s="65" t="str">
        <f>IFERROR(__xludf.DUMMYFUNCTION("""COMPUTED_VALUE"""),"Ciudadela patria el niagara Sector el niagara -")</f>
        <v>Ciudadela patria el niagara Sector el niagara -</v>
      </c>
      <c r="P468" s="65"/>
      <c r="Q468" s="65" t="str">
        <f>IFERROR(__xludf.DUMMYFUNCTION("""COMPUTED_VALUE"""),"GINTRACOM")</f>
        <v>GINTRACOM</v>
      </c>
      <c r="R468" s="65">
        <f>IFERROR(__xludf.DUMMYFUNCTION("""COMPUTED_VALUE"""),22.0)</f>
        <v>22</v>
      </c>
      <c r="S468" s="65"/>
      <c r="T468" s="65">
        <f>IFERROR(__xludf.DUMMYFUNCTION("""COMPUTED_VALUE"""),5.84)</f>
        <v>5.84</v>
      </c>
      <c r="U468" s="65">
        <f>IFERROR(__xludf.DUMMYFUNCTION("""COMPUTED_VALUE"""),0.0)</f>
        <v>0</v>
      </c>
      <c r="V468" s="65">
        <f>IFERROR(__xludf.DUMMYFUNCTION("""COMPUTED_VALUE"""),0.0)</f>
        <v>0</v>
      </c>
      <c r="W468" s="65">
        <f>IFERROR(__xludf.DUMMYFUNCTION("""COMPUTED_VALUE"""),0.0)</f>
        <v>0</v>
      </c>
      <c r="X468" s="65">
        <f>IFERROR(__xludf.DUMMYFUNCTION("""COMPUTED_VALUE"""),3.75)</f>
        <v>3.75</v>
      </c>
      <c r="Y468" s="65">
        <f>IFERROR(__xludf.DUMMYFUNCTION("""COMPUTED_VALUE"""),7.5)</f>
        <v>7.5</v>
      </c>
      <c r="Z468" s="65">
        <f>IFERROR(__xludf.DUMMYFUNCTION("""COMPUTED_VALUE"""),113116.0)</f>
        <v>113116</v>
      </c>
      <c r="AA468" s="65" t="str">
        <f>IFERROR(__xludf.DUMMYFUNCTION("""COMPUTED_VALUE"""),"IM-TAZAKI")</f>
        <v>IM-TAZAKI</v>
      </c>
      <c r="AB468" s="65"/>
      <c r="AC468" s="65" t="str">
        <f>IFERROR(__xludf.DUMMYFUNCTION("""COMPUTED_VALUE"""),"Cuchillo tazaki")</f>
        <v>Cuchillo tazaki</v>
      </c>
      <c r="AD468" s="65"/>
      <c r="AE468" s="65">
        <f>IFERROR(__xludf.DUMMYFUNCTION("""COMPUTED_VALUE"""),2.0)</f>
        <v>2</v>
      </c>
      <c r="AF468" s="65"/>
      <c r="AG468" s="65"/>
      <c r="AH468" s="65"/>
      <c r="AI468" s="65"/>
      <c r="AJ468" s="65"/>
      <c r="AK468" s="65"/>
      <c r="AL468" s="65"/>
      <c r="AM468" s="65"/>
      <c r="AN468" s="65"/>
      <c r="AO468" s="65"/>
      <c r="AP468" s="65"/>
      <c r="AQ468" s="65"/>
      <c r="AR468" s="65"/>
      <c r="AS468" s="65"/>
      <c r="AT468" s="65" t="str">
        <f>IFERROR(__xludf.DUMMYFUNCTION("""COMPUTED_VALUE"""),"SHOPIFY")</f>
        <v>SHOPIFY</v>
      </c>
      <c r="AU468" s="65" t="str">
        <f>IFERROR(__xludf.DUMMYFUNCTION("""COMPUTED_VALUE"""),"IMPORTEX EC")</f>
        <v>IMPORTEX EC</v>
      </c>
      <c r="AV468" s="65" t="str">
        <f>IFERROR(__xludf.DUMMYFUNCTION("""COMPUTED_VALUE"""),"6545574953004")</f>
        <v>6545574953004</v>
      </c>
      <c r="AW468" s="65">
        <f>IFERROR(__xludf.DUMMYFUNCTION("""COMPUTED_VALUE"""),6397.0)</f>
        <v>6397</v>
      </c>
      <c r="AX468" s="65"/>
      <c r="AY468" s="65"/>
      <c r="AZ468" s="65"/>
      <c r="BA468" s="65"/>
    </row>
    <row r="469">
      <c r="A469" s="65" t="str">
        <f>IFERROR(__xludf.DUMMYFUNCTION("""COMPUTED_VALUE"""),"27-03-2026")</f>
        <v>27-03-2026</v>
      </c>
      <c r="B469" s="65">
        <f>IFERROR(__xludf.DUMMYFUNCTION("""COMPUTED_VALUE"""),4647087.0)</f>
        <v>4647087</v>
      </c>
      <c r="C469" s="65" t="str">
        <f>IFERROR(__xludf.DUMMYFUNCTION("""COMPUTED_VALUE"""),"19:50")</f>
        <v>19:50</v>
      </c>
      <c r="D469" s="65" t="str">
        <f>IFERROR(__xludf.DUMMYFUNCTION("""COMPUTED_VALUE"""),"27-02-2026")</f>
        <v>27-02-2026</v>
      </c>
      <c r="E469" s="65" t="str">
        <f>IFERROR(__xludf.DUMMYFUNCTION("""COMPUTED_VALUE"""),"Gladys Quisaguano")</f>
        <v>Gladys Quisaguano</v>
      </c>
      <c r="F469" s="65" t="str">
        <f>IFERROR(__xludf.DUMMYFUNCTION("""COMPUTED_VALUE"""),"939339302")</f>
        <v>939339302</v>
      </c>
      <c r="G469" s="65" t="str">
        <f>IFERROR(__xludf.DUMMYFUNCTION("""COMPUTED_VALUE"""),"gladysquisaguano229@gmail.com")</f>
        <v>gladysquisaguano229@gmail.com</v>
      </c>
      <c r="H469" s="65"/>
      <c r="I469" s="65"/>
      <c r="J469" s="65" t="str">
        <f>IFERROR(__xludf.DUMMYFUNCTION("""COMPUTED_VALUE"""),"LC52993012")</f>
        <v>LC52993012</v>
      </c>
      <c r="K469" s="65" t="str">
        <f>IFERROR(__xludf.DUMMYFUNCTION("""COMPUTED_VALUE"""),"ENTREGADO")</f>
        <v>ENTREGADO</v>
      </c>
      <c r="L469" s="65" t="str">
        <f>IFERROR(__xludf.DUMMYFUNCTION("""COMPUTED_VALUE"""),"CON RECAUDO")</f>
        <v>CON RECAUDO</v>
      </c>
      <c r="M469" s="65" t="str">
        <f>IFERROR(__xludf.DUMMYFUNCTION("""COMPUTED_VALUE"""),"PICHINCHA")</f>
        <v>PICHINCHA</v>
      </c>
      <c r="N469" s="65" t="str">
        <f>IFERROR(__xludf.DUMMYFUNCTION("""COMPUTED_VALUE"""),"MACHACHI")</f>
        <v>MACHACHI</v>
      </c>
      <c r="O469" s="65" t="str">
        <f>IFERROR(__xludf.DUMMYFUNCTION("""COMPUTED_VALUE"""),"Panamericana  sur km 40 Frente  la pizzeria el Hornero - REFERENCIA  entrando por la gasolinera Primax, a una cuadrita y media, la primera casa de dos pisos, con puerta negra.")</f>
        <v>Panamericana  sur km 40 Frente  la pizzeria el Hornero - REFERENCIA  entrando por la gasolinera Primax, a una cuadrita y media, la primera casa de dos pisos, con puerta negra.</v>
      </c>
      <c r="P469" s="65"/>
      <c r="Q469" s="65" t="str">
        <f>IFERROR(__xludf.DUMMYFUNCTION("""COMPUTED_VALUE"""),"LAARCOURIER")</f>
        <v>LAARCOURIER</v>
      </c>
      <c r="R469" s="65">
        <f>IFERROR(__xludf.DUMMYFUNCTION("""COMPUTED_VALUE"""),22.0)</f>
        <v>22</v>
      </c>
      <c r="S469" s="65">
        <f>IFERROR(__xludf.DUMMYFUNCTION("""COMPUTED_VALUE"""),7.95)</f>
        <v>7.95</v>
      </c>
      <c r="T469" s="65">
        <f>IFERROR(__xludf.DUMMYFUNCTION("""COMPUTED_VALUE"""),6.55)</f>
        <v>6.55</v>
      </c>
      <c r="U469" s="65">
        <f>IFERROR(__xludf.DUMMYFUNCTION("""COMPUTED_VALUE"""),0.0)</f>
        <v>0</v>
      </c>
      <c r="V469" s="65">
        <f>IFERROR(__xludf.DUMMYFUNCTION("""COMPUTED_VALUE"""),0.0)</f>
        <v>0</v>
      </c>
      <c r="W469" s="65">
        <f>IFERROR(__xludf.DUMMYFUNCTION("""COMPUTED_VALUE"""),0.0)</f>
        <v>0</v>
      </c>
      <c r="X469" s="65">
        <f>IFERROR(__xludf.DUMMYFUNCTION("""COMPUTED_VALUE"""),3.75)</f>
        <v>3.75</v>
      </c>
      <c r="Y469" s="65">
        <f>IFERROR(__xludf.DUMMYFUNCTION("""COMPUTED_VALUE"""),7.5)</f>
        <v>7.5</v>
      </c>
      <c r="Z469" s="65">
        <f>IFERROR(__xludf.DUMMYFUNCTION("""COMPUTED_VALUE"""),113116.0)</f>
        <v>113116</v>
      </c>
      <c r="AA469" s="65" t="str">
        <f>IFERROR(__xludf.DUMMYFUNCTION("""COMPUTED_VALUE"""),"IM-TAZAKI")</f>
        <v>IM-TAZAKI</v>
      </c>
      <c r="AB469" s="65"/>
      <c r="AC469" s="65" t="str">
        <f>IFERROR(__xludf.DUMMYFUNCTION("""COMPUTED_VALUE"""),"Cuchillo tazaki")</f>
        <v>Cuchillo tazaki</v>
      </c>
      <c r="AD469" s="65"/>
      <c r="AE469" s="65">
        <f>IFERROR(__xludf.DUMMYFUNCTION("""COMPUTED_VALUE"""),2.0)</f>
        <v>2</v>
      </c>
      <c r="AF469" s="65"/>
      <c r="AG469" s="65"/>
      <c r="AH469" s="65"/>
      <c r="AI469" s="65"/>
      <c r="AJ469" s="65"/>
      <c r="AK469" s="65"/>
      <c r="AL469" s="65"/>
      <c r="AM469" s="65"/>
      <c r="AN469" s="65" t="str">
        <f>IFERROR(__xludf.DUMMYFUNCTION("""COMPUTED_VALUE"""),"17:38")</f>
        <v>17:38</v>
      </c>
      <c r="AO469" s="65" t="str">
        <f>IFERROR(__xludf.DUMMYFUNCTION("""COMPUTED_VALUE"""),"03-03-2026")</f>
        <v>03-03-2026</v>
      </c>
      <c r="AP469" s="65" t="str">
        <f>IFERROR(__xludf.DUMMYFUNCTION("""COMPUTED_VALUE"""),"ENTREGADO")</f>
        <v>ENTREGADO</v>
      </c>
      <c r="AQ469" s="65" t="str">
        <f>IFERROR(__xludf.DUMMYFUNCTION("""COMPUTED_VALUE"""),"ENTREGADO")</f>
        <v>ENTREGADO</v>
      </c>
      <c r="AR469" s="65"/>
      <c r="AS469" s="65"/>
      <c r="AT469" s="65" t="str">
        <f>IFERROR(__xludf.DUMMYFUNCTION("""COMPUTED_VALUE"""),"SHOPIFY")</f>
        <v>SHOPIFY</v>
      </c>
      <c r="AU469" s="65" t="str">
        <f>IFERROR(__xludf.DUMMYFUNCTION("""COMPUTED_VALUE"""),"IMPORTEX EC")</f>
        <v>IMPORTEX EC</v>
      </c>
      <c r="AV469" s="65" t="str">
        <f>IFERROR(__xludf.DUMMYFUNCTION("""COMPUTED_VALUE"""),"6545567809580")</f>
        <v>6545567809580</v>
      </c>
      <c r="AW469" s="65">
        <f>IFERROR(__xludf.DUMMYFUNCTION("""COMPUTED_VALUE"""),6396.0)</f>
        <v>6396</v>
      </c>
      <c r="AX469" s="65"/>
      <c r="AY469" s="65" t="str">
        <f>IFERROR(__xludf.DUMMYFUNCTION("""COMPUTED_VALUE"""),"02/03/2026")</f>
        <v>02/03/2026</v>
      </c>
      <c r="AZ469" s="65"/>
      <c r="BA469" s="65"/>
    </row>
    <row r="470">
      <c r="A470" s="65" t="str">
        <f>IFERROR(__xludf.DUMMYFUNCTION("""COMPUTED_VALUE"""),"27-03-2026")</f>
        <v>27-03-2026</v>
      </c>
      <c r="B470" s="65">
        <f>IFERROR(__xludf.DUMMYFUNCTION("""COMPUTED_VALUE"""),4646730.0)</f>
        <v>4646730</v>
      </c>
      <c r="C470" s="65" t="str">
        <f>IFERROR(__xludf.DUMMYFUNCTION("""COMPUTED_VALUE"""),"19:02")</f>
        <v>19:02</v>
      </c>
      <c r="D470" s="65" t="str">
        <f>IFERROR(__xludf.DUMMYFUNCTION("""COMPUTED_VALUE"""),"27-02-2026")</f>
        <v>27-02-2026</v>
      </c>
      <c r="E470" s="65" t="str">
        <f>IFERROR(__xludf.DUMMYFUNCTION("""COMPUTED_VALUE"""),"Kimen Barrio")</f>
        <v>Kimen Barrio</v>
      </c>
      <c r="F470" s="65" t="str">
        <f>IFERROR(__xludf.DUMMYFUNCTION("""COMPUTED_VALUE"""),"998086185")</f>
        <v>998086185</v>
      </c>
      <c r="G470" s="65" t="str">
        <f>IFERROR(__xludf.DUMMYFUNCTION("""COMPUTED_VALUE"""),"soluconticpa@hotmail.es")</f>
        <v>soluconticpa@hotmail.es</v>
      </c>
      <c r="H470" s="65"/>
      <c r="I470" s="65"/>
      <c r="J470" s="65"/>
      <c r="K470" s="65" t="str">
        <f>IFERROR(__xludf.DUMMYFUNCTION("""COMPUTED_VALUE"""),"CANCELADO")</f>
        <v>CANCELADO</v>
      </c>
      <c r="L470" s="65" t="str">
        <f>IFERROR(__xludf.DUMMYFUNCTION("""COMPUTED_VALUE"""),"CON RECAUDO")</f>
        <v>CON RECAUDO</v>
      </c>
      <c r="M470" s="65" t="str">
        <f>IFERROR(__xludf.DUMMYFUNCTION("""COMPUTED_VALUE"""),"PICHINCHA")</f>
        <v>PICHINCHA</v>
      </c>
      <c r="N470" s="65" t="str">
        <f>IFERROR(__xludf.DUMMYFUNCTION("""COMPUTED_VALUE"""),"CALDERON")</f>
        <v>CALDERON</v>
      </c>
      <c r="O470" s="65" t="str">
        <f>IFERROR(__xludf.DUMMYFUNCTION("""COMPUTED_VALUE"""),"Carapungo y García Moreno Llano Grande -")</f>
        <v>Carapungo y García Moreno Llano Grande -</v>
      </c>
      <c r="P470" s="65"/>
      <c r="Q470" s="65" t="str">
        <f>IFERROR(__xludf.DUMMYFUNCTION("""COMPUTED_VALUE"""),"GINTRACOM")</f>
        <v>GINTRACOM</v>
      </c>
      <c r="R470" s="65">
        <f>IFERROR(__xludf.DUMMYFUNCTION("""COMPUTED_VALUE"""),30.0)</f>
        <v>30</v>
      </c>
      <c r="S470" s="65"/>
      <c r="T470" s="65">
        <f>IFERROR(__xludf.DUMMYFUNCTION("""COMPUTED_VALUE"""),5.12)</f>
        <v>5.12</v>
      </c>
      <c r="U470" s="65">
        <f>IFERROR(__xludf.DUMMYFUNCTION("""COMPUTED_VALUE"""),0.0)</f>
        <v>0</v>
      </c>
      <c r="V470" s="65">
        <f>IFERROR(__xludf.DUMMYFUNCTION("""COMPUTED_VALUE"""),0.0)</f>
        <v>0</v>
      </c>
      <c r="W470" s="65">
        <f>IFERROR(__xludf.DUMMYFUNCTION("""COMPUTED_VALUE"""),0.0)</f>
        <v>0</v>
      </c>
      <c r="X470" s="65">
        <f>IFERROR(__xludf.DUMMYFUNCTION("""COMPUTED_VALUE"""),2.35)</f>
        <v>2.35</v>
      </c>
      <c r="Y470" s="65">
        <f>IFERROR(__xludf.DUMMYFUNCTION("""COMPUTED_VALUE"""),7.05)</f>
        <v>7.05</v>
      </c>
      <c r="Z470" s="65">
        <f>IFERROR(__xludf.DUMMYFUNCTION("""COMPUTED_VALUE"""),116679.0)</f>
        <v>116679</v>
      </c>
      <c r="AA470" s="65" t="str">
        <f>IFERROR(__xludf.DUMMYFUNCTION("""COMPUTED_VALUE"""),"AMC-2738")</f>
        <v>AMC-2738</v>
      </c>
      <c r="AB470" s="65"/>
      <c r="AC470" s="65" t="str">
        <f>IFERROR(__xludf.DUMMYFUNCTION("""COMPUTED_VALUE"""),"ESPONJA ANTILLUVIA DE PARABRISAS")</f>
        <v>ESPONJA ANTILLUVIA DE PARABRISAS</v>
      </c>
      <c r="AD470" s="65"/>
      <c r="AE470" s="65">
        <f>IFERROR(__xludf.DUMMYFUNCTION("""COMPUTED_VALUE"""),3.0)</f>
        <v>3</v>
      </c>
      <c r="AF470" s="65"/>
      <c r="AG470" s="65"/>
      <c r="AH470" s="65"/>
      <c r="AI470" s="65"/>
      <c r="AJ470" s="65"/>
      <c r="AK470" s="65"/>
      <c r="AL470" s="65"/>
      <c r="AM470" s="65"/>
      <c r="AN470" s="65"/>
      <c r="AO470" s="65"/>
      <c r="AP470" s="65"/>
      <c r="AQ470" s="65"/>
      <c r="AR470" s="65"/>
      <c r="AS470" s="65"/>
      <c r="AT470" s="65" t="str">
        <f>IFERROR(__xludf.DUMMYFUNCTION("""COMPUTED_VALUE"""),"SHOPIFY")</f>
        <v>SHOPIFY</v>
      </c>
      <c r="AU470" s="65" t="str">
        <f>IFERROR(__xludf.DUMMYFUNCTION("""COMPUTED_VALUE"""),"IMPORTEX EC")</f>
        <v>IMPORTEX EC</v>
      </c>
      <c r="AV470" s="65" t="str">
        <f>IFERROR(__xludf.DUMMYFUNCTION("""COMPUTED_VALUE"""),"6545474584620")</f>
        <v>6545474584620</v>
      </c>
      <c r="AW470" s="65">
        <f>IFERROR(__xludf.DUMMYFUNCTION("""COMPUTED_VALUE"""),6395.0)</f>
        <v>6395</v>
      </c>
      <c r="AX470" s="65"/>
      <c r="AY470" s="65"/>
      <c r="AZ470" s="65"/>
      <c r="BA470" s="65"/>
    </row>
    <row r="471">
      <c r="A471" s="65" t="str">
        <f>IFERROR(__xludf.DUMMYFUNCTION("""COMPUTED_VALUE"""),"27-03-2026")</f>
        <v>27-03-2026</v>
      </c>
      <c r="B471" s="65">
        <f>IFERROR(__xludf.DUMMYFUNCTION("""COMPUTED_VALUE"""),4646577.0)</f>
        <v>4646577</v>
      </c>
      <c r="C471" s="65" t="str">
        <f>IFERROR(__xludf.DUMMYFUNCTION("""COMPUTED_VALUE"""),"18:40")</f>
        <v>18:40</v>
      </c>
      <c r="D471" s="65" t="str">
        <f>IFERROR(__xludf.DUMMYFUNCTION("""COMPUTED_VALUE"""),"27-02-2026")</f>
        <v>27-02-2026</v>
      </c>
      <c r="E471" s="65" t="str">
        <f>IFERROR(__xludf.DUMMYFUNCTION("""COMPUTED_VALUE"""),"Diego Armando Orellana Quezada")</f>
        <v>Diego Armando Orellana Quezada</v>
      </c>
      <c r="F471" s="65" t="str">
        <f>IFERROR(__xludf.DUMMYFUNCTION("""COMPUTED_VALUE"""),"982709309")</f>
        <v>982709309</v>
      </c>
      <c r="G471" s="65" t="str">
        <f>IFERROR(__xludf.DUMMYFUNCTION("""COMPUTED_VALUE"""),"orellanadiego560@gmail.com")</f>
        <v>orellanadiego560@gmail.com</v>
      </c>
      <c r="H471" s="65"/>
      <c r="I471" s="65"/>
      <c r="J471" s="65" t="str">
        <f>IFERROR(__xludf.DUMMYFUNCTION("""COMPUTED_VALUE"""),"D001376743")</f>
        <v>D001376743</v>
      </c>
      <c r="K471" s="65" t="str">
        <f>IFERROR(__xludf.DUMMYFUNCTION("""COMPUTED_VALUE"""),"ENTREGADO")</f>
        <v>ENTREGADO</v>
      </c>
      <c r="L471" s="65" t="str">
        <f>IFERROR(__xludf.DUMMYFUNCTION("""COMPUTED_VALUE"""),"CON RECAUDO")</f>
        <v>CON RECAUDO</v>
      </c>
      <c r="M471" s="65" t="str">
        <f>IFERROR(__xludf.DUMMYFUNCTION("""COMPUTED_VALUE"""),"EL ORO")</f>
        <v>EL ORO</v>
      </c>
      <c r="N471" s="65" t="str">
        <f>IFERROR(__xludf.DUMMYFUNCTION("""COMPUTED_VALUE"""),"PASAJE")</f>
        <v>PASAJE</v>
      </c>
      <c r="O471" s="65" t="str">
        <f>IFERROR(__xludf.DUMMYFUNCTION("""COMPUTED_VALUE"""),"Juan Montalvo y San Martin Mercado viejo junto al comercial gana -")</f>
        <v>Juan Montalvo y San Martin Mercado viejo junto al comercial gana -</v>
      </c>
      <c r="P471" s="65"/>
      <c r="Q471" s="65" t="str">
        <f>IFERROR(__xludf.DUMMYFUNCTION("""COMPUTED_VALUE"""),"GINTRACOM")</f>
        <v>GINTRACOM</v>
      </c>
      <c r="R471" s="65">
        <f>IFERROR(__xludf.DUMMYFUNCTION("""COMPUTED_VALUE"""),22.0)</f>
        <v>22</v>
      </c>
      <c r="S471" s="65">
        <f>IFERROR(__xludf.DUMMYFUNCTION("""COMPUTED_VALUE"""),8.66)</f>
        <v>8.66</v>
      </c>
      <c r="T471" s="65">
        <f>IFERROR(__xludf.DUMMYFUNCTION("""COMPUTED_VALUE"""),5.84)</f>
        <v>5.84</v>
      </c>
      <c r="U471" s="65">
        <f>IFERROR(__xludf.DUMMYFUNCTION("""COMPUTED_VALUE"""),0.0)</f>
        <v>0</v>
      </c>
      <c r="V471" s="65">
        <f>IFERROR(__xludf.DUMMYFUNCTION("""COMPUTED_VALUE"""),0.0)</f>
        <v>0</v>
      </c>
      <c r="W471" s="65">
        <f>IFERROR(__xludf.DUMMYFUNCTION("""COMPUTED_VALUE"""),0.0)</f>
        <v>0</v>
      </c>
      <c r="X471" s="65">
        <f>IFERROR(__xludf.DUMMYFUNCTION("""COMPUTED_VALUE"""),3.75)</f>
        <v>3.75</v>
      </c>
      <c r="Y471" s="65">
        <f>IFERROR(__xludf.DUMMYFUNCTION("""COMPUTED_VALUE"""),7.5)</f>
        <v>7.5</v>
      </c>
      <c r="Z471" s="65">
        <f>IFERROR(__xludf.DUMMYFUNCTION("""COMPUTED_VALUE"""),113116.0)</f>
        <v>113116</v>
      </c>
      <c r="AA471" s="65" t="str">
        <f>IFERROR(__xludf.DUMMYFUNCTION("""COMPUTED_VALUE"""),"IM-TAZAKI")</f>
        <v>IM-TAZAKI</v>
      </c>
      <c r="AB471" s="65"/>
      <c r="AC471" s="65" t="str">
        <f>IFERROR(__xludf.DUMMYFUNCTION("""COMPUTED_VALUE"""),"Cuchillo tazaki")</f>
        <v>Cuchillo tazaki</v>
      </c>
      <c r="AD471" s="65"/>
      <c r="AE471" s="65">
        <f>IFERROR(__xludf.DUMMYFUNCTION("""COMPUTED_VALUE"""),2.0)</f>
        <v>2</v>
      </c>
      <c r="AF471" s="65" t="str">
        <f>IFERROR(__xludf.DUMMYFUNCTION("""COMPUTED_VALUE"""),"DESTINATARIO NO CONTESTA LLAMADAS NI WHATSAPP")</f>
        <v>DESTINATARIO NO CONTESTA LLAMADAS NI WHATSAPP</v>
      </c>
      <c r="AG471" s="65" t="str">
        <f>IFERROR(__xludf.DUMMYFUNCTION("""COMPUTED_VALUE"""),"SI")</f>
        <v>SI</v>
      </c>
      <c r="AH471" s="65" t="str">
        <f>IFERROR(__xludf.DUMMYFUNCTION("""COMPUTED_VALUE"""),"09:55")</f>
        <v>09:55</v>
      </c>
      <c r="AI471" s="65" t="str">
        <f>IFERROR(__xludf.DUMMYFUNCTION("""COMPUTED_VALUE"""),"04-03-2026")</f>
        <v>04-03-2026</v>
      </c>
      <c r="AJ471" s="65" t="str">
        <f>IFERROR(__xludf.DUMMYFUNCTION("""COMPUTED_VALUE"""),"Cliente solicita la entrega inmediata.")</f>
        <v>Cliente solicita la entrega inmediata.</v>
      </c>
      <c r="AK471" s="65" t="str">
        <f>IFERROR(__xludf.DUMMYFUNCTION("""COMPUTED_VALUE"""),"12:47")</f>
        <v>12:47</v>
      </c>
      <c r="AL471" s="65" t="str">
        <f>IFERROR(__xludf.DUMMYFUNCTION("""COMPUTED_VALUE"""),"04-03-2026")</f>
        <v>04-03-2026</v>
      </c>
      <c r="AM471" s="65"/>
      <c r="AN471" s="65" t="str">
        <f>IFERROR(__xludf.DUMMYFUNCTION("""COMPUTED_VALUE"""),"10:28")</f>
        <v>10:28</v>
      </c>
      <c r="AO471" s="65" t="str">
        <f>IFERROR(__xludf.DUMMYFUNCTION("""COMPUTED_VALUE"""),"05-03-2026")</f>
        <v>05-03-2026</v>
      </c>
      <c r="AP471" s="65" t="str">
        <f>IFERROR(__xludf.DUMMYFUNCTION("""COMPUTED_VALUE"""),"ENTREGADA GINTRACOM")</f>
        <v>ENTREGADA GINTRACOM</v>
      </c>
      <c r="AQ471" s="65" t="str">
        <f>IFERROR(__xludf.DUMMYFUNCTION("""COMPUTED_VALUE"""),"ENTREGADA GINTRACOM")</f>
        <v>ENTREGADA GINTRACOM</v>
      </c>
      <c r="AR471" s="65"/>
      <c r="AS471" s="65"/>
      <c r="AT471" s="65" t="str">
        <f>IFERROR(__xludf.DUMMYFUNCTION("""COMPUTED_VALUE"""),"SHOPIFY")</f>
        <v>SHOPIFY</v>
      </c>
      <c r="AU471" s="65" t="str">
        <f>IFERROR(__xludf.DUMMYFUNCTION("""COMPUTED_VALUE"""),"IMPORTEX EC")</f>
        <v>IMPORTEX EC</v>
      </c>
      <c r="AV471" s="65" t="str">
        <f>IFERROR(__xludf.DUMMYFUNCTION("""COMPUTED_VALUE"""),"6545429397548")</f>
        <v>6545429397548</v>
      </c>
      <c r="AW471" s="65">
        <f>IFERROR(__xludf.DUMMYFUNCTION("""COMPUTED_VALUE"""),6394.0)</f>
        <v>6394</v>
      </c>
      <c r="AX471" s="65"/>
      <c r="AY471" s="65" t="str">
        <f>IFERROR(__xludf.DUMMYFUNCTION("""COMPUTED_VALUE"""),"03/03/2026")</f>
        <v>03/03/2026</v>
      </c>
      <c r="AZ471" s="65"/>
      <c r="BA471" s="65"/>
    </row>
    <row r="472">
      <c r="A472" s="65" t="str">
        <f>IFERROR(__xludf.DUMMYFUNCTION("""COMPUTED_VALUE"""),"27-03-2026")</f>
        <v>27-03-2026</v>
      </c>
      <c r="B472" s="65">
        <f>IFERROR(__xludf.DUMMYFUNCTION("""COMPUTED_VALUE"""),4645977.0)</f>
        <v>4645977</v>
      </c>
      <c r="C472" s="65" t="str">
        <f>IFERROR(__xludf.DUMMYFUNCTION("""COMPUTED_VALUE"""),"17:12")</f>
        <v>17:12</v>
      </c>
      <c r="D472" s="65" t="str">
        <f>IFERROR(__xludf.DUMMYFUNCTION("""COMPUTED_VALUE"""),"27-02-2026")</f>
        <v>27-02-2026</v>
      </c>
      <c r="E472" s="65" t="str">
        <f>IFERROR(__xludf.DUMMYFUNCTION("""COMPUTED_VALUE"""),"Edgar Raúl Arguero Arguero")</f>
        <v>Edgar Raúl Arguero Arguero</v>
      </c>
      <c r="F472" s="65" t="str">
        <f>IFERROR(__xludf.DUMMYFUNCTION("""COMPUTED_VALUE"""),"983078610")</f>
        <v>983078610</v>
      </c>
      <c r="G472" s="65"/>
      <c r="H472" s="65"/>
      <c r="I472" s="65"/>
      <c r="J472" s="65" t="str">
        <f>IFERROR(__xludf.DUMMYFUNCTION("""COMPUTED_VALUE"""),"186604361")</f>
        <v>186604361</v>
      </c>
      <c r="K472" s="65" t="str">
        <f>IFERROR(__xludf.DUMMYFUNCTION("""COMPUTED_VALUE"""),"ENTREGADO")</f>
        <v>ENTREGADO</v>
      </c>
      <c r="L472" s="65" t="str">
        <f>IFERROR(__xludf.DUMMYFUNCTION("""COMPUTED_VALUE"""),"CON RECAUDO")</f>
        <v>CON RECAUDO</v>
      </c>
      <c r="M472" s="65" t="str">
        <f>IFERROR(__xludf.DUMMYFUNCTION("""COMPUTED_VALUE"""),"PICHINCHA")</f>
        <v>PICHINCHA</v>
      </c>
      <c r="N472" s="65" t="str">
        <f>IFERROR(__xludf.DUMMYFUNCTION("""COMPUTED_VALUE"""),"MACHACHI")</f>
        <v>MACHACHI</v>
      </c>
      <c r="O472" s="65" t="str">
        <f>IFERROR(__xludf.DUMMYFUNCTION("""COMPUTED_VALUE"""),"Jaime Roldós y los Panzas, barrio el complejo.")</f>
        <v>Jaime Roldós y los Panzas, barrio el complejo.</v>
      </c>
      <c r="P472" s="65"/>
      <c r="Q472" s="65" t="str">
        <f>IFERROR(__xludf.DUMMYFUNCTION("""COMPUTED_VALUE"""),"SERVIENTREGA")</f>
        <v>SERVIENTREGA</v>
      </c>
      <c r="R472" s="65">
        <f>IFERROR(__xludf.DUMMYFUNCTION("""COMPUTED_VALUE"""),20.0)</f>
        <v>20</v>
      </c>
      <c r="S472" s="65">
        <f>IFERROR(__xludf.DUMMYFUNCTION("""COMPUTED_VALUE"""),12.01)</f>
        <v>12.01</v>
      </c>
      <c r="T472" s="65">
        <f>IFERROR(__xludf.DUMMYFUNCTION("""COMPUTED_VALUE"""),5.64)</f>
        <v>5.64</v>
      </c>
      <c r="U472" s="65">
        <f>IFERROR(__xludf.DUMMYFUNCTION("""COMPUTED_VALUE"""),0.0)</f>
        <v>0</v>
      </c>
      <c r="V472" s="65">
        <f>IFERROR(__xludf.DUMMYFUNCTION("""COMPUTED_VALUE"""),0.0)</f>
        <v>0</v>
      </c>
      <c r="W472" s="65">
        <f>IFERROR(__xludf.DUMMYFUNCTION("""COMPUTED_VALUE"""),0.0)</f>
        <v>0</v>
      </c>
      <c r="X472" s="65">
        <f>IFERROR(__xludf.DUMMYFUNCTION("""COMPUTED_VALUE"""),2.35)</f>
        <v>2.35</v>
      </c>
      <c r="Y472" s="65">
        <f>IFERROR(__xludf.DUMMYFUNCTION("""COMPUTED_VALUE"""),2.35)</f>
        <v>2.35</v>
      </c>
      <c r="Z472" s="65">
        <f>IFERROR(__xludf.DUMMYFUNCTION("""COMPUTED_VALUE"""),116679.0)</f>
        <v>116679</v>
      </c>
      <c r="AA472" s="65" t="str">
        <f>IFERROR(__xludf.DUMMYFUNCTION("""COMPUTED_VALUE"""),"AMC-2738")</f>
        <v>AMC-2738</v>
      </c>
      <c r="AB472" s="65"/>
      <c r="AC472" s="65" t="str">
        <f>IFERROR(__xludf.DUMMYFUNCTION("""COMPUTED_VALUE"""),"ESPONJA ANTILLUVIA DE PARABRISAS")</f>
        <v>ESPONJA ANTILLUVIA DE PARABRISAS</v>
      </c>
      <c r="AD472" s="65"/>
      <c r="AE472" s="65">
        <f>IFERROR(__xludf.DUMMYFUNCTION("""COMPUTED_VALUE"""),1.0)</f>
        <v>1</v>
      </c>
      <c r="AF472" s="65" t="str">
        <f>IFERROR(__xludf.DUMMYFUNCTION("""COMPUTED_VALUE"""),"NO HAY QUIEN RECIBA")</f>
        <v>NO HAY QUIEN RECIBA</v>
      </c>
      <c r="AG472" s="65" t="str">
        <f>IFERROR(__xludf.DUMMYFUNCTION("""COMPUTED_VALUE"""),"NO")</f>
        <v>NO</v>
      </c>
      <c r="AH472" s="65" t="str">
        <f>IFERROR(__xludf.DUMMYFUNCTION("""COMPUTED_VALUE"""),"08:32")</f>
        <v>08:32</v>
      </c>
      <c r="AI472" s="65" t="str">
        <f>IFERROR(__xludf.DUMMYFUNCTION("""COMPUTED_VALUE"""),"03-03-2026")</f>
        <v>03-03-2026</v>
      </c>
      <c r="AJ472" s="65"/>
      <c r="AK472" s="65"/>
      <c r="AL472" s="65"/>
      <c r="AM472" s="65"/>
      <c r="AN472" s="65" t="str">
        <f>IFERROR(__xludf.DUMMYFUNCTION("""COMPUTED_VALUE"""),"09:53")</f>
        <v>09:53</v>
      </c>
      <c r="AO472" s="65" t="str">
        <f>IFERROR(__xludf.DUMMYFUNCTION("""COMPUTED_VALUE"""),"05-03-2026")</f>
        <v>05-03-2026</v>
      </c>
      <c r="AP472" s="65" t="str">
        <f>IFERROR(__xludf.DUMMYFUNCTION("""COMPUTED_VALUE"""),"REPORTADO ENTREGADO EN APP")</f>
        <v>REPORTADO ENTREGADO EN APP</v>
      </c>
      <c r="AQ472" s="65" t="str">
        <f>IFERROR(__xludf.DUMMYFUNCTION("""COMPUTED_VALUE"""),"Edgar Arguero")</f>
        <v>Edgar Arguero</v>
      </c>
      <c r="AR472" s="65"/>
      <c r="AS472" s="65"/>
      <c r="AT472" s="65"/>
      <c r="AU472" s="65"/>
      <c r="AV472" s="65"/>
      <c r="AW472" s="65"/>
      <c r="AX472" s="65"/>
      <c r="AY472" s="65" t="str">
        <f>IFERROR(__xludf.DUMMYFUNCTION("""COMPUTED_VALUE"""),"02/03/2026")</f>
        <v>02/03/2026</v>
      </c>
      <c r="AZ472" s="65"/>
      <c r="BA472" s="65"/>
    </row>
    <row r="473">
      <c r="A473" s="65" t="str">
        <f>IFERROR(__xludf.DUMMYFUNCTION("""COMPUTED_VALUE"""),"27-03-2026")</f>
        <v>27-03-2026</v>
      </c>
      <c r="B473" s="65">
        <f>IFERROR(__xludf.DUMMYFUNCTION("""COMPUTED_VALUE"""),4645837.0)</f>
        <v>4645837</v>
      </c>
      <c r="C473" s="65" t="str">
        <f>IFERROR(__xludf.DUMMYFUNCTION("""COMPUTED_VALUE"""),"16:56")</f>
        <v>16:56</v>
      </c>
      <c r="D473" s="65" t="str">
        <f>IFERROR(__xludf.DUMMYFUNCTION("""COMPUTED_VALUE"""),"27-02-2026")</f>
        <v>27-02-2026</v>
      </c>
      <c r="E473" s="65" t="str">
        <f>IFERROR(__xludf.DUMMYFUNCTION("""COMPUTED_VALUE"""),"manuel sislema")</f>
        <v>manuel sislema</v>
      </c>
      <c r="F473" s="65" t="str">
        <f>IFERROR(__xludf.DUMMYFUNCTION("""COMPUTED_VALUE"""),"969361405")</f>
        <v>969361405</v>
      </c>
      <c r="G473" s="65" t="str">
        <f>IFERROR(__xludf.DUMMYFUNCTION("""COMPUTED_VALUE"""),"sislemamanuel2021@gmail.com")</f>
        <v>sislemamanuel2021@gmail.com</v>
      </c>
      <c r="H473" s="65"/>
      <c r="I473" s="65"/>
      <c r="J473" s="65"/>
      <c r="K473" s="65" t="str">
        <f>IFERROR(__xludf.DUMMYFUNCTION("""COMPUTED_VALUE"""),"PENDIENTE CONFIRMACION")</f>
        <v>PENDIENTE CONFIRMACION</v>
      </c>
      <c r="L473" s="65" t="str">
        <f>IFERROR(__xludf.DUMMYFUNCTION("""COMPUTED_VALUE"""),"CON RECAUDO")</f>
        <v>CON RECAUDO</v>
      </c>
      <c r="M473" s="65" t="str">
        <f>IFERROR(__xludf.DUMMYFUNCTION("""COMPUTED_VALUE"""),"GUAYAS")</f>
        <v>GUAYAS</v>
      </c>
      <c r="N473" s="65" t="str">
        <f>IFERROR(__xludf.DUMMYFUNCTION("""COMPUTED_VALUE"""),"GUAYAQUIL")</f>
        <v>GUAYAQUIL</v>
      </c>
      <c r="O473" s="65" t="str">
        <f>IFERROR(__xludf.DUMMYFUNCTION("""COMPUTED_VALUE"""),"servientrega de terminal termina terretre -")</f>
        <v>servientrega de terminal termina terretre -</v>
      </c>
      <c r="P473" s="65"/>
      <c r="Q473" s="65" t="str">
        <f>IFERROR(__xludf.DUMMYFUNCTION("""COMPUTED_VALUE"""),"GINTRACOM")</f>
        <v>GINTRACOM</v>
      </c>
      <c r="R473" s="65">
        <f>IFERROR(__xludf.DUMMYFUNCTION("""COMPUTED_VALUE"""),24.2)</f>
        <v>24.2</v>
      </c>
      <c r="S473" s="65"/>
      <c r="T473" s="65">
        <f>IFERROR(__xludf.DUMMYFUNCTION("""COMPUTED_VALUE"""),5.92)</f>
        <v>5.92</v>
      </c>
      <c r="U473" s="65">
        <f>IFERROR(__xludf.DUMMYFUNCTION("""COMPUTED_VALUE"""),0.0)</f>
        <v>0</v>
      </c>
      <c r="V473" s="65">
        <f>IFERROR(__xludf.DUMMYFUNCTION("""COMPUTED_VALUE"""),0.0)</f>
        <v>0</v>
      </c>
      <c r="W473" s="65">
        <f>IFERROR(__xludf.DUMMYFUNCTION("""COMPUTED_VALUE"""),0.0)</f>
        <v>0</v>
      </c>
      <c r="X473" s="65">
        <f>IFERROR(__xludf.DUMMYFUNCTION("""COMPUTED_VALUE"""),5.0)</f>
        <v>5</v>
      </c>
      <c r="Y473" s="65">
        <f>IFERROR(__xludf.DUMMYFUNCTION("""COMPUTED_VALUE"""),10.0)</f>
        <v>10</v>
      </c>
      <c r="Z473" s="65">
        <f>IFERROR(__xludf.DUMMYFUNCTION("""COMPUTED_VALUE"""),130492.0)</f>
        <v>130492</v>
      </c>
      <c r="AA473" s="65" t="str">
        <f>IFERROR(__xludf.DUMMYFUNCTION("""COMPUTED_VALUE"""),"IMX-00006")</f>
        <v>IMX-00006</v>
      </c>
      <c r="AB473" s="65"/>
      <c r="AC473" s="65" t="str">
        <f>IFERROR(__xludf.DUMMYFUNCTION("""COMPUTED_VALUE"""),"Receptor Bluetooth")</f>
        <v>Receptor Bluetooth</v>
      </c>
      <c r="AD473" s="65"/>
      <c r="AE473" s="65">
        <f>IFERROR(__xludf.DUMMYFUNCTION("""COMPUTED_VALUE"""),2.0)</f>
        <v>2</v>
      </c>
      <c r="AF473" s="65"/>
      <c r="AG473" s="65"/>
      <c r="AH473" s="65"/>
      <c r="AI473" s="65"/>
      <c r="AJ473" s="65"/>
      <c r="AK473" s="65"/>
      <c r="AL473" s="65"/>
      <c r="AM473" s="65"/>
      <c r="AN473" s="65"/>
      <c r="AO473" s="65"/>
      <c r="AP473" s="65"/>
      <c r="AQ473" s="65"/>
      <c r="AR473" s="65"/>
      <c r="AS473" s="65"/>
      <c r="AT473" s="65" t="str">
        <f>IFERROR(__xludf.DUMMYFUNCTION("""COMPUTED_VALUE"""),"SHOPIFY")</f>
        <v>SHOPIFY</v>
      </c>
      <c r="AU473" s="65" t="str">
        <f>IFERROR(__xludf.DUMMYFUNCTION("""COMPUTED_VALUE"""),"IMPORTEX EC")</f>
        <v>IMPORTEX EC</v>
      </c>
      <c r="AV473" s="65" t="str">
        <f>IFERROR(__xludf.DUMMYFUNCTION("""COMPUTED_VALUE"""),"6545217323052")</f>
        <v>6545217323052</v>
      </c>
      <c r="AW473" s="65">
        <f>IFERROR(__xludf.DUMMYFUNCTION("""COMPUTED_VALUE"""),6393.0)</f>
        <v>6393</v>
      </c>
      <c r="AX473" s="65"/>
      <c r="AY473" s="65"/>
      <c r="AZ473" s="65"/>
      <c r="BA473" s="65"/>
    </row>
    <row r="474">
      <c r="A474" s="65" t="str">
        <f>IFERROR(__xludf.DUMMYFUNCTION("""COMPUTED_VALUE"""),"27-03-2026")</f>
        <v>27-03-2026</v>
      </c>
      <c r="B474" s="65">
        <f>IFERROR(__xludf.DUMMYFUNCTION("""COMPUTED_VALUE"""),4645464.0)</f>
        <v>4645464</v>
      </c>
      <c r="C474" s="65" t="str">
        <f>IFERROR(__xludf.DUMMYFUNCTION("""COMPUTED_VALUE"""),"16:13")</f>
        <v>16:13</v>
      </c>
      <c r="D474" s="65" t="str">
        <f>IFERROR(__xludf.DUMMYFUNCTION("""COMPUTED_VALUE"""),"27-02-2026")</f>
        <v>27-02-2026</v>
      </c>
      <c r="E474" s="65" t="str">
        <f>IFERROR(__xludf.DUMMYFUNCTION("""COMPUTED_VALUE"""),"Jhonny Angel")</f>
        <v>Jhonny Angel</v>
      </c>
      <c r="F474" s="65" t="str">
        <f>IFERROR(__xludf.DUMMYFUNCTION("""COMPUTED_VALUE"""),"991739389")</f>
        <v>991739389</v>
      </c>
      <c r="G474" s="65" t="str">
        <f>IFERROR(__xludf.DUMMYFUNCTION("""COMPUTED_VALUE"""),"rafael0709@hotmail.es")</f>
        <v>rafael0709@hotmail.es</v>
      </c>
      <c r="H474" s="65"/>
      <c r="I474" s="65"/>
      <c r="J474" s="65" t="str">
        <f>IFERROR(__xludf.DUMMYFUNCTION("""COMPUTED_VALUE"""),"D001377161")</f>
        <v>D001377161</v>
      </c>
      <c r="K474" s="65" t="str">
        <f>IFERROR(__xludf.DUMMYFUNCTION("""COMPUTED_VALUE"""),"ENTREGADO")</f>
        <v>ENTREGADO</v>
      </c>
      <c r="L474" s="65" t="str">
        <f>IFERROR(__xludf.DUMMYFUNCTION("""COMPUTED_VALUE"""),"CON RECAUDO")</f>
        <v>CON RECAUDO</v>
      </c>
      <c r="M474" s="65" t="str">
        <f>IFERROR(__xludf.DUMMYFUNCTION("""COMPUTED_VALUE"""),"MANABI")</f>
        <v>MANABI</v>
      </c>
      <c r="N474" s="65" t="str">
        <f>IFERROR(__xludf.DUMMYFUNCTION("""COMPUTED_VALUE"""),"PORTOVIEJO")</f>
        <v>PORTOVIEJO</v>
      </c>
      <c r="O474" s="65" t="str">
        <f>IFERROR(__xludf.DUMMYFUNCTION("""COMPUTED_VALUE"""),"Calle puerto rico y gran Colombia Ciudadela Portoviejo -")</f>
        <v>Calle puerto rico y gran Colombia Ciudadela Portoviejo -</v>
      </c>
      <c r="P474" s="65"/>
      <c r="Q474" s="65" t="str">
        <f>IFERROR(__xludf.DUMMYFUNCTION("""COMPUTED_VALUE"""),"GINTRACOM")</f>
        <v>GINTRACOM</v>
      </c>
      <c r="R474" s="65">
        <f>IFERROR(__xludf.DUMMYFUNCTION("""COMPUTED_VALUE"""),22.0)</f>
        <v>22</v>
      </c>
      <c r="S474" s="65">
        <f>IFERROR(__xludf.DUMMYFUNCTION("""COMPUTED_VALUE"""),6.16)</f>
        <v>6.16</v>
      </c>
      <c r="T474" s="65">
        <f>IFERROR(__xludf.DUMMYFUNCTION("""COMPUTED_VALUE"""),5.84)</f>
        <v>5.84</v>
      </c>
      <c r="U474" s="65">
        <f>IFERROR(__xludf.DUMMYFUNCTION("""COMPUTED_VALUE"""),0.0)</f>
        <v>0</v>
      </c>
      <c r="V474" s="65">
        <f>IFERROR(__xludf.DUMMYFUNCTION("""COMPUTED_VALUE"""),0.0)</f>
        <v>0</v>
      </c>
      <c r="W474" s="65">
        <f>IFERROR(__xludf.DUMMYFUNCTION("""COMPUTED_VALUE"""),0.0)</f>
        <v>0</v>
      </c>
      <c r="X474" s="65">
        <f>IFERROR(__xludf.DUMMYFUNCTION("""COMPUTED_VALUE"""),5.0)</f>
        <v>5</v>
      </c>
      <c r="Y474" s="65">
        <f>IFERROR(__xludf.DUMMYFUNCTION("""COMPUTED_VALUE"""),10.0)</f>
        <v>10</v>
      </c>
      <c r="Z474" s="65">
        <f>IFERROR(__xludf.DUMMYFUNCTION("""COMPUTED_VALUE"""),130492.0)</f>
        <v>130492</v>
      </c>
      <c r="AA474" s="65" t="str">
        <f>IFERROR(__xludf.DUMMYFUNCTION("""COMPUTED_VALUE"""),"IMX-00006")</f>
        <v>IMX-00006</v>
      </c>
      <c r="AB474" s="65"/>
      <c r="AC474" s="65" t="str">
        <f>IFERROR(__xludf.DUMMYFUNCTION("""COMPUTED_VALUE"""),"Receptor Bluetooth")</f>
        <v>Receptor Bluetooth</v>
      </c>
      <c r="AD474" s="65"/>
      <c r="AE474" s="65">
        <f>IFERROR(__xludf.DUMMYFUNCTION("""COMPUTED_VALUE"""),2.0)</f>
        <v>2</v>
      </c>
      <c r="AF474" s="65"/>
      <c r="AG474" s="65"/>
      <c r="AH474" s="65"/>
      <c r="AI474" s="65"/>
      <c r="AJ474" s="65"/>
      <c r="AK474" s="65"/>
      <c r="AL474" s="65"/>
      <c r="AM474" s="65"/>
      <c r="AN474" s="65" t="str">
        <f>IFERROR(__xludf.DUMMYFUNCTION("""COMPUTED_VALUE"""),"11:37")</f>
        <v>11:37</v>
      </c>
      <c r="AO474" s="65" t="str">
        <f>IFERROR(__xludf.DUMMYFUNCTION("""COMPUTED_VALUE"""),"05-03-2026")</f>
        <v>05-03-2026</v>
      </c>
      <c r="AP474" s="65" t="str">
        <f>IFERROR(__xludf.DUMMYFUNCTION("""COMPUTED_VALUE"""),"ENTREGADA GINTRACOM")</f>
        <v>ENTREGADA GINTRACOM</v>
      </c>
      <c r="AQ474" s="65" t="str">
        <f>IFERROR(__xludf.DUMMYFUNCTION("""COMPUTED_VALUE"""),"ENTREGADA GINTRACOM")</f>
        <v>ENTREGADA GINTRACOM</v>
      </c>
      <c r="AR474" s="65"/>
      <c r="AS474" s="65"/>
      <c r="AT474" s="65" t="str">
        <f>IFERROR(__xludf.DUMMYFUNCTION("""COMPUTED_VALUE"""),"SHOPIFY")</f>
        <v>SHOPIFY</v>
      </c>
      <c r="AU474" s="65" t="str">
        <f>IFERROR(__xludf.DUMMYFUNCTION("""COMPUTED_VALUE"""),"IMPORTEX EC")</f>
        <v>IMPORTEX EC</v>
      </c>
      <c r="AV474" s="65" t="str">
        <f>IFERROR(__xludf.DUMMYFUNCTION("""COMPUTED_VALUE"""),"6545034051628")</f>
        <v>6545034051628</v>
      </c>
      <c r="AW474" s="65">
        <f>IFERROR(__xludf.DUMMYFUNCTION("""COMPUTED_VALUE"""),6392.0)</f>
        <v>6392</v>
      </c>
      <c r="AX474" s="65"/>
      <c r="AY474" s="65" t="str">
        <f>IFERROR(__xludf.DUMMYFUNCTION("""COMPUTED_VALUE"""),"03/03/2026")</f>
        <v>03/03/2026</v>
      </c>
      <c r="AZ474" s="65"/>
      <c r="BA474" s="65"/>
    </row>
    <row r="475">
      <c r="A475" s="65" t="str">
        <f>IFERROR(__xludf.DUMMYFUNCTION("""COMPUTED_VALUE"""),"27-03-2026")</f>
        <v>27-03-2026</v>
      </c>
      <c r="B475" s="65">
        <f>IFERROR(__xludf.DUMMYFUNCTION("""COMPUTED_VALUE"""),4645440.0)</f>
        <v>4645440</v>
      </c>
      <c r="C475" s="65" t="str">
        <f>IFERROR(__xludf.DUMMYFUNCTION("""COMPUTED_VALUE"""),"16:11")</f>
        <v>16:11</v>
      </c>
      <c r="D475" s="65" t="str">
        <f>IFERROR(__xludf.DUMMYFUNCTION("""COMPUTED_VALUE"""),"27-02-2026")</f>
        <v>27-02-2026</v>
      </c>
      <c r="E475" s="65" t="str">
        <f>IFERROR(__xludf.DUMMYFUNCTION("""COMPUTED_VALUE"""),"Seider Rodriguez")</f>
        <v>Seider Rodriguez</v>
      </c>
      <c r="F475" s="65" t="str">
        <f>IFERROR(__xludf.DUMMYFUNCTION("""COMPUTED_VALUE"""),"939859850")</f>
        <v>939859850</v>
      </c>
      <c r="G475" s="65" t="str">
        <f>IFERROR(__xludf.DUMMYFUNCTION("""COMPUTED_VALUE"""),"ser039575@gmail.com")</f>
        <v>ser039575@gmail.com</v>
      </c>
      <c r="H475" s="65"/>
      <c r="I475" s="65"/>
      <c r="J475" s="65"/>
      <c r="K475" s="65" t="str">
        <f>IFERROR(__xludf.DUMMYFUNCTION("""COMPUTED_VALUE"""),"PENDIENTE CONFIRMACION")</f>
        <v>PENDIENTE CONFIRMACION</v>
      </c>
      <c r="L475" s="65" t="str">
        <f>IFERROR(__xludf.DUMMYFUNCTION("""COMPUTED_VALUE"""),"CON RECAUDO")</f>
        <v>CON RECAUDO</v>
      </c>
      <c r="M475" s="65" t="str">
        <f>IFERROR(__xludf.DUMMYFUNCTION("""COMPUTED_VALUE"""),"SANTO DOMINGO DE LOS TSACHILAS")</f>
        <v>SANTO DOMINGO DE LOS TSACHILAS</v>
      </c>
      <c r="N475" s="65" t="str">
        <f>IFERROR(__xludf.DUMMYFUNCTION("""COMPUTED_VALUE"""),"SANTO DOMINGO")</f>
        <v>SANTO DOMINGO</v>
      </c>
      <c r="O475" s="65" t="str">
        <f>IFERROR(__xludf.DUMMYFUNCTION("""COMPUTED_VALUE"""),"Piñas Los Ríos -")</f>
        <v>Piñas Los Ríos -</v>
      </c>
      <c r="P475" s="65"/>
      <c r="Q475" s="65" t="str">
        <f>IFERROR(__xludf.DUMMYFUNCTION("""COMPUTED_VALUE"""),"GINTRACOM")</f>
        <v>GINTRACOM</v>
      </c>
      <c r="R475" s="65">
        <f>IFERROR(__xludf.DUMMYFUNCTION("""COMPUTED_VALUE"""),22.0)</f>
        <v>22</v>
      </c>
      <c r="S475" s="65"/>
      <c r="T475" s="65">
        <f>IFERROR(__xludf.DUMMYFUNCTION("""COMPUTED_VALUE"""),5.84)</f>
        <v>5.84</v>
      </c>
      <c r="U475" s="65">
        <f>IFERROR(__xludf.DUMMYFUNCTION("""COMPUTED_VALUE"""),0.0)</f>
        <v>0</v>
      </c>
      <c r="V475" s="65">
        <f>IFERROR(__xludf.DUMMYFUNCTION("""COMPUTED_VALUE"""),0.0)</f>
        <v>0</v>
      </c>
      <c r="W475" s="65">
        <f>IFERROR(__xludf.DUMMYFUNCTION("""COMPUTED_VALUE"""),0.0)</f>
        <v>0</v>
      </c>
      <c r="X475" s="65">
        <f>IFERROR(__xludf.DUMMYFUNCTION("""COMPUTED_VALUE"""),3.75)</f>
        <v>3.75</v>
      </c>
      <c r="Y475" s="65">
        <f>IFERROR(__xludf.DUMMYFUNCTION("""COMPUTED_VALUE"""),7.5)</f>
        <v>7.5</v>
      </c>
      <c r="Z475" s="65">
        <f>IFERROR(__xludf.DUMMYFUNCTION("""COMPUTED_VALUE"""),113116.0)</f>
        <v>113116</v>
      </c>
      <c r="AA475" s="65" t="str">
        <f>IFERROR(__xludf.DUMMYFUNCTION("""COMPUTED_VALUE"""),"IM-TAZAKI")</f>
        <v>IM-TAZAKI</v>
      </c>
      <c r="AB475" s="65"/>
      <c r="AC475" s="65" t="str">
        <f>IFERROR(__xludf.DUMMYFUNCTION("""COMPUTED_VALUE"""),"Cuchillo tazaki")</f>
        <v>Cuchillo tazaki</v>
      </c>
      <c r="AD475" s="65"/>
      <c r="AE475" s="65">
        <f>IFERROR(__xludf.DUMMYFUNCTION("""COMPUTED_VALUE"""),2.0)</f>
        <v>2</v>
      </c>
      <c r="AF475" s="65"/>
      <c r="AG475" s="65"/>
      <c r="AH475" s="65"/>
      <c r="AI475" s="65"/>
      <c r="AJ475" s="65"/>
      <c r="AK475" s="65"/>
      <c r="AL475" s="65"/>
      <c r="AM475" s="65"/>
      <c r="AN475" s="65"/>
      <c r="AO475" s="65"/>
      <c r="AP475" s="65"/>
      <c r="AQ475" s="65"/>
      <c r="AR475" s="65"/>
      <c r="AS475" s="65"/>
      <c r="AT475" s="65" t="str">
        <f>IFERROR(__xludf.DUMMYFUNCTION("""COMPUTED_VALUE"""),"SHOPIFY")</f>
        <v>SHOPIFY</v>
      </c>
      <c r="AU475" s="65" t="str">
        <f>IFERROR(__xludf.DUMMYFUNCTION("""COMPUTED_VALUE"""),"IMPORTEX EC")</f>
        <v>IMPORTEX EC</v>
      </c>
      <c r="AV475" s="65" t="str">
        <f>IFERROR(__xludf.DUMMYFUNCTION("""COMPUTED_VALUE"""),"6544901308460")</f>
        <v>6544901308460</v>
      </c>
      <c r="AW475" s="65">
        <f>IFERROR(__xludf.DUMMYFUNCTION("""COMPUTED_VALUE"""),6391.0)</f>
        <v>6391</v>
      </c>
      <c r="AX475" s="65"/>
      <c r="AY475" s="65"/>
      <c r="AZ475" s="65"/>
      <c r="BA475" s="65"/>
    </row>
    <row r="476">
      <c r="A476" s="65" t="str">
        <f>IFERROR(__xludf.DUMMYFUNCTION("""COMPUTED_VALUE"""),"27-03-2026")</f>
        <v>27-03-2026</v>
      </c>
      <c r="B476" s="65">
        <f>IFERROR(__xludf.DUMMYFUNCTION("""COMPUTED_VALUE"""),4645435.0)</f>
        <v>4645435</v>
      </c>
      <c r="C476" s="65" t="str">
        <f>IFERROR(__xludf.DUMMYFUNCTION("""COMPUTED_VALUE"""),"16:09")</f>
        <v>16:09</v>
      </c>
      <c r="D476" s="65" t="str">
        <f>IFERROR(__xludf.DUMMYFUNCTION("""COMPUTED_VALUE"""),"27-02-2026")</f>
        <v>27-02-2026</v>
      </c>
      <c r="E476" s="65" t="str">
        <f>IFERROR(__xludf.DUMMYFUNCTION("""COMPUTED_VALUE"""),"Cristian Siguencia")</f>
        <v>Cristian Siguencia</v>
      </c>
      <c r="F476" s="65" t="str">
        <f>IFERROR(__xludf.DUMMYFUNCTION("""COMPUTED_VALUE"""),"983424899")</f>
        <v>983424899</v>
      </c>
      <c r="G476" s="65" t="str">
        <f>IFERROR(__xludf.DUMMYFUNCTION("""COMPUTED_VALUE"""),"cristianzuass@gmail.com")</f>
        <v>cristianzuass@gmail.com</v>
      </c>
      <c r="H476" s="65"/>
      <c r="I476" s="65"/>
      <c r="J476" s="65" t="str">
        <f>IFERROR(__xludf.DUMMYFUNCTION("""COMPUTED_VALUE"""),"D001377294")</f>
        <v>D001377294</v>
      </c>
      <c r="K476" s="65" t="str">
        <f>IFERROR(__xludf.DUMMYFUNCTION("""COMPUTED_VALUE"""),"ENTREGADO")</f>
        <v>ENTREGADO</v>
      </c>
      <c r="L476" s="65" t="str">
        <f>IFERROR(__xludf.DUMMYFUNCTION("""COMPUTED_VALUE"""),"CON RECAUDO")</f>
        <v>CON RECAUDO</v>
      </c>
      <c r="M476" s="65" t="str">
        <f>IFERROR(__xludf.DUMMYFUNCTION("""COMPUTED_VALUE"""),"CAÑAR")</f>
        <v>CAÑAR</v>
      </c>
      <c r="N476" s="65" t="str">
        <f>IFERROR(__xludf.DUMMYFUNCTION("""COMPUTED_VALUE"""),"BIBLIAN")</f>
        <v>BIBLIAN</v>
      </c>
      <c r="O476" s="65" t="str">
        <f>IFERROR(__xludf.DUMMYFUNCTION("""COMPUTED_VALUE"""),"Barrio San José, antigua línea férrea San José,  Av Cañar y Francisco Calderon  a 2 cuadras de la iglesia san Jose")</f>
        <v>Barrio San José, antigua línea férrea San José,  Av Cañar y Francisco Calderon  a 2 cuadras de la iglesia san Jose</v>
      </c>
      <c r="P476" s="65"/>
      <c r="Q476" s="65" t="str">
        <f>IFERROR(__xludf.DUMMYFUNCTION("""COMPUTED_VALUE"""),"GINTRACOM")</f>
        <v>GINTRACOM</v>
      </c>
      <c r="R476" s="65">
        <f>IFERROR(__xludf.DUMMYFUNCTION("""COMPUTED_VALUE"""),22.0)</f>
        <v>22</v>
      </c>
      <c r="S476" s="65">
        <f>IFERROR(__xludf.DUMMYFUNCTION("""COMPUTED_VALUE"""),5.59)</f>
        <v>5.59</v>
      </c>
      <c r="T476" s="65">
        <f>IFERROR(__xludf.DUMMYFUNCTION("""COMPUTED_VALUE"""),6.41)</f>
        <v>6.41</v>
      </c>
      <c r="U476" s="65">
        <f>IFERROR(__xludf.DUMMYFUNCTION("""COMPUTED_VALUE"""),0.0)</f>
        <v>0</v>
      </c>
      <c r="V476" s="65">
        <f>IFERROR(__xludf.DUMMYFUNCTION("""COMPUTED_VALUE"""),0.0)</f>
        <v>0</v>
      </c>
      <c r="W476" s="65">
        <f>IFERROR(__xludf.DUMMYFUNCTION("""COMPUTED_VALUE"""),0.0)</f>
        <v>0</v>
      </c>
      <c r="X476" s="65">
        <f>IFERROR(__xludf.DUMMYFUNCTION("""COMPUTED_VALUE"""),5.0)</f>
        <v>5</v>
      </c>
      <c r="Y476" s="65">
        <f>IFERROR(__xludf.DUMMYFUNCTION("""COMPUTED_VALUE"""),10.0)</f>
        <v>10</v>
      </c>
      <c r="Z476" s="65">
        <f>IFERROR(__xludf.DUMMYFUNCTION("""COMPUTED_VALUE"""),130492.0)</f>
        <v>130492</v>
      </c>
      <c r="AA476" s="65" t="str">
        <f>IFERROR(__xludf.DUMMYFUNCTION("""COMPUTED_VALUE"""),"IMX-00006")</f>
        <v>IMX-00006</v>
      </c>
      <c r="AB476" s="65"/>
      <c r="AC476" s="65" t="str">
        <f>IFERROR(__xludf.DUMMYFUNCTION("""COMPUTED_VALUE"""),"Receptor Bluetooth")</f>
        <v>Receptor Bluetooth</v>
      </c>
      <c r="AD476" s="65"/>
      <c r="AE476" s="65">
        <f>IFERROR(__xludf.DUMMYFUNCTION("""COMPUTED_VALUE"""),2.0)</f>
        <v>2</v>
      </c>
      <c r="AF476" s="65"/>
      <c r="AG476" s="65"/>
      <c r="AH476" s="65"/>
      <c r="AI476" s="65"/>
      <c r="AJ476" s="65"/>
      <c r="AK476" s="65"/>
      <c r="AL476" s="65"/>
      <c r="AM476" s="65"/>
      <c r="AN476" s="65" t="str">
        <f>IFERROR(__xludf.DUMMYFUNCTION("""COMPUTED_VALUE"""),"15:45")</f>
        <v>15:45</v>
      </c>
      <c r="AO476" s="65" t="str">
        <f>IFERROR(__xludf.DUMMYFUNCTION("""COMPUTED_VALUE"""),"04-03-2026")</f>
        <v>04-03-2026</v>
      </c>
      <c r="AP476" s="65" t="str">
        <f>IFERROR(__xludf.DUMMYFUNCTION("""COMPUTED_VALUE"""),"ENTREGADA GINTRACOM")</f>
        <v>ENTREGADA GINTRACOM</v>
      </c>
      <c r="AQ476" s="65" t="str">
        <f>IFERROR(__xludf.DUMMYFUNCTION("""COMPUTED_VALUE"""),"ENTREGADA GINTRACOM")</f>
        <v>ENTREGADA GINTRACOM</v>
      </c>
      <c r="AR476" s="65"/>
      <c r="AS476" s="65"/>
      <c r="AT476" s="65" t="str">
        <f>IFERROR(__xludf.DUMMYFUNCTION("""COMPUTED_VALUE"""),"SHOPIFY")</f>
        <v>SHOPIFY</v>
      </c>
      <c r="AU476" s="65" t="str">
        <f>IFERROR(__xludf.DUMMYFUNCTION("""COMPUTED_VALUE"""),"IMPORTEX EC")</f>
        <v>IMPORTEX EC</v>
      </c>
      <c r="AV476" s="65" t="str">
        <f>IFERROR(__xludf.DUMMYFUNCTION("""COMPUTED_VALUE"""),"6544619044908")</f>
        <v>6544619044908</v>
      </c>
      <c r="AW476" s="65">
        <f>IFERROR(__xludf.DUMMYFUNCTION("""COMPUTED_VALUE"""),6389.0)</f>
        <v>6389</v>
      </c>
      <c r="AX476" s="65"/>
      <c r="AY476" s="65" t="str">
        <f>IFERROR(__xludf.DUMMYFUNCTION("""COMPUTED_VALUE"""),"03/03/2026")</f>
        <v>03/03/2026</v>
      </c>
      <c r="AZ476" s="65"/>
      <c r="BA476" s="65"/>
    </row>
    <row r="477">
      <c r="A477" s="65" t="str">
        <f>IFERROR(__xludf.DUMMYFUNCTION("""COMPUTED_VALUE"""),"27-03-2026")</f>
        <v>27-03-2026</v>
      </c>
      <c r="B477" s="65">
        <f>IFERROR(__xludf.DUMMYFUNCTION("""COMPUTED_VALUE"""),4644419.0)</f>
        <v>4644419</v>
      </c>
      <c r="C477" s="65" t="str">
        <f>IFERROR(__xludf.DUMMYFUNCTION("""COMPUTED_VALUE"""),"14:26")</f>
        <v>14:26</v>
      </c>
      <c r="D477" s="65" t="str">
        <f>IFERROR(__xludf.DUMMYFUNCTION("""COMPUTED_VALUE"""),"27-02-2026")</f>
        <v>27-02-2026</v>
      </c>
      <c r="E477" s="65" t="str">
        <f>IFERROR(__xludf.DUMMYFUNCTION("""COMPUTED_VALUE"""),"Juana Marilú Delgado Lopez")</f>
        <v>Juana Marilú Delgado Lopez</v>
      </c>
      <c r="F477" s="65" t="str">
        <f>IFERROR(__xludf.DUMMYFUNCTION("""COMPUTED_VALUE"""),"967291177")</f>
        <v>967291177</v>
      </c>
      <c r="G477" s="65"/>
      <c r="H477" s="65"/>
      <c r="I477" s="65"/>
      <c r="J477" s="65" t="str">
        <f>IFERROR(__xludf.DUMMYFUNCTION("""COMPUTED_VALUE"""),"D001367464")</f>
        <v>D001367464</v>
      </c>
      <c r="K477" s="65" t="str">
        <f>IFERROR(__xludf.DUMMYFUNCTION("""COMPUTED_VALUE"""),"DEVOLUCION")</f>
        <v>DEVOLUCION</v>
      </c>
      <c r="L477" s="65" t="str">
        <f>IFERROR(__xludf.DUMMYFUNCTION("""COMPUTED_VALUE"""),"CON RECAUDO")</f>
        <v>CON RECAUDO</v>
      </c>
      <c r="M477" s="65" t="str">
        <f>IFERROR(__xludf.DUMMYFUNCTION("""COMPUTED_VALUE"""),"MANABI")</f>
        <v>MANABI</v>
      </c>
      <c r="N477" s="65" t="str">
        <f>IFERROR(__xludf.DUMMYFUNCTION("""COMPUTED_VALUE"""),"MANTA")</f>
        <v>MANTA</v>
      </c>
      <c r="O477" s="65" t="str">
        <f>IFERROR(__xludf.DUMMYFUNCTION("""COMPUTED_VALUE"""),"Calle 13 diagonal al Gran Aki Calle 13 -")</f>
        <v>Calle 13 diagonal al Gran Aki Calle 13 -</v>
      </c>
      <c r="P477" s="65"/>
      <c r="Q477" s="65" t="str">
        <f>IFERROR(__xludf.DUMMYFUNCTION("""COMPUTED_VALUE"""),"GINTRACOM")</f>
        <v>GINTRACOM</v>
      </c>
      <c r="R477" s="65">
        <f>IFERROR(__xludf.DUMMYFUNCTION("""COMPUTED_VALUE"""),27.0)</f>
        <v>27</v>
      </c>
      <c r="S477" s="65"/>
      <c r="T477" s="65">
        <f>IFERROR(__xludf.DUMMYFUNCTION("""COMPUTED_VALUE"""),6.03)</f>
        <v>6.03</v>
      </c>
      <c r="U477" s="65">
        <f>IFERROR(__xludf.DUMMYFUNCTION("""COMPUTED_VALUE"""),0.0)</f>
        <v>0</v>
      </c>
      <c r="V477" s="65">
        <f>IFERROR(__xludf.DUMMYFUNCTION("""COMPUTED_VALUE"""),0.0)</f>
        <v>0</v>
      </c>
      <c r="W477" s="65">
        <f>IFERROR(__xludf.DUMMYFUNCTION("""COMPUTED_VALUE"""),0.0)</f>
        <v>0</v>
      </c>
      <c r="X477" s="65">
        <f>IFERROR(__xludf.DUMMYFUNCTION("""COMPUTED_VALUE"""),3.75)</f>
        <v>3.75</v>
      </c>
      <c r="Y477" s="65">
        <f>IFERROR(__xludf.DUMMYFUNCTION("""COMPUTED_VALUE"""),11.25)</f>
        <v>11.25</v>
      </c>
      <c r="Z477" s="65">
        <f>IFERROR(__xludf.DUMMYFUNCTION("""COMPUTED_VALUE"""),113116.0)</f>
        <v>113116</v>
      </c>
      <c r="AA477" s="65" t="str">
        <f>IFERROR(__xludf.DUMMYFUNCTION("""COMPUTED_VALUE"""),"IM-TAZAKI")</f>
        <v>IM-TAZAKI</v>
      </c>
      <c r="AB477" s="65"/>
      <c r="AC477" s="65" t="str">
        <f>IFERROR(__xludf.DUMMYFUNCTION("""COMPUTED_VALUE"""),"Cuchillo tazaki")</f>
        <v>Cuchillo tazaki</v>
      </c>
      <c r="AD477" s="65"/>
      <c r="AE477" s="65">
        <f>IFERROR(__xludf.DUMMYFUNCTION("""COMPUTED_VALUE"""),3.0)</f>
        <v>3</v>
      </c>
      <c r="AF477" s="65" t="str">
        <f>IFERROR(__xludf.DUMMYFUNCTION("""COMPUTED_VALUE"""),"DESTINATARIO INDICA QUE YA NO DESEA EL PRODUCTO")</f>
        <v>DESTINATARIO INDICA QUE YA NO DESEA EL PRODUCTO</v>
      </c>
      <c r="AG477" s="65" t="str">
        <f>IFERROR(__xludf.DUMMYFUNCTION("""COMPUTED_VALUE"""),"NO")</f>
        <v>NO</v>
      </c>
      <c r="AH477" s="65" t="str">
        <f>IFERROR(__xludf.DUMMYFUNCTION("""COMPUTED_VALUE"""),"11:45")</f>
        <v>11:45</v>
      </c>
      <c r="AI477" s="65" t="str">
        <f>IFERROR(__xludf.DUMMYFUNCTION("""COMPUTED_VALUE"""),"06-03-2026")</f>
        <v>06-03-2026</v>
      </c>
      <c r="AJ477" s="65"/>
      <c r="AK477" s="65"/>
      <c r="AL477" s="65"/>
      <c r="AM477" s="65"/>
      <c r="AN477" s="65" t="str">
        <f>IFERROR(__xludf.DUMMYFUNCTION("""COMPUTED_VALUE"""),"03:04")</f>
        <v>03:04</v>
      </c>
      <c r="AO477" s="65" t="str">
        <f>IFERROR(__xludf.DUMMYFUNCTION("""COMPUTED_VALUE"""),"12-03-2026")</f>
        <v>12-03-2026</v>
      </c>
      <c r="AP477" s="65" t="str">
        <f>IFERROR(__xludf.DUMMYFUNCTION("""COMPUTED_VALUE"""),"DEVOLUCIÓN")</f>
        <v>DEVOLUCIÓN</v>
      </c>
      <c r="AQ477" s="65" t="str">
        <f>IFERROR(__xludf.DUMMYFUNCTION("""COMPUTED_VALUE"""),"DEVOLUCIÓN")</f>
        <v>DEVOLUCIÓN</v>
      </c>
      <c r="AR477" s="65"/>
      <c r="AS477" s="65"/>
      <c r="AT477" s="65" t="str">
        <f>IFERROR(__xludf.DUMMYFUNCTION("""COMPUTED_VALUE"""),"SHOPIFY")</f>
        <v>SHOPIFY</v>
      </c>
      <c r="AU477" s="65" t="str">
        <f>IFERROR(__xludf.DUMMYFUNCTION("""COMPUTED_VALUE"""),"IMPORTEX EC")</f>
        <v>IMPORTEX EC</v>
      </c>
      <c r="AV477" s="65" t="str">
        <f>IFERROR(__xludf.DUMMYFUNCTION("""COMPUTED_VALUE"""),"6544840097836")</f>
        <v>6544840097836</v>
      </c>
      <c r="AW477" s="65">
        <f>IFERROR(__xludf.DUMMYFUNCTION("""COMPUTED_VALUE"""),6390.0)</f>
        <v>6390</v>
      </c>
      <c r="AX477" s="65"/>
      <c r="AY477" s="65" t="str">
        <f>IFERROR(__xludf.DUMMYFUNCTION("""COMPUTED_VALUE"""),"28/02/2026")</f>
        <v>28/02/2026</v>
      </c>
      <c r="AZ477" s="65"/>
      <c r="BA477" s="65"/>
    </row>
    <row r="478">
      <c r="A478" s="65" t="str">
        <f>IFERROR(__xludf.DUMMYFUNCTION("""COMPUTED_VALUE"""),"27-03-2026")</f>
        <v>27-03-2026</v>
      </c>
      <c r="B478" s="65">
        <f>IFERROR(__xludf.DUMMYFUNCTION("""COMPUTED_VALUE"""),4643654.0)</f>
        <v>4643654</v>
      </c>
      <c r="C478" s="65" t="str">
        <f>IFERROR(__xludf.DUMMYFUNCTION("""COMPUTED_VALUE"""),"13:08")</f>
        <v>13:08</v>
      </c>
      <c r="D478" s="65" t="str">
        <f>IFERROR(__xludf.DUMMYFUNCTION("""COMPUTED_VALUE"""),"27-02-2026")</f>
        <v>27-02-2026</v>
      </c>
      <c r="E478" s="65" t="str">
        <f>IFERROR(__xludf.DUMMYFUNCTION("""COMPUTED_VALUE"""),"María Estacio")</f>
        <v>María Estacio</v>
      </c>
      <c r="F478" s="65" t="str">
        <f>IFERROR(__xludf.DUMMYFUNCTION("""COMPUTED_VALUE"""),"993815987")</f>
        <v>993815987</v>
      </c>
      <c r="G478" s="65"/>
      <c r="H478" s="65"/>
      <c r="I478" s="65"/>
      <c r="J478" s="65" t="str">
        <f>IFERROR(__xludf.DUMMYFUNCTION("""COMPUTED_VALUE"""),"D001367475")</f>
        <v>D001367475</v>
      </c>
      <c r="K478" s="65" t="str">
        <f>IFERROR(__xludf.DUMMYFUNCTION("""COMPUTED_VALUE"""),"ENTREGADO")</f>
        <v>ENTREGADO</v>
      </c>
      <c r="L478" s="65" t="str">
        <f>IFERROR(__xludf.DUMMYFUNCTION("""COMPUTED_VALUE"""),"CON RECAUDO")</f>
        <v>CON RECAUDO</v>
      </c>
      <c r="M478" s="65" t="str">
        <f>IFERROR(__xludf.DUMMYFUNCTION("""COMPUTED_VALUE"""),"GUAYAS")</f>
        <v>GUAYAS</v>
      </c>
      <c r="N478" s="65" t="str">
        <f>IFERROR(__xludf.DUMMYFUNCTION("""COMPUTED_VALUE"""),"GUAYAQUIL")</f>
        <v>GUAYAQUIL</v>
      </c>
      <c r="O478" s="65" t="str">
        <f>IFERROR(__xludf.DUMMYFUNCTION("""COMPUTED_VALUE"""),"Mall del norte , Parque Lineal, Villa, Mucholote, Quinta Etapa, Villa, 2697")</f>
        <v>Mall del norte , Parque Lineal, Villa, Mucholote, Quinta Etapa, Villa, 2697</v>
      </c>
      <c r="P478" s="65"/>
      <c r="Q478" s="65" t="str">
        <f>IFERROR(__xludf.DUMMYFUNCTION("""COMPUTED_VALUE"""),"GINTRACOM")</f>
        <v>GINTRACOM</v>
      </c>
      <c r="R478" s="65">
        <f>IFERROR(__xludf.DUMMYFUNCTION("""COMPUTED_VALUE"""),22.0)</f>
        <v>22</v>
      </c>
      <c r="S478" s="65">
        <f>IFERROR(__xludf.DUMMYFUNCTION("""COMPUTED_VALUE"""),8.66)</f>
        <v>8.66</v>
      </c>
      <c r="T478" s="65">
        <f>IFERROR(__xludf.DUMMYFUNCTION("""COMPUTED_VALUE"""),5.84)</f>
        <v>5.84</v>
      </c>
      <c r="U478" s="65">
        <f>IFERROR(__xludf.DUMMYFUNCTION("""COMPUTED_VALUE"""),0.0)</f>
        <v>0</v>
      </c>
      <c r="V478" s="65">
        <f>IFERROR(__xludf.DUMMYFUNCTION("""COMPUTED_VALUE"""),0.0)</f>
        <v>0</v>
      </c>
      <c r="W478" s="65">
        <f>IFERROR(__xludf.DUMMYFUNCTION("""COMPUTED_VALUE"""),0.0)</f>
        <v>0</v>
      </c>
      <c r="X478" s="65">
        <f>IFERROR(__xludf.DUMMYFUNCTION("""COMPUTED_VALUE"""),3.75)</f>
        <v>3.75</v>
      </c>
      <c r="Y478" s="65">
        <f>IFERROR(__xludf.DUMMYFUNCTION("""COMPUTED_VALUE"""),7.5)</f>
        <v>7.5</v>
      </c>
      <c r="Z478" s="65">
        <f>IFERROR(__xludf.DUMMYFUNCTION("""COMPUTED_VALUE"""),113116.0)</f>
        <v>113116</v>
      </c>
      <c r="AA478" s="65" t="str">
        <f>IFERROR(__xludf.DUMMYFUNCTION("""COMPUTED_VALUE"""),"IM-TAZAKI")</f>
        <v>IM-TAZAKI</v>
      </c>
      <c r="AB478" s="65"/>
      <c r="AC478" s="65" t="str">
        <f>IFERROR(__xludf.DUMMYFUNCTION("""COMPUTED_VALUE"""),"Cuchillo tazaki")</f>
        <v>Cuchillo tazaki</v>
      </c>
      <c r="AD478" s="65"/>
      <c r="AE478" s="65">
        <f>IFERROR(__xludf.DUMMYFUNCTION("""COMPUTED_VALUE"""),2.0)</f>
        <v>2</v>
      </c>
      <c r="AF478" s="65"/>
      <c r="AG478" s="65"/>
      <c r="AH478" s="65"/>
      <c r="AI478" s="65"/>
      <c r="AJ478" s="65"/>
      <c r="AK478" s="65"/>
      <c r="AL478" s="65"/>
      <c r="AM478" s="65"/>
      <c r="AN478" s="65" t="str">
        <f>IFERROR(__xludf.DUMMYFUNCTION("""COMPUTED_VALUE"""),"12:35")</f>
        <v>12:35</v>
      </c>
      <c r="AO478" s="65" t="str">
        <f>IFERROR(__xludf.DUMMYFUNCTION("""COMPUTED_VALUE"""),"02-03-2026")</f>
        <v>02-03-2026</v>
      </c>
      <c r="AP478" s="65" t="str">
        <f>IFERROR(__xludf.DUMMYFUNCTION("""COMPUTED_VALUE"""),"ENTREGADA GINTRACOM")</f>
        <v>ENTREGADA GINTRACOM</v>
      </c>
      <c r="AQ478" s="65" t="str">
        <f>IFERROR(__xludf.DUMMYFUNCTION("""COMPUTED_VALUE"""),"ENTREGADA GINTRACOM")</f>
        <v>ENTREGADA GINTRACOM</v>
      </c>
      <c r="AR478" s="65"/>
      <c r="AS478" s="65"/>
      <c r="AT478" s="65"/>
      <c r="AU478" s="65"/>
      <c r="AV478" s="65"/>
      <c r="AW478" s="65"/>
      <c r="AX478" s="65"/>
      <c r="AY478" s="65" t="str">
        <f>IFERROR(__xludf.DUMMYFUNCTION("""COMPUTED_VALUE"""),"28/02/2026")</f>
        <v>28/02/2026</v>
      </c>
      <c r="AZ478" s="65"/>
      <c r="BA478" s="65"/>
    </row>
    <row r="479">
      <c r="A479" s="65" t="str">
        <f>IFERROR(__xludf.DUMMYFUNCTION("""COMPUTED_VALUE"""),"27-03-2026")</f>
        <v>27-03-2026</v>
      </c>
      <c r="B479" s="65">
        <f>IFERROR(__xludf.DUMMYFUNCTION("""COMPUTED_VALUE"""),4643489.0)</f>
        <v>4643489</v>
      </c>
      <c r="C479" s="65" t="str">
        <f>IFERROR(__xludf.DUMMYFUNCTION("""COMPUTED_VALUE"""),"12:49")</f>
        <v>12:49</v>
      </c>
      <c r="D479" s="65" t="str">
        <f>IFERROR(__xludf.DUMMYFUNCTION("""COMPUTED_VALUE"""),"27-02-2026")</f>
        <v>27-02-2026</v>
      </c>
      <c r="E479" s="65" t="str">
        <f>IFERROR(__xludf.DUMMYFUNCTION("""COMPUTED_VALUE"""),"Magaly Campoverde")</f>
        <v>Magaly Campoverde</v>
      </c>
      <c r="F479" s="65" t="str">
        <f>IFERROR(__xludf.DUMMYFUNCTION("""COMPUTED_VALUE"""),"992741662")</f>
        <v>992741662</v>
      </c>
      <c r="G479" s="65"/>
      <c r="H479" s="65"/>
      <c r="I479" s="65"/>
      <c r="J479" s="65" t="str">
        <f>IFERROR(__xludf.DUMMYFUNCTION("""COMPUTED_VALUE"""),"D001373892")</f>
        <v>D001373892</v>
      </c>
      <c r="K479" s="65" t="str">
        <f>IFERROR(__xludf.DUMMYFUNCTION("""COMPUTED_VALUE"""),"ENTREGADO")</f>
        <v>ENTREGADO</v>
      </c>
      <c r="L479" s="65" t="str">
        <f>IFERROR(__xludf.DUMMYFUNCTION("""COMPUTED_VALUE"""),"CON RECAUDO")</f>
        <v>CON RECAUDO</v>
      </c>
      <c r="M479" s="65" t="str">
        <f>IFERROR(__xludf.DUMMYFUNCTION("""COMPUTED_VALUE"""),"SUCUMBIOS")</f>
        <v>SUCUMBIOS</v>
      </c>
      <c r="N479" s="65" t="str">
        <f>IFERROR(__xludf.DUMMYFUNCTION("""COMPUTED_VALUE"""),"LAGO AGRIO")</f>
        <v>LAGO AGRIO</v>
      </c>
      <c r="O479" s="65" t="str">
        <f>IFERROR(__xludf.DUMMYFUNCTION("""COMPUTED_VALUE"""),"petrolera y Vicente narvaez")</f>
        <v>petrolera y Vicente narvaez</v>
      </c>
      <c r="P479" s="65"/>
      <c r="Q479" s="65" t="str">
        <f>IFERROR(__xludf.DUMMYFUNCTION("""COMPUTED_VALUE"""),"GINTRACOM")</f>
        <v>GINTRACOM</v>
      </c>
      <c r="R479" s="65">
        <f>IFERROR(__xludf.DUMMYFUNCTION("""COMPUTED_VALUE"""),25.0)</f>
        <v>25</v>
      </c>
      <c r="S479" s="65">
        <f>IFERROR(__xludf.DUMMYFUNCTION("""COMPUTED_VALUE"""),14.34)</f>
        <v>14.34</v>
      </c>
      <c r="T479" s="65">
        <f>IFERROR(__xludf.DUMMYFUNCTION("""COMPUTED_VALUE"""),5.96)</f>
        <v>5.96</v>
      </c>
      <c r="U479" s="65">
        <f>IFERROR(__xludf.DUMMYFUNCTION("""COMPUTED_VALUE"""),0.0)</f>
        <v>0</v>
      </c>
      <c r="V479" s="65">
        <f>IFERROR(__xludf.DUMMYFUNCTION("""COMPUTED_VALUE"""),0.0)</f>
        <v>0</v>
      </c>
      <c r="W479" s="65">
        <f>IFERROR(__xludf.DUMMYFUNCTION("""COMPUTED_VALUE"""),0.0)</f>
        <v>0</v>
      </c>
      <c r="X479" s="65">
        <f>IFERROR(__xludf.DUMMYFUNCTION("""COMPUTED_VALUE"""),2.35)</f>
        <v>2.35</v>
      </c>
      <c r="Y479" s="65">
        <f>IFERROR(__xludf.DUMMYFUNCTION("""COMPUTED_VALUE"""),4.7)</f>
        <v>4.7</v>
      </c>
      <c r="Z479" s="65">
        <f>IFERROR(__xludf.DUMMYFUNCTION("""COMPUTED_VALUE"""),116679.0)</f>
        <v>116679</v>
      </c>
      <c r="AA479" s="65" t="str">
        <f>IFERROR(__xludf.DUMMYFUNCTION("""COMPUTED_VALUE"""),"AMC-2738")</f>
        <v>AMC-2738</v>
      </c>
      <c r="AB479" s="65"/>
      <c r="AC479" s="65" t="str">
        <f>IFERROR(__xludf.DUMMYFUNCTION("""COMPUTED_VALUE"""),"ESPONJA ANTILLUVIA DE PARABRISAS")</f>
        <v>ESPONJA ANTILLUVIA DE PARABRISAS</v>
      </c>
      <c r="AD479" s="65"/>
      <c r="AE479" s="65">
        <f>IFERROR(__xludf.DUMMYFUNCTION("""COMPUTED_VALUE"""),2.0)</f>
        <v>2</v>
      </c>
      <c r="AF479" s="65"/>
      <c r="AG479" s="65"/>
      <c r="AH479" s="65"/>
      <c r="AI479" s="65"/>
      <c r="AJ479" s="65"/>
      <c r="AK479" s="65"/>
      <c r="AL479" s="65"/>
      <c r="AM479" s="65"/>
      <c r="AN479" s="65" t="str">
        <f>IFERROR(__xludf.DUMMYFUNCTION("""COMPUTED_VALUE"""),"16:02")</f>
        <v>16:02</v>
      </c>
      <c r="AO479" s="65" t="str">
        <f>IFERROR(__xludf.DUMMYFUNCTION("""COMPUTED_VALUE"""),"04-03-2026")</f>
        <v>04-03-2026</v>
      </c>
      <c r="AP479" s="65" t="str">
        <f>IFERROR(__xludf.DUMMYFUNCTION("""COMPUTED_VALUE"""),"DESTINATARIO RE-PROGRAMA FECHA DE ENTREGA")</f>
        <v>DESTINATARIO RE-PROGRAMA FECHA DE ENTREGA</v>
      </c>
      <c r="AQ479" s="65" t="str">
        <f>IFERROR(__xludf.DUMMYFUNCTION("""COMPUTED_VALUE"""),"DESTINATARIO RE-PROGRAMA FECHA DE ENTREGA")</f>
        <v>DESTINATARIO RE-PROGRAMA FECHA DE ENTREGA</v>
      </c>
      <c r="AR479" s="65"/>
      <c r="AS479" s="65"/>
      <c r="AT479" s="65"/>
      <c r="AU479" s="65"/>
      <c r="AV479" s="65"/>
      <c r="AW479" s="65"/>
      <c r="AX479" s="65"/>
      <c r="AY479" s="65" t="str">
        <f>IFERROR(__xludf.DUMMYFUNCTION("""COMPUTED_VALUE"""),"02/03/2026")</f>
        <v>02/03/2026</v>
      </c>
      <c r="AZ479" s="65"/>
      <c r="BA479" s="65"/>
    </row>
    <row r="480">
      <c r="A480" s="65" t="str">
        <f>IFERROR(__xludf.DUMMYFUNCTION("""COMPUTED_VALUE"""),"27-03-2026")</f>
        <v>27-03-2026</v>
      </c>
      <c r="B480" s="65">
        <f>IFERROR(__xludf.DUMMYFUNCTION("""COMPUTED_VALUE"""),4643420.0)</f>
        <v>4643420</v>
      </c>
      <c r="C480" s="65" t="str">
        <f>IFERROR(__xludf.DUMMYFUNCTION("""COMPUTED_VALUE"""),"12:42")</f>
        <v>12:42</v>
      </c>
      <c r="D480" s="65" t="str">
        <f>IFERROR(__xludf.DUMMYFUNCTION("""COMPUTED_VALUE"""),"27-02-2026")</f>
        <v>27-02-2026</v>
      </c>
      <c r="E480" s="65" t="str">
        <f>IFERROR(__xludf.DUMMYFUNCTION("""COMPUTED_VALUE"""),"Estefania Magaly")</f>
        <v>Estefania Magaly</v>
      </c>
      <c r="F480" s="65" t="str">
        <f>IFERROR(__xludf.DUMMYFUNCTION("""COMPUTED_VALUE"""),"969457534")</f>
        <v>969457534</v>
      </c>
      <c r="G480" s="65" t="str">
        <f>IFERROR(__xludf.DUMMYFUNCTION("""COMPUTED_VALUE"""),"teffygarciar@gmail.com")</f>
        <v>teffygarciar@gmail.com</v>
      </c>
      <c r="H480" s="65"/>
      <c r="I480" s="65"/>
      <c r="J480" s="65" t="str">
        <f>IFERROR(__xludf.DUMMYFUNCTION("""COMPUTED_VALUE"""),"D001373894")</f>
        <v>D001373894</v>
      </c>
      <c r="K480" s="65" t="str">
        <f>IFERROR(__xludf.DUMMYFUNCTION("""COMPUTED_VALUE"""),"ENTREGADO")</f>
        <v>ENTREGADO</v>
      </c>
      <c r="L480" s="65" t="str">
        <f>IFERROR(__xludf.DUMMYFUNCTION("""COMPUTED_VALUE"""),"CON RECAUDO")</f>
        <v>CON RECAUDO</v>
      </c>
      <c r="M480" s="65" t="str">
        <f>IFERROR(__xludf.DUMMYFUNCTION("""COMPUTED_VALUE"""),"GUAYAS")</f>
        <v>GUAYAS</v>
      </c>
      <c r="N480" s="65" t="str">
        <f>IFERROR(__xludf.DUMMYFUNCTION("""COMPUTED_VALUE"""),"GUAYAQUIL")</f>
        <v>GUAYAQUIL</v>
      </c>
      <c r="O480" s="65" t="str">
        <f>IFERROR(__xludf.DUMMYFUNCTION("""COMPUTED_VALUE"""),"Via a la costa, Urbanización Belo horizonte, Etapa Benevento, Mz 16, Villa 2")</f>
        <v>Via a la costa, Urbanización Belo horizonte, Etapa Benevento, Mz 16, Villa 2</v>
      </c>
      <c r="P480" s="65"/>
      <c r="Q480" s="65" t="str">
        <f>IFERROR(__xludf.DUMMYFUNCTION("""COMPUTED_VALUE"""),"GINTRACOM")</f>
        <v>GINTRACOM</v>
      </c>
      <c r="R480" s="65">
        <f>IFERROR(__xludf.DUMMYFUNCTION("""COMPUTED_VALUE"""),25.0)</f>
        <v>25</v>
      </c>
      <c r="S480" s="65">
        <f>IFERROR(__xludf.DUMMYFUNCTION("""COMPUTED_VALUE"""),14.34)</f>
        <v>14.34</v>
      </c>
      <c r="T480" s="65">
        <f>IFERROR(__xludf.DUMMYFUNCTION("""COMPUTED_VALUE"""),5.96)</f>
        <v>5.96</v>
      </c>
      <c r="U480" s="65">
        <f>IFERROR(__xludf.DUMMYFUNCTION("""COMPUTED_VALUE"""),0.0)</f>
        <v>0</v>
      </c>
      <c r="V480" s="65">
        <f>IFERROR(__xludf.DUMMYFUNCTION("""COMPUTED_VALUE"""),0.0)</f>
        <v>0</v>
      </c>
      <c r="W480" s="65">
        <f>IFERROR(__xludf.DUMMYFUNCTION("""COMPUTED_VALUE"""),0.0)</f>
        <v>0</v>
      </c>
      <c r="X480" s="65">
        <f>IFERROR(__xludf.DUMMYFUNCTION("""COMPUTED_VALUE"""),2.35)</f>
        <v>2.35</v>
      </c>
      <c r="Y480" s="65">
        <f>IFERROR(__xludf.DUMMYFUNCTION("""COMPUTED_VALUE"""),4.7)</f>
        <v>4.7</v>
      </c>
      <c r="Z480" s="65">
        <f>IFERROR(__xludf.DUMMYFUNCTION("""COMPUTED_VALUE"""),116679.0)</f>
        <v>116679</v>
      </c>
      <c r="AA480" s="65" t="str">
        <f>IFERROR(__xludf.DUMMYFUNCTION("""COMPUTED_VALUE"""),"AMC-2738")</f>
        <v>AMC-2738</v>
      </c>
      <c r="AB480" s="65"/>
      <c r="AC480" s="65" t="str">
        <f>IFERROR(__xludf.DUMMYFUNCTION("""COMPUTED_VALUE"""),"ESPONJA ANTILLUVIA DE PARABRISAS")</f>
        <v>ESPONJA ANTILLUVIA DE PARABRISAS</v>
      </c>
      <c r="AD480" s="65"/>
      <c r="AE480" s="65">
        <f>IFERROR(__xludf.DUMMYFUNCTION("""COMPUTED_VALUE"""),2.0)</f>
        <v>2</v>
      </c>
      <c r="AF480" s="65"/>
      <c r="AG480" s="65"/>
      <c r="AH480" s="65"/>
      <c r="AI480" s="65"/>
      <c r="AJ480" s="65"/>
      <c r="AK480" s="65"/>
      <c r="AL480" s="65"/>
      <c r="AM480" s="65"/>
      <c r="AN480" s="65" t="str">
        <f>IFERROR(__xludf.DUMMYFUNCTION("""COMPUTED_VALUE"""),"16:46")</f>
        <v>16:46</v>
      </c>
      <c r="AO480" s="65" t="str">
        <f>IFERROR(__xludf.DUMMYFUNCTION("""COMPUTED_VALUE"""),"04-03-2026")</f>
        <v>04-03-2026</v>
      </c>
      <c r="AP480" s="65" t="str">
        <f>IFERROR(__xludf.DUMMYFUNCTION("""COMPUTED_VALUE"""),"ENTREGADA GINTRACOM")</f>
        <v>ENTREGADA GINTRACOM</v>
      </c>
      <c r="AQ480" s="65" t="str">
        <f>IFERROR(__xludf.DUMMYFUNCTION("""COMPUTED_VALUE"""),"ENTREGADA GINTRACOM")</f>
        <v>ENTREGADA GINTRACOM</v>
      </c>
      <c r="AR480" s="65"/>
      <c r="AS480" s="65"/>
      <c r="AT480" s="65" t="str">
        <f>IFERROR(__xludf.DUMMYFUNCTION("""COMPUTED_VALUE"""),"SHOPIFY")</f>
        <v>SHOPIFY</v>
      </c>
      <c r="AU480" s="65" t="str">
        <f>IFERROR(__xludf.DUMMYFUNCTION("""COMPUTED_VALUE"""),"IMPORTEX EC")</f>
        <v>IMPORTEX EC</v>
      </c>
      <c r="AV480" s="65" t="str">
        <f>IFERROR(__xludf.DUMMYFUNCTION("""COMPUTED_VALUE"""),"6544565370924")</f>
        <v>6544565370924</v>
      </c>
      <c r="AW480" s="65">
        <f>IFERROR(__xludf.DUMMYFUNCTION("""COMPUTED_VALUE"""),6388.0)</f>
        <v>6388</v>
      </c>
      <c r="AX480" s="65"/>
      <c r="AY480" s="65" t="str">
        <f>IFERROR(__xludf.DUMMYFUNCTION("""COMPUTED_VALUE"""),"02/03/2026")</f>
        <v>02/03/2026</v>
      </c>
      <c r="AZ480" s="65"/>
      <c r="BA480" s="65"/>
    </row>
    <row r="481">
      <c r="A481" s="65" t="str">
        <f>IFERROR(__xludf.DUMMYFUNCTION("""COMPUTED_VALUE"""),"27-03-2026")</f>
        <v>27-03-2026</v>
      </c>
      <c r="B481" s="65">
        <f>IFERROR(__xludf.DUMMYFUNCTION("""COMPUTED_VALUE"""),4643033.0)</f>
        <v>4643033</v>
      </c>
      <c r="C481" s="65" t="str">
        <f>IFERROR(__xludf.DUMMYFUNCTION("""COMPUTED_VALUE"""),"12:07")</f>
        <v>12:07</v>
      </c>
      <c r="D481" s="65" t="str">
        <f>IFERROR(__xludf.DUMMYFUNCTION("""COMPUTED_VALUE"""),"27-02-2026")</f>
        <v>27-02-2026</v>
      </c>
      <c r="E481" s="65" t="str">
        <f>IFERROR(__xludf.DUMMYFUNCTION("""COMPUTED_VALUE"""),"Nelly Caluña")</f>
        <v>Nelly Caluña</v>
      </c>
      <c r="F481" s="65" t="str">
        <f>IFERROR(__xludf.DUMMYFUNCTION("""COMPUTED_VALUE"""),"994427946")</f>
        <v>994427946</v>
      </c>
      <c r="G481" s="65" t="str">
        <f>IFERROR(__xludf.DUMMYFUNCTION("""COMPUTED_VALUE"""),"nellycaluna09@gmail.com")</f>
        <v>nellycaluna09@gmail.com</v>
      </c>
      <c r="H481" s="65"/>
      <c r="I481" s="65"/>
      <c r="J481" s="65"/>
      <c r="K481" s="65" t="str">
        <f>IFERROR(__xludf.DUMMYFUNCTION("""COMPUTED_VALUE"""),"PENDIENTE CONFIRMACION")</f>
        <v>PENDIENTE CONFIRMACION</v>
      </c>
      <c r="L481" s="65" t="str">
        <f>IFERROR(__xludf.DUMMYFUNCTION("""COMPUTED_VALUE"""),"CON RECAUDO")</f>
        <v>CON RECAUDO</v>
      </c>
      <c r="M481" s="65" t="str">
        <f>IFERROR(__xludf.DUMMYFUNCTION("""COMPUTED_VALUE"""),"PASTAZA")</f>
        <v>PASTAZA</v>
      </c>
      <c r="N481" s="65" t="str">
        <f>IFERROR(__xludf.DUMMYFUNCTION("""COMPUTED_VALUE"""),"PUYO")</f>
        <v>PUYO</v>
      </c>
      <c r="O481" s="65" t="str">
        <f>IFERROR(__xludf.DUMMYFUNCTION("""COMPUTED_VALUE"""),"Puyo Parroquia el Triunfo -")</f>
        <v>Puyo Parroquia el Triunfo -</v>
      </c>
      <c r="P481" s="65"/>
      <c r="Q481" s="65" t="str">
        <f>IFERROR(__xludf.DUMMYFUNCTION("""COMPUTED_VALUE"""),"GINTRACOM")</f>
        <v>GINTRACOM</v>
      </c>
      <c r="R481" s="65">
        <f>IFERROR(__xludf.DUMMYFUNCTION("""COMPUTED_VALUE"""),22.0)</f>
        <v>22</v>
      </c>
      <c r="S481" s="65"/>
      <c r="T481" s="65">
        <f>IFERROR(__xludf.DUMMYFUNCTION("""COMPUTED_VALUE"""),5.84)</f>
        <v>5.84</v>
      </c>
      <c r="U481" s="65">
        <f>IFERROR(__xludf.DUMMYFUNCTION("""COMPUTED_VALUE"""),0.0)</f>
        <v>0</v>
      </c>
      <c r="V481" s="65">
        <f>IFERROR(__xludf.DUMMYFUNCTION("""COMPUTED_VALUE"""),0.0)</f>
        <v>0</v>
      </c>
      <c r="W481" s="65">
        <f>IFERROR(__xludf.DUMMYFUNCTION("""COMPUTED_VALUE"""),0.0)</f>
        <v>0</v>
      </c>
      <c r="X481" s="65">
        <f>IFERROR(__xludf.DUMMYFUNCTION("""COMPUTED_VALUE"""),3.75)</f>
        <v>3.75</v>
      </c>
      <c r="Y481" s="65">
        <f>IFERROR(__xludf.DUMMYFUNCTION("""COMPUTED_VALUE"""),7.5)</f>
        <v>7.5</v>
      </c>
      <c r="Z481" s="65">
        <f>IFERROR(__xludf.DUMMYFUNCTION("""COMPUTED_VALUE"""),113116.0)</f>
        <v>113116</v>
      </c>
      <c r="AA481" s="65" t="str">
        <f>IFERROR(__xludf.DUMMYFUNCTION("""COMPUTED_VALUE"""),"IM-TAZAKI")</f>
        <v>IM-TAZAKI</v>
      </c>
      <c r="AB481" s="65"/>
      <c r="AC481" s="65" t="str">
        <f>IFERROR(__xludf.DUMMYFUNCTION("""COMPUTED_VALUE"""),"Cuchillo tazaki")</f>
        <v>Cuchillo tazaki</v>
      </c>
      <c r="AD481" s="65"/>
      <c r="AE481" s="65">
        <f>IFERROR(__xludf.DUMMYFUNCTION("""COMPUTED_VALUE"""),2.0)</f>
        <v>2</v>
      </c>
      <c r="AF481" s="65"/>
      <c r="AG481" s="65"/>
      <c r="AH481" s="65"/>
      <c r="AI481" s="65"/>
      <c r="AJ481" s="65"/>
      <c r="AK481" s="65"/>
      <c r="AL481" s="65"/>
      <c r="AM481" s="65"/>
      <c r="AN481" s="65"/>
      <c r="AO481" s="65"/>
      <c r="AP481" s="65"/>
      <c r="AQ481" s="65"/>
      <c r="AR481" s="65"/>
      <c r="AS481" s="65"/>
      <c r="AT481" s="65" t="str">
        <f>IFERROR(__xludf.DUMMYFUNCTION("""COMPUTED_VALUE"""),"SHOPIFY")</f>
        <v>SHOPIFY</v>
      </c>
      <c r="AU481" s="65" t="str">
        <f>IFERROR(__xludf.DUMMYFUNCTION("""COMPUTED_VALUE"""),"IMPORTEX EC")</f>
        <v>IMPORTEX EC</v>
      </c>
      <c r="AV481" s="65" t="str">
        <f>IFERROR(__xludf.DUMMYFUNCTION("""COMPUTED_VALUE"""),"6544453468204")</f>
        <v>6544453468204</v>
      </c>
      <c r="AW481" s="65">
        <f>IFERROR(__xludf.DUMMYFUNCTION("""COMPUTED_VALUE"""),6387.0)</f>
        <v>6387</v>
      </c>
      <c r="AX481" s="65"/>
      <c r="AY481" s="65"/>
      <c r="AZ481" s="65"/>
      <c r="BA481" s="65"/>
    </row>
    <row r="482">
      <c r="A482" s="65" t="str">
        <f>IFERROR(__xludf.DUMMYFUNCTION("""COMPUTED_VALUE"""),"27-03-2026")</f>
        <v>27-03-2026</v>
      </c>
      <c r="B482" s="65">
        <f>IFERROR(__xludf.DUMMYFUNCTION("""COMPUTED_VALUE"""),4642951.0)</f>
        <v>4642951</v>
      </c>
      <c r="C482" s="65" t="str">
        <f>IFERROR(__xludf.DUMMYFUNCTION("""COMPUTED_VALUE"""),"11:59")</f>
        <v>11:59</v>
      </c>
      <c r="D482" s="65" t="str">
        <f>IFERROR(__xludf.DUMMYFUNCTION("""COMPUTED_VALUE"""),"27-02-2026")</f>
        <v>27-02-2026</v>
      </c>
      <c r="E482" s="65" t="str">
        <f>IFERROR(__xludf.DUMMYFUNCTION("""COMPUTED_VALUE"""),"Andrés Coello")</f>
        <v>Andrés Coello</v>
      </c>
      <c r="F482" s="65" t="str">
        <f>IFERROR(__xludf.DUMMYFUNCTION("""COMPUTED_VALUE"""),"984254464")</f>
        <v>984254464</v>
      </c>
      <c r="G482" s="65" t="str">
        <f>IFERROR(__xludf.DUMMYFUNCTION("""COMPUTED_VALUE"""),"andrescoellocanelos@gmail.com")</f>
        <v>andrescoellocanelos@gmail.com</v>
      </c>
      <c r="H482" s="65"/>
      <c r="I482" s="65"/>
      <c r="J482" s="65"/>
      <c r="K482" s="65" t="str">
        <f>IFERROR(__xludf.DUMMYFUNCTION("""COMPUTED_VALUE"""),"CANCELADO")</f>
        <v>CANCELADO</v>
      </c>
      <c r="L482" s="65" t="str">
        <f>IFERROR(__xludf.DUMMYFUNCTION("""COMPUTED_VALUE"""),"CON RECAUDO")</f>
        <v>CON RECAUDO</v>
      </c>
      <c r="M482" s="65" t="str">
        <f>IFERROR(__xludf.DUMMYFUNCTION("""COMPUTED_VALUE"""),"PICHINCHA")</f>
        <v>PICHINCHA</v>
      </c>
      <c r="N482" s="65" t="str">
        <f>IFERROR(__xludf.DUMMYFUNCTION("""COMPUTED_VALUE"""),"QUITO")</f>
        <v>QUITO</v>
      </c>
      <c r="O482" s="65" t="str">
        <f>IFERROR(__xludf.DUMMYFUNCTION("""COMPUTED_VALUE"""),"Avenida La Florida y Mariscal Sucre, occiplaza agencia Kia La Florida -")</f>
        <v>Avenida La Florida y Mariscal Sucre, occiplaza agencia Kia La Florida -</v>
      </c>
      <c r="P482" s="65"/>
      <c r="Q482" s="65" t="str">
        <f>IFERROR(__xludf.DUMMYFUNCTION("""COMPUTED_VALUE"""),"GINTRACOM")</f>
        <v>GINTRACOM</v>
      </c>
      <c r="R482" s="65">
        <f>IFERROR(__xludf.DUMMYFUNCTION("""COMPUTED_VALUE"""),30.0)</f>
        <v>30</v>
      </c>
      <c r="S482" s="65"/>
      <c r="T482" s="65">
        <f>IFERROR(__xludf.DUMMYFUNCTION("""COMPUTED_VALUE"""),4.55)</f>
        <v>4.55</v>
      </c>
      <c r="U482" s="65">
        <f>IFERROR(__xludf.DUMMYFUNCTION("""COMPUTED_VALUE"""),0.0)</f>
        <v>0</v>
      </c>
      <c r="V482" s="65">
        <f>IFERROR(__xludf.DUMMYFUNCTION("""COMPUTED_VALUE"""),0.0)</f>
        <v>0</v>
      </c>
      <c r="W482" s="65">
        <f>IFERROR(__xludf.DUMMYFUNCTION("""COMPUTED_VALUE"""),0.0)</f>
        <v>0</v>
      </c>
      <c r="X482" s="65">
        <f>IFERROR(__xludf.DUMMYFUNCTION("""COMPUTED_VALUE"""),2.35)</f>
        <v>2.35</v>
      </c>
      <c r="Y482" s="65">
        <f>IFERROR(__xludf.DUMMYFUNCTION("""COMPUTED_VALUE"""),7.05)</f>
        <v>7.05</v>
      </c>
      <c r="Z482" s="65">
        <f>IFERROR(__xludf.DUMMYFUNCTION("""COMPUTED_VALUE"""),116679.0)</f>
        <v>116679</v>
      </c>
      <c r="AA482" s="65" t="str">
        <f>IFERROR(__xludf.DUMMYFUNCTION("""COMPUTED_VALUE"""),"AMC-2738")</f>
        <v>AMC-2738</v>
      </c>
      <c r="AB482" s="65"/>
      <c r="AC482" s="65" t="str">
        <f>IFERROR(__xludf.DUMMYFUNCTION("""COMPUTED_VALUE"""),"ESPONJA ANTILLUVIA DE PARABRISAS")</f>
        <v>ESPONJA ANTILLUVIA DE PARABRISAS</v>
      </c>
      <c r="AD482" s="65"/>
      <c r="AE482" s="65">
        <f>IFERROR(__xludf.DUMMYFUNCTION("""COMPUTED_VALUE"""),3.0)</f>
        <v>3</v>
      </c>
      <c r="AF482" s="65"/>
      <c r="AG482" s="65"/>
      <c r="AH482" s="65"/>
      <c r="AI482" s="65"/>
      <c r="AJ482" s="65"/>
      <c r="AK482" s="65"/>
      <c r="AL482" s="65"/>
      <c r="AM482" s="65"/>
      <c r="AN482" s="65"/>
      <c r="AO482" s="65"/>
      <c r="AP482" s="65"/>
      <c r="AQ482" s="65"/>
      <c r="AR482" s="65"/>
      <c r="AS482" s="65"/>
      <c r="AT482" s="65" t="str">
        <f>IFERROR(__xludf.DUMMYFUNCTION("""COMPUTED_VALUE"""),"SHOPIFY")</f>
        <v>SHOPIFY</v>
      </c>
      <c r="AU482" s="65" t="str">
        <f>IFERROR(__xludf.DUMMYFUNCTION("""COMPUTED_VALUE"""),"IMPORTEX EC")</f>
        <v>IMPORTEX EC</v>
      </c>
      <c r="AV482" s="65" t="str">
        <f>IFERROR(__xludf.DUMMYFUNCTION("""COMPUTED_VALUE"""),"6541321699372")</f>
        <v>6541321699372</v>
      </c>
      <c r="AW482" s="65">
        <f>IFERROR(__xludf.DUMMYFUNCTION("""COMPUTED_VALUE"""),6372.0)</f>
        <v>6372</v>
      </c>
      <c r="AX482" s="65"/>
      <c r="AY482" s="65"/>
      <c r="AZ482" s="65"/>
      <c r="BA482" s="65"/>
    </row>
    <row r="483">
      <c r="A483" s="65" t="str">
        <f>IFERROR(__xludf.DUMMYFUNCTION("""COMPUTED_VALUE"""),"27-03-2026")</f>
        <v>27-03-2026</v>
      </c>
      <c r="B483" s="65">
        <f>IFERROR(__xludf.DUMMYFUNCTION("""COMPUTED_VALUE"""),4642940.0)</f>
        <v>4642940</v>
      </c>
      <c r="C483" s="65" t="str">
        <f>IFERROR(__xludf.DUMMYFUNCTION("""COMPUTED_VALUE"""),"11:57")</f>
        <v>11:57</v>
      </c>
      <c r="D483" s="65" t="str">
        <f>IFERROR(__xludf.DUMMYFUNCTION("""COMPUTED_VALUE"""),"27-02-2026")</f>
        <v>27-02-2026</v>
      </c>
      <c r="E483" s="65" t="str">
        <f>IFERROR(__xludf.DUMMYFUNCTION("""COMPUTED_VALUE"""),"Pedro Fuentes")</f>
        <v>Pedro Fuentes</v>
      </c>
      <c r="F483" s="65" t="str">
        <f>IFERROR(__xludf.DUMMYFUNCTION("""COMPUTED_VALUE"""),"988370505")</f>
        <v>988370505</v>
      </c>
      <c r="G483" s="65" t="str">
        <f>IFERROR(__xludf.DUMMYFUNCTION("""COMPUTED_VALUE"""),"peterfue263@gmail.com")</f>
        <v>peterfue263@gmail.com</v>
      </c>
      <c r="H483" s="65"/>
      <c r="I483" s="65"/>
      <c r="J483" s="65" t="str">
        <f>IFERROR(__xludf.DUMMYFUNCTION("""COMPUTED_VALUE"""),"D001367481")</f>
        <v>D001367481</v>
      </c>
      <c r="K483" s="65" t="str">
        <f>IFERROR(__xludf.DUMMYFUNCTION("""COMPUTED_VALUE"""),"ENTREGADO")</f>
        <v>ENTREGADO</v>
      </c>
      <c r="L483" s="65" t="str">
        <f>IFERROR(__xludf.DUMMYFUNCTION("""COMPUTED_VALUE"""),"CON RECAUDO")</f>
        <v>CON RECAUDO</v>
      </c>
      <c r="M483" s="65" t="str">
        <f>IFERROR(__xludf.DUMMYFUNCTION("""COMPUTED_VALUE"""),"SANTO DOMINGO DE LOS TSACHILAS")</f>
        <v>SANTO DOMINGO DE LOS TSACHILAS</v>
      </c>
      <c r="N483" s="65" t="str">
        <f>IFERROR(__xludf.DUMMYFUNCTION("""COMPUTED_VALUE"""),"SANTO DOMINGO")</f>
        <v>SANTO DOMINGO</v>
      </c>
      <c r="O483" s="65" t="str">
        <f>IFERROR(__xludf.DUMMYFUNCTION("""COMPUTED_VALUE"""),"Calle Ficus y Cuarta. Urbanizacion Mutualista Benalcazar IESS -")</f>
        <v>Calle Ficus y Cuarta. Urbanizacion Mutualista Benalcazar IESS -</v>
      </c>
      <c r="P483" s="65"/>
      <c r="Q483" s="65" t="str">
        <f>IFERROR(__xludf.DUMMYFUNCTION("""COMPUTED_VALUE"""),"GINTRACOM")</f>
        <v>GINTRACOM</v>
      </c>
      <c r="R483" s="65">
        <f>IFERROR(__xludf.DUMMYFUNCTION("""COMPUTED_VALUE"""),22.0)</f>
        <v>22</v>
      </c>
      <c r="S483" s="65">
        <f>IFERROR(__xludf.DUMMYFUNCTION("""COMPUTED_VALUE"""),8.66)</f>
        <v>8.66</v>
      </c>
      <c r="T483" s="65">
        <f>IFERROR(__xludf.DUMMYFUNCTION("""COMPUTED_VALUE"""),5.84)</f>
        <v>5.84</v>
      </c>
      <c r="U483" s="65">
        <f>IFERROR(__xludf.DUMMYFUNCTION("""COMPUTED_VALUE"""),0.0)</f>
        <v>0</v>
      </c>
      <c r="V483" s="65">
        <f>IFERROR(__xludf.DUMMYFUNCTION("""COMPUTED_VALUE"""),0.0)</f>
        <v>0</v>
      </c>
      <c r="W483" s="65">
        <f>IFERROR(__xludf.DUMMYFUNCTION("""COMPUTED_VALUE"""),0.0)</f>
        <v>0</v>
      </c>
      <c r="X483" s="65">
        <f>IFERROR(__xludf.DUMMYFUNCTION("""COMPUTED_VALUE"""),3.75)</f>
        <v>3.75</v>
      </c>
      <c r="Y483" s="65">
        <f>IFERROR(__xludf.DUMMYFUNCTION("""COMPUTED_VALUE"""),7.5)</f>
        <v>7.5</v>
      </c>
      <c r="Z483" s="65">
        <f>IFERROR(__xludf.DUMMYFUNCTION("""COMPUTED_VALUE"""),113116.0)</f>
        <v>113116</v>
      </c>
      <c r="AA483" s="65" t="str">
        <f>IFERROR(__xludf.DUMMYFUNCTION("""COMPUTED_VALUE"""),"IM-TAZAKI")</f>
        <v>IM-TAZAKI</v>
      </c>
      <c r="AB483" s="65"/>
      <c r="AC483" s="65" t="str">
        <f>IFERROR(__xludf.DUMMYFUNCTION("""COMPUTED_VALUE"""),"Cuchillo tazaki")</f>
        <v>Cuchillo tazaki</v>
      </c>
      <c r="AD483" s="65"/>
      <c r="AE483" s="65">
        <f>IFERROR(__xludf.DUMMYFUNCTION("""COMPUTED_VALUE"""),2.0)</f>
        <v>2</v>
      </c>
      <c r="AF483" s="65"/>
      <c r="AG483" s="65"/>
      <c r="AH483" s="65"/>
      <c r="AI483" s="65"/>
      <c r="AJ483" s="65"/>
      <c r="AK483" s="65"/>
      <c r="AL483" s="65"/>
      <c r="AM483" s="65"/>
      <c r="AN483" s="65" t="str">
        <f>IFERROR(__xludf.DUMMYFUNCTION("""COMPUTED_VALUE"""),"12:50")</f>
        <v>12:50</v>
      </c>
      <c r="AO483" s="65" t="str">
        <f>IFERROR(__xludf.DUMMYFUNCTION("""COMPUTED_VALUE"""),"02-03-2026")</f>
        <v>02-03-2026</v>
      </c>
      <c r="AP483" s="65" t="str">
        <f>IFERROR(__xludf.DUMMYFUNCTION("""COMPUTED_VALUE"""),"ENTREGADA GINTRACOM")</f>
        <v>ENTREGADA GINTRACOM</v>
      </c>
      <c r="AQ483" s="65" t="str">
        <f>IFERROR(__xludf.DUMMYFUNCTION("""COMPUTED_VALUE"""),"ENTREGADA GINTRACOM")</f>
        <v>ENTREGADA GINTRACOM</v>
      </c>
      <c r="AR483" s="65"/>
      <c r="AS483" s="65"/>
      <c r="AT483" s="65" t="str">
        <f>IFERROR(__xludf.DUMMYFUNCTION("""COMPUTED_VALUE"""),"SHOPIFY")</f>
        <v>SHOPIFY</v>
      </c>
      <c r="AU483" s="65" t="str">
        <f>IFERROR(__xludf.DUMMYFUNCTION("""COMPUTED_VALUE"""),"IMPORTEX EC")</f>
        <v>IMPORTEX EC</v>
      </c>
      <c r="AV483" s="65" t="str">
        <f>IFERROR(__xludf.DUMMYFUNCTION("""COMPUTED_VALUE"""),"6540387352620")</f>
        <v>6540387352620</v>
      </c>
      <c r="AW483" s="65">
        <f>IFERROR(__xludf.DUMMYFUNCTION("""COMPUTED_VALUE"""),6368.0)</f>
        <v>6368</v>
      </c>
      <c r="AX483" s="65"/>
      <c r="AY483" s="65" t="str">
        <f>IFERROR(__xludf.DUMMYFUNCTION("""COMPUTED_VALUE"""),"28/02/2026")</f>
        <v>28/02/2026</v>
      </c>
      <c r="AZ483" s="65"/>
      <c r="BA483" s="65"/>
    </row>
    <row r="484">
      <c r="A484" s="65" t="str">
        <f>IFERROR(__xludf.DUMMYFUNCTION("""COMPUTED_VALUE"""),"27-03-2026")</f>
        <v>27-03-2026</v>
      </c>
      <c r="B484" s="65">
        <f>IFERROR(__xludf.DUMMYFUNCTION("""COMPUTED_VALUE"""),4642905.0)</f>
        <v>4642905</v>
      </c>
      <c r="C484" s="65" t="str">
        <f>IFERROR(__xludf.DUMMYFUNCTION("""COMPUTED_VALUE"""),"11:55")</f>
        <v>11:55</v>
      </c>
      <c r="D484" s="65" t="str">
        <f>IFERROR(__xludf.DUMMYFUNCTION("""COMPUTED_VALUE"""),"27-02-2026")</f>
        <v>27-02-2026</v>
      </c>
      <c r="E484" s="65" t="str">
        <f>IFERROR(__xludf.DUMMYFUNCTION("""COMPUTED_VALUE"""),"Franklin Cáceres")</f>
        <v>Franklin Cáceres</v>
      </c>
      <c r="F484" s="65" t="str">
        <f>IFERROR(__xludf.DUMMYFUNCTION("""COMPUTED_VALUE"""),"997433607")</f>
        <v>997433607</v>
      </c>
      <c r="G484" s="65" t="str">
        <f>IFERROR(__xludf.DUMMYFUNCTION("""COMPUTED_VALUE"""),"carpinteriacaceres5@gmail.com")</f>
        <v>carpinteriacaceres5@gmail.com</v>
      </c>
      <c r="H484" s="65"/>
      <c r="I484" s="65"/>
      <c r="J484" s="65" t="str">
        <f>IFERROR(__xludf.DUMMYFUNCTION("""COMPUTED_VALUE"""),"D001367482")</f>
        <v>D001367482</v>
      </c>
      <c r="K484" s="65" t="str">
        <f>IFERROR(__xludf.DUMMYFUNCTION("""COMPUTED_VALUE"""),"DEVOLUCION")</f>
        <v>DEVOLUCION</v>
      </c>
      <c r="L484" s="65" t="str">
        <f>IFERROR(__xludf.DUMMYFUNCTION("""COMPUTED_VALUE"""),"CON RECAUDO")</f>
        <v>CON RECAUDO</v>
      </c>
      <c r="M484" s="65" t="str">
        <f>IFERROR(__xludf.DUMMYFUNCTION("""COMPUTED_VALUE"""),"ORELLANA")</f>
        <v>ORELLANA</v>
      </c>
      <c r="N484" s="65" t="str">
        <f>IFERROR(__xludf.DUMMYFUNCTION("""COMPUTED_VALUE"""),"EL COCA")</f>
        <v>EL COCA</v>
      </c>
      <c r="O484" s="65" t="str">
        <f>IFERROR(__xludf.DUMMYFUNCTION("""COMPUTED_VALUE"""),"Calle el triunfo Él mirador - 300 metros del río añango, junto a un taller de carpintería")</f>
        <v>Calle el triunfo Él mirador - 300 metros del río añango, junto a un taller de carpintería</v>
      </c>
      <c r="P484" s="65"/>
      <c r="Q484" s="65" t="str">
        <f>IFERROR(__xludf.DUMMYFUNCTION("""COMPUTED_VALUE"""),"GINTRACOM")</f>
        <v>GINTRACOM</v>
      </c>
      <c r="R484" s="65">
        <f>IFERROR(__xludf.DUMMYFUNCTION("""COMPUTED_VALUE"""),22.0)</f>
        <v>22</v>
      </c>
      <c r="S484" s="65"/>
      <c r="T484" s="65">
        <f>IFERROR(__xludf.DUMMYFUNCTION("""COMPUTED_VALUE"""),5.84)</f>
        <v>5.84</v>
      </c>
      <c r="U484" s="65">
        <f>IFERROR(__xludf.DUMMYFUNCTION("""COMPUTED_VALUE"""),0.0)</f>
        <v>0</v>
      </c>
      <c r="V484" s="65">
        <f>IFERROR(__xludf.DUMMYFUNCTION("""COMPUTED_VALUE"""),0.0)</f>
        <v>0</v>
      </c>
      <c r="W484" s="65">
        <f>IFERROR(__xludf.DUMMYFUNCTION("""COMPUTED_VALUE"""),0.0)</f>
        <v>0</v>
      </c>
      <c r="X484" s="65">
        <f>IFERROR(__xludf.DUMMYFUNCTION("""COMPUTED_VALUE"""),3.75)</f>
        <v>3.75</v>
      </c>
      <c r="Y484" s="65">
        <f>IFERROR(__xludf.DUMMYFUNCTION("""COMPUTED_VALUE"""),7.5)</f>
        <v>7.5</v>
      </c>
      <c r="Z484" s="65">
        <f>IFERROR(__xludf.DUMMYFUNCTION("""COMPUTED_VALUE"""),113116.0)</f>
        <v>113116</v>
      </c>
      <c r="AA484" s="65" t="str">
        <f>IFERROR(__xludf.DUMMYFUNCTION("""COMPUTED_VALUE"""),"IM-TAZAKI")</f>
        <v>IM-TAZAKI</v>
      </c>
      <c r="AB484" s="65"/>
      <c r="AC484" s="65" t="str">
        <f>IFERROR(__xludf.DUMMYFUNCTION("""COMPUTED_VALUE"""),"Cuchillo tazaki")</f>
        <v>Cuchillo tazaki</v>
      </c>
      <c r="AD484" s="65"/>
      <c r="AE484" s="65">
        <f>IFERROR(__xludf.DUMMYFUNCTION("""COMPUTED_VALUE"""),2.0)</f>
        <v>2</v>
      </c>
      <c r="AF484" s="65" t="str">
        <f>IFERROR(__xludf.DUMMYFUNCTION("""COMPUTED_VALUE"""),"DESTINATARIO INDICA QUE ESTÁ INCONFORME CON EL PRODUCTO. (NO RECIBE)")</f>
        <v>DESTINATARIO INDICA QUE ESTÁ INCONFORME CON EL PRODUCTO. (NO RECIBE)</v>
      </c>
      <c r="AG484" s="65" t="str">
        <f>IFERROR(__xludf.DUMMYFUNCTION("""COMPUTED_VALUE"""),"NO")</f>
        <v>NO</v>
      </c>
      <c r="AH484" s="65" t="str">
        <f>IFERROR(__xludf.DUMMYFUNCTION("""COMPUTED_VALUE"""),"15:59")</f>
        <v>15:59</v>
      </c>
      <c r="AI484" s="65" t="str">
        <f>IFERROR(__xludf.DUMMYFUNCTION("""COMPUTED_VALUE"""),"02-03-2026")</f>
        <v>02-03-2026</v>
      </c>
      <c r="AJ484" s="65"/>
      <c r="AK484" s="65"/>
      <c r="AL484" s="65"/>
      <c r="AM484" s="65"/>
      <c r="AN484" s="65" t="str">
        <f>IFERROR(__xludf.DUMMYFUNCTION("""COMPUTED_VALUE"""),"13:09")</f>
        <v>13:09</v>
      </c>
      <c r="AO484" s="65" t="str">
        <f>IFERROR(__xludf.DUMMYFUNCTION("""COMPUTED_VALUE"""),"26-03-2026")</f>
        <v>26-03-2026</v>
      </c>
      <c r="AP484" s="65" t="str">
        <f>IFERROR(__xludf.DUMMYFUNCTION("""COMPUTED_VALUE"""),"DEVOLUCIÓN ENTREGADA A ORIGEN")</f>
        <v>DEVOLUCIÓN ENTREGADA A ORIGEN</v>
      </c>
      <c r="AQ484" s="65" t="str">
        <f>IFERROR(__xludf.DUMMYFUNCTION("""COMPUTED_VALUE"""),"DEVOLUCIÓN ENTREGADA A ORIGEN")</f>
        <v>DEVOLUCIÓN ENTREGADA A ORIGEN</v>
      </c>
      <c r="AR484" s="65"/>
      <c r="AS484" s="65"/>
      <c r="AT484" s="65" t="str">
        <f>IFERROR(__xludf.DUMMYFUNCTION("""COMPUTED_VALUE"""),"SHOPIFY")</f>
        <v>SHOPIFY</v>
      </c>
      <c r="AU484" s="65" t="str">
        <f>IFERROR(__xludf.DUMMYFUNCTION("""COMPUTED_VALUE"""),"IMPORTEX EC")</f>
        <v>IMPORTEX EC</v>
      </c>
      <c r="AV484" s="65" t="str">
        <f>IFERROR(__xludf.DUMMYFUNCTION("""COMPUTED_VALUE"""),"6539854118956")</f>
        <v>6539854118956</v>
      </c>
      <c r="AW484" s="65">
        <f>IFERROR(__xludf.DUMMYFUNCTION("""COMPUTED_VALUE"""),6366.0)</f>
        <v>6366</v>
      </c>
      <c r="AX484" s="65"/>
      <c r="AY484" s="65" t="str">
        <f>IFERROR(__xludf.DUMMYFUNCTION("""COMPUTED_VALUE"""),"28/02/2026")</f>
        <v>28/02/2026</v>
      </c>
      <c r="AZ484" s="65"/>
      <c r="BA484" s="65"/>
    </row>
    <row r="485">
      <c r="A485" s="65" t="str">
        <f>IFERROR(__xludf.DUMMYFUNCTION("""COMPUTED_VALUE"""),"27-03-2026")</f>
        <v>27-03-2026</v>
      </c>
      <c r="B485" s="65">
        <f>IFERROR(__xludf.DUMMYFUNCTION("""COMPUTED_VALUE"""),4642885.0)</f>
        <v>4642885</v>
      </c>
      <c r="C485" s="65" t="str">
        <f>IFERROR(__xludf.DUMMYFUNCTION("""COMPUTED_VALUE"""),"11:53")</f>
        <v>11:53</v>
      </c>
      <c r="D485" s="65" t="str">
        <f>IFERROR(__xludf.DUMMYFUNCTION("""COMPUTED_VALUE"""),"27-02-2026")</f>
        <v>27-02-2026</v>
      </c>
      <c r="E485" s="65" t="str">
        <f>IFERROR(__xludf.DUMMYFUNCTION("""COMPUTED_VALUE"""),"Juan Carlos Vera")</f>
        <v>Juan Carlos Vera</v>
      </c>
      <c r="F485" s="65" t="str">
        <f>IFERROR(__xludf.DUMMYFUNCTION("""COMPUTED_VALUE"""),"967009756")</f>
        <v>967009756</v>
      </c>
      <c r="G485" s="65" t="str">
        <f>IFERROR(__xludf.DUMMYFUNCTION("""COMPUTED_VALUE"""),"jv3623931@gmail.com")</f>
        <v>jv3623931@gmail.com</v>
      </c>
      <c r="H485" s="65"/>
      <c r="I485" s="65"/>
      <c r="J485" s="65"/>
      <c r="K485" s="65" t="str">
        <f>IFERROR(__xludf.DUMMYFUNCTION("""COMPUTED_VALUE"""),"PENDIENTE CONFIRMACION")</f>
        <v>PENDIENTE CONFIRMACION</v>
      </c>
      <c r="L485" s="65" t="str">
        <f>IFERROR(__xludf.DUMMYFUNCTION("""COMPUTED_VALUE"""),"CON RECAUDO")</f>
        <v>CON RECAUDO</v>
      </c>
      <c r="M485" s="65" t="str">
        <f>IFERROR(__xludf.DUMMYFUNCTION("""COMPUTED_VALUE"""),"SANTO DOMINGO DE LOS TSACHILAS")</f>
        <v>SANTO DOMINGO DE LOS TSACHILAS</v>
      </c>
      <c r="N485" s="65" t="str">
        <f>IFERROR(__xludf.DUMMYFUNCTION("""COMPUTED_VALUE"""),"SANTO DOMINGO")</f>
        <v>SANTO DOMINGO</v>
      </c>
      <c r="O485" s="65" t="str">
        <f>IFERROR(__xludf.DUMMYFUNCTION("""COMPUTED_VALUE"""),"Calle Manuelita saenz y la niña Sector liberación popular -")</f>
        <v>Calle Manuelita saenz y la niña Sector liberación popular -</v>
      </c>
      <c r="P485" s="65"/>
      <c r="Q485" s="65" t="str">
        <f>IFERROR(__xludf.DUMMYFUNCTION("""COMPUTED_VALUE"""),"GINTRACOM")</f>
        <v>GINTRACOM</v>
      </c>
      <c r="R485" s="65">
        <f>IFERROR(__xludf.DUMMYFUNCTION("""COMPUTED_VALUE"""),22.0)</f>
        <v>22</v>
      </c>
      <c r="S485" s="65"/>
      <c r="T485" s="65">
        <f>IFERROR(__xludf.DUMMYFUNCTION("""COMPUTED_VALUE"""),5.84)</f>
        <v>5.84</v>
      </c>
      <c r="U485" s="65">
        <f>IFERROR(__xludf.DUMMYFUNCTION("""COMPUTED_VALUE"""),0.0)</f>
        <v>0</v>
      </c>
      <c r="V485" s="65">
        <f>IFERROR(__xludf.DUMMYFUNCTION("""COMPUTED_VALUE"""),0.0)</f>
        <v>0</v>
      </c>
      <c r="W485" s="65">
        <f>IFERROR(__xludf.DUMMYFUNCTION("""COMPUTED_VALUE"""),0.0)</f>
        <v>0</v>
      </c>
      <c r="X485" s="65">
        <f>IFERROR(__xludf.DUMMYFUNCTION("""COMPUTED_VALUE"""),3.75)</f>
        <v>3.75</v>
      </c>
      <c r="Y485" s="65">
        <f>IFERROR(__xludf.DUMMYFUNCTION("""COMPUTED_VALUE"""),7.5)</f>
        <v>7.5</v>
      </c>
      <c r="Z485" s="65">
        <f>IFERROR(__xludf.DUMMYFUNCTION("""COMPUTED_VALUE"""),113116.0)</f>
        <v>113116</v>
      </c>
      <c r="AA485" s="65" t="str">
        <f>IFERROR(__xludf.DUMMYFUNCTION("""COMPUTED_VALUE"""),"IM-TAZAKI")</f>
        <v>IM-TAZAKI</v>
      </c>
      <c r="AB485" s="65"/>
      <c r="AC485" s="65" t="str">
        <f>IFERROR(__xludf.DUMMYFUNCTION("""COMPUTED_VALUE"""),"Cuchillo tazaki")</f>
        <v>Cuchillo tazaki</v>
      </c>
      <c r="AD485" s="65"/>
      <c r="AE485" s="65">
        <f>IFERROR(__xludf.DUMMYFUNCTION("""COMPUTED_VALUE"""),2.0)</f>
        <v>2</v>
      </c>
      <c r="AF485" s="65"/>
      <c r="AG485" s="65"/>
      <c r="AH485" s="65"/>
      <c r="AI485" s="65"/>
      <c r="AJ485" s="65"/>
      <c r="AK485" s="65"/>
      <c r="AL485" s="65"/>
      <c r="AM485" s="65"/>
      <c r="AN485" s="65"/>
      <c r="AO485" s="65"/>
      <c r="AP485" s="65"/>
      <c r="AQ485" s="65"/>
      <c r="AR485" s="65"/>
      <c r="AS485" s="65"/>
      <c r="AT485" s="65" t="str">
        <f>IFERROR(__xludf.DUMMYFUNCTION("""COMPUTED_VALUE"""),"SHOPIFY")</f>
        <v>SHOPIFY</v>
      </c>
      <c r="AU485" s="65" t="str">
        <f>IFERROR(__xludf.DUMMYFUNCTION("""COMPUTED_VALUE"""),"IMPORTEX EC")</f>
        <v>IMPORTEX EC</v>
      </c>
      <c r="AV485" s="65" t="str">
        <f>IFERROR(__xludf.DUMMYFUNCTION("""COMPUTED_VALUE"""),"6538323296300")</f>
        <v>6538323296300</v>
      </c>
      <c r="AW485" s="65">
        <f>IFERROR(__xludf.DUMMYFUNCTION("""COMPUTED_VALUE"""),6360.0)</f>
        <v>6360</v>
      </c>
      <c r="AX485" s="65"/>
      <c r="AY485" s="65"/>
      <c r="AZ485" s="65"/>
      <c r="BA485" s="65"/>
    </row>
    <row r="486">
      <c r="A486" s="65" t="str">
        <f>IFERROR(__xludf.DUMMYFUNCTION("""COMPUTED_VALUE"""),"27-03-2026")</f>
        <v>27-03-2026</v>
      </c>
      <c r="B486" s="65">
        <f>IFERROR(__xludf.DUMMYFUNCTION("""COMPUTED_VALUE"""),4642858.0)</f>
        <v>4642858</v>
      </c>
      <c r="C486" s="65" t="str">
        <f>IFERROR(__xludf.DUMMYFUNCTION("""COMPUTED_VALUE"""),"11:50")</f>
        <v>11:50</v>
      </c>
      <c r="D486" s="65" t="str">
        <f>IFERROR(__xludf.DUMMYFUNCTION("""COMPUTED_VALUE"""),"27-02-2026")</f>
        <v>27-02-2026</v>
      </c>
      <c r="E486" s="65" t="str">
        <f>IFERROR(__xludf.DUMMYFUNCTION("""COMPUTED_VALUE"""),"Arbey Limón Choéz")</f>
        <v>Arbey Limón Choéz</v>
      </c>
      <c r="F486" s="65" t="str">
        <f>IFERROR(__xludf.DUMMYFUNCTION("""COMPUTED_VALUE"""),"986926674")</f>
        <v>986926674</v>
      </c>
      <c r="G486" s="65" t="str">
        <f>IFERROR(__xludf.DUMMYFUNCTION("""COMPUTED_VALUE"""),"arbeylimon27@gmail.com")</f>
        <v>arbeylimon27@gmail.com</v>
      </c>
      <c r="H486" s="65"/>
      <c r="I486" s="65"/>
      <c r="J486" s="65"/>
      <c r="K486" s="65" t="str">
        <f>IFERROR(__xludf.DUMMYFUNCTION("""COMPUTED_VALUE"""),"PENDIENTE CONFIRMACION")</f>
        <v>PENDIENTE CONFIRMACION</v>
      </c>
      <c r="L486" s="65" t="str">
        <f>IFERROR(__xludf.DUMMYFUNCTION("""COMPUTED_VALUE"""),"CON RECAUDO")</f>
        <v>CON RECAUDO</v>
      </c>
      <c r="M486" s="65" t="str">
        <f>IFERROR(__xludf.DUMMYFUNCTION("""COMPUTED_VALUE"""),"SANTA ELENA")</f>
        <v>SANTA ELENA</v>
      </c>
      <c r="N486" s="65" t="str">
        <f>IFERROR(__xludf.DUMMYFUNCTION("""COMPUTED_VALUE"""),"MONTEVERDE")</f>
        <v>MONTEVERDE</v>
      </c>
      <c r="O486" s="65" t="str">
        <f>IFERROR(__xludf.DUMMYFUNCTION("""COMPUTED_VALUE"""),"Monteverde Via Principal -")</f>
        <v>Monteverde Via Principal -</v>
      </c>
      <c r="P486" s="65"/>
      <c r="Q486" s="65" t="str">
        <f>IFERROR(__xludf.DUMMYFUNCTION("""COMPUTED_VALUE"""),"LAARCOURIER")</f>
        <v>LAARCOURIER</v>
      </c>
      <c r="R486" s="65">
        <f>IFERROR(__xludf.DUMMYFUNCTION("""COMPUTED_VALUE"""),32.0)</f>
        <v>32</v>
      </c>
      <c r="S486" s="65"/>
      <c r="T486" s="65">
        <f>IFERROR(__xludf.DUMMYFUNCTION("""COMPUTED_VALUE"""),7.59)</f>
        <v>7.59</v>
      </c>
      <c r="U486" s="65">
        <f>IFERROR(__xludf.DUMMYFUNCTION("""COMPUTED_VALUE"""),0.0)</f>
        <v>0</v>
      </c>
      <c r="V486" s="65">
        <f>IFERROR(__xludf.DUMMYFUNCTION("""COMPUTED_VALUE"""),0.0)</f>
        <v>0</v>
      </c>
      <c r="W486" s="65">
        <f>IFERROR(__xludf.DUMMYFUNCTION("""COMPUTED_VALUE"""),0.0)</f>
        <v>0</v>
      </c>
      <c r="X486" s="65">
        <f>IFERROR(__xludf.DUMMYFUNCTION("""COMPUTED_VALUE"""),3.75)</f>
        <v>3.75</v>
      </c>
      <c r="Y486" s="65">
        <f>IFERROR(__xludf.DUMMYFUNCTION("""COMPUTED_VALUE"""),15.0)</f>
        <v>15</v>
      </c>
      <c r="Z486" s="65">
        <f>IFERROR(__xludf.DUMMYFUNCTION("""COMPUTED_VALUE"""),113116.0)</f>
        <v>113116</v>
      </c>
      <c r="AA486" s="65" t="str">
        <f>IFERROR(__xludf.DUMMYFUNCTION("""COMPUTED_VALUE"""),"IM-TAZAKI")</f>
        <v>IM-TAZAKI</v>
      </c>
      <c r="AB486" s="65"/>
      <c r="AC486" s="65" t="str">
        <f>IFERROR(__xludf.DUMMYFUNCTION("""COMPUTED_VALUE"""),"Cuchillo tazaki")</f>
        <v>Cuchillo tazaki</v>
      </c>
      <c r="AD486" s="65"/>
      <c r="AE486" s="65">
        <f>IFERROR(__xludf.DUMMYFUNCTION("""COMPUTED_VALUE"""),4.0)</f>
        <v>4</v>
      </c>
      <c r="AF486" s="65"/>
      <c r="AG486" s="65"/>
      <c r="AH486" s="65"/>
      <c r="AI486" s="65"/>
      <c r="AJ486" s="65"/>
      <c r="AK486" s="65"/>
      <c r="AL486" s="65"/>
      <c r="AM486" s="65"/>
      <c r="AN486" s="65"/>
      <c r="AO486" s="65"/>
      <c r="AP486" s="65"/>
      <c r="AQ486" s="65"/>
      <c r="AR486" s="65"/>
      <c r="AS486" s="65"/>
      <c r="AT486" s="65" t="str">
        <f>IFERROR(__xludf.DUMMYFUNCTION("""COMPUTED_VALUE"""),"SHOPIFY")</f>
        <v>SHOPIFY</v>
      </c>
      <c r="AU486" s="65" t="str">
        <f>IFERROR(__xludf.DUMMYFUNCTION("""COMPUTED_VALUE"""),"IMPORTEX EC")</f>
        <v>IMPORTEX EC</v>
      </c>
      <c r="AV486" s="65" t="str">
        <f>IFERROR(__xludf.DUMMYFUNCTION("""COMPUTED_VALUE"""),"6537323544620")</f>
        <v>6537323544620</v>
      </c>
      <c r="AW486" s="65">
        <f>IFERROR(__xludf.DUMMYFUNCTION("""COMPUTED_VALUE"""),6356.0)</f>
        <v>6356</v>
      </c>
      <c r="AX486" s="65"/>
      <c r="AY486" s="65"/>
      <c r="AZ486" s="65"/>
      <c r="BA486" s="65"/>
    </row>
    <row r="487">
      <c r="A487" s="65" t="str">
        <f>IFERROR(__xludf.DUMMYFUNCTION("""COMPUTED_VALUE"""),"27-03-2026")</f>
        <v>27-03-2026</v>
      </c>
      <c r="B487" s="65">
        <f>IFERROR(__xludf.DUMMYFUNCTION("""COMPUTED_VALUE"""),4642793.0)</f>
        <v>4642793</v>
      </c>
      <c r="C487" s="65" t="str">
        <f>IFERROR(__xludf.DUMMYFUNCTION("""COMPUTED_VALUE"""),"11:47")</f>
        <v>11:47</v>
      </c>
      <c r="D487" s="65" t="str">
        <f>IFERROR(__xludf.DUMMYFUNCTION("""COMPUTED_VALUE"""),"27-02-2026")</f>
        <v>27-02-2026</v>
      </c>
      <c r="E487" s="65" t="str">
        <f>IFERROR(__xludf.DUMMYFUNCTION("""COMPUTED_VALUE"""),"Lisbeth Paredes")</f>
        <v>Lisbeth Paredes</v>
      </c>
      <c r="F487" s="65" t="str">
        <f>IFERROR(__xludf.DUMMYFUNCTION("""COMPUTED_VALUE"""),"989004338")</f>
        <v>989004338</v>
      </c>
      <c r="G487" s="65" t="str">
        <f>IFERROR(__xludf.DUMMYFUNCTION("""COMPUTED_VALUE"""),"paredeslisbeth232@gmail.com")</f>
        <v>paredeslisbeth232@gmail.com</v>
      </c>
      <c r="H487" s="65"/>
      <c r="I487" s="65"/>
      <c r="J487" s="65" t="str">
        <f>IFERROR(__xludf.DUMMYFUNCTION("""COMPUTED_VALUE"""),"D001373898")</f>
        <v>D001373898</v>
      </c>
      <c r="K487" s="65" t="str">
        <f>IFERROR(__xludf.DUMMYFUNCTION("""COMPUTED_VALUE"""),"ENTREGADO")</f>
        <v>ENTREGADO</v>
      </c>
      <c r="L487" s="65" t="str">
        <f>IFERROR(__xludf.DUMMYFUNCTION("""COMPUTED_VALUE"""),"CON RECAUDO")</f>
        <v>CON RECAUDO</v>
      </c>
      <c r="M487" s="65" t="str">
        <f>IFERROR(__xludf.DUMMYFUNCTION("""COMPUTED_VALUE"""),"SANTO DOMINGO DE LOS TSACHILAS")</f>
        <v>SANTO DOMINGO DE LOS TSACHILAS</v>
      </c>
      <c r="N487" s="65" t="str">
        <f>IFERROR(__xludf.DUMMYFUNCTION("""COMPUTED_VALUE"""),"SANTO DOMINGO")</f>
        <v>SANTO DOMINGO</v>
      </c>
      <c r="O487" s="65" t="str">
        <f>IFERROR(__xludf.DUMMYFUNCTION("""COMPUTED_VALUE"""),"Calle loja 813 y 3 de julio Frente una ferreteria los angeles -")</f>
        <v>Calle loja 813 y 3 de julio Frente una ferreteria los angeles -</v>
      </c>
      <c r="P487" s="65"/>
      <c r="Q487" s="65" t="str">
        <f>IFERROR(__xludf.DUMMYFUNCTION("""COMPUTED_VALUE"""),"GINTRACOM")</f>
        <v>GINTRACOM</v>
      </c>
      <c r="R487" s="65">
        <f>IFERROR(__xludf.DUMMYFUNCTION("""COMPUTED_VALUE"""),20.0)</f>
        <v>20</v>
      </c>
      <c r="S487" s="65">
        <f>IFERROR(__xludf.DUMMYFUNCTION("""COMPUTED_VALUE"""),11.89)</f>
        <v>11.89</v>
      </c>
      <c r="T487" s="65">
        <f>IFERROR(__xludf.DUMMYFUNCTION("""COMPUTED_VALUE"""),5.76)</f>
        <v>5.76</v>
      </c>
      <c r="U487" s="65">
        <f>IFERROR(__xludf.DUMMYFUNCTION("""COMPUTED_VALUE"""),0.0)</f>
        <v>0</v>
      </c>
      <c r="V487" s="65">
        <f>IFERROR(__xludf.DUMMYFUNCTION("""COMPUTED_VALUE"""),0.0)</f>
        <v>0</v>
      </c>
      <c r="W487" s="65">
        <f>IFERROR(__xludf.DUMMYFUNCTION("""COMPUTED_VALUE"""),0.0)</f>
        <v>0</v>
      </c>
      <c r="X487" s="65">
        <f>IFERROR(__xludf.DUMMYFUNCTION("""COMPUTED_VALUE"""),2.35)</f>
        <v>2.35</v>
      </c>
      <c r="Y487" s="65">
        <f>IFERROR(__xludf.DUMMYFUNCTION("""COMPUTED_VALUE"""),2.35)</f>
        <v>2.35</v>
      </c>
      <c r="Z487" s="65">
        <f>IFERROR(__xludf.DUMMYFUNCTION("""COMPUTED_VALUE"""),116679.0)</f>
        <v>116679</v>
      </c>
      <c r="AA487" s="65" t="str">
        <f>IFERROR(__xludf.DUMMYFUNCTION("""COMPUTED_VALUE"""),"AMC-2738")</f>
        <v>AMC-2738</v>
      </c>
      <c r="AB487" s="65"/>
      <c r="AC487" s="65" t="str">
        <f>IFERROR(__xludf.DUMMYFUNCTION("""COMPUTED_VALUE"""),"ESPONJA ANTILLUVIA DE PARABRISAS")</f>
        <v>ESPONJA ANTILLUVIA DE PARABRISAS</v>
      </c>
      <c r="AD487" s="65"/>
      <c r="AE487" s="65">
        <f>IFERROR(__xludf.DUMMYFUNCTION("""COMPUTED_VALUE"""),1.0)</f>
        <v>1</v>
      </c>
      <c r="AF487" s="65"/>
      <c r="AG487" s="65"/>
      <c r="AH487" s="65"/>
      <c r="AI487" s="65"/>
      <c r="AJ487" s="65"/>
      <c r="AK487" s="65"/>
      <c r="AL487" s="65"/>
      <c r="AM487" s="65"/>
      <c r="AN487" s="65" t="str">
        <f>IFERROR(__xludf.DUMMYFUNCTION("""COMPUTED_VALUE"""),"09:25")</f>
        <v>09:25</v>
      </c>
      <c r="AO487" s="65" t="str">
        <f>IFERROR(__xludf.DUMMYFUNCTION("""COMPUTED_VALUE"""),"04-03-2026")</f>
        <v>04-03-2026</v>
      </c>
      <c r="AP487" s="65" t="str">
        <f>IFERROR(__xludf.DUMMYFUNCTION("""COMPUTED_VALUE"""),"EN REPARTO")</f>
        <v>EN REPARTO</v>
      </c>
      <c r="AQ487" s="65" t="str">
        <f>IFERROR(__xludf.DUMMYFUNCTION("""COMPUTED_VALUE"""),"EN REPARTO")</f>
        <v>EN REPARTO</v>
      </c>
      <c r="AR487" s="65"/>
      <c r="AS487" s="65"/>
      <c r="AT487" s="65" t="str">
        <f>IFERROR(__xludf.DUMMYFUNCTION("""COMPUTED_VALUE"""),"SHOPIFY")</f>
        <v>SHOPIFY</v>
      </c>
      <c r="AU487" s="65" t="str">
        <f>IFERROR(__xludf.DUMMYFUNCTION("""COMPUTED_VALUE"""),"IMPORTEX EC")</f>
        <v>IMPORTEX EC</v>
      </c>
      <c r="AV487" s="65" t="str">
        <f>IFERROR(__xludf.DUMMYFUNCTION("""COMPUTED_VALUE"""),"6536868659244")</f>
        <v>6536868659244</v>
      </c>
      <c r="AW487" s="65">
        <f>IFERROR(__xludf.DUMMYFUNCTION("""COMPUTED_VALUE"""),6351.0)</f>
        <v>6351</v>
      </c>
      <c r="AX487" s="65"/>
      <c r="AY487" s="65" t="str">
        <f>IFERROR(__xludf.DUMMYFUNCTION("""COMPUTED_VALUE"""),"02/03/2026")</f>
        <v>02/03/2026</v>
      </c>
      <c r="AZ487" s="65"/>
      <c r="BA487" s="65"/>
    </row>
    <row r="488">
      <c r="A488" s="65" t="str">
        <f>IFERROR(__xludf.DUMMYFUNCTION("""COMPUTED_VALUE"""),"27-03-2026")</f>
        <v>27-03-2026</v>
      </c>
      <c r="B488" s="65">
        <f>IFERROR(__xludf.DUMMYFUNCTION("""COMPUTED_VALUE"""),4642035.0)</f>
        <v>4642035</v>
      </c>
      <c r="C488" s="65" t="str">
        <f>IFERROR(__xludf.DUMMYFUNCTION("""COMPUTED_VALUE"""),"10:48")</f>
        <v>10:48</v>
      </c>
      <c r="D488" s="65" t="str">
        <f>IFERROR(__xludf.DUMMYFUNCTION("""COMPUTED_VALUE"""),"27-02-2026")</f>
        <v>27-02-2026</v>
      </c>
      <c r="E488" s="65" t="str">
        <f>IFERROR(__xludf.DUMMYFUNCTION("""COMPUTED_VALUE"""),"Elvis Martínez")</f>
        <v>Elvis Martínez</v>
      </c>
      <c r="F488" s="65" t="str">
        <f>IFERROR(__xludf.DUMMYFUNCTION("""COMPUTED_VALUE"""),"968572160")</f>
        <v>968572160</v>
      </c>
      <c r="G488" s="65"/>
      <c r="H488" s="65"/>
      <c r="I488" s="65"/>
      <c r="J488" s="65"/>
      <c r="K488" s="65" t="str">
        <f>IFERROR(__xludf.DUMMYFUNCTION("""COMPUTED_VALUE"""),"PENDIENTE CONFIRMACION")</f>
        <v>PENDIENTE CONFIRMACION</v>
      </c>
      <c r="L488" s="65" t="str">
        <f>IFERROR(__xludf.DUMMYFUNCTION("""COMPUTED_VALUE"""),"CON RECAUDO")</f>
        <v>CON RECAUDO</v>
      </c>
      <c r="M488" s="65" t="str">
        <f>IFERROR(__xludf.DUMMYFUNCTION("""COMPUTED_VALUE"""),"GUAYAS")</f>
        <v>GUAYAS</v>
      </c>
      <c r="N488" s="65" t="str">
        <f>IFERROR(__xludf.DUMMYFUNCTION("""COMPUTED_VALUE"""),"SAN JACINTO DE YAGUACHI")</f>
        <v>SAN JACINTO DE YAGUACHI</v>
      </c>
      <c r="O488" s="65" t="str">
        <f>IFERROR(__xludf.DUMMYFUNCTION("""COMPUTED_VALUE"""),"Cabecera cantonal yaguachi San jacinto de yaguachi -")</f>
        <v>Cabecera cantonal yaguachi San jacinto de yaguachi -</v>
      </c>
      <c r="P488" s="65"/>
      <c r="Q488" s="65" t="str">
        <f>IFERROR(__xludf.DUMMYFUNCTION("""COMPUTED_VALUE"""),"URBANO")</f>
        <v>URBANO</v>
      </c>
      <c r="R488" s="65">
        <f>IFERROR(__xludf.DUMMYFUNCTION("""COMPUTED_VALUE"""),32.0)</f>
        <v>32</v>
      </c>
      <c r="S488" s="65"/>
      <c r="T488" s="65">
        <f>IFERROR(__xludf.DUMMYFUNCTION("""COMPUTED_VALUE"""),5.89)</f>
        <v>5.89</v>
      </c>
      <c r="U488" s="65">
        <f>IFERROR(__xludf.DUMMYFUNCTION("""COMPUTED_VALUE"""),0.0)</f>
        <v>0</v>
      </c>
      <c r="V488" s="65">
        <f>IFERROR(__xludf.DUMMYFUNCTION("""COMPUTED_VALUE"""),0.0)</f>
        <v>0</v>
      </c>
      <c r="W488" s="65">
        <f>IFERROR(__xludf.DUMMYFUNCTION("""COMPUTED_VALUE"""),0.0)</f>
        <v>0</v>
      </c>
      <c r="X488" s="65">
        <f>IFERROR(__xludf.DUMMYFUNCTION("""COMPUTED_VALUE"""),3.75)</f>
        <v>3.75</v>
      </c>
      <c r="Y488" s="65">
        <f>IFERROR(__xludf.DUMMYFUNCTION("""COMPUTED_VALUE"""),15.0)</f>
        <v>15</v>
      </c>
      <c r="Z488" s="65">
        <f>IFERROR(__xludf.DUMMYFUNCTION("""COMPUTED_VALUE"""),113116.0)</f>
        <v>113116</v>
      </c>
      <c r="AA488" s="65" t="str">
        <f>IFERROR(__xludf.DUMMYFUNCTION("""COMPUTED_VALUE"""),"IM-TAZAKI")</f>
        <v>IM-TAZAKI</v>
      </c>
      <c r="AB488" s="65"/>
      <c r="AC488" s="65" t="str">
        <f>IFERROR(__xludf.DUMMYFUNCTION("""COMPUTED_VALUE"""),"Cuchillo tazaki")</f>
        <v>Cuchillo tazaki</v>
      </c>
      <c r="AD488" s="65"/>
      <c r="AE488" s="65">
        <f>IFERROR(__xludf.DUMMYFUNCTION("""COMPUTED_VALUE"""),4.0)</f>
        <v>4</v>
      </c>
      <c r="AF488" s="65"/>
      <c r="AG488" s="65"/>
      <c r="AH488" s="65"/>
      <c r="AI488" s="65"/>
      <c r="AJ488" s="65"/>
      <c r="AK488" s="65"/>
      <c r="AL488" s="65"/>
      <c r="AM488" s="65"/>
      <c r="AN488" s="65"/>
      <c r="AO488" s="65"/>
      <c r="AP488" s="65"/>
      <c r="AQ488" s="65"/>
      <c r="AR488" s="65"/>
      <c r="AS488" s="65"/>
      <c r="AT488" s="65" t="str">
        <f>IFERROR(__xludf.DUMMYFUNCTION("""COMPUTED_VALUE"""),"SHOPIFY")</f>
        <v>SHOPIFY</v>
      </c>
      <c r="AU488" s="65" t="str">
        <f>IFERROR(__xludf.DUMMYFUNCTION("""COMPUTED_VALUE"""),"IMPORTEX EC")</f>
        <v>IMPORTEX EC</v>
      </c>
      <c r="AV488" s="65" t="str">
        <f>IFERROR(__xludf.DUMMYFUNCTION("""COMPUTED_VALUE"""),"6544244342828")</f>
        <v>6544244342828</v>
      </c>
      <c r="AW488" s="65">
        <f>IFERROR(__xludf.DUMMYFUNCTION("""COMPUTED_VALUE"""),6386.0)</f>
        <v>6386</v>
      </c>
      <c r="AX488" s="65"/>
      <c r="AY488" s="65"/>
      <c r="AZ488" s="65"/>
      <c r="BA488" s="65"/>
    </row>
    <row r="489">
      <c r="A489" s="65" t="str">
        <f>IFERROR(__xludf.DUMMYFUNCTION("""COMPUTED_VALUE"""),"27-03-2026")</f>
        <v>27-03-2026</v>
      </c>
      <c r="B489" s="65">
        <f>IFERROR(__xludf.DUMMYFUNCTION("""COMPUTED_VALUE"""),4641781.0)</f>
        <v>4641781</v>
      </c>
      <c r="C489" s="65" t="str">
        <f>IFERROR(__xludf.DUMMYFUNCTION("""COMPUTED_VALUE"""),"10:26")</f>
        <v>10:26</v>
      </c>
      <c r="D489" s="65" t="str">
        <f>IFERROR(__xludf.DUMMYFUNCTION("""COMPUTED_VALUE"""),"27-02-2026")</f>
        <v>27-02-2026</v>
      </c>
      <c r="E489" s="65" t="str">
        <f>IFERROR(__xludf.DUMMYFUNCTION("""COMPUTED_VALUE"""),"Danny Yerovi")</f>
        <v>Danny Yerovi</v>
      </c>
      <c r="F489" s="65" t="str">
        <f>IFERROR(__xludf.DUMMYFUNCTION("""COMPUTED_VALUE"""),"999751046")</f>
        <v>999751046</v>
      </c>
      <c r="G489" s="65" t="str">
        <f>IFERROR(__xludf.DUMMYFUNCTION("""COMPUTED_VALUE"""),"rubey76@gmail.com")</f>
        <v>rubey76@gmail.com</v>
      </c>
      <c r="H489" s="65"/>
      <c r="I489" s="65"/>
      <c r="J489" s="65" t="str">
        <f>IFERROR(__xludf.DUMMYFUNCTION("""COMPUTED_VALUE"""),"D001373902")</f>
        <v>D001373902</v>
      </c>
      <c r="K489" s="65" t="str">
        <f>IFERROR(__xludf.DUMMYFUNCTION("""COMPUTED_VALUE"""),"ENTREGADO")</f>
        <v>ENTREGADO</v>
      </c>
      <c r="L489" s="65" t="str">
        <f>IFERROR(__xludf.DUMMYFUNCTION("""COMPUTED_VALUE"""),"CON RECAUDO")</f>
        <v>CON RECAUDO</v>
      </c>
      <c r="M489" s="65" t="str">
        <f>IFERROR(__xludf.DUMMYFUNCTION("""COMPUTED_VALUE"""),"PICHINCHA")</f>
        <v>PICHINCHA</v>
      </c>
      <c r="N489" s="65" t="str">
        <f>IFERROR(__xludf.DUMMYFUNCTION("""COMPUTED_VALUE"""),"QUITO")</f>
        <v>QUITO</v>
      </c>
      <c r="O489" s="65" t="str">
        <f>IFERROR(__xludf.DUMMYFUNCTION("""COMPUTED_VALUE"""),"Carlos quinto y riobamba Andalucia -")</f>
        <v>Carlos quinto y riobamba Andalucia -</v>
      </c>
      <c r="P489" s="65"/>
      <c r="Q489" s="65" t="str">
        <f>IFERROR(__xludf.DUMMYFUNCTION("""COMPUTED_VALUE"""),"GINTRACOM")</f>
        <v>GINTRACOM</v>
      </c>
      <c r="R489" s="65">
        <f>IFERROR(__xludf.DUMMYFUNCTION("""COMPUTED_VALUE"""),25.0)</f>
        <v>25</v>
      </c>
      <c r="S489" s="65">
        <f>IFERROR(__xludf.DUMMYFUNCTION("""COMPUTED_VALUE"""),15.95)</f>
        <v>15.95</v>
      </c>
      <c r="T489" s="65">
        <f>IFERROR(__xludf.DUMMYFUNCTION("""COMPUTED_VALUE"""),4.35)</f>
        <v>4.35</v>
      </c>
      <c r="U489" s="65">
        <f>IFERROR(__xludf.DUMMYFUNCTION("""COMPUTED_VALUE"""),0.0)</f>
        <v>0</v>
      </c>
      <c r="V489" s="65">
        <f>IFERROR(__xludf.DUMMYFUNCTION("""COMPUTED_VALUE"""),0.0)</f>
        <v>0</v>
      </c>
      <c r="W489" s="65">
        <f>IFERROR(__xludf.DUMMYFUNCTION("""COMPUTED_VALUE"""),0.0)</f>
        <v>0</v>
      </c>
      <c r="X489" s="65">
        <f>IFERROR(__xludf.DUMMYFUNCTION("""COMPUTED_VALUE"""),2.35)</f>
        <v>2.35</v>
      </c>
      <c r="Y489" s="65">
        <f>IFERROR(__xludf.DUMMYFUNCTION("""COMPUTED_VALUE"""),4.7)</f>
        <v>4.7</v>
      </c>
      <c r="Z489" s="65">
        <f>IFERROR(__xludf.DUMMYFUNCTION("""COMPUTED_VALUE"""),116679.0)</f>
        <v>116679</v>
      </c>
      <c r="AA489" s="65" t="str">
        <f>IFERROR(__xludf.DUMMYFUNCTION("""COMPUTED_VALUE"""),"AMC-2738")</f>
        <v>AMC-2738</v>
      </c>
      <c r="AB489" s="65"/>
      <c r="AC489" s="65" t="str">
        <f>IFERROR(__xludf.DUMMYFUNCTION("""COMPUTED_VALUE"""),"ESPONJA ANTILLUVIA DE PARABRISAS")</f>
        <v>ESPONJA ANTILLUVIA DE PARABRISAS</v>
      </c>
      <c r="AD489" s="65"/>
      <c r="AE489" s="65">
        <f>IFERROR(__xludf.DUMMYFUNCTION("""COMPUTED_VALUE"""),2.0)</f>
        <v>2</v>
      </c>
      <c r="AF489" s="65" t="str">
        <f>IFERROR(__xludf.DUMMYFUNCTION("""COMPUTED_VALUE"""),"DESTINATARIO NO SE ENCUENTRA EN LUGAR DE ENTREGA.")</f>
        <v>DESTINATARIO NO SE ENCUENTRA EN LUGAR DE ENTREGA.</v>
      </c>
      <c r="AG489" s="65" t="str">
        <f>IFERROR(__xludf.DUMMYFUNCTION("""COMPUTED_VALUE"""),"NO")</f>
        <v>NO</v>
      </c>
      <c r="AH489" s="65" t="str">
        <f>IFERROR(__xludf.DUMMYFUNCTION("""COMPUTED_VALUE"""),"08:58")</f>
        <v>08:58</v>
      </c>
      <c r="AI489" s="65" t="str">
        <f>IFERROR(__xludf.DUMMYFUNCTION("""COMPUTED_VALUE"""),"03-03-2026")</f>
        <v>03-03-2026</v>
      </c>
      <c r="AJ489" s="65"/>
      <c r="AK489" s="65"/>
      <c r="AL489" s="65"/>
      <c r="AM489" s="65"/>
      <c r="AN489" s="65" t="str">
        <f>IFERROR(__xludf.DUMMYFUNCTION("""COMPUTED_VALUE"""),"08:58")</f>
        <v>08:58</v>
      </c>
      <c r="AO489" s="65" t="str">
        <f>IFERROR(__xludf.DUMMYFUNCTION("""COMPUTED_VALUE"""),"03-03-2026")</f>
        <v>03-03-2026</v>
      </c>
      <c r="AP489" s="65" t="str">
        <f>IFERROR(__xludf.DUMMYFUNCTION("""COMPUTED_VALUE"""),"DESTINATARIO NO SE ENCUENTRA EN LUGAR DE ENTREGA.")</f>
        <v>DESTINATARIO NO SE ENCUENTRA EN LUGAR DE ENTREGA.</v>
      </c>
      <c r="AQ489" s="65" t="str">
        <f>IFERROR(__xludf.DUMMYFUNCTION("""COMPUTED_VALUE"""),"DESTINATARIO NO SE ENCUENTRA EN LUGAR DE ENTREGA.")</f>
        <v>DESTINATARIO NO SE ENCUENTRA EN LUGAR DE ENTREGA.</v>
      </c>
      <c r="AR489" s="65"/>
      <c r="AS489" s="65"/>
      <c r="AT489" s="65" t="str">
        <f>IFERROR(__xludf.DUMMYFUNCTION("""COMPUTED_VALUE"""),"SHOPIFY")</f>
        <v>SHOPIFY</v>
      </c>
      <c r="AU489" s="65" t="str">
        <f>IFERROR(__xludf.DUMMYFUNCTION("""COMPUTED_VALUE"""),"IMPORTEX EC")</f>
        <v>IMPORTEX EC</v>
      </c>
      <c r="AV489" s="65" t="str">
        <f>IFERROR(__xludf.DUMMYFUNCTION("""COMPUTED_VALUE"""),"6544198467628")</f>
        <v>6544198467628</v>
      </c>
      <c r="AW489" s="65">
        <f>IFERROR(__xludf.DUMMYFUNCTION("""COMPUTED_VALUE"""),6385.0)</f>
        <v>6385</v>
      </c>
      <c r="AX489" s="65"/>
      <c r="AY489" s="65" t="str">
        <f>IFERROR(__xludf.DUMMYFUNCTION("""COMPUTED_VALUE"""),"02/03/2026")</f>
        <v>02/03/2026</v>
      </c>
      <c r="AZ489" s="65"/>
      <c r="BA489" s="65"/>
    </row>
    <row r="490">
      <c r="A490" s="65" t="str">
        <f>IFERROR(__xludf.DUMMYFUNCTION("""COMPUTED_VALUE"""),"27-03-2026")</f>
        <v>27-03-2026</v>
      </c>
      <c r="B490" s="65">
        <f>IFERROR(__xludf.DUMMYFUNCTION("""COMPUTED_VALUE"""),4641611.0)</f>
        <v>4641611</v>
      </c>
      <c r="C490" s="65" t="str">
        <f>IFERROR(__xludf.DUMMYFUNCTION("""COMPUTED_VALUE"""),"10:11")</f>
        <v>10:11</v>
      </c>
      <c r="D490" s="65" t="str">
        <f>IFERROR(__xludf.DUMMYFUNCTION("""COMPUTED_VALUE"""),"27-02-2026")</f>
        <v>27-02-2026</v>
      </c>
      <c r="E490" s="65" t="str">
        <f>IFERROR(__xludf.DUMMYFUNCTION("""COMPUTED_VALUE"""),"María Estacio")</f>
        <v>María Estacio</v>
      </c>
      <c r="F490" s="65" t="str">
        <f>IFERROR(__xludf.DUMMYFUNCTION("""COMPUTED_VALUE"""),"993815987")</f>
        <v>993815987</v>
      </c>
      <c r="G490" s="65" t="str">
        <f>IFERROR(__xludf.DUMMYFUNCTION("""COMPUTED_VALUE"""),"Irnmesias@gmail.com")</f>
        <v>Irnmesias@gmail.com</v>
      </c>
      <c r="H490" s="65"/>
      <c r="I490" s="65"/>
      <c r="J490" s="65"/>
      <c r="K490" s="65" t="str">
        <f>IFERROR(__xludf.DUMMYFUNCTION("""COMPUTED_VALUE"""),"CANCELADO")</f>
        <v>CANCELADO</v>
      </c>
      <c r="L490" s="65" t="str">
        <f>IFERROR(__xludf.DUMMYFUNCTION("""COMPUTED_VALUE"""),"CON RECAUDO")</f>
        <v>CON RECAUDO</v>
      </c>
      <c r="M490" s="65" t="str">
        <f>IFERROR(__xludf.DUMMYFUNCTION("""COMPUTED_VALUE"""),"GUAYAS")</f>
        <v>GUAYAS</v>
      </c>
      <c r="N490" s="65" t="str">
        <f>IFERROR(__xludf.DUMMYFUNCTION("""COMPUTED_VALUE"""),"GUAYAQUIL")</f>
        <v>GUAYAQUIL</v>
      </c>
      <c r="O490" s="65" t="str">
        <f>IFERROR(__xludf.DUMMYFUNCTION("""COMPUTED_VALUE"""),"Molder Norte, Parque Lineal, Villa, Mucholote, Quinta Etapa, Villa, 2697")</f>
        <v>Molder Norte, Parque Lineal, Villa, Mucholote, Quinta Etapa, Villa, 2697</v>
      </c>
      <c r="P490" s="65" t="str">
        <f>IFERROR(__xludf.DUMMYFUNCTION("""COMPUTED_VALUE"""),"Cuchillo tazaki: Default Title ***")</f>
        <v>Cuchillo tazaki: Default Title ***</v>
      </c>
      <c r="Q490" s="65" t="str">
        <f>IFERROR(__xludf.DUMMYFUNCTION("""COMPUTED_VALUE"""),"GINTRACOM")</f>
        <v>GINTRACOM</v>
      </c>
      <c r="R490" s="65">
        <f>IFERROR(__xludf.DUMMYFUNCTION("""COMPUTED_VALUE"""),21.99)</f>
        <v>21.99</v>
      </c>
      <c r="S490" s="65"/>
      <c r="T490" s="65">
        <f>IFERROR(__xludf.DUMMYFUNCTION("""COMPUTED_VALUE"""),5.84)</f>
        <v>5.84</v>
      </c>
      <c r="U490" s="65">
        <f>IFERROR(__xludf.DUMMYFUNCTION("""COMPUTED_VALUE"""),0.0)</f>
        <v>0</v>
      </c>
      <c r="V490" s="65">
        <f>IFERROR(__xludf.DUMMYFUNCTION("""COMPUTED_VALUE"""),0.0)</f>
        <v>0</v>
      </c>
      <c r="W490" s="65">
        <f>IFERROR(__xludf.DUMMYFUNCTION("""COMPUTED_VALUE"""),0.0)</f>
        <v>0</v>
      </c>
      <c r="X490" s="65">
        <f>IFERROR(__xludf.DUMMYFUNCTION("""COMPUTED_VALUE"""),3.75)</f>
        <v>3.75</v>
      </c>
      <c r="Y490" s="65">
        <f>IFERROR(__xludf.DUMMYFUNCTION("""COMPUTED_VALUE"""),3.75)</f>
        <v>3.75</v>
      </c>
      <c r="Z490" s="65">
        <f>IFERROR(__xludf.DUMMYFUNCTION("""COMPUTED_VALUE"""),113116.0)</f>
        <v>113116</v>
      </c>
      <c r="AA490" s="65" t="str">
        <f>IFERROR(__xludf.DUMMYFUNCTION("""COMPUTED_VALUE"""),"IM-TAZAKI")</f>
        <v>IM-TAZAKI</v>
      </c>
      <c r="AB490" s="65"/>
      <c r="AC490" s="65" t="str">
        <f>IFERROR(__xludf.DUMMYFUNCTION("""COMPUTED_VALUE"""),"Cuchillo tazaki")</f>
        <v>Cuchillo tazaki</v>
      </c>
      <c r="AD490" s="65"/>
      <c r="AE490" s="65">
        <f>IFERROR(__xludf.DUMMYFUNCTION("""COMPUTED_VALUE"""),1.0)</f>
        <v>1</v>
      </c>
      <c r="AF490" s="65"/>
      <c r="AG490" s="65"/>
      <c r="AH490" s="65"/>
      <c r="AI490" s="65"/>
      <c r="AJ490" s="65"/>
      <c r="AK490" s="65"/>
      <c r="AL490" s="65"/>
      <c r="AM490" s="65"/>
      <c r="AN490" s="65"/>
      <c r="AO490" s="65"/>
      <c r="AP490" s="65"/>
      <c r="AQ490" s="65"/>
      <c r="AR490" s="65"/>
      <c r="AS490" s="65"/>
      <c r="AT490" s="65" t="str">
        <f>IFERROR(__xludf.DUMMYFUNCTION("""COMPUTED_VALUE"""),"SHOPIFY")</f>
        <v>SHOPIFY</v>
      </c>
      <c r="AU490" s="65" t="str">
        <f>IFERROR(__xludf.DUMMYFUNCTION("""COMPUTED_VALUE"""),"IMPORTEX EC")</f>
        <v>IMPORTEX EC</v>
      </c>
      <c r="AV490" s="65" t="str">
        <f>IFERROR(__xludf.DUMMYFUNCTION("""COMPUTED_VALUE"""),"6544165863468")</f>
        <v>6544165863468</v>
      </c>
      <c r="AW490" s="65">
        <f>IFERROR(__xludf.DUMMYFUNCTION("""COMPUTED_VALUE"""),6384.0)</f>
        <v>6384</v>
      </c>
      <c r="AX490" s="65"/>
      <c r="AY490" s="65"/>
      <c r="AZ490" s="65"/>
      <c r="BA490" s="65"/>
    </row>
    <row r="491">
      <c r="A491" s="65" t="str">
        <f>IFERROR(__xludf.DUMMYFUNCTION("""COMPUTED_VALUE"""),"27-03-2026")</f>
        <v>27-03-2026</v>
      </c>
      <c r="B491" s="65">
        <f>IFERROR(__xludf.DUMMYFUNCTION("""COMPUTED_VALUE"""),4641158.0)</f>
        <v>4641158</v>
      </c>
      <c r="C491" s="65" t="str">
        <f>IFERROR(__xludf.DUMMYFUNCTION("""COMPUTED_VALUE"""),"09:42")</f>
        <v>09:42</v>
      </c>
      <c r="D491" s="65" t="str">
        <f>IFERROR(__xludf.DUMMYFUNCTION("""COMPUTED_VALUE"""),"27-02-2026")</f>
        <v>27-02-2026</v>
      </c>
      <c r="E491" s="65" t="str">
        <f>IFERROR(__xludf.DUMMYFUNCTION("""COMPUTED_VALUE"""),"Lorena Estacio")</f>
        <v>Lorena Estacio</v>
      </c>
      <c r="F491" s="65" t="str">
        <f>IFERROR(__xludf.DUMMYFUNCTION("""COMPUTED_VALUE"""),"993815987")</f>
        <v>993815987</v>
      </c>
      <c r="G491" s="65" t="str">
        <f>IFERROR(__xludf.DUMMYFUNCTION("""COMPUTED_VALUE"""),"Irnmesias@gmail.com")</f>
        <v>Irnmesias@gmail.com</v>
      </c>
      <c r="H491" s="65"/>
      <c r="I491" s="65"/>
      <c r="J491" s="65"/>
      <c r="K491" s="65" t="str">
        <f>IFERROR(__xludf.DUMMYFUNCTION("""COMPUTED_VALUE"""),"CANCELADO")</f>
        <v>CANCELADO</v>
      </c>
      <c r="L491" s="65" t="str">
        <f>IFERROR(__xludf.DUMMYFUNCTION("""COMPUTED_VALUE"""),"CON RECAUDO")</f>
        <v>CON RECAUDO</v>
      </c>
      <c r="M491" s="65" t="str">
        <f>IFERROR(__xludf.DUMMYFUNCTION("""COMPUTED_VALUE"""),"GUAYAS")</f>
        <v>GUAYAS</v>
      </c>
      <c r="N491" s="65" t="str">
        <f>IFERROR(__xludf.DUMMYFUNCTION("""COMPUTED_VALUE"""),"GUAYAQUIL")</f>
        <v>GUAYAQUIL</v>
      </c>
      <c r="O491" s="65" t="str">
        <f>IFERROR(__xludf.DUMMYFUNCTION("""COMPUTED_VALUE"""),"Mucho lote quinta etp mz 2697 Al sur del moll del norte parque lineal tía -")</f>
        <v>Mucho lote quinta etp mz 2697 Al sur del moll del norte parque lineal tía -</v>
      </c>
      <c r="P491" s="65"/>
      <c r="Q491" s="65" t="str">
        <f>IFERROR(__xludf.DUMMYFUNCTION("""COMPUTED_VALUE"""),"GINTRACOM")</f>
        <v>GINTRACOM</v>
      </c>
      <c r="R491" s="65">
        <f>IFERROR(__xludf.DUMMYFUNCTION("""COMPUTED_VALUE"""),27.0)</f>
        <v>27</v>
      </c>
      <c r="S491" s="65"/>
      <c r="T491" s="65">
        <f>IFERROR(__xludf.DUMMYFUNCTION("""COMPUTED_VALUE"""),6.03)</f>
        <v>6.03</v>
      </c>
      <c r="U491" s="65">
        <f>IFERROR(__xludf.DUMMYFUNCTION("""COMPUTED_VALUE"""),0.0)</f>
        <v>0</v>
      </c>
      <c r="V491" s="65">
        <f>IFERROR(__xludf.DUMMYFUNCTION("""COMPUTED_VALUE"""),0.0)</f>
        <v>0</v>
      </c>
      <c r="W491" s="65">
        <f>IFERROR(__xludf.DUMMYFUNCTION("""COMPUTED_VALUE"""),0.0)</f>
        <v>0</v>
      </c>
      <c r="X491" s="65">
        <f>IFERROR(__xludf.DUMMYFUNCTION("""COMPUTED_VALUE"""),3.75)</f>
        <v>3.75</v>
      </c>
      <c r="Y491" s="65">
        <f>IFERROR(__xludf.DUMMYFUNCTION("""COMPUTED_VALUE"""),11.25)</f>
        <v>11.25</v>
      </c>
      <c r="Z491" s="65">
        <f>IFERROR(__xludf.DUMMYFUNCTION("""COMPUTED_VALUE"""),113116.0)</f>
        <v>113116</v>
      </c>
      <c r="AA491" s="65" t="str">
        <f>IFERROR(__xludf.DUMMYFUNCTION("""COMPUTED_VALUE"""),"IM-TAZAKI")</f>
        <v>IM-TAZAKI</v>
      </c>
      <c r="AB491" s="65"/>
      <c r="AC491" s="65" t="str">
        <f>IFERROR(__xludf.DUMMYFUNCTION("""COMPUTED_VALUE"""),"Cuchillo tazaki")</f>
        <v>Cuchillo tazaki</v>
      </c>
      <c r="AD491" s="65"/>
      <c r="AE491" s="65">
        <f>IFERROR(__xludf.DUMMYFUNCTION("""COMPUTED_VALUE"""),3.0)</f>
        <v>3</v>
      </c>
      <c r="AF491" s="65"/>
      <c r="AG491" s="65"/>
      <c r="AH491" s="65"/>
      <c r="AI491" s="65"/>
      <c r="AJ491" s="65"/>
      <c r="AK491" s="65"/>
      <c r="AL491" s="65"/>
      <c r="AM491" s="65"/>
      <c r="AN491" s="65"/>
      <c r="AO491" s="65"/>
      <c r="AP491" s="65"/>
      <c r="AQ491" s="65"/>
      <c r="AR491" s="65"/>
      <c r="AS491" s="65"/>
      <c r="AT491" s="65" t="str">
        <f>IFERROR(__xludf.DUMMYFUNCTION("""COMPUTED_VALUE"""),"SHOPIFY")</f>
        <v>SHOPIFY</v>
      </c>
      <c r="AU491" s="65" t="str">
        <f>IFERROR(__xludf.DUMMYFUNCTION("""COMPUTED_VALUE"""),"IMPORTEX EC")</f>
        <v>IMPORTEX EC</v>
      </c>
      <c r="AV491" s="65" t="str">
        <f>IFERROR(__xludf.DUMMYFUNCTION("""COMPUTED_VALUE"""),"6544106815532")</f>
        <v>6544106815532</v>
      </c>
      <c r="AW491" s="65">
        <f>IFERROR(__xludf.DUMMYFUNCTION("""COMPUTED_VALUE"""),6383.0)</f>
        <v>6383</v>
      </c>
      <c r="AX491" s="65"/>
      <c r="AY491" s="65"/>
      <c r="AZ491" s="65"/>
      <c r="BA491" s="65"/>
    </row>
    <row r="492">
      <c r="A492" s="65" t="str">
        <f>IFERROR(__xludf.DUMMYFUNCTION("""COMPUTED_VALUE"""),"27-03-2026")</f>
        <v>27-03-2026</v>
      </c>
      <c r="B492" s="65">
        <f>IFERROR(__xludf.DUMMYFUNCTION("""COMPUTED_VALUE"""),4640742.0)</f>
        <v>4640742</v>
      </c>
      <c r="C492" s="65" t="str">
        <f>IFERROR(__xludf.DUMMYFUNCTION("""COMPUTED_VALUE"""),"09:06")</f>
        <v>09:06</v>
      </c>
      <c r="D492" s="65" t="str">
        <f>IFERROR(__xludf.DUMMYFUNCTION("""COMPUTED_VALUE"""),"27-02-2026")</f>
        <v>27-02-2026</v>
      </c>
      <c r="E492" s="65" t="str">
        <f>IFERROR(__xludf.DUMMYFUNCTION("""COMPUTED_VALUE"""),"Mariana Rosillo")</f>
        <v>Mariana Rosillo</v>
      </c>
      <c r="F492" s="65" t="str">
        <f>IFERROR(__xludf.DUMMYFUNCTION("""COMPUTED_VALUE"""),"981110928")</f>
        <v>981110928</v>
      </c>
      <c r="G492" s="65" t="str">
        <f>IFERROR(__xludf.DUMMYFUNCTION("""COMPUTED_VALUE"""),"mariana-pilar1@hotmail.com")</f>
        <v>mariana-pilar1@hotmail.com</v>
      </c>
      <c r="H492" s="65"/>
      <c r="I492" s="65"/>
      <c r="J492" s="65"/>
      <c r="K492" s="65" t="str">
        <f>IFERROR(__xludf.DUMMYFUNCTION("""COMPUTED_VALUE"""),"PENDIENTE CONFIRMACION")</f>
        <v>PENDIENTE CONFIRMACION</v>
      </c>
      <c r="L492" s="65" t="str">
        <f>IFERROR(__xludf.DUMMYFUNCTION("""COMPUTED_VALUE"""),"CON RECAUDO")</f>
        <v>CON RECAUDO</v>
      </c>
      <c r="M492" s="65" t="str">
        <f>IFERROR(__xludf.DUMMYFUNCTION("""COMPUTED_VALUE"""),"LOJA")</f>
        <v>LOJA</v>
      </c>
      <c r="N492" s="65" t="str">
        <f>IFERROR(__xludf.DUMMYFUNCTION("""COMPUTED_VALUE"""),"MALACATOS")</f>
        <v>MALACATOS</v>
      </c>
      <c r="O492" s="65" t="str">
        <f>IFERROR(__xludf.DUMMYFUNCTION("""COMPUTED_VALUE"""),"Parroquia Malacatos Serca de la entrada a la granja -")</f>
        <v>Parroquia Malacatos Serca de la entrada a la granja -</v>
      </c>
      <c r="P492" s="65"/>
      <c r="Q492" s="65" t="str">
        <f>IFERROR(__xludf.DUMMYFUNCTION("""COMPUTED_VALUE"""),"LAARCOURIER")</f>
        <v>LAARCOURIER</v>
      </c>
      <c r="R492" s="65">
        <f>IFERROR(__xludf.DUMMYFUNCTION("""COMPUTED_VALUE"""),20.9)</f>
        <v>20.9</v>
      </c>
      <c r="S492" s="65"/>
      <c r="T492" s="65">
        <f>IFERROR(__xludf.DUMMYFUNCTION("""COMPUTED_VALUE"""),6.95)</f>
        <v>6.95</v>
      </c>
      <c r="U492" s="65">
        <f>IFERROR(__xludf.DUMMYFUNCTION("""COMPUTED_VALUE"""),0.0)</f>
        <v>0</v>
      </c>
      <c r="V492" s="65">
        <f>IFERROR(__xludf.DUMMYFUNCTION("""COMPUTED_VALUE"""),0.0)</f>
        <v>0</v>
      </c>
      <c r="W492" s="65">
        <f>IFERROR(__xludf.DUMMYFUNCTION("""COMPUTED_VALUE"""),0.0)</f>
        <v>0</v>
      </c>
      <c r="X492" s="65">
        <f>IFERROR(__xludf.DUMMYFUNCTION("""COMPUTED_VALUE"""),3.75)</f>
        <v>3.75</v>
      </c>
      <c r="Y492" s="65">
        <f>IFERROR(__xludf.DUMMYFUNCTION("""COMPUTED_VALUE"""),7.5)</f>
        <v>7.5</v>
      </c>
      <c r="Z492" s="65">
        <f>IFERROR(__xludf.DUMMYFUNCTION("""COMPUTED_VALUE"""),113116.0)</f>
        <v>113116</v>
      </c>
      <c r="AA492" s="65" t="str">
        <f>IFERROR(__xludf.DUMMYFUNCTION("""COMPUTED_VALUE"""),"IM-TAZAKI")</f>
        <v>IM-TAZAKI</v>
      </c>
      <c r="AB492" s="65"/>
      <c r="AC492" s="65" t="str">
        <f>IFERROR(__xludf.DUMMYFUNCTION("""COMPUTED_VALUE"""),"Cuchillo tazaki")</f>
        <v>Cuchillo tazaki</v>
      </c>
      <c r="AD492" s="65"/>
      <c r="AE492" s="65">
        <f>IFERROR(__xludf.DUMMYFUNCTION("""COMPUTED_VALUE"""),2.0)</f>
        <v>2</v>
      </c>
      <c r="AF492" s="65"/>
      <c r="AG492" s="65"/>
      <c r="AH492" s="65"/>
      <c r="AI492" s="65"/>
      <c r="AJ492" s="65"/>
      <c r="AK492" s="65"/>
      <c r="AL492" s="65"/>
      <c r="AM492" s="65"/>
      <c r="AN492" s="65"/>
      <c r="AO492" s="65"/>
      <c r="AP492" s="65"/>
      <c r="AQ492" s="65"/>
      <c r="AR492" s="65"/>
      <c r="AS492" s="65"/>
      <c r="AT492" s="65" t="str">
        <f>IFERROR(__xludf.DUMMYFUNCTION("""COMPUTED_VALUE"""),"SHOPIFY")</f>
        <v>SHOPIFY</v>
      </c>
      <c r="AU492" s="65" t="str">
        <f>IFERROR(__xludf.DUMMYFUNCTION("""COMPUTED_VALUE"""),"IMPORTEX EC")</f>
        <v>IMPORTEX EC</v>
      </c>
      <c r="AV492" s="65" t="str">
        <f>IFERROR(__xludf.DUMMYFUNCTION("""COMPUTED_VALUE"""),"6544040460332")</f>
        <v>6544040460332</v>
      </c>
      <c r="AW492" s="65">
        <f>IFERROR(__xludf.DUMMYFUNCTION("""COMPUTED_VALUE"""),6382.0)</f>
        <v>6382</v>
      </c>
      <c r="AX492" s="65"/>
      <c r="AY492" s="65"/>
      <c r="AZ492" s="65"/>
      <c r="BA492" s="65"/>
    </row>
    <row r="493">
      <c r="A493" s="65" t="str">
        <f>IFERROR(__xludf.DUMMYFUNCTION("""COMPUTED_VALUE"""),"27-03-2026")</f>
        <v>27-03-2026</v>
      </c>
      <c r="B493" s="65">
        <f>IFERROR(__xludf.DUMMYFUNCTION("""COMPUTED_VALUE"""),4640294.0)</f>
        <v>4640294</v>
      </c>
      <c r="C493" s="65" t="str">
        <f>IFERROR(__xludf.DUMMYFUNCTION("""COMPUTED_VALUE"""),"08:23")</f>
        <v>08:23</v>
      </c>
      <c r="D493" s="65" t="str">
        <f>IFERROR(__xludf.DUMMYFUNCTION("""COMPUTED_VALUE"""),"27-02-2026")</f>
        <v>27-02-2026</v>
      </c>
      <c r="E493" s="65" t="str">
        <f>IFERROR(__xludf.DUMMYFUNCTION("""COMPUTED_VALUE"""),"Eduardo Miranda")</f>
        <v>Eduardo Miranda</v>
      </c>
      <c r="F493" s="65" t="str">
        <f>IFERROR(__xludf.DUMMYFUNCTION("""COMPUTED_VALUE"""),"981255561")</f>
        <v>981255561</v>
      </c>
      <c r="G493" s="65" t="str">
        <f>IFERROR(__xludf.DUMMYFUNCTION("""COMPUTED_VALUE"""),"eduardomiramda97@gmail.com")</f>
        <v>eduardomiramda97@gmail.com</v>
      </c>
      <c r="H493" s="65"/>
      <c r="I493" s="65"/>
      <c r="J493" s="65"/>
      <c r="K493" s="65" t="str">
        <f>IFERROR(__xludf.DUMMYFUNCTION("""COMPUTED_VALUE"""),"PENDIENTE CONFIRMACION")</f>
        <v>PENDIENTE CONFIRMACION</v>
      </c>
      <c r="L493" s="65" t="str">
        <f>IFERROR(__xludf.DUMMYFUNCTION("""COMPUTED_VALUE"""),"CON RECAUDO")</f>
        <v>CON RECAUDO</v>
      </c>
      <c r="M493" s="65" t="str">
        <f>IFERROR(__xludf.DUMMYFUNCTION("""COMPUTED_VALUE"""),"GUAYAS")</f>
        <v>GUAYAS</v>
      </c>
      <c r="N493" s="65" t="str">
        <f>IFERROR(__xludf.DUMMYFUNCTION("""COMPUTED_VALUE"""),"GUAYAQUIL")</f>
        <v>GUAYAQUIL</v>
      </c>
      <c r="O493" s="65" t="str">
        <f>IFERROR(__xludf.DUMMYFUNCTION("""COMPUTED_VALUE"""),"Princicalle secundaria. La esperanza. Km 20 vía ala costa alado de una lavadora de carros -")</f>
        <v>Princicalle secundaria. La esperanza. Km 20 vía ala costa alado de una lavadora de carros -</v>
      </c>
      <c r="P493" s="65"/>
      <c r="Q493" s="65" t="str">
        <f>IFERROR(__xludf.DUMMYFUNCTION("""COMPUTED_VALUE"""),"GINTRACOM")</f>
        <v>GINTRACOM</v>
      </c>
      <c r="R493" s="65">
        <f>IFERROR(__xludf.DUMMYFUNCTION("""COMPUTED_VALUE"""),22.0)</f>
        <v>22</v>
      </c>
      <c r="S493" s="65"/>
      <c r="T493" s="65">
        <f>IFERROR(__xludf.DUMMYFUNCTION("""COMPUTED_VALUE"""),5.84)</f>
        <v>5.84</v>
      </c>
      <c r="U493" s="65">
        <f>IFERROR(__xludf.DUMMYFUNCTION("""COMPUTED_VALUE"""),0.0)</f>
        <v>0</v>
      </c>
      <c r="V493" s="65">
        <f>IFERROR(__xludf.DUMMYFUNCTION("""COMPUTED_VALUE"""),0.0)</f>
        <v>0</v>
      </c>
      <c r="W493" s="65">
        <f>IFERROR(__xludf.DUMMYFUNCTION("""COMPUTED_VALUE"""),0.0)</f>
        <v>0</v>
      </c>
      <c r="X493" s="65">
        <f>IFERROR(__xludf.DUMMYFUNCTION("""COMPUTED_VALUE"""),3.75)</f>
        <v>3.75</v>
      </c>
      <c r="Y493" s="65">
        <f>IFERROR(__xludf.DUMMYFUNCTION("""COMPUTED_VALUE"""),7.5)</f>
        <v>7.5</v>
      </c>
      <c r="Z493" s="65">
        <f>IFERROR(__xludf.DUMMYFUNCTION("""COMPUTED_VALUE"""),113116.0)</f>
        <v>113116</v>
      </c>
      <c r="AA493" s="65" t="str">
        <f>IFERROR(__xludf.DUMMYFUNCTION("""COMPUTED_VALUE"""),"IM-TAZAKI")</f>
        <v>IM-TAZAKI</v>
      </c>
      <c r="AB493" s="65"/>
      <c r="AC493" s="65" t="str">
        <f>IFERROR(__xludf.DUMMYFUNCTION("""COMPUTED_VALUE"""),"Cuchillo tazaki")</f>
        <v>Cuchillo tazaki</v>
      </c>
      <c r="AD493" s="65"/>
      <c r="AE493" s="65">
        <f>IFERROR(__xludf.DUMMYFUNCTION("""COMPUTED_VALUE"""),2.0)</f>
        <v>2</v>
      </c>
      <c r="AF493" s="65"/>
      <c r="AG493" s="65"/>
      <c r="AH493" s="65"/>
      <c r="AI493" s="65"/>
      <c r="AJ493" s="65"/>
      <c r="AK493" s="65"/>
      <c r="AL493" s="65"/>
      <c r="AM493" s="65"/>
      <c r="AN493" s="65"/>
      <c r="AO493" s="65"/>
      <c r="AP493" s="65"/>
      <c r="AQ493" s="65"/>
      <c r="AR493" s="65"/>
      <c r="AS493" s="65"/>
      <c r="AT493" s="65" t="str">
        <f>IFERROR(__xludf.DUMMYFUNCTION("""COMPUTED_VALUE"""),"SHOPIFY")</f>
        <v>SHOPIFY</v>
      </c>
      <c r="AU493" s="65" t="str">
        <f>IFERROR(__xludf.DUMMYFUNCTION("""COMPUTED_VALUE"""),"IMPORTEX EC")</f>
        <v>IMPORTEX EC</v>
      </c>
      <c r="AV493" s="65" t="str">
        <f>IFERROR(__xludf.DUMMYFUNCTION("""COMPUTED_VALUE"""),"6543978627116")</f>
        <v>6543978627116</v>
      </c>
      <c r="AW493" s="65">
        <f>IFERROR(__xludf.DUMMYFUNCTION("""COMPUTED_VALUE"""),6381.0)</f>
        <v>6381</v>
      </c>
      <c r="AX493" s="65"/>
      <c r="AY493" s="65"/>
      <c r="AZ493" s="65"/>
      <c r="BA493" s="65"/>
    </row>
    <row r="494">
      <c r="A494" s="65" t="str">
        <f>IFERROR(__xludf.DUMMYFUNCTION("""COMPUTED_VALUE"""),"27-03-2026")</f>
        <v>27-03-2026</v>
      </c>
      <c r="B494" s="65">
        <f>IFERROR(__xludf.DUMMYFUNCTION("""COMPUTED_VALUE"""),4640288.0)</f>
        <v>4640288</v>
      </c>
      <c r="C494" s="65" t="str">
        <f>IFERROR(__xludf.DUMMYFUNCTION("""COMPUTED_VALUE"""),"08:23")</f>
        <v>08:23</v>
      </c>
      <c r="D494" s="65" t="str">
        <f>IFERROR(__xludf.DUMMYFUNCTION("""COMPUTED_VALUE"""),"27-02-2026")</f>
        <v>27-02-2026</v>
      </c>
      <c r="E494" s="65" t="str">
        <f>IFERROR(__xludf.DUMMYFUNCTION("""COMPUTED_VALUE"""),"Guillermo Edwar Ríos abad")</f>
        <v>Guillermo Edwar Ríos abad</v>
      </c>
      <c r="F494" s="65" t="str">
        <f>IFERROR(__xludf.DUMMYFUNCTION("""COMPUTED_VALUE"""),"988000528")</f>
        <v>988000528</v>
      </c>
      <c r="G494" s="65" t="str">
        <f>IFERROR(__xludf.DUMMYFUNCTION("""COMPUTED_VALUE"""),"guillermoedwarriosabad@gmail.com")</f>
        <v>guillermoedwarriosabad@gmail.com</v>
      </c>
      <c r="H494" s="65"/>
      <c r="I494" s="65"/>
      <c r="J494" s="65"/>
      <c r="K494" s="65" t="str">
        <f>IFERROR(__xludf.DUMMYFUNCTION("""COMPUTED_VALUE"""),"CANCELADO")</f>
        <v>CANCELADO</v>
      </c>
      <c r="L494" s="65" t="str">
        <f>IFERROR(__xludf.DUMMYFUNCTION("""COMPUTED_VALUE"""),"CON RECAUDO")</f>
        <v>CON RECAUDO</v>
      </c>
      <c r="M494" s="65" t="str">
        <f>IFERROR(__xludf.DUMMYFUNCTION("""COMPUTED_VALUE"""),"GUAYAS")</f>
        <v>GUAYAS</v>
      </c>
      <c r="N494" s="65" t="str">
        <f>IFERROR(__xludf.DUMMYFUNCTION("""COMPUTED_VALUE"""),"GUAYAQUIL")</f>
        <v>GUAYAQUIL</v>
      </c>
      <c r="O494" s="65" t="str">
        <f>IFERROR(__xludf.DUMMYFUNCTION("""COMPUTED_VALUE"""),"27 y la c entrando por la 25 calle sin salida casa ploma con pilares rojo diagonal ala escuela evangelica llave del reino en el mapa sale echeandia 66 Suburbio -")</f>
        <v>27 y la c entrando por la 25 calle sin salida casa ploma con pilares rojo diagonal ala escuela evangelica llave del reino en el mapa sale echeandia 66 Suburbio -</v>
      </c>
      <c r="P494" s="65"/>
      <c r="Q494" s="65" t="str">
        <f>IFERROR(__xludf.DUMMYFUNCTION("""COMPUTED_VALUE"""),"GINTRACOM")</f>
        <v>GINTRACOM</v>
      </c>
      <c r="R494" s="65">
        <f>IFERROR(__xludf.DUMMYFUNCTION("""COMPUTED_VALUE"""),22.0)</f>
        <v>22</v>
      </c>
      <c r="S494" s="65"/>
      <c r="T494" s="65">
        <f>IFERROR(__xludf.DUMMYFUNCTION("""COMPUTED_VALUE"""),5.84)</f>
        <v>5.84</v>
      </c>
      <c r="U494" s="65">
        <f>IFERROR(__xludf.DUMMYFUNCTION("""COMPUTED_VALUE"""),0.0)</f>
        <v>0</v>
      </c>
      <c r="V494" s="65">
        <f>IFERROR(__xludf.DUMMYFUNCTION("""COMPUTED_VALUE"""),0.0)</f>
        <v>0</v>
      </c>
      <c r="W494" s="65">
        <f>IFERROR(__xludf.DUMMYFUNCTION("""COMPUTED_VALUE"""),0.0)</f>
        <v>0</v>
      </c>
      <c r="X494" s="65">
        <f>IFERROR(__xludf.DUMMYFUNCTION("""COMPUTED_VALUE"""),3.75)</f>
        <v>3.75</v>
      </c>
      <c r="Y494" s="65">
        <f>IFERROR(__xludf.DUMMYFUNCTION("""COMPUTED_VALUE"""),7.5)</f>
        <v>7.5</v>
      </c>
      <c r="Z494" s="65">
        <f>IFERROR(__xludf.DUMMYFUNCTION("""COMPUTED_VALUE"""),113116.0)</f>
        <v>113116</v>
      </c>
      <c r="AA494" s="65" t="str">
        <f>IFERROR(__xludf.DUMMYFUNCTION("""COMPUTED_VALUE"""),"IM-TAZAKI")</f>
        <v>IM-TAZAKI</v>
      </c>
      <c r="AB494" s="65"/>
      <c r="AC494" s="65" t="str">
        <f>IFERROR(__xludf.DUMMYFUNCTION("""COMPUTED_VALUE"""),"Cuchillo tazaki")</f>
        <v>Cuchillo tazaki</v>
      </c>
      <c r="AD494" s="65"/>
      <c r="AE494" s="65">
        <f>IFERROR(__xludf.DUMMYFUNCTION("""COMPUTED_VALUE"""),2.0)</f>
        <v>2</v>
      </c>
      <c r="AF494" s="65"/>
      <c r="AG494" s="65"/>
      <c r="AH494" s="65"/>
      <c r="AI494" s="65"/>
      <c r="AJ494" s="65"/>
      <c r="AK494" s="65"/>
      <c r="AL494" s="65"/>
      <c r="AM494" s="65"/>
      <c r="AN494" s="65"/>
      <c r="AO494" s="65"/>
      <c r="AP494" s="65"/>
      <c r="AQ494" s="65"/>
      <c r="AR494" s="65"/>
      <c r="AS494" s="65"/>
      <c r="AT494" s="65" t="str">
        <f>IFERROR(__xludf.DUMMYFUNCTION("""COMPUTED_VALUE"""),"SHOPIFY")</f>
        <v>SHOPIFY</v>
      </c>
      <c r="AU494" s="65" t="str">
        <f>IFERROR(__xludf.DUMMYFUNCTION("""COMPUTED_VALUE"""),"IMPORTEX EC")</f>
        <v>IMPORTEX EC</v>
      </c>
      <c r="AV494" s="65" t="str">
        <f>IFERROR(__xludf.DUMMYFUNCTION("""COMPUTED_VALUE"""),"6543977676844")</f>
        <v>6543977676844</v>
      </c>
      <c r="AW494" s="65">
        <f>IFERROR(__xludf.DUMMYFUNCTION("""COMPUTED_VALUE"""),6380.0)</f>
        <v>6380</v>
      </c>
      <c r="AX494" s="65"/>
      <c r="AY494" s="65"/>
      <c r="AZ494" s="65"/>
      <c r="BA494" s="65"/>
    </row>
    <row r="495">
      <c r="A495" s="65" t="str">
        <f>IFERROR(__xludf.DUMMYFUNCTION("""COMPUTED_VALUE"""),"27-03-2026")</f>
        <v>27-03-2026</v>
      </c>
      <c r="B495" s="65">
        <f>IFERROR(__xludf.DUMMYFUNCTION("""COMPUTED_VALUE"""),4640258.0)</f>
        <v>4640258</v>
      </c>
      <c r="C495" s="65" t="str">
        <f>IFERROR(__xludf.DUMMYFUNCTION("""COMPUTED_VALUE"""),"08:20")</f>
        <v>08:20</v>
      </c>
      <c r="D495" s="65" t="str">
        <f>IFERROR(__xludf.DUMMYFUNCTION("""COMPUTED_VALUE"""),"27-02-2026")</f>
        <v>27-02-2026</v>
      </c>
      <c r="E495" s="65" t="str">
        <f>IFERROR(__xludf.DUMMYFUNCTION("""COMPUTED_VALUE"""),"Rubén Guachamin")</f>
        <v>Rubén Guachamin</v>
      </c>
      <c r="F495" s="65" t="str">
        <f>IFERROR(__xludf.DUMMYFUNCTION("""COMPUTED_VALUE"""),"998199330")</f>
        <v>998199330</v>
      </c>
      <c r="G495" s="65" t="str">
        <f>IFERROR(__xludf.DUMMYFUNCTION("""COMPUTED_VALUE"""),"bencho873@gmail.com")</f>
        <v>bencho873@gmail.com</v>
      </c>
      <c r="H495" s="65"/>
      <c r="I495" s="65"/>
      <c r="J495" s="65"/>
      <c r="K495" s="65" t="str">
        <f>IFERROR(__xludf.DUMMYFUNCTION("""COMPUTED_VALUE"""),"PENDIENTE CONFIRMACION")</f>
        <v>PENDIENTE CONFIRMACION</v>
      </c>
      <c r="L495" s="65" t="str">
        <f>IFERROR(__xludf.DUMMYFUNCTION("""COMPUTED_VALUE"""),"CON RECAUDO")</f>
        <v>CON RECAUDO</v>
      </c>
      <c r="M495" s="65" t="str">
        <f>IFERROR(__xludf.DUMMYFUNCTION("""COMPUTED_VALUE"""),"PICHINCHA")</f>
        <v>PICHINCHA</v>
      </c>
      <c r="N495" s="65" t="str">
        <f>IFERROR(__xludf.DUMMYFUNCTION("""COMPUTED_VALUE"""),"QUITO")</f>
        <v>QUITO</v>
      </c>
      <c r="O495" s="65" t="str">
        <f>IFERROR(__xludf.DUMMYFUNCTION("""COMPUTED_VALUE"""),"Patria y 9 de octubre banco ínternacional El ejido -")</f>
        <v>Patria y 9 de octubre banco ínternacional El ejido -</v>
      </c>
      <c r="P495" s="65"/>
      <c r="Q495" s="65" t="str">
        <f>IFERROR(__xludf.DUMMYFUNCTION("""COMPUTED_VALUE"""),"GINTRACOM")</f>
        <v>GINTRACOM</v>
      </c>
      <c r="R495" s="65">
        <f>IFERROR(__xludf.DUMMYFUNCTION("""COMPUTED_VALUE"""),20.0)</f>
        <v>20</v>
      </c>
      <c r="S495" s="65"/>
      <c r="T495" s="65">
        <f>IFERROR(__xludf.DUMMYFUNCTION("""COMPUTED_VALUE"""),4.15)</f>
        <v>4.15</v>
      </c>
      <c r="U495" s="65">
        <f>IFERROR(__xludf.DUMMYFUNCTION("""COMPUTED_VALUE"""),0.0)</f>
        <v>0</v>
      </c>
      <c r="V495" s="65">
        <f>IFERROR(__xludf.DUMMYFUNCTION("""COMPUTED_VALUE"""),0.0)</f>
        <v>0</v>
      </c>
      <c r="W495" s="65">
        <f>IFERROR(__xludf.DUMMYFUNCTION("""COMPUTED_VALUE"""),0.0)</f>
        <v>0</v>
      </c>
      <c r="X495" s="65">
        <f>IFERROR(__xludf.DUMMYFUNCTION("""COMPUTED_VALUE"""),2.35)</f>
        <v>2.35</v>
      </c>
      <c r="Y495" s="65">
        <f>IFERROR(__xludf.DUMMYFUNCTION("""COMPUTED_VALUE"""),2.35)</f>
        <v>2.35</v>
      </c>
      <c r="Z495" s="65">
        <f>IFERROR(__xludf.DUMMYFUNCTION("""COMPUTED_VALUE"""),116679.0)</f>
        <v>116679</v>
      </c>
      <c r="AA495" s="65" t="str">
        <f>IFERROR(__xludf.DUMMYFUNCTION("""COMPUTED_VALUE"""),"AMC-2738")</f>
        <v>AMC-2738</v>
      </c>
      <c r="AB495" s="65"/>
      <c r="AC495" s="65" t="str">
        <f>IFERROR(__xludf.DUMMYFUNCTION("""COMPUTED_VALUE"""),"ESPONJA ANTILLUVIA DE PARABRISAS")</f>
        <v>ESPONJA ANTILLUVIA DE PARABRISAS</v>
      </c>
      <c r="AD495" s="65"/>
      <c r="AE495" s="65">
        <f>IFERROR(__xludf.DUMMYFUNCTION("""COMPUTED_VALUE"""),1.0)</f>
        <v>1</v>
      </c>
      <c r="AF495" s="65"/>
      <c r="AG495" s="65"/>
      <c r="AH495" s="65"/>
      <c r="AI495" s="65"/>
      <c r="AJ495" s="65"/>
      <c r="AK495" s="65"/>
      <c r="AL495" s="65"/>
      <c r="AM495" s="65"/>
      <c r="AN495" s="65"/>
      <c r="AO495" s="65"/>
      <c r="AP495" s="65"/>
      <c r="AQ495" s="65"/>
      <c r="AR495" s="65"/>
      <c r="AS495" s="65"/>
      <c r="AT495" s="65" t="str">
        <f>IFERROR(__xludf.DUMMYFUNCTION("""COMPUTED_VALUE"""),"SHOPIFY")</f>
        <v>SHOPIFY</v>
      </c>
      <c r="AU495" s="65" t="str">
        <f>IFERROR(__xludf.DUMMYFUNCTION("""COMPUTED_VALUE"""),"IMPORTEX EC")</f>
        <v>IMPORTEX EC</v>
      </c>
      <c r="AV495" s="65" t="str">
        <f>IFERROR(__xludf.DUMMYFUNCTION("""COMPUTED_VALUE"""),"6543972433964")</f>
        <v>6543972433964</v>
      </c>
      <c r="AW495" s="65">
        <f>IFERROR(__xludf.DUMMYFUNCTION("""COMPUTED_VALUE"""),6379.0)</f>
        <v>6379</v>
      </c>
      <c r="AX495" s="65"/>
      <c r="AY495" s="65"/>
      <c r="AZ495" s="65"/>
      <c r="BA495" s="65"/>
    </row>
    <row r="496">
      <c r="A496" s="65" t="str">
        <f>IFERROR(__xludf.DUMMYFUNCTION("""COMPUTED_VALUE"""),"27-03-2026")</f>
        <v>27-03-2026</v>
      </c>
      <c r="B496" s="65">
        <f>IFERROR(__xludf.DUMMYFUNCTION("""COMPUTED_VALUE"""),4639943.0)</f>
        <v>4639943</v>
      </c>
      <c r="C496" s="65" t="str">
        <f>IFERROR(__xludf.DUMMYFUNCTION("""COMPUTED_VALUE"""),"07:40")</f>
        <v>07:40</v>
      </c>
      <c r="D496" s="65" t="str">
        <f>IFERROR(__xludf.DUMMYFUNCTION("""COMPUTED_VALUE"""),"27-02-2026")</f>
        <v>27-02-2026</v>
      </c>
      <c r="E496" s="65" t="str">
        <f>IFERROR(__xludf.DUMMYFUNCTION("""COMPUTED_VALUE"""),"Franklin Sanchez")</f>
        <v>Franklin Sanchez</v>
      </c>
      <c r="F496" s="65" t="str">
        <f>IFERROR(__xludf.DUMMYFUNCTION("""COMPUTED_VALUE"""),"979391481")</f>
        <v>979391481</v>
      </c>
      <c r="G496" s="65" t="str">
        <f>IFERROR(__xludf.DUMMYFUNCTION("""COMPUTED_VALUE"""),"franklinsanchez228@gmail.com")</f>
        <v>franklinsanchez228@gmail.com</v>
      </c>
      <c r="H496" s="65"/>
      <c r="I496" s="65"/>
      <c r="J496" s="65" t="str">
        <f>IFERROR(__xludf.DUMMYFUNCTION("""COMPUTED_VALUE"""),"D001367507")</f>
        <v>D001367507</v>
      </c>
      <c r="K496" s="65" t="str">
        <f>IFERROR(__xludf.DUMMYFUNCTION("""COMPUTED_VALUE"""),"ENTREGADO")</f>
        <v>ENTREGADO</v>
      </c>
      <c r="L496" s="65" t="str">
        <f>IFERROR(__xludf.DUMMYFUNCTION("""COMPUTED_VALUE"""),"CON RECAUDO")</f>
        <v>CON RECAUDO</v>
      </c>
      <c r="M496" s="65" t="str">
        <f>IFERROR(__xludf.DUMMYFUNCTION("""COMPUTED_VALUE"""),"CHIMBORAZO")</f>
        <v>CHIMBORAZO</v>
      </c>
      <c r="N496" s="65" t="str">
        <f>IFERROR(__xludf.DUMMYFUNCTION("""COMPUTED_VALUE"""),"RIOBAMBA")</f>
        <v>RIOBAMBA</v>
      </c>
      <c r="O496" s="65" t="str">
        <f>IFERROR(__xludf.DUMMYFUNCTION("""COMPUTED_VALUE"""),"Av pedro Vicente Maldonado y pasaje Diego de covio Pasaje Diego de covio -")</f>
        <v>Av pedro Vicente Maldonado y pasaje Diego de covio Pasaje Diego de covio -</v>
      </c>
      <c r="P496" s="65"/>
      <c r="Q496" s="65" t="str">
        <f>IFERROR(__xludf.DUMMYFUNCTION("""COMPUTED_VALUE"""),"GINTRACOM")</f>
        <v>GINTRACOM</v>
      </c>
      <c r="R496" s="65">
        <f>IFERROR(__xludf.DUMMYFUNCTION("""COMPUTED_VALUE"""),22.0)</f>
        <v>22</v>
      </c>
      <c r="S496" s="65">
        <f>IFERROR(__xludf.DUMMYFUNCTION("""COMPUTED_VALUE"""),8.66)</f>
        <v>8.66</v>
      </c>
      <c r="T496" s="65">
        <f>IFERROR(__xludf.DUMMYFUNCTION("""COMPUTED_VALUE"""),5.84)</f>
        <v>5.84</v>
      </c>
      <c r="U496" s="65">
        <f>IFERROR(__xludf.DUMMYFUNCTION("""COMPUTED_VALUE"""),0.0)</f>
        <v>0</v>
      </c>
      <c r="V496" s="65">
        <f>IFERROR(__xludf.DUMMYFUNCTION("""COMPUTED_VALUE"""),0.0)</f>
        <v>0</v>
      </c>
      <c r="W496" s="65">
        <f>IFERROR(__xludf.DUMMYFUNCTION("""COMPUTED_VALUE"""),0.0)</f>
        <v>0</v>
      </c>
      <c r="X496" s="65">
        <f>IFERROR(__xludf.DUMMYFUNCTION("""COMPUTED_VALUE"""),3.75)</f>
        <v>3.75</v>
      </c>
      <c r="Y496" s="65">
        <f>IFERROR(__xludf.DUMMYFUNCTION("""COMPUTED_VALUE"""),7.5)</f>
        <v>7.5</v>
      </c>
      <c r="Z496" s="65">
        <f>IFERROR(__xludf.DUMMYFUNCTION("""COMPUTED_VALUE"""),113116.0)</f>
        <v>113116</v>
      </c>
      <c r="AA496" s="65" t="str">
        <f>IFERROR(__xludf.DUMMYFUNCTION("""COMPUTED_VALUE"""),"IM-TAZAKI")</f>
        <v>IM-TAZAKI</v>
      </c>
      <c r="AB496" s="65"/>
      <c r="AC496" s="65" t="str">
        <f>IFERROR(__xludf.DUMMYFUNCTION("""COMPUTED_VALUE"""),"Cuchillo tazaki")</f>
        <v>Cuchillo tazaki</v>
      </c>
      <c r="AD496" s="65"/>
      <c r="AE496" s="65">
        <f>IFERROR(__xludf.DUMMYFUNCTION("""COMPUTED_VALUE"""),2.0)</f>
        <v>2</v>
      </c>
      <c r="AF496" s="65"/>
      <c r="AG496" s="65"/>
      <c r="AH496" s="65"/>
      <c r="AI496" s="65"/>
      <c r="AJ496" s="65"/>
      <c r="AK496" s="65"/>
      <c r="AL496" s="65"/>
      <c r="AM496" s="65"/>
      <c r="AN496" s="65" t="str">
        <f>IFERROR(__xludf.DUMMYFUNCTION("""COMPUTED_VALUE"""),"07:23")</f>
        <v>07:23</v>
      </c>
      <c r="AO496" s="65" t="str">
        <f>IFERROR(__xludf.DUMMYFUNCTION("""COMPUTED_VALUE"""),"02-03-2026")</f>
        <v>02-03-2026</v>
      </c>
      <c r="AP496" s="65" t="str">
        <f>IFERROR(__xludf.DUMMYFUNCTION("""COMPUTED_VALUE"""),"EN REPARTO")</f>
        <v>EN REPARTO</v>
      </c>
      <c r="AQ496" s="65" t="str">
        <f>IFERROR(__xludf.DUMMYFUNCTION("""COMPUTED_VALUE"""),"EN REPARTO")</f>
        <v>EN REPARTO</v>
      </c>
      <c r="AR496" s="65"/>
      <c r="AS496" s="65"/>
      <c r="AT496" s="65" t="str">
        <f>IFERROR(__xludf.DUMMYFUNCTION("""COMPUTED_VALUE"""),"SHOPIFY")</f>
        <v>SHOPIFY</v>
      </c>
      <c r="AU496" s="65" t="str">
        <f>IFERROR(__xludf.DUMMYFUNCTION("""COMPUTED_VALUE"""),"IMPORTEX EC")</f>
        <v>IMPORTEX EC</v>
      </c>
      <c r="AV496" s="65" t="str">
        <f>IFERROR(__xludf.DUMMYFUNCTION("""COMPUTED_VALUE"""),"6543776841772")</f>
        <v>6543776841772</v>
      </c>
      <c r="AW496" s="65">
        <f>IFERROR(__xludf.DUMMYFUNCTION("""COMPUTED_VALUE"""),6378.0)</f>
        <v>6378</v>
      </c>
      <c r="AX496" s="65"/>
      <c r="AY496" s="65" t="str">
        <f>IFERROR(__xludf.DUMMYFUNCTION("""COMPUTED_VALUE"""),"28/02/2026")</f>
        <v>28/02/2026</v>
      </c>
      <c r="AZ496" s="65"/>
      <c r="BA496" s="65"/>
    </row>
    <row r="497">
      <c r="A497" s="65" t="str">
        <f>IFERROR(__xludf.DUMMYFUNCTION("""COMPUTED_VALUE"""),"27-03-2026")</f>
        <v>27-03-2026</v>
      </c>
      <c r="B497" s="65">
        <f>IFERROR(__xludf.DUMMYFUNCTION("""COMPUTED_VALUE"""),4639907.0)</f>
        <v>4639907</v>
      </c>
      <c r="C497" s="65" t="str">
        <f>IFERROR(__xludf.DUMMYFUNCTION("""COMPUTED_VALUE"""),"07:36")</f>
        <v>07:36</v>
      </c>
      <c r="D497" s="65" t="str">
        <f>IFERROR(__xludf.DUMMYFUNCTION("""COMPUTED_VALUE"""),"27-02-2026")</f>
        <v>27-02-2026</v>
      </c>
      <c r="E497" s="65" t="str">
        <f>IFERROR(__xludf.DUMMYFUNCTION("""COMPUTED_VALUE"""),"Egidio Eugenio Manchay Castillo")</f>
        <v>Egidio Eugenio Manchay Castillo</v>
      </c>
      <c r="F497" s="65" t="str">
        <f>IFERROR(__xludf.DUMMYFUNCTION("""COMPUTED_VALUE"""),"990260010")</f>
        <v>990260010</v>
      </c>
      <c r="G497" s="65" t="str">
        <f>IFERROR(__xludf.DUMMYFUNCTION("""COMPUTED_VALUE"""),"egidio.mc@hotmail.com")</f>
        <v>egidio.mc@hotmail.com</v>
      </c>
      <c r="H497" s="65"/>
      <c r="I497" s="65"/>
      <c r="J497" s="65"/>
      <c r="K497" s="65" t="str">
        <f>IFERROR(__xludf.DUMMYFUNCTION("""COMPUTED_VALUE"""),"PENDIENTE CONFIRMACION")</f>
        <v>PENDIENTE CONFIRMACION</v>
      </c>
      <c r="L497" s="65" t="str">
        <f>IFERROR(__xludf.DUMMYFUNCTION("""COMPUTED_VALUE"""),"CON RECAUDO")</f>
        <v>CON RECAUDO</v>
      </c>
      <c r="M497" s="65" t="str">
        <f>IFERROR(__xludf.DUMMYFUNCTION("""COMPUTED_VALUE"""),"ORELLANA")</f>
        <v>ORELLANA</v>
      </c>
      <c r="N497" s="65" t="str">
        <f>IFERROR(__xludf.DUMMYFUNCTION("""COMPUTED_VALUE"""),"EL COCA")</f>
        <v>EL COCA</v>
      </c>
      <c r="O497" s="65" t="str">
        <f>IFERROR(__xludf.DUMMYFUNCTION("""COMPUTED_VALUE"""),"Via Auca km 20 Comunidad el Carmen -")</f>
        <v>Via Auca km 20 Comunidad el Carmen -</v>
      </c>
      <c r="P497" s="65"/>
      <c r="Q497" s="65" t="str">
        <f>IFERROR(__xludf.DUMMYFUNCTION("""COMPUTED_VALUE"""),"GINTRACOM")</f>
        <v>GINTRACOM</v>
      </c>
      <c r="R497" s="65">
        <f>IFERROR(__xludf.DUMMYFUNCTION("""COMPUTED_VALUE"""),22.0)</f>
        <v>22</v>
      </c>
      <c r="S497" s="65"/>
      <c r="T497" s="65">
        <f>IFERROR(__xludf.DUMMYFUNCTION("""COMPUTED_VALUE"""),5.84)</f>
        <v>5.84</v>
      </c>
      <c r="U497" s="65">
        <f>IFERROR(__xludf.DUMMYFUNCTION("""COMPUTED_VALUE"""),0.0)</f>
        <v>0</v>
      </c>
      <c r="V497" s="65">
        <f>IFERROR(__xludf.DUMMYFUNCTION("""COMPUTED_VALUE"""),0.0)</f>
        <v>0</v>
      </c>
      <c r="W497" s="65">
        <f>IFERROR(__xludf.DUMMYFUNCTION("""COMPUTED_VALUE"""),0.0)</f>
        <v>0</v>
      </c>
      <c r="X497" s="65">
        <f>IFERROR(__xludf.DUMMYFUNCTION("""COMPUTED_VALUE"""),3.75)</f>
        <v>3.75</v>
      </c>
      <c r="Y497" s="65">
        <f>IFERROR(__xludf.DUMMYFUNCTION("""COMPUTED_VALUE"""),7.5)</f>
        <v>7.5</v>
      </c>
      <c r="Z497" s="65">
        <f>IFERROR(__xludf.DUMMYFUNCTION("""COMPUTED_VALUE"""),113116.0)</f>
        <v>113116</v>
      </c>
      <c r="AA497" s="65" t="str">
        <f>IFERROR(__xludf.DUMMYFUNCTION("""COMPUTED_VALUE"""),"IM-TAZAKI")</f>
        <v>IM-TAZAKI</v>
      </c>
      <c r="AB497" s="65"/>
      <c r="AC497" s="65" t="str">
        <f>IFERROR(__xludf.DUMMYFUNCTION("""COMPUTED_VALUE"""),"Cuchillo tazaki")</f>
        <v>Cuchillo tazaki</v>
      </c>
      <c r="AD497" s="65"/>
      <c r="AE497" s="65">
        <f>IFERROR(__xludf.DUMMYFUNCTION("""COMPUTED_VALUE"""),2.0)</f>
        <v>2</v>
      </c>
      <c r="AF497" s="65"/>
      <c r="AG497" s="65"/>
      <c r="AH497" s="65"/>
      <c r="AI497" s="65"/>
      <c r="AJ497" s="65"/>
      <c r="AK497" s="65"/>
      <c r="AL497" s="65"/>
      <c r="AM497" s="65"/>
      <c r="AN497" s="65"/>
      <c r="AO497" s="65"/>
      <c r="AP497" s="65"/>
      <c r="AQ497" s="65"/>
      <c r="AR497" s="65"/>
      <c r="AS497" s="65"/>
      <c r="AT497" s="65" t="str">
        <f>IFERROR(__xludf.DUMMYFUNCTION("""COMPUTED_VALUE"""),"SHOPIFY")</f>
        <v>SHOPIFY</v>
      </c>
      <c r="AU497" s="65" t="str">
        <f>IFERROR(__xludf.DUMMYFUNCTION("""COMPUTED_VALUE"""),"IMPORTEX EC")</f>
        <v>IMPORTEX EC</v>
      </c>
      <c r="AV497" s="65" t="str">
        <f>IFERROR(__xludf.DUMMYFUNCTION("""COMPUTED_VALUE"""),"6543759933484")</f>
        <v>6543759933484</v>
      </c>
      <c r="AW497" s="65">
        <f>IFERROR(__xludf.DUMMYFUNCTION("""COMPUTED_VALUE"""),6377.0)</f>
        <v>6377</v>
      </c>
      <c r="AX497" s="65"/>
      <c r="AY497" s="65"/>
      <c r="AZ497" s="65"/>
      <c r="BA497" s="65"/>
    </row>
    <row r="498">
      <c r="A498" s="65" t="str">
        <f>IFERROR(__xludf.DUMMYFUNCTION("""COMPUTED_VALUE"""),"27-03-2026")</f>
        <v>27-03-2026</v>
      </c>
      <c r="B498" s="65">
        <f>IFERROR(__xludf.DUMMYFUNCTION("""COMPUTED_VALUE"""),4639899.0)</f>
        <v>4639899</v>
      </c>
      <c r="C498" s="65" t="str">
        <f>IFERROR(__xludf.DUMMYFUNCTION("""COMPUTED_VALUE"""),"07:35")</f>
        <v>07:35</v>
      </c>
      <c r="D498" s="65" t="str">
        <f>IFERROR(__xludf.DUMMYFUNCTION("""COMPUTED_VALUE"""),"27-02-2026")</f>
        <v>27-02-2026</v>
      </c>
      <c r="E498" s="65" t="str">
        <f>IFERROR(__xludf.DUMMYFUNCTION("""COMPUTED_VALUE"""),"Sara Choto")</f>
        <v>Sara Choto</v>
      </c>
      <c r="F498" s="65" t="str">
        <f>IFERROR(__xludf.DUMMYFUNCTION("""COMPUTED_VALUE"""),"959801404")</f>
        <v>959801404</v>
      </c>
      <c r="G498" s="65" t="str">
        <f>IFERROR(__xludf.DUMMYFUNCTION("""COMPUTED_VALUE"""),"chotosara53@gmail.com")</f>
        <v>chotosara53@gmail.com</v>
      </c>
      <c r="H498" s="65"/>
      <c r="I498" s="65"/>
      <c r="J498" s="65" t="str">
        <f>IFERROR(__xludf.DUMMYFUNCTION("""COMPUTED_VALUE"""),"D001367508")</f>
        <v>D001367508</v>
      </c>
      <c r="K498" s="65" t="str">
        <f>IFERROR(__xludf.DUMMYFUNCTION("""COMPUTED_VALUE"""),"DEVOLUCION")</f>
        <v>DEVOLUCION</v>
      </c>
      <c r="L498" s="65" t="str">
        <f>IFERROR(__xludf.DUMMYFUNCTION("""COMPUTED_VALUE"""),"CON RECAUDO")</f>
        <v>CON RECAUDO</v>
      </c>
      <c r="M498" s="65" t="str">
        <f>IFERROR(__xludf.DUMMYFUNCTION("""COMPUTED_VALUE"""),"SUCUMBIOS")</f>
        <v>SUCUMBIOS</v>
      </c>
      <c r="N498" s="65" t="str">
        <f>IFERROR(__xludf.DUMMYFUNCTION("""COMPUTED_VALUE"""),"SHUSHUFINDI")</f>
        <v>SHUSHUFINDI</v>
      </c>
      <c r="O498" s="65" t="str">
        <f>IFERROR(__xludf.DUMMYFUNCTION("""COMPUTED_VALUE"""),"7de julio calle principal  Frente al Coliseo Marco Vivas Sevillano  - Barrio bella unión")</f>
        <v>7de julio calle principal  Frente al Coliseo Marco Vivas Sevillano  - Barrio bella unión</v>
      </c>
      <c r="P498" s="65"/>
      <c r="Q498" s="65" t="str">
        <f>IFERROR(__xludf.DUMMYFUNCTION("""COMPUTED_VALUE"""),"GINTRACOM")</f>
        <v>GINTRACOM</v>
      </c>
      <c r="R498" s="65">
        <f>IFERROR(__xludf.DUMMYFUNCTION("""COMPUTED_VALUE"""),22.0)</f>
        <v>22</v>
      </c>
      <c r="S498" s="65"/>
      <c r="T498" s="65">
        <f>IFERROR(__xludf.DUMMYFUNCTION("""COMPUTED_VALUE"""),5.84)</f>
        <v>5.84</v>
      </c>
      <c r="U498" s="65">
        <f>IFERROR(__xludf.DUMMYFUNCTION("""COMPUTED_VALUE"""),0.0)</f>
        <v>0</v>
      </c>
      <c r="V498" s="65">
        <f>IFERROR(__xludf.DUMMYFUNCTION("""COMPUTED_VALUE"""),0.0)</f>
        <v>0</v>
      </c>
      <c r="W498" s="65">
        <f>IFERROR(__xludf.DUMMYFUNCTION("""COMPUTED_VALUE"""),0.0)</f>
        <v>0</v>
      </c>
      <c r="X498" s="65">
        <f>IFERROR(__xludf.DUMMYFUNCTION("""COMPUTED_VALUE"""),3.75)</f>
        <v>3.75</v>
      </c>
      <c r="Y498" s="65">
        <f>IFERROR(__xludf.DUMMYFUNCTION("""COMPUTED_VALUE"""),7.5)</f>
        <v>7.5</v>
      </c>
      <c r="Z498" s="65">
        <f>IFERROR(__xludf.DUMMYFUNCTION("""COMPUTED_VALUE"""),113116.0)</f>
        <v>113116</v>
      </c>
      <c r="AA498" s="65" t="str">
        <f>IFERROR(__xludf.DUMMYFUNCTION("""COMPUTED_VALUE"""),"IM-TAZAKI")</f>
        <v>IM-TAZAKI</v>
      </c>
      <c r="AB498" s="65"/>
      <c r="AC498" s="65" t="str">
        <f>IFERROR(__xludf.DUMMYFUNCTION("""COMPUTED_VALUE"""),"Cuchillo tazaki")</f>
        <v>Cuchillo tazaki</v>
      </c>
      <c r="AD498" s="65"/>
      <c r="AE498" s="65">
        <f>IFERROR(__xludf.DUMMYFUNCTION("""COMPUTED_VALUE"""),2.0)</f>
        <v>2</v>
      </c>
      <c r="AF498" s="65" t="str">
        <f>IFERROR(__xludf.DUMMYFUNCTION("""COMPUTED_VALUE"""),"DESTINATARIO NO CONTESTA LLAMADAS NI WHATSAPP")</f>
        <v>DESTINATARIO NO CONTESTA LLAMADAS NI WHATSAPP</v>
      </c>
      <c r="AG498" s="65" t="str">
        <f>IFERROR(__xludf.DUMMYFUNCTION("""COMPUTED_VALUE"""),"SI")</f>
        <v>SI</v>
      </c>
      <c r="AH498" s="65" t="str">
        <f>IFERROR(__xludf.DUMMYFUNCTION("""COMPUTED_VALUE"""),"16:23")</f>
        <v>16:23</v>
      </c>
      <c r="AI498" s="65" t="str">
        <f>IFERROR(__xludf.DUMMYFUNCTION("""COMPUTED_VALUE"""),"10-03-2026")</f>
        <v>10-03-2026</v>
      </c>
      <c r="AJ498" s="65" t="str">
        <f>IFERROR(__xludf.DUMMYFUNCTION("""COMPUTED_VALUE"""),"Cliente solicita la entrega inmediata")</f>
        <v>Cliente solicita la entrega inmediata</v>
      </c>
      <c r="AK498" s="65" t="str">
        <f>IFERROR(__xludf.DUMMYFUNCTION("""COMPUTED_VALUE"""),"10:02")</f>
        <v>10:02</v>
      </c>
      <c r="AL498" s="65" t="str">
        <f>IFERROR(__xludf.DUMMYFUNCTION("""COMPUTED_VALUE"""),"11-03-2026")</f>
        <v>11-03-2026</v>
      </c>
      <c r="AM498" s="65"/>
      <c r="AN498" s="65" t="str">
        <f>IFERROR(__xludf.DUMMYFUNCTION("""COMPUTED_VALUE"""),"14:04")</f>
        <v>14:04</v>
      </c>
      <c r="AO498" s="65" t="str">
        <f>IFERROR(__xludf.DUMMYFUNCTION("""COMPUTED_VALUE"""),"24-03-2026")</f>
        <v>24-03-2026</v>
      </c>
      <c r="AP498" s="65" t="str">
        <f>IFERROR(__xludf.DUMMYFUNCTION("""COMPUTED_VALUE"""),"DEVOLUCIÓN ENTREGADA A ORIGEN")</f>
        <v>DEVOLUCIÓN ENTREGADA A ORIGEN</v>
      </c>
      <c r="AQ498" s="65" t="str">
        <f>IFERROR(__xludf.DUMMYFUNCTION("""COMPUTED_VALUE"""),"DEVOLUCIÓN ENTREGADA A ORIGEN")</f>
        <v>DEVOLUCIÓN ENTREGADA A ORIGEN</v>
      </c>
      <c r="AR498" s="65"/>
      <c r="AS498" s="65"/>
      <c r="AT498" s="65" t="str">
        <f>IFERROR(__xludf.DUMMYFUNCTION("""COMPUTED_VALUE"""),"SHOPIFY")</f>
        <v>SHOPIFY</v>
      </c>
      <c r="AU498" s="65" t="str">
        <f>IFERROR(__xludf.DUMMYFUNCTION("""COMPUTED_VALUE"""),"IMPORTEX EC")</f>
        <v>IMPORTEX EC</v>
      </c>
      <c r="AV498" s="65" t="str">
        <f>IFERROR(__xludf.DUMMYFUNCTION("""COMPUTED_VALUE"""),"6543752134700")</f>
        <v>6543752134700</v>
      </c>
      <c r="AW498" s="65">
        <f>IFERROR(__xludf.DUMMYFUNCTION("""COMPUTED_VALUE"""),6376.0)</f>
        <v>6376</v>
      </c>
      <c r="AX498" s="65"/>
      <c r="AY498" s="65" t="str">
        <f>IFERROR(__xludf.DUMMYFUNCTION("""COMPUTED_VALUE"""),"28/02/2026")</f>
        <v>28/02/2026</v>
      </c>
      <c r="AZ498" s="65"/>
      <c r="BA498" s="65"/>
    </row>
    <row r="499">
      <c r="A499" s="65" t="str">
        <f>IFERROR(__xludf.DUMMYFUNCTION("""COMPUTED_VALUE"""),"27-03-2026")</f>
        <v>27-03-2026</v>
      </c>
      <c r="B499" s="65">
        <f>IFERROR(__xludf.DUMMYFUNCTION("""COMPUTED_VALUE"""),4639514.0)</f>
        <v>4639514</v>
      </c>
      <c r="C499" s="65" t="str">
        <f>IFERROR(__xludf.DUMMYFUNCTION("""COMPUTED_VALUE"""),"06:54")</f>
        <v>06:54</v>
      </c>
      <c r="D499" s="65" t="str">
        <f>IFERROR(__xludf.DUMMYFUNCTION("""COMPUTED_VALUE"""),"27-02-2026")</f>
        <v>27-02-2026</v>
      </c>
      <c r="E499" s="65" t="str">
        <f>IFERROR(__xludf.DUMMYFUNCTION("""COMPUTED_VALUE"""),"Carlos Mero M")</f>
        <v>Carlos Mero M</v>
      </c>
      <c r="F499" s="65" t="str">
        <f>IFERROR(__xludf.DUMMYFUNCTION("""COMPUTED_VALUE"""),"980255927")</f>
        <v>980255927</v>
      </c>
      <c r="G499" s="65" t="str">
        <f>IFERROR(__xludf.DUMMYFUNCTION("""COMPUTED_VALUE"""),"charlie6978@hotmail.com")</f>
        <v>charlie6978@hotmail.com</v>
      </c>
      <c r="H499" s="65"/>
      <c r="I499" s="65"/>
      <c r="J499" s="65" t="str">
        <f>IFERROR(__xludf.DUMMYFUNCTION("""COMPUTED_VALUE"""),"D001373934")</f>
        <v>D001373934</v>
      </c>
      <c r="K499" s="65" t="str">
        <f>IFERROR(__xludf.DUMMYFUNCTION("""COMPUTED_VALUE"""),"ENTREGADO")</f>
        <v>ENTREGADO</v>
      </c>
      <c r="L499" s="65" t="str">
        <f>IFERROR(__xludf.DUMMYFUNCTION("""COMPUTED_VALUE"""),"CON RECAUDO")</f>
        <v>CON RECAUDO</v>
      </c>
      <c r="M499" s="65" t="str">
        <f>IFERROR(__xludf.DUMMYFUNCTION("""COMPUTED_VALUE"""),"GUAYAS")</f>
        <v>GUAYAS</v>
      </c>
      <c r="N499" s="65" t="str">
        <f>IFERROR(__xludf.DUMMYFUNCTION("""COMPUTED_VALUE"""),"MILAGRO")</f>
        <v>MILAGRO</v>
      </c>
      <c r="O499" s="65" t="str">
        <f>IFERROR(__xludf.DUMMYFUNCTION("""COMPUTED_VALUE"""),"calles..julio laramillo y José M. lequerica quinta sanchez -")</f>
        <v>calles..julio laramillo y José M. lequerica quinta sanchez -</v>
      </c>
      <c r="P499" s="65"/>
      <c r="Q499" s="65" t="str">
        <f>IFERROR(__xludf.DUMMYFUNCTION("""COMPUTED_VALUE"""),"GINTRACOM")</f>
        <v>GINTRACOM</v>
      </c>
      <c r="R499" s="65">
        <f>IFERROR(__xludf.DUMMYFUNCTION("""COMPUTED_VALUE"""),25.0)</f>
        <v>25</v>
      </c>
      <c r="S499" s="65">
        <f>IFERROR(__xludf.DUMMYFUNCTION("""COMPUTED_VALUE"""),14.34)</f>
        <v>14.34</v>
      </c>
      <c r="T499" s="65">
        <f>IFERROR(__xludf.DUMMYFUNCTION("""COMPUTED_VALUE"""),5.96)</f>
        <v>5.96</v>
      </c>
      <c r="U499" s="65">
        <f>IFERROR(__xludf.DUMMYFUNCTION("""COMPUTED_VALUE"""),0.0)</f>
        <v>0</v>
      </c>
      <c r="V499" s="65">
        <f>IFERROR(__xludf.DUMMYFUNCTION("""COMPUTED_VALUE"""),0.0)</f>
        <v>0</v>
      </c>
      <c r="W499" s="65">
        <f>IFERROR(__xludf.DUMMYFUNCTION("""COMPUTED_VALUE"""),0.0)</f>
        <v>0</v>
      </c>
      <c r="X499" s="65">
        <f>IFERROR(__xludf.DUMMYFUNCTION("""COMPUTED_VALUE"""),2.35)</f>
        <v>2.35</v>
      </c>
      <c r="Y499" s="65">
        <f>IFERROR(__xludf.DUMMYFUNCTION("""COMPUTED_VALUE"""),4.7)</f>
        <v>4.7</v>
      </c>
      <c r="Z499" s="65">
        <f>IFERROR(__xludf.DUMMYFUNCTION("""COMPUTED_VALUE"""),116679.0)</f>
        <v>116679</v>
      </c>
      <c r="AA499" s="65" t="str">
        <f>IFERROR(__xludf.DUMMYFUNCTION("""COMPUTED_VALUE"""),"AMC-2738")</f>
        <v>AMC-2738</v>
      </c>
      <c r="AB499" s="65"/>
      <c r="AC499" s="65" t="str">
        <f>IFERROR(__xludf.DUMMYFUNCTION("""COMPUTED_VALUE"""),"ESPONJA ANTILLUVIA DE PARABRISAS")</f>
        <v>ESPONJA ANTILLUVIA DE PARABRISAS</v>
      </c>
      <c r="AD499" s="65"/>
      <c r="AE499" s="65">
        <f>IFERROR(__xludf.DUMMYFUNCTION("""COMPUTED_VALUE"""),2.0)</f>
        <v>2</v>
      </c>
      <c r="AF499" s="65"/>
      <c r="AG499" s="65"/>
      <c r="AH499" s="65"/>
      <c r="AI499" s="65"/>
      <c r="AJ499" s="65"/>
      <c r="AK499" s="65"/>
      <c r="AL499" s="65"/>
      <c r="AM499" s="65"/>
      <c r="AN499" s="65" t="str">
        <f>IFERROR(__xludf.DUMMYFUNCTION("""COMPUTED_VALUE"""),"15:27")</f>
        <v>15:27</v>
      </c>
      <c r="AO499" s="65" t="str">
        <f>IFERROR(__xludf.DUMMYFUNCTION("""COMPUTED_VALUE"""),"04-03-2026")</f>
        <v>04-03-2026</v>
      </c>
      <c r="AP499" s="65" t="str">
        <f>IFERROR(__xludf.DUMMYFUNCTION("""COMPUTED_VALUE"""),"ENTREGADA GINTRACOM")</f>
        <v>ENTREGADA GINTRACOM</v>
      </c>
      <c r="AQ499" s="65" t="str">
        <f>IFERROR(__xludf.DUMMYFUNCTION("""COMPUTED_VALUE"""),"ENTREGADA GINTRACOM")</f>
        <v>ENTREGADA GINTRACOM</v>
      </c>
      <c r="AR499" s="65"/>
      <c r="AS499" s="65"/>
      <c r="AT499" s="65" t="str">
        <f>IFERROR(__xludf.DUMMYFUNCTION("""COMPUTED_VALUE"""),"SHOPIFY")</f>
        <v>SHOPIFY</v>
      </c>
      <c r="AU499" s="65" t="str">
        <f>IFERROR(__xludf.DUMMYFUNCTION("""COMPUTED_VALUE"""),"IMPORTEX EC")</f>
        <v>IMPORTEX EC</v>
      </c>
      <c r="AV499" s="65" t="str">
        <f>IFERROR(__xludf.DUMMYFUNCTION("""COMPUTED_VALUE"""),"6543511126060")</f>
        <v>6543511126060</v>
      </c>
      <c r="AW499" s="65">
        <f>IFERROR(__xludf.DUMMYFUNCTION("""COMPUTED_VALUE"""),6375.0)</f>
        <v>6375</v>
      </c>
      <c r="AX499" s="65"/>
      <c r="AY499" s="65" t="str">
        <f>IFERROR(__xludf.DUMMYFUNCTION("""COMPUTED_VALUE"""),"02/03/2026")</f>
        <v>02/03/2026</v>
      </c>
      <c r="AZ499" s="65"/>
      <c r="BA499" s="65"/>
    </row>
    <row r="500">
      <c r="A500" s="65" t="str">
        <f>IFERROR(__xludf.DUMMYFUNCTION("""COMPUTED_VALUE"""),"27-03-2026")</f>
        <v>27-03-2026</v>
      </c>
      <c r="B500" s="65">
        <f>IFERROR(__xludf.DUMMYFUNCTION("""COMPUTED_VALUE"""),4639409.0)</f>
        <v>4639409</v>
      </c>
      <c r="C500" s="65" t="str">
        <f>IFERROR(__xludf.DUMMYFUNCTION("""COMPUTED_VALUE"""),"06:40")</f>
        <v>06:40</v>
      </c>
      <c r="D500" s="65" t="str">
        <f>IFERROR(__xludf.DUMMYFUNCTION("""COMPUTED_VALUE"""),"27-02-2026")</f>
        <v>27-02-2026</v>
      </c>
      <c r="E500" s="65" t="str">
        <f>IFERROR(__xludf.DUMMYFUNCTION("""COMPUTED_VALUE"""),"Anderson Medina")</f>
        <v>Anderson Medina</v>
      </c>
      <c r="F500" s="65" t="str">
        <f>IFERROR(__xludf.DUMMYFUNCTION("""COMPUTED_VALUE"""),"963032584")</f>
        <v>963032584</v>
      </c>
      <c r="G500" s="65" t="str">
        <f>IFERROR(__xludf.DUMMYFUNCTION("""COMPUTED_VALUE"""),"anderson191087@gmail.com")</f>
        <v>anderson191087@gmail.com</v>
      </c>
      <c r="H500" s="65"/>
      <c r="I500" s="65"/>
      <c r="J500" s="65" t="str">
        <f>IFERROR(__xludf.DUMMYFUNCTION("""COMPUTED_VALUE"""),"D001367522")</f>
        <v>D001367522</v>
      </c>
      <c r="K500" s="65" t="str">
        <f>IFERROR(__xludf.DUMMYFUNCTION("""COMPUTED_VALUE"""),"ENTREGADO")</f>
        <v>ENTREGADO</v>
      </c>
      <c r="L500" s="65" t="str">
        <f>IFERROR(__xludf.DUMMYFUNCTION("""COMPUTED_VALUE"""),"CON RECAUDO")</f>
        <v>CON RECAUDO</v>
      </c>
      <c r="M500" s="65" t="str">
        <f>IFERROR(__xludf.DUMMYFUNCTION("""COMPUTED_VALUE"""),"GUAYAS")</f>
        <v>GUAYAS</v>
      </c>
      <c r="N500" s="65" t="str">
        <f>IFERROR(__xludf.DUMMYFUNCTION("""COMPUTED_VALUE"""),"GUAYAQUIL")</f>
        <v>GUAYAQUIL</v>
      </c>
      <c r="O500" s="65" t="str">
        <f>IFERROR(__xludf.DUMMYFUNCTION("""COMPUTED_VALUE"""),"Colon y Malecón Bahia Villamil entre Calderón y mejia asociación paquisha local 44 -")</f>
        <v>Colon y Malecón Bahia Villamil entre Calderón y mejia asociación paquisha local 44 -</v>
      </c>
      <c r="P500" s="65"/>
      <c r="Q500" s="65" t="str">
        <f>IFERROR(__xludf.DUMMYFUNCTION("""COMPUTED_VALUE"""),"GINTRACOM")</f>
        <v>GINTRACOM</v>
      </c>
      <c r="R500" s="65">
        <f>IFERROR(__xludf.DUMMYFUNCTION("""COMPUTED_VALUE"""),22.0)</f>
        <v>22</v>
      </c>
      <c r="S500" s="65">
        <f>IFERROR(__xludf.DUMMYFUNCTION("""COMPUTED_VALUE"""),8.66)</f>
        <v>8.66</v>
      </c>
      <c r="T500" s="65">
        <f>IFERROR(__xludf.DUMMYFUNCTION("""COMPUTED_VALUE"""),5.84)</f>
        <v>5.84</v>
      </c>
      <c r="U500" s="65">
        <f>IFERROR(__xludf.DUMMYFUNCTION("""COMPUTED_VALUE"""),0.0)</f>
        <v>0</v>
      </c>
      <c r="V500" s="65">
        <f>IFERROR(__xludf.DUMMYFUNCTION("""COMPUTED_VALUE"""),0.0)</f>
        <v>0</v>
      </c>
      <c r="W500" s="65">
        <f>IFERROR(__xludf.DUMMYFUNCTION("""COMPUTED_VALUE"""),0.0)</f>
        <v>0</v>
      </c>
      <c r="X500" s="65">
        <f>IFERROR(__xludf.DUMMYFUNCTION("""COMPUTED_VALUE"""),3.75)</f>
        <v>3.75</v>
      </c>
      <c r="Y500" s="65">
        <f>IFERROR(__xludf.DUMMYFUNCTION("""COMPUTED_VALUE"""),7.5)</f>
        <v>7.5</v>
      </c>
      <c r="Z500" s="65">
        <f>IFERROR(__xludf.DUMMYFUNCTION("""COMPUTED_VALUE"""),113116.0)</f>
        <v>113116</v>
      </c>
      <c r="AA500" s="65" t="str">
        <f>IFERROR(__xludf.DUMMYFUNCTION("""COMPUTED_VALUE"""),"IM-TAZAKI")</f>
        <v>IM-TAZAKI</v>
      </c>
      <c r="AB500" s="65"/>
      <c r="AC500" s="65" t="str">
        <f>IFERROR(__xludf.DUMMYFUNCTION("""COMPUTED_VALUE"""),"Cuchillo tazaki")</f>
        <v>Cuchillo tazaki</v>
      </c>
      <c r="AD500" s="65"/>
      <c r="AE500" s="65">
        <f>IFERROR(__xludf.DUMMYFUNCTION("""COMPUTED_VALUE"""),2.0)</f>
        <v>2</v>
      </c>
      <c r="AF500" s="65"/>
      <c r="AG500" s="65"/>
      <c r="AH500" s="65"/>
      <c r="AI500" s="65"/>
      <c r="AJ500" s="65"/>
      <c r="AK500" s="65"/>
      <c r="AL500" s="65"/>
      <c r="AM500" s="65"/>
      <c r="AN500" s="65" t="str">
        <f>IFERROR(__xludf.DUMMYFUNCTION("""COMPUTED_VALUE"""),"14:02")</f>
        <v>14:02</v>
      </c>
      <c r="AO500" s="65" t="str">
        <f>IFERROR(__xludf.DUMMYFUNCTION("""COMPUTED_VALUE"""),"02-03-2026")</f>
        <v>02-03-2026</v>
      </c>
      <c r="AP500" s="65" t="str">
        <f>IFERROR(__xludf.DUMMYFUNCTION("""COMPUTED_VALUE"""),"ENTREGADA GINTRACOM")</f>
        <v>ENTREGADA GINTRACOM</v>
      </c>
      <c r="AQ500" s="65" t="str">
        <f>IFERROR(__xludf.DUMMYFUNCTION("""COMPUTED_VALUE"""),"ENTREGADA GINTRACOM")</f>
        <v>ENTREGADA GINTRACOM</v>
      </c>
      <c r="AR500" s="65"/>
      <c r="AS500" s="65"/>
      <c r="AT500" s="65" t="str">
        <f>IFERROR(__xludf.DUMMYFUNCTION("""COMPUTED_VALUE"""),"SHOPIFY")</f>
        <v>SHOPIFY</v>
      </c>
      <c r="AU500" s="65" t="str">
        <f>IFERROR(__xludf.DUMMYFUNCTION("""COMPUTED_VALUE"""),"IMPORTEX EC")</f>
        <v>IMPORTEX EC</v>
      </c>
      <c r="AV500" s="65" t="str">
        <f>IFERROR(__xludf.DUMMYFUNCTION("""COMPUTED_VALUE"""),"6543421767724")</f>
        <v>6543421767724</v>
      </c>
      <c r="AW500" s="65">
        <f>IFERROR(__xludf.DUMMYFUNCTION("""COMPUTED_VALUE"""),6374.0)</f>
        <v>6374</v>
      </c>
      <c r="AX500" s="65"/>
      <c r="AY500" s="65" t="str">
        <f>IFERROR(__xludf.DUMMYFUNCTION("""COMPUTED_VALUE"""),"28/02/2026")</f>
        <v>28/02/2026</v>
      </c>
      <c r="AZ500" s="65"/>
      <c r="BA500" s="65"/>
    </row>
    <row r="501">
      <c r="A501" s="65" t="str">
        <f>IFERROR(__xludf.DUMMYFUNCTION("""COMPUTED_VALUE"""),"27-03-2026")</f>
        <v>27-03-2026</v>
      </c>
      <c r="B501" s="65">
        <f>IFERROR(__xludf.DUMMYFUNCTION("""COMPUTED_VALUE"""),4638809.0)</f>
        <v>4638809</v>
      </c>
      <c r="C501" s="65" t="str">
        <f>IFERROR(__xludf.DUMMYFUNCTION("""COMPUTED_VALUE"""),"02:35")</f>
        <v>02:35</v>
      </c>
      <c r="D501" s="65" t="str">
        <f>IFERROR(__xludf.DUMMYFUNCTION("""COMPUTED_VALUE"""),"27-02-2026")</f>
        <v>27-02-2026</v>
      </c>
      <c r="E501" s="65" t="str">
        <f>IFERROR(__xludf.DUMMYFUNCTION("""COMPUTED_VALUE"""),"Jaime Ramiro Mariscal Tusa")</f>
        <v>Jaime Ramiro Mariscal Tusa</v>
      </c>
      <c r="F501" s="65" t="str">
        <f>IFERROR(__xludf.DUMMYFUNCTION("""COMPUTED_VALUE"""),"997910449")</f>
        <v>997910449</v>
      </c>
      <c r="G501" s="65" t="str">
        <f>IFERROR(__xludf.DUMMYFUNCTION("""COMPUTED_VALUE"""),"jmariscalucentral@hotmail.com")</f>
        <v>jmariscalucentral@hotmail.com</v>
      </c>
      <c r="H501" s="65"/>
      <c r="I501" s="65"/>
      <c r="J501" s="65" t="str">
        <f>IFERROR(__xludf.DUMMYFUNCTION("""COMPUTED_VALUE"""),"D001367528")</f>
        <v>D001367528</v>
      </c>
      <c r="K501" s="65" t="str">
        <f>IFERROR(__xludf.DUMMYFUNCTION("""COMPUTED_VALUE"""),"ENTREGADO")</f>
        <v>ENTREGADO</v>
      </c>
      <c r="L501" s="65" t="str">
        <f>IFERROR(__xludf.DUMMYFUNCTION("""COMPUTED_VALUE"""),"CON RECAUDO")</f>
        <v>CON RECAUDO</v>
      </c>
      <c r="M501" s="65" t="str">
        <f>IFERROR(__xludf.DUMMYFUNCTION("""COMPUTED_VALUE"""),"PICHINCHA")</f>
        <v>PICHINCHA</v>
      </c>
      <c r="N501" s="65" t="str">
        <f>IFERROR(__xludf.DUMMYFUNCTION("""COMPUTED_VALUE"""),"PINTAG")</f>
        <v>PINTAG</v>
      </c>
      <c r="O501" s="65" t="str">
        <f>IFERROR(__xludf.DUMMYFUNCTION("""COMPUTED_VALUE"""),"Av general Enriquez local umco.- A LA  ALTURA DEL SAN LUIS")</f>
        <v>Av general Enriquez local umco.- A LA  ALTURA DEL SAN LUIS</v>
      </c>
      <c r="P501" s="65"/>
      <c r="Q501" s="65" t="str">
        <f>IFERROR(__xludf.DUMMYFUNCTION("""COMPUTED_VALUE"""),"GINTRACOM")</f>
        <v>GINTRACOM</v>
      </c>
      <c r="R501" s="65">
        <f>IFERROR(__xludf.DUMMYFUNCTION("""COMPUTED_VALUE"""),32.0)</f>
        <v>32</v>
      </c>
      <c r="S501" s="65">
        <f>IFERROR(__xludf.DUMMYFUNCTION("""COMPUTED_VALUE"""),11.8)</f>
        <v>11.8</v>
      </c>
      <c r="T501" s="65">
        <f>IFERROR(__xludf.DUMMYFUNCTION("""COMPUTED_VALUE"""),5.2)</f>
        <v>5.2</v>
      </c>
      <c r="U501" s="65">
        <f>IFERROR(__xludf.DUMMYFUNCTION("""COMPUTED_VALUE"""),0.0)</f>
        <v>0</v>
      </c>
      <c r="V501" s="65">
        <f>IFERROR(__xludf.DUMMYFUNCTION("""COMPUTED_VALUE"""),0.0)</f>
        <v>0</v>
      </c>
      <c r="W501" s="65">
        <f>IFERROR(__xludf.DUMMYFUNCTION("""COMPUTED_VALUE"""),0.0)</f>
        <v>0</v>
      </c>
      <c r="X501" s="65">
        <f>IFERROR(__xludf.DUMMYFUNCTION("""COMPUTED_VALUE"""),3.75)</f>
        <v>3.75</v>
      </c>
      <c r="Y501" s="65">
        <f>IFERROR(__xludf.DUMMYFUNCTION("""COMPUTED_VALUE"""),15.0)</f>
        <v>15</v>
      </c>
      <c r="Z501" s="65">
        <f>IFERROR(__xludf.DUMMYFUNCTION("""COMPUTED_VALUE"""),113116.0)</f>
        <v>113116</v>
      </c>
      <c r="AA501" s="65" t="str">
        <f>IFERROR(__xludf.DUMMYFUNCTION("""COMPUTED_VALUE"""),"IM-TAZAKI")</f>
        <v>IM-TAZAKI</v>
      </c>
      <c r="AB501" s="65"/>
      <c r="AC501" s="65" t="str">
        <f>IFERROR(__xludf.DUMMYFUNCTION("""COMPUTED_VALUE"""),"Cuchillo tazaki")</f>
        <v>Cuchillo tazaki</v>
      </c>
      <c r="AD501" s="65"/>
      <c r="AE501" s="65">
        <f>IFERROR(__xludf.DUMMYFUNCTION("""COMPUTED_VALUE"""),4.0)</f>
        <v>4</v>
      </c>
      <c r="AF501" s="65"/>
      <c r="AG501" s="65"/>
      <c r="AH501" s="65"/>
      <c r="AI501" s="65"/>
      <c r="AJ501" s="65"/>
      <c r="AK501" s="65"/>
      <c r="AL501" s="65"/>
      <c r="AM501" s="65"/>
      <c r="AN501" s="65" t="str">
        <f>IFERROR(__xludf.DUMMYFUNCTION("""COMPUTED_VALUE"""),"08:54")</f>
        <v>08:54</v>
      </c>
      <c r="AO501" s="65" t="str">
        <f>IFERROR(__xludf.DUMMYFUNCTION("""COMPUTED_VALUE"""),"03-03-2026")</f>
        <v>03-03-2026</v>
      </c>
      <c r="AP501" s="65" t="str">
        <f>IFERROR(__xludf.DUMMYFUNCTION("""COMPUTED_VALUE"""),"EN REPARTO")</f>
        <v>EN REPARTO</v>
      </c>
      <c r="AQ501" s="65" t="str">
        <f>IFERROR(__xludf.DUMMYFUNCTION("""COMPUTED_VALUE"""),"EN REPARTO")</f>
        <v>EN REPARTO</v>
      </c>
      <c r="AR501" s="65"/>
      <c r="AS501" s="65"/>
      <c r="AT501" s="65" t="str">
        <f>IFERROR(__xludf.DUMMYFUNCTION("""COMPUTED_VALUE"""),"SHOPIFY")</f>
        <v>SHOPIFY</v>
      </c>
      <c r="AU501" s="65" t="str">
        <f>IFERROR(__xludf.DUMMYFUNCTION("""COMPUTED_VALUE"""),"IMPORTEX EC")</f>
        <v>IMPORTEX EC</v>
      </c>
      <c r="AV501" s="65" t="str">
        <f>IFERROR(__xludf.DUMMYFUNCTION("""COMPUTED_VALUE"""),"6541809352748")</f>
        <v>6541809352748</v>
      </c>
      <c r="AW501" s="65">
        <f>IFERROR(__xludf.DUMMYFUNCTION("""COMPUTED_VALUE"""),6373.0)</f>
        <v>6373</v>
      </c>
      <c r="AX501" s="65"/>
      <c r="AY501" s="65" t="str">
        <f>IFERROR(__xludf.DUMMYFUNCTION("""COMPUTED_VALUE"""),"28/02/2026")</f>
        <v>28/02/2026</v>
      </c>
      <c r="AZ501" s="65"/>
      <c r="BA501" s="65"/>
    </row>
    <row r="502">
      <c r="A502" s="65" t="str">
        <f>IFERROR(__xludf.DUMMYFUNCTION("""COMPUTED_VALUE"""),"27-03-2026")</f>
        <v>27-03-2026</v>
      </c>
      <c r="B502" s="65">
        <f>IFERROR(__xludf.DUMMYFUNCTION("""COMPUTED_VALUE"""),4637906.0)</f>
        <v>4637906</v>
      </c>
      <c r="C502" s="65" t="str">
        <f>IFERROR(__xludf.DUMMYFUNCTION("""COMPUTED_VALUE"""),"23:12")</f>
        <v>23:12</v>
      </c>
      <c r="D502" s="65" t="str">
        <f>IFERROR(__xludf.DUMMYFUNCTION("""COMPUTED_VALUE"""),"26-02-2026")</f>
        <v>26-02-2026</v>
      </c>
      <c r="E502" s="65" t="str">
        <f>IFERROR(__xludf.DUMMYFUNCTION("""COMPUTED_VALUE"""),"Magaly Campoverde")</f>
        <v>Magaly Campoverde</v>
      </c>
      <c r="F502" s="65" t="str">
        <f>IFERROR(__xludf.DUMMYFUNCTION("""COMPUTED_VALUE"""),"992741662")</f>
        <v>992741662</v>
      </c>
      <c r="G502" s="65" t="str">
        <f>IFERROR(__xludf.DUMMYFUNCTION("""COMPUTED_VALUE"""),"magaly31@gmiel.com")</f>
        <v>magaly31@gmiel.com</v>
      </c>
      <c r="H502" s="65"/>
      <c r="I502" s="65"/>
      <c r="J502" s="65"/>
      <c r="K502" s="65" t="str">
        <f>IFERROR(__xludf.DUMMYFUNCTION("""COMPUTED_VALUE"""),"CANCELADO")</f>
        <v>CANCELADO</v>
      </c>
      <c r="L502" s="65" t="str">
        <f>IFERROR(__xludf.DUMMYFUNCTION("""COMPUTED_VALUE"""),"CON RECAUDO")</f>
        <v>CON RECAUDO</v>
      </c>
      <c r="M502" s="65" t="str">
        <f>IFERROR(__xludf.DUMMYFUNCTION("""COMPUTED_VALUE"""),"SUCUMBIOS")</f>
        <v>SUCUMBIOS</v>
      </c>
      <c r="N502" s="65" t="str">
        <f>IFERROR(__xludf.DUMMYFUNCTION("""COMPUTED_VALUE"""),"LAGO AGRIO")</f>
        <v>LAGO AGRIO</v>
      </c>
      <c r="O502" s="65" t="str">
        <f>IFERROR(__xludf.DUMMYFUNCTION("""COMPUTED_VALUE"""),"petrolera y Vicente narvaez")</f>
        <v>petrolera y Vicente narvaez</v>
      </c>
      <c r="P502" s="65" t="str">
        <f>IFERROR(__xludf.DUMMYFUNCTION("""COMPUTED_VALUE"""),"ESPONJA ANTILLUVIA DE PARABRISAS: Default Title ***")</f>
        <v>ESPONJA ANTILLUVIA DE PARABRISAS: Default Title ***</v>
      </c>
      <c r="Q502" s="65" t="str">
        <f>IFERROR(__xludf.DUMMYFUNCTION("""COMPUTED_VALUE"""),"GINTRACOM")</f>
        <v>GINTRACOM</v>
      </c>
      <c r="R502" s="65">
        <f>IFERROR(__xludf.DUMMYFUNCTION("""COMPUTED_VALUE"""),20.0)</f>
        <v>20</v>
      </c>
      <c r="S502" s="65"/>
      <c r="T502" s="65">
        <f>IFERROR(__xludf.DUMMYFUNCTION("""COMPUTED_VALUE"""),5.76)</f>
        <v>5.76</v>
      </c>
      <c r="U502" s="65">
        <f>IFERROR(__xludf.DUMMYFUNCTION("""COMPUTED_VALUE"""),0.0)</f>
        <v>0</v>
      </c>
      <c r="V502" s="65">
        <f>IFERROR(__xludf.DUMMYFUNCTION("""COMPUTED_VALUE"""),0.0)</f>
        <v>0</v>
      </c>
      <c r="W502" s="65">
        <f>IFERROR(__xludf.DUMMYFUNCTION("""COMPUTED_VALUE"""),0.0)</f>
        <v>0</v>
      </c>
      <c r="X502" s="65">
        <f>IFERROR(__xludf.DUMMYFUNCTION("""COMPUTED_VALUE"""),2.35)</f>
        <v>2.35</v>
      </c>
      <c r="Y502" s="65">
        <f>IFERROR(__xludf.DUMMYFUNCTION("""COMPUTED_VALUE"""),2.35)</f>
        <v>2.35</v>
      </c>
      <c r="Z502" s="65">
        <f>IFERROR(__xludf.DUMMYFUNCTION("""COMPUTED_VALUE"""),116679.0)</f>
        <v>116679</v>
      </c>
      <c r="AA502" s="65" t="str">
        <f>IFERROR(__xludf.DUMMYFUNCTION("""COMPUTED_VALUE"""),"AMC-2738")</f>
        <v>AMC-2738</v>
      </c>
      <c r="AB502" s="65"/>
      <c r="AC502" s="65" t="str">
        <f>IFERROR(__xludf.DUMMYFUNCTION("""COMPUTED_VALUE"""),"ESPONJA ANTILLUVIA DE PARABRISAS")</f>
        <v>ESPONJA ANTILLUVIA DE PARABRISAS</v>
      </c>
      <c r="AD502" s="65"/>
      <c r="AE502" s="65">
        <f>IFERROR(__xludf.DUMMYFUNCTION("""COMPUTED_VALUE"""),1.0)</f>
        <v>1</v>
      </c>
      <c r="AF502" s="65"/>
      <c r="AG502" s="65"/>
      <c r="AH502" s="65"/>
      <c r="AI502" s="65"/>
      <c r="AJ502" s="65"/>
      <c r="AK502" s="65"/>
      <c r="AL502" s="65"/>
      <c r="AM502" s="65"/>
      <c r="AN502" s="65"/>
      <c r="AO502" s="65"/>
      <c r="AP502" s="65"/>
      <c r="AQ502" s="65"/>
      <c r="AR502" s="65"/>
      <c r="AS502" s="65"/>
      <c r="AT502" s="65" t="str">
        <f>IFERROR(__xludf.DUMMYFUNCTION("""COMPUTED_VALUE"""),"SHOPIFY")</f>
        <v>SHOPIFY</v>
      </c>
      <c r="AU502" s="65" t="str">
        <f>IFERROR(__xludf.DUMMYFUNCTION("""COMPUTED_VALUE"""),"IMPORTEX EC")</f>
        <v>IMPORTEX EC</v>
      </c>
      <c r="AV502" s="65" t="str">
        <f>IFERROR(__xludf.DUMMYFUNCTION("""COMPUTED_VALUE"""),"6540502073388")</f>
        <v>6540502073388</v>
      </c>
      <c r="AW502" s="65">
        <f>IFERROR(__xludf.DUMMYFUNCTION("""COMPUTED_VALUE"""),6370.0)</f>
        <v>6370</v>
      </c>
      <c r="AX502" s="65"/>
      <c r="AY502" s="65"/>
      <c r="AZ502" s="65"/>
      <c r="BA502" s="65"/>
    </row>
    <row r="503">
      <c r="A503" s="65" t="str">
        <f>IFERROR(__xludf.DUMMYFUNCTION("""COMPUTED_VALUE"""),"27-03-2026")</f>
        <v>27-03-2026</v>
      </c>
      <c r="B503" s="65">
        <f>IFERROR(__xludf.DUMMYFUNCTION("""COMPUTED_VALUE"""),4637903.0)</f>
        <v>4637903</v>
      </c>
      <c r="C503" s="65" t="str">
        <f>IFERROR(__xludf.DUMMYFUNCTION("""COMPUTED_VALUE"""),"23:12")</f>
        <v>23:12</v>
      </c>
      <c r="D503" s="65" t="str">
        <f>IFERROR(__xludf.DUMMYFUNCTION("""COMPUTED_VALUE"""),"26-02-2026")</f>
        <v>26-02-2026</v>
      </c>
      <c r="E503" s="65" t="str">
        <f>IFERROR(__xludf.DUMMYFUNCTION("""COMPUTED_VALUE"""),"Vicente Troya troya")</f>
        <v>Vicente Troya troya</v>
      </c>
      <c r="F503" s="65" t="str">
        <f>IFERROR(__xludf.DUMMYFUNCTION("""COMPUTED_VALUE"""),"984217578")</f>
        <v>984217578</v>
      </c>
      <c r="G503" s="65" t="str">
        <f>IFERROR(__xludf.DUMMYFUNCTION("""COMPUTED_VALUE"""),"vichetroy@hotmail.com")</f>
        <v>vichetroy@hotmail.com</v>
      </c>
      <c r="H503" s="65"/>
      <c r="I503" s="65"/>
      <c r="J503" s="65"/>
      <c r="K503" s="65" t="str">
        <f>IFERROR(__xludf.DUMMYFUNCTION("""COMPUTED_VALUE"""),"PENDIENTE CONFIRMACION")</f>
        <v>PENDIENTE CONFIRMACION</v>
      </c>
      <c r="L503" s="65" t="str">
        <f>IFERROR(__xludf.DUMMYFUNCTION("""COMPUTED_VALUE"""),"CON RECAUDO")</f>
        <v>CON RECAUDO</v>
      </c>
      <c r="M503" s="65" t="str">
        <f>IFERROR(__xludf.DUMMYFUNCTION("""COMPUTED_VALUE"""),"PICHINCHA")</f>
        <v>PICHINCHA</v>
      </c>
      <c r="N503" s="65" t="str">
        <f>IFERROR(__xludf.DUMMYFUNCTION("""COMPUTED_VALUE"""),"QUITO")</f>
        <v>QUITO</v>
      </c>
      <c r="O503" s="65" t="str">
        <f>IFERROR(__xludf.DUMMYFUNCTION("""COMPUTED_VALUE"""),"Carlos polit E20-49 Monjas jardín del valle -")</f>
        <v>Carlos polit E20-49 Monjas jardín del valle -</v>
      </c>
      <c r="P503" s="65"/>
      <c r="Q503" s="65" t="str">
        <f>IFERROR(__xludf.DUMMYFUNCTION("""COMPUTED_VALUE"""),"GINTRACOM")</f>
        <v>GINTRACOM</v>
      </c>
      <c r="R503" s="65">
        <f>IFERROR(__xludf.DUMMYFUNCTION("""COMPUTED_VALUE"""),22.0)</f>
        <v>22</v>
      </c>
      <c r="S503" s="65"/>
      <c r="T503" s="65">
        <f>IFERROR(__xludf.DUMMYFUNCTION("""COMPUTED_VALUE"""),4.23)</f>
        <v>4.23</v>
      </c>
      <c r="U503" s="65">
        <f>IFERROR(__xludf.DUMMYFUNCTION("""COMPUTED_VALUE"""),0.0)</f>
        <v>0</v>
      </c>
      <c r="V503" s="65">
        <f>IFERROR(__xludf.DUMMYFUNCTION("""COMPUTED_VALUE"""),0.0)</f>
        <v>0</v>
      </c>
      <c r="W503" s="65">
        <f>IFERROR(__xludf.DUMMYFUNCTION("""COMPUTED_VALUE"""),0.0)</f>
        <v>0</v>
      </c>
      <c r="X503" s="65">
        <f>IFERROR(__xludf.DUMMYFUNCTION("""COMPUTED_VALUE"""),3.75)</f>
        <v>3.75</v>
      </c>
      <c r="Y503" s="65">
        <f>IFERROR(__xludf.DUMMYFUNCTION("""COMPUTED_VALUE"""),7.5)</f>
        <v>7.5</v>
      </c>
      <c r="Z503" s="65">
        <f>IFERROR(__xludf.DUMMYFUNCTION("""COMPUTED_VALUE"""),113116.0)</f>
        <v>113116</v>
      </c>
      <c r="AA503" s="65" t="str">
        <f>IFERROR(__xludf.DUMMYFUNCTION("""COMPUTED_VALUE"""),"IM-TAZAKI")</f>
        <v>IM-TAZAKI</v>
      </c>
      <c r="AB503" s="65"/>
      <c r="AC503" s="65" t="str">
        <f>IFERROR(__xludf.DUMMYFUNCTION("""COMPUTED_VALUE"""),"Cuchillo tazaki")</f>
        <v>Cuchillo tazaki</v>
      </c>
      <c r="AD503" s="65"/>
      <c r="AE503" s="65">
        <f>IFERROR(__xludf.DUMMYFUNCTION("""COMPUTED_VALUE"""),2.0)</f>
        <v>2</v>
      </c>
      <c r="AF503" s="65"/>
      <c r="AG503" s="65"/>
      <c r="AH503" s="65"/>
      <c r="AI503" s="65"/>
      <c r="AJ503" s="65"/>
      <c r="AK503" s="65"/>
      <c r="AL503" s="65"/>
      <c r="AM503" s="65"/>
      <c r="AN503" s="65"/>
      <c r="AO503" s="65"/>
      <c r="AP503" s="65"/>
      <c r="AQ503" s="65"/>
      <c r="AR503" s="65"/>
      <c r="AS503" s="65"/>
      <c r="AT503" s="65" t="str">
        <f>IFERROR(__xludf.DUMMYFUNCTION("""COMPUTED_VALUE"""),"SHOPIFY")</f>
        <v>SHOPIFY</v>
      </c>
      <c r="AU503" s="65" t="str">
        <f>IFERROR(__xludf.DUMMYFUNCTION("""COMPUTED_VALUE"""),"IMPORTEX EC")</f>
        <v>IMPORTEX EC</v>
      </c>
      <c r="AV503" s="65" t="str">
        <f>IFERROR(__xludf.DUMMYFUNCTION("""COMPUTED_VALUE"""),"6540509380652")</f>
        <v>6540509380652</v>
      </c>
      <c r="AW503" s="65">
        <f>IFERROR(__xludf.DUMMYFUNCTION("""COMPUTED_VALUE"""),6371.0)</f>
        <v>6371</v>
      </c>
      <c r="AX503" s="65"/>
      <c r="AY503" s="65"/>
      <c r="AZ503" s="65"/>
      <c r="BA503" s="65"/>
    </row>
    <row r="504">
      <c r="A504" s="65" t="str">
        <f>IFERROR(__xludf.DUMMYFUNCTION("""COMPUTED_VALUE"""),"27-03-2026")</f>
        <v>27-03-2026</v>
      </c>
      <c r="B504" s="65">
        <f>IFERROR(__xludf.DUMMYFUNCTION("""COMPUTED_VALUE"""),4637818.0)</f>
        <v>4637818</v>
      </c>
      <c r="C504" s="65" t="str">
        <f>IFERROR(__xludf.DUMMYFUNCTION("""COMPUTED_VALUE"""),"23:05")</f>
        <v>23:05</v>
      </c>
      <c r="D504" s="65" t="str">
        <f>IFERROR(__xludf.DUMMYFUNCTION("""COMPUTED_VALUE"""),"26-02-2026")</f>
        <v>26-02-2026</v>
      </c>
      <c r="E504" s="65" t="str">
        <f>IFERROR(__xludf.DUMMYFUNCTION("""COMPUTED_VALUE"""),"Jose Pesantez Farfan Pesantez Farfàn")</f>
        <v>Jose Pesantez Farfan Pesantez Farfàn</v>
      </c>
      <c r="F504" s="65" t="str">
        <f>IFERROR(__xludf.DUMMYFUNCTION("""COMPUTED_VALUE"""),"998055678")</f>
        <v>998055678</v>
      </c>
      <c r="G504" s="65" t="str">
        <f>IFERROR(__xludf.DUMMYFUNCTION("""COMPUTED_VALUE"""),"drjosepesantezfarfan@hotmail.com")</f>
        <v>drjosepesantezfarfan@hotmail.com</v>
      </c>
      <c r="H504" s="65"/>
      <c r="I504" s="65"/>
      <c r="J504" s="65"/>
      <c r="K504" s="65" t="str">
        <f>IFERROR(__xludf.DUMMYFUNCTION("""COMPUTED_VALUE"""),"PENDIENTE CONFIRMACION")</f>
        <v>PENDIENTE CONFIRMACION</v>
      </c>
      <c r="L504" s="65" t="str">
        <f>IFERROR(__xludf.DUMMYFUNCTION("""COMPUTED_VALUE"""),"CON RECAUDO")</f>
        <v>CON RECAUDO</v>
      </c>
      <c r="M504" s="65" t="str">
        <f>IFERROR(__xludf.DUMMYFUNCTION("""COMPUTED_VALUE"""),"AZUAY")</f>
        <v>AZUAY</v>
      </c>
      <c r="N504" s="65" t="str">
        <f>IFERROR(__xludf.DUMMYFUNCTION("""COMPUTED_VALUE"""),"CUENCA")</f>
        <v>CUENCA</v>
      </c>
      <c r="O504" s="65" t="str">
        <f>IFERROR(__xludf.DUMMYFUNCTION("""COMPUTED_VALUE"""),"Gran Colombia 567 y Hermano Miguel Frente al parqueadero Pùblico -")</f>
        <v>Gran Colombia 567 y Hermano Miguel Frente al parqueadero Pùblico -</v>
      </c>
      <c r="P504" s="65"/>
      <c r="Q504" s="65" t="str">
        <f>IFERROR(__xludf.DUMMYFUNCTION("""COMPUTED_VALUE"""),"GINTRACOM")</f>
        <v>GINTRACOM</v>
      </c>
      <c r="R504" s="65">
        <f>IFERROR(__xludf.DUMMYFUNCTION("""COMPUTED_VALUE"""),22.0)</f>
        <v>22</v>
      </c>
      <c r="S504" s="65"/>
      <c r="T504" s="65">
        <f>IFERROR(__xludf.DUMMYFUNCTION("""COMPUTED_VALUE"""),5.84)</f>
        <v>5.84</v>
      </c>
      <c r="U504" s="65">
        <f>IFERROR(__xludf.DUMMYFUNCTION("""COMPUTED_VALUE"""),0.0)</f>
        <v>0</v>
      </c>
      <c r="V504" s="65">
        <f>IFERROR(__xludf.DUMMYFUNCTION("""COMPUTED_VALUE"""),0.0)</f>
        <v>0</v>
      </c>
      <c r="W504" s="65">
        <f>IFERROR(__xludf.DUMMYFUNCTION("""COMPUTED_VALUE"""),0.0)</f>
        <v>0</v>
      </c>
      <c r="X504" s="65">
        <f>IFERROR(__xludf.DUMMYFUNCTION("""COMPUTED_VALUE"""),3.75)</f>
        <v>3.75</v>
      </c>
      <c r="Y504" s="65">
        <f>IFERROR(__xludf.DUMMYFUNCTION("""COMPUTED_VALUE"""),7.5)</f>
        <v>7.5</v>
      </c>
      <c r="Z504" s="65">
        <f>IFERROR(__xludf.DUMMYFUNCTION("""COMPUTED_VALUE"""),113116.0)</f>
        <v>113116</v>
      </c>
      <c r="AA504" s="65" t="str">
        <f>IFERROR(__xludf.DUMMYFUNCTION("""COMPUTED_VALUE"""),"IM-TAZAKI")</f>
        <v>IM-TAZAKI</v>
      </c>
      <c r="AB504" s="65"/>
      <c r="AC504" s="65" t="str">
        <f>IFERROR(__xludf.DUMMYFUNCTION("""COMPUTED_VALUE"""),"Cuchillo tazaki")</f>
        <v>Cuchillo tazaki</v>
      </c>
      <c r="AD504" s="65"/>
      <c r="AE504" s="65">
        <f>IFERROR(__xludf.DUMMYFUNCTION("""COMPUTED_VALUE"""),2.0)</f>
        <v>2</v>
      </c>
      <c r="AF504" s="65"/>
      <c r="AG504" s="65"/>
      <c r="AH504" s="65"/>
      <c r="AI504" s="65"/>
      <c r="AJ504" s="65"/>
      <c r="AK504" s="65"/>
      <c r="AL504" s="65"/>
      <c r="AM504" s="65"/>
      <c r="AN504" s="65"/>
      <c r="AO504" s="65"/>
      <c r="AP504" s="65"/>
      <c r="AQ504" s="65"/>
      <c r="AR504" s="65"/>
      <c r="AS504" s="65"/>
      <c r="AT504" s="65" t="str">
        <f>IFERROR(__xludf.DUMMYFUNCTION("""COMPUTED_VALUE"""),"SHOPIFY")</f>
        <v>SHOPIFY</v>
      </c>
      <c r="AU504" s="65" t="str">
        <f>IFERROR(__xludf.DUMMYFUNCTION("""COMPUTED_VALUE"""),"IMPORTEX EC")</f>
        <v>IMPORTEX EC</v>
      </c>
      <c r="AV504" s="65" t="str">
        <f>IFERROR(__xludf.DUMMYFUNCTION("""COMPUTED_VALUE"""),"6540454133804")</f>
        <v>6540454133804</v>
      </c>
      <c r="AW504" s="65">
        <f>IFERROR(__xludf.DUMMYFUNCTION("""COMPUTED_VALUE"""),6369.0)</f>
        <v>6369</v>
      </c>
      <c r="AX504" s="65"/>
      <c r="AY504" s="65"/>
      <c r="AZ504" s="65"/>
      <c r="BA504" s="65"/>
    </row>
    <row r="505">
      <c r="A505" s="65" t="str">
        <f>IFERROR(__xludf.DUMMYFUNCTION("""COMPUTED_VALUE"""),"27-03-2026")</f>
        <v>27-03-2026</v>
      </c>
      <c r="B505" s="65">
        <f>IFERROR(__xludf.DUMMYFUNCTION("""COMPUTED_VALUE"""),4637135.0)</f>
        <v>4637135</v>
      </c>
      <c r="C505" s="65" t="str">
        <f>IFERROR(__xludf.DUMMYFUNCTION("""COMPUTED_VALUE"""),"21:58")</f>
        <v>21:58</v>
      </c>
      <c r="D505" s="65" t="str">
        <f>IFERROR(__xludf.DUMMYFUNCTION("""COMPUTED_VALUE"""),"26-02-2026")</f>
        <v>26-02-2026</v>
      </c>
      <c r="E505" s="65" t="str">
        <f>IFERROR(__xludf.DUMMYFUNCTION("""COMPUTED_VALUE"""),"Fernando Paz")</f>
        <v>Fernando Paz</v>
      </c>
      <c r="F505" s="65" t="str">
        <f>IFERROR(__xludf.DUMMYFUNCTION("""COMPUTED_VALUE"""),"994208302")</f>
        <v>994208302</v>
      </c>
      <c r="G505" s="65" t="str">
        <f>IFERROR(__xludf.DUMMYFUNCTION("""COMPUTED_VALUE"""),"dr.fherpaz@hotmail.com")</f>
        <v>dr.fherpaz@hotmail.com</v>
      </c>
      <c r="H505" s="65"/>
      <c r="I505" s="65"/>
      <c r="J505" s="65"/>
      <c r="K505" s="65" t="str">
        <f>IFERROR(__xludf.DUMMYFUNCTION("""COMPUTED_VALUE"""),"PENDIENTE CONFIRMACION")</f>
        <v>PENDIENTE CONFIRMACION</v>
      </c>
      <c r="L505" s="65" t="str">
        <f>IFERROR(__xludf.DUMMYFUNCTION("""COMPUTED_VALUE"""),"CON RECAUDO")</f>
        <v>CON RECAUDO</v>
      </c>
      <c r="M505" s="65" t="str">
        <f>IFERROR(__xludf.DUMMYFUNCTION("""COMPUTED_VALUE"""),"PICHINCHA")</f>
        <v>PICHINCHA</v>
      </c>
      <c r="N505" s="65" t="str">
        <f>IFERROR(__xludf.DUMMYFUNCTION("""COMPUTED_VALUE"""),"QUITO")</f>
        <v>QUITO</v>
      </c>
      <c r="O505" s="65" t="str">
        <f>IFERROR(__xludf.DUMMYFUNCTION("""COMPUTED_VALUE"""),"Av. 12 de Octubre y Pasaje Nicolas Jimenez -")</f>
        <v>Av. 12 de Octubre y Pasaje Nicolas Jimenez -</v>
      </c>
      <c r="P505" s="65"/>
      <c r="Q505" s="65" t="str">
        <f>IFERROR(__xludf.DUMMYFUNCTION("""COMPUTED_VALUE"""),"GINTRACOM")</f>
        <v>GINTRACOM</v>
      </c>
      <c r="R505" s="65">
        <f>IFERROR(__xludf.DUMMYFUNCTION("""COMPUTED_VALUE"""),22.0)</f>
        <v>22</v>
      </c>
      <c r="S505" s="65"/>
      <c r="T505" s="65">
        <f>IFERROR(__xludf.DUMMYFUNCTION("""COMPUTED_VALUE"""),4.23)</f>
        <v>4.23</v>
      </c>
      <c r="U505" s="65">
        <f>IFERROR(__xludf.DUMMYFUNCTION("""COMPUTED_VALUE"""),0.0)</f>
        <v>0</v>
      </c>
      <c r="V505" s="65">
        <f>IFERROR(__xludf.DUMMYFUNCTION("""COMPUTED_VALUE"""),0.0)</f>
        <v>0</v>
      </c>
      <c r="W505" s="65">
        <f>IFERROR(__xludf.DUMMYFUNCTION("""COMPUTED_VALUE"""),0.0)</f>
        <v>0</v>
      </c>
      <c r="X505" s="65">
        <f>IFERROR(__xludf.DUMMYFUNCTION("""COMPUTED_VALUE"""),3.75)</f>
        <v>3.75</v>
      </c>
      <c r="Y505" s="65">
        <f>IFERROR(__xludf.DUMMYFUNCTION("""COMPUTED_VALUE"""),7.5)</f>
        <v>7.5</v>
      </c>
      <c r="Z505" s="65">
        <f>IFERROR(__xludf.DUMMYFUNCTION("""COMPUTED_VALUE"""),113116.0)</f>
        <v>113116</v>
      </c>
      <c r="AA505" s="65" t="str">
        <f>IFERROR(__xludf.DUMMYFUNCTION("""COMPUTED_VALUE"""),"IM-TAZAKI")</f>
        <v>IM-TAZAKI</v>
      </c>
      <c r="AB505" s="65"/>
      <c r="AC505" s="65" t="str">
        <f>IFERROR(__xludf.DUMMYFUNCTION("""COMPUTED_VALUE"""),"Cuchillo tazaki")</f>
        <v>Cuchillo tazaki</v>
      </c>
      <c r="AD505" s="65"/>
      <c r="AE505" s="65">
        <f>IFERROR(__xludf.DUMMYFUNCTION("""COMPUTED_VALUE"""),2.0)</f>
        <v>2</v>
      </c>
      <c r="AF505" s="65"/>
      <c r="AG505" s="65"/>
      <c r="AH505" s="65"/>
      <c r="AI505" s="65"/>
      <c r="AJ505" s="65"/>
      <c r="AK505" s="65"/>
      <c r="AL505" s="65"/>
      <c r="AM505" s="65"/>
      <c r="AN505" s="65"/>
      <c r="AO505" s="65"/>
      <c r="AP505" s="65"/>
      <c r="AQ505" s="65"/>
      <c r="AR505" s="65"/>
      <c r="AS505" s="65"/>
      <c r="AT505" s="65" t="str">
        <f>IFERROR(__xludf.DUMMYFUNCTION("""COMPUTED_VALUE"""),"SHOPIFY")</f>
        <v>SHOPIFY</v>
      </c>
      <c r="AU505" s="65" t="str">
        <f>IFERROR(__xludf.DUMMYFUNCTION("""COMPUTED_VALUE"""),"IMPORTEX EC")</f>
        <v>IMPORTEX EC</v>
      </c>
      <c r="AV505" s="65" t="str">
        <f>IFERROR(__xludf.DUMMYFUNCTION("""COMPUTED_VALUE"""),"6539957207084")</f>
        <v>6539957207084</v>
      </c>
      <c r="AW505" s="65">
        <f>IFERROR(__xludf.DUMMYFUNCTION("""COMPUTED_VALUE"""),6367.0)</f>
        <v>6367</v>
      </c>
      <c r="AX505" s="65"/>
      <c r="AY505" s="65"/>
      <c r="AZ505" s="65"/>
      <c r="BA505" s="65"/>
    </row>
    <row r="506">
      <c r="A506" s="65" t="str">
        <f>IFERROR(__xludf.DUMMYFUNCTION("""COMPUTED_VALUE"""),"27-03-2026")</f>
        <v>27-03-2026</v>
      </c>
      <c r="B506" s="65">
        <f>IFERROR(__xludf.DUMMYFUNCTION("""COMPUTED_VALUE"""),4636443.0)</f>
        <v>4636443</v>
      </c>
      <c r="C506" s="65" t="str">
        <f>IFERROR(__xludf.DUMMYFUNCTION("""COMPUTED_VALUE"""),"20:49")</f>
        <v>20:49</v>
      </c>
      <c r="D506" s="65" t="str">
        <f>IFERROR(__xludf.DUMMYFUNCTION("""COMPUTED_VALUE"""),"26-02-2026")</f>
        <v>26-02-2026</v>
      </c>
      <c r="E506" s="65" t="str">
        <f>IFERROR(__xludf.DUMMYFUNCTION("""COMPUTED_VALUE"""),"Jaime Eras")</f>
        <v>Jaime Eras</v>
      </c>
      <c r="F506" s="65" t="str">
        <f>IFERROR(__xludf.DUMMYFUNCTION("""COMPUTED_VALUE"""),"999678519")</f>
        <v>999678519</v>
      </c>
      <c r="G506" s="65" t="str">
        <f>IFERROR(__xludf.DUMMYFUNCTION("""COMPUTED_VALUE"""),"jaimeeras1973@gimail.com")</f>
        <v>jaimeeras1973@gimail.com</v>
      </c>
      <c r="H506" s="65"/>
      <c r="I506" s="65"/>
      <c r="J506" s="65"/>
      <c r="K506" s="65" t="str">
        <f>IFERROR(__xludf.DUMMYFUNCTION("""COMPUTED_VALUE"""),"CANCELADO")</f>
        <v>CANCELADO</v>
      </c>
      <c r="L506" s="65" t="str">
        <f>IFERROR(__xludf.DUMMYFUNCTION("""COMPUTED_VALUE"""),"CON RECAUDO")</f>
        <v>CON RECAUDO</v>
      </c>
      <c r="M506" s="65" t="str">
        <f>IFERROR(__xludf.DUMMYFUNCTION("""COMPUTED_VALUE"""),"MORONA SANTIAGO")</f>
        <v>MORONA SANTIAGO</v>
      </c>
      <c r="N506" s="65" t="str">
        <f>IFERROR(__xludf.DUMMYFUNCTION("""COMPUTED_VALUE"""),"GUALAQUIZA")</f>
        <v>GUALAQUIZA</v>
      </c>
      <c r="O506" s="65" t="str">
        <f>IFERROR(__xludf.DUMMYFUNCTION("""COMPUTED_VALUE"""),"Calle centra Servientrega -")</f>
        <v>Calle centra Servientrega -</v>
      </c>
      <c r="P506" s="65"/>
      <c r="Q506" s="65" t="str">
        <f>IFERROR(__xludf.DUMMYFUNCTION("""COMPUTED_VALUE"""),"LAARCOURIER")</f>
        <v>LAARCOURIER</v>
      </c>
      <c r="R506" s="65">
        <f>IFERROR(__xludf.DUMMYFUNCTION("""COMPUTED_VALUE"""),22.0)</f>
        <v>22</v>
      </c>
      <c r="S506" s="65"/>
      <c r="T506" s="65">
        <f>IFERROR(__xludf.DUMMYFUNCTION("""COMPUTED_VALUE"""),8.16)</f>
        <v>8.16</v>
      </c>
      <c r="U506" s="65">
        <f>IFERROR(__xludf.DUMMYFUNCTION("""COMPUTED_VALUE"""),0.0)</f>
        <v>0</v>
      </c>
      <c r="V506" s="65">
        <f>IFERROR(__xludf.DUMMYFUNCTION("""COMPUTED_VALUE"""),0.0)</f>
        <v>0</v>
      </c>
      <c r="W506" s="65">
        <f>IFERROR(__xludf.DUMMYFUNCTION("""COMPUTED_VALUE"""),0.0)</f>
        <v>0</v>
      </c>
      <c r="X506" s="65">
        <f>IFERROR(__xludf.DUMMYFUNCTION("""COMPUTED_VALUE"""),3.75)</f>
        <v>3.75</v>
      </c>
      <c r="Y506" s="65">
        <f>IFERROR(__xludf.DUMMYFUNCTION("""COMPUTED_VALUE"""),7.5)</f>
        <v>7.5</v>
      </c>
      <c r="Z506" s="65">
        <f>IFERROR(__xludf.DUMMYFUNCTION("""COMPUTED_VALUE"""),113116.0)</f>
        <v>113116</v>
      </c>
      <c r="AA506" s="65" t="str">
        <f>IFERROR(__xludf.DUMMYFUNCTION("""COMPUTED_VALUE"""),"IM-TAZAKI")</f>
        <v>IM-TAZAKI</v>
      </c>
      <c r="AB506" s="65"/>
      <c r="AC506" s="65" t="str">
        <f>IFERROR(__xludf.DUMMYFUNCTION("""COMPUTED_VALUE"""),"Cuchillo tazaki")</f>
        <v>Cuchillo tazaki</v>
      </c>
      <c r="AD506" s="65"/>
      <c r="AE506" s="65">
        <f>IFERROR(__xludf.DUMMYFUNCTION("""COMPUTED_VALUE"""),2.0)</f>
        <v>2</v>
      </c>
      <c r="AF506" s="65"/>
      <c r="AG506" s="65"/>
      <c r="AH506" s="65"/>
      <c r="AI506" s="65"/>
      <c r="AJ506" s="65"/>
      <c r="AK506" s="65"/>
      <c r="AL506" s="65"/>
      <c r="AM506" s="65"/>
      <c r="AN506" s="65"/>
      <c r="AO506" s="65"/>
      <c r="AP506" s="65"/>
      <c r="AQ506" s="65"/>
      <c r="AR506" s="65"/>
      <c r="AS506" s="65"/>
      <c r="AT506" s="65" t="str">
        <f>IFERROR(__xludf.DUMMYFUNCTION("""COMPUTED_VALUE"""),"SHOPIFY")</f>
        <v>SHOPIFY</v>
      </c>
      <c r="AU506" s="65" t="str">
        <f>IFERROR(__xludf.DUMMYFUNCTION("""COMPUTED_VALUE"""),"IMPORTEX EC")</f>
        <v>IMPORTEX EC</v>
      </c>
      <c r="AV506" s="65" t="str">
        <f>IFERROR(__xludf.DUMMYFUNCTION("""COMPUTED_VALUE"""),"6539495145516")</f>
        <v>6539495145516</v>
      </c>
      <c r="AW506" s="65">
        <f>IFERROR(__xludf.DUMMYFUNCTION("""COMPUTED_VALUE"""),6365.0)</f>
        <v>6365</v>
      </c>
      <c r="AX506" s="65"/>
      <c r="AY506" s="65"/>
      <c r="AZ506" s="65"/>
      <c r="BA506" s="65"/>
    </row>
    <row r="507">
      <c r="A507" s="65" t="str">
        <f>IFERROR(__xludf.DUMMYFUNCTION("""COMPUTED_VALUE"""),"27-03-2026")</f>
        <v>27-03-2026</v>
      </c>
      <c r="B507" s="65">
        <f>IFERROR(__xludf.DUMMYFUNCTION("""COMPUTED_VALUE"""),4636393.0)</f>
        <v>4636393</v>
      </c>
      <c r="C507" s="65" t="str">
        <f>IFERROR(__xludf.DUMMYFUNCTION("""COMPUTED_VALUE"""),"20:45")</f>
        <v>20:45</v>
      </c>
      <c r="D507" s="65" t="str">
        <f>IFERROR(__xludf.DUMMYFUNCTION("""COMPUTED_VALUE"""),"26-02-2026")</f>
        <v>26-02-2026</v>
      </c>
      <c r="E507" s="65" t="str">
        <f>IFERROR(__xludf.DUMMYFUNCTION("""COMPUTED_VALUE"""),"Blanca Macías Alarcón")</f>
        <v>Blanca Macías Alarcón</v>
      </c>
      <c r="F507" s="65" t="str">
        <f>IFERROR(__xludf.DUMMYFUNCTION("""COMPUTED_VALUE"""),"967718959")</f>
        <v>967718959</v>
      </c>
      <c r="G507" s="65" t="str">
        <f>IFERROR(__xludf.DUMMYFUNCTION("""COMPUTED_VALUE"""),"bmaciasalarcon@gmail.com")</f>
        <v>bmaciasalarcon@gmail.com</v>
      </c>
      <c r="H507" s="65"/>
      <c r="I507" s="65"/>
      <c r="J507" s="65" t="str">
        <f>IFERROR(__xludf.DUMMYFUNCTION("""COMPUTED_VALUE"""),"D001367533")</f>
        <v>D001367533</v>
      </c>
      <c r="K507" s="65" t="str">
        <f>IFERROR(__xludf.DUMMYFUNCTION("""COMPUTED_VALUE"""),"ENTREGADO")</f>
        <v>ENTREGADO</v>
      </c>
      <c r="L507" s="65" t="str">
        <f>IFERROR(__xludf.DUMMYFUNCTION("""COMPUTED_VALUE"""),"CON RECAUDO")</f>
        <v>CON RECAUDO</v>
      </c>
      <c r="M507" s="65" t="str">
        <f>IFERROR(__xludf.DUMMYFUNCTION("""COMPUTED_VALUE"""),"GUAYAS")</f>
        <v>GUAYAS</v>
      </c>
      <c r="N507" s="65" t="str">
        <f>IFERROR(__xludf.DUMMYFUNCTION("""COMPUTED_VALUE"""),"MILAGRO")</f>
        <v>MILAGRO</v>
      </c>
      <c r="O507" s="65" t="str">
        <f>IFERROR(__xludf.DUMMYFUNCTION("""COMPUTED_VALUE"""),"Ciudadela dajer rio tumbes y cenepa Esquinero -")</f>
        <v>Ciudadela dajer rio tumbes y cenepa Esquinero -</v>
      </c>
      <c r="P507" s="65"/>
      <c r="Q507" s="65" t="str">
        <f>IFERROR(__xludf.DUMMYFUNCTION("""COMPUTED_VALUE"""),"GINTRACOM")</f>
        <v>GINTRACOM</v>
      </c>
      <c r="R507" s="65">
        <f>IFERROR(__xludf.DUMMYFUNCTION("""COMPUTED_VALUE"""),22.0)</f>
        <v>22</v>
      </c>
      <c r="S507" s="65">
        <f>IFERROR(__xludf.DUMMYFUNCTION("""COMPUTED_VALUE"""),8.66)</f>
        <v>8.66</v>
      </c>
      <c r="T507" s="65">
        <f>IFERROR(__xludf.DUMMYFUNCTION("""COMPUTED_VALUE"""),5.84)</f>
        <v>5.84</v>
      </c>
      <c r="U507" s="65">
        <f>IFERROR(__xludf.DUMMYFUNCTION("""COMPUTED_VALUE"""),0.0)</f>
        <v>0</v>
      </c>
      <c r="V507" s="65">
        <f>IFERROR(__xludf.DUMMYFUNCTION("""COMPUTED_VALUE"""),0.0)</f>
        <v>0</v>
      </c>
      <c r="W507" s="65">
        <f>IFERROR(__xludf.DUMMYFUNCTION("""COMPUTED_VALUE"""),0.0)</f>
        <v>0</v>
      </c>
      <c r="X507" s="65">
        <f>IFERROR(__xludf.DUMMYFUNCTION("""COMPUTED_VALUE"""),3.75)</f>
        <v>3.75</v>
      </c>
      <c r="Y507" s="65">
        <f>IFERROR(__xludf.DUMMYFUNCTION("""COMPUTED_VALUE"""),7.5)</f>
        <v>7.5</v>
      </c>
      <c r="Z507" s="65">
        <f>IFERROR(__xludf.DUMMYFUNCTION("""COMPUTED_VALUE"""),113116.0)</f>
        <v>113116</v>
      </c>
      <c r="AA507" s="65" t="str">
        <f>IFERROR(__xludf.DUMMYFUNCTION("""COMPUTED_VALUE"""),"IM-TAZAKI")</f>
        <v>IM-TAZAKI</v>
      </c>
      <c r="AB507" s="65"/>
      <c r="AC507" s="65" t="str">
        <f>IFERROR(__xludf.DUMMYFUNCTION("""COMPUTED_VALUE"""),"Cuchillo tazaki")</f>
        <v>Cuchillo tazaki</v>
      </c>
      <c r="AD507" s="65"/>
      <c r="AE507" s="65">
        <f>IFERROR(__xludf.DUMMYFUNCTION("""COMPUTED_VALUE"""),2.0)</f>
        <v>2</v>
      </c>
      <c r="AF507" s="65"/>
      <c r="AG507" s="65"/>
      <c r="AH507" s="65"/>
      <c r="AI507" s="65"/>
      <c r="AJ507" s="65"/>
      <c r="AK507" s="65"/>
      <c r="AL507" s="65"/>
      <c r="AM507" s="65"/>
      <c r="AN507" s="65" t="str">
        <f>IFERROR(__xludf.DUMMYFUNCTION("""COMPUTED_VALUE"""),"11:39")</f>
        <v>11:39</v>
      </c>
      <c r="AO507" s="65" t="str">
        <f>IFERROR(__xludf.DUMMYFUNCTION("""COMPUTED_VALUE"""),"02-03-2026")</f>
        <v>02-03-2026</v>
      </c>
      <c r="AP507" s="65" t="str">
        <f>IFERROR(__xludf.DUMMYFUNCTION("""COMPUTED_VALUE"""),"ENTREGADA GINTRACOM")</f>
        <v>ENTREGADA GINTRACOM</v>
      </c>
      <c r="AQ507" s="65" t="str">
        <f>IFERROR(__xludf.DUMMYFUNCTION("""COMPUTED_VALUE"""),"ENTREGADA GINTRACOM")</f>
        <v>ENTREGADA GINTRACOM</v>
      </c>
      <c r="AR507" s="65"/>
      <c r="AS507" s="65"/>
      <c r="AT507" s="65" t="str">
        <f>IFERROR(__xludf.DUMMYFUNCTION("""COMPUTED_VALUE"""),"SHOPIFY")</f>
        <v>SHOPIFY</v>
      </c>
      <c r="AU507" s="65" t="str">
        <f>IFERROR(__xludf.DUMMYFUNCTION("""COMPUTED_VALUE"""),"IMPORTEX EC")</f>
        <v>IMPORTEX EC</v>
      </c>
      <c r="AV507" s="65" t="str">
        <f>IFERROR(__xludf.DUMMYFUNCTION("""COMPUTED_VALUE"""),"6539459362860")</f>
        <v>6539459362860</v>
      </c>
      <c r="AW507" s="65">
        <f>IFERROR(__xludf.DUMMYFUNCTION("""COMPUTED_VALUE"""),6364.0)</f>
        <v>6364</v>
      </c>
      <c r="AX507" s="65"/>
      <c r="AY507" s="65" t="str">
        <f>IFERROR(__xludf.DUMMYFUNCTION("""COMPUTED_VALUE"""),"28/02/2026")</f>
        <v>28/02/2026</v>
      </c>
      <c r="AZ507" s="65"/>
      <c r="BA507" s="65"/>
    </row>
    <row r="508">
      <c r="A508" s="65" t="str">
        <f>IFERROR(__xludf.DUMMYFUNCTION("""COMPUTED_VALUE"""),"27-03-2026")</f>
        <v>27-03-2026</v>
      </c>
      <c r="B508" s="65">
        <f>IFERROR(__xludf.DUMMYFUNCTION("""COMPUTED_VALUE"""),4635942.0)</f>
        <v>4635942</v>
      </c>
      <c r="C508" s="65" t="str">
        <f>IFERROR(__xludf.DUMMYFUNCTION("""COMPUTED_VALUE"""),"19:51")</f>
        <v>19:51</v>
      </c>
      <c r="D508" s="65" t="str">
        <f>IFERROR(__xludf.DUMMYFUNCTION("""COMPUTED_VALUE"""),"26-02-2026")</f>
        <v>26-02-2026</v>
      </c>
      <c r="E508" s="65" t="str">
        <f>IFERROR(__xludf.DUMMYFUNCTION("""COMPUTED_VALUE"""),"Wilfrido Salazar")</f>
        <v>Wilfrido Salazar</v>
      </c>
      <c r="F508" s="65" t="str">
        <f>IFERROR(__xludf.DUMMYFUNCTION("""COMPUTED_VALUE"""),"990148075")</f>
        <v>990148075</v>
      </c>
      <c r="G508" s="65" t="str">
        <f>IFERROR(__xludf.DUMMYFUNCTION("""COMPUTED_VALUE"""),"wilfridosalazar33@gmail.com")</f>
        <v>wilfridosalazar33@gmail.com</v>
      </c>
      <c r="H508" s="65"/>
      <c r="I508" s="65"/>
      <c r="J508" s="65"/>
      <c r="K508" s="65" t="str">
        <f>IFERROR(__xludf.DUMMYFUNCTION("""COMPUTED_VALUE"""),"PENDIENTE CONFIRMACION")</f>
        <v>PENDIENTE CONFIRMACION</v>
      </c>
      <c r="L508" s="65" t="str">
        <f>IFERROR(__xludf.DUMMYFUNCTION("""COMPUTED_VALUE"""),"CON RECAUDO")</f>
        <v>CON RECAUDO</v>
      </c>
      <c r="M508" s="65" t="str">
        <f>IFERROR(__xludf.DUMMYFUNCTION("""COMPUTED_VALUE"""),"GUAYAS")</f>
        <v>GUAYAS</v>
      </c>
      <c r="N508" s="65" t="str">
        <f>IFERROR(__xludf.DUMMYFUNCTION("""COMPUTED_VALUE"""),"MILAGRO")</f>
        <v>MILAGRO</v>
      </c>
      <c r="O508" s="65" t="str">
        <f>IFERROR(__xludf.DUMMYFUNCTION("""COMPUTED_VALUE"""),"Av Venezuela entre tarqui y Ecuador Cdla San Francisco, milagro -")</f>
        <v>Av Venezuela entre tarqui y Ecuador Cdla San Francisco, milagro -</v>
      </c>
      <c r="P508" s="65"/>
      <c r="Q508" s="65" t="str">
        <f>IFERROR(__xludf.DUMMYFUNCTION("""COMPUTED_VALUE"""),"GINTRACOM")</f>
        <v>GINTRACOM</v>
      </c>
      <c r="R508" s="65">
        <f>IFERROR(__xludf.DUMMYFUNCTION("""COMPUTED_VALUE"""),27.0)</f>
        <v>27</v>
      </c>
      <c r="S508" s="65"/>
      <c r="T508" s="65">
        <f>IFERROR(__xludf.DUMMYFUNCTION("""COMPUTED_VALUE"""),6.03)</f>
        <v>6.03</v>
      </c>
      <c r="U508" s="65">
        <f>IFERROR(__xludf.DUMMYFUNCTION("""COMPUTED_VALUE"""),0.0)</f>
        <v>0</v>
      </c>
      <c r="V508" s="65">
        <f>IFERROR(__xludf.DUMMYFUNCTION("""COMPUTED_VALUE"""),0.0)</f>
        <v>0</v>
      </c>
      <c r="W508" s="65">
        <f>IFERROR(__xludf.DUMMYFUNCTION("""COMPUTED_VALUE"""),0.0)</f>
        <v>0</v>
      </c>
      <c r="X508" s="65">
        <f>IFERROR(__xludf.DUMMYFUNCTION("""COMPUTED_VALUE"""),3.75)</f>
        <v>3.75</v>
      </c>
      <c r="Y508" s="65">
        <f>IFERROR(__xludf.DUMMYFUNCTION("""COMPUTED_VALUE"""),11.25)</f>
        <v>11.25</v>
      </c>
      <c r="Z508" s="65">
        <f>IFERROR(__xludf.DUMMYFUNCTION("""COMPUTED_VALUE"""),113116.0)</f>
        <v>113116</v>
      </c>
      <c r="AA508" s="65" t="str">
        <f>IFERROR(__xludf.DUMMYFUNCTION("""COMPUTED_VALUE"""),"IM-TAZAKI")</f>
        <v>IM-TAZAKI</v>
      </c>
      <c r="AB508" s="65"/>
      <c r="AC508" s="65" t="str">
        <f>IFERROR(__xludf.DUMMYFUNCTION("""COMPUTED_VALUE"""),"Cuchillo tazaki")</f>
        <v>Cuchillo tazaki</v>
      </c>
      <c r="AD508" s="65"/>
      <c r="AE508" s="65">
        <f>IFERROR(__xludf.DUMMYFUNCTION("""COMPUTED_VALUE"""),3.0)</f>
        <v>3</v>
      </c>
      <c r="AF508" s="65"/>
      <c r="AG508" s="65"/>
      <c r="AH508" s="65"/>
      <c r="AI508" s="65"/>
      <c r="AJ508" s="65"/>
      <c r="AK508" s="65"/>
      <c r="AL508" s="65"/>
      <c r="AM508" s="65"/>
      <c r="AN508" s="65"/>
      <c r="AO508" s="65"/>
      <c r="AP508" s="65"/>
      <c r="AQ508" s="65"/>
      <c r="AR508" s="65"/>
      <c r="AS508" s="65"/>
      <c r="AT508" s="65" t="str">
        <f>IFERROR(__xludf.DUMMYFUNCTION("""COMPUTED_VALUE"""),"SHOPIFY")</f>
        <v>SHOPIFY</v>
      </c>
      <c r="AU508" s="65" t="str">
        <f>IFERROR(__xludf.DUMMYFUNCTION("""COMPUTED_VALUE"""),"IMPORTEX EC")</f>
        <v>IMPORTEX EC</v>
      </c>
      <c r="AV508" s="65" t="str">
        <f>IFERROR(__xludf.DUMMYFUNCTION("""COMPUTED_VALUE"""),"6539093180460")</f>
        <v>6539093180460</v>
      </c>
      <c r="AW508" s="65">
        <f>IFERROR(__xludf.DUMMYFUNCTION("""COMPUTED_VALUE"""),6363.0)</f>
        <v>6363</v>
      </c>
      <c r="AX508" s="65"/>
      <c r="AY508" s="65"/>
      <c r="AZ508" s="65"/>
      <c r="BA508" s="65"/>
    </row>
    <row r="509">
      <c r="A509" s="65" t="str">
        <f>IFERROR(__xludf.DUMMYFUNCTION("""COMPUTED_VALUE"""),"27-03-2026")</f>
        <v>27-03-2026</v>
      </c>
      <c r="B509" s="65">
        <f>IFERROR(__xludf.DUMMYFUNCTION("""COMPUTED_VALUE"""),4635573.0)</f>
        <v>4635573</v>
      </c>
      <c r="C509" s="65" t="str">
        <f>IFERROR(__xludf.DUMMYFUNCTION("""COMPUTED_VALUE"""),"19:05")</f>
        <v>19:05</v>
      </c>
      <c r="D509" s="65" t="str">
        <f>IFERROR(__xludf.DUMMYFUNCTION("""COMPUTED_VALUE"""),"26-02-2026")</f>
        <v>26-02-2026</v>
      </c>
      <c r="E509" s="65" t="str">
        <f>IFERROR(__xludf.DUMMYFUNCTION("""COMPUTED_VALUE"""),"Richard Espinoza")</f>
        <v>Richard Espinoza</v>
      </c>
      <c r="F509" s="65" t="str">
        <f>IFERROR(__xludf.DUMMYFUNCTION("""COMPUTED_VALUE"""),"995675272")</f>
        <v>995675272</v>
      </c>
      <c r="G509" s="65" t="str">
        <f>IFERROR(__xludf.DUMMYFUNCTION("""COMPUTED_VALUE"""),"respinoza0702@gmail.com")</f>
        <v>respinoza0702@gmail.com</v>
      </c>
      <c r="H509" s="65"/>
      <c r="I509" s="65"/>
      <c r="J509" s="65" t="str">
        <f>IFERROR(__xludf.DUMMYFUNCTION("""COMPUTED_VALUE"""),"D001367540")</f>
        <v>D001367540</v>
      </c>
      <c r="K509" s="65" t="str">
        <f>IFERROR(__xludf.DUMMYFUNCTION("""COMPUTED_VALUE"""),"ENTREGADO")</f>
        <v>ENTREGADO</v>
      </c>
      <c r="L509" s="65" t="str">
        <f>IFERROR(__xludf.DUMMYFUNCTION("""COMPUTED_VALUE"""),"CON RECAUDO")</f>
        <v>CON RECAUDO</v>
      </c>
      <c r="M509" s="65" t="str">
        <f>IFERROR(__xludf.DUMMYFUNCTION("""COMPUTED_VALUE"""),"EL ORO")</f>
        <v>EL ORO</v>
      </c>
      <c r="N509" s="65" t="str">
        <f>IFERROR(__xludf.DUMMYFUNCTION("""COMPUTED_VALUE"""),"SANTA ROSA")</f>
        <v>SANTA ROSA</v>
      </c>
      <c r="O509" s="65" t="str">
        <f>IFERROR(__xludf.DUMMYFUNCTION("""COMPUTED_VALUE"""),"Filomeno Pensantes entre Carchi e Imbabura Barrio Quito -")</f>
        <v>Filomeno Pensantes entre Carchi e Imbabura Barrio Quito -</v>
      </c>
      <c r="P509" s="65"/>
      <c r="Q509" s="65" t="str">
        <f>IFERROR(__xludf.DUMMYFUNCTION("""COMPUTED_VALUE"""),"GINTRACOM")</f>
        <v>GINTRACOM</v>
      </c>
      <c r="R509" s="65">
        <f>IFERROR(__xludf.DUMMYFUNCTION("""COMPUTED_VALUE"""),22.0)</f>
        <v>22</v>
      </c>
      <c r="S509" s="65">
        <f>IFERROR(__xludf.DUMMYFUNCTION("""COMPUTED_VALUE"""),8.66)</f>
        <v>8.66</v>
      </c>
      <c r="T509" s="65">
        <f>IFERROR(__xludf.DUMMYFUNCTION("""COMPUTED_VALUE"""),5.84)</f>
        <v>5.84</v>
      </c>
      <c r="U509" s="65">
        <f>IFERROR(__xludf.DUMMYFUNCTION("""COMPUTED_VALUE"""),0.0)</f>
        <v>0</v>
      </c>
      <c r="V509" s="65">
        <f>IFERROR(__xludf.DUMMYFUNCTION("""COMPUTED_VALUE"""),0.0)</f>
        <v>0</v>
      </c>
      <c r="W509" s="65">
        <f>IFERROR(__xludf.DUMMYFUNCTION("""COMPUTED_VALUE"""),0.0)</f>
        <v>0</v>
      </c>
      <c r="X509" s="65">
        <f>IFERROR(__xludf.DUMMYFUNCTION("""COMPUTED_VALUE"""),3.75)</f>
        <v>3.75</v>
      </c>
      <c r="Y509" s="65">
        <f>IFERROR(__xludf.DUMMYFUNCTION("""COMPUTED_VALUE"""),7.5)</f>
        <v>7.5</v>
      </c>
      <c r="Z509" s="65">
        <f>IFERROR(__xludf.DUMMYFUNCTION("""COMPUTED_VALUE"""),113116.0)</f>
        <v>113116</v>
      </c>
      <c r="AA509" s="65" t="str">
        <f>IFERROR(__xludf.DUMMYFUNCTION("""COMPUTED_VALUE"""),"IM-TAZAKI")</f>
        <v>IM-TAZAKI</v>
      </c>
      <c r="AB509" s="65"/>
      <c r="AC509" s="65" t="str">
        <f>IFERROR(__xludf.DUMMYFUNCTION("""COMPUTED_VALUE"""),"Cuchillo tazaki")</f>
        <v>Cuchillo tazaki</v>
      </c>
      <c r="AD509" s="65"/>
      <c r="AE509" s="65">
        <f>IFERROR(__xludf.DUMMYFUNCTION("""COMPUTED_VALUE"""),2.0)</f>
        <v>2</v>
      </c>
      <c r="AF509" s="65"/>
      <c r="AG509" s="65"/>
      <c r="AH509" s="65"/>
      <c r="AI509" s="65"/>
      <c r="AJ509" s="65"/>
      <c r="AK509" s="65"/>
      <c r="AL509" s="65"/>
      <c r="AM509" s="65"/>
      <c r="AN509" s="65" t="str">
        <f>IFERROR(__xludf.DUMMYFUNCTION("""COMPUTED_VALUE"""),"10:39")</f>
        <v>10:39</v>
      </c>
      <c r="AO509" s="65" t="str">
        <f>IFERROR(__xludf.DUMMYFUNCTION("""COMPUTED_VALUE"""),"03-03-2026")</f>
        <v>03-03-2026</v>
      </c>
      <c r="AP509" s="65" t="str">
        <f>IFERROR(__xludf.DUMMYFUNCTION("""COMPUTED_VALUE"""),"ENTREGADA GINTRACOM")</f>
        <v>ENTREGADA GINTRACOM</v>
      </c>
      <c r="AQ509" s="65" t="str">
        <f>IFERROR(__xludf.DUMMYFUNCTION("""COMPUTED_VALUE"""),"ENTREGADA GINTRACOM")</f>
        <v>ENTREGADA GINTRACOM</v>
      </c>
      <c r="AR509" s="65"/>
      <c r="AS509" s="65"/>
      <c r="AT509" s="65" t="str">
        <f>IFERROR(__xludf.DUMMYFUNCTION("""COMPUTED_VALUE"""),"SHOPIFY")</f>
        <v>SHOPIFY</v>
      </c>
      <c r="AU509" s="65" t="str">
        <f>IFERROR(__xludf.DUMMYFUNCTION("""COMPUTED_VALUE"""),"IMPORTEX EC")</f>
        <v>IMPORTEX EC</v>
      </c>
      <c r="AV509" s="65" t="str">
        <f>IFERROR(__xludf.DUMMYFUNCTION("""COMPUTED_VALUE"""),"6538794991660")</f>
        <v>6538794991660</v>
      </c>
      <c r="AW509" s="65">
        <f>IFERROR(__xludf.DUMMYFUNCTION("""COMPUTED_VALUE"""),6362.0)</f>
        <v>6362</v>
      </c>
      <c r="AX509" s="65"/>
      <c r="AY509" s="65" t="str">
        <f>IFERROR(__xludf.DUMMYFUNCTION("""COMPUTED_VALUE"""),"28/02/2026")</f>
        <v>28/02/2026</v>
      </c>
      <c r="AZ509" s="65"/>
      <c r="BA509" s="65"/>
    </row>
    <row r="510">
      <c r="A510" s="65" t="str">
        <f>IFERROR(__xludf.DUMMYFUNCTION("""COMPUTED_VALUE"""),"27-03-2026")</f>
        <v>27-03-2026</v>
      </c>
      <c r="B510" s="65">
        <f>IFERROR(__xludf.DUMMYFUNCTION("""COMPUTED_VALUE"""),4635077.0)</f>
        <v>4635077</v>
      </c>
      <c r="C510" s="65" t="str">
        <f>IFERROR(__xludf.DUMMYFUNCTION("""COMPUTED_VALUE"""),"17:56")</f>
        <v>17:56</v>
      </c>
      <c r="D510" s="65" t="str">
        <f>IFERROR(__xludf.DUMMYFUNCTION("""COMPUTED_VALUE"""),"26-02-2026")</f>
        <v>26-02-2026</v>
      </c>
      <c r="E510" s="65" t="str">
        <f>IFERROR(__xludf.DUMMYFUNCTION("""COMPUTED_VALUE"""),"Romel Cedeño")</f>
        <v>Romel Cedeño</v>
      </c>
      <c r="F510" s="65" t="str">
        <f>IFERROR(__xludf.DUMMYFUNCTION("""COMPUTED_VALUE"""),"987845659")</f>
        <v>987845659</v>
      </c>
      <c r="G510" s="65" t="str">
        <f>IFERROR(__xludf.DUMMYFUNCTION("""COMPUTED_VALUE"""),"rcedeno53@hotmail.com")</f>
        <v>rcedeno53@hotmail.com</v>
      </c>
      <c r="H510" s="65"/>
      <c r="I510" s="65"/>
      <c r="J510" s="65" t="str">
        <f>IFERROR(__xludf.DUMMYFUNCTION("""COMPUTED_VALUE"""),"D001367541")</f>
        <v>D001367541</v>
      </c>
      <c r="K510" s="65" t="str">
        <f>IFERROR(__xludf.DUMMYFUNCTION("""COMPUTED_VALUE"""),"ENTREGADO")</f>
        <v>ENTREGADO</v>
      </c>
      <c r="L510" s="65" t="str">
        <f>IFERROR(__xludf.DUMMYFUNCTION("""COMPUTED_VALUE"""),"CON RECAUDO")</f>
        <v>CON RECAUDO</v>
      </c>
      <c r="M510" s="65" t="str">
        <f>IFERROR(__xludf.DUMMYFUNCTION("""COMPUTED_VALUE"""),"MANABI")</f>
        <v>MANABI</v>
      </c>
      <c r="N510" s="65" t="str">
        <f>IFERROR(__xludf.DUMMYFUNCTION("""COMPUTED_VALUE"""),"CHONE")</f>
        <v>CHONE</v>
      </c>
      <c r="O510" s="65" t="str">
        <f>IFERROR(__xludf.DUMMYFUNCTION("""COMPUTED_VALUE"""),"Avenida Carlos Alberto Aray Emilio Hidalgo -")</f>
        <v>Avenida Carlos Alberto Aray Emilio Hidalgo -</v>
      </c>
      <c r="P510" s="65"/>
      <c r="Q510" s="65" t="str">
        <f>IFERROR(__xludf.DUMMYFUNCTION("""COMPUTED_VALUE"""),"GINTRACOM")</f>
        <v>GINTRACOM</v>
      </c>
      <c r="R510" s="65">
        <f>IFERROR(__xludf.DUMMYFUNCTION("""COMPUTED_VALUE"""),22.0)</f>
        <v>22</v>
      </c>
      <c r="S510" s="65">
        <f>IFERROR(__xludf.DUMMYFUNCTION("""COMPUTED_VALUE"""),8.66)</f>
        <v>8.66</v>
      </c>
      <c r="T510" s="65">
        <f>IFERROR(__xludf.DUMMYFUNCTION("""COMPUTED_VALUE"""),5.84)</f>
        <v>5.84</v>
      </c>
      <c r="U510" s="65">
        <f>IFERROR(__xludf.DUMMYFUNCTION("""COMPUTED_VALUE"""),0.0)</f>
        <v>0</v>
      </c>
      <c r="V510" s="65">
        <f>IFERROR(__xludf.DUMMYFUNCTION("""COMPUTED_VALUE"""),0.0)</f>
        <v>0</v>
      </c>
      <c r="W510" s="65">
        <f>IFERROR(__xludf.DUMMYFUNCTION("""COMPUTED_VALUE"""),0.0)</f>
        <v>0</v>
      </c>
      <c r="X510" s="65">
        <f>IFERROR(__xludf.DUMMYFUNCTION("""COMPUTED_VALUE"""),3.75)</f>
        <v>3.75</v>
      </c>
      <c r="Y510" s="65">
        <f>IFERROR(__xludf.DUMMYFUNCTION("""COMPUTED_VALUE"""),7.5)</f>
        <v>7.5</v>
      </c>
      <c r="Z510" s="65">
        <f>IFERROR(__xludf.DUMMYFUNCTION("""COMPUTED_VALUE"""),113116.0)</f>
        <v>113116</v>
      </c>
      <c r="AA510" s="65" t="str">
        <f>IFERROR(__xludf.DUMMYFUNCTION("""COMPUTED_VALUE"""),"IM-TAZAKI")</f>
        <v>IM-TAZAKI</v>
      </c>
      <c r="AB510" s="65"/>
      <c r="AC510" s="65" t="str">
        <f>IFERROR(__xludf.DUMMYFUNCTION("""COMPUTED_VALUE"""),"Cuchillo tazaki")</f>
        <v>Cuchillo tazaki</v>
      </c>
      <c r="AD510" s="65"/>
      <c r="AE510" s="65">
        <f>IFERROR(__xludf.DUMMYFUNCTION("""COMPUTED_VALUE"""),2.0)</f>
        <v>2</v>
      </c>
      <c r="AF510" s="65"/>
      <c r="AG510" s="65"/>
      <c r="AH510" s="65"/>
      <c r="AI510" s="65"/>
      <c r="AJ510" s="65"/>
      <c r="AK510" s="65"/>
      <c r="AL510" s="65"/>
      <c r="AM510" s="65"/>
      <c r="AN510" s="65" t="str">
        <f>IFERROR(__xludf.DUMMYFUNCTION("""COMPUTED_VALUE"""),"11:20")</f>
        <v>11:20</v>
      </c>
      <c r="AO510" s="65" t="str">
        <f>IFERROR(__xludf.DUMMYFUNCTION("""COMPUTED_VALUE"""),"03-03-2026")</f>
        <v>03-03-2026</v>
      </c>
      <c r="AP510" s="65" t="str">
        <f>IFERROR(__xludf.DUMMYFUNCTION("""COMPUTED_VALUE"""),"ENTREGADA GINTRACOM")</f>
        <v>ENTREGADA GINTRACOM</v>
      </c>
      <c r="AQ510" s="65" t="str">
        <f>IFERROR(__xludf.DUMMYFUNCTION("""COMPUTED_VALUE"""),"ENTREGADA GINTRACOM")</f>
        <v>ENTREGADA GINTRACOM</v>
      </c>
      <c r="AR510" s="65"/>
      <c r="AS510" s="65"/>
      <c r="AT510" s="65" t="str">
        <f>IFERROR(__xludf.DUMMYFUNCTION("""COMPUTED_VALUE"""),"SHOPIFY")</f>
        <v>SHOPIFY</v>
      </c>
      <c r="AU510" s="65" t="str">
        <f>IFERROR(__xludf.DUMMYFUNCTION("""COMPUTED_VALUE"""),"IMPORTEX EC")</f>
        <v>IMPORTEX EC</v>
      </c>
      <c r="AV510" s="65" t="str">
        <f>IFERROR(__xludf.DUMMYFUNCTION("""COMPUTED_VALUE"""),"6538337321004")</f>
        <v>6538337321004</v>
      </c>
      <c r="AW510" s="65">
        <f>IFERROR(__xludf.DUMMYFUNCTION("""COMPUTED_VALUE"""),6361.0)</f>
        <v>6361</v>
      </c>
      <c r="AX510" s="65"/>
      <c r="AY510" s="65" t="str">
        <f>IFERROR(__xludf.DUMMYFUNCTION("""COMPUTED_VALUE"""),"28/02/2026")</f>
        <v>28/02/2026</v>
      </c>
      <c r="AZ510" s="65"/>
      <c r="BA510" s="65"/>
    </row>
    <row r="511">
      <c r="A511" s="65" t="str">
        <f>IFERROR(__xludf.DUMMYFUNCTION("""COMPUTED_VALUE"""),"27-03-2026")</f>
        <v>27-03-2026</v>
      </c>
      <c r="B511" s="65">
        <f>IFERROR(__xludf.DUMMYFUNCTION("""COMPUTED_VALUE"""),4634954.0)</f>
        <v>4634954</v>
      </c>
      <c r="C511" s="65" t="str">
        <f>IFERROR(__xludf.DUMMYFUNCTION("""COMPUTED_VALUE"""),"17:39")</f>
        <v>17:39</v>
      </c>
      <c r="D511" s="65" t="str">
        <f>IFERROR(__xludf.DUMMYFUNCTION("""COMPUTED_VALUE"""),"26-02-2026")</f>
        <v>26-02-2026</v>
      </c>
      <c r="E511" s="65" t="str">
        <f>IFERROR(__xludf.DUMMYFUNCTION("""COMPUTED_VALUE"""),"Marco Marcelo Guamba")</f>
        <v>Marco Marcelo Guamba</v>
      </c>
      <c r="F511" s="65" t="str">
        <f>IFERROR(__xludf.DUMMYFUNCTION("""COMPUTED_VALUE"""),"996561856")</f>
        <v>996561856</v>
      </c>
      <c r="G511" s="65" t="str">
        <f>IFERROR(__xludf.DUMMYFUNCTION("""COMPUTED_VALUE"""),"mmguambat54@gmail.com")</f>
        <v>mmguambat54@gmail.com</v>
      </c>
      <c r="H511" s="65"/>
      <c r="I511" s="65"/>
      <c r="J511" s="65" t="str">
        <f>IFERROR(__xludf.DUMMYFUNCTION("""COMPUTED_VALUE"""),"D001367542")</f>
        <v>D001367542</v>
      </c>
      <c r="K511" s="65" t="str">
        <f>IFERROR(__xludf.DUMMYFUNCTION("""COMPUTED_VALUE"""),"ENTREGADO")</f>
        <v>ENTREGADO</v>
      </c>
      <c r="L511" s="65" t="str">
        <f>IFERROR(__xludf.DUMMYFUNCTION("""COMPUTED_VALUE"""),"CON RECAUDO")</f>
        <v>CON RECAUDO</v>
      </c>
      <c r="M511" s="65" t="str">
        <f>IFERROR(__xludf.DUMMYFUNCTION("""COMPUTED_VALUE"""),"PICHINCHA")</f>
        <v>PICHINCHA</v>
      </c>
      <c r="N511" s="65" t="str">
        <f>IFERROR(__xludf.DUMMYFUNCTION("""COMPUTED_VALUE"""),"SANGOLQUI")</f>
        <v>SANGOLQUI</v>
      </c>
      <c r="O511" s="65" t="str">
        <f>IFERROR(__xludf.DUMMYFUNCTION("""COMPUTED_VALUE"""),"Viñedos y Venezuela Conjunto EL ALCAZAR casa 34 Al fondo Conjuntos Terracota -")</f>
        <v>Viñedos y Venezuela Conjunto EL ALCAZAR casa 34 Al fondo Conjuntos Terracota -</v>
      </c>
      <c r="P511" s="65"/>
      <c r="Q511" s="65" t="str">
        <f>IFERROR(__xludf.DUMMYFUNCTION("""COMPUTED_VALUE"""),"GINTRACOM")</f>
        <v>GINTRACOM</v>
      </c>
      <c r="R511" s="65">
        <f>IFERROR(__xludf.DUMMYFUNCTION("""COMPUTED_VALUE"""),27.0)</f>
        <v>27</v>
      </c>
      <c r="S511" s="65">
        <f>IFERROR(__xludf.DUMMYFUNCTION("""COMPUTED_VALUE"""),10.76)</f>
        <v>10.76</v>
      </c>
      <c r="T511" s="65">
        <f>IFERROR(__xludf.DUMMYFUNCTION("""COMPUTED_VALUE"""),4.99)</f>
        <v>4.99</v>
      </c>
      <c r="U511" s="65">
        <f>IFERROR(__xludf.DUMMYFUNCTION("""COMPUTED_VALUE"""),0.0)</f>
        <v>0</v>
      </c>
      <c r="V511" s="65">
        <f>IFERROR(__xludf.DUMMYFUNCTION("""COMPUTED_VALUE"""),0.0)</f>
        <v>0</v>
      </c>
      <c r="W511" s="65">
        <f>IFERROR(__xludf.DUMMYFUNCTION("""COMPUTED_VALUE"""),0.0)</f>
        <v>0</v>
      </c>
      <c r="X511" s="65">
        <f>IFERROR(__xludf.DUMMYFUNCTION("""COMPUTED_VALUE"""),3.75)</f>
        <v>3.75</v>
      </c>
      <c r="Y511" s="65">
        <f>IFERROR(__xludf.DUMMYFUNCTION("""COMPUTED_VALUE"""),11.25)</f>
        <v>11.25</v>
      </c>
      <c r="Z511" s="65">
        <f>IFERROR(__xludf.DUMMYFUNCTION("""COMPUTED_VALUE"""),113116.0)</f>
        <v>113116</v>
      </c>
      <c r="AA511" s="65" t="str">
        <f>IFERROR(__xludf.DUMMYFUNCTION("""COMPUTED_VALUE"""),"IM-TAZAKI")</f>
        <v>IM-TAZAKI</v>
      </c>
      <c r="AB511" s="65"/>
      <c r="AC511" s="65" t="str">
        <f>IFERROR(__xludf.DUMMYFUNCTION("""COMPUTED_VALUE"""),"Cuchillo tazaki")</f>
        <v>Cuchillo tazaki</v>
      </c>
      <c r="AD511" s="65"/>
      <c r="AE511" s="65">
        <f>IFERROR(__xludf.DUMMYFUNCTION("""COMPUTED_VALUE"""),3.0)</f>
        <v>3</v>
      </c>
      <c r="AF511" s="65"/>
      <c r="AG511" s="65"/>
      <c r="AH511" s="65"/>
      <c r="AI511" s="65"/>
      <c r="AJ511" s="65"/>
      <c r="AK511" s="65"/>
      <c r="AL511" s="65"/>
      <c r="AM511" s="65"/>
      <c r="AN511" s="65" t="str">
        <f>IFERROR(__xludf.DUMMYFUNCTION("""COMPUTED_VALUE"""),"08:35")</f>
        <v>08:35</v>
      </c>
      <c r="AO511" s="65" t="str">
        <f>IFERROR(__xludf.DUMMYFUNCTION("""COMPUTED_VALUE"""),"02-03-2026")</f>
        <v>02-03-2026</v>
      </c>
      <c r="AP511" s="65" t="str">
        <f>IFERROR(__xludf.DUMMYFUNCTION("""COMPUTED_VALUE"""),"EN REPARTO")</f>
        <v>EN REPARTO</v>
      </c>
      <c r="AQ511" s="65" t="str">
        <f>IFERROR(__xludf.DUMMYFUNCTION("""COMPUTED_VALUE"""),"EN REPARTO")</f>
        <v>EN REPARTO</v>
      </c>
      <c r="AR511" s="65"/>
      <c r="AS511" s="65"/>
      <c r="AT511" s="65" t="str">
        <f>IFERROR(__xludf.DUMMYFUNCTION("""COMPUTED_VALUE"""),"SHOPIFY")</f>
        <v>SHOPIFY</v>
      </c>
      <c r="AU511" s="65" t="str">
        <f>IFERROR(__xludf.DUMMYFUNCTION("""COMPUTED_VALUE"""),"IMPORTEX EC")</f>
        <v>IMPORTEX EC</v>
      </c>
      <c r="AV511" s="65" t="str">
        <f>IFERROR(__xludf.DUMMYFUNCTION("""COMPUTED_VALUE"""),"6538238787628")</f>
        <v>6538238787628</v>
      </c>
      <c r="AW511" s="65">
        <f>IFERROR(__xludf.DUMMYFUNCTION("""COMPUTED_VALUE"""),6359.0)</f>
        <v>6359</v>
      </c>
      <c r="AX511" s="65"/>
      <c r="AY511" s="65" t="str">
        <f>IFERROR(__xludf.DUMMYFUNCTION("""COMPUTED_VALUE"""),"28/02/2026")</f>
        <v>28/02/2026</v>
      </c>
      <c r="AZ511" s="65"/>
      <c r="BA511" s="65"/>
    </row>
    <row r="512">
      <c r="A512" s="65" t="str">
        <f>IFERROR(__xludf.DUMMYFUNCTION("""COMPUTED_VALUE"""),"27-03-2026")</f>
        <v>27-03-2026</v>
      </c>
      <c r="B512" s="65">
        <f>IFERROR(__xludf.DUMMYFUNCTION("""COMPUTED_VALUE"""),4634613.0)</f>
        <v>4634613</v>
      </c>
      <c r="C512" s="65" t="str">
        <f>IFERROR(__xludf.DUMMYFUNCTION("""COMPUTED_VALUE"""),"16:59")</f>
        <v>16:59</v>
      </c>
      <c r="D512" s="65" t="str">
        <f>IFERROR(__xludf.DUMMYFUNCTION("""COMPUTED_VALUE"""),"26-02-2026")</f>
        <v>26-02-2026</v>
      </c>
      <c r="E512" s="65" t="str">
        <f>IFERROR(__xludf.DUMMYFUNCTION("""COMPUTED_VALUE"""),"Montaño Montaño Fariño")</f>
        <v>Montaño Montaño Fariño</v>
      </c>
      <c r="F512" s="65" t="str">
        <f>IFERROR(__xludf.DUMMYFUNCTION("""COMPUTED_VALUE"""),"964021915")</f>
        <v>964021915</v>
      </c>
      <c r="G512" s="65" t="str">
        <f>IFERROR(__xludf.DUMMYFUNCTION("""COMPUTED_VALUE"""),"dianamf1984@outlook.com")</f>
        <v>dianamf1984@outlook.com</v>
      </c>
      <c r="H512" s="65"/>
      <c r="I512" s="65"/>
      <c r="J512" s="65"/>
      <c r="K512" s="65" t="str">
        <f>IFERROR(__xludf.DUMMYFUNCTION("""COMPUTED_VALUE"""),"PENDIENTE CONFIRMACION")</f>
        <v>PENDIENTE CONFIRMACION</v>
      </c>
      <c r="L512" s="65" t="str">
        <f>IFERROR(__xludf.DUMMYFUNCTION("""COMPUTED_VALUE"""),"CON RECAUDO")</f>
        <v>CON RECAUDO</v>
      </c>
      <c r="M512" s="65" t="str">
        <f>IFERROR(__xludf.DUMMYFUNCTION("""COMPUTED_VALUE"""),"EL ORO")</f>
        <v>EL ORO</v>
      </c>
      <c r="N512" s="65" t="str">
        <f>IFERROR(__xludf.DUMMYFUNCTION("""COMPUTED_VALUE"""),"SANTA ROSA")</f>
        <v>SANTA ROSA</v>
      </c>
      <c r="O512" s="65" t="str">
        <f>IFERROR(__xludf.DUMMYFUNCTION("""COMPUTED_VALUE"""),"Santa rosa Barrio 24 mayo -")</f>
        <v>Santa rosa Barrio 24 mayo -</v>
      </c>
      <c r="P512" s="65"/>
      <c r="Q512" s="65" t="str">
        <f>IFERROR(__xludf.DUMMYFUNCTION("""COMPUTED_VALUE"""),"GINTRACOM")</f>
        <v>GINTRACOM</v>
      </c>
      <c r="R512" s="65">
        <f>IFERROR(__xludf.DUMMYFUNCTION("""COMPUTED_VALUE"""),22.0)</f>
        <v>22</v>
      </c>
      <c r="S512" s="65"/>
      <c r="T512" s="65">
        <f>IFERROR(__xludf.DUMMYFUNCTION("""COMPUTED_VALUE"""),5.84)</f>
        <v>5.84</v>
      </c>
      <c r="U512" s="65">
        <f>IFERROR(__xludf.DUMMYFUNCTION("""COMPUTED_VALUE"""),0.0)</f>
        <v>0</v>
      </c>
      <c r="V512" s="65">
        <f>IFERROR(__xludf.DUMMYFUNCTION("""COMPUTED_VALUE"""),0.0)</f>
        <v>0</v>
      </c>
      <c r="W512" s="65">
        <f>IFERROR(__xludf.DUMMYFUNCTION("""COMPUTED_VALUE"""),0.0)</f>
        <v>0</v>
      </c>
      <c r="X512" s="65">
        <f>IFERROR(__xludf.DUMMYFUNCTION("""COMPUTED_VALUE"""),3.75)</f>
        <v>3.75</v>
      </c>
      <c r="Y512" s="65">
        <f>IFERROR(__xludf.DUMMYFUNCTION("""COMPUTED_VALUE"""),7.5)</f>
        <v>7.5</v>
      </c>
      <c r="Z512" s="65">
        <f>IFERROR(__xludf.DUMMYFUNCTION("""COMPUTED_VALUE"""),113116.0)</f>
        <v>113116</v>
      </c>
      <c r="AA512" s="65" t="str">
        <f>IFERROR(__xludf.DUMMYFUNCTION("""COMPUTED_VALUE"""),"IM-TAZAKI")</f>
        <v>IM-TAZAKI</v>
      </c>
      <c r="AB512" s="65"/>
      <c r="AC512" s="65" t="str">
        <f>IFERROR(__xludf.DUMMYFUNCTION("""COMPUTED_VALUE"""),"Cuchillo tazaki")</f>
        <v>Cuchillo tazaki</v>
      </c>
      <c r="AD512" s="65"/>
      <c r="AE512" s="65">
        <f>IFERROR(__xludf.DUMMYFUNCTION("""COMPUTED_VALUE"""),2.0)</f>
        <v>2</v>
      </c>
      <c r="AF512" s="65"/>
      <c r="AG512" s="65"/>
      <c r="AH512" s="65"/>
      <c r="AI512" s="65"/>
      <c r="AJ512" s="65"/>
      <c r="AK512" s="65"/>
      <c r="AL512" s="65"/>
      <c r="AM512" s="65"/>
      <c r="AN512" s="65"/>
      <c r="AO512" s="65"/>
      <c r="AP512" s="65"/>
      <c r="AQ512" s="65"/>
      <c r="AR512" s="65"/>
      <c r="AS512" s="65"/>
      <c r="AT512" s="65" t="str">
        <f>IFERROR(__xludf.DUMMYFUNCTION("""COMPUTED_VALUE"""),"SHOPIFY")</f>
        <v>SHOPIFY</v>
      </c>
      <c r="AU512" s="65" t="str">
        <f>IFERROR(__xludf.DUMMYFUNCTION("""COMPUTED_VALUE"""),"IMPORTEX EC")</f>
        <v>IMPORTEX EC</v>
      </c>
      <c r="AV512" s="65" t="str">
        <f>IFERROR(__xludf.DUMMYFUNCTION("""COMPUTED_VALUE"""),"6537951838252")</f>
        <v>6537951838252</v>
      </c>
      <c r="AW512" s="65">
        <f>IFERROR(__xludf.DUMMYFUNCTION("""COMPUTED_VALUE"""),6358.0)</f>
        <v>6358</v>
      </c>
      <c r="AX512" s="65"/>
      <c r="AY512" s="65"/>
      <c r="AZ512" s="65"/>
      <c r="BA512" s="65"/>
    </row>
    <row r="513">
      <c r="A513" s="65" t="str">
        <f>IFERROR(__xludf.DUMMYFUNCTION("""COMPUTED_VALUE"""),"27-03-2026")</f>
        <v>27-03-2026</v>
      </c>
      <c r="B513" s="65">
        <f>IFERROR(__xludf.DUMMYFUNCTION("""COMPUTED_VALUE"""),4633797.0)</f>
        <v>4633797</v>
      </c>
      <c r="C513" s="65" t="str">
        <f>IFERROR(__xludf.DUMMYFUNCTION("""COMPUTED_VALUE"""),"15:43")</f>
        <v>15:43</v>
      </c>
      <c r="D513" s="65" t="str">
        <f>IFERROR(__xludf.DUMMYFUNCTION("""COMPUTED_VALUE"""),"26-02-2026")</f>
        <v>26-02-2026</v>
      </c>
      <c r="E513" s="65" t="str">
        <f>IFERROR(__xludf.DUMMYFUNCTION("""COMPUTED_VALUE"""),"Brian Eduardo Cárdenas Rea")</f>
        <v>Brian Eduardo Cárdenas Rea</v>
      </c>
      <c r="F513" s="65" t="str">
        <f>IFERROR(__xludf.DUMMYFUNCTION("""COMPUTED_VALUE"""),"984748609")</f>
        <v>984748609</v>
      </c>
      <c r="G513" s="65" t="str">
        <f>IFERROR(__xludf.DUMMYFUNCTION("""COMPUTED_VALUE"""),"becardenasrea@gmail.com")</f>
        <v>becardenasrea@gmail.com</v>
      </c>
      <c r="H513" s="65"/>
      <c r="I513" s="65"/>
      <c r="J513" s="65"/>
      <c r="K513" s="65" t="str">
        <f>IFERROR(__xludf.DUMMYFUNCTION("""COMPUTED_VALUE"""),"PENDIENTE CONFIRMACION")</f>
        <v>PENDIENTE CONFIRMACION</v>
      </c>
      <c r="L513" s="65" t="str">
        <f>IFERROR(__xludf.DUMMYFUNCTION("""COMPUTED_VALUE"""),"CON RECAUDO")</f>
        <v>CON RECAUDO</v>
      </c>
      <c r="M513" s="65" t="str">
        <f>IFERROR(__xludf.DUMMYFUNCTION("""COMPUTED_VALUE"""),"AZUAY")</f>
        <v>AZUAY</v>
      </c>
      <c r="N513" s="65" t="str">
        <f>IFERROR(__xludf.DUMMYFUNCTION("""COMPUTED_VALUE"""),"CUENCA")</f>
        <v>CUENCA</v>
      </c>
      <c r="O513" s="65" t="str">
        <f>IFERROR(__xludf.DUMMYFUNCTION("""COMPUTED_VALUE"""),"Caupolican 1-86 y Yanahurco Sector totoracocha -")</f>
        <v>Caupolican 1-86 y Yanahurco Sector totoracocha -</v>
      </c>
      <c r="P513" s="65"/>
      <c r="Q513" s="65" t="str">
        <f>IFERROR(__xludf.DUMMYFUNCTION("""COMPUTED_VALUE"""),"GINTRACOM")</f>
        <v>GINTRACOM</v>
      </c>
      <c r="R513" s="65">
        <f>IFERROR(__xludf.DUMMYFUNCTION("""COMPUTED_VALUE"""),30.0)</f>
        <v>30</v>
      </c>
      <c r="S513" s="65"/>
      <c r="T513" s="65">
        <f>IFERROR(__xludf.DUMMYFUNCTION("""COMPUTED_VALUE"""),6.16)</f>
        <v>6.16</v>
      </c>
      <c r="U513" s="65">
        <f>IFERROR(__xludf.DUMMYFUNCTION("""COMPUTED_VALUE"""),0.0)</f>
        <v>0</v>
      </c>
      <c r="V513" s="65">
        <f>IFERROR(__xludf.DUMMYFUNCTION("""COMPUTED_VALUE"""),0.0)</f>
        <v>0</v>
      </c>
      <c r="W513" s="65">
        <f>IFERROR(__xludf.DUMMYFUNCTION("""COMPUTED_VALUE"""),0.0)</f>
        <v>0</v>
      </c>
      <c r="X513" s="65">
        <f>IFERROR(__xludf.DUMMYFUNCTION("""COMPUTED_VALUE"""),2.35)</f>
        <v>2.35</v>
      </c>
      <c r="Y513" s="65">
        <f>IFERROR(__xludf.DUMMYFUNCTION("""COMPUTED_VALUE"""),7.05)</f>
        <v>7.05</v>
      </c>
      <c r="Z513" s="65">
        <f>IFERROR(__xludf.DUMMYFUNCTION("""COMPUTED_VALUE"""),116679.0)</f>
        <v>116679</v>
      </c>
      <c r="AA513" s="65" t="str">
        <f>IFERROR(__xludf.DUMMYFUNCTION("""COMPUTED_VALUE"""),"AMC-2738")</f>
        <v>AMC-2738</v>
      </c>
      <c r="AB513" s="65"/>
      <c r="AC513" s="65" t="str">
        <f>IFERROR(__xludf.DUMMYFUNCTION("""COMPUTED_VALUE"""),"ESPONJA ANTILLUVIA DE PARABRISAS")</f>
        <v>ESPONJA ANTILLUVIA DE PARABRISAS</v>
      </c>
      <c r="AD513" s="65"/>
      <c r="AE513" s="65">
        <f>IFERROR(__xludf.DUMMYFUNCTION("""COMPUTED_VALUE"""),3.0)</f>
        <v>3</v>
      </c>
      <c r="AF513" s="65"/>
      <c r="AG513" s="65"/>
      <c r="AH513" s="65"/>
      <c r="AI513" s="65"/>
      <c r="AJ513" s="65"/>
      <c r="AK513" s="65"/>
      <c r="AL513" s="65"/>
      <c r="AM513" s="65"/>
      <c r="AN513" s="65"/>
      <c r="AO513" s="65"/>
      <c r="AP513" s="65"/>
      <c r="AQ513" s="65"/>
      <c r="AR513" s="65"/>
      <c r="AS513" s="65"/>
      <c r="AT513" s="65" t="str">
        <f>IFERROR(__xludf.DUMMYFUNCTION("""COMPUTED_VALUE"""),"SHOPIFY")</f>
        <v>SHOPIFY</v>
      </c>
      <c r="AU513" s="65" t="str">
        <f>IFERROR(__xludf.DUMMYFUNCTION("""COMPUTED_VALUE"""),"IMPORTEX EC")</f>
        <v>IMPORTEX EC</v>
      </c>
      <c r="AV513" s="65" t="str">
        <f>IFERROR(__xludf.DUMMYFUNCTION("""COMPUTED_VALUE"""),"6537432203308")</f>
        <v>6537432203308</v>
      </c>
      <c r="AW513" s="65">
        <f>IFERROR(__xludf.DUMMYFUNCTION("""COMPUTED_VALUE"""),6357.0)</f>
        <v>6357</v>
      </c>
      <c r="AX513" s="65"/>
      <c r="AY513" s="65"/>
      <c r="AZ513" s="65"/>
      <c r="BA513" s="65"/>
    </row>
    <row r="514">
      <c r="A514" s="65" t="str">
        <f>IFERROR(__xludf.DUMMYFUNCTION("""COMPUTED_VALUE"""),"27-03-2026")</f>
        <v>27-03-2026</v>
      </c>
      <c r="B514" s="65">
        <f>IFERROR(__xludf.DUMMYFUNCTION("""COMPUTED_VALUE"""),4633507.0)</f>
        <v>4633507</v>
      </c>
      <c r="C514" s="65" t="str">
        <f>IFERROR(__xludf.DUMMYFUNCTION("""COMPUTED_VALUE"""),"15:14")</f>
        <v>15:14</v>
      </c>
      <c r="D514" s="65" t="str">
        <f>IFERROR(__xludf.DUMMYFUNCTION("""COMPUTED_VALUE"""),"26-02-2026")</f>
        <v>26-02-2026</v>
      </c>
      <c r="E514" s="65" t="str">
        <f>IFERROR(__xludf.DUMMYFUNCTION("""COMPUTED_VALUE"""),"Edwin Rolando Toapanta Uvillus")</f>
        <v>Edwin Rolando Toapanta Uvillus</v>
      </c>
      <c r="F514" s="65" t="str">
        <f>IFERROR(__xludf.DUMMYFUNCTION("""COMPUTED_VALUE"""),"982826294")</f>
        <v>982826294</v>
      </c>
      <c r="G514" s="65" t="str">
        <f>IFERROR(__xludf.DUMMYFUNCTION("""COMPUTED_VALUE"""),"rolando-toapanta@hotmail.com")</f>
        <v>rolando-toapanta@hotmail.com</v>
      </c>
      <c r="H514" s="65"/>
      <c r="I514" s="65"/>
      <c r="J514" s="65"/>
      <c r="K514" s="65" t="str">
        <f>IFERROR(__xludf.DUMMYFUNCTION("""COMPUTED_VALUE"""),"CANCELADO")</f>
        <v>CANCELADO</v>
      </c>
      <c r="L514" s="65" t="str">
        <f>IFERROR(__xludf.DUMMYFUNCTION("""COMPUTED_VALUE"""),"CON RECAUDO")</f>
        <v>CON RECAUDO</v>
      </c>
      <c r="M514" s="65" t="str">
        <f>IFERROR(__xludf.DUMMYFUNCTION("""COMPUTED_VALUE"""),"PICHINCHA")</f>
        <v>PICHINCHA</v>
      </c>
      <c r="N514" s="65" t="str">
        <f>IFERROR(__xludf.DUMMYFUNCTION("""COMPUTED_VALUE"""),"MACHACHI")</f>
        <v>MACHACHI</v>
      </c>
      <c r="O514" s="65" t="str">
        <f>IFERROR(__xludf.DUMMYFUNCTION("""COMPUTED_VALUE"""),"Del hogar Simón bolívar -")</f>
        <v>Del hogar Simón bolívar -</v>
      </c>
      <c r="P514" s="65"/>
      <c r="Q514" s="65" t="str">
        <f>IFERROR(__xludf.DUMMYFUNCTION("""COMPUTED_VALUE"""),"LAARCOURIER")</f>
        <v>LAARCOURIER</v>
      </c>
      <c r="R514" s="65">
        <f>IFERROR(__xludf.DUMMYFUNCTION("""COMPUTED_VALUE"""),20.0)</f>
        <v>20</v>
      </c>
      <c r="S514" s="65"/>
      <c r="T514" s="65">
        <f>IFERROR(__xludf.DUMMYFUNCTION("""COMPUTED_VALUE"""),6.44)</f>
        <v>6.44</v>
      </c>
      <c r="U514" s="65">
        <f>IFERROR(__xludf.DUMMYFUNCTION("""COMPUTED_VALUE"""),0.0)</f>
        <v>0</v>
      </c>
      <c r="V514" s="65">
        <f>IFERROR(__xludf.DUMMYFUNCTION("""COMPUTED_VALUE"""),0.0)</f>
        <v>0</v>
      </c>
      <c r="W514" s="65">
        <f>IFERROR(__xludf.DUMMYFUNCTION("""COMPUTED_VALUE"""),0.0)</f>
        <v>0</v>
      </c>
      <c r="X514" s="65">
        <f>IFERROR(__xludf.DUMMYFUNCTION("""COMPUTED_VALUE"""),2.35)</f>
        <v>2.35</v>
      </c>
      <c r="Y514" s="65">
        <f>IFERROR(__xludf.DUMMYFUNCTION("""COMPUTED_VALUE"""),2.35)</f>
        <v>2.35</v>
      </c>
      <c r="Z514" s="65">
        <f>IFERROR(__xludf.DUMMYFUNCTION("""COMPUTED_VALUE"""),116679.0)</f>
        <v>116679</v>
      </c>
      <c r="AA514" s="65" t="str">
        <f>IFERROR(__xludf.DUMMYFUNCTION("""COMPUTED_VALUE"""),"AMC-2738")</f>
        <v>AMC-2738</v>
      </c>
      <c r="AB514" s="65"/>
      <c r="AC514" s="65" t="str">
        <f>IFERROR(__xludf.DUMMYFUNCTION("""COMPUTED_VALUE"""),"ESPONJA ANTILLUVIA DE PARABRISAS")</f>
        <v>ESPONJA ANTILLUVIA DE PARABRISAS</v>
      </c>
      <c r="AD514" s="65"/>
      <c r="AE514" s="65">
        <f>IFERROR(__xludf.DUMMYFUNCTION("""COMPUTED_VALUE"""),1.0)</f>
        <v>1</v>
      </c>
      <c r="AF514" s="65"/>
      <c r="AG514" s="65"/>
      <c r="AH514" s="65"/>
      <c r="AI514" s="65"/>
      <c r="AJ514" s="65"/>
      <c r="AK514" s="65"/>
      <c r="AL514" s="65"/>
      <c r="AM514" s="65"/>
      <c r="AN514" s="65"/>
      <c r="AO514" s="65"/>
      <c r="AP514" s="65"/>
      <c r="AQ514" s="65"/>
      <c r="AR514" s="65"/>
      <c r="AS514" s="65"/>
      <c r="AT514" s="65" t="str">
        <f>IFERROR(__xludf.DUMMYFUNCTION("""COMPUTED_VALUE"""),"SHOPIFY")</f>
        <v>SHOPIFY</v>
      </c>
      <c r="AU514" s="65" t="str">
        <f>IFERROR(__xludf.DUMMYFUNCTION("""COMPUTED_VALUE"""),"IMPORTEX EC")</f>
        <v>IMPORTEX EC</v>
      </c>
      <c r="AV514" s="65" t="str">
        <f>IFERROR(__xludf.DUMMYFUNCTION("""COMPUTED_VALUE"""),"6537212264492")</f>
        <v>6537212264492</v>
      </c>
      <c r="AW514" s="65">
        <f>IFERROR(__xludf.DUMMYFUNCTION("""COMPUTED_VALUE"""),6355.0)</f>
        <v>6355</v>
      </c>
      <c r="AX514" s="65"/>
      <c r="AY514" s="65"/>
      <c r="AZ514" s="65"/>
      <c r="BA514" s="65"/>
    </row>
    <row r="515">
      <c r="A515" s="65" t="str">
        <f>IFERROR(__xludf.DUMMYFUNCTION("""COMPUTED_VALUE"""),"27-03-2026")</f>
        <v>27-03-2026</v>
      </c>
      <c r="B515" s="65">
        <f>IFERROR(__xludf.DUMMYFUNCTION("""COMPUTED_VALUE"""),4633429.0)</f>
        <v>4633429</v>
      </c>
      <c r="C515" s="65" t="str">
        <f>IFERROR(__xludf.DUMMYFUNCTION("""COMPUTED_VALUE"""),"15:05")</f>
        <v>15:05</v>
      </c>
      <c r="D515" s="65" t="str">
        <f>IFERROR(__xludf.DUMMYFUNCTION("""COMPUTED_VALUE"""),"26-02-2026")</f>
        <v>26-02-2026</v>
      </c>
      <c r="E515" s="65" t="str">
        <f>IFERROR(__xludf.DUMMYFUNCTION("""COMPUTED_VALUE"""),"Jessica Salguero")</f>
        <v>Jessica Salguero</v>
      </c>
      <c r="F515" s="65" t="str">
        <f>IFERROR(__xludf.DUMMYFUNCTION("""COMPUTED_VALUE"""),"999626247")</f>
        <v>999626247</v>
      </c>
      <c r="G515" s="65" t="str">
        <f>IFERROR(__xludf.DUMMYFUNCTION("""COMPUTED_VALUE"""),"alexandrasanches311711@gmail.com")</f>
        <v>alexandrasanches311711@gmail.com</v>
      </c>
      <c r="H515" s="65"/>
      <c r="I515" s="65"/>
      <c r="J515" s="65" t="str">
        <f>IFERROR(__xludf.DUMMYFUNCTION("""COMPUTED_VALUE"""),"D001373945")</f>
        <v>D001373945</v>
      </c>
      <c r="K515" s="65" t="str">
        <f>IFERROR(__xludf.DUMMYFUNCTION("""COMPUTED_VALUE"""),"ENTREGADO")</f>
        <v>ENTREGADO</v>
      </c>
      <c r="L515" s="65" t="str">
        <f>IFERROR(__xludf.DUMMYFUNCTION("""COMPUTED_VALUE"""),"CON RECAUDO")</f>
        <v>CON RECAUDO</v>
      </c>
      <c r="M515" s="65" t="str">
        <f>IFERROR(__xludf.DUMMYFUNCTION("""COMPUTED_VALUE"""),"PICHINCHA")</f>
        <v>PICHINCHA</v>
      </c>
      <c r="N515" s="65" t="str">
        <f>IFERROR(__xludf.DUMMYFUNCTION("""COMPUTED_VALUE"""),"QUITO")</f>
        <v>QUITO</v>
      </c>
      <c r="O515" s="65" t="str">
        <f>IFERROR(__xludf.DUMMYFUNCTION("""COMPUTED_VALUE"""),"Tumbaco barrio collaqui la calle principal luisa de jesus y 24 de julio diagonal a la quinta santa maria")</f>
        <v>Tumbaco barrio collaqui la calle principal luisa de jesus y 24 de julio diagonal a la quinta santa maria</v>
      </c>
      <c r="P515" s="65"/>
      <c r="Q515" s="65" t="str">
        <f>IFERROR(__xludf.DUMMYFUNCTION("""COMPUTED_VALUE"""),"GINTRACOM")</f>
        <v>GINTRACOM</v>
      </c>
      <c r="R515" s="65">
        <f>IFERROR(__xludf.DUMMYFUNCTION("""COMPUTED_VALUE"""),20.0)</f>
        <v>20</v>
      </c>
      <c r="S515" s="65">
        <f>IFERROR(__xludf.DUMMYFUNCTION("""COMPUTED_VALUE"""),13.5)</f>
        <v>13.5</v>
      </c>
      <c r="T515" s="65">
        <f>IFERROR(__xludf.DUMMYFUNCTION("""COMPUTED_VALUE"""),4.15)</f>
        <v>4.15</v>
      </c>
      <c r="U515" s="65">
        <f>IFERROR(__xludf.DUMMYFUNCTION("""COMPUTED_VALUE"""),0.0)</f>
        <v>0</v>
      </c>
      <c r="V515" s="65">
        <f>IFERROR(__xludf.DUMMYFUNCTION("""COMPUTED_VALUE"""),0.0)</f>
        <v>0</v>
      </c>
      <c r="W515" s="65">
        <f>IFERROR(__xludf.DUMMYFUNCTION("""COMPUTED_VALUE"""),0.0)</f>
        <v>0</v>
      </c>
      <c r="X515" s="65">
        <f>IFERROR(__xludf.DUMMYFUNCTION("""COMPUTED_VALUE"""),2.35)</f>
        <v>2.35</v>
      </c>
      <c r="Y515" s="65">
        <f>IFERROR(__xludf.DUMMYFUNCTION("""COMPUTED_VALUE"""),2.35)</f>
        <v>2.35</v>
      </c>
      <c r="Z515" s="65">
        <f>IFERROR(__xludf.DUMMYFUNCTION("""COMPUTED_VALUE"""),116679.0)</f>
        <v>116679</v>
      </c>
      <c r="AA515" s="65" t="str">
        <f>IFERROR(__xludf.DUMMYFUNCTION("""COMPUTED_VALUE"""),"AMC-2738")</f>
        <v>AMC-2738</v>
      </c>
      <c r="AB515" s="65"/>
      <c r="AC515" s="65" t="str">
        <f>IFERROR(__xludf.DUMMYFUNCTION("""COMPUTED_VALUE"""),"ESPONJA ANTILLUVIA DE PARABRISAS")</f>
        <v>ESPONJA ANTILLUVIA DE PARABRISAS</v>
      </c>
      <c r="AD515" s="65"/>
      <c r="AE515" s="65">
        <f>IFERROR(__xludf.DUMMYFUNCTION("""COMPUTED_VALUE"""),1.0)</f>
        <v>1</v>
      </c>
      <c r="AF515" s="65" t="str">
        <f>IFERROR(__xludf.DUMMYFUNCTION("""COMPUTED_VALUE"""),"DESTINATARIO NO CONTESTA LLAMADAS NI WHATSAPP")</f>
        <v>DESTINATARIO NO CONTESTA LLAMADAS NI WHATSAPP</v>
      </c>
      <c r="AG515" s="65" t="str">
        <f>IFERROR(__xludf.DUMMYFUNCTION("""COMPUTED_VALUE"""),"SI")</f>
        <v>SI</v>
      </c>
      <c r="AH515" s="65" t="str">
        <f>IFERROR(__xludf.DUMMYFUNCTION("""COMPUTED_VALUE"""),"09:00")</f>
        <v>09:00</v>
      </c>
      <c r="AI515" s="65" t="str">
        <f>IFERROR(__xludf.DUMMYFUNCTION("""COMPUTED_VALUE"""),"07-03-2026")</f>
        <v>07-03-2026</v>
      </c>
      <c r="AJ515" s="65" t="str">
        <f>IFERROR(__xludf.DUMMYFUNCTION("""COMPUTED_VALUE"""),"Cliente solicita la entrega inmediata")</f>
        <v>Cliente solicita la entrega inmediata</v>
      </c>
      <c r="AK515" s="65" t="str">
        <f>IFERROR(__xludf.DUMMYFUNCTION("""COMPUTED_VALUE"""),"11:00")</f>
        <v>11:00</v>
      </c>
      <c r="AL515" s="65" t="str">
        <f>IFERROR(__xludf.DUMMYFUNCTION("""COMPUTED_VALUE"""),"09-03-2026")</f>
        <v>09-03-2026</v>
      </c>
      <c r="AM515" s="65"/>
      <c r="AN515" s="65" t="str">
        <f>IFERROR(__xludf.DUMMYFUNCTION("""COMPUTED_VALUE"""),"15:51")</f>
        <v>15:51</v>
      </c>
      <c r="AO515" s="65" t="str">
        <f>IFERROR(__xludf.DUMMYFUNCTION("""COMPUTED_VALUE"""),"10-03-2026")</f>
        <v>10-03-2026</v>
      </c>
      <c r="AP515" s="65" t="str">
        <f>IFERROR(__xludf.DUMMYFUNCTION("""COMPUTED_VALUE"""),"ENTREGADA GINTRACOM")</f>
        <v>ENTREGADA GINTRACOM</v>
      </c>
      <c r="AQ515" s="65" t="str">
        <f>IFERROR(__xludf.DUMMYFUNCTION("""COMPUTED_VALUE"""),"ENTREGADA GINTRACOM")</f>
        <v>ENTREGADA GINTRACOM</v>
      </c>
      <c r="AR515" s="65"/>
      <c r="AS515" s="65"/>
      <c r="AT515" s="65" t="str">
        <f>IFERROR(__xludf.DUMMYFUNCTION("""COMPUTED_VALUE"""),"SHOPIFY")</f>
        <v>SHOPIFY</v>
      </c>
      <c r="AU515" s="65" t="str">
        <f>IFERROR(__xludf.DUMMYFUNCTION("""COMPUTED_VALUE"""),"IMPORTEX EC")</f>
        <v>IMPORTEX EC</v>
      </c>
      <c r="AV515" s="65" t="str">
        <f>IFERROR(__xludf.DUMMYFUNCTION("""COMPUTED_VALUE"""),"6537137815596")</f>
        <v>6537137815596</v>
      </c>
      <c r="AW515" s="65">
        <f>IFERROR(__xludf.DUMMYFUNCTION("""COMPUTED_VALUE"""),6354.0)</f>
        <v>6354</v>
      </c>
      <c r="AX515" s="65"/>
      <c r="AY515" s="65" t="str">
        <f>IFERROR(__xludf.DUMMYFUNCTION("""COMPUTED_VALUE"""),"02/03/2026")</f>
        <v>02/03/2026</v>
      </c>
      <c r="AZ515" s="65"/>
      <c r="BA515" s="65"/>
    </row>
    <row r="516">
      <c r="A516" s="65" t="str">
        <f>IFERROR(__xludf.DUMMYFUNCTION("""COMPUTED_VALUE"""),"27-03-2026")</f>
        <v>27-03-2026</v>
      </c>
      <c r="B516" s="65">
        <f>IFERROR(__xludf.DUMMYFUNCTION("""COMPUTED_VALUE"""),4633296.0)</f>
        <v>4633296</v>
      </c>
      <c r="C516" s="65" t="str">
        <f>IFERROR(__xludf.DUMMYFUNCTION("""COMPUTED_VALUE"""),"14:53")</f>
        <v>14:53</v>
      </c>
      <c r="D516" s="65" t="str">
        <f>IFERROR(__xludf.DUMMYFUNCTION("""COMPUTED_VALUE"""),"26-02-2026")</f>
        <v>26-02-2026</v>
      </c>
      <c r="E516" s="65" t="str">
        <f>IFERROR(__xludf.DUMMYFUNCTION("""COMPUTED_VALUE"""),"Juan Jara")</f>
        <v>Juan Jara</v>
      </c>
      <c r="F516" s="65" t="str">
        <f>IFERROR(__xludf.DUMMYFUNCTION("""COMPUTED_VALUE"""),"963104344")</f>
        <v>963104344</v>
      </c>
      <c r="G516" s="65" t="str">
        <f>IFERROR(__xludf.DUMMYFUNCTION("""COMPUTED_VALUE"""),"bernardojbjv@hotmail.com")</f>
        <v>bernardojbjv@hotmail.com</v>
      </c>
      <c r="H516" s="65"/>
      <c r="I516" s="65"/>
      <c r="J516" s="65" t="str">
        <f>IFERROR(__xludf.DUMMYFUNCTION("""COMPUTED_VALUE"""),"D001367545")</f>
        <v>D001367545</v>
      </c>
      <c r="K516" s="65" t="str">
        <f>IFERROR(__xludf.DUMMYFUNCTION("""COMPUTED_VALUE"""),"DEVOLUCION")</f>
        <v>DEVOLUCION</v>
      </c>
      <c r="L516" s="65" t="str">
        <f>IFERROR(__xludf.DUMMYFUNCTION("""COMPUTED_VALUE"""),"CON RECAUDO")</f>
        <v>CON RECAUDO</v>
      </c>
      <c r="M516" s="65" t="str">
        <f>IFERROR(__xludf.DUMMYFUNCTION("""COMPUTED_VALUE"""),"PICHINCHA")</f>
        <v>PICHINCHA</v>
      </c>
      <c r="N516" s="65" t="str">
        <f>IFERROR(__xludf.DUMMYFUNCTION("""COMPUTED_VALUE"""),"CONOCOTO")</f>
        <v>CONOCOTO</v>
      </c>
      <c r="O516" s="65" t="str">
        <f>IFERROR(__xludf.DUMMYFUNCTION("""COMPUTED_VALUE"""),"Imbabura lote # 68 y Esmeralda El Dean Bajo, frente al parque del Dean Bajo. -")</f>
        <v>Imbabura lote # 68 y Esmeralda El Dean Bajo, frente al parque del Dean Bajo. -</v>
      </c>
      <c r="P516" s="65"/>
      <c r="Q516" s="65" t="str">
        <f>IFERROR(__xludf.DUMMYFUNCTION("""COMPUTED_VALUE"""),"GINTRACOM")</f>
        <v>GINTRACOM</v>
      </c>
      <c r="R516" s="65">
        <f>IFERROR(__xludf.DUMMYFUNCTION("""COMPUTED_VALUE"""),22.0)</f>
        <v>22</v>
      </c>
      <c r="S516" s="65"/>
      <c r="T516" s="65">
        <f>IFERROR(__xludf.DUMMYFUNCTION("""COMPUTED_VALUE"""),4.8)</f>
        <v>4.8</v>
      </c>
      <c r="U516" s="65">
        <f>IFERROR(__xludf.DUMMYFUNCTION("""COMPUTED_VALUE"""),0.0)</f>
        <v>0</v>
      </c>
      <c r="V516" s="65">
        <f>IFERROR(__xludf.DUMMYFUNCTION("""COMPUTED_VALUE"""),0.0)</f>
        <v>0</v>
      </c>
      <c r="W516" s="65">
        <f>IFERROR(__xludf.DUMMYFUNCTION("""COMPUTED_VALUE"""),0.0)</f>
        <v>0</v>
      </c>
      <c r="X516" s="65">
        <f>IFERROR(__xludf.DUMMYFUNCTION("""COMPUTED_VALUE"""),3.75)</f>
        <v>3.75</v>
      </c>
      <c r="Y516" s="65">
        <f>IFERROR(__xludf.DUMMYFUNCTION("""COMPUTED_VALUE"""),7.5)</f>
        <v>7.5</v>
      </c>
      <c r="Z516" s="65">
        <f>IFERROR(__xludf.DUMMYFUNCTION("""COMPUTED_VALUE"""),113116.0)</f>
        <v>113116</v>
      </c>
      <c r="AA516" s="65" t="str">
        <f>IFERROR(__xludf.DUMMYFUNCTION("""COMPUTED_VALUE"""),"IM-TAZAKI")</f>
        <v>IM-TAZAKI</v>
      </c>
      <c r="AB516" s="65"/>
      <c r="AC516" s="65" t="str">
        <f>IFERROR(__xludf.DUMMYFUNCTION("""COMPUTED_VALUE"""),"Cuchillo tazaki")</f>
        <v>Cuchillo tazaki</v>
      </c>
      <c r="AD516" s="65"/>
      <c r="AE516" s="65">
        <f>IFERROR(__xludf.DUMMYFUNCTION("""COMPUTED_VALUE"""),2.0)</f>
        <v>2</v>
      </c>
      <c r="AF516" s="65" t="str">
        <f>IFERROR(__xludf.DUMMYFUNCTION("""COMPUTED_VALUE"""),"DESTINATARIO NO CONTESTA LLAMADAS NI WHATSAPP")</f>
        <v>DESTINATARIO NO CONTESTA LLAMADAS NI WHATSAPP</v>
      </c>
      <c r="AG516" s="65" t="str">
        <f>IFERROR(__xludf.DUMMYFUNCTION("""COMPUTED_VALUE"""),"NO")</f>
        <v>NO</v>
      </c>
      <c r="AH516" s="65" t="str">
        <f>IFERROR(__xludf.DUMMYFUNCTION("""COMPUTED_VALUE"""),"13:26")</f>
        <v>13:26</v>
      </c>
      <c r="AI516" s="65" t="str">
        <f>IFERROR(__xludf.DUMMYFUNCTION("""COMPUTED_VALUE"""),"11-03-2026")</f>
        <v>11-03-2026</v>
      </c>
      <c r="AJ516" s="65"/>
      <c r="AK516" s="65"/>
      <c r="AL516" s="65"/>
      <c r="AM516" s="65"/>
      <c r="AN516" s="65" t="str">
        <f>IFERROR(__xludf.DUMMYFUNCTION("""COMPUTED_VALUE"""),"11:17")</f>
        <v>11:17</v>
      </c>
      <c r="AO516" s="65" t="str">
        <f>IFERROR(__xludf.DUMMYFUNCTION("""COMPUTED_VALUE"""),"18-03-2026")</f>
        <v>18-03-2026</v>
      </c>
      <c r="AP516" s="65" t="str">
        <f>IFERROR(__xludf.DUMMYFUNCTION("""COMPUTED_VALUE"""),"DEV CONFIRMADA POR BODEGA")</f>
        <v>DEV CONFIRMADA POR BODEGA</v>
      </c>
      <c r="AQ516" s="65"/>
      <c r="AR516" s="65" t="str">
        <f>IFERROR(__xludf.DUMMYFUNCTION("""COMPUTED_VALUE"""),"Gestionado por: IMPORSHOP SHOP, email:import1academyinfo@gmail.com, total de productos en la orden: 1")</f>
        <v>Gestionado por: IMPORSHOP SHOP, email:import1academyinfo@gmail.com, total de productos en la orden: 1</v>
      </c>
      <c r="AS516" s="65"/>
      <c r="AT516" s="65" t="str">
        <f>IFERROR(__xludf.DUMMYFUNCTION("""COMPUTED_VALUE"""),"SHOPIFY")</f>
        <v>SHOPIFY</v>
      </c>
      <c r="AU516" s="65" t="str">
        <f>IFERROR(__xludf.DUMMYFUNCTION("""COMPUTED_VALUE"""),"IMPORTEX EC")</f>
        <v>IMPORTEX EC</v>
      </c>
      <c r="AV516" s="65" t="str">
        <f>IFERROR(__xludf.DUMMYFUNCTION("""COMPUTED_VALUE"""),"6537049669676")</f>
        <v>6537049669676</v>
      </c>
      <c r="AW516" s="65">
        <f>IFERROR(__xludf.DUMMYFUNCTION("""COMPUTED_VALUE"""),6353.0)</f>
        <v>6353</v>
      </c>
      <c r="AX516" s="65"/>
      <c r="AY516" s="65" t="str">
        <f>IFERROR(__xludf.DUMMYFUNCTION("""COMPUTED_VALUE"""),"28/02/2026")</f>
        <v>28/02/2026</v>
      </c>
      <c r="AZ516" s="65"/>
      <c r="BA516" s="65"/>
    </row>
    <row r="517">
      <c r="A517" s="65" t="str">
        <f>IFERROR(__xludf.DUMMYFUNCTION("""COMPUTED_VALUE"""),"27-03-2026")</f>
        <v>27-03-2026</v>
      </c>
      <c r="B517" s="65">
        <f>IFERROR(__xludf.DUMMYFUNCTION("""COMPUTED_VALUE"""),4633193.0)</f>
        <v>4633193</v>
      </c>
      <c r="C517" s="65" t="str">
        <f>IFERROR(__xludf.DUMMYFUNCTION("""COMPUTED_VALUE"""),"14:44")</f>
        <v>14:44</v>
      </c>
      <c r="D517" s="65" t="str">
        <f>IFERROR(__xludf.DUMMYFUNCTION("""COMPUTED_VALUE"""),"26-02-2026")</f>
        <v>26-02-2026</v>
      </c>
      <c r="E517" s="65" t="str">
        <f>IFERROR(__xludf.DUMMYFUNCTION("""COMPUTED_VALUE"""),"Nelson Darwin León González")</f>
        <v>Nelson Darwin León González</v>
      </c>
      <c r="F517" s="65" t="str">
        <f>IFERROR(__xludf.DUMMYFUNCTION("""COMPUTED_VALUE"""),"994876494")</f>
        <v>994876494</v>
      </c>
      <c r="G517" s="65" t="str">
        <f>IFERROR(__xludf.DUMMYFUNCTION("""COMPUTED_VALUE"""),"darwinleon1975@yahoo.es")</f>
        <v>darwinleon1975@yahoo.es</v>
      </c>
      <c r="H517" s="65"/>
      <c r="I517" s="65"/>
      <c r="J517" s="65"/>
      <c r="K517" s="65" t="str">
        <f>IFERROR(__xludf.DUMMYFUNCTION("""COMPUTED_VALUE"""),"PENDIENTE CONFIRMACION")</f>
        <v>PENDIENTE CONFIRMACION</v>
      </c>
      <c r="L517" s="65" t="str">
        <f>IFERROR(__xludf.DUMMYFUNCTION("""COMPUTED_VALUE"""),"CON RECAUDO")</f>
        <v>CON RECAUDO</v>
      </c>
      <c r="M517" s="65" t="str">
        <f>IFERROR(__xludf.DUMMYFUNCTION("""COMPUTED_VALUE"""),"ZAMORA CHINCHIPE")</f>
        <v>ZAMORA CHINCHIPE</v>
      </c>
      <c r="N517" s="65" t="str">
        <f>IFERROR(__xludf.DUMMYFUNCTION("""COMPUTED_VALUE"""),"ZAMORA")</f>
        <v>ZAMORA</v>
      </c>
      <c r="O517" s="65" t="str">
        <f>IFERROR(__xludf.DUMMYFUNCTION("""COMPUTED_VALUE"""),"David Samaniego y Salvador apolo Tunanza casa esquinera con cerramiento colo naranja -")</f>
        <v>David Samaniego y Salvador apolo Tunanza casa esquinera con cerramiento colo naranja -</v>
      </c>
      <c r="P517" s="65"/>
      <c r="Q517" s="65" t="str">
        <f>IFERROR(__xludf.DUMMYFUNCTION("""COMPUTED_VALUE"""),"GINTRACOM")</f>
        <v>GINTRACOM</v>
      </c>
      <c r="R517" s="65">
        <f>IFERROR(__xludf.DUMMYFUNCTION("""COMPUTED_VALUE"""),22.0)</f>
        <v>22</v>
      </c>
      <c r="S517" s="65"/>
      <c r="T517" s="65">
        <f>IFERROR(__xludf.DUMMYFUNCTION("""COMPUTED_VALUE"""),5.84)</f>
        <v>5.84</v>
      </c>
      <c r="U517" s="65">
        <f>IFERROR(__xludf.DUMMYFUNCTION("""COMPUTED_VALUE"""),0.0)</f>
        <v>0</v>
      </c>
      <c r="V517" s="65">
        <f>IFERROR(__xludf.DUMMYFUNCTION("""COMPUTED_VALUE"""),0.0)</f>
        <v>0</v>
      </c>
      <c r="W517" s="65">
        <f>IFERROR(__xludf.DUMMYFUNCTION("""COMPUTED_VALUE"""),0.0)</f>
        <v>0</v>
      </c>
      <c r="X517" s="65">
        <f>IFERROR(__xludf.DUMMYFUNCTION("""COMPUTED_VALUE"""),3.75)</f>
        <v>3.75</v>
      </c>
      <c r="Y517" s="65">
        <f>IFERROR(__xludf.DUMMYFUNCTION("""COMPUTED_VALUE"""),7.5)</f>
        <v>7.5</v>
      </c>
      <c r="Z517" s="65">
        <f>IFERROR(__xludf.DUMMYFUNCTION("""COMPUTED_VALUE"""),113116.0)</f>
        <v>113116</v>
      </c>
      <c r="AA517" s="65" t="str">
        <f>IFERROR(__xludf.DUMMYFUNCTION("""COMPUTED_VALUE"""),"IM-TAZAKI")</f>
        <v>IM-TAZAKI</v>
      </c>
      <c r="AB517" s="65"/>
      <c r="AC517" s="65" t="str">
        <f>IFERROR(__xludf.DUMMYFUNCTION("""COMPUTED_VALUE"""),"Cuchillo tazaki")</f>
        <v>Cuchillo tazaki</v>
      </c>
      <c r="AD517" s="65"/>
      <c r="AE517" s="65">
        <f>IFERROR(__xludf.DUMMYFUNCTION("""COMPUTED_VALUE"""),2.0)</f>
        <v>2</v>
      </c>
      <c r="AF517" s="65"/>
      <c r="AG517" s="65"/>
      <c r="AH517" s="65"/>
      <c r="AI517" s="65"/>
      <c r="AJ517" s="65"/>
      <c r="AK517" s="65"/>
      <c r="AL517" s="65"/>
      <c r="AM517" s="65"/>
      <c r="AN517" s="65"/>
      <c r="AO517" s="65"/>
      <c r="AP517" s="65"/>
      <c r="AQ517" s="65"/>
      <c r="AR517" s="65"/>
      <c r="AS517" s="65"/>
      <c r="AT517" s="65" t="str">
        <f>IFERROR(__xludf.DUMMYFUNCTION("""COMPUTED_VALUE"""),"SHOPIFY")</f>
        <v>SHOPIFY</v>
      </c>
      <c r="AU517" s="65" t="str">
        <f>IFERROR(__xludf.DUMMYFUNCTION("""COMPUTED_VALUE"""),"IMPORTEX EC")</f>
        <v>IMPORTEX EC</v>
      </c>
      <c r="AV517" s="65" t="str">
        <f>IFERROR(__xludf.DUMMYFUNCTION("""COMPUTED_VALUE"""),"6536979906604")</f>
        <v>6536979906604</v>
      </c>
      <c r="AW517" s="65">
        <f>IFERROR(__xludf.DUMMYFUNCTION("""COMPUTED_VALUE"""),6352.0)</f>
        <v>6352</v>
      </c>
      <c r="AX517" s="65"/>
      <c r="AY517" s="65"/>
      <c r="AZ517" s="65"/>
      <c r="BA517" s="65"/>
    </row>
    <row r="518">
      <c r="A518" s="65" t="str">
        <f>IFERROR(__xludf.DUMMYFUNCTION("""COMPUTED_VALUE"""),"27-03-2026")</f>
        <v>27-03-2026</v>
      </c>
      <c r="B518" s="65">
        <f>IFERROR(__xludf.DUMMYFUNCTION("""COMPUTED_VALUE"""),4632716.0)</f>
        <v>4632716</v>
      </c>
      <c r="C518" s="65" t="str">
        <f>IFERROR(__xludf.DUMMYFUNCTION("""COMPUTED_VALUE"""),"14:05")</f>
        <v>14:05</v>
      </c>
      <c r="D518" s="65" t="str">
        <f>IFERROR(__xludf.DUMMYFUNCTION("""COMPUTED_VALUE"""),"26-02-2026")</f>
        <v>26-02-2026</v>
      </c>
      <c r="E518" s="65" t="str">
        <f>IFERROR(__xludf.DUMMYFUNCTION("""COMPUTED_VALUE"""),"Miguel Ángel Torres")</f>
        <v>Miguel Ángel Torres</v>
      </c>
      <c r="F518" s="65" t="str">
        <f>IFERROR(__xludf.DUMMYFUNCTION("""COMPUTED_VALUE"""),"968289212")</f>
        <v>968289212</v>
      </c>
      <c r="G518" s="65"/>
      <c r="H518" s="65"/>
      <c r="I518" s="65"/>
      <c r="J518" s="65" t="str">
        <f>IFERROR(__xludf.DUMMYFUNCTION("""COMPUTED_VALUE"""),"D001367546")</f>
        <v>D001367546</v>
      </c>
      <c r="K518" s="65" t="str">
        <f>IFERROR(__xludf.DUMMYFUNCTION("""COMPUTED_VALUE"""),"DEVOLUCION")</f>
        <v>DEVOLUCION</v>
      </c>
      <c r="L518" s="65" t="str">
        <f>IFERROR(__xludf.DUMMYFUNCTION("""COMPUTED_VALUE"""),"CON RECAUDO")</f>
        <v>CON RECAUDO</v>
      </c>
      <c r="M518" s="65" t="str">
        <f>IFERROR(__xludf.DUMMYFUNCTION("""COMPUTED_VALUE"""),"GUAYAS")</f>
        <v>GUAYAS</v>
      </c>
      <c r="N518" s="65" t="str">
        <f>IFERROR(__xludf.DUMMYFUNCTION("""COMPUTED_VALUE"""),"MILAGRO")</f>
        <v>MILAGRO</v>
      </c>
      <c r="O518" s="65" t="str">
        <f>IFERROR(__xludf.DUMMYFUNCTION("""COMPUTED_VALUE"""),"Kilómetro 1 medio vía a naranjito Pasando los garabatos -  referencia diagonal ala urbanización Mónaco")</f>
        <v>Kilómetro 1 medio vía a naranjito Pasando los garabatos -  referencia diagonal ala urbanización Mónaco</v>
      </c>
      <c r="P518" s="65"/>
      <c r="Q518" s="65" t="str">
        <f>IFERROR(__xludf.DUMMYFUNCTION("""COMPUTED_VALUE"""),"GINTRACOM")</f>
        <v>GINTRACOM</v>
      </c>
      <c r="R518" s="65">
        <f>IFERROR(__xludf.DUMMYFUNCTION("""COMPUTED_VALUE"""),27.0)</f>
        <v>27</v>
      </c>
      <c r="S518" s="65"/>
      <c r="T518" s="65">
        <f>IFERROR(__xludf.DUMMYFUNCTION("""COMPUTED_VALUE"""),6.03)</f>
        <v>6.03</v>
      </c>
      <c r="U518" s="65">
        <f>IFERROR(__xludf.DUMMYFUNCTION("""COMPUTED_VALUE"""),0.0)</f>
        <v>0</v>
      </c>
      <c r="V518" s="65">
        <f>IFERROR(__xludf.DUMMYFUNCTION("""COMPUTED_VALUE"""),0.0)</f>
        <v>0</v>
      </c>
      <c r="W518" s="65">
        <f>IFERROR(__xludf.DUMMYFUNCTION("""COMPUTED_VALUE"""),0.0)</f>
        <v>0</v>
      </c>
      <c r="X518" s="65">
        <f>IFERROR(__xludf.DUMMYFUNCTION("""COMPUTED_VALUE"""),3.75)</f>
        <v>3.75</v>
      </c>
      <c r="Y518" s="65">
        <f>IFERROR(__xludf.DUMMYFUNCTION("""COMPUTED_VALUE"""),11.25)</f>
        <v>11.25</v>
      </c>
      <c r="Z518" s="65">
        <f>IFERROR(__xludf.DUMMYFUNCTION("""COMPUTED_VALUE"""),113116.0)</f>
        <v>113116</v>
      </c>
      <c r="AA518" s="65" t="str">
        <f>IFERROR(__xludf.DUMMYFUNCTION("""COMPUTED_VALUE"""),"IM-TAZAKI")</f>
        <v>IM-TAZAKI</v>
      </c>
      <c r="AB518" s="65"/>
      <c r="AC518" s="65" t="str">
        <f>IFERROR(__xludf.DUMMYFUNCTION("""COMPUTED_VALUE"""),"Cuchillo tazaki")</f>
        <v>Cuchillo tazaki</v>
      </c>
      <c r="AD518" s="65"/>
      <c r="AE518" s="65">
        <f>IFERROR(__xludf.DUMMYFUNCTION("""COMPUTED_VALUE"""),3.0)</f>
        <v>3</v>
      </c>
      <c r="AF518" s="65" t="str">
        <f>IFERROR(__xludf.DUMMYFUNCTION("""COMPUTED_VALUE"""),"DESTINATARIO NO CONTESTA LLAMADAS NI WHATSAPP")</f>
        <v>DESTINATARIO NO CONTESTA LLAMADAS NI WHATSAPP</v>
      </c>
      <c r="AG518" s="65" t="str">
        <f>IFERROR(__xludf.DUMMYFUNCTION("""COMPUTED_VALUE"""),"NO")</f>
        <v>NO</v>
      </c>
      <c r="AH518" s="65" t="str">
        <f>IFERROR(__xludf.DUMMYFUNCTION("""COMPUTED_VALUE"""),"12:44")</f>
        <v>12:44</v>
      </c>
      <c r="AI518" s="65" t="str">
        <f>IFERROR(__xludf.DUMMYFUNCTION("""COMPUTED_VALUE"""),"02-03-2026")</f>
        <v>02-03-2026</v>
      </c>
      <c r="AJ518" s="65"/>
      <c r="AK518" s="65"/>
      <c r="AL518" s="65"/>
      <c r="AM518" s="65"/>
      <c r="AN518" s="65" t="str">
        <f>IFERROR(__xludf.DUMMYFUNCTION("""COMPUTED_VALUE"""),"13:08")</f>
        <v>13:08</v>
      </c>
      <c r="AO518" s="65" t="str">
        <f>IFERROR(__xludf.DUMMYFUNCTION("""COMPUTED_VALUE"""),"26-03-2026")</f>
        <v>26-03-2026</v>
      </c>
      <c r="AP518" s="65" t="str">
        <f>IFERROR(__xludf.DUMMYFUNCTION("""COMPUTED_VALUE"""),"DEVOLUCIÓN ENTREGADA A ORIGEN")</f>
        <v>DEVOLUCIÓN ENTREGADA A ORIGEN</v>
      </c>
      <c r="AQ518" s="65" t="str">
        <f>IFERROR(__xludf.DUMMYFUNCTION("""COMPUTED_VALUE"""),"DEVOLUCIÓN ENTREGADA A ORIGEN")</f>
        <v>DEVOLUCIÓN ENTREGADA A ORIGEN</v>
      </c>
      <c r="AR518" s="65"/>
      <c r="AS518" s="65"/>
      <c r="AT518" s="65" t="str">
        <f>IFERROR(__xludf.DUMMYFUNCTION("""COMPUTED_VALUE"""),"SHOPIFY")</f>
        <v>SHOPIFY</v>
      </c>
      <c r="AU518" s="65" t="str">
        <f>IFERROR(__xludf.DUMMYFUNCTION("""COMPUTED_VALUE"""),"IMPORTEX EC")</f>
        <v>IMPORTEX EC</v>
      </c>
      <c r="AV518" s="65" t="str">
        <f>IFERROR(__xludf.DUMMYFUNCTION("""COMPUTED_VALUE"""),"6536697839660")</f>
        <v>6536697839660</v>
      </c>
      <c r="AW518" s="65">
        <f>IFERROR(__xludf.DUMMYFUNCTION("""COMPUTED_VALUE"""),6350.0)</f>
        <v>6350</v>
      </c>
      <c r="AX518" s="65"/>
      <c r="AY518" s="65" t="str">
        <f>IFERROR(__xludf.DUMMYFUNCTION("""COMPUTED_VALUE"""),"28/02/2026")</f>
        <v>28/02/2026</v>
      </c>
      <c r="AZ518" s="65"/>
      <c r="BA518" s="65"/>
    </row>
    <row r="519">
      <c r="A519" s="65" t="str">
        <f>IFERROR(__xludf.DUMMYFUNCTION("""COMPUTED_VALUE"""),"27-03-2026")</f>
        <v>27-03-2026</v>
      </c>
      <c r="B519" s="65">
        <f>IFERROR(__xludf.DUMMYFUNCTION("""COMPUTED_VALUE"""),4632104.0)</f>
        <v>4632104</v>
      </c>
      <c r="C519" s="65" t="str">
        <f>IFERROR(__xludf.DUMMYFUNCTION("""COMPUTED_VALUE"""),"13:03")</f>
        <v>13:03</v>
      </c>
      <c r="D519" s="65" t="str">
        <f>IFERROR(__xludf.DUMMYFUNCTION("""COMPUTED_VALUE"""),"26-02-2026")</f>
        <v>26-02-2026</v>
      </c>
      <c r="E519" s="65" t="str">
        <f>IFERROR(__xludf.DUMMYFUNCTION("""COMPUTED_VALUE"""),"Edgar Raúl Arguero Arguero")</f>
        <v>Edgar Raúl Arguero Arguero</v>
      </c>
      <c r="F519" s="65" t="str">
        <f>IFERROR(__xludf.DUMMYFUNCTION("""COMPUTED_VALUE"""),"983078610")</f>
        <v>983078610</v>
      </c>
      <c r="G519" s="65" t="str">
        <f>IFERROR(__xludf.DUMMYFUNCTION("""COMPUTED_VALUE"""),"edgararguero@hotmail.es")</f>
        <v>edgararguero@hotmail.es</v>
      </c>
      <c r="H519" s="65"/>
      <c r="I519" s="65"/>
      <c r="J519" s="65"/>
      <c r="K519" s="65" t="str">
        <f>IFERROR(__xludf.DUMMYFUNCTION("""COMPUTED_VALUE"""),"CANCELADO")</f>
        <v>CANCELADO</v>
      </c>
      <c r="L519" s="65" t="str">
        <f>IFERROR(__xludf.DUMMYFUNCTION("""COMPUTED_VALUE"""),"CON RECAUDO")</f>
        <v>CON RECAUDO</v>
      </c>
      <c r="M519" s="65" t="str">
        <f>IFERROR(__xludf.DUMMYFUNCTION("""COMPUTED_VALUE"""),"PICHINCHA")</f>
        <v>PICHINCHA</v>
      </c>
      <c r="N519" s="65" t="str">
        <f>IFERROR(__xludf.DUMMYFUNCTION("""COMPUTED_VALUE"""),"MACHACHI")</f>
        <v>MACHACHI</v>
      </c>
      <c r="O519" s="65" t="str">
        <f>IFERROR(__xludf.DUMMYFUNCTION("""COMPUTED_VALUE"""),"El complejo Y los Panzas -")</f>
        <v>El complejo Y los Panzas -</v>
      </c>
      <c r="P519" s="65"/>
      <c r="Q519" s="65" t="str">
        <f>IFERROR(__xludf.DUMMYFUNCTION("""COMPUTED_VALUE"""),"LAARCOURIER")</f>
        <v>LAARCOURIER</v>
      </c>
      <c r="R519" s="65">
        <f>IFERROR(__xludf.DUMMYFUNCTION("""COMPUTED_VALUE"""),20.0)</f>
        <v>20</v>
      </c>
      <c r="S519" s="65"/>
      <c r="T519" s="65">
        <f>IFERROR(__xludf.DUMMYFUNCTION("""COMPUTED_VALUE"""),6.44)</f>
        <v>6.44</v>
      </c>
      <c r="U519" s="65">
        <f>IFERROR(__xludf.DUMMYFUNCTION("""COMPUTED_VALUE"""),0.0)</f>
        <v>0</v>
      </c>
      <c r="V519" s="65">
        <f>IFERROR(__xludf.DUMMYFUNCTION("""COMPUTED_VALUE"""),0.0)</f>
        <v>0</v>
      </c>
      <c r="W519" s="65">
        <f>IFERROR(__xludf.DUMMYFUNCTION("""COMPUTED_VALUE"""),0.0)</f>
        <v>0</v>
      </c>
      <c r="X519" s="65">
        <f>IFERROR(__xludf.DUMMYFUNCTION("""COMPUTED_VALUE"""),2.35)</f>
        <v>2.35</v>
      </c>
      <c r="Y519" s="65">
        <f>IFERROR(__xludf.DUMMYFUNCTION("""COMPUTED_VALUE"""),2.35)</f>
        <v>2.35</v>
      </c>
      <c r="Z519" s="65">
        <f>IFERROR(__xludf.DUMMYFUNCTION("""COMPUTED_VALUE"""),116679.0)</f>
        <v>116679</v>
      </c>
      <c r="AA519" s="65" t="str">
        <f>IFERROR(__xludf.DUMMYFUNCTION("""COMPUTED_VALUE"""),"AMC-2738")</f>
        <v>AMC-2738</v>
      </c>
      <c r="AB519" s="65"/>
      <c r="AC519" s="65" t="str">
        <f>IFERROR(__xludf.DUMMYFUNCTION("""COMPUTED_VALUE"""),"ESPONJA ANTILLUVIA DE PARABRISAS")</f>
        <v>ESPONJA ANTILLUVIA DE PARABRISAS</v>
      </c>
      <c r="AD519" s="65"/>
      <c r="AE519" s="65">
        <f>IFERROR(__xludf.DUMMYFUNCTION("""COMPUTED_VALUE"""),1.0)</f>
        <v>1</v>
      </c>
      <c r="AF519" s="65"/>
      <c r="AG519" s="65"/>
      <c r="AH519" s="65"/>
      <c r="AI519" s="65"/>
      <c r="AJ519" s="65"/>
      <c r="AK519" s="65"/>
      <c r="AL519" s="65"/>
      <c r="AM519" s="65"/>
      <c r="AN519" s="65"/>
      <c r="AO519" s="65"/>
      <c r="AP519" s="65"/>
      <c r="AQ519" s="65"/>
      <c r="AR519" s="65"/>
      <c r="AS519" s="65"/>
      <c r="AT519" s="65" t="str">
        <f>IFERROR(__xludf.DUMMYFUNCTION("""COMPUTED_VALUE"""),"SHOPIFY")</f>
        <v>SHOPIFY</v>
      </c>
      <c r="AU519" s="65" t="str">
        <f>IFERROR(__xludf.DUMMYFUNCTION("""COMPUTED_VALUE"""),"IMPORTEX EC")</f>
        <v>IMPORTEX EC</v>
      </c>
      <c r="AV519" s="65" t="str">
        <f>IFERROR(__xludf.DUMMYFUNCTION("""COMPUTED_VALUE"""),"6536256684076")</f>
        <v>6536256684076</v>
      </c>
      <c r="AW519" s="65">
        <f>IFERROR(__xludf.DUMMYFUNCTION("""COMPUTED_VALUE"""),6349.0)</f>
        <v>6349</v>
      </c>
      <c r="AX519" s="65"/>
      <c r="AY519" s="65"/>
      <c r="AZ519" s="65"/>
      <c r="BA519" s="65"/>
    </row>
    <row r="520">
      <c r="A520" s="65" t="str">
        <f>IFERROR(__xludf.DUMMYFUNCTION("""COMPUTED_VALUE"""),"27-03-2026")</f>
        <v>27-03-2026</v>
      </c>
      <c r="B520" s="65">
        <f>IFERROR(__xludf.DUMMYFUNCTION("""COMPUTED_VALUE"""),4631597.0)</f>
        <v>4631597</v>
      </c>
      <c r="C520" s="65" t="str">
        <f>IFERROR(__xludf.DUMMYFUNCTION("""COMPUTED_VALUE"""),"12:14")</f>
        <v>12:14</v>
      </c>
      <c r="D520" s="65" t="str">
        <f>IFERROR(__xludf.DUMMYFUNCTION("""COMPUTED_VALUE"""),"26-02-2026")</f>
        <v>26-02-2026</v>
      </c>
      <c r="E520" s="65" t="str">
        <f>IFERROR(__xludf.DUMMYFUNCTION("""COMPUTED_VALUE"""),"Limber Tayron Moreira veliz")</f>
        <v>Limber Tayron Moreira veliz</v>
      </c>
      <c r="F520" s="65" t="str">
        <f>IFERROR(__xludf.DUMMYFUNCTION("""COMPUTED_VALUE"""),"995957951")</f>
        <v>995957951</v>
      </c>
      <c r="G520" s="65" t="str">
        <f>IFERROR(__xludf.DUMMYFUNCTION("""COMPUTED_VALUE"""),"newcartalleres@gmail.com")</f>
        <v>newcartalleres@gmail.com</v>
      </c>
      <c r="H520" s="65"/>
      <c r="I520" s="65"/>
      <c r="J520" s="65" t="str">
        <f>IFERROR(__xludf.DUMMYFUNCTION("""COMPUTED_VALUE"""),"D001367547")</f>
        <v>D001367547</v>
      </c>
      <c r="K520" s="65" t="str">
        <f>IFERROR(__xludf.DUMMYFUNCTION("""COMPUTED_VALUE"""),"ENTREGADO")</f>
        <v>ENTREGADO</v>
      </c>
      <c r="L520" s="65" t="str">
        <f>IFERROR(__xludf.DUMMYFUNCTION("""COMPUTED_VALUE"""),"CON RECAUDO")</f>
        <v>CON RECAUDO</v>
      </c>
      <c r="M520" s="65" t="str">
        <f>IFERROR(__xludf.DUMMYFUNCTION("""COMPUTED_VALUE"""),"GUAYAS")</f>
        <v>GUAYAS</v>
      </c>
      <c r="N520" s="65" t="str">
        <f>IFERROR(__xludf.DUMMYFUNCTION("""COMPUTED_VALUE"""),"GUAYAQUIL")</f>
        <v>GUAYAQUIL</v>
      </c>
      <c r="O520" s="65" t="str">
        <f>IFERROR(__xludf.DUMMYFUNCTION("""COMPUTED_VALUE"""),"6a callejon 18 g NO. MZ 001 solar 2-3 Prosperina -")</f>
        <v>6a callejon 18 g NO. MZ 001 solar 2-3 Prosperina -</v>
      </c>
      <c r="P520" s="65"/>
      <c r="Q520" s="65" t="str">
        <f>IFERROR(__xludf.DUMMYFUNCTION("""COMPUTED_VALUE"""),"GINTRACOM")</f>
        <v>GINTRACOM</v>
      </c>
      <c r="R520" s="65">
        <f>IFERROR(__xludf.DUMMYFUNCTION("""COMPUTED_VALUE"""),22.0)</f>
        <v>22</v>
      </c>
      <c r="S520" s="65">
        <f>IFERROR(__xludf.DUMMYFUNCTION("""COMPUTED_VALUE"""),8.66)</f>
        <v>8.66</v>
      </c>
      <c r="T520" s="65">
        <f>IFERROR(__xludf.DUMMYFUNCTION("""COMPUTED_VALUE"""),5.84)</f>
        <v>5.84</v>
      </c>
      <c r="U520" s="65">
        <f>IFERROR(__xludf.DUMMYFUNCTION("""COMPUTED_VALUE"""),0.0)</f>
        <v>0</v>
      </c>
      <c r="V520" s="65">
        <f>IFERROR(__xludf.DUMMYFUNCTION("""COMPUTED_VALUE"""),0.0)</f>
        <v>0</v>
      </c>
      <c r="W520" s="65">
        <f>IFERROR(__xludf.DUMMYFUNCTION("""COMPUTED_VALUE"""),0.0)</f>
        <v>0</v>
      </c>
      <c r="X520" s="65">
        <f>IFERROR(__xludf.DUMMYFUNCTION("""COMPUTED_VALUE"""),3.75)</f>
        <v>3.75</v>
      </c>
      <c r="Y520" s="65">
        <f>IFERROR(__xludf.DUMMYFUNCTION("""COMPUTED_VALUE"""),7.5)</f>
        <v>7.5</v>
      </c>
      <c r="Z520" s="65">
        <f>IFERROR(__xludf.DUMMYFUNCTION("""COMPUTED_VALUE"""),113116.0)</f>
        <v>113116</v>
      </c>
      <c r="AA520" s="65" t="str">
        <f>IFERROR(__xludf.DUMMYFUNCTION("""COMPUTED_VALUE"""),"IM-TAZAKI")</f>
        <v>IM-TAZAKI</v>
      </c>
      <c r="AB520" s="65"/>
      <c r="AC520" s="65" t="str">
        <f>IFERROR(__xludf.DUMMYFUNCTION("""COMPUTED_VALUE"""),"Cuchillo tazaki")</f>
        <v>Cuchillo tazaki</v>
      </c>
      <c r="AD520" s="65"/>
      <c r="AE520" s="65">
        <f>IFERROR(__xludf.DUMMYFUNCTION("""COMPUTED_VALUE"""),2.0)</f>
        <v>2</v>
      </c>
      <c r="AF520" s="65"/>
      <c r="AG520" s="65"/>
      <c r="AH520" s="65"/>
      <c r="AI520" s="65"/>
      <c r="AJ520" s="65"/>
      <c r="AK520" s="65"/>
      <c r="AL520" s="65"/>
      <c r="AM520" s="65"/>
      <c r="AN520" s="65" t="str">
        <f>IFERROR(__xludf.DUMMYFUNCTION("""COMPUTED_VALUE"""),"08:59")</f>
        <v>08:59</v>
      </c>
      <c r="AO520" s="65" t="str">
        <f>IFERROR(__xludf.DUMMYFUNCTION("""COMPUTED_VALUE"""),"02-03-2026")</f>
        <v>02-03-2026</v>
      </c>
      <c r="AP520" s="65" t="str">
        <f>IFERROR(__xludf.DUMMYFUNCTION("""COMPUTED_VALUE"""),"EN REPARTO")</f>
        <v>EN REPARTO</v>
      </c>
      <c r="AQ520" s="65" t="str">
        <f>IFERROR(__xludf.DUMMYFUNCTION("""COMPUTED_VALUE"""),"EN REPARTO")</f>
        <v>EN REPARTO</v>
      </c>
      <c r="AR520" s="65"/>
      <c r="AS520" s="65"/>
      <c r="AT520" s="65" t="str">
        <f>IFERROR(__xludf.DUMMYFUNCTION("""COMPUTED_VALUE"""),"SHOPIFY")</f>
        <v>SHOPIFY</v>
      </c>
      <c r="AU520" s="65" t="str">
        <f>IFERROR(__xludf.DUMMYFUNCTION("""COMPUTED_VALUE"""),"IMPORTEX EC")</f>
        <v>IMPORTEX EC</v>
      </c>
      <c r="AV520" s="65" t="str">
        <f>IFERROR(__xludf.DUMMYFUNCTION("""COMPUTED_VALUE"""),"6535846559788")</f>
        <v>6535846559788</v>
      </c>
      <c r="AW520" s="65">
        <f>IFERROR(__xludf.DUMMYFUNCTION("""COMPUTED_VALUE"""),6348.0)</f>
        <v>6348</v>
      </c>
      <c r="AX520" s="65"/>
      <c r="AY520" s="65" t="str">
        <f>IFERROR(__xludf.DUMMYFUNCTION("""COMPUTED_VALUE"""),"28/02/2026")</f>
        <v>28/02/2026</v>
      </c>
      <c r="AZ520" s="65"/>
      <c r="BA520" s="65"/>
    </row>
    <row r="521">
      <c r="A521" s="65" t="str">
        <f>IFERROR(__xludf.DUMMYFUNCTION("""COMPUTED_VALUE"""),"27-03-2026")</f>
        <v>27-03-2026</v>
      </c>
      <c r="B521" s="65">
        <f>IFERROR(__xludf.DUMMYFUNCTION("""COMPUTED_VALUE"""),4631275.0)</f>
        <v>4631275</v>
      </c>
      <c r="C521" s="65" t="str">
        <f>IFERROR(__xludf.DUMMYFUNCTION("""COMPUTED_VALUE"""),"11:45")</f>
        <v>11:45</v>
      </c>
      <c r="D521" s="65" t="str">
        <f>IFERROR(__xludf.DUMMYFUNCTION("""COMPUTED_VALUE"""),"26-02-2026")</f>
        <v>26-02-2026</v>
      </c>
      <c r="E521" s="65" t="str">
        <f>IFERROR(__xludf.DUMMYFUNCTION("""COMPUTED_VALUE"""),"Reyna Palomeque")</f>
        <v>Reyna Palomeque</v>
      </c>
      <c r="F521" s="65" t="str">
        <f>IFERROR(__xludf.DUMMYFUNCTION("""COMPUTED_VALUE"""),"991134229")</f>
        <v>991134229</v>
      </c>
      <c r="G521" s="65" t="str">
        <f>IFERROR(__xludf.DUMMYFUNCTION("""COMPUTED_VALUE"""),"reynapalomeque10@gmail.com")</f>
        <v>reynapalomeque10@gmail.com</v>
      </c>
      <c r="H521" s="65"/>
      <c r="I521" s="65"/>
      <c r="J521" s="65" t="str">
        <f>IFERROR(__xludf.DUMMYFUNCTION("""COMPUTED_VALUE"""),"D001367549")</f>
        <v>D001367549</v>
      </c>
      <c r="K521" s="65" t="str">
        <f>IFERROR(__xludf.DUMMYFUNCTION("""COMPUTED_VALUE"""),"ENTREGADO")</f>
        <v>ENTREGADO</v>
      </c>
      <c r="L521" s="65" t="str">
        <f>IFERROR(__xludf.DUMMYFUNCTION("""COMPUTED_VALUE"""),"CON RECAUDO")</f>
        <v>CON RECAUDO</v>
      </c>
      <c r="M521" s="65" t="str">
        <f>IFERROR(__xludf.DUMMYFUNCTION("""COMPUTED_VALUE"""),"SUCUMBIOS")</f>
        <v>SUCUMBIOS</v>
      </c>
      <c r="N521" s="65" t="str">
        <f>IFERROR(__xludf.DUMMYFUNCTION("""COMPUTED_VALUE"""),"LAGO AGRIO")</f>
        <v>LAGO AGRIO</v>
      </c>
      <c r="O521" s="65" t="str">
        <f>IFERROR(__xludf.DUMMYFUNCTION("""COMPUTED_VALUE"""),"Gral Subía y Pdt Roldos Barrio el Dorado - Casa # 802 frente Helados Yaguana un emprendimiento con sabor - Portón gris")</f>
        <v>Gral Subía y Pdt Roldos Barrio el Dorado - Casa # 802 frente Helados Yaguana un emprendimiento con sabor - Portón gris</v>
      </c>
      <c r="P521" s="65"/>
      <c r="Q521" s="65" t="str">
        <f>IFERROR(__xludf.DUMMYFUNCTION("""COMPUTED_VALUE"""),"GINTRACOM")</f>
        <v>GINTRACOM</v>
      </c>
      <c r="R521" s="65">
        <f>IFERROR(__xludf.DUMMYFUNCTION("""COMPUTED_VALUE"""),27.0)</f>
        <v>27</v>
      </c>
      <c r="S521" s="65">
        <f>IFERROR(__xludf.DUMMYFUNCTION("""COMPUTED_VALUE"""),9.72)</f>
        <v>9.72</v>
      </c>
      <c r="T521" s="65">
        <f>IFERROR(__xludf.DUMMYFUNCTION("""COMPUTED_VALUE"""),6.03)</f>
        <v>6.03</v>
      </c>
      <c r="U521" s="65">
        <f>IFERROR(__xludf.DUMMYFUNCTION("""COMPUTED_VALUE"""),0.0)</f>
        <v>0</v>
      </c>
      <c r="V521" s="65">
        <f>IFERROR(__xludf.DUMMYFUNCTION("""COMPUTED_VALUE"""),0.0)</f>
        <v>0</v>
      </c>
      <c r="W521" s="65">
        <f>IFERROR(__xludf.DUMMYFUNCTION("""COMPUTED_VALUE"""),0.0)</f>
        <v>0</v>
      </c>
      <c r="X521" s="65">
        <f>IFERROR(__xludf.DUMMYFUNCTION("""COMPUTED_VALUE"""),3.75)</f>
        <v>3.75</v>
      </c>
      <c r="Y521" s="65">
        <f>IFERROR(__xludf.DUMMYFUNCTION("""COMPUTED_VALUE"""),11.25)</f>
        <v>11.25</v>
      </c>
      <c r="Z521" s="65">
        <f>IFERROR(__xludf.DUMMYFUNCTION("""COMPUTED_VALUE"""),113116.0)</f>
        <v>113116</v>
      </c>
      <c r="AA521" s="65" t="str">
        <f>IFERROR(__xludf.DUMMYFUNCTION("""COMPUTED_VALUE"""),"IM-TAZAKI")</f>
        <v>IM-TAZAKI</v>
      </c>
      <c r="AB521" s="65"/>
      <c r="AC521" s="65" t="str">
        <f>IFERROR(__xludf.DUMMYFUNCTION("""COMPUTED_VALUE"""),"Cuchillo tazaki")</f>
        <v>Cuchillo tazaki</v>
      </c>
      <c r="AD521" s="65"/>
      <c r="AE521" s="65">
        <f>IFERROR(__xludf.DUMMYFUNCTION("""COMPUTED_VALUE"""),3.0)</f>
        <v>3</v>
      </c>
      <c r="AF521" s="65"/>
      <c r="AG521" s="65"/>
      <c r="AH521" s="65"/>
      <c r="AI521" s="65"/>
      <c r="AJ521" s="65"/>
      <c r="AK521" s="65"/>
      <c r="AL521" s="65"/>
      <c r="AM521" s="65"/>
      <c r="AN521" s="65" t="str">
        <f>IFERROR(__xludf.DUMMYFUNCTION("""COMPUTED_VALUE"""),"10:42")</f>
        <v>10:42</v>
      </c>
      <c r="AO521" s="65" t="str">
        <f>IFERROR(__xludf.DUMMYFUNCTION("""COMPUTED_VALUE"""),"02-03-2026")</f>
        <v>02-03-2026</v>
      </c>
      <c r="AP521" s="65" t="str">
        <f>IFERROR(__xludf.DUMMYFUNCTION("""COMPUTED_VALUE"""),"EN REPARTO")</f>
        <v>EN REPARTO</v>
      </c>
      <c r="AQ521" s="65" t="str">
        <f>IFERROR(__xludf.DUMMYFUNCTION("""COMPUTED_VALUE"""),"EN REPARTO")</f>
        <v>EN REPARTO</v>
      </c>
      <c r="AR521" s="65"/>
      <c r="AS521" s="65"/>
      <c r="AT521" s="65" t="str">
        <f>IFERROR(__xludf.DUMMYFUNCTION("""COMPUTED_VALUE"""),"SHOPIFY")</f>
        <v>SHOPIFY</v>
      </c>
      <c r="AU521" s="65" t="str">
        <f>IFERROR(__xludf.DUMMYFUNCTION("""COMPUTED_VALUE"""),"IMPORTEX EC")</f>
        <v>IMPORTEX EC</v>
      </c>
      <c r="AV521" s="65" t="str">
        <f>IFERROR(__xludf.DUMMYFUNCTION("""COMPUTED_VALUE"""),"6535622754348")</f>
        <v>6535622754348</v>
      </c>
      <c r="AW521" s="65">
        <f>IFERROR(__xludf.DUMMYFUNCTION("""COMPUTED_VALUE"""),6347.0)</f>
        <v>6347</v>
      </c>
      <c r="AX521" s="65"/>
      <c r="AY521" s="65" t="str">
        <f>IFERROR(__xludf.DUMMYFUNCTION("""COMPUTED_VALUE"""),"28/02/2026")</f>
        <v>28/02/2026</v>
      </c>
      <c r="AZ521" s="65"/>
      <c r="BA521" s="65"/>
    </row>
    <row r="522">
      <c r="A522" s="65" t="str">
        <f>IFERROR(__xludf.DUMMYFUNCTION("""COMPUTED_VALUE"""),"27-03-2026")</f>
        <v>27-03-2026</v>
      </c>
      <c r="B522" s="65">
        <f>IFERROR(__xludf.DUMMYFUNCTION("""COMPUTED_VALUE"""),4630856.0)</f>
        <v>4630856</v>
      </c>
      <c r="C522" s="65" t="str">
        <f>IFERROR(__xludf.DUMMYFUNCTION("""COMPUTED_VALUE"""),"11:10")</f>
        <v>11:10</v>
      </c>
      <c r="D522" s="65" t="str">
        <f>IFERROR(__xludf.DUMMYFUNCTION("""COMPUTED_VALUE"""),"26-02-2026")</f>
        <v>26-02-2026</v>
      </c>
      <c r="E522" s="65" t="str">
        <f>IFERROR(__xludf.DUMMYFUNCTION("""COMPUTED_VALUE"""),"Luis Amilcar Mármol")</f>
        <v>Luis Amilcar Mármol</v>
      </c>
      <c r="F522" s="65" t="str">
        <f>IFERROR(__xludf.DUMMYFUNCTION("""COMPUTED_VALUE"""),"979370052")</f>
        <v>979370052</v>
      </c>
      <c r="G522" s="65" t="str">
        <f>IFERROR(__xludf.DUMMYFUNCTION("""COMPUTED_VALUE"""),"lmarmol.61@gmail.com")</f>
        <v>lmarmol.61@gmail.com</v>
      </c>
      <c r="H522" s="65"/>
      <c r="I522" s="65"/>
      <c r="J522" s="65" t="str">
        <f>IFERROR(__xludf.DUMMYFUNCTION("""COMPUTED_VALUE"""),"D001367550")</f>
        <v>D001367550</v>
      </c>
      <c r="K522" s="65" t="str">
        <f>IFERROR(__xludf.DUMMYFUNCTION("""COMPUTED_VALUE"""),"ENTREGADO")</f>
        <v>ENTREGADO</v>
      </c>
      <c r="L522" s="65" t="str">
        <f>IFERROR(__xludf.DUMMYFUNCTION("""COMPUTED_VALUE"""),"CON RECAUDO")</f>
        <v>CON RECAUDO</v>
      </c>
      <c r="M522" s="65" t="str">
        <f>IFERROR(__xludf.DUMMYFUNCTION("""COMPUTED_VALUE"""),"PICHINCHA")</f>
        <v>PICHINCHA</v>
      </c>
      <c r="N522" s="65" t="str">
        <f>IFERROR(__xludf.DUMMYFUNCTION("""COMPUTED_VALUE"""),"QUITO")</f>
        <v>QUITO</v>
      </c>
      <c r="O522" s="65" t="str">
        <f>IFERROR(__xludf.DUMMYFUNCTION("""COMPUTED_VALUE"""),"Los Andes E 4-44 y Napo, Casa de tres pisos")</f>
        <v>Los Andes E 4-44 y Napo, Casa de tres pisos</v>
      </c>
      <c r="P522" s="65"/>
      <c r="Q522" s="65" t="str">
        <f>IFERROR(__xludf.DUMMYFUNCTION("""COMPUTED_VALUE"""),"GINTRACOM")</f>
        <v>GINTRACOM</v>
      </c>
      <c r="R522" s="65">
        <f>IFERROR(__xludf.DUMMYFUNCTION("""COMPUTED_VALUE"""),22.0)</f>
        <v>22</v>
      </c>
      <c r="S522" s="65">
        <f>IFERROR(__xludf.DUMMYFUNCTION("""COMPUTED_VALUE"""),10.27)</f>
        <v>10.27</v>
      </c>
      <c r="T522" s="65">
        <f>IFERROR(__xludf.DUMMYFUNCTION("""COMPUTED_VALUE"""),4.23)</f>
        <v>4.23</v>
      </c>
      <c r="U522" s="65">
        <f>IFERROR(__xludf.DUMMYFUNCTION("""COMPUTED_VALUE"""),0.0)</f>
        <v>0</v>
      </c>
      <c r="V522" s="65">
        <f>IFERROR(__xludf.DUMMYFUNCTION("""COMPUTED_VALUE"""),0.0)</f>
        <v>0</v>
      </c>
      <c r="W522" s="65">
        <f>IFERROR(__xludf.DUMMYFUNCTION("""COMPUTED_VALUE"""),0.0)</f>
        <v>0</v>
      </c>
      <c r="X522" s="65">
        <f>IFERROR(__xludf.DUMMYFUNCTION("""COMPUTED_VALUE"""),3.75)</f>
        <v>3.75</v>
      </c>
      <c r="Y522" s="65">
        <f>IFERROR(__xludf.DUMMYFUNCTION("""COMPUTED_VALUE"""),7.5)</f>
        <v>7.5</v>
      </c>
      <c r="Z522" s="65">
        <f>IFERROR(__xludf.DUMMYFUNCTION("""COMPUTED_VALUE"""),113116.0)</f>
        <v>113116</v>
      </c>
      <c r="AA522" s="65" t="str">
        <f>IFERROR(__xludf.DUMMYFUNCTION("""COMPUTED_VALUE"""),"IM-TAZAKI")</f>
        <v>IM-TAZAKI</v>
      </c>
      <c r="AB522" s="65"/>
      <c r="AC522" s="65" t="str">
        <f>IFERROR(__xludf.DUMMYFUNCTION("""COMPUTED_VALUE"""),"Cuchillo tazaki")</f>
        <v>Cuchillo tazaki</v>
      </c>
      <c r="AD522" s="65"/>
      <c r="AE522" s="65">
        <f>IFERROR(__xludf.DUMMYFUNCTION("""COMPUTED_VALUE"""),2.0)</f>
        <v>2</v>
      </c>
      <c r="AF522" s="65"/>
      <c r="AG522" s="65"/>
      <c r="AH522" s="65"/>
      <c r="AI522" s="65"/>
      <c r="AJ522" s="65"/>
      <c r="AK522" s="65"/>
      <c r="AL522" s="65"/>
      <c r="AM522" s="65"/>
      <c r="AN522" s="65" t="str">
        <f>IFERROR(__xludf.DUMMYFUNCTION("""COMPUTED_VALUE"""),"13:50")</f>
        <v>13:50</v>
      </c>
      <c r="AO522" s="65" t="str">
        <f>IFERROR(__xludf.DUMMYFUNCTION("""COMPUTED_VALUE"""),"02-03-2026")</f>
        <v>02-03-2026</v>
      </c>
      <c r="AP522" s="65" t="str">
        <f>IFERROR(__xludf.DUMMYFUNCTION("""COMPUTED_VALUE"""),"ENTREGADA GINTRACOM")</f>
        <v>ENTREGADA GINTRACOM</v>
      </c>
      <c r="AQ522" s="65" t="str">
        <f>IFERROR(__xludf.DUMMYFUNCTION("""COMPUTED_VALUE"""),"ENTREGADA GINTRACOM")</f>
        <v>ENTREGADA GINTRACOM</v>
      </c>
      <c r="AR522" s="65"/>
      <c r="AS522" s="65"/>
      <c r="AT522" s="65" t="str">
        <f>IFERROR(__xludf.DUMMYFUNCTION("""COMPUTED_VALUE"""),"SHOPIFY")</f>
        <v>SHOPIFY</v>
      </c>
      <c r="AU522" s="65" t="str">
        <f>IFERROR(__xludf.DUMMYFUNCTION("""COMPUTED_VALUE"""),"IMPORTEX EC")</f>
        <v>IMPORTEX EC</v>
      </c>
      <c r="AV522" s="65" t="str">
        <f>IFERROR(__xludf.DUMMYFUNCTION("""COMPUTED_VALUE"""),"6535325515820")</f>
        <v>6535325515820</v>
      </c>
      <c r="AW522" s="65">
        <f>IFERROR(__xludf.DUMMYFUNCTION("""COMPUTED_VALUE"""),6346.0)</f>
        <v>6346</v>
      </c>
      <c r="AX522" s="65"/>
      <c r="AY522" s="65" t="str">
        <f>IFERROR(__xludf.DUMMYFUNCTION("""COMPUTED_VALUE"""),"28/02/2026")</f>
        <v>28/02/2026</v>
      </c>
      <c r="AZ522" s="65"/>
      <c r="BA522" s="65"/>
    </row>
    <row r="523">
      <c r="A523" s="65" t="str">
        <f>IFERROR(__xludf.DUMMYFUNCTION("""COMPUTED_VALUE"""),"27-03-2026")</f>
        <v>27-03-2026</v>
      </c>
      <c r="B523" s="65">
        <f>IFERROR(__xludf.DUMMYFUNCTION("""COMPUTED_VALUE"""),4630802.0)</f>
        <v>4630802</v>
      </c>
      <c r="C523" s="65" t="str">
        <f>IFERROR(__xludf.DUMMYFUNCTION("""COMPUTED_VALUE"""),"11:05")</f>
        <v>11:05</v>
      </c>
      <c r="D523" s="65" t="str">
        <f>IFERROR(__xludf.DUMMYFUNCTION("""COMPUTED_VALUE"""),"26-02-2026")</f>
        <v>26-02-2026</v>
      </c>
      <c r="E523" s="65" t="str">
        <f>IFERROR(__xludf.DUMMYFUNCTION("""COMPUTED_VALUE"""),"Carlos Munoz")</f>
        <v>Carlos Munoz</v>
      </c>
      <c r="F523" s="65" t="str">
        <f>IFERROR(__xludf.DUMMYFUNCTION("""COMPUTED_VALUE"""),"999369822")</f>
        <v>999369822</v>
      </c>
      <c r="G523" s="65" t="str">
        <f>IFERROR(__xludf.DUMMYFUNCTION("""COMPUTED_VALUE"""),"cardamaalbb@gmail.com")</f>
        <v>cardamaalbb@gmail.com</v>
      </c>
      <c r="H523" s="65"/>
      <c r="I523" s="65"/>
      <c r="J523" s="65"/>
      <c r="K523" s="65" t="str">
        <f>IFERROR(__xludf.DUMMYFUNCTION("""COMPUTED_VALUE"""),"PENDIENTE CONFIRMACION")</f>
        <v>PENDIENTE CONFIRMACION</v>
      </c>
      <c r="L523" s="65" t="str">
        <f>IFERROR(__xludf.DUMMYFUNCTION("""COMPUTED_VALUE"""),"CON RECAUDO")</f>
        <v>CON RECAUDO</v>
      </c>
      <c r="M523" s="65" t="str">
        <f>IFERROR(__xludf.DUMMYFUNCTION("""COMPUTED_VALUE"""),"GUAYAS")</f>
        <v>GUAYAS</v>
      </c>
      <c r="N523" s="65" t="str">
        <f>IFERROR(__xludf.DUMMYFUNCTION("""COMPUTED_VALUE"""),"VIRGEN DE FATIMA KM 26")</f>
        <v>VIRGEN DE FATIMA KM 26</v>
      </c>
      <c r="O523" s="65" t="str">
        <f>IFERROR(__xludf.DUMMYFUNCTION("""COMPUTED_VALUE"""),"Virgen de Fátima Virgen de Fátima -")</f>
        <v>Virgen de Fátima Virgen de Fátima -</v>
      </c>
      <c r="P523" s="65"/>
      <c r="Q523" s="65" t="str">
        <f>IFERROR(__xludf.DUMMYFUNCTION("""COMPUTED_VALUE"""),"LAARCOURIER")</f>
        <v>LAARCOURIER</v>
      </c>
      <c r="R523" s="65">
        <f>IFERROR(__xludf.DUMMYFUNCTION("""COMPUTED_VALUE"""),22.0)</f>
        <v>22</v>
      </c>
      <c r="S523" s="65"/>
      <c r="T523" s="65">
        <f>IFERROR(__xludf.DUMMYFUNCTION("""COMPUTED_VALUE"""),7.01)</f>
        <v>7.01</v>
      </c>
      <c r="U523" s="65">
        <f>IFERROR(__xludf.DUMMYFUNCTION("""COMPUTED_VALUE"""),0.0)</f>
        <v>0</v>
      </c>
      <c r="V523" s="65">
        <f>IFERROR(__xludf.DUMMYFUNCTION("""COMPUTED_VALUE"""),0.0)</f>
        <v>0</v>
      </c>
      <c r="W523" s="65">
        <f>IFERROR(__xludf.DUMMYFUNCTION("""COMPUTED_VALUE"""),0.0)</f>
        <v>0</v>
      </c>
      <c r="X523" s="65">
        <f>IFERROR(__xludf.DUMMYFUNCTION("""COMPUTED_VALUE"""),3.75)</f>
        <v>3.75</v>
      </c>
      <c r="Y523" s="65">
        <f>IFERROR(__xludf.DUMMYFUNCTION("""COMPUTED_VALUE"""),7.5)</f>
        <v>7.5</v>
      </c>
      <c r="Z523" s="65">
        <f>IFERROR(__xludf.DUMMYFUNCTION("""COMPUTED_VALUE"""),113116.0)</f>
        <v>113116</v>
      </c>
      <c r="AA523" s="65" t="str">
        <f>IFERROR(__xludf.DUMMYFUNCTION("""COMPUTED_VALUE"""),"IM-TAZAKI")</f>
        <v>IM-TAZAKI</v>
      </c>
      <c r="AB523" s="65"/>
      <c r="AC523" s="65" t="str">
        <f>IFERROR(__xludf.DUMMYFUNCTION("""COMPUTED_VALUE"""),"Cuchillo tazaki")</f>
        <v>Cuchillo tazaki</v>
      </c>
      <c r="AD523" s="65"/>
      <c r="AE523" s="65">
        <f>IFERROR(__xludf.DUMMYFUNCTION("""COMPUTED_VALUE"""),2.0)</f>
        <v>2</v>
      </c>
      <c r="AF523" s="65"/>
      <c r="AG523" s="65"/>
      <c r="AH523" s="65"/>
      <c r="AI523" s="65"/>
      <c r="AJ523" s="65"/>
      <c r="AK523" s="65"/>
      <c r="AL523" s="65"/>
      <c r="AM523" s="65"/>
      <c r="AN523" s="65"/>
      <c r="AO523" s="65"/>
      <c r="AP523" s="65"/>
      <c r="AQ523" s="65"/>
      <c r="AR523" s="65"/>
      <c r="AS523" s="65"/>
      <c r="AT523" s="65" t="str">
        <f>IFERROR(__xludf.DUMMYFUNCTION("""COMPUTED_VALUE"""),"SHOPIFY")</f>
        <v>SHOPIFY</v>
      </c>
      <c r="AU523" s="65" t="str">
        <f>IFERROR(__xludf.DUMMYFUNCTION("""COMPUTED_VALUE"""),"IMPORTEX EC")</f>
        <v>IMPORTEX EC</v>
      </c>
      <c r="AV523" s="65" t="str">
        <f>IFERROR(__xludf.DUMMYFUNCTION("""COMPUTED_VALUE"""),"6531855253548")</f>
        <v>6531855253548</v>
      </c>
      <c r="AW523" s="65">
        <f>IFERROR(__xludf.DUMMYFUNCTION("""COMPUTED_VALUE"""),6332.0)</f>
        <v>6332</v>
      </c>
      <c r="AX523" s="65"/>
      <c r="AY523" s="65"/>
      <c r="AZ523" s="65"/>
      <c r="BA523" s="65"/>
    </row>
    <row r="524">
      <c r="A524" s="65" t="str">
        <f>IFERROR(__xludf.DUMMYFUNCTION("""COMPUTED_VALUE"""),"27-03-2026")</f>
        <v>27-03-2026</v>
      </c>
      <c r="B524" s="65">
        <f>IFERROR(__xludf.DUMMYFUNCTION("""COMPUTED_VALUE"""),4630770.0)</f>
        <v>4630770</v>
      </c>
      <c r="C524" s="65" t="str">
        <f>IFERROR(__xludf.DUMMYFUNCTION("""COMPUTED_VALUE"""),"11:03")</f>
        <v>11:03</v>
      </c>
      <c r="D524" s="65" t="str">
        <f>IFERROR(__xludf.DUMMYFUNCTION("""COMPUTED_VALUE"""),"26-02-2026")</f>
        <v>26-02-2026</v>
      </c>
      <c r="E524" s="65" t="str">
        <f>IFERROR(__xludf.DUMMYFUNCTION("""COMPUTED_VALUE"""),"Edison Sanmartin Ortega Sanmartin")</f>
        <v>Edison Sanmartin Ortega Sanmartin</v>
      </c>
      <c r="F524" s="65" t="str">
        <f>IFERROR(__xludf.DUMMYFUNCTION("""COMPUTED_VALUE"""),"989248818")</f>
        <v>989248818</v>
      </c>
      <c r="G524" s="65"/>
      <c r="H524" s="65"/>
      <c r="I524" s="65"/>
      <c r="J524" s="65"/>
      <c r="K524" s="65" t="str">
        <f>IFERROR(__xludf.DUMMYFUNCTION("""COMPUTED_VALUE"""),"PENDIENTE CONFIRMACION")</f>
        <v>PENDIENTE CONFIRMACION</v>
      </c>
      <c r="L524" s="65" t="str">
        <f>IFERROR(__xludf.DUMMYFUNCTION("""COMPUTED_VALUE"""),"CON RECAUDO")</f>
        <v>CON RECAUDO</v>
      </c>
      <c r="M524" s="65" t="str">
        <f>IFERROR(__xludf.DUMMYFUNCTION("""COMPUTED_VALUE"""),"AZUAY")</f>
        <v>AZUAY</v>
      </c>
      <c r="N524" s="65" t="str">
        <f>IFERROR(__xludf.DUMMYFUNCTION("""COMPUTED_VALUE"""),"PONCE ENRIQUEZ")</f>
        <v>PONCE ENRIQUEZ</v>
      </c>
      <c r="O524" s="65" t="str">
        <f>IFERROR(__xludf.DUMMYFUNCTION("""COMPUTED_VALUE"""),"Camilo Ponce Enríquez Frente ala cruz de la Azul pero ay queda la agencia de servi entrega -")</f>
        <v>Camilo Ponce Enríquez Frente ala cruz de la Azul pero ay queda la agencia de servi entrega -</v>
      </c>
      <c r="P524" s="65"/>
      <c r="Q524" s="65" t="str">
        <f>IFERROR(__xludf.DUMMYFUNCTION("""COMPUTED_VALUE"""),"LAARCOURIER")</f>
        <v>LAARCOURIER</v>
      </c>
      <c r="R524" s="65">
        <f>IFERROR(__xludf.DUMMYFUNCTION("""COMPUTED_VALUE"""),25.0)</f>
        <v>25</v>
      </c>
      <c r="S524" s="65"/>
      <c r="T524" s="65">
        <f>IFERROR(__xludf.DUMMYFUNCTION("""COMPUTED_VALUE"""),7.19)</f>
        <v>7.19</v>
      </c>
      <c r="U524" s="65">
        <f>IFERROR(__xludf.DUMMYFUNCTION("""COMPUTED_VALUE"""),0.0)</f>
        <v>0</v>
      </c>
      <c r="V524" s="65">
        <f>IFERROR(__xludf.DUMMYFUNCTION("""COMPUTED_VALUE"""),0.0)</f>
        <v>0</v>
      </c>
      <c r="W524" s="65">
        <f>IFERROR(__xludf.DUMMYFUNCTION("""COMPUTED_VALUE"""),0.0)</f>
        <v>0</v>
      </c>
      <c r="X524" s="65">
        <f>IFERROR(__xludf.DUMMYFUNCTION("""COMPUTED_VALUE"""),2.35)</f>
        <v>2.35</v>
      </c>
      <c r="Y524" s="65">
        <f>IFERROR(__xludf.DUMMYFUNCTION("""COMPUTED_VALUE"""),4.7)</f>
        <v>4.7</v>
      </c>
      <c r="Z524" s="65">
        <f>IFERROR(__xludf.DUMMYFUNCTION("""COMPUTED_VALUE"""),116679.0)</f>
        <v>116679</v>
      </c>
      <c r="AA524" s="65" t="str">
        <f>IFERROR(__xludf.DUMMYFUNCTION("""COMPUTED_VALUE"""),"AMC-2738")</f>
        <v>AMC-2738</v>
      </c>
      <c r="AB524" s="65"/>
      <c r="AC524" s="65" t="str">
        <f>IFERROR(__xludf.DUMMYFUNCTION("""COMPUTED_VALUE"""),"ESPONJA ANTILLUVIA DE PARABRISAS")</f>
        <v>ESPONJA ANTILLUVIA DE PARABRISAS</v>
      </c>
      <c r="AD524" s="65"/>
      <c r="AE524" s="65">
        <f>IFERROR(__xludf.DUMMYFUNCTION("""COMPUTED_VALUE"""),2.0)</f>
        <v>2</v>
      </c>
      <c r="AF524" s="65"/>
      <c r="AG524" s="65"/>
      <c r="AH524" s="65"/>
      <c r="AI524" s="65"/>
      <c r="AJ524" s="65"/>
      <c r="AK524" s="65"/>
      <c r="AL524" s="65"/>
      <c r="AM524" s="65"/>
      <c r="AN524" s="65"/>
      <c r="AO524" s="65"/>
      <c r="AP524" s="65"/>
      <c r="AQ524" s="65"/>
      <c r="AR524" s="65"/>
      <c r="AS524" s="65"/>
      <c r="AT524" s="65" t="str">
        <f>IFERROR(__xludf.DUMMYFUNCTION("""COMPUTED_VALUE"""),"SHOPIFY")</f>
        <v>SHOPIFY</v>
      </c>
      <c r="AU524" s="65" t="str">
        <f>IFERROR(__xludf.DUMMYFUNCTION("""COMPUTED_VALUE"""),"IMPORTEX EC")</f>
        <v>IMPORTEX EC</v>
      </c>
      <c r="AV524" s="65" t="str">
        <f>IFERROR(__xludf.DUMMYFUNCTION("""COMPUTED_VALUE"""),"6535263682604")</f>
        <v>6535263682604</v>
      </c>
      <c r="AW524" s="65">
        <f>IFERROR(__xludf.DUMMYFUNCTION("""COMPUTED_VALUE"""),6345.0)</f>
        <v>6345</v>
      </c>
      <c r="AX524" s="65"/>
      <c r="AY524" s="65"/>
      <c r="AZ524" s="65"/>
      <c r="BA524" s="65"/>
    </row>
    <row r="525">
      <c r="A525" s="65" t="str">
        <f>IFERROR(__xludf.DUMMYFUNCTION("""COMPUTED_VALUE"""),"27-03-2026")</f>
        <v>27-03-2026</v>
      </c>
      <c r="B525" s="65">
        <f>IFERROR(__xludf.DUMMYFUNCTION("""COMPUTED_VALUE"""),4630541.0)</f>
        <v>4630541</v>
      </c>
      <c r="C525" s="65" t="str">
        <f>IFERROR(__xludf.DUMMYFUNCTION("""COMPUTED_VALUE"""),"10:38")</f>
        <v>10:38</v>
      </c>
      <c r="D525" s="65" t="str">
        <f>IFERROR(__xludf.DUMMYFUNCTION("""COMPUTED_VALUE"""),"26-02-2026")</f>
        <v>26-02-2026</v>
      </c>
      <c r="E525" s="65" t="str">
        <f>IFERROR(__xludf.DUMMYFUNCTION("""COMPUTED_VALUE"""),"Hipólito Jiménez reyes")</f>
        <v>Hipólito Jiménez reyes</v>
      </c>
      <c r="F525" s="65" t="str">
        <f>IFERROR(__xludf.DUMMYFUNCTION("""COMPUTED_VALUE"""),"998278658")</f>
        <v>998278658</v>
      </c>
      <c r="G525" s="65" t="str">
        <f>IFERROR(__xludf.DUMMYFUNCTION("""COMPUTED_VALUE"""),"hipojr1312@hotmail.com")</f>
        <v>hipojr1312@hotmail.com</v>
      </c>
      <c r="H525" s="65"/>
      <c r="I525" s="65"/>
      <c r="J525" s="65"/>
      <c r="K525" s="65" t="str">
        <f>IFERROR(__xludf.DUMMYFUNCTION("""COMPUTED_VALUE"""),"PENDIENTE CONFIRMACION")</f>
        <v>PENDIENTE CONFIRMACION</v>
      </c>
      <c r="L525" s="65" t="str">
        <f>IFERROR(__xludf.DUMMYFUNCTION("""COMPUTED_VALUE"""),"CON RECAUDO")</f>
        <v>CON RECAUDO</v>
      </c>
      <c r="M525" s="65" t="str">
        <f>IFERROR(__xludf.DUMMYFUNCTION("""COMPUTED_VALUE"""),"SANTO DOMINGO DE LOS TSACHILAS")</f>
        <v>SANTO DOMINGO DE LOS TSACHILAS</v>
      </c>
      <c r="N525" s="65" t="str">
        <f>IFERROR(__xludf.DUMMYFUNCTION("""COMPUTED_VALUE"""),"SANTO DOMINGO")</f>
        <v>SANTO DOMINGO</v>
      </c>
      <c r="O525" s="65" t="str">
        <f>IFERROR(__xludf.DUMMYFUNCTION("""COMPUTED_VALUE"""),"Calle 21 y avenida c -")</f>
        <v>Calle 21 y avenida c -</v>
      </c>
      <c r="P525" s="65"/>
      <c r="Q525" s="65" t="str">
        <f>IFERROR(__xludf.DUMMYFUNCTION("""COMPUTED_VALUE"""),"GINTRACOM")</f>
        <v>GINTRACOM</v>
      </c>
      <c r="R525" s="65">
        <f>IFERROR(__xludf.DUMMYFUNCTION("""COMPUTED_VALUE"""),22.0)</f>
        <v>22</v>
      </c>
      <c r="S525" s="65"/>
      <c r="T525" s="65">
        <f>IFERROR(__xludf.DUMMYFUNCTION("""COMPUTED_VALUE"""),5.84)</f>
        <v>5.84</v>
      </c>
      <c r="U525" s="65">
        <f>IFERROR(__xludf.DUMMYFUNCTION("""COMPUTED_VALUE"""),0.0)</f>
        <v>0</v>
      </c>
      <c r="V525" s="65">
        <f>IFERROR(__xludf.DUMMYFUNCTION("""COMPUTED_VALUE"""),0.0)</f>
        <v>0</v>
      </c>
      <c r="W525" s="65">
        <f>IFERROR(__xludf.DUMMYFUNCTION("""COMPUTED_VALUE"""),0.0)</f>
        <v>0</v>
      </c>
      <c r="X525" s="65">
        <f>IFERROR(__xludf.DUMMYFUNCTION("""COMPUTED_VALUE"""),3.75)</f>
        <v>3.75</v>
      </c>
      <c r="Y525" s="65">
        <f>IFERROR(__xludf.DUMMYFUNCTION("""COMPUTED_VALUE"""),7.5)</f>
        <v>7.5</v>
      </c>
      <c r="Z525" s="65">
        <f>IFERROR(__xludf.DUMMYFUNCTION("""COMPUTED_VALUE"""),113116.0)</f>
        <v>113116</v>
      </c>
      <c r="AA525" s="65" t="str">
        <f>IFERROR(__xludf.DUMMYFUNCTION("""COMPUTED_VALUE"""),"IM-TAZAKI")</f>
        <v>IM-TAZAKI</v>
      </c>
      <c r="AB525" s="65"/>
      <c r="AC525" s="65" t="str">
        <f>IFERROR(__xludf.DUMMYFUNCTION("""COMPUTED_VALUE"""),"Cuchillo tazaki")</f>
        <v>Cuchillo tazaki</v>
      </c>
      <c r="AD525" s="65"/>
      <c r="AE525" s="65">
        <f>IFERROR(__xludf.DUMMYFUNCTION("""COMPUTED_VALUE"""),2.0)</f>
        <v>2</v>
      </c>
      <c r="AF525" s="65"/>
      <c r="AG525" s="65"/>
      <c r="AH525" s="65"/>
      <c r="AI525" s="65"/>
      <c r="AJ525" s="65"/>
      <c r="AK525" s="65"/>
      <c r="AL525" s="65"/>
      <c r="AM525" s="65"/>
      <c r="AN525" s="65"/>
      <c r="AO525" s="65"/>
      <c r="AP525" s="65"/>
      <c r="AQ525" s="65"/>
      <c r="AR525" s="65"/>
      <c r="AS525" s="65"/>
      <c r="AT525" s="65" t="str">
        <f>IFERROR(__xludf.DUMMYFUNCTION("""COMPUTED_VALUE"""),"SHOPIFY")</f>
        <v>SHOPIFY</v>
      </c>
      <c r="AU525" s="65" t="str">
        <f>IFERROR(__xludf.DUMMYFUNCTION("""COMPUTED_VALUE"""),"IMPORTEX EC")</f>
        <v>IMPORTEX EC</v>
      </c>
      <c r="AV525" s="65" t="str">
        <f>IFERROR(__xludf.DUMMYFUNCTION("""COMPUTED_VALUE"""),"6531626598444")</f>
        <v>6531626598444</v>
      </c>
      <c r="AW525" s="65">
        <f>IFERROR(__xludf.DUMMYFUNCTION("""COMPUTED_VALUE"""),6327.0)</f>
        <v>6327</v>
      </c>
      <c r="AX525" s="65"/>
      <c r="AY525" s="65"/>
      <c r="AZ525" s="65"/>
      <c r="BA525" s="65"/>
    </row>
    <row r="526">
      <c r="A526" s="65" t="str">
        <f>IFERROR(__xludf.DUMMYFUNCTION("""COMPUTED_VALUE"""),"27-03-2026")</f>
        <v>27-03-2026</v>
      </c>
      <c r="B526" s="65">
        <f>IFERROR(__xludf.DUMMYFUNCTION("""COMPUTED_VALUE"""),4630395.0)</f>
        <v>4630395</v>
      </c>
      <c r="C526" s="65" t="str">
        <f>IFERROR(__xludf.DUMMYFUNCTION("""COMPUTED_VALUE"""),"10:27")</f>
        <v>10:27</v>
      </c>
      <c r="D526" s="65" t="str">
        <f>IFERROR(__xludf.DUMMYFUNCTION("""COMPUTED_VALUE"""),"26-02-2026")</f>
        <v>26-02-2026</v>
      </c>
      <c r="E526" s="65" t="str">
        <f>IFERROR(__xludf.DUMMYFUNCTION("""COMPUTED_VALUE"""),"Francisco Venegas")</f>
        <v>Francisco Venegas</v>
      </c>
      <c r="F526" s="65" t="str">
        <f>IFERROR(__xludf.DUMMYFUNCTION("""COMPUTED_VALUE"""),"985683299")</f>
        <v>985683299</v>
      </c>
      <c r="G526" s="65"/>
      <c r="H526" s="65"/>
      <c r="I526" s="65"/>
      <c r="J526" s="65" t="str">
        <f>IFERROR(__xludf.DUMMYFUNCTION("""COMPUTED_VALUE"""),"186589616")</f>
        <v>186589616</v>
      </c>
      <c r="K526" s="65" t="str">
        <f>IFERROR(__xludf.DUMMYFUNCTION("""COMPUTED_VALUE"""),"ENTREGADO")</f>
        <v>ENTREGADO</v>
      </c>
      <c r="L526" s="65" t="str">
        <f>IFERROR(__xludf.DUMMYFUNCTION("""COMPUTED_VALUE"""),"CON RECAUDO")</f>
        <v>CON RECAUDO</v>
      </c>
      <c r="M526" s="65" t="str">
        <f>IFERROR(__xludf.DUMMYFUNCTION("""COMPUTED_VALUE"""),"IMBABURA")</f>
        <v>IMBABURA</v>
      </c>
      <c r="N526" s="65" t="str">
        <f>IFERROR(__xludf.DUMMYFUNCTION("""COMPUTED_VALUE"""),"PIMAMPIRO")</f>
        <v>PIMAMPIRO</v>
      </c>
      <c r="O526" s="65" t="str">
        <f>IFERROR(__xludf.DUMMYFUNCTION("""COMPUTED_VALUE"""),"RETIRA EN CS : PIMAMPIRO_PRINCIPAL - BOLIVAR S/N Y VELASCO")</f>
        <v>RETIRA EN CS : PIMAMPIRO_PRINCIPAL - BOLIVAR S/N Y VELASCO</v>
      </c>
      <c r="P526" s="65"/>
      <c r="Q526" s="65" t="str">
        <f>IFERROR(__xludf.DUMMYFUNCTION("""COMPUTED_VALUE"""),"SERVIENTREGA")</f>
        <v>SERVIENTREGA</v>
      </c>
      <c r="R526" s="65">
        <f>IFERROR(__xludf.DUMMYFUNCTION("""COMPUTED_VALUE"""),32.0)</f>
        <v>32</v>
      </c>
      <c r="S526" s="65">
        <f>IFERROR(__xludf.DUMMYFUNCTION("""COMPUTED_VALUE"""),9.15)</f>
        <v>9.15</v>
      </c>
      <c r="T526" s="65">
        <f>IFERROR(__xludf.DUMMYFUNCTION("""COMPUTED_VALUE"""),7.85)</f>
        <v>7.85</v>
      </c>
      <c r="U526" s="65">
        <f>IFERROR(__xludf.DUMMYFUNCTION("""COMPUTED_VALUE"""),0.0)</f>
        <v>0</v>
      </c>
      <c r="V526" s="65">
        <f>IFERROR(__xludf.DUMMYFUNCTION("""COMPUTED_VALUE"""),0.0)</f>
        <v>0</v>
      </c>
      <c r="W526" s="65">
        <f>IFERROR(__xludf.DUMMYFUNCTION("""COMPUTED_VALUE"""),0.0)</f>
        <v>0</v>
      </c>
      <c r="X526" s="65">
        <f>IFERROR(__xludf.DUMMYFUNCTION("""COMPUTED_VALUE"""),3.75)</f>
        <v>3.75</v>
      </c>
      <c r="Y526" s="65">
        <f>IFERROR(__xludf.DUMMYFUNCTION("""COMPUTED_VALUE"""),15.0)</f>
        <v>15</v>
      </c>
      <c r="Z526" s="65">
        <f>IFERROR(__xludf.DUMMYFUNCTION("""COMPUTED_VALUE"""),113116.0)</f>
        <v>113116</v>
      </c>
      <c r="AA526" s="65" t="str">
        <f>IFERROR(__xludf.DUMMYFUNCTION("""COMPUTED_VALUE"""),"IM-TAZAKI")</f>
        <v>IM-TAZAKI</v>
      </c>
      <c r="AB526" s="65"/>
      <c r="AC526" s="65" t="str">
        <f>IFERROR(__xludf.DUMMYFUNCTION("""COMPUTED_VALUE"""),"Cuchillo tazaki")</f>
        <v>Cuchillo tazaki</v>
      </c>
      <c r="AD526" s="65"/>
      <c r="AE526" s="65">
        <f>IFERROR(__xludf.DUMMYFUNCTION("""COMPUTED_VALUE"""),4.0)</f>
        <v>4</v>
      </c>
      <c r="AF526" s="65"/>
      <c r="AG526" s="65"/>
      <c r="AH526" s="65"/>
      <c r="AI526" s="65"/>
      <c r="AJ526" s="65"/>
      <c r="AK526" s="65"/>
      <c r="AL526" s="65"/>
      <c r="AM526" s="65"/>
      <c r="AN526" s="65" t="str">
        <f>IFERROR(__xludf.DUMMYFUNCTION("""COMPUTED_VALUE"""),"16:27")</f>
        <v>16:27</v>
      </c>
      <c r="AO526" s="65" t="str">
        <f>IFERROR(__xludf.DUMMYFUNCTION("""COMPUTED_VALUE"""),"06-03-2026")</f>
        <v>06-03-2026</v>
      </c>
      <c r="AP526" s="65" t="str">
        <f>IFERROR(__xludf.DUMMYFUNCTION("""COMPUTED_VALUE"""),"ENTREGA DIGITALIZADA EN CENTRO LOGISTICO")</f>
        <v>ENTREGA DIGITALIZADA EN CENTRO LOGISTICO</v>
      </c>
      <c r="AQ526" s="65" t="str">
        <f>IFERROR(__xludf.DUMMYFUNCTION("""COMPUTED_VALUE"""),"FRANCISCO VENEGAS")</f>
        <v>FRANCISCO VENEGAS</v>
      </c>
      <c r="AR526" s="65"/>
      <c r="AS526" s="65"/>
      <c r="AT526" s="65" t="str">
        <f>IFERROR(__xludf.DUMMYFUNCTION("""COMPUTED_VALUE"""),"CHATEA PRO")</f>
        <v>CHATEA PRO</v>
      </c>
      <c r="AU526" s="65" t="str">
        <f>IFERROR(__xludf.DUMMYFUNCTION("""COMPUTED_VALUE"""),"CHATEA PRO")</f>
        <v>CHATEA PRO</v>
      </c>
      <c r="AV526" s="65"/>
      <c r="AW526" s="65"/>
      <c r="AX526" s="65"/>
      <c r="AY526" s="65" t="str">
        <f>IFERROR(__xludf.DUMMYFUNCTION("""COMPUTED_VALUE"""),"26/02/2026")</f>
        <v>26/02/2026</v>
      </c>
      <c r="AZ526" s="65"/>
      <c r="BA526" s="65"/>
    </row>
    <row r="527">
      <c r="A527" s="65" t="str">
        <f>IFERROR(__xludf.DUMMYFUNCTION("""COMPUTED_VALUE"""),"27-03-2026")</f>
        <v>27-03-2026</v>
      </c>
      <c r="B527" s="65">
        <f>IFERROR(__xludf.DUMMYFUNCTION("""COMPUTED_VALUE"""),4630021.0)</f>
        <v>4630021</v>
      </c>
      <c r="C527" s="65" t="str">
        <f>IFERROR(__xludf.DUMMYFUNCTION("""COMPUTED_VALUE"""),"09:58")</f>
        <v>09:58</v>
      </c>
      <c r="D527" s="65" t="str">
        <f>IFERROR(__xludf.DUMMYFUNCTION("""COMPUTED_VALUE"""),"26-02-2026")</f>
        <v>26-02-2026</v>
      </c>
      <c r="E527" s="65" t="str">
        <f>IFERROR(__xludf.DUMMYFUNCTION("""COMPUTED_VALUE"""),"SHAOHUI QIU")</f>
        <v>SHAOHUI QIU</v>
      </c>
      <c r="F527" s="65" t="str">
        <f>IFERROR(__xludf.DUMMYFUNCTION("""COMPUTED_VALUE"""),"999418069")</f>
        <v>999418069</v>
      </c>
      <c r="G527" s="65" t="str">
        <f>IFERROR(__xludf.DUMMYFUNCTION("""COMPUTED_VALUE"""),"chifatonsupa2015@gmail.co")</f>
        <v>chifatonsupa2015@gmail.co</v>
      </c>
      <c r="H527" s="65"/>
      <c r="I527" s="65"/>
      <c r="J527" s="65" t="str">
        <f>IFERROR(__xludf.DUMMYFUNCTION("""COMPUTED_VALUE"""),"D001363539")</f>
        <v>D001363539</v>
      </c>
      <c r="K527" s="65" t="str">
        <f>IFERROR(__xludf.DUMMYFUNCTION("""COMPUTED_VALUE"""),"ENTREGADO")</f>
        <v>ENTREGADO</v>
      </c>
      <c r="L527" s="65" t="str">
        <f>IFERROR(__xludf.DUMMYFUNCTION("""COMPUTED_VALUE"""),"CON RECAUDO")</f>
        <v>CON RECAUDO</v>
      </c>
      <c r="M527" s="65" t="str">
        <f>IFERROR(__xludf.DUMMYFUNCTION("""COMPUTED_VALUE"""),"ESMERALDAS")</f>
        <v>ESMERALDAS</v>
      </c>
      <c r="N527" s="65" t="str">
        <f>IFERROR(__xludf.DUMMYFUNCTION("""COMPUTED_VALUE"""),"TONSUPA")</f>
        <v>TONSUPA</v>
      </c>
      <c r="O527" s="65" t="str">
        <f>IFERROR(__xludf.DUMMYFUNCTION("""COMPUTED_VALUE"""),"TOnsupa junto a trans esmeraldas chifa internacional")</f>
        <v>TOnsupa junto a trans esmeraldas chifa internacional</v>
      </c>
      <c r="P527" s="65" t="str">
        <f>IFERROR(__xludf.DUMMYFUNCTION("""COMPUTED_VALUE"""),"ESPONJA ANTILLUVIA DE PARABRISAS: Default Title ***")</f>
        <v>ESPONJA ANTILLUVIA DE PARABRISAS: Default Title ***</v>
      </c>
      <c r="Q527" s="65" t="str">
        <f>IFERROR(__xludf.DUMMYFUNCTION("""COMPUTED_VALUE"""),"GINTRACOM")</f>
        <v>GINTRACOM</v>
      </c>
      <c r="R527" s="65">
        <f>IFERROR(__xludf.DUMMYFUNCTION("""COMPUTED_VALUE"""),20.0)</f>
        <v>20</v>
      </c>
      <c r="S527" s="65">
        <f>IFERROR(__xludf.DUMMYFUNCTION("""COMPUTED_VALUE"""),11.32)</f>
        <v>11.32</v>
      </c>
      <c r="T527" s="65">
        <f>IFERROR(__xludf.DUMMYFUNCTION("""COMPUTED_VALUE"""),6.33)</f>
        <v>6.33</v>
      </c>
      <c r="U527" s="65">
        <f>IFERROR(__xludf.DUMMYFUNCTION("""COMPUTED_VALUE"""),0.0)</f>
        <v>0</v>
      </c>
      <c r="V527" s="65">
        <f>IFERROR(__xludf.DUMMYFUNCTION("""COMPUTED_VALUE"""),0.0)</f>
        <v>0</v>
      </c>
      <c r="W527" s="65">
        <f>IFERROR(__xludf.DUMMYFUNCTION("""COMPUTED_VALUE"""),0.0)</f>
        <v>0</v>
      </c>
      <c r="X527" s="65">
        <f>IFERROR(__xludf.DUMMYFUNCTION("""COMPUTED_VALUE"""),2.35)</f>
        <v>2.35</v>
      </c>
      <c r="Y527" s="65">
        <f>IFERROR(__xludf.DUMMYFUNCTION("""COMPUTED_VALUE"""),2.35)</f>
        <v>2.35</v>
      </c>
      <c r="Z527" s="65">
        <f>IFERROR(__xludf.DUMMYFUNCTION("""COMPUTED_VALUE"""),116679.0)</f>
        <v>116679</v>
      </c>
      <c r="AA527" s="65" t="str">
        <f>IFERROR(__xludf.DUMMYFUNCTION("""COMPUTED_VALUE"""),"AMC-2738")</f>
        <v>AMC-2738</v>
      </c>
      <c r="AB527" s="65"/>
      <c r="AC527" s="65" t="str">
        <f>IFERROR(__xludf.DUMMYFUNCTION("""COMPUTED_VALUE"""),"ESPONJA ANTILLUVIA DE PARABRISAS")</f>
        <v>ESPONJA ANTILLUVIA DE PARABRISAS</v>
      </c>
      <c r="AD527" s="65"/>
      <c r="AE527" s="65">
        <f>IFERROR(__xludf.DUMMYFUNCTION("""COMPUTED_VALUE"""),1.0)</f>
        <v>1</v>
      </c>
      <c r="AF527" s="65"/>
      <c r="AG527" s="65"/>
      <c r="AH527" s="65"/>
      <c r="AI527" s="65"/>
      <c r="AJ527" s="65"/>
      <c r="AK527" s="65"/>
      <c r="AL527" s="65"/>
      <c r="AM527" s="65"/>
      <c r="AN527" s="65" t="str">
        <f>IFERROR(__xludf.DUMMYFUNCTION("""COMPUTED_VALUE"""),"16:38")</f>
        <v>16:38</v>
      </c>
      <c r="AO527" s="65" t="str">
        <f>IFERROR(__xludf.DUMMYFUNCTION("""COMPUTED_VALUE"""),"03-03-2026")</f>
        <v>03-03-2026</v>
      </c>
      <c r="AP527" s="65" t="str">
        <f>IFERROR(__xludf.DUMMYFUNCTION("""COMPUTED_VALUE"""),"ENTREGADA GINTRACOM")</f>
        <v>ENTREGADA GINTRACOM</v>
      </c>
      <c r="AQ527" s="65" t="str">
        <f>IFERROR(__xludf.DUMMYFUNCTION("""COMPUTED_VALUE"""),"ENTREGADA GINTRACOM")</f>
        <v>ENTREGADA GINTRACOM</v>
      </c>
      <c r="AR527" s="65"/>
      <c r="AS527" s="65"/>
      <c r="AT527" s="65" t="str">
        <f>IFERROR(__xludf.DUMMYFUNCTION("""COMPUTED_VALUE"""),"SHOPIFY")</f>
        <v>SHOPIFY</v>
      </c>
      <c r="AU527" s="65" t="str">
        <f>IFERROR(__xludf.DUMMYFUNCTION("""COMPUTED_VALUE"""),"IMPORTEX EC")</f>
        <v>IMPORTEX EC</v>
      </c>
      <c r="AV527" s="65" t="str">
        <f>IFERROR(__xludf.DUMMYFUNCTION("""COMPUTED_VALUE"""),"6534802178092")</f>
        <v>6534802178092</v>
      </c>
      <c r="AW527" s="65">
        <f>IFERROR(__xludf.DUMMYFUNCTION("""COMPUTED_VALUE"""),6344.0)</f>
        <v>6344</v>
      </c>
      <c r="AX527" s="65"/>
      <c r="AY527" s="65" t="str">
        <f>IFERROR(__xludf.DUMMYFUNCTION("""COMPUTED_VALUE"""),"26/02/2026")</f>
        <v>26/02/2026</v>
      </c>
      <c r="AZ527" s="65"/>
      <c r="BA527" s="65"/>
    </row>
    <row r="528">
      <c r="A528" s="65" t="str">
        <f>IFERROR(__xludf.DUMMYFUNCTION("""COMPUTED_VALUE"""),"27-03-2026")</f>
        <v>27-03-2026</v>
      </c>
      <c r="B528" s="65">
        <f>IFERROR(__xludf.DUMMYFUNCTION("""COMPUTED_VALUE"""),4629663.0)</f>
        <v>4629663</v>
      </c>
      <c r="C528" s="65" t="str">
        <f>IFERROR(__xludf.DUMMYFUNCTION("""COMPUTED_VALUE"""),"09:32")</f>
        <v>09:32</v>
      </c>
      <c r="D528" s="65" t="str">
        <f>IFERROR(__xludf.DUMMYFUNCTION("""COMPUTED_VALUE"""),"26-02-2026")</f>
        <v>26-02-2026</v>
      </c>
      <c r="E528" s="65" t="str">
        <f>IFERROR(__xludf.DUMMYFUNCTION("""COMPUTED_VALUE"""),"Carlos Cherres Quiroz")</f>
        <v>Carlos Cherres Quiroz</v>
      </c>
      <c r="F528" s="65" t="str">
        <f>IFERROR(__xludf.DUMMYFUNCTION("""COMPUTED_VALUE"""),"994810716")</f>
        <v>994810716</v>
      </c>
      <c r="G528" s="65" t="str">
        <f>IFERROR(__xludf.DUMMYFUNCTION("""COMPUTED_VALUE"""),"carlos_chq@hotmail.com")</f>
        <v>carlos_chq@hotmail.com</v>
      </c>
      <c r="H528" s="65"/>
      <c r="I528" s="65"/>
      <c r="J528" s="65" t="str">
        <f>IFERROR(__xludf.DUMMYFUNCTION("""COMPUTED_VALUE"""),"D001363540")</f>
        <v>D001363540</v>
      </c>
      <c r="K528" s="65" t="str">
        <f>IFERROR(__xludf.DUMMYFUNCTION("""COMPUTED_VALUE"""),"ENTREGADO")</f>
        <v>ENTREGADO</v>
      </c>
      <c r="L528" s="65" t="str">
        <f>IFERROR(__xludf.DUMMYFUNCTION("""COMPUTED_VALUE"""),"CON RECAUDO")</f>
        <v>CON RECAUDO</v>
      </c>
      <c r="M528" s="65" t="str">
        <f>IFERROR(__xludf.DUMMYFUNCTION("""COMPUTED_VALUE"""),"PICHINCHA")</f>
        <v>PICHINCHA</v>
      </c>
      <c r="N528" s="65" t="str">
        <f>IFERROR(__xludf.DUMMYFUNCTION("""COMPUTED_VALUE"""),"QUITO")</f>
        <v>QUITO</v>
      </c>
      <c r="O528" s="65" t="str">
        <f>IFERROR(__xludf.DUMMYFUNCTION("""COMPUTED_VALUE"""),"Chambo y primero de mayo Sector villaflora atras del Santa Maria -")</f>
        <v>Chambo y primero de mayo Sector villaflora atras del Santa Maria -</v>
      </c>
      <c r="P528" s="65"/>
      <c r="Q528" s="65" t="str">
        <f>IFERROR(__xludf.DUMMYFUNCTION("""COMPUTED_VALUE"""),"GINTRACOM")</f>
        <v>GINTRACOM</v>
      </c>
      <c r="R528" s="65">
        <f>IFERROR(__xludf.DUMMYFUNCTION("""COMPUTED_VALUE"""),30.0)</f>
        <v>30</v>
      </c>
      <c r="S528" s="65">
        <f>IFERROR(__xludf.DUMMYFUNCTION("""COMPUTED_VALUE"""),18.4)</f>
        <v>18.4</v>
      </c>
      <c r="T528" s="65">
        <f>IFERROR(__xludf.DUMMYFUNCTION("""COMPUTED_VALUE"""),4.55)</f>
        <v>4.55</v>
      </c>
      <c r="U528" s="65">
        <f>IFERROR(__xludf.DUMMYFUNCTION("""COMPUTED_VALUE"""),0.0)</f>
        <v>0</v>
      </c>
      <c r="V528" s="65">
        <f>IFERROR(__xludf.DUMMYFUNCTION("""COMPUTED_VALUE"""),0.0)</f>
        <v>0</v>
      </c>
      <c r="W528" s="65">
        <f>IFERROR(__xludf.DUMMYFUNCTION("""COMPUTED_VALUE"""),0.0)</f>
        <v>0</v>
      </c>
      <c r="X528" s="65">
        <f>IFERROR(__xludf.DUMMYFUNCTION("""COMPUTED_VALUE"""),2.35)</f>
        <v>2.35</v>
      </c>
      <c r="Y528" s="65">
        <f>IFERROR(__xludf.DUMMYFUNCTION("""COMPUTED_VALUE"""),7.05)</f>
        <v>7.05</v>
      </c>
      <c r="Z528" s="65">
        <f>IFERROR(__xludf.DUMMYFUNCTION("""COMPUTED_VALUE"""),116679.0)</f>
        <v>116679</v>
      </c>
      <c r="AA528" s="65" t="str">
        <f>IFERROR(__xludf.DUMMYFUNCTION("""COMPUTED_VALUE"""),"AMC-2738")</f>
        <v>AMC-2738</v>
      </c>
      <c r="AB528" s="65"/>
      <c r="AC528" s="65" t="str">
        <f>IFERROR(__xludf.DUMMYFUNCTION("""COMPUTED_VALUE"""),"ESPONJA ANTILLUVIA DE PARABRISAS")</f>
        <v>ESPONJA ANTILLUVIA DE PARABRISAS</v>
      </c>
      <c r="AD528" s="65"/>
      <c r="AE528" s="65">
        <f>IFERROR(__xludf.DUMMYFUNCTION("""COMPUTED_VALUE"""),3.0)</f>
        <v>3</v>
      </c>
      <c r="AF528" s="65"/>
      <c r="AG528" s="65"/>
      <c r="AH528" s="65"/>
      <c r="AI528" s="65"/>
      <c r="AJ528" s="65"/>
      <c r="AK528" s="65"/>
      <c r="AL528" s="65"/>
      <c r="AM528" s="65"/>
      <c r="AN528" s="65" t="str">
        <f>IFERROR(__xludf.DUMMYFUNCTION("""COMPUTED_VALUE"""),"12:39")</f>
        <v>12:39</v>
      </c>
      <c r="AO528" s="65" t="str">
        <f>IFERROR(__xludf.DUMMYFUNCTION("""COMPUTED_VALUE"""),"28-02-2026")</f>
        <v>28-02-2026</v>
      </c>
      <c r="AP528" s="65" t="str">
        <f>IFERROR(__xludf.DUMMYFUNCTION("""COMPUTED_VALUE"""),"ENTREGADA GINTRACOM")</f>
        <v>ENTREGADA GINTRACOM</v>
      </c>
      <c r="AQ528" s="65" t="str">
        <f>IFERROR(__xludf.DUMMYFUNCTION("""COMPUTED_VALUE"""),"ENTREGADA GINTRACOM")</f>
        <v>ENTREGADA GINTRACOM</v>
      </c>
      <c r="AR528" s="65"/>
      <c r="AS528" s="65"/>
      <c r="AT528" s="65" t="str">
        <f>IFERROR(__xludf.DUMMYFUNCTION("""COMPUTED_VALUE"""),"SHOPIFY")</f>
        <v>SHOPIFY</v>
      </c>
      <c r="AU528" s="65" t="str">
        <f>IFERROR(__xludf.DUMMYFUNCTION("""COMPUTED_VALUE"""),"IMPORTEX EC")</f>
        <v>IMPORTEX EC</v>
      </c>
      <c r="AV528" s="65" t="str">
        <f>IFERROR(__xludf.DUMMYFUNCTION("""COMPUTED_VALUE"""),"6534612647980")</f>
        <v>6534612647980</v>
      </c>
      <c r="AW528" s="65">
        <f>IFERROR(__xludf.DUMMYFUNCTION("""COMPUTED_VALUE"""),6343.0)</f>
        <v>6343</v>
      </c>
      <c r="AX528" s="65"/>
      <c r="AY528" s="65" t="str">
        <f>IFERROR(__xludf.DUMMYFUNCTION("""COMPUTED_VALUE"""),"26/02/2026")</f>
        <v>26/02/2026</v>
      </c>
      <c r="AZ528" s="65"/>
      <c r="BA528" s="65"/>
    </row>
    <row r="529">
      <c r="A529" s="65" t="str">
        <f>IFERROR(__xludf.DUMMYFUNCTION("""COMPUTED_VALUE"""),"27-03-2026")</f>
        <v>27-03-2026</v>
      </c>
      <c r="B529" s="65">
        <f>IFERROR(__xludf.DUMMYFUNCTION("""COMPUTED_VALUE"""),4628563.0)</f>
        <v>4628563</v>
      </c>
      <c r="C529" s="65" t="str">
        <f>IFERROR(__xludf.DUMMYFUNCTION("""COMPUTED_VALUE"""),"08:01")</f>
        <v>08:01</v>
      </c>
      <c r="D529" s="65" t="str">
        <f>IFERROR(__xludf.DUMMYFUNCTION("""COMPUTED_VALUE"""),"26-02-2026")</f>
        <v>26-02-2026</v>
      </c>
      <c r="E529" s="65" t="str">
        <f>IFERROR(__xludf.DUMMYFUNCTION("""COMPUTED_VALUE"""),"Sergio Enrique")</f>
        <v>Sergio Enrique</v>
      </c>
      <c r="F529" s="65" t="str">
        <f>IFERROR(__xludf.DUMMYFUNCTION("""COMPUTED_VALUE"""),"959507209")</f>
        <v>959507209</v>
      </c>
      <c r="G529" s="65" t="str">
        <f>IFERROR(__xludf.DUMMYFUNCTION("""COMPUTED_VALUE"""),"sergiojurado1956@gmail.com")</f>
        <v>sergiojurado1956@gmail.com</v>
      </c>
      <c r="H529" s="65"/>
      <c r="I529" s="65"/>
      <c r="J529" s="65" t="str">
        <f>IFERROR(__xludf.DUMMYFUNCTION("""COMPUTED_VALUE"""),"D001363542")</f>
        <v>D001363542</v>
      </c>
      <c r="K529" s="65" t="str">
        <f>IFERROR(__xludf.DUMMYFUNCTION("""COMPUTED_VALUE"""),"ENTREGADO")</f>
        <v>ENTREGADO</v>
      </c>
      <c r="L529" s="65" t="str">
        <f>IFERROR(__xludf.DUMMYFUNCTION("""COMPUTED_VALUE"""),"CON RECAUDO")</f>
        <v>CON RECAUDO</v>
      </c>
      <c r="M529" s="65" t="str">
        <f>IFERROR(__xludf.DUMMYFUNCTION("""COMPUTED_VALUE"""),"LOS RIOS")</f>
        <v>LOS RIOS</v>
      </c>
      <c r="N529" s="65" t="str">
        <f>IFERROR(__xludf.DUMMYFUNCTION("""COMPUTED_VALUE"""),"VALENCIA")</f>
        <v>VALENCIA</v>
      </c>
      <c r="O529" s="65" t="str">
        <f>IFERROR(__xludf.DUMMYFUNCTION("""COMPUTED_VALUE"""),"Av Simon Bolívar 101 y Nicolas  Altamirano atrás del Sub centro de Salud")</f>
        <v>Av Simon Bolívar 101 y Nicolas  Altamirano atrás del Sub centro de Salud</v>
      </c>
      <c r="P529" s="65"/>
      <c r="Q529" s="65" t="str">
        <f>IFERROR(__xludf.DUMMYFUNCTION("""COMPUTED_VALUE"""),"GINTRACOM")</f>
        <v>GINTRACOM</v>
      </c>
      <c r="R529" s="65">
        <f>IFERROR(__xludf.DUMMYFUNCTION("""COMPUTED_VALUE"""),30.0)</f>
        <v>30</v>
      </c>
      <c r="S529" s="65">
        <f>IFERROR(__xludf.DUMMYFUNCTION("""COMPUTED_VALUE"""),16.22)</f>
        <v>16.22</v>
      </c>
      <c r="T529" s="65">
        <f>IFERROR(__xludf.DUMMYFUNCTION("""COMPUTED_VALUE"""),6.73)</f>
        <v>6.73</v>
      </c>
      <c r="U529" s="65">
        <f>IFERROR(__xludf.DUMMYFUNCTION("""COMPUTED_VALUE"""),0.0)</f>
        <v>0</v>
      </c>
      <c r="V529" s="65">
        <f>IFERROR(__xludf.DUMMYFUNCTION("""COMPUTED_VALUE"""),0.0)</f>
        <v>0</v>
      </c>
      <c r="W529" s="65">
        <f>IFERROR(__xludf.DUMMYFUNCTION("""COMPUTED_VALUE"""),0.0)</f>
        <v>0</v>
      </c>
      <c r="X529" s="65">
        <f>IFERROR(__xludf.DUMMYFUNCTION("""COMPUTED_VALUE"""),2.35)</f>
        <v>2.35</v>
      </c>
      <c r="Y529" s="65">
        <f>IFERROR(__xludf.DUMMYFUNCTION("""COMPUTED_VALUE"""),7.05)</f>
        <v>7.05</v>
      </c>
      <c r="Z529" s="65">
        <f>IFERROR(__xludf.DUMMYFUNCTION("""COMPUTED_VALUE"""),116679.0)</f>
        <v>116679</v>
      </c>
      <c r="AA529" s="65" t="str">
        <f>IFERROR(__xludf.DUMMYFUNCTION("""COMPUTED_VALUE"""),"AMC-2738")</f>
        <v>AMC-2738</v>
      </c>
      <c r="AB529" s="65"/>
      <c r="AC529" s="65" t="str">
        <f>IFERROR(__xludf.DUMMYFUNCTION("""COMPUTED_VALUE"""),"ESPONJA ANTILLUVIA DE PARABRISAS")</f>
        <v>ESPONJA ANTILLUVIA DE PARABRISAS</v>
      </c>
      <c r="AD529" s="65"/>
      <c r="AE529" s="65">
        <f>IFERROR(__xludf.DUMMYFUNCTION("""COMPUTED_VALUE"""),3.0)</f>
        <v>3</v>
      </c>
      <c r="AF529" s="65"/>
      <c r="AG529" s="65"/>
      <c r="AH529" s="65"/>
      <c r="AI529" s="65"/>
      <c r="AJ529" s="65"/>
      <c r="AK529" s="65"/>
      <c r="AL529" s="65"/>
      <c r="AM529" s="65"/>
      <c r="AN529" s="65" t="str">
        <f>IFERROR(__xludf.DUMMYFUNCTION("""COMPUTED_VALUE"""),"14:09")</f>
        <v>14:09</v>
      </c>
      <c r="AO529" s="65" t="str">
        <f>IFERROR(__xludf.DUMMYFUNCTION("""COMPUTED_VALUE"""),"03-03-2026")</f>
        <v>03-03-2026</v>
      </c>
      <c r="AP529" s="65" t="str">
        <f>IFERROR(__xludf.DUMMYFUNCTION("""COMPUTED_VALUE"""),"ENTREGADA GINTRACOM")</f>
        <v>ENTREGADA GINTRACOM</v>
      </c>
      <c r="AQ529" s="65" t="str">
        <f>IFERROR(__xludf.DUMMYFUNCTION("""COMPUTED_VALUE"""),"ENTREGADA GINTRACOM")</f>
        <v>ENTREGADA GINTRACOM</v>
      </c>
      <c r="AR529" s="65"/>
      <c r="AS529" s="65"/>
      <c r="AT529" s="65" t="str">
        <f>IFERROR(__xludf.DUMMYFUNCTION("""COMPUTED_VALUE"""),"SHOPIFY")</f>
        <v>SHOPIFY</v>
      </c>
      <c r="AU529" s="65" t="str">
        <f>IFERROR(__xludf.DUMMYFUNCTION("""COMPUTED_VALUE"""),"IMPORTEX EC")</f>
        <v>IMPORTEX EC</v>
      </c>
      <c r="AV529" s="65" t="str">
        <f>IFERROR(__xludf.DUMMYFUNCTION("""COMPUTED_VALUE"""),"6534055133228")</f>
        <v>6534055133228</v>
      </c>
      <c r="AW529" s="65">
        <f>IFERROR(__xludf.DUMMYFUNCTION("""COMPUTED_VALUE"""),6342.0)</f>
        <v>6342</v>
      </c>
      <c r="AX529" s="65"/>
      <c r="AY529" s="65" t="str">
        <f>IFERROR(__xludf.DUMMYFUNCTION("""COMPUTED_VALUE"""),"26/02/2026")</f>
        <v>26/02/2026</v>
      </c>
      <c r="AZ529" s="65"/>
      <c r="BA529" s="65"/>
    </row>
    <row r="530">
      <c r="A530" s="65" t="str">
        <f>IFERROR(__xludf.DUMMYFUNCTION("""COMPUTED_VALUE"""),"27-03-2026")</f>
        <v>27-03-2026</v>
      </c>
      <c r="B530" s="65">
        <f>IFERROR(__xludf.DUMMYFUNCTION("""COMPUTED_VALUE"""),4628288.0)</f>
        <v>4628288</v>
      </c>
      <c r="C530" s="65" t="str">
        <f>IFERROR(__xludf.DUMMYFUNCTION("""COMPUTED_VALUE"""),"07:24")</f>
        <v>07:24</v>
      </c>
      <c r="D530" s="65" t="str">
        <f>IFERROR(__xludf.DUMMYFUNCTION("""COMPUTED_VALUE"""),"26-02-2026")</f>
        <v>26-02-2026</v>
      </c>
      <c r="E530" s="65" t="str">
        <f>IFERROR(__xludf.DUMMYFUNCTION("""COMPUTED_VALUE"""),"Edison Chipantiza")</f>
        <v>Edison Chipantiza</v>
      </c>
      <c r="F530" s="65" t="str">
        <f>IFERROR(__xludf.DUMMYFUNCTION("""COMPUTED_VALUE"""),"986234642")</f>
        <v>986234642</v>
      </c>
      <c r="G530" s="65" t="str">
        <f>IFERROR(__xludf.DUMMYFUNCTION("""COMPUTED_VALUE"""),"edisonjavier160170@gmail.com")</f>
        <v>edisonjavier160170@gmail.com</v>
      </c>
      <c r="H530" s="65"/>
      <c r="I530" s="65"/>
      <c r="J530" s="65" t="str">
        <f>IFERROR(__xludf.DUMMYFUNCTION("""COMPUTED_VALUE"""),"D001363544")</f>
        <v>D001363544</v>
      </c>
      <c r="K530" s="65" t="str">
        <f>IFERROR(__xludf.DUMMYFUNCTION("""COMPUTED_VALUE"""),"ENTREGADO")</f>
        <v>ENTREGADO</v>
      </c>
      <c r="L530" s="65" t="str">
        <f>IFERROR(__xludf.DUMMYFUNCTION("""COMPUTED_VALUE"""),"CON RECAUDO")</f>
        <v>CON RECAUDO</v>
      </c>
      <c r="M530" s="65" t="str">
        <f>IFERROR(__xludf.DUMMYFUNCTION("""COMPUTED_VALUE"""),"PICHINCHA")</f>
        <v>PICHINCHA</v>
      </c>
      <c r="N530" s="65" t="str">
        <f>IFERROR(__xludf.DUMMYFUNCTION("""COMPUTED_VALUE"""),"QUITO")</f>
        <v>QUITO</v>
      </c>
      <c r="O530" s="65" t="str">
        <f>IFERROR(__xludf.DUMMYFUNCTION("""COMPUTED_VALUE"""),"Mariano Campo E22 y S3 Monjas Alma Lojana - Casa 10 a una cuadra cancha deportiva Alma Lojana")</f>
        <v>Mariano Campo E22 y S3 Monjas Alma Lojana - Casa 10 a una cuadra cancha deportiva Alma Lojana</v>
      </c>
      <c r="P530" s="65"/>
      <c r="Q530" s="65" t="str">
        <f>IFERROR(__xludf.DUMMYFUNCTION("""COMPUTED_VALUE"""),"GINTRACOM")</f>
        <v>GINTRACOM</v>
      </c>
      <c r="R530" s="65">
        <f>IFERROR(__xludf.DUMMYFUNCTION("""COMPUTED_VALUE"""),25.0)</f>
        <v>25</v>
      </c>
      <c r="S530" s="65">
        <f>IFERROR(__xludf.DUMMYFUNCTION("""COMPUTED_VALUE"""),15.95)</f>
        <v>15.95</v>
      </c>
      <c r="T530" s="65">
        <f>IFERROR(__xludf.DUMMYFUNCTION("""COMPUTED_VALUE"""),4.35)</f>
        <v>4.35</v>
      </c>
      <c r="U530" s="65">
        <f>IFERROR(__xludf.DUMMYFUNCTION("""COMPUTED_VALUE"""),0.0)</f>
        <v>0</v>
      </c>
      <c r="V530" s="65">
        <f>IFERROR(__xludf.DUMMYFUNCTION("""COMPUTED_VALUE"""),0.0)</f>
        <v>0</v>
      </c>
      <c r="W530" s="65">
        <f>IFERROR(__xludf.DUMMYFUNCTION("""COMPUTED_VALUE"""),0.0)</f>
        <v>0</v>
      </c>
      <c r="X530" s="65">
        <f>IFERROR(__xludf.DUMMYFUNCTION("""COMPUTED_VALUE"""),2.35)</f>
        <v>2.35</v>
      </c>
      <c r="Y530" s="65">
        <f>IFERROR(__xludf.DUMMYFUNCTION("""COMPUTED_VALUE"""),4.7)</f>
        <v>4.7</v>
      </c>
      <c r="Z530" s="65">
        <f>IFERROR(__xludf.DUMMYFUNCTION("""COMPUTED_VALUE"""),116679.0)</f>
        <v>116679</v>
      </c>
      <c r="AA530" s="65" t="str">
        <f>IFERROR(__xludf.DUMMYFUNCTION("""COMPUTED_VALUE"""),"AMC-2738")</f>
        <v>AMC-2738</v>
      </c>
      <c r="AB530" s="65"/>
      <c r="AC530" s="65" t="str">
        <f>IFERROR(__xludf.DUMMYFUNCTION("""COMPUTED_VALUE"""),"ESPONJA ANTILLUVIA DE PARABRISAS")</f>
        <v>ESPONJA ANTILLUVIA DE PARABRISAS</v>
      </c>
      <c r="AD530" s="65"/>
      <c r="AE530" s="65">
        <f>IFERROR(__xludf.DUMMYFUNCTION("""COMPUTED_VALUE"""),2.0)</f>
        <v>2</v>
      </c>
      <c r="AF530" s="65"/>
      <c r="AG530" s="65"/>
      <c r="AH530" s="65"/>
      <c r="AI530" s="65"/>
      <c r="AJ530" s="65"/>
      <c r="AK530" s="65"/>
      <c r="AL530" s="65"/>
      <c r="AM530" s="65"/>
      <c r="AN530" s="65" t="str">
        <f>IFERROR(__xludf.DUMMYFUNCTION("""COMPUTED_VALUE"""),"16:40")</f>
        <v>16:40</v>
      </c>
      <c r="AO530" s="65" t="str">
        <f>IFERROR(__xludf.DUMMYFUNCTION("""COMPUTED_VALUE"""),"03-03-2026")</f>
        <v>03-03-2026</v>
      </c>
      <c r="AP530" s="65" t="str">
        <f>IFERROR(__xludf.DUMMYFUNCTION("""COMPUTED_VALUE"""),"ENTREGADA GINTRACOM")</f>
        <v>ENTREGADA GINTRACOM</v>
      </c>
      <c r="AQ530" s="65" t="str">
        <f>IFERROR(__xludf.DUMMYFUNCTION("""COMPUTED_VALUE"""),"ENTREGADA GINTRACOM")</f>
        <v>ENTREGADA GINTRACOM</v>
      </c>
      <c r="AR530" s="65"/>
      <c r="AS530" s="65"/>
      <c r="AT530" s="65" t="str">
        <f>IFERROR(__xludf.DUMMYFUNCTION("""COMPUTED_VALUE"""),"SHOPIFY")</f>
        <v>SHOPIFY</v>
      </c>
      <c r="AU530" s="65" t="str">
        <f>IFERROR(__xludf.DUMMYFUNCTION("""COMPUTED_VALUE"""),"IMPORTEX EC")</f>
        <v>IMPORTEX EC</v>
      </c>
      <c r="AV530" s="65" t="str">
        <f>IFERROR(__xludf.DUMMYFUNCTION("""COMPUTED_VALUE"""),"6533828902956")</f>
        <v>6533828902956</v>
      </c>
      <c r="AW530" s="65">
        <f>IFERROR(__xludf.DUMMYFUNCTION("""COMPUTED_VALUE"""),6341.0)</f>
        <v>6341</v>
      </c>
      <c r="AX530" s="65"/>
      <c r="AY530" s="65" t="str">
        <f>IFERROR(__xludf.DUMMYFUNCTION("""COMPUTED_VALUE"""),"26/02/2026")</f>
        <v>26/02/2026</v>
      </c>
      <c r="AZ530" s="65"/>
      <c r="BA530" s="65"/>
    </row>
    <row r="531">
      <c r="A531" s="65" t="str">
        <f>IFERROR(__xludf.DUMMYFUNCTION("""COMPUTED_VALUE"""),"27-03-2026")</f>
        <v>27-03-2026</v>
      </c>
      <c r="B531" s="65">
        <f>IFERROR(__xludf.DUMMYFUNCTION("""COMPUTED_VALUE"""),4628062.0)</f>
        <v>4628062</v>
      </c>
      <c r="C531" s="65" t="str">
        <f>IFERROR(__xludf.DUMMYFUNCTION("""COMPUTED_VALUE"""),"06:54")</f>
        <v>06:54</v>
      </c>
      <c r="D531" s="65" t="str">
        <f>IFERROR(__xludf.DUMMYFUNCTION("""COMPUTED_VALUE"""),"26-02-2026")</f>
        <v>26-02-2026</v>
      </c>
      <c r="E531" s="65" t="str">
        <f>IFERROR(__xludf.DUMMYFUNCTION("""COMPUTED_VALUE"""),"Patricia Juris")</f>
        <v>Patricia Juris</v>
      </c>
      <c r="F531" s="65" t="str">
        <f>IFERROR(__xludf.DUMMYFUNCTION("""COMPUTED_VALUE"""),"958833931")</f>
        <v>958833931</v>
      </c>
      <c r="G531" s="65" t="str">
        <f>IFERROR(__xludf.DUMMYFUNCTION("""COMPUTED_VALUE"""),"rvpmilo@hotmail.com")</f>
        <v>rvpmilo@hotmail.com</v>
      </c>
      <c r="H531" s="65"/>
      <c r="I531" s="65"/>
      <c r="J531" s="65"/>
      <c r="K531" s="65" t="str">
        <f>IFERROR(__xludf.DUMMYFUNCTION("""COMPUTED_VALUE"""),"PENDIENTE CONFIRMACION")</f>
        <v>PENDIENTE CONFIRMACION</v>
      </c>
      <c r="L531" s="65" t="str">
        <f>IFERROR(__xludf.DUMMYFUNCTION("""COMPUTED_VALUE"""),"CON RECAUDO")</f>
        <v>CON RECAUDO</v>
      </c>
      <c r="M531" s="65" t="str">
        <f>IFERROR(__xludf.DUMMYFUNCTION("""COMPUTED_VALUE"""),"IMBABURA")</f>
        <v>IMBABURA</v>
      </c>
      <c r="N531" s="65" t="str">
        <f>IFERROR(__xludf.DUMMYFUNCTION("""COMPUTED_VALUE"""),"IBARRA")</f>
        <v>IBARRA</v>
      </c>
      <c r="O531" s="65" t="str">
        <f>IFERROR(__xludf.DUMMYFUNCTION("""COMPUTED_VALUE"""),"Cristobal Gomez Jurado # 116 Parque El Tiempo MiniMarket Los tres Reyes -")</f>
        <v>Cristobal Gomez Jurado # 116 Parque El Tiempo MiniMarket Los tres Reyes -</v>
      </c>
      <c r="P531" s="65"/>
      <c r="Q531" s="65" t="str">
        <f>IFERROR(__xludf.DUMMYFUNCTION("""COMPUTED_VALUE"""),"GINTRACOM")</f>
        <v>GINTRACOM</v>
      </c>
      <c r="R531" s="65">
        <f>IFERROR(__xludf.DUMMYFUNCTION("""COMPUTED_VALUE"""),27.0)</f>
        <v>27</v>
      </c>
      <c r="S531" s="65"/>
      <c r="T531" s="65">
        <f>IFERROR(__xludf.DUMMYFUNCTION("""COMPUTED_VALUE"""),6.03)</f>
        <v>6.03</v>
      </c>
      <c r="U531" s="65">
        <f>IFERROR(__xludf.DUMMYFUNCTION("""COMPUTED_VALUE"""),0.0)</f>
        <v>0</v>
      </c>
      <c r="V531" s="65">
        <f>IFERROR(__xludf.DUMMYFUNCTION("""COMPUTED_VALUE"""),0.0)</f>
        <v>0</v>
      </c>
      <c r="W531" s="65">
        <f>IFERROR(__xludf.DUMMYFUNCTION("""COMPUTED_VALUE"""),0.0)</f>
        <v>0</v>
      </c>
      <c r="X531" s="65">
        <f>IFERROR(__xludf.DUMMYFUNCTION("""COMPUTED_VALUE"""),3.75)</f>
        <v>3.75</v>
      </c>
      <c r="Y531" s="65">
        <f>IFERROR(__xludf.DUMMYFUNCTION("""COMPUTED_VALUE"""),11.25)</f>
        <v>11.25</v>
      </c>
      <c r="Z531" s="65">
        <f>IFERROR(__xludf.DUMMYFUNCTION("""COMPUTED_VALUE"""),113116.0)</f>
        <v>113116</v>
      </c>
      <c r="AA531" s="65" t="str">
        <f>IFERROR(__xludf.DUMMYFUNCTION("""COMPUTED_VALUE"""),"IM-TAZAKI")</f>
        <v>IM-TAZAKI</v>
      </c>
      <c r="AB531" s="65"/>
      <c r="AC531" s="65" t="str">
        <f>IFERROR(__xludf.DUMMYFUNCTION("""COMPUTED_VALUE"""),"Cuchillo tazaki")</f>
        <v>Cuchillo tazaki</v>
      </c>
      <c r="AD531" s="65"/>
      <c r="AE531" s="65">
        <f>IFERROR(__xludf.DUMMYFUNCTION("""COMPUTED_VALUE"""),3.0)</f>
        <v>3</v>
      </c>
      <c r="AF531" s="65"/>
      <c r="AG531" s="65"/>
      <c r="AH531" s="65"/>
      <c r="AI531" s="65"/>
      <c r="AJ531" s="65"/>
      <c r="AK531" s="65"/>
      <c r="AL531" s="65"/>
      <c r="AM531" s="65"/>
      <c r="AN531" s="65"/>
      <c r="AO531" s="65"/>
      <c r="AP531" s="65"/>
      <c r="AQ531" s="65"/>
      <c r="AR531" s="65"/>
      <c r="AS531" s="65"/>
      <c r="AT531" s="65" t="str">
        <f>IFERROR(__xludf.DUMMYFUNCTION("""COMPUTED_VALUE"""),"SHOPIFY")</f>
        <v>SHOPIFY</v>
      </c>
      <c r="AU531" s="65" t="str">
        <f>IFERROR(__xludf.DUMMYFUNCTION("""COMPUTED_VALUE"""),"IMPORTEX EC")</f>
        <v>IMPORTEX EC</v>
      </c>
      <c r="AV531" s="65" t="str">
        <f>IFERROR(__xludf.DUMMYFUNCTION("""COMPUTED_VALUE"""),"6533654872108")</f>
        <v>6533654872108</v>
      </c>
      <c r="AW531" s="65">
        <f>IFERROR(__xludf.DUMMYFUNCTION("""COMPUTED_VALUE"""),6340.0)</f>
        <v>6340</v>
      </c>
      <c r="AX531" s="65"/>
      <c r="AY531" s="65"/>
      <c r="AZ531" s="65"/>
      <c r="BA531" s="65"/>
    </row>
    <row r="532">
      <c r="A532" s="65" t="str">
        <f>IFERROR(__xludf.DUMMYFUNCTION("""COMPUTED_VALUE"""),"27-03-2026")</f>
        <v>27-03-2026</v>
      </c>
      <c r="B532" s="65">
        <f>IFERROR(__xludf.DUMMYFUNCTION("""COMPUTED_VALUE"""),4627618.0)</f>
        <v>4627618</v>
      </c>
      <c r="C532" s="65" t="str">
        <f>IFERROR(__xludf.DUMMYFUNCTION("""COMPUTED_VALUE"""),"04:55")</f>
        <v>04:55</v>
      </c>
      <c r="D532" s="65" t="str">
        <f>IFERROR(__xludf.DUMMYFUNCTION("""COMPUTED_VALUE"""),"26-02-2026")</f>
        <v>26-02-2026</v>
      </c>
      <c r="E532" s="65" t="str">
        <f>IFERROR(__xludf.DUMMYFUNCTION("""COMPUTED_VALUE"""),"Alexandra Sánchez")</f>
        <v>Alexandra Sánchez</v>
      </c>
      <c r="F532" s="65" t="str">
        <f>IFERROR(__xludf.DUMMYFUNCTION("""COMPUTED_VALUE"""),"993107630")</f>
        <v>993107630</v>
      </c>
      <c r="G532" s="65" t="str">
        <f>IFERROR(__xludf.DUMMYFUNCTION("""COMPUTED_VALUE"""),"alexandrasancheztrujillo@yahoo.com")</f>
        <v>alexandrasancheztrujillo@yahoo.com</v>
      </c>
      <c r="H532" s="65"/>
      <c r="I532" s="65"/>
      <c r="J532" s="65" t="str">
        <f>IFERROR(__xludf.DUMMYFUNCTION("""COMPUTED_VALUE"""),"D001363549")</f>
        <v>D001363549</v>
      </c>
      <c r="K532" s="65" t="str">
        <f>IFERROR(__xludf.DUMMYFUNCTION("""COMPUTED_VALUE"""),"ENTREGADO")</f>
        <v>ENTREGADO</v>
      </c>
      <c r="L532" s="65" t="str">
        <f>IFERROR(__xludf.DUMMYFUNCTION("""COMPUTED_VALUE"""),"CON RECAUDO")</f>
        <v>CON RECAUDO</v>
      </c>
      <c r="M532" s="65" t="str">
        <f>IFERROR(__xludf.DUMMYFUNCTION("""COMPUTED_VALUE"""),"PICHINCHA")</f>
        <v>PICHINCHA</v>
      </c>
      <c r="N532" s="65" t="str">
        <f>IFERROR(__xludf.DUMMYFUNCTION("""COMPUTED_VALUE"""),"QUITO")</f>
        <v>QUITO</v>
      </c>
      <c r="O532" s="65" t="str">
        <f>IFERROR(__xludf.DUMMYFUNCTION("""COMPUTED_VALUE"""),"Isla Genovesa N41-120 e Isla Tortuga, Sector Jipijapa, Lugar de entrega: ConexoMed, en el horario de 8y30am a 2y30pm")</f>
        <v>Isla Genovesa N41-120 e Isla Tortuga, Sector Jipijapa, Lugar de entrega: ConexoMed, en el horario de 8y30am a 2y30pm</v>
      </c>
      <c r="P532" s="65"/>
      <c r="Q532" s="65" t="str">
        <f>IFERROR(__xludf.DUMMYFUNCTION("""COMPUTED_VALUE"""),"GINTRACOM")</f>
        <v>GINTRACOM</v>
      </c>
      <c r="R532" s="65">
        <f>IFERROR(__xludf.DUMMYFUNCTION("""COMPUTED_VALUE"""),30.0)</f>
        <v>30</v>
      </c>
      <c r="S532" s="65">
        <f>IFERROR(__xludf.DUMMYFUNCTION("""COMPUTED_VALUE"""),18.4)</f>
        <v>18.4</v>
      </c>
      <c r="T532" s="65">
        <f>IFERROR(__xludf.DUMMYFUNCTION("""COMPUTED_VALUE"""),4.55)</f>
        <v>4.55</v>
      </c>
      <c r="U532" s="65">
        <f>IFERROR(__xludf.DUMMYFUNCTION("""COMPUTED_VALUE"""),0.0)</f>
        <v>0</v>
      </c>
      <c r="V532" s="65">
        <f>IFERROR(__xludf.DUMMYFUNCTION("""COMPUTED_VALUE"""),0.0)</f>
        <v>0</v>
      </c>
      <c r="W532" s="65">
        <f>IFERROR(__xludf.DUMMYFUNCTION("""COMPUTED_VALUE"""),0.0)</f>
        <v>0</v>
      </c>
      <c r="X532" s="65">
        <f>IFERROR(__xludf.DUMMYFUNCTION("""COMPUTED_VALUE"""),2.35)</f>
        <v>2.35</v>
      </c>
      <c r="Y532" s="65">
        <f>IFERROR(__xludf.DUMMYFUNCTION("""COMPUTED_VALUE"""),7.05)</f>
        <v>7.05</v>
      </c>
      <c r="Z532" s="65">
        <f>IFERROR(__xludf.DUMMYFUNCTION("""COMPUTED_VALUE"""),116679.0)</f>
        <v>116679</v>
      </c>
      <c r="AA532" s="65" t="str">
        <f>IFERROR(__xludf.DUMMYFUNCTION("""COMPUTED_VALUE"""),"AMC-2738")</f>
        <v>AMC-2738</v>
      </c>
      <c r="AB532" s="65"/>
      <c r="AC532" s="65" t="str">
        <f>IFERROR(__xludf.DUMMYFUNCTION("""COMPUTED_VALUE"""),"ESPONJA ANTILLUVIA DE PARABRISAS")</f>
        <v>ESPONJA ANTILLUVIA DE PARABRISAS</v>
      </c>
      <c r="AD532" s="65"/>
      <c r="AE532" s="65">
        <f>IFERROR(__xludf.DUMMYFUNCTION("""COMPUTED_VALUE"""),3.0)</f>
        <v>3</v>
      </c>
      <c r="AF532" s="65"/>
      <c r="AG532" s="65"/>
      <c r="AH532" s="65"/>
      <c r="AI532" s="65"/>
      <c r="AJ532" s="65"/>
      <c r="AK532" s="65"/>
      <c r="AL532" s="65"/>
      <c r="AM532" s="65"/>
      <c r="AN532" s="65" t="str">
        <f>IFERROR(__xludf.DUMMYFUNCTION("""COMPUTED_VALUE"""),"10:10")</f>
        <v>10:10</v>
      </c>
      <c r="AO532" s="65" t="str">
        <f>IFERROR(__xludf.DUMMYFUNCTION("""COMPUTED_VALUE"""),"03-03-2026")</f>
        <v>03-03-2026</v>
      </c>
      <c r="AP532" s="65" t="str">
        <f>IFERROR(__xludf.DUMMYFUNCTION("""COMPUTED_VALUE"""),"ENTREGADA GINTRACOM")</f>
        <v>ENTREGADA GINTRACOM</v>
      </c>
      <c r="AQ532" s="65" t="str">
        <f>IFERROR(__xludf.DUMMYFUNCTION("""COMPUTED_VALUE"""),"ENTREGADA GINTRACOM")</f>
        <v>ENTREGADA GINTRACOM</v>
      </c>
      <c r="AR532" s="65"/>
      <c r="AS532" s="65"/>
      <c r="AT532" s="65" t="str">
        <f>IFERROR(__xludf.DUMMYFUNCTION("""COMPUTED_VALUE"""),"SHOPIFY")</f>
        <v>SHOPIFY</v>
      </c>
      <c r="AU532" s="65" t="str">
        <f>IFERROR(__xludf.DUMMYFUNCTION("""COMPUTED_VALUE"""),"IMPORTEX EC")</f>
        <v>IMPORTEX EC</v>
      </c>
      <c r="AV532" s="65" t="str">
        <f>IFERROR(__xludf.DUMMYFUNCTION("""COMPUTED_VALUE"""),"6532983783468")</f>
        <v>6532983783468</v>
      </c>
      <c r="AW532" s="65">
        <f>IFERROR(__xludf.DUMMYFUNCTION("""COMPUTED_VALUE"""),6339.0)</f>
        <v>6339</v>
      </c>
      <c r="AX532" s="65"/>
      <c r="AY532" s="65" t="str">
        <f>IFERROR(__xludf.DUMMYFUNCTION("""COMPUTED_VALUE"""),"26/02/2026")</f>
        <v>26/02/2026</v>
      </c>
      <c r="AZ532" s="65"/>
      <c r="BA532" s="65"/>
    </row>
    <row r="533">
      <c r="A533" s="65" t="str">
        <f>IFERROR(__xludf.DUMMYFUNCTION("""COMPUTED_VALUE"""),"27-03-2026")</f>
        <v>27-03-2026</v>
      </c>
      <c r="B533" s="65">
        <f>IFERROR(__xludf.DUMMYFUNCTION("""COMPUTED_VALUE"""),4627580.0)</f>
        <v>4627580</v>
      </c>
      <c r="C533" s="65" t="str">
        <f>IFERROR(__xludf.DUMMYFUNCTION("""COMPUTED_VALUE"""),"04:18")</f>
        <v>04:18</v>
      </c>
      <c r="D533" s="65" t="str">
        <f>IFERROR(__xludf.DUMMYFUNCTION("""COMPUTED_VALUE"""),"26-02-2026")</f>
        <v>26-02-2026</v>
      </c>
      <c r="E533" s="65" t="str">
        <f>IFERROR(__xludf.DUMMYFUNCTION("""COMPUTED_VALUE"""),"Ramón Cardenas")</f>
        <v>Ramón Cardenas</v>
      </c>
      <c r="F533" s="65" t="str">
        <f>IFERROR(__xludf.DUMMYFUNCTION("""COMPUTED_VALUE"""),"998796675")</f>
        <v>998796675</v>
      </c>
      <c r="G533" s="65" t="str">
        <f>IFERROR(__xludf.DUMMYFUNCTION("""COMPUTED_VALUE"""),"rcardenas1@etapanet.net")</f>
        <v>rcardenas1@etapanet.net</v>
      </c>
      <c r="H533" s="65"/>
      <c r="I533" s="65"/>
      <c r="J533" s="65" t="str">
        <f>IFERROR(__xludf.DUMMYFUNCTION("""COMPUTED_VALUE"""),"D001363550")</f>
        <v>D001363550</v>
      </c>
      <c r="K533" s="65" t="str">
        <f>IFERROR(__xludf.DUMMYFUNCTION("""COMPUTED_VALUE"""),"ENTREGADO")</f>
        <v>ENTREGADO</v>
      </c>
      <c r="L533" s="65" t="str">
        <f>IFERROR(__xludf.DUMMYFUNCTION("""COMPUTED_VALUE"""),"CON RECAUDO")</f>
        <v>CON RECAUDO</v>
      </c>
      <c r="M533" s="65" t="str">
        <f>IFERROR(__xludf.DUMMYFUNCTION("""COMPUTED_VALUE"""),"AZUAY")</f>
        <v>AZUAY</v>
      </c>
      <c r="N533" s="65" t="str">
        <f>IFERROR(__xludf.DUMMYFUNCTION("""COMPUTED_VALUE"""),"CUENCA")</f>
        <v>CUENCA</v>
      </c>
      <c r="O533" s="65" t="str">
        <f>IFERROR(__xludf.DUMMYFUNCTION("""COMPUTED_VALUE"""),"Juan Jaramillo 380 y vargas Machuca -")</f>
        <v>Juan Jaramillo 380 y vargas Machuca -</v>
      </c>
      <c r="P533" s="65"/>
      <c r="Q533" s="65" t="str">
        <f>IFERROR(__xludf.DUMMYFUNCTION("""COMPUTED_VALUE"""),"GINTRACOM")</f>
        <v>GINTRACOM</v>
      </c>
      <c r="R533" s="65">
        <f>IFERROR(__xludf.DUMMYFUNCTION("""COMPUTED_VALUE"""),25.0)</f>
        <v>25</v>
      </c>
      <c r="S533" s="65">
        <f>IFERROR(__xludf.DUMMYFUNCTION("""COMPUTED_VALUE"""),14.34)</f>
        <v>14.34</v>
      </c>
      <c r="T533" s="65">
        <f>IFERROR(__xludf.DUMMYFUNCTION("""COMPUTED_VALUE"""),5.96)</f>
        <v>5.96</v>
      </c>
      <c r="U533" s="65">
        <f>IFERROR(__xludf.DUMMYFUNCTION("""COMPUTED_VALUE"""),0.0)</f>
        <v>0</v>
      </c>
      <c r="V533" s="65">
        <f>IFERROR(__xludf.DUMMYFUNCTION("""COMPUTED_VALUE"""),0.0)</f>
        <v>0</v>
      </c>
      <c r="W533" s="65">
        <f>IFERROR(__xludf.DUMMYFUNCTION("""COMPUTED_VALUE"""),0.0)</f>
        <v>0</v>
      </c>
      <c r="X533" s="65">
        <f>IFERROR(__xludf.DUMMYFUNCTION("""COMPUTED_VALUE"""),2.35)</f>
        <v>2.35</v>
      </c>
      <c r="Y533" s="65">
        <f>IFERROR(__xludf.DUMMYFUNCTION("""COMPUTED_VALUE"""),4.7)</f>
        <v>4.7</v>
      </c>
      <c r="Z533" s="65">
        <f>IFERROR(__xludf.DUMMYFUNCTION("""COMPUTED_VALUE"""),116679.0)</f>
        <v>116679</v>
      </c>
      <c r="AA533" s="65" t="str">
        <f>IFERROR(__xludf.DUMMYFUNCTION("""COMPUTED_VALUE"""),"AMC-2738")</f>
        <v>AMC-2738</v>
      </c>
      <c r="AB533" s="65"/>
      <c r="AC533" s="65" t="str">
        <f>IFERROR(__xludf.DUMMYFUNCTION("""COMPUTED_VALUE"""),"ESPONJA ANTILLUVIA DE PARABRISAS")</f>
        <v>ESPONJA ANTILLUVIA DE PARABRISAS</v>
      </c>
      <c r="AD533" s="65"/>
      <c r="AE533" s="65">
        <f>IFERROR(__xludf.DUMMYFUNCTION("""COMPUTED_VALUE"""),2.0)</f>
        <v>2</v>
      </c>
      <c r="AF533" s="65"/>
      <c r="AG533" s="65"/>
      <c r="AH533" s="65"/>
      <c r="AI533" s="65"/>
      <c r="AJ533" s="65"/>
      <c r="AK533" s="65"/>
      <c r="AL533" s="65"/>
      <c r="AM533" s="65"/>
      <c r="AN533" s="65" t="str">
        <f>IFERROR(__xludf.DUMMYFUNCTION("""COMPUTED_VALUE"""),"11:41")</f>
        <v>11:41</v>
      </c>
      <c r="AO533" s="65" t="str">
        <f>IFERROR(__xludf.DUMMYFUNCTION("""COMPUTED_VALUE"""),"02-03-2026")</f>
        <v>02-03-2026</v>
      </c>
      <c r="AP533" s="65" t="str">
        <f>IFERROR(__xludf.DUMMYFUNCTION("""COMPUTED_VALUE"""),"ENTREGADA GINTRACOM")</f>
        <v>ENTREGADA GINTRACOM</v>
      </c>
      <c r="AQ533" s="65" t="str">
        <f>IFERROR(__xludf.DUMMYFUNCTION("""COMPUTED_VALUE"""),"ENTREGADA GINTRACOM")</f>
        <v>ENTREGADA GINTRACOM</v>
      </c>
      <c r="AR533" s="65"/>
      <c r="AS533" s="65"/>
      <c r="AT533" s="65" t="str">
        <f>IFERROR(__xludf.DUMMYFUNCTION("""COMPUTED_VALUE"""),"SHOPIFY")</f>
        <v>SHOPIFY</v>
      </c>
      <c r="AU533" s="65" t="str">
        <f>IFERROR(__xludf.DUMMYFUNCTION("""COMPUTED_VALUE"""),"IMPORTEX EC")</f>
        <v>IMPORTEX EC</v>
      </c>
      <c r="AV533" s="65" t="str">
        <f>IFERROR(__xludf.DUMMYFUNCTION("""COMPUTED_VALUE"""),"6532774363180")</f>
        <v>6532774363180</v>
      </c>
      <c r="AW533" s="65">
        <f>IFERROR(__xludf.DUMMYFUNCTION("""COMPUTED_VALUE"""),6338.0)</f>
        <v>6338</v>
      </c>
      <c r="AX533" s="65"/>
      <c r="AY533" s="65" t="str">
        <f>IFERROR(__xludf.DUMMYFUNCTION("""COMPUTED_VALUE"""),"26/02/2026")</f>
        <v>26/02/2026</v>
      </c>
      <c r="AZ533" s="65"/>
      <c r="BA533" s="65"/>
    </row>
    <row r="534">
      <c r="A534" s="65" t="str">
        <f>IFERROR(__xludf.DUMMYFUNCTION("""COMPUTED_VALUE"""),"27-03-2026")</f>
        <v>27-03-2026</v>
      </c>
      <c r="B534" s="65">
        <f>IFERROR(__xludf.DUMMYFUNCTION("""COMPUTED_VALUE"""),4627572.0)</f>
        <v>4627572</v>
      </c>
      <c r="C534" s="65" t="str">
        <f>IFERROR(__xludf.DUMMYFUNCTION("""COMPUTED_VALUE"""),"04:08")</f>
        <v>04:08</v>
      </c>
      <c r="D534" s="65" t="str">
        <f>IFERROR(__xludf.DUMMYFUNCTION("""COMPUTED_VALUE"""),"26-02-2026")</f>
        <v>26-02-2026</v>
      </c>
      <c r="E534" s="65" t="str">
        <f>IFERROR(__xludf.DUMMYFUNCTION("""COMPUTED_VALUE"""),"Leydy Malagon")</f>
        <v>Leydy Malagon</v>
      </c>
      <c r="F534" s="65" t="str">
        <f>IFERROR(__xludf.DUMMYFUNCTION("""COMPUTED_VALUE"""),"939043627")</f>
        <v>939043627</v>
      </c>
      <c r="G534" s="65" t="str">
        <f>IFERROR(__xludf.DUMMYFUNCTION("""COMPUTED_VALUE"""),"leydy.malagon54@gmail.com")</f>
        <v>leydy.malagon54@gmail.com</v>
      </c>
      <c r="H534" s="65"/>
      <c r="I534" s="65"/>
      <c r="J534" s="65" t="str">
        <f>IFERROR(__xludf.DUMMYFUNCTION("""COMPUTED_VALUE"""),"D001364829")</f>
        <v>D001364829</v>
      </c>
      <c r="K534" s="65" t="str">
        <f>IFERROR(__xludf.DUMMYFUNCTION("""COMPUTED_VALUE"""),"DEVOLUCION")</f>
        <v>DEVOLUCION</v>
      </c>
      <c r="L534" s="65" t="str">
        <f>IFERROR(__xludf.DUMMYFUNCTION("""COMPUTED_VALUE"""),"CON RECAUDO")</f>
        <v>CON RECAUDO</v>
      </c>
      <c r="M534" s="65" t="str">
        <f>IFERROR(__xludf.DUMMYFUNCTION("""COMPUTED_VALUE"""),"LOS RIOS")</f>
        <v>LOS RIOS</v>
      </c>
      <c r="N534" s="65" t="str">
        <f>IFERROR(__xludf.DUMMYFUNCTION("""COMPUTED_VALUE"""),"QUEVEDO")</f>
        <v>QUEVEDO</v>
      </c>
      <c r="O534" s="65" t="str">
        <f>IFERROR(__xludf.DUMMYFUNCTION("""COMPUTED_VALUE"""),"Vía san Carlos 15 de noviembre - Coop 15 de noviembre,  frente a Inmaia S.A  3 cuadras adentro puerto plomo mano izquierda 3 casa de 3 pisos")</f>
        <v>Vía san Carlos 15 de noviembre - Coop 15 de noviembre,  frente a Inmaia S.A  3 cuadras adentro puerto plomo mano izquierda 3 casa de 3 pisos</v>
      </c>
      <c r="P534" s="65"/>
      <c r="Q534" s="65" t="str">
        <f>IFERROR(__xludf.DUMMYFUNCTION("""COMPUTED_VALUE"""),"GINTRACOM")</f>
        <v>GINTRACOM</v>
      </c>
      <c r="R534" s="65">
        <f>IFERROR(__xludf.DUMMYFUNCTION("""COMPUTED_VALUE"""),22.0)</f>
        <v>22</v>
      </c>
      <c r="S534" s="65"/>
      <c r="T534" s="65">
        <f>IFERROR(__xludf.DUMMYFUNCTION("""COMPUTED_VALUE"""),5.84)</f>
        <v>5.84</v>
      </c>
      <c r="U534" s="65">
        <f>IFERROR(__xludf.DUMMYFUNCTION("""COMPUTED_VALUE"""),0.0)</f>
        <v>0</v>
      </c>
      <c r="V534" s="65">
        <f>IFERROR(__xludf.DUMMYFUNCTION("""COMPUTED_VALUE"""),0.0)</f>
        <v>0</v>
      </c>
      <c r="W534" s="65">
        <f>IFERROR(__xludf.DUMMYFUNCTION("""COMPUTED_VALUE"""),0.0)</f>
        <v>0</v>
      </c>
      <c r="X534" s="65">
        <f>IFERROR(__xludf.DUMMYFUNCTION("""COMPUTED_VALUE"""),3.75)</f>
        <v>3.75</v>
      </c>
      <c r="Y534" s="65">
        <f>IFERROR(__xludf.DUMMYFUNCTION("""COMPUTED_VALUE"""),7.5)</f>
        <v>7.5</v>
      </c>
      <c r="Z534" s="65">
        <f>IFERROR(__xludf.DUMMYFUNCTION("""COMPUTED_VALUE"""),113116.0)</f>
        <v>113116</v>
      </c>
      <c r="AA534" s="65" t="str">
        <f>IFERROR(__xludf.DUMMYFUNCTION("""COMPUTED_VALUE"""),"IM-TAZAKI")</f>
        <v>IM-TAZAKI</v>
      </c>
      <c r="AB534" s="65"/>
      <c r="AC534" s="65" t="str">
        <f>IFERROR(__xludf.DUMMYFUNCTION("""COMPUTED_VALUE"""),"Cuchillo tazaki")</f>
        <v>Cuchillo tazaki</v>
      </c>
      <c r="AD534" s="65"/>
      <c r="AE534" s="65">
        <f>IFERROR(__xludf.DUMMYFUNCTION("""COMPUTED_VALUE"""),2.0)</f>
        <v>2</v>
      </c>
      <c r="AF534" s="65" t="str">
        <f>IFERROR(__xludf.DUMMYFUNCTION("""COMPUTED_VALUE"""),"DESTINATARIO AGENDA, FECHA Y HORA DE ENTREGA Y YA NO CONTESTA")</f>
        <v>DESTINATARIO AGENDA, FECHA Y HORA DE ENTREGA Y YA NO CONTESTA</v>
      </c>
      <c r="AG534" s="65" t="str">
        <f>IFERROR(__xludf.DUMMYFUNCTION("""COMPUTED_VALUE"""),"SI")</f>
        <v>SI</v>
      </c>
      <c r="AH534" s="65" t="str">
        <f>IFERROR(__xludf.DUMMYFUNCTION("""COMPUTED_VALUE"""),"13:12")</f>
        <v>13:12</v>
      </c>
      <c r="AI534" s="65" t="str">
        <f>IFERROR(__xludf.DUMMYFUNCTION("""COMPUTED_VALUE"""),"06-03-2026")</f>
        <v>06-03-2026</v>
      </c>
      <c r="AJ534" s="65" t="str">
        <f>IFERROR(__xludf.DUMMYFUNCTION("""COMPUTED_VALUE"""),"Cliente solicita la entrega inmediata")</f>
        <v>Cliente solicita la entrega inmediata</v>
      </c>
      <c r="AK534" s="65" t="str">
        <f>IFERROR(__xludf.DUMMYFUNCTION("""COMPUTED_VALUE"""),"11:21")</f>
        <v>11:21</v>
      </c>
      <c r="AL534" s="65" t="str">
        <f>IFERROR(__xludf.DUMMYFUNCTION("""COMPUTED_VALUE"""),"09-03-2026")</f>
        <v>09-03-2026</v>
      </c>
      <c r="AM534" s="65"/>
      <c r="AN534" s="65" t="str">
        <f>IFERROR(__xludf.DUMMYFUNCTION("""COMPUTED_VALUE"""),"13:08")</f>
        <v>13:08</v>
      </c>
      <c r="AO534" s="65" t="str">
        <f>IFERROR(__xludf.DUMMYFUNCTION("""COMPUTED_VALUE"""),"26-03-2026")</f>
        <v>26-03-2026</v>
      </c>
      <c r="AP534" s="65" t="str">
        <f>IFERROR(__xludf.DUMMYFUNCTION("""COMPUTED_VALUE"""),"DEVOLUCIÓN ENTREGADA A ORIGEN")</f>
        <v>DEVOLUCIÓN ENTREGADA A ORIGEN</v>
      </c>
      <c r="AQ534" s="65" t="str">
        <f>IFERROR(__xludf.DUMMYFUNCTION("""COMPUTED_VALUE"""),"DEVOLUCIÓN ENTREGADA A ORIGEN")</f>
        <v>DEVOLUCIÓN ENTREGADA A ORIGEN</v>
      </c>
      <c r="AR534" s="65"/>
      <c r="AS534" s="65"/>
      <c r="AT534" s="65" t="str">
        <f>IFERROR(__xludf.DUMMYFUNCTION("""COMPUTED_VALUE"""),"SHOPIFY")</f>
        <v>SHOPIFY</v>
      </c>
      <c r="AU534" s="65" t="str">
        <f>IFERROR(__xludf.DUMMYFUNCTION("""COMPUTED_VALUE"""),"IMPORTEX EC")</f>
        <v>IMPORTEX EC</v>
      </c>
      <c r="AV534" s="65" t="str">
        <f>IFERROR(__xludf.DUMMYFUNCTION("""COMPUTED_VALUE"""),"6532726358060")</f>
        <v>6532726358060</v>
      </c>
      <c r="AW534" s="65">
        <f>IFERROR(__xludf.DUMMYFUNCTION("""COMPUTED_VALUE"""),6337.0)</f>
        <v>6337</v>
      </c>
      <c r="AX534" s="65"/>
      <c r="AY534" s="65" t="str">
        <f>IFERROR(__xludf.DUMMYFUNCTION("""COMPUTED_VALUE"""),"27/02/2026")</f>
        <v>27/02/2026</v>
      </c>
      <c r="AZ534" s="65"/>
      <c r="BA534" s="65"/>
    </row>
    <row r="535">
      <c r="A535" s="65" t="str">
        <f>IFERROR(__xludf.DUMMYFUNCTION("""COMPUTED_VALUE"""),"27-03-2026")</f>
        <v>27-03-2026</v>
      </c>
      <c r="B535" s="65">
        <f>IFERROR(__xludf.DUMMYFUNCTION("""COMPUTED_VALUE"""),4627226.0)</f>
        <v>4627226</v>
      </c>
      <c r="C535" s="65" t="str">
        <f>IFERROR(__xludf.DUMMYFUNCTION("""COMPUTED_VALUE"""),"00:11")</f>
        <v>00:11</v>
      </c>
      <c r="D535" s="65" t="str">
        <f>IFERROR(__xludf.DUMMYFUNCTION("""COMPUTED_VALUE"""),"26-02-2026")</f>
        <v>26-02-2026</v>
      </c>
      <c r="E535" s="65" t="str">
        <f>IFERROR(__xludf.DUMMYFUNCTION("""COMPUTED_VALUE"""),"Jorge Farez")</f>
        <v>Jorge Farez</v>
      </c>
      <c r="F535" s="65" t="str">
        <f>IFERROR(__xludf.DUMMYFUNCTION("""COMPUTED_VALUE"""),"969641466")</f>
        <v>969641466</v>
      </c>
      <c r="G535" s="65" t="str">
        <f>IFERROR(__xludf.DUMMYFUNCTION("""COMPUTED_VALUE"""),"jpfp1973@hotmail.com")</f>
        <v>jpfp1973@hotmail.com</v>
      </c>
      <c r="H535" s="65"/>
      <c r="I535" s="65"/>
      <c r="J535" s="65" t="str">
        <f>IFERROR(__xludf.DUMMYFUNCTION("""COMPUTED_VALUE"""),"D001364830")</f>
        <v>D001364830</v>
      </c>
      <c r="K535" s="65" t="str">
        <f>IFERROR(__xludf.DUMMYFUNCTION("""COMPUTED_VALUE"""),"ENTREGADO")</f>
        <v>ENTREGADO</v>
      </c>
      <c r="L535" s="65" t="str">
        <f>IFERROR(__xludf.DUMMYFUNCTION("""COMPUTED_VALUE"""),"CON RECAUDO")</f>
        <v>CON RECAUDO</v>
      </c>
      <c r="M535" s="65" t="str">
        <f>IFERROR(__xludf.DUMMYFUNCTION("""COMPUTED_VALUE"""),"MORONA SANTIAGO")</f>
        <v>MORONA SANTIAGO</v>
      </c>
      <c r="N535" s="65" t="str">
        <f>IFERROR(__xludf.DUMMYFUNCTION("""COMPUTED_VALUE"""),"MACAS")</f>
        <v>MACAS</v>
      </c>
      <c r="O535" s="65" t="str">
        <f>IFERROR(__xludf.DUMMYFUNCTION("""COMPUTED_VALUE"""),"Av. 29 de mayo y kiruba Tres esquinas - Referencia frente comercial sinchi automotris el zorro")</f>
        <v>Av. 29 de mayo y kiruba Tres esquinas - Referencia frente comercial sinchi automotris el zorro</v>
      </c>
      <c r="P535" s="65"/>
      <c r="Q535" s="65" t="str">
        <f>IFERROR(__xludf.DUMMYFUNCTION("""COMPUTED_VALUE"""),"GINTRACOM")</f>
        <v>GINTRACOM</v>
      </c>
      <c r="R535" s="65">
        <f>IFERROR(__xludf.DUMMYFUNCTION("""COMPUTED_VALUE"""),22.0)</f>
        <v>22</v>
      </c>
      <c r="S535" s="65">
        <f>IFERROR(__xludf.DUMMYFUNCTION("""COMPUTED_VALUE"""),8.66)</f>
        <v>8.66</v>
      </c>
      <c r="T535" s="65">
        <f>IFERROR(__xludf.DUMMYFUNCTION("""COMPUTED_VALUE"""),5.84)</f>
        <v>5.84</v>
      </c>
      <c r="U535" s="65">
        <f>IFERROR(__xludf.DUMMYFUNCTION("""COMPUTED_VALUE"""),0.0)</f>
        <v>0</v>
      </c>
      <c r="V535" s="65">
        <f>IFERROR(__xludf.DUMMYFUNCTION("""COMPUTED_VALUE"""),0.0)</f>
        <v>0</v>
      </c>
      <c r="W535" s="65">
        <f>IFERROR(__xludf.DUMMYFUNCTION("""COMPUTED_VALUE"""),0.0)</f>
        <v>0</v>
      </c>
      <c r="X535" s="65">
        <f>IFERROR(__xludf.DUMMYFUNCTION("""COMPUTED_VALUE"""),3.75)</f>
        <v>3.75</v>
      </c>
      <c r="Y535" s="65">
        <f>IFERROR(__xludf.DUMMYFUNCTION("""COMPUTED_VALUE"""),7.5)</f>
        <v>7.5</v>
      </c>
      <c r="Z535" s="65">
        <f>IFERROR(__xludf.DUMMYFUNCTION("""COMPUTED_VALUE"""),113116.0)</f>
        <v>113116</v>
      </c>
      <c r="AA535" s="65" t="str">
        <f>IFERROR(__xludf.DUMMYFUNCTION("""COMPUTED_VALUE"""),"IM-TAZAKI")</f>
        <v>IM-TAZAKI</v>
      </c>
      <c r="AB535" s="65"/>
      <c r="AC535" s="65" t="str">
        <f>IFERROR(__xludf.DUMMYFUNCTION("""COMPUTED_VALUE"""),"Cuchillo tazaki")</f>
        <v>Cuchillo tazaki</v>
      </c>
      <c r="AD535" s="65"/>
      <c r="AE535" s="65">
        <f>IFERROR(__xludf.DUMMYFUNCTION("""COMPUTED_VALUE"""),2.0)</f>
        <v>2</v>
      </c>
      <c r="AF535" s="65"/>
      <c r="AG535" s="65"/>
      <c r="AH535" s="65"/>
      <c r="AI535" s="65"/>
      <c r="AJ535" s="65"/>
      <c r="AK535" s="65"/>
      <c r="AL535" s="65"/>
      <c r="AM535" s="65"/>
      <c r="AN535" s="65" t="str">
        <f>IFERROR(__xludf.DUMMYFUNCTION("""COMPUTED_VALUE"""),"16:30")</f>
        <v>16:30</v>
      </c>
      <c r="AO535" s="65" t="str">
        <f>IFERROR(__xludf.DUMMYFUNCTION("""COMPUTED_VALUE"""),"28-02-2026")</f>
        <v>28-02-2026</v>
      </c>
      <c r="AP535" s="65" t="str">
        <f>IFERROR(__xludf.DUMMYFUNCTION("""COMPUTED_VALUE"""),"ENTREGADA GINTRACOM")</f>
        <v>ENTREGADA GINTRACOM</v>
      </c>
      <c r="AQ535" s="65" t="str">
        <f>IFERROR(__xludf.DUMMYFUNCTION("""COMPUTED_VALUE"""),"ENTREGADA GINTRACOM")</f>
        <v>ENTREGADA GINTRACOM</v>
      </c>
      <c r="AR535" s="65"/>
      <c r="AS535" s="65"/>
      <c r="AT535" s="65" t="str">
        <f>IFERROR(__xludf.DUMMYFUNCTION("""COMPUTED_VALUE"""),"SHOPIFY")</f>
        <v>SHOPIFY</v>
      </c>
      <c r="AU535" s="65" t="str">
        <f>IFERROR(__xludf.DUMMYFUNCTION("""COMPUTED_VALUE"""),"IMPORTEX EC")</f>
        <v>IMPORTEX EC</v>
      </c>
      <c r="AV535" s="65" t="str">
        <f>IFERROR(__xludf.DUMMYFUNCTION("""COMPUTED_VALUE"""),"6532103766060")</f>
        <v>6532103766060</v>
      </c>
      <c r="AW535" s="65">
        <f>IFERROR(__xludf.DUMMYFUNCTION("""COMPUTED_VALUE"""),6336.0)</f>
        <v>6336</v>
      </c>
      <c r="AX535" s="65"/>
      <c r="AY535" s="65" t="str">
        <f>IFERROR(__xludf.DUMMYFUNCTION("""COMPUTED_VALUE"""),"27/02/2026")</f>
        <v>27/02/2026</v>
      </c>
      <c r="AZ535" s="65"/>
      <c r="BA535" s="65"/>
    </row>
    <row r="536">
      <c r="A536" s="65" t="str">
        <f>IFERROR(__xludf.DUMMYFUNCTION("""COMPUTED_VALUE"""),"27-03-2026")</f>
        <v>27-03-2026</v>
      </c>
      <c r="B536" s="65">
        <f>IFERROR(__xludf.DUMMYFUNCTION("""COMPUTED_VALUE"""),4627014.0)</f>
        <v>4627014</v>
      </c>
      <c r="C536" s="65" t="str">
        <f>IFERROR(__xludf.DUMMYFUNCTION("""COMPUTED_VALUE"""),"23:25")</f>
        <v>23:25</v>
      </c>
      <c r="D536" s="65" t="str">
        <f>IFERROR(__xludf.DUMMYFUNCTION("""COMPUTED_VALUE"""),"25-02-2026")</f>
        <v>25-02-2026</v>
      </c>
      <c r="E536" s="65" t="str">
        <f>IFERROR(__xludf.DUMMYFUNCTION("""COMPUTED_VALUE"""),"Mauricio Almeida")</f>
        <v>Mauricio Almeida</v>
      </c>
      <c r="F536" s="65" t="str">
        <f>IFERROR(__xludf.DUMMYFUNCTION("""COMPUTED_VALUE"""),"999718577")</f>
        <v>999718577</v>
      </c>
      <c r="G536" s="65" t="str">
        <f>IFERROR(__xludf.DUMMYFUNCTION("""COMPUTED_VALUE"""),"elizabethdemo@gmail.com")</f>
        <v>elizabethdemo@gmail.com</v>
      </c>
      <c r="H536" s="65"/>
      <c r="I536" s="65"/>
      <c r="J536" s="65"/>
      <c r="K536" s="65" t="str">
        <f>IFERROR(__xludf.DUMMYFUNCTION("""COMPUTED_VALUE"""),"PENDIENTE CONFIRMACION")</f>
        <v>PENDIENTE CONFIRMACION</v>
      </c>
      <c r="L536" s="65" t="str">
        <f>IFERROR(__xludf.DUMMYFUNCTION("""COMPUTED_VALUE"""),"CON RECAUDO")</f>
        <v>CON RECAUDO</v>
      </c>
      <c r="M536" s="65" t="str">
        <f>IFERROR(__xludf.DUMMYFUNCTION("""COMPUTED_VALUE"""),"MANABI")</f>
        <v>MANABI</v>
      </c>
      <c r="N536" s="65" t="str">
        <f>IFERROR(__xludf.DUMMYFUNCTION("""COMPUTED_VALUE"""),"CALCETA")</f>
        <v>CALCETA</v>
      </c>
      <c r="O536" s="65" t="str">
        <f>IFERROR(__xludf.DUMMYFUNCTION("""COMPUTED_VALUE"""),"Sucre Granda centeno -")</f>
        <v>Sucre Granda centeno -</v>
      </c>
      <c r="P536" s="65"/>
      <c r="Q536" s="65" t="str">
        <f>IFERROR(__xludf.DUMMYFUNCTION("""COMPUTED_VALUE"""),"GINTRACOM")</f>
        <v>GINTRACOM</v>
      </c>
      <c r="R536" s="65">
        <f>IFERROR(__xludf.DUMMYFUNCTION("""COMPUTED_VALUE"""),32.0)</f>
        <v>32</v>
      </c>
      <c r="S536" s="65"/>
      <c r="T536" s="65">
        <f>IFERROR(__xludf.DUMMYFUNCTION("""COMPUTED_VALUE"""),6.81)</f>
        <v>6.81</v>
      </c>
      <c r="U536" s="65">
        <f>IFERROR(__xludf.DUMMYFUNCTION("""COMPUTED_VALUE"""),0.0)</f>
        <v>0</v>
      </c>
      <c r="V536" s="65">
        <f>IFERROR(__xludf.DUMMYFUNCTION("""COMPUTED_VALUE"""),0.0)</f>
        <v>0</v>
      </c>
      <c r="W536" s="65">
        <f>IFERROR(__xludf.DUMMYFUNCTION("""COMPUTED_VALUE"""),0.0)</f>
        <v>0</v>
      </c>
      <c r="X536" s="65">
        <f>IFERROR(__xludf.DUMMYFUNCTION("""COMPUTED_VALUE"""),3.75)</f>
        <v>3.75</v>
      </c>
      <c r="Y536" s="65">
        <f>IFERROR(__xludf.DUMMYFUNCTION("""COMPUTED_VALUE"""),15.0)</f>
        <v>15</v>
      </c>
      <c r="Z536" s="65">
        <f>IFERROR(__xludf.DUMMYFUNCTION("""COMPUTED_VALUE"""),113116.0)</f>
        <v>113116</v>
      </c>
      <c r="AA536" s="65" t="str">
        <f>IFERROR(__xludf.DUMMYFUNCTION("""COMPUTED_VALUE"""),"IM-TAZAKI")</f>
        <v>IM-TAZAKI</v>
      </c>
      <c r="AB536" s="65"/>
      <c r="AC536" s="65" t="str">
        <f>IFERROR(__xludf.DUMMYFUNCTION("""COMPUTED_VALUE"""),"Cuchillo tazaki")</f>
        <v>Cuchillo tazaki</v>
      </c>
      <c r="AD536" s="65"/>
      <c r="AE536" s="65">
        <f>IFERROR(__xludf.DUMMYFUNCTION("""COMPUTED_VALUE"""),4.0)</f>
        <v>4</v>
      </c>
      <c r="AF536" s="65"/>
      <c r="AG536" s="65"/>
      <c r="AH536" s="65"/>
      <c r="AI536" s="65"/>
      <c r="AJ536" s="65"/>
      <c r="AK536" s="65"/>
      <c r="AL536" s="65"/>
      <c r="AM536" s="65"/>
      <c r="AN536" s="65"/>
      <c r="AO536" s="65"/>
      <c r="AP536" s="65"/>
      <c r="AQ536" s="65"/>
      <c r="AR536" s="65"/>
      <c r="AS536" s="65"/>
      <c r="AT536" s="65" t="str">
        <f>IFERROR(__xludf.DUMMYFUNCTION("""COMPUTED_VALUE"""),"SHOPIFY")</f>
        <v>SHOPIFY</v>
      </c>
      <c r="AU536" s="65" t="str">
        <f>IFERROR(__xludf.DUMMYFUNCTION("""COMPUTED_VALUE"""),"IMPORTEX EC")</f>
        <v>IMPORTEX EC</v>
      </c>
      <c r="AV536" s="65" t="str">
        <f>IFERROR(__xludf.DUMMYFUNCTION("""COMPUTED_VALUE"""),"6531980427308")</f>
        <v>6531980427308</v>
      </c>
      <c r="AW536" s="65">
        <f>IFERROR(__xludf.DUMMYFUNCTION("""COMPUTED_VALUE"""),6335.0)</f>
        <v>6335</v>
      </c>
      <c r="AX536" s="65"/>
      <c r="AY536" s="65"/>
      <c r="AZ536" s="65"/>
      <c r="BA536" s="65"/>
    </row>
    <row r="537">
      <c r="A537" s="65" t="str">
        <f>IFERROR(__xludf.DUMMYFUNCTION("""COMPUTED_VALUE"""),"27-03-2026")</f>
        <v>27-03-2026</v>
      </c>
      <c r="B537" s="65">
        <f>IFERROR(__xludf.DUMMYFUNCTION("""COMPUTED_VALUE"""),4626950.0)</f>
        <v>4626950</v>
      </c>
      <c r="C537" s="65" t="str">
        <f>IFERROR(__xludf.DUMMYFUNCTION("""COMPUTED_VALUE"""),"23:16")</f>
        <v>23:16</v>
      </c>
      <c r="D537" s="65" t="str">
        <f>IFERROR(__xludf.DUMMYFUNCTION("""COMPUTED_VALUE"""),"25-02-2026")</f>
        <v>25-02-2026</v>
      </c>
      <c r="E537" s="65" t="str">
        <f>IFERROR(__xludf.DUMMYFUNCTION("""COMPUTED_VALUE"""),"Armando Alvarado")</f>
        <v>Armando Alvarado</v>
      </c>
      <c r="F537" s="65" t="str">
        <f>IFERROR(__xludf.DUMMYFUNCTION("""COMPUTED_VALUE"""),"958738511")</f>
        <v>958738511</v>
      </c>
      <c r="G537" s="65" t="str">
        <f>IFERROR(__xludf.DUMMYFUNCTION("""COMPUTED_VALUE"""),"armimontero86@gmail.com")</f>
        <v>armimontero86@gmail.com</v>
      </c>
      <c r="H537" s="65"/>
      <c r="I537" s="65"/>
      <c r="J537" s="65" t="str">
        <f>IFERROR(__xludf.DUMMYFUNCTION("""COMPUTED_VALUE"""),"D001363555")</f>
        <v>D001363555</v>
      </c>
      <c r="K537" s="65" t="str">
        <f>IFERROR(__xludf.DUMMYFUNCTION("""COMPUTED_VALUE"""),"ENTREGADO")</f>
        <v>ENTREGADO</v>
      </c>
      <c r="L537" s="65" t="str">
        <f>IFERROR(__xludf.DUMMYFUNCTION("""COMPUTED_VALUE"""),"CON RECAUDO")</f>
        <v>CON RECAUDO</v>
      </c>
      <c r="M537" s="65" t="str">
        <f>IFERROR(__xludf.DUMMYFUNCTION("""COMPUTED_VALUE"""),"GUAYAS")</f>
        <v>GUAYAS</v>
      </c>
      <c r="N537" s="65" t="str">
        <f>IFERROR(__xludf.DUMMYFUNCTION("""COMPUTED_VALUE"""),"GUAYAQUIL")</f>
        <v>GUAYAQUIL</v>
      </c>
      <c r="O537" s="65" t="str">
        <f>IFERROR(__xludf.DUMMYFUNCTION("""COMPUTED_VALUE"""),"Bastión Popular Bl1b D'SCORPION PAPELERIA . 3 PSJE . 38A  Y C.24 N-O")</f>
        <v>Bastión Popular Bl1b D'SCORPION PAPELERIA . 3 PSJE . 38A  Y C.24 N-O</v>
      </c>
      <c r="P537" s="65"/>
      <c r="Q537" s="65" t="str">
        <f>IFERROR(__xludf.DUMMYFUNCTION("""COMPUTED_VALUE"""),"GINTRACOM")</f>
        <v>GINTRACOM</v>
      </c>
      <c r="R537" s="65">
        <f>IFERROR(__xludf.DUMMYFUNCTION("""COMPUTED_VALUE"""),25.0)</f>
        <v>25</v>
      </c>
      <c r="S537" s="65">
        <f>IFERROR(__xludf.DUMMYFUNCTION("""COMPUTED_VALUE"""),14.34)</f>
        <v>14.34</v>
      </c>
      <c r="T537" s="65">
        <f>IFERROR(__xludf.DUMMYFUNCTION("""COMPUTED_VALUE"""),5.96)</f>
        <v>5.96</v>
      </c>
      <c r="U537" s="65">
        <f>IFERROR(__xludf.DUMMYFUNCTION("""COMPUTED_VALUE"""),0.0)</f>
        <v>0</v>
      </c>
      <c r="V537" s="65">
        <f>IFERROR(__xludf.DUMMYFUNCTION("""COMPUTED_VALUE"""),0.0)</f>
        <v>0</v>
      </c>
      <c r="W537" s="65">
        <f>IFERROR(__xludf.DUMMYFUNCTION("""COMPUTED_VALUE"""),0.0)</f>
        <v>0</v>
      </c>
      <c r="X537" s="65">
        <f>IFERROR(__xludf.DUMMYFUNCTION("""COMPUTED_VALUE"""),2.35)</f>
        <v>2.35</v>
      </c>
      <c r="Y537" s="65">
        <f>IFERROR(__xludf.DUMMYFUNCTION("""COMPUTED_VALUE"""),4.7)</f>
        <v>4.7</v>
      </c>
      <c r="Z537" s="65">
        <f>IFERROR(__xludf.DUMMYFUNCTION("""COMPUTED_VALUE"""),116679.0)</f>
        <v>116679</v>
      </c>
      <c r="AA537" s="65" t="str">
        <f>IFERROR(__xludf.DUMMYFUNCTION("""COMPUTED_VALUE"""),"AMC-2738")</f>
        <v>AMC-2738</v>
      </c>
      <c r="AB537" s="65"/>
      <c r="AC537" s="65" t="str">
        <f>IFERROR(__xludf.DUMMYFUNCTION("""COMPUTED_VALUE"""),"ESPONJA ANTILLUVIA DE PARABRISAS")</f>
        <v>ESPONJA ANTILLUVIA DE PARABRISAS</v>
      </c>
      <c r="AD537" s="65"/>
      <c r="AE537" s="65">
        <f>IFERROR(__xludf.DUMMYFUNCTION("""COMPUTED_VALUE"""),2.0)</f>
        <v>2</v>
      </c>
      <c r="AF537" s="65"/>
      <c r="AG537" s="65"/>
      <c r="AH537" s="65"/>
      <c r="AI537" s="65"/>
      <c r="AJ537" s="65"/>
      <c r="AK537" s="65"/>
      <c r="AL537" s="65"/>
      <c r="AM537" s="65"/>
      <c r="AN537" s="65" t="str">
        <f>IFERROR(__xludf.DUMMYFUNCTION("""COMPUTED_VALUE"""),"17:05")</f>
        <v>17:05</v>
      </c>
      <c r="AO537" s="65" t="str">
        <f>IFERROR(__xludf.DUMMYFUNCTION("""COMPUTED_VALUE"""),"02-03-2026")</f>
        <v>02-03-2026</v>
      </c>
      <c r="AP537" s="65" t="str">
        <f>IFERROR(__xludf.DUMMYFUNCTION("""COMPUTED_VALUE"""),"ENTREGADA GINTRACOM")</f>
        <v>ENTREGADA GINTRACOM</v>
      </c>
      <c r="AQ537" s="65" t="str">
        <f>IFERROR(__xludf.DUMMYFUNCTION("""COMPUTED_VALUE"""),"ENTREGADA GINTRACOM")</f>
        <v>ENTREGADA GINTRACOM</v>
      </c>
      <c r="AR537" s="65"/>
      <c r="AS537" s="65"/>
      <c r="AT537" s="65" t="str">
        <f>IFERROR(__xludf.DUMMYFUNCTION("""COMPUTED_VALUE"""),"SHOPIFY")</f>
        <v>SHOPIFY</v>
      </c>
      <c r="AU537" s="65" t="str">
        <f>IFERROR(__xludf.DUMMYFUNCTION("""COMPUTED_VALUE"""),"IMPORTEX EC")</f>
        <v>IMPORTEX EC</v>
      </c>
      <c r="AV537" s="65" t="str">
        <f>IFERROR(__xludf.DUMMYFUNCTION("""COMPUTED_VALUE"""),"6531951788076")</f>
        <v>6531951788076</v>
      </c>
      <c r="AW537" s="65">
        <f>IFERROR(__xludf.DUMMYFUNCTION("""COMPUTED_VALUE"""),6334.0)</f>
        <v>6334</v>
      </c>
      <c r="AX537" s="65"/>
      <c r="AY537" s="65" t="str">
        <f>IFERROR(__xludf.DUMMYFUNCTION("""COMPUTED_VALUE"""),"26/02/2026")</f>
        <v>26/02/2026</v>
      </c>
      <c r="AZ537" s="65"/>
      <c r="BA537" s="65"/>
    </row>
    <row r="538">
      <c r="A538" s="65" t="str">
        <f>IFERROR(__xludf.DUMMYFUNCTION("""COMPUTED_VALUE"""),"27-03-2026")</f>
        <v>27-03-2026</v>
      </c>
      <c r="B538" s="65">
        <f>IFERROR(__xludf.DUMMYFUNCTION("""COMPUTED_VALUE"""),4626822.0)</f>
        <v>4626822</v>
      </c>
      <c r="C538" s="65" t="str">
        <f>IFERROR(__xludf.DUMMYFUNCTION("""COMPUTED_VALUE"""),"22:58")</f>
        <v>22:58</v>
      </c>
      <c r="D538" s="65" t="str">
        <f>IFERROR(__xludf.DUMMYFUNCTION("""COMPUTED_VALUE"""),"25-02-2026")</f>
        <v>25-02-2026</v>
      </c>
      <c r="E538" s="65" t="str">
        <f>IFERROR(__xludf.DUMMYFUNCTION("""COMPUTED_VALUE"""),"Cesar Valverde")</f>
        <v>Cesar Valverde</v>
      </c>
      <c r="F538" s="65" t="str">
        <f>IFERROR(__xludf.DUMMYFUNCTION("""COMPUTED_VALUE"""),"983347013")</f>
        <v>983347013</v>
      </c>
      <c r="G538" s="65" t="str">
        <f>IFERROR(__xludf.DUMMYFUNCTION("""COMPUTED_VALUE"""),"cvalverde009@gmail.com")</f>
        <v>cvalverde009@gmail.com</v>
      </c>
      <c r="H538" s="65"/>
      <c r="I538" s="65"/>
      <c r="J538" s="65" t="str">
        <f>IFERROR(__xludf.DUMMYFUNCTION("""COMPUTED_VALUE"""),"D001364831")</f>
        <v>D001364831</v>
      </c>
      <c r="K538" s="65" t="str">
        <f>IFERROR(__xludf.DUMMYFUNCTION("""COMPUTED_VALUE"""),"DEVOLUCION")</f>
        <v>DEVOLUCION</v>
      </c>
      <c r="L538" s="65" t="str">
        <f>IFERROR(__xludf.DUMMYFUNCTION("""COMPUTED_VALUE"""),"CON RECAUDO")</f>
        <v>CON RECAUDO</v>
      </c>
      <c r="M538" s="65" t="str">
        <f>IFERROR(__xludf.DUMMYFUNCTION("""COMPUTED_VALUE"""),"GUAYAS")</f>
        <v>GUAYAS</v>
      </c>
      <c r="N538" s="65" t="str">
        <f>IFERROR(__xludf.DUMMYFUNCTION("""COMPUTED_VALUE"""),"GUAYAQUIL")</f>
        <v>GUAYAQUIL</v>
      </c>
      <c r="O538" s="65" t="str">
        <f>IFERROR(__xludf.DUMMYFUNCTION("""COMPUTED_VALUE"""),"Cdla Samanes 2 Mz 213 Villa 10 Y  Francisco Rizzo -")</f>
        <v>Cdla Samanes 2 Mz 213 Villa 10 Y  Francisco Rizzo -</v>
      </c>
      <c r="P538" s="65"/>
      <c r="Q538" s="65" t="str">
        <f>IFERROR(__xludf.DUMMYFUNCTION("""COMPUTED_VALUE"""),"GINTRACOM")</f>
        <v>GINTRACOM</v>
      </c>
      <c r="R538" s="65">
        <f>IFERROR(__xludf.DUMMYFUNCTION("""COMPUTED_VALUE"""),22.0)</f>
        <v>22</v>
      </c>
      <c r="S538" s="65"/>
      <c r="T538" s="65">
        <f>IFERROR(__xludf.DUMMYFUNCTION("""COMPUTED_VALUE"""),5.84)</f>
        <v>5.84</v>
      </c>
      <c r="U538" s="65">
        <f>IFERROR(__xludf.DUMMYFUNCTION("""COMPUTED_VALUE"""),0.0)</f>
        <v>0</v>
      </c>
      <c r="V538" s="65">
        <f>IFERROR(__xludf.DUMMYFUNCTION("""COMPUTED_VALUE"""),0.0)</f>
        <v>0</v>
      </c>
      <c r="W538" s="65">
        <f>IFERROR(__xludf.DUMMYFUNCTION("""COMPUTED_VALUE"""),0.0)</f>
        <v>0</v>
      </c>
      <c r="X538" s="65">
        <f>IFERROR(__xludf.DUMMYFUNCTION("""COMPUTED_VALUE"""),3.75)</f>
        <v>3.75</v>
      </c>
      <c r="Y538" s="65">
        <f>IFERROR(__xludf.DUMMYFUNCTION("""COMPUTED_VALUE"""),7.5)</f>
        <v>7.5</v>
      </c>
      <c r="Z538" s="65">
        <f>IFERROR(__xludf.DUMMYFUNCTION("""COMPUTED_VALUE"""),113116.0)</f>
        <v>113116</v>
      </c>
      <c r="AA538" s="65" t="str">
        <f>IFERROR(__xludf.DUMMYFUNCTION("""COMPUTED_VALUE"""),"IM-TAZAKI")</f>
        <v>IM-TAZAKI</v>
      </c>
      <c r="AB538" s="65"/>
      <c r="AC538" s="65" t="str">
        <f>IFERROR(__xludf.DUMMYFUNCTION("""COMPUTED_VALUE"""),"Cuchillo tazaki")</f>
        <v>Cuchillo tazaki</v>
      </c>
      <c r="AD538" s="65"/>
      <c r="AE538" s="65">
        <f>IFERROR(__xludf.DUMMYFUNCTION("""COMPUTED_VALUE"""),2.0)</f>
        <v>2</v>
      </c>
      <c r="AF538" s="65"/>
      <c r="AG538" s="65"/>
      <c r="AH538" s="65"/>
      <c r="AI538" s="65"/>
      <c r="AJ538" s="65"/>
      <c r="AK538" s="65"/>
      <c r="AL538" s="65"/>
      <c r="AM538" s="65"/>
      <c r="AN538" s="65" t="str">
        <f>IFERROR(__xludf.DUMMYFUNCTION("""COMPUTED_VALUE"""),"09:07")</f>
        <v>09:07</v>
      </c>
      <c r="AO538" s="65" t="str">
        <f>IFERROR(__xludf.DUMMYFUNCTION("""COMPUTED_VALUE"""),"24-03-2026")</f>
        <v>24-03-2026</v>
      </c>
      <c r="AP538" s="65" t="str">
        <f>IFERROR(__xludf.DUMMYFUNCTION("""COMPUTED_VALUE"""),"DEV CONFIRMADA POR BODEGA")</f>
        <v>DEV CONFIRMADA POR BODEGA</v>
      </c>
      <c r="AQ538" s="65"/>
      <c r="AR538" s="65" t="str">
        <f>IFERROR(__xludf.DUMMYFUNCTION("""COMPUTED_VALUE"""),"Gestionado por: IMPORSHOP SHOP, email:import1academyinfo@gmail.com, total de productos en la orden: 1")</f>
        <v>Gestionado por: IMPORSHOP SHOP, email:import1academyinfo@gmail.com, total de productos en la orden: 1</v>
      </c>
      <c r="AS538" s="65"/>
      <c r="AT538" s="65" t="str">
        <f>IFERROR(__xludf.DUMMYFUNCTION("""COMPUTED_VALUE"""),"SHOPIFY")</f>
        <v>SHOPIFY</v>
      </c>
      <c r="AU538" s="65" t="str">
        <f>IFERROR(__xludf.DUMMYFUNCTION("""COMPUTED_VALUE"""),"IMPORTEX EC")</f>
        <v>IMPORTEX EC</v>
      </c>
      <c r="AV538" s="65" t="str">
        <f>IFERROR(__xludf.DUMMYFUNCTION("""COMPUTED_VALUE"""),"6531896344620")</f>
        <v>6531896344620</v>
      </c>
      <c r="AW538" s="65">
        <f>IFERROR(__xludf.DUMMYFUNCTION("""COMPUTED_VALUE"""),6333.0)</f>
        <v>6333</v>
      </c>
      <c r="AX538" s="65"/>
      <c r="AY538" s="65" t="str">
        <f>IFERROR(__xludf.DUMMYFUNCTION("""COMPUTED_VALUE"""),"27/02/2026")</f>
        <v>27/02/2026</v>
      </c>
      <c r="AZ538" s="65"/>
      <c r="BA538" s="65"/>
    </row>
    <row r="539">
      <c r="A539" s="65" t="str">
        <f>IFERROR(__xludf.DUMMYFUNCTION("""COMPUTED_VALUE"""),"27-03-2026")</f>
        <v>27-03-2026</v>
      </c>
      <c r="B539" s="65">
        <f>IFERROR(__xludf.DUMMYFUNCTION("""COMPUTED_VALUE"""),4626630.0)</f>
        <v>4626630</v>
      </c>
      <c r="C539" s="65" t="str">
        <f>IFERROR(__xludf.DUMMYFUNCTION("""COMPUTED_VALUE"""),"22:40")</f>
        <v>22:40</v>
      </c>
      <c r="D539" s="65" t="str">
        <f>IFERROR(__xludf.DUMMYFUNCTION("""COMPUTED_VALUE"""),"25-02-2026")</f>
        <v>25-02-2026</v>
      </c>
      <c r="E539" s="65" t="str">
        <f>IFERROR(__xludf.DUMMYFUNCTION("""COMPUTED_VALUE"""),"Rafael Herrera")</f>
        <v>Rafael Herrera</v>
      </c>
      <c r="F539" s="65" t="str">
        <f>IFERROR(__xludf.DUMMYFUNCTION("""COMPUTED_VALUE"""),"989475895")</f>
        <v>989475895</v>
      </c>
      <c r="G539" s="65" t="str">
        <f>IFERROR(__xludf.DUMMYFUNCTION("""COMPUTED_VALUE"""),"rafaelguillen180@gmail.com")</f>
        <v>rafaelguillen180@gmail.com</v>
      </c>
      <c r="H539" s="65"/>
      <c r="I539" s="65"/>
      <c r="J539" s="65" t="str">
        <f>IFERROR(__xludf.DUMMYFUNCTION("""COMPUTED_VALUE"""),"D001363556")</f>
        <v>D001363556</v>
      </c>
      <c r="K539" s="65" t="str">
        <f>IFERROR(__xludf.DUMMYFUNCTION("""COMPUTED_VALUE"""),"DEVOLUCION")</f>
        <v>DEVOLUCION</v>
      </c>
      <c r="L539" s="65" t="str">
        <f>IFERROR(__xludf.DUMMYFUNCTION("""COMPUTED_VALUE"""),"CON RECAUDO")</f>
        <v>CON RECAUDO</v>
      </c>
      <c r="M539" s="65" t="str">
        <f>IFERROR(__xludf.DUMMYFUNCTION("""COMPUTED_VALUE"""),"SANTA ELENA")</f>
        <v>SANTA ELENA</v>
      </c>
      <c r="N539" s="65" t="str">
        <f>IFERROR(__xludf.DUMMYFUNCTION("""COMPUTED_VALUE"""),"SANTA ELENA")</f>
        <v>SANTA ELENA</v>
      </c>
      <c r="O539" s="65" t="str">
        <f>IFERROR(__xludf.DUMMYFUNCTION("""COMPUTED_VALUE"""),"Terminal de santa Elena y avenida terminal terrestre santa Elena - entrega de Santa Helena.")</f>
        <v>Terminal de santa Elena y avenida terminal terrestre santa Elena - entrega de Santa Helena.</v>
      </c>
      <c r="P539" s="65"/>
      <c r="Q539" s="65" t="str">
        <f>IFERROR(__xludf.DUMMYFUNCTION("""COMPUTED_VALUE"""),"GINTRACOM")</f>
        <v>GINTRACOM</v>
      </c>
      <c r="R539" s="65">
        <f>IFERROR(__xludf.DUMMYFUNCTION("""COMPUTED_VALUE"""),25.0)</f>
        <v>25</v>
      </c>
      <c r="S539" s="65"/>
      <c r="T539" s="65">
        <f>IFERROR(__xludf.DUMMYFUNCTION("""COMPUTED_VALUE"""),5.96)</f>
        <v>5.96</v>
      </c>
      <c r="U539" s="65">
        <f>IFERROR(__xludf.DUMMYFUNCTION("""COMPUTED_VALUE"""),0.0)</f>
        <v>0</v>
      </c>
      <c r="V539" s="65">
        <f>IFERROR(__xludf.DUMMYFUNCTION("""COMPUTED_VALUE"""),0.0)</f>
        <v>0</v>
      </c>
      <c r="W539" s="65">
        <f>IFERROR(__xludf.DUMMYFUNCTION("""COMPUTED_VALUE"""),0.0)</f>
        <v>0</v>
      </c>
      <c r="X539" s="65">
        <f>IFERROR(__xludf.DUMMYFUNCTION("""COMPUTED_VALUE"""),2.35)</f>
        <v>2.35</v>
      </c>
      <c r="Y539" s="65">
        <f>IFERROR(__xludf.DUMMYFUNCTION("""COMPUTED_VALUE"""),4.7)</f>
        <v>4.7</v>
      </c>
      <c r="Z539" s="65">
        <f>IFERROR(__xludf.DUMMYFUNCTION("""COMPUTED_VALUE"""),116679.0)</f>
        <v>116679</v>
      </c>
      <c r="AA539" s="65" t="str">
        <f>IFERROR(__xludf.DUMMYFUNCTION("""COMPUTED_VALUE"""),"AMC-2738")</f>
        <v>AMC-2738</v>
      </c>
      <c r="AB539" s="65"/>
      <c r="AC539" s="65" t="str">
        <f>IFERROR(__xludf.DUMMYFUNCTION("""COMPUTED_VALUE"""),"ESPONJA ANTILLUVIA DE PARABRISAS")</f>
        <v>ESPONJA ANTILLUVIA DE PARABRISAS</v>
      </c>
      <c r="AD539" s="65"/>
      <c r="AE539" s="65">
        <f>IFERROR(__xludf.DUMMYFUNCTION("""COMPUTED_VALUE"""),2.0)</f>
        <v>2</v>
      </c>
      <c r="AF539" s="65" t="str">
        <f>IFERROR(__xludf.DUMMYFUNCTION("""COMPUTED_VALUE"""),"DESTINATARIO NO CONTESTA LLAMADAS NI WHATSAPP")</f>
        <v>DESTINATARIO NO CONTESTA LLAMADAS NI WHATSAPP</v>
      </c>
      <c r="AG539" s="65" t="str">
        <f>IFERROR(__xludf.DUMMYFUNCTION("""COMPUTED_VALUE"""),"SI")</f>
        <v>SI</v>
      </c>
      <c r="AH539" s="65" t="str">
        <f>IFERROR(__xludf.DUMMYFUNCTION("""COMPUTED_VALUE"""),"09:00")</f>
        <v>09:00</v>
      </c>
      <c r="AI539" s="65" t="str">
        <f>IFERROR(__xludf.DUMMYFUNCTION("""COMPUTED_VALUE"""),"10-03-2026")</f>
        <v>10-03-2026</v>
      </c>
      <c r="AJ539" s="65" t="str">
        <f>IFERROR(__xludf.DUMMYFUNCTION("""COMPUTED_VALUE"""),"Cliente solicita la entrega inmediata")</f>
        <v>Cliente solicita la entrega inmediata</v>
      </c>
      <c r="AK539" s="65" t="str">
        <f>IFERROR(__xludf.DUMMYFUNCTION("""COMPUTED_VALUE"""),"10:01")</f>
        <v>10:01</v>
      </c>
      <c r="AL539" s="65" t="str">
        <f>IFERROR(__xludf.DUMMYFUNCTION("""COMPUTED_VALUE"""),"10-03-2026")</f>
        <v>10-03-2026</v>
      </c>
      <c r="AM539" s="65"/>
      <c r="AN539" s="65" t="str">
        <f>IFERROR(__xludf.DUMMYFUNCTION("""COMPUTED_VALUE"""),"15:34")</f>
        <v>15:34</v>
      </c>
      <c r="AO539" s="65" t="str">
        <f>IFERROR(__xludf.DUMMYFUNCTION("""COMPUTED_VALUE"""),"26-03-2026")</f>
        <v>26-03-2026</v>
      </c>
      <c r="AP539" s="65" t="str">
        <f>IFERROR(__xludf.DUMMYFUNCTION("""COMPUTED_VALUE"""),"DEVOLUCIÓN ENTREGADA A ORIGEN")</f>
        <v>DEVOLUCIÓN ENTREGADA A ORIGEN</v>
      </c>
      <c r="AQ539" s="65" t="str">
        <f>IFERROR(__xludf.DUMMYFUNCTION("""COMPUTED_VALUE"""),"DEVOLUCIÓN ENTREGADA A ORIGEN")</f>
        <v>DEVOLUCIÓN ENTREGADA A ORIGEN</v>
      </c>
      <c r="AR539" s="65"/>
      <c r="AS539" s="65"/>
      <c r="AT539" s="65" t="str">
        <f>IFERROR(__xludf.DUMMYFUNCTION("""COMPUTED_VALUE"""),"SHOPIFY")</f>
        <v>SHOPIFY</v>
      </c>
      <c r="AU539" s="65" t="str">
        <f>IFERROR(__xludf.DUMMYFUNCTION("""COMPUTED_VALUE"""),"IMPORTEX EC")</f>
        <v>IMPORTEX EC</v>
      </c>
      <c r="AV539" s="65" t="str">
        <f>IFERROR(__xludf.DUMMYFUNCTION("""COMPUTED_VALUE"""),"6531845652524")</f>
        <v>6531845652524</v>
      </c>
      <c r="AW539" s="65">
        <f>IFERROR(__xludf.DUMMYFUNCTION("""COMPUTED_VALUE"""),6331.0)</f>
        <v>6331</v>
      </c>
      <c r="AX539" s="65"/>
      <c r="AY539" s="65" t="str">
        <f>IFERROR(__xludf.DUMMYFUNCTION("""COMPUTED_VALUE"""),"26/02/2026")</f>
        <v>26/02/2026</v>
      </c>
      <c r="AZ539" s="65"/>
      <c r="BA539" s="65"/>
    </row>
    <row r="540">
      <c r="A540" s="65" t="str">
        <f>IFERROR(__xludf.DUMMYFUNCTION("""COMPUTED_VALUE"""),"27-03-2026")</f>
        <v>27-03-2026</v>
      </c>
      <c r="B540" s="65">
        <f>IFERROR(__xludf.DUMMYFUNCTION("""COMPUTED_VALUE"""),4626307.0)</f>
        <v>4626307</v>
      </c>
      <c r="C540" s="65" t="str">
        <f>IFERROR(__xludf.DUMMYFUNCTION("""COMPUTED_VALUE"""),"22:12")</f>
        <v>22:12</v>
      </c>
      <c r="D540" s="65" t="str">
        <f>IFERROR(__xludf.DUMMYFUNCTION("""COMPUTED_VALUE"""),"25-02-2026")</f>
        <v>25-02-2026</v>
      </c>
      <c r="E540" s="65" t="str">
        <f>IFERROR(__xludf.DUMMYFUNCTION("""COMPUTED_VALUE"""),"Ab. Francisco Sandoval")</f>
        <v>Ab. Francisco Sandoval</v>
      </c>
      <c r="F540" s="65" t="str">
        <f>IFERROR(__xludf.DUMMYFUNCTION("""COMPUTED_VALUE"""),"960469678")</f>
        <v>960469678</v>
      </c>
      <c r="G540" s="65" t="str">
        <f>IFERROR(__xludf.DUMMYFUNCTION("""COMPUTED_VALUE"""),"abogadosya1@gmail.com")</f>
        <v>abogadosya1@gmail.com</v>
      </c>
      <c r="H540" s="65"/>
      <c r="I540" s="65"/>
      <c r="J540" s="65"/>
      <c r="K540" s="65" t="str">
        <f>IFERROR(__xludf.DUMMYFUNCTION("""COMPUTED_VALUE"""),"PENDIENTE CONFIRMACION")</f>
        <v>PENDIENTE CONFIRMACION</v>
      </c>
      <c r="L540" s="65" t="str">
        <f>IFERROR(__xludf.DUMMYFUNCTION("""COMPUTED_VALUE"""),"CON RECAUDO")</f>
        <v>CON RECAUDO</v>
      </c>
      <c r="M540" s="65" t="str">
        <f>IFERROR(__xludf.DUMMYFUNCTION("""COMPUTED_VALUE"""),"PICHINCHA")</f>
        <v>PICHINCHA</v>
      </c>
      <c r="N540" s="65" t="str">
        <f>IFERROR(__xludf.DUMMYFUNCTION("""COMPUTED_VALUE"""),"CONOCOTO")</f>
        <v>CONOCOTO</v>
      </c>
      <c r="O540" s="65" t="str">
        <f>IFERROR(__xludf.DUMMYFUNCTION("""COMPUTED_VALUE"""),"Vte. Rocafuerte S7-91 Frente al mercado municipal de conocoto -")</f>
        <v>Vte. Rocafuerte S7-91 Frente al mercado municipal de conocoto -</v>
      </c>
      <c r="P540" s="65"/>
      <c r="Q540" s="65" t="str">
        <f>IFERROR(__xludf.DUMMYFUNCTION("""COMPUTED_VALUE"""),"GINTRACOM")</f>
        <v>GINTRACOM</v>
      </c>
      <c r="R540" s="65">
        <f>IFERROR(__xludf.DUMMYFUNCTION("""COMPUTED_VALUE"""),32.0)</f>
        <v>32</v>
      </c>
      <c r="S540" s="65"/>
      <c r="T540" s="65">
        <f>IFERROR(__xludf.DUMMYFUNCTION("""COMPUTED_VALUE"""),5.2)</f>
        <v>5.2</v>
      </c>
      <c r="U540" s="65">
        <f>IFERROR(__xludf.DUMMYFUNCTION("""COMPUTED_VALUE"""),0.0)</f>
        <v>0</v>
      </c>
      <c r="V540" s="65">
        <f>IFERROR(__xludf.DUMMYFUNCTION("""COMPUTED_VALUE"""),0.0)</f>
        <v>0</v>
      </c>
      <c r="W540" s="65">
        <f>IFERROR(__xludf.DUMMYFUNCTION("""COMPUTED_VALUE"""),0.0)</f>
        <v>0</v>
      </c>
      <c r="X540" s="65">
        <f>IFERROR(__xludf.DUMMYFUNCTION("""COMPUTED_VALUE"""),3.75)</f>
        <v>3.75</v>
      </c>
      <c r="Y540" s="65">
        <f>IFERROR(__xludf.DUMMYFUNCTION("""COMPUTED_VALUE"""),15.0)</f>
        <v>15</v>
      </c>
      <c r="Z540" s="65">
        <f>IFERROR(__xludf.DUMMYFUNCTION("""COMPUTED_VALUE"""),113116.0)</f>
        <v>113116</v>
      </c>
      <c r="AA540" s="65" t="str">
        <f>IFERROR(__xludf.DUMMYFUNCTION("""COMPUTED_VALUE"""),"IM-TAZAKI")</f>
        <v>IM-TAZAKI</v>
      </c>
      <c r="AB540" s="65"/>
      <c r="AC540" s="65" t="str">
        <f>IFERROR(__xludf.DUMMYFUNCTION("""COMPUTED_VALUE"""),"Cuchillo tazaki")</f>
        <v>Cuchillo tazaki</v>
      </c>
      <c r="AD540" s="65"/>
      <c r="AE540" s="65">
        <f>IFERROR(__xludf.DUMMYFUNCTION("""COMPUTED_VALUE"""),4.0)</f>
        <v>4</v>
      </c>
      <c r="AF540" s="65"/>
      <c r="AG540" s="65"/>
      <c r="AH540" s="65"/>
      <c r="AI540" s="65"/>
      <c r="AJ540" s="65"/>
      <c r="AK540" s="65"/>
      <c r="AL540" s="65"/>
      <c r="AM540" s="65"/>
      <c r="AN540" s="65"/>
      <c r="AO540" s="65"/>
      <c r="AP540" s="65"/>
      <c r="AQ540" s="65"/>
      <c r="AR540" s="65"/>
      <c r="AS540" s="65"/>
      <c r="AT540" s="65" t="str">
        <f>IFERROR(__xludf.DUMMYFUNCTION("""COMPUTED_VALUE"""),"SHOPIFY")</f>
        <v>SHOPIFY</v>
      </c>
      <c r="AU540" s="65" t="str">
        <f>IFERROR(__xludf.DUMMYFUNCTION("""COMPUTED_VALUE"""),"IMPORTEX EC")</f>
        <v>IMPORTEX EC</v>
      </c>
      <c r="AV540" s="65" t="str">
        <f>IFERROR(__xludf.DUMMYFUNCTION("""COMPUTED_VALUE"""),"6531756032044")</f>
        <v>6531756032044</v>
      </c>
      <c r="AW540" s="65">
        <f>IFERROR(__xludf.DUMMYFUNCTION("""COMPUTED_VALUE"""),6330.0)</f>
        <v>6330</v>
      </c>
      <c r="AX540" s="65"/>
      <c r="AY540" s="65"/>
      <c r="AZ540" s="65"/>
      <c r="BA540" s="65"/>
    </row>
    <row r="541">
      <c r="A541" s="65" t="str">
        <f>IFERROR(__xludf.DUMMYFUNCTION("""COMPUTED_VALUE"""),"27-03-2026")</f>
        <v>27-03-2026</v>
      </c>
      <c r="B541" s="65">
        <f>IFERROR(__xludf.DUMMYFUNCTION("""COMPUTED_VALUE"""),4626297.0)</f>
        <v>4626297</v>
      </c>
      <c r="C541" s="65" t="str">
        <f>IFERROR(__xludf.DUMMYFUNCTION("""COMPUTED_VALUE"""),"22:12")</f>
        <v>22:12</v>
      </c>
      <c r="D541" s="65" t="str">
        <f>IFERROR(__xludf.DUMMYFUNCTION("""COMPUTED_VALUE"""),"25-02-2026")</f>
        <v>25-02-2026</v>
      </c>
      <c r="E541" s="65" t="str">
        <f>IFERROR(__xludf.DUMMYFUNCTION("""COMPUTED_VALUE"""),"Leo Riofrio")</f>
        <v>Leo Riofrio</v>
      </c>
      <c r="F541" s="65" t="str">
        <f>IFERROR(__xludf.DUMMYFUNCTION("""COMPUTED_VALUE"""),"984154201")</f>
        <v>984154201</v>
      </c>
      <c r="G541" s="65" t="str">
        <f>IFERROR(__xludf.DUMMYFUNCTION("""COMPUTED_VALUE"""),"leonelectrico.63@gmail.com")</f>
        <v>leonelectrico.63@gmail.com</v>
      </c>
      <c r="H541" s="65"/>
      <c r="I541" s="65"/>
      <c r="J541" s="65" t="str">
        <f>IFERROR(__xludf.DUMMYFUNCTION("""COMPUTED_VALUE"""),"D001364833")</f>
        <v>D001364833</v>
      </c>
      <c r="K541" s="65" t="str">
        <f>IFERROR(__xludf.DUMMYFUNCTION("""COMPUTED_VALUE"""),"DEVOLUCION")</f>
        <v>DEVOLUCION</v>
      </c>
      <c r="L541" s="65" t="str">
        <f>IFERROR(__xludf.DUMMYFUNCTION("""COMPUTED_VALUE"""),"CON RECAUDO")</f>
        <v>CON RECAUDO</v>
      </c>
      <c r="M541" s="65" t="str">
        <f>IFERROR(__xludf.DUMMYFUNCTION("""COMPUTED_VALUE"""),"EL ORO")</f>
        <v>EL ORO</v>
      </c>
      <c r="N541" s="65" t="str">
        <f>IFERROR(__xludf.DUMMYFUNCTION("""COMPUTED_VALUE"""),"MACHALA")</f>
        <v>MACHALA</v>
      </c>
      <c r="O541" s="65" t="str">
        <f>IFERROR(__xludf.DUMMYFUNCTION("""COMPUTED_VALUE"""),"- Machala - Alamor  y  Manuel Estomba a MANO DERECHA . Pasaje #2 -4 casa color verde de 2 pisos")</f>
        <v>- Machala - Alamor  y  Manuel Estomba a MANO DERECHA . Pasaje #2 -4 casa color verde de 2 pisos</v>
      </c>
      <c r="P541" s="65"/>
      <c r="Q541" s="65" t="str">
        <f>IFERROR(__xludf.DUMMYFUNCTION("""COMPUTED_VALUE"""),"GINTRACOM")</f>
        <v>GINTRACOM</v>
      </c>
      <c r="R541" s="65">
        <f>IFERROR(__xludf.DUMMYFUNCTION("""COMPUTED_VALUE"""),22.0)</f>
        <v>22</v>
      </c>
      <c r="S541" s="65"/>
      <c r="T541" s="65">
        <f>IFERROR(__xludf.DUMMYFUNCTION("""COMPUTED_VALUE"""),5.84)</f>
        <v>5.84</v>
      </c>
      <c r="U541" s="65">
        <f>IFERROR(__xludf.DUMMYFUNCTION("""COMPUTED_VALUE"""),0.0)</f>
        <v>0</v>
      </c>
      <c r="V541" s="65">
        <f>IFERROR(__xludf.DUMMYFUNCTION("""COMPUTED_VALUE"""),0.0)</f>
        <v>0</v>
      </c>
      <c r="W541" s="65">
        <f>IFERROR(__xludf.DUMMYFUNCTION("""COMPUTED_VALUE"""),0.0)</f>
        <v>0</v>
      </c>
      <c r="X541" s="65">
        <f>IFERROR(__xludf.DUMMYFUNCTION("""COMPUTED_VALUE"""),3.75)</f>
        <v>3.75</v>
      </c>
      <c r="Y541" s="65">
        <f>IFERROR(__xludf.DUMMYFUNCTION("""COMPUTED_VALUE"""),7.5)</f>
        <v>7.5</v>
      </c>
      <c r="Z541" s="65">
        <f>IFERROR(__xludf.DUMMYFUNCTION("""COMPUTED_VALUE"""),113116.0)</f>
        <v>113116</v>
      </c>
      <c r="AA541" s="65" t="str">
        <f>IFERROR(__xludf.DUMMYFUNCTION("""COMPUTED_VALUE"""),"IM-TAZAKI")</f>
        <v>IM-TAZAKI</v>
      </c>
      <c r="AB541" s="65"/>
      <c r="AC541" s="65" t="str">
        <f>IFERROR(__xludf.DUMMYFUNCTION("""COMPUTED_VALUE"""),"Cuchillo tazaki")</f>
        <v>Cuchillo tazaki</v>
      </c>
      <c r="AD541" s="65"/>
      <c r="AE541" s="65">
        <f>IFERROR(__xludf.DUMMYFUNCTION("""COMPUTED_VALUE"""),2.0)</f>
        <v>2</v>
      </c>
      <c r="AF541" s="65" t="str">
        <f>IFERROR(__xludf.DUMMYFUNCTION("""COMPUTED_VALUE"""),"DESTINATARIO NO CONTESTA LLAMADAS NI WHATSAPP")</f>
        <v>DESTINATARIO NO CONTESTA LLAMADAS NI WHATSAPP</v>
      </c>
      <c r="AG541" s="65" t="str">
        <f>IFERROR(__xludf.DUMMYFUNCTION("""COMPUTED_VALUE"""),"NO")</f>
        <v>NO</v>
      </c>
      <c r="AH541" s="65" t="str">
        <f>IFERROR(__xludf.DUMMYFUNCTION("""COMPUTED_VALUE"""),"10:43")</f>
        <v>10:43</v>
      </c>
      <c r="AI541" s="65" t="str">
        <f>IFERROR(__xludf.DUMMYFUNCTION("""COMPUTED_VALUE"""),"06-03-2026")</f>
        <v>06-03-2026</v>
      </c>
      <c r="AJ541" s="65"/>
      <c r="AK541" s="65"/>
      <c r="AL541" s="65"/>
      <c r="AM541" s="65"/>
      <c r="AN541" s="65" t="str">
        <f>IFERROR(__xludf.DUMMYFUNCTION("""COMPUTED_VALUE"""),"11:17")</f>
        <v>11:17</v>
      </c>
      <c r="AO541" s="65" t="str">
        <f>IFERROR(__xludf.DUMMYFUNCTION("""COMPUTED_VALUE"""),"18-03-2026")</f>
        <v>18-03-2026</v>
      </c>
      <c r="AP541" s="65" t="str">
        <f>IFERROR(__xludf.DUMMYFUNCTION("""COMPUTED_VALUE"""),"DEV CONFIRMADA POR BODEGA")</f>
        <v>DEV CONFIRMADA POR BODEGA</v>
      </c>
      <c r="AQ541" s="65"/>
      <c r="AR541" s="65" t="str">
        <f>IFERROR(__xludf.DUMMYFUNCTION("""COMPUTED_VALUE"""),"Gestionado por: IMPORSHOP SHOP, email:import1academyinfo@gmail.com, total de productos en la orden: 1")</f>
        <v>Gestionado por: IMPORSHOP SHOP, email:import1academyinfo@gmail.com, total de productos en la orden: 1</v>
      </c>
      <c r="AS541" s="65"/>
      <c r="AT541" s="65" t="str">
        <f>IFERROR(__xludf.DUMMYFUNCTION("""COMPUTED_VALUE"""),"SHOPIFY")</f>
        <v>SHOPIFY</v>
      </c>
      <c r="AU541" s="65" t="str">
        <f>IFERROR(__xludf.DUMMYFUNCTION("""COMPUTED_VALUE"""),"IMPORTEX EC")</f>
        <v>IMPORTEX EC</v>
      </c>
      <c r="AV541" s="65" t="str">
        <f>IFERROR(__xludf.DUMMYFUNCTION("""COMPUTED_VALUE"""),"6531753836588")</f>
        <v>6531753836588</v>
      </c>
      <c r="AW541" s="65">
        <f>IFERROR(__xludf.DUMMYFUNCTION("""COMPUTED_VALUE"""),6329.0)</f>
        <v>6329</v>
      </c>
      <c r="AX541" s="65"/>
      <c r="AY541" s="65" t="str">
        <f>IFERROR(__xludf.DUMMYFUNCTION("""COMPUTED_VALUE"""),"27/02/2026")</f>
        <v>27/02/2026</v>
      </c>
      <c r="AZ541" s="65"/>
      <c r="BA541" s="65"/>
    </row>
    <row r="542">
      <c r="A542" s="65" t="str">
        <f>IFERROR(__xludf.DUMMYFUNCTION("""COMPUTED_VALUE"""),"27-03-2026")</f>
        <v>27-03-2026</v>
      </c>
      <c r="B542" s="65">
        <f>IFERROR(__xludf.DUMMYFUNCTION("""COMPUTED_VALUE"""),4626161.0)</f>
        <v>4626161</v>
      </c>
      <c r="C542" s="65" t="str">
        <f>IFERROR(__xludf.DUMMYFUNCTION("""COMPUTED_VALUE"""),"22:01")</f>
        <v>22:01</v>
      </c>
      <c r="D542" s="65" t="str">
        <f>IFERROR(__xludf.DUMMYFUNCTION("""COMPUTED_VALUE"""),"25-02-2026")</f>
        <v>25-02-2026</v>
      </c>
      <c r="E542" s="65" t="str">
        <f>IFERROR(__xludf.DUMMYFUNCTION("""COMPUTED_VALUE"""),"Efren Arnoldo Macas Román")</f>
        <v>Efren Arnoldo Macas Román</v>
      </c>
      <c r="F542" s="65" t="str">
        <f>IFERROR(__xludf.DUMMYFUNCTION("""COMPUTED_VALUE"""),"982793325")</f>
        <v>982793325</v>
      </c>
      <c r="G542" s="65" t="str">
        <f>IFERROR(__xludf.DUMMYFUNCTION("""COMPUTED_VALUE"""),"dismacas@gmail.com")</f>
        <v>dismacas@gmail.com</v>
      </c>
      <c r="H542" s="65"/>
      <c r="I542" s="65"/>
      <c r="J542" s="65" t="str">
        <f>IFERROR(__xludf.DUMMYFUNCTION("""COMPUTED_VALUE"""),"D001364834")</f>
        <v>D001364834</v>
      </c>
      <c r="K542" s="65" t="str">
        <f>IFERROR(__xludf.DUMMYFUNCTION("""COMPUTED_VALUE"""),"ENTREGADO")</f>
        <v>ENTREGADO</v>
      </c>
      <c r="L542" s="65" t="str">
        <f>IFERROR(__xludf.DUMMYFUNCTION("""COMPUTED_VALUE"""),"CON RECAUDO")</f>
        <v>CON RECAUDO</v>
      </c>
      <c r="M542" s="65" t="str">
        <f>IFERROR(__xludf.DUMMYFUNCTION("""COMPUTED_VALUE"""),"SUCUMBIOS")</f>
        <v>SUCUMBIOS</v>
      </c>
      <c r="N542" s="65" t="str">
        <f>IFERROR(__xludf.DUMMYFUNCTION("""COMPUTED_VALUE"""),"LAGO AGRIO")</f>
        <v>LAGO AGRIO</v>
      </c>
      <c r="O542" s="65" t="str">
        <f>IFERROR(__xludf.DUMMYFUNCTION("""COMPUTED_VALUE"""),"Av Gonzalo López Marañón y del coliseo esq Vía Aguarico ..restaurante papas locas -")</f>
        <v>Av Gonzalo López Marañón y del coliseo esq Vía Aguarico ..restaurante papas locas -</v>
      </c>
      <c r="P542" s="65"/>
      <c r="Q542" s="65" t="str">
        <f>IFERROR(__xludf.DUMMYFUNCTION("""COMPUTED_VALUE"""),"GINTRACOM")</f>
        <v>GINTRACOM</v>
      </c>
      <c r="R542" s="65">
        <f>IFERROR(__xludf.DUMMYFUNCTION("""COMPUTED_VALUE"""),32.0)</f>
        <v>32</v>
      </c>
      <c r="S542" s="65">
        <f>IFERROR(__xludf.DUMMYFUNCTION("""COMPUTED_VALUE"""),10.76)</f>
        <v>10.76</v>
      </c>
      <c r="T542" s="65">
        <f>IFERROR(__xludf.DUMMYFUNCTION("""COMPUTED_VALUE"""),6.24)</f>
        <v>6.24</v>
      </c>
      <c r="U542" s="65">
        <f>IFERROR(__xludf.DUMMYFUNCTION("""COMPUTED_VALUE"""),0.0)</f>
        <v>0</v>
      </c>
      <c r="V542" s="65">
        <f>IFERROR(__xludf.DUMMYFUNCTION("""COMPUTED_VALUE"""),0.0)</f>
        <v>0</v>
      </c>
      <c r="W542" s="65">
        <f>IFERROR(__xludf.DUMMYFUNCTION("""COMPUTED_VALUE"""),0.0)</f>
        <v>0</v>
      </c>
      <c r="X542" s="65">
        <f>IFERROR(__xludf.DUMMYFUNCTION("""COMPUTED_VALUE"""),3.75)</f>
        <v>3.75</v>
      </c>
      <c r="Y542" s="65">
        <f>IFERROR(__xludf.DUMMYFUNCTION("""COMPUTED_VALUE"""),15.0)</f>
        <v>15</v>
      </c>
      <c r="Z542" s="65">
        <f>IFERROR(__xludf.DUMMYFUNCTION("""COMPUTED_VALUE"""),113116.0)</f>
        <v>113116</v>
      </c>
      <c r="AA542" s="65" t="str">
        <f>IFERROR(__xludf.DUMMYFUNCTION("""COMPUTED_VALUE"""),"IM-TAZAKI")</f>
        <v>IM-TAZAKI</v>
      </c>
      <c r="AB542" s="65"/>
      <c r="AC542" s="65" t="str">
        <f>IFERROR(__xludf.DUMMYFUNCTION("""COMPUTED_VALUE"""),"Cuchillo tazaki")</f>
        <v>Cuchillo tazaki</v>
      </c>
      <c r="AD542" s="65"/>
      <c r="AE542" s="65">
        <f>IFERROR(__xludf.DUMMYFUNCTION("""COMPUTED_VALUE"""),4.0)</f>
        <v>4</v>
      </c>
      <c r="AF542" s="65"/>
      <c r="AG542" s="65"/>
      <c r="AH542" s="65"/>
      <c r="AI542" s="65"/>
      <c r="AJ542" s="65"/>
      <c r="AK542" s="65"/>
      <c r="AL542" s="65"/>
      <c r="AM542" s="65"/>
      <c r="AN542" s="65" t="str">
        <f>IFERROR(__xludf.DUMMYFUNCTION("""COMPUTED_VALUE"""),"12:59")</f>
        <v>12:59</v>
      </c>
      <c r="AO542" s="65" t="str">
        <f>IFERROR(__xludf.DUMMYFUNCTION("""COMPUTED_VALUE"""),"28-02-2026")</f>
        <v>28-02-2026</v>
      </c>
      <c r="AP542" s="65" t="str">
        <f>IFERROR(__xludf.DUMMYFUNCTION("""COMPUTED_VALUE"""),"ENTREGADA GINTRACOM")</f>
        <v>ENTREGADA GINTRACOM</v>
      </c>
      <c r="AQ542" s="65" t="str">
        <f>IFERROR(__xludf.DUMMYFUNCTION("""COMPUTED_VALUE"""),"ENTREGADA GINTRACOM")</f>
        <v>ENTREGADA GINTRACOM</v>
      </c>
      <c r="AR542" s="65"/>
      <c r="AS542" s="65"/>
      <c r="AT542" s="65" t="str">
        <f>IFERROR(__xludf.DUMMYFUNCTION("""COMPUTED_VALUE"""),"SHOPIFY")</f>
        <v>SHOPIFY</v>
      </c>
      <c r="AU542" s="65" t="str">
        <f>IFERROR(__xludf.DUMMYFUNCTION("""COMPUTED_VALUE"""),"IMPORTEX EC")</f>
        <v>IMPORTEX EC</v>
      </c>
      <c r="AV542" s="65" t="str">
        <f>IFERROR(__xludf.DUMMYFUNCTION("""COMPUTED_VALUE"""),"6531714383916")</f>
        <v>6531714383916</v>
      </c>
      <c r="AW542" s="65">
        <f>IFERROR(__xludf.DUMMYFUNCTION("""COMPUTED_VALUE"""),6328.0)</f>
        <v>6328</v>
      </c>
      <c r="AX542" s="65"/>
      <c r="AY542" s="65" t="str">
        <f>IFERROR(__xludf.DUMMYFUNCTION("""COMPUTED_VALUE"""),"27/02/2026")</f>
        <v>27/02/2026</v>
      </c>
      <c r="AZ542" s="65"/>
      <c r="BA542" s="65"/>
    </row>
    <row r="543">
      <c r="A543" s="65" t="str">
        <f>IFERROR(__xludf.DUMMYFUNCTION("""COMPUTED_VALUE"""),"27-03-2026")</f>
        <v>27-03-2026</v>
      </c>
      <c r="B543" s="65">
        <f>IFERROR(__xludf.DUMMYFUNCTION("""COMPUTED_VALUE"""),4625851.0)</f>
        <v>4625851</v>
      </c>
      <c r="C543" s="65" t="str">
        <f>IFERROR(__xludf.DUMMYFUNCTION("""COMPUTED_VALUE"""),"21:33")</f>
        <v>21:33</v>
      </c>
      <c r="D543" s="65" t="str">
        <f>IFERROR(__xludf.DUMMYFUNCTION("""COMPUTED_VALUE"""),"25-02-2026")</f>
        <v>25-02-2026</v>
      </c>
      <c r="E543" s="65" t="str">
        <f>IFERROR(__xludf.DUMMYFUNCTION("""COMPUTED_VALUE"""),"Marisol Tuba")</f>
        <v>Marisol Tuba</v>
      </c>
      <c r="F543" s="65" t="str">
        <f>IFERROR(__xludf.DUMMYFUNCTION("""COMPUTED_VALUE"""),"985120060")</f>
        <v>985120060</v>
      </c>
      <c r="G543" s="65" t="str">
        <f>IFERROR(__xludf.DUMMYFUNCTION("""COMPUTED_VALUE"""),"marisoltuba6@gmail.com")</f>
        <v>marisoltuba6@gmail.com</v>
      </c>
      <c r="H543" s="65"/>
      <c r="I543" s="65"/>
      <c r="J543" s="65" t="str">
        <f>IFERROR(__xludf.DUMMYFUNCTION("""COMPUTED_VALUE"""),"D001364839")</f>
        <v>D001364839</v>
      </c>
      <c r="K543" s="65" t="str">
        <f>IFERROR(__xludf.DUMMYFUNCTION("""COMPUTED_VALUE"""),"ENTREGADO")</f>
        <v>ENTREGADO</v>
      </c>
      <c r="L543" s="65" t="str">
        <f>IFERROR(__xludf.DUMMYFUNCTION("""COMPUTED_VALUE"""),"CON RECAUDO")</f>
        <v>CON RECAUDO</v>
      </c>
      <c r="M543" s="65" t="str">
        <f>IFERROR(__xludf.DUMMYFUNCTION("""COMPUTED_VALUE"""),"AZUAY")</f>
        <v>AZUAY</v>
      </c>
      <c r="N543" s="65" t="str">
        <f>IFERROR(__xludf.DUMMYFUNCTION("""COMPUTED_VALUE"""),"CUENCA")</f>
        <v>CUENCA</v>
      </c>
      <c r="O543" s="65" t="str">
        <f>IFERROR(__xludf.DUMMYFUNCTION("""COMPUTED_VALUE"""),"Panamericana Sur km 1 Y  Narancay Alto - A una cuadra de la gasolinera TERPEL  en los cajeros de narancay")</f>
        <v>Panamericana Sur km 1 Y  Narancay Alto - A una cuadra de la gasolinera TERPEL  en los cajeros de narancay</v>
      </c>
      <c r="P543" s="65"/>
      <c r="Q543" s="65" t="str">
        <f>IFERROR(__xludf.DUMMYFUNCTION("""COMPUTED_VALUE"""),"GINTRACOM")</f>
        <v>GINTRACOM</v>
      </c>
      <c r="R543" s="65">
        <f>IFERROR(__xludf.DUMMYFUNCTION("""COMPUTED_VALUE"""),27.0)</f>
        <v>27</v>
      </c>
      <c r="S543" s="65">
        <f>IFERROR(__xludf.DUMMYFUNCTION("""COMPUTED_VALUE"""),9.72)</f>
        <v>9.72</v>
      </c>
      <c r="T543" s="65">
        <f>IFERROR(__xludf.DUMMYFUNCTION("""COMPUTED_VALUE"""),6.03)</f>
        <v>6.03</v>
      </c>
      <c r="U543" s="65">
        <f>IFERROR(__xludf.DUMMYFUNCTION("""COMPUTED_VALUE"""),0.0)</f>
        <v>0</v>
      </c>
      <c r="V543" s="65">
        <f>IFERROR(__xludf.DUMMYFUNCTION("""COMPUTED_VALUE"""),0.0)</f>
        <v>0</v>
      </c>
      <c r="W543" s="65">
        <f>IFERROR(__xludf.DUMMYFUNCTION("""COMPUTED_VALUE"""),0.0)</f>
        <v>0</v>
      </c>
      <c r="X543" s="65">
        <f>IFERROR(__xludf.DUMMYFUNCTION("""COMPUTED_VALUE"""),3.75)</f>
        <v>3.75</v>
      </c>
      <c r="Y543" s="65">
        <f>IFERROR(__xludf.DUMMYFUNCTION("""COMPUTED_VALUE"""),11.25)</f>
        <v>11.25</v>
      </c>
      <c r="Z543" s="65">
        <f>IFERROR(__xludf.DUMMYFUNCTION("""COMPUTED_VALUE"""),113116.0)</f>
        <v>113116</v>
      </c>
      <c r="AA543" s="65" t="str">
        <f>IFERROR(__xludf.DUMMYFUNCTION("""COMPUTED_VALUE"""),"IM-TAZAKI")</f>
        <v>IM-TAZAKI</v>
      </c>
      <c r="AB543" s="65"/>
      <c r="AC543" s="65" t="str">
        <f>IFERROR(__xludf.DUMMYFUNCTION("""COMPUTED_VALUE"""),"Cuchillo tazaki")</f>
        <v>Cuchillo tazaki</v>
      </c>
      <c r="AD543" s="65"/>
      <c r="AE543" s="65">
        <f>IFERROR(__xludf.DUMMYFUNCTION("""COMPUTED_VALUE"""),3.0)</f>
        <v>3</v>
      </c>
      <c r="AF543" s="65"/>
      <c r="AG543" s="65"/>
      <c r="AH543" s="65"/>
      <c r="AI543" s="65"/>
      <c r="AJ543" s="65"/>
      <c r="AK543" s="65"/>
      <c r="AL543" s="65"/>
      <c r="AM543" s="65"/>
      <c r="AN543" s="65" t="str">
        <f>IFERROR(__xludf.DUMMYFUNCTION("""COMPUTED_VALUE"""),"10:23")</f>
        <v>10:23</v>
      </c>
      <c r="AO543" s="65" t="str">
        <f>IFERROR(__xludf.DUMMYFUNCTION("""COMPUTED_VALUE"""),"28-02-2026")</f>
        <v>28-02-2026</v>
      </c>
      <c r="AP543" s="65" t="str">
        <f>IFERROR(__xludf.DUMMYFUNCTION("""COMPUTED_VALUE"""),"ENTREGADA GINTRACOM")</f>
        <v>ENTREGADA GINTRACOM</v>
      </c>
      <c r="AQ543" s="65" t="str">
        <f>IFERROR(__xludf.DUMMYFUNCTION("""COMPUTED_VALUE"""),"ENTREGADA GINTRACOM")</f>
        <v>ENTREGADA GINTRACOM</v>
      </c>
      <c r="AR543" s="65"/>
      <c r="AS543" s="65"/>
      <c r="AT543" s="65" t="str">
        <f>IFERROR(__xludf.DUMMYFUNCTION("""COMPUTED_VALUE"""),"SHOPIFY")</f>
        <v>SHOPIFY</v>
      </c>
      <c r="AU543" s="65" t="str">
        <f>IFERROR(__xludf.DUMMYFUNCTION("""COMPUTED_VALUE"""),"IMPORTEX EC")</f>
        <v>IMPORTEX EC</v>
      </c>
      <c r="AV543" s="65" t="str">
        <f>IFERROR(__xludf.DUMMYFUNCTION("""COMPUTED_VALUE"""),"6531623092268")</f>
        <v>6531623092268</v>
      </c>
      <c r="AW543" s="65">
        <f>IFERROR(__xludf.DUMMYFUNCTION("""COMPUTED_VALUE"""),6326.0)</f>
        <v>6326</v>
      </c>
      <c r="AX543" s="65"/>
      <c r="AY543" s="65" t="str">
        <f>IFERROR(__xludf.DUMMYFUNCTION("""COMPUTED_VALUE"""),"27/02/2026")</f>
        <v>27/02/2026</v>
      </c>
      <c r="AZ543" s="65"/>
      <c r="BA543" s="65"/>
    </row>
    <row r="544">
      <c r="A544" s="65" t="str">
        <f>IFERROR(__xludf.DUMMYFUNCTION("""COMPUTED_VALUE"""),"27-03-2026")</f>
        <v>27-03-2026</v>
      </c>
      <c r="B544" s="65">
        <f>IFERROR(__xludf.DUMMYFUNCTION("""COMPUTED_VALUE"""),4625515.0)</f>
        <v>4625515</v>
      </c>
      <c r="C544" s="65" t="str">
        <f>IFERROR(__xludf.DUMMYFUNCTION("""COMPUTED_VALUE"""),"20:56")</f>
        <v>20:56</v>
      </c>
      <c r="D544" s="65" t="str">
        <f>IFERROR(__xludf.DUMMYFUNCTION("""COMPUTED_VALUE"""),"25-02-2026")</f>
        <v>25-02-2026</v>
      </c>
      <c r="E544" s="65" t="str">
        <f>IFERROR(__xludf.DUMMYFUNCTION("""COMPUTED_VALUE"""),"neicer reasco")</f>
        <v>neicer reasco</v>
      </c>
      <c r="F544" s="65" t="str">
        <f>IFERROR(__xludf.DUMMYFUNCTION("""COMPUTED_VALUE"""),"979412491")</f>
        <v>979412491</v>
      </c>
      <c r="G544" s="65" t="str">
        <f>IFERROR(__xludf.DUMMYFUNCTION("""COMPUTED_VALUE"""),"neicerborola1977@gmail.com")</f>
        <v>neicerborola1977@gmail.com</v>
      </c>
      <c r="H544" s="65"/>
      <c r="I544" s="65"/>
      <c r="J544" s="65" t="str">
        <f>IFERROR(__xludf.DUMMYFUNCTION("""COMPUTED_VALUE"""),"D001364846")</f>
        <v>D001364846</v>
      </c>
      <c r="K544" s="65" t="str">
        <f>IFERROR(__xludf.DUMMYFUNCTION("""COMPUTED_VALUE"""),"ENTREGADO")</f>
        <v>ENTREGADO</v>
      </c>
      <c r="L544" s="65" t="str">
        <f>IFERROR(__xludf.DUMMYFUNCTION("""COMPUTED_VALUE"""),"CON RECAUDO")</f>
        <v>CON RECAUDO</v>
      </c>
      <c r="M544" s="65" t="str">
        <f>IFERROR(__xludf.DUMMYFUNCTION("""COMPUTED_VALUE"""),"PICHINCHA")</f>
        <v>PICHINCHA</v>
      </c>
      <c r="N544" s="65" t="str">
        <f>IFERROR(__xludf.DUMMYFUNCTION("""COMPUTED_VALUE"""),"QUITO")</f>
        <v>QUITO</v>
      </c>
      <c r="O544" s="65" t="str">
        <f>IFERROR(__xludf.DUMMYFUNCTION("""COMPUTED_VALUE"""),"Quito, calle Japón y Vicente Cardenas edificio stefy y Casa beys cancha sintética de neicer reasco -")</f>
        <v>Quito, calle Japón y Vicente Cardenas edificio stefy y Casa beys cancha sintética de neicer reasco -</v>
      </c>
      <c r="P544" s="65"/>
      <c r="Q544" s="65" t="str">
        <f>IFERROR(__xludf.DUMMYFUNCTION("""COMPUTED_VALUE"""),"GINTRACOM")</f>
        <v>GINTRACOM</v>
      </c>
      <c r="R544" s="65">
        <f>IFERROR(__xludf.DUMMYFUNCTION("""COMPUTED_VALUE"""),22.0)</f>
        <v>22</v>
      </c>
      <c r="S544" s="65">
        <f>IFERROR(__xludf.DUMMYFUNCTION("""COMPUTED_VALUE"""),10.27)</f>
        <v>10.27</v>
      </c>
      <c r="T544" s="65">
        <f>IFERROR(__xludf.DUMMYFUNCTION("""COMPUTED_VALUE"""),4.23)</f>
        <v>4.23</v>
      </c>
      <c r="U544" s="65">
        <f>IFERROR(__xludf.DUMMYFUNCTION("""COMPUTED_VALUE"""),0.0)</f>
        <v>0</v>
      </c>
      <c r="V544" s="65">
        <f>IFERROR(__xludf.DUMMYFUNCTION("""COMPUTED_VALUE"""),0.0)</f>
        <v>0</v>
      </c>
      <c r="W544" s="65">
        <f>IFERROR(__xludf.DUMMYFUNCTION("""COMPUTED_VALUE"""),0.0)</f>
        <v>0</v>
      </c>
      <c r="X544" s="65">
        <f>IFERROR(__xludf.DUMMYFUNCTION("""COMPUTED_VALUE"""),3.75)</f>
        <v>3.75</v>
      </c>
      <c r="Y544" s="65">
        <f>IFERROR(__xludf.DUMMYFUNCTION("""COMPUTED_VALUE"""),7.5)</f>
        <v>7.5</v>
      </c>
      <c r="Z544" s="65">
        <f>IFERROR(__xludf.DUMMYFUNCTION("""COMPUTED_VALUE"""),113116.0)</f>
        <v>113116</v>
      </c>
      <c r="AA544" s="65" t="str">
        <f>IFERROR(__xludf.DUMMYFUNCTION("""COMPUTED_VALUE"""),"IM-TAZAKI")</f>
        <v>IM-TAZAKI</v>
      </c>
      <c r="AB544" s="65"/>
      <c r="AC544" s="65" t="str">
        <f>IFERROR(__xludf.DUMMYFUNCTION("""COMPUTED_VALUE"""),"Cuchillo tazaki")</f>
        <v>Cuchillo tazaki</v>
      </c>
      <c r="AD544" s="65"/>
      <c r="AE544" s="65">
        <f>IFERROR(__xludf.DUMMYFUNCTION("""COMPUTED_VALUE"""),2.0)</f>
        <v>2</v>
      </c>
      <c r="AF544" s="65" t="str">
        <f>IFERROR(__xludf.DUMMYFUNCTION("""COMPUTED_VALUE"""),"DESTINATARIO NO CONTESTA LLAMADAS NI WHATSAPP")</f>
        <v>DESTINATARIO NO CONTESTA LLAMADAS NI WHATSAPP</v>
      </c>
      <c r="AG544" s="65" t="str">
        <f>IFERROR(__xludf.DUMMYFUNCTION("""COMPUTED_VALUE"""),"SI")</f>
        <v>SI</v>
      </c>
      <c r="AH544" s="65" t="str">
        <f>IFERROR(__xludf.DUMMYFUNCTION("""COMPUTED_VALUE"""),"09:00")</f>
        <v>09:00</v>
      </c>
      <c r="AI544" s="65" t="str">
        <f>IFERROR(__xludf.DUMMYFUNCTION("""COMPUTED_VALUE"""),"04-03-2026")</f>
        <v>04-03-2026</v>
      </c>
      <c r="AJ544" s="65" t="str">
        <f>IFERROR(__xludf.DUMMYFUNCTION("""COMPUTED_VALUE"""),"Cliente solicita la entrega inmediata.")</f>
        <v>Cliente solicita la entrega inmediata.</v>
      </c>
      <c r="AK544" s="65" t="str">
        <f>IFERROR(__xludf.DUMMYFUNCTION("""COMPUTED_VALUE"""),"13:06")</f>
        <v>13:06</v>
      </c>
      <c r="AL544" s="65" t="str">
        <f>IFERROR(__xludf.DUMMYFUNCTION("""COMPUTED_VALUE"""),"04-03-2026")</f>
        <v>04-03-2026</v>
      </c>
      <c r="AM544" s="65"/>
      <c r="AN544" s="65" t="str">
        <f>IFERROR(__xludf.DUMMYFUNCTION("""COMPUTED_VALUE"""),"17:27")</f>
        <v>17:27</v>
      </c>
      <c r="AO544" s="65" t="str">
        <f>IFERROR(__xludf.DUMMYFUNCTION("""COMPUTED_VALUE"""),"06-03-2026")</f>
        <v>06-03-2026</v>
      </c>
      <c r="AP544" s="65" t="str">
        <f>IFERROR(__xludf.DUMMYFUNCTION("""COMPUTED_VALUE"""),"ENTREGADA GINTRACOM")</f>
        <v>ENTREGADA GINTRACOM</v>
      </c>
      <c r="AQ544" s="65" t="str">
        <f>IFERROR(__xludf.DUMMYFUNCTION("""COMPUTED_VALUE"""),"ENTREGADA GINTRACOM")</f>
        <v>ENTREGADA GINTRACOM</v>
      </c>
      <c r="AR544" s="65"/>
      <c r="AS544" s="65"/>
      <c r="AT544" s="65" t="str">
        <f>IFERROR(__xludf.DUMMYFUNCTION("""COMPUTED_VALUE"""),"SHOPIFY")</f>
        <v>SHOPIFY</v>
      </c>
      <c r="AU544" s="65" t="str">
        <f>IFERROR(__xludf.DUMMYFUNCTION("""COMPUTED_VALUE"""),"IMPORTEX EC")</f>
        <v>IMPORTEX EC</v>
      </c>
      <c r="AV544" s="65" t="str">
        <f>IFERROR(__xludf.DUMMYFUNCTION("""COMPUTED_VALUE"""),"6531503620140")</f>
        <v>6531503620140</v>
      </c>
      <c r="AW544" s="65">
        <f>IFERROR(__xludf.DUMMYFUNCTION("""COMPUTED_VALUE"""),6325.0)</f>
        <v>6325</v>
      </c>
      <c r="AX544" s="65"/>
      <c r="AY544" s="65" t="str">
        <f>IFERROR(__xludf.DUMMYFUNCTION("""COMPUTED_VALUE"""),"27/02/2026")</f>
        <v>27/02/2026</v>
      </c>
      <c r="AZ544" s="65"/>
      <c r="BA544" s="65"/>
    </row>
    <row r="545">
      <c r="A545" s="65" t="str">
        <f>IFERROR(__xludf.DUMMYFUNCTION("""COMPUTED_VALUE"""),"27-03-2026")</f>
        <v>27-03-2026</v>
      </c>
      <c r="B545" s="65">
        <f>IFERROR(__xludf.DUMMYFUNCTION("""COMPUTED_VALUE"""),4625377.0)</f>
        <v>4625377</v>
      </c>
      <c r="C545" s="65" t="str">
        <f>IFERROR(__xludf.DUMMYFUNCTION("""COMPUTED_VALUE"""),"20:42")</f>
        <v>20:42</v>
      </c>
      <c r="D545" s="65" t="str">
        <f>IFERROR(__xludf.DUMMYFUNCTION("""COMPUTED_VALUE"""),"25-02-2026")</f>
        <v>25-02-2026</v>
      </c>
      <c r="E545" s="65" t="str">
        <f>IFERROR(__xludf.DUMMYFUNCTION("""COMPUTED_VALUE"""),"Luis Felipe Armijos Carpio")</f>
        <v>Luis Felipe Armijos Carpio</v>
      </c>
      <c r="F545" s="65" t="str">
        <f>IFERROR(__xludf.DUMMYFUNCTION("""COMPUTED_VALUE"""),"984496502")</f>
        <v>984496502</v>
      </c>
      <c r="G545" s="65" t="str">
        <f>IFERROR(__xludf.DUMMYFUNCTION("""COMPUTED_VALUE"""),"administracion@oxivalle.com")</f>
        <v>administracion@oxivalle.com</v>
      </c>
      <c r="H545" s="65"/>
      <c r="I545" s="65"/>
      <c r="J545" s="65"/>
      <c r="K545" s="65" t="str">
        <f>IFERROR(__xludf.DUMMYFUNCTION("""COMPUTED_VALUE"""),"PENDIENTE CONFIRMACION")</f>
        <v>PENDIENTE CONFIRMACION</v>
      </c>
      <c r="L545" s="65" t="str">
        <f>IFERROR(__xludf.DUMMYFUNCTION("""COMPUTED_VALUE"""),"CON RECAUDO")</f>
        <v>CON RECAUDO</v>
      </c>
      <c r="M545" s="65" t="str">
        <f>IFERROR(__xludf.DUMMYFUNCTION("""COMPUTED_VALUE"""),"GUAYAS")</f>
        <v>GUAYAS</v>
      </c>
      <c r="N545" s="65" t="str">
        <f>IFERROR(__xludf.DUMMYFUNCTION("""COMPUTED_VALUE"""),"DAULE")</f>
        <v>DAULE</v>
      </c>
      <c r="O545" s="65" t="str">
        <f>IFERROR(__xludf.DUMMYFUNCTION("""COMPUTED_VALUE"""),"Urb Vilanova 3 era etapa Mz 9 Villa 13 Dentro de la urbanización -")</f>
        <v>Urb Vilanova 3 era etapa Mz 9 Villa 13 Dentro de la urbanización -</v>
      </c>
      <c r="P545" s="65"/>
      <c r="Q545" s="65" t="str">
        <f>IFERROR(__xludf.DUMMYFUNCTION("""COMPUTED_VALUE"""),"GINTRACOM")</f>
        <v>GINTRACOM</v>
      </c>
      <c r="R545" s="65">
        <f>IFERROR(__xludf.DUMMYFUNCTION("""COMPUTED_VALUE"""),20.0)</f>
        <v>20</v>
      </c>
      <c r="S545" s="65"/>
      <c r="T545" s="65">
        <f>IFERROR(__xludf.DUMMYFUNCTION("""COMPUTED_VALUE"""),5.76)</f>
        <v>5.76</v>
      </c>
      <c r="U545" s="65">
        <f>IFERROR(__xludf.DUMMYFUNCTION("""COMPUTED_VALUE"""),0.0)</f>
        <v>0</v>
      </c>
      <c r="V545" s="65">
        <f>IFERROR(__xludf.DUMMYFUNCTION("""COMPUTED_VALUE"""),0.0)</f>
        <v>0</v>
      </c>
      <c r="W545" s="65">
        <f>IFERROR(__xludf.DUMMYFUNCTION("""COMPUTED_VALUE"""),0.0)</f>
        <v>0</v>
      </c>
      <c r="X545" s="65">
        <f>IFERROR(__xludf.DUMMYFUNCTION("""COMPUTED_VALUE"""),2.35)</f>
        <v>2.35</v>
      </c>
      <c r="Y545" s="65">
        <f>IFERROR(__xludf.DUMMYFUNCTION("""COMPUTED_VALUE"""),2.35)</f>
        <v>2.35</v>
      </c>
      <c r="Z545" s="65">
        <f>IFERROR(__xludf.DUMMYFUNCTION("""COMPUTED_VALUE"""),116679.0)</f>
        <v>116679</v>
      </c>
      <c r="AA545" s="65" t="str">
        <f>IFERROR(__xludf.DUMMYFUNCTION("""COMPUTED_VALUE"""),"AMC-2738")</f>
        <v>AMC-2738</v>
      </c>
      <c r="AB545" s="65"/>
      <c r="AC545" s="65" t="str">
        <f>IFERROR(__xludf.DUMMYFUNCTION("""COMPUTED_VALUE"""),"ESPONJA ANTILLUVIA DE PARABRISAS")</f>
        <v>ESPONJA ANTILLUVIA DE PARABRISAS</v>
      </c>
      <c r="AD545" s="65"/>
      <c r="AE545" s="65">
        <f>IFERROR(__xludf.DUMMYFUNCTION("""COMPUTED_VALUE"""),1.0)</f>
        <v>1</v>
      </c>
      <c r="AF545" s="65"/>
      <c r="AG545" s="65"/>
      <c r="AH545" s="65"/>
      <c r="AI545" s="65"/>
      <c r="AJ545" s="65"/>
      <c r="AK545" s="65"/>
      <c r="AL545" s="65"/>
      <c r="AM545" s="65"/>
      <c r="AN545" s="65"/>
      <c r="AO545" s="65"/>
      <c r="AP545" s="65"/>
      <c r="AQ545" s="65"/>
      <c r="AR545" s="65"/>
      <c r="AS545" s="65"/>
      <c r="AT545" s="65" t="str">
        <f>IFERROR(__xludf.DUMMYFUNCTION("""COMPUTED_VALUE"""),"SHOPIFY")</f>
        <v>SHOPIFY</v>
      </c>
      <c r="AU545" s="65" t="str">
        <f>IFERROR(__xludf.DUMMYFUNCTION("""COMPUTED_VALUE"""),"IMPORTEX EC")</f>
        <v>IMPORTEX EC</v>
      </c>
      <c r="AV545" s="65" t="str">
        <f>IFERROR(__xludf.DUMMYFUNCTION("""COMPUTED_VALUE"""),"6531455942700")</f>
        <v>6531455942700</v>
      </c>
      <c r="AW545" s="65">
        <f>IFERROR(__xludf.DUMMYFUNCTION("""COMPUTED_VALUE"""),6324.0)</f>
        <v>6324</v>
      </c>
      <c r="AX545" s="65"/>
      <c r="AY545" s="65"/>
      <c r="AZ545" s="65"/>
      <c r="BA545" s="65"/>
    </row>
    <row r="546">
      <c r="A546" s="65" t="str">
        <f>IFERROR(__xludf.DUMMYFUNCTION("""COMPUTED_VALUE"""),"27-03-2026")</f>
        <v>27-03-2026</v>
      </c>
      <c r="B546" s="65">
        <f>IFERROR(__xludf.DUMMYFUNCTION("""COMPUTED_VALUE"""),4625110.0)</f>
        <v>4625110</v>
      </c>
      <c r="C546" s="65" t="str">
        <f>IFERROR(__xludf.DUMMYFUNCTION("""COMPUTED_VALUE"""),"20:10")</f>
        <v>20:10</v>
      </c>
      <c r="D546" s="65" t="str">
        <f>IFERROR(__xludf.DUMMYFUNCTION("""COMPUTED_VALUE"""),"25-02-2026")</f>
        <v>25-02-2026</v>
      </c>
      <c r="E546" s="65" t="str">
        <f>IFERROR(__xludf.DUMMYFUNCTION("""COMPUTED_VALUE"""),"Araveya Mendoza C. Mendoza")</f>
        <v>Araveya Mendoza C. Mendoza</v>
      </c>
      <c r="F546" s="65" t="str">
        <f>IFERROR(__xludf.DUMMYFUNCTION("""COMPUTED_VALUE"""),"984777981")</f>
        <v>984777981</v>
      </c>
      <c r="G546" s="65" t="str">
        <f>IFERROR(__xludf.DUMMYFUNCTION("""COMPUTED_VALUE"""),"araveya@hotmail.com")</f>
        <v>araveya@hotmail.com</v>
      </c>
      <c r="H546" s="65"/>
      <c r="I546" s="65"/>
      <c r="J546" s="65" t="str">
        <f>IFERROR(__xludf.DUMMYFUNCTION("""COMPUTED_VALUE"""),"D001362820")</f>
        <v>D001362820</v>
      </c>
      <c r="K546" s="65" t="str">
        <f>IFERROR(__xludf.DUMMYFUNCTION("""COMPUTED_VALUE"""),"DEVOLUCION")</f>
        <v>DEVOLUCION</v>
      </c>
      <c r="L546" s="65" t="str">
        <f>IFERROR(__xludf.DUMMYFUNCTION("""COMPUTED_VALUE"""),"CON RECAUDO")</f>
        <v>CON RECAUDO</v>
      </c>
      <c r="M546" s="65" t="str">
        <f>IFERROR(__xludf.DUMMYFUNCTION("""COMPUTED_VALUE"""),"PICHINCHA")</f>
        <v>PICHINCHA</v>
      </c>
      <c r="N546" s="65" t="str">
        <f>IFERROR(__xludf.DUMMYFUNCTION("""COMPUTED_VALUE"""),"QUITO")</f>
        <v>QUITO</v>
      </c>
      <c r="O546" s="65" t="str">
        <f>IFERROR(__xludf.DUMMYFUNCTION("""COMPUTED_VALUE"""),"Versalles Y  Diego de atienza - Referenica : a una cuadra hacia el sur de la bartolome de las casas")</f>
        <v>Versalles Y  Diego de atienza - Referenica : a una cuadra hacia el sur de la bartolome de las casas</v>
      </c>
      <c r="P546" s="65"/>
      <c r="Q546" s="65" t="str">
        <f>IFERROR(__xludf.DUMMYFUNCTION("""COMPUTED_VALUE"""),"GINTRACOM")</f>
        <v>GINTRACOM</v>
      </c>
      <c r="R546" s="65">
        <f>IFERROR(__xludf.DUMMYFUNCTION("""COMPUTED_VALUE"""),22.0)</f>
        <v>22</v>
      </c>
      <c r="S546" s="65"/>
      <c r="T546" s="65">
        <f>IFERROR(__xludf.DUMMYFUNCTION("""COMPUTED_VALUE"""),4.23)</f>
        <v>4.23</v>
      </c>
      <c r="U546" s="65">
        <f>IFERROR(__xludf.DUMMYFUNCTION("""COMPUTED_VALUE"""),0.0)</f>
        <v>0</v>
      </c>
      <c r="V546" s="65">
        <f>IFERROR(__xludf.DUMMYFUNCTION("""COMPUTED_VALUE"""),0.0)</f>
        <v>0</v>
      </c>
      <c r="W546" s="65">
        <f>IFERROR(__xludf.DUMMYFUNCTION("""COMPUTED_VALUE"""),0.0)</f>
        <v>0</v>
      </c>
      <c r="X546" s="65">
        <f>IFERROR(__xludf.DUMMYFUNCTION("""COMPUTED_VALUE"""),3.75)</f>
        <v>3.75</v>
      </c>
      <c r="Y546" s="65">
        <f>IFERROR(__xludf.DUMMYFUNCTION("""COMPUTED_VALUE"""),7.5)</f>
        <v>7.5</v>
      </c>
      <c r="Z546" s="65">
        <f>IFERROR(__xludf.DUMMYFUNCTION("""COMPUTED_VALUE"""),113116.0)</f>
        <v>113116</v>
      </c>
      <c r="AA546" s="65" t="str">
        <f>IFERROR(__xludf.DUMMYFUNCTION("""COMPUTED_VALUE"""),"IM-TAZAKI")</f>
        <v>IM-TAZAKI</v>
      </c>
      <c r="AB546" s="65"/>
      <c r="AC546" s="65" t="str">
        <f>IFERROR(__xludf.DUMMYFUNCTION("""COMPUTED_VALUE"""),"Cuchillo tazaki")</f>
        <v>Cuchillo tazaki</v>
      </c>
      <c r="AD546" s="65"/>
      <c r="AE546" s="65">
        <f>IFERROR(__xludf.DUMMYFUNCTION("""COMPUTED_VALUE"""),2.0)</f>
        <v>2</v>
      </c>
      <c r="AF546" s="65" t="str">
        <f>IFERROR(__xludf.DUMMYFUNCTION("""COMPUTED_VALUE"""),"DESTINATARIO INDICA QUE YA RECIBIÓ EL PRODUCTO")</f>
        <v>DESTINATARIO INDICA QUE YA RECIBIÓ EL PRODUCTO</v>
      </c>
      <c r="AG546" s="65" t="str">
        <f>IFERROR(__xludf.DUMMYFUNCTION("""COMPUTED_VALUE"""),"NO")</f>
        <v>NO</v>
      </c>
      <c r="AH546" s="65" t="str">
        <f>IFERROR(__xludf.DUMMYFUNCTION("""COMPUTED_VALUE"""),"09:09")</f>
        <v>09:09</v>
      </c>
      <c r="AI546" s="65" t="str">
        <f>IFERROR(__xludf.DUMMYFUNCTION("""COMPUTED_VALUE"""),"27-02-2026")</f>
        <v>27-02-2026</v>
      </c>
      <c r="AJ546" s="65"/>
      <c r="AK546" s="65"/>
      <c r="AL546" s="65"/>
      <c r="AM546" s="65"/>
      <c r="AN546" s="65" t="str">
        <f>IFERROR(__xludf.DUMMYFUNCTION("""COMPUTED_VALUE"""),"11:16")</f>
        <v>11:16</v>
      </c>
      <c r="AO546" s="65" t="str">
        <f>IFERROR(__xludf.DUMMYFUNCTION("""COMPUTED_VALUE"""),"18-03-2026")</f>
        <v>18-03-2026</v>
      </c>
      <c r="AP546" s="65" t="str">
        <f>IFERROR(__xludf.DUMMYFUNCTION("""COMPUTED_VALUE"""),"DEV CONFIRMADA POR BODEGA")</f>
        <v>DEV CONFIRMADA POR BODEGA</v>
      </c>
      <c r="AQ546" s="65"/>
      <c r="AR546" s="65" t="str">
        <f>IFERROR(__xludf.DUMMYFUNCTION("""COMPUTED_VALUE"""),"Gestionado por: IMPORSHOP SHOP, email:import1academyinfo@gmail.com, total de productos en la orden: 1")</f>
        <v>Gestionado por: IMPORSHOP SHOP, email:import1academyinfo@gmail.com, total de productos en la orden: 1</v>
      </c>
      <c r="AS546" s="65"/>
      <c r="AT546" s="65" t="str">
        <f>IFERROR(__xludf.DUMMYFUNCTION("""COMPUTED_VALUE"""),"SHOPIFY")</f>
        <v>SHOPIFY</v>
      </c>
      <c r="AU546" s="65" t="str">
        <f>IFERROR(__xludf.DUMMYFUNCTION("""COMPUTED_VALUE"""),"IMPORTEX EC")</f>
        <v>IMPORTEX EC</v>
      </c>
      <c r="AV546" s="65" t="str">
        <f>IFERROR(__xludf.DUMMYFUNCTION("""COMPUTED_VALUE"""),"6531350921260")</f>
        <v>6531350921260</v>
      </c>
      <c r="AW546" s="65">
        <f>IFERROR(__xludf.DUMMYFUNCTION("""COMPUTED_VALUE"""),6323.0)</f>
        <v>6323</v>
      </c>
      <c r="AX546" s="65"/>
      <c r="AY546" s="65" t="str">
        <f>IFERROR(__xludf.DUMMYFUNCTION("""COMPUTED_VALUE"""),"26/02/2026")</f>
        <v>26/02/2026</v>
      </c>
      <c r="AZ546" s="65"/>
      <c r="BA546" s="65"/>
    </row>
    <row r="547">
      <c r="A547" s="65" t="str">
        <f>IFERROR(__xludf.DUMMYFUNCTION("""COMPUTED_VALUE"""),"27-03-2026")</f>
        <v>27-03-2026</v>
      </c>
      <c r="B547" s="65">
        <f>IFERROR(__xludf.DUMMYFUNCTION("""COMPUTED_VALUE"""),4624500.0)</f>
        <v>4624500</v>
      </c>
      <c r="C547" s="65" t="str">
        <f>IFERROR(__xludf.DUMMYFUNCTION("""COMPUTED_VALUE"""),"18:44")</f>
        <v>18:44</v>
      </c>
      <c r="D547" s="65" t="str">
        <f>IFERROR(__xludf.DUMMYFUNCTION("""COMPUTED_VALUE"""),"25-02-2026")</f>
        <v>25-02-2026</v>
      </c>
      <c r="E547" s="65" t="str">
        <f>IFERROR(__xludf.DUMMYFUNCTION("""COMPUTED_VALUE"""),"ÁNGEL PACHECO CUEVA")</f>
        <v>ÁNGEL PACHECO CUEVA</v>
      </c>
      <c r="F547" s="65" t="str">
        <f>IFERROR(__xludf.DUMMYFUNCTION("""COMPUTED_VALUE"""),"994402305")</f>
        <v>994402305</v>
      </c>
      <c r="G547" s="65" t="str">
        <f>IFERROR(__xludf.DUMMYFUNCTION("""COMPUTED_VALUE"""),"anpacu63@hotmail.com")</f>
        <v>anpacu63@hotmail.com</v>
      </c>
      <c r="H547" s="65"/>
      <c r="I547" s="65"/>
      <c r="J547" s="65" t="str">
        <f>IFERROR(__xludf.DUMMYFUNCTION("""COMPUTED_VALUE"""),"D001362821")</f>
        <v>D001362821</v>
      </c>
      <c r="K547" s="65" t="str">
        <f>IFERROR(__xludf.DUMMYFUNCTION("""COMPUTED_VALUE"""),"ENTREGADO")</f>
        <v>ENTREGADO</v>
      </c>
      <c r="L547" s="65" t="str">
        <f>IFERROR(__xludf.DUMMYFUNCTION("""COMPUTED_VALUE"""),"CON RECAUDO")</f>
        <v>CON RECAUDO</v>
      </c>
      <c r="M547" s="65" t="str">
        <f>IFERROR(__xludf.DUMMYFUNCTION("""COMPUTED_VALUE"""),"LOS RIOS")</f>
        <v>LOS RIOS</v>
      </c>
      <c r="N547" s="65" t="str">
        <f>IFERROR(__xludf.DUMMYFUNCTION("""COMPUTED_VALUE"""),"ZAPOTAL (LOS RIOS)")</f>
        <v>ZAPOTAL (LOS RIOS)</v>
      </c>
      <c r="O547" s="65" t="str">
        <f>IFERROR(__xludf.DUMMYFUNCTION("""COMPUTED_VALUE"""),"Calle Ambato y Malecón Simón Bolívar, esquina, Parroquia Zapotal")</f>
        <v>Calle Ambato y Malecón Simón Bolívar, esquina, Parroquia Zapotal</v>
      </c>
      <c r="P547" s="65"/>
      <c r="Q547" s="65" t="str">
        <f>IFERROR(__xludf.DUMMYFUNCTION("""COMPUTED_VALUE"""),"GINTRACOM")</f>
        <v>GINTRACOM</v>
      </c>
      <c r="R547" s="65">
        <f>IFERROR(__xludf.DUMMYFUNCTION("""COMPUTED_VALUE"""),27.0)</f>
        <v>27</v>
      </c>
      <c r="S547" s="65">
        <f>IFERROR(__xludf.DUMMYFUNCTION("""COMPUTED_VALUE"""),9.15)</f>
        <v>9.15</v>
      </c>
      <c r="T547" s="65">
        <f>IFERROR(__xludf.DUMMYFUNCTION("""COMPUTED_VALUE"""),6.6)</f>
        <v>6.6</v>
      </c>
      <c r="U547" s="65">
        <f>IFERROR(__xludf.DUMMYFUNCTION("""COMPUTED_VALUE"""),0.0)</f>
        <v>0</v>
      </c>
      <c r="V547" s="65">
        <f>IFERROR(__xludf.DUMMYFUNCTION("""COMPUTED_VALUE"""),0.0)</f>
        <v>0</v>
      </c>
      <c r="W547" s="65">
        <f>IFERROR(__xludf.DUMMYFUNCTION("""COMPUTED_VALUE"""),0.0)</f>
        <v>0</v>
      </c>
      <c r="X547" s="65">
        <f>IFERROR(__xludf.DUMMYFUNCTION("""COMPUTED_VALUE"""),3.75)</f>
        <v>3.75</v>
      </c>
      <c r="Y547" s="65">
        <f>IFERROR(__xludf.DUMMYFUNCTION("""COMPUTED_VALUE"""),11.25)</f>
        <v>11.25</v>
      </c>
      <c r="Z547" s="65">
        <f>IFERROR(__xludf.DUMMYFUNCTION("""COMPUTED_VALUE"""),113116.0)</f>
        <v>113116</v>
      </c>
      <c r="AA547" s="65" t="str">
        <f>IFERROR(__xludf.DUMMYFUNCTION("""COMPUTED_VALUE"""),"IM-TAZAKI")</f>
        <v>IM-TAZAKI</v>
      </c>
      <c r="AB547" s="65"/>
      <c r="AC547" s="65" t="str">
        <f>IFERROR(__xludf.DUMMYFUNCTION("""COMPUTED_VALUE"""),"Cuchillo tazaki")</f>
        <v>Cuchillo tazaki</v>
      </c>
      <c r="AD547" s="65"/>
      <c r="AE547" s="65">
        <f>IFERROR(__xludf.DUMMYFUNCTION("""COMPUTED_VALUE"""),3.0)</f>
        <v>3</v>
      </c>
      <c r="AF547" s="65"/>
      <c r="AG547" s="65"/>
      <c r="AH547" s="65"/>
      <c r="AI547" s="65"/>
      <c r="AJ547" s="65"/>
      <c r="AK547" s="65"/>
      <c r="AL547" s="65"/>
      <c r="AM547" s="65"/>
      <c r="AN547" s="65" t="str">
        <f>IFERROR(__xludf.DUMMYFUNCTION("""COMPUTED_VALUE"""),"12:59")</f>
        <v>12:59</v>
      </c>
      <c r="AO547" s="65" t="str">
        <f>IFERROR(__xludf.DUMMYFUNCTION("""COMPUTED_VALUE"""),"02-03-2026")</f>
        <v>02-03-2026</v>
      </c>
      <c r="AP547" s="65" t="str">
        <f>IFERROR(__xludf.DUMMYFUNCTION("""COMPUTED_VALUE"""),"EN REPARTO")</f>
        <v>EN REPARTO</v>
      </c>
      <c r="AQ547" s="65" t="str">
        <f>IFERROR(__xludf.DUMMYFUNCTION("""COMPUTED_VALUE"""),"EN REPARTO")</f>
        <v>EN REPARTO</v>
      </c>
      <c r="AR547" s="65"/>
      <c r="AS547" s="65"/>
      <c r="AT547" s="65" t="str">
        <f>IFERROR(__xludf.DUMMYFUNCTION("""COMPUTED_VALUE"""),"SHOPIFY")</f>
        <v>SHOPIFY</v>
      </c>
      <c r="AU547" s="65" t="str">
        <f>IFERROR(__xludf.DUMMYFUNCTION("""COMPUTED_VALUE"""),"IMPORTEX EC")</f>
        <v>IMPORTEX EC</v>
      </c>
      <c r="AV547" s="65" t="str">
        <f>IFERROR(__xludf.DUMMYFUNCTION("""COMPUTED_VALUE"""),"6531103031340")</f>
        <v>6531103031340</v>
      </c>
      <c r="AW547" s="65">
        <f>IFERROR(__xludf.DUMMYFUNCTION("""COMPUTED_VALUE"""),6322.0)</f>
        <v>6322</v>
      </c>
      <c r="AX547" s="65"/>
      <c r="AY547" s="65" t="str">
        <f>IFERROR(__xludf.DUMMYFUNCTION("""COMPUTED_VALUE"""),"26/02/2026")</f>
        <v>26/02/2026</v>
      </c>
      <c r="AZ547" s="65"/>
      <c r="BA547" s="65"/>
    </row>
    <row r="548">
      <c r="A548" s="65" t="str">
        <f>IFERROR(__xludf.DUMMYFUNCTION("""COMPUTED_VALUE"""),"27-03-2026")</f>
        <v>27-03-2026</v>
      </c>
      <c r="B548" s="65">
        <f>IFERROR(__xludf.DUMMYFUNCTION("""COMPUTED_VALUE"""),4623853.0)</f>
        <v>4623853</v>
      </c>
      <c r="C548" s="65" t="str">
        <f>IFERROR(__xludf.DUMMYFUNCTION("""COMPUTED_VALUE"""),"17:14")</f>
        <v>17:14</v>
      </c>
      <c r="D548" s="65" t="str">
        <f>IFERROR(__xludf.DUMMYFUNCTION("""COMPUTED_VALUE"""),"25-02-2026")</f>
        <v>25-02-2026</v>
      </c>
      <c r="E548" s="65" t="str">
        <f>IFERROR(__xludf.DUMMYFUNCTION("""COMPUTED_VALUE"""),"Francisco Venegas")</f>
        <v>Francisco Venegas</v>
      </c>
      <c r="F548" s="65" t="str">
        <f>IFERROR(__xludf.DUMMYFUNCTION("""COMPUTED_VALUE"""),"985683299")</f>
        <v>985683299</v>
      </c>
      <c r="G548" s="65" t="str">
        <f>IFERROR(__xludf.DUMMYFUNCTION("""COMPUTED_VALUE"""),"aerodark1977@gmail.com")</f>
        <v>aerodark1977@gmail.com</v>
      </c>
      <c r="H548" s="65"/>
      <c r="I548" s="65"/>
      <c r="J548" s="65"/>
      <c r="K548" s="65" t="str">
        <f>IFERROR(__xludf.DUMMYFUNCTION("""COMPUTED_VALUE"""),"CANCELADO")</f>
        <v>CANCELADO</v>
      </c>
      <c r="L548" s="65" t="str">
        <f>IFERROR(__xludf.DUMMYFUNCTION("""COMPUTED_VALUE"""),"CON RECAUDO")</f>
        <v>CON RECAUDO</v>
      </c>
      <c r="M548" s="65" t="str">
        <f>IFERROR(__xludf.DUMMYFUNCTION("""COMPUTED_VALUE"""),"IMBABURA")</f>
        <v>IMBABURA</v>
      </c>
      <c r="N548" s="65" t="str">
        <f>IFERROR(__xludf.DUMMYFUNCTION("""COMPUTED_VALUE"""),"PIMAMPIRO")</f>
        <v>PIMAMPIRO</v>
      </c>
      <c r="O548" s="65" t="str">
        <f>IFERROR(__xludf.DUMMYFUNCTION("""COMPUTED_VALUE"""),"Oficina de Servientrega Pimanpiro Oficinas Pimanpiro -")</f>
        <v>Oficina de Servientrega Pimanpiro Oficinas Pimanpiro -</v>
      </c>
      <c r="P548" s="65"/>
      <c r="Q548" s="65" t="str">
        <f>IFERROR(__xludf.DUMMYFUNCTION("""COMPUTED_VALUE"""),"LAARCOURIER")</f>
        <v>LAARCOURIER</v>
      </c>
      <c r="R548" s="65">
        <f>IFERROR(__xludf.DUMMYFUNCTION("""COMPUTED_VALUE"""),32.0)</f>
        <v>32</v>
      </c>
      <c r="S548" s="65"/>
      <c r="T548" s="65">
        <f>IFERROR(__xludf.DUMMYFUNCTION("""COMPUTED_VALUE"""),7.59)</f>
        <v>7.59</v>
      </c>
      <c r="U548" s="65">
        <f>IFERROR(__xludf.DUMMYFUNCTION("""COMPUTED_VALUE"""),0.0)</f>
        <v>0</v>
      </c>
      <c r="V548" s="65">
        <f>IFERROR(__xludf.DUMMYFUNCTION("""COMPUTED_VALUE"""),0.0)</f>
        <v>0</v>
      </c>
      <c r="W548" s="65">
        <f>IFERROR(__xludf.DUMMYFUNCTION("""COMPUTED_VALUE"""),0.0)</f>
        <v>0</v>
      </c>
      <c r="X548" s="65">
        <f>IFERROR(__xludf.DUMMYFUNCTION("""COMPUTED_VALUE"""),3.75)</f>
        <v>3.75</v>
      </c>
      <c r="Y548" s="65">
        <f>IFERROR(__xludf.DUMMYFUNCTION("""COMPUTED_VALUE"""),15.0)</f>
        <v>15</v>
      </c>
      <c r="Z548" s="65">
        <f>IFERROR(__xludf.DUMMYFUNCTION("""COMPUTED_VALUE"""),113116.0)</f>
        <v>113116</v>
      </c>
      <c r="AA548" s="65" t="str">
        <f>IFERROR(__xludf.DUMMYFUNCTION("""COMPUTED_VALUE"""),"IM-TAZAKI")</f>
        <v>IM-TAZAKI</v>
      </c>
      <c r="AB548" s="65"/>
      <c r="AC548" s="65" t="str">
        <f>IFERROR(__xludf.DUMMYFUNCTION("""COMPUTED_VALUE"""),"Cuchillo tazaki")</f>
        <v>Cuchillo tazaki</v>
      </c>
      <c r="AD548" s="65"/>
      <c r="AE548" s="65">
        <f>IFERROR(__xludf.DUMMYFUNCTION("""COMPUTED_VALUE"""),4.0)</f>
        <v>4</v>
      </c>
      <c r="AF548" s="65"/>
      <c r="AG548" s="65"/>
      <c r="AH548" s="65"/>
      <c r="AI548" s="65"/>
      <c r="AJ548" s="65"/>
      <c r="AK548" s="65"/>
      <c r="AL548" s="65"/>
      <c r="AM548" s="65"/>
      <c r="AN548" s="65"/>
      <c r="AO548" s="65"/>
      <c r="AP548" s="65"/>
      <c r="AQ548" s="65"/>
      <c r="AR548" s="65"/>
      <c r="AS548" s="65"/>
      <c r="AT548" s="65" t="str">
        <f>IFERROR(__xludf.DUMMYFUNCTION("""COMPUTED_VALUE"""),"SHOPIFY")</f>
        <v>SHOPIFY</v>
      </c>
      <c r="AU548" s="65" t="str">
        <f>IFERROR(__xludf.DUMMYFUNCTION("""COMPUTED_VALUE"""),"IMPORTEX EC")</f>
        <v>IMPORTEX EC</v>
      </c>
      <c r="AV548" s="65" t="str">
        <f>IFERROR(__xludf.DUMMYFUNCTION("""COMPUTED_VALUE"""),"6530817523756")</f>
        <v>6530817523756</v>
      </c>
      <c r="AW548" s="65">
        <f>IFERROR(__xludf.DUMMYFUNCTION("""COMPUTED_VALUE"""),6321.0)</f>
        <v>6321</v>
      </c>
      <c r="AX548" s="65"/>
      <c r="AY548" s="65"/>
      <c r="AZ548" s="65"/>
      <c r="BA548" s="65"/>
    </row>
    <row r="549">
      <c r="A549" s="65" t="str">
        <f>IFERROR(__xludf.DUMMYFUNCTION("""COMPUTED_VALUE"""),"27-03-2026")</f>
        <v>27-03-2026</v>
      </c>
      <c r="B549" s="65">
        <f>IFERROR(__xludf.DUMMYFUNCTION("""COMPUTED_VALUE"""),4623755.0)</f>
        <v>4623755</v>
      </c>
      <c r="C549" s="65" t="str">
        <f>IFERROR(__xludf.DUMMYFUNCTION("""COMPUTED_VALUE"""),"16:59")</f>
        <v>16:59</v>
      </c>
      <c r="D549" s="65" t="str">
        <f>IFERROR(__xludf.DUMMYFUNCTION("""COMPUTED_VALUE"""),"25-02-2026")</f>
        <v>25-02-2026</v>
      </c>
      <c r="E549" s="65" t="str">
        <f>IFERROR(__xludf.DUMMYFUNCTION("""COMPUTED_VALUE"""),"Juan Chusin")</f>
        <v>Juan Chusin</v>
      </c>
      <c r="F549" s="65" t="str">
        <f>IFERROR(__xludf.DUMMYFUNCTION("""COMPUTED_VALUE"""),"986100098")</f>
        <v>986100098</v>
      </c>
      <c r="G549" s="65" t="str">
        <f>IFERROR(__xludf.DUMMYFUNCTION("""COMPUTED_VALUE"""),"chusinjuan52@gmail.comlo")</f>
        <v>chusinjuan52@gmail.comlo</v>
      </c>
      <c r="H549" s="65"/>
      <c r="I549" s="65"/>
      <c r="J549" s="65" t="str">
        <f>IFERROR(__xludf.DUMMYFUNCTION("""COMPUTED_VALUE"""),"D001363561")</f>
        <v>D001363561</v>
      </c>
      <c r="K549" s="65" t="str">
        <f>IFERROR(__xludf.DUMMYFUNCTION("""COMPUTED_VALUE"""),"DEVOLUCION")</f>
        <v>DEVOLUCION</v>
      </c>
      <c r="L549" s="65" t="str">
        <f>IFERROR(__xludf.DUMMYFUNCTION("""COMPUTED_VALUE"""),"CON RECAUDO")</f>
        <v>CON RECAUDO</v>
      </c>
      <c r="M549" s="65" t="str">
        <f>IFERROR(__xludf.DUMMYFUNCTION("""COMPUTED_VALUE"""),"GUAYAS")</f>
        <v>GUAYAS</v>
      </c>
      <c r="N549" s="65" t="str">
        <f>IFERROR(__xludf.DUMMYFUNCTION("""COMPUTED_VALUE"""),"GUAYAQUIL")</f>
        <v>GUAYAQUIL</v>
      </c>
      <c r="O549" s="65" t="str">
        <f>IFERROR(__xludf.DUMMYFUNCTION("""COMPUTED_VALUE"""),"Lomas de la florida - avenida ener Parrales iglesia pentecostal")</f>
        <v>Lomas de la florida - avenida ener Parrales iglesia pentecostal</v>
      </c>
      <c r="P549" s="65"/>
      <c r="Q549" s="65" t="str">
        <f>IFERROR(__xludf.DUMMYFUNCTION("""COMPUTED_VALUE"""),"GINTRACOM")</f>
        <v>GINTRACOM</v>
      </c>
      <c r="R549" s="65">
        <f>IFERROR(__xludf.DUMMYFUNCTION("""COMPUTED_VALUE"""),20.0)</f>
        <v>20</v>
      </c>
      <c r="S549" s="65"/>
      <c r="T549" s="65">
        <f>IFERROR(__xludf.DUMMYFUNCTION("""COMPUTED_VALUE"""),5.76)</f>
        <v>5.76</v>
      </c>
      <c r="U549" s="65">
        <f>IFERROR(__xludf.DUMMYFUNCTION("""COMPUTED_VALUE"""),0.0)</f>
        <v>0</v>
      </c>
      <c r="V549" s="65">
        <f>IFERROR(__xludf.DUMMYFUNCTION("""COMPUTED_VALUE"""),0.0)</f>
        <v>0</v>
      </c>
      <c r="W549" s="65">
        <f>IFERROR(__xludf.DUMMYFUNCTION("""COMPUTED_VALUE"""),0.0)</f>
        <v>0</v>
      </c>
      <c r="X549" s="65">
        <f>IFERROR(__xludf.DUMMYFUNCTION("""COMPUTED_VALUE"""),2.35)</f>
        <v>2.35</v>
      </c>
      <c r="Y549" s="65">
        <f>IFERROR(__xludf.DUMMYFUNCTION("""COMPUTED_VALUE"""),2.35)</f>
        <v>2.35</v>
      </c>
      <c r="Z549" s="65">
        <f>IFERROR(__xludf.DUMMYFUNCTION("""COMPUTED_VALUE"""),116679.0)</f>
        <v>116679</v>
      </c>
      <c r="AA549" s="65" t="str">
        <f>IFERROR(__xludf.DUMMYFUNCTION("""COMPUTED_VALUE"""),"AMC-2738")</f>
        <v>AMC-2738</v>
      </c>
      <c r="AB549" s="65"/>
      <c r="AC549" s="65" t="str">
        <f>IFERROR(__xludf.DUMMYFUNCTION("""COMPUTED_VALUE"""),"ESPONJA ANTILLUVIA DE PARABRISAS")</f>
        <v>ESPONJA ANTILLUVIA DE PARABRISAS</v>
      </c>
      <c r="AD549" s="65"/>
      <c r="AE549" s="65">
        <f>IFERROR(__xludf.DUMMYFUNCTION("""COMPUTED_VALUE"""),1.0)</f>
        <v>1</v>
      </c>
      <c r="AF549" s="65" t="str">
        <f>IFERROR(__xludf.DUMMYFUNCTION("""COMPUTED_VALUE"""),"ZONA PELIGROSA, SE SOLICITA PUNTO DE ENCUENTRO CON CLIENTE Y NO ACEPTA")</f>
        <v>ZONA PELIGROSA, SE SOLICITA PUNTO DE ENCUENTRO CON CLIENTE Y NO ACEPTA</v>
      </c>
      <c r="AG549" s="65" t="str">
        <f>IFERROR(__xludf.DUMMYFUNCTION("""COMPUTED_VALUE"""),"SI")</f>
        <v>SI</v>
      </c>
      <c r="AH549" s="65" t="str">
        <f>IFERROR(__xludf.DUMMYFUNCTION("""COMPUTED_VALUE"""),"10:07")</f>
        <v>10:07</v>
      </c>
      <c r="AI549" s="65" t="str">
        <f>IFERROR(__xludf.DUMMYFUNCTION("""COMPUTED_VALUE"""),"02-03-2026")</f>
        <v>02-03-2026</v>
      </c>
      <c r="AJ549" s="65" t="str">
        <f>IFERROR(__xludf.DUMMYFUNCTION("""COMPUTED_VALUE"""),"Cliente solicita la entrega inmediata.")</f>
        <v>Cliente solicita la entrega inmediata.</v>
      </c>
      <c r="AK549" s="65" t="str">
        <f>IFERROR(__xludf.DUMMYFUNCTION("""COMPUTED_VALUE"""),"11:39")</f>
        <v>11:39</v>
      </c>
      <c r="AL549" s="65" t="str">
        <f>IFERROR(__xludf.DUMMYFUNCTION("""COMPUTED_VALUE"""),"05-03-2026")</f>
        <v>05-03-2026</v>
      </c>
      <c r="AM549" s="65"/>
      <c r="AN549" s="65" t="str">
        <f>IFERROR(__xludf.DUMMYFUNCTION("""COMPUTED_VALUE"""),"16:21")</f>
        <v>16:21</v>
      </c>
      <c r="AO549" s="65" t="str">
        <f>IFERROR(__xludf.DUMMYFUNCTION("""COMPUTED_VALUE"""),"18-03-2026")</f>
        <v>18-03-2026</v>
      </c>
      <c r="AP549" s="65" t="str">
        <f>IFERROR(__xludf.DUMMYFUNCTION("""COMPUTED_VALUE"""),"DEVOLUCIÓN ENTREGADA A ORIGEN")</f>
        <v>DEVOLUCIÓN ENTREGADA A ORIGEN</v>
      </c>
      <c r="AQ549" s="65" t="str">
        <f>IFERROR(__xludf.DUMMYFUNCTION("""COMPUTED_VALUE"""),"DEVOLUCIÓN ENTREGADA A ORIGEN")</f>
        <v>DEVOLUCIÓN ENTREGADA A ORIGEN</v>
      </c>
      <c r="AR549" s="65"/>
      <c r="AS549" s="65"/>
      <c r="AT549" s="65" t="str">
        <f>IFERROR(__xludf.DUMMYFUNCTION("""COMPUTED_VALUE"""),"SHOPIFY")</f>
        <v>SHOPIFY</v>
      </c>
      <c r="AU549" s="65" t="str">
        <f>IFERROR(__xludf.DUMMYFUNCTION("""COMPUTED_VALUE"""),"IMPORTEX EC")</f>
        <v>IMPORTEX EC</v>
      </c>
      <c r="AV549" s="65" t="str">
        <f>IFERROR(__xludf.DUMMYFUNCTION("""COMPUTED_VALUE"""),"6530768961580")</f>
        <v>6530768961580</v>
      </c>
      <c r="AW549" s="65">
        <f>IFERROR(__xludf.DUMMYFUNCTION("""COMPUTED_VALUE"""),6320.0)</f>
        <v>6320</v>
      </c>
      <c r="AX549" s="65"/>
      <c r="AY549" s="65" t="str">
        <f>IFERROR(__xludf.DUMMYFUNCTION("""COMPUTED_VALUE"""),"26/02/2026")</f>
        <v>26/02/2026</v>
      </c>
      <c r="AZ549" s="65"/>
      <c r="BA549" s="65"/>
    </row>
    <row r="550">
      <c r="A550" s="65" t="str">
        <f>IFERROR(__xludf.DUMMYFUNCTION("""COMPUTED_VALUE"""),"27-03-2026")</f>
        <v>27-03-2026</v>
      </c>
      <c r="B550" s="65">
        <f>IFERROR(__xludf.DUMMYFUNCTION("""COMPUTED_VALUE"""),4623513.0)</f>
        <v>4623513</v>
      </c>
      <c r="C550" s="65" t="str">
        <f>IFERROR(__xludf.DUMMYFUNCTION("""COMPUTED_VALUE"""),"16:28")</f>
        <v>16:28</v>
      </c>
      <c r="D550" s="65" t="str">
        <f>IFERROR(__xludf.DUMMYFUNCTION("""COMPUTED_VALUE"""),"25-02-2026")</f>
        <v>25-02-2026</v>
      </c>
      <c r="E550" s="65" t="str">
        <f>IFERROR(__xludf.DUMMYFUNCTION("""COMPUTED_VALUE"""),"Pablo segundo Cavezas")</f>
        <v>Pablo segundo Cavezas</v>
      </c>
      <c r="F550" s="65" t="str">
        <f>IFERROR(__xludf.DUMMYFUNCTION("""COMPUTED_VALUE"""),"985200121")</f>
        <v>985200121</v>
      </c>
      <c r="G550" s="65" t="str">
        <f>IFERROR(__xludf.DUMMYFUNCTION("""COMPUTED_VALUE"""),"cavezaspablosegundo@gmail.com")</f>
        <v>cavezaspablosegundo@gmail.com</v>
      </c>
      <c r="H550" s="65"/>
      <c r="I550" s="65"/>
      <c r="J550" s="65" t="str">
        <f>IFERROR(__xludf.DUMMYFUNCTION("""COMPUTED_VALUE"""),"D001364858")</f>
        <v>D001364858</v>
      </c>
      <c r="K550" s="65" t="str">
        <f>IFERROR(__xludf.DUMMYFUNCTION("""COMPUTED_VALUE"""),"ENTREGADO")</f>
        <v>ENTREGADO</v>
      </c>
      <c r="L550" s="65" t="str">
        <f>IFERROR(__xludf.DUMMYFUNCTION("""COMPUTED_VALUE"""),"CON RECAUDO")</f>
        <v>CON RECAUDO</v>
      </c>
      <c r="M550" s="65" t="str">
        <f>IFERROR(__xludf.DUMMYFUNCTION("""COMPUTED_VALUE"""),"TUNGURAHUA")</f>
        <v>TUNGURAHUA</v>
      </c>
      <c r="N550" s="65" t="str">
        <f>IFERROR(__xludf.DUMMYFUNCTION("""COMPUTED_VALUE"""),"PELILEO")</f>
        <v>PELILEO</v>
      </c>
      <c r="O550" s="65" t="str">
        <f>IFERROR(__xludf.DUMMYFUNCTION("""COMPUTED_VALUE"""),"Via huambalo Y  Calle abdon calderon barrio la paz -")</f>
        <v>Via huambalo Y  Calle abdon calderon barrio la paz -</v>
      </c>
      <c r="P550" s="65"/>
      <c r="Q550" s="65" t="str">
        <f>IFERROR(__xludf.DUMMYFUNCTION("""COMPUTED_VALUE"""),"GINTRACOM")</f>
        <v>GINTRACOM</v>
      </c>
      <c r="R550" s="65">
        <f>IFERROR(__xludf.DUMMYFUNCTION("""COMPUTED_VALUE"""),22.0)</f>
        <v>22</v>
      </c>
      <c r="S550" s="65">
        <f>IFERROR(__xludf.DUMMYFUNCTION("""COMPUTED_VALUE"""),8.09)</f>
        <v>8.09</v>
      </c>
      <c r="T550" s="65">
        <f>IFERROR(__xludf.DUMMYFUNCTION("""COMPUTED_VALUE"""),6.41)</f>
        <v>6.41</v>
      </c>
      <c r="U550" s="65">
        <f>IFERROR(__xludf.DUMMYFUNCTION("""COMPUTED_VALUE"""),0.0)</f>
        <v>0</v>
      </c>
      <c r="V550" s="65">
        <f>IFERROR(__xludf.DUMMYFUNCTION("""COMPUTED_VALUE"""),0.0)</f>
        <v>0</v>
      </c>
      <c r="W550" s="65">
        <f>IFERROR(__xludf.DUMMYFUNCTION("""COMPUTED_VALUE"""),0.0)</f>
        <v>0</v>
      </c>
      <c r="X550" s="65">
        <f>IFERROR(__xludf.DUMMYFUNCTION("""COMPUTED_VALUE"""),3.75)</f>
        <v>3.75</v>
      </c>
      <c r="Y550" s="65">
        <f>IFERROR(__xludf.DUMMYFUNCTION("""COMPUTED_VALUE"""),7.5)</f>
        <v>7.5</v>
      </c>
      <c r="Z550" s="65">
        <f>IFERROR(__xludf.DUMMYFUNCTION("""COMPUTED_VALUE"""),113116.0)</f>
        <v>113116</v>
      </c>
      <c r="AA550" s="65" t="str">
        <f>IFERROR(__xludf.DUMMYFUNCTION("""COMPUTED_VALUE"""),"IM-TAZAKI")</f>
        <v>IM-TAZAKI</v>
      </c>
      <c r="AB550" s="65"/>
      <c r="AC550" s="65" t="str">
        <f>IFERROR(__xludf.DUMMYFUNCTION("""COMPUTED_VALUE"""),"Cuchillo tazaki")</f>
        <v>Cuchillo tazaki</v>
      </c>
      <c r="AD550" s="65"/>
      <c r="AE550" s="65">
        <f>IFERROR(__xludf.DUMMYFUNCTION("""COMPUTED_VALUE"""),2.0)</f>
        <v>2</v>
      </c>
      <c r="AF550" s="65"/>
      <c r="AG550" s="65"/>
      <c r="AH550" s="65"/>
      <c r="AI550" s="65"/>
      <c r="AJ550" s="65"/>
      <c r="AK550" s="65"/>
      <c r="AL550" s="65"/>
      <c r="AM550" s="65"/>
      <c r="AN550" s="65" t="str">
        <f>IFERROR(__xludf.DUMMYFUNCTION("""COMPUTED_VALUE"""),"10:53")</f>
        <v>10:53</v>
      </c>
      <c r="AO550" s="65" t="str">
        <f>IFERROR(__xludf.DUMMYFUNCTION("""COMPUTED_VALUE"""),"05-03-2026")</f>
        <v>05-03-2026</v>
      </c>
      <c r="AP550" s="65" t="str">
        <f>IFERROR(__xludf.DUMMYFUNCTION("""COMPUTED_VALUE"""),"ENTREGADA GINTRACOM")</f>
        <v>ENTREGADA GINTRACOM</v>
      </c>
      <c r="AQ550" s="65" t="str">
        <f>IFERROR(__xludf.DUMMYFUNCTION("""COMPUTED_VALUE"""),"ENTREGADA GINTRACOM")</f>
        <v>ENTREGADA GINTRACOM</v>
      </c>
      <c r="AR550" s="65"/>
      <c r="AS550" s="65"/>
      <c r="AT550" s="65" t="str">
        <f>IFERROR(__xludf.DUMMYFUNCTION("""COMPUTED_VALUE"""),"SHOPIFY")</f>
        <v>SHOPIFY</v>
      </c>
      <c r="AU550" s="65" t="str">
        <f>IFERROR(__xludf.DUMMYFUNCTION("""COMPUTED_VALUE"""),"IMPORTEX EC")</f>
        <v>IMPORTEX EC</v>
      </c>
      <c r="AV550" s="65" t="str">
        <f>IFERROR(__xludf.DUMMYFUNCTION("""COMPUTED_VALUE"""),"6530671018028")</f>
        <v>6530671018028</v>
      </c>
      <c r="AW550" s="65">
        <f>IFERROR(__xludf.DUMMYFUNCTION("""COMPUTED_VALUE"""),6319.0)</f>
        <v>6319</v>
      </c>
      <c r="AX550" s="65"/>
      <c r="AY550" s="65" t="str">
        <f>IFERROR(__xludf.DUMMYFUNCTION("""COMPUTED_VALUE"""),"27/02/2026")</f>
        <v>27/02/2026</v>
      </c>
      <c r="AZ550" s="65"/>
      <c r="BA550" s="65"/>
    </row>
    <row r="551">
      <c r="A551" s="65" t="str">
        <f>IFERROR(__xludf.DUMMYFUNCTION("""COMPUTED_VALUE"""),"27-03-2026")</f>
        <v>27-03-2026</v>
      </c>
      <c r="B551" s="65">
        <f>IFERROR(__xludf.DUMMYFUNCTION("""COMPUTED_VALUE"""),4622773.0)</f>
        <v>4622773</v>
      </c>
      <c r="C551" s="65" t="str">
        <f>IFERROR(__xludf.DUMMYFUNCTION("""COMPUTED_VALUE"""),"14:57")</f>
        <v>14:57</v>
      </c>
      <c r="D551" s="65" t="str">
        <f>IFERROR(__xludf.DUMMYFUNCTION("""COMPUTED_VALUE"""),"25-02-2026")</f>
        <v>25-02-2026</v>
      </c>
      <c r="E551" s="65" t="str">
        <f>IFERROR(__xludf.DUMMYFUNCTION("""COMPUTED_VALUE"""),"Yesenia Medina")</f>
        <v>Yesenia Medina</v>
      </c>
      <c r="F551" s="65" t="str">
        <f>IFERROR(__xludf.DUMMYFUNCTION("""COMPUTED_VALUE"""),"997212629")</f>
        <v>997212629</v>
      </c>
      <c r="G551" s="65" t="str">
        <f>IFERROR(__xludf.DUMMYFUNCTION("""COMPUTED_VALUE"""),"ym796512@gmail.com")</f>
        <v>ym796512@gmail.com</v>
      </c>
      <c r="H551" s="65"/>
      <c r="I551" s="65"/>
      <c r="J551" s="65"/>
      <c r="K551" s="65" t="str">
        <f>IFERROR(__xludf.DUMMYFUNCTION("""COMPUTED_VALUE"""),"CANCELADO")</f>
        <v>CANCELADO</v>
      </c>
      <c r="L551" s="65" t="str">
        <f>IFERROR(__xludf.DUMMYFUNCTION("""COMPUTED_VALUE"""),"CON RECAUDO")</f>
        <v>CON RECAUDO</v>
      </c>
      <c r="M551" s="65" t="str">
        <f>IFERROR(__xludf.DUMMYFUNCTION("""COMPUTED_VALUE"""),"ZAMORA CHINCHIPE")</f>
        <v>ZAMORA CHINCHIPE</v>
      </c>
      <c r="N551" s="65" t="str">
        <f>IFERROR(__xludf.DUMMYFUNCTION("""COMPUTED_VALUE"""),"ZAMORA")</f>
        <v>ZAMORA</v>
      </c>
      <c r="O551" s="65" t="str">
        <f>IFERROR(__xludf.DUMMYFUNCTION("""COMPUTED_VALUE"""),"Nambija bajo Zamora -")</f>
        <v>Nambija bajo Zamora -</v>
      </c>
      <c r="P551" s="65"/>
      <c r="Q551" s="65" t="str">
        <f>IFERROR(__xludf.DUMMYFUNCTION("""COMPUTED_VALUE"""),"GINTRACOM")</f>
        <v>GINTRACOM</v>
      </c>
      <c r="R551" s="65">
        <f>IFERROR(__xludf.DUMMYFUNCTION("""COMPUTED_VALUE"""),20.0)</f>
        <v>20</v>
      </c>
      <c r="S551" s="65"/>
      <c r="T551" s="65">
        <f>IFERROR(__xludf.DUMMYFUNCTION("""COMPUTED_VALUE"""),5.76)</f>
        <v>5.76</v>
      </c>
      <c r="U551" s="65">
        <f>IFERROR(__xludf.DUMMYFUNCTION("""COMPUTED_VALUE"""),0.0)</f>
        <v>0</v>
      </c>
      <c r="V551" s="65">
        <f>IFERROR(__xludf.DUMMYFUNCTION("""COMPUTED_VALUE"""),0.0)</f>
        <v>0</v>
      </c>
      <c r="W551" s="65">
        <f>IFERROR(__xludf.DUMMYFUNCTION("""COMPUTED_VALUE"""),0.0)</f>
        <v>0</v>
      </c>
      <c r="X551" s="65">
        <f>IFERROR(__xludf.DUMMYFUNCTION("""COMPUTED_VALUE"""),2.35)</f>
        <v>2.35</v>
      </c>
      <c r="Y551" s="65">
        <f>IFERROR(__xludf.DUMMYFUNCTION("""COMPUTED_VALUE"""),2.35)</f>
        <v>2.35</v>
      </c>
      <c r="Z551" s="65">
        <f>IFERROR(__xludf.DUMMYFUNCTION("""COMPUTED_VALUE"""),116679.0)</f>
        <v>116679</v>
      </c>
      <c r="AA551" s="65" t="str">
        <f>IFERROR(__xludf.DUMMYFUNCTION("""COMPUTED_VALUE"""),"AMC-2738")</f>
        <v>AMC-2738</v>
      </c>
      <c r="AB551" s="65"/>
      <c r="AC551" s="65" t="str">
        <f>IFERROR(__xludf.DUMMYFUNCTION("""COMPUTED_VALUE"""),"ESPONJA ANTILLUVIA DE PARABRISAS")</f>
        <v>ESPONJA ANTILLUVIA DE PARABRISAS</v>
      </c>
      <c r="AD551" s="65"/>
      <c r="AE551" s="65">
        <f>IFERROR(__xludf.DUMMYFUNCTION("""COMPUTED_VALUE"""),1.0)</f>
        <v>1</v>
      </c>
      <c r="AF551" s="65"/>
      <c r="AG551" s="65"/>
      <c r="AH551" s="65"/>
      <c r="AI551" s="65"/>
      <c r="AJ551" s="65"/>
      <c r="AK551" s="65"/>
      <c r="AL551" s="65"/>
      <c r="AM551" s="65"/>
      <c r="AN551" s="65"/>
      <c r="AO551" s="65"/>
      <c r="AP551" s="65"/>
      <c r="AQ551" s="65"/>
      <c r="AR551" s="65"/>
      <c r="AS551" s="65"/>
      <c r="AT551" s="65" t="str">
        <f>IFERROR(__xludf.DUMMYFUNCTION("""COMPUTED_VALUE"""),"SHOPIFY")</f>
        <v>SHOPIFY</v>
      </c>
      <c r="AU551" s="65" t="str">
        <f>IFERROR(__xludf.DUMMYFUNCTION("""COMPUTED_VALUE"""),"IMPORTEX EC")</f>
        <v>IMPORTEX EC</v>
      </c>
      <c r="AV551" s="65" t="str">
        <f>IFERROR(__xludf.DUMMYFUNCTION("""COMPUTED_VALUE"""),"6530349727788")</f>
        <v>6530349727788</v>
      </c>
      <c r="AW551" s="65">
        <f>IFERROR(__xludf.DUMMYFUNCTION("""COMPUTED_VALUE"""),6318.0)</f>
        <v>6318</v>
      </c>
      <c r="AX551" s="65"/>
      <c r="AY551" s="65"/>
      <c r="AZ551" s="65"/>
      <c r="BA551" s="65"/>
    </row>
    <row r="552">
      <c r="A552" s="65" t="str">
        <f>IFERROR(__xludf.DUMMYFUNCTION("""COMPUTED_VALUE"""),"27-03-2026")</f>
        <v>27-03-2026</v>
      </c>
      <c r="B552" s="65">
        <f>IFERROR(__xludf.DUMMYFUNCTION("""COMPUTED_VALUE"""),4622763.0)</f>
        <v>4622763</v>
      </c>
      <c r="C552" s="65" t="str">
        <f>IFERROR(__xludf.DUMMYFUNCTION("""COMPUTED_VALUE"""),"14:56")</f>
        <v>14:56</v>
      </c>
      <c r="D552" s="65" t="str">
        <f>IFERROR(__xludf.DUMMYFUNCTION("""COMPUTED_VALUE"""),"25-02-2026")</f>
        <v>25-02-2026</v>
      </c>
      <c r="E552" s="65" t="str">
        <f>IFERROR(__xludf.DUMMYFUNCTION("""COMPUTED_VALUE"""),"Carlos Alberto Ponce Jimènez")</f>
        <v>Carlos Alberto Ponce Jimènez</v>
      </c>
      <c r="F552" s="65" t="str">
        <f>IFERROR(__xludf.DUMMYFUNCTION("""COMPUTED_VALUE"""),"969085032")</f>
        <v>969085032</v>
      </c>
      <c r="G552" s="65" t="str">
        <f>IFERROR(__xludf.DUMMYFUNCTION("""COMPUTED_VALUE"""),"carpoj1948@gmail.com")</f>
        <v>carpoj1948@gmail.com</v>
      </c>
      <c r="H552" s="65"/>
      <c r="I552" s="65"/>
      <c r="J552" s="65"/>
      <c r="K552" s="65" t="str">
        <f>IFERROR(__xludf.DUMMYFUNCTION("""COMPUTED_VALUE"""),"PENDIENTE CONFIRMACION")</f>
        <v>PENDIENTE CONFIRMACION</v>
      </c>
      <c r="L552" s="65" t="str">
        <f>IFERROR(__xludf.DUMMYFUNCTION("""COMPUTED_VALUE"""),"CON RECAUDO")</f>
        <v>CON RECAUDO</v>
      </c>
      <c r="M552" s="65" t="str">
        <f>IFERROR(__xludf.DUMMYFUNCTION("""COMPUTED_VALUE"""),"CHIMBORAZO")</f>
        <v>CHIMBORAZO</v>
      </c>
      <c r="N552" s="65" t="str">
        <f>IFERROR(__xludf.DUMMYFUNCTION("""COMPUTED_VALUE"""),"RIOBAMBA")</f>
        <v>RIOBAMBA</v>
      </c>
      <c r="O552" s="65" t="str">
        <f>IFERROR(__xludf.DUMMYFUNCTION("""COMPUTED_VALUE"""),"Juan Momntalvo Nª 2450 y Orozco Barrio Loma de Quito -")</f>
        <v>Juan Momntalvo Nª 2450 y Orozco Barrio Loma de Quito -</v>
      </c>
      <c r="P552" s="65"/>
      <c r="Q552" s="65" t="str">
        <f>IFERROR(__xludf.DUMMYFUNCTION("""COMPUTED_VALUE"""),"GINTRACOM")</f>
        <v>GINTRACOM</v>
      </c>
      <c r="R552" s="65">
        <f>IFERROR(__xludf.DUMMYFUNCTION("""COMPUTED_VALUE"""),22.0)</f>
        <v>22</v>
      </c>
      <c r="S552" s="65"/>
      <c r="T552" s="65">
        <f>IFERROR(__xludf.DUMMYFUNCTION("""COMPUTED_VALUE"""),5.84)</f>
        <v>5.84</v>
      </c>
      <c r="U552" s="65">
        <f>IFERROR(__xludf.DUMMYFUNCTION("""COMPUTED_VALUE"""),0.0)</f>
        <v>0</v>
      </c>
      <c r="V552" s="65">
        <f>IFERROR(__xludf.DUMMYFUNCTION("""COMPUTED_VALUE"""),0.0)</f>
        <v>0</v>
      </c>
      <c r="W552" s="65">
        <f>IFERROR(__xludf.DUMMYFUNCTION("""COMPUTED_VALUE"""),0.0)</f>
        <v>0</v>
      </c>
      <c r="X552" s="65">
        <f>IFERROR(__xludf.DUMMYFUNCTION("""COMPUTED_VALUE"""),3.75)</f>
        <v>3.75</v>
      </c>
      <c r="Y552" s="65">
        <f>IFERROR(__xludf.DUMMYFUNCTION("""COMPUTED_VALUE"""),7.5)</f>
        <v>7.5</v>
      </c>
      <c r="Z552" s="65">
        <f>IFERROR(__xludf.DUMMYFUNCTION("""COMPUTED_VALUE"""),113116.0)</f>
        <v>113116</v>
      </c>
      <c r="AA552" s="65" t="str">
        <f>IFERROR(__xludf.DUMMYFUNCTION("""COMPUTED_VALUE"""),"IM-TAZAKI")</f>
        <v>IM-TAZAKI</v>
      </c>
      <c r="AB552" s="65"/>
      <c r="AC552" s="65" t="str">
        <f>IFERROR(__xludf.DUMMYFUNCTION("""COMPUTED_VALUE"""),"Cuchillo tazaki")</f>
        <v>Cuchillo tazaki</v>
      </c>
      <c r="AD552" s="65"/>
      <c r="AE552" s="65">
        <f>IFERROR(__xludf.DUMMYFUNCTION("""COMPUTED_VALUE"""),2.0)</f>
        <v>2</v>
      </c>
      <c r="AF552" s="65"/>
      <c r="AG552" s="65"/>
      <c r="AH552" s="65"/>
      <c r="AI552" s="65"/>
      <c r="AJ552" s="65"/>
      <c r="AK552" s="65"/>
      <c r="AL552" s="65"/>
      <c r="AM552" s="65"/>
      <c r="AN552" s="65"/>
      <c r="AO552" s="65"/>
      <c r="AP552" s="65"/>
      <c r="AQ552" s="65"/>
      <c r="AR552" s="65"/>
      <c r="AS552" s="65"/>
      <c r="AT552" s="65" t="str">
        <f>IFERROR(__xludf.DUMMYFUNCTION("""COMPUTED_VALUE"""),"SHOPIFY")</f>
        <v>SHOPIFY</v>
      </c>
      <c r="AU552" s="65" t="str">
        <f>IFERROR(__xludf.DUMMYFUNCTION("""COMPUTED_VALUE"""),"IMPORTEX EC")</f>
        <v>IMPORTEX EC</v>
      </c>
      <c r="AV552" s="65" t="str">
        <f>IFERROR(__xludf.DUMMYFUNCTION("""COMPUTED_VALUE"""),"6530345893932")</f>
        <v>6530345893932</v>
      </c>
      <c r="AW552" s="65">
        <f>IFERROR(__xludf.DUMMYFUNCTION("""COMPUTED_VALUE"""),6317.0)</f>
        <v>6317</v>
      </c>
      <c r="AX552" s="65"/>
      <c r="AY552" s="65"/>
      <c r="AZ552" s="65"/>
      <c r="BA552" s="65"/>
    </row>
    <row r="553">
      <c r="A553" s="65" t="str">
        <f>IFERROR(__xludf.DUMMYFUNCTION("""COMPUTED_VALUE"""),"27-03-2026")</f>
        <v>27-03-2026</v>
      </c>
      <c r="B553" s="65">
        <f>IFERROR(__xludf.DUMMYFUNCTION("""COMPUTED_VALUE"""),4622643.0)</f>
        <v>4622643</v>
      </c>
      <c r="C553" s="65" t="str">
        <f>IFERROR(__xludf.DUMMYFUNCTION("""COMPUTED_VALUE"""),"14:46")</f>
        <v>14:46</v>
      </c>
      <c r="D553" s="65" t="str">
        <f>IFERROR(__xludf.DUMMYFUNCTION("""COMPUTED_VALUE"""),"25-02-2026")</f>
        <v>25-02-2026</v>
      </c>
      <c r="E553" s="65" t="str">
        <f>IFERROR(__xludf.DUMMYFUNCTION("""COMPUTED_VALUE"""),"Bolivar Mena")</f>
        <v>Bolivar Mena</v>
      </c>
      <c r="F553" s="65" t="str">
        <f>IFERROR(__xludf.DUMMYFUNCTION("""COMPUTED_VALUE"""),"963947216")</f>
        <v>963947216</v>
      </c>
      <c r="G553" s="65" t="str">
        <f>IFERROR(__xludf.DUMMYFUNCTION("""COMPUTED_VALUE"""),"bolivarmena@icloud.com")</f>
        <v>bolivarmena@icloud.com</v>
      </c>
      <c r="H553" s="65"/>
      <c r="I553" s="65"/>
      <c r="J553" s="65" t="str">
        <f>IFERROR(__xludf.DUMMYFUNCTION("""COMPUTED_VALUE"""),"D001362823")</f>
        <v>D001362823</v>
      </c>
      <c r="K553" s="65" t="str">
        <f>IFERROR(__xludf.DUMMYFUNCTION("""COMPUTED_VALUE"""),"ENTREGADO")</f>
        <v>ENTREGADO</v>
      </c>
      <c r="L553" s="65" t="str">
        <f>IFERROR(__xludf.DUMMYFUNCTION("""COMPUTED_VALUE"""),"CON RECAUDO")</f>
        <v>CON RECAUDO</v>
      </c>
      <c r="M553" s="65" t="str">
        <f>IFERROR(__xludf.DUMMYFUNCTION("""COMPUTED_VALUE"""),"GUAYAS")</f>
        <v>GUAYAS</v>
      </c>
      <c r="N553" s="65" t="str">
        <f>IFERROR(__xludf.DUMMYFUNCTION("""COMPUTED_VALUE"""),"GUAYAQUIL")</f>
        <v>GUAYAQUIL</v>
      </c>
      <c r="O553" s="65" t="str">
        <f>IFERROR(__xludf.DUMMYFUNCTION("""COMPUTED_VALUE"""),"C.c.plazaquil local 64 Plaza. Dañin -")</f>
        <v>C.c.plazaquil local 64 Plaza. Dañin -</v>
      </c>
      <c r="P553" s="65"/>
      <c r="Q553" s="65" t="str">
        <f>IFERROR(__xludf.DUMMYFUNCTION("""COMPUTED_VALUE"""),"GINTRACOM")</f>
        <v>GINTRACOM</v>
      </c>
      <c r="R553" s="65">
        <f>IFERROR(__xludf.DUMMYFUNCTION("""COMPUTED_VALUE"""),22.0)</f>
        <v>22</v>
      </c>
      <c r="S553" s="65">
        <f>IFERROR(__xludf.DUMMYFUNCTION("""COMPUTED_VALUE"""),8.66)</f>
        <v>8.66</v>
      </c>
      <c r="T553" s="65">
        <f>IFERROR(__xludf.DUMMYFUNCTION("""COMPUTED_VALUE"""),5.84)</f>
        <v>5.84</v>
      </c>
      <c r="U553" s="65">
        <f>IFERROR(__xludf.DUMMYFUNCTION("""COMPUTED_VALUE"""),0.0)</f>
        <v>0</v>
      </c>
      <c r="V553" s="65">
        <f>IFERROR(__xludf.DUMMYFUNCTION("""COMPUTED_VALUE"""),0.0)</f>
        <v>0</v>
      </c>
      <c r="W553" s="65">
        <f>IFERROR(__xludf.DUMMYFUNCTION("""COMPUTED_VALUE"""),0.0)</f>
        <v>0</v>
      </c>
      <c r="X553" s="65">
        <f>IFERROR(__xludf.DUMMYFUNCTION("""COMPUTED_VALUE"""),3.75)</f>
        <v>3.75</v>
      </c>
      <c r="Y553" s="65">
        <f>IFERROR(__xludf.DUMMYFUNCTION("""COMPUTED_VALUE"""),7.5)</f>
        <v>7.5</v>
      </c>
      <c r="Z553" s="65">
        <f>IFERROR(__xludf.DUMMYFUNCTION("""COMPUTED_VALUE"""),113116.0)</f>
        <v>113116</v>
      </c>
      <c r="AA553" s="65" t="str">
        <f>IFERROR(__xludf.DUMMYFUNCTION("""COMPUTED_VALUE"""),"IM-TAZAKI")</f>
        <v>IM-TAZAKI</v>
      </c>
      <c r="AB553" s="65"/>
      <c r="AC553" s="65" t="str">
        <f>IFERROR(__xludf.DUMMYFUNCTION("""COMPUTED_VALUE"""),"Cuchillo tazaki")</f>
        <v>Cuchillo tazaki</v>
      </c>
      <c r="AD553" s="65"/>
      <c r="AE553" s="65">
        <f>IFERROR(__xludf.DUMMYFUNCTION("""COMPUTED_VALUE"""),2.0)</f>
        <v>2</v>
      </c>
      <c r="AF553" s="65"/>
      <c r="AG553" s="65"/>
      <c r="AH553" s="65"/>
      <c r="AI553" s="65"/>
      <c r="AJ553" s="65"/>
      <c r="AK553" s="65"/>
      <c r="AL553" s="65"/>
      <c r="AM553" s="65"/>
      <c r="AN553" s="65" t="str">
        <f>IFERROR(__xludf.DUMMYFUNCTION("""COMPUTED_VALUE"""),"16:42")</f>
        <v>16:42</v>
      </c>
      <c r="AO553" s="65" t="str">
        <f>IFERROR(__xludf.DUMMYFUNCTION("""COMPUTED_VALUE"""),"27-02-2026")</f>
        <v>27-02-2026</v>
      </c>
      <c r="AP553" s="65" t="str">
        <f>IFERROR(__xludf.DUMMYFUNCTION("""COMPUTED_VALUE"""),"ENTREGADA GINTRACOM")</f>
        <v>ENTREGADA GINTRACOM</v>
      </c>
      <c r="AQ553" s="65" t="str">
        <f>IFERROR(__xludf.DUMMYFUNCTION("""COMPUTED_VALUE"""),"ENTREGADA GINTRACOM")</f>
        <v>ENTREGADA GINTRACOM</v>
      </c>
      <c r="AR553" s="65"/>
      <c r="AS553" s="65"/>
      <c r="AT553" s="65" t="str">
        <f>IFERROR(__xludf.DUMMYFUNCTION("""COMPUTED_VALUE"""),"SHOPIFY")</f>
        <v>SHOPIFY</v>
      </c>
      <c r="AU553" s="65" t="str">
        <f>IFERROR(__xludf.DUMMYFUNCTION("""COMPUTED_VALUE"""),"IMPORTEX EC")</f>
        <v>IMPORTEX EC</v>
      </c>
      <c r="AV553" s="65" t="str">
        <f>IFERROR(__xludf.DUMMYFUNCTION("""COMPUTED_VALUE"""),"6530301689900")</f>
        <v>6530301689900</v>
      </c>
      <c r="AW553" s="65">
        <f>IFERROR(__xludf.DUMMYFUNCTION("""COMPUTED_VALUE"""),6316.0)</f>
        <v>6316</v>
      </c>
      <c r="AX553" s="65"/>
      <c r="AY553" s="65" t="str">
        <f>IFERROR(__xludf.DUMMYFUNCTION("""COMPUTED_VALUE"""),"26/02/2026")</f>
        <v>26/02/2026</v>
      </c>
      <c r="AZ553" s="65"/>
      <c r="BA553" s="65"/>
    </row>
    <row r="554">
      <c r="A554" s="65" t="str">
        <f>IFERROR(__xludf.DUMMYFUNCTION("""COMPUTED_VALUE"""),"27-03-2026")</f>
        <v>27-03-2026</v>
      </c>
      <c r="B554" s="65">
        <f>IFERROR(__xludf.DUMMYFUNCTION("""COMPUTED_VALUE"""),4622389.0)</f>
        <v>4622389</v>
      </c>
      <c r="C554" s="65" t="str">
        <f>IFERROR(__xludf.DUMMYFUNCTION("""COMPUTED_VALUE"""),"14:24")</f>
        <v>14:24</v>
      </c>
      <c r="D554" s="65" t="str">
        <f>IFERROR(__xludf.DUMMYFUNCTION("""COMPUTED_VALUE"""),"25-02-2026")</f>
        <v>25-02-2026</v>
      </c>
      <c r="E554" s="65" t="str">
        <f>IFERROR(__xludf.DUMMYFUNCTION("""COMPUTED_VALUE"""),"Gabriel Gallo Cifuentes")</f>
        <v>Gabriel Gallo Cifuentes</v>
      </c>
      <c r="F554" s="65" t="str">
        <f>IFERROR(__xludf.DUMMYFUNCTION("""COMPUTED_VALUE"""),"995837309")</f>
        <v>995837309</v>
      </c>
      <c r="G554" s="65" t="str">
        <f>IFERROR(__xludf.DUMMYFUNCTION("""COMPUTED_VALUE"""),"gabrielgallocifuentes@yahoo.com")</f>
        <v>gabrielgallocifuentes@yahoo.com</v>
      </c>
      <c r="H554" s="65"/>
      <c r="I554" s="65"/>
      <c r="J554" s="65" t="str">
        <f>IFERROR(__xludf.DUMMYFUNCTION("""COMPUTED_VALUE"""),"D001362824")</f>
        <v>D001362824</v>
      </c>
      <c r="K554" s="65" t="str">
        <f>IFERROR(__xludf.DUMMYFUNCTION("""COMPUTED_VALUE"""),"ENTREGADO")</f>
        <v>ENTREGADO</v>
      </c>
      <c r="L554" s="65" t="str">
        <f>IFERROR(__xludf.DUMMYFUNCTION("""COMPUTED_VALUE"""),"CON RECAUDO")</f>
        <v>CON RECAUDO</v>
      </c>
      <c r="M554" s="65" t="str">
        <f>IFERROR(__xludf.DUMMYFUNCTION("""COMPUTED_VALUE"""),"IMBABURA")</f>
        <v>IMBABURA</v>
      </c>
      <c r="N554" s="65" t="str">
        <f>IFERROR(__xludf.DUMMYFUNCTION("""COMPUTED_VALUE"""),"IBARRA")</f>
        <v>IBARRA</v>
      </c>
      <c r="O554" s="65" t="str">
        <f>IFERROR(__xludf.DUMMYFUNCTION("""COMPUTED_VALUE"""),"Río Patate 4-35 y Río Chimbo, Barrio Los Ceibos - Ibarra, A 2 cuadras del GOE del Polideportivo Los Ceibos")</f>
        <v>Río Patate 4-35 y Río Chimbo, Barrio Los Ceibos - Ibarra, A 2 cuadras del GOE del Polideportivo Los Ceibos</v>
      </c>
      <c r="P554" s="65"/>
      <c r="Q554" s="65" t="str">
        <f>IFERROR(__xludf.DUMMYFUNCTION("""COMPUTED_VALUE"""),"GINTRACOM")</f>
        <v>GINTRACOM</v>
      </c>
      <c r="R554" s="65">
        <f>IFERROR(__xludf.DUMMYFUNCTION("""COMPUTED_VALUE"""),20.9)</f>
        <v>20.9</v>
      </c>
      <c r="S554" s="65">
        <f>IFERROR(__xludf.DUMMYFUNCTION("""COMPUTED_VALUE"""),7.61)</f>
        <v>7.61</v>
      </c>
      <c r="T554" s="65">
        <f>IFERROR(__xludf.DUMMYFUNCTION("""COMPUTED_VALUE"""),5.79)</f>
        <v>5.79</v>
      </c>
      <c r="U554" s="65">
        <f>IFERROR(__xludf.DUMMYFUNCTION("""COMPUTED_VALUE"""),0.0)</f>
        <v>0</v>
      </c>
      <c r="V554" s="65">
        <f>IFERROR(__xludf.DUMMYFUNCTION("""COMPUTED_VALUE"""),0.0)</f>
        <v>0</v>
      </c>
      <c r="W554" s="65">
        <f>IFERROR(__xludf.DUMMYFUNCTION("""COMPUTED_VALUE"""),0.0)</f>
        <v>0</v>
      </c>
      <c r="X554" s="65">
        <f>IFERROR(__xludf.DUMMYFUNCTION("""COMPUTED_VALUE"""),3.75)</f>
        <v>3.75</v>
      </c>
      <c r="Y554" s="65">
        <f>IFERROR(__xludf.DUMMYFUNCTION("""COMPUTED_VALUE"""),7.5)</f>
        <v>7.5</v>
      </c>
      <c r="Z554" s="65">
        <f>IFERROR(__xludf.DUMMYFUNCTION("""COMPUTED_VALUE"""),113116.0)</f>
        <v>113116</v>
      </c>
      <c r="AA554" s="65" t="str">
        <f>IFERROR(__xludf.DUMMYFUNCTION("""COMPUTED_VALUE"""),"IM-TAZAKI")</f>
        <v>IM-TAZAKI</v>
      </c>
      <c r="AB554" s="65"/>
      <c r="AC554" s="65" t="str">
        <f>IFERROR(__xludf.DUMMYFUNCTION("""COMPUTED_VALUE"""),"Cuchillo tazaki")</f>
        <v>Cuchillo tazaki</v>
      </c>
      <c r="AD554" s="65"/>
      <c r="AE554" s="65">
        <f>IFERROR(__xludf.DUMMYFUNCTION("""COMPUTED_VALUE"""),2.0)</f>
        <v>2</v>
      </c>
      <c r="AF554" s="65"/>
      <c r="AG554" s="65"/>
      <c r="AH554" s="65"/>
      <c r="AI554" s="65"/>
      <c r="AJ554" s="65"/>
      <c r="AK554" s="65"/>
      <c r="AL554" s="65"/>
      <c r="AM554" s="65"/>
      <c r="AN554" s="65" t="str">
        <f>IFERROR(__xludf.DUMMYFUNCTION("""COMPUTED_VALUE"""),"12:57")</f>
        <v>12:57</v>
      </c>
      <c r="AO554" s="65" t="str">
        <f>IFERROR(__xludf.DUMMYFUNCTION("""COMPUTED_VALUE"""),"27-02-2026")</f>
        <v>27-02-2026</v>
      </c>
      <c r="AP554" s="65" t="str">
        <f>IFERROR(__xludf.DUMMYFUNCTION("""COMPUTED_VALUE"""),"EN REPARTO")</f>
        <v>EN REPARTO</v>
      </c>
      <c r="AQ554" s="65" t="str">
        <f>IFERROR(__xludf.DUMMYFUNCTION("""COMPUTED_VALUE"""),"EN REPARTO")</f>
        <v>EN REPARTO</v>
      </c>
      <c r="AR554" s="65"/>
      <c r="AS554" s="65"/>
      <c r="AT554" s="65" t="str">
        <f>IFERROR(__xludf.DUMMYFUNCTION("""COMPUTED_VALUE"""),"SHOPIFY")</f>
        <v>SHOPIFY</v>
      </c>
      <c r="AU554" s="65" t="str">
        <f>IFERROR(__xludf.DUMMYFUNCTION("""COMPUTED_VALUE"""),"IMPORTEX EC")</f>
        <v>IMPORTEX EC</v>
      </c>
      <c r="AV554" s="65" t="str">
        <f>IFERROR(__xludf.DUMMYFUNCTION("""COMPUTED_VALUE"""),"6530196471852")</f>
        <v>6530196471852</v>
      </c>
      <c r="AW554" s="65">
        <f>IFERROR(__xludf.DUMMYFUNCTION("""COMPUTED_VALUE"""),6315.0)</f>
        <v>6315</v>
      </c>
      <c r="AX554" s="65"/>
      <c r="AY554" s="65" t="str">
        <f>IFERROR(__xludf.DUMMYFUNCTION("""COMPUTED_VALUE"""),"26/02/2026")</f>
        <v>26/02/2026</v>
      </c>
      <c r="AZ554" s="65"/>
      <c r="BA554" s="65"/>
    </row>
    <row r="555">
      <c r="A555" s="65" t="str">
        <f>IFERROR(__xludf.DUMMYFUNCTION("""COMPUTED_VALUE"""),"27-03-2026")</f>
        <v>27-03-2026</v>
      </c>
      <c r="B555" s="65">
        <f>IFERROR(__xludf.DUMMYFUNCTION("""COMPUTED_VALUE"""),4621055.0)</f>
        <v>4621055</v>
      </c>
      <c r="C555" s="65" t="str">
        <f>IFERROR(__xludf.DUMMYFUNCTION("""COMPUTED_VALUE"""),"12:18")</f>
        <v>12:18</v>
      </c>
      <c r="D555" s="65" t="str">
        <f>IFERROR(__xludf.DUMMYFUNCTION("""COMPUTED_VALUE"""),"25-02-2026")</f>
        <v>25-02-2026</v>
      </c>
      <c r="E555" s="65" t="str">
        <f>IFERROR(__xludf.DUMMYFUNCTION("""COMPUTED_VALUE"""),"Adrián Alarcón")</f>
        <v>Adrián Alarcón</v>
      </c>
      <c r="F555" s="65" t="str">
        <f>IFERROR(__xludf.DUMMYFUNCTION("""COMPUTED_VALUE"""),"981448995")</f>
        <v>981448995</v>
      </c>
      <c r="G555" s="65" t="str">
        <f>IFERROR(__xludf.DUMMYFUNCTION("""COMPUTED_VALUE"""),"adasdred55555@gmail.com")</f>
        <v>adasdred55555@gmail.com</v>
      </c>
      <c r="H555" s="65"/>
      <c r="I555" s="65"/>
      <c r="J555" s="65" t="str">
        <f>IFERROR(__xludf.DUMMYFUNCTION("""COMPUTED_VALUE"""),"D001363571")</f>
        <v>D001363571</v>
      </c>
      <c r="K555" s="65" t="str">
        <f>IFERROR(__xludf.DUMMYFUNCTION("""COMPUTED_VALUE"""),"ENTREGADO")</f>
        <v>ENTREGADO</v>
      </c>
      <c r="L555" s="65" t="str">
        <f>IFERROR(__xludf.DUMMYFUNCTION("""COMPUTED_VALUE"""),"CON RECAUDO")</f>
        <v>CON RECAUDO</v>
      </c>
      <c r="M555" s="65" t="str">
        <f>IFERROR(__xludf.DUMMYFUNCTION("""COMPUTED_VALUE"""),"GUAYAS")</f>
        <v>GUAYAS</v>
      </c>
      <c r="N555" s="65" t="str">
        <f>IFERROR(__xludf.DUMMYFUNCTION("""COMPUTED_VALUE"""),"GUAYAQUIL")</f>
        <v>GUAYAQUIL</v>
      </c>
      <c r="O555" s="65" t="str">
        <f>IFERROR(__xludf.DUMMYFUNCTION("""COMPUTED_VALUE"""),"Garcia Moreno y  esquina Maracaibo - Local esquinero Restaurante Pajaritus")</f>
        <v>Garcia Moreno y  esquina Maracaibo - Local esquinero Restaurante Pajaritus</v>
      </c>
      <c r="P555" s="65"/>
      <c r="Q555" s="65" t="str">
        <f>IFERROR(__xludf.DUMMYFUNCTION("""COMPUTED_VALUE"""),"GINTRACOM")</f>
        <v>GINTRACOM</v>
      </c>
      <c r="R555" s="65">
        <f>IFERROR(__xludf.DUMMYFUNCTION("""COMPUTED_VALUE"""),25.0)</f>
        <v>25</v>
      </c>
      <c r="S555" s="65">
        <f>IFERROR(__xludf.DUMMYFUNCTION("""COMPUTED_VALUE"""),14.34)</f>
        <v>14.34</v>
      </c>
      <c r="T555" s="65">
        <f>IFERROR(__xludf.DUMMYFUNCTION("""COMPUTED_VALUE"""),5.96)</f>
        <v>5.96</v>
      </c>
      <c r="U555" s="65">
        <f>IFERROR(__xludf.DUMMYFUNCTION("""COMPUTED_VALUE"""),0.0)</f>
        <v>0</v>
      </c>
      <c r="V555" s="65">
        <f>IFERROR(__xludf.DUMMYFUNCTION("""COMPUTED_VALUE"""),0.0)</f>
        <v>0</v>
      </c>
      <c r="W555" s="65">
        <f>IFERROR(__xludf.DUMMYFUNCTION("""COMPUTED_VALUE"""),0.0)</f>
        <v>0</v>
      </c>
      <c r="X555" s="65">
        <f>IFERROR(__xludf.DUMMYFUNCTION("""COMPUTED_VALUE"""),2.35)</f>
        <v>2.35</v>
      </c>
      <c r="Y555" s="65">
        <f>IFERROR(__xludf.DUMMYFUNCTION("""COMPUTED_VALUE"""),4.7)</f>
        <v>4.7</v>
      </c>
      <c r="Z555" s="65">
        <f>IFERROR(__xludf.DUMMYFUNCTION("""COMPUTED_VALUE"""),116679.0)</f>
        <v>116679</v>
      </c>
      <c r="AA555" s="65" t="str">
        <f>IFERROR(__xludf.DUMMYFUNCTION("""COMPUTED_VALUE"""),"AMC-2738")</f>
        <v>AMC-2738</v>
      </c>
      <c r="AB555" s="65"/>
      <c r="AC555" s="65" t="str">
        <f>IFERROR(__xludf.DUMMYFUNCTION("""COMPUTED_VALUE"""),"ESPONJA ANTILLUVIA DE PARABRISAS")</f>
        <v>ESPONJA ANTILLUVIA DE PARABRISAS</v>
      </c>
      <c r="AD555" s="65"/>
      <c r="AE555" s="65">
        <f>IFERROR(__xludf.DUMMYFUNCTION("""COMPUTED_VALUE"""),2.0)</f>
        <v>2</v>
      </c>
      <c r="AF555" s="65"/>
      <c r="AG555" s="65"/>
      <c r="AH555" s="65"/>
      <c r="AI555" s="65"/>
      <c r="AJ555" s="65"/>
      <c r="AK555" s="65"/>
      <c r="AL555" s="65"/>
      <c r="AM555" s="65"/>
      <c r="AN555" s="65" t="str">
        <f>IFERROR(__xludf.DUMMYFUNCTION("""COMPUTED_VALUE"""),"13:17")</f>
        <v>13:17</v>
      </c>
      <c r="AO555" s="65" t="str">
        <f>IFERROR(__xludf.DUMMYFUNCTION("""COMPUTED_VALUE"""),"02-03-2026")</f>
        <v>02-03-2026</v>
      </c>
      <c r="AP555" s="65" t="str">
        <f>IFERROR(__xludf.DUMMYFUNCTION("""COMPUTED_VALUE"""),"ENTREGADA GINTRACOM")</f>
        <v>ENTREGADA GINTRACOM</v>
      </c>
      <c r="AQ555" s="65" t="str">
        <f>IFERROR(__xludf.DUMMYFUNCTION("""COMPUTED_VALUE"""),"ENTREGADA GINTRACOM")</f>
        <v>ENTREGADA GINTRACOM</v>
      </c>
      <c r="AR555" s="65"/>
      <c r="AS555" s="65"/>
      <c r="AT555" s="65" t="str">
        <f>IFERROR(__xludf.DUMMYFUNCTION("""COMPUTED_VALUE"""),"SHOPIFY")</f>
        <v>SHOPIFY</v>
      </c>
      <c r="AU555" s="65" t="str">
        <f>IFERROR(__xludf.DUMMYFUNCTION("""COMPUTED_VALUE"""),"IMPORTEX EC")</f>
        <v>IMPORTEX EC</v>
      </c>
      <c r="AV555" s="65" t="str">
        <f>IFERROR(__xludf.DUMMYFUNCTION("""COMPUTED_VALUE"""),"6529779400748")</f>
        <v>6529779400748</v>
      </c>
      <c r="AW555" s="65">
        <f>IFERROR(__xludf.DUMMYFUNCTION("""COMPUTED_VALUE"""),6314.0)</f>
        <v>6314</v>
      </c>
      <c r="AX555" s="65"/>
      <c r="AY555" s="65" t="str">
        <f>IFERROR(__xludf.DUMMYFUNCTION("""COMPUTED_VALUE"""),"26/02/2026")</f>
        <v>26/02/2026</v>
      </c>
      <c r="AZ555" s="65"/>
      <c r="BA555" s="65"/>
    </row>
    <row r="556">
      <c r="A556" s="65" t="str">
        <f>IFERROR(__xludf.DUMMYFUNCTION("""COMPUTED_VALUE"""),"27-03-2026")</f>
        <v>27-03-2026</v>
      </c>
      <c r="B556" s="65">
        <f>IFERROR(__xludf.DUMMYFUNCTION("""COMPUTED_VALUE"""),4620214.0)</f>
        <v>4620214</v>
      </c>
      <c r="C556" s="65" t="str">
        <f>IFERROR(__xludf.DUMMYFUNCTION("""COMPUTED_VALUE"""),"11:05")</f>
        <v>11:05</v>
      </c>
      <c r="D556" s="65" t="str">
        <f>IFERROR(__xludf.DUMMYFUNCTION("""COMPUTED_VALUE"""),"25-02-2026")</f>
        <v>25-02-2026</v>
      </c>
      <c r="E556" s="65" t="str">
        <f>IFERROR(__xludf.DUMMYFUNCTION("""COMPUTED_VALUE"""),"Manuel Ortiz")</f>
        <v>Manuel Ortiz</v>
      </c>
      <c r="F556" s="65" t="str">
        <f>IFERROR(__xludf.DUMMYFUNCTION("""COMPUTED_VALUE"""),"984137792")</f>
        <v>984137792</v>
      </c>
      <c r="G556" s="65" t="str">
        <f>IFERROR(__xludf.DUMMYFUNCTION("""COMPUTED_VALUE"""),"manuelortiz.25@hotmail.com")</f>
        <v>manuelortiz.25@hotmail.com</v>
      </c>
      <c r="H556" s="65"/>
      <c r="I556" s="65"/>
      <c r="J556" s="65" t="str">
        <f>IFERROR(__xludf.DUMMYFUNCTION("""COMPUTED_VALUE"""),"186593337")</f>
        <v>186593337</v>
      </c>
      <c r="K556" s="65" t="str">
        <f>IFERROR(__xludf.DUMMYFUNCTION("""COMPUTED_VALUE"""),"DEVOLUCION")</f>
        <v>DEVOLUCION</v>
      </c>
      <c r="L556" s="65" t="str">
        <f>IFERROR(__xludf.DUMMYFUNCTION("""COMPUTED_VALUE"""),"CON RECAUDO")</f>
        <v>CON RECAUDO</v>
      </c>
      <c r="M556" s="65" t="str">
        <f>IFERROR(__xludf.DUMMYFUNCTION("""COMPUTED_VALUE"""),"CAÑAR")</f>
        <v>CAÑAR</v>
      </c>
      <c r="N556" s="65" t="str">
        <f>IFERROR(__xludf.DUMMYFUNCTION("""COMPUTED_VALUE"""),"SUSCAL")</f>
        <v>SUSCAL</v>
      </c>
      <c r="O556" s="65" t="str">
        <f>IFERROR(__xludf.DUMMYFUNCTION("""COMPUTED_VALUE"""),"Diego delgado Via principal - Frente a la farmacia suiza")</f>
        <v>Diego delgado Via principal - Frente a la farmacia suiza</v>
      </c>
      <c r="P556" s="65"/>
      <c r="Q556" s="65" t="str">
        <f>IFERROR(__xludf.DUMMYFUNCTION("""COMPUTED_VALUE"""),"SERVIENTREGA")</f>
        <v>SERVIENTREGA</v>
      </c>
      <c r="R556" s="65">
        <f>IFERROR(__xludf.DUMMYFUNCTION("""COMPUTED_VALUE"""),25.0)</f>
        <v>25</v>
      </c>
      <c r="S556" s="65"/>
      <c r="T556" s="65">
        <f>IFERROR(__xludf.DUMMYFUNCTION("""COMPUTED_VALUE"""),7.75)</f>
        <v>7.75</v>
      </c>
      <c r="U556" s="65">
        <f>IFERROR(__xludf.DUMMYFUNCTION("""COMPUTED_VALUE"""),0.0)</f>
        <v>0</v>
      </c>
      <c r="V556" s="65">
        <f>IFERROR(__xludf.DUMMYFUNCTION("""COMPUTED_VALUE"""),0.0)</f>
        <v>0</v>
      </c>
      <c r="W556" s="65">
        <f>IFERROR(__xludf.DUMMYFUNCTION("""COMPUTED_VALUE"""),0.0)</f>
        <v>0</v>
      </c>
      <c r="X556" s="65">
        <f>IFERROR(__xludf.DUMMYFUNCTION("""COMPUTED_VALUE"""),2.35)</f>
        <v>2.35</v>
      </c>
      <c r="Y556" s="65">
        <f>IFERROR(__xludf.DUMMYFUNCTION("""COMPUTED_VALUE"""),4.7)</f>
        <v>4.7</v>
      </c>
      <c r="Z556" s="65">
        <f>IFERROR(__xludf.DUMMYFUNCTION("""COMPUTED_VALUE"""),116679.0)</f>
        <v>116679</v>
      </c>
      <c r="AA556" s="65" t="str">
        <f>IFERROR(__xludf.DUMMYFUNCTION("""COMPUTED_VALUE"""),"AMC-2738")</f>
        <v>AMC-2738</v>
      </c>
      <c r="AB556" s="65"/>
      <c r="AC556" s="65" t="str">
        <f>IFERROR(__xludf.DUMMYFUNCTION("""COMPUTED_VALUE"""),"ESPONJA ANTILLUVIA DE PARABRISAS")</f>
        <v>ESPONJA ANTILLUVIA DE PARABRISAS</v>
      </c>
      <c r="AD556" s="65"/>
      <c r="AE556" s="65">
        <f>IFERROR(__xludf.DUMMYFUNCTION("""COMPUTED_VALUE"""),2.0)</f>
        <v>2</v>
      </c>
      <c r="AF556" s="65" t="str">
        <f>IFERROR(__xludf.DUMMYFUNCTION("""COMPUTED_VALUE"""),"DEVUELTO DE")</f>
        <v>DEVUELTO DE</v>
      </c>
      <c r="AG556" s="65" t="str">
        <f>IFERROR(__xludf.DUMMYFUNCTION("""COMPUTED_VALUE"""),"NO")</f>
        <v>NO</v>
      </c>
      <c r="AH556" s="65" t="str">
        <f>IFERROR(__xludf.DUMMYFUNCTION("""COMPUTED_VALUE"""),"08:39")</f>
        <v>08:39</v>
      </c>
      <c r="AI556" s="65" t="str">
        <f>IFERROR(__xludf.DUMMYFUNCTION("""COMPUTED_VALUE"""),"09-03-2026")</f>
        <v>09-03-2026</v>
      </c>
      <c r="AJ556" s="65"/>
      <c r="AK556" s="65"/>
      <c r="AL556" s="65"/>
      <c r="AM556" s="65"/>
      <c r="AN556" s="65" t="str">
        <f>IFERROR(__xludf.DUMMYFUNCTION("""COMPUTED_VALUE"""),"01:01")</f>
        <v>01:01</v>
      </c>
      <c r="AO556" s="65" t="str">
        <f>IFERROR(__xludf.DUMMYFUNCTION("""COMPUTED_VALUE"""),"15-03-2026")</f>
        <v>15-03-2026</v>
      </c>
      <c r="AP556" s="65" t="str">
        <f>IFERROR(__xludf.DUMMYFUNCTION("""COMPUTED_VALUE"""),"Certificacion Devolucion al Remitente CL QUITO SUR")</f>
        <v>Certificacion Devolucion al Remitente CL QUITO SUR</v>
      </c>
      <c r="AQ556" s="65" t="str">
        <f>IFERROR(__xludf.DUMMYFUNCTION("""COMPUTED_VALUE"""),"{}")</f>
        <v>{}</v>
      </c>
      <c r="AR556" s="65"/>
      <c r="AS556" s="65"/>
      <c r="AT556" s="65" t="str">
        <f>IFERROR(__xludf.DUMMYFUNCTION("""COMPUTED_VALUE"""),"SHOPIFY")</f>
        <v>SHOPIFY</v>
      </c>
      <c r="AU556" s="65" t="str">
        <f>IFERROR(__xludf.DUMMYFUNCTION("""COMPUTED_VALUE"""),"IMPORTEX EC")</f>
        <v>IMPORTEX EC</v>
      </c>
      <c r="AV556" s="65" t="str">
        <f>IFERROR(__xludf.DUMMYFUNCTION("""COMPUTED_VALUE"""),"6529609465900")</f>
        <v>6529609465900</v>
      </c>
      <c r="AW556" s="65">
        <f>IFERROR(__xludf.DUMMYFUNCTION("""COMPUTED_VALUE"""),6313.0)</f>
        <v>6313</v>
      </c>
      <c r="AX556" s="65"/>
      <c r="AY556" s="65" t="str">
        <f>IFERROR(__xludf.DUMMYFUNCTION("""COMPUTED_VALUE"""),"27/02/2026")</f>
        <v>27/02/2026</v>
      </c>
      <c r="AZ556" s="65"/>
      <c r="BA556" s="65"/>
    </row>
    <row r="557">
      <c r="A557" s="65" t="str">
        <f>IFERROR(__xludf.DUMMYFUNCTION("""COMPUTED_VALUE"""),"27-03-2026")</f>
        <v>27-03-2026</v>
      </c>
      <c r="B557" s="65">
        <f>IFERROR(__xludf.DUMMYFUNCTION("""COMPUTED_VALUE"""),4618126.0)</f>
        <v>4618126</v>
      </c>
      <c r="C557" s="65" t="str">
        <f>IFERROR(__xludf.DUMMYFUNCTION("""COMPUTED_VALUE"""),"08:06")</f>
        <v>08:06</v>
      </c>
      <c r="D557" s="65" t="str">
        <f>IFERROR(__xludf.DUMMYFUNCTION("""COMPUTED_VALUE"""),"25-02-2026")</f>
        <v>25-02-2026</v>
      </c>
      <c r="E557" s="65" t="str">
        <f>IFERROR(__xludf.DUMMYFUNCTION("""COMPUTED_VALUE"""),"Miguel Rodrigo Jaramillo")</f>
        <v>Miguel Rodrigo Jaramillo</v>
      </c>
      <c r="F557" s="65" t="str">
        <f>IFERROR(__xludf.DUMMYFUNCTION("""COMPUTED_VALUE"""),"988044775")</f>
        <v>988044775</v>
      </c>
      <c r="G557" s="65" t="str">
        <f>IFERROR(__xludf.DUMMYFUNCTION("""COMPUTED_VALUE"""),"rodrigojaramillo1967@hotmail.com")</f>
        <v>rodrigojaramillo1967@hotmail.com</v>
      </c>
      <c r="H557" s="65"/>
      <c r="I557" s="65"/>
      <c r="J557" s="65" t="str">
        <f>IFERROR(__xludf.DUMMYFUNCTION("""COMPUTED_VALUE"""),"LC52957806")</f>
        <v>LC52957806</v>
      </c>
      <c r="K557" s="65" t="str">
        <f>IFERROR(__xludf.DUMMYFUNCTION("""COMPUTED_VALUE"""),"ENTREGADO")</f>
        <v>ENTREGADO</v>
      </c>
      <c r="L557" s="65" t="str">
        <f>IFERROR(__xludf.DUMMYFUNCTION("""COMPUTED_VALUE"""),"CON RECAUDO")</f>
        <v>CON RECAUDO</v>
      </c>
      <c r="M557" s="65" t="str">
        <f>IFERROR(__xludf.DUMMYFUNCTION("""COMPUTED_VALUE"""),"IMBABURA")</f>
        <v>IMBABURA</v>
      </c>
      <c r="N557" s="65" t="str">
        <f>IFERROR(__xludf.DUMMYFUNCTION("""COMPUTED_VALUE"""),"PIMAMPIRO")</f>
        <v>PIMAMPIRO</v>
      </c>
      <c r="O557" s="65" t="str">
        <f>IFERROR(__xludf.DUMMYFUNCTION("""COMPUTED_VALUE"""),"Rocafuerte Y Montufar San vicente - ODONTOJAR, 20 metros de tuti")</f>
        <v>Rocafuerte Y Montufar San vicente - ODONTOJAR, 20 metros de tuti</v>
      </c>
      <c r="P557" s="65"/>
      <c r="Q557" s="65" t="str">
        <f>IFERROR(__xludf.DUMMYFUNCTION("""COMPUTED_VALUE"""),"LAARCOURIER")</f>
        <v>LAARCOURIER</v>
      </c>
      <c r="R557" s="65">
        <f>IFERROR(__xludf.DUMMYFUNCTION("""COMPUTED_VALUE"""),25.0)</f>
        <v>25</v>
      </c>
      <c r="S557" s="65">
        <f>IFERROR(__xludf.DUMMYFUNCTION("""COMPUTED_VALUE"""),13.11)</f>
        <v>13.11</v>
      </c>
      <c r="T557" s="65">
        <f>IFERROR(__xludf.DUMMYFUNCTION("""COMPUTED_VALUE"""),7.19)</f>
        <v>7.19</v>
      </c>
      <c r="U557" s="65">
        <f>IFERROR(__xludf.DUMMYFUNCTION("""COMPUTED_VALUE"""),0.0)</f>
        <v>0</v>
      </c>
      <c r="V557" s="65">
        <f>IFERROR(__xludf.DUMMYFUNCTION("""COMPUTED_VALUE"""),0.0)</f>
        <v>0</v>
      </c>
      <c r="W557" s="65">
        <f>IFERROR(__xludf.DUMMYFUNCTION("""COMPUTED_VALUE"""),0.0)</f>
        <v>0</v>
      </c>
      <c r="X557" s="65">
        <f>IFERROR(__xludf.DUMMYFUNCTION("""COMPUTED_VALUE"""),2.35)</f>
        <v>2.35</v>
      </c>
      <c r="Y557" s="65">
        <f>IFERROR(__xludf.DUMMYFUNCTION("""COMPUTED_VALUE"""),4.7)</f>
        <v>4.7</v>
      </c>
      <c r="Z557" s="65">
        <f>IFERROR(__xludf.DUMMYFUNCTION("""COMPUTED_VALUE"""),116679.0)</f>
        <v>116679</v>
      </c>
      <c r="AA557" s="65" t="str">
        <f>IFERROR(__xludf.DUMMYFUNCTION("""COMPUTED_VALUE"""),"AMC-2738")</f>
        <v>AMC-2738</v>
      </c>
      <c r="AB557" s="65"/>
      <c r="AC557" s="65" t="str">
        <f>IFERROR(__xludf.DUMMYFUNCTION("""COMPUTED_VALUE"""),"ESPONJA ANTILLUVIA DE PARABRISAS")</f>
        <v>ESPONJA ANTILLUVIA DE PARABRISAS</v>
      </c>
      <c r="AD557" s="65"/>
      <c r="AE557" s="65">
        <f>IFERROR(__xludf.DUMMYFUNCTION("""COMPUTED_VALUE"""),2.0)</f>
        <v>2</v>
      </c>
      <c r="AF557" s="65"/>
      <c r="AG557" s="65"/>
      <c r="AH557" s="65"/>
      <c r="AI557" s="65"/>
      <c r="AJ557" s="65"/>
      <c r="AK557" s="65"/>
      <c r="AL557" s="65"/>
      <c r="AM557" s="65"/>
      <c r="AN557" s="65" t="str">
        <f>IFERROR(__xludf.DUMMYFUNCTION("""COMPUTED_VALUE"""),"15:32")</f>
        <v>15:32</v>
      </c>
      <c r="AO557" s="65" t="str">
        <f>IFERROR(__xludf.DUMMYFUNCTION("""COMPUTED_VALUE"""),"02-03-2026")</f>
        <v>02-03-2026</v>
      </c>
      <c r="AP557" s="65" t="str">
        <f>IFERROR(__xludf.DUMMYFUNCTION("""COMPUTED_VALUE"""),"ENTREGADO")</f>
        <v>ENTREGADO</v>
      </c>
      <c r="AQ557" s="65" t="str">
        <f>IFERROR(__xludf.DUMMYFUNCTION("""COMPUTED_VALUE"""),"ENTREGADO")</f>
        <v>ENTREGADO</v>
      </c>
      <c r="AR557" s="65"/>
      <c r="AS557" s="65"/>
      <c r="AT557" s="65" t="str">
        <f>IFERROR(__xludf.DUMMYFUNCTION("""COMPUTED_VALUE"""),"SHOPIFY")</f>
        <v>SHOPIFY</v>
      </c>
      <c r="AU557" s="65" t="str">
        <f>IFERROR(__xludf.DUMMYFUNCTION("""COMPUTED_VALUE"""),"IMPORTEX EC")</f>
        <v>IMPORTEX EC</v>
      </c>
      <c r="AV557" s="65" t="str">
        <f>IFERROR(__xludf.DUMMYFUNCTION("""COMPUTED_VALUE"""),"6529147535404")</f>
        <v>6529147535404</v>
      </c>
      <c r="AW557" s="65">
        <f>IFERROR(__xludf.DUMMYFUNCTION("""COMPUTED_VALUE"""),6312.0)</f>
        <v>6312</v>
      </c>
      <c r="AX557" s="65"/>
      <c r="AY557" s="65" t="str">
        <f>IFERROR(__xludf.DUMMYFUNCTION("""COMPUTED_VALUE"""),"25/02/2026")</f>
        <v>25/02/2026</v>
      </c>
      <c r="AZ557" s="65"/>
      <c r="BA557" s="65"/>
    </row>
    <row r="558">
      <c r="A558" s="65" t="str">
        <f>IFERROR(__xludf.DUMMYFUNCTION("""COMPUTED_VALUE"""),"27-03-2026")</f>
        <v>27-03-2026</v>
      </c>
      <c r="B558" s="65">
        <f>IFERROR(__xludf.DUMMYFUNCTION("""COMPUTED_VALUE"""),4617647.0)</f>
        <v>4617647</v>
      </c>
      <c r="C558" s="65" t="str">
        <f>IFERROR(__xludf.DUMMYFUNCTION("""COMPUTED_VALUE"""),"07:00")</f>
        <v>07:00</v>
      </c>
      <c r="D558" s="65" t="str">
        <f>IFERROR(__xludf.DUMMYFUNCTION("""COMPUTED_VALUE"""),"25-02-2026")</f>
        <v>25-02-2026</v>
      </c>
      <c r="E558" s="65" t="str">
        <f>IFERROR(__xludf.DUMMYFUNCTION("""COMPUTED_VALUE"""),"Luis Eduardo Valencia Acosta")</f>
        <v>Luis Eduardo Valencia Acosta</v>
      </c>
      <c r="F558" s="65" t="str">
        <f>IFERROR(__xludf.DUMMYFUNCTION("""COMPUTED_VALUE"""),"963652373")</f>
        <v>963652373</v>
      </c>
      <c r="G558" s="65" t="str">
        <f>IFERROR(__xludf.DUMMYFUNCTION("""COMPUTED_VALUE"""),"edooforex@gmail.com")</f>
        <v>edooforex@gmail.com</v>
      </c>
      <c r="H558" s="65"/>
      <c r="I558" s="65"/>
      <c r="J558" s="65" t="str">
        <f>IFERROR(__xludf.DUMMYFUNCTION("""COMPUTED_VALUE"""),"D001359464")</f>
        <v>D001359464</v>
      </c>
      <c r="K558" s="65" t="str">
        <f>IFERROR(__xludf.DUMMYFUNCTION("""COMPUTED_VALUE"""),"ENTREGADO")</f>
        <v>ENTREGADO</v>
      </c>
      <c r="L558" s="65" t="str">
        <f>IFERROR(__xludf.DUMMYFUNCTION("""COMPUTED_VALUE"""),"CON RECAUDO")</f>
        <v>CON RECAUDO</v>
      </c>
      <c r="M558" s="65" t="str">
        <f>IFERROR(__xludf.DUMMYFUNCTION("""COMPUTED_VALUE"""),"PICHINCHA")</f>
        <v>PICHINCHA</v>
      </c>
      <c r="N558" s="65" t="str">
        <f>IFERROR(__xludf.DUMMYFUNCTION("""COMPUTED_VALUE"""),"QUITO")</f>
        <v>QUITO</v>
      </c>
      <c r="O558" s="65" t="str">
        <f>IFERROR(__xludf.DUMMYFUNCTION("""COMPUTED_VALUE"""),"Jorge Drom N37-125 y Juan José Villalengua -")</f>
        <v>Jorge Drom N37-125 y Juan José Villalengua -</v>
      </c>
      <c r="P558" s="65"/>
      <c r="Q558" s="65" t="str">
        <f>IFERROR(__xludf.DUMMYFUNCTION("""COMPUTED_VALUE"""),"GINTRACOM")</f>
        <v>GINTRACOM</v>
      </c>
      <c r="R558" s="65">
        <f>IFERROR(__xludf.DUMMYFUNCTION("""COMPUTED_VALUE"""),30.0)</f>
        <v>30</v>
      </c>
      <c r="S558" s="65">
        <f>IFERROR(__xludf.DUMMYFUNCTION("""COMPUTED_VALUE"""),18.4)</f>
        <v>18.4</v>
      </c>
      <c r="T558" s="65">
        <f>IFERROR(__xludf.DUMMYFUNCTION("""COMPUTED_VALUE"""),4.55)</f>
        <v>4.55</v>
      </c>
      <c r="U558" s="65">
        <f>IFERROR(__xludf.DUMMYFUNCTION("""COMPUTED_VALUE"""),0.0)</f>
        <v>0</v>
      </c>
      <c r="V558" s="65">
        <f>IFERROR(__xludf.DUMMYFUNCTION("""COMPUTED_VALUE"""),0.0)</f>
        <v>0</v>
      </c>
      <c r="W558" s="65">
        <f>IFERROR(__xludf.DUMMYFUNCTION("""COMPUTED_VALUE"""),0.0)</f>
        <v>0</v>
      </c>
      <c r="X558" s="65">
        <f>IFERROR(__xludf.DUMMYFUNCTION("""COMPUTED_VALUE"""),2.35)</f>
        <v>2.35</v>
      </c>
      <c r="Y558" s="65">
        <f>IFERROR(__xludf.DUMMYFUNCTION("""COMPUTED_VALUE"""),7.05)</f>
        <v>7.05</v>
      </c>
      <c r="Z558" s="65">
        <f>IFERROR(__xludf.DUMMYFUNCTION("""COMPUTED_VALUE"""),116679.0)</f>
        <v>116679</v>
      </c>
      <c r="AA558" s="65" t="str">
        <f>IFERROR(__xludf.DUMMYFUNCTION("""COMPUTED_VALUE"""),"AMC-2738")</f>
        <v>AMC-2738</v>
      </c>
      <c r="AB558" s="65"/>
      <c r="AC558" s="65" t="str">
        <f>IFERROR(__xludf.DUMMYFUNCTION("""COMPUTED_VALUE"""),"ESPONJA ANTILLUVIA DE PARABRISAS")</f>
        <v>ESPONJA ANTILLUVIA DE PARABRISAS</v>
      </c>
      <c r="AD558" s="65"/>
      <c r="AE558" s="65">
        <f>IFERROR(__xludf.DUMMYFUNCTION("""COMPUTED_VALUE"""),3.0)</f>
        <v>3</v>
      </c>
      <c r="AF558" s="65"/>
      <c r="AG558" s="65"/>
      <c r="AH558" s="65"/>
      <c r="AI558" s="65"/>
      <c r="AJ558" s="65"/>
      <c r="AK558" s="65"/>
      <c r="AL558" s="65"/>
      <c r="AM558" s="65"/>
      <c r="AN558" s="65" t="str">
        <f>IFERROR(__xludf.DUMMYFUNCTION("""COMPUTED_VALUE"""),"09:33")</f>
        <v>09:33</v>
      </c>
      <c r="AO558" s="65" t="str">
        <f>IFERROR(__xludf.DUMMYFUNCTION("""COMPUTED_VALUE"""),"26-02-2026")</f>
        <v>26-02-2026</v>
      </c>
      <c r="AP558" s="65" t="str">
        <f>IFERROR(__xludf.DUMMYFUNCTION("""COMPUTED_VALUE"""),"EN REPARTO")</f>
        <v>EN REPARTO</v>
      </c>
      <c r="AQ558" s="65" t="str">
        <f>IFERROR(__xludf.DUMMYFUNCTION("""COMPUTED_VALUE"""),"EN REPARTO")</f>
        <v>EN REPARTO</v>
      </c>
      <c r="AR558" s="65"/>
      <c r="AS558" s="65"/>
      <c r="AT558" s="65" t="str">
        <f>IFERROR(__xludf.DUMMYFUNCTION("""COMPUTED_VALUE"""),"SHOPIFY")</f>
        <v>SHOPIFY</v>
      </c>
      <c r="AU558" s="65" t="str">
        <f>IFERROR(__xludf.DUMMYFUNCTION("""COMPUTED_VALUE"""),"IMPORTEX EC")</f>
        <v>IMPORTEX EC</v>
      </c>
      <c r="AV558" s="65" t="str">
        <f>IFERROR(__xludf.DUMMYFUNCTION("""COMPUTED_VALUE"""),"6528977993772")</f>
        <v>6528977993772</v>
      </c>
      <c r="AW558" s="65">
        <f>IFERROR(__xludf.DUMMYFUNCTION("""COMPUTED_VALUE"""),6311.0)</f>
        <v>6311</v>
      </c>
      <c r="AX558" s="65"/>
      <c r="AY558" s="65" t="str">
        <f>IFERROR(__xludf.DUMMYFUNCTION("""COMPUTED_VALUE"""),"25/02/2026")</f>
        <v>25/02/2026</v>
      </c>
      <c r="AZ558" s="65"/>
      <c r="BA558" s="65"/>
    </row>
    <row r="559">
      <c r="A559" s="65" t="str">
        <f>IFERROR(__xludf.DUMMYFUNCTION("""COMPUTED_VALUE"""),"27-03-2026")</f>
        <v>27-03-2026</v>
      </c>
      <c r="B559" s="65">
        <f>IFERROR(__xludf.DUMMYFUNCTION("""COMPUTED_VALUE"""),4617199.0)</f>
        <v>4617199</v>
      </c>
      <c r="C559" s="65" t="str">
        <f>IFERROR(__xludf.DUMMYFUNCTION("""COMPUTED_VALUE"""),"05:19")</f>
        <v>05:19</v>
      </c>
      <c r="D559" s="65" t="str">
        <f>IFERROR(__xludf.DUMMYFUNCTION("""COMPUTED_VALUE"""),"25-02-2026")</f>
        <v>25-02-2026</v>
      </c>
      <c r="E559" s="65" t="str">
        <f>IFERROR(__xludf.DUMMYFUNCTION("""COMPUTED_VALUE"""),"Juan Ramón Gavilanes")</f>
        <v>Juan Ramón Gavilanes</v>
      </c>
      <c r="F559" s="65" t="str">
        <f>IFERROR(__xludf.DUMMYFUNCTION("""COMPUTED_VALUE"""),"959509032")</f>
        <v>959509032</v>
      </c>
      <c r="G559" s="65"/>
      <c r="H559" s="65"/>
      <c r="I559" s="65"/>
      <c r="J559" s="65" t="str">
        <f>IFERROR(__xludf.DUMMYFUNCTION("""COMPUTED_VALUE"""),"D001359468")</f>
        <v>D001359468</v>
      </c>
      <c r="K559" s="65" t="str">
        <f>IFERROR(__xludf.DUMMYFUNCTION("""COMPUTED_VALUE"""),"ENTREGADO")</f>
        <v>ENTREGADO</v>
      </c>
      <c r="L559" s="65" t="str">
        <f>IFERROR(__xludf.DUMMYFUNCTION("""COMPUTED_VALUE"""),"CON RECAUDO")</f>
        <v>CON RECAUDO</v>
      </c>
      <c r="M559" s="65" t="str">
        <f>IFERROR(__xludf.DUMMYFUNCTION("""COMPUTED_VALUE"""),"IMBABURA")</f>
        <v>IMBABURA</v>
      </c>
      <c r="N559" s="65" t="str">
        <f>IFERROR(__xludf.DUMMYFUNCTION("""COMPUTED_VALUE"""),"OTAVALO")</f>
        <v>OTAVALO</v>
      </c>
      <c r="O559" s="65" t="str">
        <f>IFERROR(__xludf.DUMMYFUNCTION("""COMPUTED_VALUE"""),"Pasaje Sixto Mosquera entre Rocafuerte y Mejía tras talleres Pérez Barrio El Empedrado -")</f>
        <v>Pasaje Sixto Mosquera entre Rocafuerte y Mejía tras talleres Pérez Barrio El Empedrado -</v>
      </c>
      <c r="P559" s="65"/>
      <c r="Q559" s="65" t="str">
        <f>IFERROR(__xludf.DUMMYFUNCTION("""COMPUTED_VALUE"""),"GINTRACOM")</f>
        <v>GINTRACOM</v>
      </c>
      <c r="R559" s="65">
        <f>IFERROR(__xludf.DUMMYFUNCTION("""COMPUTED_VALUE"""),25.0)</f>
        <v>25</v>
      </c>
      <c r="S559" s="65">
        <f>IFERROR(__xludf.DUMMYFUNCTION("""COMPUTED_VALUE"""),14.34)</f>
        <v>14.34</v>
      </c>
      <c r="T559" s="65">
        <f>IFERROR(__xludf.DUMMYFUNCTION("""COMPUTED_VALUE"""),5.96)</f>
        <v>5.96</v>
      </c>
      <c r="U559" s="65">
        <f>IFERROR(__xludf.DUMMYFUNCTION("""COMPUTED_VALUE"""),0.0)</f>
        <v>0</v>
      </c>
      <c r="V559" s="65">
        <f>IFERROR(__xludf.DUMMYFUNCTION("""COMPUTED_VALUE"""),0.0)</f>
        <v>0</v>
      </c>
      <c r="W559" s="65">
        <f>IFERROR(__xludf.DUMMYFUNCTION("""COMPUTED_VALUE"""),0.0)</f>
        <v>0</v>
      </c>
      <c r="X559" s="65">
        <f>IFERROR(__xludf.DUMMYFUNCTION("""COMPUTED_VALUE"""),2.35)</f>
        <v>2.35</v>
      </c>
      <c r="Y559" s="65">
        <f>IFERROR(__xludf.DUMMYFUNCTION("""COMPUTED_VALUE"""),4.7)</f>
        <v>4.7</v>
      </c>
      <c r="Z559" s="65">
        <f>IFERROR(__xludf.DUMMYFUNCTION("""COMPUTED_VALUE"""),116679.0)</f>
        <v>116679</v>
      </c>
      <c r="AA559" s="65" t="str">
        <f>IFERROR(__xludf.DUMMYFUNCTION("""COMPUTED_VALUE"""),"AMC-2738")</f>
        <v>AMC-2738</v>
      </c>
      <c r="AB559" s="65"/>
      <c r="AC559" s="65" t="str">
        <f>IFERROR(__xludf.DUMMYFUNCTION("""COMPUTED_VALUE"""),"ESPONJA ANTILLUVIA DE PARABRISAS")</f>
        <v>ESPONJA ANTILLUVIA DE PARABRISAS</v>
      </c>
      <c r="AD559" s="65"/>
      <c r="AE559" s="65">
        <f>IFERROR(__xludf.DUMMYFUNCTION("""COMPUTED_VALUE"""),2.0)</f>
        <v>2</v>
      </c>
      <c r="AF559" s="65"/>
      <c r="AG559" s="65"/>
      <c r="AH559" s="65"/>
      <c r="AI559" s="65"/>
      <c r="AJ559" s="65"/>
      <c r="AK559" s="65"/>
      <c r="AL559" s="65"/>
      <c r="AM559" s="65"/>
      <c r="AN559" s="65" t="str">
        <f>IFERROR(__xludf.DUMMYFUNCTION("""COMPUTED_VALUE"""),"10:04")</f>
        <v>10:04</v>
      </c>
      <c r="AO559" s="65" t="str">
        <f>IFERROR(__xludf.DUMMYFUNCTION("""COMPUTED_VALUE"""),"27-02-2026")</f>
        <v>27-02-2026</v>
      </c>
      <c r="AP559" s="65" t="str">
        <f>IFERROR(__xludf.DUMMYFUNCTION("""COMPUTED_VALUE"""),"ENTREGADA GINTRACOM")</f>
        <v>ENTREGADA GINTRACOM</v>
      </c>
      <c r="AQ559" s="65" t="str">
        <f>IFERROR(__xludf.DUMMYFUNCTION("""COMPUTED_VALUE"""),"ENTREGADA GINTRACOM")</f>
        <v>ENTREGADA GINTRACOM</v>
      </c>
      <c r="AR559" s="65"/>
      <c r="AS559" s="65"/>
      <c r="AT559" s="65" t="str">
        <f>IFERROR(__xludf.DUMMYFUNCTION("""COMPUTED_VALUE"""),"SHOPIFY")</f>
        <v>SHOPIFY</v>
      </c>
      <c r="AU559" s="65" t="str">
        <f>IFERROR(__xludf.DUMMYFUNCTION("""COMPUTED_VALUE"""),"IMPORTEX EC")</f>
        <v>IMPORTEX EC</v>
      </c>
      <c r="AV559" s="65" t="str">
        <f>IFERROR(__xludf.DUMMYFUNCTION("""COMPUTED_VALUE"""),"6528757170220")</f>
        <v>6528757170220</v>
      </c>
      <c r="AW559" s="65">
        <f>IFERROR(__xludf.DUMMYFUNCTION("""COMPUTED_VALUE"""),6310.0)</f>
        <v>6310</v>
      </c>
      <c r="AX559" s="65"/>
      <c r="AY559" s="65" t="str">
        <f>IFERROR(__xludf.DUMMYFUNCTION("""COMPUTED_VALUE"""),"25/02/2026")</f>
        <v>25/02/2026</v>
      </c>
      <c r="AZ559" s="65"/>
      <c r="BA559" s="65"/>
    </row>
    <row r="560">
      <c r="A560" s="65" t="str">
        <f>IFERROR(__xludf.DUMMYFUNCTION("""COMPUTED_VALUE"""),"27-03-2026")</f>
        <v>27-03-2026</v>
      </c>
      <c r="B560" s="65">
        <f>IFERROR(__xludf.DUMMYFUNCTION("""COMPUTED_VALUE"""),4617195.0)</f>
        <v>4617195</v>
      </c>
      <c r="C560" s="65" t="str">
        <f>IFERROR(__xludf.DUMMYFUNCTION("""COMPUTED_VALUE"""),"05:14")</f>
        <v>05:14</v>
      </c>
      <c r="D560" s="65" t="str">
        <f>IFERROR(__xludf.DUMMYFUNCTION("""COMPUTED_VALUE"""),"25-02-2026")</f>
        <v>25-02-2026</v>
      </c>
      <c r="E560" s="65" t="str">
        <f>IFERROR(__xludf.DUMMYFUNCTION("""COMPUTED_VALUE"""),"Javier Simba")</f>
        <v>Javier Simba</v>
      </c>
      <c r="F560" s="65" t="str">
        <f>IFERROR(__xludf.DUMMYFUNCTION("""COMPUTED_VALUE"""),"995656170")</f>
        <v>995656170</v>
      </c>
      <c r="G560" s="65" t="str">
        <f>IFERROR(__xludf.DUMMYFUNCTION("""COMPUTED_VALUE"""),"javsimba@gmail.com")</f>
        <v>javsimba@gmail.com</v>
      </c>
      <c r="H560" s="65"/>
      <c r="I560" s="65"/>
      <c r="J560" s="65" t="str">
        <f>IFERROR(__xludf.DUMMYFUNCTION("""COMPUTED_VALUE"""),"D001359469")</f>
        <v>D001359469</v>
      </c>
      <c r="K560" s="65" t="str">
        <f>IFERROR(__xludf.DUMMYFUNCTION("""COMPUTED_VALUE"""),"ENTREGADO")</f>
        <v>ENTREGADO</v>
      </c>
      <c r="L560" s="65" t="str">
        <f>IFERROR(__xludf.DUMMYFUNCTION("""COMPUTED_VALUE"""),"CON RECAUDO")</f>
        <v>CON RECAUDO</v>
      </c>
      <c r="M560" s="65" t="str">
        <f>IFERROR(__xludf.DUMMYFUNCTION("""COMPUTED_VALUE"""),"PICHINCHA")</f>
        <v>PICHINCHA</v>
      </c>
      <c r="N560" s="65" t="str">
        <f>IFERROR(__xludf.DUMMYFUNCTION("""COMPUTED_VALUE"""),"QUITO")</f>
        <v>QUITO</v>
      </c>
      <c r="O560" s="65" t="str">
        <f>IFERROR(__xludf.DUMMYFUNCTION("""COMPUTED_VALUE"""),"Rio San Pedro y Abdon Calderon Santa Isabel, Amaguan̈a -")</f>
        <v>Rio San Pedro y Abdon Calderon Santa Isabel, Amaguan̈a -</v>
      </c>
      <c r="P560" s="65"/>
      <c r="Q560" s="65" t="str">
        <f>IFERROR(__xludf.DUMMYFUNCTION("""COMPUTED_VALUE"""),"GINTRACOM")</f>
        <v>GINTRACOM</v>
      </c>
      <c r="R560" s="65">
        <f>IFERROR(__xludf.DUMMYFUNCTION("""COMPUTED_VALUE"""),25.0)</f>
        <v>25</v>
      </c>
      <c r="S560" s="65">
        <f>IFERROR(__xludf.DUMMYFUNCTION("""COMPUTED_VALUE"""),15.95)</f>
        <v>15.95</v>
      </c>
      <c r="T560" s="65">
        <f>IFERROR(__xludf.DUMMYFUNCTION("""COMPUTED_VALUE"""),4.35)</f>
        <v>4.35</v>
      </c>
      <c r="U560" s="65">
        <f>IFERROR(__xludf.DUMMYFUNCTION("""COMPUTED_VALUE"""),0.0)</f>
        <v>0</v>
      </c>
      <c r="V560" s="65">
        <f>IFERROR(__xludf.DUMMYFUNCTION("""COMPUTED_VALUE"""),0.0)</f>
        <v>0</v>
      </c>
      <c r="W560" s="65">
        <f>IFERROR(__xludf.DUMMYFUNCTION("""COMPUTED_VALUE"""),0.0)</f>
        <v>0</v>
      </c>
      <c r="X560" s="65">
        <f>IFERROR(__xludf.DUMMYFUNCTION("""COMPUTED_VALUE"""),2.35)</f>
        <v>2.35</v>
      </c>
      <c r="Y560" s="65">
        <f>IFERROR(__xludf.DUMMYFUNCTION("""COMPUTED_VALUE"""),4.7)</f>
        <v>4.7</v>
      </c>
      <c r="Z560" s="65">
        <f>IFERROR(__xludf.DUMMYFUNCTION("""COMPUTED_VALUE"""),116679.0)</f>
        <v>116679</v>
      </c>
      <c r="AA560" s="65" t="str">
        <f>IFERROR(__xludf.DUMMYFUNCTION("""COMPUTED_VALUE"""),"AMC-2738")</f>
        <v>AMC-2738</v>
      </c>
      <c r="AB560" s="65"/>
      <c r="AC560" s="65" t="str">
        <f>IFERROR(__xludf.DUMMYFUNCTION("""COMPUTED_VALUE"""),"ESPONJA ANTILLUVIA DE PARABRISAS")</f>
        <v>ESPONJA ANTILLUVIA DE PARABRISAS</v>
      </c>
      <c r="AD560" s="65"/>
      <c r="AE560" s="65">
        <f>IFERROR(__xludf.DUMMYFUNCTION("""COMPUTED_VALUE"""),2.0)</f>
        <v>2</v>
      </c>
      <c r="AF560" s="65"/>
      <c r="AG560" s="65"/>
      <c r="AH560" s="65"/>
      <c r="AI560" s="65"/>
      <c r="AJ560" s="65"/>
      <c r="AK560" s="65"/>
      <c r="AL560" s="65"/>
      <c r="AM560" s="65"/>
      <c r="AN560" s="65" t="str">
        <f>IFERROR(__xludf.DUMMYFUNCTION("""COMPUTED_VALUE"""),"10:07")</f>
        <v>10:07</v>
      </c>
      <c r="AO560" s="65" t="str">
        <f>IFERROR(__xludf.DUMMYFUNCTION("""COMPUTED_VALUE"""),"26-02-2026")</f>
        <v>26-02-2026</v>
      </c>
      <c r="AP560" s="65" t="str">
        <f>IFERROR(__xludf.DUMMYFUNCTION("""COMPUTED_VALUE"""),"EN REPARTO")</f>
        <v>EN REPARTO</v>
      </c>
      <c r="AQ560" s="65" t="str">
        <f>IFERROR(__xludf.DUMMYFUNCTION("""COMPUTED_VALUE"""),"EN REPARTO")</f>
        <v>EN REPARTO</v>
      </c>
      <c r="AR560" s="65"/>
      <c r="AS560" s="65"/>
      <c r="AT560" s="65" t="str">
        <f>IFERROR(__xludf.DUMMYFUNCTION("""COMPUTED_VALUE"""),"SHOPIFY")</f>
        <v>SHOPIFY</v>
      </c>
      <c r="AU560" s="65" t="str">
        <f>IFERROR(__xludf.DUMMYFUNCTION("""COMPUTED_VALUE"""),"IMPORTEX EC")</f>
        <v>IMPORTEX EC</v>
      </c>
      <c r="AV560" s="65" t="str">
        <f>IFERROR(__xludf.DUMMYFUNCTION("""COMPUTED_VALUE"""),"6528746848300")</f>
        <v>6528746848300</v>
      </c>
      <c r="AW560" s="65">
        <f>IFERROR(__xludf.DUMMYFUNCTION("""COMPUTED_VALUE"""),6309.0)</f>
        <v>6309</v>
      </c>
      <c r="AX560" s="65"/>
      <c r="AY560" s="65" t="str">
        <f>IFERROR(__xludf.DUMMYFUNCTION("""COMPUTED_VALUE"""),"25/02/2026")</f>
        <v>25/02/2026</v>
      </c>
      <c r="AZ560" s="65"/>
      <c r="BA560" s="65"/>
    </row>
    <row r="561">
      <c r="A561" s="65" t="str">
        <f>IFERROR(__xludf.DUMMYFUNCTION("""COMPUTED_VALUE"""),"27-03-2026")</f>
        <v>27-03-2026</v>
      </c>
      <c r="B561" s="65">
        <f>IFERROR(__xludf.DUMMYFUNCTION("""COMPUTED_VALUE"""),4598492.0)</f>
        <v>4598492</v>
      </c>
      <c r="C561" s="65" t="str">
        <f>IFERROR(__xludf.DUMMYFUNCTION("""COMPUTED_VALUE"""),"13:01")</f>
        <v>13:01</v>
      </c>
      <c r="D561" s="65" t="str">
        <f>IFERROR(__xludf.DUMMYFUNCTION("""COMPUTED_VALUE"""),"23-02-2026")</f>
        <v>23-02-2026</v>
      </c>
      <c r="E561" s="65" t="str">
        <f>IFERROR(__xludf.DUMMYFUNCTION("""COMPUTED_VALUE"""),"Edison Andrade")</f>
        <v>Edison Andrade</v>
      </c>
      <c r="F561" s="65" t="str">
        <f>IFERROR(__xludf.DUMMYFUNCTION("""COMPUTED_VALUE"""),"997387292")</f>
        <v>997387292</v>
      </c>
      <c r="G561" s="65" t="str">
        <f>IFERROR(__xludf.DUMMYFUNCTION("""COMPUTED_VALUE"""),"edisonandrade121@gmail.com")</f>
        <v>edisonandrade121@gmail.com</v>
      </c>
      <c r="H561" s="65"/>
      <c r="I561" s="65"/>
      <c r="J561" s="65" t="str">
        <f>IFERROR(__xludf.DUMMYFUNCTION("""COMPUTED_VALUE"""),"D001359560")</f>
        <v>D001359560</v>
      </c>
      <c r="K561" s="65" t="str">
        <f>IFERROR(__xludf.DUMMYFUNCTION("""COMPUTED_VALUE"""),"ENTREGADO")</f>
        <v>ENTREGADO</v>
      </c>
      <c r="L561" s="65" t="str">
        <f>IFERROR(__xludf.DUMMYFUNCTION("""COMPUTED_VALUE"""),"CON RECAUDO")</f>
        <v>CON RECAUDO</v>
      </c>
      <c r="M561" s="65" t="str">
        <f>IFERROR(__xludf.DUMMYFUNCTION("""COMPUTED_VALUE"""),"MANABI")</f>
        <v>MANABI</v>
      </c>
      <c r="N561" s="65" t="str">
        <f>IFERROR(__xludf.DUMMYFUNCTION("""COMPUTED_VALUE"""),"MANTA")</f>
        <v>MANTA</v>
      </c>
      <c r="O561" s="65" t="str">
        <f>IFERROR(__xludf.DUMMYFUNCTION("""COMPUTED_VALUE"""),"Umiña 2 vía barbasquillo edificio Rosero construye Mawa 22 Sector las cuadras -")</f>
        <v>Umiña 2 vía barbasquillo edificio Rosero construye Mawa 22 Sector las cuadras -</v>
      </c>
      <c r="P561" s="65"/>
      <c r="Q561" s="65" t="str">
        <f>IFERROR(__xludf.DUMMYFUNCTION("""COMPUTED_VALUE"""),"GINTRACOM")</f>
        <v>GINTRACOM</v>
      </c>
      <c r="R561" s="65">
        <f>IFERROR(__xludf.DUMMYFUNCTION("""COMPUTED_VALUE"""),30.0)</f>
        <v>30</v>
      </c>
      <c r="S561" s="65">
        <f>IFERROR(__xludf.DUMMYFUNCTION("""COMPUTED_VALUE"""),16.79)</f>
        <v>16.79</v>
      </c>
      <c r="T561" s="65">
        <f>IFERROR(__xludf.DUMMYFUNCTION("""COMPUTED_VALUE"""),6.16)</f>
        <v>6.16</v>
      </c>
      <c r="U561" s="65">
        <f>IFERROR(__xludf.DUMMYFUNCTION("""COMPUTED_VALUE"""),0.0)</f>
        <v>0</v>
      </c>
      <c r="V561" s="65">
        <f>IFERROR(__xludf.DUMMYFUNCTION("""COMPUTED_VALUE"""),0.0)</f>
        <v>0</v>
      </c>
      <c r="W561" s="65">
        <f>IFERROR(__xludf.DUMMYFUNCTION("""COMPUTED_VALUE"""),0.0)</f>
        <v>0</v>
      </c>
      <c r="X561" s="65">
        <f>IFERROR(__xludf.DUMMYFUNCTION("""COMPUTED_VALUE"""),2.35)</f>
        <v>2.35</v>
      </c>
      <c r="Y561" s="65">
        <f>IFERROR(__xludf.DUMMYFUNCTION("""COMPUTED_VALUE"""),7.05)</f>
        <v>7.05</v>
      </c>
      <c r="Z561" s="65">
        <f>IFERROR(__xludf.DUMMYFUNCTION("""COMPUTED_VALUE"""),116679.0)</f>
        <v>116679</v>
      </c>
      <c r="AA561" s="65" t="str">
        <f>IFERROR(__xludf.DUMMYFUNCTION("""COMPUTED_VALUE"""),"AMC-2738")</f>
        <v>AMC-2738</v>
      </c>
      <c r="AB561" s="65"/>
      <c r="AC561" s="65" t="str">
        <f>IFERROR(__xludf.DUMMYFUNCTION("""COMPUTED_VALUE"""),"ESPONJA ANTILLUVIA DE PARABRISAS")</f>
        <v>ESPONJA ANTILLUVIA DE PARABRISAS</v>
      </c>
      <c r="AD561" s="65"/>
      <c r="AE561" s="65">
        <f>IFERROR(__xludf.DUMMYFUNCTION("""COMPUTED_VALUE"""),3.0)</f>
        <v>3</v>
      </c>
      <c r="AF561" s="65"/>
      <c r="AG561" s="65"/>
      <c r="AH561" s="65"/>
      <c r="AI561" s="65"/>
      <c r="AJ561" s="65"/>
      <c r="AK561" s="65"/>
      <c r="AL561" s="65"/>
      <c r="AM561" s="65"/>
      <c r="AN561" s="65" t="str">
        <f>IFERROR(__xludf.DUMMYFUNCTION("""COMPUTED_VALUE"""),"12:10")</f>
        <v>12:10</v>
      </c>
      <c r="AO561" s="65" t="str">
        <f>IFERROR(__xludf.DUMMYFUNCTION("""COMPUTED_VALUE"""),"27-02-2026")</f>
        <v>27-02-2026</v>
      </c>
      <c r="AP561" s="65" t="str">
        <f>IFERROR(__xludf.DUMMYFUNCTION("""COMPUTED_VALUE"""),"ENTREGADA GINTRACOM")</f>
        <v>ENTREGADA GINTRACOM</v>
      </c>
      <c r="AQ561" s="65" t="str">
        <f>IFERROR(__xludf.DUMMYFUNCTION("""COMPUTED_VALUE"""),"ENTREGADA GINTRACOM")</f>
        <v>ENTREGADA GINTRACOM</v>
      </c>
      <c r="AR561" s="65"/>
      <c r="AS561" s="65"/>
      <c r="AT561" s="65" t="str">
        <f>IFERROR(__xludf.DUMMYFUNCTION("""COMPUTED_VALUE"""),"SHOPIFY")</f>
        <v>SHOPIFY</v>
      </c>
      <c r="AU561" s="65" t="str">
        <f>IFERROR(__xludf.DUMMYFUNCTION("""COMPUTED_VALUE"""),"IMPORTEX EC")</f>
        <v>IMPORTEX EC</v>
      </c>
      <c r="AV561" s="65" t="str">
        <f>IFERROR(__xludf.DUMMYFUNCTION("""COMPUTED_VALUE"""),"6524505817132")</f>
        <v>6524505817132</v>
      </c>
      <c r="AW561" s="65">
        <f>IFERROR(__xludf.DUMMYFUNCTION("""COMPUTED_VALUE"""),6308.0)</f>
        <v>6308</v>
      </c>
      <c r="AX561" s="65"/>
      <c r="AY561" s="65" t="str">
        <f>IFERROR(__xludf.DUMMYFUNCTION("""COMPUTED_VALUE"""),"25/02/2026")</f>
        <v>25/02/2026</v>
      </c>
      <c r="AZ561" s="65"/>
      <c r="BA561" s="65"/>
    </row>
    <row r="562">
      <c r="A562" s="65" t="str">
        <f>IFERROR(__xludf.DUMMYFUNCTION("""COMPUTED_VALUE"""),"27-03-2026")</f>
        <v>27-03-2026</v>
      </c>
      <c r="B562" s="65">
        <f>IFERROR(__xludf.DUMMYFUNCTION("""COMPUTED_VALUE"""),4597831.0)</f>
        <v>4597831</v>
      </c>
      <c r="C562" s="65" t="str">
        <f>IFERROR(__xludf.DUMMYFUNCTION("""COMPUTED_VALUE"""),"12:09")</f>
        <v>12:09</v>
      </c>
      <c r="D562" s="65" t="str">
        <f>IFERROR(__xludf.DUMMYFUNCTION("""COMPUTED_VALUE"""),"23-02-2026")</f>
        <v>23-02-2026</v>
      </c>
      <c r="E562" s="65" t="str">
        <f>IFERROR(__xludf.DUMMYFUNCTION("""COMPUTED_VALUE"""),"Maximo Salas")</f>
        <v>Maximo Salas</v>
      </c>
      <c r="F562" s="65" t="str">
        <f>IFERROR(__xludf.DUMMYFUNCTION("""COMPUTED_VALUE"""),"999510921")</f>
        <v>999510921</v>
      </c>
      <c r="G562" s="65"/>
      <c r="H562" s="65"/>
      <c r="I562" s="65"/>
      <c r="J562" s="65" t="str">
        <f>IFERROR(__xludf.DUMMYFUNCTION("""COMPUTED_VALUE"""),"186570937")</f>
        <v>186570937</v>
      </c>
      <c r="K562" s="65" t="str">
        <f>IFERROR(__xludf.DUMMYFUNCTION("""COMPUTED_VALUE"""),"ENTREGADO")</f>
        <v>ENTREGADO</v>
      </c>
      <c r="L562" s="65" t="str">
        <f>IFERROR(__xludf.DUMMYFUNCTION("""COMPUTED_VALUE"""),"CON RECAUDO")</f>
        <v>CON RECAUDO</v>
      </c>
      <c r="M562" s="65" t="str">
        <f>IFERROR(__xludf.DUMMYFUNCTION("""COMPUTED_VALUE"""),"GUAYAS")</f>
        <v>GUAYAS</v>
      </c>
      <c r="N562" s="65" t="str">
        <f>IFERROR(__xludf.DUMMYFUNCTION("""COMPUTED_VALUE"""),"BALZAR")</f>
        <v>BALZAR</v>
      </c>
      <c r="O562" s="65" t="str">
        <f>IFERROR(__xludf.DUMMYFUNCTION("""COMPUTED_VALUE"""),"RETIRA EN CS : BALZAR_BALZAR - 26 DE SEPTIEMBRE S/N Y OLMEDO")</f>
        <v>RETIRA EN CS : BALZAR_BALZAR - 26 DE SEPTIEMBRE S/N Y OLMEDO</v>
      </c>
      <c r="P562" s="65"/>
      <c r="Q562" s="65" t="str">
        <f>IFERROR(__xludf.DUMMYFUNCTION("""COMPUTED_VALUE"""),"SERVIENTREGA")</f>
        <v>SERVIENTREGA</v>
      </c>
      <c r="R562" s="65">
        <f>IFERROR(__xludf.DUMMYFUNCTION("""COMPUTED_VALUE"""),20.0)</f>
        <v>20</v>
      </c>
      <c r="S562" s="65">
        <f>IFERROR(__xludf.DUMMYFUNCTION("""COMPUTED_VALUE"""),9.98)</f>
        <v>9.98</v>
      </c>
      <c r="T562" s="65">
        <f>IFERROR(__xludf.DUMMYFUNCTION("""COMPUTED_VALUE"""),7.67)</f>
        <v>7.67</v>
      </c>
      <c r="U562" s="65">
        <f>IFERROR(__xludf.DUMMYFUNCTION("""COMPUTED_VALUE"""),0.0)</f>
        <v>0</v>
      </c>
      <c r="V562" s="65">
        <f>IFERROR(__xludf.DUMMYFUNCTION("""COMPUTED_VALUE"""),0.0)</f>
        <v>0</v>
      </c>
      <c r="W562" s="65">
        <f>IFERROR(__xludf.DUMMYFUNCTION("""COMPUTED_VALUE"""),0.0)</f>
        <v>0</v>
      </c>
      <c r="X562" s="65">
        <f>IFERROR(__xludf.DUMMYFUNCTION("""COMPUTED_VALUE"""),2.35)</f>
        <v>2.35</v>
      </c>
      <c r="Y562" s="65">
        <f>IFERROR(__xludf.DUMMYFUNCTION("""COMPUTED_VALUE"""),2.35)</f>
        <v>2.35</v>
      </c>
      <c r="Z562" s="65">
        <f>IFERROR(__xludf.DUMMYFUNCTION("""COMPUTED_VALUE"""),116679.0)</f>
        <v>116679</v>
      </c>
      <c r="AA562" s="65" t="str">
        <f>IFERROR(__xludf.DUMMYFUNCTION("""COMPUTED_VALUE"""),"AMC-2738")</f>
        <v>AMC-2738</v>
      </c>
      <c r="AB562" s="65"/>
      <c r="AC562" s="65" t="str">
        <f>IFERROR(__xludf.DUMMYFUNCTION("""COMPUTED_VALUE"""),"ESPONJA ANTILLUVIA DE PARABRISAS")</f>
        <v>ESPONJA ANTILLUVIA DE PARABRISAS</v>
      </c>
      <c r="AD562" s="65"/>
      <c r="AE562" s="65">
        <f>IFERROR(__xludf.DUMMYFUNCTION("""COMPUTED_VALUE"""),1.0)</f>
        <v>1</v>
      </c>
      <c r="AF562" s="65"/>
      <c r="AG562" s="65"/>
      <c r="AH562" s="65"/>
      <c r="AI562" s="65"/>
      <c r="AJ562" s="65"/>
      <c r="AK562" s="65"/>
      <c r="AL562" s="65"/>
      <c r="AM562" s="65"/>
      <c r="AN562" s="65" t="str">
        <f>IFERROR(__xludf.DUMMYFUNCTION("""COMPUTED_VALUE"""),"13:48")</f>
        <v>13:48</v>
      </c>
      <c r="AO562" s="65" t="str">
        <f>IFERROR(__xludf.DUMMYFUNCTION("""COMPUTED_VALUE"""),"09-03-2026")</f>
        <v>09-03-2026</v>
      </c>
      <c r="AP562" s="65" t="str">
        <f>IFERROR(__xludf.DUMMYFUNCTION("""COMPUTED_VALUE"""),"ENTREGA DIGITALIZADA EN CENTRO LOGISTICO")</f>
        <v>ENTREGA DIGITALIZADA EN CENTRO LOGISTICO</v>
      </c>
      <c r="AQ562" s="65" t="str">
        <f>IFERROR(__xludf.DUMMYFUNCTION("""COMPUTED_VALUE"""),"MAXIMO SALAS")</f>
        <v>MAXIMO SALAS</v>
      </c>
      <c r="AR562" s="65"/>
      <c r="AS562" s="65"/>
      <c r="AT562" s="65" t="str">
        <f>IFERROR(__xludf.DUMMYFUNCTION("""COMPUTED_VALUE"""),"CHATEA PRO")</f>
        <v>CHATEA PRO</v>
      </c>
      <c r="AU562" s="65" t="str">
        <f>IFERROR(__xludf.DUMMYFUNCTION("""COMPUTED_VALUE"""),"CHATEA PRO")</f>
        <v>CHATEA PRO</v>
      </c>
      <c r="AV562" s="65"/>
      <c r="AW562" s="65"/>
      <c r="AX562" s="65"/>
      <c r="AY562" s="65" t="str">
        <f>IFERROR(__xludf.DUMMYFUNCTION("""COMPUTED_VALUE"""),"23/02/2026")</f>
        <v>23/02/2026</v>
      </c>
      <c r="AZ562" s="65"/>
      <c r="BA562" s="65"/>
    </row>
    <row r="563">
      <c r="A563" s="65" t="str">
        <f>IFERROR(__xludf.DUMMYFUNCTION("""COMPUTED_VALUE"""),"27-03-2026")</f>
        <v>27-03-2026</v>
      </c>
      <c r="B563" s="65">
        <f>IFERROR(__xludf.DUMMYFUNCTION("""COMPUTED_VALUE"""),4597208.0)</f>
        <v>4597208</v>
      </c>
      <c r="C563" s="65" t="str">
        <f>IFERROR(__xludf.DUMMYFUNCTION("""COMPUTED_VALUE"""),"11:23")</f>
        <v>11:23</v>
      </c>
      <c r="D563" s="65" t="str">
        <f>IFERROR(__xludf.DUMMYFUNCTION("""COMPUTED_VALUE"""),"23-02-2026")</f>
        <v>23-02-2026</v>
      </c>
      <c r="E563" s="65" t="str">
        <f>IFERROR(__xludf.DUMMYFUNCTION("""COMPUTED_VALUE"""),"Angel Acosta")</f>
        <v>Angel Acosta</v>
      </c>
      <c r="F563" s="65" t="str">
        <f>IFERROR(__xludf.DUMMYFUNCTION("""COMPUTED_VALUE"""),"969587502")</f>
        <v>969587502</v>
      </c>
      <c r="G563" s="65" t="str">
        <f>IFERROR(__xludf.DUMMYFUNCTION("""COMPUTED_VALUE"""),"albertoacostaa7@gmail.com")</f>
        <v>albertoacostaa7@gmail.com</v>
      </c>
      <c r="H563" s="65"/>
      <c r="I563" s="65"/>
      <c r="J563" s="65" t="str">
        <f>IFERROR(__xludf.DUMMYFUNCTION("""COMPUTED_VALUE"""),"D001353652")</f>
        <v>D001353652</v>
      </c>
      <c r="K563" s="65" t="str">
        <f>IFERROR(__xludf.DUMMYFUNCTION("""COMPUTED_VALUE"""),"ENTREGADO")</f>
        <v>ENTREGADO</v>
      </c>
      <c r="L563" s="65" t="str">
        <f>IFERROR(__xludf.DUMMYFUNCTION("""COMPUTED_VALUE"""),"CON RECAUDO")</f>
        <v>CON RECAUDO</v>
      </c>
      <c r="M563" s="65" t="str">
        <f>IFERROR(__xludf.DUMMYFUNCTION("""COMPUTED_VALUE"""),"GUAYAS")</f>
        <v>GUAYAS</v>
      </c>
      <c r="N563" s="65" t="str">
        <f>IFERROR(__xludf.DUMMYFUNCTION("""COMPUTED_VALUE"""),"DAULE")</f>
        <v>DAULE</v>
      </c>
      <c r="O563" s="65" t="str">
        <f>IFERROR(__xludf.DUMMYFUNCTION("""COMPUTED_VALUE"""),"Bay pas y José Marti San francisco ciudadela San jose - 100 metros de arca continental portón negro")</f>
        <v>Bay pas y José Marti San francisco ciudadela San jose - 100 metros de arca continental portón negro</v>
      </c>
      <c r="P563" s="65"/>
      <c r="Q563" s="65" t="str">
        <f>IFERROR(__xludf.DUMMYFUNCTION("""COMPUTED_VALUE"""),"GINTRACOM")</f>
        <v>GINTRACOM</v>
      </c>
      <c r="R563" s="65">
        <f>IFERROR(__xludf.DUMMYFUNCTION("""COMPUTED_VALUE"""),20.0)</f>
        <v>20</v>
      </c>
      <c r="S563" s="65">
        <f>IFERROR(__xludf.DUMMYFUNCTION("""COMPUTED_VALUE"""),11.89)</f>
        <v>11.89</v>
      </c>
      <c r="T563" s="65">
        <f>IFERROR(__xludf.DUMMYFUNCTION("""COMPUTED_VALUE"""),5.76)</f>
        <v>5.76</v>
      </c>
      <c r="U563" s="65">
        <f>IFERROR(__xludf.DUMMYFUNCTION("""COMPUTED_VALUE"""),0.0)</f>
        <v>0</v>
      </c>
      <c r="V563" s="65">
        <f>IFERROR(__xludf.DUMMYFUNCTION("""COMPUTED_VALUE"""),0.0)</f>
        <v>0</v>
      </c>
      <c r="W563" s="65">
        <f>IFERROR(__xludf.DUMMYFUNCTION("""COMPUTED_VALUE"""),0.0)</f>
        <v>0</v>
      </c>
      <c r="X563" s="65">
        <f>IFERROR(__xludf.DUMMYFUNCTION("""COMPUTED_VALUE"""),2.35)</f>
        <v>2.35</v>
      </c>
      <c r="Y563" s="65">
        <f>IFERROR(__xludf.DUMMYFUNCTION("""COMPUTED_VALUE"""),2.35)</f>
        <v>2.35</v>
      </c>
      <c r="Z563" s="65">
        <f>IFERROR(__xludf.DUMMYFUNCTION("""COMPUTED_VALUE"""),116679.0)</f>
        <v>116679</v>
      </c>
      <c r="AA563" s="65" t="str">
        <f>IFERROR(__xludf.DUMMYFUNCTION("""COMPUTED_VALUE"""),"AMC-2738")</f>
        <v>AMC-2738</v>
      </c>
      <c r="AB563" s="65"/>
      <c r="AC563" s="65" t="str">
        <f>IFERROR(__xludf.DUMMYFUNCTION("""COMPUTED_VALUE"""),"ESPONJA ANTILLUVIA DE PARABRISAS")</f>
        <v>ESPONJA ANTILLUVIA DE PARABRISAS</v>
      </c>
      <c r="AD563" s="65"/>
      <c r="AE563" s="65">
        <f>IFERROR(__xludf.DUMMYFUNCTION("""COMPUTED_VALUE"""),1.0)</f>
        <v>1</v>
      </c>
      <c r="AF563" s="65"/>
      <c r="AG563" s="65"/>
      <c r="AH563" s="65"/>
      <c r="AI563" s="65"/>
      <c r="AJ563" s="65"/>
      <c r="AK563" s="65"/>
      <c r="AL563" s="65"/>
      <c r="AM563" s="65"/>
      <c r="AN563" s="65" t="str">
        <f>IFERROR(__xludf.DUMMYFUNCTION("""COMPUTED_VALUE"""),"13:25")</f>
        <v>13:25</v>
      </c>
      <c r="AO563" s="65" t="str">
        <f>IFERROR(__xludf.DUMMYFUNCTION("""COMPUTED_VALUE"""),"28-02-2026")</f>
        <v>28-02-2026</v>
      </c>
      <c r="AP563" s="65" t="str">
        <f>IFERROR(__xludf.DUMMYFUNCTION("""COMPUTED_VALUE"""),"ENTREGADA GINTRACOM")</f>
        <v>ENTREGADA GINTRACOM</v>
      </c>
      <c r="AQ563" s="65" t="str">
        <f>IFERROR(__xludf.DUMMYFUNCTION("""COMPUTED_VALUE"""),"ENTREGADA GINTRACOM")</f>
        <v>ENTREGADA GINTRACOM</v>
      </c>
      <c r="AR563" s="65"/>
      <c r="AS563" s="65"/>
      <c r="AT563" s="65" t="str">
        <f>IFERROR(__xludf.DUMMYFUNCTION("""COMPUTED_VALUE"""),"SHOPIFY")</f>
        <v>SHOPIFY</v>
      </c>
      <c r="AU563" s="65" t="str">
        <f>IFERROR(__xludf.DUMMYFUNCTION("""COMPUTED_VALUE"""),"IMPORTEX EC")</f>
        <v>IMPORTEX EC</v>
      </c>
      <c r="AV563" s="65" t="str">
        <f>IFERROR(__xludf.DUMMYFUNCTION("""COMPUTED_VALUE"""),"6524238069804")</f>
        <v>6524238069804</v>
      </c>
      <c r="AW563" s="65">
        <f>IFERROR(__xludf.DUMMYFUNCTION("""COMPUTED_VALUE"""),6307.0)</f>
        <v>6307</v>
      </c>
      <c r="AX563" s="65"/>
      <c r="AY563" s="65" t="str">
        <f>IFERROR(__xludf.DUMMYFUNCTION("""COMPUTED_VALUE"""),"23/02/2026")</f>
        <v>23/02/2026</v>
      </c>
      <c r="AZ563" s="65"/>
      <c r="BA563" s="65"/>
    </row>
    <row r="564">
      <c r="A564" s="65" t="str">
        <f>IFERROR(__xludf.DUMMYFUNCTION("""COMPUTED_VALUE"""),"27-03-2026")</f>
        <v>27-03-2026</v>
      </c>
      <c r="B564" s="65">
        <f>IFERROR(__xludf.DUMMYFUNCTION("""COMPUTED_VALUE"""),4596610.0)</f>
        <v>4596610</v>
      </c>
      <c r="C564" s="65" t="str">
        <f>IFERROR(__xludf.DUMMYFUNCTION("""COMPUTED_VALUE"""),"10:41")</f>
        <v>10:41</v>
      </c>
      <c r="D564" s="65" t="str">
        <f>IFERROR(__xludf.DUMMYFUNCTION("""COMPUTED_VALUE"""),"23-02-2026")</f>
        <v>23-02-2026</v>
      </c>
      <c r="E564" s="65" t="str">
        <f>IFERROR(__xludf.DUMMYFUNCTION("""COMPUTED_VALUE"""),"Wllian Jurado")</f>
        <v>Wllian Jurado</v>
      </c>
      <c r="F564" s="65" t="str">
        <f>IFERROR(__xludf.DUMMYFUNCTION("""COMPUTED_VALUE"""),"980590623")</f>
        <v>980590623</v>
      </c>
      <c r="G564" s="65"/>
      <c r="H564" s="65"/>
      <c r="I564" s="65"/>
      <c r="J564" s="65" t="str">
        <f>IFERROR(__xludf.DUMMYFUNCTION("""COMPUTED_VALUE"""),"186573850")</f>
        <v>186573850</v>
      </c>
      <c r="K564" s="65" t="str">
        <f>IFERROR(__xludf.DUMMYFUNCTION("""COMPUTED_VALUE"""),"ENTREGADO")</f>
        <v>ENTREGADO</v>
      </c>
      <c r="L564" s="65" t="str">
        <f>IFERROR(__xludf.DUMMYFUNCTION("""COMPUTED_VALUE"""),"CON RECAUDO")</f>
        <v>CON RECAUDO</v>
      </c>
      <c r="M564" s="65" t="str">
        <f>IFERROR(__xludf.DUMMYFUNCTION("""COMPUTED_VALUE"""),"LOS RIOS")</f>
        <v>LOS RIOS</v>
      </c>
      <c r="N564" s="65" t="str">
        <f>IFERROR(__xludf.DUMMYFUNCTION("""COMPUTED_VALUE"""),"VENTANAS")</f>
        <v>VENTANAS</v>
      </c>
      <c r="O564" s="65" t="str">
        <f>IFERROR(__xludf.DUMMYFUNCTION("""COMPUTED_VALUE"""),"RETIRA EN CS : MALECON S/N ENTRE 9 DE OCTUBRE Y BOLIVAR - FRENTE A LAS PISCINAS DEL MALECON")</f>
        <v>RETIRA EN CS : MALECON S/N ENTRE 9 DE OCTUBRE Y BOLIVAR - FRENTE A LAS PISCINAS DEL MALECON</v>
      </c>
      <c r="P564" s="65"/>
      <c r="Q564" s="65" t="str">
        <f>IFERROR(__xludf.DUMMYFUNCTION("""COMPUTED_VALUE"""),"SERVIENTREGA")</f>
        <v>SERVIENTREGA</v>
      </c>
      <c r="R564" s="65">
        <f>IFERROR(__xludf.DUMMYFUNCTION("""COMPUTED_VALUE"""),30.0)</f>
        <v>30</v>
      </c>
      <c r="S564" s="65">
        <f>IFERROR(__xludf.DUMMYFUNCTION("""COMPUTED_VALUE"""),16.68)</f>
        <v>16.68</v>
      </c>
      <c r="T564" s="65">
        <f>IFERROR(__xludf.DUMMYFUNCTION("""COMPUTED_VALUE"""),6.12)</f>
        <v>6.12</v>
      </c>
      <c r="U564" s="65">
        <f>IFERROR(__xludf.DUMMYFUNCTION("""COMPUTED_VALUE"""),0.0)</f>
        <v>0</v>
      </c>
      <c r="V564" s="65">
        <f>IFERROR(__xludf.DUMMYFUNCTION("""COMPUTED_VALUE"""),0.0)</f>
        <v>0</v>
      </c>
      <c r="W564" s="65">
        <f>IFERROR(__xludf.DUMMYFUNCTION("""COMPUTED_VALUE"""),0.0)</f>
        <v>0</v>
      </c>
      <c r="X564" s="65">
        <f>IFERROR(__xludf.DUMMYFUNCTION("""COMPUTED_VALUE"""),2.4)</f>
        <v>2.4</v>
      </c>
      <c r="Y564" s="65">
        <f>IFERROR(__xludf.DUMMYFUNCTION("""COMPUTED_VALUE"""),7.2)</f>
        <v>7.2</v>
      </c>
      <c r="Z564" s="65">
        <f>IFERROR(__xludf.DUMMYFUNCTION("""COMPUTED_VALUE"""),120732.0)</f>
        <v>120732</v>
      </c>
      <c r="AA564" s="65" t="str">
        <f>IFERROR(__xludf.DUMMYFUNCTION("""COMPUTED_VALUE"""),"PROV-LMPVT")</f>
        <v>PROV-LMPVT</v>
      </c>
      <c r="AB564" s="65"/>
      <c r="AC564" s="65" t="str">
        <f>IFERROR(__xludf.DUMMYFUNCTION("""COMPUTED_VALUE"""),"LIMPIADOR DE PARABRISAS Y VENTANAS")</f>
        <v>LIMPIADOR DE PARABRISAS Y VENTANAS</v>
      </c>
      <c r="AD564" s="65"/>
      <c r="AE564" s="65">
        <f>IFERROR(__xludf.DUMMYFUNCTION("""COMPUTED_VALUE"""),3.0)</f>
        <v>3</v>
      </c>
      <c r="AF564" s="65"/>
      <c r="AG564" s="65"/>
      <c r="AH564" s="65"/>
      <c r="AI564" s="65"/>
      <c r="AJ564" s="65"/>
      <c r="AK564" s="65"/>
      <c r="AL564" s="65"/>
      <c r="AM564" s="65"/>
      <c r="AN564" s="65" t="str">
        <f>IFERROR(__xludf.DUMMYFUNCTION("""COMPUTED_VALUE"""),"09:02")</f>
        <v>09:02</v>
      </c>
      <c r="AO564" s="65" t="str">
        <f>IFERROR(__xludf.DUMMYFUNCTION("""COMPUTED_VALUE"""),"24-02-2026")</f>
        <v>24-02-2026</v>
      </c>
      <c r="AP564" s="65" t="str">
        <f>IFERROR(__xludf.DUMMYFUNCTION("""COMPUTED_VALUE"""),"EN DISTRIBUCION PARA ENTREGA EN AGENCIA")</f>
        <v>EN DISTRIBUCION PARA ENTREGA EN AGENCIA</v>
      </c>
      <c r="AQ564" s="65" t="str">
        <f>IFERROR(__xludf.DUMMYFUNCTION("""COMPUTED_VALUE"""),".")</f>
        <v>.</v>
      </c>
      <c r="AR564" s="65"/>
      <c r="AS564" s="65"/>
      <c r="AT564" s="65" t="str">
        <f>IFERROR(__xludf.DUMMYFUNCTION("""COMPUTED_VALUE"""),"CHATEA PRO")</f>
        <v>CHATEA PRO</v>
      </c>
      <c r="AU564" s="65" t="str">
        <f>IFERROR(__xludf.DUMMYFUNCTION("""COMPUTED_VALUE"""),"CHATEA PRO")</f>
        <v>CHATEA PRO</v>
      </c>
      <c r="AV564" s="65"/>
      <c r="AW564" s="65"/>
      <c r="AX564" s="65"/>
      <c r="AY564" s="65" t="str">
        <f>IFERROR(__xludf.DUMMYFUNCTION("""COMPUTED_VALUE"""),"23/02/2026")</f>
        <v>23/02/2026</v>
      </c>
      <c r="AZ564" s="65"/>
      <c r="BA564" s="65"/>
    </row>
    <row r="565">
      <c r="A565" s="65" t="str">
        <f>IFERROR(__xludf.DUMMYFUNCTION("""COMPUTED_VALUE"""),"27-03-2026")</f>
        <v>27-03-2026</v>
      </c>
      <c r="B565" s="65">
        <f>IFERROR(__xludf.DUMMYFUNCTION("""COMPUTED_VALUE"""),4596067.0)</f>
        <v>4596067</v>
      </c>
      <c r="C565" s="65" t="str">
        <f>IFERROR(__xludf.DUMMYFUNCTION("""COMPUTED_VALUE"""),"10:10")</f>
        <v>10:10</v>
      </c>
      <c r="D565" s="65" t="str">
        <f>IFERROR(__xludf.DUMMYFUNCTION("""COMPUTED_VALUE"""),"23-02-2026")</f>
        <v>23-02-2026</v>
      </c>
      <c r="E565" s="65" t="str">
        <f>IFERROR(__xludf.DUMMYFUNCTION("""COMPUTED_VALUE"""),"Norma Miranda")</f>
        <v>Norma Miranda</v>
      </c>
      <c r="F565" s="65" t="str">
        <f>IFERROR(__xludf.DUMMYFUNCTION("""COMPUTED_VALUE"""),"987631769")</f>
        <v>987631769</v>
      </c>
      <c r="G565" s="65"/>
      <c r="H565" s="65"/>
      <c r="I565" s="65"/>
      <c r="J565" s="65" t="str">
        <f>IFERROR(__xludf.DUMMYFUNCTION("""COMPUTED_VALUE"""),"186573343")</f>
        <v>186573343</v>
      </c>
      <c r="K565" s="65" t="str">
        <f>IFERROR(__xludf.DUMMYFUNCTION("""COMPUTED_VALUE"""),"ENTREGADO")</f>
        <v>ENTREGADO</v>
      </c>
      <c r="L565" s="65" t="str">
        <f>IFERROR(__xludf.DUMMYFUNCTION("""COMPUTED_VALUE"""),"CON RECAUDO")</f>
        <v>CON RECAUDO</v>
      </c>
      <c r="M565" s="65" t="str">
        <f>IFERROR(__xludf.DUMMYFUNCTION("""COMPUTED_VALUE"""),"MORONA SANTIAGO")</f>
        <v>MORONA SANTIAGO</v>
      </c>
      <c r="N565" s="65" t="str">
        <f>IFERROR(__xludf.DUMMYFUNCTION("""COMPUTED_VALUE"""),"PALORA")</f>
        <v>PALORA</v>
      </c>
      <c r="O565" s="65" t="str">
        <f>IFERROR(__xludf.DUMMYFUNCTION("""COMPUTED_VALUE"""),"Av Cumanda y Perez Reina - Diagonal al estadio la cocha")</f>
        <v>Av Cumanda y Perez Reina - Diagonal al estadio la cocha</v>
      </c>
      <c r="P565" s="65"/>
      <c r="Q565" s="65" t="str">
        <f>IFERROR(__xludf.DUMMYFUNCTION("""COMPUTED_VALUE"""),"SERVIENTREGA")</f>
        <v>SERVIENTREGA</v>
      </c>
      <c r="R565" s="65">
        <f>IFERROR(__xludf.DUMMYFUNCTION("""COMPUTED_VALUE"""),22.0)</f>
        <v>22</v>
      </c>
      <c r="S565" s="65">
        <f>IFERROR(__xludf.DUMMYFUNCTION("""COMPUTED_VALUE"""),6.8)</f>
        <v>6.8</v>
      </c>
      <c r="T565" s="65">
        <f>IFERROR(__xludf.DUMMYFUNCTION("""COMPUTED_VALUE"""),7.7)</f>
        <v>7.7</v>
      </c>
      <c r="U565" s="65">
        <f>IFERROR(__xludf.DUMMYFUNCTION("""COMPUTED_VALUE"""),0.0)</f>
        <v>0</v>
      </c>
      <c r="V565" s="65">
        <f>IFERROR(__xludf.DUMMYFUNCTION("""COMPUTED_VALUE"""),0.0)</f>
        <v>0</v>
      </c>
      <c r="W565" s="65">
        <f>IFERROR(__xludf.DUMMYFUNCTION("""COMPUTED_VALUE"""),0.0)</f>
        <v>0</v>
      </c>
      <c r="X565" s="65">
        <f>IFERROR(__xludf.DUMMYFUNCTION("""COMPUTED_VALUE"""),3.75)</f>
        <v>3.75</v>
      </c>
      <c r="Y565" s="65">
        <f>IFERROR(__xludf.DUMMYFUNCTION("""COMPUTED_VALUE"""),7.5)</f>
        <v>7.5</v>
      </c>
      <c r="Z565" s="65">
        <f>IFERROR(__xludf.DUMMYFUNCTION("""COMPUTED_VALUE"""),113116.0)</f>
        <v>113116</v>
      </c>
      <c r="AA565" s="65" t="str">
        <f>IFERROR(__xludf.DUMMYFUNCTION("""COMPUTED_VALUE"""),"IM-TAZAKI")</f>
        <v>IM-TAZAKI</v>
      </c>
      <c r="AB565" s="65"/>
      <c r="AC565" s="65" t="str">
        <f>IFERROR(__xludf.DUMMYFUNCTION("""COMPUTED_VALUE"""),"Cuchillo tazaki")</f>
        <v>Cuchillo tazaki</v>
      </c>
      <c r="AD565" s="65"/>
      <c r="AE565" s="65">
        <f>IFERROR(__xludf.DUMMYFUNCTION("""COMPUTED_VALUE"""),2.0)</f>
        <v>2</v>
      </c>
      <c r="AF565" s="65"/>
      <c r="AG565" s="65"/>
      <c r="AH565" s="65"/>
      <c r="AI565" s="65"/>
      <c r="AJ565" s="65"/>
      <c r="AK565" s="65"/>
      <c r="AL565" s="65"/>
      <c r="AM565" s="65"/>
      <c r="AN565" s="65" t="str">
        <f>IFERROR(__xludf.DUMMYFUNCTION("""COMPUTED_VALUE"""),"13:41")</f>
        <v>13:41</v>
      </c>
      <c r="AO565" s="65" t="str">
        <f>IFERROR(__xludf.DUMMYFUNCTION("""COMPUTED_VALUE"""),"26-02-2026")</f>
        <v>26-02-2026</v>
      </c>
      <c r="AP565" s="65" t="str">
        <f>IFERROR(__xludf.DUMMYFUNCTION("""COMPUTED_VALUE"""),"INGRESANDO EN AGENCIA")</f>
        <v>INGRESANDO EN AGENCIA</v>
      </c>
      <c r="AQ565" s="65" t="str">
        <f>IFERROR(__xludf.DUMMYFUNCTION("""COMPUTED_VALUE"""),".")</f>
        <v>.</v>
      </c>
      <c r="AR565" s="65"/>
      <c r="AS565" s="65"/>
      <c r="AT565" s="65"/>
      <c r="AU565" s="65"/>
      <c r="AV565" s="65"/>
      <c r="AW565" s="65"/>
      <c r="AX565" s="65"/>
      <c r="AY565" s="65" t="str">
        <f>IFERROR(__xludf.DUMMYFUNCTION("""COMPUTED_VALUE"""),"23/02/2026")</f>
        <v>23/02/2026</v>
      </c>
      <c r="AZ565" s="65"/>
      <c r="BA565" s="65"/>
    </row>
    <row r="566">
      <c r="A566" s="65" t="str">
        <f>IFERROR(__xludf.DUMMYFUNCTION("""COMPUTED_VALUE"""),"27-03-2026")</f>
        <v>27-03-2026</v>
      </c>
      <c r="B566" s="65">
        <f>IFERROR(__xludf.DUMMYFUNCTION("""COMPUTED_VALUE"""),4589721.0)</f>
        <v>4589721</v>
      </c>
      <c r="C566" s="65" t="str">
        <f>IFERROR(__xludf.DUMMYFUNCTION("""COMPUTED_VALUE"""),"20:26")</f>
        <v>20:26</v>
      </c>
      <c r="D566" s="65" t="str">
        <f>IFERROR(__xludf.DUMMYFUNCTION("""COMPUTED_VALUE"""),"22-02-2026")</f>
        <v>22-02-2026</v>
      </c>
      <c r="E566" s="65" t="str">
        <f>IFERROR(__xludf.DUMMYFUNCTION("""COMPUTED_VALUE"""),"Maximo Salas")</f>
        <v>Maximo Salas</v>
      </c>
      <c r="F566" s="65" t="str">
        <f>IFERROR(__xludf.DUMMYFUNCTION("""COMPUTED_VALUE"""),"999510921")</f>
        <v>999510921</v>
      </c>
      <c r="G566" s="65" t="str">
        <f>IFERROR(__xludf.DUMMYFUNCTION("""COMPUTED_VALUE"""),"maxigato2@gmail.com")</f>
        <v>maxigato2@gmail.com</v>
      </c>
      <c r="H566" s="65"/>
      <c r="I566" s="65"/>
      <c r="J566" s="65"/>
      <c r="K566" s="65" t="str">
        <f>IFERROR(__xludf.DUMMYFUNCTION("""COMPUTED_VALUE"""),"CANCELADO")</f>
        <v>CANCELADO</v>
      </c>
      <c r="L566" s="65" t="str">
        <f>IFERROR(__xludf.DUMMYFUNCTION("""COMPUTED_VALUE"""),"CON RECAUDO")</f>
        <v>CON RECAUDO</v>
      </c>
      <c r="M566" s="65" t="str">
        <f>IFERROR(__xludf.DUMMYFUNCTION("""COMPUTED_VALUE"""),"GUAYAS")</f>
        <v>GUAYAS</v>
      </c>
      <c r="N566" s="65" t="str">
        <f>IFERROR(__xludf.DUMMYFUNCTION("""COMPUTED_VALUE"""),"BALZAR")</f>
        <v>BALZAR</v>
      </c>
      <c r="O566" s="65" t="str">
        <f>IFERROR(__xludf.DUMMYFUNCTION("""COMPUTED_VALUE"""),"Baltazar araus Frente donde venden gas -")</f>
        <v>Baltazar araus Frente donde venden gas -</v>
      </c>
      <c r="P566" s="65"/>
      <c r="Q566" s="65" t="str">
        <f>IFERROR(__xludf.DUMMYFUNCTION("""COMPUTED_VALUE"""),"LAARCOURIER")</f>
        <v>LAARCOURIER</v>
      </c>
      <c r="R566" s="65">
        <f>IFERROR(__xludf.DUMMYFUNCTION("""COMPUTED_VALUE"""),20.0)</f>
        <v>20</v>
      </c>
      <c r="S566" s="65"/>
      <c r="T566" s="65">
        <f>IFERROR(__xludf.DUMMYFUNCTION("""COMPUTED_VALUE"""),6.9)</f>
        <v>6.9</v>
      </c>
      <c r="U566" s="65">
        <f>IFERROR(__xludf.DUMMYFUNCTION("""COMPUTED_VALUE"""),0.0)</f>
        <v>0</v>
      </c>
      <c r="V566" s="65">
        <f>IFERROR(__xludf.DUMMYFUNCTION("""COMPUTED_VALUE"""),0.0)</f>
        <v>0</v>
      </c>
      <c r="W566" s="65">
        <f>IFERROR(__xludf.DUMMYFUNCTION("""COMPUTED_VALUE"""),0.0)</f>
        <v>0</v>
      </c>
      <c r="X566" s="65">
        <f>IFERROR(__xludf.DUMMYFUNCTION("""COMPUTED_VALUE"""),2.35)</f>
        <v>2.35</v>
      </c>
      <c r="Y566" s="65">
        <f>IFERROR(__xludf.DUMMYFUNCTION("""COMPUTED_VALUE"""),2.35)</f>
        <v>2.35</v>
      </c>
      <c r="Z566" s="65">
        <f>IFERROR(__xludf.DUMMYFUNCTION("""COMPUTED_VALUE"""),116679.0)</f>
        <v>116679</v>
      </c>
      <c r="AA566" s="65" t="str">
        <f>IFERROR(__xludf.DUMMYFUNCTION("""COMPUTED_VALUE"""),"AMC-2738")</f>
        <v>AMC-2738</v>
      </c>
      <c r="AB566" s="65"/>
      <c r="AC566" s="65" t="str">
        <f>IFERROR(__xludf.DUMMYFUNCTION("""COMPUTED_VALUE"""),"ESPONJA ANTILLUVIA DE PARABRISAS")</f>
        <v>ESPONJA ANTILLUVIA DE PARABRISAS</v>
      </c>
      <c r="AD566" s="65"/>
      <c r="AE566" s="65">
        <f>IFERROR(__xludf.DUMMYFUNCTION("""COMPUTED_VALUE"""),1.0)</f>
        <v>1</v>
      </c>
      <c r="AF566" s="65"/>
      <c r="AG566" s="65"/>
      <c r="AH566" s="65"/>
      <c r="AI566" s="65"/>
      <c r="AJ566" s="65"/>
      <c r="AK566" s="65"/>
      <c r="AL566" s="65"/>
      <c r="AM566" s="65"/>
      <c r="AN566" s="65"/>
      <c r="AO566" s="65"/>
      <c r="AP566" s="65"/>
      <c r="AQ566" s="65"/>
      <c r="AR566" s="65"/>
      <c r="AS566" s="65"/>
      <c r="AT566" s="65" t="str">
        <f>IFERROR(__xludf.DUMMYFUNCTION("""COMPUTED_VALUE"""),"SHOPIFY")</f>
        <v>SHOPIFY</v>
      </c>
      <c r="AU566" s="65" t="str">
        <f>IFERROR(__xludf.DUMMYFUNCTION("""COMPUTED_VALUE"""),"IMPORTEX EC")</f>
        <v>IMPORTEX EC</v>
      </c>
      <c r="AV566" s="65" t="str">
        <f>IFERROR(__xludf.DUMMYFUNCTION("""COMPUTED_VALUE"""),"6522960838700")</f>
        <v>6522960838700</v>
      </c>
      <c r="AW566" s="65">
        <f>IFERROR(__xludf.DUMMYFUNCTION("""COMPUTED_VALUE"""),6306.0)</f>
        <v>6306</v>
      </c>
      <c r="AX566" s="65"/>
      <c r="AY566" s="65"/>
      <c r="AZ566" s="65"/>
      <c r="BA566" s="65"/>
    </row>
    <row r="567">
      <c r="A567" s="65" t="str">
        <f>IFERROR(__xludf.DUMMYFUNCTION("""COMPUTED_VALUE"""),"27-03-2026")</f>
        <v>27-03-2026</v>
      </c>
      <c r="B567" s="65">
        <f>IFERROR(__xludf.DUMMYFUNCTION("""COMPUTED_VALUE"""),4588995.0)</f>
        <v>4588995</v>
      </c>
      <c r="C567" s="65" t="str">
        <f>IFERROR(__xludf.DUMMYFUNCTION("""COMPUTED_VALUE"""),"19:16")</f>
        <v>19:16</v>
      </c>
      <c r="D567" s="65" t="str">
        <f>IFERROR(__xludf.DUMMYFUNCTION("""COMPUTED_VALUE"""),"22-02-2026")</f>
        <v>22-02-2026</v>
      </c>
      <c r="E567" s="65" t="str">
        <f>IFERROR(__xludf.DUMMYFUNCTION("""COMPUTED_VALUE"""),"Alvaro Cobos")</f>
        <v>Alvaro Cobos</v>
      </c>
      <c r="F567" s="65" t="str">
        <f>IFERROR(__xludf.DUMMYFUNCTION("""COMPUTED_VALUE"""),"989167166")</f>
        <v>989167166</v>
      </c>
      <c r="G567" s="65" t="str">
        <f>IFERROR(__xludf.DUMMYFUNCTION("""COMPUTED_VALUE"""),"acoboslomas03@gmail.com")</f>
        <v>acoboslomas03@gmail.com</v>
      </c>
      <c r="H567" s="65"/>
      <c r="I567" s="65"/>
      <c r="J567" s="65" t="str">
        <f>IFERROR(__xludf.DUMMYFUNCTION("""COMPUTED_VALUE"""),"D001353666")</f>
        <v>D001353666</v>
      </c>
      <c r="K567" s="65" t="str">
        <f>IFERROR(__xludf.DUMMYFUNCTION("""COMPUTED_VALUE"""),"ENTREGADO")</f>
        <v>ENTREGADO</v>
      </c>
      <c r="L567" s="65" t="str">
        <f>IFERROR(__xludf.DUMMYFUNCTION("""COMPUTED_VALUE"""),"CON RECAUDO")</f>
        <v>CON RECAUDO</v>
      </c>
      <c r="M567" s="65" t="str">
        <f>IFERROR(__xludf.DUMMYFUNCTION("""COMPUTED_VALUE"""),"EL ORO")</f>
        <v>EL ORO</v>
      </c>
      <c r="N567" s="65" t="str">
        <f>IFERROR(__xludf.DUMMYFUNCTION("""COMPUTED_VALUE"""),"PASAJE")</f>
        <v>PASAJE</v>
      </c>
      <c r="O567" s="65" t="str">
        <f>IFERROR(__xludf.DUMMYFUNCTION("""COMPUTED_VALUE"""),"Urb. La laguna en garita - Av Enrique Lopez  Aguilar y Amelia Tobar")</f>
        <v>Urb. La laguna en garita - Av Enrique Lopez  Aguilar y Amelia Tobar</v>
      </c>
      <c r="P567" s="65"/>
      <c r="Q567" s="65" t="str">
        <f>IFERROR(__xludf.DUMMYFUNCTION("""COMPUTED_VALUE"""),"GINTRACOM")</f>
        <v>GINTRACOM</v>
      </c>
      <c r="R567" s="65">
        <f>IFERROR(__xludf.DUMMYFUNCTION("""COMPUTED_VALUE"""),30.0)</f>
        <v>30</v>
      </c>
      <c r="S567" s="65">
        <f>IFERROR(__xludf.DUMMYFUNCTION("""COMPUTED_VALUE"""),16.79)</f>
        <v>16.79</v>
      </c>
      <c r="T567" s="65">
        <f>IFERROR(__xludf.DUMMYFUNCTION("""COMPUTED_VALUE"""),6.16)</f>
        <v>6.16</v>
      </c>
      <c r="U567" s="65">
        <f>IFERROR(__xludf.DUMMYFUNCTION("""COMPUTED_VALUE"""),0.0)</f>
        <v>0</v>
      </c>
      <c r="V567" s="65">
        <f>IFERROR(__xludf.DUMMYFUNCTION("""COMPUTED_VALUE"""),0.0)</f>
        <v>0</v>
      </c>
      <c r="W567" s="65">
        <f>IFERROR(__xludf.DUMMYFUNCTION("""COMPUTED_VALUE"""),0.0)</f>
        <v>0</v>
      </c>
      <c r="X567" s="65">
        <f>IFERROR(__xludf.DUMMYFUNCTION("""COMPUTED_VALUE"""),2.35)</f>
        <v>2.35</v>
      </c>
      <c r="Y567" s="65">
        <f>IFERROR(__xludf.DUMMYFUNCTION("""COMPUTED_VALUE"""),7.05)</f>
        <v>7.05</v>
      </c>
      <c r="Z567" s="65">
        <f>IFERROR(__xludf.DUMMYFUNCTION("""COMPUTED_VALUE"""),116679.0)</f>
        <v>116679</v>
      </c>
      <c r="AA567" s="65" t="str">
        <f>IFERROR(__xludf.DUMMYFUNCTION("""COMPUTED_VALUE"""),"AMC-2738")</f>
        <v>AMC-2738</v>
      </c>
      <c r="AB567" s="65"/>
      <c r="AC567" s="65" t="str">
        <f>IFERROR(__xludf.DUMMYFUNCTION("""COMPUTED_VALUE"""),"ESPONJA ANTILLUVIA DE PARABRISAS")</f>
        <v>ESPONJA ANTILLUVIA DE PARABRISAS</v>
      </c>
      <c r="AD567" s="65"/>
      <c r="AE567" s="65">
        <f>IFERROR(__xludf.DUMMYFUNCTION("""COMPUTED_VALUE"""),3.0)</f>
        <v>3</v>
      </c>
      <c r="AF567" s="65" t="str">
        <f>IFERROR(__xludf.DUMMYFUNCTION("""COMPUTED_VALUE"""),"DESTINATARIO NO CONTESTA LLAMADAS NI WHATSAPP")</f>
        <v>DESTINATARIO NO CONTESTA LLAMADAS NI WHATSAPP</v>
      </c>
      <c r="AG567" s="65" t="str">
        <f>IFERROR(__xludf.DUMMYFUNCTION("""COMPUTED_VALUE"""),"SI")</f>
        <v>SI</v>
      </c>
      <c r="AH567" s="65" t="str">
        <f>IFERROR(__xludf.DUMMYFUNCTION("""COMPUTED_VALUE"""),"09:00")</f>
        <v>09:00</v>
      </c>
      <c r="AI567" s="65" t="str">
        <f>IFERROR(__xludf.DUMMYFUNCTION("""COMPUTED_VALUE"""),"04-03-2026")</f>
        <v>04-03-2026</v>
      </c>
      <c r="AJ567" s="65" t="str">
        <f>IFERROR(__xludf.DUMMYFUNCTION("""COMPUTED_VALUE"""),"Cliente solicita la entrega inmediata.")</f>
        <v>Cliente solicita la entrega inmediata.</v>
      </c>
      <c r="AK567" s="65" t="str">
        <f>IFERROR(__xludf.DUMMYFUNCTION("""COMPUTED_VALUE"""),"13:05")</f>
        <v>13:05</v>
      </c>
      <c r="AL567" s="65" t="str">
        <f>IFERROR(__xludf.DUMMYFUNCTION("""COMPUTED_VALUE"""),"04-03-2026")</f>
        <v>04-03-2026</v>
      </c>
      <c r="AM567" s="65"/>
      <c r="AN567" s="65" t="str">
        <f>IFERROR(__xludf.DUMMYFUNCTION("""COMPUTED_VALUE"""),"10:43")</f>
        <v>10:43</v>
      </c>
      <c r="AO567" s="65" t="str">
        <f>IFERROR(__xludf.DUMMYFUNCTION("""COMPUTED_VALUE"""),"07-03-2026")</f>
        <v>07-03-2026</v>
      </c>
      <c r="AP567" s="65" t="str">
        <f>IFERROR(__xludf.DUMMYFUNCTION("""COMPUTED_VALUE"""),"ENTREGADA GINTRACOM")</f>
        <v>ENTREGADA GINTRACOM</v>
      </c>
      <c r="AQ567" s="65" t="str">
        <f>IFERROR(__xludf.DUMMYFUNCTION("""COMPUTED_VALUE"""),"ENTREGADA GINTRACOM")</f>
        <v>ENTREGADA GINTRACOM</v>
      </c>
      <c r="AR567" s="65"/>
      <c r="AS567" s="65"/>
      <c r="AT567" s="65" t="str">
        <f>IFERROR(__xludf.DUMMYFUNCTION("""COMPUTED_VALUE"""),"SHOPIFY")</f>
        <v>SHOPIFY</v>
      </c>
      <c r="AU567" s="65" t="str">
        <f>IFERROR(__xludf.DUMMYFUNCTION("""COMPUTED_VALUE"""),"IMPORTEX EC")</f>
        <v>IMPORTEX EC</v>
      </c>
      <c r="AV567" s="65" t="str">
        <f>IFERROR(__xludf.DUMMYFUNCTION("""COMPUTED_VALUE"""),"6522823278636")</f>
        <v>6522823278636</v>
      </c>
      <c r="AW567" s="65">
        <f>IFERROR(__xludf.DUMMYFUNCTION("""COMPUTED_VALUE"""),6305.0)</f>
        <v>6305</v>
      </c>
      <c r="AX567" s="65"/>
      <c r="AY567" s="65" t="str">
        <f>IFERROR(__xludf.DUMMYFUNCTION("""COMPUTED_VALUE"""),"23/02/2026")</f>
        <v>23/02/2026</v>
      </c>
      <c r="AZ567" s="65"/>
      <c r="BA567" s="65"/>
    </row>
    <row r="568">
      <c r="A568" s="65" t="str">
        <f>IFERROR(__xludf.DUMMYFUNCTION("""COMPUTED_VALUE"""),"27-03-2026")</f>
        <v>27-03-2026</v>
      </c>
      <c r="B568" s="65">
        <f>IFERROR(__xludf.DUMMYFUNCTION("""COMPUTED_VALUE"""),4586637.0)</f>
        <v>4586637</v>
      </c>
      <c r="C568" s="65" t="str">
        <f>IFERROR(__xludf.DUMMYFUNCTION("""COMPUTED_VALUE"""),"14:41")</f>
        <v>14:41</v>
      </c>
      <c r="D568" s="65" t="str">
        <f>IFERROR(__xludf.DUMMYFUNCTION("""COMPUTED_VALUE"""),"22-02-2026")</f>
        <v>22-02-2026</v>
      </c>
      <c r="E568" s="65" t="str">
        <f>IFERROR(__xludf.DUMMYFUNCTION("""COMPUTED_VALUE"""),"Mario david Suárez posligua")</f>
        <v>Mario david Suárez posligua</v>
      </c>
      <c r="F568" s="65" t="str">
        <f>IFERROR(__xludf.DUMMYFUNCTION("""COMPUTED_VALUE"""),"997162626")</f>
        <v>997162626</v>
      </c>
      <c r="G568" s="65" t="str">
        <f>IFERROR(__xludf.DUMMYFUNCTION("""COMPUTED_VALUE"""),"mariosuarezdavid@gmail.com")</f>
        <v>mariosuarezdavid@gmail.com</v>
      </c>
      <c r="H568" s="65"/>
      <c r="I568" s="65"/>
      <c r="J568" s="65" t="str">
        <f>IFERROR(__xludf.DUMMYFUNCTION("""COMPUTED_VALUE"""),"D001353667")</f>
        <v>D001353667</v>
      </c>
      <c r="K568" s="65" t="str">
        <f>IFERROR(__xludf.DUMMYFUNCTION("""COMPUTED_VALUE"""),"ENTREGADO")</f>
        <v>ENTREGADO</v>
      </c>
      <c r="L568" s="65" t="str">
        <f>IFERROR(__xludf.DUMMYFUNCTION("""COMPUTED_VALUE"""),"CON RECAUDO")</f>
        <v>CON RECAUDO</v>
      </c>
      <c r="M568" s="65" t="str">
        <f>IFERROR(__xludf.DUMMYFUNCTION("""COMPUTED_VALUE"""),"ORELLANA")</f>
        <v>ORELLANA</v>
      </c>
      <c r="N568" s="65" t="str">
        <f>IFERROR(__xludf.DUMMYFUNCTION("""COMPUTED_VALUE"""),"EL COCA")</f>
        <v>EL COCA</v>
      </c>
      <c r="O568" s="65" t="str">
        <f>IFERROR(__xludf.DUMMYFUNCTION("""COMPUTED_VALUE"""),"Zapotal y Putumayo, a lado de la tienda vivi")</f>
        <v>Zapotal y Putumayo, a lado de la tienda vivi</v>
      </c>
      <c r="P568" s="65"/>
      <c r="Q568" s="65" t="str">
        <f>IFERROR(__xludf.DUMMYFUNCTION("""COMPUTED_VALUE"""),"GINTRACOM")</f>
        <v>GINTRACOM</v>
      </c>
      <c r="R568" s="65">
        <f>IFERROR(__xludf.DUMMYFUNCTION("""COMPUTED_VALUE"""),30.0)</f>
        <v>30</v>
      </c>
      <c r="S568" s="65">
        <f>IFERROR(__xludf.DUMMYFUNCTION("""COMPUTED_VALUE"""),16.79)</f>
        <v>16.79</v>
      </c>
      <c r="T568" s="65">
        <f>IFERROR(__xludf.DUMMYFUNCTION("""COMPUTED_VALUE"""),6.16)</f>
        <v>6.16</v>
      </c>
      <c r="U568" s="65">
        <f>IFERROR(__xludf.DUMMYFUNCTION("""COMPUTED_VALUE"""),0.0)</f>
        <v>0</v>
      </c>
      <c r="V568" s="65">
        <f>IFERROR(__xludf.DUMMYFUNCTION("""COMPUTED_VALUE"""),0.0)</f>
        <v>0</v>
      </c>
      <c r="W568" s="65">
        <f>IFERROR(__xludf.DUMMYFUNCTION("""COMPUTED_VALUE"""),0.0)</f>
        <v>0</v>
      </c>
      <c r="X568" s="65">
        <f>IFERROR(__xludf.DUMMYFUNCTION("""COMPUTED_VALUE"""),2.35)</f>
        <v>2.35</v>
      </c>
      <c r="Y568" s="65">
        <f>IFERROR(__xludf.DUMMYFUNCTION("""COMPUTED_VALUE"""),7.05)</f>
        <v>7.05</v>
      </c>
      <c r="Z568" s="65">
        <f>IFERROR(__xludf.DUMMYFUNCTION("""COMPUTED_VALUE"""),116679.0)</f>
        <v>116679</v>
      </c>
      <c r="AA568" s="65" t="str">
        <f>IFERROR(__xludf.DUMMYFUNCTION("""COMPUTED_VALUE"""),"AMC-2738")</f>
        <v>AMC-2738</v>
      </c>
      <c r="AB568" s="65"/>
      <c r="AC568" s="65" t="str">
        <f>IFERROR(__xludf.DUMMYFUNCTION("""COMPUTED_VALUE"""),"ESPONJA ANTILLUVIA DE PARABRISAS")</f>
        <v>ESPONJA ANTILLUVIA DE PARABRISAS</v>
      </c>
      <c r="AD568" s="65"/>
      <c r="AE568" s="65">
        <f>IFERROR(__xludf.DUMMYFUNCTION("""COMPUTED_VALUE"""),3.0)</f>
        <v>3</v>
      </c>
      <c r="AF568" s="65"/>
      <c r="AG568" s="65"/>
      <c r="AH568" s="65"/>
      <c r="AI568" s="65"/>
      <c r="AJ568" s="65"/>
      <c r="AK568" s="65"/>
      <c r="AL568" s="65"/>
      <c r="AM568" s="65"/>
      <c r="AN568" s="65" t="str">
        <f>IFERROR(__xludf.DUMMYFUNCTION("""COMPUTED_VALUE"""),"08:39")</f>
        <v>08:39</v>
      </c>
      <c r="AO568" s="65" t="str">
        <f>IFERROR(__xludf.DUMMYFUNCTION("""COMPUTED_VALUE"""),"27-02-2026")</f>
        <v>27-02-2026</v>
      </c>
      <c r="AP568" s="65" t="str">
        <f>IFERROR(__xludf.DUMMYFUNCTION("""COMPUTED_VALUE"""),"EN REPARTO")</f>
        <v>EN REPARTO</v>
      </c>
      <c r="AQ568" s="65" t="str">
        <f>IFERROR(__xludf.DUMMYFUNCTION("""COMPUTED_VALUE"""),"EN REPARTO")</f>
        <v>EN REPARTO</v>
      </c>
      <c r="AR568" s="65"/>
      <c r="AS568" s="65"/>
      <c r="AT568" s="65" t="str">
        <f>IFERROR(__xludf.DUMMYFUNCTION("""COMPUTED_VALUE"""),"SHOPIFY")</f>
        <v>SHOPIFY</v>
      </c>
      <c r="AU568" s="65" t="str">
        <f>IFERROR(__xludf.DUMMYFUNCTION("""COMPUTED_VALUE"""),"IMPORTEX EC")</f>
        <v>IMPORTEX EC</v>
      </c>
      <c r="AV568" s="65" t="str">
        <f>IFERROR(__xludf.DUMMYFUNCTION("""COMPUTED_VALUE"""),"6521751699500")</f>
        <v>6521751699500</v>
      </c>
      <c r="AW568" s="65">
        <f>IFERROR(__xludf.DUMMYFUNCTION("""COMPUTED_VALUE"""),6303.0)</f>
        <v>6303</v>
      </c>
      <c r="AX568" s="65"/>
      <c r="AY568" s="65" t="str">
        <f>IFERROR(__xludf.DUMMYFUNCTION("""COMPUTED_VALUE"""),"23/02/2026")</f>
        <v>23/02/2026</v>
      </c>
      <c r="AZ568" s="65"/>
      <c r="BA568" s="65"/>
    </row>
    <row r="569">
      <c r="A569" s="65" t="str">
        <f>IFERROR(__xludf.DUMMYFUNCTION("""COMPUTED_VALUE"""),"27-03-2026")</f>
        <v>27-03-2026</v>
      </c>
      <c r="B569" s="65">
        <f>IFERROR(__xludf.DUMMYFUNCTION("""COMPUTED_VALUE"""),4586629.0)</f>
        <v>4586629</v>
      </c>
      <c r="C569" s="65" t="str">
        <f>IFERROR(__xludf.DUMMYFUNCTION("""COMPUTED_VALUE"""),"14:41")</f>
        <v>14:41</v>
      </c>
      <c r="D569" s="65" t="str">
        <f>IFERROR(__xludf.DUMMYFUNCTION("""COMPUTED_VALUE"""),"22-02-2026")</f>
        <v>22-02-2026</v>
      </c>
      <c r="E569" s="65" t="str">
        <f>IFERROR(__xludf.DUMMYFUNCTION("""COMPUTED_VALUE"""),"Kimen Barrio")</f>
        <v>Kimen Barrio</v>
      </c>
      <c r="F569" s="65" t="str">
        <f>IFERROR(__xludf.DUMMYFUNCTION("""COMPUTED_VALUE"""),"998086185")</f>
        <v>998086185</v>
      </c>
      <c r="G569" s="65" t="str">
        <f>IFERROR(__xludf.DUMMYFUNCTION("""COMPUTED_VALUE"""),"soluconticpa@hotmail.es")</f>
        <v>soluconticpa@hotmail.es</v>
      </c>
      <c r="H569" s="65"/>
      <c r="I569" s="65"/>
      <c r="J569" s="65" t="str">
        <f>IFERROR(__xludf.DUMMYFUNCTION("""COMPUTED_VALUE"""),"D001353668")</f>
        <v>D001353668</v>
      </c>
      <c r="K569" s="65" t="str">
        <f>IFERROR(__xludf.DUMMYFUNCTION("""COMPUTED_VALUE"""),"DEVOLUCION")</f>
        <v>DEVOLUCION</v>
      </c>
      <c r="L569" s="65" t="str">
        <f>IFERROR(__xludf.DUMMYFUNCTION("""COMPUTED_VALUE"""),"CON RECAUDO")</f>
        <v>CON RECAUDO</v>
      </c>
      <c r="M569" s="65" t="str">
        <f>IFERROR(__xludf.DUMMYFUNCTION("""COMPUTED_VALUE"""),"PICHINCHA")</f>
        <v>PICHINCHA</v>
      </c>
      <c r="N569" s="65" t="str">
        <f>IFERROR(__xludf.DUMMYFUNCTION("""COMPUTED_VALUE"""),"CALDERON")</f>
        <v>CALDERON</v>
      </c>
      <c r="O569" s="65" t="str">
        <f>IFERROR(__xludf.DUMMYFUNCTION("""COMPUTED_VALUE"""),"Carapungo y García Moreno # Cantagua Llano Grande -")</f>
        <v>Carapungo y García Moreno # Cantagua Llano Grande -</v>
      </c>
      <c r="P569" s="65"/>
      <c r="Q569" s="65" t="str">
        <f>IFERROR(__xludf.DUMMYFUNCTION("""COMPUTED_VALUE"""),"GINTRACOM")</f>
        <v>GINTRACOM</v>
      </c>
      <c r="R569" s="65">
        <f>IFERROR(__xludf.DUMMYFUNCTION("""COMPUTED_VALUE"""),30.0)</f>
        <v>30</v>
      </c>
      <c r="S569" s="65"/>
      <c r="T569" s="65">
        <f>IFERROR(__xludf.DUMMYFUNCTION("""COMPUTED_VALUE"""),5.12)</f>
        <v>5.12</v>
      </c>
      <c r="U569" s="65">
        <f>IFERROR(__xludf.DUMMYFUNCTION("""COMPUTED_VALUE"""),0.0)</f>
        <v>0</v>
      </c>
      <c r="V569" s="65">
        <f>IFERROR(__xludf.DUMMYFUNCTION("""COMPUTED_VALUE"""),0.0)</f>
        <v>0</v>
      </c>
      <c r="W569" s="65">
        <f>IFERROR(__xludf.DUMMYFUNCTION("""COMPUTED_VALUE"""),0.0)</f>
        <v>0</v>
      </c>
      <c r="X569" s="65">
        <f>IFERROR(__xludf.DUMMYFUNCTION("""COMPUTED_VALUE"""),2.35)</f>
        <v>2.35</v>
      </c>
      <c r="Y569" s="65">
        <f>IFERROR(__xludf.DUMMYFUNCTION("""COMPUTED_VALUE"""),7.05)</f>
        <v>7.05</v>
      </c>
      <c r="Z569" s="65">
        <f>IFERROR(__xludf.DUMMYFUNCTION("""COMPUTED_VALUE"""),116679.0)</f>
        <v>116679</v>
      </c>
      <c r="AA569" s="65" t="str">
        <f>IFERROR(__xludf.DUMMYFUNCTION("""COMPUTED_VALUE"""),"AMC-2738")</f>
        <v>AMC-2738</v>
      </c>
      <c r="AB569" s="65"/>
      <c r="AC569" s="65" t="str">
        <f>IFERROR(__xludf.DUMMYFUNCTION("""COMPUTED_VALUE"""),"ESPONJA ANTILLUVIA DE PARABRISAS")</f>
        <v>ESPONJA ANTILLUVIA DE PARABRISAS</v>
      </c>
      <c r="AD569" s="65"/>
      <c r="AE569" s="65">
        <f>IFERROR(__xludf.DUMMYFUNCTION("""COMPUTED_VALUE"""),3.0)</f>
        <v>3</v>
      </c>
      <c r="AF569" s="65" t="str">
        <f>IFERROR(__xludf.DUMMYFUNCTION("""COMPUTED_VALUE"""),"DESTINATARIO INDICA QUE YA NO DESEA EL PRODUCTO")</f>
        <v>DESTINATARIO INDICA QUE YA NO DESEA EL PRODUCTO</v>
      </c>
      <c r="AG569" s="65" t="str">
        <f>IFERROR(__xludf.DUMMYFUNCTION("""COMPUTED_VALUE"""),"NO")</f>
        <v>NO</v>
      </c>
      <c r="AH569" s="65" t="str">
        <f>IFERROR(__xludf.DUMMYFUNCTION("""COMPUTED_VALUE"""),"17:27")</f>
        <v>17:27</v>
      </c>
      <c r="AI569" s="65" t="str">
        <f>IFERROR(__xludf.DUMMYFUNCTION("""COMPUTED_VALUE"""),"27-02-2026")</f>
        <v>27-02-2026</v>
      </c>
      <c r="AJ569" s="65"/>
      <c r="AK569" s="65"/>
      <c r="AL569" s="65"/>
      <c r="AM569" s="65"/>
      <c r="AN569" s="65" t="str">
        <f>IFERROR(__xludf.DUMMYFUNCTION("""COMPUTED_VALUE"""),"17:18")</f>
        <v>17:18</v>
      </c>
      <c r="AO569" s="65" t="str">
        <f>IFERROR(__xludf.DUMMYFUNCTION("""COMPUTED_VALUE"""),"12-03-2026")</f>
        <v>12-03-2026</v>
      </c>
      <c r="AP569" s="65" t="str">
        <f>IFERROR(__xludf.DUMMYFUNCTION("""COMPUTED_VALUE"""),"DEVOLUCIÓN ENTREGADA A ORIGEN")</f>
        <v>DEVOLUCIÓN ENTREGADA A ORIGEN</v>
      </c>
      <c r="AQ569" s="65" t="str">
        <f>IFERROR(__xludf.DUMMYFUNCTION("""COMPUTED_VALUE"""),"DEVOLUCIÓN ENTREGADA A ORIGEN")</f>
        <v>DEVOLUCIÓN ENTREGADA A ORIGEN</v>
      </c>
      <c r="AR569" s="65"/>
      <c r="AS569" s="65"/>
      <c r="AT569" s="65" t="str">
        <f>IFERROR(__xludf.DUMMYFUNCTION("""COMPUTED_VALUE"""),"SHOPIFY")</f>
        <v>SHOPIFY</v>
      </c>
      <c r="AU569" s="65" t="str">
        <f>IFERROR(__xludf.DUMMYFUNCTION("""COMPUTED_VALUE"""),"IMPORTEX EC")</f>
        <v>IMPORTEX EC</v>
      </c>
      <c r="AV569" s="65" t="str">
        <f>IFERROR(__xludf.DUMMYFUNCTION("""COMPUTED_VALUE"""),"6521669287980")</f>
        <v>6521669287980</v>
      </c>
      <c r="AW569" s="65">
        <f>IFERROR(__xludf.DUMMYFUNCTION("""COMPUTED_VALUE"""),6302.0)</f>
        <v>6302</v>
      </c>
      <c r="AX569" s="65"/>
      <c r="AY569" s="65" t="str">
        <f>IFERROR(__xludf.DUMMYFUNCTION("""COMPUTED_VALUE"""),"23/02/2026")</f>
        <v>23/02/2026</v>
      </c>
      <c r="AZ569" s="65"/>
      <c r="BA569" s="65"/>
    </row>
    <row r="570">
      <c r="A570" s="65" t="str">
        <f>IFERROR(__xludf.DUMMYFUNCTION("""COMPUTED_VALUE"""),"27-03-2026")</f>
        <v>27-03-2026</v>
      </c>
      <c r="B570" s="65">
        <f>IFERROR(__xludf.DUMMYFUNCTION("""COMPUTED_VALUE"""),4586619.0)</f>
        <v>4586619</v>
      </c>
      <c r="C570" s="65" t="str">
        <f>IFERROR(__xludf.DUMMYFUNCTION("""COMPUTED_VALUE"""),"14:40")</f>
        <v>14:40</v>
      </c>
      <c r="D570" s="65" t="str">
        <f>IFERROR(__xludf.DUMMYFUNCTION("""COMPUTED_VALUE"""),"22-02-2026")</f>
        <v>22-02-2026</v>
      </c>
      <c r="E570" s="65" t="str">
        <f>IFERROR(__xludf.DUMMYFUNCTION("""COMPUTED_VALUE"""),"Jose Montece")</f>
        <v>Jose Montece</v>
      </c>
      <c r="F570" s="65" t="str">
        <f>IFERROR(__xludf.DUMMYFUNCTION("""COMPUTED_VALUE"""),"986923230")</f>
        <v>986923230</v>
      </c>
      <c r="G570" s="65" t="str">
        <f>IFERROR(__xludf.DUMMYFUNCTION("""COMPUTED_VALUE"""),"josemontece0@gmail.com")</f>
        <v>josemontece0@gmail.com</v>
      </c>
      <c r="H570" s="65"/>
      <c r="I570" s="65"/>
      <c r="J570" s="65" t="str">
        <f>IFERROR(__xludf.DUMMYFUNCTION("""COMPUTED_VALUE"""),"D001353669")</f>
        <v>D001353669</v>
      </c>
      <c r="K570" s="65" t="str">
        <f>IFERROR(__xludf.DUMMYFUNCTION("""COMPUTED_VALUE"""),"ENTREGADO")</f>
        <v>ENTREGADO</v>
      </c>
      <c r="L570" s="65" t="str">
        <f>IFERROR(__xludf.DUMMYFUNCTION("""COMPUTED_VALUE"""),"CON RECAUDO")</f>
        <v>CON RECAUDO</v>
      </c>
      <c r="M570" s="65" t="str">
        <f>IFERROR(__xludf.DUMMYFUNCTION("""COMPUTED_VALUE"""),"LOS RIOS")</f>
        <v>LOS RIOS</v>
      </c>
      <c r="N570" s="65" t="str">
        <f>IFERROR(__xludf.DUMMYFUNCTION("""COMPUTED_VALUE"""),"QUEVEDO")</f>
        <v>QUEVEDO</v>
      </c>
      <c r="O570" s="65" t="str">
        <f>IFERROR(__xludf.DUMMYFUNCTION("""COMPUTED_VALUE"""),"Kilómetro uno y medio vía Valencia Al FRENTE A   AGRIMEN  - Quevedo, R, EC")</f>
        <v>Kilómetro uno y medio vía Valencia Al FRENTE A   AGRIMEN  - Quevedo, R, EC</v>
      </c>
      <c r="P570" s="65"/>
      <c r="Q570" s="65" t="str">
        <f>IFERROR(__xludf.DUMMYFUNCTION("""COMPUTED_VALUE"""),"GINTRACOM")</f>
        <v>GINTRACOM</v>
      </c>
      <c r="R570" s="65">
        <f>IFERROR(__xludf.DUMMYFUNCTION("""COMPUTED_VALUE"""),25.0)</f>
        <v>25</v>
      </c>
      <c r="S570" s="65">
        <f>IFERROR(__xludf.DUMMYFUNCTION("""COMPUTED_VALUE"""),14.34)</f>
        <v>14.34</v>
      </c>
      <c r="T570" s="65">
        <f>IFERROR(__xludf.DUMMYFUNCTION("""COMPUTED_VALUE"""),5.96)</f>
        <v>5.96</v>
      </c>
      <c r="U570" s="65">
        <f>IFERROR(__xludf.DUMMYFUNCTION("""COMPUTED_VALUE"""),0.0)</f>
        <v>0</v>
      </c>
      <c r="V570" s="65">
        <f>IFERROR(__xludf.DUMMYFUNCTION("""COMPUTED_VALUE"""),0.0)</f>
        <v>0</v>
      </c>
      <c r="W570" s="65">
        <f>IFERROR(__xludf.DUMMYFUNCTION("""COMPUTED_VALUE"""),0.0)</f>
        <v>0</v>
      </c>
      <c r="X570" s="65">
        <f>IFERROR(__xludf.DUMMYFUNCTION("""COMPUTED_VALUE"""),2.35)</f>
        <v>2.35</v>
      </c>
      <c r="Y570" s="65">
        <f>IFERROR(__xludf.DUMMYFUNCTION("""COMPUTED_VALUE"""),4.7)</f>
        <v>4.7</v>
      </c>
      <c r="Z570" s="65">
        <f>IFERROR(__xludf.DUMMYFUNCTION("""COMPUTED_VALUE"""),116679.0)</f>
        <v>116679</v>
      </c>
      <c r="AA570" s="65" t="str">
        <f>IFERROR(__xludf.DUMMYFUNCTION("""COMPUTED_VALUE"""),"AMC-2738")</f>
        <v>AMC-2738</v>
      </c>
      <c r="AB570" s="65"/>
      <c r="AC570" s="65" t="str">
        <f>IFERROR(__xludf.DUMMYFUNCTION("""COMPUTED_VALUE"""),"ESPONJA ANTILLUVIA DE PARABRISAS")</f>
        <v>ESPONJA ANTILLUVIA DE PARABRISAS</v>
      </c>
      <c r="AD570" s="65"/>
      <c r="AE570" s="65">
        <f>IFERROR(__xludf.DUMMYFUNCTION("""COMPUTED_VALUE"""),2.0)</f>
        <v>2</v>
      </c>
      <c r="AF570" s="65"/>
      <c r="AG570" s="65"/>
      <c r="AH570" s="65"/>
      <c r="AI570" s="65"/>
      <c r="AJ570" s="65"/>
      <c r="AK570" s="65"/>
      <c r="AL570" s="65"/>
      <c r="AM570" s="65"/>
      <c r="AN570" s="65" t="str">
        <f>IFERROR(__xludf.DUMMYFUNCTION("""COMPUTED_VALUE"""),"10:37")</f>
        <v>10:37</v>
      </c>
      <c r="AO570" s="65" t="str">
        <f>IFERROR(__xludf.DUMMYFUNCTION("""COMPUTED_VALUE"""),"28-02-2026")</f>
        <v>28-02-2026</v>
      </c>
      <c r="AP570" s="65" t="str">
        <f>IFERROR(__xludf.DUMMYFUNCTION("""COMPUTED_VALUE"""),"ENTREGADA GINTRACOM")</f>
        <v>ENTREGADA GINTRACOM</v>
      </c>
      <c r="AQ570" s="65" t="str">
        <f>IFERROR(__xludf.DUMMYFUNCTION("""COMPUTED_VALUE"""),"ENTREGADA GINTRACOM")</f>
        <v>ENTREGADA GINTRACOM</v>
      </c>
      <c r="AR570" s="65"/>
      <c r="AS570" s="65"/>
      <c r="AT570" s="65" t="str">
        <f>IFERROR(__xludf.DUMMYFUNCTION("""COMPUTED_VALUE"""),"SHOPIFY")</f>
        <v>SHOPIFY</v>
      </c>
      <c r="AU570" s="65" t="str">
        <f>IFERROR(__xludf.DUMMYFUNCTION("""COMPUTED_VALUE"""),"IMPORTEX EC")</f>
        <v>IMPORTEX EC</v>
      </c>
      <c r="AV570" s="65" t="str">
        <f>IFERROR(__xludf.DUMMYFUNCTION("""COMPUTED_VALUE"""),"6521440534572")</f>
        <v>6521440534572</v>
      </c>
      <c r="AW570" s="65">
        <f>IFERROR(__xludf.DUMMYFUNCTION("""COMPUTED_VALUE"""),6300.0)</f>
        <v>6300</v>
      </c>
      <c r="AX570" s="65"/>
      <c r="AY570" s="65" t="str">
        <f>IFERROR(__xludf.DUMMYFUNCTION("""COMPUTED_VALUE"""),"23/02/2026")</f>
        <v>23/02/2026</v>
      </c>
      <c r="AZ570" s="65"/>
      <c r="BA570" s="65"/>
    </row>
    <row r="571">
      <c r="A571" s="65" t="str">
        <f>IFERROR(__xludf.DUMMYFUNCTION("""COMPUTED_VALUE"""),"27-03-2026")</f>
        <v>27-03-2026</v>
      </c>
      <c r="B571" s="65">
        <f>IFERROR(__xludf.DUMMYFUNCTION("""COMPUTED_VALUE"""),4586613.0)</f>
        <v>4586613</v>
      </c>
      <c r="C571" s="65" t="str">
        <f>IFERROR(__xludf.DUMMYFUNCTION("""COMPUTED_VALUE"""),"14:39")</f>
        <v>14:39</v>
      </c>
      <c r="D571" s="65" t="str">
        <f>IFERROR(__xludf.DUMMYFUNCTION("""COMPUTED_VALUE"""),"22-02-2026")</f>
        <v>22-02-2026</v>
      </c>
      <c r="E571" s="65" t="str">
        <f>IFERROR(__xludf.DUMMYFUNCTION("""COMPUTED_VALUE"""),"Gustavo Mora Venner")</f>
        <v>Gustavo Mora Venner</v>
      </c>
      <c r="F571" s="65" t="str">
        <f>IFERROR(__xludf.DUMMYFUNCTION("""COMPUTED_VALUE"""),"996800383")</f>
        <v>996800383</v>
      </c>
      <c r="G571" s="65"/>
      <c r="H571" s="65"/>
      <c r="I571" s="65"/>
      <c r="J571" s="65" t="str">
        <f>IFERROR(__xludf.DUMMYFUNCTION("""COMPUTED_VALUE"""),"D001353670")</f>
        <v>D001353670</v>
      </c>
      <c r="K571" s="65" t="str">
        <f>IFERROR(__xludf.DUMMYFUNCTION("""COMPUTED_VALUE"""),"ENTREGADO")</f>
        <v>ENTREGADO</v>
      </c>
      <c r="L571" s="65" t="str">
        <f>IFERROR(__xludf.DUMMYFUNCTION("""COMPUTED_VALUE"""),"CON RECAUDO")</f>
        <v>CON RECAUDO</v>
      </c>
      <c r="M571" s="65" t="str">
        <f>IFERROR(__xludf.DUMMYFUNCTION("""COMPUTED_VALUE"""),"PICHINCHA")</f>
        <v>PICHINCHA</v>
      </c>
      <c r="N571" s="65" t="str">
        <f>IFERROR(__xludf.DUMMYFUNCTION("""COMPUTED_VALUE"""),"QUITO")</f>
        <v>QUITO</v>
      </c>
      <c r="O571" s="65" t="str">
        <f>IFERROR(__xludf.DUMMYFUNCTION("""COMPUTED_VALUE"""),"Calle Avigiras E13-140 y de Las Mentas Sector Amagasí del Inca -")</f>
        <v>Calle Avigiras E13-140 y de Las Mentas Sector Amagasí del Inca -</v>
      </c>
      <c r="P571" s="65"/>
      <c r="Q571" s="65" t="str">
        <f>IFERROR(__xludf.DUMMYFUNCTION("""COMPUTED_VALUE"""),"GINTRACOM")</f>
        <v>GINTRACOM</v>
      </c>
      <c r="R571" s="65">
        <f>IFERROR(__xludf.DUMMYFUNCTION("""COMPUTED_VALUE"""),25.0)</f>
        <v>25</v>
      </c>
      <c r="S571" s="65">
        <f>IFERROR(__xludf.DUMMYFUNCTION("""COMPUTED_VALUE"""),15.95)</f>
        <v>15.95</v>
      </c>
      <c r="T571" s="65">
        <f>IFERROR(__xludf.DUMMYFUNCTION("""COMPUTED_VALUE"""),4.35)</f>
        <v>4.35</v>
      </c>
      <c r="U571" s="65">
        <f>IFERROR(__xludf.DUMMYFUNCTION("""COMPUTED_VALUE"""),0.0)</f>
        <v>0</v>
      </c>
      <c r="V571" s="65">
        <f>IFERROR(__xludf.DUMMYFUNCTION("""COMPUTED_VALUE"""),0.0)</f>
        <v>0</v>
      </c>
      <c r="W571" s="65">
        <f>IFERROR(__xludf.DUMMYFUNCTION("""COMPUTED_VALUE"""),0.0)</f>
        <v>0</v>
      </c>
      <c r="X571" s="65">
        <f>IFERROR(__xludf.DUMMYFUNCTION("""COMPUTED_VALUE"""),2.35)</f>
        <v>2.35</v>
      </c>
      <c r="Y571" s="65">
        <f>IFERROR(__xludf.DUMMYFUNCTION("""COMPUTED_VALUE"""),4.7)</f>
        <v>4.7</v>
      </c>
      <c r="Z571" s="65">
        <f>IFERROR(__xludf.DUMMYFUNCTION("""COMPUTED_VALUE"""),116679.0)</f>
        <v>116679</v>
      </c>
      <c r="AA571" s="65" t="str">
        <f>IFERROR(__xludf.DUMMYFUNCTION("""COMPUTED_VALUE"""),"AMC-2738")</f>
        <v>AMC-2738</v>
      </c>
      <c r="AB571" s="65"/>
      <c r="AC571" s="65" t="str">
        <f>IFERROR(__xludf.DUMMYFUNCTION("""COMPUTED_VALUE"""),"ESPONJA ANTILLUVIA DE PARABRISAS")</f>
        <v>ESPONJA ANTILLUVIA DE PARABRISAS</v>
      </c>
      <c r="AD571" s="65"/>
      <c r="AE571" s="65">
        <f>IFERROR(__xludf.DUMMYFUNCTION("""COMPUTED_VALUE"""),2.0)</f>
        <v>2</v>
      </c>
      <c r="AF571" s="65"/>
      <c r="AG571" s="65"/>
      <c r="AH571" s="65"/>
      <c r="AI571" s="65"/>
      <c r="AJ571" s="65"/>
      <c r="AK571" s="65"/>
      <c r="AL571" s="65"/>
      <c r="AM571" s="65"/>
      <c r="AN571" s="65" t="str">
        <f>IFERROR(__xludf.DUMMYFUNCTION("""COMPUTED_VALUE"""),"12:30")</f>
        <v>12:30</v>
      </c>
      <c r="AO571" s="65" t="str">
        <f>IFERROR(__xludf.DUMMYFUNCTION("""COMPUTED_VALUE"""),"27-02-2026")</f>
        <v>27-02-2026</v>
      </c>
      <c r="AP571" s="65" t="str">
        <f>IFERROR(__xludf.DUMMYFUNCTION("""COMPUTED_VALUE"""),"ENTREGADA GINTRACOM")</f>
        <v>ENTREGADA GINTRACOM</v>
      </c>
      <c r="AQ571" s="65" t="str">
        <f>IFERROR(__xludf.DUMMYFUNCTION("""COMPUTED_VALUE"""),"ENTREGADA GINTRACOM")</f>
        <v>ENTREGADA GINTRACOM</v>
      </c>
      <c r="AR571" s="65"/>
      <c r="AS571" s="65"/>
      <c r="AT571" s="65" t="str">
        <f>IFERROR(__xludf.DUMMYFUNCTION("""COMPUTED_VALUE"""),"SHOPIFY")</f>
        <v>SHOPIFY</v>
      </c>
      <c r="AU571" s="65" t="str">
        <f>IFERROR(__xludf.DUMMYFUNCTION("""COMPUTED_VALUE"""),"IMPORTEX EC")</f>
        <v>IMPORTEX EC</v>
      </c>
      <c r="AV571" s="65" t="str">
        <f>IFERROR(__xludf.DUMMYFUNCTION("""COMPUTED_VALUE"""),"6521040928812")</f>
        <v>6521040928812</v>
      </c>
      <c r="AW571" s="65">
        <f>IFERROR(__xludf.DUMMYFUNCTION("""COMPUTED_VALUE"""),6299.0)</f>
        <v>6299</v>
      </c>
      <c r="AX571" s="65"/>
      <c r="AY571" s="65" t="str">
        <f>IFERROR(__xludf.DUMMYFUNCTION("""COMPUTED_VALUE"""),"23/02/2026")</f>
        <v>23/02/2026</v>
      </c>
      <c r="AZ571" s="65"/>
      <c r="BA571" s="65"/>
    </row>
    <row r="572">
      <c r="A572" s="65" t="str">
        <f>IFERROR(__xludf.DUMMYFUNCTION("""COMPUTED_VALUE"""),"27-03-2026")</f>
        <v>27-03-2026</v>
      </c>
      <c r="B572" s="65">
        <f>IFERROR(__xludf.DUMMYFUNCTION("""COMPUTED_VALUE"""),4586602.0)</f>
        <v>4586602</v>
      </c>
      <c r="C572" s="65" t="str">
        <f>IFERROR(__xludf.DUMMYFUNCTION("""COMPUTED_VALUE"""),"14:38")</f>
        <v>14:38</v>
      </c>
      <c r="D572" s="65" t="str">
        <f>IFERROR(__xludf.DUMMYFUNCTION("""COMPUTED_VALUE"""),"22-02-2026")</f>
        <v>22-02-2026</v>
      </c>
      <c r="E572" s="65" t="str">
        <f>IFERROR(__xludf.DUMMYFUNCTION("""COMPUTED_VALUE"""),"Hiter Zambrano")</f>
        <v>Hiter Zambrano</v>
      </c>
      <c r="F572" s="65" t="str">
        <f>IFERROR(__xludf.DUMMYFUNCTION("""COMPUTED_VALUE"""),"988722721")</f>
        <v>988722721</v>
      </c>
      <c r="G572" s="65" t="str">
        <f>IFERROR(__xludf.DUMMYFUNCTION("""COMPUTED_VALUE"""),"hjzambrano.23@hotmail.com")</f>
        <v>hjzambrano.23@hotmail.com</v>
      </c>
      <c r="H572" s="65"/>
      <c r="I572" s="65"/>
      <c r="J572" s="65" t="str">
        <f>IFERROR(__xludf.DUMMYFUNCTION("""COMPUTED_VALUE"""),"D001353671")</f>
        <v>D001353671</v>
      </c>
      <c r="K572" s="65" t="str">
        <f>IFERROR(__xludf.DUMMYFUNCTION("""COMPUTED_VALUE"""),"DEVOLUCION")</f>
        <v>DEVOLUCION</v>
      </c>
      <c r="L572" s="65" t="str">
        <f>IFERROR(__xludf.DUMMYFUNCTION("""COMPUTED_VALUE"""),"CON RECAUDO")</f>
        <v>CON RECAUDO</v>
      </c>
      <c r="M572" s="65" t="str">
        <f>IFERROR(__xludf.DUMMYFUNCTION("""COMPUTED_VALUE"""),"GUAYAS")</f>
        <v>GUAYAS</v>
      </c>
      <c r="N572" s="65" t="str">
        <f>IFERROR(__xludf.DUMMYFUNCTION("""COMPUTED_VALUE"""),"GUAYAQUIL")</f>
        <v>GUAYAQUIL</v>
      </c>
      <c r="O572" s="65" t="str">
        <f>IFERROR(__xludf.DUMMYFUNCTION("""COMPUTED_VALUE"""),"RET EN CS : GUAYAQUIL_GUASMO SUR LUCHA POPULAR - GUASMO SUR COOP LUCHA POPULAR MZ 1908 Y AV RAUL CLEMENTE HUERTA FRENTE A PARADA DE LA METROVIA LA DOLOROSA")</f>
        <v>RET EN CS : GUAYAQUIL_GUASMO SUR LUCHA POPULAR - GUASMO SUR COOP LUCHA POPULAR MZ 1908 Y AV RAUL CLEMENTE HUERTA FRENTE A PARADA DE LA METROVIA LA DOLOROSA</v>
      </c>
      <c r="P572" s="65"/>
      <c r="Q572" s="65" t="str">
        <f>IFERROR(__xludf.DUMMYFUNCTION("""COMPUTED_VALUE"""),"GINTRACOM")</f>
        <v>GINTRACOM</v>
      </c>
      <c r="R572" s="65">
        <f>IFERROR(__xludf.DUMMYFUNCTION("""COMPUTED_VALUE"""),20.0)</f>
        <v>20</v>
      </c>
      <c r="S572" s="65"/>
      <c r="T572" s="65">
        <f>IFERROR(__xludf.DUMMYFUNCTION("""COMPUTED_VALUE"""),5.76)</f>
        <v>5.76</v>
      </c>
      <c r="U572" s="65">
        <f>IFERROR(__xludf.DUMMYFUNCTION("""COMPUTED_VALUE"""),0.0)</f>
        <v>0</v>
      </c>
      <c r="V572" s="65">
        <f>IFERROR(__xludf.DUMMYFUNCTION("""COMPUTED_VALUE"""),0.0)</f>
        <v>0</v>
      </c>
      <c r="W572" s="65">
        <f>IFERROR(__xludf.DUMMYFUNCTION("""COMPUTED_VALUE"""),0.0)</f>
        <v>0</v>
      </c>
      <c r="X572" s="65">
        <f>IFERROR(__xludf.DUMMYFUNCTION("""COMPUTED_VALUE"""),2.35)</f>
        <v>2.35</v>
      </c>
      <c r="Y572" s="65">
        <f>IFERROR(__xludf.DUMMYFUNCTION("""COMPUTED_VALUE"""),2.35)</f>
        <v>2.35</v>
      </c>
      <c r="Z572" s="65">
        <f>IFERROR(__xludf.DUMMYFUNCTION("""COMPUTED_VALUE"""),116679.0)</f>
        <v>116679</v>
      </c>
      <c r="AA572" s="65" t="str">
        <f>IFERROR(__xludf.DUMMYFUNCTION("""COMPUTED_VALUE"""),"AMC-2738")</f>
        <v>AMC-2738</v>
      </c>
      <c r="AB572" s="65"/>
      <c r="AC572" s="65" t="str">
        <f>IFERROR(__xludf.DUMMYFUNCTION("""COMPUTED_VALUE"""),"ESPONJA ANTILLUVIA DE PARABRISAS")</f>
        <v>ESPONJA ANTILLUVIA DE PARABRISAS</v>
      </c>
      <c r="AD572" s="65"/>
      <c r="AE572" s="65">
        <f>IFERROR(__xludf.DUMMYFUNCTION("""COMPUTED_VALUE"""),1.0)</f>
        <v>1</v>
      </c>
      <c r="AF572" s="65" t="str">
        <f>IFERROR(__xludf.DUMMYFUNCTION("""COMPUTED_VALUE"""),"DESTINATARIO NO CONTESTA LLAMADAS NI WHATSAPP")</f>
        <v>DESTINATARIO NO CONTESTA LLAMADAS NI WHATSAPP</v>
      </c>
      <c r="AG572" s="65" t="str">
        <f>IFERROR(__xludf.DUMMYFUNCTION("""COMPUTED_VALUE"""),"NO")</f>
        <v>NO</v>
      </c>
      <c r="AH572" s="65" t="str">
        <f>IFERROR(__xludf.DUMMYFUNCTION("""COMPUTED_VALUE"""),"09:00")</f>
        <v>09:00</v>
      </c>
      <c r="AI572" s="65" t="str">
        <f>IFERROR(__xludf.DUMMYFUNCTION("""COMPUTED_VALUE"""),"07-03-2026")</f>
        <v>07-03-2026</v>
      </c>
      <c r="AJ572" s="65"/>
      <c r="AK572" s="65"/>
      <c r="AL572" s="65"/>
      <c r="AM572" s="65"/>
      <c r="AN572" s="65" t="str">
        <f>IFERROR(__xludf.DUMMYFUNCTION("""COMPUTED_VALUE"""),"16:21")</f>
        <v>16:21</v>
      </c>
      <c r="AO572" s="65" t="str">
        <f>IFERROR(__xludf.DUMMYFUNCTION("""COMPUTED_VALUE"""),"18-03-2026")</f>
        <v>18-03-2026</v>
      </c>
      <c r="AP572" s="65" t="str">
        <f>IFERROR(__xludf.DUMMYFUNCTION("""COMPUTED_VALUE"""),"DEVOLUCIÓN ENTREGADA A ORIGEN")</f>
        <v>DEVOLUCIÓN ENTREGADA A ORIGEN</v>
      </c>
      <c r="AQ572" s="65" t="str">
        <f>IFERROR(__xludf.DUMMYFUNCTION("""COMPUTED_VALUE"""),"DEVOLUCIÓN ENTREGADA A ORIGEN")</f>
        <v>DEVOLUCIÓN ENTREGADA A ORIGEN</v>
      </c>
      <c r="AR572" s="65"/>
      <c r="AS572" s="65"/>
      <c r="AT572" s="65" t="str">
        <f>IFERROR(__xludf.DUMMYFUNCTION("""COMPUTED_VALUE"""),"SHOPIFY")</f>
        <v>SHOPIFY</v>
      </c>
      <c r="AU572" s="65" t="str">
        <f>IFERROR(__xludf.DUMMYFUNCTION("""COMPUTED_VALUE"""),"IMPORTEX EC")</f>
        <v>IMPORTEX EC</v>
      </c>
      <c r="AV572" s="65" t="str">
        <f>IFERROR(__xludf.DUMMYFUNCTION("""COMPUTED_VALUE"""),"6521009766444")</f>
        <v>6521009766444</v>
      </c>
      <c r="AW572" s="65">
        <f>IFERROR(__xludf.DUMMYFUNCTION("""COMPUTED_VALUE"""),6298.0)</f>
        <v>6298</v>
      </c>
      <c r="AX572" s="65"/>
      <c r="AY572" s="65" t="str">
        <f>IFERROR(__xludf.DUMMYFUNCTION("""COMPUTED_VALUE"""),"23/02/2026")</f>
        <v>23/02/2026</v>
      </c>
      <c r="AZ572" s="65"/>
      <c r="BA572" s="65"/>
    </row>
    <row r="573">
      <c r="A573" s="65" t="str">
        <f>IFERROR(__xludf.DUMMYFUNCTION("""COMPUTED_VALUE"""),"27-03-2026")</f>
        <v>27-03-2026</v>
      </c>
      <c r="B573" s="65">
        <f>IFERROR(__xludf.DUMMYFUNCTION("""COMPUTED_VALUE"""),4586598.0)</f>
        <v>4586598</v>
      </c>
      <c r="C573" s="65" t="str">
        <f>IFERROR(__xludf.DUMMYFUNCTION("""COMPUTED_VALUE"""),"14:37")</f>
        <v>14:37</v>
      </c>
      <c r="D573" s="65" t="str">
        <f>IFERROR(__xludf.DUMMYFUNCTION("""COMPUTED_VALUE"""),"22-02-2026")</f>
        <v>22-02-2026</v>
      </c>
      <c r="E573" s="65" t="str">
        <f>IFERROR(__xludf.DUMMYFUNCTION("""COMPUTED_VALUE"""),"Freddy Aroca Zurita")</f>
        <v>Freddy Aroca Zurita</v>
      </c>
      <c r="F573" s="65" t="str">
        <f>IFERROR(__xludf.DUMMYFUNCTION("""COMPUTED_VALUE"""),"969136804")</f>
        <v>969136804</v>
      </c>
      <c r="G573" s="65" t="str">
        <f>IFERROR(__xludf.DUMMYFUNCTION("""COMPUTED_VALUE"""),"frederikaroca@gmail.com")</f>
        <v>frederikaroca@gmail.com</v>
      </c>
      <c r="H573" s="65"/>
      <c r="I573" s="65"/>
      <c r="J573" s="65"/>
      <c r="K573" s="65" t="str">
        <f>IFERROR(__xludf.DUMMYFUNCTION("""COMPUTED_VALUE"""),"PENDIENTE CONFIRMACION")</f>
        <v>PENDIENTE CONFIRMACION</v>
      </c>
      <c r="L573" s="65" t="str">
        <f>IFERROR(__xludf.DUMMYFUNCTION("""COMPUTED_VALUE"""),"CON RECAUDO")</f>
        <v>CON RECAUDO</v>
      </c>
      <c r="M573" s="65" t="str">
        <f>IFERROR(__xludf.DUMMYFUNCTION("""COMPUTED_VALUE"""),"COTOPAXI")</f>
        <v>COTOPAXI</v>
      </c>
      <c r="N573" s="65" t="str">
        <f>IFERROR(__xludf.DUMMYFUNCTION("""COMPUTED_VALUE"""),"LATACUNGA")</f>
        <v>LATACUNGA</v>
      </c>
      <c r="O573" s="65" t="str">
        <f>IFERROR(__xludf.DUMMYFUNCTION("""COMPUTED_VALUE"""),"19 de Mayo Barrio Magisterio taller industrial Fosforito -")</f>
        <v>19 de Mayo Barrio Magisterio taller industrial Fosforito -</v>
      </c>
      <c r="P573" s="65"/>
      <c r="Q573" s="65" t="str">
        <f>IFERROR(__xludf.DUMMYFUNCTION("""COMPUTED_VALUE"""),"GINTRACOM")</f>
        <v>GINTRACOM</v>
      </c>
      <c r="R573" s="65">
        <f>IFERROR(__xludf.DUMMYFUNCTION("""COMPUTED_VALUE"""),25.0)</f>
        <v>25</v>
      </c>
      <c r="S573" s="65"/>
      <c r="T573" s="65">
        <f>IFERROR(__xludf.DUMMYFUNCTION("""COMPUTED_VALUE"""),5.96)</f>
        <v>5.96</v>
      </c>
      <c r="U573" s="65">
        <f>IFERROR(__xludf.DUMMYFUNCTION("""COMPUTED_VALUE"""),0.0)</f>
        <v>0</v>
      </c>
      <c r="V573" s="65">
        <f>IFERROR(__xludf.DUMMYFUNCTION("""COMPUTED_VALUE"""),0.0)</f>
        <v>0</v>
      </c>
      <c r="W573" s="65">
        <f>IFERROR(__xludf.DUMMYFUNCTION("""COMPUTED_VALUE"""),0.0)</f>
        <v>0</v>
      </c>
      <c r="X573" s="65">
        <f>IFERROR(__xludf.DUMMYFUNCTION("""COMPUTED_VALUE"""),2.35)</f>
        <v>2.35</v>
      </c>
      <c r="Y573" s="65">
        <f>IFERROR(__xludf.DUMMYFUNCTION("""COMPUTED_VALUE"""),4.7)</f>
        <v>4.7</v>
      </c>
      <c r="Z573" s="65">
        <f>IFERROR(__xludf.DUMMYFUNCTION("""COMPUTED_VALUE"""),116679.0)</f>
        <v>116679</v>
      </c>
      <c r="AA573" s="65" t="str">
        <f>IFERROR(__xludf.DUMMYFUNCTION("""COMPUTED_VALUE"""),"AMC-2738")</f>
        <v>AMC-2738</v>
      </c>
      <c r="AB573" s="65"/>
      <c r="AC573" s="65" t="str">
        <f>IFERROR(__xludf.DUMMYFUNCTION("""COMPUTED_VALUE"""),"ESPONJA ANTILLUVIA DE PARABRISAS")</f>
        <v>ESPONJA ANTILLUVIA DE PARABRISAS</v>
      </c>
      <c r="AD573" s="65"/>
      <c r="AE573" s="65">
        <f>IFERROR(__xludf.DUMMYFUNCTION("""COMPUTED_VALUE"""),2.0)</f>
        <v>2</v>
      </c>
      <c r="AF573" s="65"/>
      <c r="AG573" s="65"/>
      <c r="AH573" s="65"/>
      <c r="AI573" s="65"/>
      <c r="AJ573" s="65"/>
      <c r="AK573" s="65"/>
      <c r="AL573" s="65"/>
      <c r="AM573" s="65"/>
      <c r="AN573" s="65"/>
      <c r="AO573" s="65"/>
      <c r="AP573" s="65"/>
      <c r="AQ573" s="65"/>
      <c r="AR573" s="65"/>
      <c r="AS573" s="65"/>
      <c r="AT573" s="65" t="str">
        <f>IFERROR(__xludf.DUMMYFUNCTION("""COMPUTED_VALUE"""),"SHOPIFY")</f>
        <v>SHOPIFY</v>
      </c>
      <c r="AU573" s="65" t="str">
        <f>IFERROR(__xludf.DUMMYFUNCTION("""COMPUTED_VALUE"""),"IMPORTEX EC")</f>
        <v>IMPORTEX EC</v>
      </c>
      <c r="AV573" s="65" t="str">
        <f>IFERROR(__xludf.DUMMYFUNCTION("""COMPUTED_VALUE"""),"6520786518060")</f>
        <v>6520786518060</v>
      </c>
      <c r="AW573" s="65">
        <f>IFERROR(__xludf.DUMMYFUNCTION("""COMPUTED_VALUE"""),6297.0)</f>
        <v>6297</v>
      </c>
      <c r="AX573" s="65"/>
      <c r="AY573" s="65"/>
      <c r="AZ573" s="65"/>
      <c r="BA573" s="65"/>
    </row>
    <row r="574">
      <c r="A574" s="65" t="str">
        <f>IFERROR(__xludf.DUMMYFUNCTION("""COMPUTED_VALUE"""),"27-03-2026")</f>
        <v>27-03-2026</v>
      </c>
      <c r="B574" s="65">
        <f>IFERROR(__xludf.DUMMYFUNCTION("""COMPUTED_VALUE"""),4586590.0)</f>
        <v>4586590</v>
      </c>
      <c r="C574" s="65" t="str">
        <f>IFERROR(__xludf.DUMMYFUNCTION("""COMPUTED_VALUE"""),"14:37")</f>
        <v>14:37</v>
      </c>
      <c r="D574" s="65" t="str">
        <f>IFERROR(__xludf.DUMMYFUNCTION("""COMPUTED_VALUE"""),"22-02-2026")</f>
        <v>22-02-2026</v>
      </c>
      <c r="E574" s="65" t="str">
        <f>IFERROR(__xludf.DUMMYFUNCTION("""COMPUTED_VALUE"""),"Angel MONTALVAN")</f>
        <v>Angel MONTALVAN</v>
      </c>
      <c r="F574" s="65" t="str">
        <f>IFERROR(__xludf.DUMMYFUNCTION("""COMPUTED_VALUE"""),"968025271")</f>
        <v>968025271</v>
      </c>
      <c r="G574" s="65" t="str">
        <f>IFERROR(__xludf.DUMMYFUNCTION("""COMPUTED_VALUE"""),"alexmontalvan-84@hotmail.es")</f>
        <v>alexmontalvan-84@hotmail.es</v>
      </c>
      <c r="H574" s="65"/>
      <c r="I574" s="65"/>
      <c r="J574" s="65" t="str">
        <f>IFERROR(__xludf.DUMMYFUNCTION("""COMPUTED_VALUE"""),"D001353672")</f>
        <v>D001353672</v>
      </c>
      <c r="K574" s="65" t="str">
        <f>IFERROR(__xludf.DUMMYFUNCTION("""COMPUTED_VALUE"""),"DEVOLUCION")</f>
        <v>DEVOLUCION</v>
      </c>
      <c r="L574" s="65" t="str">
        <f>IFERROR(__xludf.DUMMYFUNCTION("""COMPUTED_VALUE"""),"CON RECAUDO")</f>
        <v>CON RECAUDO</v>
      </c>
      <c r="M574" s="65" t="str">
        <f>IFERROR(__xludf.DUMMYFUNCTION("""COMPUTED_VALUE"""),"PICHINCHA")</f>
        <v>PICHINCHA</v>
      </c>
      <c r="N574" s="65" t="str">
        <f>IFERROR(__xludf.DUMMYFUNCTION("""COMPUTED_VALUE"""),"QUITO")</f>
        <v>QUITO</v>
      </c>
      <c r="O574" s="65" t="str">
        <f>IFERROR(__xludf.DUMMYFUNCTION("""COMPUTED_VALUE"""),"Calle río Chone entre río Quijos y galo plaza lasso Sector Carapungo sobre la calle rio Chone cada con puerta de garaje color azul eléctrico -")</f>
        <v>Calle río Chone entre río Quijos y galo plaza lasso Sector Carapungo sobre la calle rio Chone cada con puerta de garaje color azul eléctrico -</v>
      </c>
      <c r="P574" s="65"/>
      <c r="Q574" s="65" t="str">
        <f>IFERROR(__xludf.DUMMYFUNCTION("""COMPUTED_VALUE"""),"GINTRACOM")</f>
        <v>GINTRACOM</v>
      </c>
      <c r="R574" s="65">
        <f>IFERROR(__xludf.DUMMYFUNCTION("""COMPUTED_VALUE"""),25.0)</f>
        <v>25</v>
      </c>
      <c r="S574" s="65"/>
      <c r="T574" s="65">
        <f>IFERROR(__xludf.DUMMYFUNCTION("""COMPUTED_VALUE"""),4.35)</f>
        <v>4.35</v>
      </c>
      <c r="U574" s="65">
        <f>IFERROR(__xludf.DUMMYFUNCTION("""COMPUTED_VALUE"""),0.0)</f>
        <v>0</v>
      </c>
      <c r="V574" s="65">
        <f>IFERROR(__xludf.DUMMYFUNCTION("""COMPUTED_VALUE"""),0.0)</f>
        <v>0</v>
      </c>
      <c r="W574" s="65">
        <f>IFERROR(__xludf.DUMMYFUNCTION("""COMPUTED_VALUE"""),0.0)</f>
        <v>0</v>
      </c>
      <c r="X574" s="65">
        <f>IFERROR(__xludf.DUMMYFUNCTION("""COMPUTED_VALUE"""),2.35)</f>
        <v>2.35</v>
      </c>
      <c r="Y574" s="65">
        <f>IFERROR(__xludf.DUMMYFUNCTION("""COMPUTED_VALUE"""),4.7)</f>
        <v>4.7</v>
      </c>
      <c r="Z574" s="65">
        <f>IFERROR(__xludf.DUMMYFUNCTION("""COMPUTED_VALUE"""),116679.0)</f>
        <v>116679</v>
      </c>
      <c r="AA574" s="65" t="str">
        <f>IFERROR(__xludf.DUMMYFUNCTION("""COMPUTED_VALUE"""),"AMC-2738")</f>
        <v>AMC-2738</v>
      </c>
      <c r="AB574" s="65"/>
      <c r="AC574" s="65" t="str">
        <f>IFERROR(__xludf.DUMMYFUNCTION("""COMPUTED_VALUE"""),"ESPONJA ANTILLUVIA DE PARABRISAS")</f>
        <v>ESPONJA ANTILLUVIA DE PARABRISAS</v>
      </c>
      <c r="AD574" s="65"/>
      <c r="AE574" s="65">
        <f>IFERROR(__xludf.DUMMYFUNCTION("""COMPUTED_VALUE"""),2.0)</f>
        <v>2</v>
      </c>
      <c r="AF574" s="65" t="str">
        <f>IFERROR(__xludf.DUMMYFUNCTION("""COMPUTED_VALUE"""),"DESTINATARIO NO CONTESTA LLAMADAS NI WHATSAPP")</f>
        <v>DESTINATARIO NO CONTESTA LLAMADAS NI WHATSAPP</v>
      </c>
      <c r="AG574" s="65" t="str">
        <f>IFERROR(__xludf.DUMMYFUNCTION("""COMPUTED_VALUE"""),"NO")</f>
        <v>NO</v>
      </c>
      <c r="AH574" s="65" t="str">
        <f>IFERROR(__xludf.DUMMYFUNCTION("""COMPUTED_VALUE"""),"11:47")</f>
        <v>11:47</v>
      </c>
      <c r="AI574" s="65" t="str">
        <f>IFERROR(__xludf.DUMMYFUNCTION("""COMPUTED_VALUE"""),"07-03-2026")</f>
        <v>07-03-2026</v>
      </c>
      <c r="AJ574" s="65"/>
      <c r="AK574" s="65"/>
      <c r="AL574" s="65"/>
      <c r="AM574" s="65"/>
      <c r="AN574" s="65" t="str">
        <f>IFERROR(__xludf.DUMMYFUNCTION("""COMPUTED_VALUE"""),"17:18")</f>
        <v>17:18</v>
      </c>
      <c r="AO574" s="65" t="str">
        <f>IFERROR(__xludf.DUMMYFUNCTION("""COMPUTED_VALUE"""),"12-03-2026")</f>
        <v>12-03-2026</v>
      </c>
      <c r="AP574" s="65" t="str">
        <f>IFERROR(__xludf.DUMMYFUNCTION("""COMPUTED_VALUE"""),"DEVOLUCIÓN ENTREGADA A ORIGEN")</f>
        <v>DEVOLUCIÓN ENTREGADA A ORIGEN</v>
      </c>
      <c r="AQ574" s="65" t="str">
        <f>IFERROR(__xludf.DUMMYFUNCTION("""COMPUTED_VALUE"""),"DEVOLUCIÓN ENTREGADA A ORIGEN")</f>
        <v>DEVOLUCIÓN ENTREGADA A ORIGEN</v>
      </c>
      <c r="AR574" s="65"/>
      <c r="AS574" s="65"/>
      <c r="AT574" s="65" t="str">
        <f>IFERROR(__xludf.DUMMYFUNCTION("""COMPUTED_VALUE"""),"SHOPIFY")</f>
        <v>SHOPIFY</v>
      </c>
      <c r="AU574" s="65" t="str">
        <f>IFERROR(__xludf.DUMMYFUNCTION("""COMPUTED_VALUE"""),"IMPORTEX EC")</f>
        <v>IMPORTEX EC</v>
      </c>
      <c r="AV574" s="65" t="str">
        <f>IFERROR(__xludf.DUMMYFUNCTION("""COMPUTED_VALUE"""),"6520595316780")</f>
        <v>6520595316780</v>
      </c>
      <c r="AW574" s="65">
        <f>IFERROR(__xludf.DUMMYFUNCTION("""COMPUTED_VALUE"""),6296.0)</f>
        <v>6296</v>
      </c>
      <c r="AX574" s="65"/>
      <c r="AY574" s="65" t="str">
        <f>IFERROR(__xludf.DUMMYFUNCTION("""COMPUTED_VALUE"""),"23/02/2026")</f>
        <v>23/02/2026</v>
      </c>
      <c r="AZ574" s="65"/>
      <c r="BA574" s="65"/>
    </row>
    <row r="575">
      <c r="A575" s="65" t="str">
        <f>IFERROR(__xludf.DUMMYFUNCTION("""COMPUTED_VALUE"""),"27-03-2026")</f>
        <v>27-03-2026</v>
      </c>
      <c r="B575" s="65">
        <f>IFERROR(__xludf.DUMMYFUNCTION("""COMPUTED_VALUE"""),4586582.0)</f>
        <v>4586582</v>
      </c>
      <c r="C575" s="65" t="str">
        <f>IFERROR(__xludf.DUMMYFUNCTION("""COMPUTED_VALUE"""),"14:36")</f>
        <v>14:36</v>
      </c>
      <c r="D575" s="65" t="str">
        <f>IFERROR(__xludf.DUMMYFUNCTION("""COMPUTED_VALUE"""),"22-02-2026")</f>
        <v>22-02-2026</v>
      </c>
      <c r="E575" s="65" t="str">
        <f>IFERROR(__xludf.DUMMYFUNCTION("""COMPUTED_VALUE"""),"Paul Carrera")</f>
        <v>Paul Carrera</v>
      </c>
      <c r="F575" s="65" t="str">
        <f>IFERROR(__xludf.DUMMYFUNCTION("""COMPUTED_VALUE"""),"998040440")</f>
        <v>998040440</v>
      </c>
      <c r="G575" s="65" t="str">
        <f>IFERROR(__xludf.DUMMYFUNCTION("""COMPUTED_VALUE"""),"pfcs@pi.pro.ec")</f>
        <v>pfcs@pi.pro.ec</v>
      </c>
      <c r="H575" s="65"/>
      <c r="I575" s="65"/>
      <c r="J575" s="65" t="str">
        <f>IFERROR(__xludf.DUMMYFUNCTION("""COMPUTED_VALUE"""),"D001353673")</f>
        <v>D001353673</v>
      </c>
      <c r="K575" s="65" t="str">
        <f>IFERROR(__xludf.DUMMYFUNCTION("""COMPUTED_VALUE"""),"ENTREGADO")</f>
        <v>ENTREGADO</v>
      </c>
      <c r="L575" s="65" t="str">
        <f>IFERROR(__xludf.DUMMYFUNCTION("""COMPUTED_VALUE"""),"CON RECAUDO")</f>
        <v>CON RECAUDO</v>
      </c>
      <c r="M575" s="65" t="str">
        <f>IFERROR(__xludf.DUMMYFUNCTION("""COMPUTED_VALUE"""),"PICHINCHA")</f>
        <v>PICHINCHA</v>
      </c>
      <c r="N575" s="65" t="str">
        <f>IFERROR(__xludf.DUMMYFUNCTION("""COMPUTED_VALUE"""),"CONOCOTO")</f>
        <v>CONOCOTO</v>
      </c>
      <c r="O575" s="65" t="str">
        <f>IFERROR(__xludf.DUMMYFUNCTION("""COMPUTED_VALUE"""),"JAMBELI OE1-140 Y AV ABDON CALDERÓN Conocoto -")</f>
        <v>JAMBELI OE1-140 Y AV ABDON CALDERÓN Conocoto -</v>
      </c>
      <c r="P575" s="65"/>
      <c r="Q575" s="65" t="str">
        <f>IFERROR(__xludf.DUMMYFUNCTION("""COMPUTED_VALUE"""),"GINTRACOM")</f>
        <v>GINTRACOM</v>
      </c>
      <c r="R575" s="65">
        <f>IFERROR(__xludf.DUMMYFUNCTION("""COMPUTED_VALUE"""),30.0)</f>
        <v>30</v>
      </c>
      <c r="S575" s="65">
        <f>IFERROR(__xludf.DUMMYFUNCTION("""COMPUTED_VALUE"""),17.83)</f>
        <v>17.83</v>
      </c>
      <c r="T575" s="65">
        <f>IFERROR(__xludf.DUMMYFUNCTION("""COMPUTED_VALUE"""),5.12)</f>
        <v>5.12</v>
      </c>
      <c r="U575" s="65">
        <f>IFERROR(__xludf.DUMMYFUNCTION("""COMPUTED_VALUE"""),0.0)</f>
        <v>0</v>
      </c>
      <c r="V575" s="65">
        <f>IFERROR(__xludf.DUMMYFUNCTION("""COMPUTED_VALUE"""),0.0)</f>
        <v>0</v>
      </c>
      <c r="W575" s="65">
        <f>IFERROR(__xludf.DUMMYFUNCTION("""COMPUTED_VALUE"""),0.0)</f>
        <v>0</v>
      </c>
      <c r="X575" s="65">
        <f>IFERROR(__xludf.DUMMYFUNCTION("""COMPUTED_VALUE"""),2.35)</f>
        <v>2.35</v>
      </c>
      <c r="Y575" s="65">
        <f>IFERROR(__xludf.DUMMYFUNCTION("""COMPUTED_VALUE"""),7.05)</f>
        <v>7.05</v>
      </c>
      <c r="Z575" s="65">
        <f>IFERROR(__xludf.DUMMYFUNCTION("""COMPUTED_VALUE"""),116679.0)</f>
        <v>116679</v>
      </c>
      <c r="AA575" s="65" t="str">
        <f>IFERROR(__xludf.DUMMYFUNCTION("""COMPUTED_VALUE"""),"AMC-2738")</f>
        <v>AMC-2738</v>
      </c>
      <c r="AB575" s="65"/>
      <c r="AC575" s="65" t="str">
        <f>IFERROR(__xludf.DUMMYFUNCTION("""COMPUTED_VALUE"""),"ESPONJA ANTILLUVIA DE PARABRISAS")</f>
        <v>ESPONJA ANTILLUVIA DE PARABRISAS</v>
      </c>
      <c r="AD575" s="65"/>
      <c r="AE575" s="65">
        <f>IFERROR(__xludf.DUMMYFUNCTION("""COMPUTED_VALUE"""),3.0)</f>
        <v>3</v>
      </c>
      <c r="AF575" s="65"/>
      <c r="AG575" s="65"/>
      <c r="AH575" s="65"/>
      <c r="AI575" s="65"/>
      <c r="AJ575" s="65"/>
      <c r="AK575" s="65"/>
      <c r="AL575" s="65"/>
      <c r="AM575" s="65"/>
      <c r="AN575" s="65" t="str">
        <f>IFERROR(__xludf.DUMMYFUNCTION("""COMPUTED_VALUE"""),"13:39")</f>
        <v>13:39</v>
      </c>
      <c r="AO575" s="65" t="str">
        <f>IFERROR(__xludf.DUMMYFUNCTION("""COMPUTED_VALUE"""),"27-02-2026")</f>
        <v>27-02-2026</v>
      </c>
      <c r="AP575" s="65" t="str">
        <f>IFERROR(__xludf.DUMMYFUNCTION("""COMPUTED_VALUE"""),"ENTREGADA GINTRACOM")</f>
        <v>ENTREGADA GINTRACOM</v>
      </c>
      <c r="AQ575" s="65" t="str">
        <f>IFERROR(__xludf.DUMMYFUNCTION("""COMPUTED_VALUE"""),"ENTREGADA GINTRACOM")</f>
        <v>ENTREGADA GINTRACOM</v>
      </c>
      <c r="AR575" s="65"/>
      <c r="AS575" s="65"/>
      <c r="AT575" s="65" t="str">
        <f>IFERROR(__xludf.DUMMYFUNCTION("""COMPUTED_VALUE"""),"SHOPIFY")</f>
        <v>SHOPIFY</v>
      </c>
      <c r="AU575" s="65" t="str">
        <f>IFERROR(__xludf.DUMMYFUNCTION("""COMPUTED_VALUE"""),"IMPORTEX EC")</f>
        <v>IMPORTEX EC</v>
      </c>
      <c r="AV575" s="65" t="str">
        <f>IFERROR(__xludf.DUMMYFUNCTION("""COMPUTED_VALUE"""),"6520405360684")</f>
        <v>6520405360684</v>
      </c>
      <c r="AW575" s="65">
        <f>IFERROR(__xludf.DUMMYFUNCTION("""COMPUTED_VALUE"""),6295.0)</f>
        <v>6295</v>
      </c>
      <c r="AX575" s="65"/>
      <c r="AY575" s="65" t="str">
        <f>IFERROR(__xludf.DUMMYFUNCTION("""COMPUTED_VALUE"""),"23/02/2026")</f>
        <v>23/02/2026</v>
      </c>
      <c r="AZ575" s="65"/>
      <c r="BA575" s="65"/>
    </row>
    <row r="576">
      <c r="A576" s="65" t="str">
        <f>IFERROR(__xludf.DUMMYFUNCTION("""COMPUTED_VALUE"""),"27-03-2026")</f>
        <v>27-03-2026</v>
      </c>
      <c r="B576" s="65">
        <f>IFERROR(__xludf.DUMMYFUNCTION("""COMPUTED_VALUE"""),4586576.0)</f>
        <v>4586576</v>
      </c>
      <c r="C576" s="65" t="str">
        <f>IFERROR(__xludf.DUMMYFUNCTION("""COMPUTED_VALUE"""),"14:35")</f>
        <v>14:35</v>
      </c>
      <c r="D576" s="65" t="str">
        <f>IFERROR(__xludf.DUMMYFUNCTION("""COMPUTED_VALUE"""),"22-02-2026")</f>
        <v>22-02-2026</v>
      </c>
      <c r="E576" s="65" t="str">
        <f>IFERROR(__xludf.DUMMYFUNCTION("""COMPUTED_VALUE"""),"Fernando Caiza")</f>
        <v>Fernando Caiza</v>
      </c>
      <c r="F576" s="65" t="str">
        <f>IFERROR(__xludf.DUMMYFUNCTION("""COMPUTED_VALUE"""),"995474831")</f>
        <v>995474831</v>
      </c>
      <c r="G576" s="65"/>
      <c r="H576" s="65"/>
      <c r="I576" s="65"/>
      <c r="J576" s="65"/>
      <c r="K576" s="65" t="str">
        <f>IFERROR(__xludf.DUMMYFUNCTION("""COMPUTED_VALUE"""),"CANCELADO")</f>
        <v>CANCELADO</v>
      </c>
      <c r="L576" s="65" t="str">
        <f>IFERROR(__xludf.DUMMYFUNCTION("""COMPUTED_VALUE"""),"CON RECAUDO")</f>
        <v>CON RECAUDO</v>
      </c>
      <c r="M576" s="65" t="str">
        <f>IFERROR(__xludf.DUMMYFUNCTION("""COMPUTED_VALUE"""),"CARCHI")</f>
        <v>CARCHI</v>
      </c>
      <c r="N576" s="65" t="str">
        <f>IFERROR(__xludf.DUMMYFUNCTION("""COMPUTED_VALUE"""),"TULCAN")</f>
        <v>TULCAN</v>
      </c>
      <c r="O576" s="65" t="str">
        <f>IFERROR(__xludf.DUMMYFUNCTION("""COMPUTED_VALUE"""),"Ciudadela Kennedy Terminal -")</f>
        <v>Ciudadela Kennedy Terminal -</v>
      </c>
      <c r="P576" s="65"/>
      <c r="Q576" s="65" t="str">
        <f>IFERROR(__xludf.DUMMYFUNCTION("""COMPUTED_VALUE"""),"GINTRACOM")</f>
        <v>GINTRACOM</v>
      </c>
      <c r="R576" s="65">
        <f>IFERROR(__xludf.DUMMYFUNCTION("""COMPUTED_VALUE"""),20.0)</f>
        <v>20</v>
      </c>
      <c r="S576" s="65"/>
      <c r="T576" s="65">
        <f>IFERROR(__xludf.DUMMYFUNCTION("""COMPUTED_VALUE"""),5.76)</f>
        <v>5.76</v>
      </c>
      <c r="U576" s="65">
        <f>IFERROR(__xludf.DUMMYFUNCTION("""COMPUTED_VALUE"""),0.0)</f>
        <v>0</v>
      </c>
      <c r="V576" s="65">
        <f>IFERROR(__xludf.DUMMYFUNCTION("""COMPUTED_VALUE"""),0.0)</f>
        <v>0</v>
      </c>
      <c r="W576" s="65">
        <f>IFERROR(__xludf.DUMMYFUNCTION("""COMPUTED_VALUE"""),0.0)</f>
        <v>0</v>
      </c>
      <c r="X576" s="65">
        <f>IFERROR(__xludf.DUMMYFUNCTION("""COMPUTED_VALUE"""),2.35)</f>
        <v>2.35</v>
      </c>
      <c r="Y576" s="65">
        <f>IFERROR(__xludf.DUMMYFUNCTION("""COMPUTED_VALUE"""),2.35)</f>
        <v>2.35</v>
      </c>
      <c r="Z576" s="65">
        <f>IFERROR(__xludf.DUMMYFUNCTION("""COMPUTED_VALUE"""),116679.0)</f>
        <v>116679</v>
      </c>
      <c r="AA576" s="65" t="str">
        <f>IFERROR(__xludf.DUMMYFUNCTION("""COMPUTED_VALUE"""),"AMC-2738")</f>
        <v>AMC-2738</v>
      </c>
      <c r="AB576" s="65"/>
      <c r="AC576" s="65" t="str">
        <f>IFERROR(__xludf.DUMMYFUNCTION("""COMPUTED_VALUE"""),"ESPONJA ANTILLUVIA DE PARABRISAS")</f>
        <v>ESPONJA ANTILLUVIA DE PARABRISAS</v>
      </c>
      <c r="AD576" s="65"/>
      <c r="AE576" s="65">
        <f>IFERROR(__xludf.DUMMYFUNCTION("""COMPUTED_VALUE"""),1.0)</f>
        <v>1</v>
      </c>
      <c r="AF576" s="65"/>
      <c r="AG576" s="65"/>
      <c r="AH576" s="65"/>
      <c r="AI576" s="65"/>
      <c r="AJ576" s="65"/>
      <c r="AK576" s="65"/>
      <c r="AL576" s="65"/>
      <c r="AM576" s="65"/>
      <c r="AN576" s="65"/>
      <c r="AO576" s="65"/>
      <c r="AP576" s="65"/>
      <c r="AQ576" s="65"/>
      <c r="AR576" s="65"/>
      <c r="AS576" s="65"/>
      <c r="AT576" s="65" t="str">
        <f>IFERROR(__xludf.DUMMYFUNCTION("""COMPUTED_VALUE"""),"SHOPIFY")</f>
        <v>SHOPIFY</v>
      </c>
      <c r="AU576" s="65" t="str">
        <f>IFERROR(__xludf.DUMMYFUNCTION("""COMPUTED_VALUE"""),"IMPORTEX EC")</f>
        <v>IMPORTEX EC</v>
      </c>
      <c r="AV576" s="65" t="str">
        <f>IFERROR(__xludf.DUMMYFUNCTION("""COMPUTED_VALUE"""),"6520035278892")</f>
        <v>6520035278892</v>
      </c>
      <c r="AW576" s="65">
        <f>IFERROR(__xludf.DUMMYFUNCTION("""COMPUTED_VALUE"""),6291.0)</f>
        <v>6291</v>
      </c>
      <c r="AX576" s="65"/>
      <c r="AY576" s="65"/>
      <c r="AZ576" s="65"/>
      <c r="BA576" s="65"/>
    </row>
    <row r="577">
      <c r="A577" s="65" t="str">
        <f>IFERROR(__xludf.DUMMYFUNCTION("""COMPUTED_VALUE"""),"27-03-2026")</f>
        <v>27-03-2026</v>
      </c>
      <c r="B577" s="65">
        <f>IFERROR(__xludf.DUMMYFUNCTION("""COMPUTED_VALUE"""),4586569.0)</f>
        <v>4586569</v>
      </c>
      <c r="C577" s="65" t="str">
        <f>IFERROR(__xludf.DUMMYFUNCTION("""COMPUTED_VALUE"""),"14:34")</f>
        <v>14:34</v>
      </c>
      <c r="D577" s="65" t="str">
        <f>IFERROR(__xludf.DUMMYFUNCTION("""COMPUTED_VALUE"""),"22-02-2026")</f>
        <v>22-02-2026</v>
      </c>
      <c r="E577" s="65" t="str">
        <f>IFERROR(__xludf.DUMMYFUNCTION("""COMPUTED_VALUE"""),"Luis Eduardo Rodriguez")</f>
        <v>Luis Eduardo Rodriguez</v>
      </c>
      <c r="F577" s="65" t="str">
        <f>IFERROR(__xludf.DUMMYFUNCTION("""COMPUTED_VALUE"""),"995443502")</f>
        <v>995443502</v>
      </c>
      <c r="G577" s="65" t="str">
        <f>IFERROR(__xludf.DUMMYFUNCTION("""COMPUTED_VALUE"""),"lervabue85@gmail.com")</f>
        <v>lervabue85@gmail.com</v>
      </c>
      <c r="H577" s="65"/>
      <c r="I577" s="65"/>
      <c r="J577" s="65" t="str">
        <f>IFERROR(__xludf.DUMMYFUNCTION("""COMPUTED_VALUE"""),"D001353674")</f>
        <v>D001353674</v>
      </c>
      <c r="K577" s="65" t="str">
        <f>IFERROR(__xludf.DUMMYFUNCTION("""COMPUTED_VALUE"""),"ENTREGADO")</f>
        <v>ENTREGADO</v>
      </c>
      <c r="L577" s="65" t="str">
        <f>IFERROR(__xludf.DUMMYFUNCTION("""COMPUTED_VALUE"""),"CON RECAUDO")</f>
        <v>CON RECAUDO</v>
      </c>
      <c r="M577" s="65" t="str">
        <f>IFERROR(__xludf.DUMMYFUNCTION("""COMPUTED_VALUE"""),"PICHINCHA")</f>
        <v>PICHINCHA</v>
      </c>
      <c r="N577" s="65" t="str">
        <f>IFERROR(__xludf.DUMMYFUNCTION("""COMPUTED_VALUE"""),"SANGOLQUI")</f>
        <v>SANGOLQUI</v>
      </c>
      <c r="O577" s="65" t="str">
        <f>IFERROR(__xludf.DUMMYFUNCTION("""COMPUTED_VALUE"""),"Antonio Tandazo y Puma de Vivar Cashapamba - 39, sector Cashapamba,")</f>
        <v>Antonio Tandazo y Puma de Vivar Cashapamba - 39, sector Cashapamba,</v>
      </c>
      <c r="P577" s="65"/>
      <c r="Q577" s="65" t="str">
        <f>IFERROR(__xludf.DUMMYFUNCTION("""COMPUTED_VALUE"""),"GINTRACOM")</f>
        <v>GINTRACOM</v>
      </c>
      <c r="R577" s="65">
        <f>IFERROR(__xludf.DUMMYFUNCTION("""COMPUTED_VALUE"""),30.0)</f>
        <v>30</v>
      </c>
      <c r="S577" s="65">
        <f>IFERROR(__xludf.DUMMYFUNCTION("""COMPUTED_VALUE"""),17.83)</f>
        <v>17.83</v>
      </c>
      <c r="T577" s="65">
        <f>IFERROR(__xludf.DUMMYFUNCTION("""COMPUTED_VALUE"""),5.12)</f>
        <v>5.12</v>
      </c>
      <c r="U577" s="65">
        <f>IFERROR(__xludf.DUMMYFUNCTION("""COMPUTED_VALUE"""),0.0)</f>
        <v>0</v>
      </c>
      <c r="V577" s="65">
        <f>IFERROR(__xludf.DUMMYFUNCTION("""COMPUTED_VALUE"""),0.0)</f>
        <v>0</v>
      </c>
      <c r="W577" s="65">
        <f>IFERROR(__xludf.DUMMYFUNCTION("""COMPUTED_VALUE"""),0.0)</f>
        <v>0</v>
      </c>
      <c r="X577" s="65">
        <f>IFERROR(__xludf.DUMMYFUNCTION("""COMPUTED_VALUE"""),2.35)</f>
        <v>2.35</v>
      </c>
      <c r="Y577" s="65">
        <f>IFERROR(__xludf.DUMMYFUNCTION("""COMPUTED_VALUE"""),7.05)</f>
        <v>7.05</v>
      </c>
      <c r="Z577" s="65">
        <f>IFERROR(__xludf.DUMMYFUNCTION("""COMPUTED_VALUE"""),116679.0)</f>
        <v>116679</v>
      </c>
      <c r="AA577" s="65" t="str">
        <f>IFERROR(__xludf.DUMMYFUNCTION("""COMPUTED_VALUE"""),"AMC-2738")</f>
        <v>AMC-2738</v>
      </c>
      <c r="AB577" s="65"/>
      <c r="AC577" s="65" t="str">
        <f>IFERROR(__xludf.DUMMYFUNCTION("""COMPUTED_VALUE"""),"ESPONJA ANTILLUVIA DE PARABRISAS")</f>
        <v>ESPONJA ANTILLUVIA DE PARABRISAS</v>
      </c>
      <c r="AD577" s="65"/>
      <c r="AE577" s="65">
        <f>IFERROR(__xludf.DUMMYFUNCTION("""COMPUTED_VALUE"""),3.0)</f>
        <v>3</v>
      </c>
      <c r="AF577" s="65"/>
      <c r="AG577" s="65"/>
      <c r="AH577" s="65"/>
      <c r="AI577" s="65"/>
      <c r="AJ577" s="65"/>
      <c r="AK577" s="65"/>
      <c r="AL577" s="65"/>
      <c r="AM577" s="65"/>
      <c r="AN577" s="65" t="str">
        <f>IFERROR(__xludf.DUMMYFUNCTION("""COMPUTED_VALUE"""),"09:18")</f>
        <v>09:18</v>
      </c>
      <c r="AO577" s="65" t="str">
        <f>IFERROR(__xludf.DUMMYFUNCTION("""COMPUTED_VALUE"""),"26-02-2026")</f>
        <v>26-02-2026</v>
      </c>
      <c r="AP577" s="65" t="str">
        <f>IFERROR(__xludf.DUMMYFUNCTION("""COMPUTED_VALUE"""),"EN REPARTO")</f>
        <v>EN REPARTO</v>
      </c>
      <c r="AQ577" s="65" t="str">
        <f>IFERROR(__xludf.DUMMYFUNCTION("""COMPUTED_VALUE"""),"EN REPARTO")</f>
        <v>EN REPARTO</v>
      </c>
      <c r="AR577" s="65"/>
      <c r="AS577" s="65"/>
      <c r="AT577" s="65" t="str">
        <f>IFERROR(__xludf.DUMMYFUNCTION("""COMPUTED_VALUE"""),"SHOPIFY")</f>
        <v>SHOPIFY</v>
      </c>
      <c r="AU577" s="65" t="str">
        <f>IFERROR(__xludf.DUMMYFUNCTION("""COMPUTED_VALUE"""),"IMPORTEX EC")</f>
        <v>IMPORTEX EC</v>
      </c>
      <c r="AV577" s="65" t="str">
        <f>IFERROR(__xludf.DUMMYFUNCTION("""COMPUTED_VALUE"""),"6519697899564")</f>
        <v>6519697899564</v>
      </c>
      <c r="AW577" s="65">
        <f>IFERROR(__xludf.DUMMYFUNCTION("""COMPUTED_VALUE"""),6287.0)</f>
        <v>6287</v>
      </c>
      <c r="AX577" s="65"/>
      <c r="AY577" s="65" t="str">
        <f>IFERROR(__xludf.DUMMYFUNCTION("""COMPUTED_VALUE"""),"23/02/2026")</f>
        <v>23/02/2026</v>
      </c>
      <c r="AZ577" s="65"/>
      <c r="BA577" s="65"/>
    </row>
    <row r="578">
      <c r="A578" s="65" t="str">
        <f>IFERROR(__xludf.DUMMYFUNCTION("""COMPUTED_VALUE"""),"27-03-2026")</f>
        <v>27-03-2026</v>
      </c>
      <c r="B578" s="65">
        <f>IFERROR(__xludf.DUMMYFUNCTION("""COMPUTED_VALUE"""),4586545.0)</f>
        <v>4586545</v>
      </c>
      <c r="C578" s="65" t="str">
        <f>IFERROR(__xludf.DUMMYFUNCTION("""COMPUTED_VALUE"""),"14:32")</f>
        <v>14:32</v>
      </c>
      <c r="D578" s="65" t="str">
        <f>IFERROR(__xludf.DUMMYFUNCTION("""COMPUTED_VALUE"""),"22-02-2026")</f>
        <v>22-02-2026</v>
      </c>
      <c r="E578" s="65" t="str">
        <f>IFERROR(__xludf.DUMMYFUNCTION("""COMPUTED_VALUE"""),"Mayra Castillo")</f>
        <v>Mayra Castillo</v>
      </c>
      <c r="F578" s="65" t="str">
        <f>IFERROR(__xludf.DUMMYFUNCTION("""COMPUTED_VALUE"""),"997589661")</f>
        <v>997589661</v>
      </c>
      <c r="G578" s="65" t="str">
        <f>IFERROR(__xludf.DUMMYFUNCTION("""COMPUTED_VALUE"""),"mayracastillog4@gmail.com")</f>
        <v>mayracastillog4@gmail.com</v>
      </c>
      <c r="H578" s="65"/>
      <c r="I578" s="65"/>
      <c r="J578" s="65"/>
      <c r="K578" s="65" t="str">
        <f>IFERROR(__xludf.DUMMYFUNCTION("""COMPUTED_VALUE"""),"PENDIENTE CONFIRMACION")</f>
        <v>PENDIENTE CONFIRMACION</v>
      </c>
      <c r="L578" s="65" t="str">
        <f>IFERROR(__xludf.DUMMYFUNCTION("""COMPUTED_VALUE"""),"CON RECAUDO")</f>
        <v>CON RECAUDO</v>
      </c>
      <c r="M578" s="65" t="str">
        <f>IFERROR(__xludf.DUMMYFUNCTION("""COMPUTED_VALUE"""),"SUCUMBIOS")</f>
        <v>SUCUMBIOS</v>
      </c>
      <c r="N578" s="65" t="str">
        <f>IFERROR(__xludf.DUMMYFUNCTION("""COMPUTED_VALUE"""),"LAGO AGRIO")</f>
        <v>LAGO AGRIO</v>
      </c>
      <c r="O578" s="65" t="str">
        <f>IFERROR(__xludf.DUMMYFUNCTION("""COMPUTED_VALUE"""),"Av. Circunvalación y Mons. Gonzalo López Marañón Centro de atención ciudadana, oficina ex  MIES -")</f>
        <v>Av. Circunvalación y Mons. Gonzalo López Marañón Centro de atención ciudadana, oficina ex  MIES -</v>
      </c>
      <c r="P578" s="65"/>
      <c r="Q578" s="65" t="str">
        <f>IFERROR(__xludf.DUMMYFUNCTION("""COMPUTED_VALUE"""),"GINTRACOM")</f>
        <v>GINTRACOM</v>
      </c>
      <c r="R578" s="65">
        <f>IFERROR(__xludf.DUMMYFUNCTION("""COMPUTED_VALUE"""),25.0)</f>
        <v>25</v>
      </c>
      <c r="S578" s="65"/>
      <c r="T578" s="65">
        <f>IFERROR(__xludf.DUMMYFUNCTION("""COMPUTED_VALUE"""),5.96)</f>
        <v>5.96</v>
      </c>
      <c r="U578" s="65">
        <f>IFERROR(__xludf.DUMMYFUNCTION("""COMPUTED_VALUE"""),0.0)</f>
        <v>0</v>
      </c>
      <c r="V578" s="65">
        <f>IFERROR(__xludf.DUMMYFUNCTION("""COMPUTED_VALUE"""),0.0)</f>
        <v>0</v>
      </c>
      <c r="W578" s="65">
        <f>IFERROR(__xludf.DUMMYFUNCTION("""COMPUTED_VALUE"""),0.0)</f>
        <v>0</v>
      </c>
      <c r="X578" s="65">
        <f>IFERROR(__xludf.DUMMYFUNCTION("""COMPUTED_VALUE"""),2.35)</f>
        <v>2.35</v>
      </c>
      <c r="Y578" s="65">
        <f>IFERROR(__xludf.DUMMYFUNCTION("""COMPUTED_VALUE"""),4.7)</f>
        <v>4.7</v>
      </c>
      <c r="Z578" s="65">
        <f>IFERROR(__xludf.DUMMYFUNCTION("""COMPUTED_VALUE"""),116679.0)</f>
        <v>116679</v>
      </c>
      <c r="AA578" s="65" t="str">
        <f>IFERROR(__xludf.DUMMYFUNCTION("""COMPUTED_VALUE"""),"AMC-2738")</f>
        <v>AMC-2738</v>
      </c>
      <c r="AB578" s="65"/>
      <c r="AC578" s="65" t="str">
        <f>IFERROR(__xludf.DUMMYFUNCTION("""COMPUTED_VALUE"""),"ESPONJA ANTILLUVIA DE PARABRISAS")</f>
        <v>ESPONJA ANTILLUVIA DE PARABRISAS</v>
      </c>
      <c r="AD578" s="65"/>
      <c r="AE578" s="65">
        <f>IFERROR(__xludf.DUMMYFUNCTION("""COMPUTED_VALUE"""),2.0)</f>
        <v>2</v>
      </c>
      <c r="AF578" s="65"/>
      <c r="AG578" s="65"/>
      <c r="AH578" s="65"/>
      <c r="AI578" s="65"/>
      <c r="AJ578" s="65"/>
      <c r="AK578" s="65"/>
      <c r="AL578" s="65"/>
      <c r="AM578" s="65"/>
      <c r="AN578" s="65"/>
      <c r="AO578" s="65"/>
      <c r="AP578" s="65"/>
      <c r="AQ578" s="65"/>
      <c r="AR578" s="65"/>
      <c r="AS578" s="65"/>
      <c r="AT578" s="65" t="str">
        <f>IFERROR(__xludf.DUMMYFUNCTION("""COMPUTED_VALUE"""),"SHOPIFY")</f>
        <v>SHOPIFY</v>
      </c>
      <c r="AU578" s="65" t="str">
        <f>IFERROR(__xludf.DUMMYFUNCTION("""COMPUTED_VALUE"""),"IMPORTEX EC")</f>
        <v>IMPORTEX EC</v>
      </c>
      <c r="AV578" s="65" t="str">
        <f>IFERROR(__xludf.DUMMYFUNCTION("""COMPUTED_VALUE"""),"6519607558188")</f>
        <v>6519607558188</v>
      </c>
      <c r="AW578" s="65">
        <f>IFERROR(__xludf.DUMMYFUNCTION("""COMPUTED_VALUE"""),6286.0)</f>
        <v>6286</v>
      </c>
      <c r="AX578" s="65"/>
      <c r="AY578" s="65"/>
      <c r="AZ578" s="65"/>
      <c r="BA578" s="65"/>
    </row>
    <row r="579">
      <c r="A579" s="65" t="str">
        <f>IFERROR(__xludf.DUMMYFUNCTION("""COMPUTED_VALUE"""),"27-03-2026")</f>
        <v>27-03-2026</v>
      </c>
      <c r="B579" s="65">
        <f>IFERROR(__xludf.DUMMYFUNCTION("""COMPUTED_VALUE"""),4586535.0)</f>
        <v>4586535</v>
      </c>
      <c r="C579" s="65" t="str">
        <f>IFERROR(__xludf.DUMMYFUNCTION("""COMPUTED_VALUE"""),"14:31")</f>
        <v>14:31</v>
      </c>
      <c r="D579" s="65" t="str">
        <f>IFERROR(__xludf.DUMMYFUNCTION("""COMPUTED_VALUE"""),"22-02-2026")</f>
        <v>22-02-2026</v>
      </c>
      <c r="E579" s="65" t="str">
        <f>IFERROR(__xludf.DUMMYFUNCTION("""COMPUTED_VALUE"""),"Paul Montaño Montaño Casanova")</f>
        <v>Paul Montaño Montaño Casanova</v>
      </c>
      <c r="F579" s="65" t="str">
        <f>IFERROR(__xludf.DUMMYFUNCTION("""COMPUTED_VALUE"""),"989042024")</f>
        <v>989042024</v>
      </c>
      <c r="G579" s="65" t="str">
        <f>IFERROR(__xludf.DUMMYFUNCTION("""COMPUTED_VALUE"""),"pmontano86@hotmail.com")</f>
        <v>pmontano86@hotmail.com</v>
      </c>
      <c r="H579" s="65"/>
      <c r="I579" s="65"/>
      <c r="J579" s="65" t="str">
        <f>IFERROR(__xludf.DUMMYFUNCTION("""COMPUTED_VALUE"""),"D001353675")</f>
        <v>D001353675</v>
      </c>
      <c r="K579" s="65" t="str">
        <f>IFERROR(__xludf.DUMMYFUNCTION("""COMPUTED_VALUE"""),"ENTREGADO")</f>
        <v>ENTREGADO</v>
      </c>
      <c r="L579" s="65" t="str">
        <f>IFERROR(__xludf.DUMMYFUNCTION("""COMPUTED_VALUE"""),"CON RECAUDO")</f>
        <v>CON RECAUDO</v>
      </c>
      <c r="M579" s="65" t="str">
        <f>IFERROR(__xludf.DUMMYFUNCTION("""COMPUTED_VALUE"""),"ESMERALDAS")</f>
        <v>ESMERALDAS</v>
      </c>
      <c r="N579" s="65" t="str">
        <f>IFERROR(__xludf.DUMMYFUNCTION("""COMPUTED_VALUE"""),"ESMERALDAS")</f>
        <v>ESMERALDAS</v>
      </c>
      <c r="O579" s="65" t="str">
        <f>IFERROR(__xludf.DUMMYFUNCTION("""COMPUTED_VALUE"""),"- En la prefectura, 10 de agosto y Simon bolívar esquina")</f>
        <v>- En la prefectura, 10 de agosto y Simon bolívar esquina</v>
      </c>
      <c r="P579" s="65"/>
      <c r="Q579" s="65" t="str">
        <f>IFERROR(__xludf.DUMMYFUNCTION("""COMPUTED_VALUE"""),"GINTRACOM")</f>
        <v>GINTRACOM</v>
      </c>
      <c r="R579" s="65">
        <f>IFERROR(__xludf.DUMMYFUNCTION("""COMPUTED_VALUE"""),30.0)</f>
        <v>30</v>
      </c>
      <c r="S579" s="65">
        <f>IFERROR(__xludf.DUMMYFUNCTION("""COMPUTED_VALUE"""),16.79)</f>
        <v>16.79</v>
      </c>
      <c r="T579" s="65">
        <f>IFERROR(__xludf.DUMMYFUNCTION("""COMPUTED_VALUE"""),6.16)</f>
        <v>6.16</v>
      </c>
      <c r="U579" s="65">
        <f>IFERROR(__xludf.DUMMYFUNCTION("""COMPUTED_VALUE"""),0.0)</f>
        <v>0</v>
      </c>
      <c r="V579" s="65">
        <f>IFERROR(__xludf.DUMMYFUNCTION("""COMPUTED_VALUE"""),0.0)</f>
        <v>0</v>
      </c>
      <c r="W579" s="65">
        <f>IFERROR(__xludf.DUMMYFUNCTION("""COMPUTED_VALUE"""),0.0)</f>
        <v>0</v>
      </c>
      <c r="X579" s="65">
        <f>IFERROR(__xludf.DUMMYFUNCTION("""COMPUTED_VALUE"""),2.35)</f>
        <v>2.35</v>
      </c>
      <c r="Y579" s="65">
        <f>IFERROR(__xludf.DUMMYFUNCTION("""COMPUTED_VALUE"""),7.05)</f>
        <v>7.05</v>
      </c>
      <c r="Z579" s="65">
        <f>IFERROR(__xludf.DUMMYFUNCTION("""COMPUTED_VALUE"""),116679.0)</f>
        <v>116679</v>
      </c>
      <c r="AA579" s="65" t="str">
        <f>IFERROR(__xludf.DUMMYFUNCTION("""COMPUTED_VALUE"""),"AMC-2738")</f>
        <v>AMC-2738</v>
      </c>
      <c r="AB579" s="65"/>
      <c r="AC579" s="65" t="str">
        <f>IFERROR(__xludf.DUMMYFUNCTION("""COMPUTED_VALUE"""),"ESPONJA ANTILLUVIA DE PARABRISAS")</f>
        <v>ESPONJA ANTILLUVIA DE PARABRISAS</v>
      </c>
      <c r="AD579" s="65"/>
      <c r="AE579" s="65">
        <f>IFERROR(__xludf.DUMMYFUNCTION("""COMPUTED_VALUE"""),3.0)</f>
        <v>3</v>
      </c>
      <c r="AF579" s="65"/>
      <c r="AG579" s="65"/>
      <c r="AH579" s="65"/>
      <c r="AI579" s="65"/>
      <c r="AJ579" s="65"/>
      <c r="AK579" s="65"/>
      <c r="AL579" s="65"/>
      <c r="AM579" s="65"/>
      <c r="AN579" s="65" t="str">
        <f>IFERROR(__xludf.DUMMYFUNCTION("""COMPUTED_VALUE"""),"09:56")</f>
        <v>09:56</v>
      </c>
      <c r="AO579" s="65" t="str">
        <f>IFERROR(__xludf.DUMMYFUNCTION("""COMPUTED_VALUE"""),"27-02-2026")</f>
        <v>27-02-2026</v>
      </c>
      <c r="AP579" s="65" t="str">
        <f>IFERROR(__xludf.DUMMYFUNCTION("""COMPUTED_VALUE"""),"EN REPARTO")</f>
        <v>EN REPARTO</v>
      </c>
      <c r="AQ579" s="65" t="str">
        <f>IFERROR(__xludf.DUMMYFUNCTION("""COMPUTED_VALUE"""),"EN REPARTO")</f>
        <v>EN REPARTO</v>
      </c>
      <c r="AR579" s="65"/>
      <c r="AS579" s="65"/>
      <c r="AT579" s="65" t="str">
        <f>IFERROR(__xludf.DUMMYFUNCTION("""COMPUTED_VALUE"""),"SHOPIFY")</f>
        <v>SHOPIFY</v>
      </c>
      <c r="AU579" s="65" t="str">
        <f>IFERROR(__xludf.DUMMYFUNCTION("""COMPUTED_VALUE"""),"IMPORTEX EC")</f>
        <v>IMPORTEX EC</v>
      </c>
      <c r="AV579" s="65" t="str">
        <f>IFERROR(__xludf.DUMMYFUNCTION("""COMPUTED_VALUE"""),"6519538712620")</f>
        <v>6519538712620</v>
      </c>
      <c r="AW579" s="65">
        <f>IFERROR(__xludf.DUMMYFUNCTION("""COMPUTED_VALUE"""),6283.0)</f>
        <v>6283</v>
      </c>
      <c r="AX579" s="65"/>
      <c r="AY579" s="65" t="str">
        <f>IFERROR(__xludf.DUMMYFUNCTION("""COMPUTED_VALUE"""),"23/02/2026")</f>
        <v>23/02/2026</v>
      </c>
      <c r="AZ579" s="65"/>
      <c r="BA579" s="65"/>
    </row>
    <row r="580">
      <c r="A580" s="65" t="str">
        <f>IFERROR(__xludf.DUMMYFUNCTION("""COMPUTED_VALUE"""),"27-03-2026")</f>
        <v>27-03-2026</v>
      </c>
      <c r="B580" s="65">
        <f>IFERROR(__xludf.DUMMYFUNCTION("""COMPUTED_VALUE"""),4586511.0)</f>
        <v>4586511</v>
      </c>
      <c r="C580" s="65" t="str">
        <f>IFERROR(__xludf.DUMMYFUNCTION("""COMPUTED_VALUE"""),"14:29")</f>
        <v>14:29</v>
      </c>
      <c r="D580" s="65" t="str">
        <f>IFERROR(__xludf.DUMMYFUNCTION("""COMPUTED_VALUE"""),"22-02-2026")</f>
        <v>22-02-2026</v>
      </c>
      <c r="E580" s="65" t="str">
        <f>IFERROR(__xludf.DUMMYFUNCTION("""COMPUTED_VALUE"""),"Jorge Benites")</f>
        <v>Jorge Benites</v>
      </c>
      <c r="F580" s="65" t="str">
        <f>IFERROR(__xludf.DUMMYFUNCTION("""COMPUTED_VALUE"""),"983684366")</f>
        <v>983684366</v>
      </c>
      <c r="G580" s="65" t="str">
        <f>IFERROR(__xludf.DUMMYFUNCTION("""COMPUTED_VALUE"""),"jbenites.bcg@gmail.com")</f>
        <v>jbenites.bcg@gmail.com</v>
      </c>
      <c r="H580" s="65"/>
      <c r="I580" s="65"/>
      <c r="J580" s="65"/>
      <c r="K580" s="65" t="str">
        <f>IFERROR(__xludf.DUMMYFUNCTION("""COMPUTED_VALUE"""),"PENDIENTE CONFIRMACION")</f>
        <v>PENDIENTE CONFIRMACION</v>
      </c>
      <c r="L580" s="65" t="str">
        <f>IFERROR(__xludf.DUMMYFUNCTION("""COMPUTED_VALUE"""),"CON RECAUDO")</f>
        <v>CON RECAUDO</v>
      </c>
      <c r="M580" s="65" t="str">
        <f>IFERROR(__xludf.DUMMYFUNCTION("""COMPUTED_VALUE"""),"PICHINCHA")</f>
        <v>PICHINCHA</v>
      </c>
      <c r="N580" s="65" t="str">
        <f>IFERROR(__xludf.DUMMYFUNCTION("""COMPUTED_VALUE"""),"QUITO")</f>
        <v>QUITO</v>
      </c>
      <c r="O580" s="65" t="str">
        <f>IFERROR(__xludf.DUMMYFUNCTION("""COMPUTED_VALUE"""),"Calle De Las Uvillas Termas la merced -")</f>
        <v>Calle De Las Uvillas Termas la merced -</v>
      </c>
      <c r="P580" s="65"/>
      <c r="Q580" s="65" t="str">
        <f>IFERROR(__xludf.DUMMYFUNCTION("""COMPUTED_VALUE"""),"GINTRACOM")</f>
        <v>GINTRACOM</v>
      </c>
      <c r="R580" s="65">
        <f>IFERROR(__xludf.DUMMYFUNCTION("""COMPUTED_VALUE"""),30.0)</f>
        <v>30</v>
      </c>
      <c r="S580" s="65"/>
      <c r="T580" s="65">
        <f>IFERROR(__xludf.DUMMYFUNCTION("""COMPUTED_VALUE"""),4.55)</f>
        <v>4.55</v>
      </c>
      <c r="U580" s="65">
        <f>IFERROR(__xludf.DUMMYFUNCTION("""COMPUTED_VALUE"""),0.0)</f>
        <v>0</v>
      </c>
      <c r="V580" s="65">
        <f>IFERROR(__xludf.DUMMYFUNCTION("""COMPUTED_VALUE"""),0.0)</f>
        <v>0</v>
      </c>
      <c r="W580" s="65">
        <f>IFERROR(__xludf.DUMMYFUNCTION("""COMPUTED_VALUE"""),0.0)</f>
        <v>0</v>
      </c>
      <c r="X580" s="65">
        <f>IFERROR(__xludf.DUMMYFUNCTION("""COMPUTED_VALUE"""),2.35)</f>
        <v>2.35</v>
      </c>
      <c r="Y580" s="65">
        <f>IFERROR(__xludf.DUMMYFUNCTION("""COMPUTED_VALUE"""),7.05)</f>
        <v>7.05</v>
      </c>
      <c r="Z580" s="65">
        <f>IFERROR(__xludf.DUMMYFUNCTION("""COMPUTED_VALUE"""),116679.0)</f>
        <v>116679</v>
      </c>
      <c r="AA580" s="65" t="str">
        <f>IFERROR(__xludf.DUMMYFUNCTION("""COMPUTED_VALUE"""),"AMC-2738")</f>
        <v>AMC-2738</v>
      </c>
      <c r="AB580" s="65"/>
      <c r="AC580" s="65" t="str">
        <f>IFERROR(__xludf.DUMMYFUNCTION("""COMPUTED_VALUE"""),"ESPONJA ANTILLUVIA DE PARABRISAS")</f>
        <v>ESPONJA ANTILLUVIA DE PARABRISAS</v>
      </c>
      <c r="AD580" s="65"/>
      <c r="AE580" s="65">
        <f>IFERROR(__xludf.DUMMYFUNCTION("""COMPUTED_VALUE"""),3.0)</f>
        <v>3</v>
      </c>
      <c r="AF580" s="65"/>
      <c r="AG580" s="65"/>
      <c r="AH580" s="65"/>
      <c r="AI580" s="65"/>
      <c r="AJ580" s="65"/>
      <c r="AK580" s="65"/>
      <c r="AL580" s="65"/>
      <c r="AM580" s="65"/>
      <c r="AN580" s="65"/>
      <c r="AO580" s="65"/>
      <c r="AP580" s="65"/>
      <c r="AQ580" s="65"/>
      <c r="AR580" s="65"/>
      <c r="AS580" s="65"/>
      <c r="AT580" s="65" t="str">
        <f>IFERROR(__xludf.DUMMYFUNCTION("""COMPUTED_VALUE"""),"SHOPIFY")</f>
        <v>SHOPIFY</v>
      </c>
      <c r="AU580" s="65" t="str">
        <f>IFERROR(__xludf.DUMMYFUNCTION("""COMPUTED_VALUE"""),"IMPORTEX EC")</f>
        <v>IMPORTEX EC</v>
      </c>
      <c r="AV580" s="65" t="str">
        <f>IFERROR(__xludf.DUMMYFUNCTION("""COMPUTED_VALUE"""),"6519451058220")</f>
        <v>6519451058220</v>
      </c>
      <c r="AW580" s="65">
        <f>IFERROR(__xludf.DUMMYFUNCTION("""COMPUTED_VALUE"""),6280.0)</f>
        <v>6280</v>
      </c>
      <c r="AX580" s="65"/>
      <c r="AY580" s="65"/>
      <c r="AZ580" s="65"/>
      <c r="BA580" s="65"/>
    </row>
    <row r="581">
      <c r="A581" s="65" t="str">
        <f>IFERROR(__xludf.DUMMYFUNCTION("""COMPUTED_VALUE"""),"27-03-2026")</f>
        <v>27-03-2026</v>
      </c>
      <c r="B581" s="65">
        <f>IFERROR(__xludf.DUMMYFUNCTION("""COMPUTED_VALUE"""),4586325.0)</f>
        <v>4586325</v>
      </c>
      <c r="C581" s="65" t="str">
        <f>IFERROR(__xludf.DUMMYFUNCTION("""COMPUTED_VALUE"""),"14:07")</f>
        <v>14:07</v>
      </c>
      <c r="D581" s="65" t="str">
        <f>IFERROR(__xludf.DUMMYFUNCTION("""COMPUTED_VALUE"""),"22-02-2026")</f>
        <v>22-02-2026</v>
      </c>
      <c r="E581" s="65" t="str">
        <f>IFERROR(__xludf.DUMMYFUNCTION("""COMPUTED_VALUE"""),"Francisca Parrales")</f>
        <v>Francisca Parrales</v>
      </c>
      <c r="F581" s="65" t="str">
        <f>IFERROR(__xludf.DUMMYFUNCTION("""COMPUTED_VALUE"""),"982914049")</f>
        <v>982914049</v>
      </c>
      <c r="G581" s="65"/>
      <c r="H581" s="65"/>
      <c r="I581" s="65"/>
      <c r="J581" s="65" t="str">
        <f>IFERROR(__xludf.DUMMYFUNCTION("""COMPUTED_VALUE"""),"LC52934417")</f>
        <v>LC52934417</v>
      </c>
      <c r="K581" s="65" t="str">
        <f>IFERROR(__xludf.DUMMYFUNCTION("""COMPUTED_VALUE"""),"ENTREGADO")</f>
        <v>ENTREGADO</v>
      </c>
      <c r="L581" s="65" t="str">
        <f>IFERROR(__xludf.DUMMYFUNCTION("""COMPUTED_VALUE"""),"CON RECAUDO")</f>
        <v>CON RECAUDO</v>
      </c>
      <c r="M581" s="65" t="str">
        <f>IFERROR(__xludf.DUMMYFUNCTION("""COMPUTED_VALUE"""),"MANABI")</f>
        <v>MANABI</v>
      </c>
      <c r="N581" s="65" t="str">
        <f>IFERROR(__xludf.DUMMYFUNCTION("""COMPUTED_VALUE"""),"JIPIJAPA")</f>
        <v>JIPIJAPA</v>
      </c>
      <c r="O581" s="65" t="str">
        <f>IFERROR(__xludf.DUMMYFUNCTION("""COMPUTED_VALUE"""),"calle Juan León mera y 15 de octubre")</f>
        <v>calle Juan León mera y 15 de octubre</v>
      </c>
      <c r="P581" s="65"/>
      <c r="Q581" s="65" t="str">
        <f>IFERROR(__xludf.DUMMYFUNCTION("""COMPUTED_VALUE"""),"LAARCOURIER")</f>
        <v>LAARCOURIER</v>
      </c>
      <c r="R581" s="65">
        <f>IFERROR(__xludf.DUMMYFUNCTION("""COMPUTED_VALUE"""),20.9)</f>
        <v>20.9</v>
      </c>
      <c r="S581" s="65">
        <f>IFERROR(__xludf.DUMMYFUNCTION("""COMPUTED_VALUE"""),7.2)</f>
        <v>7.2</v>
      </c>
      <c r="T581" s="65">
        <f>IFERROR(__xludf.DUMMYFUNCTION("""COMPUTED_VALUE"""),6.2)</f>
        <v>6.2</v>
      </c>
      <c r="U581" s="65">
        <f>IFERROR(__xludf.DUMMYFUNCTION("""COMPUTED_VALUE"""),0.0)</f>
        <v>0</v>
      </c>
      <c r="V581" s="65">
        <f>IFERROR(__xludf.DUMMYFUNCTION("""COMPUTED_VALUE"""),0.0)</f>
        <v>0</v>
      </c>
      <c r="W581" s="65">
        <f>IFERROR(__xludf.DUMMYFUNCTION("""COMPUTED_VALUE"""),0.0)</f>
        <v>0</v>
      </c>
      <c r="X581" s="65">
        <f>IFERROR(__xludf.DUMMYFUNCTION("""COMPUTED_VALUE"""),3.75)</f>
        <v>3.75</v>
      </c>
      <c r="Y581" s="65">
        <f>IFERROR(__xludf.DUMMYFUNCTION("""COMPUTED_VALUE"""),7.5)</f>
        <v>7.5</v>
      </c>
      <c r="Z581" s="65">
        <f>IFERROR(__xludf.DUMMYFUNCTION("""COMPUTED_VALUE"""),113116.0)</f>
        <v>113116</v>
      </c>
      <c r="AA581" s="65" t="str">
        <f>IFERROR(__xludf.DUMMYFUNCTION("""COMPUTED_VALUE"""),"IM-TAZAKI")</f>
        <v>IM-TAZAKI</v>
      </c>
      <c r="AB581" s="65"/>
      <c r="AC581" s="65" t="str">
        <f>IFERROR(__xludf.DUMMYFUNCTION("""COMPUTED_VALUE"""),"Cuchillo tazaki")</f>
        <v>Cuchillo tazaki</v>
      </c>
      <c r="AD581" s="65"/>
      <c r="AE581" s="65">
        <f>IFERROR(__xludf.DUMMYFUNCTION("""COMPUTED_VALUE"""),2.0)</f>
        <v>2</v>
      </c>
      <c r="AF581" s="65"/>
      <c r="AG581" s="65"/>
      <c r="AH581" s="65"/>
      <c r="AI581" s="65"/>
      <c r="AJ581" s="65"/>
      <c r="AK581" s="65"/>
      <c r="AL581" s="65"/>
      <c r="AM581" s="65"/>
      <c r="AN581" s="65" t="str">
        <f>IFERROR(__xludf.DUMMYFUNCTION("""COMPUTED_VALUE"""),"15:29")</f>
        <v>15:29</v>
      </c>
      <c r="AO581" s="65" t="str">
        <f>IFERROR(__xludf.DUMMYFUNCTION("""COMPUTED_VALUE"""),"26-02-2026")</f>
        <v>26-02-2026</v>
      </c>
      <c r="AP581" s="65" t="str">
        <f>IFERROR(__xludf.DUMMYFUNCTION("""COMPUTED_VALUE"""),"ENTREGADO")</f>
        <v>ENTREGADO</v>
      </c>
      <c r="AQ581" s="65" t="str">
        <f>IFERROR(__xludf.DUMMYFUNCTION("""COMPUTED_VALUE"""),"ENTREGADO")</f>
        <v>ENTREGADO</v>
      </c>
      <c r="AR581" s="65"/>
      <c r="AS581" s="65"/>
      <c r="AT581" s="65" t="str">
        <f>IFERROR(__xludf.DUMMYFUNCTION("""COMPUTED_VALUE"""),"SHOPIFY")</f>
        <v>SHOPIFY</v>
      </c>
      <c r="AU581" s="65" t="str">
        <f>IFERROR(__xludf.DUMMYFUNCTION("""COMPUTED_VALUE"""),"IMPORTEX EC")</f>
        <v>IMPORTEX EC</v>
      </c>
      <c r="AV581" s="65" t="str">
        <f>IFERROR(__xludf.DUMMYFUNCTION("""COMPUTED_VALUE"""),"6522189807660")</f>
        <v>6522189807660</v>
      </c>
      <c r="AW581" s="65">
        <f>IFERROR(__xludf.DUMMYFUNCTION("""COMPUTED_VALUE"""),6304.0)</f>
        <v>6304</v>
      </c>
      <c r="AX581" s="65"/>
      <c r="AY581" s="65" t="str">
        <f>IFERROR(__xludf.DUMMYFUNCTION("""COMPUTED_VALUE"""),"23/02/2026")</f>
        <v>23/02/2026</v>
      </c>
      <c r="AZ581" s="65"/>
      <c r="BA581" s="65"/>
    </row>
    <row r="582">
      <c r="A582" s="65" t="str">
        <f>IFERROR(__xludf.DUMMYFUNCTION("""COMPUTED_VALUE"""),"27-03-2026")</f>
        <v>27-03-2026</v>
      </c>
      <c r="B582" s="65">
        <f>IFERROR(__xludf.DUMMYFUNCTION("""COMPUTED_VALUE"""),4583263.0)</f>
        <v>4583263</v>
      </c>
      <c r="C582" s="65" t="str">
        <f>IFERROR(__xludf.DUMMYFUNCTION("""COMPUTED_VALUE"""),"07:25")</f>
        <v>07:25</v>
      </c>
      <c r="D582" s="65" t="str">
        <f>IFERROR(__xludf.DUMMYFUNCTION("""COMPUTED_VALUE"""),"22-02-2026")</f>
        <v>22-02-2026</v>
      </c>
      <c r="E582" s="65" t="str">
        <f>IFERROR(__xludf.DUMMYFUNCTION("""COMPUTED_VALUE"""),"Juan Pereira")</f>
        <v>Juan Pereira</v>
      </c>
      <c r="F582" s="65" t="str">
        <f>IFERROR(__xludf.DUMMYFUNCTION("""COMPUTED_VALUE"""),"995625480")</f>
        <v>995625480</v>
      </c>
      <c r="G582" s="65" t="str">
        <f>IFERROR(__xludf.DUMMYFUNCTION("""COMPUTED_VALUE"""),"jpereira@domain.net")</f>
        <v>jpereira@domain.net</v>
      </c>
      <c r="H582" s="65"/>
      <c r="I582" s="65"/>
      <c r="J582" s="65"/>
      <c r="K582" s="65" t="str">
        <f>IFERROR(__xludf.DUMMYFUNCTION("""COMPUTED_VALUE"""),"PENDIENTE CONFIRMACION")</f>
        <v>PENDIENTE CONFIRMACION</v>
      </c>
      <c r="L582" s="65" t="str">
        <f>IFERROR(__xludf.DUMMYFUNCTION("""COMPUTED_VALUE"""),"CON RECAUDO")</f>
        <v>CON RECAUDO</v>
      </c>
      <c r="M582" s="65" t="str">
        <f>IFERROR(__xludf.DUMMYFUNCTION("""COMPUTED_VALUE"""),"EL ORO")</f>
        <v>EL ORO</v>
      </c>
      <c r="N582" s="65" t="str">
        <f>IFERROR(__xludf.DUMMYFUNCTION("""COMPUTED_VALUE"""),"BALSAS")</f>
        <v>BALSAS</v>
      </c>
      <c r="O582" s="65" t="str">
        <f>IFERROR(__xludf.DUMMYFUNCTION("""COMPUTED_VALUE"""),"Quto N58j La tola -")</f>
        <v>Quto N58j La tola -</v>
      </c>
      <c r="P582" s="65"/>
      <c r="Q582" s="65" t="str">
        <f>IFERROR(__xludf.DUMMYFUNCTION("""COMPUTED_VALUE"""),"SERVIENTREGA")</f>
        <v>SERVIENTREGA</v>
      </c>
      <c r="R582" s="65">
        <f>IFERROR(__xludf.DUMMYFUNCTION("""COMPUTED_VALUE"""),20.0)</f>
        <v>20</v>
      </c>
      <c r="S582" s="65"/>
      <c r="T582" s="65">
        <f>IFERROR(__xludf.DUMMYFUNCTION("""COMPUTED_VALUE"""),7.67)</f>
        <v>7.67</v>
      </c>
      <c r="U582" s="65">
        <f>IFERROR(__xludf.DUMMYFUNCTION("""COMPUTED_VALUE"""),0.0)</f>
        <v>0</v>
      </c>
      <c r="V582" s="65">
        <f>IFERROR(__xludf.DUMMYFUNCTION("""COMPUTED_VALUE"""),0.0)</f>
        <v>0</v>
      </c>
      <c r="W582" s="65">
        <f>IFERROR(__xludf.DUMMYFUNCTION("""COMPUTED_VALUE"""),0.0)</f>
        <v>0</v>
      </c>
      <c r="X582" s="65">
        <f>IFERROR(__xludf.DUMMYFUNCTION("""COMPUTED_VALUE"""),1.0)</f>
        <v>1</v>
      </c>
      <c r="Y582" s="65">
        <f>IFERROR(__xludf.DUMMYFUNCTION("""COMPUTED_VALUE"""),2.0)</f>
        <v>2</v>
      </c>
      <c r="Z582" s="65">
        <f>IFERROR(__xludf.DUMMYFUNCTION("""COMPUTED_VALUE"""),2764.0)</f>
        <v>2764</v>
      </c>
      <c r="AA582" s="65" t="str">
        <f>IFERROR(__xludf.DUMMYFUNCTION("""COMPUTED_VALUE"""),"14030581")</f>
        <v>14030581</v>
      </c>
      <c r="AB582" s="65"/>
      <c r="AC582" s="65" t="str">
        <f>IFERROR(__xludf.DUMMYFUNCTION("""COMPUTED_VALUE"""),"AFILADOR DE CUCHILLOS")</f>
        <v>AFILADOR DE CUCHILLOS</v>
      </c>
      <c r="AD582" s="65"/>
      <c r="AE582" s="65">
        <f>IFERROR(__xludf.DUMMYFUNCTION("""COMPUTED_VALUE"""),2.0)</f>
        <v>2</v>
      </c>
      <c r="AF582" s="65"/>
      <c r="AG582" s="65"/>
      <c r="AH582" s="65"/>
      <c r="AI582" s="65"/>
      <c r="AJ582" s="65"/>
      <c r="AK582" s="65"/>
      <c r="AL582" s="65"/>
      <c r="AM582" s="65"/>
      <c r="AN582" s="65"/>
      <c r="AO582" s="65"/>
      <c r="AP582" s="65"/>
      <c r="AQ582" s="65"/>
      <c r="AR582" s="65"/>
      <c r="AS582" s="65"/>
      <c r="AT582" s="65" t="str">
        <f>IFERROR(__xludf.DUMMYFUNCTION("""COMPUTED_VALUE"""),"SHOPIFY")</f>
        <v>SHOPIFY</v>
      </c>
      <c r="AU582" s="65" t="str">
        <f>IFERROR(__xludf.DUMMYFUNCTION("""COMPUTED_VALUE"""),"IMPORTEX EC")</f>
        <v>IMPORTEX EC</v>
      </c>
      <c r="AV582" s="65" t="str">
        <f>IFERROR(__xludf.DUMMYFUNCTION("""COMPUTED_VALUE"""),"6521454592044")</f>
        <v>6521454592044</v>
      </c>
      <c r="AW582" s="65">
        <f>IFERROR(__xludf.DUMMYFUNCTION("""COMPUTED_VALUE"""),6301.0)</f>
        <v>6301</v>
      </c>
      <c r="AX582" s="65"/>
      <c r="AY582" s="65"/>
      <c r="AZ582" s="65"/>
      <c r="BA582" s="65"/>
    </row>
    <row r="583">
      <c r="A583" s="65" t="str">
        <f>IFERROR(__xludf.DUMMYFUNCTION("""COMPUTED_VALUE"""),"27-03-2026")</f>
        <v>27-03-2026</v>
      </c>
      <c r="B583" s="65">
        <f>IFERROR(__xludf.DUMMYFUNCTION("""COMPUTED_VALUE"""),4579105.0)</f>
        <v>4579105</v>
      </c>
      <c r="C583" s="65" t="str">
        <f>IFERROR(__xludf.DUMMYFUNCTION("""COMPUTED_VALUE"""),"16:04")</f>
        <v>16:04</v>
      </c>
      <c r="D583" s="65" t="str">
        <f>IFERROR(__xludf.DUMMYFUNCTION("""COMPUTED_VALUE"""),"21-02-2026")</f>
        <v>21-02-2026</v>
      </c>
      <c r="E583" s="65" t="str">
        <f>IFERROR(__xludf.DUMMYFUNCTION("""COMPUTED_VALUE"""),"José Víctor Castro")</f>
        <v>José Víctor Castro</v>
      </c>
      <c r="F583" s="65" t="str">
        <f>IFERROR(__xludf.DUMMYFUNCTION("""COMPUTED_VALUE"""),"998728720")</f>
        <v>998728720</v>
      </c>
      <c r="G583" s="65" t="str">
        <f>IFERROR(__xludf.DUMMYFUNCTION("""COMPUTED_VALUE"""),"jevebo10@gmail.com")</f>
        <v>jevebo10@gmail.com</v>
      </c>
      <c r="H583" s="65"/>
      <c r="I583" s="65"/>
      <c r="J583" s="65" t="str">
        <f>IFERROR(__xludf.DUMMYFUNCTION("""COMPUTED_VALUE"""),"D001355719")</f>
        <v>D001355719</v>
      </c>
      <c r="K583" s="65" t="str">
        <f>IFERROR(__xludf.DUMMYFUNCTION("""COMPUTED_VALUE"""),"ENTREGADO")</f>
        <v>ENTREGADO</v>
      </c>
      <c r="L583" s="65" t="str">
        <f>IFERROR(__xludf.DUMMYFUNCTION("""COMPUTED_VALUE"""),"CON RECAUDO")</f>
        <v>CON RECAUDO</v>
      </c>
      <c r="M583" s="65" t="str">
        <f>IFERROR(__xludf.DUMMYFUNCTION("""COMPUTED_VALUE"""),"PICHINCHA")</f>
        <v>PICHINCHA</v>
      </c>
      <c r="N583" s="65" t="str">
        <f>IFERROR(__xludf.DUMMYFUNCTION("""COMPUTED_VALUE"""),"QUITO")</f>
        <v>QUITO</v>
      </c>
      <c r="O583" s="65" t="str">
        <f>IFERROR(__xludf.DUMMYFUNCTION("""COMPUTED_VALUE"""),"Antonio Jaramillo OE5-294 y Rafael Grau El pintado -")</f>
        <v>Antonio Jaramillo OE5-294 y Rafael Grau El pintado -</v>
      </c>
      <c r="P583" s="65"/>
      <c r="Q583" s="65" t="str">
        <f>IFERROR(__xludf.DUMMYFUNCTION("""COMPUTED_VALUE"""),"GINTRACOM")</f>
        <v>GINTRACOM</v>
      </c>
      <c r="R583" s="65">
        <f>IFERROR(__xludf.DUMMYFUNCTION("""COMPUTED_VALUE"""),25.0)</f>
        <v>25</v>
      </c>
      <c r="S583" s="65">
        <f>IFERROR(__xludf.DUMMYFUNCTION("""COMPUTED_VALUE"""),12.65)</f>
        <v>12.65</v>
      </c>
      <c r="T583" s="65">
        <f>IFERROR(__xludf.DUMMYFUNCTION("""COMPUTED_VALUE"""),4.35)</f>
        <v>4.35</v>
      </c>
      <c r="U583" s="65">
        <f>IFERROR(__xludf.DUMMYFUNCTION("""COMPUTED_VALUE"""),0.0)</f>
        <v>0</v>
      </c>
      <c r="V583" s="65">
        <f>IFERROR(__xludf.DUMMYFUNCTION("""COMPUTED_VALUE"""),0.0)</f>
        <v>0</v>
      </c>
      <c r="W583" s="65">
        <f>IFERROR(__xludf.DUMMYFUNCTION("""COMPUTED_VALUE"""),0.0)</f>
        <v>0</v>
      </c>
      <c r="X583" s="65">
        <f>IFERROR(__xludf.DUMMYFUNCTION("""COMPUTED_VALUE"""),4.0)</f>
        <v>4</v>
      </c>
      <c r="Y583" s="65">
        <f>IFERROR(__xludf.DUMMYFUNCTION("""COMPUTED_VALUE"""),8.0)</f>
        <v>8</v>
      </c>
      <c r="Z583" s="65">
        <f>IFERROR(__xludf.DUMMYFUNCTION("""COMPUTED_VALUE"""),116882.0)</f>
        <v>116882</v>
      </c>
      <c r="AA583" s="65" t="str">
        <f>IFERROR(__xludf.DUMMYFUNCTION("""COMPUTED_VALUE"""),"IMX-00002")</f>
        <v>IMX-00002</v>
      </c>
      <c r="AB583" s="65"/>
      <c r="AC583" s="65" t="str">
        <f>IFERROR(__xludf.DUMMYFUNCTION("""COMPUTED_VALUE"""),"FILTRO DE LAVAMANOS")</f>
        <v>FILTRO DE LAVAMANOS</v>
      </c>
      <c r="AD583" s="65"/>
      <c r="AE583" s="65">
        <f>IFERROR(__xludf.DUMMYFUNCTION("""COMPUTED_VALUE"""),2.0)</f>
        <v>2</v>
      </c>
      <c r="AF583" s="65"/>
      <c r="AG583" s="65"/>
      <c r="AH583" s="65"/>
      <c r="AI583" s="65"/>
      <c r="AJ583" s="65"/>
      <c r="AK583" s="65"/>
      <c r="AL583" s="65"/>
      <c r="AM583" s="65"/>
      <c r="AN583" s="65" t="str">
        <f>IFERROR(__xludf.DUMMYFUNCTION("""COMPUTED_VALUE"""),"09:50")</f>
        <v>09:50</v>
      </c>
      <c r="AO583" s="65" t="str">
        <f>IFERROR(__xludf.DUMMYFUNCTION("""COMPUTED_VALUE"""),"26-02-2026")</f>
        <v>26-02-2026</v>
      </c>
      <c r="AP583" s="65" t="str">
        <f>IFERROR(__xludf.DUMMYFUNCTION("""COMPUTED_VALUE"""),"EN REPARTO")</f>
        <v>EN REPARTO</v>
      </c>
      <c r="AQ583" s="65" t="str">
        <f>IFERROR(__xludf.DUMMYFUNCTION("""COMPUTED_VALUE"""),"EN REPARTO")</f>
        <v>EN REPARTO</v>
      </c>
      <c r="AR583" s="65"/>
      <c r="AS583" s="65"/>
      <c r="AT583" s="65" t="str">
        <f>IFERROR(__xludf.DUMMYFUNCTION("""COMPUTED_VALUE"""),"SHOPIFY")</f>
        <v>SHOPIFY</v>
      </c>
      <c r="AU583" s="65" t="str">
        <f>IFERROR(__xludf.DUMMYFUNCTION("""COMPUTED_VALUE"""),"IMPORTEX EC")</f>
        <v>IMPORTEX EC</v>
      </c>
      <c r="AV583" s="65" t="str">
        <f>IFERROR(__xludf.DUMMYFUNCTION("""COMPUTED_VALUE"""),"6520112283692")</f>
        <v>6520112283692</v>
      </c>
      <c r="AW583" s="65">
        <f>IFERROR(__xludf.DUMMYFUNCTION("""COMPUTED_VALUE"""),6294.0)</f>
        <v>6294</v>
      </c>
      <c r="AX583" s="65"/>
      <c r="AY583" s="65" t="str">
        <f>IFERROR(__xludf.DUMMYFUNCTION("""COMPUTED_VALUE"""),"24/02/2026")</f>
        <v>24/02/2026</v>
      </c>
      <c r="AZ583" s="65"/>
      <c r="BA583" s="65"/>
    </row>
    <row r="584">
      <c r="A584" s="65" t="str">
        <f>IFERROR(__xludf.DUMMYFUNCTION("""COMPUTED_VALUE"""),"27-03-2026")</f>
        <v>27-03-2026</v>
      </c>
      <c r="B584" s="65">
        <f>IFERROR(__xludf.DUMMYFUNCTION("""COMPUTED_VALUE"""),4578984.0)</f>
        <v>4578984</v>
      </c>
      <c r="C584" s="65" t="str">
        <f>IFERROR(__xludf.DUMMYFUNCTION("""COMPUTED_VALUE"""),"15:49")</f>
        <v>15:49</v>
      </c>
      <c r="D584" s="65" t="str">
        <f>IFERROR(__xludf.DUMMYFUNCTION("""COMPUTED_VALUE"""),"21-02-2026")</f>
        <v>21-02-2026</v>
      </c>
      <c r="E584" s="65" t="str">
        <f>IFERROR(__xludf.DUMMYFUNCTION("""COMPUTED_VALUE"""),"Kléber Valencia")</f>
        <v>Kléber Valencia</v>
      </c>
      <c r="F584" s="65" t="str">
        <f>IFERROR(__xludf.DUMMYFUNCTION("""COMPUTED_VALUE"""),"990899670")</f>
        <v>990899670</v>
      </c>
      <c r="G584" s="65" t="str">
        <f>IFERROR(__xludf.DUMMYFUNCTION("""COMPUTED_VALUE"""),"kvalencia05@gmail.com")</f>
        <v>kvalencia05@gmail.com</v>
      </c>
      <c r="H584" s="65"/>
      <c r="I584" s="65"/>
      <c r="J584" s="65" t="str">
        <f>IFERROR(__xludf.DUMMYFUNCTION("""COMPUTED_VALUE"""),"186573716")</f>
        <v>186573716</v>
      </c>
      <c r="K584" s="65" t="str">
        <f>IFERROR(__xludf.DUMMYFUNCTION("""COMPUTED_VALUE"""),"ENTREGADO")</f>
        <v>ENTREGADO</v>
      </c>
      <c r="L584" s="65" t="str">
        <f>IFERROR(__xludf.DUMMYFUNCTION("""COMPUTED_VALUE"""),"CON RECAUDO")</f>
        <v>CON RECAUDO</v>
      </c>
      <c r="M584" s="65" t="str">
        <f>IFERROR(__xludf.DUMMYFUNCTION("""COMPUTED_VALUE"""),"NAPO")</f>
        <v>NAPO</v>
      </c>
      <c r="N584" s="65" t="str">
        <f>IFERROR(__xludf.DUMMYFUNCTION("""COMPUTED_VALUE"""),"BAEZA")</f>
        <v>BAEZA</v>
      </c>
      <c r="O584" s="65" t="str">
        <f>IFERROR(__xludf.DUMMYFUNCTION("""COMPUTED_VALUE"""),"RT EN CS : BAEZA_PRINCIPAL - VIA A QUITO 201 Y LA Y DE BAEZA")</f>
        <v>RT EN CS : BAEZA_PRINCIPAL - VIA A QUITO 201 Y LA Y DE BAEZA</v>
      </c>
      <c r="P584" s="65"/>
      <c r="Q584" s="65" t="str">
        <f>IFERROR(__xludf.DUMMYFUNCTION("""COMPUTED_VALUE"""),"SERVIENTREGA")</f>
        <v>SERVIENTREGA</v>
      </c>
      <c r="R584" s="65">
        <f>IFERROR(__xludf.DUMMYFUNCTION("""COMPUTED_VALUE"""),27.0)</f>
        <v>27</v>
      </c>
      <c r="S584" s="65">
        <f>IFERROR(__xludf.DUMMYFUNCTION("""COMPUTED_VALUE"""),7.98)</f>
        <v>7.98</v>
      </c>
      <c r="T584" s="65">
        <f>IFERROR(__xludf.DUMMYFUNCTION("""COMPUTED_VALUE"""),7.77)</f>
        <v>7.77</v>
      </c>
      <c r="U584" s="65">
        <f>IFERROR(__xludf.DUMMYFUNCTION("""COMPUTED_VALUE"""),0.0)</f>
        <v>0</v>
      </c>
      <c r="V584" s="65">
        <f>IFERROR(__xludf.DUMMYFUNCTION("""COMPUTED_VALUE"""),0.0)</f>
        <v>0</v>
      </c>
      <c r="W584" s="65">
        <f>IFERROR(__xludf.DUMMYFUNCTION("""COMPUTED_VALUE"""),0.0)</f>
        <v>0</v>
      </c>
      <c r="X584" s="65">
        <f>IFERROR(__xludf.DUMMYFUNCTION("""COMPUTED_VALUE"""),3.75)</f>
        <v>3.75</v>
      </c>
      <c r="Y584" s="65">
        <f>IFERROR(__xludf.DUMMYFUNCTION("""COMPUTED_VALUE"""),11.25)</f>
        <v>11.25</v>
      </c>
      <c r="Z584" s="65">
        <f>IFERROR(__xludf.DUMMYFUNCTION("""COMPUTED_VALUE"""),113116.0)</f>
        <v>113116</v>
      </c>
      <c r="AA584" s="65" t="str">
        <f>IFERROR(__xludf.DUMMYFUNCTION("""COMPUTED_VALUE"""),"IM-TAZAKI")</f>
        <v>IM-TAZAKI</v>
      </c>
      <c r="AB584" s="65"/>
      <c r="AC584" s="65" t="str">
        <f>IFERROR(__xludf.DUMMYFUNCTION("""COMPUTED_VALUE"""),"Cuchillo tazaki")</f>
        <v>Cuchillo tazaki</v>
      </c>
      <c r="AD584" s="65"/>
      <c r="AE584" s="65">
        <f>IFERROR(__xludf.DUMMYFUNCTION("""COMPUTED_VALUE"""),3.0)</f>
        <v>3</v>
      </c>
      <c r="AF584" s="65"/>
      <c r="AG584" s="65"/>
      <c r="AH584" s="65"/>
      <c r="AI584" s="65"/>
      <c r="AJ584" s="65"/>
      <c r="AK584" s="65"/>
      <c r="AL584" s="65"/>
      <c r="AM584" s="65"/>
      <c r="AN584" s="65" t="str">
        <f>IFERROR(__xludf.DUMMYFUNCTION("""COMPUTED_VALUE"""),"16:02")</f>
        <v>16:02</v>
      </c>
      <c r="AO584" s="65" t="str">
        <f>IFERROR(__xludf.DUMMYFUNCTION("""COMPUTED_VALUE"""),"26-03-2026")</f>
        <v>26-03-2026</v>
      </c>
      <c r="AP584" s="65" t="str">
        <f>IFERROR(__xludf.DUMMYFUNCTION("""COMPUTED_VALUE"""),"ENTREGA DIGITALIZADA EN CENTRO LOGISTICO")</f>
        <v>ENTREGA DIGITALIZADA EN CENTRO LOGISTICO</v>
      </c>
      <c r="AQ584" s="65" t="str">
        <f>IFERROR(__xludf.DUMMYFUNCTION("""COMPUTED_VALUE"""),"KLEVER VALENCIA")</f>
        <v>KLEVER VALENCIA</v>
      </c>
      <c r="AR584" s="65"/>
      <c r="AS584" s="65"/>
      <c r="AT584" s="65" t="str">
        <f>IFERROR(__xludf.DUMMYFUNCTION("""COMPUTED_VALUE"""),"SHOPIFY")</f>
        <v>SHOPIFY</v>
      </c>
      <c r="AU584" s="65" t="str">
        <f>IFERROR(__xludf.DUMMYFUNCTION("""COMPUTED_VALUE"""),"IMPORTEX EC")</f>
        <v>IMPORTEX EC</v>
      </c>
      <c r="AV584" s="65" t="str">
        <f>IFERROR(__xludf.DUMMYFUNCTION("""COMPUTED_VALUE"""),"6520070864940")</f>
        <v>6520070864940</v>
      </c>
      <c r="AW584" s="65">
        <f>IFERROR(__xludf.DUMMYFUNCTION("""COMPUTED_VALUE"""),6293.0)</f>
        <v>6293</v>
      </c>
      <c r="AX584" s="65"/>
      <c r="AY584" s="65" t="str">
        <f>IFERROR(__xludf.DUMMYFUNCTION("""COMPUTED_VALUE"""),"23/02/2026")</f>
        <v>23/02/2026</v>
      </c>
      <c r="AZ584" s="65"/>
      <c r="BA584" s="65"/>
    </row>
    <row r="585">
      <c r="A585" s="65" t="str">
        <f>IFERROR(__xludf.DUMMYFUNCTION("""COMPUTED_VALUE"""),"27-03-2026")</f>
        <v>27-03-2026</v>
      </c>
      <c r="B585" s="65">
        <f>IFERROR(__xludf.DUMMYFUNCTION("""COMPUTED_VALUE"""),4578187.0)</f>
        <v>4578187</v>
      </c>
      <c r="C585" s="65" t="str">
        <f>IFERROR(__xludf.DUMMYFUNCTION("""COMPUTED_VALUE"""),"13:42")</f>
        <v>13:42</v>
      </c>
      <c r="D585" s="65" t="str">
        <f>IFERROR(__xludf.DUMMYFUNCTION("""COMPUTED_VALUE"""),"21-02-2026")</f>
        <v>21-02-2026</v>
      </c>
      <c r="E585" s="65" t="str">
        <f>IFERROR(__xludf.DUMMYFUNCTION("""COMPUTED_VALUE"""),"Jose Vicente Guaraca José guaraca")</f>
        <v>Jose Vicente Guaraca José guaraca</v>
      </c>
      <c r="F585" s="65" t="str">
        <f>IFERROR(__xludf.DUMMYFUNCTION("""COMPUTED_VALUE"""),"986728479")</f>
        <v>986728479</v>
      </c>
      <c r="G585" s="65" t="str">
        <f>IFERROR(__xludf.DUMMYFUNCTION("""COMPUTED_VALUE"""),"jguaraca797@gmail.com")</f>
        <v>jguaraca797@gmail.com</v>
      </c>
      <c r="H585" s="65"/>
      <c r="I585" s="65"/>
      <c r="J585" s="65"/>
      <c r="K585" s="65" t="str">
        <f>IFERROR(__xludf.DUMMYFUNCTION("""COMPUTED_VALUE"""),"PENDIENTE CONFIRMACION")</f>
        <v>PENDIENTE CONFIRMACION</v>
      </c>
      <c r="L585" s="65" t="str">
        <f>IFERROR(__xludf.DUMMYFUNCTION("""COMPUTED_VALUE"""),"CON RECAUDO")</f>
        <v>CON RECAUDO</v>
      </c>
      <c r="M585" s="65" t="str">
        <f>IFERROR(__xludf.DUMMYFUNCTION("""COMPUTED_VALUE"""),"PICHINCHA")</f>
        <v>PICHINCHA</v>
      </c>
      <c r="N585" s="65" t="str">
        <f>IFERROR(__xludf.DUMMYFUNCTION("""COMPUTED_VALUE"""),"QUITO")</f>
        <v>QUITO</v>
      </c>
      <c r="O585" s="65" t="str">
        <f>IFERROR(__xludf.DUMMYFUNCTION("""COMPUTED_VALUE"""),"Ecuatoriana Y 2 -")</f>
        <v>Ecuatoriana Y 2 -</v>
      </c>
      <c r="P585" s="65"/>
      <c r="Q585" s="65" t="str">
        <f>IFERROR(__xludf.DUMMYFUNCTION("""COMPUTED_VALUE"""),"GINTRACOM")</f>
        <v>GINTRACOM</v>
      </c>
      <c r="R585" s="65">
        <f>IFERROR(__xludf.DUMMYFUNCTION("""COMPUTED_VALUE"""),27.0)</f>
        <v>27</v>
      </c>
      <c r="S585" s="65"/>
      <c r="T585" s="65">
        <f>IFERROR(__xludf.DUMMYFUNCTION("""COMPUTED_VALUE"""),4.42)</f>
        <v>4.42</v>
      </c>
      <c r="U585" s="65">
        <f>IFERROR(__xludf.DUMMYFUNCTION("""COMPUTED_VALUE"""),0.0)</f>
        <v>0</v>
      </c>
      <c r="V585" s="65">
        <f>IFERROR(__xludf.DUMMYFUNCTION("""COMPUTED_VALUE"""),0.0)</f>
        <v>0</v>
      </c>
      <c r="W585" s="65">
        <f>IFERROR(__xludf.DUMMYFUNCTION("""COMPUTED_VALUE"""),0.0)</f>
        <v>0</v>
      </c>
      <c r="X585" s="65">
        <f>IFERROR(__xludf.DUMMYFUNCTION("""COMPUTED_VALUE"""),3.75)</f>
        <v>3.75</v>
      </c>
      <c r="Y585" s="65">
        <f>IFERROR(__xludf.DUMMYFUNCTION("""COMPUTED_VALUE"""),11.25)</f>
        <v>11.25</v>
      </c>
      <c r="Z585" s="65">
        <f>IFERROR(__xludf.DUMMYFUNCTION("""COMPUTED_VALUE"""),113116.0)</f>
        <v>113116</v>
      </c>
      <c r="AA585" s="65" t="str">
        <f>IFERROR(__xludf.DUMMYFUNCTION("""COMPUTED_VALUE"""),"IM-TAZAKI")</f>
        <v>IM-TAZAKI</v>
      </c>
      <c r="AB585" s="65"/>
      <c r="AC585" s="65" t="str">
        <f>IFERROR(__xludf.DUMMYFUNCTION("""COMPUTED_VALUE"""),"Cuchillo tazaki")</f>
        <v>Cuchillo tazaki</v>
      </c>
      <c r="AD585" s="65"/>
      <c r="AE585" s="65">
        <f>IFERROR(__xludf.DUMMYFUNCTION("""COMPUTED_VALUE"""),3.0)</f>
        <v>3</v>
      </c>
      <c r="AF585" s="65"/>
      <c r="AG585" s="65"/>
      <c r="AH585" s="65"/>
      <c r="AI585" s="65"/>
      <c r="AJ585" s="65"/>
      <c r="AK585" s="65"/>
      <c r="AL585" s="65"/>
      <c r="AM585" s="65"/>
      <c r="AN585" s="65"/>
      <c r="AO585" s="65"/>
      <c r="AP585" s="65"/>
      <c r="AQ585" s="65"/>
      <c r="AR585" s="65"/>
      <c r="AS585" s="65"/>
      <c r="AT585" s="65" t="str">
        <f>IFERROR(__xludf.DUMMYFUNCTION("""COMPUTED_VALUE"""),"SHOPIFY")</f>
        <v>SHOPIFY</v>
      </c>
      <c r="AU585" s="65" t="str">
        <f>IFERROR(__xludf.DUMMYFUNCTION("""COMPUTED_VALUE"""),"IMPORTEX EC")</f>
        <v>IMPORTEX EC</v>
      </c>
      <c r="AV585" s="65" t="str">
        <f>IFERROR(__xludf.DUMMYFUNCTION("""COMPUTED_VALUE"""),"6519758061612")</f>
        <v>6519758061612</v>
      </c>
      <c r="AW585" s="65">
        <f>IFERROR(__xludf.DUMMYFUNCTION("""COMPUTED_VALUE"""),6290.0)</f>
        <v>6290</v>
      </c>
      <c r="AX585" s="65"/>
      <c r="AY585" s="65"/>
      <c r="AZ585" s="65"/>
      <c r="BA585" s="65"/>
    </row>
    <row r="586">
      <c r="A586" s="65" t="str">
        <f>IFERROR(__xludf.DUMMYFUNCTION("""COMPUTED_VALUE"""),"27-03-2026")</f>
        <v>27-03-2026</v>
      </c>
      <c r="B586" s="65">
        <f>IFERROR(__xludf.DUMMYFUNCTION("""COMPUTED_VALUE"""),4578164.0)</f>
        <v>4578164</v>
      </c>
      <c r="C586" s="65" t="str">
        <f>IFERROR(__xludf.DUMMYFUNCTION("""COMPUTED_VALUE"""),"13:36")</f>
        <v>13:36</v>
      </c>
      <c r="D586" s="65" t="str">
        <f>IFERROR(__xludf.DUMMYFUNCTION("""COMPUTED_VALUE"""),"21-02-2026")</f>
        <v>21-02-2026</v>
      </c>
      <c r="E586" s="65" t="str">
        <f>IFERROR(__xludf.DUMMYFUNCTION("""COMPUTED_VALUE"""),"Eddye reyes")</f>
        <v>Eddye reyes</v>
      </c>
      <c r="F586" s="65" t="str">
        <f>IFERROR(__xludf.DUMMYFUNCTION("""COMPUTED_VALUE"""),"994031132")</f>
        <v>994031132</v>
      </c>
      <c r="G586" s="65" t="str">
        <f>IFERROR(__xludf.DUMMYFUNCTION("""COMPUTED_VALUE"""),"edhyzhito03maria@gmail.com")</f>
        <v>edhyzhito03maria@gmail.com</v>
      </c>
      <c r="H586" s="65"/>
      <c r="I586" s="65"/>
      <c r="J586" s="65" t="str">
        <f>IFERROR(__xludf.DUMMYFUNCTION("""COMPUTED_VALUE"""),"D001354498")</f>
        <v>D001354498</v>
      </c>
      <c r="K586" s="65" t="str">
        <f>IFERROR(__xludf.DUMMYFUNCTION("""COMPUTED_VALUE"""),"ENTREGADO")</f>
        <v>ENTREGADO</v>
      </c>
      <c r="L586" s="65" t="str">
        <f>IFERROR(__xludf.DUMMYFUNCTION("""COMPUTED_VALUE"""),"CON RECAUDO")</f>
        <v>CON RECAUDO</v>
      </c>
      <c r="M586" s="65" t="str">
        <f>IFERROR(__xludf.DUMMYFUNCTION("""COMPUTED_VALUE"""),"EL ORO")</f>
        <v>EL ORO</v>
      </c>
      <c r="N586" s="65" t="str">
        <f>IFERROR(__xludf.DUMMYFUNCTION("""COMPUTED_VALUE"""),"MACHALA")</f>
        <v>MACHALA</v>
      </c>
      <c r="O586" s="65" t="str">
        <f>IFERROR(__xludf.DUMMYFUNCTION("""COMPUTED_VALUE"""),"Guabo y carrera 8va oeste Plaza bicentenario la granja sección mariscos puesto G3 10")</f>
        <v>Guabo y carrera 8va oeste Plaza bicentenario la granja sección mariscos puesto G3 10</v>
      </c>
      <c r="P586" s="65"/>
      <c r="Q586" s="65" t="str">
        <f>IFERROR(__xludf.DUMMYFUNCTION("""COMPUTED_VALUE"""),"GINTRACOM")</f>
        <v>GINTRACOM</v>
      </c>
      <c r="R586" s="65">
        <f>IFERROR(__xludf.DUMMYFUNCTION("""COMPUTED_VALUE"""),27.0)</f>
        <v>27</v>
      </c>
      <c r="S586" s="65">
        <f>IFERROR(__xludf.DUMMYFUNCTION("""COMPUTED_VALUE"""),9.72)</f>
        <v>9.72</v>
      </c>
      <c r="T586" s="65">
        <f>IFERROR(__xludf.DUMMYFUNCTION("""COMPUTED_VALUE"""),6.03)</f>
        <v>6.03</v>
      </c>
      <c r="U586" s="65">
        <f>IFERROR(__xludf.DUMMYFUNCTION("""COMPUTED_VALUE"""),0.0)</f>
        <v>0</v>
      </c>
      <c r="V586" s="65">
        <f>IFERROR(__xludf.DUMMYFUNCTION("""COMPUTED_VALUE"""),0.0)</f>
        <v>0</v>
      </c>
      <c r="W586" s="65">
        <f>IFERROR(__xludf.DUMMYFUNCTION("""COMPUTED_VALUE"""),0.0)</f>
        <v>0</v>
      </c>
      <c r="X586" s="65">
        <f>IFERROR(__xludf.DUMMYFUNCTION("""COMPUTED_VALUE"""),3.75)</f>
        <v>3.75</v>
      </c>
      <c r="Y586" s="65">
        <f>IFERROR(__xludf.DUMMYFUNCTION("""COMPUTED_VALUE"""),11.25)</f>
        <v>11.25</v>
      </c>
      <c r="Z586" s="65">
        <f>IFERROR(__xludf.DUMMYFUNCTION("""COMPUTED_VALUE"""),113116.0)</f>
        <v>113116</v>
      </c>
      <c r="AA586" s="65" t="str">
        <f>IFERROR(__xludf.DUMMYFUNCTION("""COMPUTED_VALUE"""),"IM-TAZAKI")</f>
        <v>IM-TAZAKI</v>
      </c>
      <c r="AB586" s="65"/>
      <c r="AC586" s="65" t="str">
        <f>IFERROR(__xludf.DUMMYFUNCTION("""COMPUTED_VALUE"""),"Cuchillo tazaki")</f>
        <v>Cuchillo tazaki</v>
      </c>
      <c r="AD586" s="65"/>
      <c r="AE586" s="65">
        <f>IFERROR(__xludf.DUMMYFUNCTION("""COMPUTED_VALUE"""),3.0)</f>
        <v>3</v>
      </c>
      <c r="AF586" s="65"/>
      <c r="AG586" s="65"/>
      <c r="AH586" s="65"/>
      <c r="AI586" s="65"/>
      <c r="AJ586" s="65"/>
      <c r="AK586" s="65"/>
      <c r="AL586" s="65"/>
      <c r="AM586" s="65"/>
      <c r="AN586" s="65" t="str">
        <f>IFERROR(__xludf.DUMMYFUNCTION("""COMPUTED_VALUE"""),"12:07")</f>
        <v>12:07</v>
      </c>
      <c r="AO586" s="65" t="str">
        <f>IFERROR(__xludf.DUMMYFUNCTION("""COMPUTED_VALUE"""),"25-02-2026")</f>
        <v>25-02-2026</v>
      </c>
      <c r="AP586" s="65" t="str">
        <f>IFERROR(__xludf.DUMMYFUNCTION("""COMPUTED_VALUE"""),"ENTREGADA GINTRACOM")</f>
        <v>ENTREGADA GINTRACOM</v>
      </c>
      <c r="AQ586" s="65" t="str">
        <f>IFERROR(__xludf.DUMMYFUNCTION("""COMPUTED_VALUE"""),"ENTREGADA GINTRACOM")</f>
        <v>ENTREGADA GINTRACOM</v>
      </c>
      <c r="AR586" s="65"/>
      <c r="AS586" s="65"/>
      <c r="AT586" s="65" t="str">
        <f>IFERROR(__xludf.DUMMYFUNCTION("""COMPUTED_VALUE"""),"SHOPIFY")</f>
        <v>SHOPIFY</v>
      </c>
      <c r="AU586" s="65" t="str">
        <f>IFERROR(__xludf.DUMMYFUNCTION("""COMPUTED_VALUE"""),"IMPORTEX EC")</f>
        <v>IMPORTEX EC</v>
      </c>
      <c r="AV586" s="65" t="str">
        <f>IFERROR(__xludf.DUMMYFUNCTION("""COMPUTED_VALUE"""),"6519747477548")</f>
        <v>6519747477548</v>
      </c>
      <c r="AW586" s="65">
        <f>IFERROR(__xludf.DUMMYFUNCTION("""COMPUTED_VALUE"""),6289.0)</f>
        <v>6289</v>
      </c>
      <c r="AX586" s="65"/>
      <c r="AY586" s="65" t="str">
        <f>IFERROR(__xludf.DUMMYFUNCTION("""COMPUTED_VALUE"""),"24/02/2026")</f>
        <v>24/02/2026</v>
      </c>
      <c r="AZ586" s="65"/>
      <c r="BA586" s="65"/>
    </row>
    <row r="587">
      <c r="A587" s="65" t="str">
        <f>IFERROR(__xludf.DUMMYFUNCTION("""COMPUTED_VALUE"""),"27-03-2026")</f>
        <v>27-03-2026</v>
      </c>
      <c r="B587" s="65">
        <f>IFERROR(__xludf.DUMMYFUNCTION("""COMPUTED_VALUE"""),4578106.0)</f>
        <v>4578106</v>
      </c>
      <c r="C587" s="65" t="str">
        <f>IFERROR(__xludf.DUMMYFUNCTION("""COMPUTED_VALUE"""),"13:27")</f>
        <v>13:27</v>
      </c>
      <c r="D587" s="65" t="str">
        <f>IFERROR(__xludf.DUMMYFUNCTION("""COMPUTED_VALUE"""),"21-02-2026")</f>
        <v>21-02-2026</v>
      </c>
      <c r="E587" s="65" t="str">
        <f>IFERROR(__xludf.DUMMYFUNCTION("""COMPUTED_VALUE"""),"Julieta Veliz")</f>
        <v>Julieta Veliz</v>
      </c>
      <c r="F587" s="65" t="str">
        <f>IFERROR(__xludf.DUMMYFUNCTION("""COMPUTED_VALUE"""),"989016593")</f>
        <v>989016593</v>
      </c>
      <c r="G587" s="65" t="str">
        <f>IFERROR(__xludf.DUMMYFUNCTION("""COMPUTED_VALUE"""),"Hoteldelrio_ec@hotmail.com")</f>
        <v>Hoteldelrio_ec@hotmail.com</v>
      </c>
      <c r="H587" s="65"/>
      <c r="I587" s="65"/>
      <c r="J587" s="65" t="str">
        <f>IFERROR(__xludf.DUMMYFUNCTION("""COMPUTED_VALUE"""),"D001354500")</f>
        <v>D001354500</v>
      </c>
      <c r="K587" s="65" t="str">
        <f>IFERROR(__xludf.DUMMYFUNCTION("""COMPUTED_VALUE"""),"ENTREGADO")</f>
        <v>ENTREGADO</v>
      </c>
      <c r="L587" s="65" t="str">
        <f>IFERROR(__xludf.DUMMYFUNCTION("""COMPUTED_VALUE"""),"CON RECAUDO")</f>
        <v>CON RECAUDO</v>
      </c>
      <c r="M587" s="65" t="str">
        <f>IFERROR(__xludf.DUMMYFUNCTION("""COMPUTED_VALUE"""),"LOS RIOS")</f>
        <v>LOS RIOS</v>
      </c>
      <c r="N587" s="65" t="str">
        <f>IFERROR(__xludf.DUMMYFUNCTION("""COMPUTED_VALUE"""),"QUEVEDO")</f>
        <v>QUEVEDO</v>
      </c>
      <c r="O587" s="65" t="str">
        <f>IFERROR(__xludf.DUMMYFUNCTION("""COMPUTED_VALUE"""),"23va  y Malecón 1123 - Hotel del Río")</f>
        <v>23va  y Malecón 1123 - Hotel del Río</v>
      </c>
      <c r="P587" s="65"/>
      <c r="Q587" s="65" t="str">
        <f>IFERROR(__xludf.DUMMYFUNCTION("""COMPUTED_VALUE"""),"GINTRACOM")</f>
        <v>GINTRACOM</v>
      </c>
      <c r="R587" s="65">
        <f>IFERROR(__xludf.DUMMYFUNCTION("""COMPUTED_VALUE"""),22.0)</f>
        <v>22</v>
      </c>
      <c r="S587" s="65">
        <f>IFERROR(__xludf.DUMMYFUNCTION("""COMPUTED_VALUE"""),8.66)</f>
        <v>8.66</v>
      </c>
      <c r="T587" s="65">
        <f>IFERROR(__xludf.DUMMYFUNCTION("""COMPUTED_VALUE"""),5.84)</f>
        <v>5.84</v>
      </c>
      <c r="U587" s="65">
        <f>IFERROR(__xludf.DUMMYFUNCTION("""COMPUTED_VALUE"""),0.0)</f>
        <v>0</v>
      </c>
      <c r="V587" s="65">
        <f>IFERROR(__xludf.DUMMYFUNCTION("""COMPUTED_VALUE"""),0.0)</f>
        <v>0</v>
      </c>
      <c r="W587" s="65">
        <f>IFERROR(__xludf.DUMMYFUNCTION("""COMPUTED_VALUE"""),0.0)</f>
        <v>0</v>
      </c>
      <c r="X587" s="65">
        <f>IFERROR(__xludf.DUMMYFUNCTION("""COMPUTED_VALUE"""),3.75)</f>
        <v>3.75</v>
      </c>
      <c r="Y587" s="65">
        <f>IFERROR(__xludf.DUMMYFUNCTION("""COMPUTED_VALUE"""),7.5)</f>
        <v>7.5</v>
      </c>
      <c r="Z587" s="65">
        <f>IFERROR(__xludf.DUMMYFUNCTION("""COMPUTED_VALUE"""),113116.0)</f>
        <v>113116</v>
      </c>
      <c r="AA587" s="65" t="str">
        <f>IFERROR(__xludf.DUMMYFUNCTION("""COMPUTED_VALUE"""),"IM-TAZAKI")</f>
        <v>IM-TAZAKI</v>
      </c>
      <c r="AB587" s="65"/>
      <c r="AC587" s="65" t="str">
        <f>IFERROR(__xludf.DUMMYFUNCTION("""COMPUTED_VALUE"""),"Cuchillo tazaki")</f>
        <v>Cuchillo tazaki</v>
      </c>
      <c r="AD587" s="65"/>
      <c r="AE587" s="65">
        <f>IFERROR(__xludf.DUMMYFUNCTION("""COMPUTED_VALUE"""),2.0)</f>
        <v>2</v>
      </c>
      <c r="AF587" s="65" t="str">
        <f>IFERROR(__xludf.DUMMYFUNCTION("""COMPUTED_VALUE"""),"DESTINATARIO NO CONTESTA LLAMADAS NI WHATSAPP")</f>
        <v>DESTINATARIO NO CONTESTA LLAMADAS NI WHATSAPP</v>
      </c>
      <c r="AG587" s="65" t="str">
        <f>IFERROR(__xludf.DUMMYFUNCTION("""COMPUTED_VALUE"""),"SI")</f>
        <v>SI</v>
      </c>
      <c r="AH587" s="65" t="str">
        <f>IFERROR(__xludf.DUMMYFUNCTION("""COMPUTED_VALUE"""),"18:18")</f>
        <v>18:18</v>
      </c>
      <c r="AI587" s="65" t="str">
        <f>IFERROR(__xludf.DUMMYFUNCTION("""COMPUTED_VALUE"""),"25-02-2026")</f>
        <v>25-02-2026</v>
      </c>
      <c r="AJ587" s="65" t="str">
        <f>IFERROR(__xludf.DUMMYFUNCTION("""COMPUTED_VALUE"""),"CLIENTE SOLICITA LA ENTREGA INMEDIATA")</f>
        <v>CLIENTE SOLICITA LA ENTREGA INMEDIATA</v>
      </c>
      <c r="AK587" s="65" t="str">
        <f>IFERROR(__xludf.DUMMYFUNCTION("""COMPUTED_VALUE"""),"13:08")</f>
        <v>13:08</v>
      </c>
      <c r="AL587" s="65" t="str">
        <f>IFERROR(__xludf.DUMMYFUNCTION("""COMPUTED_VALUE"""),"26-02-2026")</f>
        <v>26-02-2026</v>
      </c>
      <c r="AM587" s="65"/>
      <c r="AN587" s="65" t="str">
        <f>IFERROR(__xludf.DUMMYFUNCTION("""COMPUTED_VALUE"""),"13:54")</f>
        <v>13:54</v>
      </c>
      <c r="AO587" s="65" t="str">
        <f>IFERROR(__xludf.DUMMYFUNCTION("""COMPUTED_VALUE"""),"27-02-2026")</f>
        <v>27-02-2026</v>
      </c>
      <c r="AP587" s="65" t="str">
        <f>IFERROR(__xludf.DUMMYFUNCTION("""COMPUTED_VALUE"""),"ENTREGADA GINTRACOM")</f>
        <v>ENTREGADA GINTRACOM</v>
      </c>
      <c r="AQ587" s="65" t="str">
        <f>IFERROR(__xludf.DUMMYFUNCTION("""COMPUTED_VALUE"""),"ENTREGADA GINTRACOM")</f>
        <v>ENTREGADA GINTRACOM</v>
      </c>
      <c r="AR587" s="65"/>
      <c r="AS587" s="65"/>
      <c r="AT587" s="65" t="str">
        <f>IFERROR(__xludf.DUMMYFUNCTION("""COMPUTED_VALUE"""),"SHOPIFY")</f>
        <v>SHOPIFY</v>
      </c>
      <c r="AU587" s="65" t="str">
        <f>IFERROR(__xludf.DUMMYFUNCTION("""COMPUTED_VALUE"""),"IMPORTEX EC")</f>
        <v>IMPORTEX EC</v>
      </c>
      <c r="AV587" s="65" t="str">
        <f>IFERROR(__xludf.DUMMYFUNCTION("""COMPUTED_VALUE"""),"6519717330988")</f>
        <v>6519717330988</v>
      </c>
      <c r="AW587" s="65">
        <f>IFERROR(__xludf.DUMMYFUNCTION("""COMPUTED_VALUE"""),6288.0)</f>
        <v>6288</v>
      </c>
      <c r="AX587" s="65"/>
      <c r="AY587" s="65" t="str">
        <f>IFERROR(__xludf.DUMMYFUNCTION("""COMPUTED_VALUE"""),"24/02/2026")</f>
        <v>24/02/2026</v>
      </c>
      <c r="AZ587" s="65"/>
      <c r="BA587" s="65"/>
    </row>
    <row r="588">
      <c r="A588" s="65" t="str">
        <f>IFERROR(__xludf.DUMMYFUNCTION("""COMPUTED_VALUE"""),"27-03-2026")</f>
        <v>27-03-2026</v>
      </c>
      <c r="B588" s="65">
        <f>IFERROR(__xludf.DUMMYFUNCTION("""COMPUTED_VALUE"""),4577757.0)</f>
        <v>4577757</v>
      </c>
      <c r="C588" s="65" t="str">
        <f>IFERROR(__xludf.DUMMYFUNCTION("""COMPUTED_VALUE"""),"12:40")</f>
        <v>12:40</v>
      </c>
      <c r="D588" s="65" t="str">
        <f>IFERROR(__xludf.DUMMYFUNCTION("""COMPUTED_VALUE"""),"21-02-2026")</f>
        <v>21-02-2026</v>
      </c>
      <c r="E588" s="65" t="str">
        <f>IFERROR(__xludf.DUMMYFUNCTION("""COMPUTED_VALUE"""),"Nazati Manuel")</f>
        <v>Nazati Manuel</v>
      </c>
      <c r="F588" s="65" t="str">
        <f>IFERROR(__xludf.DUMMYFUNCTION("""COMPUTED_VALUE"""),"995744792")</f>
        <v>995744792</v>
      </c>
      <c r="G588" s="65" t="str">
        <f>IFERROR(__xludf.DUMMYFUNCTION("""COMPUTED_VALUE"""),"manuel.nazati@gmail.com")</f>
        <v>manuel.nazati@gmail.com</v>
      </c>
      <c r="H588" s="65"/>
      <c r="I588" s="65"/>
      <c r="J588" s="65" t="str">
        <f>IFERROR(__xludf.DUMMYFUNCTION("""COMPUTED_VALUE"""),"D001354503")</f>
        <v>D001354503</v>
      </c>
      <c r="K588" s="65" t="str">
        <f>IFERROR(__xludf.DUMMYFUNCTION("""COMPUTED_VALUE"""),"ENTREGADO")</f>
        <v>ENTREGADO</v>
      </c>
      <c r="L588" s="65" t="str">
        <f>IFERROR(__xludf.DUMMYFUNCTION("""COMPUTED_VALUE"""),"CON RECAUDO")</f>
        <v>CON RECAUDO</v>
      </c>
      <c r="M588" s="65" t="str">
        <f>IFERROR(__xludf.DUMMYFUNCTION("""COMPUTED_VALUE"""),"PICHINCHA")</f>
        <v>PICHINCHA</v>
      </c>
      <c r="N588" s="65" t="str">
        <f>IFERROR(__xludf.DUMMYFUNCTION("""COMPUTED_VALUE"""),"QUITO")</f>
        <v>QUITO</v>
      </c>
      <c r="O588" s="65" t="str">
        <f>IFERROR(__xludf.DUMMYFUNCTION("""COMPUTED_VALUE"""),"Pasaje OE4R, casa S24-37 Av. Solanda -")</f>
        <v>Pasaje OE4R, casa S24-37 Av. Solanda -</v>
      </c>
      <c r="P588" s="65"/>
      <c r="Q588" s="65" t="str">
        <f>IFERROR(__xludf.DUMMYFUNCTION("""COMPUTED_VALUE"""),"GINTRACOM")</f>
        <v>GINTRACOM</v>
      </c>
      <c r="R588" s="65">
        <f>IFERROR(__xludf.DUMMYFUNCTION("""COMPUTED_VALUE"""),22.0)</f>
        <v>22</v>
      </c>
      <c r="S588" s="65">
        <f>IFERROR(__xludf.DUMMYFUNCTION("""COMPUTED_VALUE"""),10.27)</f>
        <v>10.27</v>
      </c>
      <c r="T588" s="65">
        <f>IFERROR(__xludf.DUMMYFUNCTION("""COMPUTED_VALUE"""),4.23)</f>
        <v>4.23</v>
      </c>
      <c r="U588" s="65">
        <f>IFERROR(__xludf.DUMMYFUNCTION("""COMPUTED_VALUE"""),0.0)</f>
        <v>0</v>
      </c>
      <c r="V588" s="65">
        <f>IFERROR(__xludf.DUMMYFUNCTION("""COMPUTED_VALUE"""),0.0)</f>
        <v>0</v>
      </c>
      <c r="W588" s="65">
        <f>IFERROR(__xludf.DUMMYFUNCTION("""COMPUTED_VALUE"""),0.0)</f>
        <v>0</v>
      </c>
      <c r="X588" s="65">
        <f>IFERROR(__xludf.DUMMYFUNCTION("""COMPUTED_VALUE"""),3.75)</f>
        <v>3.75</v>
      </c>
      <c r="Y588" s="65">
        <f>IFERROR(__xludf.DUMMYFUNCTION("""COMPUTED_VALUE"""),7.5)</f>
        <v>7.5</v>
      </c>
      <c r="Z588" s="65">
        <f>IFERROR(__xludf.DUMMYFUNCTION("""COMPUTED_VALUE"""),113116.0)</f>
        <v>113116</v>
      </c>
      <c r="AA588" s="65" t="str">
        <f>IFERROR(__xludf.DUMMYFUNCTION("""COMPUTED_VALUE"""),"IM-TAZAKI")</f>
        <v>IM-TAZAKI</v>
      </c>
      <c r="AB588" s="65"/>
      <c r="AC588" s="65" t="str">
        <f>IFERROR(__xludf.DUMMYFUNCTION("""COMPUTED_VALUE"""),"Cuchillo tazaki")</f>
        <v>Cuchillo tazaki</v>
      </c>
      <c r="AD588" s="65"/>
      <c r="AE588" s="65">
        <f>IFERROR(__xludf.DUMMYFUNCTION("""COMPUTED_VALUE"""),2.0)</f>
        <v>2</v>
      </c>
      <c r="AF588" s="65"/>
      <c r="AG588" s="65"/>
      <c r="AH588" s="65"/>
      <c r="AI588" s="65"/>
      <c r="AJ588" s="65"/>
      <c r="AK588" s="65"/>
      <c r="AL588" s="65"/>
      <c r="AM588" s="65"/>
      <c r="AN588" s="65" t="str">
        <f>IFERROR(__xludf.DUMMYFUNCTION("""COMPUTED_VALUE"""),"23:54")</f>
        <v>23:54</v>
      </c>
      <c r="AO588" s="65" t="str">
        <f>IFERROR(__xludf.DUMMYFUNCTION("""COMPUTED_VALUE"""),"25-02-2026")</f>
        <v>25-02-2026</v>
      </c>
      <c r="AP588" s="65" t="str">
        <f>IFERROR(__xludf.DUMMYFUNCTION("""COMPUTED_VALUE"""),"ENTREGADA GINTRACOM")</f>
        <v>ENTREGADA GINTRACOM</v>
      </c>
      <c r="AQ588" s="65" t="str">
        <f>IFERROR(__xludf.DUMMYFUNCTION("""COMPUTED_VALUE"""),"ENTREGADA GINTRACOM")</f>
        <v>ENTREGADA GINTRACOM</v>
      </c>
      <c r="AR588" s="65"/>
      <c r="AS588" s="65"/>
      <c r="AT588" s="65" t="str">
        <f>IFERROR(__xludf.DUMMYFUNCTION("""COMPUTED_VALUE"""),"SHOPIFY")</f>
        <v>SHOPIFY</v>
      </c>
      <c r="AU588" s="65" t="str">
        <f>IFERROR(__xludf.DUMMYFUNCTION("""COMPUTED_VALUE"""),"IMPORTEX EC")</f>
        <v>IMPORTEX EC</v>
      </c>
      <c r="AV588" s="65" t="str">
        <f>IFERROR(__xludf.DUMMYFUNCTION("""COMPUTED_VALUE"""),"6519591927852")</f>
        <v>6519591927852</v>
      </c>
      <c r="AW588" s="65">
        <f>IFERROR(__xludf.DUMMYFUNCTION("""COMPUTED_VALUE"""),6285.0)</f>
        <v>6285</v>
      </c>
      <c r="AX588" s="65"/>
      <c r="AY588" s="65" t="str">
        <f>IFERROR(__xludf.DUMMYFUNCTION("""COMPUTED_VALUE"""),"24/02/2026")</f>
        <v>24/02/2026</v>
      </c>
      <c r="AZ588" s="65"/>
      <c r="BA588" s="65"/>
    </row>
    <row r="589">
      <c r="A589" s="65" t="str">
        <f>IFERROR(__xludf.DUMMYFUNCTION("""COMPUTED_VALUE"""),"27-03-2026")</f>
        <v>27-03-2026</v>
      </c>
      <c r="B589" s="65">
        <f>IFERROR(__xludf.DUMMYFUNCTION("""COMPUTED_VALUE"""),4577619.0)</f>
        <v>4577619</v>
      </c>
      <c r="C589" s="65" t="str">
        <f>IFERROR(__xludf.DUMMYFUNCTION("""COMPUTED_VALUE"""),"12:20")</f>
        <v>12:20</v>
      </c>
      <c r="D589" s="65" t="str">
        <f>IFERROR(__xludf.DUMMYFUNCTION("""COMPUTED_VALUE"""),"21-02-2026")</f>
        <v>21-02-2026</v>
      </c>
      <c r="E589" s="65" t="str">
        <f>IFERROR(__xludf.DUMMYFUNCTION("""COMPUTED_VALUE"""),"Walter Ivan Avila Demera")</f>
        <v>Walter Ivan Avila Demera</v>
      </c>
      <c r="F589" s="65" t="str">
        <f>IFERROR(__xludf.DUMMYFUNCTION("""COMPUTED_VALUE"""),"939073553")</f>
        <v>939073553</v>
      </c>
      <c r="G589" s="65" t="str">
        <f>IFERROR(__xludf.DUMMYFUNCTION("""COMPUTED_VALUE"""),"ivanavila@outlook.com")</f>
        <v>ivanavila@outlook.com</v>
      </c>
      <c r="H589" s="65"/>
      <c r="I589" s="65"/>
      <c r="J589" s="65" t="str">
        <f>IFERROR(__xludf.DUMMYFUNCTION("""COMPUTED_VALUE"""),"LC52934429")</f>
        <v>LC52934429</v>
      </c>
      <c r="K589" s="65" t="str">
        <f>IFERROR(__xludf.DUMMYFUNCTION("""COMPUTED_VALUE"""),"ENTREGADO")</f>
        <v>ENTREGADO</v>
      </c>
      <c r="L589" s="65" t="str">
        <f>IFERROR(__xludf.DUMMYFUNCTION("""COMPUTED_VALUE"""),"CON RECAUDO")</f>
        <v>CON RECAUDO</v>
      </c>
      <c r="M589" s="65" t="str">
        <f>IFERROR(__xludf.DUMMYFUNCTION("""COMPUTED_VALUE"""),"MANABI")</f>
        <v>MANABI</v>
      </c>
      <c r="N589" s="65" t="str">
        <f>IFERROR(__xludf.DUMMYFUNCTION("""COMPUTED_VALUE"""),"CHARAPOTO")</f>
        <v>CHARAPOTO</v>
      </c>
      <c r="O589" s="65" t="str">
        <f>IFERROR(__xludf.DUMMYFUNCTION("""COMPUTED_VALUE"""),"Avenida  principal portoviejo Bahía Calle sol y mar san jacinto - Alado del tuti de chrapoto")</f>
        <v>Avenida  principal portoviejo Bahía Calle sol y mar san jacinto - Alado del tuti de chrapoto</v>
      </c>
      <c r="P589" s="65"/>
      <c r="Q589" s="65" t="str">
        <f>IFERROR(__xludf.DUMMYFUNCTION("""COMPUTED_VALUE"""),"LAARCOURIER")</f>
        <v>LAARCOURIER</v>
      </c>
      <c r="R589" s="65">
        <f>IFERROR(__xludf.DUMMYFUNCTION("""COMPUTED_VALUE"""),22.0)</f>
        <v>22</v>
      </c>
      <c r="S589" s="65">
        <f>IFERROR(__xludf.DUMMYFUNCTION("""COMPUTED_VALUE"""),7.49)</f>
        <v>7.49</v>
      </c>
      <c r="T589" s="65">
        <f>IFERROR(__xludf.DUMMYFUNCTION("""COMPUTED_VALUE"""),7.01)</f>
        <v>7.01</v>
      </c>
      <c r="U589" s="65">
        <f>IFERROR(__xludf.DUMMYFUNCTION("""COMPUTED_VALUE"""),0.0)</f>
        <v>0</v>
      </c>
      <c r="V589" s="65">
        <f>IFERROR(__xludf.DUMMYFUNCTION("""COMPUTED_VALUE"""),0.0)</f>
        <v>0</v>
      </c>
      <c r="W589" s="65">
        <f>IFERROR(__xludf.DUMMYFUNCTION("""COMPUTED_VALUE"""),0.0)</f>
        <v>0</v>
      </c>
      <c r="X589" s="65">
        <f>IFERROR(__xludf.DUMMYFUNCTION("""COMPUTED_VALUE"""),3.75)</f>
        <v>3.75</v>
      </c>
      <c r="Y589" s="65">
        <f>IFERROR(__xludf.DUMMYFUNCTION("""COMPUTED_VALUE"""),7.5)</f>
        <v>7.5</v>
      </c>
      <c r="Z589" s="65">
        <f>IFERROR(__xludf.DUMMYFUNCTION("""COMPUTED_VALUE"""),113116.0)</f>
        <v>113116</v>
      </c>
      <c r="AA589" s="65" t="str">
        <f>IFERROR(__xludf.DUMMYFUNCTION("""COMPUTED_VALUE"""),"IM-TAZAKI")</f>
        <v>IM-TAZAKI</v>
      </c>
      <c r="AB589" s="65"/>
      <c r="AC589" s="65" t="str">
        <f>IFERROR(__xludf.DUMMYFUNCTION("""COMPUTED_VALUE"""),"Cuchillo tazaki")</f>
        <v>Cuchillo tazaki</v>
      </c>
      <c r="AD589" s="65"/>
      <c r="AE589" s="65">
        <f>IFERROR(__xludf.DUMMYFUNCTION("""COMPUTED_VALUE"""),2.0)</f>
        <v>2</v>
      </c>
      <c r="AF589" s="65"/>
      <c r="AG589" s="65"/>
      <c r="AH589" s="65"/>
      <c r="AI589" s="65"/>
      <c r="AJ589" s="65"/>
      <c r="AK589" s="65"/>
      <c r="AL589" s="65"/>
      <c r="AM589" s="65"/>
      <c r="AN589" s="65" t="str">
        <f>IFERROR(__xludf.DUMMYFUNCTION("""COMPUTED_VALUE"""),"16:29")</f>
        <v>16:29</v>
      </c>
      <c r="AO589" s="65" t="str">
        <f>IFERROR(__xludf.DUMMYFUNCTION("""COMPUTED_VALUE"""),"03-03-2026")</f>
        <v>03-03-2026</v>
      </c>
      <c r="AP589" s="65" t="str">
        <f>IFERROR(__xludf.DUMMYFUNCTION("""COMPUTED_VALUE"""),"ENTREGADO")</f>
        <v>ENTREGADO</v>
      </c>
      <c r="AQ589" s="65" t="str">
        <f>IFERROR(__xludf.DUMMYFUNCTION("""COMPUTED_VALUE"""),"ENTREGADO")</f>
        <v>ENTREGADO</v>
      </c>
      <c r="AR589" s="65"/>
      <c r="AS589" s="65"/>
      <c r="AT589" s="65" t="str">
        <f>IFERROR(__xludf.DUMMYFUNCTION("""COMPUTED_VALUE"""),"SHOPIFY")</f>
        <v>SHOPIFY</v>
      </c>
      <c r="AU589" s="65" t="str">
        <f>IFERROR(__xludf.DUMMYFUNCTION("""COMPUTED_VALUE"""),"IMPORTEX EC")</f>
        <v>IMPORTEX EC</v>
      </c>
      <c r="AV589" s="65" t="str">
        <f>IFERROR(__xludf.DUMMYFUNCTION("""COMPUTED_VALUE"""),"6519540645932")</f>
        <v>6519540645932</v>
      </c>
      <c r="AW589" s="65">
        <f>IFERROR(__xludf.DUMMYFUNCTION("""COMPUTED_VALUE"""),6284.0)</f>
        <v>6284</v>
      </c>
      <c r="AX589" s="65"/>
      <c r="AY589" s="65" t="str">
        <f>IFERROR(__xludf.DUMMYFUNCTION("""COMPUTED_VALUE"""),"23/02/2026")</f>
        <v>23/02/2026</v>
      </c>
      <c r="AZ589" s="65"/>
      <c r="BA589" s="65"/>
    </row>
    <row r="590">
      <c r="A590" s="65" t="str">
        <f>IFERROR(__xludf.DUMMYFUNCTION("""COMPUTED_VALUE"""),"27-03-2026")</f>
        <v>27-03-2026</v>
      </c>
      <c r="B590" s="65">
        <f>IFERROR(__xludf.DUMMYFUNCTION("""COMPUTED_VALUE"""),4577570.0)</f>
        <v>4577570</v>
      </c>
      <c r="C590" s="65" t="str">
        <f>IFERROR(__xludf.DUMMYFUNCTION("""COMPUTED_VALUE"""),"12:14")</f>
        <v>12:14</v>
      </c>
      <c r="D590" s="65" t="str">
        <f>IFERROR(__xludf.DUMMYFUNCTION("""COMPUTED_VALUE"""),"21-02-2026")</f>
        <v>21-02-2026</v>
      </c>
      <c r="E590" s="65" t="str">
        <f>IFERROR(__xludf.DUMMYFUNCTION("""COMPUTED_VALUE"""),"Wllian Jurado")</f>
        <v>Wllian Jurado</v>
      </c>
      <c r="F590" s="65" t="str">
        <f>IFERROR(__xludf.DUMMYFUNCTION("""COMPUTED_VALUE"""),"980590623")</f>
        <v>980590623</v>
      </c>
      <c r="G590" s="65" t="str">
        <f>IFERROR(__xludf.DUMMYFUNCTION("""COMPUTED_VALUE"""),"willianjurado016@gmail.com")</f>
        <v>willianjurado016@gmail.com</v>
      </c>
      <c r="H590" s="65"/>
      <c r="I590" s="65"/>
      <c r="J590" s="65"/>
      <c r="K590" s="65" t="str">
        <f>IFERROR(__xludf.DUMMYFUNCTION("""COMPUTED_VALUE"""),"CANCELADO")</f>
        <v>CANCELADO</v>
      </c>
      <c r="L590" s="65" t="str">
        <f>IFERROR(__xludf.DUMMYFUNCTION("""COMPUTED_VALUE"""),"CON RECAUDO")</f>
        <v>CON RECAUDO</v>
      </c>
      <c r="M590" s="65" t="str">
        <f>IFERROR(__xludf.DUMMYFUNCTION("""COMPUTED_VALUE"""),"LOS RIOS")</f>
        <v>LOS RIOS</v>
      </c>
      <c r="N590" s="65" t="str">
        <f>IFERROR(__xludf.DUMMYFUNCTION("""COMPUTED_VALUE"""),"VENTANAS")</f>
        <v>VENTANAS</v>
      </c>
      <c r="O590" s="65" t="str">
        <f>IFERROR(__xludf.DUMMYFUNCTION("""COMPUTED_VALUE"""),"Malecón Malecón -")</f>
        <v>Malecón Malecón -</v>
      </c>
      <c r="P590" s="65"/>
      <c r="Q590" s="65" t="str">
        <f>IFERROR(__xludf.DUMMYFUNCTION("""COMPUTED_VALUE"""),"GINTRACOM")</f>
        <v>GINTRACOM</v>
      </c>
      <c r="R590" s="65">
        <f>IFERROR(__xludf.DUMMYFUNCTION("""COMPUTED_VALUE"""),30.0)</f>
        <v>30</v>
      </c>
      <c r="S590" s="65"/>
      <c r="T590" s="65">
        <f>IFERROR(__xludf.DUMMYFUNCTION("""COMPUTED_VALUE"""),6.16)</f>
        <v>6.16</v>
      </c>
      <c r="U590" s="65">
        <f>IFERROR(__xludf.DUMMYFUNCTION("""COMPUTED_VALUE"""),0.0)</f>
        <v>0</v>
      </c>
      <c r="V590" s="65">
        <f>IFERROR(__xludf.DUMMYFUNCTION("""COMPUTED_VALUE"""),0.0)</f>
        <v>0</v>
      </c>
      <c r="W590" s="65">
        <f>IFERROR(__xludf.DUMMYFUNCTION("""COMPUTED_VALUE"""),0.0)</f>
        <v>0</v>
      </c>
      <c r="X590" s="65">
        <f>IFERROR(__xludf.DUMMYFUNCTION("""COMPUTED_VALUE"""),2.4)</f>
        <v>2.4</v>
      </c>
      <c r="Y590" s="65">
        <f>IFERROR(__xludf.DUMMYFUNCTION("""COMPUTED_VALUE"""),7.2)</f>
        <v>7.2</v>
      </c>
      <c r="Z590" s="65">
        <f>IFERROR(__xludf.DUMMYFUNCTION("""COMPUTED_VALUE"""),120732.0)</f>
        <v>120732</v>
      </c>
      <c r="AA590" s="65" t="str">
        <f>IFERROR(__xludf.DUMMYFUNCTION("""COMPUTED_VALUE"""),"PROV-LMPVT")</f>
        <v>PROV-LMPVT</v>
      </c>
      <c r="AB590" s="65"/>
      <c r="AC590" s="65" t="str">
        <f>IFERROR(__xludf.DUMMYFUNCTION("""COMPUTED_VALUE"""),"LIMPIADOR DE PARABRISAS Y VENTANAS")</f>
        <v>LIMPIADOR DE PARABRISAS Y VENTANAS</v>
      </c>
      <c r="AD590" s="65"/>
      <c r="AE590" s="65">
        <f>IFERROR(__xludf.DUMMYFUNCTION("""COMPUTED_VALUE"""),3.0)</f>
        <v>3</v>
      </c>
      <c r="AF590" s="65"/>
      <c r="AG590" s="65"/>
      <c r="AH590" s="65"/>
      <c r="AI590" s="65"/>
      <c r="AJ590" s="65"/>
      <c r="AK590" s="65"/>
      <c r="AL590" s="65"/>
      <c r="AM590" s="65"/>
      <c r="AN590" s="65"/>
      <c r="AO590" s="65"/>
      <c r="AP590" s="65"/>
      <c r="AQ590" s="65"/>
      <c r="AR590" s="65"/>
      <c r="AS590" s="65"/>
      <c r="AT590" s="65" t="str">
        <f>IFERROR(__xludf.DUMMYFUNCTION("""COMPUTED_VALUE"""),"SHOPIFY")</f>
        <v>SHOPIFY</v>
      </c>
      <c r="AU590" s="65" t="str">
        <f>IFERROR(__xludf.DUMMYFUNCTION("""COMPUTED_VALUE"""),"IMPORTEX EC")</f>
        <v>IMPORTEX EC</v>
      </c>
      <c r="AV590" s="65" t="str">
        <f>IFERROR(__xludf.DUMMYFUNCTION("""COMPUTED_VALUE"""),"6519521378348")</f>
        <v>6519521378348</v>
      </c>
      <c r="AW590" s="65">
        <f>IFERROR(__xludf.DUMMYFUNCTION("""COMPUTED_VALUE"""),6282.0)</f>
        <v>6282</v>
      </c>
      <c r="AX590" s="65"/>
      <c r="AY590" s="65"/>
      <c r="AZ590" s="65"/>
      <c r="BA590" s="65"/>
    </row>
    <row r="591">
      <c r="A591" s="65" t="str">
        <f>IFERROR(__xludf.DUMMYFUNCTION("""COMPUTED_VALUE"""),"27-03-2026")</f>
        <v>27-03-2026</v>
      </c>
      <c r="B591" s="65">
        <f>IFERROR(__xludf.DUMMYFUNCTION("""COMPUTED_VALUE"""),4577485.0)</f>
        <v>4577485</v>
      </c>
      <c r="C591" s="65" t="str">
        <f>IFERROR(__xludf.DUMMYFUNCTION("""COMPUTED_VALUE"""),"12:04")</f>
        <v>12:04</v>
      </c>
      <c r="D591" s="65" t="str">
        <f>IFERROR(__xludf.DUMMYFUNCTION("""COMPUTED_VALUE"""),"21-02-2026")</f>
        <v>21-02-2026</v>
      </c>
      <c r="E591" s="65" t="str">
        <f>IFERROR(__xludf.DUMMYFUNCTION("""COMPUTED_VALUE"""),"Willy Almeida Espinoza Almeida")</f>
        <v>Willy Almeida Espinoza Almeida</v>
      </c>
      <c r="F591" s="65" t="str">
        <f>IFERROR(__xludf.DUMMYFUNCTION("""COMPUTED_VALUE"""),"998985271")</f>
        <v>998985271</v>
      </c>
      <c r="G591" s="65" t="str">
        <f>IFERROR(__xludf.DUMMYFUNCTION("""COMPUTED_VALUE"""),"walmeida1112@gmail.com")</f>
        <v>walmeida1112@gmail.com</v>
      </c>
      <c r="H591" s="65"/>
      <c r="I591" s="65"/>
      <c r="J591" s="65" t="str">
        <f>IFERROR(__xludf.DUMMYFUNCTION("""COMPUTED_VALUE"""),"D001352899")</f>
        <v>D001352899</v>
      </c>
      <c r="K591" s="65" t="str">
        <f>IFERROR(__xludf.DUMMYFUNCTION("""COMPUTED_VALUE"""),"DEVOLUCION")</f>
        <v>DEVOLUCION</v>
      </c>
      <c r="L591" s="65" t="str">
        <f>IFERROR(__xludf.DUMMYFUNCTION("""COMPUTED_VALUE"""),"CON RECAUDO")</f>
        <v>CON RECAUDO</v>
      </c>
      <c r="M591" s="65" t="str">
        <f>IFERROR(__xludf.DUMMYFUNCTION("""COMPUTED_VALUE"""),"PASTAZA")</f>
        <v>PASTAZA</v>
      </c>
      <c r="N591" s="65" t="str">
        <f>IFERROR(__xludf.DUMMYFUNCTION("""COMPUTED_VALUE"""),"SHELL")</f>
        <v>SHELL</v>
      </c>
      <c r="O591" s="65" t="str">
        <f>IFERROR(__xludf.DUMMYFUNCTION("""COMPUTED_VALUE"""),"10 de noviembre Y Maria Navarro - Frente a farmacias cruz azul")</f>
        <v>10 de noviembre Y Maria Navarro - Frente a farmacias cruz azul</v>
      </c>
      <c r="P591" s="65"/>
      <c r="Q591" s="65" t="str">
        <f>IFERROR(__xludf.DUMMYFUNCTION("""COMPUTED_VALUE"""),"GINTRACOM")</f>
        <v>GINTRACOM</v>
      </c>
      <c r="R591" s="65">
        <f>IFERROR(__xludf.DUMMYFUNCTION("""COMPUTED_VALUE"""),30.0)</f>
        <v>30</v>
      </c>
      <c r="S591" s="65"/>
      <c r="T591" s="65">
        <f>IFERROR(__xludf.DUMMYFUNCTION("""COMPUTED_VALUE"""),6.73)</f>
        <v>6.73</v>
      </c>
      <c r="U591" s="65">
        <f>IFERROR(__xludf.DUMMYFUNCTION("""COMPUTED_VALUE"""),0.0)</f>
        <v>0</v>
      </c>
      <c r="V591" s="65">
        <f>IFERROR(__xludf.DUMMYFUNCTION("""COMPUTED_VALUE"""),0.0)</f>
        <v>0</v>
      </c>
      <c r="W591" s="65">
        <f>IFERROR(__xludf.DUMMYFUNCTION("""COMPUTED_VALUE"""),0.0)</f>
        <v>0</v>
      </c>
      <c r="X591" s="65">
        <f>IFERROR(__xludf.DUMMYFUNCTION("""COMPUTED_VALUE"""),2.4)</f>
        <v>2.4</v>
      </c>
      <c r="Y591" s="65">
        <f>IFERROR(__xludf.DUMMYFUNCTION("""COMPUTED_VALUE"""),7.2)</f>
        <v>7.2</v>
      </c>
      <c r="Z591" s="65">
        <f>IFERROR(__xludf.DUMMYFUNCTION("""COMPUTED_VALUE"""),120732.0)</f>
        <v>120732</v>
      </c>
      <c r="AA591" s="65" t="str">
        <f>IFERROR(__xludf.DUMMYFUNCTION("""COMPUTED_VALUE"""),"PROV-LMPVT")</f>
        <v>PROV-LMPVT</v>
      </c>
      <c r="AB591" s="65"/>
      <c r="AC591" s="65" t="str">
        <f>IFERROR(__xludf.DUMMYFUNCTION("""COMPUTED_VALUE"""),"LIMPIADOR DE PARABRISAS Y VENTANAS")</f>
        <v>LIMPIADOR DE PARABRISAS Y VENTANAS</v>
      </c>
      <c r="AD591" s="65"/>
      <c r="AE591" s="65">
        <f>IFERROR(__xludf.DUMMYFUNCTION("""COMPUTED_VALUE"""),3.0)</f>
        <v>3</v>
      </c>
      <c r="AF591" s="65"/>
      <c r="AG591" s="65"/>
      <c r="AH591" s="65"/>
      <c r="AI591" s="65"/>
      <c r="AJ591" s="65"/>
      <c r="AK591" s="65"/>
      <c r="AL591" s="65"/>
      <c r="AM591" s="65"/>
      <c r="AN591" s="65" t="str">
        <f>IFERROR(__xludf.DUMMYFUNCTION("""COMPUTED_VALUE"""),"10:33")</f>
        <v>10:33</v>
      </c>
      <c r="AO591" s="65" t="str">
        <f>IFERROR(__xludf.DUMMYFUNCTION("""COMPUTED_VALUE"""),"17-03-2026")</f>
        <v>17-03-2026</v>
      </c>
      <c r="AP591" s="65" t="str">
        <f>IFERROR(__xludf.DUMMYFUNCTION("""COMPUTED_VALUE"""),"DEV CONFIRMADA POR BODEGA")</f>
        <v>DEV CONFIRMADA POR BODEGA</v>
      </c>
      <c r="AQ591" s="65"/>
      <c r="AR591" s="65" t="str">
        <f>IFERROR(__xludf.DUMMYFUNCTION("""COMPUTED_VALUE"""),"Gestionado por: PROVEDIX DAMIAN, email:enviogratisdirecto@gmail.com, total de productos en la orden: 1")</f>
        <v>Gestionado por: PROVEDIX DAMIAN, email:enviogratisdirecto@gmail.com, total de productos en la orden: 1</v>
      </c>
      <c r="AS591" s="65"/>
      <c r="AT591" s="65" t="str">
        <f>IFERROR(__xludf.DUMMYFUNCTION("""COMPUTED_VALUE"""),"SHOPIFY")</f>
        <v>SHOPIFY</v>
      </c>
      <c r="AU591" s="65" t="str">
        <f>IFERROR(__xludf.DUMMYFUNCTION("""COMPUTED_VALUE"""),"IMPORTEX EC")</f>
        <v>IMPORTEX EC</v>
      </c>
      <c r="AV591" s="65" t="str">
        <f>IFERROR(__xludf.DUMMYFUNCTION("""COMPUTED_VALUE"""),"6519484973100")</f>
        <v>6519484973100</v>
      </c>
      <c r="AW591" s="65">
        <f>IFERROR(__xludf.DUMMYFUNCTION("""COMPUTED_VALUE"""),6281.0)</f>
        <v>6281</v>
      </c>
      <c r="AX591" s="65"/>
      <c r="AY591" s="65" t="str">
        <f>IFERROR(__xludf.DUMMYFUNCTION("""COMPUTED_VALUE"""),"23/02/2026")</f>
        <v>23/02/2026</v>
      </c>
      <c r="AZ591" s="65"/>
      <c r="BA591" s="65"/>
    </row>
    <row r="592">
      <c r="A592" s="65" t="str">
        <f>IFERROR(__xludf.DUMMYFUNCTION("""COMPUTED_VALUE"""),"27-03-2026")</f>
        <v>27-03-2026</v>
      </c>
      <c r="B592" s="65">
        <f>IFERROR(__xludf.DUMMYFUNCTION("""COMPUTED_VALUE"""),4577191.0)</f>
        <v>4577191</v>
      </c>
      <c r="C592" s="65" t="str">
        <f>IFERROR(__xludf.DUMMYFUNCTION("""COMPUTED_VALUE"""),"11:36")</f>
        <v>11:36</v>
      </c>
      <c r="D592" s="65" t="str">
        <f>IFERROR(__xludf.DUMMYFUNCTION("""COMPUTED_VALUE"""),"21-02-2026")</f>
        <v>21-02-2026</v>
      </c>
      <c r="E592" s="65" t="str">
        <f>IFERROR(__xludf.DUMMYFUNCTION("""COMPUTED_VALUE"""),"Mauricio Correa")</f>
        <v>Mauricio Correa</v>
      </c>
      <c r="F592" s="65" t="str">
        <f>IFERROR(__xludf.DUMMYFUNCTION("""COMPUTED_VALUE"""),"995002109")</f>
        <v>995002109</v>
      </c>
      <c r="G592" s="65" t="str">
        <f>IFERROR(__xludf.DUMMYFUNCTION("""COMPUTED_VALUE"""),"cmauriciocorrea@gmail.com")</f>
        <v>cmauriciocorrea@gmail.com</v>
      </c>
      <c r="H592" s="65"/>
      <c r="I592" s="65"/>
      <c r="J592" s="65" t="str">
        <f>IFERROR(__xludf.DUMMYFUNCTION("""COMPUTED_VALUE"""),"D001352900")</f>
        <v>D001352900</v>
      </c>
      <c r="K592" s="65" t="str">
        <f>IFERROR(__xludf.DUMMYFUNCTION("""COMPUTED_VALUE"""),"ENTREGADO")</f>
        <v>ENTREGADO</v>
      </c>
      <c r="L592" s="65" t="str">
        <f>IFERROR(__xludf.DUMMYFUNCTION("""COMPUTED_VALUE"""),"CON RECAUDO")</f>
        <v>CON RECAUDO</v>
      </c>
      <c r="M592" s="65" t="str">
        <f>IFERROR(__xludf.DUMMYFUNCTION("""COMPUTED_VALUE"""),"PICHINCHA")</f>
        <v>PICHINCHA</v>
      </c>
      <c r="N592" s="65" t="str">
        <f>IFERROR(__xludf.DUMMYFUNCTION("""COMPUTED_VALUE"""),"TUMBACO")</f>
        <v>TUMBACO</v>
      </c>
      <c r="O592" s="65" t="str">
        <f>IFERROR(__xludf.DUMMYFUNCTION("""COMPUTED_VALUE"""),"Av. Oswaldo Guayasamin N9-223 y Río Agoyán Tumbaco El Arenal -")</f>
        <v>Av. Oswaldo Guayasamin N9-223 y Río Agoyán Tumbaco El Arenal -</v>
      </c>
      <c r="P592" s="65"/>
      <c r="Q592" s="65" t="str">
        <f>IFERROR(__xludf.DUMMYFUNCTION("""COMPUTED_VALUE"""),"GINTRACOM")</f>
        <v>GINTRACOM</v>
      </c>
      <c r="R592" s="65">
        <f>IFERROR(__xludf.DUMMYFUNCTION("""COMPUTED_VALUE"""),30.0)</f>
        <v>30</v>
      </c>
      <c r="S592" s="65">
        <f>IFERROR(__xludf.DUMMYFUNCTION("""COMPUTED_VALUE"""),16.64)</f>
        <v>16.64</v>
      </c>
      <c r="T592" s="65">
        <f>IFERROR(__xludf.DUMMYFUNCTION("""COMPUTED_VALUE"""),6.16)</f>
        <v>6.16</v>
      </c>
      <c r="U592" s="65">
        <f>IFERROR(__xludf.DUMMYFUNCTION("""COMPUTED_VALUE"""),0.0)</f>
        <v>0</v>
      </c>
      <c r="V592" s="65">
        <f>IFERROR(__xludf.DUMMYFUNCTION("""COMPUTED_VALUE"""),0.0)</f>
        <v>0</v>
      </c>
      <c r="W592" s="65">
        <f>IFERROR(__xludf.DUMMYFUNCTION("""COMPUTED_VALUE"""),0.0)</f>
        <v>0</v>
      </c>
      <c r="X592" s="65">
        <f>IFERROR(__xludf.DUMMYFUNCTION("""COMPUTED_VALUE"""),2.4)</f>
        <v>2.4</v>
      </c>
      <c r="Y592" s="65">
        <f>IFERROR(__xludf.DUMMYFUNCTION("""COMPUTED_VALUE"""),7.2)</f>
        <v>7.2</v>
      </c>
      <c r="Z592" s="65">
        <f>IFERROR(__xludf.DUMMYFUNCTION("""COMPUTED_VALUE"""),120732.0)</f>
        <v>120732</v>
      </c>
      <c r="AA592" s="65" t="str">
        <f>IFERROR(__xludf.DUMMYFUNCTION("""COMPUTED_VALUE"""),"PROV-LMPVT")</f>
        <v>PROV-LMPVT</v>
      </c>
      <c r="AB592" s="65"/>
      <c r="AC592" s="65" t="str">
        <f>IFERROR(__xludf.DUMMYFUNCTION("""COMPUTED_VALUE"""),"LIMPIADOR DE PARABRISAS Y VENTANAS")</f>
        <v>LIMPIADOR DE PARABRISAS Y VENTANAS</v>
      </c>
      <c r="AD592" s="65"/>
      <c r="AE592" s="65">
        <f>IFERROR(__xludf.DUMMYFUNCTION("""COMPUTED_VALUE"""),3.0)</f>
        <v>3</v>
      </c>
      <c r="AF592" s="65"/>
      <c r="AG592" s="65"/>
      <c r="AH592" s="65"/>
      <c r="AI592" s="65"/>
      <c r="AJ592" s="65"/>
      <c r="AK592" s="65"/>
      <c r="AL592" s="65"/>
      <c r="AM592" s="65"/>
      <c r="AN592" s="65" t="str">
        <f>IFERROR(__xludf.DUMMYFUNCTION("""COMPUTED_VALUE"""),"09:40")</f>
        <v>09:40</v>
      </c>
      <c r="AO592" s="65" t="str">
        <f>IFERROR(__xludf.DUMMYFUNCTION("""COMPUTED_VALUE"""),"28-02-2026")</f>
        <v>28-02-2026</v>
      </c>
      <c r="AP592" s="65" t="str">
        <f>IFERROR(__xludf.DUMMYFUNCTION("""COMPUTED_VALUE"""),"EN REPARTO")</f>
        <v>EN REPARTO</v>
      </c>
      <c r="AQ592" s="65" t="str">
        <f>IFERROR(__xludf.DUMMYFUNCTION("""COMPUTED_VALUE"""),"EN REPARTO")</f>
        <v>EN REPARTO</v>
      </c>
      <c r="AR592" s="65"/>
      <c r="AS592" s="65"/>
      <c r="AT592" s="65" t="str">
        <f>IFERROR(__xludf.DUMMYFUNCTION("""COMPUTED_VALUE"""),"SHOPIFY")</f>
        <v>SHOPIFY</v>
      </c>
      <c r="AU592" s="65" t="str">
        <f>IFERROR(__xludf.DUMMYFUNCTION("""COMPUTED_VALUE"""),"IMPORTEX EC")</f>
        <v>IMPORTEX EC</v>
      </c>
      <c r="AV592" s="65" t="str">
        <f>IFERROR(__xludf.DUMMYFUNCTION("""COMPUTED_VALUE"""),"6519386669100")</f>
        <v>6519386669100</v>
      </c>
      <c r="AW592" s="65">
        <f>IFERROR(__xludf.DUMMYFUNCTION("""COMPUTED_VALUE"""),6279.0)</f>
        <v>6279</v>
      </c>
      <c r="AX592" s="65"/>
      <c r="AY592" s="65" t="str">
        <f>IFERROR(__xludf.DUMMYFUNCTION("""COMPUTED_VALUE"""),"23/02/2026")</f>
        <v>23/02/2026</v>
      </c>
      <c r="AZ592" s="65"/>
      <c r="BA592" s="65"/>
    </row>
    <row r="593">
      <c r="A593" s="65" t="str">
        <f>IFERROR(__xludf.DUMMYFUNCTION("""COMPUTED_VALUE"""),"27-03-2026")</f>
        <v>27-03-2026</v>
      </c>
      <c r="B593" s="65">
        <f>IFERROR(__xludf.DUMMYFUNCTION("""COMPUTED_VALUE"""),4577187.0)</f>
        <v>4577187</v>
      </c>
      <c r="C593" s="65" t="str">
        <f>IFERROR(__xludf.DUMMYFUNCTION("""COMPUTED_VALUE"""),"11:35")</f>
        <v>11:35</v>
      </c>
      <c r="D593" s="65" t="str">
        <f>IFERROR(__xludf.DUMMYFUNCTION("""COMPUTED_VALUE"""),"21-02-2026")</f>
        <v>21-02-2026</v>
      </c>
      <c r="E593" s="65" t="str">
        <f>IFERROR(__xludf.DUMMYFUNCTION("""COMPUTED_VALUE"""),"Lina Espin Espin")</f>
        <v>Lina Espin Espin</v>
      </c>
      <c r="F593" s="65" t="str">
        <f>IFERROR(__xludf.DUMMYFUNCTION("""COMPUTED_VALUE"""),"998660689")</f>
        <v>998660689</v>
      </c>
      <c r="G593" s="65" t="str">
        <f>IFERROR(__xludf.DUMMYFUNCTION("""COMPUTED_VALUE"""),"linaespin77@gmail.com")</f>
        <v>linaespin77@gmail.com</v>
      </c>
      <c r="H593" s="65"/>
      <c r="I593" s="65"/>
      <c r="J593" s="65"/>
      <c r="K593" s="65" t="str">
        <f>IFERROR(__xludf.DUMMYFUNCTION("""COMPUTED_VALUE"""),"PENDIENTE CONFIRMACION")</f>
        <v>PENDIENTE CONFIRMACION</v>
      </c>
      <c r="L593" s="65" t="str">
        <f>IFERROR(__xludf.DUMMYFUNCTION("""COMPUTED_VALUE"""),"CON RECAUDO")</f>
        <v>CON RECAUDO</v>
      </c>
      <c r="M593" s="65" t="str">
        <f>IFERROR(__xludf.DUMMYFUNCTION("""COMPUTED_VALUE"""),"TUNGURAHUA")</f>
        <v>TUNGURAHUA</v>
      </c>
      <c r="N593" s="65" t="str">
        <f>IFERROR(__xludf.DUMMYFUNCTION("""COMPUTED_VALUE"""),"AMBATO")</f>
        <v>AMBATO</v>
      </c>
      <c r="O593" s="65" t="str">
        <f>IFERROR(__xludf.DUMMYFUNCTION("""COMPUTED_VALUE"""),"Ex redondel de Izamba pedro Vazcones e Indoamérica y frente al chifa -")</f>
        <v>Ex redondel de Izamba pedro Vazcones e Indoamérica y frente al chifa -</v>
      </c>
      <c r="P593" s="65"/>
      <c r="Q593" s="65" t="str">
        <f>IFERROR(__xludf.DUMMYFUNCTION("""COMPUTED_VALUE"""),"GINTRACOM")</f>
        <v>GINTRACOM</v>
      </c>
      <c r="R593" s="65">
        <f>IFERROR(__xludf.DUMMYFUNCTION("""COMPUTED_VALUE"""),32.0)</f>
        <v>32</v>
      </c>
      <c r="S593" s="65"/>
      <c r="T593" s="65">
        <f>IFERROR(__xludf.DUMMYFUNCTION("""COMPUTED_VALUE"""),6.24)</f>
        <v>6.24</v>
      </c>
      <c r="U593" s="65">
        <f>IFERROR(__xludf.DUMMYFUNCTION("""COMPUTED_VALUE"""),0.0)</f>
        <v>0</v>
      </c>
      <c r="V593" s="65">
        <f>IFERROR(__xludf.DUMMYFUNCTION("""COMPUTED_VALUE"""),0.0)</f>
        <v>0</v>
      </c>
      <c r="W593" s="65">
        <f>IFERROR(__xludf.DUMMYFUNCTION("""COMPUTED_VALUE"""),0.0)</f>
        <v>0</v>
      </c>
      <c r="X593" s="65">
        <f>IFERROR(__xludf.DUMMYFUNCTION("""COMPUTED_VALUE"""),3.75)</f>
        <v>3.75</v>
      </c>
      <c r="Y593" s="65">
        <f>IFERROR(__xludf.DUMMYFUNCTION("""COMPUTED_VALUE"""),15.0)</f>
        <v>15</v>
      </c>
      <c r="Z593" s="65">
        <f>IFERROR(__xludf.DUMMYFUNCTION("""COMPUTED_VALUE"""),113116.0)</f>
        <v>113116</v>
      </c>
      <c r="AA593" s="65" t="str">
        <f>IFERROR(__xludf.DUMMYFUNCTION("""COMPUTED_VALUE"""),"IM-TAZAKI")</f>
        <v>IM-TAZAKI</v>
      </c>
      <c r="AB593" s="65"/>
      <c r="AC593" s="65" t="str">
        <f>IFERROR(__xludf.DUMMYFUNCTION("""COMPUTED_VALUE"""),"Cuchillo tazaki")</f>
        <v>Cuchillo tazaki</v>
      </c>
      <c r="AD593" s="65"/>
      <c r="AE593" s="65">
        <f>IFERROR(__xludf.DUMMYFUNCTION("""COMPUTED_VALUE"""),4.0)</f>
        <v>4</v>
      </c>
      <c r="AF593" s="65"/>
      <c r="AG593" s="65"/>
      <c r="AH593" s="65"/>
      <c r="AI593" s="65"/>
      <c r="AJ593" s="65"/>
      <c r="AK593" s="65"/>
      <c r="AL593" s="65"/>
      <c r="AM593" s="65"/>
      <c r="AN593" s="65"/>
      <c r="AO593" s="65"/>
      <c r="AP593" s="65"/>
      <c r="AQ593" s="65"/>
      <c r="AR593" s="65"/>
      <c r="AS593" s="65"/>
      <c r="AT593" s="65" t="str">
        <f>IFERROR(__xludf.DUMMYFUNCTION("""COMPUTED_VALUE"""),"SHOPIFY")</f>
        <v>SHOPIFY</v>
      </c>
      <c r="AU593" s="65" t="str">
        <f>IFERROR(__xludf.DUMMYFUNCTION("""COMPUTED_VALUE"""),"IMPORTEX EC")</f>
        <v>IMPORTEX EC</v>
      </c>
      <c r="AV593" s="65" t="str">
        <f>IFERROR(__xludf.DUMMYFUNCTION("""COMPUTED_VALUE"""),"6519383949356")</f>
        <v>6519383949356</v>
      </c>
      <c r="AW593" s="65">
        <f>IFERROR(__xludf.DUMMYFUNCTION("""COMPUTED_VALUE"""),6278.0)</f>
        <v>6278</v>
      </c>
      <c r="AX593" s="65"/>
      <c r="AY593" s="65"/>
      <c r="AZ593" s="65"/>
      <c r="BA593" s="65"/>
    </row>
    <row r="594">
      <c r="A594" s="65" t="str">
        <f>IFERROR(__xludf.DUMMYFUNCTION("""COMPUTED_VALUE"""),"27-03-2026")</f>
        <v>27-03-2026</v>
      </c>
      <c r="B594" s="65">
        <f>IFERROR(__xludf.DUMMYFUNCTION("""COMPUTED_VALUE"""),4576899.0)</f>
        <v>4576899</v>
      </c>
      <c r="C594" s="65" t="str">
        <f>IFERROR(__xludf.DUMMYFUNCTION("""COMPUTED_VALUE"""),"11:10")</f>
        <v>11:10</v>
      </c>
      <c r="D594" s="65" t="str">
        <f>IFERROR(__xludf.DUMMYFUNCTION("""COMPUTED_VALUE"""),"21-02-2026")</f>
        <v>21-02-2026</v>
      </c>
      <c r="E594" s="65" t="str">
        <f>IFERROR(__xludf.DUMMYFUNCTION("""COMPUTED_VALUE"""),"Jaime Hurtado")</f>
        <v>Jaime Hurtado</v>
      </c>
      <c r="F594" s="65" t="str">
        <f>IFERROR(__xludf.DUMMYFUNCTION("""COMPUTED_VALUE"""),"994337171")</f>
        <v>994337171</v>
      </c>
      <c r="G594" s="65" t="str">
        <f>IFERROR(__xludf.DUMMYFUNCTION("""COMPUTED_VALUE"""),"hurta61@gmail.com")</f>
        <v>hurta61@gmail.com</v>
      </c>
      <c r="H594" s="65"/>
      <c r="I594" s="65"/>
      <c r="J594" s="65" t="str">
        <f>IFERROR(__xludf.DUMMYFUNCTION("""COMPUTED_VALUE"""),"D001354509")</f>
        <v>D001354509</v>
      </c>
      <c r="K594" s="65" t="str">
        <f>IFERROR(__xludf.DUMMYFUNCTION("""COMPUTED_VALUE"""),"ENTREGADO")</f>
        <v>ENTREGADO</v>
      </c>
      <c r="L594" s="65" t="str">
        <f>IFERROR(__xludf.DUMMYFUNCTION("""COMPUTED_VALUE"""),"CON RECAUDO")</f>
        <v>CON RECAUDO</v>
      </c>
      <c r="M594" s="65" t="str">
        <f>IFERROR(__xludf.DUMMYFUNCTION("""COMPUTED_VALUE"""),"GUAYAS")</f>
        <v>GUAYAS</v>
      </c>
      <c r="N594" s="65" t="str">
        <f>IFERROR(__xludf.DUMMYFUNCTION("""COMPUTED_VALUE"""),"GUAYAQUIL")</f>
        <v>GUAYAQUIL</v>
      </c>
      <c r="O594" s="65" t="str">
        <f>IFERROR(__xludf.DUMMYFUNCTION("""COMPUTED_VALUE"""),"Av. 9 de octubre y Av. Quito esquina. Corte provincial Guayas - Frente a casa de la cultura")</f>
        <v>Av. 9 de octubre y Av. Quito esquina. Corte provincial Guayas - Frente a casa de la cultura</v>
      </c>
      <c r="P594" s="65"/>
      <c r="Q594" s="65" t="str">
        <f>IFERROR(__xludf.DUMMYFUNCTION("""COMPUTED_VALUE"""),"GINTRACOM")</f>
        <v>GINTRACOM</v>
      </c>
      <c r="R594" s="65">
        <f>IFERROR(__xludf.DUMMYFUNCTION("""COMPUTED_VALUE"""),22.0)</f>
        <v>22</v>
      </c>
      <c r="S594" s="65">
        <f>IFERROR(__xludf.DUMMYFUNCTION("""COMPUTED_VALUE"""),8.66)</f>
        <v>8.66</v>
      </c>
      <c r="T594" s="65">
        <f>IFERROR(__xludf.DUMMYFUNCTION("""COMPUTED_VALUE"""),5.84)</f>
        <v>5.84</v>
      </c>
      <c r="U594" s="65">
        <f>IFERROR(__xludf.DUMMYFUNCTION("""COMPUTED_VALUE"""),0.0)</f>
        <v>0</v>
      </c>
      <c r="V594" s="65">
        <f>IFERROR(__xludf.DUMMYFUNCTION("""COMPUTED_VALUE"""),0.0)</f>
        <v>0</v>
      </c>
      <c r="W594" s="65">
        <f>IFERROR(__xludf.DUMMYFUNCTION("""COMPUTED_VALUE"""),0.0)</f>
        <v>0</v>
      </c>
      <c r="X594" s="65">
        <f>IFERROR(__xludf.DUMMYFUNCTION("""COMPUTED_VALUE"""),3.75)</f>
        <v>3.75</v>
      </c>
      <c r="Y594" s="65">
        <f>IFERROR(__xludf.DUMMYFUNCTION("""COMPUTED_VALUE"""),7.5)</f>
        <v>7.5</v>
      </c>
      <c r="Z594" s="65">
        <f>IFERROR(__xludf.DUMMYFUNCTION("""COMPUTED_VALUE"""),113116.0)</f>
        <v>113116</v>
      </c>
      <c r="AA594" s="65" t="str">
        <f>IFERROR(__xludf.DUMMYFUNCTION("""COMPUTED_VALUE"""),"IM-TAZAKI")</f>
        <v>IM-TAZAKI</v>
      </c>
      <c r="AB594" s="65"/>
      <c r="AC594" s="65" t="str">
        <f>IFERROR(__xludf.DUMMYFUNCTION("""COMPUTED_VALUE"""),"Cuchillo tazaki")</f>
        <v>Cuchillo tazaki</v>
      </c>
      <c r="AD594" s="65"/>
      <c r="AE594" s="65">
        <f>IFERROR(__xludf.DUMMYFUNCTION("""COMPUTED_VALUE"""),2.0)</f>
        <v>2</v>
      </c>
      <c r="AF594" s="65" t="str">
        <f>IFERROR(__xludf.DUMMYFUNCTION("""COMPUTED_VALUE"""),"DESTINATARIO NO CONTESTA LLAMADAS NI WHATSAPP")</f>
        <v>DESTINATARIO NO CONTESTA LLAMADAS NI WHATSAPP</v>
      </c>
      <c r="AG594" s="65" t="str">
        <f>IFERROR(__xludf.DUMMYFUNCTION("""COMPUTED_VALUE"""),"NO")</f>
        <v>NO</v>
      </c>
      <c r="AH594" s="65" t="str">
        <f>IFERROR(__xludf.DUMMYFUNCTION("""COMPUTED_VALUE"""),"07:47")</f>
        <v>07:47</v>
      </c>
      <c r="AI594" s="65" t="str">
        <f>IFERROR(__xludf.DUMMYFUNCTION("""COMPUTED_VALUE"""),"27-02-2026")</f>
        <v>27-02-2026</v>
      </c>
      <c r="AJ594" s="65"/>
      <c r="AK594" s="65"/>
      <c r="AL594" s="65"/>
      <c r="AM594" s="65"/>
      <c r="AN594" s="65" t="str">
        <f>IFERROR(__xludf.DUMMYFUNCTION("""COMPUTED_VALUE"""),"13:33")</f>
        <v>13:33</v>
      </c>
      <c r="AO594" s="65" t="str">
        <f>IFERROR(__xludf.DUMMYFUNCTION("""COMPUTED_VALUE"""),"27-02-2026")</f>
        <v>27-02-2026</v>
      </c>
      <c r="AP594" s="65" t="str">
        <f>IFERROR(__xludf.DUMMYFUNCTION("""COMPUTED_VALUE"""),"ENTREGADA GINTRACOM")</f>
        <v>ENTREGADA GINTRACOM</v>
      </c>
      <c r="AQ594" s="65" t="str">
        <f>IFERROR(__xludf.DUMMYFUNCTION("""COMPUTED_VALUE"""),"ENTREGADA GINTRACOM")</f>
        <v>ENTREGADA GINTRACOM</v>
      </c>
      <c r="AR594" s="65"/>
      <c r="AS594" s="65"/>
      <c r="AT594" s="65" t="str">
        <f>IFERROR(__xludf.DUMMYFUNCTION("""COMPUTED_VALUE"""),"SHOPIFY")</f>
        <v>SHOPIFY</v>
      </c>
      <c r="AU594" s="65" t="str">
        <f>IFERROR(__xludf.DUMMYFUNCTION("""COMPUTED_VALUE"""),"IMPORTEX EC")</f>
        <v>IMPORTEX EC</v>
      </c>
      <c r="AV594" s="65" t="str">
        <f>IFERROR(__xludf.DUMMYFUNCTION("""COMPUTED_VALUE"""),"6519295049772")</f>
        <v>6519295049772</v>
      </c>
      <c r="AW594" s="65">
        <f>IFERROR(__xludf.DUMMYFUNCTION("""COMPUTED_VALUE"""),6277.0)</f>
        <v>6277</v>
      </c>
      <c r="AX594" s="65"/>
      <c r="AY594" s="65" t="str">
        <f>IFERROR(__xludf.DUMMYFUNCTION("""COMPUTED_VALUE"""),"24/02/2026")</f>
        <v>24/02/2026</v>
      </c>
      <c r="AZ594" s="65"/>
      <c r="BA594" s="65"/>
    </row>
    <row r="595">
      <c r="A595" s="65" t="str">
        <f>IFERROR(__xludf.DUMMYFUNCTION("""COMPUTED_VALUE"""),"27-03-2026")</f>
        <v>27-03-2026</v>
      </c>
      <c r="B595" s="65">
        <f>IFERROR(__xludf.DUMMYFUNCTION("""COMPUTED_VALUE"""),4575501.0)</f>
        <v>4575501</v>
      </c>
      <c r="C595" s="65" t="str">
        <f>IFERROR(__xludf.DUMMYFUNCTION("""COMPUTED_VALUE"""),"08:42")</f>
        <v>08:42</v>
      </c>
      <c r="D595" s="65" t="str">
        <f>IFERROR(__xludf.DUMMYFUNCTION("""COMPUTED_VALUE"""),"21-02-2026")</f>
        <v>21-02-2026</v>
      </c>
      <c r="E595" s="65" t="str">
        <f>IFERROR(__xludf.DUMMYFUNCTION("""COMPUTED_VALUE"""),"Cinthya Rosero")</f>
        <v>Cinthya Rosero</v>
      </c>
      <c r="F595" s="65" t="str">
        <f>IFERROR(__xludf.DUMMYFUNCTION("""COMPUTED_VALUE"""),"968646192")</f>
        <v>968646192</v>
      </c>
      <c r="G595" s="65" t="str">
        <f>IFERROR(__xludf.DUMMYFUNCTION("""COMPUTED_VALUE"""),"cinthyarosero.29@outlook.com")</f>
        <v>cinthyarosero.29@outlook.com</v>
      </c>
      <c r="H595" s="65"/>
      <c r="I595" s="65"/>
      <c r="J595" s="65"/>
      <c r="K595" s="65" t="str">
        <f>IFERROR(__xludf.DUMMYFUNCTION("""COMPUTED_VALUE"""),"PENDIENTE CONFIRMACION")</f>
        <v>PENDIENTE CONFIRMACION</v>
      </c>
      <c r="L595" s="65" t="str">
        <f>IFERROR(__xludf.DUMMYFUNCTION("""COMPUTED_VALUE"""),"CON RECAUDO")</f>
        <v>CON RECAUDO</v>
      </c>
      <c r="M595" s="65" t="str">
        <f>IFERROR(__xludf.DUMMYFUNCTION("""COMPUTED_VALUE"""),"GUAYAS")</f>
        <v>GUAYAS</v>
      </c>
      <c r="N595" s="65" t="str">
        <f>IFERROR(__xludf.DUMMYFUNCTION("""COMPUTED_VALUE"""),"GUAYAQUIL")</f>
        <v>GUAYAQUIL</v>
      </c>
      <c r="O595" s="65" t="str">
        <f>IFERROR(__xludf.DUMMYFUNCTION("""COMPUTED_VALUE"""),"Paseo shopin via daule Paseo shopin via daule -")</f>
        <v>Paseo shopin via daule Paseo shopin via daule -</v>
      </c>
      <c r="P595" s="65"/>
      <c r="Q595" s="65" t="str">
        <f>IFERROR(__xludf.DUMMYFUNCTION("""COMPUTED_VALUE"""),"GINTRACOM")</f>
        <v>GINTRACOM</v>
      </c>
      <c r="R595" s="65">
        <f>IFERROR(__xludf.DUMMYFUNCTION("""COMPUTED_VALUE"""),20.0)</f>
        <v>20</v>
      </c>
      <c r="S595" s="65"/>
      <c r="T595" s="65">
        <f>IFERROR(__xludf.DUMMYFUNCTION("""COMPUTED_VALUE"""),4.15)</f>
        <v>4.15</v>
      </c>
      <c r="U595" s="65">
        <f>IFERROR(__xludf.DUMMYFUNCTION("""COMPUTED_VALUE"""),0.0)</f>
        <v>0</v>
      </c>
      <c r="V595" s="65">
        <f>IFERROR(__xludf.DUMMYFUNCTION("""COMPUTED_VALUE"""),0.0)</f>
        <v>0</v>
      </c>
      <c r="W595" s="65">
        <f>IFERROR(__xludf.DUMMYFUNCTION("""COMPUTED_VALUE"""),0.0)</f>
        <v>0</v>
      </c>
      <c r="X595" s="65">
        <f>IFERROR(__xludf.DUMMYFUNCTION("""COMPUTED_VALUE"""),2.4)</f>
        <v>2.4</v>
      </c>
      <c r="Y595" s="65">
        <f>IFERROR(__xludf.DUMMYFUNCTION("""COMPUTED_VALUE"""),2.4)</f>
        <v>2.4</v>
      </c>
      <c r="Z595" s="65">
        <f>IFERROR(__xludf.DUMMYFUNCTION("""COMPUTED_VALUE"""),120732.0)</f>
        <v>120732</v>
      </c>
      <c r="AA595" s="65" t="str">
        <f>IFERROR(__xludf.DUMMYFUNCTION("""COMPUTED_VALUE"""),"PROV-LMPVT")</f>
        <v>PROV-LMPVT</v>
      </c>
      <c r="AB595" s="65"/>
      <c r="AC595" s="65" t="str">
        <f>IFERROR(__xludf.DUMMYFUNCTION("""COMPUTED_VALUE"""),"LIMPIADOR DE PARABRISAS Y VENTANAS")</f>
        <v>LIMPIADOR DE PARABRISAS Y VENTANAS</v>
      </c>
      <c r="AD595" s="65"/>
      <c r="AE595" s="65">
        <f>IFERROR(__xludf.DUMMYFUNCTION("""COMPUTED_VALUE"""),1.0)</f>
        <v>1</v>
      </c>
      <c r="AF595" s="65"/>
      <c r="AG595" s="65"/>
      <c r="AH595" s="65"/>
      <c r="AI595" s="65"/>
      <c r="AJ595" s="65"/>
      <c r="AK595" s="65"/>
      <c r="AL595" s="65"/>
      <c r="AM595" s="65"/>
      <c r="AN595" s="65"/>
      <c r="AO595" s="65"/>
      <c r="AP595" s="65"/>
      <c r="AQ595" s="65"/>
      <c r="AR595" s="65"/>
      <c r="AS595" s="65"/>
      <c r="AT595" s="65" t="str">
        <f>IFERROR(__xludf.DUMMYFUNCTION("""COMPUTED_VALUE"""),"SHOPIFY")</f>
        <v>SHOPIFY</v>
      </c>
      <c r="AU595" s="65" t="str">
        <f>IFERROR(__xludf.DUMMYFUNCTION("""COMPUTED_VALUE"""),"IMPORTEX EC")</f>
        <v>IMPORTEX EC</v>
      </c>
      <c r="AV595" s="65" t="str">
        <f>IFERROR(__xludf.DUMMYFUNCTION("""COMPUTED_VALUE"""),"6519079698476")</f>
        <v>6519079698476</v>
      </c>
      <c r="AW595" s="65">
        <f>IFERROR(__xludf.DUMMYFUNCTION("""COMPUTED_VALUE"""),6276.0)</f>
        <v>6276</v>
      </c>
      <c r="AX595" s="65"/>
      <c r="AY595" s="65"/>
      <c r="AZ595" s="65"/>
      <c r="BA595" s="65"/>
    </row>
    <row r="596">
      <c r="A596" s="65" t="str">
        <f>IFERROR(__xludf.DUMMYFUNCTION("""COMPUTED_VALUE"""),"27-03-2026")</f>
        <v>27-03-2026</v>
      </c>
      <c r="B596" s="65">
        <f>IFERROR(__xludf.DUMMYFUNCTION("""COMPUTED_VALUE"""),4575350.0)</f>
        <v>4575350</v>
      </c>
      <c r="C596" s="65" t="str">
        <f>IFERROR(__xludf.DUMMYFUNCTION("""COMPUTED_VALUE"""),"08:25")</f>
        <v>08:25</v>
      </c>
      <c r="D596" s="65" t="str">
        <f>IFERROR(__xludf.DUMMYFUNCTION("""COMPUTED_VALUE"""),"21-02-2026")</f>
        <v>21-02-2026</v>
      </c>
      <c r="E596" s="65" t="str">
        <f>IFERROR(__xludf.DUMMYFUNCTION("""COMPUTED_VALUE"""),"Marlene Ponce")</f>
        <v>Marlene Ponce</v>
      </c>
      <c r="F596" s="65" t="str">
        <f>IFERROR(__xludf.DUMMYFUNCTION("""COMPUTED_VALUE"""),"988906684")</f>
        <v>988906684</v>
      </c>
      <c r="G596" s="65" t="str">
        <f>IFERROR(__xludf.DUMMYFUNCTION("""COMPUTED_VALUE"""),"poncemarlene87@gmail.com")</f>
        <v>poncemarlene87@gmail.com</v>
      </c>
      <c r="H596" s="65"/>
      <c r="I596" s="65"/>
      <c r="J596" s="65" t="str">
        <f>IFERROR(__xludf.DUMMYFUNCTION("""COMPUTED_VALUE"""),"D001352901")</f>
        <v>D001352901</v>
      </c>
      <c r="K596" s="65" t="str">
        <f>IFERROR(__xludf.DUMMYFUNCTION("""COMPUTED_VALUE"""),"DEVOLUCION")</f>
        <v>DEVOLUCION</v>
      </c>
      <c r="L596" s="65" t="str">
        <f>IFERROR(__xludf.DUMMYFUNCTION("""COMPUTED_VALUE"""),"CON RECAUDO")</f>
        <v>CON RECAUDO</v>
      </c>
      <c r="M596" s="65" t="str">
        <f>IFERROR(__xludf.DUMMYFUNCTION("""COMPUTED_VALUE"""),"PICHINCHA")</f>
        <v>PICHINCHA</v>
      </c>
      <c r="N596" s="65" t="str">
        <f>IFERROR(__xludf.DUMMYFUNCTION("""COMPUTED_VALUE"""),"CAYAMBE")</f>
        <v>CAYAMBE</v>
      </c>
      <c r="O596" s="65" t="str">
        <f>IFERROR(__xludf.DUMMYFUNCTION("""COMPUTED_VALUE"""),"Ascazubi y 24 de mayo Barrio la isla -")</f>
        <v>Ascazubi y 24 de mayo Barrio la isla -</v>
      </c>
      <c r="P596" s="65"/>
      <c r="Q596" s="65" t="str">
        <f>IFERROR(__xludf.DUMMYFUNCTION("""COMPUTED_VALUE"""),"GINTRACOM")</f>
        <v>GINTRACOM</v>
      </c>
      <c r="R596" s="65">
        <f>IFERROR(__xludf.DUMMYFUNCTION("""COMPUTED_VALUE"""),20.0)</f>
        <v>20</v>
      </c>
      <c r="S596" s="65"/>
      <c r="T596" s="65">
        <f>IFERROR(__xludf.DUMMYFUNCTION("""COMPUTED_VALUE"""),5.76)</f>
        <v>5.76</v>
      </c>
      <c r="U596" s="65">
        <f>IFERROR(__xludf.DUMMYFUNCTION("""COMPUTED_VALUE"""),0.0)</f>
        <v>0</v>
      </c>
      <c r="V596" s="65">
        <f>IFERROR(__xludf.DUMMYFUNCTION("""COMPUTED_VALUE"""),0.0)</f>
        <v>0</v>
      </c>
      <c r="W596" s="65">
        <f>IFERROR(__xludf.DUMMYFUNCTION("""COMPUTED_VALUE"""),0.0)</f>
        <v>0</v>
      </c>
      <c r="X596" s="65">
        <f>IFERROR(__xludf.DUMMYFUNCTION("""COMPUTED_VALUE"""),2.4)</f>
        <v>2.4</v>
      </c>
      <c r="Y596" s="65">
        <f>IFERROR(__xludf.DUMMYFUNCTION("""COMPUTED_VALUE"""),2.4)</f>
        <v>2.4</v>
      </c>
      <c r="Z596" s="65">
        <f>IFERROR(__xludf.DUMMYFUNCTION("""COMPUTED_VALUE"""),120732.0)</f>
        <v>120732</v>
      </c>
      <c r="AA596" s="65" t="str">
        <f>IFERROR(__xludf.DUMMYFUNCTION("""COMPUTED_VALUE"""),"PROV-LMPVT")</f>
        <v>PROV-LMPVT</v>
      </c>
      <c r="AB596" s="65"/>
      <c r="AC596" s="65" t="str">
        <f>IFERROR(__xludf.DUMMYFUNCTION("""COMPUTED_VALUE"""),"LIMPIADOR DE PARABRISAS Y VENTANAS")</f>
        <v>LIMPIADOR DE PARABRISAS Y VENTANAS</v>
      </c>
      <c r="AD596" s="65"/>
      <c r="AE596" s="65">
        <f>IFERROR(__xludf.DUMMYFUNCTION("""COMPUTED_VALUE"""),1.0)</f>
        <v>1</v>
      </c>
      <c r="AF596" s="65" t="str">
        <f>IFERROR(__xludf.DUMMYFUNCTION("""COMPUTED_VALUE"""),"DESTINATARIO NO CONTESTA LLAMADAS NI WHATSAPP")</f>
        <v>DESTINATARIO NO CONTESTA LLAMADAS NI WHATSAPP</v>
      </c>
      <c r="AG596" s="65" t="str">
        <f>IFERROR(__xludf.DUMMYFUNCTION("""COMPUTED_VALUE"""),"SI")</f>
        <v>SI</v>
      </c>
      <c r="AH596" s="65" t="str">
        <f>IFERROR(__xludf.DUMMYFUNCTION("""COMPUTED_VALUE"""),"21:07")</f>
        <v>21:07</v>
      </c>
      <c r="AI596" s="65" t="str">
        <f>IFERROR(__xludf.DUMMYFUNCTION("""COMPUTED_VALUE"""),"05-03-2026")</f>
        <v>05-03-2026</v>
      </c>
      <c r="AJ596" s="65" t="str">
        <f>IFERROR(__xludf.DUMMYFUNCTION("""COMPUTED_VALUE"""),"Cliente solicita la entrega inmediata.")</f>
        <v>Cliente solicita la entrega inmediata.</v>
      </c>
      <c r="AK596" s="65" t="str">
        <f>IFERROR(__xludf.DUMMYFUNCTION("""COMPUTED_VALUE"""),"11:20")</f>
        <v>11:20</v>
      </c>
      <c r="AL596" s="65" t="str">
        <f>IFERROR(__xludf.DUMMYFUNCTION("""COMPUTED_VALUE"""),"06-03-2026")</f>
        <v>06-03-2026</v>
      </c>
      <c r="AM596" s="65"/>
      <c r="AN596" s="65" t="str">
        <f>IFERROR(__xludf.DUMMYFUNCTION("""COMPUTED_VALUE"""),"12:12")</f>
        <v>12:12</v>
      </c>
      <c r="AO596" s="65" t="str">
        <f>IFERROR(__xludf.DUMMYFUNCTION("""COMPUTED_VALUE"""),"25-03-2026")</f>
        <v>25-03-2026</v>
      </c>
      <c r="AP596" s="65" t="str">
        <f>IFERROR(__xludf.DUMMYFUNCTION("""COMPUTED_VALUE"""),"DEVOLUCIÓN ENTREGADA A ORIGEN")</f>
        <v>DEVOLUCIÓN ENTREGADA A ORIGEN</v>
      </c>
      <c r="AQ596" s="65" t="str">
        <f>IFERROR(__xludf.DUMMYFUNCTION("""COMPUTED_VALUE"""),"DEVOLUCIÓN ENTREGADA A ORIGEN")</f>
        <v>DEVOLUCIÓN ENTREGADA A ORIGEN</v>
      </c>
      <c r="AR596" s="65"/>
      <c r="AS596" s="65"/>
      <c r="AT596" s="65" t="str">
        <f>IFERROR(__xludf.DUMMYFUNCTION("""COMPUTED_VALUE"""),"SHOPIFY")</f>
        <v>SHOPIFY</v>
      </c>
      <c r="AU596" s="65" t="str">
        <f>IFERROR(__xludf.DUMMYFUNCTION("""COMPUTED_VALUE"""),"IMPORTEX EC")</f>
        <v>IMPORTEX EC</v>
      </c>
      <c r="AV596" s="65" t="str">
        <f>IFERROR(__xludf.DUMMYFUNCTION("""COMPUTED_VALUE"""),"6519059873836")</f>
        <v>6519059873836</v>
      </c>
      <c r="AW596" s="65">
        <f>IFERROR(__xludf.DUMMYFUNCTION("""COMPUTED_VALUE"""),6275.0)</f>
        <v>6275</v>
      </c>
      <c r="AX596" s="65"/>
      <c r="AY596" s="65" t="str">
        <f>IFERROR(__xludf.DUMMYFUNCTION("""COMPUTED_VALUE"""),"23/02/2026")</f>
        <v>23/02/2026</v>
      </c>
      <c r="AZ596" s="65"/>
      <c r="BA596" s="65"/>
    </row>
    <row r="597">
      <c r="A597" s="65" t="str">
        <f>IFERROR(__xludf.DUMMYFUNCTION("""COMPUTED_VALUE"""),"27-03-2026")</f>
        <v>27-03-2026</v>
      </c>
      <c r="B597" s="65">
        <f>IFERROR(__xludf.DUMMYFUNCTION("""COMPUTED_VALUE"""),4575074.0)</f>
        <v>4575074</v>
      </c>
      <c r="C597" s="65" t="str">
        <f>IFERROR(__xludf.DUMMYFUNCTION("""COMPUTED_VALUE"""),"07:57")</f>
        <v>07:57</v>
      </c>
      <c r="D597" s="65" t="str">
        <f>IFERROR(__xludf.DUMMYFUNCTION("""COMPUTED_VALUE"""),"21-02-2026")</f>
        <v>21-02-2026</v>
      </c>
      <c r="E597" s="65" t="str">
        <f>IFERROR(__xludf.DUMMYFUNCTION("""COMPUTED_VALUE"""),"Juana María Contreras")</f>
        <v>Juana María Contreras</v>
      </c>
      <c r="F597" s="65" t="str">
        <f>IFERROR(__xludf.DUMMYFUNCTION("""COMPUTED_VALUE"""),"984660013")</f>
        <v>984660013</v>
      </c>
      <c r="G597" s="65" t="str">
        <f>IFERROR(__xludf.DUMMYFUNCTION("""COMPUTED_VALUE"""),"tiaasita@hotmail.com")</f>
        <v>tiaasita@hotmail.com</v>
      </c>
      <c r="H597" s="65"/>
      <c r="I597" s="65"/>
      <c r="J597" s="65" t="str">
        <f>IFERROR(__xludf.DUMMYFUNCTION("""COMPUTED_VALUE"""),"D001354512")</f>
        <v>D001354512</v>
      </c>
      <c r="K597" s="65" t="str">
        <f>IFERROR(__xludf.DUMMYFUNCTION("""COMPUTED_VALUE"""),"ENTREGADO")</f>
        <v>ENTREGADO</v>
      </c>
      <c r="L597" s="65" t="str">
        <f>IFERROR(__xludf.DUMMYFUNCTION("""COMPUTED_VALUE"""),"CON RECAUDO")</f>
        <v>CON RECAUDO</v>
      </c>
      <c r="M597" s="65" t="str">
        <f>IFERROR(__xludf.DUMMYFUNCTION("""COMPUTED_VALUE"""),"PICHINCHA")</f>
        <v>PICHINCHA</v>
      </c>
      <c r="N597" s="65" t="str">
        <f>IFERROR(__xludf.DUMMYFUNCTION("""COMPUTED_VALUE"""),"QUITO")</f>
        <v>QUITO</v>
      </c>
      <c r="O597" s="65" t="str">
        <f>IFERROR(__xludf.DUMMYFUNCTION("""COMPUTED_VALUE"""),"Calle Charles Darwin N9-504 y Alfredo Gangotena, Junto al conjunto La Martina, al lado del salón de belleza Eva, Portón de garaje negro, casa con muro de piedra y moriscos.")</f>
        <v>Calle Charles Darwin N9-504 y Alfredo Gangotena, Junto al conjunto La Martina, al lado del salón de belleza Eva, Portón de garaje negro, casa con muro de piedra y moriscos.</v>
      </c>
      <c r="P597" s="65"/>
      <c r="Q597" s="65" t="str">
        <f>IFERROR(__xludf.DUMMYFUNCTION("""COMPUTED_VALUE"""),"GINTRACOM")</f>
        <v>GINTRACOM</v>
      </c>
      <c r="R597" s="65">
        <f>IFERROR(__xludf.DUMMYFUNCTION("""COMPUTED_VALUE"""),27.0)</f>
        <v>27</v>
      </c>
      <c r="S597" s="65">
        <f>IFERROR(__xludf.DUMMYFUNCTION("""COMPUTED_VALUE"""),11.33)</f>
        <v>11.33</v>
      </c>
      <c r="T597" s="65">
        <f>IFERROR(__xludf.DUMMYFUNCTION("""COMPUTED_VALUE"""),4.42)</f>
        <v>4.42</v>
      </c>
      <c r="U597" s="65">
        <f>IFERROR(__xludf.DUMMYFUNCTION("""COMPUTED_VALUE"""),0.0)</f>
        <v>0</v>
      </c>
      <c r="V597" s="65">
        <f>IFERROR(__xludf.DUMMYFUNCTION("""COMPUTED_VALUE"""),0.0)</f>
        <v>0</v>
      </c>
      <c r="W597" s="65">
        <f>IFERROR(__xludf.DUMMYFUNCTION("""COMPUTED_VALUE"""),0.0)</f>
        <v>0</v>
      </c>
      <c r="X597" s="65">
        <f>IFERROR(__xludf.DUMMYFUNCTION("""COMPUTED_VALUE"""),3.75)</f>
        <v>3.75</v>
      </c>
      <c r="Y597" s="65">
        <f>IFERROR(__xludf.DUMMYFUNCTION("""COMPUTED_VALUE"""),11.25)</f>
        <v>11.25</v>
      </c>
      <c r="Z597" s="65">
        <f>IFERROR(__xludf.DUMMYFUNCTION("""COMPUTED_VALUE"""),113116.0)</f>
        <v>113116</v>
      </c>
      <c r="AA597" s="65" t="str">
        <f>IFERROR(__xludf.DUMMYFUNCTION("""COMPUTED_VALUE"""),"IM-TAZAKI")</f>
        <v>IM-TAZAKI</v>
      </c>
      <c r="AB597" s="65"/>
      <c r="AC597" s="65" t="str">
        <f>IFERROR(__xludf.DUMMYFUNCTION("""COMPUTED_VALUE"""),"Cuchillo tazaki")</f>
        <v>Cuchillo tazaki</v>
      </c>
      <c r="AD597" s="65"/>
      <c r="AE597" s="65">
        <f>IFERROR(__xludf.DUMMYFUNCTION("""COMPUTED_VALUE"""),3.0)</f>
        <v>3</v>
      </c>
      <c r="AF597" s="65"/>
      <c r="AG597" s="65"/>
      <c r="AH597" s="65"/>
      <c r="AI597" s="65"/>
      <c r="AJ597" s="65"/>
      <c r="AK597" s="65"/>
      <c r="AL597" s="65"/>
      <c r="AM597" s="65"/>
      <c r="AN597" s="65" t="str">
        <f>IFERROR(__xludf.DUMMYFUNCTION("""COMPUTED_VALUE"""),"12:19")</f>
        <v>12:19</v>
      </c>
      <c r="AO597" s="65" t="str">
        <f>IFERROR(__xludf.DUMMYFUNCTION("""COMPUTED_VALUE"""),"25-02-2026")</f>
        <v>25-02-2026</v>
      </c>
      <c r="AP597" s="65" t="str">
        <f>IFERROR(__xludf.DUMMYFUNCTION("""COMPUTED_VALUE"""),"ENTREGADA GINTRACOM")</f>
        <v>ENTREGADA GINTRACOM</v>
      </c>
      <c r="AQ597" s="65" t="str">
        <f>IFERROR(__xludf.DUMMYFUNCTION("""COMPUTED_VALUE"""),"ENTREGADA GINTRACOM")</f>
        <v>ENTREGADA GINTRACOM</v>
      </c>
      <c r="AR597" s="65"/>
      <c r="AS597" s="65"/>
      <c r="AT597" s="65" t="str">
        <f>IFERROR(__xludf.DUMMYFUNCTION("""COMPUTED_VALUE"""),"SHOPIFY")</f>
        <v>SHOPIFY</v>
      </c>
      <c r="AU597" s="65" t="str">
        <f>IFERROR(__xludf.DUMMYFUNCTION("""COMPUTED_VALUE"""),"IMPORTEX EC")</f>
        <v>IMPORTEX EC</v>
      </c>
      <c r="AV597" s="65" t="str">
        <f>IFERROR(__xludf.DUMMYFUNCTION("""COMPUTED_VALUE"""),"6519023468588")</f>
        <v>6519023468588</v>
      </c>
      <c r="AW597" s="65">
        <f>IFERROR(__xludf.DUMMYFUNCTION("""COMPUTED_VALUE"""),6274.0)</f>
        <v>6274</v>
      </c>
      <c r="AX597" s="65"/>
      <c r="AY597" s="65" t="str">
        <f>IFERROR(__xludf.DUMMYFUNCTION("""COMPUTED_VALUE"""),"24/02/2026")</f>
        <v>24/02/2026</v>
      </c>
      <c r="AZ597" s="65"/>
      <c r="BA597" s="65"/>
    </row>
    <row r="598">
      <c r="A598" s="65" t="str">
        <f>IFERROR(__xludf.DUMMYFUNCTION("""COMPUTED_VALUE"""),"27-03-2026")</f>
        <v>27-03-2026</v>
      </c>
      <c r="B598" s="65">
        <f>IFERROR(__xludf.DUMMYFUNCTION("""COMPUTED_VALUE"""),4574109.0)</f>
        <v>4574109</v>
      </c>
      <c r="C598" s="65" t="str">
        <f>IFERROR(__xludf.DUMMYFUNCTION("""COMPUTED_VALUE"""),"03:28")</f>
        <v>03:28</v>
      </c>
      <c r="D598" s="65" t="str">
        <f>IFERROR(__xludf.DUMMYFUNCTION("""COMPUTED_VALUE"""),"21-02-2026")</f>
        <v>21-02-2026</v>
      </c>
      <c r="E598" s="65" t="str">
        <f>IFERROR(__xludf.DUMMYFUNCTION("""COMPUTED_VALUE"""),"Jose Moreira")</f>
        <v>Jose Moreira</v>
      </c>
      <c r="F598" s="65" t="str">
        <f>IFERROR(__xludf.DUMMYFUNCTION("""COMPUTED_VALUE"""),"959881816")</f>
        <v>959881816</v>
      </c>
      <c r="G598" s="65" t="str">
        <f>IFERROR(__xludf.DUMMYFUNCTION("""COMPUTED_VALUE"""),"josemoreira8568@gmail.com")</f>
        <v>josemoreira8568@gmail.com</v>
      </c>
      <c r="H598" s="65"/>
      <c r="I598" s="65"/>
      <c r="J598" s="65" t="str">
        <f>IFERROR(__xludf.DUMMYFUNCTION("""COMPUTED_VALUE"""),"D001352902")</f>
        <v>D001352902</v>
      </c>
      <c r="K598" s="65" t="str">
        <f>IFERROR(__xludf.DUMMYFUNCTION("""COMPUTED_VALUE"""),"ENTREGADO")</f>
        <v>ENTREGADO</v>
      </c>
      <c r="L598" s="65" t="str">
        <f>IFERROR(__xludf.DUMMYFUNCTION("""COMPUTED_VALUE"""),"CON RECAUDO")</f>
        <v>CON RECAUDO</v>
      </c>
      <c r="M598" s="65" t="str">
        <f>IFERROR(__xludf.DUMMYFUNCTION("""COMPUTED_VALUE"""),"LOS RIOS")</f>
        <v>LOS RIOS</v>
      </c>
      <c r="N598" s="65" t="str">
        <f>IFERROR(__xludf.DUMMYFUNCTION("""COMPUTED_VALUE"""),"BABAHOYO")</f>
        <v>BABAHOYO</v>
      </c>
      <c r="O598" s="65" t="str">
        <f>IFERROR(__xludf.DUMMYFUNCTION("""COMPUTED_VALUE"""),"Juan x marco entre Martin Icaza y flores")</f>
        <v>Juan x marco entre Martin Icaza y flores</v>
      </c>
      <c r="P598" s="65"/>
      <c r="Q598" s="65" t="str">
        <f>IFERROR(__xludf.DUMMYFUNCTION("""COMPUTED_VALUE"""),"GINTRACOM")</f>
        <v>GINTRACOM</v>
      </c>
      <c r="R598" s="65">
        <f>IFERROR(__xludf.DUMMYFUNCTION("""COMPUTED_VALUE"""),20.0)</f>
        <v>20</v>
      </c>
      <c r="S598" s="65">
        <f>IFERROR(__xludf.DUMMYFUNCTION("""COMPUTED_VALUE"""),11.84)</f>
        <v>11.84</v>
      </c>
      <c r="T598" s="65">
        <f>IFERROR(__xludf.DUMMYFUNCTION("""COMPUTED_VALUE"""),5.76)</f>
        <v>5.76</v>
      </c>
      <c r="U598" s="65">
        <f>IFERROR(__xludf.DUMMYFUNCTION("""COMPUTED_VALUE"""),0.0)</f>
        <v>0</v>
      </c>
      <c r="V598" s="65">
        <f>IFERROR(__xludf.DUMMYFUNCTION("""COMPUTED_VALUE"""),0.0)</f>
        <v>0</v>
      </c>
      <c r="W598" s="65">
        <f>IFERROR(__xludf.DUMMYFUNCTION("""COMPUTED_VALUE"""),0.0)</f>
        <v>0</v>
      </c>
      <c r="X598" s="65">
        <f>IFERROR(__xludf.DUMMYFUNCTION("""COMPUTED_VALUE"""),2.4)</f>
        <v>2.4</v>
      </c>
      <c r="Y598" s="65">
        <f>IFERROR(__xludf.DUMMYFUNCTION("""COMPUTED_VALUE"""),2.4)</f>
        <v>2.4</v>
      </c>
      <c r="Z598" s="65">
        <f>IFERROR(__xludf.DUMMYFUNCTION("""COMPUTED_VALUE"""),120732.0)</f>
        <v>120732</v>
      </c>
      <c r="AA598" s="65" t="str">
        <f>IFERROR(__xludf.DUMMYFUNCTION("""COMPUTED_VALUE"""),"PROV-LMPVT")</f>
        <v>PROV-LMPVT</v>
      </c>
      <c r="AB598" s="65"/>
      <c r="AC598" s="65" t="str">
        <f>IFERROR(__xludf.DUMMYFUNCTION("""COMPUTED_VALUE"""),"LIMPIADOR DE PARABRISAS Y VENTANAS")</f>
        <v>LIMPIADOR DE PARABRISAS Y VENTANAS</v>
      </c>
      <c r="AD598" s="65"/>
      <c r="AE598" s="65">
        <f>IFERROR(__xludf.DUMMYFUNCTION("""COMPUTED_VALUE"""),1.0)</f>
        <v>1</v>
      </c>
      <c r="AF598" s="65"/>
      <c r="AG598" s="65"/>
      <c r="AH598" s="65"/>
      <c r="AI598" s="65"/>
      <c r="AJ598" s="65"/>
      <c r="AK598" s="65"/>
      <c r="AL598" s="65"/>
      <c r="AM598" s="65"/>
      <c r="AN598" s="65" t="str">
        <f>IFERROR(__xludf.DUMMYFUNCTION("""COMPUTED_VALUE"""),"23:56")</f>
        <v>23:56</v>
      </c>
      <c r="AO598" s="65" t="str">
        <f>IFERROR(__xludf.DUMMYFUNCTION("""COMPUTED_VALUE"""),"25-02-2026")</f>
        <v>25-02-2026</v>
      </c>
      <c r="AP598" s="65" t="str">
        <f>IFERROR(__xludf.DUMMYFUNCTION("""COMPUTED_VALUE"""),"ENTREGADA GINTRACOM")</f>
        <v>ENTREGADA GINTRACOM</v>
      </c>
      <c r="AQ598" s="65" t="str">
        <f>IFERROR(__xludf.DUMMYFUNCTION("""COMPUTED_VALUE"""),"ENTREGADA GINTRACOM")</f>
        <v>ENTREGADA GINTRACOM</v>
      </c>
      <c r="AR598" s="65"/>
      <c r="AS598" s="65"/>
      <c r="AT598" s="65" t="str">
        <f>IFERROR(__xludf.DUMMYFUNCTION("""COMPUTED_VALUE"""),"SHOPIFY")</f>
        <v>SHOPIFY</v>
      </c>
      <c r="AU598" s="65" t="str">
        <f>IFERROR(__xludf.DUMMYFUNCTION("""COMPUTED_VALUE"""),"IMPORTEX EC")</f>
        <v>IMPORTEX EC</v>
      </c>
      <c r="AV598" s="65" t="str">
        <f>IFERROR(__xludf.DUMMYFUNCTION("""COMPUTED_VALUE"""),"6518844457004")</f>
        <v>6518844457004</v>
      </c>
      <c r="AW598" s="65">
        <f>IFERROR(__xludf.DUMMYFUNCTION("""COMPUTED_VALUE"""),6273.0)</f>
        <v>6273</v>
      </c>
      <c r="AX598" s="65"/>
      <c r="AY598" s="65" t="str">
        <f>IFERROR(__xludf.DUMMYFUNCTION("""COMPUTED_VALUE"""),"23/02/2026")</f>
        <v>23/02/2026</v>
      </c>
      <c r="AZ598" s="65"/>
      <c r="BA598" s="65"/>
    </row>
    <row r="599">
      <c r="A599" s="65" t="str">
        <f>IFERROR(__xludf.DUMMYFUNCTION("""COMPUTED_VALUE"""),"27-03-2026")</f>
        <v>27-03-2026</v>
      </c>
      <c r="B599" s="65">
        <f>IFERROR(__xludf.DUMMYFUNCTION("""COMPUTED_VALUE"""),4572010.0)</f>
        <v>4572010</v>
      </c>
      <c r="C599" s="65" t="str">
        <f>IFERROR(__xludf.DUMMYFUNCTION("""COMPUTED_VALUE"""),"20:41")</f>
        <v>20:41</v>
      </c>
      <c r="D599" s="65" t="str">
        <f>IFERROR(__xludf.DUMMYFUNCTION("""COMPUTED_VALUE"""),"20-02-2026")</f>
        <v>20-02-2026</v>
      </c>
      <c r="E599" s="65" t="str">
        <f>IFERROR(__xludf.DUMMYFUNCTION("""COMPUTED_VALUE"""),"Lourdes García")</f>
        <v>Lourdes García</v>
      </c>
      <c r="F599" s="65" t="str">
        <f>IFERROR(__xludf.DUMMYFUNCTION("""COMPUTED_VALUE"""),"0990958043")</f>
        <v>0990958043</v>
      </c>
      <c r="G599" s="65" t="str">
        <f>IFERROR(__xludf.DUMMYFUNCTION("""COMPUTED_VALUE"""),"lourdesgarcia30@hotmail.com")</f>
        <v>lourdesgarcia30@hotmail.com</v>
      </c>
      <c r="H599" s="65"/>
      <c r="I599" s="65"/>
      <c r="J599" s="65" t="str">
        <f>IFERROR(__xludf.DUMMYFUNCTION("""COMPUTED_VALUE"""),"D001352903")</f>
        <v>D001352903</v>
      </c>
      <c r="K599" s="65" t="str">
        <f>IFERROR(__xludf.DUMMYFUNCTION("""COMPUTED_VALUE"""),"DEVOLUCION")</f>
        <v>DEVOLUCION</v>
      </c>
      <c r="L599" s="65" t="str">
        <f>IFERROR(__xludf.DUMMYFUNCTION("""COMPUTED_VALUE"""),"CON RECAUDO")</f>
        <v>CON RECAUDO</v>
      </c>
      <c r="M599" s="65" t="str">
        <f>IFERROR(__xludf.DUMMYFUNCTION("""COMPUTED_VALUE"""),"MANABI")</f>
        <v>MANABI</v>
      </c>
      <c r="N599" s="65" t="str">
        <f>IFERROR(__xludf.DUMMYFUNCTION("""COMPUTED_VALUE"""),"MANTA")</f>
        <v>MANTA</v>
      </c>
      <c r="O599" s="65" t="str">
        <f>IFERROR(__xludf.DUMMYFUNCTION("""COMPUTED_VALUE"""),"Los esteros calle 116 avenida 102 a una tienda juanita")</f>
        <v>Los esteros calle 116 avenida 102 a una tienda juanita</v>
      </c>
      <c r="P599" s="65" t="str">
        <f>IFERROR(__xludf.DUMMYFUNCTION("""COMPUTED_VALUE"""),"LIMPIADOR DE PARABRISAS Y VENTANAS: Default Title ***")</f>
        <v>LIMPIADOR DE PARABRISAS Y VENTANAS: Default Title ***</v>
      </c>
      <c r="Q599" s="65" t="str">
        <f>IFERROR(__xludf.DUMMYFUNCTION("""COMPUTED_VALUE"""),"GINTRACOM")</f>
        <v>GINTRACOM</v>
      </c>
      <c r="R599" s="65">
        <f>IFERROR(__xludf.DUMMYFUNCTION("""COMPUTED_VALUE"""),20.0)</f>
        <v>20</v>
      </c>
      <c r="S599" s="65"/>
      <c r="T599" s="65">
        <f>IFERROR(__xludf.DUMMYFUNCTION("""COMPUTED_VALUE"""),5.76)</f>
        <v>5.76</v>
      </c>
      <c r="U599" s="65">
        <f>IFERROR(__xludf.DUMMYFUNCTION("""COMPUTED_VALUE"""),0.0)</f>
        <v>0</v>
      </c>
      <c r="V599" s="65">
        <f>IFERROR(__xludf.DUMMYFUNCTION("""COMPUTED_VALUE"""),0.0)</f>
        <v>0</v>
      </c>
      <c r="W599" s="65">
        <f>IFERROR(__xludf.DUMMYFUNCTION("""COMPUTED_VALUE"""),0.0)</f>
        <v>0</v>
      </c>
      <c r="X599" s="65">
        <f>IFERROR(__xludf.DUMMYFUNCTION("""COMPUTED_VALUE"""),2.4)</f>
        <v>2.4</v>
      </c>
      <c r="Y599" s="65">
        <f>IFERROR(__xludf.DUMMYFUNCTION("""COMPUTED_VALUE"""),2.4)</f>
        <v>2.4</v>
      </c>
      <c r="Z599" s="65">
        <f>IFERROR(__xludf.DUMMYFUNCTION("""COMPUTED_VALUE"""),120732.0)</f>
        <v>120732</v>
      </c>
      <c r="AA599" s="65" t="str">
        <f>IFERROR(__xludf.DUMMYFUNCTION("""COMPUTED_VALUE"""),"PROV-LMPVT")</f>
        <v>PROV-LMPVT</v>
      </c>
      <c r="AB599" s="65"/>
      <c r="AC599" s="65" t="str">
        <f>IFERROR(__xludf.DUMMYFUNCTION("""COMPUTED_VALUE"""),"LIMPIADOR DE PARABRISAS Y VENTANAS")</f>
        <v>LIMPIADOR DE PARABRISAS Y VENTANAS</v>
      </c>
      <c r="AD599" s="65"/>
      <c r="AE599" s="65">
        <f>IFERROR(__xludf.DUMMYFUNCTION("""COMPUTED_VALUE"""),1.0)</f>
        <v>1</v>
      </c>
      <c r="AF599" s="65" t="str">
        <f>IFERROR(__xludf.DUMMYFUNCTION("""COMPUTED_VALUE"""),"DESTINATARIO NO CONTESTA LLAMADAS NI WHATSAPP")</f>
        <v>DESTINATARIO NO CONTESTA LLAMADAS NI WHATSAPP</v>
      </c>
      <c r="AG599" s="65" t="str">
        <f>IFERROR(__xludf.DUMMYFUNCTION("""COMPUTED_VALUE"""),"NO")</f>
        <v>NO</v>
      </c>
      <c r="AH599" s="65" t="str">
        <f>IFERROR(__xludf.DUMMYFUNCTION("""COMPUTED_VALUE"""),"09:00")</f>
        <v>09:00</v>
      </c>
      <c r="AI599" s="65" t="str">
        <f>IFERROR(__xludf.DUMMYFUNCTION("""COMPUTED_VALUE"""),"05-03-2026")</f>
        <v>05-03-2026</v>
      </c>
      <c r="AJ599" s="65"/>
      <c r="AK599" s="65"/>
      <c r="AL599" s="65"/>
      <c r="AM599" s="65"/>
      <c r="AN599" s="65" t="str">
        <f>IFERROR(__xludf.DUMMYFUNCTION("""COMPUTED_VALUE"""),"10:40")</f>
        <v>10:40</v>
      </c>
      <c r="AO599" s="65" t="str">
        <f>IFERROR(__xludf.DUMMYFUNCTION("""COMPUTED_VALUE"""),"17-03-2026")</f>
        <v>17-03-2026</v>
      </c>
      <c r="AP599" s="65" t="str">
        <f>IFERROR(__xludf.DUMMYFUNCTION("""COMPUTED_VALUE"""),"DEV CONFIRMADA POR BODEGA")</f>
        <v>DEV CONFIRMADA POR BODEGA</v>
      </c>
      <c r="AQ599" s="65"/>
      <c r="AR599" s="65" t="str">
        <f>IFERROR(__xludf.DUMMYFUNCTION("""COMPUTED_VALUE"""),"Gestionado por: PROVEDIX DAMIAN, email:enviogratisdirecto@gmail.com, total de productos en la orden: 1")</f>
        <v>Gestionado por: PROVEDIX DAMIAN, email:enviogratisdirecto@gmail.com, total de productos en la orden: 1</v>
      </c>
      <c r="AS599" s="65"/>
      <c r="AT599" s="65" t="str">
        <f>IFERROR(__xludf.DUMMYFUNCTION("""COMPUTED_VALUE"""),"SHOPIFY")</f>
        <v>SHOPIFY</v>
      </c>
      <c r="AU599" s="65" t="str">
        <f>IFERROR(__xludf.DUMMYFUNCTION("""COMPUTED_VALUE"""),"IMPORTEX EC")</f>
        <v>IMPORTEX EC</v>
      </c>
      <c r="AV599" s="65" t="str">
        <f>IFERROR(__xludf.DUMMYFUNCTION("""COMPUTED_VALUE"""),"6518241787948")</f>
        <v>6518241787948</v>
      </c>
      <c r="AW599" s="65">
        <f>IFERROR(__xludf.DUMMYFUNCTION("""COMPUTED_VALUE"""),6272.0)</f>
        <v>6272</v>
      </c>
      <c r="AX599" s="65"/>
      <c r="AY599" s="65" t="str">
        <f>IFERROR(__xludf.DUMMYFUNCTION("""COMPUTED_VALUE"""),"23/02/2026")</f>
        <v>23/02/2026</v>
      </c>
      <c r="AZ599" s="65"/>
      <c r="BA599" s="65"/>
    </row>
    <row r="600">
      <c r="A600" s="65" t="str">
        <f>IFERROR(__xludf.DUMMYFUNCTION("""COMPUTED_VALUE"""),"27-03-2026")</f>
        <v>27-03-2026</v>
      </c>
      <c r="B600" s="65">
        <f>IFERROR(__xludf.DUMMYFUNCTION("""COMPUTED_VALUE"""),4568469.0)</f>
        <v>4568469</v>
      </c>
      <c r="C600" s="65" t="str">
        <f>IFERROR(__xludf.DUMMYFUNCTION("""COMPUTED_VALUE"""),"13:49")</f>
        <v>13:49</v>
      </c>
      <c r="D600" s="65" t="str">
        <f>IFERROR(__xludf.DUMMYFUNCTION("""COMPUTED_VALUE"""),"20-02-2026")</f>
        <v>20-02-2026</v>
      </c>
      <c r="E600" s="65" t="str">
        <f>IFERROR(__xludf.DUMMYFUNCTION("""COMPUTED_VALUE"""),"Edison Escobar")</f>
        <v>Edison Escobar</v>
      </c>
      <c r="F600" s="65" t="str">
        <f>IFERROR(__xludf.DUMMYFUNCTION("""COMPUTED_VALUE"""),"980150167")</f>
        <v>980150167</v>
      </c>
      <c r="G600" s="65" t="str">
        <f>IFERROR(__xludf.DUMMYFUNCTION("""COMPUTED_VALUE"""),"edyoboo@hotmsil.com")</f>
        <v>edyoboo@hotmsil.com</v>
      </c>
      <c r="H600" s="65"/>
      <c r="I600" s="65"/>
      <c r="J600" s="65"/>
      <c r="K600" s="65" t="str">
        <f>IFERROR(__xludf.DUMMYFUNCTION("""COMPUTED_VALUE"""),"CANCELADO")</f>
        <v>CANCELADO</v>
      </c>
      <c r="L600" s="65" t="str">
        <f>IFERROR(__xludf.DUMMYFUNCTION("""COMPUTED_VALUE"""),"CON RECAUDO")</f>
        <v>CON RECAUDO</v>
      </c>
      <c r="M600" s="65" t="str">
        <f>IFERROR(__xludf.DUMMYFUNCTION("""COMPUTED_VALUE"""),"PICHINCHA")</f>
        <v>PICHINCHA</v>
      </c>
      <c r="N600" s="65" t="str">
        <f>IFERROR(__xludf.DUMMYFUNCTION("""COMPUTED_VALUE"""),"QUITO")</f>
        <v>QUITO</v>
      </c>
      <c r="O600" s="65" t="str">
        <f>IFERROR(__xludf.DUMMYFUNCTION("""COMPUTED_VALUE"""),"S7E y francisco Olmos Mirador de chaguarcingo -")</f>
        <v>S7E y francisco Olmos Mirador de chaguarcingo -</v>
      </c>
      <c r="P600" s="65"/>
      <c r="Q600" s="65" t="str">
        <f>IFERROR(__xludf.DUMMYFUNCTION("""COMPUTED_VALUE"""),"GINTRACOM")</f>
        <v>GINTRACOM</v>
      </c>
      <c r="R600" s="65">
        <f>IFERROR(__xludf.DUMMYFUNCTION("""COMPUTED_VALUE"""),25.0)</f>
        <v>25</v>
      </c>
      <c r="S600" s="65"/>
      <c r="T600" s="65">
        <f>IFERROR(__xludf.DUMMYFUNCTION("""COMPUTED_VALUE"""),5.96)</f>
        <v>5.96</v>
      </c>
      <c r="U600" s="65">
        <f>IFERROR(__xludf.DUMMYFUNCTION("""COMPUTED_VALUE"""),0.0)</f>
        <v>0</v>
      </c>
      <c r="V600" s="65">
        <f>IFERROR(__xludf.DUMMYFUNCTION("""COMPUTED_VALUE"""),0.0)</f>
        <v>0</v>
      </c>
      <c r="W600" s="65">
        <f>IFERROR(__xludf.DUMMYFUNCTION("""COMPUTED_VALUE"""),0.0)</f>
        <v>0</v>
      </c>
      <c r="X600" s="65">
        <f>IFERROR(__xludf.DUMMYFUNCTION("""COMPUTED_VALUE"""),2.4)</f>
        <v>2.4</v>
      </c>
      <c r="Y600" s="65">
        <f>IFERROR(__xludf.DUMMYFUNCTION("""COMPUTED_VALUE"""),4.8)</f>
        <v>4.8</v>
      </c>
      <c r="Z600" s="65">
        <f>IFERROR(__xludf.DUMMYFUNCTION("""COMPUTED_VALUE"""),120732.0)</f>
        <v>120732</v>
      </c>
      <c r="AA600" s="65" t="str">
        <f>IFERROR(__xludf.DUMMYFUNCTION("""COMPUTED_VALUE"""),"PROV-LMPVT")</f>
        <v>PROV-LMPVT</v>
      </c>
      <c r="AB600" s="65"/>
      <c r="AC600" s="65" t="str">
        <f>IFERROR(__xludf.DUMMYFUNCTION("""COMPUTED_VALUE"""),"LIMPIADOR DE PARABRISAS Y VENTANAS")</f>
        <v>LIMPIADOR DE PARABRISAS Y VENTANAS</v>
      </c>
      <c r="AD600" s="65"/>
      <c r="AE600" s="65">
        <f>IFERROR(__xludf.DUMMYFUNCTION("""COMPUTED_VALUE"""),2.0)</f>
        <v>2</v>
      </c>
      <c r="AF600" s="65"/>
      <c r="AG600" s="65"/>
      <c r="AH600" s="65"/>
      <c r="AI600" s="65"/>
      <c r="AJ600" s="65"/>
      <c r="AK600" s="65"/>
      <c r="AL600" s="65"/>
      <c r="AM600" s="65"/>
      <c r="AN600" s="65"/>
      <c r="AO600" s="65"/>
      <c r="AP600" s="65"/>
      <c r="AQ600" s="65"/>
      <c r="AR600" s="65"/>
      <c r="AS600" s="65"/>
      <c r="AT600" s="65" t="str">
        <f>IFERROR(__xludf.DUMMYFUNCTION("""COMPUTED_VALUE"""),"SHOPIFY")</f>
        <v>SHOPIFY</v>
      </c>
      <c r="AU600" s="65" t="str">
        <f>IFERROR(__xludf.DUMMYFUNCTION("""COMPUTED_VALUE"""),"IMPORTEX EC")</f>
        <v>IMPORTEX EC</v>
      </c>
      <c r="AV600" s="65" t="str">
        <f>IFERROR(__xludf.DUMMYFUNCTION("""COMPUTED_VALUE"""),"6517389131820")</f>
        <v>6517389131820</v>
      </c>
      <c r="AW600" s="65">
        <f>IFERROR(__xludf.DUMMYFUNCTION("""COMPUTED_VALUE"""),6271.0)</f>
        <v>6271</v>
      </c>
      <c r="AX600" s="65"/>
      <c r="AY600" s="65"/>
      <c r="AZ600" s="65"/>
      <c r="BA600" s="65"/>
    </row>
    <row r="601">
      <c r="A601" s="65" t="str">
        <f>IFERROR(__xludf.DUMMYFUNCTION("""COMPUTED_VALUE"""),"27-03-2026")</f>
        <v>27-03-2026</v>
      </c>
      <c r="B601" s="65">
        <f>IFERROR(__xludf.DUMMYFUNCTION("""COMPUTED_VALUE"""),4565240.0)</f>
        <v>4565240</v>
      </c>
      <c r="C601" s="65" t="str">
        <f>IFERROR(__xludf.DUMMYFUNCTION("""COMPUTED_VALUE"""),"09:15")</f>
        <v>09:15</v>
      </c>
      <c r="D601" s="65" t="str">
        <f>IFERROR(__xludf.DUMMYFUNCTION("""COMPUTED_VALUE"""),"20-02-2026")</f>
        <v>20-02-2026</v>
      </c>
      <c r="E601" s="65" t="str">
        <f>IFERROR(__xludf.DUMMYFUNCTION("""COMPUTED_VALUE"""),"Jimmy Javier Rivadeneira Mera")</f>
        <v>Jimmy Javier Rivadeneira Mera</v>
      </c>
      <c r="F601" s="65" t="str">
        <f>IFERROR(__xludf.DUMMYFUNCTION("""COMPUTED_VALUE"""),"968686954")</f>
        <v>968686954</v>
      </c>
      <c r="G601" s="65" t="str">
        <f>IFERROR(__xludf.DUMMYFUNCTION("""COMPUTED_VALUE"""),"jimmyjavierrivadeneiramera@gmail.com")</f>
        <v>jimmyjavierrivadeneiramera@gmail.com</v>
      </c>
      <c r="H601" s="65"/>
      <c r="I601" s="65"/>
      <c r="J601" s="65"/>
      <c r="K601" s="65" t="str">
        <f>IFERROR(__xludf.DUMMYFUNCTION("""COMPUTED_VALUE"""),"PENDIENTE CONFIRMACION")</f>
        <v>PENDIENTE CONFIRMACION</v>
      </c>
      <c r="L601" s="65" t="str">
        <f>IFERROR(__xludf.DUMMYFUNCTION("""COMPUTED_VALUE"""),"CON RECAUDO")</f>
        <v>CON RECAUDO</v>
      </c>
      <c r="M601" s="65" t="str">
        <f>IFERROR(__xludf.DUMMYFUNCTION("""COMPUTED_VALUE"""),"SANTO DOMINGO DE LOS TSACHILAS")</f>
        <v>SANTO DOMINGO DE LOS TSACHILAS</v>
      </c>
      <c r="N601" s="65" t="str">
        <f>IFERROR(__xludf.DUMMYFUNCTION("""COMPUTED_VALUE"""),"SANTO DOMINGO")</f>
        <v>SANTO DOMINGO</v>
      </c>
      <c r="O601" s="65" t="str">
        <f>IFERROR(__xludf.DUMMYFUNCTION("""COMPUTED_VALUE"""),"Av chone km1 Los montoneros -")</f>
        <v>Av chone km1 Los montoneros -</v>
      </c>
      <c r="P601" s="65"/>
      <c r="Q601" s="65" t="str">
        <f>IFERROR(__xludf.DUMMYFUNCTION("""COMPUTED_VALUE"""),"GINTRACOM")</f>
        <v>GINTRACOM</v>
      </c>
      <c r="R601" s="65">
        <f>IFERROR(__xludf.DUMMYFUNCTION("""COMPUTED_VALUE"""),25.0)</f>
        <v>25</v>
      </c>
      <c r="S601" s="65"/>
      <c r="T601" s="65">
        <f>IFERROR(__xludf.DUMMYFUNCTION("""COMPUTED_VALUE"""),5.96)</f>
        <v>5.96</v>
      </c>
      <c r="U601" s="65">
        <f>IFERROR(__xludf.DUMMYFUNCTION("""COMPUTED_VALUE"""),0.0)</f>
        <v>0</v>
      </c>
      <c r="V601" s="65">
        <f>IFERROR(__xludf.DUMMYFUNCTION("""COMPUTED_VALUE"""),0.0)</f>
        <v>0</v>
      </c>
      <c r="W601" s="65">
        <f>IFERROR(__xludf.DUMMYFUNCTION("""COMPUTED_VALUE"""),0.0)</f>
        <v>0</v>
      </c>
      <c r="X601" s="65">
        <f>IFERROR(__xludf.DUMMYFUNCTION("""COMPUTED_VALUE"""),2.4)</f>
        <v>2.4</v>
      </c>
      <c r="Y601" s="65">
        <f>IFERROR(__xludf.DUMMYFUNCTION("""COMPUTED_VALUE"""),4.8)</f>
        <v>4.8</v>
      </c>
      <c r="Z601" s="65">
        <f>IFERROR(__xludf.DUMMYFUNCTION("""COMPUTED_VALUE"""),120732.0)</f>
        <v>120732</v>
      </c>
      <c r="AA601" s="65" t="str">
        <f>IFERROR(__xludf.DUMMYFUNCTION("""COMPUTED_VALUE"""),"PROV-LMPVT")</f>
        <v>PROV-LMPVT</v>
      </c>
      <c r="AB601" s="65"/>
      <c r="AC601" s="65" t="str">
        <f>IFERROR(__xludf.DUMMYFUNCTION("""COMPUTED_VALUE"""),"LIMPIADOR DE PARABRISAS Y VENTANAS")</f>
        <v>LIMPIADOR DE PARABRISAS Y VENTANAS</v>
      </c>
      <c r="AD601" s="65"/>
      <c r="AE601" s="65">
        <f>IFERROR(__xludf.DUMMYFUNCTION("""COMPUTED_VALUE"""),2.0)</f>
        <v>2</v>
      </c>
      <c r="AF601" s="65"/>
      <c r="AG601" s="65"/>
      <c r="AH601" s="65"/>
      <c r="AI601" s="65"/>
      <c r="AJ601" s="65"/>
      <c r="AK601" s="65"/>
      <c r="AL601" s="65"/>
      <c r="AM601" s="65"/>
      <c r="AN601" s="65"/>
      <c r="AO601" s="65"/>
      <c r="AP601" s="65"/>
      <c r="AQ601" s="65"/>
      <c r="AR601" s="65"/>
      <c r="AS601" s="65"/>
      <c r="AT601" s="65" t="str">
        <f>IFERROR(__xludf.DUMMYFUNCTION("""COMPUTED_VALUE"""),"SHOPIFY")</f>
        <v>SHOPIFY</v>
      </c>
      <c r="AU601" s="65" t="str">
        <f>IFERROR(__xludf.DUMMYFUNCTION("""COMPUTED_VALUE"""),"IMPORTEX EC")</f>
        <v>IMPORTEX EC</v>
      </c>
      <c r="AV601" s="65" t="str">
        <f>IFERROR(__xludf.DUMMYFUNCTION("""COMPUTED_VALUE"""),"6515570901036")</f>
        <v>6515570901036</v>
      </c>
      <c r="AW601" s="65">
        <f>IFERROR(__xludf.DUMMYFUNCTION("""COMPUTED_VALUE"""),6266.0)</f>
        <v>6266</v>
      </c>
      <c r="AX601" s="65"/>
      <c r="AY601" s="65"/>
      <c r="AZ601" s="65"/>
      <c r="BA601" s="65"/>
    </row>
    <row r="602">
      <c r="A602" s="65" t="str">
        <f>IFERROR(__xludf.DUMMYFUNCTION("""COMPUTED_VALUE"""),"27-03-2026")</f>
        <v>27-03-2026</v>
      </c>
      <c r="B602" s="65">
        <f>IFERROR(__xludf.DUMMYFUNCTION("""COMPUTED_VALUE"""),4565056.0)</f>
        <v>4565056</v>
      </c>
      <c r="C602" s="65" t="str">
        <f>IFERROR(__xludf.DUMMYFUNCTION("""COMPUTED_VALUE"""),"09:04")</f>
        <v>09:04</v>
      </c>
      <c r="D602" s="65" t="str">
        <f>IFERROR(__xludf.DUMMYFUNCTION("""COMPUTED_VALUE"""),"20-02-2026")</f>
        <v>20-02-2026</v>
      </c>
      <c r="E602" s="65" t="str">
        <f>IFERROR(__xludf.DUMMYFUNCTION("""COMPUTED_VALUE"""),"Angel Taday")</f>
        <v>Angel Taday</v>
      </c>
      <c r="F602" s="65" t="str">
        <f>IFERROR(__xludf.DUMMYFUNCTION("""COMPUTED_VALUE"""),"96416929")</f>
        <v>96416929</v>
      </c>
      <c r="G602" s="65"/>
      <c r="H602" s="65"/>
      <c r="I602" s="65"/>
      <c r="J602" s="65" t="str">
        <f>IFERROR(__xludf.DUMMYFUNCTION("""COMPUTED_VALUE"""),"D001344668")</f>
        <v>D001344668</v>
      </c>
      <c r="K602" s="65" t="str">
        <f>IFERROR(__xludf.DUMMYFUNCTION("""COMPUTED_VALUE"""),"DEVOLUCION")</f>
        <v>DEVOLUCION</v>
      </c>
      <c r="L602" s="65" t="str">
        <f>IFERROR(__xludf.DUMMYFUNCTION("""COMPUTED_VALUE"""),"CON RECAUDO")</f>
        <v>CON RECAUDO</v>
      </c>
      <c r="M602" s="65" t="str">
        <f>IFERROR(__xludf.DUMMYFUNCTION("""COMPUTED_VALUE"""),"AZUAY")</f>
        <v>AZUAY</v>
      </c>
      <c r="N602" s="65" t="str">
        <f>IFERROR(__xludf.DUMMYFUNCTION("""COMPUTED_VALUE"""),"RICAURTE")</f>
        <v>RICAURTE</v>
      </c>
      <c r="O602" s="65" t="str">
        <f>IFERROR(__xludf.DUMMYFUNCTION("""COMPUTED_VALUE"""),"Calle Fidel Martos y Ricaurte - Llacao")</f>
        <v>Calle Fidel Martos y Ricaurte - Llacao</v>
      </c>
      <c r="P602" s="65"/>
      <c r="Q602" s="65" t="str">
        <f>IFERROR(__xludf.DUMMYFUNCTION("""COMPUTED_VALUE"""),"GINTRACOM")</f>
        <v>GINTRACOM</v>
      </c>
      <c r="R602" s="65">
        <f>IFERROR(__xludf.DUMMYFUNCTION("""COMPUTED_VALUE"""),20.0)</f>
        <v>20</v>
      </c>
      <c r="S602" s="65"/>
      <c r="T602" s="65">
        <f>IFERROR(__xludf.DUMMYFUNCTION("""COMPUTED_VALUE"""),5.76)</f>
        <v>5.76</v>
      </c>
      <c r="U602" s="65">
        <f>IFERROR(__xludf.DUMMYFUNCTION("""COMPUTED_VALUE"""),0.0)</f>
        <v>0</v>
      </c>
      <c r="V602" s="65">
        <f>IFERROR(__xludf.DUMMYFUNCTION("""COMPUTED_VALUE"""),0.0)</f>
        <v>0</v>
      </c>
      <c r="W602" s="65">
        <f>IFERROR(__xludf.DUMMYFUNCTION("""COMPUTED_VALUE"""),0.0)</f>
        <v>0</v>
      </c>
      <c r="X602" s="65">
        <f>IFERROR(__xludf.DUMMYFUNCTION("""COMPUTED_VALUE"""),2.4)</f>
        <v>2.4</v>
      </c>
      <c r="Y602" s="65">
        <f>IFERROR(__xludf.DUMMYFUNCTION("""COMPUTED_VALUE"""),2.4)</f>
        <v>2.4</v>
      </c>
      <c r="Z602" s="65">
        <f>IFERROR(__xludf.DUMMYFUNCTION("""COMPUTED_VALUE"""),120732.0)</f>
        <v>120732</v>
      </c>
      <c r="AA602" s="65" t="str">
        <f>IFERROR(__xludf.DUMMYFUNCTION("""COMPUTED_VALUE"""),"PROV-LMPVT")</f>
        <v>PROV-LMPVT</v>
      </c>
      <c r="AB602" s="65"/>
      <c r="AC602" s="65" t="str">
        <f>IFERROR(__xludf.DUMMYFUNCTION("""COMPUTED_VALUE"""),"LIMPIADOR DE PARABRISAS Y VENTANAS")</f>
        <v>LIMPIADOR DE PARABRISAS Y VENTANAS</v>
      </c>
      <c r="AD602" s="65"/>
      <c r="AE602" s="65">
        <f>IFERROR(__xludf.DUMMYFUNCTION("""COMPUTED_VALUE"""),1.0)</f>
        <v>1</v>
      </c>
      <c r="AF602" s="65" t="str">
        <f>IFERROR(__xludf.DUMMYFUNCTION("""COMPUTED_VALUE"""),"NÚMERO TELEFÓNICO INCORRECTO")</f>
        <v>NÚMERO TELEFÓNICO INCORRECTO</v>
      </c>
      <c r="AG602" s="65" t="str">
        <f>IFERROR(__xludf.DUMMYFUNCTION("""COMPUTED_VALUE"""),"NO")</f>
        <v>NO</v>
      </c>
      <c r="AH602" s="65" t="str">
        <f>IFERROR(__xludf.DUMMYFUNCTION("""COMPUTED_VALUE"""),"17:45")</f>
        <v>17:45</v>
      </c>
      <c r="AI602" s="65" t="str">
        <f>IFERROR(__xludf.DUMMYFUNCTION("""COMPUTED_VALUE"""),"20-02-2026")</f>
        <v>20-02-2026</v>
      </c>
      <c r="AJ602" s="65"/>
      <c r="AK602" s="65"/>
      <c r="AL602" s="65"/>
      <c r="AM602" s="65"/>
      <c r="AN602" s="65" t="str">
        <f>IFERROR(__xludf.DUMMYFUNCTION("""COMPUTED_VALUE"""),"16:31")</f>
        <v>16:31</v>
      </c>
      <c r="AO602" s="65" t="str">
        <f>IFERROR(__xludf.DUMMYFUNCTION("""COMPUTED_VALUE"""),"11-03-2026")</f>
        <v>11-03-2026</v>
      </c>
      <c r="AP602" s="65" t="str">
        <f>IFERROR(__xludf.DUMMYFUNCTION("""COMPUTED_VALUE"""),"DEV CONFIRMADA POR BODEGA")</f>
        <v>DEV CONFIRMADA POR BODEGA</v>
      </c>
      <c r="AQ602" s="65"/>
      <c r="AR602" s="65" t="str">
        <f>IFERROR(__xludf.DUMMYFUNCTION("""COMPUTED_VALUE"""),"Gestionado por: PROVEDIX DAMIAN, email:enviogratisdirecto@gmail.com, total de productos en la orden: 1")</f>
        <v>Gestionado por: PROVEDIX DAMIAN, email:enviogratisdirecto@gmail.com, total de productos en la orden: 1</v>
      </c>
      <c r="AS602" s="65"/>
      <c r="AT602" s="65"/>
      <c r="AU602" s="65"/>
      <c r="AV602" s="65"/>
      <c r="AW602" s="65"/>
      <c r="AX602" s="65"/>
      <c r="AY602" s="65" t="str">
        <f>IFERROR(__xludf.DUMMYFUNCTION("""COMPUTED_VALUE"""),"20/02/2026")</f>
        <v>20/02/2026</v>
      </c>
      <c r="AZ602" s="65"/>
      <c r="BA602" s="65"/>
    </row>
    <row r="603">
      <c r="A603" s="65" t="str">
        <f>IFERROR(__xludf.DUMMYFUNCTION("""COMPUTED_VALUE"""),"27-03-2026")</f>
        <v>27-03-2026</v>
      </c>
      <c r="B603" s="65">
        <f>IFERROR(__xludf.DUMMYFUNCTION("""COMPUTED_VALUE"""),4562357.0)</f>
        <v>4562357</v>
      </c>
      <c r="C603" s="65" t="str">
        <f>IFERROR(__xludf.DUMMYFUNCTION("""COMPUTED_VALUE"""),"23:31")</f>
        <v>23:31</v>
      </c>
      <c r="D603" s="65" t="str">
        <f>IFERROR(__xludf.DUMMYFUNCTION("""COMPUTED_VALUE"""),"19-02-2026")</f>
        <v>19-02-2026</v>
      </c>
      <c r="E603" s="65" t="str">
        <f>IFERROR(__xludf.DUMMYFUNCTION("""COMPUTED_VALUE"""),"Edison Escobar")</f>
        <v>Edison Escobar</v>
      </c>
      <c r="F603" s="65" t="str">
        <f>IFERROR(__xludf.DUMMYFUNCTION("""COMPUTED_VALUE"""),"980150167")</f>
        <v>980150167</v>
      </c>
      <c r="G603" s="65" t="str">
        <f>IFERROR(__xludf.DUMMYFUNCTION("""COMPUTED_VALUE"""),"edyloboo@hotmail.com")</f>
        <v>edyloboo@hotmail.com</v>
      </c>
      <c r="H603" s="65"/>
      <c r="I603" s="65"/>
      <c r="J603" s="65"/>
      <c r="K603" s="65" t="str">
        <f>IFERROR(__xludf.DUMMYFUNCTION("""COMPUTED_VALUE"""),"CANCELADO")</f>
        <v>CANCELADO</v>
      </c>
      <c r="L603" s="65" t="str">
        <f>IFERROR(__xludf.DUMMYFUNCTION("""COMPUTED_VALUE"""),"CON RECAUDO")</f>
        <v>CON RECAUDO</v>
      </c>
      <c r="M603" s="65" t="str">
        <f>IFERROR(__xludf.DUMMYFUNCTION("""COMPUTED_VALUE"""),"PICHINCHA")</f>
        <v>PICHINCHA</v>
      </c>
      <c r="N603" s="65" t="str">
        <f>IFERROR(__xludf.DUMMYFUNCTION("""COMPUTED_VALUE"""),"QUITO")</f>
        <v>QUITO</v>
      </c>
      <c r="O603" s="65" t="str">
        <f>IFERROR(__xludf.DUMMYFUNCTION("""COMPUTED_VALUE"""),"S7E y Francisco Olmos Mirador de chahualquingo -")</f>
        <v>S7E y Francisco Olmos Mirador de chahualquingo -</v>
      </c>
      <c r="P603" s="65"/>
      <c r="Q603" s="65" t="str">
        <f>IFERROR(__xludf.DUMMYFUNCTION("""COMPUTED_VALUE"""),"GINTRACOM")</f>
        <v>GINTRACOM</v>
      </c>
      <c r="R603" s="65">
        <f>IFERROR(__xludf.DUMMYFUNCTION("""COMPUTED_VALUE"""),25.0)</f>
        <v>25</v>
      </c>
      <c r="S603" s="65"/>
      <c r="T603" s="65">
        <f>IFERROR(__xludf.DUMMYFUNCTION("""COMPUTED_VALUE"""),5.96)</f>
        <v>5.96</v>
      </c>
      <c r="U603" s="65">
        <f>IFERROR(__xludf.DUMMYFUNCTION("""COMPUTED_VALUE"""),0.0)</f>
        <v>0</v>
      </c>
      <c r="V603" s="65">
        <f>IFERROR(__xludf.DUMMYFUNCTION("""COMPUTED_VALUE"""),0.0)</f>
        <v>0</v>
      </c>
      <c r="W603" s="65">
        <f>IFERROR(__xludf.DUMMYFUNCTION("""COMPUTED_VALUE"""),0.0)</f>
        <v>0</v>
      </c>
      <c r="X603" s="65">
        <f>IFERROR(__xludf.DUMMYFUNCTION("""COMPUTED_VALUE"""),2.4)</f>
        <v>2.4</v>
      </c>
      <c r="Y603" s="65">
        <f>IFERROR(__xludf.DUMMYFUNCTION("""COMPUTED_VALUE"""),4.8)</f>
        <v>4.8</v>
      </c>
      <c r="Z603" s="65">
        <f>IFERROR(__xludf.DUMMYFUNCTION("""COMPUTED_VALUE"""),120732.0)</f>
        <v>120732</v>
      </c>
      <c r="AA603" s="65" t="str">
        <f>IFERROR(__xludf.DUMMYFUNCTION("""COMPUTED_VALUE"""),"PROV-LMPVT")</f>
        <v>PROV-LMPVT</v>
      </c>
      <c r="AB603" s="65"/>
      <c r="AC603" s="65" t="str">
        <f>IFERROR(__xludf.DUMMYFUNCTION("""COMPUTED_VALUE"""),"LIMPIADOR DE PARABRISAS Y VENTANAS")</f>
        <v>LIMPIADOR DE PARABRISAS Y VENTANAS</v>
      </c>
      <c r="AD603" s="65"/>
      <c r="AE603" s="65">
        <f>IFERROR(__xludf.DUMMYFUNCTION("""COMPUTED_VALUE"""),2.0)</f>
        <v>2</v>
      </c>
      <c r="AF603" s="65"/>
      <c r="AG603" s="65"/>
      <c r="AH603" s="65"/>
      <c r="AI603" s="65"/>
      <c r="AJ603" s="65"/>
      <c r="AK603" s="65"/>
      <c r="AL603" s="65"/>
      <c r="AM603" s="65"/>
      <c r="AN603" s="65"/>
      <c r="AO603" s="65"/>
      <c r="AP603" s="65"/>
      <c r="AQ603" s="65"/>
      <c r="AR603" s="65"/>
      <c r="AS603" s="65"/>
      <c r="AT603" s="65" t="str">
        <f>IFERROR(__xludf.DUMMYFUNCTION("""COMPUTED_VALUE"""),"SHOPIFY")</f>
        <v>SHOPIFY</v>
      </c>
      <c r="AU603" s="65" t="str">
        <f>IFERROR(__xludf.DUMMYFUNCTION("""COMPUTED_VALUE"""),"IMPORTEX EC")</f>
        <v>IMPORTEX EC</v>
      </c>
      <c r="AV603" s="65" t="str">
        <f>IFERROR(__xludf.DUMMYFUNCTION("""COMPUTED_VALUE"""),"6516173078572")</f>
        <v>6516173078572</v>
      </c>
      <c r="AW603" s="65">
        <f>IFERROR(__xludf.DUMMYFUNCTION("""COMPUTED_VALUE"""),6269.0)</f>
        <v>6269</v>
      </c>
      <c r="AX603" s="65"/>
      <c r="AY603" s="65"/>
      <c r="AZ603" s="65"/>
      <c r="BA603" s="65"/>
    </row>
    <row r="604">
      <c r="A604" s="65" t="str">
        <f>IFERROR(__xludf.DUMMYFUNCTION("""COMPUTED_VALUE"""),"27-03-2026")</f>
        <v>27-03-2026</v>
      </c>
      <c r="B604" s="65">
        <f>IFERROR(__xludf.DUMMYFUNCTION("""COMPUTED_VALUE"""),4562311.0)</f>
        <v>4562311</v>
      </c>
      <c r="C604" s="65" t="str">
        <f>IFERROR(__xludf.DUMMYFUNCTION("""COMPUTED_VALUE"""),"23:26")</f>
        <v>23:26</v>
      </c>
      <c r="D604" s="65" t="str">
        <f>IFERROR(__xludf.DUMMYFUNCTION("""COMPUTED_VALUE"""),"19-02-2026")</f>
        <v>19-02-2026</v>
      </c>
      <c r="E604" s="65" t="str">
        <f>IFERROR(__xludf.DUMMYFUNCTION("""COMPUTED_VALUE"""),"David Sebastián Luna Erraez")</f>
        <v>David Sebastián Luna Erraez</v>
      </c>
      <c r="F604" s="65" t="str">
        <f>IFERROR(__xludf.DUMMYFUNCTION("""COMPUTED_VALUE"""),"985117594")</f>
        <v>985117594</v>
      </c>
      <c r="G604" s="65" t="str">
        <f>IFERROR(__xludf.DUMMYFUNCTION("""COMPUTED_VALUE"""),"davidlunaerraez@gmail.com")</f>
        <v>davidlunaerraez@gmail.com</v>
      </c>
      <c r="H604" s="65"/>
      <c r="I604" s="65"/>
      <c r="J604" s="65" t="str">
        <f>IFERROR(__xludf.DUMMYFUNCTION("""COMPUTED_VALUE"""),"D001344681")</f>
        <v>D001344681</v>
      </c>
      <c r="K604" s="65" t="str">
        <f>IFERROR(__xludf.DUMMYFUNCTION("""COMPUTED_VALUE"""),"ENTREGADO")</f>
        <v>ENTREGADO</v>
      </c>
      <c r="L604" s="65" t="str">
        <f>IFERROR(__xludf.DUMMYFUNCTION("""COMPUTED_VALUE"""),"CON RECAUDO")</f>
        <v>CON RECAUDO</v>
      </c>
      <c r="M604" s="65" t="str">
        <f>IFERROR(__xludf.DUMMYFUNCTION("""COMPUTED_VALUE"""),"EL ORO")</f>
        <v>EL ORO</v>
      </c>
      <c r="N604" s="65" t="str">
        <f>IFERROR(__xludf.DUMMYFUNCTION("""COMPUTED_VALUE"""),"SANTA ROSA")</f>
        <v>SANTA ROSA</v>
      </c>
      <c r="O604" s="65" t="str">
        <f>IFERROR(__xludf.DUMMYFUNCTION("""COMPUTED_VALUE"""),"Calle José Bravo Riofrío Ciudadela los Cactus parroquia nuevo santa rosa - subcentro de salud Las Cañas, parque esquinero diagonal")</f>
        <v>Calle José Bravo Riofrío Ciudadela los Cactus parroquia nuevo santa rosa - subcentro de salud Las Cañas, parque esquinero diagonal</v>
      </c>
      <c r="P604" s="65"/>
      <c r="Q604" s="65" t="str">
        <f>IFERROR(__xludf.DUMMYFUNCTION("""COMPUTED_VALUE"""),"GINTRACOM")</f>
        <v>GINTRACOM</v>
      </c>
      <c r="R604" s="65">
        <f>IFERROR(__xludf.DUMMYFUNCTION("""COMPUTED_VALUE"""),30.0)</f>
        <v>30</v>
      </c>
      <c r="S604" s="65">
        <f>IFERROR(__xludf.DUMMYFUNCTION("""COMPUTED_VALUE"""),16.64)</f>
        <v>16.64</v>
      </c>
      <c r="T604" s="65">
        <f>IFERROR(__xludf.DUMMYFUNCTION("""COMPUTED_VALUE"""),6.16)</f>
        <v>6.16</v>
      </c>
      <c r="U604" s="65">
        <f>IFERROR(__xludf.DUMMYFUNCTION("""COMPUTED_VALUE"""),0.0)</f>
        <v>0</v>
      </c>
      <c r="V604" s="65">
        <f>IFERROR(__xludf.DUMMYFUNCTION("""COMPUTED_VALUE"""),0.0)</f>
        <v>0</v>
      </c>
      <c r="W604" s="65">
        <f>IFERROR(__xludf.DUMMYFUNCTION("""COMPUTED_VALUE"""),0.0)</f>
        <v>0</v>
      </c>
      <c r="X604" s="65">
        <f>IFERROR(__xludf.DUMMYFUNCTION("""COMPUTED_VALUE"""),2.4)</f>
        <v>2.4</v>
      </c>
      <c r="Y604" s="65">
        <f>IFERROR(__xludf.DUMMYFUNCTION("""COMPUTED_VALUE"""),7.2)</f>
        <v>7.2</v>
      </c>
      <c r="Z604" s="65">
        <f>IFERROR(__xludf.DUMMYFUNCTION("""COMPUTED_VALUE"""),120732.0)</f>
        <v>120732</v>
      </c>
      <c r="AA604" s="65" t="str">
        <f>IFERROR(__xludf.DUMMYFUNCTION("""COMPUTED_VALUE"""),"PROV-LMPVT")</f>
        <v>PROV-LMPVT</v>
      </c>
      <c r="AB604" s="65"/>
      <c r="AC604" s="65" t="str">
        <f>IFERROR(__xludf.DUMMYFUNCTION("""COMPUTED_VALUE"""),"LIMPIADOR DE PARABRISAS Y VENTANAS")</f>
        <v>LIMPIADOR DE PARABRISAS Y VENTANAS</v>
      </c>
      <c r="AD604" s="65"/>
      <c r="AE604" s="65">
        <f>IFERROR(__xludf.DUMMYFUNCTION("""COMPUTED_VALUE"""),3.0)</f>
        <v>3</v>
      </c>
      <c r="AF604" s="65"/>
      <c r="AG604" s="65"/>
      <c r="AH604" s="65"/>
      <c r="AI604" s="65"/>
      <c r="AJ604" s="65"/>
      <c r="AK604" s="65"/>
      <c r="AL604" s="65"/>
      <c r="AM604" s="65"/>
      <c r="AN604" s="65" t="str">
        <f>IFERROR(__xludf.DUMMYFUNCTION("""COMPUTED_VALUE"""),"15:33")</f>
        <v>15:33</v>
      </c>
      <c r="AO604" s="65" t="str">
        <f>IFERROR(__xludf.DUMMYFUNCTION("""COMPUTED_VALUE"""),"24-02-2026")</f>
        <v>24-02-2026</v>
      </c>
      <c r="AP604" s="65" t="str">
        <f>IFERROR(__xludf.DUMMYFUNCTION("""COMPUTED_VALUE"""),"ENTREGADA GINTRACOM")</f>
        <v>ENTREGADA GINTRACOM</v>
      </c>
      <c r="AQ604" s="65" t="str">
        <f>IFERROR(__xludf.DUMMYFUNCTION("""COMPUTED_VALUE"""),"ENTREGADA GINTRACOM")</f>
        <v>ENTREGADA GINTRACOM</v>
      </c>
      <c r="AR604" s="65"/>
      <c r="AS604" s="65"/>
      <c r="AT604" s="65" t="str">
        <f>IFERROR(__xludf.DUMMYFUNCTION("""COMPUTED_VALUE"""),"SHOPIFY")</f>
        <v>SHOPIFY</v>
      </c>
      <c r="AU604" s="65" t="str">
        <f>IFERROR(__xludf.DUMMYFUNCTION("""COMPUTED_VALUE"""),"IMPORTEX EC")</f>
        <v>IMPORTEX EC</v>
      </c>
      <c r="AV604" s="65" t="str">
        <f>IFERROR(__xludf.DUMMYFUNCTION("""COMPUTED_VALUE"""),"6516166066220")</f>
        <v>6516166066220</v>
      </c>
      <c r="AW604" s="65">
        <f>IFERROR(__xludf.DUMMYFUNCTION("""COMPUTED_VALUE"""),6268.0)</f>
        <v>6268</v>
      </c>
      <c r="AX604" s="65"/>
      <c r="AY604" s="65" t="str">
        <f>IFERROR(__xludf.DUMMYFUNCTION("""COMPUTED_VALUE"""),"20/02/2026")</f>
        <v>20/02/2026</v>
      </c>
      <c r="AZ604" s="65"/>
      <c r="BA604" s="65"/>
    </row>
    <row r="605">
      <c r="A605" s="65" t="str">
        <f>IFERROR(__xludf.DUMMYFUNCTION("""COMPUTED_VALUE"""),"27-03-2026")</f>
        <v>27-03-2026</v>
      </c>
      <c r="B605" s="65">
        <f>IFERROR(__xludf.DUMMYFUNCTION("""COMPUTED_VALUE"""),4559544.0)</f>
        <v>4559544</v>
      </c>
      <c r="C605" s="65" t="str">
        <f>IFERROR(__xludf.DUMMYFUNCTION("""COMPUTED_VALUE"""),"18:59")</f>
        <v>18:59</v>
      </c>
      <c r="D605" s="65" t="str">
        <f>IFERROR(__xludf.DUMMYFUNCTION("""COMPUTED_VALUE"""),"19-02-2026")</f>
        <v>19-02-2026</v>
      </c>
      <c r="E605" s="65" t="str">
        <f>IFERROR(__xludf.DUMMYFUNCTION("""COMPUTED_VALUE"""),"Alexis Tubon")</f>
        <v>Alexis Tubon</v>
      </c>
      <c r="F605" s="65" t="str">
        <f>IFERROR(__xludf.DUMMYFUNCTION("""COMPUTED_VALUE"""),"995932956")</f>
        <v>995932956</v>
      </c>
      <c r="G605" s="65" t="str">
        <f>IFERROR(__xludf.DUMMYFUNCTION("""COMPUTED_VALUE"""),"alexistubon81@gmail.com")</f>
        <v>alexistubon81@gmail.com</v>
      </c>
      <c r="H605" s="65"/>
      <c r="I605" s="65"/>
      <c r="J605" s="65" t="str">
        <f>IFERROR(__xludf.DUMMYFUNCTION("""COMPUTED_VALUE"""),"D001344685")</f>
        <v>D001344685</v>
      </c>
      <c r="K605" s="65" t="str">
        <f>IFERROR(__xludf.DUMMYFUNCTION("""COMPUTED_VALUE"""),"ENTREGADO")</f>
        <v>ENTREGADO</v>
      </c>
      <c r="L605" s="65" t="str">
        <f>IFERROR(__xludf.DUMMYFUNCTION("""COMPUTED_VALUE"""),"CON RECAUDO")</f>
        <v>CON RECAUDO</v>
      </c>
      <c r="M605" s="65" t="str">
        <f>IFERROR(__xludf.DUMMYFUNCTION("""COMPUTED_VALUE"""),"GUAYAS")</f>
        <v>GUAYAS</v>
      </c>
      <c r="N605" s="65" t="str">
        <f>IFERROR(__xludf.DUMMYFUNCTION("""COMPUTED_VALUE"""),"GUAYAQUIL")</f>
        <v>GUAYAQUIL</v>
      </c>
      <c r="O605" s="65" t="str">
        <f>IFERROR(__xludf.DUMMYFUNCTION("""COMPUTED_VALUE"""),"Ciudadela acuarelas del río Mz 1170 villa 8 Tarqui sauces -")</f>
        <v>Ciudadela acuarelas del río Mz 1170 villa 8 Tarqui sauces -</v>
      </c>
      <c r="P605" s="65"/>
      <c r="Q605" s="65" t="str">
        <f>IFERROR(__xludf.DUMMYFUNCTION("""COMPUTED_VALUE"""),"GINTRACOM")</f>
        <v>GINTRACOM</v>
      </c>
      <c r="R605" s="65">
        <f>IFERROR(__xludf.DUMMYFUNCTION("""COMPUTED_VALUE"""),20.0)</f>
        <v>20</v>
      </c>
      <c r="S605" s="65">
        <f>IFERROR(__xludf.DUMMYFUNCTION("""COMPUTED_VALUE"""),13.45)</f>
        <v>13.45</v>
      </c>
      <c r="T605" s="65">
        <f>IFERROR(__xludf.DUMMYFUNCTION("""COMPUTED_VALUE"""),4.15)</f>
        <v>4.15</v>
      </c>
      <c r="U605" s="65">
        <f>IFERROR(__xludf.DUMMYFUNCTION("""COMPUTED_VALUE"""),0.0)</f>
        <v>0</v>
      </c>
      <c r="V605" s="65">
        <f>IFERROR(__xludf.DUMMYFUNCTION("""COMPUTED_VALUE"""),0.0)</f>
        <v>0</v>
      </c>
      <c r="W605" s="65">
        <f>IFERROR(__xludf.DUMMYFUNCTION("""COMPUTED_VALUE"""),0.0)</f>
        <v>0</v>
      </c>
      <c r="X605" s="65">
        <f>IFERROR(__xludf.DUMMYFUNCTION("""COMPUTED_VALUE"""),2.4)</f>
        <v>2.4</v>
      </c>
      <c r="Y605" s="65">
        <f>IFERROR(__xludf.DUMMYFUNCTION("""COMPUTED_VALUE"""),2.4)</f>
        <v>2.4</v>
      </c>
      <c r="Z605" s="65">
        <f>IFERROR(__xludf.DUMMYFUNCTION("""COMPUTED_VALUE"""),120732.0)</f>
        <v>120732</v>
      </c>
      <c r="AA605" s="65" t="str">
        <f>IFERROR(__xludf.DUMMYFUNCTION("""COMPUTED_VALUE"""),"PROV-LMPVT")</f>
        <v>PROV-LMPVT</v>
      </c>
      <c r="AB605" s="65"/>
      <c r="AC605" s="65" t="str">
        <f>IFERROR(__xludf.DUMMYFUNCTION("""COMPUTED_VALUE"""),"LIMPIADOR DE PARABRISAS Y VENTANAS")</f>
        <v>LIMPIADOR DE PARABRISAS Y VENTANAS</v>
      </c>
      <c r="AD605" s="65"/>
      <c r="AE605" s="65">
        <f>IFERROR(__xludf.DUMMYFUNCTION("""COMPUTED_VALUE"""),1.0)</f>
        <v>1</v>
      </c>
      <c r="AF605" s="65" t="str">
        <f>IFERROR(__xludf.DUMMYFUNCTION("""COMPUTED_VALUE"""),"DESTINATARIO NO SE ENCUENTRA EN LUGAR DE ENTREGA.")</f>
        <v>DESTINATARIO NO SE ENCUENTRA EN LUGAR DE ENTREGA.</v>
      </c>
      <c r="AG605" s="65" t="str">
        <f>IFERROR(__xludf.DUMMYFUNCTION("""COMPUTED_VALUE"""),"NO")</f>
        <v>NO</v>
      </c>
      <c r="AH605" s="65" t="str">
        <f>IFERROR(__xludf.DUMMYFUNCTION("""COMPUTED_VALUE"""),"11:12")</f>
        <v>11:12</v>
      </c>
      <c r="AI605" s="65" t="str">
        <f>IFERROR(__xludf.DUMMYFUNCTION("""COMPUTED_VALUE"""),"26-02-2026")</f>
        <v>26-02-2026</v>
      </c>
      <c r="AJ605" s="65"/>
      <c r="AK605" s="65"/>
      <c r="AL605" s="65"/>
      <c r="AM605" s="65"/>
      <c r="AN605" s="65" t="str">
        <f>IFERROR(__xludf.DUMMYFUNCTION("""COMPUTED_VALUE"""),"11:12")</f>
        <v>11:12</v>
      </c>
      <c r="AO605" s="65" t="str">
        <f>IFERROR(__xludf.DUMMYFUNCTION("""COMPUTED_VALUE"""),"26-02-2026")</f>
        <v>26-02-2026</v>
      </c>
      <c r="AP605" s="65" t="str">
        <f>IFERROR(__xludf.DUMMYFUNCTION("""COMPUTED_VALUE"""),"DESTINATARIO NO SE ENCUENTRA EN LUGAR DE ENTREGA.")</f>
        <v>DESTINATARIO NO SE ENCUENTRA EN LUGAR DE ENTREGA.</v>
      </c>
      <c r="AQ605" s="65" t="str">
        <f>IFERROR(__xludf.DUMMYFUNCTION("""COMPUTED_VALUE"""),"DESTINATARIO NO SE ENCUENTRA EN LUGAR DE ENTREGA.")</f>
        <v>DESTINATARIO NO SE ENCUENTRA EN LUGAR DE ENTREGA.</v>
      </c>
      <c r="AR605" s="65"/>
      <c r="AS605" s="65"/>
      <c r="AT605" s="65" t="str">
        <f>IFERROR(__xludf.DUMMYFUNCTION("""COMPUTED_VALUE"""),"SHOPIFY")</f>
        <v>SHOPIFY</v>
      </c>
      <c r="AU605" s="65" t="str">
        <f>IFERROR(__xludf.DUMMYFUNCTION("""COMPUTED_VALUE"""),"IMPORTEX EC")</f>
        <v>IMPORTEX EC</v>
      </c>
      <c r="AV605" s="65" t="str">
        <f>IFERROR(__xludf.DUMMYFUNCTION("""COMPUTED_VALUE"""),"6515691225132")</f>
        <v>6515691225132</v>
      </c>
      <c r="AW605" s="65">
        <f>IFERROR(__xludf.DUMMYFUNCTION("""COMPUTED_VALUE"""),6267.0)</f>
        <v>6267</v>
      </c>
      <c r="AX605" s="65"/>
      <c r="AY605" s="65" t="str">
        <f>IFERROR(__xludf.DUMMYFUNCTION("""COMPUTED_VALUE"""),"20/02/2026")</f>
        <v>20/02/2026</v>
      </c>
      <c r="AZ605" s="65"/>
      <c r="BA605" s="65"/>
    </row>
    <row r="606">
      <c r="A606" s="65" t="str">
        <f>IFERROR(__xludf.DUMMYFUNCTION("""COMPUTED_VALUE"""),"27-03-2026")</f>
        <v>27-03-2026</v>
      </c>
      <c r="B606" s="65">
        <f>IFERROR(__xludf.DUMMYFUNCTION("""COMPUTED_VALUE"""),4558896.0)</f>
        <v>4558896</v>
      </c>
      <c r="C606" s="65" t="str">
        <f>IFERROR(__xludf.DUMMYFUNCTION("""COMPUTED_VALUE"""),"17:38")</f>
        <v>17:38</v>
      </c>
      <c r="D606" s="65" t="str">
        <f>IFERROR(__xludf.DUMMYFUNCTION("""COMPUTED_VALUE"""),"19-02-2026")</f>
        <v>19-02-2026</v>
      </c>
      <c r="E606" s="65" t="str">
        <f>IFERROR(__xludf.DUMMYFUNCTION("""COMPUTED_VALUE"""),"Alex Urbano Estacio")</f>
        <v>Alex Urbano Estacio</v>
      </c>
      <c r="F606" s="65" t="str">
        <f>IFERROR(__xludf.DUMMYFUNCTION("""COMPUTED_VALUE"""),"967277872")</f>
        <v>967277872</v>
      </c>
      <c r="G606" s="65"/>
      <c r="H606" s="65"/>
      <c r="I606" s="65"/>
      <c r="J606" s="65" t="str">
        <f>IFERROR(__xludf.DUMMYFUNCTION("""COMPUTED_VALUE"""),"186800182")</f>
        <v>186800182</v>
      </c>
      <c r="K606" s="65" t="str">
        <f>IFERROR(__xludf.DUMMYFUNCTION("""COMPUTED_VALUE"""),"ENTREGADO")</f>
        <v>ENTREGADO</v>
      </c>
      <c r="L606" s="65" t="str">
        <f>IFERROR(__xludf.DUMMYFUNCTION("""COMPUTED_VALUE"""),"CON RECAUDO")</f>
        <v>CON RECAUDO</v>
      </c>
      <c r="M606" s="65" t="str">
        <f>IFERROR(__xludf.DUMMYFUNCTION("""COMPUTED_VALUE"""),"GUAYAS")</f>
        <v>GUAYAS</v>
      </c>
      <c r="N606" s="65" t="str">
        <f>IFERROR(__xludf.DUMMYFUNCTION("""COMPUTED_VALUE"""),"GUAYAQUIL")</f>
        <v>GUAYAQUIL</v>
      </c>
      <c r="O606" s="65" t="str">
        <f>IFERROR(__xludf.DUMMYFUNCTION("""COMPUTED_VALUE"""),"RETIRA EN CS : GUAYAQUIL_PASCUALES AV PRINCIPAL - AV 28 DE AGOSTO 0507 E/ CUARTA Y QUINTA FRENTE AL TUTI")</f>
        <v>RETIRA EN CS : GUAYAQUIL_PASCUALES AV PRINCIPAL - AV 28 DE AGOSTO 0507 E/ CUARTA Y QUINTA FRENTE AL TUTI</v>
      </c>
      <c r="P606" s="65"/>
      <c r="Q606" s="65" t="str">
        <f>IFERROR(__xludf.DUMMYFUNCTION("""COMPUTED_VALUE"""),"SERVIENTREGA")</f>
        <v>SERVIENTREGA</v>
      </c>
      <c r="R606" s="65">
        <f>IFERROR(__xludf.DUMMYFUNCTION("""COMPUTED_VALUE"""),21.99)</f>
        <v>21.99</v>
      </c>
      <c r="S606" s="65">
        <f>IFERROR(__xludf.DUMMYFUNCTION("""COMPUTED_VALUE"""),14.62)</f>
        <v>14.62</v>
      </c>
      <c r="T606" s="65">
        <f>IFERROR(__xludf.DUMMYFUNCTION("""COMPUTED_VALUE"""),4.77)</f>
        <v>4.77</v>
      </c>
      <c r="U606" s="65">
        <f>IFERROR(__xludf.DUMMYFUNCTION("""COMPUTED_VALUE"""),0.0)</f>
        <v>0</v>
      </c>
      <c r="V606" s="65">
        <f>IFERROR(__xludf.DUMMYFUNCTION("""COMPUTED_VALUE"""),0.0)</f>
        <v>0</v>
      </c>
      <c r="W606" s="65">
        <f>IFERROR(__xludf.DUMMYFUNCTION("""COMPUTED_VALUE"""),0.0)</f>
        <v>0</v>
      </c>
      <c r="X606" s="65">
        <f>IFERROR(__xludf.DUMMYFUNCTION("""COMPUTED_VALUE"""),2.6)</f>
        <v>2.6</v>
      </c>
      <c r="Y606" s="65">
        <f>IFERROR(__xludf.DUMMYFUNCTION("""COMPUTED_VALUE"""),2.6)</f>
        <v>2.6</v>
      </c>
      <c r="Z606" s="65">
        <f>IFERROR(__xludf.DUMMYFUNCTION("""COMPUTED_VALUE"""),121983.0)</f>
        <v>121983</v>
      </c>
      <c r="AA606" s="65" t="str">
        <f>IFERROR(__xludf.DUMMYFUNCTION("""COMPUTED_VALUE"""),"PROV-CHLLCF")</f>
        <v>PROV-CHLLCF</v>
      </c>
      <c r="AB606" s="65"/>
      <c r="AC606" s="65" t="str">
        <f>IFERROR(__xludf.DUMMYFUNCTION("""COMPUTED_VALUE"""),"CUCHILLO PARA CHEF")</f>
        <v>CUCHILLO PARA CHEF</v>
      </c>
      <c r="AD606" s="65"/>
      <c r="AE606" s="65">
        <f>IFERROR(__xludf.DUMMYFUNCTION("""COMPUTED_VALUE"""),1.0)</f>
        <v>1</v>
      </c>
      <c r="AF606" s="65"/>
      <c r="AG606" s="65"/>
      <c r="AH606" s="65"/>
      <c r="AI606" s="65"/>
      <c r="AJ606" s="65"/>
      <c r="AK606" s="65"/>
      <c r="AL606" s="65"/>
      <c r="AM606" s="65"/>
      <c r="AN606" s="65" t="str">
        <f>IFERROR(__xludf.DUMMYFUNCTION("""COMPUTED_VALUE"""),"17:41")</f>
        <v>17:41</v>
      </c>
      <c r="AO606" s="65" t="str">
        <f>IFERROR(__xludf.DUMMYFUNCTION("""COMPUTED_VALUE"""),"06-03-2026")</f>
        <v>06-03-2026</v>
      </c>
      <c r="AP606" s="65" t="str">
        <f>IFERROR(__xludf.DUMMYFUNCTION("""COMPUTED_VALUE"""),"ENTREGA DIGITALIZADA EN CENTRO LOGISTICO")</f>
        <v>ENTREGA DIGITALIZADA EN CENTRO LOGISTICO</v>
      </c>
      <c r="AQ606" s="65" t="str">
        <f>IFERROR(__xludf.DUMMYFUNCTION("""COMPUTED_VALUE"""),"ROCIO RIQUELME")</f>
        <v>ROCIO RIQUELME</v>
      </c>
      <c r="AR606" s="65"/>
      <c r="AS606" s="65"/>
      <c r="AT606" s="65" t="str">
        <f>IFERROR(__xludf.DUMMYFUNCTION("""COMPUTED_VALUE"""),"CHATEA PRO")</f>
        <v>CHATEA PRO</v>
      </c>
      <c r="AU606" s="65" t="str">
        <f>IFERROR(__xludf.DUMMYFUNCTION("""COMPUTED_VALUE"""),"CHATEA PRO")</f>
        <v>CHATEA PRO</v>
      </c>
      <c r="AV606" s="65"/>
      <c r="AW606" s="65"/>
      <c r="AX606" s="65"/>
      <c r="AY606" s="65" t="str">
        <f>IFERROR(__xludf.DUMMYFUNCTION("""COMPUTED_VALUE"""),"20/02/2026")</f>
        <v>20/02/2026</v>
      </c>
      <c r="AZ606" s="65"/>
      <c r="BA606" s="65"/>
    </row>
    <row r="607">
      <c r="A607" s="65" t="str">
        <f>IFERROR(__xludf.DUMMYFUNCTION("""COMPUTED_VALUE"""),"27-03-2026")</f>
        <v>27-03-2026</v>
      </c>
      <c r="B607" s="65">
        <f>IFERROR(__xludf.DUMMYFUNCTION("""COMPUTED_VALUE"""),4558764.0)</f>
        <v>4558764</v>
      </c>
      <c r="C607" s="65" t="str">
        <f>IFERROR(__xludf.DUMMYFUNCTION("""COMPUTED_VALUE"""),"17:26")</f>
        <v>17:26</v>
      </c>
      <c r="D607" s="65" t="str">
        <f>IFERROR(__xludf.DUMMYFUNCTION("""COMPUTED_VALUE"""),"19-02-2026")</f>
        <v>19-02-2026</v>
      </c>
      <c r="E607" s="65" t="str">
        <f>IFERROR(__xludf.DUMMYFUNCTION("""COMPUTED_VALUE"""),"Wilson Hernan Macias Bravo")</f>
        <v>Wilson Hernan Macias Bravo</v>
      </c>
      <c r="F607" s="65" t="str">
        <f>IFERROR(__xludf.DUMMYFUNCTION("""COMPUTED_VALUE"""),"987776827")</f>
        <v>987776827</v>
      </c>
      <c r="G607" s="65" t="str">
        <f>IFERROR(__xludf.DUMMYFUNCTION("""COMPUTED_VALUE"""),"hernanmacias1976@gmail.com")</f>
        <v>hernanmacias1976@gmail.com</v>
      </c>
      <c r="H607" s="65"/>
      <c r="I607" s="65"/>
      <c r="J607" s="65" t="str">
        <f>IFERROR(__xludf.DUMMYFUNCTION("""COMPUTED_VALUE"""),"D001344687")</f>
        <v>D001344687</v>
      </c>
      <c r="K607" s="65" t="str">
        <f>IFERROR(__xludf.DUMMYFUNCTION("""COMPUTED_VALUE"""),"ENTREGADO")</f>
        <v>ENTREGADO</v>
      </c>
      <c r="L607" s="65" t="str">
        <f>IFERROR(__xludf.DUMMYFUNCTION("""COMPUTED_VALUE"""),"CON RECAUDO")</f>
        <v>CON RECAUDO</v>
      </c>
      <c r="M607" s="65" t="str">
        <f>IFERROR(__xludf.DUMMYFUNCTION("""COMPUTED_VALUE"""),"LOS RIOS")</f>
        <v>LOS RIOS</v>
      </c>
      <c r="N607" s="65" t="str">
        <f>IFERROR(__xludf.DUMMYFUNCTION("""COMPUTED_VALUE"""),"QUEVEDO")</f>
        <v>QUEVEDO</v>
      </c>
      <c r="O607" s="65" t="str">
        <f>IFERROR(__xludf.DUMMYFUNCTION("""COMPUTED_VALUE"""),"Via a el Empalme km 1 y medio Entrada a la virginia empresa celec termoeléctrica Quevedo 2")</f>
        <v>Via a el Empalme km 1 y medio Entrada a la virginia empresa celec termoeléctrica Quevedo 2</v>
      </c>
      <c r="P607" s="65"/>
      <c r="Q607" s="65" t="str">
        <f>IFERROR(__xludf.DUMMYFUNCTION("""COMPUTED_VALUE"""),"GINTRACOM")</f>
        <v>GINTRACOM</v>
      </c>
      <c r="R607" s="65">
        <f>IFERROR(__xludf.DUMMYFUNCTION("""COMPUTED_VALUE"""),20.0)</f>
        <v>20</v>
      </c>
      <c r="S607" s="65">
        <f>IFERROR(__xludf.DUMMYFUNCTION("""COMPUTED_VALUE"""),11.84)</f>
        <v>11.84</v>
      </c>
      <c r="T607" s="65">
        <f>IFERROR(__xludf.DUMMYFUNCTION("""COMPUTED_VALUE"""),5.76)</f>
        <v>5.76</v>
      </c>
      <c r="U607" s="65">
        <f>IFERROR(__xludf.DUMMYFUNCTION("""COMPUTED_VALUE"""),0.0)</f>
        <v>0</v>
      </c>
      <c r="V607" s="65">
        <f>IFERROR(__xludf.DUMMYFUNCTION("""COMPUTED_VALUE"""),0.0)</f>
        <v>0</v>
      </c>
      <c r="W607" s="65">
        <f>IFERROR(__xludf.DUMMYFUNCTION("""COMPUTED_VALUE"""),0.0)</f>
        <v>0</v>
      </c>
      <c r="X607" s="65">
        <f>IFERROR(__xludf.DUMMYFUNCTION("""COMPUTED_VALUE"""),2.4)</f>
        <v>2.4</v>
      </c>
      <c r="Y607" s="65">
        <f>IFERROR(__xludf.DUMMYFUNCTION("""COMPUTED_VALUE"""),2.4)</f>
        <v>2.4</v>
      </c>
      <c r="Z607" s="65">
        <f>IFERROR(__xludf.DUMMYFUNCTION("""COMPUTED_VALUE"""),120732.0)</f>
        <v>120732</v>
      </c>
      <c r="AA607" s="65" t="str">
        <f>IFERROR(__xludf.DUMMYFUNCTION("""COMPUTED_VALUE"""),"PROV-LMPVT")</f>
        <v>PROV-LMPVT</v>
      </c>
      <c r="AB607" s="65"/>
      <c r="AC607" s="65" t="str">
        <f>IFERROR(__xludf.DUMMYFUNCTION("""COMPUTED_VALUE"""),"LIMPIADOR DE PARABRISAS Y VENTANAS")</f>
        <v>LIMPIADOR DE PARABRISAS Y VENTANAS</v>
      </c>
      <c r="AD607" s="65"/>
      <c r="AE607" s="65">
        <f>IFERROR(__xludf.DUMMYFUNCTION("""COMPUTED_VALUE"""),1.0)</f>
        <v>1</v>
      </c>
      <c r="AF607" s="65" t="str">
        <f>IFERROR(__xludf.DUMMYFUNCTION("""COMPUTED_VALUE"""),"DESTINATARIO NO CONTESTA LLAMADAS NI WHATSAPP")</f>
        <v>DESTINATARIO NO CONTESTA LLAMADAS NI WHATSAPP</v>
      </c>
      <c r="AG607" s="65" t="str">
        <f>IFERROR(__xludf.DUMMYFUNCTION("""COMPUTED_VALUE"""),"SI")</f>
        <v>SI</v>
      </c>
      <c r="AH607" s="65" t="str">
        <f>IFERROR(__xludf.DUMMYFUNCTION("""COMPUTED_VALUE"""),"15:52")</f>
        <v>15:52</v>
      </c>
      <c r="AI607" s="65" t="str">
        <f>IFERROR(__xludf.DUMMYFUNCTION("""COMPUTED_VALUE"""),"23-02-2026")</f>
        <v>23-02-2026</v>
      </c>
      <c r="AJ607" s="65" t="str">
        <f>IFERROR(__xludf.DUMMYFUNCTION("""COMPUTED_VALUE"""),"CLIEBTE SOLICITA LA ENTREGA INMEDIATA")</f>
        <v>CLIEBTE SOLICITA LA ENTREGA INMEDIATA</v>
      </c>
      <c r="AK607" s="65" t="str">
        <f>IFERROR(__xludf.DUMMYFUNCTION("""COMPUTED_VALUE"""),"11:15")</f>
        <v>11:15</v>
      </c>
      <c r="AL607" s="65" t="str">
        <f>IFERROR(__xludf.DUMMYFUNCTION("""COMPUTED_VALUE"""),"24-02-2026")</f>
        <v>24-02-2026</v>
      </c>
      <c r="AM607" s="65"/>
      <c r="AN607" s="65" t="str">
        <f>IFERROR(__xludf.DUMMYFUNCTION("""COMPUTED_VALUE"""),"12:29")</f>
        <v>12:29</v>
      </c>
      <c r="AO607" s="65" t="str">
        <f>IFERROR(__xludf.DUMMYFUNCTION("""COMPUTED_VALUE"""),"24-02-2026")</f>
        <v>24-02-2026</v>
      </c>
      <c r="AP607" s="65" t="str">
        <f>IFERROR(__xludf.DUMMYFUNCTION("""COMPUTED_VALUE"""),"ENTREGADA GINTRACOM")</f>
        <v>ENTREGADA GINTRACOM</v>
      </c>
      <c r="AQ607" s="65" t="str">
        <f>IFERROR(__xludf.DUMMYFUNCTION("""COMPUTED_VALUE"""),"ENTREGADA GINTRACOM")</f>
        <v>ENTREGADA GINTRACOM</v>
      </c>
      <c r="AR607" s="65"/>
      <c r="AS607" s="65"/>
      <c r="AT607" s="65" t="str">
        <f>IFERROR(__xludf.DUMMYFUNCTION("""COMPUTED_VALUE"""),"SHOPIFY")</f>
        <v>SHOPIFY</v>
      </c>
      <c r="AU607" s="65" t="str">
        <f>IFERROR(__xludf.DUMMYFUNCTION("""COMPUTED_VALUE"""),"IMPORTEX EC")</f>
        <v>IMPORTEX EC</v>
      </c>
      <c r="AV607" s="65" t="str">
        <f>IFERROR(__xludf.DUMMYFUNCTION("""COMPUTED_VALUE"""),"6515532562476")</f>
        <v>6515532562476</v>
      </c>
      <c r="AW607" s="65">
        <f>IFERROR(__xludf.DUMMYFUNCTION("""COMPUTED_VALUE"""),6265.0)</f>
        <v>6265</v>
      </c>
      <c r="AX607" s="65"/>
      <c r="AY607" s="65" t="str">
        <f>IFERROR(__xludf.DUMMYFUNCTION("""COMPUTED_VALUE"""),"20/02/2026")</f>
        <v>20/02/2026</v>
      </c>
      <c r="AZ607" s="65"/>
      <c r="BA607" s="65"/>
    </row>
    <row r="608">
      <c r="A608" s="65" t="str">
        <f>IFERROR(__xludf.DUMMYFUNCTION("""COMPUTED_VALUE"""),"27-03-2026")</f>
        <v>27-03-2026</v>
      </c>
      <c r="B608" s="65">
        <f>IFERROR(__xludf.DUMMYFUNCTION("""COMPUTED_VALUE"""),4556470.0)</f>
        <v>4556470</v>
      </c>
      <c r="C608" s="65" t="str">
        <f>IFERROR(__xludf.DUMMYFUNCTION("""COMPUTED_VALUE"""),"13:55")</f>
        <v>13:55</v>
      </c>
      <c r="D608" s="65" t="str">
        <f>IFERROR(__xludf.DUMMYFUNCTION("""COMPUTED_VALUE"""),"19-02-2026")</f>
        <v>19-02-2026</v>
      </c>
      <c r="E608" s="65" t="str">
        <f>IFERROR(__xludf.DUMMYFUNCTION("""COMPUTED_VALUE"""),"Silvia Eugenia solorzano Zambrano")</f>
        <v>Silvia Eugenia solorzano Zambrano</v>
      </c>
      <c r="F608" s="65" t="str">
        <f>IFERROR(__xludf.DUMMYFUNCTION("""COMPUTED_VALUE"""),"987524546")</f>
        <v>987524546</v>
      </c>
      <c r="G608" s="65"/>
      <c r="H608" s="65"/>
      <c r="I608" s="65"/>
      <c r="J608" s="65" t="str">
        <f>IFERROR(__xludf.DUMMYFUNCTION("""COMPUTED_VALUE"""),"186797201")</f>
        <v>186797201</v>
      </c>
      <c r="K608" s="65" t="str">
        <f>IFERROR(__xludf.DUMMYFUNCTION("""COMPUTED_VALUE"""),"INGRESANDO")</f>
        <v>INGRESANDO</v>
      </c>
      <c r="L608" s="65" t="str">
        <f>IFERROR(__xludf.DUMMYFUNCTION("""COMPUTED_VALUE"""),"CON RECAUDO")</f>
        <v>CON RECAUDO</v>
      </c>
      <c r="M608" s="65" t="str">
        <f>IFERROR(__xludf.DUMMYFUNCTION("""COMPUTED_VALUE"""),"PICHINCHA")</f>
        <v>PICHINCHA</v>
      </c>
      <c r="N608" s="65" t="str">
        <f>IFERROR(__xludf.DUMMYFUNCTION("""COMPUTED_VALUE"""),"CAYAMBE")</f>
        <v>CAYAMBE</v>
      </c>
      <c r="O608" s="65" t="str">
        <f>IFERROR(__xludf.DUMMYFUNCTION("""COMPUTED_VALUE"""),"CAYAMBE_PRINCIPAL - ASCAZUBI N5-97 E IMBABURA")</f>
        <v>CAYAMBE_PRINCIPAL - ASCAZUBI N5-97 E IMBABURA</v>
      </c>
      <c r="P608" s="65"/>
      <c r="Q608" s="65" t="str">
        <f>IFERROR(__xludf.DUMMYFUNCTION("""COMPUTED_VALUE"""),"SERVIENTREGA")</f>
        <v>SERVIENTREGA</v>
      </c>
      <c r="R608" s="65">
        <f>IFERROR(__xludf.DUMMYFUNCTION("""COMPUTED_VALUE"""),20.0)</f>
        <v>20</v>
      </c>
      <c r="S608" s="65"/>
      <c r="T608" s="65">
        <f>IFERROR(__xludf.DUMMYFUNCTION("""COMPUTED_VALUE"""),6.24)</f>
        <v>6.24</v>
      </c>
      <c r="U608" s="65">
        <f>IFERROR(__xludf.DUMMYFUNCTION("""COMPUTED_VALUE"""),0.0)</f>
        <v>0</v>
      </c>
      <c r="V608" s="65">
        <f>IFERROR(__xludf.DUMMYFUNCTION("""COMPUTED_VALUE"""),0.0)</f>
        <v>0</v>
      </c>
      <c r="W608" s="65">
        <f>IFERROR(__xludf.DUMMYFUNCTION("""COMPUTED_VALUE"""),0.0)</f>
        <v>0</v>
      </c>
      <c r="X608" s="65">
        <f>IFERROR(__xludf.DUMMYFUNCTION("""COMPUTED_VALUE"""),2.4)</f>
        <v>2.4</v>
      </c>
      <c r="Y608" s="65">
        <f>IFERROR(__xludf.DUMMYFUNCTION("""COMPUTED_VALUE"""),2.4)</f>
        <v>2.4</v>
      </c>
      <c r="Z608" s="65">
        <f>IFERROR(__xludf.DUMMYFUNCTION("""COMPUTED_VALUE"""),120732.0)</f>
        <v>120732</v>
      </c>
      <c r="AA608" s="65" t="str">
        <f>IFERROR(__xludf.DUMMYFUNCTION("""COMPUTED_VALUE"""),"PROV-LMPVT")</f>
        <v>PROV-LMPVT</v>
      </c>
      <c r="AB608" s="65"/>
      <c r="AC608" s="65" t="str">
        <f>IFERROR(__xludf.DUMMYFUNCTION("""COMPUTED_VALUE"""),"LIMPIADOR DE PARABRISAS Y VENTANAS")</f>
        <v>LIMPIADOR DE PARABRISAS Y VENTANAS</v>
      </c>
      <c r="AD608" s="65"/>
      <c r="AE608" s="65">
        <f>IFERROR(__xludf.DUMMYFUNCTION("""COMPUTED_VALUE"""),1.0)</f>
        <v>1</v>
      </c>
      <c r="AF608" s="65"/>
      <c r="AG608" s="65"/>
      <c r="AH608" s="65"/>
      <c r="AI608" s="65"/>
      <c r="AJ608" s="65"/>
      <c r="AK608" s="65"/>
      <c r="AL608" s="65"/>
      <c r="AM608" s="65"/>
      <c r="AN608" s="65" t="str">
        <f>IFERROR(__xludf.DUMMYFUNCTION("""COMPUTED_VALUE"""),"01:00")</f>
        <v>01:00</v>
      </c>
      <c r="AO608" s="65" t="str">
        <f>IFERROR(__xludf.DUMMYFUNCTION("""COMPUTED_VALUE"""),"05-03-2026")</f>
        <v>05-03-2026</v>
      </c>
      <c r="AP608" s="65" t="str">
        <f>IFERROR(__xludf.DUMMYFUNCTION("""COMPUTED_VALUE"""),"Ingresando Operativo a Centro Logistico CL GUAYAQUIL")</f>
        <v>Ingresando Operativo a Centro Logistico CL GUAYAQUIL</v>
      </c>
      <c r="AQ608" s="65" t="str">
        <f>IFERROR(__xludf.DUMMYFUNCTION("""COMPUTED_VALUE"""),"{}")</f>
        <v>{}</v>
      </c>
      <c r="AR608" s="65"/>
      <c r="AS608" s="65"/>
      <c r="AT608" s="65" t="str">
        <f>IFERROR(__xludf.DUMMYFUNCTION("""COMPUTED_VALUE"""),"CHATEA PRO")</f>
        <v>CHATEA PRO</v>
      </c>
      <c r="AU608" s="65" t="str">
        <f>IFERROR(__xludf.DUMMYFUNCTION("""COMPUTED_VALUE"""),"CHATEA PRO")</f>
        <v>CHATEA PRO</v>
      </c>
      <c r="AV608" s="65"/>
      <c r="AW608" s="65"/>
      <c r="AX608" s="65"/>
      <c r="AY608" s="65" t="str">
        <f>IFERROR(__xludf.DUMMYFUNCTION("""COMPUTED_VALUE"""),"19/02/2026")</f>
        <v>19/02/2026</v>
      </c>
      <c r="AZ608" s="65"/>
      <c r="BA608" s="65"/>
    </row>
    <row r="609">
      <c r="A609" s="65" t="str">
        <f>IFERROR(__xludf.DUMMYFUNCTION("""COMPUTED_VALUE"""),"27-03-2026")</f>
        <v>27-03-2026</v>
      </c>
      <c r="B609" s="65">
        <f>IFERROR(__xludf.DUMMYFUNCTION("""COMPUTED_VALUE"""),4556140.0)</f>
        <v>4556140</v>
      </c>
      <c r="C609" s="65" t="str">
        <f>IFERROR(__xludf.DUMMYFUNCTION("""COMPUTED_VALUE"""),"13:17")</f>
        <v>13:17</v>
      </c>
      <c r="D609" s="65" t="str">
        <f>IFERROR(__xludf.DUMMYFUNCTION("""COMPUTED_VALUE"""),"19-02-2026")</f>
        <v>19-02-2026</v>
      </c>
      <c r="E609" s="65" t="str">
        <f>IFERROR(__xludf.DUMMYFUNCTION("""COMPUTED_VALUE"""),"Edwin Palacios")</f>
        <v>Edwin Palacios</v>
      </c>
      <c r="F609" s="65" t="str">
        <f>IFERROR(__xludf.DUMMYFUNCTION("""COMPUTED_VALUE"""),"998730298")</f>
        <v>998730298</v>
      </c>
      <c r="G609" s="65" t="str">
        <f>IFERROR(__xludf.DUMMYFUNCTION("""COMPUTED_VALUE"""),"edwinppo@hotmail.com")</f>
        <v>edwinppo@hotmail.com</v>
      </c>
      <c r="H609" s="65"/>
      <c r="I609" s="65"/>
      <c r="J609" s="65" t="str">
        <f>IFERROR(__xludf.DUMMYFUNCTION("""COMPUTED_VALUE"""),"D001344688")</f>
        <v>D001344688</v>
      </c>
      <c r="K609" s="65" t="str">
        <f>IFERROR(__xludf.DUMMYFUNCTION("""COMPUTED_VALUE"""),"ENTREGADO")</f>
        <v>ENTREGADO</v>
      </c>
      <c r="L609" s="65" t="str">
        <f>IFERROR(__xludf.DUMMYFUNCTION("""COMPUTED_VALUE"""),"CON RECAUDO")</f>
        <v>CON RECAUDO</v>
      </c>
      <c r="M609" s="65" t="str">
        <f>IFERROR(__xludf.DUMMYFUNCTION("""COMPUTED_VALUE"""),"PICHINCHA")</f>
        <v>PICHINCHA</v>
      </c>
      <c r="N609" s="65" t="str">
        <f>IFERROR(__xludf.DUMMYFUNCTION("""COMPUTED_VALUE"""),"QUITO")</f>
        <v>QUITO</v>
      </c>
      <c r="O609" s="65" t="str">
        <f>IFERROR(__xludf.DUMMYFUNCTION("""COMPUTED_VALUE"""),"Las Viñas E13-247 y Cesar Teran El Eden -")</f>
        <v>Las Viñas E13-247 y Cesar Teran El Eden -</v>
      </c>
      <c r="P609" s="65"/>
      <c r="Q609" s="65" t="str">
        <f>IFERROR(__xludf.DUMMYFUNCTION("""COMPUTED_VALUE"""),"GINTRACOM")</f>
        <v>GINTRACOM</v>
      </c>
      <c r="R609" s="65">
        <f>IFERROR(__xludf.DUMMYFUNCTION("""COMPUTED_VALUE"""),20.0)</f>
        <v>20</v>
      </c>
      <c r="S609" s="65">
        <f>IFERROR(__xludf.DUMMYFUNCTION("""COMPUTED_VALUE"""),11.84)</f>
        <v>11.84</v>
      </c>
      <c r="T609" s="65">
        <f>IFERROR(__xludf.DUMMYFUNCTION("""COMPUTED_VALUE"""),5.76)</f>
        <v>5.76</v>
      </c>
      <c r="U609" s="65">
        <f>IFERROR(__xludf.DUMMYFUNCTION("""COMPUTED_VALUE"""),0.0)</f>
        <v>0</v>
      </c>
      <c r="V609" s="65">
        <f>IFERROR(__xludf.DUMMYFUNCTION("""COMPUTED_VALUE"""),0.0)</f>
        <v>0</v>
      </c>
      <c r="W609" s="65">
        <f>IFERROR(__xludf.DUMMYFUNCTION("""COMPUTED_VALUE"""),0.0)</f>
        <v>0</v>
      </c>
      <c r="X609" s="65">
        <f>IFERROR(__xludf.DUMMYFUNCTION("""COMPUTED_VALUE"""),2.4)</f>
        <v>2.4</v>
      </c>
      <c r="Y609" s="65">
        <f>IFERROR(__xludf.DUMMYFUNCTION("""COMPUTED_VALUE"""),2.4)</f>
        <v>2.4</v>
      </c>
      <c r="Z609" s="65">
        <f>IFERROR(__xludf.DUMMYFUNCTION("""COMPUTED_VALUE"""),120732.0)</f>
        <v>120732</v>
      </c>
      <c r="AA609" s="65" t="str">
        <f>IFERROR(__xludf.DUMMYFUNCTION("""COMPUTED_VALUE"""),"PROV-LMPVT")</f>
        <v>PROV-LMPVT</v>
      </c>
      <c r="AB609" s="65"/>
      <c r="AC609" s="65" t="str">
        <f>IFERROR(__xludf.DUMMYFUNCTION("""COMPUTED_VALUE"""),"LIMPIADOR DE PARABRISAS Y VENTANAS")</f>
        <v>LIMPIADOR DE PARABRISAS Y VENTANAS</v>
      </c>
      <c r="AD609" s="65"/>
      <c r="AE609" s="65">
        <f>IFERROR(__xludf.DUMMYFUNCTION("""COMPUTED_VALUE"""),1.0)</f>
        <v>1</v>
      </c>
      <c r="AF609" s="65"/>
      <c r="AG609" s="65"/>
      <c r="AH609" s="65"/>
      <c r="AI609" s="65"/>
      <c r="AJ609" s="65"/>
      <c r="AK609" s="65"/>
      <c r="AL609" s="65"/>
      <c r="AM609" s="65"/>
      <c r="AN609" s="65" t="str">
        <f>IFERROR(__xludf.DUMMYFUNCTION("""COMPUTED_VALUE"""),"11:58")</f>
        <v>11:58</v>
      </c>
      <c r="AO609" s="65" t="str">
        <f>IFERROR(__xludf.DUMMYFUNCTION("""COMPUTED_VALUE"""),"21-02-2026")</f>
        <v>21-02-2026</v>
      </c>
      <c r="AP609" s="65" t="str">
        <f>IFERROR(__xludf.DUMMYFUNCTION("""COMPUTED_VALUE"""),"ENTREGADA GINTRACOM")</f>
        <v>ENTREGADA GINTRACOM</v>
      </c>
      <c r="AQ609" s="65" t="str">
        <f>IFERROR(__xludf.DUMMYFUNCTION("""COMPUTED_VALUE"""),"ENTREGADA GINTRACOM")</f>
        <v>ENTREGADA GINTRACOM</v>
      </c>
      <c r="AR609" s="65"/>
      <c r="AS609" s="65"/>
      <c r="AT609" s="65" t="str">
        <f>IFERROR(__xludf.DUMMYFUNCTION("""COMPUTED_VALUE"""),"SHOPIFY")</f>
        <v>SHOPIFY</v>
      </c>
      <c r="AU609" s="65" t="str">
        <f>IFERROR(__xludf.DUMMYFUNCTION("""COMPUTED_VALUE"""),"IMPORTEX EC")</f>
        <v>IMPORTEX EC</v>
      </c>
      <c r="AV609" s="65" t="str">
        <f>IFERROR(__xludf.DUMMYFUNCTION("""COMPUTED_VALUE"""),"6515075645484")</f>
        <v>6515075645484</v>
      </c>
      <c r="AW609" s="65">
        <f>IFERROR(__xludf.DUMMYFUNCTION("""COMPUTED_VALUE"""),6264.0)</f>
        <v>6264</v>
      </c>
      <c r="AX609" s="65"/>
      <c r="AY609" s="65" t="str">
        <f>IFERROR(__xludf.DUMMYFUNCTION("""COMPUTED_VALUE"""),"20/02/2026")</f>
        <v>20/02/2026</v>
      </c>
      <c r="AZ609" s="65"/>
      <c r="BA609" s="65"/>
    </row>
    <row r="610">
      <c r="A610" s="65" t="str">
        <f>IFERROR(__xludf.DUMMYFUNCTION("""COMPUTED_VALUE"""),"27-03-2026")</f>
        <v>27-03-2026</v>
      </c>
      <c r="B610" s="65">
        <f>IFERROR(__xludf.DUMMYFUNCTION("""COMPUTED_VALUE"""),4555047.0)</f>
        <v>4555047</v>
      </c>
      <c r="C610" s="65" t="str">
        <f>IFERROR(__xludf.DUMMYFUNCTION("""COMPUTED_VALUE"""),"11:35")</f>
        <v>11:35</v>
      </c>
      <c r="D610" s="65" t="str">
        <f>IFERROR(__xludf.DUMMYFUNCTION("""COMPUTED_VALUE"""),"19-02-2026")</f>
        <v>19-02-2026</v>
      </c>
      <c r="E610" s="65" t="str">
        <f>IFERROR(__xludf.DUMMYFUNCTION("""COMPUTED_VALUE"""),"Wilfrido washington Garcia martinez")</f>
        <v>Wilfrido washington Garcia martinez</v>
      </c>
      <c r="F610" s="65" t="str">
        <f>IFERROR(__xludf.DUMMYFUNCTION("""COMPUTED_VALUE"""),"992699552")</f>
        <v>992699552</v>
      </c>
      <c r="G610" s="65" t="str">
        <f>IFERROR(__xludf.DUMMYFUNCTION("""COMPUTED_VALUE"""),"wachogarcia-@hotmail.com")</f>
        <v>wachogarcia-@hotmail.com</v>
      </c>
      <c r="H610" s="65"/>
      <c r="I610" s="65"/>
      <c r="J610" s="65" t="str">
        <f>IFERROR(__xludf.DUMMYFUNCTION("""COMPUTED_VALUE"""),"D001344689")</f>
        <v>D001344689</v>
      </c>
      <c r="K610" s="65" t="str">
        <f>IFERROR(__xludf.DUMMYFUNCTION("""COMPUTED_VALUE"""),"ENTREGADO")</f>
        <v>ENTREGADO</v>
      </c>
      <c r="L610" s="65" t="str">
        <f>IFERROR(__xludf.DUMMYFUNCTION("""COMPUTED_VALUE"""),"CON RECAUDO")</f>
        <v>CON RECAUDO</v>
      </c>
      <c r="M610" s="65" t="str">
        <f>IFERROR(__xludf.DUMMYFUNCTION("""COMPUTED_VALUE"""),"NAPO")</f>
        <v>NAPO</v>
      </c>
      <c r="N610" s="65" t="str">
        <f>IFERROR(__xludf.DUMMYFUNCTION("""COMPUTED_VALUE"""),"TENA")</f>
        <v>TENA</v>
      </c>
      <c r="O610" s="65" t="str">
        <f>IFERROR(__xludf.DUMMYFUNCTION("""COMPUTED_VALUE"""),"Calle Juan Montalvo y Abdon Calderon Barrio central Tena, Dirección distrital de educación frente al municipio de Tena")</f>
        <v>Calle Juan Montalvo y Abdon Calderon Barrio central Tena, Dirección distrital de educación frente al municipio de Tena</v>
      </c>
      <c r="P610" s="65"/>
      <c r="Q610" s="65" t="str">
        <f>IFERROR(__xludf.DUMMYFUNCTION("""COMPUTED_VALUE"""),"GINTRACOM")</f>
        <v>GINTRACOM</v>
      </c>
      <c r="R610" s="65">
        <f>IFERROR(__xludf.DUMMYFUNCTION("""COMPUTED_VALUE"""),30.0)</f>
        <v>30</v>
      </c>
      <c r="S610" s="65">
        <f>IFERROR(__xludf.DUMMYFUNCTION("""COMPUTED_VALUE"""),16.64)</f>
        <v>16.64</v>
      </c>
      <c r="T610" s="65">
        <f>IFERROR(__xludf.DUMMYFUNCTION("""COMPUTED_VALUE"""),6.16)</f>
        <v>6.16</v>
      </c>
      <c r="U610" s="65">
        <f>IFERROR(__xludf.DUMMYFUNCTION("""COMPUTED_VALUE"""),0.0)</f>
        <v>0</v>
      </c>
      <c r="V610" s="65">
        <f>IFERROR(__xludf.DUMMYFUNCTION("""COMPUTED_VALUE"""),0.0)</f>
        <v>0</v>
      </c>
      <c r="W610" s="65">
        <f>IFERROR(__xludf.DUMMYFUNCTION("""COMPUTED_VALUE"""),0.0)</f>
        <v>0</v>
      </c>
      <c r="X610" s="65">
        <f>IFERROR(__xludf.DUMMYFUNCTION("""COMPUTED_VALUE"""),2.4)</f>
        <v>2.4</v>
      </c>
      <c r="Y610" s="65">
        <f>IFERROR(__xludf.DUMMYFUNCTION("""COMPUTED_VALUE"""),7.2)</f>
        <v>7.2</v>
      </c>
      <c r="Z610" s="65">
        <f>IFERROR(__xludf.DUMMYFUNCTION("""COMPUTED_VALUE"""),120732.0)</f>
        <v>120732</v>
      </c>
      <c r="AA610" s="65" t="str">
        <f>IFERROR(__xludf.DUMMYFUNCTION("""COMPUTED_VALUE"""),"PROV-LMPVT")</f>
        <v>PROV-LMPVT</v>
      </c>
      <c r="AB610" s="65"/>
      <c r="AC610" s="65" t="str">
        <f>IFERROR(__xludf.DUMMYFUNCTION("""COMPUTED_VALUE"""),"LIMPIADOR DE PARABRISAS Y VENTANAS")</f>
        <v>LIMPIADOR DE PARABRISAS Y VENTANAS</v>
      </c>
      <c r="AD610" s="65"/>
      <c r="AE610" s="65">
        <f>IFERROR(__xludf.DUMMYFUNCTION("""COMPUTED_VALUE"""),3.0)</f>
        <v>3</v>
      </c>
      <c r="AF610" s="65"/>
      <c r="AG610" s="65"/>
      <c r="AH610" s="65"/>
      <c r="AI610" s="65"/>
      <c r="AJ610" s="65"/>
      <c r="AK610" s="65"/>
      <c r="AL610" s="65"/>
      <c r="AM610" s="65"/>
      <c r="AN610" s="65" t="str">
        <f>IFERROR(__xludf.DUMMYFUNCTION("""COMPUTED_VALUE"""),"01:31")</f>
        <v>01:31</v>
      </c>
      <c r="AO610" s="65" t="str">
        <f>IFERROR(__xludf.DUMMYFUNCTION("""COMPUTED_VALUE"""),"22-02-2026")</f>
        <v>22-02-2026</v>
      </c>
      <c r="AP610" s="65" t="str">
        <f>IFERROR(__xludf.DUMMYFUNCTION("""COMPUTED_VALUE"""),"EN TRÁNSITO")</f>
        <v>EN TRÁNSITO</v>
      </c>
      <c r="AQ610" s="65" t="str">
        <f>IFERROR(__xludf.DUMMYFUNCTION("""COMPUTED_VALUE"""),"EN TRÁNSITO")</f>
        <v>EN TRÁNSITO</v>
      </c>
      <c r="AR610" s="65"/>
      <c r="AS610" s="65"/>
      <c r="AT610" s="65" t="str">
        <f>IFERROR(__xludf.DUMMYFUNCTION("""COMPUTED_VALUE"""),"SHOPIFY")</f>
        <v>SHOPIFY</v>
      </c>
      <c r="AU610" s="65" t="str">
        <f>IFERROR(__xludf.DUMMYFUNCTION("""COMPUTED_VALUE"""),"IMPORTEX EC")</f>
        <v>IMPORTEX EC</v>
      </c>
      <c r="AV610" s="65" t="str">
        <f>IFERROR(__xludf.DUMMYFUNCTION("""COMPUTED_VALUE"""),"6514865897516")</f>
        <v>6514865897516</v>
      </c>
      <c r="AW610" s="65">
        <f>IFERROR(__xludf.DUMMYFUNCTION("""COMPUTED_VALUE"""),6263.0)</f>
        <v>6263</v>
      </c>
      <c r="AX610" s="65"/>
      <c r="AY610" s="65" t="str">
        <f>IFERROR(__xludf.DUMMYFUNCTION("""COMPUTED_VALUE"""),"20/02/2026")</f>
        <v>20/02/2026</v>
      </c>
      <c r="AZ610" s="65"/>
      <c r="BA610" s="65"/>
    </row>
    <row r="611">
      <c r="A611" s="65" t="str">
        <f>IFERROR(__xludf.DUMMYFUNCTION("""COMPUTED_VALUE"""),"27-03-2026")</f>
        <v>27-03-2026</v>
      </c>
      <c r="B611" s="65">
        <f>IFERROR(__xludf.DUMMYFUNCTION("""COMPUTED_VALUE"""),4554820.0)</f>
        <v>4554820</v>
      </c>
      <c r="C611" s="65" t="str">
        <f>IFERROR(__xludf.DUMMYFUNCTION("""COMPUTED_VALUE"""),"11:13")</f>
        <v>11:13</v>
      </c>
      <c r="D611" s="65" t="str">
        <f>IFERROR(__xludf.DUMMYFUNCTION("""COMPUTED_VALUE"""),"19-02-2026")</f>
        <v>19-02-2026</v>
      </c>
      <c r="E611" s="65" t="str">
        <f>IFERROR(__xludf.DUMMYFUNCTION("""COMPUTED_VALUE"""),"Xavier Valladarez")</f>
        <v>Xavier Valladarez</v>
      </c>
      <c r="F611" s="65" t="str">
        <f>IFERROR(__xludf.DUMMYFUNCTION("""COMPUTED_VALUE"""),"992160552")</f>
        <v>992160552</v>
      </c>
      <c r="G611" s="65" t="str">
        <f>IFERROR(__xludf.DUMMYFUNCTION("""COMPUTED_VALUE"""),"xavialexander813@gmail.com")</f>
        <v>xavialexander813@gmail.com</v>
      </c>
      <c r="H611" s="65"/>
      <c r="I611" s="65"/>
      <c r="J611" s="65" t="str">
        <f>IFERROR(__xludf.DUMMYFUNCTION("""COMPUTED_VALUE"""),"D001344690")</f>
        <v>D001344690</v>
      </c>
      <c r="K611" s="65" t="str">
        <f>IFERROR(__xludf.DUMMYFUNCTION("""COMPUTED_VALUE"""),"ENTREGADO")</f>
        <v>ENTREGADO</v>
      </c>
      <c r="L611" s="65" t="str">
        <f>IFERROR(__xludf.DUMMYFUNCTION("""COMPUTED_VALUE"""),"CON RECAUDO")</f>
        <v>CON RECAUDO</v>
      </c>
      <c r="M611" s="65" t="str">
        <f>IFERROR(__xludf.DUMMYFUNCTION("""COMPUTED_VALUE"""),"ZAMORA CHINCHIPE")</f>
        <v>ZAMORA CHINCHIPE</v>
      </c>
      <c r="N611" s="65" t="str">
        <f>IFERROR(__xludf.DUMMYFUNCTION("""COMPUTED_VALUE"""),"ZAMORA")</f>
        <v>ZAMORA</v>
      </c>
      <c r="O611" s="65" t="str">
        <f>IFERROR(__xludf.DUMMYFUNCTION("""COMPUTED_VALUE"""),"Avenida héroes de paquisha y fernando Benavente Frente ala casa de la cultura -")</f>
        <v>Avenida héroes de paquisha y fernando Benavente Frente ala casa de la cultura -</v>
      </c>
      <c r="P611" s="65"/>
      <c r="Q611" s="65" t="str">
        <f>IFERROR(__xludf.DUMMYFUNCTION("""COMPUTED_VALUE"""),"GINTRACOM")</f>
        <v>GINTRACOM</v>
      </c>
      <c r="R611" s="65">
        <f>IFERROR(__xludf.DUMMYFUNCTION("""COMPUTED_VALUE"""),20.0)</f>
        <v>20</v>
      </c>
      <c r="S611" s="65">
        <f>IFERROR(__xludf.DUMMYFUNCTION("""COMPUTED_VALUE"""),11.84)</f>
        <v>11.84</v>
      </c>
      <c r="T611" s="65">
        <f>IFERROR(__xludf.DUMMYFUNCTION("""COMPUTED_VALUE"""),5.76)</f>
        <v>5.76</v>
      </c>
      <c r="U611" s="65">
        <f>IFERROR(__xludf.DUMMYFUNCTION("""COMPUTED_VALUE"""),0.0)</f>
        <v>0</v>
      </c>
      <c r="V611" s="65">
        <f>IFERROR(__xludf.DUMMYFUNCTION("""COMPUTED_VALUE"""),0.0)</f>
        <v>0</v>
      </c>
      <c r="W611" s="65">
        <f>IFERROR(__xludf.DUMMYFUNCTION("""COMPUTED_VALUE"""),0.0)</f>
        <v>0</v>
      </c>
      <c r="X611" s="65">
        <f>IFERROR(__xludf.DUMMYFUNCTION("""COMPUTED_VALUE"""),2.4)</f>
        <v>2.4</v>
      </c>
      <c r="Y611" s="65">
        <f>IFERROR(__xludf.DUMMYFUNCTION("""COMPUTED_VALUE"""),2.4)</f>
        <v>2.4</v>
      </c>
      <c r="Z611" s="65">
        <f>IFERROR(__xludf.DUMMYFUNCTION("""COMPUTED_VALUE"""),120732.0)</f>
        <v>120732</v>
      </c>
      <c r="AA611" s="65" t="str">
        <f>IFERROR(__xludf.DUMMYFUNCTION("""COMPUTED_VALUE"""),"PROV-LMPVT")</f>
        <v>PROV-LMPVT</v>
      </c>
      <c r="AB611" s="65"/>
      <c r="AC611" s="65" t="str">
        <f>IFERROR(__xludf.DUMMYFUNCTION("""COMPUTED_VALUE"""),"LIMPIADOR DE PARABRISAS Y VENTANAS")</f>
        <v>LIMPIADOR DE PARABRISAS Y VENTANAS</v>
      </c>
      <c r="AD611" s="65"/>
      <c r="AE611" s="65">
        <f>IFERROR(__xludf.DUMMYFUNCTION("""COMPUTED_VALUE"""),1.0)</f>
        <v>1</v>
      </c>
      <c r="AF611" s="65"/>
      <c r="AG611" s="65"/>
      <c r="AH611" s="65"/>
      <c r="AI611" s="65"/>
      <c r="AJ611" s="65"/>
      <c r="AK611" s="65"/>
      <c r="AL611" s="65"/>
      <c r="AM611" s="65"/>
      <c r="AN611" s="65" t="str">
        <f>IFERROR(__xludf.DUMMYFUNCTION("""COMPUTED_VALUE"""),"15:07")</f>
        <v>15:07</v>
      </c>
      <c r="AO611" s="65" t="str">
        <f>IFERROR(__xludf.DUMMYFUNCTION("""COMPUTED_VALUE"""),"24-02-2026")</f>
        <v>24-02-2026</v>
      </c>
      <c r="AP611" s="65" t="str">
        <f>IFERROR(__xludf.DUMMYFUNCTION("""COMPUTED_VALUE"""),"ENTREGADA GINTRACOM")</f>
        <v>ENTREGADA GINTRACOM</v>
      </c>
      <c r="AQ611" s="65" t="str">
        <f>IFERROR(__xludf.DUMMYFUNCTION("""COMPUTED_VALUE"""),"ENTREGADA GINTRACOM")</f>
        <v>ENTREGADA GINTRACOM</v>
      </c>
      <c r="AR611" s="65"/>
      <c r="AS611" s="65"/>
      <c r="AT611" s="65" t="str">
        <f>IFERROR(__xludf.DUMMYFUNCTION("""COMPUTED_VALUE"""),"SHOPIFY")</f>
        <v>SHOPIFY</v>
      </c>
      <c r="AU611" s="65" t="str">
        <f>IFERROR(__xludf.DUMMYFUNCTION("""COMPUTED_VALUE"""),"IMPORTEX EC")</f>
        <v>IMPORTEX EC</v>
      </c>
      <c r="AV611" s="65" t="str">
        <f>IFERROR(__xludf.DUMMYFUNCTION("""COMPUTED_VALUE"""),"6514816974892")</f>
        <v>6514816974892</v>
      </c>
      <c r="AW611" s="65">
        <f>IFERROR(__xludf.DUMMYFUNCTION("""COMPUTED_VALUE"""),6262.0)</f>
        <v>6262</v>
      </c>
      <c r="AX611" s="65"/>
      <c r="AY611" s="65" t="str">
        <f>IFERROR(__xludf.DUMMYFUNCTION("""COMPUTED_VALUE"""),"20/02/2026")</f>
        <v>20/02/2026</v>
      </c>
      <c r="AZ611" s="65"/>
      <c r="BA611" s="65"/>
    </row>
    <row r="612">
      <c r="A612" s="65" t="str">
        <f>IFERROR(__xludf.DUMMYFUNCTION("""COMPUTED_VALUE"""),"27-03-2026")</f>
        <v>27-03-2026</v>
      </c>
      <c r="B612" s="65">
        <f>IFERROR(__xludf.DUMMYFUNCTION("""COMPUTED_VALUE"""),4552679.0)</f>
        <v>4552679</v>
      </c>
      <c r="C612" s="65" t="str">
        <f>IFERROR(__xludf.DUMMYFUNCTION("""COMPUTED_VALUE"""),"08:24")</f>
        <v>08:24</v>
      </c>
      <c r="D612" s="65" t="str">
        <f>IFERROR(__xludf.DUMMYFUNCTION("""COMPUTED_VALUE"""),"19-02-2026")</f>
        <v>19-02-2026</v>
      </c>
      <c r="E612" s="65" t="str">
        <f>IFERROR(__xludf.DUMMYFUNCTION("""COMPUTED_VALUE"""),"José Dumes")</f>
        <v>José Dumes</v>
      </c>
      <c r="F612" s="65" t="str">
        <f>IFERROR(__xludf.DUMMYFUNCTION("""COMPUTED_VALUE"""),"999582553")</f>
        <v>999582553</v>
      </c>
      <c r="G612" s="65" t="str">
        <f>IFERROR(__xludf.DUMMYFUNCTION("""COMPUTED_VALUE"""),"josedumes42@gmail.com")</f>
        <v>josedumes42@gmail.com</v>
      </c>
      <c r="H612" s="65"/>
      <c r="I612" s="65"/>
      <c r="J612" s="65"/>
      <c r="K612" s="65" t="str">
        <f>IFERROR(__xludf.DUMMYFUNCTION("""COMPUTED_VALUE"""),"PENDIENTE CONFIRMACION")</f>
        <v>PENDIENTE CONFIRMACION</v>
      </c>
      <c r="L612" s="65" t="str">
        <f>IFERROR(__xludf.DUMMYFUNCTION("""COMPUTED_VALUE"""),"CON RECAUDO")</f>
        <v>CON RECAUDO</v>
      </c>
      <c r="M612" s="65" t="str">
        <f>IFERROR(__xludf.DUMMYFUNCTION("""COMPUTED_VALUE"""),"PICHINCHA")</f>
        <v>PICHINCHA</v>
      </c>
      <c r="N612" s="65" t="str">
        <f>IFERROR(__xludf.DUMMYFUNCTION("""COMPUTED_VALUE"""),"QUITO")</f>
        <v>QUITO</v>
      </c>
      <c r="O612" s="65" t="str">
        <f>IFERROR(__xludf.DUMMYFUNCTION("""COMPUTED_VALUE"""),"Emilio estrada Antonio roon Monserrat -")</f>
        <v>Emilio estrada Antonio roon Monserrat -</v>
      </c>
      <c r="P612" s="65"/>
      <c r="Q612" s="65" t="str">
        <f>IFERROR(__xludf.DUMMYFUNCTION("""COMPUTED_VALUE"""),"GINTRACOM")</f>
        <v>GINTRACOM</v>
      </c>
      <c r="R612" s="65">
        <f>IFERROR(__xludf.DUMMYFUNCTION("""COMPUTED_VALUE"""),25.0)</f>
        <v>25</v>
      </c>
      <c r="S612" s="65"/>
      <c r="T612" s="65">
        <f>IFERROR(__xludf.DUMMYFUNCTION("""COMPUTED_VALUE"""),5.96)</f>
        <v>5.96</v>
      </c>
      <c r="U612" s="65">
        <f>IFERROR(__xludf.DUMMYFUNCTION("""COMPUTED_VALUE"""),0.0)</f>
        <v>0</v>
      </c>
      <c r="V612" s="65">
        <f>IFERROR(__xludf.DUMMYFUNCTION("""COMPUTED_VALUE"""),0.0)</f>
        <v>0</v>
      </c>
      <c r="W612" s="65">
        <f>IFERROR(__xludf.DUMMYFUNCTION("""COMPUTED_VALUE"""),0.0)</f>
        <v>0</v>
      </c>
      <c r="X612" s="65">
        <f>IFERROR(__xludf.DUMMYFUNCTION("""COMPUTED_VALUE"""),2.4)</f>
        <v>2.4</v>
      </c>
      <c r="Y612" s="65">
        <f>IFERROR(__xludf.DUMMYFUNCTION("""COMPUTED_VALUE"""),4.8)</f>
        <v>4.8</v>
      </c>
      <c r="Z612" s="65">
        <f>IFERROR(__xludf.DUMMYFUNCTION("""COMPUTED_VALUE"""),120732.0)</f>
        <v>120732</v>
      </c>
      <c r="AA612" s="65" t="str">
        <f>IFERROR(__xludf.DUMMYFUNCTION("""COMPUTED_VALUE"""),"PROV-LMPVT")</f>
        <v>PROV-LMPVT</v>
      </c>
      <c r="AB612" s="65"/>
      <c r="AC612" s="65" t="str">
        <f>IFERROR(__xludf.DUMMYFUNCTION("""COMPUTED_VALUE"""),"LIMPIADOR DE PARABRISAS Y VENTANAS")</f>
        <v>LIMPIADOR DE PARABRISAS Y VENTANAS</v>
      </c>
      <c r="AD612" s="65"/>
      <c r="AE612" s="65">
        <f>IFERROR(__xludf.DUMMYFUNCTION("""COMPUTED_VALUE"""),2.0)</f>
        <v>2</v>
      </c>
      <c r="AF612" s="65"/>
      <c r="AG612" s="65"/>
      <c r="AH612" s="65"/>
      <c r="AI612" s="65"/>
      <c r="AJ612" s="65"/>
      <c r="AK612" s="65"/>
      <c r="AL612" s="65"/>
      <c r="AM612" s="65"/>
      <c r="AN612" s="65"/>
      <c r="AO612" s="65"/>
      <c r="AP612" s="65"/>
      <c r="AQ612" s="65"/>
      <c r="AR612" s="65"/>
      <c r="AS612" s="65"/>
      <c r="AT612" s="65" t="str">
        <f>IFERROR(__xludf.DUMMYFUNCTION("""COMPUTED_VALUE"""),"SHOPIFY")</f>
        <v>SHOPIFY</v>
      </c>
      <c r="AU612" s="65" t="str">
        <f>IFERROR(__xludf.DUMMYFUNCTION("""COMPUTED_VALUE"""),"IMPORTEX EC")</f>
        <v>IMPORTEX EC</v>
      </c>
      <c r="AV612" s="65" t="str">
        <f>IFERROR(__xludf.DUMMYFUNCTION("""COMPUTED_VALUE"""),"6514529894444")</f>
        <v>6514529894444</v>
      </c>
      <c r="AW612" s="65">
        <f>IFERROR(__xludf.DUMMYFUNCTION("""COMPUTED_VALUE"""),6261.0)</f>
        <v>6261</v>
      </c>
      <c r="AX612" s="65"/>
      <c r="AY612" s="65"/>
      <c r="AZ612" s="65"/>
      <c r="BA612" s="65"/>
    </row>
    <row r="613">
      <c r="A613" s="65" t="str">
        <f>IFERROR(__xludf.DUMMYFUNCTION("""COMPUTED_VALUE"""),"27-03-2026")</f>
        <v>27-03-2026</v>
      </c>
      <c r="B613" s="65">
        <f>IFERROR(__xludf.DUMMYFUNCTION("""COMPUTED_VALUE"""),4551350.0)</f>
        <v>4551350</v>
      </c>
      <c r="C613" s="65" t="str">
        <f>IFERROR(__xludf.DUMMYFUNCTION("""COMPUTED_VALUE"""),"04:35")</f>
        <v>04:35</v>
      </c>
      <c r="D613" s="65" t="str">
        <f>IFERROR(__xludf.DUMMYFUNCTION("""COMPUTED_VALUE"""),"19-02-2026")</f>
        <v>19-02-2026</v>
      </c>
      <c r="E613" s="65" t="str">
        <f>IFERROR(__xludf.DUMMYFUNCTION("""COMPUTED_VALUE"""),"Jose Luis Ortega")</f>
        <v>Jose Luis Ortega</v>
      </c>
      <c r="F613" s="65" t="str">
        <f>IFERROR(__xludf.DUMMYFUNCTION("""COMPUTED_VALUE"""),"995007932")</f>
        <v>995007932</v>
      </c>
      <c r="G613" s="65" t="str">
        <f>IFERROR(__xludf.DUMMYFUNCTION("""COMPUTED_VALUE"""),"joseluisortega7627@gmail.com")</f>
        <v>joseluisortega7627@gmail.com</v>
      </c>
      <c r="H613" s="65"/>
      <c r="I613" s="65"/>
      <c r="J613" s="65" t="str">
        <f>IFERROR(__xludf.DUMMYFUNCTION("""COMPUTED_VALUE"""),"D001344691")</f>
        <v>D001344691</v>
      </c>
      <c r="K613" s="65" t="str">
        <f>IFERROR(__xludf.DUMMYFUNCTION("""COMPUTED_VALUE"""),"DEVOLUCION")</f>
        <v>DEVOLUCION</v>
      </c>
      <c r="L613" s="65" t="str">
        <f>IFERROR(__xludf.DUMMYFUNCTION("""COMPUTED_VALUE"""),"CON RECAUDO")</f>
        <v>CON RECAUDO</v>
      </c>
      <c r="M613" s="65" t="str">
        <f>IFERROR(__xludf.DUMMYFUNCTION("""COMPUTED_VALUE"""),"IMBABURA")</f>
        <v>IMBABURA</v>
      </c>
      <c r="N613" s="65" t="str">
        <f>IFERROR(__xludf.DUMMYFUNCTION("""COMPUTED_VALUE"""),"IBARRA")</f>
        <v>IBARRA</v>
      </c>
      <c r="O613" s="65" t="str">
        <f>IFERROR(__xludf.DUMMYFUNCTION("""COMPUTED_VALUE"""),"Calle Riombamba entre Puyo y Tena 1040 Azaya a dos cuadras del polideportivo de Azaya")</f>
        <v>Calle Riombamba entre Puyo y Tena 1040 Azaya a dos cuadras del polideportivo de Azaya</v>
      </c>
      <c r="P613" s="65"/>
      <c r="Q613" s="65" t="str">
        <f>IFERROR(__xludf.DUMMYFUNCTION("""COMPUTED_VALUE"""),"GINTRACOM")</f>
        <v>GINTRACOM</v>
      </c>
      <c r="R613" s="65">
        <f>IFERROR(__xludf.DUMMYFUNCTION("""COMPUTED_VALUE"""),25.0)</f>
        <v>25</v>
      </c>
      <c r="S613" s="65"/>
      <c r="T613" s="65">
        <f>IFERROR(__xludf.DUMMYFUNCTION("""COMPUTED_VALUE"""),5.96)</f>
        <v>5.96</v>
      </c>
      <c r="U613" s="65">
        <f>IFERROR(__xludf.DUMMYFUNCTION("""COMPUTED_VALUE"""),0.0)</f>
        <v>0</v>
      </c>
      <c r="V613" s="65">
        <f>IFERROR(__xludf.DUMMYFUNCTION("""COMPUTED_VALUE"""),0.0)</f>
        <v>0</v>
      </c>
      <c r="W613" s="65">
        <f>IFERROR(__xludf.DUMMYFUNCTION("""COMPUTED_VALUE"""),0.0)</f>
        <v>0</v>
      </c>
      <c r="X613" s="65">
        <f>IFERROR(__xludf.DUMMYFUNCTION("""COMPUTED_VALUE"""),2.4)</f>
        <v>2.4</v>
      </c>
      <c r="Y613" s="65">
        <f>IFERROR(__xludf.DUMMYFUNCTION("""COMPUTED_VALUE"""),4.8)</f>
        <v>4.8</v>
      </c>
      <c r="Z613" s="65">
        <f>IFERROR(__xludf.DUMMYFUNCTION("""COMPUTED_VALUE"""),120732.0)</f>
        <v>120732</v>
      </c>
      <c r="AA613" s="65" t="str">
        <f>IFERROR(__xludf.DUMMYFUNCTION("""COMPUTED_VALUE"""),"PROV-LMPVT")</f>
        <v>PROV-LMPVT</v>
      </c>
      <c r="AB613" s="65"/>
      <c r="AC613" s="65" t="str">
        <f>IFERROR(__xludf.DUMMYFUNCTION("""COMPUTED_VALUE"""),"LIMPIADOR DE PARABRISAS Y VENTANAS")</f>
        <v>LIMPIADOR DE PARABRISAS Y VENTANAS</v>
      </c>
      <c r="AD613" s="65"/>
      <c r="AE613" s="65">
        <f>IFERROR(__xludf.DUMMYFUNCTION("""COMPUTED_VALUE"""),2.0)</f>
        <v>2</v>
      </c>
      <c r="AF613" s="65" t="str">
        <f>IFERROR(__xludf.DUMMYFUNCTION("""COMPUTED_VALUE"""),"DESTINATARIO NO CONTESTA LLAMADAS NI WHATSAPP")</f>
        <v>DESTINATARIO NO CONTESTA LLAMADAS NI WHATSAPP</v>
      </c>
      <c r="AG613" s="65" t="str">
        <f>IFERROR(__xludf.DUMMYFUNCTION("""COMPUTED_VALUE"""),"SI")</f>
        <v>SI</v>
      </c>
      <c r="AH613" s="65" t="str">
        <f>IFERROR(__xludf.DUMMYFUNCTION("""COMPUTED_VALUE"""),"09:00")</f>
        <v>09:00</v>
      </c>
      <c r="AI613" s="65" t="str">
        <f>IFERROR(__xludf.DUMMYFUNCTION("""COMPUTED_VALUE"""),"03-03-2026")</f>
        <v>03-03-2026</v>
      </c>
      <c r="AJ613" s="65" t="str">
        <f>IFERROR(__xludf.DUMMYFUNCTION("""COMPUTED_VALUE"""),"Cliente solicita la entrega inmediata.")</f>
        <v>Cliente solicita la entrega inmediata.</v>
      </c>
      <c r="AK613" s="65" t="str">
        <f>IFERROR(__xludf.DUMMYFUNCTION("""COMPUTED_VALUE"""),"13:16")</f>
        <v>13:16</v>
      </c>
      <c r="AL613" s="65" t="str">
        <f>IFERROR(__xludf.DUMMYFUNCTION("""COMPUTED_VALUE"""),"04-03-2026")</f>
        <v>04-03-2026</v>
      </c>
      <c r="AM613" s="65"/>
      <c r="AN613" s="65" t="str">
        <f>IFERROR(__xludf.DUMMYFUNCTION("""COMPUTED_VALUE"""),"10:29")</f>
        <v>10:29</v>
      </c>
      <c r="AO613" s="65" t="str">
        <f>IFERROR(__xludf.DUMMYFUNCTION("""COMPUTED_VALUE"""),"17-03-2026")</f>
        <v>17-03-2026</v>
      </c>
      <c r="AP613" s="65" t="str">
        <f>IFERROR(__xludf.DUMMYFUNCTION("""COMPUTED_VALUE"""),"DEV CONFIRMADA POR BODEGA")</f>
        <v>DEV CONFIRMADA POR BODEGA</v>
      </c>
      <c r="AQ613" s="65"/>
      <c r="AR613" s="65" t="str">
        <f>IFERROR(__xludf.DUMMYFUNCTION("""COMPUTED_VALUE"""),"Gestionado por: PROVEDIX DAMIAN, email:enviogratisdirecto@gmail.com, total de productos en la orden: 1")</f>
        <v>Gestionado por: PROVEDIX DAMIAN, email:enviogratisdirecto@gmail.com, total de productos en la orden: 1</v>
      </c>
      <c r="AS613" s="65"/>
      <c r="AT613" s="65" t="str">
        <f>IFERROR(__xludf.DUMMYFUNCTION("""COMPUTED_VALUE"""),"SHOPIFY")</f>
        <v>SHOPIFY</v>
      </c>
      <c r="AU613" s="65" t="str">
        <f>IFERROR(__xludf.DUMMYFUNCTION("""COMPUTED_VALUE"""),"IMPORTEX EC")</f>
        <v>IMPORTEX EC</v>
      </c>
      <c r="AV613" s="65" t="str">
        <f>IFERROR(__xludf.DUMMYFUNCTION("""COMPUTED_VALUE"""),"6514335907884")</f>
        <v>6514335907884</v>
      </c>
      <c r="AW613" s="65">
        <f>IFERROR(__xludf.DUMMYFUNCTION("""COMPUTED_VALUE"""),6259.0)</f>
        <v>6259</v>
      </c>
      <c r="AX613" s="65"/>
      <c r="AY613" s="65" t="str">
        <f>IFERROR(__xludf.DUMMYFUNCTION("""COMPUTED_VALUE"""),"20/02/2026")</f>
        <v>20/02/2026</v>
      </c>
      <c r="AZ613" s="65"/>
      <c r="BA613" s="65"/>
    </row>
    <row r="614">
      <c r="A614" s="65" t="str">
        <f>IFERROR(__xludf.DUMMYFUNCTION("""COMPUTED_VALUE"""),"27-03-2026")</f>
        <v>27-03-2026</v>
      </c>
      <c r="B614" s="65">
        <f>IFERROR(__xludf.DUMMYFUNCTION("""COMPUTED_VALUE"""),4551240.0)</f>
        <v>4551240</v>
      </c>
      <c r="C614" s="65" t="str">
        <f>IFERROR(__xludf.DUMMYFUNCTION("""COMPUTED_VALUE"""),"02:30")</f>
        <v>02:30</v>
      </c>
      <c r="D614" s="65" t="str">
        <f>IFERROR(__xludf.DUMMYFUNCTION("""COMPUTED_VALUE"""),"19-02-2026")</f>
        <v>19-02-2026</v>
      </c>
      <c r="E614" s="65" t="str">
        <f>IFERROR(__xludf.DUMMYFUNCTION("""COMPUTED_VALUE"""),"Mario Monta")</f>
        <v>Mario Monta</v>
      </c>
      <c r="F614" s="65" t="str">
        <f>IFERROR(__xludf.DUMMYFUNCTION("""COMPUTED_VALUE"""),"984633778")</f>
        <v>984633778</v>
      </c>
      <c r="G614" s="65" t="str">
        <f>IFERROR(__xludf.DUMMYFUNCTION("""COMPUTED_VALUE"""),"m.m197712mm@gmail.com")</f>
        <v>m.m197712mm@gmail.com</v>
      </c>
      <c r="H614" s="65"/>
      <c r="I614" s="65"/>
      <c r="J614" s="65" t="str">
        <f>IFERROR(__xludf.DUMMYFUNCTION("""COMPUTED_VALUE"""),"D001344692")</f>
        <v>D001344692</v>
      </c>
      <c r="K614" s="65" t="str">
        <f>IFERROR(__xludf.DUMMYFUNCTION("""COMPUTED_VALUE"""),"ENTREGADO")</f>
        <v>ENTREGADO</v>
      </c>
      <c r="L614" s="65" t="str">
        <f>IFERROR(__xludf.DUMMYFUNCTION("""COMPUTED_VALUE"""),"CON RECAUDO")</f>
        <v>CON RECAUDO</v>
      </c>
      <c r="M614" s="65" t="str">
        <f>IFERROR(__xludf.DUMMYFUNCTION("""COMPUTED_VALUE"""),"PICHINCHA")</f>
        <v>PICHINCHA</v>
      </c>
      <c r="N614" s="65" t="str">
        <f>IFERROR(__xludf.DUMMYFUNCTION("""COMPUTED_VALUE"""),"TUMBACO")</f>
        <v>TUMBACO</v>
      </c>
      <c r="O614" s="65" t="str">
        <f>IFERROR(__xludf.DUMMYFUNCTION("""COMPUTED_VALUE"""),"Oswaldo Guayasamin y av. Manuel garaicoa a 300 metro a lado derecho ehi esta le mecánica servicio automotriz J.R. puerta negra ahí es tiene esta a lado la panadería la Gironella.-")</f>
        <v>Oswaldo Guayasamin y av. Manuel garaicoa a 300 metro a lado derecho ehi esta le mecánica servicio automotriz J.R. puerta negra ahí es tiene esta a lado la panadería la Gironella.-</v>
      </c>
      <c r="P614" s="65"/>
      <c r="Q614" s="65" t="str">
        <f>IFERROR(__xludf.DUMMYFUNCTION("""COMPUTED_VALUE"""),"GINTRACOM")</f>
        <v>GINTRACOM</v>
      </c>
      <c r="R614" s="65">
        <f>IFERROR(__xludf.DUMMYFUNCTION("""COMPUTED_VALUE"""),25.0)</f>
        <v>25</v>
      </c>
      <c r="S614" s="65">
        <f>IFERROR(__xludf.DUMMYFUNCTION("""COMPUTED_VALUE"""),14.24)</f>
        <v>14.24</v>
      </c>
      <c r="T614" s="65">
        <f>IFERROR(__xludf.DUMMYFUNCTION("""COMPUTED_VALUE"""),5.96)</f>
        <v>5.96</v>
      </c>
      <c r="U614" s="65">
        <f>IFERROR(__xludf.DUMMYFUNCTION("""COMPUTED_VALUE"""),0.0)</f>
        <v>0</v>
      </c>
      <c r="V614" s="65">
        <f>IFERROR(__xludf.DUMMYFUNCTION("""COMPUTED_VALUE"""),0.0)</f>
        <v>0</v>
      </c>
      <c r="W614" s="65">
        <f>IFERROR(__xludf.DUMMYFUNCTION("""COMPUTED_VALUE"""),0.0)</f>
        <v>0</v>
      </c>
      <c r="X614" s="65">
        <f>IFERROR(__xludf.DUMMYFUNCTION("""COMPUTED_VALUE"""),2.4)</f>
        <v>2.4</v>
      </c>
      <c r="Y614" s="65">
        <f>IFERROR(__xludf.DUMMYFUNCTION("""COMPUTED_VALUE"""),4.8)</f>
        <v>4.8</v>
      </c>
      <c r="Z614" s="65">
        <f>IFERROR(__xludf.DUMMYFUNCTION("""COMPUTED_VALUE"""),120732.0)</f>
        <v>120732</v>
      </c>
      <c r="AA614" s="65" t="str">
        <f>IFERROR(__xludf.DUMMYFUNCTION("""COMPUTED_VALUE"""),"PROV-LMPVT")</f>
        <v>PROV-LMPVT</v>
      </c>
      <c r="AB614" s="65"/>
      <c r="AC614" s="65" t="str">
        <f>IFERROR(__xludf.DUMMYFUNCTION("""COMPUTED_VALUE"""),"LIMPIADOR DE PARABRISAS Y VENTANAS")</f>
        <v>LIMPIADOR DE PARABRISAS Y VENTANAS</v>
      </c>
      <c r="AD614" s="65"/>
      <c r="AE614" s="65">
        <f>IFERROR(__xludf.DUMMYFUNCTION("""COMPUTED_VALUE"""),2.0)</f>
        <v>2</v>
      </c>
      <c r="AF614" s="65" t="str">
        <f>IFERROR(__xludf.DUMMYFUNCTION("""COMPUTED_VALUE"""),"DESTINATARIO INDICA QUE YA NO DESEA EL PRODUCTO")</f>
        <v>DESTINATARIO INDICA QUE YA NO DESEA EL PRODUCTO</v>
      </c>
      <c r="AG614" s="65" t="str">
        <f>IFERROR(__xludf.DUMMYFUNCTION("""COMPUTED_VALUE"""),"NO")</f>
        <v>NO</v>
      </c>
      <c r="AH614" s="65" t="str">
        <f>IFERROR(__xludf.DUMMYFUNCTION("""COMPUTED_VALUE"""),"09:15")</f>
        <v>09:15</v>
      </c>
      <c r="AI614" s="65" t="str">
        <f>IFERROR(__xludf.DUMMYFUNCTION("""COMPUTED_VALUE"""),"21-02-2026")</f>
        <v>21-02-2026</v>
      </c>
      <c r="AJ614" s="65"/>
      <c r="AK614" s="65"/>
      <c r="AL614" s="65"/>
      <c r="AM614" s="65"/>
      <c r="AN614" s="65" t="str">
        <f>IFERROR(__xludf.DUMMYFUNCTION("""COMPUTED_VALUE"""),"09:15")</f>
        <v>09:15</v>
      </c>
      <c r="AO614" s="65" t="str">
        <f>IFERROR(__xludf.DUMMYFUNCTION("""COMPUTED_VALUE"""),"21-02-2026")</f>
        <v>21-02-2026</v>
      </c>
      <c r="AP614" s="65" t="str">
        <f>IFERROR(__xludf.DUMMYFUNCTION("""COMPUTED_VALUE"""),"DESTINATARIO INDICA QUE YA NO DESEA EL PRODUCTO")</f>
        <v>DESTINATARIO INDICA QUE YA NO DESEA EL PRODUCTO</v>
      </c>
      <c r="AQ614" s="65" t="str">
        <f>IFERROR(__xludf.DUMMYFUNCTION("""COMPUTED_VALUE"""),"DESTINATARIO INDICA QUE YA NO DESEA EL PRODUCTO")</f>
        <v>DESTINATARIO INDICA QUE YA NO DESEA EL PRODUCTO</v>
      </c>
      <c r="AR614" s="65"/>
      <c r="AS614" s="65"/>
      <c r="AT614" s="65" t="str">
        <f>IFERROR(__xludf.DUMMYFUNCTION("""COMPUTED_VALUE"""),"SHOPIFY")</f>
        <v>SHOPIFY</v>
      </c>
      <c r="AU614" s="65" t="str">
        <f>IFERROR(__xludf.DUMMYFUNCTION("""COMPUTED_VALUE"""),"IMPORTEX EC")</f>
        <v>IMPORTEX EC</v>
      </c>
      <c r="AV614" s="65" t="str">
        <f>IFERROR(__xludf.DUMMYFUNCTION("""COMPUTED_VALUE"""),"6514175803436")</f>
        <v>6514175803436</v>
      </c>
      <c r="AW614" s="65">
        <f>IFERROR(__xludf.DUMMYFUNCTION("""COMPUTED_VALUE"""),6258.0)</f>
        <v>6258</v>
      </c>
      <c r="AX614" s="65"/>
      <c r="AY614" s="65" t="str">
        <f>IFERROR(__xludf.DUMMYFUNCTION("""COMPUTED_VALUE"""),"20/02/2026")</f>
        <v>20/02/2026</v>
      </c>
      <c r="AZ614" s="65"/>
      <c r="BA614" s="65"/>
    </row>
    <row r="615">
      <c r="A615" s="65" t="str">
        <f>IFERROR(__xludf.DUMMYFUNCTION("""COMPUTED_VALUE"""),"27-03-2026")</f>
        <v>27-03-2026</v>
      </c>
      <c r="B615" s="65">
        <f>IFERROR(__xludf.DUMMYFUNCTION("""COMPUTED_VALUE"""),4550422.0)</f>
        <v>4550422</v>
      </c>
      <c r="C615" s="65" t="str">
        <f>IFERROR(__xludf.DUMMYFUNCTION("""COMPUTED_VALUE"""),"23:01")</f>
        <v>23:01</v>
      </c>
      <c r="D615" s="65" t="str">
        <f>IFERROR(__xludf.DUMMYFUNCTION("""COMPUTED_VALUE"""),"18-02-2026")</f>
        <v>18-02-2026</v>
      </c>
      <c r="E615" s="65" t="str">
        <f>IFERROR(__xludf.DUMMYFUNCTION("""COMPUTED_VALUE"""),"Carlos Moreno Moreno")</f>
        <v>Carlos Moreno Moreno</v>
      </c>
      <c r="F615" s="65" t="str">
        <f>IFERROR(__xludf.DUMMYFUNCTION("""COMPUTED_VALUE"""),"993426104")</f>
        <v>993426104</v>
      </c>
      <c r="G615" s="65" t="str">
        <f>IFERROR(__xludf.DUMMYFUNCTION("""COMPUTED_VALUE"""),"carloslentejita21@hotmail.com")</f>
        <v>carloslentejita21@hotmail.com</v>
      </c>
      <c r="H615" s="65"/>
      <c r="I615" s="65"/>
      <c r="J615" s="65" t="str">
        <f>IFERROR(__xludf.DUMMYFUNCTION("""COMPUTED_VALUE"""),"D001355665")</f>
        <v>D001355665</v>
      </c>
      <c r="K615" s="65" t="str">
        <f>IFERROR(__xludf.DUMMYFUNCTION("""COMPUTED_VALUE"""),"ENTREGADO")</f>
        <v>ENTREGADO</v>
      </c>
      <c r="L615" s="65" t="str">
        <f>IFERROR(__xludf.DUMMYFUNCTION("""COMPUTED_VALUE"""),"CON RECAUDO")</f>
        <v>CON RECAUDO</v>
      </c>
      <c r="M615" s="65" t="str">
        <f>IFERROR(__xludf.DUMMYFUNCTION("""COMPUTED_VALUE"""),"ESMERALDAS")</f>
        <v>ESMERALDAS</v>
      </c>
      <c r="N615" s="65" t="str">
        <f>IFERROR(__xludf.DUMMYFUNCTION("""COMPUTED_VALUE"""),"ESMERALDAS")</f>
        <v>ESMERALDAS</v>
      </c>
      <c r="O615" s="65" t="str">
        <f>IFERROR(__xludf.DUMMYFUNCTION("""COMPUTED_VALUE"""),"El Oro y francisco Mejia A media cuadra antes de la iglesia sia -")</f>
        <v>El Oro y francisco Mejia A media cuadra antes de la iglesia sia -</v>
      </c>
      <c r="P615" s="65"/>
      <c r="Q615" s="65" t="str">
        <f>IFERROR(__xludf.DUMMYFUNCTION("""COMPUTED_VALUE"""),"GINTRACOM")</f>
        <v>GINTRACOM</v>
      </c>
      <c r="R615" s="65">
        <f>IFERROR(__xludf.DUMMYFUNCTION("""COMPUTED_VALUE"""),30.0)</f>
        <v>30</v>
      </c>
      <c r="S615" s="65">
        <f>IFERROR(__xludf.DUMMYFUNCTION("""COMPUTED_VALUE"""),16.64)</f>
        <v>16.64</v>
      </c>
      <c r="T615" s="65">
        <f>IFERROR(__xludf.DUMMYFUNCTION("""COMPUTED_VALUE"""),6.16)</f>
        <v>6.16</v>
      </c>
      <c r="U615" s="65">
        <f>IFERROR(__xludf.DUMMYFUNCTION("""COMPUTED_VALUE"""),0.0)</f>
        <v>0</v>
      </c>
      <c r="V615" s="65">
        <f>IFERROR(__xludf.DUMMYFUNCTION("""COMPUTED_VALUE"""),0.0)</f>
        <v>0</v>
      </c>
      <c r="W615" s="65">
        <f>IFERROR(__xludf.DUMMYFUNCTION("""COMPUTED_VALUE"""),0.0)</f>
        <v>0</v>
      </c>
      <c r="X615" s="65">
        <f>IFERROR(__xludf.DUMMYFUNCTION("""COMPUTED_VALUE"""),2.4)</f>
        <v>2.4</v>
      </c>
      <c r="Y615" s="65">
        <f>IFERROR(__xludf.DUMMYFUNCTION("""COMPUTED_VALUE"""),7.2)</f>
        <v>7.2</v>
      </c>
      <c r="Z615" s="65">
        <f>IFERROR(__xludf.DUMMYFUNCTION("""COMPUTED_VALUE"""),120732.0)</f>
        <v>120732</v>
      </c>
      <c r="AA615" s="65" t="str">
        <f>IFERROR(__xludf.DUMMYFUNCTION("""COMPUTED_VALUE"""),"PROV-LMPVT")</f>
        <v>PROV-LMPVT</v>
      </c>
      <c r="AB615" s="65"/>
      <c r="AC615" s="65" t="str">
        <f>IFERROR(__xludf.DUMMYFUNCTION("""COMPUTED_VALUE"""),"LIMPIADOR DE PARABRISAS Y VENTANAS")</f>
        <v>LIMPIADOR DE PARABRISAS Y VENTANAS</v>
      </c>
      <c r="AD615" s="65"/>
      <c r="AE615" s="65">
        <f>IFERROR(__xludf.DUMMYFUNCTION("""COMPUTED_VALUE"""),3.0)</f>
        <v>3</v>
      </c>
      <c r="AF615" s="65"/>
      <c r="AG615" s="65"/>
      <c r="AH615" s="65"/>
      <c r="AI615" s="65"/>
      <c r="AJ615" s="65"/>
      <c r="AK615" s="65"/>
      <c r="AL615" s="65"/>
      <c r="AM615" s="65"/>
      <c r="AN615" s="65" t="str">
        <f>IFERROR(__xludf.DUMMYFUNCTION("""COMPUTED_VALUE"""),"11:41")</f>
        <v>11:41</v>
      </c>
      <c r="AO615" s="65" t="str">
        <f>IFERROR(__xludf.DUMMYFUNCTION("""COMPUTED_VALUE"""),"27-02-2026")</f>
        <v>27-02-2026</v>
      </c>
      <c r="AP615" s="65" t="str">
        <f>IFERROR(__xludf.DUMMYFUNCTION("""COMPUTED_VALUE"""),"ENTREGADA GINTRACOM")</f>
        <v>ENTREGADA GINTRACOM</v>
      </c>
      <c r="AQ615" s="65" t="str">
        <f>IFERROR(__xludf.DUMMYFUNCTION("""COMPUTED_VALUE"""),"ENTREGADA GINTRACOM")</f>
        <v>ENTREGADA GINTRACOM</v>
      </c>
      <c r="AR615" s="65"/>
      <c r="AS615" s="65"/>
      <c r="AT615" s="65" t="str">
        <f>IFERROR(__xludf.DUMMYFUNCTION("""COMPUTED_VALUE"""),"SHOPIFY")</f>
        <v>SHOPIFY</v>
      </c>
      <c r="AU615" s="65" t="str">
        <f>IFERROR(__xludf.DUMMYFUNCTION("""COMPUTED_VALUE"""),"IMPORTEX EC")</f>
        <v>IMPORTEX EC</v>
      </c>
      <c r="AV615" s="65" t="str">
        <f>IFERROR(__xludf.DUMMYFUNCTION("""COMPUTED_VALUE"""),"6513926635564")</f>
        <v>6513926635564</v>
      </c>
      <c r="AW615" s="65">
        <f>IFERROR(__xludf.DUMMYFUNCTION("""COMPUTED_VALUE"""),6257.0)</f>
        <v>6257</v>
      </c>
      <c r="AX615" s="65"/>
      <c r="AY615" s="65" t="str">
        <f>IFERROR(__xludf.DUMMYFUNCTION("""COMPUTED_VALUE"""),"24/02/2026")</f>
        <v>24/02/2026</v>
      </c>
      <c r="AZ615" s="65"/>
      <c r="BA615" s="65"/>
    </row>
    <row r="616">
      <c r="A616" s="65" t="str">
        <f>IFERROR(__xludf.DUMMYFUNCTION("""COMPUTED_VALUE"""),"27-03-2026")</f>
        <v>27-03-2026</v>
      </c>
      <c r="B616" s="65">
        <f>IFERROR(__xludf.DUMMYFUNCTION("""COMPUTED_VALUE"""),4550182.0)</f>
        <v>4550182</v>
      </c>
      <c r="C616" s="65" t="str">
        <f>IFERROR(__xludf.DUMMYFUNCTION("""COMPUTED_VALUE"""),"22:38")</f>
        <v>22:38</v>
      </c>
      <c r="D616" s="65" t="str">
        <f>IFERROR(__xludf.DUMMYFUNCTION("""COMPUTED_VALUE"""),"18-02-2026")</f>
        <v>18-02-2026</v>
      </c>
      <c r="E616" s="65" t="str">
        <f>IFERROR(__xludf.DUMMYFUNCTION("""COMPUTED_VALUE"""),"Lila Chabla")</f>
        <v>Lila Chabla</v>
      </c>
      <c r="F616" s="65" t="str">
        <f>IFERROR(__xludf.DUMMYFUNCTION("""COMPUTED_VALUE"""),"984886896")</f>
        <v>984886896</v>
      </c>
      <c r="G616" s="65" t="str">
        <f>IFERROR(__xludf.DUMMYFUNCTION("""COMPUTED_VALUE"""),"lmchc82@gmail.com")</f>
        <v>lmchc82@gmail.com</v>
      </c>
      <c r="H616" s="65"/>
      <c r="I616" s="65"/>
      <c r="J616" s="65" t="str">
        <f>IFERROR(__xludf.DUMMYFUNCTION("""COMPUTED_VALUE"""),"D001344693")</f>
        <v>D001344693</v>
      </c>
      <c r="K616" s="65" t="str">
        <f>IFERROR(__xludf.DUMMYFUNCTION("""COMPUTED_VALUE"""),"ENTREGADO")</f>
        <v>ENTREGADO</v>
      </c>
      <c r="L616" s="65" t="str">
        <f>IFERROR(__xludf.DUMMYFUNCTION("""COMPUTED_VALUE"""),"CON RECAUDO")</f>
        <v>CON RECAUDO</v>
      </c>
      <c r="M616" s="65" t="str">
        <f>IFERROR(__xludf.DUMMYFUNCTION("""COMPUTED_VALUE"""),"GUAYAS")</f>
        <v>GUAYAS</v>
      </c>
      <c r="N616" s="65" t="str">
        <f>IFERROR(__xludf.DUMMYFUNCTION("""COMPUTED_VALUE"""),"GUAYAQUIL")</f>
        <v>GUAYAQUIL</v>
      </c>
      <c r="O616" s="65" t="str">
        <f>IFERROR(__xludf.DUMMYFUNCTION("""COMPUTED_VALUE"""),"Pedro Menéndez Gilbert interseccion con democracia La Atarazana - Taller automotriz Bernal")</f>
        <v>Pedro Menéndez Gilbert interseccion con democracia La Atarazana - Taller automotriz Bernal</v>
      </c>
      <c r="P616" s="65"/>
      <c r="Q616" s="65" t="str">
        <f>IFERROR(__xludf.DUMMYFUNCTION("""COMPUTED_VALUE"""),"GINTRACOM")</f>
        <v>GINTRACOM</v>
      </c>
      <c r="R616" s="65">
        <f>IFERROR(__xludf.DUMMYFUNCTION("""COMPUTED_VALUE"""),20.0)</f>
        <v>20</v>
      </c>
      <c r="S616" s="65">
        <f>IFERROR(__xludf.DUMMYFUNCTION("""COMPUTED_VALUE"""),13.45)</f>
        <v>13.45</v>
      </c>
      <c r="T616" s="65">
        <f>IFERROR(__xludf.DUMMYFUNCTION("""COMPUTED_VALUE"""),4.15)</f>
        <v>4.15</v>
      </c>
      <c r="U616" s="65">
        <f>IFERROR(__xludf.DUMMYFUNCTION("""COMPUTED_VALUE"""),0.0)</f>
        <v>0</v>
      </c>
      <c r="V616" s="65">
        <f>IFERROR(__xludf.DUMMYFUNCTION("""COMPUTED_VALUE"""),0.0)</f>
        <v>0</v>
      </c>
      <c r="W616" s="65">
        <f>IFERROR(__xludf.DUMMYFUNCTION("""COMPUTED_VALUE"""),0.0)</f>
        <v>0</v>
      </c>
      <c r="X616" s="65">
        <f>IFERROR(__xludf.DUMMYFUNCTION("""COMPUTED_VALUE"""),2.4)</f>
        <v>2.4</v>
      </c>
      <c r="Y616" s="65">
        <f>IFERROR(__xludf.DUMMYFUNCTION("""COMPUTED_VALUE"""),2.4)</f>
        <v>2.4</v>
      </c>
      <c r="Z616" s="65">
        <f>IFERROR(__xludf.DUMMYFUNCTION("""COMPUTED_VALUE"""),120732.0)</f>
        <v>120732</v>
      </c>
      <c r="AA616" s="65" t="str">
        <f>IFERROR(__xludf.DUMMYFUNCTION("""COMPUTED_VALUE"""),"PROV-LMPVT")</f>
        <v>PROV-LMPVT</v>
      </c>
      <c r="AB616" s="65"/>
      <c r="AC616" s="65" t="str">
        <f>IFERROR(__xludf.DUMMYFUNCTION("""COMPUTED_VALUE"""),"LIMPIADOR DE PARABRISAS Y VENTANAS")</f>
        <v>LIMPIADOR DE PARABRISAS Y VENTANAS</v>
      </c>
      <c r="AD616" s="65"/>
      <c r="AE616" s="65">
        <f>IFERROR(__xludf.DUMMYFUNCTION("""COMPUTED_VALUE"""),1.0)</f>
        <v>1</v>
      </c>
      <c r="AF616" s="65" t="str">
        <f>IFERROR(__xludf.DUMMYFUNCTION("""COMPUTED_VALUE"""),"DESTINATARIO NO CONTESTA LLAMADAS NI WHATSAPP")</f>
        <v>DESTINATARIO NO CONTESTA LLAMADAS NI WHATSAPP</v>
      </c>
      <c r="AG616" s="65" t="str">
        <f>IFERROR(__xludf.DUMMYFUNCTION("""COMPUTED_VALUE"""),"SI")</f>
        <v>SI</v>
      </c>
      <c r="AH616" s="65" t="str">
        <f>IFERROR(__xludf.DUMMYFUNCTION("""COMPUTED_VALUE"""),"18:35")</f>
        <v>18:35</v>
      </c>
      <c r="AI616" s="65" t="str">
        <f>IFERROR(__xludf.DUMMYFUNCTION("""COMPUTED_VALUE"""),"25-02-2026")</f>
        <v>25-02-2026</v>
      </c>
      <c r="AJ616" s="65" t="str">
        <f>IFERROR(__xludf.DUMMYFUNCTION("""COMPUTED_VALUE"""),"CLIENTE SOLICITA LA ENTREGA INMEDIATA")</f>
        <v>CLIENTE SOLICITA LA ENTREGA INMEDIATA</v>
      </c>
      <c r="AK616" s="65" t="str">
        <f>IFERROR(__xludf.DUMMYFUNCTION("""COMPUTED_VALUE"""),"13:07")</f>
        <v>13:07</v>
      </c>
      <c r="AL616" s="65" t="str">
        <f>IFERROR(__xludf.DUMMYFUNCTION("""COMPUTED_VALUE"""),"26-02-2026")</f>
        <v>26-02-2026</v>
      </c>
      <c r="AM616" s="65"/>
      <c r="AN616" s="65" t="str">
        <f>IFERROR(__xludf.DUMMYFUNCTION("""COMPUTED_VALUE"""),"12:36")</f>
        <v>12:36</v>
      </c>
      <c r="AO616" s="65" t="str">
        <f>IFERROR(__xludf.DUMMYFUNCTION("""COMPUTED_VALUE"""),"27-02-2026")</f>
        <v>27-02-2026</v>
      </c>
      <c r="AP616" s="65" t="str">
        <f>IFERROR(__xludf.DUMMYFUNCTION("""COMPUTED_VALUE"""),"ENTREGADA GINTRACOM")</f>
        <v>ENTREGADA GINTRACOM</v>
      </c>
      <c r="AQ616" s="65" t="str">
        <f>IFERROR(__xludf.DUMMYFUNCTION("""COMPUTED_VALUE"""),"ENTREGADA GINTRACOM")</f>
        <v>ENTREGADA GINTRACOM</v>
      </c>
      <c r="AR616" s="65"/>
      <c r="AS616" s="65"/>
      <c r="AT616" s="65" t="str">
        <f>IFERROR(__xludf.DUMMYFUNCTION("""COMPUTED_VALUE"""),"SHOPIFY")</f>
        <v>SHOPIFY</v>
      </c>
      <c r="AU616" s="65" t="str">
        <f>IFERROR(__xludf.DUMMYFUNCTION("""COMPUTED_VALUE"""),"IMPORTEX EC")</f>
        <v>IMPORTEX EC</v>
      </c>
      <c r="AV616" s="65" t="str">
        <f>IFERROR(__xludf.DUMMYFUNCTION("""COMPUTED_VALUE"""),"6513888264236")</f>
        <v>6513888264236</v>
      </c>
      <c r="AW616" s="65">
        <f>IFERROR(__xludf.DUMMYFUNCTION("""COMPUTED_VALUE"""),6256.0)</f>
        <v>6256</v>
      </c>
      <c r="AX616" s="65"/>
      <c r="AY616" s="65" t="str">
        <f>IFERROR(__xludf.DUMMYFUNCTION("""COMPUTED_VALUE"""),"20/02/2026")</f>
        <v>20/02/2026</v>
      </c>
      <c r="AZ616" s="65"/>
      <c r="BA616" s="65"/>
    </row>
    <row r="617">
      <c r="A617" s="65" t="str">
        <f>IFERROR(__xludf.DUMMYFUNCTION("""COMPUTED_VALUE"""),"27-03-2026")</f>
        <v>27-03-2026</v>
      </c>
      <c r="B617" s="65">
        <f>IFERROR(__xludf.DUMMYFUNCTION("""COMPUTED_VALUE"""),4550133.0)</f>
        <v>4550133</v>
      </c>
      <c r="C617" s="65" t="str">
        <f>IFERROR(__xludf.DUMMYFUNCTION("""COMPUTED_VALUE"""),"22:33")</f>
        <v>22:33</v>
      </c>
      <c r="D617" s="65" t="str">
        <f>IFERROR(__xludf.DUMMYFUNCTION("""COMPUTED_VALUE"""),"18-02-2026")</f>
        <v>18-02-2026</v>
      </c>
      <c r="E617" s="65" t="str">
        <f>IFERROR(__xludf.DUMMYFUNCTION("""COMPUTED_VALUE"""),"Fulton Ivan Avila Alulema")</f>
        <v>Fulton Ivan Avila Alulema</v>
      </c>
      <c r="F617" s="65" t="str">
        <f>IFERROR(__xludf.DUMMYFUNCTION("""COMPUTED_VALUE"""),"990092716")</f>
        <v>990092716</v>
      </c>
      <c r="G617" s="65"/>
      <c r="H617" s="65"/>
      <c r="I617" s="65"/>
      <c r="J617" s="65" t="str">
        <f>IFERROR(__xludf.DUMMYFUNCTION("""COMPUTED_VALUE"""),"186793620")</f>
        <v>186793620</v>
      </c>
      <c r="K617" s="65" t="str">
        <f>IFERROR(__xludf.DUMMYFUNCTION("""COMPUTED_VALUE"""),"ENTREGADO")</f>
        <v>ENTREGADO</v>
      </c>
      <c r="L617" s="65" t="str">
        <f>IFERROR(__xludf.DUMMYFUNCTION("""COMPUTED_VALUE"""),"CON RECAUDO")</f>
        <v>CON RECAUDO</v>
      </c>
      <c r="M617" s="65" t="str">
        <f>IFERROR(__xludf.DUMMYFUNCTION("""COMPUTED_VALUE"""),"GUAYAS")</f>
        <v>GUAYAS</v>
      </c>
      <c r="N617" s="65" t="str">
        <f>IFERROR(__xludf.DUMMYFUNCTION("""COMPUTED_VALUE"""),"GUAYAQUIL")</f>
        <v>GUAYAQUIL</v>
      </c>
      <c r="O617" s="65" t="str">
        <f>IFERROR(__xludf.DUMMYFUNCTION("""COMPUTED_VALUE"""),"RETIRA EN CS : GUAYAQUIL_MUCHO LOTE 2 - AUTOPISTA NARCISA DE JESUS MZ 1243 SOLAR 43 URB. VICTORIA CLUB DIAG COMISARIATO")</f>
        <v>RETIRA EN CS : GUAYAQUIL_MUCHO LOTE 2 - AUTOPISTA NARCISA DE JESUS MZ 1243 SOLAR 43 URB. VICTORIA CLUB DIAG COMISARIATO</v>
      </c>
      <c r="P617" s="65"/>
      <c r="Q617" s="65" t="str">
        <f>IFERROR(__xludf.DUMMYFUNCTION("""COMPUTED_VALUE"""),"SERVIENTREGA")</f>
        <v>SERVIENTREGA</v>
      </c>
      <c r="R617" s="65">
        <f>IFERROR(__xludf.DUMMYFUNCTION("""COMPUTED_VALUE"""),30.0)</f>
        <v>30</v>
      </c>
      <c r="S617" s="65">
        <f>IFERROR(__xludf.DUMMYFUNCTION("""COMPUTED_VALUE"""),17.91)</f>
        <v>17.91</v>
      </c>
      <c r="T617" s="65">
        <f>IFERROR(__xludf.DUMMYFUNCTION("""COMPUTED_VALUE"""),4.89)</f>
        <v>4.89</v>
      </c>
      <c r="U617" s="65">
        <f>IFERROR(__xludf.DUMMYFUNCTION("""COMPUTED_VALUE"""),0.0)</f>
        <v>0</v>
      </c>
      <c r="V617" s="65">
        <f>IFERROR(__xludf.DUMMYFUNCTION("""COMPUTED_VALUE"""),0.0)</f>
        <v>0</v>
      </c>
      <c r="W617" s="65">
        <f>IFERROR(__xludf.DUMMYFUNCTION("""COMPUTED_VALUE"""),0.0)</f>
        <v>0</v>
      </c>
      <c r="X617" s="65">
        <f>IFERROR(__xludf.DUMMYFUNCTION("""COMPUTED_VALUE"""),2.4)</f>
        <v>2.4</v>
      </c>
      <c r="Y617" s="65">
        <f>IFERROR(__xludf.DUMMYFUNCTION("""COMPUTED_VALUE"""),7.2)</f>
        <v>7.2</v>
      </c>
      <c r="Z617" s="65">
        <f>IFERROR(__xludf.DUMMYFUNCTION("""COMPUTED_VALUE"""),120732.0)</f>
        <v>120732</v>
      </c>
      <c r="AA617" s="65" t="str">
        <f>IFERROR(__xludf.DUMMYFUNCTION("""COMPUTED_VALUE"""),"PROV-LMPVT")</f>
        <v>PROV-LMPVT</v>
      </c>
      <c r="AB617" s="65"/>
      <c r="AC617" s="65" t="str">
        <f>IFERROR(__xludf.DUMMYFUNCTION("""COMPUTED_VALUE"""),"LIMPIADOR DE PARABRISAS Y VENTANAS")</f>
        <v>LIMPIADOR DE PARABRISAS Y VENTANAS</v>
      </c>
      <c r="AD617" s="65"/>
      <c r="AE617" s="65">
        <f>IFERROR(__xludf.DUMMYFUNCTION("""COMPUTED_VALUE"""),3.0)</f>
        <v>3</v>
      </c>
      <c r="AF617" s="65"/>
      <c r="AG617" s="65"/>
      <c r="AH617" s="65"/>
      <c r="AI617" s="65"/>
      <c r="AJ617" s="65"/>
      <c r="AK617" s="65"/>
      <c r="AL617" s="65"/>
      <c r="AM617" s="65"/>
      <c r="AN617" s="65" t="str">
        <f>IFERROR(__xludf.DUMMYFUNCTION("""COMPUTED_VALUE"""),"14:17")</f>
        <v>14:17</v>
      </c>
      <c r="AO617" s="65" t="str">
        <f>IFERROR(__xludf.DUMMYFUNCTION("""COMPUTED_VALUE"""),"20-02-2026")</f>
        <v>20-02-2026</v>
      </c>
      <c r="AP617" s="65" t="str">
        <f>IFERROR(__xludf.DUMMYFUNCTION("""COMPUTED_VALUE"""),"REPORTADO ENTREGADO EN AGENCIA")</f>
        <v>REPORTADO ENTREGADO EN AGENCIA</v>
      </c>
      <c r="AQ617" s="65" t="str">
        <f>IFERROR(__xludf.DUMMYFUNCTION("""COMPUTED_VALUE"""),"FULTON AVILA")</f>
        <v>FULTON AVILA</v>
      </c>
      <c r="AR617" s="65"/>
      <c r="AS617" s="65"/>
      <c r="AT617" s="65" t="str">
        <f>IFERROR(__xludf.DUMMYFUNCTION("""COMPUTED_VALUE"""),"CHATEA PRO")</f>
        <v>CHATEA PRO</v>
      </c>
      <c r="AU617" s="65" t="str">
        <f>IFERROR(__xludf.DUMMYFUNCTION("""COMPUTED_VALUE"""),"CHATEA PRO")</f>
        <v>CHATEA PRO</v>
      </c>
      <c r="AV617" s="65"/>
      <c r="AW617" s="65"/>
      <c r="AX617" s="65"/>
      <c r="AY617" s="65" t="str">
        <f>IFERROR(__xludf.DUMMYFUNCTION("""COMPUTED_VALUE"""),"19/02/2026")</f>
        <v>19/02/2026</v>
      </c>
      <c r="AZ617" s="65"/>
      <c r="BA617" s="65"/>
    </row>
    <row r="618">
      <c r="A618" s="65" t="str">
        <f>IFERROR(__xludf.DUMMYFUNCTION("""COMPUTED_VALUE"""),"27-03-2026")</f>
        <v>27-03-2026</v>
      </c>
      <c r="B618" s="65">
        <f>IFERROR(__xludf.DUMMYFUNCTION("""COMPUTED_VALUE"""),4549546.0)</f>
        <v>4549546</v>
      </c>
      <c r="C618" s="65" t="str">
        <f>IFERROR(__xludf.DUMMYFUNCTION("""COMPUTED_VALUE"""),"21:46")</f>
        <v>21:46</v>
      </c>
      <c r="D618" s="65" t="str">
        <f>IFERROR(__xludf.DUMMYFUNCTION("""COMPUTED_VALUE"""),"18-02-2026")</f>
        <v>18-02-2026</v>
      </c>
      <c r="E618" s="65" t="str">
        <f>IFERROR(__xludf.DUMMYFUNCTION("""COMPUTED_VALUE"""),"Ricardo velez")</f>
        <v>Ricardo velez</v>
      </c>
      <c r="F618" s="65" t="str">
        <f>IFERROR(__xludf.DUMMYFUNCTION("""COMPUTED_VALUE"""),"994991675")</f>
        <v>994991675</v>
      </c>
      <c r="G618" s="65"/>
      <c r="H618" s="65"/>
      <c r="I618" s="65"/>
      <c r="J618" s="65" t="str">
        <f>IFERROR(__xludf.DUMMYFUNCTION("""COMPUTED_VALUE"""),"186793629")</f>
        <v>186793629</v>
      </c>
      <c r="K618" s="65" t="str">
        <f>IFERROR(__xludf.DUMMYFUNCTION("""COMPUTED_VALUE"""),"ENTREGADO")</f>
        <v>ENTREGADO</v>
      </c>
      <c r="L618" s="65" t="str">
        <f>IFERROR(__xludf.DUMMYFUNCTION("""COMPUTED_VALUE"""),"CON RECAUDO")</f>
        <v>CON RECAUDO</v>
      </c>
      <c r="M618" s="65" t="str">
        <f>IFERROR(__xludf.DUMMYFUNCTION("""COMPUTED_VALUE"""),"LOS RIOS")</f>
        <v>LOS RIOS</v>
      </c>
      <c r="N618" s="65" t="str">
        <f>IFERROR(__xludf.DUMMYFUNCTION("""COMPUTED_VALUE"""),"QUEVEDO")</f>
        <v>QUEVEDO</v>
      </c>
      <c r="O618" s="65" t="str">
        <f>IFERROR(__xludf.DUMMYFUNCTION("""COMPUTED_VALUE"""),"RETIRA EN CS : QUEVEDO_EL GUAYACAN II -CDLA. GUAYACAN II SOLAR 22 DIAGONAL A FARMACIA SANA SANA")</f>
        <v>RETIRA EN CS : QUEVEDO_EL GUAYACAN II -CDLA. GUAYACAN II SOLAR 22 DIAGONAL A FARMACIA SANA SANA</v>
      </c>
      <c r="P618" s="65"/>
      <c r="Q618" s="65" t="str">
        <f>IFERROR(__xludf.DUMMYFUNCTION("""COMPUTED_VALUE"""),"SERVIENTREGA")</f>
        <v>SERVIENTREGA</v>
      </c>
      <c r="R618" s="65">
        <f>IFERROR(__xludf.DUMMYFUNCTION("""COMPUTED_VALUE"""),25.0)</f>
        <v>25</v>
      </c>
      <c r="S618" s="65">
        <f>IFERROR(__xludf.DUMMYFUNCTION("""COMPUTED_VALUE"""),14.16)</f>
        <v>14.16</v>
      </c>
      <c r="T618" s="65">
        <f>IFERROR(__xludf.DUMMYFUNCTION("""COMPUTED_VALUE"""),6.04)</f>
        <v>6.04</v>
      </c>
      <c r="U618" s="65">
        <f>IFERROR(__xludf.DUMMYFUNCTION("""COMPUTED_VALUE"""),0.0)</f>
        <v>0</v>
      </c>
      <c r="V618" s="65">
        <f>IFERROR(__xludf.DUMMYFUNCTION("""COMPUTED_VALUE"""),0.0)</f>
        <v>0</v>
      </c>
      <c r="W618" s="65">
        <f>IFERROR(__xludf.DUMMYFUNCTION("""COMPUTED_VALUE"""),0.0)</f>
        <v>0</v>
      </c>
      <c r="X618" s="65">
        <f>IFERROR(__xludf.DUMMYFUNCTION("""COMPUTED_VALUE"""),2.4)</f>
        <v>2.4</v>
      </c>
      <c r="Y618" s="65">
        <f>IFERROR(__xludf.DUMMYFUNCTION("""COMPUTED_VALUE"""),4.8)</f>
        <v>4.8</v>
      </c>
      <c r="Z618" s="65">
        <f>IFERROR(__xludf.DUMMYFUNCTION("""COMPUTED_VALUE"""),120732.0)</f>
        <v>120732</v>
      </c>
      <c r="AA618" s="65" t="str">
        <f>IFERROR(__xludf.DUMMYFUNCTION("""COMPUTED_VALUE"""),"PROV-LMPVT")</f>
        <v>PROV-LMPVT</v>
      </c>
      <c r="AB618" s="65"/>
      <c r="AC618" s="65" t="str">
        <f>IFERROR(__xludf.DUMMYFUNCTION("""COMPUTED_VALUE"""),"LIMPIADOR DE PARABRISAS Y VENTANAS")</f>
        <v>LIMPIADOR DE PARABRISAS Y VENTANAS</v>
      </c>
      <c r="AD618" s="65"/>
      <c r="AE618" s="65">
        <f>IFERROR(__xludf.DUMMYFUNCTION("""COMPUTED_VALUE"""),2.0)</f>
        <v>2</v>
      </c>
      <c r="AF618" s="65"/>
      <c r="AG618" s="65"/>
      <c r="AH618" s="65"/>
      <c r="AI618" s="65"/>
      <c r="AJ618" s="65"/>
      <c r="AK618" s="65"/>
      <c r="AL618" s="65"/>
      <c r="AM618" s="65"/>
      <c r="AN618" s="65" t="str">
        <f>IFERROR(__xludf.DUMMYFUNCTION("""COMPUTED_VALUE"""),"15:58")</f>
        <v>15:58</v>
      </c>
      <c r="AO618" s="65" t="str">
        <f>IFERROR(__xludf.DUMMYFUNCTION("""COMPUTED_VALUE"""),"17-03-2026")</f>
        <v>17-03-2026</v>
      </c>
      <c r="AP618" s="65" t="str">
        <f>IFERROR(__xludf.DUMMYFUNCTION("""COMPUTED_VALUE"""),"ENTREGA DIGITALIZADA EN CENTRO LOGISTICO")</f>
        <v>ENTREGA DIGITALIZADA EN CENTRO LOGISTICO</v>
      </c>
      <c r="AQ618" s="65" t="str">
        <f>IFERROR(__xludf.DUMMYFUNCTION("""COMPUTED_VALUE"""),"RICARDO VELEZ")</f>
        <v>RICARDO VELEZ</v>
      </c>
      <c r="AR618" s="65"/>
      <c r="AS618" s="65"/>
      <c r="AT618" s="65" t="str">
        <f>IFERROR(__xludf.DUMMYFUNCTION("""COMPUTED_VALUE"""),"CHATEA PRO")</f>
        <v>CHATEA PRO</v>
      </c>
      <c r="AU618" s="65" t="str">
        <f>IFERROR(__xludf.DUMMYFUNCTION("""COMPUTED_VALUE"""),"CHATEA PRO")</f>
        <v>CHATEA PRO</v>
      </c>
      <c r="AV618" s="65"/>
      <c r="AW618" s="65"/>
      <c r="AX618" s="65"/>
      <c r="AY618" s="65" t="str">
        <f>IFERROR(__xludf.DUMMYFUNCTION("""COMPUTED_VALUE"""),"19/02/2026")</f>
        <v>19/02/2026</v>
      </c>
      <c r="AZ618" s="65"/>
      <c r="BA618" s="65"/>
    </row>
    <row r="619">
      <c r="A619" s="65" t="str">
        <f>IFERROR(__xludf.DUMMYFUNCTION("""COMPUTED_VALUE"""),"27-03-2026")</f>
        <v>27-03-2026</v>
      </c>
      <c r="B619" s="65">
        <f>IFERROR(__xludf.DUMMYFUNCTION("""COMPUTED_VALUE"""),4548818.0)</f>
        <v>4548818</v>
      </c>
      <c r="C619" s="65" t="str">
        <f>IFERROR(__xludf.DUMMYFUNCTION("""COMPUTED_VALUE"""),"20:35")</f>
        <v>20:35</v>
      </c>
      <c r="D619" s="65" t="str">
        <f>IFERROR(__xludf.DUMMYFUNCTION("""COMPUTED_VALUE"""),"18-02-2026")</f>
        <v>18-02-2026</v>
      </c>
      <c r="E619" s="65" t="str">
        <f>IFERROR(__xludf.DUMMYFUNCTION("""COMPUTED_VALUE"""),"Jeni Tamay")</f>
        <v>Jeni Tamay</v>
      </c>
      <c r="F619" s="65" t="str">
        <f>IFERROR(__xludf.DUMMYFUNCTION("""COMPUTED_VALUE"""),"985986076")</f>
        <v>985986076</v>
      </c>
      <c r="G619" s="65"/>
      <c r="H619" s="65"/>
      <c r="I619" s="65"/>
      <c r="J619" s="65" t="str">
        <f>IFERROR(__xludf.DUMMYFUNCTION("""COMPUTED_VALUE"""),"186796374")</f>
        <v>186796374</v>
      </c>
      <c r="K619" s="65" t="str">
        <f>IFERROR(__xludf.DUMMYFUNCTION("""COMPUTED_VALUE"""),"ENTREGADO")</f>
        <v>ENTREGADO</v>
      </c>
      <c r="L619" s="65" t="str">
        <f>IFERROR(__xludf.DUMMYFUNCTION("""COMPUTED_VALUE"""),"CON RECAUDO")</f>
        <v>CON RECAUDO</v>
      </c>
      <c r="M619" s="65" t="str">
        <f>IFERROR(__xludf.DUMMYFUNCTION("""COMPUTED_VALUE"""),"AZUAY")</f>
        <v>AZUAY</v>
      </c>
      <c r="N619" s="65" t="str">
        <f>IFERROR(__xludf.DUMMYFUNCTION("""COMPUTED_VALUE"""),"CUENCA")</f>
        <v>CUENCA</v>
      </c>
      <c r="O619" s="65" t="str">
        <f>IFERROR(__xludf.DUMMYFUNCTION("""COMPUTED_VALUE"""),"RETIRA EN CS : CUENCA_CHILCAPAMBA - VIA CHILCAPAMBA S/N Y VALLE A 5 CUADRAS DE LA IGLESIA DEL VALLE")</f>
        <v>RETIRA EN CS : CUENCA_CHILCAPAMBA - VIA CHILCAPAMBA S/N Y VALLE A 5 CUADRAS DE LA IGLESIA DEL VALLE</v>
      </c>
      <c r="P619" s="65"/>
      <c r="Q619" s="65" t="str">
        <f>IFERROR(__xludf.DUMMYFUNCTION("""COMPUTED_VALUE"""),"SERVIENTREGA")</f>
        <v>SERVIENTREGA</v>
      </c>
      <c r="R619" s="65">
        <f>IFERROR(__xludf.DUMMYFUNCTION("""COMPUTED_VALUE"""),27.0)</f>
        <v>27</v>
      </c>
      <c r="S619" s="65">
        <f>IFERROR(__xludf.DUMMYFUNCTION("""COMPUTED_VALUE"""),9.41)</f>
        <v>9.41</v>
      </c>
      <c r="T619" s="65">
        <f>IFERROR(__xludf.DUMMYFUNCTION("""COMPUTED_VALUE"""),6.34)</f>
        <v>6.34</v>
      </c>
      <c r="U619" s="65">
        <f>IFERROR(__xludf.DUMMYFUNCTION("""COMPUTED_VALUE"""),0.0)</f>
        <v>0</v>
      </c>
      <c r="V619" s="65">
        <f>IFERROR(__xludf.DUMMYFUNCTION("""COMPUTED_VALUE"""),0.0)</f>
        <v>0</v>
      </c>
      <c r="W619" s="65">
        <f>IFERROR(__xludf.DUMMYFUNCTION("""COMPUTED_VALUE"""),0.0)</f>
        <v>0</v>
      </c>
      <c r="X619" s="65">
        <f>IFERROR(__xludf.DUMMYFUNCTION("""COMPUTED_VALUE"""),3.75)</f>
        <v>3.75</v>
      </c>
      <c r="Y619" s="65">
        <f>IFERROR(__xludf.DUMMYFUNCTION("""COMPUTED_VALUE"""),11.25)</f>
        <v>11.25</v>
      </c>
      <c r="Z619" s="65">
        <f>IFERROR(__xludf.DUMMYFUNCTION("""COMPUTED_VALUE"""),113116.0)</f>
        <v>113116</v>
      </c>
      <c r="AA619" s="65" t="str">
        <f>IFERROR(__xludf.DUMMYFUNCTION("""COMPUTED_VALUE"""),"IM-TAZAKI")</f>
        <v>IM-TAZAKI</v>
      </c>
      <c r="AB619" s="65"/>
      <c r="AC619" s="65" t="str">
        <f>IFERROR(__xludf.DUMMYFUNCTION("""COMPUTED_VALUE"""),"Cuchillo tazaki")</f>
        <v>Cuchillo tazaki</v>
      </c>
      <c r="AD619" s="65"/>
      <c r="AE619" s="65">
        <f>IFERROR(__xludf.DUMMYFUNCTION("""COMPUTED_VALUE"""),3.0)</f>
        <v>3</v>
      </c>
      <c r="AF619" s="65"/>
      <c r="AG619" s="65"/>
      <c r="AH619" s="65"/>
      <c r="AI619" s="65"/>
      <c r="AJ619" s="65"/>
      <c r="AK619" s="65"/>
      <c r="AL619" s="65"/>
      <c r="AM619" s="65"/>
      <c r="AN619" s="65" t="str">
        <f>IFERROR(__xludf.DUMMYFUNCTION("""COMPUTED_VALUE"""),"17:38")</f>
        <v>17:38</v>
      </c>
      <c r="AO619" s="65" t="str">
        <f>IFERROR(__xludf.DUMMYFUNCTION("""COMPUTED_VALUE"""),"26-02-2026")</f>
        <v>26-02-2026</v>
      </c>
      <c r="AP619" s="65" t="str">
        <f>IFERROR(__xludf.DUMMYFUNCTION("""COMPUTED_VALUE"""),"ENTREGA DIGITALIZADA EN CENTRO LOGISTICO")</f>
        <v>ENTREGA DIGITALIZADA EN CENTRO LOGISTICO</v>
      </c>
      <c r="AQ619" s="65" t="str">
        <f>IFERROR(__xludf.DUMMYFUNCTION("""COMPUTED_VALUE"""),"JENNY TAMAY")</f>
        <v>JENNY TAMAY</v>
      </c>
      <c r="AR619" s="65"/>
      <c r="AS619" s="65"/>
      <c r="AT619" s="65" t="str">
        <f>IFERROR(__xludf.DUMMYFUNCTION("""COMPUTED_VALUE"""),"CHATEA PRO")</f>
        <v>CHATEA PRO</v>
      </c>
      <c r="AU619" s="65" t="str">
        <f>IFERROR(__xludf.DUMMYFUNCTION("""COMPUTED_VALUE"""),"CHATEA PRO")</f>
        <v>CHATEA PRO</v>
      </c>
      <c r="AV619" s="65"/>
      <c r="AW619" s="65"/>
      <c r="AX619" s="65"/>
      <c r="AY619" s="65" t="str">
        <f>IFERROR(__xludf.DUMMYFUNCTION("""COMPUTED_VALUE"""),"19/02/2026")</f>
        <v>19/02/2026</v>
      </c>
      <c r="AZ619" s="65"/>
      <c r="BA619" s="65"/>
    </row>
    <row r="620">
      <c r="A620" s="65" t="str">
        <f>IFERROR(__xludf.DUMMYFUNCTION("""COMPUTED_VALUE"""),"27-03-2026")</f>
        <v>27-03-2026</v>
      </c>
      <c r="B620" s="65">
        <f>IFERROR(__xludf.DUMMYFUNCTION("""COMPUTED_VALUE"""),4548555.0)</f>
        <v>4548555</v>
      </c>
      <c r="C620" s="65" t="str">
        <f>IFERROR(__xludf.DUMMYFUNCTION("""COMPUTED_VALUE"""),"20:10")</f>
        <v>20:10</v>
      </c>
      <c r="D620" s="65" t="str">
        <f>IFERROR(__xludf.DUMMYFUNCTION("""COMPUTED_VALUE"""),"18-02-2026")</f>
        <v>18-02-2026</v>
      </c>
      <c r="E620" s="65" t="str">
        <f>IFERROR(__xludf.DUMMYFUNCTION("""COMPUTED_VALUE"""),"Jose Cartagena")</f>
        <v>Jose Cartagena</v>
      </c>
      <c r="F620" s="65" t="str">
        <f>IFERROR(__xludf.DUMMYFUNCTION("""COMPUTED_VALUE"""),"999683818")</f>
        <v>999683818</v>
      </c>
      <c r="G620" s="65"/>
      <c r="H620" s="65"/>
      <c r="I620" s="65"/>
      <c r="J620" s="65" t="str">
        <f>IFERROR(__xludf.DUMMYFUNCTION("""COMPUTED_VALUE"""),"186796380")</f>
        <v>186796380</v>
      </c>
      <c r="K620" s="65" t="str">
        <f>IFERROR(__xludf.DUMMYFUNCTION("""COMPUTED_VALUE"""),"ENTREGADO")</f>
        <v>ENTREGADO</v>
      </c>
      <c r="L620" s="65" t="str">
        <f>IFERROR(__xludf.DUMMYFUNCTION("""COMPUTED_VALUE"""),"CON RECAUDO")</f>
        <v>CON RECAUDO</v>
      </c>
      <c r="M620" s="65" t="str">
        <f>IFERROR(__xludf.DUMMYFUNCTION("""COMPUTED_VALUE"""),"IMBABURA")</f>
        <v>IMBABURA</v>
      </c>
      <c r="N620" s="65" t="str">
        <f>IFERROR(__xludf.DUMMYFUNCTION("""COMPUTED_VALUE"""),"IBARRA")</f>
        <v>IBARRA</v>
      </c>
      <c r="O620" s="65" t="str">
        <f>IFERROR(__xludf.DUMMYFUNCTION("""COMPUTED_VALUE"""),"RETIRA EN CS : IBARRA_TEODORO GOMEZ - Sánchez y Cifuentes 17-72 entre Av. Teodoro Gómez de la Torre y Miguel Leoro frente a chaide y chaide a media  cuadra de la farmacia  Fibeca")</f>
        <v>RETIRA EN CS : IBARRA_TEODORO GOMEZ - Sánchez y Cifuentes 17-72 entre Av. Teodoro Gómez de la Torre y Miguel Leoro frente a chaide y chaide a media  cuadra de la farmacia  Fibeca</v>
      </c>
      <c r="P620" s="65"/>
      <c r="Q620" s="65" t="str">
        <f>IFERROR(__xludf.DUMMYFUNCTION("""COMPUTED_VALUE"""),"SERVIENTREGA")</f>
        <v>SERVIENTREGA</v>
      </c>
      <c r="R620" s="65">
        <f>IFERROR(__xludf.DUMMYFUNCTION("""COMPUTED_VALUE"""),27.0)</f>
        <v>27</v>
      </c>
      <c r="S620" s="65">
        <f>IFERROR(__xludf.DUMMYFUNCTION("""COMPUTED_VALUE"""),9.68)</f>
        <v>9.68</v>
      </c>
      <c r="T620" s="65">
        <f>IFERROR(__xludf.DUMMYFUNCTION("""COMPUTED_VALUE"""),6.07)</f>
        <v>6.07</v>
      </c>
      <c r="U620" s="65">
        <f>IFERROR(__xludf.DUMMYFUNCTION("""COMPUTED_VALUE"""),0.0)</f>
        <v>0</v>
      </c>
      <c r="V620" s="65">
        <f>IFERROR(__xludf.DUMMYFUNCTION("""COMPUTED_VALUE"""),0.0)</f>
        <v>0</v>
      </c>
      <c r="W620" s="65">
        <f>IFERROR(__xludf.DUMMYFUNCTION("""COMPUTED_VALUE"""),0.0)</f>
        <v>0</v>
      </c>
      <c r="X620" s="65">
        <f>IFERROR(__xludf.DUMMYFUNCTION("""COMPUTED_VALUE"""),3.75)</f>
        <v>3.75</v>
      </c>
      <c r="Y620" s="65">
        <f>IFERROR(__xludf.DUMMYFUNCTION("""COMPUTED_VALUE"""),11.25)</f>
        <v>11.25</v>
      </c>
      <c r="Z620" s="65">
        <f>IFERROR(__xludf.DUMMYFUNCTION("""COMPUTED_VALUE"""),113116.0)</f>
        <v>113116</v>
      </c>
      <c r="AA620" s="65" t="str">
        <f>IFERROR(__xludf.DUMMYFUNCTION("""COMPUTED_VALUE"""),"IM-TAZAKI")</f>
        <v>IM-TAZAKI</v>
      </c>
      <c r="AB620" s="65"/>
      <c r="AC620" s="65" t="str">
        <f>IFERROR(__xludf.DUMMYFUNCTION("""COMPUTED_VALUE"""),"Cuchillo tazaki")</f>
        <v>Cuchillo tazaki</v>
      </c>
      <c r="AD620" s="65"/>
      <c r="AE620" s="65">
        <f>IFERROR(__xludf.DUMMYFUNCTION("""COMPUTED_VALUE"""),3.0)</f>
        <v>3</v>
      </c>
      <c r="AF620" s="65"/>
      <c r="AG620" s="65"/>
      <c r="AH620" s="65"/>
      <c r="AI620" s="65"/>
      <c r="AJ620" s="65"/>
      <c r="AK620" s="65"/>
      <c r="AL620" s="65"/>
      <c r="AM620" s="65"/>
      <c r="AN620" s="65" t="str">
        <f>IFERROR(__xludf.DUMMYFUNCTION("""COMPUTED_VALUE"""),"10:58")</f>
        <v>10:58</v>
      </c>
      <c r="AO620" s="65" t="str">
        <f>IFERROR(__xludf.DUMMYFUNCTION("""COMPUTED_VALUE"""),"05-03-2026")</f>
        <v>05-03-2026</v>
      </c>
      <c r="AP620" s="65" t="str">
        <f>IFERROR(__xludf.DUMMYFUNCTION("""COMPUTED_VALUE"""),"ENTREGA DIGITALIZADA EN CENTRO LOGISTICO")</f>
        <v>ENTREGA DIGITALIZADA EN CENTRO LOGISTICO</v>
      </c>
      <c r="AQ620" s="65" t="str">
        <f>IFERROR(__xludf.DUMMYFUNCTION("""COMPUTED_VALUE"""),"JOSE CARTAGENA")</f>
        <v>JOSE CARTAGENA</v>
      </c>
      <c r="AR620" s="65"/>
      <c r="AS620" s="65"/>
      <c r="AT620" s="65"/>
      <c r="AU620" s="65"/>
      <c r="AV620" s="65"/>
      <c r="AW620" s="65"/>
      <c r="AX620" s="65"/>
      <c r="AY620" s="65" t="str">
        <f>IFERROR(__xludf.DUMMYFUNCTION("""COMPUTED_VALUE"""),"19/02/2026")</f>
        <v>19/02/2026</v>
      </c>
      <c r="AZ620" s="65"/>
      <c r="BA620" s="65"/>
    </row>
    <row r="621">
      <c r="A621" s="65" t="str">
        <f>IFERROR(__xludf.DUMMYFUNCTION("""COMPUTED_VALUE"""),"27-03-2026")</f>
        <v>27-03-2026</v>
      </c>
      <c r="B621" s="65">
        <f>IFERROR(__xludf.DUMMYFUNCTION("""COMPUTED_VALUE"""),4548446.0)</f>
        <v>4548446</v>
      </c>
      <c r="C621" s="65" t="str">
        <f>IFERROR(__xludf.DUMMYFUNCTION("""COMPUTED_VALUE"""),"19:59")</f>
        <v>19:59</v>
      </c>
      <c r="D621" s="65" t="str">
        <f>IFERROR(__xludf.DUMMYFUNCTION("""COMPUTED_VALUE"""),"18-02-2026")</f>
        <v>18-02-2026</v>
      </c>
      <c r="E621" s="65" t="str">
        <f>IFERROR(__xludf.DUMMYFUNCTION("""COMPUTED_VALUE"""),"Karla Zorrilla")</f>
        <v>Karla Zorrilla</v>
      </c>
      <c r="F621" s="65" t="str">
        <f>IFERROR(__xludf.DUMMYFUNCTION("""COMPUTED_VALUE"""),"989420689")</f>
        <v>989420689</v>
      </c>
      <c r="G621" s="65"/>
      <c r="H621" s="65"/>
      <c r="I621" s="65"/>
      <c r="J621" s="65" t="str">
        <f>IFERROR(__xludf.DUMMYFUNCTION("""COMPUTED_VALUE"""),"186793656")</f>
        <v>186793656</v>
      </c>
      <c r="K621" s="65" t="str">
        <f>IFERROR(__xludf.DUMMYFUNCTION("""COMPUTED_VALUE"""),"DEVOLUCION")</f>
        <v>DEVOLUCION</v>
      </c>
      <c r="L621" s="65" t="str">
        <f>IFERROR(__xludf.DUMMYFUNCTION("""COMPUTED_VALUE"""),"CON RECAUDO")</f>
        <v>CON RECAUDO</v>
      </c>
      <c r="M621" s="65" t="str">
        <f>IFERROR(__xludf.DUMMYFUNCTION("""COMPUTED_VALUE"""),"MANABI")</f>
        <v>MANABI</v>
      </c>
      <c r="N621" s="65" t="str">
        <f>IFERROR(__xludf.DUMMYFUNCTION("""COMPUTED_VALUE"""),"PEDERNALES")</f>
        <v>PEDERNALES</v>
      </c>
      <c r="O621" s="65" t="str">
        <f>IFERROR(__xludf.DUMMYFUNCTION("""COMPUTED_VALUE"""),"RETIRA EN CS : PEDERNALES_PRINCIPAL - GARCIA MORENO S/N Y MARIA AUXILIADORA")</f>
        <v>RETIRA EN CS : PEDERNALES_PRINCIPAL - GARCIA MORENO S/N Y MARIA AUXILIADORA</v>
      </c>
      <c r="P621" s="65"/>
      <c r="Q621" s="65" t="str">
        <f>IFERROR(__xludf.DUMMYFUNCTION("""COMPUTED_VALUE"""),"SERVIENTREGA")</f>
        <v>SERVIENTREGA</v>
      </c>
      <c r="R621" s="65">
        <f>IFERROR(__xludf.DUMMYFUNCTION("""COMPUTED_VALUE"""),25.0)</f>
        <v>25</v>
      </c>
      <c r="S621" s="65"/>
      <c r="T621" s="65">
        <f>IFERROR(__xludf.DUMMYFUNCTION("""COMPUTED_VALUE"""),7.75)</f>
        <v>7.75</v>
      </c>
      <c r="U621" s="65">
        <f>IFERROR(__xludf.DUMMYFUNCTION("""COMPUTED_VALUE"""),0.0)</f>
        <v>0</v>
      </c>
      <c r="V621" s="65">
        <f>IFERROR(__xludf.DUMMYFUNCTION("""COMPUTED_VALUE"""),0.0)</f>
        <v>0</v>
      </c>
      <c r="W621" s="65">
        <f>IFERROR(__xludf.DUMMYFUNCTION("""COMPUTED_VALUE"""),0.0)</f>
        <v>0</v>
      </c>
      <c r="X621" s="65">
        <f>IFERROR(__xludf.DUMMYFUNCTION("""COMPUTED_VALUE"""),2.4)</f>
        <v>2.4</v>
      </c>
      <c r="Y621" s="65">
        <f>IFERROR(__xludf.DUMMYFUNCTION("""COMPUTED_VALUE"""),4.8)</f>
        <v>4.8</v>
      </c>
      <c r="Z621" s="65">
        <f>IFERROR(__xludf.DUMMYFUNCTION("""COMPUTED_VALUE"""),120732.0)</f>
        <v>120732</v>
      </c>
      <c r="AA621" s="65" t="str">
        <f>IFERROR(__xludf.DUMMYFUNCTION("""COMPUTED_VALUE"""),"PROV-LMPVT")</f>
        <v>PROV-LMPVT</v>
      </c>
      <c r="AB621" s="65"/>
      <c r="AC621" s="65" t="str">
        <f>IFERROR(__xludf.DUMMYFUNCTION("""COMPUTED_VALUE"""),"LIMPIADOR DE PARABRISAS Y VENTANAS")</f>
        <v>LIMPIADOR DE PARABRISAS Y VENTANAS</v>
      </c>
      <c r="AD621" s="65"/>
      <c r="AE621" s="65">
        <f>IFERROR(__xludf.DUMMYFUNCTION("""COMPUTED_VALUE"""),2.0)</f>
        <v>2</v>
      </c>
      <c r="AF621" s="65" t="str">
        <f>IFERROR(__xludf.DUMMYFUNCTION("""COMPUTED_VALUE"""),"DEVUELTO DE")</f>
        <v>DEVUELTO DE</v>
      </c>
      <c r="AG621" s="65" t="str">
        <f>IFERROR(__xludf.DUMMYFUNCTION("""COMPUTED_VALUE"""),"NO")</f>
        <v>NO</v>
      </c>
      <c r="AH621" s="65" t="str">
        <f>IFERROR(__xludf.DUMMYFUNCTION("""COMPUTED_VALUE"""),"16:49")</f>
        <v>16:49</v>
      </c>
      <c r="AI621" s="65" t="str">
        <f>IFERROR(__xludf.DUMMYFUNCTION("""COMPUTED_VALUE"""),"02-03-2026")</f>
        <v>02-03-2026</v>
      </c>
      <c r="AJ621" s="65"/>
      <c r="AK621" s="65"/>
      <c r="AL621" s="65"/>
      <c r="AM621" s="65"/>
      <c r="AN621" s="65" t="str">
        <f>IFERROR(__xludf.DUMMYFUNCTION("""COMPUTED_VALUE"""),"01:01")</f>
        <v>01:01</v>
      </c>
      <c r="AO621" s="65" t="str">
        <f>IFERROR(__xludf.DUMMYFUNCTION("""COMPUTED_VALUE"""),"05-03-2026")</f>
        <v>05-03-2026</v>
      </c>
      <c r="AP621" s="65" t="str">
        <f>IFERROR(__xludf.DUMMYFUNCTION("""COMPUTED_VALUE"""),"DEVOLUCION AL REMITENTE")</f>
        <v>DEVOLUCION AL REMITENTE</v>
      </c>
      <c r="AQ621" s="65" t="str">
        <f>IFERROR(__xludf.DUMMYFUNCTION("""COMPUTED_VALUE"""),"{}")</f>
        <v>{}</v>
      </c>
      <c r="AR621" s="65"/>
      <c r="AS621" s="65"/>
      <c r="AT621" s="65" t="str">
        <f>IFERROR(__xludf.DUMMYFUNCTION("""COMPUTED_VALUE"""),"CHATEA PRO")</f>
        <v>CHATEA PRO</v>
      </c>
      <c r="AU621" s="65" t="str">
        <f>IFERROR(__xludf.DUMMYFUNCTION("""COMPUTED_VALUE"""),"CHATEA PRO")</f>
        <v>CHATEA PRO</v>
      </c>
      <c r="AV621" s="65"/>
      <c r="AW621" s="65"/>
      <c r="AX621" s="65"/>
      <c r="AY621" s="65" t="str">
        <f>IFERROR(__xludf.DUMMYFUNCTION("""COMPUTED_VALUE"""),"19/02/2026")</f>
        <v>19/02/2026</v>
      </c>
      <c r="AZ621" s="65"/>
      <c r="BA621" s="65"/>
    </row>
    <row r="622">
      <c r="A622" s="65" t="str">
        <f>IFERROR(__xludf.DUMMYFUNCTION("""COMPUTED_VALUE"""),"27-03-2026")</f>
        <v>27-03-2026</v>
      </c>
      <c r="B622" s="65">
        <f>IFERROR(__xludf.DUMMYFUNCTION("""COMPUTED_VALUE"""),4548342.0)</f>
        <v>4548342</v>
      </c>
      <c r="C622" s="65" t="str">
        <f>IFERROR(__xludf.DUMMYFUNCTION("""COMPUTED_VALUE"""),"19:49")</f>
        <v>19:49</v>
      </c>
      <c r="D622" s="65" t="str">
        <f>IFERROR(__xludf.DUMMYFUNCTION("""COMPUTED_VALUE"""),"18-02-2026")</f>
        <v>18-02-2026</v>
      </c>
      <c r="E622" s="65" t="str">
        <f>IFERROR(__xludf.DUMMYFUNCTION("""COMPUTED_VALUE"""),"Juan Castro")</f>
        <v>Juan Castro</v>
      </c>
      <c r="F622" s="65" t="str">
        <f>IFERROR(__xludf.DUMMYFUNCTION("""COMPUTED_VALUE"""),"998066843")</f>
        <v>998066843</v>
      </c>
      <c r="G622" s="65" t="str">
        <f>IFERROR(__xludf.DUMMYFUNCTION("""COMPUTED_VALUE"""),"castroj57@gmail.com")</f>
        <v>castroj57@gmail.com</v>
      </c>
      <c r="H622" s="65"/>
      <c r="I622" s="65"/>
      <c r="J622" s="65" t="str">
        <f>IFERROR(__xludf.DUMMYFUNCTION("""COMPUTED_VALUE"""),"D001339432")</f>
        <v>D001339432</v>
      </c>
      <c r="K622" s="65" t="str">
        <f>IFERROR(__xludf.DUMMYFUNCTION("""COMPUTED_VALUE"""),"ENTREGADO")</f>
        <v>ENTREGADO</v>
      </c>
      <c r="L622" s="65" t="str">
        <f>IFERROR(__xludf.DUMMYFUNCTION("""COMPUTED_VALUE"""),"CON RECAUDO")</f>
        <v>CON RECAUDO</v>
      </c>
      <c r="M622" s="65" t="str">
        <f>IFERROR(__xludf.DUMMYFUNCTION("""COMPUTED_VALUE"""),"PICHINCHA")</f>
        <v>PICHINCHA</v>
      </c>
      <c r="N622" s="65" t="str">
        <f>IFERROR(__xludf.DUMMYFUNCTION("""COMPUTED_VALUE"""),"SANGOLQUI")</f>
        <v>SANGOLQUI</v>
      </c>
      <c r="O622" s="65" t="str">
        <f>IFERROR(__xludf.DUMMYFUNCTION("""COMPUTED_VALUE"""),"Atacazo 14 e Ines gangotena San Sebastián -")</f>
        <v>Atacazo 14 e Ines gangotena San Sebastián -</v>
      </c>
      <c r="P622" s="65"/>
      <c r="Q622" s="65" t="str">
        <f>IFERROR(__xludf.DUMMYFUNCTION("""COMPUTED_VALUE"""),"GINTRACOM")</f>
        <v>GINTRACOM</v>
      </c>
      <c r="R622" s="65">
        <f>IFERROR(__xludf.DUMMYFUNCTION("""COMPUTED_VALUE"""),22.0)</f>
        <v>22</v>
      </c>
      <c r="S622" s="65">
        <f>IFERROR(__xludf.DUMMYFUNCTION("""COMPUTED_VALUE"""),9.7)</f>
        <v>9.7</v>
      </c>
      <c r="T622" s="65">
        <f>IFERROR(__xludf.DUMMYFUNCTION("""COMPUTED_VALUE"""),4.8)</f>
        <v>4.8</v>
      </c>
      <c r="U622" s="65">
        <f>IFERROR(__xludf.DUMMYFUNCTION("""COMPUTED_VALUE"""),0.0)</f>
        <v>0</v>
      </c>
      <c r="V622" s="65">
        <f>IFERROR(__xludf.DUMMYFUNCTION("""COMPUTED_VALUE"""),0.0)</f>
        <v>0</v>
      </c>
      <c r="W622" s="65">
        <f>IFERROR(__xludf.DUMMYFUNCTION("""COMPUTED_VALUE"""),0.0)</f>
        <v>0</v>
      </c>
      <c r="X622" s="65">
        <f>IFERROR(__xludf.DUMMYFUNCTION("""COMPUTED_VALUE"""),3.75)</f>
        <v>3.75</v>
      </c>
      <c r="Y622" s="65">
        <f>IFERROR(__xludf.DUMMYFUNCTION("""COMPUTED_VALUE"""),7.5)</f>
        <v>7.5</v>
      </c>
      <c r="Z622" s="65">
        <f>IFERROR(__xludf.DUMMYFUNCTION("""COMPUTED_VALUE"""),113116.0)</f>
        <v>113116</v>
      </c>
      <c r="AA622" s="65" t="str">
        <f>IFERROR(__xludf.DUMMYFUNCTION("""COMPUTED_VALUE"""),"IM-TAZAKI")</f>
        <v>IM-TAZAKI</v>
      </c>
      <c r="AB622" s="65"/>
      <c r="AC622" s="65" t="str">
        <f>IFERROR(__xludf.DUMMYFUNCTION("""COMPUTED_VALUE"""),"Cuchillo tazaki")</f>
        <v>Cuchillo tazaki</v>
      </c>
      <c r="AD622" s="65"/>
      <c r="AE622" s="65">
        <f>IFERROR(__xludf.DUMMYFUNCTION("""COMPUTED_VALUE"""),2.0)</f>
        <v>2</v>
      </c>
      <c r="AF622" s="65"/>
      <c r="AG622" s="65"/>
      <c r="AH622" s="65"/>
      <c r="AI622" s="65"/>
      <c r="AJ622" s="65"/>
      <c r="AK622" s="65"/>
      <c r="AL622" s="65"/>
      <c r="AM622" s="65"/>
      <c r="AN622" s="65" t="str">
        <f>IFERROR(__xludf.DUMMYFUNCTION("""COMPUTED_VALUE"""),"12:05")</f>
        <v>12:05</v>
      </c>
      <c r="AO622" s="65" t="str">
        <f>IFERROR(__xludf.DUMMYFUNCTION("""COMPUTED_VALUE"""),"20-02-2026")</f>
        <v>20-02-2026</v>
      </c>
      <c r="AP622" s="65" t="str">
        <f>IFERROR(__xludf.DUMMYFUNCTION("""COMPUTED_VALUE"""),"ENTREGADA GINTRACOM")</f>
        <v>ENTREGADA GINTRACOM</v>
      </c>
      <c r="AQ622" s="65" t="str">
        <f>IFERROR(__xludf.DUMMYFUNCTION("""COMPUTED_VALUE"""),"ENTREGADA GINTRACOM")</f>
        <v>ENTREGADA GINTRACOM</v>
      </c>
      <c r="AR622" s="65"/>
      <c r="AS622" s="65"/>
      <c r="AT622" s="65" t="str">
        <f>IFERROR(__xludf.DUMMYFUNCTION("""COMPUTED_VALUE"""),"SHOPIFY")</f>
        <v>SHOPIFY</v>
      </c>
      <c r="AU622" s="65" t="str">
        <f>IFERROR(__xludf.DUMMYFUNCTION("""COMPUTED_VALUE"""),"IMPORTEX EC")</f>
        <v>IMPORTEX EC</v>
      </c>
      <c r="AV622" s="65" t="str">
        <f>IFERROR(__xludf.DUMMYFUNCTION("""COMPUTED_VALUE"""),"6506806509612")</f>
        <v>6506806509612</v>
      </c>
      <c r="AW622" s="65">
        <f>IFERROR(__xludf.DUMMYFUNCTION("""COMPUTED_VALUE"""),6196.0)</f>
        <v>6196</v>
      </c>
      <c r="AX622" s="65"/>
      <c r="AY622" s="65" t="str">
        <f>IFERROR(__xludf.DUMMYFUNCTION("""COMPUTED_VALUE"""),"19/02/2026")</f>
        <v>19/02/2026</v>
      </c>
      <c r="AZ622" s="65"/>
      <c r="BA622" s="65"/>
    </row>
    <row r="623">
      <c r="A623" s="65" t="str">
        <f>IFERROR(__xludf.DUMMYFUNCTION("""COMPUTED_VALUE"""),"27-03-2026")</f>
        <v>27-03-2026</v>
      </c>
      <c r="B623" s="65">
        <f>IFERROR(__xludf.DUMMYFUNCTION("""COMPUTED_VALUE"""),4548322.0)</f>
        <v>4548322</v>
      </c>
      <c r="C623" s="65" t="str">
        <f>IFERROR(__xludf.DUMMYFUNCTION("""COMPUTED_VALUE"""),"19:46")</f>
        <v>19:46</v>
      </c>
      <c r="D623" s="65" t="str">
        <f>IFERROR(__xludf.DUMMYFUNCTION("""COMPUTED_VALUE"""),"18-02-2026")</f>
        <v>18-02-2026</v>
      </c>
      <c r="E623" s="65" t="str">
        <f>IFERROR(__xludf.DUMMYFUNCTION("""COMPUTED_VALUE"""),"Luis Ayala")</f>
        <v>Luis Ayala</v>
      </c>
      <c r="F623" s="65" t="str">
        <f>IFERROR(__xludf.DUMMYFUNCTION("""COMPUTED_VALUE"""),"997350653")</f>
        <v>997350653</v>
      </c>
      <c r="G623" s="65"/>
      <c r="H623" s="65"/>
      <c r="I623" s="65"/>
      <c r="J623" s="65" t="str">
        <f>IFERROR(__xludf.DUMMYFUNCTION("""COMPUTED_VALUE"""),"186796386")</f>
        <v>186796386</v>
      </c>
      <c r="K623" s="65" t="str">
        <f>IFERROR(__xludf.DUMMYFUNCTION("""COMPUTED_VALUE"""),"ENTREGADO")</f>
        <v>ENTREGADO</v>
      </c>
      <c r="L623" s="65" t="str">
        <f>IFERROR(__xludf.DUMMYFUNCTION("""COMPUTED_VALUE"""),"CON RECAUDO")</f>
        <v>CON RECAUDO</v>
      </c>
      <c r="M623" s="65" t="str">
        <f>IFERROR(__xludf.DUMMYFUNCTION("""COMPUTED_VALUE"""),"LOS RIOS")</f>
        <v>LOS RIOS</v>
      </c>
      <c r="N623" s="65" t="str">
        <f>IFERROR(__xludf.DUMMYFUNCTION("""COMPUTED_VALUE"""),"VALENCIA")</f>
        <v>VALENCIA</v>
      </c>
      <c r="O623" s="65" t="str">
        <f>IFERROR(__xludf.DUMMYFUNCTION("""COMPUTED_VALUE"""),"RETIRA EN CS : VALENCIA_GENERAL ENRIQUE GALLO - AV. 13 DE DICIEMBRE Y GENERAL ENRIQUE GALLO MZ 4 REF A 1 METRO DE LA PARADA DE TAXIS VALENTAXIS")</f>
        <v>RETIRA EN CS : VALENCIA_GENERAL ENRIQUE GALLO - AV. 13 DE DICIEMBRE Y GENERAL ENRIQUE GALLO MZ 4 REF A 1 METRO DE LA PARADA DE TAXIS VALENTAXIS</v>
      </c>
      <c r="P623" s="65"/>
      <c r="Q623" s="65" t="str">
        <f>IFERROR(__xludf.DUMMYFUNCTION("""COMPUTED_VALUE"""),"SERVIENTREGA")</f>
        <v>SERVIENTREGA</v>
      </c>
      <c r="R623" s="65">
        <f>IFERROR(__xludf.DUMMYFUNCTION("""COMPUTED_VALUE"""),22.0)</f>
        <v>22</v>
      </c>
      <c r="S623" s="65">
        <f>IFERROR(__xludf.DUMMYFUNCTION("""COMPUTED_VALUE"""),6.8)</f>
        <v>6.8</v>
      </c>
      <c r="T623" s="65">
        <f>IFERROR(__xludf.DUMMYFUNCTION("""COMPUTED_VALUE"""),7.7)</f>
        <v>7.7</v>
      </c>
      <c r="U623" s="65">
        <f>IFERROR(__xludf.DUMMYFUNCTION("""COMPUTED_VALUE"""),0.0)</f>
        <v>0</v>
      </c>
      <c r="V623" s="65">
        <f>IFERROR(__xludf.DUMMYFUNCTION("""COMPUTED_VALUE"""),0.0)</f>
        <v>0</v>
      </c>
      <c r="W623" s="65">
        <f>IFERROR(__xludf.DUMMYFUNCTION("""COMPUTED_VALUE"""),0.0)</f>
        <v>0</v>
      </c>
      <c r="X623" s="65">
        <f>IFERROR(__xludf.DUMMYFUNCTION("""COMPUTED_VALUE"""),3.75)</f>
        <v>3.75</v>
      </c>
      <c r="Y623" s="65">
        <f>IFERROR(__xludf.DUMMYFUNCTION("""COMPUTED_VALUE"""),7.5)</f>
        <v>7.5</v>
      </c>
      <c r="Z623" s="65">
        <f>IFERROR(__xludf.DUMMYFUNCTION("""COMPUTED_VALUE"""),113116.0)</f>
        <v>113116</v>
      </c>
      <c r="AA623" s="65" t="str">
        <f>IFERROR(__xludf.DUMMYFUNCTION("""COMPUTED_VALUE"""),"IM-TAZAKI")</f>
        <v>IM-TAZAKI</v>
      </c>
      <c r="AB623" s="65"/>
      <c r="AC623" s="65" t="str">
        <f>IFERROR(__xludf.DUMMYFUNCTION("""COMPUTED_VALUE"""),"Cuchillo tazaki")</f>
        <v>Cuchillo tazaki</v>
      </c>
      <c r="AD623" s="65"/>
      <c r="AE623" s="65">
        <f>IFERROR(__xludf.DUMMYFUNCTION("""COMPUTED_VALUE"""),2.0)</f>
        <v>2</v>
      </c>
      <c r="AF623" s="65"/>
      <c r="AG623" s="65"/>
      <c r="AH623" s="65"/>
      <c r="AI623" s="65"/>
      <c r="AJ623" s="65"/>
      <c r="AK623" s="65"/>
      <c r="AL623" s="65"/>
      <c r="AM623" s="65"/>
      <c r="AN623" s="65" t="str">
        <f>IFERROR(__xludf.DUMMYFUNCTION("""COMPUTED_VALUE"""),"20:18")</f>
        <v>20:18</v>
      </c>
      <c r="AO623" s="65" t="str">
        <f>IFERROR(__xludf.DUMMYFUNCTION("""COMPUTED_VALUE"""),"27-02-2026")</f>
        <v>27-02-2026</v>
      </c>
      <c r="AP623" s="65" t="str">
        <f>IFERROR(__xludf.DUMMYFUNCTION("""COMPUTED_VALUE"""),"REPORTADO ENTREGADO EN AGENCIA")</f>
        <v>REPORTADO ENTREGADO EN AGENCIA</v>
      </c>
      <c r="AQ623" s="65" t="str">
        <f>IFERROR(__xludf.DUMMYFUNCTION("""COMPUTED_VALUE"""),"LUIS AYALA")</f>
        <v>LUIS AYALA</v>
      </c>
      <c r="AR623" s="65"/>
      <c r="AS623" s="65"/>
      <c r="AT623" s="65" t="str">
        <f>IFERROR(__xludf.DUMMYFUNCTION("""COMPUTED_VALUE"""),"CHATEA PRO")</f>
        <v>CHATEA PRO</v>
      </c>
      <c r="AU623" s="65" t="str">
        <f>IFERROR(__xludf.DUMMYFUNCTION("""COMPUTED_VALUE"""),"CHATEA PRO")</f>
        <v>CHATEA PRO</v>
      </c>
      <c r="AV623" s="65"/>
      <c r="AW623" s="65"/>
      <c r="AX623" s="65"/>
      <c r="AY623" s="65" t="str">
        <f>IFERROR(__xludf.DUMMYFUNCTION("""COMPUTED_VALUE"""),"19/02/2026")</f>
        <v>19/02/2026</v>
      </c>
      <c r="AZ623" s="65"/>
      <c r="BA623" s="65"/>
    </row>
    <row r="624">
      <c r="A624" s="65" t="str">
        <f>IFERROR(__xludf.DUMMYFUNCTION("""COMPUTED_VALUE"""),"27-03-2026")</f>
        <v>27-03-2026</v>
      </c>
      <c r="B624" s="65">
        <f>IFERROR(__xludf.DUMMYFUNCTION("""COMPUTED_VALUE"""),4547597.0)</f>
        <v>4547597</v>
      </c>
      <c r="C624" s="65" t="str">
        <f>IFERROR(__xludf.DUMMYFUNCTION("""COMPUTED_VALUE"""),"18:17")</f>
        <v>18:17</v>
      </c>
      <c r="D624" s="65" t="str">
        <f>IFERROR(__xludf.DUMMYFUNCTION("""COMPUTED_VALUE"""),"18-02-2026")</f>
        <v>18-02-2026</v>
      </c>
      <c r="E624" s="65" t="str">
        <f>IFERROR(__xludf.DUMMYFUNCTION("""COMPUTED_VALUE"""),"Hector Paredes burbano")</f>
        <v>Hector Paredes burbano</v>
      </c>
      <c r="F624" s="65" t="str">
        <f>IFERROR(__xludf.DUMMYFUNCTION("""COMPUTED_VALUE"""),"994454794")</f>
        <v>994454794</v>
      </c>
      <c r="G624" s="65"/>
      <c r="H624" s="65"/>
      <c r="I624" s="65"/>
      <c r="J624" s="65" t="str">
        <f>IFERROR(__xludf.DUMMYFUNCTION("""COMPUTED_VALUE"""),"D001340244")</f>
        <v>D001340244</v>
      </c>
      <c r="K624" s="65" t="str">
        <f>IFERROR(__xludf.DUMMYFUNCTION("""COMPUTED_VALUE"""),"ENTREGADO")</f>
        <v>ENTREGADO</v>
      </c>
      <c r="L624" s="65" t="str">
        <f>IFERROR(__xludf.DUMMYFUNCTION("""COMPUTED_VALUE"""),"CON RECAUDO")</f>
        <v>CON RECAUDO</v>
      </c>
      <c r="M624" s="65" t="str">
        <f>IFERROR(__xludf.DUMMYFUNCTION("""COMPUTED_VALUE"""),"CAÑAR")</f>
        <v>CAÑAR</v>
      </c>
      <c r="N624" s="65" t="str">
        <f>IFERROR(__xludf.DUMMYFUNCTION("""COMPUTED_VALUE"""),"LA TRONCAL")</f>
        <v>LA TRONCAL</v>
      </c>
      <c r="O624" s="65" t="str">
        <f>IFERROR(__xludf.DUMMYFUNCTION("""COMPUTED_VALUE"""),"Avenida 4 de noviembre y 25 de agosto")</f>
        <v>Avenida 4 de noviembre y 25 de agosto</v>
      </c>
      <c r="P624" s="65"/>
      <c r="Q624" s="65" t="str">
        <f>IFERROR(__xludf.DUMMYFUNCTION("""COMPUTED_VALUE"""),"GINTRACOM")</f>
        <v>GINTRACOM</v>
      </c>
      <c r="R624" s="65">
        <f>IFERROR(__xludf.DUMMYFUNCTION("""COMPUTED_VALUE"""),25.0)</f>
        <v>25</v>
      </c>
      <c r="S624" s="65">
        <f>IFERROR(__xludf.DUMMYFUNCTION("""COMPUTED_VALUE"""),14.24)</f>
        <v>14.24</v>
      </c>
      <c r="T624" s="65">
        <f>IFERROR(__xludf.DUMMYFUNCTION("""COMPUTED_VALUE"""),5.96)</f>
        <v>5.96</v>
      </c>
      <c r="U624" s="65">
        <f>IFERROR(__xludf.DUMMYFUNCTION("""COMPUTED_VALUE"""),0.0)</f>
        <v>0</v>
      </c>
      <c r="V624" s="65">
        <f>IFERROR(__xludf.DUMMYFUNCTION("""COMPUTED_VALUE"""),0.0)</f>
        <v>0</v>
      </c>
      <c r="W624" s="65">
        <f>IFERROR(__xludf.DUMMYFUNCTION("""COMPUTED_VALUE"""),0.0)</f>
        <v>0</v>
      </c>
      <c r="X624" s="65">
        <f>IFERROR(__xludf.DUMMYFUNCTION("""COMPUTED_VALUE"""),2.4)</f>
        <v>2.4</v>
      </c>
      <c r="Y624" s="65">
        <f>IFERROR(__xludf.DUMMYFUNCTION("""COMPUTED_VALUE"""),4.8)</f>
        <v>4.8</v>
      </c>
      <c r="Z624" s="65">
        <f>IFERROR(__xludf.DUMMYFUNCTION("""COMPUTED_VALUE"""),120732.0)</f>
        <v>120732</v>
      </c>
      <c r="AA624" s="65" t="str">
        <f>IFERROR(__xludf.DUMMYFUNCTION("""COMPUTED_VALUE"""),"PROV-LMPVT")</f>
        <v>PROV-LMPVT</v>
      </c>
      <c r="AB624" s="65"/>
      <c r="AC624" s="65" t="str">
        <f>IFERROR(__xludf.DUMMYFUNCTION("""COMPUTED_VALUE"""),"LIMPIADOR DE PARABRISAS Y VENTANAS")</f>
        <v>LIMPIADOR DE PARABRISAS Y VENTANAS</v>
      </c>
      <c r="AD624" s="65"/>
      <c r="AE624" s="65">
        <f>IFERROR(__xludf.DUMMYFUNCTION("""COMPUTED_VALUE"""),2.0)</f>
        <v>2</v>
      </c>
      <c r="AF624" s="65"/>
      <c r="AG624" s="65"/>
      <c r="AH624" s="65"/>
      <c r="AI624" s="65"/>
      <c r="AJ624" s="65"/>
      <c r="AK624" s="65"/>
      <c r="AL624" s="65"/>
      <c r="AM624" s="65"/>
      <c r="AN624" s="65" t="str">
        <f>IFERROR(__xludf.DUMMYFUNCTION("""COMPUTED_VALUE"""),"11:13")</f>
        <v>11:13</v>
      </c>
      <c r="AO624" s="65" t="str">
        <f>IFERROR(__xludf.DUMMYFUNCTION("""COMPUTED_VALUE"""),"22-02-2026")</f>
        <v>22-02-2026</v>
      </c>
      <c r="AP624" s="65" t="str">
        <f>IFERROR(__xludf.DUMMYFUNCTION("""COMPUTED_VALUE"""),"ENTREGADA GINTRACOM")</f>
        <v>ENTREGADA GINTRACOM</v>
      </c>
      <c r="AQ624" s="65" t="str">
        <f>IFERROR(__xludf.DUMMYFUNCTION("""COMPUTED_VALUE"""),"ENTREGADA GINTRACOM")</f>
        <v>ENTREGADA GINTRACOM</v>
      </c>
      <c r="AR624" s="65"/>
      <c r="AS624" s="65"/>
      <c r="AT624" s="65"/>
      <c r="AU624" s="65"/>
      <c r="AV624" s="65"/>
      <c r="AW624" s="65"/>
      <c r="AX624" s="65"/>
      <c r="AY624" s="65" t="str">
        <f>IFERROR(__xludf.DUMMYFUNCTION("""COMPUTED_VALUE"""),"19/02/2026")</f>
        <v>19/02/2026</v>
      </c>
      <c r="AZ624" s="65"/>
      <c r="BA624" s="65"/>
    </row>
    <row r="625">
      <c r="A625" s="65" t="str">
        <f>IFERROR(__xludf.DUMMYFUNCTION("""COMPUTED_VALUE"""),"27-03-2026")</f>
        <v>27-03-2026</v>
      </c>
      <c r="B625" s="65">
        <f>IFERROR(__xludf.DUMMYFUNCTION("""COMPUTED_VALUE"""),4547590.0)</f>
        <v>4547590</v>
      </c>
      <c r="C625" s="65" t="str">
        <f>IFERROR(__xludf.DUMMYFUNCTION("""COMPUTED_VALUE"""),"18:16")</f>
        <v>18:16</v>
      </c>
      <c r="D625" s="65" t="str">
        <f>IFERROR(__xludf.DUMMYFUNCTION("""COMPUTED_VALUE"""),"18-02-2026")</f>
        <v>18-02-2026</v>
      </c>
      <c r="E625" s="65" t="str">
        <f>IFERROR(__xludf.DUMMYFUNCTION("""COMPUTED_VALUE"""),"Jaime Farfan")</f>
        <v>Jaime Farfan</v>
      </c>
      <c r="F625" s="65" t="str">
        <f>IFERROR(__xludf.DUMMYFUNCTION("""COMPUTED_VALUE"""),"958747351")</f>
        <v>958747351</v>
      </c>
      <c r="G625" s="65" t="str">
        <f>IFERROR(__xludf.DUMMYFUNCTION("""COMPUTED_VALUE"""),"ffarfn2@gmail.com")</f>
        <v>ffarfn2@gmail.com</v>
      </c>
      <c r="H625" s="65"/>
      <c r="I625" s="65"/>
      <c r="J625" s="65" t="str">
        <f>IFERROR(__xludf.DUMMYFUNCTION("""COMPUTED_VALUE"""),"D001340245")</f>
        <v>D001340245</v>
      </c>
      <c r="K625" s="65" t="str">
        <f>IFERROR(__xludf.DUMMYFUNCTION("""COMPUTED_VALUE"""),"ENTREGADO")</f>
        <v>ENTREGADO</v>
      </c>
      <c r="L625" s="65" t="str">
        <f>IFERROR(__xludf.DUMMYFUNCTION("""COMPUTED_VALUE"""),"CON RECAUDO")</f>
        <v>CON RECAUDO</v>
      </c>
      <c r="M625" s="65" t="str">
        <f>IFERROR(__xludf.DUMMYFUNCTION("""COMPUTED_VALUE"""),"EL ORO")</f>
        <v>EL ORO</v>
      </c>
      <c r="N625" s="65" t="str">
        <f>IFERROR(__xludf.DUMMYFUNCTION("""COMPUTED_VALUE"""),"HUAQUILLAS")</f>
        <v>HUAQUILLAS</v>
      </c>
      <c r="O625" s="65" t="str">
        <f>IFERROR(__xludf.DUMMYFUNCTION("""COMPUTED_VALUE"""),"Calle Chiriboga entre Av. LA República y Esmeraldas, Interior de la Unidad Educativa Cesaf Edmundo Chiriboga")</f>
        <v>Calle Chiriboga entre Av. LA República y Esmeraldas, Interior de la Unidad Educativa Cesaf Edmundo Chiriboga</v>
      </c>
      <c r="P625" s="65"/>
      <c r="Q625" s="65" t="str">
        <f>IFERROR(__xludf.DUMMYFUNCTION("""COMPUTED_VALUE"""),"GINTRACOM")</f>
        <v>GINTRACOM</v>
      </c>
      <c r="R625" s="65">
        <f>IFERROR(__xludf.DUMMYFUNCTION("""COMPUTED_VALUE"""),30.0)</f>
        <v>30</v>
      </c>
      <c r="S625" s="65">
        <f>IFERROR(__xludf.DUMMYFUNCTION("""COMPUTED_VALUE"""),16.64)</f>
        <v>16.64</v>
      </c>
      <c r="T625" s="65">
        <f>IFERROR(__xludf.DUMMYFUNCTION("""COMPUTED_VALUE"""),6.16)</f>
        <v>6.16</v>
      </c>
      <c r="U625" s="65">
        <f>IFERROR(__xludf.DUMMYFUNCTION("""COMPUTED_VALUE"""),0.0)</f>
        <v>0</v>
      </c>
      <c r="V625" s="65">
        <f>IFERROR(__xludf.DUMMYFUNCTION("""COMPUTED_VALUE"""),0.0)</f>
        <v>0</v>
      </c>
      <c r="W625" s="65">
        <f>IFERROR(__xludf.DUMMYFUNCTION("""COMPUTED_VALUE"""),0.0)</f>
        <v>0</v>
      </c>
      <c r="X625" s="65">
        <f>IFERROR(__xludf.DUMMYFUNCTION("""COMPUTED_VALUE"""),2.4)</f>
        <v>2.4</v>
      </c>
      <c r="Y625" s="65">
        <f>IFERROR(__xludf.DUMMYFUNCTION("""COMPUTED_VALUE"""),7.2)</f>
        <v>7.2</v>
      </c>
      <c r="Z625" s="65">
        <f>IFERROR(__xludf.DUMMYFUNCTION("""COMPUTED_VALUE"""),120732.0)</f>
        <v>120732</v>
      </c>
      <c r="AA625" s="65" t="str">
        <f>IFERROR(__xludf.DUMMYFUNCTION("""COMPUTED_VALUE"""),"PROV-LMPVT")</f>
        <v>PROV-LMPVT</v>
      </c>
      <c r="AB625" s="65"/>
      <c r="AC625" s="65" t="str">
        <f>IFERROR(__xludf.DUMMYFUNCTION("""COMPUTED_VALUE"""),"LIMPIADOR DE PARABRISAS Y VENTANAS")</f>
        <v>LIMPIADOR DE PARABRISAS Y VENTANAS</v>
      </c>
      <c r="AD625" s="65"/>
      <c r="AE625" s="65">
        <f>IFERROR(__xludf.DUMMYFUNCTION("""COMPUTED_VALUE"""),3.0)</f>
        <v>3</v>
      </c>
      <c r="AF625" s="65" t="str">
        <f>IFERROR(__xludf.DUMMYFUNCTION("""COMPUTED_VALUE"""),"DESTINATARIO NO SE ENCUENTRA EN LUGAR DE ENTREGA.")</f>
        <v>DESTINATARIO NO SE ENCUENTRA EN LUGAR DE ENTREGA.</v>
      </c>
      <c r="AG625" s="65" t="str">
        <f>IFERROR(__xludf.DUMMYFUNCTION("""COMPUTED_VALUE"""),"SI")</f>
        <v>SI</v>
      </c>
      <c r="AH625" s="65" t="str">
        <f>IFERROR(__xludf.DUMMYFUNCTION("""COMPUTED_VALUE"""),"23:33")</f>
        <v>23:33</v>
      </c>
      <c r="AI625" s="65" t="str">
        <f>IFERROR(__xludf.DUMMYFUNCTION("""COMPUTED_VALUE"""),"21-02-2026")</f>
        <v>21-02-2026</v>
      </c>
      <c r="AJ625" s="65" t="str">
        <f>IFERROR(__xludf.DUMMYFUNCTION("""COMPUTED_VALUE"""),"CLIENTE SOLICITA LA ENTREGA INMEDIATA")</f>
        <v>CLIENTE SOLICITA LA ENTREGA INMEDIATA</v>
      </c>
      <c r="AK625" s="65" t="str">
        <f>IFERROR(__xludf.DUMMYFUNCTION("""COMPUTED_VALUE"""),"11:42")</f>
        <v>11:42</v>
      </c>
      <c r="AL625" s="65" t="str">
        <f>IFERROR(__xludf.DUMMYFUNCTION("""COMPUTED_VALUE"""),"24-02-2026")</f>
        <v>24-02-2026</v>
      </c>
      <c r="AM625" s="65"/>
      <c r="AN625" s="65" t="str">
        <f>IFERROR(__xludf.DUMMYFUNCTION("""COMPUTED_VALUE"""),"09:57")</f>
        <v>09:57</v>
      </c>
      <c r="AO625" s="65" t="str">
        <f>IFERROR(__xludf.DUMMYFUNCTION("""COMPUTED_VALUE"""),"25-02-2026")</f>
        <v>25-02-2026</v>
      </c>
      <c r="AP625" s="65" t="str">
        <f>IFERROR(__xludf.DUMMYFUNCTION("""COMPUTED_VALUE"""),"ENTREGADA GINTRACOM")</f>
        <v>ENTREGADA GINTRACOM</v>
      </c>
      <c r="AQ625" s="65" t="str">
        <f>IFERROR(__xludf.DUMMYFUNCTION("""COMPUTED_VALUE"""),"ENTREGADA GINTRACOM")</f>
        <v>ENTREGADA GINTRACOM</v>
      </c>
      <c r="AR625" s="65"/>
      <c r="AS625" s="65"/>
      <c r="AT625" s="65" t="str">
        <f>IFERROR(__xludf.DUMMYFUNCTION("""COMPUTED_VALUE"""),"SHOPIFY")</f>
        <v>SHOPIFY</v>
      </c>
      <c r="AU625" s="65" t="str">
        <f>IFERROR(__xludf.DUMMYFUNCTION("""COMPUTED_VALUE"""),"IMPORTEX EC")</f>
        <v>IMPORTEX EC</v>
      </c>
      <c r="AV625" s="65" t="str">
        <f>IFERROR(__xludf.DUMMYFUNCTION("""COMPUTED_VALUE"""),"6513341136940")</f>
        <v>6513341136940</v>
      </c>
      <c r="AW625" s="65">
        <f>IFERROR(__xludf.DUMMYFUNCTION("""COMPUTED_VALUE"""),6255.0)</f>
        <v>6255</v>
      </c>
      <c r="AX625" s="65"/>
      <c r="AY625" s="65" t="str">
        <f>IFERROR(__xludf.DUMMYFUNCTION("""COMPUTED_VALUE"""),"19/02/2026")</f>
        <v>19/02/2026</v>
      </c>
      <c r="AZ625" s="65"/>
      <c r="BA625" s="65"/>
    </row>
    <row r="626">
      <c r="A626" s="65" t="str">
        <f>IFERROR(__xludf.DUMMYFUNCTION("""COMPUTED_VALUE"""),"27-03-2026")</f>
        <v>27-03-2026</v>
      </c>
      <c r="B626" s="65">
        <f>IFERROR(__xludf.DUMMYFUNCTION("""COMPUTED_VALUE"""),4547282.0)</f>
        <v>4547282</v>
      </c>
      <c r="C626" s="65" t="str">
        <f>IFERROR(__xludf.DUMMYFUNCTION("""COMPUTED_VALUE"""),"17:41")</f>
        <v>17:41</v>
      </c>
      <c r="D626" s="65" t="str">
        <f>IFERROR(__xludf.DUMMYFUNCTION("""COMPUTED_VALUE"""),"18-02-2026")</f>
        <v>18-02-2026</v>
      </c>
      <c r="E626" s="65" t="str">
        <f>IFERROR(__xludf.DUMMYFUNCTION("""COMPUTED_VALUE"""),"Fulton Ivan Avila Alulema")</f>
        <v>Fulton Ivan Avila Alulema</v>
      </c>
      <c r="F626" s="65" t="str">
        <f>IFERROR(__xludf.DUMMYFUNCTION("""COMPUTED_VALUE"""),"990092716")</f>
        <v>990092716</v>
      </c>
      <c r="G626" s="65" t="str">
        <f>IFERROR(__xludf.DUMMYFUNCTION("""COMPUTED_VALUE"""),"ivanavila10@hotmail.com")</f>
        <v>ivanavila10@hotmail.com</v>
      </c>
      <c r="H626" s="65"/>
      <c r="I626" s="65"/>
      <c r="J626" s="65"/>
      <c r="K626" s="65" t="str">
        <f>IFERROR(__xludf.DUMMYFUNCTION("""COMPUTED_VALUE"""),"CANCELADO")</f>
        <v>CANCELADO</v>
      </c>
      <c r="L626" s="65" t="str">
        <f>IFERROR(__xludf.DUMMYFUNCTION("""COMPUTED_VALUE"""),"CON RECAUDO")</f>
        <v>CON RECAUDO</v>
      </c>
      <c r="M626" s="65" t="str">
        <f>IFERROR(__xludf.DUMMYFUNCTION("""COMPUTED_VALUE"""),"GUAYAS")</f>
        <v>GUAYAS</v>
      </c>
      <c r="N626" s="65" t="str">
        <f>IFERROR(__xludf.DUMMYFUNCTION("""COMPUTED_VALUE"""),"GUAYAQUIL")</f>
        <v>GUAYAQUIL</v>
      </c>
      <c r="O626" s="65" t="str">
        <f>IFERROR(__xludf.DUMMYFUNCTION("""COMPUTED_VALUE"""),"Mucho Lote 2 Paraiso del río 2 Urbanización -")</f>
        <v>Mucho Lote 2 Paraiso del río 2 Urbanización -</v>
      </c>
      <c r="P626" s="65"/>
      <c r="Q626" s="65" t="str">
        <f>IFERROR(__xludf.DUMMYFUNCTION("""COMPUTED_VALUE"""),"GINTRACOM")</f>
        <v>GINTRACOM</v>
      </c>
      <c r="R626" s="65">
        <f>IFERROR(__xludf.DUMMYFUNCTION("""COMPUTED_VALUE"""),30.0)</f>
        <v>30</v>
      </c>
      <c r="S626" s="65"/>
      <c r="T626" s="65">
        <f>IFERROR(__xludf.DUMMYFUNCTION("""COMPUTED_VALUE"""),4.55)</f>
        <v>4.55</v>
      </c>
      <c r="U626" s="65">
        <f>IFERROR(__xludf.DUMMYFUNCTION("""COMPUTED_VALUE"""),0.0)</f>
        <v>0</v>
      </c>
      <c r="V626" s="65">
        <f>IFERROR(__xludf.DUMMYFUNCTION("""COMPUTED_VALUE"""),0.0)</f>
        <v>0</v>
      </c>
      <c r="W626" s="65">
        <f>IFERROR(__xludf.DUMMYFUNCTION("""COMPUTED_VALUE"""),0.0)</f>
        <v>0</v>
      </c>
      <c r="X626" s="65">
        <f>IFERROR(__xludf.DUMMYFUNCTION("""COMPUTED_VALUE"""),2.4)</f>
        <v>2.4</v>
      </c>
      <c r="Y626" s="65">
        <f>IFERROR(__xludf.DUMMYFUNCTION("""COMPUTED_VALUE"""),7.2)</f>
        <v>7.2</v>
      </c>
      <c r="Z626" s="65">
        <f>IFERROR(__xludf.DUMMYFUNCTION("""COMPUTED_VALUE"""),120732.0)</f>
        <v>120732</v>
      </c>
      <c r="AA626" s="65" t="str">
        <f>IFERROR(__xludf.DUMMYFUNCTION("""COMPUTED_VALUE"""),"PROV-LMPVT")</f>
        <v>PROV-LMPVT</v>
      </c>
      <c r="AB626" s="65"/>
      <c r="AC626" s="65" t="str">
        <f>IFERROR(__xludf.DUMMYFUNCTION("""COMPUTED_VALUE"""),"LIMPIADOR DE PARABRISAS Y VENTANAS")</f>
        <v>LIMPIADOR DE PARABRISAS Y VENTANAS</v>
      </c>
      <c r="AD626" s="65"/>
      <c r="AE626" s="65">
        <f>IFERROR(__xludf.DUMMYFUNCTION("""COMPUTED_VALUE"""),3.0)</f>
        <v>3</v>
      </c>
      <c r="AF626" s="65"/>
      <c r="AG626" s="65"/>
      <c r="AH626" s="65"/>
      <c r="AI626" s="65"/>
      <c r="AJ626" s="65"/>
      <c r="AK626" s="65"/>
      <c r="AL626" s="65"/>
      <c r="AM626" s="65"/>
      <c r="AN626" s="65"/>
      <c r="AO626" s="65"/>
      <c r="AP626" s="65"/>
      <c r="AQ626" s="65"/>
      <c r="AR626" s="65"/>
      <c r="AS626" s="65"/>
      <c r="AT626" s="65" t="str">
        <f>IFERROR(__xludf.DUMMYFUNCTION("""COMPUTED_VALUE"""),"SHOPIFY")</f>
        <v>SHOPIFY</v>
      </c>
      <c r="AU626" s="65" t="str">
        <f>IFERROR(__xludf.DUMMYFUNCTION("""COMPUTED_VALUE"""),"IMPORTEX EC")</f>
        <v>IMPORTEX EC</v>
      </c>
      <c r="AV626" s="65" t="str">
        <f>IFERROR(__xludf.DUMMYFUNCTION("""COMPUTED_VALUE"""),"6513278091308")</f>
        <v>6513278091308</v>
      </c>
      <c r="AW626" s="65">
        <f>IFERROR(__xludf.DUMMYFUNCTION("""COMPUTED_VALUE"""),6254.0)</f>
        <v>6254</v>
      </c>
      <c r="AX626" s="65"/>
      <c r="AY626" s="65"/>
      <c r="AZ626" s="65"/>
      <c r="BA626" s="65"/>
    </row>
    <row r="627">
      <c r="A627" s="65" t="str">
        <f>IFERROR(__xludf.DUMMYFUNCTION("""COMPUTED_VALUE"""),"27-03-2026")</f>
        <v>27-03-2026</v>
      </c>
      <c r="B627" s="65">
        <f>IFERROR(__xludf.DUMMYFUNCTION("""COMPUTED_VALUE"""),4547129.0)</f>
        <v>4547129</v>
      </c>
      <c r="C627" s="65" t="str">
        <f>IFERROR(__xludf.DUMMYFUNCTION("""COMPUTED_VALUE"""),"17:23")</f>
        <v>17:23</v>
      </c>
      <c r="D627" s="65" t="str">
        <f>IFERROR(__xludf.DUMMYFUNCTION("""COMPUTED_VALUE"""),"18-02-2026")</f>
        <v>18-02-2026</v>
      </c>
      <c r="E627" s="65" t="str">
        <f>IFERROR(__xludf.DUMMYFUNCTION("""COMPUTED_VALUE"""),"Luis Hernández Hernández")</f>
        <v>Luis Hernández Hernández</v>
      </c>
      <c r="F627" s="65" t="str">
        <f>IFERROR(__xludf.DUMMYFUNCTION("""COMPUTED_VALUE"""),"959887876")</f>
        <v>959887876</v>
      </c>
      <c r="G627" s="65"/>
      <c r="H627" s="65"/>
      <c r="I627" s="65"/>
      <c r="J627" s="65" t="str">
        <f>IFERROR(__xludf.DUMMYFUNCTION("""COMPUTED_VALUE"""),"186796391")</f>
        <v>186796391</v>
      </c>
      <c r="K627" s="65" t="str">
        <f>IFERROR(__xludf.DUMMYFUNCTION("""COMPUTED_VALUE"""),"ENTREGADO")</f>
        <v>ENTREGADO</v>
      </c>
      <c r="L627" s="65" t="str">
        <f>IFERROR(__xludf.DUMMYFUNCTION("""COMPUTED_VALUE"""),"CON RECAUDO")</f>
        <v>CON RECAUDO</v>
      </c>
      <c r="M627" s="65" t="str">
        <f>IFERROR(__xludf.DUMMYFUNCTION("""COMPUTED_VALUE"""),"CAÑAR")</f>
        <v>CAÑAR</v>
      </c>
      <c r="N627" s="65" t="str">
        <f>IFERROR(__xludf.DUMMYFUNCTION("""COMPUTED_VALUE"""),"AZOGUES")</f>
        <v>AZOGUES</v>
      </c>
      <c r="O627" s="65" t="str">
        <f>IFERROR(__xludf.DUMMYFUNCTION("""COMPUTED_VALUE"""),"RETIRA EN CS : AZOGUES_AV 16 DE ABRIL - Av. 16 de Abril 1 y Adolfo Palomeque Ref. Atrás de Megahierro")</f>
        <v>RETIRA EN CS : AZOGUES_AV 16 DE ABRIL - Av. 16 de Abril 1 y Adolfo Palomeque Ref. Atrás de Megahierro</v>
      </c>
      <c r="P627" s="65"/>
      <c r="Q627" s="65" t="str">
        <f>IFERROR(__xludf.DUMMYFUNCTION("""COMPUTED_VALUE"""),"SERVIENTREGA")</f>
        <v>SERVIENTREGA</v>
      </c>
      <c r="R627" s="65">
        <f>IFERROR(__xludf.DUMMYFUNCTION("""COMPUTED_VALUE"""),22.0)</f>
        <v>22</v>
      </c>
      <c r="S627" s="65">
        <f>IFERROR(__xludf.DUMMYFUNCTION("""COMPUTED_VALUE"""),8.24)</f>
        <v>8.24</v>
      </c>
      <c r="T627" s="65">
        <f>IFERROR(__xludf.DUMMYFUNCTION("""COMPUTED_VALUE"""),6.26)</f>
        <v>6.26</v>
      </c>
      <c r="U627" s="65">
        <f>IFERROR(__xludf.DUMMYFUNCTION("""COMPUTED_VALUE"""),0.0)</f>
        <v>0</v>
      </c>
      <c r="V627" s="65">
        <f>IFERROR(__xludf.DUMMYFUNCTION("""COMPUTED_VALUE"""),0.0)</f>
        <v>0</v>
      </c>
      <c r="W627" s="65">
        <f>IFERROR(__xludf.DUMMYFUNCTION("""COMPUTED_VALUE"""),0.0)</f>
        <v>0</v>
      </c>
      <c r="X627" s="65">
        <f>IFERROR(__xludf.DUMMYFUNCTION("""COMPUTED_VALUE"""),3.75)</f>
        <v>3.75</v>
      </c>
      <c r="Y627" s="65">
        <f>IFERROR(__xludf.DUMMYFUNCTION("""COMPUTED_VALUE"""),7.5)</f>
        <v>7.5</v>
      </c>
      <c r="Z627" s="65">
        <f>IFERROR(__xludf.DUMMYFUNCTION("""COMPUTED_VALUE"""),113116.0)</f>
        <v>113116</v>
      </c>
      <c r="AA627" s="65" t="str">
        <f>IFERROR(__xludf.DUMMYFUNCTION("""COMPUTED_VALUE"""),"IM-TAZAKI")</f>
        <v>IM-TAZAKI</v>
      </c>
      <c r="AB627" s="65"/>
      <c r="AC627" s="65" t="str">
        <f>IFERROR(__xludf.DUMMYFUNCTION("""COMPUTED_VALUE"""),"Cuchillo tazaki")</f>
        <v>Cuchillo tazaki</v>
      </c>
      <c r="AD627" s="65"/>
      <c r="AE627" s="65">
        <f>IFERROR(__xludf.DUMMYFUNCTION("""COMPUTED_VALUE"""),2.0)</f>
        <v>2</v>
      </c>
      <c r="AF627" s="65"/>
      <c r="AG627" s="65"/>
      <c r="AH627" s="65"/>
      <c r="AI627" s="65"/>
      <c r="AJ627" s="65"/>
      <c r="AK627" s="65"/>
      <c r="AL627" s="65"/>
      <c r="AM627" s="65"/>
      <c r="AN627" s="65" t="str">
        <f>IFERROR(__xludf.DUMMYFUNCTION("""COMPUTED_VALUE"""),"16:57")</f>
        <v>16:57</v>
      </c>
      <c r="AO627" s="65" t="str">
        <f>IFERROR(__xludf.DUMMYFUNCTION("""COMPUTED_VALUE"""),"02-03-2026")</f>
        <v>02-03-2026</v>
      </c>
      <c r="AP627" s="65" t="str">
        <f>IFERROR(__xludf.DUMMYFUNCTION("""COMPUTED_VALUE"""),"ENTREGA DIGITALIZADA EN CENTRO LOGISTICO")</f>
        <v>ENTREGA DIGITALIZADA EN CENTRO LOGISTICO</v>
      </c>
      <c r="AQ627" s="65" t="str">
        <f>IFERROR(__xludf.DUMMYFUNCTION("""COMPUTED_VALUE"""),"LUIS HERNANDEZ")</f>
        <v>LUIS HERNANDEZ</v>
      </c>
      <c r="AR627" s="65"/>
      <c r="AS627" s="65"/>
      <c r="AT627" s="65" t="str">
        <f>IFERROR(__xludf.DUMMYFUNCTION("""COMPUTED_VALUE"""),"CHATEA PRO")</f>
        <v>CHATEA PRO</v>
      </c>
      <c r="AU627" s="65" t="str">
        <f>IFERROR(__xludf.DUMMYFUNCTION("""COMPUTED_VALUE"""),"CHATEA PRO")</f>
        <v>CHATEA PRO</v>
      </c>
      <c r="AV627" s="65"/>
      <c r="AW627" s="65"/>
      <c r="AX627" s="65"/>
      <c r="AY627" s="65" t="str">
        <f>IFERROR(__xludf.DUMMYFUNCTION("""COMPUTED_VALUE"""),"19/02/2026")</f>
        <v>19/02/2026</v>
      </c>
      <c r="AZ627" s="65"/>
      <c r="BA627" s="65"/>
    </row>
    <row r="628">
      <c r="A628" s="65" t="str">
        <f>IFERROR(__xludf.DUMMYFUNCTION("""COMPUTED_VALUE"""),"27-03-2026")</f>
        <v>27-03-2026</v>
      </c>
      <c r="B628" s="65">
        <f>IFERROR(__xludf.DUMMYFUNCTION("""COMPUTED_VALUE"""),4546781.0)</f>
        <v>4546781</v>
      </c>
      <c r="C628" s="65" t="str">
        <f>IFERROR(__xludf.DUMMYFUNCTION("""COMPUTED_VALUE"""),"16:53")</f>
        <v>16:53</v>
      </c>
      <c r="D628" s="65" t="str">
        <f>IFERROR(__xludf.DUMMYFUNCTION("""COMPUTED_VALUE"""),"18-02-2026")</f>
        <v>18-02-2026</v>
      </c>
      <c r="E628" s="65" t="str">
        <f>IFERROR(__xludf.DUMMYFUNCTION("""COMPUTED_VALUE"""),"Luis Alberto Gualle Ibujes")</f>
        <v>Luis Alberto Gualle Ibujes</v>
      </c>
      <c r="F628" s="65" t="str">
        <f>IFERROR(__xludf.DUMMYFUNCTION("""COMPUTED_VALUE"""),"959270932")</f>
        <v>959270932</v>
      </c>
      <c r="G628" s="65"/>
      <c r="H628" s="65"/>
      <c r="I628" s="65"/>
      <c r="J628" s="65" t="str">
        <f>IFERROR(__xludf.DUMMYFUNCTION("""COMPUTED_VALUE"""),"186793689")</f>
        <v>186793689</v>
      </c>
      <c r="K628" s="65" t="str">
        <f>IFERROR(__xludf.DUMMYFUNCTION("""COMPUTED_VALUE"""),"DEVOLUCION")</f>
        <v>DEVOLUCION</v>
      </c>
      <c r="L628" s="65" t="str">
        <f>IFERROR(__xludf.DUMMYFUNCTION("""COMPUTED_VALUE"""),"CON RECAUDO")</f>
        <v>CON RECAUDO</v>
      </c>
      <c r="M628" s="65" t="str">
        <f>IFERROR(__xludf.DUMMYFUNCTION("""COMPUTED_VALUE"""),"NAPO")</f>
        <v>NAPO</v>
      </c>
      <c r="N628" s="65" t="str">
        <f>IFERROR(__xludf.DUMMYFUNCTION("""COMPUTED_VALUE"""),"TENA")</f>
        <v>TENA</v>
      </c>
      <c r="O628" s="65" t="str">
        <f>IFERROR(__xludf.DUMMYFUNCTION("""COMPUTED_VALUE"""),"RETIRA EN CS : TENA_PRINCIPAL - AV PANO SN VICTOR HUGO SAN MIGUEL")</f>
        <v>RETIRA EN CS : TENA_PRINCIPAL - AV PANO SN VICTOR HUGO SAN MIGUEL</v>
      </c>
      <c r="P628" s="65"/>
      <c r="Q628" s="65" t="str">
        <f>IFERROR(__xludf.DUMMYFUNCTION("""COMPUTED_VALUE"""),"SERVIENTREGA")</f>
        <v>SERVIENTREGA</v>
      </c>
      <c r="R628" s="65">
        <f>IFERROR(__xludf.DUMMYFUNCTION("""COMPUTED_VALUE"""),25.0)</f>
        <v>25</v>
      </c>
      <c r="S628" s="65"/>
      <c r="T628" s="65">
        <f>IFERROR(__xludf.DUMMYFUNCTION("""COMPUTED_VALUE"""),7.75)</f>
        <v>7.75</v>
      </c>
      <c r="U628" s="65">
        <f>IFERROR(__xludf.DUMMYFUNCTION("""COMPUTED_VALUE"""),0.0)</f>
        <v>0</v>
      </c>
      <c r="V628" s="65">
        <f>IFERROR(__xludf.DUMMYFUNCTION("""COMPUTED_VALUE"""),0.0)</f>
        <v>0</v>
      </c>
      <c r="W628" s="65">
        <f>IFERROR(__xludf.DUMMYFUNCTION("""COMPUTED_VALUE"""),0.0)</f>
        <v>0</v>
      </c>
      <c r="X628" s="65">
        <f>IFERROR(__xludf.DUMMYFUNCTION("""COMPUTED_VALUE"""),2.4)</f>
        <v>2.4</v>
      </c>
      <c r="Y628" s="65">
        <f>IFERROR(__xludf.DUMMYFUNCTION("""COMPUTED_VALUE"""),4.8)</f>
        <v>4.8</v>
      </c>
      <c r="Z628" s="65">
        <f>IFERROR(__xludf.DUMMYFUNCTION("""COMPUTED_VALUE"""),120732.0)</f>
        <v>120732</v>
      </c>
      <c r="AA628" s="65" t="str">
        <f>IFERROR(__xludf.DUMMYFUNCTION("""COMPUTED_VALUE"""),"PROV-LMPVT")</f>
        <v>PROV-LMPVT</v>
      </c>
      <c r="AB628" s="65"/>
      <c r="AC628" s="65" t="str">
        <f>IFERROR(__xludf.DUMMYFUNCTION("""COMPUTED_VALUE"""),"LIMPIADOR DE PARABRISAS Y VENTANAS")</f>
        <v>LIMPIADOR DE PARABRISAS Y VENTANAS</v>
      </c>
      <c r="AD628" s="65"/>
      <c r="AE628" s="65">
        <f>IFERROR(__xludf.DUMMYFUNCTION("""COMPUTED_VALUE"""),2.0)</f>
        <v>2</v>
      </c>
      <c r="AF628" s="65" t="str">
        <f>IFERROR(__xludf.DUMMYFUNCTION("""COMPUTED_VALUE"""),"DEVUELTO DE")</f>
        <v>DEVUELTO DE</v>
      </c>
      <c r="AG628" s="65" t="str">
        <f>IFERROR(__xludf.DUMMYFUNCTION("""COMPUTED_VALUE"""),"NO")</f>
        <v>NO</v>
      </c>
      <c r="AH628" s="65" t="str">
        <f>IFERROR(__xludf.DUMMYFUNCTION("""COMPUTED_VALUE"""),"07:47")</f>
        <v>07:47</v>
      </c>
      <c r="AI628" s="65" t="str">
        <f>IFERROR(__xludf.DUMMYFUNCTION("""COMPUTED_VALUE"""),"02-03-2026")</f>
        <v>02-03-2026</v>
      </c>
      <c r="AJ628" s="65"/>
      <c r="AK628" s="65"/>
      <c r="AL628" s="65"/>
      <c r="AM628" s="65"/>
      <c r="AN628" s="65" t="str">
        <f>IFERROR(__xludf.DUMMYFUNCTION("""COMPUTED_VALUE"""),"01:01")</f>
        <v>01:01</v>
      </c>
      <c r="AO628" s="65" t="str">
        <f>IFERROR(__xludf.DUMMYFUNCTION("""COMPUTED_VALUE"""),"05-03-2026")</f>
        <v>05-03-2026</v>
      </c>
      <c r="AP628" s="65" t="str">
        <f>IFERROR(__xludf.DUMMYFUNCTION("""COMPUTED_VALUE"""),"DEVOLUCION AL REMITENTE")</f>
        <v>DEVOLUCION AL REMITENTE</v>
      </c>
      <c r="AQ628" s="65" t="str">
        <f>IFERROR(__xludf.DUMMYFUNCTION("""COMPUTED_VALUE"""),"{}")</f>
        <v>{}</v>
      </c>
      <c r="AR628" s="65"/>
      <c r="AS628" s="65"/>
      <c r="AT628" s="65" t="str">
        <f>IFERROR(__xludf.DUMMYFUNCTION("""COMPUTED_VALUE"""),"CHATEA PRO")</f>
        <v>CHATEA PRO</v>
      </c>
      <c r="AU628" s="65" t="str">
        <f>IFERROR(__xludf.DUMMYFUNCTION("""COMPUTED_VALUE"""),"CHATEA PRO")</f>
        <v>CHATEA PRO</v>
      </c>
      <c r="AV628" s="65"/>
      <c r="AW628" s="65"/>
      <c r="AX628" s="65"/>
      <c r="AY628" s="65" t="str">
        <f>IFERROR(__xludf.DUMMYFUNCTION("""COMPUTED_VALUE"""),"19/02/2026")</f>
        <v>19/02/2026</v>
      </c>
      <c r="AZ628" s="65"/>
      <c r="BA628" s="65"/>
    </row>
    <row r="629">
      <c r="A629" s="65" t="str">
        <f>IFERROR(__xludf.DUMMYFUNCTION("""COMPUTED_VALUE"""),"27-03-2026")</f>
        <v>27-03-2026</v>
      </c>
      <c r="B629" s="65">
        <f>IFERROR(__xludf.DUMMYFUNCTION("""COMPUTED_VALUE"""),4546727.0)</f>
        <v>4546727</v>
      </c>
      <c r="C629" s="65" t="str">
        <f>IFERROR(__xludf.DUMMYFUNCTION("""COMPUTED_VALUE"""),"16:49")</f>
        <v>16:49</v>
      </c>
      <c r="D629" s="65" t="str">
        <f>IFERROR(__xludf.DUMMYFUNCTION("""COMPUTED_VALUE"""),"18-02-2026")</f>
        <v>18-02-2026</v>
      </c>
      <c r="E629" s="65" t="str">
        <f>IFERROR(__xludf.DUMMYFUNCTION("""COMPUTED_VALUE"""),"Ivan Molina")</f>
        <v>Ivan Molina</v>
      </c>
      <c r="F629" s="65" t="str">
        <f>IFERROR(__xludf.DUMMYFUNCTION("""COMPUTED_VALUE"""),"998332145")</f>
        <v>998332145</v>
      </c>
      <c r="G629" s="65" t="str">
        <f>IFERROR(__xludf.DUMMYFUNCTION("""COMPUTED_VALUE"""),"mimolinalumol@hotmail.com")</f>
        <v>mimolinalumol@hotmail.com</v>
      </c>
      <c r="H629" s="65"/>
      <c r="I629" s="65"/>
      <c r="J629" s="65" t="str">
        <f>IFERROR(__xludf.DUMMYFUNCTION("""COMPUTED_VALUE"""),"D001343248")</f>
        <v>D001343248</v>
      </c>
      <c r="K629" s="65" t="str">
        <f>IFERROR(__xludf.DUMMYFUNCTION("""COMPUTED_VALUE"""),"DEVOLUCION")</f>
        <v>DEVOLUCION</v>
      </c>
      <c r="L629" s="65" t="str">
        <f>IFERROR(__xludf.DUMMYFUNCTION("""COMPUTED_VALUE"""),"CON RECAUDO")</f>
        <v>CON RECAUDO</v>
      </c>
      <c r="M629" s="65" t="str">
        <f>IFERROR(__xludf.DUMMYFUNCTION("""COMPUTED_VALUE"""),"GUAYAS")</f>
        <v>GUAYAS</v>
      </c>
      <c r="N629" s="65" t="str">
        <f>IFERROR(__xludf.DUMMYFUNCTION("""COMPUTED_VALUE"""),"GUAYAQUIL")</f>
        <v>GUAYAQUIL</v>
      </c>
      <c r="O629" s="65" t="str">
        <f>IFERROR(__xludf.DUMMYFUNCTION("""COMPUTED_VALUE"""),"Portete 2525 y Lizardo García Sur oeste -")</f>
        <v>Portete 2525 y Lizardo García Sur oeste -</v>
      </c>
      <c r="P629" s="65"/>
      <c r="Q629" s="65" t="str">
        <f>IFERROR(__xludf.DUMMYFUNCTION("""COMPUTED_VALUE"""),"GINTRACOM")</f>
        <v>GINTRACOM</v>
      </c>
      <c r="R629" s="65">
        <f>IFERROR(__xludf.DUMMYFUNCTION("""COMPUTED_VALUE"""),22.0)</f>
        <v>22</v>
      </c>
      <c r="S629" s="65"/>
      <c r="T629" s="65">
        <f>IFERROR(__xludf.DUMMYFUNCTION("""COMPUTED_VALUE"""),5.84)</f>
        <v>5.84</v>
      </c>
      <c r="U629" s="65">
        <f>IFERROR(__xludf.DUMMYFUNCTION("""COMPUTED_VALUE"""),0.0)</f>
        <v>0</v>
      </c>
      <c r="V629" s="65">
        <f>IFERROR(__xludf.DUMMYFUNCTION("""COMPUTED_VALUE"""),0.0)</f>
        <v>0</v>
      </c>
      <c r="W629" s="65">
        <f>IFERROR(__xludf.DUMMYFUNCTION("""COMPUTED_VALUE"""),0.0)</f>
        <v>0</v>
      </c>
      <c r="X629" s="65">
        <f>IFERROR(__xludf.DUMMYFUNCTION("""COMPUTED_VALUE"""),3.75)</f>
        <v>3.75</v>
      </c>
      <c r="Y629" s="65">
        <f>IFERROR(__xludf.DUMMYFUNCTION("""COMPUTED_VALUE"""),7.5)</f>
        <v>7.5</v>
      </c>
      <c r="Z629" s="65">
        <f>IFERROR(__xludf.DUMMYFUNCTION("""COMPUTED_VALUE"""),113116.0)</f>
        <v>113116</v>
      </c>
      <c r="AA629" s="65" t="str">
        <f>IFERROR(__xludf.DUMMYFUNCTION("""COMPUTED_VALUE"""),"IM-TAZAKI")</f>
        <v>IM-TAZAKI</v>
      </c>
      <c r="AB629" s="65"/>
      <c r="AC629" s="65" t="str">
        <f>IFERROR(__xludf.DUMMYFUNCTION("""COMPUTED_VALUE"""),"Cuchillo tazaki")</f>
        <v>Cuchillo tazaki</v>
      </c>
      <c r="AD629" s="65"/>
      <c r="AE629" s="65">
        <f>IFERROR(__xludf.DUMMYFUNCTION("""COMPUTED_VALUE"""),2.0)</f>
        <v>2</v>
      </c>
      <c r="AF629" s="65" t="str">
        <f>IFERROR(__xludf.DUMMYFUNCTION("""COMPUTED_VALUE"""),"DESTINATARIO NO CONTESTA LLAMADAS NI WHATSAPP")</f>
        <v>DESTINATARIO NO CONTESTA LLAMADAS NI WHATSAPP</v>
      </c>
      <c r="AG629" s="65" t="str">
        <f>IFERROR(__xludf.DUMMYFUNCTION("""COMPUTED_VALUE"""),"NO")</f>
        <v>NO</v>
      </c>
      <c r="AH629" s="65" t="str">
        <f>IFERROR(__xludf.DUMMYFUNCTION("""COMPUTED_VALUE"""),"09:00")</f>
        <v>09:00</v>
      </c>
      <c r="AI629" s="65" t="str">
        <f>IFERROR(__xludf.DUMMYFUNCTION("""COMPUTED_VALUE"""),"01-03-2026")</f>
        <v>01-03-2026</v>
      </c>
      <c r="AJ629" s="65"/>
      <c r="AK629" s="65"/>
      <c r="AL629" s="65"/>
      <c r="AM629" s="65"/>
      <c r="AN629" s="65" t="str">
        <f>IFERROR(__xludf.DUMMYFUNCTION("""COMPUTED_VALUE"""),"12:34")</f>
        <v>12:34</v>
      </c>
      <c r="AO629" s="65" t="str">
        <f>IFERROR(__xludf.DUMMYFUNCTION("""COMPUTED_VALUE"""),"11-03-2026")</f>
        <v>11-03-2026</v>
      </c>
      <c r="AP629" s="65" t="str">
        <f>IFERROR(__xludf.DUMMYFUNCTION("""COMPUTED_VALUE"""),"DEVOLUCIÓN ENTREGADA A ORIGEN")</f>
        <v>DEVOLUCIÓN ENTREGADA A ORIGEN</v>
      </c>
      <c r="AQ629" s="65" t="str">
        <f>IFERROR(__xludf.DUMMYFUNCTION("""COMPUTED_VALUE"""),"DEVOLUCIÓN ENTREGADA A ORIGEN")</f>
        <v>DEVOLUCIÓN ENTREGADA A ORIGEN</v>
      </c>
      <c r="AR629" s="65"/>
      <c r="AS629" s="65"/>
      <c r="AT629" s="65" t="str">
        <f>IFERROR(__xludf.DUMMYFUNCTION("""COMPUTED_VALUE"""),"SHOPIFY")</f>
        <v>SHOPIFY</v>
      </c>
      <c r="AU629" s="65" t="str">
        <f>IFERROR(__xludf.DUMMYFUNCTION("""COMPUTED_VALUE"""),"IMPORTEX EC")</f>
        <v>IMPORTEX EC</v>
      </c>
      <c r="AV629" s="65" t="str">
        <f>IFERROR(__xludf.DUMMYFUNCTION("""COMPUTED_VALUE"""),"6505997107244")</f>
        <v>6505997107244</v>
      </c>
      <c r="AW629" s="65">
        <f>IFERROR(__xludf.DUMMYFUNCTION("""COMPUTED_VALUE"""),6176.0)</f>
        <v>6176</v>
      </c>
      <c r="AX629" s="65"/>
      <c r="AY629" s="65" t="str">
        <f>IFERROR(__xludf.DUMMYFUNCTION("""COMPUTED_VALUE"""),"20/02/2026")</f>
        <v>20/02/2026</v>
      </c>
      <c r="AZ629" s="65"/>
      <c r="BA629" s="65"/>
    </row>
    <row r="630">
      <c r="A630" s="65" t="str">
        <f>IFERROR(__xludf.DUMMYFUNCTION("""COMPUTED_VALUE"""),"27-03-2026")</f>
        <v>27-03-2026</v>
      </c>
      <c r="B630" s="65">
        <f>IFERROR(__xludf.DUMMYFUNCTION("""COMPUTED_VALUE"""),4546452.0)</f>
        <v>4546452</v>
      </c>
      <c r="C630" s="65" t="str">
        <f>IFERROR(__xludf.DUMMYFUNCTION("""COMPUTED_VALUE"""),"16:23")</f>
        <v>16:23</v>
      </c>
      <c r="D630" s="65" t="str">
        <f>IFERROR(__xludf.DUMMYFUNCTION("""COMPUTED_VALUE"""),"18-02-2026")</f>
        <v>18-02-2026</v>
      </c>
      <c r="E630" s="65" t="str">
        <f>IFERROR(__xludf.DUMMYFUNCTION("""COMPUTED_VALUE"""),"Teresita Barre")</f>
        <v>Teresita Barre</v>
      </c>
      <c r="F630" s="65" t="str">
        <f>IFERROR(__xludf.DUMMYFUNCTION("""COMPUTED_VALUE"""),"990544210")</f>
        <v>990544210</v>
      </c>
      <c r="G630" s="65"/>
      <c r="H630" s="65"/>
      <c r="I630" s="65"/>
      <c r="J630" s="65" t="str">
        <f>IFERROR(__xludf.DUMMYFUNCTION("""COMPUTED_VALUE"""),"186796403")</f>
        <v>186796403</v>
      </c>
      <c r="K630" s="65" t="str">
        <f>IFERROR(__xludf.DUMMYFUNCTION("""COMPUTED_VALUE"""),"ENTREGADO")</f>
        <v>ENTREGADO</v>
      </c>
      <c r="L630" s="65" t="str">
        <f>IFERROR(__xludf.DUMMYFUNCTION("""COMPUTED_VALUE"""),"CON RECAUDO")</f>
        <v>CON RECAUDO</v>
      </c>
      <c r="M630" s="65" t="str">
        <f>IFERROR(__xludf.DUMMYFUNCTION("""COMPUTED_VALUE"""),"GUAYAS")</f>
        <v>GUAYAS</v>
      </c>
      <c r="N630" s="65" t="str">
        <f>IFERROR(__xludf.DUMMYFUNCTION("""COMPUTED_VALUE"""),"EL TRIUNFO")</f>
        <v>EL TRIUNFO</v>
      </c>
      <c r="O630" s="65" t="str">
        <f>IFERROR(__xludf.DUMMYFUNCTION("""COMPUTED_VALUE"""),"RETIRA EN CS : EL TRIUNFO_AV. 8 DE ABRIL - AV. 8 DE ABRIL 1115 Y JUAN MONTALVO - JUNTO A AGRIPAC")</f>
        <v>RETIRA EN CS : EL TRIUNFO_AV. 8 DE ABRIL - AV. 8 DE ABRIL 1115 Y JUAN MONTALVO - JUNTO A AGRIPAC</v>
      </c>
      <c r="P630" s="65"/>
      <c r="Q630" s="65" t="str">
        <f>IFERROR(__xludf.DUMMYFUNCTION("""COMPUTED_VALUE"""),"SERVIENTREGA")</f>
        <v>SERVIENTREGA</v>
      </c>
      <c r="R630" s="65">
        <f>IFERROR(__xludf.DUMMYFUNCTION("""COMPUTED_VALUE"""),22.0)</f>
        <v>22</v>
      </c>
      <c r="S630" s="65">
        <f>IFERROR(__xludf.DUMMYFUNCTION("""COMPUTED_VALUE"""),8.24)</f>
        <v>8.24</v>
      </c>
      <c r="T630" s="65">
        <f>IFERROR(__xludf.DUMMYFUNCTION("""COMPUTED_VALUE"""),6.26)</f>
        <v>6.26</v>
      </c>
      <c r="U630" s="65">
        <f>IFERROR(__xludf.DUMMYFUNCTION("""COMPUTED_VALUE"""),0.0)</f>
        <v>0</v>
      </c>
      <c r="V630" s="65">
        <f>IFERROR(__xludf.DUMMYFUNCTION("""COMPUTED_VALUE"""),0.0)</f>
        <v>0</v>
      </c>
      <c r="W630" s="65">
        <f>IFERROR(__xludf.DUMMYFUNCTION("""COMPUTED_VALUE"""),0.0)</f>
        <v>0</v>
      </c>
      <c r="X630" s="65">
        <f>IFERROR(__xludf.DUMMYFUNCTION("""COMPUTED_VALUE"""),3.75)</f>
        <v>3.75</v>
      </c>
      <c r="Y630" s="65">
        <f>IFERROR(__xludf.DUMMYFUNCTION("""COMPUTED_VALUE"""),7.5)</f>
        <v>7.5</v>
      </c>
      <c r="Z630" s="65">
        <f>IFERROR(__xludf.DUMMYFUNCTION("""COMPUTED_VALUE"""),113116.0)</f>
        <v>113116</v>
      </c>
      <c r="AA630" s="65" t="str">
        <f>IFERROR(__xludf.DUMMYFUNCTION("""COMPUTED_VALUE"""),"IM-TAZAKI")</f>
        <v>IM-TAZAKI</v>
      </c>
      <c r="AB630" s="65"/>
      <c r="AC630" s="65" t="str">
        <f>IFERROR(__xludf.DUMMYFUNCTION("""COMPUTED_VALUE"""),"Cuchillo tazaki")</f>
        <v>Cuchillo tazaki</v>
      </c>
      <c r="AD630" s="65"/>
      <c r="AE630" s="65">
        <f>IFERROR(__xludf.DUMMYFUNCTION("""COMPUTED_VALUE"""),2.0)</f>
        <v>2</v>
      </c>
      <c r="AF630" s="65" t="str">
        <f>IFERROR(__xludf.DUMMYFUNCTION("""COMPUTED_VALUE"""),"CONDICIONES CLIMATOLOGICAS ADVERSAS")</f>
        <v>CONDICIONES CLIMATOLOGICAS ADVERSAS</v>
      </c>
      <c r="AG630" s="65" t="str">
        <f>IFERROR(__xludf.DUMMYFUNCTION("""COMPUTED_VALUE"""),"NO")</f>
        <v>NO</v>
      </c>
      <c r="AH630" s="65" t="str">
        <f>IFERROR(__xludf.DUMMYFUNCTION("""COMPUTED_VALUE"""),"07:18")</f>
        <v>07:18</v>
      </c>
      <c r="AI630" s="65" t="str">
        <f>IFERROR(__xludf.DUMMYFUNCTION("""COMPUTED_VALUE"""),"20-02-2026")</f>
        <v>20-02-2026</v>
      </c>
      <c r="AJ630" s="65"/>
      <c r="AK630" s="65"/>
      <c r="AL630" s="65"/>
      <c r="AM630" s="65"/>
      <c r="AN630" s="65" t="str">
        <f>IFERROR(__xludf.DUMMYFUNCTION("""COMPUTED_VALUE"""),"09:03")</f>
        <v>09:03</v>
      </c>
      <c r="AO630" s="65" t="str">
        <f>IFERROR(__xludf.DUMMYFUNCTION("""COMPUTED_VALUE"""),"13-03-2026")</f>
        <v>13-03-2026</v>
      </c>
      <c r="AP630" s="65" t="str">
        <f>IFERROR(__xludf.DUMMYFUNCTION("""COMPUTED_VALUE"""),"ENTREGA DIGITALIZADA EN CENTRO LOGISTICO")</f>
        <v>ENTREGA DIGITALIZADA EN CENTRO LOGISTICO</v>
      </c>
      <c r="AQ630" s="65" t="str">
        <f>IFERROR(__xludf.DUMMYFUNCTION("""COMPUTED_VALUE"""),"TERESITA BARRE")</f>
        <v>TERESITA BARRE</v>
      </c>
      <c r="AR630" s="65"/>
      <c r="AS630" s="65"/>
      <c r="AT630" s="65" t="str">
        <f>IFERROR(__xludf.DUMMYFUNCTION("""COMPUTED_VALUE"""),"CHATEA PRO")</f>
        <v>CHATEA PRO</v>
      </c>
      <c r="AU630" s="65" t="str">
        <f>IFERROR(__xludf.DUMMYFUNCTION("""COMPUTED_VALUE"""),"CHATEA PRO")</f>
        <v>CHATEA PRO</v>
      </c>
      <c r="AV630" s="65"/>
      <c r="AW630" s="65"/>
      <c r="AX630" s="65"/>
      <c r="AY630" s="65" t="str">
        <f>IFERROR(__xludf.DUMMYFUNCTION("""COMPUTED_VALUE"""),"19/02/2026")</f>
        <v>19/02/2026</v>
      </c>
      <c r="AZ630" s="65"/>
      <c r="BA630" s="65"/>
    </row>
    <row r="631">
      <c r="A631" s="65" t="str">
        <f>IFERROR(__xludf.DUMMYFUNCTION("""COMPUTED_VALUE"""),"27-03-2026")</f>
        <v>27-03-2026</v>
      </c>
      <c r="B631" s="65">
        <f>IFERROR(__xludf.DUMMYFUNCTION("""COMPUTED_VALUE"""),4546406.0)</f>
        <v>4546406</v>
      </c>
      <c r="C631" s="65" t="str">
        <f>IFERROR(__xludf.DUMMYFUNCTION("""COMPUTED_VALUE"""),"16:19")</f>
        <v>16:19</v>
      </c>
      <c r="D631" s="65" t="str">
        <f>IFERROR(__xludf.DUMMYFUNCTION("""COMPUTED_VALUE"""),"18-02-2026")</f>
        <v>18-02-2026</v>
      </c>
      <c r="E631" s="65" t="str">
        <f>IFERROR(__xludf.DUMMYFUNCTION("""COMPUTED_VALUE"""),"Felix collantes")</f>
        <v>Felix collantes</v>
      </c>
      <c r="F631" s="65" t="str">
        <f>IFERROR(__xludf.DUMMYFUNCTION("""COMPUTED_VALUE"""),"981756347")</f>
        <v>981756347</v>
      </c>
      <c r="G631" s="65"/>
      <c r="H631" s="65"/>
      <c r="I631" s="65"/>
      <c r="J631" s="65" t="str">
        <f>IFERROR(__xludf.DUMMYFUNCTION("""COMPUTED_VALUE"""),"D001339457")</f>
        <v>D001339457</v>
      </c>
      <c r="K631" s="65" t="str">
        <f>IFERROR(__xludf.DUMMYFUNCTION("""COMPUTED_VALUE"""),"DEVOLUCION")</f>
        <v>DEVOLUCION</v>
      </c>
      <c r="L631" s="65" t="str">
        <f>IFERROR(__xludf.DUMMYFUNCTION("""COMPUTED_VALUE"""),"CON RECAUDO")</f>
        <v>CON RECAUDO</v>
      </c>
      <c r="M631" s="65" t="str">
        <f>IFERROR(__xludf.DUMMYFUNCTION("""COMPUTED_VALUE"""),"GUAYAS")</f>
        <v>GUAYAS</v>
      </c>
      <c r="N631" s="65" t="str">
        <f>IFERROR(__xludf.DUMMYFUNCTION("""COMPUTED_VALUE"""),"DURAN")</f>
        <v>DURAN</v>
      </c>
      <c r="O631" s="65" t="str">
        <f>IFERROR(__xludf.DUMMYFUNCTION("""COMPUTED_VALUE"""),"Ciudadela El Dorado calle 3ra villa 543")</f>
        <v>Ciudadela El Dorado calle 3ra villa 543</v>
      </c>
      <c r="P631" s="65"/>
      <c r="Q631" s="65" t="str">
        <f>IFERROR(__xludf.DUMMYFUNCTION("""COMPUTED_VALUE"""),"GINTRACOM")</f>
        <v>GINTRACOM</v>
      </c>
      <c r="R631" s="65">
        <f>IFERROR(__xludf.DUMMYFUNCTION("""COMPUTED_VALUE"""),22.0)</f>
        <v>22</v>
      </c>
      <c r="S631" s="65"/>
      <c r="T631" s="65">
        <f>IFERROR(__xludf.DUMMYFUNCTION("""COMPUTED_VALUE"""),5.84)</f>
        <v>5.84</v>
      </c>
      <c r="U631" s="65">
        <f>IFERROR(__xludf.DUMMYFUNCTION("""COMPUTED_VALUE"""),0.0)</f>
        <v>0</v>
      </c>
      <c r="V631" s="65">
        <f>IFERROR(__xludf.DUMMYFUNCTION("""COMPUTED_VALUE"""),0.0)</f>
        <v>0</v>
      </c>
      <c r="W631" s="65">
        <f>IFERROR(__xludf.DUMMYFUNCTION("""COMPUTED_VALUE"""),0.0)</f>
        <v>0</v>
      </c>
      <c r="X631" s="65">
        <f>IFERROR(__xludf.DUMMYFUNCTION("""COMPUTED_VALUE"""),3.75)</f>
        <v>3.75</v>
      </c>
      <c r="Y631" s="65">
        <f>IFERROR(__xludf.DUMMYFUNCTION("""COMPUTED_VALUE"""),7.5)</f>
        <v>7.5</v>
      </c>
      <c r="Z631" s="65">
        <f>IFERROR(__xludf.DUMMYFUNCTION("""COMPUTED_VALUE"""),113116.0)</f>
        <v>113116</v>
      </c>
      <c r="AA631" s="65" t="str">
        <f>IFERROR(__xludf.DUMMYFUNCTION("""COMPUTED_VALUE"""),"IM-TAZAKI")</f>
        <v>IM-TAZAKI</v>
      </c>
      <c r="AB631" s="65"/>
      <c r="AC631" s="65" t="str">
        <f>IFERROR(__xludf.DUMMYFUNCTION("""COMPUTED_VALUE"""),"Cuchillo tazaki")</f>
        <v>Cuchillo tazaki</v>
      </c>
      <c r="AD631" s="65"/>
      <c r="AE631" s="65">
        <f>IFERROR(__xludf.DUMMYFUNCTION("""COMPUTED_VALUE"""),2.0)</f>
        <v>2</v>
      </c>
      <c r="AF631" s="65" t="str">
        <f>IFERROR(__xludf.DUMMYFUNCTION("""COMPUTED_VALUE"""),"DESTINATARIO NO CONTESTA LLAMADAS NI WHATSAPP")</f>
        <v>DESTINATARIO NO CONTESTA LLAMADAS NI WHATSAPP</v>
      </c>
      <c r="AG631" s="65" t="str">
        <f>IFERROR(__xludf.DUMMYFUNCTION("""COMPUTED_VALUE"""),"SI")</f>
        <v>SI</v>
      </c>
      <c r="AH631" s="65" t="str">
        <f>IFERROR(__xludf.DUMMYFUNCTION("""COMPUTED_VALUE"""),"16:46")</f>
        <v>16:46</v>
      </c>
      <c r="AI631" s="65" t="str">
        <f>IFERROR(__xludf.DUMMYFUNCTION("""COMPUTED_VALUE"""),"25-02-2026")</f>
        <v>25-02-2026</v>
      </c>
      <c r="AJ631" s="65" t="str">
        <f>IFERROR(__xludf.DUMMYFUNCTION("""COMPUTED_VALUE"""),"CLIENTE SOLICITA LA ENTREGA INMEDIATA")</f>
        <v>CLIENTE SOLICITA LA ENTREGA INMEDIATA</v>
      </c>
      <c r="AK631" s="65" t="str">
        <f>IFERROR(__xludf.DUMMYFUNCTION("""COMPUTED_VALUE"""),"13:15")</f>
        <v>13:15</v>
      </c>
      <c r="AL631" s="65" t="str">
        <f>IFERROR(__xludf.DUMMYFUNCTION("""COMPUTED_VALUE"""),"26-02-2026")</f>
        <v>26-02-2026</v>
      </c>
      <c r="AM631" s="65"/>
      <c r="AN631" s="65" t="str">
        <f>IFERROR(__xludf.DUMMYFUNCTION("""COMPUTED_VALUE"""),"12:43")</f>
        <v>12:43</v>
      </c>
      <c r="AO631" s="65" t="str">
        <f>IFERROR(__xludf.DUMMYFUNCTION("""COMPUTED_VALUE"""),"06-03-2026")</f>
        <v>06-03-2026</v>
      </c>
      <c r="AP631" s="65" t="str">
        <f>IFERROR(__xludf.DUMMYFUNCTION("""COMPUTED_VALUE"""),"DEVOLUCIÓN ENTREGADA A ORIGEN")</f>
        <v>DEVOLUCIÓN ENTREGADA A ORIGEN</v>
      </c>
      <c r="AQ631" s="65" t="str">
        <f>IFERROR(__xludf.DUMMYFUNCTION("""COMPUTED_VALUE"""),"DEVOLUCIÓN ENTREGADA A ORIGEN")</f>
        <v>DEVOLUCIÓN ENTREGADA A ORIGEN</v>
      </c>
      <c r="AR631" s="65"/>
      <c r="AS631" s="65"/>
      <c r="AT631" s="65"/>
      <c r="AU631" s="65"/>
      <c r="AV631" s="65"/>
      <c r="AW631" s="65"/>
      <c r="AX631" s="65"/>
      <c r="AY631" s="65" t="str">
        <f>IFERROR(__xludf.DUMMYFUNCTION("""COMPUTED_VALUE"""),"19/02/2026")</f>
        <v>19/02/2026</v>
      </c>
      <c r="AZ631" s="65"/>
      <c r="BA631" s="65"/>
    </row>
    <row r="632">
      <c r="A632" s="65" t="str">
        <f>IFERROR(__xludf.DUMMYFUNCTION("""COMPUTED_VALUE"""),"27-03-2026")</f>
        <v>27-03-2026</v>
      </c>
      <c r="B632" s="65">
        <f>IFERROR(__xludf.DUMMYFUNCTION("""COMPUTED_VALUE"""),4543607.0)</f>
        <v>4543607</v>
      </c>
      <c r="C632" s="65" t="str">
        <f>IFERROR(__xludf.DUMMYFUNCTION("""COMPUTED_VALUE"""),"12:01")</f>
        <v>12:01</v>
      </c>
      <c r="D632" s="65" t="str">
        <f>IFERROR(__xludf.DUMMYFUNCTION("""COMPUTED_VALUE"""),"18-02-2026")</f>
        <v>18-02-2026</v>
      </c>
      <c r="E632" s="65" t="str">
        <f>IFERROR(__xludf.DUMMYFUNCTION("""COMPUTED_VALUE"""),"Esteban Antamba")</f>
        <v>Esteban Antamba</v>
      </c>
      <c r="F632" s="65" t="str">
        <f>IFERROR(__xludf.DUMMYFUNCTION("""COMPUTED_VALUE"""),"960915370")</f>
        <v>960915370</v>
      </c>
      <c r="G632" s="65"/>
      <c r="H632" s="65"/>
      <c r="I632" s="65"/>
      <c r="J632" s="65" t="str">
        <f>IFERROR(__xludf.DUMMYFUNCTION("""COMPUTED_VALUE"""),"186793739")</f>
        <v>186793739</v>
      </c>
      <c r="K632" s="65" t="str">
        <f>IFERROR(__xludf.DUMMYFUNCTION("""COMPUTED_VALUE"""),"DEVOLUCION")</f>
        <v>DEVOLUCION</v>
      </c>
      <c r="L632" s="65" t="str">
        <f>IFERROR(__xludf.DUMMYFUNCTION("""COMPUTED_VALUE"""),"CON RECAUDO")</f>
        <v>CON RECAUDO</v>
      </c>
      <c r="M632" s="65" t="str">
        <f>IFERROR(__xludf.DUMMYFUNCTION("""COMPUTED_VALUE"""),"SUCUMBIOS")</f>
        <v>SUCUMBIOS</v>
      </c>
      <c r="N632" s="65" t="str">
        <f>IFERROR(__xludf.DUMMYFUNCTION("""COMPUTED_VALUE"""),"LUMBAQUI")</f>
        <v>LUMBAQUI</v>
      </c>
      <c r="O632" s="65" t="str">
        <f>IFERROR(__xludf.DUMMYFUNCTION("""COMPUTED_VALUE"""),"Encomiendas lumbaqui Putumayo Lumbaqui -")</f>
        <v>Encomiendas lumbaqui Putumayo Lumbaqui -</v>
      </c>
      <c r="P632" s="65"/>
      <c r="Q632" s="65" t="str">
        <f>IFERROR(__xludf.DUMMYFUNCTION("""COMPUTED_VALUE"""),"SERVIENTREGA")</f>
        <v>SERVIENTREGA</v>
      </c>
      <c r="R632" s="65">
        <f>IFERROR(__xludf.DUMMYFUNCTION("""COMPUTED_VALUE"""),20.0)</f>
        <v>20</v>
      </c>
      <c r="S632" s="65"/>
      <c r="T632" s="65">
        <f>IFERROR(__xludf.DUMMYFUNCTION("""COMPUTED_VALUE"""),7.67)</f>
        <v>7.67</v>
      </c>
      <c r="U632" s="65">
        <f>IFERROR(__xludf.DUMMYFUNCTION("""COMPUTED_VALUE"""),0.0)</f>
        <v>0</v>
      </c>
      <c r="V632" s="65">
        <f>IFERROR(__xludf.DUMMYFUNCTION("""COMPUTED_VALUE"""),0.0)</f>
        <v>0</v>
      </c>
      <c r="W632" s="65">
        <f>IFERROR(__xludf.DUMMYFUNCTION("""COMPUTED_VALUE"""),0.0)</f>
        <v>0</v>
      </c>
      <c r="X632" s="65">
        <f>IFERROR(__xludf.DUMMYFUNCTION("""COMPUTED_VALUE"""),2.4)</f>
        <v>2.4</v>
      </c>
      <c r="Y632" s="65">
        <f>IFERROR(__xludf.DUMMYFUNCTION("""COMPUTED_VALUE"""),2.4)</f>
        <v>2.4</v>
      </c>
      <c r="Z632" s="65">
        <f>IFERROR(__xludf.DUMMYFUNCTION("""COMPUTED_VALUE"""),120732.0)</f>
        <v>120732</v>
      </c>
      <c r="AA632" s="65" t="str">
        <f>IFERROR(__xludf.DUMMYFUNCTION("""COMPUTED_VALUE"""),"PROV-LMPVT")</f>
        <v>PROV-LMPVT</v>
      </c>
      <c r="AB632" s="65"/>
      <c r="AC632" s="65" t="str">
        <f>IFERROR(__xludf.DUMMYFUNCTION("""COMPUTED_VALUE"""),"LIMPIADOR DE PARABRISAS Y VENTANAS")</f>
        <v>LIMPIADOR DE PARABRISAS Y VENTANAS</v>
      </c>
      <c r="AD632" s="65"/>
      <c r="AE632" s="65">
        <f>IFERROR(__xludf.DUMMYFUNCTION("""COMPUTED_VALUE"""),1.0)</f>
        <v>1</v>
      </c>
      <c r="AF632" s="65"/>
      <c r="AG632" s="65"/>
      <c r="AH632" s="65"/>
      <c r="AI632" s="65"/>
      <c r="AJ632" s="65"/>
      <c r="AK632" s="65"/>
      <c r="AL632" s="65"/>
      <c r="AM632" s="65"/>
      <c r="AN632" s="65" t="str">
        <f>IFERROR(__xludf.DUMMYFUNCTION("""COMPUTED_VALUE"""),"15:37")</f>
        <v>15:37</v>
      </c>
      <c r="AO632" s="65" t="str">
        <f>IFERROR(__xludf.DUMMYFUNCTION("""COMPUTED_VALUE"""),"04-03-2026")</f>
        <v>04-03-2026</v>
      </c>
      <c r="AP632" s="65" t="str">
        <f>IFERROR(__xludf.DUMMYFUNCTION("""COMPUTED_VALUE"""),"EN DISTRIBUCIÓN A CLIENTE")</f>
        <v>EN DISTRIBUCIÓN A CLIENTE</v>
      </c>
      <c r="AQ632" s="65" t="str">
        <f>IFERROR(__xludf.DUMMYFUNCTION("""COMPUTED_VALUE"""),".")</f>
        <v>.</v>
      </c>
      <c r="AR632" s="65"/>
      <c r="AS632" s="65"/>
      <c r="AT632" s="65" t="str">
        <f>IFERROR(__xludf.DUMMYFUNCTION("""COMPUTED_VALUE"""),"SHOPIFY")</f>
        <v>SHOPIFY</v>
      </c>
      <c r="AU632" s="65" t="str">
        <f>IFERROR(__xludf.DUMMYFUNCTION("""COMPUTED_VALUE"""),"IMPORTEX EC")</f>
        <v>IMPORTEX EC</v>
      </c>
      <c r="AV632" s="65" t="str">
        <f>IFERROR(__xludf.DUMMYFUNCTION("""COMPUTED_VALUE"""),"6512612671532")</f>
        <v>6512612671532</v>
      </c>
      <c r="AW632" s="65">
        <f>IFERROR(__xludf.DUMMYFUNCTION("""COMPUTED_VALUE"""),6253.0)</f>
        <v>6253</v>
      </c>
      <c r="AX632" s="65"/>
      <c r="AY632" s="65" t="str">
        <f>IFERROR(__xludf.DUMMYFUNCTION("""COMPUTED_VALUE"""),"19/02/2026")</f>
        <v>19/02/2026</v>
      </c>
      <c r="AZ632" s="65"/>
      <c r="BA632" s="65"/>
    </row>
    <row r="633">
      <c r="A633" s="65" t="str">
        <f>IFERROR(__xludf.DUMMYFUNCTION("""COMPUTED_VALUE"""),"27-03-2026")</f>
        <v>27-03-2026</v>
      </c>
      <c r="B633" s="65">
        <f>IFERROR(__xludf.DUMMYFUNCTION("""COMPUTED_VALUE"""),4539537.0)</f>
        <v>4539537</v>
      </c>
      <c r="C633" s="65" t="str">
        <f>IFERROR(__xludf.DUMMYFUNCTION("""COMPUTED_VALUE"""),"07:20")</f>
        <v>07:20</v>
      </c>
      <c r="D633" s="65" t="str">
        <f>IFERROR(__xludf.DUMMYFUNCTION("""COMPUTED_VALUE"""),"18-02-2026")</f>
        <v>18-02-2026</v>
      </c>
      <c r="E633" s="65" t="str">
        <f>IFERROR(__xludf.DUMMYFUNCTION("""COMPUTED_VALUE"""),"Fernando Feijóo")</f>
        <v>Fernando Feijóo</v>
      </c>
      <c r="F633" s="65" t="str">
        <f>IFERROR(__xludf.DUMMYFUNCTION("""COMPUTED_VALUE"""),"993545515")</f>
        <v>993545515</v>
      </c>
      <c r="G633" s="65" t="str">
        <f>IFERROR(__xludf.DUMMYFUNCTION("""COMPUTED_VALUE"""),"ffeijoos6@hotmail.com")</f>
        <v>ffeijoos6@hotmail.com</v>
      </c>
      <c r="H633" s="65"/>
      <c r="I633" s="65"/>
      <c r="J633" s="65" t="str">
        <f>IFERROR(__xludf.DUMMYFUNCTION("""COMPUTED_VALUE"""),"D001340278")</f>
        <v>D001340278</v>
      </c>
      <c r="K633" s="65" t="str">
        <f>IFERROR(__xludf.DUMMYFUNCTION("""COMPUTED_VALUE"""),"ENTREGADO")</f>
        <v>ENTREGADO</v>
      </c>
      <c r="L633" s="65" t="str">
        <f>IFERROR(__xludf.DUMMYFUNCTION("""COMPUTED_VALUE"""),"CON RECAUDO")</f>
        <v>CON RECAUDO</v>
      </c>
      <c r="M633" s="65" t="str">
        <f>IFERROR(__xludf.DUMMYFUNCTION("""COMPUTED_VALUE"""),"AZUAY")</f>
        <v>AZUAY</v>
      </c>
      <c r="N633" s="65" t="str">
        <f>IFERROR(__xludf.DUMMYFUNCTION("""COMPUTED_VALUE"""),"CUENCA")</f>
        <v>CUENCA</v>
      </c>
      <c r="O633" s="65" t="str">
        <f>IFERROR(__xludf.DUMMYFUNCTION("""COMPUTED_VALUE"""),"Fco Aguilar y Américas Batan -")</f>
        <v>Fco Aguilar y Américas Batan -</v>
      </c>
      <c r="P633" s="65"/>
      <c r="Q633" s="65" t="str">
        <f>IFERROR(__xludf.DUMMYFUNCTION("""COMPUTED_VALUE"""),"GINTRACOM")</f>
        <v>GINTRACOM</v>
      </c>
      <c r="R633" s="65">
        <f>IFERROR(__xludf.DUMMYFUNCTION("""COMPUTED_VALUE"""),30.0)</f>
        <v>30</v>
      </c>
      <c r="S633" s="65">
        <f>IFERROR(__xludf.DUMMYFUNCTION("""COMPUTED_VALUE"""),16.64)</f>
        <v>16.64</v>
      </c>
      <c r="T633" s="65">
        <f>IFERROR(__xludf.DUMMYFUNCTION("""COMPUTED_VALUE"""),6.16)</f>
        <v>6.16</v>
      </c>
      <c r="U633" s="65">
        <f>IFERROR(__xludf.DUMMYFUNCTION("""COMPUTED_VALUE"""),0.0)</f>
        <v>0</v>
      </c>
      <c r="V633" s="65">
        <f>IFERROR(__xludf.DUMMYFUNCTION("""COMPUTED_VALUE"""),0.0)</f>
        <v>0</v>
      </c>
      <c r="W633" s="65">
        <f>IFERROR(__xludf.DUMMYFUNCTION("""COMPUTED_VALUE"""),0.0)</f>
        <v>0</v>
      </c>
      <c r="X633" s="65">
        <f>IFERROR(__xludf.DUMMYFUNCTION("""COMPUTED_VALUE"""),2.4)</f>
        <v>2.4</v>
      </c>
      <c r="Y633" s="65">
        <f>IFERROR(__xludf.DUMMYFUNCTION("""COMPUTED_VALUE"""),7.2)</f>
        <v>7.2</v>
      </c>
      <c r="Z633" s="65">
        <f>IFERROR(__xludf.DUMMYFUNCTION("""COMPUTED_VALUE"""),120732.0)</f>
        <v>120732</v>
      </c>
      <c r="AA633" s="65" t="str">
        <f>IFERROR(__xludf.DUMMYFUNCTION("""COMPUTED_VALUE"""),"PROV-LMPVT")</f>
        <v>PROV-LMPVT</v>
      </c>
      <c r="AB633" s="65"/>
      <c r="AC633" s="65" t="str">
        <f>IFERROR(__xludf.DUMMYFUNCTION("""COMPUTED_VALUE"""),"LIMPIADOR DE PARABRISAS Y VENTANAS")</f>
        <v>LIMPIADOR DE PARABRISAS Y VENTANAS</v>
      </c>
      <c r="AD633" s="65"/>
      <c r="AE633" s="65">
        <f>IFERROR(__xludf.DUMMYFUNCTION("""COMPUTED_VALUE"""),3.0)</f>
        <v>3</v>
      </c>
      <c r="AF633" s="65"/>
      <c r="AG633" s="65"/>
      <c r="AH633" s="65"/>
      <c r="AI633" s="65"/>
      <c r="AJ633" s="65"/>
      <c r="AK633" s="65"/>
      <c r="AL633" s="65"/>
      <c r="AM633" s="65"/>
      <c r="AN633" s="65" t="str">
        <f>IFERROR(__xludf.DUMMYFUNCTION("""COMPUTED_VALUE"""),"16:30")</f>
        <v>16:30</v>
      </c>
      <c r="AO633" s="65" t="str">
        <f>IFERROR(__xludf.DUMMYFUNCTION("""COMPUTED_VALUE"""),"21-02-2026")</f>
        <v>21-02-2026</v>
      </c>
      <c r="AP633" s="65" t="str">
        <f>IFERROR(__xludf.DUMMYFUNCTION("""COMPUTED_VALUE"""),"ENTREGADA GINTRACOM")</f>
        <v>ENTREGADA GINTRACOM</v>
      </c>
      <c r="AQ633" s="65" t="str">
        <f>IFERROR(__xludf.DUMMYFUNCTION("""COMPUTED_VALUE"""),"ENTREGADA GINTRACOM")</f>
        <v>ENTREGADA GINTRACOM</v>
      </c>
      <c r="AR633" s="65"/>
      <c r="AS633" s="65"/>
      <c r="AT633" s="65" t="str">
        <f>IFERROR(__xludf.DUMMYFUNCTION("""COMPUTED_VALUE"""),"SHOPIFY")</f>
        <v>SHOPIFY</v>
      </c>
      <c r="AU633" s="65" t="str">
        <f>IFERROR(__xludf.DUMMYFUNCTION("""COMPUTED_VALUE"""),"IMPORTEX EC")</f>
        <v>IMPORTEX EC</v>
      </c>
      <c r="AV633" s="65" t="str">
        <f>IFERROR(__xludf.DUMMYFUNCTION("""COMPUTED_VALUE"""),"6512188522540")</f>
        <v>6512188522540</v>
      </c>
      <c r="AW633" s="65">
        <f>IFERROR(__xludf.DUMMYFUNCTION("""COMPUTED_VALUE"""),6252.0)</f>
        <v>6252</v>
      </c>
      <c r="AX633" s="65"/>
      <c r="AY633" s="65" t="str">
        <f>IFERROR(__xludf.DUMMYFUNCTION("""COMPUTED_VALUE"""),"19/02/2026")</f>
        <v>19/02/2026</v>
      </c>
      <c r="AZ633" s="65"/>
      <c r="BA633" s="65"/>
    </row>
    <row r="634">
      <c r="A634" s="65" t="str">
        <f>IFERROR(__xludf.DUMMYFUNCTION("""COMPUTED_VALUE"""),"27-03-2026")</f>
        <v>27-03-2026</v>
      </c>
      <c r="B634" s="65">
        <f>IFERROR(__xludf.DUMMYFUNCTION("""COMPUTED_VALUE"""),4539516.0)</f>
        <v>4539516</v>
      </c>
      <c r="C634" s="65" t="str">
        <f>IFERROR(__xludf.DUMMYFUNCTION("""COMPUTED_VALUE"""),"07:17")</f>
        <v>07:17</v>
      </c>
      <c r="D634" s="65" t="str">
        <f>IFERROR(__xludf.DUMMYFUNCTION("""COMPUTED_VALUE"""),"18-02-2026")</f>
        <v>18-02-2026</v>
      </c>
      <c r="E634" s="65" t="str">
        <f>IFERROR(__xludf.DUMMYFUNCTION("""COMPUTED_VALUE"""),"Carlos Cevallos")</f>
        <v>Carlos Cevallos</v>
      </c>
      <c r="F634" s="65" t="str">
        <f>IFERROR(__xludf.DUMMYFUNCTION("""COMPUTED_VALUE"""),"984422865")</f>
        <v>984422865</v>
      </c>
      <c r="G634" s="65"/>
      <c r="H634" s="65"/>
      <c r="I634" s="65"/>
      <c r="J634" s="65" t="str">
        <f>IFERROR(__xludf.DUMMYFUNCTION("""COMPUTED_VALUE"""),"D001340279")</f>
        <v>D001340279</v>
      </c>
      <c r="K634" s="65" t="str">
        <f>IFERROR(__xludf.DUMMYFUNCTION("""COMPUTED_VALUE"""),"ENTREGADO")</f>
        <v>ENTREGADO</v>
      </c>
      <c r="L634" s="65" t="str">
        <f>IFERROR(__xludf.DUMMYFUNCTION("""COMPUTED_VALUE"""),"CON RECAUDO")</f>
        <v>CON RECAUDO</v>
      </c>
      <c r="M634" s="65" t="str">
        <f>IFERROR(__xludf.DUMMYFUNCTION("""COMPUTED_VALUE"""),"PICHINCHA")</f>
        <v>PICHINCHA</v>
      </c>
      <c r="N634" s="65" t="str">
        <f>IFERROR(__xludf.DUMMYFUNCTION("""COMPUTED_VALUE"""),"SANGOLQUI")</f>
        <v>SANGOLQUI</v>
      </c>
      <c r="O634" s="65" t="str">
        <f>IFERROR(__xludf.DUMMYFUNCTION("""COMPUTED_VALUE"""),"Sangolqui junto al hotel dasha AV, GENERAL RUMIÑAHUI.")</f>
        <v>Sangolqui junto al hotel dasha AV, GENERAL RUMIÑAHUI.</v>
      </c>
      <c r="P634" s="65"/>
      <c r="Q634" s="65" t="str">
        <f>IFERROR(__xludf.DUMMYFUNCTION("""COMPUTED_VALUE"""),"GINTRACOM")</f>
        <v>GINTRACOM</v>
      </c>
      <c r="R634" s="65">
        <f>IFERROR(__xludf.DUMMYFUNCTION("""COMPUTED_VALUE"""),30.0)</f>
        <v>30</v>
      </c>
      <c r="S634" s="65">
        <f>IFERROR(__xludf.DUMMYFUNCTION("""COMPUTED_VALUE"""),16.64)</f>
        <v>16.64</v>
      </c>
      <c r="T634" s="65">
        <f>IFERROR(__xludf.DUMMYFUNCTION("""COMPUTED_VALUE"""),6.16)</f>
        <v>6.16</v>
      </c>
      <c r="U634" s="65">
        <f>IFERROR(__xludf.DUMMYFUNCTION("""COMPUTED_VALUE"""),0.0)</f>
        <v>0</v>
      </c>
      <c r="V634" s="65">
        <f>IFERROR(__xludf.DUMMYFUNCTION("""COMPUTED_VALUE"""),0.0)</f>
        <v>0</v>
      </c>
      <c r="W634" s="65">
        <f>IFERROR(__xludf.DUMMYFUNCTION("""COMPUTED_VALUE"""),0.0)</f>
        <v>0</v>
      </c>
      <c r="X634" s="65">
        <f>IFERROR(__xludf.DUMMYFUNCTION("""COMPUTED_VALUE"""),2.4)</f>
        <v>2.4</v>
      </c>
      <c r="Y634" s="65">
        <f>IFERROR(__xludf.DUMMYFUNCTION("""COMPUTED_VALUE"""),7.2)</f>
        <v>7.2</v>
      </c>
      <c r="Z634" s="65">
        <f>IFERROR(__xludf.DUMMYFUNCTION("""COMPUTED_VALUE"""),120732.0)</f>
        <v>120732</v>
      </c>
      <c r="AA634" s="65" t="str">
        <f>IFERROR(__xludf.DUMMYFUNCTION("""COMPUTED_VALUE"""),"PROV-LMPVT")</f>
        <v>PROV-LMPVT</v>
      </c>
      <c r="AB634" s="65"/>
      <c r="AC634" s="65" t="str">
        <f>IFERROR(__xludf.DUMMYFUNCTION("""COMPUTED_VALUE"""),"LIMPIADOR DE PARABRISAS Y VENTANAS")</f>
        <v>LIMPIADOR DE PARABRISAS Y VENTANAS</v>
      </c>
      <c r="AD634" s="65"/>
      <c r="AE634" s="65">
        <f>IFERROR(__xludf.DUMMYFUNCTION("""COMPUTED_VALUE"""),3.0)</f>
        <v>3</v>
      </c>
      <c r="AF634" s="65"/>
      <c r="AG634" s="65"/>
      <c r="AH634" s="65"/>
      <c r="AI634" s="65"/>
      <c r="AJ634" s="65"/>
      <c r="AK634" s="65"/>
      <c r="AL634" s="65"/>
      <c r="AM634" s="65"/>
      <c r="AN634" s="65" t="str">
        <f>IFERROR(__xludf.DUMMYFUNCTION("""COMPUTED_VALUE"""),"09:24")</f>
        <v>09:24</v>
      </c>
      <c r="AO634" s="65" t="str">
        <f>IFERROR(__xludf.DUMMYFUNCTION("""COMPUTED_VALUE"""),"21-02-2026")</f>
        <v>21-02-2026</v>
      </c>
      <c r="AP634" s="65" t="str">
        <f>IFERROR(__xludf.DUMMYFUNCTION("""COMPUTED_VALUE"""),"EN REPARTO")</f>
        <v>EN REPARTO</v>
      </c>
      <c r="AQ634" s="65" t="str">
        <f>IFERROR(__xludf.DUMMYFUNCTION("""COMPUTED_VALUE"""),"EN REPARTO")</f>
        <v>EN REPARTO</v>
      </c>
      <c r="AR634" s="65"/>
      <c r="AS634" s="65"/>
      <c r="AT634" s="65" t="str">
        <f>IFERROR(__xludf.DUMMYFUNCTION("""COMPUTED_VALUE"""),"SHOPIFY")</f>
        <v>SHOPIFY</v>
      </c>
      <c r="AU634" s="65" t="str">
        <f>IFERROR(__xludf.DUMMYFUNCTION("""COMPUTED_VALUE"""),"IMPORTEX EC")</f>
        <v>IMPORTEX EC</v>
      </c>
      <c r="AV634" s="65" t="str">
        <f>IFERROR(__xludf.DUMMYFUNCTION("""COMPUTED_VALUE"""),"6512186490924")</f>
        <v>6512186490924</v>
      </c>
      <c r="AW634" s="65">
        <f>IFERROR(__xludf.DUMMYFUNCTION("""COMPUTED_VALUE"""),6251.0)</f>
        <v>6251</v>
      </c>
      <c r="AX634" s="65"/>
      <c r="AY634" s="65" t="str">
        <f>IFERROR(__xludf.DUMMYFUNCTION("""COMPUTED_VALUE"""),"19/02/2026")</f>
        <v>19/02/2026</v>
      </c>
      <c r="AZ634" s="65"/>
      <c r="BA634" s="65"/>
    </row>
    <row r="635">
      <c r="A635" s="65" t="str">
        <f>IFERROR(__xludf.DUMMYFUNCTION("""COMPUTED_VALUE"""),"27-03-2026")</f>
        <v>27-03-2026</v>
      </c>
      <c r="B635" s="65">
        <f>IFERROR(__xludf.DUMMYFUNCTION("""COMPUTED_VALUE"""),4539167.0)</f>
        <v>4539167</v>
      </c>
      <c r="C635" s="65" t="str">
        <f>IFERROR(__xludf.DUMMYFUNCTION("""COMPUTED_VALUE"""),"06:48")</f>
        <v>06:48</v>
      </c>
      <c r="D635" s="65" t="str">
        <f>IFERROR(__xludf.DUMMYFUNCTION("""COMPUTED_VALUE"""),"18-02-2026")</f>
        <v>18-02-2026</v>
      </c>
      <c r="E635" s="65" t="str">
        <f>IFERROR(__xludf.DUMMYFUNCTION("""COMPUTED_VALUE"""),"Rodrigo Armas")</f>
        <v>Rodrigo Armas</v>
      </c>
      <c r="F635" s="65" t="str">
        <f>IFERROR(__xludf.DUMMYFUNCTION("""COMPUTED_VALUE"""),"995958904")</f>
        <v>995958904</v>
      </c>
      <c r="G635" s="65" t="str">
        <f>IFERROR(__xludf.DUMMYFUNCTION("""COMPUTED_VALUE"""),"vrodrigo_armas@hotmail.com")</f>
        <v>vrodrigo_armas@hotmail.com</v>
      </c>
      <c r="H635" s="65"/>
      <c r="I635" s="65"/>
      <c r="J635" s="65" t="str">
        <f>IFERROR(__xludf.DUMMYFUNCTION("""COMPUTED_VALUE"""),"D001340280")</f>
        <v>D001340280</v>
      </c>
      <c r="K635" s="65" t="str">
        <f>IFERROR(__xludf.DUMMYFUNCTION("""COMPUTED_VALUE"""),"ENTREGADO")</f>
        <v>ENTREGADO</v>
      </c>
      <c r="L635" s="65" t="str">
        <f>IFERROR(__xludf.DUMMYFUNCTION("""COMPUTED_VALUE"""),"CON RECAUDO")</f>
        <v>CON RECAUDO</v>
      </c>
      <c r="M635" s="65" t="str">
        <f>IFERROR(__xludf.DUMMYFUNCTION("""COMPUTED_VALUE"""),"PICHINCHA")</f>
        <v>PICHINCHA</v>
      </c>
      <c r="N635" s="65" t="str">
        <f>IFERROR(__xludf.DUMMYFUNCTION("""COMPUTED_VALUE"""),"CALDERON")</f>
        <v>CALDERON</v>
      </c>
      <c r="O635" s="65" t="str">
        <f>IFERROR(__xludf.DUMMYFUNCTION("""COMPUTED_VALUE"""),"Rafael Calvache N8 87 y Leonidas Puebla Mariana de Jesús - Calderón -")</f>
        <v>Rafael Calvache N8 87 y Leonidas Puebla Mariana de Jesús - Calderón -</v>
      </c>
      <c r="P635" s="65"/>
      <c r="Q635" s="65" t="str">
        <f>IFERROR(__xludf.DUMMYFUNCTION("""COMPUTED_VALUE"""),"GINTRACOM")</f>
        <v>GINTRACOM</v>
      </c>
      <c r="R635" s="65">
        <f>IFERROR(__xludf.DUMMYFUNCTION("""COMPUTED_VALUE"""),30.0)</f>
        <v>30</v>
      </c>
      <c r="S635" s="65">
        <f>IFERROR(__xludf.DUMMYFUNCTION("""COMPUTED_VALUE"""),16.64)</f>
        <v>16.64</v>
      </c>
      <c r="T635" s="65">
        <f>IFERROR(__xludf.DUMMYFUNCTION("""COMPUTED_VALUE"""),6.16)</f>
        <v>6.16</v>
      </c>
      <c r="U635" s="65">
        <f>IFERROR(__xludf.DUMMYFUNCTION("""COMPUTED_VALUE"""),0.0)</f>
        <v>0</v>
      </c>
      <c r="V635" s="65">
        <f>IFERROR(__xludf.DUMMYFUNCTION("""COMPUTED_VALUE"""),0.0)</f>
        <v>0</v>
      </c>
      <c r="W635" s="65">
        <f>IFERROR(__xludf.DUMMYFUNCTION("""COMPUTED_VALUE"""),0.0)</f>
        <v>0</v>
      </c>
      <c r="X635" s="65">
        <f>IFERROR(__xludf.DUMMYFUNCTION("""COMPUTED_VALUE"""),2.4)</f>
        <v>2.4</v>
      </c>
      <c r="Y635" s="65">
        <f>IFERROR(__xludf.DUMMYFUNCTION("""COMPUTED_VALUE"""),7.2)</f>
        <v>7.2</v>
      </c>
      <c r="Z635" s="65">
        <f>IFERROR(__xludf.DUMMYFUNCTION("""COMPUTED_VALUE"""),120732.0)</f>
        <v>120732</v>
      </c>
      <c r="AA635" s="65" t="str">
        <f>IFERROR(__xludf.DUMMYFUNCTION("""COMPUTED_VALUE"""),"PROV-LMPVT")</f>
        <v>PROV-LMPVT</v>
      </c>
      <c r="AB635" s="65"/>
      <c r="AC635" s="65" t="str">
        <f>IFERROR(__xludf.DUMMYFUNCTION("""COMPUTED_VALUE"""),"LIMPIADOR DE PARABRISAS Y VENTANAS")</f>
        <v>LIMPIADOR DE PARABRISAS Y VENTANAS</v>
      </c>
      <c r="AD635" s="65"/>
      <c r="AE635" s="65">
        <f>IFERROR(__xludf.DUMMYFUNCTION("""COMPUTED_VALUE"""),3.0)</f>
        <v>3</v>
      </c>
      <c r="AF635" s="65"/>
      <c r="AG635" s="65"/>
      <c r="AH635" s="65"/>
      <c r="AI635" s="65"/>
      <c r="AJ635" s="65"/>
      <c r="AK635" s="65"/>
      <c r="AL635" s="65"/>
      <c r="AM635" s="65"/>
      <c r="AN635" s="65" t="str">
        <f>IFERROR(__xludf.DUMMYFUNCTION("""COMPUTED_VALUE"""),"13:33")</f>
        <v>13:33</v>
      </c>
      <c r="AO635" s="65" t="str">
        <f>IFERROR(__xludf.DUMMYFUNCTION("""COMPUTED_VALUE"""),"20-02-2026")</f>
        <v>20-02-2026</v>
      </c>
      <c r="AP635" s="65" t="str">
        <f>IFERROR(__xludf.DUMMYFUNCTION("""COMPUTED_VALUE"""),"ENTREGADA GINTRACOM")</f>
        <v>ENTREGADA GINTRACOM</v>
      </c>
      <c r="AQ635" s="65" t="str">
        <f>IFERROR(__xludf.DUMMYFUNCTION("""COMPUTED_VALUE"""),"ENTREGADA GINTRACOM")</f>
        <v>ENTREGADA GINTRACOM</v>
      </c>
      <c r="AR635" s="65"/>
      <c r="AS635" s="65"/>
      <c r="AT635" s="65" t="str">
        <f>IFERROR(__xludf.DUMMYFUNCTION("""COMPUTED_VALUE"""),"SHOPIFY")</f>
        <v>SHOPIFY</v>
      </c>
      <c r="AU635" s="65" t="str">
        <f>IFERROR(__xludf.DUMMYFUNCTION("""COMPUTED_VALUE"""),"IMPORTEX EC")</f>
        <v>IMPORTEX EC</v>
      </c>
      <c r="AV635" s="65" t="str">
        <f>IFERROR(__xludf.DUMMYFUNCTION("""COMPUTED_VALUE"""),"6512160735276")</f>
        <v>6512160735276</v>
      </c>
      <c r="AW635" s="65">
        <f>IFERROR(__xludf.DUMMYFUNCTION("""COMPUTED_VALUE"""),6250.0)</f>
        <v>6250</v>
      </c>
      <c r="AX635" s="65"/>
      <c r="AY635" s="65" t="str">
        <f>IFERROR(__xludf.DUMMYFUNCTION("""COMPUTED_VALUE"""),"19/02/2026")</f>
        <v>19/02/2026</v>
      </c>
      <c r="AZ635" s="65"/>
      <c r="BA635" s="65"/>
    </row>
    <row r="636">
      <c r="A636" s="65" t="str">
        <f>IFERROR(__xludf.DUMMYFUNCTION("""COMPUTED_VALUE"""),"27-03-2026")</f>
        <v>27-03-2026</v>
      </c>
      <c r="B636" s="65">
        <f>IFERROR(__xludf.DUMMYFUNCTION("""COMPUTED_VALUE"""),4538885.0)</f>
        <v>4538885</v>
      </c>
      <c r="C636" s="65" t="str">
        <f>IFERROR(__xludf.DUMMYFUNCTION("""COMPUTED_VALUE"""),"06:08")</f>
        <v>06:08</v>
      </c>
      <c r="D636" s="65" t="str">
        <f>IFERROR(__xludf.DUMMYFUNCTION("""COMPUTED_VALUE"""),"18-02-2026")</f>
        <v>18-02-2026</v>
      </c>
      <c r="E636" s="65" t="str">
        <f>IFERROR(__xludf.DUMMYFUNCTION("""COMPUTED_VALUE"""),"Edgar Correa")</f>
        <v>Edgar Correa</v>
      </c>
      <c r="F636" s="65" t="str">
        <f>IFERROR(__xludf.DUMMYFUNCTION("""COMPUTED_VALUE"""),"991173886")</f>
        <v>991173886</v>
      </c>
      <c r="G636" s="65" t="str">
        <f>IFERROR(__xludf.DUMMYFUNCTION("""COMPUTED_VALUE"""),"chelojose1980@gmail.com")</f>
        <v>chelojose1980@gmail.com</v>
      </c>
      <c r="H636" s="65"/>
      <c r="I636" s="65"/>
      <c r="J636" s="65" t="str">
        <f>IFERROR(__xludf.DUMMYFUNCTION("""COMPUTED_VALUE"""),"186793776")</f>
        <v>186793776</v>
      </c>
      <c r="K636" s="65" t="str">
        <f>IFERROR(__xludf.DUMMYFUNCTION("""COMPUTED_VALUE"""),"PARA RETIRO EN AGENCIA SERVIENTREGA")</f>
        <v>PARA RETIRO EN AGENCIA SERVIENTREGA</v>
      </c>
      <c r="L636" s="65" t="str">
        <f>IFERROR(__xludf.DUMMYFUNCTION("""COMPUTED_VALUE"""),"CON RECAUDO")</f>
        <v>CON RECAUDO</v>
      </c>
      <c r="M636" s="65" t="str">
        <f>IFERROR(__xludf.DUMMYFUNCTION("""COMPUTED_VALUE"""),"ZAMORA CHINCHIPE")</f>
        <v>ZAMORA CHINCHIPE</v>
      </c>
      <c r="N636" s="65" t="str">
        <f>IFERROR(__xludf.DUMMYFUNCTION("""COMPUTED_VALUE"""),"ZUMBA")</f>
        <v>ZUMBA</v>
      </c>
      <c r="O636" s="65" t="str">
        <f>IFERROR(__xludf.DUMMYFUNCTION("""COMPUTED_VALUE"""),"Avenida del colegio A lado del IESS, casa de tres pisos")</f>
        <v>Avenida del colegio A lado del IESS, casa de tres pisos</v>
      </c>
      <c r="P636" s="65"/>
      <c r="Q636" s="65" t="str">
        <f>IFERROR(__xludf.DUMMYFUNCTION("""COMPUTED_VALUE"""),"SERVIENTREGA")</f>
        <v>SERVIENTREGA</v>
      </c>
      <c r="R636" s="65">
        <f>IFERROR(__xludf.DUMMYFUNCTION("""COMPUTED_VALUE"""),20.0)</f>
        <v>20</v>
      </c>
      <c r="S636" s="65"/>
      <c r="T636" s="65">
        <f>IFERROR(__xludf.DUMMYFUNCTION("""COMPUTED_VALUE"""),7.67)</f>
        <v>7.67</v>
      </c>
      <c r="U636" s="65">
        <f>IFERROR(__xludf.DUMMYFUNCTION("""COMPUTED_VALUE"""),0.0)</f>
        <v>0</v>
      </c>
      <c r="V636" s="65">
        <f>IFERROR(__xludf.DUMMYFUNCTION("""COMPUTED_VALUE"""),0.0)</f>
        <v>0</v>
      </c>
      <c r="W636" s="65">
        <f>IFERROR(__xludf.DUMMYFUNCTION("""COMPUTED_VALUE"""),0.0)</f>
        <v>0</v>
      </c>
      <c r="X636" s="65">
        <f>IFERROR(__xludf.DUMMYFUNCTION("""COMPUTED_VALUE"""),2.4)</f>
        <v>2.4</v>
      </c>
      <c r="Y636" s="65">
        <f>IFERROR(__xludf.DUMMYFUNCTION("""COMPUTED_VALUE"""),2.4)</f>
        <v>2.4</v>
      </c>
      <c r="Z636" s="65">
        <f>IFERROR(__xludf.DUMMYFUNCTION("""COMPUTED_VALUE"""),120732.0)</f>
        <v>120732</v>
      </c>
      <c r="AA636" s="65" t="str">
        <f>IFERROR(__xludf.DUMMYFUNCTION("""COMPUTED_VALUE"""),"PROV-LMPVT")</f>
        <v>PROV-LMPVT</v>
      </c>
      <c r="AB636" s="65"/>
      <c r="AC636" s="65" t="str">
        <f>IFERROR(__xludf.DUMMYFUNCTION("""COMPUTED_VALUE"""),"LIMPIADOR DE PARABRISAS Y VENTANAS")</f>
        <v>LIMPIADOR DE PARABRISAS Y VENTANAS</v>
      </c>
      <c r="AD636" s="65"/>
      <c r="AE636" s="65">
        <f>IFERROR(__xludf.DUMMYFUNCTION("""COMPUTED_VALUE"""),1.0)</f>
        <v>1</v>
      </c>
      <c r="AF636" s="65"/>
      <c r="AG636" s="65"/>
      <c r="AH636" s="65"/>
      <c r="AI636" s="65"/>
      <c r="AJ636" s="65"/>
      <c r="AK636" s="65"/>
      <c r="AL636" s="65"/>
      <c r="AM636" s="65"/>
      <c r="AN636" s="65" t="str">
        <f>IFERROR(__xludf.DUMMYFUNCTION("""COMPUTED_VALUE"""),"01:00")</f>
        <v>01:00</v>
      </c>
      <c r="AO636" s="65" t="str">
        <f>IFERROR(__xludf.DUMMYFUNCTION("""COMPUTED_VALUE"""),"26-03-2026")</f>
        <v>26-03-2026</v>
      </c>
      <c r="AP636" s="65" t="str">
        <f>IFERROR(__xludf.DUMMYFUNCTION("""COMPUTED_VALUE"""),"Ingresando en Agencia ZUMBA_LOS LIBERTADORES")</f>
        <v>Ingresando en Agencia ZUMBA_LOS LIBERTADORES</v>
      </c>
      <c r="AQ636" s="65" t="str">
        <f>IFERROR(__xludf.DUMMYFUNCTION("""COMPUTED_VALUE"""),"{}")</f>
        <v>{}</v>
      </c>
      <c r="AR636" s="65"/>
      <c r="AS636" s="65"/>
      <c r="AT636" s="65" t="str">
        <f>IFERROR(__xludf.DUMMYFUNCTION("""COMPUTED_VALUE"""),"SHOPIFY")</f>
        <v>SHOPIFY</v>
      </c>
      <c r="AU636" s="65" t="str">
        <f>IFERROR(__xludf.DUMMYFUNCTION("""COMPUTED_VALUE"""),"IMPORTEX EC")</f>
        <v>IMPORTEX EC</v>
      </c>
      <c r="AV636" s="65" t="str">
        <f>IFERROR(__xludf.DUMMYFUNCTION("""COMPUTED_VALUE"""),"6512113778732")</f>
        <v>6512113778732</v>
      </c>
      <c r="AW636" s="65">
        <f>IFERROR(__xludf.DUMMYFUNCTION("""COMPUTED_VALUE"""),6249.0)</f>
        <v>6249</v>
      </c>
      <c r="AX636" s="65"/>
      <c r="AY636" s="65" t="str">
        <f>IFERROR(__xludf.DUMMYFUNCTION("""COMPUTED_VALUE"""),"19/02/2026")</f>
        <v>19/02/2026</v>
      </c>
      <c r="AZ636" s="65"/>
      <c r="BA636" s="65"/>
    </row>
    <row r="637">
      <c r="A637" s="65" t="str">
        <f>IFERROR(__xludf.DUMMYFUNCTION("""COMPUTED_VALUE"""),"27-03-2026")</f>
        <v>27-03-2026</v>
      </c>
      <c r="B637" s="65">
        <f>IFERROR(__xludf.DUMMYFUNCTION("""COMPUTED_VALUE"""),4538278.0)</f>
        <v>4538278</v>
      </c>
      <c r="C637" s="65" t="str">
        <f>IFERROR(__xludf.DUMMYFUNCTION("""COMPUTED_VALUE"""),"00:57")</f>
        <v>00:57</v>
      </c>
      <c r="D637" s="65" t="str">
        <f>IFERROR(__xludf.DUMMYFUNCTION("""COMPUTED_VALUE"""),"18-02-2026")</f>
        <v>18-02-2026</v>
      </c>
      <c r="E637" s="65" t="str">
        <f>IFERROR(__xludf.DUMMYFUNCTION("""COMPUTED_VALUE"""),"Jorge benjamin Rojas")</f>
        <v>Jorge benjamin Rojas</v>
      </c>
      <c r="F637" s="65" t="str">
        <f>IFERROR(__xludf.DUMMYFUNCTION("""COMPUTED_VALUE"""),"985395394")</f>
        <v>985395394</v>
      </c>
      <c r="G637" s="65" t="str">
        <f>IFERROR(__xludf.DUMMYFUNCTION("""COMPUTED_VALUE"""),"jfrojasf@hotmail.com")</f>
        <v>jfrojasf@hotmail.com</v>
      </c>
      <c r="H637" s="65"/>
      <c r="I637" s="65"/>
      <c r="J637" s="65" t="str">
        <f>IFERROR(__xludf.DUMMYFUNCTION("""COMPUTED_VALUE"""),"D001340285")</f>
        <v>D001340285</v>
      </c>
      <c r="K637" s="65" t="str">
        <f>IFERROR(__xludf.DUMMYFUNCTION("""COMPUTED_VALUE"""),"ENTREGADO")</f>
        <v>ENTREGADO</v>
      </c>
      <c r="L637" s="65" t="str">
        <f>IFERROR(__xludf.DUMMYFUNCTION("""COMPUTED_VALUE"""),"CON RECAUDO")</f>
        <v>CON RECAUDO</v>
      </c>
      <c r="M637" s="65" t="str">
        <f>IFERROR(__xludf.DUMMYFUNCTION("""COMPUTED_VALUE"""),"GUAYAS")</f>
        <v>GUAYAS</v>
      </c>
      <c r="N637" s="65" t="str">
        <f>IFERROR(__xludf.DUMMYFUNCTION("""COMPUTED_VALUE"""),"GUAYAQUIL")</f>
        <v>GUAYAQUIL</v>
      </c>
      <c r="O637" s="65" t="str">
        <f>IFERROR(__xludf.DUMMYFUNCTION("""COMPUTED_VALUE"""),"Argentina y la 24 Alado del depósito de madera cisne 2 - #4707")</f>
        <v>Argentina y la 24 Alado del depósito de madera cisne 2 - #4707</v>
      </c>
      <c r="P637" s="65"/>
      <c r="Q637" s="65" t="str">
        <f>IFERROR(__xludf.DUMMYFUNCTION("""COMPUTED_VALUE"""),"GINTRACOM")</f>
        <v>GINTRACOM</v>
      </c>
      <c r="R637" s="65">
        <f>IFERROR(__xludf.DUMMYFUNCTION("""COMPUTED_VALUE"""),25.0)</f>
        <v>25</v>
      </c>
      <c r="S637" s="65">
        <f>IFERROR(__xludf.DUMMYFUNCTION("""COMPUTED_VALUE"""),15.85)</f>
        <v>15.85</v>
      </c>
      <c r="T637" s="65">
        <f>IFERROR(__xludf.DUMMYFUNCTION("""COMPUTED_VALUE"""),4.35)</f>
        <v>4.35</v>
      </c>
      <c r="U637" s="65">
        <f>IFERROR(__xludf.DUMMYFUNCTION("""COMPUTED_VALUE"""),0.0)</f>
        <v>0</v>
      </c>
      <c r="V637" s="65">
        <f>IFERROR(__xludf.DUMMYFUNCTION("""COMPUTED_VALUE"""),0.0)</f>
        <v>0</v>
      </c>
      <c r="W637" s="65">
        <f>IFERROR(__xludf.DUMMYFUNCTION("""COMPUTED_VALUE"""),0.0)</f>
        <v>0</v>
      </c>
      <c r="X637" s="65">
        <f>IFERROR(__xludf.DUMMYFUNCTION("""COMPUTED_VALUE"""),2.4)</f>
        <v>2.4</v>
      </c>
      <c r="Y637" s="65">
        <f>IFERROR(__xludf.DUMMYFUNCTION("""COMPUTED_VALUE"""),4.8)</f>
        <v>4.8</v>
      </c>
      <c r="Z637" s="65">
        <f>IFERROR(__xludf.DUMMYFUNCTION("""COMPUTED_VALUE"""),120732.0)</f>
        <v>120732</v>
      </c>
      <c r="AA637" s="65" t="str">
        <f>IFERROR(__xludf.DUMMYFUNCTION("""COMPUTED_VALUE"""),"PROV-LMPVT")</f>
        <v>PROV-LMPVT</v>
      </c>
      <c r="AB637" s="65"/>
      <c r="AC637" s="65" t="str">
        <f>IFERROR(__xludf.DUMMYFUNCTION("""COMPUTED_VALUE"""),"LIMPIADOR DE PARABRISAS Y VENTANAS")</f>
        <v>LIMPIADOR DE PARABRISAS Y VENTANAS</v>
      </c>
      <c r="AD637" s="65"/>
      <c r="AE637" s="65">
        <f>IFERROR(__xludf.DUMMYFUNCTION("""COMPUTED_VALUE"""),2.0)</f>
        <v>2</v>
      </c>
      <c r="AF637" s="65"/>
      <c r="AG637" s="65"/>
      <c r="AH637" s="65"/>
      <c r="AI637" s="65"/>
      <c r="AJ637" s="65"/>
      <c r="AK637" s="65"/>
      <c r="AL637" s="65"/>
      <c r="AM637" s="65"/>
      <c r="AN637" s="65" t="str">
        <f>IFERROR(__xludf.DUMMYFUNCTION("""COMPUTED_VALUE"""),"16:10")</f>
        <v>16:10</v>
      </c>
      <c r="AO637" s="65" t="str">
        <f>IFERROR(__xludf.DUMMYFUNCTION("""COMPUTED_VALUE"""),"20-02-2026")</f>
        <v>20-02-2026</v>
      </c>
      <c r="AP637" s="65" t="str">
        <f>IFERROR(__xludf.DUMMYFUNCTION("""COMPUTED_VALUE"""),"ENTREGADA GINTRACOM")</f>
        <v>ENTREGADA GINTRACOM</v>
      </c>
      <c r="AQ637" s="65" t="str">
        <f>IFERROR(__xludf.DUMMYFUNCTION("""COMPUTED_VALUE"""),"ENTREGADA GINTRACOM")</f>
        <v>ENTREGADA GINTRACOM</v>
      </c>
      <c r="AR637" s="65"/>
      <c r="AS637" s="65"/>
      <c r="AT637" s="65" t="str">
        <f>IFERROR(__xludf.DUMMYFUNCTION("""COMPUTED_VALUE"""),"SHOPIFY")</f>
        <v>SHOPIFY</v>
      </c>
      <c r="AU637" s="65" t="str">
        <f>IFERROR(__xludf.DUMMYFUNCTION("""COMPUTED_VALUE"""),"IMPORTEX EC")</f>
        <v>IMPORTEX EC</v>
      </c>
      <c r="AV637" s="65" t="str">
        <f>IFERROR(__xludf.DUMMYFUNCTION("""COMPUTED_VALUE"""),"6511796158508")</f>
        <v>6511796158508</v>
      </c>
      <c r="AW637" s="65">
        <f>IFERROR(__xludf.DUMMYFUNCTION("""COMPUTED_VALUE"""),6248.0)</f>
        <v>6248</v>
      </c>
      <c r="AX637" s="65"/>
      <c r="AY637" s="65" t="str">
        <f>IFERROR(__xludf.DUMMYFUNCTION("""COMPUTED_VALUE"""),"19/02/2026")</f>
        <v>19/02/2026</v>
      </c>
      <c r="AZ637" s="65"/>
      <c r="BA637" s="65"/>
    </row>
    <row r="638">
      <c r="A638" s="65" t="str">
        <f>IFERROR(__xludf.DUMMYFUNCTION("""COMPUTED_VALUE"""),"27-03-2026")</f>
        <v>27-03-2026</v>
      </c>
      <c r="B638" s="65">
        <f>IFERROR(__xludf.DUMMYFUNCTION("""COMPUTED_VALUE"""),4537497.0)</f>
        <v>4537497</v>
      </c>
      <c r="C638" s="65" t="str">
        <f>IFERROR(__xludf.DUMMYFUNCTION("""COMPUTED_VALUE"""),"22:47")</f>
        <v>22:47</v>
      </c>
      <c r="D638" s="65" t="str">
        <f>IFERROR(__xludf.DUMMYFUNCTION("""COMPUTED_VALUE"""),"17-02-2026")</f>
        <v>17-02-2026</v>
      </c>
      <c r="E638" s="65" t="str">
        <f>IFERROR(__xludf.DUMMYFUNCTION("""COMPUTED_VALUE"""),"Patricio Antamba")</f>
        <v>Patricio Antamba</v>
      </c>
      <c r="F638" s="65" t="str">
        <f>IFERROR(__xludf.DUMMYFUNCTION("""COMPUTED_VALUE"""),"984029612")</f>
        <v>984029612</v>
      </c>
      <c r="G638" s="65" t="str">
        <f>IFERROR(__xludf.DUMMYFUNCTION("""COMPUTED_VALUE"""),"patricioamta@gmail.com")</f>
        <v>patricioamta@gmail.com</v>
      </c>
      <c r="H638" s="65"/>
      <c r="I638" s="65"/>
      <c r="J638" s="65" t="str">
        <f>IFERROR(__xludf.DUMMYFUNCTION("""COMPUTED_VALUE"""),"D001340287")</f>
        <v>D001340287</v>
      </c>
      <c r="K638" s="65" t="str">
        <f>IFERROR(__xludf.DUMMYFUNCTION("""COMPUTED_VALUE"""),"DEVOLUCION")</f>
        <v>DEVOLUCION</v>
      </c>
      <c r="L638" s="65" t="str">
        <f>IFERROR(__xludf.DUMMYFUNCTION("""COMPUTED_VALUE"""),"CON RECAUDO")</f>
        <v>CON RECAUDO</v>
      </c>
      <c r="M638" s="65" t="str">
        <f>IFERROR(__xludf.DUMMYFUNCTION("""COMPUTED_VALUE"""),"PICHINCHA")</f>
        <v>PICHINCHA</v>
      </c>
      <c r="N638" s="65" t="str">
        <f>IFERROR(__xludf.DUMMYFUNCTION("""COMPUTED_VALUE"""),"QUITO")</f>
        <v>QUITO</v>
      </c>
      <c r="O638" s="65" t="str">
        <f>IFERROR(__xludf.DUMMYFUNCTION("""COMPUTED_VALUE"""),"Francisco Andrade Marin OE-140 y Av. Elor Alfaro. Parque la carolina y Av. Eloy Alfaro -")</f>
        <v>Francisco Andrade Marin OE-140 y Av. Elor Alfaro. Parque la carolina y Av. Eloy Alfaro -</v>
      </c>
      <c r="P638" s="65"/>
      <c r="Q638" s="65" t="str">
        <f>IFERROR(__xludf.DUMMYFUNCTION("""COMPUTED_VALUE"""),"GINTRACOM")</f>
        <v>GINTRACOM</v>
      </c>
      <c r="R638" s="65">
        <f>IFERROR(__xludf.DUMMYFUNCTION("""COMPUTED_VALUE"""),20.0)</f>
        <v>20</v>
      </c>
      <c r="S638" s="65"/>
      <c r="T638" s="65">
        <f>IFERROR(__xludf.DUMMYFUNCTION("""COMPUTED_VALUE"""),5.76)</f>
        <v>5.76</v>
      </c>
      <c r="U638" s="65">
        <f>IFERROR(__xludf.DUMMYFUNCTION("""COMPUTED_VALUE"""),0.0)</f>
        <v>0</v>
      </c>
      <c r="V638" s="65">
        <f>IFERROR(__xludf.DUMMYFUNCTION("""COMPUTED_VALUE"""),0.0)</f>
        <v>0</v>
      </c>
      <c r="W638" s="65">
        <f>IFERROR(__xludf.DUMMYFUNCTION("""COMPUTED_VALUE"""),0.0)</f>
        <v>0</v>
      </c>
      <c r="X638" s="65">
        <f>IFERROR(__xludf.DUMMYFUNCTION("""COMPUTED_VALUE"""),2.4)</f>
        <v>2.4</v>
      </c>
      <c r="Y638" s="65">
        <f>IFERROR(__xludf.DUMMYFUNCTION("""COMPUTED_VALUE"""),2.4)</f>
        <v>2.4</v>
      </c>
      <c r="Z638" s="65">
        <f>IFERROR(__xludf.DUMMYFUNCTION("""COMPUTED_VALUE"""),120732.0)</f>
        <v>120732</v>
      </c>
      <c r="AA638" s="65" t="str">
        <f>IFERROR(__xludf.DUMMYFUNCTION("""COMPUTED_VALUE"""),"PROV-LMPVT")</f>
        <v>PROV-LMPVT</v>
      </c>
      <c r="AB638" s="65"/>
      <c r="AC638" s="65" t="str">
        <f>IFERROR(__xludf.DUMMYFUNCTION("""COMPUTED_VALUE"""),"LIMPIADOR DE PARABRISAS Y VENTANAS")</f>
        <v>LIMPIADOR DE PARABRISAS Y VENTANAS</v>
      </c>
      <c r="AD638" s="65"/>
      <c r="AE638" s="65">
        <f>IFERROR(__xludf.DUMMYFUNCTION("""COMPUTED_VALUE"""),1.0)</f>
        <v>1</v>
      </c>
      <c r="AF638" s="65" t="str">
        <f>IFERROR(__xludf.DUMMYFUNCTION("""COMPUTED_VALUE"""),"DESTINATARIO INDICA QUE NO ES EL VALOR ACORDADO")</f>
        <v>DESTINATARIO INDICA QUE NO ES EL VALOR ACORDADO</v>
      </c>
      <c r="AG638" s="65" t="str">
        <f>IFERROR(__xludf.DUMMYFUNCTION("""COMPUTED_VALUE"""),"NO")</f>
        <v>NO</v>
      </c>
      <c r="AH638" s="65" t="str">
        <f>IFERROR(__xludf.DUMMYFUNCTION("""COMPUTED_VALUE"""),"15:15")</f>
        <v>15:15</v>
      </c>
      <c r="AI638" s="65" t="str">
        <f>IFERROR(__xludf.DUMMYFUNCTION("""COMPUTED_VALUE"""),"20-02-2026")</f>
        <v>20-02-2026</v>
      </c>
      <c r="AJ638" s="65"/>
      <c r="AK638" s="65"/>
      <c r="AL638" s="65"/>
      <c r="AM638" s="65"/>
      <c r="AN638" s="65" t="str">
        <f>IFERROR(__xludf.DUMMYFUNCTION("""COMPUTED_VALUE"""),"01:35")</f>
        <v>01:35</v>
      </c>
      <c r="AO638" s="65" t="str">
        <f>IFERROR(__xludf.DUMMYFUNCTION("""COMPUTED_VALUE"""),"09-03-2026")</f>
        <v>09-03-2026</v>
      </c>
      <c r="AP638" s="65" t="str">
        <f>IFERROR(__xludf.DUMMYFUNCTION("""COMPUTED_VALUE"""),"DEVOLUCIÓN ENTREGADA A ORIGEN")</f>
        <v>DEVOLUCIÓN ENTREGADA A ORIGEN</v>
      </c>
      <c r="AQ638" s="65" t="str">
        <f>IFERROR(__xludf.DUMMYFUNCTION("""COMPUTED_VALUE"""),"DEVOLUCIÓN ENTREGADA A ORIGEN")</f>
        <v>DEVOLUCIÓN ENTREGADA A ORIGEN</v>
      </c>
      <c r="AR638" s="65"/>
      <c r="AS638" s="65"/>
      <c r="AT638" s="65" t="str">
        <f>IFERROR(__xludf.DUMMYFUNCTION("""COMPUTED_VALUE"""),"SHOPIFY")</f>
        <v>SHOPIFY</v>
      </c>
      <c r="AU638" s="65" t="str">
        <f>IFERROR(__xludf.DUMMYFUNCTION("""COMPUTED_VALUE"""),"IMPORTEX EC")</f>
        <v>IMPORTEX EC</v>
      </c>
      <c r="AV638" s="65" t="str">
        <f>IFERROR(__xludf.DUMMYFUNCTION("""COMPUTED_VALUE"""),"6511593914412")</f>
        <v>6511593914412</v>
      </c>
      <c r="AW638" s="65">
        <f>IFERROR(__xludf.DUMMYFUNCTION("""COMPUTED_VALUE"""),6247.0)</f>
        <v>6247</v>
      </c>
      <c r="AX638" s="65"/>
      <c r="AY638" s="65" t="str">
        <f>IFERROR(__xludf.DUMMYFUNCTION("""COMPUTED_VALUE"""),"19/02/2026")</f>
        <v>19/02/2026</v>
      </c>
      <c r="AZ638" s="65"/>
      <c r="BA638" s="65"/>
    </row>
    <row r="639">
      <c r="A639" s="65" t="str">
        <f>IFERROR(__xludf.DUMMYFUNCTION("""COMPUTED_VALUE"""),"27-03-2026")</f>
        <v>27-03-2026</v>
      </c>
      <c r="B639" s="65">
        <f>IFERROR(__xludf.DUMMYFUNCTION("""COMPUTED_VALUE"""),4537287.0)</f>
        <v>4537287</v>
      </c>
      <c r="C639" s="65" t="str">
        <f>IFERROR(__xludf.DUMMYFUNCTION("""COMPUTED_VALUE"""),"22:27")</f>
        <v>22:27</v>
      </c>
      <c r="D639" s="65" t="str">
        <f>IFERROR(__xludf.DUMMYFUNCTION("""COMPUTED_VALUE"""),"17-02-2026")</f>
        <v>17-02-2026</v>
      </c>
      <c r="E639" s="65" t="str">
        <f>IFERROR(__xludf.DUMMYFUNCTION("""COMPUTED_VALUE"""),"Marcelo Angulo")</f>
        <v>Marcelo Angulo</v>
      </c>
      <c r="F639" s="65" t="str">
        <f>IFERROR(__xludf.DUMMYFUNCTION("""COMPUTED_VALUE"""),"985335931")</f>
        <v>985335931</v>
      </c>
      <c r="G639" s="65" t="str">
        <f>IFERROR(__xludf.DUMMYFUNCTION("""COMPUTED_VALUE"""),"pacazoprom76@gmail.com")</f>
        <v>pacazoprom76@gmail.com</v>
      </c>
      <c r="H639" s="65"/>
      <c r="I639" s="65"/>
      <c r="J639" s="65" t="str">
        <f>IFERROR(__xludf.DUMMYFUNCTION("""COMPUTED_VALUE"""),"D001340288")</f>
        <v>D001340288</v>
      </c>
      <c r="K639" s="65" t="str">
        <f>IFERROR(__xludf.DUMMYFUNCTION("""COMPUTED_VALUE"""),"DEVOLUCION")</f>
        <v>DEVOLUCION</v>
      </c>
      <c r="L639" s="65" t="str">
        <f>IFERROR(__xludf.DUMMYFUNCTION("""COMPUTED_VALUE"""),"CON RECAUDO")</f>
        <v>CON RECAUDO</v>
      </c>
      <c r="M639" s="65" t="str">
        <f>IFERROR(__xludf.DUMMYFUNCTION("""COMPUTED_VALUE"""),"GUAYAS")</f>
        <v>GUAYAS</v>
      </c>
      <c r="N639" s="65" t="str">
        <f>IFERROR(__xludf.DUMMYFUNCTION("""COMPUTED_VALUE"""),"GUAYAQUIL")</f>
        <v>GUAYAQUIL</v>
      </c>
      <c r="O639" s="65" t="str">
        <f>IFERROR(__xludf.DUMMYFUNCTION("""COMPUTED_VALUE"""),"El oro y Rafael guerrero Valenzuela Sur oeste -  casa d 3 pisos color melón")</f>
        <v>El oro y Rafael guerrero Valenzuela Sur oeste -  casa d 3 pisos color melón</v>
      </c>
      <c r="P639" s="65"/>
      <c r="Q639" s="65" t="str">
        <f>IFERROR(__xludf.DUMMYFUNCTION("""COMPUTED_VALUE"""),"GINTRACOM")</f>
        <v>GINTRACOM</v>
      </c>
      <c r="R639" s="65">
        <f>IFERROR(__xludf.DUMMYFUNCTION("""COMPUTED_VALUE"""),25.0)</f>
        <v>25</v>
      </c>
      <c r="S639" s="65"/>
      <c r="T639" s="65">
        <f>IFERROR(__xludf.DUMMYFUNCTION("""COMPUTED_VALUE"""),4.35)</f>
        <v>4.35</v>
      </c>
      <c r="U639" s="65">
        <f>IFERROR(__xludf.DUMMYFUNCTION("""COMPUTED_VALUE"""),0.0)</f>
        <v>0</v>
      </c>
      <c r="V639" s="65">
        <f>IFERROR(__xludf.DUMMYFUNCTION("""COMPUTED_VALUE"""),0.0)</f>
        <v>0</v>
      </c>
      <c r="W639" s="65">
        <f>IFERROR(__xludf.DUMMYFUNCTION("""COMPUTED_VALUE"""),0.0)</f>
        <v>0</v>
      </c>
      <c r="X639" s="65">
        <f>IFERROR(__xludf.DUMMYFUNCTION("""COMPUTED_VALUE"""),2.4)</f>
        <v>2.4</v>
      </c>
      <c r="Y639" s="65">
        <f>IFERROR(__xludf.DUMMYFUNCTION("""COMPUTED_VALUE"""),4.8)</f>
        <v>4.8</v>
      </c>
      <c r="Z639" s="65">
        <f>IFERROR(__xludf.DUMMYFUNCTION("""COMPUTED_VALUE"""),120732.0)</f>
        <v>120732</v>
      </c>
      <c r="AA639" s="65" t="str">
        <f>IFERROR(__xludf.DUMMYFUNCTION("""COMPUTED_VALUE"""),"PROV-LMPVT")</f>
        <v>PROV-LMPVT</v>
      </c>
      <c r="AB639" s="65"/>
      <c r="AC639" s="65" t="str">
        <f>IFERROR(__xludf.DUMMYFUNCTION("""COMPUTED_VALUE"""),"LIMPIADOR DE PARABRISAS Y VENTANAS")</f>
        <v>LIMPIADOR DE PARABRISAS Y VENTANAS</v>
      </c>
      <c r="AD639" s="65"/>
      <c r="AE639" s="65">
        <f>IFERROR(__xludf.DUMMYFUNCTION("""COMPUTED_VALUE"""),2.0)</f>
        <v>2</v>
      </c>
      <c r="AF639" s="65" t="str">
        <f>IFERROR(__xludf.DUMMYFUNCTION("""COMPUTED_VALUE"""),"DESTINATARIO NO CONTESTA LLAMADAS NI WHATSAPP")</f>
        <v>DESTINATARIO NO CONTESTA LLAMADAS NI WHATSAPP</v>
      </c>
      <c r="AG639" s="65" t="str">
        <f>IFERROR(__xludf.DUMMYFUNCTION("""COMPUTED_VALUE"""),"NO")</f>
        <v>NO</v>
      </c>
      <c r="AH639" s="65" t="str">
        <f>IFERROR(__xludf.DUMMYFUNCTION("""COMPUTED_VALUE"""),"15:11")</f>
        <v>15:11</v>
      </c>
      <c r="AI639" s="65" t="str">
        <f>IFERROR(__xludf.DUMMYFUNCTION("""COMPUTED_VALUE"""),"27-02-2026")</f>
        <v>27-02-2026</v>
      </c>
      <c r="AJ639" s="65"/>
      <c r="AK639" s="65"/>
      <c r="AL639" s="65"/>
      <c r="AM639" s="65"/>
      <c r="AN639" s="65" t="str">
        <f>IFERROR(__xludf.DUMMYFUNCTION("""COMPUTED_VALUE"""),"01:35")</f>
        <v>01:35</v>
      </c>
      <c r="AO639" s="65" t="str">
        <f>IFERROR(__xludf.DUMMYFUNCTION("""COMPUTED_VALUE"""),"09-03-2026")</f>
        <v>09-03-2026</v>
      </c>
      <c r="AP639" s="65" t="str">
        <f>IFERROR(__xludf.DUMMYFUNCTION("""COMPUTED_VALUE"""),"DEVOLUCIÓN ENTREGADA A ORIGEN")</f>
        <v>DEVOLUCIÓN ENTREGADA A ORIGEN</v>
      </c>
      <c r="AQ639" s="65" t="str">
        <f>IFERROR(__xludf.DUMMYFUNCTION("""COMPUTED_VALUE"""),"DEVOLUCIÓN ENTREGADA A ORIGEN")</f>
        <v>DEVOLUCIÓN ENTREGADA A ORIGEN</v>
      </c>
      <c r="AR639" s="65"/>
      <c r="AS639" s="65"/>
      <c r="AT639" s="65" t="str">
        <f>IFERROR(__xludf.DUMMYFUNCTION("""COMPUTED_VALUE"""),"SHOPIFY")</f>
        <v>SHOPIFY</v>
      </c>
      <c r="AU639" s="65" t="str">
        <f>IFERROR(__xludf.DUMMYFUNCTION("""COMPUTED_VALUE"""),"IMPORTEX EC")</f>
        <v>IMPORTEX EC</v>
      </c>
      <c r="AV639" s="65" t="str">
        <f>IFERROR(__xludf.DUMMYFUNCTION("""COMPUTED_VALUE"""),"6511561670700")</f>
        <v>6511561670700</v>
      </c>
      <c r="AW639" s="65">
        <f>IFERROR(__xludf.DUMMYFUNCTION("""COMPUTED_VALUE"""),6246.0)</f>
        <v>6246</v>
      </c>
      <c r="AX639" s="65"/>
      <c r="AY639" s="65" t="str">
        <f>IFERROR(__xludf.DUMMYFUNCTION("""COMPUTED_VALUE"""),"19/02/2026")</f>
        <v>19/02/2026</v>
      </c>
      <c r="AZ639" s="65"/>
      <c r="BA639" s="65"/>
    </row>
    <row r="640">
      <c r="A640" s="65" t="str">
        <f>IFERROR(__xludf.DUMMYFUNCTION("""COMPUTED_VALUE"""),"27-03-2026")</f>
        <v>27-03-2026</v>
      </c>
      <c r="B640" s="65">
        <f>IFERROR(__xludf.DUMMYFUNCTION("""COMPUTED_VALUE"""),4536861.0)</f>
        <v>4536861</v>
      </c>
      <c r="C640" s="65" t="str">
        <f>IFERROR(__xludf.DUMMYFUNCTION("""COMPUTED_VALUE"""),"22:00")</f>
        <v>22:00</v>
      </c>
      <c r="D640" s="65" t="str">
        <f>IFERROR(__xludf.DUMMYFUNCTION("""COMPUTED_VALUE"""),"17-02-2026")</f>
        <v>17-02-2026</v>
      </c>
      <c r="E640" s="65" t="str">
        <f>IFERROR(__xludf.DUMMYFUNCTION("""COMPUTED_VALUE"""),"Nataly Monar")</f>
        <v>Nataly Monar</v>
      </c>
      <c r="F640" s="65" t="str">
        <f>IFERROR(__xludf.DUMMYFUNCTION("""COMPUTED_VALUE"""),"983232323")</f>
        <v>983232323</v>
      </c>
      <c r="G640" s="65"/>
      <c r="H640" s="65"/>
      <c r="I640" s="65"/>
      <c r="J640" s="65" t="str">
        <f>IFERROR(__xludf.DUMMYFUNCTION("""COMPUTED_VALUE"""),"D001340289")</f>
        <v>D001340289</v>
      </c>
      <c r="K640" s="65" t="str">
        <f>IFERROR(__xludf.DUMMYFUNCTION("""COMPUTED_VALUE"""),"ENTREGADO")</f>
        <v>ENTREGADO</v>
      </c>
      <c r="L640" s="65" t="str">
        <f>IFERROR(__xludf.DUMMYFUNCTION("""COMPUTED_VALUE"""),"CON RECAUDO")</f>
        <v>CON RECAUDO</v>
      </c>
      <c r="M640" s="65" t="str">
        <f>IFERROR(__xludf.DUMMYFUNCTION("""COMPUTED_VALUE"""),"CHIMBORAZO")</f>
        <v>CHIMBORAZO</v>
      </c>
      <c r="N640" s="65" t="str">
        <f>IFERROR(__xludf.DUMMYFUNCTION("""COMPUTED_VALUE"""),"RIOBAMBA")</f>
        <v>RIOBAMBA</v>
      </c>
      <c r="O640" s="65" t="str">
        <f>IFERROR(__xludf.DUMMYFUNCTION("""COMPUTED_VALUE"""),"Riobamba y San Andrés, barrio La Primavera")</f>
        <v>Riobamba y San Andrés, barrio La Primavera</v>
      </c>
      <c r="P640" s="65"/>
      <c r="Q640" s="65" t="str">
        <f>IFERROR(__xludf.DUMMYFUNCTION("""COMPUTED_VALUE"""),"GINTRACOM")</f>
        <v>GINTRACOM</v>
      </c>
      <c r="R640" s="65">
        <f>IFERROR(__xludf.DUMMYFUNCTION("""COMPUTED_VALUE"""),25.0)</f>
        <v>25</v>
      </c>
      <c r="S640" s="65">
        <f>IFERROR(__xludf.DUMMYFUNCTION("""COMPUTED_VALUE"""),14.24)</f>
        <v>14.24</v>
      </c>
      <c r="T640" s="65">
        <f>IFERROR(__xludf.DUMMYFUNCTION("""COMPUTED_VALUE"""),5.96)</f>
        <v>5.96</v>
      </c>
      <c r="U640" s="65">
        <f>IFERROR(__xludf.DUMMYFUNCTION("""COMPUTED_VALUE"""),0.0)</f>
        <v>0</v>
      </c>
      <c r="V640" s="65">
        <f>IFERROR(__xludf.DUMMYFUNCTION("""COMPUTED_VALUE"""),0.0)</f>
        <v>0</v>
      </c>
      <c r="W640" s="65">
        <f>IFERROR(__xludf.DUMMYFUNCTION("""COMPUTED_VALUE"""),0.0)</f>
        <v>0</v>
      </c>
      <c r="X640" s="65">
        <f>IFERROR(__xludf.DUMMYFUNCTION("""COMPUTED_VALUE"""),2.4)</f>
        <v>2.4</v>
      </c>
      <c r="Y640" s="65">
        <f>IFERROR(__xludf.DUMMYFUNCTION("""COMPUTED_VALUE"""),4.8)</f>
        <v>4.8</v>
      </c>
      <c r="Z640" s="65">
        <f>IFERROR(__xludf.DUMMYFUNCTION("""COMPUTED_VALUE"""),120732.0)</f>
        <v>120732</v>
      </c>
      <c r="AA640" s="65" t="str">
        <f>IFERROR(__xludf.DUMMYFUNCTION("""COMPUTED_VALUE"""),"PROV-LMPVT")</f>
        <v>PROV-LMPVT</v>
      </c>
      <c r="AB640" s="65"/>
      <c r="AC640" s="65" t="str">
        <f>IFERROR(__xludf.DUMMYFUNCTION("""COMPUTED_VALUE"""),"LIMPIADOR DE PARABRISAS Y VENTANAS")</f>
        <v>LIMPIADOR DE PARABRISAS Y VENTANAS</v>
      </c>
      <c r="AD640" s="65"/>
      <c r="AE640" s="65">
        <f>IFERROR(__xludf.DUMMYFUNCTION("""COMPUTED_VALUE"""),2.0)</f>
        <v>2</v>
      </c>
      <c r="AF640" s="65"/>
      <c r="AG640" s="65"/>
      <c r="AH640" s="65"/>
      <c r="AI640" s="65"/>
      <c r="AJ640" s="65"/>
      <c r="AK640" s="65"/>
      <c r="AL640" s="65"/>
      <c r="AM640" s="65"/>
      <c r="AN640" s="65" t="str">
        <f>IFERROR(__xludf.DUMMYFUNCTION("""COMPUTED_VALUE"""),"11:19")</f>
        <v>11:19</v>
      </c>
      <c r="AO640" s="65" t="str">
        <f>IFERROR(__xludf.DUMMYFUNCTION("""COMPUTED_VALUE"""),"21-02-2026")</f>
        <v>21-02-2026</v>
      </c>
      <c r="AP640" s="65" t="str">
        <f>IFERROR(__xludf.DUMMYFUNCTION("""COMPUTED_VALUE"""),"ENTREGADA GINTRACOM")</f>
        <v>ENTREGADA GINTRACOM</v>
      </c>
      <c r="AQ640" s="65" t="str">
        <f>IFERROR(__xludf.DUMMYFUNCTION("""COMPUTED_VALUE"""),"ENTREGADA GINTRACOM")</f>
        <v>ENTREGADA GINTRACOM</v>
      </c>
      <c r="AR640" s="65"/>
      <c r="AS640" s="65"/>
      <c r="AT640" s="65" t="str">
        <f>IFERROR(__xludf.DUMMYFUNCTION("""COMPUTED_VALUE"""),"SHOPIFY")</f>
        <v>SHOPIFY</v>
      </c>
      <c r="AU640" s="65" t="str">
        <f>IFERROR(__xludf.DUMMYFUNCTION("""COMPUTED_VALUE"""),"IMPORTEX EC")</f>
        <v>IMPORTEX EC</v>
      </c>
      <c r="AV640" s="65" t="str">
        <f>IFERROR(__xludf.DUMMYFUNCTION("""COMPUTED_VALUE"""),"6511513239596")</f>
        <v>6511513239596</v>
      </c>
      <c r="AW640" s="65">
        <f>IFERROR(__xludf.DUMMYFUNCTION("""COMPUTED_VALUE"""),6245.0)</f>
        <v>6245</v>
      </c>
      <c r="AX640" s="65"/>
      <c r="AY640" s="65" t="str">
        <f>IFERROR(__xludf.DUMMYFUNCTION("""COMPUTED_VALUE"""),"19/02/2026")</f>
        <v>19/02/2026</v>
      </c>
      <c r="AZ640" s="65"/>
      <c r="BA640" s="65"/>
    </row>
    <row r="641">
      <c r="A641" s="65" t="str">
        <f>IFERROR(__xludf.DUMMYFUNCTION("""COMPUTED_VALUE"""),"27-03-2026")</f>
        <v>27-03-2026</v>
      </c>
      <c r="B641" s="65">
        <f>IFERROR(__xludf.DUMMYFUNCTION("""COMPUTED_VALUE"""),4535633.0)</f>
        <v>4535633</v>
      </c>
      <c r="C641" s="65" t="str">
        <f>IFERROR(__xludf.DUMMYFUNCTION("""COMPUTED_VALUE"""),"19:57")</f>
        <v>19:57</v>
      </c>
      <c r="D641" s="65" t="str">
        <f>IFERROR(__xludf.DUMMYFUNCTION("""COMPUTED_VALUE"""),"17-02-2026")</f>
        <v>17-02-2026</v>
      </c>
      <c r="E641" s="65" t="str">
        <f>IFERROR(__xludf.DUMMYFUNCTION("""COMPUTED_VALUE"""),"Ricardo velez")</f>
        <v>Ricardo velez</v>
      </c>
      <c r="F641" s="65" t="str">
        <f>IFERROR(__xludf.DUMMYFUNCTION("""COMPUTED_VALUE"""),"994991675")</f>
        <v>994991675</v>
      </c>
      <c r="G641" s="65" t="str">
        <f>IFERROR(__xludf.DUMMYFUNCTION("""COMPUTED_VALUE"""),"ricardojosevelez87@gmail.com")</f>
        <v>ricardojosevelez87@gmail.com</v>
      </c>
      <c r="H641" s="65"/>
      <c r="I641" s="65"/>
      <c r="J641" s="65"/>
      <c r="K641" s="65" t="str">
        <f>IFERROR(__xludf.DUMMYFUNCTION("""COMPUTED_VALUE"""),"CANCELADO")</f>
        <v>CANCELADO</v>
      </c>
      <c r="L641" s="65" t="str">
        <f>IFERROR(__xludf.DUMMYFUNCTION("""COMPUTED_VALUE"""),"CON RECAUDO")</f>
        <v>CON RECAUDO</v>
      </c>
      <c r="M641" s="65" t="str">
        <f>IFERROR(__xludf.DUMMYFUNCTION("""COMPUTED_VALUE"""),"LOS RIOS")</f>
        <v>LOS RIOS</v>
      </c>
      <c r="N641" s="65" t="str">
        <f>IFERROR(__xludf.DUMMYFUNCTION("""COMPUTED_VALUE"""),"QUEVEDO")</f>
        <v>QUEVEDO</v>
      </c>
      <c r="O641" s="65" t="str">
        <f>IFERROR(__xludf.DUMMYFUNCTION("""COMPUTED_VALUE"""),"Guayacam parque la familia Parque la familia servientrega -")</f>
        <v>Guayacam parque la familia Parque la familia servientrega -</v>
      </c>
      <c r="P641" s="65"/>
      <c r="Q641" s="65" t="str">
        <f>IFERROR(__xludf.DUMMYFUNCTION("""COMPUTED_VALUE"""),"GINTRACOM")</f>
        <v>GINTRACOM</v>
      </c>
      <c r="R641" s="65">
        <f>IFERROR(__xludf.DUMMYFUNCTION("""COMPUTED_VALUE"""),25.0)</f>
        <v>25</v>
      </c>
      <c r="S641" s="65"/>
      <c r="T641" s="65">
        <f>IFERROR(__xludf.DUMMYFUNCTION("""COMPUTED_VALUE"""),5.96)</f>
        <v>5.96</v>
      </c>
      <c r="U641" s="65">
        <f>IFERROR(__xludf.DUMMYFUNCTION("""COMPUTED_VALUE"""),0.0)</f>
        <v>0</v>
      </c>
      <c r="V641" s="65">
        <f>IFERROR(__xludf.DUMMYFUNCTION("""COMPUTED_VALUE"""),0.0)</f>
        <v>0</v>
      </c>
      <c r="W641" s="65">
        <f>IFERROR(__xludf.DUMMYFUNCTION("""COMPUTED_VALUE"""),0.0)</f>
        <v>0</v>
      </c>
      <c r="X641" s="65">
        <f>IFERROR(__xludf.DUMMYFUNCTION("""COMPUTED_VALUE"""),2.4)</f>
        <v>2.4</v>
      </c>
      <c r="Y641" s="65">
        <f>IFERROR(__xludf.DUMMYFUNCTION("""COMPUTED_VALUE"""),4.8)</f>
        <v>4.8</v>
      </c>
      <c r="Z641" s="65">
        <f>IFERROR(__xludf.DUMMYFUNCTION("""COMPUTED_VALUE"""),120732.0)</f>
        <v>120732</v>
      </c>
      <c r="AA641" s="65" t="str">
        <f>IFERROR(__xludf.DUMMYFUNCTION("""COMPUTED_VALUE"""),"PROV-LMPVT")</f>
        <v>PROV-LMPVT</v>
      </c>
      <c r="AB641" s="65"/>
      <c r="AC641" s="65" t="str">
        <f>IFERROR(__xludf.DUMMYFUNCTION("""COMPUTED_VALUE"""),"LIMPIADOR DE PARABRISAS Y VENTANAS")</f>
        <v>LIMPIADOR DE PARABRISAS Y VENTANAS</v>
      </c>
      <c r="AD641" s="65"/>
      <c r="AE641" s="65">
        <f>IFERROR(__xludf.DUMMYFUNCTION("""COMPUTED_VALUE"""),2.0)</f>
        <v>2</v>
      </c>
      <c r="AF641" s="65"/>
      <c r="AG641" s="65"/>
      <c r="AH641" s="65"/>
      <c r="AI641" s="65"/>
      <c r="AJ641" s="65"/>
      <c r="AK641" s="65"/>
      <c r="AL641" s="65"/>
      <c r="AM641" s="65"/>
      <c r="AN641" s="65"/>
      <c r="AO641" s="65"/>
      <c r="AP641" s="65"/>
      <c r="AQ641" s="65"/>
      <c r="AR641" s="65"/>
      <c r="AS641" s="65"/>
      <c r="AT641" s="65" t="str">
        <f>IFERROR(__xludf.DUMMYFUNCTION("""COMPUTED_VALUE"""),"SHOPIFY")</f>
        <v>SHOPIFY</v>
      </c>
      <c r="AU641" s="65" t="str">
        <f>IFERROR(__xludf.DUMMYFUNCTION("""COMPUTED_VALUE"""),"IMPORTEX EC")</f>
        <v>IMPORTEX EC</v>
      </c>
      <c r="AV641" s="65" t="str">
        <f>IFERROR(__xludf.DUMMYFUNCTION("""COMPUTED_VALUE"""),"6511285043244")</f>
        <v>6511285043244</v>
      </c>
      <c r="AW641" s="65">
        <f>IFERROR(__xludf.DUMMYFUNCTION("""COMPUTED_VALUE"""),6244.0)</f>
        <v>6244</v>
      </c>
      <c r="AX641" s="65"/>
      <c r="AY641" s="65"/>
      <c r="AZ641" s="65"/>
      <c r="BA641" s="65"/>
    </row>
    <row r="642">
      <c r="A642" s="65" t="str">
        <f>IFERROR(__xludf.DUMMYFUNCTION("""COMPUTED_VALUE"""),"27-03-2026")</f>
        <v>27-03-2026</v>
      </c>
      <c r="B642" s="65">
        <f>IFERROR(__xludf.DUMMYFUNCTION("""COMPUTED_VALUE"""),4535209.0)</f>
        <v>4535209</v>
      </c>
      <c r="C642" s="65" t="str">
        <f>IFERROR(__xludf.DUMMYFUNCTION("""COMPUTED_VALUE"""),"19:09")</f>
        <v>19:09</v>
      </c>
      <c r="D642" s="65" t="str">
        <f>IFERROR(__xludf.DUMMYFUNCTION("""COMPUTED_VALUE"""),"17-02-2026")</f>
        <v>17-02-2026</v>
      </c>
      <c r="E642" s="65" t="str">
        <f>IFERROR(__xludf.DUMMYFUNCTION("""COMPUTED_VALUE"""),"Elsa Bautista villacis")</f>
        <v>Elsa Bautista villacis</v>
      </c>
      <c r="F642" s="65" t="str">
        <f>IFERROR(__xludf.DUMMYFUNCTION("""COMPUTED_VALUE"""),"995076682")</f>
        <v>995076682</v>
      </c>
      <c r="G642" s="65" t="str">
        <f>IFERROR(__xludf.DUMMYFUNCTION("""COMPUTED_VALUE"""),"elsita64baytista@gimail.con")</f>
        <v>elsita64baytista@gimail.con</v>
      </c>
      <c r="H642" s="65"/>
      <c r="I642" s="65"/>
      <c r="J642" s="65" t="str">
        <f>IFERROR(__xludf.DUMMYFUNCTION("""COMPUTED_VALUE"""),"D001339521")</f>
        <v>D001339521</v>
      </c>
      <c r="K642" s="65" t="str">
        <f>IFERROR(__xludf.DUMMYFUNCTION("""COMPUTED_VALUE"""),"DEVOLUCION")</f>
        <v>DEVOLUCION</v>
      </c>
      <c r="L642" s="65" t="str">
        <f>IFERROR(__xludf.DUMMYFUNCTION("""COMPUTED_VALUE"""),"CON RECAUDO")</f>
        <v>CON RECAUDO</v>
      </c>
      <c r="M642" s="65" t="str">
        <f>IFERROR(__xludf.DUMMYFUNCTION("""COMPUTED_VALUE"""),"TUNGURAHUA")</f>
        <v>TUNGURAHUA</v>
      </c>
      <c r="N642" s="65" t="str">
        <f>IFERROR(__xludf.DUMMYFUNCTION("""COMPUTED_VALUE"""),"AMBATO")</f>
        <v>AMBATO</v>
      </c>
      <c r="O642" s="65" t="str">
        <f>IFERROR(__xludf.DUMMYFUNCTION("""COMPUTED_VALUE"""),"Avenida Manuela Saenz y California Guachi grande barrio San José -")</f>
        <v>Avenida Manuela Saenz y California Guachi grande barrio San José -</v>
      </c>
      <c r="P642" s="65"/>
      <c r="Q642" s="65" t="str">
        <f>IFERROR(__xludf.DUMMYFUNCTION("""COMPUTED_VALUE"""),"GINTRACOM")</f>
        <v>GINTRACOM</v>
      </c>
      <c r="R642" s="65">
        <f>IFERROR(__xludf.DUMMYFUNCTION("""COMPUTED_VALUE"""),22.0)</f>
        <v>22</v>
      </c>
      <c r="S642" s="65"/>
      <c r="T642" s="65">
        <f>IFERROR(__xludf.DUMMYFUNCTION("""COMPUTED_VALUE"""),5.84)</f>
        <v>5.84</v>
      </c>
      <c r="U642" s="65">
        <f>IFERROR(__xludf.DUMMYFUNCTION("""COMPUTED_VALUE"""),0.0)</f>
        <v>0</v>
      </c>
      <c r="V642" s="65">
        <f>IFERROR(__xludf.DUMMYFUNCTION("""COMPUTED_VALUE"""),0.0)</f>
        <v>0</v>
      </c>
      <c r="W642" s="65">
        <f>IFERROR(__xludf.DUMMYFUNCTION("""COMPUTED_VALUE"""),0.0)</f>
        <v>0</v>
      </c>
      <c r="X642" s="65">
        <f>IFERROR(__xludf.DUMMYFUNCTION("""COMPUTED_VALUE"""),3.75)</f>
        <v>3.75</v>
      </c>
      <c r="Y642" s="65">
        <f>IFERROR(__xludf.DUMMYFUNCTION("""COMPUTED_VALUE"""),7.5)</f>
        <v>7.5</v>
      </c>
      <c r="Z642" s="65">
        <f>IFERROR(__xludf.DUMMYFUNCTION("""COMPUTED_VALUE"""),113116.0)</f>
        <v>113116</v>
      </c>
      <c r="AA642" s="65" t="str">
        <f>IFERROR(__xludf.DUMMYFUNCTION("""COMPUTED_VALUE"""),"IM-TAZAKI")</f>
        <v>IM-TAZAKI</v>
      </c>
      <c r="AB642" s="65"/>
      <c r="AC642" s="65" t="str">
        <f>IFERROR(__xludf.DUMMYFUNCTION("""COMPUTED_VALUE"""),"Cuchillo tazaki")</f>
        <v>Cuchillo tazaki</v>
      </c>
      <c r="AD642" s="65"/>
      <c r="AE642" s="65">
        <f>IFERROR(__xludf.DUMMYFUNCTION("""COMPUTED_VALUE"""),2.0)</f>
        <v>2</v>
      </c>
      <c r="AF642" s="65" t="str">
        <f>IFERROR(__xludf.DUMMYFUNCTION("""COMPUTED_VALUE"""),"DESTINATARIO INDICA QUE YA NO DESEA EL PRODUCTO")</f>
        <v>DESTINATARIO INDICA QUE YA NO DESEA EL PRODUCTO</v>
      </c>
      <c r="AG642" s="65" t="str">
        <f>IFERROR(__xludf.DUMMYFUNCTION("""COMPUTED_VALUE"""),"NO")</f>
        <v>NO</v>
      </c>
      <c r="AH642" s="65" t="str">
        <f>IFERROR(__xludf.DUMMYFUNCTION("""COMPUTED_VALUE"""),"09:02")</f>
        <v>09:02</v>
      </c>
      <c r="AI642" s="65" t="str">
        <f>IFERROR(__xludf.DUMMYFUNCTION("""COMPUTED_VALUE"""),"27-02-2026")</f>
        <v>27-02-2026</v>
      </c>
      <c r="AJ642" s="65"/>
      <c r="AK642" s="65"/>
      <c r="AL642" s="65"/>
      <c r="AM642" s="65"/>
      <c r="AN642" s="65" t="str">
        <f>IFERROR(__xludf.DUMMYFUNCTION("""COMPUTED_VALUE"""),"12:18")</f>
        <v>12:18</v>
      </c>
      <c r="AO642" s="65" t="str">
        <f>IFERROR(__xludf.DUMMYFUNCTION("""COMPUTED_VALUE"""),"10-03-2026")</f>
        <v>10-03-2026</v>
      </c>
      <c r="AP642" s="65" t="str">
        <f>IFERROR(__xludf.DUMMYFUNCTION("""COMPUTED_VALUE"""),"DEVOLUCIÓN ENTREGADA A ORIGEN")</f>
        <v>DEVOLUCIÓN ENTREGADA A ORIGEN</v>
      </c>
      <c r="AQ642" s="65" t="str">
        <f>IFERROR(__xludf.DUMMYFUNCTION("""COMPUTED_VALUE"""),"DEVOLUCIÓN ENTREGADA A ORIGEN")</f>
        <v>DEVOLUCIÓN ENTREGADA A ORIGEN</v>
      </c>
      <c r="AR642" s="65"/>
      <c r="AS642" s="65"/>
      <c r="AT642" s="65" t="str">
        <f>IFERROR(__xludf.DUMMYFUNCTION("""COMPUTED_VALUE"""),"SHOPIFY")</f>
        <v>SHOPIFY</v>
      </c>
      <c r="AU642" s="65" t="str">
        <f>IFERROR(__xludf.DUMMYFUNCTION("""COMPUTED_VALUE"""),"IMPORTEX EC")</f>
        <v>IMPORTEX EC</v>
      </c>
      <c r="AV642" s="65" t="str">
        <f>IFERROR(__xludf.DUMMYFUNCTION("""COMPUTED_VALUE"""),"6511203057708")</f>
        <v>6511203057708</v>
      </c>
      <c r="AW642" s="65">
        <f>IFERROR(__xludf.DUMMYFUNCTION("""COMPUTED_VALUE"""),6243.0)</f>
        <v>6243</v>
      </c>
      <c r="AX642" s="65"/>
      <c r="AY642" s="65" t="str">
        <f>IFERROR(__xludf.DUMMYFUNCTION("""COMPUTED_VALUE"""),"19/02/2026")</f>
        <v>19/02/2026</v>
      </c>
      <c r="AZ642" s="65"/>
      <c r="BA642" s="65"/>
    </row>
    <row r="643">
      <c r="A643" s="65" t="str">
        <f>IFERROR(__xludf.DUMMYFUNCTION("""COMPUTED_VALUE"""),"27-03-2026")</f>
        <v>27-03-2026</v>
      </c>
      <c r="B643" s="65">
        <f>IFERROR(__xludf.DUMMYFUNCTION("""COMPUTED_VALUE"""),4535081.0)</f>
        <v>4535081</v>
      </c>
      <c r="C643" s="65" t="str">
        <f>IFERROR(__xludf.DUMMYFUNCTION("""COMPUTED_VALUE"""),"18:54")</f>
        <v>18:54</v>
      </c>
      <c r="D643" s="65" t="str">
        <f>IFERROR(__xludf.DUMMYFUNCTION("""COMPUTED_VALUE"""),"17-02-2026")</f>
        <v>17-02-2026</v>
      </c>
      <c r="E643" s="65" t="str">
        <f>IFERROR(__xludf.DUMMYFUNCTION("""COMPUTED_VALUE"""),"Luis Mendez")</f>
        <v>Luis Mendez</v>
      </c>
      <c r="F643" s="65" t="str">
        <f>IFERROR(__xludf.DUMMYFUNCTION("""COMPUTED_VALUE"""),"989823525")</f>
        <v>989823525</v>
      </c>
      <c r="G643" s="65"/>
      <c r="H643" s="65"/>
      <c r="I643" s="65"/>
      <c r="J643" s="65" t="str">
        <f>IFERROR(__xludf.DUMMYFUNCTION("""COMPUTED_VALUE"""),"D001340292")</f>
        <v>D001340292</v>
      </c>
      <c r="K643" s="65" t="str">
        <f>IFERROR(__xludf.DUMMYFUNCTION("""COMPUTED_VALUE"""),"ENTREGADO")</f>
        <v>ENTREGADO</v>
      </c>
      <c r="L643" s="65" t="str">
        <f>IFERROR(__xludf.DUMMYFUNCTION("""COMPUTED_VALUE"""),"CON RECAUDO")</f>
        <v>CON RECAUDO</v>
      </c>
      <c r="M643" s="65" t="str">
        <f>IFERROR(__xludf.DUMMYFUNCTION("""COMPUTED_VALUE"""),"SANTA ELENA")</f>
        <v>SANTA ELENA</v>
      </c>
      <c r="N643" s="65" t="str">
        <f>IFERROR(__xludf.DUMMYFUNCTION("""COMPUTED_VALUE"""),"SALINAS")</f>
        <v>SALINAS</v>
      </c>
      <c r="O643" s="65" t="str">
        <f>IFERROR(__xludf.DUMMYFUNCTION("""COMPUTED_VALUE"""),"calle atahualpa Y Av Eduardo Aspiazu  - hospital de la FAE")</f>
        <v>calle atahualpa Y Av Eduardo Aspiazu  - hospital de la FAE</v>
      </c>
      <c r="P643" s="65"/>
      <c r="Q643" s="65" t="str">
        <f>IFERROR(__xludf.DUMMYFUNCTION("""COMPUTED_VALUE"""),"GINTRACOM")</f>
        <v>GINTRACOM</v>
      </c>
      <c r="R643" s="65">
        <f>IFERROR(__xludf.DUMMYFUNCTION("""COMPUTED_VALUE"""),25.0)</f>
        <v>25</v>
      </c>
      <c r="S643" s="65">
        <f>IFERROR(__xludf.DUMMYFUNCTION("""COMPUTED_VALUE"""),13.67)</f>
        <v>13.67</v>
      </c>
      <c r="T643" s="65">
        <f>IFERROR(__xludf.DUMMYFUNCTION("""COMPUTED_VALUE"""),6.53)</f>
        <v>6.53</v>
      </c>
      <c r="U643" s="65">
        <f>IFERROR(__xludf.DUMMYFUNCTION("""COMPUTED_VALUE"""),0.0)</f>
        <v>0</v>
      </c>
      <c r="V643" s="65">
        <f>IFERROR(__xludf.DUMMYFUNCTION("""COMPUTED_VALUE"""),0.0)</f>
        <v>0</v>
      </c>
      <c r="W643" s="65">
        <f>IFERROR(__xludf.DUMMYFUNCTION("""COMPUTED_VALUE"""),0.0)</f>
        <v>0</v>
      </c>
      <c r="X643" s="65">
        <f>IFERROR(__xludf.DUMMYFUNCTION("""COMPUTED_VALUE"""),2.4)</f>
        <v>2.4</v>
      </c>
      <c r="Y643" s="65">
        <f>IFERROR(__xludf.DUMMYFUNCTION("""COMPUTED_VALUE"""),4.8)</f>
        <v>4.8</v>
      </c>
      <c r="Z643" s="65">
        <f>IFERROR(__xludf.DUMMYFUNCTION("""COMPUTED_VALUE"""),120732.0)</f>
        <v>120732</v>
      </c>
      <c r="AA643" s="65" t="str">
        <f>IFERROR(__xludf.DUMMYFUNCTION("""COMPUTED_VALUE"""),"PROV-LMPVT")</f>
        <v>PROV-LMPVT</v>
      </c>
      <c r="AB643" s="65"/>
      <c r="AC643" s="65" t="str">
        <f>IFERROR(__xludf.DUMMYFUNCTION("""COMPUTED_VALUE"""),"LIMPIADOR DE PARABRISAS Y VENTANAS")</f>
        <v>LIMPIADOR DE PARABRISAS Y VENTANAS</v>
      </c>
      <c r="AD643" s="65"/>
      <c r="AE643" s="65">
        <f>IFERROR(__xludf.DUMMYFUNCTION("""COMPUTED_VALUE"""),2.0)</f>
        <v>2</v>
      </c>
      <c r="AF643" s="65" t="str">
        <f>IFERROR(__xludf.DUMMYFUNCTION("""COMPUTED_VALUE"""),"DESTINATARIO AGENDA, FECHA Y HORA DE ENTREGA Y YA NO CONTESTA")</f>
        <v>DESTINATARIO AGENDA, FECHA Y HORA DE ENTREGA Y YA NO CONTESTA</v>
      </c>
      <c r="AG643" s="65" t="str">
        <f>IFERROR(__xludf.DUMMYFUNCTION("""COMPUTED_VALUE"""),"SI")</f>
        <v>SI</v>
      </c>
      <c r="AH643" s="65" t="str">
        <f>IFERROR(__xludf.DUMMYFUNCTION("""COMPUTED_VALUE"""),"19:05")</f>
        <v>19:05</v>
      </c>
      <c r="AI643" s="65" t="str">
        <f>IFERROR(__xludf.DUMMYFUNCTION("""COMPUTED_VALUE"""),"23-02-2026")</f>
        <v>23-02-2026</v>
      </c>
      <c r="AJ643" s="65" t="str">
        <f>IFERROR(__xludf.DUMMYFUNCTION("""COMPUTED_VALUE"""),"CLIENTE SOLICITA LA ENTREGA INMEDIATA , NO SE HAN COMUNICADO")</f>
        <v>CLIENTE SOLICITA LA ENTREGA INMEDIATA , NO SE HAN COMUNICADO</v>
      </c>
      <c r="AK643" s="65" t="str">
        <f>IFERROR(__xludf.DUMMYFUNCTION("""COMPUTED_VALUE"""),"11:06")</f>
        <v>11:06</v>
      </c>
      <c r="AL643" s="65" t="str">
        <f>IFERROR(__xludf.DUMMYFUNCTION("""COMPUTED_VALUE"""),"24-02-2026")</f>
        <v>24-02-2026</v>
      </c>
      <c r="AM643" s="65"/>
      <c r="AN643" s="65" t="str">
        <f>IFERROR(__xludf.DUMMYFUNCTION("""COMPUTED_VALUE"""),"13:12")</f>
        <v>13:12</v>
      </c>
      <c r="AO643" s="65" t="str">
        <f>IFERROR(__xludf.DUMMYFUNCTION("""COMPUTED_VALUE"""),"26-02-2026")</f>
        <v>26-02-2026</v>
      </c>
      <c r="AP643" s="65" t="str">
        <f>IFERROR(__xludf.DUMMYFUNCTION("""COMPUTED_VALUE"""),"ENTREGADA GINTRACOM")</f>
        <v>ENTREGADA GINTRACOM</v>
      </c>
      <c r="AQ643" s="65" t="str">
        <f>IFERROR(__xludf.DUMMYFUNCTION("""COMPUTED_VALUE"""),"ENTREGADA GINTRACOM")</f>
        <v>ENTREGADA GINTRACOM</v>
      </c>
      <c r="AR643" s="65"/>
      <c r="AS643" s="65"/>
      <c r="AT643" s="65" t="str">
        <f>IFERROR(__xludf.DUMMYFUNCTION("""COMPUTED_VALUE"""),"SHOPIFY")</f>
        <v>SHOPIFY</v>
      </c>
      <c r="AU643" s="65" t="str">
        <f>IFERROR(__xludf.DUMMYFUNCTION("""COMPUTED_VALUE"""),"IMPORTEX EC")</f>
        <v>IMPORTEX EC</v>
      </c>
      <c r="AV643" s="65" t="str">
        <f>IFERROR(__xludf.DUMMYFUNCTION("""COMPUTED_VALUE"""),"6511175335980")</f>
        <v>6511175335980</v>
      </c>
      <c r="AW643" s="65">
        <f>IFERROR(__xludf.DUMMYFUNCTION("""COMPUTED_VALUE"""),6242.0)</f>
        <v>6242</v>
      </c>
      <c r="AX643" s="65"/>
      <c r="AY643" s="65" t="str">
        <f>IFERROR(__xludf.DUMMYFUNCTION("""COMPUTED_VALUE"""),"19/02/2026")</f>
        <v>19/02/2026</v>
      </c>
      <c r="AZ643" s="65"/>
      <c r="BA643" s="65"/>
    </row>
    <row r="644">
      <c r="A644" s="65" t="str">
        <f>IFERROR(__xludf.DUMMYFUNCTION("""COMPUTED_VALUE"""),"27-03-2026")</f>
        <v>27-03-2026</v>
      </c>
      <c r="B644" s="65">
        <f>IFERROR(__xludf.DUMMYFUNCTION("""COMPUTED_VALUE"""),4534603.0)</f>
        <v>4534603</v>
      </c>
      <c r="C644" s="65" t="str">
        <f>IFERROR(__xludf.DUMMYFUNCTION("""COMPUTED_VALUE"""),"17:54")</f>
        <v>17:54</v>
      </c>
      <c r="D644" s="65" t="str">
        <f>IFERROR(__xludf.DUMMYFUNCTION("""COMPUTED_VALUE"""),"17-02-2026")</f>
        <v>17-02-2026</v>
      </c>
      <c r="E644" s="65" t="str">
        <f>IFERROR(__xludf.DUMMYFUNCTION("""COMPUTED_VALUE"""),"Ricardo Morocho")</f>
        <v>Ricardo Morocho</v>
      </c>
      <c r="F644" s="65" t="str">
        <f>IFERROR(__xludf.DUMMYFUNCTION("""COMPUTED_VALUE"""),"939625693")</f>
        <v>939625693</v>
      </c>
      <c r="G644" s="65" t="str">
        <f>IFERROR(__xludf.DUMMYFUNCTION("""COMPUTED_VALUE"""),"ricardomorochosolis@gmail.com")</f>
        <v>ricardomorochosolis@gmail.com</v>
      </c>
      <c r="H644" s="65"/>
      <c r="I644" s="65"/>
      <c r="J644" s="65"/>
      <c r="K644" s="65" t="str">
        <f>IFERROR(__xludf.DUMMYFUNCTION("""COMPUTED_VALUE"""),"PENDIENTE CONFIRMACION")</f>
        <v>PENDIENTE CONFIRMACION</v>
      </c>
      <c r="L644" s="65" t="str">
        <f>IFERROR(__xludf.DUMMYFUNCTION("""COMPUTED_VALUE"""),"CON RECAUDO")</f>
        <v>CON RECAUDO</v>
      </c>
      <c r="M644" s="65" t="str">
        <f>IFERROR(__xludf.DUMMYFUNCTION("""COMPUTED_VALUE"""),"GUAYAS")</f>
        <v>GUAYAS</v>
      </c>
      <c r="N644" s="65" t="str">
        <f>IFERROR(__xludf.DUMMYFUNCTION("""COMPUTED_VALUE"""),"VIRGEN DE FATIMA KM 26")</f>
        <v>VIRGEN DE FATIMA KM 26</v>
      </c>
      <c r="O644" s="65" t="str">
        <f>IFERROR(__xludf.DUMMYFUNCTION("""COMPUTED_VALUE"""),"Calle primera y 1ra entrada Rcto buena fe -")</f>
        <v>Calle primera y 1ra entrada Rcto buena fe -</v>
      </c>
      <c r="P644" s="65"/>
      <c r="Q644" s="65" t="str">
        <f>IFERROR(__xludf.DUMMYFUNCTION("""COMPUTED_VALUE"""),"LAARCOURIER")</f>
        <v>LAARCOURIER</v>
      </c>
      <c r="R644" s="65">
        <f>IFERROR(__xludf.DUMMYFUNCTION("""COMPUTED_VALUE"""),30.0)</f>
        <v>30</v>
      </c>
      <c r="S644" s="65"/>
      <c r="T644" s="65">
        <f>IFERROR(__xludf.DUMMYFUNCTION("""COMPUTED_VALUE"""),7.48)</f>
        <v>7.48</v>
      </c>
      <c r="U644" s="65">
        <f>IFERROR(__xludf.DUMMYFUNCTION("""COMPUTED_VALUE"""),0.0)</f>
        <v>0</v>
      </c>
      <c r="V644" s="65">
        <f>IFERROR(__xludf.DUMMYFUNCTION("""COMPUTED_VALUE"""),0.0)</f>
        <v>0</v>
      </c>
      <c r="W644" s="65">
        <f>IFERROR(__xludf.DUMMYFUNCTION("""COMPUTED_VALUE"""),0.0)</f>
        <v>0</v>
      </c>
      <c r="X644" s="65">
        <f>IFERROR(__xludf.DUMMYFUNCTION("""COMPUTED_VALUE"""),2.4)</f>
        <v>2.4</v>
      </c>
      <c r="Y644" s="65">
        <f>IFERROR(__xludf.DUMMYFUNCTION("""COMPUTED_VALUE"""),7.2)</f>
        <v>7.2</v>
      </c>
      <c r="Z644" s="65">
        <f>IFERROR(__xludf.DUMMYFUNCTION("""COMPUTED_VALUE"""),120732.0)</f>
        <v>120732</v>
      </c>
      <c r="AA644" s="65" t="str">
        <f>IFERROR(__xludf.DUMMYFUNCTION("""COMPUTED_VALUE"""),"PROV-LMPVT")</f>
        <v>PROV-LMPVT</v>
      </c>
      <c r="AB644" s="65"/>
      <c r="AC644" s="65" t="str">
        <f>IFERROR(__xludf.DUMMYFUNCTION("""COMPUTED_VALUE"""),"LIMPIADOR DE PARABRISAS Y VENTANAS")</f>
        <v>LIMPIADOR DE PARABRISAS Y VENTANAS</v>
      </c>
      <c r="AD644" s="65"/>
      <c r="AE644" s="65">
        <f>IFERROR(__xludf.DUMMYFUNCTION("""COMPUTED_VALUE"""),3.0)</f>
        <v>3</v>
      </c>
      <c r="AF644" s="65"/>
      <c r="AG644" s="65"/>
      <c r="AH644" s="65"/>
      <c r="AI644" s="65"/>
      <c r="AJ644" s="65"/>
      <c r="AK644" s="65"/>
      <c r="AL644" s="65"/>
      <c r="AM644" s="65"/>
      <c r="AN644" s="65"/>
      <c r="AO644" s="65"/>
      <c r="AP644" s="65"/>
      <c r="AQ644" s="65"/>
      <c r="AR644" s="65"/>
      <c r="AS644" s="65"/>
      <c r="AT644" s="65" t="str">
        <f>IFERROR(__xludf.DUMMYFUNCTION("""COMPUTED_VALUE"""),"SHOPIFY")</f>
        <v>SHOPIFY</v>
      </c>
      <c r="AU644" s="65" t="str">
        <f>IFERROR(__xludf.DUMMYFUNCTION("""COMPUTED_VALUE"""),"IMPORTEX EC")</f>
        <v>IMPORTEX EC</v>
      </c>
      <c r="AV644" s="65" t="str">
        <f>IFERROR(__xludf.DUMMYFUNCTION("""COMPUTED_VALUE"""),"6511066415148")</f>
        <v>6511066415148</v>
      </c>
      <c r="AW644" s="65">
        <f>IFERROR(__xludf.DUMMYFUNCTION("""COMPUTED_VALUE"""),6241.0)</f>
        <v>6241</v>
      </c>
      <c r="AX644" s="65"/>
      <c r="AY644" s="65"/>
      <c r="AZ644" s="65"/>
      <c r="BA644" s="65"/>
    </row>
    <row r="645">
      <c r="A645" s="65" t="str">
        <f>IFERROR(__xludf.DUMMYFUNCTION("""COMPUTED_VALUE"""),"27-03-2026")</f>
        <v>27-03-2026</v>
      </c>
      <c r="B645" s="65">
        <f>IFERROR(__xludf.DUMMYFUNCTION("""COMPUTED_VALUE"""),4534477.0)</f>
        <v>4534477</v>
      </c>
      <c r="C645" s="65" t="str">
        <f>IFERROR(__xludf.DUMMYFUNCTION("""COMPUTED_VALUE"""),"17:40")</f>
        <v>17:40</v>
      </c>
      <c r="D645" s="65" t="str">
        <f>IFERROR(__xludf.DUMMYFUNCTION("""COMPUTED_VALUE"""),"17-02-2026")</f>
        <v>17-02-2026</v>
      </c>
      <c r="E645" s="65" t="str">
        <f>IFERROR(__xludf.DUMMYFUNCTION("""COMPUTED_VALUE"""),"Gloria Velasco Velasco")</f>
        <v>Gloria Velasco Velasco</v>
      </c>
      <c r="F645" s="65" t="str">
        <f>IFERROR(__xludf.DUMMYFUNCTION("""COMPUTED_VALUE"""),"980667892")</f>
        <v>980667892</v>
      </c>
      <c r="G645" s="65" t="str">
        <f>IFERROR(__xludf.DUMMYFUNCTION("""COMPUTED_VALUE"""),"velascogloria20@gmail.com")</f>
        <v>velascogloria20@gmail.com</v>
      </c>
      <c r="H645" s="65"/>
      <c r="I645" s="65"/>
      <c r="J645" s="65"/>
      <c r="K645" s="65" t="str">
        <f>IFERROR(__xludf.DUMMYFUNCTION("""COMPUTED_VALUE"""),"CANCELADO")</f>
        <v>CANCELADO</v>
      </c>
      <c r="L645" s="65" t="str">
        <f>IFERROR(__xludf.DUMMYFUNCTION("""COMPUTED_VALUE"""),"CON RECAUDO")</f>
        <v>CON RECAUDO</v>
      </c>
      <c r="M645" s="65" t="str">
        <f>IFERROR(__xludf.DUMMYFUNCTION("""COMPUTED_VALUE"""),"PICHINCHA")</f>
        <v>PICHINCHA</v>
      </c>
      <c r="N645" s="65" t="str">
        <f>IFERROR(__xludf.DUMMYFUNCTION("""COMPUTED_VALUE"""),"TUMBACO")</f>
        <v>TUMBACO</v>
      </c>
      <c r="O645" s="65" t="str">
        <f>IFERROR(__xludf.DUMMYFUNCTION("""COMPUTED_VALUE"""),"Avenida interoceánica kilómetro 19 Local de tejas -")</f>
        <v>Avenida interoceánica kilómetro 19 Local de tejas -</v>
      </c>
      <c r="P645" s="65"/>
      <c r="Q645" s="65" t="str">
        <f>IFERROR(__xludf.DUMMYFUNCTION("""COMPUTED_VALUE"""),"GINTRACOM")</f>
        <v>GINTRACOM</v>
      </c>
      <c r="R645" s="65">
        <f>IFERROR(__xludf.DUMMYFUNCTION("""COMPUTED_VALUE"""),22.0)</f>
        <v>22</v>
      </c>
      <c r="S645" s="65"/>
      <c r="T645" s="65">
        <f>IFERROR(__xludf.DUMMYFUNCTION("""COMPUTED_VALUE"""),4.8)</f>
        <v>4.8</v>
      </c>
      <c r="U645" s="65">
        <f>IFERROR(__xludf.DUMMYFUNCTION("""COMPUTED_VALUE"""),0.0)</f>
        <v>0</v>
      </c>
      <c r="V645" s="65">
        <f>IFERROR(__xludf.DUMMYFUNCTION("""COMPUTED_VALUE"""),0.0)</f>
        <v>0</v>
      </c>
      <c r="W645" s="65">
        <f>IFERROR(__xludf.DUMMYFUNCTION("""COMPUTED_VALUE"""),0.0)</f>
        <v>0</v>
      </c>
      <c r="X645" s="65">
        <f>IFERROR(__xludf.DUMMYFUNCTION("""COMPUTED_VALUE"""),3.75)</f>
        <v>3.75</v>
      </c>
      <c r="Y645" s="65">
        <f>IFERROR(__xludf.DUMMYFUNCTION("""COMPUTED_VALUE"""),7.5)</f>
        <v>7.5</v>
      </c>
      <c r="Z645" s="65">
        <f>IFERROR(__xludf.DUMMYFUNCTION("""COMPUTED_VALUE"""),113116.0)</f>
        <v>113116</v>
      </c>
      <c r="AA645" s="65" t="str">
        <f>IFERROR(__xludf.DUMMYFUNCTION("""COMPUTED_VALUE"""),"IM-TAZAKI")</f>
        <v>IM-TAZAKI</v>
      </c>
      <c r="AB645" s="65"/>
      <c r="AC645" s="65" t="str">
        <f>IFERROR(__xludf.DUMMYFUNCTION("""COMPUTED_VALUE"""),"Cuchillo tazaki")</f>
        <v>Cuchillo tazaki</v>
      </c>
      <c r="AD645" s="65"/>
      <c r="AE645" s="65">
        <f>IFERROR(__xludf.DUMMYFUNCTION("""COMPUTED_VALUE"""),2.0)</f>
        <v>2</v>
      </c>
      <c r="AF645" s="65"/>
      <c r="AG645" s="65"/>
      <c r="AH645" s="65"/>
      <c r="AI645" s="65"/>
      <c r="AJ645" s="65"/>
      <c r="AK645" s="65"/>
      <c r="AL645" s="65"/>
      <c r="AM645" s="65"/>
      <c r="AN645" s="65"/>
      <c r="AO645" s="65"/>
      <c r="AP645" s="65"/>
      <c r="AQ645" s="65"/>
      <c r="AR645" s="65"/>
      <c r="AS645" s="65"/>
      <c r="AT645" s="65" t="str">
        <f>IFERROR(__xludf.DUMMYFUNCTION("""COMPUTED_VALUE"""),"SHOPIFY")</f>
        <v>SHOPIFY</v>
      </c>
      <c r="AU645" s="65" t="str">
        <f>IFERROR(__xludf.DUMMYFUNCTION("""COMPUTED_VALUE"""),"IMPORTEX EC")</f>
        <v>IMPORTEX EC</v>
      </c>
      <c r="AV645" s="65" t="str">
        <f>IFERROR(__xludf.DUMMYFUNCTION("""COMPUTED_VALUE"""),"6511039479852")</f>
        <v>6511039479852</v>
      </c>
      <c r="AW645" s="65">
        <f>IFERROR(__xludf.DUMMYFUNCTION("""COMPUTED_VALUE"""),6240.0)</f>
        <v>6240</v>
      </c>
      <c r="AX645" s="65"/>
      <c r="AY645" s="65"/>
      <c r="AZ645" s="65"/>
      <c r="BA645" s="65"/>
    </row>
    <row r="646">
      <c r="A646" s="65" t="str">
        <f>IFERROR(__xludf.DUMMYFUNCTION("""COMPUTED_VALUE"""),"27-03-2026")</f>
        <v>27-03-2026</v>
      </c>
      <c r="B646" s="65">
        <f>IFERROR(__xludf.DUMMYFUNCTION("""COMPUTED_VALUE"""),4534334.0)</f>
        <v>4534334</v>
      </c>
      <c r="C646" s="65" t="str">
        <f>IFERROR(__xludf.DUMMYFUNCTION("""COMPUTED_VALUE"""),"17:18")</f>
        <v>17:18</v>
      </c>
      <c r="D646" s="65" t="str">
        <f>IFERROR(__xludf.DUMMYFUNCTION("""COMPUTED_VALUE"""),"17-02-2026")</f>
        <v>17-02-2026</v>
      </c>
      <c r="E646" s="65" t="str">
        <f>IFERROR(__xludf.DUMMYFUNCTION("""COMPUTED_VALUE"""),"Manuel Cabrera")</f>
        <v>Manuel Cabrera</v>
      </c>
      <c r="F646" s="65" t="str">
        <f>IFERROR(__xludf.DUMMYFUNCTION("""COMPUTED_VALUE"""),"982379253")</f>
        <v>982379253</v>
      </c>
      <c r="G646" s="65"/>
      <c r="H646" s="65"/>
      <c r="I646" s="65"/>
      <c r="J646" s="65" t="str">
        <f>IFERROR(__xludf.DUMMYFUNCTION("""COMPUTED_VALUE"""),"D001339529")</f>
        <v>D001339529</v>
      </c>
      <c r="K646" s="65" t="str">
        <f>IFERROR(__xludf.DUMMYFUNCTION("""COMPUTED_VALUE"""),"ENTREGADO")</f>
        <v>ENTREGADO</v>
      </c>
      <c r="L646" s="65" t="str">
        <f>IFERROR(__xludf.DUMMYFUNCTION("""COMPUTED_VALUE"""),"CON RECAUDO")</f>
        <v>CON RECAUDO</v>
      </c>
      <c r="M646" s="65" t="str">
        <f>IFERROR(__xludf.DUMMYFUNCTION("""COMPUTED_VALUE"""),"GUAYAS")</f>
        <v>GUAYAS</v>
      </c>
      <c r="N646" s="65" t="str">
        <f>IFERROR(__xludf.DUMMYFUNCTION("""COMPUTED_VALUE"""),"GUAYAQUIL")</f>
        <v>GUAYAQUIL</v>
      </c>
      <c r="O646" s="65" t="str">
        <f>IFERROR(__xludf.DUMMYFUNCTION("""COMPUTED_VALUE"""),"Km 19.5 via daule Frente a ciudad Santiago CDE Difare (Leterago del Ecuador) -")</f>
        <v>Km 19.5 via daule Frente a ciudad Santiago CDE Difare (Leterago del Ecuador) -</v>
      </c>
      <c r="P646" s="65"/>
      <c r="Q646" s="65" t="str">
        <f>IFERROR(__xludf.DUMMYFUNCTION("""COMPUTED_VALUE"""),"GINTRACOM")</f>
        <v>GINTRACOM</v>
      </c>
      <c r="R646" s="65">
        <f>IFERROR(__xludf.DUMMYFUNCTION("""COMPUTED_VALUE"""),22.0)</f>
        <v>22</v>
      </c>
      <c r="S646" s="65">
        <f>IFERROR(__xludf.DUMMYFUNCTION("""COMPUTED_VALUE"""),8.66)</f>
        <v>8.66</v>
      </c>
      <c r="T646" s="65">
        <f>IFERROR(__xludf.DUMMYFUNCTION("""COMPUTED_VALUE"""),5.84)</f>
        <v>5.84</v>
      </c>
      <c r="U646" s="65">
        <f>IFERROR(__xludf.DUMMYFUNCTION("""COMPUTED_VALUE"""),0.0)</f>
        <v>0</v>
      </c>
      <c r="V646" s="65">
        <f>IFERROR(__xludf.DUMMYFUNCTION("""COMPUTED_VALUE"""),0.0)</f>
        <v>0</v>
      </c>
      <c r="W646" s="65">
        <f>IFERROR(__xludf.DUMMYFUNCTION("""COMPUTED_VALUE"""),0.0)</f>
        <v>0</v>
      </c>
      <c r="X646" s="65">
        <f>IFERROR(__xludf.DUMMYFUNCTION("""COMPUTED_VALUE"""),3.75)</f>
        <v>3.75</v>
      </c>
      <c r="Y646" s="65">
        <f>IFERROR(__xludf.DUMMYFUNCTION("""COMPUTED_VALUE"""),7.5)</f>
        <v>7.5</v>
      </c>
      <c r="Z646" s="65">
        <f>IFERROR(__xludf.DUMMYFUNCTION("""COMPUTED_VALUE"""),113116.0)</f>
        <v>113116</v>
      </c>
      <c r="AA646" s="65" t="str">
        <f>IFERROR(__xludf.DUMMYFUNCTION("""COMPUTED_VALUE"""),"IM-TAZAKI")</f>
        <v>IM-TAZAKI</v>
      </c>
      <c r="AB646" s="65"/>
      <c r="AC646" s="65" t="str">
        <f>IFERROR(__xludf.DUMMYFUNCTION("""COMPUTED_VALUE"""),"Cuchillo tazaki")</f>
        <v>Cuchillo tazaki</v>
      </c>
      <c r="AD646" s="65"/>
      <c r="AE646" s="65">
        <f>IFERROR(__xludf.DUMMYFUNCTION("""COMPUTED_VALUE"""),2.0)</f>
        <v>2</v>
      </c>
      <c r="AF646" s="65"/>
      <c r="AG646" s="65"/>
      <c r="AH646" s="65"/>
      <c r="AI646" s="65"/>
      <c r="AJ646" s="65"/>
      <c r="AK646" s="65"/>
      <c r="AL646" s="65"/>
      <c r="AM646" s="65"/>
      <c r="AN646" s="65" t="str">
        <f>IFERROR(__xludf.DUMMYFUNCTION("""COMPUTED_VALUE"""),"11:52")</f>
        <v>11:52</v>
      </c>
      <c r="AO646" s="65" t="str">
        <f>IFERROR(__xludf.DUMMYFUNCTION("""COMPUTED_VALUE"""),"20-02-2026")</f>
        <v>20-02-2026</v>
      </c>
      <c r="AP646" s="65" t="str">
        <f>IFERROR(__xludf.DUMMYFUNCTION("""COMPUTED_VALUE"""),"EN REPARTO")</f>
        <v>EN REPARTO</v>
      </c>
      <c r="AQ646" s="65" t="str">
        <f>IFERROR(__xludf.DUMMYFUNCTION("""COMPUTED_VALUE"""),"EN REPARTO")</f>
        <v>EN REPARTO</v>
      </c>
      <c r="AR646" s="65"/>
      <c r="AS646" s="65"/>
      <c r="AT646" s="65" t="str">
        <f>IFERROR(__xludf.DUMMYFUNCTION("""COMPUTED_VALUE"""),"SHOPIFY")</f>
        <v>SHOPIFY</v>
      </c>
      <c r="AU646" s="65" t="str">
        <f>IFERROR(__xludf.DUMMYFUNCTION("""COMPUTED_VALUE"""),"IMPORTEX EC")</f>
        <v>IMPORTEX EC</v>
      </c>
      <c r="AV646" s="65" t="str">
        <f>IFERROR(__xludf.DUMMYFUNCTION("""COMPUTED_VALUE"""),"6510999928876")</f>
        <v>6510999928876</v>
      </c>
      <c r="AW646" s="65">
        <f>IFERROR(__xludf.DUMMYFUNCTION("""COMPUTED_VALUE"""),6239.0)</f>
        <v>6239</v>
      </c>
      <c r="AX646" s="65"/>
      <c r="AY646" s="65" t="str">
        <f>IFERROR(__xludf.DUMMYFUNCTION("""COMPUTED_VALUE"""),"19/02/2026")</f>
        <v>19/02/2026</v>
      </c>
      <c r="AZ646" s="65"/>
      <c r="BA646" s="65"/>
    </row>
    <row r="647">
      <c r="A647" s="65" t="str">
        <f>IFERROR(__xludf.DUMMYFUNCTION("""COMPUTED_VALUE"""),"27-03-2026")</f>
        <v>27-03-2026</v>
      </c>
      <c r="B647" s="65">
        <f>IFERROR(__xludf.DUMMYFUNCTION("""COMPUTED_VALUE"""),4534331.0)</f>
        <v>4534331</v>
      </c>
      <c r="C647" s="65" t="str">
        <f>IFERROR(__xludf.DUMMYFUNCTION("""COMPUTED_VALUE"""),"17:17")</f>
        <v>17:17</v>
      </c>
      <c r="D647" s="65" t="str">
        <f>IFERROR(__xludf.DUMMYFUNCTION("""COMPUTED_VALUE"""),"17-02-2026")</f>
        <v>17-02-2026</v>
      </c>
      <c r="E647" s="65" t="str">
        <f>IFERROR(__xludf.DUMMYFUNCTION("""COMPUTED_VALUE"""),"freddy saraguro")</f>
        <v>freddy saraguro</v>
      </c>
      <c r="F647" s="65" t="str">
        <f>IFERROR(__xludf.DUMMYFUNCTION("""COMPUTED_VALUE"""),"987949545")</f>
        <v>987949545</v>
      </c>
      <c r="G647" s="65" t="str">
        <f>IFERROR(__xludf.DUMMYFUNCTION("""COMPUTED_VALUE"""),"drfreddysaraguro@hotmail.com")</f>
        <v>drfreddysaraguro@hotmail.com</v>
      </c>
      <c r="H647" s="65"/>
      <c r="I647" s="65"/>
      <c r="J647" s="65" t="str">
        <f>IFERROR(__xludf.DUMMYFUNCTION("""COMPUTED_VALUE"""),"D001339531")</f>
        <v>D001339531</v>
      </c>
      <c r="K647" s="65" t="str">
        <f>IFERROR(__xludf.DUMMYFUNCTION("""COMPUTED_VALUE"""),"ENTREGADO")</f>
        <v>ENTREGADO</v>
      </c>
      <c r="L647" s="65" t="str">
        <f>IFERROR(__xludf.DUMMYFUNCTION("""COMPUTED_VALUE"""),"CON RECAUDO")</f>
        <v>CON RECAUDO</v>
      </c>
      <c r="M647" s="65" t="str">
        <f>IFERROR(__xludf.DUMMYFUNCTION("""COMPUTED_VALUE"""),"EL ORO")</f>
        <v>EL ORO</v>
      </c>
      <c r="N647" s="65" t="str">
        <f>IFERROR(__xludf.DUMMYFUNCTION("""COMPUTED_VALUE"""),"MACHALA")</f>
        <v>MACHALA</v>
      </c>
      <c r="O647" s="65" t="str">
        <f>IFERROR(__xludf.DUMMYFUNCTION("""COMPUTED_VALUE"""),"Guayas entre Arizaga y Manuel Serrano Sector barrio Piguari -")</f>
        <v>Guayas entre Arizaga y Manuel Serrano Sector barrio Piguari -</v>
      </c>
      <c r="P647" s="65"/>
      <c r="Q647" s="65" t="str">
        <f>IFERROR(__xludf.DUMMYFUNCTION("""COMPUTED_VALUE"""),"GINTRACOM")</f>
        <v>GINTRACOM</v>
      </c>
      <c r="R647" s="65">
        <f>IFERROR(__xludf.DUMMYFUNCTION("""COMPUTED_VALUE"""),22.0)</f>
        <v>22</v>
      </c>
      <c r="S647" s="65">
        <f>IFERROR(__xludf.DUMMYFUNCTION("""COMPUTED_VALUE"""),8.66)</f>
        <v>8.66</v>
      </c>
      <c r="T647" s="65">
        <f>IFERROR(__xludf.DUMMYFUNCTION("""COMPUTED_VALUE"""),5.84)</f>
        <v>5.84</v>
      </c>
      <c r="U647" s="65">
        <f>IFERROR(__xludf.DUMMYFUNCTION("""COMPUTED_VALUE"""),0.0)</f>
        <v>0</v>
      </c>
      <c r="V647" s="65">
        <f>IFERROR(__xludf.DUMMYFUNCTION("""COMPUTED_VALUE"""),0.0)</f>
        <v>0</v>
      </c>
      <c r="W647" s="65">
        <f>IFERROR(__xludf.DUMMYFUNCTION("""COMPUTED_VALUE"""),0.0)</f>
        <v>0</v>
      </c>
      <c r="X647" s="65">
        <f>IFERROR(__xludf.DUMMYFUNCTION("""COMPUTED_VALUE"""),3.75)</f>
        <v>3.75</v>
      </c>
      <c r="Y647" s="65">
        <f>IFERROR(__xludf.DUMMYFUNCTION("""COMPUTED_VALUE"""),7.5)</f>
        <v>7.5</v>
      </c>
      <c r="Z647" s="65">
        <f>IFERROR(__xludf.DUMMYFUNCTION("""COMPUTED_VALUE"""),113116.0)</f>
        <v>113116</v>
      </c>
      <c r="AA647" s="65" t="str">
        <f>IFERROR(__xludf.DUMMYFUNCTION("""COMPUTED_VALUE"""),"IM-TAZAKI")</f>
        <v>IM-TAZAKI</v>
      </c>
      <c r="AB647" s="65"/>
      <c r="AC647" s="65" t="str">
        <f>IFERROR(__xludf.DUMMYFUNCTION("""COMPUTED_VALUE"""),"Cuchillo tazaki")</f>
        <v>Cuchillo tazaki</v>
      </c>
      <c r="AD647" s="65"/>
      <c r="AE647" s="65">
        <f>IFERROR(__xludf.DUMMYFUNCTION("""COMPUTED_VALUE"""),2.0)</f>
        <v>2</v>
      </c>
      <c r="AF647" s="65" t="str">
        <f>IFERROR(__xludf.DUMMYFUNCTION("""COMPUTED_VALUE"""),"DESTINATARIO NO CONTESTA LLAMADAS NI WHATSAPP")</f>
        <v>DESTINATARIO NO CONTESTA LLAMADAS NI WHATSAPP</v>
      </c>
      <c r="AG647" s="65" t="str">
        <f>IFERROR(__xludf.DUMMYFUNCTION("""COMPUTED_VALUE"""),"SI")</f>
        <v>SI</v>
      </c>
      <c r="AH647" s="65" t="str">
        <f>IFERROR(__xludf.DUMMYFUNCTION("""COMPUTED_VALUE"""),"15:16")</f>
        <v>15:16</v>
      </c>
      <c r="AI647" s="65" t="str">
        <f>IFERROR(__xludf.DUMMYFUNCTION("""COMPUTED_VALUE"""),"20-02-2026")</f>
        <v>20-02-2026</v>
      </c>
      <c r="AJ647" s="65" t="str">
        <f>IFERROR(__xludf.DUMMYFUNCTION("""COMPUTED_VALUE"""),"CLIENTE SOLICITA LA ENTREGA INMEDIATA")</f>
        <v>CLIENTE SOLICITA LA ENTREGA INMEDIATA</v>
      </c>
      <c r="AK647" s="65" t="str">
        <f>IFERROR(__xludf.DUMMYFUNCTION("""COMPUTED_VALUE"""),"12:13")</f>
        <v>12:13</v>
      </c>
      <c r="AL647" s="65" t="str">
        <f>IFERROR(__xludf.DUMMYFUNCTION("""COMPUTED_VALUE"""),"24-02-2026")</f>
        <v>24-02-2026</v>
      </c>
      <c r="AM647" s="65"/>
      <c r="AN647" s="65" t="str">
        <f>IFERROR(__xludf.DUMMYFUNCTION("""COMPUTED_VALUE"""),"23:51")</f>
        <v>23:51</v>
      </c>
      <c r="AO647" s="65" t="str">
        <f>IFERROR(__xludf.DUMMYFUNCTION("""COMPUTED_VALUE"""),"25-02-2026")</f>
        <v>25-02-2026</v>
      </c>
      <c r="AP647" s="65" t="str">
        <f>IFERROR(__xludf.DUMMYFUNCTION("""COMPUTED_VALUE"""),"ENTREGADA GINTRACOM")</f>
        <v>ENTREGADA GINTRACOM</v>
      </c>
      <c r="AQ647" s="65" t="str">
        <f>IFERROR(__xludf.DUMMYFUNCTION("""COMPUTED_VALUE"""),"ENTREGADA GINTRACOM")</f>
        <v>ENTREGADA GINTRACOM</v>
      </c>
      <c r="AR647" s="65"/>
      <c r="AS647" s="65"/>
      <c r="AT647" s="65" t="str">
        <f>IFERROR(__xludf.DUMMYFUNCTION("""COMPUTED_VALUE"""),"SHOPIFY")</f>
        <v>SHOPIFY</v>
      </c>
      <c r="AU647" s="65" t="str">
        <f>IFERROR(__xludf.DUMMYFUNCTION("""COMPUTED_VALUE"""),"IMPORTEX EC")</f>
        <v>IMPORTEX EC</v>
      </c>
      <c r="AV647" s="65" t="str">
        <f>IFERROR(__xludf.DUMMYFUNCTION("""COMPUTED_VALUE"""),"6510998781996")</f>
        <v>6510998781996</v>
      </c>
      <c r="AW647" s="65">
        <f>IFERROR(__xludf.DUMMYFUNCTION("""COMPUTED_VALUE"""),6238.0)</f>
        <v>6238</v>
      </c>
      <c r="AX647" s="65"/>
      <c r="AY647" s="65" t="str">
        <f>IFERROR(__xludf.DUMMYFUNCTION("""COMPUTED_VALUE"""),"19/02/2026")</f>
        <v>19/02/2026</v>
      </c>
      <c r="AZ647" s="65"/>
      <c r="BA647" s="65"/>
    </row>
    <row r="648">
      <c r="A648" s="65" t="str">
        <f>IFERROR(__xludf.DUMMYFUNCTION("""COMPUTED_VALUE"""),"27-03-2026")</f>
        <v>27-03-2026</v>
      </c>
      <c r="B648" s="65">
        <f>IFERROR(__xludf.DUMMYFUNCTION("""COMPUTED_VALUE"""),4534178.0)</f>
        <v>4534178</v>
      </c>
      <c r="C648" s="65" t="str">
        <f>IFERROR(__xludf.DUMMYFUNCTION("""COMPUTED_VALUE"""),"16:54")</f>
        <v>16:54</v>
      </c>
      <c r="D648" s="65" t="str">
        <f>IFERROR(__xludf.DUMMYFUNCTION("""COMPUTED_VALUE"""),"17-02-2026")</f>
        <v>17-02-2026</v>
      </c>
      <c r="E648" s="65" t="str">
        <f>IFERROR(__xludf.DUMMYFUNCTION("""COMPUTED_VALUE"""),"Ivan Pulles")</f>
        <v>Ivan Pulles</v>
      </c>
      <c r="F648" s="65" t="str">
        <f>IFERROR(__xludf.DUMMYFUNCTION("""COMPUTED_VALUE"""),"995469422")</f>
        <v>995469422</v>
      </c>
      <c r="G648" s="65" t="str">
        <f>IFERROR(__xludf.DUMMYFUNCTION("""COMPUTED_VALUE"""),"ivanpulles2019@gmail.com")</f>
        <v>ivanpulles2019@gmail.com</v>
      </c>
      <c r="H648" s="65"/>
      <c r="I648" s="65"/>
      <c r="J648" s="65" t="str">
        <f>IFERROR(__xludf.DUMMYFUNCTION("""COMPUTED_VALUE"""),"D001341845")</f>
        <v>D001341845</v>
      </c>
      <c r="K648" s="65" t="str">
        <f>IFERROR(__xludf.DUMMYFUNCTION("""COMPUTED_VALUE"""),"ENTREGADO")</f>
        <v>ENTREGADO</v>
      </c>
      <c r="L648" s="65" t="str">
        <f>IFERROR(__xludf.DUMMYFUNCTION("""COMPUTED_VALUE"""),"CON RECAUDO")</f>
        <v>CON RECAUDO</v>
      </c>
      <c r="M648" s="65" t="str">
        <f>IFERROR(__xludf.DUMMYFUNCTION("""COMPUTED_VALUE"""),"CARCHI")</f>
        <v>CARCHI</v>
      </c>
      <c r="N648" s="65" t="str">
        <f>IFERROR(__xludf.DUMMYFUNCTION("""COMPUTED_VALUE"""),"TULCAN")</f>
        <v>TULCAN</v>
      </c>
      <c r="O648" s="65" t="str">
        <f>IFERROR(__xludf.DUMMYFUNCTION("""COMPUTED_VALUE"""),"Av Colón y Av Quito junto a la UE ISAC Acosta sede1 Barrio Santiago 1 -")</f>
        <v>Av Colón y Av Quito junto a la UE ISAC Acosta sede1 Barrio Santiago 1 -</v>
      </c>
      <c r="P648" s="65"/>
      <c r="Q648" s="65" t="str">
        <f>IFERROR(__xludf.DUMMYFUNCTION("""COMPUTED_VALUE"""),"GINTRACOM")</f>
        <v>GINTRACOM</v>
      </c>
      <c r="R648" s="65">
        <f>IFERROR(__xludf.DUMMYFUNCTION("""COMPUTED_VALUE"""),25.0)</f>
        <v>25</v>
      </c>
      <c r="S648" s="65">
        <f>IFERROR(__xludf.DUMMYFUNCTION("""COMPUTED_VALUE"""),14.24)</f>
        <v>14.24</v>
      </c>
      <c r="T648" s="65">
        <f>IFERROR(__xludf.DUMMYFUNCTION("""COMPUTED_VALUE"""),5.96)</f>
        <v>5.96</v>
      </c>
      <c r="U648" s="65">
        <f>IFERROR(__xludf.DUMMYFUNCTION("""COMPUTED_VALUE"""),0.0)</f>
        <v>0</v>
      </c>
      <c r="V648" s="65">
        <f>IFERROR(__xludf.DUMMYFUNCTION("""COMPUTED_VALUE"""),0.0)</f>
        <v>0</v>
      </c>
      <c r="W648" s="65">
        <f>IFERROR(__xludf.DUMMYFUNCTION("""COMPUTED_VALUE"""),0.0)</f>
        <v>0</v>
      </c>
      <c r="X648" s="65">
        <f>IFERROR(__xludf.DUMMYFUNCTION("""COMPUTED_VALUE"""),2.4)</f>
        <v>2.4</v>
      </c>
      <c r="Y648" s="65">
        <f>IFERROR(__xludf.DUMMYFUNCTION("""COMPUTED_VALUE"""),4.8)</f>
        <v>4.8</v>
      </c>
      <c r="Z648" s="65">
        <f>IFERROR(__xludf.DUMMYFUNCTION("""COMPUTED_VALUE"""),120732.0)</f>
        <v>120732</v>
      </c>
      <c r="AA648" s="65" t="str">
        <f>IFERROR(__xludf.DUMMYFUNCTION("""COMPUTED_VALUE"""),"PROV-LMPVT")</f>
        <v>PROV-LMPVT</v>
      </c>
      <c r="AB648" s="65"/>
      <c r="AC648" s="65" t="str">
        <f>IFERROR(__xludf.DUMMYFUNCTION("""COMPUTED_VALUE"""),"LIMPIADOR DE PARABRISAS Y VENTANAS")</f>
        <v>LIMPIADOR DE PARABRISAS Y VENTANAS</v>
      </c>
      <c r="AD648" s="65"/>
      <c r="AE648" s="65">
        <f>IFERROR(__xludf.DUMMYFUNCTION("""COMPUTED_VALUE"""),2.0)</f>
        <v>2</v>
      </c>
      <c r="AF648" s="65"/>
      <c r="AG648" s="65"/>
      <c r="AH648" s="65"/>
      <c r="AI648" s="65"/>
      <c r="AJ648" s="65"/>
      <c r="AK648" s="65"/>
      <c r="AL648" s="65"/>
      <c r="AM648" s="65"/>
      <c r="AN648" s="65" t="str">
        <f>IFERROR(__xludf.DUMMYFUNCTION("""COMPUTED_VALUE"""),"16:29")</f>
        <v>16:29</v>
      </c>
      <c r="AO648" s="65" t="str">
        <f>IFERROR(__xludf.DUMMYFUNCTION("""COMPUTED_VALUE"""),"22-02-2026")</f>
        <v>22-02-2026</v>
      </c>
      <c r="AP648" s="65" t="str">
        <f>IFERROR(__xludf.DUMMYFUNCTION("""COMPUTED_VALUE"""),"ENTREGADA GINTRACOM")</f>
        <v>ENTREGADA GINTRACOM</v>
      </c>
      <c r="AQ648" s="65" t="str">
        <f>IFERROR(__xludf.DUMMYFUNCTION("""COMPUTED_VALUE"""),"ENTREGADA GINTRACOM")</f>
        <v>ENTREGADA GINTRACOM</v>
      </c>
      <c r="AR648" s="65"/>
      <c r="AS648" s="65"/>
      <c r="AT648" s="65" t="str">
        <f>IFERROR(__xludf.DUMMYFUNCTION("""COMPUTED_VALUE"""),"SHOPIFY")</f>
        <v>SHOPIFY</v>
      </c>
      <c r="AU648" s="65" t="str">
        <f>IFERROR(__xludf.DUMMYFUNCTION("""COMPUTED_VALUE"""),"IMPORTEX EC")</f>
        <v>IMPORTEX EC</v>
      </c>
      <c r="AV648" s="65" t="str">
        <f>IFERROR(__xludf.DUMMYFUNCTION("""COMPUTED_VALUE"""),"6510950875180")</f>
        <v>6510950875180</v>
      </c>
      <c r="AW648" s="65">
        <f>IFERROR(__xludf.DUMMYFUNCTION("""COMPUTED_VALUE"""),6237.0)</f>
        <v>6237</v>
      </c>
      <c r="AX648" s="65"/>
      <c r="AY648" s="65" t="str">
        <f>IFERROR(__xludf.DUMMYFUNCTION("""COMPUTED_VALUE"""),"19/02/2026")</f>
        <v>19/02/2026</v>
      </c>
      <c r="AZ648" s="65"/>
      <c r="BA648" s="65"/>
    </row>
    <row r="649">
      <c r="A649" s="65" t="str">
        <f>IFERROR(__xludf.DUMMYFUNCTION("""COMPUTED_VALUE"""),"27-03-2026")</f>
        <v>27-03-2026</v>
      </c>
      <c r="B649" s="65">
        <f>IFERROR(__xludf.DUMMYFUNCTION("""COMPUTED_VALUE"""),4534008.0)</f>
        <v>4534008</v>
      </c>
      <c r="C649" s="65" t="str">
        <f>IFERROR(__xludf.DUMMYFUNCTION("""COMPUTED_VALUE"""),"16:31")</f>
        <v>16:31</v>
      </c>
      <c r="D649" s="65" t="str">
        <f>IFERROR(__xludf.DUMMYFUNCTION("""COMPUTED_VALUE"""),"17-02-2026")</f>
        <v>17-02-2026</v>
      </c>
      <c r="E649" s="65" t="str">
        <f>IFERROR(__xludf.DUMMYFUNCTION("""COMPUTED_VALUE"""),"Fabricio Cusme")</f>
        <v>Fabricio Cusme</v>
      </c>
      <c r="F649" s="65" t="str">
        <f>IFERROR(__xludf.DUMMYFUNCTION("""COMPUTED_VALUE"""),"987097720")</f>
        <v>987097720</v>
      </c>
      <c r="G649" s="65" t="str">
        <f>IFERROR(__xludf.DUMMYFUNCTION("""COMPUTED_VALUE"""),"jofacufa2@gmail.com")</f>
        <v>jofacufa2@gmail.com</v>
      </c>
      <c r="H649" s="65"/>
      <c r="I649" s="65"/>
      <c r="J649" s="65" t="str">
        <f>IFERROR(__xludf.DUMMYFUNCTION("""COMPUTED_VALUE"""),"D001340297")</f>
        <v>D001340297</v>
      </c>
      <c r="K649" s="65" t="str">
        <f>IFERROR(__xludf.DUMMYFUNCTION("""COMPUTED_VALUE"""),"DEVOLUCION")</f>
        <v>DEVOLUCION</v>
      </c>
      <c r="L649" s="65" t="str">
        <f>IFERROR(__xludf.DUMMYFUNCTION("""COMPUTED_VALUE"""),"CON RECAUDO")</f>
        <v>CON RECAUDO</v>
      </c>
      <c r="M649" s="65" t="str">
        <f>IFERROR(__xludf.DUMMYFUNCTION("""COMPUTED_VALUE"""),"MANABI")</f>
        <v>MANABI</v>
      </c>
      <c r="N649" s="65" t="str">
        <f>IFERROR(__xludf.DUMMYFUNCTION("""COMPUTED_VALUE"""),"MANTA")</f>
        <v>MANTA</v>
      </c>
      <c r="O649" s="65" t="str">
        <f>IFERROR(__xludf.DUMMYFUNCTION("""COMPUTED_VALUE"""),"Ave. 2 y calle 12 Edificio banco Pichincha piso 9 oficina 904 -")</f>
        <v>Ave. 2 y calle 12 Edificio banco Pichincha piso 9 oficina 904 -</v>
      </c>
      <c r="P649" s="65"/>
      <c r="Q649" s="65" t="str">
        <f>IFERROR(__xludf.DUMMYFUNCTION("""COMPUTED_VALUE"""),"GINTRACOM")</f>
        <v>GINTRACOM</v>
      </c>
      <c r="R649" s="65">
        <f>IFERROR(__xludf.DUMMYFUNCTION("""COMPUTED_VALUE"""),30.0)</f>
        <v>30</v>
      </c>
      <c r="S649" s="65"/>
      <c r="T649" s="65">
        <f>IFERROR(__xludf.DUMMYFUNCTION("""COMPUTED_VALUE"""),6.16)</f>
        <v>6.16</v>
      </c>
      <c r="U649" s="65">
        <f>IFERROR(__xludf.DUMMYFUNCTION("""COMPUTED_VALUE"""),0.0)</f>
        <v>0</v>
      </c>
      <c r="V649" s="65">
        <f>IFERROR(__xludf.DUMMYFUNCTION("""COMPUTED_VALUE"""),0.0)</f>
        <v>0</v>
      </c>
      <c r="W649" s="65">
        <f>IFERROR(__xludf.DUMMYFUNCTION("""COMPUTED_VALUE"""),0.0)</f>
        <v>0</v>
      </c>
      <c r="X649" s="65">
        <f>IFERROR(__xludf.DUMMYFUNCTION("""COMPUTED_VALUE"""),2.4)</f>
        <v>2.4</v>
      </c>
      <c r="Y649" s="65">
        <f>IFERROR(__xludf.DUMMYFUNCTION("""COMPUTED_VALUE"""),7.2)</f>
        <v>7.2</v>
      </c>
      <c r="Z649" s="65">
        <f>IFERROR(__xludf.DUMMYFUNCTION("""COMPUTED_VALUE"""),120732.0)</f>
        <v>120732</v>
      </c>
      <c r="AA649" s="65" t="str">
        <f>IFERROR(__xludf.DUMMYFUNCTION("""COMPUTED_VALUE"""),"PROV-LMPVT")</f>
        <v>PROV-LMPVT</v>
      </c>
      <c r="AB649" s="65"/>
      <c r="AC649" s="65" t="str">
        <f>IFERROR(__xludf.DUMMYFUNCTION("""COMPUTED_VALUE"""),"LIMPIADOR DE PARABRISAS Y VENTANAS")</f>
        <v>LIMPIADOR DE PARABRISAS Y VENTANAS</v>
      </c>
      <c r="AD649" s="65"/>
      <c r="AE649" s="65">
        <f>IFERROR(__xludf.DUMMYFUNCTION("""COMPUTED_VALUE"""),3.0)</f>
        <v>3</v>
      </c>
      <c r="AF649" s="65" t="str">
        <f>IFERROR(__xludf.DUMMYFUNCTION("""COMPUTED_VALUE"""),"DESTINATARIO NO CONTESTA LLAMADAS NI WHATSAPP")</f>
        <v>DESTINATARIO NO CONTESTA LLAMADAS NI WHATSAPP</v>
      </c>
      <c r="AG649" s="65" t="str">
        <f>IFERROR(__xludf.DUMMYFUNCTION("""COMPUTED_VALUE"""),"NO")</f>
        <v>NO</v>
      </c>
      <c r="AH649" s="65" t="str">
        <f>IFERROR(__xludf.DUMMYFUNCTION("""COMPUTED_VALUE"""),"09:00")</f>
        <v>09:00</v>
      </c>
      <c r="AI649" s="65" t="str">
        <f>IFERROR(__xludf.DUMMYFUNCTION("""COMPUTED_VALUE"""),"01-03-2026")</f>
        <v>01-03-2026</v>
      </c>
      <c r="AJ649" s="65"/>
      <c r="AK649" s="65"/>
      <c r="AL649" s="65"/>
      <c r="AM649" s="65"/>
      <c r="AN649" s="65" t="str">
        <f>IFERROR(__xludf.DUMMYFUNCTION("""COMPUTED_VALUE"""),"13:45")</f>
        <v>13:45</v>
      </c>
      <c r="AO649" s="65" t="str">
        <f>IFERROR(__xludf.DUMMYFUNCTION("""COMPUTED_VALUE"""),"16-03-2026")</f>
        <v>16-03-2026</v>
      </c>
      <c r="AP649" s="65" t="str">
        <f>IFERROR(__xludf.DUMMYFUNCTION("""COMPUTED_VALUE"""),"DEV CONFIRMADA POR BODEGA")</f>
        <v>DEV CONFIRMADA POR BODEGA</v>
      </c>
      <c r="AQ649" s="65"/>
      <c r="AR649" s="65" t="str">
        <f>IFERROR(__xludf.DUMMYFUNCTION("""COMPUTED_VALUE"""),"Gestionado por: PROVEDIX DAMIAN, email:enviogratisdirecto@gmail.com, total de productos en la orden: 1")</f>
        <v>Gestionado por: PROVEDIX DAMIAN, email:enviogratisdirecto@gmail.com, total de productos en la orden: 1</v>
      </c>
      <c r="AS649" s="65"/>
      <c r="AT649" s="65" t="str">
        <f>IFERROR(__xludf.DUMMYFUNCTION("""COMPUTED_VALUE"""),"SHOPIFY")</f>
        <v>SHOPIFY</v>
      </c>
      <c r="AU649" s="65" t="str">
        <f>IFERROR(__xludf.DUMMYFUNCTION("""COMPUTED_VALUE"""),"IMPORTEX EC")</f>
        <v>IMPORTEX EC</v>
      </c>
      <c r="AV649" s="65" t="str">
        <f>IFERROR(__xludf.DUMMYFUNCTION("""COMPUTED_VALUE"""),"6510904573996")</f>
        <v>6510904573996</v>
      </c>
      <c r="AW649" s="65">
        <f>IFERROR(__xludf.DUMMYFUNCTION("""COMPUTED_VALUE"""),6236.0)</f>
        <v>6236</v>
      </c>
      <c r="AX649" s="65"/>
      <c r="AY649" s="65" t="str">
        <f>IFERROR(__xludf.DUMMYFUNCTION("""COMPUTED_VALUE"""),"19/02/2026")</f>
        <v>19/02/2026</v>
      </c>
      <c r="AZ649" s="65"/>
      <c r="BA649" s="65"/>
    </row>
    <row r="650">
      <c r="A650" s="65" t="str">
        <f>IFERROR(__xludf.DUMMYFUNCTION("""COMPUTED_VALUE"""),"27-03-2026")</f>
        <v>27-03-2026</v>
      </c>
      <c r="B650" s="65">
        <f>IFERROR(__xludf.DUMMYFUNCTION("""COMPUTED_VALUE"""),4533800.0)</f>
        <v>4533800</v>
      </c>
      <c r="C650" s="65" t="str">
        <f>IFERROR(__xludf.DUMMYFUNCTION("""COMPUTED_VALUE"""),"16:06")</f>
        <v>16:06</v>
      </c>
      <c r="D650" s="65" t="str">
        <f>IFERROR(__xludf.DUMMYFUNCTION("""COMPUTED_VALUE"""),"17-02-2026")</f>
        <v>17-02-2026</v>
      </c>
      <c r="E650" s="65" t="str">
        <f>IFERROR(__xludf.DUMMYFUNCTION("""COMPUTED_VALUE"""),"Victor Martinez")</f>
        <v>Victor Martinez</v>
      </c>
      <c r="F650" s="65" t="str">
        <f>IFERROR(__xludf.DUMMYFUNCTION("""COMPUTED_VALUE"""),"984957178")</f>
        <v>984957178</v>
      </c>
      <c r="G650" s="65" t="str">
        <f>IFERROR(__xludf.DUMMYFUNCTION("""COMPUTED_VALUE"""),"victormartinezchejin@gmail.com")</f>
        <v>victormartinezchejin@gmail.com</v>
      </c>
      <c r="H650" s="65"/>
      <c r="I650" s="65"/>
      <c r="J650" s="65"/>
      <c r="K650" s="65" t="str">
        <f>IFERROR(__xludf.DUMMYFUNCTION("""COMPUTED_VALUE"""),"CANCELADO")</f>
        <v>CANCELADO</v>
      </c>
      <c r="L650" s="65" t="str">
        <f>IFERROR(__xludf.DUMMYFUNCTION("""COMPUTED_VALUE"""),"CON RECAUDO")</f>
        <v>CON RECAUDO</v>
      </c>
      <c r="M650" s="65" t="str">
        <f>IFERROR(__xludf.DUMMYFUNCTION("""COMPUTED_VALUE"""),"LOJA")</f>
        <v>LOJA</v>
      </c>
      <c r="N650" s="65" t="str">
        <f>IFERROR(__xludf.DUMMYFUNCTION("""COMPUTED_VALUE"""),"LOJA")</f>
        <v>LOJA</v>
      </c>
      <c r="O650" s="65" t="str">
        <f>IFERROR(__xludf.DUMMYFUNCTION("""COMPUTED_VALUE"""),"Simon Bolivar y Jose Antonio Eguiguren Parque Central -")</f>
        <v>Simon Bolivar y Jose Antonio Eguiguren Parque Central -</v>
      </c>
      <c r="P650" s="65"/>
      <c r="Q650" s="65" t="str">
        <f>IFERROR(__xludf.DUMMYFUNCTION("""COMPUTED_VALUE"""),"GINTRACOM")</f>
        <v>GINTRACOM</v>
      </c>
      <c r="R650" s="65">
        <f>IFERROR(__xludf.DUMMYFUNCTION("""COMPUTED_VALUE"""),22.0)</f>
        <v>22</v>
      </c>
      <c r="S650" s="65"/>
      <c r="T650" s="65">
        <f>IFERROR(__xludf.DUMMYFUNCTION("""COMPUTED_VALUE"""),5.84)</f>
        <v>5.84</v>
      </c>
      <c r="U650" s="65">
        <f>IFERROR(__xludf.DUMMYFUNCTION("""COMPUTED_VALUE"""),0.0)</f>
        <v>0</v>
      </c>
      <c r="V650" s="65">
        <f>IFERROR(__xludf.DUMMYFUNCTION("""COMPUTED_VALUE"""),0.0)</f>
        <v>0</v>
      </c>
      <c r="W650" s="65">
        <f>IFERROR(__xludf.DUMMYFUNCTION("""COMPUTED_VALUE"""),0.0)</f>
        <v>0</v>
      </c>
      <c r="X650" s="65">
        <f>IFERROR(__xludf.DUMMYFUNCTION("""COMPUTED_VALUE"""),3.75)</f>
        <v>3.75</v>
      </c>
      <c r="Y650" s="65">
        <f>IFERROR(__xludf.DUMMYFUNCTION("""COMPUTED_VALUE"""),7.5)</f>
        <v>7.5</v>
      </c>
      <c r="Z650" s="65">
        <f>IFERROR(__xludf.DUMMYFUNCTION("""COMPUTED_VALUE"""),113116.0)</f>
        <v>113116</v>
      </c>
      <c r="AA650" s="65" t="str">
        <f>IFERROR(__xludf.DUMMYFUNCTION("""COMPUTED_VALUE"""),"IM-TAZAKI")</f>
        <v>IM-TAZAKI</v>
      </c>
      <c r="AB650" s="65"/>
      <c r="AC650" s="65" t="str">
        <f>IFERROR(__xludf.DUMMYFUNCTION("""COMPUTED_VALUE"""),"Cuchillo tazaki")</f>
        <v>Cuchillo tazaki</v>
      </c>
      <c r="AD650" s="65"/>
      <c r="AE650" s="65">
        <f>IFERROR(__xludf.DUMMYFUNCTION("""COMPUTED_VALUE"""),2.0)</f>
        <v>2</v>
      </c>
      <c r="AF650" s="65"/>
      <c r="AG650" s="65"/>
      <c r="AH650" s="65"/>
      <c r="AI650" s="65"/>
      <c r="AJ650" s="65"/>
      <c r="AK650" s="65"/>
      <c r="AL650" s="65"/>
      <c r="AM650" s="65"/>
      <c r="AN650" s="65"/>
      <c r="AO650" s="65"/>
      <c r="AP650" s="65"/>
      <c r="AQ650" s="65"/>
      <c r="AR650" s="65"/>
      <c r="AS650" s="65"/>
      <c r="AT650" s="65" t="str">
        <f>IFERROR(__xludf.DUMMYFUNCTION("""COMPUTED_VALUE"""),"SHOPIFY")</f>
        <v>SHOPIFY</v>
      </c>
      <c r="AU650" s="65" t="str">
        <f>IFERROR(__xludf.DUMMYFUNCTION("""COMPUTED_VALUE"""),"IMPORTEX EC")</f>
        <v>IMPORTEX EC</v>
      </c>
      <c r="AV650" s="65" t="str">
        <f>IFERROR(__xludf.DUMMYFUNCTION("""COMPUTED_VALUE"""),"6510846148652")</f>
        <v>6510846148652</v>
      </c>
      <c r="AW650" s="65">
        <f>IFERROR(__xludf.DUMMYFUNCTION("""COMPUTED_VALUE"""),6235.0)</f>
        <v>6235</v>
      </c>
      <c r="AX650" s="65"/>
      <c r="AY650" s="65"/>
      <c r="AZ650" s="65"/>
      <c r="BA650" s="65"/>
    </row>
    <row r="651">
      <c r="A651" s="65" t="str">
        <f>IFERROR(__xludf.DUMMYFUNCTION("""COMPUTED_VALUE"""),"27-03-2026")</f>
        <v>27-03-2026</v>
      </c>
      <c r="B651" s="65">
        <f>IFERROR(__xludf.DUMMYFUNCTION("""COMPUTED_VALUE"""),4533555.0)</f>
        <v>4533555</v>
      </c>
      <c r="C651" s="65" t="str">
        <f>IFERROR(__xludf.DUMMYFUNCTION("""COMPUTED_VALUE"""),"15:35")</f>
        <v>15:35</v>
      </c>
      <c r="D651" s="65" t="str">
        <f>IFERROR(__xludf.DUMMYFUNCTION("""COMPUTED_VALUE"""),"17-02-2026")</f>
        <v>17-02-2026</v>
      </c>
      <c r="E651" s="65" t="str">
        <f>IFERROR(__xludf.DUMMYFUNCTION("""COMPUTED_VALUE"""),"Alodia Jhony Encarnación Girón")</f>
        <v>Alodia Jhony Encarnación Girón</v>
      </c>
      <c r="F651" s="65" t="str">
        <f>IFERROR(__xludf.DUMMYFUNCTION("""COMPUTED_VALUE"""),"979673825")</f>
        <v>979673825</v>
      </c>
      <c r="G651" s="65" t="str">
        <f>IFERROR(__xludf.DUMMYFUNCTION("""COMPUTED_VALUE"""),"jhonygiron1977@gmail.com")</f>
        <v>jhonygiron1977@gmail.com</v>
      </c>
      <c r="H651" s="65"/>
      <c r="I651" s="65"/>
      <c r="J651" s="65" t="str">
        <f>IFERROR(__xludf.DUMMYFUNCTION("""COMPUTED_VALUE"""),"186796412")</f>
        <v>186796412</v>
      </c>
      <c r="K651" s="65" t="str">
        <f>IFERROR(__xludf.DUMMYFUNCTION("""COMPUTED_VALUE"""),"DEVOLUCION")</f>
        <v>DEVOLUCION</v>
      </c>
      <c r="L651" s="65" t="str">
        <f>IFERROR(__xludf.DUMMYFUNCTION("""COMPUTED_VALUE"""),"CON RECAUDO")</f>
        <v>CON RECAUDO</v>
      </c>
      <c r="M651" s="65" t="str">
        <f>IFERROR(__xludf.DUMMYFUNCTION("""COMPUTED_VALUE"""),"LOJA")</f>
        <v>LOJA</v>
      </c>
      <c r="N651" s="65" t="str">
        <f>IFERROR(__xludf.DUMMYFUNCTION("""COMPUTED_VALUE"""),"ZAPOTILLO")</f>
        <v>ZAPOTILLO</v>
      </c>
      <c r="O651" s="65" t="str">
        <f>IFERROR(__xludf.DUMMYFUNCTION("""COMPUTED_VALUE"""),"Loja zapotillo Avenida Loja y las palmeras -  junto al colegio bachillerato")</f>
        <v>Loja zapotillo Avenida Loja y las palmeras -  junto al colegio bachillerato</v>
      </c>
      <c r="P651" s="65"/>
      <c r="Q651" s="65" t="str">
        <f>IFERROR(__xludf.DUMMYFUNCTION("""COMPUTED_VALUE"""),"SERVIENTREGA")</f>
        <v>SERVIENTREGA</v>
      </c>
      <c r="R651" s="65">
        <f>IFERROR(__xludf.DUMMYFUNCTION("""COMPUTED_VALUE"""),22.0)</f>
        <v>22</v>
      </c>
      <c r="S651" s="65"/>
      <c r="T651" s="65">
        <f>IFERROR(__xludf.DUMMYFUNCTION("""COMPUTED_VALUE"""),7.7)</f>
        <v>7.7</v>
      </c>
      <c r="U651" s="65">
        <f>IFERROR(__xludf.DUMMYFUNCTION("""COMPUTED_VALUE"""),0.0)</f>
        <v>0</v>
      </c>
      <c r="V651" s="65">
        <f>IFERROR(__xludf.DUMMYFUNCTION("""COMPUTED_VALUE"""),0.0)</f>
        <v>0</v>
      </c>
      <c r="W651" s="65">
        <f>IFERROR(__xludf.DUMMYFUNCTION("""COMPUTED_VALUE"""),0.0)</f>
        <v>0</v>
      </c>
      <c r="X651" s="65">
        <f>IFERROR(__xludf.DUMMYFUNCTION("""COMPUTED_VALUE"""),3.75)</f>
        <v>3.75</v>
      </c>
      <c r="Y651" s="65">
        <f>IFERROR(__xludf.DUMMYFUNCTION("""COMPUTED_VALUE"""),7.5)</f>
        <v>7.5</v>
      </c>
      <c r="Z651" s="65">
        <f>IFERROR(__xludf.DUMMYFUNCTION("""COMPUTED_VALUE"""),113116.0)</f>
        <v>113116</v>
      </c>
      <c r="AA651" s="65" t="str">
        <f>IFERROR(__xludf.DUMMYFUNCTION("""COMPUTED_VALUE"""),"IM-TAZAKI")</f>
        <v>IM-TAZAKI</v>
      </c>
      <c r="AB651" s="65"/>
      <c r="AC651" s="65" t="str">
        <f>IFERROR(__xludf.DUMMYFUNCTION("""COMPUTED_VALUE"""),"Cuchillo tazaki")</f>
        <v>Cuchillo tazaki</v>
      </c>
      <c r="AD651" s="65"/>
      <c r="AE651" s="65">
        <f>IFERROR(__xludf.DUMMYFUNCTION("""COMPUTED_VALUE"""),2.0)</f>
        <v>2</v>
      </c>
      <c r="AF651" s="65" t="str">
        <f>IFERROR(__xludf.DUMMYFUNCTION("""COMPUTED_VALUE"""),"DEVOLUCION DE DISTRIBUCION CLIENTE SOLICITA RETIRAR EN CS")</f>
        <v>DEVOLUCION DE DISTRIBUCION CLIENTE SOLICITA RETIRAR EN CS</v>
      </c>
      <c r="AG651" s="65" t="str">
        <f>IFERROR(__xludf.DUMMYFUNCTION("""COMPUTED_VALUE"""),"NO")</f>
        <v>NO</v>
      </c>
      <c r="AH651" s="65" t="str">
        <f>IFERROR(__xludf.DUMMYFUNCTION("""COMPUTED_VALUE"""),"06:39")</f>
        <v>06:39</v>
      </c>
      <c r="AI651" s="65" t="str">
        <f>IFERROR(__xludf.DUMMYFUNCTION("""COMPUTED_VALUE"""),"21-02-2026")</f>
        <v>21-02-2026</v>
      </c>
      <c r="AJ651" s="65"/>
      <c r="AK651" s="65"/>
      <c r="AL651" s="65"/>
      <c r="AM651" s="65"/>
      <c r="AN651" s="65" t="str">
        <f>IFERROR(__xludf.DUMMYFUNCTION("""COMPUTED_VALUE"""),"01:05")</f>
        <v>01:05</v>
      </c>
      <c r="AO651" s="65" t="str">
        <f>IFERROR(__xludf.DUMMYFUNCTION("""COMPUTED_VALUE"""),"08-03-2026")</f>
        <v>08-03-2026</v>
      </c>
      <c r="AP651" s="65" t="str">
        <f>IFERROR(__xludf.DUMMYFUNCTION("""COMPUTED_VALUE"""),"Certificacion Devolucion al Remitente CL QUITO SUR")</f>
        <v>Certificacion Devolucion al Remitente CL QUITO SUR</v>
      </c>
      <c r="AQ651" s="65" t="str">
        <f>IFERROR(__xludf.DUMMYFUNCTION("""COMPUTED_VALUE"""),"{}")</f>
        <v>{}</v>
      </c>
      <c r="AR651" s="65"/>
      <c r="AS651" s="65"/>
      <c r="AT651" s="65" t="str">
        <f>IFERROR(__xludf.DUMMYFUNCTION("""COMPUTED_VALUE"""),"SHOPIFY")</f>
        <v>SHOPIFY</v>
      </c>
      <c r="AU651" s="65" t="str">
        <f>IFERROR(__xludf.DUMMYFUNCTION("""COMPUTED_VALUE"""),"IMPORTEX EC")</f>
        <v>IMPORTEX EC</v>
      </c>
      <c r="AV651" s="65" t="str">
        <f>IFERROR(__xludf.DUMMYFUNCTION("""COMPUTED_VALUE"""),"6510773141548")</f>
        <v>6510773141548</v>
      </c>
      <c r="AW651" s="65">
        <f>IFERROR(__xludf.DUMMYFUNCTION("""COMPUTED_VALUE"""),6234.0)</f>
        <v>6234</v>
      </c>
      <c r="AX651" s="65"/>
      <c r="AY651" s="65" t="str">
        <f>IFERROR(__xludf.DUMMYFUNCTION("""COMPUTED_VALUE"""),"19/02/2026")</f>
        <v>19/02/2026</v>
      </c>
      <c r="AZ651" s="65"/>
      <c r="BA651" s="65"/>
    </row>
    <row r="652">
      <c r="A652" s="65" t="str">
        <f>IFERROR(__xludf.DUMMYFUNCTION("""COMPUTED_VALUE"""),"27-03-2026")</f>
        <v>27-03-2026</v>
      </c>
      <c r="B652" s="65">
        <f>IFERROR(__xludf.DUMMYFUNCTION("""COMPUTED_VALUE"""),4533488.0)</f>
        <v>4533488</v>
      </c>
      <c r="C652" s="65" t="str">
        <f>IFERROR(__xludf.DUMMYFUNCTION("""COMPUTED_VALUE"""),"15:24")</f>
        <v>15:24</v>
      </c>
      <c r="D652" s="65" t="str">
        <f>IFERROR(__xludf.DUMMYFUNCTION("""COMPUTED_VALUE"""),"17-02-2026")</f>
        <v>17-02-2026</v>
      </c>
      <c r="E652" s="65" t="str">
        <f>IFERROR(__xludf.DUMMYFUNCTION("""COMPUTED_VALUE"""),"Paty Corrales")</f>
        <v>Paty Corrales</v>
      </c>
      <c r="F652" s="65" t="str">
        <f>IFERROR(__xludf.DUMMYFUNCTION("""COMPUTED_VALUE"""),"997088145")</f>
        <v>997088145</v>
      </c>
      <c r="G652" s="65" t="str">
        <f>IFERROR(__xludf.DUMMYFUNCTION("""COMPUTED_VALUE"""),"patycl81@gmail.com")</f>
        <v>patycl81@gmail.com</v>
      </c>
      <c r="H652" s="65"/>
      <c r="I652" s="65"/>
      <c r="J652" s="65" t="str">
        <f>IFERROR(__xludf.DUMMYFUNCTION("""COMPUTED_VALUE"""),"D001339535")</f>
        <v>D001339535</v>
      </c>
      <c r="K652" s="65" t="str">
        <f>IFERROR(__xludf.DUMMYFUNCTION("""COMPUTED_VALUE"""),"ENTREGADO")</f>
        <v>ENTREGADO</v>
      </c>
      <c r="L652" s="65" t="str">
        <f>IFERROR(__xludf.DUMMYFUNCTION("""COMPUTED_VALUE"""),"CON RECAUDO")</f>
        <v>CON RECAUDO</v>
      </c>
      <c r="M652" s="65" t="str">
        <f>IFERROR(__xludf.DUMMYFUNCTION("""COMPUTED_VALUE"""),"COTOPAXI")</f>
        <v>COTOPAXI</v>
      </c>
      <c r="N652" s="65" t="str">
        <f>IFERROR(__xludf.DUMMYFUNCTION("""COMPUTED_VALUE"""),"LATACUNGA")</f>
        <v>LATACUNGA</v>
      </c>
      <c r="O652" s="65" t="str">
        <f>IFERROR(__xludf.DUMMYFUNCTION("""COMPUTED_VALUE"""),"Av Eloy Alfaro 79423 Y Gatazo. La estación, edificio cooperativa jep -")</f>
        <v>Av Eloy Alfaro 79423 Y Gatazo. La estación, edificio cooperativa jep -</v>
      </c>
      <c r="P652" s="65"/>
      <c r="Q652" s="65" t="str">
        <f>IFERROR(__xludf.DUMMYFUNCTION("""COMPUTED_VALUE"""),"GINTRACOM")</f>
        <v>GINTRACOM</v>
      </c>
      <c r="R652" s="65">
        <f>IFERROR(__xludf.DUMMYFUNCTION("""COMPUTED_VALUE"""),22.0)</f>
        <v>22</v>
      </c>
      <c r="S652" s="65">
        <f>IFERROR(__xludf.DUMMYFUNCTION("""COMPUTED_VALUE"""),8.66)</f>
        <v>8.66</v>
      </c>
      <c r="T652" s="65">
        <f>IFERROR(__xludf.DUMMYFUNCTION("""COMPUTED_VALUE"""),5.84)</f>
        <v>5.84</v>
      </c>
      <c r="U652" s="65">
        <f>IFERROR(__xludf.DUMMYFUNCTION("""COMPUTED_VALUE"""),0.0)</f>
        <v>0</v>
      </c>
      <c r="V652" s="65">
        <f>IFERROR(__xludf.DUMMYFUNCTION("""COMPUTED_VALUE"""),0.0)</f>
        <v>0</v>
      </c>
      <c r="W652" s="65">
        <f>IFERROR(__xludf.DUMMYFUNCTION("""COMPUTED_VALUE"""),0.0)</f>
        <v>0</v>
      </c>
      <c r="X652" s="65">
        <f>IFERROR(__xludf.DUMMYFUNCTION("""COMPUTED_VALUE"""),3.75)</f>
        <v>3.75</v>
      </c>
      <c r="Y652" s="65">
        <f>IFERROR(__xludf.DUMMYFUNCTION("""COMPUTED_VALUE"""),7.5)</f>
        <v>7.5</v>
      </c>
      <c r="Z652" s="65">
        <f>IFERROR(__xludf.DUMMYFUNCTION("""COMPUTED_VALUE"""),113116.0)</f>
        <v>113116</v>
      </c>
      <c r="AA652" s="65" t="str">
        <f>IFERROR(__xludf.DUMMYFUNCTION("""COMPUTED_VALUE"""),"IM-TAZAKI")</f>
        <v>IM-TAZAKI</v>
      </c>
      <c r="AB652" s="65"/>
      <c r="AC652" s="65" t="str">
        <f>IFERROR(__xludf.DUMMYFUNCTION("""COMPUTED_VALUE"""),"Cuchillo tazaki")</f>
        <v>Cuchillo tazaki</v>
      </c>
      <c r="AD652" s="65"/>
      <c r="AE652" s="65">
        <f>IFERROR(__xludf.DUMMYFUNCTION("""COMPUTED_VALUE"""),2.0)</f>
        <v>2</v>
      </c>
      <c r="AF652" s="65"/>
      <c r="AG652" s="65"/>
      <c r="AH652" s="65"/>
      <c r="AI652" s="65"/>
      <c r="AJ652" s="65"/>
      <c r="AK652" s="65"/>
      <c r="AL652" s="65"/>
      <c r="AM652" s="65"/>
      <c r="AN652" s="65" t="str">
        <f>IFERROR(__xludf.DUMMYFUNCTION("""COMPUTED_VALUE"""),"09:53")</f>
        <v>09:53</v>
      </c>
      <c r="AO652" s="65" t="str">
        <f>IFERROR(__xludf.DUMMYFUNCTION("""COMPUTED_VALUE"""),"20-02-2026")</f>
        <v>20-02-2026</v>
      </c>
      <c r="AP652" s="65" t="str">
        <f>IFERROR(__xludf.DUMMYFUNCTION("""COMPUTED_VALUE"""),"EN REPARTO")</f>
        <v>EN REPARTO</v>
      </c>
      <c r="AQ652" s="65" t="str">
        <f>IFERROR(__xludf.DUMMYFUNCTION("""COMPUTED_VALUE"""),"EN REPARTO")</f>
        <v>EN REPARTO</v>
      </c>
      <c r="AR652" s="65"/>
      <c r="AS652" s="65"/>
      <c r="AT652" s="65" t="str">
        <f>IFERROR(__xludf.DUMMYFUNCTION("""COMPUTED_VALUE"""),"SHOPIFY")</f>
        <v>SHOPIFY</v>
      </c>
      <c r="AU652" s="65" t="str">
        <f>IFERROR(__xludf.DUMMYFUNCTION("""COMPUTED_VALUE"""),"IMPORTEX EC")</f>
        <v>IMPORTEX EC</v>
      </c>
      <c r="AV652" s="65" t="str">
        <f>IFERROR(__xludf.DUMMYFUNCTION("""COMPUTED_VALUE"""),"6510753873964")</f>
        <v>6510753873964</v>
      </c>
      <c r="AW652" s="65">
        <f>IFERROR(__xludf.DUMMYFUNCTION("""COMPUTED_VALUE"""),6233.0)</f>
        <v>6233</v>
      </c>
      <c r="AX652" s="65"/>
      <c r="AY652" s="65" t="str">
        <f>IFERROR(__xludf.DUMMYFUNCTION("""COMPUTED_VALUE"""),"19/02/2026")</f>
        <v>19/02/2026</v>
      </c>
      <c r="AZ652" s="65"/>
      <c r="BA652" s="65"/>
    </row>
    <row r="653">
      <c r="A653" s="65" t="str">
        <f>IFERROR(__xludf.DUMMYFUNCTION("""COMPUTED_VALUE"""),"27-03-2026")</f>
        <v>27-03-2026</v>
      </c>
      <c r="B653" s="65">
        <f>IFERROR(__xludf.DUMMYFUNCTION("""COMPUTED_VALUE"""),4531822.0)</f>
        <v>4531822</v>
      </c>
      <c r="C653" s="65" t="str">
        <f>IFERROR(__xludf.DUMMYFUNCTION("""COMPUTED_VALUE"""),"11:34")</f>
        <v>11:34</v>
      </c>
      <c r="D653" s="65" t="str">
        <f>IFERROR(__xludf.DUMMYFUNCTION("""COMPUTED_VALUE"""),"17-02-2026")</f>
        <v>17-02-2026</v>
      </c>
      <c r="E653" s="65" t="str">
        <f>IFERROR(__xludf.DUMMYFUNCTION("""COMPUTED_VALUE"""),"Luis E Caisapanta F")</f>
        <v>Luis E Caisapanta F</v>
      </c>
      <c r="F653" s="65" t="str">
        <f>IFERROR(__xludf.DUMMYFUNCTION("""COMPUTED_VALUE"""),"998046103")</f>
        <v>998046103</v>
      </c>
      <c r="G653" s="65" t="str">
        <f>IFERROR(__xludf.DUMMYFUNCTION("""COMPUTED_VALUE"""),"luisecaisapantaf@hotmail.com")</f>
        <v>luisecaisapantaf@hotmail.com</v>
      </c>
      <c r="H653" s="65"/>
      <c r="I653" s="65"/>
      <c r="J653" s="65" t="str">
        <f>IFERROR(__xludf.DUMMYFUNCTION("""COMPUTED_VALUE"""),"D001339537")</f>
        <v>D001339537</v>
      </c>
      <c r="K653" s="65" t="str">
        <f>IFERROR(__xludf.DUMMYFUNCTION("""COMPUTED_VALUE"""),"DEVOLUCION")</f>
        <v>DEVOLUCION</v>
      </c>
      <c r="L653" s="65" t="str">
        <f>IFERROR(__xludf.DUMMYFUNCTION("""COMPUTED_VALUE"""),"CON RECAUDO")</f>
        <v>CON RECAUDO</v>
      </c>
      <c r="M653" s="65" t="str">
        <f>IFERROR(__xludf.DUMMYFUNCTION("""COMPUTED_VALUE"""),"TUNGURAHUA")</f>
        <v>TUNGURAHUA</v>
      </c>
      <c r="N653" s="65" t="str">
        <f>IFERROR(__xludf.DUMMYFUNCTION("""COMPUTED_VALUE"""),"AMBATO")</f>
        <v>AMBATO</v>
      </c>
      <c r="O653" s="65" t="str">
        <f>IFERROR(__xludf.DUMMYFUNCTION("""COMPUTED_VALUE"""),"Cuenca y montalvo")</f>
        <v>Cuenca y montalvo</v>
      </c>
      <c r="P653" s="65" t="str">
        <f>IFERROR(__xludf.DUMMYFUNCTION("""COMPUTED_VALUE"""),"Cuchillo tazaki: Default Title ***")</f>
        <v>Cuchillo tazaki: Default Title ***</v>
      </c>
      <c r="Q653" s="65" t="str">
        <f>IFERROR(__xludf.DUMMYFUNCTION("""COMPUTED_VALUE"""),"GINTRACOM")</f>
        <v>GINTRACOM</v>
      </c>
      <c r="R653" s="65">
        <f>IFERROR(__xludf.DUMMYFUNCTION("""COMPUTED_VALUE"""),43.98)</f>
        <v>43.98</v>
      </c>
      <c r="S653" s="65"/>
      <c r="T653" s="65">
        <f>IFERROR(__xludf.DUMMYFUNCTION("""COMPUTED_VALUE"""),6.72)</f>
        <v>6.72</v>
      </c>
      <c r="U653" s="65">
        <f>IFERROR(__xludf.DUMMYFUNCTION("""COMPUTED_VALUE"""),0.0)</f>
        <v>0</v>
      </c>
      <c r="V653" s="65">
        <f>IFERROR(__xludf.DUMMYFUNCTION("""COMPUTED_VALUE"""),0.0)</f>
        <v>0</v>
      </c>
      <c r="W653" s="65">
        <f>IFERROR(__xludf.DUMMYFUNCTION("""COMPUTED_VALUE"""),0.0)</f>
        <v>0</v>
      </c>
      <c r="X653" s="65">
        <f>IFERROR(__xludf.DUMMYFUNCTION("""COMPUTED_VALUE"""),3.75)</f>
        <v>3.75</v>
      </c>
      <c r="Y653" s="65">
        <f>IFERROR(__xludf.DUMMYFUNCTION("""COMPUTED_VALUE"""),7.5)</f>
        <v>7.5</v>
      </c>
      <c r="Z653" s="65">
        <f>IFERROR(__xludf.DUMMYFUNCTION("""COMPUTED_VALUE"""),113116.0)</f>
        <v>113116</v>
      </c>
      <c r="AA653" s="65" t="str">
        <f>IFERROR(__xludf.DUMMYFUNCTION("""COMPUTED_VALUE"""),"IM-TAZAKI")</f>
        <v>IM-TAZAKI</v>
      </c>
      <c r="AB653" s="65"/>
      <c r="AC653" s="65" t="str">
        <f>IFERROR(__xludf.DUMMYFUNCTION("""COMPUTED_VALUE"""),"Cuchillo tazaki")</f>
        <v>Cuchillo tazaki</v>
      </c>
      <c r="AD653" s="65"/>
      <c r="AE653" s="65">
        <f>IFERROR(__xludf.DUMMYFUNCTION("""COMPUTED_VALUE"""),2.0)</f>
        <v>2</v>
      </c>
      <c r="AF653" s="65" t="str">
        <f>IFERROR(__xludf.DUMMYFUNCTION("""COMPUTED_VALUE"""),"DESTINATARIO INDICA QUE YA NO DESEA EL PRODUCTO")</f>
        <v>DESTINATARIO INDICA QUE YA NO DESEA EL PRODUCTO</v>
      </c>
      <c r="AG653" s="65" t="str">
        <f>IFERROR(__xludf.DUMMYFUNCTION("""COMPUTED_VALUE"""),"NO")</f>
        <v>NO</v>
      </c>
      <c r="AH653" s="65" t="str">
        <f>IFERROR(__xludf.DUMMYFUNCTION("""COMPUTED_VALUE"""),"15:05")</f>
        <v>15:05</v>
      </c>
      <c r="AI653" s="65" t="str">
        <f>IFERROR(__xludf.DUMMYFUNCTION("""COMPUTED_VALUE"""),"19-02-2026")</f>
        <v>19-02-2026</v>
      </c>
      <c r="AJ653" s="65"/>
      <c r="AK653" s="65"/>
      <c r="AL653" s="65"/>
      <c r="AM653" s="65"/>
      <c r="AN653" s="65" t="str">
        <f>IFERROR(__xludf.DUMMYFUNCTION("""COMPUTED_VALUE"""),"14:06")</f>
        <v>14:06</v>
      </c>
      <c r="AO653" s="65" t="str">
        <f>IFERROR(__xludf.DUMMYFUNCTION("""COMPUTED_VALUE"""),"12-03-2026")</f>
        <v>12-03-2026</v>
      </c>
      <c r="AP653" s="65" t="str">
        <f>IFERROR(__xludf.DUMMYFUNCTION("""COMPUTED_VALUE"""),"DEV CONFIRMADA POR BODEGA")</f>
        <v>DEV CONFIRMADA POR BODEGA</v>
      </c>
      <c r="AQ653" s="65"/>
      <c r="AR653" s="65" t="str">
        <f>IFERROR(__xludf.DUMMYFUNCTION("""COMPUTED_VALUE"""),"Gestionado por: IMPORSHOP SHOP, email:import1academyinfo@gmail.com, total de productos en la orden: 1")</f>
        <v>Gestionado por: IMPORSHOP SHOP, email:import1academyinfo@gmail.com, total de productos en la orden: 1</v>
      </c>
      <c r="AS653" s="65"/>
      <c r="AT653" s="65" t="str">
        <f>IFERROR(__xludf.DUMMYFUNCTION("""COMPUTED_VALUE"""),"SHOPIFY")</f>
        <v>SHOPIFY</v>
      </c>
      <c r="AU653" s="65" t="str">
        <f>IFERROR(__xludf.DUMMYFUNCTION("""COMPUTED_VALUE"""),"IMPORTEX EC")</f>
        <v>IMPORTEX EC</v>
      </c>
      <c r="AV653" s="65" t="str">
        <f>IFERROR(__xludf.DUMMYFUNCTION("""COMPUTED_VALUE"""),"6510275723308")</f>
        <v>6510275723308</v>
      </c>
      <c r="AW653" s="65">
        <f>IFERROR(__xludf.DUMMYFUNCTION("""COMPUTED_VALUE"""),6232.0)</f>
        <v>6232</v>
      </c>
      <c r="AX653" s="65"/>
      <c r="AY653" s="65" t="str">
        <f>IFERROR(__xludf.DUMMYFUNCTION("""COMPUTED_VALUE"""),"19/02/2026")</f>
        <v>19/02/2026</v>
      </c>
      <c r="AZ653" s="65"/>
      <c r="BA653" s="65"/>
    </row>
    <row r="654">
      <c r="A654" s="65" t="str">
        <f>IFERROR(__xludf.DUMMYFUNCTION("""COMPUTED_VALUE"""),"27-03-2026")</f>
        <v>27-03-2026</v>
      </c>
      <c r="B654" s="65">
        <f>IFERROR(__xludf.DUMMYFUNCTION("""COMPUTED_VALUE"""),4525546.0)</f>
        <v>4525546</v>
      </c>
      <c r="C654" s="65" t="str">
        <f>IFERROR(__xludf.DUMMYFUNCTION("""COMPUTED_VALUE"""),"16:50")</f>
        <v>16:50</v>
      </c>
      <c r="D654" s="65" t="str">
        <f>IFERROR(__xludf.DUMMYFUNCTION("""COMPUTED_VALUE"""),"16-02-2026")</f>
        <v>16-02-2026</v>
      </c>
      <c r="E654" s="65" t="str">
        <f>IFERROR(__xludf.DUMMYFUNCTION("""COMPUTED_VALUE"""),"José Luis Navarrete")</f>
        <v>José Luis Navarrete</v>
      </c>
      <c r="F654" s="65" t="str">
        <f>IFERROR(__xludf.DUMMYFUNCTION("""COMPUTED_VALUE"""),"993232133")</f>
        <v>993232133</v>
      </c>
      <c r="G654" s="65" t="str">
        <f>IFERROR(__xludf.DUMMYFUNCTION("""COMPUTED_VALUE"""),"edumacias2020@outlook.com")</f>
        <v>edumacias2020@outlook.com</v>
      </c>
      <c r="H654" s="65"/>
      <c r="I654" s="65"/>
      <c r="J654" s="65"/>
      <c r="K654" s="65" t="str">
        <f>IFERROR(__xludf.DUMMYFUNCTION("""COMPUTED_VALUE"""),"PENDIENTE CONFIRMACION")</f>
        <v>PENDIENTE CONFIRMACION</v>
      </c>
      <c r="L654" s="65" t="str">
        <f>IFERROR(__xludf.DUMMYFUNCTION("""COMPUTED_VALUE"""),"CON RECAUDO")</f>
        <v>CON RECAUDO</v>
      </c>
      <c r="M654" s="65" t="str">
        <f>IFERROR(__xludf.DUMMYFUNCTION("""COMPUTED_VALUE"""),"GUAYAS")</f>
        <v>GUAYAS</v>
      </c>
      <c r="N654" s="65" t="str">
        <f>IFERROR(__xludf.DUMMYFUNCTION("""COMPUTED_VALUE"""),"GUAYAQUIL")</f>
        <v>GUAYAQUIL</v>
      </c>
      <c r="O654" s="65" t="str">
        <f>IFERROR(__xludf.DUMMYFUNCTION("""COMPUTED_VALUE"""),"Martha Bucaram de Roldos Martha Bucaram de Roldos -")</f>
        <v>Martha Bucaram de Roldos Martha Bucaram de Roldos -</v>
      </c>
      <c r="P654" s="65"/>
      <c r="Q654" s="65" t="str">
        <f>IFERROR(__xludf.DUMMYFUNCTION("""COMPUTED_VALUE"""),"GINTRACOM")</f>
        <v>GINTRACOM</v>
      </c>
      <c r="R654" s="65">
        <f>IFERROR(__xludf.DUMMYFUNCTION("""COMPUTED_VALUE"""),20.0)</f>
        <v>20</v>
      </c>
      <c r="S654" s="65"/>
      <c r="T654" s="65">
        <f>IFERROR(__xludf.DUMMYFUNCTION("""COMPUTED_VALUE"""),4.15)</f>
        <v>4.15</v>
      </c>
      <c r="U654" s="65">
        <f>IFERROR(__xludf.DUMMYFUNCTION("""COMPUTED_VALUE"""),0.0)</f>
        <v>0</v>
      </c>
      <c r="V654" s="65">
        <f>IFERROR(__xludf.DUMMYFUNCTION("""COMPUTED_VALUE"""),0.0)</f>
        <v>0</v>
      </c>
      <c r="W654" s="65">
        <f>IFERROR(__xludf.DUMMYFUNCTION("""COMPUTED_VALUE"""),0.0)</f>
        <v>0</v>
      </c>
      <c r="X654" s="65">
        <f>IFERROR(__xludf.DUMMYFUNCTION("""COMPUTED_VALUE"""),2.4)</f>
        <v>2.4</v>
      </c>
      <c r="Y654" s="65">
        <f>IFERROR(__xludf.DUMMYFUNCTION("""COMPUTED_VALUE"""),2.4)</f>
        <v>2.4</v>
      </c>
      <c r="Z654" s="65">
        <f>IFERROR(__xludf.DUMMYFUNCTION("""COMPUTED_VALUE"""),120732.0)</f>
        <v>120732</v>
      </c>
      <c r="AA654" s="65" t="str">
        <f>IFERROR(__xludf.DUMMYFUNCTION("""COMPUTED_VALUE"""),"PROV-LMPVT")</f>
        <v>PROV-LMPVT</v>
      </c>
      <c r="AB654" s="65"/>
      <c r="AC654" s="65" t="str">
        <f>IFERROR(__xludf.DUMMYFUNCTION("""COMPUTED_VALUE"""),"LIMPIADOR DE PARABRISAS Y VENTANAS")</f>
        <v>LIMPIADOR DE PARABRISAS Y VENTANAS</v>
      </c>
      <c r="AD654" s="65"/>
      <c r="AE654" s="65">
        <f>IFERROR(__xludf.DUMMYFUNCTION("""COMPUTED_VALUE"""),1.0)</f>
        <v>1</v>
      </c>
      <c r="AF654" s="65"/>
      <c r="AG654" s="65"/>
      <c r="AH654" s="65"/>
      <c r="AI654" s="65"/>
      <c r="AJ654" s="65"/>
      <c r="AK654" s="65"/>
      <c r="AL654" s="65"/>
      <c r="AM654" s="65"/>
      <c r="AN654" s="65"/>
      <c r="AO654" s="65"/>
      <c r="AP654" s="65"/>
      <c r="AQ654" s="65"/>
      <c r="AR654" s="65"/>
      <c r="AS654" s="65"/>
      <c r="AT654" s="65" t="str">
        <f>IFERROR(__xludf.DUMMYFUNCTION("""COMPUTED_VALUE"""),"SHOPIFY")</f>
        <v>SHOPIFY</v>
      </c>
      <c r="AU654" s="65" t="str">
        <f>IFERROR(__xludf.DUMMYFUNCTION("""COMPUTED_VALUE"""),"IMPORTEX EC")</f>
        <v>IMPORTEX EC</v>
      </c>
      <c r="AV654" s="65" t="str">
        <f>IFERROR(__xludf.DUMMYFUNCTION("""COMPUTED_VALUE"""),"6508561072172")</f>
        <v>6508561072172</v>
      </c>
      <c r="AW654" s="65">
        <f>IFERROR(__xludf.DUMMYFUNCTION("""COMPUTED_VALUE"""),6231.0)</f>
        <v>6231</v>
      </c>
      <c r="AX654" s="65"/>
      <c r="AY654" s="65"/>
      <c r="AZ654" s="65"/>
      <c r="BA654" s="65"/>
    </row>
    <row r="655">
      <c r="A655" s="65" t="str">
        <f>IFERROR(__xludf.DUMMYFUNCTION("""COMPUTED_VALUE"""),"27-03-2026")</f>
        <v>27-03-2026</v>
      </c>
      <c r="B655" s="65">
        <f>IFERROR(__xludf.DUMMYFUNCTION("""COMPUTED_VALUE"""),4525379.0)</f>
        <v>4525379</v>
      </c>
      <c r="C655" s="65" t="str">
        <f>IFERROR(__xludf.DUMMYFUNCTION("""COMPUTED_VALUE"""),"16:22")</f>
        <v>16:22</v>
      </c>
      <c r="D655" s="65" t="str">
        <f>IFERROR(__xludf.DUMMYFUNCTION("""COMPUTED_VALUE"""),"16-02-2026")</f>
        <v>16-02-2026</v>
      </c>
      <c r="E655" s="65" t="str">
        <f>IFERROR(__xludf.DUMMYFUNCTION("""COMPUTED_VALUE"""),"Maria Neli Mina Velasco")</f>
        <v>Maria Neli Mina Velasco</v>
      </c>
      <c r="F655" s="65" t="str">
        <f>IFERROR(__xludf.DUMMYFUNCTION("""COMPUTED_VALUE"""),"995240335")</f>
        <v>995240335</v>
      </c>
      <c r="G655" s="65" t="str">
        <f>IFERROR(__xludf.DUMMYFUNCTION("""COMPUTED_VALUE"""),"nelimina@hotmail.com")</f>
        <v>nelimina@hotmail.com</v>
      </c>
      <c r="H655" s="65"/>
      <c r="I655" s="65"/>
      <c r="J655" s="65" t="str">
        <f>IFERROR(__xludf.DUMMYFUNCTION("""COMPUTED_VALUE"""),"D001339543")</f>
        <v>D001339543</v>
      </c>
      <c r="K655" s="65" t="str">
        <f>IFERROR(__xludf.DUMMYFUNCTION("""COMPUTED_VALUE"""),"ENTREGADO")</f>
        <v>ENTREGADO</v>
      </c>
      <c r="L655" s="65" t="str">
        <f>IFERROR(__xludf.DUMMYFUNCTION("""COMPUTED_VALUE"""),"CON RECAUDO")</f>
        <v>CON RECAUDO</v>
      </c>
      <c r="M655" s="65" t="str">
        <f>IFERROR(__xludf.DUMMYFUNCTION("""COMPUTED_VALUE"""),"PICHINCHA")</f>
        <v>PICHINCHA</v>
      </c>
      <c r="N655" s="65" t="str">
        <f>IFERROR(__xludf.DUMMYFUNCTION("""COMPUTED_VALUE"""),"QUITO")</f>
        <v>QUITO</v>
      </c>
      <c r="O655" s="65" t="str">
        <f>IFERROR(__xludf.DUMMYFUNCTION("""COMPUTED_VALUE"""),"Cesar Endara E13-161 y Antonio Fabara Comité del pueblo - CEPIM")</f>
        <v>Cesar Endara E13-161 y Antonio Fabara Comité del pueblo - CEPIM</v>
      </c>
      <c r="P655" s="65"/>
      <c r="Q655" s="65" t="str">
        <f>IFERROR(__xludf.DUMMYFUNCTION("""COMPUTED_VALUE"""),"GINTRACOM")</f>
        <v>GINTRACOM</v>
      </c>
      <c r="R655" s="65">
        <f>IFERROR(__xludf.DUMMYFUNCTION("""COMPUTED_VALUE"""),22.0)</f>
        <v>22</v>
      </c>
      <c r="S655" s="65">
        <f>IFERROR(__xludf.DUMMYFUNCTION("""COMPUTED_VALUE"""),10.27)</f>
        <v>10.27</v>
      </c>
      <c r="T655" s="65">
        <f>IFERROR(__xludf.DUMMYFUNCTION("""COMPUTED_VALUE"""),4.23)</f>
        <v>4.23</v>
      </c>
      <c r="U655" s="65">
        <f>IFERROR(__xludf.DUMMYFUNCTION("""COMPUTED_VALUE"""),0.0)</f>
        <v>0</v>
      </c>
      <c r="V655" s="65">
        <f>IFERROR(__xludf.DUMMYFUNCTION("""COMPUTED_VALUE"""),0.0)</f>
        <v>0</v>
      </c>
      <c r="W655" s="65">
        <f>IFERROR(__xludf.DUMMYFUNCTION("""COMPUTED_VALUE"""),0.0)</f>
        <v>0</v>
      </c>
      <c r="X655" s="65">
        <f>IFERROR(__xludf.DUMMYFUNCTION("""COMPUTED_VALUE"""),3.75)</f>
        <v>3.75</v>
      </c>
      <c r="Y655" s="65">
        <f>IFERROR(__xludf.DUMMYFUNCTION("""COMPUTED_VALUE"""),7.5)</f>
        <v>7.5</v>
      </c>
      <c r="Z655" s="65">
        <f>IFERROR(__xludf.DUMMYFUNCTION("""COMPUTED_VALUE"""),113116.0)</f>
        <v>113116</v>
      </c>
      <c r="AA655" s="65" t="str">
        <f>IFERROR(__xludf.DUMMYFUNCTION("""COMPUTED_VALUE"""),"IM-TAZAKI")</f>
        <v>IM-TAZAKI</v>
      </c>
      <c r="AB655" s="65"/>
      <c r="AC655" s="65" t="str">
        <f>IFERROR(__xludf.DUMMYFUNCTION("""COMPUTED_VALUE"""),"Cuchillo tazaki")</f>
        <v>Cuchillo tazaki</v>
      </c>
      <c r="AD655" s="65"/>
      <c r="AE655" s="65">
        <f>IFERROR(__xludf.DUMMYFUNCTION("""COMPUTED_VALUE"""),2.0)</f>
        <v>2</v>
      </c>
      <c r="AF655" s="65"/>
      <c r="AG655" s="65"/>
      <c r="AH655" s="65"/>
      <c r="AI655" s="65"/>
      <c r="AJ655" s="65"/>
      <c r="AK655" s="65"/>
      <c r="AL655" s="65"/>
      <c r="AM655" s="65"/>
      <c r="AN655" s="65" t="str">
        <f>IFERROR(__xludf.DUMMYFUNCTION("""COMPUTED_VALUE"""),"14:38")</f>
        <v>14:38</v>
      </c>
      <c r="AO655" s="65" t="str">
        <f>IFERROR(__xludf.DUMMYFUNCTION("""COMPUTED_VALUE"""),"20-02-2026")</f>
        <v>20-02-2026</v>
      </c>
      <c r="AP655" s="65" t="str">
        <f>IFERROR(__xludf.DUMMYFUNCTION("""COMPUTED_VALUE"""),"ENTREGADA GINTRACOM")</f>
        <v>ENTREGADA GINTRACOM</v>
      </c>
      <c r="AQ655" s="65" t="str">
        <f>IFERROR(__xludf.DUMMYFUNCTION("""COMPUTED_VALUE"""),"ENTREGADA GINTRACOM")</f>
        <v>ENTREGADA GINTRACOM</v>
      </c>
      <c r="AR655" s="65"/>
      <c r="AS655" s="65"/>
      <c r="AT655" s="65" t="str">
        <f>IFERROR(__xludf.DUMMYFUNCTION("""COMPUTED_VALUE"""),"SHOPIFY")</f>
        <v>SHOPIFY</v>
      </c>
      <c r="AU655" s="65" t="str">
        <f>IFERROR(__xludf.DUMMYFUNCTION("""COMPUTED_VALUE"""),"IMPORTEX EC")</f>
        <v>IMPORTEX EC</v>
      </c>
      <c r="AV655" s="65" t="str">
        <f>IFERROR(__xludf.DUMMYFUNCTION("""COMPUTED_VALUE"""),"6508506316844")</f>
        <v>6508506316844</v>
      </c>
      <c r="AW655" s="65">
        <f>IFERROR(__xludf.DUMMYFUNCTION("""COMPUTED_VALUE"""),6230.0)</f>
        <v>6230</v>
      </c>
      <c r="AX655" s="65"/>
      <c r="AY655" s="65" t="str">
        <f>IFERROR(__xludf.DUMMYFUNCTION("""COMPUTED_VALUE"""),"19/02/2026")</f>
        <v>19/02/2026</v>
      </c>
      <c r="AZ655" s="65"/>
      <c r="BA655" s="65"/>
    </row>
    <row r="656">
      <c r="A656" s="65" t="str">
        <f>IFERROR(__xludf.DUMMYFUNCTION("""COMPUTED_VALUE"""),"27-03-2026")</f>
        <v>27-03-2026</v>
      </c>
      <c r="B656" s="65">
        <f>IFERROR(__xludf.DUMMYFUNCTION("""COMPUTED_VALUE"""),4525209.0)</f>
        <v>4525209</v>
      </c>
      <c r="C656" s="65" t="str">
        <f>IFERROR(__xludf.DUMMYFUNCTION("""COMPUTED_VALUE"""),"15:56")</f>
        <v>15:56</v>
      </c>
      <c r="D656" s="65" t="str">
        <f>IFERROR(__xludf.DUMMYFUNCTION("""COMPUTED_VALUE"""),"16-02-2026")</f>
        <v>16-02-2026</v>
      </c>
      <c r="E656" s="65" t="str">
        <f>IFERROR(__xludf.DUMMYFUNCTION("""COMPUTED_VALUE"""),"Lorenzo Salomon Trejo Macias")</f>
        <v>Lorenzo Salomon Trejo Macias</v>
      </c>
      <c r="F656" s="65" t="str">
        <f>IFERROR(__xludf.DUMMYFUNCTION("""COMPUTED_VALUE"""),"991169547")</f>
        <v>991169547</v>
      </c>
      <c r="G656" s="65" t="str">
        <f>IFERROR(__xludf.DUMMYFUNCTION("""COMPUTED_VALUE"""),"tonytrejo84@hotmail.com")</f>
        <v>tonytrejo84@hotmail.com</v>
      </c>
      <c r="H656" s="65"/>
      <c r="I656" s="65"/>
      <c r="J656" s="65"/>
      <c r="K656" s="65" t="str">
        <f>IFERROR(__xludf.DUMMYFUNCTION("""COMPUTED_VALUE"""),"PENDIENTE CONFIRMACION")</f>
        <v>PENDIENTE CONFIRMACION</v>
      </c>
      <c r="L656" s="65" t="str">
        <f>IFERROR(__xludf.DUMMYFUNCTION("""COMPUTED_VALUE"""),"CON RECAUDO")</f>
        <v>CON RECAUDO</v>
      </c>
      <c r="M656" s="65" t="str">
        <f>IFERROR(__xludf.DUMMYFUNCTION("""COMPUTED_VALUE"""),"LOS RIOS")</f>
        <v>LOS RIOS</v>
      </c>
      <c r="N656" s="65" t="str">
        <f>IFERROR(__xludf.DUMMYFUNCTION("""COMPUTED_VALUE"""),"VINCES")</f>
        <v>VINCES</v>
      </c>
      <c r="O656" s="65" t="str">
        <f>IFERROR(__xludf.DUMMYFUNCTION("""COMPUTED_VALUE"""),"Antonio sotomayor Playas de vinces, la Carolina, casa grande, que tiene 1 piscina -")</f>
        <v>Antonio sotomayor Playas de vinces, la Carolina, casa grande, que tiene 1 piscina -</v>
      </c>
      <c r="P656" s="65"/>
      <c r="Q656" s="65" t="str">
        <f>IFERROR(__xludf.DUMMYFUNCTION("""COMPUTED_VALUE"""),"GINTRACOM")</f>
        <v>GINTRACOM</v>
      </c>
      <c r="R656" s="65">
        <f>IFERROR(__xludf.DUMMYFUNCTION("""COMPUTED_VALUE"""),25.0)</f>
        <v>25</v>
      </c>
      <c r="S656" s="65"/>
      <c r="T656" s="65">
        <f>IFERROR(__xludf.DUMMYFUNCTION("""COMPUTED_VALUE"""),5.96)</f>
        <v>5.96</v>
      </c>
      <c r="U656" s="65">
        <f>IFERROR(__xludf.DUMMYFUNCTION("""COMPUTED_VALUE"""),0.0)</f>
        <v>0</v>
      </c>
      <c r="V656" s="65">
        <f>IFERROR(__xludf.DUMMYFUNCTION("""COMPUTED_VALUE"""),0.0)</f>
        <v>0</v>
      </c>
      <c r="W656" s="65">
        <f>IFERROR(__xludf.DUMMYFUNCTION("""COMPUTED_VALUE"""),0.0)</f>
        <v>0</v>
      </c>
      <c r="X656" s="65">
        <f>IFERROR(__xludf.DUMMYFUNCTION("""COMPUTED_VALUE"""),2.4)</f>
        <v>2.4</v>
      </c>
      <c r="Y656" s="65">
        <f>IFERROR(__xludf.DUMMYFUNCTION("""COMPUTED_VALUE"""),4.8)</f>
        <v>4.8</v>
      </c>
      <c r="Z656" s="65">
        <f>IFERROR(__xludf.DUMMYFUNCTION("""COMPUTED_VALUE"""),120732.0)</f>
        <v>120732</v>
      </c>
      <c r="AA656" s="65" t="str">
        <f>IFERROR(__xludf.DUMMYFUNCTION("""COMPUTED_VALUE"""),"PROV-LMPVT")</f>
        <v>PROV-LMPVT</v>
      </c>
      <c r="AB656" s="65"/>
      <c r="AC656" s="65" t="str">
        <f>IFERROR(__xludf.DUMMYFUNCTION("""COMPUTED_VALUE"""),"LIMPIADOR DE PARABRISAS Y VENTANAS")</f>
        <v>LIMPIADOR DE PARABRISAS Y VENTANAS</v>
      </c>
      <c r="AD656" s="65"/>
      <c r="AE656" s="65">
        <f>IFERROR(__xludf.DUMMYFUNCTION("""COMPUTED_VALUE"""),2.0)</f>
        <v>2</v>
      </c>
      <c r="AF656" s="65"/>
      <c r="AG656" s="65"/>
      <c r="AH656" s="65"/>
      <c r="AI656" s="65"/>
      <c r="AJ656" s="65"/>
      <c r="AK656" s="65"/>
      <c r="AL656" s="65"/>
      <c r="AM656" s="65"/>
      <c r="AN656" s="65"/>
      <c r="AO656" s="65"/>
      <c r="AP656" s="65"/>
      <c r="AQ656" s="65"/>
      <c r="AR656" s="65"/>
      <c r="AS656" s="65"/>
      <c r="AT656" s="65" t="str">
        <f>IFERROR(__xludf.DUMMYFUNCTION("""COMPUTED_VALUE"""),"SHOPIFY")</f>
        <v>SHOPIFY</v>
      </c>
      <c r="AU656" s="65" t="str">
        <f>IFERROR(__xludf.DUMMYFUNCTION("""COMPUTED_VALUE"""),"IMPORTEX EC")</f>
        <v>IMPORTEX EC</v>
      </c>
      <c r="AV656" s="65" t="str">
        <f>IFERROR(__xludf.DUMMYFUNCTION("""COMPUTED_VALUE"""),"6508455165996")</f>
        <v>6508455165996</v>
      </c>
      <c r="AW656" s="65">
        <f>IFERROR(__xludf.DUMMYFUNCTION("""COMPUTED_VALUE"""),6229.0)</f>
        <v>6229</v>
      </c>
      <c r="AX656" s="65"/>
      <c r="AY656" s="65"/>
      <c r="AZ656" s="65"/>
      <c r="BA656" s="65"/>
    </row>
    <row r="657">
      <c r="A657" s="65" t="str">
        <f>IFERROR(__xludf.DUMMYFUNCTION("""COMPUTED_VALUE"""),"27-03-2026")</f>
        <v>27-03-2026</v>
      </c>
      <c r="B657" s="65">
        <f>IFERROR(__xludf.DUMMYFUNCTION("""COMPUTED_VALUE"""),4525185.0)</f>
        <v>4525185</v>
      </c>
      <c r="C657" s="65" t="str">
        <f>IFERROR(__xludf.DUMMYFUNCTION("""COMPUTED_VALUE"""),"15:52")</f>
        <v>15:52</v>
      </c>
      <c r="D657" s="65" t="str">
        <f>IFERROR(__xludf.DUMMYFUNCTION("""COMPUTED_VALUE"""),"16-02-2026")</f>
        <v>16-02-2026</v>
      </c>
      <c r="E657" s="65" t="str">
        <f>IFERROR(__xludf.DUMMYFUNCTION("""COMPUTED_VALUE"""),"Eudelia Plua")</f>
        <v>Eudelia Plua</v>
      </c>
      <c r="F657" s="65" t="str">
        <f>IFERROR(__xludf.DUMMYFUNCTION("""COMPUTED_VALUE"""),"986982855")</f>
        <v>986982855</v>
      </c>
      <c r="G657" s="65" t="str">
        <f>IFERROR(__xludf.DUMMYFUNCTION("""COMPUTED_VALUE"""),"isabelas30@hotmail.com")</f>
        <v>isabelas30@hotmail.com</v>
      </c>
      <c r="H657" s="65"/>
      <c r="I657" s="65"/>
      <c r="J657" s="65" t="str">
        <f>IFERROR(__xludf.DUMMYFUNCTION("""COMPUTED_VALUE"""),"D001339545")</f>
        <v>D001339545</v>
      </c>
      <c r="K657" s="65" t="str">
        <f>IFERROR(__xludf.DUMMYFUNCTION("""COMPUTED_VALUE"""),"ENTREGADO")</f>
        <v>ENTREGADO</v>
      </c>
      <c r="L657" s="65" t="str">
        <f>IFERROR(__xludf.DUMMYFUNCTION("""COMPUTED_VALUE"""),"CON RECAUDO")</f>
        <v>CON RECAUDO</v>
      </c>
      <c r="M657" s="65" t="str">
        <f>IFERROR(__xludf.DUMMYFUNCTION("""COMPUTED_VALUE"""),"GUAYAS")</f>
        <v>GUAYAS</v>
      </c>
      <c r="N657" s="65" t="str">
        <f>IFERROR(__xludf.DUMMYFUNCTION("""COMPUTED_VALUE"""),"GUAYAQUIL")</f>
        <v>GUAYAQUIL</v>
      </c>
      <c r="O657" s="65" t="str">
        <f>IFERROR(__xludf.DUMMYFUNCTION("""COMPUTED_VALUE"""),"28 ava y Venezuela esquina. #5503 calle secundaria Manuel Medina Castro. Casa esquinera de dos pisos con árbol de mango grande.")</f>
        <v>28 ava y Venezuela esquina. #5503 calle secundaria Manuel Medina Castro. Casa esquinera de dos pisos con árbol de mango grande.</v>
      </c>
      <c r="P657" s="65"/>
      <c r="Q657" s="65" t="str">
        <f>IFERROR(__xludf.DUMMYFUNCTION("""COMPUTED_VALUE"""),"GINTRACOM")</f>
        <v>GINTRACOM</v>
      </c>
      <c r="R657" s="65">
        <f>IFERROR(__xludf.DUMMYFUNCTION("""COMPUTED_VALUE"""),22.0)</f>
        <v>22</v>
      </c>
      <c r="S657" s="65">
        <f>IFERROR(__xludf.DUMMYFUNCTION("""COMPUTED_VALUE"""),8.66)</f>
        <v>8.66</v>
      </c>
      <c r="T657" s="65">
        <f>IFERROR(__xludf.DUMMYFUNCTION("""COMPUTED_VALUE"""),5.84)</f>
        <v>5.84</v>
      </c>
      <c r="U657" s="65">
        <f>IFERROR(__xludf.DUMMYFUNCTION("""COMPUTED_VALUE"""),0.0)</f>
        <v>0</v>
      </c>
      <c r="V657" s="65">
        <f>IFERROR(__xludf.DUMMYFUNCTION("""COMPUTED_VALUE"""),0.0)</f>
        <v>0</v>
      </c>
      <c r="W657" s="65">
        <f>IFERROR(__xludf.DUMMYFUNCTION("""COMPUTED_VALUE"""),0.0)</f>
        <v>0</v>
      </c>
      <c r="X657" s="65">
        <f>IFERROR(__xludf.DUMMYFUNCTION("""COMPUTED_VALUE"""),3.75)</f>
        <v>3.75</v>
      </c>
      <c r="Y657" s="65">
        <f>IFERROR(__xludf.DUMMYFUNCTION("""COMPUTED_VALUE"""),7.5)</f>
        <v>7.5</v>
      </c>
      <c r="Z657" s="65">
        <f>IFERROR(__xludf.DUMMYFUNCTION("""COMPUTED_VALUE"""),113116.0)</f>
        <v>113116</v>
      </c>
      <c r="AA657" s="65" t="str">
        <f>IFERROR(__xludf.DUMMYFUNCTION("""COMPUTED_VALUE"""),"IM-TAZAKI")</f>
        <v>IM-TAZAKI</v>
      </c>
      <c r="AB657" s="65"/>
      <c r="AC657" s="65" t="str">
        <f>IFERROR(__xludf.DUMMYFUNCTION("""COMPUTED_VALUE"""),"Cuchillo tazaki")</f>
        <v>Cuchillo tazaki</v>
      </c>
      <c r="AD657" s="65"/>
      <c r="AE657" s="65">
        <f>IFERROR(__xludf.DUMMYFUNCTION("""COMPUTED_VALUE"""),2.0)</f>
        <v>2</v>
      </c>
      <c r="AF657" s="65"/>
      <c r="AG657" s="65"/>
      <c r="AH657" s="65"/>
      <c r="AI657" s="65"/>
      <c r="AJ657" s="65"/>
      <c r="AK657" s="65"/>
      <c r="AL657" s="65"/>
      <c r="AM657" s="65"/>
      <c r="AN657" s="65" t="str">
        <f>IFERROR(__xludf.DUMMYFUNCTION("""COMPUTED_VALUE"""),"15:34")</f>
        <v>15:34</v>
      </c>
      <c r="AO657" s="65" t="str">
        <f>IFERROR(__xludf.DUMMYFUNCTION("""COMPUTED_VALUE"""),"20-02-2026")</f>
        <v>20-02-2026</v>
      </c>
      <c r="AP657" s="65" t="str">
        <f>IFERROR(__xludf.DUMMYFUNCTION("""COMPUTED_VALUE"""),"ENTREGADA GINTRACOM")</f>
        <v>ENTREGADA GINTRACOM</v>
      </c>
      <c r="AQ657" s="65" t="str">
        <f>IFERROR(__xludf.DUMMYFUNCTION("""COMPUTED_VALUE"""),"ENTREGADA GINTRACOM")</f>
        <v>ENTREGADA GINTRACOM</v>
      </c>
      <c r="AR657" s="65"/>
      <c r="AS657" s="65"/>
      <c r="AT657" s="65" t="str">
        <f>IFERROR(__xludf.DUMMYFUNCTION("""COMPUTED_VALUE"""),"SHOPIFY")</f>
        <v>SHOPIFY</v>
      </c>
      <c r="AU657" s="65" t="str">
        <f>IFERROR(__xludf.DUMMYFUNCTION("""COMPUTED_VALUE"""),"IMPORTEX EC")</f>
        <v>IMPORTEX EC</v>
      </c>
      <c r="AV657" s="65" t="str">
        <f>IFERROR(__xludf.DUMMYFUNCTION("""COMPUTED_VALUE"""),"6508443926572")</f>
        <v>6508443926572</v>
      </c>
      <c r="AW657" s="65">
        <f>IFERROR(__xludf.DUMMYFUNCTION("""COMPUTED_VALUE"""),6228.0)</f>
        <v>6228</v>
      </c>
      <c r="AX657" s="65"/>
      <c r="AY657" s="65" t="str">
        <f>IFERROR(__xludf.DUMMYFUNCTION("""COMPUTED_VALUE"""),"19/02/2026")</f>
        <v>19/02/2026</v>
      </c>
      <c r="AZ657" s="65"/>
      <c r="BA657" s="65"/>
    </row>
    <row r="658">
      <c r="A658" s="65" t="str">
        <f>IFERROR(__xludf.DUMMYFUNCTION("""COMPUTED_VALUE"""),"27-03-2026")</f>
        <v>27-03-2026</v>
      </c>
      <c r="B658" s="65">
        <f>IFERROR(__xludf.DUMMYFUNCTION("""COMPUTED_VALUE"""),4525061.0)</f>
        <v>4525061</v>
      </c>
      <c r="C658" s="65" t="str">
        <f>IFERROR(__xludf.DUMMYFUNCTION("""COMPUTED_VALUE"""),"15:30")</f>
        <v>15:30</v>
      </c>
      <c r="D658" s="65" t="str">
        <f>IFERROR(__xludf.DUMMYFUNCTION("""COMPUTED_VALUE"""),"16-02-2026")</f>
        <v>16-02-2026</v>
      </c>
      <c r="E658" s="65" t="str">
        <f>IFERROR(__xludf.DUMMYFUNCTION("""COMPUTED_VALUE"""),"JOSE BRAVO")</f>
        <v>JOSE BRAVO</v>
      </c>
      <c r="F658" s="65" t="str">
        <f>IFERROR(__xludf.DUMMYFUNCTION("""COMPUTED_VALUE"""),"969885900")</f>
        <v>969885900</v>
      </c>
      <c r="G658" s="65" t="str">
        <f>IFERROR(__xludf.DUMMYFUNCTION("""COMPUTED_VALUE"""),"bravoisabel1@hotmail.com")</f>
        <v>bravoisabel1@hotmail.com</v>
      </c>
      <c r="H658" s="65"/>
      <c r="I658" s="65"/>
      <c r="J658" s="65"/>
      <c r="K658" s="65" t="str">
        <f>IFERROR(__xludf.DUMMYFUNCTION("""COMPUTED_VALUE"""),"CANCELADO")</f>
        <v>CANCELADO</v>
      </c>
      <c r="L658" s="65" t="str">
        <f>IFERROR(__xludf.DUMMYFUNCTION("""COMPUTED_VALUE"""),"CON RECAUDO")</f>
        <v>CON RECAUDO</v>
      </c>
      <c r="M658" s="65" t="str">
        <f>IFERROR(__xludf.DUMMYFUNCTION("""COMPUTED_VALUE"""),"SANTA ELENA")</f>
        <v>SANTA ELENA</v>
      </c>
      <c r="N658" s="65" t="str">
        <f>IFERROR(__xludf.DUMMYFUNCTION("""COMPUTED_VALUE"""),"LA LIBERTAD")</f>
        <v>LA LIBERTAD</v>
      </c>
      <c r="O658" s="65" t="str">
        <f>IFERROR(__xludf.DUMMYFUNCTION("""COMPUTED_VALUE"""),"Barrio 25 de septiembre En medio de 2 tiendas -")</f>
        <v>Barrio 25 de septiembre En medio de 2 tiendas -</v>
      </c>
      <c r="P658" s="65"/>
      <c r="Q658" s="65" t="str">
        <f>IFERROR(__xludf.DUMMYFUNCTION("""COMPUTED_VALUE"""),"GINTRACOM")</f>
        <v>GINTRACOM</v>
      </c>
      <c r="R658" s="65">
        <f>IFERROR(__xludf.DUMMYFUNCTION("""COMPUTED_VALUE"""),20.0)</f>
        <v>20</v>
      </c>
      <c r="S658" s="65"/>
      <c r="T658" s="65">
        <f>IFERROR(__xludf.DUMMYFUNCTION("""COMPUTED_VALUE"""),5.76)</f>
        <v>5.76</v>
      </c>
      <c r="U658" s="65">
        <f>IFERROR(__xludf.DUMMYFUNCTION("""COMPUTED_VALUE"""),0.0)</f>
        <v>0</v>
      </c>
      <c r="V658" s="65">
        <f>IFERROR(__xludf.DUMMYFUNCTION("""COMPUTED_VALUE"""),0.0)</f>
        <v>0</v>
      </c>
      <c r="W658" s="65">
        <f>IFERROR(__xludf.DUMMYFUNCTION("""COMPUTED_VALUE"""),0.0)</f>
        <v>0</v>
      </c>
      <c r="X658" s="65">
        <f>IFERROR(__xludf.DUMMYFUNCTION("""COMPUTED_VALUE"""),2.4)</f>
        <v>2.4</v>
      </c>
      <c r="Y658" s="65">
        <f>IFERROR(__xludf.DUMMYFUNCTION("""COMPUTED_VALUE"""),2.4)</f>
        <v>2.4</v>
      </c>
      <c r="Z658" s="65">
        <f>IFERROR(__xludf.DUMMYFUNCTION("""COMPUTED_VALUE"""),120732.0)</f>
        <v>120732</v>
      </c>
      <c r="AA658" s="65" t="str">
        <f>IFERROR(__xludf.DUMMYFUNCTION("""COMPUTED_VALUE"""),"PROV-LMPVT")</f>
        <v>PROV-LMPVT</v>
      </c>
      <c r="AB658" s="65"/>
      <c r="AC658" s="65" t="str">
        <f>IFERROR(__xludf.DUMMYFUNCTION("""COMPUTED_VALUE"""),"LIMPIADOR DE PARABRISAS Y VENTANAS")</f>
        <v>LIMPIADOR DE PARABRISAS Y VENTANAS</v>
      </c>
      <c r="AD658" s="65"/>
      <c r="AE658" s="65">
        <f>IFERROR(__xludf.DUMMYFUNCTION("""COMPUTED_VALUE"""),1.0)</f>
        <v>1</v>
      </c>
      <c r="AF658" s="65"/>
      <c r="AG658" s="65"/>
      <c r="AH658" s="65"/>
      <c r="AI658" s="65"/>
      <c r="AJ658" s="65"/>
      <c r="AK658" s="65"/>
      <c r="AL658" s="65"/>
      <c r="AM658" s="65"/>
      <c r="AN658" s="65"/>
      <c r="AO658" s="65"/>
      <c r="AP658" s="65"/>
      <c r="AQ658" s="65"/>
      <c r="AR658" s="65"/>
      <c r="AS658" s="65"/>
      <c r="AT658" s="65" t="str">
        <f>IFERROR(__xludf.DUMMYFUNCTION("""COMPUTED_VALUE"""),"SHOPIFY")</f>
        <v>SHOPIFY</v>
      </c>
      <c r="AU658" s="65" t="str">
        <f>IFERROR(__xludf.DUMMYFUNCTION("""COMPUTED_VALUE"""),"IMPORTEX EC")</f>
        <v>IMPORTEX EC</v>
      </c>
      <c r="AV658" s="65" t="str">
        <f>IFERROR(__xludf.DUMMYFUNCTION("""COMPUTED_VALUE"""),"6508393037868")</f>
        <v>6508393037868</v>
      </c>
      <c r="AW658" s="65">
        <f>IFERROR(__xludf.DUMMYFUNCTION("""COMPUTED_VALUE"""),6227.0)</f>
        <v>6227</v>
      </c>
      <c r="AX658" s="65"/>
      <c r="AY658" s="65"/>
      <c r="AZ658" s="65"/>
      <c r="BA658" s="65"/>
    </row>
    <row r="659">
      <c r="A659" s="65" t="str">
        <f>IFERROR(__xludf.DUMMYFUNCTION("""COMPUTED_VALUE"""),"27-03-2026")</f>
        <v>27-03-2026</v>
      </c>
      <c r="B659" s="65">
        <f>IFERROR(__xludf.DUMMYFUNCTION("""COMPUTED_VALUE"""),4524258.0)</f>
        <v>4524258</v>
      </c>
      <c r="C659" s="65" t="str">
        <f>IFERROR(__xludf.DUMMYFUNCTION("""COMPUTED_VALUE"""),"13:21")</f>
        <v>13:21</v>
      </c>
      <c r="D659" s="65" t="str">
        <f>IFERROR(__xludf.DUMMYFUNCTION("""COMPUTED_VALUE"""),"16-02-2026")</f>
        <v>16-02-2026</v>
      </c>
      <c r="E659" s="65" t="str">
        <f>IFERROR(__xludf.DUMMYFUNCTION("""COMPUTED_VALUE"""),"Edison Cobos")</f>
        <v>Edison Cobos</v>
      </c>
      <c r="F659" s="65" t="str">
        <f>IFERROR(__xludf.DUMMYFUNCTION("""COMPUTED_VALUE"""),"983962929")</f>
        <v>983962929</v>
      </c>
      <c r="G659" s="65" t="str">
        <f>IFERROR(__xludf.DUMMYFUNCTION("""COMPUTED_VALUE"""),"eroldco1@gmail.com")</f>
        <v>eroldco1@gmail.com</v>
      </c>
      <c r="H659" s="65"/>
      <c r="I659" s="65"/>
      <c r="J659" s="65"/>
      <c r="K659" s="65" t="str">
        <f>IFERROR(__xludf.DUMMYFUNCTION("""COMPUTED_VALUE"""),"PENDIENTE CONFIRMACION")</f>
        <v>PENDIENTE CONFIRMACION</v>
      </c>
      <c r="L659" s="65" t="str">
        <f>IFERROR(__xludf.DUMMYFUNCTION("""COMPUTED_VALUE"""),"CON RECAUDO")</f>
        <v>CON RECAUDO</v>
      </c>
      <c r="M659" s="65" t="str">
        <f>IFERROR(__xludf.DUMMYFUNCTION("""COMPUTED_VALUE"""),"EL ORO")</f>
        <v>EL ORO</v>
      </c>
      <c r="N659" s="65" t="str">
        <f>IFERROR(__xludf.DUMMYFUNCTION("""COMPUTED_VALUE"""),"EL GUABO")</f>
        <v>EL GUABO</v>
      </c>
      <c r="O659" s="65" t="str">
        <f>IFERROR(__xludf.DUMMYFUNCTION("""COMPUTED_VALUE"""),"Provincia de El Oro Cantón El y a 4 casas de la unidad educa -")</f>
        <v>Provincia de El Oro Cantón El y a 4 casas de la unidad educa -</v>
      </c>
      <c r="P659" s="65"/>
      <c r="Q659" s="65" t="str">
        <f>IFERROR(__xludf.DUMMYFUNCTION("""COMPUTED_VALUE"""),"GINTRACOM")</f>
        <v>GINTRACOM</v>
      </c>
      <c r="R659" s="65">
        <f>IFERROR(__xludf.DUMMYFUNCTION("""COMPUTED_VALUE"""),27.0)</f>
        <v>27</v>
      </c>
      <c r="S659" s="65"/>
      <c r="T659" s="65">
        <f>IFERROR(__xludf.DUMMYFUNCTION("""COMPUTED_VALUE"""),6.6)</f>
        <v>6.6</v>
      </c>
      <c r="U659" s="65">
        <f>IFERROR(__xludf.DUMMYFUNCTION("""COMPUTED_VALUE"""),0.0)</f>
        <v>0</v>
      </c>
      <c r="V659" s="65">
        <f>IFERROR(__xludf.DUMMYFUNCTION("""COMPUTED_VALUE"""),0.0)</f>
        <v>0</v>
      </c>
      <c r="W659" s="65">
        <f>IFERROR(__xludf.DUMMYFUNCTION("""COMPUTED_VALUE"""),0.0)</f>
        <v>0</v>
      </c>
      <c r="X659" s="65">
        <f>IFERROR(__xludf.DUMMYFUNCTION("""COMPUTED_VALUE"""),3.75)</f>
        <v>3.75</v>
      </c>
      <c r="Y659" s="65">
        <f>IFERROR(__xludf.DUMMYFUNCTION("""COMPUTED_VALUE"""),11.25)</f>
        <v>11.25</v>
      </c>
      <c r="Z659" s="65">
        <f>IFERROR(__xludf.DUMMYFUNCTION("""COMPUTED_VALUE"""),113116.0)</f>
        <v>113116</v>
      </c>
      <c r="AA659" s="65" t="str">
        <f>IFERROR(__xludf.DUMMYFUNCTION("""COMPUTED_VALUE"""),"IM-TAZAKI")</f>
        <v>IM-TAZAKI</v>
      </c>
      <c r="AB659" s="65"/>
      <c r="AC659" s="65" t="str">
        <f>IFERROR(__xludf.DUMMYFUNCTION("""COMPUTED_VALUE"""),"Cuchillo tazaki")</f>
        <v>Cuchillo tazaki</v>
      </c>
      <c r="AD659" s="65"/>
      <c r="AE659" s="65">
        <f>IFERROR(__xludf.DUMMYFUNCTION("""COMPUTED_VALUE"""),3.0)</f>
        <v>3</v>
      </c>
      <c r="AF659" s="65"/>
      <c r="AG659" s="65"/>
      <c r="AH659" s="65"/>
      <c r="AI659" s="65"/>
      <c r="AJ659" s="65"/>
      <c r="AK659" s="65"/>
      <c r="AL659" s="65"/>
      <c r="AM659" s="65"/>
      <c r="AN659" s="65"/>
      <c r="AO659" s="65"/>
      <c r="AP659" s="65"/>
      <c r="AQ659" s="65"/>
      <c r="AR659" s="65"/>
      <c r="AS659" s="65"/>
      <c r="AT659" s="65" t="str">
        <f>IFERROR(__xludf.DUMMYFUNCTION("""COMPUTED_VALUE"""),"SHOPIFY")</f>
        <v>SHOPIFY</v>
      </c>
      <c r="AU659" s="65" t="str">
        <f>IFERROR(__xludf.DUMMYFUNCTION("""COMPUTED_VALUE"""),"IMPORTEX EC")</f>
        <v>IMPORTEX EC</v>
      </c>
      <c r="AV659" s="65" t="str">
        <f>IFERROR(__xludf.DUMMYFUNCTION("""COMPUTED_VALUE"""),"6508092227628")</f>
        <v>6508092227628</v>
      </c>
      <c r="AW659" s="65">
        <f>IFERROR(__xludf.DUMMYFUNCTION("""COMPUTED_VALUE"""),6226.0)</f>
        <v>6226</v>
      </c>
      <c r="AX659" s="65"/>
      <c r="AY659" s="65"/>
      <c r="AZ659" s="65"/>
      <c r="BA659" s="65"/>
    </row>
    <row r="660">
      <c r="A660" s="65" t="str">
        <f>IFERROR(__xludf.DUMMYFUNCTION("""COMPUTED_VALUE"""),"27-03-2026")</f>
        <v>27-03-2026</v>
      </c>
      <c r="B660" s="65">
        <f>IFERROR(__xludf.DUMMYFUNCTION("""COMPUTED_VALUE"""),4524035.0)</f>
        <v>4524035</v>
      </c>
      <c r="C660" s="65" t="str">
        <f>IFERROR(__xludf.DUMMYFUNCTION("""COMPUTED_VALUE"""),"12:54")</f>
        <v>12:54</v>
      </c>
      <c r="D660" s="65" t="str">
        <f>IFERROR(__xludf.DUMMYFUNCTION("""COMPUTED_VALUE"""),"16-02-2026")</f>
        <v>16-02-2026</v>
      </c>
      <c r="E660" s="65" t="str">
        <f>IFERROR(__xludf.DUMMYFUNCTION("""COMPUTED_VALUE"""),"Cristian León")</f>
        <v>Cristian León</v>
      </c>
      <c r="F660" s="65" t="str">
        <f>IFERROR(__xludf.DUMMYFUNCTION("""COMPUTED_VALUE"""),"968509801")</f>
        <v>968509801</v>
      </c>
      <c r="G660" s="65" t="str">
        <f>IFERROR(__xludf.DUMMYFUNCTION("""COMPUTED_VALUE"""),"cristianleon021997@gmail.com")</f>
        <v>cristianleon021997@gmail.com</v>
      </c>
      <c r="H660" s="65"/>
      <c r="I660" s="65"/>
      <c r="J660" s="65"/>
      <c r="K660" s="65" t="str">
        <f>IFERROR(__xludf.DUMMYFUNCTION("""COMPUTED_VALUE"""),"PENDIENTE CONFIRMACION")</f>
        <v>PENDIENTE CONFIRMACION</v>
      </c>
      <c r="L660" s="65" t="str">
        <f>IFERROR(__xludf.DUMMYFUNCTION("""COMPUTED_VALUE"""),"CON RECAUDO")</f>
        <v>CON RECAUDO</v>
      </c>
      <c r="M660" s="65" t="str">
        <f>IFERROR(__xludf.DUMMYFUNCTION("""COMPUTED_VALUE"""),"GUAYAS")</f>
        <v>GUAYAS</v>
      </c>
      <c r="N660" s="65" t="str">
        <f>IFERROR(__xludf.DUMMYFUNCTION("""COMPUTED_VALUE"""),"GUAYAQUIL")</f>
        <v>GUAYAQUIL</v>
      </c>
      <c r="O660" s="65" t="str">
        <f>IFERROR(__xludf.DUMMYFUNCTION("""COMPUTED_VALUE"""),"Las acacias sur Las acacias -")</f>
        <v>Las acacias sur Las acacias -</v>
      </c>
      <c r="P660" s="65"/>
      <c r="Q660" s="65" t="str">
        <f>IFERROR(__xludf.DUMMYFUNCTION("""COMPUTED_VALUE"""),"GINTRACOM")</f>
        <v>GINTRACOM</v>
      </c>
      <c r="R660" s="65">
        <f>IFERROR(__xludf.DUMMYFUNCTION("""COMPUTED_VALUE"""),20.0)</f>
        <v>20</v>
      </c>
      <c r="S660" s="65"/>
      <c r="T660" s="65">
        <f>IFERROR(__xludf.DUMMYFUNCTION("""COMPUTED_VALUE"""),4.15)</f>
        <v>4.15</v>
      </c>
      <c r="U660" s="65">
        <f>IFERROR(__xludf.DUMMYFUNCTION("""COMPUTED_VALUE"""),0.0)</f>
        <v>0</v>
      </c>
      <c r="V660" s="65">
        <f>IFERROR(__xludf.DUMMYFUNCTION("""COMPUTED_VALUE"""),0.0)</f>
        <v>0</v>
      </c>
      <c r="W660" s="65">
        <f>IFERROR(__xludf.DUMMYFUNCTION("""COMPUTED_VALUE"""),0.0)</f>
        <v>0</v>
      </c>
      <c r="X660" s="65">
        <f>IFERROR(__xludf.DUMMYFUNCTION("""COMPUTED_VALUE"""),2.4)</f>
        <v>2.4</v>
      </c>
      <c r="Y660" s="65">
        <f>IFERROR(__xludf.DUMMYFUNCTION("""COMPUTED_VALUE"""),2.4)</f>
        <v>2.4</v>
      </c>
      <c r="Z660" s="65">
        <f>IFERROR(__xludf.DUMMYFUNCTION("""COMPUTED_VALUE"""),120732.0)</f>
        <v>120732</v>
      </c>
      <c r="AA660" s="65" t="str">
        <f>IFERROR(__xludf.DUMMYFUNCTION("""COMPUTED_VALUE"""),"PROV-LMPVT")</f>
        <v>PROV-LMPVT</v>
      </c>
      <c r="AB660" s="65"/>
      <c r="AC660" s="65" t="str">
        <f>IFERROR(__xludf.DUMMYFUNCTION("""COMPUTED_VALUE"""),"LIMPIADOR DE PARABRISAS Y VENTANAS")</f>
        <v>LIMPIADOR DE PARABRISAS Y VENTANAS</v>
      </c>
      <c r="AD660" s="65"/>
      <c r="AE660" s="65">
        <f>IFERROR(__xludf.DUMMYFUNCTION("""COMPUTED_VALUE"""),1.0)</f>
        <v>1</v>
      </c>
      <c r="AF660" s="65"/>
      <c r="AG660" s="65"/>
      <c r="AH660" s="65"/>
      <c r="AI660" s="65"/>
      <c r="AJ660" s="65"/>
      <c r="AK660" s="65"/>
      <c r="AL660" s="65"/>
      <c r="AM660" s="65"/>
      <c r="AN660" s="65"/>
      <c r="AO660" s="65"/>
      <c r="AP660" s="65"/>
      <c r="AQ660" s="65"/>
      <c r="AR660" s="65"/>
      <c r="AS660" s="65"/>
      <c r="AT660" s="65" t="str">
        <f>IFERROR(__xludf.DUMMYFUNCTION("""COMPUTED_VALUE"""),"SHOPIFY")</f>
        <v>SHOPIFY</v>
      </c>
      <c r="AU660" s="65" t="str">
        <f>IFERROR(__xludf.DUMMYFUNCTION("""COMPUTED_VALUE"""),"IMPORTEX EC")</f>
        <v>IMPORTEX EC</v>
      </c>
      <c r="AV660" s="65" t="str">
        <f>IFERROR(__xludf.DUMMYFUNCTION("""COMPUTED_VALUE"""),"6508035866668")</f>
        <v>6508035866668</v>
      </c>
      <c r="AW660" s="65">
        <f>IFERROR(__xludf.DUMMYFUNCTION("""COMPUTED_VALUE"""),6225.0)</f>
        <v>6225</v>
      </c>
      <c r="AX660" s="65"/>
      <c r="AY660" s="65"/>
      <c r="AZ660" s="65"/>
      <c r="BA660" s="65"/>
    </row>
    <row r="661">
      <c r="A661" s="65" t="str">
        <f>IFERROR(__xludf.DUMMYFUNCTION("""COMPUTED_VALUE"""),"27-03-2026")</f>
        <v>27-03-2026</v>
      </c>
      <c r="B661" s="65">
        <f>IFERROR(__xludf.DUMMYFUNCTION("""COMPUTED_VALUE"""),4523633.0)</f>
        <v>4523633</v>
      </c>
      <c r="C661" s="65" t="str">
        <f>IFERROR(__xludf.DUMMYFUNCTION("""COMPUTED_VALUE"""),"12:16")</f>
        <v>12:16</v>
      </c>
      <c r="D661" s="65" t="str">
        <f>IFERROR(__xludf.DUMMYFUNCTION("""COMPUTED_VALUE"""),"16-02-2026")</f>
        <v>16-02-2026</v>
      </c>
      <c r="E661" s="65" t="str">
        <f>IFERROR(__xludf.DUMMYFUNCTION("""COMPUTED_VALUE"""),"Jose gomez Gomez")</f>
        <v>Jose gomez Gomez</v>
      </c>
      <c r="F661" s="65" t="str">
        <f>IFERROR(__xludf.DUMMYFUNCTION("""COMPUTED_VALUE"""),"985627602")</f>
        <v>985627602</v>
      </c>
      <c r="G661" s="65" t="str">
        <f>IFERROR(__xludf.DUMMYFUNCTION("""COMPUTED_VALUE"""),"acosta2020@gmail.com")</f>
        <v>acosta2020@gmail.com</v>
      </c>
      <c r="H661" s="65"/>
      <c r="I661" s="65"/>
      <c r="J661" s="65"/>
      <c r="K661" s="65" t="str">
        <f>IFERROR(__xludf.DUMMYFUNCTION("""COMPUTED_VALUE"""),"PENDIENTE CONFIRMACION")</f>
        <v>PENDIENTE CONFIRMACION</v>
      </c>
      <c r="L661" s="65" t="str">
        <f>IFERROR(__xludf.DUMMYFUNCTION("""COMPUTED_VALUE"""),"CON RECAUDO")</f>
        <v>CON RECAUDO</v>
      </c>
      <c r="M661" s="65" t="str">
        <f>IFERROR(__xludf.DUMMYFUNCTION("""COMPUTED_VALUE"""),"GUAYAS")</f>
        <v>GUAYAS</v>
      </c>
      <c r="N661" s="65" t="str">
        <f>IFERROR(__xludf.DUMMYFUNCTION("""COMPUTED_VALUE"""),"MILAGRO")</f>
        <v>MILAGRO</v>
      </c>
      <c r="O661" s="65" t="str">
        <f>IFERROR(__xludf.DUMMYFUNCTION("""COMPUTED_VALUE"""),"Milagro Terminal nuevo -")</f>
        <v>Milagro Terminal nuevo -</v>
      </c>
      <c r="P661" s="65"/>
      <c r="Q661" s="65" t="str">
        <f>IFERROR(__xludf.DUMMYFUNCTION("""COMPUTED_VALUE"""),"GINTRACOM")</f>
        <v>GINTRACOM</v>
      </c>
      <c r="R661" s="65">
        <f>IFERROR(__xludf.DUMMYFUNCTION("""COMPUTED_VALUE"""),22.0)</f>
        <v>22</v>
      </c>
      <c r="S661" s="65"/>
      <c r="T661" s="65">
        <f>IFERROR(__xludf.DUMMYFUNCTION("""COMPUTED_VALUE"""),5.84)</f>
        <v>5.84</v>
      </c>
      <c r="U661" s="65">
        <f>IFERROR(__xludf.DUMMYFUNCTION("""COMPUTED_VALUE"""),0.0)</f>
        <v>0</v>
      </c>
      <c r="V661" s="65">
        <f>IFERROR(__xludf.DUMMYFUNCTION("""COMPUTED_VALUE"""),0.0)</f>
        <v>0</v>
      </c>
      <c r="W661" s="65">
        <f>IFERROR(__xludf.DUMMYFUNCTION("""COMPUTED_VALUE"""),0.0)</f>
        <v>0</v>
      </c>
      <c r="X661" s="65">
        <f>IFERROR(__xludf.DUMMYFUNCTION("""COMPUTED_VALUE"""),3.75)</f>
        <v>3.75</v>
      </c>
      <c r="Y661" s="65">
        <f>IFERROR(__xludf.DUMMYFUNCTION("""COMPUTED_VALUE"""),7.5)</f>
        <v>7.5</v>
      </c>
      <c r="Z661" s="65">
        <f>IFERROR(__xludf.DUMMYFUNCTION("""COMPUTED_VALUE"""),113116.0)</f>
        <v>113116</v>
      </c>
      <c r="AA661" s="65" t="str">
        <f>IFERROR(__xludf.DUMMYFUNCTION("""COMPUTED_VALUE"""),"IM-TAZAKI")</f>
        <v>IM-TAZAKI</v>
      </c>
      <c r="AB661" s="65"/>
      <c r="AC661" s="65" t="str">
        <f>IFERROR(__xludf.DUMMYFUNCTION("""COMPUTED_VALUE"""),"Cuchillo tazaki")</f>
        <v>Cuchillo tazaki</v>
      </c>
      <c r="AD661" s="65"/>
      <c r="AE661" s="65">
        <f>IFERROR(__xludf.DUMMYFUNCTION("""COMPUTED_VALUE"""),2.0)</f>
        <v>2</v>
      </c>
      <c r="AF661" s="65"/>
      <c r="AG661" s="65"/>
      <c r="AH661" s="65"/>
      <c r="AI661" s="65"/>
      <c r="AJ661" s="65"/>
      <c r="AK661" s="65"/>
      <c r="AL661" s="65"/>
      <c r="AM661" s="65"/>
      <c r="AN661" s="65"/>
      <c r="AO661" s="65"/>
      <c r="AP661" s="65"/>
      <c r="AQ661" s="65"/>
      <c r="AR661" s="65"/>
      <c r="AS661" s="65"/>
      <c r="AT661" s="65" t="str">
        <f>IFERROR(__xludf.DUMMYFUNCTION("""COMPUTED_VALUE"""),"SHOPIFY")</f>
        <v>SHOPIFY</v>
      </c>
      <c r="AU661" s="65" t="str">
        <f>IFERROR(__xludf.DUMMYFUNCTION("""COMPUTED_VALUE"""),"IMPORTEX EC")</f>
        <v>IMPORTEX EC</v>
      </c>
      <c r="AV661" s="65" t="str">
        <f>IFERROR(__xludf.DUMMYFUNCTION("""COMPUTED_VALUE"""),"6507755012140")</f>
        <v>6507755012140</v>
      </c>
      <c r="AW661" s="65">
        <f>IFERROR(__xludf.DUMMYFUNCTION("""COMPUTED_VALUE"""),6223.0)</f>
        <v>6223</v>
      </c>
      <c r="AX661" s="65"/>
      <c r="AY661" s="65"/>
      <c r="AZ661" s="65"/>
      <c r="BA661" s="65"/>
    </row>
    <row r="662">
      <c r="A662" s="65" t="str">
        <f>IFERROR(__xludf.DUMMYFUNCTION("""COMPUTED_VALUE"""),"27-03-2026")</f>
        <v>27-03-2026</v>
      </c>
      <c r="B662" s="65">
        <f>IFERROR(__xludf.DUMMYFUNCTION("""COMPUTED_VALUE"""),4523623.0)</f>
        <v>4523623</v>
      </c>
      <c r="C662" s="65" t="str">
        <f>IFERROR(__xludf.DUMMYFUNCTION("""COMPUTED_VALUE"""),"12:15")</f>
        <v>12:15</v>
      </c>
      <c r="D662" s="65" t="str">
        <f>IFERROR(__xludf.DUMMYFUNCTION("""COMPUTED_VALUE"""),"16-02-2026")</f>
        <v>16-02-2026</v>
      </c>
      <c r="E662" s="65" t="str">
        <f>IFERROR(__xludf.DUMMYFUNCTION("""COMPUTED_VALUE"""),"Jorge Escandon")</f>
        <v>Jorge Escandon</v>
      </c>
      <c r="F662" s="65" t="str">
        <f>IFERROR(__xludf.DUMMYFUNCTION("""COMPUTED_VALUE"""),"983132988")</f>
        <v>983132988</v>
      </c>
      <c r="G662" s="65" t="str">
        <f>IFERROR(__xludf.DUMMYFUNCTION("""COMPUTED_VALUE"""),"expograminia25@yahoo.com")</f>
        <v>expograminia25@yahoo.com</v>
      </c>
      <c r="H662" s="65"/>
      <c r="I662" s="65"/>
      <c r="J662" s="65" t="str">
        <f>IFERROR(__xludf.DUMMYFUNCTION("""COMPUTED_VALUE"""),"D001339547")</f>
        <v>D001339547</v>
      </c>
      <c r="K662" s="65" t="str">
        <f>IFERROR(__xludf.DUMMYFUNCTION("""COMPUTED_VALUE"""),"ENTREGADO")</f>
        <v>ENTREGADO</v>
      </c>
      <c r="L662" s="65" t="str">
        <f>IFERROR(__xludf.DUMMYFUNCTION("""COMPUTED_VALUE"""),"CON RECAUDO")</f>
        <v>CON RECAUDO</v>
      </c>
      <c r="M662" s="65" t="str">
        <f>IFERROR(__xludf.DUMMYFUNCTION("""COMPUTED_VALUE"""),"GUAYAS")</f>
        <v>GUAYAS</v>
      </c>
      <c r="N662" s="65" t="str">
        <f>IFERROR(__xludf.DUMMYFUNCTION("""COMPUTED_VALUE"""),"GUAYAQUIL")</f>
        <v>GUAYAQUIL</v>
      </c>
      <c r="O662" s="65" t="str">
        <f>IFERROR(__xludf.DUMMYFUNCTION("""COMPUTED_VALUE"""),"Pedro Mendez Gilbert Plaza Dañin - Galpones de la prefectura del Guayas frente al ITB -")</f>
        <v>Pedro Mendez Gilbert Plaza Dañin - Galpones de la prefectura del Guayas frente al ITB -</v>
      </c>
      <c r="P662" s="65"/>
      <c r="Q662" s="65" t="str">
        <f>IFERROR(__xludf.DUMMYFUNCTION("""COMPUTED_VALUE"""),"GINTRACOM")</f>
        <v>GINTRACOM</v>
      </c>
      <c r="R662" s="65">
        <f>IFERROR(__xludf.DUMMYFUNCTION("""COMPUTED_VALUE"""),32.0)</f>
        <v>32</v>
      </c>
      <c r="S662" s="65">
        <f>IFERROR(__xludf.DUMMYFUNCTION("""COMPUTED_VALUE"""),10.76)</f>
        <v>10.76</v>
      </c>
      <c r="T662" s="65">
        <f>IFERROR(__xludf.DUMMYFUNCTION("""COMPUTED_VALUE"""),6.24)</f>
        <v>6.24</v>
      </c>
      <c r="U662" s="65">
        <f>IFERROR(__xludf.DUMMYFUNCTION("""COMPUTED_VALUE"""),0.0)</f>
        <v>0</v>
      </c>
      <c r="V662" s="65">
        <f>IFERROR(__xludf.DUMMYFUNCTION("""COMPUTED_VALUE"""),0.0)</f>
        <v>0</v>
      </c>
      <c r="W662" s="65">
        <f>IFERROR(__xludf.DUMMYFUNCTION("""COMPUTED_VALUE"""),0.0)</f>
        <v>0</v>
      </c>
      <c r="X662" s="65">
        <f>IFERROR(__xludf.DUMMYFUNCTION("""COMPUTED_VALUE"""),3.75)</f>
        <v>3.75</v>
      </c>
      <c r="Y662" s="65">
        <f>IFERROR(__xludf.DUMMYFUNCTION("""COMPUTED_VALUE"""),15.0)</f>
        <v>15</v>
      </c>
      <c r="Z662" s="65">
        <f>IFERROR(__xludf.DUMMYFUNCTION("""COMPUTED_VALUE"""),113116.0)</f>
        <v>113116</v>
      </c>
      <c r="AA662" s="65" t="str">
        <f>IFERROR(__xludf.DUMMYFUNCTION("""COMPUTED_VALUE"""),"IM-TAZAKI")</f>
        <v>IM-TAZAKI</v>
      </c>
      <c r="AB662" s="65"/>
      <c r="AC662" s="65" t="str">
        <f>IFERROR(__xludf.DUMMYFUNCTION("""COMPUTED_VALUE"""),"Cuchillo tazaki")</f>
        <v>Cuchillo tazaki</v>
      </c>
      <c r="AD662" s="65"/>
      <c r="AE662" s="65">
        <f>IFERROR(__xludf.DUMMYFUNCTION("""COMPUTED_VALUE"""),4.0)</f>
        <v>4</v>
      </c>
      <c r="AF662" s="65" t="str">
        <f>IFERROR(__xludf.DUMMYFUNCTION("""COMPUTED_VALUE"""),"DESTINATARIO NO SE ENCUENTRA EN LUGAR DE ENTREGA.")</f>
        <v>DESTINATARIO NO SE ENCUENTRA EN LUGAR DE ENTREGA.</v>
      </c>
      <c r="AG662" s="65" t="str">
        <f>IFERROR(__xludf.DUMMYFUNCTION("""COMPUTED_VALUE"""),"SI")</f>
        <v>SI</v>
      </c>
      <c r="AH662" s="65" t="str">
        <f>IFERROR(__xludf.DUMMYFUNCTION("""COMPUTED_VALUE"""),"17:26")</f>
        <v>17:26</v>
      </c>
      <c r="AI662" s="65" t="str">
        <f>IFERROR(__xludf.DUMMYFUNCTION("""COMPUTED_VALUE"""),"20-02-2026")</f>
        <v>20-02-2026</v>
      </c>
      <c r="AJ662" s="65" t="str">
        <f>IFERROR(__xludf.DUMMYFUNCTION("""COMPUTED_VALUE"""),"CLIENTE SOLICITA LA ENTREGA INMEDIATA")</f>
        <v>CLIENTE SOLICITA LA ENTREGA INMEDIATA</v>
      </c>
      <c r="AK662" s="65" t="str">
        <f>IFERROR(__xludf.DUMMYFUNCTION("""COMPUTED_VALUE"""),"12:12")</f>
        <v>12:12</v>
      </c>
      <c r="AL662" s="65" t="str">
        <f>IFERROR(__xludf.DUMMYFUNCTION("""COMPUTED_VALUE"""),"24-02-2026")</f>
        <v>24-02-2026</v>
      </c>
      <c r="AM662" s="65"/>
      <c r="AN662" s="65" t="str">
        <f>IFERROR(__xludf.DUMMYFUNCTION("""COMPUTED_VALUE"""),"23:54")</f>
        <v>23:54</v>
      </c>
      <c r="AO662" s="65" t="str">
        <f>IFERROR(__xludf.DUMMYFUNCTION("""COMPUTED_VALUE"""),"25-02-2026")</f>
        <v>25-02-2026</v>
      </c>
      <c r="AP662" s="65" t="str">
        <f>IFERROR(__xludf.DUMMYFUNCTION("""COMPUTED_VALUE"""),"ENTREGADA GINTRACOM")</f>
        <v>ENTREGADA GINTRACOM</v>
      </c>
      <c r="AQ662" s="65" t="str">
        <f>IFERROR(__xludf.DUMMYFUNCTION("""COMPUTED_VALUE"""),"ENTREGADA GINTRACOM")</f>
        <v>ENTREGADA GINTRACOM</v>
      </c>
      <c r="AR662" s="65"/>
      <c r="AS662" s="65"/>
      <c r="AT662" s="65" t="str">
        <f>IFERROR(__xludf.DUMMYFUNCTION("""COMPUTED_VALUE"""),"SHOPIFY")</f>
        <v>SHOPIFY</v>
      </c>
      <c r="AU662" s="65" t="str">
        <f>IFERROR(__xludf.DUMMYFUNCTION("""COMPUTED_VALUE"""),"IMPORTEX EC")</f>
        <v>IMPORTEX EC</v>
      </c>
      <c r="AV662" s="65" t="str">
        <f>IFERROR(__xludf.DUMMYFUNCTION("""COMPUTED_VALUE"""),"6507711365164")</f>
        <v>6507711365164</v>
      </c>
      <c r="AW662" s="65">
        <f>IFERROR(__xludf.DUMMYFUNCTION("""COMPUTED_VALUE"""),6222.0)</f>
        <v>6222</v>
      </c>
      <c r="AX662" s="65"/>
      <c r="AY662" s="65" t="str">
        <f>IFERROR(__xludf.DUMMYFUNCTION("""COMPUTED_VALUE"""),"19/02/2026")</f>
        <v>19/02/2026</v>
      </c>
      <c r="AZ662" s="65"/>
      <c r="BA662" s="65"/>
    </row>
    <row r="663">
      <c r="A663" s="65" t="str">
        <f>IFERROR(__xludf.DUMMYFUNCTION("""COMPUTED_VALUE"""),"27-03-2026")</f>
        <v>27-03-2026</v>
      </c>
      <c r="B663" s="65">
        <f>IFERROR(__xludf.DUMMYFUNCTION("""COMPUTED_VALUE"""),4523621.0)</f>
        <v>4523621</v>
      </c>
      <c r="C663" s="65" t="str">
        <f>IFERROR(__xludf.DUMMYFUNCTION("""COMPUTED_VALUE"""),"12:15")</f>
        <v>12:15</v>
      </c>
      <c r="D663" s="65" t="str">
        <f>IFERROR(__xludf.DUMMYFUNCTION("""COMPUTED_VALUE"""),"16-02-2026")</f>
        <v>16-02-2026</v>
      </c>
      <c r="E663" s="65" t="str">
        <f>IFERROR(__xludf.DUMMYFUNCTION("""COMPUTED_VALUE"""),"Dixon Mina")</f>
        <v>Dixon Mina</v>
      </c>
      <c r="F663" s="65" t="str">
        <f>IFERROR(__xludf.DUMMYFUNCTION("""COMPUTED_VALUE"""),"984272012")</f>
        <v>984272012</v>
      </c>
      <c r="G663" s="65" t="str">
        <f>IFERROR(__xludf.DUMMYFUNCTION("""COMPUTED_VALUE"""),"dixonfernandominalastra@hotmail.com")</f>
        <v>dixonfernandominalastra@hotmail.com</v>
      </c>
      <c r="H663" s="65"/>
      <c r="I663" s="65"/>
      <c r="J663" s="65" t="str">
        <f>IFERROR(__xludf.DUMMYFUNCTION("""COMPUTED_VALUE"""),"D001339548")</f>
        <v>D001339548</v>
      </c>
      <c r="K663" s="65" t="str">
        <f>IFERROR(__xludf.DUMMYFUNCTION("""COMPUTED_VALUE"""),"DEVOLUCION")</f>
        <v>DEVOLUCION</v>
      </c>
      <c r="L663" s="65" t="str">
        <f>IFERROR(__xludf.DUMMYFUNCTION("""COMPUTED_VALUE"""),"CON RECAUDO")</f>
        <v>CON RECAUDO</v>
      </c>
      <c r="M663" s="65" t="str">
        <f>IFERROR(__xludf.DUMMYFUNCTION("""COMPUTED_VALUE"""),"GUAYAS")</f>
        <v>GUAYAS</v>
      </c>
      <c r="N663" s="65" t="str">
        <f>IFERROR(__xludf.DUMMYFUNCTION("""COMPUTED_VALUE"""),"DURAN")</f>
        <v>DURAN</v>
      </c>
      <c r="O663" s="65" t="str">
        <f>IFERROR(__xludf.DUMMYFUNCTION("""COMPUTED_VALUE"""),"Ciudadela Abel Gilbert mz. B52 v.9 A una cuadra de la estación aerovia -")</f>
        <v>Ciudadela Abel Gilbert mz. B52 v.9 A una cuadra de la estación aerovia -</v>
      </c>
      <c r="P663" s="65"/>
      <c r="Q663" s="65" t="str">
        <f>IFERROR(__xludf.DUMMYFUNCTION("""COMPUTED_VALUE"""),"GINTRACOM")</f>
        <v>GINTRACOM</v>
      </c>
      <c r="R663" s="65">
        <f>IFERROR(__xludf.DUMMYFUNCTION("""COMPUTED_VALUE"""),22.0)</f>
        <v>22</v>
      </c>
      <c r="S663" s="65"/>
      <c r="T663" s="65">
        <f>IFERROR(__xludf.DUMMYFUNCTION("""COMPUTED_VALUE"""),5.84)</f>
        <v>5.84</v>
      </c>
      <c r="U663" s="65">
        <f>IFERROR(__xludf.DUMMYFUNCTION("""COMPUTED_VALUE"""),0.0)</f>
        <v>0</v>
      </c>
      <c r="V663" s="65">
        <f>IFERROR(__xludf.DUMMYFUNCTION("""COMPUTED_VALUE"""),0.0)</f>
        <v>0</v>
      </c>
      <c r="W663" s="65">
        <f>IFERROR(__xludf.DUMMYFUNCTION("""COMPUTED_VALUE"""),0.0)</f>
        <v>0</v>
      </c>
      <c r="X663" s="65">
        <f>IFERROR(__xludf.DUMMYFUNCTION("""COMPUTED_VALUE"""),3.75)</f>
        <v>3.75</v>
      </c>
      <c r="Y663" s="65">
        <f>IFERROR(__xludf.DUMMYFUNCTION("""COMPUTED_VALUE"""),7.5)</f>
        <v>7.5</v>
      </c>
      <c r="Z663" s="65">
        <f>IFERROR(__xludf.DUMMYFUNCTION("""COMPUTED_VALUE"""),113116.0)</f>
        <v>113116</v>
      </c>
      <c r="AA663" s="65" t="str">
        <f>IFERROR(__xludf.DUMMYFUNCTION("""COMPUTED_VALUE"""),"IM-TAZAKI")</f>
        <v>IM-TAZAKI</v>
      </c>
      <c r="AB663" s="65"/>
      <c r="AC663" s="65" t="str">
        <f>IFERROR(__xludf.DUMMYFUNCTION("""COMPUTED_VALUE"""),"Cuchillo tazaki")</f>
        <v>Cuchillo tazaki</v>
      </c>
      <c r="AD663" s="65"/>
      <c r="AE663" s="65">
        <f>IFERROR(__xludf.DUMMYFUNCTION("""COMPUTED_VALUE"""),2.0)</f>
        <v>2</v>
      </c>
      <c r="AF663" s="65" t="str">
        <f>IFERROR(__xludf.DUMMYFUNCTION("""COMPUTED_VALUE"""),"DESTINATARIO INDICA QUE YA NO DESEA EL PRODUCTO")</f>
        <v>DESTINATARIO INDICA QUE YA NO DESEA EL PRODUCTO</v>
      </c>
      <c r="AG663" s="65" t="str">
        <f>IFERROR(__xludf.DUMMYFUNCTION("""COMPUTED_VALUE"""),"NO")</f>
        <v>NO</v>
      </c>
      <c r="AH663" s="65" t="str">
        <f>IFERROR(__xludf.DUMMYFUNCTION("""COMPUTED_VALUE"""),"09:57")</f>
        <v>09:57</v>
      </c>
      <c r="AI663" s="65" t="str">
        <f>IFERROR(__xludf.DUMMYFUNCTION("""COMPUTED_VALUE"""),"27-02-2026")</f>
        <v>27-02-2026</v>
      </c>
      <c r="AJ663" s="65"/>
      <c r="AK663" s="65"/>
      <c r="AL663" s="65"/>
      <c r="AM663" s="65"/>
      <c r="AN663" s="65" t="str">
        <f>IFERROR(__xludf.DUMMYFUNCTION("""COMPUTED_VALUE"""),"12:43")</f>
        <v>12:43</v>
      </c>
      <c r="AO663" s="65" t="str">
        <f>IFERROR(__xludf.DUMMYFUNCTION("""COMPUTED_VALUE"""),"06-03-2026")</f>
        <v>06-03-2026</v>
      </c>
      <c r="AP663" s="65" t="str">
        <f>IFERROR(__xludf.DUMMYFUNCTION("""COMPUTED_VALUE"""),"DEVOLUCIÓN ENTREGADA A ORIGEN")</f>
        <v>DEVOLUCIÓN ENTREGADA A ORIGEN</v>
      </c>
      <c r="AQ663" s="65" t="str">
        <f>IFERROR(__xludf.DUMMYFUNCTION("""COMPUTED_VALUE"""),"DEVOLUCIÓN ENTREGADA A ORIGEN")</f>
        <v>DEVOLUCIÓN ENTREGADA A ORIGEN</v>
      </c>
      <c r="AR663" s="65"/>
      <c r="AS663" s="65"/>
      <c r="AT663" s="65" t="str">
        <f>IFERROR(__xludf.DUMMYFUNCTION("""COMPUTED_VALUE"""),"SHOPIFY")</f>
        <v>SHOPIFY</v>
      </c>
      <c r="AU663" s="65" t="str">
        <f>IFERROR(__xludf.DUMMYFUNCTION("""COMPUTED_VALUE"""),"IMPORTEX EC")</f>
        <v>IMPORTEX EC</v>
      </c>
      <c r="AV663" s="65" t="str">
        <f>IFERROR(__xludf.DUMMYFUNCTION("""COMPUTED_VALUE"""),"6507654610988")</f>
        <v>6507654610988</v>
      </c>
      <c r="AW663" s="65">
        <f>IFERROR(__xludf.DUMMYFUNCTION("""COMPUTED_VALUE"""),6221.0)</f>
        <v>6221</v>
      </c>
      <c r="AX663" s="65"/>
      <c r="AY663" s="65" t="str">
        <f>IFERROR(__xludf.DUMMYFUNCTION("""COMPUTED_VALUE"""),"19/02/2026")</f>
        <v>19/02/2026</v>
      </c>
      <c r="AZ663" s="65"/>
      <c r="BA663" s="65"/>
    </row>
    <row r="664">
      <c r="A664" s="65" t="str">
        <f>IFERROR(__xludf.DUMMYFUNCTION("""COMPUTED_VALUE"""),"27-03-2026")</f>
        <v>27-03-2026</v>
      </c>
      <c r="B664" s="65">
        <f>IFERROR(__xludf.DUMMYFUNCTION("""COMPUTED_VALUE"""),4523616.0)</f>
        <v>4523616</v>
      </c>
      <c r="C664" s="65" t="str">
        <f>IFERROR(__xludf.DUMMYFUNCTION("""COMPUTED_VALUE"""),"12:14")</f>
        <v>12:14</v>
      </c>
      <c r="D664" s="65" t="str">
        <f>IFERROR(__xludf.DUMMYFUNCTION("""COMPUTED_VALUE"""),"16-02-2026")</f>
        <v>16-02-2026</v>
      </c>
      <c r="E664" s="65" t="str">
        <f>IFERROR(__xludf.DUMMYFUNCTION("""COMPUTED_VALUE"""),"Pedro sisney Marcillo Pisco")</f>
        <v>Pedro sisney Marcillo Pisco</v>
      </c>
      <c r="F664" s="65" t="str">
        <f>IFERROR(__xludf.DUMMYFUNCTION("""COMPUTED_VALUE"""),"0989587110")</f>
        <v>0989587110</v>
      </c>
      <c r="G664" s="65" t="str">
        <f>IFERROR(__xludf.DUMMYFUNCTION("""COMPUTED_VALUE"""),"pedromarcillopisco@gmail.com")</f>
        <v>pedromarcillopisco@gmail.com</v>
      </c>
      <c r="H664" s="65"/>
      <c r="I664" s="65"/>
      <c r="J664" s="65" t="str">
        <f>IFERROR(__xludf.DUMMYFUNCTION("""COMPUTED_VALUE"""),"D001339550")</f>
        <v>D001339550</v>
      </c>
      <c r="K664" s="65" t="str">
        <f>IFERROR(__xludf.DUMMYFUNCTION("""COMPUTED_VALUE"""),"ENTREGADO")</f>
        <v>ENTREGADO</v>
      </c>
      <c r="L664" s="65" t="str">
        <f>IFERROR(__xludf.DUMMYFUNCTION("""COMPUTED_VALUE"""),"CON RECAUDO")</f>
        <v>CON RECAUDO</v>
      </c>
      <c r="M664" s="65" t="str">
        <f>IFERROR(__xludf.DUMMYFUNCTION("""COMPUTED_VALUE"""),"MANABI")</f>
        <v>MANABI</v>
      </c>
      <c r="N664" s="65" t="str">
        <f>IFERROR(__xludf.DUMMYFUNCTION("""COMPUTED_VALUE"""),"CHONE")</f>
        <v>CHONE</v>
      </c>
      <c r="O664" s="65" t="str">
        <f>IFERROR(__xludf.DUMMYFUNCTION("""COMPUTED_VALUE"""),"Calle Manuel de Jesús Álvarez entre salustio giler y 24 de mayo El paraíso y Vargas pazzos -")</f>
        <v>Calle Manuel de Jesús Álvarez entre salustio giler y 24 de mayo El paraíso y Vargas pazzos -</v>
      </c>
      <c r="P664" s="65"/>
      <c r="Q664" s="65" t="str">
        <f>IFERROR(__xludf.DUMMYFUNCTION("""COMPUTED_VALUE"""),"GINTRACOM")</f>
        <v>GINTRACOM</v>
      </c>
      <c r="R664" s="65">
        <f>IFERROR(__xludf.DUMMYFUNCTION("""COMPUTED_VALUE"""),32.0)</f>
        <v>32</v>
      </c>
      <c r="S664" s="65">
        <f>IFERROR(__xludf.DUMMYFUNCTION("""COMPUTED_VALUE"""),10.76)</f>
        <v>10.76</v>
      </c>
      <c r="T664" s="65">
        <f>IFERROR(__xludf.DUMMYFUNCTION("""COMPUTED_VALUE"""),6.24)</f>
        <v>6.24</v>
      </c>
      <c r="U664" s="65">
        <f>IFERROR(__xludf.DUMMYFUNCTION("""COMPUTED_VALUE"""),0.0)</f>
        <v>0</v>
      </c>
      <c r="V664" s="65">
        <f>IFERROR(__xludf.DUMMYFUNCTION("""COMPUTED_VALUE"""),0.0)</f>
        <v>0</v>
      </c>
      <c r="W664" s="65">
        <f>IFERROR(__xludf.DUMMYFUNCTION("""COMPUTED_VALUE"""),0.0)</f>
        <v>0</v>
      </c>
      <c r="X664" s="65">
        <f>IFERROR(__xludf.DUMMYFUNCTION("""COMPUTED_VALUE"""),3.75)</f>
        <v>3.75</v>
      </c>
      <c r="Y664" s="65">
        <f>IFERROR(__xludf.DUMMYFUNCTION("""COMPUTED_VALUE"""),15.0)</f>
        <v>15</v>
      </c>
      <c r="Z664" s="65">
        <f>IFERROR(__xludf.DUMMYFUNCTION("""COMPUTED_VALUE"""),113116.0)</f>
        <v>113116</v>
      </c>
      <c r="AA664" s="65" t="str">
        <f>IFERROR(__xludf.DUMMYFUNCTION("""COMPUTED_VALUE"""),"IM-TAZAKI")</f>
        <v>IM-TAZAKI</v>
      </c>
      <c r="AB664" s="65"/>
      <c r="AC664" s="65" t="str">
        <f>IFERROR(__xludf.DUMMYFUNCTION("""COMPUTED_VALUE"""),"Cuchillo tazaki")</f>
        <v>Cuchillo tazaki</v>
      </c>
      <c r="AD664" s="65"/>
      <c r="AE664" s="65">
        <f>IFERROR(__xludf.DUMMYFUNCTION("""COMPUTED_VALUE"""),4.0)</f>
        <v>4</v>
      </c>
      <c r="AF664" s="65"/>
      <c r="AG664" s="65"/>
      <c r="AH664" s="65"/>
      <c r="AI664" s="65"/>
      <c r="AJ664" s="65"/>
      <c r="AK664" s="65"/>
      <c r="AL664" s="65"/>
      <c r="AM664" s="65"/>
      <c r="AN664" s="65" t="str">
        <f>IFERROR(__xludf.DUMMYFUNCTION("""COMPUTED_VALUE"""),"10:36")</f>
        <v>10:36</v>
      </c>
      <c r="AO664" s="65" t="str">
        <f>IFERROR(__xludf.DUMMYFUNCTION("""COMPUTED_VALUE"""),"21-02-2026")</f>
        <v>21-02-2026</v>
      </c>
      <c r="AP664" s="65" t="str">
        <f>IFERROR(__xludf.DUMMYFUNCTION("""COMPUTED_VALUE"""),"ENTREGADA GINTRACOM")</f>
        <v>ENTREGADA GINTRACOM</v>
      </c>
      <c r="AQ664" s="65" t="str">
        <f>IFERROR(__xludf.DUMMYFUNCTION("""COMPUTED_VALUE"""),"ENTREGADA GINTRACOM")</f>
        <v>ENTREGADA GINTRACOM</v>
      </c>
      <c r="AR664" s="65"/>
      <c r="AS664" s="65"/>
      <c r="AT664" s="65" t="str">
        <f>IFERROR(__xludf.DUMMYFUNCTION("""COMPUTED_VALUE"""),"SHOPIFY")</f>
        <v>SHOPIFY</v>
      </c>
      <c r="AU664" s="65" t="str">
        <f>IFERROR(__xludf.DUMMYFUNCTION("""COMPUTED_VALUE"""),"IMPORTEX EC")</f>
        <v>IMPORTEX EC</v>
      </c>
      <c r="AV664" s="65" t="str">
        <f>IFERROR(__xludf.DUMMYFUNCTION("""COMPUTED_VALUE"""),"6507586945068")</f>
        <v>6507586945068</v>
      </c>
      <c r="AW664" s="65">
        <f>IFERROR(__xludf.DUMMYFUNCTION("""COMPUTED_VALUE"""),6216.0)</f>
        <v>6216</v>
      </c>
      <c r="AX664" s="65"/>
      <c r="AY664" s="65" t="str">
        <f>IFERROR(__xludf.DUMMYFUNCTION("""COMPUTED_VALUE"""),"19/02/2026")</f>
        <v>19/02/2026</v>
      </c>
      <c r="AZ664" s="65"/>
      <c r="BA664" s="65"/>
    </row>
    <row r="665">
      <c r="A665" s="65" t="str">
        <f>IFERROR(__xludf.DUMMYFUNCTION("""COMPUTED_VALUE"""),"27-03-2026")</f>
        <v>27-03-2026</v>
      </c>
      <c r="B665" s="65">
        <f>IFERROR(__xludf.DUMMYFUNCTION("""COMPUTED_VALUE"""),4523611.0)</f>
        <v>4523611</v>
      </c>
      <c r="C665" s="65" t="str">
        <f>IFERROR(__xludf.DUMMYFUNCTION("""COMPUTED_VALUE"""),"12:13")</f>
        <v>12:13</v>
      </c>
      <c r="D665" s="65" t="str">
        <f>IFERROR(__xludf.DUMMYFUNCTION("""COMPUTED_VALUE"""),"16-02-2026")</f>
        <v>16-02-2026</v>
      </c>
      <c r="E665" s="65" t="str">
        <f>IFERROR(__xludf.DUMMYFUNCTION("""COMPUTED_VALUE"""),"Jeni Tamay")</f>
        <v>Jeni Tamay</v>
      </c>
      <c r="F665" s="65" t="str">
        <f>IFERROR(__xludf.DUMMYFUNCTION("""COMPUTED_VALUE"""),"985986076")</f>
        <v>985986076</v>
      </c>
      <c r="G665" s="65" t="str">
        <f>IFERROR(__xludf.DUMMYFUNCTION("""COMPUTED_VALUE"""),"jhennytamay@gmail.com")</f>
        <v>jhennytamay@gmail.com</v>
      </c>
      <c r="H665" s="65"/>
      <c r="I665" s="65"/>
      <c r="J665" s="65"/>
      <c r="K665" s="65" t="str">
        <f>IFERROR(__xludf.DUMMYFUNCTION("""COMPUTED_VALUE"""),"CANCELADO")</f>
        <v>CANCELADO</v>
      </c>
      <c r="L665" s="65" t="str">
        <f>IFERROR(__xludf.DUMMYFUNCTION("""COMPUTED_VALUE"""),"CON RECAUDO")</f>
        <v>CON RECAUDO</v>
      </c>
      <c r="M665" s="65" t="str">
        <f>IFERROR(__xludf.DUMMYFUNCTION("""COMPUTED_VALUE"""),"AZUAY")</f>
        <v>AZUAY</v>
      </c>
      <c r="N665" s="65" t="str">
        <f>IFERROR(__xludf.DUMMYFUNCTION("""COMPUTED_VALUE"""),"CUENCA")</f>
        <v>CUENCA</v>
      </c>
      <c r="O665" s="65" t="str">
        <f>IFERROR(__xludf.DUMMYFUNCTION("""COMPUTED_VALUE"""),"Chilcapamba Servientrega -")</f>
        <v>Chilcapamba Servientrega -</v>
      </c>
      <c r="P665" s="65"/>
      <c r="Q665" s="65" t="str">
        <f>IFERROR(__xludf.DUMMYFUNCTION("""COMPUTED_VALUE"""),"GINTRACOM")</f>
        <v>GINTRACOM</v>
      </c>
      <c r="R665" s="65">
        <f>IFERROR(__xludf.DUMMYFUNCTION("""COMPUTED_VALUE"""),27.0)</f>
        <v>27</v>
      </c>
      <c r="S665" s="65"/>
      <c r="T665" s="65">
        <f>IFERROR(__xludf.DUMMYFUNCTION("""COMPUTED_VALUE"""),6.03)</f>
        <v>6.03</v>
      </c>
      <c r="U665" s="65">
        <f>IFERROR(__xludf.DUMMYFUNCTION("""COMPUTED_VALUE"""),0.0)</f>
        <v>0</v>
      </c>
      <c r="V665" s="65">
        <f>IFERROR(__xludf.DUMMYFUNCTION("""COMPUTED_VALUE"""),0.0)</f>
        <v>0</v>
      </c>
      <c r="W665" s="65">
        <f>IFERROR(__xludf.DUMMYFUNCTION("""COMPUTED_VALUE"""),0.0)</f>
        <v>0</v>
      </c>
      <c r="X665" s="65">
        <f>IFERROR(__xludf.DUMMYFUNCTION("""COMPUTED_VALUE"""),3.75)</f>
        <v>3.75</v>
      </c>
      <c r="Y665" s="65">
        <f>IFERROR(__xludf.DUMMYFUNCTION("""COMPUTED_VALUE"""),11.25)</f>
        <v>11.25</v>
      </c>
      <c r="Z665" s="65">
        <f>IFERROR(__xludf.DUMMYFUNCTION("""COMPUTED_VALUE"""),113116.0)</f>
        <v>113116</v>
      </c>
      <c r="AA665" s="65" t="str">
        <f>IFERROR(__xludf.DUMMYFUNCTION("""COMPUTED_VALUE"""),"IM-TAZAKI")</f>
        <v>IM-TAZAKI</v>
      </c>
      <c r="AB665" s="65"/>
      <c r="AC665" s="65" t="str">
        <f>IFERROR(__xludf.DUMMYFUNCTION("""COMPUTED_VALUE"""),"Cuchillo tazaki")</f>
        <v>Cuchillo tazaki</v>
      </c>
      <c r="AD665" s="65"/>
      <c r="AE665" s="65">
        <f>IFERROR(__xludf.DUMMYFUNCTION("""COMPUTED_VALUE"""),3.0)</f>
        <v>3</v>
      </c>
      <c r="AF665" s="65"/>
      <c r="AG665" s="65"/>
      <c r="AH665" s="65"/>
      <c r="AI665" s="65"/>
      <c r="AJ665" s="65"/>
      <c r="AK665" s="65"/>
      <c r="AL665" s="65"/>
      <c r="AM665" s="65"/>
      <c r="AN665" s="65"/>
      <c r="AO665" s="65"/>
      <c r="AP665" s="65"/>
      <c r="AQ665" s="65"/>
      <c r="AR665" s="65"/>
      <c r="AS665" s="65"/>
      <c r="AT665" s="65" t="str">
        <f>IFERROR(__xludf.DUMMYFUNCTION("""COMPUTED_VALUE"""),"SHOPIFY")</f>
        <v>SHOPIFY</v>
      </c>
      <c r="AU665" s="65" t="str">
        <f>IFERROR(__xludf.DUMMYFUNCTION("""COMPUTED_VALUE"""),"IMPORTEX EC")</f>
        <v>IMPORTEX EC</v>
      </c>
      <c r="AV665" s="65" t="str">
        <f>IFERROR(__xludf.DUMMYFUNCTION("""COMPUTED_VALUE"""),"6507550900268")</f>
        <v>6507550900268</v>
      </c>
      <c r="AW665" s="65">
        <f>IFERROR(__xludf.DUMMYFUNCTION("""COMPUTED_VALUE"""),6214.0)</f>
        <v>6214</v>
      </c>
      <c r="AX665" s="65"/>
      <c r="AY665" s="65"/>
      <c r="AZ665" s="65"/>
      <c r="BA665" s="65"/>
    </row>
    <row r="666">
      <c r="A666" s="65" t="str">
        <f>IFERROR(__xludf.DUMMYFUNCTION("""COMPUTED_VALUE"""),"27-03-2026")</f>
        <v>27-03-2026</v>
      </c>
      <c r="B666" s="65">
        <f>IFERROR(__xludf.DUMMYFUNCTION("""COMPUTED_VALUE"""),4523608.0)</f>
        <v>4523608</v>
      </c>
      <c r="C666" s="65" t="str">
        <f>IFERROR(__xludf.DUMMYFUNCTION("""COMPUTED_VALUE"""),"12:12")</f>
        <v>12:12</v>
      </c>
      <c r="D666" s="65" t="str">
        <f>IFERROR(__xludf.DUMMYFUNCTION("""COMPUTED_VALUE"""),"16-02-2026")</f>
        <v>16-02-2026</v>
      </c>
      <c r="E666" s="65" t="str">
        <f>IFERROR(__xludf.DUMMYFUNCTION("""COMPUTED_VALUE"""),"Elías Isaac Constantine")</f>
        <v>Elías Isaac Constantine</v>
      </c>
      <c r="F666" s="65" t="str">
        <f>IFERROR(__xludf.DUMMYFUNCTION("""COMPUTED_VALUE"""),"967127168")</f>
        <v>967127168</v>
      </c>
      <c r="G666" s="65" t="str">
        <f>IFERROR(__xludf.DUMMYFUNCTION("""COMPUTED_VALUE"""),"eicv40block@gmail.com")</f>
        <v>eicv40block@gmail.com</v>
      </c>
      <c r="H666" s="65"/>
      <c r="I666" s="65"/>
      <c r="J666" s="65" t="str">
        <f>IFERROR(__xludf.DUMMYFUNCTION("""COMPUTED_VALUE"""),"D001339551")</f>
        <v>D001339551</v>
      </c>
      <c r="K666" s="65" t="str">
        <f>IFERROR(__xludf.DUMMYFUNCTION("""COMPUTED_VALUE"""),"ENTREGADO")</f>
        <v>ENTREGADO</v>
      </c>
      <c r="L666" s="65" t="str">
        <f>IFERROR(__xludf.DUMMYFUNCTION("""COMPUTED_VALUE"""),"CON RECAUDO")</f>
        <v>CON RECAUDO</v>
      </c>
      <c r="M666" s="65" t="str">
        <f>IFERROR(__xludf.DUMMYFUNCTION("""COMPUTED_VALUE"""),"PICHINCHA")</f>
        <v>PICHINCHA</v>
      </c>
      <c r="N666" s="65" t="str">
        <f>IFERROR(__xludf.DUMMYFUNCTION("""COMPUTED_VALUE"""),"QUITO")</f>
        <v>QUITO</v>
      </c>
      <c r="O666" s="65" t="str">
        <f>IFERROR(__xludf.DUMMYFUNCTION("""COMPUTED_VALUE"""),"Liborio Madera y José Ordóñez Carcelen, Frente a la escuela FEDERICO González, casa amarilla de 2 pisos puerta negra -")</f>
        <v>Liborio Madera y José Ordóñez Carcelen, Frente a la escuela FEDERICO González, casa amarilla de 2 pisos puerta negra -</v>
      </c>
      <c r="P666" s="65"/>
      <c r="Q666" s="65" t="str">
        <f>IFERROR(__xludf.DUMMYFUNCTION("""COMPUTED_VALUE"""),"GINTRACOM")</f>
        <v>GINTRACOM</v>
      </c>
      <c r="R666" s="65">
        <f>IFERROR(__xludf.DUMMYFUNCTION("""COMPUTED_VALUE"""),27.0)</f>
        <v>27</v>
      </c>
      <c r="S666" s="65">
        <f>IFERROR(__xludf.DUMMYFUNCTION("""COMPUTED_VALUE"""),11.33)</f>
        <v>11.33</v>
      </c>
      <c r="T666" s="65">
        <f>IFERROR(__xludf.DUMMYFUNCTION("""COMPUTED_VALUE"""),4.42)</f>
        <v>4.42</v>
      </c>
      <c r="U666" s="65">
        <f>IFERROR(__xludf.DUMMYFUNCTION("""COMPUTED_VALUE"""),0.0)</f>
        <v>0</v>
      </c>
      <c r="V666" s="65">
        <f>IFERROR(__xludf.DUMMYFUNCTION("""COMPUTED_VALUE"""),0.0)</f>
        <v>0</v>
      </c>
      <c r="W666" s="65">
        <f>IFERROR(__xludf.DUMMYFUNCTION("""COMPUTED_VALUE"""),0.0)</f>
        <v>0</v>
      </c>
      <c r="X666" s="65">
        <f>IFERROR(__xludf.DUMMYFUNCTION("""COMPUTED_VALUE"""),3.75)</f>
        <v>3.75</v>
      </c>
      <c r="Y666" s="65">
        <f>IFERROR(__xludf.DUMMYFUNCTION("""COMPUTED_VALUE"""),11.25)</f>
        <v>11.25</v>
      </c>
      <c r="Z666" s="65">
        <f>IFERROR(__xludf.DUMMYFUNCTION("""COMPUTED_VALUE"""),113116.0)</f>
        <v>113116</v>
      </c>
      <c r="AA666" s="65" t="str">
        <f>IFERROR(__xludf.DUMMYFUNCTION("""COMPUTED_VALUE"""),"IM-TAZAKI")</f>
        <v>IM-TAZAKI</v>
      </c>
      <c r="AB666" s="65"/>
      <c r="AC666" s="65" t="str">
        <f>IFERROR(__xludf.DUMMYFUNCTION("""COMPUTED_VALUE"""),"Cuchillo tazaki")</f>
        <v>Cuchillo tazaki</v>
      </c>
      <c r="AD666" s="65"/>
      <c r="AE666" s="65">
        <f>IFERROR(__xludf.DUMMYFUNCTION("""COMPUTED_VALUE"""),3.0)</f>
        <v>3</v>
      </c>
      <c r="AF666" s="65" t="str">
        <f>IFERROR(__xludf.DUMMYFUNCTION("""COMPUTED_VALUE"""),"DESTINATARIO NO CONTESTA LLAMADAS NI WHATSAPP")</f>
        <v>DESTINATARIO NO CONTESTA LLAMADAS NI WHATSAPP</v>
      </c>
      <c r="AG666" s="65" t="str">
        <f>IFERROR(__xludf.DUMMYFUNCTION("""COMPUTED_VALUE"""),"SI")</f>
        <v>SI</v>
      </c>
      <c r="AH666" s="65" t="str">
        <f>IFERROR(__xludf.DUMMYFUNCTION("""COMPUTED_VALUE"""),"11:08")</f>
        <v>11:08</v>
      </c>
      <c r="AI666" s="65" t="str">
        <f>IFERROR(__xludf.DUMMYFUNCTION("""COMPUTED_VALUE"""),"21-02-2026")</f>
        <v>21-02-2026</v>
      </c>
      <c r="AJ666" s="65" t="str">
        <f>IFERROR(__xludf.DUMMYFUNCTION("""COMPUTED_VALUE"""),"CLIENTE SOLICITA LA ENTREGA INMEDIATA")</f>
        <v>CLIENTE SOLICITA LA ENTREGA INMEDIATA</v>
      </c>
      <c r="AK666" s="65" t="str">
        <f>IFERROR(__xludf.DUMMYFUNCTION("""COMPUTED_VALUE"""),"11:54")</f>
        <v>11:54</v>
      </c>
      <c r="AL666" s="65" t="str">
        <f>IFERROR(__xludf.DUMMYFUNCTION("""COMPUTED_VALUE"""),"24-02-2026")</f>
        <v>24-02-2026</v>
      </c>
      <c r="AM666" s="65"/>
      <c r="AN666" s="65" t="str">
        <f>IFERROR(__xludf.DUMMYFUNCTION("""COMPUTED_VALUE"""),"12:28")</f>
        <v>12:28</v>
      </c>
      <c r="AO666" s="65" t="str">
        <f>IFERROR(__xludf.DUMMYFUNCTION("""COMPUTED_VALUE"""),"25-02-2026")</f>
        <v>25-02-2026</v>
      </c>
      <c r="AP666" s="65" t="str">
        <f>IFERROR(__xludf.DUMMYFUNCTION("""COMPUTED_VALUE"""),"ENTREGADA GINTRACOM")</f>
        <v>ENTREGADA GINTRACOM</v>
      </c>
      <c r="AQ666" s="65" t="str">
        <f>IFERROR(__xludf.DUMMYFUNCTION("""COMPUTED_VALUE"""),"ENTREGADA GINTRACOM")</f>
        <v>ENTREGADA GINTRACOM</v>
      </c>
      <c r="AR666" s="65"/>
      <c r="AS666" s="65"/>
      <c r="AT666" s="65" t="str">
        <f>IFERROR(__xludf.DUMMYFUNCTION("""COMPUTED_VALUE"""),"SHOPIFY")</f>
        <v>SHOPIFY</v>
      </c>
      <c r="AU666" s="65" t="str">
        <f>IFERROR(__xludf.DUMMYFUNCTION("""COMPUTED_VALUE"""),"IMPORTEX EC")</f>
        <v>IMPORTEX EC</v>
      </c>
      <c r="AV666" s="65" t="str">
        <f>IFERROR(__xludf.DUMMYFUNCTION("""COMPUTED_VALUE"""),"6507506630700")</f>
        <v>6507506630700</v>
      </c>
      <c r="AW666" s="65">
        <f>IFERROR(__xludf.DUMMYFUNCTION("""COMPUTED_VALUE"""),6210.0)</f>
        <v>6210</v>
      </c>
      <c r="AX666" s="65"/>
      <c r="AY666" s="65" t="str">
        <f>IFERROR(__xludf.DUMMYFUNCTION("""COMPUTED_VALUE"""),"19/02/2026")</f>
        <v>19/02/2026</v>
      </c>
      <c r="AZ666" s="65"/>
      <c r="BA666" s="65"/>
    </row>
    <row r="667">
      <c r="A667" s="65" t="str">
        <f>IFERROR(__xludf.DUMMYFUNCTION("""COMPUTED_VALUE"""),"27-03-2026")</f>
        <v>27-03-2026</v>
      </c>
      <c r="B667" s="65">
        <f>IFERROR(__xludf.DUMMYFUNCTION("""COMPUTED_VALUE"""),4523603.0)</f>
        <v>4523603</v>
      </c>
      <c r="C667" s="65" t="str">
        <f>IFERROR(__xludf.DUMMYFUNCTION("""COMPUTED_VALUE"""),"12:12")</f>
        <v>12:12</v>
      </c>
      <c r="D667" s="65" t="str">
        <f>IFERROR(__xludf.DUMMYFUNCTION("""COMPUTED_VALUE"""),"16-02-2026")</f>
        <v>16-02-2026</v>
      </c>
      <c r="E667" s="65" t="str">
        <f>IFERROR(__xludf.DUMMYFUNCTION("""COMPUTED_VALUE"""),"Jessica Misquero")</f>
        <v>Jessica Misquero</v>
      </c>
      <c r="F667" s="65" t="str">
        <f>IFERROR(__xludf.DUMMYFUNCTION("""COMPUTED_VALUE"""),"969189390")</f>
        <v>969189390</v>
      </c>
      <c r="G667" s="65" t="str">
        <f>IFERROR(__xludf.DUMMYFUNCTION("""COMPUTED_VALUE"""),"gord-edu@hotmail.com")</f>
        <v>gord-edu@hotmail.com</v>
      </c>
      <c r="H667" s="65"/>
      <c r="I667" s="65"/>
      <c r="J667" s="65" t="str">
        <f>IFERROR(__xludf.DUMMYFUNCTION("""COMPUTED_VALUE"""),"D001339552")</f>
        <v>D001339552</v>
      </c>
      <c r="K667" s="65" t="str">
        <f>IFERROR(__xludf.DUMMYFUNCTION("""COMPUTED_VALUE"""),"ENTREGADO")</f>
        <v>ENTREGADO</v>
      </c>
      <c r="L667" s="65" t="str">
        <f>IFERROR(__xludf.DUMMYFUNCTION("""COMPUTED_VALUE"""),"CON RECAUDO")</f>
        <v>CON RECAUDO</v>
      </c>
      <c r="M667" s="65" t="str">
        <f>IFERROR(__xludf.DUMMYFUNCTION("""COMPUTED_VALUE"""),"MORONA SANTIAGO")</f>
        <v>MORONA SANTIAGO</v>
      </c>
      <c r="N667" s="65" t="str">
        <f>IFERROR(__xludf.DUMMYFUNCTION("""COMPUTED_VALUE"""),"MACAS")</f>
        <v>MACAS</v>
      </c>
      <c r="O667" s="65" t="str">
        <f>IFERROR(__xludf.DUMMYFUNCTION("""COMPUTED_VALUE"""),"Pastaza y 9 de Octubre Frente de la tienda los canelos - barrio los canelos")</f>
        <v>Pastaza y 9 de Octubre Frente de la tienda los canelos - barrio los canelos</v>
      </c>
      <c r="P667" s="65"/>
      <c r="Q667" s="65" t="str">
        <f>IFERROR(__xludf.DUMMYFUNCTION("""COMPUTED_VALUE"""),"GINTRACOM")</f>
        <v>GINTRACOM</v>
      </c>
      <c r="R667" s="65">
        <f>IFERROR(__xludf.DUMMYFUNCTION("""COMPUTED_VALUE"""),32.0)</f>
        <v>32</v>
      </c>
      <c r="S667" s="65">
        <f>IFERROR(__xludf.DUMMYFUNCTION("""COMPUTED_VALUE"""),10.76)</f>
        <v>10.76</v>
      </c>
      <c r="T667" s="65">
        <f>IFERROR(__xludf.DUMMYFUNCTION("""COMPUTED_VALUE"""),6.24)</f>
        <v>6.24</v>
      </c>
      <c r="U667" s="65">
        <f>IFERROR(__xludf.DUMMYFUNCTION("""COMPUTED_VALUE"""),0.0)</f>
        <v>0</v>
      </c>
      <c r="V667" s="65">
        <f>IFERROR(__xludf.DUMMYFUNCTION("""COMPUTED_VALUE"""),0.0)</f>
        <v>0</v>
      </c>
      <c r="W667" s="65">
        <f>IFERROR(__xludf.DUMMYFUNCTION("""COMPUTED_VALUE"""),0.0)</f>
        <v>0</v>
      </c>
      <c r="X667" s="65">
        <f>IFERROR(__xludf.DUMMYFUNCTION("""COMPUTED_VALUE"""),3.75)</f>
        <v>3.75</v>
      </c>
      <c r="Y667" s="65">
        <f>IFERROR(__xludf.DUMMYFUNCTION("""COMPUTED_VALUE"""),15.0)</f>
        <v>15</v>
      </c>
      <c r="Z667" s="65">
        <f>IFERROR(__xludf.DUMMYFUNCTION("""COMPUTED_VALUE"""),113116.0)</f>
        <v>113116</v>
      </c>
      <c r="AA667" s="65" t="str">
        <f>IFERROR(__xludf.DUMMYFUNCTION("""COMPUTED_VALUE"""),"IM-TAZAKI")</f>
        <v>IM-TAZAKI</v>
      </c>
      <c r="AB667" s="65"/>
      <c r="AC667" s="65" t="str">
        <f>IFERROR(__xludf.DUMMYFUNCTION("""COMPUTED_VALUE"""),"Cuchillo tazaki")</f>
        <v>Cuchillo tazaki</v>
      </c>
      <c r="AD667" s="65"/>
      <c r="AE667" s="65">
        <f>IFERROR(__xludf.DUMMYFUNCTION("""COMPUTED_VALUE"""),4.0)</f>
        <v>4</v>
      </c>
      <c r="AF667" s="65"/>
      <c r="AG667" s="65"/>
      <c r="AH667" s="65"/>
      <c r="AI667" s="65"/>
      <c r="AJ667" s="65"/>
      <c r="AK667" s="65"/>
      <c r="AL667" s="65"/>
      <c r="AM667" s="65"/>
      <c r="AN667" s="65" t="str">
        <f>IFERROR(__xludf.DUMMYFUNCTION("""COMPUTED_VALUE"""),"17:37")</f>
        <v>17:37</v>
      </c>
      <c r="AO667" s="65" t="str">
        <f>IFERROR(__xludf.DUMMYFUNCTION("""COMPUTED_VALUE"""),"20-02-2026")</f>
        <v>20-02-2026</v>
      </c>
      <c r="AP667" s="65" t="str">
        <f>IFERROR(__xludf.DUMMYFUNCTION("""COMPUTED_VALUE"""),"ENTREGADA GINTRACOM")</f>
        <v>ENTREGADA GINTRACOM</v>
      </c>
      <c r="AQ667" s="65" t="str">
        <f>IFERROR(__xludf.DUMMYFUNCTION("""COMPUTED_VALUE"""),"ENTREGADA GINTRACOM")</f>
        <v>ENTREGADA GINTRACOM</v>
      </c>
      <c r="AR667" s="65"/>
      <c r="AS667" s="65"/>
      <c r="AT667" s="65" t="str">
        <f>IFERROR(__xludf.DUMMYFUNCTION("""COMPUTED_VALUE"""),"SHOPIFY")</f>
        <v>SHOPIFY</v>
      </c>
      <c r="AU667" s="65" t="str">
        <f>IFERROR(__xludf.DUMMYFUNCTION("""COMPUTED_VALUE"""),"IMPORTEX EC")</f>
        <v>IMPORTEX EC</v>
      </c>
      <c r="AV667" s="65" t="str">
        <f>IFERROR(__xludf.DUMMYFUNCTION("""COMPUTED_VALUE"""),"6507464065068")</f>
        <v>6507464065068</v>
      </c>
      <c r="AW667" s="65">
        <f>IFERROR(__xludf.DUMMYFUNCTION("""COMPUTED_VALUE"""),6208.0)</f>
        <v>6208</v>
      </c>
      <c r="AX667" s="65"/>
      <c r="AY667" s="65" t="str">
        <f>IFERROR(__xludf.DUMMYFUNCTION("""COMPUTED_VALUE"""),"19/02/2026")</f>
        <v>19/02/2026</v>
      </c>
      <c r="AZ667" s="65"/>
      <c r="BA667" s="65"/>
    </row>
    <row r="668">
      <c r="A668" s="65" t="str">
        <f>IFERROR(__xludf.DUMMYFUNCTION("""COMPUTED_VALUE"""),"27-03-2026")</f>
        <v>27-03-2026</v>
      </c>
      <c r="B668" s="65">
        <f>IFERROR(__xludf.DUMMYFUNCTION("""COMPUTED_VALUE"""),4523600.0)</f>
        <v>4523600</v>
      </c>
      <c r="C668" s="65" t="str">
        <f>IFERROR(__xludf.DUMMYFUNCTION("""COMPUTED_VALUE"""),"12:12")</f>
        <v>12:12</v>
      </c>
      <c r="D668" s="65" t="str">
        <f>IFERROR(__xludf.DUMMYFUNCTION("""COMPUTED_VALUE"""),"16-02-2026")</f>
        <v>16-02-2026</v>
      </c>
      <c r="E668" s="65" t="str">
        <f>IFERROR(__xludf.DUMMYFUNCTION("""COMPUTED_VALUE"""),"GUSTAVO REVELO")</f>
        <v>GUSTAVO REVELO</v>
      </c>
      <c r="F668" s="65" t="str">
        <f>IFERROR(__xludf.DUMMYFUNCTION("""COMPUTED_VALUE"""),"982876493")</f>
        <v>982876493</v>
      </c>
      <c r="G668" s="65" t="str">
        <f>IFERROR(__xludf.DUMMYFUNCTION("""COMPUTED_VALUE"""),"gus.revelo47@gmail.com")</f>
        <v>gus.revelo47@gmail.com</v>
      </c>
      <c r="H668" s="65"/>
      <c r="I668" s="65"/>
      <c r="J668" s="65" t="str">
        <f>IFERROR(__xludf.DUMMYFUNCTION("""COMPUTED_VALUE"""),"D001340302")</f>
        <v>D001340302</v>
      </c>
      <c r="K668" s="65" t="str">
        <f>IFERROR(__xludf.DUMMYFUNCTION("""COMPUTED_VALUE"""),"ENTREGADO")</f>
        <v>ENTREGADO</v>
      </c>
      <c r="L668" s="65" t="str">
        <f>IFERROR(__xludf.DUMMYFUNCTION("""COMPUTED_VALUE"""),"CON RECAUDO")</f>
        <v>CON RECAUDO</v>
      </c>
      <c r="M668" s="65" t="str">
        <f>IFERROR(__xludf.DUMMYFUNCTION("""COMPUTED_VALUE"""),"CARCHI")</f>
        <v>CARCHI</v>
      </c>
      <c r="N668" s="65" t="str">
        <f>IFERROR(__xludf.DUMMYFUNCTION("""COMPUTED_VALUE"""),"TULCAN")</f>
        <v>TULCAN</v>
      </c>
      <c r="O668" s="65" t="str">
        <f>IFERROR(__xludf.DUMMYFUNCTION("""COMPUTED_VALUE"""),"Av. San Francisco y Pablo A. Vela REFERENCIA : Frente a Aduanor -")</f>
        <v>Av. San Francisco y Pablo A. Vela REFERENCIA : Frente a Aduanor -</v>
      </c>
      <c r="P668" s="65"/>
      <c r="Q668" s="65" t="str">
        <f>IFERROR(__xludf.DUMMYFUNCTION("""COMPUTED_VALUE"""),"GINTRACOM")</f>
        <v>GINTRACOM</v>
      </c>
      <c r="R668" s="65">
        <f>IFERROR(__xludf.DUMMYFUNCTION("""COMPUTED_VALUE"""),20.0)</f>
        <v>20</v>
      </c>
      <c r="S668" s="65">
        <f>IFERROR(__xludf.DUMMYFUNCTION("""COMPUTED_VALUE"""),11.84)</f>
        <v>11.84</v>
      </c>
      <c r="T668" s="65">
        <f>IFERROR(__xludf.DUMMYFUNCTION("""COMPUTED_VALUE"""),5.76)</f>
        <v>5.76</v>
      </c>
      <c r="U668" s="65">
        <f>IFERROR(__xludf.DUMMYFUNCTION("""COMPUTED_VALUE"""),0.0)</f>
        <v>0</v>
      </c>
      <c r="V668" s="65">
        <f>IFERROR(__xludf.DUMMYFUNCTION("""COMPUTED_VALUE"""),0.0)</f>
        <v>0</v>
      </c>
      <c r="W668" s="65">
        <f>IFERROR(__xludf.DUMMYFUNCTION("""COMPUTED_VALUE"""),0.0)</f>
        <v>0</v>
      </c>
      <c r="X668" s="65">
        <f>IFERROR(__xludf.DUMMYFUNCTION("""COMPUTED_VALUE"""),2.4)</f>
        <v>2.4</v>
      </c>
      <c r="Y668" s="65">
        <f>IFERROR(__xludf.DUMMYFUNCTION("""COMPUTED_VALUE"""),2.4)</f>
        <v>2.4</v>
      </c>
      <c r="Z668" s="65">
        <f>IFERROR(__xludf.DUMMYFUNCTION("""COMPUTED_VALUE"""),120732.0)</f>
        <v>120732</v>
      </c>
      <c r="AA668" s="65" t="str">
        <f>IFERROR(__xludf.DUMMYFUNCTION("""COMPUTED_VALUE"""),"PROV-LMPVT")</f>
        <v>PROV-LMPVT</v>
      </c>
      <c r="AB668" s="65"/>
      <c r="AC668" s="65" t="str">
        <f>IFERROR(__xludf.DUMMYFUNCTION("""COMPUTED_VALUE"""),"LIMPIADOR DE PARABRISAS Y VENTANAS")</f>
        <v>LIMPIADOR DE PARABRISAS Y VENTANAS</v>
      </c>
      <c r="AD668" s="65"/>
      <c r="AE668" s="65">
        <f>IFERROR(__xludf.DUMMYFUNCTION("""COMPUTED_VALUE"""),1.0)</f>
        <v>1</v>
      </c>
      <c r="AF668" s="65"/>
      <c r="AG668" s="65"/>
      <c r="AH668" s="65"/>
      <c r="AI668" s="65"/>
      <c r="AJ668" s="65"/>
      <c r="AK668" s="65"/>
      <c r="AL668" s="65"/>
      <c r="AM668" s="65"/>
      <c r="AN668" s="65" t="str">
        <f>IFERROR(__xludf.DUMMYFUNCTION("""COMPUTED_VALUE"""),"13:08")</f>
        <v>13:08</v>
      </c>
      <c r="AO668" s="65" t="str">
        <f>IFERROR(__xludf.DUMMYFUNCTION("""COMPUTED_VALUE"""),"24-02-2026")</f>
        <v>24-02-2026</v>
      </c>
      <c r="AP668" s="65" t="str">
        <f>IFERROR(__xludf.DUMMYFUNCTION("""COMPUTED_VALUE"""),"ENTREGADA GINTRACOM")</f>
        <v>ENTREGADA GINTRACOM</v>
      </c>
      <c r="AQ668" s="65" t="str">
        <f>IFERROR(__xludf.DUMMYFUNCTION("""COMPUTED_VALUE"""),"ENTREGADA GINTRACOM")</f>
        <v>ENTREGADA GINTRACOM</v>
      </c>
      <c r="AR668" s="65"/>
      <c r="AS668" s="65"/>
      <c r="AT668" s="65" t="str">
        <f>IFERROR(__xludf.DUMMYFUNCTION("""COMPUTED_VALUE"""),"SHOPIFY")</f>
        <v>SHOPIFY</v>
      </c>
      <c r="AU668" s="65" t="str">
        <f>IFERROR(__xludf.DUMMYFUNCTION("""COMPUTED_VALUE"""),"IMPORTEX EC")</f>
        <v>IMPORTEX EC</v>
      </c>
      <c r="AV668" s="65" t="str">
        <f>IFERROR(__xludf.DUMMYFUNCTION("""COMPUTED_VALUE"""),"6507935203372")</f>
        <v>6507935203372</v>
      </c>
      <c r="AW668" s="65">
        <f>IFERROR(__xludf.DUMMYFUNCTION("""COMPUTED_VALUE"""),6224.0)</f>
        <v>6224</v>
      </c>
      <c r="AX668" s="65"/>
      <c r="AY668" s="65" t="str">
        <f>IFERROR(__xludf.DUMMYFUNCTION("""COMPUTED_VALUE"""),"19/02/2026")</f>
        <v>19/02/2026</v>
      </c>
      <c r="AZ668" s="65"/>
      <c r="BA668" s="65"/>
    </row>
    <row r="669">
      <c r="A669" s="65" t="str">
        <f>IFERROR(__xludf.DUMMYFUNCTION("""COMPUTED_VALUE"""),"27-03-2026")</f>
        <v>27-03-2026</v>
      </c>
      <c r="B669" s="65">
        <f>IFERROR(__xludf.DUMMYFUNCTION("""COMPUTED_VALUE"""),4523591.0)</f>
        <v>4523591</v>
      </c>
      <c r="C669" s="65" t="str">
        <f>IFERROR(__xludf.DUMMYFUNCTION("""COMPUTED_VALUE"""),"12:11")</f>
        <v>12:11</v>
      </c>
      <c r="D669" s="65" t="str">
        <f>IFERROR(__xludf.DUMMYFUNCTION("""COMPUTED_VALUE"""),"16-02-2026")</f>
        <v>16-02-2026</v>
      </c>
      <c r="E669" s="65" t="str">
        <f>IFERROR(__xludf.DUMMYFUNCTION("""COMPUTED_VALUE"""),"Jose Cartagena")</f>
        <v>Jose Cartagena</v>
      </c>
      <c r="F669" s="65" t="str">
        <f>IFERROR(__xludf.DUMMYFUNCTION("""COMPUTED_VALUE"""),"999683818")</f>
        <v>999683818</v>
      </c>
      <c r="G669" s="65"/>
      <c r="H669" s="65"/>
      <c r="I669" s="65"/>
      <c r="J669" s="65"/>
      <c r="K669" s="65" t="str">
        <f>IFERROR(__xludf.DUMMYFUNCTION("""COMPUTED_VALUE"""),"CANCELADO")</f>
        <v>CANCELADO</v>
      </c>
      <c r="L669" s="65" t="str">
        <f>IFERROR(__xludf.DUMMYFUNCTION("""COMPUTED_VALUE"""),"CON RECAUDO")</f>
        <v>CON RECAUDO</v>
      </c>
      <c r="M669" s="65" t="str">
        <f>IFERROR(__xludf.DUMMYFUNCTION("""COMPUTED_VALUE"""),"IMBABURA")</f>
        <v>IMBABURA</v>
      </c>
      <c r="N669" s="65" t="str">
        <f>IFERROR(__xludf.DUMMYFUNCTION("""COMPUTED_VALUE"""),"IBARRA")</f>
        <v>IBARRA</v>
      </c>
      <c r="O669" s="65" t="str">
        <f>IFERROR(__xludf.DUMMYFUNCTION("""COMPUTED_VALUE"""),"Sanches cifuentes y Pedro monção Centro norte.. oficinas de servientrega -")</f>
        <v>Sanches cifuentes y Pedro monção Centro norte.. oficinas de servientrega -</v>
      </c>
      <c r="P669" s="65"/>
      <c r="Q669" s="65" t="str">
        <f>IFERROR(__xludf.DUMMYFUNCTION("""COMPUTED_VALUE"""),"GINTRACOM")</f>
        <v>GINTRACOM</v>
      </c>
      <c r="R669" s="65">
        <f>IFERROR(__xludf.DUMMYFUNCTION("""COMPUTED_VALUE"""),27.0)</f>
        <v>27</v>
      </c>
      <c r="S669" s="65"/>
      <c r="T669" s="65">
        <f>IFERROR(__xludf.DUMMYFUNCTION("""COMPUTED_VALUE"""),6.03)</f>
        <v>6.03</v>
      </c>
      <c r="U669" s="65">
        <f>IFERROR(__xludf.DUMMYFUNCTION("""COMPUTED_VALUE"""),0.0)</f>
        <v>0</v>
      </c>
      <c r="V669" s="65">
        <f>IFERROR(__xludf.DUMMYFUNCTION("""COMPUTED_VALUE"""),0.0)</f>
        <v>0</v>
      </c>
      <c r="W669" s="65">
        <f>IFERROR(__xludf.DUMMYFUNCTION("""COMPUTED_VALUE"""),0.0)</f>
        <v>0</v>
      </c>
      <c r="X669" s="65">
        <f>IFERROR(__xludf.DUMMYFUNCTION("""COMPUTED_VALUE"""),3.75)</f>
        <v>3.75</v>
      </c>
      <c r="Y669" s="65">
        <f>IFERROR(__xludf.DUMMYFUNCTION("""COMPUTED_VALUE"""),11.25)</f>
        <v>11.25</v>
      </c>
      <c r="Z669" s="65">
        <f>IFERROR(__xludf.DUMMYFUNCTION("""COMPUTED_VALUE"""),113116.0)</f>
        <v>113116</v>
      </c>
      <c r="AA669" s="65" t="str">
        <f>IFERROR(__xludf.DUMMYFUNCTION("""COMPUTED_VALUE"""),"IM-TAZAKI")</f>
        <v>IM-TAZAKI</v>
      </c>
      <c r="AB669" s="65"/>
      <c r="AC669" s="65" t="str">
        <f>IFERROR(__xludf.DUMMYFUNCTION("""COMPUTED_VALUE"""),"Cuchillo tazaki")</f>
        <v>Cuchillo tazaki</v>
      </c>
      <c r="AD669" s="65"/>
      <c r="AE669" s="65">
        <f>IFERROR(__xludf.DUMMYFUNCTION("""COMPUTED_VALUE"""),3.0)</f>
        <v>3</v>
      </c>
      <c r="AF669" s="65"/>
      <c r="AG669" s="65"/>
      <c r="AH669" s="65"/>
      <c r="AI669" s="65"/>
      <c r="AJ669" s="65"/>
      <c r="AK669" s="65"/>
      <c r="AL669" s="65"/>
      <c r="AM669" s="65"/>
      <c r="AN669" s="65"/>
      <c r="AO669" s="65"/>
      <c r="AP669" s="65"/>
      <c r="AQ669" s="65"/>
      <c r="AR669" s="65"/>
      <c r="AS669" s="65"/>
      <c r="AT669" s="65" t="str">
        <f>IFERROR(__xludf.DUMMYFUNCTION("""COMPUTED_VALUE"""),"SHOPIFY")</f>
        <v>SHOPIFY</v>
      </c>
      <c r="AU669" s="65" t="str">
        <f>IFERROR(__xludf.DUMMYFUNCTION("""COMPUTED_VALUE"""),"IMPORTEX EC")</f>
        <v>IMPORTEX EC</v>
      </c>
      <c r="AV669" s="65" t="str">
        <f>IFERROR(__xludf.DUMMYFUNCTION("""COMPUTED_VALUE"""),"6507441651756")</f>
        <v>6507441651756</v>
      </c>
      <c r="AW669" s="65">
        <f>IFERROR(__xludf.DUMMYFUNCTION("""COMPUTED_VALUE"""),6203.0)</f>
        <v>6203</v>
      </c>
      <c r="AX669" s="65"/>
      <c r="AY669" s="65"/>
      <c r="AZ669" s="65"/>
      <c r="BA669" s="65"/>
    </row>
    <row r="670">
      <c r="A670" s="65" t="str">
        <f>IFERROR(__xludf.DUMMYFUNCTION("""COMPUTED_VALUE"""),"27-03-2026")</f>
        <v>27-03-2026</v>
      </c>
      <c r="B670" s="65">
        <f>IFERROR(__xludf.DUMMYFUNCTION("""COMPUTED_VALUE"""),4523574.0)</f>
        <v>4523574</v>
      </c>
      <c r="C670" s="65" t="str">
        <f>IFERROR(__xludf.DUMMYFUNCTION("""COMPUTED_VALUE"""),"12:10")</f>
        <v>12:10</v>
      </c>
      <c r="D670" s="65" t="str">
        <f>IFERROR(__xludf.DUMMYFUNCTION("""COMPUTED_VALUE"""),"16-02-2026")</f>
        <v>16-02-2026</v>
      </c>
      <c r="E670" s="65" t="str">
        <f>IFERROR(__xludf.DUMMYFUNCTION("""COMPUTED_VALUE"""),"Carlos Álava")</f>
        <v>Carlos Álava</v>
      </c>
      <c r="F670" s="65" t="str">
        <f>IFERROR(__xludf.DUMMYFUNCTION("""COMPUTED_VALUE"""),"967718895")</f>
        <v>967718895</v>
      </c>
      <c r="G670" s="65" t="str">
        <f>IFERROR(__xludf.DUMMYFUNCTION("""COMPUTED_VALUE"""),"carlosanselmoalava@gmail.com")</f>
        <v>carlosanselmoalava@gmail.com</v>
      </c>
      <c r="H670" s="65"/>
      <c r="I670" s="65"/>
      <c r="J670" s="65" t="str">
        <f>IFERROR(__xludf.DUMMYFUNCTION("""COMPUTED_VALUE"""),"D001339553")</f>
        <v>D001339553</v>
      </c>
      <c r="K670" s="65" t="str">
        <f>IFERROR(__xludf.DUMMYFUNCTION("""COMPUTED_VALUE"""),"ENTREGADO")</f>
        <v>ENTREGADO</v>
      </c>
      <c r="L670" s="65" t="str">
        <f>IFERROR(__xludf.DUMMYFUNCTION("""COMPUTED_VALUE"""),"CON RECAUDO")</f>
        <v>CON RECAUDO</v>
      </c>
      <c r="M670" s="65" t="str">
        <f>IFERROR(__xludf.DUMMYFUNCTION("""COMPUTED_VALUE"""),"PICHINCHA")</f>
        <v>PICHINCHA</v>
      </c>
      <c r="N670" s="65" t="str">
        <f>IFERROR(__xludf.DUMMYFUNCTION("""COMPUTED_VALUE"""),"QUITO")</f>
        <v>QUITO</v>
      </c>
      <c r="O670" s="65" t="str">
        <f>IFERROR(__xludf.DUMMYFUNCTION("""COMPUTED_VALUE"""),"Teresa Tipanta y Llira ñan La Aracadia - Panadería esquinera el buen sabor")</f>
        <v>Teresa Tipanta y Llira ñan La Aracadia - Panadería esquinera el buen sabor</v>
      </c>
      <c r="P670" s="65"/>
      <c r="Q670" s="65" t="str">
        <f>IFERROR(__xludf.DUMMYFUNCTION("""COMPUTED_VALUE"""),"GINTRACOM")</f>
        <v>GINTRACOM</v>
      </c>
      <c r="R670" s="65">
        <f>IFERROR(__xludf.DUMMYFUNCTION("""COMPUTED_VALUE"""),22.0)</f>
        <v>22</v>
      </c>
      <c r="S670" s="65">
        <f>IFERROR(__xludf.DUMMYFUNCTION("""COMPUTED_VALUE"""),10.27)</f>
        <v>10.27</v>
      </c>
      <c r="T670" s="65">
        <f>IFERROR(__xludf.DUMMYFUNCTION("""COMPUTED_VALUE"""),4.23)</f>
        <v>4.23</v>
      </c>
      <c r="U670" s="65">
        <f>IFERROR(__xludf.DUMMYFUNCTION("""COMPUTED_VALUE"""),0.0)</f>
        <v>0</v>
      </c>
      <c r="V670" s="65">
        <f>IFERROR(__xludf.DUMMYFUNCTION("""COMPUTED_VALUE"""),0.0)</f>
        <v>0</v>
      </c>
      <c r="W670" s="65">
        <f>IFERROR(__xludf.DUMMYFUNCTION("""COMPUTED_VALUE"""),0.0)</f>
        <v>0</v>
      </c>
      <c r="X670" s="65">
        <f>IFERROR(__xludf.DUMMYFUNCTION("""COMPUTED_VALUE"""),3.75)</f>
        <v>3.75</v>
      </c>
      <c r="Y670" s="65">
        <f>IFERROR(__xludf.DUMMYFUNCTION("""COMPUTED_VALUE"""),7.5)</f>
        <v>7.5</v>
      </c>
      <c r="Z670" s="65">
        <f>IFERROR(__xludf.DUMMYFUNCTION("""COMPUTED_VALUE"""),113116.0)</f>
        <v>113116</v>
      </c>
      <c r="AA670" s="65" t="str">
        <f>IFERROR(__xludf.DUMMYFUNCTION("""COMPUTED_VALUE"""),"IM-TAZAKI")</f>
        <v>IM-TAZAKI</v>
      </c>
      <c r="AB670" s="65"/>
      <c r="AC670" s="65" t="str">
        <f>IFERROR(__xludf.DUMMYFUNCTION("""COMPUTED_VALUE"""),"Cuchillo tazaki")</f>
        <v>Cuchillo tazaki</v>
      </c>
      <c r="AD670" s="65"/>
      <c r="AE670" s="65">
        <f>IFERROR(__xludf.DUMMYFUNCTION("""COMPUTED_VALUE"""),2.0)</f>
        <v>2</v>
      </c>
      <c r="AF670" s="65" t="str">
        <f>IFERROR(__xludf.DUMMYFUNCTION("""COMPUTED_VALUE"""),"DESTINATARIO NO CONTESTA LLAMADAS NI WHATSAPP")</f>
        <v>DESTINATARIO NO CONTESTA LLAMADAS NI WHATSAPP</v>
      </c>
      <c r="AG670" s="65" t="str">
        <f>IFERROR(__xludf.DUMMYFUNCTION("""COMPUTED_VALUE"""),"NO")</f>
        <v>NO</v>
      </c>
      <c r="AH670" s="65" t="str">
        <f>IFERROR(__xludf.DUMMYFUNCTION("""COMPUTED_VALUE"""),"18:26")</f>
        <v>18:26</v>
      </c>
      <c r="AI670" s="65" t="str">
        <f>IFERROR(__xludf.DUMMYFUNCTION("""COMPUTED_VALUE"""),"20-02-2026")</f>
        <v>20-02-2026</v>
      </c>
      <c r="AJ670" s="65"/>
      <c r="AK670" s="65"/>
      <c r="AL670" s="65"/>
      <c r="AM670" s="65"/>
      <c r="AN670" s="65" t="str">
        <f>IFERROR(__xludf.DUMMYFUNCTION("""COMPUTED_VALUE"""),"07:46")</f>
        <v>07:46</v>
      </c>
      <c r="AO670" s="65" t="str">
        <f>IFERROR(__xludf.DUMMYFUNCTION("""COMPUTED_VALUE"""),"23-02-2026")</f>
        <v>23-02-2026</v>
      </c>
      <c r="AP670" s="65" t="str">
        <f>IFERROR(__xludf.DUMMYFUNCTION("""COMPUTED_VALUE"""),"ENTREGADA GINTRACOM")</f>
        <v>ENTREGADA GINTRACOM</v>
      </c>
      <c r="AQ670" s="65" t="str">
        <f>IFERROR(__xludf.DUMMYFUNCTION("""COMPUTED_VALUE"""),"ENTREGADA GINTRACOM")</f>
        <v>ENTREGADA GINTRACOM</v>
      </c>
      <c r="AR670" s="65"/>
      <c r="AS670" s="65"/>
      <c r="AT670" s="65" t="str">
        <f>IFERROR(__xludf.DUMMYFUNCTION("""COMPUTED_VALUE"""),"SHOPIFY")</f>
        <v>SHOPIFY</v>
      </c>
      <c r="AU670" s="65" t="str">
        <f>IFERROR(__xludf.DUMMYFUNCTION("""COMPUTED_VALUE"""),"IMPORTEX EC")</f>
        <v>IMPORTEX EC</v>
      </c>
      <c r="AV670" s="65" t="str">
        <f>IFERROR(__xludf.DUMMYFUNCTION("""COMPUTED_VALUE"""),"6507029463084")</f>
        <v>6507029463084</v>
      </c>
      <c r="AW670" s="65">
        <f>IFERROR(__xludf.DUMMYFUNCTION("""COMPUTED_VALUE"""),6202.0)</f>
        <v>6202</v>
      </c>
      <c r="AX670" s="65"/>
      <c r="AY670" s="65" t="str">
        <f>IFERROR(__xludf.DUMMYFUNCTION("""COMPUTED_VALUE"""),"19/02/2026")</f>
        <v>19/02/2026</v>
      </c>
      <c r="AZ670" s="65"/>
      <c r="BA670" s="65"/>
    </row>
    <row r="671">
      <c r="A671" s="65" t="str">
        <f>IFERROR(__xludf.DUMMYFUNCTION("""COMPUTED_VALUE"""),"27-03-2026")</f>
        <v>27-03-2026</v>
      </c>
      <c r="B671" s="65">
        <f>IFERROR(__xludf.DUMMYFUNCTION("""COMPUTED_VALUE"""),4523560.0)</f>
        <v>4523560</v>
      </c>
      <c r="C671" s="65" t="str">
        <f>IFERROR(__xludf.DUMMYFUNCTION("""COMPUTED_VALUE"""),"12:09")</f>
        <v>12:09</v>
      </c>
      <c r="D671" s="65" t="str">
        <f>IFERROR(__xludf.DUMMYFUNCTION("""COMPUTED_VALUE"""),"16-02-2026")</f>
        <v>16-02-2026</v>
      </c>
      <c r="E671" s="65" t="str">
        <f>IFERROR(__xludf.DUMMYFUNCTION("""COMPUTED_VALUE"""),"Galo Rosero Rosero")</f>
        <v>Galo Rosero Rosero</v>
      </c>
      <c r="F671" s="65" t="str">
        <f>IFERROR(__xludf.DUMMYFUNCTION("""COMPUTED_VALUE"""),"996110065")</f>
        <v>996110065</v>
      </c>
      <c r="G671" s="65" t="str">
        <f>IFERROR(__xludf.DUMMYFUNCTION("""COMPUTED_VALUE"""),"galorosero890@gmail.com")</f>
        <v>galorosero890@gmail.com</v>
      </c>
      <c r="H671" s="65"/>
      <c r="I671" s="65"/>
      <c r="J671" s="65"/>
      <c r="K671" s="65" t="str">
        <f>IFERROR(__xludf.DUMMYFUNCTION("""COMPUTED_VALUE"""),"CANCELADO")</f>
        <v>CANCELADO</v>
      </c>
      <c r="L671" s="65" t="str">
        <f>IFERROR(__xludf.DUMMYFUNCTION("""COMPUTED_VALUE"""),"CON RECAUDO")</f>
        <v>CON RECAUDO</v>
      </c>
      <c r="M671" s="65" t="str">
        <f>IFERROR(__xludf.DUMMYFUNCTION("""COMPUTED_VALUE"""),"PICHINCHA")</f>
        <v>PICHINCHA</v>
      </c>
      <c r="N671" s="65" t="str">
        <f>IFERROR(__xludf.DUMMYFUNCTION("""COMPUTED_VALUE"""),"QUITO")</f>
        <v>QUITO</v>
      </c>
      <c r="O671" s="65" t="str">
        <f>IFERROR(__xludf.DUMMYFUNCTION("""COMPUTED_VALUE"""),"Calle principal general pintag Número de casa 164 -")</f>
        <v>Calle principal general pintag Número de casa 164 -</v>
      </c>
      <c r="P671" s="65"/>
      <c r="Q671" s="65" t="str">
        <f>IFERROR(__xludf.DUMMYFUNCTION("""COMPUTED_VALUE"""),"GINTRACOM")</f>
        <v>GINTRACOM</v>
      </c>
      <c r="R671" s="65">
        <f>IFERROR(__xludf.DUMMYFUNCTION("""COMPUTED_VALUE"""),22.0)</f>
        <v>22</v>
      </c>
      <c r="S671" s="65"/>
      <c r="T671" s="65">
        <f>IFERROR(__xludf.DUMMYFUNCTION("""COMPUTED_VALUE"""),4.23)</f>
        <v>4.23</v>
      </c>
      <c r="U671" s="65">
        <f>IFERROR(__xludf.DUMMYFUNCTION("""COMPUTED_VALUE"""),0.0)</f>
        <v>0</v>
      </c>
      <c r="V671" s="65">
        <f>IFERROR(__xludf.DUMMYFUNCTION("""COMPUTED_VALUE"""),0.0)</f>
        <v>0</v>
      </c>
      <c r="W671" s="65">
        <f>IFERROR(__xludf.DUMMYFUNCTION("""COMPUTED_VALUE"""),0.0)</f>
        <v>0</v>
      </c>
      <c r="X671" s="65">
        <f>IFERROR(__xludf.DUMMYFUNCTION("""COMPUTED_VALUE"""),3.75)</f>
        <v>3.75</v>
      </c>
      <c r="Y671" s="65">
        <f>IFERROR(__xludf.DUMMYFUNCTION("""COMPUTED_VALUE"""),7.5)</f>
        <v>7.5</v>
      </c>
      <c r="Z671" s="65">
        <f>IFERROR(__xludf.DUMMYFUNCTION("""COMPUTED_VALUE"""),113116.0)</f>
        <v>113116</v>
      </c>
      <c r="AA671" s="65" t="str">
        <f>IFERROR(__xludf.DUMMYFUNCTION("""COMPUTED_VALUE"""),"IM-TAZAKI")</f>
        <v>IM-TAZAKI</v>
      </c>
      <c r="AB671" s="65"/>
      <c r="AC671" s="65" t="str">
        <f>IFERROR(__xludf.DUMMYFUNCTION("""COMPUTED_VALUE"""),"Cuchillo tazaki")</f>
        <v>Cuchillo tazaki</v>
      </c>
      <c r="AD671" s="65"/>
      <c r="AE671" s="65">
        <f>IFERROR(__xludf.DUMMYFUNCTION("""COMPUTED_VALUE"""),2.0)</f>
        <v>2</v>
      </c>
      <c r="AF671" s="65"/>
      <c r="AG671" s="65"/>
      <c r="AH671" s="65"/>
      <c r="AI671" s="65"/>
      <c r="AJ671" s="65"/>
      <c r="AK671" s="65"/>
      <c r="AL671" s="65"/>
      <c r="AM671" s="65"/>
      <c r="AN671" s="65"/>
      <c r="AO671" s="65"/>
      <c r="AP671" s="65"/>
      <c r="AQ671" s="65"/>
      <c r="AR671" s="65"/>
      <c r="AS671" s="65"/>
      <c r="AT671" s="65" t="str">
        <f>IFERROR(__xludf.DUMMYFUNCTION("""COMPUTED_VALUE"""),"SHOPIFY")</f>
        <v>SHOPIFY</v>
      </c>
      <c r="AU671" s="65" t="str">
        <f>IFERROR(__xludf.DUMMYFUNCTION("""COMPUTED_VALUE"""),"IMPORTEX EC")</f>
        <v>IMPORTEX EC</v>
      </c>
      <c r="AV671" s="65" t="str">
        <f>IFERROR(__xludf.DUMMYFUNCTION("""COMPUTED_VALUE"""),"6506966253612")</f>
        <v>6506966253612</v>
      </c>
      <c r="AW671" s="65">
        <f>IFERROR(__xludf.DUMMYFUNCTION("""COMPUTED_VALUE"""),6200.0)</f>
        <v>6200</v>
      </c>
      <c r="AX671" s="65"/>
      <c r="AY671" s="65"/>
      <c r="AZ671" s="65"/>
      <c r="BA671" s="65"/>
    </row>
    <row r="672">
      <c r="A672" s="65" t="str">
        <f>IFERROR(__xludf.DUMMYFUNCTION("""COMPUTED_VALUE"""),"27-03-2026")</f>
        <v>27-03-2026</v>
      </c>
      <c r="B672" s="65">
        <f>IFERROR(__xludf.DUMMYFUNCTION("""COMPUTED_VALUE"""),4523556.0)</f>
        <v>4523556</v>
      </c>
      <c r="C672" s="65" t="str">
        <f>IFERROR(__xludf.DUMMYFUNCTION("""COMPUTED_VALUE"""),"12:08")</f>
        <v>12:08</v>
      </c>
      <c r="D672" s="65" t="str">
        <f>IFERROR(__xludf.DUMMYFUNCTION("""COMPUTED_VALUE"""),"16-02-2026")</f>
        <v>16-02-2026</v>
      </c>
      <c r="E672" s="65" t="str">
        <f>IFERROR(__xludf.DUMMYFUNCTION("""COMPUTED_VALUE"""),"Margarita Zapata")</f>
        <v>Margarita Zapata</v>
      </c>
      <c r="F672" s="65" t="str">
        <f>IFERROR(__xludf.DUMMYFUNCTION("""COMPUTED_VALUE"""),"986546287")</f>
        <v>986546287</v>
      </c>
      <c r="G672" s="65" t="str">
        <f>IFERROR(__xludf.DUMMYFUNCTION("""COMPUTED_VALUE"""),"margaritaz38@hotmail.com")</f>
        <v>margaritaz38@hotmail.com</v>
      </c>
      <c r="H672" s="65"/>
      <c r="I672" s="65"/>
      <c r="J672" s="65" t="str">
        <f>IFERROR(__xludf.DUMMYFUNCTION("""COMPUTED_VALUE"""),"D001339554")</f>
        <v>D001339554</v>
      </c>
      <c r="K672" s="65" t="str">
        <f>IFERROR(__xludf.DUMMYFUNCTION("""COMPUTED_VALUE"""),"ENTREGADO")</f>
        <v>ENTREGADO</v>
      </c>
      <c r="L672" s="65" t="str">
        <f>IFERROR(__xludf.DUMMYFUNCTION("""COMPUTED_VALUE"""),"CON RECAUDO")</f>
        <v>CON RECAUDO</v>
      </c>
      <c r="M672" s="65" t="str">
        <f>IFERROR(__xludf.DUMMYFUNCTION("""COMPUTED_VALUE"""),"SANTO DOMINGO DE LOS TSACHILAS")</f>
        <v>SANTO DOMINGO DE LOS TSACHILAS</v>
      </c>
      <c r="N672" s="65" t="str">
        <f>IFERROR(__xludf.DUMMYFUNCTION("""COMPUTED_VALUE"""),"SANTO DOMINGO")</f>
        <v>SANTO DOMINGO</v>
      </c>
      <c r="O672" s="65" t="str">
        <f>IFERROR(__xludf.DUMMYFUNCTION("""COMPUTED_VALUE"""),"Los Rosales Calle Venezuela y C. Obispo P. Schumacher. - Referencia frente al chifa central")</f>
        <v>Los Rosales Calle Venezuela y C. Obispo P. Schumacher. - Referencia frente al chifa central</v>
      </c>
      <c r="P672" s="65"/>
      <c r="Q672" s="65" t="str">
        <f>IFERROR(__xludf.DUMMYFUNCTION("""COMPUTED_VALUE"""),"GINTRACOM")</f>
        <v>GINTRACOM</v>
      </c>
      <c r="R672" s="65">
        <f>IFERROR(__xludf.DUMMYFUNCTION("""COMPUTED_VALUE"""),22.0)</f>
        <v>22</v>
      </c>
      <c r="S672" s="65">
        <f>IFERROR(__xludf.DUMMYFUNCTION("""COMPUTED_VALUE"""),8.66)</f>
        <v>8.66</v>
      </c>
      <c r="T672" s="65">
        <f>IFERROR(__xludf.DUMMYFUNCTION("""COMPUTED_VALUE"""),5.84)</f>
        <v>5.84</v>
      </c>
      <c r="U672" s="65">
        <f>IFERROR(__xludf.DUMMYFUNCTION("""COMPUTED_VALUE"""),0.0)</f>
        <v>0</v>
      </c>
      <c r="V672" s="65">
        <f>IFERROR(__xludf.DUMMYFUNCTION("""COMPUTED_VALUE"""),0.0)</f>
        <v>0</v>
      </c>
      <c r="W672" s="65">
        <f>IFERROR(__xludf.DUMMYFUNCTION("""COMPUTED_VALUE"""),0.0)</f>
        <v>0</v>
      </c>
      <c r="X672" s="65">
        <f>IFERROR(__xludf.DUMMYFUNCTION("""COMPUTED_VALUE"""),3.75)</f>
        <v>3.75</v>
      </c>
      <c r="Y672" s="65">
        <f>IFERROR(__xludf.DUMMYFUNCTION("""COMPUTED_VALUE"""),7.5)</f>
        <v>7.5</v>
      </c>
      <c r="Z672" s="65">
        <f>IFERROR(__xludf.DUMMYFUNCTION("""COMPUTED_VALUE"""),113116.0)</f>
        <v>113116</v>
      </c>
      <c r="AA672" s="65" t="str">
        <f>IFERROR(__xludf.DUMMYFUNCTION("""COMPUTED_VALUE"""),"IM-TAZAKI")</f>
        <v>IM-TAZAKI</v>
      </c>
      <c r="AB672" s="65"/>
      <c r="AC672" s="65" t="str">
        <f>IFERROR(__xludf.DUMMYFUNCTION("""COMPUTED_VALUE"""),"Cuchillo tazaki")</f>
        <v>Cuchillo tazaki</v>
      </c>
      <c r="AD672" s="65"/>
      <c r="AE672" s="65">
        <f>IFERROR(__xludf.DUMMYFUNCTION("""COMPUTED_VALUE"""),2.0)</f>
        <v>2</v>
      </c>
      <c r="AF672" s="65" t="str">
        <f>IFERROR(__xludf.DUMMYFUNCTION("""COMPUTED_VALUE"""),"DESTINATARIO NO CONTESTA LLAMADAS NI WHATSAPP")</f>
        <v>DESTINATARIO NO CONTESTA LLAMADAS NI WHATSAPP</v>
      </c>
      <c r="AG672" s="65" t="str">
        <f>IFERROR(__xludf.DUMMYFUNCTION("""COMPUTED_VALUE"""),"SI")</f>
        <v>SI</v>
      </c>
      <c r="AH672" s="65" t="str">
        <f>IFERROR(__xludf.DUMMYFUNCTION("""COMPUTED_VALUE"""),"10:05")</f>
        <v>10:05</v>
      </c>
      <c r="AI672" s="65" t="str">
        <f>IFERROR(__xludf.DUMMYFUNCTION("""COMPUTED_VALUE"""),"26-02-2026")</f>
        <v>26-02-2026</v>
      </c>
      <c r="AJ672" s="65" t="str">
        <f>IFERROR(__xludf.DUMMYFUNCTION("""COMPUTED_VALUE"""),"CLIENTE SOLICITA LA ENTREGA INMEDIATA")</f>
        <v>CLIENTE SOLICITA LA ENTREGA INMEDIATA</v>
      </c>
      <c r="AK672" s="65" t="str">
        <f>IFERROR(__xludf.DUMMYFUNCTION("""COMPUTED_VALUE"""),"12:57")</f>
        <v>12:57</v>
      </c>
      <c r="AL672" s="65" t="str">
        <f>IFERROR(__xludf.DUMMYFUNCTION("""COMPUTED_VALUE"""),"26-02-2026")</f>
        <v>26-02-2026</v>
      </c>
      <c r="AM672" s="65"/>
      <c r="AN672" s="65" t="str">
        <f>IFERROR(__xludf.DUMMYFUNCTION("""COMPUTED_VALUE"""),"15:51")</f>
        <v>15:51</v>
      </c>
      <c r="AO672" s="65" t="str">
        <f>IFERROR(__xludf.DUMMYFUNCTION("""COMPUTED_VALUE"""),"26-02-2026")</f>
        <v>26-02-2026</v>
      </c>
      <c r="AP672" s="65" t="str">
        <f>IFERROR(__xludf.DUMMYFUNCTION("""COMPUTED_VALUE"""),"ENTREGADA GINTRACOM")</f>
        <v>ENTREGADA GINTRACOM</v>
      </c>
      <c r="AQ672" s="65" t="str">
        <f>IFERROR(__xludf.DUMMYFUNCTION("""COMPUTED_VALUE"""),"ENTREGADA GINTRACOM")</f>
        <v>ENTREGADA GINTRACOM</v>
      </c>
      <c r="AR672" s="65"/>
      <c r="AS672" s="65"/>
      <c r="AT672" s="65" t="str">
        <f>IFERROR(__xludf.DUMMYFUNCTION("""COMPUTED_VALUE"""),"SHOPIFY")</f>
        <v>SHOPIFY</v>
      </c>
      <c r="AU672" s="65" t="str">
        <f>IFERROR(__xludf.DUMMYFUNCTION("""COMPUTED_VALUE"""),"IMPORTEX EC")</f>
        <v>IMPORTEX EC</v>
      </c>
      <c r="AV672" s="65" t="str">
        <f>IFERROR(__xludf.DUMMYFUNCTION("""COMPUTED_VALUE"""),"6506940989484")</f>
        <v>6506940989484</v>
      </c>
      <c r="AW672" s="65">
        <f>IFERROR(__xludf.DUMMYFUNCTION("""COMPUTED_VALUE"""),6199.0)</f>
        <v>6199</v>
      </c>
      <c r="AX672" s="65"/>
      <c r="AY672" s="65" t="str">
        <f>IFERROR(__xludf.DUMMYFUNCTION("""COMPUTED_VALUE"""),"19/02/2026")</f>
        <v>19/02/2026</v>
      </c>
      <c r="AZ672" s="65"/>
      <c r="BA672" s="65"/>
    </row>
    <row r="673">
      <c r="A673" s="65" t="str">
        <f>IFERROR(__xludf.DUMMYFUNCTION("""COMPUTED_VALUE"""),"27-03-2026")</f>
        <v>27-03-2026</v>
      </c>
      <c r="B673" s="65">
        <f>IFERROR(__xludf.DUMMYFUNCTION("""COMPUTED_VALUE"""),4523551.0)</f>
        <v>4523551</v>
      </c>
      <c r="C673" s="65" t="str">
        <f>IFERROR(__xludf.DUMMYFUNCTION("""COMPUTED_VALUE"""),"12:07")</f>
        <v>12:07</v>
      </c>
      <c r="D673" s="65" t="str">
        <f>IFERROR(__xludf.DUMMYFUNCTION("""COMPUTED_VALUE"""),"16-02-2026")</f>
        <v>16-02-2026</v>
      </c>
      <c r="E673" s="65" t="str">
        <f>IFERROR(__xludf.DUMMYFUNCTION("""COMPUTED_VALUE"""),"Luis Ayala")</f>
        <v>Luis Ayala</v>
      </c>
      <c r="F673" s="65" t="str">
        <f>IFERROR(__xludf.DUMMYFUNCTION("""COMPUTED_VALUE"""),"997350653")</f>
        <v>997350653</v>
      </c>
      <c r="G673" s="65"/>
      <c r="H673" s="65"/>
      <c r="I673" s="65"/>
      <c r="J673" s="65"/>
      <c r="K673" s="65" t="str">
        <f>IFERROR(__xludf.DUMMYFUNCTION("""COMPUTED_VALUE"""),"CANCELADO")</f>
        <v>CANCELADO</v>
      </c>
      <c r="L673" s="65" t="str">
        <f>IFERROR(__xludf.DUMMYFUNCTION("""COMPUTED_VALUE"""),"CON RECAUDO")</f>
        <v>CON RECAUDO</v>
      </c>
      <c r="M673" s="65" t="str">
        <f>IFERROR(__xludf.DUMMYFUNCTION("""COMPUTED_VALUE"""),"LOS RIOS")</f>
        <v>LOS RIOS</v>
      </c>
      <c r="N673" s="65" t="str">
        <f>IFERROR(__xludf.DUMMYFUNCTION("""COMPUTED_VALUE"""),"VALENCIA")</f>
        <v>VALENCIA</v>
      </c>
      <c r="O673" s="65" t="str">
        <f>IFERROR(__xludf.DUMMYFUNCTION("""COMPUTED_VALUE"""),"Cantin valencia Servientrega -")</f>
        <v>Cantin valencia Servientrega -</v>
      </c>
      <c r="P673" s="65"/>
      <c r="Q673" s="65" t="str">
        <f>IFERROR(__xludf.DUMMYFUNCTION("""COMPUTED_VALUE"""),"GINTRACOM")</f>
        <v>GINTRACOM</v>
      </c>
      <c r="R673" s="65">
        <f>IFERROR(__xludf.DUMMYFUNCTION("""COMPUTED_VALUE"""),22.0)</f>
        <v>22</v>
      </c>
      <c r="S673" s="65"/>
      <c r="T673" s="65">
        <f>IFERROR(__xludf.DUMMYFUNCTION("""COMPUTED_VALUE"""),6.41)</f>
        <v>6.41</v>
      </c>
      <c r="U673" s="65">
        <f>IFERROR(__xludf.DUMMYFUNCTION("""COMPUTED_VALUE"""),0.0)</f>
        <v>0</v>
      </c>
      <c r="V673" s="65">
        <f>IFERROR(__xludf.DUMMYFUNCTION("""COMPUTED_VALUE"""),0.0)</f>
        <v>0</v>
      </c>
      <c r="W673" s="65">
        <f>IFERROR(__xludf.DUMMYFUNCTION("""COMPUTED_VALUE"""),0.0)</f>
        <v>0</v>
      </c>
      <c r="X673" s="65">
        <f>IFERROR(__xludf.DUMMYFUNCTION("""COMPUTED_VALUE"""),3.75)</f>
        <v>3.75</v>
      </c>
      <c r="Y673" s="65">
        <f>IFERROR(__xludf.DUMMYFUNCTION("""COMPUTED_VALUE"""),7.5)</f>
        <v>7.5</v>
      </c>
      <c r="Z673" s="65">
        <f>IFERROR(__xludf.DUMMYFUNCTION("""COMPUTED_VALUE"""),113116.0)</f>
        <v>113116</v>
      </c>
      <c r="AA673" s="65" t="str">
        <f>IFERROR(__xludf.DUMMYFUNCTION("""COMPUTED_VALUE"""),"IM-TAZAKI")</f>
        <v>IM-TAZAKI</v>
      </c>
      <c r="AB673" s="65"/>
      <c r="AC673" s="65" t="str">
        <f>IFERROR(__xludf.DUMMYFUNCTION("""COMPUTED_VALUE"""),"Cuchillo tazaki")</f>
        <v>Cuchillo tazaki</v>
      </c>
      <c r="AD673" s="65"/>
      <c r="AE673" s="65">
        <f>IFERROR(__xludf.DUMMYFUNCTION("""COMPUTED_VALUE"""),2.0)</f>
        <v>2</v>
      </c>
      <c r="AF673" s="65"/>
      <c r="AG673" s="65"/>
      <c r="AH673" s="65"/>
      <c r="AI673" s="65"/>
      <c r="AJ673" s="65"/>
      <c r="AK673" s="65"/>
      <c r="AL673" s="65"/>
      <c r="AM673" s="65"/>
      <c r="AN673" s="65"/>
      <c r="AO673" s="65"/>
      <c r="AP673" s="65"/>
      <c r="AQ673" s="65"/>
      <c r="AR673" s="65"/>
      <c r="AS673" s="65"/>
      <c r="AT673" s="65" t="str">
        <f>IFERROR(__xludf.DUMMYFUNCTION("""COMPUTED_VALUE"""),"SHOPIFY")</f>
        <v>SHOPIFY</v>
      </c>
      <c r="AU673" s="65" t="str">
        <f>IFERROR(__xludf.DUMMYFUNCTION("""COMPUTED_VALUE"""),"IMPORTEX EC")</f>
        <v>IMPORTEX EC</v>
      </c>
      <c r="AV673" s="65" t="str">
        <f>IFERROR(__xludf.DUMMYFUNCTION("""COMPUTED_VALUE"""),"6506784391212")</f>
        <v>6506784391212</v>
      </c>
      <c r="AW673" s="65">
        <f>IFERROR(__xludf.DUMMYFUNCTION("""COMPUTED_VALUE"""),6195.0)</f>
        <v>6195</v>
      </c>
      <c r="AX673" s="65"/>
      <c r="AY673" s="65"/>
      <c r="AZ673" s="65"/>
      <c r="BA673" s="65"/>
    </row>
    <row r="674">
      <c r="A674" s="65" t="str">
        <f>IFERROR(__xludf.DUMMYFUNCTION("""COMPUTED_VALUE"""),"27-03-2026")</f>
        <v>27-03-2026</v>
      </c>
      <c r="B674" s="65">
        <f>IFERROR(__xludf.DUMMYFUNCTION("""COMPUTED_VALUE"""),4523548.0)</f>
        <v>4523548</v>
      </c>
      <c r="C674" s="65" t="str">
        <f>IFERROR(__xludf.DUMMYFUNCTION("""COMPUTED_VALUE"""),"12:06")</f>
        <v>12:06</v>
      </c>
      <c r="D674" s="65" t="str">
        <f>IFERROR(__xludf.DUMMYFUNCTION("""COMPUTED_VALUE"""),"16-02-2026")</f>
        <v>16-02-2026</v>
      </c>
      <c r="E674" s="65" t="str">
        <f>IFERROR(__xludf.DUMMYFUNCTION("""COMPUTED_VALUE"""),"Katherinne Belén Zamora Andrade")</f>
        <v>Katherinne Belén Zamora Andrade</v>
      </c>
      <c r="F674" s="65" t="str">
        <f>IFERROR(__xludf.DUMMYFUNCTION("""COMPUTED_VALUE"""),"981574009")</f>
        <v>981574009</v>
      </c>
      <c r="G674" s="65" t="str">
        <f>IFERROR(__xludf.DUMMYFUNCTION("""COMPUTED_VALUE"""),"kbza199324@hotmail.com")</f>
        <v>kbza199324@hotmail.com</v>
      </c>
      <c r="H674" s="65"/>
      <c r="I674" s="65"/>
      <c r="J674" s="65" t="str">
        <f>IFERROR(__xludf.DUMMYFUNCTION("""COMPUTED_VALUE"""),"D001339555")</f>
        <v>D001339555</v>
      </c>
      <c r="K674" s="65" t="str">
        <f>IFERROR(__xludf.DUMMYFUNCTION("""COMPUTED_VALUE"""),"ENTREGADO")</f>
        <v>ENTREGADO</v>
      </c>
      <c r="L674" s="65" t="str">
        <f>IFERROR(__xludf.DUMMYFUNCTION("""COMPUTED_VALUE"""),"CON RECAUDO")</f>
        <v>CON RECAUDO</v>
      </c>
      <c r="M674" s="65" t="str">
        <f>IFERROR(__xludf.DUMMYFUNCTION("""COMPUTED_VALUE"""),"TUNGURAHUA")</f>
        <v>TUNGURAHUA</v>
      </c>
      <c r="N674" s="65" t="str">
        <f>IFERROR(__xludf.DUMMYFUNCTION("""COMPUTED_VALUE"""),"AMBATO")</f>
        <v>AMBATO</v>
      </c>
      <c r="O674" s="65" t="str">
        <f>IFERROR(__xludf.DUMMYFUNCTION("""COMPUTED_VALUE"""),"Calle Atahualpa frente al comando de la policía nacional - Referencia a lado de un local llamado alarmas es completamente amarillo")</f>
        <v>Calle Atahualpa frente al comando de la policía nacional - Referencia a lado de un local llamado alarmas es completamente amarillo</v>
      </c>
      <c r="P674" s="65"/>
      <c r="Q674" s="65" t="str">
        <f>IFERROR(__xludf.DUMMYFUNCTION("""COMPUTED_VALUE"""),"GINTRACOM")</f>
        <v>GINTRACOM</v>
      </c>
      <c r="R674" s="65">
        <f>IFERROR(__xludf.DUMMYFUNCTION("""COMPUTED_VALUE"""),22.0)</f>
        <v>22</v>
      </c>
      <c r="S674" s="65">
        <f>IFERROR(__xludf.DUMMYFUNCTION("""COMPUTED_VALUE"""),8.66)</f>
        <v>8.66</v>
      </c>
      <c r="T674" s="65">
        <f>IFERROR(__xludf.DUMMYFUNCTION("""COMPUTED_VALUE"""),5.84)</f>
        <v>5.84</v>
      </c>
      <c r="U674" s="65">
        <f>IFERROR(__xludf.DUMMYFUNCTION("""COMPUTED_VALUE"""),0.0)</f>
        <v>0</v>
      </c>
      <c r="V674" s="65">
        <f>IFERROR(__xludf.DUMMYFUNCTION("""COMPUTED_VALUE"""),0.0)</f>
        <v>0</v>
      </c>
      <c r="W674" s="65">
        <f>IFERROR(__xludf.DUMMYFUNCTION("""COMPUTED_VALUE"""),0.0)</f>
        <v>0</v>
      </c>
      <c r="X674" s="65">
        <f>IFERROR(__xludf.DUMMYFUNCTION("""COMPUTED_VALUE"""),3.75)</f>
        <v>3.75</v>
      </c>
      <c r="Y674" s="65">
        <f>IFERROR(__xludf.DUMMYFUNCTION("""COMPUTED_VALUE"""),7.5)</f>
        <v>7.5</v>
      </c>
      <c r="Z674" s="65">
        <f>IFERROR(__xludf.DUMMYFUNCTION("""COMPUTED_VALUE"""),113116.0)</f>
        <v>113116</v>
      </c>
      <c r="AA674" s="65" t="str">
        <f>IFERROR(__xludf.DUMMYFUNCTION("""COMPUTED_VALUE"""),"IM-TAZAKI")</f>
        <v>IM-TAZAKI</v>
      </c>
      <c r="AB674" s="65"/>
      <c r="AC674" s="65" t="str">
        <f>IFERROR(__xludf.DUMMYFUNCTION("""COMPUTED_VALUE"""),"Cuchillo tazaki")</f>
        <v>Cuchillo tazaki</v>
      </c>
      <c r="AD674" s="65"/>
      <c r="AE674" s="65">
        <f>IFERROR(__xludf.DUMMYFUNCTION("""COMPUTED_VALUE"""),2.0)</f>
        <v>2</v>
      </c>
      <c r="AF674" s="65"/>
      <c r="AG674" s="65"/>
      <c r="AH674" s="65"/>
      <c r="AI674" s="65"/>
      <c r="AJ674" s="65"/>
      <c r="AK674" s="65"/>
      <c r="AL674" s="65"/>
      <c r="AM674" s="65"/>
      <c r="AN674" s="65" t="str">
        <f>IFERROR(__xludf.DUMMYFUNCTION("""COMPUTED_VALUE"""),"17:28")</f>
        <v>17:28</v>
      </c>
      <c r="AO674" s="65" t="str">
        <f>IFERROR(__xludf.DUMMYFUNCTION("""COMPUTED_VALUE"""),"20-02-2026")</f>
        <v>20-02-2026</v>
      </c>
      <c r="AP674" s="65" t="str">
        <f>IFERROR(__xludf.DUMMYFUNCTION("""COMPUTED_VALUE"""),"ENTREGADA GINTRACOM")</f>
        <v>ENTREGADA GINTRACOM</v>
      </c>
      <c r="AQ674" s="65" t="str">
        <f>IFERROR(__xludf.DUMMYFUNCTION("""COMPUTED_VALUE"""),"ENTREGADA GINTRACOM")</f>
        <v>ENTREGADA GINTRACOM</v>
      </c>
      <c r="AR674" s="65"/>
      <c r="AS674" s="65"/>
      <c r="AT674" s="65" t="str">
        <f>IFERROR(__xludf.DUMMYFUNCTION("""COMPUTED_VALUE"""),"SHOPIFY")</f>
        <v>SHOPIFY</v>
      </c>
      <c r="AU674" s="65" t="str">
        <f>IFERROR(__xludf.DUMMYFUNCTION("""COMPUTED_VALUE"""),"IMPORTEX EC")</f>
        <v>IMPORTEX EC</v>
      </c>
      <c r="AV674" s="65" t="str">
        <f>IFERROR(__xludf.DUMMYFUNCTION("""COMPUTED_VALUE"""),"6506767548460")</f>
        <v>6506767548460</v>
      </c>
      <c r="AW674" s="65">
        <f>IFERROR(__xludf.DUMMYFUNCTION("""COMPUTED_VALUE"""),6194.0)</f>
        <v>6194</v>
      </c>
      <c r="AX674" s="65"/>
      <c r="AY674" s="65" t="str">
        <f>IFERROR(__xludf.DUMMYFUNCTION("""COMPUTED_VALUE"""),"19/02/2026")</f>
        <v>19/02/2026</v>
      </c>
      <c r="AZ674" s="65"/>
      <c r="BA674" s="65"/>
    </row>
    <row r="675">
      <c r="A675" s="65" t="str">
        <f>IFERROR(__xludf.DUMMYFUNCTION("""COMPUTED_VALUE"""),"27-03-2026")</f>
        <v>27-03-2026</v>
      </c>
      <c r="B675" s="65">
        <f>IFERROR(__xludf.DUMMYFUNCTION("""COMPUTED_VALUE"""),4523546.0)</f>
        <v>4523546</v>
      </c>
      <c r="C675" s="65" t="str">
        <f>IFERROR(__xludf.DUMMYFUNCTION("""COMPUTED_VALUE"""),"12:06")</f>
        <v>12:06</v>
      </c>
      <c r="D675" s="65" t="str">
        <f>IFERROR(__xludf.DUMMYFUNCTION("""COMPUTED_VALUE"""),"16-02-2026")</f>
        <v>16-02-2026</v>
      </c>
      <c r="E675" s="65" t="str">
        <f>IFERROR(__xludf.DUMMYFUNCTION("""COMPUTED_VALUE"""),"Delfín Ruiz")</f>
        <v>Delfín Ruiz</v>
      </c>
      <c r="F675" s="65" t="str">
        <f>IFERROR(__xludf.DUMMYFUNCTION("""COMPUTED_VALUE"""),"991643576")</f>
        <v>991643576</v>
      </c>
      <c r="G675" s="65" t="str">
        <f>IFERROR(__xludf.DUMMYFUNCTION("""COMPUTED_VALUE"""),"delfinruiz7@gmail.com")</f>
        <v>delfinruiz7@gmail.com</v>
      </c>
      <c r="H675" s="65"/>
      <c r="I675" s="65"/>
      <c r="J675" s="65" t="str">
        <f>IFERROR(__xludf.DUMMYFUNCTION("""COMPUTED_VALUE"""),"D001339556")</f>
        <v>D001339556</v>
      </c>
      <c r="K675" s="65" t="str">
        <f>IFERROR(__xludf.DUMMYFUNCTION("""COMPUTED_VALUE"""),"DEVOLUCION")</f>
        <v>DEVOLUCION</v>
      </c>
      <c r="L675" s="65" t="str">
        <f>IFERROR(__xludf.DUMMYFUNCTION("""COMPUTED_VALUE"""),"CON RECAUDO")</f>
        <v>CON RECAUDO</v>
      </c>
      <c r="M675" s="65" t="str">
        <f>IFERROR(__xludf.DUMMYFUNCTION("""COMPUTED_VALUE"""),"GUAYAS")</f>
        <v>GUAYAS</v>
      </c>
      <c r="N675" s="65" t="str">
        <f>IFERROR(__xludf.DUMMYFUNCTION("""COMPUTED_VALUE"""),"GUAYAQUIL")</f>
        <v>GUAYAQUIL</v>
      </c>
      <c r="O675" s="65" t="str">
        <f>IFERROR(__xludf.DUMMYFUNCTION("""COMPUTED_VALUE"""),"Los claveles Iglesia asamblea de Dios - jose de la cuadra, a la altura de Mol del Sur, viniendo del centro hacia el sur, donde está el KFC, en el quinto callejón o inicio del parque lineal.")</f>
        <v>Los claveles Iglesia asamblea de Dios - jose de la cuadra, a la altura de Mol del Sur, viniendo del centro hacia el sur, donde está el KFC, en el quinto callejón o inicio del parque lineal.</v>
      </c>
      <c r="P675" s="65"/>
      <c r="Q675" s="65" t="str">
        <f>IFERROR(__xludf.DUMMYFUNCTION("""COMPUTED_VALUE"""),"GINTRACOM")</f>
        <v>GINTRACOM</v>
      </c>
      <c r="R675" s="65">
        <f>IFERROR(__xludf.DUMMYFUNCTION("""COMPUTED_VALUE"""),32.0)</f>
        <v>32</v>
      </c>
      <c r="S675" s="65"/>
      <c r="T675" s="65">
        <f>IFERROR(__xludf.DUMMYFUNCTION("""COMPUTED_VALUE"""),6.24)</f>
        <v>6.24</v>
      </c>
      <c r="U675" s="65">
        <f>IFERROR(__xludf.DUMMYFUNCTION("""COMPUTED_VALUE"""),0.0)</f>
        <v>0</v>
      </c>
      <c r="V675" s="65">
        <f>IFERROR(__xludf.DUMMYFUNCTION("""COMPUTED_VALUE"""),0.0)</f>
        <v>0</v>
      </c>
      <c r="W675" s="65">
        <f>IFERROR(__xludf.DUMMYFUNCTION("""COMPUTED_VALUE"""),0.0)</f>
        <v>0</v>
      </c>
      <c r="X675" s="65">
        <f>IFERROR(__xludf.DUMMYFUNCTION("""COMPUTED_VALUE"""),3.75)</f>
        <v>3.75</v>
      </c>
      <c r="Y675" s="65">
        <f>IFERROR(__xludf.DUMMYFUNCTION("""COMPUTED_VALUE"""),15.0)</f>
        <v>15</v>
      </c>
      <c r="Z675" s="65">
        <f>IFERROR(__xludf.DUMMYFUNCTION("""COMPUTED_VALUE"""),113116.0)</f>
        <v>113116</v>
      </c>
      <c r="AA675" s="65" t="str">
        <f>IFERROR(__xludf.DUMMYFUNCTION("""COMPUTED_VALUE"""),"IM-TAZAKI")</f>
        <v>IM-TAZAKI</v>
      </c>
      <c r="AB675" s="65"/>
      <c r="AC675" s="65" t="str">
        <f>IFERROR(__xludf.DUMMYFUNCTION("""COMPUTED_VALUE"""),"Cuchillo tazaki")</f>
        <v>Cuchillo tazaki</v>
      </c>
      <c r="AD675" s="65"/>
      <c r="AE675" s="65">
        <f>IFERROR(__xludf.DUMMYFUNCTION("""COMPUTED_VALUE"""),4.0)</f>
        <v>4</v>
      </c>
      <c r="AF675" s="65"/>
      <c r="AG675" s="65"/>
      <c r="AH675" s="65"/>
      <c r="AI675" s="65"/>
      <c r="AJ675" s="65"/>
      <c r="AK675" s="65"/>
      <c r="AL675" s="65"/>
      <c r="AM675" s="65"/>
      <c r="AN675" s="65" t="str">
        <f>IFERROR(__xludf.DUMMYFUNCTION("""COMPUTED_VALUE"""),"12:43")</f>
        <v>12:43</v>
      </c>
      <c r="AO675" s="65" t="str">
        <f>IFERROR(__xludf.DUMMYFUNCTION("""COMPUTED_VALUE"""),"06-03-2026")</f>
        <v>06-03-2026</v>
      </c>
      <c r="AP675" s="65" t="str">
        <f>IFERROR(__xludf.DUMMYFUNCTION("""COMPUTED_VALUE"""),"DEVOLUCIÓN ENTREGADA A ORIGEN")</f>
        <v>DEVOLUCIÓN ENTREGADA A ORIGEN</v>
      </c>
      <c r="AQ675" s="65" t="str">
        <f>IFERROR(__xludf.DUMMYFUNCTION("""COMPUTED_VALUE"""),"DEVOLUCIÓN ENTREGADA A ORIGEN")</f>
        <v>DEVOLUCIÓN ENTREGADA A ORIGEN</v>
      </c>
      <c r="AR675" s="65"/>
      <c r="AS675" s="65"/>
      <c r="AT675" s="65" t="str">
        <f>IFERROR(__xludf.DUMMYFUNCTION("""COMPUTED_VALUE"""),"SHOPIFY")</f>
        <v>SHOPIFY</v>
      </c>
      <c r="AU675" s="65" t="str">
        <f>IFERROR(__xludf.DUMMYFUNCTION("""COMPUTED_VALUE"""),"IMPORTEX EC")</f>
        <v>IMPORTEX EC</v>
      </c>
      <c r="AV675" s="65" t="str">
        <f>IFERROR(__xludf.DUMMYFUNCTION("""COMPUTED_VALUE"""),"6506600071212")</f>
        <v>6506600071212</v>
      </c>
      <c r="AW675" s="65">
        <f>IFERROR(__xludf.DUMMYFUNCTION("""COMPUTED_VALUE"""),6191.0)</f>
        <v>6191</v>
      </c>
      <c r="AX675" s="65"/>
      <c r="AY675" s="65" t="str">
        <f>IFERROR(__xludf.DUMMYFUNCTION("""COMPUTED_VALUE"""),"19/02/2026")</f>
        <v>19/02/2026</v>
      </c>
      <c r="AZ675" s="65"/>
      <c r="BA675" s="65"/>
    </row>
    <row r="676">
      <c r="A676" s="65" t="str">
        <f>IFERROR(__xludf.DUMMYFUNCTION("""COMPUTED_VALUE"""),"27-03-2026")</f>
        <v>27-03-2026</v>
      </c>
      <c r="B676" s="65">
        <f>IFERROR(__xludf.DUMMYFUNCTION("""COMPUTED_VALUE"""),4523537.0)</f>
        <v>4523537</v>
      </c>
      <c r="C676" s="65" t="str">
        <f>IFERROR(__xludf.DUMMYFUNCTION("""COMPUTED_VALUE"""),"12:05")</f>
        <v>12:05</v>
      </c>
      <c r="D676" s="65" t="str">
        <f>IFERROR(__xludf.DUMMYFUNCTION("""COMPUTED_VALUE"""),"16-02-2026")</f>
        <v>16-02-2026</v>
      </c>
      <c r="E676" s="65" t="str">
        <f>IFERROR(__xludf.DUMMYFUNCTION("""COMPUTED_VALUE"""),"Nancy Cevallos")</f>
        <v>Nancy Cevallos</v>
      </c>
      <c r="F676" s="65" t="str">
        <f>IFERROR(__xludf.DUMMYFUNCTION("""COMPUTED_VALUE"""),"998943316")</f>
        <v>998943316</v>
      </c>
      <c r="G676" s="65"/>
      <c r="H676" s="65"/>
      <c r="I676" s="65"/>
      <c r="J676" s="65" t="str">
        <f>IFERROR(__xludf.DUMMYFUNCTION("""COMPUTED_VALUE"""),"D001339557")</f>
        <v>D001339557</v>
      </c>
      <c r="K676" s="65" t="str">
        <f>IFERROR(__xludf.DUMMYFUNCTION("""COMPUTED_VALUE"""),"ENTREGADO")</f>
        <v>ENTREGADO</v>
      </c>
      <c r="L676" s="65" t="str">
        <f>IFERROR(__xludf.DUMMYFUNCTION("""COMPUTED_VALUE"""),"CON RECAUDO")</f>
        <v>CON RECAUDO</v>
      </c>
      <c r="M676" s="65" t="str">
        <f>IFERROR(__xludf.DUMMYFUNCTION("""COMPUTED_VALUE"""),"PICHINCHA")</f>
        <v>PICHINCHA</v>
      </c>
      <c r="N676" s="65" t="str">
        <f>IFERROR(__xludf.DUMMYFUNCTION("""COMPUTED_VALUE"""),"SANGOLQUI")</f>
        <v>SANGOLQUI</v>
      </c>
      <c r="O676" s="65" t="str">
        <f>IFERROR(__xludf.DUMMYFUNCTION("""COMPUTED_VALUE"""),"Av Inés gangotena lote y 17 de marzo a una cuadra de la iglesia del barrio inchalillo")</f>
        <v>Av Inés gangotena lote y 17 de marzo a una cuadra de la iglesia del barrio inchalillo</v>
      </c>
      <c r="P676" s="65"/>
      <c r="Q676" s="65" t="str">
        <f>IFERROR(__xludf.DUMMYFUNCTION("""COMPUTED_VALUE"""),"GINTRACOM")</f>
        <v>GINTRACOM</v>
      </c>
      <c r="R676" s="65">
        <f>IFERROR(__xludf.DUMMYFUNCTION("""COMPUTED_VALUE"""),27.0)</f>
        <v>27</v>
      </c>
      <c r="S676" s="65">
        <f>IFERROR(__xludf.DUMMYFUNCTION("""COMPUTED_VALUE"""),10.76)</f>
        <v>10.76</v>
      </c>
      <c r="T676" s="65">
        <f>IFERROR(__xludf.DUMMYFUNCTION("""COMPUTED_VALUE"""),4.99)</f>
        <v>4.99</v>
      </c>
      <c r="U676" s="65">
        <f>IFERROR(__xludf.DUMMYFUNCTION("""COMPUTED_VALUE"""),0.0)</f>
        <v>0</v>
      </c>
      <c r="V676" s="65">
        <f>IFERROR(__xludf.DUMMYFUNCTION("""COMPUTED_VALUE"""),0.0)</f>
        <v>0</v>
      </c>
      <c r="W676" s="65">
        <f>IFERROR(__xludf.DUMMYFUNCTION("""COMPUTED_VALUE"""),0.0)</f>
        <v>0</v>
      </c>
      <c r="X676" s="65">
        <f>IFERROR(__xludf.DUMMYFUNCTION("""COMPUTED_VALUE"""),3.75)</f>
        <v>3.75</v>
      </c>
      <c r="Y676" s="65">
        <f>IFERROR(__xludf.DUMMYFUNCTION("""COMPUTED_VALUE"""),11.25)</f>
        <v>11.25</v>
      </c>
      <c r="Z676" s="65">
        <f>IFERROR(__xludf.DUMMYFUNCTION("""COMPUTED_VALUE"""),113116.0)</f>
        <v>113116</v>
      </c>
      <c r="AA676" s="65" t="str">
        <f>IFERROR(__xludf.DUMMYFUNCTION("""COMPUTED_VALUE"""),"IM-TAZAKI")</f>
        <v>IM-TAZAKI</v>
      </c>
      <c r="AB676" s="65"/>
      <c r="AC676" s="65" t="str">
        <f>IFERROR(__xludf.DUMMYFUNCTION("""COMPUTED_VALUE"""),"Cuchillo tazaki")</f>
        <v>Cuchillo tazaki</v>
      </c>
      <c r="AD676" s="65"/>
      <c r="AE676" s="65">
        <f>IFERROR(__xludf.DUMMYFUNCTION("""COMPUTED_VALUE"""),3.0)</f>
        <v>3</v>
      </c>
      <c r="AF676" s="65"/>
      <c r="AG676" s="65"/>
      <c r="AH676" s="65"/>
      <c r="AI676" s="65"/>
      <c r="AJ676" s="65"/>
      <c r="AK676" s="65"/>
      <c r="AL676" s="65"/>
      <c r="AM676" s="65"/>
      <c r="AN676" s="65" t="str">
        <f>IFERROR(__xludf.DUMMYFUNCTION("""COMPUTED_VALUE"""),"13:28")</f>
        <v>13:28</v>
      </c>
      <c r="AO676" s="65" t="str">
        <f>IFERROR(__xludf.DUMMYFUNCTION("""COMPUTED_VALUE"""),"20-02-2026")</f>
        <v>20-02-2026</v>
      </c>
      <c r="AP676" s="65" t="str">
        <f>IFERROR(__xludf.DUMMYFUNCTION("""COMPUTED_VALUE"""),"ENTREGADA GINTRACOM")</f>
        <v>ENTREGADA GINTRACOM</v>
      </c>
      <c r="AQ676" s="65" t="str">
        <f>IFERROR(__xludf.DUMMYFUNCTION("""COMPUTED_VALUE"""),"ENTREGADA GINTRACOM")</f>
        <v>ENTREGADA GINTRACOM</v>
      </c>
      <c r="AR676" s="65"/>
      <c r="AS676" s="65"/>
      <c r="AT676" s="65" t="str">
        <f>IFERROR(__xludf.DUMMYFUNCTION("""COMPUTED_VALUE"""),"SHOPIFY")</f>
        <v>SHOPIFY</v>
      </c>
      <c r="AU676" s="65" t="str">
        <f>IFERROR(__xludf.DUMMYFUNCTION("""COMPUTED_VALUE"""),"IMPORTEX EC")</f>
        <v>IMPORTEX EC</v>
      </c>
      <c r="AV676" s="65" t="str">
        <f>IFERROR(__xludf.DUMMYFUNCTION("""COMPUTED_VALUE"""),"6506473914412")</f>
        <v>6506473914412</v>
      </c>
      <c r="AW676" s="65">
        <f>IFERROR(__xludf.DUMMYFUNCTION("""COMPUTED_VALUE"""),6188.0)</f>
        <v>6188</v>
      </c>
      <c r="AX676" s="65"/>
      <c r="AY676" s="65" t="str">
        <f>IFERROR(__xludf.DUMMYFUNCTION("""COMPUTED_VALUE"""),"19/02/2026")</f>
        <v>19/02/2026</v>
      </c>
      <c r="AZ676" s="65"/>
      <c r="BA676" s="65"/>
    </row>
    <row r="677">
      <c r="A677" s="65" t="str">
        <f>IFERROR(__xludf.DUMMYFUNCTION("""COMPUTED_VALUE"""),"27-03-2026")</f>
        <v>27-03-2026</v>
      </c>
      <c r="B677" s="65">
        <f>IFERROR(__xludf.DUMMYFUNCTION("""COMPUTED_VALUE"""),4523528.0)</f>
        <v>4523528</v>
      </c>
      <c r="C677" s="65" t="str">
        <f>IFERROR(__xludf.DUMMYFUNCTION("""COMPUTED_VALUE"""),"12:04")</f>
        <v>12:04</v>
      </c>
      <c r="D677" s="65" t="str">
        <f>IFERROR(__xludf.DUMMYFUNCTION("""COMPUTED_VALUE"""),"16-02-2026")</f>
        <v>16-02-2026</v>
      </c>
      <c r="E677" s="65" t="str">
        <f>IFERROR(__xludf.DUMMYFUNCTION("""COMPUTED_VALUE"""),"Luis Hernández Hernández")</f>
        <v>Luis Hernández Hernández</v>
      </c>
      <c r="F677" s="65" t="str">
        <f>IFERROR(__xludf.DUMMYFUNCTION("""COMPUTED_VALUE"""),"959887876")</f>
        <v>959887876</v>
      </c>
      <c r="G677" s="65"/>
      <c r="H677" s="65"/>
      <c r="I677" s="65"/>
      <c r="J677" s="65"/>
      <c r="K677" s="65" t="str">
        <f>IFERROR(__xludf.DUMMYFUNCTION("""COMPUTED_VALUE"""),"CANCELADO")</f>
        <v>CANCELADO</v>
      </c>
      <c r="L677" s="65" t="str">
        <f>IFERROR(__xludf.DUMMYFUNCTION("""COMPUTED_VALUE"""),"CON RECAUDO")</f>
        <v>CON RECAUDO</v>
      </c>
      <c r="M677" s="65" t="str">
        <f>IFERROR(__xludf.DUMMYFUNCTION("""COMPUTED_VALUE"""),"CAÑAR")</f>
        <v>CAÑAR</v>
      </c>
      <c r="N677" s="65" t="str">
        <f>IFERROR(__xludf.DUMMYFUNCTION("""COMPUTED_VALUE"""),"AZOGUES")</f>
        <v>AZOGUES</v>
      </c>
      <c r="O677" s="65" t="str">
        <f>IFERROR(__xludf.DUMMYFUNCTION("""COMPUTED_VALUE"""),"16 de Abril Servientrega -")</f>
        <v>16 de Abril Servientrega -</v>
      </c>
      <c r="P677" s="65"/>
      <c r="Q677" s="65" t="str">
        <f>IFERROR(__xludf.DUMMYFUNCTION("""COMPUTED_VALUE"""),"GINTRACOM")</f>
        <v>GINTRACOM</v>
      </c>
      <c r="R677" s="65">
        <f>IFERROR(__xludf.DUMMYFUNCTION("""COMPUTED_VALUE"""),22.0)</f>
        <v>22</v>
      </c>
      <c r="S677" s="65"/>
      <c r="T677" s="65">
        <f>IFERROR(__xludf.DUMMYFUNCTION("""COMPUTED_VALUE"""),5.84)</f>
        <v>5.84</v>
      </c>
      <c r="U677" s="65">
        <f>IFERROR(__xludf.DUMMYFUNCTION("""COMPUTED_VALUE"""),0.0)</f>
        <v>0</v>
      </c>
      <c r="V677" s="65">
        <f>IFERROR(__xludf.DUMMYFUNCTION("""COMPUTED_VALUE"""),0.0)</f>
        <v>0</v>
      </c>
      <c r="W677" s="65">
        <f>IFERROR(__xludf.DUMMYFUNCTION("""COMPUTED_VALUE"""),0.0)</f>
        <v>0</v>
      </c>
      <c r="X677" s="65">
        <f>IFERROR(__xludf.DUMMYFUNCTION("""COMPUTED_VALUE"""),3.75)</f>
        <v>3.75</v>
      </c>
      <c r="Y677" s="65">
        <f>IFERROR(__xludf.DUMMYFUNCTION("""COMPUTED_VALUE"""),7.5)</f>
        <v>7.5</v>
      </c>
      <c r="Z677" s="65">
        <f>IFERROR(__xludf.DUMMYFUNCTION("""COMPUTED_VALUE"""),113116.0)</f>
        <v>113116</v>
      </c>
      <c r="AA677" s="65" t="str">
        <f>IFERROR(__xludf.DUMMYFUNCTION("""COMPUTED_VALUE"""),"IM-TAZAKI")</f>
        <v>IM-TAZAKI</v>
      </c>
      <c r="AB677" s="65"/>
      <c r="AC677" s="65" t="str">
        <f>IFERROR(__xludf.DUMMYFUNCTION("""COMPUTED_VALUE"""),"Cuchillo tazaki")</f>
        <v>Cuchillo tazaki</v>
      </c>
      <c r="AD677" s="65"/>
      <c r="AE677" s="65">
        <f>IFERROR(__xludf.DUMMYFUNCTION("""COMPUTED_VALUE"""),2.0)</f>
        <v>2</v>
      </c>
      <c r="AF677" s="65"/>
      <c r="AG677" s="65"/>
      <c r="AH677" s="65"/>
      <c r="AI677" s="65"/>
      <c r="AJ677" s="65"/>
      <c r="AK677" s="65"/>
      <c r="AL677" s="65"/>
      <c r="AM677" s="65"/>
      <c r="AN677" s="65"/>
      <c r="AO677" s="65"/>
      <c r="AP677" s="65"/>
      <c r="AQ677" s="65"/>
      <c r="AR677" s="65"/>
      <c r="AS677" s="65"/>
      <c r="AT677" s="65" t="str">
        <f>IFERROR(__xludf.DUMMYFUNCTION("""COMPUTED_VALUE"""),"SHOPIFY")</f>
        <v>SHOPIFY</v>
      </c>
      <c r="AU677" s="65" t="str">
        <f>IFERROR(__xludf.DUMMYFUNCTION("""COMPUTED_VALUE"""),"IMPORTEX EC")</f>
        <v>IMPORTEX EC</v>
      </c>
      <c r="AV677" s="65" t="str">
        <f>IFERROR(__xludf.DUMMYFUNCTION("""COMPUTED_VALUE"""),"6506472701996")</f>
        <v>6506472701996</v>
      </c>
      <c r="AW677" s="65">
        <f>IFERROR(__xludf.DUMMYFUNCTION("""COMPUTED_VALUE"""),6187.0)</f>
        <v>6187</v>
      </c>
      <c r="AX677" s="65"/>
      <c r="AY677" s="65"/>
      <c r="AZ677" s="65"/>
      <c r="BA677" s="65"/>
    </row>
    <row r="678">
      <c r="A678" s="65" t="str">
        <f>IFERROR(__xludf.DUMMYFUNCTION("""COMPUTED_VALUE"""),"27-03-2026")</f>
        <v>27-03-2026</v>
      </c>
      <c r="B678" s="65">
        <f>IFERROR(__xludf.DUMMYFUNCTION("""COMPUTED_VALUE"""),4523521.0)</f>
        <v>4523521</v>
      </c>
      <c r="C678" s="65" t="str">
        <f>IFERROR(__xludf.DUMMYFUNCTION("""COMPUTED_VALUE"""),"12:03")</f>
        <v>12:03</v>
      </c>
      <c r="D678" s="65" t="str">
        <f>IFERROR(__xludf.DUMMYFUNCTION("""COMPUTED_VALUE"""),"16-02-2026")</f>
        <v>16-02-2026</v>
      </c>
      <c r="E678" s="65" t="str">
        <f>IFERROR(__xludf.DUMMYFUNCTION("""COMPUTED_VALUE"""),"ADALBERTO JOSE GONZALEZ RODRIGUEZ")</f>
        <v>ADALBERTO JOSE GONZALEZ RODRIGUEZ</v>
      </c>
      <c r="F678" s="65" t="str">
        <f>IFERROR(__xludf.DUMMYFUNCTION("""COMPUTED_VALUE"""),"995623483")</f>
        <v>995623483</v>
      </c>
      <c r="G678" s="65" t="str">
        <f>IFERROR(__xludf.DUMMYFUNCTION("""COMPUTED_VALUE"""),"adalbertojgr202@gmail.com")</f>
        <v>adalbertojgr202@gmail.com</v>
      </c>
      <c r="H678" s="65"/>
      <c r="I678" s="65"/>
      <c r="J678" s="65" t="str">
        <f>IFERROR(__xludf.DUMMYFUNCTION("""COMPUTED_VALUE"""),"D001339558")</f>
        <v>D001339558</v>
      </c>
      <c r="K678" s="65" t="str">
        <f>IFERROR(__xludf.DUMMYFUNCTION("""COMPUTED_VALUE"""),"ENTREGADO")</f>
        <v>ENTREGADO</v>
      </c>
      <c r="L678" s="65" t="str">
        <f>IFERROR(__xludf.DUMMYFUNCTION("""COMPUTED_VALUE"""),"CON RECAUDO")</f>
        <v>CON RECAUDO</v>
      </c>
      <c r="M678" s="65" t="str">
        <f>IFERROR(__xludf.DUMMYFUNCTION("""COMPUTED_VALUE"""),"SANTO DOMINGO DE LOS TSACHILAS")</f>
        <v>SANTO DOMINGO DE LOS TSACHILAS</v>
      </c>
      <c r="N678" s="65" t="str">
        <f>IFERROR(__xludf.DUMMYFUNCTION("""COMPUTED_VALUE"""),"SANTO DOMINGO")</f>
        <v>SANTO DOMINGO</v>
      </c>
      <c r="O678" s="65" t="str">
        <f>IFERROR(__xludf.DUMMYFUNCTION("""COMPUTED_VALUE"""),"Calle 6 de Noviembre Edificio Rivadeneira entre calle Augusto y el Colono")</f>
        <v>Calle 6 de Noviembre Edificio Rivadeneira entre calle Augusto y el Colono</v>
      </c>
      <c r="P678" s="65"/>
      <c r="Q678" s="65" t="str">
        <f>IFERROR(__xludf.DUMMYFUNCTION("""COMPUTED_VALUE"""),"GINTRACOM")</f>
        <v>GINTRACOM</v>
      </c>
      <c r="R678" s="65">
        <f>IFERROR(__xludf.DUMMYFUNCTION("""COMPUTED_VALUE"""),32.0)</f>
        <v>32</v>
      </c>
      <c r="S678" s="65">
        <f>IFERROR(__xludf.DUMMYFUNCTION("""COMPUTED_VALUE"""),10.76)</f>
        <v>10.76</v>
      </c>
      <c r="T678" s="65">
        <f>IFERROR(__xludf.DUMMYFUNCTION("""COMPUTED_VALUE"""),6.24)</f>
        <v>6.24</v>
      </c>
      <c r="U678" s="65">
        <f>IFERROR(__xludf.DUMMYFUNCTION("""COMPUTED_VALUE"""),0.0)</f>
        <v>0</v>
      </c>
      <c r="V678" s="65">
        <f>IFERROR(__xludf.DUMMYFUNCTION("""COMPUTED_VALUE"""),0.0)</f>
        <v>0</v>
      </c>
      <c r="W678" s="65">
        <f>IFERROR(__xludf.DUMMYFUNCTION("""COMPUTED_VALUE"""),0.0)</f>
        <v>0</v>
      </c>
      <c r="X678" s="65">
        <f>IFERROR(__xludf.DUMMYFUNCTION("""COMPUTED_VALUE"""),3.75)</f>
        <v>3.75</v>
      </c>
      <c r="Y678" s="65">
        <f>IFERROR(__xludf.DUMMYFUNCTION("""COMPUTED_VALUE"""),15.0)</f>
        <v>15</v>
      </c>
      <c r="Z678" s="65">
        <f>IFERROR(__xludf.DUMMYFUNCTION("""COMPUTED_VALUE"""),113116.0)</f>
        <v>113116</v>
      </c>
      <c r="AA678" s="65" t="str">
        <f>IFERROR(__xludf.DUMMYFUNCTION("""COMPUTED_VALUE"""),"IM-TAZAKI")</f>
        <v>IM-TAZAKI</v>
      </c>
      <c r="AB678" s="65"/>
      <c r="AC678" s="65" t="str">
        <f>IFERROR(__xludf.DUMMYFUNCTION("""COMPUTED_VALUE"""),"Cuchillo tazaki")</f>
        <v>Cuchillo tazaki</v>
      </c>
      <c r="AD678" s="65"/>
      <c r="AE678" s="65">
        <f>IFERROR(__xludf.DUMMYFUNCTION("""COMPUTED_VALUE"""),4.0)</f>
        <v>4</v>
      </c>
      <c r="AF678" s="65"/>
      <c r="AG678" s="65"/>
      <c r="AH678" s="65"/>
      <c r="AI678" s="65"/>
      <c r="AJ678" s="65"/>
      <c r="AK678" s="65"/>
      <c r="AL678" s="65"/>
      <c r="AM678" s="65"/>
      <c r="AN678" s="65" t="str">
        <f>IFERROR(__xludf.DUMMYFUNCTION("""COMPUTED_VALUE"""),"14:31")</f>
        <v>14:31</v>
      </c>
      <c r="AO678" s="65" t="str">
        <f>IFERROR(__xludf.DUMMYFUNCTION("""COMPUTED_VALUE"""),"20-02-2026")</f>
        <v>20-02-2026</v>
      </c>
      <c r="AP678" s="65" t="str">
        <f>IFERROR(__xludf.DUMMYFUNCTION("""COMPUTED_VALUE"""),"ENTREGADA GINTRACOM")</f>
        <v>ENTREGADA GINTRACOM</v>
      </c>
      <c r="AQ678" s="65" t="str">
        <f>IFERROR(__xludf.DUMMYFUNCTION("""COMPUTED_VALUE"""),"ENTREGADA GINTRACOM")</f>
        <v>ENTREGADA GINTRACOM</v>
      </c>
      <c r="AR678" s="65"/>
      <c r="AS678" s="65"/>
      <c r="AT678" s="65" t="str">
        <f>IFERROR(__xludf.DUMMYFUNCTION("""COMPUTED_VALUE"""),"SHOPIFY")</f>
        <v>SHOPIFY</v>
      </c>
      <c r="AU678" s="65" t="str">
        <f>IFERROR(__xludf.DUMMYFUNCTION("""COMPUTED_VALUE"""),"IMPORTEX EC")</f>
        <v>IMPORTEX EC</v>
      </c>
      <c r="AV678" s="65" t="str">
        <f>IFERROR(__xludf.DUMMYFUNCTION("""COMPUTED_VALUE"""),"6506419617836")</f>
        <v>6506419617836</v>
      </c>
      <c r="AW678" s="65">
        <f>IFERROR(__xludf.DUMMYFUNCTION("""COMPUTED_VALUE"""),6186.0)</f>
        <v>6186</v>
      </c>
      <c r="AX678" s="65"/>
      <c r="AY678" s="65" t="str">
        <f>IFERROR(__xludf.DUMMYFUNCTION("""COMPUTED_VALUE"""),"19/02/2026")</f>
        <v>19/02/2026</v>
      </c>
      <c r="AZ678" s="65"/>
      <c r="BA678" s="65"/>
    </row>
    <row r="679">
      <c r="A679" s="65" t="str">
        <f>IFERROR(__xludf.DUMMYFUNCTION("""COMPUTED_VALUE"""),"27-03-2026")</f>
        <v>27-03-2026</v>
      </c>
      <c r="B679" s="65">
        <f>IFERROR(__xludf.DUMMYFUNCTION("""COMPUTED_VALUE"""),4523515.0)</f>
        <v>4523515</v>
      </c>
      <c r="C679" s="65" t="str">
        <f>IFERROR(__xludf.DUMMYFUNCTION("""COMPUTED_VALUE"""),"12:02")</f>
        <v>12:02</v>
      </c>
      <c r="D679" s="65" t="str">
        <f>IFERROR(__xludf.DUMMYFUNCTION("""COMPUTED_VALUE"""),"16-02-2026")</f>
        <v>16-02-2026</v>
      </c>
      <c r="E679" s="65" t="str">
        <f>IFERROR(__xludf.DUMMYFUNCTION("""COMPUTED_VALUE"""),"Gabriela Mera Verduga")</f>
        <v>Gabriela Mera Verduga</v>
      </c>
      <c r="F679" s="65" t="str">
        <f>IFERROR(__xludf.DUMMYFUNCTION("""COMPUTED_VALUE"""),"981703216")</f>
        <v>981703216</v>
      </c>
      <c r="G679" s="65" t="str">
        <f>IFERROR(__xludf.DUMMYFUNCTION("""COMPUTED_VALUE"""),"gabymeraverduga20@hotmail.com")</f>
        <v>gabymeraverduga20@hotmail.com</v>
      </c>
      <c r="H679" s="65"/>
      <c r="I679" s="65"/>
      <c r="J679" s="65" t="str">
        <f>IFERROR(__xludf.DUMMYFUNCTION("""COMPUTED_VALUE"""),"D001339559")</f>
        <v>D001339559</v>
      </c>
      <c r="K679" s="65" t="str">
        <f>IFERROR(__xludf.DUMMYFUNCTION("""COMPUTED_VALUE"""),"DEVOLUCION")</f>
        <v>DEVOLUCION</v>
      </c>
      <c r="L679" s="65" t="str">
        <f>IFERROR(__xludf.DUMMYFUNCTION("""COMPUTED_VALUE"""),"CON RECAUDO")</f>
        <v>CON RECAUDO</v>
      </c>
      <c r="M679" s="65" t="str">
        <f>IFERROR(__xludf.DUMMYFUNCTION("""COMPUTED_VALUE"""),"LOS RIOS")</f>
        <v>LOS RIOS</v>
      </c>
      <c r="N679" s="65" t="str">
        <f>IFERROR(__xludf.DUMMYFUNCTION("""COMPUTED_VALUE"""),"BUENA FE")</f>
        <v>BUENA FE</v>
      </c>
      <c r="O679" s="65" t="str">
        <f>IFERROR(__xludf.DUMMYFUNCTION("""COMPUTED_VALUE"""),"Patricia Pilar Avenida principal panamericana Y Calle E , comedor y cevichería Doña Tere,  Frente a la parada de la Ruta 23 vía a Santo Domingo, Diagonal al SUBCENTRO DE SALUD")</f>
        <v>Patricia Pilar Avenida principal panamericana Y Calle E , comedor y cevichería Doña Tere,  Frente a la parada de la Ruta 23 vía a Santo Domingo, Diagonal al SUBCENTRO DE SALUD</v>
      </c>
      <c r="P679" s="65"/>
      <c r="Q679" s="65" t="str">
        <f>IFERROR(__xludf.DUMMYFUNCTION("""COMPUTED_VALUE"""),"GINTRACOM")</f>
        <v>GINTRACOM</v>
      </c>
      <c r="R679" s="65">
        <f>IFERROR(__xludf.DUMMYFUNCTION("""COMPUTED_VALUE"""),22.0)</f>
        <v>22</v>
      </c>
      <c r="S679" s="65"/>
      <c r="T679" s="65">
        <f>IFERROR(__xludf.DUMMYFUNCTION("""COMPUTED_VALUE"""),6.41)</f>
        <v>6.41</v>
      </c>
      <c r="U679" s="65">
        <f>IFERROR(__xludf.DUMMYFUNCTION("""COMPUTED_VALUE"""),0.0)</f>
        <v>0</v>
      </c>
      <c r="V679" s="65">
        <f>IFERROR(__xludf.DUMMYFUNCTION("""COMPUTED_VALUE"""),0.0)</f>
        <v>0</v>
      </c>
      <c r="W679" s="65">
        <f>IFERROR(__xludf.DUMMYFUNCTION("""COMPUTED_VALUE"""),0.0)</f>
        <v>0</v>
      </c>
      <c r="X679" s="65">
        <f>IFERROR(__xludf.DUMMYFUNCTION("""COMPUTED_VALUE"""),3.75)</f>
        <v>3.75</v>
      </c>
      <c r="Y679" s="65">
        <f>IFERROR(__xludf.DUMMYFUNCTION("""COMPUTED_VALUE"""),7.5)</f>
        <v>7.5</v>
      </c>
      <c r="Z679" s="65">
        <f>IFERROR(__xludf.DUMMYFUNCTION("""COMPUTED_VALUE"""),113116.0)</f>
        <v>113116</v>
      </c>
      <c r="AA679" s="65" t="str">
        <f>IFERROR(__xludf.DUMMYFUNCTION("""COMPUTED_VALUE"""),"IM-TAZAKI")</f>
        <v>IM-TAZAKI</v>
      </c>
      <c r="AB679" s="65"/>
      <c r="AC679" s="65" t="str">
        <f>IFERROR(__xludf.DUMMYFUNCTION("""COMPUTED_VALUE"""),"Cuchillo tazaki")</f>
        <v>Cuchillo tazaki</v>
      </c>
      <c r="AD679" s="65"/>
      <c r="AE679" s="65">
        <f>IFERROR(__xludf.DUMMYFUNCTION("""COMPUTED_VALUE"""),2.0)</f>
        <v>2</v>
      </c>
      <c r="AF679" s="65"/>
      <c r="AG679" s="65"/>
      <c r="AH679" s="65"/>
      <c r="AI679" s="65"/>
      <c r="AJ679" s="65"/>
      <c r="AK679" s="65"/>
      <c r="AL679" s="65"/>
      <c r="AM679" s="65"/>
      <c r="AN679" s="65" t="str">
        <f>IFERROR(__xludf.DUMMYFUNCTION("""COMPUTED_VALUE"""),"16:53")</f>
        <v>16:53</v>
      </c>
      <c r="AO679" s="65" t="str">
        <f>IFERROR(__xludf.DUMMYFUNCTION("""COMPUTED_VALUE"""),"11-03-2026")</f>
        <v>11-03-2026</v>
      </c>
      <c r="AP679" s="65" t="str">
        <f>IFERROR(__xludf.DUMMYFUNCTION("""COMPUTED_VALUE"""),"DEV CONFIRMADA POR BODEGA")</f>
        <v>DEV CONFIRMADA POR BODEGA</v>
      </c>
      <c r="AQ679" s="65"/>
      <c r="AR679" s="65" t="str">
        <f>IFERROR(__xludf.DUMMYFUNCTION("""COMPUTED_VALUE"""),"Gestionado por: IMPORSHOP SHOP, email:import1academyinfo@gmail.com, total de productos en la orden: 1")</f>
        <v>Gestionado por: IMPORSHOP SHOP, email:import1academyinfo@gmail.com, total de productos en la orden: 1</v>
      </c>
      <c r="AS679" s="65"/>
      <c r="AT679" s="65" t="str">
        <f>IFERROR(__xludf.DUMMYFUNCTION("""COMPUTED_VALUE"""),"SHOPIFY")</f>
        <v>SHOPIFY</v>
      </c>
      <c r="AU679" s="65" t="str">
        <f>IFERROR(__xludf.DUMMYFUNCTION("""COMPUTED_VALUE"""),"IMPORTEX EC")</f>
        <v>IMPORTEX EC</v>
      </c>
      <c r="AV679" s="65" t="str">
        <f>IFERROR(__xludf.DUMMYFUNCTION("""COMPUTED_VALUE"""),"6506365485100")</f>
        <v>6506365485100</v>
      </c>
      <c r="AW679" s="65">
        <f>IFERROR(__xludf.DUMMYFUNCTION("""COMPUTED_VALUE"""),6184.0)</f>
        <v>6184</v>
      </c>
      <c r="AX679" s="65"/>
      <c r="AY679" s="65" t="str">
        <f>IFERROR(__xludf.DUMMYFUNCTION("""COMPUTED_VALUE"""),"19/02/2026")</f>
        <v>19/02/2026</v>
      </c>
      <c r="AZ679" s="65"/>
      <c r="BA679" s="65"/>
    </row>
    <row r="680">
      <c r="A680" s="65" t="str">
        <f>IFERROR(__xludf.DUMMYFUNCTION("""COMPUTED_VALUE"""),"27-03-2026")</f>
        <v>27-03-2026</v>
      </c>
      <c r="B680" s="65">
        <f>IFERROR(__xludf.DUMMYFUNCTION("""COMPUTED_VALUE"""),4523512.0)</f>
        <v>4523512</v>
      </c>
      <c r="C680" s="65" t="str">
        <f>IFERROR(__xludf.DUMMYFUNCTION("""COMPUTED_VALUE"""),"12:02")</f>
        <v>12:02</v>
      </c>
      <c r="D680" s="65" t="str">
        <f>IFERROR(__xludf.DUMMYFUNCTION("""COMPUTED_VALUE"""),"16-02-2026")</f>
        <v>16-02-2026</v>
      </c>
      <c r="E680" s="65" t="str">
        <f>IFERROR(__xludf.DUMMYFUNCTION("""COMPUTED_VALUE"""),"leonardo mendoza mendoza")</f>
        <v>leonardo mendoza mendoza</v>
      </c>
      <c r="F680" s="65" t="str">
        <f>IFERROR(__xludf.DUMMYFUNCTION("""COMPUTED_VALUE"""),"978764024")</f>
        <v>978764024</v>
      </c>
      <c r="G680" s="65" t="str">
        <f>IFERROR(__xludf.DUMMYFUNCTION("""COMPUTED_VALUE"""),"leonardomens87@gmail.com")</f>
        <v>leonardomens87@gmail.com</v>
      </c>
      <c r="H680" s="65"/>
      <c r="I680" s="65"/>
      <c r="J680" s="65" t="str">
        <f>IFERROR(__xludf.DUMMYFUNCTION("""COMPUTED_VALUE"""),"D001343258")</f>
        <v>D001343258</v>
      </c>
      <c r="K680" s="65" t="str">
        <f>IFERROR(__xludf.DUMMYFUNCTION("""COMPUTED_VALUE"""),"DEVOLUCION")</f>
        <v>DEVOLUCION</v>
      </c>
      <c r="L680" s="65" t="str">
        <f>IFERROR(__xludf.DUMMYFUNCTION("""COMPUTED_VALUE"""),"CON RECAUDO")</f>
        <v>CON RECAUDO</v>
      </c>
      <c r="M680" s="65" t="str">
        <f>IFERROR(__xludf.DUMMYFUNCTION("""COMPUTED_VALUE"""),"MANABI")</f>
        <v>MANABI</v>
      </c>
      <c r="N680" s="65" t="str">
        <f>IFERROR(__xludf.DUMMYFUNCTION("""COMPUTED_VALUE"""),"MANTA")</f>
        <v>MANTA</v>
      </c>
      <c r="O680" s="65" t="str">
        <f>IFERROR(__xludf.DUMMYFUNCTION("""COMPUTED_VALUE"""),"Vía san mateo colegio Manabí - A lado de la Urbanizacion Altos de Manta Beach - via Spondylus")</f>
        <v>Vía san mateo colegio Manabí - A lado de la Urbanizacion Altos de Manta Beach - via Spondylus</v>
      </c>
      <c r="P680" s="65"/>
      <c r="Q680" s="65" t="str">
        <f>IFERROR(__xludf.DUMMYFUNCTION("""COMPUTED_VALUE"""),"GINTRACOM")</f>
        <v>GINTRACOM</v>
      </c>
      <c r="R680" s="65">
        <f>IFERROR(__xludf.DUMMYFUNCTION("""COMPUTED_VALUE"""),27.0)</f>
        <v>27</v>
      </c>
      <c r="S680" s="65"/>
      <c r="T680" s="65">
        <f>IFERROR(__xludf.DUMMYFUNCTION("""COMPUTED_VALUE"""),6.03)</f>
        <v>6.03</v>
      </c>
      <c r="U680" s="65">
        <f>IFERROR(__xludf.DUMMYFUNCTION("""COMPUTED_VALUE"""),0.0)</f>
        <v>0</v>
      </c>
      <c r="V680" s="65">
        <f>IFERROR(__xludf.DUMMYFUNCTION("""COMPUTED_VALUE"""),0.0)</f>
        <v>0</v>
      </c>
      <c r="W680" s="65">
        <f>IFERROR(__xludf.DUMMYFUNCTION("""COMPUTED_VALUE"""),0.0)</f>
        <v>0</v>
      </c>
      <c r="X680" s="65">
        <f>IFERROR(__xludf.DUMMYFUNCTION("""COMPUTED_VALUE"""),3.75)</f>
        <v>3.75</v>
      </c>
      <c r="Y680" s="65">
        <f>IFERROR(__xludf.DUMMYFUNCTION("""COMPUTED_VALUE"""),11.25)</f>
        <v>11.25</v>
      </c>
      <c r="Z680" s="65">
        <f>IFERROR(__xludf.DUMMYFUNCTION("""COMPUTED_VALUE"""),113116.0)</f>
        <v>113116</v>
      </c>
      <c r="AA680" s="65" t="str">
        <f>IFERROR(__xludf.DUMMYFUNCTION("""COMPUTED_VALUE"""),"IM-TAZAKI")</f>
        <v>IM-TAZAKI</v>
      </c>
      <c r="AB680" s="65"/>
      <c r="AC680" s="65" t="str">
        <f>IFERROR(__xludf.DUMMYFUNCTION("""COMPUTED_VALUE"""),"Cuchillo tazaki")</f>
        <v>Cuchillo tazaki</v>
      </c>
      <c r="AD680" s="65"/>
      <c r="AE680" s="65">
        <f>IFERROR(__xludf.DUMMYFUNCTION("""COMPUTED_VALUE"""),3.0)</f>
        <v>3</v>
      </c>
      <c r="AF680" s="65" t="str">
        <f>IFERROR(__xludf.DUMMYFUNCTION("""COMPUTED_VALUE"""),"DESTINATARIO NO CONTESTA LLAMADAS NI WHATSAPP")</f>
        <v>DESTINATARIO NO CONTESTA LLAMADAS NI WHATSAPP</v>
      </c>
      <c r="AG680" s="65" t="str">
        <f>IFERROR(__xludf.DUMMYFUNCTION("""COMPUTED_VALUE"""),"NO")</f>
        <v>NO</v>
      </c>
      <c r="AH680" s="65" t="str">
        <f>IFERROR(__xludf.DUMMYFUNCTION("""COMPUTED_VALUE"""),"09:00")</f>
        <v>09:00</v>
      </c>
      <c r="AI680" s="65" t="str">
        <f>IFERROR(__xludf.DUMMYFUNCTION("""COMPUTED_VALUE"""),"01-03-2026")</f>
        <v>01-03-2026</v>
      </c>
      <c r="AJ680" s="65"/>
      <c r="AK680" s="65"/>
      <c r="AL680" s="65"/>
      <c r="AM680" s="65"/>
      <c r="AN680" s="65" t="str">
        <f>IFERROR(__xludf.DUMMYFUNCTION("""COMPUTED_VALUE"""),"12:34")</f>
        <v>12:34</v>
      </c>
      <c r="AO680" s="65" t="str">
        <f>IFERROR(__xludf.DUMMYFUNCTION("""COMPUTED_VALUE"""),"11-03-2026")</f>
        <v>11-03-2026</v>
      </c>
      <c r="AP680" s="65" t="str">
        <f>IFERROR(__xludf.DUMMYFUNCTION("""COMPUTED_VALUE"""),"DEVOLUCIÓN ENTREGADA A ORIGEN")</f>
        <v>DEVOLUCIÓN ENTREGADA A ORIGEN</v>
      </c>
      <c r="AQ680" s="65" t="str">
        <f>IFERROR(__xludf.DUMMYFUNCTION("""COMPUTED_VALUE"""),"DEVOLUCIÓN ENTREGADA A ORIGEN")</f>
        <v>DEVOLUCIÓN ENTREGADA A ORIGEN</v>
      </c>
      <c r="AR680" s="65"/>
      <c r="AS680" s="65"/>
      <c r="AT680" s="65" t="str">
        <f>IFERROR(__xludf.DUMMYFUNCTION("""COMPUTED_VALUE"""),"SHOPIFY")</f>
        <v>SHOPIFY</v>
      </c>
      <c r="AU680" s="65" t="str">
        <f>IFERROR(__xludf.DUMMYFUNCTION("""COMPUTED_VALUE"""),"IMPORTEX EC")</f>
        <v>IMPORTEX EC</v>
      </c>
      <c r="AV680" s="65" t="str">
        <f>IFERROR(__xludf.DUMMYFUNCTION("""COMPUTED_VALUE"""),"6506172252204")</f>
        <v>6506172252204</v>
      </c>
      <c r="AW680" s="65">
        <f>IFERROR(__xludf.DUMMYFUNCTION("""COMPUTED_VALUE"""),6180.0)</f>
        <v>6180</v>
      </c>
      <c r="AX680" s="65"/>
      <c r="AY680" s="65" t="str">
        <f>IFERROR(__xludf.DUMMYFUNCTION("""COMPUTED_VALUE"""),"20/02/2026")</f>
        <v>20/02/2026</v>
      </c>
      <c r="AZ680" s="65"/>
      <c r="BA680" s="65"/>
    </row>
    <row r="681">
      <c r="A681" s="65" t="str">
        <f>IFERROR(__xludf.DUMMYFUNCTION("""COMPUTED_VALUE"""),"27-03-2026")</f>
        <v>27-03-2026</v>
      </c>
      <c r="B681" s="65">
        <f>IFERROR(__xludf.DUMMYFUNCTION("""COMPUTED_VALUE"""),4523508.0)</f>
        <v>4523508</v>
      </c>
      <c r="C681" s="65" t="str">
        <f>IFERROR(__xludf.DUMMYFUNCTION("""COMPUTED_VALUE"""),"12:01")</f>
        <v>12:01</v>
      </c>
      <c r="D681" s="65" t="str">
        <f>IFERROR(__xludf.DUMMYFUNCTION("""COMPUTED_VALUE"""),"16-02-2026")</f>
        <v>16-02-2026</v>
      </c>
      <c r="E681" s="65" t="str">
        <f>IFERROR(__xludf.DUMMYFUNCTION("""COMPUTED_VALUE"""),"Ray Davila")</f>
        <v>Ray Davila</v>
      </c>
      <c r="F681" s="65" t="str">
        <f>IFERROR(__xludf.DUMMYFUNCTION("""COMPUTED_VALUE"""),"982636608")</f>
        <v>982636608</v>
      </c>
      <c r="G681" s="65" t="str">
        <f>IFERROR(__xludf.DUMMYFUNCTION("""COMPUTED_VALUE"""),"rayalejb@gmail.com")</f>
        <v>rayalejb@gmail.com</v>
      </c>
      <c r="H681" s="65"/>
      <c r="I681" s="65"/>
      <c r="J681" s="65" t="str">
        <f>IFERROR(__xludf.DUMMYFUNCTION("""COMPUTED_VALUE"""),"D001340304")</f>
        <v>D001340304</v>
      </c>
      <c r="K681" s="65" t="str">
        <f>IFERROR(__xludf.DUMMYFUNCTION("""COMPUTED_VALUE"""),"ENTREGADO")</f>
        <v>ENTREGADO</v>
      </c>
      <c r="L681" s="65" t="str">
        <f>IFERROR(__xludf.DUMMYFUNCTION("""COMPUTED_VALUE"""),"CON RECAUDO")</f>
        <v>CON RECAUDO</v>
      </c>
      <c r="M681" s="65" t="str">
        <f>IFERROR(__xludf.DUMMYFUNCTION("""COMPUTED_VALUE"""),"SANTO DOMINGO DE LOS TSACHILAS")</f>
        <v>SANTO DOMINGO DE LOS TSACHILAS</v>
      </c>
      <c r="N681" s="65" t="str">
        <f>IFERROR(__xludf.DUMMYFUNCTION("""COMPUTED_VALUE"""),"SANTO DOMINGO")</f>
        <v>SANTO DOMINGO</v>
      </c>
      <c r="O681" s="65" t="str">
        <f>IFERROR(__xludf.DUMMYFUNCTION("""COMPUTED_VALUE"""),"Cocaniguas 204 y pasaje ecuador Local Compudav diagonal al Colegio. DANTE Alighieri")</f>
        <v>Cocaniguas 204 y pasaje ecuador Local Compudav diagonal al Colegio. DANTE Alighieri</v>
      </c>
      <c r="P681" s="65"/>
      <c r="Q681" s="65" t="str">
        <f>IFERROR(__xludf.DUMMYFUNCTION("""COMPUTED_VALUE"""),"GINTRACOM")</f>
        <v>GINTRACOM</v>
      </c>
      <c r="R681" s="65">
        <f>IFERROR(__xludf.DUMMYFUNCTION("""COMPUTED_VALUE"""),20.0)</f>
        <v>20</v>
      </c>
      <c r="S681" s="65">
        <f>IFERROR(__xludf.DUMMYFUNCTION("""COMPUTED_VALUE"""),11.84)</f>
        <v>11.84</v>
      </c>
      <c r="T681" s="65">
        <f>IFERROR(__xludf.DUMMYFUNCTION("""COMPUTED_VALUE"""),5.76)</f>
        <v>5.76</v>
      </c>
      <c r="U681" s="65">
        <f>IFERROR(__xludf.DUMMYFUNCTION("""COMPUTED_VALUE"""),0.0)</f>
        <v>0</v>
      </c>
      <c r="V681" s="65">
        <f>IFERROR(__xludf.DUMMYFUNCTION("""COMPUTED_VALUE"""),0.0)</f>
        <v>0</v>
      </c>
      <c r="W681" s="65">
        <f>IFERROR(__xludf.DUMMYFUNCTION("""COMPUTED_VALUE"""),0.0)</f>
        <v>0</v>
      </c>
      <c r="X681" s="65">
        <f>IFERROR(__xludf.DUMMYFUNCTION("""COMPUTED_VALUE"""),2.4)</f>
        <v>2.4</v>
      </c>
      <c r="Y681" s="65">
        <f>IFERROR(__xludf.DUMMYFUNCTION("""COMPUTED_VALUE"""),2.4)</f>
        <v>2.4</v>
      </c>
      <c r="Z681" s="65">
        <f>IFERROR(__xludf.DUMMYFUNCTION("""COMPUTED_VALUE"""),120732.0)</f>
        <v>120732</v>
      </c>
      <c r="AA681" s="65" t="str">
        <f>IFERROR(__xludf.DUMMYFUNCTION("""COMPUTED_VALUE"""),"PROV-LMPVT")</f>
        <v>PROV-LMPVT</v>
      </c>
      <c r="AB681" s="65"/>
      <c r="AC681" s="65" t="str">
        <f>IFERROR(__xludf.DUMMYFUNCTION("""COMPUTED_VALUE"""),"LIMPIADOR DE PARABRISAS Y VENTANAS")</f>
        <v>LIMPIADOR DE PARABRISAS Y VENTANAS</v>
      </c>
      <c r="AD681" s="65"/>
      <c r="AE681" s="65">
        <f>IFERROR(__xludf.DUMMYFUNCTION("""COMPUTED_VALUE"""),1.0)</f>
        <v>1</v>
      </c>
      <c r="AF681" s="65"/>
      <c r="AG681" s="65"/>
      <c r="AH681" s="65"/>
      <c r="AI681" s="65"/>
      <c r="AJ681" s="65"/>
      <c r="AK681" s="65"/>
      <c r="AL681" s="65"/>
      <c r="AM681" s="65"/>
      <c r="AN681" s="65" t="str">
        <f>IFERROR(__xludf.DUMMYFUNCTION("""COMPUTED_VALUE"""),"11:48")</f>
        <v>11:48</v>
      </c>
      <c r="AO681" s="65" t="str">
        <f>IFERROR(__xludf.DUMMYFUNCTION("""COMPUTED_VALUE"""),"21-02-2026")</f>
        <v>21-02-2026</v>
      </c>
      <c r="AP681" s="65" t="str">
        <f>IFERROR(__xludf.DUMMYFUNCTION("""COMPUTED_VALUE"""),"ENTREGADA GINTRACOM")</f>
        <v>ENTREGADA GINTRACOM</v>
      </c>
      <c r="AQ681" s="65" t="str">
        <f>IFERROR(__xludf.DUMMYFUNCTION("""COMPUTED_VALUE"""),"ENTREGADA GINTRACOM")</f>
        <v>ENTREGADA GINTRACOM</v>
      </c>
      <c r="AR681" s="65"/>
      <c r="AS681" s="65"/>
      <c r="AT681" s="65" t="str">
        <f>IFERROR(__xludf.DUMMYFUNCTION("""COMPUTED_VALUE"""),"SHOPIFY")</f>
        <v>SHOPIFY</v>
      </c>
      <c r="AU681" s="65" t="str">
        <f>IFERROR(__xludf.DUMMYFUNCTION("""COMPUTED_VALUE"""),"IMPORTEX EC")</f>
        <v>IMPORTEX EC</v>
      </c>
      <c r="AV681" s="65" t="str">
        <f>IFERROR(__xludf.DUMMYFUNCTION("""COMPUTED_VALUE"""),"6506158850092")</f>
        <v>6506158850092</v>
      </c>
      <c r="AW681" s="65">
        <f>IFERROR(__xludf.DUMMYFUNCTION("""COMPUTED_VALUE"""),6179.0)</f>
        <v>6179</v>
      </c>
      <c r="AX681" s="65"/>
      <c r="AY681" s="65" t="str">
        <f>IFERROR(__xludf.DUMMYFUNCTION("""COMPUTED_VALUE"""),"19/02/2026")</f>
        <v>19/02/2026</v>
      </c>
      <c r="AZ681" s="65"/>
      <c r="BA681" s="65"/>
    </row>
    <row r="682">
      <c r="A682" s="65" t="str">
        <f>IFERROR(__xludf.DUMMYFUNCTION("""COMPUTED_VALUE"""),"27-03-2026")</f>
        <v>27-03-2026</v>
      </c>
      <c r="B682" s="65">
        <f>IFERROR(__xludf.DUMMYFUNCTION("""COMPUTED_VALUE"""),4523494.0)</f>
        <v>4523494</v>
      </c>
      <c r="C682" s="65" t="str">
        <f>IFERROR(__xludf.DUMMYFUNCTION("""COMPUTED_VALUE"""),"11:59")</f>
        <v>11:59</v>
      </c>
      <c r="D682" s="65" t="str">
        <f>IFERROR(__xludf.DUMMYFUNCTION("""COMPUTED_VALUE"""),"16-02-2026")</f>
        <v>16-02-2026</v>
      </c>
      <c r="E682" s="65" t="str">
        <f>IFERROR(__xludf.DUMMYFUNCTION("""COMPUTED_VALUE"""),"Douglas Barona Lozada")</f>
        <v>Douglas Barona Lozada</v>
      </c>
      <c r="F682" s="65" t="str">
        <f>IFERROR(__xludf.DUMMYFUNCTION("""COMPUTED_VALUE"""),"0985424272")</f>
        <v>0985424272</v>
      </c>
      <c r="G682" s="65" t="str">
        <f>IFERROR(__xludf.DUMMYFUNCTION("""COMPUTED_VALUE"""),"douglasbaroba@yahoo.com")</f>
        <v>douglasbaroba@yahoo.com</v>
      </c>
      <c r="H682" s="65"/>
      <c r="I682" s="65"/>
      <c r="J682" s="65" t="str">
        <f>IFERROR(__xludf.DUMMYFUNCTION("""COMPUTED_VALUE"""),"D001343261")</f>
        <v>D001343261</v>
      </c>
      <c r="K682" s="65" t="str">
        <f>IFERROR(__xludf.DUMMYFUNCTION("""COMPUTED_VALUE"""),"ENTREGADO")</f>
        <v>ENTREGADO</v>
      </c>
      <c r="L682" s="65" t="str">
        <f>IFERROR(__xludf.DUMMYFUNCTION("""COMPUTED_VALUE"""),"CON RECAUDO")</f>
        <v>CON RECAUDO</v>
      </c>
      <c r="M682" s="65" t="str">
        <f>IFERROR(__xludf.DUMMYFUNCTION("""COMPUTED_VALUE"""),"TUNGURAHUA")</f>
        <v>TUNGURAHUA</v>
      </c>
      <c r="N682" s="65" t="str">
        <f>IFERROR(__xludf.DUMMYFUNCTION("""COMPUTED_VALUE"""),"AMBATO")</f>
        <v>AMBATO</v>
      </c>
      <c r="O682" s="65" t="str">
        <f>IFERROR(__xludf.DUMMYFUNCTION("""COMPUTED_VALUE"""),"Epiclachima 01-14 y chapera")</f>
        <v>Epiclachima 01-14 y chapera</v>
      </c>
      <c r="P682" s="65"/>
      <c r="Q682" s="65" t="str">
        <f>IFERROR(__xludf.DUMMYFUNCTION("""COMPUTED_VALUE"""),"GINTRACOM")</f>
        <v>GINTRACOM</v>
      </c>
      <c r="R682" s="65">
        <f>IFERROR(__xludf.DUMMYFUNCTION("""COMPUTED_VALUE"""),22.0)</f>
        <v>22</v>
      </c>
      <c r="S682" s="65">
        <f>IFERROR(__xludf.DUMMYFUNCTION("""COMPUTED_VALUE"""),8.66)</f>
        <v>8.66</v>
      </c>
      <c r="T682" s="65">
        <f>IFERROR(__xludf.DUMMYFUNCTION("""COMPUTED_VALUE"""),5.84)</f>
        <v>5.84</v>
      </c>
      <c r="U682" s="65">
        <f>IFERROR(__xludf.DUMMYFUNCTION("""COMPUTED_VALUE"""),0.0)</f>
        <v>0</v>
      </c>
      <c r="V682" s="65">
        <f>IFERROR(__xludf.DUMMYFUNCTION("""COMPUTED_VALUE"""),0.0)</f>
        <v>0</v>
      </c>
      <c r="W682" s="65">
        <f>IFERROR(__xludf.DUMMYFUNCTION("""COMPUTED_VALUE"""),0.0)</f>
        <v>0</v>
      </c>
      <c r="X682" s="65">
        <f>IFERROR(__xludf.DUMMYFUNCTION("""COMPUTED_VALUE"""),3.75)</f>
        <v>3.75</v>
      </c>
      <c r="Y682" s="65">
        <f>IFERROR(__xludf.DUMMYFUNCTION("""COMPUTED_VALUE"""),7.5)</f>
        <v>7.5</v>
      </c>
      <c r="Z682" s="65">
        <f>IFERROR(__xludf.DUMMYFUNCTION("""COMPUTED_VALUE"""),113116.0)</f>
        <v>113116</v>
      </c>
      <c r="AA682" s="65" t="str">
        <f>IFERROR(__xludf.DUMMYFUNCTION("""COMPUTED_VALUE"""),"IM-TAZAKI")</f>
        <v>IM-TAZAKI</v>
      </c>
      <c r="AB682" s="65"/>
      <c r="AC682" s="65" t="str">
        <f>IFERROR(__xludf.DUMMYFUNCTION("""COMPUTED_VALUE"""),"Cuchillo tazaki")</f>
        <v>Cuchillo tazaki</v>
      </c>
      <c r="AD682" s="65"/>
      <c r="AE682" s="65">
        <f>IFERROR(__xludf.DUMMYFUNCTION("""COMPUTED_VALUE"""),2.0)</f>
        <v>2</v>
      </c>
      <c r="AF682" s="65"/>
      <c r="AG682" s="65"/>
      <c r="AH682" s="65"/>
      <c r="AI682" s="65"/>
      <c r="AJ682" s="65"/>
      <c r="AK682" s="65"/>
      <c r="AL682" s="65"/>
      <c r="AM682" s="65"/>
      <c r="AN682" s="65" t="str">
        <f>IFERROR(__xludf.DUMMYFUNCTION("""COMPUTED_VALUE"""),"09:11")</f>
        <v>09:11</v>
      </c>
      <c r="AO682" s="65" t="str">
        <f>IFERROR(__xludf.DUMMYFUNCTION("""COMPUTED_VALUE"""),"21-02-2026")</f>
        <v>21-02-2026</v>
      </c>
      <c r="AP682" s="65" t="str">
        <f>IFERROR(__xludf.DUMMYFUNCTION("""COMPUTED_VALUE"""),"EN REPARTO")</f>
        <v>EN REPARTO</v>
      </c>
      <c r="AQ682" s="65" t="str">
        <f>IFERROR(__xludf.DUMMYFUNCTION("""COMPUTED_VALUE"""),"EN REPARTO")</f>
        <v>EN REPARTO</v>
      </c>
      <c r="AR682" s="65"/>
      <c r="AS682" s="65"/>
      <c r="AT682" s="65" t="str">
        <f>IFERROR(__xludf.DUMMYFUNCTION("""COMPUTED_VALUE"""),"SHOPIFY")</f>
        <v>SHOPIFY</v>
      </c>
      <c r="AU682" s="65" t="str">
        <f>IFERROR(__xludf.DUMMYFUNCTION("""COMPUTED_VALUE"""),"IMPORTEX EC")</f>
        <v>IMPORTEX EC</v>
      </c>
      <c r="AV682" s="65" t="str">
        <f>IFERROR(__xludf.DUMMYFUNCTION("""COMPUTED_VALUE"""),"6505788637228")</f>
        <v>6505788637228</v>
      </c>
      <c r="AW682" s="65">
        <f>IFERROR(__xludf.DUMMYFUNCTION("""COMPUTED_VALUE"""),6174.0)</f>
        <v>6174</v>
      </c>
      <c r="AX682" s="65"/>
      <c r="AY682" s="65" t="str">
        <f>IFERROR(__xludf.DUMMYFUNCTION("""COMPUTED_VALUE"""),"20/02/2026")</f>
        <v>20/02/2026</v>
      </c>
      <c r="AZ682" s="65"/>
      <c r="BA682" s="65"/>
    </row>
    <row r="683">
      <c r="A683" s="65" t="str">
        <f>IFERROR(__xludf.DUMMYFUNCTION("""COMPUTED_VALUE"""),"27-03-2026")</f>
        <v>27-03-2026</v>
      </c>
      <c r="B683" s="65">
        <f>IFERROR(__xludf.DUMMYFUNCTION("""COMPUTED_VALUE"""),4523482.0)</f>
        <v>4523482</v>
      </c>
      <c r="C683" s="65" t="str">
        <f>IFERROR(__xludf.DUMMYFUNCTION("""COMPUTED_VALUE"""),"11:58")</f>
        <v>11:58</v>
      </c>
      <c r="D683" s="65" t="str">
        <f>IFERROR(__xludf.DUMMYFUNCTION("""COMPUTED_VALUE"""),"16-02-2026")</f>
        <v>16-02-2026</v>
      </c>
      <c r="E683" s="65" t="str">
        <f>IFERROR(__xludf.DUMMYFUNCTION("""COMPUTED_VALUE"""),"Abel Montero")</f>
        <v>Abel Montero</v>
      </c>
      <c r="F683" s="65" t="str">
        <f>IFERROR(__xludf.DUMMYFUNCTION("""COMPUTED_VALUE"""),"999728851")</f>
        <v>999728851</v>
      </c>
      <c r="G683" s="65" t="str">
        <f>IFERROR(__xludf.DUMMYFUNCTION("""COMPUTED_VALUE"""),"quilks369@gmail.com")</f>
        <v>quilks369@gmail.com</v>
      </c>
      <c r="H683" s="65"/>
      <c r="I683" s="65"/>
      <c r="J683" s="65" t="str">
        <f>IFERROR(__xludf.DUMMYFUNCTION("""COMPUTED_VALUE"""),"D001339560")</f>
        <v>D001339560</v>
      </c>
      <c r="K683" s="65" t="str">
        <f>IFERROR(__xludf.DUMMYFUNCTION("""COMPUTED_VALUE"""),"ENTREGADO")</f>
        <v>ENTREGADO</v>
      </c>
      <c r="L683" s="65" t="str">
        <f>IFERROR(__xludf.DUMMYFUNCTION("""COMPUTED_VALUE"""),"CON RECAUDO")</f>
        <v>CON RECAUDO</v>
      </c>
      <c r="M683" s="65" t="str">
        <f>IFERROR(__xludf.DUMMYFUNCTION("""COMPUTED_VALUE"""),"PICHINCHA")</f>
        <v>PICHINCHA</v>
      </c>
      <c r="N683" s="65" t="str">
        <f>IFERROR(__xludf.DUMMYFUNCTION("""COMPUTED_VALUE"""),"NAYON")</f>
        <v>NAYON</v>
      </c>
      <c r="O683" s="65" t="str">
        <f>IFERROR(__xludf.DUMMYFUNCTION("""COMPUTED_VALUE"""),"Manuela Saenz Megaropolis 1 cs Diagonal al Pai Policial -")</f>
        <v>Manuela Saenz Megaropolis 1 cs Diagonal al Pai Policial -</v>
      </c>
      <c r="P683" s="65"/>
      <c r="Q683" s="65" t="str">
        <f>IFERROR(__xludf.DUMMYFUNCTION("""COMPUTED_VALUE"""),"GINTRACOM")</f>
        <v>GINTRACOM</v>
      </c>
      <c r="R683" s="65">
        <f>IFERROR(__xludf.DUMMYFUNCTION("""COMPUTED_VALUE"""),22.0)</f>
        <v>22</v>
      </c>
      <c r="S683" s="65">
        <f>IFERROR(__xludf.DUMMYFUNCTION("""COMPUTED_VALUE"""),9.7)</f>
        <v>9.7</v>
      </c>
      <c r="T683" s="65">
        <f>IFERROR(__xludf.DUMMYFUNCTION("""COMPUTED_VALUE"""),4.8)</f>
        <v>4.8</v>
      </c>
      <c r="U683" s="65">
        <f>IFERROR(__xludf.DUMMYFUNCTION("""COMPUTED_VALUE"""),0.0)</f>
        <v>0</v>
      </c>
      <c r="V683" s="65">
        <f>IFERROR(__xludf.DUMMYFUNCTION("""COMPUTED_VALUE"""),0.0)</f>
        <v>0</v>
      </c>
      <c r="W683" s="65">
        <f>IFERROR(__xludf.DUMMYFUNCTION("""COMPUTED_VALUE"""),0.0)</f>
        <v>0</v>
      </c>
      <c r="X683" s="65">
        <f>IFERROR(__xludf.DUMMYFUNCTION("""COMPUTED_VALUE"""),3.75)</f>
        <v>3.75</v>
      </c>
      <c r="Y683" s="65">
        <f>IFERROR(__xludf.DUMMYFUNCTION("""COMPUTED_VALUE"""),7.5)</f>
        <v>7.5</v>
      </c>
      <c r="Z683" s="65">
        <f>IFERROR(__xludf.DUMMYFUNCTION("""COMPUTED_VALUE"""),113116.0)</f>
        <v>113116</v>
      </c>
      <c r="AA683" s="65" t="str">
        <f>IFERROR(__xludf.DUMMYFUNCTION("""COMPUTED_VALUE"""),"IM-TAZAKI")</f>
        <v>IM-TAZAKI</v>
      </c>
      <c r="AB683" s="65"/>
      <c r="AC683" s="65" t="str">
        <f>IFERROR(__xludf.DUMMYFUNCTION("""COMPUTED_VALUE"""),"Cuchillo tazaki")</f>
        <v>Cuchillo tazaki</v>
      </c>
      <c r="AD683" s="65"/>
      <c r="AE683" s="65">
        <f>IFERROR(__xludf.DUMMYFUNCTION("""COMPUTED_VALUE"""),2.0)</f>
        <v>2</v>
      </c>
      <c r="AF683" s="65" t="str">
        <f>IFERROR(__xludf.DUMMYFUNCTION("""COMPUTED_VALUE"""),"DESTINATARIO NO CONTESTA LLAMADAS NI WHATSAPP")</f>
        <v>DESTINATARIO NO CONTESTA LLAMADAS NI WHATSAPP</v>
      </c>
      <c r="AG683" s="65" t="str">
        <f>IFERROR(__xludf.DUMMYFUNCTION("""COMPUTED_VALUE"""),"SI")</f>
        <v>SI</v>
      </c>
      <c r="AH683" s="65" t="str">
        <f>IFERROR(__xludf.DUMMYFUNCTION("""COMPUTED_VALUE"""),"18:59")</f>
        <v>18:59</v>
      </c>
      <c r="AI683" s="65" t="str">
        <f>IFERROR(__xludf.DUMMYFUNCTION("""COMPUTED_VALUE"""),"25-02-2026")</f>
        <v>25-02-2026</v>
      </c>
      <c r="AJ683" s="65" t="str">
        <f>IFERROR(__xludf.DUMMYFUNCTION("""COMPUTED_VALUE"""),"CLIENTE SOLICITA LA ENTREGA INMEDIATA")</f>
        <v>CLIENTE SOLICITA LA ENTREGA INMEDIATA</v>
      </c>
      <c r="AK683" s="65" t="str">
        <f>IFERROR(__xludf.DUMMYFUNCTION("""COMPUTED_VALUE"""),"13:06")</f>
        <v>13:06</v>
      </c>
      <c r="AL683" s="65" t="str">
        <f>IFERROR(__xludf.DUMMYFUNCTION("""COMPUTED_VALUE"""),"26-02-2026")</f>
        <v>26-02-2026</v>
      </c>
      <c r="AM683" s="65"/>
      <c r="AN683" s="65" t="str">
        <f>IFERROR(__xludf.DUMMYFUNCTION("""COMPUTED_VALUE"""),"10:17")</f>
        <v>10:17</v>
      </c>
      <c r="AO683" s="65" t="str">
        <f>IFERROR(__xludf.DUMMYFUNCTION("""COMPUTED_VALUE"""),"27-02-2026")</f>
        <v>27-02-2026</v>
      </c>
      <c r="AP683" s="65" t="str">
        <f>IFERROR(__xludf.DUMMYFUNCTION("""COMPUTED_VALUE"""),"ENTREGADA GINTRACOM")</f>
        <v>ENTREGADA GINTRACOM</v>
      </c>
      <c r="AQ683" s="65" t="str">
        <f>IFERROR(__xludf.DUMMYFUNCTION("""COMPUTED_VALUE"""),"ENTREGADA GINTRACOM")</f>
        <v>ENTREGADA GINTRACOM</v>
      </c>
      <c r="AR683" s="65"/>
      <c r="AS683" s="65"/>
      <c r="AT683" s="65" t="str">
        <f>IFERROR(__xludf.DUMMYFUNCTION("""COMPUTED_VALUE"""),"SHOPIFY")</f>
        <v>SHOPIFY</v>
      </c>
      <c r="AU683" s="65" t="str">
        <f>IFERROR(__xludf.DUMMYFUNCTION("""COMPUTED_VALUE"""),"IMPORTEX EC")</f>
        <v>IMPORTEX EC</v>
      </c>
      <c r="AV683" s="65" t="str">
        <f>IFERROR(__xludf.DUMMYFUNCTION("""COMPUTED_VALUE"""),"6505447161900")</f>
        <v>6505447161900</v>
      </c>
      <c r="AW683" s="65">
        <f>IFERROR(__xludf.DUMMYFUNCTION("""COMPUTED_VALUE"""),6172.0)</f>
        <v>6172</v>
      </c>
      <c r="AX683" s="65"/>
      <c r="AY683" s="65" t="str">
        <f>IFERROR(__xludf.DUMMYFUNCTION("""COMPUTED_VALUE"""),"19/02/2026")</f>
        <v>19/02/2026</v>
      </c>
      <c r="AZ683" s="65"/>
      <c r="BA683" s="65"/>
    </row>
    <row r="684">
      <c r="A684" s="65" t="str">
        <f>IFERROR(__xludf.DUMMYFUNCTION("""COMPUTED_VALUE"""),"27-03-2026")</f>
        <v>27-03-2026</v>
      </c>
      <c r="B684" s="65">
        <f>IFERROR(__xludf.DUMMYFUNCTION("""COMPUTED_VALUE"""),4523471.0)</f>
        <v>4523471</v>
      </c>
      <c r="C684" s="65" t="str">
        <f>IFERROR(__xludf.DUMMYFUNCTION("""COMPUTED_VALUE"""),"11:58")</f>
        <v>11:58</v>
      </c>
      <c r="D684" s="65" t="str">
        <f>IFERROR(__xludf.DUMMYFUNCTION("""COMPUTED_VALUE"""),"16-02-2026")</f>
        <v>16-02-2026</v>
      </c>
      <c r="E684" s="65" t="str">
        <f>IFERROR(__xludf.DUMMYFUNCTION("""COMPUTED_VALUE"""),"lopez José")</f>
        <v>lopez José</v>
      </c>
      <c r="F684" s="65" t="str">
        <f>IFERROR(__xludf.DUMMYFUNCTION("""COMPUTED_VALUE"""),"992336495")</f>
        <v>992336495</v>
      </c>
      <c r="G684" s="65" t="str">
        <f>IFERROR(__xludf.DUMMYFUNCTION("""COMPUTED_VALUE"""),"pepejose0468@jimel.con")</f>
        <v>pepejose0468@jimel.con</v>
      </c>
      <c r="H684" s="65"/>
      <c r="I684" s="65"/>
      <c r="J684" s="65"/>
      <c r="K684" s="65" t="str">
        <f>IFERROR(__xludf.DUMMYFUNCTION("""COMPUTED_VALUE"""),"CANCELADO")</f>
        <v>CANCELADO</v>
      </c>
      <c r="L684" s="65" t="str">
        <f>IFERROR(__xludf.DUMMYFUNCTION("""COMPUTED_VALUE"""),"CON RECAUDO")</f>
        <v>CON RECAUDO</v>
      </c>
      <c r="M684" s="65" t="str">
        <f>IFERROR(__xludf.DUMMYFUNCTION("""COMPUTED_VALUE"""),"EL ORO")</f>
        <v>EL ORO</v>
      </c>
      <c r="N684" s="65" t="str">
        <f>IFERROR(__xludf.DUMMYFUNCTION("""COMPUTED_VALUE"""),"MACHALA")</f>
        <v>MACHALA</v>
      </c>
      <c r="O684" s="65" t="str">
        <f>IFERROR(__xludf.DUMMYFUNCTION("""COMPUTED_VALUE"""),"Barrrio mirafloresCasa En Construcción, Pasaje Y Fulton Franco 3ra sur y fulton franco -")</f>
        <v>Barrrio mirafloresCasa En Construcción, Pasaje Y Fulton Franco 3ra sur y fulton franco -</v>
      </c>
      <c r="P684" s="65"/>
      <c r="Q684" s="65" t="str">
        <f>IFERROR(__xludf.DUMMYFUNCTION("""COMPUTED_VALUE"""),"GINTRACOM")</f>
        <v>GINTRACOM</v>
      </c>
      <c r="R684" s="65">
        <f>IFERROR(__xludf.DUMMYFUNCTION("""COMPUTED_VALUE"""),27.0)</f>
        <v>27</v>
      </c>
      <c r="S684" s="65"/>
      <c r="T684" s="65">
        <f>IFERROR(__xludf.DUMMYFUNCTION("""COMPUTED_VALUE"""),6.03)</f>
        <v>6.03</v>
      </c>
      <c r="U684" s="65">
        <f>IFERROR(__xludf.DUMMYFUNCTION("""COMPUTED_VALUE"""),0.0)</f>
        <v>0</v>
      </c>
      <c r="V684" s="65">
        <f>IFERROR(__xludf.DUMMYFUNCTION("""COMPUTED_VALUE"""),0.0)</f>
        <v>0</v>
      </c>
      <c r="W684" s="65">
        <f>IFERROR(__xludf.DUMMYFUNCTION("""COMPUTED_VALUE"""),0.0)</f>
        <v>0</v>
      </c>
      <c r="X684" s="65">
        <f>IFERROR(__xludf.DUMMYFUNCTION("""COMPUTED_VALUE"""),3.75)</f>
        <v>3.75</v>
      </c>
      <c r="Y684" s="65">
        <f>IFERROR(__xludf.DUMMYFUNCTION("""COMPUTED_VALUE"""),11.25)</f>
        <v>11.25</v>
      </c>
      <c r="Z684" s="65">
        <f>IFERROR(__xludf.DUMMYFUNCTION("""COMPUTED_VALUE"""),113116.0)</f>
        <v>113116</v>
      </c>
      <c r="AA684" s="65" t="str">
        <f>IFERROR(__xludf.DUMMYFUNCTION("""COMPUTED_VALUE"""),"IM-TAZAKI")</f>
        <v>IM-TAZAKI</v>
      </c>
      <c r="AB684" s="65"/>
      <c r="AC684" s="65" t="str">
        <f>IFERROR(__xludf.DUMMYFUNCTION("""COMPUTED_VALUE"""),"Cuchillo tazaki")</f>
        <v>Cuchillo tazaki</v>
      </c>
      <c r="AD684" s="65"/>
      <c r="AE684" s="65">
        <f>IFERROR(__xludf.DUMMYFUNCTION("""COMPUTED_VALUE"""),3.0)</f>
        <v>3</v>
      </c>
      <c r="AF684" s="65"/>
      <c r="AG684" s="65"/>
      <c r="AH684" s="65"/>
      <c r="AI684" s="65"/>
      <c r="AJ684" s="65"/>
      <c r="AK684" s="65"/>
      <c r="AL684" s="65"/>
      <c r="AM684" s="65"/>
      <c r="AN684" s="65"/>
      <c r="AO684" s="65"/>
      <c r="AP684" s="65"/>
      <c r="AQ684" s="65"/>
      <c r="AR684" s="65"/>
      <c r="AS684" s="65"/>
      <c r="AT684" s="65" t="str">
        <f>IFERROR(__xludf.DUMMYFUNCTION("""COMPUTED_VALUE"""),"SHOPIFY")</f>
        <v>SHOPIFY</v>
      </c>
      <c r="AU684" s="65" t="str">
        <f>IFERROR(__xludf.DUMMYFUNCTION("""COMPUTED_VALUE"""),"IMPORTEX EC")</f>
        <v>IMPORTEX EC</v>
      </c>
      <c r="AV684" s="65" t="str">
        <f>IFERROR(__xludf.DUMMYFUNCTION("""COMPUTED_VALUE"""),"6505299771436")</f>
        <v>6505299771436</v>
      </c>
      <c r="AW684" s="65">
        <f>IFERROR(__xludf.DUMMYFUNCTION("""COMPUTED_VALUE"""),6165.0)</f>
        <v>6165</v>
      </c>
      <c r="AX684" s="65"/>
      <c r="AY684" s="65"/>
      <c r="AZ684" s="65"/>
      <c r="BA684" s="65"/>
    </row>
    <row r="685">
      <c r="A685" s="65" t="str">
        <f>IFERROR(__xludf.DUMMYFUNCTION("""COMPUTED_VALUE"""),"27-03-2026")</f>
        <v>27-03-2026</v>
      </c>
      <c r="B685" s="65">
        <f>IFERROR(__xludf.DUMMYFUNCTION("""COMPUTED_VALUE"""),4523465.0)</f>
        <v>4523465</v>
      </c>
      <c r="C685" s="65" t="str">
        <f>IFERROR(__xludf.DUMMYFUNCTION("""COMPUTED_VALUE"""),"11:57")</f>
        <v>11:57</v>
      </c>
      <c r="D685" s="65" t="str">
        <f>IFERROR(__xludf.DUMMYFUNCTION("""COMPUTED_VALUE"""),"16-02-2026")</f>
        <v>16-02-2026</v>
      </c>
      <c r="E685" s="65" t="str">
        <f>IFERROR(__xludf.DUMMYFUNCTION("""COMPUTED_VALUE"""),"Manuel Baez")</f>
        <v>Manuel Baez</v>
      </c>
      <c r="F685" s="65" t="str">
        <f>IFERROR(__xludf.DUMMYFUNCTION("""COMPUTED_VALUE"""),"992987410")</f>
        <v>992987410</v>
      </c>
      <c r="G685" s="65" t="str">
        <f>IFERROR(__xludf.DUMMYFUNCTION("""COMPUTED_VALUE"""),"baezm0451@gmail.com")</f>
        <v>baezm0451@gmail.com</v>
      </c>
      <c r="H685" s="65"/>
      <c r="I685" s="65"/>
      <c r="J685" s="65"/>
      <c r="K685" s="65" t="str">
        <f>IFERROR(__xludf.DUMMYFUNCTION("""COMPUTED_VALUE"""),"PENDIENTE CONFIRMACION")</f>
        <v>PENDIENTE CONFIRMACION</v>
      </c>
      <c r="L685" s="65" t="str">
        <f>IFERROR(__xludf.DUMMYFUNCTION("""COMPUTED_VALUE"""),"CON RECAUDO")</f>
        <v>CON RECAUDO</v>
      </c>
      <c r="M685" s="65" t="str">
        <f>IFERROR(__xludf.DUMMYFUNCTION("""COMPUTED_VALUE"""),"IMBABURA")</f>
        <v>IMBABURA</v>
      </c>
      <c r="N685" s="65" t="str">
        <f>IFERROR(__xludf.DUMMYFUNCTION("""COMPUTED_VALUE"""),"OTAVALO")</f>
        <v>OTAVALO</v>
      </c>
      <c r="O685" s="65" t="str">
        <f>IFERROR(__xludf.DUMMYFUNCTION("""COMPUTED_VALUE"""),"Sucre a cuatro cuadras del parque San Pablo de Lago -")</f>
        <v>Sucre a cuatro cuadras del parque San Pablo de Lago -</v>
      </c>
      <c r="P685" s="65"/>
      <c r="Q685" s="65" t="str">
        <f>IFERROR(__xludf.DUMMYFUNCTION("""COMPUTED_VALUE"""),"GINTRACOM")</f>
        <v>GINTRACOM</v>
      </c>
      <c r="R685" s="65">
        <f>IFERROR(__xludf.DUMMYFUNCTION("""COMPUTED_VALUE"""),32.0)</f>
        <v>32</v>
      </c>
      <c r="S685" s="65"/>
      <c r="T685" s="65">
        <f>IFERROR(__xludf.DUMMYFUNCTION("""COMPUTED_VALUE"""),6.24)</f>
        <v>6.24</v>
      </c>
      <c r="U685" s="65">
        <f>IFERROR(__xludf.DUMMYFUNCTION("""COMPUTED_VALUE"""),0.0)</f>
        <v>0</v>
      </c>
      <c r="V685" s="65">
        <f>IFERROR(__xludf.DUMMYFUNCTION("""COMPUTED_VALUE"""),0.0)</f>
        <v>0</v>
      </c>
      <c r="W685" s="65">
        <f>IFERROR(__xludf.DUMMYFUNCTION("""COMPUTED_VALUE"""),0.0)</f>
        <v>0</v>
      </c>
      <c r="X685" s="65">
        <f>IFERROR(__xludf.DUMMYFUNCTION("""COMPUTED_VALUE"""),3.75)</f>
        <v>3.75</v>
      </c>
      <c r="Y685" s="65">
        <f>IFERROR(__xludf.DUMMYFUNCTION("""COMPUTED_VALUE"""),15.0)</f>
        <v>15</v>
      </c>
      <c r="Z685" s="65">
        <f>IFERROR(__xludf.DUMMYFUNCTION("""COMPUTED_VALUE"""),113116.0)</f>
        <v>113116</v>
      </c>
      <c r="AA685" s="65" t="str">
        <f>IFERROR(__xludf.DUMMYFUNCTION("""COMPUTED_VALUE"""),"IM-TAZAKI")</f>
        <v>IM-TAZAKI</v>
      </c>
      <c r="AB685" s="65"/>
      <c r="AC685" s="65" t="str">
        <f>IFERROR(__xludf.DUMMYFUNCTION("""COMPUTED_VALUE"""),"Cuchillo tazaki")</f>
        <v>Cuchillo tazaki</v>
      </c>
      <c r="AD685" s="65"/>
      <c r="AE685" s="65">
        <f>IFERROR(__xludf.DUMMYFUNCTION("""COMPUTED_VALUE"""),4.0)</f>
        <v>4</v>
      </c>
      <c r="AF685" s="65"/>
      <c r="AG685" s="65"/>
      <c r="AH685" s="65"/>
      <c r="AI685" s="65"/>
      <c r="AJ685" s="65"/>
      <c r="AK685" s="65"/>
      <c r="AL685" s="65"/>
      <c r="AM685" s="65"/>
      <c r="AN685" s="65"/>
      <c r="AO685" s="65"/>
      <c r="AP685" s="65"/>
      <c r="AQ685" s="65"/>
      <c r="AR685" s="65"/>
      <c r="AS685" s="65"/>
      <c r="AT685" s="65" t="str">
        <f>IFERROR(__xludf.DUMMYFUNCTION("""COMPUTED_VALUE"""),"SHOPIFY")</f>
        <v>SHOPIFY</v>
      </c>
      <c r="AU685" s="65" t="str">
        <f>IFERROR(__xludf.DUMMYFUNCTION("""COMPUTED_VALUE"""),"IMPORTEX EC")</f>
        <v>IMPORTEX EC</v>
      </c>
      <c r="AV685" s="65" t="str">
        <f>IFERROR(__xludf.DUMMYFUNCTION("""COMPUTED_VALUE"""),"6505258123308")</f>
        <v>6505258123308</v>
      </c>
      <c r="AW685" s="65">
        <f>IFERROR(__xludf.DUMMYFUNCTION("""COMPUTED_VALUE"""),6161.0)</f>
        <v>6161</v>
      </c>
      <c r="AX685" s="65"/>
      <c r="AY685" s="65"/>
      <c r="AZ685" s="65"/>
      <c r="BA685" s="65"/>
    </row>
    <row r="686">
      <c r="A686" s="65" t="str">
        <f>IFERROR(__xludf.DUMMYFUNCTION("""COMPUTED_VALUE"""),"27-03-2026")</f>
        <v>27-03-2026</v>
      </c>
      <c r="B686" s="65">
        <f>IFERROR(__xludf.DUMMYFUNCTION("""COMPUTED_VALUE"""),4523448.0)</f>
        <v>4523448</v>
      </c>
      <c r="C686" s="65" t="str">
        <f>IFERROR(__xludf.DUMMYFUNCTION("""COMPUTED_VALUE"""),"11:56")</f>
        <v>11:56</v>
      </c>
      <c r="D686" s="65" t="str">
        <f>IFERROR(__xludf.DUMMYFUNCTION("""COMPUTED_VALUE"""),"16-02-2026")</f>
        <v>16-02-2026</v>
      </c>
      <c r="E686" s="65" t="str">
        <f>IFERROR(__xludf.DUMMYFUNCTION("""COMPUTED_VALUE"""),"Teresita Barre")</f>
        <v>Teresita Barre</v>
      </c>
      <c r="F686" s="65" t="str">
        <f>IFERROR(__xludf.DUMMYFUNCTION("""COMPUTED_VALUE"""),"990544210")</f>
        <v>990544210</v>
      </c>
      <c r="G686" s="65"/>
      <c r="H686" s="65"/>
      <c r="I686" s="65"/>
      <c r="J686" s="65"/>
      <c r="K686" s="65" t="str">
        <f>IFERROR(__xludf.DUMMYFUNCTION("""COMPUTED_VALUE"""),"CANCELADO")</f>
        <v>CANCELADO</v>
      </c>
      <c r="L686" s="65" t="str">
        <f>IFERROR(__xludf.DUMMYFUNCTION("""COMPUTED_VALUE"""),"CON RECAUDO")</f>
        <v>CON RECAUDO</v>
      </c>
      <c r="M686" s="65" t="str">
        <f>IFERROR(__xludf.DUMMYFUNCTION("""COMPUTED_VALUE"""),"GUAYAS")</f>
        <v>GUAYAS</v>
      </c>
      <c r="N686" s="65" t="str">
        <f>IFERROR(__xludf.DUMMYFUNCTION("""COMPUTED_VALUE"""),"EL TRIUNFO")</f>
        <v>EL TRIUNFO</v>
      </c>
      <c r="O686" s="65" t="str">
        <f>IFERROR(__xludf.DUMMYFUNCTION("""COMPUTED_VALUE"""),"Av 8 de abril Juan Montalvo Mini comisariato Agripa Servientrega Del triunfo -")</f>
        <v>Av 8 de abril Juan Montalvo Mini comisariato Agripa Servientrega Del triunfo -</v>
      </c>
      <c r="P686" s="65"/>
      <c r="Q686" s="65" t="str">
        <f>IFERROR(__xludf.DUMMYFUNCTION("""COMPUTED_VALUE"""),"GINTRACOM")</f>
        <v>GINTRACOM</v>
      </c>
      <c r="R686" s="65">
        <f>IFERROR(__xludf.DUMMYFUNCTION("""COMPUTED_VALUE"""),22.0)</f>
        <v>22</v>
      </c>
      <c r="S686" s="65"/>
      <c r="T686" s="65">
        <f>IFERROR(__xludf.DUMMYFUNCTION("""COMPUTED_VALUE"""),6.41)</f>
        <v>6.41</v>
      </c>
      <c r="U686" s="65">
        <f>IFERROR(__xludf.DUMMYFUNCTION("""COMPUTED_VALUE"""),0.0)</f>
        <v>0</v>
      </c>
      <c r="V686" s="65">
        <f>IFERROR(__xludf.DUMMYFUNCTION("""COMPUTED_VALUE"""),0.0)</f>
        <v>0</v>
      </c>
      <c r="W686" s="65">
        <f>IFERROR(__xludf.DUMMYFUNCTION("""COMPUTED_VALUE"""),0.0)</f>
        <v>0</v>
      </c>
      <c r="X686" s="65">
        <f>IFERROR(__xludf.DUMMYFUNCTION("""COMPUTED_VALUE"""),3.75)</f>
        <v>3.75</v>
      </c>
      <c r="Y686" s="65">
        <f>IFERROR(__xludf.DUMMYFUNCTION("""COMPUTED_VALUE"""),7.5)</f>
        <v>7.5</v>
      </c>
      <c r="Z686" s="65">
        <f>IFERROR(__xludf.DUMMYFUNCTION("""COMPUTED_VALUE"""),113116.0)</f>
        <v>113116</v>
      </c>
      <c r="AA686" s="65" t="str">
        <f>IFERROR(__xludf.DUMMYFUNCTION("""COMPUTED_VALUE"""),"IM-TAZAKI")</f>
        <v>IM-TAZAKI</v>
      </c>
      <c r="AB686" s="65"/>
      <c r="AC686" s="65" t="str">
        <f>IFERROR(__xludf.DUMMYFUNCTION("""COMPUTED_VALUE"""),"Cuchillo tazaki")</f>
        <v>Cuchillo tazaki</v>
      </c>
      <c r="AD686" s="65"/>
      <c r="AE686" s="65">
        <f>IFERROR(__xludf.DUMMYFUNCTION("""COMPUTED_VALUE"""),2.0)</f>
        <v>2</v>
      </c>
      <c r="AF686" s="65"/>
      <c r="AG686" s="65"/>
      <c r="AH686" s="65"/>
      <c r="AI686" s="65"/>
      <c r="AJ686" s="65"/>
      <c r="AK686" s="65"/>
      <c r="AL686" s="65"/>
      <c r="AM686" s="65"/>
      <c r="AN686" s="65"/>
      <c r="AO686" s="65"/>
      <c r="AP686" s="65"/>
      <c r="AQ686" s="65"/>
      <c r="AR686" s="65"/>
      <c r="AS686" s="65"/>
      <c r="AT686" s="65" t="str">
        <f>IFERROR(__xludf.DUMMYFUNCTION("""COMPUTED_VALUE"""),"SHOPIFY")</f>
        <v>SHOPIFY</v>
      </c>
      <c r="AU686" s="65" t="str">
        <f>IFERROR(__xludf.DUMMYFUNCTION("""COMPUTED_VALUE"""),"IMPORTEX EC")</f>
        <v>IMPORTEX EC</v>
      </c>
      <c r="AV686" s="65" t="str">
        <f>IFERROR(__xludf.DUMMYFUNCTION("""COMPUTED_VALUE"""),"6505248981036")</f>
        <v>6505248981036</v>
      </c>
      <c r="AW686" s="65">
        <f>IFERROR(__xludf.DUMMYFUNCTION("""COMPUTED_VALUE"""),6160.0)</f>
        <v>6160</v>
      </c>
      <c r="AX686" s="65"/>
      <c r="AY686" s="65"/>
      <c r="AZ686" s="65"/>
      <c r="BA686" s="65"/>
    </row>
    <row r="687">
      <c r="A687" s="65" t="str">
        <f>IFERROR(__xludf.DUMMYFUNCTION("""COMPUTED_VALUE"""),"27-03-2026")</f>
        <v>27-03-2026</v>
      </c>
      <c r="B687" s="65">
        <f>IFERROR(__xludf.DUMMYFUNCTION("""COMPUTED_VALUE"""),4523441.0)</f>
        <v>4523441</v>
      </c>
      <c r="C687" s="65" t="str">
        <f>IFERROR(__xludf.DUMMYFUNCTION("""COMPUTED_VALUE"""),"11:55")</f>
        <v>11:55</v>
      </c>
      <c r="D687" s="65" t="str">
        <f>IFERROR(__xludf.DUMMYFUNCTION("""COMPUTED_VALUE"""),"16-02-2026")</f>
        <v>16-02-2026</v>
      </c>
      <c r="E687" s="65" t="str">
        <f>IFERROR(__xludf.DUMMYFUNCTION("""COMPUTED_VALUE"""),"Jorge Baldeon")</f>
        <v>Jorge Baldeon</v>
      </c>
      <c r="F687" s="65" t="str">
        <f>IFERROR(__xludf.DUMMYFUNCTION("""COMPUTED_VALUE"""),"981497095")</f>
        <v>981497095</v>
      </c>
      <c r="G687" s="65" t="str">
        <f>IFERROR(__xludf.DUMMYFUNCTION("""COMPUTED_VALUE"""),"0981497095alfa@gimail.com")</f>
        <v>0981497095alfa@gimail.com</v>
      </c>
      <c r="H687" s="65"/>
      <c r="I687" s="65"/>
      <c r="J687" s="65"/>
      <c r="K687" s="65" t="str">
        <f>IFERROR(__xludf.DUMMYFUNCTION("""COMPUTED_VALUE"""),"PENDIENTE CONFIRMACION")</f>
        <v>PENDIENTE CONFIRMACION</v>
      </c>
      <c r="L687" s="65" t="str">
        <f>IFERROR(__xludf.DUMMYFUNCTION("""COMPUTED_VALUE"""),"CON RECAUDO")</f>
        <v>CON RECAUDO</v>
      </c>
      <c r="M687" s="65" t="str">
        <f>IFERROR(__xludf.DUMMYFUNCTION("""COMPUTED_VALUE"""),"GUAYAS")</f>
        <v>GUAYAS</v>
      </c>
      <c r="N687" s="65" t="str">
        <f>IFERROR(__xludf.DUMMYFUNCTION("""COMPUTED_VALUE"""),"GUAYAQUIL")</f>
        <v>GUAYAQUIL</v>
      </c>
      <c r="O687" s="65" t="str">
        <f>IFERROR(__xludf.DUMMYFUNCTION("""COMPUTED_VALUE"""),"23ava y La Q y Perimetral -")</f>
        <v>23ava y La Q y Perimetral -</v>
      </c>
      <c r="P687" s="65"/>
      <c r="Q687" s="65" t="str">
        <f>IFERROR(__xludf.DUMMYFUNCTION("""COMPUTED_VALUE"""),"GINTRACOM")</f>
        <v>GINTRACOM</v>
      </c>
      <c r="R687" s="65">
        <f>IFERROR(__xludf.DUMMYFUNCTION("""COMPUTED_VALUE"""),22.0)</f>
        <v>22</v>
      </c>
      <c r="S687" s="65"/>
      <c r="T687" s="65">
        <f>IFERROR(__xludf.DUMMYFUNCTION("""COMPUTED_VALUE"""),5.84)</f>
        <v>5.84</v>
      </c>
      <c r="U687" s="65">
        <f>IFERROR(__xludf.DUMMYFUNCTION("""COMPUTED_VALUE"""),0.0)</f>
        <v>0</v>
      </c>
      <c r="V687" s="65">
        <f>IFERROR(__xludf.DUMMYFUNCTION("""COMPUTED_VALUE"""),0.0)</f>
        <v>0</v>
      </c>
      <c r="W687" s="65">
        <f>IFERROR(__xludf.DUMMYFUNCTION("""COMPUTED_VALUE"""),0.0)</f>
        <v>0</v>
      </c>
      <c r="X687" s="65">
        <f>IFERROR(__xludf.DUMMYFUNCTION("""COMPUTED_VALUE"""),3.75)</f>
        <v>3.75</v>
      </c>
      <c r="Y687" s="65">
        <f>IFERROR(__xludf.DUMMYFUNCTION("""COMPUTED_VALUE"""),7.5)</f>
        <v>7.5</v>
      </c>
      <c r="Z687" s="65">
        <f>IFERROR(__xludf.DUMMYFUNCTION("""COMPUTED_VALUE"""),113116.0)</f>
        <v>113116</v>
      </c>
      <c r="AA687" s="65" t="str">
        <f>IFERROR(__xludf.DUMMYFUNCTION("""COMPUTED_VALUE"""),"IM-TAZAKI")</f>
        <v>IM-TAZAKI</v>
      </c>
      <c r="AB687" s="65"/>
      <c r="AC687" s="65" t="str">
        <f>IFERROR(__xludf.DUMMYFUNCTION("""COMPUTED_VALUE"""),"Cuchillo tazaki")</f>
        <v>Cuchillo tazaki</v>
      </c>
      <c r="AD687" s="65"/>
      <c r="AE687" s="65">
        <f>IFERROR(__xludf.DUMMYFUNCTION("""COMPUTED_VALUE"""),2.0)</f>
        <v>2</v>
      </c>
      <c r="AF687" s="65"/>
      <c r="AG687" s="65"/>
      <c r="AH687" s="65"/>
      <c r="AI687" s="65"/>
      <c r="AJ687" s="65"/>
      <c r="AK687" s="65"/>
      <c r="AL687" s="65"/>
      <c r="AM687" s="65"/>
      <c r="AN687" s="65"/>
      <c r="AO687" s="65"/>
      <c r="AP687" s="65"/>
      <c r="AQ687" s="65"/>
      <c r="AR687" s="65"/>
      <c r="AS687" s="65"/>
      <c r="AT687" s="65" t="str">
        <f>IFERROR(__xludf.DUMMYFUNCTION("""COMPUTED_VALUE"""),"SHOPIFY")</f>
        <v>SHOPIFY</v>
      </c>
      <c r="AU687" s="65" t="str">
        <f>IFERROR(__xludf.DUMMYFUNCTION("""COMPUTED_VALUE"""),"IMPORTEX EC")</f>
        <v>IMPORTEX EC</v>
      </c>
      <c r="AV687" s="65" t="str">
        <f>IFERROR(__xludf.DUMMYFUNCTION("""COMPUTED_VALUE"""),"6505152217132")</f>
        <v>6505152217132</v>
      </c>
      <c r="AW687" s="65">
        <f>IFERROR(__xludf.DUMMYFUNCTION("""COMPUTED_VALUE"""),6157.0)</f>
        <v>6157</v>
      </c>
      <c r="AX687" s="65"/>
      <c r="AY687" s="65"/>
      <c r="AZ687" s="65"/>
      <c r="BA687" s="65"/>
    </row>
    <row r="688">
      <c r="A688" s="65" t="str">
        <f>IFERROR(__xludf.DUMMYFUNCTION("""COMPUTED_VALUE"""),"27-03-2026")</f>
        <v>27-03-2026</v>
      </c>
      <c r="B688" s="65">
        <f>IFERROR(__xludf.DUMMYFUNCTION("""COMPUTED_VALUE"""),4523436.0)</f>
        <v>4523436</v>
      </c>
      <c r="C688" s="65" t="str">
        <f>IFERROR(__xludf.DUMMYFUNCTION("""COMPUTED_VALUE"""),"11:54")</f>
        <v>11:54</v>
      </c>
      <c r="D688" s="65" t="str">
        <f>IFERROR(__xludf.DUMMYFUNCTION("""COMPUTED_VALUE"""),"16-02-2026")</f>
        <v>16-02-2026</v>
      </c>
      <c r="E688" s="65" t="str">
        <f>IFERROR(__xludf.DUMMYFUNCTION("""COMPUTED_VALUE"""),"Luis Guacho")</f>
        <v>Luis Guacho</v>
      </c>
      <c r="F688" s="65" t="str">
        <f>IFERROR(__xludf.DUMMYFUNCTION("""COMPUTED_VALUE"""),"959889626")</f>
        <v>959889626</v>
      </c>
      <c r="G688" s="65" t="str">
        <f>IFERROR(__xludf.DUMMYFUNCTION("""COMPUTED_VALUE"""),"luisguacho@27.com")</f>
        <v>luisguacho@27.com</v>
      </c>
      <c r="H688" s="65"/>
      <c r="I688" s="65"/>
      <c r="J688" s="65"/>
      <c r="K688" s="65" t="str">
        <f>IFERROR(__xludf.DUMMYFUNCTION("""COMPUTED_VALUE"""),"PENDIENTE CONFIRMACION")</f>
        <v>PENDIENTE CONFIRMACION</v>
      </c>
      <c r="L688" s="65" t="str">
        <f>IFERROR(__xludf.DUMMYFUNCTION("""COMPUTED_VALUE"""),"CON RECAUDO")</f>
        <v>CON RECAUDO</v>
      </c>
      <c r="M688" s="65" t="str">
        <f>IFERROR(__xludf.DUMMYFUNCTION("""COMPUTED_VALUE"""),"CHIMBORAZO")</f>
        <v>CHIMBORAZO</v>
      </c>
      <c r="N688" s="65" t="str">
        <f>IFERROR(__xludf.DUMMYFUNCTION("""COMPUTED_VALUE"""),"LICAN")</f>
        <v>LICAN</v>
      </c>
      <c r="O688" s="65" t="str">
        <f>IFERROR(__xludf.DUMMYFUNCTION("""COMPUTED_VALUE"""),"Lican Plaza central -")</f>
        <v>Lican Plaza central -</v>
      </c>
      <c r="P688" s="65"/>
      <c r="Q688" s="65" t="str">
        <f>IFERROR(__xludf.DUMMYFUNCTION("""COMPUTED_VALUE"""),"GINTRACOM")</f>
        <v>GINTRACOM</v>
      </c>
      <c r="R688" s="65">
        <f>IFERROR(__xludf.DUMMYFUNCTION("""COMPUTED_VALUE"""),32.0)</f>
        <v>32</v>
      </c>
      <c r="S688" s="65"/>
      <c r="T688" s="65">
        <f>IFERROR(__xludf.DUMMYFUNCTION("""COMPUTED_VALUE"""),6.81)</f>
        <v>6.81</v>
      </c>
      <c r="U688" s="65">
        <f>IFERROR(__xludf.DUMMYFUNCTION("""COMPUTED_VALUE"""),0.0)</f>
        <v>0</v>
      </c>
      <c r="V688" s="65">
        <f>IFERROR(__xludf.DUMMYFUNCTION("""COMPUTED_VALUE"""),0.0)</f>
        <v>0</v>
      </c>
      <c r="W688" s="65">
        <f>IFERROR(__xludf.DUMMYFUNCTION("""COMPUTED_VALUE"""),0.0)</f>
        <v>0</v>
      </c>
      <c r="X688" s="65">
        <f>IFERROR(__xludf.DUMMYFUNCTION("""COMPUTED_VALUE"""),3.75)</f>
        <v>3.75</v>
      </c>
      <c r="Y688" s="65">
        <f>IFERROR(__xludf.DUMMYFUNCTION("""COMPUTED_VALUE"""),15.0)</f>
        <v>15</v>
      </c>
      <c r="Z688" s="65">
        <f>IFERROR(__xludf.DUMMYFUNCTION("""COMPUTED_VALUE"""),113116.0)</f>
        <v>113116</v>
      </c>
      <c r="AA688" s="65" t="str">
        <f>IFERROR(__xludf.DUMMYFUNCTION("""COMPUTED_VALUE"""),"IM-TAZAKI")</f>
        <v>IM-TAZAKI</v>
      </c>
      <c r="AB688" s="65"/>
      <c r="AC688" s="65" t="str">
        <f>IFERROR(__xludf.DUMMYFUNCTION("""COMPUTED_VALUE"""),"Cuchillo tazaki")</f>
        <v>Cuchillo tazaki</v>
      </c>
      <c r="AD688" s="65"/>
      <c r="AE688" s="65">
        <f>IFERROR(__xludf.DUMMYFUNCTION("""COMPUTED_VALUE"""),4.0)</f>
        <v>4</v>
      </c>
      <c r="AF688" s="65"/>
      <c r="AG688" s="65"/>
      <c r="AH688" s="65"/>
      <c r="AI688" s="65"/>
      <c r="AJ688" s="65"/>
      <c r="AK688" s="65"/>
      <c r="AL688" s="65"/>
      <c r="AM688" s="65"/>
      <c r="AN688" s="65"/>
      <c r="AO688" s="65"/>
      <c r="AP688" s="65"/>
      <c r="AQ688" s="65"/>
      <c r="AR688" s="65"/>
      <c r="AS688" s="65"/>
      <c r="AT688" s="65" t="str">
        <f>IFERROR(__xludf.DUMMYFUNCTION("""COMPUTED_VALUE"""),"SHOPIFY")</f>
        <v>SHOPIFY</v>
      </c>
      <c r="AU688" s="65" t="str">
        <f>IFERROR(__xludf.DUMMYFUNCTION("""COMPUTED_VALUE"""),"IMPORTEX EC")</f>
        <v>IMPORTEX EC</v>
      </c>
      <c r="AV688" s="65" t="str">
        <f>IFERROR(__xludf.DUMMYFUNCTION("""COMPUTED_VALUE"""),"6505143238700")</f>
        <v>6505143238700</v>
      </c>
      <c r="AW688" s="65">
        <f>IFERROR(__xludf.DUMMYFUNCTION("""COMPUTED_VALUE"""),6156.0)</f>
        <v>6156</v>
      </c>
      <c r="AX688" s="65"/>
      <c r="AY688" s="65"/>
      <c r="AZ688" s="65"/>
      <c r="BA688" s="65"/>
    </row>
    <row r="689">
      <c r="A689" s="65" t="str">
        <f>IFERROR(__xludf.DUMMYFUNCTION("""COMPUTED_VALUE"""),"27-03-2026")</f>
        <v>27-03-2026</v>
      </c>
      <c r="B689" s="65">
        <f>IFERROR(__xludf.DUMMYFUNCTION("""COMPUTED_VALUE"""),4523430.0)</f>
        <v>4523430</v>
      </c>
      <c r="C689" s="65" t="str">
        <f>IFERROR(__xludf.DUMMYFUNCTION("""COMPUTED_VALUE"""),"11:53")</f>
        <v>11:53</v>
      </c>
      <c r="D689" s="65" t="str">
        <f>IFERROR(__xludf.DUMMYFUNCTION("""COMPUTED_VALUE"""),"16-02-2026")</f>
        <v>16-02-2026</v>
      </c>
      <c r="E689" s="65" t="str">
        <f>IFERROR(__xludf.DUMMYFUNCTION("""COMPUTED_VALUE"""),"Hugo Fiallos")</f>
        <v>Hugo Fiallos</v>
      </c>
      <c r="F689" s="65" t="str">
        <f>IFERROR(__xludf.DUMMYFUNCTION("""COMPUTED_VALUE"""),"995209990")</f>
        <v>995209990</v>
      </c>
      <c r="G689" s="65" t="str">
        <f>IFERROR(__xludf.DUMMYFUNCTION("""COMPUTED_VALUE"""),"chaskykfe@gmail.com")</f>
        <v>chaskykfe@gmail.com</v>
      </c>
      <c r="H689" s="65"/>
      <c r="I689" s="65"/>
      <c r="J689" s="65" t="str">
        <f>IFERROR(__xludf.DUMMYFUNCTION("""COMPUTED_VALUE"""),"LC52899222")</f>
        <v>LC52899222</v>
      </c>
      <c r="K689" s="65" t="str">
        <f>IFERROR(__xludf.DUMMYFUNCTION("""COMPUTED_VALUE"""),"DEVOLUCION")</f>
        <v>DEVOLUCION</v>
      </c>
      <c r="L689" s="65" t="str">
        <f>IFERROR(__xludf.DUMMYFUNCTION("""COMPUTED_VALUE"""),"CON RECAUDO")</f>
        <v>CON RECAUDO</v>
      </c>
      <c r="M689" s="65" t="str">
        <f>IFERROR(__xludf.DUMMYFUNCTION("""COMPUTED_VALUE"""),"PICHINCHA")</f>
        <v>PICHINCHA</v>
      </c>
      <c r="N689" s="65" t="str">
        <f>IFERROR(__xludf.DUMMYFUNCTION("""COMPUTED_VALUE"""),"MACHACHI")</f>
        <v>MACHACHI</v>
      </c>
      <c r="O689" s="65" t="str">
        <f>IFERROR(__xludf.DUMMYFUNCTION("""COMPUTED_VALUE"""),"Gonzáles Suárez S42 y Av amazonas Casa familia Fiallos Mosquera -")</f>
        <v>Gonzáles Suárez S42 y Av amazonas Casa familia Fiallos Mosquera -</v>
      </c>
      <c r="P689" s="65"/>
      <c r="Q689" s="65" t="str">
        <f>IFERROR(__xludf.DUMMYFUNCTION("""COMPUTED_VALUE"""),"LAARCOURIER")</f>
        <v>LAARCOURIER</v>
      </c>
      <c r="R689" s="65">
        <f>IFERROR(__xludf.DUMMYFUNCTION("""COMPUTED_VALUE"""),32.0)</f>
        <v>32</v>
      </c>
      <c r="S689" s="65"/>
      <c r="T689" s="65">
        <f>IFERROR(__xludf.DUMMYFUNCTION("""COMPUTED_VALUE"""),7.13)</f>
        <v>7.13</v>
      </c>
      <c r="U689" s="65">
        <f>IFERROR(__xludf.DUMMYFUNCTION("""COMPUTED_VALUE"""),0.0)</f>
        <v>0</v>
      </c>
      <c r="V689" s="65">
        <f>IFERROR(__xludf.DUMMYFUNCTION("""COMPUTED_VALUE"""),0.0)</f>
        <v>0</v>
      </c>
      <c r="W689" s="65">
        <f>IFERROR(__xludf.DUMMYFUNCTION("""COMPUTED_VALUE"""),0.0)</f>
        <v>0</v>
      </c>
      <c r="X689" s="65">
        <f>IFERROR(__xludf.DUMMYFUNCTION("""COMPUTED_VALUE"""),3.75)</f>
        <v>3.75</v>
      </c>
      <c r="Y689" s="65">
        <f>IFERROR(__xludf.DUMMYFUNCTION("""COMPUTED_VALUE"""),15.0)</f>
        <v>15</v>
      </c>
      <c r="Z689" s="65">
        <f>IFERROR(__xludf.DUMMYFUNCTION("""COMPUTED_VALUE"""),113116.0)</f>
        <v>113116</v>
      </c>
      <c r="AA689" s="65" t="str">
        <f>IFERROR(__xludf.DUMMYFUNCTION("""COMPUTED_VALUE"""),"IM-TAZAKI")</f>
        <v>IM-TAZAKI</v>
      </c>
      <c r="AB689" s="65"/>
      <c r="AC689" s="65" t="str">
        <f>IFERROR(__xludf.DUMMYFUNCTION("""COMPUTED_VALUE"""),"Cuchillo tazaki")</f>
        <v>Cuchillo tazaki</v>
      </c>
      <c r="AD689" s="65"/>
      <c r="AE689" s="65">
        <f>IFERROR(__xludf.DUMMYFUNCTION("""COMPUTED_VALUE"""),4.0)</f>
        <v>4</v>
      </c>
      <c r="AF689" s="65"/>
      <c r="AG689" s="65"/>
      <c r="AH689" s="65"/>
      <c r="AI689" s="65"/>
      <c r="AJ689" s="65"/>
      <c r="AK689" s="65"/>
      <c r="AL689" s="65"/>
      <c r="AM689" s="65"/>
      <c r="AN689" s="65" t="str">
        <f>IFERROR(__xludf.DUMMYFUNCTION("""COMPUTED_VALUE"""),"16:42")</f>
        <v>16:42</v>
      </c>
      <c r="AO689" s="65" t="str">
        <f>IFERROR(__xludf.DUMMYFUNCTION("""COMPUTED_VALUE"""),"26-02-2026")</f>
        <v>26-02-2026</v>
      </c>
      <c r="AP689" s="65" t="str">
        <f>IFERROR(__xludf.DUMMYFUNCTION("""COMPUTED_VALUE"""),"DEV CONFIRMADA POR BODEGA")</f>
        <v>DEV CONFIRMADA POR BODEGA</v>
      </c>
      <c r="AQ689" s="65"/>
      <c r="AR689" s="65" t="str">
        <f>IFERROR(__xludf.DUMMYFUNCTION("""COMPUTED_VALUE"""),"Gestionado por: IMPORSHOP SHOP, email:import1academyinfo@gmail.com, total de productos en la orden: 1")</f>
        <v>Gestionado por: IMPORSHOP SHOP, email:import1academyinfo@gmail.com, total de productos en la orden: 1</v>
      </c>
      <c r="AS689" s="65"/>
      <c r="AT689" s="65" t="str">
        <f>IFERROR(__xludf.DUMMYFUNCTION("""COMPUTED_VALUE"""),"SHOPIFY")</f>
        <v>SHOPIFY</v>
      </c>
      <c r="AU689" s="65" t="str">
        <f>IFERROR(__xludf.DUMMYFUNCTION("""COMPUTED_VALUE"""),"IMPORTEX EC")</f>
        <v>IMPORTEX EC</v>
      </c>
      <c r="AV689" s="65" t="str">
        <f>IFERROR(__xludf.DUMMYFUNCTION("""COMPUTED_VALUE"""),"6504834334764")</f>
        <v>6504834334764</v>
      </c>
      <c r="AW689" s="65">
        <f>IFERROR(__xludf.DUMMYFUNCTION("""COMPUTED_VALUE"""),6155.0)</f>
        <v>6155</v>
      </c>
      <c r="AX689" s="65"/>
      <c r="AY689" s="65" t="str">
        <f>IFERROR(__xludf.DUMMYFUNCTION("""COMPUTED_VALUE"""),"18/02/2026")</f>
        <v>18/02/2026</v>
      </c>
      <c r="AZ689" s="65"/>
      <c r="BA689" s="65"/>
    </row>
    <row r="690">
      <c r="A690" s="65" t="str">
        <f>IFERROR(__xludf.DUMMYFUNCTION("""COMPUTED_VALUE"""),"27-03-2026")</f>
        <v>27-03-2026</v>
      </c>
      <c r="B690" s="65">
        <f>IFERROR(__xludf.DUMMYFUNCTION("""COMPUTED_VALUE"""),4523421.0)</f>
        <v>4523421</v>
      </c>
      <c r="C690" s="65" t="str">
        <f>IFERROR(__xludf.DUMMYFUNCTION("""COMPUTED_VALUE"""),"11:53")</f>
        <v>11:53</v>
      </c>
      <c r="D690" s="65" t="str">
        <f>IFERROR(__xludf.DUMMYFUNCTION("""COMPUTED_VALUE"""),"16-02-2026")</f>
        <v>16-02-2026</v>
      </c>
      <c r="E690" s="65" t="str">
        <f>IFERROR(__xludf.DUMMYFUNCTION("""COMPUTED_VALUE"""),"Jorge Mera")</f>
        <v>Jorge Mera</v>
      </c>
      <c r="F690" s="65" t="str">
        <f>IFERROR(__xludf.DUMMYFUNCTION("""COMPUTED_VALUE"""),"996855438")</f>
        <v>996855438</v>
      </c>
      <c r="G690" s="65" t="str">
        <f>IFERROR(__xludf.DUMMYFUNCTION("""COMPUTED_VALUE"""),"jorge10j72@gmail.com")</f>
        <v>jorge10j72@gmail.com</v>
      </c>
      <c r="H690" s="65"/>
      <c r="I690" s="65"/>
      <c r="J690" s="65" t="str">
        <f>IFERROR(__xludf.DUMMYFUNCTION("""COMPUTED_VALUE"""),"D001339561")</f>
        <v>D001339561</v>
      </c>
      <c r="K690" s="65" t="str">
        <f>IFERROR(__xludf.DUMMYFUNCTION("""COMPUTED_VALUE"""),"ENTREGADO")</f>
        <v>ENTREGADO</v>
      </c>
      <c r="L690" s="65" t="str">
        <f>IFERROR(__xludf.DUMMYFUNCTION("""COMPUTED_VALUE"""),"CON RECAUDO")</f>
        <v>CON RECAUDO</v>
      </c>
      <c r="M690" s="65" t="str">
        <f>IFERROR(__xludf.DUMMYFUNCTION("""COMPUTED_VALUE"""),"PICHINCHA")</f>
        <v>PICHINCHA</v>
      </c>
      <c r="N690" s="65" t="str">
        <f>IFERROR(__xludf.DUMMYFUNCTION("""COMPUTED_VALUE"""),"QUITO")</f>
        <v>QUITO</v>
      </c>
      <c r="O690" s="65" t="str">
        <f>IFERROR(__xludf.DUMMYFUNCTION("""COMPUTED_VALUE"""),"Av simon volivar y  Av oswado wayasamin - REFERENCIA :  junto a la empresa FIZAMAQ , en sentido SUR - NORTE")</f>
        <v>Av simon volivar y  Av oswado wayasamin - REFERENCIA :  junto a la empresa FIZAMAQ , en sentido SUR - NORTE</v>
      </c>
      <c r="P690" s="65"/>
      <c r="Q690" s="65" t="str">
        <f>IFERROR(__xludf.DUMMYFUNCTION("""COMPUTED_VALUE"""),"GINTRACOM")</f>
        <v>GINTRACOM</v>
      </c>
      <c r="R690" s="65">
        <f>IFERROR(__xludf.DUMMYFUNCTION("""COMPUTED_VALUE"""),22.0)</f>
        <v>22</v>
      </c>
      <c r="S690" s="65">
        <f>IFERROR(__xludf.DUMMYFUNCTION("""COMPUTED_VALUE"""),10.27)</f>
        <v>10.27</v>
      </c>
      <c r="T690" s="65">
        <f>IFERROR(__xludf.DUMMYFUNCTION("""COMPUTED_VALUE"""),4.23)</f>
        <v>4.23</v>
      </c>
      <c r="U690" s="65">
        <f>IFERROR(__xludf.DUMMYFUNCTION("""COMPUTED_VALUE"""),0.0)</f>
        <v>0</v>
      </c>
      <c r="V690" s="65">
        <f>IFERROR(__xludf.DUMMYFUNCTION("""COMPUTED_VALUE"""),0.0)</f>
        <v>0</v>
      </c>
      <c r="W690" s="65">
        <f>IFERROR(__xludf.DUMMYFUNCTION("""COMPUTED_VALUE"""),0.0)</f>
        <v>0</v>
      </c>
      <c r="X690" s="65">
        <f>IFERROR(__xludf.DUMMYFUNCTION("""COMPUTED_VALUE"""),3.75)</f>
        <v>3.75</v>
      </c>
      <c r="Y690" s="65">
        <f>IFERROR(__xludf.DUMMYFUNCTION("""COMPUTED_VALUE"""),7.5)</f>
        <v>7.5</v>
      </c>
      <c r="Z690" s="65">
        <f>IFERROR(__xludf.DUMMYFUNCTION("""COMPUTED_VALUE"""),113116.0)</f>
        <v>113116</v>
      </c>
      <c r="AA690" s="65" t="str">
        <f>IFERROR(__xludf.DUMMYFUNCTION("""COMPUTED_VALUE"""),"IM-TAZAKI")</f>
        <v>IM-TAZAKI</v>
      </c>
      <c r="AB690" s="65"/>
      <c r="AC690" s="65" t="str">
        <f>IFERROR(__xludf.DUMMYFUNCTION("""COMPUTED_VALUE"""),"Cuchillo tazaki")</f>
        <v>Cuchillo tazaki</v>
      </c>
      <c r="AD690" s="65"/>
      <c r="AE690" s="65">
        <f>IFERROR(__xludf.DUMMYFUNCTION("""COMPUTED_VALUE"""),2.0)</f>
        <v>2</v>
      </c>
      <c r="AF690" s="65" t="str">
        <f>IFERROR(__xludf.DUMMYFUNCTION("""COMPUTED_VALUE"""),"DESTINATARIO NO CONTESTA LLAMADAS NI WHATSAPP")</f>
        <v>DESTINATARIO NO CONTESTA LLAMADAS NI WHATSAPP</v>
      </c>
      <c r="AG690" s="65" t="str">
        <f>IFERROR(__xludf.DUMMYFUNCTION("""COMPUTED_VALUE"""),"SI")</f>
        <v>SI</v>
      </c>
      <c r="AH690" s="65" t="str">
        <f>IFERROR(__xludf.DUMMYFUNCTION("""COMPUTED_VALUE"""),"15:38")</f>
        <v>15:38</v>
      </c>
      <c r="AI690" s="65" t="str">
        <f>IFERROR(__xludf.DUMMYFUNCTION("""COMPUTED_VALUE"""),"20-02-2026")</f>
        <v>20-02-2026</v>
      </c>
      <c r="AJ690" s="65" t="str">
        <f>IFERROR(__xludf.DUMMYFUNCTION("""COMPUTED_VALUE"""),"CLIENTE SOLICITA LA ENTREGA INMEDIATA")</f>
        <v>CLIENTE SOLICITA LA ENTREGA INMEDIATA</v>
      </c>
      <c r="AK690" s="65" t="str">
        <f>IFERROR(__xludf.DUMMYFUNCTION("""COMPUTED_VALUE"""),"12:12")</f>
        <v>12:12</v>
      </c>
      <c r="AL690" s="65" t="str">
        <f>IFERROR(__xludf.DUMMYFUNCTION("""COMPUTED_VALUE"""),"24-02-2026")</f>
        <v>24-02-2026</v>
      </c>
      <c r="AM690" s="65"/>
      <c r="AN690" s="65" t="str">
        <f>IFERROR(__xludf.DUMMYFUNCTION("""COMPUTED_VALUE"""),"23:51")</f>
        <v>23:51</v>
      </c>
      <c r="AO690" s="65" t="str">
        <f>IFERROR(__xludf.DUMMYFUNCTION("""COMPUTED_VALUE"""),"25-02-2026")</f>
        <v>25-02-2026</v>
      </c>
      <c r="AP690" s="65" t="str">
        <f>IFERROR(__xludf.DUMMYFUNCTION("""COMPUTED_VALUE"""),"ENTREGADA GINTRACOM")</f>
        <v>ENTREGADA GINTRACOM</v>
      </c>
      <c r="AQ690" s="65" t="str">
        <f>IFERROR(__xludf.DUMMYFUNCTION("""COMPUTED_VALUE"""),"ENTREGADA GINTRACOM")</f>
        <v>ENTREGADA GINTRACOM</v>
      </c>
      <c r="AR690" s="65"/>
      <c r="AS690" s="65"/>
      <c r="AT690" s="65" t="str">
        <f>IFERROR(__xludf.DUMMYFUNCTION("""COMPUTED_VALUE"""),"SHOPIFY")</f>
        <v>SHOPIFY</v>
      </c>
      <c r="AU690" s="65" t="str">
        <f>IFERROR(__xludf.DUMMYFUNCTION("""COMPUTED_VALUE"""),"IMPORTEX EC")</f>
        <v>IMPORTEX EC</v>
      </c>
      <c r="AV690" s="65" t="str">
        <f>IFERROR(__xludf.DUMMYFUNCTION("""COMPUTED_VALUE"""),"6504664039468")</f>
        <v>6504664039468</v>
      </c>
      <c r="AW690" s="65">
        <f>IFERROR(__xludf.DUMMYFUNCTION("""COMPUTED_VALUE"""),6154.0)</f>
        <v>6154</v>
      </c>
      <c r="AX690" s="65"/>
      <c r="AY690" s="65" t="str">
        <f>IFERROR(__xludf.DUMMYFUNCTION("""COMPUTED_VALUE"""),"19/02/2026")</f>
        <v>19/02/2026</v>
      </c>
      <c r="AZ690" s="65"/>
      <c r="BA690" s="65"/>
    </row>
    <row r="691">
      <c r="A691" s="65" t="str">
        <f>IFERROR(__xludf.DUMMYFUNCTION("""COMPUTED_VALUE"""),"27-03-2026")</f>
        <v>27-03-2026</v>
      </c>
      <c r="B691" s="65">
        <f>IFERROR(__xludf.DUMMYFUNCTION("""COMPUTED_VALUE"""),4523416.0)</f>
        <v>4523416</v>
      </c>
      <c r="C691" s="65" t="str">
        <f>IFERROR(__xludf.DUMMYFUNCTION("""COMPUTED_VALUE"""),"11:52")</f>
        <v>11:52</v>
      </c>
      <c r="D691" s="65" t="str">
        <f>IFERROR(__xludf.DUMMYFUNCTION("""COMPUTED_VALUE"""),"16-02-2026")</f>
        <v>16-02-2026</v>
      </c>
      <c r="E691" s="65" t="str">
        <f>IFERROR(__xludf.DUMMYFUNCTION("""COMPUTED_VALUE"""),"Rafael Troya N 5 Troya Herrera")</f>
        <v>Rafael Troya N 5 Troya Herrera</v>
      </c>
      <c r="F691" s="65" t="str">
        <f>IFERROR(__xludf.DUMMYFUNCTION("""COMPUTED_VALUE"""),"999496556")</f>
        <v>999496556</v>
      </c>
      <c r="G691" s="65" t="str">
        <f>IFERROR(__xludf.DUMMYFUNCTION("""COMPUTED_VALUE"""),"josertroya@hotmail.com")</f>
        <v>josertroya@hotmail.com</v>
      </c>
      <c r="H691" s="65"/>
      <c r="I691" s="65"/>
      <c r="J691" s="65" t="str">
        <f>IFERROR(__xludf.DUMMYFUNCTION("""COMPUTED_VALUE"""),"D001343264")</f>
        <v>D001343264</v>
      </c>
      <c r="K691" s="65" t="str">
        <f>IFERROR(__xludf.DUMMYFUNCTION("""COMPUTED_VALUE"""),"ENTREGADO")</f>
        <v>ENTREGADO</v>
      </c>
      <c r="L691" s="65" t="str">
        <f>IFERROR(__xludf.DUMMYFUNCTION("""COMPUTED_VALUE"""),"CON RECAUDO")</f>
        <v>CON RECAUDO</v>
      </c>
      <c r="M691" s="65" t="str">
        <f>IFERROR(__xludf.DUMMYFUNCTION("""COMPUTED_VALUE"""),"PICHINCHA")</f>
        <v>PICHINCHA</v>
      </c>
      <c r="N691" s="65" t="str">
        <f>IFERROR(__xludf.DUMMYFUNCTION("""COMPUTED_VALUE"""),"QUITO")</f>
        <v>QUITO</v>
      </c>
      <c r="O691" s="65" t="str">
        <f>IFERROR(__xludf.DUMMYFUNCTION("""COMPUTED_VALUE"""),"Villa vega y Pse. Soria Armas . Sector Tumbaco")</f>
        <v>Villa vega y Pse. Soria Armas . Sector Tumbaco</v>
      </c>
      <c r="P691" s="65"/>
      <c r="Q691" s="65" t="str">
        <f>IFERROR(__xludf.DUMMYFUNCTION("""COMPUTED_VALUE"""),"GINTRACOM")</f>
        <v>GINTRACOM</v>
      </c>
      <c r="R691" s="65">
        <f>IFERROR(__xludf.DUMMYFUNCTION("""COMPUTED_VALUE"""),32.0)</f>
        <v>32</v>
      </c>
      <c r="S691" s="65">
        <f>IFERROR(__xludf.DUMMYFUNCTION("""COMPUTED_VALUE"""),12.37)</f>
        <v>12.37</v>
      </c>
      <c r="T691" s="65">
        <f>IFERROR(__xludf.DUMMYFUNCTION("""COMPUTED_VALUE"""),4.63)</f>
        <v>4.63</v>
      </c>
      <c r="U691" s="65">
        <f>IFERROR(__xludf.DUMMYFUNCTION("""COMPUTED_VALUE"""),0.0)</f>
        <v>0</v>
      </c>
      <c r="V691" s="65">
        <f>IFERROR(__xludf.DUMMYFUNCTION("""COMPUTED_VALUE"""),0.0)</f>
        <v>0</v>
      </c>
      <c r="W691" s="65">
        <f>IFERROR(__xludf.DUMMYFUNCTION("""COMPUTED_VALUE"""),0.0)</f>
        <v>0</v>
      </c>
      <c r="X691" s="65">
        <f>IFERROR(__xludf.DUMMYFUNCTION("""COMPUTED_VALUE"""),3.75)</f>
        <v>3.75</v>
      </c>
      <c r="Y691" s="65">
        <f>IFERROR(__xludf.DUMMYFUNCTION("""COMPUTED_VALUE"""),15.0)</f>
        <v>15</v>
      </c>
      <c r="Z691" s="65">
        <f>IFERROR(__xludf.DUMMYFUNCTION("""COMPUTED_VALUE"""),113116.0)</f>
        <v>113116</v>
      </c>
      <c r="AA691" s="65" t="str">
        <f>IFERROR(__xludf.DUMMYFUNCTION("""COMPUTED_VALUE"""),"IM-TAZAKI")</f>
        <v>IM-TAZAKI</v>
      </c>
      <c r="AB691" s="65"/>
      <c r="AC691" s="65" t="str">
        <f>IFERROR(__xludf.DUMMYFUNCTION("""COMPUTED_VALUE"""),"Cuchillo tazaki")</f>
        <v>Cuchillo tazaki</v>
      </c>
      <c r="AD691" s="65"/>
      <c r="AE691" s="65">
        <f>IFERROR(__xludf.DUMMYFUNCTION("""COMPUTED_VALUE"""),4.0)</f>
        <v>4</v>
      </c>
      <c r="AF691" s="65" t="str">
        <f>IFERROR(__xludf.DUMMYFUNCTION("""COMPUTED_VALUE"""),"DESTINATARIO NO CONTESTA LLAMADAS NI WHATSAPP")</f>
        <v>DESTINATARIO NO CONTESTA LLAMADAS NI WHATSAPP</v>
      </c>
      <c r="AG691" s="65" t="str">
        <f>IFERROR(__xludf.DUMMYFUNCTION("""COMPUTED_VALUE"""),"SI")</f>
        <v>SI</v>
      </c>
      <c r="AH691" s="65" t="str">
        <f>IFERROR(__xludf.DUMMYFUNCTION("""COMPUTED_VALUE"""),"18:12")</f>
        <v>18:12</v>
      </c>
      <c r="AI691" s="65" t="str">
        <f>IFERROR(__xludf.DUMMYFUNCTION("""COMPUTED_VALUE"""),"21-02-2026")</f>
        <v>21-02-2026</v>
      </c>
      <c r="AJ691" s="65" t="str">
        <f>IFERROR(__xludf.DUMMYFUNCTION("""COMPUTED_VALUE"""),"CLIENTE SOLICITA LA ENTREGA INMEDIATA")</f>
        <v>CLIENTE SOLICITA LA ENTREGA INMEDIATA</v>
      </c>
      <c r="AK691" s="65" t="str">
        <f>IFERROR(__xludf.DUMMYFUNCTION("""COMPUTED_VALUE"""),"11:43")</f>
        <v>11:43</v>
      </c>
      <c r="AL691" s="65" t="str">
        <f>IFERROR(__xludf.DUMMYFUNCTION("""COMPUTED_VALUE"""),"24-02-2026")</f>
        <v>24-02-2026</v>
      </c>
      <c r="AM691" s="65"/>
      <c r="AN691" s="65" t="str">
        <f>IFERROR(__xludf.DUMMYFUNCTION("""COMPUTED_VALUE"""),"13:35")</f>
        <v>13:35</v>
      </c>
      <c r="AO691" s="65" t="str">
        <f>IFERROR(__xludf.DUMMYFUNCTION("""COMPUTED_VALUE"""),"25-02-2026")</f>
        <v>25-02-2026</v>
      </c>
      <c r="AP691" s="65" t="str">
        <f>IFERROR(__xludf.DUMMYFUNCTION("""COMPUTED_VALUE"""),"ENTREGADA GINTRACOM")</f>
        <v>ENTREGADA GINTRACOM</v>
      </c>
      <c r="AQ691" s="65" t="str">
        <f>IFERROR(__xludf.DUMMYFUNCTION("""COMPUTED_VALUE"""),"ENTREGADA GINTRACOM")</f>
        <v>ENTREGADA GINTRACOM</v>
      </c>
      <c r="AR691" s="65"/>
      <c r="AS691" s="65"/>
      <c r="AT691" s="65" t="str">
        <f>IFERROR(__xludf.DUMMYFUNCTION("""COMPUTED_VALUE"""),"SHOPIFY")</f>
        <v>SHOPIFY</v>
      </c>
      <c r="AU691" s="65" t="str">
        <f>IFERROR(__xludf.DUMMYFUNCTION("""COMPUTED_VALUE"""),"IMPORTEX EC")</f>
        <v>IMPORTEX EC</v>
      </c>
      <c r="AV691" s="65" t="str">
        <f>IFERROR(__xludf.DUMMYFUNCTION("""COMPUTED_VALUE"""),"6504600240172")</f>
        <v>6504600240172</v>
      </c>
      <c r="AW691" s="65">
        <f>IFERROR(__xludf.DUMMYFUNCTION("""COMPUTED_VALUE"""),6152.0)</f>
        <v>6152</v>
      </c>
      <c r="AX691" s="65"/>
      <c r="AY691" s="65" t="str">
        <f>IFERROR(__xludf.DUMMYFUNCTION("""COMPUTED_VALUE"""),"20/02/2026")</f>
        <v>20/02/2026</v>
      </c>
      <c r="AZ691" s="65"/>
      <c r="BA691" s="65"/>
    </row>
    <row r="692">
      <c r="A692" s="65" t="str">
        <f>IFERROR(__xludf.DUMMYFUNCTION("""COMPUTED_VALUE"""),"27-03-2026")</f>
        <v>27-03-2026</v>
      </c>
      <c r="B692" s="65">
        <f>IFERROR(__xludf.DUMMYFUNCTION("""COMPUTED_VALUE"""),4523407.0)</f>
        <v>4523407</v>
      </c>
      <c r="C692" s="65" t="str">
        <f>IFERROR(__xludf.DUMMYFUNCTION("""COMPUTED_VALUE"""),"11:51")</f>
        <v>11:51</v>
      </c>
      <c r="D692" s="65" t="str">
        <f>IFERROR(__xludf.DUMMYFUNCTION("""COMPUTED_VALUE"""),"16-02-2026")</f>
        <v>16-02-2026</v>
      </c>
      <c r="E692" s="65" t="str">
        <f>IFERROR(__xludf.DUMMYFUNCTION("""COMPUTED_VALUE"""),"Magno Aviles Aviles")</f>
        <v>Magno Aviles Aviles</v>
      </c>
      <c r="F692" s="65" t="str">
        <f>IFERROR(__xludf.DUMMYFUNCTION("""COMPUTED_VALUE"""),"982842048")</f>
        <v>982842048</v>
      </c>
      <c r="G692" s="65" t="str">
        <f>IFERROR(__xludf.DUMMYFUNCTION("""COMPUTED_VALUE"""),"moduavi@hotmail.com")</f>
        <v>moduavi@hotmail.com</v>
      </c>
      <c r="H692" s="65"/>
      <c r="I692" s="65"/>
      <c r="J692" s="65" t="str">
        <f>IFERROR(__xludf.DUMMYFUNCTION("""COMPUTED_VALUE"""),"D001339562")</f>
        <v>D001339562</v>
      </c>
      <c r="K692" s="65" t="str">
        <f>IFERROR(__xludf.DUMMYFUNCTION("""COMPUTED_VALUE"""),"DEVOLUCION")</f>
        <v>DEVOLUCION</v>
      </c>
      <c r="L692" s="65" t="str">
        <f>IFERROR(__xludf.DUMMYFUNCTION("""COMPUTED_VALUE"""),"CON RECAUDO")</f>
        <v>CON RECAUDO</v>
      </c>
      <c r="M692" s="65" t="str">
        <f>IFERROR(__xludf.DUMMYFUNCTION("""COMPUTED_VALUE"""),"GUAYAS")</f>
        <v>GUAYAS</v>
      </c>
      <c r="N692" s="65" t="str">
        <f>IFERROR(__xludf.DUMMYFUNCTION("""COMPUTED_VALUE"""),"GUAYAQUIL")</f>
        <v>GUAYAQUIL</v>
      </c>
      <c r="O692" s="65" t="str">
        <f>IFERROR(__xludf.DUMMYFUNCTION("""COMPUTED_VALUE"""),"-isla trinitaria coop angel Duarte parroquia Ximena -1 peatonal 33 so Mz 0427 -5 dp 3 -")</f>
        <v>-isla trinitaria coop angel Duarte parroquia Ximena -1 peatonal 33 so Mz 0427 -5 dp 3 -</v>
      </c>
      <c r="P692" s="65"/>
      <c r="Q692" s="65" t="str">
        <f>IFERROR(__xludf.DUMMYFUNCTION("""COMPUTED_VALUE"""),"GINTRACOM")</f>
        <v>GINTRACOM</v>
      </c>
      <c r="R692" s="65">
        <f>IFERROR(__xludf.DUMMYFUNCTION("""COMPUTED_VALUE"""),22.0)</f>
        <v>22</v>
      </c>
      <c r="S692" s="65"/>
      <c r="T692" s="65">
        <f>IFERROR(__xludf.DUMMYFUNCTION("""COMPUTED_VALUE"""),5.84)</f>
        <v>5.84</v>
      </c>
      <c r="U692" s="65">
        <f>IFERROR(__xludf.DUMMYFUNCTION("""COMPUTED_VALUE"""),0.0)</f>
        <v>0</v>
      </c>
      <c r="V692" s="65">
        <f>IFERROR(__xludf.DUMMYFUNCTION("""COMPUTED_VALUE"""),0.0)</f>
        <v>0</v>
      </c>
      <c r="W692" s="65">
        <f>IFERROR(__xludf.DUMMYFUNCTION("""COMPUTED_VALUE"""),0.0)</f>
        <v>0</v>
      </c>
      <c r="X692" s="65">
        <f>IFERROR(__xludf.DUMMYFUNCTION("""COMPUTED_VALUE"""),3.75)</f>
        <v>3.75</v>
      </c>
      <c r="Y692" s="65">
        <f>IFERROR(__xludf.DUMMYFUNCTION("""COMPUTED_VALUE"""),7.5)</f>
        <v>7.5</v>
      </c>
      <c r="Z692" s="65">
        <f>IFERROR(__xludf.DUMMYFUNCTION("""COMPUTED_VALUE"""),113116.0)</f>
        <v>113116</v>
      </c>
      <c r="AA692" s="65" t="str">
        <f>IFERROR(__xludf.DUMMYFUNCTION("""COMPUTED_VALUE"""),"IM-TAZAKI")</f>
        <v>IM-TAZAKI</v>
      </c>
      <c r="AB692" s="65"/>
      <c r="AC692" s="65" t="str">
        <f>IFERROR(__xludf.DUMMYFUNCTION("""COMPUTED_VALUE"""),"Cuchillo tazaki")</f>
        <v>Cuchillo tazaki</v>
      </c>
      <c r="AD692" s="65"/>
      <c r="AE692" s="65">
        <f>IFERROR(__xludf.DUMMYFUNCTION("""COMPUTED_VALUE"""),2.0)</f>
        <v>2</v>
      </c>
      <c r="AF692" s="65" t="str">
        <f>IFERROR(__xludf.DUMMYFUNCTION("""COMPUTED_VALUE"""),"ZONA PELIGROSA, SE SOLICITA PUNTO DE ENCUENTRO CON CLIENTE Y NO ACEPTA")</f>
        <v>ZONA PELIGROSA, SE SOLICITA PUNTO DE ENCUENTRO CON CLIENTE Y NO ACEPTA</v>
      </c>
      <c r="AG692" s="65" t="str">
        <f>IFERROR(__xludf.DUMMYFUNCTION("""COMPUTED_VALUE"""),"NO")</f>
        <v>NO</v>
      </c>
      <c r="AH692" s="65" t="str">
        <f>IFERROR(__xludf.DUMMYFUNCTION("""COMPUTED_VALUE"""),"10:43")</f>
        <v>10:43</v>
      </c>
      <c r="AI692" s="65" t="str">
        <f>IFERROR(__xludf.DUMMYFUNCTION("""COMPUTED_VALUE"""),"25-02-2026")</f>
        <v>25-02-2026</v>
      </c>
      <c r="AJ692" s="65"/>
      <c r="AK692" s="65"/>
      <c r="AL692" s="65"/>
      <c r="AM692" s="65"/>
      <c r="AN692" s="65" t="str">
        <f>IFERROR(__xludf.DUMMYFUNCTION("""COMPUTED_VALUE"""),"12:43")</f>
        <v>12:43</v>
      </c>
      <c r="AO692" s="65" t="str">
        <f>IFERROR(__xludf.DUMMYFUNCTION("""COMPUTED_VALUE"""),"06-03-2026")</f>
        <v>06-03-2026</v>
      </c>
      <c r="AP692" s="65" t="str">
        <f>IFERROR(__xludf.DUMMYFUNCTION("""COMPUTED_VALUE"""),"DEVOLUCIÓN ENTREGADA A ORIGEN")</f>
        <v>DEVOLUCIÓN ENTREGADA A ORIGEN</v>
      </c>
      <c r="AQ692" s="65" t="str">
        <f>IFERROR(__xludf.DUMMYFUNCTION("""COMPUTED_VALUE"""),"DEVOLUCIÓN ENTREGADA A ORIGEN")</f>
        <v>DEVOLUCIÓN ENTREGADA A ORIGEN</v>
      </c>
      <c r="AR692" s="65"/>
      <c r="AS692" s="65"/>
      <c r="AT692" s="65" t="str">
        <f>IFERROR(__xludf.DUMMYFUNCTION("""COMPUTED_VALUE"""),"SHOPIFY")</f>
        <v>SHOPIFY</v>
      </c>
      <c r="AU692" s="65" t="str">
        <f>IFERROR(__xludf.DUMMYFUNCTION("""COMPUTED_VALUE"""),"IMPORTEX EC")</f>
        <v>IMPORTEX EC</v>
      </c>
      <c r="AV692" s="65" t="str">
        <f>IFERROR(__xludf.DUMMYFUNCTION("""COMPUTED_VALUE"""),"6504561442860")</f>
        <v>6504561442860</v>
      </c>
      <c r="AW692" s="65">
        <f>IFERROR(__xludf.DUMMYFUNCTION("""COMPUTED_VALUE"""),6151.0)</f>
        <v>6151</v>
      </c>
      <c r="AX692" s="65"/>
      <c r="AY692" s="65" t="str">
        <f>IFERROR(__xludf.DUMMYFUNCTION("""COMPUTED_VALUE"""),"19/02/2026")</f>
        <v>19/02/2026</v>
      </c>
      <c r="AZ692" s="65"/>
      <c r="BA692" s="65"/>
    </row>
    <row r="693">
      <c r="A693" s="65" t="str">
        <f>IFERROR(__xludf.DUMMYFUNCTION("""COMPUTED_VALUE"""),"27-03-2026")</f>
        <v>27-03-2026</v>
      </c>
      <c r="B693" s="65">
        <f>IFERROR(__xludf.DUMMYFUNCTION("""COMPUTED_VALUE"""),4523401.0)</f>
        <v>4523401</v>
      </c>
      <c r="C693" s="65" t="str">
        <f>IFERROR(__xludf.DUMMYFUNCTION("""COMPUTED_VALUE"""),"11:51")</f>
        <v>11:51</v>
      </c>
      <c r="D693" s="65" t="str">
        <f>IFERROR(__xludf.DUMMYFUNCTION("""COMPUTED_VALUE"""),"16-02-2026")</f>
        <v>16-02-2026</v>
      </c>
      <c r="E693" s="65" t="str">
        <f>IFERROR(__xludf.DUMMYFUNCTION("""COMPUTED_VALUE"""),"Eduardo Soto")</f>
        <v>Eduardo Soto</v>
      </c>
      <c r="F693" s="65" t="str">
        <f>IFERROR(__xludf.DUMMYFUNCTION("""COMPUTED_VALUE"""),"989093973")</f>
        <v>989093973</v>
      </c>
      <c r="G693" s="65" t="str">
        <f>IFERROR(__xludf.DUMMYFUNCTION("""COMPUTED_VALUE"""),"edurenesoto@hotmail.com")</f>
        <v>edurenesoto@hotmail.com</v>
      </c>
      <c r="H693" s="65"/>
      <c r="I693" s="65"/>
      <c r="J693" s="65" t="str">
        <f>IFERROR(__xludf.DUMMYFUNCTION("""COMPUTED_VALUE"""),"D001340306")</f>
        <v>D001340306</v>
      </c>
      <c r="K693" s="65" t="str">
        <f>IFERROR(__xludf.DUMMYFUNCTION("""COMPUTED_VALUE"""),"ENTREGADO")</f>
        <v>ENTREGADO</v>
      </c>
      <c r="L693" s="65" t="str">
        <f>IFERROR(__xludf.DUMMYFUNCTION("""COMPUTED_VALUE"""),"CON RECAUDO")</f>
        <v>CON RECAUDO</v>
      </c>
      <c r="M693" s="65" t="str">
        <f>IFERROR(__xludf.DUMMYFUNCTION("""COMPUTED_VALUE"""),"SANTO DOMINGO DE LOS TSACHILAS")</f>
        <v>SANTO DOMINGO DE LOS TSACHILAS</v>
      </c>
      <c r="N693" s="65" t="str">
        <f>IFERROR(__xludf.DUMMYFUNCTION("""COMPUTED_VALUE"""),"SANTO DOMINGO")</f>
        <v>SANTO DOMINGO</v>
      </c>
      <c r="O693" s="65" t="str">
        <f>IFERROR(__xludf.DUMMYFUNCTION("""COMPUTED_VALUE"""),"Av Juan Jose Flores y Abraham Calazacon, oficinas de la cooperativa Río Toachi")</f>
        <v>Av Juan Jose Flores y Abraham Calazacon, oficinas de la cooperativa Río Toachi</v>
      </c>
      <c r="P693" s="65"/>
      <c r="Q693" s="65" t="str">
        <f>IFERROR(__xludf.DUMMYFUNCTION("""COMPUTED_VALUE"""),"GINTRACOM")</f>
        <v>GINTRACOM</v>
      </c>
      <c r="R693" s="65">
        <f>IFERROR(__xludf.DUMMYFUNCTION("""COMPUTED_VALUE"""),25.0)</f>
        <v>25</v>
      </c>
      <c r="S693" s="65">
        <f>IFERROR(__xludf.DUMMYFUNCTION("""COMPUTED_VALUE"""),14.24)</f>
        <v>14.24</v>
      </c>
      <c r="T693" s="65">
        <f>IFERROR(__xludf.DUMMYFUNCTION("""COMPUTED_VALUE"""),5.96)</f>
        <v>5.96</v>
      </c>
      <c r="U693" s="65">
        <f>IFERROR(__xludf.DUMMYFUNCTION("""COMPUTED_VALUE"""),0.0)</f>
        <v>0</v>
      </c>
      <c r="V693" s="65">
        <f>IFERROR(__xludf.DUMMYFUNCTION("""COMPUTED_VALUE"""),0.0)</f>
        <v>0</v>
      </c>
      <c r="W693" s="65">
        <f>IFERROR(__xludf.DUMMYFUNCTION("""COMPUTED_VALUE"""),0.0)</f>
        <v>0</v>
      </c>
      <c r="X693" s="65">
        <f>IFERROR(__xludf.DUMMYFUNCTION("""COMPUTED_VALUE"""),2.4)</f>
        <v>2.4</v>
      </c>
      <c r="Y693" s="65">
        <f>IFERROR(__xludf.DUMMYFUNCTION("""COMPUTED_VALUE"""),4.8)</f>
        <v>4.8</v>
      </c>
      <c r="Z693" s="65">
        <f>IFERROR(__xludf.DUMMYFUNCTION("""COMPUTED_VALUE"""),120732.0)</f>
        <v>120732</v>
      </c>
      <c r="AA693" s="65" t="str">
        <f>IFERROR(__xludf.DUMMYFUNCTION("""COMPUTED_VALUE"""),"PROV-LMPVT")</f>
        <v>PROV-LMPVT</v>
      </c>
      <c r="AB693" s="65"/>
      <c r="AC693" s="65" t="str">
        <f>IFERROR(__xludf.DUMMYFUNCTION("""COMPUTED_VALUE"""),"LIMPIADOR DE PARABRISAS Y VENTANAS")</f>
        <v>LIMPIADOR DE PARABRISAS Y VENTANAS</v>
      </c>
      <c r="AD693" s="65"/>
      <c r="AE693" s="65">
        <f>IFERROR(__xludf.DUMMYFUNCTION("""COMPUTED_VALUE"""),2.0)</f>
        <v>2</v>
      </c>
      <c r="AF693" s="65"/>
      <c r="AG693" s="65"/>
      <c r="AH693" s="65"/>
      <c r="AI693" s="65"/>
      <c r="AJ693" s="65"/>
      <c r="AK693" s="65"/>
      <c r="AL693" s="65"/>
      <c r="AM693" s="65"/>
      <c r="AN693" s="65" t="str">
        <f>IFERROR(__xludf.DUMMYFUNCTION("""COMPUTED_VALUE"""),"09:33")</f>
        <v>09:33</v>
      </c>
      <c r="AO693" s="65" t="str">
        <f>IFERROR(__xludf.DUMMYFUNCTION("""COMPUTED_VALUE"""),"21-02-2026")</f>
        <v>21-02-2026</v>
      </c>
      <c r="AP693" s="65" t="str">
        <f>IFERROR(__xludf.DUMMYFUNCTION("""COMPUTED_VALUE"""),"EN REPARTO")</f>
        <v>EN REPARTO</v>
      </c>
      <c r="AQ693" s="65" t="str">
        <f>IFERROR(__xludf.DUMMYFUNCTION("""COMPUTED_VALUE"""),"EN REPARTO")</f>
        <v>EN REPARTO</v>
      </c>
      <c r="AR693" s="65"/>
      <c r="AS693" s="65"/>
      <c r="AT693" s="65" t="str">
        <f>IFERROR(__xludf.DUMMYFUNCTION("""COMPUTED_VALUE"""),"SHOPIFY")</f>
        <v>SHOPIFY</v>
      </c>
      <c r="AU693" s="65" t="str">
        <f>IFERROR(__xludf.DUMMYFUNCTION("""COMPUTED_VALUE"""),"IMPORTEX EC")</f>
        <v>IMPORTEX EC</v>
      </c>
      <c r="AV693" s="65" t="str">
        <f>IFERROR(__xludf.DUMMYFUNCTION("""COMPUTED_VALUE"""),"6504459993132")</f>
        <v>6504459993132</v>
      </c>
      <c r="AW693" s="65">
        <f>IFERROR(__xludf.DUMMYFUNCTION("""COMPUTED_VALUE"""),6150.0)</f>
        <v>6150</v>
      </c>
      <c r="AX693" s="65"/>
      <c r="AY693" s="65" t="str">
        <f>IFERROR(__xludf.DUMMYFUNCTION("""COMPUTED_VALUE"""),"19/02/2026")</f>
        <v>19/02/2026</v>
      </c>
      <c r="AZ693" s="65"/>
      <c r="BA693" s="65"/>
    </row>
    <row r="694">
      <c r="A694" s="65" t="str">
        <f>IFERROR(__xludf.DUMMYFUNCTION("""COMPUTED_VALUE"""),"27-03-2026")</f>
        <v>27-03-2026</v>
      </c>
      <c r="B694" s="65">
        <f>IFERROR(__xludf.DUMMYFUNCTION("""COMPUTED_VALUE"""),4523392.0)</f>
        <v>4523392</v>
      </c>
      <c r="C694" s="65" t="str">
        <f>IFERROR(__xludf.DUMMYFUNCTION("""COMPUTED_VALUE"""),"11:50")</f>
        <v>11:50</v>
      </c>
      <c r="D694" s="65" t="str">
        <f>IFERROR(__xludf.DUMMYFUNCTION("""COMPUTED_VALUE"""),"16-02-2026")</f>
        <v>16-02-2026</v>
      </c>
      <c r="E694" s="65" t="str">
        <f>IFERROR(__xludf.DUMMYFUNCTION("""COMPUTED_VALUE"""),"Milton Escobar chicaiza")</f>
        <v>Milton Escobar chicaiza</v>
      </c>
      <c r="F694" s="65" t="str">
        <f>IFERROR(__xludf.DUMMYFUNCTION("""COMPUTED_VALUE"""),"994024194")</f>
        <v>994024194</v>
      </c>
      <c r="G694" s="65"/>
      <c r="H694" s="65"/>
      <c r="I694" s="65"/>
      <c r="J694" s="65" t="str">
        <f>IFERROR(__xludf.DUMMYFUNCTION("""COMPUTED_VALUE"""),"D001346109")</f>
        <v>D001346109</v>
      </c>
      <c r="K694" s="65" t="str">
        <f>IFERROR(__xludf.DUMMYFUNCTION("""COMPUTED_VALUE"""),"ENTREGADO")</f>
        <v>ENTREGADO</v>
      </c>
      <c r="L694" s="65" t="str">
        <f>IFERROR(__xludf.DUMMYFUNCTION("""COMPUTED_VALUE"""),"CON RECAUDO")</f>
        <v>CON RECAUDO</v>
      </c>
      <c r="M694" s="65" t="str">
        <f>IFERROR(__xludf.DUMMYFUNCTION("""COMPUTED_VALUE"""),"TUNGURAHUA")</f>
        <v>TUNGURAHUA</v>
      </c>
      <c r="N694" s="65" t="str">
        <f>IFERROR(__xludf.DUMMYFUNCTION("""COMPUTED_VALUE"""),"AMBATO")</f>
        <v>AMBATO</v>
      </c>
      <c r="O694" s="65" t="str">
        <f>IFERROR(__xludf.DUMMYFUNCTION("""COMPUTED_VALUE"""),"Los chasquiz y antepara Mercado Simón bolivar -")</f>
        <v>Los chasquiz y antepara Mercado Simón bolivar -</v>
      </c>
      <c r="P694" s="65"/>
      <c r="Q694" s="65" t="str">
        <f>IFERROR(__xludf.DUMMYFUNCTION("""COMPUTED_VALUE"""),"GINTRACOM")</f>
        <v>GINTRACOM</v>
      </c>
      <c r="R694" s="65">
        <f>IFERROR(__xludf.DUMMYFUNCTION("""COMPUTED_VALUE"""),22.0)</f>
        <v>22</v>
      </c>
      <c r="S694" s="65">
        <f>IFERROR(__xludf.DUMMYFUNCTION("""COMPUTED_VALUE"""),8.66)</f>
        <v>8.66</v>
      </c>
      <c r="T694" s="65">
        <f>IFERROR(__xludf.DUMMYFUNCTION("""COMPUTED_VALUE"""),5.84)</f>
        <v>5.84</v>
      </c>
      <c r="U694" s="65">
        <f>IFERROR(__xludf.DUMMYFUNCTION("""COMPUTED_VALUE"""),0.0)</f>
        <v>0</v>
      </c>
      <c r="V694" s="65">
        <f>IFERROR(__xludf.DUMMYFUNCTION("""COMPUTED_VALUE"""),0.0)</f>
        <v>0</v>
      </c>
      <c r="W694" s="65">
        <f>IFERROR(__xludf.DUMMYFUNCTION("""COMPUTED_VALUE"""),0.0)</f>
        <v>0</v>
      </c>
      <c r="X694" s="65">
        <f>IFERROR(__xludf.DUMMYFUNCTION("""COMPUTED_VALUE"""),3.75)</f>
        <v>3.75</v>
      </c>
      <c r="Y694" s="65">
        <f>IFERROR(__xludf.DUMMYFUNCTION("""COMPUTED_VALUE"""),7.5)</f>
        <v>7.5</v>
      </c>
      <c r="Z694" s="65">
        <f>IFERROR(__xludf.DUMMYFUNCTION("""COMPUTED_VALUE"""),113116.0)</f>
        <v>113116</v>
      </c>
      <c r="AA694" s="65" t="str">
        <f>IFERROR(__xludf.DUMMYFUNCTION("""COMPUTED_VALUE"""),"IM-TAZAKI")</f>
        <v>IM-TAZAKI</v>
      </c>
      <c r="AB694" s="65"/>
      <c r="AC694" s="65" t="str">
        <f>IFERROR(__xludf.DUMMYFUNCTION("""COMPUTED_VALUE"""),"Cuchillo tazaki")</f>
        <v>Cuchillo tazaki</v>
      </c>
      <c r="AD694" s="65"/>
      <c r="AE694" s="65">
        <f>IFERROR(__xludf.DUMMYFUNCTION("""COMPUTED_VALUE"""),2.0)</f>
        <v>2</v>
      </c>
      <c r="AF694" s="65" t="str">
        <f>IFERROR(__xludf.DUMMYFUNCTION("""COMPUTED_VALUE"""),"DESTINATARIO NO CONTESTA LLAMADAS NI WHATSAPP")</f>
        <v>DESTINATARIO NO CONTESTA LLAMADAS NI WHATSAPP</v>
      </c>
      <c r="AG694" s="65" t="str">
        <f>IFERROR(__xludf.DUMMYFUNCTION("""COMPUTED_VALUE"""),"SI")</f>
        <v>SI</v>
      </c>
      <c r="AH694" s="65" t="str">
        <f>IFERROR(__xludf.DUMMYFUNCTION("""COMPUTED_VALUE"""),"18:43")</f>
        <v>18:43</v>
      </c>
      <c r="AI694" s="65" t="str">
        <f>IFERROR(__xludf.DUMMYFUNCTION("""COMPUTED_VALUE"""),"23-02-2026")</f>
        <v>23-02-2026</v>
      </c>
      <c r="AJ694" s="65" t="str">
        <f>IFERROR(__xludf.DUMMYFUNCTION("""COMPUTED_VALUE"""),"CLIENTE SOLICITA LA ENTREGA INMEDIATA, NO LE LLAMADO PARA COORDIANR LA ENTREGA")</f>
        <v>CLIENTE SOLICITA LA ENTREGA INMEDIATA, NO LE LLAMADO PARA COORDIANR LA ENTREGA</v>
      </c>
      <c r="AK694" s="65" t="str">
        <f>IFERROR(__xludf.DUMMYFUNCTION("""COMPUTED_VALUE"""),"11:07")</f>
        <v>11:07</v>
      </c>
      <c r="AL694" s="65" t="str">
        <f>IFERROR(__xludf.DUMMYFUNCTION("""COMPUTED_VALUE"""),"24-02-2026")</f>
        <v>24-02-2026</v>
      </c>
      <c r="AM694" s="65"/>
      <c r="AN694" s="65" t="str">
        <f>IFERROR(__xludf.DUMMYFUNCTION("""COMPUTED_VALUE"""),"23:56")</f>
        <v>23:56</v>
      </c>
      <c r="AO694" s="65" t="str">
        <f>IFERROR(__xludf.DUMMYFUNCTION("""COMPUTED_VALUE"""),"25-02-2026")</f>
        <v>25-02-2026</v>
      </c>
      <c r="AP694" s="65" t="str">
        <f>IFERROR(__xludf.DUMMYFUNCTION("""COMPUTED_VALUE"""),"ENTREGADA GINTRACOM")</f>
        <v>ENTREGADA GINTRACOM</v>
      </c>
      <c r="AQ694" s="65" t="str">
        <f>IFERROR(__xludf.DUMMYFUNCTION("""COMPUTED_VALUE"""),"ENTREGADA GINTRACOM")</f>
        <v>ENTREGADA GINTRACOM</v>
      </c>
      <c r="AR694" s="65"/>
      <c r="AS694" s="65"/>
      <c r="AT694" s="65" t="str">
        <f>IFERROR(__xludf.DUMMYFUNCTION("""COMPUTED_VALUE"""),"SHOPIFY")</f>
        <v>SHOPIFY</v>
      </c>
      <c r="AU694" s="65" t="str">
        <f>IFERROR(__xludf.DUMMYFUNCTION("""COMPUTED_VALUE"""),"IMPORTEX EC")</f>
        <v>IMPORTEX EC</v>
      </c>
      <c r="AV694" s="65" t="str">
        <f>IFERROR(__xludf.DUMMYFUNCTION("""COMPUTED_VALUE"""),"6504396324908")</f>
        <v>6504396324908</v>
      </c>
      <c r="AW694" s="65">
        <f>IFERROR(__xludf.DUMMYFUNCTION("""COMPUTED_VALUE"""),6149.0)</f>
        <v>6149</v>
      </c>
      <c r="AX694" s="65"/>
      <c r="AY694" s="65" t="str">
        <f>IFERROR(__xludf.DUMMYFUNCTION("""COMPUTED_VALUE"""),"21/02/2026")</f>
        <v>21/02/2026</v>
      </c>
      <c r="AZ694" s="65"/>
      <c r="BA694" s="65"/>
    </row>
    <row r="695">
      <c r="A695" s="65" t="str">
        <f>IFERROR(__xludf.DUMMYFUNCTION("""COMPUTED_VALUE"""),"27-03-2026")</f>
        <v>27-03-2026</v>
      </c>
      <c r="B695" s="65">
        <f>IFERROR(__xludf.DUMMYFUNCTION("""COMPUTED_VALUE"""),4523386.0)</f>
        <v>4523386</v>
      </c>
      <c r="C695" s="65" t="str">
        <f>IFERROR(__xludf.DUMMYFUNCTION("""COMPUTED_VALUE"""),"11:49")</f>
        <v>11:49</v>
      </c>
      <c r="D695" s="65" t="str">
        <f>IFERROR(__xludf.DUMMYFUNCTION("""COMPUTED_VALUE"""),"16-02-2026")</f>
        <v>16-02-2026</v>
      </c>
      <c r="E695" s="65" t="str">
        <f>IFERROR(__xludf.DUMMYFUNCTION("""COMPUTED_VALUE"""),"Victor Dominguez")</f>
        <v>Victor Dominguez</v>
      </c>
      <c r="F695" s="65" t="str">
        <f>IFERROR(__xludf.DUMMYFUNCTION("""COMPUTED_VALUE"""),"939657560")</f>
        <v>939657560</v>
      </c>
      <c r="G695" s="65"/>
      <c r="H695" s="65"/>
      <c r="I695" s="65"/>
      <c r="J695" s="65" t="str">
        <f>IFERROR(__xludf.DUMMYFUNCTION("""COMPUTED_VALUE"""),"LC52899108")</f>
        <v>LC52899108</v>
      </c>
      <c r="K695" s="65" t="str">
        <f>IFERROR(__xludf.DUMMYFUNCTION("""COMPUTED_VALUE"""),"ENTREGADO")</f>
        <v>ENTREGADO</v>
      </c>
      <c r="L695" s="65" t="str">
        <f>IFERROR(__xludf.DUMMYFUNCTION("""COMPUTED_VALUE"""),"CON RECAUDO")</f>
        <v>CON RECAUDO</v>
      </c>
      <c r="M695" s="65" t="str">
        <f>IFERROR(__xludf.DUMMYFUNCTION("""COMPUTED_VALUE"""),"AZUAY")</f>
        <v>AZUAY</v>
      </c>
      <c r="N695" s="65" t="str">
        <f>IFERROR(__xludf.DUMMYFUNCTION("""COMPUTED_VALUE"""),"SANTA ISABEL")</f>
        <v>SANTA ISABEL</v>
      </c>
      <c r="O695" s="65" t="str">
        <f>IFERROR(__xludf.DUMMYFUNCTION("""COMPUTED_VALUE"""),"Calle 3 de Noviembre y Simon Bolivar, Frente al parque Bolívar de Santa Isabel")</f>
        <v>Calle 3 de Noviembre y Simon Bolivar, Frente al parque Bolívar de Santa Isabel</v>
      </c>
      <c r="P695" s="65"/>
      <c r="Q695" s="65" t="str">
        <f>IFERROR(__xludf.DUMMYFUNCTION("""COMPUTED_VALUE"""),"LAARCOURIER")</f>
        <v>LAARCOURIER</v>
      </c>
      <c r="R695" s="65">
        <f>IFERROR(__xludf.DUMMYFUNCTION("""COMPUTED_VALUE"""),22.0)</f>
        <v>22</v>
      </c>
      <c r="S695" s="65">
        <f>IFERROR(__xludf.DUMMYFUNCTION("""COMPUTED_VALUE"""),7.49)</f>
        <v>7.49</v>
      </c>
      <c r="T695" s="65">
        <f>IFERROR(__xludf.DUMMYFUNCTION("""COMPUTED_VALUE"""),7.01)</f>
        <v>7.01</v>
      </c>
      <c r="U695" s="65">
        <f>IFERROR(__xludf.DUMMYFUNCTION("""COMPUTED_VALUE"""),0.0)</f>
        <v>0</v>
      </c>
      <c r="V695" s="65">
        <f>IFERROR(__xludf.DUMMYFUNCTION("""COMPUTED_VALUE"""),0.0)</f>
        <v>0</v>
      </c>
      <c r="W695" s="65">
        <f>IFERROR(__xludf.DUMMYFUNCTION("""COMPUTED_VALUE"""),0.0)</f>
        <v>0</v>
      </c>
      <c r="X695" s="65">
        <f>IFERROR(__xludf.DUMMYFUNCTION("""COMPUTED_VALUE"""),3.75)</f>
        <v>3.75</v>
      </c>
      <c r="Y695" s="65">
        <f>IFERROR(__xludf.DUMMYFUNCTION("""COMPUTED_VALUE"""),7.5)</f>
        <v>7.5</v>
      </c>
      <c r="Z695" s="65">
        <f>IFERROR(__xludf.DUMMYFUNCTION("""COMPUTED_VALUE"""),113116.0)</f>
        <v>113116</v>
      </c>
      <c r="AA695" s="65" t="str">
        <f>IFERROR(__xludf.DUMMYFUNCTION("""COMPUTED_VALUE"""),"IM-TAZAKI")</f>
        <v>IM-TAZAKI</v>
      </c>
      <c r="AB695" s="65"/>
      <c r="AC695" s="65" t="str">
        <f>IFERROR(__xludf.DUMMYFUNCTION("""COMPUTED_VALUE"""),"Cuchillo tazaki")</f>
        <v>Cuchillo tazaki</v>
      </c>
      <c r="AD695" s="65"/>
      <c r="AE695" s="65">
        <f>IFERROR(__xludf.DUMMYFUNCTION("""COMPUTED_VALUE"""),2.0)</f>
        <v>2</v>
      </c>
      <c r="AF695" s="65"/>
      <c r="AG695" s="65"/>
      <c r="AH695" s="65"/>
      <c r="AI695" s="65"/>
      <c r="AJ695" s="65"/>
      <c r="AK695" s="65"/>
      <c r="AL695" s="65"/>
      <c r="AM695" s="65"/>
      <c r="AN695" s="65" t="str">
        <f>IFERROR(__xludf.DUMMYFUNCTION("""COMPUTED_VALUE"""),"18:48")</f>
        <v>18:48</v>
      </c>
      <c r="AO695" s="65" t="str">
        <f>IFERROR(__xludf.DUMMYFUNCTION("""COMPUTED_VALUE"""),"19-02-2026")</f>
        <v>19-02-2026</v>
      </c>
      <c r="AP695" s="65" t="str">
        <f>IFERROR(__xludf.DUMMYFUNCTION("""COMPUTED_VALUE"""),"ENTREGADO")</f>
        <v>ENTREGADO</v>
      </c>
      <c r="AQ695" s="65" t="str">
        <f>IFERROR(__xludf.DUMMYFUNCTION("""COMPUTED_VALUE"""),"ENTREGADO")</f>
        <v>ENTREGADO</v>
      </c>
      <c r="AR695" s="65"/>
      <c r="AS695" s="65"/>
      <c r="AT695" s="65" t="str">
        <f>IFERROR(__xludf.DUMMYFUNCTION("""COMPUTED_VALUE"""),"SHOPIFY")</f>
        <v>SHOPIFY</v>
      </c>
      <c r="AU695" s="65" t="str">
        <f>IFERROR(__xludf.DUMMYFUNCTION("""COMPUTED_VALUE"""),"IMPORTEX EC")</f>
        <v>IMPORTEX EC</v>
      </c>
      <c r="AV695" s="65" t="str">
        <f>IFERROR(__xludf.DUMMYFUNCTION("""COMPUTED_VALUE"""),"6504383119404")</f>
        <v>6504383119404</v>
      </c>
      <c r="AW695" s="65">
        <f>IFERROR(__xludf.DUMMYFUNCTION("""COMPUTED_VALUE"""),6148.0)</f>
        <v>6148</v>
      </c>
      <c r="AX695" s="65"/>
      <c r="AY695" s="65" t="str">
        <f>IFERROR(__xludf.DUMMYFUNCTION("""COMPUTED_VALUE"""),"18/02/2026")</f>
        <v>18/02/2026</v>
      </c>
      <c r="AZ695" s="65"/>
      <c r="BA695" s="65"/>
    </row>
    <row r="696">
      <c r="A696" s="65" t="str">
        <f>IFERROR(__xludf.DUMMYFUNCTION("""COMPUTED_VALUE"""),"27-03-2026")</f>
        <v>27-03-2026</v>
      </c>
      <c r="B696" s="65">
        <f>IFERROR(__xludf.DUMMYFUNCTION("""COMPUTED_VALUE"""),4523383.0)</f>
        <v>4523383</v>
      </c>
      <c r="C696" s="65" t="str">
        <f>IFERROR(__xludf.DUMMYFUNCTION("""COMPUTED_VALUE"""),"11:49")</f>
        <v>11:49</v>
      </c>
      <c r="D696" s="65" t="str">
        <f>IFERROR(__xludf.DUMMYFUNCTION("""COMPUTED_VALUE"""),"16-02-2026")</f>
        <v>16-02-2026</v>
      </c>
      <c r="E696" s="65" t="str">
        <f>IFERROR(__xludf.DUMMYFUNCTION("""COMPUTED_VALUE"""),"Irene Murillo Murillo")</f>
        <v>Irene Murillo Murillo</v>
      </c>
      <c r="F696" s="65" t="str">
        <f>IFERROR(__xludf.DUMMYFUNCTION("""COMPUTED_VALUE"""),"988511385")</f>
        <v>988511385</v>
      </c>
      <c r="G696" s="65" t="str">
        <f>IFERROR(__xludf.DUMMYFUNCTION("""COMPUTED_VALUE"""),"mairenemurillo@hotmail.com")</f>
        <v>mairenemurillo@hotmail.com</v>
      </c>
      <c r="H696" s="65"/>
      <c r="I696" s="65"/>
      <c r="J696" s="65"/>
      <c r="K696" s="65" t="str">
        <f>IFERROR(__xludf.DUMMYFUNCTION("""COMPUTED_VALUE"""),"PENDIENTE CONFIRMACION")</f>
        <v>PENDIENTE CONFIRMACION</v>
      </c>
      <c r="L696" s="65" t="str">
        <f>IFERROR(__xludf.DUMMYFUNCTION("""COMPUTED_VALUE"""),"CON RECAUDO")</f>
        <v>CON RECAUDO</v>
      </c>
      <c r="M696" s="65" t="str">
        <f>IFERROR(__xludf.DUMMYFUNCTION("""COMPUTED_VALUE"""),"CHIMBORAZO")</f>
        <v>CHIMBORAZO</v>
      </c>
      <c r="N696" s="65" t="str">
        <f>IFERROR(__xludf.DUMMYFUNCTION("""COMPUTED_VALUE"""),"RIOBAMBA")</f>
        <v>RIOBAMBA</v>
      </c>
      <c r="O696" s="65" t="str">
        <f>IFERROR(__xludf.DUMMYFUNCTION("""COMPUTED_VALUE"""),"Calle principal: roma Numero de casa:s/n -")</f>
        <v>Calle principal: roma Numero de casa:s/n -</v>
      </c>
      <c r="P696" s="65"/>
      <c r="Q696" s="65" t="str">
        <f>IFERROR(__xludf.DUMMYFUNCTION("""COMPUTED_VALUE"""),"GINTRACOM")</f>
        <v>GINTRACOM</v>
      </c>
      <c r="R696" s="65">
        <f>IFERROR(__xludf.DUMMYFUNCTION("""COMPUTED_VALUE"""),22.0)</f>
        <v>22</v>
      </c>
      <c r="S696" s="65"/>
      <c r="T696" s="65">
        <f>IFERROR(__xludf.DUMMYFUNCTION("""COMPUTED_VALUE"""),5.84)</f>
        <v>5.84</v>
      </c>
      <c r="U696" s="65">
        <f>IFERROR(__xludf.DUMMYFUNCTION("""COMPUTED_VALUE"""),0.0)</f>
        <v>0</v>
      </c>
      <c r="V696" s="65">
        <f>IFERROR(__xludf.DUMMYFUNCTION("""COMPUTED_VALUE"""),0.0)</f>
        <v>0</v>
      </c>
      <c r="W696" s="65">
        <f>IFERROR(__xludf.DUMMYFUNCTION("""COMPUTED_VALUE"""),0.0)</f>
        <v>0</v>
      </c>
      <c r="X696" s="65">
        <f>IFERROR(__xludf.DUMMYFUNCTION("""COMPUTED_VALUE"""),3.75)</f>
        <v>3.75</v>
      </c>
      <c r="Y696" s="65">
        <f>IFERROR(__xludf.DUMMYFUNCTION("""COMPUTED_VALUE"""),7.5)</f>
        <v>7.5</v>
      </c>
      <c r="Z696" s="65">
        <f>IFERROR(__xludf.DUMMYFUNCTION("""COMPUTED_VALUE"""),113116.0)</f>
        <v>113116</v>
      </c>
      <c r="AA696" s="65" t="str">
        <f>IFERROR(__xludf.DUMMYFUNCTION("""COMPUTED_VALUE"""),"IM-TAZAKI")</f>
        <v>IM-TAZAKI</v>
      </c>
      <c r="AB696" s="65"/>
      <c r="AC696" s="65" t="str">
        <f>IFERROR(__xludf.DUMMYFUNCTION("""COMPUTED_VALUE"""),"Cuchillo tazaki")</f>
        <v>Cuchillo tazaki</v>
      </c>
      <c r="AD696" s="65"/>
      <c r="AE696" s="65">
        <f>IFERROR(__xludf.DUMMYFUNCTION("""COMPUTED_VALUE"""),2.0)</f>
        <v>2</v>
      </c>
      <c r="AF696" s="65"/>
      <c r="AG696" s="65"/>
      <c r="AH696" s="65"/>
      <c r="AI696" s="65"/>
      <c r="AJ696" s="65"/>
      <c r="AK696" s="65"/>
      <c r="AL696" s="65"/>
      <c r="AM696" s="65"/>
      <c r="AN696" s="65"/>
      <c r="AO696" s="65"/>
      <c r="AP696" s="65"/>
      <c r="AQ696" s="65"/>
      <c r="AR696" s="65"/>
      <c r="AS696" s="65"/>
      <c r="AT696" s="65" t="str">
        <f>IFERROR(__xludf.DUMMYFUNCTION("""COMPUTED_VALUE"""),"SHOPIFY")</f>
        <v>SHOPIFY</v>
      </c>
      <c r="AU696" s="65" t="str">
        <f>IFERROR(__xludf.DUMMYFUNCTION("""COMPUTED_VALUE"""),"IMPORTEX EC")</f>
        <v>IMPORTEX EC</v>
      </c>
      <c r="AV696" s="65" t="str">
        <f>IFERROR(__xludf.DUMMYFUNCTION("""COMPUTED_VALUE"""),"6504337932332")</f>
        <v>6504337932332</v>
      </c>
      <c r="AW696" s="65">
        <f>IFERROR(__xludf.DUMMYFUNCTION("""COMPUTED_VALUE"""),6147.0)</f>
        <v>6147</v>
      </c>
      <c r="AX696" s="65"/>
      <c r="AY696" s="65"/>
      <c r="AZ696" s="65"/>
      <c r="BA696" s="65"/>
    </row>
    <row r="697">
      <c r="A697" s="65" t="str">
        <f>IFERROR(__xludf.DUMMYFUNCTION("""COMPUTED_VALUE"""),"27-03-2026")</f>
        <v>27-03-2026</v>
      </c>
      <c r="B697" s="65">
        <f>IFERROR(__xludf.DUMMYFUNCTION("""COMPUTED_VALUE"""),4523380.0)</f>
        <v>4523380</v>
      </c>
      <c r="C697" s="65" t="str">
        <f>IFERROR(__xludf.DUMMYFUNCTION("""COMPUTED_VALUE"""),"11:48")</f>
        <v>11:48</v>
      </c>
      <c r="D697" s="65" t="str">
        <f>IFERROR(__xludf.DUMMYFUNCTION("""COMPUTED_VALUE"""),"16-02-2026")</f>
        <v>16-02-2026</v>
      </c>
      <c r="E697" s="65" t="str">
        <f>IFERROR(__xludf.DUMMYFUNCTION("""COMPUTED_VALUE"""),"Edison Javier Macías Yanez")</f>
        <v>Edison Javier Macías Yanez</v>
      </c>
      <c r="F697" s="65" t="str">
        <f>IFERROR(__xludf.DUMMYFUNCTION("""COMPUTED_VALUE"""),"992100352")</f>
        <v>992100352</v>
      </c>
      <c r="G697" s="65"/>
      <c r="H697" s="65"/>
      <c r="I697" s="65"/>
      <c r="J697" s="65"/>
      <c r="K697" s="65" t="str">
        <f>IFERROR(__xludf.DUMMYFUNCTION("""COMPUTED_VALUE"""),"PENDIENTE CONFIRMACION")</f>
        <v>PENDIENTE CONFIRMACION</v>
      </c>
      <c r="L697" s="65" t="str">
        <f>IFERROR(__xludf.DUMMYFUNCTION("""COMPUTED_VALUE"""),"CON RECAUDO")</f>
        <v>CON RECAUDO</v>
      </c>
      <c r="M697" s="65" t="str">
        <f>IFERROR(__xludf.DUMMYFUNCTION("""COMPUTED_VALUE"""),"LOS RIOS")</f>
        <v>LOS RIOS</v>
      </c>
      <c r="N697" s="65" t="str">
        <f>IFERROR(__xludf.DUMMYFUNCTION("""COMPUTED_VALUE"""),"SAN JUAN")</f>
        <v>SAN JUAN</v>
      </c>
      <c r="O697" s="65" t="str">
        <f>IFERROR(__xludf.DUMMYFUNCTION("""COMPUTED_VALUE"""),"Los ríos babahoyo Parroquia pimocha -")</f>
        <v>Los ríos babahoyo Parroquia pimocha -</v>
      </c>
      <c r="P697" s="65"/>
      <c r="Q697" s="65" t="str">
        <f>IFERROR(__xludf.DUMMYFUNCTION("""COMPUTED_VALUE"""),"LAARCOURIER")</f>
        <v>LAARCOURIER</v>
      </c>
      <c r="R697" s="65">
        <f>IFERROR(__xludf.DUMMYFUNCTION("""COMPUTED_VALUE"""),22.0)</f>
        <v>22</v>
      </c>
      <c r="S697" s="65"/>
      <c r="T697" s="65">
        <f>IFERROR(__xludf.DUMMYFUNCTION("""COMPUTED_VALUE"""),7.01)</f>
        <v>7.01</v>
      </c>
      <c r="U697" s="65">
        <f>IFERROR(__xludf.DUMMYFUNCTION("""COMPUTED_VALUE"""),0.0)</f>
        <v>0</v>
      </c>
      <c r="V697" s="65">
        <f>IFERROR(__xludf.DUMMYFUNCTION("""COMPUTED_VALUE"""),0.0)</f>
        <v>0</v>
      </c>
      <c r="W697" s="65">
        <f>IFERROR(__xludf.DUMMYFUNCTION("""COMPUTED_VALUE"""),0.0)</f>
        <v>0</v>
      </c>
      <c r="X697" s="65">
        <f>IFERROR(__xludf.DUMMYFUNCTION("""COMPUTED_VALUE"""),3.75)</f>
        <v>3.75</v>
      </c>
      <c r="Y697" s="65">
        <f>IFERROR(__xludf.DUMMYFUNCTION("""COMPUTED_VALUE"""),7.5)</f>
        <v>7.5</v>
      </c>
      <c r="Z697" s="65">
        <f>IFERROR(__xludf.DUMMYFUNCTION("""COMPUTED_VALUE"""),113116.0)</f>
        <v>113116</v>
      </c>
      <c r="AA697" s="65" t="str">
        <f>IFERROR(__xludf.DUMMYFUNCTION("""COMPUTED_VALUE"""),"IM-TAZAKI")</f>
        <v>IM-TAZAKI</v>
      </c>
      <c r="AB697" s="65"/>
      <c r="AC697" s="65" t="str">
        <f>IFERROR(__xludf.DUMMYFUNCTION("""COMPUTED_VALUE"""),"Cuchillo tazaki")</f>
        <v>Cuchillo tazaki</v>
      </c>
      <c r="AD697" s="65"/>
      <c r="AE697" s="65">
        <f>IFERROR(__xludf.DUMMYFUNCTION("""COMPUTED_VALUE"""),2.0)</f>
        <v>2</v>
      </c>
      <c r="AF697" s="65"/>
      <c r="AG697" s="65"/>
      <c r="AH697" s="65"/>
      <c r="AI697" s="65"/>
      <c r="AJ697" s="65"/>
      <c r="AK697" s="65"/>
      <c r="AL697" s="65"/>
      <c r="AM697" s="65"/>
      <c r="AN697" s="65"/>
      <c r="AO697" s="65"/>
      <c r="AP697" s="65"/>
      <c r="AQ697" s="65"/>
      <c r="AR697" s="65"/>
      <c r="AS697" s="65"/>
      <c r="AT697" s="65" t="str">
        <f>IFERROR(__xludf.DUMMYFUNCTION("""COMPUTED_VALUE"""),"SHOPIFY")</f>
        <v>SHOPIFY</v>
      </c>
      <c r="AU697" s="65" t="str">
        <f>IFERROR(__xludf.DUMMYFUNCTION("""COMPUTED_VALUE"""),"IMPORTEX EC")</f>
        <v>IMPORTEX EC</v>
      </c>
      <c r="AV697" s="65" t="str">
        <f>IFERROR(__xludf.DUMMYFUNCTION("""COMPUTED_VALUE"""),"6504198209580")</f>
        <v>6504198209580</v>
      </c>
      <c r="AW697" s="65">
        <f>IFERROR(__xludf.DUMMYFUNCTION("""COMPUTED_VALUE"""),6145.0)</f>
        <v>6145</v>
      </c>
      <c r="AX697" s="65"/>
      <c r="AY697" s="65"/>
      <c r="AZ697" s="65"/>
      <c r="BA697" s="65"/>
    </row>
    <row r="698">
      <c r="A698" s="65" t="str">
        <f>IFERROR(__xludf.DUMMYFUNCTION("""COMPUTED_VALUE"""),"27-03-2026")</f>
        <v>27-03-2026</v>
      </c>
      <c r="B698" s="65">
        <f>IFERROR(__xludf.DUMMYFUNCTION("""COMPUTED_VALUE"""),4523371.0)</f>
        <v>4523371</v>
      </c>
      <c r="C698" s="65" t="str">
        <f>IFERROR(__xludf.DUMMYFUNCTION("""COMPUTED_VALUE"""),"11:47")</f>
        <v>11:47</v>
      </c>
      <c r="D698" s="65" t="str">
        <f>IFERROR(__xludf.DUMMYFUNCTION("""COMPUTED_VALUE"""),"16-02-2026")</f>
        <v>16-02-2026</v>
      </c>
      <c r="E698" s="65" t="str">
        <f>IFERROR(__xludf.DUMMYFUNCTION("""COMPUTED_VALUE"""),"Diego Sacoto Arias")</f>
        <v>Diego Sacoto Arias</v>
      </c>
      <c r="F698" s="65" t="str">
        <f>IFERROR(__xludf.DUMMYFUNCTION("""COMPUTED_VALUE"""),"995888637")</f>
        <v>995888637</v>
      </c>
      <c r="G698" s="65" t="str">
        <f>IFERROR(__xludf.DUMMYFUNCTION("""COMPUTED_VALUE"""),"diegoydorita@gmail.com")</f>
        <v>diegoydorita@gmail.com</v>
      </c>
      <c r="H698" s="65"/>
      <c r="I698" s="65"/>
      <c r="J698" s="65"/>
      <c r="K698" s="65" t="str">
        <f>IFERROR(__xludf.DUMMYFUNCTION("""COMPUTED_VALUE"""),"PENDIENTE CONFIRMACION")</f>
        <v>PENDIENTE CONFIRMACION</v>
      </c>
      <c r="L698" s="65" t="str">
        <f>IFERROR(__xludf.DUMMYFUNCTION("""COMPUTED_VALUE"""),"CON RECAUDO")</f>
        <v>CON RECAUDO</v>
      </c>
      <c r="M698" s="65" t="str">
        <f>IFERROR(__xludf.DUMMYFUNCTION("""COMPUTED_VALUE"""),"PICHINCHA")</f>
        <v>PICHINCHA</v>
      </c>
      <c r="N698" s="65" t="str">
        <f>IFERROR(__xludf.DUMMYFUNCTION("""COMPUTED_VALUE"""),"QUITO")</f>
        <v>QUITO</v>
      </c>
      <c r="O698" s="65" t="str">
        <f>IFERROR(__xludf.DUMMYFUNCTION("""COMPUTED_VALUE"""),"Calle A N58-216 y Pasaje c1. Quito Norte Casa de cerramiento depiedra gris clara -")</f>
        <v>Calle A N58-216 y Pasaje c1. Quito Norte Casa de cerramiento depiedra gris clara -</v>
      </c>
      <c r="P698" s="65"/>
      <c r="Q698" s="65" t="str">
        <f>IFERROR(__xludf.DUMMYFUNCTION("""COMPUTED_VALUE"""),"GINTRACOM")</f>
        <v>GINTRACOM</v>
      </c>
      <c r="R698" s="65">
        <f>IFERROR(__xludf.DUMMYFUNCTION("""COMPUTED_VALUE"""),22.0)</f>
        <v>22</v>
      </c>
      <c r="S698" s="65"/>
      <c r="T698" s="65">
        <f>IFERROR(__xludf.DUMMYFUNCTION("""COMPUTED_VALUE"""),4.23)</f>
        <v>4.23</v>
      </c>
      <c r="U698" s="65">
        <f>IFERROR(__xludf.DUMMYFUNCTION("""COMPUTED_VALUE"""),0.0)</f>
        <v>0</v>
      </c>
      <c r="V698" s="65">
        <f>IFERROR(__xludf.DUMMYFUNCTION("""COMPUTED_VALUE"""),0.0)</f>
        <v>0</v>
      </c>
      <c r="W698" s="65">
        <f>IFERROR(__xludf.DUMMYFUNCTION("""COMPUTED_VALUE"""),0.0)</f>
        <v>0</v>
      </c>
      <c r="X698" s="65">
        <f>IFERROR(__xludf.DUMMYFUNCTION("""COMPUTED_VALUE"""),3.75)</f>
        <v>3.75</v>
      </c>
      <c r="Y698" s="65">
        <f>IFERROR(__xludf.DUMMYFUNCTION("""COMPUTED_VALUE"""),7.5)</f>
        <v>7.5</v>
      </c>
      <c r="Z698" s="65">
        <f>IFERROR(__xludf.DUMMYFUNCTION("""COMPUTED_VALUE"""),113116.0)</f>
        <v>113116</v>
      </c>
      <c r="AA698" s="65" t="str">
        <f>IFERROR(__xludf.DUMMYFUNCTION("""COMPUTED_VALUE"""),"IM-TAZAKI")</f>
        <v>IM-TAZAKI</v>
      </c>
      <c r="AB698" s="65"/>
      <c r="AC698" s="65" t="str">
        <f>IFERROR(__xludf.DUMMYFUNCTION("""COMPUTED_VALUE"""),"Cuchillo tazaki")</f>
        <v>Cuchillo tazaki</v>
      </c>
      <c r="AD698" s="65"/>
      <c r="AE698" s="65">
        <f>IFERROR(__xludf.DUMMYFUNCTION("""COMPUTED_VALUE"""),2.0)</f>
        <v>2</v>
      </c>
      <c r="AF698" s="65"/>
      <c r="AG698" s="65"/>
      <c r="AH698" s="65"/>
      <c r="AI698" s="65"/>
      <c r="AJ698" s="65"/>
      <c r="AK698" s="65"/>
      <c r="AL698" s="65"/>
      <c r="AM698" s="65"/>
      <c r="AN698" s="65"/>
      <c r="AO698" s="65"/>
      <c r="AP698" s="65"/>
      <c r="AQ698" s="65"/>
      <c r="AR698" s="65"/>
      <c r="AS698" s="65"/>
      <c r="AT698" s="65" t="str">
        <f>IFERROR(__xludf.DUMMYFUNCTION("""COMPUTED_VALUE"""),"SHOPIFY")</f>
        <v>SHOPIFY</v>
      </c>
      <c r="AU698" s="65" t="str">
        <f>IFERROR(__xludf.DUMMYFUNCTION("""COMPUTED_VALUE"""),"IMPORTEX EC")</f>
        <v>IMPORTEX EC</v>
      </c>
      <c r="AV698" s="65" t="str">
        <f>IFERROR(__xludf.DUMMYFUNCTION("""COMPUTED_VALUE"""),"6504092794924")</f>
        <v>6504092794924</v>
      </c>
      <c r="AW698" s="65">
        <f>IFERROR(__xludf.DUMMYFUNCTION("""COMPUTED_VALUE"""),6143.0)</f>
        <v>6143</v>
      </c>
      <c r="AX698" s="65"/>
      <c r="AY698" s="65"/>
      <c r="AZ698" s="65"/>
      <c r="BA698" s="65"/>
    </row>
    <row r="699">
      <c r="A699" s="65" t="str">
        <f>IFERROR(__xludf.DUMMYFUNCTION("""COMPUTED_VALUE"""),"27-03-2026")</f>
        <v>27-03-2026</v>
      </c>
      <c r="B699" s="65">
        <f>IFERROR(__xludf.DUMMYFUNCTION("""COMPUTED_VALUE"""),4523359.0)</f>
        <v>4523359</v>
      </c>
      <c r="C699" s="65" t="str">
        <f>IFERROR(__xludf.DUMMYFUNCTION("""COMPUTED_VALUE"""),"11:46")</f>
        <v>11:46</v>
      </c>
      <c r="D699" s="65" t="str">
        <f>IFERROR(__xludf.DUMMYFUNCTION("""COMPUTED_VALUE"""),"16-02-2026")</f>
        <v>16-02-2026</v>
      </c>
      <c r="E699" s="65" t="str">
        <f>IFERROR(__xludf.DUMMYFUNCTION("""COMPUTED_VALUE"""),"Eugenio Moreira")</f>
        <v>Eugenio Moreira</v>
      </c>
      <c r="F699" s="65" t="str">
        <f>IFERROR(__xludf.DUMMYFUNCTION("""COMPUTED_VALUE"""),"983620940")</f>
        <v>983620940</v>
      </c>
      <c r="G699" s="65" t="str">
        <f>IFERROR(__xludf.DUMMYFUNCTION("""COMPUTED_VALUE"""),"yesy74.mont@gmal.com")</f>
        <v>yesy74.mont@gmal.com</v>
      </c>
      <c r="H699" s="65"/>
      <c r="I699" s="65"/>
      <c r="J699" s="65"/>
      <c r="K699" s="65" t="str">
        <f>IFERROR(__xludf.DUMMYFUNCTION("""COMPUTED_VALUE"""),"CANCELADO")</f>
        <v>CANCELADO</v>
      </c>
      <c r="L699" s="65" t="str">
        <f>IFERROR(__xludf.DUMMYFUNCTION("""COMPUTED_VALUE"""),"CON RECAUDO")</f>
        <v>CON RECAUDO</v>
      </c>
      <c r="M699" s="65" t="str">
        <f>IFERROR(__xludf.DUMMYFUNCTION("""COMPUTED_VALUE"""),"MANABI")</f>
        <v>MANABI</v>
      </c>
      <c r="N699" s="65" t="str">
        <f>IFERROR(__xludf.DUMMYFUNCTION("""COMPUTED_VALUE"""),"PORTOVIEJO")</f>
        <v>PORTOVIEJO</v>
      </c>
      <c r="O699" s="65" t="str">
        <f>IFERROR(__xludf.DUMMYFUNCTION("""COMPUTED_VALUE"""),"Calle 12 de marzo y maria auciliadora Hospital verdi ceballos -")</f>
        <v>Calle 12 de marzo y maria auciliadora Hospital verdi ceballos -</v>
      </c>
      <c r="P699" s="65"/>
      <c r="Q699" s="65" t="str">
        <f>IFERROR(__xludf.DUMMYFUNCTION("""COMPUTED_VALUE"""),"GINTRACOM")</f>
        <v>GINTRACOM</v>
      </c>
      <c r="R699" s="65">
        <f>IFERROR(__xludf.DUMMYFUNCTION("""COMPUTED_VALUE"""),22.0)</f>
        <v>22</v>
      </c>
      <c r="S699" s="65"/>
      <c r="T699" s="65">
        <f>IFERROR(__xludf.DUMMYFUNCTION("""COMPUTED_VALUE"""),5.84)</f>
        <v>5.84</v>
      </c>
      <c r="U699" s="65">
        <f>IFERROR(__xludf.DUMMYFUNCTION("""COMPUTED_VALUE"""),0.0)</f>
        <v>0</v>
      </c>
      <c r="V699" s="65">
        <f>IFERROR(__xludf.DUMMYFUNCTION("""COMPUTED_VALUE"""),0.0)</f>
        <v>0</v>
      </c>
      <c r="W699" s="65">
        <f>IFERROR(__xludf.DUMMYFUNCTION("""COMPUTED_VALUE"""),0.0)</f>
        <v>0</v>
      </c>
      <c r="X699" s="65">
        <f>IFERROR(__xludf.DUMMYFUNCTION("""COMPUTED_VALUE"""),3.75)</f>
        <v>3.75</v>
      </c>
      <c r="Y699" s="65">
        <f>IFERROR(__xludf.DUMMYFUNCTION("""COMPUTED_VALUE"""),7.5)</f>
        <v>7.5</v>
      </c>
      <c r="Z699" s="65">
        <f>IFERROR(__xludf.DUMMYFUNCTION("""COMPUTED_VALUE"""),113116.0)</f>
        <v>113116</v>
      </c>
      <c r="AA699" s="65" t="str">
        <f>IFERROR(__xludf.DUMMYFUNCTION("""COMPUTED_VALUE"""),"IM-TAZAKI")</f>
        <v>IM-TAZAKI</v>
      </c>
      <c r="AB699" s="65"/>
      <c r="AC699" s="65" t="str">
        <f>IFERROR(__xludf.DUMMYFUNCTION("""COMPUTED_VALUE"""),"Cuchillo tazaki")</f>
        <v>Cuchillo tazaki</v>
      </c>
      <c r="AD699" s="65"/>
      <c r="AE699" s="65">
        <f>IFERROR(__xludf.DUMMYFUNCTION("""COMPUTED_VALUE"""),2.0)</f>
        <v>2</v>
      </c>
      <c r="AF699" s="65"/>
      <c r="AG699" s="65"/>
      <c r="AH699" s="65"/>
      <c r="AI699" s="65"/>
      <c r="AJ699" s="65"/>
      <c r="AK699" s="65"/>
      <c r="AL699" s="65"/>
      <c r="AM699" s="65"/>
      <c r="AN699" s="65"/>
      <c r="AO699" s="65"/>
      <c r="AP699" s="65"/>
      <c r="AQ699" s="65"/>
      <c r="AR699" s="65"/>
      <c r="AS699" s="65"/>
      <c r="AT699" s="65" t="str">
        <f>IFERROR(__xludf.DUMMYFUNCTION("""COMPUTED_VALUE"""),"SHOPIFY")</f>
        <v>SHOPIFY</v>
      </c>
      <c r="AU699" s="65" t="str">
        <f>IFERROR(__xludf.DUMMYFUNCTION("""COMPUTED_VALUE"""),"IMPORTEX EC")</f>
        <v>IMPORTEX EC</v>
      </c>
      <c r="AV699" s="65" t="str">
        <f>IFERROR(__xludf.DUMMYFUNCTION("""COMPUTED_VALUE"""),"6503538360364")</f>
        <v>6503538360364</v>
      </c>
      <c r="AW699" s="65">
        <f>IFERROR(__xludf.DUMMYFUNCTION("""COMPUTED_VALUE"""),6139.0)</f>
        <v>6139</v>
      </c>
      <c r="AX699" s="65"/>
      <c r="AY699" s="65"/>
      <c r="AZ699" s="65"/>
      <c r="BA699" s="65"/>
    </row>
    <row r="700">
      <c r="A700" s="65" t="str">
        <f>IFERROR(__xludf.DUMMYFUNCTION("""COMPUTED_VALUE"""),"27-03-2026")</f>
        <v>27-03-2026</v>
      </c>
      <c r="B700" s="65">
        <f>IFERROR(__xludf.DUMMYFUNCTION("""COMPUTED_VALUE"""),4523351.0)</f>
        <v>4523351</v>
      </c>
      <c r="C700" s="65" t="str">
        <f>IFERROR(__xludf.DUMMYFUNCTION("""COMPUTED_VALUE"""),"11:46")</f>
        <v>11:46</v>
      </c>
      <c r="D700" s="65" t="str">
        <f>IFERROR(__xludf.DUMMYFUNCTION("""COMPUTED_VALUE"""),"16-02-2026")</f>
        <v>16-02-2026</v>
      </c>
      <c r="E700" s="65" t="str">
        <f>IFERROR(__xludf.DUMMYFUNCTION("""COMPUTED_VALUE"""),"Fabian Polit")</f>
        <v>Fabian Polit</v>
      </c>
      <c r="F700" s="65" t="str">
        <f>IFERROR(__xludf.DUMMYFUNCTION("""COMPUTED_VALUE"""),"996028193")</f>
        <v>996028193</v>
      </c>
      <c r="G700" s="65" t="str">
        <f>IFERROR(__xludf.DUMMYFUNCTION("""COMPUTED_VALUE"""),"fab_polit@hotmail.es")</f>
        <v>fab_polit@hotmail.es</v>
      </c>
      <c r="H700" s="65"/>
      <c r="I700" s="65"/>
      <c r="J700" s="65" t="str">
        <f>IFERROR(__xludf.DUMMYFUNCTION("""COMPUTED_VALUE"""),"D001339563")</f>
        <v>D001339563</v>
      </c>
      <c r="K700" s="65" t="str">
        <f>IFERROR(__xludf.DUMMYFUNCTION("""COMPUTED_VALUE"""),"ENTREGADO")</f>
        <v>ENTREGADO</v>
      </c>
      <c r="L700" s="65" t="str">
        <f>IFERROR(__xludf.DUMMYFUNCTION("""COMPUTED_VALUE"""),"CON RECAUDO")</f>
        <v>CON RECAUDO</v>
      </c>
      <c r="M700" s="65" t="str">
        <f>IFERROR(__xludf.DUMMYFUNCTION("""COMPUTED_VALUE"""),"PICHINCHA")</f>
        <v>PICHINCHA</v>
      </c>
      <c r="N700" s="65" t="str">
        <f>IFERROR(__xludf.DUMMYFUNCTION("""COMPUTED_VALUE"""),"QUITO")</f>
        <v>QUITO</v>
      </c>
      <c r="O700" s="65" t="str">
        <f>IFERROR(__xludf.DUMMYFUNCTION("""COMPUTED_VALUE"""),"Ignacio Bossano E12-88 Edificio Bossano dpto S1 -")</f>
        <v>Ignacio Bossano E12-88 Edificio Bossano dpto S1 -</v>
      </c>
      <c r="P700" s="65"/>
      <c r="Q700" s="65" t="str">
        <f>IFERROR(__xludf.DUMMYFUNCTION("""COMPUTED_VALUE"""),"GINTRACOM")</f>
        <v>GINTRACOM</v>
      </c>
      <c r="R700" s="65">
        <f>IFERROR(__xludf.DUMMYFUNCTION("""COMPUTED_VALUE"""),22.0)</f>
        <v>22</v>
      </c>
      <c r="S700" s="65">
        <f>IFERROR(__xludf.DUMMYFUNCTION("""COMPUTED_VALUE"""),10.27)</f>
        <v>10.27</v>
      </c>
      <c r="T700" s="65">
        <f>IFERROR(__xludf.DUMMYFUNCTION("""COMPUTED_VALUE"""),4.23)</f>
        <v>4.23</v>
      </c>
      <c r="U700" s="65">
        <f>IFERROR(__xludf.DUMMYFUNCTION("""COMPUTED_VALUE"""),0.0)</f>
        <v>0</v>
      </c>
      <c r="V700" s="65">
        <f>IFERROR(__xludf.DUMMYFUNCTION("""COMPUTED_VALUE"""),0.0)</f>
        <v>0</v>
      </c>
      <c r="W700" s="65">
        <f>IFERROR(__xludf.DUMMYFUNCTION("""COMPUTED_VALUE"""),0.0)</f>
        <v>0</v>
      </c>
      <c r="X700" s="65">
        <f>IFERROR(__xludf.DUMMYFUNCTION("""COMPUTED_VALUE"""),3.75)</f>
        <v>3.75</v>
      </c>
      <c r="Y700" s="65">
        <f>IFERROR(__xludf.DUMMYFUNCTION("""COMPUTED_VALUE"""),7.5)</f>
        <v>7.5</v>
      </c>
      <c r="Z700" s="65">
        <f>IFERROR(__xludf.DUMMYFUNCTION("""COMPUTED_VALUE"""),113116.0)</f>
        <v>113116</v>
      </c>
      <c r="AA700" s="65" t="str">
        <f>IFERROR(__xludf.DUMMYFUNCTION("""COMPUTED_VALUE"""),"IM-TAZAKI")</f>
        <v>IM-TAZAKI</v>
      </c>
      <c r="AB700" s="65"/>
      <c r="AC700" s="65" t="str">
        <f>IFERROR(__xludf.DUMMYFUNCTION("""COMPUTED_VALUE"""),"Cuchillo tazaki")</f>
        <v>Cuchillo tazaki</v>
      </c>
      <c r="AD700" s="65"/>
      <c r="AE700" s="65">
        <f>IFERROR(__xludf.DUMMYFUNCTION("""COMPUTED_VALUE"""),2.0)</f>
        <v>2</v>
      </c>
      <c r="AF700" s="65"/>
      <c r="AG700" s="65"/>
      <c r="AH700" s="65"/>
      <c r="AI700" s="65"/>
      <c r="AJ700" s="65"/>
      <c r="AK700" s="65"/>
      <c r="AL700" s="65"/>
      <c r="AM700" s="65"/>
      <c r="AN700" s="65" t="str">
        <f>IFERROR(__xludf.DUMMYFUNCTION("""COMPUTED_VALUE"""),"14:44")</f>
        <v>14:44</v>
      </c>
      <c r="AO700" s="65" t="str">
        <f>IFERROR(__xludf.DUMMYFUNCTION("""COMPUTED_VALUE"""),"23-02-2026")</f>
        <v>23-02-2026</v>
      </c>
      <c r="AP700" s="65" t="str">
        <f>IFERROR(__xludf.DUMMYFUNCTION("""COMPUTED_VALUE"""),"ENTREGADA GINTRACOM")</f>
        <v>ENTREGADA GINTRACOM</v>
      </c>
      <c r="AQ700" s="65" t="str">
        <f>IFERROR(__xludf.DUMMYFUNCTION("""COMPUTED_VALUE"""),"ENTREGADA GINTRACOM")</f>
        <v>ENTREGADA GINTRACOM</v>
      </c>
      <c r="AR700" s="65"/>
      <c r="AS700" s="65"/>
      <c r="AT700" s="65" t="str">
        <f>IFERROR(__xludf.DUMMYFUNCTION("""COMPUTED_VALUE"""),"SHOPIFY")</f>
        <v>SHOPIFY</v>
      </c>
      <c r="AU700" s="65" t="str">
        <f>IFERROR(__xludf.DUMMYFUNCTION("""COMPUTED_VALUE"""),"IMPORTEX EC")</f>
        <v>IMPORTEX EC</v>
      </c>
      <c r="AV700" s="65" t="str">
        <f>IFERROR(__xludf.DUMMYFUNCTION("""COMPUTED_VALUE"""),"6503330676780")</f>
        <v>6503330676780</v>
      </c>
      <c r="AW700" s="65">
        <f>IFERROR(__xludf.DUMMYFUNCTION("""COMPUTED_VALUE"""),6138.0)</f>
        <v>6138</v>
      </c>
      <c r="AX700" s="65"/>
      <c r="AY700" s="65" t="str">
        <f>IFERROR(__xludf.DUMMYFUNCTION("""COMPUTED_VALUE"""),"19/02/2026")</f>
        <v>19/02/2026</v>
      </c>
      <c r="AZ700" s="65"/>
      <c r="BA700" s="65"/>
    </row>
    <row r="701">
      <c r="A701" s="65" t="str">
        <f>IFERROR(__xludf.DUMMYFUNCTION("""COMPUTED_VALUE"""),"27-03-2026")</f>
        <v>27-03-2026</v>
      </c>
      <c r="B701" s="65">
        <f>IFERROR(__xludf.DUMMYFUNCTION("""COMPUTED_VALUE"""),4523344.0)</f>
        <v>4523344</v>
      </c>
      <c r="C701" s="65" t="str">
        <f>IFERROR(__xludf.DUMMYFUNCTION("""COMPUTED_VALUE"""),"11:45")</f>
        <v>11:45</v>
      </c>
      <c r="D701" s="65" t="str">
        <f>IFERROR(__xludf.DUMMYFUNCTION("""COMPUTED_VALUE"""),"16-02-2026")</f>
        <v>16-02-2026</v>
      </c>
      <c r="E701" s="65" t="str">
        <f>IFERROR(__xludf.DUMMYFUNCTION("""COMPUTED_VALUE"""),"Pedro Cornejo")</f>
        <v>Pedro Cornejo</v>
      </c>
      <c r="F701" s="65" t="str">
        <f>IFERROR(__xludf.DUMMYFUNCTION("""COMPUTED_VALUE"""),"999969973")</f>
        <v>999969973</v>
      </c>
      <c r="G701" s="65" t="str">
        <f>IFERROR(__xludf.DUMMYFUNCTION("""COMPUTED_VALUE"""),"pmcl1748@gmail.com")</f>
        <v>pmcl1748@gmail.com</v>
      </c>
      <c r="H701" s="65"/>
      <c r="I701" s="65"/>
      <c r="J701" s="65" t="str">
        <f>IFERROR(__xludf.DUMMYFUNCTION("""COMPUTED_VALUE"""),"V4002260007")</f>
        <v>V4002260007</v>
      </c>
      <c r="K701" s="65" t="str">
        <f>IFERROR(__xludf.DUMMYFUNCTION("""COMPUTED_VALUE"""),"ENTREGADO")</f>
        <v>ENTREGADO</v>
      </c>
      <c r="L701" s="65" t="str">
        <f>IFERROR(__xludf.DUMMYFUNCTION("""COMPUTED_VALUE"""),"CON RECAUDO")</f>
        <v>CON RECAUDO</v>
      </c>
      <c r="M701" s="65" t="str">
        <f>IFERROR(__xludf.DUMMYFUNCTION("""COMPUTED_VALUE"""),"PICHINCHA")</f>
        <v>PICHINCHA</v>
      </c>
      <c r="N701" s="65" t="str">
        <f>IFERROR(__xludf.DUMMYFUNCTION("""COMPUTED_VALUE"""),"CHECA")</f>
        <v>CHECA</v>
      </c>
      <c r="O701" s="65" t="str">
        <f>IFERROR(__xludf.DUMMYFUNCTION("""COMPUTED_VALUE"""),"Camino Real, Urbanizacion Pakakuna gardens , Dept 120 Parte baja de Checa")</f>
        <v>Camino Real, Urbanizacion Pakakuna gardens , Dept 120 Parte baja de Checa</v>
      </c>
      <c r="P701" s="65"/>
      <c r="Q701" s="65" t="str">
        <f>IFERROR(__xludf.DUMMYFUNCTION("""COMPUTED_VALUE"""),"VELOCES")</f>
        <v>VELOCES</v>
      </c>
      <c r="R701" s="65">
        <f>IFERROR(__xludf.DUMMYFUNCTION("""COMPUTED_VALUE"""),32.0)</f>
        <v>32</v>
      </c>
      <c r="S701" s="65">
        <f>IFERROR(__xludf.DUMMYFUNCTION("""COMPUTED_VALUE"""),12.12)</f>
        <v>12.12</v>
      </c>
      <c r="T701" s="65">
        <f>IFERROR(__xludf.DUMMYFUNCTION("""COMPUTED_VALUE"""),4.88)</f>
        <v>4.88</v>
      </c>
      <c r="U701" s="65">
        <f>IFERROR(__xludf.DUMMYFUNCTION("""COMPUTED_VALUE"""),0.0)</f>
        <v>0</v>
      </c>
      <c r="V701" s="65">
        <f>IFERROR(__xludf.DUMMYFUNCTION("""COMPUTED_VALUE"""),0.0)</f>
        <v>0</v>
      </c>
      <c r="W701" s="65">
        <f>IFERROR(__xludf.DUMMYFUNCTION("""COMPUTED_VALUE"""),0.0)</f>
        <v>0</v>
      </c>
      <c r="X701" s="65">
        <f>IFERROR(__xludf.DUMMYFUNCTION("""COMPUTED_VALUE"""),3.75)</f>
        <v>3.75</v>
      </c>
      <c r="Y701" s="65">
        <f>IFERROR(__xludf.DUMMYFUNCTION("""COMPUTED_VALUE"""),15.0)</f>
        <v>15</v>
      </c>
      <c r="Z701" s="65">
        <f>IFERROR(__xludf.DUMMYFUNCTION("""COMPUTED_VALUE"""),113116.0)</f>
        <v>113116</v>
      </c>
      <c r="AA701" s="65" t="str">
        <f>IFERROR(__xludf.DUMMYFUNCTION("""COMPUTED_VALUE"""),"IM-TAZAKI")</f>
        <v>IM-TAZAKI</v>
      </c>
      <c r="AB701" s="65"/>
      <c r="AC701" s="65" t="str">
        <f>IFERROR(__xludf.DUMMYFUNCTION("""COMPUTED_VALUE"""),"Cuchillo tazaki")</f>
        <v>Cuchillo tazaki</v>
      </c>
      <c r="AD701" s="65"/>
      <c r="AE701" s="65">
        <f>IFERROR(__xludf.DUMMYFUNCTION("""COMPUTED_VALUE"""),4.0)</f>
        <v>4</v>
      </c>
      <c r="AF701" s="65"/>
      <c r="AG701" s="65"/>
      <c r="AH701" s="65"/>
      <c r="AI701" s="65"/>
      <c r="AJ701" s="65"/>
      <c r="AK701" s="65"/>
      <c r="AL701" s="65"/>
      <c r="AM701" s="65"/>
      <c r="AN701" s="65"/>
      <c r="AO701" s="65"/>
      <c r="AP701" s="65"/>
      <c r="AQ701" s="65"/>
      <c r="AR701" s="65"/>
      <c r="AS701" s="65"/>
      <c r="AT701" s="65" t="str">
        <f>IFERROR(__xludf.DUMMYFUNCTION("""COMPUTED_VALUE"""),"SHOPIFY")</f>
        <v>SHOPIFY</v>
      </c>
      <c r="AU701" s="65" t="str">
        <f>IFERROR(__xludf.DUMMYFUNCTION("""COMPUTED_VALUE"""),"IMPORTEX EC")</f>
        <v>IMPORTEX EC</v>
      </c>
      <c r="AV701" s="65" t="str">
        <f>IFERROR(__xludf.DUMMYFUNCTION("""COMPUTED_VALUE"""),"6503089733676")</f>
        <v>6503089733676</v>
      </c>
      <c r="AW701" s="65">
        <f>IFERROR(__xludf.DUMMYFUNCTION("""COMPUTED_VALUE"""),6137.0)</f>
        <v>6137</v>
      </c>
      <c r="AX701" s="65"/>
      <c r="AY701" s="65" t="str">
        <f>IFERROR(__xludf.DUMMYFUNCTION("""COMPUTED_VALUE"""),"19/02/2026")</f>
        <v>19/02/2026</v>
      </c>
      <c r="AZ701" s="65"/>
      <c r="BA701" s="65"/>
    </row>
    <row r="702">
      <c r="A702" s="65" t="str">
        <f>IFERROR(__xludf.DUMMYFUNCTION("""COMPUTED_VALUE"""),"27-03-2026")</f>
        <v>27-03-2026</v>
      </c>
      <c r="B702" s="65">
        <f>IFERROR(__xludf.DUMMYFUNCTION("""COMPUTED_VALUE"""),4523329.0)</f>
        <v>4523329</v>
      </c>
      <c r="C702" s="65" t="str">
        <f>IFERROR(__xludf.DUMMYFUNCTION("""COMPUTED_VALUE"""),"11:44")</f>
        <v>11:44</v>
      </c>
      <c r="D702" s="65" t="str">
        <f>IFERROR(__xludf.DUMMYFUNCTION("""COMPUTED_VALUE"""),"16-02-2026")</f>
        <v>16-02-2026</v>
      </c>
      <c r="E702" s="65" t="str">
        <f>IFERROR(__xludf.DUMMYFUNCTION("""COMPUTED_VALUE"""),"Douglas Henry Quiroz Metiga")</f>
        <v>Douglas Henry Quiroz Metiga</v>
      </c>
      <c r="F702" s="65" t="str">
        <f>IFERROR(__xludf.DUMMYFUNCTION("""COMPUTED_VALUE"""),"995951567")</f>
        <v>995951567</v>
      </c>
      <c r="G702" s="65" t="str">
        <f>IFERROR(__xludf.DUMMYFUNCTION("""COMPUTED_VALUE"""),"douglasadonis100@gmail.com")</f>
        <v>douglasadonis100@gmail.com</v>
      </c>
      <c r="H702" s="65"/>
      <c r="I702" s="65"/>
      <c r="J702" s="65" t="str">
        <f>IFERROR(__xludf.DUMMYFUNCTION("""COMPUTED_VALUE"""),"D001343627")</f>
        <v>D001343627</v>
      </c>
      <c r="K702" s="65" t="str">
        <f>IFERROR(__xludf.DUMMYFUNCTION("""COMPUTED_VALUE"""),"ENTREGADO")</f>
        <v>ENTREGADO</v>
      </c>
      <c r="L702" s="65" t="str">
        <f>IFERROR(__xludf.DUMMYFUNCTION("""COMPUTED_VALUE"""),"CON RECAUDO")</f>
        <v>CON RECAUDO</v>
      </c>
      <c r="M702" s="65" t="str">
        <f>IFERROR(__xludf.DUMMYFUNCTION("""COMPUTED_VALUE"""),"SANTO DOMINGO DE LOS TSACHILAS")</f>
        <v>SANTO DOMINGO DE LOS TSACHILAS</v>
      </c>
      <c r="N702" s="65" t="str">
        <f>IFERROR(__xludf.DUMMYFUNCTION("""COMPUTED_VALUE"""),"SANTO DOMINGO")</f>
        <v>SANTO DOMINGO</v>
      </c>
      <c r="O702" s="65" t="str">
        <f>IFERROR(__xludf.DUMMYFUNCTION("""COMPUTED_VALUE"""),"Tsachila y potroviejo Centro diagonal a coop jep -")</f>
        <v>Tsachila y potroviejo Centro diagonal a coop jep -</v>
      </c>
      <c r="P702" s="65"/>
      <c r="Q702" s="65" t="str">
        <f>IFERROR(__xludf.DUMMYFUNCTION("""COMPUTED_VALUE"""),"GINTRACOM")</f>
        <v>GINTRACOM</v>
      </c>
      <c r="R702" s="65">
        <f>IFERROR(__xludf.DUMMYFUNCTION("""COMPUTED_VALUE"""),25.0)</f>
        <v>25</v>
      </c>
      <c r="S702" s="65">
        <f>IFERROR(__xludf.DUMMYFUNCTION("""COMPUTED_VALUE"""),14.24)</f>
        <v>14.24</v>
      </c>
      <c r="T702" s="65">
        <f>IFERROR(__xludf.DUMMYFUNCTION("""COMPUTED_VALUE"""),5.96)</f>
        <v>5.96</v>
      </c>
      <c r="U702" s="65">
        <f>IFERROR(__xludf.DUMMYFUNCTION("""COMPUTED_VALUE"""),0.0)</f>
        <v>0</v>
      </c>
      <c r="V702" s="65">
        <f>IFERROR(__xludf.DUMMYFUNCTION("""COMPUTED_VALUE"""),0.0)</f>
        <v>0</v>
      </c>
      <c r="W702" s="65">
        <f>IFERROR(__xludf.DUMMYFUNCTION("""COMPUTED_VALUE"""),0.0)</f>
        <v>0</v>
      </c>
      <c r="X702" s="65">
        <f>IFERROR(__xludf.DUMMYFUNCTION("""COMPUTED_VALUE"""),2.4)</f>
        <v>2.4</v>
      </c>
      <c r="Y702" s="65">
        <f>IFERROR(__xludf.DUMMYFUNCTION("""COMPUTED_VALUE"""),4.8)</f>
        <v>4.8</v>
      </c>
      <c r="Z702" s="65">
        <f>IFERROR(__xludf.DUMMYFUNCTION("""COMPUTED_VALUE"""),120732.0)</f>
        <v>120732</v>
      </c>
      <c r="AA702" s="65" t="str">
        <f>IFERROR(__xludf.DUMMYFUNCTION("""COMPUTED_VALUE"""),"PROV-LMPVT")</f>
        <v>PROV-LMPVT</v>
      </c>
      <c r="AB702" s="65"/>
      <c r="AC702" s="65" t="str">
        <f>IFERROR(__xludf.DUMMYFUNCTION("""COMPUTED_VALUE"""),"LIMPIADOR DE PARABRISAS Y VENTANAS")</f>
        <v>LIMPIADOR DE PARABRISAS Y VENTANAS</v>
      </c>
      <c r="AD702" s="65"/>
      <c r="AE702" s="65">
        <f>IFERROR(__xludf.DUMMYFUNCTION("""COMPUTED_VALUE"""),2.0)</f>
        <v>2</v>
      </c>
      <c r="AF702" s="65"/>
      <c r="AG702" s="65"/>
      <c r="AH702" s="65"/>
      <c r="AI702" s="65"/>
      <c r="AJ702" s="65"/>
      <c r="AK702" s="65"/>
      <c r="AL702" s="65"/>
      <c r="AM702" s="65"/>
      <c r="AN702" s="65" t="str">
        <f>IFERROR(__xludf.DUMMYFUNCTION("""COMPUTED_VALUE"""),"11:15")</f>
        <v>11:15</v>
      </c>
      <c r="AO702" s="65" t="str">
        <f>IFERROR(__xludf.DUMMYFUNCTION("""COMPUTED_VALUE"""),"23-02-2026")</f>
        <v>23-02-2026</v>
      </c>
      <c r="AP702" s="65" t="str">
        <f>IFERROR(__xludf.DUMMYFUNCTION("""COMPUTED_VALUE"""),"ENTREGADA GINTRACOM")</f>
        <v>ENTREGADA GINTRACOM</v>
      </c>
      <c r="AQ702" s="65" t="str">
        <f>IFERROR(__xludf.DUMMYFUNCTION("""COMPUTED_VALUE"""),"ENTREGADA GINTRACOM")</f>
        <v>ENTREGADA GINTRACOM</v>
      </c>
      <c r="AR702" s="65"/>
      <c r="AS702" s="65"/>
      <c r="AT702" s="65" t="str">
        <f>IFERROR(__xludf.DUMMYFUNCTION("""COMPUTED_VALUE"""),"SHOPIFY")</f>
        <v>SHOPIFY</v>
      </c>
      <c r="AU702" s="65" t="str">
        <f>IFERROR(__xludf.DUMMYFUNCTION("""COMPUTED_VALUE"""),"IMPORTEX EC")</f>
        <v>IMPORTEX EC</v>
      </c>
      <c r="AV702" s="65" t="str">
        <f>IFERROR(__xludf.DUMMYFUNCTION("""COMPUTED_VALUE"""),"6502764281900")</f>
        <v>6502764281900</v>
      </c>
      <c r="AW702" s="65">
        <f>IFERROR(__xludf.DUMMYFUNCTION("""COMPUTED_VALUE"""),6124.0)</f>
        <v>6124</v>
      </c>
      <c r="AX702" s="65"/>
      <c r="AY702" s="65" t="str">
        <f>IFERROR(__xludf.DUMMYFUNCTION("""COMPUTED_VALUE"""),"20/02/2026")</f>
        <v>20/02/2026</v>
      </c>
      <c r="AZ702" s="65"/>
      <c r="BA702" s="65"/>
    </row>
    <row r="703">
      <c r="A703" s="65" t="str">
        <f>IFERROR(__xludf.DUMMYFUNCTION("""COMPUTED_VALUE"""),"27-03-2026")</f>
        <v>27-03-2026</v>
      </c>
      <c r="B703" s="65">
        <f>IFERROR(__xludf.DUMMYFUNCTION("""COMPUTED_VALUE"""),4523303.0)</f>
        <v>4523303</v>
      </c>
      <c r="C703" s="65" t="str">
        <f>IFERROR(__xludf.DUMMYFUNCTION("""COMPUTED_VALUE"""),"11:41")</f>
        <v>11:41</v>
      </c>
      <c r="D703" s="65" t="str">
        <f>IFERROR(__xludf.DUMMYFUNCTION("""COMPUTED_VALUE"""),"16-02-2026")</f>
        <v>16-02-2026</v>
      </c>
      <c r="E703" s="65" t="str">
        <f>IFERROR(__xludf.DUMMYFUNCTION("""COMPUTED_VALUE"""),"Valeria Valladares")</f>
        <v>Valeria Valladares</v>
      </c>
      <c r="F703" s="65" t="str">
        <f>IFERROR(__xludf.DUMMYFUNCTION("""COMPUTED_VALUE"""),"988607722")</f>
        <v>988607722</v>
      </c>
      <c r="G703" s="65" t="str">
        <f>IFERROR(__xludf.DUMMYFUNCTION("""COMPUTED_VALUE"""),"nicole_v1991@hotmail.com")</f>
        <v>nicole_v1991@hotmail.com</v>
      </c>
      <c r="H703" s="65"/>
      <c r="I703" s="65"/>
      <c r="J703" s="65" t="str">
        <f>IFERROR(__xludf.DUMMYFUNCTION("""COMPUTED_VALUE"""),"WYB167816983")</f>
        <v>WYB167816983</v>
      </c>
      <c r="K703" s="65" t="str">
        <f>IFERROR(__xludf.DUMMYFUNCTION("""COMPUTED_VALUE"""),"ENTREGADO")</f>
        <v>ENTREGADO</v>
      </c>
      <c r="L703" s="65" t="str">
        <f>IFERROR(__xludf.DUMMYFUNCTION("""COMPUTED_VALUE"""),"CON RECAUDO")</f>
        <v>CON RECAUDO</v>
      </c>
      <c r="M703" s="65" t="str">
        <f>IFERROR(__xludf.DUMMYFUNCTION("""COMPUTED_VALUE"""),"PICHINCHA")</f>
        <v>PICHINCHA</v>
      </c>
      <c r="N703" s="65" t="str">
        <f>IFERROR(__xludf.DUMMYFUNCTION("""COMPUTED_VALUE"""),"PEDRO VICENTE M")</f>
        <v>PEDRO VICENTE M</v>
      </c>
      <c r="O703" s="65" t="str">
        <f>IFERROR(__xludf.DUMMYFUNCTION("""COMPUTED_VALUE"""),"Av. 29 de junio y Via Calacali La Independencia, Barrio Nuevo Porvenir Gasolinera el Cisne -")</f>
        <v>Av. 29 de junio y Via Calacali La Independencia, Barrio Nuevo Porvenir Gasolinera el Cisne -</v>
      </c>
      <c r="P703" s="65"/>
      <c r="Q703" s="65" t="str">
        <f>IFERROR(__xludf.DUMMYFUNCTION("""COMPUTED_VALUE"""),"URBANO")</f>
        <v>URBANO</v>
      </c>
      <c r="R703" s="65">
        <f>IFERROR(__xludf.DUMMYFUNCTION("""COMPUTED_VALUE"""),25.0)</f>
        <v>25</v>
      </c>
      <c r="S703" s="65">
        <f>IFERROR(__xludf.DUMMYFUNCTION("""COMPUTED_VALUE"""),14.59)</f>
        <v>14.59</v>
      </c>
      <c r="T703" s="65">
        <f>IFERROR(__xludf.DUMMYFUNCTION("""COMPUTED_VALUE"""),5.61)</f>
        <v>5.61</v>
      </c>
      <c r="U703" s="65">
        <f>IFERROR(__xludf.DUMMYFUNCTION("""COMPUTED_VALUE"""),0.0)</f>
        <v>0</v>
      </c>
      <c r="V703" s="65">
        <f>IFERROR(__xludf.DUMMYFUNCTION("""COMPUTED_VALUE"""),0.0)</f>
        <v>0</v>
      </c>
      <c r="W703" s="65">
        <f>IFERROR(__xludf.DUMMYFUNCTION("""COMPUTED_VALUE"""),0.0)</f>
        <v>0</v>
      </c>
      <c r="X703" s="65">
        <f>IFERROR(__xludf.DUMMYFUNCTION("""COMPUTED_VALUE"""),2.4)</f>
        <v>2.4</v>
      </c>
      <c r="Y703" s="65">
        <f>IFERROR(__xludf.DUMMYFUNCTION("""COMPUTED_VALUE"""),4.8)</f>
        <v>4.8</v>
      </c>
      <c r="Z703" s="65">
        <f>IFERROR(__xludf.DUMMYFUNCTION("""COMPUTED_VALUE"""),120732.0)</f>
        <v>120732</v>
      </c>
      <c r="AA703" s="65" t="str">
        <f>IFERROR(__xludf.DUMMYFUNCTION("""COMPUTED_VALUE"""),"PROV-LMPVT")</f>
        <v>PROV-LMPVT</v>
      </c>
      <c r="AB703" s="65"/>
      <c r="AC703" s="65" t="str">
        <f>IFERROR(__xludf.DUMMYFUNCTION("""COMPUTED_VALUE"""),"LIMPIADOR DE PARABRISAS Y VENTANAS")</f>
        <v>LIMPIADOR DE PARABRISAS Y VENTANAS</v>
      </c>
      <c r="AD703" s="65"/>
      <c r="AE703" s="65">
        <f>IFERROR(__xludf.DUMMYFUNCTION("""COMPUTED_VALUE"""),2.0)</f>
        <v>2</v>
      </c>
      <c r="AF703" s="65"/>
      <c r="AG703" s="65"/>
      <c r="AH703" s="65"/>
      <c r="AI703" s="65"/>
      <c r="AJ703" s="65"/>
      <c r="AK703" s="65"/>
      <c r="AL703" s="65"/>
      <c r="AM703" s="65"/>
      <c r="AN703" s="65"/>
      <c r="AO703" s="65"/>
      <c r="AP703" s="65"/>
      <c r="AQ703" s="65"/>
      <c r="AR703" s="65"/>
      <c r="AS703" s="65"/>
      <c r="AT703" s="65" t="str">
        <f>IFERROR(__xludf.DUMMYFUNCTION("""COMPUTED_VALUE"""),"SHOPIFY")</f>
        <v>SHOPIFY</v>
      </c>
      <c r="AU703" s="65" t="str">
        <f>IFERROR(__xludf.DUMMYFUNCTION("""COMPUTED_VALUE"""),"IMPORTEX EC")</f>
        <v>IMPORTEX EC</v>
      </c>
      <c r="AV703" s="65" t="str">
        <f>IFERROR(__xludf.DUMMYFUNCTION("""COMPUTED_VALUE"""),"6502225575980")</f>
        <v>6502225575980</v>
      </c>
      <c r="AW703" s="65">
        <f>IFERROR(__xludf.DUMMYFUNCTION("""COMPUTED_VALUE"""),6113.0)</f>
        <v>6113</v>
      </c>
      <c r="AX703" s="65"/>
      <c r="AY703" s="65" t="str">
        <f>IFERROR(__xludf.DUMMYFUNCTION("""COMPUTED_VALUE"""),"19/02/2026")</f>
        <v>19/02/2026</v>
      </c>
      <c r="AZ703" s="65"/>
      <c r="BA703" s="65"/>
    </row>
    <row r="704">
      <c r="A704" s="65" t="str">
        <f>IFERROR(__xludf.DUMMYFUNCTION("""COMPUTED_VALUE"""),"27-03-2026")</f>
        <v>27-03-2026</v>
      </c>
      <c r="B704" s="65">
        <f>IFERROR(__xludf.DUMMYFUNCTION("""COMPUTED_VALUE"""),4523245.0)</f>
        <v>4523245</v>
      </c>
      <c r="C704" s="65" t="str">
        <f>IFERROR(__xludf.DUMMYFUNCTION("""COMPUTED_VALUE"""),"11:35")</f>
        <v>11:35</v>
      </c>
      <c r="D704" s="65" t="str">
        <f>IFERROR(__xludf.DUMMYFUNCTION("""COMPUTED_VALUE"""),"16-02-2026")</f>
        <v>16-02-2026</v>
      </c>
      <c r="E704" s="65" t="str">
        <f>IFERROR(__xludf.DUMMYFUNCTION("""COMPUTED_VALUE"""),"Daniela Aguilar Aguilar Silva")</f>
        <v>Daniela Aguilar Aguilar Silva</v>
      </c>
      <c r="F704" s="65" t="str">
        <f>IFERROR(__xludf.DUMMYFUNCTION("""COMPUTED_VALUE"""),"981523023")</f>
        <v>981523023</v>
      </c>
      <c r="G704" s="65" t="str">
        <f>IFERROR(__xludf.DUMMYFUNCTION("""COMPUTED_VALUE"""),"jenni_aguilar97@hotmail.com")</f>
        <v>jenni_aguilar97@hotmail.com</v>
      </c>
      <c r="H704" s="65"/>
      <c r="I704" s="65"/>
      <c r="J704" s="65" t="str">
        <f>IFERROR(__xludf.DUMMYFUNCTION("""COMPUTED_VALUE"""),"LC52905128")</f>
        <v>LC52905128</v>
      </c>
      <c r="K704" s="65" t="str">
        <f>IFERROR(__xludf.DUMMYFUNCTION("""COMPUTED_VALUE"""),"DEVOLUCION")</f>
        <v>DEVOLUCION</v>
      </c>
      <c r="L704" s="65" t="str">
        <f>IFERROR(__xludf.DUMMYFUNCTION("""COMPUTED_VALUE"""),"CON RECAUDO")</f>
        <v>CON RECAUDO</v>
      </c>
      <c r="M704" s="65" t="str">
        <f>IFERROR(__xludf.DUMMYFUNCTION("""COMPUTED_VALUE"""),"MANABI")</f>
        <v>MANABI</v>
      </c>
      <c r="N704" s="65" t="str">
        <f>IFERROR(__xludf.DUMMYFUNCTION("""COMPUTED_VALUE"""),"24 DE MAYO")</f>
        <v>24 DE MAYO</v>
      </c>
      <c r="O704" s="65" t="str">
        <f>IFERROR(__xludf.DUMMYFUNCTION("""COMPUTED_VALUE"""),"Barrio Ramon Vicente Por la gasolinera Primax - Referencia a una cuadra de la gasolinera primax o el cementerio general")</f>
        <v>Barrio Ramon Vicente Por la gasolinera Primax - Referencia a una cuadra de la gasolinera primax o el cementerio general</v>
      </c>
      <c r="P704" s="65"/>
      <c r="Q704" s="65" t="str">
        <f>IFERROR(__xludf.DUMMYFUNCTION("""COMPUTED_VALUE"""),"LAARCOURIER")</f>
        <v>LAARCOURIER</v>
      </c>
      <c r="R704" s="65">
        <f>IFERROR(__xludf.DUMMYFUNCTION("""COMPUTED_VALUE"""),25.0)</f>
        <v>25</v>
      </c>
      <c r="S704" s="65"/>
      <c r="T704" s="65">
        <f>IFERROR(__xludf.DUMMYFUNCTION("""COMPUTED_VALUE"""),7.19)</f>
        <v>7.19</v>
      </c>
      <c r="U704" s="65">
        <f>IFERROR(__xludf.DUMMYFUNCTION("""COMPUTED_VALUE"""),0.0)</f>
        <v>0</v>
      </c>
      <c r="V704" s="65">
        <f>IFERROR(__xludf.DUMMYFUNCTION("""COMPUTED_VALUE"""),0.0)</f>
        <v>0</v>
      </c>
      <c r="W704" s="65">
        <f>IFERROR(__xludf.DUMMYFUNCTION("""COMPUTED_VALUE"""),0.0)</f>
        <v>0</v>
      </c>
      <c r="X704" s="65">
        <f>IFERROR(__xludf.DUMMYFUNCTION("""COMPUTED_VALUE"""),2.4)</f>
        <v>2.4</v>
      </c>
      <c r="Y704" s="65">
        <f>IFERROR(__xludf.DUMMYFUNCTION("""COMPUTED_VALUE"""),4.8)</f>
        <v>4.8</v>
      </c>
      <c r="Z704" s="65">
        <f>IFERROR(__xludf.DUMMYFUNCTION("""COMPUTED_VALUE"""),120732.0)</f>
        <v>120732</v>
      </c>
      <c r="AA704" s="65" t="str">
        <f>IFERROR(__xludf.DUMMYFUNCTION("""COMPUTED_VALUE"""),"PROV-LMPVT")</f>
        <v>PROV-LMPVT</v>
      </c>
      <c r="AB704" s="65"/>
      <c r="AC704" s="65" t="str">
        <f>IFERROR(__xludf.DUMMYFUNCTION("""COMPUTED_VALUE"""),"LIMPIADOR DE PARABRISAS Y VENTANAS")</f>
        <v>LIMPIADOR DE PARABRISAS Y VENTANAS</v>
      </c>
      <c r="AD704" s="65"/>
      <c r="AE704" s="65">
        <f>IFERROR(__xludf.DUMMYFUNCTION("""COMPUTED_VALUE"""),2.0)</f>
        <v>2</v>
      </c>
      <c r="AF704" s="65"/>
      <c r="AG704" s="65"/>
      <c r="AH704" s="65"/>
      <c r="AI704" s="65"/>
      <c r="AJ704" s="65"/>
      <c r="AK704" s="65"/>
      <c r="AL704" s="65"/>
      <c r="AM704" s="65"/>
      <c r="AN704" s="65" t="str">
        <f>IFERROR(__xludf.DUMMYFUNCTION("""COMPUTED_VALUE"""),"14:27")</f>
        <v>14:27</v>
      </c>
      <c r="AO704" s="65" t="str">
        <f>IFERROR(__xludf.DUMMYFUNCTION("""COMPUTED_VALUE"""),"04-03-2026")</f>
        <v>04-03-2026</v>
      </c>
      <c r="AP704" s="65" t="str">
        <f>IFERROR(__xludf.DUMMYFUNCTION("""COMPUTED_VALUE"""),"DEVOLUCIÓN / ENTREGA")</f>
        <v>DEVOLUCIÓN / ENTREGA</v>
      </c>
      <c r="AQ704" s="65" t="str">
        <f>IFERROR(__xludf.DUMMYFUNCTION("""COMPUTED_VALUE"""),"DEVOLUCIÓN / ENTREGA")</f>
        <v>DEVOLUCIÓN / ENTREGA</v>
      </c>
      <c r="AR704" s="65"/>
      <c r="AS704" s="65"/>
      <c r="AT704" s="65" t="str">
        <f>IFERROR(__xludf.DUMMYFUNCTION("""COMPUTED_VALUE"""),"SHOPIFY")</f>
        <v>SHOPIFY</v>
      </c>
      <c r="AU704" s="65" t="str">
        <f>IFERROR(__xludf.DUMMYFUNCTION("""COMPUTED_VALUE"""),"IMPORTEX EC")</f>
        <v>IMPORTEX EC</v>
      </c>
      <c r="AV704" s="65" t="str">
        <f>IFERROR(__xludf.DUMMYFUNCTION("""COMPUTED_VALUE"""),"6500650221612")</f>
        <v>6500650221612</v>
      </c>
      <c r="AW704" s="65">
        <f>IFERROR(__xludf.DUMMYFUNCTION("""COMPUTED_VALUE"""),6090.0)</f>
        <v>6090</v>
      </c>
      <c r="AX704" s="65"/>
      <c r="AY704" s="65" t="str">
        <f>IFERROR(__xludf.DUMMYFUNCTION("""COMPUTED_VALUE"""),"19/02/2026")</f>
        <v>19/02/2026</v>
      </c>
      <c r="AZ704" s="65"/>
      <c r="BA704" s="65"/>
    </row>
    <row r="705">
      <c r="A705" s="65" t="str">
        <f>IFERROR(__xludf.DUMMYFUNCTION("""COMPUTED_VALUE"""),"27-03-2026")</f>
        <v>27-03-2026</v>
      </c>
      <c r="B705" s="65">
        <f>IFERROR(__xludf.DUMMYFUNCTION("""COMPUTED_VALUE"""),4523232.0)</f>
        <v>4523232</v>
      </c>
      <c r="C705" s="65" t="str">
        <f>IFERROR(__xludf.DUMMYFUNCTION("""COMPUTED_VALUE"""),"11:34")</f>
        <v>11:34</v>
      </c>
      <c r="D705" s="65" t="str">
        <f>IFERROR(__xludf.DUMMYFUNCTION("""COMPUTED_VALUE"""),"16-02-2026")</f>
        <v>16-02-2026</v>
      </c>
      <c r="E705" s="65" t="str">
        <f>IFERROR(__xludf.DUMMYFUNCTION("""COMPUTED_VALUE"""),"Juan dalgo")</f>
        <v>Juan dalgo</v>
      </c>
      <c r="F705" s="65" t="str">
        <f>IFERROR(__xludf.DUMMYFUNCTION("""COMPUTED_VALUE"""),"981401730")</f>
        <v>981401730</v>
      </c>
      <c r="G705" s="65" t="str">
        <f>IFERROR(__xludf.DUMMYFUNCTION("""COMPUTED_VALUE"""),"juandalgobastidas@hotmail.com")</f>
        <v>juandalgobastidas@hotmail.com</v>
      </c>
      <c r="H705" s="65"/>
      <c r="I705" s="65"/>
      <c r="J705" s="65"/>
      <c r="K705" s="65" t="str">
        <f>IFERROR(__xludf.DUMMYFUNCTION("""COMPUTED_VALUE"""),"PENDIENTE CONFIRMACION")</f>
        <v>PENDIENTE CONFIRMACION</v>
      </c>
      <c r="L705" s="65" t="str">
        <f>IFERROR(__xludf.DUMMYFUNCTION("""COMPUTED_VALUE"""),"CON RECAUDO")</f>
        <v>CON RECAUDO</v>
      </c>
      <c r="M705" s="65" t="str">
        <f>IFERROR(__xludf.DUMMYFUNCTION("""COMPUTED_VALUE"""),"PICHINCHA")</f>
        <v>PICHINCHA</v>
      </c>
      <c r="N705" s="65" t="str">
        <f>IFERROR(__xludf.DUMMYFUNCTION("""COMPUTED_VALUE"""),"QUITO")</f>
        <v>QUITO</v>
      </c>
      <c r="O705" s="65" t="str">
        <f>IFERROR(__xludf.DUMMYFUNCTION("""COMPUTED_VALUE"""),"Cuerpo de bomberosS/n Via principal -")</f>
        <v>Cuerpo de bomberosS/n Via principal -</v>
      </c>
      <c r="P705" s="65"/>
      <c r="Q705" s="65" t="str">
        <f>IFERROR(__xludf.DUMMYFUNCTION("""COMPUTED_VALUE"""),"GINTRACOM")</f>
        <v>GINTRACOM</v>
      </c>
      <c r="R705" s="65">
        <f>IFERROR(__xludf.DUMMYFUNCTION("""COMPUTED_VALUE"""),22.0)</f>
        <v>22</v>
      </c>
      <c r="S705" s="65"/>
      <c r="T705" s="65">
        <f>IFERROR(__xludf.DUMMYFUNCTION("""COMPUTED_VALUE"""),4.23)</f>
        <v>4.23</v>
      </c>
      <c r="U705" s="65">
        <f>IFERROR(__xludf.DUMMYFUNCTION("""COMPUTED_VALUE"""),0.0)</f>
        <v>0</v>
      </c>
      <c r="V705" s="65">
        <f>IFERROR(__xludf.DUMMYFUNCTION("""COMPUTED_VALUE"""),0.0)</f>
        <v>0</v>
      </c>
      <c r="W705" s="65">
        <f>IFERROR(__xludf.DUMMYFUNCTION("""COMPUTED_VALUE"""),0.0)</f>
        <v>0</v>
      </c>
      <c r="X705" s="65">
        <f>IFERROR(__xludf.DUMMYFUNCTION("""COMPUTED_VALUE"""),3.75)</f>
        <v>3.75</v>
      </c>
      <c r="Y705" s="65">
        <f>IFERROR(__xludf.DUMMYFUNCTION("""COMPUTED_VALUE"""),7.5)</f>
        <v>7.5</v>
      </c>
      <c r="Z705" s="65">
        <f>IFERROR(__xludf.DUMMYFUNCTION("""COMPUTED_VALUE"""),113116.0)</f>
        <v>113116</v>
      </c>
      <c r="AA705" s="65" t="str">
        <f>IFERROR(__xludf.DUMMYFUNCTION("""COMPUTED_VALUE"""),"IM-TAZAKI")</f>
        <v>IM-TAZAKI</v>
      </c>
      <c r="AB705" s="65"/>
      <c r="AC705" s="65" t="str">
        <f>IFERROR(__xludf.DUMMYFUNCTION("""COMPUTED_VALUE"""),"Cuchillo tazaki")</f>
        <v>Cuchillo tazaki</v>
      </c>
      <c r="AD705" s="65"/>
      <c r="AE705" s="65">
        <f>IFERROR(__xludf.DUMMYFUNCTION("""COMPUTED_VALUE"""),2.0)</f>
        <v>2</v>
      </c>
      <c r="AF705" s="65"/>
      <c r="AG705" s="65"/>
      <c r="AH705" s="65"/>
      <c r="AI705" s="65"/>
      <c r="AJ705" s="65"/>
      <c r="AK705" s="65"/>
      <c r="AL705" s="65"/>
      <c r="AM705" s="65"/>
      <c r="AN705" s="65"/>
      <c r="AO705" s="65"/>
      <c r="AP705" s="65"/>
      <c r="AQ705" s="65"/>
      <c r="AR705" s="65"/>
      <c r="AS705" s="65"/>
      <c r="AT705" s="65" t="str">
        <f>IFERROR(__xludf.DUMMYFUNCTION("""COMPUTED_VALUE"""),"SHOPIFY")</f>
        <v>SHOPIFY</v>
      </c>
      <c r="AU705" s="65" t="str">
        <f>IFERROR(__xludf.DUMMYFUNCTION("""COMPUTED_VALUE"""),"IMPORTEX EC")</f>
        <v>IMPORTEX EC</v>
      </c>
      <c r="AV705" s="65" t="str">
        <f>IFERROR(__xludf.DUMMYFUNCTION("""COMPUTED_VALUE"""),"6499838066732")</f>
        <v>6499838066732</v>
      </c>
      <c r="AW705" s="65">
        <f>IFERROR(__xludf.DUMMYFUNCTION("""COMPUTED_VALUE"""),6073.0)</f>
        <v>6073</v>
      </c>
      <c r="AX705" s="65"/>
      <c r="AY705" s="65"/>
      <c r="AZ705" s="65"/>
      <c r="BA705" s="65"/>
    </row>
    <row r="706">
      <c r="A706" s="65" t="str">
        <f>IFERROR(__xludf.DUMMYFUNCTION("""COMPUTED_VALUE"""),"27-03-2026")</f>
        <v>27-03-2026</v>
      </c>
      <c r="B706" s="65">
        <f>IFERROR(__xludf.DUMMYFUNCTION("""COMPUTED_VALUE"""),4522139.0)</f>
        <v>4522139</v>
      </c>
      <c r="C706" s="65" t="str">
        <f>IFERROR(__xludf.DUMMYFUNCTION("""COMPUTED_VALUE"""),"09:34")</f>
        <v>09:34</v>
      </c>
      <c r="D706" s="65" t="str">
        <f>IFERROR(__xludf.DUMMYFUNCTION("""COMPUTED_VALUE"""),"16-02-2026")</f>
        <v>16-02-2026</v>
      </c>
      <c r="E706" s="65" t="str">
        <f>IFERROR(__xludf.DUMMYFUNCTION("""COMPUTED_VALUE"""),"Victoria sarmiento")</f>
        <v>Victoria sarmiento</v>
      </c>
      <c r="F706" s="65" t="str">
        <f>IFERROR(__xludf.DUMMYFUNCTION("""COMPUTED_VALUE"""),"992934188")</f>
        <v>992934188</v>
      </c>
      <c r="G706" s="65" t="str">
        <f>IFERROR(__xludf.DUMMYFUNCTION("""COMPUTED_VALUE"""),"vesv27@hotmail.com")</f>
        <v>vesv27@hotmail.com</v>
      </c>
      <c r="H706" s="65"/>
      <c r="I706" s="65"/>
      <c r="J706" s="65" t="str">
        <f>IFERROR(__xludf.DUMMYFUNCTION("""COMPUTED_VALUE"""),"D001340307")</f>
        <v>D001340307</v>
      </c>
      <c r="K706" s="65" t="str">
        <f>IFERROR(__xludf.DUMMYFUNCTION("""COMPUTED_VALUE"""),"ENTREGADO")</f>
        <v>ENTREGADO</v>
      </c>
      <c r="L706" s="65" t="str">
        <f>IFERROR(__xludf.DUMMYFUNCTION("""COMPUTED_VALUE"""),"CON RECAUDO")</f>
        <v>CON RECAUDO</v>
      </c>
      <c r="M706" s="65" t="str">
        <f>IFERROR(__xludf.DUMMYFUNCTION("""COMPUTED_VALUE"""),"CAÑAR")</f>
        <v>CAÑAR</v>
      </c>
      <c r="N706" s="65" t="str">
        <f>IFERROR(__xludf.DUMMYFUNCTION("""COMPUTED_VALUE"""),"AZOGUES")</f>
        <v>AZOGUES</v>
      </c>
      <c r="O706" s="65" t="str">
        <f>IFERROR(__xludf.DUMMYFUNCTION("""COMPUTED_VALUE"""),"Aurelio Jaramillo Y Luis Cordero Diagonal A La Empresa Electrica Azogues -")</f>
        <v>Aurelio Jaramillo Y Luis Cordero Diagonal A La Empresa Electrica Azogues -</v>
      </c>
      <c r="P706" s="65"/>
      <c r="Q706" s="65" t="str">
        <f>IFERROR(__xludf.DUMMYFUNCTION("""COMPUTED_VALUE"""),"GINTRACOM")</f>
        <v>GINTRACOM</v>
      </c>
      <c r="R706" s="65">
        <f>IFERROR(__xludf.DUMMYFUNCTION("""COMPUTED_VALUE"""),20.0)</f>
        <v>20</v>
      </c>
      <c r="S706" s="65">
        <f>IFERROR(__xludf.DUMMYFUNCTION("""COMPUTED_VALUE"""),11.84)</f>
        <v>11.84</v>
      </c>
      <c r="T706" s="65">
        <f>IFERROR(__xludf.DUMMYFUNCTION("""COMPUTED_VALUE"""),5.76)</f>
        <v>5.76</v>
      </c>
      <c r="U706" s="65">
        <f>IFERROR(__xludf.DUMMYFUNCTION("""COMPUTED_VALUE"""),0.0)</f>
        <v>0</v>
      </c>
      <c r="V706" s="65">
        <f>IFERROR(__xludf.DUMMYFUNCTION("""COMPUTED_VALUE"""),0.0)</f>
        <v>0</v>
      </c>
      <c r="W706" s="65">
        <f>IFERROR(__xludf.DUMMYFUNCTION("""COMPUTED_VALUE"""),0.0)</f>
        <v>0</v>
      </c>
      <c r="X706" s="65">
        <f>IFERROR(__xludf.DUMMYFUNCTION("""COMPUTED_VALUE"""),2.4)</f>
        <v>2.4</v>
      </c>
      <c r="Y706" s="65">
        <f>IFERROR(__xludf.DUMMYFUNCTION("""COMPUTED_VALUE"""),2.4)</f>
        <v>2.4</v>
      </c>
      <c r="Z706" s="65">
        <f>IFERROR(__xludf.DUMMYFUNCTION("""COMPUTED_VALUE"""),120732.0)</f>
        <v>120732</v>
      </c>
      <c r="AA706" s="65" t="str">
        <f>IFERROR(__xludf.DUMMYFUNCTION("""COMPUTED_VALUE"""),"PROV-LMPVT")</f>
        <v>PROV-LMPVT</v>
      </c>
      <c r="AB706" s="65"/>
      <c r="AC706" s="65" t="str">
        <f>IFERROR(__xludf.DUMMYFUNCTION("""COMPUTED_VALUE"""),"LIMPIADOR DE PARABRISAS Y VENTANAS")</f>
        <v>LIMPIADOR DE PARABRISAS Y VENTANAS</v>
      </c>
      <c r="AD706" s="65"/>
      <c r="AE706" s="65">
        <f>IFERROR(__xludf.DUMMYFUNCTION("""COMPUTED_VALUE"""),1.0)</f>
        <v>1</v>
      </c>
      <c r="AF706" s="65"/>
      <c r="AG706" s="65"/>
      <c r="AH706" s="65"/>
      <c r="AI706" s="65"/>
      <c r="AJ706" s="65"/>
      <c r="AK706" s="65"/>
      <c r="AL706" s="65"/>
      <c r="AM706" s="65"/>
      <c r="AN706" s="65" t="str">
        <f>IFERROR(__xludf.DUMMYFUNCTION("""COMPUTED_VALUE"""),"11:18")</f>
        <v>11:18</v>
      </c>
      <c r="AO706" s="65" t="str">
        <f>IFERROR(__xludf.DUMMYFUNCTION("""COMPUTED_VALUE"""),"21-02-2026")</f>
        <v>21-02-2026</v>
      </c>
      <c r="AP706" s="65" t="str">
        <f>IFERROR(__xludf.DUMMYFUNCTION("""COMPUTED_VALUE"""),"ENTREGADA GINTRACOM")</f>
        <v>ENTREGADA GINTRACOM</v>
      </c>
      <c r="AQ706" s="65" t="str">
        <f>IFERROR(__xludf.DUMMYFUNCTION("""COMPUTED_VALUE"""),"ENTREGADA GINTRACOM")</f>
        <v>ENTREGADA GINTRACOM</v>
      </c>
      <c r="AR706" s="65"/>
      <c r="AS706" s="65"/>
      <c r="AT706" s="65" t="str">
        <f>IFERROR(__xludf.DUMMYFUNCTION("""COMPUTED_VALUE"""),"SHOPIFY")</f>
        <v>SHOPIFY</v>
      </c>
      <c r="AU706" s="65" t="str">
        <f>IFERROR(__xludf.DUMMYFUNCTION("""COMPUTED_VALUE"""),"IMPORTEX EC")</f>
        <v>IMPORTEX EC</v>
      </c>
      <c r="AV706" s="65" t="str">
        <f>IFERROR(__xludf.DUMMYFUNCTION("""COMPUTED_VALUE"""),"6507641077804")</f>
        <v>6507641077804</v>
      </c>
      <c r="AW706" s="65">
        <f>IFERROR(__xludf.DUMMYFUNCTION("""COMPUTED_VALUE"""),6220.0)</f>
        <v>6220</v>
      </c>
      <c r="AX706" s="65"/>
      <c r="AY706" s="65" t="str">
        <f>IFERROR(__xludf.DUMMYFUNCTION("""COMPUTED_VALUE"""),"19/02/2026")</f>
        <v>19/02/2026</v>
      </c>
      <c r="AZ706" s="65"/>
      <c r="BA706" s="65"/>
    </row>
    <row r="707">
      <c r="A707" s="65" t="str">
        <f>IFERROR(__xludf.DUMMYFUNCTION("""COMPUTED_VALUE"""),"27-03-2026")</f>
        <v>27-03-2026</v>
      </c>
      <c r="B707" s="65">
        <f>IFERROR(__xludf.DUMMYFUNCTION("""COMPUTED_VALUE"""),4522138.0)</f>
        <v>4522138</v>
      </c>
      <c r="C707" s="65" t="str">
        <f>IFERROR(__xludf.DUMMYFUNCTION("""COMPUTED_VALUE"""),"09:34")</f>
        <v>09:34</v>
      </c>
      <c r="D707" s="65" t="str">
        <f>IFERROR(__xludf.DUMMYFUNCTION("""COMPUTED_VALUE"""),"16-02-2026")</f>
        <v>16-02-2026</v>
      </c>
      <c r="E707" s="65" t="str">
        <f>IFERROR(__xludf.DUMMYFUNCTION("""COMPUTED_VALUE"""),"Magus Yutillo")</f>
        <v>Magus Yutillo</v>
      </c>
      <c r="F707" s="65" t="str">
        <f>IFERROR(__xludf.DUMMYFUNCTION("""COMPUTED_VALUE"""),"998102243")</f>
        <v>998102243</v>
      </c>
      <c r="G707" s="65" t="str">
        <f>IFERROR(__xludf.DUMMYFUNCTION("""COMPUTED_VALUE"""),"mmagus1@me.com")</f>
        <v>mmagus1@me.com</v>
      </c>
      <c r="H707" s="65"/>
      <c r="I707" s="65"/>
      <c r="J707" s="65" t="str">
        <f>IFERROR(__xludf.DUMMYFUNCTION("""COMPUTED_VALUE"""),"D001340308")</f>
        <v>D001340308</v>
      </c>
      <c r="K707" s="65" t="str">
        <f>IFERROR(__xludf.DUMMYFUNCTION("""COMPUTED_VALUE"""),"ENTREGADO")</f>
        <v>ENTREGADO</v>
      </c>
      <c r="L707" s="65" t="str">
        <f>IFERROR(__xludf.DUMMYFUNCTION("""COMPUTED_VALUE"""),"CON RECAUDO")</f>
        <v>CON RECAUDO</v>
      </c>
      <c r="M707" s="65" t="str">
        <f>IFERROR(__xludf.DUMMYFUNCTION("""COMPUTED_VALUE"""),"PICHINCHA")</f>
        <v>PICHINCHA</v>
      </c>
      <c r="N707" s="65" t="str">
        <f>IFERROR(__xludf.DUMMYFUNCTION("""COMPUTED_VALUE"""),"QUITO")</f>
        <v>QUITO</v>
      </c>
      <c r="O707" s="65" t="str">
        <f>IFERROR(__xludf.DUMMYFUNCTION("""COMPUTED_VALUE"""),"Vía a santa Inés y tangar Urb portal de Cumbaya 1 - Cumbaya -")</f>
        <v>Vía a santa Inés y tangar Urb portal de Cumbaya 1 - Cumbaya -</v>
      </c>
      <c r="P707" s="65"/>
      <c r="Q707" s="65" t="str">
        <f>IFERROR(__xludf.DUMMYFUNCTION("""COMPUTED_VALUE"""),"GINTRACOM")</f>
        <v>GINTRACOM</v>
      </c>
      <c r="R707" s="65">
        <f>IFERROR(__xludf.DUMMYFUNCTION("""COMPUTED_VALUE"""),30.0)</f>
        <v>30</v>
      </c>
      <c r="S707" s="65">
        <f>IFERROR(__xludf.DUMMYFUNCTION("""COMPUTED_VALUE"""),16.64)</f>
        <v>16.64</v>
      </c>
      <c r="T707" s="65">
        <f>IFERROR(__xludf.DUMMYFUNCTION("""COMPUTED_VALUE"""),6.16)</f>
        <v>6.16</v>
      </c>
      <c r="U707" s="65">
        <f>IFERROR(__xludf.DUMMYFUNCTION("""COMPUTED_VALUE"""),0.0)</f>
        <v>0</v>
      </c>
      <c r="V707" s="65">
        <f>IFERROR(__xludf.DUMMYFUNCTION("""COMPUTED_VALUE"""),0.0)</f>
        <v>0</v>
      </c>
      <c r="W707" s="65">
        <f>IFERROR(__xludf.DUMMYFUNCTION("""COMPUTED_VALUE"""),0.0)</f>
        <v>0</v>
      </c>
      <c r="X707" s="65">
        <f>IFERROR(__xludf.DUMMYFUNCTION("""COMPUTED_VALUE"""),2.4)</f>
        <v>2.4</v>
      </c>
      <c r="Y707" s="65">
        <f>IFERROR(__xludf.DUMMYFUNCTION("""COMPUTED_VALUE"""),7.2)</f>
        <v>7.2</v>
      </c>
      <c r="Z707" s="65">
        <f>IFERROR(__xludf.DUMMYFUNCTION("""COMPUTED_VALUE"""),120732.0)</f>
        <v>120732</v>
      </c>
      <c r="AA707" s="65" t="str">
        <f>IFERROR(__xludf.DUMMYFUNCTION("""COMPUTED_VALUE"""),"PROV-LMPVT")</f>
        <v>PROV-LMPVT</v>
      </c>
      <c r="AB707" s="65"/>
      <c r="AC707" s="65" t="str">
        <f>IFERROR(__xludf.DUMMYFUNCTION("""COMPUTED_VALUE"""),"LIMPIADOR DE PARABRISAS Y VENTANAS")</f>
        <v>LIMPIADOR DE PARABRISAS Y VENTANAS</v>
      </c>
      <c r="AD707" s="65"/>
      <c r="AE707" s="65">
        <f>IFERROR(__xludf.DUMMYFUNCTION("""COMPUTED_VALUE"""),3.0)</f>
        <v>3</v>
      </c>
      <c r="AF707" s="65"/>
      <c r="AG707" s="65"/>
      <c r="AH707" s="65"/>
      <c r="AI707" s="65"/>
      <c r="AJ707" s="65"/>
      <c r="AK707" s="65"/>
      <c r="AL707" s="65"/>
      <c r="AM707" s="65"/>
      <c r="AN707" s="65" t="str">
        <f>IFERROR(__xludf.DUMMYFUNCTION("""COMPUTED_VALUE"""),"14:59")</f>
        <v>14:59</v>
      </c>
      <c r="AO707" s="65" t="str">
        <f>IFERROR(__xludf.DUMMYFUNCTION("""COMPUTED_VALUE"""),"20-02-2026")</f>
        <v>20-02-2026</v>
      </c>
      <c r="AP707" s="65" t="str">
        <f>IFERROR(__xludf.DUMMYFUNCTION("""COMPUTED_VALUE"""),"ENTREGADA GINTRACOM")</f>
        <v>ENTREGADA GINTRACOM</v>
      </c>
      <c r="AQ707" s="65" t="str">
        <f>IFERROR(__xludf.DUMMYFUNCTION("""COMPUTED_VALUE"""),"ENTREGADA GINTRACOM")</f>
        <v>ENTREGADA GINTRACOM</v>
      </c>
      <c r="AR707" s="65"/>
      <c r="AS707" s="65"/>
      <c r="AT707" s="65" t="str">
        <f>IFERROR(__xludf.DUMMYFUNCTION("""COMPUTED_VALUE"""),"SHOPIFY")</f>
        <v>SHOPIFY</v>
      </c>
      <c r="AU707" s="65" t="str">
        <f>IFERROR(__xludf.DUMMYFUNCTION("""COMPUTED_VALUE"""),"IMPORTEX EC")</f>
        <v>IMPORTEX EC</v>
      </c>
      <c r="AV707" s="65" t="str">
        <f>IFERROR(__xludf.DUMMYFUNCTION("""COMPUTED_VALUE"""),"6507640586284")</f>
        <v>6507640586284</v>
      </c>
      <c r="AW707" s="65">
        <f>IFERROR(__xludf.DUMMYFUNCTION("""COMPUTED_VALUE"""),6219.0)</f>
        <v>6219</v>
      </c>
      <c r="AX707" s="65"/>
      <c r="AY707" s="65" t="str">
        <f>IFERROR(__xludf.DUMMYFUNCTION("""COMPUTED_VALUE"""),"19/02/2026")</f>
        <v>19/02/2026</v>
      </c>
      <c r="AZ707" s="65"/>
      <c r="BA707" s="65"/>
    </row>
    <row r="708">
      <c r="A708" s="65" t="str">
        <f>IFERROR(__xludf.DUMMYFUNCTION("""COMPUTED_VALUE"""),"27-03-2026")</f>
        <v>27-03-2026</v>
      </c>
      <c r="B708" s="65">
        <f>IFERROR(__xludf.DUMMYFUNCTION("""COMPUTED_VALUE"""),4521997.0)</f>
        <v>4521997</v>
      </c>
      <c r="C708" s="65" t="str">
        <f>IFERROR(__xludf.DUMMYFUNCTION("""COMPUTED_VALUE"""),"09:20")</f>
        <v>09:20</v>
      </c>
      <c r="D708" s="65" t="str">
        <f>IFERROR(__xludf.DUMMYFUNCTION("""COMPUTED_VALUE"""),"16-02-2026")</f>
        <v>16-02-2026</v>
      </c>
      <c r="E708" s="65" t="str">
        <f>IFERROR(__xludf.DUMMYFUNCTION("""COMPUTED_VALUE"""),"María Belén Noboa Reyes")</f>
        <v>María Belén Noboa Reyes</v>
      </c>
      <c r="F708" s="65" t="str">
        <f>IFERROR(__xludf.DUMMYFUNCTION("""COMPUTED_VALUE"""),"986008125")</f>
        <v>986008125</v>
      </c>
      <c r="G708" s="65" t="str">
        <f>IFERROR(__xludf.DUMMYFUNCTION("""COMPUTED_VALUE"""),"belennoboa@hotmail.com")</f>
        <v>belennoboa@hotmail.com</v>
      </c>
      <c r="H708" s="65"/>
      <c r="I708" s="65"/>
      <c r="J708" s="65"/>
      <c r="K708" s="65" t="str">
        <f>IFERROR(__xludf.DUMMYFUNCTION("""COMPUTED_VALUE"""),"CANCELADO")</f>
        <v>CANCELADO</v>
      </c>
      <c r="L708" s="65" t="str">
        <f>IFERROR(__xludf.DUMMYFUNCTION("""COMPUTED_VALUE"""),"CON RECAUDO")</f>
        <v>CON RECAUDO</v>
      </c>
      <c r="M708" s="65" t="str">
        <f>IFERROR(__xludf.DUMMYFUNCTION("""COMPUTED_VALUE"""),"PICHINCHA")</f>
        <v>PICHINCHA</v>
      </c>
      <c r="N708" s="65" t="str">
        <f>IFERROR(__xludf.DUMMYFUNCTION("""COMPUTED_VALUE"""),"QUITO")</f>
        <v>QUITO</v>
      </c>
      <c r="O708" s="65" t="str">
        <f>IFERROR(__xludf.DUMMYFUNCTION("""COMPUTED_VALUE"""),"Av 6 de Diciembre N 53-21 y Capitán Ramón Borja La Kennedy -")</f>
        <v>Av 6 de Diciembre N 53-21 y Capitán Ramón Borja La Kennedy -</v>
      </c>
      <c r="P708" s="65"/>
      <c r="Q708" s="65" t="str">
        <f>IFERROR(__xludf.DUMMYFUNCTION("""COMPUTED_VALUE"""),"GINTRACOM")</f>
        <v>GINTRACOM</v>
      </c>
      <c r="R708" s="65">
        <f>IFERROR(__xludf.DUMMYFUNCTION("""COMPUTED_VALUE"""),25.0)</f>
        <v>25</v>
      </c>
      <c r="S708" s="65"/>
      <c r="T708" s="65">
        <f>IFERROR(__xludf.DUMMYFUNCTION("""COMPUTED_VALUE"""),5.96)</f>
        <v>5.96</v>
      </c>
      <c r="U708" s="65">
        <f>IFERROR(__xludf.DUMMYFUNCTION("""COMPUTED_VALUE"""),0.0)</f>
        <v>0</v>
      </c>
      <c r="V708" s="65">
        <f>IFERROR(__xludf.DUMMYFUNCTION("""COMPUTED_VALUE"""),0.0)</f>
        <v>0</v>
      </c>
      <c r="W708" s="65">
        <f>IFERROR(__xludf.DUMMYFUNCTION("""COMPUTED_VALUE"""),0.0)</f>
        <v>0</v>
      </c>
      <c r="X708" s="65">
        <f>IFERROR(__xludf.DUMMYFUNCTION("""COMPUTED_VALUE"""),2.4)</f>
        <v>2.4</v>
      </c>
      <c r="Y708" s="65">
        <f>IFERROR(__xludf.DUMMYFUNCTION("""COMPUTED_VALUE"""),4.8)</f>
        <v>4.8</v>
      </c>
      <c r="Z708" s="65">
        <f>IFERROR(__xludf.DUMMYFUNCTION("""COMPUTED_VALUE"""),120732.0)</f>
        <v>120732</v>
      </c>
      <c r="AA708" s="65" t="str">
        <f>IFERROR(__xludf.DUMMYFUNCTION("""COMPUTED_VALUE"""),"PROV-LMPVT")</f>
        <v>PROV-LMPVT</v>
      </c>
      <c r="AB708" s="65"/>
      <c r="AC708" s="65" t="str">
        <f>IFERROR(__xludf.DUMMYFUNCTION("""COMPUTED_VALUE"""),"LIMPIADOR DE PARABRISAS Y VENTANAS")</f>
        <v>LIMPIADOR DE PARABRISAS Y VENTANAS</v>
      </c>
      <c r="AD708" s="65"/>
      <c r="AE708" s="65">
        <f>IFERROR(__xludf.DUMMYFUNCTION("""COMPUTED_VALUE"""),2.0)</f>
        <v>2</v>
      </c>
      <c r="AF708" s="65"/>
      <c r="AG708" s="65"/>
      <c r="AH708" s="65"/>
      <c r="AI708" s="65"/>
      <c r="AJ708" s="65"/>
      <c r="AK708" s="65"/>
      <c r="AL708" s="65"/>
      <c r="AM708" s="65"/>
      <c r="AN708" s="65"/>
      <c r="AO708" s="65"/>
      <c r="AP708" s="65"/>
      <c r="AQ708" s="65"/>
      <c r="AR708" s="65"/>
      <c r="AS708" s="65"/>
      <c r="AT708" s="65" t="str">
        <f>IFERROR(__xludf.DUMMYFUNCTION("""COMPUTED_VALUE"""),"SHOPIFY")</f>
        <v>SHOPIFY</v>
      </c>
      <c r="AU708" s="65" t="str">
        <f>IFERROR(__xludf.DUMMYFUNCTION("""COMPUTED_VALUE"""),"IMPORTEX EC")</f>
        <v>IMPORTEX EC</v>
      </c>
      <c r="AV708" s="65" t="str">
        <f>IFERROR(__xludf.DUMMYFUNCTION("""COMPUTED_VALUE"""),"6507620499500")</f>
        <v>6507620499500</v>
      </c>
      <c r="AW708" s="65">
        <f>IFERROR(__xludf.DUMMYFUNCTION("""COMPUTED_VALUE"""),6218.0)</f>
        <v>6218</v>
      </c>
      <c r="AX708" s="65"/>
      <c r="AY708" s="65"/>
      <c r="AZ708" s="65"/>
      <c r="BA708" s="65"/>
    </row>
    <row r="709">
      <c r="A709" s="65" t="str">
        <f>IFERROR(__xludf.DUMMYFUNCTION("""COMPUTED_VALUE"""),"27-03-2026")</f>
        <v>27-03-2026</v>
      </c>
      <c r="B709" s="65">
        <f>IFERROR(__xludf.DUMMYFUNCTION("""COMPUTED_VALUE"""),4521505.0)</f>
        <v>4521505</v>
      </c>
      <c r="C709" s="65" t="str">
        <f>IFERROR(__xludf.DUMMYFUNCTION("""COMPUTED_VALUE"""),"08:21")</f>
        <v>08:21</v>
      </c>
      <c r="D709" s="65" t="str">
        <f>IFERROR(__xludf.DUMMYFUNCTION("""COMPUTED_VALUE"""),"16-02-2026")</f>
        <v>16-02-2026</v>
      </c>
      <c r="E709" s="65" t="str">
        <f>IFERROR(__xludf.DUMMYFUNCTION("""COMPUTED_VALUE"""),"roberto zea")</f>
        <v>roberto zea</v>
      </c>
      <c r="F709" s="65" t="str">
        <f>IFERROR(__xludf.DUMMYFUNCTION("""COMPUTED_VALUE"""),"996055655")</f>
        <v>996055655</v>
      </c>
      <c r="G709" s="65" t="str">
        <f>IFERROR(__xludf.DUMMYFUNCTION("""COMPUTED_VALUE"""),"robertozea78@hotmail.com")</f>
        <v>robertozea78@hotmail.com</v>
      </c>
      <c r="H709" s="65"/>
      <c r="I709" s="65"/>
      <c r="J709" s="65"/>
      <c r="K709" s="65" t="str">
        <f>IFERROR(__xludf.DUMMYFUNCTION("""COMPUTED_VALUE"""),"PENDIENTE CONFIRMACION")</f>
        <v>PENDIENTE CONFIRMACION</v>
      </c>
      <c r="L709" s="65" t="str">
        <f>IFERROR(__xludf.DUMMYFUNCTION("""COMPUTED_VALUE"""),"CON RECAUDO")</f>
        <v>CON RECAUDO</v>
      </c>
      <c r="M709" s="65" t="str">
        <f>IFERROR(__xludf.DUMMYFUNCTION("""COMPUTED_VALUE"""),"IMBABURA")</f>
        <v>IMBABURA</v>
      </c>
      <c r="N709" s="65" t="str">
        <f>IFERROR(__xludf.DUMMYFUNCTION("""COMPUTED_VALUE"""),"IBARRA")</f>
        <v>IBARRA</v>
      </c>
      <c r="O709" s="65" t="str">
        <f>IFERROR(__xludf.DUMMYFUNCTION("""COMPUTED_VALUE"""),"Liborio Madera 2-46 Dos cuadras atrás de la basílica -")</f>
        <v>Liborio Madera 2-46 Dos cuadras atrás de la basílica -</v>
      </c>
      <c r="P709" s="65"/>
      <c r="Q709" s="65" t="str">
        <f>IFERROR(__xludf.DUMMYFUNCTION("""COMPUTED_VALUE"""),"GINTRACOM")</f>
        <v>GINTRACOM</v>
      </c>
      <c r="R709" s="65">
        <f>IFERROR(__xludf.DUMMYFUNCTION("""COMPUTED_VALUE"""),25.0)</f>
        <v>25</v>
      </c>
      <c r="S709" s="65"/>
      <c r="T709" s="65">
        <f>IFERROR(__xludf.DUMMYFUNCTION("""COMPUTED_VALUE"""),5.96)</f>
        <v>5.96</v>
      </c>
      <c r="U709" s="65">
        <f>IFERROR(__xludf.DUMMYFUNCTION("""COMPUTED_VALUE"""),0.0)</f>
        <v>0</v>
      </c>
      <c r="V709" s="65">
        <f>IFERROR(__xludf.DUMMYFUNCTION("""COMPUTED_VALUE"""),0.0)</f>
        <v>0</v>
      </c>
      <c r="W709" s="65">
        <f>IFERROR(__xludf.DUMMYFUNCTION("""COMPUTED_VALUE"""),0.0)</f>
        <v>0</v>
      </c>
      <c r="X709" s="65">
        <f>IFERROR(__xludf.DUMMYFUNCTION("""COMPUTED_VALUE"""),2.4)</f>
        <v>2.4</v>
      </c>
      <c r="Y709" s="65">
        <f>IFERROR(__xludf.DUMMYFUNCTION("""COMPUTED_VALUE"""),4.8)</f>
        <v>4.8</v>
      </c>
      <c r="Z709" s="65">
        <f>IFERROR(__xludf.DUMMYFUNCTION("""COMPUTED_VALUE"""),120732.0)</f>
        <v>120732</v>
      </c>
      <c r="AA709" s="65" t="str">
        <f>IFERROR(__xludf.DUMMYFUNCTION("""COMPUTED_VALUE"""),"PROV-LMPVT")</f>
        <v>PROV-LMPVT</v>
      </c>
      <c r="AB709" s="65"/>
      <c r="AC709" s="65" t="str">
        <f>IFERROR(__xludf.DUMMYFUNCTION("""COMPUTED_VALUE"""),"LIMPIADOR DE PARABRISAS Y VENTANAS")</f>
        <v>LIMPIADOR DE PARABRISAS Y VENTANAS</v>
      </c>
      <c r="AD709" s="65"/>
      <c r="AE709" s="65">
        <f>IFERROR(__xludf.DUMMYFUNCTION("""COMPUTED_VALUE"""),2.0)</f>
        <v>2</v>
      </c>
      <c r="AF709" s="65"/>
      <c r="AG709" s="65"/>
      <c r="AH709" s="65"/>
      <c r="AI709" s="65"/>
      <c r="AJ709" s="65"/>
      <c r="AK709" s="65"/>
      <c r="AL709" s="65"/>
      <c r="AM709" s="65"/>
      <c r="AN709" s="65"/>
      <c r="AO709" s="65"/>
      <c r="AP709" s="65"/>
      <c r="AQ709" s="65"/>
      <c r="AR709" s="65"/>
      <c r="AS709" s="65"/>
      <c r="AT709" s="65" t="str">
        <f>IFERROR(__xludf.DUMMYFUNCTION("""COMPUTED_VALUE"""),"SHOPIFY")</f>
        <v>SHOPIFY</v>
      </c>
      <c r="AU709" s="65" t="str">
        <f>IFERROR(__xludf.DUMMYFUNCTION("""COMPUTED_VALUE"""),"IMPORTEX EC")</f>
        <v>IMPORTEX EC</v>
      </c>
      <c r="AV709" s="65" t="str">
        <f>IFERROR(__xludf.DUMMYFUNCTION("""COMPUTED_VALUE"""),"6507554373676")</f>
        <v>6507554373676</v>
      </c>
      <c r="AW709" s="65">
        <f>IFERROR(__xludf.DUMMYFUNCTION("""COMPUTED_VALUE"""),6215.0)</f>
        <v>6215</v>
      </c>
      <c r="AX709" s="65"/>
      <c r="AY709" s="65"/>
      <c r="AZ709" s="65"/>
      <c r="BA709" s="65"/>
    </row>
    <row r="710">
      <c r="A710" s="65" t="str">
        <f>IFERROR(__xludf.DUMMYFUNCTION("""COMPUTED_VALUE"""),"27-03-2026")</f>
        <v>27-03-2026</v>
      </c>
      <c r="B710" s="65">
        <f>IFERROR(__xludf.DUMMYFUNCTION("""COMPUTED_VALUE"""),4521408.0)</f>
        <v>4521408</v>
      </c>
      <c r="C710" s="65" t="str">
        <f>IFERROR(__xludf.DUMMYFUNCTION("""COMPUTED_VALUE"""),"08:09")</f>
        <v>08:09</v>
      </c>
      <c r="D710" s="65" t="str">
        <f>IFERROR(__xludf.DUMMYFUNCTION("""COMPUTED_VALUE"""),"16-02-2026")</f>
        <v>16-02-2026</v>
      </c>
      <c r="E710" s="65" t="str">
        <f>IFERROR(__xludf.DUMMYFUNCTION("""COMPUTED_VALUE"""),"Catherine Rivera")</f>
        <v>Catherine Rivera</v>
      </c>
      <c r="F710" s="65" t="str">
        <f>IFERROR(__xludf.DUMMYFUNCTION("""COMPUTED_VALUE"""),"983396345")</f>
        <v>983396345</v>
      </c>
      <c r="G710" s="65" t="str">
        <f>IFERROR(__xludf.DUMMYFUNCTION("""COMPUTED_VALUE"""),"cathy.riveraprocel@gmail.com")</f>
        <v>cathy.riveraprocel@gmail.com</v>
      </c>
      <c r="H710" s="65"/>
      <c r="I710" s="65"/>
      <c r="J710" s="65" t="str">
        <f>IFERROR(__xludf.DUMMYFUNCTION("""COMPUTED_VALUE"""),"D001340310")</f>
        <v>D001340310</v>
      </c>
      <c r="K710" s="65" t="str">
        <f>IFERROR(__xludf.DUMMYFUNCTION("""COMPUTED_VALUE"""),"ENTREGADO")</f>
        <v>ENTREGADO</v>
      </c>
      <c r="L710" s="65" t="str">
        <f>IFERROR(__xludf.DUMMYFUNCTION("""COMPUTED_VALUE"""),"CON RECAUDO")</f>
        <v>CON RECAUDO</v>
      </c>
      <c r="M710" s="65" t="str">
        <f>IFERROR(__xludf.DUMMYFUNCTION("""COMPUTED_VALUE"""),"GUAYAS")</f>
        <v>GUAYAS</v>
      </c>
      <c r="N710" s="65" t="str">
        <f>IFERROR(__xludf.DUMMYFUNCTION("""COMPUTED_VALUE"""),"GUAYAQUIL")</f>
        <v>GUAYAQUIL</v>
      </c>
      <c r="O710" s="65" t="str">
        <f>IFERROR(__xludf.DUMMYFUNCTION("""COMPUTED_VALUE"""),"Cdla la fae Manzana 40 villa 15 -")</f>
        <v>Cdla la fae Manzana 40 villa 15 -</v>
      </c>
      <c r="P710" s="65"/>
      <c r="Q710" s="65" t="str">
        <f>IFERROR(__xludf.DUMMYFUNCTION("""COMPUTED_VALUE"""),"GINTRACOM")</f>
        <v>GINTRACOM</v>
      </c>
      <c r="R710" s="65">
        <f>IFERROR(__xludf.DUMMYFUNCTION("""COMPUTED_VALUE"""),25.0)</f>
        <v>25</v>
      </c>
      <c r="S710" s="65">
        <f>IFERROR(__xludf.DUMMYFUNCTION("""COMPUTED_VALUE"""),15.85)</f>
        <v>15.85</v>
      </c>
      <c r="T710" s="65">
        <f>IFERROR(__xludf.DUMMYFUNCTION("""COMPUTED_VALUE"""),4.35)</f>
        <v>4.35</v>
      </c>
      <c r="U710" s="65">
        <f>IFERROR(__xludf.DUMMYFUNCTION("""COMPUTED_VALUE"""),0.0)</f>
        <v>0</v>
      </c>
      <c r="V710" s="65">
        <f>IFERROR(__xludf.DUMMYFUNCTION("""COMPUTED_VALUE"""),0.0)</f>
        <v>0</v>
      </c>
      <c r="W710" s="65">
        <f>IFERROR(__xludf.DUMMYFUNCTION("""COMPUTED_VALUE"""),0.0)</f>
        <v>0</v>
      </c>
      <c r="X710" s="65">
        <f>IFERROR(__xludf.DUMMYFUNCTION("""COMPUTED_VALUE"""),2.4)</f>
        <v>2.4</v>
      </c>
      <c r="Y710" s="65">
        <f>IFERROR(__xludf.DUMMYFUNCTION("""COMPUTED_VALUE"""),4.8)</f>
        <v>4.8</v>
      </c>
      <c r="Z710" s="65">
        <f>IFERROR(__xludf.DUMMYFUNCTION("""COMPUTED_VALUE"""),120732.0)</f>
        <v>120732</v>
      </c>
      <c r="AA710" s="65" t="str">
        <f>IFERROR(__xludf.DUMMYFUNCTION("""COMPUTED_VALUE"""),"PROV-LMPVT")</f>
        <v>PROV-LMPVT</v>
      </c>
      <c r="AB710" s="65"/>
      <c r="AC710" s="65" t="str">
        <f>IFERROR(__xludf.DUMMYFUNCTION("""COMPUTED_VALUE"""),"LIMPIADOR DE PARABRISAS Y VENTANAS")</f>
        <v>LIMPIADOR DE PARABRISAS Y VENTANAS</v>
      </c>
      <c r="AD710" s="65"/>
      <c r="AE710" s="65">
        <f>IFERROR(__xludf.DUMMYFUNCTION("""COMPUTED_VALUE"""),2.0)</f>
        <v>2</v>
      </c>
      <c r="AF710" s="65" t="str">
        <f>IFERROR(__xludf.DUMMYFUNCTION("""COMPUTED_VALUE"""),"DESTINATARIO NO CONTESTA LLAMADAS NI WHATSAPP")</f>
        <v>DESTINATARIO NO CONTESTA LLAMADAS NI WHATSAPP</v>
      </c>
      <c r="AG710" s="65" t="str">
        <f>IFERROR(__xludf.DUMMYFUNCTION("""COMPUTED_VALUE"""),"SI")</f>
        <v>SI</v>
      </c>
      <c r="AH710" s="65" t="str">
        <f>IFERROR(__xludf.DUMMYFUNCTION("""COMPUTED_VALUE"""),"16:22")</f>
        <v>16:22</v>
      </c>
      <c r="AI710" s="65" t="str">
        <f>IFERROR(__xludf.DUMMYFUNCTION("""COMPUTED_VALUE"""),"25-02-2026")</f>
        <v>25-02-2026</v>
      </c>
      <c r="AJ710" s="65" t="str">
        <f>IFERROR(__xludf.DUMMYFUNCTION("""COMPUTED_VALUE"""),"CLIENYE INDICA QUE NO LE LLAMAN , NECESITA LA URGENTE ENTREGA ,")</f>
        <v>CLIENYE INDICA QUE NO LE LLAMAN , NECESITA LA URGENTE ENTREGA ,</v>
      </c>
      <c r="AK710" s="65" t="str">
        <f>IFERROR(__xludf.DUMMYFUNCTION("""COMPUTED_VALUE"""),"13:16")</f>
        <v>13:16</v>
      </c>
      <c r="AL710" s="65" t="str">
        <f>IFERROR(__xludf.DUMMYFUNCTION("""COMPUTED_VALUE"""),"26-02-2026")</f>
        <v>26-02-2026</v>
      </c>
      <c r="AM710" s="65"/>
      <c r="AN710" s="65" t="str">
        <f>IFERROR(__xludf.DUMMYFUNCTION("""COMPUTED_VALUE"""),"12:11")</f>
        <v>12:11</v>
      </c>
      <c r="AO710" s="65" t="str">
        <f>IFERROR(__xludf.DUMMYFUNCTION("""COMPUTED_VALUE"""),"27-02-2026")</f>
        <v>27-02-2026</v>
      </c>
      <c r="AP710" s="65" t="str">
        <f>IFERROR(__xludf.DUMMYFUNCTION("""COMPUTED_VALUE"""),"ENTREGADA GINTRACOM")</f>
        <v>ENTREGADA GINTRACOM</v>
      </c>
      <c r="AQ710" s="65" t="str">
        <f>IFERROR(__xludf.DUMMYFUNCTION("""COMPUTED_VALUE"""),"ENTREGADA GINTRACOM")</f>
        <v>ENTREGADA GINTRACOM</v>
      </c>
      <c r="AR710" s="65"/>
      <c r="AS710" s="65"/>
      <c r="AT710" s="65" t="str">
        <f>IFERROR(__xludf.DUMMYFUNCTION("""COMPUTED_VALUE"""),"SHOPIFY")</f>
        <v>SHOPIFY</v>
      </c>
      <c r="AU710" s="65" t="str">
        <f>IFERROR(__xludf.DUMMYFUNCTION("""COMPUTED_VALUE"""),"IMPORTEX EC")</f>
        <v>IMPORTEX EC</v>
      </c>
      <c r="AV710" s="65" t="str">
        <f>IFERROR(__xludf.DUMMYFUNCTION("""COMPUTED_VALUE"""),"6507541299244")</f>
        <v>6507541299244</v>
      </c>
      <c r="AW710" s="65">
        <f>IFERROR(__xludf.DUMMYFUNCTION("""COMPUTED_VALUE"""),6213.0)</f>
        <v>6213</v>
      </c>
      <c r="AX710" s="65"/>
      <c r="AY710" s="65" t="str">
        <f>IFERROR(__xludf.DUMMYFUNCTION("""COMPUTED_VALUE"""),"19/02/2026")</f>
        <v>19/02/2026</v>
      </c>
      <c r="AZ710" s="65"/>
      <c r="BA710" s="65"/>
    </row>
    <row r="711">
      <c r="A711" s="65" t="str">
        <f>IFERROR(__xludf.DUMMYFUNCTION("""COMPUTED_VALUE"""),"27-03-2026")</f>
        <v>27-03-2026</v>
      </c>
      <c r="B711" s="65">
        <f>IFERROR(__xludf.DUMMYFUNCTION("""COMPUTED_VALUE"""),4521284.0)</f>
        <v>4521284</v>
      </c>
      <c r="C711" s="65" t="str">
        <f>IFERROR(__xludf.DUMMYFUNCTION("""COMPUTED_VALUE"""),"07:51")</f>
        <v>07:51</v>
      </c>
      <c r="D711" s="65" t="str">
        <f>IFERROR(__xludf.DUMMYFUNCTION("""COMPUTED_VALUE"""),"16-02-2026")</f>
        <v>16-02-2026</v>
      </c>
      <c r="E711" s="65" t="str">
        <f>IFERROR(__xludf.DUMMYFUNCTION("""COMPUTED_VALUE"""),"Luis Noteno")</f>
        <v>Luis Noteno</v>
      </c>
      <c r="F711" s="65" t="str">
        <f>IFERROR(__xludf.DUMMYFUNCTION("""COMPUTED_VALUE"""),"997733279")</f>
        <v>997733279</v>
      </c>
      <c r="G711" s="65"/>
      <c r="H711" s="65"/>
      <c r="I711" s="65"/>
      <c r="J711" s="65" t="str">
        <f>IFERROR(__xludf.DUMMYFUNCTION("""COMPUTED_VALUE"""),"D001340311")</f>
        <v>D001340311</v>
      </c>
      <c r="K711" s="65" t="str">
        <f>IFERROR(__xludf.DUMMYFUNCTION("""COMPUTED_VALUE"""),"ENTREGADO")</f>
        <v>ENTREGADO</v>
      </c>
      <c r="L711" s="65" t="str">
        <f>IFERROR(__xludf.DUMMYFUNCTION("""COMPUTED_VALUE"""),"CON RECAUDO")</f>
        <v>CON RECAUDO</v>
      </c>
      <c r="M711" s="65" t="str">
        <f>IFERROR(__xludf.DUMMYFUNCTION("""COMPUTED_VALUE"""),"ORELLANA")</f>
        <v>ORELLANA</v>
      </c>
      <c r="N711" s="65" t="str">
        <f>IFERROR(__xludf.DUMMYFUNCTION("""COMPUTED_VALUE"""),"EL COCA")</f>
        <v>EL COCA</v>
      </c>
      <c r="O711" s="65" t="str">
        <f>IFERROR(__xludf.DUMMYFUNCTION("""COMPUTED_VALUE"""),"Km 6 mushuc llacta Frente a la empresa noroccidental")</f>
        <v>Km 6 mushuc llacta Frente a la empresa noroccidental</v>
      </c>
      <c r="P711" s="65"/>
      <c r="Q711" s="65" t="str">
        <f>IFERROR(__xludf.DUMMYFUNCTION("""COMPUTED_VALUE"""),"GINTRACOM")</f>
        <v>GINTRACOM</v>
      </c>
      <c r="R711" s="65">
        <f>IFERROR(__xludf.DUMMYFUNCTION("""COMPUTED_VALUE"""),20.0)</f>
        <v>20</v>
      </c>
      <c r="S711" s="65">
        <f>IFERROR(__xludf.DUMMYFUNCTION("""COMPUTED_VALUE"""),11.84)</f>
        <v>11.84</v>
      </c>
      <c r="T711" s="65">
        <f>IFERROR(__xludf.DUMMYFUNCTION("""COMPUTED_VALUE"""),5.76)</f>
        <v>5.76</v>
      </c>
      <c r="U711" s="65">
        <f>IFERROR(__xludf.DUMMYFUNCTION("""COMPUTED_VALUE"""),0.0)</f>
        <v>0</v>
      </c>
      <c r="V711" s="65">
        <f>IFERROR(__xludf.DUMMYFUNCTION("""COMPUTED_VALUE"""),0.0)</f>
        <v>0</v>
      </c>
      <c r="W711" s="65">
        <f>IFERROR(__xludf.DUMMYFUNCTION("""COMPUTED_VALUE"""),0.0)</f>
        <v>0</v>
      </c>
      <c r="X711" s="65">
        <f>IFERROR(__xludf.DUMMYFUNCTION("""COMPUTED_VALUE"""),2.4)</f>
        <v>2.4</v>
      </c>
      <c r="Y711" s="65">
        <f>IFERROR(__xludf.DUMMYFUNCTION("""COMPUTED_VALUE"""),2.4)</f>
        <v>2.4</v>
      </c>
      <c r="Z711" s="65">
        <f>IFERROR(__xludf.DUMMYFUNCTION("""COMPUTED_VALUE"""),120732.0)</f>
        <v>120732</v>
      </c>
      <c r="AA711" s="65" t="str">
        <f>IFERROR(__xludf.DUMMYFUNCTION("""COMPUTED_VALUE"""),"PROV-LMPVT")</f>
        <v>PROV-LMPVT</v>
      </c>
      <c r="AB711" s="65"/>
      <c r="AC711" s="65" t="str">
        <f>IFERROR(__xludf.DUMMYFUNCTION("""COMPUTED_VALUE"""),"LIMPIADOR DE PARABRISAS Y VENTANAS")</f>
        <v>LIMPIADOR DE PARABRISAS Y VENTANAS</v>
      </c>
      <c r="AD711" s="65"/>
      <c r="AE711" s="65">
        <f>IFERROR(__xludf.DUMMYFUNCTION("""COMPUTED_VALUE"""),1.0)</f>
        <v>1</v>
      </c>
      <c r="AF711" s="65" t="str">
        <f>IFERROR(__xludf.DUMMYFUNCTION("""COMPUTED_VALUE"""),"DESTINATARIO NO CONTESTA LLAMADAS NI WHATSAPP")</f>
        <v>DESTINATARIO NO CONTESTA LLAMADAS NI WHATSAPP</v>
      </c>
      <c r="AG711" s="65" t="str">
        <f>IFERROR(__xludf.DUMMYFUNCTION("""COMPUTED_VALUE"""),"NO")</f>
        <v>NO</v>
      </c>
      <c r="AH711" s="65" t="str">
        <f>IFERROR(__xludf.DUMMYFUNCTION("""COMPUTED_VALUE"""),"16:23")</f>
        <v>16:23</v>
      </c>
      <c r="AI711" s="65" t="str">
        <f>IFERROR(__xludf.DUMMYFUNCTION("""COMPUTED_VALUE"""),"21-02-2026")</f>
        <v>21-02-2026</v>
      </c>
      <c r="AJ711" s="65"/>
      <c r="AK711" s="65"/>
      <c r="AL711" s="65"/>
      <c r="AM711" s="65"/>
      <c r="AN711" s="65" t="str">
        <f>IFERROR(__xludf.DUMMYFUNCTION("""COMPUTED_VALUE"""),"16:43")</f>
        <v>16:43</v>
      </c>
      <c r="AO711" s="65" t="str">
        <f>IFERROR(__xludf.DUMMYFUNCTION("""COMPUTED_VALUE"""),"23-02-2026")</f>
        <v>23-02-2026</v>
      </c>
      <c r="AP711" s="65" t="str">
        <f>IFERROR(__xludf.DUMMYFUNCTION("""COMPUTED_VALUE"""),"ENTREGADA GINTRACOM")</f>
        <v>ENTREGADA GINTRACOM</v>
      </c>
      <c r="AQ711" s="65" t="str">
        <f>IFERROR(__xludf.DUMMYFUNCTION("""COMPUTED_VALUE"""),"ENTREGADA GINTRACOM")</f>
        <v>ENTREGADA GINTRACOM</v>
      </c>
      <c r="AR711" s="65"/>
      <c r="AS711" s="65"/>
      <c r="AT711" s="65" t="str">
        <f>IFERROR(__xludf.DUMMYFUNCTION("""COMPUTED_VALUE"""),"SHOPIFY")</f>
        <v>SHOPIFY</v>
      </c>
      <c r="AU711" s="65" t="str">
        <f>IFERROR(__xludf.DUMMYFUNCTION("""COMPUTED_VALUE"""),"IMPORTEX EC")</f>
        <v>IMPORTEX EC</v>
      </c>
      <c r="AV711" s="65" t="str">
        <f>IFERROR(__xludf.DUMMYFUNCTION("""COMPUTED_VALUE"""),"6507520229420")</f>
        <v>6507520229420</v>
      </c>
      <c r="AW711" s="65">
        <f>IFERROR(__xludf.DUMMYFUNCTION("""COMPUTED_VALUE"""),6212.0)</f>
        <v>6212</v>
      </c>
      <c r="AX711" s="65"/>
      <c r="AY711" s="65" t="str">
        <f>IFERROR(__xludf.DUMMYFUNCTION("""COMPUTED_VALUE"""),"19/02/2026")</f>
        <v>19/02/2026</v>
      </c>
      <c r="AZ711" s="65"/>
      <c r="BA711" s="65"/>
    </row>
    <row r="712">
      <c r="A712" s="65" t="str">
        <f>IFERROR(__xludf.DUMMYFUNCTION("""COMPUTED_VALUE"""),"27-03-2026")</f>
        <v>27-03-2026</v>
      </c>
      <c r="B712" s="65">
        <f>IFERROR(__xludf.DUMMYFUNCTION("""COMPUTED_VALUE"""),4521137.0)</f>
        <v>4521137</v>
      </c>
      <c r="C712" s="65" t="str">
        <f>IFERROR(__xludf.DUMMYFUNCTION("""COMPUTED_VALUE"""),"07:35")</f>
        <v>07:35</v>
      </c>
      <c r="D712" s="65" t="str">
        <f>IFERROR(__xludf.DUMMYFUNCTION("""COMPUTED_VALUE"""),"16-02-2026")</f>
        <v>16-02-2026</v>
      </c>
      <c r="E712" s="65" t="str">
        <f>IFERROR(__xludf.DUMMYFUNCTION("""COMPUTED_VALUE"""),"David Tutasig")</f>
        <v>David Tutasig</v>
      </c>
      <c r="F712" s="65" t="str">
        <f>IFERROR(__xludf.DUMMYFUNCTION("""COMPUTED_VALUE"""),"997932728")</f>
        <v>997932728</v>
      </c>
      <c r="G712" s="65" t="str">
        <f>IFERROR(__xludf.DUMMYFUNCTION("""COMPUTED_VALUE"""),"tutreins987@gmail.com")</f>
        <v>tutreins987@gmail.com</v>
      </c>
      <c r="H712" s="65"/>
      <c r="I712" s="65"/>
      <c r="J712" s="65" t="str">
        <f>IFERROR(__xludf.DUMMYFUNCTION("""COMPUTED_VALUE"""),"LC52905130")</f>
        <v>LC52905130</v>
      </c>
      <c r="K712" s="65" t="str">
        <f>IFERROR(__xludf.DUMMYFUNCTION("""COMPUTED_VALUE"""),"ENTREGADO")</f>
        <v>ENTREGADO</v>
      </c>
      <c r="L712" s="65" t="str">
        <f>IFERROR(__xludf.DUMMYFUNCTION("""COMPUTED_VALUE"""),"CON RECAUDO")</f>
        <v>CON RECAUDO</v>
      </c>
      <c r="M712" s="65" t="str">
        <f>IFERROR(__xludf.DUMMYFUNCTION("""COMPUTED_VALUE"""),"TUNGURAHUA")</f>
        <v>TUNGURAHUA</v>
      </c>
      <c r="N712" s="65" t="str">
        <f>IFERROR(__xludf.DUMMYFUNCTION("""COMPUTED_VALUE"""),"BAÑOS DE AGUA SANTA")</f>
        <v>BAÑOS DE AGUA SANTA</v>
      </c>
      <c r="O712" s="65" t="str">
        <f>IFERROR(__xludf.DUMMYFUNCTION("""COMPUTED_VALUE"""),"Av. Amazonas vía al Puyo en el km 1, 100 metros antes de la estación de servicio del Sindicato de Choferes, vía principal junto al paradero el guayabal")</f>
        <v>Av. Amazonas vía al Puyo en el km 1, 100 metros antes de la estación de servicio del Sindicato de Choferes, vía principal junto al paradero el guayabal</v>
      </c>
      <c r="P712" s="65"/>
      <c r="Q712" s="65" t="str">
        <f>IFERROR(__xludf.DUMMYFUNCTION("""COMPUTED_VALUE"""),"LAARCOURIER")</f>
        <v>LAARCOURIER</v>
      </c>
      <c r="R712" s="65">
        <f>IFERROR(__xludf.DUMMYFUNCTION("""COMPUTED_VALUE"""),30.0)</f>
        <v>30</v>
      </c>
      <c r="S712" s="65">
        <f>IFERROR(__xludf.DUMMYFUNCTION("""COMPUTED_VALUE"""),15.32)</f>
        <v>15.32</v>
      </c>
      <c r="T712" s="65">
        <f>IFERROR(__xludf.DUMMYFUNCTION("""COMPUTED_VALUE"""),7.48)</f>
        <v>7.48</v>
      </c>
      <c r="U712" s="65">
        <f>IFERROR(__xludf.DUMMYFUNCTION("""COMPUTED_VALUE"""),0.0)</f>
        <v>0</v>
      </c>
      <c r="V712" s="65">
        <f>IFERROR(__xludf.DUMMYFUNCTION("""COMPUTED_VALUE"""),0.0)</f>
        <v>0</v>
      </c>
      <c r="W712" s="65">
        <f>IFERROR(__xludf.DUMMYFUNCTION("""COMPUTED_VALUE"""),0.0)</f>
        <v>0</v>
      </c>
      <c r="X712" s="65">
        <f>IFERROR(__xludf.DUMMYFUNCTION("""COMPUTED_VALUE"""),2.4)</f>
        <v>2.4</v>
      </c>
      <c r="Y712" s="65">
        <f>IFERROR(__xludf.DUMMYFUNCTION("""COMPUTED_VALUE"""),7.2)</f>
        <v>7.2</v>
      </c>
      <c r="Z712" s="65">
        <f>IFERROR(__xludf.DUMMYFUNCTION("""COMPUTED_VALUE"""),120732.0)</f>
        <v>120732</v>
      </c>
      <c r="AA712" s="65" t="str">
        <f>IFERROR(__xludf.DUMMYFUNCTION("""COMPUTED_VALUE"""),"PROV-LMPVT")</f>
        <v>PROV-LMPVT</v>
      </c>
      <c r="AB712" s="65"/>
      <c r="AC712" s="65" t="str">
        <f>IFERROR(__xludf.DUMMYFUNCTION("""COMPUTED_VALUE"""),"LIMPIADOR DE PARABRISAS Y VENTANAS")</f>
        <v>LIMPIADOR DE PARABRISAS Y VENTANAS</v>
      </c>
      <c r="AD712" s="65"/>
      <c r="AE712" s="65">
        <f>IFERROR(__xludf.DUMMYFUNCTION("""COMPUTED_VALUE"""),3.0)</f>
        <v>3</v>
      </c>
      <c r="AF712" s="65"/>
      <c r="AG712" s="65"/>
      <c r="AH712" s="65"/>
      <c r="AI712" s="65"/>
      <c r="AJ712" s="65"/>
      <c r="AK712" s="65"/>
      <c r="AL712" s="65"/>
      <c r="AM712" s="65"/>
      <c r="AN712" s="65" t="str">
        <f>IFERROR(__xludf.DUMMYFUNCTION("""COMPUTED_VALUE"""),"07:38")</f>
        <v>07:38</v>
      </c>
      <c r="AO712" s="65" t="str">
        <f>IFERROR(__xludf.DUMMYFUNCTION("""COMPUTED_VALUE"""),"23-02-2026")</f>
        <v>23-02-2026</v>
      </c>
      <c r="AP712" s="65" t="str">
        <f>IFERROR(__xludf.DUMMYFUNCTION("""COMPUTED_VALUE"""),"ZONA DE ENTREGA")</f>
        <v>ZONA DE ENTREGA</v>
      </c>
      <c r="AQ712" s="65" t="str">
        <f>IFERROR(__xludf.DUMMYFUNCTION("""COMPUTED_VALUE"""),"ZONA DE ENTREGA")</f>
        <v>ZONA DE ENTREGA</v>
      </c>
      <c r="AR712" s="65"/>
      <c r="AS712" s="65"/>
      <c r="AT712" s="65" t="str">
        <f>IFERROR(__xludf.DUMMYFUNCTION("""COMPUTED_VALUE"""),"SHOPIFY")</f>
        <v>SHOPIFY</v>
      </c>
      <c r="AU712" s="65" t="str">
        <f>IFERROR(__xludf.DUMMYFUNCTION("""COMPUTED_VALUE"""),"IMPORTEX EC")</f>
        <v>IMPORTEX EC</v>
      </c>
      <c r="AV712" s="65" t="str">
        <f>IFERROR(__xludf.DUMMYFUNCTION("""COMPUTED_VALUE"""),"6507507318828")</f>
        <v>6507507318828</v>
      </c>
      <c r="AW712" s="65">
        <f>IFERROR(__xludf.DUMMYFUNCTION("""COMPUTED_VALUE"""),6211.0)</f>
        <v>6211</v>
      </c>
      <c r="AX712" s="65"/>
      <c r="AY712" s="65" t="str">
        <f>IFERROR(__xludf.DUMMYFUNCTION("""COMPUTED_VALUE"""),"19/02/2026")</f>
        <v>19/02/2026</v>
      </c>
      <c r="AZ712" s="65"/>
      <c r="BA712" s="65"/>
    </row>
    <row r="713">
      <c r="A713" s="65" t="str">
        <f>IFERROR(__xludf.DUMMYFUNCTION("""COMPUTED_VALUE"""),"27-03-2026")</f>
        <v>27-03-2026</v>
      </c>
      <c r="B713" s="65">
        <f>IFERROR(__xludf.DUMMYFUNCTION("""COMPUTED_VALUE"""),4521015.0)</f>
        <v>4521015</v>
      </c>
      <c r="C713" s="65" t="str">
        <f>IFERROR(__xludf.DUMMYFUNCTION("""COMPUTED_VALUE"""),"07:16")</f>
        <v>07:16</v>
      </c>
      <c r="D713" s="65" t="str">
        <f>IFERROR(__xludf.DUMMYFUNCTION("""COMPUTED_VALUE"""),"16-02-2026")</f>
        <v>16-02-2026</v>
      </c>
      <c r="E713" s="65" t="str">
        <f>IFERROR(__xludf.DUMMYFUNCTION("""COMPUTED_VALUE"""),"Juan Rivas")</f>
        <v>Juan Rivas</v>
      </c>
      <c r="F713" s="65" t="str">
        <f>IFERROR(__xludf.DUMMYFUNCTION("""COMPUTED_VALUE"""),"988814882")</f>
        <v>988814882</v>
      </c>
      <c r="G713" s="65" t="str">
        <f>IFERROR(__xludf.DUMMYFUNCTION("""COMPUTED_VALUE"""),"trucha.jar@gmail.com")</f>
        <v>trucha.jar@gmail.com</v>
      </c>
      <c r="H713" s="65"/>
      <c r="I713" s="65"/>
      <c r="J713" s="65" t="str">
        <f>IFERROR(__xludf.DUMMYFUNCTION("""COMPUTED_VALUE"""),"D001340312")</f>
        <v>D001340312</v>
      </c>
      <c r="K713" s="65" t="str">
        <f>IFERROR(__xludf.DUMMYFUNCTION("""COMPUTED_VALUE"""),"ENTREGADO")</f>
        <v>ENTREGADO</v>
      </c>
      <c r="L713" s="65" t="str">
        <f>IFERROR(__xludf.DUMMYFUNCTION("""COMPUTED_VALUE"""),"CON RECAUDO")</f>
        <v>CON RECAUDO</v>
      </c>
      <c r="M713" s="65" t="str">
        <f>IFERROR(__xludf.DUMMYFUNCTION("""COMPUTED_VALUE"""),"LOJA")</f>
        <v>LOJA</v>
      </c>
      <c r="N713" s="65" t="str">
        <f>IFERROR(__xludf.DUMMYFUNCTION("""COMPUTED_VALUE"""),"LOJA")</f>
        <v>LOJA</v>
      </c>
      <c r="O713" s="65" t="str">
        <f>IFERROR(__xludf.DUMMYFUNCTION("""COMPUTED_VALUE"""),"Pedro de Leiva y Chuquiribamba La Banda - Entrada a los condominios San José")</f>
        <v>Pedro de Leiva y Chuquiribamba La Banda - Entrada a los condominios San José</v>
      </c>
      <c r="P713" s="65"/>
      <c r="Q713" s="65" t="str">
        <f>IFERROR(__xludf.DUMMYFUNCTION("""COMPUTED_VALUE"""),"GINTRACOM")</f>
        <v>GINTRACOM</v>
      </c>
      <c r="R713" s="65">
        <f>IFERROR(__xludf.DUMMYFUNCTION("""COMPUTED_VALUE"""),30.0)</f>
        <v>30</v>
      </c>
      <c r="S713" s="65">
        <f>IFERROR(__xludf.DUMMYFUNCTION("""COMPUTED_VALUE"""),16.64)</f>
        <v>16.64</v>
      </c>
      <c r="T713" s="65">
        <f>IFERROR(__xludf.DUMMYFUNCTION("""COMPUTED_VALUE"""),6.16)</f>
        <v>6.16</v>
      </c>
      <c r="U713" s="65">
        <f>IFERROR(__xludf.DUMMYFUNCTION("""COMPUTED_VALUE"""),0.0)</f>
        <v>0</v>
      </c>
      <c r="V713" s="65">
        <f>IFERROR(__xludf.DUMMYFUNCTION("""COMPUTED_VALUE"""),0.0)</f>
        <v>0</v>
      </c>
      <c r="W713" s="65">
        <f>IFERROR(__xludf.DUMMYFUNCTION("""COMPUTED_VALUE"""),0.0)</f>
        <v>0</v>
      </c>
      <c r="X713" s="65">
        <f>IFERROR(__xludf.DUMMYFUNCTION("""COMPUTED_VALUE"""),2.4)</f>
        <v>2.4</v>
      </c>
      <c r="Y713" s="65">
        <f>IFERROR(__xludf.DUMMYFUNCTION("""COMPUTED_VALUE"""),7.2)</f>
        <v>7.2</v>
      </c>
      <c r="Z713" s="65">
        <f>IFERROR(__xludf.DUMMYFUNCTION("""COMPUTED_VALUE"""),120732.0)</f>
        <v>120732</v>
      </c>
      <c r="AA713" s="65" t="str">
        <f>IFERROR(__xludf.DUMMYFUNCTION("""COMPUTED_VALUE"""),"PROV-LMPVT")</f>
        <v>PROV-LMPVT</v>
      </c>
      <c r="AB713" s="65"/>
      <c r="AC713" s="65" t="str">
        <f>IFERROR(__xludf.DUMMYFUNCTION("""COMPUTED_VALUE"""),"LIMPIADOR DE PARABRISAS Y VENTANAS")</f>
        <v>LIMPIADOR DE PARABRISAS Y VENTANAS</v>
      </c>
      <c r="AD713" s="65"/>
      <c r="AE713" s="65">
        <f>IFERROR(__xludf.DUMMYFUNCTION("""COMPUTED_VALUE"""),3.0)</f>
        <v>3</v>
      </c>
      <c r="AF713" s="65"/>
      <c r="AG713" s="65"/>
      <c r="AH713" s="65"/>
      <c r="AI713" s="65"/>
      <c r="AJ713" s="65"/>
      <c r="AK713" s="65"/>
      <c r="AL713" s="65"/>
      <c r="AM713" s="65"/>
      <c r="AN713" s="65" t="str">
        <f>IFERROR(__xludf.DUMMYFUNCTION("""COMPUTED_VALUE"""),"12:14")</f>
        <v>12:14</v>
      </c>
      <c r="AO713" s="65" t="str">
        <f>IFERROR(__xludf.DUMMYFUNCTION("""COMPUTED_VALUE"""),"21-02-2026")</f>
        <v>21-02-2026</v>
      </c>
      <c r="AP713" s="65" t="str">
        <f>IFERROR(__xludf.DUMMYFUNCTION("""COMPUTED_VALUE"""),"ENTREGADA GINTRACOM")</f>
        <v>ENTREGADA GINTRACOM</v>
      </c>
      <c r="AQ713" s="65" t="str">
        <f>IFERROR(__xludf.DUMMYFUNCTION("""COMPUTED_VALUE"""),"ENTREGADA GINTRACOM")</f>
        <v>ENTREGADA GINTRACOM</v>
      </c>
      <c r="AR713" s="65"/>
      <c r="AS713" s="65"/>
      <c r="AT713" s="65" t="str">
        <f>IFERROR(__xludf.DUMMYFUNCTION("""COMPUTED_VALUE"""),"SHOPIFY")</f>
        <v>SHOPIFY</v>
      </c>
      <c r="AU713" s="65" t="str">
        <f>IFERROR(__xludf.DUMMYFUNCTION("""COMPUTED_VALUE"""),"IMPORTEX EC")</f>
        <v>IMPORTEX EC</v>
      </c>
      <c r="AV713" s="65" t="str">
        <f>IFERROR(__xludf.DUMMYFUNCTION("""COMPUTED_VALUE"""),"6507491295276")</f>
        <v>6507491295276</v>
      </c>
      <c r="AW713" s="65">
        <f>IFERROR(__xludf.DUMMYFUNCTION("""COMPUTED_VALUE"""),6209.0)</f>
        <v>6209</v>
      </c>
      <c r="AX713" s="65"/>
      <c r="AY713" s="65" t="str">
        <f>IFERROR(__xludf.DUMMYFUNCTION("""COMPUTED_VALUE"""),"19/02/2026")</f>
        <v>19/02/2026</v>
      </c>
      <c r="AZ713" s="65"/>
      <c r="BA713" s="65"/>
    </row>
    <row r="714">
      <c r="A714" s="65" t="str">
        <f>IFERROR(__xludf.DUMMYFUNCTION("""COMPUTED_VALUE"""),"27-03-2026")</f>
        <v>27-03-2026</v>
      </c>
      <c r="B714" s="65">
        <f>IFERROR(__xludf.DUMMYFUNCTION("""COMPUTED_VALUE"""),4520841.0)</f>
        <v>4520841</v>
      </c>
      <c r="C714" s="65" t="str">
        <f>IFERROR(__xludf.DUMMYFUNCTION("""COMPUTED_VALUE"""),"06:33")</f>
        <v>06:33</v>
      </c>
      <c r="D714" s="65" t="str">
        <f>IFERROR(__xludf.DUMMYFUNCTION("""COMPUTED_VALUE"""),"16-02-2026")</f>
        <v>16-02-2026</v>
      </c>
      <c r="E714" s="65" t="str">
        <f>IFERROR(__xludf.DUMMYFUNCTION("""COMPUTED_VALUE"""),"Myriam jaguaco")</f>
        <v>Myriam jaguaco</v>
      </c>
      <c r="F714" s="65" t="str">
        <f>IFERROR(__xludf.DUMMYFUNCTION("""COMPUTED_VALUE"""),"986704993")</f>
        <v>986704993</v>
      </c>
      <c r="G714" s="65" t="str">
        <f>IFERROR(__xludf.DUMMYFUNCTION("""COMPUTED_VALUE"""),"myrianja75@hotmail.com")</f>
        <v>myrianja75@hotmail.com</v>
      </c>
      <c r="H714" s="65"/>
      <c r="I714" s="65"/>
      <c r="J714" s="65" t="str">
        <f>IFERROR(__xludf.DUMMYFUNCTION("""COMPUTED_VALUE"""),"D001340313")</f>
        <v>D001340313</v>
      </c>
      <c r="K714" s="65" t="str">
        <f>IFERROR(__xludf.DUMMYFUNCTION("""COMPUTED_VALUE"""),"ENTREGADO")</f>
        <v>ENTREGADO</v>
      </c>
      <c r="L714" s="65" t="str">
        <f>IFERROR(__xludf.DUMMYFUNCTION("""COMPUTED_VALUE"""),"CON RECAUDO")</f>
        <v>CON RECAUDO</v>
      </c>
      <c r="M714" s="65" t="str">
        <f>IFERROR(__xludf.DUMMYFUNCTION("""COMPUTED_VALUE"""),"PICHINCHA")</f>
        <v>PICHINCHA</v>
      </c>
      <c r="N714" s="65" t="str">
        <f>IFERROR(__xludf.DUMMYFUNCTION("""COMPUTED_VALUE"""),"CONOCOTO")</f>
        <v>CONOCOTO</v>
      </c>
      <c r="O714" s="65" t="str">
        <f>IFERROR(__xludf.DUMMYFUNCTION("""COMPUTED_VALUE"""),"Catalina Herrera N #11-101 y Fernández de Heredia")</f>
        <v>Catalina Herrera N #11-101 y Fernández de Heredia</v>
      </c>
      <c r="P714" s="65"/>
      <c r="Q714" s="65" t="str">
        <f>IFERROR(__xludf.DUMMYFUNCTION("""COMPUTED_VALUE"""),"GINTRACOM")</f>
        <v>GINTRACOM</v>
      </c>
      <c r="R714" s="65">
        <f>IFERROR(__xludf.DUMMYFUNCTION("""COMPUTED_VALUE"""),30.0)</f>
        <v>30</v>
      </c>
      <c r="S714" s="65">
        <f>IFERROR(__xludf.DUMMYFUNCTION("""COMPUTED_VALUE"""),16.64)</f>
        <v>16.64</v>
      </c>
      <c r="T714" s="65">
        <f>IFERROR(__xludf.DUMMYFUNCTION("""COMPUTED_VALUE"""),6.16)</f>
        <v>6.16</v>
      </c>
      <c r="U714" s="65">
        <f>IFERROR(__xludf.DUMMYFUNCTION("""COMPUTED_VALUE"""),0.0)</f>
        <v>0</v>
      </c>
      <c r="V714" s="65">
        <f>IFERROR(__xludf.DUMMYFUNCTION("""COMPUTED_VALUE"""),0.0)</f>
        <v>0</v>
      </c>
      <c r="W714" s="65">
        <f>IFERROR(__xludf.DUMMYFUNCTION("""COMPUTED_VALUE"""),0.0)</f>
        <v>0</v>
      </c>
      <c r="X714" s="65">
        <f>IFERROR(__xludf.DUMMYFUNCTION("""COMPUTED_VALUE"""),2.4)</f>
        <v>2.4</v>
      </c>
      <c r="Y714" s="65">
        <f>IFERROR(__xludf.DUMMYFUNCTION("""COMPUTED_VALUE"""),7.2)</f>
        <v>7.2</v>
      </c>
      <c r="Z714" s="65">
        <f>IFERROR(__xludf.DUMMYFUNCTION("""COMPUTED_VALUE"""),120732.0)</f>
        <v>120732</v>
      </c>
      <c r="AA714" s="65" t="str">
        <f>IFERROR(__xludf.DUMMYFUNCTION("""COMPUTED_VALUE"""),"PROV-LMPVT")</f>
        <v>PROV-LMPVT</v>
      </c>
      <c r="AB714" s="65"/>
      <c r="AC714" s="65" t="str">
        <f>IFERROR(__xludf.DUMMYFUNCTION("""COMPUTED_VALUE"""),"LIMPIADOR DE PARABRISAS Y VENTANAS")</f>
        <v>LIMPIADOR DE PARABRISAS Y VENTANAS</v>
      </c>
      <c r="AD714" s="65"/>
      <c r="AE714" s="65">
        <f>IFERROR(__xludf.DUMMYFUNCTION("""COMPUTED_VALUE"""),3.0)</f>
        <v>3</v>
      </c>
      <c r="AF714" s="65"/>
      <c r="AG714" s="65"/>
      <c r="AH714" s="65"/>
      <c r="AI714" s="65"/>
      <c r="AJ714" s="65"/>
      <c r="AK714" s="65"/>
      <c r="AL714" s="65"/>
      <c r="AM714" s="65"/>
      <c r="AN714" s="65" t="str">
        <f>IFERROR(__xludf.DUMMYFUNCTION("""COMPUTED_VALUE"""),"08:48")</f>
        <v>08:48</v>
      </c>
      <c r="AO714" s="65" t="str">
        <f>IFERROR(__xludf.DUMMYFUNCTION("""COMPUTED_VALUE"""),"21-02-2026")</f>
        <v>21-02-2026</v>
      </c>
      <c r="AP714" s="65" t="str">
        <f>IFERROR(__xludf.DUMMYFUNCTION("""COMPUTED_VALUE"""),"EN REPARTO")</f>
        <v>EN REPARTO</v>
      </c>
      <c r="AQ714" s="65" t="str">
        <f>IFERROR(__xludf.DUMMYFUNCTION("""COMPUTED_VALUE"""),"EN REPARTO")</f>
        <v>EN REPARTO</v>
      </c>
      <c r="AR714" s="65"/>
      <c r="AS714" s="65"/>
      <c r="AT714" s="65" t="str">
        <f>IFERROR(__xludf.DUMMYFUNCTION("""COMPUTED_VALUE"""),"SHOPIFY")</f>
        <v>SHOPIFY</v>
      </c>
      <c r="AU714" s="65" t="str">
        <f>IFERROR(__xludf.DUMMYFUNCTION("""COMPUTED_VALUE"""),"IMPORTEX EC")</f>
        <v>IMPORTEX EC</v>
      </c>
      <c r="AV714" s="65" t="str">
        <f>IFERROR(__xludf.DUMMYFUNCTION("""COMPUTED_VALUE"""),"6507462000684")</f>
        <v>6507462000684</v>
      </c>
      <c r="AW714" s="65">
        <f>IFERROR(__xludf.DUMMYFUNCTION("""COMPUTED_VALUE"""),6207.0)</f>
        <v>6207</v>
      </c>
      <c r="AX714" s="65"/>
      <c r="AY714" s="65" t="str">
        <f>IFERROR(__xludf.DUMMYFUNCTION("""COMPUTED_VALUE"""),"19/02/2026")</f>
        <v>19/02/2026</v>
      </c>
      <c r="AZ714" s="65"/>
      <c r="BA714" s="65"/>
    </row>
    <row r="715">
      <c r="A715" s="65" t="str">
        <f>IFERROR(__xludf.DUMMYFUNCTION("""COMPUTED_VALUE"""),"27-03-2026")</f>
        <v>27-03-2026</v>
      </c>
      <c r="B715" s="65">
        <f>IFERROR(__xludf.DUMMYFUNCTION("""COMPUTED_VALUE"""),4520816.0)</f>
        <v>4520816</v>
      </c>
      <c r="C715" s="65" t="str">
        <f>IFERROR(__xludf.DUMMYFUNCTION("""COMPUTED_VALUE"""),"06:26")</f>
        <v>06:26</v>
      </c>
      <c r="D715" s="65" t="str">
        <f>IFERROR(__xludf.DUMMYFUNCTION("""COMPUTED_VALUE"""),"16-02-2026")</f>
        <v>16-02-2026</v>
      </c>
      <c r="E715" s="65" t="str">
        <f>IFERROR(__xludf.DUMMYFUNCTION("""COMPUTED_VALUE"""),"Diana Fabiola Avila Cordova Ávila Cordova")</f>
        <v>Diana Fabiola Avila Cordova Ávila Cordova</v>
      </c>
      <c r="F715" s="65" t="str">
        <f>IFERROR(__xludf.DUMMYFUNCTION("""COMPUTED_VALUE"""),"994173683")</f>
        <v>994173683</v>
      </c>
      <c r="G715" s="65" t="str">
        <f>IFERROR(__xludf.DUMMYFUNCTION("""COMPUTED_VALUE"""),"prestocar43@gmail.com")</f>
        <v>prestocar43@gmail.com</v>
      </c>
      <c r="H715" s="65"/>
      <c r="I715" s="65"/>
      <c r="J715" s="65" t="str">
        <f>IFERROR(__xludf.DUMMYFUNCTION("""COMPUTED_VALUE"""),"D001340314")</f>
        <v>D001340314</v>
      </c>
      <c r="K715" s="65" t="str">
        <f>IFERROR(__xludf.DUMMYFUNCTION("""COMPUTED_VALUE"""),"ENTREGADO")</f>
        <v>ENTREGADO</v>
      </c>
      <c r="L715" s="65" t="str">
        <f>IFERROR(__xludf.DUMMYFUNCTION("""COMPUTED_VALUE"""),"CON RECAUDO")</f>
        <v>CON RECAUDO</v>
      </c>
      <c r="M715" s="65" t="str">
        <f>IFERROR(__xludf.DUMMYFUNCTION("""COMPUTED_VALUE"""),"LOS RIOS")</f>
        <v>LOS RIOS</v>
      </c>
      <c r="N715" s="65" t="str">
        <f>IFERROR(__xludf.DUMMYFUNCTION("""COMPUTED_VALUE"""),"QUEVEDO")</f>
        <v>QUEVEDO</v>
      </c>
      <c r="O715" s="65" t="str">
        <f>IFERROR(__xludf.DUMMYFUNCTION("""COMPUTED_VALUE"""),"Décima séptima 310 y  Vicente Rocafuerte -")</f>
        <v>Décima séptima 310 y  Vicente Rocafuerte -</v>
      </c>
      <c r="P715" s="65"/>
      <c r="Q715" s="65" t="str">
        <f>IFERROR(__xludf.DUMMYFUNCTION("""COMPUTED_VALUE"""),"GINTRACOM")</f>
        <v>GINTRACOM</v>
      </c>
      <c r="R715" s="65">
        <f>IFERROR(__xludf.DUMMYFUNCTION("""COMPUTED_VALUE"""),25.0)</f>
        <v>25</v>
      </c>
      <c r="S715" s="65">
        <f>IFERROR(__xludf.DUMMYFUNCTION("""COMPUTED_VALUE"""),14.24)</f>
        <v>14.24</v>
      </c>
      <c r="T715" s="65">
        <f>IFERROR(__xludf.DUMMYFUNCTION("""COMPUTED_VALUE"""),5.96)</f>
        <v>5.96</v>
      </c>
      <c r="U715" s="65">
        <f>IFERROR(__xludf.DUMMYFUNCTION("""COMPUTED_VALUE"""),0.0)</f>
        <v>0</v>
      </c>
      <c r="V715" s="65">
        <f>IFERROR(__xludf.DUMMYFUNCTION("""COMPUTED_VALUE"""),0.0)</f>
        <v>0</v>
      </c>
      <c r="W715" s="65">
        <f>IFERROR(__xludf.DUMMYFUNCTION("""COMPUTED_VALUE"""),0.0)</f>
        <v>0</v>
      </c>
      <c r="X715" s="65">
        <f>IFERROR(__xludf.DUMMYFUNCTION("""COMPUTED_VALUE"""),2.4)</f>
        <v>2.4</v>
      </c>
      <c r="Y715" s="65">
        <f>IFERROR(__xludf.DUMMYFUNCTION("""COMPUTED_VALUE"""),4.8)</f>
        <v>4.8</v>
      </c>
      <c r="Z715" s="65">
        <f>IFERROR(__xludf.DUMMYFUNCTION("""COMPUTED_VALUE"""),120732.0)</f>
        <v>120732</v>
      </c>
      <c r="AA715" s="65" t="str">
        <f>IFERROR(__xludf.DUMMYFUNCTION("""COMPUTED_VALUE"""),"PROV-LMPVT")</f>
        <v>PROV-LMPVT</v>
      </c>
      <c r="AB715" s="65"/>
      <c r="AC715" s="65" t="str">
        <f>IFERROR(__xludf.DUMMYFUNCTION("""COMPUTED_VALUE"""),"LIMPIADOR DE PARABRISAS Y VENTANAS")</f>
        <v>LIMPIADOR DE PARABRISAS Y VENTANAS</v>
      </c>
      <c r="AD715" s="65"/>
      <c r="AE715" s="65">
        <f>IFERROR(__xludf.DUMMYFUNCTION("""COMPUTED_VALUE"""),2.0)</f>
        <v>2</v>
      </c>
      <c r="AF715" s="65"/>
      <c r="AG715" s="65"/>
      <c r="AH715" s="65"/>
      <c r="AI715" s="65"/>
      <c r="AJ715" s="65"/>
      <c r="AK715" s="65"/>
      <c r="AL715" s="65"/>
      <c r="AM715" s="65"/>
      <c r="AN715" s="65" t="str">
        <f>IFERROR(__xludf.DUMMYFUNCTION("""COMPUTED_VALUE"""),"11:56")</f>
        <v>11:56</v>
      </c>
      <c r="AO715" s="65" t="str">
        <f>IFERROR(__xludf.DUMMYFUNCTION("""COMPUTED_VALUE"""),"21-02-2026")</f>
        <v>21-02-2026</v>
      </c>
      <c r="AP715" s="65" t="str">
        <f>IFERROR(__xludf.DUMMYFUNCTION("""COMPUTED_VALUE"""),"EN REPARTO")</f>
        <v>EN REPARTO</v>
      </c>
      <c r="AQ715" s="65" t="str">
        <f>IFERROR(__xludf.DUMMYFUNCTION("""COMPUTED_VALUE"""),"EN REPARTO")</f>
        <v>EN REPARTO</v>
      </c>
      <c r="AR715" s="65"/>
      <c r="AS715" s="65"/>
      <c r="AT715" s="65" t="str">
        <f>IFERROR(__xludf.DUMMYFUNCTION("""COMPUTED_VALUE"""),"SHOPIFY")</f>
        <v>SHOPIFY</v>
      </c>
      <c r="AU715" s="65" t="str">
        <f>IFERROR(__xludf.DUMMYFUNCTION("""COMPUTED_VALUE"""),"IMPORTEX EC")</f>
        <v>IMPORTEX EC</v>
      </c>
      <c r="AV715" s="65" t="str">
        <f>IFERROR(__xludf.DUMMYFUNCTION("""COMPUTED_VALUE"""),"6507458199596")</f>
        <v>6507458199596</v>
      </c>
      <c r="AW715" s="65">
        <f>IFERROR(__xludf.DUMMYFUNCTION("""COMPUTED_VALUE"""),6206.0)</f>
        <v>6206</v>
      </c>
      <c r="AX715" s="65"/>
      <c r="AY715" s="65" t="str">
        <f>IFERROR(__xludf.DUMMYFUNCTION("""COMPUTED_VALUE"""),"19/02/2026")</f>
        <v>19/02/2026</v>
      </c>
      <c r="AZ715" s="65"/>
      <c r="BA715" s="65"/>
    </row>
    <row r="716">
      <c r="A716" s="65" t="str">
        <f>IFERROR(__xludf.DUMMYFUNCTION("""COMPUTED_VALUE"""),"27-03-2026")</f>
        <v>27-03-2026</v>
      </c>
      <c r="B716" s="65">
        <f>IFERROR(__xludf.DUMMYFUNCTION("""COMPUTED_VALUE"""),4520774.0)</f>
        <v>4520774</v>
      </c>
      <c r="C716" s="65" t="str">
        <f>IFERROR(__xludf.DUMMYFUNCTION("""COMPUTED_VALUE"""),"06:07")</f>
        <v>06:07</v>
      </c>
      <c r="D716" s="65" t="str">
        <f>IFERROR(__xludf.DUMMYFUNCTION("""COMPUTED_VALUE"""),"16-02-2026")</f>
        <v>16-02-2026</v>
      </c>
      <c r="E716" s="65" t="str">
        <f>IFERROR(__xludf.DUMMYFUNCTION("""COMPUTED_VALUE"""),"Jefferson Valverde")</f>
        <v>Jefferson Valverde</v>
      </c>
      <c r="F716" s="65" t="str">
        <f>IFERROR(__xludf.DUMMYFUNCTION("""COMPUTED_VALUE"""),"980928708")</f>
        <v>980928708</v>
      </c>
      <c r="G716" s="65" t="str">
        <f>IFERROR(__xludf.DUMMYFUNCTION("""COMPUTED_VALUE"""),"lavadoravalverde@hotmail.com")</f>
        <v>lavadoravalverde@hotmail.com</v>
      </c>
      <c r="H716" s="65"/>
      <c r="I716" s="65"/>
      <c r="J716" s="65"/>
      <c r="K716" s="65" t="str">
        <f>IFERROR(__xludf.DUMMYFUNCTION("""COMPUTED_VALUE"""),"PENDIENTE CONFIRMACION")</f>
        <v>PENDIENTE CONFIRMACION</v>
      </c>
      <c r="L716" s="65" t="str">
        <f>IFERROR(__xludf.DUMMYFUNCTION("""COMPUTED_VALUE"""),"CON RECAUDO")</f>
        <v>CON RECAUDO</v>
      </c>
      <c r="M716" s="65" t="str">
        <f>IFERROR(__xludf.DUMMYFUNCTION("""COMPUTED_VALUE"""),"PICHINCHA")</f>
        <v>PICHINCHA</v>
      </c>
      <c r="N716" s="65" t="str">
        <f>IFERROR(__xludf.DUMMYFUNCTION("""COMPUTED_VALUE"""),"PUERTO QUITO")</f>
        <v>PUERTO QUITO</v>
      </c>
      <c r="O716" s="65" t="str">
        <f>IFERROR(__xludf.DUMMYFUNCTION("""COMPUTED_VALUE"""),"Km 42 Avenida Simon plata torres -")</f>
        <v>Km 42 Avenida Simon plata torres -</v>
      </c>
      <c r="P716" s="65"/>
      <c r="Q716" s="65" t="str">
        <f>IFERROR(__xludf.DUMMYFUNCTION("""COMPUTED_VALUE"""),"LAARCOURIER")</f>
        <v>LAARCOURIER</v>
      </c>
      <c r="R716" s="65">
        <f>IFERROR(__xludf.DUMMYFUNCTION("""COMPUTED_VALUE"""),30.0)</f>
        <v>30</v>
      </c>
      <c r="S716" s="65"/>
      <c r="T716" s="65">
        <f>IFERROR(__xludf.DUMMYFUNCTION("""COMPUTED_VALUE"""),7.48)</f>
        <v>7.48</v>
      </c>
      <c r="U716" s="65">
        <f>IFERROR(__xludf.DUMMYFUNCTION("""COMPUTED_VALUE"""),0.0)</f>
        <v>0</v>
      </c>
      <c r="V716" s="65">
        <f>IFERROR(__xludf.DUMMYFUNCTION("""COMPUTED_VALUE"""),0.0)</f>
        <v>0</v>
      </c>
      <c r="W716" s="65">
        <f>IFERROR(__xludf.DUMMYFUNCTION("""COMPUTED_VALUE"""),0.0)</f>
        <v>0</v>
      </c>
      <c r="X716" s="65">
        <f>IFERROR(__xludf.DUMMYFUNCTION("""COMPUTED_VALUE"""),2.4)</f>
        <v>2.4</v>
      </c>
      <c r="Y716" s="65">
        <f>IFERROR(__xludf.DUMMYFUNCTION("""COMPUTED_VALUE"""),7.2)</f>
        <v>7.2</v>
      </c>
      <c r="Z716" s="65">
        <f>IFERROR(__xludf.DUMMYFUNCTION("""COMPUTED_VALUE"""),120732.0)</f>
        <v>120732</v>
      </c>
      <c r="AA716" s="65" t="str">
        <f>IFERROR(__xludf.DUMMYFUNCTION("""COMPUTED_VALUE"""),"PROV-LMPVT")</f>
        <v>PROV-LMPVT</v>
      </c>
      <c r="AB716" s="65"/>
      <c r="AC716" s="65" t="str">
        <f>IFERROR(__xludf.DUMMYFUNCTION("""COMPUTED_VALUE"""),"LIMPIADOR DE PARABRISAS Y VENTANAS")</f>
        <v>LIMPIADOR DE PARABRISAS Y VENTANAS</v>
      </c>
      <c r="AD716" s="65"/>
      <c r="AE716" s="65">
        <f>IFERROR(__xludf.DUMMYFUNCTION("""COMPUTED_VALUE"""),3.0)</f>
        <v>3</v>
      </c>
      <c r="AF716" s="65"/>
      <c r="AG716" s="65"/>
      <c r="AH716" s="65"/>
      <c r="AI716" s="65"/>
      <c r="AJ716" s="65"/>
      <c r="AK716" s="65"/>
      <c r="AL716" s="65"/>
      <c r="AM716" s="65"/>
      <c r="AN716" s="65"/>
      <c r="AO716" s="65"/>
      <c r="AP716" s="65"/>
      <c r="AQ716" s="65"/>
      <c r="AR716" s="65"/>
      <c r="AS716" s="65"/>
      <c r="AT716" s="65" t="str">
        <f>IFERROR(__xludf.DUMMYFUNCTION("""COMPUTED_VALUE"""),"SHOPIFY")</f>
        <v>SHOPIFY</v>
      </c>
      <c r="AU716" s="65" t="str">
        <f>IFERROR(__xludf.DUMMYFUNCTION("""COMPUTED_VALUE"""),"IMPORTEX EC")</f>
        <v>IMPORTEX EC</v>
      </c>
      <c r="AV716" s="65" t="str">
        <f>IFERROR(__xludf.DUMMYFUNCTION("""COMPUTED_VALUE"""),"6507447287852")</f>
        <v>6507447287852</v>
      </c>
      <c r="AW716" s="65">
        <f>IFERROR(__xludf.DUMMYFUNCTION("""COMPUTED_VALUE"""),6205.0)</f>
        <v>6205</v>
      </c>
      <c r="AX716" s="65"/>
      <c r="AY716" s="65"/>
      <c r="AZ716" s="65"/>
      <c r="BA716" s="65"/>
    </row>
    <row r="717">
      <c r="A717" s="65" t="str">
        <f>IFERROR(__xludf.DUMMYFUNCTION("""COMPUTED_VALUE"""),"27-03-2026")</f>
        <v>27-03-2026</v>
      </c>
      <c r="B717" s="65">
        <f>IFERROR(__xludf.DUMMYFUNCTION("""COMPUTED_VALUE"""),4520771.0)</f>
        <v>4520771</v>
      </c>
      <c r="C717" s="65" t="str">
        <f>IFERROR(__xludf.DUMMYFUNCTION("""COMPUTED_VALUE"""),"06:05")</f>
        <v>06:05</v>
      </c>
      <c r="D717" s="65" t="str">
        <f>IFERROR(__xludf.DUMMYFUNCTION("""COMPUTED_VALUE"""),"16-02-2026")</f>
        <v>16-02-2026</v>
      </c>
      <c r="E717" s="65" t="str">
        <f>IFERROR(__xludf.DUMMYFUNCTION("""COMPUTED_VALUE"""),"Miguel Garcia")</f>
        <v>Miguel Garcia</v>
      </c>
      <c r="F717" s="65" t="str">
        <f>IFERROR(__xludf.DUMMYFUNCTION("""COMPUTED_VALUE"""),"994812244")</f>
        <v>994812244</v>
      </c>
      <c r="G717" s="65" t="str">
        <f>IFERROR(__xludf.DUMMYFUNCTION("""COMPUTED_VALUE"""),"mediapixel01@hotmail.com")</f>
        <v>mediapixel01@hotmail.com</v>
      </c>
      <c r="H717" s="65"/>
      <c r="I717" s="65"/>
      <c r="J717" s="65" t="str">
        <f>IFERROR(__xludf.DUMMYFUNCTION("""COMPUTED_VALUE"""),"D001340315")</f>
        <v>D001340315</v>
      </c>
      <c r="K717" s="65" t="str">
        <f>IFERROR(__xludf.DUMMYFUNCTION("""COMPUTED_VALUE"""),"ENTREGADO")</f>
        <v>ENTREGADO</v>
      </c>
      <c r="L717" s="65" t="str">
        <f>IFERROR(__xludf.DUMMYFUNCTION("""COMPUTED_VALUE"""),"CON RECAUDO")</f>
        <v>CON RECAUDO</v>
      </c>
      <c r="M717" s="65" t="str">
        <f>IFERROR(__xludf.DUMMYFUNCTION("""COMPUTED_VALUE"""),"PICHINCHA")</f>
        <v>PICHINCHA</v>
      </c>
      <c r="N717" s="65" t="str">
        <f>IFERROR(__xludf.DUMMYFUNCTION("""COMPUTED_VALUE"""),"QUITO")</f>
        <v>QUITO</v>
      </c>
      <c r="O717" s="65" t="str">
        <f>IFERROR(__xludf.DUMMYFUNCTION("""COMPUTED_VALUE"""),"Quitumbe ÑAN Y Rene Hidalgo -  Inflables Mijaia -")</f>
        <v>Quitumbe ÑAN Y Rene Hidalgo -  Inflables Mijaia -</v>
      </c>
      <c r="P717" s="65"/>
      <c r="Q717" s="65" t="str">
        <f>IFERROR(__xludf.DUMMYFUNCTION("""COMPUTED_VALUE"""),"GINTRACOM")</f>
        <v>GINTRACOM</v>
      </c>
      <c r="R717" s="65">
        <f>IFERROR(__xludf.DUMMYFUNCTION("""COMPUTED_VALUE"""),25.0)</f>
        <v>25</v>
      </c>
      <c r="S717" s="65">
        <f>IFERROR(__xludf.DUMMYFUNCTION("""COMPUTED_VALUE"""),14.24)</f>
        <v>14.24</v>
      </c>
      <c r="T717" s="65">
        <f>IFERROR(__xludf.DUMMYFUNCTION("""COMPUTED_VALUE"""),5.96)</f>
        <v>5.96</v>
      </c>
      <c r="U717" s="65">
        <f>IFERROR(__xludf.DUMMYFUNCTION("""COMPUTED_VALUE"""),0.0)</f>
        <v>0</v>
      </c>
      <c r="V717" s="65">
        <f>IFERROR(__xludf.DUMMYFUNCTION("""COMPUTED_VALUE"""),0.0)</f>
        <v>0</v>
      </c>
      <c r="W717" s="65">
        <f>IFERROR(__xludf.DUMMYFUNCTION("""COMPUTED_VALUE"""),0.0)</f>
        <v>0</v>
      </c>
      <c r="X717" s="65">
        <f>IFERROR(__xludf.DUMMYFUNCTION("""COMPUTED_VALUE"""),2.4)</f>
        <v>2.4</v>
      </c>
      <c r="Y717" s="65">
        <f>IFERROR(__xludf.DUMMYFUNCTION("""COMPUTED_VALUE"""),4.8)</f>
        <v>4.8</v>
      </c>
      <c r="Z717" s="65">
        <f>IFERROR(__xludf.DUMMYFUNCTION("""COMPUTED_VALUE"""),120732.0)</f>
        <v>120732</v>
      </c>
      <c r="AA717" s="65" t="str">
        <f>IFERROR(__xludf.DUMMYFUNCTION("""COMPUTED_VALUE"""),"PROV-LMPVT")</f>
        <v>PROV-LMPVT</v>
      </c>
      <c r="AB717" s="65"/>
      <c r="AC717" s="65" t="str">
        <f>IFERROR(__xludf.DUMMYFUNCTION("""COMPUTED_VALUE"""),"LIMPIADOR DE PARABRISAS Y VENTANAS")</f>
        <v>LIMPIADOR DE PARABRISAS Y VENTANAS</v>
      </c>
      <c r="AD717" s="65"/>
      <c r="AE717" s="65">
        <f>IFERROR(__xludf.DUMMYFUNCTION("""COMPUTED_VALUE"""),2.0)</f>
        <v>2</v>
      </c>
      <c r="AF717" s="65"/>
      <c r="AG717" s="65"/>
      <c r="AH717" s="65"/>
      <c r="AI717" s="65"/>
      <c r="AJ717" s="65"/>
      <c r="AK717" s="65"/>
      <c r="AL717" s="65"/>
      <c r="AM717" s="65"/>
      <c r="AN717" s="65" t="str">
        <f>IFERROR(__xludf.DUMMYFUNCTION("""COMPUTED_VALUE"""),"15:52")</f>
        <v>15:52</v>
      </c>
      <c r="AO717" s="65" t="str">
        <f>IFERROR(__xludf.DUMMYFUNCTION("""COMPUTED_VALUE"""),"20-02-2026")</f>
        <v>20-02-2026</v>
      </c>
      <c r="AP717" s="65" t="str">
        <f>IFERROR(__xludf.DUMMYFUNCTION("""COMPUTED_VALUE"""),"ENTREGADA GINTRACOM")</f>
        <v>ENTREGADA GINTRACOM</v>
      </c>
      <c r="AQ717" s="65" t="str">
        <f>IFERROR(__xludf.DUMMYFUNCTION("""COMPUTED_VALUE"""),"ENTREGADA GINTRACOM")</f>
        <v>ENTREGADA GINTRACOM</v>
      </c>
      <c r="AR717" s="65"/>
      <c r="AS717" s="65"/>
      <c r="AT717" s="65" t="str">
        <f>IFERROR(__xludf.DUMMYFUNCTION("""COMPUTED_VALUE"""),"SHOPIFY")</f>
        <v>SHOPIFY</v>
      </c>
      <c r="AU717" s="65" t="str">
        <f>IFERROR(__xludf.DUMMYFUNCTION("""COMPUTED_VALUE"""),"IMPORTEX EC")</f>
        <v>IMPORTEX EC</v>
      </c>
      <c r="AV717" s="65" t="str">
        <f>IFERROR(__xludf.DUMMYFUNCTION("""COMPUTED_VALUE"""),"6507445780524")</f>
        <v>6507445780524</v>
      </c>
      <c r="AW717" s="65">
        <f>IFERROR(__xludf.DUMMYFUNCTION("""COMPUTED_VALUE"""),6204.0)</f>
        <v>6204</v>
      </c>
      <c r="AX717" s="65"/>
      <c r="AY717" s="65" t="str">
        <f>IFERROR(__xludf.DUMMYFUNCTION("""COMPUTED_VALUE"""),"19/02/2026")</f>
        <v>19/02/2026</v>
      </c>
      <c r="AZ717" s="65"/>
      <c r="BA717" s="65"/>
    </row>
    <row r="718">
      <c r="A718" s="65" t="str">
        <f>IFERROR(__xludf.DUMMYFUNCTION("""COMPUTED_VALUE"""),"27-03-2026")</f>
        <v>27-03-2026</v>
      </c>
      <c r="B718" s="65">
        <f>IFERROR(__xludf.DUMMYFUNCTION("""COMPUTED_VALUE"""),4520264.0)</f>
        <v>4520264</v>
      </c>
      <c r="C718" s="65" t="str">
        <f>IFERROR(__xludf.DUMMYFUNCTION("""COMPUTED_VALUE"""),"23:42")</f>
        <v>23:42</v>
      </c>
      <c r="D718" s="65" t="str">
        <f>IFERROR(__xludf.DUMMYFUNCTION("""COMPUTED_VALUE"""),"15-02-2026")</f>
        <v>15-02-2026</v>
      </c>
      <c r="E718" s="65" t="str">
        <f>IFERROR(__xludf.DUMMYFUNCTION("""COMPUTED_VALUE"""),"Karla Zorrilla")</f>
        <v>Karla Zorrilla</v>
      </c>
      <c r="F718" s="65" t="str">
        <f>IFERROR(__xludf.DUMMYFUNCTION("""COMPUTED_VALUE"""),"989420689")</f>
        <v>989420689</v>
      </c>
      <c r="G718" s="65" t="str">
        <f>IFERROR(__xludf.DUMMYFUNCTION("""COMPUTED_VALUE"""),"geannydelgado1@gmail.com")</f>
        <v>geannydelgado1@gmail.com</v>
      </c>
      <c r="H718" s="65"/>
      <c r="I718" s="65"/>
      <c r="J718" s="65"/>
      <c r="K718" s="65" t="str">
        <f>IFERROR(__xludf.DUMMYFUNCTION("""COMPUTED_VALUE"""),"CANCELADO")</f>
        <v>CANCELADO</v>
      </c>
      <c r="L718" s="65" t="str">
        <f>IFERROR(__xludf.DUMMYFUNCTION("""COMPUTED_VALUE"""),"CON RECAUDO")</f>
        <v>CON RECAUDO</v>
      </c>
      <c r="M718" s="65" t="str">
        <f>IFERROR(__xludf.DUMMYFUNCTION("""COMPUTED_VALUE"""),"MANABI")</f>
        <v>MANABI</v>
      </c>
      <c r="N718" s="65" t="str">
        <f>IFERROR(__xludf.DUMMYFUNCTION("""COMPUTED_VALUE"""),"PEDERNALES")</f>
        <v>PEDERNALES</v>
      </c>
      <c r="O718" s="65" t="str">
        <f>IFERROR(__xludf.DUMMYFUNCTION("""COMPUTED_VALUE"""),"Coaque por el redondel Coaque vía jama -")</f>
        <v>Coaque por el redondel Coaque vía jama -</v>
      </c>
      <c r="P718" s="65"/>
      <c r="Q718" s="65" t="str">
        <f>IFERROR(__xludf.DUMMYFUNCTION("""COMPUTED_VALUE"""),"LAARCOURIER")</f>
        <v>LAARCOURIER</v>
      </c>
      <c r="R718" s="65">
        <f>IFERROR(__xludf.DUMMYFUNCTION("""COMPUTED_VALUE"""),25.0)</f>
        <v>25</v>
      </c>
      <c r="S718" s="65"/>
      <c r="T718" s="65">
        <f>IFERROR(__xludf.DUMMYFUNCTION("""COMPUTED_VALUE"""),7.19)</f>
        <v>7.19</v>
      </c>
      <c r="U718" s="65">
        <f>IFERROR(__xludf.DUMMYFUNCTION("""COMPUTED_VALUE"""),0.0)</f>
        <v>0</v>
      </c>
      <c r="V718" s="65">
        <f>IFERROR(__xludf.DUMMYFUNCTION("""COMPUTED_VALUE"""),0.0)</f>
        <v>0</v>
      </c>
      <c r="W718" s="65">
        <f>IFERROR(__xludf.DUMMYFUNCTION("""COMPUTED_VALUE"""),0.0)</f>
        <v>0</v>
      </c>
      <c r="X718" s="65">
        <f>IFERROR(__xludf.DUMMYFUNCTION("""COMPUTED_VALUE"""),2.4)</f>
        <v>2.4</v>
      </c>
      <c r="Y718" s="65">
        <f>IFERROR(__xludf.DUMMYFUNCTION("""COMPUTED_VALUE"""),4.8)</f>
        <v>4.8</v>
      </c>
      <c r="Z718" s="65">
        <f>IFERROR(__xludf.DUMMYFUNCTION("""COMPUTED_VALUE"""),120732.0)</f>
        <v>120732</v>
      </c>
      <c r="AA718" s="65" t="str">
        <f>IFERROR(__xludf.DUMMYFUNCTION("""COMPUTED_VALUE"""),"PROV-LMPVT")</f>
        <v>PROV-LMPVT</v>
      </c>
      <c r="AB718" s="65"/>
      <c r="AC718" s="65" t="str">
        <f>IFERROR(__xludf.DUMMYFUNCTION("""COMPUTED_VALUE"""),"LIMPIADOR DE PARABRISAS Y VENTANAS")</f>
        <v>LIMPIADOR DE PARABRISAS Y VENTANAS</v>
      </c>
      <c r="AD718" s="65"/>
      <c r="AE718" s="65">
        <f>IFERROR(__xludf.DUMMYFUNCTION("""COMPUTED_VALUE"""),2.0)</f>
        <v>2</v>
      </c>
      <c r="AF718" s="65"/>
      <c r="AG718" s="65"/>
      <c r="AH718" s="65"/>
      <c r="AI718" s="65"/>
      <c r="AJ718" s="65"/>
      <c r="AK718" s="65"/>
      <c r="AL718" s="65"/>
      <c r="AM718" s="65"/>
      <c r="AN718" s="65"/>
      <c r="AO718" s="65"/>
      <c r="AP718" s="65"/>
      <c r="AQ718" s="65"/>
      <c r="AR718" s="65"/>
      <c r="AS718" s="65"/>
      <c r="AT718" s="65" t="str">
        <f>IFERROR(__xludf.DUMMYFUNCTION("""COMPUTED_VALUE"""),"SHOPIFY")</f>
        <v>SHOPIFY</v>
      </c>
      <c r="AU718" s="65" t="str">
        <f>IFERROR(__xludf.DUMMYFUNCTION("""COMPUTED_VALUE"""),"IMPORTEX EC")</f>
        <v>IMPORTEX EC</v>
      </c>
      <c r="AV718" s="65" t="str">
        <f>IFERROR(__xludf.DUMMYFUNCTION("""COMPUTED_VALUE"""),"6506990469164")</f>
        <v>6506990469164</v>
      </c>
      <c r="AW718" s="65">
        <f>IFERROR(__xludf.DUMMYFUNCTION("""COMPUTED_VALUE"""),6201.0)</f>
        <v>6201</v>
      </c>
      <c r="AX718" s="65"/>
      <c r="AY718" s="65"/>
      <c r="AZ718" s="65"/>
      <c r="BA718" s="65"/>
    </row>
    <row r="719">
      <c r="A719" s="65" t="str">
        <f>IFERROR(__xludf.DUMMYFUNCTION("""COMPUTED_VALUE"""),"27-03-2026")</f>
        <v>27-03-2026</v>
      </c>
      <c r="B719" s="65">
        <f>IFERROR(__xludf.DUMMYFUNCTION("""COMPUTED_VALUE"""),4520075.0)</f>
        <v>4520075</v>
      </c>
      <c r="C719" s="65" t="str">
        <f>IFERROR(__xludf.DUMMYFUNCTION("""COMPUTED_VALUE"""),"23:01")</f>
        <v>23:01</v>
      </c>
      <c r="D719" s="65" t="str">
        <f>IFERROR(__xludf.DUMMYFUNCTION("""COMPUTED_VALUE"""),"15-02-2026")</f>
        <v>15-02-2026</v>
      </c>
      <c r="E719" s="65" t="str">
        <f>IFERROR(__xludf.DUMMYFUNCTION("""COMPUTED_VALUE"""),"Silvia Eugenia solorzano Zambrano")</f>
        <v>Silvia Eugenia solorzano Zambrano</v>
      </c>
      <c r="F719" s="65" t="str">
        <f>IFERROR(__xludf.DUMMYFUNCTION("""COMPUTED_VALUE"""),"987524546")</f>
        <v>987524546</v>
      </c>
      <c r="G719" s="65" t="str">
        <f>IFERROR(__xludf.DUMMYFUNCTION("""COMPUTED_VALUE"""),"miazambrano1981@gmail.com")</f>
        <v>miazambrano1981@gmail.com</v>
      </c>
      <c r="H719" s="65"/>
      <c r="I719" s="65"/>
      <c r="J719" s="65"/>
      <c r="K719" s="65" t="str">
        <f>IFERROR(__xludf.DUMMYFUNCTION("""COMPUTED_VALUE"""),"CANCELADO")</f>
        <v>CANCELADO</v>
      </c>
      <c r="L719" s="65" t="str">
        <f>IFERROR(__xludf.DUMMYFUNCTION("""COMPUTED_VALUE"""),"CON RECAUDO")</f>
        <v>CON RECAUDO</v>
      </c>
      <c r="M719" s="65" t="str">
        <f>IFERROR(__xludf.DUMMYFUNCTION("""COMPUTED_VALUE"""),"PICHINCHA")</f>
        <v>PICHINCHA</v>
      </c>
      <c r="N719" s="65" t="str">
        <f>IFERROR(__xludf.DUMMYFUNCTION("""COMPUTED_VALUE"""),"CAYAMBE")</f>
        <v>CAYAMBE</v>
      </c>
      <c r="O719" s="65" t="str">
        <f>IFERROR(__xludf.DUMMYFUNCTION("""COMPUTED_VALUE"""),"Azcászubi inbabura Cayambe -")</f>
        <v>Azcászubi inbabura Cayambe -</v>
      </c>
      <c r="P719" s="65"/>
      <c r="Q719" s="65" t="str">
        <f>IFERROR(__xludf.DUMMYFUNCTION("""COMPUTED_VALUE"""),"GINTRACOM")</f>
        <v>GINTRACOM</v>
      </c>
      <c r="R719" s="65">
        <f>IFERROR(__xludf.DUMMYFUNCTION("""COMPUTED_VALUE"""),20.0)</f>
        <v>20</v>
      </c>
      <c r="S719" s="65"/>
      <c r="T719" s="65">
        <f>IFERROR(__xludf.DUMMYFUNCTION("""COMPUTED_VALUE"""),5.76)</f>
        <v>5.76</v>
      </c>
      <c r="U719" s="65">
        <f>IFERROR(__xludf.DUMMYFUNCTION("""COMPUTED_VALUE"""),0.0)</f>
        <v>0</v>
      </c>
      <c r="V719" s="65">
        <f>IFERROR(__xludf.DUMMYFUNCTION("""COMPUTED_VALUE"""),0.0)</f>
        <v>0</v>
      </c>
      <c r="W719" s="65">
        <f>IFERROR(__xludf.DUMMYFUNCTION("""COMPUTED_VALUE"""),0.0)</f>
        <v>0</v>
      </c>
      <c r="X719" s="65">
        <f>IFERROR(__xludf.DUMMYFUNCTION("""COMPUTED_VALUE"""),2.4)</f>
        <v>2.4</v>
      </c>
      <c r="Y719" s="65">
        <f>IFERROR(__xludf.DUMMYFUNCTION("""COMPUTED_VALUE"""),2.4)</f>
        <v>2.4</v>
      </c>
      <c r="Z719" s="65">
        <f>IFERROR(__xludf.DUMMYFUNCTION("""COMPUTED_VALUE"""),120732.0)</f>
        <v>120732</v>
      </c>
      <c r="AA719" s="65" t="str">
        <f>IFERROR(__xludf.DUMMYFUNCTION("""COMPUTED_VALUE"""),"PROV-LMPVT")</f>
        <v>PROV-LMPVT</v>
      </c>
      <c r="AB719" s="65"/>
      <c r="AC719" s="65" t="str">
        <f>IFERROR(__xludf.DUMMYFUNCTION("""COMPUTED_VALUE"""),"LIMPIADOR DE PARABRISAS Y VENTANAS")</f>
        <v>LIMPIADOR DE PARABRISAS Y VENTANAS</v>
      </c>
      <c r="AD719" s="65"/>
      <c r="AE719" s="65">
        <f>IFERROR(__xludf.DUMMYFUNCTION("""COMPUTED_VALUE"""),1.0)</f>
        <v>1</v>
      </c>
      <c r="AF719" s="65"/>
      <c r="AG719" s="65"/>
      <c r="AH719" s="65"/>
      <c r="AI719" s="65"/>
      <c r="AJ719" s="65"/>
      <c r="AK719" s="65"/>
      <c r="AL719" s="65"/>
      <c r="AM719" s="65"/>
      <c r="AN719" s="65"/>
      <c r="AO719" s="65"/>
      <c r="AP719" s="65"/>
      <c r="AQ719" s="65"/>
      <c r="AR719" s="65"/>
      <c r="AS719" s="65"/>
      <c r="AT719" s="65" t="str">
        <f>IFERROR(__xludf.DUMMYFUNCTION("""COMPUTED_VALUE"""),"SHOPIFY")</f>
        <v>SHOPIFY</v>
      </c>
      <c r="AU719" s="65" t="str">
        <f>IFERROR(__xludf.DUMMYFUNCTION("""COMPUTED_VALUE"""),"IMPORTEX EC")</f>
        <v>IMPORTEX EC</v>
      </c>
      <c r="AV719" s="65" t="str">
        <f>IFERROR(__xludf.DUMMYFUNCTION("""COMPUTED_VALUE"""),"6506934468652")</f>
        <v>6506934468652</v>
      </c>
      <c r="AW719" s="65">
        <f>IFERROR(__xludf.DUMMYFUNCTION("""COMPUTED_VALUE"""),6198.0)</f>
        <v>6198</v>
      </c>
      <c r="AX719" s="65"/>
      <c r="AY719" s="65"/>
      <c r="AZ719" s="65"/>
      <c r="BA719" s="65"/>
    </row>
    <row r="720">
      <c r="A720" s="65" t="str">
        <f>IFERROR(__xludf.DUMMYFUNCTION("""COMPUTED_VALUE"""),"27-03-2026")</f>
        <v>27-03-2026</v>
      </c>
      <c r="B720" s="65">
        <f>IFERROR(__xludf.DUMMYFUNCTION("""COMPUTED_VALUE"""),4519817.0)</f>
        <v>4519817</v>
      </c>
      <c r="C720" s="65" t="str">
        <f>IFERROR(__xludf.DUMMYFUNCTION("""COMPUTED_VALUE"""),"22:19")</f>
        <v>22:19</v>
      </c>
      <c r="D720" s="65" t="str">
        <f>IFERROR(__xludf.DUMMYFUNCTION("""COMPUTED_VALUE"""),"15-02-2026")</f>
        <v>15-02-2026</v>
      </c>
      <c r="E720" s="65" t="str">
        <f>IFERROR(__xludf.DUMMYFUNCTION("""COMPUTED_VALUE"""),"Victor Remache")</f>
        <v>Victor Remache</v>
      </c>
      <c r="F720" s="65" t="str">
        <f>IFERROR(__xludf.DUMMYFUNCTION("""COMPUTED_VALUE"""),"992929011")</f>
        <v>992929011</v>
      </c>
      <c r="G720" s="65" t="str">
        <f>IFERROR(__xludf.DUMMYFUNCTION("""COMPUTED_VALUE"""),"vitorsofia11@gmail.com")</f>
        <v>vitorsofia11@gmail.com</v>
      </c>
      <c r="H720" s="65"/>
      <c r="I720" s="65"/>
      <c r="J720" s="65" t="str">
        <f>IFERROR(__xludf.DUMMYFUNCTION("""COMPUTED_VALUE"""),"D001340316")</f>
        <v>D001340316</v>
      </c>
      <c r="K720" s="65" t="str">
        <f>IFERROR(__xludf.DUMMYFUNCTION("""COMPUTED_VALUE"""),"ENTREGADO")</f>
        <v>ENTREGADO</v>
      </c>
      <c r="L720" s="65" t="str">
        <f>IFERROR(__xludf.DUMMYFUNCTION("""COMPUTED_VALUE"""),"CON RECAUDO")</f>
        <v>CON RECAUDO</v>
      </c>
      <c r="M720" s="65" t="str">
        <f>IFERROR(__xludf.DUMMYFUNCTION("""COMPUTED_VALUE"""),"CHIMBORAZO")</f>
        <v>CHIMBORAZO</v>
      </c>
      <c r="N720" s="65" t="str">
        <f>IFERROR(__xludf.DUMMYFUNCTION("""COMPUTED_VALUE"""),"RIOBAMBA")</f>
        <v>RIOBAMBA</v>
      </c>
      <c r="O720" s="65" t="str">
        <f>IFERROR(__xludf.DUMMYFUNCTION("""COMPUTED_VALUE"""),"10 de agosto y Madrid, esquina de la casa de tres pisos")</f>
        <v>10 de agosto y Madrid, esquina de la casa de tres pisos</v>
      </c>
      <c r="P720" s="65"/>
      <c r="Q720" s="65" t="str">
        <f>IFERROR(__xludf.DUMMYFUNCTION("""COMPUTED_VALUE"""),"GINTRACOM")</f>
        <v>GINTRACOM</v>
      </c>
      <c r="R720" s="65">
        <f>IFERROR(__xludf.DUMMYFUNCTION("""COMPUTED_VALUE"""),20.0)</f>
        <v>20</v>
      </c>
      <c r="S720" s="65">
        <f>IFERROR(__xludf.DUMMYFUNCTION("""COMPUTED_VALUE"""),11.84)</f>
        <v>11.84</v>
      </c>
      <c r="T720" s="65">
        <f>IFERROR(__xludf.DUMMYFUNCTION("""COMPUTED_VALUE"""),5.76)</f>
        <v>5.76</v>
      </c>
      <c r="U720" s="65">
        <f>IFERROR(__xludf.DUMMYFUNCTION("""COMPUTED_VALUE"""),0.0)</f>
        <v>0</v>
      </c>
      <c r="V720" s="65">
        <f>IFERROR(__xludf.DUMMYFUNCTION("""COMPUTED_VALUE"""),0.0)</f>
        <v>0</v>
      </c>
      <c r="W720" s="65">
        <f>IFERROR(__xludf.DUMMYFUNCTION("""COMPUTED_VALUE"""),0.0)</f>
        <v>0</v>
      </c>
      <c r="X720" s="65">
        <f>IFERROR(__xludf.DUMMYFUNCTION("""COMPUTED_VALUE"""),2.4)</f>
        <v>2.4</v>
      </c>
      <c r="Y720" s="65">
        <f>IFERROR(__xludf.DUMMYFUNCTION("""COMPUTED_VALUE"""),2.4)</f>
        <v>2.4</v>
      </c>
      <c r="Z720" s="65">
        <f>IFERROR(__xludf.DUMMYFUNCTION("""COMPUTED_VALUE"""),120732.0)</f>
        <v>120732</v>
      </c>
      <c r="AA720" s="65" t="str">
        <f>IFERROR(__xludf.DUMMYFUNCTION("""COMPUTED_VALUE"""),"PROV-LMPVT")</f>
        <v>PROV-LMPVT</v>
      </c>
      <c r="AB720" s="65"/>
      <c r="AC720" s="65" t="str">
        <f>IFERROR(__xludf.DUMMYFUNCTION("""COMPUTED_VALUE"""),"LIMPIADOR DE PARABRISAS Y VENTANAS")</f>
        <v>LIMPIADOR DE PARABRISAS Y VENTANAS</v>
      </c>
      <c r="AD720" s="65"/>
      <c r="AE720" s="65">
        <f>IFERROR(__xludf.DUMMYFUNCTION("""COMPUTED_VALUE"""),1.0)</f>
        <v>1</v>
      </c>
      <c r="AF720" s="65" t="str">
        <f>IFERROR(__xludf.DUMMYFUNCTION("""COMPUTED_VALUE"""),"DESTINATARIO NO SE ENCUENTRA EN LUGAR DE ENTREGA.")</f>
        <v>DESTINATARIO NO SE ENCUENTRA EN LUGAR DE ENTREGA.</v>
      </c>
      <c r="AG720" s="65" t="str">
        <f>IFERROR(__xludf.DUMMYFUNCTION("""COMPUTED_VALUE"""),"NO")</f>
        <v>NO</v>
      </c>
      <c r="AH720" s="65" t="str">
        <f>IFERROR(__xludf.DUMMYFUNCTION("""COMPUTED_VALUE"""),"14:29")</f>
        <v>14:29</v>
      </c>
      <c r="AI720" s="65" t="str">
        <f>IFERROR(__xludf.DUMMYFUNCTION("""COMPUTED_VALUE"""),"21-02-2026")</f>
        <v>21-02-2026</v>
      </c>
      <c r="AJ720" s="65"/>
      <c r="AK720" s="65"/>
      <c r="AL720" s="65"/>
      <c r="AM720" s="65"/>
      <c r="AN720" s="65" t="str">
        <f>IFERROR(__xludf.DUMMYFUNCTION("""COMPUTED_VALUE"""),"09:34")</f>
        <v>09:34</v>
      </c>
      <c r="AO720" s="65" t="str">
        <f>IFERROR(__xludf.DUMMYFUNCTION("""COMPUTED_VALUE"""),"21-02-2026")</f>
        <v>21-02-2026</v>
      </c>
      <c r="AP720" s="65" t="str">
        <f>IFERROR(__xludf.DUMMYFUNCTION("""COMPUTED_VALUE"""),"EN REPARTO")</f>
        <v>EN REPARTO</v>
      </c>
      <c r="AQ720" s="65" t="str">
        <f>IFERROR(__xludf.DUMMYFUNCTION("""COMPUTED_VALUE"""),"EN REPARTO")</f>
        <v>EN REPARTO</v>
      </c>
      <c r="AR720" s="65"/>
      <c r="AS720" s="65"/>
      <c r="AT720" s="65" t="str">
        <f>IFERROR(__xludf.DUMMYFUNCTION("""COMPUTED_VALUE"""),"SHOPIFY")</f>
        <v>SHOPIFY</v>
      </c>
      <c r="AU720" s="65" t="str">
        <f>IFERROR(__xludf.DUMMYFUNCTION("""COMPUTED_VALUE"""),"IMPORTEX EC")</f>
        <v>IMPORTEX EC</v>
      </c>
      <c r="AV720" s="65" t="str">
        <f>IFERROR(__xludf.DUMMYFUNCTION("""COMPUTED_VALUE"""),"6506865557548")</f>
        <v>6506865557548</v>
      </c>
      <c r="AW720" s="65">
        <f>IFERROR(__xludf.DUMMYFUNCTION("""COMPUTED_VALUE"""),6197.0)</f>
        <v>6197</v>
      </c>
      <c r="AX720" s="65"/>
      <c r="AY720" s="65" t="str">
        <f>IFERROR(__xludf.DUMMYFUNCTION("""COMPUTED_VALUE"""),"19/02/2026")</f>
        <v>19/02/2026</v>
      </c>
      <c r="AZ720" s="65"/>
      <c r="BA720" s="65"/>
    </row>
    <row r="721">
      <c r="A721" s="65" t="str">
        <f>IFERROR(__xludf.DUMMYFUNCTION("""COMPUTED_VALUE"""),"27-03-2026")</f>
        <v>27-03-2026</v>
      </c>
      <c r="B721" s="65">
        <f>IFERROR(__xludf.DUMMYFUNCTION("""COMPUTED_VALUE"""),4519287.0)</f>
        <v>4519287</v>
      </c>
      <c r="C721" s="65" t="str">
        <f>IFERROR(__xludf.DUMMYFUNCTION("""COMPUTED_VALUE"""),"21:12")</f>
        <v>21:12</v>
      </c>
      <c r="D721" s="65" t="str">
        <f>IFERROR(__xludf.DUMMYFUNCTION("""COMPUTED_VALUE"""),"15-02-2026")</f>
        <v>15-02-2026</v>
      </c>
      <c r="E721" s="65" t="str">
        <f>IFERROR(__xludf.DUMMYFUNCTION("""COMPUTED_VALUE"""),"Jader Julian Villamil vargas")</f>
        <v>Jader Julian Villamil vargas</v>
      </c>
      <c r="F721" s="65" t="str">
        <f>IFERROR(__xludf.DUMMYFUNCTION("""COMPUTED_VALUE"""),"993340684")</f>
        <v>993340684</v>
      </c>
      <c r="G721" s="65" t="str">
        <f>IFERROR(__xludf.DUMMYFUNCTION("""COMPUTED_VALUE"""),"villamilvargasjaderjulian@gmail.com")</f>
        <v>villamilvargasjaderjulian@gmail.com</v>
      </c>
      <c r="H721" s="65"/>
      <c r="I721" s="65"/>
      <c r="J721" s="65" t="str">
        <f>IFERROR(__xludf.DUMMYFUNCTION("""COMPUTED_VALUE"""),"D001340317")</f>
        <v>D001340317</v>
      </c>
      <c r="K721" s="65" t="str">
        <f>IFERROR(__xludf.DUMMYFUNCTION("""COMPUTED_VALUE"""),"ENTREGADO")</f>
        <v>ENTREGADO</v>
      </c>
      <c r="L721" s="65" t="str">
        <f>IFERROR(__xludf.DUMMYFUNCTION("""COMPUTED_VALUE"""),"CON RECAUDO")</f>
        <v>CON RECAUDO</v>
      </c>
      <c r="M721" s="65" t="str">
        <f>IFERROR(__xludf.DUMMYFUNCTION("""COMPUTED_VALUE"""),"NAPO")</f>
        <v>NAPO</v>
      </c>
      <c r="N721" s="65" t="str">
        <f>IFERROR(__xludf.DUMMYFUNCTION("""COMPUTED_VALUE"""),"TENA")</f>
        <v>TENA</v>
      </c>
      <c r="O721" s="65" t="str">
        <f>IFERROR(__xludf.DUMMYFUNCTION("""COMPUTED_VALUE"""),"Av pano calle umbuni Barrio san jorge al lado de una cancha de voley")</f>
        <v>Av pano calle umbuni Barrio san jorge al lado de una cancha de voley</v>
      </c>
      <c r="P721" s="65"/>
      <c r="Q721" s="65" t="str">
        <f>IFERROR(__xludf.DUMMYFUNCTION("""COMPUTED_VALUE"""),"GINTRACOM")</f>
        <v>GINTRACOM</v>
      </c>
      <c r="R721" s="65">
        <f>IFERROR(__xludf.DUMMYFUNCTION("""COMPUTED_VALUE"""),25.0)</f>
        <v>25</v>
      </c>
      <c r="S721" s="65">
        <f>IFERROR(__xludf.DUMMYFUNCTION("""COMPUTED_VALUE"""),14.24)</f>
        <v>14.24</v>
      </c>
      <c r="T721" s="65">
        <f>IFERROR(__xludf.DUMMYFUNCTION("""COMPUTED_VALUE"""),5.96)</f>
        <v>5.96</v>
      </c>
      <c r="U721" s="65">
        <f>IFERROR(__xludf.DUMMYFUNCTION("""COMPUTED_VALUE"""),0.0)</f>
        <v>0</v>
      </c>
      <c r="V721" s="65">
        <f>IFERROR(__xludf.DUMMYFUNCTION("""COMPUTED_VALUE"""),0.0)</f>
        <v>0</v>
      </c>
      <c r="W721" s="65">
        <f>IFERROR(__xludf.DUMMYFUNCTION("""COMPUTED_VALUE"""),0.0)</f>
        <v>0</v>
      </c>
      <c r="X721" s="65">
        <f>IFERROR(__xludf.DUMMYFUNCTION("""COMPUTED_VALUE"""),2.4)</f>
        <v>2.4</v>
      </c>
      <c r="Y721" s="65">
        <f>IFERROR(__xludf.DUMMYFUNCTION("""COMPUTED_VALUE"""),4.8)</f>
        <v>4.8</v>
      </c>
      <c r="Z721" s="65">
        <f>IFERROR(__xludf.DUMMYFUNCTION("""COMPUTED_VALUE"""),120732.0)</f>
        <v>120732</v>
      </c>
      <c r="AA721" s="65" t="str">
        <f>IFERROR(__xludf.DUMMYFUNCTION("""COMPUTED_VALUE"""),"PROV-LMPVT")</f>
        <v>PROV-LMPVT</v>
      </c>
      <c r="AB721" s="65"/>
      <c r="AC721" s="65" t="str">
        <f>IFERROR(__xludf.DUMMYFUNCTION("""COMPUTED_VALUE"""),"LIMPIADOR DE PARABRISAS Y VENTANAS")</f>
        <v>LIMPIADOR DE PARABRISAS Y VENTANAS</v>
      </c>
      <c r="AD721" s="65"/>
      <c r="AE721" s="65">
        <f>IFERROR(__xludf.DUMMYFUNCTION("""COMPUTED_VALUE"""),2.0)</f>
        <v>2</v>
      </c>
      <c r="AF721" s="65"/>
      <c r="AG721" s="65"/>
      <c r="AH721" s="65"/>
      <c r="AI721" s="65"/>
      <c r="AJ721" s="65"/>
      <c r="AK721" s="65"/>
      <c r="AL721" s="65"/>
      <c r="AM721" s="65"/>
      <c r="AN721" s="65" t="str">
        <f>IFERROR(__xludf.DUMMYFUNCTION("""COMPUTED_VALUE"""),"13:01")</f>
        <v>13:01</v>
      </c>
      <c r="AO721" s="65" t="str">
        <f>IFERROR(__xludf.DUMMYFUNCTION("""COMPUTED_VALUE"""),"23-02-2026")</f>
        <v>23-02-2026</v>
      </c>
      <c r="AP721" s="65" t="str">
        <f>IFERROR(__xludf.DUMMYFUNCTION("""COMPUTED_VALUE"""),"ENTREGADA GINTRACOM")</f>
        <v>ENTREGADA GINTRACOM</v>
      </c>
      <c r="AQ721" s="65" t="str">
        <f>IFERROR(__xludf.DUMMYFUNCTION("""COMPUTED_VALUE"""),"ENTREGADA GINTRACOM")</f>
        <v>ENTREGADA GINTRACOM</v>
      </c>
      <c r="AR721" s="65"/>
      <c r="AS721" s="65"/>
      <c r="AT721" s="65" t="str">
        <f>IFERROR(__xludf.DUMMYFUNCTION("""COMPUTED_VALUE"""),"SHOPIFY")</f>
        <v>SHOPIFY</v>
      </c>
      <c r="AU721" s="65" t="str">
        <f>IFERROR(__xludf.DUMMYFUNCTION("""COMPUTED_VALUE"""),"IMPORTEX EC")</f>
        <v>IMPORTEX EC</v>
      </c>
      <c r="AV721" s="65" t="str">
        <f>IFERROR(__xludf.DUMMYFUNCTION("""COMPUTED_VALUE"""),"6506748313644")</f>
        <v>6506748313644</v>
      </c>
      <c r="AW721" s="65">
        <f>IFERROR(__xludf.DUMMYFUNCTION("""COMPUTED_VALUE"""),6193.0)</f>
        <v>6193</v>
      </c>
      <c r="AX721" s="65"/>
      <c r="AY721" s="65" t="str">
        <f>IFERROR(__xludf.DUMMYFUNCTION("""COMPUTED_VALUE"""),"19/02/2026")</f>
        <v>19/02/2026</v>
      </c>
      <c r="AZ721" s="65"/>
      <c r="BA721" s="65"/>
    </row>
    <row r="722">
      <c r="A722" s="65" t="str">
        <f>IFERROR(__xludf.DUMMYFUNCTION("""COMPUTED_VALUE"""),"27-03-2026")</f>
        <v>27-03-2026</v>
      </c>
      <c r="B722" s="65">
        <f>IFERROR(__xludf.DUMMYFUNCTION("""COMPUTED_VALUE"""),4518664.0)</f>
        <v>4518664</v>
      </c>
      <c r="C722" s="65" t="str">
        <f>IFERROR(__xludf.DUMMYFUNCTION("""COMPUTED_VALUE"""),"20:01")</f>
        <v>20:01</v>
      </c>
      <c r="D722" s="65" t="str">
        <f>IFERROR(__xludf.DUMMYFUNCTION("""COMPUTED_VALUE"""),"15-02-2026")</f>
        <v>15-02-2026</v>
      </c>
      <c r="E722" s="65" t="str">
        <f>IFERROR(__xludf.DUMMYFUNCTION("""COMPUTED_VALUE"""),"Diego Vaca")</f>
        <v>Diego Vaca</v>
      </c>
      <c r="F722" s="65" t="str">
        <f>IFERROR(__xludf.DUMMYFUNCTION("""COMPUTED_VALUE"""),"995061006")</f>
        <v>995061006</v>
      </c>
      <c r="G722" s="65" t="str">
        <f>IFERROR(__xludf.DUMMYFUNCTION("""COMPUTED_VALUE"""),"drvacad@hotmail.es")</f>
        <v>drvacad@hotmail.es</v>
      </c>
      <c r="H722" s="65"/>
      <c r="I722" s="65"/>
      <c r="J722" s="65" t="str">
        <f>IFERROR(__xludf.DUMMYFUNCTION("""COMPUTED_VALUE"""),"D001343629")</f>
        <v>D001343629</v>
      </c>
      <c r="K722" s="65" t="str">
        <f>IFERROR(__xludf.DUMMYFUNCTION("""COMPUTED_VALUE"""),"ENTREGADO")</f>
        <v>ENTREGADO</v>
      </c>
      <c r="L722" s="65" t="str">
        <f>IFERROR(__xludf.DUMMYFUNCTION("""COMPUTED_VALUE"""),"CON RECAUDO")</f>
        <v>CON RECAUDO</v>
      </c>
      <c r="M722" s="65" t="str">
        <f>IFERROR(__xludf.DUMMYFUNCTION("""COMPUTED_VALUE"""),"PICHINCHA")</f>
        <v>PICHINCHA</v>
      </c>
      <c r="N722" s="65" t="str">
        <f>IFERROR(__xludf.DUMMYFUNCTION("""COMPUTED_VALUE"""),"QUITO")</f>
        <v>QUITO</v>
      </c>
      <c r="O722" s="65" t="str">
        <f>IFERROR(__xludf.DUMMYFUNCTION("""COMPUTED_VALUE"""),"Hospital Obstetrico Nueva Aurora - Luz Elena Arismendi")</f>
        <v>Hospital Obstetrico Nueva Aurora - Luz Elena Arismendi</v>
      </c>
      <c r="P722" s="65"/>
      <c r="Q722" s="65" t="str">
        <f>IFERROR(__xludf.DUMMYFUNCTION("""COMPUTED_VALUE"""),"GINTRACOM")</f>
        <v>GINTRACOM</v>
      </c>
      <c r="R722" s="65">
        <f>IFERROR(__xludf.DUMMYFUNCTION("""COMPUTED_VALUE"""),20.0)</f>
        <v>20</v>
      </c>
      <c r="S722" s="65">
        <f>IFERROR(__xludf.DUMMYFUNCTION("""COMPUTED_VALUE"""),11.84)</f>
        <v>11.84</v>
      </c>
      <c r="T722" s="65">
        <f>IFERROR(__xludf.DUMMYFUNCTION("""COMPUTED_VALUE"""),5.76)</f>
        <v>5.76</v>
      </c>
      <c r="U722" s="65">
        <f>IFERROR(__xludf.DUMMYFUNCTION("""COMPUTED_VALUE"""),0.0)</f>
        <v>0</v>
      </c>
      <c r="V722" s="65">
        <f>IFERROR(__xludf.DUMMYFUNCTION("""COMPUTED_VALUE"""),0.0)</f>
        <v>0</v>
      </c>
      <c r="W722" s="65">
        <f>IFERROR(__xludf.DUMMYFUNCTION("""COMPUTED_VALUE"""),0.0)</f>
        <v>0</v>
      </c>
      <c r="X722" s="65">
        <f>IFERROR(__xludf.DUMMYFUNCTION("""COMPUTED_VALUE"""),2.4)</f>
        <v>2.4</v>
      </c>
      <c r="Y722" s="65">
        <f>IFERROR(__xludf.DUMMYFUNCTION("""COMPUTED_VALUE"""),2.4)</f>
        <v>2.4</v>
      </c>
      <c r="Z722" s="65">
        <f>IFERROR(__xludf.DUMMYFUNCTION("""COMPUTED_VALUE"""),120732.0)</f>
        <v>120732</v>
      </c>
      <c r="AA722" s="65" t="str">
        <f>IFERROR(__xludf.DUMMYFUNCTION("""COMPUTED_VALUE"""),"PROV-LMPVT")</f>
        <v>PROV-LMPVT</v>
      </c>
      <c r="AB722" s="65"/>
      <c r="AC722" s="65" t="str">
        <f>IFERROR(__xludf.DUMMYFUNCTION("""COMPUTED_VALUE"""),"LIMPIADOR DE PARABRISAS Y VENTANAS")</f>
        <v>LIMPIADOR DE PARABRISAS Y VENTANAS</v>
      </c>
      <c r="AD722" s="65"/>
      <c r="AE722" s="65">
        <f>IFERROR(__xludf.DUMMYFUNCTION("""COMPUTED_VALUE"""),1.0)</f>
        <v>1</v>
      </c>
      <c r="AF722" s="65" t="str">
        <f>IFERROR(__xludf.DUMMYFUNCTION("""COMPUTED_VALUE"""),"DESTINATARIO NO CONTESTA LLAMADAS NI WHATSAPP")</f>
        <v>DESTINATARIO NO CONTESTA LLAMADAS NI WHATSAPP</v>
      </c>
      <c r="AG722" s="65" t="str">
        <f>IFERROR(__xludf.DUMMYFUNCTION("""COMPUTED_VALUE"""),"NO")</f>
        <v>NO</v>
      </c>
      <c r="AH722" s="65" t="str">
        <f>IFERROR(__xludf.DUMMYFUNCTION("""COMPUTED_VALUE"""),"23:48")</f>
        <v>23:48</v>
      </c>
      <c r="AI722" s="65" t="str">
        <f>IFERROR(__xludf.DUMMYFUNCTION("""COMPUTED_VALUE"""),"21-02-2026")</f>
        <v>21-02-2026</v>
      </c>
      <c r="AJ722" s="65"/>
      <c r="AK722" s="65"/>
      <c r="AL722" s="65"/>
      <c r="AM722" s="65"/>
      <c r="AN722" s="65" t="str">
        <f>IFERROR(__xludf.DUMMYFUNCTION("""COMPUTED_VALUE"""),"23:04")</f>
        <v>23:04</v>
      </c>
      <c r="AO722" s="65" t="str">
        <f>IFERROR(__xludf.DUMMYFUNCTION("""COMPUTED_VALUE"""),"23-02-2026")</f>
        <v>23-02-2026</v>
      </c>
      <c r="AP722" s="65" t="str">
        <f>IFERROR(__xludf.DUMMYFUNCTION("""COMPUTED_VALUE"""),"ENTREGADA GINTRACOM")</f>
        <v>ENTREGADA GINTRACOM</v>
      </c>
      <c r="AQ722" s="65" t="str">
        <f>IFERROR(__xludf.DUMMYFUNCTION("""COMPUTED_VALUE"""),"ENTREGADA GINTRACOM")</f>
        <v>ENTREGADA GINTRACOM</v>
      </c>
      <c r="AR722" s="65"/>
      <c r="AS722" s="65"/>
      <c r="AT722" s="65" t="str">
        <f>IFERROR(__xludf.DUMMYFUNCTION("""COMPUTED_VALUE"""),"SHOPIFY")</f>
        <v>SHOPIFY</v>
      </c>
      <c r="AU722" s="65" t="str">
        <f>IFERROR(__xludf.DUMMYFUNCTION("""COMPUTED_VALUE"""),"IMPORTEX EC")</f>
        <v>IMPORTEX EC</v>
      </c>
      <c r="AV722" s="65" t="str">
        <f>IFERROR(__xludf.DUMMYFUNCTION("""COMPUTED_VALUE"""),"6506615996460")</f>
        <v>6506615996460</v>
      </c>
      <c r="AW722" s="65">
        <f>IFERROR(__xludf.DUMMYFUNCTION("""COMPUTED_VALUE"""),6192.0)</f>
        <v>6192</v>
      </c>
      <c r="AX722" s="65"/>
      <c r="AY722" s="65" t="str">
        <f>IFERROR(__xludf.DUMMYFUNCTION("""COMPUTED_VALUE"""),"20/02/2026")</f>
        <v>20/02/2026</v>
      </c>
      <c r="AZ722" s="65"/>
      <c r="BA722" s="65"/>
    </row>
    <row r="723">
      <c r="A723" s="65" t="str">
        <f>IFERROR(__xludf.DUMMYFUNCTION("""COMPUTED_VALUE"""),"27-03-2026")</f>
        <v>27-03-2026</v>
      </c>
      <c r="B723" s="65">
        <f>IFERROR(__xludf.DUMMYFUNCTION("""COMPUTED_VALUE"""),4518542.0)</f>
        <v>4518542</v>
      </c>
      <c r="C723" s="65" t="str">
        <f>IFERROR(__xludf.DUMMYFUNCTION("""COMPUTED_VALUE"""),"19:42")</f>
        <v>19:42</v>
      </c>
      <c r="D723" s="65" t="str">
        <f>IFERROR(__xludf.DUMMYFUNCTION("""COMPUTED_VALUE"""),"15-02-2026")</f>
        <v>15-02-2026</v>
      </c>
      <c r="E723" s="65" t="str">
        <f>IFERROR(__xludf.DUMMYFUNCTION("""COMPUTED_VALUE"""),"Hector Paredes  burbano")</f>
        <v>Hector Paredes  burbano</v>
      </c>
      <c r="F723" s="65" t="str">
        <f>IFERROR(__xludf.DUMMYFUNCTION("""COMPUTED_VALUE"""),"994454794")</f>
        <v>994454794</v>
      </c>
      <c r="G723" s="65"/>
      <c r="H723" s="65"/>
      <c r="I723" s="65"/>
      <c r="J723" s="65"/>
      <c r="K723" s="65" t="str">
        <f>IFERROR(__xludf.DUMMYFUNCTION("""COMPUTED_VALUE"""),"PENDIENTE CONFIRMACION")</f>
        <v>PENDIENTE CONFIRMACION</v>
      </c>
      <c r="L723" s="65" t="str">
        <f>IFERROR(__xludf.DUMMYFUNCTION("""COMPUTED_VALUE"""),"CON RECAUDO")</f>
        <v>CON RECAUDO</v>
      </c>
      <c r="M723" s="65" t="str">
        <f>IFERROR(__xludf.DUMMYFUNCTION("""COMPUTED_VALUE"""),"CAÑAR")</f>
        <v>CAÑAR</v>
      </c>
      <c r="N723" s="65" t="str">
        <f>IFERROR(__xludf.DUMMYFUNCTION("""COMPUTED_VALUE"""),"LA TRONCAL")</f>
        <v>LA TRONCAL</v>
      </c>
      <c r="O723" s="65" t="str">
        <f>IFERROR(__xludf.DUMMYFUNCTION("""COMPUTED_VALUE"""),"Avenida 4 de noviembre y 25 de agosto")</f>
        <v>Avenida 4 de noviembre y 25 de agosto</v>
      </c>
      <c r="P723" s="65" t="str">
        <f>IFERROR(__xludf.DUMMYFUNCTION("""COMPUTED_VALUE"""),"LIMPIADOR DE PARABRISAS Y VENTANAS: Default Title ***")</f>
        <v>LIMPIADOR DE PARABRISAS Y VENTANAS: Default Title ***</v>
      </c>
      <c r="Q723" s="65" t="str">
        <f>IFERROR(__xludf.DUMMYFUNCTION("""COMPUTED_VALUE"""),"GINTRACOM")</f>
        <v>GINTRACOM</v>
      </c>
      <c r="R723" s="65">
        <f>IFERROR(__xludf.DUMMYFUNCTION("""COMPUTED_VALUE"""),40.0)</f>
        <v>40</v>
      </c>
      <c r="S723" s="65"/>
      <c r="T723" s="65">
        <f>IFERROR(__xludf.DUMMYFUNCTION("""COMPUTED_VALUE"""),6.56)</f>
        <v>6.56</v>
      </c>
      <c r="U723" s="65">
        <f>IFERROR(__xludf.DUMMYFUNCTION("""COMPUTED_VALUE"""),0.0)</f>
        <v>0</v>
      </c>
      <c r="V723" s="65">
        <f>IFERROR(__xludf.DUMMYFUNCTION("""COMPUTED_VALUE"""),0.0)</f>
        <v>0</v>
      </c>
      <c r="W723" s="65">
        <f>IFERROR(__xludf.DUMMYFUNCTION("""COMPUTED_VALUE"""),0.0)</f>
        <v>0</v>
      </c>
      <c r="X723" s="65">
        <f>IFERROR(__xludf.DUMMYFUNCTION("""COMPUTED_VALUE"""),2.4)</f>
        <v>2.4</v>
      </c>
      <c r="Y723" s="65">
        <f>IFERROR(__xludf.DUMMYFUNCTION("""COMPUTED_VALUE"""),4.8)</f>
        <v>4.8</v>
      </c>
      <c r="Z723" s="65">
        <f>IFERROR(__xludf.DUMMYFUNCTION("""COMPUTED_VALUE"""),120732.0)</f>
        <v>120732</v>
      </c>
      <c r="AA723" s="65" t="str">
        <f>IFERROR(__xludf.DUMMYFUNCTION("""COMPUTED_VALUE"""),"PROV-LMPVT")</f>
        <v>PROV-LMPVT</v>
      </c>
      <c r="AB723" s="65"/>
      <c r="AC723" s="65" t="str">
        <f>IFERROR(__xludf.DUMMYFUNCTION("""COMPUTED_VALUE"""),"LIMPIADOR DE PARABRISAS Y VENTANAS")</f>
        <v>LIMPIADOR DE PARABRISAS Y VENTANAS</v>
      </c>
      <c r="AD723" s="65"/>
      <c r="AE723" s="65">
        <f>IFERROR(__xludf.DUMMYFUNCTION("""COMPUTED_VALUE"""),2.0)</f>
        <v>2</v>
      </c>
      <c r="AF723" s="65"/>
      <c r="AG723" s="65"/>
      <c r="AH723" s="65"/>
      <c r="AI723" s="65"/>
      <c r="AJ723" s="65"/>
      <c r="AK723" s="65"/>
      <c r="AL723" s="65"/>
      <c r="AM723" s="65"/>
      <c r="AN723" s="65"/>
      <c r="AO723" s="65"/>
      <c r="AP723" s="65"/>
      <c r="AQ723" s="65"/>
      <c r="AR723" s="65"/>
      <c r="AS723" s="65"/>
      <c r="AT723" s="65" t="str">
        <f>IFERROR(__xludf.DUMMYFUNCTION("""COMPUTED_VALUE"""),"SHOPIFY")</f>
        <v>SHOPIFY</v>
      </c>
      <c r="AU723" s="65" t="str">
        <f>IFERROR(__xludf.DUMMYFUNCTION("""COMPUTED_VALUE"""),"IMPORTEX EC")</f>
        <v>IMPORTEX EC</v>
      </c>
      <c r="AV723" s="65" t="str">
        <f>IFERROR(__xludf.DUMMYFUNCTION("""COMPUTED_VALUE"""),"6506581590060")</f>
        <v>6506581590060</v>
      </c>
      <c r="AW723" s="65">
        <f>IFERROR(__xludf.DUMMYFUNCTION("""COMPUTED_VALUE"""),6190.0)</f>
        <v>6190</v>
      </c>
      <c r="AX723" s="65"/>
      <c r="AY723" s="65"/>
      <c r="AZ723" s="65"/>
      <c r="BA723" s="65"/>
    </row>
    <row r="724">
      <c r="A724" s="65" t="str">
        <f>IFERROR(__xludf.DUMMYFUNCTION("""COMPUTED_VALUE"""),"27-03-2026")</f>
        <v>27-03-2026</v>
      </c>
      <c r="B724" s="65">
        <f>IFERROR(__xludf.DUMMYFUNCTION("""COMPUTED_VALUE"""),4518190.0)</f>
        <v>4518190</v>
      </c>
      <c r="C724" s="65" t="str">
        <f>IFERROR(__xludf.DUMMYFUNCTION("""COMPUTED_VALUE"""),"18:47")</f>
        <v>18:47</v>
      </c>
      <c r="D724" s="65" t="str">
        <f>IFERROR(__xludf.DUMMYFUNCTION("""COMPUTED_VALUE"""),"15-02-2026")</f>
        <v>15-02-2026</v>
      </c>
      <c r="E724" s="65" t="str">
        <f>IFERROR(__xludf.DUMMYFUNCTION("""COMPUTED_VALUE"""),"Carlos Torres Betancourt")</f>
        <v>Carlos Torres Betancourt</v>
      </c>
      <c r="F724" s="65" t="str">
        <f>IFERROR(__xludf.DUMMYFUNCTION("""COMPUTED_VALUE"""),"998722026")</f>
        <v>998722026</v>
      </c>
      <c r="G724" s="65" t="str">
        <f>IFERROR(__xludf.DUMMYFUNCTION("""COMPUTED_VALUE"""),"jean_22@hotmail.es")</f>
        <v>jean_22@hotmail.es</v>
      </c>
      <c r="H724" s="65"/>
      <c r="I724" s="65"/>
      <c r="J724" s="65" t="str">
        <f>IFERROR(__xludf.DUMMYFUNCTION("""COMPUTED_VALUE"""),"D001340319")</f>
        <v>D001340319</v>
      </c>
      <c r="K724" s="65" t="str">
        <f>IFERROR(__xludf.DUMMYFUNCTION("""COMPUTED_VALUE"""),"DEVOLUCION")</f>
        <v>DEVOLUCION</v>
      </c>
      <c r="L724" s="65" t="str">
        <f>IFERROR(__xludf.DUMMYFUNCTION("""COMPUTED_VALUE"""),"CON RECAUDO")</f>
        <v>CON RECAUDO</v>
      </c>
      <c r="M724" s="65" t="str">
        <f>IFERROR(__xludf.DUMMYFUNCTION("""COMPUTED_VALUE"""),"SANTA ELENA")</f>
        <v>SANTA ELENA</v>
      </c>
      <c r="N724" s="65" t="str">
        <f>IFERROR(__xludf.DUMMYFUNCTION("""COMPUTED_VALUE"""),"SANTA ELENA")</f>
        <v>SANTA ELENA</v>
      </c>
      <c r="O724" s="65" t="str">
        <f>IFERROR(__xludf.DUMMYFUNCTION("""COMPUTED_VALUE"""),"Sucre y Juan Montalvo esquina -")</f>
        <v>Sucre y Juan Montalvo esquina -</v>
      </c>
      <c r="P724" s="65"/>
      <c r="Q724" s="65" t="str">
        <f>IFERROR(__xludf.DUMMYFUNCTION("""COMPUTED_VALUE"""),"GINTRACOM")</f>
        <v>GINTRACOM</v>
      </c>
      <c r="R724" s="65">
        <f>IFERROR(__xludf.DUMMYFUNCTION("""COMPUTED_VALUE"""),20.0)</f>
        <v>20</v>
      </c>
      <c r="S724" s="65"/>
      <c r="T724" s="65">
        <f>IFERROR(__xludf.DUMMYFUNCTION("""COMPUTED_VALUE"""),5.76)</f>
        <v>5.76</v>
      </c>
      <c r="U724" s="65">
        <f>IFERROR(__xludf.DUMMYFUNCTION("""COMPUTED_VALUE"""),0.0)</f>
        <v>0</v>
      </c>
      <c r="V724" s="65">
        <f>IFERROR(__xludf.DUMMYFUNCTION("""COMPUTED_VALUE"""),0.0)</f>
        <v>0</v>
      </c>
      <c r="W724" s="65">
        <f>IFERROR(__xludf.DUMMYFUNCTION("""COMPUTED_VALUE"""),0.0)</f>
        <v>0</v>
      </c>
      <c r="X724" s="65">
        <f>IFERROR(__xludf.DUMMYFUNCTION("""COMPUTED_VALUE"""),2.4)</f>
        <v>2.4</v>
      </c>
      <c r="Y724" s="65">
        <f>IFERROR(__xludf.DUMMYFUNCTION("""COMPUTED_VALUE"""),2.4)</f>
        <v>2.4</v>
      </c>
      <c r="Z724" s="65">
        <f>IFERROR(__xludf.DUMMYFUNCTION("""COMPUTED_VALUE"""),120732.0)</f>
        <v>120732</v>
      </c>
      <c r="AA724" s="65" t="str">
        <f>IFERROR(__xludf.DUMMYFUNCTION("""COMPUTED_VALUE"""),"PROV-LMPVT")</f>
        <v>PROV-LMPVT</v>
      </c>
      <c r="AB724" s="65"/>
      <c r="AC724" s="65" t="str">
        <f>IFERROR(__xludf.DUMMYFUNCTION("""COMPUTED_VALUE"""),"LIMPIADOR DE PARABRISAS Y VENTANAS")</f>
        <v>LIMPIADOR DE PARABRISAS Y VENTANAS</v>
      </c>
      <c r="AD724" s="65"/>
      <c r="AE724" s="65">
        <f>IFERROR(__xludf.DUMMYFUNCTION("""COMPUTED_VALUE"""),1.0)</f>
        <v>1</v>
      </c>
      <c r="AF724" s="65" t="str">
        <f>IFERROR(__xludf.DUMMYFUNCTION("""COMPUTED_VALUE"""),"DESTINATARIO NO CONTESTA LLAMADAS NI WHATSAPP")</f>
        <v>DESTINATARIO NO CONTESTA LLAMADAS NI WHATSAPP</v>
      </c>
      <c r="AG724" s="65" t="str">
        <f>IFERROR(__xludf.DUMMYFUNCTION("""COMPUTED_VALUE"""),"NO")</f>
        <v>NO</v>
      </c>
      <c r="AH724" s="65" t="str">
        <f>IFERROR(__xludf.DUMMYFUNCTION("""COMPUTED_VALUE"""),"09:00")</f>
        <v>09:00</v>
      </c>
      <c r="AI724" s="65" t="str">
        <f>IFERROR(__xludf.DUMMYFUNCTION("""COMPUTED_VALUE"""),"01-03-2026")</f>
        <v>01-03-2026</v>
      </c>
      <c r="AJ724" s="65"/>
      <c r="AK724" s="65"/>
      <c r="AL724" s="65"/>
      <c r="AM724" s="65"/>
      <c r="AN724" s="65" t="str">
        <f>IFERROR(__xludf.DUMMYFUNCTION("""COMPUTED_VALUE"""),"03:02")</f>
        <v>03:02</v>
      </c>
      <c r="AO724" s="65" t="str">
        <f>IFERROR(__xludf.DUMMYFUNCTION("""COMPUTED_VALUE"""),"03-03-2026")</f>
        <v>03-03-2026</v>
      </c>
      <c r="AP724" s="65" t="str">
        <f>IFERROR(__xludf.DUMMYFUNCTION("""COMPUTED_VALUE"""),"DEVOLUCIÓN")</f>
        <v>DEVOLUCIÓN</v>
      </c>
      <c r="AQ724" s="65" t="str">
        <f>IFERROR(__xludf.DUMMYFUNCTION("""COMPUTED_VALUE"""),"DEVOLUCIÓN")</f>
        <v>DEVOLUCIÓN</v>
      </c>
      <c r="AR724" s="65"/>
      <c r="AS724" s="65"/>
      <c r="AT724" s="65" t="str">
        <f>IFERROR(__xludf.DUMMYFUNCTION("""COMPUTED_VALUE"""),"SHOPIFY")</f>
        <v>SHOPIFY</v>
      </c>
      <c r="AU724" s="65" t="str">
        <f>IFERROR(__xludf.DUMMYFUNCTION("""COMPUTED_VALUE"""),"IMPORTEX EC")</f>
        <v>IMPORTEX EC</v>
      </c>
      <c r="AV724" s="65" t="str">
        <f>IFERROR(__xludf.DUMMYFUNCTION("""COMPUTED_VALUE"""),"6506489020460")</f>
        <v>6506489020460</v>
      </c>
      <c r="AW724" s="65">
        <f>IFERROR(__xludf.DUMMYFUNCTION("""COMPUTED_VALUE"""),6189.0)</f>
        <v>6189</v>
      </c>
      <c r="AX724" s="65"/>
      <c r="AY724" s="65" t="str">
        <f>IFERROR(__xludf.DUMMYFUNCTION("""COMPUTED_VALUE"""),"19/02/2026")</f>
        <v>19/02/2026</v>
      </c>
      <c r="AZ724" s="65"/>
      <c r="BA724" s="65"/>
    </row>
    <row r="725">
      <c r="A725" s="65" t="str">
        <f>IFERROR(__xludf.DUMMYFUNCTION("""COMPUTED_VALUE"""),"27-03-2026")</f>
        <v>27-03-2026</v>
      </c>
      <c r="B725" s="65">
        <f>IFERROR(__xludf.DUMMYFUNCTION("""COMPUTED_VALUE"""),4517775.0)</f>
        <v>4517775</v>
      </c>
      <c r="C725" s="65" t="str">
        <f>IFERROR(__xludf.DUMMYFUNCTION("""COMPUTED_VALUE"""),"17:29")</f>
        <v>17:29</v>
      </c>
      <c r="D725" s="65" t="str">
        <f>IFERROR(__xludf.DUMMYFUNCTION("""COMPUTED_VALUE"""),"15-02-2026")</f>
        <v>15-02-2026</v>
      </c>
      <c r="E725" s="65" t="str">
        <f>IFERROR(__xludf.DUMMYFUNCTION("""COMPUTED_VALUE"""),"Tamy Chimbo")</f>
        <v>Tamy Chimbo</v>
      </c>
      <c r="F725" s="65" t="str">
        <f>IFERROR(__xludf.DUMMYFUNCTION("""COMPUTED_VALUE"""),"982847371")</f>
        <v>982847371</v>
      </c>
      <c r="G725" s="65" t="str">
        <f>IFERROR(__xludf.DUMMYFUNCTION("""COMPUTED_VALUE"""),"tamy.chimbo08@gmail.com")</f>
        <v>tamy.chimbo08@gmail.com</v>
      </c>
      <c r="H725" s="65"/>
      <c r="I725" s="65"/>
      <c r="J725" s="65"/>
      <c r="K725" s="65" t="str">
        <f>IFERROR(__xludf.DUMMYFUNCTION("""COMPUTED_VALUE"""),"PENDIENTE CONFIRMACION")</f>
        <v>PENDIENTE CONFIRMACION</v>
      </c>
      <c r="L725" s="65" t="str">
        <f>IFERROR(__xludf.DUMMYFUNCTION("""COMPUTED_VALUE"""),"CON RECAUDO")</f>
        <v>CON RECAUDO</v>
      </c>
      <c r="M725" s="65" t="str">
        <f>IFERROR(__xludf.DUMMYFUNCTION("""COMPUTED_VALUE"""),"AZUAY")</f>
        <v>AZUAY</v>
      </c>
      <c r="N725" s="65" t="str">
        <f>IFERROR(__xludf.DUMMYFUNCTION("""COMPUTED_VALUE"""),"CUENCA")</f>
        <v>CUENCA</v>
      </c>
      <c r="O725" s="65" t="str">
        <f>IFERROR(__xludf.DUMMYFUNCTION("""COMPUTED_VALUE"""),"Av. 12 de octubre y autopista Por la nueva via a la carcel -")</f>
        <v>Av. 12 de octubre y autopista Por la nueva via a la carcel -</v>
      </c>
      <c r="P725" s="65"/>
      <c r="Q725" s="65" t="str">
        <f>IFERROR(__xludf.DUMMYFUNCTION("""COMPUTED_VALUE"""),"GINTRACOM")</f>
        <v>GINTRACOM</v>
      </c>
      <c r="R725" s="65">
        <f>IFERROR(__xludf.DUMMYFUNCTION("""COMPUTED_VALUE"""),30.0)</f>
        <v>30</v>
      </c>
      <c r="S725" s="65"/>
      <c r="T725" s="65">
        <f>IFERROR(__xludf.DUMMYFUNCTION("""COMPUTED_VALUE"""),6.16)</f>
        <v>6.16</v>
      </c>
      <c r="U725" s="65">
        <f>IFERROR(__xludf.DUMMYFUNCTION("""COMPUTED_VALUE"""),0.0)</f>
        <v>0</v>
      </c>
      <c r="V725" s="65">
        <f>IFERROR(__xludf.DUMMYFUNCTION("""COMPUTED_VALUE"""),0.0)</f>
        <v>0</v>
      </c>
      <c r="W725" s="65">
        <f>IFERROR(__xludf.DUMMYFUNCTION("""COMPUTED_VALUE"""),0.0)</f>
        <v>0</v>
      </c>
      <c r="X725" s="65">
        <f>IFERROR(__xludf.DUMMYFUNCTION("""COMPUTED_VALUE"""),2.4)</f>
        <v>2.4</v>
      </c>
      <c r="Y725" s="65">
        <f>IFERROR(__xludf.DUMMYFUNCTION("""COMPUTED_VALUE"""),7.2)</f>
        <v>7.2</v>
      </c>
      <c r="Z725" s="65">
        <f>IFERROR(__xludf.DUMMYFUNCTION("""COMPUTED_VALUE"""),120732.0)</f>
        <v>120732</v>
      </c>
      <c r="AA725" s="65" t="str">
        <f>IFERROR(__xludf.DUMMYFUNCTION("""COMPUTED_VALUE"""),"PROV-LMPVT")</f>
        <v>PROV-LMPVT</v>
      </c>
      <c r="AB725" s="65"/>
      <c r="AC725" s="65" t="str">
        <f>IFERROR(__xludf.DUMMYFUNCTION("""COMPUTED_VALUE"""),"LIMPIADOR DE PARABRISAS Y VENTANAS")</f>
        <v>LIMPIADOR DE PARABRISAS Y VENTANAS</v>
      </c>
      <c r="AD725" s="65"/>
      <c r="AE725" s="65">
        <f>IFERROR(__xludf.DUMMYFUNCTION("""COMPUTED_VALUE"""),3.0)</f>
        <v>3</v>
      </c>
      <c r="AF725" s="65"/>
      <c r="AG725" s="65"/>
      <c r="AH725" s="65"/>
      <c r="AI725" s="65"/>
      <c r="AJ725" s="65"/>
      <c r="AK725" s="65"/>
      <c r="AL725" s="65"/>
      <c r="AM725" s="65"/>
      <c r="AN725" s="65"/>
      <c r="AO725" s="65"/>
      <c r="AP725" s="65"/>
      <c r="AQ725" s="65"/>
      <c r="AR725" s="65"/>
      <c r="AS725" s="65"/>
      <c r="AT725" s="65" t="str">
        <f>IFERROR(__xludf.DUMMYFUNCTION("""COMPUTED_VALUE"""),"SHOPIFY")</f>
        <v>SHOPIFY</v>
      </c>
      <c r="AU725" s="65" t="str">
        <f>IFERROR(__xludf.DUMMYFUNCTION("""COMPUTED_VALUE"""),"IMPORTEX EC")</f>
        <v>IMPORTEX EC</v>
      </c>
      <c r="AV725" s="65" t="str">
        <f>IFERROR(__xludf.DUMMYFUNCTION("""COMPUTED_VALUE"""),"6506340876332")</f>
        <v>6506340876332</v>
      </c>
      <c r="AW725" s="65">
        <f>IFERROR(__xludf.DUMMYFUNCTION("""COMPUTED_VALUE"""),6183.0)</f>
        <v>6183</v>
      </c>
      <c r="AX725" s="65"/>
      <c r="AY725" s="65"/>
      <c r="AZ725" s="65"/>
      <c r="BA725" s="65"/>
    </row>
    <row r="726">
      <c r="A726" s="65" t="str">
        <f>IFERROR(__xludf.DUMMYFUNCTION("""COMPUTED_VALUE"""),"27-03-2026")</f>
        <v>27-03-2026</v>
      </c>
      <c r="B726" s="65">
        <f>IFERROR(__xludf.DUMMYFUNCTION("""COMPUTED_VALUE"""),4517483.0)</f>
        <v>4517483</v>
      </c>
      <c r="C726" s="65" t="str">
        <f>IFERROR(__xludf.DUMMYFUNCTION("""COMPUTED_VALUE"""),"16:48")</f>
        <v>16:48</v>
      </c>
      <c r="D726" s="65" t="str">
        <f>IFERROR(__xludf.DUMMYFUNCTION("""COMPUTED_VALUE"""),"15-02-2026")</f>
        <v>15-02-2026</v>
      </c>
      <c r="E726" s="65" t="str">
        <f>IFERROR(__xludf.DUMMYFUNCTION("""COMPUTED_VALUE"""),"Byron Duarte")</f>
        <v>Byron Duarte</v>
      </c>
      <c r="F726" s="65" t="str">
        <f>IFERROR(__xludf.DUMMYFUNCTION("""COMPUTED_VALUE"""),"990138425")</f>
        <v>990138425</v>
      </c>
      <c r="G726" s="65" t="str">
        <f>IFERROR(__xludf.DUMMYFUNCTION("""COMPUTED_VALUE"""),"byronduarte87@hotmail.com")</f>
        <v>byronduarte87@hotmail.com</v>
      </c>
      <c r="H726" s="65"/>
      <c r="I726" s="65"/>
      <c r="J726" s="65" t="str">
        <f>IFERROR(__xludf.DUMMYFUNCTION("""COMPUTED_VALUE"""),"D001340320")</f>
        <v>D001340320</v>
      </c>
      <c r="K726" s="65" t="str">
        <f>IFERROR(__xludf.DUMMYFUNCTION("""COMPUTED_VALUE"""),"ENTREGADO")</f>
        <v>ENTREGADO</v>
      </c>
      <c r="L726" s="65" t="str">
        <f>IFERROR(__xludf.DUMMYFUNCTION("""COMPUTED_VALUE"""),"CON RECAUDO")</f>
        <v>CON RECAUDO</v>
      </c>
      <c r="M726" s="65" t="str">
        <f>IFERROR(__xludf.DUMMYFUNCTION("""COMPUTED_VALUE"""),"CARCHI")</f>
        <v>CARCHI</v>
      </c>
      <c r="N726" s="65" t="str">
        <f>IFERROR(__xludf.DUMMYFUNCTION("""COMPUTED_VALUE"""),"TULCAN")</f>
        <v>TULCAN</v>
      </c>
      <c r="O726" s="65" t="str">
        <f>IFERROR(__xludf.DUMMYFUNCTION("""COMPUTED_VALUE"""),"Av la salud y calle la victoria Patronato municipal - Alado de la casa comunal junto al poste")</f>
        <v>Av la salud y calle la victoria Patronato municipal - Alado de la casa comunal junto al poste</v>
      </c>
      <c r="P726" s="65"/>
      <c r="Q726" s="65" t="str">
        <f>IFERROR(__xludf.DUMMYFUNCTION("""COMPUTED_VALUE"""),"GINTRACOM")</f>
        <v>GINTRACOM</v>
      </c>
      <c r="R726" s="65">
        <f>IFERROR(__xludf.DUMMYFUNCTION("""COMPUTED_VALUE"""),30.0)</f>
        <v>30</v>
      </c>
      <c r="S726" s="65">
        <f>IFERROR(__xludf.DUMMYFUNCTION("""COMPUTED_VALUE"""),16.64)</f>
        <v>16.64</v>
      </c>
      <c r="T726" s="65">
        <f>IFERROR(__xludf.DUMMYFUNCTION("""COMPUTED_VALUE"""),6.16)</f>
        <v>6.16</v>
      </c>
      <c r="U726" s="65">
        <f>IFERROR(__xludf.DUMMYFUNCTION("""COMPUTED_VALUE"""),0.0)</f>
        <v>0</v>
      </c>
      <c r="V726" s="65">
        <f>IFERROR(__xludf.DUMMYFUNCTION("""COMPUTED_VALUE"""),0.0)</f>
        <v>0</v>
      </c>
      <c r="W726" s="65">
        <f>IFERROR(__xludf.DUMMYFUNCTION("""COMPUTED_VALUE"""),0.0)</f>
        <v>0</v>
      </c>
      <c r="X726" s="65">
        <f>IFERROR(__xludf.DUMMYFUNCTION("""COMPUTED_VALUE"""),2.4)</f>
        <v>2.4</v>
      </c>
      <c r="Y726" s="65">
        <f>IFERROR(__xludf.DUMMYFUNCTION("""COMPUTED_VALUE"""),7.2)</f>
        <v>7.2</v>
      </c>
      <c r="Z726" s="65">
        <f>IFERROR(__xludf.DUMMYFUNCTION("""COMPUTED_VALUE"""),120732.0)</f>
        <v>120732</v>
      </c>
      <c r="AA726" s="65" t="str">
        <f>IFERROR(__xludf.DUMMYFUNCTION("""COMPUTED_VALUE"""),"PROV-LMPVT")</f>
        <v>PROV-LMPVT</v>
      </c>
      <c r="AB726" s="65"/>
      <c r="AC726" s="65" t="str">
        <f>IFERROR(__xludf.DUMMYFUNCTION("""COMPUTED_VALUE"""),"LIMPIADOR DE PARABRISAS Y VENTANAS")</f>
        <v>LIMPIADOR DE PARABRISAS Y VENTANAS</v>
      </c>
      <c r="AD726" s="65"/>
      <c r="AE726" s="65">
        <f>IFERROR(__xludf.DUMMYFUNCTION("""COMPUTED_VALUE"""),3.0)</f>
        <v>3</v>
      </c>
      <c r="AF726" s="65"/>
      <c r="AG726" s="65"/>
      <c r="AH726" s="65"/>
      <c r="AI726" s="65"/>
      <c r="AJ726" s="65"/>
      <c r="AK726" s="65"/>
      <c r="AL726" s="65"/>
      <c r="AM726" s="65"/>
      <c r="AN726" s="65" t="str">
        <f>IFERROR(__xludf.DUMMYFUNCTION("""COMPUTED_VALUE"""),"16:48")</f>
        <v>16:48</v>
      </c>
      <c r="AO726" s="65" t="str">
        <f>IFERROR(__xludf.DUMMYFUNCTION("""COMPUTED_VALUE"""),"21-02-2026")</f>
        <v>21-02-2026</v>
      </c>
      <c r="AP726" s="65" t="str">
        <f>IFERROR(__xludf.DUMMYFUNCTION("""COMPUTED_VALUE"""),"EN REPARTO")</f>
        <v>EN REPARTO</v>
      </c>
      <c r="AQ726" s="65" t="str">
        <f>IFERROR(__xludf.DUMMYFUNCTION("""COMPUTED_VALUE"""),"EN REPARTO")</f>
        <v>EN REPARTO</v>
      </c>
      <c r="AR726" s="65"/>
      <c r="AS726" s="65"/>
      <c r="AT726" s="65" t="str">
        <f>IFERROR(__xludf.DUMMYFUNCTION("""COMPUTED_VALUE"""),"SHOPIFY")</f>
        <v>SHOPIFY</v>
      </c>
      <c r="AU726" s="65" t="str">
        <f>IFERROR(__xludf.DUMMYFUNCTION("""COMPUTED_VALUE"""),"IMPORTEX EC")</f>
        <v>IMPORTEX EC</v>
      </c>
      <c r="AV726" s="65" t="str">
        <f>IFERROR(__xludf.DUMMYFUNCTION("""COMPUTED_VALUE"""),"6506264428588")</f>
        <v>6506264428588</v>
      </c>
      <c r="AW726" s="65">
        <f>IFERROR(__xludf.DUMMYFUNCTION("""COMPUTED_VALUE"""),6182.0)</f>
        <v>6182</v>
      </c>
      <c r="AX726" s="65"/>
      <c r="AY726" s="65" t="str">
        <f>IFERROR(__xludf.DUMMYFUNCTION("""COMPUTED_VALUE"""),"19/02/2026")</f>
        <v>19/02/2026</v>
      </c>
      <c r="AZ726" s="65"/>
      <c r="BA726" s="65"/>
    </row>
    <row r="727">
      <c r="A727" s="65" t="str">
        <f>IFERROR(__xludf.DUMMYFUNCTION("""COMPUTED_VALUE"""),"27-03-2026")</f>
        <v>27-03-2026</v>
      </c>
      <c r="B727" s="65">
        <f>IFERROR(__xludf.DUMMYFUNCTION("""COMPUTED_VALUE"""),4517462.0)</f>
        <v>4517462</v>
      </c>
      <c r="C727" s="65" t="str">
        <f>IFERROR(__xludf.DUMMYFUNCTION("""COMPUTED_VALUE"""),"16:45")</f>
        <v>16:45</v>
      </c>
      <c r="D727" s="65" t="str">
        <f>IFERROR(__xludf.DUMMYFUNCTION("""COMPUTED_VALUE"""),"15-02-2026")</f>
        <v>15-02-2026</v>
      </c>
      <c r="E727" s="65" t="str">
        <f>IFERROR(__xludf.DUMMYFUNCTION("""COMPUTED_VALUE"""),"Wilson Urquizo")</f>
        <v>Wilson Urquizo</v>
      </c>
      <c r="F727" s="65" t="str">
        <f>IFERROR(__xludf.DUMMYFUNCTION("""COMPUTED_VALUE"""),"992933433")</f>
        <v>992933433</v>
      </c>
      <c r="G727" s="65" t="str">
        <f>IFERROR(__xludf.DUMMYFUNCTION("""COMPUTED_VALUE"""),"wilson.urquizo2019@gmail.com")</f>
        <v>wilson.urquizo2019@gmail.com</v>
      </c>
      <c r="H727" s="65"/>
      <c r="I727" s="65"/>
      <c r="J727" s="65" t="str">
        <f>IFERROR(__xludf.DUMMYFUNCTION("""COMPUTED_VALUE"""),"D001343630")</f>
        <v>D001343630</v>
      </c>
      <c r="K727" s="65" t="str">
        <f>IFERROR(__xludf.DUMMYFUNCTION("""COMPUTED_VALUE"""),"DEVOLUCION")</f>
        <v>DEVOLUCION</v>
      </c>
      <c r="L727" s="65" t="str">
        <f>IFERROR(__xludf.DUMMYFUNCTION("""COMPUTED_VALUE"""),"CON RECAUDO")</f>
        <v>CON RECAUDO</v>
      </c>
      <c r="M727" s="65" t="str">
        <f>IFERROR(__xludf.DUMMYFUNCTION("""COMPUTED_VALUE"""),"PASTAZA")</f>
        <v>PASTAZA</v>
      </c>
      <c r="N727" s="65" t="str">
        <f>IFERROR(__xludf.DUMMYFUNCTION("""COMPUTED_VALUE"""),"SHELL")</f>
        <v>SHELL</v>
      </c>
      <c r="O727" s="65" t="str">
        <f>IFERROR(__xludf.DUMMYFUNCTION("""COMPUTED_VALUE"""),"Av. Pastaza y Sara Velasco - Barrio nuevo amanecer  frente al parque nuevo amanecer")</f>
        <v>Av. Pastaza y Sara Velasco - Barrio nuevo amanecer  frente al parque nuevo amanecer</v>
      </c>
      <c r="P727" s="65"/>
      <c r="Q727" s="65" t="str">
        <f>IFERROR(__xludf.DUMMYFUNCTION("""COMPUTED_VALUE"""),"GINTRACOM")</f>
        <v>GINTRACOM</v>
      </c>
      <c r="R727" s="65">
        <f>IFERROR(__xludf.DUMMYFUNCTION("""COMPUTED_VALUE"""),20.0)</f>
        <v>20</v>
      </c>
      <c r="S727" s="65"/>
      <c r="T727" s="65">
        <f>IFERROR(__xludf.DUMMYFUNCTION("""COMPUTED_VALUE"""),6.33)</f>
        <v>6.33</v>
      </c>
      <c r="U727" s="65">
        <f>IFERROR(__xludf.DUMMYFUNCTION("""COMPUTED_VALUE"""),0.0)</f>
        <v>0</v>
      </c>
      <c r="V727" s="65">
        <f>IFERROR(__xludf.DUMMYFUNCTION("""COMPUTED_VALUE"""),0.0)</f>
        <v>0</v>
      </c>
      <c r="W727" s="65">
        <f>IFERROR(__xludf.DUMMYFUNCTION("""COMPUTED_VALUE"""),0.0)</f>
        <v>0</v>
      </c>
      <c r="X727" s="65">
        <f>IFERROR(__xludf.DUMMYFUNCTION("""COMPUTED_VALUE"""),2.4)</f>
        <v>2.4</v>
      </c>
      <c r="Y727" s="65">
        <f>IFERROR(__xludf.DUMMYFUNCTION("""COMPUTED_VALUE"""),2.4)</f>
        <v>2.4</v>
      </c>
      <c r="Z727" s="65">
        <f>IFERROR(__xludf.DUMMYFUNCTION("""COMPUTED_VALUE"""),120732.0)</f>
        <v>120732</v>
      </c>
      <c r="AA727" s="65" t="str">
        <f>IFERROR(__xludf.DUMMYFUNCTION("""COMPUTED_VALUE"""),"PROV-LMPVT")</f>
        <v>PROV-LMPVT</v>
      </c>
      <c r="AB727" s="65"/>
      <c r="AC727" s="67" t="str">
        <f>IFERROR(__xludf.DUMMYFUNCTION("""COMPUTED_VALUE"""),"LIMPIADOR DE PARABRISAS Y VENTANAS")</f>
        <v>LIMPIADOR DE PARABRISAS Y VENTANAS</v>
      </c>
      <c r="AD727" s="65"/>
      <c r="AE727" s="65">
        <f>IFERROR(__xludf.DUMMYFUNCTION("""COMPUTED_VALUE"""),1.0)</f>
        <v>1</v>
      </c>
      <c r="AF727" s="65" t="str">
        <f>IFERROR(__xludf.DUMMYFUNCTION("""COMPUTED_VALUE"""),"DESTINATARIO INDICA QUE DESEA MAS INFORMACIÓN DEL PRODUCTO PARA RECIBIRLO")</f>
        <v>DESTINATARIO INDICA QUE DESEA MAS INFORMACIÓN DEL PRODUCTO PARA RECIBIRLO</v>
      </c>
      <c r="AG727" s="65" t="str">
        <f>IFERROR(__xludf.DUMMYFUNCTION("""COMPUTED_VALUE"""),"NO")</f>
        <v>NO</v>
      </c>
      <c r="AH727" s="65" t="str">
        <f>IFERROR(__xludf.DUMMYFUNCTION("""COMPUTED_VALUE"""),"11:25")</f>
        <v>11:25</v>
      </c>
      <c r="AI727" s="65" t="str">
        <f>IFERROR(__xludf.DUMMYFUNCTION("""COMPUTED_VALUE"""),"27-02-2026")</f>
        <v>27-02-2026</v>
      </c>
      <c r="AJ727" s="65"/>
      <c r="AK727" s="65"/>
      <c r="AL727" s="65"/>
      <c r="AM727" s="65"/>
      <c r="AN727" s="65" t="str">
        <f>IFERROR(__xludf.DUMMYFUNCTION("""COMPUTED_VALUE"""),"11:39")</f>
        <v>11:39</v>
      </c>
      <c r="AO727" s="65" t="str">
        <f>IFERROR(__xludf.DUMMYFUNCTION("""COMPUTED_VALUE"""),"18-03-2026")</f>
        <v>18-03-2026</v>
      </c>
      <c r="AP727" s="65" t="str">
        <f>IFERROR(__xludf.DUMMYFUNCTION("""COMPUTED_VALUE"""),"DEV CONFIRMADA POR BODEGA")</f>
        <v>DEV CONFIRMADA POR BODEGA</v>
      </c>
      <c r="AQ727" s="65"/>
      <c r="AR727" s="65" t="str">
        <f>IFERROR(__xludf.DUMMYFUNCTION("""COMPUTED_VALUE"""),"Gestionado por: PROVEDIX DAMIAN, email:enviogratisdirecto@gmail.com, total de productos en la orden: 1")</f>
        <v>Gestionado por: PROVEDIX DAMIAN, email:enviogratisdirecto@gmail.com, total de productos en la orden: 1</v>
      </c>
      <c r="AS727" s="65"/>
      <c r="AT727" s="65" t="str">
        <f>IFERROR(__xludf.DUMMYFUNCTION("""COMPUTED_VALUE"""),"SHOPIFY")</f>
        <v>SHOPIFY</v>
      </c>
      <c r="AU727" s="65" t="str">
        <f>IFERROR(__xludf.DUMMYFUNCTION("""COMPUTED_VALUE"""),"IMPORTEX EC")</f>
        <v>IMPORTEX EC</v>
      </c>
      <c r="AV727" s="65" t="str">
        <f>IFERROR(__xludf.DUMMYFUNCTION("""COMPUTED_VALUE"""),"6506256891948")</f>
        <v>6506256891948</v>
      </c>
      <c r="AW727" s="65">
        <f>IFERROR(__xludf.DUMMYFUNCTION("""COMPUTED_VALUE"""),6181.0)</f>
        <v>6181</v>
      </c>
      <c r="AX727" s="65"/>
      <c r="AY727" s="65" t="str">
        <f>IFERROR(__xludf.DUMMYFUNCTION("""COMPUTED_VALUE"""),"20/02/2026")</f>
        <v>20/02/2026</v>
      </c>
      <c r="AZ727" s="65"/>
      <c r="BA727" s="65"/>
    </row>
    <row r="728">
      <c r="A728" s="65" t="str">
        <f>IFERROR(__xludf.DUMMYFUNCTION("""COMPUTED_VALUE"""),"27-03-2026")</f>
        <v>27-03-2026</v>
      </c>
      <c r="B728" s="65">
        <f>IFERROR(__xludf.DUMMYFUNCTION("""COMPUTED_VALUE"""),4517110.0)</f>
        <v>4517110</v>
      </c>
      <c r="C728" s="65" t="str">
        <f>IFERROR(__xludf.DUMMYFUNCTION("""COMPUTED_VALUE"""),"15:55")</f>
        <v>15:55</v>
      </c>
      <c r="D728" s="65" t="str">
        <f>IFERROR(__xludf.DUMMYFUNCTION("""COMPUTED_VALUE"""),"15-02-2026")</f>
        <v>15-02-2026</v>
      </c>
      <c r="E728" s="65" t="str">
        <f>IFERROR(__xludf.DUMMYFUNCTION("""COMPUTED_VALUE"""),"Jasmanny Juela")</f>
        <v>Jasmanny Juela</v>
      </c>
      <c r="F728" s="65" t="str">
        <f>IFERROR(__xludf.DUMMYFUNCTION("""COMPUTED_VALUE"""),"980488245")</f>
        <v>980488245</v>
      </c>
      <c r="G728" s="65" t="str">
        <f>IFERROR(__xludf.DUMMYFUNCTION("""COMPUTED_VALUE"""),"jasssoroz29@gmail.com")</f>
        <v>jasssoroz29@gmail.com</v>
      </c>
      <c r="H728" s="65"/>
      <c r="I728" s="65"/>
      <c r="J728" s="65" t="str">
        <f>IFERROR(__xludf.DUMMYFUNCTION("""COMPUTED_VALUE"""),"186793783")</f>
        <v>186793783</v>
      </c>
      <c r="K728" s="65" t="str">
        <f>IFERROR(__xludf.DUMMYFUNCTION("""COMPUTED_VALUE"""),"ENTREGADO")</f>
        <v>ENTREGADO</v>
      </c>
      <c r="L728" s="65" t="str">
        <f>IFERROR(__xludf.DUMMYFUNCTION("""COMPUTED_VALUE"""),"CON RECAUDO")</f>
        <v>CON RECAUDO</v>
      </c>
      <c r="M728" s="65" t="str">
        <f>IFERROR(__xludf.DUMMYFUNCTION("""COMPUTED_VALUE"""),"ZAMORA CHINCHIPE")</f>
        <v>ZAMORA CHINCHIPE</v>
      </c>
      <c r="N728" s="65" t="str">
        <f>IFERROR(__xludf.DUMMYFUNCTION("""COMPUTED_VALUE"""),"EL PANGUI")</f>
        <v>EL PANGUI</v>
      </c>
      <c r="O728" s="65" t="str">
        <f>IFERROR(__xludf.DUMMYFUNCTION("""COMPUTED_VALUE"""),"Cordillera del cóndor Y  Angel Velez - REF : Referencia a 1 cuadra del banco de loja casa esquinera de 3 pisos color blanca")</f>
        <v>Cordillera del cóndor Y  Angel Velez - REF : Referencia a 1 cuadra del banco de loja casa esquinera de 3 pisos color blanca</v>
      </c>
      <c r="P728" s="65"/>
      <c r="Q728" s="65" t="str">
        <f>IFERROR(__xludf.DUMMYFUNCTION("""COMPUTED_VALUE"""),"SERVIENTREGA")</f>
        <v>SERVIENTREGA</v>
      </c>
      <c r="R728" s="65">
        <f>IFERROR(__xludf.DUMMYFUNCTION("""COMPUTED_VALUE"""),30.0)</f>
        <v>30</v>
      </c>
      <c r="S728" s="65">
        <f>IFERROR(__xludf.DUMMYFUNCTION("""COMPUTED_VALUE"""),14.98)</f>
        <v>14.98</v>
      </c>
      <c r="T728" s="65">
        <f>IFERROR(__xludf.DUMMYFUNCTION("""COMPUTED_VALUE"""),7.82)</f>
        <v>7.82</v>
      </c>
      <c r="U728" s="65">
        <f>IFERROR(__xludf.DUMMYFUNCTION("""COMPUTED_VALUE"""),0.0)</f>
        <v>0</v>
      </c>
      <c r="V728" s="65">
        <f>IFERROR(__xludf.DUMMYFUNCTION("""COMPUTED_VALUE"""),0.0)</f>
        <v>0</v>
      </c>
      <c r="W728" s="65">
        <f>IFERROR(__xludf.DUMMYFUNCTION("""COMPUTED_VALUE"""),0.0)</f>
        <v>0</v>
      </c>
      <c r="X728" s="65">
        <f>IFERROR(__xludf.DUMMYFUNCTION("""COMPUTED_VALUE"""),2.4)</f>
        <v>2.4</v>
      </c>
      <c r="Y728" s="65">
        <f>IFERROR(__xludf.DUMMYFUNCTION("""COMPUTED_VALUE"""),7.2)</f>
        <v>7.2</v>
      </c>
      <c r="Z728" s="65">
        <f>IFERROR(__xludf.DUMMYFUNCTION("""COMPUTED_VALUE"""),120732.0)</f>
        <v>120732</v>
      </c>
      <c r="AA728" s="65" t="str">
        <f>IFERROR(__xludf.DUMMYFUNCTION("""COMPUTED_VALUE"""),"PROV-LMPVT")</f>
        <v>PROV-LMPVT</v>
      </c>
      <c r="AB728" s="65"/>
      <c r="AC728" s="65" t="str">
        <f>IFERROR(__xludf.DUMMYFUNCTION("""COMPUTED_VALUE"""),"LIMPIADOR DE PARABRISAS Y VENTANAS")</f>
        <v>LIMPIADOR DE PARABRISAS Y VENTANAS</v>
      </c>
      <c r="AD728" s="65"/>
      <c r="AE728" s="65">
        <f>IFERROR(__xludf.DUMMYFUNCTION("""COMPUTED_VALUE"""),3.0)</f>
        <v>3</v>
      </c>
      <c r="AF728" s="65"/>
      <c r="AG728" s="65"/>
      <c r="AH728" s="65"/>
      <c r="AI728" s="65"/>
      <c r="AJ728" s="65"/>
      <c r="AK728" s="65"/>
      <c r="AL728" s="65"/>
      <c r="AM728" s="65"/>
      <c r="AN728" s="65" t="str">
        <f>IFERROR(__xludf.DUMMYFUNCTION("""COMPUTED_VALUE"""),"10:38")</f>
        <v>10:38</v>
      </c>
      <c r="AO728" s="65" t="str">
        <f>IFERROR(__xludf.DUMMYFUNCTION("""COMPUTED_VALUE"""),"28-02-2026")</f>
        <v>28-02-2026</v>
      </c>
      <c r="AP728" s="65" t="str">
        <f>IFERROR(__xludf.DUMMYFUNCTION("""COMPUTED_VALUE"""),"ENTREGA DIGITALIZADA EN CENTRO LOGISTICO")</f>
        <v>ENTREGA DIGITALIZADA EN CENTRO LOGISTICO</v>
      </c>
      <c r="AQ728" s="65" t="str">
        <f>IFERROR(__xludf.DUMMYFUNCTION("""COMPUTED_VALUE"""),"Jasmanny García")</f>
        <v>Jasmanny García</v>
      </c>
      <c r="AR728" s="65"/>
      <c r="AS728" s="65"/>
      <c r="AT728" s="65" t="str">
        <f>IFERROR(__xludf.DUMMYFUNCTION("""COMPUTED_VALUE"""),"SHOPIFY")</f>
        <v>SHOPIFY</v>
      </c>
      <c r="AU728" s="65" t="str">
        <f>IFERROR(__xludf.DUMMYFUNCTION("""COMPUTED_VALUE"""),"IMPORTEX EC")</f>
        <v>IMPORTEX EC</v>
      </c>
      <c r="AV728" s="65" t="str">
        <f>IFERROR(__xludf.DUMMYFUNCTION("""COMPUTED_VALUE"""),"6506158522412")</f>
        <v>6506158522412</v>
      </c>
      <c r="AW728" s="65">
        <f>IFERROR(__xludf.DUMMYFUNCTION("""COMPUTED_VALUE"""),6178.0)</f>
        <v>6178</v>
      </c>
      <c r="AX728" s="65"/>
      <c r="AY728" s="65" t="str">
        <f>IFERROR(__xludf.DUMMYFUNCTION("""COMPUTED_VALUE"""),"19/02/2026")</f>
        <v>19/02/2026</v>
      </c>
      <c r="AZ728" s="65"/>
      <c r="BA728" s="65"/>
    </row>
    <row r="729">
      <c r="A729" s="65" t="str">
        <f>IFERROR(__xludf.DUMMYFUNCTION("""COMPUTED_VALUE"""),"27-03-2026")</f>
        <v>27-03-2026</v>
      </c>
      <c r="B729" s="65">
        <f>IFERROR(__xludf.DUMMYFUNCTION("""COMPUTED_VALUE"""),4516808.0)</f>
        <v>4516808</v>
      </c>
      <c r="C729" s="65" t="str">
        <f>IFERROR(__xludf.DUMMYFUNCTION("""COMPUTED_VALUE"""),"15:00")</f>
        <v>15:00</v>
      </c>
      <c r="D729" s="65" t="str">
        <f>IFERROR(__xludf.DUMMYFUNCTION("""COMPUTED_VALUE"""),"15-02-2026")</f>
        <v>15-02-2026</v>
      </c>
      <c r="E729" s="65" t="str">
        <f>IFERROR(__xludf.DUMMYFUNCTION("""COMPUTED_VALUE"""),"Luis Alberto Gualle Ibujes")</f>
        <v>Luis Alberto Gualle Ibujes</v>
      </c>
      <c r="F729" s="65" t="str">
        <f>IFERROR(__xludf.DUMMYFUNCTION("""COMPUTED_VALUE"""),"959270932")</f>
        <v>959270932</v>
      </c>
      <c r="G729" s="65" t="str">
        <f>IFERROR(__xludf.DUMMYFUNCTION("""COMPUTED_VALUE"""),"bemac1726@gmail.com")</f>
        <v>bemac1726@gmail.com</v>
      </c>
      <c r="H729" s="65"/>
      <c r="I729" s="65"/>
      <c r="J729" s="65"/>
      <c r="K729" s="65" t="str">
        <f>IFERROR(__xludf.DUMMYFUNCTION("""COMPUTED_VALUE"""),"CANCELADO")</f>
        <v>CANCELADO</v>
      </c>
      <c r="L729" s="65" t="str">
        <f>IFERROR(__xludf.DUMMYFUNCTION("""COMPUTED_VALUE"""),"CON RECAUDO")</f>
        <v>CON RECAUDO</v>
      </c>
      <c r="M729" s="65" t="str">
        <f>IFERROR(__xludf.DUMMYFUNCTION("""COMPUTED_VALUE"""),"NAPO")</f>
        <v>NAPO</v>
      </c>
      <c r="N729" s="65" t="str">
        <f>IFERROR(__xludf.DUMMYFUNCTION("""COMPUTED_VALUE"""),"TENA")</f>
        <v>TENA</v>
      </c>
      <c r="O729" s="65" t="str">
        <f>IFERROR(__xludf.DUMMYFUNCTION("""COMPUTED_VALUE"""),"Panamericana E45 Barrio Brazil de franco -")</f>
        <v>Panamericana E45 Barrio Brazil de franco -</v>
      </c>
      <c r="P729" s="65"/>
      <c r="Q729" s="65" t="str">
        <f>IFERROR(__xludf.DUMMYFUNCTION("""COMPUTED_VALUE"""),"GINTRACOM")</f>
        <v>GINTRACOM</v>
      </c>
      <c r="R729" s="65">
        <f>IFERROR(__xludf.DUMMYFUNCTION("""COMPUTED_VALUE"""),25.0)</f>
        <v>25</v>
      </c>
      <c r="S729" s="65"/>
      <c r="T729" s="65">
        <f>IFERROR(__xludf.DUMMYFUNCTION("""COMPUTED_VALUE"""),5.96)</f>
        <v>5.96</v>
      </c>
      <c r="U729" s="65">
        <f>IFERROR(__xludf.DUMMYFUNCTION("""COMPUTED_VALUE"""),0.0)</f>
        <v>0</v>
      </c>
      <c r="V729" s="65">
        <f>IFERROR(__xludf.DUMMYFUNCTION("""COMPUTED_VALUE"""),0.0)</f>
        <v>0</v>
      </c>
      <c r="W729" s="65">
        <f>IFERROR(__xludf.DUMMYFUNCTION("""COMPUTED_VALUE"""),0.0)</f>
        <v>0</v>
      </c>
      <c r="X729" s="65">
        <f>IFERROR(__xludf.DUMMYFUNCTION("""COMPUTED_VALUE"""),2.4)</f>
        <v>2.4</v>
      </c>
      <c r="Y729" s="65">
        <f>IFERROR(__xludf.DUMMYFUNCTION("""COMPUTED_VALUE"""),4.8)</f>
        <v>4.8</v>
      </c>
      <c r="Z729" s="65">
        <f>IFERROR(__xludf.DUMMYFUNCTION("""COMPUTED_VALUE"""),120732.0)</f>
        <v>120732</v>
      </c>
      <c r="AA729" s="65" t="str">
        <f>IFERROR(__xludf.DUMMYFUNCTION("""COMPUTED_VALUE"""),"PROV-LMPVT")</f>
        <v>PROV-LMPVT</v>
      </c>
      <c r="AB729" s="65"/>
      <c r="AC729" s="65" t="str">
        <f>IFERROR(__xludf.DUMMYFUNCTION("""COMPUTED_VALUE"""),"LIMPIADOR DE PARABRISAS Y VENTANAS")</f>
        <v>LIMPIADOR DE PARABRISAS Y VENTANAS</v>
      </c>
      <c r="AD729" s="65"/>
      <c r="AE729" s="65">
        <f>IFERROR(__xludf.DUMMYFUNCTION("""COMPUTED_VALUE"""),2.0)</f>
        <v>2</v>
      </c>
      <c r="AF729" s="65"/>
      <c r="AG729" s="65"/>
      <c r="AH729" s="65"/>
      <c r="AI729" s="65"/>
      <c r="AJ729" s="65"/>
      <c r="AK729" s="65"/>
      <c r="AL729" s="65"/>
      <c r="AM729" s="65"/>
      <c r="AN729" s="65"/>
      <c r="AO729" s="65"/>
      <c r="AP729" s="65"/>
      <c r="AQ729" s="65"/>
      <c r="AR729" s="65"/>
      <c r="AS729" s="65"/>
      <c r="AT729" s="65" t="str">
        <f>IFERROR(__xludf.DUMMYFUNCTION("""COMPUTED_VALUE"""),"SHOPIFY")</f>
        <v>SHOPIFY</v>
      </c>
      <c r="AU729" s="65" t="str">
        <f>IFERROR(__xludf.DUMMYFUNCTION("""COMPUTED_VALUE"""),"IMPORTEX EC")</f>
        <v>IMPORTEX EC</v>
      </c>
      <c r="AV729" s="65" t="str">
        <f>IFERROR(__xludf.DUMMYFUNCTION("""COMPUTED_VALUE"""),"6506048847916")</f>
        <v>6506048847916</v>
      </c>
      <c r="AW729" s="65">
        <f>IFERROR(__xludf.DUMMYFUNCTION("""COMPUTED_VALUE"""),6177.0)</f>
        <v>6177</v>
      </c>
      <c r="AX729" s="65"/>
      <c r="AY729" s="65"/>
      <c r="AZ729" s="65"/>
      <c r="BA729" s="65"/>
    </row>
    <row r="730">
      <c r="A730" s="65" t="str">
        <f>IFERROR(__xludf.DUMMYFUNCTION("""COMPUTED_VALUE"""),"27-03-2026")</f>
        <v>27-03-2026</v>
      </c>
      <c r="B730" s="65">
        <f>IFERROR(__xludf.DUMMYFUNCTION("""COMPUTED_VALUE"""),4515143.0)</f>
        <v>4515143</v>
      </c>
      <c r="C730" s="65" t="str">
        <f>IFERROR(__xludf.DUMMYFUNCTION("""COMPUTED_VALUE"""),"10:47")</f>
        <v>10:47</v>
      </c>
      <c r="D730" s="65" t="str">
        <f>IFERROR(__xludf.DUMMYFUNCTION("""COMPUTED_VALUE"""),"15-02-2026")</f>
        <v>15-02-2026</v>
      </c>
      <c r="E730" s="65" t="str">
        <f>IFERROR(__xludf.DUMMYFUNCTION("""COMPUTED_VALUE"""),"Virginia Ortega")</f>
        <v>Virginia Ortega</v>
      </c>
      <c r="F730" s="65" t="str">
        <f>IFERROR(__xludf.DUMMYFUNCTION("""COMPUTED_VALUE"""),"997982001")</f>
        <v>997982001</v>
      </c>
      <c r="G730" s="65" t="str">
        <f>IFERROR(__xludf.DUMMYFUNCTION("""COMPUTED_VALUE"""),"vortega2712@gmail.com")</f>
        <v>vortega2712@gmail.com</v>
      </c>
      <c r="H730" s="65"/>
      <c r="I730" s="65"/>
      <c r="J730" s="65" t="str">
        <f>IFERROR(__xludf.DUMMYFUNCTION("""COMPUTED_VALUE"""),"D001340323")</f>
        <v>D001340323</v>
      </c>
      <c r="K730" s="65" t="str">
        <f>IFERROR(__xludf.DUMMYFUNCTION("""COMPUTED_VALUE"""),"DEVOLUCION")</f>
        <v>DEVOLUCION</v>
      </c>
      <c r="L730" s="65" t="str">
        <f>IFERROR(__xludf.DUMMYFUNCTION("""COMPUTED_VALUE"""),"CON RECAUDO")</f>
        <v>CON RECAUDO</v>
      </c>
      <c r="M730" s="65" t="str">
        <f>IFERROR(__xludf.DUMMYFUNCTION("""COMPUTED_VALUE"""),"GUAYAS")</f>
        <v>GUAYAS</v>
      </c>
      <c r="N730" s="65" t="str">
        <f>IFERROR(__xludf.DUMMYFUNCTION("""COMPUTED_VALUE"""),"GUAYAQUIL")</f>
        <v>GUAYAQUIL</v>
      </c>
      <c r="O730" s="65" t="str">
        <f>IFERROR(__xludf.DUMMYFUNCTION("""COMPUTED_VALUE"""),"avenida José Vicente Trujillo y 25 de Julio -Cerca de agencia banco del Pichincha -")</f>
        <v>avenida José Vicente Trujillo y 25 de Julio -Cerca de agencia banco del Pichincha -</v>
      </c>
      <c r="P730" s="65"/>
      <c r="Q730" s="65" t="str">
        <f>IFERROR(__xludf.DUMMYFUNCTION("""COMPUTED_VALUE"""),"GINTRACOM")</f>
        <v>GINTRACOM</v>
      </c>
      <c r="R730" s="65">
        <f>IFERROR(__xludf.DUMMYFUNCTION("""COMPUTED_VALUE"""),25.0)</f>
        <v>25</v>
      </c>
      <c r="S730" s="65"/>
      <c r="T730" s="65">
        <f>IFERROR(__xludf.DUMMYFUNCTION("""COMPUTED_VALUE"""),4.35)</f>
        <v>4.35</v>
      </c>
      <c r="U730" s="65">
        <f>IFERROR(__xludf.DUMMYFUNCTION("""COMPUTED_VALUE"""),0.0)</f>
        <v>0</v>
      </c>
      <c r="V730" s="65">
        <f>IFERROR(__xludf.DUMMYFUNCTION("""COMPUTED_VALUE"""),0.0)</f>
        <v>0</v>
      </c>
      <c r="W730" s="65">
        <f>IFERROR(__xludf.DUMMYFUNCTION("""COMPUTED_VALUE"""),0.0)</f>
        <v>0</v>
      </c>
      <c r="X730" s="65">
        <f>IFERROR(__xludf.DUMMYFUNCTION("""COMPUTED_VALUE"""),2.4)</f>
        <v>2.4</v>
      </c>
      <c r="Y730" s="65">
        <f>IFERROR(__xludf.DUMMYFUNCTION("""COMPUTED_VALUE"""),4.8)</f>
        <v>4.8</v>
      </c>
      <c r="Z730" s="65">
        <f>IFERROR(__xludf.DUMMYFUNCTION("""COMPUTED_VALUE"""),120732.0)</f>
        <v>120732</v>
      </c>
      <c r="AA730" s="65" t="str">
        <f>IFERROR(__xludf.DUMMYFUNCTION("""COMPUTED_VALUE"""),"PROV-LMPVT")</f>
        <v>PROV-LMPVT</v>
      </c>
      <c r="AB730" s="65"/>
      <c r="AC730" s="65" t="str">
        <f>IFERROR(__xludf.DUMMYFUNCTION("""COMPUTED_VALUE"""),"LIMPIADOR DE PARABRISAS Y VENTANAS")</f>
        <v>LIMPIADOR DE PARABRISAS Y VENTANAS</v>
      </c>
      <c r="AD730" s="65"/>
      <c r="AE730" s="65">
        <f>IFERROR(__xludf.DUMMYFUNCTION("""COMPUTED_VALUE"""),2.0)</f>
        <v>2</v>
      </c>
      <c r="AF730" s="65" t="str">
        <f>IFERROR(__xludf.DUMMYFUNCTION("""COMPUTED_VALUE"""),"DESTINATARIO NO CONTESTA LLAMADAS NI WHATSAPP")</f>
        <v>DESTINATARIO NO CONTESTA LLAMADAS NI WHATSAPP</v>
      </c>
      <c r="AG730" s="65" t="str">
        <f>IFERROR(__xludf.DUMMYFUNCTION("""COMPUTED_VALUE"""),"NO")</f>
        <v>NO</v>
      </c>
      <c r="AH730" s="65" t="str">
        <f>IFERROR(__xludf.DUMMYFUNCTION("""COMPUTED_VALUE"""),"11:49")</f>
        <v>11:49</v>
      </c>
      <c r="AI730" s="65" t="str">
        <f>IFERROR(__xludf.DUMMYFUNCTION("""COMPUTED_VALUE"""),"27-02-2026")</f>
        <v>27-02-2026</v>
      </c>
      <c r="AJ730" s="65"/>
      <c r="AK730" s="65"/>
      <c r="AL730" s="65"/>
      <c r="AM730" s="65"/>
      <c r="AN730" s="65" t="str">
        <f>IFERROR(__xludf.DUMMYFUNCTION("""COMPUTED_VALUE"""),"01:35")</f>
        <v>01:35</v>
      </c>
      <c r="AO730" s="65" t="str">
        <f>IFERROR(__xludf.DUMMYFUNCTION("""COMPUTED_VALUE"""),"09-03-2026")</f>
        <v>09-03-2026</v>
      </c>
      <c r="AP730" s="65" t="str">
        <f>IFERROR(__xludf.DUMMYFUNCTION("""COMPUTED_VALUE"""),"DEVOLUCIÓN ENTREGADA A ORIGEN")</f>
        <v>DEVOLUCIÓN ENTREGADA A ORIGEN</v>
      </c>
      <c r="AQ730" s="65" t="str">
        <f>IFERROR(__xludf.DUMMYFUNCTION("""COMPUTED_VALUE"""),"DEVOLUCIÓN ENTREGADA A ORIGEN")</f>
        <v>DEVOLUCIÓN ENTREGADA A ORIGEN</v>
      </c>
      <c r="AR730" s="65"/>
      <c r="AS730" s="65"/>
      <c r="AT730" s="65" t="str">
        <f>IFERROR(__xludf.DUMMYFUNCTION("""COMPUTED_VALUE"""),"SHOPIFY")</f>
        <v>SHOPIFY</v>
      </c>
      <c r="AU730" s="65" t="str">
        <f>IFERROR(__xludf.DUMMYFUNCTION("""COMPUTED_VALUE"""),"IMPORTEX EC")</f>
        <v>IMPORTEX EC</v>
      </c>
      <c r="AV730" s="65" t="str">
        <f>IFERROR(__xludf.DUMMYFUNCTION("""COMPUTED_VALUE"""),"6505508012076")</f>
        <v>6505508012076</v>
      </c>
      <c r="AW730" s="65">
        <f>IFERROR(__xludf.DUMMYFUNCTION("""COMPUTED_VALUE"""),6173.0)</f>
        <v>6173</v>
      </c>
      <c r="AX730" s="65"/>
      <c r="AY730" s="65" t="str">
        <f>IFERROR(__xludf.DUMMYFUNCTION("""COMPUTED_VALUE"""),"19/02/2026")</f>
        <v>19/02/2026</v>
      </c>
      <c r="AZ730" s="65"/>
      <c r="BA730" s="65"/>
    </row>
    <row r="731">
      <c r="A731" s="65" t="str">
        <f>IFERROR(__xludf.DUMMYFUNCTION("""COMPUTED_VALUE"""),"27-03-2026")</f>
        <v>27-03-2026</v>
      </c>
      <c r="B731" s="65">
        <f>IFERROR(__xludf.DUMMYFUNCTION("""COMPUTED_VALUE"""),4514796.0)</f>
        <v>4514796</v>
      </c>
      <c r="C731" s="65" t="str">
        <f>IFERROR(__xludf.DUMMYFUNCTION("""COMPUTED_VALUE"""),"10:01")</f>
        <v>10:01</v>
      </c>
      <c r="D731" s="65" t="str">
        <f>IFERROR(__xludf.DUMMYFUNCTION("""COMPUTED_VALUE"""),"15-02-2026")</f>
        <v>15-02-2026</v>
      </c>
      <c r="E731" s="65" t="str">
        <f>IFERROR(__xludf.DUMMYFUNCTION("""COMPUTED_VALUE"""),"Fausto Ricardo Mendez Angamarca")</f>
        <v>Fausto Ricardo Mendez Angamarca</v>
      </c>
      <c r="F731" s="65" t="str">
        <f>IFERROR(__xludf.DUMMYFUNCTION("""COMPUTED_VALUE"""),"984799662")</f>
        <v>984799662</v>
      </c>
      <c r="G731" s="65" t="str">
        <f>IFERROR(__xludf.DUMMYFUNCTION("""COMPUTED_VALUE"""),"f_ame@hotmail.es")</f>
        <v>f_ame@hotmail.es</v>
      </c>
      <c r="H731" s="65"/>
      <c r="I731" s="65"/>
      <c r="J731" s="65" t="str">
        <f>IFERROR(__xludf.DUMMYFUNCTION("""COMPUTED_VALUE"""),"186793784")</f>
        <v>186793784</v>
      </c>
      <c r="K731" s="65" t="str">
        <f>IFERROR(__xludf.DUMMYFUNCTION("""COMPUTED_VALUE"""),"ENTREGADO")</f>
        <v>ENTREGADO</v>
      </c>
      <c r="L731" s="65" t="str">
        <f>IFERROR(__xludf.DUMMYFUNCTION("""COMPUTED_VALUE"""),"CON RECAUDO")</f>
        <v>CON RECAUDO</v>
      </c>
      <c r="M731" s="65" t="str">
        <f>IFERROR(__xludf.DUMMYFUNCTION("""COMPUTED_VALUE"""),"CAÑAR")</f>
        <v>CAÑAR</v>
      </c>
      <c r="N731" s="65" t="str">
        <f>IFERROR(__xludf.DUMMYFUNCTION("""COMPUTED_VALUE"""),"TAMBO")</f>
        <v>TAMBO</v>
      </c>
      <c r="O731" s="65" t="str">
        <f>IFERROR(__xludf.DUMMYFUNCTION("""COMPUTED_VALUE"""),"Cantón El Tambo, Vía Jahuatambo Alto. Calle Jahuatambo y Magdalena Esquina, S/N casa 1 planta Blanca, puerta principal de rejas negras.")</f>
        <v>Cantón El Tambo, Vía Jahuatambo Alto. Calle Jahuatambo y Magdalena Esquina, S/N casa 1 planta Blanca, puerta principal de rejas negras.</v>
      </c>
      <c r="P731" s="65"/>
      <c r="Q731" s="65" t="str">
        <f>IFERROR(__xludf.DUMMYFUNCTION("""COMPUTED_VALUE"""),"SERVIENTREGA")</f>
        <v>SERVIENTREGA</v>
      </c>
      <c r="R731" s="65">
        <f>IFERROR(__xludf.DUMMYFUNCTION("""COMPUTED_VALUE"""),30.0)</f>
        <v>30</v>
      </c>
      <c r="S731" s="65">
        <f>IFERROR(__xludf.DUMMYFUNCTION("""COMPUTED_VALUE"""),14.98)</f>
        <v>14.98</v>
      </c>
      <c r="T731" s="65">
        <f>IFERROR(__xludf.DUMMYFUNCTION("""COMPUTED_VALUE"""),7.82)</f>
        <v>7.82</v>
      </c>
      <c r="U731" s="65">
        <f>IFERROR(__xludf.DUMMYFUNCTION("""COMPUTED_VALUE"""),0.0)</f>
        <v>0</v>
      </c>
      <c r="V731" s="65">
        <f>IFERROR(__xludf.DUMMYFUNCTION("""COMPUTED_VALUE"""),0.0)</f>
        <v>0</v>
      </c>
      <c r="W731" s="65">
        <f>IFERROR(__xludf.DUMMYFUNCTION("""COMPUTED_VALUE"""),0.0)</f>
        <v>0</v>
      </c>
      <c r="X731" s="65">
        <f>IFERROR(__xludf.DUMMYFUNCTION("""COMPUTED_VALUE"""),2.4)</f>
        <v>2.4</v>
      </c>
      <c r="Y731" s="65">
        <f>IFERROR(__xludf.DUMMYFUNCTION("""COMPUTED_VALUE"""),7.2)</f>
        <v>7.2</v>
      </c>
      <c r="Z731" s="65">
        <f>IFERROR(__xludf.DUMMYFUNCTION("""COMPUTED_VALUE"""),120732.0)</f>
        <v>120732</v>
      </c>
      <c r="AA731" s="65" t="str">
        <f>IFERROR(__xludf.DUMMYFUNCTION("""COMPUTED_VALUE"""),"PROV-LMPVT")</f>
        <v>PROV-LMPVT</v>
      </c>
      <c r="AB731" s="65"/>
      <c r="AC731" s="65" t="str">
        <f>IFERROR(__xludf.DUMMYFUNCTION("""COMPUTED_VALUE"""),"LIMPIADOR DE PARABRISAS Y VENTANAS")</f>
        <v>LIMPIADOR DE PARABRISAS Y VENTANAS</v>
      </c>
      <c r="AD731" s="65"/>
      <c r="AE731" s="65">
        <f>IFERROR(__xludf.DUMMYFUNCTION("""COMPUTED_VALUE"""),3.0)</f>
        <v>3</v>
      </c>
      <c r="AF731" s="65"/>
      <c r="AG731" s="65"/>
      <c r="AH731" s="65"/>
      <c r="AI731" s="65"/>
      <c r="AJ731" s="65"/>
      <c r="AK731" s="65"/>
      <c r="AL731" s="65"/>
      <c r="AM731" s="65"/>
      <c r="AN731" s="65" t="str">
        <f>IFERROR(__xludf.DUMMYFUNCTION("""COMPUTED_VALUE"""),"14:58")</f>
        <v>14:58</v>
      </c>
      <c r="AO731" s="65" t="str">
        <f>IFERROR(__xludf.DUMMYFUNCTION("""COMPUTED_VALUE"""),"03-03-2026")</f>
        <v>03-03-2026</v>
      </c>
      <c r="AP731" s="65" t="str">
        <f>IFERROR(__xludf.DUMMYFUNCTION("""COMPUTED_VALUE"""),"ENTREGA DIGITALIZADA EN CENTRO LOGISTICO")</f>
        <v>ENTREGA DIGITALIZADA EN CENTRO LOGISTICO</v>
      </c>
      <c r="AQ731" s="65" t="str">
        <f>IFERROR(__xludf.DUMMYFUNCTION("""COMPUTED_VALUE"""),"FAUSTO RICARDO MENDE")</f>
        <v>FAUSTO RICARDO MENDE</v>
      </c>
      <c r="AR731" s="65"/>
      <c r="AS731" s="65"/>
      <c r="AT731" s="65" t="str">
        <f>IFERROR(__xludf.DUMMYFUNCTION("""COMPUTED_VALUE"""),"SHOPIFY")</f>
        <v>SHOPIFY</v>
      </c>
      <c r="AU731" s="65" t="str">
        <f>IFERROR(__xludf.DUMMYFUNCTION("""COMPUTED_VALUE"""),"IMPORTEX EC")</f>
        <v>IMPORTEX EC</v>
      </c>
      <c r="AV731" s="65" t="str">
        <f>IFERROR(__xludf.DUMMYFUNCTION("""COMPUTED_VALUE"""),"6505430155308")</f>
        <v>6505430155308</v>
      </c>
      <c r="AW731" s="65">
        <f>IFERROR(__xludf.DUMMYFUNCTION("""COMPUTED_VALUE"""),6171.0)</f>
        <v>6171</v>
      </c>
      <c r="AX731" s="65"/>
      <c r="AY731" s="65" t="str">
        <f>IFERROR(__xludf.DUMMYFUNCTION("""COMPUTED_VALUE"""),"19/02/2026")</f>
        <v>19/02/2026</v>
      </c>
      <c r="AZ731" s="65"/>
      <c r="BA731" s="65"/>
    </row>
    <row r="732">
      <c r="A732" s="65" t="str">
        <f>IFERROR(__xludf.DUMMYFUNCTION("""COMPUTED_VALUE"""),"27-03-2026")</f>
        <v>27-03-2026</v>
      </c>
      <c r="B732" s="65">
        <f>IFERROR(__xludf.DUMMYFUNCTION("""COMPUTED_VALUE"""),4514740.0)</f>
        <v>4514740</v>
      </c>
      <c r="C732" s="65" t="str">
        <f>IFERROR(__xludf.DUMMYFUNCTION("""COMPUTED_VALUE"""),"09:53")</f>
        <v>09:53</v>
      </c>
      <c r="D732" s="65" t="str">
        <f>IFERROR(__xludf.DUMMYFUNCTION("""COMPUTED_VALUE"""),"15-02-2026")</f>
        <v>15-02-2026</v>
      </c>
      <c r="E732" s="65" t="str">
        <f>IFERROR(__xludf.DUMMYFUNCTION("""COMPUTED_VALUE"""),"Luis Granda")</f>
        <v>Luis Granda</v>
      </c>
      <c r="F732" s="65" t="str">
        <f>IFERROR(__xludf.DUMMYFUNCTION("""COMPUTED_VALUE"""),"998595858")</f>
        <v>998595858</v>
      </c>
      <c r="G732" s="65" t="str">
        <f>IFERROR(__xludf.DUMMYFUNCTION("""COMPUTED_VALUE"""),"lucho10g@yahoo.com")</f>
        <v>lucho10g@yahoo.com</v>
      </c>
      <c r="H732" s="65"/>
      <c r="I732" s="65"/>
      <c r="J732" s="65" t="str">
        <f>IFERROR(__xludf.DUMMYFUNCTION("""COMPUTED_VALUE"""),"D001340325")</f>
        <v>D001340325</v>
      </c>
      <c r="K732" s="65" t="str">
        <f>IFERROR(__xludf.DUMMYFUNCTION("""COMPUTED_VALUE"""),"ENTREGADO")</f>
        <v>ENTREGADO</v>
      </c>
      <c r="L732" s="65" t="str">
        <f>IFERROR(__xludf.DUMMYFUNCTION("""COMPUTED_VALUE"""),"CON RECAUDO")</f>
        <v>CON RECAUDO</v>
      </c>
      <c r="M732" s="65" t="str">
        <f>IFERROR(__xludf.DUMMYFUNCTION("""COMPUTED_VALUE"""),"PICHINCHA")</f>
        <v>PICHINCHA</v>
      </c>
      <c r="N732" s="65" t="str">
        <f>IFERROR(__xludf.DUMMYFUNCTION("""COMPUTED_VALUE"""),"QUITO")</f>
        <v>QUITO</v>
      </c>
      <c r="O732" s="65" t="str">
        <f>IFERROR(__xludf.DUMMYFUNCTION("""COMPUTED_VALUE"""),"Av Amazonas 45-45 y Pereira. Edificio Centro Financiero Banco Pichincha. Piso 6 Ciberseguridad")</f>
        <v>Av Amazonas 45-45 y Pereira. Edificio Centro Financiero Banco Pichincha. Piso 6 Ciberseguridad</v>
      </c>
      <c r="P732" s="65"/>
      <c r="Q732" s="65" t="str">
        <f>IFERROR(__xludf.DUMMYFUNCTION("""COMPUTED_VALUE"""),"GINTRACOM")</f>
        <v>GINTRACOM</v>
      </c>
      <c r="R732" s="65">
        <f>IFERROR(__xludf.DUMMYFUNCTION("""COMPUTED_VALUE"""),30.0)</f>
        <v>30</v>
      </c>
      <c r="S732" s="65">
        <f>IFERROR(__xludf.DUMMYFUNCTION("""COMPUTED_VALUE"""),16.64)</f>
        <v>16.64</v>
      </c>
      <c r="T732" s="65">
        <f>IFERROR(__xludf.DUMMYFUNCTION("""COMPUTED_VALUE"""),6.16)</f>
        <v>6.16</v>
      </c>
      <c r="U732" s="65">
        <f>IFERROR(__xludf.DUMMYFUNCTION("""COMPUTED_VALUE"""),0.0)</f>
        <v>0</v>
      </c>
      <c r="V732" s="65">
        <f>IFERROR(__xludf.DUMMYFUNCTION("""COMPUTED_VALUE"""),0.0)</f>
        <v>0</v>
      </c>
      <c r="W732" s="65">
        <f>IFERROR(__xludf.DUMMYFUNCTION("""COMPUTED_VALUE"""),0.0)</f>
        <v>0</v>
      </c>
      <c r="X732" s="65">
        <f>IFERROR(__xludf.DUMMYFUNCTION("""COMPUTED_VALUE"""),2.4)</f>
        <v>2.4</v>
      </c>
      <c r="Y732" s="65">
        <f>IFERROR(__xludf.DUMMYFUNCTION("""COMPUTED_VALUE"""),7.2)</f>
        <v>7.2</v>
      </c>
      <c r="Z732" s="65">
        <f>IFERROR(__xludf.DUMMYFUNCTION("""COMPUTED_VALUE"""),120732.0)</f>
        <v>120732</v>
      </c>
      <c r="AA732" s="65" t="str">
        <f>IFERROR(__xludf.DUMMYFUNCTION("""COMPUTED_VALUE"""),"PROV-LMPVT")</f>
        <v>PROV-LMPVT</v>
      </c>
      <c r="AB732" s="65"/>
      <c r="AC732" s="65" t="str">
        <f>IFERROR(__xludf.DUMMYFUNCTION("""COMPUTED_VALUE"""),"LIMPIADOR DE PARABRISAS Y VENTANAS")</f>
        <v>LIMPIADOR DE PARABRISAS Y VENTANAS</v>
      </c>
      <c r="AD732" s="65"/>
      <c r="AE732" s="65">
        <f>IFERROR(__xludf.DUMMYFUNCTION("""COMPUTED_VALUE"""),3.0)</f>
        <v>3</v>
      </c>
      <c r="AF732" s="65"/>
      <c r="AG732" s="65"/>
      <c r="AH732" s="65"/>
      <c r="AI732" s="65"/>
      <c r="AJ732" s="65"/>
      <c r="AK732" s="65"/>
      <c r="AL732" s="65"/>
      <c r="AM732" s="65"/>
      <c r="AN732" s="65" t="str">
        <f>IFERROR(__xludf.DUMMYFUNCTION("""COMPUTED_VALUE"""),"11:28")</f>
        <v>11:28</v>
      </c>
      <c r="AO732" s="65" t="str">
        <f>IFERROR(__xludf.DUMMYFUNCTION("""COMPUTED_VALUE"""),"20-02-2026")</f>
        <v>20-02-2026</v>
      </c>
      <c r="AP732" s="65" t="str">
        <f>IFERROR(__xludf.DUMMYFUNCTION("""COMPUTED_VALUE"""),"DESTINATARIO SOLICITA CAMBIO DE DIRECCIÓN")</f>
        <v>DESTINATARIO SOLICITA CAMBIO DE DIRECCIÓN</v>
      </c>
      <c r="AQ732" s="65" t="str">
        <f>IFERROR(__xludf.DUMMYFUNCTION("""COMPUTED_VALUE"""),"DESTINATARIO SOLICITA CAMBIO DE DIRECCIÓN")</f>
        <v>DESTINATARIO SOLICITA CAMBIO DE DIRECCIÓN</v>
      </c>
      <c r="AR732" s="65"/>
      <c r="AS732" s="65"/>
      <c r="AT732" s="65" t="str">
        <f>IFERROR(__xludf.DUMMYFUNCTION("""COMPUTED_VALUE"""),"SHOPIFY")</f>
        <v>SHOPIFY</v>
      </c>
      <c r="AU732" s="65" t="str">
        <f>IFERROR(__xludf.DUMMYFUNCTION("""COMPUTED_VALUE"""),"IMPORTEX EC")</f>
        <v>IMPORTEX EC</v>
      </c>
      <c r="AV732" s="65" t="str">
        <f>IFERROR(__xludf.DUMMYFUNCTION("""COMPUTED_VALUE"""),"6505420161068")</f>
        <v>6505420161068</v>
      </c>
      <c r="AW732" s="65">
        <f>IFERROR(__xludf.DUMMYFUNCTION("""COMPUTED_VALUE"""),6170.0)</f>
        <v>6170</v>
      </c>
      <c r="AX732" s="65"/>
      <c r="AY732" s="65" t="str">
        <f>IFERROR(__xludf.DUMMYFUNCTION("""COMPUTED_VALUE"""),"19/02/2026")</f>
        <v>19/02/2026</v>
      </c>
      <c r="AZ732" s="65"/>
      <c r="BA732" s="65"/>
    </row>
    <row r="733">
      <c r="A733" s="65" t="str">
        <f>IFERROR(__xludf.DUMMYFUNCTION("""COMPUTED_VALUE"""),"27-03-2026")</f>
        <v>27-03-2026</v>
      </c>
      <c r="B733" s="65">
        <f>IFERROR(__xludf.DUMMYFUNCTION("""COMPUTED_VALUE"""),4514381.0)</f>
        <v>4514381</v>
      </c>
      <c r="C733" s="65" t="str">
        <f>IFERROR(__xludf.DUMMYFUNCTION("""COMPUTED_VALUE"""),"09:05")</f>
        <v>09:05</v>
      </c>
      <c r="D733" s="65" t="str">
        <f>IFERROR(__xludf.DUMMYFUNCTION("""COMPUTED_VALUE"""),"15-02-2026")</f>
        <v>15-02-2026</v>
      </c>
      <c r="E733" s="65" t="str">
        <f>IFERROR(__xludf.DUMMYFUNCTION("""COMPUTED_VALUE"""),"Francisco Parodi")</f>
        <v>Francisco Parodi</v>
      </c>
      <c r="F733" s="65" t="str">
        <f>IFERROR(__xludf.DUMMYFUNCTION("""COMPUTED_VALUE"""),"989964716")</f>
        <v>989964716</v>
      </c>
      <c r="G733" s="65" t="str">
        <f>IFERROR(__xludf.DUMMYFUNCTION("""COMPUTED_VALUE"""),"francisco_parodi@hotmail.es")</f>
        <v>francisco_parodi@hotmail.es</v>
      </c>
      <c r="H733" s="65"/>
      <c r="I733" s="65"/>
      <c r="J733" s="65" t="str">
        <f>IFERROR(__xludf.DUMMYFUNCTION("""COMPUTED_VALUE"""),"D001343631")</f>
        <v>D001343631</v>
      </c>
      <c r="K733" s="65" t="str">
        <f>IFERROR(__xludf.DUMMYFUNCTION("""COMPUTED_VALUE"""),"DEVOLUCION")</f>
        <v>DEVOLUCION</v>
      </c>
      <c r="L733" s="65" t="str">
        <f>IFERROR(__xludf.DUMMYFUNCTION("""COMPUTED_VALUE"""),"CON RECAUDO")</f>
        <v>CON RECAUDO</v>
      </c>
      <c r="M733" s="65" t="str">
        <f>IFERROR(__xludf.DUMMYFUNCTION("""COMPUTED_VALUE"""),"GUAYAS")</f>
        <v>GUAYAS</v>
      </c>
      <c r="N733" s="65" t="str">
        <f>IFERROR(__xludf.DUMMYFUNCTION("""COMPUTED_VALUE"""),"GUAYAQUIL")</f>
        <v>GUAYAQUIL</v>
      </c>
      <c r="O733" s="65" t="str">
        <f>IFERROR(__xludf.DUMMYFUNCTION("""COMPUTED_VALUE"""),"En la Universidad del Rios UDR campus Jose Anton Diaz  - Carlos Julio arosemena")</f>
        <v>En la Universidad del Rios UDR campus Jose Anton Diaz  - Carlos Julio arosemena</v>
      </c>
      <c r="P733" s="65"/>
      <c r="Q733" s="65" t="str">
        <f>IFERROR(__xludf.DUMMYFUNCTION("""COMPUTED_VALUE"""),"GINTRACOM")</f>
        <v>GINTRACOM</v>
      </c>
      <c r="R733" s="65">
        <f>IFERROR(__xludf.DUMMYFUNCTION("""COMPUTED_VALUE"""),30.0)</f>
        <v>30</v>
      </c>
      <c r="S733" s="65"/>
      <c r="T733" s="65">
        <f>IFERROR(__xludf.DUMMYFUNCTION("""COMPUTED_VALUE"""),4.55)</f>
        <v>4.55</v>
      </c>
      <c r="U733" s="65">
        <f>IFERROR(__xludf.DUMMYFUNCTION("""COMPUTED_VALUE"""),0.0)</f>
        <v>0</v>
      </c>
      <c r="V733" s="65">
        <f>IFERROR(__xludf.DUMMYFUNCTION("""COMPUTED_VALUE"""),0.0)</f>
        <v>0</v>
      </c>
      <c r="W733" s="65">
        <f>IFERROR(__xludf.DUMMYFUNCTION("""COMPUTED_VALUE"""),0.0)</f>
        <v>0</v>
      </c>
      <c r="X733" s="65">
        <f>IFERROR(__xludf.DUMMYFUNCTION("""COMPUTED_VALUE"""),2.4)</f>
        <v>2.4</v>
      </c>
      <c r="Y733" s="65">
        <f>IFERROR(__xludf.DUMMYFUNCTION("""COMPUTED_VALUE"""),7.2)</f>
        <v>7.2</v>
      </c>
      <c r="Z733" s="65">
        <f>IFERROR(__xludf.DUMMYFUNCTION("""COMPUTED_VALUE"""),120732.0)</f>
        <v>120732</v>
      </c>
      <c r="AA733" s="65" t="str">
        <f>IFERROR(__xludf.DUMMYFUNCTION("""COMPUTED_VALUE"""),"PROV-LMPVT")</f>
        <v>PROV-LMPVT</v>
      </c>
      <c r="AB733" s="65"/>
      <c r="AC733" s="65" t="str">
        <f>IFERROR(__xludf.DUMMYFUNCTION("""COMPUTED_VALUE"""),"LIMPIADOR DE PARABRISAS Y VENTANAS")</f>
        <v>LIMPIADOR DE PARABRISAS Y VENTANAS</v>
      </c>
      <c r="AD733" s="65"/>
      <c r="AE733" s="65">
        <f>IFERROR(__xludf.DUMMYFUNCTION("""COMPUTED_VALUE"""),3.0)</f>
        <v>3</v>
      </c>
      <c r="AF733" s="65" t="str">
        <f>IFERROR(__xludf.DUMMYFUNCTION("""COMPUTED_VALUE"""),"DESTINATARIO NO CONTESTA LLAMADAS NI WHATSAPP")</f>
        <v>DESTINATARIO NO CONTESTA LLAMADAS NI WHATSAPP</v>
      </c>
      <c r="AG733" s="65" t="str">
        <f>IFERROR(__xludf.DUMMYFUNCTION("""COMPUTED_VALUE"""),"NO")</f>
        <v>NO</v>
      </c>
      <c r="AH733" s="65" t="str">
        <f>IFERROR(__xludf.DUMMYFUNCTION("""COMPUTED_VALUE"""),"09:00")</f>
        <v>09:00</v>
      </c>
      <c r="AI733" s="65" t="str">
        <f>IFERROR(__xludf.DUMMYFUNCTION("""COMPUTED_VALUE"""),"01-03-2026")</f>
        <v>01-03-2026</v>
      </c>
      <c r="AJ733" s="65"/>
      <c r="AK733" s="65"/>
      <c r="AL733" s="65"/>
      <c r="AM733" s="65"/>
      <c r="AN733" s="65" t="str">
        <f>IFERROR(__xludf.DUMMYFUNCTION("""COMPUTED_VALUE"""),"09:22")</f>
        <v>09:22</v>
      </c>
      <c r="AO733" s="65" t="str">
        <f>IFERROR(__xludf.DUMMYFUNCTION("""COMPUTED_VALUE"""),"12-03-2026")</f>
        <v>12-03-2026</v>
      </c>
      <c r="AP733" s="65" t="str">
        <f>IFERROR(__xludf.DUMMYFUNCTION("""COMPUTED_VALUE"""),"DEVOLUCIÓN ENTREGADA A ORIGEN")</f>
        <v>DEVOLUCIÓN ENTREGADA A ORIGEN</v>
      </c>
      <c r="AQ733" s="65" t="str">
        <f>IFERROR(__xludf.DUMMYFUNCTION("""COMPUTED_VALUE"""),"DEVOLUCIÓN ENTREGADA A ORIGEN")</f>
        <v>DEVOLUCIÓN ENTREGADA A ORIGEN</v>
      </c>
      <c r="AR733" s="65"/>
      <c r="AS733" s="65"/>
      <c r="AT733" s="65" t="str">
        <f>IFERROR(__xludf.DUMMYFUNCTION("""COMPUTED_VALUE"""),"SHOPIFY")</f>
        <v>SHOPIFY</v>
      </c>
      <c r="AU733" s="65" t="str">
        <f>IFERROR(__xludf.DUMMYFUNCTION("""COMPUTED_VALUE"""),"IMPORTEX EC")</f>
        <v>IMPORTEX EC</v>
      </c>
      <c r="AV733" s="65" t="str">
        <f>IFERROR(__xludf.DUMMYFUNCTION("""COMPUTED_VALUE"""),"6505354756140")</f>
        <v>6505354756140</v>
      </c>
      <c r="AW733" s="65">
        <f>IFERROR(__xludf.DUMMYFUNCTION("""COMPUTED_VALUE"""),6169.0)</f>
        <v>6169</v>
      </c>
      <c r="AX733" s="65"/>
      <c r="AY733" s="65" t="str">
        <f>IFERROR(__xludf.DUMMYFUNCTION("""COMPUTED_VALUE"""),"20/02/2026")</f>
        <v>20/02/2026</v>
      </c>
      <c r="AZ733" s="65"/>
      <c r="BA733" s="65"/>
    </row>
    <row r="734">
      <c r="A734" s="65" t="str">
        <f>IFERROR(__xludf.DUMMYFUNCTION("""COMPUTED_VALUE"""),"27-03-2026")</f>
        <v>27-03-2026</v>
      </c>
      <c r="B734" s="65">
        <f>IFERROR(__xludf.DUMMYFUNCTION("""COMPUTED_VALUE"""),4514188.0)</f>
        <v>4514188</v>
      </c>
      <c r="C734" s="65" t="str">
        <f>IFERROR(__xludf.DUMMYFUNCTION("""COMPUTED_VALUE"""),"08:41")</f>
        <v>08:41</v>
      </c>
      <c r="D734" s="65" t="str">
        <f>IFERROR(__xludf.DUMMYFUNCTION("""COMPUTED_VALUE"""),"15-02-2026")</f>
        <v>15-02-2026</v>
      </c>
      <c r="E734" s="65" t="str">
        <f>IFERROR(__xludf.DUMMYFUNCTION("""COMPUTED_VALUE"""),"Yaneth carolina Chipre")</f>
        <v>Yaneth carolina Chipre</v>
      </c>
      <c r="F734" s="65" t="str">
        <f>IFERROR(__xludf.DUMMYFUNCTION("""COMPUTED_VALUE"""),"988159703")</f>
        <v>988159703</v>
      </c>
      <c r="G734" s="65" t="str">
        <f>IFERROR(__xludf.DUMMYFUNCTION("""COMPUTED_VALUE"""),"yanethchipre@hotmail.com")</f>
        <v>yanethchipre@hotmail.com</v>
      </c>
      <c r="H734" s="65"/>
      <c r="I734" s="65"/>
      <c r="J734" s="65"/>
      <c r="K734" s="65" t="str">
        <f>IFERROR(__xludf.DUMMYFUNCTION("""COMPUTED_VALUE"""),"CANCELADO")</f>
        <v>CANCELADO</v>
      </c>
      <c r="L734" s="65" t="str">
        <f>IFERROR(__xludf.DUMMYFUNCTION("""COMPUTED_VALUE"""),"CON RECAUDO")</f>
        <v>CON RECAUDO</v>
      </c>
      <c r="M734" s="65" t="str">
        <f>IFERROR(__xludf.DUMMYFUNCTION("""COMPUTED_VALUE"""),"GUAYAS")</f>
        <v>GUAYAS</v>
      </c>
      <c r="N734" s="65" t="str">
        <f>IFERROR(__xludf.DUMMYFUNCTION("""COMPUTED_VALUE"""),"GUAYAQUIL")</f>
        <v>GUAYAQUIL</v>
      </c>
      <c r="O734" s="65" t="str">
        <f>IFERROR(__xludf.DUMMYFUNCTION("""COMPUTED_VALUE"""),"km 18/ via Daule la germania -")</f>
        <v>km 18/ via Daule la germania -</v>
      </c>
      <c r="P734" s="65"/>
      <c r="Q734" s="65" t="str">
        <f>IFERROR(__xludf.DUMMYFUNCTION("""COMPUTED_VALUE"""),"GINTRACOM")</f>
        <v>GINTRACOM</v>
      </c>
      <c r="R734" s="65">
        <f>IFERROR(__xludf.DUMMYFUNCTION("""COMPUTED_VALUE"""),20.0)</f>
        <v>20</v>
      </c>
      <c r="S734" s="65"/>
      <c r="T734" s="65">
        <f>IFERROR(__xludf.DUMMYFUNCTION("""COMPUTED_VALUE"""),4.15)</f>
        <v>4.15</v>
      </c>
      <c r="U734" s="65">
        <f>IFERROR(__xludf.DUMMYFUNCTION("""COMPUTED_VALUE"""),0.0)</f>
        <v>0</v>
      </c>
      <c r="V734" s="65">
        <f>IFERROR(__xludf.DUMMYFUNCTION("""COMPUTED_VALUE"""),0.0)</f>
        <v>0</v>
      </c>
      <c r="W734" s="65">
        <f>IFERROR(__xludf.DUMMYFUNCTION("""COMPUTED_VALUE"""),0.0)</f>
        <v>0</v>
      </c>
      <c r="X734" s="65">
        <f>IFERROR(__xludf.DUMMYFUNCTION("""COMPUTED_VALUE"""),2.4)</f>
        <v>2.4</v>
      </c>
      <c r="Y734" s="65">
        <f>IFERROR(__xludf.DUMMYFUNCTION("""COMPUTED_VALUE"""),2.4)</f>
        <v>2.4</v>
      </c>
      <c r="Z734" s="65">
        <f>IFERROR(__xludf.DUMMYFUNCTION("""COMPUTED_VALUE"""),120732.0)</f>
        <v>120732</v>
      </c>
      <c r="AA734" s="65" t="str">
        <f>IFERROR(__xludf.DUMMYFUNCTION("""COMPUTED_VALUE"""),"PROV-LMPVT")</f>
        <v>PROV-LMPVT</v>
      </c>
      <c r="AB734" s="65"/>
      <c r="AC734" s="65" t="str">
        <f>IFERROR(__xludf.DUMMYFUNCTION("""COMPUTED_VALUE"""),"LIMPIADOR DE PARABRISAS Y VENTANAS")</f>
        <v>LIMPIADOR DE PARABRISAS Y VENTANAS</v>
      </c>
      <c r="AD734" s="65"/>
      <c r="AE734" s="65">
        <f>IFERROR(__xludf.DUMMYFUNCTION("""COMPUTED_VALUE"""),1.0)</f>
        <v>1</v>
      </c>
      <c r="AF734" s="65"/>
      <c r="AG734" s="65"/>
      <c r="AH734" s="65"/>
      <c r="AI734" s="65"/>
      <c r="AJ734" s="65"/>
      <c r="AK734" s="65"/>
      <c r="AL734" s="65"/>
      <c r="AM734" s="65"/>
      <c r="AN734" s="65"/>
      <c r="AO734" s="65"/>
      <c r="AP734" s="65"/>
      <c r="AQ734" s="65"/>
      <c r="AR734" s="65"/>
      <c r="AS734" s="65"/>
      <c r="AT734" s="65" t="str">
        <f>IFERROR(__xludf.DUMMYFUNCTION("""COMPUTED_VALUE"""),"SHOPIFY")</f>
        <v>SHOPIFY</v>
      </c>
      <c r="AU734" s="65" t="str">
        <f>IFERROR(__xludf.DUMMYFUNCTION("""COMPUTED_VALUE"""),"IMPORTEX EC")</f>
        <v>IMPORTEX EC</v>
      </c>
      <c r="AV734" s="65" t="str">
        <f>IFERROR(__xludf.DUMMYFUNCTION("""COMPUTED_VALUE"""),"6505330114604")</f>
        <v>6505330114604</v>
      </c>
      <c r="AW734" s="65">
        <f>IFERROR(__xludf.DUMMYFUNCTION("""COMPUTED_VALUE"""),6168.0)</f>
        <v>6168</v>
      </c>
      <c r="AX734" s="65"/>
      <c r="AY734" s="65"/>
      <c r="AZ734" s="65"/>
      <c r="BA734" s="65"/>
    </row>
    <row r="735">
      <c r="A735" s="65" t="str">
        <f>IFERROR(__xludf.DUMMYFUNCTION("""COMPUTED_VALUE"""),"27-03-2026")</f>
        <v>27-03-2026</v>
      </c>
      <c r="B735" s="65">
        <f>IFERROR(__xludf.DUMMYFUNCTION("""COMPUTED_VALUE"""),4514094.0)</f>
        <v>4514094</v>
      </c>
      <c r="C735" s="65" t="str">
        <f>IFERROR(__xludf.DUMMYFUNCTION("""COMPUTED_VALUE"""),"08:28")</f>
        <v>08:28</v>
      </c>
      <c r="D735" s="65" t="str">
        <f>IFERROR(__xludf.DUMMYFUNCTION("""COMPUTED_VALUE"""),"15-02-2026")</f>
        <v>15-02-2026</v>
      </c>
      <c r="E735" s="65" t="str">
        <f>IFERROR(__xludf.DUMMYFUNCTION("""COMPUTED_VALUE"""),"Marcelo Yépez")</f>
        <v>Marcelo Yépez</v>
      </c>
      <c r="F735" s="65" t="str">
        <f>IFERROR(__xludf.DUMMYFUNCTION("""COMPUTED_VALUE"""),"995440209")</f>
        <v>995440209</v>
      </c>
      <c r="G735" s="65" t="str">
        <f>IFERROR(__xludf.DUMMYFUNCTION("""COMPUTED_VALUE"""),"myepezseguridad@gmail.com")</f>
        <v>myepezseguridad@gmail.com</v>
      </c>
      <c r="H735" s="65"/>
      <c r="I735" s="65"/>
      <c r="J735" s="65"/>
      <c r="K735" s="65" t="str">
        <f>IFERROR(__xludf.DUMMYFUNCTION("""COMPUTED_VALUE"""),"PENDIENTE CONFIRMACION")</f>
        <v>PENDIENTE CONFIRMACION</v>
      </c>
      <c r="L735" s="65" t="str">
        <f>IFERROR(__xludf.DUMMYFUNCTION("""COMPUTED_VALUE"""),"CON RECAUDO")</f>
        <v>CON RECAUDO</v>
      </c>
      <c r="M735" s="65" t="str">
        <f>IFERROR(__xludf.DUMMYFUNCTION("""COMPUTED_VALUE"""),"PICHINCHA")</f>
        <v>PICHINCHA</v>
      </c>
      <c r="N735" s="65" t="str">
        <f>IFERROR(__xludf.DUMMYFUNCTION("""COMPUTED_VALUE"""),"QUITO")</f>
        <v>QUITO</v>
      </c>
      <c r="O735" s="65" t="str">
        <f>IFERROR(__xludf.DUMMYFUNCTION("""COMPUTED_VALUE"""),"Coop san Blas 2 calle E11 casa s39-35 Guajalo -")</f>
        <v>Coop san Blas 2 calle E11 casa s39-35 Guajalo -</v>
      </c>
      <c r="P735" s="65"/>
      <c r="Q735" s="65" t="str">
        <f>IFERROR(__xludf.DUMMYFUNCTION("""COMPUTED_VALUE"""),"GINTRACOM")</f>
        <v>GINTRACOM</v>
      </c>
      <c r="R735" s="65">
        <f>IFERROR(__xludf.DUMMYFUNCTION("""COMPUTED_VALUE"""),25.0)</f>
        <v>25</v>
      </c>
      <c r="S735" s="65"/>
      <c r="T735" s="65">
        <f>IFERROR(__xludf.DUMMYFUNCTION("""COMPUTED_VALUE"""),5.96)</f>
        <v>5.96</v>
      </c>
      <c r="U735" s="65">
        <f>IFERROR(__xludf.DUMMYFUNCTION("""COMPUTED_VALUE"""),0.0)</f>
        <v>0</v>
      </c>
      <c r="V735" s="65">
        <f>IFERROR(__xludf.DUMMYFUNCTION("""COMPUTED_VALUE"""),0.0)</f>
        <v>0</v>
      </c>
      <c r="W735" s="65">
        <f>IFERROR(__xludf.DUMMYFUNCTION("""COMPUTED_VALUE"""),0.0)</f>
        <v>0</v>
      </c>
      <c r="X735" s="65">
        <f>IFERROR(__xludf.DUMMYFUNCTION("""COMPUTED_VALUE"""),2.4)</f>
        <v>2.4</v>
      </c>
      <c r="Y735" s="65">
        <f>IFERROR(__xludf.DUMMYFUNCTION("""COMPUTED_VALUE"""),4.8)</f>
        <v>4.8</v>
      </c>
      <c r="Z735" s="65">
        <f>IFERROR(__xludf.DUMMYFUNCTION("""COMPUTED_VALUE"""),120732.0)</f>
        <v>120732</v>
      </c>
      <c r="AA735" s="65" t="str">
        <f>IFERROR(__xludf.DUMMYFUNCTION("""COMPUTED_VALUE"""),"PROV-LMPVT")</f>
        <v>PROV-LMPVT</v>
      </c>
      <c r="AB735" s="65"/>
      <c r="AC735" s="65" t="str">
        <f>IFERROR(__xludf.DUMMYFUNCTION("""COMPUTED_VALUE"""),"LIMPIADOR DE PARABRISAS Y VENTANAS")</f>
        <v>LIMPIADOR DE PARABRISAS Y VENTANAS</v>
      </c>
      <c r="AD735" s="65"/>
      <c r="AE735" s="65">
        <f>IFERROR(__xludf.DUMMYFUNCTION("""COMPUTED_VALUE"""),2.0)</f>
        <v>2</v>
      </c>
      <c r="AF735" s="65"/>
      <c r="AG735" s="65"/>
      <c r="AH735" s="65"/>
      <c r="AI735" s="65"/>
      <c r="AJ735" s="65"/>
      <c r="AK735" s="65"/>
      <c r="AL735" s="65"/>
      <c r="AM735" s="65"/>
      <c r="AN735" s="65"/>
      <c r="AO735" s="65"/>
      <c r="AP735" s="65"/>
      <c r="AQ735" s="65"/>
      <c r="AR735" s="65"/>
      <c r="AS735" s="65"/>
      <c r="AT735" s="65" t="str">
        <f>IFERROR(__xludf.DUMMYFUNCTION("""COMPUTED_VALUE"""),"SHOPIFY")</f>
        <v>SHOPIFY</v>
      </c>
      <c r="AU735" s="65" t="str">
        <f>IFERROR(__xludf.DUMMYFUNCTION("""COMPUTED_VALUE"""),"IMPORTEX EC")</f>
        <v>IMPORTEX EC</v>
      </c>
      <c r="AV735" s="65" t="str">
        <f>IFERROR(__xludf.DUMMYFUNCTION("""COMPUTED_VALUE"""),"6505314680876")</f>
        <v>6505314680876</v>
      </c>
      <c r="AW735" s="65">
        <f>IFERROR(__xludf.DUMMYFUNCTION("""COMPUTED_VALUE"""),6167.0)</f>
        <v>6167</v>
      </c>
      <c r="AX735" s="65"/>
      <c r="AY735" s="65"/>
      <c r="AZ735" s="65"/>
      <c r="BA735" s="65"/>
    </row>
    <row r="736">
      <c r="A736" s="65" t="str">
        <f>IFERROR(__xludf.DUMMYFUNCTION("""COMPUTED_VALUE"""),"27-03-2026")</f>
        <v>27-03-2026</v>
      </c>
      <c r="B736" s="65">
        <f>IFERROR(__xludf.DUMMYFUNCTION("""COMPUTED_VALUE"""),4514052.0)</f>
        <v>4514052</v>
      </c>
      <c r="C736" s="65" t="str">
        <f>IFERROR(__xludf.DUMMYFUNCTION("""COMPUTED_VALUE"""),"08:24")</f>
        <v>08:24</v>
      </c>
      <c r="D736" s="65" t="str">
        <f>IFERROR(__xludf.DUMMYFUNCTION("""COMPUTED_VALUE"""),"15-02-2026")</f>
        <v>15-02-2026</v>
      </c>
      <c r="E736" s="65" t="str">
        <f>IFERROR(__xludf.DUMMYFUNCTION("""COMPUTED_VALUE"""),"José Luis")</f>
        <v>José Luis</v>
      </c>
      <c r="F736" s="65" t="str">
        <f>IFERROR(__xludf.DUMMYFUNCTION("""COMPUTED_VALUE"""),"995443289")</f>
        <v>995443289</v>
      </c>
      <c r="G736" s="65" t="str">
        <f>IFERROR(__xludf.DUMMYFUNCTION("""COMPUTED_VALUE"""),"joseluisforever@live.com.ar")</f>
        <v>joseluisforever@live.com.ar</v>
      </c>
      <c r="H736" s="65"/>
      <c r="I736" s="65"/>
      <c r="J736" s="65"/>
      <c r="K736" s="65" t="str">
        <f>IFERROR(__xludf.DUMMYFUNCTION("""COMPUTED_VALUE"""),"PENDIENTE CONFIRMACION")</f>
        <v>PENDIENTE CONFIRMACION</v>
      </c>
      <c r="L736" s="65" t="str">
        <f>IFERROR(__xludf.DUMMYFUNCTION("""COMPUTED_VALUE"""),"CON RECAUDO")</f>
        <v>CON RECAUDO</v>
      </c>
      <c r="M736" s="65" t="str">
        <f>IFERROR(__xludf.DUMMYFUNCTION("""COMPUTED_VALUE"""),"MANABI")</f>
        <v>MANABI</v>
      </c>
      <c r="N736" s="65" t="str">
        <f>IFERROR(__xludf.DUMMYFUNCTION("""COMPUTED_VALUE"""),"CALCETA")</f>
        <v>CALCETA</v>
      </c>
      <c r="O736" s="65" t="str">
        <f>IFERROR(__xludf.DUMMYFUNCTION("""COMPUTED_VALUE"""),"Calceta Manabi Calle 10 de agosto Ciudadela María Sol -")</f>
        <v>Calceta Manabi Calle 10 de agosto Ciudadela María Sol -</v>
      </c>
      <c r="P736" s="65"/>
      <c r="Q736" s="65" t="str">
        <f>IFERROR(__xludf.DUMMYFUNCTION("""COMPUTED_VALUE"""),"GINTRACOM")</f>
        <v>GINTRACOM</v>
      </c>
      <c r="R736" s="65">
        <f>IFERROR(__xludf.DUMMYFUNCTION("""COMPUTED_VALUE"""),20.0)</f>
        <v>20</v>
      </c>
      <c r="S736" s="65"/>
      <c r="T736" s="65">
        <f>IFERROR(__xludf.DUMMYFUNCTION("""COMPUTED_VALUE"""),6.33)</f>
        <v>6.33</v>
      </c>
      <c r="U736" s="65">
        <f>IFERROR(__xludf.DUMMYFUNCTION("""COMPUTED_VALUE"""),0.0)</f>
        <v>0</v>
      </c>
      <c r="V736" s="65">
        <f>IFERROR(__xludf.DUMMYFUNCTION("""COMPUTED_VALUE"""),0.0)</f>
        <v>0</v>
      </c>
      <c r="W736" s="65">
        <f>IFERROR(__xludf.DUMMYFUNCTION("""COMPUTED_VALUE"""),0.0)</f>
        <v>0</v>
      </c>
      <c r="X736" s="65">
        <f>IFERROR(__xludf.DUMMYFUNCTION("""COMPUTED_VALUE"""),2.4)</f>
        <v>2.4</v>
      </c>
      <c r="Y736" s="65">
        <f>IFERROR(__xludf.DUMMYFUNCTION("""COMPUTED_VALUE"""),2.4)</f>
        <v>2.4</v>
      </c>
      <c r="Z736" s="65">
        <f>IFERROR(__xludf.DUMMYFUNCTION("""COMPUTED_VALUE"""),120732.0)</f>
        <v>120732</v>
      </c>
      <c r="AA736" s="65" t="str">
        <f>IFERROR(__xludf.DUMMYFUNCTION("""COMPUTED_VALUE"""),"PROV-LMPVT")</f>
        <v>PROV-LMPVT</v>
      </c>
      <c r="AB736" s="65"/>
      <c r="AC736" s="65" t="str">
        <f>IFERROR(__xludf.DUMMYFUNCTION("""COMPUTED_VALUE"""),"LIMPIADOR DE PARABRISAS Y VENTANAS")</f>
        <v>LIMPIADOR DE PARABRISAS Y VENTANAS</v>
      </c>
      <c r="AD736" s="65"/>
      <c r="AE736" s="65">
        <f>IFERROR(__xludf.DUMMYFUNCTION("""COMPUTED_VALUE"""),1.0)</f>
        <v>1</v>
      </c>
      <c r="AF736" s="65"/>
      <c r="AG736" s="65"/>
      <c r="AH736" s="65"/>
      <c r="AI736" s="65"/>
      <c r="AJ736" s="65"/>
      <c r="AK736" s="65"/>
      <c r="AL736" s="65"/>
      <c r="AM736" s="65"/>
      <c r="AN736" s="65"/>
      <c r="AO736" s="65"/>
      <c r="AP736" s="65"/>
      <c r="AQ736" s="65"/>
      <c r="AR736" s="65"/>
      <c r="AS736" s="65"/>
      <c r="AT736" s="65" t="str">
        <f>IFERROR(__xludf.DUMMYFUNCTION("""COMPUTED_VALUE"""),"SHOPIFY")</f>
        <v>SHOPIFY</v>
      </c>
      <c r="AU736" s="65" t="str">
        <f>IFERROR(__xludf.DUMMYFUNCTION("""COMPUTED_VALUE"""),"IMPORTEX EC")</f>
        <v>IMPORTEX EC</v>
      </c>
      <c r="AV736" s="65" t="str">
        <f>IFERROR(__xludf.DUMMYFUNCTION("""COMPUTED_VALUE"""),"6505310289964")</f>
        <v>6505310289964</v>
      </c>
      <c r="AW736" s="65">
        <f>IFERROR(__xludf.DUMMYFUNCTION("""COMPUTED_VALUE"""),6166.0)</f>
        <v>6166</v>
      </c>
      <c r="AX736" s="65"/>
      <c r="AY736" s="65"/>
      <c r="AZ736" s="65"/>
      <c r="BA736" s="65"/>
    </row>
    <row r="737">
      <c r="A737" s="65" t="str">
        <f>IFERROR(__xludf.DUMMYFUNCTION("""COMPUTED_VALUE"""),"27-03-2026")</f>
        <v>27-03-2026</v>
      </c>
      <c r="B737" s="65">
        <f>IFERROR(__xludf.DUMMYFUNCTION("""COMPUTED_VALUE"""),4513942.0)</f>
        <v>4513942</v>
      </c>
      <c r="C737" s="65" t="str">
        <f>IFERROR(__xludf.DUMMYFUNCTION("""COMPUTED_VALUE"""),"08:07")</f>
        <v>08:07</v>
      </c>
      <c r="D737" s="65" t="str">
        <f>IFERROR(__xludf.DUMMYFUNCTION("""COMPUTED_VALUE"""),"15-02-2026")</f>
        <v>15-02-2026</v>
      </c>
      <c r="E737" s="65" t="str">
        <f>IFERROR(__xludf.DUMMYFUNCTION("""COMPUTED_VALUE"""),"Luis Alberto Quishpe García")</f>
        <v>Luis Alberto Quishpe García</v>
      </c>
      <c r="F737" s="65" t="str">
        <f>IFERROR(__xludf.DUMMYFUNCTION("""COMPUTED_VALUE"""),"991548202")</f>
        <v>991548202</v>
      </c>
      <c r="G737" s="65" t="str">
        <f>IFERROR(__xludf.DUMMYFUNCTION("""COMPUTED_VALUE"""),"jhonssantos1992@gmail.com")</f>
        <v>jhonssantos1992@gmail.com</v>
      </c>
      <c r="H737" s="65"/>
      <c r="I737" s="65"/>
      <c r="J737" s="65" t="str">
        <f>IFERROR(__xludf.DUMMYFUNCTION("""COMPUTED_VALUE"""),"D001340327")</f>
        <v>D001340327</v>
      </c>
      <c r="K737" s="65" t="str">
        <f>IFERROR(__xludf.DUMMYFUNCTION("""COMPUTED_VALUE"""),"ENTREGADO")</f>
        <v>ENTREGADO</v>
      </c>
      <c r="L737" s="65" t="str">
        <f>IFERROR(__xludf.DUMMYFUNCTION("""COMPUTED_VALUE"""),"CON RECAUDO")</f>
        <v>CON RECAUDO</v>
      </c>
      <c r="M737" s="65" t="str">
        <f>IFERROR(__xludf.DUMMYFUNCTION("""COMPUTED_VALUE"""),"IMBABURA")</f>
        <v>IMBABURA</v>
      </c>
      <c r="N737" s="65" t="str">
        <f>IFERROR(__xludf.DUMMYFUNCTION("""COMPUTED_VALUE"""),"OTAVALO")</f>
        <v>OTAVALO</v>
      </c>
      <c r="O737" s="65" t="str">
        <f>IFERROR(__xludf.DUMMYFUNCTION("""COMPUTED_VALUE"""),"Modesto Jaramillo entre Colón y Morales junto a la escuela de conducción otauto Sector Plaza de los Ponchos - Local de cobijas 0997139122")</f>
        <v>Modesto Jaramillo entre Colón y Morales junto a la escuela de conducción otauto Sector Plaza de los Ponchos - Local de cobijas 0997139122</v>
      </c>
      <c r="P737" s="65"/>
      <c r="Q737" s="65" t="str">
        <f>IFERROR(__xludf.DUMMYFUNCTION("""COMPUTED_VALUE"""),"GINTRACOM")</f>
        <v>GINTRACOM</v>
      </c>
      <c r="R737" s="65">
        <f>IFERROR(__xludf.DUMMYFUNCTION("""COMPUTED_VALUE"""),30.0)</f>
        <v>30</v>
      </c>
      <c r="S737" s="65">
        <f>IFERROR(__xludf.DUMMYFUNCTION("""COMPUTED_VALUE"""),16.64)</f>
        <v>16.64</v>
      </c>
      <c r="T737" s="65">
        <f>IFERROR(__xludf.DUMMYFUNCTION("""COMPUTED_VALUE"""),6.16)</f>
        <v>6.16</v>
      </c>
      <c r="U737" s="65">
        <f>IFERROR(__xludf.DUMMYFUNCTION("""COMPUTED_VALUE"""),0.0)</f>
        <v>0</v>
      </c>
      <c r="V737" s="65">
        <f>IFERROR(__xludf.DUMMYFUNCTION("""COMPUTED_VALUE"""),0.0)</f>
        <v>0</v>
      </c>
      <c r="W737" s="65">
        <f>IFERROR(__xludf.DUMMYFUNCTION("""COMPUTED_VALUE"""),0.0)</f>
        <v>0</v>
      </c>
      <c r="X737" s="65">
        <f>IFERROR(__xludf.DUMMYFUNCTION("""COMPUTED_VALUE"""),2.4)</f>
        <v>2.4</v>
      </c>
      <c r="Y737" s="65">
        <f>IFERROR(__xludf.DUMMYFUNCTION("""COMPUTED_VALUE"""),7.2)</f>
        <v>7.2</v>
      </c>
      <c r="Z737" s="65">
        <f>IFERROR(__xludf.DUMMYFUNCTION("""COMPUTED_VALUE"""),120732.0)</f>
        <v>120732</v>
      </c>
      <c r="AA737" s="65" t="str">
        <f>IFERROR(__xludf.DUMMYFUNCTION("""COMPUTED_VALUE"""),"PROV-LMPVT")</f>
        <v>PROV-LMPVT</v>
      </c>
      <c r="AB737" s="65"/>
      <c r="AC737" s="65" t="str">
        <f>IFERROR(__xludf.DUMMYFUNCTION("""COMPUTED_VALUE"""),"LIMPIADOR DE PARABRISAS Y VENTANAS")</f>
        <v>LIMPIADOR DE PARABRISAS Y VENTANAS</v>
      </c>
      <c r="AD737" s="65"/>
      <c r="AE737" s="65">
        <f>IFERROR(__xludf.DUMMYFUNCTION("""COMPUTED_VALUE"""),3.0)</f>
        <v>3</v>
      </c>
      <c r="AF737" s="65"/>
      <c r="AG737" s="65"/>
      <c r="AH737" s="65"/>
      <c r="AI737" s="65"/>
      <c r="AJ737" s="65"/>
      <c r="AK737" s="65"/>
      <c r="AL737" s="65"/>
      <c r="AM737" s="65"/>
      <c r="AN737" s="65" t="str">
        <f>IFERROR(__xludf.DUMMYFUNCTION("""COMPUTED_VALUE"""),"16:27")</f>
        <v>16:27</v>
      </c>
      <c r="AO737" s="65" t="str">
        <f>IFERROR(__xludf.DUMMYFUNCTION("""COMPUTED_VALUE"""),"21-02-2026")</f>
        <v>21-02-2026</v>
      </c>
      <c r="AP737" s="65" t="str">
        <f>IFERROR(__xludf.DUMMYFUNCTION("""COMPUTED_VALUE"""),"DESTINATARIO RE-PROGRAMA FECHA DE ENTREGA")</f>
        <v>DESTINATARIO RE-PROGRAMA FECHA DE ENTREGA</v>
      </c>
      <c r="AQ737" s="65" t="str">
        <f>IFERROR(__xludf.DUMMYFUNCTION("""COMPUTED_VALUE"""),"DESTINATARIO RE-PROGRAMA FECHA DE ENTREGA")</f>
        <v>DESTINATARIO RE-PROGRAMA FECHA DE ENTREGA</v>
      </c>
      <c r="AR737" s="65"/>
      <c r="AS737" s="65"/>
      <c r="AT737" s="65" t="str">
        <f>IFERROR(__xludf.DUMMYFUNCTION("""COMPUTED_VALUE"""),"SHOPIFY")</f>
        <v>SHOPIFY</v>
      </c>
      <c r="AU737" s="65" t="str">
        <f>IFERROR(__xludf.DUMMYFUNCTION("""COMPUTED_VALUE"""),"IMPORTEX EC")</f>
        <v>IMPORTEX EC</v>
      </c>
      <c r="AV737" s="65" t="str">
        <f>IFERROR(__xludf.DUMMYFUNCTION("""COMPUTED_VALUE"""),"6505293774892")</f>
        <v>6505293774892</v>
      </c>
      <c r="AW737" s="65">
        <f>IFERROR(__xludf.DUMMYFUNCTION("""COMPUTED_VALUE"""),6164.0)</f>
        <v>6164</v>
      </c>
      <c r="AX737" s="65"/>
      <c r="AY737" s="65" t="str">
        <f>IFERROR(__xludf.DUMMYFUNCTION("""COMPUTED_VALUE"""),"19/02/2026")</f>
        <v>19/02/2026</v>
      </c>
      <c r="AZ737" s="65"/>
      <c r="BA737" s="65"/>
    </row>
    <row r="738">
      <c r="A738" s="65" t="str">
        <f>IFERROR(__xludf.DUMMYFUNCTION("""COMPUTED_VALUE"""),"27-03-2026")</f>
        <v>27-03-2026</v>
      </c>
      <c r="B738" s="65">
        <f>IFERROR(__xludf.DUMMYFUNCTION("""COMPUTED_VALUE"""),4513873.0)</f>
        <v>4513873</v>
      </c>
      <c r="C738" s="65" t="str">
        <f>IFERROR(__xludf.DUMMYFUNCTION("""COMPUTED_VALUE"""),"08:00")</f>
        <v>08:00</v>
      </c>
      <c r="D738" s="65" t="str">
        <f>IFERROR(__xludf.DUMMYFUNCTION("""COMPUTED_VALUE"""),"15-02-2026")</f>
        <v>15-02-2026</v>
      </c>
      <c r="E738" s="65" t="str">
        <f>IFERROR(__xludf.DUMMYFUNCTION("""COMPUTED_VALUE"""),"Sebastian Saenz")</f>
        <v>Sebastian Saenz</v>
      </c>
      <c r="F738" s="65" t="str">
        <f>IFERROR(__xludf.DUMMYFUNCTION("""COMPUTED_VALUE"""),"958781649")</f>
        <v>958781649</v>
      </c>
      <c r="G738" s="65" t="str">
        <f>IFERROR(__xludf.DUMMYFUNCTION("""COMPUTED_VALUE"""),"sebassaenzlaverdi@gmail.com")</f>
        <v>sebassaenzlaverdi@gmail.com</v>
      </c>
      <c r="H738" s="65"/>
      <c r="I738" s="65"/>
      <c r="J738" s="65" t="str">
        <f>IFERROR(__xludf.DUMMYFUNCTION("""COMPUTED_VALUE"""),"D001340328")</f>
        <v>D001340328</v>
      </c>
      <c r="K738" s="65" t="str">
        <f>IFERROR(__xludf.DUMMYFUNCTION("""COMPUTED_VALUE"""),"ENTREGADO")</f>
        <v>ENTREGADO</v>
      </c>
      <c r="L738" s="65" t="str">
        <f>IFERROR(__xludf.DUMMYFUNCTION("""COMPUTED_VALUE"""),"CON RECAUDO")</f>
        <v>CON RECAUDO</v>
      </c>
      <c r="M738" s="65" t="str">
        <f>IFERROR(__xludf.DUMMYFUNCTION("""COMPUTED_VALUE"""),"PICHINCHA")</f>
        <v>PICHINCHA</v>
      </c>
      <c r="N738" s="65" t="str">
        <f>IFERROR(__xludf.DUMMYFUNCTION("""COMPUTED_VALUE"""),"QUITO")</f>
        <v>QUITO</v>
      </c>
      <c r="O738" s="65" t="str">
        <f>IFERROR(__xludf.DUMMYFUNCTION("""COMPUTED_VALUE"""),"Av de la prensa y Flavio Alfaro. Galpon Comercial “Sieteocho Publicidad” junto a almacenes POINT")</f>
        <v>Av de la prensa y Flavio Alfaro. Galpon Comercial “Sieteocho Publicidad” junto a almacenes POINT</v>
      </c>
      <c r="P738" s="65"/>
      <c r="Q738" s="65" t="str">
        <f>IFERROR(__xludf.DUMMYFUNCTION("""COMPUTED_VALUE"""),"GINTRACOM")</f>
        <v>GINTRACOM</v>
      </c>
      <c r="R738" s="65">
        <f>IFERROR(__xludf.DUMMYFUNCTION("""COMPUTED_VALUE"""),30.0)</f>
        <v>30</v>
      </c>
      <c r="S738" s="65">
        <f>IFERROR(__xludf.DUMMYFUNCTION("""COMPUTED_VALUE"""),16.64)</f>
        <v>16.64</v>
      </c>
      <c r="T738" s="65">
        <f>IFERROR(__xludf.DUMMYFUNCTION("""COMPUTED_VALUE"""),6.16)</f>
        <v>6.16</v>
      </c>
      <c r="U738" s="65">
        <f>IFERROR(__xludf.DUMMYFUNCTION("""COMPUTED_VALUE"""),0.0)</f>
        <v>0</v>
      </c>
      <c r="V738" s="65">
        <f>IFERROR(__xludf.DUMMYFUNCTION("""COMPUTED_VALUE"""),0.0)</f>
        <v>0</v>
      </c>
      <c r="W738" s="65">
        <f>IFERROR(__xludf.DUMMYFUNCTION("""COMPUTED_VALUE"""),0.0)</f>
        <v>0</v>
      </c>
      <c r="X738" s="65">
        <f>IFERROR(__xludf.DUMMYFUNCTION("""COMPUTED_VALUE"""),2.4)</f>
        <v>2.4</v>
      </c>
      <c r="Y738" s="65">
        <f>IFERROR(__xludf.DUMMYFUNCTION("""COMPUTED_VALUE"""),7.2)</f>
        <v>7.2</v>
      </c>
      <c r="Z738" s="65">
        <f>IFERROR(__xludf.DUMMYFUNCTION("""COMPUTED_VALUE"""),120732.0)</f>
        <v>120732</v>
      </c>
      <c r="AA738" s="65" t="str">
        <f>IFERROR(__xludf.DUMMYFUNCTION("""COMPUTED_VALUE"""),"PROV-LMPVT")</f>
        <v>PROV-LMPVT</v>
      </c>
      <c r="AB738" s="65"/>
      <c r="AC738" s="65" t="str">
        <f>IFERROR(__xludf.DUMMYFUNCTION("""COMPUTED_VALUE"""),"LIMPIADOR DE PARABRISAS Y VENTANAS")</f>
        <v>LIMPIADOR DE PARABRISAS Y VENTANAS</v>
      </c>
      <c r="AD738" s="65"/>
      <c r="AE738" s="65">
        <f>IFERROR(__xludf.DUMMYFUNCTION("""COMPUTED_VALUE"""),3.0)</f>
        <v>3</v>
      </c>
      <c r="AF738" s="65" t="str">
        <f>IFERROR(__xludf.DUMMYFUNCTION("""COMPUTED_VALUE"""),"DESTINATARIO NO CONTESTA LLAMADAS NI WHATSAPP")</f>
        <v>DESTINATARIO NO CONTESTA LLAMADAS NI WHATSAPP</v>
      </c>
      <c r="AG738" s="65" t="str">
        <f>IFERROR(__xludf.DUMMYFUNCTION("""COMPUTED_VALUE"""),"SI")</f>
        <v>SI</v>
      </c>
      <c r="AH738" s="65" t="str">
        <f>IFERROR(__xludf.DUMMYFUNCTION("""COMPUTED_VALUE"""),"17:48")</f>
        <v>17:48</v>
      </c>
      <c r="AI738" s="65" t="str">
        <f>IFERROR(__xludf.DUMMYFUNCTION("""COMPUTED_VALUE"""),"20-02-2026")</f>
        <v>20-02-2026</v>
      </c>
      <c r="AJ738" s="65" t="str">
        <f>IFERROR(__xludf.DUMMYFUNCTION("""COMPUTED_VALUE"""),"CLIENTE SOLICITA LA ENTREGA INMEDIATA")</f>
        <v>CLIENTE SOLICITA LA ENTREGA INMEDIATA</v>
      </c>
      <c r="AK738" s="65" t="str">
        <f>IFERROR(__xludf.DUMMYFUNCTION("""COMPUTED_VALUE"""),"12:10")</f>
        <v>12:10</v>
      </c>
      <c r="AL738" s="65" t="str">
        <f>IFERROR(__xludf.DUMMYFUNCTION("""COMPUTED_VALUE"""),"24-02-2026")</f>
        <v>24-02-2026</v>
      </c>
      <c r="AM738" s="65"/>
      <c r="AN738" s="65" t="str">
        <f>IFERROR(__xludf.DUMMYFUNCTION("""COMPUTED_VALUE"""),"10:35")</f>
        <v>10:35</v>
      </c>
      <c r="AO738" s="65" t="str">
        <f>IFERROR(__xludf.DUMMYFUNCTION("""COMPUTED_VALUE"""),"25-02-2026")</f>
        <v>25-02-2026</v>
      </c>
      <c r="AP738" s="65" t="str">
        <f>IFERROR(__xludf.DUMMYFUNCTION("""COMPUTED_VALUE"""),"ENTREGADA GINTRACOM")</f>
        <v>ENTREGADA GINTRACOM</v>
      </c>
      <c r="AQ738" s="65" t="str">
        <f>IFERROR(__xludf.DUMMYFUNCTION("""COMPUTED_VALUE"""),"ENTREGADA GINTRACOM")</f>
        <v>ENTREGADA GINTRACOM</v>
      </c>
      <c r="AR738" s="65"/>
      <c r="AS738" s="65"/>
      <c r="AT738" s="65" t="str">
        <f>IFERROR(__xludf.DUMMYFUNCTION("""COMPUTED_VALUE"""),"SHOPIFY")</f>
        <v>SHOPIFY</v>
      </c>
      <c r="AU738" s="65" t="str">
        <f>IFERROR(__xludf.DUMMYFUNCTION("""COMPUTED_VALUE"""),"IMPORTEX EC")</f>
        <v>IMPORTEX EC</v>
      </c>
      <c r="AV738" s="65" t="str">
        <f>IFERROR(__xludf.DUMMYFUNCTION("""COMPUTED_VALUE"""),"6505289875500")</f>
        <v>6505289875500</v>
      </c>
      <c r="AW738" s="65">
        <f>IFERROR(__xludf.DUMMYFUNCTION("""COMPUTED_VALUE"""),6163.0)</f>
        <v>6163</v>
      </c>
      <c r="AX738" s="65"/>
      <c r="AY738" s="65" t="str">
        <f>IFERROR(__xludf.DUMMYFUNCTION("""COMPUTED_VALUE"""),"19/02/2026")</f>
        <v>19/02/2026</v>
      </c>
      <c r="AZ738" s="65"/>
      <c r="BA738" s="65"/>
    </row>
    <row r="739">
      <c r="A739" s="65" t="str">
        <f>IFERROR(__xludf.DUMMYFUNCTION("""COMPUTED_VALUE"""),"27-03-2026")</f>
        <v>27-03-2026</v>
      </c>
      <c r="B739" s="65">
        <f>IFERROR(__xludf.DUMMYFUNCTION("""COMPUTED_VALUE"""),4513664.0)</f>
        <v>4513664</v>
      </c>
      <c r="C739" s="65" t="str">
        <f>IFERROR(__xludf.DUMMYFUNCTION("""COMPUTED_VALUE"""),"07:21")</f>
        <v>07:21</v>
      </c>
      <c r="D739" s="65" t="str">
        <f>IFERROR(__xludf.DUMMYFUNCTION("""COMPUTED_VALUE"""),"15-02-2026")</f>
        <v>15-02-2026</v>
      </c>
      <c r="E739" s="65" t="str">
        <f>IFERROR(__xludf.DUMMYFUNCTION("""COMPUTED_VALUE"""),"Nilgen Celia Pineda Montes")</f>
        <v>Nilgen Celia Pineda Montes</v>
      </c>
      <c r="F739" s="65" t="str">
        <f>IFERROR(__xludf.DUMMYFUNCTION("""COMPUTED_VALUE"""),"982726649")</f>
        <v>982726649</v>
      </c>
      <c r="G739" s="65" t="str">
        <f>IFERROR(__xludf.DUMMYFUNCTION("""COMPUTED_VALUE"""),"celpineda2020@gmail.com")</f>
        <v>celpineda2020@gmail.com</v>
      </c>
      <c r="H739" s="65"/>
      <c r="I739" s="65"/>
      <c r="J739" s="65"/>
      <c r="K739" s="65" t="str">
        <f>IFERROR(__xludf.DUMMYFUNCTION("""COMPUTED_VALUE"""),"CANCELADO")</f>
        <v>CANCELADO</v>
      </c>
      <c r="L739" s="65" t="str">
        <f>IFERROR(__xludf.DUMMYFUNCTION("""COMPUTED_VALUE"""),"CON RECAUDO")</f>
        <v>CON RECAUDO</v>
      </c>
      <c r="M739" s="65" t="str">
        <f>IFERROR(__xludf.DUMMYFUNCTION("""COMPUTED_VALUE"""),"ESMERALDAS")</f>
        <v>ESMERALDAS</v>
      </c>
      <c r="N739" s="65" t="str">
        <f>IFERROR(__xludf.DUMMYFUNCTION("""COMPUTED_VALUE"""),"ESMERALDAS")</f>
        <v>ESMERALDAS</v>
      </c>
      <c r="O739" s="65" t="str">
        <f>IFERROR(__xludf.DUMMYFUNCTION("""COMPUTED_VALUE"""),"Melecia Quiñónez Barrio Las Palmas -")</f>
        <v>Melecia Quiñónez Barrio Las Palmas -</v>
      </c>
      <c r="P739" s="65"/>
      <c r="Q739" s="65" t="str">
        <f>IFERROR(__xludf.DUMMYFUNCTION("""COMPUTED_VALUE"""),"GINTRACOM")</f>
        <v>GINTRACOM</v>
      </c>
      <c r="R739" s="65">
        <f>IFERROR(__xludf.DUMMYFUNCTION("""COMPUTED_VALUE"""),25.0)</f>
        <v>25</v>
      </c>
      <c r="S739" s="65"/>
      <c r="T739" s="65">
        <f>IFERROR(__xludf.DUMMYFUNCTION("""COMPUTED_VALUE"""),5.96)</f>
        <v>5.96</v>
      </c>
      <c r="U739" s="65">
        <f>IFERROR(__xludf.DUMMYFUNCTION("""COMPUTED_VALUE"""),0.0)</f>
        <v>0</v>
      </c>
      <c r="V739" s="65">
        <f>IFERROR(__xludf.DUMMYFUNCTION("""COMPUTED_VALUE"""),0.0)</f>
        <v>0</v>
      </c>
      <c r="W739" s="65">
        <f>IFERROR(__xludf.DUMMYFUNCTION("""COMPUTED_VALUE"""),0.0)</f>
        <v>0</v>
      </c>
      <c r="X739" s="65">
        <f>IFERROR(__xludf.DUMMYFUNCTION("""COMPUTED_VALUE"""),2.4)</f>
        <v>2.4</v>
      </c>
      <c r="Y739" s="65">
        <f>IFERROR(__xludf.DUMMYFUNCTION("""COMPUTED_VALUE"""),4.8)</f>
        <v>4.8</v>
      </c>
      <c r="Z739" s="65">
        <f>IFERROR(__xludf.DUMMYFUNCTION("""COMPUTED_VALUE"""),120732.0)</f>
        <v>120732</v>
      </c>
      <c r="AA739" s="65" t="str">
        <f>IFERROR(__xludf.DUMMYFUNCTION("""COMPUTED_VALUE"""),"PROV-LMPVT")</f>
        <v>PROV-LMPVT</v>
      </c>
      <c r="AB739" s="65"/>
      <c r="AC739" s="65" t="str">
        <f>IFERROR(__xludf.DUMMYFUNCTION("""COMPUTED_VALUE"""),"LIMPIADOR DE PARABRISAS Y VENTANAS")</f>
        <v>LIMPIADOR DE PARABRISAS Y VENTANAS</v>
      </c>
      <c r="AD739" s="65"/>
      <c r="AE739" s="65">
        <f>IFERROR(__xludf.DUMMYFUNCTION("""COMPUTED_VALUE"""),2.0)</f>
        <v>2</v>
      </c>
      <c r="AF739" s="65"/>
      <c r="AG739" s="65"/>
      <c r="AH739" s="65"/>
      <c r="AI739" s="65"/>
      <c r="AJ739" s="65"/>
      <c r="AK739" s="65"/>
      <c r="AL739" s="65"/>
      <c r="AM739" s="65"/>
      <c r="AN739" s="65"/>
      <c r="AO739" s="65"/>
      <c r="AP739" s="65"/>
      <c r="AQ739" s="65"/>
      <c r="AR739" s="65"/>
      <c r="AS739" s="65"/>
      <c r="AT739" s="65" t="str">
        <f>IFERROR(__xludf.DUMMYFUNCTION("""COMPUTED_VALUE"""),"SHOPIFY")</f>
        <v>SHOPIFY</v>
      </c>
      <c r="AU739" s="65" t="str">
        <f>IFERROR(__xludf.DUMMYFUNCTION("""COMPUTED_VALUE"""),"IMPORTEX EC")</f>
        <v>IMPORTEX EC</v>
      </c>
      <c r="AV739" s="65" t="str">
        <f>IFERROR(__xludf.DUMMYFUNCTION("""COMPUTED_VALUE"""),"6505259302956")</f>
        <v>6505259302956</v>
      </c>
      <c r="AW739" s="65">
        <f>IFERROR(__xludf.DUMMYFUNCTION("""COMPUTED_VALUE"""),6162.0)</f>
        <v>6162</v>
      </c>
      <c r="AX739" s="65"/>
      <c r="AY739" s="65"/>
      <c r="AZ739" s="65"/>
      <c r="BA739" s="65"/>
    </row>
    <row r="740">
      <c r="A740" s="65" t="str">
        <f>IFERROR(__xludf.DUMMYFUNCTION("""COMPUTED_VALUE"""),"27-03-2026")</f>
        <v>27-03-2026</v>
      </c>
      <c r="B740" s="65">
        <f>IFERROR(__xludf.DUMMYFUNCTION("""COMPUTED_VALUE"""),4513454.0)</f>
        <v>4513454</v>
      </c>
      <c r="C740" s="65" t="str">
        <f>IFERROR(__xludf.DUMMYFUNCTION("""COMPUTED_VALUE"""),"06:29")</f>
        <v>06:29</v>
      </c>
      <c r="D740" s="65" t="str">
        <f>IFERROR(__xludf.DUMMYFUNCTION("""COMPUTED_VALUE"""),"15-02-2026")</f>
        <v>15-02-2026</v>
      </c>
      <c r="E740" s="65" t="str">
        <f>IFERROR(__xludf.DUMMYFUNCTION("""COMPUTED_VALUE"""),"Juan Montenegro")</f>
        <v>Juan Montenegro</v>
      </c>
      <c r="F740" s="65" t="str">
        <f>IFERROR(__xludf.DUMMYFUNCTION("""COMPUTED_VALUE"""),"989434215")</f>
        <v>989434215</v>
      </c>
      <c r="G740" s="65" t="str">
        <f>IFERROR(__xludf.DUMMYFUNCTION("""COMPUTED_VALUE"""),"jjmontenegro20@gmail.com")</f>
        <v>jjmontenegro20@gmail.com</v>
      </c>
      <c r="H740" s="65"/>
      <c r="I740" s="65"/>
      <c r="J740" s="65" t="str">
        <f>IFERROR(__xludf.DUMMYFUNCTION("""COMPUTED_VALUE"""),"D001340330")</f>
        <v>D001340330</v>
      </c>
      <c r="K740" s="65" t="str">
        <f>IFERROR(__xludf.DUMMYFUNCTION("""COMPUTED_VALUE"""),"DEVOLUCION")</f>
        <v>DEVOLUCION</v>
      </c>
      <c r="L740" s="65" t="str">
        <f>IFERROR(__xludf.DUMMYFUNCTION("""COMPUTED_VALUE"""),"CON RECAUDO")</f>
        <v>CON RECAUDO</v>
      </c>
      <c r="M740" s="65" t="str">
        <f>IFERROR(__xludf.DUMMYFUNCTION("""COMPUTED_VALUE"""),"GUAYAS")</f>
        <v>GUAYAS</v>
      </c>
      <c r="N740" s="65" t="str">
        <f>IFERROR(__xludf.DUMMYFUNCTION("""COMPUTED_VALUE"""),"GUAYAQUIL")</f>
        <v>GUAYAQUIL</v>
      </c>
      <c r="O740" s="65" t="str">
        <f>IFERROR(__xludf.DUMMYFUNCTION("""COMPUTED_VALUE"""),"Avda Domingo Comin Los Tulipanes - Coop Los Tulipanes, mz 1115 villa 6")</f>
        <v>Avda Domingo Comin Los Tulipanes - Coop Los Tulipanes, mz 1115 villa 6</v>
      </c>
      <c r="P740" s="65"/>
      <c r="Q740" s="65" t="str">
        <f>IFERROR(__xludf.DUMMYFUNCTION("""COMPUTED_VALUE"""),"GINTRACOM")</f>
        <v>GINTRACOM</v>
      </c>
      <c r="R740" s="65">
        <f>IFERROR(__xludf.DUMMYFUNCTION("""COMPUTED_VALUE"""),25.0)</f>
        <v>25</v>
      </c>
      <c r="S740" s="65"/>
      <c r="T740" s="65">
        <f>IFERROR(__xludf.DUMMYFUNCTION("""COMPUTED_VALUE"""),4.35)</f>
        <v>4.35</v>
      </c>
      <c r="U740" s="65">
        <f>IFERROR(__xludf.DUMMYFUNCTION("""COMPUTED_VALUE"""),0.0)</f>
        <v>0</v>
      </c>
      <c r="V740" s="65">
        <f>IFERROR(__xludf.DUMMYFUNCTION("""COMPUTED_VALUE"""),0.0)</f>
        <v>0</v>
      </c>
      <c r="W740" s="65">
        <f>IFERROR(__xludf.DUMMYFUNCTION("""COMPUTED_VALUE"""),0.0)</f>
        <v>0</v>
      </c>
      <c r="X740" s="65">
        <f>IFERROR(__xludf.DUMMYFUNCTION("""COMPUTED_VALUE"""),2.4)</f>
        <v>2.4</v>
      </c>
      <c r="Y740" s="65">
        <f>IFERROR(__xludf.DUMMYFUNCTION("""COMPUTED_VALUE"""),4.8)</f>
        <v>4.8</v>
      </c>
      <c r="Z740" s="65">
        <f>IFERROR(__xludf.DUMMYFUNCTION("""COMPUTED_VALUE"""),120732.0)</f>
        <v>120732</v>
      </c>
      <c r="AA740" s="65" t="str">
        <f>IFERROR(__xludf.DUMMYFUNCTION("""COMPUTED_VALUE"""),"PROV-LMPVT")</f>
        <v>PROV-LMPVT</v>
      </c>
      <c r="AB740" s="65"/>
      <c r="AC740" s="65" t="str">
        <f>IFERROR(__xludf.DUMMYFUNCTION("""COMPUTED_VALUE"""),"LIMPIADOR DE PARABRISAS Y VENTANAS")</f>
        <v>LIMPIADOR DE PARABRISAS Y VENTANAS</v>
      </c>
      <c r="AD740" s="65"/>
      <c r="AE740" s="65">
        <f>IFERROR(__xludf.DUMMYFUNCTION("""COMPUTED_VALUE"""),2.0)</f>
        <v>2</v>
      </c>
      <c r="AF740" s="65" t="str">
        <f>IFERROR(__xludf.DUMMYFUNCTION("""COMPUTED_VALUE"""),"DESTINATARIO NO CONTESTA LLAMADAS NI WHATSAPP")</f>
        <v>DESTINATARIO NO CONTESTA LLAMADAS NI WHATSAPP</v>
      </c>
      <c r="AG740" s="65" t="str">
        <f>IFERROR(__xludf.DUMMYFUNCTION("""COMPUTED_VALUE"""),"NO")</f>
        <v>NO</v>
      </c>
      <c r="AH740" s="65" t="str">
        <f>IFERROR(__xludf.DUMMYFUNCTION("""COMPUTED_VALUE"""),"09:00")</f>
        <v>09:00</v>
      </c>
      <c r="AI740" s="65" t="str">
        <f>IFERROR(__xludf.DUMMYFUNCTION("""COMPUTED_VALUE"""),"28-02-2026")</f>
        <v>28-02-2026</v>
      </c>
      <c r="AJ740" s="65"/>
      <c r="AK740" s="65"/>
      <c r="AL740" s="65"/>
      <c r="AM740" s="65"/>
      <c r="AN740" s="65" t="str">
        <f>IFERROR(__xludf.DUMMYFUNCTION("""COMPUTED_VALUE"""),"01:35")</f>
        <v>01:35</v>
      </c>
      <c r="AO740" s="65" t="str">
        <f>IFERROR(__xludf.DUMMYFUNCTION("""COMPUTED_VALUE"""),"09-03-2026")</f>
        <v>09-03-2026</v>
      </c>
      <c r="AP740" s="65" t="str">
        <f>IFERROR(__xludf.DUMMYFUNCTION("""COMPUTED_VALUE"""),"DEVOLUCIÓN ENTREGADA A ORIGEN")</f>
        <v>DEVOLUCIÓN ENTREGADA A ORIGEN</v>
      </c>
      <c r="AQ740" s="65" t="str">
        <f>IFERROR(__xludf.DUMMYFUNCTION("""COMPUTED_VALUE"""),"DEVOLUCIÓN ENTREGADA A ORIGEN")</f>
        <v>DEVOLUCIÓN ENTREGADA A ORIGEN</v>
      </c>
      <c r="AR740" s="65"/>
      <c r="AS740" s="65"/>
      <c r="AT740" s="65" t="str">
        <f>IFERROR(__xludf.DUMMYFUNCTION("""COMPUTED_VALUE"""),"SHOPIFY")</f>
        <v>SHOPIFY</v>
      </c>
      <c r="AU740" s="65" t="str">
        <f>IFERROR(__xludf.DUMMYFUNCTION("""COMPUTED_VALUE"""),"IMPORTEX EC")</f>
        <v>IMPORTEX EC</v>
      </c>
      <c r="AV740" s="65" t="str">
        <f>IFERROR(__xludf.DUMMYFUNCTION("""COMPUTED_VALUE"""),"6505225715756")</f>
        <v>6505225715756</v>
      </c>
      <c r="AW740" s="65">
        <f>IFERROR(__xludf.DUMMYFUNCTION("""COMPUTED_VALUE"""),6158.0)</f>
        <v>6158</v>
      </c>
      <c r="AX740" s="65"/>
      <c r="AY740" s="65" t="str">
        <f>IFERROR(__xludf.DUMMYFUNCTION("""COMPUTED_VALUE"""),"19/02/2026")</f>
        <v>19/02/2026</v>
      </c>
      <c r="AZ740" s="65"/>
      <c r="BA740" s="65"/>
    </row>
    <row r="741">
      <c r="A741" s="65" t="str">
        <f>IFERROR(__xludf.DUMMYFUNCTION("""COMPUTED_VALUE"""),"27-03-2026")</f>
        <v>27-03-2026</v>
      </c>
      <c r="B741" s="65">
        <f>IFERROR(__xludf.DUMMYFUNCTION("""COMPUTED_VALUE"""),4512455.0)</f>
        <v>4512455</v>
      </c>
      <c r="C741" s="65" t="str">
        <f>IFERROR(__xludf.DUMMYFUNCTION("""COMPUTED_VALUE"""),"21:58")</f>
        <v>21:58</v>
      </c>
      <c r="D741" s="65" t="str">
        <f>IFERROR(__xludf.DUMMYFUNCTION("""COMPUTED_VALUE"""),"14-02-2026")</f>
        <v>14-02-2026</v>
      </c>
      <c r="E741" s="65" t="str">
        <f>IFERROR(__xludf.DUMMYFUNCTION("""COMPUTED_VALUE"""),"Marcelo Gudiño")</f>
        <v>Marcelo Gudiño</v>
      </c>
      <c r="F741" s="65" t="str">
        <f>IFERROR(__xludf.DUMMYFUNCTION("""COMPUTED_VALUE"""),"980485704")</f>
        <v>980485704</v>
      </c>
      <c r="G741" s="65"/>
      <c r="H741" s="65"/>
      <c r="I741" s="65"/>
      <c r="J741" s="65" t="str">
        <f>IFERROR(__xludf.DUMMYFUNCTION("""COMPUTED_VALUE"""),"D001340332")</f>
        <v>D001340332</v>
      </c>
      <c r="K741" s="65" t="str">
        <f>IFERROR(__xludf.DUMMYFUNCTION("""COMPUTED_VALUE"""),"ENTREGADO")</f>
        <v>ENTREGADO</v>
      </c>
      <c r="L741" s="65" t="str">
        <f>IFERROR(__xludf.DUMMYFUNCTION("""COMPUTED_VALUE"""),"CON RECAUDO")</f>
        <v>CON RECAUDO</v>
      </c>
      <c r="M741" s="65" t="str">
        <f>IFERROR(__xludf.DUMMYFUNCTION("""COMPUTED_VALUE"""),"IMBABURA")</f>
        <v>IMBABURA</v>
      </c>
      <c r="N741" s="65" t="str">
        <f>IFERROR(__xludf.DUMMYFUNCTION("""COMPUTED_VALUE"""),"IBARRA")</f>
        <v>IBARRA</v>
      </c>
      <c r="O741" s="65" t="str">
        <f>IFERROR(__xludf.DUMMYFUNCTION("""COMPUTED_VALUE"""),"Juana Atabalipa 696 y Juan Frnacisco Bonilla Yacucalle mida cu parrillas tío sesi -")</f>
        <v>Juana Atabalipa 696 y Juan Frnacisco Bonilla Yacucalle mida cu parrillas tío sesi -</v>
      </c>
      <c r="P741" s="65"/>
      <c r="Q741" s="65" t="str">
        <f>IFERROR(__xludf.DUMMYFUNCTION("""COMPUTED_VALUE"""),"GINTRACOM")</f>
        <v>GINTRACOM</v>
      </c>
      <c r="R741" s="65">
        <f>IFERROR(__xludf.DUMMYFUNCTION("""COMPUTED_VALUE"""),25.0)</f>
        <v>25</v>
      </c>
      <c r="S741" s="65">
        <f>IFERROR(__xludf.DUMMYFUNCTION("""COMPUTED_VALUE"""),14.24)</f>
        <v>14.24</v>
      </c>
      <c r="T741" s="65">
        <f>IFERROR(__xludf.DUMMYFUNCTION("""COMPUTED_VALUE"""),5.96)</f>
        <v>5.96</v>
      </c>
      <c r="U741" s="65">
        <f>IFERROR(__xludf.DUMMYFUNCTION("""COMPUTED_VALUE"""),0.0)</f>
        <v>0</v>
      </c>
      <c r="V741" s="65">
        <f>IFERROR(__xludf.DUMMYFUNCTION("""COMPUTED_VALUE"""),0.0)</f>
        <v>0</v>
      </c>
      <c r="W741" s="65">
        <f>IFERROR(__xludf.DUMMYFUNCTION("""COMPUTED_VALUE"""),0.0)</f>
        <v>0</v>
      </c>
      <c r="X741" s="65">
        <f>IFERROR(__xludf.DUMMYFUNCTION("""COMPUTED_VALUE"""),2.4)</f>
        <v>2.4</v>
      </c>
      <c r="Y741" s="65">
        <f>IFERROR(__xludf.DUMMYFUNCTION("""COMPUTED_VALUE"""),4.8)</f>
        <v>4.8</v>
      </c>
      <c r="Z741" s="65">
        <f>IFERROR(__xludf.DUMMYFUNCTION("""COMPUTED_VALUE"""),120732.0)</f>
        <v>120732</v>
      </c>
      <c r="AA741" s="65" t="str">
        <f>IFERROR(__xludf.DUMMYFUNCTION("""COMPUTED_VALUE"""),"PROV-LMPVT")</f>
        <v>PROV-LMPVT</v>
      </c>
      <c r="AB741" s="65"/>
      <c r="AC741" s="65" t="str">
        <f>IFERROR(__xludf.DUMMYFUNCTION("""COMPUTED_VALUE"""),"LIMPIADOR DE PARABRISAS Y VENTANAS")</f>
        <v>LIMPIADOR DE PARABRISAS Y VENTANAS</v>
      </c>
      <c r="AD741" s="65"/>
      <c r="AE741" s="65">
        <f>IFERROR(__xludf.DUMMYFUNCTION("""COMPUTED_VALUE"""),2.0)</f>
        <v>2</v>
      </c>
      <c r="AF741" s="65" t="str">
        <f>IFERROR(__xludf.DUMMYFUNCTION("""COMPUTED_VALUE"""),"DESTINATARIO INDICA QUE SE ENCUENTRA FUERA DE LA CIUDAD")</f>
        <v>DESTINATARIO INDICA QUE SE ENCUENTRA FUERA DE LA CIUDAD</v>
      </c>
      <c r="AG741" s="65" t="str">
        <f>IFERROR(__xludf.DUMMYFUNCTION("""COMPUTED_VALUE"""),"SI")</f>
        <v>SI</v>
      </c>
      <c r="AH741" s="65" t="str">
        <f>IFERROR(__xludf.DUMMYFUNCTION("""COMPUTED_VALUE"""),"18:55")</f>
        <v>18:55</v>
      </c>
      <c r="AI741" s="65" t="str">
        <f>IFERROR(__xludf.DUMMYFUNCTION("""COMPUTED_VALUE"""),"24-02-2026")</f>
        <v>24-02-2026</v>
      </c>
      <c r="AJ741" s="65" t="str">
        <f>IFERROR(__xludf.DUMMYFUNCTION("""COMPUTED_VALUE"""),"Cliente informa que no esta de viaje, no puedo recibir el pedido ayeer x motivos laborales")</f>
        <v>Cliente informa que no esta de viaje, no puedo recibir el pedido ayeer x motivos laborales</v>
      </c>
      <c r="AK741" s="65" t="str">
        <f>IFERROR(__xludf.DUMMYFUNCTION("""COMPUTED_VALUE"""),"08:51")</f>
        <v>08:51</v>
      </c>
      <c r="AL741" s="65" t="str">
        <f>IFERROR(__xludf.DUMMYFUNCTION("""COMPUTED_VALUE"""),"25-02-2026")</f>
        <v>25-02-2026</v>
      </c>
      <c r="AM741" s="65"/>
      <c r="AN741" s="65" t="str">
        <f>IFERROR(__xludf.DUMMYFUNCTION("""COMPUTED_VALUE"""),"13:17")</f>
        <v>13:17</v>
      </c>
      <c r="AO741" s="65" t="str">
        <f>IFERROR(__xludf.DUMMYFUNCTION("""COMPUTED_VALUE"""),"25-02-2026")</f>
        <v>25-02-2026</v>
      </c>
      <c r="AP741" s="65" t="str">
        <f>IFERROR(__xludf.DUMMYFUNCTION("""COMPUTED_VALUE"""),"ENTREGADA GINTRACOM")</f>
        <v>ENTREGADA GINTRACOM</v>
      </c>
      <c r="AQ741" s="65" t="str">
        <f>IFERROR(__xludf.DUMMYFUNCTION("""COMPUTED_VALUE"""),"ENTREGADA GINTRACOM")</f>
        <v>ENTREGADA GINTRACOM</v>
      </c>
      <c r="AR741" s="65"/>
      <c r="AS741" s="65"/>
      <c r="AT741" s="65" t="str">
        <f>IFERROR(__xludf.DUMMYFUNCTION("""COMPUTED_VALUE"""),"SHOPIFY")</f>
        <v>SHOPIFY</v>
      </c>
      <c r="AU741" s="65" t="str">
        <f>IFERROR(__xludf.DUMMYFUNCTION("""COMPUTED_VALUE"""),"IMPORTEX EC")</f>
        <v>IMPORTEX EC</v>
      </c>
      <c r="AV741" s="65" t="str">
        <f>IFERROR(__xludf.DUMMYFUNCTION("""COMPUTED_VALUE"""),"6504635695148")</f>
        <v>6504635695148</v>
      </c>
      <c r="AW741" s="65">
        <f>IFERROR(__xludf.DUMMYFUNCTION("""COMPUTED_VALUE"""),6153.0)</f>
        <v>6153</v>
      </c>
      <c r="AX741" s="65"/>
      <c r="AY741" s="65" t="str">
        <f>IFERROR(__xludf.DUMMYFUNCTION("""COMPUTED_VALUE"""),"19/02/2026")</f>
        <v>19/02/2026</v>
      </c>
      <c r="AZ741" s="65"/>
      <c r="BA741" s="65"/>
    </row>
    <row r="742">
      <c r="A742" s="65" t="str">
        <f>IFERROR(__xludf.DUMMYFUNCTION("""COMPUTED_VALUE"""),"27-03-2026")</f>
        <v>27-03-2026</v>
      </c>
      <c r="B742" s="65">
        <f>IFERROR(__xludf.DUMMYFUNCTION("""COMPUTED_VALUE"""),4511215.0)</f>
        <v>4511215</v>
      </c>
      <c r="C742" s="65" t="str">
        <f>IFERROR(__xludf.DUMMYFUNCTION("""COMPUTED_VALUE"""),"18:21")</f>
        <v>18:21</v>
      </c>
      <c r="D742" s="65" t="str">
        <f>IFERROR(__xludf.DUMMYFUNCTION("""COMPUTED_VALUE"""),"14-02-2026")</f>
        <v>14-02-2026</v>
      </c>
      <c r="E742" s="65" t="str">
        <f>IFERROR(__xludf.DUMMYFUNCTION("""COMPUTED_VALUE"""),"Jose Lenin")</f>
        <v>Jose Lenin</v>
      </c>
      <c r="F742" s="65" t="str">
        <f>IFERROR(__xludf.DUMMYFUNCTION("""COMPUTED_VALUE"""),"939214660")</f>
        <v>939214660</v>
      </c>
      <c r="G742" s="65" t="str">
        <f>IFERROR(__xludf.DUMMYFUNCTION("""COMPUTED_VALUE"""),"jv601@hotmail.com")</f>
        <v>jv601@hotmail.com</v>
      </c>
      <c r="H742" s="65"/>
      <c r="I742" s="65"/>
      <c r="J742" s="65" t="str">
        <f>IFERROR(__xludf.DUMMYFUNCTION("""COMPUTED_VALUE"""),"D001340336")</f>
        <v>D001340336</v>
      </c>
      <c r="K742" s="65" t="str">
        <f>IFERROR(__xludf.DUMMYFUNCTION("""COMPUTED_VALUE"""),"ENTREGADO")</f>
        <v>ENTREGADO</v>
      </c>
      <c r="L742" s="65" t="str">
        <f>IFERROR(__xludf.DUMMYFUNCTION("""COMPUTED_VALUE"""),"CON RECAUDO")</f>
        <v>CON RECAUDO</v>
      </c>
      <c r="M742" s="65" t="str">
        <f>IFERROR(__xludf.DUMMYFUNCTION("""COMPUTED_VALUE"""),"MORONA SANTIAGO")</f>
        <v>MORONA SANTIAGO</v>
      </c>
      <c r="N742" s="65" t="str">
        <f>IFERROR(__xludf.DUMMYFUNCTION("""COMPUTED_VALUE"""),"MACAS")</f>
        <v>MACAS</v>
      </c>
      <c r="O742" s="65" t="str">
        <f>IFERROR(__xludf.DUMMYFUNCTION("""COMPUTED_VALUE"""),"Calle Juan de la cruz Frente a expresate, Entre : calle soasti y 24 de mayo .  morona Santiago consultorio jurídico Acción legal -")</f>
        <v>Calle Juan de la cruz Frente a expresate, Entre : calle soasti y 24 de mayo .  morona Santiago consultorio jurídico Acción legal -</v>
      </c>
      <c r="P742" s="65"/>
      <c r="Q742" s="65" t="str">
        <f>IFERROR(__xludf.DUMMYFUNCTION("""COMPUTED_VALUE"""),"GINTRACOM")</f>
        <v>GINTRACOM</v>
      </c>
      <c r="R742" s="65">
        <f>IFERROR(__xludf.DUMMYFUNCTION("""COMPUTED_VALUE"""),25.0)</f>
        <v>25</v>
      </c>
      <c r="S742" s="65">
        <f>IFERROR(__xludf.DUMMYFUNCTION("""COMPUTED_VALUE"""),14.24)</f>
        <v>14.24</v>
      </c>
      <c r="T742" s="65">
        <f>IFERROR(__xludf.DUMMYFUNCTION("""COMPUTED_VALUE"""),5.96)</f>
        <v>5.96</v>
      </c>
      <c r="U742" s="65">
        <f>IFERROR(__xludf.DUMMYFUNCTION("""COMPUTED_VALUE"""),0.0)</f>
        <v>0</v>
      </c>
      <c r="V742" s="65">
        <f>IFERROR(__xludf.DUMMYFUNCTION("""COMPUTED_VALUE"""),0.0)</f>
        <v>0</v>
      </c>
      <c r="W742" s="65">
        <f>IFERROR(__xludf.DUMMYFUNCTION("""COMPUTED_VALUE"""),0.0)</f>
        <v>0</v>
      </c>
      <c r="X742" s="65">
        <f>IFERROR(__xludf.DUMMYFUNCTION("""COMPUTED_VALUE"""),2.4)</f>
        <v>2.4</v>
      </c>
      <c r="Y742" s="65">
        <f>IFERROR(__xludf.DUMMYFUNCTION("""COMPUTED_VALUE"""),4.8)</f>
        <v>4.8</v>
      </c>
      <c r="Z742" s="65">
        <f>IFERROR(__xludf.DUMMYFUNCTION("""COMPUTED_VALUE"""),120732.0)</f>
        <v>120732</v>
      </c>
      <c r="AA742" s="65" t="str">
        <f>IFERROR(__xludf.DUMMYFUNCTION("""COMPUTED_VALUE"""),"PROV-LMPVT")</f>
        <v>PROV-LMPVT</v>
      </c>
      <c r="AB742" s="65"/>
      <c r="AC742" s="65" t="str">
        <f>IFERROR(__xludf.DUMMYFUNCTION("""COMPUTED_VALUE"""),"LIMPIADOR DE PARABRISAS Y VENTANAS")</f>
        <v>LIMPIADOR DE PARABRISAS Y VENTANAS</v>
      </c>
      <c r="AD742" s="65"/>
      <c r="AE742" s="65">
        <f>IFERROR(__xludf.DUMMYFUNCTION("""COMPUTED_VALUE"""),2.0)</f>
        <v>2</v>
      </c>
      <c r="AF742" s="65"/>
      <c r="AG742" s="65"/>
      <c r="AH742" s="65"/>
      <c r="AI742" s="65"/>
      <c r="AJ742" s="65"/>
      <c r="AK742" s="65"/>
      <c r="AL742" s="65"/>
      <c r="AM742" s="65"/>
      <c r="AN742" s="65" t="str">
        <f>IFERROR(__xludf.DUMMYFUNCTION("""COMPUTED_VALUE"""),"15:41")</f>
        <v>15:41</v>
      </c>
      <c r="AO742" s="65" t="str">
        <f>IFERROR(__xludf.DUMMYFUNCTION("""COMPUTED_VALUE"""),"21-02-2026")</f>
        <v>21-02-2026</v>
      </c>
      <c r="AP742" s="65" t="str">
        <f>IFERROR(__xludf.DUMMYFUNCTION("""COMPUTED_VALUE"""),"ENTREGADA GINTRACOM")</f>
        <v>ENTREGADA GINTRACOM</v>
      </c>
      <c r="AQ742" s="65" t="str">
        <f>IFERROR(__xludf.DUMMYFUNCTION("""COMPUTED_VALUE"""),"ENTREGADA GINTRACOM")</f>
        <v>ENTREGADA GINTRACOM</v>
      </c>
      <c r="AR742" s="65"/>
      <c r="AS742" s="65"/>
      <c r="AT742" s="65" t="str">
        <f>IFERROR(__xludf.DUMMYFUNCTION("""COMPUTED_VALUE"""),"SHOPIFY")</f>
        <v>SHOPIFY</v>
      </c>
      <c r="AU742" s="65" t="str">
        <f>IFERROR(__xludf.DUMMYFUNCTION("""COMPUTED_VALUE"""),"IMPORTEX EC")</f>
        <v>IMPORTEX EC</v>
      </c>
      <c r="AV742" s="65" t="str">
        <f>IFERROR(__xludf.DUMMYFUNCTION("""COMPUTED_VALUE"""),"6504268202028")</f>
        <v>6504268202028</v>
      </c>
      <c r="AW742" s="65">
        <f>IFERROR(__xludf.DUMMYFUNCTION("""COMPUTED_VALUE"""),6146.0)</f>
        <v>6146</v>
      </c>
      <c r="AX742" s="65"/>
      <c r="AY742" s="65" t="str">
        <f>IFERROR(__xludf.DUMMYFUNCTION("""COMPUTED_VALUE"""),"19/02/2026")</f>
        <v>19/02/2026</v>
      </c>
      <c r="AZ742" s="65"/>
      <c r="BA742" s="65"/>
    </row>
    <row r="743">
      <c r="A743" s="65" t="str">
        <f>IFERROR(__xludf.DUMMYFUNCTION("""COMPUTED_VALUE"""),"27-03-2026")</f>
        <v>27-03-2026</v>
      </c>
      <c r="B743" s="65">
        <f>IFERROR(__xludf.DUMMYFUNCTION("""COMPUTED_VALUE"""),4510908.0)</f>
        <v>4510908</v>
      </c>
      <c r="C743" s="65" t="str">
        <f>IFERROR(__xludf.DUMMYFUNCTION("""COMPUTED_VALUE"""),"17:25")</f>
        <v>17:25</v>
      </c>
      <c r="D743" s="65" t="str">
        <f>IFERROR(__xludf.DUMMYFUNCTION("""COMPUTED_VALUE"""),"14-02-2026")</f>
        <v>14-02-2026</v>
      </c>
      <c r="E743" s="65" t="str">
        <f>IFERROR(__xludf.DUMMYFUNCTION("""COMPUTED_VALUE"""),"WEBSTER Sellan")</f>
        <v>WEBSTER Sellan</v>
      </c>
      <c r="F743" s="65" t="str">
        <f>IFERROR(__xludf.DUMMYFUNCTION("""COMPUTED_VALUE"""),"968864473")</f>
        <v>968864473</v>
      </c>
      <c r="G743" s="65" t="str">
        <f>IFERROR(__xludf.DUMMYFUNCTION("""COMPUTED_VALUE"""),"Wesbter28@hotmail.com")</f>
        <v>Wesbter28@hotmail.com</v>
      </c>
      <c r="H743" s="65"/>
      <c r="I743" s="65"/>
      <c r="J743" s="65" t="str">
        <f>IFERROR(__xludf.DUMMYFUNCTION("""COMPUTED_VALUE"""),"D001340337")</f>
        <v>D001340337</v>
      </c>
      <c r="K743" s="65" t="str">
        <f>IFERROR(__xludf.DUMMYFUNCTION("""COMPUTED_VALUE"""),"ENTREGADO")</f>
        <v>ENTREGADO</v>
      </c>
      <c r="L743" s="65" t="str">
        <f>IFERROR(__xludf.DUMMYFUNCTION("""COMPUTED_VALUE"""),"CON RECAUDO")</f>
        <v>CON RECAUDO</v>
      </c>
      <c r="M743" s="65" t="str">
        <f>IFERROR(__xludf.DUMMYFUNCTION("""COMPUTED_VALUE"""),"GUAYAS")</f>
        <v>GUAYAS</v>
      </c>
      <c r="N743" s="65" t="str">
        <f>IFERROR(__xludf.DUMMYFUNCTION("""COMPUTED_VALUE"""),"GUAYAQUIL")</f>
        <v>GUAYAQUIL</v>
      </c>
      <c r="O743" s="65" t="str">
        <f>IFERROR(__xludf.DUMMYFUNCTION("""COMPUTED_VALUE"""),"El Oro 1502 y Garcia Moreno, centro sur, referencia al asadero de pollo el Chavito, calle principal esquinero")</f>
        <v>El Oro 1502 y Garcia Moreno, centro sur, referencia al asadero de pollo el Chavito, calle principal esquinero</v>
      </c>
      <c r="P743" s="65"/>
      <c r="Q743" s="65" t="str">
        <f>IFERROR(__xludf.DUMMYFUNCTION("""COMPUTED_VALUE"""),"GINTRACOM")</f>
        <v>GINTRACOM</v>
      </c>
      <c r="R743" s="65">
        <f>IFERROR(__xludf.DUMMYFUNCTION("""COMPUTED_VALUE"""),20.0)</f>
        <v>20</v>
      </c>
      <c r="S743" s="65">
        <f>IFERROR(__xludf.DUMMYFUNCTION("""COMPUTED_VALUE"""),13.45)</f>
        <v>13.45</v>
      </c>
      <c r="T743" s="65">
        <f>IFERROR(__xludf.DUMMYFUNCTION("""COMPUTED_VALUE"""),4.15)</f>
        <v>4.15</v>
      </c>
      <c r="U743" s="65">
        <f>IFERROR(__xludf.DUMMYFUNCTION("""COMPUTED_VALUE"""),0.0)</f>
        <v>0</v>
      </c>
      <c r="V743" s="65">
        <f>IFERROR(__xludf.DUMMYFUNCTION("""COMPUTED_VALUE"""),0.0)</f>
        <v>0</v>
      </c>
      <c r="W743" s="65">
        <f>IFERROR(__xludf.DUMMYFUNCTION("""COMPUTED_VALUE"""),0.0)</f>
        <v>0</v>
      </c>
      <c r="X743" s="65">
        <f>IFERROR(__xludf.DUMMYFUNCTION("""COMPUTED_VALUE"""),2.4)</f>
        <v>2.4</v>
      </c>
      <c r="Y743" s="65">
        <f>IFERROR(__xludf.DUMMYFUNCTION("""COMPUTED_VALUE"""),2.4)</f>
        <v>2.4</v>
      </c>
      <c r="Z743" s="65">
        <f>IFERROR(__xludf.DUMMYFUNCTION("""COMPUTED_VALUE"""),120732.0)</f>
        <v>120732</v>
      </c>
      <c r="AA743" s="65" t="str">
        <f>IFERROR(__xludf.DUMMYFUNCTION("""COMPUTED_VALUE"""),"PROV-LMPVT")</f>
        <v>PROV-LMPVT</v>
      </c>
      <c r="AB743" s="65"/>
      <c r="AC743" s="65" t="str">
        <f>IFERROR(__xludf.DUMMYFUNCTION("""COMPUTED_VALUE"""),"LIMPIADOR DE PARABRISAS Y VENTANAS")</f>
        <v>LIMPIADOR DE PARABRISAS Y VENTANAS</v>
      </c>
      <c r="AD743" s="65"/>
      <c r="AE743" s="65">
        <f>IFERROR(__xludf.DUMMYFUNCTION("""COMPUTED_VALUE"""),1.0)</f>
        <v>1</v>
      </c>
      <c r="AF743" s="65"/>
      <c r="AG743" s="65"/>
      <c r="AH743" s="65"/>
      <c r="AI743" s="65"/>
      <c r="AJ743" s="65"/>
      <c r="AK743" s="65"/>
      <c r="AL743" s="65"/>
      <c r="AM743" s="65"/>
      <c r="AN743" s="65" t="str">
        <f>IFERROR(__xludf.DUMMYFUNCTION("""COMPUTED_VALUE"""),"13:23")</f>
        <v>13:23</v>
      </c>
      <c r="AO743" s="65" t="str">
        <f>IFERROR(__xludf.DUMMYFUNCTION("""COMPUTED_VALUE"""),"20-02-2026")</f>
        <v>20-02-2026</v>
      </c>
      <c r="AP743" s="65" t="str">
        <f>IFERROR(__xludf.DUMMYFUNCTION("""COMPUTED_VALUE"""),"ENTREGADA GINTRACOM")</f>
        <v>ENTREGADA GINTRACOM</v>
      </c>
      <c r="AQ743" s="65" t="str">
        <f>IFERROR(__xludf.DUMMYFUNCTION("""COMPUTED_VALUE"""),"ENTREGADA GINTRACOM")</f>
        <v>ENTREGADA GINTRACOM</v>
      </c>
      <c r="AR743" s="65"/>
      <c r="AS743" s="65"/>
      <c r="AT743" s="65" t="str">
        <f>IFERROR(__xludf.DUMMYFUNCTION("""COMPUTED_VALUE"""),"SHOPIFY")</f>
        <v>SHOPIFY</v>
      </c>
      <c r="AU743" s="65" t="str">
        <f>IFERROR(__xludf.DUMMYFUNCTION("""COMPUTED_VALUE"""),"IMPORTEX EC")</f>
        <v>IMPORTEX EC</v>
      </c>
      <c r="AV743" s="65" t="str">
        <f>IFERROR(__xludf.DUMMYFUNCTION("""COMPUTED_VALUE"""),"6504154071084")</f>
        <v>6504154071084</v>
      </c>
      <c r="AW743" s="65">
        <f>IFERROR(__xludf.DUMMYFUNCTION("""COMPUTED_VALUE"""),6144.0)</f>
        <v>6144</v>
      </c>
      <c r="AX743" s="65"/>
      <c r="AY743" s="65" t="str">
        <f>IFERROR(__xludf.DUMMYFUNCTION("""COMPUTED_VALUE"""),"19/02/2026")</f>
        <v>19/02/2026</v>
      </c>
      <c r="AZ743" s="65"/>
      <c r="BA743" s="65"/>
    </row>
    <row r="744">
      <c r="A744" s="65" t="str">
        <f>IFERROR(__xludf.DUMMYFUNCTION("""COMPUTED_VALUE"""),"27-03-2026")</f>
        <v>27-03-2026</v>
      </c>
      <c r="B744" s="65">
        <f>IFERROR(__xludf.DUMMYFUNCTION("""COMPUTED_VALUE"""),4510725.0)</f>
        <v>4510725</v>
      </c>
      <c r="C744" s="65" t="str">
        <f>IFERROR(__xludf.DUMMYFUNCTION("""COMPUTED_VALUE"""),"16:52")</f>
        <v>16:52</v>
      </c>
      <c r="D744" s="65" t="str">
        <f>IFERROR(__xludf.DUMMYFUNCTION("""COMPUTED_VALUE"""),"14-02-2026")</f>
        <v>14-02-2026</v>
      </c>
      <c r="E744" s="65" t="str">
        <f>IFERROR(__xludf.DUMMYFUNCTION("""COMPUTED_VALUE"""),"Pablo Miñarcaja")</f>
        <v>Pablo Miñarcaja</v>
      </c>
      <c r="F744" s="65" t="str">
        <f>IFERROR(__xludf.DUMMYFUNCTION("""COMPUTED_VALUE"""),"989889083")</f>
        <v>989889083</v>
      </c>
      <c r="G744" s="65" t="str">
        <f>IFERROR(__xludf.DUMMYFUNCTION("""COMPUTED_VALUE"""),"pablominarcaja@hotmail.es")</f>
        <v>pablominarcaja@hotmail.es</v>
      </c>
      <c r="H744" s="65"/>
      <c r="I744" s="65"/>
      <c r="J744" s="65" t="str">
        <f>IFERROR(__xludf.DUMMYFUNCTION("""COMPUTED_VALUE"""),"D001343632")</f>
        <v>D001343632</v>
      </c>
      <c r="K744" s="65" t="str">
        <f>IFERROR(__xludf.DUMMYFUNCTION("""COMPUTED_VALUE"""),"ENTREGADO")</f>
        <v>ENTREGADO</v>
      </c>
      <c r="L744" s="65" t="str">
        <f>IFERROR(__xludf.DUMMYFUNCTION("""COMPUTED_VALUE"""),"CON RECAUDO")</f>
        <v>CON RECAUDO</v>
      </c>
      <c r="M744" s="65" t="str">
        <f>IFERROR(__xludf.DUMMYFUNCTION("""COMPUTED_VALUE"""),"CHIMBORAZO")</f>
        <v>CHIMBORAZO</v>
      </c>
      <c r="N744" s="65" t="str">
        <f>IFERROR(__xludf.DUMMYFUNCTION("""COMPUTED_VALUE"""),"RIOBAMBA")</f>
        <v>RIOBAMBA</v>
      </c>
      <c r="O744" s="65" t="str">
        <f>IFERROR(__xludf.DUMMYFUNCTION("""COMPUTED_VALUE"""),"Diego de Rodriguez  Y Av. Ecuador")</f>
        <v>Diego de Rodriguez  Y Av. Ecuador</v>
      </c>
      <c r="P744" s="65"/>
      <c r="Q744" s="65" t="str">
        <f>IFERROR(__xludf.DUMMYFUNCTION("""COMPUTED_VALUE"""),"GINTRACOM")</f>
        <v>GINTRACOM</v>
      </c>
      <c r="R744" s="65">
        <f>IFERROR(__xludf.DUMMYFUNCTION("""COMPUTED_VALUE"""),30.0)</f>
        <v>30</v>
      </c>
      <c r="S744" s="65">
        <f>IFERROR(__xludf.DUMMYFUNCTION("""COMPUTED_VALUE"""),16.64)</f>
        <v>16.64</v>
      </c>
      <c r="T744" s="65">
        <f>IFERROR(__xludf.DUMMYFUNCTION("""COMPUTED_VALUE"""),6.16)</f>
        <v>6.16</v>
      </c>
      <c r="U744" s="65">
        <f>IFERROR(__xludf.DUMMYFUNCTION("""COMPUTED_VALUE"""),0.0)</f>
        <v>0</v>
      </c>
      <c r="V744" s="65">
        <f>IFERROR(__xludf.DUMMYFUNCTION("""COMPUTED_VALUE"""),0.0)</f>
        <v>0</v>
      </c>
      <c r="W744" s="65">
        <f>IFERROR(__xludf.DUMMYFUNCTION("""COMPUTED_VALUE"""),0.0)</f>
        <v>0</v>
      </c>
      <c r="X744" s="65">
        <f>IFERROR(__xludf.DUMMYFUNCTION("""COMPUTED_VALUE"""),2.4)</f>
        <v>2.4</v>
      </c>
      <c r="Y744" s="65">
        <f>IFERROR(__xludf.DUMMYFUNCTION("""COMPUTED_VALUE"""),7.2)</f>
        <v>7.2</v>
      </c>
      <c r="Z744" s="65">
        <f>IFERROR(__xludf.DUMMYFUNCTION("""COMPUTED_VALUE"""),120732.0)</f>
        <v>120732</v>
      </c>
      <c r="AA744" s="65" t="str">
        <f>IFERROR(__xludf.DUMMYFUNCTION("""COMPUTED_VALUE"""),"PROV-LMPVT")</f>
        <v>PROV-LMPVT</v>
      </c>
      <c r="AB744" s="65"/>
      <c r="AC744" s="65" t="str">
        <f>IFERROR(__xludf.DUMMYFUNCTION("""COMPUTED_VALUE"""),"LIMPIADOR DE PARABRISAS Y VENTANAS")</f>
        <v>LIMPIADOR DE PARABRISAS Y VENTANAS</v>
      </c>
      <c r="AD744" s="65"/>
      <c r="AE744" s="65">
        <f>IFERROR(__xludf.DUMMYFUNCTION("""COMPUTED_VALUE"""),3.0)</f>
        <v>3</v>
      </c>
      <c r="AF744" s="65"/>
      <c r="AG744" s="65"/>
      <c r="AH744" s="65"/>
      <c r="AI744" s="65"/>
      <c r="AJ744" s="65"/>
      <c r="AK744" s="65"/>
      <c r="AL744" s="65"/>
      <c r="AM744" s="65"/>
      <c r="AN744" s="65" t="str">
        <f>IFERROR(__xludf.DUMMYFUNCTION("""COMPUTED_VALUE"""),"08:18")</f>
        <v>08:18</v>
      </c>
      <c r="AO744" s="65" t="str">
        <f>IFERROR(__xludf.DUMMYFUNCTION("""COMPUTED_VALUE"""),"23-02-2026")</f>
        <v>23-02-2026</v>
      </c>
      <c r="AP744" s="65" t="str">
        <f>IFERROR(__xludf.DUMMYFUNCTION("""COMPUTED_VALUE"""),"EN REPARTO")</f>
        <v>EN REPARTO</v>
      </c>
      <c r="AQ744" s="65" t="str">
        <f>IFERROR(__xludf.DUMMYFUNCTION("""COMPUTED_VALUE"""),"EN REPARTO")</f>
        <v>EN REPARTO</v>
      </c>
      <c r="AR744" s="65"/>
      <c r="AS744" s="65"/>
      <c r="AT744" s="65" t="str">
        <f>IFERROR(__xludf.DUMMYFUNCTION("""COMPUTED_VALUE"""),"SHOPIFY")</f>
        <v>SHOPIFY</v>
      </c>
      <c r="AU744" s="65" t="str">
        <f>IFERROR(__xludf.DUMMYFUNCTION("""COMPUTED_VALUE"""),"IMPORTEX EC")</f>
        <v>IMPORTEX EC</v>
      </c>
      <c r="AV744" s="65" t="str">
        <f>IFERROR(__xludf.DUMMYFUNCTION("""COMPUTED_VALUE"""),"6504082112556")</f>
        <v>6504082112556</v>
      </c>
      <c r="AW744" s="65">
        <f>IFERROR(__xludf.DUMMYFUNCTION("""COMPUTED_VALUE"""),6142.0)</f>
        <v>6142</v>
      </c>
      <c r="AX744" s="65"/>
      <c r="AY744" s="65" t="str">
        <f>IFERROR(__xludf.DUMMYFUNCTION("""COMPUTED_VALUE"""),"20/02/2026")</f>
        <v>20/02/2026</v>
      </c>
      <c r="AZ744" s="65"/>
      <c r="BA744" s="65"/>
    </row>
    <row r="745">
      <c r="A745" s="65" t="str">
        <f>IFERROR(__xludf.DUMMYFUNCTION("""COMPUTED_VALUE"""),"27-03-2026")</f>
        <v>27-03-2026</v>
      </c>
      <c r="B745" s="65">
        <f>IFERROR(__xludf.DUMMYFUNCTION("""COMPUTED_VALUE"""),4510290.0)</f>
        <v>4510290</v>
      </c>
      <c r="C745" s="65" t="str">
        <f>IFERROR(__xludf.DUMMYFUNCTION("""COMPUTED_VALUE"""),"15:27")</f>
        <v>15:27</v>
      </c>
      <c r="D745" s="65" t="str">
        <f>IFERROR(__xludf.DUMMYFUNCTION("""COMPUTED_VALUE"""),"14-02-2026")</f>
        <v>14-02-2026</v>
      </c>
      <c r="E745" s="65" t="str">
        <f>IFERROR(__xludf.DUMMYFUNCTION("""COMPUTED_VALUE"""),"Antony smith García García")</f>
        <v>Antony smith García García</v>
      </c>
      <c r="F745" s="65" t="str">
        <f>IFERROR(__xludf.DUMMYFUNCTION("""COMPUTED_VALUE"""),"968948141")</f>
        <v>968948141</v>
      </c>
      <c r="G745" s="65" t="str">
        <f>IFERROR(__xludf.DUMMYFUNCTION("""COMPUTED_VALUE"""),"antonysmithgg2210@gmail.com")</f>
        <v>antonysmithgg2210@gmail.com</v>
      </c>
      <c r="H745" s="65"/>
      <c r="I745" s="65"/>
      <c r="J745" s="65"/>
      <c r="K745" s="65" t="str">
        <f>IFERROR(__xludf.DUMMYFUNCTION("""COMPUTED_VALUE"""),"PENDIENTE CONFIRMACION")</f>
        <v>PENDIENTE CONFIRMACION</v>
      </c>
      <c r="L745" s="65" t="str">
        <f>IFERROR(__xludf.DUMMYFUNCTION("""COMPUTED_VALUE"""),"CON RECAUDO")</f>
        <v>CON RECAUDO</v>
      </c>
      <c r="M745" s="65" t="str">
        <f>IFERROR(__xludf.DUMMYFUNCTION("""COMPUTED_VALUE"""),"ZAMORA CHINCHIPE")</f>
        <v>ZAMORA CHINCHIPE</v>
      </c>
      <c r="N745" s="65" t="str">
        <f>IFERROR(__xludf.DUMMYFUNCTION("""COMPUTED_VALUE"""),"ZUMBA")</f>
        <v>ZUMBA</v>
      </c>
      <c r="O745" s="65" t="str">
        <f>IFERROR(__xludf.DUMMYFUNCTION("""COMPUTED_VALUE"""),"Av del colegio Barrio san Antonio -")</f>
        <v>Av del colegio Barrio san Antonio -</v>
      </c>
      <c r="P745" s="65"/>
      <c r="Q745" s="65" t="str">
        <f>IFERROR(__xludf.DUMMYFUNCTION("""COMPUTED_VALUE"""),"SERVIENTREGA")</f>
        <v>SERVIENTREGA</v>
      </c>
      <c r="R745" s="65">
        <f>IFERROR(__xludf.DUMMYFUNCTION("""COMPUTED_VALUE"""),20.0)</f>
        <v>20</v>
      </c>
      <c r="S745" s="65"/>
      <c r="T745" s="65">
        <f>IFERROR(__xludf.DUMMYFUNCTION("""COMPUTED_VALUE"""),7.67)</f>
        <v>7.67</v>
      </c>
      <c r="U745" s="65">
        <f>IFERROR(__xludf.DUMMYFUNCTION("""COMPUTED_VALUE"""),0.0)</f>
        <v>0</v>
      </c>
      <c r="V745" s="65">
        <f>IFERROR(__xludf.DUMMYFUNCTION("""COMPUTED_VALUE"""),0.0)</f>
        <v>0</v>
      </c>
      <c r="W745" s="65">
        <f>IFERROR(__xludf.DUMMYFUNCTION("""COMPUTED_VALUE"""),0.0)</f>
        <v>0</v>
      </c>
      <c r="X745" s="65">
        <f>IFERROR(__xludf.DUMMYFUNCTION("""COMPUTED_VALUE"""),2.4)</f>
        <v>2.4</v>
      </c>
      <c r="Y745" s="65">
        <f>IFERROR(__xludf.DUMMYFUNCTION("""COMPUTED_VALUE"""),2.4)</f>
        <v>2.4</v>
      </c>
      <c r="Z745" s="65">
        <f>IFERROR(__xludf.DUMMYFUNCTION("""COMPUTED_VALUE"""),120732.0)</f>
        <v>120732</v>
      </c>
      <c r="AA745" s="65" t="str">
        <f>IFERROR(__xludf.DUMMYFUNCTION("""COMPUTED_VALUE"""),"PROV-LMPVT")</f>
        <v>PROV-LMPVT</v>
      </c>
      <c r="AB745" s="65"/>
      <c r="AC745" s="65" t="str">
        <f>IFERROR(__xludf.DUMMYFUNCTION("""COMPUTED_VALUE"""),"LIMPIADOR DE PARABRISAS Y VENTANAS")</f>
        <v>LIMPIADOR DE PARABRISAS Y VENTANAS</v>
      </c>
      <c r="AD745" s="65"/>
      <c r="AE745" s="65">
        <f>IFERROR(__xludf.DUMMYFUNCTION("""COMPUTED_VALUE"""),1.0)</f>
        <v>1</v>
      </c>
      <c r="AF745" s="65"/>
      <c r="AG745" s="65"/>
      <c r="AH745" s="65"/>
      <c r="AI745" s="65"/>
      <c r="AJ745" s="65"/>
      <c r="AK745" s="65"/>
      <c r="AL745" s="65"/>
      <c r="AM745" s="65"/>
      <c r="AN745" s="65"/>
      <c r="AO745" s="65"/>
      <c r="AP745" s="65"/>
      <c r="AQ745" s="65"/>
      <c r="AR745" s="65"/>
      <c r="AS745" s="65"/>
      <c r="AT745" s="65" t="str">
        <f>IFERROR(__xludf.DUMMYFUNCTION("""COMPUTED_VALUE"""),"SHOPIFY")</f>
        <v>SHOPIFY</v>
      </c>
      <c r="AU745" s="65" t="str">
        <f>IFERROR(__xludf.DUMMYFUNCTION("""COMPUTED_VALUE"""),"IMPORTEX EC")</f>
        <v>IMPORTEX EC</v>
      </c>
      <c r="AV745" s="65" t="str">
        <f>IFERROR(__xludf.DUMMYFUNCTION("""COMPUTED_VALUE"""),"6503875903532")</f>
        <v>6503875903532</v>
      </c>
      <c r="AW745" s="65">
        <f>IFERROR(__xludf.DUMMYFUNCTION("""COMPUTED_VALUE"""),6141.0)</f>
        <v>6141</v>
      </c>
      <c r="AX745" s="65"/>
      <c r="AY745" s="65"/>
      <c r="AZ745" s="65"/>
      <c r="BA745" s="65"/>
    </row>
    <row r="746">
      <c r="A746" s="65" t="str">
        <f>IFERROR(__xludf.DUMMYFUNCTION("""COMPUTED_VALUE"""),"27-03-2026")</f>
        <v>27-03-2026</v>
      </c>
      <c r="B746" s="65">
        <f>IFERROR(__xludf.DUMMYFUNCTION("""COMPUTED_VALUE"""),4509734.0)</f>
        <v>4509734</v>
      </c>
      <c r="C746" s="65" t="str">
        <f>IFERROR(__xludf.DUMMYFUNCTION("""COMPUTED_VALUE"""),"13:35")</f>
        <v>13:35</v>
      </c>
      <c r="D746" s="65" t="str">
        <f>IFERROR(__xludf.DUMMYFUNCTION("""COMPUTED_VALUE"""),"14-02-2026")</f>
        <v>14-02-2026</v>
      </c>
      <c r="E746" s="65" t="str">
        <f>IFERROR(__xludf.DUMMYFUNCTION("""COMPUTED_VALUE"""),"Daniel Valdez")</f>
        <v>Daniel Valdez</v>
      </c>
      <c r="F746" s="65" t="str">
        <f>IFERROR(__xludf.DUMMYFUNCTION("""COMPUTED_VALUE"""),"996462700")</f>
        <v>996462700</v>
      </c>
      <c r="G746" s="65" t="str">
        <f>IFERROR(__xludf.DUMMYFUNCTION("""COMPUTED_VALUE"""),"danielvaldez92@hotmail.com")</f>
        <v>danielvaldez92@hotmail.com</v>
      </c>
      <c r="H746" s="65"/>
      <c r="I746" s="65"/>
      <c r="J746" s="65" t="str">
        <f>IFERROR(__xludf.DUMMYFUNCTION("""COMPUTED_VALUE"""),"D001340339")</f>
        <v>D001340339</v>
      </c>
      <c r="K746" s="65" t="str">
        <f>IFERROR(__xludf.DUMMYFUNCTION("""COMPUTED_VALUE"""),"ENTREGADO")</f>
        <v>ENTREGADO</v>
      </c>
      <c r="L746" s="65" t="str">
        <f>IFERROR(__xludf.DUMMYFUNCTION("""COMPUTED_VALUE"""),"CON RECAUDO")</f>
        <v>CON RECAUDO</v>
      </c>
      <c r="M746" s="65" t="str">
        <f>IFERROR(__xludf.DUMMYFUNCTION("""COMPUTED_VALUE"""),"GUAYAS")</f>
        <v>GUAYAS</v>
      </c>
      <c r="N746" s="65" t="str">
        <f>IFERROR(__xludf.DUMMYFUNCTION("""COMPUTED_VALUE"""),"GUAYAQUIL")</f>
        <v>GUAYAQUIL</v>
      </c>
      <c r="O746" s="65" t="str">
        <f>IFERROR(__xludf.DUMMYFUNCTION("""COMPUTED_VALUE"""),"Av Rodriguez Bonin Coop Jardines del Salado mz 188 v5 primera cuadra a la derecha, tercera casa -")</f>
        <v>Av Rodriguez Bonin Coop Jardines del Salado mz 188 v5 primera cuadra a la derecha, tercera casa -</v>
      </c>
      <c r="P746" s="65"/>
      <c r="Q746" s="65" t="str">
        <f>IFERROR(__xludf.DUMMYFUNCTION("""COMPUTED_VALUE"""),"GINTRACOM")</f>
        <v>GINTRACOM</v>
      </c>
      <c r="R746" s="65">
        <f>IFERROR(__xludf.DUMMYFUNCTION("""COMPUTED_VALUE"""),30.0)</f>
        <v>30</v>
      </c>
      <c r="S746" s="65">
        <f>IFERROR(__xludf.DUMMYFUNCTION("""COMPUTED_VALUE"""),18.25)</f>
        <v>18.25</v>
      </c>
      <c r="T746" s="65">
        <f>IFERROR(__xludf.DUMMYFUNCTION("""COMPUTED_VALUE"""),4.55)</f>
        <v>4.55</v>
      </c>
      <c r="U746" s="65">
        <f>IFERROR(__xludf.DUMMYFUNCTION("""COMPUTED_VALUE"""),0.0)</f>
        <v>0</v>
      </c>
      <c r="V746" s="65">
        <f>IFERROR(__xludf.DUMMYFUNCTION("""COMPUTED_VALUE"""),0.0)</f>
        <v>0</v>
      </c>
      <c r="W746" s="65">
        <f>IFERROR(__xludf.DUMMYFUNCTION("""COMPUTED_VALUE"""),0.0)</f>
        <v>0</v>
      </c>
      <c r="X746" s="65">
        <f>IFERROR(__xludf.DUMMYFUNCTION("""COMPUTED_VALUE"""),2.4)</f>
        <v>2.4</v>
      </c>
      <c r="Y746" s="65">
        <f>IFERROR(__xludf.DUMMYFUNCTION("""COMPUTED_VALUE"""),7.2)</f>
        <v>7.2</v>
      </c>
      <c r="Z746" s="65">
        <f>IFERROR(__xludf.DUMMYFUNCTION("""COMPUTED_VALUE"""),120732.0)</f>
        <v>120732</v>
      </c>
      <c r="AA746" s="65" t="str">
        <f>IFERROR(__xludf.DUMMYFUNCTION("""COMPUTED_VALUE"""),"PROV-LMPVT")</f>
        <v>PROV-LMPVT</v>
      </c>
      <c r="AB746" s="65"/>
      <c r="AC746" s="65" t="str">
        <f>IFERROR(__xludf.DUMMYFUNCTION("""COMPUTED_VALUE"""),"LIMPIADOR DE PARABRISAS Y VENTANAS")</f>
        <v>LIMPIADOR DE PARABRISAS Y VENTANAS</v>
      </c>
      <c r="AD746" s="65"/>
      <c r="AE746" s="65">
        <f>IFERROR(__xludf.DUMMYFUNCTION("""COMPUTED_VALUE"""),3.0)</f>
        <v>3</v>
      </c>
      <c r="AF746" s="65"/>
      <c r="AG746" s="65"/>
      <c r="AH746" s="65"/>
      <c r="AI746" s="65"/>
      <c r="AJ746" s="65"/>
      <c r="AK746" s="65"/>
      <c r="AL746" s="65"/>
      <c r="AM746" s="65"/>
      <c r="AN746" s="65" t="str">
        <f>IFERROR(__xludf.DUMMYFUNCTION("""COMPUTED_VALUE"""),"12:01")</f>
        <v>12:01</v>
      </c>
      <c r="AO746" s="65" t="str">
        <f>IFERROR(__xludf.DUMMYFUNCTION("""COMPUTED_VALUE"""),"20-02-2026")</f>
        <v>20-02-2026</v>
      </c>
      <c r="AP746" s="65" t="str">
        <f>IFERROR(__xludf.DUMMYFUNCTION("""COMPUTED_VALUE"""),"EN REPARTO")</f>
        <v>EN REPARTO</v>
      </c>
      <c r="AQ746" s="65" t="str">
        <f>IFERROR(__xludf.DUMMYFUNCTION("""COMPUTED_VALUE"""),"EN REPARTO")</f>
        <v>EN REPARTO</v>
      </c>
      <c r="AR746" s="65"/>
      <c r="AS746" s="65"/>
      <c r="AT746" s="65" t="str">
        <f>IFERROR(__xludf.DUMMYFUNCTION("""COMPUTED_VALUE"""),"SHOPIFY")</f>
        <v>SHOPIFY</v>
      </c>
      <c r="AU746" s="65" t="str">
        <f>IFERROR(__xludf.DUMMYFUNCTION("""COMPUTED_VALUE"""),"IMPORTEX EC")</f>
        <v>IMPORTEX EC</v>
      </c>
      <c r="AV746" s="65" t="str">
        <f>IFERROR(__xludf.DUMMYFUNCTION("""COMPUTED_VALUE"""),"6503564902444")</f>
        <v>6503564902444</v>
      </c>
      <c r="AW746" s="65">
        <f>IFERROR(__xludf.DUMMYFUNCTION("""COMPUTED_VALUE"""),6140.0)</f>
        <v>6140</v>
      </c>
      <c r="AX746" s="65"/>
      <c r="AY746" s="65" t="str">
        <f>IFERROR(__xludf.DUMMYFUNCTION("""COMPUTED_VALUE"""),"19/02/2026")</f>
        <v>19/02/2026</v>
      </c>
      <c r="AZ746" s="65"/>
      <c r="BA746" s="65"/>
    </row>
    <row r="747">
      <c r="A747" s="65" t="str">
        <f>IFERROR(__xludf.DUMMYFUNCTION("""COMPUTED_VALUE"""),"27-03-2026")</f>
        <v>27-03-2026</v>
      </c>
      <c r="B747" s="65">
        <f>IFERROR(__xludf.DUMMYFUNCTION("""COMPUTED_VALUE"""),4507830.0)</f>
        <v>4507830</v>
      </c>
      <c r="C747" s="65" t="str">
        <f>IFERROR(__xludf.DUMMYFUNCTION("""COMPUTED_VALUE"""),"09:28")</f>
        <v>09:28</v>
      </c>
      <c r="D747" s="65" t="str">
        <f>IFERROR(__xludf.DUMMYFUNCTION("""COMPUTED_VALUE"""),"14-02-2026")</f>
        <v>14-02-2026</v>
      </c>
      <c r="E747" s="65" t="str">
        <f>IFERROR(__xludf.DUMMYFUNCTION("""COMPUTED_VALUE"""),"Raul Antonio Murillo loor")</f>
        <v>Raul Antonio Murillo loor</v>
      </c>
      <c r="F747" s="65" t="str">
        <f>IFERROR(__xludf.DUMMYFUNCTION("""COMPUTED_VALUE"""),"996079314")</f>
        <v>996079314</v>
      </c>
      <c r="G747" s="65" t="str">
        <f>IFERROR(__xludf.DUMMYFUNCTION("""COMPUTED_VALUE"""),"raul18-antony@hotmail.com")</f>
        <v>raul18-antony@hotmail.com</v>
      </c>
      <c r="H747" s="65"/>
      <c r="I747" s="65"/>
      <c r="J747" s="65" t="str">
        <f>IFERROR(__xludf.DUMMYFUNCTION("""COMPUTED_VALUE"""),"LC52905254")</f>
        <v>LC52905254</v>
      </c>
      <c r="K747" s="65" t="str">
        <f>IFERROR(__xludf.DUMMYFUNCTION("""COMPUTED_VALUE"""),"ENTREGADO")</f>
        <v>ENTREGADO</v>
      </c>
      <c r="L747" s="65" t="str">
        <f>IFERROR(__xludf.DUMMYFUNCTION("""COMPUTED_VALUE"""),"CON RECAUDO")</f>
        <v>CON RECAUDO</v>
      </c>
      <c r="M747" s="65" t="str">
        <f>IFERROR(__xludf.DUMMYFUNCTION("""COMPUTED_VALUE"""),"MANABI")</f>
        <v>MANABI</v>
      </c>
      <c r="N747" s="65" t="str">
        <f>IFERROR(__xludf.DUMMYFUNCTION("""COMPUTED_VALUE"""),"JIPIJAPA")</f>
        <v>JIPIJAPA</v>
      </c>
      <c r="O747" s="65" t="str">
        <f>IFERROR(__xludf.DUMMYFUNCTION("""COMPUTED_VALUE"""),"Calle 10 de agosto y Febres Cordero Centro -")</f>
        <v>Calle 10 de agosto y Febres Cordero Centro -</v>
      </c>
      <c r="P747" s="65"/>
      <c r="Q747" s="65" t="str">
        <f>IFERROR(__xludf.DUMMYFUNCTION("""COMPUTED_VALUE"""),"LAARCOURIER")</f>
        <v>LAARCOURIER</v>
      </c>
      <c r="R747" s="65">
        <f>IFERROR(__xludf.DUMMYFUNCTION("""COMPUTED_VALUE"""),20.0)</f>
        <v>20</v>
      </c>
      <c r="S747" s="65">
        <f>IFERROR(__xludf.DUMMYFUNCTION("""COMPUTED_VALUE"""),11.45)</f>
        <v>11.45</v>
      </c>
      <c r="T747" s="65">
        <f>IFERROR(__xludf.DUMMYFUNCTION("""COMPUTED_VALUE"""),6.15)</f>
        <v>6.15</v>
      </c>
      <c r="U747" s="65">
        <f>IFERROR(__xludf.DUMMYFUNCTION("""COMPUTED_VALUE"""),0.0)</f>
        <v>0</v>
      </c>
      <c r="V747" s="65">
        <f>IFERROR(__xludf.DUMMYFUNCTION("""COMPUTED_VALUE"""),0.0)</f>
        <v>0</v>
      </c>
      <c r="W747" s="65">
        <f>IFERROR(__xludf.DUMMYFUNCTION("""COMPUTED_VALUE"""),0.0)</f>
        <v>0</v>
      </c>
      <c r="X747" s="65">
        <f>IFERROR(__xludf.DUMMYFUNCTION("""COMPUTED_VALUE"""),2.4)</f>
        <v>2.4</v>
      </c>
      <c r="Y747" s="65">
        <f>IFERROR(__xludf.DUMMYFUNCTION("""COMPUTED_VALUE"""),2.4)</f>
        <v>2.4</v>
      </c>
      <c r="Z747" s="65">
        <f>IFERROR(__xludf.DUMMYFUNCTION("""COMPUTED_VALUE"""),120732.0)</f>
        <v>120732</v>
      </c>
      <c r="AA747" s="65" t="str">
        <f>IFERROR(__xludf.DUMMYFUNCTION("""COMPUTED_VALUE"""),"PROV-LMPVT")</f>
        <v>PROV-LMPVT</v>
      </c>
      <c r="AB747" s="65"/>
      <c r="AC747" s="65" t="str">
        <f>IFERROR(__xludf.DUMMYFUNCTION("""COMPUTED_VALUE"""),"LIMPIADOR DE PARABRISAS Y VENTANAS")</f>
        <v>LIMPIADOR DE PARABRISAS Y VENTANAS</v>
      </c>
      <c r="AD747" s="65"/>
      <c r="AE747" s="65">
        <f>IFERROR(__xludf.DUMMYFUNCTION("""COMPUTED_VALUE"""),1.0)</f>
        <v>1</v>
      </c>
      <c r="AF747" s="65"/>
      <c r="AG747" s="65"/>
      <c r="AH747" s="65"/>
      <c r="AI747" s="65"/>
      <c r="AJ747" s="65"/>
      <c r="AK747" s="65"/>
      <c r="AL747" s="65"/>
      <c r="AM747" s="65"/>
      <c r="AN747" s="65" t="str">
        <f>IFERROR(__xludf.DUMMYFUNCTION("""COMPUTED_VALUE"""),"10:10")</f>
        <v>10:10</v>
      </c>
      <c r="AO747" s="65" t="str">
        <f>IFERROR(__xludf.DUMMYFUNCTION("""COMPUTED_VALUE"""),"20-02-2026")</f>
        <v>20-02-2026</v>
      </c>
      <c r="AP747" s="65" t="str">
        <f>IFERROR(__xludf.DUMMYFUNCTION("""COMPUTED_VALUE"""),"ENTREGADO")</f>
        <v>ENTREGADO</v>
      </c>
      <c r="AQ747" s="65" t="str">
        <f>IFERROR(__xludf.DUMMYFUNCTION("""COMPUTED_VALUE"""),"ENTREGADO")</f>
        <v>ENTREGADO</v>
      </c>
      <c r="AR747" s="65"/>
      <c r="AS747" s="65"/>
      <c r="AT747" s="65" t="str">
        <f>IFERROR(__xludf.DUMMYFUNCTION("""COMPUTED_VALUE"""),"SHOPIFY")</f>
        <v>SHOPIFY</v>
      </c>
      <c r="AU747" s="65" t="str">
        <f>IFERROR(__xludf.DUMMYFUNCTION("""COMPUTED_VALUE"""),"IMPORTEX EC")</f>
        <v>IMPORTEX EC</v>
      </c>
      <c r="AV747" s="65" t="str">
        <f>IFERROR(__xludf.DUMMYFUNCTION("""COMPUTED_VALUE"""),"6502944047148")</f>
        <v>6502944047148</v>
      </c>
      <c r="AW747" s="65">
        <f>IFERROR(__xludf.DUMMYFUNCTION("""COMPUTED_VALUE"""),6136.0)</f>
        <v>6136</v>
      </c>
      <c r="AX747" s="65"/>
      <c r="AY747" s="65" t="str">
        <f>IFERROR(__xludf.DUMMYFUNCTION("""COMPUTED_VALUE"""),"19/02/2026")</f>
        <v>19/02/2026</v>
      </c>
      <c r="AZ747" s="65"/>
      <c r="BA747" s="65"/>
    </row>
    <row r="748">
      <c r="A748" s="65" t="str">
        <f>IFERROR(__xludf.DUMMYFUNCTION("""COMPUTED_VALUE"""),"27-03-2026")</f>
        <v>27-03-2026</v>
      </c>
      <c r="B748" s="65">
        <f>IFERROR(__xludf.DUMMYFUNCTION("""COMPUTED_VALUE"""),4507591.0)</f>
        <v>4507591</v>
      </c>
      <c r="C748" s="65" t="str">
        <f>IFERROR(__xludf.DUMMYFUNCTION("""COMPUTED_VALUE"""),"08:59")</f>
        <v>08:59</v>
      </c>
      <c r="D748" s="65" t="str">
        <f>IFERROR(__xludf.DUMMYFUNCTION("""COMPUTED_VALUE"""),"14-02-2026")</f>
        <v>14-02-2026</v>
      </c>
      <c r="E748" s="65" t="str">
        <f>IFERROR(__xludf.DUMMYFUNCTION("""COMPUTED_VALUE"""),"Mayra Lorena Shigla Yumaglla")</f>
        <v>Mayra Lorena Shigla Yumaglla</v>
      </c>
      <c r="F748" s="65" t="str">
        <f>IFERROR(__xludf.DUMMYFUNCTION("""COMPUTED_VALUE"""),"989314284")</f>
        <v>989314284</v>
      </c>
      <c r="G748" s="65" t="str">
        <f>IFERROR(__xludf.DUMMYFUNCTION("""COMPUTED_VALUE"""),"mayrashigla1990@gmail.com")</f>
        <v>mayrashigla1990@gmail.com</v>
      </c>
      <c r="H748" s="65"/>
      <c r="I748" s="65"/>
      <c r="J748" s="65" t="str">
        <f>IFERROR(__xludf.DUMMYFUNCTION("""COMPUTED_VALUE"""),"186793787")</f>
        <v>186793787</v>
      </c>
      <c r="K748" s="65" t="str">
        <f>IFERROR(__xludf.DUMMYFUNCTION("""COMPUTED_VALUE"""),"DEVOLUCION")</f>
        <v>DEVOLUCION</v>
      </c>
      <c r="L748" s="65" t="str">
        <f>IFERROR(__xludf.DUMMYFUNCTION("""COMPUTED_VALUE"""),"CON RECAUDO")</f>
        <v>CON RECAUDO</v>
      </c>
      <c r="M748" s="65" t="str">
        <f>IFERROR(__xludf.DUMMYFUNCTION("""COMPUTED_VALUE"""),"CHIMBORAZO")</f>
        <v>CHIMBORAZO</v>
      </c>
      <c r="N748" s="65" t="str">
        <f>IFERROR(__xludf.DUMMYFUNCTION("""COMPUTED_VALUE"""),"PALLATANGA")</f>
        <v>PALLATANGA</v>
      </c>
      <c r="O748" s="65" t="str">
        <f>IFERROR(__xludf.DUMMYFUNCTION("""COMPUTED_VALUE"""),"Av. velasco Ibarra y 17 de abril Barrio el progreso -")</f>
        <v>Av. velasco Ibarra y 17 de abril Barrio el progreso -</v>
      </c>
      <c r="P748" s="65"/>
      <c r="Q748" s="65" t="str">
        <f>IFERROR(__xludf.DUMMYFUNCTION("""COMPUTED_VALUE"""),"SERVIENTREGA")</f>
        <v>SERVIENTREGA</v>
      </c>
      <c r="R748" s="65">
        <f>IFERROR(__xludf.DUMMYFUNCTION("""COMPUTED_VALUE"""),22.0)</f>
        <v>22</v>
      </c>
      <c r="S748" s="65"/>
      <c r="T748" s="65">
        <f>IFERROR(__xludf.DUMMYFUNCTION("""COMPUTED_VALUE"""),7.7)</f>
        <v>7.7</v>
      </c>
      <c r="U748" s="65">
        <f>IFERROR(__xludf.DUMMYFUNCTION("""COMPUTED_VALUE"""),0.0)</f>
        <v>0</v>
      </c>
      <c r="V748" s="65">
        <f>IFERROR(__xludf.DUMMYFUNCTION("""COMPUTED_VALUE"""),0.0)</f>
        <v>0</v>
      </c>
      <c r="W748" s="65">
        <f>IFERROR(__xludf.DUMMYFUNCTION("""COMPUTED_VALUE"""),0.0)</f>
        <v>0</v>
      </c>
      <c r="X748" s="65">
        <f>IFERROR(__xludf.DUMMYFUNCTION("""COMPUTED_VALUE"""),2.6)</f>
        <v>2.6</v>
      </c>
      <c r="Y748" s="65">
        <f>IFERROR(__xludf.DUMMYFUNCTION("""COMPUTED_VALUE"""),5.2)</f>
        <v>5.2</v>
      </c>
      <c r="Z748" s="65">
        <f>IFERROR(__xludf.DUMMYFUNCTION("""COMPUTED_VALUE"""),121983.0)</f>
        <v>121983</v>
      </c>
      <c r="AA748" s="65" t="str">
        <f>IFERROR(__xludf.DUMMYFUNCTION("""COMPUTED_VALUE"""),"PROV-CHLLCF")</f>
        <v>PROV-CHLLCF</v>
      </c>
      <c r="AB748" s="65"/>
      <c r="AC748" s="65" t="str">
        <f>IFERROR(__xludf.DUMMYFUNCTION("""COMPUTED_VALUE"""),"CUCHILLO PARA CHEF")</f>
        <v>CUCHILLO PARA CHEF</v>
      </c>
      <c r="AD748" s="65"/>
      <c r="AE748" s="65">
        <f>IFERROR(__xludf.DUMMYFUNCTION("""COMPUTED_VALUE"""),2.0)</f>
        <v>2</v>
      </c>
      <c r="AF748" s="65" t="str">
        <f>IFERROR(__xludf.DUMMYFUNCTION("""COMPUTED_VALUE"""),"DEVUELTO DE")</f>
        <v>DEVUELTO DE</v>
      </c>
      <c r="AG748" s="65" t="str">
        <f>IFERROR(__xludf.DUMMYFUNCTION("""COMPUTED_VALUE"""),"NO")</f>
        <v>NO</v>
      </c>
      <c r="AH748" s="65" t="str">
        <f>IFERROR(__xludf.DUMMYFUNCTION("""COMPUTED_VALUE"""),"14:13")</f>
        <v>14:13</v>
      </c>
      <c r="AI748" s="65" t="str">
        <f>IFERROR(__xludf.DUMMYFUNCTION("""COMPUTED_VALUE"""),"03-03-2026")</f>
        <v>03-03-2026</v>
      </c>
      <c r="AJ748" s="65"/>
      <c r="AK748" s="65"/>
      <c r="AL748" s="65"/>
      <c r="AM748" s="65"/>
      <c r="AN748" s="65" t="str">
        <f>IFERROR(__xludf.DUMMYFUNCTION("""COMPUTED_VALUE"""),"15:37")</f>
        <v>15:37</v>
      </c>
      <c r="AO748" s="65" t="str">
        <f>IFERROR(__xludf.DUMMYFUNCTION("""COMPUTED_VALUE"""),"04-03-2026")</f>
        <v>04-03-2026</v>
      </c>
      <c r="AP748" s="65" t="str">
        <f>IFERROR(__xludf.DUMMYFUNCTION("""COMPUTED_VALUE"""),"EN DISTRIBUCIÓN A CLIENTE")</f>
        <v>EN DISTRIBUCIÓN A CLIENTE</v>
      </c>
      <c r="AQ748" s="65" t="str">
        <f>IFERROR(__xludf.DUMMYFUNCTION("""COMPUTED_VALUE"""),".")</f>
        <v>.</v>
      </c>
      <c r="AR748" s="65"/>
      <c r="AS748" s="65"/>
      <c r="AT748" s="65" t="str">
        <f>IFERROR(__xludf.DUMMYFUNCTION("""COMPUTED_VALUE"""),"SHOPIFY")</f>
        <v>SHOPIFY</v>
      </c>
      <c r="AU748" s="65" t="str">
        <f>IFERROR(__xludf.DUMMYFUNCTION("""COMPUTED_VALUE"""),"IMPORTEX EC")</f>
        <v>IMPORTEX EC</v>
      </c>
      <c r="AV748" s="65" t="str">
        <f>IFERROR(__xludf.DUMMYFUNCTION("""COMPUTED_VALUE"""),"6502895910956")</f>
        <v>6502895910956</v>
      </c>
      <c r="AW748" s="65">
        <f>IFERROR(__xludf.DUMMYFUNCTION("""COMPUTED_VALUE"""),6135.0)</f>
        <v>6135</v>
      </c>
      <c r="AX748" s="65"/>
      <c r="AY748" s="65" t="str">
        <f>IFERROR(__xludf.DUMMYFUNCTION("""COMPUTED_VALUE"""),"19/02/2026")</f>
        <v>19/02/2026</v>
      </c>
      <c r="AZ748" s="65"/>
      <c r="BA748" s="65"/>
    </row>
    <row r="749">
      <c r="A749" s="65" t="str">
        <f>IFERROR(__xludf.DUMMYFUNCTION("""COMPUTED_VALUE"""),"27-03-2026")</f>
        <v>27-03-2026</v>
      </c>
      <c r="B749" s="65">
        <f>IFERROR(__xludf.DUMMYFUNCTION("""COMPUTED_VALUE"""),4507478.0)</f>
        <v>4507478</v>
      </c>
      <c r="C749" s="65" t="str">
        <f>IFERROR(__xludf.DUMMYFUNCTION("""COMPUTED_VALUE"""),"08:47")</f>
        <v>08:47</v>
      </c>
      <c r="D749" s="65" t="str">
        <f>IFERROR(__xludf.DUMMYFUNCTION("""COMPUTED_VALUE"""),"14-02-2026")</f>
        <v>14-02-2026</v>
      </c>
      <c r="E749" s="65" t="str">
        <f>IFERROR(__xludf.DUMMYFUNCTION("""COMPUTED_VALUE"""),"Jorge Males")</f>
        <v>Jorge Males</v>
      </c>
      <c r="F749" s="65" t="str">
        <f>IFERROR(__xludf.DUMMYFUNCTION("""COMPUTED_VALUE"""),"960753126")</f>
        <v>960753126</v>
      </c>
      <c r="G749" s="65" t="str">
        <f>IFERROR(__xludf.DUMMYFUNCTION("""COMPUTED_VALUE"""),"malesgeorje@gmail.com")</f>
        <v>malesgeorje@gmail.com</v>
      </c>
      <c r="H749" s="65"/>
      <c r="I749" s="65"/>
      <c r="J749" s="65" t="str">
        <f>IFERROR(__xludf.DUMMYFUNCTION("""COMPUTED_VALUE"""),"D001340340")</f>
        <v>D001340340</v>
      </c>
      <c r="K749" s="65" t="str">
        <f>IFERROR(__xludf.DUMMYFUNCTION("""COMPUTED_VALUE"""),"ENTREGADO")</f>
        <v>ENTREGADO</v>
      </c>
      <c r="L749" s="65" t="str">
        <f>IFERROR(__xludf.DUMMYFUNCTION("""COMPUTED_VALUE"""),"CON RECAUDO")</f>
        <v>CON RECAUDO</v>
      </c>
      <c r="M749" s="65" t="str">
        <f>IFERROR(__xludf.DUMMYFUNCTION("""COMPUTED_VALUE"""),"IMBABURA")</f>
        <v>IMBABURA</v>
      </c>
      <c r="N749" s="65" t="str">
        <f>IFERROR(__xludf.DUMMYFUNCTION("""COMPUTED_VALUE"""),"IBARRA")</f>
        <v>IBARRA</v>
      </c>
      <c r="O749" s="65" t="str">
        <f>IFERROR(__xludf.DUMMYFUNCTION("""COMPUTED_VALUE"""),"Jorge Carrera 364 y Luciano Andrade Sector ejido caranqui barrio 20 de octubre -")</f>
        <v>Jorge Carrera 364 y Luciano Andrade Sector ejido caranqui barrio 20 de octubre -</v>
      </c>
      <c r="P749" s="65"/>
      <c r="Q749" s="65" t="str">
        <f>IFERROR(__xludf.DUMMYFUNCTION("""COMPUTED_VALUE"""),"GINTRACOM")</f>
        <v>GINTRACOM</v>
      </c>
      <c r="R749" s="65">
        <f>IFERROR(__xludf.DUMMYFUNCTION("""COMPUTED_VALUE"""),22.0)</f>
        <v>22</v>
      </c>
      <c r="S749" s="65">
        <f>IFERROR(__xludf.DUMMYFUNCTION("""COMPUTED_VALUE"""),10.96)</f>
        <v>10.96</v>
      </c>
      <c r="T749" s="65">
        <f>IFERROR(__xludf.DUMMYFUNCTION("""COMPUTED_VALUE"""),5.84)</f>
        <v>5.84</v>
      </c>
      <c r="U749" s="65">
        <f>IFERROR(__xludf.DUMMYFUNCTION("""COMPUTED_VALUE"""),0.0)</f>
        <v>0</v>
      </c>
      <c r="V749" s="65">
        <f>IFERROR(__xludf.DUMMYFUNCTION("""COMPUTED_VALUE"""),0.0)</f>
        <v>0</v>
      </c>
      <c r="W749" s="65">
        <f>IFERROR(__xludf.DUMMYFUNCTION("""COMPUTED_VALUE"""),0.0)</f>
        <v>0</v>
      </c>
      <c r="X749" s="65">
        <f>IFERROR(__xludf.DUMMYFUNCTION("""COMPUTED_VALUE"""),2.6)</f>
        <v>2.6</v>
      </c>
      <c r="Y749" s="65">
        <f>IFERROR(__xludf.DUMMYFUNCTION("""COMPUTED_VALUE"""),5.2)</f>
        <v>5.2</v>
      </c>
      <c r="Z749" s="65">
        <f>IFERROR(__xludf.DUMMYFUNCTION("""COMPUTED_VALUE"""),121983.0)</f>
        <v>121983</v>
      </c>
      <c r="AA749" s="65" t="str">
        <f>IFERROR(__xludf.DUMMYFUNCTION("""COMPUTED_VALUE"""),"PROV-CHLLCF")</f>
        <v>PROV-CHLLCF</v>
      </c>
      <c r="AB749" s="65"/>
      <c r="AC749" s="65" t="str">
        <f>IFERROR(__xludf.DUMMYFUNCTION("""COMPUTED_VALUE"""),"CUCHILLO PARA CHEF")</f>
        <v>CUCHILLO PARA CHEF</v>
      </c>
      <c r="AD749" s="65"/>
      <c r="AE749" s="65">
        <f>IFERROR(__xludf.DUMMYFUNCTION("""COMPUTED_VALUE"""),2.0)</f>
        <v>2</v>
      </c>
      <c r="AF749" s="65" t="str">
        <f>IFERROR(__xludf.DUMMYFUNCTION("""COMPUTED_VALUE"""),"DESTINATARIO NO CONTESTA LLAMADAS NI WHATSAPP")</f>
        <v>DESTINATARIO NO CONTESTA LLAMADAS NI WHATSAPP</v>
      </c>
      <c r="AG749" s="65" t="str">
        <f>IFERROR(__xludf.DUMMYFUNCTION("""COMPUTED_VALUE"""),"SI")</f>
        <v>SI</v>
      </c>
      <c r="AH749" s="65" t="str">
        <f>IFERROR(__xludf.DUMMYFUNCTION("""COMPUTED_VALUE"""),"19:03")</f>
        <v>19:03</v>
      </c>
      <c r="AI749" s="65" t="str">
        <f>IFERROR(__xludf.DUMMYFUNCTION("""COMPUTED_VALUE"""),"21-02-2026")</f>
        <v>21-02-2026</v>
      </c>
      <c r="AJ749" s="65" t="str">
        <f>IFERROR(__xludf.DUMMYFUNCTION("""COMPUTED_VALUE"""),"CLIENTE SOLICITA LA ENTREGA INMEDIATA")</f>
        <v>CLIENTE SOLICITA LA ENTREGA INMEDIATA</v>
      </c>
      <c r="AK749" s="65" t="str">
        <f>IFERROR(__xludf.DUMMYFUNCTION("""COMPUTED_VALUE"""),"11:42")</f>
        <v>11:42</v>
      </c>
      <c r="AL749" s="65" t="str">
        <f>IFERROR(__xludf.DUMMYFUNCTION("""COMPUTED_VALUE"""),"24-02-2026")</f>
        <v>24-02-2026</v>
      </c>
      <c r="AM749" s="65"/>
      <c r="AN749" s="65" t="str">
        <f>IFERROR(__xludf.DUMMYFUNCTION("""COMPUTED_VALUE"""),"18:05")</f>
        <v>18:05</v>
      </c>
      <c r="AO749" s="65" t="str">
        <f>IFERROR(__xludf.DUMMYFUNCTION("""COMPUTED_VALUE"""),"26-02-2026")</f>
        <v>26-02-2026</v>
      </c>
      <c r="AP749" s="65" t="str">
        <f>IFERROR(__xludf.DUMMYFUNCTION("""COMPUTED_VALUE"""),"ENTREGADA GINTRACOM")</f>
        <v>ENTREGADA GINTRACOM</v>
      </c>
      <c r="AQ749" s="65" t="str">
        <f>IFERROR(__xludf.DUMMYFUNCTION("""COMPUTED_VALUE"""),"ENTREGADA GINTRACOM")</f>
        <v>ENTREGADA GINTRACOM</v>
      </c>
      <c r="AR749" s="65"/>
      <c r="AS749" s="65"/>
      <c r="AT749" s="65" t="str">
        <f>IFERROR(__xludf.DUMMYFUNCTION("""COMPUTED_VALUE"""),"SHOPIFY")</f>
        <v>SHOPIFY</v>
      </c>
      <c r="AU749" s="65" t="str">
        <f>IFERROR(__xludf.DUMMYFUNCTION("""COMPUTED_VALUE"""),"IMPORTEX EC")</f>
        <v>IMPORTEX EC</v>
      </c>
      <c r="AV749" s="65" t="str">
        <f>IFERROR(__xludf.DUMMYFUNCTION("""COMPUTED_VALUE"""),"6502879494188")</f>
        <v>6502879494188</v>
      </c>
      <c r="AW749" s="65">
        <f>IFERROR(__xludf.DUMMYFUNCTION("""COMPUTED_VALUE"""),6134.0)</f>
        <v>6134</v>
      </c>
      <c r="AX749" s="65"/>
      <c r="AY749" s="65" t="str">
        <f>IFERROR(__xludf.DUMMYFUNCTION("""COMPUTED_VALUE"""),"19/02/2026")</f>
        <v>19/02/2026</v>
      </c>
      <c r="AZ749" s="65"/>
      <c r="BA749" s="65"/>
    </row>
    <row r="750">
      <c r="A750" s="65" t="str">
        <f>IFERROR(__xludf.DUMMYFUNCTION("""COMPUTED_VALUE"""),"27-03-2026")</f>
        <v>27-03-2026</v>
      </c>
      <c r="B750" s="65">
        <f>IFERROR(__xludf.DUMMYFUNCTION("""COMPUTED_VALUE"""),4507279.0)</f>
        <v>4507279</v>
      </c>
      <c r="C750" s="65" t="str">
        <f>IFERROR(__xludf.DUMMYFUNCTION("""COMPUTED_VALUE"""),"08:20")</f>
        <v>08:20</v>
      </c>
      <c r="D750" s="65" t="str">
        <f>IFERROR(__xludf.DUMMYFUNCTION("""COMPUTED_VALUE"""),"14-02-2026")</f>
        <v>14-02-2026</v>
      </c>
      <c r="E750" s="65" t="str">
        <f>IFERROR(__xludf.DUMMYFUNCTION("""COMPUTED_VALUE"""),"Juan cruz Lemos molina")</f>
        <v>Juan cruz Lemos molina</v>
      </c>
      <c r="F750" s="65" t="str">
        <f>IFERROR(__xludf.DUMMYFUNCTION("""COMPUTED_VALUE"""),"993206824")</f>
        <v>993206824</v>
      </c>
      <c r="G750" s="65" t="str">
        <f>IFERROR(__xludf.DUMMYFUNCTION("""COMPUTED_VALUE"""),"Jlemos09@hotmail.com")</f>
        <v>Jlemos09@hotmail.com</v>
      </c>
      <c r="H750" s="65"/>
      <c r="I750" s="65"/>
      <c r="J750" s="65" t="str">
        <f>IFERROR(__xludf.DUMMYFUNCTION("""COMPUTED_VALUE"""),"D001340341")</f>
        <v>D001340341</v>
      </c>
      <c r="K750" s="65" t="str">
        <f>IFERROR(__xludf.DUMMYFUNCTION("""COMPUTED_VALUE"""),"DEVOLUCION")</f>
        <v>DEVOLUCION</v>
      </c>
      <c r="L750" s="65" t="str">
        <f>IFERROR(__xludf.DUMMYFUNCTION("""COMPUTED_VALUE"""),"CON RECAUDO")</f>
        <v>CON RECAUDO</v>
      </c>
      <c r="M750" s="65" t="str">
        <f>IFERROR(__xludf.DUMMYFUNCTION("""COMPUTED_VALUE"""),"GUAYAS")</f>
        <v>GUAYAS</v>
      </c>
      <c r="N750" s="65" t="str">
        <f>IFERROR(__xludf.DUMMYFUNCTION("""COMPUTED_VALUE"""),"GUAYAQUIL")</f>
        <v>GUAYAQUIL</v>
      </c>
      <c r="O750" s="65" t="str">
        <f>IFERROR(__xludf.DUMMYFUNCTION("""COMPUTED_VALUE"""),"Calle principal entra x el hotel Real Palace hotel 8, tres parques en el último, avanza tres cuadras y pregunta por el maestro sastre")</f>
        <v>Calle principal entra x el hotel Real Palace hotel 8, tres parques en el último, avanza tres cuadras y pregunta por el maestro sastre</v>
      </c>
      <c r="P750" s="65"/>
      <c r="Q750" s="65" t="str">
        <f>IFERROR(__xludf.DUMMYFUNCTION("""COMPUTED_VALUE"""),"GINTRACOM")</f>
        <v>GINTRACOM</v>
      </c>
      <c r="R750" s="65">
        <f>IFERROR(__xludf.DUMMYFUNCTION("""COMPUTED_VALUE"""),22.0)</f>
        <v>22</v>
      </c>
      <c r="S750" s="65"/>
      <c r="T750" s="65">
        <f>IFERROR(__xludf.DUMMYFUNCTION("""COMPUTED_VALUE"""),4.23)</f>
        <v>4.23</v>
      </c>
      <c r="U750" s="65">
        <f>IFERROR(__xludf.DUMMYFUNCTION("""COMPUTED_VALUE"""),0.0)</f>
        <v>0</v>
      </c>
      <c r="V750" s="65">
        <f>IFERROR(__xludf.DUMMYFUNCTION("""COMPUTED_VALUE"""),0.0)</f>
        <v>0</v>
      </c>
      <c r="W750" s="65">
        <f>IFERROR(__xludf.DUMMYFUNCTION("""COMPUTED_VALUE"""),0.0)</f>
        <v>0</v>
      </c>
      <c r="X750" s="65">
        <f>IFERROR(__xludf.DUMMYFUNCTION("""COMPUTED_VALUE"""),2.6)</f>
        <v>2.6</v>
      </c>
      <c r="Y750" s="65">
        <f>IFERROR(__xludf.DUMMYFUNCTION("""COMPUTED_VALUE"""),5.2)</f>
        <v>5.2</v>
      </c>
      <c r="Z750" s="65">
        <f>IFERROR(__xludf.DUMMYFUNCTION("""COMPUTED_VALUE"""),121983.0)</f>
        <v>121983</v>
      </c>
      <c r="AA750" s="65" t="str">
        <f>IFERROR(__xludf.DUMMYFUNCTION("""COMPUTED_VALUE"""),"PROV-CHLLCF")</f>
        <v>PROV-CHLLCF</v>
      </c>
      <c r="AB750" s="65"/>
      <c r="AC750" s="65" t="str">
        <f>IFERROR(__xludf.DUMMYFUNCTION("""COMPUTED_VALUE"""),"CUCHILLO PARA CHEF")</f>
        <v>CUCHILLO PARA CHEF</v>
      </c>
      <c r="AD750" s="65"/>
      <c r="AE750" s="65">
        <f>IFERROR(__xludf.DUMMYFUNCTION("""COMPUTED_VALUE"""),2.0)</f>
        <v>2</v>
      </c>
      <c r="AF750" s="65" t="str">
        <f>IFERROR(__xludf.DUMMYFUNCTION("""COMPUTED_VALUE"""),"DESTINATARIO NO CONTESTA LLAMADAS NI WHATSAPP")</f>
        <v>DESTINATARIO NO CONTESTA LLAMADAS NI WHATSAPP</v>
      </c>
      <c r="AG750" s="65" t="str">
        <f>IFERROR(__xludf.DUMMYFUNCTION("""COMPUTED_VALUE"""),"NO")</f>
        <v>NO</v>
      </c>
      <c r="AH750" s="65" t="str">
        <f>IFERROR(__xludf.DUMMYFUNCTION("""COMPUTED_VALUE"""),"10:36")</f>
        <v>10:36</v>
      </c>
      <c r="AI750" s="65" t="str">
        <f>IFERROR(__xludf.DUMMYFUNCTION("""COMPUTED_VALUE"""),"27-02-2026")</f>
        <v>27-02-2026</v>
      </c>
      <c r="AJ750" s="65"/>
      <c r="AK750" s="65"/>
      <c r="AL750" s="65"/>
      <c r="AM750" s="65"/>
      <c r="AN750" s="65" t="str">
        <f>IFERROR(__xludf.DUMMYFUNCTION("""COMPUTED_VALUE"""),"01:35")</f>
        <v>01:35</v>
      </c>
      <c r="AO750" s="65" t="str">
        <f>IFERROR(__xludf.DUMMYFUNCTION("""COMPUTED_VALUE"""),"09-03-2026")</f>
        <v>09-03-2026</v>
      </c>
      <c r="AP750" s="65" t="str">
        <f>IFERROR(__xludf.DUMMYFUNCTION("""COMPUTED_VALUE"""),"DEVOLUCIÓN ENTREGADA A ORIGEN")</f>
        <v>DEVOLUCIÓN ENTREGADA A ORIGEN</v>
      </c>
      <c r="AQ750" s="65" t="str">
        <f>IFERROR(__xludf.DUMMYFUNCTION("""COMPUTED_VALUE"""),"DEVOLUCIÓN ENTREGADA A ORIGEN")</f>
        <v>DEVOLUCIÓN ENTREGADA A ORIGEN</v>
      </c>
      <c r="AR750" s="65"/>
      <c r="AS750" s="65"/>
      <c r="AT750" s="65" t="str">
        <f>IFERROR(__xludf.DUMMYFUNCTION("""COMPUTED_VALUE"""),"SHOPIFY")</f>
        <v>SHOPIFY</v>
      </c>
      <c r="AU750" s="65" t="str">
        <f>IFERROR(__xludf.DUMMYFUNCTION("""COMPUTED_VALUE"""),"IMPORTEX EC")</f>
        <v>IMPORTEX EC</v>
      </c>
      <c r="AV750" s="65" t="str">
        <f>IFERROR(__xludf.DUMMYFUNCTION("""COMPUTED_VALUE"""),"6502844497964")</f>
        <v>6502844497964</v>
      </c>
      <c r="AW750" s="65">
        <f>IFERROR(__xludf.DUMMYFUNCTION("""COMPUTED_VALUE"""),6133.0)</f>
        <v>6133</v>
      </c>
      <c r="AX750" s="65"/>
      <c r="AY750" s="65" t="str">
        <f>IFERROR(__xludf.DUMMYFUNCTION("""COMPUTED_VALUE"""),"19/02/2026")</f>
        <v>19/02/2026</v>
      </c>
      <c r="AZ750" s="65"/>
      <c r="BA750" s="65"/>
    </row>
    <row r="751">
      <c r="A751" s="65" t="str">
        <f>IFERROR(__xludf.DUMMYFUNCTION("""COMPUTED_VALUE"""),"27-03-2026")</f>
        <v>27-03-2026</v>
      </c>
      <c r="B751" s="65">
        <f>IFERROR(__xludf.DUMMYFUNCTION("""COMPUTED_VALUE"""),4507249.0)</f>
        <v>4507249</v>
      </c>
      <c r="C751" s="65" t="str">
        <f>IFERROR(__xludf.DUMMYFUNCTION("""COMPUTED_VALUE"""),"08:15")</f>
        <v>08:15</v>
      </c>
      <c r="D751" s="65" t="str">
        <f>IFERROR(__xludf.DUMMYFUNCTION("""COMPUTED_VALUE"""),"14-02-2026")</f>
        <v>14-02-2026</v>
      </c>
      <c r="E751" s="65" t="str">
        <f>IFERROR(__xludf.DUMMYFUNCTION("""COMPUTED_VALUE"""),"Leonardo Murillo")</f>
        <v>Leonardo Murillo</v>
      </c>
      <c r="F751" s="65" t="str">
        <f>IFERROR(__xludf.DUMMYFUNCTION("""COMPUTED_VALUE"""),"987110057")</f>
        <v>987110057</v>
      </c>
      <c r="G751" s="65" t="str">
        <f>IFERROR(__xludf.DUMMYFUNCTION("""COMPUTED_VALUE"""),"leonardo_murrillo@hotmail.com")</f>
        <v>leonardo_murrillo@hotmail.com</v>
      </c>
      <c r="H751" s="65"/>
      <c r="I751" s="65"/>
      <c r="J751" s="65" t="str">
        <f>IFERROR(__xludf.DUMMYFUNCTION("""COMPUTED_VALUE"""),"D001340342")</f>
        <v>D001340342</v>
      </c>
      <c r="K751" s="65" t="str">
        <f>IFERROR(__xludf.DUMMYFUNCTION("""COMPUTED_VALUE"""),"ENTREGADO")</f>
        <v>ENTREGADO</v>
      </c>
      <c r="L751" s="65" t="str">
        <f>IFERROR(__xludf.DUMMYFUNCTION("""COMPUTED_VALUE"""),"CON RECAUDO")</f>
        <v>CON RECAUDO</v>
      </c>
      <c r="M751" s="65" t="str">
        <f>IFERROR(__xludf.DUMMYFUNCTION("""COMPUTED_VALUE"""),"PICHINCHA")</f>
        <v>PICHINCHA</v>
      </c>
      <c r="N751" s="65" t="str">
        <f>IFERROR(__xludf.DUMMYFUNCTION("""COMPUTED_VALUE"""),"QUITO")</f>
        <v>QUITO</v>
      </c>
      <c r="O751" s="65" t="str">
        <f>IFERROR(__xludf.DUMMYFUNCTION("""COMPUTED_VALUE"""),"Av. Naciones Unidas 727 y América. Edificio Dinalco 2 Av. Naciones Unidas 727 y América. Edificio Dinalco 2 -")</f>
        <v>Av. Naciones Unidas 727 y América. Edificio Dinalco 2 Av. Naciones Unidas 727 y América. Edificio Dinalco 2 -</v>
      </c>
      <c r="P751" s="65"/>
      <c r="Q751" s="65" t="str">
        <f>IFERROR(__xludf.DUMMYFUNCTION("""COMPUTED_VALUE"""),"GINTRACOM")</f>
        <v>GINTRACOM</v>
      </c>
      <c r="R751" s="65">
        <f>IFERROR(__xludf.DUMMYFUNCTION("""COMPUTED_VALUE"""),25.0)</f>
        <v>25</v>
      </c>
      <c r="S751" s="65">
        <f>IFERROR(__xludf.DUMMYFUNCTION("""COMPUTED_VALUE"""),14.24)</f>
        <v>14.24</v>
      </c>
      <c r="T751" s="65">
        <f>IFERROR(__xludf.DUMMYFUNCTION("""COMPUTED_VALUE"""),5.96)</f>
        <v>5.96</v>
      </c>
      <c r="U751" s="65">
        <f>IFERROR(__xludf.DUMMYFUNCTION("""COMPUTED_VALUE"""),0.0)</f>
        <v>0</v>
      </c>
      <c r="V751" s="65">
        <f>IFERROR(__xludf.DUMMYFUNCTION("""COMPUTED_VALUE"""),0.0)</f>
        <v>0</v>
      </c>
      <c r="W751" s="65">
        <f>IFERROR(__xludf.DUMMYFUNCTION("""COMPUTED_VALUE"""),0.0)</f>
        <v>0</v>
      </c>
      <c r="X751" s="65">
        <f>IFERROR(__xludf.DUMMYFUNCTION("""COMPUTED_VALUE"""),2.4)</f>
        <v>2.4</v>
      </c>
      <c r="Y751" s="65">
        <f>IFERROR(__xludf.DUMMYFUNCTION("""COMPUTED_VALUE"""),4.8)</f>
        <v>4.8</v>
      </c>
      <c r="Z751" s="65">
        <f>IFERROR(__xludf.DUMMYFUNCTION("""COMPUTED_VALUE"""),120732.0)</f>
        <v>120732</v>
      </c>
      <c r="AA751" s="65" t="str">
        <f>IFERROR(__xludf.DUMMYFUNCTION("""COMPUTED_VALUE"""),"PROV-LMPVT")</f>
        <v>PROV-LMPVT</v>
      </c>
      <c r="AB751" s="65"/>
      <c r="AC751" s="65" t="str">
        <f>IFERROR(__xludf.DUMMYFUNCTION("""COMPUTED_VALUE"""),"LIMPIADOR DE PARABRISAS Y VENTANAS")</f>
        <v>LIMPIADOR DE PARABRISAS Y VENTANAS</v>
      </c>
      <c r="AD751" s="65"/>
      <c r="AE751" s="65">
        <f>IFERROR(__xludf.DUMMYFUNCTION("""COMPUTED_VALUE"""),2.0)</f>
        <v>2</v>
      </c>
      <c r="AF751" s="65"/>
      <c r="AG751" s="65"/>
      <c r="AH751" s="65"/>
      <c r="AI751" s="65"/>
      <c r="AJ751" s="65"/>
      <c r="AK751" s="65"/>
      <c r="AL751" s="65"/>
      <c r="AM751" s="65"/>
      <c r="AN751" s="65" t="str">
        <f>IFERROR(__xludf.DUMMYFUNCTION("""COMPUTED_VALUE"""),"15:30")</f>
        <v>15:30</v>
      </c>
      <c r="AO751" s="65" t="str">
        <f>IFERROR(__xludf.DUMMYFUNCTION("""COMPUTED_VALUE"""),"20-02-2026")</f>
        <v>20-02-2026</v>
      </c>
      <c r="AP751" s="65" t="str">
        <f>IFERROR(__xludf.DUMMYFUNCTION("""COMPUTED_VALUE"""),"ENTREGADA GINTRACOM")</f>
        <v>ENTREGADA GINTRACOM</v>
      </c>
      <c r="AQ751" s="65" t="str">
        <f>IFERROR(__xludf.DUMMYFUNCTION("""COMPUTED_VALUE"""),"ENTREGADA GINTRACOM")</f>
        <v>ENTREGADA GINTRACOM</v>
      </c>
      <c r="AR751" s="65"/>
      <c r="AS751" s="65"/>
      <c r="AT751" s="65" t="str">
        <f>IFERROR(__xludf.DUMMYFUNCTION("""COMPUTED_VALUE"""),"SHOPIFY")</f>
        <v>SHOPIFY</v>
      </c>
      <c r="AU751" s="65" t="str">
        <f>IFERROR(__xludf.DUMMYFUNCTION("""COMPUTED_VALUE"""),"IMPORTEX EC")</f>
        <v>IMPORTEX EC</v>
      </c>
      <c r="AV751" s="65" t="str">
        <f>IFERROR(__xludf.DUMMYFUNCTION("""COMPUTED_VALUE"""),"6502841286700")</f>
        <v>6502841286700</v>
      </c>
      <c r="AW751" s="65">
        <f>IFERROR(__xludf.DUMMYFUNCTION("""COMPUTED_VALUE"""),6132.0)</f>
        <v>6132</v>
      </c>
      <c r="AX751" s="65"/>
      <c r="AY751" s="65" t="str">
        <f>IFERROR(__xludf.DUMMYFUNCTION("""COMPUTED_VALUE"""),"19/02/2026")</f>
        <v>19/02/2026</v>
      </c>
      <c r="AZ751" s="65"/>
      <c r="BA751" s="65"/>
    </row>
    <row r="752">
      <c r="A752" s="65" t="str">
        <f>IFERROR(__xludf.DUMMYFUNCTION("""COMPUTED_VALUE"""),"27-03-2026")</f>
        <v>27-03-2026</v>
      </c>
      <c r="B752" s="65">
        <f>IFERROR(__xludf.DUMMYFUNCTION("""COMPUTED_VALUE"""),4507232.0)</f>
        <v>4507232</v>
      </c>
      <c r="C752" s="65" t="str">
        <f>IFERROR(__xludf.DUMMYFUNCTION("""COMPUTED_VALUE"""),"08:13")</f>
        <v>08:13</v>
      </c>
      <c r="D752" s="65" t="str">
        <f>IFERROR(__xludf.DUMMYFUNCTION("""COMPUTED_VALUE"""),"14-02-2026")</f>
        <v>14-02-2026</v>
      </c>
      <c r="E752" s="65" t="str">
        <f>IFERROR(__xludf.DUMMYFUNCTION("""COMPUTED_VALUE"""),"Efren Maldonado")</f>
        <v>Efren Maldonado</v>
      </c>
      <c r="F752" s="65" t="str">
        <f>IFERROR(__xludf.DUMMYFUNCTION("""COMPUTED_VALUE"""),"981843499")</f>
        <v>981843499</v>
      </c>
      <c r="G752" s="65" t="str">
        <f>IFERROR(__xludf.DUMMYFUNCTION("""COMPUTED_VALUE"""),"efren0209mal@gmail.com")</f>
        <v>efren0209mal@gmail.com</v>
      </c>
      <c r="H752" s="65"/>
      <c r="I752" s="65"/>
      <c r="J752" s="65" t="str">
        <f>IFERROR(__xludf.DUMMYFUNCTION("""COMPUTED_VALUE"""),"LC52905133")</f>
        <v>LC52905133</v>
      </c>
      <c r="K752" s="65" t="str">
        <f>IFERROR(__xludf.DUMMYFUNCTION("""COMPUTED_VALUE"""),"DEVOLUCION")</f>
        <v>DEVOLUCION</v>
      </c>
      <c r="L752" s="65" t="str">
        <f>IFERROR(__xludf.DUMMYFUNCTION("""COMPUTED_VALUE"""),"CON RECAUDO")</f>
        <v>CON RECAUDO</v>
      </c>
      <c r="M752" s="65" t="str">
        <f>IFERROR(__xludf.DUMMYFUNCTION("""COMPUTED_VALUE"""),"EL ORO")</f>
        <v>EL ORO</v>
      </c>
      <c r="N752" s="65" t="str">
        <f>IFERROR(__xludf.DUMMYFUNCTION("""COMPUTED_VALUE"""),"PORTOVELO")</f>
        <v>PORTOVELO</v>
      </c>
      <c r="O752" s="65" t="str">
        <f>IFERROR(__xludf.DUMMYFUNCTION("""COMPUTED_VALUE"""),"Av a Loja y calle las cañas Cdla el oro frente a farmacias Mia -")</f>
        <v>Av a Loja y calle las cañas Cdla el oro frente a farmacias Mia -</v>
      </c>
      <c r="P752" s="65"/>
      <c r="Q752" s="65" t="str">
        <f>IFERROR(__xludf.DUMMYFUNCTION("""COMPUTED_VALUE"""),"LAARCOURIER")</f>
        <v>LAARCOURIER</v>
      </c>
      <c r="R752" s="65">
        <f>IFERROR(__xludf.DUMMYFUNCTION("""COMPUTED_VALUE"""),25.0)</f>
        <v>25</v>
      </c>
      <c r="S752" s="65"/>
      <c r="T752" s="65">
        <f>IFERROR(__xludf.DUMMYFUNCTION("""COMPUTED_VALUE"""),7.19)</f>
        <v>7.19</v>
      </c>
      <c r="U752" s="65">
        <f>IFERROR(__xludf.DUMMYFUNCTION("""COMPUTED_VALUE"""),0.0)</f>
        <v>0</v>
      </c>
      <c r="V752" s="65">
        <f>IFERROR(__xludf.DUMMYFUNCTION("""COMPUTED_VALUE"""),0.0)</f>
        <v>0</v>
      </c>
      <c r="W752" s="65">
        <f>IFERROR(__xludf.DUMMYFUNCTION("""COMPUTED_VALUE"""),0.0)</f>
        <v>0</v>
      </c>
      <c r="X752" s="65">
        <f>IFERROR(__xludf.DUMMYFUNCTION("""COMPUTED_VALUE"""),2.4)</f>
        <v>2.4</v>
      </c>
      <c r="Y752" s="65">
        <f>IFERROR(__xludf.DUMMYFUNCTION("""COMPUTED_VALUE"""),4.8)</f>
        <v>4.8</v>
      </c>
      <c r="Z752" s="65">
        <f>IFERROR(__xludf.DUMMYFUNCTION("""COMPUTED_VALUE"""),120732.0)</f>
        <v>120732</v>
      </c>
      <c r="AA752" s="65" t="str">
        <f>IFERROR(__xludf.DUMMYFUNCTION("""COMPUTED_VALUE"""),"PROV-LMPVT")</f>
        <v>PROV-LMPVT</v>
      </c>
      <c r="AB752" s="65"/>
      <c r="AC752" s="65" t="str">
        <f>IFERROR(__xludf.DUMMYFUNCTION("""COMPUTED_VALUE"""),"LIMPIADOR DE PARABRISAS Y VENTANAS")</f>
        <v>LIMPIADOR DE PARABRISAS Y VENTANAS</v>
      </c>
      <c r="AD752" s="65"/>
      <c r="AE752" s="65">
        <f>IFERROR(__xludf.DUMMYFUNCTION("""COMPUTED_VALUE"""),2.0)</f>
        <v>2</v>
      </c>
      <c r="AF752" s="65"/>
      <c r="AG752" s="65"/>
      <c r="AH752" s="65"/>
      <c r="AI752" s="65"/>
      <c r="AJ752" s="65"/>
      <c r="AK752" s="65"/>
      <c r="AL752" s="65"/>
      <c r="AM752" s="65"/>
      <c r="AN752" s="65" t="str">
        <f>IFERROR(__xludf.DUMMYFUNCTION("""COMPUTED_VALUE"""),"09:59")</f>
        <v>09:59</v>
      </c>
      <c r="AO752" s="65" t="str">
        <f>IFERROR(__xludf.DUMMYFUNCTION("""COMPUTED_VALUE"""),"27-02-2026")</f>
        <v>27-02-2026</v>
      </c>
      <c r="AP752" s="65" t="str">
        <f>IFERROR(__xludf.DUMMYFUNCTION("""COMPUTED_VALUE"""),"DEV CONFIRMADA POR BODEGA")</f>
        <v>DEV CONFIRMADA POR BODEGA</v>
      </c>
      <c r="AQ752" s="65"/>
      <c r="AR752" s="65" t="str">
        <f>IFERROR(__xludf.DUMMYFUNCTION("""COMPUTED_VALUE"""),"Gestionado por: PROVEDIX DAMIAN, email:enviogratisdirecto@gmail.com, total de productos en la orden: 1")</f>
        <v>Gestionado por: PROVEDIX DAMIAN, email:enviogratisdirecto@gmail.com, total de productos en la orden: 1</v>
      </c>
      <c r="AS752" s="65"/>
      <c r="AT752" s="65" t="str">
        <f>IFERROR(__xludf.DUMMYFUNCTION("""COMPUTED_VALUE"""),"SHOPIFY")</f>
        <v>SHOPIFY</v>
      </c>
      <c r="AU752" s="65" t="str">
        <f>IFERROR(__xludf.DUMMYFUNCTION("""COMPUTED_VALUE"""),"IMPORTEX EC")</f>
        <v>IMPORTEX EC</v>
      </c>
      <c r="AV752" s="65" t="str">
        <f>IFERROR(__xludf.DUMMYFUNCTION("""COMPUTED_VALUE"""),"6502835978284")</f>
        <v>6502835978284</v>
      </c>
      <c r="AW752" s="65">
        <f>IFERROR(__xludf.DUMMYFUNCTION("""COMPUTED_VALUE"""),6131.0)</f>
        <v>6131</v>
      </c>
      <c r="AX752" s="65"/>
      <c r="AY752" s="65" t="str">
        <f>IFERROR(__xludf.DUMMYFUNCTION("""COMPUTED_VALUE"""),"19/02/2026")</f>
        <v>19/02/2026</v>
      </c>
      <c r="AZ752" s="65"/>
      <c r="BA752" s="65"/>
    </row>
    <row r="753">
      <c r="A753" s="65" t="str">
        <f>IFERROR(__xludf.DUMMYFUNCTION("""COMPUTED_VALUE"""),"27-03-2026")</f>
        <v>27-03-2026</v>
      </c>
      <c r="B753" s="65">
        <f>IFERROR(__xludf.DUMMYFUNCTION("""COMPUTED_VALUE"""),4507155.0)</f>
        <v>4507155</v>
      </c>
      <c r="C753" s="65" t="str">
        <f>IFERROR(__xludf.DUMMYFUNCTION("""COMPUTED_VALUE"""),"08:00")</f>
        <v>08:00</v>
      </c>
      <c r="D753" s="65" t="str">
        <f>IFERROR(__xludf.DUMMYFUNCTION("""COMPUTED_VALUE"""),"14-02-2026")</f>
        <v>14-02-2026</v>
      </c>
      <c r="E753" s="65" t="str">
        <f>IFERROR(__xludf.DUMMYFUNCTION("""COMPUTED_VALUE"""),"Alex Alarcon")</f>
        <v>Alex Alarcon</v>
      </c>
      <c r="F753" s="65" t="str">
        <f>IFERROR(__xludf.DUMMYFUNCTION("""COMPUTED_VALUE"""),"993391982")</f>
        <v>993391982</v>
      </c>
      <c r="G753" s="65" t="str">
        <f>IFERROR(__xludf.DUMMYFUNCTION("""COMPUTED_VALUE"""),"alex_alarcon1992@hotmail.com")</f>
        <v>alex_alarcon1992@hotmail.com</v>
      </c>
      <c r="H753" s="65"/>
      <c r="I753" s="65"/>
      <c r="J753" s="65" t="str">
        <f>IFERROR(__xludf.DUMMYFUNCTION("""COMPUTED_VALUE"""),"D001340343")</f>
        <v>D001340343</v>
      </c>
      <c r="K753" s="65" t="str">
        <f>IFERROR(__xludf.DUMMYFUNCTION("""COMPUTED_VALUE"""),"ENTREGADO")</f>
        <v>ENTREGADO</v>
      </c>
      <c r="L753" s="65" t="str">
        <f>IFERROR(__xludf.DUMMYFUNCTION("""COMPUTED_VALUE"""),"CON RECAUDO")</f>
        <v>CON RECAUDO</v>
      </c>
      <c r="M753" s="65" t="str">
        <f>IFERROR(__xludf.DUMMYFUNCTION("""COMPUTED_VALUE"""),"PICHINCHA")</f>
        <v>PICHINCHA</v>
      </c>
      <c r="N753" s="65" t="str">
        <f>IFERROR(__xludf.DUMMYFUNCTION("""COMPUTED_VALUE"""),"QUITO")</f>
        <v>QUITO</v>
      </c>
      <c r="O753" s="65" t="str">
        <f>IFERROR(__xludf.DUMMYFUNCTION("""COMPUTED_VALUE"""),"S32J Entre calle H y Oe12C, Csa: Oe11-548 - REFERENCIA : Cerca a la escuela Jorge Romero Pinto -  Santa rosa de chillogallo segunda etapa -  casa sin pintar de dos pisos puerta negra")</f>
        <v>S32J Entre calle H y Oe12C, Csa: Oe11-548 - REFERENCIA : Cerca a la escuela Jorge Romero Pinto -  Santa rosa de chillogallo segunda etapa -  casa sin pintar de dos pisos puerta negra</v>
      </c>
      <c r="P753" s="65"/>
      <c r="Q753" s="65" t="str">
        <f>IFERROR(__xludf.DUMMYFUNCTION("""COMPUTED_VALUE"""),"GINTRACOM")</f>
        <v>GINTRACOM</v>
      </c>
      <c r="R753" s="65">
        <f>IFERROR(__xludf.DUMMYFUNCTION("""COMPUTED_VALUE"""),25.0)</f>
        <v>25</v>
      </c>
      <c r="S753" s="65">
        <f>IFERROR(__xludf.DUMMYFUNCTION("""COMPUTED_VALUE"""),14.24)</f>
        <v>14.24</v>
      </c>
      <c r="T753" s="65">
        <f>IFERROR(__xludf.DUMMYFUNCTION("""COMPUTED_VALUE"""),5.96)</f>
        <v>5.96</v>
      </c>
      <c r="U753" s="65">
        <f>IFERROR(__xludf.DUMMYFUNCTION("""COMPUTED_VALUE"""),0.0)</f>
        <v>0</v>
      </c>
      <c r="V753" s="65">
        <f>IFERROR(__xludf.DUMMYFUNCTION("""COMPUTED_VALUE"""),0.0)</f>
        <v>0</v>
      </c>
      <c r="W753" s="65">
        <f>IFERROR(__xludf.DUMMYFUNCTION("""COMPUTED_VALUE"""),0.0)</f>
        <v>0</v>
      </c>
      <c r="X753" s="65">
        <f>IFERROR(__xludf.DUMMYFUNCTION("""COMPUTED_VALUE"""),2.4)</f>
        <v>2.4</v>
      </c>
      <c r="Y753" s="65">
        <f>IFERROR(__xludf.DUMMYFUNCTION("""COMPUTED_VALUE"""),4.8)</f>
        <v>4.8</v>
      </c>
      <c r="Z753" s="65">
        <f>IFERROR(__xludf.DUMMYFUNCTION("""COMPUTED_VALUE"""),120732.0)</f>
        <v>120732</v>
      </c>
      <c r="AA753" s="65" t="str">
        <f>IFERROR(__xludf.DUMMYFUNCTION("""COMPUTED_VALUE"""),"PROV-LMPVT")</f>
        <v>PROV-LMPVT</v>
      </c>
      <c r="AB753" s="65"/>
      <c r="AC753" s="65" t="str">
        <f>IFERROR(__xludf.DUMMYFUNCTION("""COMPUTED_VALUE"""),"LIMPIADOR DE PARABRISAS Y VENTANAS")</f>
        <v>LIMPIADOR DE PARABRISAS Y VENTANAS</v>
      </c>
      <c r="AD753" s="65"/>
      <c r="AE753" s="65">
        <f>IFERROR(__xludf.DUMMYFUNCTION("""COMPUTED_VALUE"""),2.0)</f>
        <v>2</v>
      </c>
      <c r="AF753" s="65" t="str">
        <f>IFERROR(__xludf.DUMMYFUNCTION("""COMPUTED_VALUE"""),"DESTINATARIO NO SE ENCUENTRA EN LUGAR DE ENTREGA.")</f>
        <v>DESTINATARIO NO SE ENCUENTRA EN LUGAR DE ENTREGA.</v>
      </c>
      <c r="AG753" s="65" t="str">
        <f>IFERROR(__xludf.DUMMYFUNCTION("""COMPUTED_VALUE"""),"NO")</f>
        <v>NO</v>
      </c>
      <c r="AH753" s="65" t="str">
        <f>IFERROR(__xludf.DUMMYFUNCTION("""COMPUTED_VALUE"""),"11:37")</f>
        <v>11:37</v>
      </c>
      <c r="AI753" s="65" t="str">
        <f>IFERROR(__xludf.DUMMYFUNCTION("""COMPUTED_VALUE"""),"24-02-2026")</f>
        <v>24-02-2026</v>
      </c>
      <c r="AJ753" s="65"/>
      <c r="AK753" s="65"/>
      <c r="AL753" s="65"/>
      <c r="AM753" s="65"/>
      <c r="AN753" s="65" t="str">
        <f>IFERROR(__xludf.DUMMYFUNCTION("""COMPUTED_VALUE"""),"11:37")</f>
        <v>11:37</v>
      </c>
      <c r="AO753" s="65" t="str">
        <f>IFERROR(__xludf.DUMMYFUNCTION("""COMPUTED_VALUE"""),"24-02-2026")</f>
        <v>24-02-2026</v>
      </c>
      <c r="AP753" s="65" t="str">
        <f>IFERROR(__xludf.DUMMYFUNCTION("""COMPUTED_VALUE"""),"DESTINATARIO NO SE ENCUENTRA EN LUGAR DE ENTREGA.")</f>
        <v>DESTINATARIO NO SE ENCUENTRA EN LUGAR DE ENTREGA.</v>
      </c>
      <c r="AQ753" s="65" t="str">
        <f>IFERROR(__xludf.DUMMYFUNCTION("""COMPUTED_VALUE"""),"DESTINATARIO NO SE ENCUENTRA EN LUGAR DE ENTREGA.")</f>
        <v>DESTINATARIO NO SE ENCUENTRA EN LUGAR DE ENTREGA.</v>
      </c>
      <c r="AR753" s="65"/>
      <c r="AS753" s="65"/>
      <c r="AT753" s="65" t="str">
        <f>IFERROR(__xludf.DUMMYFUNCTION("""COMPUTED_VALUE"""),"SHOPIFY")</f>
        <v>SHOPIFY</v>
      </c>
      <c r="AU753" s="65" t="str">
        <f>IFERROR(__xludf.DUMMYFUNCTION("""COMPUTED_VALUE"""),"IMPORTEX EC")</f>
        <v>IMPORTEX EC</v>
      </c>
      <c r="AV753" s="65" t="str">
        <f>IFERROR(__xludf.DUMMYFUNCTION("""COMPUTED_VALUE"""),"6502817038380")</f>
        <v>6502817038380</v>
      </c>
      <c r="AW753" s="65">
        <f>IFERROR(__xludf.DUMMYFUNCTION("""COMPUTED_VALUE"""),6130.0)</f>
        <v>6130</v>
      </c>
      <c r="AX753" s="65"/>
      <c r="AY753" s="65" t="str">
        <f>IFERROR(__xludf.DUMMYFUNCTION("""COMPUTED_VALUE"""),"19/02/2026")</f>
        <v>19/02/2026</v>
      </c>
      <c r="AZ753" s="65"/>
      <c r="BA753" s="65"/>
    </row>
    <row r="754">
      <c r="A754" s="65" t="str">
        <f>IFERROR(__xludf.DUMMYFUNCTION("""COMPUTED_VALUE"""),"27-03-2026")</f>
        <v>27-03-2026</v>
      </c>
      <c r="B754" s="65">
        <f>IFERROR(__xludf.DUMMYFUNCTION("""COMPUTED_VALUE"""),4506940.0)</f>
        <v>4506940</v>
      </c>
      <c r="C754" s="65" t="str">
        <f>IFERROR(__xludf.DUMMYFUNCTION("""COMPUTED_VALUE"""),"07:38")</f>
        <v>07:38</v>
      </c>
      <c r="D754" s="65" t="str">
        <f>IFERROR(__xludf.DUMMYFUNCTION("""COMPUTED_VALUE"""),"14-02-2026")</f>
        <v>14-02-2026</v>
      </c>
      <c r="E754" s="65" t="str">
        <f>IFERROR(__xludf.DUMMYFUNCTION("""COMPUTED_VALUE"""),"Jefferson Alfonso Carchi Guaman")</f>
        <v>Jefferson Alfonso Carchi Guaman</v>
      </c>
      <c r="F754" s="65" t="str">
        <f>IFERROR(__xludf.DUMMYFUNCTION("""COMPUTED_VALUE"""),"994229984")</f>
        <v>994229984</v>
      </c>
      <c r="G754" s="65" t="str">
        <f>IFERROR(__xludf.DUMMYFUNCTION("""COMPUTED_VALUE"""),"fonshboy@yahoo.es")</f>
        <v>fonshboy@yahoo.es</v>
      </c>
      <c r="H754" s="65"/>
      <c r="I754" s="65"/>
      <c r="J754" s="65"/>
      <c r="K754" s="65" t="str">
        <f>IFERROR(__xludf.DUMMYFUNCTION("""COMPUTED_VALUE"""),"PENDIENTE CONFIRMACION")</f>
        <v>PENDIENTE CONFIRMACION</v>
      </c>
      <c r="L754" s="65" t="str">
        <f>IFERROR(__xludf.DUMMYFUNCTION("""COMPUTED_VALUE"""),"CON RECAUDO")</f>
        <v>CON RECAUDO</v>
      </c>
      <c r="M754" s="65" t="str">
        <f>IFERROR(__xludf.DUMMYFUNCTION("""COMPUTED_VALUE"""),"ZAMORA CHINCHIPE")</f>
        <v>ZAMORA CHINCHIPE</v>
      </c>
      <c r="N754" s="65" t="str">
        <f>IFERROR(__xludf.DUMMYFUNCTION("""COMPUTED_VALUE"""),"YANTZAZA")</f>
        <v>YANTZAZA</v>
      </c>
      <c r="O754" s="65" t="str">
        <f>IFERROR(__xludf.DUMMYFUNCTION("""COMPUTED_VALUE"""),"Mayaicu y Jaime Roldos Reina del Cisne a media cuadra de la escuela -")</f>
        <v>Mayaicu y Jaime Roldos Reina del Cisne a media cuadra de la escuela -</v>
      </c>
      <c r="P754" s="65"/>
      <c r="Q754" s="65" t="str">
        <f>IFERROR(__xludf.DUMMYFUNCTION("""COMPUTED_VALUE"""),"LAARCOURIER")</f>
        <v>LAARCOURIER</v>
      </c>
      <c r="R754" s="65">
        <f>IFERROR(__xludf.DUMMYFUNCTION("""COMPUTED_VALUE"""),30.0)</f>
        <v>30</v>
      </c>
      <c r="S754" s="65"/>
      <c r="T754" s="65">
        <f>IFERROR(__xludf.DUMMYFUNCTION("""COMPUTED_VALUE"""),8.63)</f>
        <v>8.63</v>
      </c>
      <c r="U754" s="65">
        <f>IFERROR(__xludf.DUMMYFUNCTION("""COMPUTED_VALUE"""),0.0)</f>
        <v>0</v>
      </c>
      <c r="V754" s="65">
        <f>IFERROR(__xludf.DUMMYFUNCTION("""COMPUTED_VALUE"""),0.0)</f>
        <v>0</v>
      </c>
      <c r="W754" s="65">
        <f>IFERROR(__xludf.DUMMYFUNCTION("""COMPUTED_VALUE"""),0.0)</f>
        <v>0</v>
      </c>
      <c r="X754" s="65">
        <f>IFERROR(__xludf.DUMMYFUNCTION("""COMPUTED_VALUE"""),2.4)</f>
        <v>2.4</v>
      </c>
      <c r="Y754" s="65">
        <f>IFERROR(__xludf.DUMMYFUNCTION("""COMPUTED_VALUE"""),7.2)</f>
        <v>7.2</v>
      </c>
      <c r="Z754" s="65">
        <f>IFERROR(__xludf.DUMMYFUNCTION("""COMPUTED_VALUE"""),120732.0)</f>
        <v>120732</v>
      </c>
      <c r="AA754" s="65" t="str">
        <f>IFERROR(__xludf.DUMMYFUNCTION("""COMPUTED_VALUE"""),"PROV-LMPVT")</f>
        <v>PROV-LMPVT</v>
      </c>
      <c r="AB754" s="65"/>
      <c r="AC754" s="65" t="str">
        <f>IFERROR(__xludf.DUMMYFUNCTION("""COMPUTED_VALUE"""),"LIMPIADOR DE PARABRISAS Y VENTANAS")</f>
        <v>LIMPIADOR DE PARABRISAS Y VENTANAS</v>
      </c>
      <c r="AD754" s="65"/>
      <c r="AE754" s="65">
        <f>IFERROR(__xludf.DUMMYFUNCTION("""COMPUTED_VALUE"""),3.0)</f>
        <v>3</v>
      </c>
      <c r="AF754" s="65"/>
      <c r="AG754" s="65"/>
      <c r="AH754" s="65"/>
      <c r="AI754" s="65"/>
      <c r="AJ754" s="65"/>
      <c r="AK754" s="65"/>
      <c r="AL754" s="65"/>
      <c r="AM754" s="65"/>
      <c r="AN754" s="65"/>
      <c r="AO754" s="65"/>
      <c r="AP754" s="65"/>
      <c r="AQ754" s="65"/>
      <c r="AR754" s="65"/>
      <c r="AS754" s="65"/>
      <c r="AT754" s="65" t="str">
        <f>IFERROR(__xludf.DUMMYFUNCTION("""COMPUTED_VALUE"""),"SHOPIFY")</f>
        <v>SHOPIFY</v>
      </c>
      <c r="AU754" s="65" t="str">
        <f>IFERROR(__xludf.DUMMYFUNCTION("""COMPUTED_VALUE"""),"IMPORTEX EC")</f>
        <v>IMPORTEX EC</v>
      </c>
      <c r="AV754" s="65" t="str">
        <f>IFERROR(__xludf.DUMMYFUNCTION("""COMPUTED_VALUE"""),"6502796296236")</f>
        <v>6502796296236</v>
      </c>
      <c r="AW754" s="65">
        <f>IFERROR(__xludf.DUMMYFUNCTION("""COMPUTED_VALUE"""),6129.0)</f>
        <v>6129</v>
      </c>
      <c r="AX754" s="65"/>
      <c r="AY754" s="65"/>
      <c r="AZ754" s="65"/>
      <c r="BA754" s="65"/>
    </row>
    <row r="755">
      <c r="A755" s="65" t="str">
        <f>IFERROR(__xludf.DUMMYFUNCTION("""COMPUTED_VALUE"""),"27-03-2026")</f>
        <v>27-03-2026</v>
      </c>
      <c r="B755" s="65">
        <f>IFERROR(__xludf.DUMMYFUNCTION("""COMPUTED_VALUE"""),4506847.0)</f>
        <v>4506847</v>
      </c>
      <c r="C755" s="65" t="str">
        <f>IFERROR(__xludf.DUMMYFUNCTION("""COMPUTED_VALUE"""),"07:22")</f>
        <v>07:22</v>
      </c>
      <c r="D755" s="65" t="str">
        <f>IFERROR(__xludf.DUMMYFUNCTION("""COMPUTED_VALUE"""),"14-02-2026")</f>
        <v>14-02-2026</v>
      </c>
      <c r="E755" s="65" t="str">
        <f>IFERROR(__xludf.DUMMYFUNCTION("""COMPUTED_VALUE"""),"Lenin Casco")</f>
        <v>Lenin Casco</v>
      </c>
      <c r="F755" s="65" t="str">
        <f>IFERROR(__xludf.DUMMYFUNCTION("""COMPUTED_VALUE"""),"984311742")</f>
        <v>984311742</v>
      </c>
      <c r="G755" s="65" t="str">
        <f>IFERROR(__xludf.DUMMYFUNCTION("""COMPUTED_VALUE"""),"lenincascog@gmail.com")</f>
        <v>lenincascog@gmail.com</v>
      </c>
      <c r="H755" s="65"/>
      <c r="I755" s="65"/>
      <c r="J755" s="65" t="str">
        <f>IFERROR(__xludf.DUMMYFUNCTION("""COMPUTED_VALUE"""),"D001340344")</f>
        <v>D001340344</v>
      </c>
      <c r="K755" s="65" t="str">
        <f>IFERROR(__xludf.DUMMYFUNCTION("""COMPUTED_VALUE"""),"ENTREGADO")</f>
        <v>ENTREGADO</v>
      </c>
      <c r="L755" s="65" t="str">
        <f>IFERROR(__xludf.DUMMYFUNCTION("""COMPUTED_VALUE"""),"CON RECAUDO")</f>
        <v>CON RECAUDO</v>
      </c>
      <c r="M755" s="65" t="str">
        <f>IFERROR(__xludf.DUMMYFUNCTION("""COMPUTED_VALUE"""),"PICHINCHA")</f>
        <v>PICHINCHA</v>
      </c>
      <c r="N755" s="65" t="str">
        <f>IFERROR(__xludf.DUMMYFUNCTION("""COMPUTED_VALUE"""),"QUITO")</f>
        <v>QUITO</v>
      </c>
      <c r="O755" s="65" t="str">
        <f>IFERROR(__xludf.DUMMYFUNCTION("""COMPUTED_VALUE"""),"José Vinueza y Av. Oswaldo Guayasamín - Urb. MAGNOLIAS II- La Morita, Tumbaco -")</f>
        <v>José Vinueza y Av. Oswaldo Guayasamín - Urb. MAGNOLIAS II- La Morita, Tumbaco -</v>
      </c>
      <c r="P755" s="65"/>
      <c r="Q755" s="65" t="str">
        <f>IFERROR(__xludf.DUMMYFUNCTION("""COMPUTED_VALUE"""),"GINTRACOM")</f>
        <v>GINTRACOM</v>
      </c>
      <c r="R755" s="65">
        <f>IFERROR(__xludf.DUMMYFUNCTION("""COMPUTED_VALUE"""),27.0)</f>
        <v>27</v>
      </c>
      <c r="S755" s="65">
        <f>IFERROR(__xludf.DUMMYFUNCTION("""COMPUTED_VALUE"""),13.17)</f>
        <v>13.17</v>
      </c>
      <c r="T755" s="65">
        <f>IFERROR(__xludf.DUMMYFUNCTION("""COMPUTED_VALUE"""),6.03)</f>
        <v>6.03</v>
      </c>
      <c r="U755" s="65">
        <f>IFERROR(__xludf.DUMMYFUNCTION("""COMPUTED_VALUE"""),0.0)</f>
        <v>0</v>
      </c>
      <c r="V755" s="65">
        <f>IFERROR(__xludf.DUMMYFUNCTION("""COMPUTED_VALUE"""),0.0)</f>
        <v>0</v>
      </c>
      <c r="W755" s="65">
        <f>IFERROR(__xludf.DUMMYFUNCTION("""COMPUTED_VALUE"""),0.0)</f>
        <v>0</v>
      </c>
      <c r="X755" s="65">
        <f>IFERROR(__xludf.DUMMYFUNCTION("""COMPUTED_VALUE"""),2.6)</f>
        <v>2.6</v>
      </c>
      <c r="Y755" s="65">
        <f>IFERROR(__xludf.DUMMYFUNCTION("""COMPUTED_VALUE"""),7.8)</f>
        <v>7.8</v>
      </c>
      <c r="Z755" s="65">
        <f>IFERROR(__xludf.DUMMYFUNCTION("""COMPUTED_VALUE"""),121983.0)</f>
        <v>121983</v>
      </c>
      <c r="AA755" s="65" t="str">
        <f>IFERROR(__xludf.DUMMYFUNCTION("""COMPUTED_VALUE"""),"PROV-CHLLCF")</f>
        <v>PROV-CHLLCF</v>
      </c>
      <c r="AB755" s="65"/>
      <c r="AC755" s="65" t="str">
        <f>IFERROR(__xludf.DUMMYFUNCTION("""COMPUTED_VALUE"""),"CUCHILLO PARA CHEF")</f>
        <v>CUCHILLO PARA CHEF</v>
      </c>
      <c r="AD755" s="65"/>
      <c r="AE755" s="65">
        <f>IFERROR(__xludf.DUMMYFUNCTION("""COMPUTED_VALUE"""),3.0)</f>
        <v>3</v>
      </c>
      <c r="AF755" s="65"/>
      <c r="AG755" s="65"/>
      <c r="AH755" s="65"/>
      <c r="AI755" s="65"/>
      <c r="AJ755" s="65"/>
      <c r="AK755" s="65"/>
      <c r="AL755" s="65"/>
      <c r="AM755" s="65"/>
      <c r="AN755" s="65" t="str">
        <f>IFERROR(__xludf.DUMMYFUNCTION("""COMPUTED_VALUE"""),"14:20")</f>
        <v>14:20</v>
      </c>
      <c r="AO755" s="65" t="str">
        <f>IFERROR(__xludf.DUMMYFUNCTION("""COMPUTED_VALUE"""),"20-02-2026")</f>
        <v>20-02-2026</v>
      </c>
      <c r="AP755" s="65" t="str">
        <f>IFERROR(__xludf.DUMMYFUNCTION("""COMPUTED_VALUE"""),"ENTREGADA GINTRACOM")</f>
        <v>ENTREGADA GINTRACOM</v>
      </c>
      <c r="AQ755" s="65" t="str">
        <f>IFERROR(__xludf.DUMMYFUNCTION("""COMPUTED_VALUE"""),"ENTREGADA GINTRACOM")</f>
        <v>ENTREGADA GINTRACOM</v>
      </c>
      <c r="AR755" s="65"/>
      <c r="AS755" s="65"/>
      <c r="AT755" s="65" t="str">
        <f>IFERROR(__xludf.DUMMYFUNCTION("""COMPUTED_VALUE"""),"SHOPIFY")</f>
        <v>SHOPIFY</v>
      </c>
      <c r="AU755" s="65" t="str">
        <f>IFERROR(__xludf.DUMMYFUNCTION("""COMPUTED_VALUE"""),"IMPORTEX EC")</f>
        <v>IMPORTEX EC</v>
      </c>
      <c r="AV755" s="65" t="str">
        <f>IFERROR(__xludf.DUMMYFUNCTION("""COMPUTED_VALUE"""),"6502780862508")</f>
        <v>6502780862508</v>
      </c>
      <c r="AW755" s="65">
        <f>IFERROR(__xludf.DUMMYFUNCTION("""COMPUTED_VALUE"""),6128.0)</f>
        <v>6128</v>
      </c>
      <c r="AX755" s="65"/>
      <c r="AY755" s="65" t="str">
        <f>IFERROR(__xludf.DUMMYFUNCTION("""COMPUTED_VALUE"""),"19/02/2026")</f>
        <v>19/02/2026</v>
      </c>
      <c r="AZ755" s="65"/>
      <c r="BA755" s="65"/>
    </row>
    <row r="756">
      <c r="A756" s="65" t="str">
        <f>IFERROR(__xludf.DUMMYFUNCTION("""COMPUTED_VALUE"""),"27-03-2026")</f>
        <v>27-03-2026</v>
      </c>
      <c r="B756" s="65">
        <f>IFERROR(__xludf.DUMMYFUNCTION("""COMPUTED_VALUE"""),4506846.0)</f>
        <v>4506846</v>
      </c>
      <c r="C756" s="65" t="str">
        <f>IFERROR(__xludf.DUMMYFUNCTION("""COMPUTED_VALUE"""),"07:22")</f>
        <v>07:22</v>
      </c>
      <c r="D756" s="65" t="str">
        <f>IFERROR(__xludf.DUMMYFUNCTION("""COMPUTED_VALUE"""),"14-02-2026")</f>
        <v>14-02-2026</v>
      </c>
      <c r="E756" s="65" t="str">
        <f>IFERROR(__xludf.DUMMYFUNCTION("""COMPUTED_VALUE"""),"Tanya Guicela Araujo Amador")</f>
        <v>Tanya Guicela Araujo Amador</v>
      </c>
      <c r="F756" s="65" t="str">
        <f>IFERROR(__xludf.DUMMYFUNCTION("""COMPUTED_VALUE"""),"988667666")</f>
        <v>988667666</v>
      </c>
      <c r="G756" s="65"/>
      <c r="H756" s="65"/>
      <c r="I756" s="65"/>
      <c r="J756" s="65" t="str">
        <f>IFERROR(__xludf.DUMMYFUNCTION("""COMPUTED_VALUE"""),"D001340345")</f>
        <v>D001340345</v>
      </c>
      <c r="K756" s="65" t="str">
        <f>IFERROR(__xludf.DUMMYFUNCTION("""COMPUTED_VALUE"""),"DEVOLUCION")</f>
        <v>DEVOLUCION</v>
      </c>
      <c r="L756" s="65" t="str">
        <f>IFERROR(__xludf.DUMMYFUNCTION("""COMPUTED_VALUE"""),"CON RECAUDO")</f>
        <v>CON RECAUDO</v>
      </c>
      <c r="M756" s="65" t="str">
        <f>IFERROR(__xludf.DUMMYFUNCTION("""COMPUTED_VALUE"""),"GUAYAS")</f>
        <v>GUAYAS</v>
      </c>
      <c r="N756" s="65" t="str">
        <f>IFERROR(__xludf.DUMMYFUNCTION("""COMPUTED_VALUE"""),"MILAGRO")</f>
        <v>MILAGRO</v>
      </c>
      <c r="O756" s="65" t="str">
        <f>IFERROR(__xludf.DUMMYFUNCTION("""COMPUTED_VALUE"""),"Otto Arosemena y  Guaranda -")</f>
        <v>Otto Arosemena y  Guaranda -</v>
      </c>
      <c r="P756" s="65"/>
      <c r="Q756" s="65" t="str">
        <f>IFERROR(__xludf.DUMMYFUNCTION("""COMPUTED_VALUE"""),"GINTRACOM")</f>
        <v>GINTRACOM</v>
      </c>
      <c r="R756" s="65">
        <f>IFERROR(__xludf.DUMMYFUNCTION("""COMPUTED_VALUE"""),22.0)</f>
        <v>22</v>
      </c>
      <c r="S756" s="65"/>
      <c r="T756" s="65">
        <f>IFERROR(__xludf.DUMMYFUNCTION("""COMPUTED_VALUE"""),5.26)</f>
        <v>5.26</v>
      </c>
      <c r="U756" s="65">
        <f>IFERROR(__xludf.DUMMYFUNCTION("""COMPUTED_VALUE"""),0.0)</f>
        <v>0</v>
      </c>
      <c r="V756" s="65">
        <f>IFERROR(__xludf.DUMMYFUNCTION("""COMPUTED_VALUE"""),0.0)</f>
        <v>0</v>
      </c>
      <c r="W756" s="65">
        <f>IFERROR(__xludf.DUMMYFUNCTION("""COMPUTED_VALUE"""),0.0)</f>
        <v>0</v>
      </c>
      <c r="X756" s="65">
        <f>IFERROR(__xludf.DUMMYFUNCTION("""COMPUTED_VALUE"""),2.6)</f>
        <v>2.6</v>
      </c>
      <c r="Y756" s="65">
        <f>IFERROR(__xludf.DUMMYFUNCTION("""COMPUTED_VALUE"""),5.2)</f>
        <v>5.2</v>
      </c>
      <c r="Z756" s="65">
        <f>IFERROR(__xludf.DUMMYFUNCTION("""COMPUTED_VALUE"""),121983.0)</f>
        <v>121983</v>
      </c>
      <c r="AA756" s="65" t="str">
        <f>IFERROR(__xludf.DUMMYFUNCTION("""COMPUTED_VALUE"""),"PROV-CHLLCF")</f>
        <v>PROV-CHLLCF</v>
      </c>
      <c r="AB756" s="65"/>
      <c r="AC756" s="65" t="str">
        <f>IFERROR(__xludf.DUMMYFUNCTION("""COMPUTED_VALUE"""),"CUCHILLO PARA CHEF")</f>
        <v>CUCHILLO PARA CHEF</v>
      </c>
      <c r="AD756" s="65"/>
      <c r="AE756" s="65">
        <f>IFERROR(__xludf.DUMMYFUNCTION("""COMPUTED_VALUE"""),2.0)</f>
        <v>2</v>
      </c>
      <c r="AF756" s="65" t="str">
        <f>IFERROR(__xludf.DUMMYFUNCTION("""COMPUTED_VALUE"""),"DESTINATARIO NO CONTESTA LLAMADAS NI WHATSAPP")</f>
        <v>DESTINATARIO NO CONTESTA LLAMADAS NI WHATSAPP</v>
      </c>
      <c r="AG756" s="65" t="str">
        <f>IFERROR(__xludf.DUMMYFUNCTION("""COMPUTED_VALUE"""),"SI")</f>
        <v>SI</v>
      </c>
      <c r="AH756" s="65" t="str">
        <f>IFERROR(__xludf.DUMMYFUNCTION("""COMPUTED_VALUE"""),"09:00")</f>
        <v>09:00</v>
      </c>
      <c r="AI756" s="65" t="str">
        <f>IFERROR(__xludf.DUMMYFUNCTION("""COMPUTED_VALUE"""),"03-03-2026")</f>
        <v>03-03-2026</v>
      </c>
      <c r="AJ756" s="65" t="str">
        <f>IFERROR(__xludf.DUMMYFUNCTION("""COMPUTED_VALUE"""),"CLIENTE SOLICITA LA ENTREGA INMEDIATA")</f>
        <v>CLIENTE SOLICITA LA ENTREGA INMEDIATA</v>
      </c>
      <c r="AK756" s="65" t="str">
        <f>IFERROR(__xludf.DUMMYFUNCTION("""COMPUTED_VALUE"""),"19:56")</f>
        <v>19:56</v>
      </c>
      <c r="AL756" s="65" t="str">
        <f>IFERROR(__xludf.DUMMYFUNCTION("""COMPUTED_VALUE"""),"04-03-2026")</f>
        <v>04-03-2026</v>
      </c>
      <c r="AM756" s="65"/>
      <c r="AN756" s="65" t="str">
        <f>IFERROR(__xludf.DUMMYFUNCTION("""COMPUTED_VALUE"""),"14:05")</f>
        <v>14:05</v>
      </c>
      <c r="AO756" s="65" t="str">
        <f>IFERROR(__xludf.DUMMYFUNCTION("""COMPUTED_VALUE"""),"17-03-2026")</f>
        <v>17-03-2026</v>
      </c>
      <c r="AP756" s="65" t="str">
        <f>IFERROR(__xludf.DUMMYFUNCTION("""COMPUTED_VALUE"""),"DEV CONFIRMADA POR BODEGA")</f>
        <v>DEV CONFIRMADA POR BODEGA</v>
      </c>
      <c r="AQ756" s="65"/>
      <c r="AR756" s="65" t="str">
        <f>IFERROR(__xludf.DUMMYFUNCTION("""COMPUTED_VALUE"""),"Gestionado por: PROVEDIX DAMIAN, email:enviogratisdirecto@gmail.com, total de productos en la orden: 1")</f>
        <v>Gestionado por: PROVEDIX DAMIAN, email:enviogratisdirecto@gmail.com, total de productos en la orden: 1</v>
      </c>
      <c r="AS756" s="65"/>
      <c r="AT756" s="65" t="str">
        <f>IFERROR(__xludf.DUMMYFUNCTION("""COMPUTED_VALUE"""),"SHOPIFY")</f>
        <v>SHOPIFY</v>
      </c>
      <c r="AU756" s="65" t="str">
        <f>IFERROR(__xludf.DUMMYFUNCTION("""COMPUTED_VALUE"""),"IMPORTEX EC")</f>
        <v>IMPORTEX EC</v>
      </c>
      <c r="AV756" s="65" t="str">
        <f>IFERROR(__xludf.DUMMYFUNCTION("""COMPUTED_VALUE"""),"6502780764204")</f>
        <v>6502780764204</v>
      </c>
      <c r="AW756" s="65">
        <f>IFERROR(__xludf.DUMMYFUNCTION("""COMPUTED_VALUE"""),6127.0)</f>
        <v>6127</v>
      </c>
      <c r="AX756" s="65"/>
      <c r="AY756" s="65" t="str">
        <f>IFERROR(__xludf.DUMMYFUNCTION("""COMPUTED_VALUE"""),"19/02/2026")</f>
        <v>19/02/2026</v>
      </c>
      <c r="AZ756" s="65"/>
      <c r="BA756" s="65"/>
    </row>
    <row r="757">
      <c r="A757" s="65" t="str">
        <f>IFERROR(__xludf.DUMMYFUNCTION("""COMPUTED_VALUE"""),"27-03-2026")</f>
        <v>27-03-2026</v>
      </c>
      <c r="B757" s="65">
        <f>IFERROR(__xludf.DUMMYFUNCTION("""COMPUTED_VALUE"""),4506814.0)</f>
        <v>4506814</v>
      </c>
      <c r="C757" s="65" t="str">
        <f>IFERROR(__xludf.DUMMYFUNCTION("""COMPUTED_VALUE"""),"07:17")</f>
        <v>07:17</v>
      </c>
      <c r="D757" s="65" t="str">
        <f>IFERROR(__xludf.DUMMYFUNCTION("""COMPUTED_VALUE"""),"14-02-2026")</f>
        <v>14-02-2026</v>
      </c>
      <c r="E757" s="65" t="str">
        <f>IFERROR(__xludf.DUMMYFUNCTION("""COMPUTED_VALUE"""),"Fxlz Lz")</f>
        <v>Fxlz Lz</v>
      </c>
      <c r="F757" s="65" t="str">
        <f>IFERROR(__xludf.DUMMYFUNCTION("""COMPUTED_VALUE"""),"983558651")</f>
        <v>983558651</v>
      </c>
      <c r="G757" s="65" t="str">
        <f>IFERROR(__xludf.DUMMYFUNCTION("""COMPUTED_VALUE"""),"xavolizano@yahoo.com")</f>
        <v>xavolizano@yahoo.com</v>
      </c>
      <c r="H757" s="65"/>
      <c r="I757" s="65"/>
      <c r="J757" s="65" t="str">
        <f>IFERROR(__xludf.DUMMYFUNCTION("""COMPUTED_VALUE"""),"D001340346")</f>
        <v>D001340346</v>
      </c>
      <c r="K757" s="65" t="str">
        <f>IFERROR(__xludf.DUMMYFUNCTION("""COMPUTED_VALUE"""),"ENTREGADO")</f>
        <v>ENTREGADO</v>
      </c>
      <c r="L757" s="65" t="str">
        <f>IFERROR(__xludf.DUMMYFUNCTION("""COMPUTED_VALUE"""),"CON RECAUDO")</f>
        <v>CON RECAUDO</v>
      </c>
      <c r="M757" s="65" t="str">
        <f>IFERROR(__xludf.DUMMYFUNCTION("""COMPUTED_VALUE"""),"PICHINCHA")</f>
        <v>PICHINCHA</v>
      </c>
      <c r="N757" s="65" t="str">
        <f>IFERROR(__xludf.DUMMYFUNCTION("""COMPUTED_VALUE"""),"QUITO")</f>
        <v>QUITO</v>
      </c>
      <c r="O757" s="65" t="str">
        <f>IFERROR(__xludf.DUMMYFUNCTION("""COMPUTED_VALUE"""),"lira ñan y Nusta sur casa club la hacienda manzana 5 casa 85 en la parte de atrás de casa somos Baldivia")</f>
        <v>lira ñan y Nusta sur casa club la hacienda manzana 5 casa 85 en la parte de atrás de casa somos Baldivia</v>
      </c>
      <c r="P757" s="65"/>
      <c r="Q757" s="65" t="str">
        <f>IFERROR(__xludf.DUMMYFUNCTION("""COMPUTED_VALUE"""),"GINTRACOM")</f>
        <v>GINTRACOM</v>
      </c>
      <c r="R757" s="65">
        <f>IFERROR(__xludf.DUMMYFUNCTION("""COMPUTED_VALUE"""),20.0)</f>
        <v>20</v>
      </c>
      <c r="S757" s="65">
        <f>IFERROR(__xludf.DUMMYFUNCTION("""COMPUTED_VALUE"""),11.84)</f>
        <v>11.84</v>
      </c>
      <c r="T757" s="65">
        <f>IFERROR(__xludf.DUMMYFUNCTION("""COMPUTED_VALUE"""),5.76)</f>
        <v>5.76</v>
      </c>
      <c r="U757" s="65">
        <f>IFERROR(__xludf.DUMMYFUNCTION("""COMPUTED_VALUE"""),0.0)</f>
        <v>0</v>
      </c>
      <c r="V757" s="65">
        <f>IFERROR(__xludf.DUMMYFUNCTION("""COMPUTED_VALUE"""),0.0)</f>
        <v>0</v>
      </c>
      <c r="W757" s="65">
        <f>IFERROR(__xludf.DUMMYFUNCTION("""COMPUTED_VALUE"""),0.0)</f>
        <v>0</v>
      </c>
      <c r="X757" s="65">
        <f>IFERROR(__xludf.DUMMYFUNCTION("""COMPUTED_VALUE"""),2.4)</f>
        <v>2.4</v>
      </c>
      <c r="Y757" s="65">
        <f>IFERROR(__xludf.DUMMYFUNCTION("""COMPUTED_VALUE"""),2.4)</f>
        <v>2.4</v>
      </c>
      <c r="Z757" s="65">
        <f>IFERROR(__xludf.DUMMYFUNCTION("""COMPUTED_VALUE"""),120732.0)</f>
        <v>120732</v>
      </c>
      <c r="AA757" s="65" t="str">
        <f>IFERROR(__xludf.DUMMYFUNCTION("""COMPUTED_VALUE"""),"PROV-LMPVT")</f>
        <v>PROV-LMPVT</v>
      </c>
      <c r="AB757" s="65"/>
      <c r="AC757" s="65" t="str">
        <f>IFERROR(__xludf.DUMMYFUNCTION("""COMPUTED_VALUE"""),"LIMPIADOR DE PARABRISAS Y VENTANAS")</f>
        <v>LIMPIADOR DE PARABRISAS Y VENTANAS</v>
      </c>
      <c r="AD757" s="65"/>
      <c r="AE757" s="65">
        <f>IFERROR(__xludf.DUMMYFUNCTION("""COMPUTED_VALUE"""),1.0)</f>
        <v>1</v>
      </c>
      <c r="AF757" s="65"/>
      <c r="AG757" s="65"/>
      <c r="AH757" s="65"/>
      <c r="AI757" s="65"/>
      <c r="AJ757" s="65"/>
      <c r="AK757" s="65"/>
      <c r="AL757" s="65"/>
      <c r="AM757" s="65"/>
      <c r="AN757" s="65" t="str">
        <f>IFERROR(__xludf.DUMMYFUNCTION("""COMPUTED_VALUE"""),"10:51")</f>
        <v>10:51</v>
      </c>
      <c r="AO757" s="65" t="str">
        <f>IFERROR(__xludf.DUMMYFUNCTION("""COMPUTED_VALUE"""),"21-02-2026")</f>
        <v>21-02-2026</v>
      </c>
      <c r="AP757" s="65" t="str">
        <f>IFERROR(__xludf.DUMMYFUNCTION("""COMPUTED_VALUE"""),"ENTREGADA GINTRACOM")</f>
        <v>ENTREGADA GINTRACOM</v>
      </c>
      <c r="AQ757" s="65" t="str">
        <f>IFERROR(__xludf.DUMMYFUNCTION("""COMPUTED_VALUE"""),"ENTREGADA GINTRACOM")</f>
        <v>ENTREGADA GINTRACOM</v>
      </c>
      <c r="AR757" s="65"/>
      <c r="AS757" s="65"/>
      <c r="AT757" s="65" t="str">
        <f>IFERROR(__xludf.DUMMYFUNCTION("""COMPUTED_VALUE"""),"SHOPIFY")</f>
        <v>SHOPIFY</v>
      </c>
      <c r="AU757" s="65" t="str">
        <f>IFERROR(__xludf.DUMMYFUNCTION("""COMPUTED_VALUE"""),"IMPORTEX EC")</f>
        <v>IMPORTEX EC</v>
      </c>
      <c r="AV757" s="65" t="str">
        <f>IFERROR(__xludf.DUMMYFUNCTION("""COMPUTED_VALUE"""),"6502776668204")</f>
        <v>6502776668204</v>
      </c>
      <c r="AW757" s="65">
        <f>IFERROR(__xludf.DUMMYFUNCTION("""COMPUTED_VALUE"""),6126.0)</f>
        <v>6126</v>
      </c>
      <c r="AX757" s="65"/>
      <c r="AY757" s="65" t="str">
        <f>IFERROR(__xludf.DUMMYFUNCTION("""COMPUTED_VALUE"""),"19/02/2026")</f>
        <v>19/02/2026</v>
      </c>
      <c r="AZ757" s="65"/>
      <c r="BA757" s="65"/>
    </row>
    <row r="758">
      <c r="A758" s="65" t="str">
        <f>IFERROR(__xludf.DUMMYFUNCTION("""COMPUTED_VALUE"""),"27-03-2026")</f>
        <v>27-03-2026</v>
      </c>
      <c r="B758" s="65">
        <f>IFERROR(__xludf.DUMMYFUNCTION("""COMPUTED_VALUE"""),4506785.0)</f>
        <v>4506785</v>
      </c>
      <c r="C758" s="65" t="str">
        <f>IFERROR(__xludf.DUMMYFUNCTION("""COMPUTED_VALUE"""),"07:13")</f>
        <v>07:13</v>
      </c>
      <c r="D758" s="65" t="str">
        <f>IFERROR(__xludf.DUMMYFUNCTION("""COMPUTED_VALUE"""),"14-02-2026")</f>
        <v>14-02-2026</v>
      </c>
      <c r="E758" s="65" t="str">
        <f>IFERROR(__xludf.DUMMYFUNCTION("""COMPUTED_VALUE"""),"Juan Palomo")</f>
        <v>Juan Palomo</v>
      </c>
      <c r="F758" s="65" t="str">
        <f>IFERROR(__xludf.DUMMYFUNCTION("""COMPUTED_VALUE"""),"997973369")</f>
        <v>997973369</v>
      </c>
      <c r="G758" s="65" t="str">
        <f>IFERROR(__xludf.DUMMYFUNCTION("""COMPUTED_VALUE"""),"juanpichon85@gmail.com")</f>
        <v>juanpichon85@gmail.com</v>
      </c>
      <c r="H758" s="65"/>
      <c r="I758" s="65"/>
      <c r="J758" s="65" t="str">
        <f>IFERROR(__xludf.DUMMYFUNCTION("""COMPUTED_VALUE"""),"D001340347")</f>
        <v>D001340347</v>
      </c>
      <c r="K758" s="65" t="str">
        <f>IFERROR(__xludf.DUMMYFUNCTION("""COMPUTED_VALUE"""),"ENTREGADO")</f>
        <v>ENTREGADO</v>
      </c>
      <c r="L758" s="65" t="str">
        <f>IFERROR(__xludf.DUMMYFUNCTION("""COMPUTED_VALUE"""),"CON RECAUDO")</f>
        <v>CON RECAUDO</v>
      </c>
      <c r="M758" s="65" t="str">
        <f>IFERROR(__xludf.DUMMYFUNCTION("""COMPUTED_VALUE"""),"TUNGURAHUA")</f>
        <v>TUNGURAHUA</v>
      </c>
      <c r="N758" s="65" t="str">
        <f>IFERROR(__xludf.DUMMYFUNCTION("""COMPUTED_VALUE"""),"AMBATO")</f>
        <v>AMBATO</v>
      </c>
      <c r="O758" s="65" t="str">
        <f>IFERROR(__xludf.DUMMYFUNCTION("""COMPUTED_VALUE"""),"Av. Verdeoloma y Quispicacha Terminal - Empresa Rectificadora M. Noboa")</f>
        <v>Av. Verdeoloma y Quispicacha Terminal - Empresa Rectificadora M. Noboa</v>
      </c>
      <c r="P758" s="65"/>
      <c r="Q758" s="65" t="str">
        <f>IFERROR(__xludf.DUMMYFUNCTION("""COMPUTED_VALUE"""),"GINTRACOM")</f>
        <v>GINTRACOM</v>
      </c>
      <c r="R758" s="65">
        <f>IFERROR(__xludf.DUMMYFUNCTION("""COMPUTED_VALUE"""),25.0)</f>
        <v>25</v>
      </c>
      <c r="S758" s="65">
        <f>IFERROR(__xludf.DUMMYFUNCTION("""COMPUTED_VALUE"""),14.24)</f>
        <v>14.24</v>
      </c>
      <c r="T758" s="65">
        <f>IFERROR(__xludf.DUMMYFUNCTION("""COMPUTED_VALUE"""),5.96)</f>
        <v>5.96</v>
      </c>
      <c r="U758" s="65">
        <f>IFERROR(__xludf.DUMMYFUNCTION("""COMPUTED_VALUE"""),0.0)</f>
        <v>0</v>
      </c>
      <c r="V758" s="65">
        <f>IFERROR(__xludf.DUMMYFUNCTION("""COMPUTED_VALUE"""),0.0)</f>
        <v>0</v>
      </c>
      <c r="W758" s="65">
        <f>IFERROR(__xludf.DUMMYFUNCTION("""COMPUTED_VALUE"""),0.0)</f>
        <v>0</v>
      </c>
      <c r="X758" s="65">
        <f>IFERROR(__xludf.DUMMYFUNCTION("""COMPUTED_VALUE"""),2.4)</f>
        <v>2.4</v>
      </c>
      <c r="Y758" s="65">
        <f>IFERROR(__xludf.DUMMYFUNCTION("""COMPUTED_VALUE"""),4.8)</f>
        <v>4.8</v>
      </c>
      <c r="Z758" s="65">
        <f>IFERROR(__xludf.DUMMYFUNCTION("""COMPUTED_VALUE"""),120732.0)</f>
        <v>120732</v>
      </c>
      <c r="AA758" s="65" t="str">
        <f>IFERROR(__xludf.DUMMYFUNCTION("""COMPUTED_VALUE"""),"PROV-LMPVT")</f>
        <v>PROV-LMPVT</v>
      </c>
      <c r="AB758" s="65"/>
      <c r="AC758" s="65" t="str">
        <f>IFERROR(__xludf.DUMMYFUNCTION("""COMPUTED_VALUE"""),"LIMPIADOR DE PARABRISAS Y VENTANAS")</f>
        <v>LIMPIADOR DE PARABRISAS Y VENTANAS</v>
      </c>
      <c r="AD758" s="65"/>
      <c r="AE758" s="65">
        <f>IFERROR(__xludf.DUMMYFUNCTION("""COMPUTED_VALUE"""),2.0)</f>
        <v>2</v>
      </c>
      <c r="AF758" s="65"/>
      <c r="AG758" s="65"/>
      <c r="AH758" s="65"/>
      <c r="AI758" s="65"/>
      <c r="AJ758" s="65"/>
      <c r="AK758" s="65"/>
      <c r="AL758" s="65"/>
      <c r="AM758" s="65"/>
      <c r="AN758" s="65" t="str">
        <f>IFERROR(__xludf.DUMMYFUNCTION("""COMPUTED_VALUE"""),"14:53")</f>
        <v>14:53</v>
      </c>
      <c r="AO758" s="65" t="str">
        <f>IFERROR(__xludf.DUMMYFUNCTION("""COMPUTED_VALUE"""),"23-02-2026")</f>
        <v>23-02-2026</v>
      </c>
      <c r="AP758" s="65" t="str">
        <f>IFERROR(__xludf.DUMMYFUNCTION("""COMPUTED_VALUE"""),"ENTREGADA GINTRACOM")</f>
        <v>ENTREGADA GINTRACOM</v>
      </c>
      <c r="AQ758" s="65" t="str">
        <f>IFERROR(__xludf.DUMMYFUNCTION("""COMPUTED_VALUE"""),"ENTREGADA GINTRACOM")</f>
        <v>ENTREGADA GINTRACOM</v>
      </c>
      <c r="AR758" s="65"/>
      <c r="AS758" s="65"/>
      <c r="AT758" s="65" t="str">
        <f>IFERROR(__xludf.DUMMYFUNCTION("""COMPUTED_VALUE"""),"SHOPIFY")</f>
        <v>SHOPIFY</v>
      </c>
      <c r="AU758" s="65" t="str">
        <f>IFERROR(__xludf.DUMMYFUNCTION("""COMPUTED_VALUE"""),"IMPORTEX EC")</f>
        <v>IMPORTEX EC</v>
      </c>
      <c r="AV758" s="65" t="str">
        <f>IFERROR(__xludf.DUMMYFUNCTION("""COMPUTED_VALUE"""),"6502773293100")</f>
        <v>6502773293100</v>
      </c>
      <c r="AW758" s="65">
        <f>IFERROR(__xludf.DUMMYFUNCTION("""COMPUTED_VALUE"""),6125.0)</f>
        <v>6125</v>
      </c>
      <c r="AX758" s="65"/>
      <c r="AY758" s="65" t="str">
        <f>IFERROR(__xludf.DUMMYFUNCTION("""COMPUTED_VALUE"""),"19/02/2026")</f>
        <v>19/02/2026</v>
      </c>
      <c r="AZ758" s="65"/>
      <c r="BA758" s="65"/>
    </row>
    <row r="759">
      <c r="A759" s="65" t="str">
        <f>IFERROR(__xludf.DUMMYFUNCTION("""COMPUTED_VALUE"""),"27-03-2026")</f>
        <v>27-03-2026</v>
      </c>
      <c r="B759" s="65">
        <f>IFERROR(__xludf.DUMMYFUNCTION("""COMPUTED_VALUE"""),4506666.0)</f>
        <v>4506666</v>
      </c>
      <c r="C759" s="65" t="str">
        <f>IFERROR(__xludf.DUMMYFUNCTION("""COMPUTED_VALUE"""),"06:54")</f>
        <v>06:54</v>
      </c>
      <c r="D759" s="65" t="str">
        <f>IFERROR(__xludf.DUMMYFUNCTION("""COMPUTED_VALUE"""),"14-02-2026")</f>
        <v>14-02-2026</v>
      </c>
      <c r="E759" s="65" t="str">
        <f>IFERROR(__xludf.DUMMYFUNCTION("""COMPUTED_VALUE"""),"Antonhy Lima")</f>
        <v>Antonhy Lima</v>
      </c>
      <c r="F759" s="65" t="str">
        <f>IFERROR(__xludf.DUMMYFUNCTION("""COMPUTED_VALUE"""),"991792170")</f>
        <v>991792170</v>
      </c>
      <c r="G759" s="65" t="str">
        <f>IFERROR(__xludf.DUMMYFUNCTION("""COMPUTED_VALUE"""),"cranthony616@gmail.com")</f>
        <v>cranthony616@gmail.com</v>
      </c>
      <c r="H759" s="65"/>
      <c r="I759" s="65"/>
      <c r="J759" s="65"/>
      <c r="K759" s="65" t="str">
        <f>IFERROR(__xludf.DUMMYFUNCTION("""COMPUTED_VALUE"""),"PENDIENTE CONFIRMACION")</f>
        <v>PENDIENTE CONFIRMACION</v>
      </c>
      <c r="L759" s="65" t="str">
        <f>IFERROR(__xludf.DUMMYFUNCTION("""COMPUTED_VALUE"""),"CON RECAUDO")</f>
        <v>CON RECAUDO</v>
      </c>
      <c r="M759" s="65" t="str">
        <f>IFERROR(__xludf.DUMMYFUNCTION("""COMPUTED_VALUE"""),"ZAMORA CHINCHIPE")</f>
        <v>ZAMORA CHINCHIPE</v>
      </c>
      <c r="N759" s="65" t="str">
        <f>IFERROR(__xludf.DUMMYFUNCTION("""COMPUTED_VALUE"""),"GUAYZIMI")</f>
        <v>GUAYZIMI</v>
      </c>
      <c r="O759" s="65" t="str">
        <f>IFERROR(__xludf.DUMMYFUNCTION("""COMPUTED_VALUE"""),"Barrio Reina del cisne frente ala urna casa de un piso color ladrillo")</f>
        <v>Barrio Reina del cisne frente ala urna casa de un piso color ladrillo</v>
      </c>
      <c r="P759" s="65" t="str">
        <f>IFERROR(__xludf.DUMMYFUNCTION("""COMPUTED_VALUE"""),"CUCHILLO PARA CHEF: Default Title ***")</f>
        <v>CUCHILLO PARA CHEF: Default Title ***</v>
      </c>
      <c r="Q759" s="65" t="str">
        <f>IFERROR(__xludf.DUMMYFUNCTION("""COMPUTED_VALUE"""),"SERVIENTREGA")</f>
        <v>SERVIENTREGA</v>
      </c>
      <c r="R759" s="65">
        <f>IFERROR(__xludf.DUMMYFUNCTION("""COMPUTED_VALUE"""),22.0)</f>
        <v>22</v>
      </c>
      <c r="S759" s="65"/>
      <c r="T759" s="65">
        <f>IFERROR(__xludf.DUMMYFUNCTION("""COMPUTED_VALUE"""),7.7)</f>
        <v>7.7</v>
      </c>
      <c r="U759" s="65">
        <f>IFERROR(__xludf.DUMMYFUNCTION("""COMPUTED_VALUE"""),0.0)</f>
        <v>0</v>
      </c>
      <c r="V759" s="65">
        <f>IFERROR(__xludf.DUMMYFUNCTION("""COMPUTED_VALUE"""),0.0)</f>
        <v>0</v>
      </c>
      <c r="W759" s="65">
        <f>IFERROR(__xludf.DUMMYFUNCTION("""COMPUTED_VALUE"""),0.0)</f>
        <v>0</v>
      </c>
      <c r="X759" s="65">
        <f>IFERROR(__xludf.DUMMYFUNCTION("""COMPUTED_VALUE"""),2.6)</f>
        <v>2.6</v>
      </c>
      <c r="Y759" s="65">
        <f>IFERROR(__xludf.DUMMYFUNCTION("""COMPUTED_VALUE"""),5.2)</f>
        <v>5.2</v>
      </c>
      <c r="Z759" s="65">
        <f>IFERROR(__xludf.DUMMYFUNCTION("""COMPUTED_VALUE"""),121983.0)</f>
        <v>121983</v>
      </c>
      <c r="AA759" s="65" t="str">
        <f>IFERROR(__xludf.DUMMYFUNCTION("""COMPUTED_VALUE"""),"PROV-CHLLCF")</f>
        <v>PROV-CHLLCF</v>
      </c>
      <c r="AB759" s="65"/>
      <c r="AC759" s="65" t="str">
        <f>IFERROR(__xludf.DUMMYFUNCTION("""COMPUTED_VALUE"""),"CUCHILLO PARA CHEF")</f>
        <v>CUCHILLO PARA CHEF</v>
      </c>
      <c r="AD759" s="65"/>
      <c r="AE759" s="65">
        <f>IFERROR(__xludf.DUMMYFUNCTION("""COMPUTED_VALUE"""),2.0)</f>
        <v>2</v>
      </c>
      <c r="AF759" s="65"/>
      <c r="AG759" s="65"/>
      <c r="AH759" s="65"/>
      <c r="AI759" s="65"/>
      <c r="AJ759" s="65"/>
      <c r="AK759" s="65"/>
      <c r="AL759" s="65"/>
      <c r="AM759" s="65"/>
      <c r="AN759" s="65"/>
      <c r="AO759" s="65"/>
      <c r="AP759" s="65"/>
      <c r="AQ759" s="65"/>
      <c r="AR759" s="65"/>
      <c r="AS759" s="65"/>
      <c r="AT759" s="65" t="str">
        <f>IFERROR(__xludf.DUMMYFUNCTION("""COMPUTED_VALUE"""),"SHOPIFY")</f>
        <v>SHOPIFY</v>
      </c>
      <c r="AU759" s="65" t="str">
        <f>IFERROR(__xludf.DUMMYFUNCTION("""COMPUTED_VALUE"""),"IMPORTEX EC")</f>
        <v>IMPORTEX EC</v>
      </c>
      <c r="AV759" s="65" t="str">
        <f>IFERROR(__xludf.DUMMYFUNCTION("""COMPUTED_VALUE"""),"6502758481964")</f>
        <v>6502758481964</v>
      </c>
      <c r="AW759" s="65">
        <f>IFERROR(__xludf.DUMMYFUNCTION("""COMPUTED_VALUE"""),6123.0)</f>
        <v>6123</v>
      </c>
      <c r="AX759" s="65"/>
      <c r="AY759" s="65"/>
      <c r="AZ759" s="65"/>
      <c r="BA759" s="65"/>
    </row>
    <row r="760">
      <c r="A760" s="65" t="str">
        <f>IFERROR(__xludf.DUMMYFUNCTION("""COMPUTED_VALUE"""),"27-03-2026")</f>
        <v>27-03-2026</v>
      </c>
      <c r="B760" s="65">
        <f>IFERROR(__xludf.DUMMYFUNCTION("""COMPUTED_VALUE"""),4506570.0)</f>
        <v>4506570</v>
      </c>
      <c r="C760" s="65" t="str">
        <f>IFERROR(__xludf.DUMMYFUNCTION("""COMPUTED_VALUE"""),"06:39")</f>
        <v>06:39</v>
      </c>
      <c r="D760" s="65" t="str">
        <f>IFERROR(__xludf.DUMMYFUNCTION("""COMPUTED_VALUE"""),"14-02-2026")</f>
        <v>14-02-2026</v>
      </c>
      <c r="E760" s="65" t="str">
        <f>IFERROR(__xludf.DUMMYFUNCTION("""COMPUTED_VALUE"""),"Noris Delgado")</f>
        <v>Noris Delgado</v>
      </c>
      <c r="F760" s="65" t="str">
        <f>IFERROR(__xludf.DUMMYFUNCTION("""COMPUTED_VALUE"""),"997420445")</f>
        <v>997420445</v>
      </c>
      <c r="G760" s="65" t="str">
        <f>IFERROR(__xludf.DUMMYFUNCTION("""COMPUTED_VALUE"""),"norisdelgado1998@gmail.com")</f>
        <v>norisdelgado1998@gmail.com</v>
      </c>
      <c r="H760" s="65"/>
      <c r="I760" s="65"/>
      <c r="J760" s="65" t="str">
        <f>IFERROR(__xludf.DUMMYFUNCTION("""COMPUTED_VALUE"""),"D001340348")</f>
        <v>D001340348</v>
      </c>
      <c r="K760" s="65" t="str">
        <f>IFERROR(__xludf.DUMMYFUNCTION("""COMPUTED_VALUE"""),"ENTREGADO")</f>
        <v>ENTREGADO</v>
      </c>
      <c r="L760" s="65" t="str">
        <f>IFERROR(__xludf.DUMMYFUNCTION("""COMPUTED_VALUE"""),"CON RECAUDO")</f>
        <v>CON RECAUDO</v>
      </c>
      <c r="M760" s="65" t="str">
        <f>IFERROR(__xludf.DUMMYFUNCTION("""COMPUTED_VALUE"""),"GUAYAS")</f>
        <v>GUAYAS</v>
      </c>
      <c r="N760" s="65" t="str">
        <f>IFERROR(__xludf.DUMMYFUNCTION("""COMPUTED_VALUE"""),"DAULE")</f>
        <v>DAULE</v>
      </c>
      <c r="O760" s="65" t="str">
        <f>IFERROR(__xludf.DUMMYFUNCTION("""COMPUTED_VALUE"""),"URBANIZACION VILLA DEL REY ETAPA : Princesa Diana mz 11 villa 17, cerca de tía y aki, Rey Eduardo")</f>
        <v>URBANIZACION VILLA DEL REY ETAPA : Princesa Diana mz 11 villa 17, cerca de tía y aki, Rey Eduardo</v>
      </c>
      <c r="P760" s="65"/>
      <c r="Q760" s="65" t="str">
        <f>IFERROR(__xludf.DUMMYFUNCTION("""COMPUTED_VALUE"""),"GINTRACOM")</f>
        <v>GINTRACOM</v>
      </c>
      <c r="R760" s="65">
        <f>IFERROR(__xludf.DUMMYFUNCTION("""COMPUTED_VALUE"""),22.0)</f>
        <v>22</v>
      </c>
      <c r="S760" s="65">
        <f>IFERROR(__xludf.DUMMYFUNCTION("""COMPUTED_VALUE"""),11.54)</f>
        <v>11.54</v>
      </c>
      <c r="T760" s="65">
        <f>IFERROR(__xludf.DUMMYFUNCTION("""COMPUTED_VALUE"""),5.26)</f>
        <v>5.26</v>
      </c>
      <c r="U760" s="65">
        <f>IFERROR(__xludf.DUMMYFUNCTION("""COMPUTED_VALUE"""),0.0)</f>
        <v>0</v>
      </c>
      <c r="V760" s="65">
        <f>IFERROR(__xludf.DUMMYFUNCTION("""COMPUTED_VALUE"""),0.0)</f>
        <v>0</v>
      </c>
      <c r="W760" s="65">
        <f>IFERROR(__xludf.DUMMYFUNCTION("""COMPUTED_VALUE"""),0.0)</f>
        <v>0</v>
      </c>
      <c r="X760" s="65">
        <f>IFERROR(__xludf.DUMMYFUNCTION("""COMPUTED_VALUE"""),2.6)</f>
        <v>2.6</v>
      </c>
      <c r="Y760" s="65">
        <f>IFERROR(__xludf.DUMMYFUNCTION("""COMPUTED_VALUE"""),5.2)</f>
        <v>5.2</v>
      </c>
      <c r="Z760" s="65">
        <f>IFERROR(__xludf.DUMMYFUNCTION("""COMPUTED_VALUE"""),121983.0)</f>
        <v>121983</v>
      </c>
      <c r="AA760" s="65" t="str">
        <f>IFERROR(__xludf.DUMMYFUNCTION("""COMPUTED_VALUE"""),"PROV-CHLLCF")</f>
        <v>PROV-CHLLCF</v>
      </c>
      <c r="AB760" s="65"/>
      <c r="AC760" s="65" t="str">
        <f>IFERROR(__xludf.DUMMYFUNCTION("""COMPUTED_VALUE"""),"CUCHILLO PARA CHEF")</f>
        <v>CUCHILLO PARA CHEF</v>
      </c>
      <c r="AD760" s="65"/>
      <c r="AE760" s="65">
        <f>IFERROR(__xludf.DUMMYFUNCTION("""COMPUTED_VALUE"""),2.0)</f>
        <v>2</v>
      </c>
      <c r="AF760" s="65" t="str">
        <f>IFERROR(__xludf.DUMMYFUNCTION("""COMPUTED_VALUE"""),"DESTINATARIO NO SE ENCUENTRA EN LUGAR DE ENTREGA.")</f>
        <v>DESTINATARIO NO SE ENCUENTRA EN LUGAR DE ENTREGA.</v>
      </c>
      <c r="AG760" s="65" t="str">
        <f>IFERROR(__xludf.DUMMYFUNCTION("""COMPUTED_VALUE"""),"SI")</f>
        <v>SI</v>
      </c>
      <c r="AH760" s="65" t="str">
        <f>IFERROR(__xludf.DUMMYFUNCTION("""COMPUTED_VALUE"""),"14:16")</f>
        <v>14:16</v>
      </c>
      <c r="AI760" s="65" t="str">
        <f>IFERROR(__xludf.DUMMYFUNCTION("""COMPUTED_VALUE"""),"21-02-2026")</f>
        <v>21-02-2026</v>
      </c>
      <c r="AJ760" s="65" t="str">
        <f>IFERROR(__xludf.DUMMYFUNCTION("""COMPUTED_VALUE"""),"CLIENTE SOLICITA LA ENTREGA DE SU PEDIDO")</f>
        <v>CLIENTE SOLICITA LA ENTREGA DE SU PEDIDO</v>
      </c>
      <c r="AK760" s="65" t="str">
        <f>IFERROR(__xludf.DUMMYFUNCTION("""COMPUTED_VALUE"""),"11:51")</f>
        <v>11:51</v>
      </c>
      <c r="AL760" s="65" t="str">
        <f>IFERROR(__xludf.DUMMYFUNCTION("""COMPUTED_VALUE"""),"24-02-2026")</f>
        <v>24-02-2026</v>
      </c>
      <c r="AM760" s="65"/>
      <c r="AN760" s="65" t="str">
        <f>IFERROR(__xludf.DUMMYFUNCTION("""COMPUTED_VALUE"""),"14:43")</f>
        <v>14:43</v>
      </c>
      <c r="AO760" s="65" t="str">
        <f>IFERROR(__xludf.DUMMYFUNCTION("""COMPUTED_VALUE"""),"25-02-2026")</f>
        <v>25-02-2026</v>
      </c>
      <c r="AP760" s="65" t="str">
        <f>IFERROR(__xludf.DUMMYFUNCTION("""COMPUTED_VALUE"""),"ENTREGADA GINTRACOM")</f>
        <v>ENTREGADA GINTRACOM</v>
      </c>
      <c r="AQ760" s="65" t="str">
        <f>IFERROR(__xludf.DUMMYFUNCTION("""COMPUTED_VALUE"""),"ENTREGADA GINTRACOM")</f>
        <v>ENTREGADA GINTRACOM</v>
      </c>
      <c r="AR760" s="65"/>
      <c r="AS760" s="65"/>
      <c r="AT760" s="65" t="str">
        <f>IFERROR(__xludf.DUMMYFUNCTION("""COMPUTED_VALUE"""),"SHOPIFY")</f>
        <v>SHOPIFY</v>
      </c>
      <c r="AU760" s="65" t="str">
        <f>IFERROR(__xludf.DUMMYFUNCTION("""COMPUTED_VALUE"""),"IMPORTEX EC")</f>
        <v>IMPORTEX EC</v>
      </c>
      <c r="AV760" s="65" t="str">
        <f>IFERROR(__xludf.DUMMYFUNCTION("""COMPUTED_VALUE"""),"6502750027820")</f>
        <v>6502750027820</v>
      </c>
      <c r="AW760" s="65">
        <f>IFERROR(__xludf.DUMMYFUNCTION("""COMPUTED_VALUE"""),6122.0)</f>
        <v>6122</v>
      </c>
      <c r="AX760" s="65"/>
      <c r="AY760" s="65" t="str">
        <f>IFERROR(__xludf.DUMMYFUNCTION("""COMPUTED_VALUE"""),"19/02/2026")</f>
        <v>19/02/2026</v>
      </c>
      <c r="AZ760" s="65"/>
      <c r="BA760" s="65"/>
    </row>
    <row r="761">
      <c r="A761" s="65" t="str">
        <f>IFERROR(__xludf.DUMMYFUNCTION("""COMPUTED_VALUE"""),"27-03-2026")</f>
        <v>27-03-2026</v>
      </c>
      <c r="B761" s="65">
        <f>IFERROR(__xludf.DUMMYFUNCTION("""COMPUTED_VALUE"""),4506426.0)</f>
        <v>4506426</v>
      </c>
      <c r="C761" s="65" t="str">
        <f>IFERROR(__xludf.DUMMYFUNCTION("""COMPUTED_VALUE"""),"05:48")</f>
        <v>05:48</v>
      </c>
      <c r="D761" s="65" t="str">
        <f>IFERROR(__xludf.DUMMYFUNCTION("""COMPUTED_VALUE"""),"14-02-2026")</f>
        <v>14-02-2026</v>
      </c>
      <c r="E761" s="65" t="str">
        <f>IFERROR(__xludf.DUMMYFUNCTION("""COMPUTED_VALUE"""),"Carlos Oswaldo Zapata Zapata Endara")</f>
        <v>Carlos Oswaldo Zapata Zapata Endara</v>
      </c>
      <c r="F761" s="65" t="str">
        <f>IFERROR(__xludf.DUMMYFUNCTION("""COMPUTED_VALUE"""),"998315431")</f>
        <v>998315431</v>
      </c>
      <c r="G761" s="65" t="str">
        <f>IFERROR(__xludf.DUMMYFUNCTION("""COMPUTED_VALUE"""),"czapata0503@hotmail.com")</f>
        <v>czapata0503@hotmail.com</v>
      </c>
      <c r="H761" s="65"/>
      <c r="I761" s="65"/>
      <c r="J761" s="65" t="str">
        <f>IFERROR(__xludf.DUMMYFUNCTION("""COMPUTED_VALUE"""),"D001340349")</f>
        <v>D001340349</v>
      </c>
      <c r="K761" s="65" t="str">
        <f>IFERROR(__xludf.DUMMYFUNCTION("""COMPUTED_VALUE"""),"ENTREGADO")</f>
        <v>ENTREGADO</v>
      </c>
      <c r="L761" s="65" t="str">
        <f>IFERROR(__xludf.DUMMYFUNCTION("""COMPUTED_VALUE"""),"CON RECAUDO")</f>
        <v>CON RECAUDO</v>
      </c>
      <c r="M761" s="65" t="str">
        <f>IFERROR(__xludf.DUMMYFUNCTION("""COMPUTED_VALUE"""),"PICHINCHA")</f>
        <v>PICHINCHA</v>
      </c>
      <c r="N761" s="65" t="str">
        <f>IFERROR(__xludf.DUMMYFUNCTION("""COMPUTED_VALUE"""),"CONOCOTO")</f>
        <v>CONOCOTO</v>
      </c>
      <c r="O761" s="65" t="str">
        <f>IFERROR(__xludf.DUMMYFUNCTION("""COMPUTED_VALUE"""),"Polit Lasso y Eloy Alfaro esquina, casa repostera San Vinicio local esquinero Conocoto -")</f>
        <v>Polit Lasso y Eloy Alfaro esquina, casa repostera San Vinicio local esquinero Conocoto -</v>
      </c>
      <c r="P761" s="65"/>
      <c r="Q761" s="65" t="str">
        <f>IFERROR(__xludf.DUMMYFUNCTION("""COMPUTED_VALUE"""),"GINTRACOM")</f>
        <v>GINTRACOM</v>
      </c>
      <c r="R761" s="65">
        <f>IFERROR(__xludf.DUMMYFUNCTION("""COMPUTED_VALUE"""),25.0)</f>
        <v>25</v>
      </c>
      <c r="S761" s="65">
        <f>IFERROR(__xludf.DUMMYFUNCTION("""COMPUTED_VALUE"""),14.24)</f>
        <v>14.24</v>
      </c>
      <c r="T761" s="65">
        <f>IFERROR(__xludf.DUMMYFUNCTION("""COMPUTED_VALUE"""),5.96)</f>
        <v>5.96</v>
      </c>
      <c r="U761" s="65">
        <f>IFERROR(__xludf.DUMMYFUNCTION("""COMPUTED_VALUE"""),0.0)</f>
        <v>0</v>
      </c>
      <c r="V761" s="65">
        <f>IFERROR(__xludf.DUMMYFUNCTION("""COMPUTED_VALUE"""),0.0)</f>
        <v>0</v>
      </c>
      <c r="W761" s="65">
        <f>IFERROR(__xludf.DUMMYFUNCTION("""COMPUTED_VALUE"""),0.0)</f>
        <v>0</v>
      </c>
      <c r="X761" s="65">
        <f>IFERROR(__xludf.DUMMYFUNCTION("""COMPUTED_VALUE"""),2.4)</f>
        <v>2.4</v>
      </c>
      <c r="Y761" s="65">
        <f>IFERROR(__xludf.DUMMYFUNCTION("""COMPUTED_VALUE"""),4.8)</f>
        <v>4.8</v>
      </c>
      <c r="Z761" s="65">
        <f>IFERROR(__xludf.DUMMYFUNCTION("""COMPUTED_VALUE"""),120732.0)</f>
        <v>120732</v>
      </c>
      <c r="AA761" s="65" t="str">
        <f>IFERROR(__xludf.DUMMYFUNCTION("""COMPUTED_VALUE"""),"PROV-LMPVT")</f>
        <v>PROV-LMPVT</v>
      </c>
      <c r="AB761" s="65"/>
      <c r="AC761" s="65" t="str">
        <f>IFERROR(__xludf.DUMMYFUNCTION("""COMPUTED_VALUE"""),"LIMPIADOR DE PARABRISAS Y VENTANAS")</f>
        <v>LIMPIADOR DE PARABRISAS Y VENTANAS</v>
      </c>
      <c r="AD761" s="65"/>
      <c r="AE761" s="65">
        <f>IFERROR(__xludf.DUMMYFUNCTION("""COMPUTED_VALUE"""),2.0)</f>
        <v>2</v>
      </c>
      <c r="AF761" s="65"/>
      <c r="AG761" s="65"/>
      <c r="AH761" s="65"/>
      <c r="AI761" s="65"/>
      <c r="AJ761" s="65"/>
      <c r="AK761" s="65"/>
      <c r="AL761" s="65"/>
      <c r="AM761" s="65"/>
      <c r="AN761" s="65" t="str">
        <f>IFERROR(__xludf.DUMMYFUNCTION("""COMPUTED_VALUE"""),"14:17")</f>
        <v>14:17</v>
      </c>
      <c r="AO761" s="65" t="str">
        <f>IFERROR(__xludf.DUMMYFUNCTION("""COMPUTED_VALUE"""),"20-02-2026")</f>
        <v>20-02-2026</v>
      </c>
      <c r="AP761" s="65" t="str">
        <f>IFERROR(__xludf.DUMMYFUNCTION("""COMPUTED_VALUE"""),"ENTREGADA GINTRACOM")</f>
        <v>ENTREGADA GINTRACOM</v>
      </c>
      <c r="AQ761" s="65" t="str">
        <f>IFERROR(__xludf.DUMMYFUNCTION("""COMPUTED_VALUE"""),"ENTREGADA GINTRACOM")</f>
        <v>ENTREGADA GINTRACOM</v>
      </c>
      <c r="AR761" s="65"/>
      <c r="AS761" s="65"/>
      <c r="AT761" s="65" t="str">
        <f>IFERROR(__xludf.DUMMYFUNCTION("""COMPUTED_VALUE"""),"SHOPIFY")</f>
        <v>SHOPIFY</v>
      </c>
      <c r="AU761" s="65" t="str">
        <f>IFERROR(__xludf.DUMMYFUNCTION("""COMPUTED_VALUE"""),"IMPORTEX EC")</f>
        <v>IMPORTEX EC</v>
      </c>
      <c r="AV761" s="65" t="str">
        <f>IFERROR(__xludf.DUMMYFUNCTION("""COMPUTED_VALUE"""),"6502719389740")</f>
        <v>6502719389740</v>
      </c>
      <c r="AW761" s="65">
        <f>IFERROR(__xludf.DUMMYFUNCTION("""COMPUTED_VALUE"""),6121.0)</f>
        <v>6121</v>
      </c>
      <c r="AX761" s="65"/>
      <c r="AY761" s="65" t="str">
        <f>IFERROR(__xludf.DUMMYFUNCTION("""COMPUTED_VALUE"""),"19/02/2026")</f>
        <v>19/02/2026</v>
      </c>
      <c r="AZ761" s="65"/>
      <c r="BA761" s="65"/>
    </row>
    <row r="762">
      <c r="A762" s="65" t="str">
        <f>IFERROR(__xludf.DUMMYFUNCTION("""COMPUTED_VALUE"""),"27-03-2026")</f>
        <v>27-03-2026</v>
      </c>
      <c r="B762" s="65">
        <f>IFERROR(__xludf.DUMMYFUNCTION("""COMPUTED_VALUE"""),4506150.0)</f>
        <v>4506150</v>
      </c>
      <c r="C762" s="65" t="str">
        <f>IFERROR(__xludf.DUMMYFUNCTION("""COMPUTED_VALUE"""),"02:25")</f>
        <v>02:25</v>
      </c>
      <c r="D762" s="65" t="str">
        <f>IFERROR(__xludf.DUMMYFUNCTION("""COMPUTED_VALUE"""),"14-02-2026")</f>
        <v>14-02-2026</v>
      </c>
      <c r="E762" s="65" t="str">
        <f>IFERROR(__xludf.DUMMYFUNCTION("""COMPUTED_VALUE"""),"Alex Urbano Estacio")</f>
        <v>Alex Urbano Estacio</v>
      </c>
      <c r="F762" s="65" t="str">
        <f>IFERROR(__xludf.DUMMYFUNCTION("""COMPUTED_VALUE"""),"967277872")</f>
        <v>967277872</v>
      </c>
      <c r="G762" s="65"/>
      <c r="H762" s="65"/>
      <c r="I762" s="65"/>
      <c r="J762" s="65"/>
      <c r="K762" s="65" t="str">
        <f>IFERROR(__xludf.DUMMYFUNCTION("""COMPUTED_VALUE"""),"CANCELADO")</f>
        <v>CANCELADO</v>
      </c>
      <c r="L762" s="65" t="str">
        <f>IFERROR(__xludf.DUMMYFUNCTION("""COMPUTED_VALUE"""),"CON RECAUDO")</f>
        <v>CON RECAUDO</v>
      </c>
      <c r="M762" s="65" t="str">
        <f>IFERROR(__xludf.DUMMYFUNCTION("""COMPUTED_VALUE"""),"GUAYAS")</f>
        <v>GUAYAS</v>
      </c>
      <c r="N762" s="65" t="str">
        <f>IFERROR(__xludf.DUMMYFUNCTION("""COMPUTED_VALUE"""),"GUAYAQUIL")</f>
        <v>GUAYAQUIL</v>
      </c>
      <c r="O762" s="65" t="str">
        <f>IFERROR(__xludf.DUMMYFUNCTION("""COMPUTED_VALUE"""),"Guayas. Guayaquil pascuales coop. Asad. Bucaran directo a Servientrega de pascuales más seguro")</f>
        <v>Guayas. Guayaquil pascuales coop. Asad. Bucaran directo a Servientrega de pascuales más seguro</v>
      </c>
      <c r="P762" s="65" t="str">
        <f>IFERROR(__xludf.DUMMYFUNCTION("""COMPUTED_VALUE"""),"CUCHILLO PARA CHEF: Default Title ***")</f>
        <v>CUCHILLO PARA CHEF: Default Title ***</v>
      </c>
      <c r="Q762" s="65" t="str">
        <f>IFERROR(__xludf.DUMMYFUNCTION("""COMPUTED_VALUE"""),"GINTRACOM")</f>
        <v>GINTRACOM</v>
      </c>
      <c r="R762" s="65">
        <f>IFERROR(__xludf.DUMMYFUNCTION("""COMPUTED_VALUE"""),21.99)</f>
        <v>21.99</v>
      </c>
      <c r="S762" s="65"/>
      <c r="T762" s="65">
        <f>IFERROR(__xludf.DUMMYFUNCTION("""COMPUTED_VALUE"""),4.23)</f>
        <v>4.23</v>
      </c>
      <c r="U762" s="65">
        <f>IFERROR(__xludf.DUMMYFUNCTION("""COMPUTED_VALUE"""),0.0)</f>
        <v>0</v>
      </c>
      <c r="V762" s="65">
        <f>IFERROR(__xludf.DUMMYFUNCTION("""COMPUTED_VALUE"""),0.0)</f>
        <v>0</v>
      </c>
      <c r="W762" s="65">
        <f>IFERROR(__xludf.DUMMYFUNCTION("""COMPUTED_VALUE"""),0.0)</f>
        <v>0</v>
      </c>
      <c r="X762" s="65">
        <f>IFERROR(__xludf.DUMMYFUNCTION("""COMPUTED_VALUE"""),2.6)</f>
        <v>2.6</v>
      </c>
      <c r="Y762" s="65">
        <f>IFERROR(__xludf.DUMMYFUNCTION("""COMPUTED_VALUE"""),2.6)</f>
        <v>2.6</v>
      </c>
      <c r="Z762" s="65">
        <f>IFERROR(__xludf.DUMMYFUNCTION("""COMPUTED_VALUE"""),121983.0)</f>
        <v>121983</v>
      </c>
      <c r="AA762" s="65" t="str">
        <f>IFERROR(__xludf.DUMMYFUNCTION("""COMPUTED_VALUE"""),"PROV-CHLLCF")</f>
        <v>PROV-CHLLCF</v>
      </c>
      <c r="AB762" s="65"/>
      <c r="AC762" s="65" t="str">
        <f>IFERROR(__xludf.DUMMYFUNCTION("""COMPUTED_VALUE"""),"CUCHILLO PARA CHEF")</f>
        <v>CUCHILLO PARA CHEF</v>
      </c>
      <c r="AD762" s="65"/>
      <c r="AE762" s="65">
        <f>IFERROR(__xludf.DUMMYFUNCTION("""COMPUTED_VALUE"""),1.0)</f>
        <v>1</v>
      </c>
      <c r="AF762" s="65"/>
      <c r="AG762" s="65"/>
      <c r="AH762" s="65"/>
      <c r="AI762" s="65"/>
      <c r="AJ762" s="65"/>
      <c r="AK762" s="65"/>
      <c r="AL762" s="65"/>
      <c r="AM762" s="65"/>
      <c r="AN762" s="65"/>
      <c r="AO762" s="65"/>
      <c r="AP762" s="65"/>
      <c r="AQ762" s="65"/>
      <c r="AR762" s="65"/>
      <c r="AS762" s="65"/>
      <c r="AT762" s="65" t="str">
        <f>IFERROR(__xludf.DUMMYFUNCTION("""COMPUTED_VALUE"""),"SHOPIFY")</f>
        <v>SHOPIFY</v>
      </c>
      <c r="AU762" s="65" t="str">
        <f>IFERROR(__xludf.DUMMYFUNCTION("""COMPUTED_VALUE"""),"IMPORTEX EC")</f>
        <v>IMPORTEX EC</v>
      </c>
      <c r="AV762" s="65" t="str">
        <f>IFERROR(__xludf.DUMMYFUNCTION("""COMPUTED_VALUE"""),"6502511181868")</f>
        <v>6502511181868</v>
      </c>
      <c r="AW762" s="65">
        <f>IFERROR(__xludf.DUMMYFUNCTION("""COMPUTED_VALUE"""),6120.0)</f>
        <v>6120</v>
      </c>
      <c r="AX762" s="65"/>
      <c r="AY762" s="65"/>
      <c r="AZ762" s="65"/>
      <c r="BA762" s="65"/>
    </row>
    <row r="763">
      <c r="A763" s="65" t="str">
        <f>IFERROR(__xludf.DUMMYFUNCTION("""COMPUTED_VALUE"""),"27-03-2026")</f>
        <v>27-03-2026</v>
      </c>
      <c r="B763" s="65">
        <f>IFERROR(__xludf.DUMMYFUNCTION("""COMPUTED_VALUE"""),4505972.0)</f>
        <v>4505972</v>
      </c>
      <c r="C763" s="65" t="str">
        <f>IFERROR(__xludf.DUMMYFUNCTION("""COMPUTED_VALUE"""),"00:48")</f>
        <v>00:48</v>
      </c>
      <c r="D763" s="65" t="str">
        <f>IFERROR(__xludf.DUMMYFUNCTION("""COMPUTED_VALUE"""),"14-02-2026")</f>
        <v>14-02-2026</v>
      </c>
      <c r="E763" s="65" t="str">
        <f>IFERROR(__xludf.DUMMYFUNCTION("""COMPUTED_VALUE"""),"rghtrgffg tbhyujhtrbfdb")</f>
        <v>rghtrgffg tbhyujhtrbfdb</v>
      </c>
      <c r="F763" s="65" t="str">
        <f>IFERROR(__xludf.DUMMYFUNCTION("""COMPUTED_VALUE"""),"987578569")</f>
        <v>987578569</v>
      </c>
      <c r="G763" s="65"/>
      <c r="H763" s="65"/>
      <c r="I763" s="65"/>
      <c r="J763" s="65"/>
      <c r="K763" s="65" t="str">
        <f>IFERROR(__xludf.DUMMYFUNCTION("""COMPUTED_VALUE"""),"CANCELADO")</f>
        <v>CANCELADO</v>
      </c>
      <c r="L763" s="65" t="str">
        <f>IFERROR(__xludf.DUMMYFUNCTION("""COMPUTED_VALUE"""),"CON RECAUDO")</f>
        <v>CON RECAUDO</v>
      </c>
      <c r="M763" s="65" t="str">
        <f>IFERROR(__xludf.DUMMYFUNCTION("""COMPUTED_VALUE"""),"GUAYAS")</f>
        <v>GUAYAS</v>
      </c>
      <c r="N763" s="65" t="str">
        <f>IFERROR(__xludf.DUMMYFUNCTION("""COMPUTED_VALUE"""),"GUAYAQUIL")</f>
        <v>GUAYAQUIL</v>
      </c>
      <c r="O763" s="65" t="str">
        <f>IFERROR(__xludf.DUMMYFUNCTION("""COMPUTED_VALUE"""),"febres cordero (LAS JUNTAS) vfbdfvvgrf -")</f>
        <v>febres cordero (LAS JUNTAS) vfbdfvvgrf -</v>
      </c>
      <c r="P763" s="65"/>
      <c r="Q763" s="65" t="str">
        <f>IFERROR(__xludf.DUMMYFUNCTION("""COMPUTED_VALUE"""),"GINTRACOM")</f>
        <v>GINTRACOM</v>
      </c>
      <c r="R763" s="65">
        <f>IFERROR(__xludf.DUMMYFUNCTION("""COMPUTED_VALUE"""),20.0)</f>
        <v>20</v>
      </c>
      <c r="S763" s="65"/>
      <c r="T763" s="65">
        <f>IFERROR(__xludf.DUMMYFUNCTION("""COMPUTED_VALUE"""),4.15)</f>
        <v>4.15</v>
      </c>
      <c r="U763" s="65">
        <f>IFERROR(__xludf.DUMMYFUNCTION("""COMPUTED_VALUE"""),0.0)</f>
        <v>0</v>
      </c>
      <c r="V763" s="65">
        <f>IFERROR(__xludf.DUMMYFUNCTION("""COMPUTED_VALUE"""),0.0)</f>
        <v>0</v>
      </c>
      <c r="W763" s="65">
        <f>IFERROR(__xludf.DUMMYFUNCTION("""COMPUTED_VALUE"""),0.0)</f>
        <v>0</v>
      </c>
      <c r="X763" s="65">
        <f>IFERROR(__xludf.DUMMYFUNCTION("""COMPUTED_VALUE"""),2.4)</f>
        <v>2.4</v>
      </c>
      <c r="Y763" s="65">
        <f>IFERROR(__xludf.DUMMYFUNCTION("""COMPUTED_VALUE"""),2.4)</f>
        <v>2.4</v>
      </c>
      <c r="Z763" s="65">
        <f>IFERROR(__xludf.DUMMYFUNCTION("""COMPUTED_VALUE"""),120732.0)</f>
        <v>120732</v>
      </c>
      <c r="AA763" s="65" t="str">
        <f>IFERROR(__xludf.DUMMYFUNCTION("""COMPUTED_VALUE"""),"PROV-LMPVT")</f>
        <v>PROV-LMPVT</v>
      </c>
      <c r="AB763" s="65"/>
      <c r="AC763" s="65" t="str">
        <f>IFERROR(__xludf.DUMMYFUNCTION("""COMPUTED_VALUE"""),"LIMPIADOR DE PARABRISAS Y VENTANAS")</f>
        <v>LIMPIADOR DE PARABRISAS Y VENTANAS</v>
      </c>
      <c r="AD763" s="65"/>
      <c r="AE763" s="65">
        <f>IFERROR(__xludf.DUMMYFUNCTION("""COMPUTED_VALUE"""),1.0)</f>
        <v>1</v>
      </c>
      <c r="AF763" s="65"/>
      <c r="AG763" s="65"/>
      <c r="AH763" s="65"/>
      <c r="AI763" s="65"/>
      <c r="AJ763" s="65"/>
      <c r="AK763" s="65"/>
      <c r="AL763" s="65"/>
      <c r="AM763" s="65"/>
      <c r="AN763" s="65"/>
      <c r="AO763" s="65"/>
      <c r="AP763" s="65"/>
      <c r="AQ763" s="65"/>
      <c r="AR763" s="65"/>
      <c r="AS763" s="65"/>
      <c r="AT763" s="65" t="str">
        <f>IFERROR(__xludf.DUMMYFUNCTION("""COMPUTED_VALUE"""),"SHOPIFY")</f>
        <v>SHOPIFY</v>
      </c>
      <c r="AU763" s="65" t="str">
        <f>IFERROR(__xludf.DUMMYFUNCTION("""COMPUTED_VALUE"""),"IMPORTEX EC")</f>
        <v>IMPORTEX EC</v>
      </c>
      <c r="AV763" s="65" t="str">
        <f>IFERROR(__xludf.DUMMYFUNCTION("""COMPUTED_VALUE"""),"6502429786156")</f>
        <v>6502429786156</v>
      </c>
      <c r="AW763" s="65">
        <f>IFERROR(__xludf.DUMMYFUNCTION("""COMPUTED_VALUE"""),6119.0)</f>
        <v>6119</v>
      </c>
      <c r="AX763" s="65"/>
      <c r="AY763" s="65"/>
      <c r="AZ763" s="65"/>
      <c r="BA763" s="65"/>
    </row>
    <row r="764">
      <c r="A764" s="65" t="str">
        <f>IFERROR(__xludf.DUMMYFUNCTION("""COMPUTED_VALUE"""),"27-03-2026")</f>
        <v>27-03-2026</v>
      </c>
      <c r="B764" s="65">
        <f>IFERROR(__xludf.DUMMYFUNCTION("""COMPUTED_VALUE"""),4505883.0)</f>
        <v>4505883</v>
      </c>
      <c r="C764" s="65" t="str">
        <f>IFERROR(__xludf.DUMMYFUNCTION("""COMPUTED_VALUE"""),"00:23")</f>
        <v>00:23</v>
      </c>
      <c r="D764" s="65" t="str">
        <f>IFERROR(__xludf.DUMMYFUNCTION("""COMPUTED_VALUE"""),"14-02-2026")</f>
        <v>14-02-2026</v>
      </c>
      <c r="E764" s="65" t="str">
        <f>IFERROR(__xludf.DUMMYFUNCTION("""COMPUTED_VALUE"""),"roberto barbera")</f>
        <v>roberto barbera</v>
      </c>
      <c r="F764" s="65" t="str">
        <f>IFERROR(__xludf.DUMMYFUNCTION("""COMPUTED_VALUE"""),"980163905")</f>
        <v>980163905</v>
      </c>
      <c r="G764" s="65" t="str">
        <f>IFERROR(__xludf.DUMMYFUNCTION("""COMPUTED_VALUE"""),"robertobarbera92@gmail.com")</f>
        <v>robertobarbera92@gmail.com</v>
      </c>
      <c r="H764" s="65"/>
      <c r="I764" s="65"/>
      <c r="J764" s="65" t="str">
        <f>IFERROR(__xludf.DUMMYFUNCTION("""COMPUTED_VALUE"""),"D001340350")</f>
        <v>D001340350</v>
      </c>
      <c r="K764" s="65" t="str">
        <f>IFERROR(__xludf.DUMMYFUNCTION("""COMPUTED_VALUE"""),"ENTREGADO")</f>
        <v>ENTREGADO</v>
      </c>
      <c r="L764" s="65" t="str">
        <f>IFERROR(__xludf.DUMMYFUNCTION("""COMPUTED_VALUE"""),"CON RECAUDO")</f>
        <v>CON RECAUDO</v>
      </c>
      <c r="M764" s="65" t="str">
        <f>IFERROR(__xludf.DUMMYFUNCTION("""COMPUTED_VALUE"""),"LOS RIOS")</f>
        <v>LOS RIOS</v>
      </c>
      <c r="N764" s="65" t="str">
        <f>IFERROR(__xludf.DUMMYFUNCTION("""COMPUTED_VALUE"""),"BABAHOYO")</f>
        <v>BABAHOYO</v>
      </c>
      <c r="O764" s="65" t="str">
        <f>IFERROR(__xludf.DUMMYFUNCTION("""COMPUTED_VALUE"""),"27 de mayo,  Entre Juan x Marcos y Garcia Moreno -")</f>
        <v>27 de mayo,  Entre Juan x Marcos y Garcia Moreno -</v>
      </c>
      <c r="P764" s="65"/>
      <c r="Q764" s="65" t="str">
        <f>IFERROR(__xludf.DUMMYFUNCTION("""COMPUTED_VALUE"""),"GINTRACOM")</f>
        <v>GINTRACOM</v>
      </c>
      <c r="R764" s="65">
        <f>IFERROR(__xludf.DUMMYFUNCTION("""COMPUTED_VALUE"""),22.0)</f>
        <v>22</v>
      </c>
      <c r="S764" s="65">
        <f>IFERROR(__xludf.DUMMYFUNCTION("""COMPUTED_VALUE"""),10.96)</f>
        <v>10.96</v>
      </c>
      <c r="T764" s="65">
        <f>IFERROR(__xludf.DUMMYFUNCTION("""COMPUTED_VALUE"""),5.84)</f>
        <v>5.84</v>
      </c>
      <c r="U764" s="65">
        <f>IFERROR(__xludf.DUMMYFUNCTION("""COMPUTED_VALUE"""),0.0)</f>
        <v>0</v>
      </c>
      <c r="V764" s="65">
        <f>IFERROR(__xludf.DUMMYFUNCTION("""COMPUTED_VALUE"""),0.0)</f>
        <v>0</v>
      </c>
      <c r="W764" s="65">
        <f>IFERROR(__xludf.DUMMYFUNCTION("""COMPUTED_VALUE"""),0.0)</f>
        <v>0</v>
      </c>
      <c r="X764" s="65">
        <f>IFERROR(__xludf.DUMMYFUNCTION("""COMPUTED_VALUE"""),2.6)</f>
        <v>2.6</v>
      </c>
      <c r="Y764" s="65">
        <f>IFERROR(__xludf.DUMMYFUNCTION("""COMPUTED_VALUE"""),5.2)</f>
        <v>5.2</v>
      </c>
      <c r="Z764" s="65">
        <f>IFERROR(__xludf.DUMMYFUNCTION("""COMPUTED_VALUE"""),121983.0)</f>
        <v>121983</v>
      </c>
      <c r="AA764" s="65" t="str">
        <f>IFERROR(__xludf.DUMMYFUNCTION("""COMPUTED_VALUE"""),"PROV-CHLLCF")</f>
        <v>PROV-CHLLCF</v>
      </c>
      <c r="AB764" s="65"/>
      <c r="AC764" s="65" t="str">
        <f>IFERROR(__xludf.DUMMYFUNCTION("""COMPUTED_VALUE"""),"CUCHILLO PARA CHEF")</f>
        <v>CUCHILLO PARA CHEF</v>
      </c>
      <c r="AD764" s="65"/>
      <c r="AE764" s="65">
        <f>IFERROR(__xludf.DUMMYFUNCTION("""COMPUTED_VALUE"""),2.0)</f>
        <v>2</v>
      </c>
      <c r="AF764" s="65"/>
      <c r="AG764" s="65"/>
      <c r="AH764" s="65"/>
      <c r="AI764" s="65"/>
      <c r="AJ764" s="65"/>
      <c r="AK764" s="65"/>
      <c r="AL764" s="65"/>
      <c r="AM764" s="65"/>
      <c r="AN764" s="65" t="str">
        <f>IFERROR(__xludf.DUMMYFUNCTION("""COMPUTED_VALUE"""),"12:01")</f>
        <v>12:01</v>
      </c>
      <c r="AO764" s="65" t="str">
        <f>IFERROR(__xludf.DUMMYFUNCTION("""COMPUTED_VALUE"""),"21-02-2026")</f>
        <v>21-02-2026</v>
      </c>
      <c r="AP764" s="65" t="str">
        <f>IFERROR(__xludf.DUMMYFUNCTION("""COMPUTED_VALUE"""),"ENTREGADA GINTRACOM")</f>
        <v>ENTREGADA GINTRACOM</v>
      </c>
      <c r="AQ764" s="65" t="str">
        <f>IFERROR(__xludf.DUMMYFUNCTION("""COMPUTED_VALUE"""),"ENTREGADA GINTRACOM")</f>
        <v>ENTREGADA GINTRACOM</v>
      </c>
      <c r="AR764" s="65"/>
      <c r="AS764" s="65"/>
      <c r="AT764" s="65" t="str">
        <f>IFERROR(__xludf.DUMMYFUNCTION("""COMPUTED_VALUE"""),"SHOPIFY")</f>
        <v>SHOPIFY</v>
      </c>
      <c r="AU764" s="65" t="str">
        <f>IFERROR(__xludf.DUMMYFUNCTION("""COMPUTED_VALUE"""),"IMPORTEX EC")</f>
        <v>IMPORTEX EC</v>
      </c>
      <c r="AV764" s="65" t="str">
        <f>IFERROR(__xludf.DUMMYFUNCTION("""COMPUTED_VALUE"""),"6502403964972")</f>
        <v>6502403964972</v>
      </c>
      <c r="AW764" s="65">
        <f>IFERROR(__xludf.DUMMYFUNCTION("""COMPUTED_VALUE"""),6118.0)</f>
        <v>6118</v>
      </c>
      <c r="AX764" s="65"/>
      <c r="AY764" s="65" t="str">
        <f>IFERROR(__xludf.DUMMYFUNCTION("""COMPUTED_VALUE"""),"19/02/2026")</f>
        <v>19/02/2026</v>
      </c>
      <c r="AZ764" s="65"/>
      <c r="BA764" s="65"/>
    </row>
    <row r="765">
      <c r="A765" s="65" t="str">
        <f>IFERROR(__xludf.DUMMYFUNCTION("""COMPUTED_VALUE"""),"27-03-2026")</f>
        <v>27-03-2026</v>
      </c>
      <c r="B765" s="65">
        <f>IFERROR(__xludf.DUMMYFUNCTION("""COMPUTED_VALUE"""),4505682.0)</f>
        <v>4505682</v>
      </c>
      <c r="C765" s="65" t="str">
        <f>IFERROR(__xludf.DUMMYFUNCTION("""COMPUTED_VALUE"""),"23:29")</f>
        <v>23:29</v>
      </c>
      <c r="D765" s="65" t="str">
        <f>IFERROR(__xludf.DUMMYFUNCTION("""COMPUTED_VALUE"""),"13-02-2026")</f>
        <v>13-02-2026</v>
      </c>
      <c r="E765" s="65" t="str">
        <f>IFERROR(__xludf.DUMMYFUNCTION("""COMPUTED_VALUE"""),"Germania Quevedo")</f>
        <v>Germania Quevedo</v>
      </c>
      <c r="F765" s="65" t="str">
        <f>IFERROR(__xludf.DUMMYFUNCTION("""COMPUTED_VALUE"""),"968619161")</f>
        <v>968619161</v>
      </c>
      <c r="G765" s="65" t="str">
        <f>IFERROR(__xludf.DUMMYFUNCTION("""COMPUTED_VALUE"""),"germany_quevedo@yahoo.com")</f>
        <v>germany_quevedo@yahoo.com</v>
      </c>
      <c r="H765" s="65"/>
      <c r="I765" s="65"/>
      <c r="J765" s="65" t="str">
        <f>IFERROR(__xludf.DUMMYFUNCTION("""COMPUTED_VALUE"""),"D001340351")</f>
        <v>D001340351</v>
      </c>
      <c r="K765" s="65" t="str">
        <f>IFERROR(__xludf.DUMMYFUNCTION("""COMPUTED_VALUE"""),"ENTREGADO")</f>
        <v>ENTREGADO</v>
      </c>
      <c r="L765" s="65" t="str">
        <f>IFERROR(__xludf.DUMMYFUNCTION("""COMPUTED_VALUE"""),"CON RECAUDO")</f>
        <v>CON RECAUDO</v>
      </c>
      <c r="M765" s="65" t="str">
        <f>IFERROR(__xludf.DUMMYFUNCTION("""COMPUTED_VALUE"""),"ORELLANA")</f>
        <v>ORELLANA</v>
      </c>
      <c r="N765" s="65" t="str">
        <f>IFERROR(__xludf.DUMMYFUNCTION("""COMPUTED_VALUE"""),"JOYA DE LOS SACHAS")</f>
        <v>JOYA DE LOS SACHAS</v>
      </c>
      <c r="O765" s="65" t="str">
        <f>IFERROR(__xludf.DUMMYFUNCTION("""COMPUTED_VALUE"""),"Av. Fundadores y García moreno frente al banco Internacional junto a una panadería")</f>
        <v>Av. Fundadores y García moreno frente al banco Internacional junto a una panadería</v>
      </c>
      <c r="P765" s="65"/>
      <c r="Q765" s="65" t="str">
        <f>IFERROR(__xludf.DUMMYFUNCTION("""COMPUTED_VALUE"""),"GINTRACOM")</f>
        <v>GINTRACOM</v>
      </c>
      <c r="R765" s="65">
        <f>IFERROR(__xludf.DUMMYFUNCTION("""COMPUTED_VALUE"""),32.0)</f>
        <v>32</v>
      </c>
      <c r="S765" s="65">
        <f>IFERROR(__xludf.DUMMYFUNCTION("""COMPUTED_VALUE"""),15.36)</f>
        <v>15.36</v>
      </c>
      <c r="T765" s="65">
        <f>IFERROR(__xludf.DUMMYFUNCTION("""COMPUTED_VALUE"""),6.24)</f>
        <v>6.24</v>
      </c>
      <c r="U765" s="65">
        <f>IFERROR(__xludf.DUMMYFUNCTION("""COMPUTED_VALUE"""),0.0)</f>
        <v>0</v>
      </c>
      <c r="V765" s="65">
        <f>IFERROR(__xludf.DUMMYFUNCTION("""COMPUTED_VALUE"""),0.0)</f>
        <v>0</v>
      </c>
      <c r="W765" s="65">
        <f>IFERROR(__xludf.DUMMYFUNCTION("""COMPUTED_VALUE"""),0.0)</f>
        <v>0</v>
      </c>
      <c r="X765" s="65">
        <f>IFERROR(__xludf.DUMMYFUNCTION("""COMPUTED_VALUE"""),2.6)</f>
        <v>2.6</v>
      </c>
      <c r="Y765" s="65">
        <f>IFERROR(__xludf.DUMMYFUNCTION("""COMPUTED_VALUE"""),10.4)</f>
        <v>10.4</v>
      </c>
      <c r="Z765" s="65">
        <f>IFERROR(__xludf.DUMMYFUNCTION("""COMPUTED_VALUE"""),121983.0)</f>
        <v>121983</v>
      </c>
      <c r="AA765" s="65" t="str">
        <f>IFERROR(__xludf.DUMMYFUNCTION("""COMPUTED_VALUE"""),"PROV-CHLLCF")</f>
        <v>PROV-CHLLCF</v>
      </c>
      <c r="AB765" s="65"/>
      <c r="AC765" s="65" t="str">
        <f>IFERROR(__xludf.DUMMYFUNCTION("""COMPUTED_VALUE"""),"CUCHILLO PARA CHEF")</f>
        <v>CUCHILLO PARA CHEF</v>
      </c>
      <c r="AD765" s="65"/>
      <c r="AE765" s="65">
        <f>IFERROR(__xludf.DUMMYFUNCTION("""COMPUTED_VALUE"""),4.0)</f>
        <v>4</v>
      </c>
      <c r="AF765" s="65"/>
      <c r="AG765" s="65"/>
      <c r="AH765" s="65"/>
      <c r="AI765" s="65"/>
      <c r="AJ765" s="65"/>
      <c r="AK765" s="65"/>
      <c r="AL765" s="65"/>
      <c r="AM765" s="65"/>
      <c r="AN765" s="65" t="str">
        <f>IFERROR(__xludf.DUMMYFUNCTION("""COMPUTED_VALUE"""),"11:14")</f>
        <v>11:14</v>
      </c>
      <c r="AO765" s="65" t="str">
        <f>IFERROR(__xludf.DUMMYFUNCTION("""COMPUTED_VALUE"""),"21-02-2026")</f>
        <v>21-02-2026</v>
      </c>
      <c r="AP765" s="65" t="str">
        <f>IFERROR(__xludf.DUMMYFUNCTION("""COMPUTED_VALUE"""),"ENTREGADA GINTRACOM")</f>
        <v>ENTREGADA GINTRACOM</v>
      </c>
      <c r="AQ765" s="65" t="str">
        <f>IFERROR(__xludf.DUMMYFUNCTION("""COMPUTED_VALUE"""),"ENTREGADA GINTRACOM")</f>
        <v>ENTREGADA GINTRACOM</v>
      </c>
      <c r="AR765" s="65"/>
      <c r="AS765" s="65"/>
      <c r="AT765" s="65" t="str">
        <f>IFERROR(__xludf.DUMMYFUNCTION("""COMPUTED_VALUE"""),"SHOPIFY")</f>
        <v>SHOPIFY</v>
      </c>
      <c r="AU765" s="65" t="str">
        <f>IFERROR(__xludf.DUMMYFUNCTION("""COMPUTED_VALUE"""),"IMPORTEX EC")</f>
        <v>IMPORTEX EC</v>
      </c>
      <c r="AV765" s="65" t="str">
        <f>IFERROR(__xludf.DUMMYFUNCTION("""COMPUTED_VALUE"""),"6502330826796")</f>
        <v>6502330826796</v>
      </c>
      <c r="AW765" s="65">
        <f>IFERROR(__xludf.DUMMYFUNCTION("""COMPUTED_VALUE"""),6117.0)</f>
        <v>6117</v>
      </c>
      <c r="AX765" s="65"/>
      <c r="AY765" s="65" t="str">
        <f>IFERROR(__xludf.DUMMYFUNCTION("""COMPUTED_VALUE"""),"19/02/2026")</f>
        <v>19/02/2026</v>
      </c>
      <c r="AZ765" s="65"/>
      <c r="BA765" s="65"/>
    </row>
    <row r="766">
      <c r="A766" s="65" t="str">
        <f>IFERROR(__xludf.DUMMYFUNCTION("""COMPUTED_VALUE"""),"27-03-2026")</f>
        <v>27-03-2026</v>
      </c>
      <c r="B766" s="65">
        <f>IFERROR(__xludf.DUMMYFUNCTION("""COMPUTED_VALUE"""),4505403.0)</f>
        <v>4505403</v>
      </c>
      <c r="C766" s="65" t="str">
        <f>IFERROR(__xludf.DUMMYFUNCTION("""COMPUTED_VALUE"""),"22:40")</f>
        <v>22:40</v>
      </c>
      <c r="D766" s="65" t="str">
        <f>IFERROR(__xludf.DUMMYFUNCTION("""COMPUTED_VALUE"""),"13-02-2026")</f>
        <v>13-02-2026</v>
      </c>
      <c r="E766" s="65" t="str">
        <f>IFERROR(__xludf.DUMMYFUNCTION("""COMPUTED_VALUE"""),"Galo Chicaiza")</f>
        <v>Galo Chicaiza</v>
      </c>
      <c r="F766" s="65" t="str">
        <f>IFERROR(__xludf.DUMMYFUNCTION("""COMPUTED_VALUE"""),"962042029")</f>
        <v>962042029</v>
      </c>
      <c r="G766" s="65" t="str">
        <f>IFERROR(__xludf.DUMMYFUNCTION("""COMPUTED_VALUE"""),"galochicaiza@hotmail.com")</f>
        <v>galochicaiza@hotmail.com</v>
      </c>
      <c r="H766" s="65"/>
      <c r="I766" s="65"/>
      <c r="J766" s="65"/>
      <c r="K766" s="65" t="str">
        <f>IFERROR(__xludf.DUMMYFUNCTION("""COMPUTED_VALUE"""),"PENDIENTE CONFIRMACION")</f>
        <v>PENDIENTE CONFIRMACION</v>
      </c>
      <c r="L766" s="65" t="str">
        <f>IFERROR(__xludf.DUMMYFUNCTION("""COMPUTED_VALUE"""),"CON RECAUDO")</f>
        <v>CON RECAUDO</v>
      </c>
      <c r="M766" s="65" t="str">
        <f>IFERROR(__xludf.DUMMYFUNCTION("""COMPUTED_VALUE"""),"GUAYAS")</f>
        <v>GUAYAS</v>
      </c>
      <c r="N766" s="65" t="str">
        <f>IFERROR(__xludf.DUMMYFUNCTION("""COMPUTED_VALUE"""),"GUAYAQUIL")</f>
        <v>GUAYAQUIL</v>
      </c>
      <c r="O766" s="65" t="str">
        <f>IFERROR(__xludf.DUMMYFUNCTION("""COMPUTED_VALUE"""),"Juan Montalvo 509 Baquerizo Moreno -")</f>
        <v>Juan Montalvo 509 Baquerizo Moreno -</v>
      </c>
      <c r="P766" s="65"/>
      <c r="Q766" s="65" t="str">
        <f>IFERROR(__xludf.DUMMYFUNCTION("""COMPUTED_VALUE"""),"GINTRACOM")</f>
        <v>GINTRACOM</v>
      </c>
      <c r="R766" s="65">
        <f>IFERROR(__xludf.DUMMYFUNCTION("""COMPUTED_VALUE"""),30.0)</f>
        <v>30</v>
      </c>
      <c r="S766" s="65"/>
      <c r="T766" s="65">
        <f>IFERROR(__xludf.DUMMYFUNCTION("""COMPUTED_VALUE"""),4.55)</f>
        <v>4.55</v>
      </c>
      <c r="U766" s="65">
        <f>IFERROR(__xludf.DUMMYFUNCTION("""COMPUTED_VALUE"""),0.0)</f>
        <v>0</v>
      </c>
      <c r="V766" s="65">
        <f>IFERROR(__xludf.DUMMYFUNCTION("""COMPUTED_VALUE"""),0.0)</f>
        <v>0</v>
      </c>
      <c r="W766" s="65">
        <f>IFERROR(__xludf.DUMMYFUNCTION("""COMPUTED_VALUE"""),0.0)</f>
        <v>0</v>
      </c>
      <c r="X766" s="65">
        <f>IFERROR(__xludf.DUMMYFUNCTION("""COMPUTED_VALUE"""),2.4)</f>
        <v>2.4</v>
      </c>
      <c r="Y766" s="65">
        <f>IFERROR(__xludf.DUMMYFUNCTION("""COMPUTED_VALUE"""),7.2)</f>
        <v>7.2</v>
      </c>
      <c r="Z766" s="65">
        <f>IFERROR(__xludf.DUMMYFUNCTION("""COMPUTED_VALUE"""),120732.0)</f>
        <v>120732</v>
      </c>
      <c r="AA766" s="65" t="str">
        <f>IFERROR(__xludf.DUMMYFUNCTION("""COMPUTED_VALUE"""),"PROV-LMPVT")</f>
        <v>PROV-LMPVT</v>
      </c>
      <c r="AB766" s="65"/>
      <c r="AC766" s="65" t="str">
        <f>IFERROR(__xludf.DUMMYFUNCTION("""COMPUTED_VALUE"""),"LIMPIADOR DE PARABRISAS Y VENTANAS")</f>
        <v>LIMPIADOR DE PARABRISAS Y VENTANAS</v>
      </c>
      <c r="AD766" s="65"/>
      <c r="AE766" s="65">
        <f>IFERROR(__xludf.DUMMYFUNCTION("""COMPUTED_VALUE"""),3.0)</f>
        <v>3</v>
      </c>
      <c r="AF766" s="65"/>
      <c r="AG766" s="65"/>
      <c r="AH766" s="65"/>
      <c r="AI766" s="65"/>
      <c r="AJ766" s="65"/>
      <c r="AK766" s="65"/>
      <c r="AL766" s="65"/>
      <c r="AM766" s="65"/>
      <c r="AN766" s="65"/>
      <c r="AO766" s="65"/>
      <c r="AP766" s="65"/>
      <c r="AQ766" s="65"/>
      <c r="AR766" s="65"/>
      <c r="AS766" s="65"/>
      <c r="AT766" s="65" t="str">
        <f>IFERROR(__xludf.DUMMYFUNCTION("""COMPUTED_VALUE"""),"SHOPIFY")</f>
        <v>SHOPIFY</v>
      </c>
      <c r="AU766" s="65" t="str">
        <f>IFERROR(__xludf.DUMMYFUNCTION("""COMPUTED_VALUE"""),"IMPORTEX EC")</f>
        <v>IMPORTEX EC</v>
      </c>
      <c r="AV766" s="65" t="str">
        <f>IFERROR(__xludf.DUMMYFUNCTION("""COMPUTED_VALUE"""),"6502262800428")</f>
        <v>6502262800428</v>
      </c>
      <c r="AW766" s="65">
        <f>IFERROR(__xludf.DUMMYFUNCTION("""COMPUTED_VALUE"""),6116.0)</f>
        <v>6116</v>
      </c>
      <c r="AX766" s="65"/>
      <c r="AY766" s="65"/>
      <c r="AZ766" s="65"/>
      <c r="BA766" s="65"/>
    </row>
    <row r="767">
      <c r="A767" s="65" t="str">
        <f>IFERROR(__xludf.DUMMYFUNCTION("""COMPUTED_VALUE"""),"27-03-2026")</f>
        <v>27-03-2026</v>
      </c>
      <c r="B767" s="65">
        <f>IFERROR(__xludf.DUMMYFUNCTION("""COMPUTED_VALUE"""),4505293.0)</f>
        <v>4505293</v>
      </c>
      <c r="C767" s="65" t="str">
        <f>IFERROR(__xludf.DUMMYFUNCTION("""COMPUTED_VALUE"""),"22:26")</f>
        <v>22:26</v>
      </c>
      <c r="D767" s="65" t="str">
        <f>IFERROR(__xludf.DUMMYFUNCTION("""COMPUTED_VALUE"""),"13-02-2026")</f>
        <v>13-02-2026</v>
      </c>
      <c r="E767" s="65" t="str">
        <f>IFERROR(__xludf.DUMMYFUNCTION("""COMPUTED_VALUE"""),"Miguel Toapanta")</f>
        <v>Miguel Toapanta</v>
      </c>
      <c r="F767" s="65" t="str">
        <f>IFERROR(__xludf.DUMMYFUNCTION("""COMPUTED_VALUE"""),"998592689")</f>
        <v>998592689</v>
      </c>
      <c r="G767" s="65"/>
      <c r="H767" s="65"/>
      <c r="I767" s="65"/>
      <c r="J767" s="65"/>
      <c r="K767" s="65" t="str">
        <f>IFERROR(__xludf.DUMMYFUNCTION("""COMPUTED_VALUE"""),"CANCELADO")</f>
        <v>CANCELADO</v>
      </c>
      <c r="L767" s="65" t="str">
        <f>IFERROR(__xludf.DUMMYFUNCTION("""COMPUTED_VALUE"""),"CON RECAUDO")</f>
        <v>CON RECAUDO</v>
      </c>
      <c r="M767" s="65" t="str">
        <f>IFERROR(__xludf.DUMMYFUNCTION("""COMPUTED_VALUE"""),"COTOPAXI")</f>
        <v>COTOPAXI</v>
      </c>
      <c r="N767" s="65" t="str">
        <f>IFERROR(__xludf.DUMMYFUNCTION("""COMPUTED_VALUE"""),"LATACUNGA")</f>
        <v>LATACUNGA</v>
      </c>
      <c r="O767" s="65" t="str">
        <f>IFERROR(__xludf.DUMMYFUNCTION("""COMPUTED_VALUE"""),"Parroquia Alaquez")</f>
        <v>Parroquia Alaquez</v>
      </c>
      <c r="P767" s="65" t="str">
        <f>IFERROR(__xludf.DUMMYFUNCTION("""COMPUTED_VALUE"""),"CUCHILLO PARA CHEF: Default Title ***")</f>
        <v>CUCHILLO PARA CHEF: Default Title ***</v>
      </c>
      <c r="Q767" s="65" t="str">
        <f>IFERROR(__xludf.DUMMYFUNCTION("""COMPUTED_VALUE"""),"GINTRACOM")</f>
        <v>GINTRACOM</v>
      </c>
      <c r="R767" s="65">
        <f>IFERROR(__xludf.DUMMYFUNCTION("""COMPUTED_VALUE"""),21.99)</f>
        <v>21.99</v>
      </c>
      <c r="S767" s="65"/>
      <c r="T767" s="65">
        <f>IFERROR(__xludf.DUMMYFUNCTION("""COMPUTED_VALUE"""),5.84)</f>
        <v>5.84</v>
      </c>
      <c r="U767" s="65">
        <f>IFERROR(__xludf.DUMMYFUNCTION("""COMPUTED_VALUE"""),0.0)</f>
        <v>0</v>
      </c>
      <c r="V767" s="65">
        <f>IFERROR(__xludf.DUMMYFUNCTION("""COMPUTED_VALUE"""),0.0)</f>
        <v>0</v>
      </c>
      <c r="W767" s="65">
        <f>IFERROR(__xludf.DUMMYFUNCTION("""COMPUTED_VALUE"""),0.0)</f>
        <v>0</v>
      </c>
      <c r="X767" s="65">
        <f>IFERROR(__xludf.DUMMYFUNCTION("""COMPUTED_VALUE"""),2.6)</f>
        <v>2.6</v>
      </c>
      <c r="Y767" s="65">
        <f>IFERROR(__xludf.DUMMYFUNCTION("""COMPUTED_VALUE"""),2.6)</f>
        <v>2.6</v>
      </c>
      <c r="Z767" s="65">
        <f>IFERROR(__xludf.DUMMYFUNCTION("""COMPUTED_VALUE"""),121983.0)</f>
        <v>121983</v>
      </c>
      <c r="AA767" s="65" t="str">
        <f>IFERROR(__xludf.DUMMYFUNCTION("""COMPUTED_VALUE"""),"PROV-CHLLCF")</f>
        <v>PROV-CHLLCF</v>
      </c>
      <c r="AB767" s="65"/>
      <c r="AC767" s="65" t="str">
        <f>IFERROR(__xludf.DUMMYFUNCTION("""COMPUTED_VALUE"""),"CUCHILLO PARA CHEF")</f>
        <v>CUCHILLO PARA CHEF</v>
      </c>
      <c r="AD767" s="65"/>
      <c r="AE767" s="65">
        <f>IFERROR(__xludf.DUMMYFUNCTION("""COMPUTED_VALUE"""),1.0)</f>
        <v>1</v>
      </c>
      <c r="AF767" s="65"/>
      <c r="AG767" s="65"/>
      <c r="AH767" s="65"/>
      <c r="AI767" s="65"/>
      <c r="AJ767" s="65"/>
      <c r="AK767" s="65"/>
      <c r="AL767" s="65"/>
      <c r="AM767" s="65"/>
      <c r="AN767" s="65"/>
      <c r="AO767" s="65"/>
      <c r="AP767" s="65"/>
      <c r="AQ767" s="65"/>
      <c r="AR767" s="65"/>
      <c r="AS767" s="65"/>
      <c r="AT767" s="65" t="str">
        <f>IFERROR(__xludf.DUMMYFUNCTION("""COMPUTED_VALUE"""),"SHOPIFY")</f>
        <v>SHOPIFY</v>
      </c>
      <c r="AU767" s="65" t="str">
        <f>IFERROR(__xludf.DUMMYFUNCTION("""COMPUTED_VALUE"""),"IMPORTEX EC")</f>
        <v>IMPORTEX EC</v>
      </c>
      <c r="AV767" s="65" t="str">
        <f>IFERROR(__xludf.DUMMYFUNCTION("""COMPUTED_VALUE"""),"6502234849324")</f>
        <v>6502234849324</v>
      </c>
      <c r="AW767" s="65">
        <f>IFERROR(__xludf.DUMMYFUNCTION("""COMPUTED_VALUE"""),6115.0)</f>
        <v>6115</v>
      </c>
      <c r="AX767" s="65"/>
      <c r="AY767" s="65"/>
      <c r="AZ767" s="65"/>
      <c r="BA767" s="65"/>
    </row>
    <row r="768">
      <c r="A768" s="65" t="str">
        <f>IFERROR(__xludf.DUMMYFUNCTION("""COMPUTED_VALUE"""),"27-03-2026")</f>
        <v>27-03-2026</v>
      </c>
      <c r="B768" s="65">
        <f>IFERROR(__xludf.DUMMYFUNCTION("""COMPUTED_VALUE"""),4505267.0)</f>
        <v>4505267</v>
      </c>
      <c r="C768" s="65" t="str">
        <f>IFERROR(__xludf.DUMMYFUNCTION("""COMPUTED_VALUE"""),"22:24")</f>
        <v>22:24</v>
      </c>
      <c r="D768" s="65" t="str">
        <f>IFERROR(__xludf.DUMMYFUNCTION("""COMPUTED_VALUE"""),"13-02-2026")</f>
        <v>13-02-2026</v>
      </c>
      <c r="E768" s="65" t="str">
        <f>IFERROR(__xludf.DUMMYFUNCTION("""COMPUTED_VALUE"""),"Freddy Raúl Quijije Bravo")</f>
        <v>Freddy Raúl Quijije Bravo</v>
      </c>
      <c r="F768" s="65" t="str">
        <f>IFERROR(__xludf.DUMMYFUNCTION("""COMPUTED_VALUE"""),"985440190")</f>
        <v>985440190</v>
      </c>
      <c r="G768" s="65" t="str">
        <f>IFERROR(__xludf.DUMMYFUNCTION("""COMPUTED_VALUE"""),"freddyraulquijijebravo@gmail.com")</f>
        <v>freddyraulquijijebravo@gmail.com</v>
      </c>
      <c r="H768" s="65"/>
      <c r="I768" s="65"/>
      <c r="J768" s="65" t="str">
        <f>IFERROR(__xludf.DUMMYFUNCTION("""COMPUTED_VALUE"""),"D001340352")</f>
        <v>D001340352</v>
      </c>
      <c r="K768" s="65" t="str">
        <f>IFERROR(__xludf.DUMMYFUNCTION("""COMPUTED_VALUE"""),"ENTREGADO")</f>
        <v>ENTREGADO</v>
      </c>
      <c r="L768" s="65" t="str">
        <f>IFERROR(__xludf.DUMMYFUNCTION("""COMPUTED_VALUE"""),"CON RECAUDO")</f>
        <v>CON RECAUDO</v>
      </c>
      <c r="M768" s="65" t="str">
        <f>IFERROR(__xludf.DUMMYFUNCTION("""COMPUTED_VALUE"""),"MANABI")</f>
        <v>MANABI</v>
      </c>
      <c r="N768" s="65" t="str">
        <f>IFERROR(__xludf.DUMMYFUNCTION("""COMPUTED_VALUE"""),"MANTA")</f>
        <v>MANTA</v>
      </c>
      <c r="O768" s="65" t="str">
        <f>IFERROR(__xludf.DUMMYFUNCTION("""COMPUTED_VALUE"""),"Calle 304 y Avenida 202 - Atras de la escuela umiña entrando por la nissan barrio la paz")</f>
        <v>Calle 304 y Avenida 202 - Atras de la escuela umiña entrando por la nissan barrio la paz</v>
      </c>
      <c r="P768" s="65"/>
      <c r="Q768" s="65" t="str">
        <f>IFERROR(__xludf.DUMMYFUNCTION("""COMPUTED_VALUE"""),"GINTRACOM")</f>
        <v>GINTRACOM</v>
      </c>
      <c r="R768" s="65">
        <f>IFERROR(__xludf.DUMMYFUNCTION("""COMPUTED_VALUE"""),22.0)</f>
        <v>22</v>
      </c>
      <c r="S768" s="65">
        <f>IFERROR(__xludf.DUMMYFUNCTION("""COMPUTED_VALUE"""),10.96)</f>
        <v>10.96</v>
      </c>
      <c r="T768" s="65">
        <f>IFERROR(__xludf.DUMMYFUNCTION("""COMPUTED_VALUE"""),5.84)</f>
        <v>5.84</v>
      </c>
      <c r="U768" s="65">
        <f>IFERROR(__xludf.DUMMYFUNCTION("""COMPUTED_VALUE"""),0.0)</f>
        <v>0</v>
      </c>
      <c r="V768" s="65">
        <f>IFERROR(__xludf.DUMMYFUNCTION("""COMPUTED_VALUE"""),0.0)</f>
        <v>0</v>
      </c>
      <c r="W768" s="65">
        <f>IFERROR(__xludf.DUMMYFUNCTION("""COMPUTED_VALUE"""),0.0)</f>
        <v>0</v>
      </c>
      <c r="X768" s="65">
        <f>IFERROR(__xludf.DUMMYFUNCTION("""COMPUTED_VALUE"""),2.6)</f>
        <v>2.6</v>
      </c>
      <c r="Y768" s="65">
        <f>IFERROR(__xludf.DUMMYFUNCTION("""COMPUTED_VALUE"""),5.2)</f>
        <v>5.2</v>
      </c>
      <c r="Z768" s="65">
        <f>IFERROR(__xludf.DUMMYFUNCTION("""COMPUTED_VALUE"""),121983.0)</f>
        <v>121983</v>
      </c>
      <c r="AA768" s="65" t="str">
        <f>IFERROR(__xludf.DUMMYFUNCTION("""COMPUTED_VALUE"""),"PROV-CHLLCF")</f>
        <v>PROV-CHLLCF</v>
      </c>
      <c r="AB768" s="65"/>
      <c r="AC768" s="65" t="str">
        <f>IFERROR(__xludf.DUMMYFUNCTION("""COMPUTED_VALUE"""),"CUCHILLO PARA CHEF")</f>
        <v>CUCHILLO PARA CHEF</v>
      </c>
      <c r="AD768" s="65"/>
      <c r="AE768" s="65">
        <f>IFERROR(__xludf.DUMMYFUNCTION("""COMPUTED_VALUE"""),2.0)</f>
        <v>2</v>
      </c>
      <c r="AF768" s="65"/>
      <c r="AG768" s="65"/>
      <c r="AH768" s="65"/>
      <c r="AI768" s="65"/>
      <c r="AJ768" s="65"/>
      <c r="AK768" s="65"/>
      <c r="AL768" s="65"/>
      <c r="AM768" s="65"/>
      <c r="AN768" s="65" t="str">
        <f>IFERROR(__xludf.DUMMYFUNCTION("""COMPUTED_VALUE"""),"12:09")</f>
        <v>12:09</v>
      </c>
      <c r="AO768" s="65" t="str">
        <f>IFERROR(__xludf.DUMMYFUNCTION("""COMPUTED_VALUE"""),"21-02-2026")</f>
        <v>21-02-2026</v>
      </c>
      <c r="AP768" s="65" t="str">
        <f>IFERROR(__xludf.DUMMYFUNCTION("""COMPUTED_VALUE"""),"ENTREGADA GINTRACOM")</f>
        <v>ENTREGADA GINTRACOM</v>
      </c>
      <c r="AQ768" s="65" t="str">
        <f>IFERROR(__xludf.DUMMYFUNCTION("""COMPUTED_VALUE"""),"ENTREGADA GINTRACOM")</f>
        <v>ENTREGADA GINTRACOM</v>
      </c>
      <c r="AR768" s="65"/>
      <c r="AS768" s="65"/>
      <c r="AT768" s="65" t="str">
        <f>IFERROR(__xludf.DUMMYFUNCTION("""COMPUTED_VALUE"""),"SHOPIFY")</f>
        <v>SHOPIFY</v>
      </c>
      <c r="AU768" s="65" t="str">
        <f>IFERROR(__xludf.DUMMYFUNCTION("""COMPUTED_VALUE"""),"IMPORTEX EC")</f>
        <v>IMPORTEX EC</v>
      </c>
      <c r="AV768" s="65" t="str">
        <f>IFERROR(__xludf.DUMMYFUNCTION("""COMPUTED_VALUE"""),"6502231244844")</f>
        <v>6502231244844</v>
      </c>
      <c r="AW768" s="65">
        <f>IFERROR(__xludf.DUMMYFUNCTION("""COMPUTED_VALUE"""),6114.0)</f>
        <v>6114</v>
      </c>
      <c r="AX768" s="65"/>
      <c r="AY768" s="65" t="str">
        <f>IFERROR(__xludf.DUMMYFUNCTION("""COMPUTED_VALUE"""),"19/02/2026")</f>
        <v>19/02/2026</v>
      </c>
      <c r="AZ768" s="65"/>
      <c r="BA768" s="65"/>
    </row>
    <row r="769">
      <c r="A769" s="65" t="str">
        <f>IFERROR(__xludf.DUMMYFUNCTION("""COMPUTED_VALUE"""),"27-03-2026")</f>
        <v>27-03-2026</v>
      </c>
      <c r="B769" s="65">
        <f>IFERROR(__xludf.DUMMYFUNCTION("""COMPUTED_VALUE"""),4505102.0)</f>
        <v>4505102</v>
      </c>
      <c r="C769" s="65" t="str">
        <f>IFERROR(__xludf.DUMMYFUNCTION("""COMPUTED_VALUE"""),"22:07")</f>
        <v>22:07</v>
      </c>
      <c r="D769" s="65" t="str">
        <f>IFERROR(__xludf.DUMMYFUNCTION("""COMPUTED_VALUE"""),"13-02-2026")</f>
        <v>13-02-2026</v>
      </c>
      <c r="E769" s="65" t="str">
        <f>IFERROR(__xludf.DUMMYFUNCTION("""COMPUTED_VALUE"""),"Fernando Flores Morales")</f>
        <v>Fernando Flores Morales</v>
      </c>
      <c r="F769" s="65" t="str">
        <f>IFERROR(__xludf.DUMMYFUNCTION("""COMPUTED_VALUE"""),"999082658")</f>
        <v>999082658</v>
      </c>
      <c r="G769" s="65" t="str">
        <f>IFERROR(__xludf.DUMMYFUNCTION("""COMPUTED_VALUE"""),"fer.rafa1993@hotmail.com")</f>
        <v>fer.rafa1993@hotmail.com</v>
      </c>
      <c r="H769" s="65"/>
      <c r="I769" s="65"/>
      <c r="J769" s="65" t="str">
        <f>IFERROR(__xludf.DUMMYFUNCTION("""COMPUTED_VALUE"""),"D001346406")</f>
        <v>D001346406</v>
      </c>
      <c r="K769" s="65" t="str">
        <f>IFERROR(__xludf.DUMMYFUNCTION("""COMPUTED_VALUE"""),"ENTREGADO")</f>
        <v>ENTREGADO</v>
      </c>
      <c r="L769" s="65" t="str">
        <f>IFERROR(__xludf.DUMMYFUNCTION("""COMPUTED_VALUE"""),"CON RECAUDO")</f>
        <v>CON RECAUDO</v>
      </c>
      <c r="M769" s="65" t="str">
        <f>IFERROR(__xludf.DUMMYFUNCTION("""COMPUTED_VALUE"""),"PICHINCHA")</f>
        <v>PICHINCHA</v>
      </c>
      <c r="N769" s="65" t="str">
        <f>IFERROR(__xludf.DUMMYFUNCTION("""COMPUTED_VALUE"""),"QUITO")</f>
        <v>QUITO</v>
      </c>
      <c r="O769" s="65" t="str">
        <f>IFERROR(__xludf.DUMMYFUNCTION("""COMPUTED_VALUE"""),"Calle Flavio Alfaro y Pje Almeida. Diagonal al parque , SECTOR SAN CARLOS")</f>
        <v>Calle Flavio Alfaro y Pje Almeida. Diagonal al parque , SECTOR SAN CARLOS</v>
      </c>
      <c r="P769" s="65"/>
      <c r="Q769" s="65" t="str">
        <f>IFERROR(__xludf.DUMMYFUNCTION("""COMPUTED_VALUE"""),"GINTRACOM")</f>
        <v>GINTRACOM</v>
      </c>
      <c r="R769" s="65">
        <f>IFERROR(__xludf.DUMMYFUNCTION("""COMPUTED_VALUE"""),22.0)</f>
        <v>22</v>
      </c>
      <c r="S769" s="65">
        <f>IFERROR(__xludf.DUMMYFUNCTION("""COMPUTED_VALUE"""),10.96)</f>
        <v>10.96</v>
      </c>
      <c r="T769" s="65">
        <f>IFERROR(__xludf.DUMMYFUNCTION("""COMPUTED_VALUE"""),5.84)</f>
        <v>5.84</v>
      </c>
      <c r="U769" s="65">
        <f>IFERROR(__xludf.DUMMYFUNCTION("""COMPUTED_VALUE"""),0.0)</f>
        <v>0</v>
      </c>
      <c r="V769" s="65">
        <f>IFERROR(__xludf.DUMMYFUNCTION("""COMPUTED_VALUE"""),0.0)</f>
        <v>0</v>
      </c>
      <c r="W769" s="65">
        <f>IFERROR(__xludf.DUMMYFUNCTION("""COMPUTED_VALUE"""),0.0)</f>
        <v>0</v>
      </c>
      <c r="X769" s="65">
        <f>IFERROR(__xludf.DUMMYFUNCTION("""COMPUTED_VALUE"""),2.6)</f>
        <v>2.6</v>
      </c>
      <c r="Y769" s="65">
        <f>IFERROR(__xludf.DUMMYFUNCTION("""COMPUTED_VALUE"""),5.2)</f>
        <v>5.2</v>
      </c>
      <c r="Z769" s="65">
        <f>IFERROR(__xludf.DUMMYFUNCTION("""COMPUTED_VALUE"""),121983.0)</f>
        <v>121983</v>
      </c>
      <c r="AA769" s="65" t="str">
        <f>IFERROR(__xludf.DUMMYFUNCTION("""COMPUTED_VALUE"""),"PROV-CHLLCF")</f>
        <v>PROV-CHLLCF</v>
      </c>
      <c r="AB769" s="65"/>
      <c r="AC769" s="65" t="str">
        <f>IFERROR(__xludf.DUMMYFUNCTION("""COMPUTED_VALUE"""),"CUCHILLO PARA CHEF")</f>
        <v>CUCHILLO PARA CHEF</v>
      </c>
      <c r="AD769" s="65"/>
      <c r="AE769" s="65">
        <f>IFERROR(__xludf.DUMMYFUNCTION("""COMPUTED_VALUE"""),2.0)</f>
        <v>2</v>
      </c>
      <c r="AF769" s="65"/>
      <c r="AG769" s="65"/>
      <c r="AH769" s="65"/>
      <c r="AI769" s="65"/>
      <c r="AJ769" s="65"/>
      <c r="AK769" s="65"/>
      <c r="AL769" s="65"/>
      <c r="AM769" s="65"/>
      <c r="AN769" s="65" t="str">
        <f>IFERROR(__xludf.DUMMYFUNCTION("""COMPUTED_VALUE"""),"08:22")</f>
        <v>08:22</v>
      </c>
      <c r="AO769" s="65" t="str">
        <f>IFERROR(__xludf.DUMMYFUNCTION("""COMPUTED_VALUE"""),"23-02-2026")</f>
        <v>23-02-2026</v>
      </c>
      <c r="AP769" s="65" t="str">
        <f>IFERROR(__xludf.DUMMYFUNCTION("""COMPUTED_VALUE"""),"EN REPARTO")</f>
        <v>EN REPARTO</v>
      </c>
      <c r="AQ769" s="65" t="str">
        <f>IFERROR(__xludf.DUMMYFUNCTION("""COMPUTED_VALUE"""),"EN REPARTO")</f>
        <v>EN REPARTO</v>
      </c>
      <c r="AR769" s="65"/>
      <c r="AS769" s="65"/>
      <c r="AT769" s="65" t="str">
        <f>IFERROR(__xludf.DUMMYFUNCTION("""COMPUTED_VALUE"""),"SHOPIFY")</f>
        <v>SHOPIFY</v>
      </c>
      <c r="AU769" s="65" t="str">
        <f>IFERROR(__xludf.DUMMYFUNCTION("""COMPUTED_VALUE"""),"IMPORTEX EC")</f>
        <v>IMPORTEX EC</v>
      </c>
      <c r="AV769" s="65" t="str">
        <f>IFERROR(__xludf.DUMMYFUNCTION("""COMPUTED_VALUE"""),"6502207193132")</f>
        <v>6502207193132</v>
      </c>
      <c r="AW769" s="65">
        <f>IFERROR(__xludf.DUMMYFUNCTION("""COMPUTED_VALUE"""),6112.0)</f>
        <v>6112</v>
      </c>
      <c r="AX769" s="65"/>
      <c r="AY769" s="65" t="str">
        <f>IFERROR(__xludf.DUMMYFUNCTION("""COMPUTED_VALUE"""),"21/02/2026")</f>
        <v>21/02/2026</v>
      </c>
      <c r="AZ769" s="65"/>
      <c r="BA769" s="65"/>
    </row>
    <row r="770">
      <c r="A770" s="65" t="str">
        <f>IFERROR(__xludf.DUMMYFUNCTION("""COMPUTED_VALUE"""),"27-03-2026")</f>
        <v>27-03-2026</v>
      </c>
      <c r="B770" s="65">
        <f>IFERROR(__xludf.DUMMYFUNCTION("""COMPUTED_VALUE"""),4505079.0)</f>
        <v>4505079</v>
      </c>
      <c r="C770" s="65" t="str">
        <f>IFERROR(__xludf.DUMMYFUNCTION("""COMPUTED_VALUE"""),"22:04")</f>
        <v>22:04</v>
      </c>
      <c r="D770" s="65" t="str">
        <f>IFERROR(__xludf.DUMMYFUNCTION("""COMPUTED_VALUE"""),"13-02-2026")</f>
        <v>13-02-2026</v>
      </c>
      <c r="E770" s="65" t="str">
        <f>IFERROR(__xludf.DUMMYFUNCTION("""COMPUTED_VALUE"""),"Edgar Borja")</f>
        <v>Edgar Borja</v>
      </c>
      <c r="F770" s="65" t="str">
        <f>IFERROR(__xludf.DUMMYFUNCTION("""COMPUTED_VALUE"""),"992618226")</f>
        <v>992618226</v>
      </c>
      <c r="G770" s="65" t="str">
        <f>IFERROR(__xludf.DUMMYFUNCTION("""COMPUTED_VALUE"""),"borja3353@gmail.com")</f>
        <v>borja3353@gmail.com</v>
      </c>
      <c r="H770" s="65"/>
      <c r="I770" s="65"/>
      <c r="J770" s="65"/>
      <c r="K770" s="65" t="str">
        <f>IFERROR(__xludf.DUMMYFUNCTION("""COMPUTED_VALUE"""),"PENDIENTE CONFIRMACION")</f>
        <v>PENDIENTE CONFIRMACION</v>
      </c>
      <c r="L770" s="65" t="str">
        <f>IFERROR(__xludf.DUMMYFUNCTION("""COMPUTED_VALUE"""),"CON RECAUDO")</f>
        <v>CON RECAUDO</v>
      </c>
      <c r="M770" s="65" t="str">
        <f>IFERROR(__xludf.DUMMYFUNCTION("""COMPUTED_VALUE"""),"PICHINCHA")</f>
        <v>PICHINCHA</v>
      </c>
      <c r="N770" s="65" t="str">
        <f>IFERROR(__xludf.DUMMYFUNCTION("""COMPUTED_VALUE"""),"QUITO")</f>
        <v>QUITO</v>
      </c>
      <c r="O770" s="65" t="str">
        <f>IFERROR(__xludf.DUMMYFUNCTION("""COMPUTED_VALUE"""),"Ciudad bicentenario Ciudad bicentenario norte de Quito -")</f>
        <v>Ciudad bicentenario Ciudad bicentenario norte de Quito -</v>
      </c>
      <c r="P770" s="65"/>
      <c r="Q770" s="65" t="str">
        <f>IFERROR(__xludf.DUMMYFUNCTION("""COMPUTED_VALUE"""),"GINTRACOM")</f>
        <v>GINTRACOM</v>
      </c>
      <c r="R770" s="65">
        <f>IFERROR(__xludf.DUMMYFUNCTION("""COMPUTED_VALUE"""),25.0)</f>
        <v>25</v>
      </c>
      <c r="S770" s="65"/>
      <c r="T770" s="65">
        <f>IFERROR(__xludf.DUMMYFUNCTION("""COMPUTED_VALUE"""),5.96)</f>
        <v>5.96</v>
      </c>
      <c r="U770" s="65">
        <f>IFERROR(__xludf.DUMMYFUNCTION("""COMPUTED_VALUE"""),0.0)</f>
        <v>0</v>
      </c>
      <c r="V770" s="65">
        <f>IFERROR(__xludf.DUMMYFUNCTION("""COMPUTED_VALUE"""),0.0)</f>
        <v>0</v>
      </c>
      <c r="W770" s="65">
        <f>IFERROR(__xludf.DUMMYFUNCTION("""COMPUTED_VALUE"""),0.0)</f>
        <v>0</v>
      </c>
      <c r="X770" s="65">
        <f>IFERROR(__xludf.DUMMYFUNCTION("""COMPUTED_VALUE"""),2.4)</f>
        <v>2.4</v>
      </c>
      <c r="Y770" s="65">
        <f>IFERROR(__xludf.DUMMYFUNCTION("""COMPUTED_VALUE"""),4.8)</f>
        <v>4.8</v>
      </c>
      <c r="Z770" s="65">
        <f>IFERROR(__xludf.DUMMYFUNCTION("""COMPUTED_VALUE"""),120732.0)</f>
        <v>120732</v>
      </c>
      <c r="AA770" s="65" t="str">
        <f>IFERROR(__xludf.DUMMYFUNCTION("""COMPUTED_VALUE"""),"PROV-LMPVT")</f>
        <v>PROV-LMPVT</v>
      </c>
      <c r="AB770" s="65"/>
      <c r="AC770" s="65" t="str">
        <f>IFERROR(__xludf.DUMMYFUNCTION("""COMPUTED_VALUE"""),"LIMPIADOR DE PARABRISAS Y VENTANAS")</f>
        <v>LIMPIADOR DE PARABRISAS Y VENTANAS</v>
      </c>
      <c r="AD770" s="65"/>
      <c r="AE770" s="65">
        <f>IFERROR(__xludf.DUMMYFUNCTION("""COMPUTED_VALUE"""),2.0)</f>
        <v>2</v>
      </c>
      <c r="AF770" s="65"/>
      <c r="AG770" s="65"/>
      <c r="AH770" s="65"/>
      <c r="AI770" s="65"/>
      <c r="AJ770" s="65"/>
      <c r="AK770" s="65"/>
      <c r="AL770" s="65"/>
      <c r="AM770" s="65"/>
      <c r="AN770" s="65"/>
      <c r="AO770" s="65"/>
      <c r="AP770" s="65"/>
      <c r="AQ770" s="65"/>
      <c r="AR770" s="65"/>
      <c r="AS770" s="65"/>
      <c r="AT770" s="65" t="str">
        <f>IFERROR(__xludf.DUMMYFUNCTION("""COMPUTED_VALUE"""),"SHOPIFY")</f>
        <v>SHOPIFY</v>
      </c>
      <c r="AU770" s="65" t="str">
        <f>IFERROR(__xludf.DUMMYFUNCTION("""COMPUTED_VALUE"""),"IMPORTEX EC")</f>
        <v>IMPORTEX EC</v>
      </c>
      <c r="AV770" s="65" t="str">
        <f>IFERROR(__xludf.DUMMYFUNCTION("""COMPUTED_VALUE"""),"6502201589804")</f>
        <v>6502201589804</v>
      </c>
      <c r="AW770" s="65">
        <f>IFERROR(__xludf.DUMMYFUNCTION("""COMPUTED_VALUE"""),6111.0)</f>
        <v>6111</v>
      </c>
      <c r="AX770" s="65"/>
      <c r="AY770" s="65"/>
      <c r="AZ770" s="65"/>
      <c r="BA770" s="65"/>
    </row>
    <row r="771">
      <c r="A771" s="65" t="str">
        <f>IFERROR(__xludf.DUMMYFUNCTION("""COMPUTED_VALUE"""),"27-03-2026")</f>
        <v>27-03-2026</v>
      </c>
      <c r="B771" s="65">
        <f>IFERROR(__xludf.DUMMYFUNCTION("""COMPUTED_VALUE"""),4504626.0)</f>
        <v>4504626</v>
      </c>
      <c r="C771" s="65" t="str">
        <f>IFERROR(__xludf.DUMMYFUNCTION("""COMPUTED_VALUE"""),"21:02")</f>
        <v>21:02</v>
      </c>
      <c r="D771" s="65" t="str">
        <f>IFERROR(__xludf.DUMMYFUNCTION("""COMPUTED_VALUE"""),"13-02-2026")</f>
        <v>13-02-2026</v>
      </c>
      <c r="E771" s="65" t="str">
        <f>IFERROR(__xludf.DUMMYFUNCTION("""COMPUTED_VALUE"""),"Héctor jdrovo")</f>
        <v>Héctor jdrovo</v>
      </c>
      <c r="F771" s="65" t="str">
        <f>IFERROR(__xludf.DUMMYFUNCTION("""COMPUTED_VALUE"""),"999484330")</f>
        <v>999484330</v>
      </c>
      <c r="G771" s="65" t="str">
        <f>IFERROR(__xludf.DUMMYFUNCTION("""COMPUTED_VALUE"""),"hectoridrovo30@gmail.com")</f>
        <v>hectoridrovo30@gmail.com</v>
      </c>
      <c r="H771" s="65"/>
      <c r="I771" s="65"/>
      <c r="J771" s="65"/>
      <c r="K771" s="65" t="str">
        <f>IFERROR(__xludf.DUMMYFUNCTION("""COMPUTED_VALUE"""),"CANCELADO")</f>
        <v>CANCELADO</v>
      </c>
      <c r="L771" s="65" t="str">
        <f>IFERROR(__xludf.DUMMYFUNCTION("""COMPUTED_VALUE"""),"CON RECAUDO")</f>
        <v>CON RECAUDO</v>
      </c>
      <c r="M771" s="65" t="str">
        <f>IFERROR(__xludf.DUMMYFUNCTION("""COMPUTED_VALUE"""),"GUAYAS")</f>
        <v>GUAYAS</v>
      </c>
      <c r="N771" s="65" t="str">
        <f>IFERROR(__xludf.DUMMYFUNCTION("""COMPUTED_VALUE"""),"GUAYAQUIL")</f>
        <v>GUAYAQUIL</v>
      </c>
      <c r="O771" s="65" t="str">
        <f>IFERROR(__xludf.DUMMYFUNCTION("""COMPUTED_VALUE"""),"C. Guasmo Sur Coop causa proletarias -")</f>
        <v>C. Guasmo Sur Coop causa proletarias -</v>
      </c>
      <c r="P771" s="65"/>
      <c r="Q771" s="65" t="str">
        <f>IFERROR(__xludf.DUMMYFUNCTION("""COMPUTED_VALUE"""),"GINTRACOM")</f>
        <v>GINTRACOM</v>
      </c>
      <c r="R771" s="65">
        <f>IFERROR(__xludf.DUMMYFUNCTION("""COMPUTED_VALUE"""),22.0)</f>
        <v>22</v>
      </c>
      <c r="S771" s="65"/>
      <c r="T771" s="65">
        <f>IFERROR(__xludf.DUMMYFUNCTION("""COMPUTED_VALUE"""),4.23)</f>
        <v>4.23</v>
      </c>
      <c r="U771" s="65">
        <f>IFERROR(__xludf.DUMMYFUNCTION("""COMPUTED_VALUE"""),0.0)</f>
        <v>0</v>
      </c>
      <c r="V771" s="65">
        <f>IFERROR(__xludf.DUMMYFUNCTION("""COMPUTED_VALUE"""),0.0)</f>
        <v>0</v>
      </c>
      <c r="W771" s="65">
        <f>IFERROR(__xludf.DUMMYFUNCTION("""COMPUTED_VALUE"""),0.0)</f>
        <v>0</v>
      </c>
      <c r="X771" s="65">
        <f>IFERROR(__xludf.DUMMYFUNCTION("""COMPUTED_VALUE"""),2.6)</f>
        <v>2.6</v>
      </c>
      <c r="Y771" s="65">
        <f>IFERROR(__xludf.DUMMYFUNCTION("""COMPUTED_VALUE"""),5.2)</f>
        <v>5.2</v>
      </c>
      <c r="Z771" s="65">
        <f>IFERROR(__xludf.DUMMYFUNCTION("""COMPUTED_VALUE"""),121983.0)</f>
        <v>121983</v>
      </c>
      <c r="AA771" s="65" t="str">
        <f>IFERROR(__xludf.DUMMYFUNCTION("""COMPUTED_VALUE"""),"PROV-CHLLCF")</f>
        <v>PROV-CHLLCF</v>
      </c>
      <c r="AB771" s="65"/>
      <c r="AC771" s="65" t="str">
        <f>IFERROR(__xludf.DUMMYFUNCTION("""COMPUTED_VALUE"""),"CUCHILLO PARA CHEF")</f>
        <v>CUCHILLO PARA CHEF</v>
      </c>
      <c r="AD771" s="65"/>
      <c r="AE771" s="65">
        <f>IFERROR(__xludf.DUMMYFUNCTION("""COMPUTED_VALUE"""),2.0)</f>
        <v>2</v>
      </c>
      <c r="AF771" s="65"/>
      <c r="AG771" s="65"/>
      <c r="AH771" s="65"/>
      <c r="AI771" s="65"/>
      <c r="AJ771" s="65"/>
      <c r="AK771" s="65"/>
      <c r="AL771" s="65"/>
      <c r="AM771" s="65"/>
      <c r="AN771" s="65"/>
      <c r="AO771" s="65"/>
      <c r="AP771" s="65"/>
      <c r="AQ771" s="65"/>
      <c r="AR771" s="65"/>
      <c r="AS771" s="65"/>
      <c r="AT771" s="65" t="str">
        <f>IFERROR(__xludf.DUMMYFUNCTION("""COMPUTED_VALUE"""),"SHOPIFY")</f>
        <v>SHOPIFY</v>
      </c>
      <c r="AU771" s="65" t="str">
        <f>IFERROR(__xludf.DUMMYFUNCTION("""COMPUTED_VALUE"""),"IMPORTEX EC")</f>
        <v>IMPORTEX EC</v>
      </c>
      <c r="AV771" s="65" t="str">
        <f>IFERROR(__xludf.DUMMYFUNCTION("""COMPUTED_VALUE"""),"6502099517484")</f>
        <v>6502099517484</v>
      </c>
      <c r="AW771" s="65">
        <f>IFERROR(__xludf.DUMMYFUNCTION("""COMPUTED_VALUE"""),6110.0)</f>
        <v>6110</v>
      </c>
      <c r="AX771" s="65"/>
      <c r="AY771" s="65"/>
      <c r="AZ771" s="65"/>
      <c r="BA771" s="65"/>
    </row>
    <row r="772">
      <c r="A772" s="65" t="str">
        <f>IFERROR(__xludf.DUMMYFUNCTION("""COMPUTED_VALUE"""),"27-03-2026")</f>
        <v>27-03-2026</v>
      </c>
      <c r="B772" s="65">
        <f>IFERROR(__xludf.DUMMYFUNCTION("""COMPUTED_VALUE"""),4504614.0)</f>
        <v>4504614</v>
      </c>
      <c r="C772" s="65" t="str">
        <f>IFERROR(__xludf.DUMMYFUNCTION("""COMPUTED_VALUE"""),"21:00")</f>
        <v>21:00</v>
      </c>
      <c r="D772" s="65" t="str">
        <f>IFERROR(__xludf.DUMMYFUNCTION("""COMPUTED_VALUE"""),"13-02-2026")</f>
        <v>13-02-2026</v>
      </c>
      <c r="E772" s="65" t="str">
        <f>IFERROR(__xludf.DUMMYFUNCTION("""COMPUTED_VALUE"""),"Teresa Medina Rivera")</f>
        <v>Teresa Medina Rivera</v>
      </c>
      <c r="F772" s="65" t="str">
        <f>IFERROR(__xludf.DUMMYFUNCTION("""COMPUTED_VALUE"""),"988245689")</f>
        <v>988245689</v>
      </c>
      <c r="G772" s="65" t="str">
        <f>IFERROR(__xludf.DUMMYFUNCTION("""COMPUTED_VALUE"""),"rteresamm@hotmail.com")</f>
        <v>rteresamm@hotmail.com</v>
      </c>
      <c r="H772" s="65"/>
      <c r="I772" s="65"/>
      <c r="J772" s="65" t="str">
        <f>IFERROR(__xludf.DUMMYFUNCTION("""COMPUTED_VALUE"""),"D001340353")</f>
        <v>D001340353</v>
      </c>
      <c r="K772" s="65" t="str">
        <f>IFERROR(__xludf.DUMMYFUNCTION("""COMPUTED_VALUE"""),"DEVOLUCION")</f>
        <v>DEVOLUCION</v>
      </c>
      <c r="L772" s="65" t="str">
        <f>IFERROR(__xludf.DUMMYFUNCTION("""COMPUTED_VALUE"""),"CON RECAUDO")</f>
        <v>CON RECAUDO</v>
      </c>
      <c r="M772" s="65" t="str">
        <f>IFERROR(__xludf.DUMMYFUNCTION("""COMPUTED_VALUE"""),"GUAYAS")</f>
        <v>GUAYAS</v>
      </c>
      <c r="N772" s="65" t="str">
        <f>IFERROR(__xludf.DUMMYFUNCTION("""COMPUTED_VALUE"""),"GUAYAQUIL")</f>
        <v>GUAYAQUIL</v>
      </c>
      <c r="O772" s="65" t="str">
        <f>IFERROR(__xludf.DUMMYFUNCTION("""COMPUTED_VALUE"""),"Avenida 25 de julio Pradera 1 manzana b6 villa 14 -")</f>
        <v>Avenida 25 de julio Pradera 1 manzana b6 villa 14 -</v>
      </c>
      <c r="P772" s="65"/>
      <c r="Q772" s="65" t="str">
        <f>IFERROR(__xludf.DUMMYFUNCTION("""COMPUTED_VALUE"""),"GINTRACOM")</f>
        <v>GINTRACOM</v>
      </c>
      <c r="R772" s="65">
        <f>IFERROR(__xludf.DUMMYFUNCTION("""COMPUTED_VALUE"""),20.0)</f>
        <v>20</v>
      </c>
      <c r="S772" s="65"/>
      <c r="T772" s="65">
        <f>IFERROR(__xludf.DUMMYFUNCTION("""COMPUTED_VALUE"""),4.15)</f>
        <v>4.15</v>
      </c>
      <c r="U772" s="65">
        <f>IFERROR(__xludf.DUMMYFUNCTION("""COMPUTED_VALUE"""),0.0)</f>
        <v>0</v>
      </c>
      <c r="V772" s="65">
        <f>IFERROR(__xludf.DUMMYFUNCTION("""COMPUTED_VALUE"""),0.0)</f>
        <v>0</v>
      </c>
      <c r="W772" s="65">
        <f>IFERROR(__xludf.DUMMYFUNCTION("""COMPUTED_VALUE"""),0.0)</f>
        <v>0</v>
      </c>
      <c r="X772" s="65">
        <f>IFERROR(__xludf.DUMMYFUNCTION("""COMPUTED_VALUE"""),2.4)</f>
        <v>2.4</v>
      </c>
      <c r="Y772" s="65">
        <f>IFERROR(__xludf.DUMMYFUNCTION("""COMPUTED_VALUE"""),2.4)</f>
        <v>2.4</v>
      </c>
      <c r="Z772" s="65">
        <f>IFERROR(__xludf.DUMMYFUNCTION("""COMPUTED_VALUE"""),120732.0)</f>
        <v>120732</v>
      </c>
      <c r="AA772" s="65" t="str">
        <f>IFERROR(__xludf.DUMMYFUNCTION("""COMPUTED_VALUE"""),"PROV-LMPVT")</f>
        <v>PROV-LMPVT</v>
      </c>
      <c r="AB772" s="65"/>
      <c r="AC772" s="65" t="str">
        <f>IFERROR(__xludf.DUMMYFUNCTION("""COMPUTED_VALUE"""),"LIMPIADOR DE PARABRISAS Y VENTANAS")</f>
        <v>LIMPIADOR DE PARABRISAS Y VENTANAS</v>
      </c>
      <c r="AD772" s="65"/>
      <c r="AE772" s="65">
        <f>IFERROR(__xludf.DUMMYFUNCTION("""COMPUTED_VALUE"""),1.0)</f>
        <v>1</v>
      </c>
      <c r="AF772" s="65" t="str">
        <f>IFERROR(__xludf.DUMMYFUNCTION("""COMPUTED_VALUE"""),"DESTINATARIO NO CONTESTA LLAMADAS NI WHATSAPP")</f>
        <v>DESTINATARIO NO CONTESTA LLAMADAS NI WHATSAPP</v>
      </c>
      <c r="AG772" s="65" t="str">
        <f>IFERROR(__xludf.DUMMYFUNCTION("""COMPUTED_VALUE"""),"NO")</f>
        <v>NO</v>
      </c>
      <c r="AH772" s="65" t="str">
        <f>IFERROR(__xludf.DUMMYFUNCTION("""COMPUTED_VALUE"""),"20:34")</f>
        <v>20:34</v>
      </c>
      <c r="AI772" s="65" t="str">
        <f>IFERROR(__xludf.DUMMYFUNCTION("""COMPUTED_VALUE"""),"27-02-2026")</f>
        <v>27-02-2026</v>
      </c>
      <c r="AJ772" s="65"/>
      <c r="AK772" s="65"/>
      <c r="AL772" s="65"/>
      <c r="AM772" s="65"/>
      <c r="AN772" s="65" t="str">
        <f>IFERROR(__xludf.DUMMYFUNCTION("""COMPUTED_VALUE"""),"01:35")</f>
        <v>01:35</v>
      </c>
      <c r="AO772" s="65" t="str">
        <f>IFERROR(__xludf.DUMMYFUNCTION("""COMPUTED_VALUE"""),"09-03-2026")</f>
        <v>09-03-2026</v>
      </c>
      <c r="AP772" s="65" t="str">
        <f>IFERROR(__xludf.DUMMYFUNCTION("""COMPUTED_VALUE"""),"DEVOLUCIÓN ENTREGADA A ORIGEN")</f>
        <v>DEVOLUCIÓN ENTREGADA A ORIGEN</v>
      </c>
      <c r="AQ772" s="65" t="str">
        <f>IFERROR(__xludf.DUMMYFUNCTION("""COMPUTED_VALUE"""),"DEVOLUCIÓN ENTREGADA A ORIGEN")</f>
        <v>DEVOLUCIÓN ENTREGADA A ORIGEN</v>
      </c>
      <c r="AR772" s="65"/>
      <c r="AS772" s="65"/>
      <c r="AT772" s="65" t="str">
        <f>IFERROR(__xludf.DUMMYFUNCTION("""COMPUTED_VALUE"""),"SHOPIFY")</f>
        <v>SHOPIFY</v>
      </c>
      <c r="AU772" s="65" t="str">
        <f>IFERROR(__xludf.DUMMYFUNCTION("""COMPUTED_VALUE"""),"IMPORTEX EC")</f>
        <v>IMPORTEX EC</v>
      </c>
      <c r="AV772" s="65" t="str">
        <f>IFERROR(__xludf.DUMMYFUNCTION("""COMPUTED_VALUE"""),"6502095257644")</f>
        <v>6502095257644</v>
      </c>
      <c r="AW772" s="65">
        <f>IFERROR(__xludf.DUMMYFUNCTION("""COMPUTED_VALUE"""),6109.0)</f>
        <v>6109</v>
      </c>
      <c r="AX772" s="65"/>
      <c r="AY772" s="65" t="str">
        <f>IFERROR(__xludf.DUMMYFUNCTION("""COMPUTED_VALUE"""),"19/02/2026")</f>
        <v>19/02/2026</v>
      </c>
      <c r="AZ772" s="65"/>
      <c r="BA772" s="65"/>
    </row>
    <row r="773">
      <c r="A773" s="65" t="str">
        <f>IFERROR(__xludf.DUMMYFUNCTION("""COMPUTED_VALUE"""),"27-03-2026")</f>
        <v>27-03-2026</v>
      </c>
      <c r="B773" s="65">
        <f>IFERROR(__xludf.DUMMYFUNCTION("""COMPUTED_VALUE"""),4504457.0)</f>
        <v>4504457</v>
      </c>
      <c r="C773" s="65" t="str">
        <f>IFERROR(__xludf.DUMMYFUNCTION("""COMPUTED_VALUE"""),"20:38")</f>
        <v>20:38</v>
      </c>
      <c r="D773" s="65" t="str">
        <f>IFERROR(__xludf.DUMMYFUNCTION("""COMPUTED_VALUE"""),"13-02-2026")</f>
        <v>13-02-2026</v>
      </c>
      <c r="E773" s="65" t="str">
        <f>IFERROR(__xludf.DUMMYFUNCTION("""COMPUTED_VALUE"""),"Esteban Guerrero")</f>
        <v>Esteban Guerrero</v>
      </c>
      <c r="F773" s="65" t="str">
        <f>IFERROR(__xludf.DUMMYFUNCTION("""COMPUTED_VALUE"""),"992853871")</f>
        <v>992853871</v>
      </c>
      <c r="G773" s="65" t="str">
        <f>IFERROR(__xludf.DUMMYFUNCTION("""COMPUTED_VALUE"""),"estebanguerrerohervas@hotmail.com")</f>
        <v>estebanguerrerohervas@hotmail.com</v>
      </c>
      <c r="H773" s="65"/>
      <c r="I773" s="65"/>
      <c r="J773" s="65" t="str">
        <f>IFERROR(__xludf.DUMMYFUNCTION("""COMPUTED_VALUE"""),"D001340354")</f>
        <v>D001340354</v>
      </c>
      <c r="K773" s="65" t="str">
        <f>IFERROR(__xludf.DUMMYFUNCTION("""COMPUTED_VALUE"""),"ENTREGADO")</f>
        <v>ENTREGADO</v>
      </c>
      <c r="L773" s="65" t="str">
        <f>IFERROR(__xludf.DUMMYFUNCTION("""COMPUTED_VALUE"""),"CON RECAUDO")</f>
        <v>CON RECAUDO</v>
      </c>
      <c r="M773" s="65" t="str">
        <f>IFERROR(__xludf.DUMMYFUNCTION("""COMPUTED_VALUE"""),"PICHINCHA")</f>
        <v>PICHINCHA</v>
      </c>
      <c r="N773" s="65" t="str">
        <f>IFERROR(__xludf.DUMMYFUNCTION("""COMPUTED_VALUE"""),"QUITO")</f>
        <v>QUITO</v>
      </c>
      <c r="O773" s="65" t="str">
        <f>IFERROR(__xludf.DUMMYFUNCTION("""COMPUTED_VALUE"""),"De Los Alamos E11-414 y Guayabos El Inca - Conjunto Monte Alamos - Junto Colegio Letor")</f>
        <v>De Los Alamos E11-414 y Guayabos El Inca - Conjunto Monte Alamos - Junto Colegio Letor</v>
      </c>
      <c r="P773" s="65"/>
      <c r="Q773" s="65" t="str">
        <f>IFERROR(__xludf.DUMMYFUNCTION("""COMPUTED_VALUE"""),"GINTRACOM")</f>
        <v>GINTRACOM</v>
      </c>
      <c r="R773" s="65">
        <f>IFERROR(__xludf.DUMMYFUNCTION("""COMPUTED_VALUE"""),20.9)</f>
        <v>20.9</v>
      </c>
      <c r="S773" s="65">
        <f>IFERROR(__xludf.DUMMYFUNCTION("""COMPUTED_VALUE"""),9.91)</f>
        <v>9.91</v>
      </c>
      <c r="T773" s="65">
        <f>IFERROR(__xludf.DUMMYFUNCTION("""COMPUTED_VALUE"""),5.79)</f>
        <v>5.79</v>
      </c>
      <c r="U773" s="65">
        <f>IFERROR(__xludf.DUMMYFUNCTION("""COMPUTED_VALUE"""),0.0)</f>
        <v>0</v>
      </c>
      <c r="V773" s="65">
        <f>IFERROR(__xludf.DUMMYFUNCTION("""COMPUTED_VALUE"""),0.0)</f>
        <v>0</v>
      </c>
      <c r="W773" s="65">
        <f>IFERROR(__xludf.DUMMYFUNCTION("""COMPUTED_VALUE"""),0.0)</f>
        <v>0</v>
      </c>
      <c r="X773" s="65">
        <f>IFERROR(__xludf.DUMMYFUNCTION("""COMPUTED_VALUE"""),2.6)</f>
        <v>2.6</v>
      </c>
      <c r="Y773" s="65">
        <f>IFERROR(__xludf.DUMMYFUNCTION("""COMPUTED_VALUE"""),5.2)</f>
        <v>5.2</v>
      </c>
      <c r="Z773" s="65">
        <f>IFERROR(__xludf.DUMMYFUNCTION("""COMPUTED_VALUE"""),121983.0)</f>
        <v>121983</v>
      </c>
      <c r="AA773" s="65" t="str">
        <f>IFERROR(__xludf.DUMMYFUNCTION("""COMPUTED_VALUE"""),"PROV-CHLLCF")</f>
        <v>PROV-CHLLCF</v>
      </c>
      <c r="AB773" s="65"/>
      <c r="AC773" s="65" t="str">
        <f>IFERROR(__xludf.DUMMYFUNCTION("""COMPUTED_VALUE"""),"CUCHILLO PARA CHEF")</f>
        <v>CUCHILLO PARA CHEF</v>
      </c>
      <c r="AD773" s="65"/>
      <c r="AE773" s="65">
        <f>IFERROR(__xludf.DUMMYFUNCTION("""COMPUTED_VALUE"""),2.0)</f>
        <v>2</v>
      </c>
      <c r="AF773" s="65"/>
      <c r="AG773" s="65"/>
      <c r="AH773" s="65"/>
      <c r="AI773" s="65"/>
      <c r="AJ773" s="65"/>
      <c r="AK773" s="65"/>
      <c r="AL773" s="65"/>
      <c r="AM773" s="65"/>
      <c r="AN773" s="65" t="str">
        <f>IFERROR(__xludf.DUMMYFUNCTION("""COMPUTED_VALUE"""),"15:10")</f>
        <v>15:10</v>
      </c>
      <c r="AO773" s="65" t="str">
        <f>IFERROR(__xludf.DUMMYFUNCTION("""COMPUTED_VALUE"""),"20-02-2026")</f>
        <v>20-02-2026</v>
      </c>
      <c r="AP773" s="65" t="str">
        <f>IFERROR(__xludf.DUMMYFUNCTION("""COMPUTED_VALUE"""),"ENTREGADA GINTRACOM")</f>
        <v>ENTREGADA GINTRACOM</v>
      </c>
      <c r="AQ773" s="65" t="str">
        <f>IFERROR(__xludf.DUMMYFUNCTION("""COMPUTED_VALUE"""),"ENTREGADA GINTRACOM")</f>
        <v>ENTREGADA GINTRACOM</v>
      </c>
      <c r="AR773" s="65"/>
      <c r="AS773" s="65"/>
      <c r="AT773" s="65" t="str">
        <f>IFERROR(__xludf.DUMMYFUNCTION("""COMPUTED_VALUE"""),"SHOPIFY")</f>
        <v>SHOPIFY</v>
      </c>
      <c r="AU773" s="65" t="str">
        <f>IFERROR(__xludf.DUMMYFUNCTION("""COMPUTED_VALUE"""),"IMPORTEX EC")</f>
        <v>IMPORTEX EC</v>
      </c>
      <c r="AV773" s="65" t="str">
        <f>IFERROR(__xludf.DUMMYFUNCTION("""COMPUTED_VALUE"""),"6502057050156")</f>
        <v>6502057050156</v>
      </c>
      <c r="AW773" s="65">
        <f>IFERROR(__xludf.DUMMYFUNCTION("""COMPUTED_VALUE"""),6108.0)</f>
        <v>6108</v>
      </c>
      <c r="AX773" s="65"/>
      <c r="AY773" s="65" t="str">
        <f>IFERROR(__xludf.DUMMYFUNCTION("""COMPUTED_VALUE"""),"19/02/2026")</f>
        <v>19/02/2026</v>
      </c>
      <c r="AZ773" s="65"/>
      <c r="BA773" s="65"/>
    </row>
    <row r="774">
      <c r="A774" s="65" t="str">
        <f>IFERROR(__xludf.DUMMYFUNCTION("""COMPUTED_VALUE"""),"27-03-2026")</f>
        <v>27-03-2026</v>
      </c>
      <c r="B774" s="65">
        <f>IFERROR(__xludf.DUMMYFUNCTION("""COMPUTED_VALUE"""),4503806.0)</f>
        <v>4503806</v>
      </c>
      <c r="C774" s="65" t="str">
        <f>IFERROR(__xludf.DUMMYFUNCTION("""COMPUTED_VALUE"""),"18:58")</f>
        <v>18:58</v>
      </c>
      <c r="D774" s="65" t="str">
        <f>IFERROR(__xludf.DUMMYFUNCTION("""COMPUTED_VALUE"""),"13-02-2026")</f>
        <v>13-02-2026</v>
      </c>
      <c r="E774" s="65" t="str">
        <f>IFERROR(__xludf.DUMMYFUNCTION("""COMPUTED_VALUE"""),"Adriana Sandoval")</f>
        <v>Adriana Sandoval</v>
      </c>
      <c r="F774" s="65" t="str">
        <f>IFERROR(__xludf.DUMMYFUNCTION("""COMPUTED_VALUE"""),"983778493")</f>
        <v>983778493</v>
      </c>
      <c r="G774" s="65" t="str">
        <f>IFERROR(__xludf.DUMMYFUNCTION("""COMPUTED_VALUE"""),"sandoval_adriana77@hotmail.com")</f>
        <v>sandoval_adriana77@hotmail.com</v>
      </c>
      <c r="H774" s="65"/>
      <c r="I774" s="65"/>
      <c r="J774" s="65" t="str">
        <f>IFERROR(__xludf.DUMMYFUNCTION("""COMPUTED_VALUE"""),"D001340355")</f>
        <v>D001340355</v>
      </c>
      <c r="K774" s="65" t="str">
        <f>IFERROR(__xludf.DUMMYFUNCTION("""COMPUTED_VALUE"""),"ENTREGADO")</f>
        <v>ENTREGADO</v>
      </c>
      <c r="L774" s="65" t="str">
        <f>IFERROR(__xludf.DUMMYFUNCTION("""COMPUTED_VALUE"""),"CON RECAUDO")</f>
        <v>CON RECAUDO</v>
      </c>
      <c r="M774" s="65" t="str">
        <f>IFERROR(__xludf.DUMMYFUNCTION("""COMPUTED_VALUE"""),"PICHINCHA")</f>
        <v>PICHINCHA</v>
      </c>
      <c r="N774" s="65" t="str">
        <f>IFERROR(__xludf.DUMMYFUNCTION("""COMPUTED_VALUE"""),"AYORA")</f>
        <v>AYORA</v>
      </c>
      <c r="O774" s="65" t="str">
        <f>IFERROR(__xludf.DUMMYFUNCTION("""COMPUTED_VALUE"""),"Calle Carchi e Imbabura. Vía a Olmedo, Canton Cayambe, Parroquia Ayora.- Frente a la plazoleta Bolívar.")</f>
        <v>Calle Carchi e Imbabura. Vía a Olmedo, Canton Cayambe, Parroquia Ayora.- Frente a la plazoleta Bolívar.</v>
      </c>
      <c r="P774" s="65"/>
      <c r="Q774" s="65" t="str">
        <f>IFERROR(__xludf.DUMMYFUNCTION("""COMPUTED_VALUE"""),"GINTRACOM")</f>
        <v>GINTRACOM</v>
      </c>
      <c r="R774" s="65">
        <f>IFERROR(__xludf.DUMMYFUNCTION("""COMPUTED_VALUE"""),22.0)</f>
        <v>22</v>
      </c>
      <c r="S774" s="65">
        <f>IFERROR(__xludf.DUMMYFUNCTION("""COMPUTED_VALUE"""),10.39)</f>
        <v>10.39</v>
      </c>
      <c r="T774" s="65">
        <f>IFERROR(__xludf.DUMMYFUNCTION("""COMPUTED_VALUE"""),6.41)</f>
        <v>6.41</v>
      </c>
      <c r="U774" s="65">
        <f>IFERROR(__xludf.DUMMYFUNCTION("""COMPUTED_VALUE"""),0.0)</f>
        <v>0</v>
      </c>
      <c r="V774" s="65">
        <f>IFERROR(__xludf.DUMMYFUNCTION("""COMPUTED_VALUE"""),0.0)</f>
        <v>0</v>
      </c>
      <c r="W774" s="65">
        <f>IFERROR(__xludf.DUMMYFUNCTION("""COMPUTED_VALUE"""),0.0)</f>
        <v>0</v>
      </c>
      <c r="X774" s="65">
        <f>IFERROR(__xludf.DUMMYFUNCTION("""COMPUTED_VALUE"""),2.6)</f>
        <v>2.6</v>
      </c>
      <c r="Y774" s="65">
        <f>IFERROR(__xludf.DUMMYFUNCTION("""COMPUTED_VALUE"""),5.2)</f>
        <v>5.2</v>
      </c>
      <c r="Z774" s="65">
        <f>IFERROR(__xludf.DUMMYFUNCTION("""COMPUTED_VALUE"""),121983.0)</f>
        <v>121983</v>
      </c>
      <c r="AA774" s="65" t="str">
        <f>IFERROR(__xludf.DUMMYFUNCTION("""COMPUTED_VALUE"""),"PROV-CHLLCF")</f>
        <v>PROV-CHLLCF</v>
      </c>
      <c r="AB774" s="65"/>
      <c r="AC774" s="65" t="str">
        <f>IFERROR(__xludf.DUMMYFUNCTION("""COMPUTED_VALUE"""),"CUCHILLO PARA CHEF")</f>
        <v>CUCHILLO PARA CHEF</v>
      </c>
      <c r="AD774" s="65"/>
      <c r="AE774" s="65">
        <f>IFERROR(__xludf.DUMMYFUNCTION("""COMPUTED_VALUE"""),2.0)</f>
        <v>2</v>
      </c>
      <c r="AF774" s="65"/>
      <c r="AG774" s="65"/>
      <c r="AH774" s="65"/>
      <c r="AI774" s="65"/>
      <c r="AJ774" s="65"/>
      <c r="AK774" s="65"/>
      <c r="AL774" s="65"/>
      <c r="AM774" s="65"/>
      <c r="AN774" s="65" t="str">
        <f>IFERROR(__xludf.DUMMYFUNCTION("""COMPUTED_VALUE"""),"14:14")</f>
        <v>14:14</v>
      </c>
      <c r="AO774" s="65" t="str">
        <f>IFERROR(__xludf.DUMMYFUNCTION("""COMPUTED_VALUE"""),"24-02-2026")</f>
        <v>24-02-2026</v>
      </c>
      <c r="AP774" s="65" t="str">
        <f>IFERROR(__xludf.DUMMYFUNCTION("""COMPUTED_VALUE"""),"ENTREGADA GINTRACOM")</f>
        <v>ENTREGADA GINTRACOM</v>
      </c>
      <c r="AQ774" s="65" t="str">
        <f>IFERROR(__xludf.DUMMYFUNCTION("""COMPUTED_VALUE"""),"ENTREGADA GINTRACOM")</f>
        <v>ENTREGADA GINTRACOM</v>
      </c>
      <c r="AR774" s="65"/>
      <c r="AS774" s="65"/>
      <c r="AT774" s="65" t="str">
        <f>IFERROR(__xludf.DUMMYFUNCTION("""COMPUTED_VALUE"""),"SHOPIFY")</f>
        <v>SHOPIFY</v>
      </c>
      <c r="AU774" s="65" t="str">
        <f>IFERROR(__xludf.DUMMYFUNCTION("""COMPUTED_VALUE"""),"IMPORTEX EC")</f>
        <v>IMPORTEX EC</v>
      </c>
      <c r="AV774" s="65" t="str">
        <f>IFERROR(__xludf.DUMMYFUNCTION("""COMPUTED_VALUE"""),"6501866373164")</f>
        <v>6501866373164</v>
      </c>
      <c r="AW774" s="65">
        <f>IFERROR(__xludf.DUMMYFUNCTION("""COMPUTED_VALUE"""),6107.0)</f>
        <v>6107</v>
      </c>
      <c r="AX774" s="65"/>
      <c r="AY774" s="65" t="str">
        <f>IFERROR(__xludf.DUMMYFUNCTION("""COMPUTED_VALUE"""),"19/02/2026")</f>
        <v>19/02/2026</v>
      </c>
      <c r="AZ774" s="65"/>
      <c r="BA774" s="65"/>
    </row>
    <row r="775">
      <c r="A775" s="65" t="str">
        <f>IFERROR(__xludf.DUMMYFUNCTION("""COMPUTED_VALUE"""),"27-03-2026")</f>
        <v>27-03-2026</v>
      </c>
      <c r="B775" s="65">
        <f>IFERROR(__xludf.DUMMYFUNCTION("""COMPUTED_VALUE"""),4503648.0)</f>
        <v>4503648</v>
      </c>
      <c r="C775" s="65" t="str">
        <f>IFERROR(__xludf.DUMMYFUNCTION("""COMPUTED_VALUE"""),"18:28")</f>
        <v>18:28</v>
      </c>
      <c r="D775" s="65" t="str">
        <f>IFERROR(__xludf.DUMMYFUNCTION("""COMPUTED_VALUE"""),"13-02-2026")</f>
        <v>13-02-2026</v>
      </c>
      <c r="E775" s="65" t="str">
        <f>IFERROR(__xludf.DUMMYFUNCTION("""COMPUTED_VALUE"""),"Alex Patricio Castro Perez")</f>
        <v>Alex Patricio Castro Perez</v>
      </c>
      <c r="F775" s="65" t="str">
        <f>IFERROR(__xludf.DUMMYFUNCTION("""COMPUTED_VALUE"""),"983209051")</f>
        <v>983209051</v>
      </c>
      <c r="G775" s="65" t="str">
        <f>IFERROR(__xludf.DUMMYFUNCTION("""COMPUTED_VALUE"""),"acastro0230@hotmail.com")</f>
        <v>acastro0230@hotmail.com</v>
      </c>
      <c r="H775" s="65"/>
      <c r="I775" s="65"/>
      <c r="J775" s="65" t="str">
        <f>IFERROR(__xludf.DUMMYFUNCTION("""COMPUTED_VALUE"""),"D001340356")</f>
        <v>D001340356</v>
      </c>
      <c r="K775" s="65" t="str">
        <f>IFERROR(__xludf.DUMMYFUNCTION("""COMPUTED_VALUE"""),"ENTREGADO")</f>
        <v>ENTREGADO</v>
      </c>
      <c r="L775" s="65" t="str">
        <f>IFERROR(__xludf.DUMMYFUNCTION("""COMPUTED_VALUE"""),"CON RECAUDO")</f>
        <v>CON RECAUDO</v>
      </c>
      <c r="M775" s="65" t="str">
        <f>IFERROR(__xludf.DUMMYFUNCTION("""COMPUTED_VALUE"""),"PICHINCHA")</f>
        <v>PICHINCHA</v>
      </c>
      <c r="N775" s="65" t="str">
        <f>IFERROR(__xludf.DUMMYFUNCTION("""COMPUTED_VALUE"""),"CAYAMBE")</f>
        <v>CAYAMBE</v>
      </c>
      <c r="O775" s="65" t="str">
        <f>IFERROR(__xludf.DUMMYFUNCTION("""COMPUTED_VALUE"""),"Cayambe, Teran y chile esquina")</f>
        <v>Cayambe, Teran y chile esquina</v>
      </c>
      <c r="P775" s="65"/>
      <c r="Q775" s="65" t="str">
        <f>IFERROR(__xludf.DUMMYFUNCTION("""COMPUTED_VALUE"""),"GINTRACOM")</f>
        <v>GINTRACOM</v>
      </c>
      <c r="R775" s="65">
        <f>IFERROR(__xludf.DUMMYFUNCTION("""COMPUTED_VALUE"""),27.0)</f>
        <v>27</v>
      </c>
      <c r="S775" s="65">
        <f>IFERROR(__xludf.DUMMYFUNCTION("""COMPUTED_VALUE"""),13.17)</f>
        <v>13.17</v>
      </c>
      <c r="T775" s="65">
        <f>IFERROR(__xludf.DUMMYFUNCTION("""COMPUTED_VALUE"""),6.03)</f>
        <v>6.03</v>
      </c>
      <c r="U775" s="65">
        <f>IFERROR(__xludf.DUMMYFUNCTION("""COMPUTED_VALUE"""),0.0)</f>
        <v>0</v>
      </c>
      <c r="V775" s="65">
        <f>IFERROR(__xludf.DUMMYFUNCTION("""COMPUTED_VALUE"""),0.0)</f>
        <v>0</v>
      </c>
      <c r="W775" s="65">
        <f>IFERROR(__xludf.DUMMYFUNCTION("""COMPUTED_VALUE"""),0.0)</f>
        <v>0</v>
      </c>
      <c r="X775" s="65">
        <f>IFERROR(__xludf.DUMMYFUNCTION("""COMPUTED_VALUE"""),2.6)</f>
        <v>2.6</v>
      </c>
      <c r="Y775" s="65">
        <f>IFERROR(__xludf.DUMMYFUNCTION("""COMPUTED_VALUE"""),7.8)</f>
        <v>7.8</v>
      </c>
      <c r="Z775" s="65">
        <f>IFERROR(__xludf.DUMMYFUNCTION("""COMPUTED_VALUE"""),121983.0)</f>
        <v>121983</v>
      </c>
      <c r="AA775" s="65" t="str">
        <f>IFERROR(__xludf.DUMMYFUNCTION("""COMPUTED_VALUE"""),"PROV-CHLLCF")</f>
        <v>PROV-CHLLCF</v>
      </c>
      <c r="AB775" s="65"/>
      <c r="AC775" s="65" t="str">
        <f>IFERROR(__xludf.DUMMYFUNCTION("""COMPUTED_VALUE"""),"CUCHILLO PARA CHEF")</f>
        <v>CUCHILLO PARA CHEF</v>
      </c>
      <c r="AD775" s="65"/>
      <c r="AE775" s="65">
        <f>IFERROR(__xludf.DUMMYFUNCTION("""COMPUTED_VALUE"""),3.0)</f>
        <v>3</v>
      </c>
      <c r="AF775" s="65" t="str">
        <f>IFERROR(__xludf.DUMMYFUNCTION("""COMPUTED_VALUE"""),"DESTINATARIO NO CONTESTA LLAMADAS NI WHATSAPP")</f>
        <v>DESTINATARIO NO CONTESTA LLAMADAS NI WHATSAPP</v>
      </c>
      <c r="AG775" s="65" t="str">
        <f>IFERROR(__xludf.DUMMYFUNCTION("""COMPUTED_VALUE"""),"SI")</f>
        <v>SI</v>
      </c>
      <c r="AH775" s="65" t="str">
        <f>IFERROR(__xludf.DUMMYFUNCTION("""COMPUTED_VALUE"""),"17:25")</f>
        <v>17:25</v>
      </c>
      <c r="AI775" s="65" t="str">
        <f>IFERROR(__xludf.DUMMYFUNCTION("""COMPUTED_VALUE"""),"21-02-2026")</f>
        <v>21-02-2026</v>
      </c>
      <c r="AJ775" s="65" t="str">
        <f>IFERROR(__xludf.DUMMYFUNCTION("""COMPUTED_VALUE"""),"CLIENTE SOLICITA LA ENTREGA INMEDIATA")</f>
        <v>CLIENTE SOLICITA LA ENTREGA INMEDIATA</v>
      </c>
      <c r="AK775" s="65" t="str">
        <f>IFERROR(__xludf.DUMMYFUNCTION("""COMPUTED_VALUE"""),"11:44")</f>
        <v>11:44</v>
      </c>
      <c r="AL775" s="65" t="str">
        <f>IFERROR(__xludf.DUMMYFUNCTION("""COMPUTED_VALUE"""),"24-02-2026")</f>
        <v>24-02-2026</v>
      </c>
      <c r="AM775" s="65"/>
      <c r="AN775" s="65" t="str">
        <f>IFERROR(__xludf.DUMMYFUNCTION("""COMPUTED_VALUE"""),"08:55")</f>
        <v>08:55</v>
      </c>
      <c r="AO775" s="65" t="str">
        <f>IFERROR(__xludf.DUMMYFUNCTION("""COMPUTED_VALUE"""),"02-03-2026")</f>
        <v>02-03-2026</v>
      </c>
      <c r="AP775" s="65" t="str">
        <f>IFERROR(__xludf.DUMMYFUNCTION("""COMPUTED_VALUE"""),"ENTREGADA GINTRACOM")</f>
        <v>ENTREGADA GINTRACOM</v>
      </c>
      <c r="AQ775" s="65" t="str">
        <f>IFERROR(__xludf.DUMMYFUNCTION("""COMPUTED_VALUE"""),"ENTREGADA GINTRACOM")</f>
        <v>ENTREGADA GINTRACOM</v>
      </c>
      <c r="AR775" s="65"/>
      <c r="AS775" s="65"/>
      <c r="AT775" s="65" t="str">
        <f>IFERROR(__xludf.DUMMYFUNCTION("""COMPUTED_VALUE"""),"SHOPIFY")</f>
        <v>SHOPIFY</v>
      </c>
      <c r="AU775" s="65" t="str">
        <f>IFERROR(__xludf.DUMMYFUNCTION("""COMPUTED_VALUE"""),"IMPORTEX EC")</f>
        <v>IMPORTEX EC</v>
      </c>
      <c r="AV775" s="65" t="str">
        <f>IFERROR(__xludf.DUMMYFUNCTION("""COMPUTED_VALUE"""),"6501804015660")</f>
        <v>6501804015660</v>
      </c>
      <c r="AW775" s="65">
        <f>IFERROR(__xludf.DUMMYFUNCTION("""COMPUTED_VALUE"""),6106.0)</f>
        <v>6106</v>
      </c>
      <c r="AX775" s="65"/>
      <c r="AY775" s="65" t="str">
        <f>IFERROR(__xludf.DUMMYFUNCTION("""COMPUTED_VALUE"""),"19/02/2026")</f>
        <v>19/02/2026</v>
      </c>
      <c r="AZ775" s="65"/>
      <c r="BA775" s="65"/>
    </row>
    <row r="776">
      <c r="A776" s="65" t="str">
        <f>IFERROR(__xludf.DUMMYFUNCTION("""COMPUTED_VALUE"""),"27-03-2026")</f>
        <v>27-03-2026</v>
      </c>
      <c r="B776" s="65">
        <f>IFERROR(__xludf.DUMMYFUNCTION("""COMPUTED_VALUE"""),4503257.0)</f>
        <v>4503257</v>
      </c>
      <c r="C776" s="65" t="str">
        <f>IFERROR(__xludf.DUMMYFUNCTION("""COMPUTED_VALUE"""),"17:22")</f>
        <v>17:22</v>
      </c>
      <c r="D776" s="65" t="str">
        <f>IFERROR(__xludf.DUMMYFUNCTION("""COMPUTED_VALUE"""),"13-02-2026")</f>
        <v>13-02-2026</v>
      </c>
      <c r="E776" s="65" t="str">
        <f>IFERROR(__xludf.DUMMYFUNCTION("""COMPUTED_VALUE"""),"Freddy Daniel Luzón Pérez")</f>
        <v>Freddy Daniel Luzón Pérez</v>
      </c>
      <c r="F776" s="65" t="str">
        <f>IFERROR(__xludf.DUMMYFUNCTION("""COMPUTED_VALUE"""),"987771728")</f>
        <v>987771728</v>
      </c>
      <c r="G776" s="65" t="str">
        <f>IFERROR(__xludf.DUMMYFUNCTION("""COMPUTED_VALUE"""),"luzonfreddy1@gmail.com")</f>
        <v>luzonfreddy1@gmail.com</v>
      </c>
      <c r="H776" s="65"/>
      <c r="I776" s="65"/>
      <c r="J776" s="65" t="str">
        <f>IFERROR(__xludf.DUMMYFUNCTION("""COMPUTED_VALUE"""),"D001340357")</f>
        <v>D001340357</v>
      </c>
      <c r="K776" s="65" t="str">
        <f>IFERROR(__xludf.DUMMYFUNCTION("""COMPUTED_VALUE"""),"ENTREGADO")</f>
        <v>ENTREGADO</v>
      </c>
      <c r="L776" s="65" t="str">
        <f>IFERROR(__xludf.DUMMYFUNCTION("""COMPUTED_VALUE"""),"CON RECAUDO")</f>
        <v>CON RECAUDO</v>
      </c>
      <c r="M776" s="65" t="str">
        <f>IFERROR(__xludf.DUMMYFUNCTION("""COMPUTED_VALUE"""),"PICHINCHA")</f>
        <v>PICHINCHA</v>
      </c>
      <c r="N776" s="65" t="str">
        <f>IFERROR(__xludf.DUMMYFUNCTION("""COMPUTED_VALUE"""),"QUITO")</f>
        <v>QUITO</v>
      </c>
      <c r="O776" s="65" t="str">
        <f>IFERROR(__xludf.DUMMYFUNCTION("""COMPUTED_VALUE"""),"E3F S58-86 S59B Venecia 1 PB Sector Turubamba Barrio Guamani la Venecia 1  cuatro cuadras hacia abajo del colegio Navarra -")</f>
        <v>E3F S58-86 S59B Venecia 1 PB Sector Turubamba Barrio Guamani la Venecia 1  cuatro cuadras hacia abajo del colegio Navarra -</v>
      </c>
      <c r="P776" s="65"/>
      <c r="Q776" s="65" t="str">
        <f>IFERROR(__xludf.DUMMYFUNCTION("""COMPUTED_VALUE"""),"GINTRACOM")</f>
        <v>GINTRACOM</v>
      </c>
      <c r="R776" s="65">
        <f>IFERROR(__xludf.DUMMYFUNCTION("""COMPUTED_VALUE"""),30.0)</f>
        <v>30</v>
      </c>
      <c r="S776" s="65">
        <f>IFERROR(__xludf.DUMMYFUNCTION("""COMPUTED_VALUE"""),16.64)</f>
        <v>16.64</v>
      </c>
      <c r="T776" s="65">
        <f>IFERROR(__xludf.DUMMYFUNCTION("""COMPUTED_VALUE"""),6.16)</f>
        <v>6.16</v>
      </c>
      <c r="U776" s="65">
        <f>IFERROR(__xludf.DUMMYFUNCTION("""COMPUTED_VALUE"""),0.0)</f>
        <v>0</v>
      </c>
      <c r="V776" s="65">
        <f>IFERROR(__xludf.DUMMYFUNCTION("""COMPUTED_VALUE"""),0.0)</f>
        <v>0</v>
      </c>
      <c r="W776" s="65">
        <f>IFERROR(__xludf.DUMMYFUNCTION("""COMPUTED_VALUE"""),0.0)</f>
        <v>0</v>
      </c>
      <c r="X776" s="65">
        <f>IFERROR(__xludf.DUMMYFUNCTION("""COMPUTED_VALUE"""),2.4)</f>
        <v>2.4</v>
      </c>
      <c r="Y776" s="65">
        <f>IFERROR(__xludf.DUMMYFUNCTION("""COMPUTED_VALUE"""),7.2)</f>
        <v>7.2</v>
      </c>
      <c r="Z776" s="65">
        <f>IFERROR(__xludf.DUMMYFUNCTION("""COMPUTED_VALUE"""),120732.0)</f>
        <v>120732</v>
      </c>
      <c r="AA776" s="65" t="str">
        <f>IFERROR(__xludf.DUMMYFUNCTION("""COMPUTED_VALUE"""),"PROV-LMPVT")</f>
        <v>PROV-LMPVT</v>
      </c>
      <c r="AB776" s="65"/>
      <c r="AC776" s="65" t="str">
        <f>IFERROR(__xludf.DUMMYFUNCTION("""COMPUTED_VALUE"""),"LIMPIADOR DE PARABRISAS Y VENTANAS")</f>
        <v>LIMPIADOR DE PARABRISAS Y VENTANAS</v>
      </c>
      <c r="AD776" s="65"/>
      <c r="AE776" s="65">
        <f>IFERROR(__xludf.DUMMYFUNCTION("""COMPUTED_VALUE"""),3.0)</f>
        <v>3</v>
      </c>
      <c r="AF776" s="65" t="str">
        <f>IFERROR(__xludf.DUMMYFUNCTION("""COMPUTED_VALUE"""),"DESTINATARIO NO SE ENCUENTRA EN LUGAR DE ENTREGA.")</f>
        <v>DESTINATARIO NO SE ENCUENTRA EN LUGAR DE ENTREGA.</v>
      </c>
      <c r="AG776" s="65" t="str">
        <f>IFERROR(__xludf.DUMMYFUNCTION("""COMPUTED_VALUE"""),"SI")</f>
        <v>SI</v>
      </c>
      <c r="AH776" s="65" t="str">
        <f>IFERROR(__xludf.DUMMYFUNCTION("""COMPUTED_VALUE"""),"14:07")</f>
        <v>14:07</v>
      </c>
      <c r="AI776" s="65" t="str">
        <f>IFERROR(__xludf.DUMMYFUNCTION("""COMPUTED_VALUE"""),"23-02-2026")</f>
        <v>23-02-2026</v>
      </c>
      <c r="AJ776" s="65"/>
      <c r="AK776" s="65"/>
      <c r="AL776" s="65"/>
      <c r="AM776" s="65"/>
      <c r="AN776" s="65" t="str">
        <f>IFERROR(__xludf.DUMMYFUNCTION("""COMPUTED_VALUE"""),"17:11")</f>
        <v>17:11</v>
      </c>
      <c r="AO776" s="65" t="str">
        <f>IFERROR(__xludf.DUMMYFUNCTION("""COMPUTED_VALUE"""),"24-02-2026")</f>
        <v>24-02-2026</v>
      </c>
      <c r="AP776" s="65" t="str">
        <f>IFERROR(__xludf.DUMMYFUNCTION("""COMPUTED_VALUE"""),"ENTREGADA GINTRACOM")</f>
        <v>ENTREGADA GINTRACOM</v>
      </c>
      <c r="AQ776" s="65" t="str">
        <f>IFERROR(__xludf.DUMMYFUNCTION("""COMPUTED_VALUE"""),"ENTREGADA GINTRACOM")</f>
        <v>ENTREGADA GINTRACOM</v>
      </c>
      <c r="AR776" s="65"/>
      <c r="AS776" s="65"/>
      <c r="AT776" s="65" t="str">
        <f>IFERROR(__xludf.DUMMYFUNCTION("""COMPUTED_VALUE"""),"SHOPIFY")</f>
        <v>SHOPIFY</v>
      </c>
      <c r="AU776" s="65" t="str">
        <f>IFERROR(__xludf.DUMMYFUNCTION("""COMPUTED_VALUE"""),"IMPORTEX EC")</f>
        <v>IMPORTEX EC</v>
      </c>
      <c r="AV776" s="65" t="str">
        <f>IFERROR(__xludf.DUMMYFUNCTION("""COMPUTED_VALUE"""),"6501661769772")</f>
        <v>6501661769772</v>
      </c>
      <c r="AW776" s="65">
        <f>IFERROR(__xludf.DUMMYFUNCTION("""COMPUTED_VALUE"""),6105.0)</f>
        <v>6105</v>
      </c>
      <c r="AX776" s="65"/>
      <c r="AY776" s="65" t="str">
        <f>IFERROR(__xludf.DUMMYFUNCTION("""COMPUTED_VALUE"""),"19/02/2026")</f>
        <v>19/02/2026</v>
      </c>
      <c r="AZ776" s="65"/>
      <c r="BA776" s="65"/>
    </row>
    <row r="777">
      <c r="A777" s="65" t="str">
        <f>IFERROR(__xludf.DUMMYFUNCTION("""COMPUTED_VALUE"""),"27-03-2026")</f>
        <v>27-03-2026</v>
      </c>
      <c r="B777" s="65">
        <f>IFERROR(__xludf.DUMMYFUNCTION("""COMPUTED_VALUE"""),4503209.0)</f>
        <v>4503209</v>
      </c>
      <c r="C777" s="65" t="str">
        <f>IFERROR(__xludf.DUMMYFUNCTION("""COMPUTED_VALUE"""),"17:15")</f>
        <v>17:15</v>
      </c>
      <c r="D777" s="65" t="str">
        <f>IFERROR(__xludf.DUMMYFUNCTION("""COMPUTED_VALUE"""),"13-02-2026")</f>
        <v>13-02-2026</v>
      </c>
      <c r="E777" s="65" t="str">
        <f>IFERROR(__xludf.DUMMYFUNCTION("""COMPUTED_VALUE"""),"Carlos Maldonado Ruiz")</f>
        <v>Carlos Maldonado Ruiz</v>
      </c>
      <c r="F777" s="65" t="str">
        <f>IFERROR(__xludf.DUMMYFUNCTION("""COMPUTED_VALUE"""),"998792635")</f>
        <v>998792635</v>
      </c>
      <c r="G777" s="65" t="str">
        <f>IFERROR(__xludf.DUMMYFUNCTION("""COMPUTED_VALUE"""),"carlosmaldonado_67@hotmail.com")</f>
        <v>carlosmaldonado_67@hotmail.com</v>
      </c>
      <c r="H777" s="65"/>
      <c r="I777" s="65"/>
      <c r="J777" s="65" t="str">
        <f>IFERROR(__xludf.DUMMYFUNCTION("""COMPUTED_VALUE"""),"D001340358")</f>
        <v>D001340358</v>
      </c>
      <c r="K777" s="65" t="str">
        <f>IFERROR(__xludf.DUMMYFUNCTION("""COMPUTED_VALUE"""),"ENTREGADO")</f>
        <v>ENTREGADO</v>
      </c>
      <c r="L777" s="65" t="str">
        <f>IFERROR(__xludf.DUMMYFUNCTION("""COMPUTED_VALUE"""),"CON RECAUDO")</f>
        <v>CON RECAUDO</v>
      </c>
      <c r="M777" s="65" t="str">
        <f>IFERROR(__xludf.DUMMYFUNCTION("""COMPUTED_VALUE"""),"PICHINCHA")</f>
        <v>PICHINCHA</v>
      </c>
      <c r="N777" s="65" t="str">
        <f>IFERROR(__xludf.DUMMYFUNCTION("""COMPUTED_VALUE"""),"QUITO")</f>
        <v>QUITO</v>
      </c>
      <c r="O777" s="65" t="str">
        <f>IFERROR(__xludf.DUMMYFUNCTION("""COMPUTED_VALUE"""),"25 Noviembre Y  28 de Junio -")</f>
        <v>25 Noviembre Y  28 de Junio -</v>
      </c>
      <c r="P777" s="65"/>
      <c r="Q777" s="65" t="str">
        <f>IFERROR(__xludf.DUMMYFUNCTION("""COMPUTED_VALUE"""),"GINTRACOM")</f>
        <v>GINTRACOM</v>
      </c>
      <c r="R777" s="65">
        <f>IFERROR(__xludf.DUMMYFUNCTION("""COMPUTED_VALUE"""),22.0)</f>
        <v>22</v>
      </c>
      <c r="S777" s="65">
        <f>IFERROR(__xludf.DUMMYFUNCTION("""COMPUTED_VALUE"""),10.96)</f>
        <v>10.96</v>
      </c>
      <c r="T777" s="65">
        <f>IFERROR(__xludf.DUMMYFUNCTION("""COMPUTED_VALUE"""),5.84)</f>
        <v>5.84</v>
      </c>
      <c r="U777" s="65">
        <f>IFERROR(__xludf.DUMMYFUNCTION("""COMPUTED_VALUE"""),0.0)</f>
        <v>0</v>
      </c>
      <c r="V777" s="65">
        <f>IFERROR(__xludf.DUMMYFUNCTION("""COMPUTED_VALUE"""),0.0)</f>
        <v>0</v>
      </c>
      <c r="W777" s="65">
        <f>IFERROR(__xludf.DUMMYFUNCTION("""COMPUTED_VALUE"""),0.0)</f>
        <v>0</v>
      </c>
      <c r="X777" s="65">
        <f>IFERROR(__xludf.DUMMYFUNCTION("""COMPUTED_VALUE"""),2.6)</f>
        <v>2.6</v>
      </c>
      <c r="Y777" s="65">
        <f>IFERROR(__xludf.DUMMYFUNCTION("""COMPUTED_VALUE"""),5.2)</f>
        <v>5.2</v>
      </c>
      <c r="Z777" s="65">
        <f>IFERROR(__xludf.DUMMYFUNCTION("""COMPUTED_VALUE"""),121983.0)</f>
        <v>121983</v>
      </c>
      <c r="AA777" s="65" t="str">
        <f>IFERROR(__xludf.DUMMYFUNCTION("""COMPUTED_VALUE"""),"PROV-CHLLCF")</f>
        <v>PROV-CHLLCF</v>
      </c>
      <c r="AB777" s="65"/>
      <c r="AC777" s="65" t="str">
        <f>IFERROR(__xludf.DUMMYFUNCTION("""COMPUTED_VALUE"""),"CUCHILLO PARA CHEF")</f>
        <v>CUCHILLO PARA CHEF</v>
      </c>
      <c r="AD777" s="65"/>
      <c r="AE777" s="65">
        <f>IFERROR(__xludf.DUMMYFUNCTION("""COMPUTED_VALUE"""),2.0)</f>
        <v>2</v>
      </c>
      <c r="AF777" s="65"/>
      <c r="AG777" s="65"/>
      <c r="AH777" s="65"/>
      <c r="AI777" s="65"/>
      <c r="AJ777" s="65"/>
      <c r="AK777" s="65"/>
      <c r="AL777" s="65"/>
      <c r="AM777" s="65"/>
      <c r="AN777" s="65" t="str">
        <f>IFERROR(__xludf.DUMMYFUNCTION("""COMPUTED_VALUE"""),"15:29")</f>
        <v>15:29</v>
      </c>
      <c r="AO777" s="65" t="str">
        <f>IFERROR(__xludf.DUMMYFUNCTION("""COMPUTED_VALUE"""),"20-02-2026")</f>
        <v>20-02-2026</v>
      </c>
      <c r="AP777" s="65" t="str">
        <f>IFERROR(__xludf.DUMMYFUNCTION("""COMPUTED_VALUE"""),"ENTREGADA GINTRACOM")</f>
        <v>ENTREGADA GINTRACOM</v>
      </c>
      <c r="AQ777" s="65" t="str">
        <f>IFERROR(__xludf.DUMMYFUNCTION("""COMPUTED_VALUE"""),"ENTREGADA GINTRACOM")</f>
        <v>ENTREGADA GINTRACOM</v>
      </c>
      <c r="AR777" s="65"/>
      <c r="AS777" s="65"/>
      <c r="AT777" s="65" t="str">
        <f>IFERROR(__xludf.DUMMYFUNCTION("""COMPUTED_VALUE"""),"SHOPIFY")</f>
        <v>SHOPIFY</v>
      </c>
      <c r="AU777" s="65" t="str">
        <f>IFERROR(__xludf.DUMMYFUNCTION("""COMPUTED_VALUE"""),"IMPORTEX EC")</f>
        <v>IMPORTEX EC</v>
      </c>
      <c r="AV777" s="65" t="str">
        <f>IFERROR(__xludf.DUMMYFUNCTION("""COMPUTED_VALUE"""),"6501650825260")</f>
        <v>6501650825260</v>
      </c>
      <c r="AW777" s="65">
        <f>IFERROR(__xludf.DUMMYFUNCTION("""COMPUTED_VALUE"""),6104.0)</f>
        <v>6104</v>
      </c>
      <c r="AX777" s="65"/>
      <c r="AY777" s="65" t="str">
        <f>IFERROR(__xludf.DUMMYFUNCTION("""COMPUTED_VALUE"""),"19/02/2026")</f>
        <v>19/02/2026</v>
      </c>
      <c r="AZ777" s="65"/>
      <c r="BA777" s="65"/>
    </row>
    <row r="778">
      <c r="A778" s="65" t="str">
        <f>IFERROR(__xludf.DUMMYFUNCTION("""COMPUTED_VALUE"""),"27-03-2026")</f>
        <v>27-03-2026</v>
      </c>
      <c r="B778" s="65">
        <f>IFERROR(__xludf.DUMMYFUNCTION("""COMPUTED_VALUE"""),4502915.0)</f>
        <v>4502915</v>
      </c>
      <c r="C778" s="65" t="str">
        <f>IFERROR(__xludf.DUMMYFUNCTION("""COMPUTED_VALUE"""),"16:42")</f>
        <v>16:42</v>
      </c>
      <c r="D778" s="65" t="str">
        <f>IFERROR(__xludf.DUMMYFUNCTION("""COMPUTED_VALUE"""),"13-02-2026")</f>
        <v>13-02-2026</v>
      </c>
      <c r="E778" s="65" t="str">
        <f>IFERROR(__xludf.DUMMYFUNCTION("""COMPUTED_VALUE"""),"Mauro pezo")</f>
        <v>Mauro pezo</v>
      </c>
      <c r="F778" s="65" t="str">
        <f>IFERROR(__xludf.DUMMYFUNCTION("""COMPUTED_VALUE"""),"967898273")</f>
        <v>967898273</v>
      </c>
      <c r="G778" s="65" t="str">
        <f>IFERROR(__xludf.DUMMYFUNCTION("""COMPUTED_VALUE"""),"pezom5563@gmail.com")</f>
        <v>pezom5563@gmail.com</v>
      </c>
      <c r="H778" s="65"/>
      <c r="I778" s="65"/>
      <c r="J778" s="65" t="str">
        <f>IFERROR(__xludf.DUMMYFUNCTION("""COMPUTED_VALUE"""),"D001343633")</f>
        <v>D001343633</v>
      </c>
      <c r="K778" s="65" t="str">
        <f>IFERROR(__xludf.DUMMYFUNCTION("""COMPUTED_VALUE"""),"ENTREGADO")</f>
        <v>ENTREGADO</v>
      </c>
      <c r="L778" s="65" t="str">
        <f>IFERROR(__xludf.DUMMYFUNCTION("""COMPUTED_VALUE"""),"CON RECAUDO")</f>
        <v>CON RECAUDO</v>
      </c>
      <c r="M778" s="65" t="str">
        <f>IFERROR(__xludf.DUMMYFUNCTION("""COMPUTED_VALUE"""),"GUAYAS")</f>
        <v>GUAYAS</v>
      </c>
      <c r="N778" s="65" t="str">
        <f>IFERROR(__xludf.DUMMYFUNCTION("""COMPUTED_VALUE"""),"GUAYAQUIL")</f>
        <v>GUAYAQUIL</v>
      </c>
      <c r="O778" s="65" t="str">
        <f>IFERROR(__xludf.DUMMYFUNCTION("""COMPUTED_VALUE"""),"Pino Roca 409 y Chile (frente gasolinera shell Colegio Cristobal Colon -")</f>
        <v>Pino Roca 409 y Chile (frente gasolinera shell Colegio Cristobal Colon -</v>
      </c>
      <c r="P778" s="65"/>
      <c r="Q778" s="65" t="str">
        <f>IFERROR(__xludf.DUMMYFUNCTION("""COMPUTED_VALUE"""),"GINTRACOM")</f>
        <v>GINTRACOM</v>
      </c>
      <c r="R778" s="65">
        <f>IFERROR(__xludf.DUMMYFUNCTION("""COMPUTED_VALUE"""),20.0)</f>
        <v>20</v>
      </c>
      <c r="S778" s="65">
        <f>IFERROR(__xludf.DUMMYFUNCTION("""COMPUTED_VALUE"""),13.45)</f>
        <v>13.45</v>
      </c>
      <c r="T778" s="65">
        <f>IFERROR(__xludf.DUMMYFUNCTION("""COMPUTED_VALUE"""),4.15)</f>
        <v>4.15</v>
      </c>
      <c r="U778" s="65">
        <f>IFERROR(__xludf.DUMMYFUNCTION("""COMPUTED_VALUE"""),0.0)</f>
        <v>0</v>
      </c>
      <c r="V778" s="65">
        <f>IFERROR(__xludf.DUMMYFUNCTION("""COMPUTED_VALUE"""),0.0)</f>
        <v>0</v>
      </c>
      <c r="W778" s="65">
        <f>IFERROR(__xludf.DUMMYFUNCTION("""COMPUTED_VALUE"""),0.0)</f>
        <v>0</v>
      </c>
      <c r="X778" s="65">
        <f>IFERROR(__xludf.DUMMYFUNCTION("""COMPUTED_VALUE"""),2.4)</f>
        <v>2.4</v>
      </c>
      <c r="Y778" s="65">
        <f>IFERROR(__xludf.DUMMYFUNCTION("""COMPUTED_VALUE"""),2.4)</f>
        <v>2.4</v>
      </c>
      <c r="Z778" s="65">
        <f>IFERROR(__xludf.DUMMYFUNCTION("""COMPUTED_VALUE"""),120732.0)</f>
        <v>120732</v>
      </c>
      <c r="AA778" s="65" t="str">
        <f>IFERROR(__xludf.DUMMYFUNCTION("""COMPUTED_VALUE"""),"PROV-LMPVT")</f>
        <v>PROV-LMPVT</v>
      </c>
      <c r="AB778" s="65"/>
      <c r="AC778" s="65" t="str">
        <f>IFERROR(__xludf.DUMMYFUNCTION("""COMPUTED_VALUE"""),"LIMPIADOR DE PARABRISAS Y VENTANAS")</f>
        <v>LIMPIADOR DE PARABRISAS Y VENTANAS</v>
      </c>
      <c r="AD778" s="65"/>
      <c r="AE778" s="65">
        <f>IFERROR(__xludf.DUMMYFUNCTION("""COMPUTED_VALUE"""),1.0)</f>
        <v>1</v>
      </c>
      <c r="AF778" s="65" t="str">
        <f>IFERROR(__xludf.DUMMYFUNCTION("""COMPUTED_VALUE"""),"DESTINATARIO NO CONTESTA LLAMADAS NI WHATSAPP")</f>
        <v>DESTINATARIO NO CONTESTA LLAMADAS NI WHATSAPP</v>
      </c>
      <c r="AG778" s="65" t="str">
        <f>IFERROR(__xludf.DUMMYFUNCTION("""COMPUTED_VALUE"""),"SI")</f>
        <v>SI</v>
      </c>
      <c r="AH778" s="65" t="str">
        <f>IFERROR(__xludf.DUMMYFUNCTION("""COMPUTED_VALUE"""),"08:40")</f>
        <v>08:40</v>
      </c>
      <c r="AI778" s="65" t="str">
        <f>IFERROR(__xludf.DUMMYFUNCTION("""COMPUTED_VALUE"""),"23-02-2026")</f>
        <v>23-02-2026</v>
      </c>
      <c r="AJ778" s="65" t="str">
        <f>IFERROR(__xludf.DUMMYFUNCTION("""COMPUTED_VALUE"""),"CLIENTE SOLCITA LA URGENTE ENTREGA,")</f>
        <v>CLIENTE SOLCITA LA URGENTE ENTREGA,</v>
      </c>
      <c r="AK778" s="65" t="str">
        <f>IFERROR(__xludf.DUMMYFUNCTION("""COMPUTED_VALUE"""),"11:29")</f>
        <v>11:29</v>
      </c>
      <c r="AL778" s="65" t="str">
        <f>IFERROR(__xludf.DUMMYFUNCTION("""COMPUTED_VALUE"""),"24-02-2026")</f>
        <v>24-02-2026</v>
      </c>
      <c r="AM778" s="65"/>
      <c r="AN778" s="65" t="str">
        <f>IFERROR(__xludf.DUMMYFUNCTION("""COMPUTED_VALUE"""),"07:40")</f>
        <v>07:40</v>
      </c>
      <c r="AO778" s="65" t="str">
        <f>IFERROR(__xludf.DUMMYFUNCTION("""COMPUTED_VALUE"""),"26-02-2026")</f>
        <v>26-02-2026</v>
      </c>
      <c r="AP778" s="65" t="str">
        <f>IFERROR(__xludf.DUMMYFUNCTION("""COMPUTED_VALUE"""),"EN REPARTO")</f>
        <v>EN REPARTO</v>
      </c>
      <c r="AQ778" s="65" t="str">
        <f>IFERROR(__xludf.DUMMYFUNCTION("""COMPUTED_VALUE"""),"EN REPARTO")</f>
        <v>EN REPARTO</v>
      </c>
      <c r="AR778" s="65"/>
      <c r="AS778" s="65"/>
      <c r="AT778" s="65" t="str">
        <f>IFERROR(__xludf.DUMMYFUNCTION("""COMPUTED_VALUE"""),"SHOPIFY")</f>
        <v>SHOPIFY</v>
      </c>
      <c r="AU778" s="65" t="str">
        <f>IFERROR(__xludf.DUMMYFUNCTION("""COMPUTED_VALUE"""),"IMPORTEX EC")</f>
        <v>IMPORTEX EC</v>
      </c>
      <c r="AV778" s="65" t="str">
        <f>IFERROR(__xludf.DUMMYFUNCTION("""COMPUTED_VALUE"""),"6501563891756")</f>
        <v>6501563891756</v>
      </c>
      <c r="AW778" s="65">
        <f>IFERROR(__xludf.DUMMYFUNCTION("""COMPUTED_VALUE"""),6103.0)</f>
        <v>6103</v>
      </c>
      <c r="AX778" s="65"/>
      <c r="AY778" s="65" t="str">
        <f>IFERROR(__xludf.DUMMYFUNCTION("""COMPUTED_VALUE"""),"20/02/2026")</f>
        <v>20/02/2026</v>
      </c>
      <c r="AZ778" s="65"/>
      <c r="BA778" s="65"/>
    </row>
    <row r="779">
      <c r="A779" s="65" t="str">
        <f>IFERROR(__xludf.DUMMYFUNCTION("""COMPUTED_VALUE"""),"27-03-2026")</f>
        <v>27-03-2026</v>
      </c>
      <c r="B779" s="65">
        <f>IFERROR(__xludf.DUMMYFUNCTION("""COMPUTED_VALUE"""),4502579.0)</f>
        <v>4502579</v>
      </c>
      <c r="C779" s="65" t="str">
        <f>IFERROR(__xludf.DUMMYFUNCTION("""COMPUTED_VALUE"""),"16:06")</f>
        <v>16:06</v>
      </c>
      <c r="D779" s="65" t="str">
        <f>IFERROR(__xludf.DUMMYFUNCTION("""COMPUTED_VALUE"""),"13-02-2026")</f>
        <v>13-02-2026</v>
      </c>
      <c r="E779" s="65" t="str">
        <f>IFERROR(__xludf.DUMMYFUNCTION("""COMPUTED_VALUE"""),"Luis Martinez Martinez")</f>
        <v>Luis Martinez Martinez</v>
      </c>
      <c r="F779" s="65" t="str">
        <f>IFERROR(__xludf.DUMMYFUNCTION("""COMPUTED_VALUE"""),"985755887")</f>
        <v>985755887</v>
      </c>
      <c r="G779" s="65" t="str">
        <f>IFERROR(__xludf.DUMMYFUNCTION("""COMPUTED_VALUE"""),"luismartinezluzuriaga@yahoo.es")</f>
        <v>luismartinezluzuriaga@yahoo.es</v>
      </c>
      <c r="H779" s="65"/>
      <c r="I779" s="65"/>
      <c r="J779" s="65"/>
      <c r="K779" s="65" t="str">
        <f>IFERROR(__xludf.DUMMYFUNCTION("""COMPUTED_VALUE"""),"PENDIENTE CONFIRMACION")</f>
        <v>PENDIENTE CONFIRMACION</v>
      </c>
      <c r="L779" s="65" t="str">
        <f>IFERROR(__xludf.DUMMYFUNCTION("""COMPUTED_VALUE"""),"CON RECAUDO")</f>
        <v>CON RECAUDO</v>
      </c>
      <c r="M779" s="65" t="str">
        <f>IFERROR(__xludf.DUMMYFUNCTION("""COMPUTED_VALUE"""),"LOJA")</f>
        <v>LOJA</v>
      </c>
      <c r="N779" s="65" t="str">
        <f>IFERROR(__xludf.DUMMYFUNCTION("""COMPUTED_VALUE"""),"LOJA")</f>
        <v>LOJA</v>
      </c>
      <c r="O779" s="65" t="str">
        <f>IFERROR(__xludf.DUMMYFUNCTION("""COMPUTED_VALUE"""),"Gonzanama  ciudadela  loja y 30 de septiembre -")</f>
        <v>Gonzanama  ciudadela  loja y 30 de septiembre -</v>
      </c>
      <c r="P779" s="65"/>
      <c r="Q779" s="65" t="str">
        <f>IFERROR(__xludf.DUMMYFUNCTION("""COMPUTED_VALUE"""),"GINTRACOM")</f>
        <v>GINTRACOM</v>
      </c>
      <c r="R779" s="65">
        <f>IFERROR(__xludf.DUMMYFUNCTION("""COMPUTED_VALUE"""),22.0)</f>
        <v>22</v>
      </c>
      <c r="S779" s="65"/>
      <c r="T779" s="65">
        <f>IFERROR(__xludf.DUMMYFUNCTION("""COMPUTED_VALUE"""),5.84)</f>
        <v>5.84</v>
      </c>
      <c r="U779" s="65">
        <f>IFERROR(__xludf.DUMMYFUNCTION("""COMPUTED_VALUE"""),0.0)</f>
        <v>0</v>
      </c>
      <c r="V779" s="65">
        <f>IFERROR(__xludf.DUMMYFUNCTION("""COMPUTED_VALUE"""),0.0)</f>
        <v>0</v>
      </c>
      <c r="W779" s="65">
        <f>IFERROR(__xludf.DUMMYFUNCTION("""COMPUTED_VALUE"""),0.0)</f>
        <v>0</v>
      </c>
      <c r="X779" s="65">
        <f>IFERROR(__xludf.DUMMYFUNCTION("""COMPUTED_VALUE"""),2.6)</f>
        <v>2.6</v>
      </c>
      <c r="Y779" s="65">
        <f>IFERROR(__xludf.DUMMYFUNCTION("""COMPUTED_VALUE"""),5.2)</f>
        <v>5.2</v>
      </c>
      <c r="Z779" s="65">
        <f>IFERROR(__xludf.DUMMYFUNCTION("""COMPUTED_VALUE"""),121983.0)</f>
        <v>121983</v>
      </c>
      <c r="AA779" s="65" t="str">
        <f>IFERROR(__xludf.DUMMYFUNCTION("""COMPUTED_VALUE"""),"PROV-CHLLCF")</f>
        <v>PROV-CHLLCF</v>
      </c>
      <c r="AB779" s="65"/>
      <c r="AC779" s="65" t="str">
        <f>IFERROR(__xludf.DUMMYFUNCTION("""COMPUTED_VALUE"""),"CUCHILLO PARA CHEF")</f>
        <v>CUCHILLO PARA CHEF</v>
      </c>
      <c r="AD779" s="65"/>
      <c r="AE779" s="65">
        <f>IFERROR(__xludf.DUMMYFUNCTION("""COMPUTED_VALUE"""),2.0)</f>
        <v>2</v>
      </c>
      <c r="AF779" s="65"/>
      <c r="AG779" s="65"/>
      <c r="AH779" s="65"/>
      <c r="AI779" s="65"/>
      <c r="AJ779" s="65"/>
      <c r="AK779" s="65"/>
      <c r="AL779" s="65"/>
      <c r="AM779" s="65"/>
      <c r="AN779" s="65"/>
      <c r="AO779" s="65"/>
      <c r="AP779" s="65"/>
      <c r="AQ779" s="65"/>
      <c r="AR779" s="65"/>
      <c r="AS779" s="65"/>
      <c r="AT779" s="65" t="str">
        <f>IFERROR(__xludf.DUMMYFUNCTION("""COMPUTED_VALUE"""),"SHOPIFY")</f>
        <v>SHOPIFY</v>
      </c>
      <c r="AU779" s="65" t="str">
        <f>IFERROR(__xludf.DUMMYFUNCTION("""COMPUTED_VALUE"""),"IMPORTEX EC")</f>
        <v>IMPORTEX EC</v>
      </c>
      <c r="AV779" s="65" t="str">
        <f>IFERROR(__xludf.DUMMYFUNCTION("""COMPUTED_VALUE"""),"6501466964012")</f>
        <v>6501466964012</v>
      </c>
      <c r="AW779" s="65">
        <f>IFERROR(__xludf.DUMMYFUNCTION("""COMPUTED_VALUE"""),6102.0)</f>
        <v>6102</v>
      </c>
      <c r="AX779" s="65"/>
      <c r="AY779" s="65"/>
      <c r="AZ779" s="65"/>
      <c r="BA779" s="65"/>
    </row>
    <row r="780">
      <c r="A780" s="65" t="str">
        <f>IFERROR(__xludf.DUMMYFUNCTION("""COMPUTED_VALUE"""),"27-03-2026")</f>
        <v>27-03-2026</v>
      </c>
      <c r="B780" s="65">
        <f>IFERROR(__xludf.DUMMYFUNCTION("""COMPUTED_VALUE"""),4502422.0)</f>
        <v>4502422</v>
      </c>
      <c r="C780" s="65" t="str">
        <f>IFERROR(__xludf.DUMMYFUNCTION("""COMPUTED_VALUE"""),"15:48")</f>
        <v>15:48</v>
      </c>
      <c r="D780" s="65" t="str">
        <f>IFERROR(__xludf.DUMMYFUNCTION("""COMPUTED_VALUE"""),"13-02-2026")</f>
        <v>13-02-2026</v>
      </c>
      <c r="E780" s="65" t="str">
        <f>IFERROR(__xludf.DUMMYFUNCTION("""COMPUTED_VALUE"""),"Richard Ortiz Vergara")</f>
        <v>Richard Ortiz Vergara</v>
      </c>
      <c r="F780" s="65" t="str">
        <f>IFERROR(__xludf.DUMMYFUNCTION("""COMPUTED_VALUE"""),"980509294")</f>
        <v>980509294</v>
      </c>
      <c r="G780" s="65" t="str">
        <f>IFERROR(__xludf.DUMMYFUNCTION("""COMPUTED_VALUE"""),"richardortizvergara@gmail.com")</f>
        <v>richardortizvergara@gmail.com</v>
      </c>
      <c r="H780" s="65"/>
      <c r="I780" s="65"/>
      <c r="J780" s="65"/>
      <c r="K780" s="65" t="str">
        <f>IFERROR(__xludf.DUMMYFUNCTION("""COMPUTED_VALUE"""),"CANCELADO")</f>
        <v>CANCELADO</v>
      </c>
      <c r="L780" s="65" t="str">
        <f>IFERROR(__xludf.DUMMYFUNCTION("""COMPUTED_VALUE"""),"CON RECAUDO")</f>
        <v>CON RECAUDO</v>
      </c>
      <c r="M780" s="65" t="str">
        <f>IFERROR(__xludf.DUMMYFUNCTION("""COMPUTED_VALUE"""),"ESMERALDAS")</f>
        <v>ESMERALDAS</v>
      </c>
      <c r="N780" s="65" t="str">
        <f>IFERROR(__xludf.DUMMYFUNCTION("""COMPUTED_VALUE"""),"ESMERALDAS")</f>
        <v>ESMERALDAS</v>
      </c>
      <c r="O780" s="65" t="str">
        <f>IFERROR(__xludf.DUMMYFUNCTION("""COMPUTED_VALUE"""),"Via .  San Mateo Sague 1 -")</f>
        <v>Via .  San Mateo Sague 1 -</v>
      </c>
      <c r="P780" s="65"/>
      <c r="Q780" s="65" t="str">
        <f>IFERROR(__xludf.DUMMYFUNCTION("""COMPUTED_VALUE"""),"GINTRACOM")</f>
        <v>GINTRACOM</v>
      </c>
      <c r="R780" s="65">
        <f>IFERROR(__xludf.DUMMYFUNCTION("""COMPUTED_VALUE"""),27.0)</f>
        <v>27</v>
      </c>
      <c r="S780" s="65"/>
      <c r="T780" s="65">
        <f>IFERROR(__xludf.DUMMYFUNCTION("""COMPUTED_VALUE"""),6.03)</f>
        <v>6.03</v>
      </c>
      <c r="U780" s="65">
        <f>IFERROR(__xludf.DUMMYFUNCTION("""COMPUTED_VALUE"""),0.0)</f>
        <v>0</v>
      </c>
      <c r="V780" s="65">
        <f>IFERROR(__xludf.DUMMYFUNCTION("""COMPUTED_VALUE"""),0.0)</f>
        <v>0</v>
      </c>
      <c r="W780" s="65">
        <f>IFERROR(__xludf.DUMMYFUNCTION("""COMPUTED_VALUE"""),0.0)</f>
        <v>0</v>
      </c>
      <c r="X780" s="65">
        <f>IFERROR(__xludf.DUMMYFUNCTION("""COMPUTED_VALUE"""),2.6)</f>
        <v>2.6</v>
      </c>
      <c r="Y780" s="65">
        <f>IFERROR(__xludf.DUMMYFUNCTION("""COMPUTED_VALUE"""),7.8)</f>
        <v>7.8</v>
      </c>
      <c r="Z780" s="65">
        <f>IFERROR(__xludf.DUMMYFUNCTION("""COMPUTED_VALUE"""),121983.0)</f>
        <v>121983</v>
      </c>
      <c r="AA780" s="65" t="str">
        <f>IFERROR(__xludf.DUMMYFUNCTION("""COMPUTED_VALUE"""),"PROV-CHLLCF")</f>
        <v>PROV-CHLLCF</v>
      </c>
      <c r="AB780" s="65"/>
      <c r="AC780" s="65" t="str">
        <f>IFERROR(__xludf.DUMMYFUNCTION("""COMPUTED_VALUE"""),"CUCHILLO PARA CHEF")</f>
        <v>CUCHILLO PARA CHEF</v>
      </c>
      <c r="AD780" s="65"/>
      <c r="AE780" s="65">
        <f>IFERROR(__xludf.DUMMYFUNCTION("""COMPUTED_VALUE"""),3.0)</f>
        <v>3</v>
      </c>
      <c r="AF780" s="65"/>
      <c r="AG780" s="65"/>
      <c r="AH780" s="65"/>
      <c r="AI780" s="65"/>
      <c r="AJ780" s="65"/>
      <c r="AK780" s="65"/>
      <c r="AL780" s="65"/>
      <c r="AM780" s="65"/>
      <c r="AN780" s="65"/>
      <c r="AO780" s="65"/>
      <c r="AP780" s="65"/>
      <c r="AQ780" s="65"/>
      <c r="AR780" s="65"/>
      <c r="AS780" s="65"/>
      <c r="AT780" s="65" t="str">
        <f>IFERROR(__xludf.DUMMYFUNCTION("""COMPUTED_VALUE"""),"SHOPIFY")</f>
        <v>SHOPIFY</v>
      </c>
      <c r="AU780" s="65" t="str">
        <f>IFERROR(__xludf.DUMMYFUNCTION("""COMPUTED_VALUE"""),"IMPORTEX EC")</f>
        <v>IMPORTEX EC</v>
      </c>
      <c r="AV780" s="65" t="str">
        <f>IFERROR(__xludf.DUMMYFUNCTION("""COMPUTED_VALUE"""),"6501409194028")</f>
        <v>6501409194028</v>
      </c>
      <c r="AW780" s="65">
        <f>IFERROR(__xludf.DUMMYFUNCTION("""COMPUTED_VALUE"""),6101.0)</f>
        <v>6101</v>
      </c>
      <c r="AX780" s="65"/>
      <c r="AY780" s="65"/>
      <c r="AZ780" s="65"/>
      <c r="BA780" s="65"/>
    </row>
    <row r="781">
      <c r="A781" s="65" t="str">
        <f>IFERROR(__xludf.DUMMYFUNCTION("""COMPUTED_VALUE"""),"27-03-2026")</f>
        <v>27-03-2026</v>
      </c>
      <c r="B781" s="65">
        <f>IFERROR(__xludf.DUMMYFUNCTION("""COMPUTED_VALUE"""),4502158.0)</f>
        <v>4502158</v>
      </c>
      <c r="C781" s="65" t="str">
        <f>IFERROR(__xludf.DUMMYFUNCTION("""COMPUTED_VALUE"""),"15:11")</f>
        <v>15:11</v>
      </c>
      <c r="D781" s="65" t="str">
        <f>IFERROR(__xludf.DUMMYFUNCTION("""COMPUTED_VALUE"""),"13-02-2026")</f>
        <v>13-02-2026</v>
      </c>
      <c r="E781" s="65" t="str">
        <f>IFERROR(__xludf.DUMMYFUNCTION("""COMPUTED_VALUE"""),"Joe Duran")</f>
        <v>Joe Duran</v>
      </c>
      <c r="F781" s="65" t="str">
        <f>IFERROR(__xludf.DUMMYFUNCTION("""COMPUTED_VALUE"""),"983184834")</f>
        <v>983184834</v>
      </c>
      <c r="G781" s="65" t="str">
        <f>IFERROR(__xludf.DUMMYFUNCTION("""COMPUTED_VALUE"""),"joe_duran1997@hotmail.com")</f>
        <v>joe_duran1997@hotmail.com</v>
      </c>
      <c r="H781" s="65"/>
      <c r="I781" s="65"/>
      <c r="J781" s="65" t="str">
        <f>IFERROR(__xludf.DUMMYFUNCTION("""COMPUTED_VALUE"""),"D001340359")</f>
        <v>D001340359</v>
      </c>
      <c r="K781" s="65" t="str">
        <f>IFERROR(__xludf.DUMMYFUNCTION("""COMPUTED_VALUE"""),"ENTREGADO")</f>
        <v>ENTREGADO</v>
      </c>
      <c r="L781" s="65" t="str">
        <f>IFERROR(__xludf.DUMMYFUNCTION("""COMPUTED_VALUE"""),"CON RECAUDO")</f>
        <v>CON RECAUDO</v>
      </c>
      <c r="M781" s="65" t="str">
        <f>IFERROR(__xludf.DUMMYFUNCTION("""COMPUTED_VALUE"""),"PASTAZA")</f>
        <v>PASTAZA</v>
      </c>
      <c r="N781" s="65" t="str">
        <f>IFERROR(__xludf.DUMMYFUNCTION("""COMPUTED_VALUE"""),"PUYO")</f>
        <v>PUYO</v>
      </c>
      <c r="O781" s="65" t="str">
        <f>IFERROR(__xludf.DUMMYFUNCTION("""COMPUTED_VALUE"""),"AV. General Villamil y Luis Arias Guerro -  Barrio mexico - detras de la Escuela Fray Alvaro valladares")</f>
        <v>AV. General Villamil y Luis Arias Guerro -  Barrio mexico - detras de la Escuela Fray Alvaro valladares</v>
      </c>
      <c r="P781" s="65"/>
      <c r="Q781" s="65" t="str">
        <f>IFERROR(__xludf.DUMMYFUNCTION("""COMPUTED_VALUE"""),"GINTRACOM")</f>
        <v>GINTRACOM</v>
      </c>
      <c r="R781" s="65">
        <f>IFERROR(__xludf.DUMMYFUNCTION("""COMPUTED_VALUE"""),20.0)</f>
        <v>20</v>
      </c>
      <c r="S781" s="65">
        <f>IFERROR(__xludf.DUMMYFUNCTION("""COMPUTED_VALUE"""),11.84)</f>
        <v>11.84</v>
      </c>
      <c r="T781" s="65">
        <f>IFERROR(__xludf.DUMMYFUNCTION("""COMPUTED_VALUE"""),5.76)</f>
        <v>5.76</v>
      </c>
      <c r="U781" s="65">
        <f>IFERROR(__xludf.DUMMYFUNCTION("""COMPUTED_VALUE"""),0.0)</f>
        <v>0</v>
      </c>
      <c r="V781" s="65">
        <f>IFERROR(__xludf.DUMMYFUNCTION("""COMPUTED_VALUE"""),0.0)</f>
        <v>0</v>
      </c>
      <c r="W781" s="65">
        <f>IFERROR(__xludf.DUMMYFUNCTION("""COMPUTED_VALUE"""),0.0)</f>
        <v>0</v>
      </c>
      <c r="X781" s="65">
        <f>IFERROR(__xludf.DUMMYFUNCTION("""COMPUTED_VALUE"""),2.4)</f>
        <v>2.4</v>
      </c>
      <c r="Y781" s="65">
        <f>IFERROR(__xludf.DUMMYFUNCTION("""COMPUTED_VALUE"""),2.4)</f>
        <v>2.4</v>
      </c>
      <c r="Z781" s="65">
        <f>IFERROR(__xludf.DUMMYFUNCTION("""COMPUTED_VALUE"""),120732.0)</f>
        <v>120732</v>
      </c>
      <c r="AA781" s="65" t="str">
        <f>IFERROR(__xludf.DUMMYFUNCTION("""COMPUTED_VALUE"""),"PROV-LMPVT")</f>
        <v>PROV-LMPVT</v>
      </c>
      <c r="AB781" s="65"/>
      <c r="AC781" s="65" t="str">
        <f>IFERROR(__xludf.DUMMYFUNCTION("""COMPUTED_VALUE"""),"LIMPIADOR DE PARABRISAS Y VENTANAS")</f>
        <v>LIMPIADOR DE PARABRISAS Y VENTANAS</v>
      </c>
      <c r="AD781" s="65"/>
      <c r="AE781" s="65">
        <f>IFERROR(__xludf.DUMMYFUNCTION("""COMPUTED_VALUE"""),1.0)</f>
        <v>1</v>
      </c>
      <c r="AF781" s="65"/>
      <c r="AG781" s="65"/>
      <c r="AH781" s="65"/>
      <c r="AI781" s="65"/>
      <c r="AJ781" s="65"/>
      <c r="AK781" s="65"/>
      <c r="AL781" s="65"/>
      <c r="AM781" s="65"/>
      <c r="AN781" s="65" t="str">
        <f>IFERROR(__xludf.DUMMYFUNCTION("""COMPUTED_VALUE"""),"12:05")</f>
        <v>12:05</v>
      </c>
      <c r="AO781" s="65" t="str">
        <f>IFERROR(__xludf.DUMMYFUNCTION("""COMPUTED_VALUE"""),"21-02-2026")</f>
        <v>21-02-2026</v>
      </c>
      <c r="AP781" s="65" t="str">
        <f>IFERROR(__xludf.DUMMYFUNCTION("""COMPUTED_VALUE"""),"ENTREGADA GINTRACOM")</f>
        <v>ENTREGADA GINTRACOM</v>
      </c>
      <c r="AQ781" s="65" t="str">
        <f>IFERROR(__xludf.DUMMYFUNCTION("""COMPUTED_VALUE"""),"ENTREGADA GINTRACOM")</f>
        <v>ENTREGADA GINTRACOM</v>
      </c>
      <c r="AR781" s="65"/>
      <c r="AS781" s="65"/>
      <c r="AT781" s="65" t="str">
        <f>IFERROR(__xludf.DUMMYFUNCTION("""COMPUTED_VALUE"""),"SHOPIFY")</f>
        <v>SHOPIFY</v>
      </c>
      <c r="AU781" s="65" t="str">
        <f>IFERROR(__xludf.DUMMYFUNCTION("""COMPUTED_VALUE"""),"IMPORTEX EC")</f>
        <v>IMPORTEX EC</v>
      </c>
      <c r="AV781" s="65" t="str">
        <f>IFERROR(__xludf.DUMMYFUNCTION("""COMPUTED_VALUE"""),"6501325144108")</f>
        <v>6501325144108</v>
      </c>
      <c r="AW781" s="65">
        <f>IFERROR(__xludf.DUMMYFUNCTION("""COMPUTED_VALUE"""),6100.0)</f>
        <v>6100</v>
      </c>
      <c r="AX781" s="65"/>
      <c r="AY781" s="65" t="str">
        <f>IFERROR(__xludf.DUMMYFUNCTION("""COMPUTED_VALUE"""),"19/02/2026")</f>
        <v>19/02/2026</v>
      </c>
      <c r="AZ781" s="65"/>
      <c r="BA781" s="65"/>
    </row>
    <row r="782">
      <c r="A782" s="65" t="str">
        <f>IFERROR(__xludf.DUMMYFUNCTION("""COMPUTED_VALUE"""),"27-03-2026")</f>
        <v>27-03-2026</v>
      </c>
      <c r="B782" s="65">
        <f>IFERROR(__xludf.DUMMYFUNCTION("""COMPUTED_VALUE"""),4501877.0)</f>
        <v>4501877</v>
      </c>
      <c r="C782" s="65" t="str">
        <f>IFERROR(__xludf.DUMMYFUNCTION("""COMPUTED_VALUE"""),"14:31")</f>
        <v>14:31</v>
      </c>
      <c r="D782" s="65" t="str">
        <f>IFERROR(__xludf.DUMMYFUNCTION("""COMPUTED_VALUE"""),"13-02-2026")</f>
        <v>13-02-2026</v>
      </c>
      <c r="E782" s="65" t="str">
        <f>IFERROR(__xludf.DUMMYFUNCTION("""COMPUTED_VALUE"""),"Ximena Burneo")</f>
        <v>Ximena Burneo</v>
      </c>
      <c r="F782" s="65" t="str">
        <f>IFERROR(__xludf.DUMMYFUNCTION("""COMPUTED_VALUE"""),"986195610")</f>
        <v>986195610</v>
      </c>
      <c r="G782" s="65" t="str">
        <f>IFERROR(__xludf.DUMMYFUNCTION("""COMPUTED_VALUE"""),"xburneo@gmail.com")</f>
        <v>xburneo@gmail.com</v>
      </c>
      <c r="H782" s="65"/>
      <c r="I782" s="65"/>
      <c r="J782" s="65"/>
      <c r="K782" s="65" t="str">
        <f>IFERROR(__xludf.DUMMYFUNCTION("""COMPUTED_VALUE"""),"CANCELADO")</f>
        <v>CANCELADO</v>
      </c>
      <c r="L782" s="65" t="str">
        <f>IFERROR(__xludf.DUMMYFUNCTION("""COMPUTED_VALUE"""),"CON RECAUDO")</f>
        <v>CON RECAUDO</v>
      </c>
      <c r="M782" s="65" t="str">
        <f>IFERROR(__xludf.DUMMYFUNCTION("""COMPUTED_VALUE"""),"PICHINCHA")</f>
        <v>PICHINCHA</v>
      </c>
      <c r="N782" s="65" t="str">
        <f>IFERROR(__xludf.DUMMYFUNCTION("""COMPUTED_VALUE"""),"CONOCOTO")</f>
        <v>CONOCOTO</v>
      </c>
      <c r="O782" s="65" t="str">
        <f>IFERROR(__xludf.DUMMYFUNCTION("""COMPUTED_VALUE"""),"Pedro de Gante N10-673 y Emilio Estrada Santa Teresita del valle -")</f>
        <v>Pedro de Gante N10-673 y Emilio Estrada Santa Teresita del valle -</v>
      </c>
      <c r="P782" s="65"/>
      <c r="Q782" s="65" t="str">
        <f>IFERROR(__xludf.DUMMYFUNCTION("""COMPUTED_VALUE"""),"GINTRACOM")</f>
        <v>GINTRACOM</v>
      </c>
      <c r="R782" s="65">
        <f>IFERROR(__xludf.DUMMYFUNCTION("""COMPUTED_VALUE"""),25.0)</f>
        <v>25</v>
      </c>
      <c r="S782" s="65"/>
      <c r="T782" s="65">
        <f>IFERROR(__xludf.DUMMYFUNCTION("""COMPUTED_VALUE"""),5.96)</f>
        <v>5.96</v>
      </c>
      <c r="U782" s="65">
        <f>IFERROR(__xludf.DUMMYFUNCTION("""COMPUTED_VALUE"""),0.0)</f>
        <v>0</v>
      </c>
      <c r="V782" s="65">
        <f>IFERROR(__xludf.DUMMYFUNCTION("""COMPUTED_VALUE"""),0.0)</f>
        <v>0</v>
      </c>
      <c r="W782" s="65">
        <f>IFERROR(__xludf.DUMMYFUNCTION("""COMPUTED_VALUE"""),0.0)</f>
        <v>0</v>
      </c>
      <c r="X782" s="65">
        <f>IFERROR(__xludf.DUMMYFUNCTION("""COMPUTED_VALUE"""),2.4)</f>
        <v>2.4</v>
      </c>
      <c r="Y782" s="65">
        <f>IFERROR(__xludf.DUMMYFUNCTION("""COMPUTED_VALUE"""),4.8)</f>
        <v>4.8</v>
      </c>
      <c r="Z782" s="65">
        <f>IFERROR(__xludf.DUMMYFUNCTION("""COMPUTED_VALUE"""),120732.0)</f>
        <v>120732</v>
      </c>
      <c r="AA782" s="65" t="str">
        <f>IFERROR(__xludf.DUMMYFUNCTION("""COMPUTED_VALUE"""),"PROV-LMPVT")</f>
        <v>PROV-LMPVT</v>
      </c>
      <c r="AB782" s="65"/>
      <c r="AC782" s="65" t="str">
        <f>IFERROR(__xludf.DUMMYFUNCTION("""COMPUTED_VALUE"""),"LIMPIADOR DE PARABRISAS Y VENTANAS")</f>
        <v>LIMPIADOR DE PARABRISAS Y VENTANAS</v>
      </c>
      <c r="AD782" s="65"/>
      <c r="AE782" s="65">
        <f>IFERROR(__xludf.DUMMYFUNCTION("""COMPUTED_VALUE"""),2.0)</f>
        <v>2</v>
      </c>
      <c r="AF782" s="65"/>
      <c r="AG782" s="65"/>
      <c r="AH782" s="65"/>
      <c r="AI782" s="65"/>
      <c r="AJ782" s="65"/>
      <c r="AK782" s="65"/>
      <c r="AL782" s="65"/>
      <c r="AM782" s="65"/>
      <c r="AN782" s="65"/>
      <c r="AO782" s="65"/>
      <c r="AP782" s="65"/>
      <c r="AQ782" s="65"/>
      <c r="AR782" s="65"/>
      <c r="AS782" s="65"/>
      <c r="AT782" s="65" t="str">
        <f>IFERROR(__xludf.DUMMYFUNCTION("""COMPUTED_VALUE"""),"SHOPIFY")</f>
        <v>SHOPIFY</v>
      </c>
      <c r="AU782" s="65" t="str">
        <f>IFERROR(__xludf.DUMMYFUNCTION("""COMPUTED_VALUE"""),"IMPORTEX EC")</f>
        <v>IMPORTEX EC</v>
      </c>
      <c r="AV782" s="65" t="str">
        <f>IFERROR(__xludf.DUMMYFUNCTION("""COMPUTED_VALUE"""),"6501230051372")</f>
        <v>6501230051372</v>
      </c>
      <c r="AW782" s="65">
        <f>IFERROR(__xludf.DUMMYFUNCTION("""COMPUTED_VALUE"""),6099.0)</f>
        <v>6099</v>
      </c>
      <c r="AX782" s="65"/>
      <c r="AY782" s="65"/>
      <c r="AZ782" s="65"/>
      <c r="BA782" s="65"/>
    </row>
    <row r="783">
      <c r="A783" s="65" t="str">
        <f>IFERROR(__xludf.DUMMYFUNCTION("""COMPUTED_VALUE"""),"27-03-2026")</f>
        <v>27-03-2026</v>
      </c>
      <c r="B783" s="65">
        <f>IFERROR(__xludf.DUMMYFUNCTION("""COMPUTED_VALUE"""),4501793.0)</f>
        <v>4501793</v>
      </c>
      <c r="C783" s="65" t="str">
        <f>IFERROR(__xludf.DUMMYFUNCTION("""COMPUTED_VALUE"""),"14:23")</f>
        <v>14:23</v>
      </c>
      <c r="D783" s="65" t="str">
        <f>IFERROR(__xludf.DUMMYFUNCTION("""COMPUTED_VALUE"""),"13-02-2026")</f>
        <v>13-02-2026</v>
      </c>
      <c r="E783" s="65" t="str">
        <f>IFERROR(__xludf.DUMMYFUNCTION("""COMPUTED_VALUE"""),"Diego Onate")</f>
        <v>Diego Onate</v>
      </c>
      <c r="F783" s="65" t="str">
        <f>IFERROR(__xludf.DUMMYFUNCTION("""COMPUTED_VALUE"""),"995886391")</f>
        <v>995886391</v>
      </c>
      <c r="G783" s="65" t="str">
        <f>IFERROR(__xludf.DUMMYFUNCTION("""COMPUTED_VALUE"""),"diego_3001@hotmail.com")</f>
        <v>diego_3001@hotmail.com</v>
      </c>
      <c r="H783" s="65"/>
      <c r="I783" s="65"/>
      <c r="J783" s="65" t="str">
        <f>IFERROR(__xludf.DUMMYFUNCTION("""COMPUTED_VALUE"""),"D001340360")</f>
        <v>D001340360</v>
      </c>
      <c r="K783" s="65" t="str">
        <f>IFERROR(__xludf.DUMMYFUNCTION("""COMPUTED_VALUE"""),"ENTREGADO")</f>
        <v>ENTREGADO</v>
      </c>
      <c r="L783" s="65" t="str">
        <f>IFERROR(__xludf.DUMMYFUNCTION("""COMPUTED_VALUE"""),"CON RECAUDO")</f>
        <v>CON RECAUDO</v>
      </c>
      <c r="M783" s="65" t="str">
        <f>IFERROR(__xludf.DUMMYFUNCTION("""COMPUTED_VALUE"""),"PICHINCHA")</f>
        <v>PICHINCHA</v>
      </c>
      <c r="N783" s="65" t="str">
        <f>IFERROR(__xludf.DUMMYFUNCTION("""COMPUTED_VALUE"""),"QUITO")</f>
        <v>QUITO</v>
      </c>
      <c r="O783" s="65" t="str">
        <f>IFERROR(__xludf.DUMMYFUNCTION("""COMPUTED_VALUE"""),"Av gonzalez suarez n27-317 y san ignacio Gonzalez suarez -")</f>
        <v>Av gonzalez suarez n27-317 y san ignacio Gonzalez suarez -</v>
      </c>
      <c r="P783" s="65"/>
      <c r="Q783" s="65" t="str">
        <f>IFERROR(__xludf.DUMMYFUNCTION("""COMPUTED_VALUE"""),"GINTRACOM")</f>
        <v>GINTRACOM</v>
      </c>
      <c r="R783" s="65">
        <f>IFERROR(__xludf.DUMMYFUNCTION("""COMPUTED_VALUE"""),20.0)</f>
        <v>20</v>
      </c>
      <c r="S783" s="65">
        <f>IFERROR(__xludf.DUMMYFUNCTION("""COMPUTED_VALUE"""),11.84)</f>
        <v>11.84</v>
      </c>
      <c r="T783" s="65">
        <f>IFERROR(__xludf.DUMMYFUNCTION("""COMPUTED_VALUE"""),5.76)</f>
        <v>5.76</v>
      </c>
      <c r="U783" s="65">
        <f>IFERROR(__xludf.DUMMYFUNCTION("""COMPUTED_VALUE"""),0.0)</f>
        <v>0</v>
      </c>
      <c r="V783" s="65">
        <f>IFERROR(__xludf.DUMMYFUNCTION("""COMPUTED_VALUE"""),0.0)</f>
        <v>0</v>
      </c>
      <c r="W783" s="65">
        <f>IFERROR(__xludf.DUMMYFUNCTION("""COMPUTED_VALUE"""),0.0)</f>
        <v>0</v>
      </c>
      <c r="X783" s="65">
        <f>IFERROR(__xludf.DUMMYFUNCTION("""COMPUTED_VALUE"""),2.4)</f>
        <v>2.4</v>
      </c>
      <c r="Y783" s="65">
        <f>IFERROR(__xludf.DUMMYFUNCTION("""COMPUTED_VALUE"""),2.4)</f>
        <v>2.4</v>
      </c>
      <c r="Z783" s="65">
        <f>IFERROR(__xludf.DUMMYFUNCTION("""COMPUTED_VALUE"""),120732.0)</f>
        <v>120732</v>
      </c>
      <c r="AA783" s="65" t="str">
        <f>IFERROR(__xludf.DUMMYFUNCTION("""COMPUTED_VALUE"""),"PROV-LMPVT")</f>
        <v>PROV-LMPVT</v>
      </c>
      <c r="AB783" s="65"/>
      <c r="AC783" s="65" t="str">
        <f>IFERROR(__xludf.DUMMYFUNCTION("""COMPUTED_VALUE"""),"LIMPIADOR DE PARABRISAS Y VENTANAS")</f>
        <v>LIMPIADOR DE PARABRISAS Y VENTANAS</v>
      </c>
      <c r="AD783" s="65"/>
      <c r="AE783" s="65">
        <f>IFERROR(__xludf.DUMMYFUNCTION("""COMPUTED_VALUE"""),1.0)</f>
        <v>1</v>
      </c>
      <c r="AF783" s="65"/>
      <c r="AG783" s="65"/>
      <c r="AH783" s="65"/>
      <c r="AI783" s="65"/>
      <c r="AJ783" s="65"/>
      <c r="AK783" s="65"/>
      <c r="AL783" s="65"/>
      <c r="AM783" s="65"/>
      <c r="AN783" s="65" t="str">
        <f>IFERROR(__xludf.DUMMYFUNCTION("""COMPUTED_VALUE"""),"14:59")</f>
        <v>14:59</v>
      </c>
      <c r="AO783" s="65" t="str">
        <f>IFERROR(__xludf.DUMMYFUNCTION("""COMPUTED_VALUE"""),"20-02-2026")</f>
        <v>20-02-2026</v>
      </c>
      <c r="AP783" s="65" t="str">
        <f>IFERROR(__xludf.DUMMYFUNCTION("""COMPUTED_VALUE"""),"ENTREGADA GINTRACOM")</f>
        <v>ENTREGADA GINTRACOM</v>
      </c>
      <c r="AQ783" s="65" t="str">
        <f>IFERROR(__xludf.DUMMYFUNCTION("""COMPUTED_VALUE"""),"ENTREGADA GINTRACOM")</f>
        <v>ENTREGADA GINTRACOM</v>
      </c>
      <c r="AR783" s="65"/>
      <c r="AS783" s="65"/>
      <c r="AT783" s="65" t="str">
        <f>IFERROR(__xludf.DUMMYFUNCTION("""COMPUTED_VALUE"""),"SHOPIFY")</f>
        <v>SHOPIFY</v>
      </c>
      <c r="AU783" s="65" t="str">
        <f>IFERROR(__xludf.DUMMYFUNCTION("""COMPUTED_VALUE"""),"IMPORTEX EC")</f>
        <v>IMPORTEX EC</v>
      </c>
      <c r="AV783" s="65" t="str">
        <f>IFERROR(__xludf.DUMMYFUNCTION("""COMPUTED_VALUE"""),"6501207834668")</f>
        <v>6501207834668</v>
      </c>
      <c r="AW783" s="65">
        <f>IFERROR(__xludf.DUMMYFUNCTION("""COMPUTED_VALUE"""),6098.0)</f>
        <v>6098</v>
      </c>
      <c r="AX783" s="65"/>
      <c r="AY783" s="65" t="str">
        <f>IFERROR(__xludf.DUMMYFUNCTION("""COMPUTED_VALUE"""),"19/02/2026")</f>
        <v>19/02/2026</v>
      </c>
      <c r="AZ783" s="65"/>
      <c r="BA783" s="65"/>
    </row>
    <row r="784">
      <c r="A784" s="65" t="str">
        <f>IFERROR(__xludf.DUMMYFUNCTION("""COMPUTED_VALUE"""),"27-03-2026")</f>
        <v>27-03-2026</v>
      </c>
      <c r="B784" s="65">
        <f>IFERROR(__xludf.DUMMYFUNCTION("""COMPUTED_VALUE"""),4501338.0)</f>
        <v>4501338</v>
      </c>
      <c r="C784" s="65" t="str">
        <f>IFERROR(__xludf.DUMMYFUNCTION("""COMPUTED_VALUE"""),"13:21")</f>
        <v>13:21</v>
      </c>
      <c r="D784" s="65" t="str">
        <f>IFERROR(__xludf.DUMMYFUNCTION("""COMPUTED_VALUE"""),"13-02-2026")</f>
        <v>13-02-2026</v>
      </c>
      <c r="E784" s="65" t="str">
        <f>IFERROR(__xludf.DUMMYFUNCTION("""COMPUTED_VALUE"""),"Sandra Portilla")</f>
        <v>Sandra Portilla</v>
      </c>
      <c r="F784" s="65" t="str">
        <f>IFERROR(__xludf.DUMMYFUNCTION("""COMPUTED_VALUE"""),"986369955")</f>
        <v>986369955</v>
      </c>
      <c r="G784" s="65" t="str">
        <f>IFERROR(__xludf.DUMMYFUNCTION("""COMPUTED_VALUE"""),"sandy-portilla@hotmail.com")</f>
        <v>sandy-portilla@hotmail.com</v>
      </c>
      <c r="H784" s="65"/>
      <c r="I784" s="65"/>
      <c r="J784" s="65" t="str">
        <f>IFERROR(__xludf.DUMMYFUNCTION("""COMPUTED_VALUE"""),"LC52905135")</f>
        <v>LC52905135</v>
      </c>
      <c r="K784" s="65" t="str">
        <f>IFERROR(__xludf.DUMMYFUNCTION("""COMPUTED_VALUE"""),"ENTREGADO")</f>
        <v>ENTREGADO</v>
      </c>
      <c r="L784" s="65" t="str">
        <f>IFERROR(__xludf.DUMMYFUNCTION("""COMPUTED_VALUE"""),"CON RECAUDO")</f>
        <v>CON RECAUDO</v>
      </c>
      <c r="M784" s="65" t="str">
        <f>IFERROR(__xludf.DUMMYFUNCTION("""COMPUTED_VALUE"""),"MORONA SANTIAGO")</f>
        <v>MORONA SANTIAGO</v>
      </c>
      <c r="N784" s="65" t="str">
        <f>IFERROR(__xludf.DUMMYFUNCTION("""COMPUTED_VALUE"""),"SUCUA")</f>
        <v>SUCUA</v>
      </c>
      <c r="O784" s="65" t="str">
        <f>IFERROR(__xludf.DUMMYFUNCTION("""COMPUTED_VALUE"""),"AV. Domingo Comin , entre : Rosendo Torres y Bavinsky -  Barrio Sur (al lado del Laboratorio Cabrera, frente a la Clinica Maria Auxiliadora) -")</f>
        <v>AV. Domingo Comin , entre : Rosendo Torres y Bavinsky -  Barrio Sur (al lado del Laboratorio Cabrera, frente a la Clinica Maria Auxiliadora) -</v>
      </c>
      <c r="P784" s="65"/>
      <c r="Q784" s="65" t="str">
        <f>IFERROR(__xludf.DUMMYFUNCTION("""COMPUTED_VALUE"""),"LAARCOURIER")</f>
        <v>LAARCOURIER</v>
      </c>
      <c r="R784" s="65">
        <f>IFERROR(__xludf.DUMMYFUNCTION("""COMPUTED_VALUE"""),30.0)</f>
        <v>30</v>
      </c>
      <c r="S784" s="65">
        <f>IFERROR(__xludf.DUMMYFUNCTION("""COMPUTED_VALUE"""),14.17)</f>
        <v>14.17</v>
      </c>
      <c r="T784" s="65">
        <f>IFERROR(__xludf.DUMMYFUNCTION("""COMPUTED_VALUE"""),8.63)</f>
        <v>8.63</v>
      </c>
      <c r="U784" s="65">
        <f>IFERROR(__xludf.DUMMYFUNCTION("""COMPUTED_VALUE"""),0.0)</f>
        <v>0</v>
      </c>
      <c r="V784" s="65">
        <f>IFERROR(__xludf.DUMMYFUNCTION("""COMPUTED_VALUE"""),0.0)</f>
        <v>0</v>
      </c>
      <c r="W784" s="65">
        <f>IFERROR(__xludf.DUMMYFUNCTION("""COMPUTED_VALUE"""),0.0)</f>
        <v>0</v>
      </c>
      <c r="X784" s="65">
        <f>IFERROR(__xludf.DUMMYFUNCTION("""COMPUTED_VALUE"""),2.4)</f>
        <v>2.4</v>
      </c>
      <c r="Y784" s="65">
        <f>IFERROR(__xludf.DUMMYFUNCTION("""COMPUTED_VALUE"""),7.2)</f>
        <v>7.2</v>
      </c>
      <c r="Z784" s="65">
        <f>IFERROR(__xludf.DUMMYFUNCTION("""COMPUTED_VALUE"""),120732.0)</f>
        <v>120732</v>
      </c>
      <c r="AA784" s="65" t="str">
        <f>IFERROR(__xludf.DUMMYFUNCTION("""COMPUTED_VALUE"""),"PROV-LMPVT")</f>
        <v>PROV-LMPVT</v>
      </c>
      <c r="AB784" s="65"/>
      <c r="AC784" s="65" t="str">
        <f>IFERROR(__xludf.DUMMYFUNCTION("""COMPUTED_VALUE"""),"LIMPIADOR DE PARABRISAS Y VENTANAS")</f>
        <v>LIMPIADOR DE PARABRISAS Y VENTANAS</v>
      </c>
      <c r="AD784" s="65"/>
      <c r="AE784" s="65">
        <f>IFERROR(__xludf.DUMMYFUNCTION("""COMPUTED_VALUE"""),3.0)</f>
        <v>3</v>
      </c>
      <c r="AF784" s="65"/>
      <c r="AG784" s="65"/>
      <c r="AH784" s="65"/>
      <c r="AI784" s="65"/>
      <c r="AJ784" s="65"/>
      <c r="AK784" s="65"/>
      <c r="AL784" s="65"/>
      <c r="AM784" s="65"/>
      <c r="AN784" s="65" t="str">
        <f>IFERROR(__xludf.DUMMYFUNCTION("""COMPUTED_VALUE"""),"15:23")</f>
        <v>15:23</v>
      </c>
      <c r="AO784" s="65" t="str">
        <f>IFERROR(__xludf.DUMMYFUNCTION("""COMPUTED_VALUE"""),"20-02-2026")</f>
        <v>20-02-2026</v>
      </c>
      <c r="AP784" s="65" t="str">
        <f>IFERROR(__xludf.DUMMYFUNCTION("""COMPUTED_VALUE"""),"ENTREGADO")</f>
        <v>ENTREGADO</v>
      </c>
      <c r="AQ784" s="65" t="str">
        <f>IFERROR(__xludf.DUMMYFUNCTION("""COMPUTED_VALUE"""),"ENTREGADO")</f>
        <v>ENTREGADO</v>
      </c>
      <c r="AR784" s="65"/>
      <c r="AS784" s="65"/>
      <c r="AT784" s="65" t="str">
        <f>IFERROR(__xludf.DUMMYFUNCTION("""COMPUTED_VALUE"""),"SHOPIFY")</f>
        <v>SHOPIFY</v>
      </c>
      <c r="AU784" s="65" t="str">
        <f>IFERROR(__xludf.DUMMYFUNCTION("""COMPUTED_VALUE"""),"IMPORTEX EC")</f>
        <v>IMPORTEX EC</v>
      </c>
      <c r="AV784" s="65" t="str">
        <f>IFERROR(__xludf.DUMMYFUNCTION("""COMPUTED_VALUE"""),"6501035016236")</f>
        <v>6501035016236</v>
      </c>
      <c r="AW784" s="65">
        <f>IFERROR(__xludf.DUMMYFUNCTION("""COMPUTED_VALUE"""),6097.0)</f>
        <v>6097</v>
      </c>
      <c r="AX784" s="65"/>
      <c r="AY784" s="65" t="str">
        <f>IFERROR(__xludf.DUMMYFUNCTION("""COMPUTED_VALUE"""),"19/02/2026")</f>
        <v>19/02/2026</v>
      </c>
      <c r="AZ784" s="65"/>
      <c r="BA784" s="65"/>
    </row>
    <row r="785">
      <c r="A785" s="65" t="str">
        <f>IFERROR(__xludf.DUMMYFUNCTION("""COMPUTED_VALUE"""),"27-03-2026")</f>
        <v>27-03-2026</v>
      </c>
      <c r="B785" s="65">
        <f>IFERROR(__xludf.DUMMYFUNCTION("""COMPUTED_VALUE"""),4501265.0)</f>
        <v>4501265</v>
      </c>
      <c r="C785" s="65" t="str">
        <f>IFERROR(__xludf.DUMMYFUNCTION("""COMPUTED_VALUE"""),"13:09")</f>
        <v>13:09</v>
      </c>
      <c r="D785" s="65" t="str">
        <f>IFERROR(__xludf.DUMMYFUNCTION("""COMPUTED_VALUE"""),"13-02-2026")</f>
        <v>13-02-2026</v>
      </c>
      <c r="E785" s="65" t="str">
        <f>IFERROR(__xludf.DUMMYFUNCTION("""COMPUTED_VALUE"""),"Diego Donoso")</f>
        <v>Diego Donoso</v>
      </c>
      <c r="F785" s="65" t="str">
        <f>IFERROR(__xludf.DUMMYFUNCTION("""COMPUTED_VALUE"""),"999337297")</f>
        <v>999337297</v>
      </c>
      <c r="G785" s="65" t="str">
        <f>IFERROR(__xludf.DUMMYFUNCTION("""COMPUTED_VALUE"""),"didoga1983@gmail.com")</f>
        <v>didoga1983@gmail.com</v>
      </c>
      <c r="H785" s="65"/>
      <c r="I785" s="65"/>
      <c r="J785" s="65"/>
      <c r="K785" s="65" t="str">
        <f>IFERROR(__xludf.DUMMYFUNCTION("""COMPUTED_VALUE"""),"PENDIENTE CONFIRMACION")</f>
        <v>PENDIENTE CONFIRMACION</v>
      </c>
      <c r="L785" s="65" t="str">
        <f>IFERROR(__xludf.DUMMYFUNCTION("""COMPUTED_VALUE"""),"CON RECAUDO")</f>
        <v>CON RECAUDO</v>
      </c>
      <c r="M785" s="65" t="str">
        <f>IFERROR(__xludf.DUMMYFUNCTION("""COMPUTED_VALUE"""),"PICHINCHA")</f>
        <v>PICHINCHA</v>
      </c>
      <c r="N785" s="65" t="str">
        <f>IFERROR(__xludf.DUMMYFUNCTION("""COMPUTED_VALUE"""),"TUMBACO")</f>
        <v>TUMBACO</v>
      </c>
      <c r="O785" s="65" t="str">
        <f>IFERROR(__xludf.DUMMYFUNCTION("""COMPUTED_VALUE"""),"Av gaspar de Carvajal edifico Samarina apt 304 Edf Samarina -")</f>
        <v>Av gaspar de Carvajal edifico Samarina apt 304 Edf Samarina -</v>
      </c>
      <c r="P785" s="65"/>
      <c r="Q785" s="65" t="str">
        <f>IFERROR(__xludf.DUMMYFUNCTION("""COMPUTED_VALUE"""),"GINTRACOM")</f>
        <v>GINTRACOM</v>
      </c>
      <c r="R785" s="65">
        <f>IFERROR(__xludf.DUMMYFUNCTION("""COMPUTED_VALUE"""),20.0)</f>
        <v>20</v>
      </c>
      <c r="S785" s="65"/>
      <c r="T785" s="65">
        <f>IFERROR(__xludf.DUMMYFUNCTION("""COMPUTED_VALUE"""),5.76)</f>
        <v>5.76</v>
      </c>
      <c r="U785" s="65">
        <f>IFERROR(__xludf.DUMMYFUNCTION("""COMPUTED_VALUE"""),0.0)</f>
        <v>0</v>
      </c>
      <c r="V785" s="65">
        <f>IFERROR(__xludf.DUMMYFUNCTION("""COMPUTED_VALUE"""),0.0)</f>
        <v>0</v>
      </c>
      <c r="W785" s="65">
        <f>IFERROR(__xludf.DUMMYFUNCTION("""COMPUTED_VALUE"""),0.0)</f>
        <v>0</v>
      </c>
      <c r="X785" s="65">
        <f>IFERROR(__xludf.DUMMYFUNCTION("""COMPUTED_VALUE"""),2.4)</f>
        <v>2.4</v>
      </c>
      <c r="Y785" s="65">
        <f>IFERROR(__xludf.DUMMYFUNCTION("""COMPUTED_VALUE"""),2.4)</f>
        <v>2.4</v>
      </c>
      <c r="Z785" s="65">
        <f>IFERROR(__xludf.DUMMYFUNCTION("""COMPUTED_VALUE"""),120732.0)</f>
        <v>120732</v>
      </c>
      <c r="AA785" s="65" t="str">
        <f>IFERROR(__xludf.DUMMYFUNCTION("""COMPUTED_VALUE"""),"PROV-LMPVT")</f>
        <v>PROV-LMPVT</v>
      </c>
      <c r="AB785" s="65"/>
      <c r="AC785" s="65" t="str">
        <f>IFERROR(__xludf.DUMMYFUNCTION("""COMPUTED_VALUE"""),"LIMPIADOR DE PARABRISAS Y VENTANAS")</f>
        <v>LIMPIADOR DE PARABRISAS Y VENTANAS</v>
      </c>
      <c r="AD785" s="65"/>
      <c r="AE785" s="65">
        <f>IFERROR(__xludf.DUMMYFUNCTION("""COMPUTED_VALUE"""),1.0)</f>
        <v>1</v>
      </c>
      <c r="AF785" s="65"/>
      <c r="AG785" s="65"/>
      <c r="AH785" s="65"/>
      <c r="AI785" s="65"/>
      <c r="AJ785" s="65"/>
      <c r="AK785" s="65"/>
      <c r="AL785" s="65"/>
      <c r="AM785" s="65"/>
      <c r="AN785" s="65"/>
      <c r="AO785" s="65"/>
      <c r="AP785" s="65"/>
      <c r="AQ785" s="65"/>
      <c r="AR785" s="65"/>
      <c r="AS785" s="65"/>
      <c r="AT785" s="65" t="str">
        <f>IFERROR(__xludf.DUMMYFUNCTION("""COMPUTED_VALUE"""),"SHOPIFY")</f>
        <v>SHOPIFY</v>
      </c>
      <c r="AU785" s="65" t="str">
        <f>IFERROR(__xludf.DUMMYFUNCTION("""COMPUTED_VALUE"""),"IMPORTEX EC")</f>
        <v>IMPORTEX EC</v>
      </c>
      <c r="AV785" s="65" t="str">
        <f>IFERROR(__xludf.DUMMYFUNCTION("""COMPUTED_VALUE"""),"6501006213164")</f>
        <v>6501006213164</v>
      </c>
      <c r="AW785" s="65">
        <f>IFERROR(__xludf.DUMMYFUNCTION("""COMPUTED_VALUE"""),6096.0)</f>
        <v>6096</v>
      </c>
      <c r="AX785" s="65"/>
      <c r="AY785" s="65"/>
      <c r="AZ785" s="65"/>
      <c r="BA785" s="65"/>
    </row>
    <row r="786">
      <c r="A786" s="65" t="str">
        <f>IFERROR(__xludf.DUMMYFUNCTION("""COMPUTED_VALUE"""),"27-03-2026")</f>
        <v>27-03-2026</v>
      </c>
      <c r="B786" s="65">
        <f>IFERROR(__xludf.DUMMYFUNCTION("""COMPUTED_VALUE"""),4501089.0)</f>
        <v>4501089</v>
      </c>
      <c r="C786" s="65" t="str">
        <f>IFERROR(__xludf.DUMMYFUNCTION("""COMPUTED_VALUE"""),"12:55")</f>
        <v>12:55</v>
      </c>
      <c r="D786" s="65" t="str">
        <f>IFERROR(__xludf.DUMMYFUNCTION("""COMPUTED_VALUE"""),"13-02-2026")</f>
        <v>13-02-2026</v>
      </c>
      <c r="E786" s="65" t="str">
        <f>IFERROR(__xludf.DUMMYFUNCTION("""COMPUTED_VALUE"""),"Carlos Touma")</f>
        <v>Carlos Touma</v>
      </c>
      <c r="F786" s="65" t="str">
        <f>IFERROR(__xludf.DUMMYFUNCTION("""COMPUTED_VALUE"""),"999466475")</f>
        <v>999466475</v>
      </c>
      <c r="G786" s="65"/>
      <c r="H786" s="65"/>
      <c r="I786" s="65"/>
      <c r="J786" s="65" t="str">
        <f>IFERROR(__xludf.DUMMYFUNCTION("""COMPUTED_VALUE"""),"D001325871")</f>
        <v>D001325871</v>
      </c>
      <c r="K786" s="65" t="str">
        <f>IFERROR(__xludf.DUMMYFUNCTION("""COMPUTED_VALUE"""),"ENTREGADO")</f>
        <v>ENTREGADO</v>
      </c>
      <c r="L786" s="65" t="str">
        <f>IFERROR(__xludf.DUMMYFUNCTION("""COMPUTED_VALUE"""),"CON RECAUDO")</f>
        <v>CON RECAUDO</v>
      </c>
      <c r="M786" s="65" t="str">
        <f>IFERROR(__xludf.DUMMYFUNCTION("""COMPUTED_VALUE"""),"SANTO DOMINGO DE LOS TSACHILAS")</f>
        <v>SANTO DOMINGO DE LOS TSACHILAS</v>
      </c>
      <c r="N786" s="65" t="str">
        <f>IFERROR(__xludf.DUMMYFUNCTION("""COMPUTED_VALUE"""),"SANTO DOMINGO")</f>
        <v>SANTO DOMINGO</v>
      </c>
      <c r="O786" s="65" t="str">
        <f>IFERROR(__xludf.DUMMYFUNCTION("""COMPUTED_VALUE"""),"Rio lelia urb. Vista hermosa - Junto al hospital del iess")</f>
        <v>Rio lelia urb. Vista hermosa - Junto al hospital del iess</v>
      </c>
      <c r="P786" s="65"/>
      <c r="Q786" s="65" t="str">
        <f>IFERROR(__xludf.DUMMYFUNCTION("""COMPUTED_VALUE"""),"GINTRACOM")</f>
        <v>GINTRACOM</v>
      </c>
      <c r="R786" s="65">
        <f>IFERROR(__xludf.DUMMYFUNCTION("""COMPUTED_VALUE"""),22.0)</f>
        <v>22</v>
      </c>
      <c r="S786" s="65">
        <f>IFERROR(__xludf.DUMMYFUNCTION("""COMPUTED_VALUE"""),10.96)</f>
        <v>10.96</v>
      </c>
      <c r="T786" s="65">
        <f>IFERROR(__xludf.DUMMYFUNCTION("""COMPUTED_VALUE"""),5.84)</f>
        <v>5.84</v>
      </c>
      <c r="U786" s="65">
        <f>IFERROR(__xludf.DUMMYFUNCTION("""COMPUTED_VALUE"""),0.0)</f>
        <v>0</v>
      </c>
      <c r="V786" s="65">
        <f>IFERROR(__xludf.DUMMYFUNCTION("""COMPUTED_VALUE"""),0.0)</f>
        <v>0</v>
      </c>
      <c r="W786" s="65">
        <f>IFERROR(__xludf.DUMMYFUNCTION("""COMPUTED_VALUE"""),0.0)</f>
        <v>0</v>
      </c>
      <c r="X786" s="65">
        <f>IFERROR(__xludf.DUMMYFUNCTION("""COMPUTED_VALUE"""),2.6)</f>
        <v>2.6</v>
      </c>
      <c r="Y786" s="65">
        <f>IFERROR(__xludf.DUMMYFUNCTION("""COMPUTED_VALUE"""),5.2)</f>
        <v>5.2</v>
      </c>
      <c r="Z786" s="65">
        <f>IFERROR(__xludf.DUMMYFUNCTION("""COMPUTED_VALUE"""),121983.0)</f>
        <v>121983</v>
      </c>
      <c r="AA786" s="65" t="str">
        <f>IFERROR(__xludf.DUMMYFUNCTION("""COMPUTED_VALUE"""),"PROV-CHLLCF")</f>
        <v>PROV-CHLLCF</v>
      </c>
      <c r="AB786" s="65"/>
      <c r="AC786" s="65" t="str">
        <f>IFERROR(__xludf.DUMMYFUNCTION("""COMPUTED_VALUE"""),"CUCHILLO PARA CHEF")</f>
        <v>CUCHILLO PARA CHEF</v>
      </c>
      <c r="AD786" s="65"/>
      <c r="AE786" s="65">
        <f>IFERROR(__xludf.DUMMYFUNCTION("""COMPUTED_VALUE"""),2.0)</f>
        <v>2</v>
      </c>
      <c r="AF786" s="65"/>
      <c r="AG786" s="65"/>
      <c r="AH786" s="65"/>
      <c r="AI786" s="65"/>
      <c r="AJ786" s="65"/>
      <c r="AK786" s="65"/>
      <c r="AL786" s="65"/>
      <c r="AM786" s="65"/>
      <c r="AN786" s="65" t="str">
        <f>IFERROR(__xludf.DUMMYFUNCTION("""COMPUTED_VALUE"""),"13:43")</f>
        <v>13:43</v>
      </c>
      <c r="AO786" s="65" t="str">
        <f>IFERROR(__xludf.DUMMYFUNCTION("""COMPUTED_VALUE"""),"17-02-2026")</f>
        <v>17-02-2026</v>
      </c>
      <c r="AP786" s="65" t="str">
        <f>IFERROR(__xludf.DUMMYFUNCTION("""COMPUTED_VALUE"""),"ENTREGADA GINTRACOM")</f>
        <v>ENTREGADA GINTRACOM</v>
      </c>
      <c r="AQ786" s="65" t="str">
        <f>IFERROR(__xludf.DUMMYFUNCTION("""COMPUTED_VALUE"""),"ENTREGADA GINTRACOM")</f>
        <v>ENTREGADA GINTRACOM</v>
      </c>
      <c r="AR786" s="65"/>
      <c r="AS786" s="65"/>
      <c r="AT786" s="65"/>
      <c r="AU786" s="65"/>
      <c r="AV786" s="65"/>
      <c r="AW786" s="65"/>
      <c r="AX786" s="65"/>
      <c r="AY786" s="65" t="str">
        <f>IFERROR(__xludf.DUMMYFUNCTION("""COMPUTED_VALUE"""),"13/02/2026")</f>
        <v>13/02/2026</v>
      </c>
      <c r="AZ786" s="65"/>
      <c r="BA786" s="65"/>
    </row>
    <row r="787">
      <c r="A787" s="65" t="str">
        <f>IFERROR(__xludf.DUMMYFUNCTION("""COMPUTED_VALUE"""),"27-03-2026")</f>
        <v>27-03-2026</v>
      </c>
      <c r="B787" s="65">
        <f>IFERROR(__xludf.DUMMYFUNCTION("""COMPUTED_VALUE"""),4500849.0)</f>
        <v>4500849</v>
      </c>
      <c r="C787" s="65" t="str">
        <f>IFERROR(__xludf.DUMMYFUNCTION("""COMPUTED_VALUE"""),"12:24")</f>
        <v>12:24</v>
      </c>
      <c r="D787" s="65" t="str">
        <f>IFERROR(__xludf.DUMMYFUNCTION("""COMPUTED_VALUE"""),"13-02-2026")</f>
        <v>13-02-2026</v>
      </c>
      <c r="E787" s="65" t="str">
        <f>IFERROR(__xludf.DUMMYFUNCTION("""COMPUTED_VALUE"""),"Aníbal Calderón Rodríguez")</f>
        <v>Aníbal Calderón Rodríguez</v>
      </c>
      <c r="F787" s="65" t="str">
        <f>IFERROR(__xludf.DUMMYFUNCTION("""COMPUTED_VALUE"""),"992595561")</f>
        <v>992595561</v>
      </c>
      <c r="G787" s="65" t="str">
        <f>IFERROR(__xludf.DUMMYFUNCTION("""COMPUTED_VALUE"""),"anival.efrain@gmail.com")</f>
        <v>anival.efrain@gmail.com</v>
      </c>
      <c r="H787" s="65"/>
      <c r="I787" s="65"/>
      <c r="J787" s="65" t="str">
        <f>IFERROR(__xludf.DUMMYFUNCTION("""COMPUTED_VALUE"""),"D001340361")</f>
        <v>D001340361</v>
      </c>
      <c r="K787" s="65" t="str">
        <f>IFERROR(__xludf.DUMMYFUNCTION("""COMPUTED_VALUE"""),"DEVOLUCION")</f>
        <v>DEVOLUCION</v>
      </c>
      <c r="L787" s="65" t="str">
        <f>IFERROR(__xludf.DUMMYFUNCTION("""COMPUTED_VALUE"""),"CON RECAUDO")</f>
        <v>CON RECAUDO</v>
      </c>
      <c r="M787" s="65" t="str">
        <f>IFERROR(__xludf.DUMMYFUNCTION("""COMPUTED_VALUE"""),"LOJA")</f>
        <v>LOJA</v>
      </c>
      <c r="N787" s="65" t="str">
        <f>IFERROR(__xludf.DUMMYFUNCTION("""COMPUTED_VALUE"""),"LOJA")</f>
        <v>LOJA</v>
      </c>
      <c r="O787" s="65" t="str">
        <f>IFERROR(__xludf.DUMMYFUNCTION("""COMPUTED_VALUE"""),"Olmedo y Rocafuerte -")</f>
        <v>Olmedo y Rocafuerte -</v>
      </c>
      <c r="P787" s="65"/>
      <c r="Q787" s="65" t="str">
        <f>IFERROR(__xludf.DUMMYFUNCTION("""COMPUTED_VALUE"""),"GINTRACOM")</f>
        <v>GINTRACOM</v>
      </c>
      <c r="R787" s="65">
        <f>IFERROR(__xludf.DUMMYFUNCTION("""COMPUTED_VALUE"""),27.0)</f>
        <v>27</v>
      </c>
      <c r="S787" s="65"/>
      <c r="T787" s="65">
        <f>IFERROR(__xludf.DUMMYFUNCTION("""COMPUTED_VALUE"""),6.03)</f>
        <v>6.03</v>
      </c>
      <c r="U787" s="65">
        <f>IFERROR(__xludf.DUMMYFUNCTION("""COMPUTED_VALUE"""),0.0)</f>
        <v>0</v>
      </c>
      <c r="V787" s="65">
        <f>IFERROR(__xludf.DUMMYFUNCTION("""COMPUTED_VALUE"""),0.0)</f>
        <v>0</v>
      </c>
      <c r="W787" s="65">
        <f>IFERROR(__xludf.DUMMYFUNCTION("""COMPUTED_VALUE"""),0.0)</f>
        <v>0</v>
      </c>
      <c r="X787" s="65">
        <f>IFERROR(__xludf.DUMMYFUNCTION("""COMPUTED_VALUE"""),2.6)</f>
        <v>2.6</v>
      </c>
      <c r="Y787" s="65">
        <f>IFERROR(__xludf.DUMMYFUNCTION("""COMPUTED_VALUE"""),7.8)</f>
        <v>7.8</v>
      </c>
      <c r="Z787" s="65">
        <f>IFERROR(__xludf.DUMMYFUNCTION("""COMPUTED_VALUE"""),121983.0)</f>
        <v>121983</v>
      </c>
      <c r="AA787" s="65" t="str">
        <f>IFERROR(__xludf.DUMMYFUNCTION("""COMPUTED_VALUE"""),"PROV-CHLLCF")</f>
        <v>PROV-CHLLCF</v>
      </c>
      <c r="AB787" s="65"/>
      <c r="AC787" s="65" t="str">
        <f>IFERROR(__xludf.DUMMYFUNCTION("""COMPUTED_VALUE"""),"CUCHILLO PARA CHEF")</f>
        <v>CUCHILLO PARA CHEF</v>
      </c>
      <c r="AD787" s="65"/>
      <c r="AE787" s="65">
        <f>IFERROR(__xludf.DUMMYFUNCTION("""COMPUTED_VALUE"""),3.0)</f>
        <v>3</v>
      </c>
      <c r="AF787" s="65" t="str">
        <f>IFERROR(__xludf.DUMMYFUNCTION("""COMPUTED_VALUE"""),"DESTINATARIO NO CONTESTA LLAMADAS NI WHATSAPP")</f>
        <v>DESTINATARIO NO CONTESTA LLAMADAS NI WHATSAPP</v>
      </c>
      <c r="AG787" s="65" t="str">
        <f>IFERROR(__xludf.DUMMYFUNCTION("""COMPUTED_VALUE"""),"NO")</f>
        <v>NO</v>
      </c>
      <c r="AH787" s="65" t="str">
        <f>IFERROR(__xludf.DUMMYFUNCTION("""COMPUTED_VALUE"""),"09:00")</f>
        <v>09:00</v>
      </c>
      <c r="AI787" s="65" t="str">
        <f>IFERROR(__xludf.DUMMYFUNCTION("""COMPUTED_VALUE"""),"01-03-2026")</f>
        <v>01-03-2026</v>
      </c>
      <c r="AJ787" s="65"/>
      <c r="AK787" s="65"/>
      <c r="AL787" s="65"/>
      <c r="AM787" s="65"/>
      <c r="AN787" s="65" t="str">
        <f>IFERROR(__xludf.DUMMYFUNCTION("""COMPUTED_VALUE"""),"10:37")</f>
        <v>10:37</v>
      </c>
      <c r="AO787" s="65" t="str">
        <f>IFERROR(__xludf.DUMMYFUNCTION("""COMPUTED_VALUE"""),"17-03-2026")</f>
        <v>17-03-2026</v>
      </c>
      <c r="AP787" s="65" t="str">
        <f>IFERROR(__xludf.DUMMYFUNCTION("""COMPUTED_VALUE"""),"DEV CONFIRMADA POR BODEGA")</f>
        <v>DEV CONFIRMADA POR BODEGA</v>
      </c>
      <c r="AQ787" s="65"/>
      <c r="AR787" s="65" t="str">
        <f>IFERROR(__xludf.DUMMYFUNCTION("""COMPUTED_VALUE"""),"Gestionado por: PROVEDIX DAMIAN, email:enviogratisdirecto@gmail.com, total de productos en la orden: 1")</f>
        <v>Gestionado por: PROVEDIX DAMIAN, email:enviogratisdirecto@gmail.com, total de productos en la orden: 1</v>
      </c>
      <c r="AS787" s="65"/>
      <c r="AT787" s="65" t="str">
        <f>IFERROR(__xludf.DUMMYFUNCTION("""COMPUTED_VALUE"""),"SHOPIFY")</f>
        <v>SHOPIFY</v>
      </c>
      <c r="AU787" s="65" t="str">
        <f>IFERROR(__xludf.DUMMYFUNCTION("""COMPUTED_VALUE"""),"IMPORTEX EC")</f>
        <v>IMPORTEX EC</v>
      </c>
      <c r="AV787" s="65" t="str">
        <f>IFERROR(__xludf.DUMMYFUNCTION("""COMPUTED_VALUE"""),"6500859117612")</f>
        <v>6500859117612</v>
      </c>
      <c r="AW787" s="65">
        <f>IFERROR(__xludf.DUMMYFUNCTION("""COMPUTED_VALUE"""),6095.0)</f>
        <v>6095</v>
      </c>
      <c r="AX787" s="65"/>
      <c r="AY787" s="65" t="str">
        <f>IFERROR(__xludf.DUMMYFUNCTION("""COMPUTED_VALUE"""),"19/02/2026")</f>
        <v>19/02/2026</v>
      </c>
      <c r="AZ787" s="65"/>
      <c r="BA787" s="65"/>
    </row>
    <row r="788">
      <c r="A788" s="65" t="str">
        <f>IFERROR(__xludf.DUMMYFUNCTION("""COMPUTED_VALUE"""),"27-03-2026")</f>
        <v>27-03-2026</v>
      </c>
      <c r="B788" s="65">
        <f>IFERROR(__xludf.DUMMYFUNCTION("""COMPUTED_VALUE"""),4500637.0)</f>
        <v>4500637</v>
      </c>
      <c r="C788" s="65" t="str">
        <f>IFERROR(__xludf.DUMMYFUNCTION("""COMPUTED_VALUE"""),"12:00")</f>
        <v>12:00</v>
      </c>
      <c r="D788" s="65" t="str">
        <f>IFERROR(__xludf.DUMMYFUNCTION("""COMPUTED_VALUE"""),"13-02-2026")</f>
        <v>13-02-2026</v>
      </c>
      <c r="E788" s="65" t="str">
        <f>IFERROR(__xludf.DUMMYFUNCTION("""COMPUTED_VALUE"""),"Maritza Chicaiza")</f>
        <v>Maritza Chicaiza</v>
      </c>
      <c r="F788" s="65" t="str">
        <f>IFERROR(__xludf.DUMMYFUNCTION("""COMPUTED_VALUE"""),"982297405")</f>
        <v>982297405</v>
      </c>
      <c r="G788" s="65" t="str">
        <f>IFERROR(__xludf.DUMMYFUNCTION("""COMPUTED_VALUE"""),"jacqueline_1982@hotmail.es")</f>
        <v>jacqueline_1982@hotmail.es</v>
      </c>
      <c r="H788" s="65"/>
      <c r="I788" s="65"/>
      <c r="J788" s="65" t="str">
        <f>IFERROR(__xludf.DUMMYFUNCTION("""COMPUTED_VALUE"""),"D001340362")</f>
        <v>D001340362</v>
      </c>
      <c r="K788" s="65" t="str">
        <f>IFERROR(__xludf.DUMMYFUNCTION("""COMPUTED_VALUE"""),"ENTREGADO")</f>
        <v>ENTREGADO</v>
      </c>
      <c r="L788" s="65" t="str">
        <f>IFERROR(__xludf.DUMMYFUNCTION("""COMPUTED_VALUE"""),"CON RECAUDO")</f>
        <v>CON RECAUDO</v>
      </c>
      <c r="M788" s="65" t="str">
        <f>IFERROR(__xludf.DUMMYFUNCTION("""COMPUTED_VALUE"""),"COTOPAXI")</f>
        <v>COTOPAXI</v>
      </c>
      <c r="N788" s="65" t="str">
        <f>IFERROR(__xludf.DUMMYFUNCTION("""COMPUTED_VALUE"""),"LA MANA")</f>
        <v>LA MANA</v>
      </c>
      <c r="O788" s="65" t="str">
        <f>IFERROR(__xludf.DUMMYFUNCTION("""COMPUTED_VALUE"""),"Av 19 mayo y Eugenio espejo")</f>
        <v>Av 19 mayo y Eugenio espejo</v>
      </c>
      <c r="P788" s="65" t="str">
        <f>IFERROR(__xludf.DUMMYFUNCTION("""COMPUTED_VALUE"""),"LIMPIADOR DE PARABRISAS Y VENTANAS: Default Title ***")</f>
        <v>LIMPIADOR DE PARABRISAS Y VENTANAS: Default Title ***</v>
      </c>
      <c r="Q788" s="65" t="str">
        <f>IFERROR(__xludf.DUMMYFUNCTION("""COMPUTED_VALUE"""),"GINTRACOM")</f>
        <v>GINTRACOM</v>
      </c>
      <c r="R788" s="65">
        <f>IFERROR(__xludf.DUMMYFUNCTION("""COMPUTED_VALUE"""),20.0)</f>
        <v>20</v>
      </c>
      <c r="S788" s="65">
        <f>IFERROR(__xludf.DUMMYFUNCTION("""COMPUTED_VALUE"""),11.84)</f>
        <v>11.84</v>
      </c>
      <c r="T788" s="65">
        <f>IFERROR(__xludf.DUMMYFUNCTION("""COMPUTED_VALUE"""),5.76)</f>
        <v>5.76</v>
      </c>
      <c r="U788" s="65">
        <f>IFERROR(__xludf.DUMMYFUNCTION("""COMPUTED_VALUE"""),0.0)</f>
        <v>0</v>
      </c>
      <c r="V788" s="65">
        <f>IFERROR(__xludf.DUMMYFUNCTION("""COMPUTED_VALUE"""),0.0)</f>
        <v>0</v>
      </c>
      <c r="W788" s="65">
        <f>IFERROR(__xludf.DUMMYFUNCTION("""COMPUTED_VALUE"""),0.0)</f>
        <v>0</v>
      </c>
      <c r="X788" s="65">
        <f>IFERROR(__xludf.DUMMYFUNCTION("""COMPUTED_VALUE"""),2.4)</f>
        <v>2.4</v>
      </c>
      <c r="Y788" s="65">
        <f>IFERROR(__xludf.DUMMYFUNCTION("""COMPUTED_VALUE"""),2.4)</f>
        <v>2.4</v>
      </c>
      <c r="Z788" s="65">
        <f>IFERROR(__xludf.DUMMYFUNCTION("""COMPUTED_VALUE"""),120732.0)</f>
        <v>120732</v>
      </c>
      <c r="AA788" s="65" t="str">
        <f>IFERROR(__xludf.DUMMYFUNCTION("""COMPUTED_VALUE"""),"PROV-LMPVT")</f>
        <v>PROV-LMPVT</v>
      </c>
      <c r="AB788" s="65"/>
      <c r="AC788" s="65" t="str">
        <f>IFERROR(__xludf.DUMMYFUNCTION("""COMPUTED_VALUE"""),"LIMPIADOR DE PARABRISAS Y VENTANAS")</f>
        <v>LIMPIADOR DE PARABRISAS Y VENTANAS</v>
      </c>
      <c r="AD788" s="65"/>
      <c r="AE788" s="65">
        <f>IFERROR(__xludf.DUMMYFUNCTION("""COMPUTED_VALUE"""),1.0)</f>
        <v>1</v>
      </c>
      <c r="AF788" s="65"/>
      <c r="AG788" s="65"/>
      <c r="AH788" s="65"/>
      <c r="AI788" s="65"/>
      <c r="AJ788" s="65"/>
      <c r="AK788" s="65"/>
      <c r="AL788" s="65"/>
      <c r="AM788" s="65"/>
      <c r="AN788" s="65" t="str">
        <f>IFERROR(__xludf.DUMMYFUNCTION("""COMPUTED_VALUE"""),"08:21")</f>
        <v>08:21</v>
      </c>
      <c r="AO788" s="65" t="str">
        <f>IFERROR(__xludf.DUMMYFUNCTION("""COMPUTED_VALUE"""),"23-02-2026")</f>
        <v>23-02-2026</v>
      </c>
      <c r="AP788" s="65" t="str">
        <f>IFERROR(__xludf.DUMMYFUNCTION("""COMPUTED_VALUE"""),"EN REPARTO")</f>
        <v>EN REPARTO</v>
      </c>
      <c r="AQ788" s="65" t="str">
        <f>IFERROR(__xludf.DUMMYFUNCTION("""COMPUTED_VALUE"""),"EN REPARTO")</f>
        <v>EN REPARTO</v>
      </c>
      <c r="AR788" s="65"/>
      <c r="AS788" s="65"/>
      <c r="AT788" s="65" t="str">
        <f>IFERROR(__xludf.DUMMYFUNCTION("""COMPUTED_VALUE"""),"SHOPIFY")</f>
        <v>SHOPIFY</v>
      </c>
      <c r="AU788" s="65" t="str">
        <f>IFERROR(__xludf.DUMMYFUNCTION("""COMPUTED_VALUE"""),"IMPORTEX EC")</f>
        <v>IMPORTEX EC</v>
      </c>
      <c r="AV788" s="65" t="str">
        <f>IFERROR(__xludf.DUMMYFUNCTION("""COMPUTED_VALUE"""),"6500795154476")</f>
        <v>6500795154476</v>
      </c>
      <c r="AW788" s="65">
        <f>IFERROR(__xludf.DUMMYFUNCTION("""COMPUTED_VALUE"""),6094.0)</f>
        <v>6094</v>
      </c>
      <c r="AX788" s="65"/>
      <c r="AY788" s="65" t="str">
        <f>IFERROR(__xludf.DUMMYFUNCTION("""COMPUTED_VALUE"""),"19/02/2026")</f>
        <v>19/02/2026</v>
      </c>
      <c r="AZ788" s="65"/>
      <c r="BA788" s="65"/>
    </row>
    <row r="789">
      <c r="A789" s="65" t="str">
        <f>IFERROR(__xludf.DUMMYFUNCTION("""COMPUTED_VALUE"""),"27-03-2026")</f>
        <v>27-03-2026</v>
      </c>
      <c r="B789" s="65">
        <f>IFERROR(__xludf.DUMMYFUNCTION("""COMPUTED_VALUE"""),4500415.0)</f>
        <v>4500415</v>
      </c>
      <c r="C789" s="65" t="str">
        <f>IFERROR(__xludf.DUMMYFUNCTION("""COMPUTED_VALUE"""),"11:37")</f>
        <v>11:37</v>
      </c>
      <c r="D789" s="65" t="str">
        <f>IFERROR(__xludf.DUMMYFUNCTION("""COMPUTED_VALUE"""),"13-02-2026")</f>
        <v>13-02-2026</v>
      </c>
      <c r="E789" s="65" t="str">
        <f>IFERROR(__xludf.DUMMYFUNCTION("""COMPUTED_VALUE"""),"Carlos Martinez")</f>
        <v>Carlos Martinez</v>
      </c>
      <c r="F789" s="65" t="str">
        <f>IFERROR(__xludf.DUMMYFUNCTION("""COMPUTED_VALUE"""),"992315938")</f>
        <v>992315938</v>
      </c>
      <c r="G789" s="65" t="str">
        <f>IFERROR(__xludf.DUMMYFUNCTION("""COMPUTED_VALUE"""),"carlosjonathan06@outlook.com")</f>
        <v>carlosjonathan06@outlook.com</v>
      </c>
      <c r="H789" s="65"/>
      <c r="I789" s="65"/>
      <c r="J789" s="65"/>
      <c r="K789" s="65" t="str">
        <f>IFERROR(__xludf.DUMMYFUNCTION("""COMPUTED_VALUE"""),"PENDIENTE CONFIRMACION")</f>
        <v>PENDIENTE CONFIRMACION</v>
      </c>
      <c r="L789" s="65" t="str">
        <f>IFERROR(__xludf.DUMMYFUNCTION("""COMPUTED_VALUE"""),"CON RECAUDO")</f>
        <v>CON RECAUDO</v>
      </c>
      <c r="M789" s="65" t="str">
        <f>IFERROR(__xludf.DUMMYFUNCTION("""COMPUTED_VALUE"""),"LOS RIOS")</f>
        <v>LOS RIOS</v>
      </c>
      <c r="N789" s="65" t="str">
        <f>IFERROR(__xludf.DUMMYFUNCTION("""COMPUTED_VALUE"""),"LA ESPERANZA")</f>
        <v>LA ESPERANZA</v>
      </c>
      <c r="O789" s="65" t="str">
        <f>IFERROR(__xludf.DUMMYFUNCTION("""COMPUTED_VALUE"""),"Via a Valencia La ezperanza -")</f>
        <v>Via a Valencia La ezperanza -</v>
      </c>
      <c r="P789" s="65"/>
      <c r="Q789" s="65" t="str">
        <f>IFERROR(__xludf.DUMMYFUNCTION("""COMPUTED_VALUE"""),"LAARCOURIER")</f>
        <v>LAARCOURIER</v>
      </c>
      <c r="R789" s="65">
        <f>IFERROR(__xludf.DUMMYFUNCTION("""COMPUTED_VALUE"""),22.0)</f>
        <v>22</v>
      </c>
      <c r="S789" s="65"/>
      <c r="T789" s="65">
        <f>IFERROR(__xludf.DUMMYFUNCTION("""COMPUTED_VALUE"""),7.01)</f>
        <v>7.01</v>
      </c>
      <c r="U789" s="65">
        <f>IFERROR(__xludf.DUMMYFUNCTION("""COMPUTED_VALUE"""),0.0)</f>
        <v>0</v>
      </c>
      <c r="V789" s="65">
        <f>IFERROR(__xludf.DUMMYFUNCTION("""COMPUTED_VALUE"""),0.0)</f>
        <v>0</v>
      </c>
      <c r="W789" s="65">
        <f>IFERROR(__xludf.DUMMYFUNCTION("""COMPUTED_VALUE"""),0.0)</f>
        <v>0</v>
      </c>
      <c r="X789" s="65">
        <f>IFERROR(__xludf.DUMMYFUNCTION("""COMPUTED_VALUE"""),2.6)</f>
        <v>2.6</v>
      </c>
      <c r="Y789" s="65">
        <f>IFERROR(__xludf.DUMMYFUNCTION("""COMPUTED_VALUE"""),5.2)</f>
        <v>5.2</v>
      </c>
      <c r="Z789" s="65">
        <f>IFERROR(__xludf.DUMMYFUNCTION("""COMPUTED_VALUE"""),121983.0)</f>
        <v>121983</v>
      </c>
      <c r="AA789" s="65" t="str">
        <f>IFERROR(__xludf.DUMMYFUNCTION("""COMPUTED_VALUE"""),"PROV-CHLLCF")</f>
        <v>PROV-CHLLCF</v>
      </c>
      <c r="AB789" s="65"/>
      <c r="AC789" s="65" t="str">
        <f>IFERROR(__xludf.DUMMYFUNCTION("""COMPUTED_VALUE"""),"CUCHILLO PARA CHEF")</f>
        <v>CUCHILLO PARA CHEF</v>
      </c>
      <c r="AD789" s="65"/>
      <c r="AE789" s="65">
        <f>IFERROR(__xludf.DUMMYFUNCTION("""COMPUTED_VALUE"""),2.0)</f>
        <v>2</v>
      </c>
      <c r="AF789" s="65"/>
      <c r="AG789" s="65"/>
      <c r="AH789" s="65"/>
      <c r="AI789" s="65"/>
      <c r="AJ789" s="65"/>
      <c r="AK789" s="65"/>
      <c r="AL789" s="65"/>
      <c r="AM789" s="65"/>
      <c r="AN789" s="65"/>
      <c r="AO789" s="65"/>
      <c r="AP789" s="65"/>
      <c r="AQ789" s="65"/>
      <c r="AR789" s="65"/>
      <c r="AS789" s="65"/>
      <c r="AT789" s="65" t="str">
        <f>IFERROR(__xludf.DUMMYFUNCTION("""COMPUTED_VALUE"""),"SHOPIFY")</f>
        <v>SHOPIFY</v>
      </c>
      <c r="AU789" s="65" t="str">
        <f>IFERROR(__xludf.DUMMYFUNCTION("""COMPUTED_VALUE"""),"IMPORTEX EC")</f>
        <v>IMPORTEX EC</v>
      </c>
      <c r="AV789" s="65" t="str">
        <f>IFERROR(__xludf.DUMMYFUNCTION("""COMPUTED_VALUE"""),"6500742004780")</f>
        <v>6500742004780</v>
      </c>
      <c r="AW789" s="65">
        <f>IFERROR(__xludf.DUMMYFUNCTION("""COMPUTED_VALUE"""),6093.0)</f>
        <v>6093</v>
      </c>
      <c r="AX789" s="65"/>
      <c r="AY789" s="65"/>
      <c r="AZ789" s="65"/>
      <c r="BA789" s="65"/>
    </row>
    <row r="790">
      <c r="A790" s="65" t="str">
        <f>IFERROR(__xludf.DUMMYFUNCTION("""COMPUTED_VALUE"""),"27-03-2026")</f>
        <v>27-03-2026</v>
      </c>
      <c r="B790" s="65">
        <f>IFERROR(__xludf.DUMMYFUNCTION("""COMPUTED_VALUE"""),4500332.0)</f>
        <v>4500332</v>
      </c>
      <c r="C790" s="65" t="str">
        <f>IFERROR(__xludf.DUMMYFUNCTION("""COMPUTED_VALUE"""),"11:30")</f>
        <v>11:30</v>
      </c>
      <c r="D790" s="65" t="str">
        <f>IFERROR(__xludf.DUMMYFUNCTION("""COMPUTED_VALUE"""),"13-02-2026")</f>
        <v>13-02-2026</v>
      </c>
      <c r="E790" s="65" t="str">
        <f>IFERROR(__xludf.DUMMYFUNCTION("""COMPUTED_VALUE"""),"Alex Lara")</f>
        <v>Alex Lara</v>
      </c>
      <c r="F790" s="65" t="str">
        <f>IFERROR(__xludf.DUMMYFUNCTION("""COMPUTED_VALUE"""),"979189175")</f>
        <v>979189175</v>
      </c>
      <c r="G790" s="65" t="str">
        <f>IFERROR(__xludf.DUMMYFUNCTION("""COMPUTED_VALUE"""),"alexlara_med@yahoo.com")</f>
        <v>alexlara_med@yahoo.com</v>
      </c>
      <c r="H790" s="65"/>
      <c r="I790" s="65"/>
      <c r="J790" s="65" t="str">
        <f>IFERROR(__xludf.DUMMYFUNCTION("""COMPUTED_VALUE"""),"D001340363")</f>
        <v>D001340363</v>
      </c>
      <c r="K790" s="65" t="str">
        <f>IFERROR(__xludf.DUMMYFUNCTION("""COMPUTED_VALUE"""),"ENTREGADO")</f>
        <v>ENTREGADO</v>
      </c>
      <c r="L790" s="65" t="str">
        <f>IFERROR(__xludf.DUMMYFUNCTION("""COMPUTED_VALUE"""),"CON RECAUDO")</f>
        <v>CON RECAUDO</v>
      </c>
      <c r="M790" s="65" t="str">
        <f>IFERROR(__xludf.DUMMYFUNCTION("""COMPUTED_VALUE"""),"COTOPAXI")</f>
        <v>COTOPAXI</v>
      </c>
      <c r="N790" s="65" t="str">
        <f>IFERROR(__xludf.DUMMYFUNCTION("""COMPUTED_VALUE"""),"PUJILI")</f>
        <v>PUJILI</v>
      </c>
      <c r="O790" s="65" t="str">
        <f>IFERROR(__xludf.DUMMYFUNCTION("""COMPUTED_VALUE"""),"Avenida Velasco Ibarra y Garcia Moreno , Número de la casa 13 - 65 - REF : A una cuadra de la unidad educativa, Belisario Quevedo -  cantón Pujili parroquia la matriz")</f>
        <v>Avenida Velasco Ibarra y Garcia Moreno , Número de la casa 13 - 65 - REF : A una cuadra de la unidad educativa, Belisario Quevedo -  cantón Pujili parroquia la matriz</v>
      </c>
      <c r="P790" s="65"/>
      <c r="Q790" s="65" t="str">
        <f>IFERROR(__xludf.DUMMYFUNCTION("""COMPUTED_VALUE"""),"GINTRACOM")</f>
        <v>GINTRACOM</v>
      </c>
      <c r="R790" s="65">
        <f>IFERROR(__xludf.DUMMYFUNCTION("""COMPUTED_VALUE"""),30.0)</f>
        <v>30</v>
      </c>
      <c r="S790" s="65">
        <f>IFERROR(__xludf.DUMMYFUNCTION("""COMPUTED_VALUE"""),16.07)</f>
        <v>16.07</v>
      </c>
      <c r="T790" s="65">
        <f>IFERROR(__xludf.DUMMYFUNCTION("""COMPUTED_VALUE"""),6.73)</f>
        <v>6.73</v>
      </c>
      <c r="U790" s="65">
        <f>IFERROR(__xludf.DUMMYFUNCTION("""COMPUTED_VALUE"""),0.0)</f>
        <v>0</v>
      </c>
      <c r="V790" s="65">
        <f>IFERROR(__xludf.DUMMYFUNCTION("""COMPUTED_VALUE"""),0.0)</f>
        <v>0</v>
      </c>
      <c r="W790" s="65">
        <f>IFERROR(__xludf.DUMMYFUNCTION("""COMPUTED_VALUE"""),0.0)</f>
        <v>0</v>
      </c>
      <c r="X790" s="65">
        <f>IFERROR(__xludf.DUMMYFUNCTION("""COMPUTED_VALUE"""),2.4)</f>
        <v>2.4</v>
      </c>
      <c r="Y790" s="65">
        <f>IFERROR(__xludf.DUMMYFUNCTION("""COMPUTED_VALUE"""),7.2)</f>
        <v>7.2</v>
      </c>
      <c r="Z790" s="65">
        <f>IFERROR(__xludf.DUMMYFUNCTION("""COMPUTED_VALUE"""),120732.0)</f>
        <v>120732</v>
      </c>
      <c r="AA790" s="65" t="str">
        <f>IFERROR(__xludf.DUMMYFUNCTION("""COMPUTED_VALUE"""),"PROV-LMPVT")</f>
        <v>PROV-LMPVT</v>
      </c>
      <c r="AB790" s="65"/>
      <c r="AC790" s="65" t="str">
        <f>IFERROR(__xludf.DUMMYFUNCTION("""COMPUTED_VALUE"""),"LIMPIADOR DE PARABRISAS Y VENTANAS")</f>
        <v>LIMPIADOR DE PARABRISAS Y VENTANAS</v>
      </c>
      <c r="AD790" s="65"/>
      <c r="AE790" s="65">
        <f>IFERROR(__xludf.DUMMYFUNCTION("""COMPUTED_VALUE"""),3.0)</f>
        <v>3</v>
      </c>
      <c r="AF790" s="65" t="str">
        <f>IFERROR(__xludf.DUMMYFUNCTION("""COMPUTED_VALUE"""),"DESTINATARIO NO CONTESTA LLAMADAS NI WHATSAPP")</f>
        <v>DESTINATARIO NO CONTESTA LLAMADAS NI WHATSAPP</v>
      </c>
      <c r="AG790" s="65" t="str">
        <f>IFERROR(__xludf.DUMMYFUNCTION("""COMPUTED_VALUE"""),"NO")</f>
        <v>NO</v>
      </c>
      <c r="AH790" s="65" t="str">
        <f>IFERROR(__xludf.DUMMYFUNCTION("""COMPUTED_VALUE"""),"17:21")</f>
        <v>17:21</v>
      </c>
      <c r="AI790" s="65" t="str">
        <f>IFERROR(__xludf.DUMMYFUNCTION("""COMPUTED_VALUE"""),"27-02-2026")</f>
        <v>27-02-2026</v>
      </c>
      <c r="AJ790" s="65"/>
      <c r="AK790" s="65"/>
      <c r="AL790" s="65"/>
      <c r="AM790" s="65"/>
      <c r="AN790" s="65" t="str">
        <f>IFERROR(__xludf.DUMMYFUNCTION("""COMPUTED_VALUE"""),"11:38")</f>
        <v>11:38</v>
      </c>
      <c r="AO790" s="65" t="str">
        <f>IFERROR(__xludf.DUMMYFUNCTION("""COMPUTED_VALUE"""),"28-02-2026")</f>
        <v>28-02-2026</v>
      </c>
      <c r="AP790" s="65" t="str">
        <f>IFERROR(__xludf.DUMMYFUNCTION("""COMPUTED_VALUE"""),"ENTREGADA GINTRACOM")</f>
        <v>ENTREGADA GINTRACOM</v>
      </c>
      <c r="AQ790" s="65" t="str">
        <f>IFERROR(__xludf.DUMMYFUNCTION("""COMPUTED_VALUE"""),"ENTREGADA GINTRACOM")</f>
        <v>ENTREGADA GINTRACOM</v>
      </c>
      <c r="AR790" s="65"/>
      <c r="AS790" s="65"/>
      <c r="AT790" s="65" t="str">
        <f>IFERROR(__xludf.DUMMYFUNCTION("""COMPUTED_VALUE"""),"SHOPIFY")</f>
        <v>SHOPIFY</v>
      </c>
      <c r="AU790" s="65" t="str">
        <f>IFERROR(__xludf.DUMMYFUNCTION("""COMPUTED_VALUE"""),"IMPORTEX EC")</f>
        <v>IMPORTEX EC</v>
      </c>
      <c r="AV790" s="65" t="str">
        <f>IFERROR(__xludf.DUMMYFUNCTION("""COMPUTED_VALUE"""),"6500724506668")</f>
        <v>6500724506668</v>
      </c>
      <c r="AW790" s="65">
        <f>IFERROR(__xludf.DUMMYFUNCTION("""COMPUTED_VALUE"""),6092.0)</f>
        <v>6092</v>
      </c>
      <c r="AX790" s="65"/>
      <c r="AY790" s="65" t="str">
        <f>IFERROR(__xludf.DUMMYFUNCTION("""COMPUTED_VALUE"""),"19/02/2026")</f>
        <v>19/02/2026</v>
      </c>
      <c r="AZ790" s="65"/>
      <c r="BA790" s="65"/>
    </row>
    <row r="791">
      <c r="A791" s="65" t="str">
        <f>IFERROR(__xludf.DUMMYFUNCTION("""COMPUTED_VALUE"""),"27-03-2026")</f>
        <v>27-03-2026</v>
      </c>
      <c r="B791" s="65">
        <f>IFERROR(__xludf.DUMMYFUNCTION("""COMPUTED_VALUE"""),4500271.0)</f>
        <v>4500271</v>
      </c>
      <c r="C791" s="65" t="str">
        <f>IFERROR(__xludf.DUMMYFUNCTION("""COMPUTED_VALUE"""),"11:24")</f>
        <v>11:24</v>
      </c>
      <c r="D791" s="65" t="str">
        <f>IFERROR(__xludf.DUMMYFUNCTION("""COMPUTED_VALUE"""),"13-02-2026")</f>
        <v>13-02-2026</v>
      </c>
      <c r="E791" s="65" t="str">
        <f>IFERROR(__xludf.DUMMYFUNCTION("""COMPUTED_VALUE"""),"Oscar David Alcívar pluas")</f>
        <v>Oscar David Alcívar pluas</v>
      </c>
      <c r="F791" s="65" t="str">
        <f>IFERROR(__xludf.DUMMYFUNCTION("""COMPUTED_VALUE"""),"961575054")</f>
        <v>961575054</v>
      </c>
      <c r="G791" s="65" t="str">
        <f>IFERROR(__xludf.DUMMYFUNCTION("""COMPUTED_VALUE"""),"oscaralcivar_21@hotmail.com")</f>
        <v>oscaralcivar_21@hotmail.com</v>
      </c>
      <c r="H791" s="65"/>
      <c r="I791" s="65"/>
      <c r="J791" s="65" t="str">
        <f>IFERROR(__xludf.DUMMYFUNCTION("""COMPUTED_VALUE"""),"D001340364")</f>
        <v>D001340364</v>
      </c>
      <c r="K791" s="65" t="str">
        <f>IFERROR(__xludf.DUMMYFUNCTION("""COMPUTED_VALUE"""),"ENTREGADO")</f>
        <v>ENTREGADO</v>
      </c>
      <c r="L791" s="65" t="str">
        <f>IFERROR(__xludf.DUMMYFUNCTION("""COMPUTED_VALUE"""),"CON RECAUDO")</f>
        <v>CON RECAUDO</v>
      </c>
      <c r="M791" s="65" t="str">
        <f>IFERROR(__xludf.DUMMYFUNCTION("""COMPUTED_VALUE"""),"MANABI")</f>
        <v>MANABI</v>
      </c>
      <c r="N791" s="65" t="str">
        <f>IFERROR(__xludf.DUMMYFUNCTION("""COMPUTED_VALUE"""),"PORTOVIEJO")</f>
        <v>PORTOVIEJO</v>
      </c>
      <c r="O791" s="65" t="str">
        <f>IFERROR(__xludf.DUMMYFUNCTION("""COMPUTED_VALUE"""),"Ciudadela Bellavista Entrada principal frente del taller corrales - frente a la planta eléctrica")</f>
        <v>Ciudadela Bellavista Entrada principal frente del taller corrales - frente a la planta eléctrica</v>
      </c>
      <c r="P791" s="65"/>
      <c r="Q791" s="65" t="str">
        <f>IFERROR(__xludf.DUMMYFUNCTION("""COMPUTED_VALUE"""),"GINTRACOM")</f>
        <v>GINTRACOM</v>
      </c>
      <c r="R791" s="65">
        <f>IFERROR(__xludf.DUMMYFUNCTION("""COMPUTED_VALUE"""),20.0)</f>
        <v>20</v>
      </c>
      <c r="S791" s="65">
        <f>IFERROR(__xludf.DUMMYFUNCTION("""COMPUTED_VALUE"""),11.84)</f>
        <v>11.84</v>
      </c>
      <c r="T791" s="65">
        <f>IFERROR(__xludf.DUMMYFUNCTION("""COMPUTED_VALUE"""),5.76)</f>
        <v>5.76</v>
      </c>
      <c r="U791" s="65">
        <f>IFERROR(__xludf.DUMMYFUNCTION("""COMPUTED_VALUE"""),0.0)</f>
        <v>0</v>
      </c>
      <c r="V791" s="65">
        <f>IFERROR(__xludf.DUMMYFUNCTION("""COMPUTED_VALUE"""),0.0)</f>
        <v>0</v>
      </c>
      <c r="W791" s="65">
        <f>IFERROR(__xludf.DUMMYFUNCTION("""COMPUTED_VALUE"""),0.0)</f>
        <v>0</v>
      </c>
      <c r="X791" s="65">
        <f>IFERROR(__xludf.DUMMYFUNCTION("""COMPUTED_VALUE"""),2.4)</f>
        <v>2.4</v>
      </c>
      <c r="Y791" s="65">
        <f>IFERROR(__xludf.DUMMYFUNCTION("""COMPUTED_VALUE"""),2.4)</f>
        <v>2.4</v>
      </c>
      <c r="Z791" s="65">
        <f>IFERROR(__xludf.DUMMYFUNCTION("""COMPUTED_VALUE"""),120732.0)</f>
        <v>120732</v>
      </c>
      <c r="AA791" s="65" t="str">
        <f>IFERROR(__xludf.DUMMYFUNCTION("""COMPUTED_VALUE"""),"PROV-LMPVT")</f>
        <v>PROV-LMPVT</v>
      </c>
      <c r="AB791" s="65"/>
      <c r="AC791" s="65" t="str">
        <f>IFERROR(__xludf.DUMMYFUNCTION("""COMPUTED_VALUE"""),"LIMPIADOR DE PARABRISAS Y VENTANAS")</f>
        <v>LIMPIADOR DE PARABRISAS Y VENTANAS</v>
      </c>
      <c r="AD791" s="65"/>
      <c r="AE791" s="65">
        <f>IFERROR(__xludf.DUMMYFUNCTION("""COMPUTED_VALUE"""),1.0)</f>
        <v>1</v>
      </c>
      <c r="AF791" s="65"/>
      <c r="AG791" s="65"/>
      <c r="AH791" s="65"/>
      <c r="AI791" s="65"/>
      <c r="AJ791" s="65"/>
      <c r="AK791" s="65"/>
      <c r="AL791" s="65"/>
      <c r="AM791" s="65"/>
      <c r="AN791" s="65" t="str">
        <f>IFERROR(__xludf.DUMMYFUNCTION("""COMPUTED_VALUE"""),"07:12")</f>
        <v>07:12</v>
      </c>
      <c r="AO791" s="65" t="str">
        <f>IFERROR(__xludf.DUMMYFUNCTION("""COMPUTED_VALUE"""),"21-02-2026")</f>
        <v>21-02-2026</v>
      </c>
      <c r="AP791" s="65" t="str">
        <f>IFERROR(__xludf.DUMMYFUNCTION("""COMPUTED_VALUE"""),"EN REPARTO")</f>
        <v>EN REPARTO</v>
      </c>
      <c r="AQ791" s="65" t="str">
        <f>IFERROR(__xludf.DUMMYFUNCTION("""COMPUTED_VALUE"""),"EN REPARTO")</f>
        <v>EN REPARTO</v>
      </c>
      <c r="AR791" s="65"/>
      <c r="AS791" s="65"/>
      <c r="AT791" s="65" t="str">
        <f>IFERROR(__xludf.DUMMYFUNCTION("""COMPUTED_VALUE"""),"SHOPIFY")</f>
        <v>SHOPIFY</v>
      </c>
      <c r="AU791" s="65" t="str">
        <f>IFERROR(__xludf.DUMMYFUNCTION("""COMPUTED_VALUE"""),"IMPORTEX EC")</f>
        <v>IMPORTEX EC</v>
      </c>
      <c r="AV791" s="65" t="str">
        <f>IFERROR(__xludf.DUMMYFUNCTION("""COMPUTED_VALUE"""),"6500711890988")</f>
        <v>6500711890988</v>
      </c>
      <c r="AW791" s="65">
        <f>IFERROR(__xludf.DUMMYFUNCTION("""COMPUTED_VALUE"""),6091.0)</f>
        <v>6091</v>
      </c>
      <c r="AX791" s="65"/>
      <c r="AY791" s="65" t="str">
        <f>IFERROR(__xludf.DUMMYFUNCTION("""COMPUTED_VALUE"""),"19/02/2026")</f>
        <v>19/02/2026</v>
      </c>
      <c r="AZ791" s="65"/>
      <c r="BA791" s="65"/>
    </row>
    <row r="792">
      <c r="A792" s="65" t="str">
        <f>IFERROR(__xludf.DUMMYFUNCTION("""COMPUTED_VALUE"""),"27-03-2026")</f>
        <v>27-03-2026</v>
      </c>
      <c r="B792" s="65">
        <f>IFERROR(__xludf.DUMMYFUNCTION("""COMPUTED_VALUE"""),4499702.0)</f>
        <v>4499702</v>
      </c>
      <c r="C792" s="65" t="str">
        <f>IFERROR(__xludf.DUMMYFUNCTION("""COMPUTED_VALUE"""),"10:24")</f>
        <v>10:24</v>
      </c>
      <c r="D792" s="65" t="str">
        <f>IFERROR(__xludf.DUMMYFUNCTION("""COMPUTED_VALUE"""),"13-02-2026")</f>
        <v>13-02-2026</v>
      </c>
      <c r="E792" s="65" t="str">
        <f>IFERROR(__xludf.DUMMYFUNCTION("""COMPUTED_VALUE"""),"Guadalupe Terán")</f>
        <v>Guadalupe Terán</v>
      </c>
      <c r="F792" s="65" t="str">
        <f>IFERROR(__xludf.DUMMYFUNCTION("""COMPUTED_VALUE"""),"984532733")</f>
        <v>984532733</v>
      </c>
      <c r="G792" s="65" t="str">
        <f>IFERROR(__xludf.DUMMYFUNCTION("""COMPUTED_VALUE"""),"lupisteran@hotmail.com")</f>
        <v>lupisteran@hotmail.com</v>
      </c>
      <c r="H792" s="65"/>
      <c r="I792" s="65"/>
      <c r="J792" s="65" t="str">
        <f>IFERROR(__xludf.DUMMYFUNCTION("""COMPUTED_VALUE"""),"D001340365")</f>
        <v>D001340365</v>
      </c>
      <c r="K792" s="65" t="str">
        <f>IFERROR(__xludf.DUMMYFUNCTION("""COMPUTED_VALUE"""),"ENTREGADO")</f>
        <v>ENTREGADO</v>
      </c>
      <c r="L792" s="65" t="str">
        <f>IFERROR(__xludf.DUMMYFUNCTION("""COMPUTED_VALUE"""),"CON RECAUDO")</f>
        <v>CON RECAUDO</v>
      </c>
      <c r="M792" s="65" t="str">
        <f>IFERROR(__xludf.DUMMYFUNCTION("""COMPUTED_VALUE"""),"PICHINCHA")</f>
        <v>PICHINCHA</v>
      </c>
      <c r="N792" s="65" t="str">
        <f>IFERROR(__xludf.DUMMYFUNCTION("""COMPUTED_VALUE"""),"SANGOLQUI")</f>
        <v>SANGOLQUI</v>
      </c>
      <c r="O792" s="65" t="str">
        <f>IFERROR(__xludf.DUMMYFUNCTION("""COMPUTED_VALUE"""),"Los  Abetos y  Florida casa con portón negro a la derecha frente a la papelería Las Princesas . Sector Sangolqui - Ref: Cerca al IESS SANGOLQUI")</f>
        <v>Los  Abetos y  Florida casa con portón negro a la derecha frente a la papelería Las Princesas . Sector Sangolqui - Ref: Cerca al IESS SANGOLQUI</v>
      </c>
      <c r="P792" s="65"/>
      <c r="Q792" s="65" t="str">
        <f>IFERROR(__xludf.DUMMYFUNCTION("""COMPUTED_VALUE"""),"GINTRACOM")</f>
        <v>GINTRACOM</v>
      </c>
      <c r="R792" s="65">
        <f>IFERROR(__xludf.DUMMYFUNCTION("""COMPUTED_VALUE"""),32.0)</f>
        <v>32</v>
      </c>
      <c r="S792" s="65">
        <f>IFERROR(__xludf.DUMMYFUNCTION("""COMPUTED_VALUE"""),15.36)</f>
        <v>15.36</v>
      </c>
      <c r="T792" s="65">
        <f>IFERROR(__xludf.DUMMYFUNCTION("""COMPUTED_VALUE"""),6.24)</f>
        <v>6.24</v>
      </c>
      <c r="U792" s="65">
        <f>IFERROR(__xludf.DUMMYFUNCTION("""COMPUTED_VALUE"""),0.0)</f>
        <v>0</v>
      </c>
      <c r="V792" s="65">
        <f>IFERROR(__xludf.DUMMYFUNCTION("""COMPUTED_VALUE"""),0.0)</f>
        <v>0</v>
      </c>
      <c r="W792" s="65">
        <f>IFERROR(__xludf.DUMMYFUNCTION("""COMPUTED_VALUE"""),0.0)</f>
        <v>0</v>
      </c>
      <c r="X792" s="65">
        <f>IFERROR(__xludf.DUMMYFUNCTION("""COMPUTED_VALUE"""),2.6)</f>
        <v>2.6</v>
      </c>
      <c r="Y792" s="65">
        <f>IFERROR(__xludf.DUMMYFUNCTION("""COMPUTED_VALUE"""),10.4)</f>
        <v>10.4</v>
      </c>
      <c r="Z792" s="65">
        <f>IFERROR(__xludf.DUMMYFUNCTION("""COMPUTED_VALUE"""),121983.0)</f>
        <v>121983</v>
      </c>
      <c r="AA792" s="65" t="str">
        <f>IFERROR(__xludf.DUMMYFUNCTION("""COMPUTED_VALUE"""),"PROV-CHLLCF")</f>
        <v>PROV-CHLLCF</v>
      </c>
      <c r="AB792" s="65"/>
      <c r="AC792" s="65" t="str">
        <f>IFERROR(__xludf.DUMMYFUNCTION("""COMPUTED_VALUE"""),"CUCHILLO PARA CHEF")</f>
        <v>CUCHILLO PARA CHEF</v>
      </c>
      <c r="AD792" s="65"/>
      <c r="AE792" s="65">
        <f>IFERROR(__xludf.DUMMYFUNCTION("""COMPUTED_VALUE"""),4.0)</f>
        <v>4</v>
      </c>
      <c r="AF792" s="65"/>
      <c r="AG792" s="65"/>
      <c r="AH792" s="65"/>
      <c r="AI792" s="65"/>
      <c r="AJ792" s="65"/>
      <c r="AK792" s="65"/>
      <c r="AL792" s="65"/>
      <c r="AM792" s="65"/>
      <c r="AN792" s="65" t="str">
        <f>IFERROR(__xludf.DUMMYFUNCTION("""COMPUTED_VALUE"""),"13:39")</f>
        <v>13:39</v>
      </c>
      <c r="AO792" s="65" t="str">
        <f>IFERROR(__xludf.DUMMYFUNCTION("""COMPUTED_VALUE"""),"20-02-2026")</f>
        <v>20-02-2026</v>
      </c>
      <c r="AP792" s="65" t="str">
        <f>IFERROR(__xludf.DUMMYFUNCTION("""COMPUTED_VALUE"""),"ENTREGADA GINTRACOM")</f>
        <v>ENTREGADA GINTRACOM</v>
      </c>
      <c r="AQ792" s="65" t="str">
        <f>IFERROR(__xludf.DUMMYFUNCTION("""COMPUTED_VALUE"""),"ENTREGADA GINTRACOM")</f>
        <v>ENTREGADA GINTRACOM</v>
      </c>
      <c r="AR792" s="65"/>
      <c r="AS792" s="65"/>
      <c r="AT792" s="65" t="str">
        <f>IFERROR(__xludf.DUMMYFUNCTION("""COMPUTED_VALUE"""),"SHOPIFY")</f>
        <v>SHOPIFY</v>
      </c>
      <c r="AU792" s="65" t="str">
        <f>IFERROR(__xludf.DUMMYFUNCTION("""COMPUTED_VALUE"""),"IMPORTEX EC")</f>
        <v>IMPORTEX EC</v>
      </c>
      <c r="AV792" s="65" t="str">
        <f>IFERROR(__xludf.DUMMYFUNCTION("""COMPUTED_VALUE"""),"6500581015596")</f>
        <v>6500581015596</v>
      </c>
      <c r="AW792" s="65">
        <f>IFERROR(__xludf.DUMMYFUNCTION("""COMPUTED_VALUE"""),6089.0)</f>
        <v>6089</v>
      </c>
      <c r="AX792" s="65"/>
      <c r="AY792" s="65" t="str">
        <f>IFERROR(__xludf.DUMMYFUNCTION("""COMPUTED_VALUE"""),"19/02/2026")</f>
        <v>19/02/2026</v>
      </c>
      <c r="AZ792" s="65"/>
      <c r="BA792" s="65"/>
    </row>
    <row r="793">
      <c r="A793" s="65" t="str">
        <f>IFERROR(__xludf.DUMMYFUNCTION("""COMPUTED_VALUE"""),"27-03-2026")</f>
        <v>27-03-2026</v>
      </c>
      <c r="B793" s="65">
        <f>IFERROR(__xludf.DUMMYFUNCTION("""COMPUTED_VALUE"""),4499614.0)</f>
        <v>4499614</v>
      </c>
      <c r="C793" s="65" t="str">
        <f>IFERROR(__xludf.DUMMYFUNCTION("""COMPUTED_VALUE"""),"10:16")</f>
        <v>10:16</v>
      </c>
      <c r="D793" s="65" t="str">
        <f>IFERROR(__xludf.DUMMYFUNCTION("""COMPUTED_VALUE"""),"13-02-2026")</f>
        <v>13-02-2026</v>
      </c>
      <c r="E793" s="65" t="str">
        <f>IFERROR(__xludf.DUMMYFUNCTION("""COMPUTED_VALUE"""),"Francisco pico pico")</f>
        <v>Francisco pico pico</v>
      </c>
      <c r="F793" s="65" t="str">
        <f>IFERROR(__xludf.DUMMYFUNCTION("""COMPUTED_VALUE"""),"994074409")</f>
        <v>994074409</v>
      </c>
      <c r="G793" s="65" t="str">
        <f>IFERROR(__xludf.DUMMYFUNCTION("""COMPUTED_VALUE"""),"picogeovany57@gmail.com")</f>
        <v>picogeovany57@gmail.com</v>
      </c>
      <c r="H793" s="65"/>
      <c r="I793" s="65"/>
      <c r="J793" s="65"/>
      <c r="K793" s="65" t="str">
        <f>IFERROR(__xludf.DUMMYFUNCTION("""COMPUTED_VALUE"""),"PENDIENTE CONFIRMACION")</f>
        <v>PENDIENTE CONFIRMACION</v>
      </c>
      <c r="L793" s="65" t="str">
        <f>IFERROR(__xludf.DUMMYFUNCTION("""COMPUTED_VALUE"""),"CON RECAUDO")</f>
        <v>CON RECAUDO</v>
      </c>
      <c r="M793" s="65" t="str">
        <f>IFERROR(__xludf.DUMMYFUNCTION("""COMPUTED_VALUE"""),"MANABI")</f>
        <v>MANABI</v>
      </c>
      <c r="N793" s="65" t="str">
        <f>IFERROR(__xludf.DUMMYFUNCTION("""COMPUTED_VALUE"""),"PORTOVIEJO")</f>
        <v>PORTOVIEJO</v>
      </c>
      <c r="O793" s="65" t="str">
        <f>IFERROR(__xludf.DUMMYFUNCTION("""COMPUTED_VALUE"""),"Av del ejército y Y29de junio -")</f>
        <v>Av del ejército y Y29de junio -</v>
      </c>
      <c r="P793" s="65"/>
      <c r="Q793" s="65" t="str">
        <f>IFERROR(__xludf.DUMMYFUNCTION("""COMPUTED_VALUE"""),"GINTRACOM")</f>
        <v>GINTRACOM</v>
      </c>
      <c r="R793" s="65">
        <f>IFERROR(__xludf.DUMMYFUNCTION("""COMPUTED_VALUE"""),32.0)</f>
        <v>32</v>
      </c>
      <c r="S793" s="65"/>
      <c r="T793" s="65">
        <f>IFERROR(__xludf.DUMMYFUNCTION("""COMPUTED_VALUE"""),6.24)</f>
        <v>6.24</v>
      </c>
      <c r="U793" s="65">
        <f>IFERROR(__xludf.DUMMYFUNCTION("""COMPUTED_VALUE"""),0.0)</f>
        <v>0</v>
      </c>
      <c r="V793" s="65">
        <f>IFERROR(__xludf.DUMMYFUNCTION("""COMPUTED_VALUE"""),0.0)</f>
        <v>0</v>
      </c>
      <c r="W793" s="65">
        <f>IFERROR(__xludf.DUMMYFUNCTION("""COMPUTED_VALUE"""),0.0)</f>
        <v>0</v>
      </c>
      <c r="X793" s="65">
        <f>IFERROR(__xludf.DUMMYFUNCTION("""COMPUTED_VALUE"""),2.6)</f>
        <v>2.6</v>
      </c>
      <c r="Y793" s="65">
        <f>IFERROR(__xludf.DUMMYFUNCTION("""COMPUTED_VALUE"""),10.4)</f>
        <v>10.4</v>
      </c>
      <c r="Z793" s="65">
        <f>IFERROR(__xludf.DUMMYFUNCTION("""COMPUTED_VALUE"""),121983.0)</f>
        <v>121983</v>
      </c>
      <c r="AA793" s="65" t="str">
        <f>IFERROR(__xludf.DUMMYFUNCTION("""COMPUTED_VALUE"""),"PROV-CHLLCF")</f>
        <v>PROV-CHLLCF</v>
      </c>
      <c r="AB793" s="65"/>
      <c r="AC793" s="65" t="str">
        <f>IFERROR(__xludf.DUMMYFUNCTION("""COMPUTED_VALUE"""),"CUCHILLO PARA CHEF")</f>
        <v>CUCHILLO PARA CHEF</v>
      </c>
      <c r="AD793" s="65"/>
      <c r="AE793" s="65">
        <f>IFERROR(__xludf.DUMMYFUNCTION("""COMPUTED_VALUE"""),4.0)</f>
        <v>4</v>
      </c>
      <c r="AF793" s="65"/>
      <c r="AG793" s="65"/>
      <c r="AH793" s="65"/>
      <c r="AI793" s="65"/>
      <c r="AJ793" s="65"/>
      <c r="AK793" s="65"/>
      <c r="AL793" s="65"/>
      <c r="AM793" s="65"/>
      <c r="AN793" s="65"/>
      <c r="AO793" s="65"/>
      <c r="AP793" s="65"/>
      <c r="AQ793" s="65"/>
      <c r="AR793" s="65"/>
      <c r="AS793" s="65"/>
      <c r="AT793" s="65" t="str">
        <f>IFERROR(__xludf.DUMMYFUNCTION("""COMPUTED_VALUE"""),"SHOPIFY")</f>
        <v>SHOPIFY</v>
      </c>
      <c r="AU793" s="65" t="str">
        <f>IFERROR(__xludf.DUMMYFUNCTION("""COMPUTED_VALUE"""),"IMPORTEX EC")</f>
        <v>IMPORTEX EC</v>
      </c>
      <c r="AV793" s="65" t="str">
        <f>IFERROR(__xludf.DUMMYFUNCTION("""COMPUTED_VALUE"""),"6500569448492")</f>
        <v>6500569448492</v>
      </c>
      <c r="AW793" s="65">
        <f>IFERROR(__xludf.DUMMYFUNCTION("""COMPUTED_VALUE"""),6088.0)</f>
        <v>6088</v>
      </c>
      <c r="AX793" s="65"/>
      <c r="AY793" s="65"/>
      <c r="AZ793" s="65"/>
      <c r="BA793" s="65"/>
    </row>
    <row r="794">
      <c r="A794" s="65" t="str">
        <f>IFERROR(__xludf.DUMMYFUNCTION("""COMPUTED_VALUE"""),"27-03-2026")</f>
        <v>27-03-2026</v>
      </c>
      <c r="B794" s="65">
        <f>IFERROR(__xludf.DUMMYFUNCTION("""COMPUTED_VALUE"""),4499244.0)</f>
        <v>4499244</v>
      </c>
      <c r="C794" s="65" t="str">
        <f>IFERROR(__xludf.DUMMYFUNCTION("""COMPUTED_VALUE"""),"09:44")</f>
        <v>09:44</v>
      </c>
      <c r="D794" s="65" t="str">
        <f>IFERROR(__xludf.DUMMYFUNCTION("""COMPUTED_VALUE"""),"13-02-2026")</f>
        <v>13-02-2026</v>
      </c>
      <c r="E794" s="65" t="str">
        <f>IFERROR(__xludf.DUMMYFUNCTION("""COMPUTED_VALUE"""),"Miriam Elayne Vasquez")</f>
        <v>Miriam Elayne Vasquez</v>
      </c>
      <c r="F794" s="65" t="str">
        <f>IFERROR(__xludf.DUMMYFUNCTION("""COMPUTED_VALUE"""),"984584813")</f>
        <v>984584813</v>
      </c>
      <c r="G794" s="65" t="str">
        <f>IFERROR(__xludf.DUMMYFUNCTION("""COMPUTED_VALUE"""),"milyvasquez0670@hotmail.com")</f>
        <v>milyvasquez0670@hotmail.com</v>
      </c>
      <c r="H794" s="65"/>
      <c r="I794" s="65"/>
      <c r="J794" s="65" t="str">
        <f>IFERROR(__xludf.DUMMYFUNCTION("""COMPUTED_VALUE"""),"D001340366")</f>
        <v>D001340366</v>
      </c>
      <c r="K794" s="65" t="str">
        <f>IFERROR(__xludf.DUMMYFUNCTION("""COMPUTED_VALUE"""),"ENTREGADO")</f>
        <v>ENTREGADO</v>
      </c>
      <c r="L794" s="65" t="str">
        <f>IFERROR(__xludf.DUMMYFUNCTION("""COMPUTED_VALUE"""),"CON RECAUDO")</f>
        <v>CON RECAUDO</v>
      </c>
      <c r="M794" s="65" t="str">
        <f>IFERROR(__xludf.DUMMYFUNCTION("""COMPUTED_VALUE"""),"CHIMBORAZO")</f>
        <v>CHIMBORAZO</v>
      </c>
      <c r="N794" s="65" t="str">
        <f>IFERROR(__xludf.DUMMYFUNCTION("""COMPUTED_VALUE"""),"RIOBAMBA")</f>
        <v>RIOBAMBA</v>
      </c>
      <c r="O794" s="65" t="str">
        <f>IFERROR(__xludf.DUMMYFUNCTION("""COMPUTED_VALUE"""),"Juan montalvo 19-37 y Olmedo - La estación")</f>
        <v>Juan montalvo 19-37 y Olmedo - La estación</v>
      </c>
      <c r="P794" s="65"/>
      <c r="Q794" s="65" t="str">
        <f>IFERROR(__xludf.DUMMYFUNCTION("""COMPUTED_VALUE"""),"GINTRACOM")</f>
        <v>GINTRACOM</v>
      </c>
      <c r="R794" s="65">
        <f>IFERROR(__xludf.DUMMYFUNCTION("""COMPUTED_VALUE"""),25.0)</f>
        <v>25</v>
      </c>
      <c r="S794" s="65">
        <f>IFERROR(__xludf.DUMMYFUNCTION("""COMPUTED_VALUE"""),14.24)</f>
        <v>14.24</v>
      </c>
      <c r="T794" s="65">
        <f>IFERROR(__xludf.DUMMYFUNCTION("""COMPUTED_VALUE"""),5.96)</f>
        <v>5.96</v>
      </c>
      <c r="U794" s="65">
        <f>IFERROR(__xludf.DUMMYFUNCTION("""COMPUTED_VALUE"""),0.0)</f>
        <v>0</v>
      </c>
      <c r="V794" s="65">
        <f>IFERROR(__xludf.DUMMYFUNCTION("""COMPUTED_VALUE"""),0.0)</f>
        <v>0</v>
      </c>
      <c r="W794" s="65">
        <f>IFERROR(__xludf.DUMMYFUNCTION("""COMPUTED_VALUE"""),0.0)</f>
        <v>0</v>
      </c>
      <c r="X794" s="65">
        <f>IFERROR(__xludf.DUMMYFUNCTION("""COMPUTED_VALUE"""),2.4)</f>
        <v>2.4</v>
      </c>
      <c r="Y794" s="65">
        <f>IFERROR(__xludf.DUMMYFUNCTION("""COMPUTED_VALUE"""),4.8)</f>
        <v>4.8</v>
      </c>
      <c r="Z794" s="65">
        <f>IFERROR(__xludf.DUMMYFUNCTION("""COMPUTED_VALUE"""),120732.0)</f>
        <v>120732</v>
      </c>
      <c r="AA794" s="65" t="str">
        <f>IFERROR(__xludf.DUMMYFUNCTION("""COMPUTED_VALUE"""),"PROV-LMPVT")</f>
        <v>PROV-LMPVT</v>
      </c>
      <c r="AB794" s="65"/>
      <c r="AC794" s="65" t="str">
        <f>IFERROR(__xludf.DUMMYFUNCTION("""COMPUTED_VALUE"""),"LIMPIADOR DE PARABRISAS Y VENTANAS")</f>
        <v>LIMPIADOR DE PARABRISAS Y VENTANAS</v>
      </c>
      <c r="AD794" s="65"/>
      <c r="AE794" s="65">
        <f>IFERROR(__xludf.DUMMYFUNCTION("""COMPUTED_VALUE"""),2.0)</f>
        <v>2</v>
      </c>
      <c r="AF794" s="65"/>
      <c r="AG794" s="65"/>
      <c r="AH794" s="65"/>
      <c r="AI794" s="65"/>
      <c r="AJ794" s="65"/>
      <c r="AK794" s="65"/>
      <c r="AL794" s="65"/>
      <c r="AM794" s="65"/>
      <c r="AN794" s="65" t="str">
        <f>IFERROR(__xludf.DUMMYFUNCTION("""COMPUTED_VALUE"""),"01:31")</f>
        <v>01:31</v>
      </c>
      <c r="AO794" s="65" t="str">
        <f>IFERROR(__xludf.DUMMYFUNCTION("""COMPUTED_VALUE"""),"21-02-2026")</f>
        <v>21-02-2026</v>
      </c>
      <c r="AP794" s="65" t="str">
        <f>IFERROR(__xludf.DUMMYFUNCTION("""COMPUTED_VALUE"""),"EN TRÁNSITO")</f>
        <v>EN TRÁNSITO</v>
      </c>
      <c r="AQ794" s="65" t="str">
        <f>IFERROR(__xludf.DUMMYFUNCTION("""COMPUTED_VALUE"""),"EN TRÁNSITO")</f>
        <v>EN TRÁNSITO</v>
      </c>
      <c r="AR794" s="65"/>
      <c r="AS794" s="65"/>
      <c r="AT794" s="65" t="str">
        <f>IFERROR(__xludf.DUMMYFUNCTION("""COMPUTED_VALUE"""),"SHOPIFY")</f>
        <v>SHOPIFY</v>
      </c>
      <c r="AU794" s="65" t="str">
        <f>IFERROR(__xludf.DUMMYFUNCTION("""COMPUTED_VALUE"""),"IMPORTEX EC")</f>
        <v>IMPORTEX EC</v>
      </c>
      <c r="AV794" s="65" t="str">
        <f>IFERROR(__xludf.DUMMYFUNCTION("""COMPUTED_VALUE"""),"6500509810732")</f>
        <v>6500509810732</v>
      </c>
      <c r="AW794" s="65">
        <f>IFERROR(__xludf.DUMMYFUNCTION("""COMPUTED_VALUE"""),6087.0)</f>
        <v>6087</v>
      </c>
      <c r="AX794" s="65"/>
      <c r="AY794" s="65" t="str">
        <f>IFERROR(__xludf.DUMMYFUNCTION("""COMPUTED_VALUE"""),"19/02/2026")</f>
        <v>19/02/2026</v>
      </c>
      <c r="AZ794" s="65"/>
      <c r="BA794" s="65"/>
    </row>
    <row r="795">
      <c r="A795" s="65" t="str">
        <f>IFERROR(__xludf.DUMMYFUNCTION("""COMPUTED_VALUE"""),"27-03-2026")</f>
        <v>27-03-2026</v>
      </c>
      <c r="B795" s="65">
        <f>IFERROR(__xludf.DUMMYFUNCTION("""COMPUTED_VALUE"""),4499221.0)</f>
        <v>4499221</v>
      </c>
      <c r="C795" s="65" t="str">
        <f>IFERROR(__xludf.DUMMYFUNCTION("""COMPUTED_VALUE"""),"09:43")</f>
        <v>09:43</v>
      </c>
      <c r="D795" s="65" t="str">
        <f>IFERROR(__xludf.DUMMYFUNCTION("""COMPUTED_VALUE"""),"13-02-2026")</f>
        <v>13-02-2026</v>
      </c>
      <c r="E795" s="65" t="str">
        <f>IFERROR(__xludf.DUMMYFUNCTION("""COMPUTED_VALUE"""),"Mauricio Alberto Avila ullaure")</f>
        <v>Mauricio Alberto Avila ullaure</v>
      </c>
      <c r="F795" s="65" t="str">
        <f>IFERROR(__xludf.DUMMYFUNCTION("""COMPUTED_VALUE"""),"939624848")</f>
        <v>939624848</v>
      </c>
      <c r="G795" s="65"/>
      <c r="H795" s="65"/>
      <c r="I795" s="65"/>
      <c r="J795" s="65" t="str">
        <f>IFERROR(__xludf.DUMMYFUNCTION("""COMPUTED_VALUE"""),"D001340367")</f>
        <v>D001340367</v>
      </c>
      <c r="K795" s="65" t="str">
        <f>IFERROR(__xludf.DUMMYFUNCTION("""COMPUTED_VALUE"""),"DEVOLUCION")</f>
        <v>DEVOLUCION</v>
      </c>
      <c r="L795" s="65" t="str">
        <f>IFERROR(__xludf.DUMMYFUNCTION("""COMPUTED_VALUE"""),"CON RECAUDO")</f>
        <v>CON RECAUDO</v>
      </c>
      <c r="M795" s="65" t="str">
        <f>IFERROR(__xludf.DUMMYFUNCTION("""COMPUTED_VALUE"""),"EL ORO")</f>
        <v>EL ORO</v>
      </c>
      <c r="N795" s="65" t="str">
        <f>IFERROR(__xludf.DUMMYFUNCTION("""COMPUTED_VALUE"""),"MACHALA")</f>
        <v>MACHALA</v>
      </c>
      <c r="O795" s="65" t="str">
        <f>IFERROR(__xludf.DUMMYFUNCTION("""COMPUTED_VALUE"""),"Terminal terrestre Terminal terrestre -")</f>
        <v>Terminal terrestre Terminal terrestre -</v>
      </c>
      <c r="P795" s="65"/>
      <c r="Q795" s="65" t="str">
        <f>IFERROR(__xludf.DUMMYFUNCTION("""COMPUTED_VALUE"""),"GINTRACOM")</f>
        <v>GINTRACOM</v>
      </c>
      <c r="R795" s="65">
        <f>IFERROR(__xludf.DUMMYFUNCTION("""COMPUTED_VALUE"""),30.0)</f>
        <v>30</v>
      </c>
      <c r="S795" s="65"/>
      <c r="T795" s="65">
        <f>IFERROR(__xludf.DUMMYFUNCTION("""COMPUTED_VALUE"""),6.16)</f>
        <v>6.16</v>
      </c>
      <c r="U795" s="65">
        <f>IFERROR(__xludf.DUMMYFUNCTION("""COMPUTED_VALUE"""),0.0)</f>
        <v>0</v>
      </c>
      <c r="V795" s="65">
        <f>IFERROR(__xludf.DUMMYFUNCTION("""COMPUTED_VALUE"""),0.0)</f>
        <v>0</v>
      </c>
      <c r="W795" s="65">
        <f>IFERROR(__xludf.DUMMYFUNCTION("""COMPUTED_VALUE"""),0.0)</f>
        <v>0</v>
      </c>
      <c r="X795" s="65">
        <f>IFERROR(__xludf.DUMMYFUNCTION("""COMPUTED_VALUE"""),2.4)</f>
        <v>2.4</v>
      </c>
      <c r="Y795" s="65">
        <f>IFERROR(__xludf.DUMMYFUNCTION("""COMPUTED_VALUE"""),7.2)</f>
        <v>7.2</v>
      </c>
      <c r="Z795" s="65">
        <f>IFERROR(__xludf.DUMMYFUNCTION("""COMPUTED_VALUE"""),120732.0)</f>
        <v>120732</v>
      </c>
      <c r="AA795" s="65" t="str">
        <f>IFERROR(__xludf.DUMMYFUNCTION("""COMPUTED_VALUE"""),"PROV-LMPVT")</f>
        <v>PROV-LMPVT</v>
      </c>
      <c r="AB795" s="65"/>
      <c r="AC795" s="65" t="str">
        <f>IFERROR(__xludf.DUMMYFUNCTION("""COMPUTED_VALUE"""),"LIMPIADOR DE PARABRISAS Y VENTANAS")</f>
        <v>LIMPIADOR DE PARABRISAS Y VENTANAS</v>
      </c>
      <c r="AD795" s="65"/>
      <c r="AE795" s="65">
        <f>IFERROR(__xludf.DUMMYFUNCTION("""COMPUTED_VALUE"""),3.0)</f>
        <v>3</v>
      </c>
      <c r="AF795" s="65" t="str">
        <f>IFERROR(__xludf.DUMMYFUNCTION("""COMPUTED_VALUE"""),"DESTINATARIO NO CONTESTA LLAMADAS NI WHATSAPP")</f>
        <v>DESTINATARIO NO CONTESTA LLAMADAS NI WHATSAPP</v>
      </c>
      <c r="AG795" s="65" t="str">
        <f>IFERROR(__xludf.DUMMYFUNCTION("""COMPUTED_VALUE"""),"NO")</f>
        <v>NO</v>
      </c>
      <c r="AH795" s="65" t="str">
        <f>IFERROR(__xludf.DUMMYFUNCTION("""COMPUTED_VALUE"""),"09:00")</f>
        <v>09:00</v>
      </c>
      <c r="AI795" s="65" t="str">
        <f>IFERROR(__xludf.DUMMYFUNCTION("""COMPUTED_VALUE"""),"01-03-2026")</f>
        <v>01-03-2026</v>
      </c>
      <c r="AJ795" s="65"/>
      <c r="AK795" s="65"/>
      <c r="AL795" s="65"/>
      <c r="AM795" s="65"/>
      <c r="AN795" s="65" t="str">
        <f>IFERROR(__xludf.DUMMYFUNCTION("""COMPUTED_VALUE"""),"16:38")</f>
        <v>16:38</v>
      </c>
      <c r="AO795" s="65" t="str">
        <f>IFERROR(__xludf.DUMMYFUNCTION("""COMPUTED_VALUE"""),"11-03-2026")</f>
        <v>11-03-2026</v>
      </c>
      <c r="AP795" s="65" t="str">
        <f>IFERROR(__xludf.DUMMYFUNCTION("""COMPUTED_VALUE"""),"DEV CONFIRMADA POR BODEGA")</f>
        <v>DEV CONFIRMADA POR BODEGA</v>
      </c>
      <c r="AQ795" s="65"/>
      <c r="AR795" s="65" t="str">
        <f>IFERROR(__xludf.DUMMYFUNCTION("""COMPUTED_VALUE"""),"Gestionado por: PROVEDIX DAMIAN, email:enviogratisdirecto@gmail.com, total de productos en la orden: 1")</f>
        <v>Gestionado por: PROVEDIX DAMIAN, email:enviogratisdirecto@gmail.com, total de productos en la orden: 1</v>
      </c>
      <c r="AS795" s="65"/>
      <c r="AT795" s="65" t="str">
        <f>IFERROR(__xludf.DUMMYFUNCTION("""COMPUTED_VALUE"""),"SHOPIFY")</f>
        <v>SHOPIFY</v>
      </c>
      <c r="AU795" s="65" t="str">
        <f>IFERROR(__xludf.DUMMYFUNCTION("""COMPUTED_VALUE"""),"IMPORTEX EC")</f>
        <v>IMPORTEX EC</v>
      </c>
      <c r="AV795" s="65" t="str">
        <f>IFERROR(__xludf.DUMMYFUNCTION("""COMPUTED_VALUE"""),"6500507156524")</f>
        <v>6500507156524</v>
      </c>
      <c r="AW795" s="65">
        <f>IFERROR(__xludf.DUMMYFUNCTION("""COMPUTED_VALUE"""),6086.0)</f>
        <v>6086</v>
      </c>
      <c r="AX795" s="65"/>
      <c r="AY795" s="65" t="str">
        <f>IFERROR(__xludf.DUMMYFUNCTION("""COMPUTED_VALUE"""),"19/02/2026")</f>
        <v>19/02/2026</v>
      </c>
      <c r="AZ795" s="65"/>
      <c r="BA795" s="65"/>
    </row>
    <row r="796">
      <c r="A796" s="65" t="str">
        <f>IFERROR(__xludf.DUMMYFUNCTION("""COMPUTED_VALUE"""),"27-03-2026")</f>
        <v>27-03-2026</v>
      </c>
      <c r="B796" s="65">
        <f>IFERROR(__xludf.DUMMYFUNCTION("""COMPUTED_VALUE"""),4499152.0)</f>
        <v>4499152</v>
      </c>
      <c r="C796" s="65" t="str">
        <f>IFERROR(__xludf.DUMMYFUNCTION("""COMPUTED_VALUE"""),"09:37")</f>
        <v>09:37</v>
      </c>
      <c r="D796" s="65" t="str">
        <f>IFERROR(__xludf.DUMMYFUNCTION("""COMPUTED_VALUE"""),"13-02-2026")</f>
        <v>13-02-2026</v>
      </c>
      <c r="E796" s="65" t="str">
        <f>IFERROR(__xludf.DUMMYFUNCTION("""COMPUTED_VALUE"""),"Nancy serrano Serrano")</f>
        <v>Nancy serrano Serrano</v>
      </c>
      <c r="F796" s="65" t="str">
        <f>IFERROR(__xludf.DUMMYFUNCTION("""COMPUTED_VALUE"""),"997877157")</f>
        <v>997877157</v>
      </c>
      <c r="G796" s="65" t="str">
        <f>IFERROR(__xludf.DUMMYFUNCTION("""COMPUTED_VALUE"""),"nancyserranocrespo@hotmail.com")</f>
        <v>nancyserranocrespo@hotmail.com</v>
      </c>
      <c r="H796" s="65"/>
      <c r="I796" s="65"/>
      <c r="J796" s="65" t="str">
        <f>IFERROR(__xludf.DUMMYFUNCTION("""COMPUTED_VALUE"""),"D001340368")</f>
        <v>D001340368</v>
      </c>
      <c r="K796" s="65" t="str">
        <f>IFERROR(__xludf.DUMMYFUNCTION("""COMPUTED_VALUE"""),"DEVOLUCION")</f>
        <v>DEVOLUCION</v>
      </c>
      <c r="L796" s="65" t="str">
        <f>IFERROR(__xludf.DUMMYFUNCTION("""COMPUTED_VALUE"""),"CON RECAUDO")</f>
        <v>CON RECAUDO</v>
      </c>
      <c r="M796" s="65" t="str">
        <f>IFERROR(__xludf.DUMMYFUNCTION("""COMPUTED_VALUE"""),"AZUAY")</f>
        <v>AZUAY</v>
      </c>
      <c r="N796" s="65" t="str">
        <f>IFERROR(__xludf.DUMMYFUNCTION("""COMPUTED_VALUE"""),"CUENCA")</f>
        <v>CUENCA</v>
      </c>
      <c r="O796" s="65" t="str">
        <f>IFERROR(__xludf.DUMMYFUNCTION("""COMPUTED_VALUE"""),"Alfonso moreno mora y juan iñigues esq - A 2 cuadras de la italiana de la av Solano edf el Arrayan 6 c")</f>
        <v>Alfonso moreno mora y juan iñigues esq - A 2 cuadras de la italiana de la av Solano edf el Arrayan 6 c</v>
      </c>
      <c r="P796" s="65"/>
      <c r="Q796" s="65" t="str">
        <f>IFERROR(__xludf.DUMMYFUNCTION("""COMPUTED_VALUE"""),"GINTRACOM")</f>
        <v>GINTRACOM</v>
      </c>
      <c r="R796" s="65">
        <f>IFERROR(__xludf.DUMMYFUNCTION("""COMPUTED_VALUE"""),22.0)</f>
        <v>22</v>
      </c>
      <c r="S796" s="65"/>
      <c r="T796" s="65">
        <f>IFERROR(__xludf.DUMMYFUNCTION("""COMPUTED_VALUE"""),5.84)</f>
        <v>5.84</v>
      </c>
      <c r="U796" s="65">
        <f>IFERROR(__xludf.DUMMYFUNCTION("""COMPUTED_VALUE"""),0.0)</f>
        <v>0</v>
      </c>
      <c r="V796" s="65">
        <f>IFERROR(__xludf.DUMMYFUNCTION("""COMPUTED_VALUE"""),0.0)</f>
        <v>0</v>
      </c>
      <c r="W796" s="65">
        <f>IFERROR(__xludf.DUMMYFUNCTION("""COMPUTED_VALUE"""),0.0)</f>
        <v>0</v>
      </c>
      <c r="X796" s="65">
        <f>IFERROR(__xludf.DUMMYFUNCTION("""COMPUTED_VALUE"""),2.6)</f>
        <v>2.6</v>
      </c>
      <c r="Y796" s="65">
        <f>IFERROR(__xludf.DUMMYFUNCTION("""COMPUTED_VALUE"""),5.2)</f>
        <v>5.2</v>
      </c>
      <c r="Z796" s="65">
        <f>IFERROR(__xludf.DUMMYFUNCTION("""COMPUTED_VALUE"""),121983.0)</f>
        <v>121983</v>
      </c>
      <c r="AA796" s="65" t="str">
        <f>IFERROR(__xludf.DUMMYFUNCTION("""COMPUTED_VALUE"""),"PROV-CHLLCF")</f>
        <v>PROV-CHLLCF</v>
      </c>
      <c r="AB796" s="65"/>
      <c r="AC796" s="65" t="str">
        <f>IFERROR(__xludf.DUMMYFUNCTION("""COMPUTED_VALUE"""),"CUCHILLO PARA CHEF")</f>
        <v>CUCHILLO PARA CHEF</v>
      </c>
      <c r="AD796" s="65"/>
      <c r="AE796" s="65">
        <f>IFERROR(__xludf.DUMMYFUNCTION("""COMPUTED_VALUE"""),2.0)</f>
        <v>2</v>
      </c>
      <c r="AF796" s="65" t="str">
        <f>IFERROR(__xludf.DUMMYFUNCTION("""COMPUTED_VALUE"""),"DESTINATARIO NO CONTESTA LLAMADAS NI WHATSAPP")</f>
        <v>DESTINATARIO NO CONTESTA LLAMADAS NI WHATSAPP</v>
      </c>
      <c r="AG796" s="65" t="str">
        <f>IFERROR(__xludf.DUMMYFUNCTION("""COMPUTED_VALUE"""),"NO")</f>
        <v>NO</v>
      </c>
      <c r="AH796" s="65" t="str">
        <f>IFERROR(__xludf.DUMMYFUNCTION("""COMPUTED_VALUE"""),"09:00")</f>
        <v>09:00</v>
      </c>
      <c r="AI796" s="65" t="str">
        <f>IFERROR(__xludf.DUMMYFUNCTION("""COMPUTED_VALUE"""),"01-03-2026")</f>
        <v>01-03-2026</v>
      </c>
      <c r="AJ796" s="65"/>
      <c r="AK796" s="65"/>
      <c r="AL796" s="65"/>
      <c r="AM796" s="65"/>
      <c r="AN796" s="65" t="str">
        <f>IFERROR(__xludf.DUMMYFUNCTION("""COMPUTED_VALUE"""),"10:39")</f>
        <v>10:39</v>
      </c>
      <c r="AO796" s="65" t="str">
        <f>IFERROR(__xludf.DUMMYFUNCTION("""COMPUTED_VALUE"""),"17-03-2026")</f>
        <v>17-03-2026</v>
      </c>
      <c r="AP796" s="65" t="str">
        <f>IFERROR(__xludf.DUMMYFUNCTION("""COMPUTED_VALUE"""),"DEV CONFIRMADA POR BODEGA")</f>
        <v>DEV CONFIRMADA POR BODEGA</v>
      </c>
      <c r="AQ796" s="65"/>
      <c r="AR796" s="65" t="str">
        <f>IFERROR(__xludf.DUMMYFUNCTION("""COMPUTED_VALUE"""),"Gestionado por: PROVEDIX DAMIAN, email:enviogratisdirecto@gmail.com, total de productos en la orden: 1")</f>
        <v>Gestionado por: PROVEDIX DAMIAN, email:enviogratisdirecto@gmail.com, total de productos en la orden: 1</v>
      </c>
      <c r="AS796" s="65"/>
      <c r="AT796" s="65" t="str">
        <f>IFERROR(__xludf.DUMMYFUNCTION("""COMPUTED_VALUE"""),"SHOPIFY")</f>
        <v>SHOPIFY</v>
      </c>
      <c r="AU796" s="65" t="str">
        <f>IFERROR(__xludf.DUMMYFUNCTION("""COMPUTED_VALUE"""),"IMPORTEX EC")</f>
        <v>IMPORTEX EC</v>
      </c>
      <c r="AV796" s="65" t="str">
        <f>IFERROR(__xludf.DUMMYFUNCTION("""COMPUTED_VALUE"""),"6500497227820")</f>
        <v>6500497227820</v>
      </c>
      <c r="AW796" s="65">
        <f>IFERROR(__xludf.DUMMYFUNCTION("""COMPUTED_VALUE"""),6085.0)</f>
        <v>6085</v>
      </c>
      <c r="AX796" s="65"/>
      <c r="AY796" s="65" t="str">
        <f>IFERROR(__xludf.DUMMYFUNCTION("""COMPUTED_VALUE"""),"19/02/2026")</f>
        <v>19/02/2026</v>
      </c>
      <c r="AZ796" s="65"/>
      <c r="BA796" s="65"/>
    </row>
    <row r="797">
      <c r="A797" s="65" t="str">
        <f>IFERROR(__xludf.DUMMYFUNCTION("""COMPUTED_VALUE"""),"27-03-2026")</f>
        <v>27-03-2026</v>
      </c>
      <c r="B797" s="65">
        <f>IFERROR(__xludf.DUMMYFUNCTION("""COMPUTED_VALUE"""),4498638.0)</f>
        <v>4498638</v>
      </c>
      <c r="C797" s="65" t="str">
        <f>IFERROR(__xludf.DUMMYFUNCTION("""COMPUTED_VALUE"""),"08:54")</f>
        <v>08:54</v>
      </c>
      <c r="D797" s="65" t="str">
        <f>IFERROR(__xludf.DUMMYFUNCTION("""COMPUTED_VALUE"""),"13-02-2026")</f>
        <v>13-02-2026</v>
      </c>
      <c r="E797" s="65" t="str">
        <f>IFERROR(__xludf.DUMMYFUNCTION("""COMPUTED_VALUE"""),"Daniela Ontaneda correa")</f>
        <v>Daniela Ontaneda correa</v>
      </c>
      <c r="F797" s="65" t="str">
        <f>IFERROR(__xludf.DUMMYFUNCTION("""COMPUTED_VALUE"""),"980890965")</f>
        <v>980890965</v>
      </c>
      <c r="G797" s="65" t="str">
        <f>IFERROR(__xludf.DUMMYFUNCTION("""COMPUTED_VALUE"""),"danielaontanedac10@gmail.com")</f>
        <v>danielaontanedac10@gmail.com</v>
      </c>
      <c r="H797" s="65"/>
      <c r="I797" s="65"/>
      <c r="J797" s="65" t="str">
        <f>IFERROR(__xludf.DUMMYFUNCTION("""COMPUTED_VALUE"""),"LC52905137")</f>
        <v>LC52905137</v>
      </c>
      <c r="K797" s="65" t="str">
        <f>IFERROR(__xludf.DUMMYFUNCTION("""COMPUTED_VALUE"""),"ENTREGADO")</f>
        <v>ENTREGADO</v>
      </c>
      <c r="L797" s="65" t="str">
        <f>IFERROR(__xludf.DUMMYFUNCTION("""COMPUTED_VALUE"""),"CON RECAUDO")</f>
        <v>CON RECAUDO</v>
      </c>
      <c r="M797" s="65" t="str">
        <f>IFERROR(__xludf.DUMMYFUNCTION("""COMPUTED_VALUE"""),"ZAMORA CHINCHIPE")</f>
        <v>ZAMORA CHINCHIPE</v>
      </c>
      <c r="N797" s="65" t="str">
        <f>IFERROR(__xludf.DUMMYFUNCTION("""COMPUTED_VALUE"""),"YANTZAZA")</f>
        <v>YANTZAZA</v>
      </c>
      <c r="O797" s="65" t="str">
        <f>IFERROR(__xludf.DUMMYFUNCTION("""COMPUTED_VALUE"""),"Av ivan riofrio Y  Begonias - REFERENCIA : Es en la marisquería el pirata cerca al terminal")</f>
        <v>Av ivan riofrio Y  Begonias - REFERENCIA : Es en la marisquería el pirata cerca al terminal</v>
      </c>
      <c r="P797" s="65"/>
      <c r="Q797" s="65" t="str">
        <f>IFERROR(__xludf.DUMMYFUNCTION("""COMPUTED_VALUE"""),"LAARCOURIER")</f>
        <v>LAARCOURIER</v>
      </c>
      <c r="R797" s="65">
        <f>IFERROR(__xludf.DUMMYFUNCTION("""COMPUTED_VALUE"""),32.0)</f>
        <v>32</v>
      </c>
      <c r="S797" s="65">
        <f>IFERROR(__xludf.DUMMYFUNCTION("""COMPUTED_VALUE"""),12.86)</f>
        <v>12.86</v>
      </c>
      <c r="T797" s="65">
        <f>IFERROR(__xludf.DUMMYFUNCTION("""COMPUTED_VALUE"""),8.74)</f>
        <v>8.74</v>
      </c>
      <c r="U797" s="65">
        <f>IFERROR(__xludf.DUMMYFUNCTION("""COMPUTED_VALUE"""),0.0)</f>
        <v>0</v>
      </c>
      <c r="V797" s="65">
        <f>IFERROR(__xludf.DUMMYFUNCTION("""COMPUTED_VALUE"""),0.0)</f>
        <v>0</v>
      </c>
      <c r="W797" s="65">
        <f>IFERROR(__xludf.DUMMYFUNCTION("""COMPUTED_VALUE"""),0.0)</f>
        <v>0</v>
      </c>
      <c r="X797" s="65">
        <f>IFERROR(__xludf.DUMMYFUNCTION("""COMPUTED_VALUE"""),2.6)</f>
        <v>2.6</v>
      </c>
      <c r="Y797" s="65">
        <f>IFERROR(__xludf.DUMMYFUNCTION("""COMPUTED_VALUE"""),10.4)</f>
        <v>10.4</v>
      </c>
      <c r="Z797" s="65">
        <f>IFERROR(__xludf.DUMMYFUNCTION("""COMPUTED_VALUE"""),121983.0)</f>
        <v>121983</v>
      </c>
      <c r="AA797" s="65" t="str">
        <f>IFERROR(__xludf.DUMMYFUNCTION("""COMPUTED_VALUE"""),"PROV-CHLLCF")</f>
        <v>PROV-CHLLCF</v>
      </c>
      <c r="AB797" s="65"/>
      <c r="AC797" s="65" t="str">
        <f>IFERROR(__xludf.DUMMYFUNCTION("""COMPUTED_VALUE"""),"CUCHILLO PARA CHEF")</f>
        <v>CUCHILLO PARA CHEF</v>
      </c>
      <c r="AD797" s="65"/>
      <c r="AE797" s="65">
        <f>IFERROR(__xludf.DUMMYFUNCTION("""COMPUTED_VALUE"""),4.0)</f>
        <v>4</v>
      </c>
      <c r="AF797" s="65"/>
      <c r="AG797" s="65"/>
      <c r="AH797" s="65"/>
      <c r="AI797" s="65"/>
      <c r="AJ797" s="65"/>
      <c r="AK797" s="65"/>
      <c r="AL797" s="65"/>
      <c r="AM797" s="65"/>
      <c r="AN797" s="65" t="str">
        <f>IFERROR(__xludf.DUMMYFUNCTION("""COMPUTED_VALUE"""),"09:49")</f>
        <v>09:49</v>
      </c>
      <c r="AO797" s="65" t="str">
        <f>IFERROR(__xludf.DUMMYFUNCTION("""COMPUTED_VALUE"""),"25-02-2026")</f>
        <v>25-02-2026</v>
      </c>
      <c r="AP797" s="65" t="str">
        <f>IFERROR(__xludf.DUMMYFUNCTION("""COMPUTED_VALUE"""),"ZONA DE ENTREGA")</f>
        <v>ZONA DE ENTREGA</v>
      </c>
      <c r="AQ797" s="65" t="str">
        <f>IFERROR(__xludf.DUMMYFUNCTION("""COMPUTED_VALUE"""),"ZONA DE ENTREGA")</f>
        <v>ZONA DE ENTREGA</v>
      </c>
      <c r="AR797" s="65"/>
      <c r="AS797" s="65"/>
      <c r="AT797" s="65" t="str">
        <f>IFERROR(__xludf.DUMMYFUNCTION("""COMPUTED_VALUE"""),"SHOPIFY")</f>
        <v>SHOPIFY</v>
      </c>
      <c r="AU797" s="65" t="str">
        <f>IFERROR(__xludf.DUMMYFUNCTION("""COMPUTED_VALUE"""),"IMPORTEX EC")</f>
        <v>IMPORTEX EC</v>
      </c>
      <c r="AV797" s="65" t="str">
        <f>IFERROR(__xludf.DUMMYFUNCTION("""COMPUTED_VALUE"""),"6500424613932")</f>
        <v>6500424613932</v>
      </c>
      <c r="AW797" s="65">
        <f>IFERROR(__xludf.DUMMYFUNCTION("""COMPUTED_VALUE"""),6084.0)</f>
        <v>6084</v>
      </c>
      <c r="AX797" s="65"/>
      <c r="AY797" s="65" t="str">
        <f>IFERROR(__xludf.DUMMYFUNCTION("""COMPUTED_VALUE"""),"19/02/2026")</f>
        <v>19/02/2026</v>
      </c>
      <c r="AZ797" s="65"/>
      <c r="BA797" s="65"/>
    </row>
    <row r="798">
      <c r="A798" s="65" t="str">
        <f>IFERROR(__xludf.DUMMYFUNCTION("""COMPUTED_VALUE"""),"27-03-2026")</f>
        <v>27-03-2026</v>
      </c>
      <c r="B798" s="65">
        <f>IFERROR(__xludf.DUMMYFUNCTION("""COMPUTED_VALUE"""),4498452.0)</f>
        <v>4498452</v>
      </c>
      <c r="C798" s="65" t="str">
        <f>IFERROR(__xludf.DUMMYFUNCTION("""COMPUTED_VALUE"""),"08:38")</f>
        <v>08:38</v>
      </c>
      <c r="D798" s="65" t="str">
        <f>IFERROR(__xludf.DUMMYFUNCTION("""COMPUTED_VALUE"""),"13-02-2026")</f>
        <v>13-02-2026</v>
      </c>
      <c r="E798" s="65" t="str">
        <f>IFERROR(__xludf.DUMMYFUNCTION("""COMPUTED_VALUE"""),"Sara Sarmiento")</f>
        <v>Sara Sarmiento</v>
      </c>
      <c r="F798" s="65" t="str">
        <f>IFERROR(__xludf.DUMMYFUNCTION("""COMPUTED_VALUE"""),"995425313")</f>
        <v>995425313</v>
      </c>
      <c r="G798" s="65"/>
      <c r="H798" s="65"/>
      <c r="I798" s="65"/>
      <c r="J798" s="65" t="str">
        <f>IFERROR(__xludf.DUMMYFUNCTION("""COMPUTED_VALUE"""),"D001340369")</f>
        <v>D001340369</v>
      </c>
      <c r="K798" s="65" t="str">
        <f>IFERROR(__xludf.DUMMYFUNCTION("""COMPUTED_VALUE"""),"ENTREGADO")</f>
        <v>ENTREGADO</v>
      </c>
      <c r="L798" s="65" t="str">
        <f>IFERROR(__xludf.DUMMYFUNCTION("""COMPUTED_VALUE"""),"CON RECAUDO")</f>
        <v>CON RECAUDO</v>
      </c>
      <c r="M798" s="65" t="str">
        <f>IFERROR(__xludf.DUMMYFUNCTION("""COMPUTED_VALUE"""),"EL ORO")</f>
        <v>EL ORO</v>
      </c>
      <c r="N798" s="65" t="str">
        <f>IFERROR(__xludf.DUMMYFUNCTION("""COMPUTED_VALUE"""),"PASAJE")</f>
        <v>PASAJE</v>
      </c>
      <c r="O798" s="65" t="str">
        <f>IFERROR(__xludf.DUMMYFUNCTION("""COMPUTED_VALUE"""),"Avd Rocafuerte y Olmedo, Casa 12 26 Junto a CENEL, Diagonal a la Escuela de Conduccion del Sindicato de Choferes -")</f>
        <v>Avd Rocafuerte y Olmedo, Casa 12 26 Junto a CENEL, Diagonal a la Escuela de Conduccion del Sindicato de Choferes -</v>
      </c>
      <c r="P798" s="65"/>
      <c r="Q798" s="65" t="str">
        <f>IFERROR(__xludf.DUMMYFUNCTION("""COMPUTED_VALUE"""),"GINTRACOM")</f>
        <v>GINTRACOM</v>
      </c>
      <c r="R798" s="65">
        <f>IFERROR(__xludf.DUMMYFUNCTION("""COMPUTED_VALUE"""),22.0)</f>
        <v>22</v>
      </c>
      <c r="S798" s="65">
        <f>IFERROR(__xludf.DUMMYFUNCTION("""COMPUTED_VALUE"""),10.96)</f>
        <v>10.96</v>
      </c>
      <c r="T798" s="65">
        <f>IFERROR(__xludf.DUMMYFUNCTION("""COMPUTED_VALUE"""),5.84)</f>
        <v>5.84</v>
      </c>
      <c r="U798" s="65">
        <f>IFERROR(__xludf.DUMMYFUNCTION("""COMPUTED_VALUE"""),0.0)</f>
        <v>0</v>
      </c>
      <c r="V798" s="65">
        <f>IFERROR(__xludf.DUMMYFUNCTION("""COMPUTED_VALUE"""),0.0)</f>
        <v>0</v>
      </c>
      <c r="W798" s="65">
        <f>IFERROR(__xludf.DUMMYFUNCTION("""COMPUTED_VALUE"""),0.0)</f>
        <v>0</v>
      </c>
      <c r="X798" s="65">
        <f>IFERROR(__xludf.DUMMYFUNCTION("""COMPUTED_VALUE"""),2.6)</f>
        <v>2.6</v>
      </c>
      <c r="Y798" s="65">
        <f>IFERROR(__xludf.DUMMYFUNCTION("""COMPUTED_VALUE"""),5.2)</f>
        <v>5.2</v>
      </c>
      <c r="Z798" s="65">
        <f>IFERROR(__xludf.DUMMYFUNCTION("""COMPUTED_VALUE"""),121983.0)</f>
        <v>121983</v>
      </c>
      <c r="AA798" s="65" t="str">
        <f>IFERROR(__xludf.DUMMYFUNCTION("""COMPUTED_VALUE"""),"PROV-CHLLCF")</f>
        <v>PROV-CHLLCF</v>
      </c>
      <c r="AB798" s="65"/>
      <c r="AC798" s="65" t="str">
        <f>IFERROR(__xludf.DUMMYFUNCTION("""COMPUTED_VALUE"""),"CUCHILLO PARA CHEF")</f>
        <v>CUCHILLO PARA CHEF</v>
      </c>
      <c r="AD798" s="65"/>
      <c r="AE798" s="65">
        <f>IFERROR(__xludf.DUMMYFUNCTION("""COMPUTED_VALUE"""),2.0)</f>
        <v>2</v>
      </c>
      <c r="AF798" s="65"/>
      <c r="AG798" s="65"/>
      <c r="AH798" s="65"/>
      <c r="AI798" s="65"/>
      <c r="AJ798" s="65"/>
      <c r="AK798" s="65"/>
      <c r="AL798" s="65"/>
      <c r="AM798" s="65"/>
      <c r="AN798" s="65" t="str">
        <f>IFERROR(__xludf.DUMMYFUNCTION("""COMPUTED_VALUE"""),"09:41")</f>
        <v>09:41</v>
      </c>
      <c r="AO798" s="65" t="str">
        <f>IFERROR(__xludf.DUMMYFUNCTION("""COMPUTED_VALUE"""),"21-02-2026")</f>
        <v>21-02-2026</v>
      </c>
      <c r="AP798" s="65" t="str">
        <f>IFERROR(__xludf.DUMMYFUNCTION("""COMPUTED_VALUE"""),"ENTREGADA GINTRACOM")</f>
        <v>ENTREGADA GINTRACOM</v>
      </c>
      <c r="AQ798" s="65" t="str">
        <f>IFERROR(__xludf.DUMMYFUNCTION("""COMPUTED_VALUE"""),"ENTREGADA GINTRACOM")</f>
        <v>ENTREGADA GINTRACOM</v>
      </c>
      <c r="AR798" s="65"/>
      <c r="AS798" s="65"/>
      <c r="AT798" s="65" t="str">
        <f>IFERROR(__xludf.DUMMYFUNCTION("""COMPUTED_VALUE"""),"SHOPIFY")</f>
        <v>SHOPIFY</v>
      </c>
      <c r="AU798" s="65" t="str">
        <f>IFERROR(__xludf.DUMMYFUNCTION("""COMPUTED_VALUE"""),"IMPORTEX EC")</f>
        <v>IMPORTEX EC</v>
      </c>
      <c r="AV798" s="65" t="str">
        <f>IFERROR(__xludf.DUMMYFUNCTION("""COMPUTED_VALUE"""),"6500401840172")</f>
        <v>6500401840172</v>
      </c>
      <c r="AW798" s="65">
        <f>IFERROR(__xludf.DUMMYFUNCTION("""COMPUTED_VALUE"""),6083.0)</f>
        <v>6083</v>
      </c>
      <c r="AX798" s="65"/>
      <c r="AY798" s="65" t="str">
        <f>IFERROR(__xludf.DUMMYFUNCTION("""COMPUTED_VALUE"""),"19/02/2026")</f>
        <v>19/02/2026</v>
      </c>
      <c r="AZ798" s="65"/>
      <c r="BA798" s="65"/>
    </row>
    <row r="799">
      <c r="A799" s="65" t="str">
        <f>IFERROR(__xludf.DUMMYFUNCTION("""COMPUTED_VALUE"""),"27-03-2026")</f>
        <v>27-03-2026</v>
      </c>
      <c r="B799" s="65">
        <f>IFERROR(__xludf.DUMMYFUNCTION("""COMPUTED_VALUE"""),4498245.0)</f>
        <v>4498245</v>
      </c>
      <c r="C799" s="65" t="str">
        <f>IFERROR(__xludf.DUMMYFUNCTION("""COMPUTED_VALUE"""),"08:17")</f>
        <v>08:17</v>
      </c>
      <c r="D799" s="65" t="str">
        <f>IFERROR(__xludf.DUMMYFUNCTION("""COMPUTED_VALUE"""),"13-02-2026")</f>
        <v>13-02-2026</v>
      </c>
      <c r="E799" s="65" t="str">
        <f>IFERROR(__xludf.DUMMYFUNCTION("""COMPUTED_VALUE"""),"Patricio Guevara")</f>
        <v>Patricio Guevara</v>
      </c>
      <c r="F799" s="65" t="str">
        <f>IFERROR(__xludf.DUMMYFUNCTION("""COMPUTED_VALUE"""),"992801085")</f>
        <v>992801085</v>
      </c>
      <c r="G799" s="65" t="str">
        <f>IFERROR(__xludf.DUMMYFUNCTION("""COMPUTED_VALUE"""),"pato.dimmpers@hotmail.com")</f>
        <v>pato.dimmpers@hotmail.com</v>
      </c>
      <c r="H799" s="65"/>
      <c r="I799" s="65"/>
      <c r="J799" s="65" t="str">
        <f>IFERROR(__xludf.DUMMYFUNCTION("""COMPUTED_VALUE"""),"D001340370")</f>
        <v>D001340370</v>
      </c>
      <c r="K799" s="65" t="str">
        <f>IFERROR(__xludf.DUMMYFUNCTION("""COMPUTED_VALUE"""),"ENTREGADO")</f>
        <v>ENTREGADO</v>
      </c>
      <c r="L799" s="65" t="str">
        <f>IFERROR(__xludf.DUMMYFUNCTION("""COMPUTED_VALUE"""),"CON RECAUDO")</f>
        <v>CON RECAUDO</v>
      </c>
      <c r="M799" s="65" t="str">
        <f>IFERROR(__xludf.DUMMYFUNCTION("""COMPUTED_VALUE"""),"PICHINCHA")</f>
        <v>PICHINCHA</v>
      </c>
      <c r="N799" s="65" t="str">
        <f>IFERROR(__xludf.DUMMYFUNCTION("""COMPUTED_VALUE"""),"QUITO")</f>
        <v>QUITO</v>
      </c>
      <c r="O799" s="65" t="str">
        <f>IFERROR(__xludf.DUMMYFUNCTION("""COMPUTED_VALUE"""),"Julian Estrella s34-546 Y Carlos Freire,   Barrio el Girón Chillogallo -")</f>
        <v>Julian Estrella s34-546 Y Carlos Freire,   Barrio el Girón Chillogallo -</v>
      </c>
      <c r="P799" s="65"/>
      <c r="Q799" s="65" t="str">
        <f>IFERROR(__xludf.DUMMYFUNCTION("""COMPUTED_VALUE"""),"GINTRACOM")</f>
        <v>GINTRACOM</v>
      </c>
      <c r="R799" s="65">
        <f>IFERROR(__xludf.DUMMYFUNCTION("""COMPUTED_VALUE"""),30.0)</f>
        <v>30</v>
      </c>
      <c r="S799" s="65">
        <f>IFERROR(__xludf.DUMMYFUNCTION("""COMPUTED_VALUE"""),16.64)</f>
        <v>16.64</v>
      </c>
      <c r="T799" s="65">
        <f>IFERROR(__xludf.DUMMYFUNCTION("""COMPUTED_VALUE"""),6.16)</f>
        <v>6.16</v>
      </c>
      <c r="U799" s="65">
        <f>IFERROR(__xludf.DUMMYFUNCTION("""COMPUTED_VALUE"""),0.0)</f>
        <v>0</v>
      </c>
      <c r="V799" s="65">
        <f>IFERROR(__xludf.DUMMYFUNCTION("""COMPUTED_VALUE"""),0.0)</f>
        <v>0</v>
      </c>
      <c r="W799" s="65">
        <f>IFERROR(__xludf.DUMMYFUNCTION("""COMPUTED_VALUE"""),0.0)</f>
        <v>0</v>
      </c>
      <c r="X799" s="65">
        <f>IFERROR(__xludf.DUMMYFUNCTION("""COMPUTED_VALUE"""),2.4)</f>
        <v>2.4</v>
      </c>
      <c r="Y799" s="65">
        <f>IFERROR(__xludf.DUMMYFUNCTION("""COMPUTED_VALUE"""),7.2)</f>
        <v>7.2</v>
      </c>
      <c r="Z799" s="65">
        <f>IFERROR(__xludf.DUMMYFUNCTION("""COMPUTED_VALUE"""),120732.0)</f>
        <v>120732</v>
      </c>
      <c r="AA799" s="65" t="str">
        <f>IFERROR(__xludf.DUMMYFUNCTION("""COMPUTED_VALUE"""),"PROV-LMPVT")</f>
        <v>PROV-LMPVT</v>
      </c>
      <c r="AB799" s="65"/>
      <c r="AC799" s="65" t="str">
        <f>IFERROR(__xludf.DUMMYFUNCTION("""COMPUTED_VALUE"""),"LIMPIADOR DE PARABRISAS Y VENTANAS")</f>
        <v>LIMPIADOR DE PARABRISAS Y VENTANAS</v>
      </c>
      <c r="AD799" s="65"/>
      <c r="AE799" s="65">
        <f>IFERROR(__xludf.DUMMYFUNCTION("""COMPUTED_VALUE"""),3.0)</f>
        <v>3</v>
      </c>
      <c r="AF799" s="65"/>
      <c r="AG799" s="65"/>
      <c r="AH799" s="65"/>
      <c r="AI799" s="65"/>
      <c r="AJ799" s="65"/>
      <c r="AK799" s="65"/>
      <c r="AL799" s="65"/>
      <c r="AM799" s="65"/>
      <c r="AN799" s="65" t="str">
        <f>IFERROR(__xludf.DUMMYFUNCTION("""COMPUTED_VALUE"""),"15:15")</f>
        <v>15:15</v>
      </c>
      <c r="AO799" s="65" t="str">
        <f>IFERROR(__xludf.DUMMYFUNCTION("""COMPUTED_VALUE"""),"23-02-2026")</f>
        <v>23-02-2026</v>
      </c>
      <c r="AP799" s="65" t="str">
        <f>IFERROR(__xludf.DUMMYFUNCTION("""COMPUTED_VALUE"""),"ENTREGADA GINTRACOM")</f>
        <v>ENTREGADA GINTRACOM</v>
      </c>
      <c r="AQ799" s="65" t="str">
        <f>IFERROR(__xludf.DUMMYFUNCTION("""COMPUTED_VALUE"""),"ENTREGADA GINTRACOM")</f>
        <v>ENTREGADA GINTRACOM</v>
      </c>
      <c r="AR799" s="65"/>
      <c r="AS799" s="65"/>
      <c r="AT799" s="65" t="str">
        <f>IFERROR(__xludf.DUMMYFUNCTION("""COMPUTED_VALUE"""),"SHOPIFY")</f>
        <v>SHOPIFY</v>
      </c>
      <c r="AU799" s="65" t="str">
        <f>IFERROR(__xludf.DUMMYFUNCTION("""COMPUTED_VALUE"""),"IMPORTEX EC")</f>
        <v>IMPORTEX EC</v>
      </c>
      <c r="AV799" s="65" t="str">
        <f>IFERROR(__xludf.DUMMYFUNCTION("""COMPUTED_VALUE"""),"6500374282284")</f>
        <v>6500374282284</v>
      </c>
      <c r="AW799" s="65">
        <f>IFERROR(__xludf.DUMMYFUNCTION("""COMPUTED_VALUE"""),6082.0)</f>
        <v>6082</v>
      </c>
      <c r="AX799" s="65"/>
      <c r="AY799" s="65" t="str">
        <f>IFERROR(__xludf.DUMMYFUNCTION("""COMPUTED_VALUE"""),"19/02/2026")</f>
        <v>19/02/2026</v>
      </c>
      <c r="AZ799" s="65"/>
      <c r="BA799" s="65"/>
    </row>
    <row r="800">
      <c r="A800" s="65" t="str">
        <f>IFERROR(__xludf.DUMMYFUNCTION("""COMPUTED_VALUE"""),"27-03-2026")</f>
        <v>27-03-2026</v>
      </c>
      <c r="B800" s="65">
        <f>IFERROR(__xludf.DUMMYFUNCTION("""COMPUTED_VALUE"""),4498089.0)</f>
        <v>4498089</v>
      </c>
      <c r="C800" s="65" t="str">
        <f>IFERROR(__xludf.DUMMYFUNCTION("""COMPUTED_VALUE"""),"08:00")</f>
        <v>08:00</v>
      </c>
      <c r="D800" s="65" t="str">
        <f>IFERROR(__xludf.DUMMYFUNCTION("""COMPUTED_VALUE"""),"13-02-2026")</f>
        <v>13-02-2026</v>
      </c>
      <c r="E800" s="65" t="str">
        <f>IFERROR(__xludf.DUMMYFUNCTION("""COMPUTED_VALUE"""),"Darwin Ramiro Ramón Gordillo")</f>
        <v>Darwin Ramiro Ramón Gordillo</v>
      </c>
      <c r="F800" s="65" t="str">
        <f>IFERROR(__xludf.DUMMYFUNCTION("""COMPUTED_VALUE"""),"959820830")</f>
        <v>959820830</v>
      </c>
      <c r="G800" s="65" t="str">
        <f>IFERROR(__xludf.DUMMYFUNCTION("""COMPUTED_VALUE"""),"neo_se@hotmail.com")</f>
        <v>neo_se@hotmail.com</v>
      </c>
      <c r="H800" s="65"/>
      <c r="I800" s="65"/>
      <c r="J800" s="65" t="str">
        <f>IFERROR(__xludf.DUMMYFUNCTION("""COMPUTED_VALUE"""),"LC52905138")</f>
        <v>LC52905138</v>
      </c>
      <c r="K800" s="65" t="str">
        <f>IFERROR(__xludf.DUMMYFUNCTION("""COMPUTED_VALUE"""),"ENTREGADO")</f>
        <v>ENTREGADO</v>
      </c>
      <c r="L800" s="65" t="str">
        <f>IFERROR(__xludf.DUMMYFUNCTION("""COMPUTED_VALUE"""),"CON RECAUDO")</f>
        <v>CON RECAUDO</v>
      </c>
      <c r="M800" s="65" t="str">
        <f>IFERROR(__xludf.DUMMYFUNCTION("""COMPUTED_VALUE"""),"ZAMORA CHINCHIPE")</f>
        <v>ZAMORA CHINCHIPE</v>
      </c>
      <c r="N800" s="65" t="str">
        <f>IFERROR(__xludf.DUMMYFUNCTION("""COMPUTED_VALUE"""),"YANTZAZA")</f>
        <v>YANTZAZA</v>
      </c>
      <c r="O800" s="65" t="str">
        <f>IFERROR(__xludf.DUMMYFUNCTION("""COMPUTED_VALUE"""),"Calle 10 de agosto pasaje y sucre, Casa número 11, manzana 070")</f>
        <v>Calle 10 de agosto pasaje y sucre, Casa número 11, manzana 070</v>
      </c>
      <c r="P800" s="65"/>
      <c r="Q800" s="65" t="str">
        <f>IFERROR(__xludf.DUMMYFUNCTION("""COMPUTED_VALUE"""),"LAARCOURIER")</f>
        <v>LAARCOURIER</v>
      </c>
      <c r="R800" s="65">
        <f>IFERROR(__xludf.DUMMYFUNCTION("""COMPUTED_VALUE"""),25.0)</f>
        <v>25</v>
      </c>
      <c r="S800" s="65">
        <f>IFERROR(__xludf.DUMMYFUNCTION("""COMPUTED_VALUE"""),11.86)</f>
        <v>11.86</v>
      </c>
      <c r="T800" s="65">
        <f>IFERROR(__xludf.DUMMYFUNCTION("""COMPUTED_VALUE"""),8.34)</f>
        <v>8.34</v>
      </c>
      <c r="U800" s="65">
        <f>IFERROR(__xludf.DUMMYFUNCTION("""COMPUTED_VALUE"""),0.0)</f>
        <v>0</v>
      </c>
      <c r="V800" s="65">
        <f>IFERROR(__xludf.DUMMYFUNCTION("""COMPUTED_VALUE"""),0.0)</f>
        <v>0</v>
      </c>
      <c r="W800" s="65">
        <f>IFERROR(__xludf.DUMMYFUNCTION("""COMPUTED_VALUE"""),0.0)</f>
        <v>0</v>
      </c>
      <c r="X800" s="65">
        <f>IFERROR(__xludf.DUMMYFUNCTION("""COMPUTED_VALUE"""),2.4)</f>
        <v>2.4</v>
      </c>
      <c r="Y800" s="65">
        <f>IFERROR(__xludf.DUMMYFUNCTION("""COMPUTED_VALUE"""),4.8)</f>
        <v>4.8</v>
      </c>
      <c r="Z800" s="65">
        <f>IFERROR(__xludf.DUMMYFUNCTION("""COMPUTED_VALUE"""),120732.0)</f>
        <v>120732</v>
      </c>
      <c r="AA800" s="65" t="str">
        <f>IFERROR(__xludf.DUMMYFUNCTION("""COMPUTED_VALUE"""),"PROV-LMPVT")</f>
        <v>PROV-LMPVT</v>
      </c>
      <c r="AB800" s="65"/>
      <c r="AC800" s="65" t="str">
        <f>IFERROR(__xludf.DUMMYFUNCTION("""COMPUTED_VALUE"""),"LIMPIADOR DE PARABRISAS Y VENTANAS")</f>
        <v>LIMPIADOR DE PARABRISAS Y VENTANAS</v>
      </c>
      <c r="AD800" s="65"/>
      <c r="AE800" s="65">
        <f>IFERROR(__xludf.DUMMYFUNCTION("""COMPUTED_VALUE"""),2.0)</f>
        <v>2</v>
      </c>
      <c r="AF800" s="65"/>
      <c r="AG800" s="65"/>
      <c r="AH800" s="65"/>
      <c r="AI800" s="65"/>
      <c r="AJ800" s="65"/>
      <c r="AK800" s="65"/>
      <c r="AL800" s="65"/>
      <c r="AM800" s="65"/>
      <c r="AN800" s="65" t="str">
        <f>IFERROR(__xludf.DUMMYFUNCTION("""COMPUTED_VALUE"""),"09:49")</f>
        <v>09:49</v>
      </c>
      <c r="AO800" s="65" t="str">
        <f>IFERROR(__xludf.DUMMYFUNCTION("""COMPUTED_VALUE"""),"25-02-2026")</f>
        <v>25-02-2026</v>
      </c>
      <c r="AP800" s="65" t="str">
        <f>IFERROR(__xludf.DUMMYFUNCTION("""COMPUTED_VALUE"""),"ZONA DE ENTREGA")</f>
        <v>ZONA DE ENTREGA</v>
      </c>
      <c r="AQ800" s="65" t="str">
        <f>IFERROR(__xludf.DUMMYFUNCTION("""COMPUTED_VALUE"""),"ZONA DE ENTREGA")</f>
        <v>ZONA DE ENTREGA</v>
      </c>
      <c r="AR800" s="65"/>
      <c r="AS800" s="65"/>
      <c r="AT800" s="65" t="str">
        <f>IFERROR(__xludf.DUMMYFUNCTION("""COMPUTED_VALUE"""),"SHOPIFY")</f>
        <v>SHOPIFY</v>
      </c>
      <c r="AU800" s="65" t="str">
        <f>IFERROR(__xludf.DUMMYFUNCTION("""COMPUTED_VALUE"""),"IMPORTEX EC")</f>
        <v>IMPORTEX EC</v>
      </c>
      <c r="AV800" s="65" t="str">
        <f>IFERROR(__xludf.DUMMYFUNCTION("""COMPUTED_VALUE"""),"6500349378604")</f>
        <v>6500349378604</v>
      </c>
      <c r="AW800" s="65">
        <f>IFERROR(__xludf.DUMMYFUNCTION("""COMPUTED_VALUE"""),6081.0)</f>
        <v>6081</v>
      </c>
      <c r="AX800" s="65"/>
      <c r="AY800" s="65" t="str">
        <f>IFERROR(__xludf.DUMMYFUNCTION("""COMPUTED_VALUE"""),"19/02/2026")</f>
        <v>19/02/2026</v>
      </c>
      <c r="AZ800" s="65"/>
      <c r="BA800" s="65"/>
    </row>
    <row r="801">
      <c r="A801" s="65" t="str">
        <f>IFERROR(__xludf.DUMMYFUNCTION("""COMPUTED_VALUE"""),"27-03-2026")</f>
        <v>27-03-2026</v>
      </c>
      <c r="B801" s="65">
        <f>IFERROR(__xludf.DUMMYFUNCTION("""COMPUTED_VALUE"""),4497942.0)</f>
        <v>4497942</v>
      </c>
      <c r="C801" s="65" t="str">
        <f>IFERROR(__xludf.DUMMYFUNCTION("""COMPUTED_VALUE"""),"07:44")</f>
        <v>07:44</v>
      </c>
      <c r="D801" s="65" t="str">
        <f>IFERROR(__xludf.DUMMYFUNCTION("""COMPUTED_VALUE"""),"13-02-2026")</f>
        <v>13-02-2026</v>
      </c>
      <c r="E801" s="65" t="str">
        <f>IFERROR(__xludf.DUMMYFUNCTION("""COMPUTED_VALUE"""),"Pablo lelis Olmedo olmedo")</f>
        <v>Pablo lelis Olmedo olmedo</v>
      </c>
      <c r="F801" s="65" t="str">
        <f>IFERROR(__xludf.DUMMYFUNCTION("""COMPUTED_VALUE"""),"979890307")</f>
        <v>979890307</v>
      </c>
      <c r="G801" s="65" t="str">
        <f>IFERROR(__xludf.DUMMYFUNCTION("""COMPUTED_VALUE"""),"pablo_olmedo75@hotmail.com")</f>
        <v>pablo_olmedo75@hotmail.com</v>
      </c>
      <c r="H801" s="65"/>
      <c r="I801" s="65"/>
      <c r="J801" s="65" t="str">
        <f>IFERROR(__xludf.DUMMYFUNCTION("""COMPUTED_VALUE"""),"D001343634")</f>
        <v>D001343634</v>
      </c>
      <c r="K801" s="65" t="str">
        <f>IFERROR(__xludf.DUMMYFUNCTION("""COMPUTED_VALUE"""),"ENTREGADO")</f>
        <v>ENTREGADO</v>
      </c>
      <c r="L801" s="65" t="str">
        <f>IFERROR(__xludf.DUMMYFUNCTION("""COMPUTED_VALUE"""),"CON RECAUDO")</f>
        <v>CON RECAUDO</v>
      </c>
      <c r="M801" s="65" t="str">
        <f>IFERROR(__xludf.DUMMYFUNCTION("""COMPUTED_VALUE"""),"MANABI")</f>
        <v>MANABI</v>
      </c>
      <c r="N801" s="65" t="str">
        <f>IFERROR(__xludf.DUMMYFUNCTION("""COMPUTED_VALUE"""),"CHONE")</f>
        <v>CHONE</v>
      </c>
      <c r="O801" s="65" t="str">
        <f>IFERROR(__xludf.DUMMYFUNCTION("""COMPUTED_VALUE"""),"CHONE via a Canuto KL 4 diagonal a la sub estación de luz Sector Cañales -")</f>
        <v>CHONE via a Canuto KL 4 diagonal a la sub estación de luz Sector Cañales -</v>
      </c>
      <c r="P801" s="65"/>
      <c r="Q801" s="65" t="str">
        <f>IFERROR(__xludf.DUMMYFUNCTION("""COMPUTED_VALUE"""),"GINTRACOM")</f>
        <v>GINTRACOM</v>
      </c>
      <c r="R801" s="65">
        <f>IFERROR(__xludf.DUMMYFUNCTION("""COMPUTED_VALUE"""),27.0)</f>
        <v>27</v>
      </c>
      <c r="S801" s="65">
        <f>IFERROR(__xludf.DUMMYFUNCTION("""COMPUTED_VALUE"""),13.17)</f>
        <v>13.17</v>
      </c>
      <c r="T801" s="65">
        <f>IFERROR(__xludf.DUMMYFUNCTION("""COMPUTED_VALUE"""),6.03)</f>
        <v>6.03</v>
      </c>
      <c r="U801" s="65">
        <f>IFERROR(__xludf.DUMMYFUNCTION("""COMPUTED_VALUE"""),0.0)</f>
        <v>0</v>
      </c>
      <c r="V801" s="65">
        <f>IFERROR(__xludf.DUMMYFUNCTION("""COMPUTED_VALUE"""),0.0)</f>
        <v>0</v>
      </c>
      <c r="W801" s="65">
        <f>IFERROR(__xludf.DUMMYFUNCTION("""COMPUTED_VALUE"""),0.0)</f>
        <v>0</v>
      </c>
      <c r="X801" s="65">
        <f>IFERROR(__xludf.DUMMYFUNCTION("""COMPUTED_VALUE"""),2.6)</f>
        <v>2.6</v>
      </c>
      <c r="Y801" s="65">
        <f>IFERROR(__xludf.DUMMYFUNCTION("""COMPUTED_VALUE"""),7.8)</f>
        <v>7.8</v>
      </c>
      <c r="Z801" s="65">
        <f>IFERROR(__xludf.DUMMYFUNCTION("""COMPUTED_VALUE"""),121983.0)</f>
        <v>121983</v>
      </c>
      <c r="AA801" s="65" t="str">
        <f>IFERROR(__xludf.DUMMYFUNCTION("""COMPUTED_VALUE"""),"PROV-CHLLCF")</f>
        <v>PROV-CHLLCF</v>
      </c>
      <c r="AB801" s="65"/>
      <c r="AC801" s="65" t="str">
        <f>IFERROR(__xludf.DUMMYFUNCTION("""COMPUTED_VALUE"""),"CUCHILLO PARA CHEF")</f>
        <v>CUCHILLO PARA CHEF</v>
      </c>
      <c r="AD801" s="65"/>
      <c r="AE801" s="65">
        <f>IFERROR(__xludf.DUMMYFUNCTION("""COMPUTED_VALUE"""),3.0)</f>
        <v>3</v>
      </c>
      <c r="AF801" s="65"/>
      <c r="AG801" s="65"/>
      <c r="AH801" s="65"/>
      <c r="AI801" s="65"/>
      <c r="AJ801" s="65"/>
      <c r="AK801" s="65"/>
      <c r="AL801" s="65"/>
      <c r="AM801" s="65"/>
      <c r="AN801" s="65" t="str">
        <f>IFERROR(__xludf.DUMMYFUNCTION("""COMPUTED_VALUE"""),"07:02")</f>
        <v>07:02</v>
      </c>
      <c r="AO801" s="65" t="str">
        <f>IFERROR(__xludf.DUMMYFUNCTION("""COMPUTED_VALUE"""),"23-02-2026")</f>
        <v>23-02-2026</v>
      </c>
      <c r="AP801" s="65" t="str">
        <f>IFERROR(__xludf.DUMMYFUNCTION("""COMPUTED_VALUE"""),"EN REPARTO")</f>
        <v>EN REPARTO</v>
      </c>
      <c r="AQ801" s="65" t="str">
        <f>IFERROR(__xludf.DUMMYFUNCTION("""COMPUTED_VALUE"""),"EN REPARTO")</f>
        <v>EN REPARTO</v>
      </c>
      <c r="AR801" s="65"/>
      <c r="AS801" s="65"/>
      <c r="AT801" s="65" t="str">
        <f>IFERROR(__xludf.DUMMYFUNCTION("""COMPUTED_VALUE"""),"SHOPIFY")</f>
        <v>SHOPIFY</v>
      </c>
      <c r="AU801" s="65" t="str">
        <f>IFERROR(__xludf.DUMMYFUNCTION("""COMPUTED_VALUE"""),"IMPORTEX EC")</f>
        <v>IMPORTEX EC</v>
      </c>
      <c r="AV801" s="65" t="str">
        <f>IFERROR(__xludf.DUMMYFUNCTION("""COMPUTED_VALUE"""),"6500332601388")</f>
        <v>6500332601388</v>
      </c>
      <c r="AW801" s="65">
        <f>IFERROR(__xludf.DUMMYFUNCTION("""COMPUTED_VALUE"""),6080.0)</f>
        <v>6080</v>
      </c>
      <c r="AX801" s="65"/>
      <c r="AY801" s="65" t="str">
        <f>IFERROR(__xludf.DUMMYFUNCTION("""COMPUTED_VALUE"""),"20/02/2026")</f>
        <v>20/02/2026</v>
      </c>
      <c r="AZ801" s="65"/>
      <c r="BA801" s="65"/>
    </row>
    <row r="802">
      <c r="A802" s="65" t="str">
        <f>IFERROR(__xludf.DUMMYFUNCTION("""COMPUTED_VALUE"""),"27-03-2026")</f>
        <v>27-03-2026</v>
      </c>
      <c r="B802" s="65">
        <f>IFERROR(__xludf.DUMMYFUNCTION("""COMPUTED_VALUE"""),4497761.0)</f>
        <v>4497761</v>
      </c>
      <c r="C802" s="65" t="str">
        <f>IFERROR(__xludf.DUMMYFUNCTION("""COMPUTED_VALUE"""),"07:22")</f>
        <v>07:22</v>
      </c>
      <c r="D802" s="65" t="str">
        <f>IFERROR(__xludf.DUMMYFUNCTION("""COMPUTED_VALUE"""),"13-02-2026")</f>
        <v>13-02-2026</v>
      </c>
      <c r="E802" s="65" t="str">
        <f>IFERROR(__xludf.DUMMYFUNCTION("""COMPUTED_VALUE"""),"Andrés Cedeño")</f>
        <v>Andrés Cedeño</v>
      </c>
      <c r="F802" s="65" t="str">
        <f>IFERROR(__xludf.DUMMYFUNCTION("""COMPUTED_VALUE"""),"998975695")</f>
        <v>998975695</v>
      </c>
      <c r="G802" s="65" t="str">
        <f>IFERROR(__xludf.DUMMYFUNCTION("""COMPUTED_VALUE"""),"andresceve17@gmail.com")</f>
        <v>andresceve17@gmail.com</v>
      </c>
      <c r="H802" s="65"/>
      <c r="I802" s="65"/>
      <c r="J802" s="65" t="str">
        <f>IFERROR(__xludf.DUMMYFUNCTION("""COMPUTED_VALUE"""),"D001340371")</f>
        <v>D001340371</v>
      </c>
      <c r="K802" s="65" t="str">
        <f>IFERROR(__xludf.DUMMYFUNCTION("""COMPUTED_VALUE"""),"ENTREGADO")</f>
        <v>ENTREGADO</v>
      </c>
      <c r="L802" s="65" t="str">
        <f>IFERROR(__xludf.DUMMYFUNCTION("""COMPUTED_VALUE"""),"CON RECAUDO")</f>
        <v>CON RECAUDO</v>
      </c>
      <c r="M802" s="65" t="str">
        <f>IFERROR(__xludf.DUMMYFUNCTION("""COMPUTED_VALUE"""),"MANABI")</f>
        <v>MANABI</v>
      </c>
      <c r="N802" s="65" t="str">
        <f>IFERROR(__xludf.DUMMYFUNCTION("""COMPUTED_VALUE"""),"MANTA")</f>
        <v>MANTA</v>
      </c>
      <c r="O802" s="65" t="str">
        <f>IFERROR(__xludf.DUMMYFUNCTION("""COMPUTED_VALUE"""),"Calle 17 av 30 y 35 condominios Las Acacias , Manta - Casa 12")</f>
        <v>Calle 17 av 30 y 35 condominios Las Acacias , Manta - Casa 12</v>
      </c>
      <c r="P802" s="65"/>
      <c r="Q802" s="65" t="str">
        <f>IFERROR(__xludf.DUMMYFUNCTION("""COMPUTED_VALUE"""),"GINTRACOM")</f>
        <v>GINTRACOM</v>
      </c>
      <c r="R802" s="65">
        <f>IFERROR(__xludf.DUMMYFUNCTION("""COMPUTED_VALUE"""),22.0)</f>
        <v>22</v>
      </c>
      <c r="S802" s="65">
        <f>IFERROR(__xludf.DUMMYFUNCTION("""COMPUTED_VALUE"""),10.96)</f>
        <v>10.96</v>
      </c>
      <c r="T802" s="65">
        <f>IFERROR(__xludf.DUMMYFUNCTION("""COMPUTED_VALUE"""),5.84)</f>
        <v>5.84</v>
      </c>
      <c r="U802" s="65">
        <f>IFERROR(__xludf.DUMMYFUNCTION("""COMPUTED_VALUE"""),0.0)</f>
        <v>0</v>
      </c>
      <c r="V802" s="65">
        <f>IFERROR(__xludf.DUMMYFUNCTION("""COMPUTED_VALUE"""),0.0)</f>
        <v>0</v>
      </c>
      <c r="W802" s="65">
        <f>IFERROR(__xludf.DUMMYFUNCTION("""COMPUTED_VALUE"""),0.0)</f>
        <v>0</v>
      </c>
      <c r="X802" s="65">
        <f>IFERROR(__xludf.DUMMYFUNCTION("""COMPUTED_VALUE"""),2.6)</f>
        <v>2.6</v>
      </c>
      <c r="Y802" s="65">
        <f>IFERROR(__xludf.DUMMYFUNCTION("""COMPUTED_VALUE"""),5.2)</f>
        <v>5.2</v>
      </c>
      <c r="Z802" s="65">
        <f>IFERROR(__xludf.DUMMYFUNCTION("""COMPUTED_VALUE"""),121983.0)</f>
        <v>121983</v>
      </c>
      <c r="AA802" s="65" t="str">
        <f>IFERROR(__xludf.DUMMYFUNCTION("""COMPUTED_VALUE"""),"PROV-CHLLCF")</f>
        <v>PROV-CHLLCF</v>
      </c>
      <c r="AB802" s="65"/>
      <c r="AC802" s="65" t="str">
        <f>IFERROR(__xludf.DUMMYFUNCTION("""COMPUTED_VALUE"""),"CUCHILLO PARA CHEF")</f>
        <v>CUCHILLO PARA CHEF</v>
      </c>
      <c r="AD802" s="65"/>
      <c r="AE802" s="65">
        <f>IFERROR(__xludf.DUMMYFUNCTION("""COMPUTED_VALUE"""),2.0)</f>
        <v>2</v>
      </c>
      <c r="AF802" s="65"/>
      <c r="AG802" s="65"/>
      <c r="AH802" s="65"/>
      <c r="AI802" s="65"/>
      <c r="AJ802" s="65"/>
      <c r="AK802" s="65"/>
      <c r="AL802" s="65"/>
      <c r="AM802" s="65"/>
      <c r="AN802" s="65" t="str">
        <f>IFERROR(__xludf.DUMMYFUNCTION("""COMPUTED_VALUE"""),"08:41")</f>
        <v>08:41</v>
      </c>
      <c r="AO802" s="65" t="str">
        <f>IFERROR(__xludf.DUMMYFUNCTION("""COMPUTED_VALUE"""),"23-02-2026")</f>
        <v>23-02-2026</v>
      </c>
      <c r="AP802" s="65" t="str">
        <f>IFERROR(__xludf.DUMMYFUNCTION("""COMPUTED_VALUE"""),"ENTREGADA GINTRACOM")</f>
        <v>ENTREGADA GINTRACOM</v>
      </c>
      <c r="AQ802" s="65" t="str">
        <f>IFERROR(__xludf.DUMMYFUNCTION("""COMPUTED_VALUE"""),"ENTREGADA GINTRACOM")</f>
        <v>ENTREGADA GINTRACOM</v>
      </c>
      <c r="AR802" s="65"/>
      <c r="AS802" s="65"/>
      <c r="AT802" s="65" t="str">
        <f>IFERROR(__xludf.DUMMYFUNCTION("""COMPUTED_VALUE"""),"SHOPIFY")</f>
        <v>SHOPIFY</v>
      </c>
      <c r="AU802" s="65" t="str">
        <f>IFERROR(__xludf.DUMMYFUNCTION("""COMPUTED_VALUE"""),"IMPORTEX EC")</f>
        <v>IMPORTEX EC</v>
      </c>
      <c r="AV802" s="65" t="str">
        <f>IFERROR(__xludf.DUMMYFUNCTION("""COMPUTED_VALUE"""),"6500309598252")</f>
        <v>6500309598252</v>
      </c>
      <c r="AW802" s="65">
        <f>IFERROR(__xludf.DUMMYFUNCTION("""COMPUTED_VALUE"""),6079.0)</f>
        <v>6079</v>
      </c>
      <c r="AX802" s="65"/>
      <c r="AY802" s="65" t="str">
        <f>IFERROR(__xludf.DUMMYFUNCTION("""COMPUTED_VALUE"""),"19/02/2026")</f>
        <v>19/02/2026</v>
      </c>
      <c r="AZ802" s="65"/>
      <c r="BA802" s="65"/>
    </row>
    <row r="803">
      <c r="A803" s="65" t="str">
        <f>IFERROR(__xludf.DUMMYFUNCTION("""COMPUTED_VALUE"""),"27-03-2026")</f>
        <v>27-03-2026</v>
      </c>
      <c r="B803" s="65">
        <f>IFERROR(__xludf.DUMMYFUNCTION("""COMPUTED_VALUE"""),4497704.0)</f>
        <v>4497704</v>
      </c>
      <c r="C803" s="65" t="str">
        <f>IFERROR(__xludf.DUMMYFUNCTION("""COMPUTED_VALUE"""),"07:14")</f>
        <v>07:14</v>
      </c>
      <c r="D803" s="65" t="str">
        <f>IFERROR(__xludf.DUMMYFUNCTION("""COMPUTED_VALUE"""),"13-02-2026")</f>
        <v>13-02-2026</v>
      </c>
      <c r="E803" s="65" t="str">
        <f>IFERROR(__xludf.DUMMYFUNCTION("""COMPUTED_VALUE"""),"Mariuxi Briones")</f>
        <v>Mariuxi Briones</v>
      </c>
      <c r="F803" s="65" t="str">
        <f>IFERROR(__xludf.DUMMYFUNCTION("""COMPUTED_VALUE"""),"996782585")</f>
        <v>996782585</v>
      </c>
      <c r="G803" s="65" t="str">
        <f>IFERROR(__xludf.DUMMYFUNCTION("""COMPUTED_VALUE"""),"mariuxibrionesm@gmail.com")</f>
        <v>mariuxibrionesm@gmail.com</v>
      </c>
      <c r="H803" s="65"/>
      <c r="I803" s="65"/>
      <c r="J803" s="65"/>
      <c r="K803" s="65" t="str">
        <f>IFERROR(__xludf.DUMMYFUNCTION("""COMPUTED_VALUE"""),"PENDIENTE CONFIRMACION")</f>
        <v>PENDIENTE CONFIRMACION</v>
      </c>
      <c r="L803" s="65" t="str">
        <f>IFERROR(__xludf.DUMMYFUNCTION("""COMPUTED_VALUE"""),"CON RECAUDO")</f>
        <v>CON RECAUDO</v>
      </c>
      <c r="M803" s="65" t="str">
        <f>IFERROR(__xludf.DUMMYFUNCTION("""COMPUTED_VALUE"""),"MANABI")</f>
        <v>MANABI</v>
      </c>
      <c r="N803" s="65" t="str">
        <f>IFERROR(__xludf.DUMMYFUNCTION("""COMPUTED_VALUE"""),"MANTA")</f>
        <v>MANTA</v>
      </c>
      <c r="O803" s="65" t="str">
        <f>IFERROR(__xludf.DUMMYFUNCTION("""COMPUTED_VALUE"""),"Marbeya Primcipal -")</f>
        <v>Marbeya Primcipal -</v>
      </c>
      <c r="P803" s="65"/>
      <c r="Q803" s="65" t="str">
        <f>IFERROR(__xludf.DUMMYFUNCTION("""COMPUTED_VALUE"""),"GINTRACOM")</f>
        <v>GINTRACOM</v>
      </c>
      <c r="R803" s="65">
        <f>IFERROR(__xludf.DUMMYFUNCTION("""COMPUTED_VALUE"""),25.0)</f>
        <v>25</v>
      </c>
      <c r="S803" s="65"/>
      <c r="T803" s="65">
        <f>IFERROR(__xludf.DUMMYFUNCTION("""COMPUTED_VALUE"""),5.96)</f>
        <v>5.96</v>
      </c>
      <c r="U803" s="65">
        <f>IFERROR(__xludf.DUMMYFUNCTION("""COMPUTED_VALUE"""),0.0)</f>
        <v>0</v>
      </c>
      <c r="V803" s="65">
        <f>IFERROR(__xludf.DUMMYFUNCTION("""COMPUTED_VALUE"""),0.0)</f>
        <v>0</v>
      </c>
      <c r="W803" s="65">
        <f>IFERROR(__xludf.DUMMYFUNCTION("""COMPUTED_VALUE"""),0.0)</f>
        <v>0</v>
      </c>
      <c r="X803" s="65">
        <f>IFERROR(__xludf.DUMMYFUNCTION("""COMPUTED_VALUE"""),2.4)</f>
        <v>2.4</v>
      </c>
      <c r="Y803" s="65">
        <f>IFERROR(__xludf.DUMMYFUNCTION("""COMPUTED_VALUE"""),4.8)</f>
        <v>4.8</v>
      </c>
      <c r="Z803" s="65">
        <f>IFERROR(__xludf.DUMMYFUNCTION("""COMPUTED_VALUE"""),120732.0)</f>
        <v>120732</v>
      </c>
      <c r="AA803" s="65" t="str">
        <f>IFERROR(__xludf.DUMMYFUNCTION("""COMPUTED_VALUE"""),"PROV-LMPVT")</f>
        <v>PROV-LMPVT</v>
      </c>
      <c r="AB803" s="65"/>
      <c r="AC803" s="65" t="str">
        <f>IFERROR(__xludf.DUMMYFUNCTION("""COMPUTED_VALUE"""),"LIMPIADOR DE PARABRISAS Y VENTANAS")</f>
        <v>LIMPIADOR DE PARABRISAS Y VENTANAS</v>
      </c>
      <c r="AD803" s="65"/>
      <c r="AE803" s="65">
        <f>IFERROR(__xludf.DUMMYFUNCTION("""COMPUTED_VALUE"""),2.0)</f>
        <v>2</v>
      </c>
      <c r="AF803" s="65"/>
      <c r="AG803" s="65"/>
      <c r="AH803" s="65"/>
      <c r="AI803" s="65"/>
      <c r="AJ803" s="65"/>
      <c r="AK803" s="65"/>
      <c r="AL803" s="65"/>
      <c r="AM803" s="65"/>
      <c r="AN803" s="65"/>
      <c r="AO803" s="65"/>
      <c r="AP803" s="65"/>
      <c r="AQ803" s="65"/>
      <c r="AR803" s="65"/>
      <c r="AS803" s="65"/>
      <c r="AT803" s="65" t="str">
        <f>IFERROR(__xludf.DUMMYFUNCTION("""COMPUTED_VALUE"""),"SHOPIFY")</f>
        <v>SHOPIFY</v>
      </c>
      <c r="AU803" s="65" t="str">
        <f>IFERROR(__xludf.DUMMYFUNCTION("""COMPUTED_VALUE"""),"IMPORTEX EC")</f>
        <v>IMPORTEX EC</v>
      </c>
      <c r="AV803" s="65" t="str">
        <f>IFERROR(__xludf.DUMMYFUNCTION("""COMPUTED_VALUE"""),"6500301865004")</f>
        <v>6500301865004</v>
      </c>
      <c r="AW803" s="65">
        <f>IFERROR(__xludf.DUMMYFUNCTION("""COMPUTED_VALUE"""),6078.0)</f>
        <v>6078</v>
      </c>
      <c r="AX803" s="65"/>
      <c r="AY803" s="65"/>
      <c r="AZ803" s="65"/>
      <c r="BA803" s="65"/>
    </row>
    <row r="804">
      <c r="A804" s="65" t="str">
        <f>IFERROR(__xludf.DUMMYFUNCTION("""COMPUTED_VALUE"""),"27-03-2026")</f>
        <v>27-03-2026</v>
      </c>
      <c r="B804" s="65">
        <f>IFERROR(__xludf.DUMMYFUNCTION("""COMPUTED_VALUE"""),4497609.0)</f>
        <v>4497609</v>
      </c>
      <c r="C804" s="65" t="str">
        <f>IFERROR(__xludf.DUMMYFUNCTION("""COMPUTED_VALUE"""),"06:55")</f>
        <v>06:55</v>
      </c>
      <c r="D804" s="65" t="str">
        <f>IFERROR(__xludf.DUMMYFUNCTION("""COMPUTED_VALUE"""),"13-02-2026")</f>
        <v>13-02-2026</v>
      </c>
      <c r="E804" s="65" t="str">
        <f>IFERROR(__xludf.DUMMYFUNCTION("""COMPUTED_VALUE"""),"Hugo Morales")</f>
        <v>Hugo Morales</v>
      </c>
      <c r="F804" s="65" t="str">
        <f>IFERROR(__xludf.DUMMYFUNCTION("""COMPUTED_VALUE"""),"969424905")</f>
        <v>969424905</v>
      </c>
      <c r="G804" s="65" t="str">
        <f>IFERROR(__xludf.DUMMYFUNCTION("""COMPUTED_VALUE"""),"alfredoencalada743@gmail.com")</f>
        <v>alfredoencalada743@gmail.com</v>
      </c>
      <c r="H804" s="65"/>
      <c r="I804" s="65"/>
      <c r="J804" s="65" t="str">
        <f>IFERROR(__xludf.DUMMYFUNCTION("""COMPUTED_VALUE"""),"D001340372")</f>
        <v>D001340372</v>
      </c>
      <c r="K804" s="65" t="str">
        <f>IFERROR(__xludf.DUMMYFUNCTION("""COMPUTED_VALUE"""),"DEVOLUCION")</f>
        <v>DEVOLUCION</v>
      </c>
      <c r="L804" s="65" t="str">
        <f>IFERROR(__xludf.DUMMYFUNCTION("""COMPUTED_VALUE"""),"CON RECAUDO")</f>
        <v>CON RECAUDO</v>
      </c>
      <c r="M804" s="65" t="str">
        <f>IFERROR(__xludf.DUMMYFUNCTION("""COMPUTED_VALUE"""),"PICHINCHA")</f>
        <v>PICHINCHA</v>
      </c>
      <c r="N804" s="65" t="str">
        <f>IFERROR(__xludf.DUMMYFUNCTION("""COMPUTED_VALUE"""),"QUITO")</f>
        <v>QUITO</v>
      </c>
      <c r="O804" s="65" t="str">
        <f>IFERROR(__xludf.DUMMYFUNCTION("""COMPUTED_VALUE"""),"Ulloa y Fray Antonio de Marchena REFERENCIA :  Mercado San ta clara  - dentro del mercado santa clara más abajo de la universidad central")</f>
        <v>Ulloa y Fray Antonio de Marchena REFERENCIA :  Mercado San ta clara  - dentro del mercado santa clara más abajo de la universidad central</v>
      </c>
      <c r="P804" s="65"/>
      <c r="Q804" s="65" t="str">
        <f>IFERROR(__xludf.DUMMYFUNCTION("""COMPUTED_VALUE"""),"GINTRACOM")</f>
        <v>GINTRACOM</v>
      </c>
      <c r="R804" s="65">
        <f>IFERROR(__xludf.DUMMYFUNCTION("""COMPUTED_VALUE"""),22.0)</f>
        <v>22</v>
      </c>
      <c r="S804" s="65"/>
      <c r="T804" s="65">
        <f>IFERROR(__xludf.DUMMYFUNCTION("""COMPUTED_VALUE"""),5.84)</f>
        <v>5.84</v>
      </c>
      <c r="U804" s="65">
        <f>IFERROR(__xludf.DUMMYFUNCTION("""COMPUTED_VALUE"""),0.0)</f>
        <v>0</v>
      </c>
      <c r="V804" s="65">
        <f>IFERROR(__xludf.DUMMYFUNCTION("""COMPUTED_VALUE"""),0.0)</f>
        <v>0</v>
      </c>
      <c r="W804" s="65">
        <f>IFERROR(__xludf.DUMMYFUNCTION("""COMPUTED_VALUE"""),0.0)</f>
        <v>0</v>
      </c>
      <c r="X804" s="65">
        <f>IFERROR(__xludf.DUMMYFUNCTION("""COMPUTED_VALUE"""),2.6)</f>
        <v>2.6</v>
      </c>
      <c r="Y804" s="65">
        <f>IFERROR(__xludf.DUMMYFUNCTION("""COMPUTED_VALUE"""),5.2)</f>
        <v>5.2</v>
      </c>
      <c r="Z804" s="65">
        <f>IFERROR(__xludf.DUMMYFUNCTION("""COMPUTED_VALUE"""),121983.0)</f>
        <v>121983</v>
      </c>
      <c r="AA804" s="65" t="str">
        <f>IFERROR(__xludf.DUMMYFUNCTION("""COMPUTED_VALUE"""),"PROV-CHLLCF")</f>
        <v>PROV-CHLLCF</v>
      </c>
      <c r="AB804" s="65"/>
      <c r="AC804" s="65" t="str">
        <f>IFERROR(__xludf.DUMMYFUNCTION("""COMPUTED_VALUE"""),"CUCHILLO PARA CHEF")</f>
        <v>CUCHILLO PARA CHEF</v>
      </c>
      <c r="AD804" s="65"/>
      <c r="AE804" s="65">
        <f>IFERROR(__xludf.DUMMYFUNCTION("""COMPUTED_VALUE"""),2.0)</f>
        <v>2</v>
      </c>
      <c r="AF804" s="65" t="str">
        <f>IFERROR(__xludf.DUMMYFUNCTION("""COMPUTED_VALUE"""),"DESTINATARIO INDICA QUE ESTÁ INCONFORME CON EL PRODUCTO. (NO RECIBE)")</f>
        <v>DESTINATARIO INDICA QUE ESTÁ INCONFORME CON EL PRODUCTO. (NO RECIBE)</v>
      </c>
      <c r="AG804" s="65" t="str">
        <f>IFERROR(__xludf.DUMMYFUNCTION("""COMPUTED_VALUE"""),"NO")</f>
        <v>NO</v>
      </c>
      <c r="AH804" s="65" t="str">
        <f>IFERROR(__xludf.DUMMYFUNCTION("""COMPUTED_VALUE"""),"11:28")</f>
        <v>11:28</v>
      </c>
      <c r="AI804" s="65" t="str">
        <f>IFERROR(__xludf.DUMMYFUNCTION("""COMPUTED_VALUE"""),"21-02-2026")</f>
        <v>21-02-2026</v>
      </c>
      <c r="AJ804" s="65"/>
      <c r="AK804" s="65"/>
      <c r="AL804" s="65"/>
      <c r="AM804" s="65"/>
      <c r="AN804" s="65" t="str">
        <f>IFERROR(__xludf.DUMMYFUNCTION("""COMPUTED_VALUE"""),"16:38")</f>
        <v>16:38</v>
      </c>
      <c r="AO804" s="65" t="str">
        <f>IFERROR(__xludf.DUMMYFUNCTION("""COMPUTED_VALUE"""),"11-03-2026")</f>
        <v>11-03-2026</v>
      </c>
      <c r="AP804" s="65" t="str">
        <f>IFERROR(__xludf.DUMMYFUNCTION("""COMPUTED_VALUE"""),"DEV CONFIRMADA POR BODEGA")</f>
        <v>DEV CONFIRMADA POR BODEGA</v>
      </c>
      <c r="AQ804" s="65"/>
      <c r="AR804" s="65" t="str">
        <f>IFERROR(__xludf.DUMMYFUNCTION("""COMPUTED_VALUE"""),"Gestionado por: PROVEDIX DAMIAN, email:enviogratisdirecto@gmail.com, total de productos en la orden: 1")</f>
        <v>Gestionado por: PROVEDIX DAMIAN, email:enviogratisdirecto@gmail.com, total de productos en la orden: 1</v>
      </c>
      <c r="AS804" s="65"/>
      <c r="AT804" s="65" t="str">
        <f>IFERROR(__xludf.DUMMYFUNCTION("""COMPUTED_VALUE"""),"SHOPIFY")</f>
        <v>SHOPIFY</v>
      </c>
      <c r="AU804" s="65" t="str">
        <f>IFERROR(__xludf.DUMMYFUNCTION("""COMPUTED_VALUE"""),"IMPORTEX EC")</f>
        <v>IMPORTEX EC</v>
      </c>
      <c r="AV804" s="65" t="str">
        <f>IFERROR(__xludf.DUMMYFUNCTION("""COMPUTED_VALUE"""),"6500282990636")</f>
        <v>6500282990636</v>
      </c>
      <c r="AW804" s="65">
        <f>IFERROR(__xludf.DUMMYFUNCTION("""COMPUTED_VALUE"""),6077.0)</f>
        <v>6077</v>
      </c>
      <c r="AX804" s="65"/>
      <c r="AY804" s="65" t="str">
        <f>IFERROR(__xludf.DUMMYFUNCTION("""COMPUTED_VALUE"""),"19/02/2026")</f>
        <v>19/02/2026</v>
      </c>
      <c r="AZ804" s="65"/>
      <c r="BA804" s="65"/>
    </row>
    <row r="805">
      <c r="A805" s="65" t="str">
        <f>IFERROR(__xludf.DUMMYFUNCTION("""COMPUTED_VALUE"""),"27-03-2026")</f>
        <v>27-03-2026</v>
      </c>
      <c r="B805" s="65">
        <f>IFERROR(__xludf.DUMMYFUNCTION("""COMPUTED_VALUE"""),4497583.0)</f>
        <v>4497583</v>
      </c>
      <c r="C805" s="65" t="str">
        <f>IFERROR(__xludf.DUMMYFUNCTION("""COMPUTED_VALUE"""),"06:50")</f>
        <v>06:50</v>
      </c>
      <c r="D805" s="65" t="str">
        <f>IFERROR(__xludf.DUMMYFUNCTION("""COMPUTED_VALUE"""),"13-02-2026")</f>
        <v>13-02-2026</v>
      </c>
      <c r="E805" s="65" t="str">
        <f>IFERROR(__xludf.DUMMYFUNCTION("""COMPUTED_VALUE"""),"Diego Cholca")</f>
        <v>Diego Cholca</v>
      </c>
      <c r="F805" s="65" t="str">
        <f>IFERROR(__xludf.DUMMYFUNCTION("""COMPUTED_VALUE"""),"993035569")</f>
        <v>993035569</v>
      </c>
      <c r="G805" s="65" t="str">
        <f>IFERROR(__xludf.DUMMYFUNCTION("""COMPUTED_VALUE"""),"diego9.dx9@gmail.com")</f>
        <v>diego9.dx9@gmail.com</v>
      </c>
      <c r="H805" s="65"/>
      <c r="I805" s="65"/>
      <c r="J805" s="65" t="str">
        <f>IFERROR(__xludf.DUMMYFUNCTION("""COMPUTED_VALUE"""),"D001340373")</f>
        <v>D001340373</v>
      </c>
      <c r="K805" s="65" t="str">
        <f>IFERROR(__xludf.DUMMYFUNCTION("""COMPUTED_VALUE"""),"ENTREGADO")</f>
        <v>ENTREGADO</v>
      </c>
      <c r="L805" s="65" t="str">
        <f>IFERROR(__xludf.DUMMYFUNCTION("""COMPUTED_VALUE"""),"CON RECAUDO")</f>
        <v>CON RECAUDO</v>
      </c>
      <c r="M805" s="65" t="str">
        <f>IFERROR(__xludf.DUMMYFUNCTION("""COMPUTED_VALUE"""),"PICHINCHA")</f>
        <v>PICHINCHA</v>
      </c>
      <c r="N805" s="65" t="str">
        <f>IFERROR(__xludf.DUMMYFUNCTION("""COMPUTED_VALUE"""),"QUITO")</f>
        <v>QUITO</v>
      </c>
      <c r="O805" s="65" t="str">
        <f>IFERROR(__xludf.DUMMYFUNCTION("""COMPUTED_VALUE"""),"Av el inca y guepi, en la esquina está una llantera y alado estoy yo en un local de gigantografias")</f>
        <v>Av el inca y guepi, en la esquina está una llantera y alado estoy yo en un local de gigantografias</v>
      </c>
      <c r="P805" s="65"/>
      <c r="Q805" s="65" t="str">
        <f>IFERROR(__xludf.DUMMYFUNCTION("""COMPUTED_VALUE"""),"GINTRACOM")</f>
        <v>GINTRACOM</v>
      </c>
      <c r="R805" s="65">
        <f>IFERROR(__xludf.DUMMYFUNCTION("""COMPUTED_VALUE"""),25.0)</f>
        <v>25</v>
      </c>
      <c r="S805" s="65">
        <f>IFERROR(__xludf.DUMMYFUNCTION("""COMPUTED_VALUE"""),14.24)</f>
        <v>14.24</v>
      </c>
      <c r="T805" s="65">
        <f>IFERROR(__xludf.DUMMYFUNCTION("""COMPUTED_VALUE"""),5.96)</f>
        <v>5.96</v>
      </c>
      <c r="U805" s="65">
        <f>IFERROR(__xludf.DUMMYFUNCTION("""COMPUTED_VALUE"""),0.0)</f>
        <v>0</v>
      </c>
      <c r="V805" s="65">
        <f>IFERROR(__xludf.DUMMYFUNCTION("""COMPUTED_VALUE"""),0.0)</f>
        <v>0</v>
      </c>
      <c r="W805" s="65">
        <f>IFERROR(__xludf.DUMMYFUNCTION("""COMPUTED_VALUE"""),0.0)</f>
        <v>0</v>
      </c>
      <c r="X805" s="65">
        <f>IFERROR(__xludf.DUMMYFUNCTION("""COMPUTED_VALUE"""),2.4)</f>
        <v>2.4</v>
      </c>
      <c r="Y805" s="65">
        <f>IFERROR(__xludf.DUMMYFUNCTION("""COMPUTED_VALUE"""),4.8)</f>
        <v>4.8</v>
      </c>
      <c r="Z805" s="65">
        <f>IFERROR(__xludf.DUMMYFUNCTION("""COMPUTED_VALUE"""),120732.0)</f>
        <v>120732</v>
      </c>
      <c r="AA805" s="65" t="str">
        <f>IFERROR(__xludf.DUMMYFUNCTION("""COMPUTED_VALUE"""),"PROV-LMPVT")</f>
        <v>PROV-LMPVT</v>
      </c>
      <c r="AB805" s="65"/>
      <c r="AC805" s="65" t="str">
        <f>IFERROR(__xludf.DUMMYFUNCTION("""COMPUTED_VALUE"""),"LIMPIADOR DE PARABRISAS Y VENTANAS")</f>
        <v>LIMPIADOR DE PARABRISAS Y VENTANAS</v>
      </c>
      <c r="AD805" s="65"/>
      <c r="AE805" s="65">
        <f>IFERROR(__xludf.DUMMYFUNCTION("""COMPUTED_VALUE"""),2.0)</f>
        <v>2</v>
      </c>
      <c r="AF805" s="65" t="str">
        <f>IFERROR(__xludf.DUMMYFUNCTION("""COMPUTED_VALUE"""),"DESTINATARIO AGENDA, FECHA Y HORA DE ENTREGA Y YA NO CONTESTA")</f>
        <v>DESTINATARIO AGENDA, FECHA Y HORA DE ENTREGA Y YA NO CONTESTA</v>
      </c>
      <c r="AG805" s="65" t="str">
        <f>IFERROR(__xludf.DUMMYFUNCTION("""COMPUTED_VALUE"""),"SI")</f>
        <v>SI</v>
      </c>
      <c r="AH805" s="65" t="str">
        <f>IFERROR(__xludf.DUMMYFUNCTION("""COMPUTED_VALUE"""),"12:51")</f>
        <v>12:51</v>
      </c>
      <c r="AI805" s="65" t="str">
        <f>IFERROR(__xludf.DUMMYFUNCTION("""COMPUTED_VALUE"""),"21-02-2026")</f>
        <v>21-02-2026</v>
      </c>
      <c r="AJ805" s="65" t="str">
        <f>IFERROR(__xludf.DUMMYFUNCTION("""COMPUTED_VALUE"""),"CLIENTE SOLICITA LA ENTREGA INMEDIATA")</f>
        <v>CLIENTE SOLICITA LA ENTREGA INMEDIATA</v>
      </c>
      <c r="AK805" s="65" t="str">
        <f>IFERROR(__xludf.DUMMYFUNCTION("""COMPUTED_VALUE"""),"11:52")</f>
        <v>11:52</v>
      </c>
      <c r="AL805" s="65" t="str">
        <f>IFERROR(__xludf.DUMMYFUNCTION("""COMPUTED_VALUE"""),"24-02-2026")</f>
        <v>24-02-2026</v>
      </c>
      <c r="AM805" s="65"/>
      <c r="AN805" s="65" t="str">
        <f>IFERROR(__xludf.DUMMYFUNCTION("""COMPUTED_VALUE"""),"09:40")</f>
        <v>09:40</v>
      </c>
      <c r="AO805" s="65" t="str">
        <f>IFERROR(__xludf.DUMMYFUNCTION("""COMPUTED_VALUE"""),"25-02-2026")</f>
        <v>25-02-2026</v>
      </c>
      <c r="AP805" s="65" t="str">
        <f>IFERROR(__xludf.DUMMYFUNCTION("""COMPUTED_VALUE"""),"EN REPARTO")</f>
        <v>EN REPARTO</v>
      </c>
      <c r="AQ805" s="65" t="str">
        <f>IFERROR(__xludf.DUMMYFUNCTION("""COMPUTED_VALUE"""),"EN REPARTO")</f>
        <v>EN REPARTO</v>
      </c>
      <c r="AR805" s="65"/>
      <c r="AS805" s="65"/>
      <c r="AT805" s="65" t="str">
        <f>IFERROR(__xludf.DUMMYFUNCTION("""COMPUTED_VALUE"""),"SHOPIFY")</f>
        <v>SHOPIFY</v>
      </c>
      <c r="AU805" s="65" t="str">
        <f>IFERROR(__xludf.DUMMYFUNCTION("""COMPUTED_VALUE"""),"IMPORTEX EC")</f>
        <v>IMPORTEX EC</v>
      </c>
      <c r="AV805" s="65" t="str">
        <f>IFERROR(__xludf.DUMMYFUNCTION("""COMPUTED_VALUE"""),"6500278796332")</f>
        <v>6500278796332</v>
      </c>
      <c r="AW805" s="65">
        <f>IFERROR(__xludf.DUMMYFUNCTION("""COMPUTED_VALUE"""),6076.0)</f>
        <v>6076</v>
      </c>
      <c r="AX805" s="65"/>
      <c r="AY805" s="65" t="str">
        <f>IFERROR(__xludf.DUMMYFUNCTION("""COMPUTED_VALUE"""),"19/02/2026")</f>
        <v>19/02/2026</v>
      </c>
      <c r="AZ805" s="65"/>
      <c r="BA805" s="65"/>
    </row>
    <row r="806">
      <c r="A806" s="65" t="str">
        <f>IFERROR(__xludf.DUMMYFUNCTION("""COMPUTED_VALUE"""),"27-03-2026")</f>
        <v>27-03-2026</v>
      </c>
      <c r="B806" s="65">
        <f>IFERROR(__xludf.DUMMYFUNCTION("""COMPUTED_VALUE"""),4497580.0)</f>
        <v>4497580</v>
      </c>
      <c r="C806" s="65" t="str">
        <f>IFERROR(__xludf.DUMMYFUNCTION("""COMPUTED_VALUE"""),"06:50")</f>
        <v>06:50</v>
      </c>
      <c r="D806" s="65" t="str">
        <f>IFERROR(__xludf.DUMMYFUNCTION("""COMPUTED_VALUE"""),"13-02-2026")</f>
        <v>13-02-2026</v>
      </c>
      <c r="E806" s="65" t="str">
        <f>IFERROR(__xludf.DUMMYFUNCTION("""COMPUTED_VALUE"""),"Alberto Auad")</f>
        <v>Alberto Auad</v>
      </c>
      <c r="F806" s="65" t="str">
        <f>IFERROR(__xludf.DUMMYFUNCTION("""COMPUTED_VALUE"""),"939843936")</f>
        <v>939843936</v>
      </c>
      <c r="G806" s="65" t="str">
        <f>IFERROR(__xludf.DUMMYFUNCTION("""COMPUTED_VALUE"""),"albertoauad@gmail.com")</f>
        <v>albertoauad@gmail.com</v>
      </c>
      <c r="H806" s="65"/>
      <c r="I806" s="65"/>
      <c r="J806" s="65" t="str">
        <f>IFERROR(__xludf.DUMMYFUNCTION("""COMPUTED_VALUE"""),"LC52905141")</f>
        <v>LC52905141</v>
      </c>
      <c r="K806" s="65" t="str">
        <f>IFERROR(__xludf.DUMMYFUNCTION("""COMPUTED_VALUE"""),"ENTREGADO")</f>
        <v>ENTREGADO</v>
      </c>
      <c r="L806" s="65" t="str">
        <f>IFERROR(__xludf.DUMMYFUNCTION("""COMPUTED_VALUE"""),"CON RECAUDO")</f>
        <v>CON RECAUDO</v>
      </c>
      <c r="M806" s="65" t="str">
        <f>IFERROR(__xludf.DUMMYFUNCTION("""COMPUTED_VALUE"""),"GUAYAS")</f>
        <v>GUAYAS</v>
      </c>
      <c r="N806" s="65" t="str">
        <f>IFERROR(__xludf.DUMMYFUNCTION("""COMPUTED_VALUE"""),"LA PUNTILLA")</f>
        <v>LA PUNTILLA</v>
      </c>
      <c r="O806" s="65" t="str">
        <f>IFERROR(__xludf.DUMMYFUNCTION("""COMPUTED_VALUE"""),"Urb BIBLOS km 2 vía samborondon av Líbano solar a2 y calle 1. 2da casa lado derecho pasando garita")</f>
        <v>Urb BIBLOS km 2 vía samborondon av Líbano solar a2 y calle 1. 2da casa lado derecho pasando garita</v>
      </c>
      <c r="P806" s="65"/>
      <c r="Q806" s="65" t="str">
        <f>IFERROR(__xludf.DUMMYFUNCTION("""COMPUTED_VALUE"""),"LAARCOURIER")</f>
        <v>LAARCOURIER</v>
      </c>
      <c r="R806" s="65">
        <f>IFERROR(__xludf.DUMMYFUNCTION("""COMPUTED_VALUE"""),30.0)</f>
        <v>30</v>
      </c>
      <c r="S806" s="65">
        <f>IFERROR(__xludf.DUMMYFUNCTION("""COMPUTED_VALUE"""),15.32)</f>
        <v>15.32</v>
      </c>
      <c r="T806" s="65">
        <f>IFERROR(__xludf.DUMMYFUNCTION("""COMPUTED_VALUE"""),7.48)</f>
        <v>7.48</v>
      </c>
      <c r="U806" s="65">
        <f>IFERROR(__xludf.DUMMYFUNCTION("""COMPUTED_VALUE"""),0.0)</f>
        <v>0</v>
      </c>
      <c r="V806" s="65">
        <f>IFERROR(__xludf.DUMMYFUNCTION("""COMPUTED_VALUE"""),0.0)</f>
        <v>0</v>
      </c>
      <c r="W806" s="65">
        <f>IFERROR(__xludf.DUMMYFUNCTION("""COMPUTED_VALUE"""),0.0)</f>
        <v>0</v>
      </c>
      <c r="X806" s="65">
        <f>IFERROR(__xludf.DUMMYFUNCTION("""COMPUTED_VALUE"""),2.4)</f>
        <v>2.4</v>
      </c>
      <c r="Y806" s="65">
        <f>IFERROR(__xludf.DUMMYFUNCTION("""COMPUTED_VALUE"""),7.2)</f>
        <v>7.2</v>
      </c>
      <c r="Z806" s="65">
        <f>IFERROR(__xludf.DUMMYFUNCTION("""COMPUTED_VALUE"""),120732.0)</f>
        <v>120732</v>
      </c>
      <c r="AA806" s="65" t="str">
        <f>IFERROR(__xludf.DUMMYFUNCTION("""COMPUTED_VALUE"""),"PROV-LMPVT")</f>
        <v>PROV-LMPVT</v>
      </c>
      <c r="AB806" s="65"/>
      <c r="AC806" s="65" t="str">
        <f>IFERROR(__xludf.DUMMYFUNCTION("""COMPUTED_VALUE"""),"LIMPIADOR DE PARABRISAS Y VENTANAS")</f>
        <v>LIMPIADOR DE PARABRISAS Y VENTANAS</v>
      </c>
      <c r="AD806" s="65"/>
      <c r="AE806" s="65">
        <f>IFERROR(__xludf.DUMMYFUNCTION("""COMPUTED_VALUE"""),3.0)</f>
        <v>3</v>
      </c>
      <c r="AF806" s="65"/>
      <c r="AG806" s="65"/>
      <c r="AH806" s="65"/>
      <c r="AI806" s="65"/>
      <c r="AJ806" s="65"/>
      <c r="AK806" s="65"/>
      <c r="AL806" s="65"/>
      <c r="AM806" s="65"/>
      <c r="AN806" s="65" t="str">
        <f>IFERROR(__xludf.DUMMYFUNCTION("""COMPUTED_VALUE"""),"10:28")</f>
        <v>10:28</v>
      </c>
      <c r="AO806" s="65" t="str">
        <f>IFERROR(__xludf.DUMMYFUNCTION("""COMPUTED_VALUE"""),"20-02-2026")</f>
        <v>20-02-2026</v>
      </c>
      <c r="AP806" s="65" t="str">
        <f>IFERROR(__xludf.DUMMYFUNCTION("""COMPUTED_VALUE"""),"ENTREGADO")</f>
        <v>ENTREGADO</v>
      </c>
      <c r="AQ806" s="65" t="str">
        <f>IFERROR(__xludf.DUMMYFUNCTION("""COMPUTED_VALUE"""),"ENTREGADO")</f>
        <v>ENTREGADO</v>
      </c>
      <c r="AR806" s="65"/>
      <c r="AS806" s="65"/>
      <c r="AT806" s="65" t="str">
        <f>IFERROR(__xludf.DUMMYFUNCTION("""COMPUTED_VALUE"""),"SHOPIFY")</f>
        <v>SHOPIFY</v>
      </c>
      <c r="AU806" s="65" t="str">
        <f>IFERROR(__xludf.DUMMYFUNCTION("""COMPUTED_VALUE"""),"IMPORTEX EC")</f>
        <v>IMPORTEX EC</v>
      </c>
      <c r="AV806" s="65" t="str">
        <f>IFERROR(__xludf.DUMMYFUNCTION("""COMPUTED_VALUE"""),"6500278501420")</f>
        <v>6500278501420</v>
      </c>
      <c r="AW806" s="65">
        <f>IFERROR(__xludf.DUMMYFUNCTION("""COMPUTED_VALUE"""),6075.0)</f>
        <v>6075</v>
      </c>
      <c r="AX806" s="65"/>
      <c r="AY806" s="65" t="str">
        <f>IFERROR(__xludf.DUMMYFUNCTION("""COMPUTED_VALUE"""),"19/02/2026")</f>
        <v>19/02/2026</v>
      </c>
      <c r="AZ806" s="65"/>
      <c r="BA806" s="65"/>
    </row>
    <row r="807">
      <c r="A807" s="65" t="str">
        <f>IFERROR(__xludf.DUMMYFUNCTION("""COMPUTED_VALUE"""),"27-03-2026")</f>
        <v>27-03-2026</v>
      </c>
      <c r="B807" s="65">
        <f>IFERROR(__xludf.DUMMYFUNCTION("""COMPUTED_VALUE"""),4496692.0)</f>
        <v>4496692</v>
      </c>
      <c r="C807" s="65" t="str">
        <f>IFERROR(__xludf.DUMMYFUNCTION("""COMPUTED_VALUE"""),"00:22")</f>
        <v>00:22</v>
      </c>
      <c r="D807" s="65" t="str">
        <f>IFERROR(__xludf.DUMMYFUNCTION("""COMPUTED_VALUE"""),"13-02-2026")</f>
        <v>13-02-2026</v>
      </c>
      <c r="E807" s="65" t="str">
        <f>IFERROR(__xludf.DUMMYFUNCTION("""COMPUTED_VALUE"""),"Fabian Pacheco")</f>
        <v>Fabian Pacheco</v>
      </c>
      <c r="F807" s="65" t="str">
        <f>IFERROR(__xludf.DUMMYFUNCTION("""COMPUTED_VALUE"""),"987646000")</f>
        <v>987646000</v>
      </c>
      <c r="G807" s="65" t="str">
        <f>IFERROR(__xludf.DUMMYFUNCTION("""COMPUTED_VALUE"""),"fabianpachecoz@gmail.com")</f>
        <v>fabianpachecoz@gmail.com</v>
      </c>
      <c r="H807" s="65"/>
      <c r="I807" s="65"/>
      <c r="J807" s="65" t="str">
        <f>IFERROR(__xludf.DUMMYFUNCTION("""COMPUTED_VALUE"""),"D001340374")</f>
        <v>D001340374</v>
      </c>
      <c r="K807" s="65" t="str">
        <f>IFERROR(__xludf.DUMMYFUNCTION("""COMPUTED_VALUE"""),"ENTREGADO")</f>
        <v>ENTREGADO</v>
      </c>
      <c r="L807" s="65" t="str">
        <f>IFERROR(__xludf.DUMMYFUNCTION("""COMPUTED_VALUE"""),"CON RECAUDO")</f>
        <v>CON RECAUDO</v>
      </c>
      <c r="M807" s="65" t="str">
        <f>IFERROR(__xludf.DUMMYFUNCTION("""COMPUTED_VALUE"""),"LOJA")</f>
        <v>LOJA</v>
      </c>
      <c r="N807" s="65" t="str">
        <f>IFERROR(__xludf.DUMMYFUNCTION("""COMPUTED_VALUE"""),"LOJA")</f>
        <v>LOJA</v>
      </c>
      <c r="O807" s="65" t="str">
        <f>IFERROR(__xludf.DUMMYFUNCTION("""COMPUTED_VALUE"""),"Cdla Clodoveo Jaramillo, Calle Piura y Cali, Restaurante Smoke House, Número  Casa 1065")</f>
        <v>Cdla Clodoveo Jaramillo, Calle Piura y Cali, Restaurante Smoke House, Número  Casa 1065</v>
      </c>
      <c r="P807" s="65"/>
      <c r="Q807" s="65" t="str">
        <f>IFERROR(__xludf.DUMMYFUNCTION("""COMPUTED_VALUE"""),"GINTRACOM")</f>
        <v>GINTRACOM</v>
      </c>
      <c r="R807" s="65">
        <f>IFERROR(__xludf.DUMMYFUNCTION("""COMPUTED_VALUE"""),27.0)</f>
        <v>27</v>
      </c>
      <c r="S807" s="65">
        <f>IFERROR(__xludf.DUMMYFUNCTION("""COMPUTED_VALUE"""),13.17)</f>
        <v>13.17</v>
      </c>
      <c r="T807" s="65">
        <f>IFERROR(__xludf.DUMMYFUNCTION("""COMPUTED_VALUE"""),6.03)</f>
        <v>6.03</v>
      </c>
      <c r="U807" s="65">
        <f>IFERROR(__xludf.DUMMYFUNCTION("""COMPUTED_VALUE"""),0.0)</f>
        <v>0</v>
      </c>
      <c r="V807" s="65">
        <f>IFERROR(__xludf.DUMMYFUNCTION("""COMPUTED_VALUE"""),0.0)</f>
        <v>0</v>
      </c>
      <c r="W807" s="65">
        <f>IFERROR(__xludf.DUMMYFUNCTION("""COMPUTED_VALUE"""),0.0)</f>
        <v>0</v>
      </c>
      <c r="X807" s="65">
        <f>IFERROR(__xludf.DUMMYFUNCTION("""COMPUTED_VALUE"""),2.6)</f>
        <v>2.6</v>
      </c>
      <c r="Y807" s="65">
        <f>IFERROR(__xludf.DUMMYFUNCTION("""COMPUTED_VALUE"""),7.8)</f>
        <v>7.8</v>
      </c>
      <c r="Z807" s="65">
        <f>IFERROR(__xludf.DUMMYFUNCTION("""COMPUTED_VALUE"""),121983.0)</f>
        <v>121983</v>
      </c>
      <c r="AA807" s="65" t="str">
        <f>IFERROR(__xludf.DUMMYFUNCTION("""COMPUTED_VALUE"""),"PROV-CHLLCF")</f>
        <v>PROV-CHLLCF</v>
      </c>
      <c r="AB807" s="65"/>
      <c r="AC807" s="65" t="str">
        <f>IFERROR(__xludf.DUMMYFUNCTION("""COMPUTED_VALUE"""),"CUCHILLO PARA CHEF")</f>
        <v>CUCHILLO PARA CHEF</v>
      </c>
      <c r="AD807" s="65"/>
      <c r="AE807" s="65">
        <f>IFERROR(__xludf.DUMMYFUNCTION("""COMPUTED_VALUE"""),3.0)</f>
        <v>3</v>
      </c>
      <c r="AF807" s="65"/>
      <c r="AG807" s="65"/>
      <c r="AH807" s="65"/>
      <c r="AI807" s="65"/>
      <c r="AJ807" s="65"/>
      <c r="AK807" s="65"/>
      <c r="AL807" s="65"/>
      <c r="AM807" s="65"/>
      <c r="AN807" s="65" t="str">
        <f>IFERROR(__xludf.DUMMYFUNCTION("""COMPUTED_VALUE"""),"09:28")</f>
        <v>09:28</v>
      </c>
      <c r="AO807" s="65" t="str">
        <f>IFERROR(__xludf.DUMMYFUNCTION("""COMPUTED_VALUE"""),"21-02-2026")</f>
        <v>21-02-2026</v>
      </c>
      <c r="AP807" s="65" t="str">
        <f>IFERROR(__xludf.DUMMYFUNCTION("""COMPUTED_VALUE"""),"EN REPARTO")</f>
        <v>EN REPARTO</v>
      </c>
      <c r="AQ807" s="65" t="str">
        <f>IFERROR(__xludf.DUMMYFUNCTION("""COMPUTED_VALUE"""),"EN REPARTO")</f>
        <v>EN REPARTO</v>
      </c>
      <c r="AR807" s="65"/>
      <c r="AS807" s="65"/>
      <c r="AT807" s="65" t="str">
        <f>IFERROR(__xludf.DUMMYFUNCTION("""COMPUTED_VALUE"""),"SHOPIFY")</f>
        <v>SHOPIFY</v>
      </c>
      <c r="AU807" s="65" t="str">
        <f>IFERROR(__xludf.DUMMYFUNCTION("""COMPUTED_VALUE"""),"IMPORTEX EC")</f>
        <v>IMPORTEX EC</v>
      </c>
      <c r="AV807" s="65" t="str">
        <f>IFERROR(__xludf.DUMMYFUNCTION("""COMPUTED_VALUE"""),"6499919462444")</f>
        <v>6499919462444</v>
      </c>
      <c r="AW807" s="65">
        <f>IFERROR(__xludf.DUMMYFUNCTION("""COMPUTED_VALUE"""),6074.0)</f>
        <v>6074</v>
      </c>
      <c r="AX807" s="65"/>
      <c r="AY807" s="65" t="str">
        <f>IFERROR(__xludf.DUMMYFUNCTION("""COMPUTED_VALUE"""),"19/02/2026")</f>
        <v>19/02/2026</v>
      </c>
      <c r="AZ807" s="65"/>
      <c r="BA807" s="65"/>
    </row>
    <row r="808">
      <c r="A808" s="65" t="str">
        <f>IFERROR(__xludf.DUMMYFUNCTION("""COMPUTED_VALUE"""),"27-03-2026")</f>
        <v>27-03-2026</v>
      </c>
      <c r="B808" s="65">
        <f>IFERROR(__xludf.DUMMYFUNCTION("""COMPUTED_VALUE"""),4496389.0)</f>
        <v>4496389</v>
      </c>
      <c r="C808" s="65" t="str">
        <f>IFERROR(__xludf.DUMMYFUNCTION("""COMPUTED_VALUE"""),"23:23")</f>
        <v>23:23</v>
      </c>
      <c r="D808" s="65" t="str">
        <f>IFERROR(__xludf.DUMMYFUNCTION("""COMPUTED_VALUE"""),"12-02-2026")</f>
        <v>12-02-2026</v>
      </c>
      <c r="E808" s="65" t="str">
        <f>IFERROR(__xludf.DUMMYFUNCTION("""COMPUTED_VALUE"""),"Kevin Macias")</f>
        <v>Kevin Macias</v>
      </c>
      <c r="F808" s="65" t="str">
        <f>IFERROR(__xludf.DUMMYFUNCTION("""COMPUTED_VALUE"""),"988297371")</f>
        <v>988297371</v>
      </c>
      <c r="G808" s="65"/>
      <c r="H808" s="65"/>
      <c r="I808" s="65"/>
      <c r="J808" s="65" t="str">
        <f>IFERROR(__xludf.DUMMYFUNCTION("""COMPUTED_VALUE"""),"D001340375")</f>
        <v>D001340375</v>
      </c>
      <c r="K808" s="65" t="str">
        <f>IFERROR(__xludf.DUMMYFUNCTION("""COMPUTED_VALUE"""),"ENTREGADO")</f>
        <v>ENTREGADO</v>
      </c>
      <c r="L808" s="65" t="str">
        <f>IFERROR(__xludf.DUMMYFUNCTION("""COMPUTED_VALUE"""),"CON RECAUDO")</f>
        <v>CON RECAUDO</v>
      </c>
      <c r="M808" s="65" t="str">
        <f>IFERROR(__xludf.DUMMYFUNCTION("""COMPUTED_VALUE"""),"GUAYAS")</f>
        <v>GUAYAS</v>
      </c>
      <c r="N808" s="65" t="str">
        <f>IFERROR(__xludf.DUMMYFUNCTION("""COMPUTED_VALUE"""),"GUAYAQUIL")</f>
        <v>GUAYAQUIL</v>
      </c>
      <c r="O808" s="65" t="str">
        <f>IFERROR(__xludf.DUMMYFUNCTION("""COMPUTED_VALUE"""),"Aguirre y Chile, Sector del Centro - Edificio Bonds, piso 2, Oficina 203")</f>
        <v>Aguirre y Chile, Sector del Centro - Edificio Bonds, piso 2, Oficina 203</v>
      </c>
      <c r="P808" s="65"/>
      <c r="Q808" s="65" t="str">
        <f>IFERROR(__xludf.DUMMYFUNCTION("""COMPUTED_VALUE"""),"GINTRACOM")</f>
        <v>GINTRACOM</v>
      </c>
      <c r="R808" s="65">
        <f>IFERROR(__xludf.DUMMYFUNCTION("""COMPUTED_VALUE"""),20.0)</f>
        <v>20</v>
      </c>
      <c r="S808" s="65">
        <f>IFERROR(__xludf.DUMMYFUNCTION("""COMPUTED_VALUE"""),13.45)</f>
        <v>13.45</v>
      </c>
      <c r="T808" s="65">
        <f>IFERROR(__xludf.DUMMYFUNCTION("""COMPUTED_VALUE"""),4.15)</f>
        <v>4.15</v>
      </c>
      <c r="U808" s="65">
        <f>IFERROR(__xludf.DUMMYFUNCTION("""COMPUTED_VALUE"""),0.0)</f>
        <v>0</v>
      </c>
      <c r="V808" s="65">
        <f>IFERROR(__xludf.DUMMYFUNCTION("""COMPUTED_VALUE"""),0.0)</f>
        <v>0</v>
      </c>
      <c r="W808" s="65">
        <f>IFERROR(__xludf.DUMMYFUNCTION("""COMPUTED_VALUE"""),0.0)</f>
        <v>0</v>
      </c>
      <c r="X808" s="65">
        <f>IFERROR(__xludf.DUMMYFUNCTION("""COMPUTED_VALUE"""),2.4)</f>
        <v>2.4</v>
      </c>
      <c r="Y808" s="65">
        <f>IFERROR(__xludf.DUMMYFUNCTION("""COMPUTED_VALUE"""),2.4)</f>
        <v>2.4</v>
      </c>
      <c r="Z808" s="65">
        <f>IFERROR(__xludf.DUMMYFUNCTION("""COMPUTED_VALUE"""),120732.0)</f>
        <v>120732</v>
      </c>
      <c r="AA808" s="65" t="str">
        <f>IFERROR(__xludf.DUMMYFUNCTION("""COMPUTED_VALUE"""),"PROV-LMPVT")</f>
        <v>PROV-LMPVT</v>
      </c>
      <c r="AB808" s="65"/>
      <c r="AC808" s="65" t="str">
        <f>IFERROR(__xludf.DUMMYFUNCTION("""COMPUTED_VALUE"""),"LIMPIADOR DE PARABRISAS Y VENTANAS")</f>
        <v>LIMPIADOR DE PARABRISAS Y VENTANAS</v>
      </c>
      <c r="AD808" s="65"/>
      <c r="AE808" s="65">
        <f>IFERROR(__xludf.DUMMYFUNCTION("""COMPUTED_VALUE"""),1.0)</f>
        <v>1</v>
      </c>
      <c r="AF808" s="65"/>
      <c r="AG808" s="65"/>
      <c r="AH808" s="65"/>
      <c r="AI808" s="65"/>
      <c r="AJ808" s="65"/>
      <c r="AK808" s="65"/>
      <c r="AL808" s="65"/>
      <c r="AM808" s="65"/>
      <c r="AN808" s="65" t="str">
        <f>IFERROR(__xludf.DUMMYFUNCTION("""COMPUTED_VALUE"""),"10:06")</f>
        <v>10:06</v>
      </c>
      <c r="AO808" s="65" t="str">
        <f>IFERROR(__xludf.DUMMYFUNCTION("""COMPUTED_VALUE"""),"21-02-2026")</f>
        <v>21-02-2026</v>
      </c>
      <c r="AP808" s="65" t="str">
        <f>IFERROR(__xludf.DUMMYFUNCTION("""COMPUTED_VALUE"""),"EN REPARTO")</f>
        <v>EN REPARTO</v>
      </c>
      <c r="AQ808" s="65" t="str">
        <f>IFERROR(__xludf.DUMMYFUNCTION("""COMPUTED_VALUE"""),"EN REPARTO")</f>
        <v>EN REPARTO</v>
      </c>
      <c r="AR808" s="65"/>
      <c r="AS808" s="65"/>
      <c r="AT808" s="65" t="str">
        <f>IFERROR(__xludf.DUMMYFUNCTION("""COMPUTED_VALUE"""),"SHOPIFY")</f>
        <v>SHOPIFY</v>
      </c>
      <c r="AU808" s="65" t="str">
        <f>IFERROR(__xludf.DUMMYFUNCTION("""COMPUTED_VALUE"""),"IMPORTEX EC")</f>
        <v>IMPORTEX EC</v>
      </c>
      <c r="AV808" s="65" t="str">
        <f>IFERROR(__xludf.DUMMYFUNCTION("""COMPUTED_VALUE"""),"6499835215916")</f>
        <v>6499835215916</v>
      </c>
      <c r="AW808" s="65">
        <f>IFERROR(__xludf.DUMMYFUNCTION("""COMPUTED_VALUE"""),6072.0)</f>
        <v>6072</v>
      </c>
      <c r="AX808" s="65"/>
      <c r="AY808" s="65" t="str">
        <f>IFERROR(__xludf.DUMMYFUNCTION("""COMPUTED_VALUE"""),"19/02/2026")</f>
        <v>19/02/2026</v>
      </c>
      <c r="AZ808" s="65"/>
      <c r="BA808" s="65"/>
    </row>
    <row r="809">
      <c r="A809" s="65" t="str">
        <f>IFERROR(__xludf.DUMMYFUNCTION("""COMPUTED_VALUE"""),"27-03-2026")</f>
        <v>27-03-2026</v>
      </c>
      <c r="B809" s="65">
        <f>IFERROR(__xludf.DUMMYFUNCTION("""COMPUTED_VALUE"""),4494772.0)</f>
        <v>4494772</v>
      </c>
      <c r="C809" s="65" t="str">
        <f>IFERROR(__xludf.DUMMYFUNCTION("""COMPUTED_VALUE"""),"20:27")</f>
        <v>20:27</v>
      </c>
      <c r="D809" s="65" t="str">
        <f>IFERROR(__xludf.DUMMYFUNCTION("""COMPUTED_VALUE"""),"12-02-2026")</f>
        <v>12-02-2026</v>
      </c>
      <c r="E809" s="65" t="str">
        <f>IFERROR(__xludf.DUMMYFUNCTION("""COMPUTED_VALUE"""),"Alba Valle Mendoza")</f>
        <v>Alba Valle Mendoza</v>
      </c>
      <c r="F809" s="65" t="str">
        <f>IFERROR(__xludf.DUMMYFUNCTION("""COMPUTED_VALUE"""),"994946856")</f>
        <v>994946856</v>
      </c>
      <c r="G809" s="65" t="str">
        <f>IFERROR(__xludf.DUMMYFUNCTION("""COMPUTED_VALUE"""),"albamendoza0259@gmail.com")</f>
        <v>albamendoza0259@gmail.com</v>
      </c>
      <c r="H809" s="65"/>
      <c r="I809" s="65"/>
      <c r="J809" s="65" t="str">
        <f>IFERROR(__xludf.DUMMYFUNCTION("""COMPUTED_VALUE"""),"D001324283")</f>
        <v>D001324283</v>
      </c>
      <c r="K809" s="65" t="str">
        <f>IFERROR(__xludf.DUMMYFUNCTION("""COMPUTED_VALUE"""),"ENTREGADO")</f>
        <v>ENTREGADO</v>
      </c>
      <c r="L809" s="65" t="str">
        <f>IFERROR(__xludf.DUMMYFUNCTION("""COMPUTED_VALUE"""),"CON RECAUDO")</f>
        <v>CON RECAUDO</v>
      </c>
      <c r="M809" s="65" t="str">
        <f>IFERROR(__xludf.DUMMYFUNCTION("""COMPUTED_VALUE"""),"MANABI")</f>
        <v>MANABI</v>
      </c>
      <c r="N809" s="65" t="str">
        <f>IFERROR(__xludf.DUMMYFUNCTION("""COMPUTED_VALUE"""),"PORTOVIEJO")</f>
        <v>PORTOVIEJO</v>
      </c>
      <c r="O809" s="65" t="str">
        <f>IFERROR(__xludf.DUMMYFUNCTION("""COMPUTED_VALUE"""),"Calle principal 21 de Noviembre  25 Diciembre Ciuda de la Fátima casa 2planta color verde agua y blanca - Manzana 2 #7")</f>
        <v>Calle principal 21 de Noviembre  25 Diciembre Ciuda de la Fátima casa 2planta color verde agua y blanca - Manzana 2 #7</v>
      </c>
      <c r="P809" s="65"/>
      <c r="Q809" s="65" t="str">
        <f>IFERROR(__xludf.DUMMYFUNCTION("""COMPUTED_VALUE"""),"GINTRACOM")</f>
        <v>GINTRACOM</v>
      </c>
      <c r="R809" s="65">
        <f>IFERROR(__xludf.DUMMYFUNCTION("""COMPUTED_VALUE"""),22.0)</f>
        <v>22</v>
      </c>
      <c r="S809" s="65">
        <f>IFERROR(__xludf.DUMMYFUNCTION("""COMPUTED_VALUE"""),10.96)</f>
        <v>10.96</v>
      </c>
      <c r="T809" s="65">
        <f>IFERROR(__xludf.DUMMYFUNCTION("""COMPUTED_VALUE"""),5.84)</f>
        <v>5.84</v>
      </c>
      <c r="U809" s="65">
        <f>IFERROR(__xludf.DUMMYFUNCTION("""COMPUTED_VALUE"""),0.0)</f>
        <v>0</v>
      </c>
      <c r="V809" s="65">
        <f>IFERROR(__xludf.DUMMYFUNCTION("""COMPUTED_VALUE"""),0.0)</f>
        <v>0</v>
      </c>
      <c r="W809" s="65">
        <f>IFERROR(__xludf.DUMMYFUNCTION("""COMPUTED_VALUE"""),0.0)</f>
        <v>0</v>
      </c>
      <c r="X809" s="65">
        <f>IFERROR(__xludf.DUMMYFUNCTION("""COMPUTED_VALUE"""),2.6)</f>
        <v>2.6</v>
      </c>
      <c r="Y809" s="65">
        <f>IFERROR(__xludf.DUMMYFUNCTION("""COMPUTED_VALUE"""),5.2)</f>
        <v>5.2</v>
      </c>
      <c r="Z809" s="65">
        <f>IFERROR(__xludf.DUMMYFUNCTION("""COMPUTED_VALUE"""),121983.0)</f>
        <v>121983</v>
      </c>
      <c r="AA809" s="65" t="str">
        <f>IFERROR(__xludf.DUMMYFUNCTION("""COMPUTED_VALUE"""),"PROV-CHLLCF")</f>
        <v>PROV-CHLLCF</v>
      </c>
      <c r="AB809" s="65"/>
      <c r="AC809" s="65" t="str">
        <f>IFERROR(__xludf.DUMMYFUNCTION("""COMPUTED_VALUE"""),"CUCHILLO PARA CHEF")</f>
        <v>CUCHILLO PARA CHEF</v>
      </c>
      <c r="AD809" s="65"/>
      <c r="AE809" s="65">
        <f>IFERROR(__xludf.DUMMYFUNCTION("""COMPUTED_VALUE"""),2.0)</f>
        <v>2</v>
      </c>
      <c r="AF809" s="65"/>
      <c r="AG809" s="65"/>
      <c r="AH809" s="65"/>
      <c r="AI809" s="65"/>
      <c r="AJ809" s="65"/>
      <c r="AK809" s="65"/>
      <c r="AL809" s="65"/>
      <c r="AM809" s="65"/>
      <c r="AN809" s="65" t="str">
        <f>IFERROR(__xludf.DUMMYFUNCTION("""COMPUTED_VALUE"""),"11:33")</f>
        <v>11:33</v>
      </c>
      <c r="AO809" s="65" t="str">
        <f>IFERROR(__xludf.DUMMYFUNCTION("""COMPUTED_VALUE"""),"15-02-2026")</f>
        <v>15-02-2026</v>
      </c>
      <c r="AP809" s="65" t="str">
        <f>IFERROR(__xludf.DUMMYFUNCTION("""COMPUTED_VALUE"""),"EN REPARTO")</f>
        <v>EN REPARTO</v>
      </c>
      <c r="AQ809" s="65" t="str">
        <f>IFERROR(__xludf.DUMMYFUNCTION("""COMPUTED_VALUE"""),"EN REPARTO")</f>
        <v>EN REPARTO</v>
      </c>
      <c r="AR809" s="65"/>
      <c r="AS809" s="65"/>
      <c r="AT809" s="65" t="str">
        <f>IFERROR(__xludf.DUMMYFUNCTION("""COMPUTED_VALUE"""),"SHOPIFY")</f>
        <v>SHOPIFY</v>
      </c>
      <c r="AU809" s="65" t="str">
        <f>IFERROR(__xludf.DUMMYFUNCTION("""COMPUTED_VALUE"""),"IMPORTEX EC")</f>
        <v>IMPORTEX EC</v>
      </c>
      <c r="AV809" s="65" t="str">
        <f>IFERROR(__xludf.DUMMYFUNCTION("""COMPUTED_VALUE"""),"6499510190124")</f>
        <v>6499510190124</v>
      </c>
      <c r="AW809" s="65">
        <f>IFERROR(__xludf.DUMMYFUNCTION("""COMPUTED_VALUE"""),6071.0)</f>
        <v>6071</v>
      </c>
      <c r="AX809" s="65"/>
      <c r="AY809" s="65" t="str">
        <f>IFERROR(__xludf.DUMMYFUNCTION("""COMPUTED_VALUE"""),"13/02/2026")</f>
        <v>13/02/2026</v>
      </c>
      <c r="AZ809" s="65"/>
      <c r="BA809" s="65"/>
    </row>
    <row r="810">
      <c r="A810" s="65" t="str">
        <f>IFERROR(__xludf.DUMMYFUNCTION("""COMPUTED_VALUE"""),"27-03-2026")</f>
        <v>27-03-2026</v>
      </c>
      <c r="B810" s="65">
        <f>IFERROR(__xludf.DUMMYFUNCTION("""COMPUTED_VALUE"""),4494577.0)</f>
        <v>4494577</v>
      </c>
      <c r="C810" s="65" t="str">
        <f>IFERROR(__xludf.DUMMYFUNCTION("""COMPUTED_VALUE"""),"20:04")</f>
        <v>20:04</v>
      </c>
      <c r="D810" s="65" t="str">
        <f>IFERROR(__xludf.DUMMYFUNCTION("""COMPUTED_VALUE"""),"12-02-2026")</f>
        <v>12-02-2026</v>
      </c>
      <c r="E810" s="65" t="str">
        <f>IFERROR(__xludf.DUMMYFUNCTION("""COMPUTED_VALUE"""),"Lenin Vivanco")</f>
        <v>Lenin Vivanco</v>
      </c>
      <c r="F810" s="65" t="str">
        <f>IFERROR(__xludf.DUMMYFUNCTION("""COMPUTED_VALUE"""),"991101095")</f>
        <v>991101095</v>
      </c>
      <c r="G810" s="65" t="str">
        <f>IFERROR(__xludf.DUMMYFUNCTION("""COMPUTED_VALUE"""),"navicri59@hotmail.com")</f>
        <v>navicri59@hotmail.com</v>
      </c>
      <c r="H810" s="65"/>
      <c r="I810" s="65"/>
      <c r="J810" s="65"/>
      <c r="K810" s="65" t="str">
        <f>IFERROR(__xludf.DUMMYFUNCTION("""COMPUTED_VALUE"""),"PENDIENTE CONFIRMACION")</f>
        <v>PENDIENTE CONFIRMACION</v>
      </c>
      <c r="L810" s="65" t="str">
        <f>IFERROR(__xludf.DUMMYFUNCTION("""COMPUTED_VALUE"""),"CON RECAUDO")</f>
        <v>CON RECAUDO</v>
      </c>
      <c r="M810" s="65" t="str">
        <f>IFERROR(__xludf.DUMMYFUNCTION("""COMPUTED_VALUE"""),"COTOPAXI")</f>
        <v>COTOPAXI</v>
      </c>
      <c r="N810" s="65" t="str">
        <f>IFERROR(__xludf.DUMMYFUNCTION("""COMPUTED_VALUE"""),"LATACUNGA")</f>
        <v>LATACUNGA</v>
      </c>
      <c r="O810" s="65" t="str">
        <f>IFERROR(__xludf.DUMMYFUNCTION("""COMPUTED_VALUE"""),"Km 3 1/2 via a Puembo Y E35. Ciudad La Mana -")</f>
        <v>Km 3 1/2 via a Puembo Y E35. Ciudad La Mana -</v>
      </c>
      <c r="P810" s="65"/>
      <c r="Q810" s="65" t="str">
        <f>IFERROR(__xludf.DUMMYFUNCTION("""COMPUTED_VALUE"""),"GINTRACOM")</f>
        <v>GINTRACOM</v>
      </c>
      <c r="R810" s="65">
        <f>IFERROR(__xludf.DUMMYFUNCTION("""COMPUTED_VALUE"""),22.0)</f>
        <v>22</v>
      </c>
      <c r="S810" s="65"/>
      <c r="T810" s="65">
        <f>IFERROR(__xludf.DUMMYFUNCTION("""COMPUTED_VALUE"""),5.84)</f>
        <v>5.84</v>
      </c>
      <c r="U810" s="65">
        <f>IFERROR(__xludf.DUMMYFUNCTION("""COMPUTED_VALUE"""),0.0)</f>
        <v>0</v>
      </c>
      <c r="V810" s="65">
        <f>IFERROR(__xludf.DUMMYFUNCTION("""COMPUTED_VALUE"""),0.0)</f>
        <v>0</v>
      </c>
      <c r="W810" s="65">
        <f>IFERROR(__xludf.DUMMYFUNCTION("""COMPUTED_VALUE"""),0.0)</f>
        <v>0</v>
      </c>
      <c r="X810" s="65">
        <f>IFERROR(__xludf.DUMMYFUNCTION("""COMPUTED_VALUE"""),2.6)</f>
        <v>2.6</v>
      </c>
      <c r="Y810" s="65">
        <f>IFERROR(__xludf.DUMMYFUNCTION("""COMPUTED_VALUE"""),5.2)</f>
        <v>5.2</v>
      </c>
      <c r="Z810" s="65">
        <f>IFERROR(__xludf.DUMMYFUNCTION("""COMPUTED_VALUE"""),121983.0)</f>
        <v>121983</v>
      </c>
      <c r="AA810" s="65" t="str">
        <f>IFERROR(__xludf.DUMMYFUNCTION("""COMPUTED_VALUE"""),"PROV-CHLLCF")</f>
        <v>PROV-CHLLCF</v>
      </c>
      <c r="AB810" s="65"/>
      <c r="AC810" s="65" t="str">
        <f>IFERROR(__xludf.DUMMYFUNCTION("""COMPUTED_VALUE"""),"CUCHILLO PARA CHEF")</f>
        <v>CUCHILLO PARA CHEF</v>
      </c>
      <c r="AD810" s="65"/>
      <c r="AE810" s="65">
        <f>IFERROR(__xludf.DUMMYFUNCTION("""COMPUTED_VALUE"""),2.0)</f>
        <v>2</v>
      </c>
      <c r="AF810" s="65"/>
      <c r="AG810" s="65"/>
      <c r="AH810" s="65"/>
      <c r="AI810" s="65"/>
      <c r="AJ810" s="65"/>
      <c r="AK810" s="65"/>
      <c r="AL810" s="65"/>
      <c r="AM810" s="65"/>
      <c r="AN810" s="65"/>
      <c r="AO810" s="65"/>
      <c r="AP810" s="65"/>
      <c r="AQ810" s="65"/>
      <c r="AR810" s="65"/>
      <c r="AS810" s="65"/>
      <c r="AT810" s="65" t="str">
        <f>IFERROR(__xludf.DUMMYFUNCTION("""COMPUTED_VALUE"""),"SHOPIFY")</f>
        <v>SHOPIFY</v>
      </c>
      <c r="AU810" s="65" t="str">
        <f>IFERROR(__xludf.DUMMYFUNCTION("""COMPUTED_VALUE"""),"IMPORTEX EC")</f>
        <v>IMPORTEX EC</v>
      </c>
      <c r="AV810" s="65" t="str">
        <f>IFERROR(__xludf.DUMMYFUNCTION("""COMPUTED_VALUE"""),"6499463856172")</f>
        <v>6499463856172</v>
      </c>
      <c r="AW810" s="65">
        <f>IFERROR(__xludf.DUMMYFUNCTION("""COMPUTED_VALUE"""),6070.0)</f>
        <v>6070</v>
      </c>
      <c r="AX810" s="65"/>
      <c r="AY810" s="65"/>
      <c r="AZ810" s="65"/>
      <c r="BA810" s="65"/>
    </row>
    <row r="811">
      <c r="A811" s="65" t="str">
        <f>IFERROR(__xludf.DUMMYFUNCTION("""COMPUTED_VALUE"""),"27-03-2026")</f>
        <v>27-03-2026</v>
      </c>
      <c r="B811" s="65">
        <f>IFERROR(__xludf.DUMMYFUNCTION("""COMPUTED_VALUE"""),4494573.0)</f>
        <v>4494573</v>
      </c>
      <c r="C811" s="65" t="str">
        <f>IFERROR(__xludf.DUMMYFUNCTION("""COMPUTED_VALUE"""),"20:03")</f>
        <v>20:03</v>
      </c>
      <c r="D811" s="65" t="str">
        <f>IFERROR(__xludf.DUMMYFUNCTION("""COMPUTED_VALUE"""),"12-02-2026")</f>
        <v>12-02-2026</v>
      </c>
      <c r="E811" s="65" t="str">
        <f>IFERROR(__xludf.DUMMYFUNCTION("""COMPUTED_VALUE"""),"Pedro Antonio Pizarro Cárdenas")</f>
        <v>Pedro Antonio Pizarro Cárdenas</v>
      </c>
      <c r="F811" s="65" t="str">
        <f>IFERROR(__xludf.DUMMYFUNCTION("""COMPUTED_VALUE"""),"981878283")</f>
        <v>981878283</v>
      </c>
      <c r="G811" s="65" t="str">
        <f>IFERROR(__xludf.DUMMYFUNCTION("""COMPUTED_VALUE"""),"facturacion_contricapsa@yahoo.com")</f>
        <v>facturacion_contricapsa@yahoo.com</v>
      </c>
      <c r="H811" s="65"/>
      <c r="I811" s="65"/>
      <c r="J811" s="65" t="str">
        <f>IFERROR(__xludf.DUMMYFUNCTION("""COMPUTED_VALUE"""),"D001324288")</f>
        <v>D001324288</v>
      </c>
      <c r="K811" s="65" t="str">
        <f>IFERROR(__xludf.DUMMYFUNCTION("""COMPUTED_VALUE"""),"ENTREGADO")</f>
        <v>ENTREGADO</v>
      </c>
      <c r="L811" s="65" t="str">
        <f>IFERROR(__xludf.DUMMYFUNCTION("""COMPUTED_VALUE"""),"CON RECAUDO")</f>
        <v>CON RECAUDO</v>
      </c>
      <c r="M811" s="65" t="str">
        <f>IFERROR(__xludf.DUMMYFUNCTION("""COMPUTED_VALUE"""),"GUAYAS")</f>
        <v>GUAYAS</v>
      </c>
      <c r="N811" s="65" t="str">
        <f>IFERROR(__xludf.DUMMYFUNCTION("""COMPUTED_VALUE"""),"GUAYAQUIL")</f>
        <v>GUAYAQUIL</v>
      </c>
      <c r="O811" s="65" t="str">
        <f>IFERROR(__xludf.DUMMYFUNCTION("""COMPUTED_VALUE"""),"Antonio flores jijon 1806 y Rosendo Aviles Sur oeste de guayaquil - diagonal a casa de dos pisos y terraza de color verde")</f>
        <v>Antonio flores jijon 1806 y Rosendo Aviles Sur oeste de guayaquil - diagonal a casa de dos pisos y terraza de color verde</v>
      </c>
      <c r="P811" s="65"/>
      <c r="Q811" s="65" t="str">
        <f>IFERROR(__xludf.DUMMYFUNCTION("""COMPUTED_VALUE"""),"GINTRACOM")</f>
        <v>GINTRACOM</v>
      </c>
      <c r="R811" s="65">
        <f>IFERROR(__xludf.DUMMYFUNCTION("""COMPUTED_VALUE"""),30.0)</f>
        <v>30</v>
      </c>
      <c r="S811" s="65">
        <f>IFERROR(__xludf.DUMMYFUNCTION("""COMPUTED_VALUE"""),18.25)</f>
        <v>18.25</v>
      </c>
      <c r="T811" s="65">
        <f>IFERROR(__xludf.DUMMYFUNCTION("""COMPUTED_VALUE"""),4.55)</f>
        <v>4.55</v>
      </c>
      <c r="U811" s="65">
        <f>IFERROR(__xludf.DUMMYFUNCTION("""COMPUTED_VALUE"""),0.0)</f>
        <v>0</v>
      </c>
      <c r="V811" s="65">
        <f>IFERROR(__xludf.DUMMYFUNCTION("""COMPUTED_VALUE"""),0.0)</f>
        <v>0</v>
      </c>
      <c r="W811" s="65">
        <f>IFERROR(__xludf.DUMMYFUNCTION("""COMPUTED_VALUE"""),0.0)</f>
        <v>0</v>
      </c>
      <c r="X811" s="65">
        <f>IFERROR(__xludf.DUMMYFUNCTION("""COMPUTED_VALUE"""),2.4)</f>
        <v>2.4</v>
      </c>
      <c r="Y811" s="65">
        <f>IFERROR(__xludf.DUMMYFUNCTION("""COMPUTED_VALUE"""),7.2)</f>
        <v>7.2</v>
      </c>
      <c r="Z811" s="65">
        <f>IFERROR(__xludf.DUMMYFUNCTION("""COMPUTED_VALUE"""),120732.0)</f>
        <v>120732</v>
      </c>
      <c r="AA811" s="65" t="str">
        <f>IFERROR(__xludf.DUMMYFUNCTION("""COMPUTED_VALUE"""),"PROV-LMPVT")</f>
        <v>PROV-LMPVT</v>
      </c>
      <c r="AB811" s="65"/>
      <c r="AC811" s="65" t="str">
        <f>IFERROR(__xludf.DUMMYFUNCTION("""COMPUTED_VALUE"""),"LIMPIADOR DE PARABRISAS Y VENTANAS")</f>
        <v>LIMPIADOR DE PARABRISAS Y VENTANAS</v>
      </c>
      <c r="AD811" s="65"/>
      <c r="AE811" s="65">
        <f>IFERROR(__xludf.DUMMYFUNCTION("""COMPUTED_VALUE"""),3.0)</f>
        <v>3</v>
      </c>
      <c r="AF811" s="65"/>
      <c r="AG811" s="65"/>
      <c r="AH811" s="65"/>
      <c r="AI811" s="65"/>
      <c r="AJ811" s="65"/>
      <c r="AK811" s="65"/>
      <c r="AL811" s="65"/>
      <c r="AM811" s="65"/>
      <c r="AN811" s="65" t="str">
        <f>IFERROR(__xludf.DUMMYFUNCTION("""COMPUTED_VALUE"""),"14:19")</f>
        <v>14:19</v>
      </c>
      <c r="AO811" s="65" t="str">
        <f>IFERROR(__xludf.DUMMYFUNCTION("""COMPUTED_VALUE"""),"18-02-2026")</f>
        <v>18-02-2026</v>
      </c>
      <c r="AP811" s="65" t="str">
        <f>IFERROR(__xludf.DUMMYFUNCTION("""COMPUTED_VALUE"""),"ENTREGADA GINTRACOM")</f>
        <v>ENTREGADA GINTRACOM</v>
      </c>
      <c r="AQ811" s="65" t="str">
        <f>IFERROR(__xludf.DUMMYFUNCTION("""COMPUTED_VALUE"""),"ENTREGADA GINTRACOM")</f>
        <v>ENTREGADA GINTRACOM</v>
      </c>
      <c r="AR811" s="65"/>
      <c r="AS811" s="65"/>
      <c r="AT811" s="65" t="str">
        <f>IFERROR(__xludf.DUMMYFUNCTION("""COMPUTED_VALUE"""),"SHOPIFY")</f>
        <v>SHOPIFY</v>
      </c>
      <c r="AU811" s="65" t="str">
        <f>IFERROR(__xludf.DUMMYFUNCTION("""COMPUTED_VALUE"""),"IMPORTEX EC")</f>
        <v>IMPORTEX EC</v>
      </c>
      <c r="AV811" s="65" t="str">
        <f>IFERROR(__xludf.DUMMYFUNCTION("""COMPUTED_VALUE"""),"6499463168044")</f>
        <v>6499463168044</v>
      </c>
      <c r="AW811" s="65">
        <f>IFERROR(__xludf.DUMMYFUNCTION("""COMPUTED_VALUE"""),6069.0)</f>
        <v>6069</v>
      </c>
      <c r="AX811" s="65"/>
      <c r="AY811" s="65" t="str">
        <f>IFERROR(__xludf.DUMMYFUNCTION("""COMPUTED_VALUE"""),"13/02/2026")</f>
        <v>13/02/2026</v>
      </c>
      <c r="AZ811" s="65"/>
      <c r="BA811" s="65"/>
    </row>
    <row r="812">
      <c r="A812" s="65" t="str">
        <f>IFERROR(__xludf.DUMMYFUNCTION("""COMPUTED_VALUE"""),"27-03-2026")</f>
        <v>27-03-2026</v>
      </c>
      <c r="B812" s="65">
        <f>IFERROR(__xludf.DUMMYFUNCTION("""COMPUTED_VALUE"""),4494540.0)</f>
        <v>4494540</v>
      </c>
      <c r="C812" s="65" t="str">
        <f>IFERROR(__xludf.DUMMYFUNCTION("""COMPUTED_VALUE"""),"20:01")</f>
        <v>20:01</v>
      </c>
      <c r="D812" s="65" t="str">
        <f>IFERROR(__xludf.DUMMYFUNCTION("""COMPUTED_VALUE"""),"12-02-2026")</f>
        <v>12-02-2026</v>
      </c>
      <c r="E812" s="65" t="str">
        <f>IFERROR(__xludf.DUMMYFUNCTION("""COMPUTED_VALUE"""),"Franklin Perez")</f>
        <v>Franklin Perez</v>
      </c>
      <c r="F812" s="65" t="str">
        <f>IFERROR(__xludf.DUMMYFUNCTION("""COMPUTED_VALUE"""),"964010906")</f>
        <v>964010906</v>
      </c>
      <c r="G812" s="65" t="str">
        <f>IFERROR(__xludf.DUMMYFUNCTION("""COMPUTED_VALUE"""),"franklinperezmacias038@gmail.com")</f>
        <v>franklinperezmacias038@gmail.com</v>
      </c>
      <c r="H812" s="65"/>
      <c r="I812" s="65"/>
      <c r="J812" s="65" t="str">
        <f>IFERROR(__xludf.DUMMYFUNCTION("""COMPUTED_VALUE"""),"D001324290")</f>
        <v>D001324290</v>
      </c>
      <c r="K812" s="65" t="str">
        <f>IFERROR(__xludf.DUMMYFUNCTION("""COMPUTED_VALUE"""),"DEVOLUCION")</f>
        <v>DEVOLUCION</v>
      </c>
      <c r="L812" s="65" t="str">
        <f>IFERROR(__xludf.DUMMYFUNCTION("""COMPUTED_VALUE"""),"CON RECAUDO")</f>
        <v>CON RECAUDO</v>
      </c>
      <c r="M812" s="65" t="str">
        <f>IFERROR(__xludf.DUMMYFUNCTION("""COMPUTED_VALUE"""),"MANABI")</f>
        <v>MANABI</v>
      </c>
      <c r="N812" s="65" t="str">
        <f>IFERROR(__xludf.DUMMYFUNCTION("""COMPUTED_VALUE"""),"PORTOVIEJO")</f>
        <v>PORTOVIEJO</v>
      </c>
      <c r="O812" s="65" t="str">
        <f>IFERROR(__xludf.DUMMYFUNCTION("""COMPUTED_VALUE"""),"Avenida del Ejército 3era  transversal Frente a la despensa riyertmacht - Alado de puertas Molina garaje 24 horas")</f>
        <v>Avenida del Ejército 3era  transversal Frente a la despensa riyertmacht - Alado de puertas Molina garaje 24 horas</v>
      </c>
      <c r="P812" s="65"/>
      <c r="Q812" s="65" t="str">
        <f>IFERROR(__xludf.DUMMYFUNCTION("""COMPUTED_VALUE"""),"GINTRACOM")</f>
        <v>GINTRACOM</v>
      </c>
      <c r="R812" s="65">
        <f>IFERROR(__xludf.DUMMYFUNCTION("""COMPUTED_VALUE"""),22.0)</f>
        <v>22</v>
      </c>
      <c r="S812" s="65"/>
      <c r="T812" s="65">
        <f>IFERROR(__xludf.DUMMYFUNCTION("""COMPUTED_VALUE"""),5.84)</f>
        <v>5.84</v>
      </c>
      <c r="U812" s="65">
        <f>IFERROR(__xludf.DUMMYFUNCTION("""COMPUTED_VALUE"""),0.0)</f>
        <v>0</v>
      </c>
      <c r="V812" s="65">
        <f>IFERROR(__xludf.DUMMYFUNCTION("""COMPUTED_VALUE"""),0.0)</f>
        <v>0</v>
      </c>
      <c r="W812" s="65">
        <f>IFERROR(__xludf.DUMMYFUNCTION("""COMPUTED_VALUE"""),0.0)</f>
        <v>0</v>
      </c>
      <c r="X812" s="65">
        <f>IFERROR(__xludf.DUMMYFUNCTION("""COMPUTED_VALUE"""),2.6)</f>
        <v>2.6</v>
      </c>
      <c r="Y812" s="65">
        <f>IFERROR(__xludf.DUMMYFUNCTION("""COMPUTED_VALUE"""),5.2)</f>
        <v>5.2</v>
      </c>
      <c r="Z812" s="65">
        <f>IFERROR(__xludf.DUMMYFUNCTION("""COMPUTED_VALUE"""),121983.0)</f>
        <v>121983</v>
      </c>
      <c r="AA812" s="65" t="str">
        <f>IFERROR(__xludf.DUMMYFUNCTION("""COMPUTED_VALUE"""),"PROV-CHLLCF")</f>
        <v>PROV-CHLLCF</v>
      </c>
      <c r="AB812" s="65"/>
      <c r="AC812" s="65" t="str">
        <f>IFERROR(__xludf.DUMMYFUNCTION("""COMPUTED_VALUE"""),"CUCHILLO PARA CHEF")</f>
        <v>CUCHILLO PARA CHEF</v>
      </c>
      <c r="AD812" s="65"/>
      <c r="AE812" s="65">
        <f>IFERROR(__xludf.DUMMYFUNCTION("""COMPUTED_VALUE"""),2.0)</f>
        <v>2</v>
      </c>
      <c r="AF812" s="65" t="str">
        <f>IFERROR(__xludf.DUMMYFUNCTION("""COMPUTED_VALUE"""),"DESTINATARIO INDICA QUE ESTÁ INCONFORME CON EL PRODUCTO. (NO RECIBE)")</f>
        <v>DESTINATARIO INDICA QUE ESTÁ INCONFORME CON EL PRODUCTO. (NO RECIBE)</v>
      </c>
      <c r="AG812" s="65" t="str">
        <f>IFERROR(__xludf.DUMMYFUNCTION("""COMPUTED_VALUE"""),"NO")</f>
        <v>NO</v>
      </c>
      <c r="AH812" s="65" t="str">
        <f>IFERROR(__xludf.DUMMYFUNCTION("""COMPUTED_VALUE"""),"08:40")</f>
        <v>08:40</v>
      </c>
      <c r="AI812" s="65" t="str">
        <f>IFERROR(__xludf.DUMMYFUNCTION("""COMPUTED_VALUE"""),"18-02-2026")</f>
        <v>18-02-2026</v>
      </c>
      <c r="AJ812" s="65"/>
      <c r="AK812" s="65"/>
      <c r="AL812" s="65"/>
      <c r="AM812" s="65"/>
      <c r="AN812" s="65" t="str">
        <f>IFERROR(__xludf.DUMMYFUNCTION("""COMPUTED_VALUE"""),"01:36")</f>
        <v>01:36</v>
      </c>
      <c r="AO812" s="65" t="str">
        <f>IFERROR(__xludf.DUMMYFUNCTION("""COMPUTED_VALUE"""),"09-03-2026")</f>
        <v>09-03-2026</v>
      </c>
      <c r="AP812" s="65" t="str">
        <f>IFERROR(__xludf.DUMMYFUNCTION("""COMPUTED_VALUE"""),"DEVOLUCIÓN ENTREGADA A ORIGEN")</f>
        <v>DEVOLUCIÓN ENTREGADA A ORIGEN</v>
      </c>
      <c r="AQ812" s="65" t="str">
        <f>IFERROR(__xludf.DUMMYFUNCTION("""COMPUTED_VALUE"""),"DEVOLUCIÓN ENTREGADA A ORIGEN")</f>
        <v>DEVOLUCIÓN ENTREGADA A ORIGEN</v>
      </c>
      <c r="AR812" s="65"/>
      <c r="AS812" s="65"/>
      <c r="AT812" s="65" t="str">
        <f>IFERROR(__xludf.DUMMYFUNCTION("""COMPUTED_VALUE"""),"SHOPIFY")</f>
        <v>SHOPIFY</v>
      </c>
      <c r="AU812" s="65" t="str">
        <f>IFERROR(__xludf.DUMMYFUNCTION("""COMPUTED_VALUE"""),"IMPORTEX EC")</f>
        <v>IMPORTEX EC</v>
      </c>
      <c r="AV812" s="65" t="str">
        <f>IFERROR(__xludf.DUMMYFUNCTION("""COMPUTED_VALUE"""),"6499457269804")</f>
        <v>6499457269804</v>
      </c>
      <c r="AW812" s="65">
        <f>IFERROR(__xludf.DUMMYFUNCTION("""COMPUTED_VALUE"""),6068.0)</f>
        <v>6068</v>
      </c>
      <c r="AX812" s="65"/>
      <c r="AY812" s="65" t="str">
        <f>IFERROR(__xludf.DUMMYFUNCTION("""COMPUTED_VALUE"""),"13/02/2026")</f>
        <v>13/02/2026</v>
      </c>
      <c r="AZ812" s="65"/>
      <c r="BA812" s="65"/>
    </row>
    <row r="813">
      <c r="A813" s="65" t="str">
        <f>IFERROR(__xludf.DUMMYFUNCTION("""COMPUTED_VALUE"""),"27-03-2026")</f>
        <v>27-03-2026</v>
      </c>
      <c r="B813" s="65">
        <f>IFERROR(__xludf.DUMMYFUNCTION("""COMPUTED_VALUE"""),4494455.0)</f>
        <v>4494455</v>
      </c>
      <c r="C813" s="65" t="str">
        <f>IFERROR(__xludf.DUMMYFUNCTION("""COMPUTED_VALUE"""),"19:48")</f>
        <v>19:48</v>
      </c>
      <c r="D813" s="65" t="str">
        <f>IFERROR(__xludf.DUMMYFUNCTION("""COMPUTED_VALUE"""),"12-02-2026")</f>
        <v>12-02-2026</v>
      </c>
      <c r="E813" s="65" t="str">
        <f>IFERROR(__xludf.DUMMYFUNCTION("""COMPUTED_VALUE"""),"Jorge Peralta")</f>
        <v>Jorge Peralta</v>
      </c>
      <c r="F813" s="65" t="str">
        <f>IFERROR(__xludf.DUMMYFUNCTION("""COMPUTED_VALUE"""),"992868172")</f>
        <v>992868172</v>
      </c>
      <c r="G813" s="65"/>
      <c r="H813" s="65"/>
      <c r="I813" s="65"/>
      <c r="J813" s="65"/>
      <c r="K813" s="65" t="str">
        <f>IFERROR(__xludf.DUMMYFUNCTION("""COMPUTED_VALUE"""),"PENDIENTE CONFIRMACION")</f>
        <v>PENDIENTE CONFIRMACION</v>
      </c>
      <c r="L813" s="65" t="str">
        <f>IFERROR(__xludf.DUMMYFUNCTION("""COMPUTED_VALUE"""),"CON RECAUDO")</f>
        <v>CON RECAUDO</v>
      </c>
      <c r="M813" s="65" t="str">
        <f>IFERROR(__xludf.DUMMYFUNCTION("""COMPUTED_VALUE"""),"PICHINCHA")</f>
        <v>PICHINCHA</v>
      </c>
      <c r="N813" s="65" t="str">
        <f>IFERROR(__xludf.DUMMYFUNCTION("""COMPUTED_VALUE"""),"QUITO")</f>
        <v>QUITO</v>
      </c>
      <c r="O813" s="65" t="str">
        <f>IFERROR(__xludf.DUMMYFUNCTION("""COMPUTED_VALUE"""),"Oe 17 N -")</f>
        <v>Oe 17 N -</v>
      </c>
      <c r="P813" s="65"/>
      <c r="Q813" s="65" t="str">
        <f>IFERROR(__xludf.DUMMYFUNCTION("""COMPUTED_VALUE"""),"GINTRACOM")</f>
        <v>GINTRACOM</v>
      </c>
      <c r="R813" s="65">
        <f>IFERROR(__xludf.DUMMYFUNCTION("""COMPUTED_VALUE"""),30.0)</f>
        <v>30</v>
      </c>
      <c r="S813" s="65"/>
      <c r="T813" s="65">
        <f>IFERROR(__xludf.DUMMYFUNCTION("""COMPUTED_VALUE"""),6.16)</f>
        <v>6.16</v>
      </c>
      <c r="U813" s="65">
        <f>IFERROR(__xludf.DUMMYFUNCTION("""COMPUTED_VALUE"""),0.0)</f>
        <v>0</v>
      </c>
      <c r="V813" s="65">
        <f>IFERROR(__xludf.DUMMYFUNCTION("""COMPUTED_VALUE"""),0.0)</f>
        <v>0</v>
      </c>
      <c r="W813" s="65">
        <f>IFERROR(__xludf.DUMMYFUNCTION("""COMPUTED_VALUE"""),0.0)</f>
        <v>0</v>
      </c>
      <c r="X813" s="65">
        <f>IFERROR(__xludf.DUMMYFUNCTION("""COMPUTED_VALUE"""),2.4)</f>
        <v>2.4</v>
      </c>
      <c r="Y813" s="65">
        <f>IFERROR(__xludf.DUMMYFUNCTION("""COMPUTED_VALUE"""),7.2)</f>
        <v>7.2</v>
      </c>
      <c r="Z813" s="65">
        <f>IFERROR(__xludf.DUMMYFUNCTION("""COMPUTED_VALUE"""),120732.0)</f>
        <v>120732</v>
      </c>
      <c r="AA813" s="65" t="str">
        <f>IFERROR(__xludf.DUMMYFUNCTION("""COMPUTED_VALUE"""),"PROV-LMPVT")</f>
        <v>PROV-LMPVT</v>
      </c>
      <c r="AB813" s="65"/>
      <c r="AC813" s="65" t="str">
        <f>IFERROR(__xludf.DUMMYFUNCTION("""COMPUTED_VALUE"""),"LIMPIADOR DE PARABRISAS Y VENTANAS")</f>
        <v>LIMPIADOR DE PARABRISAS Y VENTANAS</v>
      </c>
      <c r="AD813" s="65"/>
      <c r="AE813" s="65">
        <f>IFERROR(__xludf.DUMMYFUNCTION("""COMPUTED_VALUE"""),3.0)</f>
        <v>3</v>
      </c>
      <c r="AF813" s="65"/>
      <c r="AG813" s="65"/>
      <c r="AH813" s="65"/>
      <c r="AI813" s="65"/>
      <c r="AJ813" s="65"/>
      <c r="AK813" s="65"/>
      <c r="AL813" s="65"/>
      <c r="AM813" s="65"/>
      <c r="AN813" s="65"/>
      <c r="AO813" s="65"/>
      <c r="AP813" s="65"/>
      <c r="AQ813" s="65"/>
      <c r="AR813" s="65"/>
      <c r="AS813" s="65"/>
      <c r="AT813" s="65" t="str">
        <f>IFERROR(__xludf.DUMMYFUNCTION("""COMPUTED_VALUE"""),"SHOPIFY")</f>
        <v>SHOPIFY</v>
      </c>
      <c r="AU813" s="65" t="str">
        <f>IFERROR(__xludf.DUMMYFUNCTION("""COMPUTED_VALUE"""),"IMPORTEX EC")</f>
        <v>IMPORTEX EC</v>
      </c>
      <c r="AV813" s="65" t="str">
        <f>IFERROR(__xludf.DUMMYFUNCTION("""COMPUTED_VALUE"""),"6499437117484")</f>
        <v>6499437117484</v>
      </c>
      <c r="AW813" s="65">
        <f>IFERROR(__xludf.DUMMYFUNCTION("""COMPUTED_VALUE"""),6067.0)</f>
        <v>6067</v>
      </c>
      <c r="AX813" s="65"/>
      <c r="AY813" s="65"/>
      <c r="AZ813" s="65"/>
      <c r="BA813" s="65"/>
    </row>
    <row r="814">
      <c r="A814" s="65" t="str">
        <f>IFERROR(__xludf.DUMMYFUNCTION("""COMPUTED_VALUE"""),"27-03-2026")</f>
        <v>27-03-2026</v>
      </c>
      <c r="B814" s="65">
        <f>IFERROR(__xludf.DUMMYFUNCTION("""COMPUTED_VALUE"""),4494048.0)</f>
        <v>4494048</v>
      </c>
      <c r="C814" s="65" t="str">
        <f>IFERROR(__xludf.DUMMYFUNCTION("""COMPUTED_VALUE"""),"19:01")</f>
        <v>19:01</v>
      </c>
      <c r="D814" s="65" t="str">
        <f>IFERROR(__xludf.DUMMYFUNCTION("""COMPUTED_VALUE"""),"12-02-2026")</f>
        <v>12-02-2026</v>
      </c>
      <c r="E814" s="65" t="str">
        <f>IFERROR(__xludf.DUMMYFUNCTION("""COMPUTED_VALUE"""),"Antoñia Tanguila")</f>
        <v>Antoñia Tanguila</v>
      </c>
      <c r="F814" s="65" t="str">
        <f>IFERROR(__xludf.DUMMYFUNCTION("""COMPUTED_VALUE"""),"981890586")</f>
        <v>981890586</v>
      </c>
      <c r="G814" s="65"/>
      <c r="H814" s="65"/>
      <c r="I814" s="65"/>
      <c r="J814" s="65"/>
      <c r="K814" s="65" t="str">
        <f>IFERROR(__xludf.DUMMYFUNCTION("""COMPUTED_VALUE"""),"PENDIENTE CONFIRMACION")</f>
        <v>PENDIENTE CONFIRMACION</v>
      </c>
      <c r="L814" s="65" t="str">
        <f>IFERROR(__xludf.DUMMYFUNCTION("""COMPUTED_VALUE"""),"CON RECAUDO")</f>
        <v>CON RECAUDO</v>
      </c>
      <c r="M814" s="65" t="str">
        <f>IFERROR(__xludf.DUMMYFUNCTION("""COMPUTED_VALUE"""),"SUCUMBIOS")</f>
        <v>SUCUMBIOS</v>
      </c>
      <c r="N814" s="65" t="str">
        <f>IFERROR(__xludf.DUMMYFUNCTION("""COMPUTED_VALUE"""),"LAGO AGRIO")</f>
        <v>LAGO AGRIO</v>
      </c>
      <c r="O814" s="65" t="str">
        <f>IFERROR(__xludf.DUMMYFUNCTION("""COMPUTED_VALUE"""),"Calle cofanes")</f>
        <v>Calle cofanes</v>
      </c>
      <c r="P814" s="65" t="str">
        <f>IFERROR(__xludf.DUMMYFUNCTION("""COMPUTED_VALUE"""),"CUCHILLO PARA CHEF: Default Title ***")</f>
        <v>CUCHILLO PARA CHEF: Default Title ***</v>
      </c>
      <c r="Q814" s="65" t="str">
        <f>IFERROR(__xludf.DUMMYFUNCTION("""COMPUTED_VALUE"""),"GINTRACOM")</f>
        <v>GINTRACOM</v>
      </c>
      <c r="R814" s="65">
        <f>IFERROR(__xludf.DUMMYFUNCTION("""COMPUTED_VALUE"""),21.99)</f>
        <v>21.99</v>
      </c>
      <c r="S814" s="65"/>
      <c r="T814" s="65">
        <f>IFERROR(__xludf.DUMMYFUNCTION("""COMPUTED_VALUE"""),5.84)</f>
        <v>5.84</v>
      </c>
      <c r="U814" s="65">
        <f>IFERROR(__xludf.DUMMYFUNCTION("""COMPUTED_VALUE"""),0.0)</f>
        <v>0</v>
      </c>
      <c r="V814" s="65">
        <f>IFERROR(__xludf.DUMMYFUNCTION("""COMPUTED_VALUE"""),0.0)</f>
        <v>0</v>
      </c>
      <c r="W814" s="65">
        <f>IFERROR(__xludf.DUMMYFUNCTION("""COMPUTED_VALUE"""),0.0)</f>
        <v>0</v>
      </c>
      <c r="X814" s="65">
        <f>IFERROR(__xludf.DUMMYFUNCTION("""COMPUTED_VALUE"""),2.6)</f>
        <v>2.6</v>
      </c>
      <c r="Y814" s="65">
        <f>IFERROR(__xludf.DUMMYFUNCTION("""COMPUTED_VALUE"""),2.6)</f>
        <v>2.6</v>
      </c>
      <c r="Z814" s="65">
        <f>IFERROR(__xludf.DUMMYFUNCTION("""COMPUTED_VALUE"""),121983.0)</f>
        <v>121983</v>
      </c>
      <c r="AA814" s="65" t="str">
        <f>IFERROR(__xludf.DUMMYFUNCTION("""COMPUTED_VALUE"""),"PROV-CHLLCF")</f>
        <v>PROV-CHLLCF</v>
      </c>
      <c r="AB814" s="65"/>
      <c r="AC814" s="65" t="str">
        <f>IFERROR(__xludf.DUMMYFUNCTION("""COMPUTED_VALUE"""),"CUCHILLO PARA CHEF")</f>
        <v>CUCHILLO PARA CHEF</v>
      </c>
      <c r="AD814" s="65"/>
      <c r="AE814" s="65">
        <f>IFERROR(__xludf.DUMMYFUNCTION("""COMPUTED_VALUE"""),1.0)</f>
        <v>1</v>
      </c>
      <c r="AF814" s="65"/>
      <c r="AG814" s="65"/>
      <c r="AH814" s="65"/>
      <c r="AI814" s="65"/>
      <c r="AJ814" s="65"/>
      <c r="AK814" s="65"/>
      <c r="AL814" s="65"/>
      <c r="AM814" s="65"/>
      <c r="AN814" s="65"/>
      <c r="AO814" s="65"/>
      <c r="AP814" s="65"/>
      <c r="AQ814" s="65"/>
      <c r="AR814" s="65"/>
      <c r="AS814" s="65"/>
      <c r="AT814" s="65" t="str">
        <f>IFERROR(__xludf.DUMMYFUNCTION("""COMPUTED_VALUE"""),"SHOPIFY")</f>
        <v>SHOPIFY</v>
      </c>
      <c r="AU814" s="65" t="str">
        <f>IFERROR(__xludf.DUMMYFUNCTION("""COMPUTED_VALUE"""),"IMPORTEX EC")</f>
        <v>IMPORTEX EC</v>
      </c>
      <c r="AV814" s="65" t="str">
        <f>IFERROR(__xludf.DUMMYFUNCTION("""COMPUTED_VALUE"""),"6499348185132")</f>
        <v>6499348185132</v>
      </c>
      <c r="AW814" s="65">
        <f>IFERROR(__xludf.DUMMYFUNCTION("""COMPUTED_VALUE"""),6066.0)</f>
        <v>6066</v>
      </c>
      <c r="AX814" s="65"/>
      <c r="AY814" s="65"/>
      <c r="AZ814" s="65"/>
      <c r="BA814" s="65"/>
    </row>
    <row r="815">
      <c r="A815" s="65" t="str">
        <f>IFERROR(__xludf.DUMMYFUNCTION("""COMPUTED_VALUE"""),"27-03-2026")</f>
        <v>27-03-2026</v>
      </c>
      <c r="B815" s="65">
        <f>IFERROR(__xludf.DUMMYFUNCTION("""COMPUTED_VALUE"""),4493703.0)</f>
        <v>4493703</v>
      </c>
      <c r="C815" s="65" t="str">
        <f>IFERROR(__xludf.DUMMYFUNCTION("""COMPUTED_VALUE"""),"18:14")</f>
        <v>18:14</v>
      </c>
      <c r="D815" s="65" t="str">
        <f>IFERROR(__xludf.DUMMYFUNCTION("""COMPUTED_VALUE"""),"12-02-2026")</f>
        <v>12-02-2026</v>
      </c>
      <c r="E815" s="65" t="str">
        <f>IFERROR(__xludf.DUMMYFUNCTION("""COMPUTED_VALUE"""),"Samuel Elías Mosquera santiana")</f>
        <v>Samuel Elías Mosquera santiana</v>
      </c>
      <c r="F815" s="65" t="str">
        <f>IFERROR(__xludf.DUMMYFUNCTION("""COMPUTED_VALUE"""),"997251001")</f>
        <v>997251001</v>
      </c>
      <c r="G815" s="65"/>
      <c r="H815" s="65"/>
      <c r="I815" s="65"/>
      <c r="J815" s="65" t="str">
        <f>IFERROR(__xludf.DUMMYFUNCTION("""COMPUTED_VALUE"""),"187049570")</f>
        <v>187049570</v>
      </c>
      <c r="K815" s="65" t="str">
        <f>IFERROR(__xludf.DUMMYFUNCTION("""COMPUTED_VALUE"""),"ENTREGADO")</f>
        <v>ENTREGADO</v>
      </c>
      <c r="L815" s="65" t="str">
        <f>IFERROR(__xludf.DUMMYFUNCTION("""COMPUTED_VALUE"""),"CON RECAUDO")</f>
        <v>CON RECAUDO</v>
      </c>
      <c r="M815" s="65" t="str">
        <f>IFERROR(__xludf.DUMMYFUNCTION("""COMPUTED_VALUE"""),"EL ORO")</f>
        <v>EL ORO</v>
      </c>
      <c r="N815" s="65" t="str">
        <f>IFERROR(__xludf.DUMMYFUNCTION("""COMPUTED_VALUE"""),"MACHALA")</f>
        <v>MACHALA</v>
      </c>
      <c r="O815" s="65" t="str">
        <f>IFERROR(__xludf.DUMMYFUNCTION("""COMPUTED_VALUE"""),"RETIRA EN CS : MACHALA_PARQUE LINEAL - AV HECTOR CHICA ENTRE MARGARITA BONILLA Y LA 9NA SUR")</f>
        <v>RETIRA EN CS : MACHALA_PARQUE LINEAL - AV HECTOR CHICA ENTRE MARGARITA BONILLA Y LA 9NA SUR</v>
      </c>
      <c r="P815" s="65"/>
      <c r="Q815" s="65" t="str">
        <f>IFERROR(__xludf.DUMMYFUNCTION("""COMPUTED_VALUE"""),"SERVIENTREGA")</f>
        <v>SERVIENTREGA</v>
      </c>
      <c r="R815" s="65">
        <f>IFERROR(__xludf.DUMMYFUNCTION("""COMPUTED_VALUE"""),22.0)</f>
        <v>22</v>
      </c>
      <c r="S815" s="65">
        <f>IFERROR(__xludf.DUMMYFUNCTION("""COMPUTED_VALUE"""),10.8)</f>
        <v>10.8</v>
      </c>
      <c r="T815" s="65">
        <f>IFERROR(__xludf.DUMMYFUNCTION("""COMPUTED_VALUE"""),6.0)</f>
        <v>6</v>
      </c>
      <c r="U815" s="65">
        <f>IFERROR(__xludf.DUMMYFUNCTION("""COMPUTED_VALUE"""),0.0)</f>
        <v>0</v>
      </c>
      <c r="V815" s="65">
        <f>IFERROR(__xludf.DUMMYFUNCTION("""COMPUTED_VALUE"""),0.0)</f>
        <v>0</v>
      </c>
      <c r="W815" s="65">
        <f>IFERROR(__xludf.DUMMYFUNCTION("""COMPUTED_VALUE"""),0.0)</f>
        <v>0</v>
      </c>
      <c r="X815" s="65">
        <f>IFERROR(__xludf.DUMMYFUNCTION("""COMPUTED_VALUE"""),2.6)</f>
        <v>2.6</v>
      </c>
      <c r="Y815" s="65">
        <f>IFERROR(__xludf.DUMMYFUNCTION("""COMPUTED_VALUE"""),5.2)</f>
        <v>5.2</v>
      </c>
      <c r="Z815" s="65">
        <f>IFERROR(__xludf.DUMMYFUNCTION("""COMPUTED_VALUE"""),121983.0)</f>
        <v>121983</v>
      </c>
      <c r="AA815" s="65" t="str">
        <f>IFERROR(__xludf.DUMMYFUNCTION("""COMPUTED_VALUE"""),"PROV-CHLLCF")</f>
        <v>PROV-CHLLCF</v>
      </c>
      <c r="AB815" s="65"/>
      <c r="AC815" s="65" t="str">
        <f>IFERROR(__xludf.DUMMYFUNCTION("""COMPUTED_VALUE"""),"CUCHILLO PARA CHEF")</f>
        <v>CUCHILLO PARA CHEF</v>
      </c>
      <c r="AD815" s="65"/>
      <c r="AE815" s="65">
        <f>IFERROR(__xludf.DUMMYFUNCTION("""COMPUTED_VALUE"""),2.0)</f>
        <v>2</v>
      </c>
      <c r="AF815" s="65"/>
      <c r="AG815" s="65"/>
      <c r="AH815" s="65"/>
      <c r="AI815" s="65"/>
      <c r="AJ815" s="65"/>
      <c r="AK815" s="65"/>
      <c r="AL815" s="65"/>
      <c r="AM815" s="65"/>
      <c r="AN815" s="65" t="str">
        <f>IFERROR(__xludf.DUMMYFUNCTION("""COMPUTED_VALUE"""),"22:11")</f>
        <v>22:11</v>
      </c>
      <c r="AO815" s="65" t="str">
        <f>IFERROR(__xludf.DUMMYFUNCTION("""COMPUTED_VALUE"""),"04-03-2026")</f>
        <v>04-03-2026</v>
      </c>
      <c r="AP815" s="65" t="str">
        <f>IFERROR(__xludf.DUMMYFUNCTION("""COMPUTED_VALUE"""),"ENTREGA DIGITALIZADA EN CENTRO LOGISTICO")</f>
        <v>ENTREGA DIGITALIZADA EN CENTRO LOGISTICO</v>
      </c>
      <c r="AQ815" s="65" t="str">
        <f>IFERROR(__xludf.DUMMYFUNCTION("""COMPUTED_VALUE"""),"ELIAS MOSQUERA")</f>
        <v>ELIAS MOSQUERA</v>
      </c>
      <c r="AR815" s="65"/>
      <c r="AS815" s="65"/>
      <c r="AT815" s="65" t="str">
        <f>IFERROR(__xludf.DUMMYFUNCTION("""COMPUTED_VALUE"""),"CHATEA PRO")</f>
        <v>CHATEA PRO</v>
      </c>
      <c r="AU815" s="65" t="str">
        <f>IFERROR(__xludf.DUMMYFUNCTION("""COMPUTED_VALUE"""),"CHATEA PRO")</f>
        <v>CHATEA PRO</v>
      </c>
      <c r="AV815" s="65"/>
      <c r="AW815" s="65"/>
      <c r="AX815" s="65"/>
      <c r="AY815" s="65" t="str">
        <f>IFERROR(__xludf.DUMMYFUNCTION("""COMPUTED_VALUE"""),"13/02/2026")</f>
        <v>13/02/2026</v>
      </c>
      <c r="AZ815" s="65"/>
      <c r="BA815" s="65"/>
    </row>
    <row r="816">
      <c r="A816" s="65" t="str">
        <f>IFERROR(__xludf.DUMMYFUNCTION("""COMPUTED_VALUE"""),"27-03-2026")</f>
        <v>27-03-2026</v>
      </c>
      <c r="B816" s="65">
        <f>IFERROR(__xludf.DUMMYFUNCTION("""COMPUTED_VALUE"""),4493589.0)</f>
        <v>4493589</v>
      </c>
      <c r="C816" s="65" t="str">
        <f>IFERROR(__xludf.DUMMYFUNCTION("""COMPUTED_VALUE"""),"17:59")</f>
        <v>17:59</v>
      </c>
      <c r="D816" s="65" t="str">
        <f>IFERROR(__xludf.DUMMYFUNCTION("""COMPUTED_VALUE"""),"12-02-2026")</f>
        <v>12-02-2026</v>
      </c>
      <c r="E816" s="65" t="str">
        <f>IFERROR(__xludf.DUMMYFUNCTION("""COMPUTED_VALUE"""),"Luis Francisco Sánchez Lima")</f>
        <v>Luis Francisco Sánchez Lima</v>
      </c>
      <c r="F816" s="65" t="str">
        <f>IFERROR(__xludf.DUMMYFUNCTION("""COMPUTED_VALUE"""),"959898815")</f>
        <v>959898815</v>
      </c>
      <c r="G816" s="65"/>
      <c r="H816" s="65"/>
      <c r="I816" s="65"/>
      <c r="J816" s="65"/>
      <c r="K816" s="65" t="str">
        <f>IFERROR(__xludf.DUMMYFUNCTION("""COMPUTED_VALUE"""),"PENDIENTE CONFIRMACION")</f>
        <v>PENDIENTE CONFIRMACION</v>
      </c>
      <c r="L816" s="65" t="str">
        <f>IFERROR(__xludf.DUMMYFUNCTION("""COMPUTED_VALUE"""),"CON RECAUDO")</f>
        <v>CON RECAUDO</v>
      </c>
      <c r="M816" s="65" t="str">
        <f>IFERROR(__xludf.DUMMYFUNCTION("""COMPUTED_VALUE"""),"AZUAY")</f>
        <v>AZUAY</v>
      </c>
      <c r="N816" s="65" t="str">
        <f>IFERROR(__xludf.DUMMYFUNCTION("""COMPUTED_VALUE"""),"PONCE ENRIQUEZ")</f>
        <v>PONCE ENRIQUEZ</v>
      </c>
      <c r="O816" s="65" t="str">
        <f>IFERROR(__xludf.DUMMYFUNCTION("""COMPUTED_VALUE"""),"-")</f>
        <v>-</v>
      </c>
      <c r="P816" s="65" t="str">
        <f>IFERROR(__xludf.DUMMYFUNCTION("""COMPUTED_VALUE"""),"CUCHILLO PARA CHEF: Default Title ***")</f>
        <v>CUCHILLO PARA CHEF: Default Title ***</v>
      </c>
      <c r="Q816" s="65" t="str">
        <f>IFERROR(__xludf.DUMMYFUNCTION("""COMPUTED_VALUE"""),"LAARCOURIER")</f>
        <v>LAARCOURIER</v>
      </c>
      <c r="R816" s="65">
        <f>IFERROR(__xludf.DUMMYFUNCTION("""COMPUTED_VALUE"""),43.98)</f>
        <v>43.98</v>
      </c>
      <c r="S816" s="65"/>
      <c r="T816" s="65">
        <f>IFERROR(__xludf.DUMMYFUNCTION("""COMPUTED_VALUE"""),8.28)</f>
        <v>8.28</v>
      </c>
      <c r="U816" s="65">
        <f>IFERROR(__xludf.DUMMYFUNCTION("""COMPUTED_VALUE"""),0.0)</f>
        <v>0</v>
      </c>
      <c r="V816" s="65">
        <f>IFERROR(__xludf.DUMMYFUNCTION("""COMPUTED_VALUE"""),0.0)</f>
        <v>0</v>
      </c>
      <c r="W816" s="65">
        <f>IFERROR(__xludf.DUMMYFUNCTION("""COMPUTED_VALUE"""),0.0)</f>
        <v>0</v>
      </c>
      <c r="X816" s="65">
        <f>IFERROR(__xludf.DUMMYFUNCTION("""COMPUTED_VALUE"""),2.6)</f>
        <v>2.6</v>
      </c>
      <c r="Y816" s="65">
        <f>IFERROR(__xludf.DUMMYFUNCTION("""COMPUTED_VALUE"""),5.2)</f>
        <v>5.2</v>
      </c>
      <c r="Z816" s="65">
        <f>IFERROR(__xludf.DUMMYFUNCTION("""COMPUTED_VALUE"""),121983.0)</f>
        <v>121983</v>
      </c>
      <c r="AA816" s="65" t="str">
        <f>IFERROR(__xludf.DUMMYFUNCTION("""COMPUTED_VALUE"""),"PROV-CHLLCF")</f>
        <v>PROV-CHLLCF</v>
      </c>
      <c r="AB816" s="65"/>
      <c r="AC816" s="65" t="str">
        <f>IFERROR(__xludf.DUMMYFUNCTION("""COMPUTED_VALUE"""),"CUCHILLO PARA CHEF")</f>
        <v>CUCHILLO PARA CHEF</v>
      </c>
      <c r="AD816" s="65"/>
      <c r="AE816" s="65">
        <f>IFERROR(__xludf.DUMMYFUNCTION("""COMPUTED_VALUE"""),2.0)</f>
        <v>2</v>
      </c>
      <c r="AF816" s="65"/>
      <c r="AG816" s="65"/>
      <c r="AH816" s="65"/>
      <c r="AI816" s="65"/>
      <c r="AJ816" s="65"/>
      <c r="AK816" s="65"/>
      <c r="AL816" s="65"/>
      <c r="AM816" s="65"/>
      <c r="AN816" s="65"/>
      <c r="AO816" s="65"/>
      <c r="AP816" s="65"/>
      <c r="AQ816" s="65"/>
      <c r="AR816" s="65"/>
      <c r="AS816" s="65"/>
      <c r="AT816" s="65" t="str">
        <f>IFERROR(__xludf.DUMMYFUNCTION("""COMPUTED_VALUE"""),"SHOPIFY")</f>
        <v>SHOPIFY</v>
      </c>
      <c r="AU816" s="65" t="str">
        <f>IFERROR(__xludf.DUMMYFUNCTION("""COMPUTED_VALUE"""),"IMPORTEX EC")</f>
        <v>IMPORTEX EC</v>
      </c>
      <c r="AV816" s="65" t="str">
        <f>IFERROR(__xludf.DUMMYFUNCTION("""COMPUTED_VALUE"""),"6499233169452")</f>
        <v>6499233169452</v>
      </c>
      <c r="AW816" s="65">
        <f>IFERROR(__xludf.DUMMYFUNCTION("""COMPUTED_VALUE"""),6065.0)</f>
        <v>6065</v>
      </c>
      <c r="AX816" s="65"/>
      <c r="AY816" s="65"/>
      <c r="AZ816" s="65"/>
      <c r="BA816" s="65"/>
    </row>
    <row r="817">
      <c r="A817" s="65" t="str">
        <f>IFERROR(__xludf.DUMMYFUNCTION("""COMPUTED_VALUE"""),"27-03-2026")</f>
        <v>27-03-2026</v>
      </c>
      <c r="B817" s="65">
        <f>IFERROR(__xludf.DUMMYFUNCTION("""COMPUTED_VALUE"""),4493464.0)</f>
        <v>4493464</v>
      </c>
      <c r="C817" s="65" t="str">
        <f>IFERROR(__xludf.DUMMYFUNCTION("""COMPUTED_VALUE"""),"17:45")</f>
        <v>17:45</v>
      </c>
      <c r="D817" s="65" t="str">
        <f>IFERROR(__xludf.DUMMYFUNCTION("""COMPUTED_VALUE"""),"12-02-2026")</f>
        <v>12-02-2026</v>
      </c>
      <c r="E817" s="65" t="str">
        <f>IFERROR(__xludf.DUMMYFUNCTION("""COMPUTED_VALUE"""),"Freddy Valarezo")</f>
        <v>Freddy Valarezo</v>
      </c>
      <c r="F817" s="65" t="str">
        <f>IFERROR(__xludf.DUMMYFUNCTION("""COMPUTED_VALUE"""),"994504664")</f>
        <v>994504664</v>
      </c>
      <c r="G817" s="65"/>
      <c r="H817" s="65"/>
      <c r="I817" s="65"/>
      <c r="J817" s="65" t="str">
        <f>IFERROR(__xludf.DUMMYFUNCTION("""COMPUTED_VALUE"""),"187049577")</f>
        <v>187049577</v>
      </c>
      <c r="K817" s="65" t="str">
        <f>IFERROR(__xludf.DUMMYFUNCTION("""COMPUTED_VALUE"""),"DEVOLUCION")</f>
        <v>DEVOLUCION</v>
      </c>
      <c r="L817" s="65" t="str">
        <f>IFERROR(__xludf.DUMMYFUNCTION("""COMPUTED_VALUE"""),"CON RECAUDO")</f>
        <v>CON RECAUDO</v>
      </c>
      <c r="M817" s="65" t="str">
        <f>IFERROR(__xludf.DUMMYFUNCTION("""COMPUTED_VALUE"""),"EL ORO")</f>
        <v>EL ORO</v>
      </c>
      <c r="N817" s="65" t="str">
        <f>IFERROR(__xludf.DUMMYFUNCTION("""COMPUTED_VALUE"""),"MACHALA")</f>
        <v>MACHALA</v>
      </c>
      <c r="O817" s="65" t="str">
        <f>IFERROR(__xludf.DUMMYFUNCTION("""COMPUTED_VALUE"""),"RET EN CS : MACHALA_LAS CRUCITAS , AV ALEJANDRO CASTTO BENITEZ ENTRE BRAZIL Y ECUADOR")</f>
        <v>RET EN CS : MACHALA_LAS CRUCITAS , AV ALEJANDRO CASTTO BENITEZ ENTRE BRAZIL Y ECUADOR</v>
      </c>
      <c r="P817" s="65"/>
      <c r="Q817" s="65" t="str">
        <f>IFERROR(__xludf.DUMMYFUNCTION("""COMPUTED_VALUE"""),"SERVIENTREGA")</f>
        <v>SERVIENTREGA</v>
      </c>
      <c r="R817" s="65">
        <f>IFERROR(__xludf.DUMMYFUNCTION("""COMPUTED_VALUE"""),22.0)</f>
        <v>22</v>
      </c>
      <c r="S817" s="65"/>
      <c r="T817" s="65">
        <f>IFERROR(__xludf.DUMMYFUNCTION("""COMPUTED_VALUE"""),6.0)</f>
        <v>6</v>
      </c>
      <c r="U817" s="65">
        <f>IFERROR(__xludf.DUMMYFUNCTION("""COMPUTED_VALUE"""),0.0)</f>
        <v>0</v>
      </c>
      <c r="V817" s="65">
        <f>IFERROR(__xludf.DUMMYFUNCTION("""COMPUTED_VALUE"""),0.0)</f>
        <v>0</v>
      </c>
      <c r="W817" s="65">
        <f>IFERROR(__xludf.DUMMYFUNCTION("""COMPUTED_VALUE"""),0.0)</f>
        <v>0</v>
      </c>
      <c r="X817" s="65">
        <f>IFERROR(__xludf.DUMMYFUNCTION("""COMPUTED_VALUE"""),2.6)</f>
        <v>2.6</v>
      </c>
      <c r="Y817" s="65">
        <f>IFERROR(__xludf.DUMMYFUNCTION("""COMPUTED_VALUE"""),5.2)</f>
        <v>5.2</v>
      </c>
      <c r="Z817" s="65">
        <f>IFERROR(__xludf.DUMMYFUNCTION("""COMPUTED_VALUE"""),121983.0)</f>
        <v>121983</v>
      </c>
      <c r="AA817" s="65" t="str">
        <f>IFERROR(__xludf.DUMMYFUNCTION("""COMPUTED_VALUE"""),"PROV-CHLLCF")</f>
        <v>PROV-CHLLCF</v>
      </c>
      <c r="AB817" s="65"/>
      <c r="AC817" s="65" t="str">
        <f>IFERROR(__xludf.DUMMYFUNCTION("""COMPUTED_VALUE"""),"CUCHILLO PARA CHEF")</f>
        <v>CUCHILLO PARA CHEF</v>
      </c>
      <c r="AD817" s="65"/>
      <c r="AE817" s="65">
        <f>IFERROR(__xludf.DUMMYFUNCTION("""COMPUTED_VALUE"""),2.0)</f>
        <v>2</v>
      </c>
      <c r="AF817" s="65" t="str">
        <f>IFERROR(__xludf.DUMMYFUNCTION("""COMPUTED_VALUE"""),"DEVUELTO DE")</f>
        <v>DEVUELTO DE</v>
      </c>
      <c r="AG817" s="65" t="str">
        <f>IFERROR(__xludf.DUMMYFUNCTION("""COMPUTED_VALUE"""),"NO")</f>
        <v>NO</v>
      </c>
      <c r="AH817" s="65" t="str">
        <f>IFERROR(__xludf.DUMMYFUNCTION("""COMPUTED_VALUE"""),"11:49")</f>
        <v>11:49</v>
      </c>
      <c r="AI817" s="65" t="str">
        <f>IFERROR(__xludf.DUMMYFUNCTION("""COMPUTED_VALUE"""),"27-02-2026")</f>
        <v>27-02-2026</v>
      </c>
      <c r="AJ817" s="65"/>
      <c r="AK817" s="65"/>
      <c r="AL817" s="65"/>
      <c r="AM817" s="65"/>
      <c r="AN817" s="65" t="str">
        <f>IFERROR(__xludf.DUMMYFUNCTION("""COMPUTED_VALUE"""),"08:43")</f>
        <v>08:43</v>
      </c>
      <c r="AO817" s="65" t="str">
        <f>IFERROR(__xludf.DUMMYFUNCTION("""COMPUTED_VALUE"""),"03-03-2026")</f>
        <v>03-03-2026</v>
      </c>
      <c r="AP817" s="65" t="str">
        <f>IFERROR(__xludf.DUMMYFUNCTION("""COMPUTED_VALUE"""),"DEV CONFIRMADA POR BODEGA")</f>
        <v>DEV CONFIRMADA POR BODEGA</v>
      </c>
      <c r="AQ817" s="65"/>
      <c r="AR817" s="65" t="str">
        <f>IFERROR(__xludf.DUMMYFUNCTION("""COMPUTED_VALUE"""),"Gestionado por: PROVEDIX DAMIAN, email:enviogratisdirecto@gmail.com, total de productos en la orden: 1")</f>
        <v>Gestionado por: PROVEDIX DAMIAN, email:enviogratisdirecto@gmail.com, total de productos en la orden: 1</v>
      </c>
      <c r="AS817" s="65"/>
      <c r="AT817" s="65" t="str">
        <f>IFERROR(__xludf.DUMMYFUNCTION("""COMPUTED_VALUE"""),"CHATEA PRO")</f>
        <v>CHATEA PRO</v>
      </c>
      <c r="AU817" s="65" t="str">
        <f>IFERROR(__xludf.DUMMYFUNCTION("""COMPUTED_VALUE"""),"CHATEA PRO")</f>
        <v>CHATEA PRO</v>
      </c>
      <c r="AV817" s="65"/>
      <c r="AW817" s="65"/>
      <c r="AX817" s="65"/>
      <c r="AY817" s="65" t="str">
        <f>IFERROR(__xludf.DUMMYFUNCTION("""COMPUTED_VALUE"""),"13/02/2026")</f>
        <v>13/02/2026</v>
      </c>
      <c r="AZ817" s="65"/>
      <c r="BA817" s="65"/>
    </row>
    <row r="818">
      <c r="A818" s="65" t="str">
        <f>IFERROR(__xludf.DUMMYFUNCTION("""COMPUTED_VALUE"""),"27-03-2026")</f>
        <v>27-03-2026</v>
      </c>
      <c r="B818" s="65">
        <f>IFERROR(__xludf.DUMMYFUNCTION("""COMPUTED_VALUE"""),4493142.0)</f>
        <v>4493142</v>
      </c>
      <c r="C818" s="65" t="str">
        <f>IFERROR(__xludf.DUMMYFUNCTION("""COMPUTED_VALUE"""),"17:06")</f>
        <v>17:06</v>
      </c>
      <c r="D818" s="65" t="str">
        <f>IFERROR(__xludf.DUMMYFUNCTION("""COMPUTED_VALUE"""),"12-02-2026")</f>
        <v>12-02-2026</v>
      </c>
      <c r="E818" s="65" t="str">
        <f>IFERROR(__xludf.DUMMYFUNCTION("""COMPUTED_VALUE"""),"Christian Barragán")</f>
        <v>Christian Barragán</v>
      </c>
      <c r="F818" s="65" t="str">
        <f>IFERROR(__xludf.DUMMYFUNCTION("""COMPUTED_VALUE"""),"981268434")</f>
        <v>981268434</v>
      </c>
      <c r="G818" s="65" t="str">
        <f>IFERROR(__xludf.DUMMYFUNCTION("""COMPUTED_VALUE"""),"cobarragan@gmail.com")</f>
        <v>cobarragan@gmail.com</v>
      </c>
      <c r="H818" s="65"/>
      <c r="I818" s="65"/>
      <c r="J818" s="65"/>
      <c r="K818" s="65" t="str">
        <f>IFERROR(__xludf.DUMMYFUNCTION("""COMPUTED_VALUE"""),"PENDIENTE CONFIRMACION")</f>
        <v>PENDIENTE CONFIRMACION</v>
      </c>
      <c r="L818" s="65" t="str">
        <f>IFERROR(__xludf.DUMMYFUNCTION("""COMPUTED_VALUE"""),"CON RECAUDO")</f>
        <v>CON RECAUDO</v>
      </c>
      <c r="M818" s="65" t="str">
        <f>IFERROR(__xludf.DUMMYFUNCTION("""COMPUTED_VALUE"""),"LOS RIOS")</f>
        <v>LOS RIOS</v>
      </c>
      <c r="N818" s="65" t="str">
        <f>IFERROR(__xludf.DUMMYFUNCTION("""COMPUTED_VALUE"""),"VENTANAS")</f>
        <v>VENTANAS</v>
      </c>
      <c r="O818" s="65" t="str">
        <f>IFERROR(__xludf.DUMMYFUNCTION("""COMPUTED_VALUE"""),"Avenida Seminario y calle Asaad Bucaram Casa esquinera de dos pisos frente a la lubricadora Lenin -")</f>
        <v>Avenida Seminario y calle Asaad Bucaram Casa esquinera de dos pisos frente a la lubricadora Lenin -</v>
      </c>
      <c r="P818" s="65"/>
      <c r="Q818" s="65" t="str">
        <f>IFERROR(__xludf.DUMMYFUNCTION("""COMPUTED_VALUE"""),"GINTRACOM")</f>
        <v>GINTRACOM</v>
      </c>
      <c r="R818" s="65">
        <f>IFERROR(__xludf.DUMMYFUNCTION("""COMPUTED_VALUE"""),30.0)</f>
        <v>30</v>
      </c>
      <c r="S818" s="65"/>
      <c r="T818" s="65">
        <f>IFERROR(__xludf.DUMMYFUNCTION("""COMPUTED_VALUE"""),6.16)</f>
        <v>6.16</v>
      </c>
      <c r="U818" s="65">
        <f>IFERROR(__xludf.DUMMYFUNCTION("""COMPUTED_VALUE"""),0.0)</f>
        <v>0</v>
      </c>
      <c r="V818" s="65">
        <f>IFERROR(__xludf.DUMMYFUNCTION("""COMPUTED_VALUE"""),0.0)</f>
        <v>0</v>
      </c>
      <c r="W818" s="65">
        <f>IFERROR(__xludf.DUMMYFUNCTION("""COMPUTED_VALUE"""),0.0)</f>
        <v>0</v>
      </c>
      <c r="X818" s="65">
        <f>IFERROR(__xludf.DUMMYFUNCTION("""COMPUTED_VALUE"""),2.4)</f>
        <v>2.4</v>
      </c>
      <c r="Y818" s="65">
        <f>IFERROR(__xludf.DUMMYFUNCTION("""COMPUTED_VALUE"""),7.2)</f>
        <v>7.2</v>
      </c>
      <c r="Z818" s="65">
        <f>IFERROR(__xludf.DUMMYFUNCTION("""COMPUTED_VALUE"""),120732.0)</f>
        <v>120732</v>
      </c>
      <c r="AA818" s="65" t="str">
        <f>IFERROR(__xludf.DUMMYFUNCTION("""COMPUTED_VALUE"""),"PROV-LMPVT")</f>
        <v>PROV-LMPVT</v>
      </c>
      <c r="AB818" s="65"/>
      <c r="AC818" s="65" t="str">
        <f>IFERROR(__xludf.DUMMYFUNCTION("""COMPUTED_VALUE"""),"LIMPIADOR DE PARABRISAS Y VENTANAS")</f>
        <v>LIMPIADOR DE PARABRISAS Y VENTANAS</v>
      </c>
      <c r="AD818" s="65"/>
      <c r="AE818" s="65">
        <f>IFERROR(__xludf.DUMMYFUNCTION("""COMPUTED_VALUE"""),3.0)</f>
        <v>3</v>
      </c>
      <c r="AF818" s="65"/>
      <c r="AG818" s="65"/>
      <c r="AH818" s="65"/>
      <c r="AI818" s="65"/>
      <c r="AJ818" s="65"/>
      <c r="AK818" s="65"/>
      <c r="AL818" s="65"/>
      <c r="AM818" s="65"/>
      <c r="AN818" s="65"/>
      <c r="AO818" s="65"/>
      <c r="AP818" s="65"/>
      <c r="AQ818" s="65"/>
      <c r="AR818" s="65"/>
      <c r="AS818" s="65"/>
      <c r="AT818" s="65" t="str">
        <f>IFERROR(__xludf.DUMMYFUNCTION("""COMPUTED_VALUE"""),"SHOPIFY")</f>
        <v>SHOPIFY</v>
      </c>
      <c r="AU818" s="65" t="str">
        <f>IFERROR(__xludf.DUMMYFUNCTION("""COMPUTED_VALUE"""),"IMPORTEX EC")</f>
        <v>IMPORTEX EC</v>
      </c>
      <c r="AV818" s="65" t="str">
        <f>IFERROR(__xludf.DUMMYFUNCTION("""COMPUTED_VALUE"""),"6499133915180")</f>
        <v>6499133915180</v>
      </c>
      <c r="AW818" s="65">
        <f>IFERROR(__xludf.DUMMYFUNCTION("""COMPUTED_VALUE"""),6064.0)</f>
        <v>6064</v>
      </c>
      <c r="AX818" s="65"/>
      <c r="AY818" s="65"/>
      <c r="AZ818" s="65"/>
      <c r="BA818" s="65"/>
    </row>
    <row r="819">
      <c r="A819" s="65" t="str">
        <f>IFERROR(__xludf.DUMMYFUNCTION("""COMPUTED_VALUE"""),"27-03-2026")</f>
        <v>27-03-2026</v>
      </c>
      <c r="B819" s="65">
        <f>IFERROR(__xludf.DUMMYFUNCTION("""COMPUTED_VALUE"""),4493094.0)</f>
        <v>4493094</v>
      </c>
      <c r="C819" s="65" t="str">
        <f>IFERROR(__xludf.DUMMYFUNCTION("""COMPUTED_VALUE"""),"17:00")</f>
        <v>17:00</v>
      </c>
      <c r="D819" s="65" t="str">
        <f>IFERROR(__xludf.DUMMYFUNCTION("""COMPUTED_VALUE"""),"12-02-2026")</f>
        <v>12-02-2026</v>
      </c>
      <c r="E819" s="65" t="str">
        <f>IFERROR(__xludf.DUMMYFUNCTION("""COMPUTED_VALUE"""),"Ligia Gonzalez")</f>
        <v>Ligia Gonzalez</v>
      </c>
      <c r="F819" s="65" t="str">
        <f>IFERROR(__xludf.DUMMYFUNCTION("""COMPUTED_VALUE"""),"939257456")</f>
        <v>939257456</v>
      </c>
      <c r="G819" s="65"/>
      <c r="H819" s="65"/>
      <c r="I819" s="65"/>
      <c r="J819" s="65" t="str">
        <f>IFERROR(__xludf.DUMMYFUNCTION("""COMPUTED_VALUE"""),"D001324311")</f>
        <v>D001324311</v>
      </c>
      <c r="K819" s="65" t="str">
        <f>IFERROR(__xludf.DUMMYFUNCTION("""COMPUTED_VALUE"""),"ENTREGADO")</f>
        <v>ENTREGADO</v>
      </c>
      <c r="L819" s="65" t="str">
        <f>IFERROR(__xludf.DUMMYFUNCTION("""COMPUTED_VALUE"""),"CON RECAUDO")</f>
        <v>CON RECAUDO</v>
      </c>
      <c r="M819" s="65" t="str">
        <f>IFERROR(__xludf.DUMMYFUNCTION("""COMPUTED_VALUE"""),"LOJA")</f>
        <v>LOJA</v>
      </c>
      <c r="N819" s="65" t="str">
        <f>IFERROR(__xludf.DUMMYFUNCTION("""COMPUTED_VALUE"""),"LOJA")</f>
        <v>LOJA</v>
      </c>
      <c r="O819" s="65" t="str">
        <f>IFERROR(__xludf.DUMMYFUNCTION("""COMPUTED_VALUE"""),"Gonzalez Suárez y Juan José Peña")</f>
        <v>Gonzalez Suárez y Juan José Peña</v>
      </c>
      <c r="P819" s="65"/>
      <c r="Q819" s="65" t="str">
        <f>IFERROR(__xludf.DUMMYFUNCTION("""COMPUTED_VALUE"""),"GINTRACOM")</f>
        <v>GINTRACOM</v>
      </c>
      <c r="R819" s="65">
        <f>IFERROR(__xludf.DUMMYFUNCTION("""COMPUTED_VALUE"""),32.0)</f>
        <v>32</v>
      </c>
      <c r="S819" s="65">
        <f>IFERROR(__xludf.DUMMYFUNCTION("""COMPUTED_VALUE"""),15.36)</f>
        <v>15.36</v>
      </c>
      <c r="T819" s="65">
        <f>IFERROR(__xludf.DUMMYFUNCTION("""COMPUTED_VALUE"""),6.24)</f>
        <v>6.24</v>
      </c>
      <c r="U819" s="65">
        <f>IFERROR(__xludf.DUMMYFUNCTION("""COMPUTED_VALUE"""),0.0)</f>
        <v>0</v>
      </c>
      <c r="V819" s="65">
        <f>IFERROR(__xludf.DUMMYFUNCTION("""COMPUTED_VALUE"""),0.0)</f>
        <v>0</v>
      </c>
      <c r="W819" s="65">
        <f>IFERROR(__xludf.DUMMYFUNCTION("""COMPUTED_VALUE"""),0.0)</f>
        <v>0</v>
      </c>
      <c r="X819" s="65">
        <f>IFERROR(__xludf.DUMMYFUNCTION("""COMPUTED_VALUE"""),2.6)</f>
        <v>2.6</v>
      </c>
      <c r="Y819" s="65">
        <f>IFERROR(__xludf.DUMMYFUNCTION("""COMPUTED_VALUE"""),10.4)</f>
        <v>10.4</v>
      </c>
      <c r="Z819" s="65">
        <f>IFERROR(__xludf.DUMMYFUNCTION("""COMPUTED_VALUE"""),121983.0)</f>
        <v>121983</v>
      </c>
      <c r="AA819" s="65" t="str">
        <f>IFERROR(__xludf.DUMMYFUNCTION("""COMPUTED_VALUE"""),"PROV-CHLLCF")</f>
        <v>PROV-CHLLCF</v>
      </c>
      <c r="AB819" s="65"/>
      <c r="AC819" s="65" t="str">
        <f>IFERROR(__xludf.DUMMYFUNCTION("""COMPUTED_VALUE"""),"CUCHILLO PARA CHEF")</f>
        <v>CUCHILLO PARA CHEF</v>
      </c>
      <c r="AD819" s="65"/>
      <c r="AE819" s="65">
        <f>IFERROR(__xludf.DUMMYFUNCTION("""COMPUTED_VALUE"""),4.0)</f>
        <v>4</v>
      </c>
      <c r="AF819" s="65" t="str">
        <f>IFERROR(__xludf.DUMMYFUNCTION("""COMPUTED_VALUE"""),"DESTINATARIO INDICA QUE YA RECIBIÓ EL PRODUCTO")</f>
        <v>DESTINATARIO INDICA QUE YA RECIBIÓ EL PRODUCTO</v>
      </c>
      <c r="AG819" s="65" t="str">
        <f>IFERROR(__xludf.DUMMYFUNCTION("""COMPUTED_VALUE"""),"SI")</f>
        <v>SI</v>
      </c>
      <c r="AH819" s="65" t="str">
        <f>IFERROR(__xludf.DUMMYFUNCTION("""COMPUTED_VALUE"""),"16:18")</f>
        <v>16:18</v>
      </c>
      <c r="AI819" s="65" t="str">
        <f>IFERROR(__xludf.DUMMYFUNCTION("""COMPUTED_VALUE"""),"24-02-2026")</f>
        <v>24-02-2026</v>
      </c>
      <c r="AJ819" s="65" t="str">
        <f>IFERROR(__xludf.DUMMYFUNCTION("""COMPUTED_VALUE"""),"CLIENTE INFORMA QUE NO HA RECIBISO EL PEDIDO , FAVOR SU URGENTE ENTREGA")</f>
        <v>CLIENTE INFORMA QUE NO HA RECIBISO EL PEDIDO , FAVOR SU URGENTE ENTREGA</v>
      </c>
      <c r="AK819" s="65" t="str">
        <f>IFERROR(__xludf.DUMMYFUNCTION("""COMPUTED_VALUE"""),"09:26")</f>
        <v>09:26</v>
      </c>
      <c r="AL819" s="65" t="str">
        <f>IFERROR(__xludf.DUMMYFUNCTION("""COMPUTED_VALUE"""),"25-02-2026")</f>
        <v>25-02-2026</v>
      </c>
      <c r="AM819" s="65"/>
      <c r="AN819" s="65" t="str">
        <f>IFERROR(__xludf.DUMMYFUNCTION("""COMPUTED_VALUE"""),"13:22")</f>
        <v>13:22</v>
      </c>
      <c r="AO819" s="65" t="str">
        <f>IFERROR(__xludf.DUMMYFUNCTION("""COMPUTED_VALUE"""),"25-02-2026")</f>
        <v>25-02-2026</v>
      </c>
      <c r="AP819" s="65" t="str">
        <f>IFERROR(__xludf.DUMMYFUNCTION("""COMPUTED_VALUE"""),"ENTREGADA GINTRACOM")</f>
        <v>ENTREGADA GINTRACOM</v>
      </c>
      <c r="AQ819" s="65" t="str">
        <f>IFERROR(__xludf.DUMMYFUNCTION("""COMPUTED_VALUE"""),"ENTREGADA GINTRACOM")</f>
        <v>ENTREGADA GINTRACOM</v>
      </c>
      <c r="AR819" s="65"/>
      <c r="AS819" s="65"/>
      <c r="AT819" s="65"/>
      <c r="AU819" s="65"/>
      <c r="AV819" s="65"/>
      <c r="AW819" s="65"/>
      <c r="AX819" s="65"/>
      <c r="AY819" s="65" t="str">
        <f>IFERROR(__xludf.DUMMYFUNCTION("""COMPUTED_VALUE"""),"13/02/2026")</f>
        <v>13/02/2026</v>
      </c>
      <c r="AZ819" s="65"/>
      <c r="BA819" s="65"/>
    </row>
    <row r="820">
      <c r="A820" s="65" t="str">
        <f>IFERROR(__xludf.DUMMYFUNCTION("""COMPUTED_VALUE"""),"27-03-2026")</f>
        <v>27-03-2026</v>
      </c>
      <c r="B820" s="65">
        <f>IFERROR(__xludf.DUMMYFUNCTION("""COMPUTED_VALUE"""),4492594.0)</f>
        <v>4492594</v>
      </c>
      <c r="C820" s="65" t="str">
        <f>IFERROR(__xludf.DUMMYFUNCTION("""COMPUTED_VALUE"""),"16:12")</f>
        <v>16:12</v>
      </c>
      <c r="D820" s="65" t="str">
        <f>IFERROR(__xludf.DUMMYFUNCTION("""COMPUTED_VALUE"""),"12-02-2026")</f>
        <v>12-02-2026</v>
      </c>
      <c r="E820" s="65" t="str">
        <f>IFERROR(__xludf.DUMMYFUNCTION("""COMPUTED_VALUE"""),"Javier Muñiz")</f>
        <v>Javier Muñiz</v>
      </c>
      <c r="F820" s="65" t="str">
        <f>IFERROR(__xludf.DUMMYFUNCTION("""COMPUTED_VALUE"""),"999643446")</f>
        <v>999643446</v>
      </c>
      <c r="G820" s="65" t="str">
        <f>IFERROR(__xludf.DUMMYFUNCTION("""COMPUTED_VALUE"""),"xaviermu71@hotmail.com")</f>
        <v>xaviermu71@hotmail.com</v>
      </c>
      <c r="H820" s="65"/>
      <c r="I820" s="65"/>
      <c r="J820" s="65" t="str">
        <f>IFERROR(__xludf.DUMMYFUNCTION("""COMPUTED_VALUE"""),"D001326790")</f>
        <v>D001326790</v>
      </c>
      <c r="K820" s="65" t="str">
        <f>IFERROR(__xludf.DUMMYFUNCTION("""COMPUTED_VALUE"""),"ENTREGADO")</f>
        <v>ENTREGADO</v>
      </c>
      <c r="L820" s="65" t="str">
        <f>IFERROR(__xludf.DUMMYFUNCTION("""COMPUTED_VALUE"""),"CON RECAUDO")</f>
        <v>CON RECAUDO</v>
      </c>
      <c r="M820" s="65" t="str">
        <f>IFERROR(__xludf.DUMMYFUNCTION("""COMPUTED_VALUE"""),"GUAYAS")</f>
        <v>GUAYAS</v>
      </c>
      <c r="N820" s="65" t="str">
        <f>IFERROR(__xludf.DUMMYFUNCTION("""COMPUTED_VALUE"""),"GUAYAQUIL")</f>
        <v>GUAYAQUIL</v>
      </c>
      <c r="O820" s="65" t="str">
        <f>IFERROR(__xludf.DUMMYFUNCTION("""COMPUTED_VALUE"""),"La puntilla Av rio guayas solar 20 -Barbería Muñiz")</f>
        <v>La puntilla Av rio guayas solar 20 -Barbería Muñiz</v>
      </c>
      <c r="P820" s="65"/>
      <c r="Q820" s="65" t="str">
        <f>IFERROR(__xludf.DUMMYFUNCTION("""COMPUTED_VALUE"""),"GINTRACOM")</f>
        <v>GINTRACOM</v>
      </c>
      <c r="R820" s="65">
        <f>IFERROR(__xludf.DUMMYFUNCTION("""COMPUTED_VALUE"""),32.0)</f>
        <v>32</v>
      </c>
      <c r="S820" s="65">
        <f>IFERROR(__xludf.DUMMYFUNCTION("""COMPUTED_VALUE"""),16.97)</f>
        <v>16.97</v>
      </c>
      <c r="T820" s="65">
        <f>IFERROR(__xludf.DUMMYFUNCTION("""COMPUTED_VALUE"""),4.63)</f>
        <v>4.63</v>
      </c>
      <c r="U820" s="65">
        <f>IFERROR(__xludf.DUMMYFUNCTION("""COMPUTED_VALUE"""),0.0)</f>
        <v>0</v>
      </c>
      <c r="V820" s="65">
        <f>IFERROR(__xludf.DUMMYFUNCTION("""COMPUTED_VALUE"""),0.0)</f>
        <v>0</v>
      </c>
      <c r="W820" s="65">
        <f>IFERROR(__xludf.DUMMYFUNCTION("""COMPUTED_VALUE"""),0.0)</f>
        <v>0</v>
      </c>
      <c r="X820" s="65">
        <f>IFERROR(__xludf.DUMMYFUNCTION("""COMPUTED_VALUE"""),2.6)</f>
        <v>2.6</v>
      </c>
      <c r="Y820" s="65">
        <f>IFERROR(__xludf.DUMMYFUNCTION("""COMPUTED_VALUE"""),10.4)</f>
        <v>10.4</v>
      </c>
      <c r="Z820" s="65">
        <f>IFERROR(__xludf.DUMMYFUNCTION("""COMPUTED_VALUE"""),121983.0)</f>
        <v>121983</v>
      </c>
      <c r="AA820" s="65" t="str">
        <f>IFERROR(__xludf.DUMMYFUNCTION("""COMPUTED_VALUE"""),"PROV-CHLLCF")</f>
        <v>PROV-CHLLCF</v>
      </c>
      <c r="AB820" s="65"/>
      <c r="AC820" s="65" t="str">
        <f>IFERROR(__xludf.DUMMYFUNCTION("""COMPUTED_VALUE"""),"CUCHILLO PARA CHEF")</f>
        <v>CUCHILLO PARA CHEF</v>
      </c>
      <c r="AD820" s="65"/>
      <c r="AE820" s="65">
        <f>IFERROR(__xludf.DUMMYFUNCTION("""COMPUTED_VALUE"""),4.0)</f>
        <v>4</v>
      </c>
      <c r="AF820" s="65"/>
      <c r="AG820" s="65"/>
      <c r="AH820" s="65"/>
      <c r="AI820" s="65"/>
      <c r="AJ820" s="65"/>
      <c r="AK820" s="65"/>
      <c r="AL820" s="65"/>
      <c r="AM820" s="65"/>
      <c r="AN820" s="65" t="str">
        <f>IFERROR(__xludf.DUMMYFUNCTION("""COMPUTED_VALUE"""),"08:36")</f>
        <v>08:36</v>
      </c>
      <c r="AO820" s="65" t="str">
        <f>IFERROR(__xludf.DUMMYFUNCTION("""COMPUTED_VALUE"""),"17-02-2026")</f>
        <v>17-02-2026</v>
      </c>
      <c r="AP820" s="65" t="str">
        <f>IFERROR(__xludf.DUMMYFUNCTION("""COMPUTED_VALUE"""),"EN REPARTO")</f>
        <v>EN REPARTO</v>
      </c>
      <c r="AQ820" s="65" t="str">
        <f>IFERROR(__xludf.DUMMYFUNCTION("""COMPUTED_VALUE"""),"EN REPARTO")</f>
        <v>EN REPARTO</v>
      </c>
      <c r="AR820" s="65"/>
      <c r="AS820" s="65"/>
      <c r="AT820" s="65" t="str">
        <f>IFERROR(__xludf.DUMMYFUNCTION("""COMPUTED_VALUE"""),"SHOPIFY")</f>
        <v>SHOPIFY</v>
      </c>
      <c r="AU820" s="65" t="str">
        <f>IFERROR(__xludf.DUMMYFUNCTION("""COMPUTED_VALUE"""),"IMPORTEX EC")</f>
        <v>IMPORTEX EC</v>
      </c>
      <c r="AV820" s="65" t="str">
        <f>IFERROR(__xludf.DUMMYFUNCTION("""COMPUTED_VALUE"""),"6499018965036")</f>
        <v>6499018965036</v>
      </c>
      <c r="AW820" s="65">
        <f>IFERROR(__xludf.DUMMYFUNCTION("""COMPUTED_VALUE"""),6063.0)</f>
        <v>6063</v>
      </c>
      <c r="AX820" s="65"/>
      <c r="AY820" s="65" t="str">
        <f>IFERROR(__xludf.DUMMYFUNCTION("""COMPUTED_VALUE"""),"14/02/2026")</f>
        <v>14/02/2026</v>
      </c>
      <c r="AZ820" s="65"/>
      <c r="BA820" s="65"/>
    </row>
    <row r="821">
      <c r="A821" s="65" t="str">
        <f>IFERROR(__xludf.DUMMYFUNCTION("""COMPUTED_VALUE"""),"27-03-2026")</f>
        <v>27-03-2026</v>
      </c>
      <c r="B821" s="65">
        <f>IFERROR(__xludf.DUMMYFUNCTION("""COMPUTED_VALUE"""),4492585.0)</f>
        <v>4492585</v>
      </c>
      <c r="C821" s="65" t="str">
        <f>IFERROR(__xludf.DUMMYFUNCTION("""COMPUTED_VALUE"""),"16:11")</f>
        <v>16:11</v>
      </c>
      <c r="D821" s="65" t="str">
        <f>IFERROR(__xludf.DUMMYFUNCTION("""COMPUTED_VALUE"""),"12-02-2026")</f>
        <v>12-02-2026</v>
      </c>
      <c r="E821" s="65" t="str">
        <f>IFERROR(__xludf.DUMMYFUNCTION("""COMPUTED_VALUE"""),"Vilma Verdezoto")</f>
        <v>Vilma Verdezoto</v>
      </c>
      <c r="F821" s="65" t="str">
        <f>IFERROR(__xludf.DUMMYFUNCTION("""COMPUTED_VALUE"""),"982905505")</f>
        <v>982905505</v>
      </c>
      <c r="G821" s="65" t="str">
        <f>IFERROR(__xludf.DUMMYFUNCTION("""COMPUTED_VALUE"""),"vilmaverdesoto435@gmail.com")</f>
        <v>vilmaverdesoto435@gmail.com</v>
      </c>
      <c r="H821" s="65"/>
      <c r="I821" s="65"/>
      <c r="J821" s="65"/>
      <c r="K821" s="65" t="str">
        <f>IFERROR(__xludf.DUMMYFUNCTION("""COMPUTED_VALUE"""),"PENDIENTE CONFIRMACION")</f>
        <v>PENDIENTE CONFIRMACION</v>
      </c>
      <c r="L821" s="65" t="str">
        <f>IFERROR(__xludf.DUMMYFUNCTION("""COMPUTED_VALUE"""),"CON RECAUDO")</f>
        <v>CON RECAUDO</v>
      </c>
      <c r="M821" s="65" t="str">
        <f>IFERROR(__xludf.DUMMYFUNCTION("""COMPUTED_VALUE"""),"ORELLANA")</f>
        <v>ORELLANA</v>
      </c>
      <c r="N821" s="65" t="str">
        <f>IFERROR(__xludf.DUMMYFUNCTION("""COMPUTED_VALUE"""),"EL COCA")</f>
        <v>EL COCA</v>
      </c>
      <c r="O821" s="65" t="str">
        <f>IFERROR(__xludf.DUMMYFUNCTION("""COMPUTED_VALUE"""),"Vía Loreto km 8 barrio unión Imbabureña Calle esperanza e Ibarra -")</f>
        <v>Vía Loreto km 8 barrio unión Imbabureña Calle esperanza e Ibarra -</v>
      </c>
      <c r="P821" s="65"/>
      <c r="Q821" s="65" t="str">
        <f>IFERROR(__xludf.DUMMYFUNCTION("""COMPUTED_VALUE"""),"GINTRACOM")</f>
        <v>GINTRACOM</v>
      </c>
      <c r="R821" s="65">
        <f>IFERROR(__xludf.DUMMYFUNCTION("""COMPUTED_VALUE"""),27.0)</f>
        <v>27</v>
      </c>
      <c r="S821" s="65"/>
      <c r="T821" s="65">
        <f>IFERROR(__xludf.DUMMYFUNCTION("""COMPUTED_VALUE"""),6.03)</f>
        <v>6.03</v>
      </c>
      <c r="U821" s="65">
        <f>IFERROR(__xludf.DUMMYFUNCTION("""COMPUTED_VALUE"""),0.0)</f>
        <v>0</v>
      </c>
      <c r="V821" s="65">
        <f>IFERROR(__xludf.DUMMYFUNCTION("""COMPUTED_VALUE"""),0.0)</f>
        <v>0</v>
      </c>
      <c r="W821" s="65">
        <f>IFERROR(__xludf.DUMMYFUNCTION("""COMPUTED_VALUE"""),0.0)</f>
        <v>0</v>
      </c>
      <c r="X821" s="65">
        <f>IFERROR(__xludf.DUMMYFUNCTION("""COMPUTED_VALUE"""),2.6)</f>
        <v>2.6</v>
      </c>
      <c r="Y821" s="65">
        <f>IFERROR(__xludf.DUMMYFUNCTION("""COMPUTED_VALUE"""),7.8)</f>
        <v>7.8</v>
      </c>
      <c r="Z821" s="65">
        <f>IFERROR(__xludf.DUMMYFUNCTION("""COMPUTED_VALUE"""),121983.0)</f>
        <v>121983</v>
      </c>
      <c r="AA821" s="65" t="str">
        <f>IFERROR(__xludf.DUMMYFUNCTION("""COMPUTED_VALUE"""),"PROV-CHLLCF")</f>
        <v>PROV-CHLLCF</v>
      </c>
      <c r="AB821" s="65"/>
      <c r="AC821" s="65" t="str">
        <f>IFERROR(__xludf.DUMMYFUNCTION("""COMPUTED_VALUE"""),"CUCHILLO PARA CHEF")</f>
        <v>CUCHILLO PARA CHEF</v>
      </c>
      <c r="AD821" s="65"/>
      <c r="AE821" s="65">
        <f>IFERROR(__xludf.DUMMYFUNCTION("""COMPUTED_VALUE"""),3.0)</f>
        <v>3</v>
      </c>
      <c r="AF821" s="65"/>
      <c r="AG821" s="65"/>
      <c r="AH821" s="65"/>
      <c r="AI821" s="65"/>
      <c r="AJ821" s="65"/>
      <c r="AK821" s="65"/>
      <c r="AL821" s="65"/>
      <c r="AM821" s="65"/>
      <c r="AN821" s="65"/>
      <c r="AO821" s="65"/>
      <c r="AP821" s="65"/>
      <c r="AQ821" s="65"/>
      <c r="AR821" s="65"/>
      <c r="AS821" s="65"/>
      <c r="AT821" s="65" t="str">
        <f>IFERROR(__xludf.DUMMYFUNCTION("""COMPUTED_VALUE"""),"SHOPIFY")</f>
        <v>SHOPIFY</v>
      </c>
      <c r="AU821" s="65" t="str">
        <f>IFERROR(__xludf.DUMMYFUNCTION("""COMPUTED_VALUE"""),"IMPORTEX EC")</f>
        <v>IMPORTEX EC</v>
      </c>
      <c r="AV821" s="65" t="str">
        <f>IFERROR(__xludf.DUMMYFUNCTION("""COMPUTED_VALUE"""),"6499016048684")</f>
        <v>6499016048684</v>
      </c>
      <c r="AW821" s="65">
        <f>IFERROR(__xludf.DUMMYFUNCTION("""COMPUTED_VALUE"""),6062.0)</f>
        <v>6062</v>
      </c>
      <c r="AX821" s="65"/>
      <c r="AY821" s="65"/>
      <c r="AZ821" s="65"/>
      <c r="BA821" s="65"/>
    </row>
    <row r="822">
      <c r="A822" s="65" t="str">
        <f>IFERROR(__xludf.DUMMYFUNCTION("""COMPUTED_VALUE"""),"27-03-2026")</f>
        <v>27-03-2026</v>
      </c>
      <c r="B822" s="65">
        <f>IFERROR(__xludf.DUMMYFUNCTION("""COMPUTED_VALUE"""),4492364.0)</f>
        <v>4492364</v>
      </c>
      <c r="C822" s="65" t="str">
        <f>IFERROR(__xludf.DUMMYFUNCTION("""COMPUTED_VALUE"""),"15:51")</f>
        <v>15:51</v>
      </c>
      <c r="D822" s="65" t="str">
        <f>IFERROR(__xludf.DUMMYFUNCTION("""COMPUTED_VALUE"""),"12-02-2026")</f>
        <v>12-02-2026</v>
      </c>
      <c r="E822" s="65" t="str">
        <f>IFERROR(__xludf.DUMMYFUNCTION("""COMPUTED_VALUE"""),"Betty Landivar")</f>
        <v>Betty Landivar</v>
      </c>
      <c r="F822" s="65" t="str">
        <f>IFERROR(__xludf.DUMMYFUNCTION("""COMPUTED_VALUE"""),"997000957")</f>
        <v>997000957</v>
      </c>
      <c r="G822" s="65" t="str">
        <f>IFERROR(__xludf.DUMMYFUNCTION("""COMPUTED_VALUE"""),"bettypierina50@hotmail.com")</f>
        <v>bettypierina50@hotmail.com</v>
      </c>
      <c r="H822" s="65"/>
      <c r="I822" s="65"/>
      <c r="J822" s="65" t="str">
        <f>IFERROR(__xludf.DUMMYFUNCTION("""COMPUTED_VALUE"""),"D001324314")</f>
        <v>D001324314</v>
      </c>
      <c r="K822" s="65" t="str">
        <f>IFERROR(__xludf.DUMMYFUNCTION("""COMPUTED_VALUE"""),"ENTREGADO")</f>
        <v>ENTREGADO</v>
      </c>
      <c r="L822" s="65" t="str">
        <f>IFERROR(__xludf.DUMMYFUNCTION("""COMPUTED_VALUE"""),"CON RECAUDO")</f>
        <v>CON RECAUDO</v>
      </c>
      <c r="M822" s="65" t="str">
        <f>IFERROR(__xludf.DUMMYFUNCTION("""COMPUTED_VALUE"""),"GUAYAS")</f>
        <v>GUAYAS</v>
      </c>
      <c r="N822" s="65" t="str">
        <f>IFERROR(__xludf.DUMMYFUNCTION("""COMPUTED_VALUE"""),"GUAYAQUIL")</f>
        <v>GUAYAQUIL</v>
      </c>
      <c r="O822" s="65" t="str">
        <f>IFERROR(__xludf.DUMMYFUNCTION("""COMPUTED_VALUE"""),"Asunción 304 y México barrio del seguro atrás de la iglesia Cristo Redentor")</f>
        <v>Asunción 304 y México barrio del seguro atrás de la iglesia Cristo Redentor</v>
      </c>
      <c r="P822" s="65"/>
      <c r="Q822" s="65" t="str">
        <f>IFERROR(__xludf.DUMMYFUNCTION("""COMPUTED_VALUE"""),"GINTRACOM")</f>
        <v>GINTRACOM</v>
      </c>
      <c r="R822" s="65">
        <f>IFERROR(__xludf.DUMMYFUNCTION("""COMPUTED_VALUE"""),22.0)</f>
        <v>22</v>
      </c>
      <c r="S822" s="65">
        <f>IFERROR(__xludf.DUMMYFUNCTION("""COMPUTED_VALUE"""),12.57)</f>
        <v>12.57</v>
      </c>
      <c r="T822" s="65">
        <f>IFERROR(__xludf.DUMMYFUNCTION("""COMPUTED_VALUE"""),4.23)</f>
        <v>4.23</v>
      </c>
      <c r="U822" s="65">
        <f>IFERROR(__xludf.DUMMYFUNCTION("""COMPUTED_VALUE"""),0.0)</f>
        <v>0</v>
      </c>
      <c r="V822" s="65">
        <f>IFERROR(__xludf.DUMMYFUNCTION("""COMPUTED_VALUE"""),0.0)</f>
        <v>0</v>
      </c>
      <c r="W822" s="65">
        <f>IFERROR(__xludf.DUMMYFUNCTION("""COMPUTED_VALUE"""),0.0)</f>
        <v>0</v>
      </c>
      <c r="X822" s="65">
        <f>IFERROR(__xludf.DUMMYFUNCTION("""COMPUTED_VALUE"""),2.6)</f>
        <v>2.6</v>
      </c>
      <c r="Y822" s="65">
        <f>IFERROR(__xludf.DUMMYFUNCTION("""COMPUTED_VALUE"""),5.2)</f>
        <v>5.2</v>
      </c>
      <c r="Z822" s="65">
        <f>IFERROR(__xludf.DUMMYFUNCTION("""COMPUTED_VALUE"""),121983.0)</f>
        <v>121983</v>
      </c>
      <c r="AA822" s="65" t="str">
        <f>IFERROR(__xludf.DUMMYFUNCTION("""COMPUTED_VALUE"""),"PROV-CHLLCF")</f>
        <v>PROV-CHLLCF</v>
      </c>
      <c r="AB822" s="65"/>
      <c r="AC822" s="65" t="str">
        <f>IFERROR(__xludf.DUMMYFUNCTION("""COMPUTED_VALUE"""),"CUCHILLO PARA CHEF")</f>
        <v>CUCHILLO PARA CHEF</v>
      </c>
      <c r="AD822" s="65"/>
      <c r="AE822" s="65">
        <f>IFERROR(__xludf.DUMMYFUNCTION("""COMPUTED_VALUE"""),2.0)</f>
        <v>2</v>
      </c>
      <c r="AF822" s="65"/>
      <c r="AG822" s="65"/>
      <c r="AH822" s="65"/>
      <c r="AI822" s="65"/>
      <c r="AJ822" s="65"/>
      <c r="AK822" s="65"/>
      <c r="AL822" s="65"/>
      <c r="AM822" s="65"/>
      <c r="AN822" s="65" t="str">
        <f>IFERROR(__xludf.DUMMYFUNCTION("""COMPUTED_VALUE"""),"13:33")</f>
        <v>13:33</v>
      </c>
      <c r="AO822" s="65" t="str">
        <f>IFERROR(__xludf.DUMMYFUNCTION("""COMPUTED_VALUE"""),"14-02-2026")</f>
        <v>14-02-2026</v>
      </c>
      <c r="AP822" s="65" t="str">
        <f>IFERROR(__xludf.DUMMYFUNCTION("""COMPUTED_VALUE"""),"ENTREGADA GINTRACOM")</f>
        <v>ENTREGADA GINTRACOM</v>
      </c>
      <c r="AQ822" s="65" t="str">
        <f>IFERROR(__xludf.DUMMYFUNCTION("""COMPUTED_VALUE"""),"ENTREGADA GINTRACOM")</f>
        <v>ENTREGADA GINTRACOM</v>
      </c>
      <c r="AR822" s="65"/>
      <c r="AS822" s="65"/>
      <c r="AT822" s="65" t="str">
        <f>IFERROR(__xludf.DUMMYFUNCTION("""COMPUTED_VALUE"""),"SHOPIFY")</f>
        <v>SHOPIFY</v>
      </c>
      <c r="AU822" s="65" t="str">
        <f>IFERROR(__xludf.DUMMYFUNCTION("""COMPUTED_VALUE"""),"IMPORTEX EC")</f>
        <v>IMPORTEX EC</v>
      </c>
      <c r="AV822" s="65" t="str">
        <f>IFERROR(__xludf.DUMMYFUNCTION("""COMPUTED_VALUE"""),"6498978889772")</f>
        <v>6498978889772</v>
      </c>
      <c r="AW822" s="65">
        <f>IFERROR(__xludf.DUMMYFUNCTION("""COMPUTED_VALUE"""),6061.0)</f>
        <v>6061</v>
      </c>
      <c r="AX822" s="65"/>
      <c r="AY822" s="65" t="str">
        <f>IFERROR(__xludf.DUMMYFUNCTION("""COMPUTED_VALUE"""),"13/02/2026")</f>
        <v>13/02/2026</v>
      </c>
      <c r="AZ822" s="65"/>
      <c r="BA822" s="65"/>
    </row>
    <row r="823">
      <c r="A823" s="65" t="str">
        <f>IFERROR(__xludf.DUMMYFUNCTION("""COMPUTED_VALUE"""),"27-03-2026")</f>
        <v>27-03-2026</v>
      </c>
      <c r="B823" s="65">
        <f>IFERROR(__xludf.DUMMYFUNCTION("""COMPUTED_VALUE"""),4492210.0)</f>
        <v>4492210</v>
      </c>
      <c r="C823" s="65" t="str">
        <f>IFERROR(__xludf.DUMMYFUNCTION("""COMPUTED_VALUE"""),"15:35")</f>
        <v>15:35</v>
      </c>
      <c r="D823" s="65" t="str">
        <f>IFERROR(__xludf.DUMMYFUNCTION("""COMPUTED_VALUE"""),"12-02-2026")</f>
        <v>12-02-2026</v>
      </c>
      <c r="E823" s="65" t="str">
        <f>IFERROR(__xludf.DUMMYFUNCTION("""COMPUTED_VALUE"""),"Gladys judith Encalada Aguilar")</f>
        <v>Gladys judith Encalada Aguilar</v>
      </c>
      <c r="F823" s="65" t="str">
        <f>IFERROR(__xludf.DUMMYFUNCTION("""COMPUTED_VALUE"""),"994220311")</f>
        <v>994220311</v>
      </c>
      <c r="G823" s="65" t="str">
        <f>IFERROR(__xludf.DUMMYFUNCTION("""COMPUTED_VALUE"""),"gladysencalada1991@gmail.com")</f>
        <v>gladysencalada1991@gmail.com</v>
      </c>
      <c r="H823" s="65"/>
      <c r="I823" s="65"/>
      <c r="J823" s="65" t="str">
        <f>IFERROR(__xludf.DUMMYFUNCTION("""COMPUTED_VALUE"""),"D001324315")</f>
        <v>D001324315</v>
      </c>
      <c r="K823" s="65" t="str">
        <f>IFERROR(__xludf.DUMMYFUNCTION("""COMPUTED_VALUE"""),"ENTREGADO")</f>
        <v>ENTREGADO</v>
      </c>
      <c r="L823" s="65" t="str">
        <f>IFERROR(__xludf.DUMMYFUNCTION("""COMPUTED_VALUE"""),"CON RECAUDO")</f>
        <v>CON RECAUDO</v>
      </c>
      <c r="M823" s="65" t="str">
        <f>IFERROR(__xludf.DUMMYFUNCTION("""COMPUTED_VALUE"""),"SUCUMBIOS")</f>
        <v>SUCUMBIOS</v>
      </c>
      <c r="N823" s="65" t="str">
        <f>IFERROR(__xludf.DUMMYFUNCTION("""COMPUTED_VALUE"""),"LAGO AGRIO")</f>
        <v>LAGO AGRIO</v>
      </c>
      <c r="O823" s="65" t="str">
        <f>IFERROR(__xludf.DUMMYFUNCTION("""COMPUTED_VALUE"""),"Av Quito 233 y Manabi, Barrio Central, frente a la Policía Judicial, edificio Vizueta, en la ferretería La Bahía")</f>
        <v>Av Quito 233 y Manabi, Barrio Central, frente a la Policía Judicial, edificio Vizueta, en la ferretería La Bahía</v>
      </c>
      <c r="P823" s="65"/>
      <c r="Q823" s="65" t="str">
        <f>IFERROR(__xludf.DUMMYFUNCTION("""COMPUTED_VALUE"""),"GINTRACOM")</f>
        <v>GINTRACOM</v>
      </c>
      <c r="R823" s="65">
        <f>IFERROR(__xludf.DUMMYFUNCTION("""COMPUTED_VALUE"""),32.0)</f>
        <v>32</v>
      </c>
      <c r="S823" s="65">
        <f>IFERROR(__xludf.DUMMYFUNCTION("""COMPUTED_VALUE"""),15.36)</f>
        <v>15.36</v>
      </c>
      <c r="T823" s="65">
        <f>IFERROR(__xludf.DUMMYFUNCTION("""COMPUTED_VALUE"""),6.24)</f>
        <v>6.24</v>
      </c>
      <c r="U823" s="65">
        <f>IFERROR(__xludf.DUMMYFUNCTION("""COMPUTED_VALUE"""),0.0)</f>
        <v>0</v>
      </c>
      <c r="V823" s="65">
        <f>IFERROR(__xludf.DUMMYFUNCTION("""COMPUTED_VALUE"""),0.0)</f>
        <v>0</v>
      </c>
      <c r="W823" s="65">
        <f>IFERROR(__xludf.DUMMYFUNCTION("""COMPUTED_VALUE"""),0.0)</f>
        <v>0</v>
      </c>
      <c r="X823" s="65">
        <f>IFERROR(__xludf.DUMMYFUNCTION("""COMPUTED_VALUE"""),2.6)</f>
        <v>2.6</v>
      </c>
      <c r="Y823" s="65">
        <f>IFERROR(__xludf.DUMMYFUNCTION("""COMPUTED_VALUE"""),10.4)</f>
        <v>10.4</v>
      </c>
      <c r="Z823" s="65">
        <f>IFERROR(__xludf.DUMMYFUNCTION("""COMPUTED_VALUE"""),121983.0)</f>
        <v>121983</v>
      </c>
      <c r="AA823" s="65" t="str">
        <f>IFERROR(__xludf.DUMMYFUNCTION("""COMPUTED_VALUE"""),"PROV-CHLLCF")</f>
        <v>PROV-CHLLCF</v>
      </c>
      <c r="AB823" s="65"/>
      <c r="AC823" s="65" t="str">
        <f>IFERROR(__xludf.DUMMYFUNCTION("""COMPUTED_VALUE"""),"CUCHILLO PARA CHEF")</f>
        <v>CUCHILLO PARA CHEF</v>
      </c>
      <c r="AD823" s="65"/>
      <c r="AE823" s="65">
        <f>IFERROR(__xludf.DUMMYFUNCTION("""COMPUTED_VALUE"""),4.0)</f>
        <v>4</v>
      </c>
      <c r="AF823" s="65"/>
      <c r="AG823" s="65"/>
      <c r="AH823" s="65"/>
      <c r="AI823" s="65"/>
      <c r="AJ823" s="65"/>
      <c r="AK823" s="65"/>
      <c r="AL823" s="65"/>
      <c r="AM823" s="65"/>
      <c r="AN823" s="65" t="str">
        <f>IFERROR(__xludf.DUMMYFUNCTION("""COMPUTED_VALUE"""),"11:21")</f>
        <v>11:21</v>
      </c>
      <c r="AO823" s="65" t="str">
        <f>IFERROR(__xludf.DUMMYFUNCTION("""COMPUTED_VALUE"""),"18-02-2026")</f>
        <v>18-02-2026</v>
      </c>
      <c r="AP823" s="65" t="str">
        <f>IFERROR(__xludf.DUMMYFUNCTION("""COMPUTED_VALUE"""),"EN REPARTO")</f>
        <v>EN REPARTO</v>
      </c>
      <c r="AQ823" s="65" t="str">
        <f>IFERROR(__xludf.DUMMYFUNCTION("""COMPUTED_VALUE"""),"EN REPARTO")</f>
        <v>EN REPARTO</v>
      </c>
      <c r="AR823" s="65"/>
      <c r="AS823" s="65"/>
      <c r="AT823" s="65" t="str">
        <f>IFERROR(__xludf.DUMMYFUNCTION("""COMPUTED_VALUE"""),"SHOPIFY")</f>
        <v>SHOPIFY</v>
      </c>
      <c r="AU823" s="65" t="str">
        <f>IFERROR(__xludf.DUMMYFUNCTION("""COMPUTED_VALUE"""),"IMPORTEX EC")</f>
        <v>IMPORTEX EC</v>
      </c>
      <c r="AV823" s="65" t="str">
        <f>IFERROR(__xludf.DUMMYFUNCTION("""COMPUTED_VALUE"""),"6498948022316")</f>
        <v>6498948022316</v>
      </c>
      <c r="AW823" s="65">
        <f>IFERROR(__xludf.DUMMYFUNCTION("""COMPUTED_VALUE"""),6060.0)</f>
        <v>6060</v>
      </c>
      <c r="AX823" s="65"/>
      <c r="AY823" s="65" t="str">
        <f>IFERROR(__xludf.DUMMYFUNCTION("""COMPUTED_VALUE"""),"13/02/2026")</f>
        <v>13/02/2026</v>
      </c>
      <c r="AZ823" s="65"/>
      <c r="BA823" s="65"/>
    </row>
    <row r="824">
      <c r="A824" s="65" t="str">
        <f>IFERROR(__xludf.DUMMYFUNCTION("""COMPUTED_VALUE"""),"27-03-2026")</f>
        <v>27-03-2026</v>
      </c>
      <c r="B824" s="65">
        <f>IFERROR(__xludf.DUMMYFUNCTION("""COMPUTED_VALUE"""),4491759.0)</f>
        <v>4491759</v>
      </c>
      <c r="C824" s="65" t="str">
        <f>IFERROR(__xludf.DUMMYFUNCTION("""COMPUTED_VALUE"""),"14:46")</f>
        <v>14:46</v>
      </c>
      <c r="D824" s="65" t="str">
        <f>IFERROR(__xludf.DUMMYFUNCTION("""COMPUTED_VALUE"""),"12-02-2026")</f>
        <v>12-02-2026</v>
      </c>
      <c r="E824" s="65" t="str">
        <f>IFERROR(__xludf.DUMMYFUNCTION("""COMPUTED_VALUE"""),"Gabriel Garcia")</f>
        <v>Gabriel Garcia</v>
      </c>
      <c r="F824" s="65" t="str">
        <f>IFERROR(__xludf.DUMMYFUNCTION("""COMPUTED_VALUE"""),"969818598")</f>
        <v>969818598</v>
      </c>
      <c r="G824" s="65" t="str">
        <f>IFERROR(__xludf.DUMMYFUNCTION("""COMPUTED_VALUE"""),"ggg_gabucho_1987@hotmail.com")</f>
        <v>ggg_gabucho_1987@hotmail.com</v>
      </c>
      <c r="H824" s="65"/>
      <c r="I824" s="65"/>
      <c r="J824" s="65" t="str">
        <f>IFERROR(__xludf.DUMMYFUNCTION("""COMPUTED_VALUE"""),"D001324316")</f>
        <v>D001324316</v>
      </c>
      <c r="K824" s="65" t="str">
        <f>IFERROR(__xludf.DUMMYFUNCTION("""COMPUTED_VALUE"""),"ENTREGADO")</f>
        <v>ENTREGADO</v>
      </c>
      <c r="L824" s="65" t="str">
        <f>IFERROR(__xludf.DUMMYFUNCTION("""COMPUTED_VALUE"""),"CON RECAUDO")</f>
        <v>CON RECAUDO</v>
      </c>
      <c r="M824" s="65" t="str">
        <f>IFERROR(__xludf.DUMMYFUNCTION("""COMPUTED_VALUE"""),"GUAYAS")</f>
        <v>GUAYAS</v>
      </c>
      <c r="N824" s="65" t="str">
        <f>IFERROR(__xludf.DUMMYFUNCTION("""COMPUTED_VALUE"""),"GUAYAQUIL")</f>
        <v>GUAYAQUIL</v>
      </c>
      <c r="O824" s="65" t="str">
        <f>IFERROR(__xludf.DUMMYFUNCTION("""COMPUTED_VALUE"""),"Lizardo García 4222 y oriente Cristo del Consuelo, una cuadra antes de la iglesia viniendo de norte a sur, al lado de la joyería Charito, casa de 2 pisos con terraza, fachada recubierta con cerámica")</f>
        <v>Lizardo García 4222 y oriente Cristo del Consuelo, una cuadra antes de la iglesia viniendo de norte a sur, al lado de la joyería Charito, casa de 2 pisos con terraza, fachada recubierta con cerámica</v>
      </c>
      <c r="P824" s="65"/>
      <c r="Q824" s="65" t="str">
        <f>IFERROR(__xludf.DUMMYFUNCTION("""COMPUTED_VALUE"""),"GINTRACOM")</f>
        <v>GINTRACOM</v>
      </c>
      <c r="R824" s="65">
        <f>IFERROR(__xludf.DUMMYFUNCTION("""COMPUTED_VALUE"""),30.0)</f>
        <v>30</v>
      </c>
      <c r="S824" s="65">
        <f>IFERROR(__xludf.DUMMYFUNCTION("""COMPUTED_VALUE"""),18.25)</f>
        <v>18.25</v>
      </c>
      <c r="T824" s="65">
        <f>IFERROR(__xludf.DUMMYFUNCTION("""COMPUTED_VALUE"""),4.55)</f>
        <v>4.55</v>
      </c>
      <c r="U824" s="65">
        <f>IFERROR(__xludf.DUMMYFUNCTION("""COMPUTED_VALUE"""),0.0)</f>
        <v>0</v>
      </c>
      <c r="V824" s="65">
        <f>IFERROR(__xludf.DUMMYFUNCTION("""COMPUTED_VALUE"""),0.0)</f>
        <v>0</v>
      </c>
      <c r="W824" s="65">
        <f>IFERROR(__xludf.DUMMYFUNCTION("""COMPUTED_VALUE"""),0.0)</f>
        <v>0</v>
      </c>
      <c r="X824" s="65">
        <f>IFERROR(__xludf.DUMMYFUNCTION("""COMPUTED_VALUE"""),2.4)</f>
        <v>2.4</v>
      </c>
      <c r="Y824" s="65">
        <f>IFERROR(__xludf.DUMMYFUNCTION("""COMPUTED_VALUE"""),7.2)</f>
        <v>7.2</v>
      </c>
      <c r="Z824" s="65">
        <f>IFERROR(__xludf.DUMMYFUNCTION("""COMPUTED_VALUE"""),120732.0)</f>
        <v>120732</v>
      </c>
      <c r="AA824" s="65" t="str">
        <f>IFERROR(__xludf.DUMMYFUNCTION("""COMPUTED_VALUE"""),"PROV-LMPVT")</f>
        <v>PROV-LMPVT</v>
      </c>
      <c r="AB824" s="65"/>
      <c r="AC824" s="65" t="str">
        <f>IFERROR(__xludf.DUMMYFUNCTION("""COMPUTED_VALUE"""),"LIMPIADOR DE PARABRISAS Y VENTANAS")</f>
        <v>LIMPIADOR DE PARABRISAS Y VENTANAS</v>
      </c>
      <c r="AD824" s="65"/>
      <c r="AE824" s="65">
        <f>IFERROR(__xludf.DUMMYFUNCTION("""COMPUTED_VALUE"""),3.0)</f>
        <v>3</v>
      </c>
      <c r="AF824" s="65"/>
      <c r="AG824" s="65"/>
      <c r="AH824" s="65"/>
      <c r="AI824" s="65"/>
      <c r="AJ824" s="65"/>
      <c r="AK824" s="65"/>
      <c r="AL824" s="65"/>
      <c r="AM824" s="65"/>
      <c r="AN824" s="65" t="str">
        <f>IFERROR(__xludf.DUMMYFUNCTION("""COMPUTED_VALUE"""),"08:52")</f>
        <v>08:52</v>
      </c>
      <c r="AO824" s="65" t="str">
        <f>IFERROR(__xludf.DUMMYFUNCTION("""COMPUTED_VALUE"""),"14-02-2026")</f>
        <v>14-02-2026</v>
      </c>
      <c r="AP824" s="65" t="str">
        <f>IFERROR(__xludf.DUMMYFUNCTION("""COMPUTED_VALUE"""),"EN REPARTO")</f>
        <v>EN REPARTO</v>
      </c>
      <c r="AQ824" s="65" t="str">
        <f>IFERROR(__xludf.DUMMYFUNCTION("""COMPUTED_VALUE"""),"EN REPARTO")</f>
        <v>EN REPARTO</v>
      </c>
      <c r="AR824" s="65"/>
      <c r="AS824" s="65"/>
      <c r="AT824" s="65" t="str">
        <f>IFERROR(__xludf.DUMMYFUNCTION("""COMPUTED_VALUE"""),"SHOPIFY")</f>
        <v>SHOPIFY</v>
      </c>
      <c r="AU824" s="65" t="str">
        <f>IFERROR(__xludf.DUMMYFUNCTION("""COMPUTED_VALUE"""),"IMPORTEX EC")</f>
        <v>IMPORTEX EC</v>
      </c>
      <c r="AV824" s="65" t="str">
        <f>IFERROR(__xludf.DUMMYFUNCTION("""COMPUTED_VALUE"""),"6498843590700")</f>
        <v>6498843590700</v>
      </c>
      <c r="AW824" s="65">
        <f>IFERROR(__xludf.DUMMYFUNCTION("""COMPUTED_VALUE"""),6059.0)</f>
        <v>6059</v>
      </c>
      <c r="AX824" s="65"/>
      <c r="AY824" s="65" t="str">
        <f>IFERROR(__xludf.DUMMYFUNCTION("""COMPUTED_VALUE"""),"13/02/2026")</f>
        <v>13/02/2026</v>
      </c>
      <c r="AZ824" s="65"/>
      <c r="BA824" s="65"/>
    </row>
    <row r="825">
      <c r="A825" s="65" t="str">
        <f>IFERROR(__xludf.DUMMYFUNCTION("""COMPUTED_VALUE"""),"27-03-2026")</f>
        <v>27-03-2026</v>
      </c>
      <c r="B825" s="65">
        <f>IFERROR(__xludf.DUMMYFUNCTION("""COMPUTED_VALUE"""),4490717.0)</f>
        <v>4490717</v>
      </c>
      <c r="C825" s="65" t="str">
        <f>IFERROR(__xludf.DUMMYFUNCTION("""COMPUTED_VALUE"""),"12:57")</f>
        <v>12:57</v>
      </c>
      <c r="D825" s="65" t="str">
        <f>IFERROR(__xludf.DUMMYFUNCTION("""COMPUTED_VALUE"""),"12-02-2026")</f>
        <v>12-02-2026</v>
      </c>
      <c r="E825" s="65" t="str">
        <f>IFERROR(__xludf.DUMMYFUNCTION("""COMPUTED_VALUE"""),"José Guachamin")</f>
        <v>José Guachamin</v>
      </c>
      <c r="F825" s="65" t="str">
        <f>IFERROR(__xludf.DUMMYFUNCTION("""COMPUTED_VALUE"""),"999984220")</f>
        <v>999984220</v>
      </c>
      <c r="G825" s="65"/>
      <c r="H825" s="65"/>
      <c r="I825" s="65"/>
      <c r="J825" s="65" t="str">
        <f>IFERROR(__xludf.DUMMYFUNCTION("""COMPUTED_VALUE"""),"D001322955")</f>
        <v>D001322955</v>
      </c>
      <c r="K825" s="65" t="str">
        <f>IFERROR(__xludf.DUMMYFUNCTION("""COMPUTED_VALUE"""),"DEVOLUCION")</f>
        <v>DEVOLUCION</v>
      </c>
      <c r="L825" s="65" t="str">
        <f>IFERROR(__xludf.DUMMYFUNCTION("""COMPUTED_VALUE"""),"CON RECAUDO")</f>
        <v>CON RECAUDO</v>
      </c>
      <c r="M825" s="65" t="str">
        <f>IFERROR(__xludf.DUMMYFUNCTION("""COMPUTED_VALUE"""),"PICHINCHA")</f>
        <v>PICHINCHA</v>
      </c>
      <c r="N825" s="65" t="str">
        <f>IFERROR(__xludf.DUMMYFUNCTION("""COMPUTED_VALUE"""),"QUITO")</f>
        <v>QUITO</v>
      </c>
      <c r="O825" s="65" t="str">
        <f>IFERROR(__xludf.DUMMYFUNCTION("""COMPUTED_VALUE"""),"Eugenio Espejo E252 y Almeida lo R47 - SAN MARCOS CENTRO DE QUITO")</f>
        <v>Eugenio Espejo E252 y Almeida lo R47 - SAN MARCOS CENTRO DE QUITO</v>
      </c>
      <c r="P825" s="65"/>
      <c r="Q825" s="65" t="str">
        <f>IFERROR(__xludf.DUMMYFUNCTION("""COMPUTED_VALUE"""),"GINTRACOM")</f>
        <v>GINTRACOM</v>
      </c>
      <c r="R825" s="65">
        <f>IFERROR(__xludf.DUMMYFUNCTION("""COMPUTED_VALUE"""),27.0)</f>
        <v>27</v>
      </c>
      <c r="S825" s="65"/>
      <c r="T825" s="65">
        <f>IFERROR(__xludf.DUMMYFUNCTION("""COMPUTED_VALUE"""),6.04)</f>
        <v>6.04</v>
      </c>
      <c r="U825" s="65">
        <f>IFERROR(__xludf.DUMMYFUNCTION("""COMPUTED_VALUE"""),0.0)</f>
        <v>0</v>
      </c>
      <c r="V825" s="65">
        <f>IFERROR(__xludf.DUMMYFUNCTION("""COMPUTED_VALUE"""),0.0)</f>
        <v>0</v>
      </c>
      <c r="W825" s="65">
        <f>IFERROR(__xludf.DUMMYFUNCTION("""COMPUTED_VALUE"""),0.0)</f>
        <v>0</v>
      </c>
      <c r="X825" s="65">
        <f>IFERROR(__xludf.DUMMYFUNCTION("""COMPUTED_VALUE"""),2.6)</f>
        <v>2.6</v>
      </c>
      <c r="Y825" s="65">
        <f>IFERROR(__xludf.DUMMYFUNCTION("""COMPUTED_VALUE"""),7.8)</f>
        <v>7.8</v>
      </c>
      <c r="Z825" s="65">
        <f>IFERROR(__xludf.DUMMYFUNCTION("""COMPUTED_VALUE"""),121983.0)</f>
        <v>121983</v>
      </c>
      <c r="AA825" s="65" t="str">
        <f>IFERROR(__xludf.DUMMYFUNCTION("""COMPUTED_VALUE"""),"PROV-CHLLCF")</f>
        <v>PROV-CHLLCF</v>
      </c>
      <c r="AB825" s="65"/>
      <c r="AC825" s="65" t="str">
        <f>IFERROR(__xludf.DUMMYFUNCTION("""COMPUTED_VALUE"""),"CUCHILLO PARA CHEF")</f>
        <v>CUCHILLO PARA CHEF</v>
      </c>
      <c r="AD825" s="65"/>
      <c r="AE825" s="65">
        <f>IFERROR(__xludf.DUMMYFUNCTION("""COMPUTED_VALUE"""),3.0)</f>
        <v>3</v>
      </c>
      <c r="AF825" s="65" t="str">
        <f>IFERROR(__xludf.DUMMYFUNCTION("""COMPUTED_VALUE"""),"DESTINATARIO NO CONTESTA LLAMADAS NI WHATSAPP")</f>
        <v>DESTINATARIO NO CONTESTA LLAMADAS NI WHATSAPP</v>
      </c>
      <c r="AG825" s="65" t="str">
        <f>IFERROR(__xludf.DUMMYFUNCTION("""COMPUTED_VALUE"""),"SI")</f>
        <v>SI</v>
      </c>
      <c r="AH825" s="65" t="str">
        <f>IFERROR(__xludf.DUMMYFUNCTION("""COMPUTED_VALUE"""),"18:08")</f>
        <v>18:08</v>
      </c>
      <c r="AI825" s="65" t="str">
        <f>IFERROR(__xludf.DUMMYFUNCTION("""COMPUTED_VALUE"""),"25-02-2026")</f>
        <v>25-02-2026</v>
      </c>
      <c r="AJ825" s="65" t="str">
        <f>IFERROR(__xludf.DUMMYFUNCTION("""COMPUTED_VALUE"""),"CLIENTE SOLICITA LA ENTREGA INMEDIATA")</f>
        <v>CLIENTE SOLICITA LA ENTREGA INMEDIATA</v>
      </c>
      <c r="AK825" s="65" t="str">
        <f>IFERROR(__xludf.DUMMYFUNCTION("""COMPUTED_VALUE"""),"13:13")</f>
        <v>13:13</v>
      </c>
      <c r="AL825" s="65" t="str">
        <f>IFERROR(__xludf.DUMMYFUNCTION("""COMPUTED_VALUE"""),"26-02-2026")</f>
        <v>26-02-2026</v>
      </c>
      <c r="AM825" s="65"/>
      <c r="AN825" s="65" t="str">
        <f>IFERROR(__xludf.DUMMYFUNCTION("""COMPUTED_VALUE"""),"16:36")</f>
        <v>16:36</v>
      </c>
      <c r="AO825" s="65" t="str">
        <f>IFERROR(__xludf.DUMMYFUNCTION("""COMPUTED_VALUE"""),"11-03-2026")</f>
        <v>11-03-2026</v>
      </c>
      <c r="AP825" s="65" t="str">
        <f>IFERROR(__xludf.DUMMYFUNCTION("""COMPUTED_VALUE"""),"DEV CONFIRMADA POR BODEGA")</f>
        <v>DEV CONFIRMADA POR BODEGA</v>
      </c>
      <c r="AQ825" s="65"/>
      <c r="AR825" s="65" t="str">
        <f>IFERROR(__xludf.DUMMYFUNCTION("""COMPUTED_VALUE"""),"Gestionado por: PROVEDIX DAMIAN, email:enviogratisdirecto@gmail.com, total de productos en la orden: 1")</f>
        <v>Gestionado por: PROVEDIX DAMIAN, email:enviogratisdirecto@gmail.com, total de productos en la orden: 1</v>
      </c>
      <c r="AS825" s="65"/>
      <c r="AT825" s="65"/>
      <c r="AU825" s="65"/>
      <c r="AV825" s="65"/>
      <c r="AW825" s="65"/>
      <c r="AX825" s="65"/>
      <c r="AY825" s="65" t="str">
        <f>IFERROR(__xludf.DUMMYFUNCTION("""COMPUTED_VALUE"""),"12/02/2026")</f>
        <v>12/02/2026</v>
      </c>
      <c r="AZ825" s="65"/>
      <c r="BA825" s="65"/>
    </row>
    <row r="826">
      <c r="A826" s="65" t="str">
        <f>IFERROR(__xludf.DUMMYFUNCTION("""COMPUTED_VALUE"""),"27-03-2026")</f>
        <v>27-03-2026</v>
      </c>
      <c r="B826" s="65">
        <f>IFERROR(__xludf.DUMMYFUNCTION("""COMPUTED_VALUE"""),4490256.0)</f>
        <v>4490256</v>
      </c>
      <c r="C826" s="65" t="str">
        <f>IFERROR(__xludf.DUMMYFUNCTION("""COMPUTED_VALUE"""),"12:24")</f>
        <v>12:24</v>
      </c>
      <c r="D826" s="65" t="str">
        <f>IFERROR(__xludf.DUMMYFUNCTION("""COMPUTED_VALUE"""),"12-02-2026")</f>
        <v>12-02-2026</v>
      </c>
      <c r="E826" s="65" t="str">
        <f>IFERROR(__xludf.DUMMYFUNCTION("""COMPUTED_VALUE"""),"jorge ochoa")</f>
        <v>jorge ochoa</v>
      </c>
      <c r="F826" s="65" t="str">
        <f>IFERROR(__xludf.DUMMYFUNCTION("""COMPUTED_VALUE"""),"986076616")</f>
        <v>986076616</v>
      </c>
      <c r="G826" s="65" t="str">
        <f>IFERROR(__xludf.DUMMYFUNCTION("""COMPUTED_VALUE"""),"jorgeochoa2018@gmail.com")</f>
        <v>jorgeochoa2018@gmail.com</v>
      </c>
      <c r="H826" s="65"/>
      <c r="I826" s="65"/>
      <c r="J826" s="65" t="str">
        <f>IFERROR(__xludf.DUMMYFUNCTION("""COMPUTED_VALUE"""),"D001325887")</f>
        <v>D001325887</v>
      </c>
      <c r="K826" s="65" t="str">
        <f>IFERROR(__xludf.DUMMYFUNCTION("""COMPUTED_VALUE"""),"ENTREGADO")</f>
        <v>ENTREGADO</v>
      </c>
      <c r="L826" s="65" t="str">
        <f>IFERROR(__xludf.DUMMYFUNCTION("""COMPUTED_VALUE"""),"CON RECAUDO")</f>
        <v>CON RECAUDO</v>
      </c>
      <c r="M826" s="65" t="str">
        <f>IFERROR(__xludf.DUMMYFUNCTION("""COMPUTED_VALUE"""),"SANTO DOMINGO DE LOS TSACHILAS")</f>
        <v>SANTO DOMINGO DE LOS TSACHILAS</v>
      </c>
      <c r="N826" s="65" t="str">
        <f>IFERROR(__xludf.DUMMYFUNCTION("""COMPUTED_VALUE"""),"SANTO DOMINGO")</f>
        <v>SANTO DOMINGO</v>
      </c>
      <c r="O826" s="65" t="str">
        <f>IFERROR(__xludf.DUMMYFUNCTION("""COMPUTED_VALUE"""),"Av Abraham Calazacon y Av Santa Rosa, Coop Las Palmas, diagonal a la catedral.")</f>
        <v>Av Abraham Calazacon y Av Santa Rosa, Coop Las Palmas, diagonal a la catedral.</v>
      </c>
      <c r="P826" s="65"/>
      <c r="Q826" s="65" t="str">
        <f>IFERROR(__xludf.DUMMYFUNCTION("""COMPUTED_VALUE"""),"GINTRACOM")</f>
        <v>GINTRACOM</v>
      </c>
      <c r="R826" s="65">
        <f>IFERROR(__xludf.DUMMYFUNCTION("""COMPUTED_VALUE"""),32.0)</f>
        <v>32</v>
      </c>
      <c r="S826" s="65">
        <f>IFERROR(__xludf.DUMMYFUNCTION("""COMPUTED_VALUE"""),15.36)</f>
        <v>15.36</v>
      </c>
      <c r="T826" s="65">
        <f>IFERROR(__xludf.DUMMYFUNCTION("""COMPUTED_VALUE"""),6.24)</f>
        <v>6.24</v>
      </c>
      <c r="U826" s="65">
        <f>IFERROR(__xludf.DUMMYFUNCTION("""COMPUTED_VALUE"""),0.0)</f>
        <v>0</v>
      </c>
      <c r="V826" s="65">
        <f>IFERROR(__xludf.DUMMYFUNCTION("""COMPUTED_VALUE"""),0.0)</f>
        <v>0</v>
      </c>
      <c r="W826" s="65">
        <f>IFERROR(__xludf.DUMMYFUNCTION("""COMPUTED_VALUE"""),0.0)</f>
        <v>0</v>
      </c>
      <c r="X826" s="65">
        <f>IFERROR(__xludf.DUMMYFUNCTION("""COMPUTED_VALUE"""),2.6)</f>
        <v>2.6</v>
      </c>
      <c r="Y826" s="65">
        <f>IFERROR(__xludf.DUMMYFUNCTION("""COMPUTED_VALUE"""),10.4)</f>
        <v>10.4</v>
      </c>
      <c r="Z826" s="65">
        <f>IFERROR(__xludf.DUMMYFUNCTION("""COMPUTED_VALUE"""),121983.0)</f>
        <v>121983</v>
      </c>
      <c r="AA826" s="65" t="str">
        <f>IFERROR(__xludf.DUMMYFUNCTION("""COMPUTED_VALUE"""),"PROV-CHLLCF")</f>
        <v>PROV-CHLLCF</v>
      </c>
      <c r="AB826" s="65"/>
      <c r="AC826" s="65" t="str">
        <f>IFERROR(__xludf.DUMMYFUNCTION("""COMPUTED_VALUE"""),"CUCHILLO PARA CHEF")</f>
        <v>CUCHILLO PARA CHEF</v>
      </c>
      <c r="AD826" s="65"/>
      <c r="AE826" s="65">
        <f>IFERROR(__xludf.DUMMYFUNCTION("""COMPUTED_VALUE"""),4.0)</f>
        <v>4</v>
      </c>
      <c r="AF826" s="65"/>
      <c r="AG826" s="65"/>
      <c r="AH826" s="65"/>
      <c r="AI826" s="65"/>
      <c r="AJ826" s="65"/>
      <c r="AK826" s="65"/>
      <c r="AL826" s="65"/>
      <c r="AM826" s="65"/>
      <c r="AN826" s="65" t="str">
        <f>IFERROR(__xludf.DUMMYFUNCTION("""COMPUTED_VALUE"""),"12:16")</f>
        <v>12:16</v>
      </c>
      <c r="AO826" s="65" t="str">
        <f>IFERROR(__xludf.DUMMYFUNCTION("""COMPUTED_VALUE"""),"17-02-2026")</f>
        <v>17-02-2026</v>
      </c>
      <c r="AP826" s="65" t="str">
        <f>IFERROR(__xludf.DUMMYFUNCTION("""COMPUTED_VALUE"""),"ENTREGADA GINTRACOM")</f>
        <v>ENTREGADA GINTRACOM</v>
      </c>
      <c r="AQ826" s="65" t="str">
        <f>IFERROR(__xludf.DUMMYFUNCTION("""COMPUTED_VALUE"""),"ENTREGADA GINTRACOM")</f>
        <v>ENTREGADA GINTRACOM</v>
      </c>
      <c r="AR826" s="65"/>
      <c r="AS826" s="65"/>
      <c r="AT826" s="65" t="str">
        <f>IFERROR(__xludf.DUMMYFUNCTION("""COMPUTED_VALUE"""),"SHOPIFY")</f>
        <v>SHOPIFY</v>
      </c>
      <c r="AU826" s="65" t="str">
        <f>IFERROR(__xludf.DUMMYFUNCTION("""COMPUTED_VALUE"""),"IMPORTEX EC")</f>
        <v>IMPORTEX EC</v>
      </c>
      <c r="AV826" s="65" t="str">
        <f>IFERROR(__xludf.DUMMYFUNCTION("""COMPUTED_VALUE"""),"6496828915756")</f>
        <v>6496828915756</v>
      </c>
      <c r="AW826" s="65">
        <f>IFERROR(__xludf.DUMMYFUNCTION("""COMPUTED_VALUE"""),6007.0)</f>
        <v>6007</v>
      </c>
      <c r="AX826" s="65"/>
      <c r="AY826" s="65" t="str">
        <f>IFERROR(__xludf.DUMMYFUNCTION("""COMPUTED_VALUE"""),"13/02/2026")</f>
        <v>13/02/2026</v>
      </c>
      <c r="AZ826" s="65"/>
      <c r="BA826" s="65"/>
    </row>
    <row r="827">
      <c r="A827" s="65" t="str">
        <f>IFERROR(__xludf.DUMMYFUNCTION("""COMPUTED_VALUE"""),"27-03-2026")</f>
        <v>27-03-2026</v>
      </c>
      <c r="B827" s="65">
        <f>IFERROR(__xludf.DUMMYFUNCTION("""COMPUTED_VALUE"""),4490176.0)</f>
        <v>4490176</v>
      </c>
      <c r="C827" s="65" t="str">
        <f>IFERROR(__xludf.DUMMYFUNCTION("""COMPUTED_VALUE"""),"12:18")</f>
        <v>12:18</v>
      </c>
      <c r="D827" s="65" t="str">
        <f>IFERROR(__xludf.DUMMYFUNCTION("""COMPUTED_VALUE"""),"12-02-2026")</f>
        <v>12-02-2026</v>
      </c>
      <c r="E827" s="65" t="str">
        <f>IFERROR(__xludf.DUMMYFUNCTION("""COMPUTED_VALUE"""),"Aparicio Sanmartin")</f>
        <v>Aparicio Sanmartin</v>
      </c>
      <c r="F827" s="65" t="str">
        <f>IFERROR(__xludf.DUMMYFUNCTION("""COMPUTED_VALUE"""),"991945549")</f>
        <v>991945549</v>
      </c>
      <c r="G827" s="65" t="str">
        <f>IFERROR(__xludf.DUMMYFUNCTION("""COMPUTED_VALUE"""),"apariciosanmartin1@hotmail.com")</f>
        <v>apariciosanmartin1@hotmail.com</v>
      </c>
      <c r="H827" s="65"/>
      <c r="I827" s="65"/>
      <c r="J827" s="65" t="str">
        <f>IFERROR(__xludf.DUMMYFUNCTION("""COMPUTED_VALUE"""),"LC52869832")</f>
        <v>LC52869832</v>
      </c>
      <c r="K827" s="65" t="str">
        <f>IFERROR(__xludf.DUMMYFUNCTION("""COMPUTED_VALUE"""),"ENTREGADO")</f>
        <v>ENTREGADO</v>
      </c>
      <c r="L827" s="65" t="str">
        <f>IFERROR(__xludf.DUMMYFUNCTION("""COMPUTED_VALUE"""),"CON RECAUDO")</f>
        <v>CON RECAUDO</v>
      </c>
      <c r="M827" s="65" t="str">
        <f>IFERROR(__xludf.DUMMYFUNCTION("""COMPUTED_VALUE"""),"MORONA SANTIAGO")</f>
        <v>MORONA SANTIAGO</v>
      </c>
      <c r="N827" s="65" t="str">
        <f>IFERROR(__xludf.DUMMYFUNCTION("""COMPUTED_VALUE"""),"SUCUA")</f>
        <v>SUCUA</v>
      </c>
      <c r="O827" s="65" t="str">
        <f>IFERROR(__xludf.DUMMYFUNCTION("""COMPUTED_VALUE"""),"Enrique Arizaga Y Pastor Bernal - Barrio 8 de diciembre, diagonal a la plaza civica")</f>
        <v>Enrique Arizaga Y Pastor Bernal - Barrio 8 de diciembre, diagonal a la plaza civica</v>
      </c>
      <c r="P827" s="65"/>
      <c r="Q827" s="65" t="str">
        <f>IFERROR(__xludf.DUMMYFUNCTION("""COMPUTED_VALUE"""),"LAARCOURIER")</f>
        <v>LAARCOURIER</v>
      </c>
      <c r="R827" s="65">
        <f>IFERROR(__xludf.DUMMYFUNCTION("""COMPUTED_VALUE"""),22.0)</f>
        <v>22</v>
      </c>
      <c r="S827" s="65">
        <f>IFERROR(__xludf.DUMMYFUNCTION("""COMPUTED_VALUE"""),8.64)</f>
        <v>8.64</v>
      </c>
      <c r="T827" s="65">
        <f>IFERROR(__xludf.DUMMYFUNCTION("""COMPUTED_VALUE"""),8.16)</f>
        <v>8.16</v>
      </c>
      <c r="U827" s="65">
        <f>IFERROR(__xludf.DUMMYFUNCTION("""COMPUTED_VALUE"""),0.0)</f>
        <v>0</v>
      </c>
      <c r="V827" s="65">
        <f>IFERROR(__xludf.DUMMYFUNCTION("""COMPUTED_VALUE"""),0.0)</f>
        <v>0</v>
      </c>
      <c r="W827" s="65">
        <f>IFERROR(__xludf.DUMMYFUNCTION("""COMPUTED_VALUE"""),0.0)</f>
        <v>0</v>
      </c>
      <c r="X827" s="65">
        <f>IFERROR(__xludf.DUMMYFUNCTION("""COMPUTED_VALUE"""),2.6)</f>
        <v>2.6</v>
      </c>
      <c r="Y827" s="65">
        <f>IFERROR(__xludf.DUMMYFUNCTION("""COMPUTED_VALUE"""),5.2)</f>
        <v>5.2</v>
      </c>
      <c r="Z827" s="65">
        <f>IFERROR(__xludf.DUMMYFUNCTION("""COMPUTED_VALUE"""),121983.0)</f>
        <v>121983</v>
      </c>
      <c r="AA827" s="65" t="str">
        <f>IFERROR(__xludf.DUMMYFUNCTION("""COMPUTED_VALUE"""),"PROV-CHLLCF")</f>
        <v>PROV-CHLLCF</v>
      </c>
      <c r="AB827" s="65"/>
      <c r="AC827" s="65" t="str">
        <f>IFERROR(__xludf.DUMMYFUNCTION("""COMPUTED_VALUE"""),"CUCHILLO PARA CHEF")</f>
        <v>CUCHILLO PARA CHEF</v>
      </c>
      <c r="AD827" s="65"/>
      <c r="AE827" s="65">
        <f>IFERROR(__xludf.DUMMYFUNCTION("""COMPUTED_VALUE"""),2.0)</f>
        <v>2</v>
      </c>
      <c r="AF827" s="65"/>
      <c r="AG827" s="65"/>
      <c r="AH827" s="65"/>
      <c r="AI827" s="65"/>
      <c r="AJ827" s="65"/>
      <c r="AK827" s="65"/>
      <c r="AL827" s="65"/>
      <c r="AM827" s="65"/>
      <c r="AN827" s="65" t="str">
        <f>IFERROR(__xludf.DUMMYFUNCTION("""COMPUTED_VALUE"""),"09:26")</f>
        <v>09:26</v>
      </c>
      <c r="AO827" s="65" t="str">
        <f>IFERROR(__xludf.DUMMYFUNCTION("""COMPUTED_VALUE"""),"18-02-2026")</f>
        <v>18-02-2026</v>
      </c>
      <c r="AP827" s="65" t="str">
        <f>IFERROR(__xludf.DUMMYFUNCTION("""COMPUTED_VALUE"""),"ENTREGADO")</f>
        <v>ENTREGADO</v>
      </c>
      <c r="AQ827" s="65" t="str">
        <f>IFERROR(__xludf.DUMMYFUNCTION("""COMPUTED_VALUE"""),"ENTREGADO")</f>
        <v>ENTREGADO</v>
      </c>
      <c r="AR827" s="65"/>
      <c r="AS827" s="65"/>
      <c r="AT827" s="65" t="str">
        <f>IFERROR(__xludf.DUMMYFUNCTION("""COMPUTED_VALUE"""),"SHOPIFY")</f>
        <v>SHOPIFY</v>
      </c>
      <c r="AU827" s="65" t="str">
        <f>IFERROR(__xludf.DUMMYFUNCTION("""COMPUTED_VALUE"""),"IMPORTEX EC")</f>
        <v>IMPORTEX EC</v>
      </c>
      <c r="AV827" s="65" t="str">
        <f>IFERROR(__xludf.DUMMYFUNCTION("""COMPUTED_VALUE"""),"6498503426092")</f>
        <v>6498503426092</v>
      </c>
      <c r="AW827" s="65">
        <f>IFERROR(__xludf.DUMMYFUNCTION("""COMPUTED_VALUE"""),6058.0)</f>
        <v>6058</v>
      </c>
      <c r="AX827" s="65"/>
      <c r="AY827" s="65" t="str">
        <f>IFERROR(__xludf.DUMMYFUNCTION("""COMPUTED_VALUE"""),"13/02/2026")</f>
        <v>13/02/2026</v>
      </c>
      <c r="AZ827" s="65"/>
      <c r="BA827" s="65"/>
    </row>
    <row r="828">
      <c r="A828" s="65" t="str">
        <f>IFERROR(__xludf.DUMMYFUNCTION("""COMPUTED_VALUE"""),"27-03-2026")</f>
        <v>27-03-2026</v>
      </c>
      <c r="B828" s="65">
        <f>IFERROR(__xludf.DUMMYFUNCTION("""COMPUTED_VALUE"""),4490156.0)</f>
        <v>4490156</v>
      </c>
      <c r="C828" s="65" t="str">
        <f>IFERROR(__xludf.DUMMYFUNCTION("""COMPUTED_VALUE"""),"12:16")</f>
        <v>12:16</v>
      </c>
      <c r="D828" s="65" t="str">
        <f>IFERROR(__xludf.DUMMYFUNCTION("""COMPUTED_VALUE"""),"12-02-2026")</f>
        <v>12-02-2026</v>
      </c>
      <c r="E828" s="65" t="str">
        <f>IFERROR(__xludf.DUMMYFUNCTION("""COMPUTED_VALUE"""),"Rodrigo Jaramillo")</f>
        <v>Rodrigo Jaramillo</v>
      </c>
      <c r="F828" s="65" t="str">
        <f>IFERROR(__xludf.DUMMYFUNCTION("""COMPUTED_VALUE"""),"994896232")</f>
        <v>994896232</v>
      </c>
      <c r="G828" s="65"/>
      <c r="H828" s="65"/>
      <c r="I828" s="65"/>
      <c r="J828" s="65"/>
      <c r="K828" s="65" t="str">
        <f>IFERROR(__xludf.DUMMYFUNCTION("""COMPUTED_VALUE"""),"PENDIENTE CONFIRMACION")</f>
        <v>PENDIENTE CONFIRMACION</v>
      </c>
      <c r="L828" s="65" t="str">
        <f>IFERROR(__xludf.DUMMYFUNCTION("""COMPUTED_VALUE"""),"CON RECAUDO")</f>
        <v>CON RECAUDO</v>
      </c>
      <c r="M828" s="65" t="str">
        <f>IFERROR(__xludf.DUMMYFUNCTION("""COMPUTED_VALUE"""),"SANTO DOMINGO DE LOS TSACHILAS")</f>
        <v>SANTO DOMINGO DE LOS TSACHILAS</v>
      </c>
      <c r="N828" s="65" t="str">
        <f>IFERROR(__xludf.DUMMYFUNCTION("""COMPUTED_VALUE"""),"SANTO DOMINGO")</f>
        <v>SANTO DOMINGO</v>
      </c>
      <c r="O828" s="65" t="str">
        <f>IFERROR(__xludf.DUMMYFUNCTION("""COMPUTED_VALUE"""),"29 de mayo Calle cuenca -")</f>
        <v>29 de mayo Calle cuenca -</v>
      </c>
      <c r="P828" s="65"/>
      <c r="Q828" s="65" t="str">
        <f>IFERROR(__xludf.DUMMYFUNCTION("""COMPUTED_VALUE"""),"GINTRACOM")</f>
        <v>GINTRACOM</v>
      </c>
      <c r="R828" s="65">
        <f>IFERROR(__xludf.DUMMYFUNCTION("""COMPUTED_VALUE"""),20.0)</f>
        <v>20</v>
      </c>
      <c r="S828" s="65"/>
      <c r="T828" s="65">
        <f>IFERROR(__xludf.DUMMYFUNCTION("""COMPUTED_VALUE"""),5.76)</f>
        <v>5.76</v>
      </c>
      <c r="U828" s="65">
        <f>IFERROR(__xludf.DUMMYFUNCTION("""COMPUTED_VALUE"""),0.0)</f>
        <v>0</v>
      </c>
      <c r="V828" s="65">
        <f>IFERROR(__xludf.DUMMYFUNCTION("""COMPUTED_VALUE"""),0.0)</f>
        <v>0</v>
      </c>
      <c r="W828" s="65">
        <f>IFERROR(__xludf.DUMMYFUNCTION("""COMPUTED_VALUE"""),0.0)</f>
        <v>0</v>
      </c>
      <c r="X828" s="65">
        <f>IFERROR(__xludf.DUMMYFUNCTION("""COMPUTED_VALUE"""),2.4)</f>
        <v>2.4</v>
      </c>
      <c r="Y828" s="65">
        <f>IFERROR(__xludf.DUMMYFUNCTION("""COMPUTED_VALUE"""),2.4)</f>
        <v>2.4</v>
      </c>
      <c r="Z828" s="65">
        <f>IFERROR(__xludf.DUMMYFUNCTION("""COMPUTED_VALUE"""),120732.0)</f>
        <v>120732</v>
      </c>
      <c r="AA828" s="65" t="str">
        <f>IFERROR(__xludf.DUMMYFUNCTION("""COMPUTED_VALUE"""),"PROV-LMPVT")</f>
        <v>PROV-LMPVT</v>
      </c>
      <c r="AB828" s="65"/>
      <c r="AC828" s="65" t="str">
        <f>IFERROR(__xludf.DUMMYFUNCTION("""COMPUTED_VALUE"""),"LIMPIADOR DE PARABRISAS Y VENTANAS")</f>
        <v>LIMPIADOR DE PARABRISAS Y VENTANAS</v>
      </c>
      <c r="AD828" s="65"/>
      <c r="AE828" s="65">
        <f>IFERROR(__xludf.DUMMYFUNCTION("""COMPUTED_VALUE"""),1.0)</f>
        <v>1</v>
      </c>
      <c r="AF828" s="65"/>
      <c r="AG828" s="65"/>
      <c r="AH828" s="65"/>
      <c r="AI828" s="65"/>
      <c r="AJ828" s="65"/>
      <c r="AK828" s="65"/>
      <c r="AL828" s="65"/>
      <c r="AM828" s="65"/>
      <c r="AN828" s="65"/>
      <c r="AO828" s="65"/>
      <c r="AP828" s="65"/>
      <c r="AQ828" s="65"/>
      <c r="AR828" s="65"/>
      <c r="AS828" s="65"/>
      <c r="AT828" s="65" t="str">
        <f>IFERROR(__xludf.DUMMYFUNCTION("""COMPUTED_VALUE"""),"SHOPIFY")</f>
        <v>SHOPIFY</v>
      </c>
      <c r="AU828" s="65" t="str">
        <f>IFERROR(__xludf.DUMMYFUNCTION("""COMPUTED_VALUE"""),"IMPORTEX EC")</f>
        <v>IMPORTEX EC</v>
      </c>
      <c r="AV828" s="65" t="str">
        <f>IFERROR(__xludf.DUMMYFUNCTION("""COMPUTED_VALUE"""),"6496250888236")</f>
        <v>6496250888236</v>
      </c>
      <c r="AW828" s="65">
        <f>IFERROR(__xludf.DUMMYFUNCTION("""COMPUTED_VALUE"""),5998.0)</f>
        <v>5998</v>
      </c>
      <c r="AX828" s="65"/>
      <c r="AY828" s="65"/>
      <c r="AZ828" s="65"/>
      <c r="BA828" s="65"/>
    </row>
    <row r="829">
      <c r="A829" s="65" t="str">
        <f>IFERROR(__xludf.DUMMYFUNCTION("""COMPUTED_VALUE"""),"27-03-2026")</f>
        <v>27-03-2026</v>
      </c>
      <c r="B829" s="65">
        <f>IFERROR(__xludf.DUMMYFUNCTION("""COMPUTED_VALUE"""),4490141.0)</f>
        <v>4490141</v>
      </c>
      <c r="C829" s="65" t="str">
        <f>IFERROR(__xludf.DUMMYFUNCTION("""COMPUTED_VALUE"""),"12:15")</f>
        <v>12:15</v>
      </c>
      <c r="D829" s="65" t="str">
        <f>IFERROR(__xludf.DUMMYFUNCTION("""COMPUTED_VALUE"""),"12-02-2026")</f>
        <v>12-02-2026</v>
      </c>
      <c r="E829" s="65" t="str">
        <f>IFERROR(__xludf.DUMMYFUNCTION("""COMPUTED_VALUE"""),"Renato Andrade")</f>
        <v>Renato Andrade</v>
      </c>
      <c r="F829" s="65" t="str">
        <f>IFERROR(__xludf.DUMMYFUNCTION("""COMPUTED_VALUE"""),"984559194")</f>
        <v>984559194</v>
      </c>
      <c r="G829" s="65" t="str">
        <f>IFERROR(__xludf.DUMMYFUNCTION("""COMPUTED_VALUE"""),"renatodab35s4@gmail.com")</f>
        <v>renatodab35s4@gmail.com</v>
      </c>
      <c r="H829" s="65"/>
      <c r="I829" s="65"/>
      <c r="J829" s="65" t="str">
        <f>IFERROR(__xludf.DUMMYFUNCTION("""COMPUTED_VALUE"""),"D001324318")</f>
        <v>D001324318</v>
      </c>
      <c r="K829" s="65" t="str">
        <f>IFERROR(__xludf.DUMMYFUNCTION("""COMPUTED_VALUE"""),"ENTREGADO")</f>
        <v>ENTREGADO</v>
      </c>
      <c r="L829" s="65" t="str">
        <f>IFERROR(__xludf.DUMMYFUNCTION("""COMPUTED_VALUE"""),"CON RECAUDO")</f>
        <v>CON RECAUDO</v>
      </c>
      <c r="M829" s="65" t="str">
        <f>IFERROR(__xludf.DUMMYFUNCTION("""COMPUTED_VALUE"""),"PICHINCHA")</f>
        <v>PICHINCHA</v>
      </c>
      <c r="N829" s="65" t="str">
        <f>IFERROR(__xludf.DUMMYFUNCTION("""COMPUTED_VALUE"""),"QUITO")</f>
        <v>QUITO</v>
      </c>
      <c r="O829" s="65" t="str">
        <f>IFERROR(__xludf.DUMMYFUNCTION("""COMPUTED_VALUE"""),"Ayora y Pereira Plataforma Gubernamental - Bloque Verde, piso 3")</f>
        <v>Ayora y Pereira Plataforma Gubernamental - Bloque Verde, piso 3</v>
      </c>
      <c r="P829" s="65"/>
      <c r="Q829" s="65" t="str">
        <f>IFERROR(__xludf.DUMMYFUNCTION("""COMPUTED_VALUE"""),"GINTRACOM")</f>
        <v>GINTRACOM</v>
      </c>
      <c r="R829" s="65">
        <f>IFERROR(__xludf.DUMMYFUNCTION("""COMPUTED_VALUE"""),30.0)</f>
        <v>30</v>
      </c>
      <c r="S829" s="65">
        <f>IFERROR(__xludf.DUMMYFUNCTION("""COMPUTED_VALUE"""),16.64)</f>
        <v>16.64</v>
      </c>
      <c r="T829" s="65">
        <f>IFERROR(__xludf.DUMMYFUNCTION("""COMPUTED_VALUE"""),6.16)</f>
        <v>6.16</v>
      </c>
      <c r="U829" s="65">
        <f>IFERROR(__xludf.DUMMYFUNCTION("""COMPUTED_VALUE"""),0.0)</f>
        <v>0</v>
      </c>
      <c r="V829" s="65">
        <f>IFERROR(__xludf.DUMMYFUNCTION("""COMPUTED_VALUE"""),0.0)</f>
        <v>0</v>
      </c>
      <c r="W829" s="65">
        <f>IFERROR(__xludf.DUMMYFUNCTION("""COMPUTED_VALUE"""),0.0)</f>
        <v>0</v>
      </c>
      <c r="X829" s="65">
        <f>IFERROR(__xludf.DUMMYFUNCTION("""COMPUTED_VALUE"""),2.4)</f>
        <v>2.4</v>
      </c>
      <c r="Y829" s="65">
        <f>IFERROR(__xludf.DUMMYFUNCTION("""COMPUTED_VALUE"""),7.2)</f>
        <v>7.2</v>
      </c>
      <c r="Z829" s="65">
        <f>IFERROR(__xludf.DUMMYFUNCTION("""COMPUTED_VALUE"""),120732.0)</f>
        <v>120732</v>
      </c>
      <c r="AA829" s="65" t="str">
        <f>IFERROR(__xludf.DUMMYFUNCTION("""COMPUTED_VALUE"""),"PROV-LMPVT")</f>
        <v>PROV-LMPVT</v>
      </c>
      <c r="AB829" s="65"/>
      <c r="AC829" s="65" t="str">
        <f>IFERROR(__xludf.DUMMYFUNCTION("""COMPUTED_VALUE"""),"LIMPIADOR DE PARABRISAS Y VENTANAS")</f>
        <v>LIMPIADOR DE PARABRISAS Y VENTANAS</v>
      </c>
      <c r="AD829" s="65"/>
      <c r="AE829" s="65">
        <f>IFERROR(__xludf.DUMMYFUNCTION("""COMPUTED_VALUE"""),3.0)</f>
        <v>3</v>
      </c>
      <c r="AF829" s="65"/>
      <c r="AG829" s="65"/>
      <c r="AH829" s="65"/>
      <c r="AI829" s="65"/>
      <c r="AJ829" s="65"/>
      <c r="AK829" s="65"/>
      <c r="AL829" s="65"/>
      <c r="AM829" s="65"/>
      <c r="AN829" s="65" t="str">
        <f>IFERROR(__xludf.DUMMYFUNCTION("""COMPUTED_VALUE"""),"11:29")</f>
        <v>11:29</v>
      </c>
      <c r="AO829" s="65" t="str">
        <f>IFERROR(__xludf.DUMMYFUNCTION("""COMPUTED_VALUE"""),"18-02-2026")</f>
        <v>18-02-2026</v>
      </c>
      <c r="AP829" s="65" t="str">
        <f>IFERROR(__xludf.DUMMYFUNCTION("""COMPUTED_VALUE"""),"ENTREGADA GINTRACOM")</f>
        <v>ENTREGADA GINTRACOM</v>
      </c>
      <c r="AQ829" s="65" t="str">
        <f>IFERROR(__xludf.DUMMYFUNCTION("""COMPUTED_VALUE"""),"ENTREGADA GINTRACOM")</f>
        <v>ENTREGADA GINTRACOM</v>
      </c>
      <c r="AR829" s="65"/>
      <c r="AS829" s="65"/>
      <c r="AT829" s="65" t="str">
        <f>IFERROR(__xludf.DUMMYFUNCTION("""COMPUTED_VALUE"""),"SHOPIFY")</f>
        <v>SHOPIFY</v>
      </c>
      <c r="AU829" s="65" t="str">
        <f>IFERROR(__xludf.DUMMYFUNCTION("""COMPUTED_VALUE"""),"IMPORTEX EC")</f>
        <v>IMPORTEX EC</v>
      </c>
      <c r="AV829" s="65" t="str">
        <f>IFERROR(__xludf.DUMMYFUNCTION("""COMPUTED_VALUE"""),"6496235847724")</f>
        <v>6496235847724</v>
      </c>
      <c r="AW829" s="65">
        <f>IFERROR(__xludf.DUMMYFUNCTION("""COMPUTED_VALUE"""),5997.0)</f>
        <v>5997</v>
      </c>
      <c r="AX829" s="65"/>
      <c r="AY829" s="65" t="str">
        <f>IFERROR(__xludf.DUMMYFUNCTION("""COMPUTED_VALUE"""),"13/02/2026")</f>
        <v>13/02/2026</v>
      </c>
      <c r="AZ829" s="65"/>
      <c r="BA829" s="65"/>
    </row>
    <row r="830">
      <c r="A830" s="65" t="str">
        <f>IFERROR(__xludf.DUMMYFUNCTION("""COMPUTED_VALUE"""),"27-03-2026")</f>
        <v>27-03-2026</v>
      </c>
      <c r="B830" s="65">
        <f>IFERROR(__xludf.DUMMYFUNCTION("""COMPUTED_VALUE"""),4489985.0)</f>
        <v>4489985</v>
      </c>
      <c r="C830" s="65" t="str">
        <f>IFERROR(__xludf.DUMMYFUNCTION("""COMPUTED_VALUE"""),"12:03")</f>
        <v>12:03</v>
      </c>
      <c r="D830" s="65" t="str">
        <f>IFERROR(__xludf.DUMMYFUNCTION("""COMPUTED_VALUE"""),"12-02-2026")</f>
        <v>12-02-2026</v>
      </c>
      <c r="E830" s="65" t="str">
        <f>IFERROR(__xludf.DUMMYFUNCTION("""COMPUTED_VALUE"""),"José Avelino Valencia Avelino Valencia")</f>
        <v>José Avelino Valencia Avelino Valencia</v>
      </c>
      <c r="F830" s="65" t="str">
        <f>IFERROR(__xludf.DUMMYFUNCTION("""COMPUTED_VALUE"""),"997468330")</f>
        <v>997468330</v>
      </c>
      <c r="G830" s="65" t="str">
        <f>IFERROR(__xludf.DUMMYFUNCTION("""COMPUTED_VALUE"""),"joseavelinojeav90@gmail.com")</f>
        <v>joseavelinojeav90@gmail.com</v>
      </c>
      <c r="H830" s="65"/>
      <c r="I830" s="65"/>
      <c r="J830" s="65"/>
      <c r="K830" s="65" t="str">
        <f>IFERROR(__xludf.DUMMYFUNCTION("""COMPUTED_VALUE"""),"PENDIENTE CONFIRMACION")</f>
        <v>PENDIENTE CONFIRMACION</v>
      </c>
      <c r="L830" s="65" t="str">
        <f>IFERROR(__xludf.DUMMYFUNCTION("""COMPUTED_VALUE"""),"CON RECAUDO")</f>
        <v>CON RECAUDO</v>
      </c>
      <c r="M830" s="65" t="str">
        <f>IFERROR(__xludf.DUMMYFUNCTION("""COMPUTED_VALUE"""),"GUAYAS")</f>
        <v>GUAYAS</v>
      </c>
      <c r="N830" s="65" t="str">
        <f>IFERROR(__xludf.DUMMYFUNCTION("""COMPUTED_VALUE"""),"NARANJITO")</f>
        <v>NARANJITO</v>
      </c>
      <c r="O830" s="65" t="str">
        <f>IFERROR(__xludf.DUMMYFUNCTION("""COMPUTED_VALUE"""),"Jaime Ortiz y marcial Andrade Casa en construcción Alado una iglesia evangelica -")</f>
        <v>Jaime Ortiz y marcial Andrade Casa en construcción Alado una iglesia evangelica -</v>
      </c>
      <c r="P830" s="65"/>
      <c r="Q830" s="65" t="str">
        <f>IFERROR(__xludf.DUMMYFUNCTION("""COMPUTED_VALUE"""),"GINTRACOM")</f>
        <v>GINTRACOM</v>
      </c>
      <c r="R830" s="65">
        <f>IFERROR(__xludf.DUMMYFUNCTION("""COMPUTED_VALUE"""),22.0)</f>
        <v>22</v>
      </c>
      <c r="S830" s="65"/>
      <c r="T830" s="65">
        <f>IFERROR(__xludf.DUMMYFUNCTION("""COMPUTED_VALUE"""),5.84)</f>
        <v>5.84</v>
      </c>
      <c r="U830" s="65">
        <f>IFERROR(__xludf.DUMMYFUNCTION("""COMPUTED_VALUE"""),0.0)</f>
        <v>0</v>
      </c>
      <c r="V830" s="65">
        <f>IFERROR(__xludf.DUMMYFUNCTION("""COMPUTED_VALUE"""),0.0)</f>
        <v>0</v>
      </c>
      <c r="W830" s="65">
        <f>IFERROR(__xludf.DUMMYFUNCTION("""COMPUTED_VALUE"""),0.0)</f>
        <v>0</v>
      </c>
      <c r="X830" s="65">
        <f>IFERROR(__xludf.DUMMYFUNCTION("""COMPUTED_VALUE"""),2.6)</f>
        <v>2.6</v>
      </c>
      <c r="Y830" s="65">
        <f>IFERROR(__xludf.DUMMYFUNCTION("""COMPUTED_VALUE"""),5.2)</f>
        <v>5.2</v>
      </c>
      <c r="Z830" s="65">
        <f>IFERROR(__xludf.DUMMYFUNCTION("""COMPUTED_VALUE"""),121983.0)</f>
        <v>121983</v>
      </c>
      <c r="AA830" s="65" t="str">
        <f>IFERROR(__xludf.DUMMYFUNCTION("""COMPUTED_VALUE"""),"PROV-CHLLCF")</f>
        <v>PROV-CHLLCF</v>
      </c>
      <c r="AB830" s="65"/>
      <c r="AC830" s="65" t="str">
        <f>IFERROR(__xludf.DUMMYFUNCTION("""COMPUTED_VALUE"""),"CUCHILLO PARA CHEF")</f>
        <v>CUCHILLO PARA CHEF</v>
      </c>
      <c r="AD830" s="65"/>
      <c r="AE830" s="65">
        <f>IFERROR(__xludf.DUMMYFUNCTION("""COMPUTED_VALUE"""),2.0)</f>
        <v>2</v>
      </c>
      <c r="AF830" s="65"/>
      <c r="AG830" s="65"/>
      <c r="AH830" s="65"/>
      <c r="AI830" s="65"/>
      <c r="AJ830" s="65"/>
      <c r="AK830" s="65"/>
      <c r="AL830" s="65"/>
      <c r="AM830" s="65"/>
      <c r="AN830" s="65"/>
      <c r="AO830" s="65"/>
      <c r="AP830" s="65"/>
      <c r="AQ830" s="65"/>
      <c r="AR830" s="65"/>
      <c r="AS830" s="65"/>
      <c r="AT830" s="65" t="str">
        <f>IFERROR(__xludf.DUMMYFUNCTION("""COMPUTED_VALUE"""),"SHOPIFY")</f>
        <v>SHOPIFY</v>
      </c>
      <c r="AU830" s="65" t="str">
        <f>IFERROR(__xludf.DUMMYFUNCTION("""COMPUTED_VALUE"""),"IMPORTEX EC")</f>
        <v>IMPORTEX EC</v>
      </c>
      <c r="AV830" s="65" t="str">
        <f>IFERROR(__xludf.DUMMYFUNCTION("""COMPUTED_VALUE"""),"6498461351980")</f>
        <v>6498461351980</v>
      </c>
      <c r="AW830" s="65">
        <f>IFERROR(__xludf.DUMMYFUNCTION("""COMPUTED_VALUE"""),6057.0)</f>
        <v>6057</v>
      </c>
      <c r="AX830" s="65"/>
      <c r="AY830" s="65"/>
      <c r="AZ830" s="65"/>
      <c r="BA830" s="65"/>
    </row>
    <row r="831">
      <c r="A831" s="65" t="str">
        <f>IFERROR(__xludf.DUMMYFUNCTION("""COMPUTED_VALUE"""),"27-03-2026")</f>
        <v>27-03-2026</v>
      </c>
      <c r="B831" s="65">
        <f>IFERROR(__xludf.DUMMYFUNCTION("""COMPUTED_VALUE"""),4489941.0)</f>
        <v>4489941</v>
      </c>
      <c r="C831" s="65" t="str">
        <f>IFERROR(__xludf.DUMMYFUNCTION("""COMPUTED_VALUE"""),"11:58")</f>
        <v>11:58</v>
      </c>
      <c r="D831" s="65" t="str">
        <f>IFERROR(__xludf.DUMMYFUNCTION("""COMPUTED_VALUE"""),"12-02-2026")</f>
        <v>12-02-2026</v>
      </c>
      <c r="E831" s="65" t="str">
        <f>IFERROR(__xludf.DUMMYFUNCTION("""COMPUTED_VALUE"""),"Jennifer Barrios")</f>
        <v>Jennifer Barrios</v>
      </c>
      <c r="F831" s="65" t="str">
        <f>IFERROR(__xludf.DUMMYFUNCTION("""COMPUTED_VALUE"""),"998409541")</f>
        <v>998409541</v>
      </c>
      <c r="G831" s="65" t="str">
        <f>IFERROR(__xludf.DUMMYFUNCTION("""COMPUTED_VALUE"""),"jennigeomar2405@gmail.com")</f>
        <v>jennigeomar2405@gmail.com</v>
      </c>
      <c r="H831" s="65"/>
      <c r="I831" s="65"/>
      <c r="J831" s="65" t="str">
        <f>IFERROR(__xludf.DUMMYFUNCTION("""COMPUTED_VALUE"""),"D001324319")</f>
        <v>D001324319</v>
      </c>
      <c r="K831" s="65" t="str">
        <f>IFERROR(__xludf.DUMMYFUNCTION("""COMPUTED_VALUE"""),"ENTREGADO")</f>
        <v>ENTREGADO</v>
      </c>
      <c r="L831" s="65" t="str">
        <f>IFERROR(__xludf.DUMMYFUNCTION("""COMPUTED_VALUE"""),"CON RECAUDO")</f>
        <v>CON RECAUDO</v>
      </c>
      <c r="M831" s="65" t="str">
        <f>IFERROR(__xludf.DUMMYFUNCTION("""COMPUTED_VALUE"""),"GUAYAS")</f>
        <v>GUAYAS</v>
      </c>
      <c r="N831" s="65" t="str">
        <f>IFERROR(__xludf.DUMMYFUNCTION("""COMPUTED_VALUE"""),"GUAYAQUIL")</f>
        <v>GUAYAQUIL</v>
      </c>
      <c r="O831" s="65" t="str">
        <f>IFERROR(__xludf.DUMMYFUNCTION("""COMPUTED_VALUE"""),"Edificio Del Biess Av. 9 de Octubre y Pedro carbo edif. BIESS piso 7 Centro -")</f>
        <v>Edificio Del Biess Av. 9 de Octubre y Pedro carbo edif. BIESS piso 7 Centro -</v>
      </c>
      <c r="P831" s="65"/>
      <c r="Q831" s="65" t="str">
        <f>IFERROR(__xludf.DUMMYFUNCTION("""COMPUTED_VALUE"""),"GINTRACOM")</f>
        <v>GINTRACOM</v>
      </c>
      <c r="R831" s="65">
        <f>IFERROR(__xludf.DUMMYFUNCTION("""COMPUTED_VALUE"""),30.0)</f>
        <v>30</v>
      </c>
      <c r="S831" s="65">
        <f>IFERROR(__xludf.DUMMYFUNCTION("""COMPUTED_VALUE"""),18.25)</f>
        <v>18.25</v>
      </c>
      <c r="T831" s="65">
        <f>IFERROR(__xludf.DUMMYFUNCTION("""COMPUTED_VALUE"""),4.55)</f>
        <v>4.55</v>
      </c>
      <c r="U831" s="65">
        <f>IFERROR(__xludf.DUMMYFUNCTION("""COMPUTED_VALUE"""),0.0)</f>
        <v>0</v>
      </c>
      <c r="V831" s="65">
        <f>IFERROR(__xludf.DUMMYFUNCTION("""COMPUTED_VALUE"""),0.0)</f>
        <v>0</v>
      </c>
      <c r="W831" s="65">
        <f>IFERROR(__xludf.DUMMYFUNCTION("""COMPUTED_VALUE"""),0.0)</f>
        <v>0</v>
      </c>
      <c r="X831" s="65">
        <f>IFERROR(__xludf.DUMMYFUNCTION("""COMPUTED_VALUE"""),2.4)</f>
        <v>2.4</v>
      </c>
      <c r="Y831" s="65">
        <f>IFERROR(__xludf.DUMMYFUNCTION("""COMPUTED_VALUE"""),7.2)</f>
        <v>7.2</v>
      </c>
      <c r="Z831" s="65">
        <f>IFERROR(__xludf.DUMMYFUNCTION("""COMPUTED_VALUE"""),120732.0)</f>
        <v>120732</v>
      </c>
      <c r="AA831" s="65" t="str">
        <f>IFERROR(__xludf.DUMMYFUNCTION("""COMPUTED_VALUE"""),"PROV-LMPVT")</f>
        <v>PROV-LMPVT</v>
      </c>
      <c r="AB831" s="65"/>
      <c r="AC831" s="65" t="str">
        <f>IFERROR(__xludf.DUMMYFUNCTION("""COMPUTED_VALUE"""),"LIMPIADOR DE PARABRISAS Y VENTANAS")</f>
        <v>LIMPIADOR DE PARABRISAS Y VENTANAS</v>
      </c>
      <c r="AD831" s="65"/>
      <c r="AE831" s="65">
        <f>IFERROR(__xludf.DUMMYFUNCTION("""COMPUTED_VALUE"""),3.0)</f>
        <v>3</v>
      </c>
      <c r="AF831" s="65"/>
      <c r="AG831" s="65"/>
      <c r="AH831" s="65"/>
      <c r="AI831" s="65"/>
      <c r="AJ831" s="65"/>
      <c r="AK831" s="65"/>
      <c r="AL831" s="65"/>
      <c r="AM831" s="65"/>
      <c r="AN831" s="65" t="str">
        <f>IFERROR(__xludf.DUMMYFUNCTION("""COMPUTED_VALUE"""),"12:34")</f>
        <v>12:34</v>
      </c>
      <c r="AO831" s="65" t="str">
        <f>IFERROR(__xludf.DUMMYFUNCTION("""COMPUTED_VALUE"""),"18-02-2026")</f>
        <v>18-02-2026</v>
      </c>
      <c r="AP831" s="65" t="str">
        <f>IFERROR(__xludf.DUMMYFUNCTION("""COMPUTED_VALUE"""),"ENTREGADA GINTRACOM")</f>
        <v>ENTREGADA GINTRACOM</v>
      </c>
      <c r="AQ831" s="65" t="str">
        <f>IFERROR(__xludf.DUMMYFUNCTION("""COMPUTED_VALUE"""),"ENTREGADA GINTRACOM")</f>
        <v>ENTREGADA GINTRACOM</v>
      </c>
      <c r="AR831" s="65"/>
      <c r="AS831" s="65"/>
      <c r="AT831" s="65" t="str">
        <f>IFERROR(__xludf.DUMMYFUNCTION("""COMPUTED_VALUE"""),"SHOPIFY")</f>
        <v>SHOPIFY</v>
      </c>
      <c r="AU831" s="65" t="str">
        <f>IFERROR(__xludf.DUMMYFUNCTION("""COMPUTED_VALUE"""),"IMPORTEX EC")</f>
        <v>IMPORTEX EC</v>
      </c>
      <c r="AV831" s="65" t="str">
        <f>IFERROR(__xludf.DUMMYFUNCTION("""COMPUTED_VALUE"""),"6498453520428")</f>
        <v>6498453520428</v>
      </c>
      <c r="AW831" s="65">
        <f>IFERROR(__xludf.DUMMYFUNCTION("""COMPUTED_VALUE"""),6056.0)</f>
        <v>6056</v>
      </c>
      <c r="AX831" s="65"/>
      <c r="AY831" s="65" t="str">
        <f>IFERROR(__xludf.DUMMYFUNCTION("""COMPUTED_VALUE"""),"13/02/2026")</f>
        <v>13/02/2026</v>
      </c>
      <c r="AZ831" s="65"/>
      <c r="BA831" s="65"/>
    </row>
    <row r="832">
      <c r="A832" s="65" t="str">
        <f>IFERROR(__xludf.DUMMYFUNCTION("""COMPUTED_VALUE"""),"27-03-2026")</f>
        <v>27-03-2026</v>
      </c>
      <c r="B832" s="65">
        <f>IFERROR(__xludf.DUMMYFUNCTION("""COMPUTED_VALUE"""),4489655.0)</f>
        <v>4489655</v>
      </c>
      <c r="C832" s="65" t="str">
        <f>IFERROR(__xludf.DUMMYFUNCTION("""COMPUTED_VALUE"""),"11:31")</f>
        <v>11:31</v>
      </c>
      <c r="D832" s="65" t="str">
        <f>IFERROR(__xludf.DUMMYFUNCTION("""COMPUTED_VALUE"""),"12-02-2026")</f>
        <v>12-02-2026</v>
      </c>
      <c r="E832" s="65" t="str">
        <f>IFERROR(__xludf.DUMMYFUNCTION("""COMPUTED_VALUE"""),"Ñusta Carmelina Poma González")</f>
        <v>Ñusta Carmelina Poma González</v>
      </c>
      <c r="F832" s="65" t="str">
        <f>IFERROR(__xludf.DUMMYFUNCTION("""COMPUTED_VALUE"""),"996477023")</f>
        <v>996477023</v>
      </c>
      <c r="G832" s="65" t="str">
        <f>IFERROR(__xludf.DUMMYFUNCTION("""COMPUTED_VALUE"""),"gonzalezpogo92@gmail.com")</f>
        <v>gonzalezpogo92@gmail.com</v>
      </c>
      <c r="H832" s="65"/>
      <c r="I832" s="65"/>
      <c r="J832" s="65"/>
      <c r="K832" s="65" t="str">
        <f>IFERROR(__xludf.DUMMYFUNCTION("""COMPUTED_VALUE"""),"PENDIENTE CONFIRMACION")</f>
        <v>PENDIENTE CONFIRMACION</v>
      </c>
      <c r="L832" s="65" t="str">
        <f>IFERROR(__xludf.DUMMYFUNCTION("""COMPUTED_VALUE"""),"CON RECAUDO")</f>
        <v>CON RECAUDO</v>
      </c>
      <c r="M832" s="65" t="str">
        <f>IFERROR(__xludf.DUMMYFUNCTION("""COMPUTED_VALUE"""),"ZAMORA CHINCHIPE")</f>
        <v>ZAMORA CHINCHIPE</v>
      </c>
      <c r="N832" s="65" t="str">
        <f>IFERROR(__xludf.DUMMYFUNCTION("""COMPUTED_VALUE"""),"ZAMORA")</f>
        <v>ZAMORA</v>
      </c>
      <c r="O832" s="65" t="str">
        <f>IFERROR(__xludf.DUMMYFUNCTION("""COMPUTED_VALUE"""),"Av. Zamora Nueva vida -")</f>
        <v>Av. Zamora Nueva vida -</v>
      </c>
      <c r="P832" s="65"/>
      <c r="Q832" s="65" t="str">
        <f>IFERROR(__xludf.DUMMYFUNCTION("""COMPUTED_VALUE"""),"GINTRACOM")</f>
        <v>GINTRACOM</v>
      </c>
      <c r="R832" s="65">
        <f>IFERROR(__xludf.DUMMYFUNCTION("""COMPUTED_VALUE"""),20.0)</f>
        <v>20</v>
      </c>
      <c r="S832" s="65"/>
      <c r="T832" s="65">
        <f>IFERROR(__xludf.DUMMYFUNCTION("""COMPUTED_VALUE"""),5.76)</f>
        <v>5.76</v>
      </c>
      <c r="U832" s="65">
        <f>IFERROR(__xludf.DUMMYFUNCTION("""COMPUTED_VALUE"""),0.0)</f>
        <v>0</v>
      </c>
      <c r="V832" s="65">
        <f>IFERROR(__xludf.DUMMYFUNCTION("""COMPUTED_VALUE"""),0.0)</f>
        <v>0</v>
      </c>
      <c r="W832" s="65">
        <f>IFERROR(__xludf.DUMMYFUNCTION("""COMPUTED_VALUE"""),0.0)</f>
        <v>0</v>
      </c>
      <c r="X832" s="65">
        <f>IFERROR(__xludf.DUMMYFUNCTION("""COMPUTED_VALUE"""),2.4)</f>
        <v>2.4</v>
      </c>
      <c r="Y832" s="65">
        <f>IFERROR(__xludf.DUMMYFUNCTION("""COMPUTED_VALUE"""),2.4)</f>
        <v>2.4</v>
      </c>
      <c r="Z832" s="65">
        <f>IFERROR(__xludf.DUMMYFUNCTION("""COMPUTED_VALUE"""),120732.0)</f>
        <v>120732</v>
      </c>
      <c r="AA832" s="65" t="str">
        <f>IFERROR(__xludf.DUMMYFUNCTION("""COMPUTED_VALUE"""),"PROV-LMPVT")</f>
        <v>PROV-LMPVT</v>
      </c>
      <c r="AB832" s="65"/>
      <c r="AC832" s="65" t="str">
        <f>IFERROR(__xludf.DUMMYFUNCTION("""COMPUTED_VALUE"""),"LIMPIADOR DE PARABRISAS Y VENTANAS")</f>
        <v>LIMPIADOR DE PARABRISAS Y VENTANAS</v>
      </c>
      <c r="AD832" s="65"/>
      <c r="AE832" s="65">
        <f>IFERROR(__xludf.DUMMYFUNCTION("""COMPUTED_VALUE"""),1.0)</f>
        <v>1</v>
      </c>
      <c r="AF832" s="65"/>
      <c r="AG832" s="65"/>
      <c r="AH832" s="65"/>
      <c r="AI832" s="65"/>
      <c r="AJ832" s="65"/>
      <c r="AK832" s="65"/>
      <c r="AL832" s="65"/>
      <c r="AM832" s="65"/>
      <c r="AN832" s="65"/>
      <c r="AO832" s="65"/>
      <c r="AP832" s="65"/>
      <c r="AQ832" s="65"/>
      <c r="AR832" s="65"/>
      <c r="AS832" s="65"/>
      <c r="AT832" s="65" t="str">
        <f>IFERROR(__xludf.DUMMYFUNCTION("""COMPUTED_VALUE"""),"SHOPIFY")</f>
        <v>SHOPIFY</v>
      </c>
      <c r="AU832" s="65" t="str">
        <f>IFERROR(__xludf.DUMMYFUNCTION("""COMPUTED_VALUE"""),"IMPORTEX EC")</f>
        <v>IMPORTEX EC</v>
      </c>
      <c r="AV832" s="65" t="str">
        <f>IFERROR(__xludf.DUMMYFUNCTION("""COMPUTED_VALUE"""),"6498381856812")</f>
        <v>6498381856812</v>
      </c>
      <c r="AW832" s="65">
        <f>IFERROR(__xludf.DUMMYFUNCTION("""COMPUTED_VALUE"""),6055.0)</f>
        <v>6055</v>
      </c>
      <c r="AX832" s="65"/>
      <c r="AY832" s="65"/>
      <c r="AZ832" s="65"/>
      <c r="BA832" s="65"/>
    </row>
    <row r="833">
      <c r="A833" s="65" t="str">
        <f>IFERROR(__xludf.DUMMYFUNCTION("""COMPUTED_VALUE"""),"27-03-2026")</f>
        <v>27-03-2026</v>
      </c>
      <c r="B833" s="65">
        <f>IFERROR(__xludf.DUMMYFUNCTION("""COMPUTED_VALUE"""),4489607.0)</f>
        <v>4489607</v>
      </c>
      <c r="C833" s="65" t="str">
        <f>IFERROR(__xludf.DUMMYFUNCTION("""COMPUTED_VALUE"""),"11:26")</f>
        <v>11:26</v>
      </c>
      <c r="D833" s="65" t="str">
        <f>IFERROR(__xludf.DUMMYFUNCTION("""COMPUTED_VALUE"""),"12-02-2026")</f>
        <v>12-02-2026</v>
      </c>
      <c r="E833" s="65" t="str">
        <f>IFERROR(__xludf.DUMMYFUNCTION("""COMPUTED_VALUE"""),"Maribel Zambrano")</f>
        <v>Maribel Zambrano</v>
      </c>
      <c r="F833" s="65" t="str">
        <f>IFERROR(__xludf.DUMMYFUNCTION("""COMPUTED_VALUE"""),"987123986")</f>
        <v>987123986</v>
      </c>
      <c r="G833" s="65" t="str">
        <f>IFERROR(__xludf.DUMMYFUNCTION("""COMPUTED_VALUE"""),"deifiliazambrano1467@hotmail.es")</f>
        <v>deifiliazambrano1467@hotmail.es</v>
      </c>
      <c r="H833" s="65"/>
      <c r="I833" s="65"/>
      <c r="J833" s="65" t="str">
        <f>IFERROR(__xludf.DUMMYFUNCTION("""COMPUTED_VALUE"""),"D001324321")</f>
        <v>D001324321</v>
      </c>
      <c r="K833" s="65" t="str">
        <f>IFERROR(__xludf.DUMMYFUNCTION("""COMPUTED_VALUE"""),"ENTREGADO")</f>
        <v>ENTREGADO</v>
      </c>
      <c r="L833" s="65" t="str">
        <f>IFERROR(__xludf.DUMMYFUNCTION("""COMPUTED_VALUE"""),"CON RECAUDO")</f>
        <v>CON RECAUDO</v>
      </c>
      <c r="M833" s="65" t="str">
        <f>IFERROR(__xludf.DUMMYFUNCTION("""COMPUTED_VALUE"""),"MANABI")</f>
        <v>MANABI</v>
      </c>
      <c r="N833" s="65" t="str">
        <f>IFERROR(__xludf.DUMMYFUNCTION("""COMPUTED_VALUE"""),"CHONE")</f>
        <v>CHONE</v>
      </c>
      <c r="O833" s="65" t="str">
        <f>IFERROR(__xludf.DUMMYFUNCTION("""COMPUTED_VALUE"""),"Calle 14 De Agosto Y 7 De Agosto Barrio El Cauca, junto a la Plazoleta Elio Santos Macay -")</f>
        <v>Calle 14 De Agosto Y 7 De Agosto Barrio El Cauca, junto a la Plazoleta Elio Santos Macay -</v>
      </c>
      <c r="P833" s="65"/>
      <c r="Q833" s="65" t="str">
        <f>IFERROR(__xludf.DUMMYFUNCTION("""COMPUTED_VALUE"""),"GINTRACOM")</f>
        <v>GINTRACOM</v>
      </c>
      <c r="R833" s="65">
        <f>IFERROR(__xludf.DUMMYFUNCTION("""COMPUTED_VALUE"""),30.0)</f>
        <v>30</v>
      </c>
      <c r="S833" s="65">
        <f>IFERROR(__xludf.DUMMYFUNCTION("""COMPUTED_VALUE"""),16.64)</f>
        <v>16.64</v>
      </c>
      <c r="T833" s="65">
        <f>IFERROR(__xludf.DUMMYFUNCTION("""COMPUTED_VALUE"""),6.16)</f>
        <v>6.16</v>
      </c>
      <c r="U833" s="65">
        <f>IFERROR(__xludf.DUMMYFUNCTION("""COMPUTED_VALUE"""),0.0)</f>
        <v>0</v>
      </c>
      <c r="V833" s="65">
        <f>IFERROR(__xludf.DUMMYFUNCTION("""COMPUTED_VALUE"""),0.0)</f>
        <v>0</v>
      </c>
      <c r="W833" s="65">
        <f>IFERROR(__xludf.DUMMYFUNCTION("""COMPUTED_VALUE"""),0.0)</f>
        <v>0</v>
      </c>
      <c r="X833" s="65">
        <f>IFERROR(__xludf.DUMMYFUNCTION("""COMPUTED_VALUE"""),2.4)</f>
        <v>2.4</v>
      </c>
      <c r="Y833" s="65">
        <f>IFERROR(__xludf.DUMMYFUNCTION("""COMPUTED_VALUE"""),7.2)</f>
        <v>7.2</v>
      </c>
      <c r="Z833" s="65">
        <f>IFERROR(__xludf.DUMMYFUNCTION("""COMPUTED_VALUE"""),120732.0)</f>
        <v>120732</v>
      </c>
      <c r="AA833" s="65" t="str">
        <f>IFERROR(__xludf.DUMMYFUNCTION("""COMPUTED_VALUE"""),"PROV-LMPVT")</f>
        <v>PROV-LMPVT</v>
      </c>
      <c r="AB833" s="65"/>
      <c r="AC833" s="65" t="str">
        <f>IFERROR(__xludf.DUMMYFUNCTION("""COMPUTED_VALUE"""),"LIMPIADOR DE PARABRISAS Y VENTANAS")</f>
        <v>LIMPIADOR DE PARABRISAS Y VENTANAS</v>
      </c>
      <c r="AD833" s="65"/>
      <c r="AE833" s="65">
        <f>IFERROR(__xludf.DUMMYFUNCTION("""COMPUTED_VALUE"""),3.0)</f>
        <v>3</v>
      </c>
      <c r="AF833" s="65"/>
      <c r="AG833" s="65"/>
      <c r="AH833" s="65"/>
      <c r="AI833" s="65"/>
      <c r="AJ833" s="65"/>
      <c r="AK833" s="65"/>
      <c r="AL833" s="65"/>
      <c r="AM833" s="65"/>
      <c r="AN833" s="65" t="str">
        <f>IFERROR(__xludf.DUMMYFUNCTION("""COMPUTED_VALUE"""),"08:25")</f>
        <v>08:25</v>
      </c>
      <c r="AO833" s="65" t="str">
        <f>IFERROR(__xludf.DUMMYFUNCTION("""COMPUTED_VALUE"""),"17-02-2026")</f>
        <v>17-02-2026</v>
      </c>
      <c r="AP833" s="65" t="str">
        <f>IFERROR(__xludf.DUMMYFUNCTION("""COMPUTED_VALUE"""),"EN REPARTO")</f>
        <v>EN REPARTO</v>
      </c>
      <c r="AQ833" s="65" t="str">
        <f>IFERROR(__xludf.DUMMYFUNCTION("""COMPUTED_VALUE"""),"EN REPARTO")</f>
        <v>EN REPARTO</v>
      </c>
      <c r="AR833" s="65"/>
      <c r="AS833" s="65"/>
      <c r="AT833" s="65" t="str">
        <f>IFERROR(__xludf.DUMMYFUNCTION("""COMPUTED_VALUE"""),"SHOPIFY")</f>
        <v>SHOPIFY</v>
      </c>
      <c r="AU833" s="65" t="str">
        <f>IFERROR(__xludf.DUMMYFUNCTION("""COMPUTED_VALUE"""),"IMPORTEX EC")</f>
        <v>IMPORTEX EC</v>
      </c>
      <c r="AV833" s="65" t="str">
        <f>IFERROR(__xludf.DUMMYFUNCTION("""COMPUTED_VALUE"""),"6498371436588")</f>
        <v>6498371436588</v>
      </c>
      <c r="AW833" s="65">
        <f>IFERROR(__xludf.DUMMYFUNCTION("""COMPUTED_VALUE"""),6054.0)</f>
        <v>6054</v>
      </c>
      <c r="AX833" s="65"/>
      <c r="AY833" s="65" t="str">
        <f>IFERROR(__xludf.DUMMYFUNCTION("""COMPUTED_VALUE"""),"13/02/2026")</f>
        <v>13/02/2026</v>
      </c>
      <c r="AZ833" s="65"/>
      <c r="BA833" s="65"/>
    </row>
    <row r="834">
      <c r="A834" s="65" t="str">
        <f>IFERROR(__xludf.DUMMYFUNCTION("""COMPUTED_VALUE"""),"27-03-2026")</f>
        <v>27-03-2026</v>
      </c>
      <c r="B834" s="65">
        <f>IFERROR(__xludf.DUMMYFUNCTION("""COMPUTED_VALUE"""),4489527.0)</f>
        <v>4489527</v>
      </c>
      <c r="C834" s="65" t="str">
        <f>IFERROR(__xludf.DUMMYFUNCTION("""COMPUTED_VALUE"""),"11:20")</f>
        <v>11:20</v>
      </c>
      <c r="D834" s="65" t="str">
        <f>IFERROR(__xludf.DUMMYFUNCTION("""COMPUTED_VALUE"""),"12-02-2026")</f>
        <v>12-02-2026</v>
      </c>
      <c r="E834" s="65" t="str">
        <f>IFERROR(__xludf.DUMMYFUNCTION("""COMPUTED_VALUE"""),"Magdalena Mayorga Mayorga")</f>
        <v>Magdalena Mayorga Mayorga</v>
      </c>
      <c r="F834" s="65" t="str">
        <f>IFERROR(__xludf.DUMMYFUNCTION("""COMPUTED_VALUE"""),"999663705")</f>
        <v>999663705</v>
      </c>
      <c r="G834" s="65" t="str">
        <f>IFERROR(__xludf.DUMMYFUNCTION("""COMPUTED_VALUE"""),"magdamayorga@gmail.com")</f>
        <v>magdamayorga@gmail.com</v>
      </c>
      <c r="H834" s="65"/>
      <c r="I834" s="65"/>
      <c r="J834" s="65" t="str">
        <f>IFERROR(__xludf.DUMMYFUNCTION("""COMPUTED_VALUE"""),"D001324322")</f>
        <v>D001324322</v>
      </c>
      <c r="K834" s="65" t="str">
        <f>IFERROR(__xludf.DUMMYFUNCTION("""COMPUTED_VALUE"""),"ENTREGADO")</f>
        <v>ENTREGADO</v>
      </c>
      <c r="L834" s="65" t="str">
        <f>IFERROR(__xludf.DUMMYFUNCTION("""COMPUTED_VALUE"""),"CON RECAUDO")</f>
        <v>CON RECAUDO</v>
      </c>
      <c r="M834" s="65" t="str">
        <f>IFERROR(__xludf.DUMMYFUNCTION("""COMPUTED_VALUE"""),"PICHINCHA")</f>
        <v>PICHINCHA</v>
      </c>
      <c r="N834" s="65" t="str">
        <f>IFERROR(__xludf.DUMMYFUNCTION("""COMPUTED_VALUE"""),"SANGOLQUI")</f>
        <v>SANGOLQUI</v>
      </c>
      <c r="O834" s="65" t="str">
        <f>IFERROR(__xludf.DUMMYFUNCTION("""COMPUTED_VALUE"""),"Avelina Lasso 316 Av Mariana de Jesus - sector Capelo, San Rafael")</f>
        <v>Avelina Lasso 316 Av Mariana de Jesus - sector Capelo, San Rafael</v>
      </c>
      <c r="P834" s="65"/>
      <c r="Q834" s="65" t="str">
        <f>IFERROR(__xludf.DUMMYFUNCTION("""COMPUTED_VALUE"""),"GINTRACOM")</f>
        <v>GINTRACOM</v>
      </c>
      <c r="R834" s="65">
        <f>IFERROR(__xludf.DUMMYFUNCTION("""COMPUTED_VALUE"""),22.0)</f>
        <v>22</v>
      </c>
      <c r="S834" s="65">
        <f>IFERROR(__xludf.DUMMYFUNCTION("""COMPUTED_VALUE"""),10.96)</f>
        <v>10.96</v>
      </c>
      <c r="T834" s="65">
        <f>IFERROR(__xludf.DUMMYFUNCTION("""COMPUTED_VALUE"""),5.84)</f>
        <v>5.84</v>
      </c>
      <c r="U834" s="65">
        <f>IFERROR(__xludf.DUMMYFUNCTION("""COMPUTED_VALUE"""),0.0)</f>
        <v>0</v>
      </c>
      <c r="V834" s="65">
        <f>IFERROR(__xludf.DUMMYFUNCTION("""COMPUTED_VALUE"""),0.0)</f>
        <v>0</v>
      </c>
      <c r="W834" s="65">
        <f>IFERROR(__xludf.DUMMYFUNCTION("""COMPUTED_VALUE"""),0.0)</f>
        <v>0</v>
      </c>
      <c r="X834" s="65">
        <f>IFERROR(__xludf.DUMMYFUNCTION("""COMPUTED_VALUE"""),2.6)</f>
        <v>2.6</v>
      </c>
      <c r="Y834" s="65">
        <f>IFERROR(__xludf.DUMMYFUNCTION("""COMPUTED_VALUE"""),5.2)</f>
        <v>5.2</v>
      </c>
      <c r="Z834" s="65">
        <f>IFERROR(__xludf.DUMMYFUNCTION("""COMPUTED_VALUE"""),121983.0)</f>
        <v>121983</v>
      </c>
      <c r="AA834" s="65" t="str">
        <f>IFERROR(__xludf.DUMMYFUNCTION("""COMPUTED_VALUE"""),"PROV-CHLLCF")</f>
        <v>PROV-CHLLCF</v>
      </c>
      <c r="AB834" s="65"/>
      <c r="AC834" s="65" t="str">
        <f>IFERROR(__xludf.DUMMYFUNCTION("""COMPUTED_VALUE"""),"CUCHILLO PARA CHEF")</f>
        <v>CUCHILLO PARA CHEF</v>
      </c>
      <c r="AD834" s="65"/>
      <c r="AE834" s="65">
        <f>IFERROR(__xludf.DUMMYFUNCTION("""COMPUTED_VALUE"""),2.0)</f>
        <v>2</v>
      </c>
      <c r="AF834" s="65"/>
      <c r="AG834" s="65"/>
      <c r="AH834" s="65"/>
      <c r="AI834" s="65"/>
      <c r="AJ834" s="65"/>
      <c r="AK834" s="65"/>
      <c r="AL834" s="65"/>
      <c r="AM834" s="65"/>
      <c r="AN834" s="65" t="str">
        <f>IFERROR(__xludf.DUMMYFUNCTION("""COMPUTED_VALUE"""),"12:47")</f>
        <v>12:47</v>
      </c>
      <c r="AO834" s="65" t="str">
        <f>IFERROR(__xludf.DUMMYFUNCTION("""COMPUTED_VALUE"""),"19-02-2026")</f>
        <v>19-02-2026</v>
      </c>
      <c r="AP834" s="65" t="str">
        <f>IFERROR(__xludf.DUMMYFUNCTION("""COMPUTED_VALUE"""),"ENTREGADA GINTRACOM")</f>
        <v>ENTREGADA GINTRACOM</v>
      </c>
      <c r="AQ834" s="65" t="str">
        <f>IFERROR(__xludf.DUMMYFUNCTION("""COMPUTED_VALUE"""),"ENTREGADA GINTRACOM")</f>
        <v>ENTREGADA GINTRACOM</v>
      </c>
      <c r="AR834" s="65"/>
      <c r="AS834" s="65"/>
      <c r="AT834" s="65" t="str">
        <f>IFERROR(__xludf.DUMMYFUNCTION("""COMPUTED_VALUE"""),"SHOPIFY")</f>
        <v>SHOPIFY</v>
      </c>
      <c r="AU834" s="65" t="str">
        <f>IFERROR(__xludf.DUMMYFUNCTION("""COMPUTED_VALUE"""),"IMPORTEX EC")</f>
        <v>IMPORTEX EC</v>
      </c>
      <c r="AV834" s="65" t="str">
        <f>IFERROR(__xludf.DUMMYFUNCTION("""COMPUTED_VALUE"""),"6498358558764")</f>
        <v>6498358558764</v>
      </c>
      <c r="AW834" s="65">
        <f>IFERROR(__xludf.DUMMYFUNCTION("""COMPUTED_VALUE"""),6053.0)</f>
        <v>6053</v>
      </c>
      <c r="AX834" s="65"/>
      <c r="AY834" s="65" t="str">
        <f>IFERROR(__xludf.DUMMYFUNCTION("""COMPUTED_VALUE"""),"13/02/2026")</f>
        <v>13/02/2026</v>
      </c>
      <c r="AZ834" s="65"/>
      <c r="BA834" s="65"/>
    </row>
    <row r="835">
      <c r="A835" s="65" t="str">
        <f>IFERROR(__xludf.DUMMYFUNCTION("""COMPUTED_VALUE"""),"27-03-2026")</f>
        <v>27-03-2026</v>
      </c>
      <c r="B835" s="65">
        <f>IFERROR(__xludf.DUMMYFUNCTION("""COMPUTED_VALUE"""),4489410.0)</f>
        <v>4489410</v>
      </c>
      <c r="C835" s="65" t="str">
        <f>IFERROR(__xludf.DUMMYFUNCTION("""COMPUTED_VALUE"""),"11:10")</f>
        <v>11:10</v>
      </c>
      <c r="D835" s="65" t="str">
        <f>IFERROR(__xludf.DUMMYFUNCTION("""COMPUTED_VALUE"""),"12-02-2026")</f>
        <v>12-02-2026</v>
      </c>
      <c r="E835" s="65" t="str">
        <f>IFERROR(__xludf.DUMMYFUNCTION("""COMPUTED_VALUE"""),"Gabriel Paez")</f>
        <v>Gabriel Paez</v>
      </c>
      <c r="F835" s="65" t="str">
        <f>IFERROR(__xludf.DUMMYFUNCTION("""COMPUTED_VALUE"""),"996236389")</f>
        <v>996236389</v>
      </c>
      <c r="G835" s="65" t="str">
        <f>IFERROR(__xludf.DUMMYFUNCTION("""COMPUTED_VALUE"""),"gabriel.paez@hotmail.com")</f>
        <v>gabriel.paez@hotmail.com</v>
      </c>
      <c r="H835" s="65"/>
      <c r="I835" s="65"/>
      <c r="J835" s="65" t="str">
        <f>IFERROR(__xludf.DUMMYFUNCTION("""COMPUTED_VALUE"""),"D001324324")</f>
        <v>D001324324</v>
      </c>
      <c r="K835" s="65" t="str">
        <f>IFERROR(__xludf.DUMMYFUNCTION("""COMPUTED_VALUE"""),"ENTREGADO")</f>
        <v>ENTREGADO</v>
      </c>
      <c r="L835" s="65" t="str">
        <f>IFERROR(__xludf.DUMMYFUNCTION("""COMPUTED_VALUE"""),"CON RECAUDO")</f>
        <v>CON RECAUDO</v>
      </c>
      <c r="M835" s="65" t="str">
        <f>IFERROR(__xludf.DUMMYFUNCTION("""COMPUTED_VALUE"""),"GUAYAS")</f>
        <v>GUAYAS</v>
      </c>
      <c r="N835" s="65" t="str">
        <f>IFERROR(__xludf.DUMMYFUNCTION("""COMPUTED_VALUE"""),"GUAYAQUIL")</f>
        <v>GUAYAQUIL</v>
      </c>
      <c r="O835" s="65" t="str">
        <f>IFERROR(__xludf.DUMMYFUNCTION("""COMPUTED_VALUE"""),"Km 13.5 av leon febres cordero mz 2 villa 2 Urbanizacion bali mz 2 villa 2 -")</f>
        <v>Km 13.5 av leon febres cordero mz 2 villa 2 Urbanizacion bali mz 2 villa 2 -</v>
      </c>
      <c r="P835" s="65"/>
      <c r="Q835" s="65" t="str">
        <f>IFERROR(__xludf.DUMMYFUNCTION("""COMPUTED_VALUE"""),"GINTRACOM")</f>
        <v>GINTRACOM</v>
      </c>
      <c r="R835" s="65">
        <f>IFERROR(__xludf.DUMMYFUNCTION("""COMPUTED_VALUE"""),20.0)</f>
        <v>20</v>
      </c>
      <c r="S835" s="65">
        <f>IFERROR(__xludf.DUMMYFUNCTION("""COMPUTED_VALUE"""),13.45)</f>
        <v>13.45</v>
      </c>
      <c r="T835" s="65">
        <f>IFERROR(__xludf.DUMMYFUNCTION("""COMPUTED_VALUE"""),4.15)</f>
        <v>4.15</v>
      </c>
      <c r="U835" s="65">
        <f>IFERROR(__xludf.DUMMYFUNCTION("""COMPUTED_VALUE"""),0.0)</f>
        <v>0</v>
      </c>
      <c r="V835" s="65">
        <f>IFERROR(__xludf.DUMMYFUNCTION("""COMPUTED_VALUE"""),0.0)</f>
        <v>0</v>
      </c>
      <c r="W835" s="65">
        <f>IFERROR(__xludf.DUMMYFUNCTION("""COMPUTED_VALUE"""),0.0)</f>
        <v>0</v>
      </c>
      <c r="X835" s="65">
        <f>IFERROR(__xludf.DUMMYFUNCTION("""COMPUTED_VALUE"""),2.4)</f>
        <v>2.4</v>
      </c>
      <c r="Y835" s="65">
        <f>IFERROR(__xludf.DUMMYFUNCTION("""COMPUTED_VALUE"""),2.4)</f>
        <v>2.4</v>
      </c>
      <c r="Z835" s="65">
        <f>IFERROR(__xludf.DUMMYFUNCTION("""COMPUTED_VALUE"""),120732.0)</f>
        <v>120732</v>
      </c>
      <c r="AA835" s="65" t="str">
        <f>IFERROR(__xludf.DUMMYFUNCTION("""COMPUTED_VALUE"""),"PROV-LMPVT")</f>
        <v>PROV-LMPVT</v>
      </c>
      <c r="AB835" s="65"/>
      <c r="AC835" s="65" t="str">
        <f>IFERROR(__xludf.DUMMYFUNCTION("""COMPUTED_VALUE"""),"LIMPIADOR DE PARABRISAS Y VENTANAS")</f>
        <v>LIMPIADOR DE PARABRISAS Y VENTANAS</v>
      </c>
      <c r="AD835" s="65"/>
      <c r="AE835" s="65">
        <f>IFERROR(__xludf.DUMMYFUNCTION("""COMPUTED_VALUE"""),1.0)</f>
        <v>1</v>
      </c>
      <c r="AF835" s="65"/>
      <c r="AG835" s="65"/>
      <c r="AH835" s="65"/>
      <c r="AI835" s="65"/>
      <c r="AJ835" s="65"/>
      <c r="AK835" s="65"/>
      <c r="AL835" s="65"/>
      <c r="AM835" s="65"/>
      <c r="AN835" s="65" t="str">
        <f>IFERROR(__xludf.DUMMYFUNCTION("""COMPUTED_VALUE"""),"11:19")</f>
        <v>11:19</v>
      </c>
      <c r="AO835" s="65" t="str">
        <f>IFERROR(__xludf.DUMMYFUNCTION("""COMPUTED_VALUE"""),"14-02-2026")</f>
        <v>14-02-2026</v>
      </c>
      <c r="AP835" s="65" t="str">
        <f>IFERROR(__xludf.DUMMYFUNCTION("""COMPUTED_VALUE"""),"ENTREGADA GINTRACOM")</f>
        <v>ENTREGADA GINTRACOM</v>
      </c>
      <c r="AQ835" s="65" t="str">
        <f>IFERROR(__xludf.DUMMYFUNCTION("""COMPUTED_VALUE"""),"ENTREGADA GINTRACOM")</f>
        <v>ENTREGADA GINTRACOM</v>
      </c>
      <c r="AR835" s="65"/>
      <c r="AS835" s="65"/>
      <c r="AT835" s="65" t="str">
        <f>IFERROR(__xludf.DUMMYFUNCTION("""COMPUTED_VALUE"""),"SHOPIFY")</f>
        <v>SHOPIFY</v>
      </c>
      <c r="AU835" s="65" t="str">
        <f>IFERROR(__xludf.DUMMYFUNCTION("""COMPUTED_VALUE"""),"IMPORTEX EC")</f>
        <v>IMPORTEX EC</v>
      </c>
      <c r="AV835" s="65" t="str">
        <f>IFERROR(__xludf.DUMMYFUNCTION("""COMPUTED_VALUE"""),"6498329657388")</f>
        <v>6498329657388</v>
      </c>
      <c r="AW835" s="65">
        <f>IFERROR(__xludf.DUMMYFUNCTION("""COMPUTED_VALUE"""),6052.0)</f>
        <v>6052</v>
      </c>
      <c r="AX835" s="65"/>
      <c r="AY835" s="65" t="str">
        <f>IFERROR(__xludf.DUMMYFUNCTION("""COMPUTED_VALUE"""),"13/02/2026")</f>
        <v>13/02/2026</v>
      </c>
      <c r="AZ835" s="65"/>
      <c r="BA835" s="65"/>
    </row>
    <row r="836">
      <c r="A836" s="65" t="str">
        <f>IFERROR(__xludf.DUMMYFUNCTION("""COMPUTED_VALUE"""),"27-03-2026")</f>
        <v>27-03-2026</v>
      </c>
      <c r="B836" s="65">
        <f>IFERROR(__xludf.DUMMYFUNCTION("""COMPUTED_VALUE"""),4489117.0)</f>
        <v>4489117</v>
      </c>
      <c r="C836" s="65" t="str">
        <f>IFERROR(__xludf.DUMMYFUNCTION("""COMPUTED_VALUE"""),"10:42")</f>
        <v>10:42</v>
      </c>
      <c r="D836" s="65" t="str">
        <f>IFERROR(__xludf.DUMMYFUNCTION("""COMPUTED_VALUE"""),"12-02-2026")</f>
        <v>12-02-2026</v>
      </c>
      <c r="E836" s="65" t="str">
        <f>IFERROR(__xludf.DUMMYFUNCTION("""COMPUTED_VALUE"""),"Viviana Llumiquinga")</f>
        <v>Viviana Llumiquinga</v>
      </c>
      <c r="F836" s="65" t="str">
        <f>IFERROR(__xludf.DUMMYFUNCTION("""COMPUTED_VALUE"""),"983990144")</f>
        <v>983990144</v>
      </c>
      <c r="G836" s="65" t="str">
        <f>IFERROR(__xludf.DUMMYFUNCTION("""COMPUTED_VALUE"""),"vivillumiquinga@gmail.com")</f>
        <v>vivillumiquinga@gmail.com</v>
      </c>
      <c r="H836" s="65"/>
      <c r="I836" s="65"/>
      <c r="J836" s="65" t="str">
        <f>IFERROR(__xludf.DUMMYFUNCTION("""COMPUTED_VALUE"""),"D001324325")</f>
        <v>D001324325</v>
      </c>
      <c r="K836" s="65" t="str">
        <f>IFERROR(__xludf.DUMMYFUNCTION("""COMPUTED_VALUE"""),"DEVOLUCION")</f>
        <v>DEVOLUCION</v>
      </c>
      <c r="L836" s="65" t="str">
        <f>IFERROR(__xludf.DUMMYFUNCTION("""COMPUTED_VALUE"""),"CON RECAUDO")</f>
        <v>CON RECAUDO</v>
      </c>
      <c r="M836" s="65" t="str">
        <f>IFERROR(__xludf.DUMMYFUNCTION("""COMPUTED_VALUE"""),"PICHINCHA")</f>
        <v>PICHINCHA</v>
      </c>
      <c r="N836" s="65" t="str">
        <f>IFERROR(__xludf.DUMMYFUNCTION("""COMPUTED_VALUE"""),"SANGOLQUI")</f>
        <v>SANGOLQUI</v>
      </c>
      <c r="O836" s="65" t="str">
        <f>IFERROR(__xludf.DUMMYFUNCTION("""COMPUTED_VALUE"""),"Av. Atahualpa y 27 de Febrero La Carolina - 1 cuadra del Instituto Rumiñahui")</f>
        <v>Av. Atahualpa y 27 de Febrero La Carolina - 1 cuadra del Instituto Rumiñahui</v>
      </c>
      <c r="P836" s="65"/>
      <c r="Q836" s="65" t="str">
        <f>IFERROR(__xludf.DUMMYFUNCTION("""COMPUTED_VALUE"""),"GINTRACOM")</f>
        <v>GINTRACOM</v>
      </c>
      <c r="R836" s="65">
        <f>IFERROR(__xludf.DUMMYFUNCTION("""COMPUTED_VALUE"""),25.0)</f>
        <v>25</v>
      </c>
      <c r="S836" s="65"/>
      <c r="T836" s="65">
        <f>IFERROR(__xludf.DUMMYFUNCTION("""COMPUTED_VALUE"""),5.96)</f>
        <v>5.96</v>
      </c>
      <c r="U836" s="65">
        <f>IFERROR(__xludf.DUMMYFUNCTION("""COMPUTED_VALUE"""),0.0)</f>
        <v>0</v>
      </c>
      <c r="V836" s="65">
        <f>IFERROR(__xludf.DUMMYFUNCTION("""COMPUTED_VALUE"""),0.0)</f>
        <v>0</v>
      </c>
      <c r="W836" s="65">
        <f>IFERROR(__xludf.DUMMYFUNCTION("""COMPUTED_VALUE"""),0.0)</f>
        <v>0</v>
      </c>
      <c r="X836" s="65">
        <f>IFERROR(__xludf.DUMMYFUNCTION("""COMPUTED_VALUE"""),2.4)</f>
        <v>2.4</v>
      </c>
      <c r="Y836" s="65">
        <f>IFERROR(__xludf.DUMMYFUNCTION("""COMPUTED_VALUE"""),4.8)</f>
        <v>4.8</v>
      </c>
      <c r="Z836" s="65">
        <f>IFERROR(__xludf.DUMMYFUNCTION("""COMPUTED_VALUE"""),120732.0)</f>
        <v>120732</v>
      </c>
      <c r="AA836" s="65" t="str">
        <f>IFERROR(__xludf.DUMMYFUNCTION("""COMPUTED_VALUE"""),"PROV-LMPVT")</f>
        <v>PROV-LMPVT</v>
      </c>
      <c r="AB836" s="65"/>
      <c r="AC836" s="65" t="str">
        <f>IFERROR(__xludf.DUMMYFUNCTION("""COMPUTED_VALUE"""),"LIMPIADOR DE PARABRISAS Y VENTANAS")</f>
        <v>LIMPIADOR DE PARABRISAS Y VENTANAS</v>
      </c>
      <c r="AD836" s="65"/>
      <c r="AE836" s="65">
        <f>IFERROR(__xludf.DUMMYFUNCTION("""COMPUTED_VALUE"""),2.0)</f>
        <v>2</v>
      </c>
      <c r="AF836" s="65" t="str">
        <f>IFERROR(__xludf.DUMMYFUNCTION("""COMPUTED_VALUE"""),"DESTINATARIO NO SE ENCUENTRA EN LUGAR DE ENTREGA.")</f>
        <v>DESTINATARIO NO SE ENCUENTRA EN LUGAR DE ENTREGA.</v>
      </c>
      <c r="AG836" s="65" t="str">
        <f>IFERROR(__xludf.DUMMYFUNCTION("""COMPUTED_VALUE"""),"SI")</f>
        <v>SI</v>
      </c>
      <c r="AH836" s="65" t="str">
        <f>IFERROR(__xludf.DUMMYFUNCTION("""COMPUTED_VALUE"""),"18:48")</f>
        <v>18:48</v>
      </c>
      <c r="AI836" s="65" t="str">
        <f>IFERROR(__xludf.DUMMYFUNCTION("""COMPUTED_VALUE"""),"24-02-2026")</f>
        <v>24-02-2026</v>
      </c>
      <c r="AJ836" s="65" t="str">
        <f>IFERROR(__xludf.DUMMYFUNCTION("""COMPUTED_VALUE"""),"CLIENTE SOLICITA AL ENTREGA INMEDIATA")</f>
        <v>CLIENTE SOLICITA AL ENTREGA INMEDIATA</v>
      </c>
      <c r="AK836" s="65" t="str">
        <f>IFERROR(__xludf.DUMMYFUNCTION("""COMPUTED_VALUE"""),"09:23")</f>
        <v>09:23</v>
      </c>
      <c r="AL836" s="65" t="str">
        <f>IFERROR(__xludf.DUMMYFUNCTION("""COMPUTED_VALUE"""),"25-02-2026")</f>
        <v>25-02-2026</v>
      </c>
      <c r="AM836" s="65"/>
      <c r="AN836" s="65" t="str">
        <f>IFERROR(__xludf.DUMMYFUNCTION("""COMPUTED_VALUE"""),"16:44")</f>
        <v>16:44</v>
      </c>
      <c r="AO836" s="65" t="str">
        <f>IFERROR(__xludf.DUMMYFUNCTION("""COMPUTED_VALUE"""),"11-03-2026")</f>
        <v>11-03-2026</v>
      </c>
      <c r="AP836" s="65" t="str">
        <f>IFERROR(__xludf.DUMMYFUNCTION("""COMPUTED_VALUE"""),"DEV CONFIRMADA POR BODEGA")</f>
        <v>DEV CONFIRMADA POR BODEGA</v>
      </c>
      <c r="AQ836" s="65"/>
      <c r="AR836" s="65" t="str">
        <f>IFERROR(__xludf.DUMMYFUNCTION("""COMPUTED_VALUE"""),"Gestionado por: PROVEDIX DAMIAN, email:enviogratisdirecto@gmail.com, total de productos en la orden: 1")</f>
        <v>Gestionado por: PROVEDIX DAMIAN, email:enviogratisdirecto@gmail.com, total de productos en la orden: 1</v>
      </c>
      <c r="AS836" s="65"/>
      <c r="AT836" s="65" t="str">
        <f>IFERROR(__xludf.DUMMYFUNCTION("""COMPUTED_VALUE"""),"SHOPIFY")</f>
        <v>SHOPIFY</v>
      </c>
      <c r="AU836" s="65" t="str">
        <f>IFERROR(__xludf.DUMMYFUNCTION("""COMPUTED_VALUE"""),"IMPORTEX EC")</f>
        <v>IMPORTEX EC</v>
      </c>
      <c r="AV836" s="65" t="str">
        <f>IFERROR(__xludf.DUMMYFUNCTION("""COMPUTED_VALUE"""),"6498270904364")</f>
        <v>6498270904364</v>
      </c>
      <c r="AW836" s="65">
        <f>IFERROR(__xludf.DUMMYFUNCTION("""COMPUTED_VALUE"""),6050.0)</f>
        <v>6050</v>
      </c>
      <c r="AX836" s="65"/>
      <c r="AY836" s="65" t="str">
        <f>IFERROR(__xludf.DUMMYFUNCTION("""COMPUTED_VALUE"""),"13/02/2026")</f>
        <v>13/02/2026</v>
      </c>
      <c r="AZ836" s="65"/>
      <c r="BA836" s="65"/>
    </row>
    <row r="837">
      <c r="A837" s="65" t="str">
        <f>IFERROR(__xludf.DUMMYFUNCTION("""COMPUTED_VALUE"""),"27-03-2026")</f>
        <v>27-03-2026</v>
      </c>
      <c r="B837" s="65">
        <f>IFERROR(__xludf.DUMMYFUNCTION("""COMPUTED_VALUE"""),4489045.0)</f>
        <v>4489045</v>
      </c>
      <c r="C837" s="65" t="str">
        <f>IFERROR(__xludf.DUMMYFUNCTION("""COMPUTED_VALUE"""),"10:36")</f>
        <v>10:36</v>
      </c>
      <c r="D837" s="65" t="str">
        <f>IFERROR(__xludf.DUMMYFUNCTION("""COMPUTED_VALUE"""),"12-02-2026")</f>
        <v>12-02-2026</v>
      </c>
      <c r="E837" s="65" t="str">
        <f>IFERROR(__xludf.DUMMYFUNCTION("""COMPUTED_VALUE"""),"SERGIO Ortiz Enriquez")</f>
        <v>SERGIO Ortiz Enriquez</v>
      </c>
      <c r="F837" s="65" t="str">
        <f>IFERROR(__xludf.DUMMYFUNCTION("""COMPUTED_VALUE"""),"958701578")</f>
        <v>958701578</v>
      </c>
      <c r="G837" s="65" t="str">
        <f>IFERROR(__xludf.DUMMYFUNCTION("""COMPUTED_VALUE"""),"ortizenriquez1969@gmail.com")</f>
        <v>ortizenriquez1969@gmail.com</v>
      </c>
      <c r="H837" s="65"/>
      <c r="I837" s="65"/>
      <c r="J837" s="65" t="str">
        <f>IFERROR(__xludf.DUMMYFUNCTION("""COMPUTED_VALUE"""),"D001324326")</f>
        <v>D001324326</v>
      </c>
      <c r="K837" s="65" t="str">
        <f>IFERROR(__xludf.DUMMYFUNCTION("""COMPUTED_VALUE"""),"DEVOLUCION")</f>
        <v>DEVOLUCION</v>
      </c>
      <c r="L837" s="65" t="str">
        <f>IFERROR(__xludf.DUMMYFUNCTION("""COMPUTED_VALUE"""),"CON RECAUDO")</f>
        <v>CON RECAUDO</v>
      </c>
      <c r="M837" s="65" t="str">
        <f>IFERROR(__xludf.DUMMYFUNCTION("""COMPUTED_VALUE"""),"SANTO DOMINGO DE LOS TSACHILAS")</f>
        <v>SANTO DOMINGO DE LOS TSACHILAS</v>
      </c>
      <c r="N837" s="65" t="str">
        <f>IFERROR(__xludf.DUMMYFUNCTION("""COMPUTED_VALUE"""),"SANTO DOMINGO")</f>
        <v>SANTO DOMINGO</v>
      </c>
      <c r="O837" s="65" t="str">
        <f>IFERROR(__xludf.DUMMYFUNCTION("""COMPUTED_VALUE"""),"Via quininde km 2 y medio. Hospital medical cubacenter. Desde el redondel de bolivar a 2km y medio.")</f>
        <v>Via quininde km 2 y medio. Hospital medical cubacenter. Desde el redondel de bolivar a 2km y medio.</v>
      </c>
      <c r="P837" s="65"/>
      <c r="Q837" s="65" t="str">
        <f>IFERROR(__xludf.DUMMYFUNCTION("""COMPUTED_VALUE"""),"GINTRACOM")</f>
        <v>GINTRACOM</v>
      </c>
      <c r="R837" s="65">
        <f>IFERROR(__xludf.DUMMYFUNCTION("""COMPUTED_VALUE"""),22.0)</f>
        <v>22</v>
      </c>
      <c r="S837" s="65"/>
      <c r="T837" s="65">
        <f>IFERROR(__xludf.DUMMYFUNCTION("""COMPUTED_VALUE"""),5.84)</f>
        <v>5.84</v>
      </c>
      <c r="U837" s="65">
        <f>IFERROR(__xludf.DUMMYFUNCTION("""COMPUTED_VALUE"""),0.0)</f>
        <v>0</v>
      </c>
      <c r="V837" s="65">
        <f>IFERROR(__xludf.DUMMYFUNCTION("""COMPUTED_VALUE"""),0.0)</f>
        <v>0</v>
      </c>
      <c r="W837" s="65">
        <f>IFERROR(__xludf.DUMMYFUNCTION("""COMPUTED_VALUE"""),0.0)</f>
        <v>0</v>
      </c>
      <c r="X837" s="65">
        <f>IFERROR(__xludf.DUMMYFUNCTION("""COMPUTED_VALUE"""),2.6)</f>
        <v>2.6</v>
      </c>
      <c r="Y837" s="65">
        <f>IFERROR(__xludf.DUMMYFUNCTION("""COMPUTED_VALUE"""),5.2)</f>
        <v>5.2</v>
      </c>
      <c r="Z837" s="65">
        <f>IFERROR(__xludf.DUMMYFUNCTION("""COMPUTED_VALUE"""),121983.0)</f>
        <v>121983</v>
      </c>
      <c r="AA837" s="65" t="str">
        <f>IFERROR(__xludf.DUMMYFUNCTION("""COMPUTED_VALUE"""),"PROV-CHLLCF")</f>
        <v>PROV-CHLLCF</v>
      </c>
      <c r="AB837" s="65"/>
      <c r="AC837" s="65" t="str">
        <f>IFERROR(__xludf.DUMMYFUNCTION("""COMPUTED_VALUE"""),"CUCHILLO PARA CHEF")</f>
        <v>CUCHILLO PARA CHEF</v>
      </c>
      <c r="AD837" s="65"/>
      <c r="AE837" s="65">
        <f>IFERROR(__xludf.DUMMYFUNCTION("""COMPUTED_VALUE"""),2.0)</f>
        <v>2</v>
      </c>
      <c r="AF837" s="65" t="str">
        <f>IFERROR(__xludf.DUMMYFUNCTION("""COMPUTED_VALUE"""),"DESTINATARIO NO SE ENCUENTRA EN LUGAR DE ENTREGA.")</f>
        <v>DESTINATARIO NO SE ENCUENTRA EN LUGAR DE ENTREGA.</v>
      </c>
      <c r="AG837" s="65" t="str">
        <f>IFERROR(__xludf.DUMMYFUNCTION("""COMPUTED_VALUE"""),"SI")</f>
        <v>SI</v>
      </c>
      <c r="AH837" s="65" t="str">
        <f>IFERROR(__xludf.DUMMYFUNCTION("""COMPUTED_VALUE"""),"11:40")</f>
        <v>11:40</v>
      </c>
      <c r="AI837" s="65" t="str">
        <f>IFERROR(__xludf.DUMMYFUNCTION("""COMPUTED_VALUE"""),"17-02-2026")</f>
        <v>17-02-2026</v>
      </c>
      <c r="AJ837" s="65" t="str">
        <f>IFERROR(__xludf.DUMMYFUNCTION("""COMPUTED_VALUE"""),"CLIENTE SOLICITA LE NTREGA  INMEDIATA")</f>
        <v>CLIENTE SOLICITA LE NTREGA  INMEDIATA</v>
      </c>
      <c r="AK837" s="65" t="str">
        <f>IFERROR(__xludf.DUMMYFUNCTION("""COMPUTED_VALUE"""),"12:23")</f>
        <v>12:23</v>
      </c>
      <c r="AL837" s="65" t="str">
        <f>IFERROR(__xludf.DUMMYFUNCTION("""COMPUTED_VALUE"""),"24-02-2026")</f>
        <v>24-02-2026</v>
      </c>
      <c r="AM837" s="65"/>
      <c r="AN837" s="65" t="str">
        <f>IFERROR(__xludf.DUMMYFUNCTION("""COMPUTED_VALUE"""),"01:36")</f>
        <v>01:36</v>
      </c>
      <c r="AO837" s="65" t="str">
        <f>IFERROR(__xludf.DUMMYFUNCTION("""COMPUTED_VALUE"""),"09-03-2026")</f>
        <v>09-03-2026</v>
      </c>
      <c r="AP837" s="65" t="str">
        <f>IFERROR(__xludf.DUMMYFUNCTION("""COMPUTED_VALUE"""),"DEVOLUCIÓN ENTREGADA A ORIGEN")</f>
        <v>DEVOLUCIÓN ENTREGADA A ORIGEN</v>
      </c>
      <c r="AQ837" s="65" t="str">
        <f>IFERROR(__xludf.DUMMYFUNCTION("""COMPUTED_VALUE"""),"DEVOLUCIÓN ENTREGADA A ORIGEN")</f>
        <v>DEVOLUCIÓN ENTREGADA A ORIGEN</v>
      </c>
      <c r="AR837" s="65"/>
      <c r="AS837" s="65"/>
      <c r="AT837" s="65" t="str">
        <f>IFERROR(__xludf.DUMMYFUNCTION("""COMPUTED_VALUE"""),"SHOPIFY")</f>
        <v>SHOPIFY</v>
      </c>
      <c r="AU837" s="65" t="str">
        <f>IFERROR(__xludf.DUMMYFUNCTION("""COMPUTED_VALUE"""),"IMPORTEX EC")</f>
        <v>IMPORTEX EC</v>
      </c>
      <c r="AV837" s="65" t="str">
        <f>IFERROR(__xludf.DUMMYFUNCTION("""COMPUTED_VALUE"""),"6497877950508")</f>
        <v>6497877950508</v>
      </c>
      <c r="AW837" s="65">
        <f>IFERROR(__xludf.DUMMYFUNCTION("""COMPUTED_VALUE"""),6035.0)</f>
        <v>6035</v>
      </c>
      <c r="AX837" s="65"/>
      <c r="AY837" s="65" t="str">
        <f>IFERROR(__xludf.DUMMYFUNCTION("""COMPUTED_VALUE"""),"13/02/2026")</f>
        <v>13/02/2026</v>
      </c>
      <c r="AZ837" s="65"/>
      <c r="BA837" s="65"/>
    </row>
    <row r="838">
      <c r="A838" s="65" t="str">
        <f>IFERROR(__xludf.DUMMYFUNCTION("""COMPUTED_VALUE"""),"27-03-2026")</f>
        <v>27-03-2026</v>
      </c>
      <c r="B838" s="65">
        <f>IFERROR(__xludf.DUMMYFUNCTION("""COMPUTED_VALUE"""),4488195.0)</f>
        <v>4488195</v>
      </c>
      <c r="C838" s="65" t="str">
        <f>IFERROR(__xludf.DUMMYFUNCTION("""COMPUTED_VALUE"""),"09:20")</f>
        <v>09:20</v>
      </c>
      <c r="D838" s="65" t="str">
        <f>IFERROR(__xludf.DUMMYFUNCTION("""COMPUTED_VALUE"""),"12-02-2026")</f>
        <v>12-02-2026</v>
      </c>
      <c r="E838" s="65" t="str">
        <f>IFERROR(__xludf.DUMMYFUNCTION("""COMPUTED_VALUE"""),"Juan Mantilla")</f>
        <v>Juan Mantilla</v>
      </c>
      <c r="F838" s="65" t="str">
        <f>IFERROR(__xludf.DUMMYFUNCTION("""COMPUTED_VALUE"""),"999186764")</f>
        <v>999186764</v>
      </c>
      <c r="G838" s="65" t="str">
        <f>IFERROR(__xludf.DUMMYFUNCTION("""COMPUTED_VALUE"""),"jmantilla204@gmail.com")</f>
        <v>jmantilla204@gmail.com</v>
      </c>
      <c r="H838" s="65"/>
      <c r="I838" s="65"/>
      <c r="J838" s="65" t="str">
        <f>IFERROR(__xludf.DUMMYFUNCTION("""COMPUTED_VALUE"""),"D001325890")</f>
        <v>D001325890</v>
      </c>
      <c r="K838" s="65" t="str">
        <f>IFERROR(__xludf.DUMMYFUNCTION("""COMPUTED_VALUE"""),"ENTREGADO")</f>
        <v>ENTREGADO</v>
      </c>
      <c r="L838" s="65" t="str">
        <f>IFERROR(__xludf.DUMMYFUNCTION("""COMPUTED_VALUE"""),"CON RECAUDO")</f>
        <v>CON RECAUDO</v>
      </c>
      <c r="M838" s="65" t="str">
        <f>IFERROR(__xludf.DUMMYFUNCTION("""COMPUTED_VALUE"""),"PICHINCHA")</f>
        <v>PICHINCHA</v>
      </c>
      <c r="N838" s="65" t="str">
        <f>IFERROR(__xludf.DUMMYFUNCTION("""COMPUTED_VALUE"""),"TUMBACO")</f>
        <v>TUMBACO</v>
      </c>
      <c r="O838" s="65" t="str">
        <f>IFERROR(__xludf.DUMMYFUNCTION("""COMPUTED_VALUE"""),"Calle La Cerámica s5-218 Y Pasaje Wild .  -")</f>
        <v>Calle La Cerámica s5-218 Y Pasaje Wild .  -</v>
      </c>
      <c r="P838" s="65"/>
      <c r="Q838" s="65" t="str">
        <f>IFERROR(__xludf.DUMMYFUNCTION("""COMPUTED_VALUE"""),"GINTRACOM")</f>
        <v>GINTRACOM</v>
      </c>
      <c r="R838" s="65">
        <f>IFERROR(__xludf.DUMMYFUNCTION("""COMPUTED_VALUE"""),20.0)</f>
        <v>20</v>
      </c>
      <c r="S838" s="65">
        <f>IFERROR(__xludf.DUMMYFUNCTION("""COMPUTED_VALUE"""),11.84)</f>
        <v>11.84</v>
      </c>
      <c r="T838" s="65">
        <f>IFERROR(__xludf.DUMMYFUNCTION("""COMPUTED_VALUE"""),5.76)</f>
        <v>5.76</v>
      </c>
      <c r="U838" s="65">
        <f>IFERROR(__xludf.DUMMYFUNCTION("""COMPUTED_VALUE"""),0.0)</f>
        <v>0</v>
      </c>
      <c r="V838" s="65">
        <f>IFERROR(__xludf.DUMMYFUNCTION("""COMPUTED_VALUE"""),0.0)</f>
        <v>0</v>
      </c>
      <c r="W838" s="65">
        <f>IFERROR(__xludf.DUMMYFUNCTION("""COMPUTED_VALUE"""),0.0)</f>
        <v>0</v>
      </c>
      <c r="X838" s="65">
        <f>IFERROR(__xludf.DUMMYFUNCTION("""COMPUTED_VALUE"""),2.4)</f>
        <v>2.4</v>
      </c>
      <c r="Y838" s="65">
        <f>IFERROR(__xludf.DUMMYFUNCTION("""COMPUTED_VALUE"""),2.4)</f>
        <v>2.4</v>
      </c>
      <c r="Z838" s="65">
        <f>IFERROR(__xludf.DUMMYFUNCTION("""COMPUTED_VALUE"""),120732.0)</f>
        <v>120732</v>
      </c>
      <c r="AA838" s="65" t="str">
        <f>IFERROR(__xludf.DUMMYFUNCTION("""COMPUTED_VALUE"""),"PROV-LMPVT")</f>
        <v>PROV-LMPVT</v>
      </c>
      <c r="AB838" s="65"/>
      <c r="AC838" s="65" t="str">
        <f>IFERROR(__xludf.DUMMYFUNCTION("""COMPUTED_VALUE"""),"LIMPIADOR DE PARABRISAS Y VENTANAS")</f>
        <v>LIMPIADOR DE PARABRISAS Y VENTANAS</v>
      </c>
      <c r="AD838" s="65"/>
      <c r="AE838" s="65">
        <f>IFERROR(__xludf.DUMMYFUNCTION("""COMPUTED_VALUE"""),1.0)</f>
        <v>1</v>
      </c>
      <c r="AF838" s="65"/>
      <c r="AG838" s="65"/>
      <c r="AH838" s="65"/>
      <c r="AI838" s="65"/>
      <c r="AJ838" s="65"/>
      <c r="AK838" s="65"/>
      <c r="AL838" s="65"/>
      <c r="AM838" s="65"/>
      <c r="AN838" s="65" t="str">
        <f>IFERROR(__xludf.DUMMYFUNCTION("""COMPUTED_VALUE"""),"10:44")</f>
        <v>10:44</v>
      </c>
      <c r="AO838" s="65" t="str">
        <f>IFERROR(__xludf.DUMMYFUNCTION("""COMPUTED_VALUE"""),"18-02-2026")</f>
        <v>18-02-2026</v>
      </c>
      <c r="AP838" s="65" t="str">
        <f>IFERROR(__xludf.DUMMYFUNCTION("""COMPUTED_VALUE"""),"ENTREGADA GINTRACOM")</f>
        <v>ENTREGADA GINTRACOM</v>
      </c>
      <c r="AQ838" s="65" t="str">
        <f>IFERROR(__xludf.DUMMYFUNCTION("""COMPUTED_VALUE"""),"ENTREGADA GINTRACOM")</f>
        <v>ENTREGADA GINTRACOM</v>
      </c>
      <c r="AR838" s="65"/>
      <c r="AS838" s="65"/>
      <c r="AT838" s="65" t="str">
        <f>IFERROR(__xludf.DUMMYFUNCTION("""COMPUTED_VALUE"""),"SHOPIFY")</f>
        <v>SHOPIFY</v>
      </c>
      <c r="AU838" s="65" t="str">
        <f>IFERROR(__xludf.DUMMYFUNCTION("""COMPUTED_VALUE"""),"IMPORTEX EC")</f>
        <v>IMPORTEX EC</v>
      </c>
      <c r="AV838" s="65" t="str">
        <f>IFERROR(__xludf.DUMMYFUNCTION("""COMPUTED_VALUE"""),"6498108178476")</f>
        <v>6498108178476</v>
      </c>
      <c r="AW838" s="65">
        <f>IFERROR(__xludf.DUMMYFUNCTION("""COMPUTED_VALUE"""),6049.0)</f>
        <v>6049</v>
      </c>
      <c r="AX838" s="65"/>
      <c r="AY838" s="65" t="str">
        <f>IFERROR(__xludf.DUMMYFUNCTION("""COMPUTED_VALUE"""),"13/02/2026")</f>
        <v>13/02/2026</v>
      </c>
      <c r="AZ838" s="65"/>
      <c r="BA838" s="65"/>
    </row>
    <row r="839">
      <c r="A839" s="65" t="str">
        <f>IFERROR(__xludf.DUMMYFUNCTION("""COMPUTED_VALUE"""),"27-03-2026")</f>
        <v>27-03-2026</v>
      </c>
      <c r="B839" s="65">
        <f>IFERROR(__xludf.DUMMYFUNCTION("""COMPUTED_VALUE"""),4487920.0)</f>
        <v>4487920</v>
      </c>
      <c r="C839" s="65" t="str">
        <f>IFERROR(__xludf.DUMMYFUNCTION("""COMPUTED_VALUE"""),"08:57")</f>
        <v>08:57</v>
      </c>
      <c r="D839" s="65" t="str">
        <f>IFERROR(__xludf.DUMMYFUNCTION("""COMPUTED_VALUE"""),"12-02-2026")</f>
        <v>12-02-2026</v>
      </c>
      <c r="E839" s="65" t="str">
        <f>IFERROR(__xludf.DUMMYFUNCTION("""COMPUTED_VALUE"""),"JESSICA OCAMPO")</f>
        <v>JESSICA OCAMPO</v>
      </c>
      <c r="F839" s="65" t="str">
        <f>IFERROR(__xludf.DUMMYFUNCTION("""COMPUTED_VALUE"""),"996397927")</f>
        <v>996397927</v>
      </c>
      <c r="G839" s="65" t="str">
        <f>IFERROR(__xludf.DUMMYFUNCTION("""COMPUTED_VALUE"""),"jessi198391@hotmail.com")</f>
        <v>jessi198391@hotmail.com</v>
      </c>
      <c r="H839" s="65"/>
      <c r="I839" s="65"/>
      <c r="J839" s="65" t="str">
        <f>IFERROR(__xludf.DUMMYFUNCTION("""COMPUTED_VALUE"""),"D001324329")</f>
        <v>D001324329</v>
      </c>
      <c r="K839" s="65" t="str">
        <f>IFERROR(__xludf.DUMMYFUNCTION("""COMPUTED_VALUE"""),"ENTREGADO")</f>
        <v>ENTREGADO</v>
      </c>
      <c r="L839" s="65" t="str">
        <f>IFERROR(__xludf.DUMMYFUNCTION("""COMPUTED_VALUE"""),"CON RECAUDO")</f>
        <v>CON RECAUDO</v>
      </c>
      <c r="M839" s="65" t="str">
        <f>IFERROR(__xludf.DUMMYFUNCTION("""COMPUTED_VALUE"""),"PICHINCHA")</f>
        <v>PICHINCHA</v>
      </c>
      <c r="N839" s="65" t="str">
        <f>IFERROR(__xludf.DUMMYFUNCTION("""COMPUTED_VALUE"""),"EL QUINCHE")</f>
        <v>EL QUINCHE</v>
      </c>
      <c r="O839" s="65" t="str">
        <f>IFERROR(__xludf.DUMMYFUNCTION("""COMPUTED_VALUE"""),"Manzanos y GUABOS, portón café junto a la iglesia de el Verbo, EL QUINCHE, BARRIO SAN MIGUEL -")</f>
        <v>Manzanos y GUABOS, portón café junto a la iglesia de el Verbo, EL QUINCHE, BARRIO SAN MIGUEL -</v>
      </c>
      <c r="P839" s="65"/>
      <c r="Q839" s="65" t="str">
        <f>IFERROR(__xludf.DUMMYFUNCTION("""COMPUTED_VALUE"""),"GINTRACOM")</f>
        <v>GINTRACOM</v>
      </c>
      <c r="R839" s="65">
        <f>IFERROR(__xludf.DUMMYFUNCTION("""COMPUTED_VALUE"""),22.0)</f>
        <v>22</v>
      </c>
      <c r="S839" s="65">
        <f>IFERROR(__xludf.DUMMYFUNCTION("""COMPUTED_VALUE"""),10.39)</f>
        <v>10.39</v>
      </c>
      <c r="T839" s="65">
        <f>IFERROR(__xludf.DUMMYFUNCTION("""COMPUTED_VALUE"""),6.41)</f>
        <v>6.41</v>
      </c>
      <c r="U839" s="65">
        <f>IFERROR(__xludf.DUMMYFUNCTION("""COMPUTED_VALUE"""),0.0)</f>
        <v>0</v>
      </c>
      <c r="V839" s="65">
        <f>IFERROR(__xludf.DUMMYFUNCTION("""COMPUTED_VALUE"""),0.0)</f>
        <v>0</v>
      </c>
      <c r="W839" s="65">
        <f>IFERROR(__xludf.DUMMYFUNCTION("""COMPUTED_VALUE"""),0.0)</f>
        <v>0</v>
      </c>
      <c r="X839" s="65">
        <f>IFERROR(__xludf.DUMMYFUNCTION("""COMPUTED_VALUE"""),2.6)</f>
        <v>2.6</v>
      </c>
      <c r="Y839" s="65">
        <f>IFERROR(__xludf.DUMMYFUNCTION("""COMPUTED_VALUE"""),5.2)</f>
        <v>5.2</v>
      </c>
      <c r="Z839" s="65">
        <f>IFERROR(__xludf.DUMMYFUNCTION("""COMPUTED_VALUE"""),121983.0)</f>
        <v>121983</v>
      </c>
      <c r="AA839" s="65" t="str">
        <f>IFERROR(__xludf.DUMMYFUNCTION("""COMPUTED_VALUE"""),"PROV-CHLLCF")</f>
        <v>PROV-CHLLCF</v>
      </c>
      <c r="AB839" s="65"/>
      <c r="AC839" s="65" t="str">
        <f>IFERROR(__xludf.DUMMYFUNCTION("""COMPUTED_VALUE"""),"CUCHILLO PARA CHEF")</f>
        <v>CUCHILLO PARA CHEF</v>
      </c>
      <c r="AD839" s="65"/>
      <c r="AE839" s="65">
        <f>IFERROR(__xludf.DUMMYFUNCTION("""COMPUTED_VALUE"""),2.0)</f>
        <v>2</v>
      </c>
      <c r="AF839" s="65"/>
      <c r="AG839" s="65"/>
      <c r="AH839" s="65"/>
      <c r="AI839" s="65"/>
      <c r="AJ839" s="65"/>
      <c r="AK839" s="65"/>
      <c r="AL839" s="65"/>
      <c r="AM839" s="65"/>
      <c r="AN839" s="65" t="str">
        <f>IFERROR(__xludf.DUMMYFUNCTION("""COMPUTED_VALUE"""),"08:17")</f>
        <v>08:17</v>
      </c>
      <c r="AO839" s="65" t="str">
        <f>IFERROR(__xludf.DUMMYFUNCTION("""COMPUTED_VALUE"""),"17-02-2026")</f>
        <v>17-02-2026</v>
      </c>
      <c r="AP839" s="65" t="str">
        <f>IFERROR(__xludf.DUMMYFUNCTION("""COMPUTED_VALUE"""),"EN REPARTO")</f>
        <v>EN REPARTO</v>
      </c>
      <c r="AQ839" s="65" t="str">
        <f>IFERROR(__xludf.DUMMYFUNCTION("""COMPUTED_VALUE"""),"EN REPARTO")</f>
        <v>EN REPARTO</v>
      </c>
      <c r="AR839" s="65"/>
      <c r="AS839" s="65"/>
      <c r="AT839" s="65" t="str">
        <f>IFERROR(__xludf.DUMMYFUNCTION("""COMPUTED_VALUE"""),"SHOPIFY")</f>
        <v>SHOPIFY</v>
      </c>
      <c r="AU839" s="65" t="str">
        <f>IFERROR(__xludf.DUMMYFUNCTION("""COMPUTED_VALUE"""),"IMPORTEX EC")</f>
        <v>IMPORTEX EC</v>
      </c>
      <c r="AV839" s="65" t="str">
        <f>IFERROR(__xludf.DUMMYFUNCTION("""COMPUTED_VALUE"""),"6498070003756")</f>
        <v>6498070003756</v>
      </c>
      <c r="AW839" s="65">
        <f>IFERROR(__xludf.DUMMYFUNCTION("""COMPUTED_VALUE"""),6048.0)</f>
        <v>6048</v>
      </c>
      <c r="AX839" s="65"/>
      <c r="AY839" s="65" t="str">
        <f>IFERROR(__xludf.DUMMYFUNCTION("""COMPUTED_VALUE"""),"13/02/2026")</f>
        <v>13/02/2026</v>
      </c>
      <c r="AZ839" s="65"/>
      <c r="BA839" s="65"/>
    </row>
    <row r="840">
      <c r="A840" s="65" t="str">
        <f>IFERROR(__xludf.DUMMYFUNCTION("""COMPUTED_VALUE"""),"27-03-2026")</f>
        <v>27-03-2026</v>
      </c>
      <c r="B840" s="65">
        <f>IFERROR(__xludf.DUMMYFUNCTION("""COMPUTED_VALUE"""),4487722.0)</f>
        <v>4487722</v>
      </c>
      <c r="C840" s="65" t="str">
        <f>IFERROR(__xludf.DUMMYFUNCTION("""COMPUTED_VALUE"""),"08:42")</f>
        <v>08:42</v>
      </c>
      <c r="D840" s="65" t="str">
        <f>IFERROR(__xludf.DUMMYFUNCTION("""COMPUTED_VALUE"""),"12-02-2026")</f>
        <v>12-02-2026</v>
      </c>
      <c r="E840" s="65" t="str">
        <f>IFERROR(__xludf.DUMMYFUNCTION("""COMPUTED_VALUE"""),"José Morocho Arturo")</f>
        <v>José Morocho Arturo</v>
      </c>
      <c r="F840" s="65" t="str">
        <f>IFERROR(__xludf.DUMMYFUNCTION("""COMPUTED_VALUE"""),"939242328")</f>
        <v>939242328</v>
      </c>
      <c r="G840" s="65" t="str">
        <f>IFERROR(__xludf.DUMMYFUNCTION("""COMPUTED_VALUE"""),"chichoscar11@hotmail.com")</f>
        <v>chichoscar11@hotmail.com</v>
      </c>
      <c r="H840" s="65"/>
      <c r="I840" s="65"/>
      <c r="J840" s="65" t="str">
        <f>IFERROR(__xludf.DUMMYFUNCTION("""COMPUTED_VALUE"""),"D001324332")</f>
        <v>D001324332</v>
      </c>
      <c r="K840" s="65" t="str">
        <f>IFERROR(__xludf.DUMMYFUNCTION("""COMPUTED_VALUE"""),"ENTREGADO")</f>
        <v>ENTREGADO</v>
      </c>
      <c r="L840" s="65" t="str">
        <f>IFERROR(__xludf.DUMMYFUNCTION("""COMPUTED_VALUE"""),"CON RECAUDO")</f>
        <v>CON RECAUDO</v>
      </c>
      <c r="M840" s="65" t="str">
        <f>IFERROR(__xludf.DUMMYFUNCTION("""COMPUTED_VALUE"""),"AZUAY")</f>
        <v>AZUAY</v>
      </c>
      <c r="N840" s="65" t="str">
        <f>IFERROR(__xludf.DUMMYFUNCTION("""COMPUTED_VALUE"""),"CUENCA")</f>
        <v>CUENCA</v>
      </c>
      <c r="O840" s="65" t="str">
        <f>IFERROR(__xludf.DUMMYFUNCTION("""COMPUTED_VALUE"""),"Castillano y cartagena")</f>
        <v>Castillano y cartagena</v>
      </c>
      <c r="P840" s="65"/>
      <c r="Q840" s="65" t="str">
        <f>IFERROR(__xludf.DUMMYFUNCTION("""COMPUTED_VALUE"""),"GINTRACOM")</f>
        <v>GINTRACOM</v>
      </c>
      <c r="R840" s="65">
        <f>IFERROR(__xludf.DUMMYFUNCTION("""COMPUTED_VALUE"""),20.0)</f>
        <v>20</v>
      </c>
      <c r="S840" s="65">
        <f>IFERROR(__xludf.DUMMYFUNCTION("""COMPUTED_VALUE"""),11.84)</f>
        <v>11.84</v>
      </c>
      <c r="T840" s="65">
        <f>IFERROR(__xludf.DUMMYFUNCTION("""COMPUTED_VALUE"""),5.76)</f>
        <v>5.76</v>
      </c>
      <c r="U840" s="65">
        <f>IFERROR(__xludf.DUMMYFUNCTION("""COMPUTED_VALUE"""),0.0)</f>
        <v>0</v>
      </c>
      <c r="V840" s="65">
        <f>IFERROR(__xludf.DUMMYFUNCTION("""COMPUTED_VALUE"""),0.0)</f>
        <v>0</v>
      </c>
      <c r="W840" s="65">
        <f>IFERROR(__xludf.DUMMYFUNCTION("""COMPUTED_VALUE"""),0.0)</f>
        <v>0</v>
      </c>
      <c r="X840" s="65">
        <f>IFERROR(__xludf.DUMMYFUNCTION("""COMPUTED_VALUE"""),2.4)</f>
        <v>2.4</v>
      </c>
      <c r="Y840" s="65">
        <f>IFERROR(__xludf.DUMMYFUNCTION("""COMPUTED_VALUE"""),2.4)</f>
        <v>2.4</v>
      </c>
      <c r="Z840" s="65">
        <f>IFERROR(__xludf.DUMMYFUNCTION("""COMPUTED_VALUE"""),120732.0)</f>
        <v>120732</v>
      </c>
      <c r="AA840" s="65" t="str">
        <f>IFERROR(__xludf.DUMMYFUNCTION("""COMPUTED_VALUE"""),"PROV-LMPVT")</f>
        <v>PROV-LMPVT</v>
      </c>
      <c r="AB840" s="65"/>
      <c r="AC840" s="65" t="str">
        <f>IFERROR(__xludf.DUMMYFUNCTION("""COMPUTED_VALUE"""),"LIMPIADOR DE PARABRISAS Y VENTANAS")</f>
        <v>LIMPIADOR DE PARABRISAS Y VENTANAS</v>
      </c>
      <c r="AD840" s="65"/>
      <c r="AE840" s="65">
        <f>IFERROR(__xludf.DUMMYFUNCTION("""COMPUTED_VALUE"""),1.0)</f>
        <v>1</v>
      </c>
      <c r="AF840" s="65" t="str">
        <f>IFERROR(__xludf.DUMMYFUNCTION("""COMPUTED_VALUE"""),"DESTINATARIO NO CONTESTA LLAMADAS NI WHATSAPP")</f>
        <v>DESTINATARIO NO CONTESTA LLAMADAS NI WHATSAPP</v>
      </c>
      <c r="AG840" s="65" t="str">
        <f>IFERROR(__xludf.DUMMYFUNCTION("""COMPUTED_VALUE"""),"NO")</f>
        <v>NO</v>
      </c>
      <c r="AH840" s="65" t="str">
        <f>IFERROR(__xludf.DUMMYFUNCTION("""COMPUTED_VALUE"""),"16:12")</f>
        <v>16:12</v>
      </c>
      <c r="AI840" s="65" t="str">
        <f>IFERROR(__xludf.DUMMYFUNCTION("""COMPUTED_VALUE"""),"17-02-2026")</f>
        <v>17-02-2026</v>
      </c>
      <c r="AJ840" s="65"/>
      <c r="AK840" s="65"/>
      <c r="AL840" s="65"/>
      <c r="AM840" s="65"/>
      <c r="AN840" s="65" t="str">
        <f>IFERROR(__xludf.DUMMYFUNCTION("""COMPUTED_VALUE"""),"08:49")</f>
        <v>08:49</v>
      </c>
      <c r="AO840" s="65" t="str">
        <f>IFERROR(__xludf.DUMMYFUNCTION("""COMPUTED_VALUE"""),"21-02-2026")</f>
        <v>21-02-2026</v>
      </c>
      <c r="AP840" s="65" t="str">
        <f>IFERROR(__xludf.DUMMYFUNCTION("""COMPUTED_VALUE"""),"ENTREGADA GINTRACOM")</f>
        <v>ENTREGADA GINTRACOM</v>
      </c>
      <c r="AQ840" s="65" t="str">
        <f>IFERROR(__xludf.DUMMYFUNCTION("""COMPUTED_VALUE"""),"ENTREGADA GINTRACOM")</f>
        <v>ENTREGADA GINTRACOM</v>
      </c>
      <c r="AR840" s="65"/>
      <c r="AS840" s="65"/>
      <c r="AT840" s="65" t="str">
        <f>IFERROR(__xludf.DUMMYFUNCTION("""COMPUTED_VALUE"""),"SHOPIFY")</f>
        <v>SHOPIFY</v>
      </c>
      <c r="AU840" s="65" t="str">
        <f>IFERROR(__xludf.DUMMYFUNCTION("""COMPUTED_VALUE"""),"IMPORTEX EC")</f>
        <v>IMPORTEX EC</v>
      </c>
      <c r="AV840" s="65" t="str">
        <f>IFERROR(__xludf.DUMMYFUNCTION("""COMPUTED_VALUE"""),"6498050375724")</f>
        <v>6498050375724</v>
      </c>
      <c r="AW840" s="65">
        <f>IFERROR(__xludf.DUMMYFUNCTION("""COMPUTED_VALUE"""),6047.0)</f>
        <v>6047</v>
      </c>
      <c r="AX840" s="65"/>
      <c r="AY840" s="65" t="str">
        <f>IFERROR(__xludf.DUMMYFUNCTION("""COMPUTED_VALUE"""),"13/02/2026")</f>
        <v>13/02/2026</v>
      </c>
      <c r="AZ840" s="65"/>
      <c r="BA840" s="65"/>
    </row>
    <row r="841">
      <c r="A841" s="65" t="str">
        <f>IFERROR(__xludf.DUMMYFUNCTION("""COMPUTED_VALUE"""),"27-03-2026")</f>
        <v>27-03-2026</v>
      </c>
      <c r="B841" s="65">
        <f>IFERROR(__xludf.DUMMYFUNCTION("""COMPUTED_VALUE"""),4487546.0)</f>
        <v>4487546</v>
      </c>
      <c r="C841" s="65" t="str">
        <f>IFERROR(__xludf.DUMMYFUNCTION("""COMPUTED_VALUE"""),"08:28")</f>
        <v>08:28</v>
      </c>
      <c r="D841" s="65" t="str">
        <f>IFERROR(__xludf.DUMMYFUNCTION("""COMPUTED_VALUE"""),"12-02-2026")</f>
        <v>12-02-2026</v>
      </c>
      <c r="E841" s="65" t="str">
        <f>IFERROR(__xludf.DUMMYFUNCTION("""COMPUTED_VALUE"""),"Erika Orozco")</f>
        <v>Erika Orozco</v>
      </c>
      <c r="F841" s="65" t="str">
        <f>IFERROR(__xludf.DUMMYFUNCTION("""COMPUTED_VALUE"""),"963158677")</f>
        <v>963158677</v>
      </c>
      <c r="G841" s="65" t="str">
        <f>IFERROR(__xludf.DUMMYFUNCTION("""COMPUTED_VALUE"""),"samaraysarahy.06@gmail.com")</f>
        <v>samaraysarahy.06@gmail.com</v>
      </c>
      <c r="H841" s="65"/>
      <c r="I841" s="65"/>
      <c r="J841" s="65" t="str">
        <f>IFERROR(__xludf.DUMMYFUNCTION("""COMPUTED_VALUE"""),"D001324334")</f>
        <v>D001324334</v>
      </c>
      <c r="K841" s="65" t="str">
        <f>IFERROR(__xludf.DUMMYFUNCTION("""COMPUTED_VALUE"""),"DEVOLUCION")</f>
        <v>DEVOLUCION</v>
      </c>
      <c r="L841" s="65" t="str">
        <f>IFERROR(__xludf.DUMMYFUNCTION("""COMPUTED_VALUE"""),"CON RECAUDO")</f>
        <v>CON RECAUDO</v>
      </c>
      <c r="M841" s="65" t="str">
        <f>IFERROR(__xludf.DUMMYFUNCTION("""COMPUTED_VALUE"""),"GUAYAS")</f>
        <v>GUAYAS</v>
      </c>
      <c r="N841" s="65" t="str">
        <f>IFERROR(__xludf.DUMMYFUNCTION("""COMPUTED_VALUE"""),"GUAYAQUIL")</f>
        <v>GUAYAQUIL</v>
      </c>
      <c r="O841" s="65" t="str">
        <f>IFERROR(__xludf.DUMMYFUNCTION("""COMPUTED_VALUE"""),"Lomas de la florida mz921zl25 Lomas de la florida -")</f>
        <v>Lomas de la florida mz921zl25 Lomas de la florida -</v>
      </c>
      <c r="P841" s="65"/>
      <c r="Q841" s="65" t="str">
        <f>IFERROR(__xludf.DUMMYFUNCTION("""COMPUTED_VALUE"""),"GINTRACOM")</f>
        <v>GINTRACOM</v>
      </c>
      <c r="R841" s="65">
        <f>IFERROR(__xludf.DUMMYFUNCTION("""COMPUTED_VALUE"""),22.0)</f>
        <v>22</v>
      </c>
      <c r="S841" s="65"/>
      <c r="T841" s="65">
        <f>IFERROR(__xludf.DUMMYFUNCTION("""COMPUTED_VALUE"""),4.23)</f>
        <v>4.23</v>
      </c>
      <c r="U841" s="65">
        <f>IFERROR(__xludf.DUMMYFUNCTION("""COMPUTED_VALUE"""),0.0)</f>
        <v>0</v>
      </c>
      <c r="V841" s="65">
        <f>IFERROR(__xludf.DUMMYFUNCTION("""COMPUTED_VALUE"""),0.0)</f>
        <v>0</v>
      </c>
      <c r="W841" s="65">
        <f>IFERROR(__xludf.DUMMYFUNCTION("""COMPUTED_VALUE"""),0.0)</f>
        <v>0</v>
      </c>
      <c r="X841" s="65">
        <f>IFERROR(__xludf.DUMMYFUNCTION("""COMPUTED_VALUE"""),2.6)</f>
        <v>2.6</v>
      </c>
      <c r="Y841" s="65">
        <f>IFERROR(__xludf.DUMMYFUNCTION("""COMPUTED_VALUE"""),5.2)</f>
        <v>5.2</v>
      </c>
      <c r="Z841" s="65">
        <f>IFERROR(__xludf.DUMMYFUNCTION("""COMPUTED_VALUE"""),121983.0)</f>
        <v>121983</v>
      </c>
      <c r="AA841" s="65" t="str">
        <f>IFERROR(__xludf.DUMMYFUNCTION("""COMPUTED_VALUE"""),"PROV-CHLLCF")</f>
        <v>PROV-CHLLCF</v>
      </c>
      <c r="AB841" s="65"/>
      <c r="AC841" s="65" t="str">
        <f>IFERROR(__xludf.DUMMYFUNCTION("""COMPUTED_VALUE"""),"CUCHILLO PARA CHEF")</f>
        <v>CUCHILLO PARA CHEF</v>
      </c>
      <c r="AD841" s="65"/>
      <c r="AE841" s="65">
        <f>IFERROR(__xludf.DUMMYFUNCTION("""COMPUTED_VALUE"""),2.0)</f>
        <v>2</v>
      </c>
      <c r="AF841" s="65" t="str">
        <f>IFERROR(__xludf.DUMMYFUNCTION("""COMPUTED_VALUE"""),"DESTINATARIO NO CONTESTA LLAMADAS NI WHATSAPP")</f>
        <v>DESTINATARIO NO CONTESTA LLAMADAS NI WHATSAPP</v>
      </c>
      <c r="AG841" s="65" t="str">
        <f>IFERROR(__xludf.DUMMYFUNCTION("""COMPUTED_VALUE"""),"SI")</f>
        <v>SI</v>
      </c>
      <c r="AH841" s="65" t="str">
        <f>IFERROR(__xludf.DUMMYFUNCTION("""COMPUTED_VALUE"""),"09:00")</f>
        <v>09:00</v>
      </c>
      <c r="AI841" s="65" t="str">
        <f>IFERROR(__xludf.DUMMYFUNCTION("""COMPUTED_VALUE"""),"22-02-2026")</f>
        <v>22-02-2026</v>
      </c>
      <c r="AJ841" s="65" t="str">
        <f>IFERROR(__xludf.DUMMYFUNCTION("""COMPUTED_VALUE"""),"CLIENTE SOLICITA LA ENTREGA URGENTE POR FAVOR")</f>
        <v>CLIENTE SOLICITA LA ENTREGA URGENTE POR FAVOR</v>
      </c>
      <c r="AK841" s="65" t="str">
        <f>IFERROR(__xludf.DUMMYFUNCTION("""COMPUTED_VALUE"""),"11:31")</f>
        <v>11:31</v>
      </c>
      <c r="AL841" s="65" t="str">
        <f>IFERROR(__xludf.DUMMYFUNCTION("""COMPUTED_VALUE"""),"24-02-2026")</f>
        <v>24-02-2026</v>
      </c>
      <c r="AM841" s="65"/>
      <c r="AN841" s="65" t="str">
        <f>IFERROR(__xludf.DUMMYFUNCTION("""COMPUTED_VALUE"""),"01:36")</f>
        <v>01:36</v>
      </c>
      <c r="AO841" s="65" t="str">
        <f>IFERROR(__xludf.DUMMYFUNCTION("""COMPUTED_VALUE"""),"09-03-2026")</f>
        <v>09-03-2026</v>
      </c>
      <c r="AP841" s="65" t="str">
        <f>IFERROR(__xludf.DUMMYFUNCTION("""COMPUTED_VALUE"""),"DEVOLUCIÓN ENTREGADA A ORIGEN")</f>
        <v>DEVOLUCIÓN ENTREGADA A ORIGEN</v>
      </c>
      <c r="AQ841" s="65" t="str">
        <f>IFERROR(__xludf.DUMMYFUNCTION("""COMPUTED_VALUE"""),"DEVOLUCIÓN ENTREGADA A ORIGEN")</f>
        <v>DEVOLUCIÓN ENTREGADA A ORIGEN</v>
      </c>
      <c r="AR841" s="65"/>
      <c r="AS841" s="65"/>
      <c r="AT841" s="65" t="str">
        <f>IFERROR(__xludf.DUMMYFUNCTION("""COMPUTED_VALUE"""),"SHOPIFY")</f>
        <v>SHOPIFY</v>
      </c>
      <c r="AU841" s="65" t="str">
        <f>IFERROR(__xludf.DUMMYFUNCTION("""COMPUTED_VALUE"""),"IMPORTEX EC")</f>
        <v>IMPORTEX EC</v>
      </c>
      <c r="AV841" s="65" t="str">
        <f>IFERROR(__xludf.DUMMYFUNCTION("""COMPUTED_VALUE"""),"6498028388396")</f>
        <v>6498028388396</v>
      </c>
      <c r="AW841" s="65">
        <f>IFERROR(__xludf.DUMMYFUNCTION("""COMPUTED_VALUE"""),6046.0)</f>
        <v>6046</v>
      </c>
      <c r="AX841" s="65"/>
      <c r="AY841" s="65" t="str">
        <f>IFERROR(__xludf.DUMMYFUNCTION("""COMPUTED_VALUE"""),"13/02/2026")</f>
        <v>13/02/2026</v>
      </c>
      <c r="AZ841" s="65"/>
      <c r="BA841" s="65"/>
    </row>
    <row r="842">
      <c r="A842" s="65" t="str">
        <f>IFERROR(__xludf.DUMMYFUNCTION("""COMPUTED_VALUE"""),"27-03-2026")</f>
        <v>27-03-2026</v>
      </c>
      <c r="B842" s="65">
        <f>IFERROR(__xludf.DUMMYFUNCTION("""COMPUTED_VALUE"""),4487345.0)</f>
        <v>4487345</v>
      </c>
      <c r="C842" s="65" t="str">
        <f>IFERROR(__xludf.DUMMYFUNCTION("""COMPUTED_VALUE"""),"08:10")</f>
        <v>08:10</v>
      </c>
      <c r="D842" s="65" t="str">
        <f>IFERROR(__xludf.DUMMYFUNCTION("""COMPUTED_VALUE"""),"12-02-2026")</f>
        <v>12-02-2026</v>
      </c>
      <c r="E842" s="65" t="str">
        <f>IFERROR(__xludf.DUMMYFUNCTION("""COMPUTED_VALUE"""),"Jeaneth Flores")</f>
        <v>Jeaneth Flores</v>
      </c>
      <c r="F842" s="65" t="str">
        <f>IFERROR(__xludf.DUMMYFUNCTION("""COMPUTED_VALUE"""),"994903200")</f>
        <v>994903200</v>
      </c>
      <c r="G842" s="65" t="str">
        <f>IFERROR(__xludf.DUMMYFUNCTION("""COMPUTED_VALUE"""),"jeanethmarianela1976@hotmail.com")</f>
        <v>jeanethmarianela1976@hotmail.com</v>
      </c>
      <c r="H842" s="65"/>
      <c r="I842" s="65"/>
      <c r="J842" s="65" t="str">
        <f>IFERROR(__xludf.DUMMYFUNCTION("""COMPUTED_VALUE"""),"D001324337")</f>
        <v>D001324337</v>
      </c>
      <c r="K842" s="65" t="str">
        <f>IFERROR(__xludf.DUMMYFUNCTION("""COMPUTED_VALUE"""),"DEVOLUCION")</f>
        <v>DEVOLUCION</v>
      </c>
      <c r="L842" s="65" t="str">
        <f>IFERROR(__xludf.DUMMYFUNCTION("""COMPUTED_VALUE"""),"CON RECAUDO")</f>
        <v>CON RECAUDO</v>
      </c>
      <c r="M842" s="65" t="str">
        <f>IFERROR(__xludf.DUMMYFUNCTION("""COMPUTED_VALUE"""),"IMBABURA")</f>
        <v>IMBABURA</v>
      </c>
      <c r="N842" s="65" t="str">
        <f>IFERROR(__xludf.DUMMYFUNCTION("""COMPUTED_VALUE"""),"IBARRA")</f>
        <v>IBARRA</v>
      </c>
      <c r="O842" s="65" t="str">
        <f>IFERROR(__xludf.DUMMYFUNCTION("""COMPUTED_VALUE"""),"Obispo Mosquera Tras mercado amazonas -")</f>
        <v>Obispo Mosquera Tras mercado amazonas -</v>
      </c>
      <c r="P842" s="65"/>
      <c r="Q842" s="65" t="str">
        <f>IFERROR(__xludf.DUMMYFUNCTION("""COMPUTED_VALUE"""),"GINTRACOM")</f>
        <v>GINTRACOM</v>
      </c>
      <c r="R842" s="65">
        <f>IFERROR(__xludf.DUMMYFUNCTION("""COMPUTED_VALUE"""),22.0)</f>
        <v>22</v>
      </c>
      <c r="S842" s="65"/>
      <c r="T842" s="65">
        <f>IFERROR(__xludf.DUMMYFUNCTION("""COMPUTED_VALUE"""),5.84)</f>
        <v>5.84</v>
      </c>
      <c r="U842" s="65">
        <f>IFERROR(__xludf.DUMMYFUNCTION("""COMPUTED_VALUE"""),0.0)</f>
        <v>0</v>
      </c>
      <c r="V842" s="65">
        <f>IFERROR(__xludf.DUMMYFUNCTION("""COMPUTED_VALUE"""),0.0)</f>
        <v>0</v>
      </c>
      <c r="W842" s="65">
        <f>IFERROR(__xludf.DUMMYFUNCTION("""COMPUTED_VALUE"""),0.0)</f>
        <v>0</v>
      </c>
      <c r="X842" s="65">
        <f>IFERROR(__xludf.DUMMYFUNCTION("""COMPUTED_VALUE"""),2.6)</f>
        <v>2.6</v>
      </c>
      <c r="Y842" s="65">
        <f>IFERROR(__xludf.DUMMYFUNCTION("""COMPUTED_VALUE"""),5.2)</f>
        <v>5.2</v>
      </c>
      <c r="Z842" s="65">
        <f>IFERROR(__xludf.DUMMYFUNCTION("""COMPUTED_VALUE"""),121983.0)</f>
        <v>121983</v>
      </c>
      <c r="AA842" s="65" t="str">
        <f>IFERROR(__xludf.DUMMYFUNCTION("""COMPUTED_VALUE"""),"PROV-CHLLCF")</f>
        <v>PROV-CHLLCF</v>
      </c>
      <c r="AB842" s="65"/>
      <c r="AC842" s="65" t="str">
        <f>IFERROR(__xludf.DUMMYFUNCTION("""COMPUTED_VALUE"""),"CUCHILLO PARA CHEF")</f>
        <v>CUCHILLO PARA CHEF</v>
      </c>
      <c r="AD842" s="65"/>
      <c r="AE842" s="65">
        <f>IFERROR(__xludf.DUMMYFUNCTION("""COMPUTED_VALUE"""),2.0)</f>
        <v>2</v>
      </c>
      <c r="AF842" s="65" t="str">
        <f>IFERROR(__xludf.DUMMYFUNCTION("""COMPUTED_VALUE"""),"DESTINATARIO NO CONTESTA LLAMADAS NI WHATSAPP")</f>
        <v>DESTINATARIO NO CONTESTA LLAMADAS NI WHATSAPP</v>
      </c>
      <c r="AG842" s="65" t="str">
        <f>IFERROR(__xludf.DUMMYFUNCTION("""COMPUTED_VALUE"""),"SI")</f>
        <v>SI</v>
      </c>
      <c r="AH842" s="65" t="str">
        <f>IFERROR(__xludf.DUMMYFUNCTION("""COMPUTED_VALUE"""),"12:23")</f>
        <v>12:23</v>
      </c>
      <c r="AI842" s="65" t="str">
        <f>IFERROR(__xludf.DUMMYFUNCTION("""COMPUTED_VALUE"""),"25-02-2026")</f>
        <v>25-02-2026</v>
      </c>
      <c r="AJ842" s="65" t="str">
        <f>IFERROR(__xludf.DUMMYFUNCTION("""COMPUTED_VALUE"""),"CLIENTE  SOLICITA LA ENTREGA INMEDITAA")</f>
        <v>CLIENTE  SOLICITA LA ENTREGA INMEDITAA</v>
      </c>
      <c r="AK842" s="65" t="str">
        <f>IFERROR(__xludf.DUMMYFUNCTION("""COMPUTED_VALUE"""),"13:24")</f>
        <v>13:24</v>
      </c>
      <c r="AL842" s="65" t="str">
        <f>IFERROR(__xludf.DUMMYFUNCTION("""COMPUTED_VALUE"""),"26-02-2026")</f>
        <v>26-02-2026</v>
      </c>
      <c r="AM842" s="65"/>
      <c r="AN842" s="65" t="str">
        <f>IFERROR(__xludf.DUMMYFUNCTION("""COMPUTED_VALUE"""),"11:17")</f>
        <v>11:17</v>
      </c>
      <c r="AO842" s="65" t="str">
        <f>IFERROR(__xludf.DUMMYFUNCTION("""COMPUTED_VALUE"""),"07-03-2026")</f>
        <v>07-03-2026</v>
      </c>
      <c r="AP842" s="65" t="str">
        <f>IFERROR(__xludf.DUMMYFUNCTION("""COMPUTED_VALUE"""),"DEV CONFIRMADA POR BODEGA")</f>
        <v>DEV CONFIRMADA POR BODEGA</v>
      </c>
      <c r="AQ842" s="65"/>
      <c r="AR842" s="65" t="str">
        <f>IFERROR(__xludf.DUMMYFUNCTION("""COMPUTED_VALUE"""),"Gestionado por: PROVEDIX DAMIAN, email:enviogratisdirecto@gmail.com, total de productos en la orden: 1")</f>
        <v>Gestionado por: PROVEDIX DAMIAN, email:enviogratisdirecto@gmail.com, total de productos en la orden: 1</v>
      </c>
      <c r="AS842" s="65"/>
      <c r="AT842" s="65" t="str">
        <f>IFERROR(__xludf.DUMMYFUNCTION("""COMPUTED_VALUE"""),"SHOPIFY")</f>
        <v>SHOPIFY</v>
      </c>
      <c r="AU842" s="65" t="str">
        <f>IFERROR(__xludf.DUMMYFUNCTION("""COMPUTED_VALUE"""),"IMPORTEX EC")</f>
        <v>IMPORTEX EC</v>
      </c>
      <c r="AV842" s="65" t="str">
        <f>IFERROR(__xludf.DUMMYFUNCTION("""COMPUTED_VALUE"""),"6498004893740")</f>
        <v>6498004893740</v>
      </c>
      <c r="AW842" s="65">
        <f>IFERROR(__xludf.DUMMYFUNCTION("""COMPUTED_VALUE"""),6045.0)</f>
        <v>6045</v>
      </c>
      <c r="AX842" s="65"/>
      <c r="AY842" s="65" t="str">
        <f>IFERROR(__xludf.DUMMYFUNCTION("""COMPUTED_VALUE"""),"13/02/2026")</f>
        <v>13/02/2026</v>
      </c>
      <c r="AZ842" s="65"/>
      <c r="BA842" s="65"/>
    </row>
    <row r="843">
      <c r="A843" s="65" t="str">
        <f>IFERROR(__xludf.DUMMYFUNCTION("""COMPUTED_VALUE"""),"27-03-2026")</f>
        <v>27-03-2026</v>
      </c>
      <c r="B843" s="65">
        <f>IFERROR(__xludf.DUMMYFUNCTION("""COMPUTED_VALUE"""),4487157.0)</f>
        <v>4487157</v>
      </c>
      <c r="C843" s="65" t="str">
        <f>IFERROR(__xludf.DUMMYFUNCTION("""COMPUTED_VALUE"""),"07:52")</f>
        <v>07:52</v>
      </c>
      <c r="D843" s="65" t="str">
        <f>IFERROR(__xludf.DUMMYFUNCTION("""COMPUTED_VALUE"""),"12-02-2026")</f>
        <v>12-02-2026</v>
      </c>
      <c r="E843" s="65" t="str">
        <f>IFERROR(__xludf.DUMMYFUNCTION("""COMPUTED_VALUE"""),"Peter Aichholzer")</f>
        <v>Peter Aichholzer</v>
      </c>
      <c r="F843" s="65" t="str">
        <f>IFERROR(__xludf.DUMMYFUNCTION("""COMPUTED_VALUE"""),"996215180")</f>
        <v>996215180</v>
      </c>
      <c r="G843" s="65"/>
      <c r="H843" s="65"/>
      <c r="I843" s="65"/>
      <c r="J843" s="65"/>
      <c r="K843" s="65" t="str">
        <f>IFERROR(__xludf.DUMMYFUNCTION("""COMPUTED_VALUE"""),"PENDIENTE CONFIRMACION")</f>
        <v>PENDIENTE CONFIRMACION</v>
      </c>
      <c r="L843" s="65" t="str">
        <f>IFERROR(__xludf.DUMMYFUNCTION("""COMPUTED_VALUE"""),"CON RECAUDO")</f>
        <v>CON RECAUDO</v>
      </c>
      <c r="M843" s="65" t="str">
        <f>IFERROR(__xludf.DUMMYFUNCTION("""COMPUTED_VALUE"""),"AZUAY")</f>
        <v>AZUAY</v>
      </c>
      <c r="N843" s="65" t="str">
        <f>IFERROR(__xludf.DUMMYFUNCTION("""COMPUTED_VALUE"""),"CUENCA")</f>
        <v>CUENCA</v>
      </c>
      <c r="O843" s="65" t="str">
        <f>IFERROR(__xludf.DUMMYFUNCTION("""COMPUTED_VALUE"""),"Camino s Misicata y Tarquino Cordero Exacto en el Semaforo Club Shogun -")</f>
        <v>Camino s Misicata y Tarquino Cordero Exacto en el Semaforo Club Shogun -</v>
      </c>
      <c r="P843" s="65"/>
      <c r="Q843" s="65" t="str">
        <f>IFERROR(__xludf.DUMMYFUNCTION("""COMPUTED_VALUE"""),"GINTRACOM")</f>
        <v>GINTRACOM</v>
      </c>
      <c r="R843" s="65">
        <f>IFERROR(__xludf.DUMMYFUNCTION("""COMPUTED_VALUE"""),27.0)</f>
        <v>27</v>
      </c>
      <c r="S843" s="65"/>
      <c r="T843" s="65">
        <f>IFERROR(__xludf.DUMMYFUNCTION("""COMPUTED_VALUE"""),6.03)</f>
        <v>6.03</v>
      </c>
      <c r="U843" s="65">
        <f>IFERROR(__xludf.DUMMYFUNCTION("""COMPUTED_VALUE"""),0.0)</f>
        <v>0</v>
      </c>
      <c r="V843" s="65">
        <f>IFERROR(__xludf.DUMMYFUNCTION("""COMPUTED_VALUE"""),0.0)</f>
        <v>0</v>
      </c>
      <c r="W843" s="65">
        <f>IFERROR(__xludf.DUMMYFUNCTION("""COMPUTED_VALUE"""),0.0)</f>
        <v>0</v>
      </c>
      <c r="X843" s="65">
        <f>IFERROR(__xludf.DUMMYFUNCTION("""COMPUTED_VALUE"""),2.6)</f>
        <v>2.6</v>
      </c>
      <c r="Y843" s="65">
        <f>IFERROR(__xludf.DUMMYFUNCTION("""COMPUTED_VALUE"""),7.8)</f>
        <v>7.8</v>
      </c>
      <c r="Z843" s="65">
        <f>IFERROR(__xludf.DUMMYFUNCTION("""COMPUTED_VALUE"""),121983.0)</f>
        <v>121983</v>
      </c>
      <c r="AA843" s="65" t="str">
        <f>IFERROR(__xludf.DUMMYFUNCTION("""COMPUTED_VALUE"""),"PROV-CHLLCF")</f>
        <v>PROV-CHLLCF</v>
      </c>
      <c r="AB843" s="65"/>
      <c r="AC843" s="65" t="str">
        <f>IFERROR(__xludf.DUMMYFUNCTION("""COMPUTED_VALUE"""),"CUCHILLO PARA CHEF")</f>
        <v>CUCHILLO PARA CHEF</v>
      </c>
      <c r="AD843" s="65"/>
      <c r="AE843" s="65">
        <f>IFERROR(__xludf.DUMMYFUNCTION("""COMPUTED_VALUE"""),3.0)</f>
        <v>3</v>
      </c>
      <c r="AF843" s="65"/>
      <c r="AG843" s="65"/>
      <c r="AH843" s="65"/>
      <c r="AI843" s="65"/>
      <c r="AJ843" s="65"/>
      <c r="AK843" s="65"/>
      <c r="AL843" s="65"/>
      <c r="AM843" s="65"/>
      <c r="AN843" s="65"/>
      <c r="AO843" s="65"/>
      <c r="AP843" s="65"/>
      <c r="AQ843" s="65"/>
      <c r="AR843" s="65"/>
      <c r="AS843" s="65"/>
      <c r="AT843" s="65" t="str">
        <f>IFERROR(__xludf.DUMMYFUNCTION("""COMPUTED_VALUE"""),"SHOPIFY")</f>
        <v>SHOPIFY</v>
      </c>
      <c r="AU843" s="65" t="str">
        <f>IFERROR(__xludf.DUMMYFUNCTION("""COMPUTED_VALUE"""),"IMPORTEX EC")</f>
        <v>IMPORTEX EC</v>
      </c>
      <c r="AV843" s="65" t="str">
        <f>IFERROR(__xludf.DUMMYFUNCTION("""COMPUTED_VALUE"""),"6497976614956")</f>
        <v>6497976614956</v>
      </c>
      <c r="AW843" s="65">
        <f>IFERROR(__xludf.DUMMYFUNCTION("""COMPUTED_VALUE"""),6044.0)</f>
        <v>6044</v>
      </c>
      <c r="AX843" s="65"/>
      <c r="AY843" s="65"/>
      <c r="AZ843" s="65"/>
      <c r="BA843" s="65"/>
    </row>
    <row r="844">
      <c r="A844" s="65" t="str">
        <f>IFERROR(__xludf.DUMMYFUNCTION("""COMPUTED_VALUE"""),"27-03-2026")</f>
        <v>27-03-2026</v>
      </c>
      <c r="B844" s="65">
        <f>IFERROR(__xludf.DUMMYFUNCTION("""COMPUTED_VALUE"""),4486979.0)</f>
        <v>4486979</v>
      </c>
      <c r="C844" s="65" t="str">
        <f>IFERROR(__xludf.DUMMYFUNCTION("""COMPUTED_VALUE"""),"07:35")</f>
        <v>07:35</v>
      </c>
      <c r="D844" s="65" t="str">
        <f>IFERROR(__xludf.DUMMYFUNCTION("""COMPUTED_VALUE"""),"12-02-2026")</f>
        <v>12-02-2026</v>
      </c>
      <c r="E844" s="65" t="str">
        <f>IFERROR(__xludf.DUMMYFUNCTION("""COMPUTED_VALUE"""),"Anita Maldonado")</f>
        <v>Anita Maldonado</v>
      </c>
      <c r="F844" s="65" t="str">
        <f>IFERROR(__xludf.DUMMYFUNCTION("""COMPUTED_VALUE"""),"994668487")</f>
        <v>994668487</v>
      </c>
      <c r="G844" s="65" t="str">
        <f>IFERROR(__xludf.DUMMYFUNCTION("""COMPUTED_VALUE"""),"silviam4677@hotmail.com")</f>
        <v>silviam4677@hotmail.com</v>
      </c>
      <c r="H844" s="65"/>
      <c r="I844" s="65"/>
      <c r="J844" s="65" t="str">
        <f>IFERROR(__xludf.DUMMYFUNCTION("""COMPUTED_VALUE"""),"D001324338")</f>
        <v>D001324338</v>
      </c>
      <c r="K844" s="65" t="str">
        <f>IFERROR(__xludf.DUMMYFUNCTION("""COMPUTED_VALUE"""),"DEVOLUCION")</f>
        <v>DEVOLUCION</v>
      </c>
      <c r="L844" s="65" t="str">
        <f>IFERROR(__xludf.DUMMYFUNCTION("""COMPUTED_VALUE"""),"CON RECAUDO")</f>
        <v>CON RECAUDO</v>
      </c>
      <c r="M844" s="65" t="str">
        <f>IFERROR(__xludf.DUMMYFUNCTION("""COMPUTED_VALUE"""),"PICHINCHA")</f>
        <v>PICHINCHA</v>
      </c>
      <c r="N844" s="65" t="str">
        <f>IFERROR(__xludf.DUMMYFUNCTION("""COMPUTED_VALUE"""),"QUITO")</f>
        <v>QUITO</v>
      </c>
      <c r="O844" s="65" t="str">
        <f>IFERROR(__xludf.DUMMYFUNCTION("""COMPUTED_VALUE"""),"Barrio San José de Cangahua, Sector La Roldos, calle San Francisco de Rumihurco, adoquinada, referencia: casa amarilla 3 pisos, portón azul, 2 casas abajo de la Iglesia de Cangahua")</f>
        <v>Barrio San José de Cangahua, Sector La Roldos, calle San Francisco de Rumihurco, adoquinada, referencia: casa amarilla 3 pisos, portón azul, 2 casas abajo de la Iglesia de Cangahua</v>
      </c>
      <c r="P844" s="65"/>
      <c r="Q844" s="65" t="str">
        <f>IFERROR(__xludf.DUMMYFUNCTION("""COMPUTED_VALUE"""),"GINTRACOM")</f>
        <v>GINTRACOM</v>
      </c>
      <c r="R844" s="65">
        <f>IFERROR(__xludf.DUMMYFUNCTION("""COMPUTED_VALUE"""),22.0)</f>
        <v>22</v>
      </c>
      <c r="S844" s="65"/>
      <c r="T844" s="65">
        <f>IFERROR(__xludf.DUMMYFUNCTION("""COMPUTED_VALUE"""),5.84)</f>
        <v>5.84</v>
      </c>
      <c r="U844" s="65">
        <f>IFERROR(__xludf.DUMMYFUNCTION("""COMPUTED_VALUE"""),0.0)</f>
        <v>0</v>
      </c>
      <c r="V844" s="65">
        <f>IFERROR(__xludf.DUMMYFUNCTION("""COMPUTED_VALUE"""),0.0)</f>
        <v>0</v>
      </c>
      <c r="W844" s="65">
        <f>IFERROR(__xludf.DUMMYFUNCTION("""COMPUTED_VALUE"""),0.0)</f>
        <v>0</v>
      </c>
      <c r="X844" s="65">
        <f>IFERROR(__xludf.DUMMYFUNCTION("""COMPUTED_VALUE"""),2.6)</f>
        <v>2.6</v>
      </c>
      <c r="Y844" s="65">
        <f>IFERROR(__xludf.DUMMYFUNCTION("""COMPUTED_VALUE"""),5.2)</f>
        <v>5.2</v>
      </c>
      <c r="Z844" s="65">
        <f>IFERROR(__xludf.DUMMYFUNCTION("""COMPUTED_VALUE"""),121983.0)</f>
        <v>121983</v>
      </c>
      <c r="AA844" s="65" t="str">
        <f>IFERROR(__xludf.DUMMYFUNCTION("""COMPUTED_VALUE"""),"PROV-CHLLCF")</f>
        <v>PROV-CHLLCF</v>
      </c>
      <c r="AB844" s="65"/>
      <c r="AC844" s="65" t="str">
        <f>IFERROR(__xludf.DUMMYFUNCTION("""COMPUTED_VALUE"""),"CUCHILLO PARA CHEF")</f>
        <v>CUCHILLO PARA CHEF</v>
      </c>
      <c r="AD844" s="65"/>
      <c r="AE844" s="65">
        <f>IFERROR(__xludf.DUMMYFUNCTION("""COMPUTED_VALUE"""),2.0)</f>
        <v>2</v>
      </c>
      <c r="AF844" s="65" t="str">
        <f>IFERROR(__xludf.DUMMYFUNCTION("""COMPUTED_VALUE"""),"DESTINATARIO INDICA QUE NO ES EL PRODUCTO QUE SOLICITÓ")</f>
        <v>DESTINATARIO INDICA QUE NO ES EL PRODUCTO QUE SOLICITÓ</v>
      </c>
      <c r="AG844" s="65" t="str">
        <f>IFERROR(__xludf.DUMMYFUNCTION("""COMPUTED_VALUE"""),"NO")</f>
        <v>NO</v>
      </c>
      <c r="AH844" s="65" t="str">
        <f>IFERROR(__xludf.DUMMYFUNCTION("""COMPUTED_VALUE"""),"13:10")</f>
        <v>13:10</v>
      </c>
      <c r="AI844" s="65" t="str">
        <f>IFERROR(__xludf.DUMMYFUNCTION("""COMPUTED_VALUE"""),"19-02-2026")</f>
        <v>19-02-2026</v>
      </c>
      <c r="AJ844" s="65"/>
      <c r="AK844" s="65"/>
      <c r="AL844" s="65"/>
      <c r="AM844" s="65"/>
      <c r="AN844" s="65" t="str">
        <f>IFERROR(__xludf.DUMMYFUNCTION("""COMPUTED_VALUE"""),"01:36")</f>
        <v>01:36</v>
      </c>
      <c r="AO844" s="65" t="str">
        <f>IFERROR(__xludf.DUMMYFUNCTION("""COMPUTED_VALUE"""),"09-03-2026")</f>
        <v>09-03-2026</v>
      </c>
      <c r="AP844" s="65" t="str">
        <f>IFERROR(__xludf.DUMMYFUNCTION("""COMPUTED_VALUE"""),"DEVOLUCIÓN ENTREGADA A ORIGEN")</f>
        <v>DEVOLUCIÓN ENTREGADA A ORIGEN</v>
      </c>
      <c r="AQ844" s="65" t="str">
        <f>IFERROR(__xludf.DUMMYFUNCTION("""COMPUTED_VALUE"""),"DEVOLUCIÓN ENTREGADA A ORIGEN")</f>
        <v>DEVOLUCIÓN ENTREGADA A ORIGEN</v>
      </c>
      <c r="AR844" s="65"/>
      <c r="AS844" s="65"/>
      <c r="AT844" s="65" t="str">
        <f>IFERROR(__xludf.DUMMYFUNCTION("""COMPUTED_VALUE"""),"SHOPIFY")</f>
        <v>SHOPIFY</v>
      </c>
      <c r="AU844" s="65" t="str">
        <f>IFERROR(__xludf.DUMMYFUNCTION("""COMPUTED_VALUE"""),"IMPORTEX EC")</f>
        <v>IMPORTEX EC</v>
      </c>
      <c r="AV844" s="65" t="str">
        <f>IFERROR(__xludf.DUMMYFUNCTION("""COMPUTED_VALUE"""),"6497956364332")</f>
        <v>6497956364332</v>
      </c>
      <c r="AW844" s="65">
        <f>IFERROR(__xludf.DUMMYFUNCTION("""COMPUTED_VALUE"""),6043.0)</f>
        <v>6043</v>
      </c>
      <c r="AX844" s="65"/>
      <c r="AY844" s="65" t="str">
        <f>IFERROR(__xludf.DUMMYFUNCTION("""COMPUTED_VALUE"""),"13/02/2026")</f>
        <v>13/02/2026</v>
      </c>
      <c r="AZ844" s="65"/>
      <c r="BA844" s="65"/>
    </row>
    <row r="845">
      <c r="A845" s="65" t="str">
        <f>IFERROR(__xludf.DUMMYFUNCTION("""COMPUTED_VALUE"""),"27-03-2026")</f>
        <v>27-03-2026</v>
      </c>
      <c r="B845" s="65">
        <f>IFERROR(__xludf.DUMMYFUNCTION("""COMPUTED_VALUE"""),4486805.0)</f>
        <v>4486805</v>
      </c>
      <c r="C845" s="65" t="str">
        <f>IFERROR(__xludf.DUMMYFUNCTION("""COMPUTED_VALUE"""),"07:16")</f>
        <v>07:16</v>
      </c>
      <c r="D845" s="65" t="str">
        <f>IFERROR(__xludf.DUMMYFUNCTION("""COMPUTED_VALUE"""),"12-02-2026")</f>
        <v>12-02-2026</v>
      </c>
      <c r="E845" s="65" t="str">
        <f>IFERROR(__xludf.DUMMYFUNCTION("""COMPUTED_VALUE"""),"Carlos De la cruz")</f>
        <v>Carlos De la cruz</v>
      </c>
      <c r="F845" s="65" t="str">
        <f>IFERROR(__xludf.DUMMYFUNCTION("""COMPUTED_VALUE"""),"999462548")</f>
        <v>999462548</v>
      </c>
      <c r="G845" s="65" t="str">
        <f>IFERROR(__xludf.DUMMYFUNCTION("""COMPUTED_VALUE"""),"carlos2004beijing@yahoo.es")</f>
        <v>carlos2004beijing@yahoo.es</v>
      </c>
      <c r="H845" s="65"/>
      <c r="I845" s="65"/>
      <c r="J845" s="65" t="str">
        <f>IFERROR(__xludf.DUMMYFUNCTION("""COMPUTED_VALUE"""),"D001324339")</f>
        <v>D001324339</v>
      </c>
      <c r="K845" s="65" t="str">
        <f>IFERROR(__xludf.DUMMYFUNCTION("""COMPUTED_VALUE"""),"ENTREGADO")</f>
        <v>ENTREGADO</v>
      </c>
      <c r="L845" s="65" t="str">
        <f>IFERROR(__xludf.DUMMYFUNCTION("""COMPUTED_VALUE"""),"CON RECAUDO")</f>
        <v>CON RECAUDO</v>
      </c>
      <c r="M845" s="65" t="str">
        <f>IFERROR(__xludf.DUMMYFUNCTION("""COMPUTED_VALUE"""),"PICHINCHA")</f>
        <v>PICHINCHA</v>
      </c>
      <c r="N845" s="65" t="str">
        <f>IFERROR(__xludf.DUMMYFUNCTION("""COMPUTED_VALUE"""),"SANGOLQUI")</f>
        <v>SANGOLQUI</v>
      </c>
      <c r="O845" s="65" t="str">
        <f>IFERROR(__xludf.DUMMYFUNCTION("""COMPUTED_VALUE"""),"Sarahurco n 86 y García moreno Santa rosa - sangolqui Pichincha a una cuadra de la iglesia del cabre.")</f>
        <v>Sarahurco n 86 y García moreno Santa rosa - sangolqui Pichincha a una cuadra de la iglesia del cabre.</v>
      </c>
      <c r="P845" s="65"/>
      <c r="Q845" s="65" t="str">
        <f>IFERROR(__xludf.DUMMYFUNCTION("""COMPUTED_VALUE"""),"GINTRACOM")</f>
        <v>GINTRACOM</v>
      </c>
      <c r="R845" s="65">
        <f>IFERROR(__xludf.DUMMYFUNCTION("""COMPUTED_VALUE"""),32.0)</f>
        <v>32</v>
      </c>
      <c r="S845" s="65">
        <f>IFERROR(__xludf.DUMMYFUNCTION("""COMPUTED_VALUE"""),15.36)</f>
        <v>15.36</v>
      </c>
      <c r="T845" s="65">
        <f>IFERROR(__xludf.DUMMYFUNCTION("""COMPUTED_VALUE"""),6.24)</f>
        <v>6.24</v>
      </c>
      <c r="U845" s="65">
        <f>IFERROR(__xludf.DUMMYFUNCTION("""COMPUTED_VALUE"""),0.0)</f>
        <v>0</v>
      </c>
      <c r="V845" s="65">
        <f>IFERROR(__xludf.DUMMYFUNCTION("""COMPUTED_VALUE"""),0.0)</f>
        <v>0</v>
      </c>
      <c r="W845" s="65">
        <f>IFERROR(__xludf.DUMMYFUNCTION("""COMPUTED_VALUE"""),0.0)</f>
        <v>0</v>
      </c>
      <c r="X845" s="65">
        <f>IFERROR(__xludf.DUMMYFUNCTION("""COMPUTED_VALUE"""),2.6)</f>
        <v>2.6</v>
      </c>
      <c r="Y845" s="65">
        <f>IFERROR(__xludf.DUMMYFUNCTION("""COMPUTED_VALUE"""),10.4)</f>
        <v>10.4</v>
      </c>
      <c r="Z845" s="65">
        <f>IFERROR(__xludf.DUMMYFUNCTION("""COMPUTED_VALUE"""),121983.0)</f>
        <v>121983</v>
      </c>
      <c r="AA845" s="65" t="str">
        <f>IFERROR(__xludf.DUMMYFUNCTION("""COMPUTED_VALUE"""),"PROV-CHLLCF")</f>
        <v>PROV-CHLLCF</v>
      </c>
      <c r="AB845" s="65"/>
      <c r="AC845" s="65" t="str">
        <f>IFERROR(__xludf.DUMMYFUNCTION("""COMPUTED_VALUE"""),"CUCHILLO PARA CHEF")</f>
        <v>CUCHILLO PARA CHEF</v>
      </c>
      <c r="AD845" s="65"/>
      <c r="AE845" s="65">
        <f>IFERROR(__xludf.DUMMYFUNCTION("""COMPUTED_VALUE"""),4.0)</f>
        <v>4</v>
      </c>
      <c r="AF845" s="65"/>
      <c r="AG845" s="65"/>
      <c r="AH845" s="65"/>
      <c r="AI845" s="65"/>
      <c r="AJ845" s="65"/>
      <c r="AK845" s="65"/>
      <c r="AL845" s="65"/>
      <c r="AM845" s="65"/>
      <c r="AN845" s="65" t="str">
        <f>IFERROR(__xludf.DUMMYFUNCTION("""COMPUTED_VALUE"""),"08:44")</f>
        <v>08:44</v>
      </c>
      <c r="AO845" s="65" t="str">
        <f>IFERROR(__xludf.DUMMYFUNCTION("""COMPUTED_VALUE"""),"17-02-2026")</f>
        <v>17-02-2026</v>
      </c>
      <c r="AP845" s="65" t="str">
        <f>IFERROR(__xludf.DUMMYFUNCTION("""COMPUTED_VALUE"""),"EN REPARTO")</f>
        <v>EN REPARTO</v>
      </c>
      <c r="AQ845" s="65" t="str">
        <f>IFERROR(__xludf.DUMMYFUNCTION("""COMPUTED_VALUE"""),"EN REPARTO")</f>
        <v>EN REPARTO</v>
      </c>
      <c r="AR845" s="65"/>
      <c r="AS845" s="65"/>
      <c r="AT845" s="65" t="str">
        <f>IFERROR(__xludf.DUMMYFUNCTION("""COMPUTED_VALUE"""),"SHOPIFY")</f>
        <v>SHOPIFY</v>
      </c>
      <c r="AU845" s="65" t="str">
        <f>IFERROR(__xludf.DUMMYFUNCTION("""COMPUTED_VALUE"""),"IMPORTEX EC")</f>
        <v>IMPORTEX EC</v>
      </c>
      <c r="AV845" s="65" t="str">
        <f>IFERROR(__xludf.DUMMYFUNCTION("""COMPUTED_VALUE"""),"6497934245932")</f>
        <v>6497934245932</v>
      </c>
      <c r="AW845" s="65">
        <f>IFERROR(__xludf.DUMMYFUNCTION("""COMPUTED_VALUE"""),6042.0)</f>
        <v>6042</v>
      </c>
      <c r="AX845" s="65"/>
      <c r="AY845" s="65" t="str">
        <f>IFERROR(__xludf.DUMMYFUNCTION("""COMPUTED_VALUE"""),"13/02/2026")</f>
        <v>13/02/2026</v>
      </c>
      <c r="AZ845" s="65"/>
      <c r="BA845" s="65"/>
    </row>
    <row r="846">
      <c r="A846" s="65" t="str">
        <f>IFERROR(__xludf.DUMMYFUNCTION("""COMPUTED_VALUE"""),"27-03-2026")</f>
        <v>27-03-2026</v>
      </c>
      <c r="B846" s="65">
        <f>IFERROR(__xludf.DUMMYFUNCTION("""COMPUTED_VALUE"""),4486712.0)</f>
        <v>4486712</v>
      </c>
      <c r="C846" s="65" t="str">
        <f>IFERROR(__xludf.DUMMYFUNCTION("""COMPUTED_VALUE"""),"07:07")</f>
        <v>07:07</v>
      </c>
      <c r="D846" s="65" t="str">
        <f>IFERROR(__xludf.DUMMYFUNCTION("""COMPUTED_VALUE"""),"12-02-2026")</f>
        <v>12-02-2026</v>
      </c>
      <c r="E846" s="65" t="str">
        <f>IFERROR(__xludf.DUMMYFUNCTION("""COMPUTED_VALUE"""),"Ricardo Solis Nogales")</f>
        <v>Ricardo Solis Nogales</v>
      </c>
      <c r="F846" s="65" t="str">
        <f>IFERROR(__xludf.DUMMYFUNCTION("""COMPUTED_VALUE"""),"991039285")</f>
        <v>991039285</v>
      </c>
      <c r="G846" s="65" t="str">
        <f>IFERROR(__xludf.DUMMYFUNCTION("""COMPUTED_VALUE"""),"ricardosolisnogales@gmail.com")</f>
        <v>ricardosolisnogales@gmail.com</v>
      </c>
      <c r="H846" s="65"/>
      <c r="I846" s="65"/>
      <c r="J846" s="65" t="str">
        <f>IFERROR(__xludf.DUMMYFUNCTION("""COMPUTED_VALUE"""),"D001324340")</f>
        <v>D001324340</v>
      </c>
      <c r="K846" s="65" t="str">
        <f>IFERROR(__xludf.DUMMYFUNCTION("""COMPUTED_VALUE"""),"DEVOLUCION")</f>
        <v>DEVOLUCION</v>
      </c>
      <c r="L846" s="65" t="str">
        <f>IFERROR(__xludf.DUMMYFUNCTION("""COMPUTED_VALUE"""),"CON RECAUDO")</f>
        <v>CON RECAUDO</v>
      </c>
      <c r="M846" s="65" t="str">
        <f>IFERROR(__xludf.DUMMYFUNCTION("""COMPUTED_VALUE"""),"GUAYAS")</f>
        <v>GUAYAS</v>
      </c>
      <c r="N846" s="65" t="str">
        <f>IFERROR(__xludf.DUMMYFUNCTION("""COMPUTED_VALUE"""),"GUAYAQUIL")</f>
        <v>GUAYAQUIL</v>
      </c>
      <c r="O846" s="65" t="str">
        <f>IFERROR(__xludf.DUMMYFUNCTION("""COMPUTED_VALUE"""),"Av Francisco de Orellana ñ, edificio de CLARO Diagoonal a Movistar - Junto a Casa Res de la Francísco de Orellana")</f>
        <v>Av Francisco de Orellana ñ, edificio de CLARO Diagoonal a Movistar - Junto a Casa Res de la Francísco de Orellana</v>
      </c>
      <c r="P846" s="65"/>
      <c r="Q846" s="65" t="str">
        <f>IFERROR(__xludf.DUMMYFUNCTION("""COMPUTED_VALUE"""),"GINTRACOM")</f>
        <v>GINTRACOM</v>
      </c>
      <c r="R846" s="65">
        <f>IFERROR(__xludf.DUMMYFUNCTION("""COMPUTED_VALUE"""),30.0)</f>
        <v>30</v>
      </c>
      <c r="S846" s="65"/>
      <c r="T846" s="65">
        <f>IFERROR(__xludf.DUMMYFUNCTION("""COMPUTED_VALUE"""),4.55)</f>
        <v>4.55</v>
      </c>
      <c r="U846" s="65">
        <f>IFERROR(__xludf.DUMMYFUNCTION("""COMPUTED_VALUE"""),0.0)</f>
        <v>0</v>
      </c>
      <c r="V846" s="65">
        <f>IFERROR(__xludf.DUMMYFUNCTION("""COMPUTED_VALUE"""),0.0)</f>
        <v>0</v>
      </c>
      <c r="W846" s="65">
        <f>IFERROR(__xludf.DUMMYFUNCTION("""COMPUTED_VALUE"""),0.0)</f>
        <v>0</v>
      </c>
      <c r="X846" s="65">
        <f>IFERROR(__xludf.DUMMYFUNCTION("""COMPUTED_VALUE"""),2.4)</f>
        <v>2.4</v>
      </c>
      <c r="Y846" s="65">
        <f>IFERROR(__xludf.DUMMYFUNCTION("""COMPUTED_VALUE"""),7.2)</f>
        <v>7.2</v>
      </c>
      <c r="Z846" s="65">
        <f>IFERROR(__xludf.DUMMYFUNCTION("""COMPUTED_VALUE"""),120732.0)</f>
        <v>120732</v>
      </c>
      <c r="AA846" s="65" t="str">
        <f>IFERROR(__xludf.DUMMYFUNCTION("""COMPUTED_VALUE"""),"PROV-LMPVT")</f>
        <v>PROV-LMPVT</v>
      </c>
      <c r="AB846" s="65"/>
      <c r="AC846" s="65" t="str">
        <f>IFERROR(__xludf.DUMMYFUNCTION("""COMPUTED_VALUE"""),"LIMPIADOR DE PARABRISAS Y VENTANAS")</f>
        <v>LIMPIADOR DE PARABRISAS Y VENTANAS</v>
      </c>
      <c r="AD846" s="65"/>
      <c r="AE846" s="65">
        <f>IFERROR(__xludf.DUMMYFUNCTION("""COMPUTED_VALUE"""),3.0)</f>
        <v>3</v>
      </c>
      <c r="AF846" s="65" t="str">
        <f>IFERROR(__xludf.DUMMYFUNCTION("""COMPUTED_VALUE"""),"DESTINATARIO NO CONTESTA LLAMADAS NI WHATSAPP")</f>
        <v>DESTINATARIO NO CONTESTA LLAMADAS NI WHATSAPP</v>
      </c>
      <c r="AG846" s="65" t="str">
        <f>IFERROR(__xludf.DUMMYFUNCTION("""COMPUTED_VALUE"""),"SI")</f>
        <v>SI</v>
      </c>
      <c r="AH846" s="65" t="str">
        <f>IFERROR(__xludf.DUMMYFUNCTION("""COMPUTED_VALUE"""),"09:00")</f>
        <v>09:00</v>
      </c>
      <c r="AI846" s="65" t="str">
        <f>IFERROR(__xludf.DUMMYFUNCTION("""COMPUTED_VALUE"""),"22-02-2026")</f>
        <v>22-02-2026</v>
      </c>
      <c r="AJ846" s="65" t="str">
        <f>IFERROR(__xludf.DUMMYFUNCTION("""COMPUTED_VALUE"""),"CLIENTE SOLICITA LA ENTREGA INMEDIATA")</f>
        <v>CLIENTE SOLICITA LA ENTREGA INMEDIATA</v>
      </c>
      <c r="AK846" s="65" t="str">
        <f>IFERROR(__xludf.DUMMYFUNCTION("""COMPUTED_VALUE"""),"11:32")</f>
        <v>11:32</v>
      </c>
      <c r="AL846" s="65" t="str">
        <f>IFERROR(__xludf.DUMMYFUNCTION("""COMPUTED_VALUE"""),"24-02-2026")</f>
        <v>24-02-2026</v>
      </c>
      <c r="AM846" s="65"/>
      <c r="AN846" s="65" t="str">
        <f>IFERROR(__xludf.DUMMYFUNCTION("""COMPUTED_VALUE"""),"01:36")</f>
        <v>01:36</v>
      </c>
      <c r="AO846" s="65" t="str">
        <f>IFERROR(__xludf.DUMMYFUNCTION("""COMPUTED_VALUE"""),"09-03-2026")</f>
        <v>09-03-2026</v>
      </c>
      <c r="AP846" s="65" t="str">
        <f>IFERROR(__xludf.DUMMYFUNCTION("""COMPUTED_VALUE"""),"DEVOLUCIÓN ENTREGADA A ORIGEN")</f>
        <v>DEVOLUCIÓN ENTREGADA A ORIGEN</v>
      </c>
      <c r="AQ846" s="65" t="str">
        <f>IFERROR(__xludf.DUMMYFUNCTION("""COMPUTED_VALUE"""),"DEVOLUCIÓN ENTREGADA A ORIGEN")</f>
        <v>DEVOLUCIÓN ENTREGADA A ORIGEN</v>
      </c>
      <c r="AR846" s="65"/>
      <c r="AS846" s="65"/>
      <c r="AT846" s="65" t="str">
        <f>IFERROR(__xludf.DUMMYFUNCTION("""COMPUTED_VALUE"""),"SHOPIFY")</f>
        <v>SHOPIFY</v>
      </c>
      <c r="AU846" s="65" t="str">
        <f>IFERROR(__xludf.DUMMYFUNCTION("""COMPUTED_VALUE"""),"IMPORTEX EC")</f>
        <v>IMPORTEX EC</v>
      </c>
      <c r="AV846" s="65" t="str">
        <f>IFERROR(__xludf.DUMMYFUNCTION("""COMPUTED_VALUE"""),"6497924251692")</f>
        <v>6497924251692</v>
      </c>
      <c r="AW846" s="65">
        <f>IFERROR(__xludf.DUMMYFUNCTION("""COMPUTED_VALUE"""),6041.0)</f>
        <v>6041</v>
      </c>
      <c r="AX846" s="65"/>
      <c r="AY846" s="65" t="str">
        <f>IFERROR(__xludf.DUMMYFUNCTION("""COMPUTED_VALUE"""),"13/02/2026")</f>
        <v>13/02/2026</v>
      </c>
      <c r="AZ846" s="65"/>
      <c r="BA846" s="65"/>
    </row>
    <row r="847">
      <c r="A847" s="65" t="str">
        <f>IFERROR(__xludf.DUMMYFUNCTION("""COMPUTED_VALUE"""),"27-03-2026")</f>
        <v>27-03-2026</v>
      </c>
      <c r="B847" s="65">
        <f>IFERROR(__xludf.DUMMYFUNCTION("""COMPUTED_VALUE"""),4486574.0)</f>
        <v>4486574</v>
      </c>
      <c r="C847" s="65" t="str">
        <f>IFERROR(__xludf.DUMMYFUNCTION("""COMPUTED_VALUE"""),"06:57")</f>
        <v>06:57</v>
      </c>
      <c r="D847" s="65" t="str">
        <f>IFERROR(__xludf.DUMMYFUNCTION("""COMPUTED_VALUE"""),"12-02-2026")</f>
        <v>12-02-2026</v>
      </c>
      <c r="E847" s="65" t="str">
        <f>IFERROR(__xludf.DUMMYFUNCTION("""COMPUTED_VALUE"""),"Graciela Mendoza")</f>
        <v>Graciela Mendoza</v>
      </c>
      <c r="F847" s="65" t="str">
        <f>IFERROR(__xludf.DUMMYFUNCTION("""COMPUTED_VALUE"""),"995002865")</f>
        <v>995002865</v>
      </c>
      <c r="G847" s="65" t="str">
        <f>IFERROR(__xludf.DUMMYFUNCTION("""COMPUTED_VALUE"""),"gracielamendoza2704@hotmail.com")</f>
        <v>gracielamendoza2704@hotmail.com</v>
      </c>
      <c r="H847" s="65"/>
      <c r="I847" s="65"/>
      <c r="J847" s="65" t="str">
        <f>IFERROR(__xludf.DUMMYFUNCTION("""COMPUTED_VALUE"""),"D001324342")</f>
        <v>D001324342</v>
      </c>
      <c r="K847" s="65" t="str">
        <f>IFERROR(__xludf.DUMMYFUNCTION("""COMPUTED_VALUE"""),"DEVOLUCION")</f>
        <v>DEVOLUCION</v>
      </c>
      <c r="L847" s="65" t="str">
        <f>IFERROR(__xludf.DUMMYFUNCTION("""COMPUTED_VALUE"""),"CON RECAUDO")</f>
        <v>CON RECAUDO</v>
      </c>
      <c r="M847" s="65" t="str">
        <f>IFERROR(__xludf.DUMMYFUNCTION("""COMPUTED_VALUE"""),"GUAYAS")</f>
        <v>GUAYAS</v>
      </c>
      <c r="N847" s="65" t="str">
        <f>IFERROR(__xludf.DUMMYFUNCTION("""COMPUTED_VALUE"""),"SAMBORONDON")</f>
        <v>SAMBORONDON</v>
      </c>
      <c r="O847" s="65" t="str">
        <f>IFERROR(__xludf.DUMMYFUNCTION("""COMPUTED_VALUE"""),"Aquamarina Km 0.5 Via Samborondon Isla Quinta Villa 108 -")</f>
        <v>Aquamarina Km 0.5 Via Samborondon Isla Quinta Villa 108 -</v>
      </c>
      <c r="P847" s="65"/>
      <c r="Q847" s="65" t="str">
        <f>IFERROR(__xludf.DUMMYFUNCTION("""COMPUTED_VALUE"""),"GINTRACOM")</f>
        <v>GINTRACOM</v>
      </c>
      <c r="R847" s="65">
        <f>IFERROR(__xludf.DUMMYFUNCTION("""COMPUTED_VALUE"""),30.0)</f>
        <v>30</v>
      </c>
      <c r="S847" s="65"/>
      <c r="T847" s="65">
        <f>IFERROR(__xludf.DUMMYFUNCTION("""COMPUTED_VALUE"""),5.58)</f>
        <v>5.58</v>
      </c>
      <c r="U847" s="65">
        <f>IFERROR(__xludf.DUMMYFUNCTION("""COMPUTED_VALUE"""),0.0)</f>
        <v>0</v>
      </c>
      <c r="V847" s="65">
        <f>IFERROR(__xludf.DUMMYFUNCTION("""COMPUTED_VALUE"""),0.0)</f>
        <v>0</v>
      </c>
      <c r="W847" s="65">
        <f>IFERROR(__xludf.DUMMYFUNCTION("""COMPUTED_VALUE"""),0.0)</f>
        <v>0</v>
      </c>
      <c r="X847" s="65">
        <f>IFERROR(__xludf.DUMMYFUNCTION("""COMPUTED_VALUE"""),2.4)</f>
        <v>2.4</v>
      </c>
      <c r="Y847" s="65">
        <f>IFERROR(__xludf.DUMMYFUNCTION("""COMPUTED_VALUE"""),7.2)</f>
        <v>7.2</v>
      </c>
      <c r="Z847" s="65">
        <f>IFERROR(__xludf.DUMMYFUNCTION("""COMPUTED_VALUE"""),120732.0)</f>
        <v>120732</v>
      </c>
      <c r="AA847" s="65" t="str">
        <f>IFERROR(__xludf.DUMMYFUNCTION("""COMPUTED_VALUE"""),"PROV-LMPVT")</f>
        <v>PROV-LMPVT</v>
      </c>
      <c r="AB847" s="65"/>
      <c r="AC847" s="65" t="str">
        <f>IFERROR(__xludf.DUMMYFUNCTION("""COMPUTED_VALUE"""),"LIMPIADOR DE PARABRISAS Y VENTANAS")</f>
        <v>LIMPIADOR DE PARABRISAS Y VENTANAS</v>
      </c>
      <c r="AD847" s="65"/>
      <c r="AE847" s="65">
        <f>IFERROR(__xludf.DUMMYFUNCTION("""COMPUTED_VALUE"""),3.0)</f>
        <v>3</v>
      </c>
      <c r="AF847" s="65" t="str">
        <f>IFERROR(__xludf.DUMMYFUNCTION("""COMPUTED_VALUE"""),"DESTINATARIO INDICA QUE YA NO DESEA EL PRODUCTO")</f>
        <v>DESTINATARIO INDICA QUE YA NO DESEA EL PRODUCTO</v>
      </c>
      <c r="AG847" s="65" t="str">
        <f>IFERROR(__xludf.DUMMYFUNCTION("""COMPUTED_VALUE"""),"NO")</f>
        <v>NO</v>
      </c>
      <c r="AH847" s="65" t="str">
        <f>IFERROR(__xludf.DUMMYFUNCTION("""COMPUTED_VALUE"""),"15:33")</f>
        <v>15:33</v>
      </c>
      <c r="AI847" s="65" t="str">
        <f>IFERROR(__xludf.DUMMYFUNCTION("""COMPUTED_VALUE"""),"13-02-2026")</f>
        <v>13-02-2026</v>
      </c>
      <c r="AJ847" s="65"/>
      <c r="AK847" s="65"/>
      <c r="AL847" s="65"/>
      <c r="AM847" s="65"/>
      <c r="AN847" s="65" t="str">
        <f>IFERROR(__xludf.DUMMYFUNCTION("""COMPUTED_VALUE"""),"01:35")</f>
        <v>01:35</v>
      </c>
      <c r="AO847" s="65" t="str">
        <f>IFERROR(__xludf.DUMMYFUNCTION("""COMPUTED_VALUE"""),"06-03-2026")</f>
        <v>06-03-2026</v>
      </c>
      <c r="AP847" s="65" t="str">
        <f>IFERROR(__xludf.DUMMYFUNCTION("""COMPUTED_VALUE"""),"DEVOLUCIÓN ENTREGADA A ORIGEN")</f>
        <v>DEVOLUCIÓN ENTREGADA A ORIGEN</v>
      </c>
      <c r="AQ847" s="65" t="str">
        <f>IFERROR(__xludf.DUMMYFUNCTION("""COMPUTED_VALUE"""),"DEVOLUCIÓN ENTREGADA A ORIGEN")</f>
        <v>DEVOLUCIÓN ENTREGADA A ORIGEN</v>
      </c>
      <c r="AR847" s="65"/>
      <c r="AS847" s="65"/>
      <c r="AT847" s="65" t="str">
        <f>IFERROR(__xludf.DUMMYFUNCTION("""COMPUTED_VALUE"""),"SHOPIFY")</f>
        <v>SHOPIFY</v>
      </c>
      <c r="AU847" s="65" t="str">
        <f>IFERROR(__xludf.DUMMYFUNCTION("""COMPUTED_VALUE"""),"IMPORTEX EC")</f>
        <v>IMPORTEX EC</v>
      </c>
      <c r="AV847" s="65" t="str">
        <f>IFERROR(__xludf.DUMMYFUNCTION("""COMPUTED_VALUE"""),"6497913077804")</f>
        <v>6497913077804</v>
      </c>
      <c r="AW847" s="65">
        <f>IFERROR(__xludf.DUMMYFUNCTION("""COMPUTED_VALUE"""),6040.0)</f>
        <v>6040</v>
      </c>
      <c r="AX847" s="65"/>
      <c r="AY847" s="65" t="str">
        <f>IFERROR(__xludf.DUMMYFUNCTION("""COMPUTED_VALUE"""),"13/02/2026")</f>
        <v>13/02/2026</v>
      </c>
      <c r="AZ847" s="65"/>
      <c r="BA847" s="65"/>
    </row>
    <row r="848">
      <c r="A848" s="65" t="str">
        <f>IFERROR(__xludf.DUMMYFUNCTION("""COMPUTED_VALUE"""),"27-03-2026")</f>
        <v>27-03-2026</v>
      </c>
      <c r="B848" s="65">
        <f>IFERROR(__xludf.DUMMYFUNCTION("""COMPUTED_VALUE"""),4486547.0)</f>
        <v>4486547</v>
      </c>
      <c r="C848" s="65" t="str">
        <f>IFERROR(__xludf.DUMMYFUNCTION("""COMPUTED_VALUE"""),"06:56")</f>
        <v>06:56</v>
      </c>
      <c r="D848" s="65" t="str">
        <f>IFERROR(__xludf.DUMMYFUNCTION("""COMPUTED_VALUE"""),"12-02-2026")</f>
        <v>12-02-2026</v>
      </c>
      <c r="E848" s="65" t="str">
        <f>IFERROR(__xludf.DUMMYFUNCTION("""COMPUTED_VALUE"""),"Mario Nunez")</f>
        <v>Mario Nunez</v>
      </c>
      <c r="F848" s="65" t="str">
        <f>IFERROR(__xludf.DUMMYFUNCTION("""COMPUTED_VALUE"""),"983029548")</f>
        <v>983029548</v>
      </c>
      <c r="G848" s="65" t="str">
        <f>IFERROR(__xludf.DUMMYFUNCTION("""COMPUTED_VALUE"""),"mario.andres89@gmail.com")</f>
        <v>mario.andres89@gmail.com</v>
      </c>
      <c r="H848" s="65"/>
      <c r="I848" s="65"/>
      <c r="J848" s="65"/>
      <c r="K848" s="65" t="str">
        <f>IFERROR(__xludf.DUMMYFUNCTION("""COMPUTED_VALUE"""),"PENDIENTE CONFIRMACION")</f>
        <v>PENDIENTE CONFIRMACION</v>
      </c>
      <c r="L848" s="65" t="str">
        <f>IFERROR(__xludf.DUMMYFUNCTION("""COMPUTED_VALUE"""),"CON RECAUDO")</f>
        <v>CON RECAUDO</v>
      </c>
      <c r="M848" s="65" t="str">
        <f>IFERROR(__xludf.DUMMYFUNCTION("""COMPUTED_VALUE"""),"GUAYAS")</f>
        <v>GUAYAS</v>
      </c>
      <c r="N848" s="65" t="str">
        <f>IFERROR(__xludf.DUMMYFUNCTION("""COMPUTED_VALUE"""),"GUAYAQUIL")</f>
        <v>GUAYAQUIL</v>
      </c>
      <c r="O848" s="65" t="str">
        <f>IFERROR(__xludf.DUMMYFUNCTION("""COMPUTED_VALUE"""),"Urb Bosques de la costa Mz 190 solar 02 Km 8.5 vía a la costa -")</f>
        <v>Urb Bosques de la costa Mz 190 solar 02 Km 8.5 vía a la costa -</v>
      </c>
      <c r="P848" s="65"/>
      <c r="Q848" s="65" t="str">
        <f>IFERROR(__xludf.DUMMYFUNCTION("""COMPUTED_VALUE"""),"GINTRACOM")</f>
        <v>GINTRACOM</v>
      </c>
      <c r="R848" s="65">
        <f>IFERROR(__xludf.DUMMYFUNCTION("""COMPUTED_VALUE"""),30.0)</f>
        <v>30</v>
      </c>
      <c r="S848" s="65"/>
      <c r="T848" s="65">
        <f>IFERROR(__xludf.DUMMYFUNCTION("""COMPUTED_VALUE"""),4.55)</f>
        <v>4.55</v>
      </c>
      <c r="U848" s="65">
        <f>IFERROR(__xludf.DUMMYFUNCTION("""COMPUTED_VALUE"""),0.0)</f>
        <v>0</v>
      </c>
      <c r="V848" s="65">
        <f>IFERROR(__xludf.DUMMYFUNCTION("""COMPUTED_VALUE"""),0.0)</f>
        <v>0</v>
      </c>
      <c r="W848" s="65">
        <f>IFERROR(__xludf.DUMMYFUNCTION("""COMPUTED_VALUE"""),0.0)</f>
        <v>0</v>
      </c>
      <c r="X848" s="65">
        <f>IFERROR(__xludf.DUMMYFUNCTION("""COMPUTED_VALUE"""),2.4)</f>
        <v>2.4</v>
      </c>
      <c r="Y848" s="65">
        <f>IFERROR(__xludf.DUMMYFUNCTION("""COMPUTED_VALUE"""),7.2)</f>
        <v>7.2</v>
      </c>
      <c r="Z848" s="65">
        <f>IFERROR(__xludf.DUMMYFUNCTION("""COMPUTED_VALUE"""),120732.0)</f>
        <v>120732</v>
      </c>
      <c r="AA848" s="65" t="str">
        <f>IFERROR(__xludf.DUMMYFUNCTION("""COMPUTED_VALUE"""),"PROV-LMPVT")</f>
        <v>PROV-LMPVT</v>
      </c>
      <c r="AB848" s="65"/>
      <c r="AC848" s="65" t="str">
        <f>IFERROR(__xludf.DUMMYFUNCTION("""COMPUTED_VALUE"""),"LIMPIADOR DE PARABRISAS Y VENTANAS")</f>
        <v>LIMPIADOR DE PARABRISAS Y VENTANAS</v>
      </c>
      <c r="AD848" s="65"/>
      <c r="AE848" s="65">
        <f>IFERROR(__xludf.DUMMYFUNCTION("""COMPUTED_VALUE"""),3.0)</f>
        <v>3</v>
      </c>
      <c r="AF848" s="65"/>
      <c r="AG848" s="65"/>
      <c r="AH848" s="65"/>
      <c r="AI848" s="65"/>
      <c r="AJ848" s="65"/>
      <c r="AK848" s="65"/>
      <c r="AL848" s="65"/>
      <c r="AM848" s="65"/>
      <c r="AN848" s="65"/>
      <c r="AO848" s="65"/>
      <c r="AP848" s="65"/>
      <c r="AQ848" s="65"/>
      <c r="AR848" s="65"/>
      <c r="AS848" s="65"/>
      <c r="AT848" s="65" t="str">
        <f>IFERROR(__xludf.DUMMYFUNCTION("""COMPUTED_VALUE"""),"SHOPIFY")</f>
        <v>SHOPIFY</v>
      </c>
      <c r="AU848" s="65" t="str">
        <f>IFERROR(__xludf.DUMMYFUNCTION("""COMPUTED_VALUE"""),"IMPORTEX EC")</f>
        <v>IMPORTEX EC</v>
      </c>
      <c r="AV848" s="65" t="str">
        <f>IFERROR(__xludf.DUMMYFUNCTION("""COMPUTED_VALUE"""),"6497911603244")</f>
        <v>6497911603244</v>
      </c>
      <c r="AW848" s="65">
        <f>IFERROR(__xludf.DUMMYFUNCTION("""COMPUTED_VALUE"""),6039.0)</f>
        <v>6039</v>
      </c>
      <c r="AX848" s="65"/>
      <c r="AY848" s="65"/>
      <c r="AZ848" s="65"/>
      <c r="BA848" s="65"/>
    </row>
    <row r="849">
      <c r="A849" s="65" t="str">
        <f>IFERROR(__xludf.DUMMYFUNCTION("""COMPUTED_VALUE"""),"27-03-2026")</f>
        <v>27-03-2026</v>
      </c>
      <c r="B849" s="65">
        <f>IFERROR(__xludf.DUMMYFUNCTION("""COMPUTED_VALUE"""),4486357.0)</f>
        <v>4486357</v>
      </c>
      <c r="C849" s="65" t="str">
        <f>IFERROR(__xludf.DUMMYFUNCTION("""COMPUTED_VALUE"""),"06:35")</f>
        <v>06:35</v>
      </c>
      <c r="D849" s="65" t="str">
        <f>IFERROR(__xludf.DUMMYFUNCTION("""COMPUTED_VALUE"""),"12-02-2026")</f>
        <v>12-02-2026</v>
      </c>
      <c r="E849" s="65" t="str">
        <f>IFERROR(__xludf.DUMMYFUNCTION("""COMPUTED_VALUE"""),"David Tandayamo")</f>
        <v>David Tandayamo</v>
      </c>
      <c r="F849" s="65" t="str">
        <f>IFERROR(__xludf.DUMMYFUNCTION("""COMPUTED_VALUE"""),"985871530")</f>
        <v>985871530</v>
      </c>
      <c r="G849" s="65" t="str">
        <f>IFERROR(__xludf.DUMMYFUNCTION("""COMPUTED_VALUE"""),"davidandres1989tandayamo@hotmail.com")</f>
        <v>davidandres1989tandayamo@hotmail.com</v>
      </c>
      <c r="H849" s="65"/>
      <c r="I849" s="65"/>
      <c r="J849" s="65" t="str">
        <f>IFERROR(__xludf.DUMMYFUNCTION("""COMPUTED_VALUE"""),"D001324343")</f>
        <v>D001324343</v>
      </c>
      <c r="K849" s="65" t="str">
        <f>IFERROR(__xludf.DUMMYFUNCTION("""COMPUTED_VALUE"""),"ENTREGADO")</f>
        <v>ENTREGADO</v>
      </c>
      <c r="L849" s="65" t="str">
        <f>IFERROR(__xludf.DUMMYFUNCTION("""COMPUTED_VALUE"""),"CON RECAUDO")</f>
        <v>CON RECAUDO</v>
      </c>
      <c r="M849" s="65" t="str">
        <f>IFERROR(__xludf.DUMMYFUNCTION("""COMPUTED_VALUE"""),"PICHINCHA")</f>
        <v>PICHINCHA</v>
      </c>
      <c r="N849" s="65" t="str">
        <f>IFERROR(__xludf.DUMMYFUNCTION("""COMPUTED_VALUE"""),"CAYAMBE")</f>
        <v>CAYAMBE</v>
      </c>
      <c r="O849" s="65" t="str">
        <f>IFERROR(__xludf.DUMMYFUNCTION("""COMPUTED_VALUE"""),"América e Isidro ayora - Juan montalvo -")</f>
        <v>América e Isidro ayora - Juan montalvo -</v>
      </c>
      <c r="P849" s="65"/>
      <c r="Q849" s="65" t="str">
        <f>IFERROR(__xludf.DUMMYFUNCTION("""COMPUTED_VALUE"""),"GINTRACOM")</f>
        <v>GINTRACOM</v>
      </c>
      <c r="R849" s="65">
        <f>IFERROR(__xludf.DUMMYFUNCTION("""COMPUTED_VALUE"""),25.0)</f>
        <v>25</v>
      </c>
      <c r="S849" s="65">
        <f>IFERROR(__xludf.DUMMYFUNCTION("""COMPUTED_VALUE"""),14.24)</f>
        <v>14.24</v>
      </c>
      <c r="T849" s="65">
        <f>IFERROR(__xludf.DUMMYFUNCTION("""COMPUTED_VALUE"""),5.96)</f>
        <v>5.96</v>
      </c>
      <c r="U849" s="65">
        <f>IFERROR(__xludf.DUMMYFUNCTION("""COMPUTED_VALUE"""),0.0)</f>
        <v>0</v>
      </c>
      <c r="V849" s="65">
        <f>IFERROR(__xludf.DUMMYFUNCTION("""COMPUTED_VALUE"""),0.0)</f>
        <v>0</v>
      </c>
      <c r="W849" s="65">
        <f>IFERROR(__xludf.DUMMYFUNCTION("""COMPUTED_VALUE"""),0.0)</f>
        <v>0</v>
      </c>
      <c r="X849" s="65">
        <f>IFERROR(__xludf.DUMMYFUNCTION("""COMPUTED_VALUE"""),2.4)</f>
        <v>2.4</v>
      </c>
      <c r="Y849" s="65">
        <f>IFERROR(__xludf.DUMMYFUNCTION("""COMPUTED_VALUE"""),4.8)</f>
        <v>4.8</v>
      </c>
      <c r="Z849" s="65">
        <f>IFERROR(__xludf.DUMMYFUNCTION("""COMPUTED_VALUE"""),120732.0)</f>
        <v>120732</v>
      </c>
      <c r="AA849" s="65" t="str">
        <f>IFERROR(__xludf.DUMMYFUNCTION("""COMPUTED_VALUE"""),"PROV-LMPVT")</f>
        <v>PROV-LMPVT</v>
      </c>
      <c r="AB849" s="65"/>
      <c r="AC849" s="65" t="str">
        <f>IFERROR(__xludf.DUMMYFUNCTION("""COMPUTED_VALUE"""),"LIMPIADOR DE PARABRISAS Y VENTANAS")</f>
        <v>LIMPIADOR DE PARABRISAS Y VENTANAS</v>
      </c>
      <c r="AD849" s="65"/>
      <c r="AE849" s="65">
        <f>IFERROR(__xludf.DUMMYFUNCTION("""COMPUTED_VALUE"""),2.0)</f>
        <v>2</v>
      </c>
      <c r="AF849" s="65"/>
      <c r="AG849" s="65"/>
      <c r="AH849" s="65"/>
      <c r="AI849" s="65"/>
      <c r="AJ849" s="65"/>
      <c r="AK849" s="65"/>
      <c r="AL849" s="65"/>
      <c r="AM849" s="65"/>
      <c r="AN849" s="65" t="str">
        <f>IFERROR(__xludf.DUMMYFUNCTION("""COMPUTED_VALUE"""),"17:31")</f>
        <v>17:31</v>
      </c>
      <c r="AO849" s="65" t="str">
        <f>IFERROR(__xludf.DUMMYFUNCTION("""COMPUTED_VALUE"""),"18-02-2026")</f>
        <v>18-02-2026</v>
      </c>
      <c r="AP849" s="65" t="str">
        <f>IFERROR(__xludf.DUMMYFUNCTION("""COMPUTED_VALUE"""),"ENTREGADA GINTRACOM")</f>
        <v>ENTREGADA GINTRACOM</v>
      </c>
      <c r="AQ849" s="65" t="str">
        <f>IFERROR(__xludf.DUMMYFUNCTION("""COMPUTED_VALUE"""),"ENTREGADA GINTRACOM")</f>
        <v>ENTREGADA GINTRACOM</v>
      </c>
      <c r="AR849" s="65"/>
      <c r="AS849" s="65"/>
      <c r="AT849" s="65" t="str">
        <f>IFERROR(__xludf.DUMMYFUNCTION("""COMPUTED_VALUE"""),"SHOPIFY")</f>
        <v>SHOPIFY</v>
      </c>
      <c r="AU849" s="65" t="str">
        <f>IFERROR(__xludf.DUMMYFUNCTION("""COMPUTED_VALUE"""),"IMPORTEX EC")</f>
        <v>IMPORTEX EC</v>
      </c>
      <c r="AV849" s="65" t="str">
        <f>IFERROR(__xludf.DUMMYFUNCTION("""COMPUTED_VALUE"""),"6497892794412")</f>
        <v>6497892794412</v>
      </c>
      <c r="AW849" s="65">
        <f>IFERROR(__xludf.DUMMYFUNCTION("""COMPUTED_VALUE"""),6038.0)</f>
        <v>6038</v>
      </c>
      <c r="AX849" s="65"/>
      <c r="AY849" s="65" t="str">
        <f>IFERROR(__xludf.DUMMYFUNCTION("""COMPUTED_VALUE"""),"13/02/2026")</f>
        <v>13/02/2026</v>
      </c>
      <c r="AZ849" s="65"/>
      <c r="BA849" s="65"/>
    </row>
    <row r="850">
      <c r="A850" s="65" t="str">
        <f>IFERROR(__xludf.DUMMYFUNCTION("""COMPUTED_VALUE"""),"27-03-2026")</f>
        <v>27-03-2026</v>
      </c>
      <c r="B850" s="65">
        <f>IFERROR(__xludf.DUMMYFUNCTION("""COMPUTED_VALUE"""),4486344.0)</f>
        <v>4486344</v>
      </c>
      <c r="C850" s="65" t="str">
        <f>IFERROR(__xludf.DUMMYFUNCTION("""COMPUTED_VALUE"""),"06:34")</f>
        <v>06:34</v>
      </c>
      <c r="D850" s="65" t="str">
        <f>IFERROR(__xludf.DUMMYFUNCTION("""COMPUTED_VALUE"""),"12-02-2026")</f>
        <v>12-02-2026</v>
      </c>
      <c r="E850" s="65" t="str">
        <f>IFERROR(__xludf.DUMMYFUNCTION("""COMPUTED_VALUE"""),"Luis Humala Humala")</f>
        <v>Luis Humala Humala</v>
      </c>
      <c r="F850" s="65" t="str">
        <f>IFERROR(__xludf.DUMMYFUNCTION("""COMPUTED_VALUE"""),"985627065")</f>
        <v>985627065</v>
      </c>
      <c r="G850" s="65"/>
      <c r="H850" s="65"/>
      <c r="I850" s="65"/>
      <c r="J850" s="65" t="str">
        <f>IFERROR(__xludf.DUMMYFUNCTION("""COMPUTED_VALUE"""),"187049590")</f>
        <v>187049590</v>
      </c>
      <c r="K850" s="65" t="str">
        <f>IFERROR(__xludf.DUMMYFUNCTION("""COMPUTED_VALUE"""),"DEVOLUCION")</f>
        <v>DEVOLUCION</v>
      </c>
      <c r="L850" s="65" t="str">
        <f>IFERROR(__xludf.DUMMYFUNCTION("""COMPUTED_VALUE"""),"CON RECAUDO")</f>
        <v>CON RECAUDO</v>
      </c>
      <c r="M850" s="65" t="str">
        <f>IFERROR(__xludf.DUMMYFUNCTION("""COMPUTED_VALUE"""),"CHIMBORAZO")</f>
        <v>CHIMBORAZO</v>
      </c>
      <c r="N850" s="65" t="str">
        <f>IFERROR(__xludf.DUMMYFUNCTION("""COMPUTED_VALUE"""),"PALLATANGA")</f>
        <v>PALLATANGA</v>
      </c>
      <c r="O850" s="65" t="str">
        <f>IFERROR(__xludf.DUMMYFUNCTION("""COMPUTED_VALUE"""),"RETIRA EN CS : CUMANDA_AV PRIMERO DE MAYO - Cumanda Chimborazo Av 01 De Mayo Entre 10 De Agosto Y Gómez Rendón Local Servientrega Cumanda -")</f>
        <v>RETIRA EN CS : CUMANDA_AV PRIMERO DE MAYO - Cumanda Chimborazo Av 01 De Mayo Entre 10 De Agosto Y Gómez Rendón Local Servientrega Cumanda -</v>
      </c>
      <c r="P850" s="65"/>
      <c r="Q850" s="65" t="str">
        <f>IFERROR(__xludf.DUMMYFUNCTION("""COMPUTED_VALUE"""),"SERVIENTREGA")</f>
        <v>SERVIENTREGA</v>
      </c>
      <c r="R850" s="65">
        <f>IFERROR(__xludf.DUMMYFUNCTION("""COMPUTED_VALUE"""),25.0)</f>
        <v>25</v>
      </c>
      <c r="S850" s="65"/>
      <c r="T850" s="65">
        <f>IFERROR(__xludf.DUMMYFUNCTION("""COMPUTED_VALUE"""),7.75)</f>
        <v>7.75</v>
      </c>
      <c r="U850" s="65">
        <f>IFERROR(__xludf.DUMMYFUNCTION("""COMPUTED_VALUE"""),0.0)</f>
        <v>0</v>
      </c>
      <c r="V850" s="65">
        <f>IFERROR(__xludf.DUMMYFUNCTION("""COMPUTED_VALUE"""),0.0)</f>
        <v>0</v>
      </c>
      <c r="W850" s="65">
        <f>IFERROR(__xludf.DUMMYFUNCTION("""COMPUTED_VALUE"""),0.0)</f>
        <v>0</v>
      </c>
      <c r="X850" s="65">
        <f>IFERROR(__xludf.DUMMYFUNCTION("""COMPUTED_VALUE"""),2.4)</f>
        <v>2.4</v>
      </c>
      <c r="Y850" s="65">
        <f>IFERROR(__xludf.DUMMYFUNCTION("""COMPUTED_VALUE"""),4.8)</f>
        <v>4.8</v>
      </c>
      <c r="Z850" s="65">
        <f>IFERROR(__xludf.DUMMYFUNCTION("""COMPUTED_VALUE"""),120732.0)</f>
        <v>120732</v>
      </c>
      <c r="AA850" s="65" t="str">
        <f>IFERROR(__xludf.DUMMYFUNCTION("""COMPUTED_VALUE"""),"PROV-LMPVT")</f>
        <v>PROV-LMPVT</v>
      </c>
      <c r="AB850" s="65"/>
      <c r="AC850" s="65" t="str">
        <f>IFERROR(__xludf.DUMMYFUNCTION("""COMPUTED_VALUE"""),"LIMPIADOR DE PARABRISAS Y VENTANAS")</f>
        <v>LIMPIADOR DE PARABRISAS Y VENTANAS</v>
      </c>
      <c r="AD850" s="65"/>
      <c r="AE850" s="65">
        <f>IFERROR(__xludf.DUMMYFUNCTION("""COMPUTED_VALUE"""),2.0)</f>
        <v>2</v>
      </c>
      <c r="AF850" s="65" t="str">
        <f>IFERROR(__xludf.DUMMYFUNCTION("""COMPUTED_VALUE"""),"DEVOLUCION AL REMITENTE")</f>
        <v>DEVOLUCION AL REMITENTE</v>
      </c>
      <c r="AG850" s="65" t="str">
        <f>IFERROR(__xludf.DUMMYFUNCTION("""COMPUTED_VALUE"""),"NO")</f>
        <v>NO</v>
      </c>
      <c r="AH850" s="65" t="str">
        <f>IFERROR(__xludf.DUMMYFUNCTION("""COMPUTED_VALUE"""),"15:03")</f>
        <v>15:03</v>
      </c>
      <c r="AI850" s="65" t="str">
        <f>IFERROR(__xludf.DUMMYFUNCTION("""COMPUTED_VALUE"""),"24-02-2026")</f>
        <v>24-02-2026</v>
      </c>
      <c r="AJ850" s="65"/>
      <c r="AK850" s="65"/>
      <c r="AL850" s="65"/>
      <c r="AM850" s="65"/>
      <c r="AN850" s="65" t="str">
        <f>IFERROR(__xludf.DUMMYFUNCTION("""COMPUTED_VALUE"""),"01:00")</f>
        <v>01:00</v>
      </c>
      <c r="AO850" s="65" t="str">
        <f>IFERROR(__xludf.DUMMYFUNCTION("""COMPUTED_VALUE"""),"26-02-2026")</f>
        <v>26-02-2026</v>
      </c>
      <c r="AP850" s="65" t="str">
        <f>IFERROR(__xludf.DUMMYFUNCTION("""COMPUTED_VALUE"""),"DEVOLUCION AL REMITENTE")</f>
        <v>DEVOLUCION AL REMITENTE</v>
      </c>
      <c r="AQ850" s="65" t="str">
        <f>IFERROR(__xludf.DUMMYFUNCTION("""COMPUTED_VALUE"""),"{}")</f>
        <v>{}</v>
      </c>
      <c r="AR850" s="65"/>
      <c r="AS850" s="65"/>
      <c r="AT850" s="65" t="str">
        <f>IFERROR(__xludf.DUMMYFUNCTION("""COMPUTED_VALUE"""),"SHOPIFY")</f>
        <v>SHOPIFY</v>
      </c>
      <c r="AU850" s="65" t="str">
        <f>IFERROR(__xludf.DUMMYFUNCTION("""COMPUTED_VALUE"""),"IMPORTEX EC")</f>
        <v>IMPORTEX EC</v>
      </c>
      <c r="AV850" s="65" t="str">
        <f>IFERROR(__xludf.DUMMYFUNCTION("""COMPUTED_VALUE"""),"6497891876908")</f>
        <v>6497891876908</v>
      </c>
      <c r="AW850" s="65">
        <f>IFERROR(__xludf.DUMMYFUNCTION("""COMPUTED_VALUE"""),6037.0)</f>
        <v>6037</v>
      </c>
      <c r="AX850" s="65"/>
      <c r="AY850" s="65" t="str">
        <f>IFERROR(__xludf.DUMMYFUNCTION("""COMPUTED_VALUE"""),"13/02/2026")</f>
        <v>13/02/2026</v>
      </c>
      <c r="AZ850" s="65"/>
      <c r="BA850" s="65"/>
    </row>
    <row r="851">
      <c r="A851" s="65" t="str">
        <f>IFERROR(__xludf.DUMMYFUNCTION("""COMPUTED_VALUE"""),"27-03-2026")</f>
        <v>27-03-2026</v>
      </c>
      <c r="B851" s="65">
        <f>IFERROR(__xludf.DUMMYFUNCTION("""COMPUTED_VALUE"""),4486265.0)</f>
        <v>4486265</v>
      </c>
      <c r="C851" s="65" t="str">
        <f>IFERROR(__xludf.DUMMYFUNCTION("""COMPUTED_VALUE"""),"06:20")</f>
        <v>06:20</v>
      </c>
      <c r="D851" s="65" t="str">
        <f>IFERROR(__xludf.DUMMYFUNCTION("""COMPUTED_VALUE"""),"12-02-2026")</f>
        <v>12-02-2026</v>
      </c>
      <c r="E851" s="65" t="str">
        <f>IFERROR(__xludf.DUMMYFUNCTION("""COMPUTED_VALUE"""),"Victor Paguay")</f>
        <v>Victor Paguay</v>
      </c>
      <c r="F851" s="65" t="str">
        <f>IFERROR(__xludf.DUMMYFUNCTION("""COMPUTED_VALUE"""),"980585775")</f>
        <v>980585775</v>
      </c>
      <c r="G851" s="65" t="str">
        <f>IFERROR(__xludf.DUMMYFUNCTION("""COMPUTED_VALUE"""),"victorpaguay532@gmail.com")</f>
        <v>victorpaguay532@gmail.com</v>
      </c>
      <c r="H851" s="65"/>
      <c r="I851" s="65"/>
      <c r="J851" s="65" t="str">
        <f>IFERROR(__xludf.DUMMYFUNCTION("""COMPUTED_VALUE"""),"D001324346")</f>
        <v>D001324346</v>
      </c>
      <c r="K851" s="65" t="str">
        <f>IFERROR(__xludf.DUMMYFUNCTION("""COMPUTED_VALUE"""),"DEVOLUCION")</f>
        <v>DEVOLUCION</v>
      </c>
      <c r="L851" s="65" t="str">
        <f>IFERROR(__xludf.DUMMYFUNCTION("""COMPUTED_VALUE"""),"CON RECAUDO")</f>
        <v>CON RECAUDO</v>
      </c>
      <c r="M851" s="65" t="str">
        <f>IFERROR(__xludf.DUMMYFUNCTION("""COMPUTED_VALUE"""),"CHIMBORAZO")</f>
        <v>CHIMBORAZO</v>
      </c>
      <c r="N851" s="65" t="str">
        <f>IFERROR(__xludf.DUMMYFUNCTION("""COMPUTED_VALUE"""),"RIOBAMBA")</f>
        <v>RIOBAMBA</v>
      </c>
      <c r="O851" s="65" t="str">
        <f>IFERROR(__xludf.DUMMYFUNCTION("""COMPUTED_VALUE"""),"Cordova y rivera Perimetro de las industrias via al cerronegro -")</f>
        <v>Cordova y rivera Perimetro de las industrias via al cerronegro -</v>
      </c>
      <c r="P851" s="65"/>
      <c r="Q851" s="65" t="str">
        <f>IFERROR(__xludf.DUMMYFUNCTION("""COMPUTED_VALUE"""),"GINTRACOM")</f>
        <v>GINTRACOM</v>
      </c>
      <c r="R851" s="65">
        <f>IFERROR(__xludf.DUMMYFUNCTION("""COMPUTED_VALUE"""),30.0)</f>
        <v>30</v>
      </c>
      <c r="S851" s="65"/>
      <c r="T851" s="65">
        <f>IFERROR(__xludf.DUMMYFUNCTION("""COMPUTED_VALUE"""),6.16)</f>
        <v>6.16</v>
      </c>
      <c r="U851" s="65">
        <f>IFERROR(__xludf.DUMMYFUNCTION("""COMPUTED_VALUE"""),0.0)</f>
        <v>0</v>
      </c>
      <c r="V851" s="65">
        <f>IFERROR(__xludf.DUMMYFUNCTION("""COMPUTED_VALUE"""),0.0)</f>
        <v>0</v>
      </c>
      <c r="W851" s="65">
        <f>IFERROR(__xludf.DUMMYFUNCTION("""COMPUTED_VALUE"""),0.0)</f>
        <v>0</v>
      </c>
      <c r="X851" s="65">
        <f>IFERROR(__xludf.DUMMYFUNCTION("""COMPUTED_VALUE"""),2.4)</f>
        <v>2.4</v>
      </c>
      <c r="Y851" s="65">
        <f>IFERROR(__xludf.DUMMYFUNCTION("""COMPUTED_VALUE"""),7.2)</f>
        <v>7.2</v>
      </c>
      <c r="Z851" s="65">
        <f>IFERROR(__xludf.DUMMYFUNCTION("""COMPUTED_VALUE"""),120732.0)</f>
        <v>120732</v>
      </c>
      <c r="AA851" s="65" t="str">
        <f>IFERROR(__xludf.DUMMYFUNCTION("""COMPUTED_VALUE"""),"PROV-LMPVT")</f>
        <v>PROV-LMPVT</v>
      </c>
      <c r="AB851" s="65"/>
      <c r="AC851" s="65" t="str">
        <f>IFERROR(__xludf.DUMMYFUNCTION("""COMPUTED_VALUE"""),"LIMPIADOR DE PARABRISAS Y VENTANAS")</f>
        <v>LIMPIADOR DE PARABRISAS Y VENTANAS</v>
      </c>
      <c r="AD851" s="65"/>
      <c r="AE851" s="65">
        <f>IFERROR(__xludf.DUMMYFUNCTION("""COMPUTED_VALUE"""),3.0)</f>
        <v>3</v>
      </c>
      <c r="AF851" s="65" t="str">
        <f>IFERROR(__xludf.DUMMYFUNCTION("""COMPUTED_VALUE"""),"DESTINATARIO NO CONTESTA LLAMADAS NI WHATSAPP")</f>
        <v>DESTINATARIO NO CONTESTA LLAMADAS NI WHATSAPP</v>
      </c>
      <c r="AG851" s="65" t="str">
        <f>IFERROR(__xludf.DUMMYFUNCTION("""COMPUTED_VALUE"""),"SI")</f>
        <v>SI</v>
      </c>
      <c r="AH851" s="65" t="str">
        <f>IFERROR(__xludf.DUMMYFUNCTION("""COMPUTED_VALUE"""),"14:09")</f>
        <v>14:09</v>
      </c>
      <c r="AI851" s="65" t="str">
        <f>IFERROR(__xludf.DUMMYFUNCTION("""COMPUTED_VALUE"""),"25-02-2026")</f>
        <v>25-02-2026</v>
      </c>
      <c r="AJ851" s="65" t="str">
        <f>IFERROR(__xludf.DUMMYFUNCTION("""COMPUTED_VALUE"""),"CLIENTE SOLICITA LA ENTREGA INMEDIATA")</f>
        <v>CLIENTE SOLICITA LA ENTREGA INMEDIATA</v>
      </c>
      <c r="AK851" s="65" t="str">
        <f>IFERROR(__xludf.DUMMYFUNCTION("""COMPUTED_VALUE"""),"13:23")</f>
        <v>13:23</v>
      </c>
      <c r="AL851" s="65" t="str">
        <f>IFERROR(__xludf.DUMMYFUNCTION("""COMPUTED_VALUE"""),"26-02-2026")</f>
        <v>26-02-2026</v>
      </c>
      <c r="AM851" s="65"/>
      <c r="AN851" s="65" t="str">
        <f>IFERROR(__xludf.DUMMYFUNCTION("""COMPUTED_VALUE"""),"01:36")</f>
        <v>01:36</v>
      </c>
      <c r="AO851" s="65" t="str">
        <f>IFERROR(__xludf.DUMMYFUNCTION("""COMPUTED_VALUE"""),"09-03-2026")</f>
        <v>09-03-2026</v>
      </c>
      <c r="AP851" s="65" t="str">
        <f>IFERROR(__xludf.DUMMYFUNCTION("""COMPUTED_VALUE"""),"DEVOLUCIÓN ENTREGADA A ORIGEN")</f>
        <v>DEVOLUCIÓN ENTREGADA A ORIGEN</v>
      </c>
      <c r="AQ851" s="65" t="str">
        <f>IFERROR(__xludf.DUMMYFUNCTION("""COMPUTED_VALUE"""),"DEVOLUCIÓN ENTREGADA A ORIGEN")</f>
        <v>DEVOLUCIÓN ENTREGADA A ORIGEN</v>
      </c>
      <c r="AR851" s="65"/>
      <c r="AS851" s="65"/>
      <c r="AT851" s="65" t="str">
        <f>IFERROR(__xludf.DUMMYFUNCTION("""COMPUTED_VALUE"""),"SHOPIFY")</f>
        <v>SHOPIFY</v>
      </c>
      <c r="AU851" s="65" t="str">
        <f>IFERROR(__xludf.DUMMYFUNCTION("""COMPUTED_VALUE"""),"IMPORTEX EC")</f>
        <v>IMPORTEX EC</v>
      </c>
      <c r="AV851" s="65" t="str">
        <f>IFERROR(__xludf.DUMMYFUNCTION("""COMPUTED_VALUE"""),"6497879261228")</f>
        <v>6497879261228</v>
      </c>
      <c r="AW851" s="65">
        <f>IFERROR(__xludf.DUMMYFUNCTION("""COMPUTED_VALUE"""),6036.0)</f>
        <v>6036</v>
      </c>
      <c r="AX851" s="65"/>
      <c r="AY851" s="65" t="str">
        <f>IFERROR(__xludf.DUMMYFUNCTION("""COMPUTED_VALUE"""),"13/02/2026")</f>
        <v>13/02/2026</v>
      </c>
      <c r="AZ851" s="65"/>
      <c r="BA851" s="65"/>
    </row>
    <row r="852">
      <c r="A852" s="65" t="str">
        <f>IFERROR(__xludf.DUMMYFUNCTION("""COMPUTED_VALUE"""),"27-03-2026")</f>
        <v>27-03-2026</v>
      </c>
      <c r="B852" s="65">
        <f>IFERROR(__xludf.DUMMYFUNCTION("""COMPUTED_VALUE"""),4486199.0)</f>
        <v>4486199</v>
      </c>
      <c r="C852" s="65" t="str">
        <f>IFERROR(__xludf.DUMMYFUNCTION("""COMPUTED_VALUE"""),"06:10")</f>
        <v>06:10</v>
      </c>
      <c r="D852" s="65" t="str">
        <f>IFERROR(__xludf.DUMMYFUNCTION("""COMPUTED_VALUE"""),"12-02-2026")</f>
        <v>12-02-2026</v>
      </c>
      <c r="E852" s="65" t="str">
        <f>IFERROR(__xludf.DUMMYFUNCTION("""COMPUTED_VALUE"""),"Samuel Elías Mosquera santiana")</f>
        <v>Samuel Elías Mosquera santiana</v>
      </c>
      <c r="F852" s="65" t="str">
        <f>IFERROR(__xludf.DUMMYFUNCTION("""COMPUTED_VALUE"""),"997251001")</f>
        <v>997251001</v>
      </c>
      <c r="G852" s="65" t="str">
        <f>IFERROR(__xludf.DUMMYFUNCTION("""COMPUTED_VALUE"""),"samueleliasmosquera803@gmail.com")</f>
        <v>samueleliasmosquera803@gmail.com</v>
      </c>
      <c r="H852" s="65"/>
      <c r="I852" s="65"/>
      <c r="J852" s="65"/>
      <c r="K852" s="65" t="str">
        <f>IFERROR(__xludf.DUMMYFUNCTION("""COMPUTED_VALUE"""),"CANCELADO")</f>
        <v>CANCELADO</v>
      </c>
      <c r="L852" s="65" t="str">
        <f>IFERROR(__xludf.DUMMYFUNCTION("""COMPUTED_VALUE"""),"CON RECAUDO")</f>
        <v>CON RECAUDO</v>
      </c>
      <c r="M852" s="65" t="str">
        <f>IFERROR(__xludf.DUMMYFUNCTION("""COMPUTED_VALUE"""),"EL ORO")</f>
        <v>EL ORO</v>
      </c>
      <c r="N852" s="65" t="str">
        <f>IFERROR(__xludf.DUMMYFUNCTION("""COMPUTED_VALUE"""),"MACHALA")</f>
        <v>MACHALA</v>
      </c>
      <c r="O852" s="65" t="str">
        <f>IFERROR(__xludf.DUMMYFUNCTION("""COMPUTED_VALUE"""),"Ciudadela las brisas del mar ..parque lineal Circunvalación sur brisas del mar -")</f>
        <v>Ciudadela las brisas del mar ..parque lineal Circunvalación sur brisas del mar -</v>
      </c>
      <c r="P852" s="65"/>
      <c r="Q852" s="65" t="str">
        <f>IFERROR(__xludf.DUMMYFUNCTION("""COMPUTED_VALUE"""),"GINTRACOM")</f>
        <v>GINTRACOM</v>
      </c>
      <c r="R852" s="65">
        <f>IFERROR(__xludf.DUMMYFUNCTION("""COMPUTED_VALUE"""),22.0)</f>
        <v>22</v>
      </c>
      <c r="S852" s="65"/>
      <c r="T852" s="65">
        <f>IFERROR(__xludf.DUMMYFUNCTION("""COMPUTED_VALUE"""),5.84)</f>
        <v>5.84</v>
      </c>
      <c r="U852" s="65">
        <f>IFERROR(__xludf.DUMMYFUNCTION("""COMPUTED_VALUE"""),0.0)</f>
        <v>0</v>
      </c>
      <c r="V852" s="65">
        <f>IFERROR(__xludf.DUMMYFUNCTION("""COMPUTED_VALUE"""),0.0)</f>
        <v>0</v>
      </c>
      <c r="W852" s="65">
        <f>IFERROR(__xludf.DUMMYFUNCTION("""COMPUTED_VALUE"""),0.0)</f>
        <v>0</v>
      </c>
      <c r="X852" s="65">
        <f>IFERROR(__xludf.DUMMYFUNCTION("""COMPUTED_VALUE"""),2.6)</f>
        <v>2.6</v>
      </c>
      <c r="Y852" s="65">
        <f>IFERROR(__xludf.DUMMYFUNCTION("""COMPUTED_VALUE"""),5.2)</f>
        <v>5.2</v>
      </c>
      <c r="Z852" s="65">
        <f>IFERROR(__xludf.DUMMYFUNCTION("""COMPUTED_VALUE"""),121983.0)</f>
        <v>121983</v>
      </c>
      <c r="AA852" s="65" t="str">
        <f>IFERROR(__xludf.DUMMYFUNCTION("""COMPUTED_VALUE"""),"PROV-CHLLCF")</f>
        <v>PROV-CHLLCF</v>
      </c>
      <c r="AB852" s="65"/>
      <c r="AC852" s="65" t="str">
        <f>IFERROR(__xludf.DUMMYFUNCTION("""COMPUTED_VALUE"""),"CUCHILLO PARA CHEF")</f>
        <v>CUCHILLO PARA CHEF</v>
      </c>
      <c r="AD852" s="65"/>
      <c r="AE852" s="65">
        <f>IFERROR(__xludf.DUMMYFUNCTION("""COMPUTED_VALUE"""),2.0)</f>
        <v>2</v>
      </c>
      <c r="AF852" s="65"/>
      <c r="AG852" s="65"/>
      <c r="AH852" s="65"/>
      <c r="AI852" s="65"/>
      <c r="AJ852" s="65"/>
      <c r="AK852" s="65"/>
      <c r="AL852" s="65"/>
      <c r="AM852" s="65"/>
      <c r="AN852" s="65"/>
      <c r="AO852" s="65"/>
      <c r="AP852" s="65"/>
      <c r="AQ852" s="65"/>
      <c r="AR852" s="65"/>
      <c r="AS852" s="65"/>
      <c r="AT852" s="65" t="str">
        <f>IFERROR(__xludf.DUMMYFUNCTION("""COMPUTED_VALUE"""),"SHOPIFY")</f>
        <v>SHOPIFY</v>
      </c>
      <c r="AU852" s="65" t="str">
        <f>IFERROR(__xludf.DUMMYFUNCTION("""COMPUTED_VALUE"""),"IMPORTEX EC")</f>
        <v>IMPORTEX EC</v>
      </c>
      <c r="AV852" s="65" t="str">
        <f>IFERROR(__xludf.DUMMYFUNCTION("""COMPUTED_VALUE"""),"6497871134764")</f>
        <v>6497871134764</v>
      </c>
      <c r="AW852" s="65">
        <f>IFERROR(__xludf.DUMMYFUNCTION("""COMPUTED_VALUE"""),6034.0)</f>
        <v>6034</v>
      </c>
      <c r="AX852" s="65"/>
      <c r="AY852" s="65"/>
      <c r="AZ852" s="65"/>
      <c r="BA852" s="65"/>
    </row>
    <row r="853">
      <c r="A853" s="65" t="str">
        <f>IFERROR(__xludf.DUMMYFUNCTION("""COMPUTED_VALUE"""),"27-03-2026")</f>
        <v>27-03-2026</v>
      </c>
      <c r="B853" s="65">
        <f>IFERROR(__xludf.DUMMYFUNCTION("""COMPUTED_VALUE"""),4485943.0)</f>
        <v>4485943</v>
      </c>
      <c r="C853" s="65" t="str">
        <f>IFERROR(__xludf.DUMMYFUNCTION("""COMPUTED_VALUE"""),"03:48")</f>
        <v>03:48</v>
      </c>
      <c r="D853" s="65" t="str">
        <f>IFERROR(__xludf.DUMMYFUNCTION("""COMPUTED_VALUE"""),"12-02-2026")</f>
        <v>12-02-2026</v>
      </c>
      <c r="E853" s="65" t="str">
        <f>IFERROR(__xludf.DUMMYFUNCTION("""COMPUTED_VALUE"""),"Luis Enrique Barroso Romero")</f>
        <v>Luis Enrique Barroso Romero</v>
      </c>
      <c r="F853" s="65" t="str">
        <f>IFERROR(__xludf.DUMMYFUNCTION("""COMPUTED_VALUE"""),"984053198")</f>
        <v>984053198</v>
      </c>
      <c r="G853" s="65" t="str">
        <f>IFERROR(__xludf.DUMMYFUNCTION("""COMPUTED_VALUE"""),"luisbarroso2143@hointmeal.com")</f>
        <v>luisbarroso2143@hointmeal.com</v>
      </c>
      <c r="H853" s="65"/>
      <c r="I853" s="65"/>
      <c r="J853" s="65" t="str">
        <f>IFERROR(__xludf.DUMMYFUNCTION("""COMPUTED_VALUE"""),"D001324348")</f>
        <v>D001324348</v>
      </c>
      <c r="K853" s="65" t="str">
        <f>IFERROR(__xludf.DUMMYFUNCTION("""COMPUTED_VALUE"""),"ENTREGADO")</f>
        <v>ENTREGADO</v>
      </c>
      <c r="L853" s="65" t="str">
        <f>IFERROR(__xludf.DUMMYFUNCTION("""COMPUTED_VALUE"""),"CON RECAUDO")</f>
        <v>CON RECAUDO</v>
      </c>
      <c r="M853" s="65" t="str">
        <f>IFERROR(__xludf.DUMMYFUNCTION("""COMPUTED_VALUE"""),"CHIMBORAZO")</f>
        <v>CHIMBORAZO</v>
      </c>
      <c r="N853" s="65" t="str">
        <f>IFERROR(__xludf.DUMMYFUNCTION("""COMPUTED_VALUE"""),"RIOBAMBA")</f>
        <v>RIOBAMBA</v>
      </c>
      <c r="O853" s="65" t="str">
        <f>IFERROR(__xludf.DUMMYFUNCTION("""COMPUTED_VALUE"""),"Budapest y Roma Cdl Politecnica -")</f>
        <v>Budapest y Roma Cdl Politecnica -</v>
      </c>
      <c r="P853" s="65"/>
      <c r="Q853" s="65" t="str">
        <f>IFERROR(__xludf.DUMMYFUNCTION("""COMPUTED_VALUE"""),"GINTRACOM")</f>
        <v>GINTRACOM</v>
      </c>
      <c r="R853" s="65">
        <f>IFERROR(__xludf.DUMMYFUNCTION("""COMPUTED_VALUE"""),22.0)</f>
        <v>22</v>
      </c>
      <c r="S853" s="65">
        <f>IFERROR(__xludf.DUMMYFUNCTION("""COMPUTED_VALUE"""),10.96)</f>
        <v>10.96</v>
      </c>
      <c r="T853" s="65">
        <f>IFERROR(__xludf.DUMMYFUNCTION("""COMPUTED_VALUE"""),5.84)</f>
        <v>5.84</v>
      </c>
      <c r="U853" s="65">
        <f>IFERROR(__xludf.DUMMYFUNCTION("""COMPUTED_VALUE"""),0.0)</f>
        <v>0</v>
      </c>
      <c r="V853" s="65">
        <f>IFERROR(__xludf.DUMMYFUNCTION("""COMPUTED_VALUE"""),0.0)</f>
        <v>0</v>
      </c>
      <c r="W853" s="65">
        <f>IFERROR(__xludf.DUMMYFUNCTION("""COMPUTED_VALUE"""),0.0)</f>
        <v>0</v>
      </c>
      <c r="X853" s="65">
        <f>IFERROR(__xludf.DUMMYFUNCTION("""COMPUTED_VALUE"""),2.6)</f>
        <v>2.6</v>
      </c>
      <c r="Y853" s="65">
        <f>IFERROR(__xludf.DUMMYFUNCTION("""COMPUTED_VALUE"""),5.2)</f>
        <v>5.2</v>
      </c>
      <c r="Z853" s="65">
        <f>IFERROR(__xludf.DUMMYFUNCTION("""COMPUTED_VALUE"""),121983.0)</f>
        <v>121983</v>
      </c>
      <c r="AA853" s="65" t="str">
        <f>IFERROR(__xludf.DUMMYFUNCTION("""COMPUTED_VALUE"""),"PROV-CHLLCF")</f>
        <v>PROV-CHLLCF</v>
      </c>
      <c r="AB853" s="65"/>
      <c r="AC853" s="65" t="str">
        <f>IFERROR(__xludf.DUMMYFUNCTION("""COMPUTED_VALUE"""),"CUCHILLO PARA CHEF")</f>
        <v>CUCHILLO PARA CHEF</v>
      </c>
      <c r="AD853" s="65"/>
      <c r="AE853" s="65">
        <f>IFERROR(__xludf.DUMMYFUNCTION("""COMPUTED_VALUE"""),2.0)</f>
        <v>2</v>
      </c>
      <c r="AF853" s="65"/>
      <c r="AG853" s="65"/>
      <c r="AH853" s="65"/>
      <c r="AI853" s="65"/>
      <c r="AJ853" s="65"/>
      <c r="AK853" s="65"/>
      <c r="AL853" s="65"/>
      <c r="AM853" s="65"/>
      <c r="AN853" s="65" t="str">
        <f>IFERROR(__xludf.DUMMYFUNCTION("""COMPUTED_VALUE"""),"16:03")</f>
        <v>16:03</v>
      </c>
      <c r="AO853" s="65" t="str">
        <f>IFERROR(__xludf.DUMMYFUNCTION("""COMPUTED_VALUE"""),"17-02-2026")</f>
        <v>17-02-2026</v>
      </c>
      <c r="AP853" s="65" t="str">
        <f>IFERROR(__xludf.DUMMYFUNCTION("""COMPUTED_VALUE"""),"ENTREGADA GINTRACOM")</f>
        <v>ENTREGADA GINTRACOM</v>
      </c>
      <c r="AQ853" s="65" t="str">
        <f>IFERROR(__xludf.DUMMYFUNCTION("""COMPUTED_VALUE"""),"ENTREGADA GINTRACOM")</f>
        <v>ENTREGADA GINTRACOM</v>
      </c>
      <c r="AR853" s="65"/>
      <c r="AS853" s="65"/>
      <c r="AT853" s="65" t="str">
        <f>IFERROR(__xludf.DUMMYFUNCTION("""COMPUTED_VALUE"""),"SHOPIFY")</f>
        <v>SHOPIFY</v>
      </c>
      <c r="AU853" s="65" t="str">
        <f>IFERROR(__xludf.DUMMYFUNCTION("""COMPUTED_VALUE"""),"IMPORTEX EC")</f>
        <v>IMPORTEX EC</v>
      </c>
      <c r="AV853" s="65" t="str">
        <f>IFERROR(__xludf.DUMMYFUNCTION("""COMPUTED_VALUE"""),"6497774239788")</f>
        <v>6497774239788</v>
      </c>
      <c r="AW853" s="65">
        <f>IFERROR(__xludf.DUMMYFUNCTION("""COMPUTED_VALUE"""),6033.0)</f>
        <v>6033</v>
      </c>
      <c r="AX853" s="65"/>
      <c r="AY853" s="65" t="str">
        <f>IFERROR(__xludf.DUMMYFUNCTION("""COMPUTED_VALUE"""),"13/02/2026")</f>
        <v>13/02/2026</v>
      </c>
      <c r="AZ853" s="65"/>
      <c r="BA853" s="65"/>
    </row>
    <row r="854">
      <c r="A854" s="65" t="str">
        <f>IFERROR(__xludf.DUMMYFUNCTION("""COMPUTED_VALUE"""),"27-03-2026")</f>
        <v>27-03-2026</v>
      </c>
      <c r="B854" s="65">
        <f>IFERROR(__xludf.DUMMYFUNCTION("""COMPUTED_VALUE"""),4485913.0)</f>
        <v>4485913</v>
      </c>
      <c r="C854" s="65" t="str">
        <f>IFERROR(__xludf.DUMMYFUNCTION("""COMPUTED_VALUE"""),"03:10")</f>
        <v>03:10</v>
      </c>
      <c r="D854" s="65" t="str">
        <f>IFERROR(__xludf.DUMMYFUNCTION("""COMPUTED_VALUE"""),"12-02-2026")</f>
        <v>12-02-2026</v>
      </c>
      <c r="E854" s="65" t="str">
        <f>IFERROR(__xludf.DUMMYFUNCTION("""COMPUTED_VALUE"""),"Fernando Ruiz Reyes")</f>
        <v>Fernando Ruiz Reyes</v>
      </c>
      <c r="F854" s="65" t="str">
        <f>IFERROR(__xludf.DUMMYFUNCTION("""COMPUTED_VALUE"""),"983881809")</f>
        <v>983881809</v>
      </c>
      <c r="G854" s="65"/>
      <c r="H854" s="65"/>
      <c r="I854" s="65"/>
      <c r="J854" s="65" t="str">
        <f>IFERROR(__xludf.DUMMYFUNCTION("""COMPUTED_VALUE"""),"WYB167549535")</f>
        <v>WYB167549535</v>
      </c>
      <c r="K854" s="65" t="str">
        <f>IFERROR(__xludf.DUMMYFUNCTION("""COMPUTED_VALUE"""),"DEVOLUCION")</f>
        <v>DEVOLUCION</v>
      </c>
      <c r="L854" s="65" t="str">
        <f>IFERROR(__xludf.DUMMYFUNCTION("""COMPUTED_VALUE"""),"CON RECAUDO")</f>
        <v>CON RECAUDO</v>
      </c>
      <c r="M854" s="65" t="str">
        <f>IFERROR(__xludf.DUMMYFUNCTION("""COMPUTED_VALUE"""),"EL ORO")</f>
        <v>EL ORO</v>
      </c>
      <c r="N854" s="65" t="str">
        <f>IFERROR(__xludf.DUMMYFUNCTION("""COMPUTED_VALUE"""),"PIÑAS")</f>
        <v>PIÑAS</v>
      </c>
      <c r="O854" s="65" t="str">
        <f>IFERROR(__xludf.DUMMYFUNCTION("""COMPUTED_VALUE"""),"Av Loja y 8 de noviembre diagonal a restaurante taberna real sector la cadena")</f>
        <v>Av Loja y 8 de noviembre diagonal a restaurante taberna real sector la cadena</v>
      </c>
      <c r="P854" s="65"/>
      <c r="Q854" s="65" t="str">
        <f>IFERROR(__xludf.DUMMYFUNCTION("""COMPUTED_VALUE"""),"URBANO")</f>
        <v>URBANO</v>
      </c>
      <c r="R854" s="65">
        <f>IFERROR(__xludf.DUMMYFUNCTION("""COMPUTED_VALUE"""),30.0)</f>
        <v>30</v>
      </c>
      <c r="S854" s="65"/>
      <c r="T854" s="65">
        <f>IFERROR(__xludf.DUMMYFUNCTION("""COMPUTED_VALUE"""),5.81)</f>
        <v>5.81</v>
      </c>
      <c r="U854" s="65">
        <f>IFERROR(__xludf.DUMMYFUNCTION("""COMPUTED_VALUE"""),0.0)</f>
        <v>0</v>
      </c>
      <c r="V854" s="65">
        <f>IFERROR(__xludf.DUMMYFUNCTION("""COMPUTED_VALUE"""),0.0)</f>
        <v>0</v>
      </c>
      <c r="W854" s="65">
        <f>IFERROR(__xludf.DUMMYFUNCTION("""COMPUTED_VALUE"""),0.0)</f>
        <v>0</v>
      </c>
      <c r="X854" s="65">
        <f>IFERROR(__xludf.DUMMYFUNCTION("""COMPUTED_VALUE"""),2.4)</f>
        <v>2.4</v>
      </c>
      <c r="Y854" s="65">
        <f>IFERROR(__xludf.DUMMYFUNCTION("""COMPUTED_VALUE"""),7.2)</f>
        <v>7.2</v>
      </c>
      <c r="Z854" s="65">
        <f>IFERROR(__xludf.DUMMYFUNCTION("""COMPUTED_VALUE"""),120732.0)</f>
        <v>120732</v>
      </c>
      <c r="AA854" s="65" t="str">
        <f>IFERROR(__xludf.DUMMYFUNCTION("""COMPUTED_VALUE"""),"PROV-LMPVT")</f>
        <v>PROV-LMPVT</v>
      </c>
      <c r="AB854" s="65"/>
      <c r="AC854" s="65" t="str">
        <f>IFERROR(__xludf.DUMMYFUNCTION("""COMPUTED_VALUE"""),"LIMPIADOR DE PARABRISAS Y VENTANAS")</f>
        <v>LIMPIADOR DE PARABRISAS Y VENTANAS</v>
      </c>
      <c r="AD854" s="65"/>
      <c r="AE854" s="65">
        <f>IFERROR(__xludf.DUMMYFUNCTION("""COMPUTED_VALUE"""),3.0)</f>
        <v>3</v>
      </c>
      <c r="AF854" s="65" t="str">
        <f>IFERROR(__xludf.DUMMYFUNCTION("""COMPUTED_VALUE"""),"DIRECCION INSUFICIENTE")</f>
        <v>DIRECCION INSUFICIENTE</v>
      </c>
      <c r="AG854" s="65" t="str">
        <f>IFERROR(__xludf.DUMMYFUNCTION("""COMPUTED_VALUE"""),"NO")</f>
        <v>NO</v>
      </c>
      <c r="AH854" s="65" t="str">
        <f>IFERROR(__xludf.DUMMYFUNCTION("""COMPUTED_VALUE"""),"02:03")</f>
        <v>02:03</v>
      </c>
      <c r="AI854" s="65" t="str">
        <f>IFERROR(__xludf.DUMMYFUNCTION("""COMPUTED_VALUE"""),"02-03-2026")</f>
        <v>02-03-2026</v>
      </c>
      <c r="AJ854" s="65"/>
      <c r="AK854" s="65"/>
      <c r="AL854" s="65"/>
      <c r="AM854" s="65"/>
      <c r="AN854" s="65" t="str">
        <f>IFERROR(__xludf.DUMMYFUNCTION("""COMPUTED_VALUE"""),"08:48")</f>
        <v>08:48</v>
      </c>
      <c r="AO854" s="65" t="str">
        <f>IFERROR(__xludf.DUMMYFUNCTION("""COMPUTED_VALUE"""),"03-03-2026")</f>
        <v>03-03-2026</v>
      </c>
      <c r="AP854" s="65" t="str">
        <f>IFERROR(__xludf.DUMMYFUNCTION("""COMPUTED_VALUE"""),"DEV CONFIRMADA POR BODEGA")</f>
        <v>DEV CONFIRMADA POR BODEGA</v>
      </c>
      <c r="AQ854" s="65"/>
      <c r="AR854" s="65" t="str">
        <f>IFERROR(__xludf.DUMMYFUNCTION("""COMPUTED_VALUE"""),"Gestionado por: PROVEDIX DAMIAN, email:enviogratisdirecto@gmail.com, total de productos en la orden: 1")</f>
        <v>Gestionado por: PROVEDIX DAMIAN, email:enviogratisdirecto@gmail.com, total de productos en la orden: 1</v>
      </c>
      <c r="AS854" s="65"/>
      <c r="AT854" s="65" t="str">
        <f>IFERROR(__xludf.DUMMYFUNCTION("""COMPUTED_VALUE"""),"SHOPIFY")</f>
        <v>SHOPIFY</v>
      </c>
      <c r="AU854" s="65" t="str">
        <f>IFERROR(__xludf.DUMMYFUNCTION("""COMPUTED_VALUE"""),"IMPORTEX EC")</f>
        <v>IMPORTEX EC</v>
      </c>
      <c r="AV854" s="65" t="str">
        <f>IFERROR(__xludf.DUMMYFUNCTION("""COMPUTED_VALUE"""),"6497695465516")</f>
        <v>6497695465516</v>
      </c>
      <c r="AW854" s="65">
        <f>IFERROR(__xludf.DUMMYFUNCTION("""COMPUTED_VALUE"""),6032.0)</f>
        <v>6032</v>
      </c>
      <c r="AX854" s="65"/>
      <c r="AY854" s="65" t="str">
        <f>IFERROR(__xludf.DUMMYFUNCTION("""COMPUTED_VALUE"""),"13/02/2026")</f>
        <v>13/02/2026</v>
      </c>
      <c r="AZ854" s="65"/>
      <c r="BA854" s="65"/>
    </row>
    <row r="855">
      <c r="A855" s="65" t="str">
        <f>IFERROR(__xludf.DUMMYFUNCTION("""COMPUTED_VALUE"""),"27-03-2026")</f>
        <v>27-03-2026</v>
      </c>
      <c r="B855" s="65">
        <f>IFERROR(__xludf.DUMMYFUNCTION("""COMPUTED_VALUE"""),4485606.0)</f>
        <v>4485606</v>
      </c>
      <c r="C855" s="65" t="str">
        <f>IFERROR(__xludf.DUMMYFUNCTION("""COMPUTED_VALUE"""),"00:35")</f>
        <v>00:35</v>
      </c>
      <c r="D855" s="65" t="str">
        <f>IFERROR(__xludf.DUMMYFUNCTION("""COMPUTED_VALUE"""),"12-02-2026")</f>
        <v>12-02-2026</v>
      </c>
      <c r="E855" s="65" t="str">
        <f>IFERROR(__xludf.DUMMYFUNCTION("""COMPUTED_VALUE"""),"Ralph quiñonez solis quiñonez solis")</f>
        <v>Ralph quiñonez solis quiñonez solis</v>
      </c>
      <c r="F855" s="65" t="str">
        <f>IFERROR(__xludf.DUMMYFUNCTION("""COMPUTED_VALUE"""),"961959760")</f>
        <v>961959760</v>
      </c>
      <c r="G855" s="65" t="str">
        <f>IFERROR(__xludf.DUMMYFUNCTION("""COMPUTED_VALUE"""),"ralphquinonez1974@gmail.com")</f>
        <v>ralphquinonez1974@gmail.com</v>
      </c>
      <c r="H855" s="65"/>
      <c r="I855" s="65"/>
      <c r="J855" s="65" t="str">
        <f>IFERROR(__xludf.DUMMYFUNCTION("""COMPUTED_VALUE"""),"D001324349")</f>
        <v>D001324349</v>
      </c>
      <c r="K855" s="65" t="str">
        <f>IFERROR(__xludf.DUMMYFUNCTION("""COMPUTED_VALUE"""),"ENTREGADO")</f>
        <v>ENTREGADO</v>
      </c>
      <c r="L855" s="65" t="str">
        <f>IFERROR(__xludf.DUMMYFUNCTION("""COMPUTED_VALUE"""),"CON RECAUDO")</f>
        <v>CON RECAUDO</v>
      </c>
      <c r="M855" s="65" t="str">
        <f>IFERROR(__xludf.DUMMYFUNCTION("""COMPUTED_VALUE"""),"ORELLANA")</f>
        <v>ORELLANA</v>
      </c>
      <c r="N855" s="65" t="str">
        <f>IFERROR(__xludf.DUMMYFUNCTION("""COMPUTED_VALUE"""),"EL COCA")</f>
        <v>EL COCA</v>
      </c>
      <c r="O855" s="65" t="str">
        <f>IFERROR(__xludf.DUMMYFUNCTION("""COMPUTED_VALUE"""),"Quito y Clemente Rodriguez Frente a la Coop de ahorros - Almacén moto exito frente a la Coop copac")</f>
        <v>Quito y Clemente Rodriguez Frente a la Coop de ahorros - Almacén moto exito frente a la Coop copac</v>
      </c>
      <c r="P855" s="65"/>
      <c r="Q855" s="65" t="str">
        <f>IFERROR(__xludf.DUMMYFUNCTION("""COMPUTED_VALUE"""),"GINTRACOM")</f>
        <v>GINTRACOM</v>
      </c>
      <c r="R855" s="65">
        <f>IFERROR(__xludf.DUMMYFUNCTION("""COMPUTED_VALUE"""),22.0)</f>
        <v>22</v>
      </c>
      <c r="S855" s="65">
        <f>IFERROR(__xludf.DUMMYFUNCTION("""COMPUTED_VALUE"""),10.96)</f>
        <v>10.96</v>
      </c>
      <c r="T855" s="65">
        <f>IFERROR(__xludf.DUMMYFUNCTION("""COMPUTED_VALUE"""),5.84)</f>
        <v>5.84</v>
      </c>
      <c r="U855" s="65">
        <f>IFERROR(__xludf.DUMMYFUNCTION("""COMPUTED_VALUE"""),0.0)</f>
        <v>0</v>
      </c>
      <c r="V855" s="65">
        <f>IFERROR(__xludf.DUMMYFUNCTION("""COMPUTED_VALUE"""),0.0)</f>
        <v>0</v>
      </c>
      <c r="W855" s="65">
        <f>IFERROR(__xludf.DUMMYFUNCTION("""COMPUTED_VALUE"""),0.0)</f>
        <v>0</v>
      </c>
      <c r="X855" s="65">
        <f>IFERROR(__xludf.DUMMYFUNCTION("""COMPUTED_VALUE"""),2.6)</f>
        <v>2.6</v>
      </c>
      <c r="Y855" s="65">
        <f>IFERROR(__xludf.DUMMYFUNCTION("""COMPUTED_VALUE"""),5.2)</f>
        <v>5.2</v>
      </c>
      <c r="Z855" s="65">
        <f>IFERROR(__xludf.DUMMYFUNCTION("""COMPUTED_VALUE"""),121983.0)</f>
        <v>121983</v>
      </c>
      <c r="AA855" s="65" t="str">
        <f>IFERROR(__xludf.DUMMYFUNCTION("""COMPUTED_VALUE"""),"PROV-CHLLCF")</f>
        <v>PROV-CHLLCF</v>
      </c>
      <c r="AB855" s="65"/>
      <c r="AC855" s="65" t="str">
        <f>IFERROR(__xludf.DUMMYFUNCTION("""COMPUTED_VALUE"""),"CUCHILLO PARA CHEF")</f>
        <v>CUCHILLO PARA CHEF</v>
      </c>
      <c r="AD855" s="65"/>
      <c r="AE855" s="65">
        <f>IFERROR(__xludf.DUMMYFUNCTION("""COMPUTED_VALUE"""),2.0)</f>
        <v>2</v>
      </c>
      <c r="AF855" s="65"/>
      <c r="AG855" s="65"/>
      <c r="AH855" s="65"/>
      <c r="AI855" s="65"/>
      <c r="AJ855" s="65"/>
      <c r="AK855" s="65"/>
      <c r="AL855" s="65"/>
      <c r="AM855" s="65"/>
      <c r="AN855" s="65" t="str">
        <f>IFERROR(__xludf.DUMMYFUNCTION("""COMPUTED_VALUE"""),"12:20")</f>
        <v>12:20</v>
      </c>
      <c r="AO855" s="65" t="str">
        <f>IFERROR(__xludf.DUMMYFUNCTION("""COMPUTED_VALUE"""),"18-02-2026")</f>
        <v>18-02-2026</v>
      </c>
      <c r="AP855" s="65" t="str">
        <f>IFERROR(__xludf.DUMMYFUNCTION("""COMPUTED_VALUE"""),"ENTREGADA GINTRACOM")</f>
        <v>ENTREGADA GINTRACOM</v>
      </c>
      <c r="AQ855" s="65" t="str">
        <f>IFERROR(__xludf.DUMMYFUNCTION("""COMPUTED_VALUE"""),"ENTREGADA GINTRACOM")</f>
        <v>ENTREGADA GINTRACOM</v>
      </c>
      <c r="AR855" s="65"/>
      <c r="AS855" s="65"/>
      <c r="AT855" s="65" t="str">
        <f>IFERROR(__xludf.DUMMYFUNCTION("""COMPUTED_VALUE"""),"SHOPIFY")</f>
        <v>SHOPIFY</v>
      </c>
      <c r="AU855" s="65" t="str">
        <f>IFERROR(__xludf.DUMMYFUNCTION("""COMPUTED_VALUE"""),"IMPORTEX EC")</f>
        <v>IMPORTEX EC</v>
      </c>
      <c r="AV855" s="65" t="str">
        <f>IFERROR(__xludf.DUMMYFUNCTION("""COMPUTED_VALUE"""),"6497534410796")</f>
        <v>6497534410796</v>
      </c>
      <c r="AW855" s="65">
        <f>IFERROR(__xludf.DUMMYFUNCTION("""COMPUTED_VALUE"""),6031.0)</f>
        <v>6031</v>
      </c>
      <c r="AX855" s="65"/>
      <c r="AY855" s="65" t="str">
        <f>IFERROR(__xludf.DUMMYFUNCTION("""COMPUTED_VALUE"""),"13/02/2026")</f>
        <v>13/02/2026</v>
      </c>
      <c r="AZ855" s="65"/>
      <c r="BA855" s="65"/>
    </row>
    <row r="856">
      <c r="A856" s="65" t="str">
        <f>IFERROR(__xludf.DUMMYFUNCTION("""COMPUTED_VALUE"""),"27-03-2026")</f>
        <v>27-03-2026</v>
      </c>
      <c r="B856" s="65">
        <f>IFERROR(__xludf.DUMMYFUNCTION("""COMPUTED_VALUE"""),4485261.0)</f>
        <v>4485261</v>
      </c>
      <c r="C856" s="65" t="str">
        <f>IFERROR(__xludf.DUMMYFUNCTION("""COMPUTED_VALUE"""),"23:23")</f>
        <v>23:23</v>
      </c>
      <c r="D856" s="65" t="str">
        <f>IFERROR(__xludf.DUMMYFUNCTION("""COMPUTED_VALUE"""),"11-02-2026")</f>
        <v>11-02-2026</v>
      </c>
      <c r="E856" s="65" t="str">
        <f>IFERROR(__xludf.DUMMYFUNCTION("""COMPUTED_VALUE"""),"Freddy Valarezo")</f>
        <v>Freddy Valarezo</v>
      </c>
      <c r="F856" s="65" t="str">
        <f>IFERROR(__xludf.DUMMYFUNCTION("""COMPUTED_VALUE"""),"994504664")</f>
        <v>994504664</v>
      </c>
      <c r="G856" s="65" t="str">
        <f>IFERROR(__xludf.DUMMYFUNCTION("""COMPUTED_VALUE"""),"freddy_valarezo@hotmail.es")</f>
        <v>freddy_valarezo@hotmail.es</v>
      </c>
      <c r="H856" s="65"/>
      <c r="I856" s="65"/>
      <c r="J856" s="65"/>
      <c r="K856" s="65" t="str">
        <f>IFERROR(__xludf.DUMMYFUNCTION("""COMPUTED_VALUE"""),"CANCELADO")</f>
        <v>CANCELADO</v>
      </c>
      <c r="L856" s="65" t="str">
        <f>IFERROR(__xludf.DUMMYFUNCTION("""COMPUTED_VALUE"""),"CON RECAUDO")</f>
        <v>CON RECAUDO</v>
      </c>
      <c r="M856" s="65" t="str">
        <f>IFERROR(__xludf.DUMMYFUNCTION("""COMPUTED_VALUE"""),"EL ORO")</f>
        <v>EL ORO</v>
      </c>
      <c r="N856" s="65" t="str">
        <f>IFERROR(__xludf.DUMMYFUNCTION("""COMPUTED_VALUE"""),"MACHALA")</f>
        <v>MACHALA</v>
      </c>
      <c r="O856" s="65" t="str">
        <f>IFERROR(__xludf.DUMMYFUNCTION("""COMPUTED_VALUE"""),"Las crucitas Argentina e/ecuador y chile 14-k -")</f>
        <v>Las crucitas Argentina e/ecuador y chile 14-k -</v>
      </c>
      <c r="P856" s="65"/>
      <c r="Q856" s="65" t="str">
        <f>IFERROR(__xludf.DUMMYFUNCTION("""COMPUTED_VALUE"""),"GINTRACOM")</f>
        <v>GINTRACOM</v>
      </c>
      <c r="R856" s="65">
        <f>IFERROR(__xludf.DUMMYFUNCTION("""COMPUTED_VALUE"""),22.0)</f>
        <v>22</v>
      </c>
      <c r="S856" s="65"/>
      <c r="T856" s="65">
        <f>IFERROR(__xludf.DUMMYFUNCTION("""COMPUTED_VALUE"""),5.84)</f>
        <v>5.84</v>
      </c>
      <c r="U856" s="65">
        <f>IFERROR(__xludf.DUMMYFUNCTION("""COMPUTED_VALUE"""),0.0)</f>
        <v>0</v>
      </c>
      <c r="V856" s="65">
        <f>IFERROR(__xludf.DUMMYFUNCTION("""COMPUTED_VALUE"""),0.0)</f>
        <v>0</v>
      </c>
      <c r="W856" s="65">
        <f>IFERROR(__xludf.DUMMYFUNCTION("""COMPUTED_VALUE"""),0.0)</f>
        <v>0</v>
      </c>
      <c r="X856" s="65">
        <f>IFERROR(__xludf.DUMMYFUNCTION("""COMPUTED_VALUE"""),2.6)</f>
        <v>2.6</v>
      </c>
      <c r="Y856" s="65">
        <f>IFERROR(__xludf.DUMMYFUNCTION("""COMPUTED_VALUE"""),5.2)</f>
        <v>5.2</v>
      </c>
      <c r="Z856" s="65">
        <f>IFERROR(__xludf.DUMMYFUNCTION("""COMPUTED_VALUE"""),121983.0)</f>
        <v>121983</v>
      </c>
      <c r="AA856" s="65" t="str">
        <f>IFERROR(__xludf.DUMMYFUNCTION("""COMPUTED_VALUE"""),"PROV-CHLLCF")</f>
        <v>PROV-CHLLCF</v>
      </c>
      <c r="AB856" s="65"/>
      <c r="AC856" s="65" t="str">
        <f>IFERROR(__xludf.DUMMYFUNCTION("""COMPUTED_VALUE"""),"CUCHILLO PARA CHEF")</f>
        <v>CUCHILLO PARA CHEF</v>
      </c>
      <c r="AD856" s="65"/>
      <c r="AE856" s="65">
        <f>IFERROR(__xludf.DUMMYFUNCTION("""COMPUTED_VALUE"""),2.0)</f>
        <v>2</v>
      </c>
      <c r="AF856" s="65"/>
      <c r="AG856" s="65"/>
      <c r="AH856" s="65"/>
      <c r="AI856" s="65"/>
      <c r="AJ856" s="65"/>
      <c r="AK856" s="65"/>
      <c r="AL856" s="65"/>
      <c r="AM856" s="65"/>
      <c r="AN856" s="65"/>
      <c r="AO856" s="65"/>
      <c r="AP856" s="65"/>
      <c r="AQ856" s="65"/>
      <c r="AR856" s="65"/>
      <c r="AS856" s="65"/>
      <c r="AT856" s="65" t="str">
        <f>IFERROR(__xludf.DUMMYFUNCTION("""COMPUTED_VALUE"""),"SHOPIFY")</f>
        <v>SHOPIFY</v>
      </c>
      <c r="AU856" s="65" t="str">
        <f>IFERROR(__xludf.DUMMYFUNCTION("""COMPUTED_VALUE"""),"IMPORTEX EC")</f>
        <v>IMPORTEX EC</v>
      </c>
      <c r="AV856" s="65" t="str">
        <f>IFERROR(__xludf.DUMMYFUNCTION("""COMPUTED_VALUE"""),"6497424637996")</f>
        <v>6497424637996</v>
      </c>
      <c r="AW856" s="65">
        <f>IFERROR(__xludf.DUMMYFUNCTION("""COMPUTED_VALUE"""),6030.0)</f>
        <v>6030</v>
      </c>
      <c r="AX856" s="65"/>
      <c r="AY856" s="65"/>
      <c r="AZ856" s="65"/>
      <c r="BA856" s="65"/>
    </row>
    <row r="857">
      <c r="A857" s="65" t="str">
        <f>IFERROR(__xludf.DUMMYFUNCTION("""COMPUTED_VALUE"""),"27-03-2026")</f>
        <v>27-03-2026</v>
      </c>
      <c r="B857" s="65">
        <f>IFERROR(__xludf.DUMMYFUNCTION("""COMPUTED_VALUE"""),4485107.0)</f>
        <v>4485107</v>
      </c>
      <c r="C857" s="65" t="str">
        <f>IFERROR(__xludf.DUMMYFUNCTION("""COMPUTED_VALUE"""),"23:08")</f>
        <v>23:08</v>
      </c>
      <c r="D857" s="65" t="str">
        <f>IFERROR(__xludf.DUMMYFUNCTION("""COMPUTED_VALUE"""),"11-02-2026")</f>
        <v>11-02-2026</v>
      </c>
      <c r="E857" s="65" t="str">
        <f>IFERROR(__xludf.DUMMYFUNCTION("""COMPUTED_VALUE"""),"Alberto Estupiñan")</f>
        <v>Alberto Estupiñan</v>
      </c>
      <c r="F857" s="65" t="str">
        <f>IFERROR(__xludf.DUMMYFUNCTION("""COMPUTED_VALUE"""),"981469664")</f>
        <v>981469664</v>
      </c>
      <c r="G857" s="65" t="str">
        <f>IFERROR(__xludf.DUMMYFUNCTION("""COMPUTED_VALUE"""),"wilmerbarros@hotmail.es")</f>
        <v>wilmerbarros@hotmail.es</v>
      </c>
      <c r="H857" s="65"/>
      <c r="I857" s="65"/>
      <c r="J857" s="65" t="str">
        <f>IFERROR(__xludf.DUMMYFUNCTION("""COMPUTED_VALUE"""),"D001324351")</f>
        <v>D001324351</v>
      </c>
      <c r="K857" s="65" t="str">
        <f>IFERROR(__xludf.DUMMYFUNCTION("""COMPUTED_VALUE"""),"DEVOLUCION")</f>
        <v>DEVOLUCION</v>
      </c>
      <c r="L857" s="65" t="str">
        <f>IFERROR(__xludf.DUMMYFUNCTION("""COMPUTED_VALUE"""),"CON RECAUDO")</f>
        <v>CON RECAUDO</v>
      </c>
      <c r="M857" s="65" t="str">
        <f>IFERROR(__xludf.DUMMYFUNCTION("""COMPUTED_VALUE"""),"PICHINCHA")</f>
        <v>PICHINCHA</v>
      </c>
      <c r="N857" s="65" t="str">
        <f>IFERROR(__xludf.DUMMYFUNCTION("""COMPUTED_VALUE"""),"QUITO")</f>
        <v>QUITO</v>
      </c>
      <c r="O857" s="65" t="str">
        <f>IFERROR(__xludf.DUMMYFUNCTION("""COMPUTED_VALUE"""),"Av. Real Audiencia Casa fibeca -Entre Jose Amesaba y Nazacota Puento")</f>
        <v>Av. Real Audiencia Casa fibeca -Entre Jose Amesaba y Nazacota Puento</v>
      </c>
      <c r="P857" s="65"/>
      <c r="Q857" s="65" t="str">
        <f>IFERROR(__xludf.DUMMYFUNCTION("""COMPUTED_VALUE"""),"GINTRACOM")</f>
        <v>GINTRACOM</v>
      </c>
      <c r="R857" s="65">
        <f>IFERROR(__xludf.DUMMYFUNCTION("""COMPUTED_VALUE"""),32.0)</f>
        <v>32</v>
      </c>
      <c r="S857" s="65"/>
      <c r="T857" s="65">
        <f>IFERROR(__xludf.DUMMYFUNCTION("""COMPUTED_VALUE"""),6.24)</f>
        <v>6.24</v>
      </c>
      <c r="U857" s="65">
        <f>IFERROR(__xludf.DUMMYFUNCTION("""COMPUTED_VALUE"""),0.0)</f>
        <v>0</v>
      </c>
      <c r="V857" s="65">
        <f>IFERROR(__xludf.DUMMYFUNCTION("""COMPUTED_VALUE"""),0.0)</f>
        <v>0</v>
      </c>
      <c r="W857" s="65">
        <f>IFERROR(__xludf.DUMMYFUNCTION("""COMPUTED_VALUE"""),0.0)</f>
        <v>0</v>
      </c>
      <c r="X857" s="65">
        <f>IFERROR(__xludf.DUMMYFUNCTION("""COMPUTED_VALUE"""),2.6)</f>
        <v>2.6</v>
      </c>
      <c r="Y857" s="65">
        <f>IFERROR(__xludf.DUMMYFUNCTION("""COMPUTED_VALUE"""),10.4)</f>
        <v>10.4</v>
      </c>
      <c r="Z857" s="65">
        <f>IFERROR(__xludf.DUMMYFUNCTION("""COMPUTED_VALUE"""),121983.0)</f>
        <v>121983</v>
      </c>
      <c r="AA857" s="65" t="str">
        <f>IFERROR(__xludf.DUMMYFUNCTION("""COMPUTED_VALUE"""),"PROV-CHLLCF")</f>
        <v>PROV-CHLLCF</v>
      </c>
      <c r="AB857" s="65"/>
      <c r="AC857" s="65" t="str">
        <f>IFERROR(__xludf.DUMMYFUNCTION("""COMPUTED_VALUE"""),"CUCHILLO PARA CHEF")</f>
        <v>CUCHILLO PARA CHEF</v>
      </c>
      <c r="AD857" s="65"/>
      <c r="AE857" s="65">
        <f>IFERROR(__xludf.DUMMYFUNCTION("""COMPUTED_VALUE"""),4.0)</f>
        <v>4</v>
      </c>
      <c r="AF857" s="65" t="str">
        <f>IFERROR(__xludf.DUMMYFUNCTION("""COMPUTED_VALUE"""),"DESTINATARIO INDICA QUE NO ES EL PRODUCTO QUE SOLICITÓ")</f>
        <v>DESTINATARIO INDICA QUE NO ES EL PRODUCTO QUE SOLICITÓ</v>
      </c>
      <c r="AG857" s="65" t="str">
        <f>IFERROR(__xludf.DUMMYFUNCTION("""COMPUTED_VALUE"""),"NO")</f>
        <v>NO</v>
      </c>
      <c r="AH857" s="65" t="str">
        <f>IFERROR(__xludf.DUMMYFUNCTION("""COMPUTED_VALUE"""),"13:01")</f>
        <v>13:01</v>
      </c>
      <c r="AI857" s="65" t="str">
        <f>IFERROR(__xludf.DUMMYFUNCTION("""COMPUTED_VALUE"""),"17-02-2026")</f>
        <v>17-02-2026</v>
      </c>
      <c r="AJ857" s="65"/>
      <c r="AK857" s="65"/>
      <c r="AL857" s="65"/>
      <c r="AM857" s="65"/>
      <c r="AN857" s="65" t="str">
        <f>IFERROR(__xludf.DUMMYFUNCTION("""COMPUTED_VALUE"""),"01:36")</f>
        <v>01:36</v>
      </c>
      <c r="AO857" s="65" t="str">
        <f>IFERROR(__xludf.DUMMYFUNCTION("""COMPUTED_VALUE"""),"09-03-2026")</f>
        <v>09-03-2026</v>
      </c>
      <c r="AP857" s="65" t="str">
        <f>IFERROR(__xludf.DUMMYFUNCTION("""COMPUTED_VALUE"""),"DEVOLUCIÓN ENTREGADA A ORIGEN")</f>
        <v>DEVOLUCIÓN ENTREGADA A ORIGEN</v>
      </c>
      <c r="AQ857" s="65" t="str">
        <f>IFERROR(__xludf.DUMMYFUNCTION("""COMPUTED_VALUE"""),"DEVOLUCIÓN ENTREGADA A ORIGEN")</f>
        <v>DEVOLUCIÓN ENTREGADA A ORIGEN</v>
      </c>
      <c r="AR857" s="65"/>
      <c r="AS857" s="65"/>
      <c r="AT857" s="65" t="str">
        <f>IFERROR(__xludf.DUMMYFUNCTION("""COMPUTED_VALUE"""),"SHOPIFY")</f>
        <v>SHOPIFY</v>
      </c>
      <c r="AU857" s="65" t="str">
        <f>IFERROR(__xludf.DUMMYFUNCTION("""COMPUTED_VALUE"""),"IMPORTEX EC")</f>
        <v>IMPORTEX EC</v>
      </c>
      <c r="AV857" s="65" t="str">
        <f>IFERROR(__xludf.DUMMYFUNCTION("""COMPUTED_VALUE"""),"6497398259756")</f>
        <v>6497398259756</v>
      </c>
      <c r="AW857" s="65">
        <f>IFERROR(__xludf.DUMMYFUNCTION("""COMPUTED_VALUE"""),6029.0)</f>
        <v>6029</v>
      </c>
      <c r="AX857" s="65"/>
      <c r="AY857" s="65" t="str">
        <f>IFERROR(__xludf.DUMMYFUNCTION("""COMPUTED_VALUE"""),"13/02/2026")</f>
        <v>13/02/2026</v>
      </c>
      <c r="AZ857" s="65"/>
      <c r="BA857" s="65"/>
    </row>
    <row r="858">
      <c r="A858" s="65" t="str">
        <f>IFERROR(__xludf.DUMMYFUNCTION("""COMPUTED_VALUE"""),"27-03-2026")</f>
        <v>27-03-2026</v>
      </c>
      <c r="B858" s="65">
        <f>IFERROR(__xludf.DUMMYFUNCTION("""COMPUTED_VALUE"""),4484906.0)</f>
        <v>4484906</v>
      </c>
      <c r="C858" s="65" t="str">
        <f>IFERROR(__xludf.DUMMYFUNCTION("""COMPUTED_VALUE"""),"22:48")</f>
        <v>22:48</v>
      </c>
      <c r="D858" s="65" t="str">
        <f>IFERROR(__xludf.DUMMYFUNCTION("""COMPUTED_VALUE"""),"11-02-2026")</f>
        <v>11-02-2026</v>
      </c>
      <c r="E858" s="65" t="str">
        <f>IFERROR(__xludf.DUMMYFUNCTION("""COMPUTED_VALUE"""),"Patricio Moreta")</f>
        <v>Patricio Moreta</v>
      </c>
      <c r="F858" s="65" t="str">
        <f>IFERROR(__xludf.DUMMYFUNCTION("""COMPUTED_VALUE"""),"939578560")</f>
        <v>939578560</v>
      </c>
      <c r="G858" s="65"/>
      <c r="H858" s="65"/>
      <c r="I858" s="65"/>
      <c r="J858" s="65"/>
      <c r="K858" s="65" t="str">
        <f>IFERROR(__xludf.DUMMYFUNCTION("""COMPUTED_VALUE"""),"PENDIENTE CONFIRMACION")</f>
        <v>PENDIENTE CONFIRMACION</v>
      </c>
      <c r="L858" s="65" t="str">
        <f>IFERROR(__xludf.DUMMYFUNCTION("""COMPUTED_VALUE"""),"CON RECAUDO")</f>
        <v>CON RECAUDO</v>
      </c>
      <c r="M858" s="65" t="str">
        <f>IFERROR(__xludf.DUMMYFUNCTION("""COMPUTED_VALUE"""),"PICHINCHA")</f>
        <v>PICHINCHA</v>
      </c>
      <c r="N858" s="65" t="str">
        <f>IFERROR(__xludf.DUMMYFUNCTION("""COMPUTED_VALUE"""),"CONOCOTO")</f>
        <v>CONOCOTO</v>
      </c>
      <c r="O858" s="65" t="str">
        <f>IFERROR(__xludf.DUMMYFUNCTION("""COMPUTED_VALUE"""),"Conocoto  Via  los  Cuarteles Cop.  Don  Eloy  ( Parque  Miranda ) -")</f>
        <v>Conocoto  Via  los  Cuarteles Cop.  Don  Eloy  ( Parque  Miranda ) -</v>
      </c>
      <c r="P858" s="65"/>
      <c r="Q858" s="65" t="str">
        <f>IFERROR(__xludf.DUMMYFUNCTION("""COMPUTED_VALUE"""),"GINTRACOM")</f>
        <v>GINTRACOM</v>
      </c>
      <c r="R858" s="65">
        <f>IFERROR(__xludf.DUMMYFUNCTION("""COMPUTED_VALUE"""),22.0)</f>
        <v>22</v>
      </c>
      <c r="S858" s="65"/>
      <c r="T858" s="65">
        <f>IFERROR(__xludf.DUMMYFUNCTION("""COMPUTED_VALUE"""),5.84)</f>
        <v>5.84</v>
      </c>
      <c r="U858" s="65">
        <f>IFERROR(__xludf.DUMMYFUNCTION("""COMPUTED_VALUE"""),0.0)</f>
        <v>0</v>
      </c>
      <c r="V858" s="65">
        <f>IFERROR(__xludf.DUMMYFUNCTION("""COMPUTED_VALUE"""),0.0)</f>
        <v>0</v>
      </c>
      <c r="W858" s="65">
        <f>IFERROR(__xludf.DUMMYFUNCTION("""COMPUTED_VALUE"""),0.0)</f>
        <v>0</v>
      </c>
      <c r="X858" s="65">
        <f>IFERROR(__xludf.DUMMYFUNCTION("""COMPUTED_VALUE"""),2.6)</f>
        <v>2.6</v>
      </c>
      <c r="Y858" s="65">
        <f>IFERROR(__xludf.DUMMYFUNCTION("""COMPUTED_VALUE"""),5.2)</f>
        <v>5.2</v>
      </c>
      <c r="Z858" s="65">
        <f>IFERROR(__xludf.DUMMYFUNCTION("""COMPUTED_VALUE"""),121983.0)</f>
        <v>121983</v>
      </c>
      <c r="AA858" s="65" t="str">
        <f>IFERROR(__xludf.DUMMYFUNCTION("""COMPUTED_VALUE"""),"PROV-CHLLCF")</f>
        <v>PROV-CHLLCF</v>
      </c>
      <c r="AB858" s="65"/>
      <c r="AC858" s="65" t="str">
        <f>IFERROR(__xludf.DUMMYFUNCTION("""COMPUTED_VALUE"""),"CUCHILLO PARA CHEF")</f>
        <v>CUCHILLO PARA CHEF</v>
      </c>
      <c r="AD858" s="65"/>
      <c r="AE858" s="65">
        <f>IFERROR(__xludf.DUMMYFUNCTION("""COMPUTED_VALUE"""),2.0)</f>
        <v>2</v>
      </c>
      <c r="AF858" s="65"/>
      <c r="AG858" s="65"/>
      <c r="AH858" s="65"/>
      <c r="AI858" s="65"/>
      <c r="AJ858" s="65"/>
      <c r="AK858" s="65"/>
      <c r="AL858" s="65"/>
      <c r="AM858" s="65"/>
      <c r="AN858" s="65"/>
      <c r="AO858" s="65"/>
      <c r="AP858" s="65"/>
      <c r="AQ858" s="65"/>
      <c r="AR858" s="65"/>
      <c r="AS858" s="65"/>
      <c r="AT858" s="65" t="str">
        <f>IFERROR(__xludf.DUMMYFUNCTION("""COMPUTED_VALUE"""),"SHOPIFY")</f>
        <v>SHOPIFY</v>
      </c>
      <c r="AU858" s="65" t="str">
        <f>IFERROR(__xludf.DUMMYFUNCTION("""COMPUTED_VALUE"""),"IMPORTEX EC")</f>
        <v>IMPORTEX EC</v>
      </c>
      <c r="AV858" s="65" t="str">
        <f>IFERROR(__xludf.DUMMYFUNCTION("""COMPUTED_VALUE"""),"6497360478252")</f>
        <v>6497360478252</v>
      </c>
      <c r="AW858" s="65">
        <f>IFERROR(__xludf.DUMMYFUNCTION("""COMPUTED_VALUE"""),6028.0)</f>
        <v>6028</v>
      </c>
      <c r="AX858" s="65"/>
      <c r="AY858" s="65"/>
      <c r="AZ858" s="65"/>
      <c r="BA858" s="65"/>
    </row>
    <row r="859">
      <c r="A859" s="65" t="str">
        <f>IFERROR(__xludf.DUMMYFUNCTION("""COMPUTED_VALUE"""),"27-03-2026")</f>
        <v>27-03-2026</v>
      </c>
      <c r="B859" s="65">
        <f>IFERROR(__xludf.DUMMYFUNCTION("""COMPUTED_VALUE"""),4484663.0)</f>
        <v>4484663</v>
      </c>
      <c r="C859" s="65" t="str">
        <f>IFERROR(__xludf.DUMMYFUNCTION("""COMPUTED_VALUE"""),"22:25")</f>
        <v>22:25</v>
      </c>
      <c r="D859" s="65" t="str">
        <f>IFERROR(__xludf.DUMMYFUNCTION("""COMPUTED_VALUE"""),"11-02-2026")</f>
        <v>11-02-2026</v>
      </c>
      <c r="E859" s="65" t="str">
        <f>IFERROR(__xludf.DUMMYFUNCTION("""COMPUTED_VALUE"""),"Edisson Cadena Cadena Lopez")</f>
        <v>Edisson Cadena Cadena Lopez</v>
      </c>
      <c r="F859" s="65" t="str">
        <f>IFERROR(__xludf.DUMMYFUNCTION("""COMPUTED_VALUE"""),"986522950")</f>
        <v>986522950</v>
      </c>
      <c r="G859" s="65" t="str">
        <f>IFERROR(__xludf.DUMMYFUNCTION("""COMPUTED_VALUE"""),"edissoncadena.ec@hotmail.com")</f>
        <v>edissoncadena.ec@hotmail.com</v>
      </c>
      <c r="H859" s="65"/>
      <c r="I859" s="65"/>
      <c r="J859" s="65" t="str">
        <f>IFERROR(__xludf.DUMMYFUNCTION("""COMPUTED_VALUE"""),"D001324352")</f>
        <v>D001324352</v>
      </c>
      <c r="K859" s="65" t="str">
        <f>IFERROR(__xludf.DUMMYFUNCTION("""COMPUTED_VALUE"""),"ENTREGADO")</f>
        <v>ENTREGADO</v>
      </c>
      <c r="L859" s="65" t="str">
        <f>IFERROR(__xludf.DUMMYFUNCTION("""COMPUTED_VALUE"""),"CON RECAUDO")</f>
        <v>CON RECAUDO</v>
      </c>
      <c r="M859" s="65" t="str">
        <f>IFERROR(__xludf.DUMMYFUNCTION("""COMPUTED_VALUE"""),"GUAYAS")</f>
        <v>GUAYAS</v>
      </c>
      <c r="N859" s="65" t="str">
        <f>IFERROR(__xludf.DUMMYFUNCTION("""COMPUTED_VALUE"""),"SAMBORONDON")</f>
        <v>SAMBORONDON</v>
      </c>
      <c r="O859" s="65" t="str">
        <f>IFERROR(__xludf.DUMMYFUNCTION("""COMPUTED_VALUE"""),"Km 7 via a samborondon, Isla M Urb Isla del Rio villa 41 -")</f>
        <v>Km 7 via a samborondon, Isla M Urb Isla del Rio villa 41 -</v>
      </c>
      <c r="P859" s="65"/>
      <c r="Q859" s="65" t="str">
        <f>IFERROR(__xludf.DUMMYFUNCTION("""COMPUTED_VALUE"""),"GINTRACOM")</f>
        <v>GINTRACOM</v>
      </c>
      <c r="R859" s="65">
        <f>IFERROR(__xludf.DUMMYFUNCTION("""COMPUTED_VALUE"""),30.0)</f>
        <v>30</v>
      </c>
      <c r="S859" s="65">
        <f>IFERROR(__xludf.DUMMYFUNCTION("""COMPUTED_VALUE"""),17.22)</f>
        <v>17.22</v>
      </c>
      <c r="T859" s="65">
        <f>IFERROR(__xludf.DUMMYFUNCTION("""COMPUTED_VALUE"""),5.58)</f>
        <v>5.58</v>
      </c>
      <c r="U859" s="65">
        <f>IFERROR(__xludf.DUMMYFUNCTION("""COMPUTED_VALUE"""),0.0)</f>
        <v>0</v>
      </c>
      <c r="V859" s="65">
        <f>IFERROR(__xludf.DUMMYFUNCTION("""COMPUTED_VALUE"""),0.0)</f>
        <v>0</v>
      </c>
      <c r="W859" s="65">
        <f>IFERROR(__xludf.DUMMYFUNCTION("""COMPUTED_VALUE"""),0.0)</f>
        <v>0</v>
      </c>
      <c r="X859" s="65">
        <f>IFERROR(__xludf.DUMMYFUNCTION("""COMPUTED_VALUE"""),2.4)</f>
        <v>2.4</v>
      </c>
      <c r="Y859" s="65">
        <f>IFERROR(__xludf.DUMMYFUNCTION("""COMPUTED_VALUE"""),7.2)</f>
        <v>7.2</v>
      </c>
      <c r="Z859" s="65">
        <f>IFERROR(__xludf.DUMMYFUNCTION("""COMPUTED_VALUE"""),120732.0)</f>
        <v>120732</v>
      </c>
      <c r="AA859" s="65" t="str">
        <f>IFERROR(__xludf.DUMMYFUNCTION("""COMPUTED_VALUE"""),"PROV-LMPVT")</f>
        <v>PROV-LMPVT</v>
      </c>
      <c r="AB859" s="65"/>
      <c r="AC859" s="65" t="str">
        <f>IFERROR(__xludf.DUMMYFUNCTION("""COMPUTED_VALUE"""),"LIMPIADOR DE PARABRISAS Y VENTANAS")</f>
        <v>LIMPIADOR DE PARABRISAS Y VENTANAS</v>
      </c>
      <c r="AD859" s="65"/>
      <c r="AE859" s="65">
        <f>IFERROR(__xludf.DUMMYFUNCTION("""COMPUTED_VALUE"""),3.0)</f>
        <v>3</v>
      </c>
      <c r="AF859" s="65"/>
      <c r="AG859" s="65"/>
      <c r="AH859" s="65"/>
      <c r="AI859" s="65"/>
      <c r="AJ859" s="65"/>
      <c r="AK859" s="65"/>
      <c r="AL859" s="65"/>
      <c r="AM859" s="65"/>
      <c r="AN859" s="65" t="str">
        <f>IFERROR(__xludf.DUMMYFUNCTION("""COMPUTED_VALUE"""),"13:17")</f>
        <v>13:17</v>
      </c>
      <c r="AO859" s="65" t="str">
        <f>IFERROR(__xludf.DUMMYFUNCTION("""COMPUTED_VALUE"""),"14-02-2026")</f>
        <v>14-02-2026</v>
      </c>
      <c r="AP859" s="65" t="str">
        <f>IFERROR(__xludf.DUMMYFUNCTION("""COMPUTED_VALUE"""),"ENTREGADA GINTRACOM")</f>
        <v>ENTREGADA GINTRACOM</v>
      </c>
      <c r="AQ859" s="65" t="str">
        <f>IFERROR(__xludf.DUMMYFUNCTION("""COMPUTED_VALUE"""),"ENTREGADA GINTRACOM")</f>
        <v>ENTREGADA GINTRACOM</v>
      </c>
      <c r="AR859" s="65"/>
      <c r="AS859" s="65"/>
      <c r="AT859" s="65" t="str">
        <f>IFERROR(__xludf.DUMMYFUNCTION("""COMPUTED_VALUE"""),"SHOPIFY")</f>
        <v>SHOPIFY</v>
      </c>
      <c r="AU859" s="65" t="str">
        <f>IFERROR(__xludf.DUMMYFUNCTION("""COMPUTED_VALUE"""),"IMPORTEX EC")</f>
        <v>IMPORTEX EC</v>
      </c>
      <c r="AV859" s="65" t="str">
        <f>IFERROR(__xludf.DUMMYFUNCTION("""COMPUTED_VALUE"""),"6497317158956")</f>
        <v>6497317158956</v>
      </c>
      <c r="AW859" s="65">
        <f>IFERROR(__xludf.DUMMYFUNCTION("""COMPUTED_VALUE"""),6027.0)</f>
        <v>6027</v>
      </c>
      <c r="AX859" s="65"/>
      <c r="AY859" s="65" t="str">
        <f>IFERROR(__xludf.DUMMYFUNCTION("""COMPUTED_VALUE"""),"13/02/2026")</f>
        <v>13/02/2026</v>
      </c>
      <c r="AZ859" s="65"/>
      <c r="BA859" s="65"/>
    </row>
    <row r="860">
      <c r="A860" s="65" t="str">
        <f>IFERROR(__xludf.DUMMYFUNCTION("""COMPUTED_VALUE"""),"27-03-2026")</f>
        <v>27-03-2026</v>
      </c>
      <c r="B860" s="65">
        <f>IFERROR(__xludf.DUMMYFUNCTION("""COMPUTED_VALUE"""),4484661.0)</f>
        <v>4484661</v>
      </c>
      <c r="C860" s="65" t="str">
        <f>IFERROR(__xludf.DUMMYFUNCTION("""COMPUTED_VALUE"""),"22:25")</f>
        <v>22:25</v>
      </c>
      <c r="D860" s="65" t="str">
        <f>IFERROR(__xludf.DUMMYFUNCTION("""COMPUTED_VALUE"""),"11-02-2026")</f>
        <v>11-02-2026</v>
      </c>
      <c r="E860" s="65" t="str">
        <f>IFERROR(__xludf.DUMMYFUNCTION("""COMPUTED_VALUE"""),"Victor lecni Moreira delgado")</f>
        <v>Victor lecni Moreira delgado</v>
      </c>
      <c r="F860" s="65" t="str">
        <f>IFERROR(__xludf.DUMMYFUNCTION("""COMPUTED_VALUE"""),"995552072")</f>
        <v>995552072</v>
      </c>
      <c r="G860" s="65" t="str">
        <f>IFERROR(__xludf.DUMMYFUNCTION("""COMPUTED_VALUE"""),"moreiravl1964@gmail.com")</f>
        <v>moreiravl1964@gmail.com</v>
      </c>
      <c r="H860" s="65"/>
      <c r="I860" s="65"/>
      <c r="J860" s="65" t="str">
        <f>IFERROR(__xludf.DUMMYFUNCTION("""COMPUTED_VALUE"""),"D001324354")</f>
        <v>D001324354</v>
      </c>
      <c r="K860" s="65" t="str">
        <f>IFERROR(__xludf.DUMMYFUNCTION("""COMPUTED_VALUE"""),"DEVOLUCION")</f>
        <v>DEVOLUCION</v>
      </c>
      <c r="L860" s="65" t="str">
        <f>IFERROR(__xludf.DUMMYFUNCTION("""COMPUTED_VALUE"""),"CON RECAUDO")</f>
        <v>CON RECAUDO</v>
      </c>
      <c r="M860" s="65" t="str">
        <f>IFERROR(__xludf.DUMMYFUNCTION("""COMPUTED_VALUE"""),"MANABI")</f>
        <v>MANABI</v>
      </c>
      <c r="N860" s="65" t="str">
        <f>IFERROR(__xludf.DUMMYFUNCTION("""COMPUTED_VALUE"""),"MANTA")</f>
        <v>MANTA</v>
      </c>
      <c r="O860" s="65" t="str">
        <f>IFERROR(__xludf.DUMMYFUNCTION("""COMPUTED_VALUE"""),"Av. 104 y calle 120-121 -")</f>
        <v>Av. 104 y calle 120-121 -</v>
      </c>
      <c r="P860" s="65"/>
      <c r="Q860" s="65" t="str">
        <f>IFERROR(__xludf.DUMMYFUNCTION("""COMPUTED_VALUE"""),"GINTRACOM")</f>
        <v>GINTRACOM</v>
      </c>
      <c r="R860" s="65">
        <f>IFERROR(__xludf.DUMMYFUNCTION("""COMPUTED_VALUE"""),32.0)</f>
        <v>32</v>
      </c>
      <c r="S860" s="65"/>
      <c r="T860" s="65">
        <f>IFERROR(__xludf.DUMMYFUNCTION("""COMPUTED_VALUE"""),6.24)</f>
        <v>6.24</v>
      </c>
      <c r="U860" s="65">
        <f>IFERROR(__xludf.DUMMYFUNCTION("""COMPUTED_VALUE"""),0.0)</f>
        <v>0</v>
      </c>
      <c r="V860" s="65">
        <f>IFERROR(__xludf.DUMMYFUNCTION("""COMPUTED_VALUE"""),0.0)</f>
        <v>0</v>
      </c>
      <c r="W860" s="65">
        <f>IFERROR(__xludf.DUMMYFUNCTION("""COMPUTED_VALUE"""),0.0)</f>
        <v>0</v>
      </c>
      <c r="X860" s="65">
        <f>IFERROR(__xludf.DUMMYFUNCTION("""COMPUTED_VALUE"""),2.6)</f>
        <v>2.6</v>
      </c>
      <c r="Y860" s="65">
        <f>IFERROR(__xludf.DUMMYFUNCTION("""COMPUTED_VALUE"""),10.4)</f>
        <v>10.4</v>
      </c>
      <c r="Z860" s="65">
        <f>IFERROR(__xludf.DUMMYFUNCTION("""COMPUTED_VALUE"""),121983.0)</f>
        <v>121983</v>
      </c>
      <c r="AA860" s="65" t="str">
        <f>IFERROR(__xludf.DUMMYFUNCTION("""COMPUTED_VALUE"""),"PROV-CHLLCF")</f>
        <v>PROV-CHLLCF</v>
      </c>
      <c r="AB860" s="65"/>
      <c r="AC860" s="65" t="str">
        <f>IFERROR(__xludf.DUMMYFUNCTION("""COMPUTED_VALUE"""),"CUCHILLO PARA CHEF")</f>
        <v>CUCHILLO PARA CHEF</v>
      </c>
      <c r="AD860" s="65"/>
      <c r="AE860" s="65">
        <f>IFERROR(__xludf.DUMMYFUNCTION("""COMPUTED_VALUE"""),4.0)</f>
        <v>4</v>
      </c>
      <c r="AF860" s="65" t="str">
        <f>IFERROR(__xludf.DUMMYFUNCTION("""COMPUTED_VALUE"""),"DESTINATARIO INDICA QUE NO TIENE EL DINERO PARA REALIZAR EL PAGO DEL RECAUDO")</f>
        <v>DESTINATARIO INDICA QUE NO TIENE EL DINERO PARA REALIZAR EL PAGO DEL RECAUDO</v>
      </c>
      <c r="AG860" s="65" t="str">
        <f>IFERROR(__xludf.DUMMYFUNCTION("""COMPUTED_VALUE"""),"NO")</f>
        <v>NO</v>
      </c>
      <c r="AH860" s="65" t="str">
        <f>IFERROR(__xludf.DUMMYFUNCTION("""COMPUTED_VALUE"""),"14:26")</f>
        <v>14:26</v>
      </c>
      <c r="AI860" s="65" t="str">
        <f>IFERROR(__xludf.DUMMYFUNCTION("""COMPUTED_VALUE"""),"25-02-2026")</f>
        <v>25-02-2026</v>
      </c>
      <c r="AJ860" s="65"/>
      <c r="AK860" s="65"/>
      <c r="AL860" s="65"/>
      <c r="AM860" s="65"/>
      <c r="AN860" s="65" t="str">
        <f>IFERROR(__xludf.DUMMYFUNCTION("""COMPUTED_VALUE"""),"01:36")</f>
        <v>01:36</v>
      </c>
      <c r="AO860" s="65" t="str">
        <f>IFERROR(__xludf.DUMMYFUNCTION("""COMPUTED_VALUE"""),"09-03-2026")</f>
        <v>09-03-2026</v>
      </c>
      <c r="AP860" s="65" t="str">
        <f>IFERROR(__xludf.DUMMYFUNCTION("""COMPUTED_VALUE"""),"DEVOLUCIÓN ENTREGADA A ORIGEN")</f>
        <v>DEVOLUCIÓN ENTREGADA A ORIGEN</v>
      </c>
      <c r="AQ860" s="65" t="str">
        <f>IFERROR(__xludf.DUMMYFUNCTION("""COMPUTED_VALUE"""),"DEVOLUCIÓN ENTREGADA A ORIGEN")</f>
        <v>DEVOLUCIÓN ENTREGADA A ORIGEN</v>
      </c>
      <c r="AR860" s="65"/>
      <c r="AS860" s="65"/>
      <c r="AT860" s="65" t="str">
        <f>IFERROR(__xludf.DUMMYFUNCTION("""COMPUTED_VALUE"""),"SHOPIFY")</f>
        <v>SHOPIFY</v>
      </c>
      <c r="AU860" s="65" t="str">
        <f>IFERROR(__xludf.DUMMYFUNCTION("""COMPUTED_VALUE"""),"IMPORTEX EC")</f>
        <v>IMPORTEX EC</v>
      </c>
      <c r="AV860" s="65" t="str">
        <f>IFERROR(__xludf.DUMMYFUNCTION("""COMPUTED_VALUE"""),"6497316274220")</f>
        <v>6497316274220</v>
      </c>
      <c r="AW860" s="65">
        <f>IFERROR(__xludf.DUMMYFUNCTION("""COMPUTED_VALUE"""),6026.0)</f>
        <v>6026</v>
      </c>
      <c r="AX860" s="65"/>
      <c r="AY860" s="65" t="str">
        <f>IFERROR(__xludf.DUMMYFUNCTION("""COMPUTED_VALUE"""),"13/02/2026")</f>
        <v>13/02/2026</v>
      </c>
      <c r="AZ860" s="65"/>
      <c r="BA860" s="65"/>
    </row>
    <row r="861">
      <c r="A861" s="65" t="str">
        <f>IFERROR(__xludf.DUMMYFUNCTION("""COMPUTED_VALUE"""),"27-03-2026")</f>
        <v>27-03-2026</v>
      </c>
      <c r="B861" s="65">
        <f>IFERROR(__xludf.DUMMYFUNCTION("""COMPUTED_VALUE"""),4484575.0)</f>
        <v>4484575</v>
      </c>
      <c r="C861" s="65" t="str">
        <f>IFERROR(__xludf.DUMMYFUNCTION("""COMPUTED_VALUE"""),"22:16")</f>
        <v>22:16</v>
      </c>
      <c r="D861" s="65" t="str">
        <f>IFERROR(__xludf.DUMMYFUNCTION("""COMPUTED_VALUE"""),"11-02-2026")</f>
        <v>11-02-2026</v>
      </c>
      <c r="E861" s="65" t="str">
        <f>IFERROR(__xludf.DUMMYFUNCTION("""COMPUTED_VALUE"""),"Daysi Salazar")</f>
        <v>Daysi Salazar</v>
      </c>
      <c r="F861" s="65" t="str">
        <f>IFERROR(__xludf.DUMMYFUNCTION("""COMPUTED_VALUE"""),"993283640")</f>
        <v>993283640</v>
      </c>
      <c r="G861" s="65" t="str">
        <f>IFERROR(__xludf.DUMMYFUNCTION("""COMPUTED_VALUE"""),"daysi211976@hotmail.com")</f>
        <v>daysi211976@hotmail.com</v>
      </c>
      <c r="H861" s="65"/>
      <c r="I861" s="65"/>
      <c r="J861" s="65" t="str">
        <f>IFERROR(__xludf.DUMMYFUNCTION("""COMPUTED_VALUE"""),"WYB167549543")</f>
        <v>WYB167549543</v>
      </c>
      <c r="K861" s="65" t="str">
        <f>IFERROR(__xludf.DUMMYFUNCTION("""COMPUTED_VALUE"""),"ENTREGADO")</f>
        <v>ENTREGADO</v>
      </c>
      <c r="L861" s="65" t="str">
        <f>IFERROR(__xludf.DUMMYFUNCTION("""COMPUTED_VALUE"""),"CON RECAUDO")</f>
        <v>CON RECAUDO</v>
      </c>
      <c r="M861" s="65" t="str">
        <f>IFERROR(__xludf.DUMMYFUNCTION("""COMPUTED_VALUE"""),"EL ORO")</f>
        <v>EL ORO</v>
      </c>
      <c r="N861" s="65" t="str">
        <f>IFERROR(__xludf.DUMMYFUNCTION("""COMPUTED_VALUE"""),"PIÑAS")</f>
        <v>PIÑAS</v>
      </c>
      <c r="O861" s="65" t="str">
        <f>IFERROR(__xludf.DUMMYFUNCTION("""COMPUTED_VALUE"""),"Padre Angel Sanchez y Padre Miguel Guilsenan Cdla. La Inmaculada -")</f>
        <v>Padre Angel Sanchez y Padre Miguel Guilsenan Cdla. La Inmaculada -</v>
      </c>
      <c r="P861" s="65"/>
      <c r="Q861" s="65" t="str">
        <f>IFERROR(__xludf.DUMMYFUNCTION("""COMPUTED_VALUE"""),"URBANO")</f>
        <v>URBANO</v>
      </c>
      <c r="R861" s="65">
        <f>IFERROR(__xludf.DUMMYFUNCTION("""COMPUTED_VALUE"""),22.0)</f>
        <v>22</v>
      </c>
      <c r="S861" s="65">
        <f>IFERROR(__xludf.DUMMYFUNCTION("""COMPUTED_VALUE"""),11.31)</f>
        <v>11.31</v>
      </c>
      <c r="T861" s="65">
        <f>IFERROR(__xludf.DUMMYFUNCTION("""COMPUTED_VALUE"""),5.49)</f>
        <v>5.49</v>
      </c>
      <c r="U861" s="65">
        <f>IFERROR(__xludf.DUMMYFUNCTION("""COMPUTED_VALUE"""),0.0)</f>
        <v>0</v>
      </c>
      <c r="V861" s="65">
        <f>IFERROR(__xludf.DUMMYFUNCTION("""COMPUTED_VALUE"""),0.0)</f>
        <v>0</v>
      </c>
      <c r="W861" s="65">
        <f>IFERROR(__xludf.DUMMYFUNCTION("""COMPUTED_VALUE"""),0.0)</f>
        <v>0</v>
      </c>
      <c r="X861" s="65">
        <f>IFERROR(__xludf.DUMMYFUNCTION("""COMPUTED_VALUE"""),2.6)</f>
        <v>2.6</v>
      </c>
      <c r="Y861" s="65">
        <f>IFERROR(__xludf.DUMMYFUNCTION("""COMPUTED_VALUE"""),5.2)</f>
        <v>5.2</v>
      </c>
      <c r="Z861" s="65">
        <f>IFERROR(__xludf.DUMMYFUNCTION("""COMPUTED_VALUE"""),121983.0)</f>
        <v>121983</v>
      </c>
      <c r="AA861" s="65" t="str">
        <f>IFERROR(__xludf.DUMMYFUNCTION("""COMPUTED_VALUE"""),"PROV-CHLLCF")</f>
        <v>PROV-CHLLCF</v>
      </c>
      <c r="AB861" s="65"/>
      <c r="AC861" s="65" t="str">
        <f>IFERROR(__xludf.DUMMYFUNCTION("""COMPUTED_VALUE"""),"CUCHILLO PARA CHEF")</f>
        <v>CUCHILLO PARA CHEF</v>
      </c>
      <c r="AD861" s="65"/>
      <c r="AE861" s="65">
        <f>IFERROR(__xludf.DUMMYFUNCTION("""COMPUTED_VALUE"""),2.0)</f>
        <v>2</v>
      </c>
      <c r="AF861" s="65" t="str">
        <f>IFERROR(__xludf.DUMMYFUNCTION("""COMPUTED_VALUE"""),"DIRECCION INSUFICIENTE")</f>
        <v>DIRECCION INSUFICIENTE</v>
      </c>
      <c r="AG861" s="65" t="str">
        <f>IFERROR(__xludf.DUMMYFUNCTION("""COMPUTED_VALUE"""),"NO")</f>
        <v>NO</v>
      </c>
      <c r="AH861" s="65" t="str">
        <f>IFERROR(__xludf.DUMMYFUNCTION("""COMPUTED_VALUE"""),"02:02")</f>
        <v>02:02</v>
      </c>
      <c r="AI861" s="65" t="str">
        <f>IFERROR(__xludf.DUMMYFUNCTION("""COMPUTED_VALUE"""),"24-02-2026")</f>
        <v>24-02-2026</v>
      </c>
      <c r="AJ861" s="65"/>
      <c r="AK861" s="65"/>
      <c r="AL861" s="65"/>
      <c r="AM861" s="65"/>
      <c r="AN861" s="65"/>
      <c r="AO861" s="65"/>
      <c r="AP861" s="65"/>
      <c r="AQ861" s="65"/>
      <c r="AR861" s="65"/>
      <c r="AS861" s="65"/>
      <c r="AT861" s="65" t="str">
        <f>IFERROR(__xludf.DUMMYFUNCTION("""COMPUTED_VALUE"""),"SHOPIFY")</f>
        <v>SHOPIFY</v>
      </c>
      <c r="AU861" s="65" t="str">
        <f>IFERROR(__xludf.DUMMYFUNCTION("""COMPUTED_VALUE"""),"IMPORTEX EC")</f>
        <v>IMPORTEX EC</v>
      </c>
      <c r="AV861" s="65" t="str">
        <f>IFERROR(__xludf.DUMMYFUNCTION("""COMPUTED_VALUE"""),"6497300086828")</f>
        <v>6497300086828</v>
      </c>
      <c r="AW861" s="65">
        <f>IFERROR(__xludf.DUMMYFUNCTION("""COMPUTED_VALUE"""),6025.0)</f>
        <v>6025</v>
      </c>
      <c r="AX861" s="65"/>
      <c r="AY861" s="65" t="str">
        <f>IFERROR(__xludf.DUMMYFUNCTION("""COMPUTED_VALUE"""),"13/02/2026")</f>
        <v>13/02/2026</v>
      </c>
      <c r="AZ861" s="65"/>
      <c r="BA861" s="65"/>
    </row>
    <row r="862">
      <c r="A862" s="65" t="str">
        <f>IFERROR(__xludf.DUMMYFUNCTION("""COMPUTED_VALUE"""),"27-03-2026")</f>
        <v>27-03-2026</v>
      </c>
      <c r="B862" s="65">
        <f>IFERROR(__xludf.DUMMYFUNCTION("""COMPUTED_VALUE"""),4484419.0)</f>
        <v>4484419</v>
      </c>
      <c r="C862" s="65" t="str">
        <f>IFERROR(__xludf.DUMMYFUNCTION("""COMPUTED_VALUE"""),"22:01")</f>
        <v>22:01</v>
      </c>
      <c r="D862" s="65" t="str">
        <f>IFERROR(__xludf.DUMMYFUNCTION("""COMPUTED_VALUE"""),"11-02-2026")</f>
        <v>11-02-2026</v>
      </c>
      <c r="E862" s="65" t="str">
        <f>IFERROR(__xludf.DUMMYFUNCTION("""COMPUTED_VALUE"""),"Eduardo Cabezas")</f>
        <v>Eduardo Cabezas</v>
      </c>
      <c r="F862" s="65" t="str">
        <f>IFERROR(__xludf.DUMMYFUNCTION("""COMPUTED_VALUE"""),"999553133")</f>
        <v>999553133</v>
      </c>
      <c r="G862" s="65" t="str">
        <f>IFERROR(__xludf.DUMMYFUNCTION("""COMPUTED_VALUE"""),"ecabezasc@yahoo.com")</f>
        <v>ecabezasc@yahoo.com</v>
      </c>
      <c r="H862" s="65"/>
      <c r="I862" s="65"/>
      <c r="J862" s="65" t="str">
        <f>IFERROR(__xludf.DUMMYFUNCTION("""COMPUTED_VALUE"""),"D001324355")</f>
        <v>D001324355</v>
      </c>
      <c r="K862" s="65" t="str">
        <f>IFERROR(__xludf.DUMMYFUNCTION("""COMPUTED_VALUE"""),"ENTREGADO")</f>
        <v>ENTREGADO</v>
      </c>
      <c r="L862" s="65" t="str">
        <f>IFERROR(__xludf.DUMMYFUNCTION("""COMPUTED_VALUE"""),"CON RECAUDO")</f>
        <v>CON RECAUDO</v>
      </c>
      <c r="M862" s="65" t="str">
        <f>IFERROR(__xludf.DUMMYFUNCTION("""COMPUTED_VALUE"""),"CHIMBORAZO")</f>
        <v>CHIMBORAZO</v>
      </c>
      <c r="N862" s="65" t="str">
        <f>IFERROR(__xludf.DUMMYFUNCTION("""COMPUTED_VALUE"""),"RIOBAMBA")</f>
        <v>RIOBAMBA</v>
      </c>
      <c r="O862" s="65" t="str">
        <f>IFERROR(__xludf.DUMMYFUNCTION("""COMPUTED_VALUE"""),"Guayaquil 2833, Y Rocafuerte")</f>
        <v>Guayaquil 2833, Y Rocafuerte</v>
      </c>
      <c r="P862" s="65"/>
      <c r="Q862" s="65" t="str">
        <f>IFERROR(__xludf.DUMMYFUNCTION("""COMPUTED_VALUE"""),"GINTRACOM")</f>
        <v>GINTRACOM</v>
      </c>
      <c r="R862" s="65">
        <f>IFERROR(__xludf.DUMMYFUNCTION("""COMPUTED_VALUE"""),25.0)</f>
        <v>25</v>
      </c>
      <c r="S862" s="65">
        <f>IFERROR(__xludf.DUMMYFUNCTION("""COMPUTED_VALUE"""),14.24)</f>
        <v>14.24</v>
      </c>
      <c r="T862" s="65">
        <f>IFERROR(__xludf.DUMMYFUNCTION("""COMPUTED_VALUE"""),5.96)</f>
        <v>5.96</v>
      </c>
      <c r="U862" s="65">
        <f>IFERROR(__xludf.DUMMYFUNCTION("""COMPUTED_VALUE"""),0.0)</f>
        <v>0</v>
      </c>
      <c r="V862" s="65">
        <f>IFERROR(__xludf.DUMMYFUNCTION("""COMPUTED_VALUE"""),0.0)</f>
        <v>0</v>
      </c>
      <c r="W862" s="65">
        <f>IFERROR(__xludf.DUMMYFUNCTION("""COMPUTED_VALUE"""),0.0)</f>
        <v>0</v>
      </c>
      <c r="X862" s="65">
        <f>IFERROR(__xludf.DUMMYFUNCTION("""COMPUTED_VALUE"""),2.4)</f>
        <v>2.4</v>
      </c>
      <c r="Y862" s="65">
        <f>IFERROR(__xludf.DUMMYFUNCTION("""COMPUTED_VALUE"""),4.8)</f>
        <v>4.8</v>
      </c>
      <c r="Z862" s="65">
        <f>IFERROR(__xludf.DUMMYFUNCTION("""COMPUTED_VALUE"""),120732.0)</f>
        <v>120732</v>
      </c>
      <c r="AA862" s="65" t="str">
        <f>IFERROR(__xludf.DUMMYFUNCTION("""COMPUTED_VALUE"""),"PROV-LMPVT")</f>
        <v>PROV-LMPVT</v>
      </c>
      <c r="AB862" s="65"/>
      <c r="AC862" s="65" t="str">
        <f>IFERROR(__xludf.DUMMYFUNCTION("""COMPUTED_VALUE"""),"LIMPIADOR DE PARABRISAS Y VENTANAS")</f>
        <v>LIMPIADOR DE PARABRISAS Y VENTANAS</v>
      </c>
      <c r="AD862" s="65"/>
      <c r="AE862" s="65">
        <f>IFERROR(__xludf.DUMMYFUNCTION("""COMPUTED_VALUE"""),2.0)</f>
        <v>2</v>
      </c>
      <c r="AF862" s="65"/>
      <c r="AG862" s="65"/>
      <c r="AH862" s="65"/>
      <c r="AI862" s="65"/>
      <c r="AJ862" s="65"/>
      <c r="AK862" s="65"/>
      <c r="AL862" s="65"/>
      <c r="AM862" s="65"/>
      <c r="AN862" s="65" t="str">
        <f>IFERROR(__xludf.DUMMYFUNCTION("""COMPUTED_VALUE"""),"12:25")</f>
        <v>12:25</v>
      </c>
      <c r="AO862" s="65" t="str">
        <f>IFERROR(__xludf.DUMMYFUNCTION("""COMPUTED_VALUE"""),"18-02-2026")</f>
        <v>18-02-2026</v>
      </c>
      <c r="AP862" s="65" t="str">
        <f>IFERROR(__xludf.DUMMYFUNCTION("""COMPUTED_VALUE"""),"ENTREGADA GINTRACOM")</f>
        <v>ENTREGADA GINTRACOM</v>
      </c>
      <c r="AQ862" s="65" t="str">
        <f>IFERROR(__xludf.DUMMYFUNCTION("""COMPUTED_VALUE"""),"ENTREGADA GINTRACOM")</f>
        <v>ENTREGADA GINTRACOM</v>
      </c>
      <c r="AR862" s="65"/>
      <c r="AS862" s="65"/>
      <c r="AT862" s="65" t="str">
        <f>IFERROR(__xludf.DUMMYFUNCTION("""COMPUTED_VALUE"""),"SHOPIFY")</f>
        <v>SHOPIFY</v>
      </c>
      <c r="AU862" s="65" t="str">
        <f>IFERROR(__xludf.DUMMYFUNCTION("""COMPUTED_VALUE"""),"IMPORTEX EC")</f>
        <v>IMPORTEX EC</v>
      </c>
      <c r="AV862" s="65" t="str">
        <f>IFERROR(__xludf.DUMMYFUNCTION("""COMPUTED_VALUE"""),"6497269841964")</f>
        <v>6497269841964</v>
      </c>
      <c r="AW862" s="65">
        <f>IFERROR(__xludf.DUMMYFUNCTION("""COMPUTED_VALUE"""),6024.0)</f>
        <v>6024</v>
      </c>
      <c r="AX862" s="65"/>
      <c r="AY862" s="65" t="str">
        <f>IFERROR(__xludf.DUMMYFUNCTION("""COMPUTED_VALUE"""),"13/02/2026")</f>
        <v>13/02/2026</v>
      </c>
      <c r="AZ862" s="65"/>
      <c r="BA862" s="65"/>
    </row>
    <row r="863">
      <c r="A863" s="65" t="str">
        <f>IFERROR(__xludf.DUMMYFUNCTION("""COMPUTED_VALUE"""),"27-03-2026")</f>
        <v>27-03-2026</v>
      </c>
      <c r="B863" s="65">
        <f>IFERROR(__xludf.DUMMYFUNCTION("""COMPUTED_VALUE"""),4484391.0)</f>
        <v>4484391</v>
      </c>
      <c r="C863" s="65" t="str">
        <f>IFERROR(__xludf.DUMMYFUNCTION("""COMPUTED_VALUE"""),"21:59")</f>
        <v>21:59</v>
      </c>
      <c r="D863" s="65" t="str">
        <f>IFERROR(__xludf.DUMMYFUNCTION("""COMPUTED_VALUE"""),"11-02-2026")</f>
        <v>11-02-2026</v>
      </c>
      <c r="E863" s="65" t="str">
        <f>IFERROR(__xludf.DUMMYFUNCTION("""COMPUTED_VALUE"""),"Milton Montesdeoca")</f>
        <v>Milton Montesdeoca</v>
      </c>
      <c r="F863" s="65" t="str">
        <f>IFERROR(__xludf.DUMMYFUNCTION("""COMPUTED_VALUE"""),"969149524")</f>
        <v>969149524</v>
      </c>
      <c r="G863" s="65" t="str">
        <f>IFERROR(__xludf.DUMMYFUNCTION("""COMPUTED_VALUE"""),"miltongenaromontesdeocaespin@gmail.com")</f>
        <v>miltongenaromontesdeocaespin@gmail.com</v>
      </c>
      <c r="H863" s="65"/>
      <c r="I863" s="65"/>
      <c r="J863" s="65" t="str">
        <f>IFERROR(__xludf.DUMMYFUNCTION("""COMPUTED_VALUE"""),"D001324356")</f>
        <v>D001324356</v>
      </c>
      <c r="K863" s="65" t="str">
        <f>IFERROR(__xludf.DUMMYFUNCTION("""COMPUTED_VALUE"""),"DEVOLUCION")</f>
        <v>DEVOLUCION</v>
      </c>
      <c r="L863" s="65" t="str">
        <f>IFERROR(__xludf.DUMMYFUNCTION("""COMPUTED_VALUE"""),"CON RECAUDO")</f>
        <v>CON RECAUDO</v>
      </c>
      <c r="M863" s="65" t="str">
        <f>IFERROR(__xludf.DUMMYFUNCTION("""COMPUTED_VALUE"""),"TUNGURAHUA")</f>
        <v>TUNGURAHUA</v>
      </c>
      <c r="N863" s="65" t="str">
        <f>IFERROR(__xludf.DUMMYFUNCTION("""COMPUTED_VALUE"""),"AMBATO")</f>
        <v>AMBATO</v>
      </c>
      <c r="O863" s="65" t="str">
        <f>IFERROR(__xludf.DUMMYFUNCTION("""COMPUTED_VALUE"""),"Ambato parroquia Pilahuin y frente al estadio de 4 esquinas -")</f>
        <v>Ambato parroquia Pilahuin y frente al estadio de 4 esquinas -</v>
      </c>
      <c r="P863" s="65"/>
      <c r="Q863" s="65" t="str">
        <f>IFERROR(__xludf.DUMMYFUNCTION("""COMPUTED_VALUE"""),"GINTRACOM")</f>
        <v>GINTRACOM</v>
      </c>
      <c r="R863" s="65">
        <f>IFERROR(__xludf.DUMMYFUNCTION("""COMPUTED_VALUE"""),22.0)</f>
        <v>22</v>
      </c>
      <c r="S863" s="65"/>
      <c r="T863" s="65">
        <f>IFERROR(__xludf.DUMMYFUNCTION("""COMPUTED_VALUE"""),5.84)</f>
        <v>5.84</v>
      </c>
      <c r="U863" s="65">
        <f>IFERROR(__xludf.DUMMYFUNCTION("""COMPUTED_VALUE"""),0.0)</f>
        <v>0</v>
      </c>
      <c r="V863" s="65">
        <f>IFERROR(__xludf.DUMMYFUNCTION("""COMPUTED_VALUE"""),0.0)</f>
        <v>0</v>
      </c>
      <c r="W863" s="65">
        <f>IFERROR(__xludf.DUMMYFUNCTION("""COMPUTED_VALUE"""),0.0)</f>
        <v>0</v>
      </c>
      <c r="X863" s="65">
        <f>IFERROR(__xludf.DUMMYFUNCTION("""COMPUTED_VALUE"""),2.6)</f>
        <v>2.6</v>
      </c>
      <c r="Y863" s="65">
        <f>IFERROR(__xludf.DUMMYFUNCTION("""COMPUTED_VALUE"""),5.2)</f>
        <v>5.2</v>
      </c>
      <c r="Z863" s="65">
        <f>IFERROR(__xludf.DUMMYFUNCTION("""COMPUTED_VALUE"""),121983.0)</f>
        <v>121983</v>
      </c>
      <c r="AA863" s="65" t="str">
        <f>IFERROR(__xludf.DUMMYFUNCTION("""COMPUTED_VALUE"""),"PROV-CHLLCF")</f>
        <v>PROV-CHLLCF</v>
      </c>
      <c r="AB863" s="65"/>
      <c r="AC863" s="65" t="str">
        <f>IFERROR(__xludf.DUMMYFUNCTION("""COMPUTED_VALUE"""),"CUCHILLO PARA CHEF")</f>
        <v>CUCHILLO PARA CHEF</v>
      </c>
      <c r="AD863" s="65"/>
      <c r="AE863" s="65">
        <f>IFERROR(__xludf.DUMMYFUNCTION("""COMPUTED_VALUE"""),2.0)</f>
        <v>2</v>
      </c>
      <c r="AF863" s="65" t="str">
        <f>IFERROR(__xludf.DUMMYFUNCTION("""COMPUTED_VALUE"""),"DESTINATARIO NO CONTESTA LLAMADAS NI WHATSAPP")</f>
        <v>DESTINATARIO NO CONTESTA LLAMADAS NI WHATSAPP</v>
      </c>
      <c r="AG863" s="65" t="str">
        <f>IFERROR(__xludf.DUMMYFUNCTION("""COMPUTED_VALUE"""),"SI")</f>
        <v>SI</v>
      </c>
      <c r="AH863" s="65" t="str">
        <f>IFERROR(__xludf.DUMMYFUNCTION("""COMPUTED_VALUE"""),"18:15")</f>
        <v>18:15</v>
      </c>
      <c r="AI863" s="65" t="str">
        <f>IFERROR(__xludf.DUMMYFUNCTION("""COMPUTED_VALUE"""),"25-02-2026")</f>
        <v>25-02-2026</v>
      </c>
      <c r="AJ863" s="65" t="str">
        <f>IFERROR(__xludf.DUMMYFUNCTION("""COMPUTED_VALUE"""),"CLIENTE INDICA QUE SE ESTA TRATANDO DE COMUNICAR CON EL SR MOTORIZADO Y NO LE CONTESTA")</f>
        <v>CLIENTE INDICA QUE SE ESTA TRATANDO DE COMUNICAR CON EL SR MOTORIZADO Y NO LE CONTESTA</v>
      </c>
      <c r="AK863" s="65" t="str">
        <f>IFERROR(__xludf.DUMMYFUNCTION("""COMPUTED_VALUE"""),"13:12")</f>
        <v>13:12</v>
      </c>
      <c r="AL863" s="65" t="str">
        <f>IFERROR(__xludf.DUMMYFUNCTION("""COMPUTED_VALUE"""),"26-02-2026")</f>
        <v>26-02-2026</v>
      </c>
      <c r="AM863" s="65"/>
      <c r="AN863" s="65" t="str">
        <f>IFERROR(__xludf.DUMMYFUNCTION("""COMPUTED_VALUE"""),"01:36")</f>
        <v>01:36</v>
      </c>
      <c r="AO863" s="65" t="str">
        <f>IFERROR(__xludf.DUMMYFUNCTION("""COMPUTED_VALUE"""),"09-03-2026")</f>
        <v>09-03-2026</v>
      </c>
      <c r="AP863" s="65" t="str">
        <f>IFERROR(__xludf.DUMMYFUNCTION("""COMPUTED_VALUE"""),"DEVOLUCIÓN ENTREGADA A ORIGEN")</f>
        <v>DEVOLUCIÓN ENTREGADA A ORIGEN</v>
      </c>
      <c r="AQ863" s="65" t="str">
        <f>IFERROR(__xludf.DUMMYFUNCTION("""COMPUTED_VALUE"""),"DEVOLUCIÓN ENTREGADA A ORIGEN")</f>
        <v>DEVOLUCIÓN ENTREGADA A ORIGEN</v>
      </c>
      <c r="AR863" s="65"/>
      <c r="AS863" s="65"/>
      <c r="AT863" s="65" t="str">
        <f>IFERROR(__xludf.DUMMYFUNCTION("""COMPUTED_VALUE"""),"SHOPIFY")</f>
        <v>SHOPIFY</v>
      </c>
      <c r="AU863" s="65" t="str">
        <f>IFERROR(__xludf.DUMMYFUNCTION("""COMPUTED_VALUE"""),"IMPORTEX EC")</f>
        <v>IMPORTEX EC</v>
      </c>
      <c r="AV863" s="65" t="str">
        <f>IFERROR(__xludf.DUMMYFUNCTION("""COMPUTED_VALUE"""),"6497264238636")</f>
        <v>6497264238636</v>
      </c>
      <c r="AW863" s="65">
        <f>IFERROR(__xludf.DUMMYFUNCTION("""COMPUTED_VALUE"""),6023.0)</f>
        <v>6023</v>
      </c>
      <c r="AX863" s="65"/>
      <c r="AY863" s="65" t="str">
        <f>IFERROR(__xludf.DUMMYFUNCTION("""COMPUTED_VALUE"""),"13/02/2026")</f>
        <v>13/02/2026</v>
      </c>
      <c r="AZ863" s="65"/>
      <c r="BA863" s="65"/>
    </row>
    <row r="864">
      <c r="A864" s="65" t="str">
        <f>IFERROR(__xludf.DUMMYFUNCTION("""COMPUTED_VALUE"""),"27-03-2026")</f>
        <v>27-03-2026</v>
      </c>
      <c r="B864" s="65">
        <f>IFERROR(__xludf.DUMMYFUNCTION("""COMPUTED_VALUE"""),4484218.0)</f>
        <v>4484218</v>
      </c>
      <c r="C864" s="65" t="str">
        <f>IFERROR(__xludf.DUMMYFUNCTION("""COMPUTED_VALUE"""),"21:47")</f>
        <v>21:47</v>
      </c>
      <c r="D864" s="65" t="str">
        <f>IFERROR(__xludf.DUMMYFUNCTION("""COMPUTED_VALUE"""),"11-02-2026")</f>
        <v>11-02-2026</v>
      </c>
      <c r="E864" s="65" t="str">
        <f>IFERROR(__xludf.DUMMYFUNCTION("""COMPUTED_VALUE"""),"Cruz Mabel Estupiñan Rivera")</f>
        <v>Cruz Mabel Estupiñan Rivera</v>
      </c>
      <c r="F864" s="65" t="str">
        <f>IFERROR(__xludf.DUMMYFUNCTION("""COMPUTED_VALUE"""),"990582423")</f>
        <v>990582423</v>
      </c>
      <c r="G864" s="65" t="str">
        <f>IFERROR(__xludf.DUMMYFUNCTION("""COMPUTED_VALUE"""),"cruzriveramabel@outlook.com")</f>
        <v>cruzriveramabel@outlook.com</v>
      </c>
      <c r="H864" s="65"/>
      <c r="I864" s="65"/>
      <c r="J864" s="65" t="str">
        <f>IFERROR(__xludf.DUMMYFUNCTION("""COMPUTED_VALUE"""),"187049592")</f>
        <v>187049592</v>
      </c>
      <c r="K864" s="65" t="str">
        <f>IFERROR(__xludf.DUMMYFUNCTION("""COMPUTED_VALUE"""),"DEVOLUCION")</f>
        <v>DEVOLUCION</v>
      </c>
      <c r="L864" s="65" t="str">
        <f>IFERROR(__xludf.DUMMYFUNCTION("""COMPUTED_VALUE"""),"CON RECAUDO")</f>
        <v>CON RECAUDO</v>
      </c>
      <c r="M864" s="65" t="str">
        <f>IFERROR(__xludf.DUMMYFUNCTION("""COMPUTED_VALUE"""),"ESMERALDAS")</f>
        <v>ESMERALDAS</v>
      </c>
      <c r="N864" s="65" t="str">
        <f>IFERROR(__xludf.DUMMYFUNCTION("""COMPUTED_VALUE"""),"LA UNION (QUININDE)")</f>
        <v>LA UNION (QUININDE)</v>
      </c>
      <c r="O864" s="65" t="str">
        <f>IFERROR(__xludf.DUMMYFUNCTION("""COMPUTED_VALUE"""),"La union Diagonal a la gasolinera paradero la sazon de Mabel -")</f>
        <v>La union Diagonal a la gasolinera paradero la sazon de Mabel -</v>
      </c>
      <c r="P864" s="65"/>
      <c r="Q864" s="65" t="str">
        <f>IFERROR(__xludf.DUMMYFUNCTION("""COMPUTED_VALUE"""),"SERVIENTREGA")</f>
        <v>SERVIENTREGA</v>
      </c>
      <c r="R864" s="65">
        <f>IFERROR(__xludf.DUMMYFUNCTION("""COMPUTED_VALUE"""),22.0)</f>
        <v>22</v>
      </c>
      <c r="S864" s="65"/>
      <c r="T864" s="65">
        <f>IFERROR(__xludf.DUMMYFUNCTION("""COMPUTED_VALUE"""),7.7)</f>
        <v>7.7</v>
      </c>
      <c r="U864" s="65">
        <f>IFERROR(__xludf.DUMMYFUNCTION("""COMPUTED_VALUE"""),0.0)</f>
        <v>0</v>
      </c>
      <c r="V864" s="65">
        <f>IFERROR(__xludf.DUMMYFUNCTION("""COMPUTED_VALUE"""),0.0)</f>
        <v>0</v>
      </c>
      <c r="W864" s="65">
        <f>IFERROR(__xludf.DUMMYFUNCTION("""COMPUTED_VALUE"""),0.0)</f>
        <v>0</v>
      </c>
      <c r="X864" s="65">
        <f>IFERROR(__xludf.DUMMYFUNCTION("""COMPUTED_VALUE"""),2.6)</f>
        <v>2.6</v>
      </c>
      <c r="Y864" s="65">
        <f>IFERROR(__xludf.DUMMYFUNCTION("""COMPUTED_VALUE"""),5.2)</f>
        <v>5.2</v>
      </c>
      <c r="Z864" s="65">
        <f>IFERROR(__xludf.DUMMYFUNCTION("""COMPUTED_VALUE"""),121983.0)</f>
        <v>121983</v>
      </c>
      <c r="AA864" s="65" t="str">
        <f>IFERROR(__xludf.DUMMYFUNCTION("""COMPUTED_VALUE"""),"PROV-CHLLCF")</f>
        <v>PROV-CHLLCF</v>
      </c>
      <c r="AB864" s="65"/>
      <c r="AC864" s="65" t="str">
        <f>IFERROR(__xludf.DUMMYFUNCTION("""COMPUTED_VALUE"""),"CUCHILLO PARA CHEF")</f>
        <v>CUCHILLO PARA CHEF</v>
      </c>
      <c r="AD864" s="65"/>
      <c r="AE864" s="65">
        <f>IFERROR(__xludf.DUMMYFUNCTION("""COMPUTED_VALUE"""),2.0)</f>
        <v>2</v>
      </c>
      <c r="AF864" s="65" t="str">
        <f>IFERROR(__xludf.DUMMYFUNCTION("""COMPUTED_VALUE"""),"DEVOLUCION AL REMITENTE")</f>
        <v>DEVOLUCION AL REMITENTE</v>
      </c>
      <c r="AG864" s="65" t="str">
        <f>IFERROR(__xludf.DUMMYFUNCTION("""COMPUTED_VALUE"""),"NO")</f>
        <v>NO</v>
      </c>
      <c r="AH864" s="65" t="str">
        <f>IFERROR(__xludf.DUMMYFUNCTION("""COMPUTED_VALUE"""),"12:38")</f>
        <v>12:38</v>
      </c>
      <c r="AI864" s="65" t="str">
        <f>IFERROR(__xludf.DUMMYFUNCTION("""COMPUTED_VALUE"""),"23-02-2026")</f>
        <v>23-02-2026</v>
      </c>
      <c r="AJ864" s="65"/>
      <c r="AK864" s="65"/>
      <c r="AL864" s="65"/>
      <c r="AM864" s="65"/>
      <c r="AN864" s="65" t="str">
        <f>IFERROR(__xludf.DUMMYFUNCTION("""COMPUTED_VALUE"""),"11:25")</f>
        <v>11:25</v>
      </c>
      <c r="AO864" s="65" t="str">
        <f>IFERROR(__xludf.DUMMYFUNCTION("""COMPUTED_VALUE"""),"24-02-2026")</f>
        <v>24-02-2026</v>
      </c>
      <c r="AP864" s="65" t="str">
        <f>IFERROR(__xludf.DUMMYFUNCTION("""COMPUTED_VALUE"""),"DEVOLUCION AL REMITENTE")</f>
        <v>DEVOLUCION AL REMITENTE</v>
      </c>
      <c r="AQ864" s="65" t="str">
        <f>IFERROR(__xludf.DUMMYFUNCTION("""COMPUTED_VALUE"""),"{}")</f>
        <v>{}</v>
      </c>
      <c r="AR864" s="65"/>
      <c r="AS864" s="65"/>
      <c r="AT864" s="65" t="str">
        <f>IFERROR(__xludf.DUMMYFUNCTION("""COMPUTED_VALUE"""),"SHOPIFY")</f>
        <v>SHOPIFY</v>
      </c>
      <c r="AU864" s="65" t="str">
        <f>IFERROR(__xludf.DUMMYFUNCTION("""COMPUTED_VALUE"""),"IMPORTEX EC")</f>
        <v>IMPORTEX EC</v>
      </c>
      <c r="AV864" s="65" t="str">
        <f>IFERROR(__xludf.DUMMYFUNCTION("""COMPUTED_VALUE"""),"6497238515756")</f>
        <v>6497238515756</v>
      </c>
      <c r="AW864" s="65">
        <f>IFERROR(__xludf.DUMMYFUNCTION("""COMPUTED_VALUE"""),6022.0)</f>
        <v>6022</v>
      </c>
      <c r="AX864" s="65"/>
      <c r="AY864" s="65" t="str">
        <f>IFERROR(__xludf.DUMMYFUNCTION("""COMPUTED_VALUE"""),"13/02/2026")</f>
        <v>13/02/2026</v>
      </c>
      <c r="AZ864" s="65"/>
      <c r="BA864" s="65"/>
    </row>
    <row r="865">
      <c r="A865" s="65" t="str">
        <f>IFERROR(__xludf.DUMMYFUNCTION("""COMPUTED_VALUE"""),"27-03-2026")</f>
        <v>27-03-2026</v>
      </c>
      <c r="B865" s="65">
        <f>IFERROR(__xludf.DUMMYFUNCTION("""COMPUTED_VALUE"""),4484202.0)</f>
        <v>4484202</v>
      </c>
      <c r="C865" s="65" t="str">
        <f>IFERROR(__xludf.DUMMYFUNCTION("""COMPUTED_VALUE"""),"21:46")</f>
        <v>21:46</v>
      </c>
      <c r="D865" s="65" t="str">
        <f>IFERROR(__xludf.DUMMYFUNCTION("""COMPUTED_VALUE"""),"11-02-2026")</f>
        <v>11-02-2026</v>
      </c>
      <c r="E865" s="65" t="str">
        <f>IFERROR(__xludf.DUMMYFUNCTION("""COMPUTED_VALUE"""),"Ligia Gonzalez")</f>
        <v>Ligia Gonzalez</v>
      </c>
      <c r="F865" s="65" t="str">
        <f>IFERROR(__xludf.DUMMYFUNCTION("""COMPUTED_VALUE"""),"0939257456")</f>
        <v>0939257456</v>
      </c>
      <c r="G865" s="65" t="str">
        <f>IFERROR(__xludf.DUMMYFUNCTION("""COMPUTED_VALUE"""),"ligia275@yahoo.es")</f>
        <v>ligia275@yahoo.es</v>
      </c>
      <c r="H865" s="65"/>
      <c r="I865" s="65"/>
      <c r="J865" s="65"/>
      <c r="K865" s="65" t="str">
        <f>IFERROR(__xludf.DUMMYFUNCTION("""COMPUTED_VALUE"""),"CANCELADO")</f>
        <v>CANCELADO</v>
      </c>
      <c r="L865" s="65" t="str">
        <f>IFERROR(__xludf.DUMMYFUNCTION("""COMPUTED_VALUE"""),"CON RECAUDO")</f>
        <v>CON RECAUDO</v>
      </c>
      <c r="M865" s="65" t="str">
        <f>IFERROR(__xludf.DUMMYFUNCTION("""COMPUTED_VALUE"""),"LOJA")</f>
        <v>LOJA</v>
      </c>
      <c r="N865" s="65" t="str">
        <f>IFERROR(__xludf.DUMMYFUNCTION("""COMPUTED_VALUE"""),"LOJA")</f>
        <v>LOJA</v>
      </c>
      <c r="O865" s="65" t="str">
        <f>IFERROR(__xludf.DUMMYFUNCTION("""COMPUTED_VALUE"""),"Gonzalez Suárez y Juan José Peña")</f>
        <v>Gonzalez Suárez y Juan José Peña</v>
      </c>
      <c r="P865" s="65" t="str">
        <f>IFERROR(__xludf.DUMMYFUNCTION("""COMPUTED_VALUE"""),"CUCHILLO PARA CHEF: Default Title ***")</f>
        <v>CUCHILLO PARA CHEF: Default Title ***</v>
      </c>
      <c r="Q865" s="65" t="str">
        <f>IFERROR(__xludf.DUMMYFUNCTION("""COMPUTED_VALUE"""),"GINTRACOM")</f>
        <v>GINTRACOM</v>
      </c>
      <c r="R865" s="65">
        <f>IFERROR(__xludf.DUMMYFUNCTION("""COMPUTED_VALUE"""),22.0)</f>
        <v>22</v>
      </c>
      <c r="S865" s="65"/>
      <c r="T865" s="65">
        <f>IFERROR(__xludf.DUMMYFUNCTION("""COMPUTED_VALUE"""),5.84)</f>
        <v>5.84</v>
      </c>
      <c r="U865" s="65">
        <f>IFERROR(__xludf.DUMMYFUNCTION("""COMPUTED_VALUE"""),0.0)</f>
        <v>0</v>
      </c>
      <c r="V865" s="65">
        <f>IFERROR(__xludf.DUMMYFUNCTION("""COMPUTED_VALUE"""),0.0)</f>
        <v>0</v>
      </c>
      <c r="W865" s="65">
        <f>IFERROR(__xludf.DUMMYFUNCTION("""COMPUTED_VALUE"""),0.0)</f>
        <v>0</v>
      </c>
      <c r="X865" s="65">
        <f>IFERROR(__xludf.DUMMYFUNCTION("""COMPUTED_VALUE"""),2.6)</f>
        <v>2.6</v>
      </c>
      <c r="Y865" s="65">
        <f>IFERROR(__xludf.DUMMYFUNCTION("""COMPUTED_VALUE"""),2.6)</f>
        <v>2.6</v>
      </c>
      <c r="Z865" s="65">
        <f>IFERROR(__xludf.DUMMYFUNCTION("""COMPUTED_VALUE"""),121983.0)</f>
        <v>121983</v>
      </c>
      <c r="AA865" s="65" t="str">
        <f>IFERROR(__xludf.DUMMYFUNCTION("""COMPUTED_VALUE"""),"PROV-CHLLCF")</f>
        <v>PROV-CHLLCF</v>
      </c>
      <c r="AB865" s="65"/>
      <c r="AC865" s="65" t="str">
        <f>IFERROR(__xludf.DUMMYFUNCTION("""COMPUTED_VALUE"""),"CUCHILLO PARA CHEF")</f>
        <v>CUCHILLO PARA CHEF</v>
      </c>
      <c r="AD865" s="65"/>
      <c r="AE865" s="65">
        <f>IFERROR(__xludf.DUMMYFUNCTION("""COMPUTED_VALUE"""),1.0)</f>
        <v>1</v>
      </c>
      <c r="AF865" s="65"/>
      <c r="AG865" s="65"/>
      <c r="AH865" s="65"/>
      <c r="AI865" s="65"/>
      <c r="AJ865" s="65"/>
      <c r="AK865" s="65"/>
      <c r="AL865" s="65"/>
      <c r="AM865" s="65"/>
      <c r="AN865" s="65"/>
      <c r="AO865" s="65"/>
      <c r="AP865" s="65"/>
      <c r="AQ865" s="65"/>
      <c r="AR865" s="65"/>
      <c r="AS865" s="65"/>
      <c r="AT865" s="65" t="str">
        <f>IFERROR(__xludf.DUMMYFUNCTION("""COMPUTED_VALUE"""),"SHOPIFY")</f>
        <v>SHOPIFY</v>
      </c>
      <c r="AU865" s="65" t="str">
        <f>IFERROR(__xludf.DUMMYFUNCTION("""COMPUTED_VALUE"""),"IMPORTEX EC")</f>
        <v>IMPORTEX EC</v>
      </c>
      <c r="AV865" s="65" t="str">
        <f>IFERROR(__xludf.DUMMYFUNCTION("""COMPUTED_VALUE"""),"6497233403948")</f>
        <v>6497233403948</v>
      </c>
      <c r="AW865" s="65">
        <f>IFERROR(__xludf.DUMMYFUNCTION("""COMPUTED_VALUE"""),6021.0)</f>
        <v>6021</v>
      </c>
      <c r="AX865" s="65"/>
      <c r="AY865" s="65"/>
      <c r="AZ865" s="65"/>
      <c r="BA865" s="65"/>
    </row>
    <row r="866">
      <c r="A866" s="65" t="str">
        <f>IFERROR(__xludf.DUMMYFUNCTION("""COMPUTED_VALUE"""),"27-03-2026")</f>
        <v>27-03-2026</v>
      </c>
      <c r="B866" s="65">
        <f>IFERROR(__xludf.DUMMYFUNCTION("""COMPUTED_VALUE"""),4484130.0)</f>
        <v>4484130</v>
      </c>
      <c r="C866" s="65" t="str">
        <f>IFERROR(__xludf.DUMMYFUNCTION("""COMPUTED_VALUE"""),"21:40")</f>
        <v>21:40</v>
      </c>
      <c r="D866" s="65" t="str">
        <f>IFERROR(__xludf.DUMMYFUNCTION("""COMPUTED_VALUE"""),"11-02-2026")</f>
        <v>11-02-2026</v>
      </c>
      <c r="E866" s="65" t="str">
        <f>IFERROR(__xludf.DUMMYFUNCTION("""COMPUTED_VALUE"""),"Rodrigo Palacios")</f>
        <v>Rodrigo Palacios</v>
      </c>
      <c r="F866" s="65" t="str">
        <f>IFERROR(__xludf.DUMMYFUNCTION("""COMPUTED_VALUE"""),"984980785")</f>
        <v>984980785</v>
      </c>
      <c r="G866" s="65" t="str">
        <f>IFERROR(__xludf.DUMMYFUNCTION("""COMPUTED_VALUE"""),"frankrod31@yahoo.com")</f>
        <v>frankrod31@yahoo.com</v>
      </c>
      <c r="H866" s="65"/>
      <c r="I866" s="65"/>
      <c r="J866" s="65" t="str">
        <f>IFERROR(__xludf.DUMMYFUNCTION("""COMPUTED_VALUE"""),"D001324357")</f>
        <v>D001324357</v>
      </c>
      <c r="K866" s="65" t="str">
        <f>IFERROR(__xludf.DUMMYFUNCTION("""COMPUTED_VALUE"""),"ENTREGADO")</f>
        <v>ENTREGADO</v>
      </c>
      <c r="L866" s="65" t="str">
        <f>IFERROR(__xludf.DUMMYFUNCTION("""COMPUTED_VALUE"""),"CON RECAUDO")</f>
        <v>CON RECAUDO</v>
      </c>
      <c r="M866" s="65" t="str">
        <f>IFERROR(__xludf.DUMMYFUNCTION("""COMPUTED_VALUE"""),"PICHINCHA")</f>
        <v>PICHINCHA</v>
      </c>
      <c r="N866" s="65" t="str">
        <f>IFERROR(__xludf.DUMMYFUNCTION("""COMPUTED_VALUE"""),"QUITO")</f>
        <v>QUITO</v>
      </c>
      <c r="O866" s="65" t="str">
        <f>IFERROR(__xludf.DUMMYFUNCTION("""COMPUTED_VALUE"""),"av. Mariana de Jesús y Av. Alemania Empresa de Agua Potable (EPMAPS)")</f>
        <v>av. Mariana de Jesús y Av. Alemania Empresa de Agua Potable (EPMAPS)</v>
      </c>
      <c r="P866" s="65"/>
      <c r="Q866" s="65" t="str">
        <f>IFERROR(__xludf.DUMMYFUNCTION("""COMPUTED_VALUE"""),"GINTRACOM")</f>
        <v>GINTRACOM</v>
      </c>
      <c r="R866" s="65">
        <f>IFERROR(__xludf.DUMMYFUNCTION("""COMPUTED_VALUE"""),25.0)</f>
        <v>25</v>
      </c>
      <c r="S866" s="65">
        <f>IFERROR(__xludf.DUMMYFUNCTION("""COMPUTED_VALUE"""),14.24)</f>
        <v>14.24</v>
      </c>
      <c r="T866" s="65">
        <f>IFERROR(__xludf.DUMMYFUNCTION("""COMPUTED_VALUE"""),5.96)</f>
        <v>5.96</v>
      </c>
      <c r="U866" s="65">
        <f>IFERROR(__xludf.DUMMYFUNCTION("""COMPUTED_VALUE"""),0.0)</f>
        <v>0</v>
      </c>
      <c r="V866" s="65">
        <f>IFERROR(__xludf.DUMMYFUNCTION("""COMPUTED_VALUE"""),0.0)</f>
        <v>0</v>
      </c>
      <c r="W866" s="65">
        <f>IFERROR(__xludf.DUMMYFUNCTION("""COMPUTED_VALUE"""),0.0)</f>
        <v>0</v>
      </c>
      <c r="X866" s="65">
        <f>IFERROR(__xludf.DUMMYFUNCTION("""COMPUTED_VALUE"""),2.4)</f>
        <v>2.4</v>
      </c>
      <c r="Y866" s="65">
        <f>IFERROR(__xludf.DUMMYFUNCTION("""COMPUTED_VALUE"""),4.8)</f>
        <v>4.8</v>
      </c>
      <c r="Z866" s="65">
        <f>IFERROR(__xludf.DUMMYFUNCTION("""COMPUTED_VALUE"""),120732.0)</f>
        <v>120732</v>
      </c>
      <c r="AA866" s="65" t="str">
        <f>IFERROR(__xludf.DUMMYFUNCTION("""COMPUTED_VALUE"""),"PROV-LMPVT")</f>
        <v>PROV-LMPVT</v>
      </c>
      <c r="AB866" s="65"/>
      <c r="AC866" s="65" t="str">
        <f>IFERROR(__xludf.DUMMYFUNCTION("""COMPUTED_VALUE"""),"LIMPIADOR DE PARABRISAS Y VENTANAS")</f>
        <v>LIMPIADOR DE PARABRISAS Y VENTANAS</v>
      </c>
      <c r="AD866" s="65"/>
      <c r="AE866" s="65">
        <f>IFERROR(__xludf.DUMMYFUNCTION("""COMPUTED_VALUE"""),2.0)</f>
        <v>2</v>
      </c>
      <c r="AF866" s="65"/>
      <c r="AG866" s="65"/>
      <c r="AH866" s="65"/>
      <c r="AI866" s="65"/>
      <c r="AJ866" s="65"/>
      <c r="AK866" s="65"/>
      <c r="AL866" s="65"/>
      <c r="AM866" s="65"/>
      <c r="AN866" s="65" t="str">
        <f>IFERROR(__xludf.DUMMYFUNCTION("""COMPUTED_VALUE"""),"17:30")</f>
        <v>17:30</v>
      </c>
      <c r="AO866" s="65" t="str">
        <f>IFERROR(__xludf.DUMMYFUNCTION("""COMPUTED_VALUE"""),"18-02-2026")</f>
        <v>18-02-2026</v>
      </c>
      <c r="AP866" s="65" t="str">
        <f>IFERROR(__xludf.DUMMYFUNCTION("""COMPUTED_VALUE"""),"ENTREGADA GINTRACOM")</f>
        <v>ENTREGADA GINTRACOM</v>
      </c>
      <c r="AQ866" s="65" t="str">
        <f>IFERROR(__xludf.DUMMYFUNCTION("""COMPUTED_VALUE"""),"ENTREGADA GINTRACOM")</f>
        <v>ENTREGADA GINTRACOM</v>
      </c>
      <c r="AR866" s="65"/>
      <c r="AS866" s="65"/>
      <c r="AT866" s="65" t="str">
        <f>IFERROR(__xludf.DUMMYFUNCTION("""COMPUTED_VALUE"""),"SHOPIFY")</f>
        <v>SHOPIFY</v>
      </c>
      <c r="AU866" s="65" t="str">
        <f>IFERROR(__xludf.DUMMYFUNCTION("""COMPUTED_VALUE"""),"IMPORTEX EC")</f>
        <v>IMPORTEX EC</v>
      </c>
      <c r="AV866" s="65" t="str">
        <f>IFERROR(__xludf.DUMMYFUNCTION("""COMPUTED_VALUE"""),"6497226883116")</f>
        <v>6497226883116</v>
      </c>
      <c r="AW866" s="65">
        <f>IFERROR(__xludf.DUMMYFUNCTION("""COMPUTED_VALUE"""),6020.0)</f>
        <v>6020</v>
      </c>
      <c r="AX866" s="65"/>
      <c r="AY866" s="65" t="str">
        <f>IFERROR(__xludf.DUMMYFUNCTION("""COMPUTED_VALUE"""),"13/02/2026")</f>
        <v>13/02/2026</v>
      </c>
      <c r="AZ866" s="65"/>
      <c r="BA866" s="65"/>
    </row>
    <row r="867">
      <c r="A867" s="65" t="str">
        <f>IFERROR(__xludf.DUMMYFUNCTION("""COMPUTED_VALUE"""),"27-03-2026")</f>
        <v>27-03-2026</v>
      </c>
      <c r="B867" s="65">
        <f>IFERROR(__xludf.DUMMYFUNCTION("""COMPUTED_VALUE"""),4484051.0)</f>
        <v>4484051</v>
      </c>
      <c r="C867" s="65" t="str">
        <f>IFERROR(__xludf.DUMMYFUNCTION("""COMPUTED_VALUE"""),"21:36")</f>
        <v>21:36</v>
      </c>
      <c r="D867" s="65" t="str">
        <f>IFERROR(__xludf.DUMMYFUNCTION("""COMPUTED_VALUE"""),"11-02-2026")</f>
        <v>11-02-2026</v>
      </c>
      <c r="E867" s="65" t="str">
        <f>IFERROR(__xludf.DUMMYFUNCTION("""COMPUTED_VALUE"""),"Juvenal Muñoz")</f>
        <v>Juvenal Muñoz</v>
      </c>
      <c r="F867" s="65" t="str">
        <f>IFERROR(__xludf.DUMMYFUNCTION("""COMPUTED_VALUE"""),"0978646472")</f>
        <v>0978646472</v>
      </c>
      <c r="G867" s="65"/>
      <c r="H867" s="65"/>
      <c r="I867" s="65"/>
      <c r="J867" s="65" t="str">
        <f>IFERROR(__xludf.DUMMYFUNCTION("""COMPUTED_VALUE"""),"D001324359")</f>
        <v>D001324359</v>
      </c>
      <c r="K867" s="65" t="str">
        <f>IFERROR(__xludf.DUMMYFUNCTION("""COMPUTED_VALUE"""),"DEVOLUCION")</f>
        <v>DEVOLUCION</v>
      </c>
      <c r="L867" s="65" t="str">
        <f>IFERROR(__xludf.DUMMYFUNCTION("""COMPUTED_VALUE"""),"CON RECAUDO")</f>
        <v>CON RECAUDO</v>
      </c>
      <c r="M867" s="65" t="str">
        <f>IFERROR(__xludf.DUMMYFUNCTION("""COMPUTED_VALUE"""),"GUAYAS")</f>
        <v>GUAYAS</v>
      </c>
      <c r="N867" s="65" t="str">
        <f>IFERROR(__xludf.DUMMYFUNCTION("""COMPUTED_VALUE"""),"GUAYAQUIL")</f>
        <v>GUAYAQUIL</v>
      </c>
      <c r="O867" s="65" t="str">
        <f>IFERROR(__xludf.DUMMYFUNCTION("""COMPUTED_VALUE"""),"Puente Lucía, Via Daule,  frente a Metrópolis 2 , Av. Narcisa de  Jesus .")</f>
        <v>Puente Lucía, Via Daule,  frente a Metrópolis 2 , Av. Narcisa de  Jesus .</v>
      </c>
      <c r="P867" s="65" t="str">
        <f>IFERROR(__xludf.DUMMYFUNCTION("""COMPUTED_VALUE"""),"CUCHILLO PARA CHEF: Default Title ***")</f>
        <v>CUCHILLO PARA CHEF: Default Title ***</v>
      </c>
      <c r="Q867" s="65" t="str">
        <f>IFERROR(__xludf.DUMMYFUNCTION("""COMPUTED_VALUE"""),"GINTRACOM")</f>
        <v>GINTRACOM</v>
      </c>
      <c r="R867" s="65">
        <f>IFERROR(__xludf.DUMMYFUNCTION("""COMPUTED_VALUE"""),21.99)</f>
        <v>21.99</v>
      </c>
      <c r="S867" s="65"/>
      <c r="T867" s="65">
        <f>IFERROR(__xludf.DUMMYFUNCTION("""COMPUTED_VALUE"""),4.23)</f>
        <v>4.23</v>
      </c>
      <c r="U867" s="65">
        <f>IFERROR(__xludf.DUMMYFUNCTION("""COMPUTED_VALUE"""),0.0)</f>
        <v>0</v>
      </c>
      <c r="V867" s="65">
        <f>IFERROR(__xludf.DUMMYFUNCTION("""COMPUTED_VALUE"""),0.0)</f>
        <v>0</v>
      </c>
      <c r="W867" s="65">
        <f>IFERROR(__xludf.DUMMYFUNCTION("""COMPUTED_VALUE"""),0.0)</f>
        <v>0</v>
      </c>
      <c r="X867" s="65">
        <f>IFERROR(__xludf.DUMMYFUNCTION("""COMPUTED_VALUE"""),2.6)</f>
        <v>2.6</v>
      </c>
      <c r="Y867" s="65">
        <f>IFERROR(__xludf.DUMMYFUNCTION("""COMPUTED_VALUE"""),2.6)</f>
        <v>2.6</v>
      </c>
      <c r="Z867" s="65">
        <f>IFERROR(__xludf.DUMMYFUNCTION("""COMPUTED_VALUE"""),121983.0)</f>
        <v>121983</v>
      </c>
      <c r="AA867" s="65" t="str">
        <f>IFERROR(__xludf.DUMMYFUNCTION("""COMPUTED_VALUE"""),"PROV-CHLLCF")</f>
        <v>PROV-CHLLCF</v>
      </c>
      <c r="AB867" s="65"/>
      <c r="AC867" s="65" t="str">
        <f>IFERROR(__xludf.DUMMYFUNCTION("""COMPUTED_VALUE"""),"CUCHILLO PARA CHEF")</f>
        <v>CUCHILLO PARA CHEF</v>
      </c>
      <c r="AD867" s="65"/>
      <c r="AE867" s="65">
        <f>IFERROR(__xludf.DUMMYFUNCTION("""COMPUTED_VALUE"""),1.0)</f>
        <v>1</v>
      </c>
      <c r="AF867" s="65" t="str">
        <f>IFERROR(__xludf.DUMMYFUNCTION("""COMPUTED_VALUE"""),"DESTINATARIO INDICA QUE LA MERCANCÍA ESTÁ INCOMPLETA")</f>
        <v>DESTINATARIO INDICA QUE LA MERCANCÍA ESTÁ INCOMPLETA</v>
      </c>
      <c r="AG867" s="65" t="str">
        <f>IFERROR(__xludf.DUMMYFUNCTION("""COMPUTED_VALUE"""),"NO")</f>
        <v>NO</v>
      </c>
      <c r="AH867" s="65" t="str">
        <f>IFERROR(__xludf.DUMMYFUNCTION("""COMPUTED_VALUE"""),"12:54")</f>
        <v>12:54</v>
      </c>
      <c r="AI867" s="65" t="str">
        <f>IFERROR(__xludf.DUMMYFUNCTION("""COMPUTED_VALUE"""),"14-02-2026")</f>
        <v>14-02-2026</v>
      </c>
      <c r="AJ867" s="65"/>
      <c r="AK867" s="65"/>
      <c r="AL867" s="65"/>
      <c r="AM867" s="65"/>
      <c r="AN867" s="65" t="str">
        <f>IFERROR(__xludf.DUMMYFUNCTION("""COMPUTED_VALUE"""),"01:36")</f>
        <v>01:36</v>
      </c>
      <c r="AO867" s="65" t="str">
        <f>IFERROR(__xludf.DUMMYFUNCTION("""COMPUTED_VALUE"""),"09-03-2026")</f>
        <v>09-03-2026</v>
      </c>
      <c r="AP867" s="65" t="str">
        <f>IFERROR(__xludf.DUMMYFUNCTION("""COMPUTED_VALUE"""),"DEVOLUCIÓN ENTREGADA A ORIGEN")</f>
        <v>DEVOLUCIÓN ENTREGADA A ORIGEN</v>
      </c>
      <c r="AQ867" s="65" t="str">
        <f>IFERROR(__xludf.DUMMYFUNCTION("""COMPUTED_VALUE"""),"DEVOLUCIÓN ENTREGADA A ORIGEN")</f>
        <v>DEVOLUCIÓN ENTREGADA A ORIGEN</v>
      </c>
      <c r="AR867" s="65"/>
      <c r="AS867" s="65"/>
      <c r="AT867" s="65" t="str">
        <f>IFERROR(__xludf.DUMMYFUNCTION("""COMPUTED_VALUE"""),"SHOPIFY")</f>
        <v>SHOPIFY</v>
      </c>
      <c r="AU867" s="65" t="str">
        <f>IFERROR(__xludf.DUMMYFUNCTION("""COMPUTED_VALUE"""),"IMPORTEX EC")</f>
        <v>IMPORTEX EC</v>
      </c>
      <c r="AV867" s="65" t="str">
        <f>IFERROR(__xludf.DUMMYFUNCTION("""COMPUTED_VALUE"""),"6497212203052")</f>
        <v>6497212203052</v>
      </c>
      <c r="AW867" s="65">
        <f>IFERROR(__xludf.DUMMYFUNCTION("""COMPUTED_VALUE"""),6019.0)</f>
        <v>6019</v>
      </c>
      <c r="AX867" s="65"/>
      <c r="AY867" s="65" t="str">
        <f>IFERROR(__xludf.DUMMYFUNCTION("""COMPUTED_VALUE"""),"13/02/2026")</f>
        <v>13/02/2026</v>
      </c>
      <c r="AZ867" s="65"/>
      <c r="BA867" s="65"/>
    </row>
    <row r="868">
      <c r="A868" s="65" t="str">
        <f>IFERROR(__xludf.DUMMYFUNCTION("""COMPUTED_VALUE"""),"27-03-2026")</f>
        <v>27-03-2026</v>
      </c>
      <c r="B868" s="65">
        <f>IFERROR(__xludf.DUMMYFUNCTION("""COMPUTED_VALUE"""),4483794.0)</f>
        <v>4483794</v>
      </c>
      <c r="C868" s="65" t="str">
        <f>IFERROR(__xludf.DUMMYFUNCTION("""COMPUTED_VALUE"""),"21:17")</f>
        <v>21:17</v>
      </c>
      <c r="D868" s="65" t="str">
        <f>IFERROR(__xludf.DUMMYFUNCTION("""COMPUTED_VALUE"""),"11-02-2026")</f>
        <v>11-02-2026</v>
      </c>
      <c r="E868" s="65" t="str">
        <f>IFERROR(__xludf.DUMMYFUNCTION("""COMPUTED_VALUE"""),"Paola Sevilla")</f>
        <v>Paola Sevilla</v>
      </c>
      <c r="F868" s="65" t="str">
        <f>IFERROR(__xludf.DUMMYFUNCTION("""COMPUTED_VALUE"""),"984162851")</f>
        <v>984162851</v>
      </c>
      <c r="G868" s="65" t="str">
        <f>IFERROR(__xludf.DUMMYFUNCTION("""COMPUTED_VALUE"""),"paosevilla02@gmail.com")</f>
        <v>paosevilla02@gmail.com</v>
      </c>
      <c r="H868" s="65"/>
      <c r="I868" s="65"/>
      <c r="J868" s="65"/>
      <c r="K868" s="65" t="str">
        <f>IFERROR(__xludf.DUMMYFUNCTION("""COMPUTED_VALUE"""),"PENDIENTE CONFIRMACION")</f>
        <v>PENDIENTE CONFIRMACION</v>
      </c>
      <c r="L868" s="65" t="str">
        <f>IFERROR(__xludf.DUMMYFUNCTION("""COMPUTED_VALUE"""),"CON RECAUDO")</f>
        <v>CON RECAUDO</v>
      </c>
      <c r="M868" s="65" t="str">
        <f>IFERROR(__xludf.DUMMYFUNCTION("""COMPUTED_VALUE"""),"PICHINCHA")</f>
        <v>PICHINCHA</v>
      </c>
      <c r="N868" s="65" t="str">
        <f>IFERROR(__xludf.DUMMYFUNCTION("""COMPUTED_VALUE"""),"QUITO")</f>
        <v>QUITO</v>
      </c>
      <c r="O868" s="65" t="str">
        <f>IFERROR(__xludf.DUMMYFUNCTION("""COMPUTED_VALUE"""),"Julian estrella y manuela cañizares pasaje oe10-e Chillogallo -")</f>
        <v>Julian estrella y manuela cañizares pasaje oe10-e Chillogallo -</v>
      </c>
      <c r="P868" s="65"/>
      <c r="Q868" s="65" t="str">
        <f>IFERROR(__xludf.DUMMYFUNCTION("""COMPUTED_VALUE"""),"GINTRACOM")</f>
        <v>GINTRACOM</v>
      </c>
      <c r="R868" s="65">
        <f>IFERROR(__xludf.DUMMYFUNCTION("""COMPUTED_VALUE"""),20.0)</f>
        <v>20</v>
      </c>
      <c r="S868" s="65"/>
      <c r="T868" s="65">
        <f>IFERROR(__xludf.DUMMYFUNCTION("""COMPUTED_VALUE"""),5.76)</f>
        <v>5.76</v>
      </c>
      <c r="U868" s="65">
        <f>IFERROR(__xludf.DUMMYFUNCTION("""COMPUTED_VALUE"""),0.0)</f>
        <v>0</v>
      </c>
      <c r="V868" s="65">
        <f>IFERROR(__xludf.DUMMYFUNCTION("""COMPUTED_VALUE"""),0.0)</f>
        <v>0</v>
      </c>
      <c r="W868" s="65">
        <f>IFERROR(__xludf.DUMMYFUNCTION("""COMPUTED_VALUE"""),0.0)</f>
        <v>0</v>
      </c>
      <c r="X868" s="65">
        <f>IFERROR(__xludf.DUMMYFUNCTION("""COMPUTED_VALUE"""),2.4)</f>
        <v>2.4</v>
      </c>
      <c r="Y868" s="65">
        <f>IFERROR(__xludf.DUMMYFUNCTION("""COMPUTED_VALUE"""),2.4)</f>
        <v>2.4</v>
      </c>
      <c r="Z868" s="65">
        <f>IFERROR(__xludf.DUMMYFUNCTION("""COMPUTED_VALUE"""),120732.0)</f>
        <v>120732</v>
      </c>
      <c r="AA868" s="65" t="str">
        <f>IFERROR(__xludf.DUMMYFUNCTION("""COMPUTED_VALUE"""),"PROV-LMPVT")</f>
        <v>PROV-LMPVT</v>
      </c>
      <c r="AB868" s="65"/>
      <c r="AC868" s="65" t="str">
        <f>IFERROR(__xludf.DUMMYFUNCTION("""COMPUTED_VALUE"""),"LIMPIADOR DE PARABRISAS Y VENTANAS")</f>
        <v>LIMPIADOR DE PARABRISAS Y VENTANAS</v>
      </c>
      <c r="AD868" s="65"/>
      <c r="AE868" s="65">
        <f>IFERROR(__xludf.DUMMYFUNCTION("""COMPUTED_VALUE"""),1.0)</f>
        <v>1</v>
      </c>
      <c r="AF868" s="65"/>
      <c r="AG868" s="65"/>
      <c r="AH868" s="65"/>
      <c r="AI868" s="65"/>
      <c r="AJ868" s="65"/>
      <c r="AK868" s="65"/>
      <c r="AL868" s="65"/>
      <c r="AM868" s="65"/>
      <c r="AN868" s="65"/>
      <c r="AO868" s="65"/>
      <c r="AP868" s="65"/>
      <c r="AQ868" s="65"/>
      <c r="AR868" s="65"/>
      <c r="AS868" s="65"/>
      <c r="AT868" s="65" t="str">
        <f>IFERROR(__xludf.DUMMYFUNCTION("""COMPUTED_VALUE"""),"SHOPIFY")</f>
        <v>SHOPIFY</v>
      </c>
      <c r="AU868" s="65" t="str">
        <f>IFERROR(__xludf.DUMMYFUNCTION("""COMPUTED_VALUE"""),"IMPORTEX EC")</f>
        <v>IMPORTEX EC</v>
      </c>
      <c r="AV868" s="65" t="str">
        <f>IFERROR(__xludf.DUMMYFUNCTION("""COMPUTED_VALUE"""),"6497175502892")</f>
        <v>6497175502892</v>
      </c>
      <c r="AW868" s="65">
        <f>IFERROR(__xludf.DUMMYFUNCTION("""COMPUTED_VALUE"""),6018.0)</f>
        <v>6018</v>
      </c>
      <c r="AX868" s="65"/>
      <c r="AY868" s="65"/>
      <c r="AZ868" s="65"/>
      <c r="BA868" s="65"/>
    </row>
    <row r="869">
      <c r="A869" s="65" t="str">
        <f>IFERROR(__xludf.DUMMYFUNCTION("""COMPUTED_VALUE"""),"27-03-2026")</f>
        <v>27-03-2026</v>
      </c>
      <c r="B869" s="65">
        <f>IFERROR(__xludf.DUMMYFUNCTION("""COMPUTED_VALUE"""),4483651.0)</f>
        <v>4483651</v>
      </c>
      <c r="C869" s="65" t="str">
        <f>IFERROR(__xludf.DUMMYFUNCTION("""COMPUTED_VALUE"""),"21:07")</f>
        <v>21:07</v>
      </c>
      <c r="D869" s="65" t="str">
        <f>IFERROR(__xludf.DUMMYFUNCTION("""COMPUTED_VALUE"""),"11-02-2026")</f>
        <v>11-02-2026</v>
      </c>
      <c r="E869" s="65" t="str">
        <f>IFERROR(__xludf.DUMMYFUNCTION("""COMPUTED_VALUE"""),"Jorge Omar Macarlupo Parra")</f>
        <v>Jorge Omar Macarlupo Parra</v>
      </c>
      <c r="F869" s="65" t="str">
        <f>IFERROR(__xludf.DUMMYFUNCTION("""COMPUTED_VALUE"""),"983395096")</f>
        <v>983395096</v>
      </c>
      <c r="G869" s="65" t="str">
        <f>IFERROR(__xludf.DUMMYFUNCTION("""COMPUTED_VALUE"""),"omacarlupo@hotmail.com")</f>
        <v>omacarlupo@hotmail.com</v>
      </c>
      <c r="H869" s="65"/>
      <c r="I869" s="65"/>
      <c r="J869" s="65" t="str">
        <f>IFERROR(__xludf.DUMMYFUNCTION("""COMPUTED_VALUE"""),"D001324360")</f>
        <v>D001324360</v>
      </c>
      <c r="K869" s="65" t="str">
        <f>IFERROR(__xludf.DUMMYFUNCTION("""COMPUTED_VALUE"""),"ENTREGADO")</f>
        <v>ENTREGADO</v>
      </c>
      <c r="L869" s="65" t="str">
        <f>IFERROR(__xludf.DUMMYFUNCTION("""COMPUTED_VALUE"""),"CON RECAUDO")</f>
        <v>CON RECAUDO</v>
      </c>
      <c r="M869" s="65" t="str">
        <f>IFERROR(__xludf.DUMMYFUNCTION("""COMPUTED_VALUE"""),"GUAYAS")</f>
        <v>GUAYAS</v>
      </c>
      <c r="N869" s="65" t="str">
        <f>IFERROR(__xludf.DUMMYFUNCTION("""COMPUTED_VALUE"""),"GUAYAQUIL")</f>
        <v>GUAYAQUIL</v>
      </c>
      <c r="O869" s="65" t="str">
        <f>IFERROR(__xludf.DUMMYFUNCTION("""COMPUTED_VALUE"""),"Av Jose Rodriguez Bonnin Y Sta Rita.  Urb San Eduardo 2 Mz 303 V 13 -")</f>
        <v>Av Jose Rodriguez Bonnin Y Sta Rita.  Urb San Eduardo 2 Mz 303 V 13 -</v>
      </c>
      <c r="P869" s="65"/>
      <c r="Q869" s="65" t="str">
        <f>IFERROR(__xludf.DUMMYFUNCTION("""COMPUTED_VALUE"""),"GINTRACOM")</f>
        <v>GINTRACOM</v>
      </c>
      <c r="R869" s="65">
        <f>IFERROR(__xludf.DUMMYFUNCTION("""COMPUTED_VALUE"""),27.0)</f>
        <v>27</v>
      </c>
      <c r="S869" s="65">
        <f>IFERROR(__xludf.DUMMYFUNCTION("""COMPUTED_VALUE"""),14.78)</f>
        <v>14.78</v>
      </c>
      <c r="T869" s="65">
        <f>IFERROR(__xludf.DUMMYFUNCTION("""COMPUTED_VALUE"""),4.42)</f>
        <v>4.42</v>
      </c>
      <c r="U869" s="65">
        <f>IFERROR(__xludf.DUMMYFUNCTION("""COMPUTED_VALUE"""),0.0)</f>
        <v>0</v>
      </c>
      <c r="V869" s="65">
        <f>IFERROR(__xludf.DUMMYFUNCTION("""COMPUTED_VALUE"""),0.0)</f>
        <v>0</v>
      </c>
      <c r="W869" s="65">
        <f>IFERROR(__xludf.DUMMYFUNCTION("""COMPUTED_VALUE"""),0.0)</f>
        <v>0</v>
      </c>
      <c r="X869" s="65">
        <f>IFERROR(__xludf.DUMMYFUNCTION("""COMPUTED_VALUE"""),2.6)</f>
        <v>2.6</v>
      </c>
      <c r="Y869" s="65">
        <f>IFERROR(__xludf.DUMMYFUNCTION("""COMPUTED_VALUE"""),7.8)</f>
        <v>7.8</v>
      </c>
      <c r="Z869" s="65">
        <f>IFERROR(__xludf.DUMMYFUNCTION("""COMPUTED_VALUE"""),121983.0)</f>
        <v>121983</v>
      </c>
      <c r="AA869" s="65" t="str">
        <f>IFERROR(__xludf.DUMMYFUNCTION("""COMPUTED_VALUE"""),"PROV-CHLLCF")</f>
        <v>PROV-CHLLCF</v>
      </c>
      <c r="AB869" s="65"/>
      <c r="AC869" s="65" t="str">
        <f>IFERROR(__xludf.DUMMYFUNCTION("""COMPUTED_VALUE"""),"CUCHILLO PARA CHEF")</f>
        <v>CUCHILLO PARA CHEF</v>
      </c>
      <c r="AD869" s="65"/>
      <c r="AE869" s="65">
        <f>IFERROR(__xludf.DUMMYFUNCTION("""COMPUTED_VALUE"""),3.0)</f>
        <v>3</v>
      </c>
      <c r="AF869" s="65"/>
      <c r="AG869" s="65"/>
      <c r="AH869" s="65"/>
      <c r="AI869" s="65"/>
      <c r="AJ869" s="65"/>
      <c r="AK869" s="65"/>
      <c r="AL869" s="65"/>
      <c r="AM869" s="65"/>
      <c r="AN869" s="65" t="str">
        <f>IFERROR(__xludf.DUMMYFUNCTION("""COMPUTED_VALUE"""),"14:35")</f>
        <v>14:35</v>
      </c>
      <c r="AO869" s="65" t="str">
        <f>IFERROR(__xludf.DUMMYFUNCTION("""COMPUTED_VALUE"""),"14-02-2026")</f>
        <v>14-02-2026</v>
      </c>
      <c r="AP869" s="65" t="str">
        <f>IFERROR(__xludf.DUMMYFUNCTION("""COMPUTED_VALUE"""),"ENTREGADA GINTRACOM")</f>
        <v>ENTREGADA GINTRACOM</v>
      </c>
      <c r="AQ869" s="65" t="str">
        <f>IFERROR(__xludf.DUMMYFUNCTION("""COMPUTED_VALUE"""),"ENTREGADA GINTRACOM")</f>
        <v>ENTREGADA GINTRACOM</v>
      </c>
      <c r="AR869" s="65"/>
      <c r="AS869" s="65"/>
      <c r="AT869" s="65" t="str">
        <f>IFERROR(__xludf.DUMMYFUNCTION("""COMPUTED_VALUE"""),"SHOPIFY")</f>
        <v>SHOPIFY</v>
      </c>
      <c r="AU869" s="65" t="str">
        <f>IFERROR(__xludf.DUMMYFUNCTION("""COMPUTED_VALUE"""),"IMPORTEX EC")</f>
        <v>IMPORTEX EC</v>
      </c>
      <c r="AV869" s="65" t="str">
        <f>IFERROR(__xludf.DUMMYFUNCTION("""COMPUTED_VALUE"""),"6497156202540")</f>
        <v>6497156202540</v>
      </c>
      <c r="AW869" s="65">
        <f>IFERROR(__xludf.DUMMYFUNCTION("""COMPUTED_VALUE"""),6017.0)</f>
        <v>6017</v>
      </c>
      <c r="AX869" s="65"/>
      <c r="AY869" s="65" t="str">
        <f>IFERROR(__xludf.DUMMYFUNCTION("""COMPUTED_VALUE"""),"13/02/2026")</f>
        <v>13/02/2026</v>
      </c>
      <c r="AZ869" s="65"/>
      <c r="BA869" s="65"/>
    </row>
    <row r="870">
      <c r="A870" s="65" t="str">
        <f>IFERROR(__xludf.DUMMYFUNCTION("""COMPUTED_VALUE"""),"27-03-2026")</f>
        <v>27-03-2026</v>
      </c>
      <c r="B870" s="65">
        <f>IFERROR(__xludf.DUMMYFUNCTION("""COMPUTED_VALUE"""),4483587.0)</f>
        <v>4483587</v>
      </c>
      <c r="C870" s="65" t="str">
        <f>IFERROR(__xludf.DUMMYFUNCTION("""COMPUTED_VALUE"""),"21:00")</f>
        <v>21:00</v>
      </c>
      <c r="D870" s="65" t="str">
        <f>IFERROR(__xludf.DUMMYFUNCTION("""COMPUTED_VALUE"""),"11-02-2026")</f>
        <v>11-02-2026</v>
      </c>
      <c r="E870" s="65" t="str">
        <f>IFERROR(__xludf.DUMMYFUNCTION("""COMPUTED_VALUE"""),"Roberto Cristobal Cristobal")</f>
        <v>Roberto Cristobal Cristobal</v>
      </c>
      <c r="F870" s="65" t="str">
        <f>IFERROR(__xludf.DUMMYFUNCTION("""COMPUTED_VALUE"""),"967629742")</f>
        <v>967629742</v>
      </c>
      <c r="G870" s="65" t="str">
        <f>IFERROR(__xludf.DUMMYFUNCTION("""COMPUTED_VALUE"""),"robertomerejildo@gmail.com")</f>
        <v>robertomerejildo@gmail.com</v>
      </c>
      <c r="H870" s="65"/>
      <c r="I870" s="65"/>
      <c r="J870" s="65"/>
      <c r="K870" s="65" t="str">
        <f>IFERROR(__xludf.DUMMYFUNCTION("""COMPUTED_VALUE"""),"PENDIENTE CONFIRMACION")</f>
        <v>PENDIENTE CONFIRMACION</v>
      </c>
      <c r="L870" s="65" t="str">
        <f>IFERROR(__xludf.DUMMYFUNCTION("""COMPUTED_VALUE"""),"CON RECAUDO")</f>
        <v>CON RECAUDO</v>
      </c>
      <c r="M870" s="65" t="str">
        <f>IFERROR(__xludf.DUMMYFUNCTION("""COMPUTED_VALUE"""),"SANTA ELENA")</f>
        <v>SANTA ELENA</v>
      </c>
      <c r="N870" s="65" t="str">
        <f>IFERROR(__xludf.DUMMYFUNCTION("""COMPUTED_VALUE"""),"SANTA ELENA")</f>
        <v>SANTA ELENA</v>
      </c>
      <c r="O870" s="65" t="str">
        <f>IFERROR(__xludf.DUMMYFUNCTION("""COMPUTED_VALUE"""),"Calle 9 de octubre  Comuna Cadeate y dátiles -")</f>
        <v>Calle 9 de octubre  Comuna Cadeate y dátiles -</v>
      </c>
      <c r="P870" s="65"/>
      <c r="Q870" s="65" t="str">
        <f>IFERROR(__xludf.DUMMYFUNCTION("""COMPUTED_VALUE"""),"GINTRACOM")</f>
        <v>GINTRACOM</v>
      </c>
      <c r="R870" s="65">
        <f>IFERROR(__xludf.DUMMYFUNCTION("""COMPUTED_VALUE"""),20.0)</f>
        <v>20</v>
      </c>
      <c r="S870" s="65"/>
      <c r="T870" s="65">
        <f>IFERROR(__xludf.DUMMYFUNCTION("""COMPUTED_VALUE"""),5.76)</f>
        <v>5.76</v>
      </c>
      <c r="U870" s="65">
        <f>IFERROR(__xludf.DUMMYFUNCTION("""COMPUTED_VALUE"""),0.0)</f>
        <v>0</v>
      </c>
      <c r="V870" s="65">
        <f>IFERROR(__xludf.DUMMYFUNCTION("""COMPUTED_VALUE"""),0.0)</f>
        <v>0</v>
      </c>
      <c r="W870" s="65">
        <f>IFERROR(__xludf.DUMMYFUNCTION("""COMPUTED_VALUE"""),0.0)</f>
        <v>0</v>
      </c>
      <c r="X870" s="65">
        <f>IFERROR(__xludf.DUMMYFUNCTION("""COMPUTED_VALUE"""),2.4)</f>
        <v>2.4</v>
      </c>
      <c r="Y870" s="65">
        <f>IFERROR(__xludf.DUMMYFUNCTION("""COMPUTED_VALUE"""),2.4)</f>
        <v>2.4</v>
      </c>
      <c r="Z870" s="65">
        <f>IFERROR(__xludf.DUMMYFUNCTION("""COMPUTED_VALUE"""),120732.0)</f>
        <v>120732</v>
      </c>
      <c r="AA870" s="65" t="str">
        <f>IFERROR(__xludf.DUMMYFUNCTION("""COMPUTED_VALUE"""),"PROV-LMPVT")</f>
        <v>PROV-LMPVT</v>
      </c>
      <c r="AB870" s="65"/>
      <c r="AC870" s="65" t="str">
        <f>IFERROR(__xludf.DUMMYFUNCTION("""COMPUTED_VALUE"""),"LIMPIADOR DE PARABRISAS Y VENTANAS")</f>
        <v>LIMPIADOR DE PARABRISAS Y VENTANAS</v>
      </c>
      <c r="AD870" s="65"/>
      <c r="AE870" s="65">
        <f>IFERROR(__xludf.DUMMYFUNCTION("""COMPUTED_VALUE"""),1.0)</f>
        <v>1</v>
      </c>
      <c r="AF870" s="65"/>
      <c r="AG870" s="65"/>
      <c r="AH870" s="65"/>
      <c r="AI870" s="65"/>
      <c r="AJ870" s="65"/>
      <c r="AK870" s="65"/>
      <c r="AL870" s="65"/>
      <c r="AM870" s="65"/>
      <c r="AN870" s="65"/>
      <c r="AO870" s="65"/>
      <c r="AP870" s="65"/>
      <c r="AQ870" s="65"/>
      <c r="AR870" s="65"/>
      <c r="AS870" s="65"/>
      <c r="AT870" s="65" t="str">
        <f>IFERROR(__xludf.DUMMYFUNCTION("""COMPUTED_VALUE"""),"SHOPIFY")</f>
        <v>SHOPIFY</v>
      </c>
      <c r="AU870" s="65" t="str">
        <f>IFERROR(__xludf.DUMMYFUNCTION("""COMPUTED_VALUE"""),"IMPORTEX EC")</f>
        <v>IMPORTEX EC</v>
      </c>
      <c r="AV870" s="65" t="str">
        <f>IFERROR(__xludf.DUMMYFUNCTION("""COMPUTED_VALUE"""),"6497144111148")</f>
        <v>6497144111148</v>
      </c>
      <c r="AW870" s="65">
        <f>IFERROR(__xludf.DUMMYFUNCTION("""COMPUTED_VALUE"""),6016.0)</f>
        <v>6016</v>
      </c>
      <c r="AX870" s="65"/>
      <c r="AY870" s="65"/>
      <c r="AZ870" s="65"/>
      <c r="BA870" s="65"/>
    </row>
    <row r="871">
      <c r="A871" s="65" t="str">
        <f>IFERROR(__xludf.DUMMYFUNCTION("""COMPUTED_VALUE"""),"27-03-2026")</f>
        <v>27-03-2026</v>
      </c>
      <c r="B871" s="65">
        <f>IFERROR(__xludf.DUMMYFUNCTION("""COMPUTED_VALUE"""),4483559.0)</f>
        <v>4483559</v>
      </c>
      <c r="C871" s="65" t="str">
        <f>IFERROR(__xludf.DUMMYFUNCTION("""COMPUTED_VALUE"""),"20:58")</f>
        <v>20:58</v>
      </c>
      <c r="D871" s="65" t="str">
        <f>IFERROR(__xludf.DUMMYFUNCTION("""COMPUTED_VALUE"""),"11-02-2026")</f>
        <v>11-02-2026</v>
      </c>
      <c r="E871" s="65" t="str">
        <f>IFERROR(__xludf.DUMMYFUNCTION("""COMPUTED_VALUE"""),"Welinton Torres")</f>
        <v>Welinton Torres</v>
      </c>
      <c r="F871" s="65" t="str">
        <f>IFERROR(__xludf.DUMMYFUNCTION("""COMPUTED_VALUE"""),"986406970")</f>
        <v>986406970</v>
      </c>
      <c r="G871" s="65"/>
      <c r="H871" s="65"/>
      <c r="I871" s="65"/>
      <c r="J871" s="65"/>
      <c r="K871" s="65" t="str">
        <f>IFERROR(__xludf.DUMMYFUNCTION("""COMPUTED_VALUE"""),"PENDIENTE CONFIRMACION")</f>
        <v>PENDIENTE CONFIRMACION</v>
      </c>
      <c r="L871" s="65" t="str">
        <f>IFERROR(__xludf.DUMMYFUNCTION("""COMPUTED_VALUE"""),"CON RECAUDO")</f>
        <v>CON RECAUDO</v>
      </c>
      <c r="M871" s="65" t="str">
        <f>IFERROR(__xludf.DUMMYFUNCTION("""COMPUTED_VALUE"""),"TUNGURAHUA")</f>
        <v>TUNGURAHUA</v>
      </c>
      <c r="N871" s="65" t="str">
        <f>IFERROR(__xludf.DUMMYFUNCTION("""COMPUTED_VALUE"""),"PILLARO")</f>
        <v>PILLARO</v>
      </c>
      <c r="O871" s="65" t="str">
        <f>IFERROR(__xludf.DUMMYFUNCTION("""COMPUTED_VALUE"""),"Colón y Urbina Barrio 24 de Mayo -")</f>
        <v>Colón y Urbina Barrio 24 de Mayo -</v>
      </c>
      <c r="P871" s="65"/>
      <c r="Q871" s="65" t="str">
        <f>IFERROR(__xludf.DUMMYFUNCTION("""COMPUTED_VALUE"""),"LAARCOURIER")</f>
        <v>LAARCOURIER</v>
      </c>
      <c r="R871" s="65">
        <f>IFERROR(__xludf.DUMMYFUNCTION("""COMPUTED_VALUE"""),30.0)</f>
        <v>30</v>
      </c>
      <c r="S871" s="65"/>
      <c r="T871" s="65">
        <f>IFERROR(__xludf.DUMMYFUNCTION("""COMPUTED_VALUE"""),7.48)</f>
        <v>7.48</v>
      </c>
      <c r="U871" s="65">
        <f>IFERROR(__xludf.DUMMYFUNCTION("""COMPUTED_VALUE"""),0.0)</f>
        <v>0</v>
      </c>
      <c r="V871" s="65">
        <f>IFERROR(__xludf.DUMMYFUNCTION("""COMPUTED_VALUE"""),0.0)</f>
        <v>0</v>
      </c>
      <c r="W871" s="65">
        <f>IFERROR(__xludf.DUMMYFUNCTION("""COMPUTED_VALUE"""),0.0)</f>
        <v>0</v>
      </c>
      <c r="X871" s="65">
        <f>IFERROR(__xludf.DUMMYFUNCTION("""COMPUTED_VALUE"""),2.4)</f>
        <v>2.4</v>
      </c>
      <c r="Y871" s="65">
        <f>IFERROR(__xludf.DUMMYFUNCTION("""COMPUTED_VALUE"""),7.2)</f>
        <v>7.2</v>
      </c>
      <c r="Z871" s="65">
        <f>IFERROR(__xludf.DUMMYFUNCTION("""COMPUTED_VALUE"""),120732.0)</f>
        <v>120732</v>
      </c>
      <c r="AA871" s="65" t="str">
        <f>IFERROR(__xludf.DUMMYFUNCTION("""COMPUTED_VALUE"""),"PROV-LMPVT")</f>
        <v>PROV-LMPVT</v>
      </c>
      <c r="AB871" s="65"/>
      <c r="AC871" s="65" t="str">
        <f>IFERROR(__xludf.DUMMYFUNCTION("""COMPUTED_VALUE"""),"LIMPIADOR DE PARABRISAS Y VENTANAS")</f>
        <v>LIMPIADOR DE PARABRISAS Y VENTANAS</v>
      </c>
      <c r="AD871" s="65"/>
      <c r="AE871" s="65">
        <f>IFERROR(__xludf.DUMMYFUNCTION("""COMPUTED_VALUE"""),3.0)</f>
        <v>3</v>
      </c>
      <c r="AF871" s="65"/>
      <c r="AG871" s="65"/>
      <c r="AH871" s="65"/>
      <c r="AI871" s="65"/>
      <c r="AJ871" s="65"/>
      <c r="AK871" s="65"/>
      <c r="AL871" s="65"/>
      <c r="AM871" s="65"/>
      <c r="AN871" s="65"/>
      <c r="AO871" s="65"/>
      <c r="AP871" s="65"/>
      <c r="AQ871" s="65"/>
      <c r="AR871" s="65"/>
      <c r="AS871" s="65"/>
      <c r="AT871" s="65" t="str">
        <f>IFERROR(__xludf.DUMMYFUNCTION("""COMPUTED_VALUE"""),"SHOPIFY")</f>
        <v>SHOPIFY</v>
      </c>
      <c r="AU871" s="65" t="str">
        <f>IFERROR(__xludf.DUMMYFUNCTION("""COMPUTED_VALUE"""),"IMPORTEX EC")</f>
        <v>IMPORTEX EC</v>
      </c>
      <c r="AV871" s="65" t="str">
        <f>IFERROR(__xludf.DUMMYFUNCTION("""COMPUTED_VALUE"""),"6497138507820")</f>
        <v>6497138507820</v>
      </c>
      <c r="AW871" s="65">
        <f>IFERROR(__xludf.DUMMYFUNCTION("""COMPUTED_VALUE"""),6015.0)</f>
        <v>6015</v>
      </c>
      <c r="AX871" s="65"/>
      <c r="AY871" s="65"/>
      <c r="AZ871" s="65"/>
      <c r="BA871" s="65"/>
    </row>
    <row r="872">
      <c r="A872" s="65" t="str">
        <f>IFERROR(__xludf.DUMMYFUNCTION("""COMPUTED_VALUE"""),"27-03-2026")</f>
        <v>27-03-2026</v>
      </c>
      <c r="B872" s="65">
        <f>IFERROR(__xludf.DUMMYFUNCTION("""COMPUTED_VALUE"""),4483482.0)</f>
        <v>4483482</v>
      </c>
      <c r="C872" s="65" t="str">
        <f>IFERROR(__xludf.DUMMYFUNCTION("""COMPUTED_VALUE"""),"20:51")</f>
        <v>20:51</v>
      </c>
      <c r="D872" s="65" t="str">
        <f>IFERROR(__xludf.DUMMYFUNCTION("""COMPUTED_VALUE"""),"11-02-2026")</f>
        <v>11-02-2026</v>
      </c>
      <c r="E872" s="65" t="str">
        <f>IFERROR(__xludf.DUMMYFUNCTION("""COMPUTED_VALUE"""),"Edgar Pucuji")</f>
        <v>Edgar Pucuji</v>
      </c>
      <c r="F872" s="65" t="str">
        <f>IFERROR(__xludf.DUMMYFUNCTION("""COMPUTED_VALUE"""),"989443772")</f>
        <v>989443772</v>
      </c>
      <c r="G872" s="65" t="str">
        <f>IFERROR(__xludf.DUMMYFUNCTION("""COMPUTED_VALUE"""),"edgarmarcelo3380@gmail.com")</f>
        <v>edgarmarcelo3380@gmail.com</v>
      </c>
      <c r="H872" s="65"/>
      <c r="I872" s="65"/>
      <c r="J872" s="65" t="str">
        <f>IFERROR(__xludf.DUMMYFUNCTION("""COMPUTED_VALUE"""),"D001324361")</f>
        <v>D001324361</v>
      </c>
      <c r="K872" s="65" t="str">
        <f>IFERROR(__xludf.DUMMYFUNCTION("""COMPUTED_VALUE"""),"ENTREGADO")</f>
        <v>ENTREGADO</v>
      </c>
      <c r="L872" s="65" t="str">
        <f>IFERROR(__xludf.DUMMYFUNCTION("""COMPUTED_VALUE"""),"CON RECAUDO")</f>
        <v>CON RECAUDO</v>
      </c>
      <c r="M872" s="65" t="str">
        <f>IFERROR(__xludf.DUMMYFUNCTION("""COMPUTED_VALUE"""),"PICHINCHA")</f>
        <v>PICHINCHA</v>
      </c>
      <c r="N872" s="65" t="str">
        <f>IFERROR(__xludf.DUMMYFUNCTION("""COMPUTED_VALUE"""),"QUITO")</f>
        <v>QUITO</v>
      </c>
      <c r="O872" s="65" t="str">
        <f>IFERROR(__xludf.DUMMYFUNCTION("""COMPUTED_VALUE"""),"Vancouver Lote 9 Y Vilcabamba Calderón parada 8 vía Marianitas entrando por la calle de la gasolinera Petrocomercial -")</f>
        <v>Vancouver Lote 9 Y Vilcabamba Calderón parada 8 vía Marianitas entrando por la calle de la gasolinera Petrocomercial -</v>
      </c>
      <c r="P872" s="65"/>
      <c r="Q872" s="65" t="str">
        <f>IFERROR(__xludf.DUMMYFUNCTION("""COMPUTED_VALUE"""),"GINTRACOM")</f>
        <v>GINTRACOM</v>
      </c>
      <c r="R872" s="65">
        <f>IFERROR(__xludf.DUMMYFUNCTION("""COMPUTED_VALUE"""),22.0)</f>
        <v>22</v>
      </c>
      <c r="S872" s="65">
        <f>IFERROR(__xludf.DUMMYFUNCTION("""COMPUTED_VALUE"""),10.96)</f>
        <v>10.96</v>
      </c>
      <c r="T872" s="65">
        <f>IFERROR(__xludf.DUMMYFUNCTION("""COMPUTED_VALUE"""),5.84)</f>
        <v>5.84</v>
      </c>
      <c r="U872" s="65">
        <f>IFERROR(__xludf.DUMMYFUNCTION("""COMPUTED_VALUE"""),0.0)</f>
        <v>0</v>
      </c>
      <c r="V872" s="65">
        <f>IFERROR(__xludf.DUMMYFUNCTION("""COMPUTED_VALUE"""),0.0)</f>
        <v>0</v>
      </c>
      <c r="W872" s="65">
        <f>IFERROR(__xludf.DUMMYFUNCTION("""COMPUTED_VALUE"""),0.0)</f>
        <v>0</v>
      </c>
      <c r="X872" s="65">
        <f>IFERROR(__xludf.DUMMYFUNCTION("""COMPUTED_VALUE"""),2.6)</f>
        <v>2.6</v>
      </c>
      <c r="Y872" s="65">
        <f>IFERROR(__xludf.DUMMYFUNCTION("""COMPUTED_VALUE"""),5.2)</f>
        <v>5.2</v>
      </c>
      <c r="Z872" s="65">
        <f>IFERROR(__xludf.DUMMYFUNCTION("""COMPUTED_VALUE"""),121983.0)</f>
        <v>121983</v>
      </c>
      <c r="AA872" s="65" t="str">
        <f>IFERROR(__xludf.DUMMYFUNCTION("""COMPUTED_VALUE"""),"PROV-CHLLCF")</f>
        <v>PROV-CHLLCF</v>
      </c>
      <c r="AB872" s="65"/>
      <c r="AC872" s="65" t="str">
        <f>IFERROR(__xludf.DUMMYFUNCTION("""COMPUTED_VALUE"""),"CUCHILLO PARA CHEF")</f>
        <v>CUCHILLO PARA CHEF</v>
      </c>
      <c r="AD872" s="65"/>
      <c r="AE872" s="65">
        <f>IFERROR(__xludf.DUMMYFUNCTION("""COMPUTED_VALUE"""),2.0)</f>
        <v>2</v>
      </c>
      <c r="AF872" s="65"/>
      <c r="AG872" s="65"/>
      <c r="AH872" s="65"/>
      <c r="AI872" s="65"/>
      <c r="AJ872" s="65"/>
      <c r="AK872" s="65"/>
      <c r="AL872" s="65"/>
      <c r="AM872" s="65"/>
      <c r="AN872" s="65" t="str">
        <f>IFERROR(__xludf.DUMMYFUNCTION("""COMPUTED_VALUE"""),"01:30")</f>
        <v>01:30</v>
      </c>
      <c r="AO872" s="65" t="str">
        <f>IFERROR(__xludf.DUMMYFUNCTION("""COMPUTED_VALUE"""),"15-02-2026")</f>
        <v>15-02-2026</v>
      </c>
      <c r="AP872" s="65" t="str">
        <f>IFERROR(__xludf.DUMMYFUNCTION("""COMPUTED_VALUE"""),"EN TRÁNSITO")</f>
        <v>EN TRÁNSITO</v>
      </c>
      <c r="AQ872" s="65" t="str">
        <f>IFERROR(__xludf.DUMMYFUNCTION("""COMPUTED_VALUE"""),"EN TRÁNSITO")</f>
        <v>EN TRÁNSITO</v>
      </c>
      <c r="AR872" s="65"/>
      <c r="AS872" s="65"/>
      <c r="AT872" s="65" t="str">
        <f>IFERROR(__xludf.DUMMYFUNCTION("""COMPUTED_VALUE"""),"SHOPIFY")</f>
        <v>SHOPIFY</v>
      </c>
      <c r="AU872" s="65" t="str">
        <f>IFERROR(__xludf.DUMMYFUNCTION("""COMPUTED_VALUE"""),"IMPORTEX EC")</f>
        <v>IMPORTEX EC</v>
      </c>
      <c r="AV872" s="65" t="str">
        <f>IFERROR(__xludf.DUMMYFUNCTION("""COMPUTED_VALUE"""),"6497126055980")</f>
        <v>6497126055980</v>
      </c>
      <c r="AW872" s="65">
        <f>IFERROR(__xludf.DUMMYFUNCTION("""COMPUTED_VALUE"""),6014.0)</f>
        <v>6014</v>
      </c>
      <c r="AX872" s="65"/>
      <c r="AY872" s="65" t="str">
        <f>IFERROR(__xludf.DUMMYFUNCTION("""COMPUTED_VALUE"""),"13/02/2026")</f>
        <v>13/02/2026</v>
      </c>
      <c r="AZ872" s="65"/>
      <c r="BA872" s="65"/>
    </row>
    <row r="873">
      <c r="A873" s="65" t="str">
        <f>IFERROR(__xludf.DUMMYFUNCTION("""COMPUTED_VALUE"""),"27-03-2026")</f>
        <v>27-03-2026</v>
      </c>
      <c r="B873" s="65">
        <f>IFERROR(__xludf.DUMMYFUNCTION("""COMPUTED_VALUE"""),4483380.0)</f>
        <v>4483380</v>
      </c>
      <c r="C873" s="65" t="str">
        <f>IFERROR(__xludf.DUMMYFUNCTION("""COMPUTED_VALUE"""),"20:41")</f>
        <v>20:41</v>
      </c>
      <c r="D873" s="65" t="str">
        <f>IFERROR(__xludf.DUMMYFUNCTION("""COMPUTED_VALUE"""),"11-02-2026")</f>
        <v>11-02-2026</v>
      </c>
      <c r="E873" s="65" t="str">
        <f>IFERROR(__xludf.DUMMYFUNCTION("""COMPUTED_VALUE"""),"Mauricio Junez")</f>
        <v>Mauricio Junez</v>
      </c>
      <c r="F873" s="65" t="str">
        <f>IFERROR(__xludf.DUMMYFUNCTION("""COMPUTED_VALUE"""),"992579210")</f>
        <v>992579210</v>
      </c>
      <c r="G873" s="65" t="str">
        <f>IFERROR(__xludf.DUMMYFUNCTION("""COMPUTED_VALUE"""),"mjunez1987@gmail.com")</f>
        <v>mjunez1987@gmail.com</v>
      </c>
      <c r="H873" s="65"/>
      <c r="I873" s="65"/>
      <c r="J873" s="65"/>
      <c r="K873" s="65" t="str">
        <f>IFERROR(__xludf.DUMMYFUNCTION("""COMPUTED_VALUE"""),"PENDIENTE CONFIRMACION")</f>
        <v>PENDIENTE CONFIRMACION</v>
      </c>
      <c r="L873" s="65" t="str">
        <f>IFERROR(__xludf.DUMMYFUNCTION("""COMPUTED_VALUE"""),"CON RECAUDO")</f>
        <v>CON RECAUDO</v>
      </c>
      <c r="M873" s="65" t="str">
        <f>IFERROR(__xludf.DUMMYFUNCTION("""COMPUTED_VALUE"""),"CHIMBORAZO")</f>
        <v>CHIMBORAZO</v>
      </c>
      <c r="N873" s="65" t="str">
        <f>IFERROR(__xludf.DUMMYFUNCTION("""COMPUTED_VALUE"""),"RIOBAMBA")</f>
        <v>RIOBAMBA</v>
      </c>
      <c r="O873" s="65" t="str">
        <f>IFERROR(__xludf.DUMMYFUNCTION("""COMPUTED_VALUE"""),"Monterrey y calicuchima Terminal -")</f>
        <v>Monterrey y calicuchima Terminal -</v>
      </c>
      <c r="P873" s="65"/>
      <c r="Q873" s="65" t="str">
        <f>IFERROR(__xludf.DUMMYFUNCTION("""COMPUTED_VALUE"""),"GINTRACOM")</f>
        <v>GINTRACOM</v>
      </c>
      <c r="R873" s="65">
        <f>IFERROR(__xludf.DUMMYFUNCTION("""COMPUTED_VALUE"""),30.0)</f>
        <v>30</v>
      </c>
      <c r="S873" s="65"/>
      <c r="T873" s="65">
        <f>IFERROR(__xludf.DUMMYFUNCTION("""COMPUTED_VALUE"""),6.16)</f>
        <v>6.16</v>
      </c>
      <c r="U873" s="65">
        <f>IFERROR(__xludf.DUMMYFUNCTION("""COMPUTED_VALUE"""),0.0)</f>
        <v>0</v>
      </c>
      <c r="V873" s="65">
        <f>IFERROR(__xludf.DUMMYFUNCTION("""COMPUTED_VALUE"""),0.0)</f>
        <v>0</v>
      </c>
      <c r="W873" s="65">
        <f>IFERROR(__xludf.DUMMYFUNCTION("""COMPUTED_VALUE"""),0.0)</f>
        <v>0</v>
      </c>
      <c r="X873" s="65">
        <f>IFERROR(__xludf.DUMMYFUNCTION("""COMPUTED_VALUE"""),2.4)</f>
        <v>2.4</v>
      </c>
      <c r="Y873" s="65">
        <f>IFERROR(__xludf.DUMMYFUNCTION("""COMPUTED_VALUE"""),7.2)</f>
        <v>7.2</v>
      </c>
      <c r="Z873" s="65">
        <f>IFERROR(__xludf.DUMMYFUNCTION("""COMPUTED_VALUE"""),120732.0)</f>
        <v>120732</v>
      </c>
      <c r="AA873" s="65" t="str">
        <f>IFERROR(__xludf.DUMMYFUNCTION("""COMPUTED_VALUE"""),"PROV-LMPVT")</f>
        <v>PROV-LMPVT</v>
      </c>
      <c r="AB873" s="65"/>
      <c r="AC873" s="65" t="str">
        <f>IFERROR(__xludf.DUMMYFUNCTION("""COMPUTED_VALUE"""),"LIMPIADOR DE PARABRISAS Y VENTANAS")</f>
        <v>LIMPIADOR DE PARABRISAS Y VENTANAS</v>
      </c>
      <c r="AD873" s="65"/>
      <c r="AE873" s="65">
        <f>IFERROR(__xludf.DUMMYFUNCTION("""COMPUTED_VALUE"""),3.0)</f>
        <v>3</v>
      </c>
      <c r="AF873" s="65"/>
      <c r="AG873" s="65"/>
      <c r="AH873" s="65"/>
      <c r="AI873" s="65"/>
      <c r="AJ873" s="65"/>
      <c r="AK873" s="65"/>
      <c r="AL873" s="65"/>
      <c r="AM873" s="65"/>
      <c r="AN873" s="65"/>
      <c r="AO873" s="65"/>
      <c r="AP873" s="65"/>
      <c r="AQ873" s="65"/>
      <c r="AR873" s="65"/>
      <c r="AS873" s="65"/>
      <c r="AT873" s="65" t="str">
        <f>IFERROR(__xludf.DUMMYFUNCTION("""COMPUTED_VALUE"""),"SHOPIFY")</f>
        <v>SHOPIFY</v>
      </c>
      <c r="AU873" s="65" t="str">
        <f>IFERROR(__xludf.DUMMYFUNCTION("""COMPUTED_VALUE"""),"IMPORTEX EC")</f>
        <v>IMPORTEX EC</v>
      </c>
      <c r="AV873" s="65" t="str">
        <f>IFERROR(__xludf.DUMMYFUNCTION("""COMPUTED_VALUE"""),"6497104232492")</f>
        <v>6497104232492</v>
      </c>
      <c r="AW873" s="65">
        <f>IFERROR(__xludf.DUMMYFUNCTION("""COMPUTED_VALUE"""),6013.0)</f>
        <v>6013</v>
      </c>
      <c r="AX873" s="65"/>
      <c r="AY873" s="65"/>
      <c r="AZ873" s="65"/>
      <c r="BA873" s="65"/>
    </row>
    <row r="874">
      <c r="A874" s="65" t="str">
        <f>IFERROR(__xludf.DUMMYFUNCTION("""COMPUTED_VALUE"""),"27-03-2026")</f>
        <v>27-03-2026</v>
      </c>
      <c r="B874" s="65">
        <f>IFERROR(__xludf.DUMMYFUNCTION("""COMPUTED_VALUE"""),4483280.0)</f>
        <v>4483280</v>
      </c>
      <c r="C874" s="65" t="str">
        <f>IFERROR(__xludf.DUMMYFUNCTION("""COMPUTED_VALUE"""),"20:32")</f>
        <v>20:32</v>
      </c>
      <c r="D874" s="65" t="str">
        <f>IFERROR(__xludf.DUMMYFUNCTION("""COMPUTED_VALUE"""),"11-02-2026")</f>
        <v>11-02-2026</v>
      </c>
      <c r="E874" s="65" t="str">
        <f>IFERROR(__xludf.DUMMYFUNCTION("""COMPUTED_VALUE"""),"Wilson salazar")</f>
        <v>Wilson salazar</v>
      </c>
      <c r="F874" s="65" t="str">
        <f>IFERROR(__xludf.DUMMYFUNCTION("""COMPUTED_VALUE"""),"998210500")</f>
        <v>998210500</v>
      </c>
      <c r="G874" s="65" t="str">
        <f>IFERROR(__xludf.DUMMYFUNCTION("""COMPUTED_VALUE"""),"wilsonsalazar0107@gmail.com")</f>
        <v>wilsonsalazar0107@gmail.com</v>
      </c>
      <c r="H874" s="65"/>
      <c r="I874" s="65"/>
      <c r="J874" s="65" t="str">
        <f>IFERROR(__xludf.DUMMYFUNCTION("""COMPUTED_VALUE"""),"D001325888")</f>
        <v>D001325888</v>
      </c>
      <c r="K874" s="65" t="str">
        <f>IFERROR(__xludf.DUMMYFUNCTION("""COMPUTED_VALUE"""),"ENTREGADO")</f>
        <v>ENTREGADO</v>
      </c>
      <c r="L874" s="65" t="str">
        <f>IFERROR(__xludf.DUMMYFUNCTION("""COMPUTED_VALUE"""),"CON RECAUDO")</f>
        <v>CON RECAUDO</v>
      </c>
      <c r="M874" s="65" t="str">
        <f>IFERROR(__xludf.DUMMYFUNCTION("""COMPUTED_VALUE"""),"PICHINCHA")</f>
        <v>PICHINCHA</v>
      </c>
      <c r="N874" s="65" t="str">
        <f>IFERROR(__xludf.DUMMYFUNCTION("""COMPUTED_VALUE"""),"QUITO")</f>
        <v>QUITO</v>
      </c>
      <c r="O874" s="65" t="str">
        <f>IFERROR(__xludf.DUMMYFUNCTION("""COMPUTED_VALUE"""),"Nazareth oe2-25 Y Melchor Toaza , REFERENCIA  Frente lubricadora el maestro -")</f>
        <v>Nazareth oe2-25 Y Melchor Toaza , REFERENCIA  Frente lubricadora el maestro -</v>
      </c>
      <c r="P874" s="65"/>
      <c r="Q874" s="65" t="str">
        <f>IFERROR(__xludf.DUMMYFUNCTION("""COMPUTED_VALUE"""),"GINTRACOM")</f>
        <v>GINTRACOM</v>
      </c>
      <c r="R874" s="65">
        <f>IFERROR(__xludf.DUMMYFUNCTION("""COMPUTED_VALUE"""),25.0)</f>
        <v>25</v>
      </c>
      <c r="S874" s="65">
        <f>IFERROR(__xludf.DUMMYFUNCTION("""COMPUTED_VALUE"""),14.24)</f>
        <v>14.24</v>
      </c>
      <c r="T874" s="65">
        <f>IFERROR(__xludf.DUMMYFUNCTION("""COMPUTED_VALUE"""),5.96)</f>
        <v>5.96</v>
      </c>
      <c r="U874" s="65">
        <f>IFERROR(__xludf.DUMMYFUNCTION("""COMPUTED_VALUE"""),0.0)</f>
        <v>0</v>
      </c>
      <c r="V874" s="65">
        <f>IFERROR(__xludf.DUMMYFUNCTION("""COMPUTED_VALUE"""),0.0)</f>
        <v>0</v>
      </c>
      <c r="W874" s="65">
        <f>IFERROR(__xludf.DUMMYFUNCTION("""COMPUTED_VALUE"""),0.0)</f>
        <v>0</v>
      </c>
      <c r="X874" s="65">
        <f>IFERROR(__xludf.DUMMYFUNCTION("""COMPUTED_VALUE"""),2.4)</f>
        <v>2.4</v>
      </c>
      <c r="Y874" s="65">
        <f>IFERROR(__xludf.DUMMYFUNCTION("""COMPUTED_VALUE"""),4.8)</f>
        <v>4.8</v>
      </c>
      <c r="Z874" s="65">
        <f>IFERROR(__xludf.DUMMYFUNCTION("""COMPUTED_VALUE"""),120732.0)</f>
        <v>120732</v>
      </c>
      <c r="AA874" s="65" t="str">
        <f>IFERROR(__xludf.DUMMYFUNCTION("""COMPUTED_VALUE"""),"PROV-LMPVT")</f>
        <v>PROV-LMPVT</v>
      </c>
      <c r="AB874" s="65"/>
      <c r="AC874" s="65" t="str">
        <f>IFERROR(__xludf.DUMMYFUNCTION("""COMPUTED_VALUE"""),"LIMPIADOR DE PARABRISAS Y VENTANAS")</f>
        <v>LIMPIADOR DE PARABRISAS Y VENTANAS</v>
      </c>
      <c r="AD874" s="65"/>
      <c r="AE874" s="65">
        <f>IFERROR(__xludf.DUMMYFUNCTION("""COMPUTED_VALUE"""),2.0)</f>
        <v>2</v>
      </c>
      <c r="AF874" s="65"/>
      <c r="AG874" s="65"/>
      <c r="AH874" s="65"/>
      <c r="AI874" s="65"/>
      <c r="AJ874" s="65"/>
      <c r="AK874" s="65"/>
      <c r="AL874" s="65"/>
      <c r="AM874" s="65"/>
      <c r="AN874" s="65" t="str">
        <f>IFERROR(__xludf.DUMMYFUNCTION("""COMPUTED_VALUE"""),"13:24")</f>
        <v>13:24</v>
      </c>
      <c r="AO874" s="65" t="str">
        <f>IFERROR(__xludf.DUMMYFUNCTION("""COMPUTED_VALUE"""),"19-02-2026")</f>
        <v>19-02-2026</v>
      </c>
      <c r="AP874" s="65" t="str">
        <f>IFERROR(__xludf.DUMMYFUNCTION("""COMPUTED_VALUE"""),"ENTREGADA GINTRACOM")</f>
        <v>ENTREGADA GINTRACOM</v>
      </c>
      <c r="AQ874" s="65" t="str">
        <f>IFERROR(__xludf.DUMMYFUNCTION("""COMPUTED_VALUE"""),"ENTREGADA GINTRACOM")</f>
        <v>ENTREGADA GINTRACOM</v>
      </c>
      <c r="AR874" s="65"/>
      <c r="AS874" s="65"/>
      <c r="AT874" s="65" t="str">
        <f>IFERROR(__xludf.DUMMYFUNCTION("""COMPUTED_VALUE"""),"SHOPIFY")</f>
        <v>SHOPIFY</v>
      </c>
      <c r="AU874" s="65" t="str">
        <f>IFERROR(__xludf.DUMMYFUNCTION("""COMPUTED_VALUE"""),"IMPORTEX EC")</f>
        <v>IMPORTEX EC</v>
      </c>
      <c r="AV874" s="65" t="str">
        <f>IFERROR(__xludf.DUMMYFUNCTION("""COMPUTED_VALUE"""),"6497084702764")</f>
        <v>6497084702764</v>
      </c>
      <c r="AW874" s="65">
        <f>IFERROR(__xludf.DUMMYFUNCTION("""COMPUTED_VALUE"""),6012.0)</f>
        <v>6012</v>
      </c>
      <c r="AX874" s="65"/>
      <c r="AY874" s="65" t="str">
        <f>IFERROR(__xludf.DUMMYFUNCTION("""COMPUTED_VALUE"""),"13/02/2026")</f>
        <v>13/02/2026</v>
      </c>
      <c r="AZ874" s="65"/>
      <c r="BA874" s="65"/>
    </row>
    <row r="875">
      <c r="A875" s="65" t="str">
        <f>IFERROR(__xludf.DUMMYFUNCTION("""COMPUTED_VALUE"""),"27-03-2026")</f>
        <v>27-03-2026</v>
      </c>
      <c r="B875" s="65">
        <f>IFERROR(__xludf.DUMMYFUNCTION("""COMPUTED_VALUE"""),4482922.0)</f>
        <v>4482922</v>
      </c>
      <c r="C875" s="65" t="str">
        <f>IFERROR(__xludf.DUMMYFUNCTION("""COMPUTED_VALUE"""),"19:57")</f>
        <v>19:57</v>
      </c>
      <c r="D875" s="65" t="str">
        <f>IFERROR(__xludf.DUMMYFUNCTION("""COMPUTED_VALUE"""),"11-02-2026")</f>
        <v>11-02-2026</v>
      </c>
      <c r="E875" s="65" t="str">
        <f>IFERROR(__xludf.DUMMYFUNCTION("""COMPUTED_VALUE"""),"Pedro Parreño")</f>
        <v>Pedro Parreño</v>
      </c>
      <c r="F875" s="65" t="str">
        <f>IFERROR(__xludf.DUMMYFUNCTION("""COMPUTED_VALUE"""),"995797000")</f>
        <v>995797000</v>
      </c>
      <c r="G875" s="65" t="str">
        <f>IFERROR(__xludf.DUMMYFUNCTION("""COMPUTED_VALUE"""),"pedroparreno60@gmail.com")</f>
        <v>pedroparreno60@gmail.com</v>
      </c>
      <c r="H875" s="65"/>
      <c r="I875" s="65"/>
      <c r="J875" s="65" t="str">
        <f>IFERROR(__xludf.DUMMYFUNCTION("""COMPUTED_VALUE"""),"D001322963")</f>
        <v>D001322963</v>
      </c>
      <c r="K875" s="65" t="str">
        <f>IFERROR(__xludf.DUMMYFUNCTION("""COMPUTED_VALUE"""),"ENTREGADO")</f>
        <v>ENTREGADO</v>
      </c>
      <c r="L875" s="65" t="str">
        <f>IFERROR(__xludf.DUMMYFUNCTION("""COMPUTED_VALUE"""),"CON RECAUDO")</f>
        <v>CON RECAUDO</v>
      </c>
      <c r="M875" s="65" t="str">
        <f>IFERROR(__xludf.DUMMYFUNCTION("""COMPUTED_VALUE"""),"GUAYAS")</f>
        <v>GUAYAS</v>
      </c>
      <c r="N875" s="65" t="str">
        <f>IFERROR(__xludf.DUMMYFUNCTION("""COMPUTED_VALUE"""),"GUAYAQUIL")</f>
        <v>GUAYAQUIL</v>
      </c>
      <c r="O875" s="65" t="str">
        <f>IFERROR(__xludf.DUMMYFUNCTION("""COMPUTED_VALUE"""),"Km 16 vía a daule y rosavin Parque industrial pascuales REF : A lado de gasolinera pdv")</f>
        <v>Km 16 vía a daule y rosavin Parque industrial pascuales REF : A lado de gasolinera pdv</v>
      </c>
      <c r="P875" s="65"/>
      <c r="Q875" s="65" t="str">
        <f>IFERROR(__xludf.DUMMYFUNCTION("""COMPUTED_VALUE"""),"GINTRACOM")</f>
        <v>GINTRACOM</v>
      </c>
      <c r="R875" s="65">
        <f>IFERROR(__xludf.DUMMYFUNCTION("""COMPUTED_VALUE"""),22.0)</f>
        <v>22</v>
      </c>
      <c r="S875" s="65">
        <f>IFERROR(__xludf.DUMMYFUNCTION("""COMPUTED_VALUE"""),12.57)</f>
        <v>12.57</v>
      </c>
      <c r="T875" s="65">
        <f>IFERROR(__xludf.DUMMYFUNCTION("""COMPUTED_VALUE"""),4.23)</f>
        <v>4.23</v>
      </c>
      <c r="U875" s="65">
        <f>IFERROR(__xludf.DUMMYFUNCTION("""COMPUTED_VALUE"""),0.0)</f>
        <v>0</v>
      </c>
      <c r="V875" s="65">
        <f>IFERROR(__xludf.DUMMYFUNCTION("""COMPUTED_VALUE"""),0.0)</f>
        <v>0</v>
      </c>
      <c r="W875" s="65">
        <f>IFERROR(__xludf.DUMMYFUNCTION("""COMPUTED_VALUE"""),0.0)</f>
        <v>0</v>
      </c>
      <c r="X875" s="65">
        <f>IFERROR(__xludf.DUMMYFUNCTION("""COMPUTED_VALUE"""),2.6)</f>
        <v>2.6</v>
      </c>
      <c r="Y875" s="65">
        <f>IFERROR(__xludf.DUMMYFUNCTION("""COMPUTED_VALUE"""),5.2)</f>
        <v>5.2</v>
      </c>
      <c r="Z875" s="65">
        <f>IFERROR(__xludf.DUMMYFUNCTION("""COMPUTED_VALUE"""),121983.0)</f>
        <v>121983</v>
      </c>
      <c r="AA875" s="65" t="str">
        <f>IFERROR(__xludf.DUMMYFUNCTION("""COMPUTED_VALUE"""),"PROV-CHLLCF")</f>
        <v>PROV-CHLLCF</v>
      </c>
      <c r="AB875" s="65"/>
      <c r="AC875" s="65" t="str">
        <f>IFERROR(__xludf.DUMMYFUNCTION("""COMPUTED_VALUE"""),"CUCHILLO PARA CHEF")</f>
        <v>CUCHILLO PARA CHEF</v>
      </c>
      <c r="AD875" s="65"/>
      <c r="AE875" s="65">
        <f>IFERROR(__xludf.DUMMYFUNCTION("""COMPUTED_VALUE"""),2.0)</f>
        <v>2</v>
      </c>
      <c r="AF875" s="65"/>
      <c r="AG875" s="65"/>
      <c r="AH875" s="65"/>
      <c r="AI875" s="65"/>
      <c r="AJ875" s="65"/>
      <c r="AK875" s="65"/>
      <c r="AL875" s="65"/>
      <c r="AM875" s="65"/>
      <c r="AN875" s="65" t="str">
        <f>IFERROR(__xludf.DUMMYFUNCTION("""COMPUTED_VALUE"""),"13:19")</f>
        <v>13:19</v>
      </c>
      <c r="AO875" s="65" t="str">
        <f>IFERROR(__xludf.DUMMYFUNCTION("""COMPUTED_VALUE"""),"14-02-2026")</f>
        <v>14-02-2026</v>
      </c>
      <c r="AP875" s="65" t="str">
        <f>IFERROR(__xludf.DUMMYFUNCTION("""COMPUTED_VALUE"""),"ENTREGADA GINTRACOM")</f>
        <v>ENTREGADA GINTRACOM</v>
      </c>
      <c r="AQ875" s="65" t="str">
        <f>IFERROR(__xludf.DUMMYFUNCTION("""COMPUTED_VALUE"""),"ENTREGADA GINTRACOM")</f>
        <v>ENTREGADA GINTRACOM</v>
      </c>
      <c r="AR875" s="65"/>
      <c r="AS875" s="65"/>
      <c r="AT875" s="65" t="str">
        <f>IFERROR(__xludf.DUMMYFUNCTION("""COMPUTED_VALUE"""),"SHOPIFY")</f>
        <v>SHOPIFY</v>
      </c>
      <c r="AU875" s="65" t="str">
        <f>IFERROR(__xludf.DUMMYFUNCTION("""COMPUTED_VALUE"""),"IMPORTEX EC")</f>
        <v>IMPORTEX EC</v>
      </c>
      <c r="AV875" s="65" t="str">
        <f>IFERROR(__xludf.DUMMYFUNCTION("""COMPUTED_VALUE"""),"6497012711468")</f>
        <v>6497012711468</v>
      </c>
      <c r="AW875" s="65">
        <f>IFERROR(__xludf.DUMMYFUNCTION("""COMPUTED_VALUE"""),6011.0)</f>
        <v>6011</v>
      </c>
      <c r="AX875" s="65"/>
      <c r="AY875" s="65" t="str">
        <f>IFERROR(__xludf.DUMMYFUNCTION("""COMPUTED_VALUE"""),"12/02/2026")</f>
        <v>12/02/2026</v>
      </c>
      <c r="AZ875" s="65"/>
      <c r="BA875" s="65"/>
    </row>
    <row r="876">
      <c r="A876" s="65" t="str">
        <f>IFERROR(__xludf.DUMMYFUNCTION("""COMPUTED_VALUE"""),"27-03-2026")</f>
        <v>27-03-2026</v>
      </c>
      <c r="B876" s="65">
        <f>IFERROR(__xludf.DUMMYFUNCTION("""COMPUTED_VALUE"""),4482562.0)</f>
        <v>4482562</v>
      </c>
      <c r="C876" s="65" t="str">
        <f>IFERROR(__xludf.DUMMYFUNCTION("""COMPUTED_VALUE"""),"19:18")</f>
        <v>19:18</v>
      </c>
      <c r="D876" s="65" t="str">
        <f>IFERROR(__xludf.DUMMYFUNCTION("""COMPUTED_VALUE"""),"11-02-2026")</f>
        <v>11-02-2026</v>
      </c>
      <c r="E876" s="65" t="str">
        <f>IFERROR(__xludf.DUMMYFUNCTION("""COMPUTED_VALUE"""),"LELIO QUEVEDO")</f>
        <v>LELIO QUEVEDO</v>
      </c>
      <c r="F876" s="65" t="str">
        <f>IFERROR(__xludf.DUMMYFUNCTION("""COMPUTED_VALUE"""),"994165304")</f>
        <v>994165304</v>
      </c>
      <c r="G876" s="65" t="str">
        <f>IFERROR(__xludf.DUMMYFUNCTION("""COMPUTED_VALUE"""),"lelio.quevedo@gmail.com")</f>
        <v>lelio.quevedo@gmail.com</v>
      </c>
      <c r="H876" s="65"/>
      <c r="I876" s="65"/>
      <c r="J876" s="65" t="str">
        <f>IFERROR(__xludf.DUMMYFUNCTION("""COMPUTED_VALUE"""),"LC52860568")</f>
        <v>LC52860568</v>
      </c>
      <c r="K876" s="65" t="str">
        <f>IFERROR(__xludf.DUMMYFUNCTION("""COMPUTED_VALUE"""),"ENTREGADO")</f>
        <v>ENTREGADO</v>
      </c>
      <c r="L876" s="65" t="str">
        <f>IFERROR(__xludf.DUMMYFUNCTION("""COMPUTED_VALUE"""),"CON RECAUDO")</f>
        <v>CON RECAUDO</v>
      </c>
      <c r="M876" s="65" t="str">
        <f>IFERROR(__xludf.DUMMYFUNCTION("""COMPUTED_VALUE"""),"LOJA")</f>
        <v>LOJA</v>
      </c>
      <c r="N876" s="65" t="str">
        <f>IFERROR(__xludf.DUMMYFUNCTION("""COMPUTED_VALUE"""),"CATACOCHA")</f>
        <v>CATACOCHA</v>
      </c>
      <c r="O876" s="65" t="str">
        <f>IFERROR(__xludf.DUMMYFUNCTION("""COMPUTED_VALUE"""),"Av Loja y Lauro gerrero Santa Marianita - Alado de la Farmacia mi")</f>
        <v>Av Loja y Lauro gerrero Santa Marianita - Alado de la Farmacia mi</v>
      </c>
      <c r="P876" s="65"/>
      <c r="Q876" s="65" t="str">
        <f>IFERROR(__xludf.DUMMYFUNCTION("""COMPUTED_VALUE"""),"LAARCOURIER")</f>
        <v>LAARCOURIER</v>
      </c>
      <c r="R876" s="65">
        <f>IFERROR(__xludf.DUMMYFUNCTION("""COMPUTED_VALUE"""),22.0)</f>
        <v>22</v>
      </c>
      <c r="S876" s="65">
        <f>IFERROR(__xludf.DUMMYFUNCTION("""COMPUTED_VALUE"""),9.79)</f>
        <v>9.79</v>
      </c>
      <c r="T876" s="65">
        <f>IFERROR(__xludf.DUMMYFUNCTION("""COMPUTED_VALUE"""),7.01)</f>
        <v>7.01</v>
      </c>
      <c r="U876" s="65">
        <f>IFERROR(__xludf.DUMMYFUNCTION("""COMPUTED_VALUE"""),0.0)</f>
        <v>0</v>
      </c>
      <c r="V876" s="65">
        <f>IFERROR(__xludf.DUMMYFUNCTION("""COMPUTED_VALUE"""),0.0)</f>
        <v>0</v>
      </c>
      <c r="W876" s="65">
        <f>IFERROR(__xludf.DUMMYFUNCTION("""COMPUTED_VALUE"""),0.0)</f>
        <v>0</v>
      </c>
      <c r="X876" s="65">
        <f>IFERROR(__xludf.DUMMYFUNCTION("""COMPUTED_VALUE"""),2.6)</f>
        <v>2.6</v>
      </c>
      <c r="Y876" s="65">
        <f>IFERROR(__xludf.DUMMYFUNCTION("""COMPUTED_VALUE"""),5.2)</f>
        <v>5.2</v>
      </c>
      <c r="Z876" s="65">
        <f>IFERROR(__xludf.DUMMYFUNCTION("""COMPUTED_VALUE"""),121983.0)</f>
        <v>121983</v>
      </c>
      <c r="AA876" s="65" t="str">
        <f>IFERROR(__xludf.DUMMYFUNCTION("""COMPUTED_VALUE"""),"PROV-CHLLCF")</f>
        <v>PROV-CHLLCF</v>
      </c>
      <c r="AB876" s="65"/>
      <c r="AC876" s="65" t="str">
        <f>IFERROR(__xludf.DUMMYFUNCTION("""COMPUTED_VALUE"""),"CUCHILLO PARA CHEF")</f>
        <v>CUCHILLO PARA CHEF</v>
      </c>
      <c r="AD876" s="65"/>
      <c r="AE876" s="65">
        <f>IFERROR(__xludf.DUMMYFUNCTION("""COMPUTED_VALUE"""),2.0)</f>
        <v>2</v>
      </c>
      <c r="AF876" s="65"/>
      <c r="AG876" s="65"/>
      <c r="AH876" s="65"/>
      <c r="AI876" s="65"/>
      <c r="AJ876" s="65"/>
      <c r="AK876" s="65"/>
      <c r="AL876" s="65"/>
      <c r="AM876" s="65"/>
      <c r="AN876" s="65" t="str">
        <f>IFERROR(__xludf.DUMMYFUNCTION("""COMPUTED_VALUE"""),"08:26")</f>
        <v>08:26</v>
      </c>
      <c r="AO876" s="65" t="str">
        <f>IFERROR(__xludf.DUMMYFUNCTION("""COMPUTED_VALUE"""),"20-02-2026")</f>
        <v>20-02-2026</v>
      </c>
      <c r="AP876" s="65" t="str">
        <f>IFERROR(__xludf.DUMMYFUNCTION("""COMPUTED_VALUE"""),"ZONA DE ENTREGA")</f>
        <v>ZONA DE ENTREGA</v>
      </c>
      <c r="AQ876" s="65" t="str">
        <f>IFERROR(__xludf.DUMMYFUNCTION("""COMPUTED_VALUE"""),"ZONA DE ENTREGA")</f>
        <v>ZONA DE ENTREGA</v>
      </c>
      <c r="AR876" s="65"/>
      <c r="AS876" s="65"/>
      <c r="AT876" s="65" t="str">
        <f>IFERROR(__xludf.DUMMYFUNCTION("""COMPUTED_VALUE"""),"SHOPIFY")</f>
        <v>SHOPIFY</v>
      </c>
      <c r="AU876" s="65" t="str">
        <f>IFERROR(__xludf.DUMMYFUNCTION("""COMPUTED_VALUE"""),"IMPORTEX EC")</f>
        <v>IMPORTEX EC</v>
      </c>
      <c r="AV876" s="65" t="str">
        <f>IFERROR(__xludf.DUMMYFUNCTION("""COMPUTED_VALUE"""),"6496928792620")</f>
        <v>6496928792620</v>
      </c>
      <c r="AW876" s="65">
        <f>IFERROR(__xludf.DUMMYFUNCTION("""COMPUTED_VALUE"""),6010.0)</f>
        <v>6010</v>
      </c>
      <c r="AX876" s="65"/>
      <c r="AY876" s="65" t="str">
        <f>IFERROR(__xludf.DUMMYFUNCTION("""COMPUTED_VALUE"""),"12/02/2026")</f>
        <v>12/02/2026</v>
      </c>
      <c r="AZ876" s="65"/>
      <c r="BA876" s="65"/>
    </row>
    <row r="877">
      <c r="A877" s="65" t="str">
        <f>IFERROR(__xludf.DUMMYFUNCTION("""COMPUTED_VALUE"""),"27-03-2026")</f>
        <v>27-03-2026</v>
      </c>
      <c r="B877" s="65">
        <f>IFERROR(__xludf.DUMMYFUNCTION("""COMPUTED_VALUE"""),4482478.0)</f>
        <v>4482478</v>
      </c>
      <c r="C877" s="65" t="str">
        <f>IFERROR(__xludf.DUMMYFUNCTION("""COMPUTED_VALUE"""),"19:10")</f>
        <v>19:10</v>
      </c>
      <c r="D877" s="65" t="str">
        <f>IFERROR(__xludf.DUMMYFUNCTION("""COMPUTED_VALUE"""),"11-02-2026")</f>
        <v>11-02-2026</v>
      </c>
      <c r="E877" s="65" t="str">
        <f>IFERROR(__xludf.DUMMYFUNCTION("""COMPUTED_VALUE"""),"José Franco")</f>
        <v>José Franco</v>
      </c>
      <c r="F877" s="65" t="str">
        <f>IFERROR(__xludf.DUMMYFUNCTION("""COMPUTED_VALUE"""),"967691365")</f>
        <v>967691365</v>
      </c>
      <c r="G877" s="65" t="str">
        <f>IFERROR(__xludf.DUMMYFUNCTION("""COMPUTED_VALUE"""),"jf6699034@gmail.com")</f>
        <v>jf6699034@gmail.com</v>
      </c>
      <c r="H877" s="65"/>
      <c r="I877" s="65"/>
      <c r="J877" s="65" t="str">
        <f>IFERROR(__xludf.DUMMYFUNCTION("""COMPUTED_VALUE"""),"D001322964")</f>
        <v>D001322964</v>
      </c>
      <c r="K877" s="65" t="str">
        <f>IFERROR(__xludf.DUMMYFUNCTION("""COMPUTED_VALUE"""),"DEVOLUCION")</f>
        <v>DEVOLUCION</v>
      </c>
      <c r="L877" s="65" t="str">
        <f>IFERROR(__xludf.DUMMYFUNCTION("""COMPUTED_VALUE"""),"CON RECAUDO")</f>
        <v>CON RECAUDO</v>
      </c>
      <c r="M877" s="65" t="str">
        <f>IFERROR(__xludf.DUMMYFUNCTION("""COMPUTED_VALUE"""),"GUAYAS")</f>
        <v>GUAYAS</v>
      </c>
      <c r="N877" s="65" t="str">
        <f>IFERROR(__xludf.DUMMYFUNCTION("""COMPUTED_VALUE"""),"MILAGRO")</f>
        <v>MILAGRO</v>
      </c>
      <c r="O877" s="65" t="str">
        <f>IFERROR(__xludf.DUMMYFUNCTION("""COMPUTED_VALUE"""),"Centro de milagro calle Eloy Alfaro y Manuel Hidalgo - Farmacia él descuento")</f>
        <v>Centro de milagro calle Eloy Alfaro y Manuel Hidalgo - Farmacia él descuento</v>
      </c>
      <c r="P877" s="65"/>
      <c r="Q877" s="65" t="str">
        <f>IFERROR(__xludf.DUMMYFUNCTION("""COMPUTED_VALUE"""),"GINTRACOM")</f>
        <v>GINTRACOM</v>
      </c>
      <c r="R877" s="65">
        <f>IFERROR(__xludf.DUMMYFUNCTION("""COMPUTED_VALUE"""),27.0)</f>
        <v>27</v>
      </c>
      <c r="S877" s="65"/>
      <c r="T877" s="65">
        <f>IFERROR(__xludf.DUMMYFUNCTION("""COMPUTED_VALUE"""),5.45)</f>
        <v>5.45</v>
      </c>
      <c r="U877" s="65">
        <f>IFERROR(__xludf.DUMMYFUNCTION("""COMPUTED_VALUE"""),0.0)</f>
        <v>0</v>
      </c>
      <c r="V877" s="65">
        <f>IFERROR(__xludf.DUMMYFUNCTION("""COMPUTED_VALUE"""),0.0)</f>
        <v>0</v>
      </c>
      <c r="W877" s="65">
        <f>IFERROR(__xludf.DUMMYFUNCTION("""COMPUTED_VALUE"""),0.0)</f>
        <v>0</v>
      </c>
      <c r="X877" s="65">
        <f>IFERROR(__xludf.DUMMYFUNCTION("""COMPUTED_VALUE"""),2.6)</f>
        <v>2.6</v>
      </c>
      <c r="Y877" s="65">
        <f>IFERROR(__xludf.DUMMYFUNCTION("""COMPUTED_VALUE"""),7.8)</f>
        <v>7.8</v>
      </c>
      <c r="Z877" s="65">
        <f>IFERROR(__xludf.DUMMYFUNCTION("""COMPUTED_VALUE"""),121983.0)</f>
        <v>121983</v>
      </c>
      <c r="AA877" s="65" t="str">
        <f>IFERROR(__xludf.DUMMYFUNCTION("""COMPUTED_VALUE"""),"PROV-CHLLCF")</f>
        <v>PROV-CHLLCF</v>
      </c>
      <c r="AB877" s="65"/>
      <c r="AC877" s="65" t="str">
        <f>IFERROR(__xludf.DUMMYFUNCTION("""COMPUTED_VALUE"""),"CUCHILLO PARA CHEF")</f>
        <v>CUCHILLO PARA CHEF</v>
      </c>
      <c r="AD877" s="65"/>
      <c r="AE877" s="65">
        <f>IFERROR(__xludf.DUMMYFUNCTION("""COMPUTED_VALUE"""),3.0)</f>
        <v>3</v>
      </c>
      <c r="AF877" s="65" t="str">
        <f>IFERROR(__xludf.DUMMYFUNCTION("""COMPUTED_VALUE"""),"DESTINATARIO NO CONTESTA LLAMADAS NI WHATSAPP")</f>
        <v>DESTINATARIO NO CONTESTA LLAMADAS NI WHATSAPP</v>
      </c>
      <c r="AG877" s="65" t="str">
        <f>IFERROR(__xludf.DUMMYFUNCTION("""COMPUTED_VALUE"""),"SI")</f>
        <v>SI</v>
      </c>
      <c r="AH877" s="65" t="str">
        <f>IFERROR(__xludf.DUMMYFUNCTION("""COMPUTED_VALUE"""),"17:06")</f>
        <v>17:06</v>
      </c>
      <c r="AI877" s="65" t="str">
        <f>IFERROR(__xludf.DUMMYFUNCTION("""COMPUTED_VALUE"""),"25-02-2026")</f>
        <v>25-02-2026</v>
      </c>
      <c r="AJ877" s="65" t="str">
        <f>IFERROR(__xludf.DUMMYFUNCTION("""COMPUTED_VALUE"""),"CLIENTE SOLICITA LA ENTREGA INMEDIATA")</f>
        <v>CLIENTE SOLICITA LA ENTREGA INMEDIATA</v>
      </c>
      <c r="AK877" s="65" t="str">
        <f>IFERROR(__xludf.DUMMYFUNCTION("""COMPUTED_VALUE"""),"13:13")</f>
        <v>13:13</v>
      </c>
      <c r="AL877" s="65" t="str">
        <f>IFERROR(__xludf.DUMMYFUNCTION("""COMPUTED_VALUE"""),"26-02-2026")</f>
        <v>26-02-2026</v>
      </c>
      <c r="AM877" s="65"/>
      <c r="AN877" s="65" t="str">
        <f>IFERROR(__xludf.DUMMYFUNCTION("""COMPUTED_VALUE"""),"13:44")</f>
        <v>13:44</v>
      </c>
      <c r="AO877" s="65" t="str">
        <f>IFERROR(__xludf.DUMMYFUNCTION("""COMPUTED_VALUE"""),"16-03-2026")</f>
        <v>16-03-2026</v>
      </c>
      <c r="AP877" s="65" t="str">
        <f>IFERROR(__xludf.DUMMYFUNCTION("""COMPUTED_VALUE"""),"DEV CONFIRMADA POR BODEGA")</f>
        <v>DEV CONFIRMADA POR BODEGA</v>
      </c>
      <c r="AQ877" s="65"/>
      <c r="AR877" s="65" t="str">
        <f>IFERROR(__xludf.DUMMYFUNCTION("""COMPUTED_VALUE"""),"Gestionado por: PROVEDIX DAMIAN, email:enviogratisdirecto@gmail.com, total de productos en la orden: 1")</f>
        <v>Gestionado por: PROVEDIX DAMIAN, email:enviogratisdirecto@gmail.com, total de productos en la orden: 1</v>
      </c>
      <c r="AS877" s="65"/>
      <c r="AT877" s="65" t="str">
        <f>IFERROR(__xludf.DUMMYFUNCTION("""COMPUTED_VALUE"""),"SHOPIFY")</f>
        <v>SHOPIFY</v>
      </c>
      <c r="AU877" s="65" t="str">
        <f>IFERROR(__xludf.DUMMYFUNCTION("""COMPUTED_VALUE"""),"IMPORTEX EC")</f>
        <v>IMPORTEX EC</v>
      </c>
      <c r="AV877" s="65" t="str">
        <f>IFERROR(__xludf.DUMMYFUNCTION("""COMPUTED_VALUE"""),"6496912113708")</f>
        <v>6496912113708</v>
      </c>
      <c r="AW877" s="65">
        <f>IFERROR(__xludf.DUMMYFUNCTION("""COMPUTED_VALUE"""),6009.0)</f>
        <v>6009</v>
      </c>
      <c r="AX877" s="65"/>
      <c r="AY877" s="65" t="str">
        <f>IFERROR(__xludf.DUMMYFUNCTION("""COMPUTED_VALUE"""),"12/02/2026")</f>
        <v>12/02/2026</v>
      </c>
      <c r="AZ877" s="65"/>
      <c r="BA877" s="65"/>
    </row>
    <row r="878">
      <c r="A878" s="65" t="str">
        <f>IFERROR(__xludf.DUMMYFUNCTION("""COMPUTED_VALUE"""),"27-03-2026")</f>
        <v>27-03-2026</v>
      </c>
      <c r="B878" s="65">
        <f>IFERROR(__xludf.DUMMYFUNCTION("""COMPUTED_VALUE"""),4482226.0)</f>
        <v>4482226</v>
      </c>
      <c r="C878" s="65" t="str">
        <f>IFERROR(__xludf.DUMMYFUNCTION("""COMPUTED_VALUE"""),"18:39")</f>
        <v>18:39</v>
      </c>
      <c r="D878" s="65" t="str">
        <f>IFERROR(__xludf.DUMMYFUNCTION("""COMPUTED_VALUE"""),"11-02-2026")</f>
        <v>11-02-2026</v>
      </c>
      <c r="E878" s="65" t="str">
        <f>IFERROR(__xludf.DUMMYFUNCTION("""COMPUTED_VALUE"""),"Danilo Calero")</f>
        <v>Danilo Calero</v>
      </c>
      <c r="F878" s="65" t="str">
        <f>IFERROR(__xludf.DUMMYFUNCTION("""COMPUTED_VALUE"""),"994806709")</f>
        <v>994806709</v>
      </c>
      <c r="G878" s="65" t="str">
        <f>IFERROR(__xludf.DUMMYFUNCTION("""COMPUTED_VALUE"""),"danilocalero@gmail.com")</f>
        <v>danilocalero@gmail.com</v>
      </c>
      <c r="H878" s="65"/>
      <c r="I878" s="65"/>
      <c r="J878" s="65" t="str">
        <f>IFERROR(__xludf.DUMMYFUNCTION("""COMPUTED_VALUE"""),"D001322965")</f>
        <v>D001322965</v>
      </c>
      <c r="K878" s="65" t="str">
        <f>IFERROR(__xludf.DUMMYFUNCTION("""COMPUTED_VALUE"""),"ENTREGADO")</f>
        <v>ENTREGADO</v>
      </c>
      <c r="L878" s="65" t="str">
        <f>IFERROR(__xludf.DUMMYFUNCTION("""COMPUTED_VALUE"""),"CON RECAUDO")</f>
        <v>CON RECAUDO</v>
      </c>
      <c r="M878" s="65" t="str">
        <f>IFERROR(__xludf.DUMMYFUNCTION("""COMPUTED_VALUE"""),"EL ORO")</f>
        <v>EL ORO</v>
      </c>
      <c r="N878" s="65" t="str">
        <f>IFERROR(__xludf.DUMMYFUNCTION("""COMPUTED_VALUE"""),"MACHALA")</f>
        <v>MACHALA</v>
      </c>
      <c r="O878" s="65" t="str">
        <f>IFERROR(__xludf.DUMMYFUNCTION("""COMPUTED_VALUE"""),"Tarqui entre bolivar y pichincha Centro -")</f>
        <v>Tarqui entre bolivar y pichincha Centro -</v>
      </c>
      <c r="P878" s="65"/>
      <c r="Q878" s="65" t="str">
        <f>IFERROR(__xludf.DUMMYFUNCTION("""COMPUTED_VALUE"""),"GINTRACOM")</f>
        <v>GINTRACOM</v>
      </c>
      <c r="R878" s="65">
        <f>IFERROR(__xludf.DUMMYFUNCTION("""COMPUTED_VALUE"""),30.0)</f>
        <v>30</v>
      </c>
      <c r="S878" s="65">
        <f>IFERROR(__xludf.DUMMYFUNCTION("""COMPUTED_VALUE"""),16.64)</f>
        <v>16.64</v>
      </c>
      <c r="T878" s="65">
        <f>IFERROR(__xludf.DUMMYFUNCTION("""COMPUTED_VALUE"""),6.16)</f>
        <v>6.16</v>
      </c>
      <c r="U878" s="65">
        <f>IFERROR(__xludf.DUMMYFUNCTION("""COMPUTED_VALUE"""),0.0)</f>
        <v>0</v>
      </c>
      <c r="V878" s="65">
        <f>IFERROR(__xludf.DUMMYFUNCTION("""COMPUTED_VALUE"""),0.0)</f>
        <v>0</v>
      </c>
      <c r="W878" s="65">
        <f>IFERROR(__xludf.DUMMYFUNCTION("""COMPUTED_VALUE"""),0.0)</f>
        <v>0</v>
      </c>
      <c r="X878" s="65">
        <f>IFERROR(__xludf.DUMMYFUNCTION("""COMPUTED_VALUE"""),2.4)</f>
        <v>2.4</v>
      </c>
      <c r="Y878" s="65">
        <f>IFERROR(__xludf.DUMMYFUNCTION("""COMPUTED_VALUE"""),7.2)</f>
        <v>7.2</v>
      </c>
      <c r="Z878" s="65">
        <f>IFERROR(__xludf.DUMMYFUNCTION("""COMPUTED_VALUE"""),120732.0)</f>
        <v>120732</v>
      </c>
      <c r="AA878" s="65" t="str">
        <f>IFERROR(__xludf.DUMMYFUNCTION("""COMPUTED_VALUE"""),"PROV-LMPVT")</f>
        <v>PROV-LMPVT</v>
      </c>
      <c r="AB878" s="65"/>
      <c r="AC878" s="65" t="str">
        <f>IFERROR(__xludf.DUMMYFUNCTION("""COMPUTED_VALUE"""),"LIMPIADOR DE PARABRISAS Y VENTANAS")</f>
        <v>LIMPIADOR DE PARABRISAS Y VENTANAS</v>
      </c>
      <c r="AD878" s="65"/>
      <c r="AE878" s="65">
        <f>IFERROR(__xludf.DUMMYFUNCTION("""COMPUTED_VALUE"""),3.0)</f>
        <v>3</v>
      </c>
      <c r="AF878" s="65" t="str">
        <f>IFERROR(__xludf.DUMMYFUNCTION("""COMPUTED_VALUE"""),"DESTINATARIO NO CONTESTA LLAMADAS NI WHATSAPP")</f>
        <v>DESTINATARIO NO CONTESTA LLAMADAS NI WHATSAPP</v>
      </c>
      <c r="AG878" s="65" t="str">
        <f>IFERROR(__xludf.DUMMYFUNCTION("""COMPUTED_VALUE"""),"SI")</f>
        <v>SI</v>
      </c>
      <c r="AH878" s="65" t="str">
        <f>IFERROR(__xludf.DUMMYFUNCTION("""COMPUTED_VALUE"""),"09:00")</f>
        <v>09:00</v>
      </c>
      <c r="AI878" s="65" t="str">
        <f>IFERROR(__xludf.DUMMYFUNCTION("""COMPUTED_VALUE"""),"22-02-2026")</f>
        <v>22-02-2026</v>
      </c>
      <c r="AJ878" s="65" t="str">
        <f>IFERROR(__xludf.DUMMYFUNCTION("""COMPUTED_VALUE"""),"CLIENTE SOLICITA LA ENTREGA INMEDIATA")</f>
        <v>CLIENTE SOLICITA LA ENTREGA INMEDIATA</v>
      </c>
      <c r="AK878" s="65" t="str">
        <f>IFERROR(__xludf.DUMMYFUNCTION("""COMPUTED_VALUE"""),"11:41")</f>
        <v>11:41</v>
      </c>
      <c r="AL878" s="65" t="str">
        <f>IFERROR(__xludf.DUMMYFUNCTION("""COMPUTED_VALUE"""),"24-02-2026")</f>
        <v>24-02-2026</v>
      </c>
      <c r="AM878" s="65"/>
      <c r="AN878" s="65" t="str">
        <f>IFERROR(__xludf.DUMMYFUNCTION("""COMPUTED_VALUE"""),"09:38")</f>
        <v>09:38</v>
      </c>
      <c r="AO878" s="65" t="str">
        <f>IFERROR(__xludf.DUMMYFUNCTION("""COMPUTED_VALUE"""),"25-02-2026")</f>
        <v>25-02-2026</v>
      </c>
      <c r="AP878" s="65" t="str">
        <f>IFERROR(__xludf.DUMMYFUNCTION("""COMPUTED_VALUE"""),"ENTREGADA GINTRACOM")</f>
        <v>ENTREGADA GINTRACOM</v>
      </c>
      <c r="AQ878" s="65" t="str">
        <f>IFERROR(__xludf.DUMMYFUNCTION("""COMPUTED_VALUE"""),"ENTREGADA GINTRACOM")</f>
        <v>ENTREGADA GINTRACOM</v>
      </c>
      <c r="AR878" s="65"/>
      <c r="AS878" s="65"/>
      <c r="AT878" s="65" t="str">
        <f>IFERROR(__xludf.DUMMYFUNCTION("""COMPUTED_VALUE"""),"SHOPIFY")</f>
        <v>SHOPIFY</v>
      </c>
      <c r="AU878" s="65" t="str">
        <f>IFERROR(__xludf.DUMMYFUNCTION("""COMPUTED_VALUE"""),"IMPORTEX EC")</f>
        <v>IMPORTEX EC</v>
      </c>
      <c r="AV878" s="65" t="str">
        <f>IFERROR(__xludf.DUMMYFUNCTION("""COMPUTED_VALUE"""),"6496853917740")</f>
        <v>6496853917740</v>
      </c>
      <c r="AW878" s="65">
        <f>IFERROR(__xludf.DUMMYFUNCTION("""COMPUTED_VALUE"""),6008.0)</f>
        <v>6008</v>
      </c>
      <c r="AX878" s="65"/>
      <c r="AY878" s="65" t="str">
        <f>IFERROR(__xludf.DUMMYFUNCTION("""COMPUTED_VALUE"""),"12/02/2026")</f>
        <v>12/02/2026</v>
      </c>
      <c r="AZ878" s="65"/>
      <c r="BA878" s="65"/>
    </row>
    <row r="879">
      <c r="A879" s="65" t="str">
        <f>IFERROR(__xludf.DUMMYFUNCTION("""COMPUTED_VALUE"""),"27-03-2026")</f>
        <v>27-03-2026</v>
      </c>
      <c r="B879" s="65">
        <f>IFERROR(__xludf.DUMMYFUNCTION("""COMPUTED_VALUE"""),4481913.0)</f>
        <v>4481913</v>
      </c>
      <c r="C879" s="65" t="str">
        <f>IFERROR(__xludf.DUMMYFUNCTION("""COMPUTED_VALUE"""),"18:05")</f>
        <v>18:05</v>
      </c>
      <c r="D879" s="65" t="str">
        <f>IFERROR(__xludf.DUMMYFUNCTION("""COMPUTED_VALUE"""),"11-02-2026")</f>
        <v>11-02-2026</v>
      </c>
      <c r="E879" s="65" t="str">
        <f>IFERROR(__xludf.DUMMYFUNCTION("""COMPUTED_VALUE"""),"José Guachamin")</f>
        <v>José Guachamin</v>
      </c>
      <c r="F879" s="65" t="str">
        <f>IFERROR(__xludf.DUMMYFUNCTION("""COMPUTED_VALUE"""),"999984220")</f>
        <v>999984220</v>
      </c>
      <c r="G879" s="65" t="str">
        <f>IFERROR(__xludf.DUMMYFUNCTION("""COMPUTED_VALUE"""),"pepej2951@gmail.com")</f>
        <v>pepej2951@gmail.com</v>
      </c>
      <c r="H879" s="65"/>
      <c r="I879" s="65"/>
      <c r="J879" s="65"/>
      <c r="K879" s="65" t="str">
        <f>IFERROR(__xludf.DUMMYFUNCTION("""COMPUTED_VALUE"""),"CANCELADO")</f>
        <v>CANCELADO</v>
      </c>
      <c r="L879" s="65" t="str">
        <f>IFERROR(__xludf.DUMMYFUNCTION("""COMPUTED_VALUE"""),"CON RECAUDO")</f>
        <v>CON RECAUDO</v>
      </c>
      <c r="M879" s="65" t="str">
        <f>IFERROR(__xludf.DUMMYFUNCTION("""COMPUTED_VALUE"""),"PICHINCHA")</f>
        <v>PICHINCHA</v>
      </c>
      <c r="N879" s="65" t="str">
        <f>IFERROR(__xludf.DUMMYFUNCTION("""COMPUTED_VALUE"""),"QUITO")</f>
        <v>QUITO</v>
      </c>
      <c r="O879" s="65" t="str">
        <f>IFERROR(__xludf.DUMMYFUNCTION("""COMPUTED_VALUE"""),"Espejo y almeida San marcos -")</f>
        <v>Espejo y almeida San marcos -</v>
      </c>
      <c r="P879" s="65"/>
      <c r="Q879" s="65" t="str">
        <f>IFERROR(__xludf.DUMMYFUNCTION("""COMPUTED_VALUE"""),"GINTRACOM")</f>
        <v>GINTRACOM</v>
      </c>
      <c r="R879" s="65">
        <f>IFERROR(__xludf.DUMMYFUNCTION("""COMPUTED_VALUE"""),22.0)</f>
        <v>22</v>
      </c>
      <c r="S879" s="65"/>
      <c r="T879" s="65">
        <f>IFERROR(__xludf.DUMMYFUNCTION("""COMPUTED_VALUE"""),5.84)</f>
        <v>5.84</v>
      </c>
      <c r="U879" s="65">
        <f>IFERROR(__xludf.DUMMYFUNCTION("""COMPUTED_VALUE"""),0.0)</f>
        <v>0</v>
      </c>
      <c r="V879" s="65">
        <f>IFERROR(__xludf.DUMMYFUNCTION("""COMPUTED_VALUE"""),0.0)</f>
        <v>0</v>
      </c>
      <c r="W879" s="65">
        <f>IFERROR(__xludf.DUMMYFUNCTION("""COMPUTED_VALUE"""),0.0)</f>
        <v>0</v>
      </c>
      <c r="X879" s="65">
        <f>IFERROR(__xludf.DUMMYFUNCTION("""COMPUTED_VALUE"""),2.6)</f>
        <v>2.6</v>
      </c>
      <c r="Y879" s="65">
        <f>IFERROR(__xludf.DUMMYFUNCTION("""COMPUTED_VALUE"""),5.2)</f>
        <v>5.2</v>
      </c>
      <c r="Z879" s="65">
        <f>IFERROR(__xludf.DUMMYFUNCTION("""COMPUTED_VALUE"""),121983.0)</f>
        <v>121983</v>
      </c>
      <c r="AA879" s="65" t="str">
        <f>IFERROR(__xludf.DUMMYFUNCTION("""COMPUTED_VALUE"""),"PROV-CHLLCF")</f>
        <v>PROV-CHLLCF</v>
      </c>
      <c r="AB879" s="65"/>
      <c r="AC879" s="65" t="str">
        <f>IFERROR(__xludf.DUMMYFUNCTION("""COMPUTED_VALUE"""),"CUCHILLO PARA CHEF")</f>
        <v>CUCHILLO PARA CHEF</v>
      </c>
      <c r="AD879" s="65"/>
      <c r="AE879" s="65">
        <f>IFERROR(__xludf.DUMMYFUNCTION("""COMPUTED_VALUE"""),2.0)</f>
        <v>2</v>
      </c>
      <c r="AF879" s="65"/>
      <c r="AG879" s="65"/>
      <c r="AH879" s="65"/>
      <c r="AI879" s="65"/>
      <c r="AJ879" s="65"/>
      <c r="AK879" s="65"/>
      <c r="AL879" s="65"/>
      <c r="AM879" s="65"/>
      <c r="AN879" s="65"/>
      <c r="AO879" s="65"/>
      <c r="AP879" s="65"/>
      <c r="AQ879" s="65"/>
      <c r="AR879" s="65"/>
      <c r="AS879" s="65"/>
      <c r="AT879" s="65" t="str">
        <f>IFERROR(__xludf.DUMMYFUNCTION("""COMPUTED_VALUE"""),"SHOPIFY")</f>
        <v>SHOPIFY</v>
      </c>
      <c r="AU879" s="65" t="str">
        <f>IFERROR(__xludf.DUMMYFUNCTION("""COMPUTED_VALUE"""),"IMPORTEX EC")</f>
        <v>IMPORTEX EC</v>
      </c>
      <c r="AV879" s="65" t="str">
        <f>IFERROR(__xludf.DUMMYFUNCTION("""COMPUTED_VALUE"""),"6496775634988")</f>
        <v>6496775634988</v>
      </c>
      <c r="AW879" s="65">
        <f>IFERROR(__xludf.DUMMYFUNCTION("""COMPUTED_VALUE"""),6006.0)</f>
        <v>6006</v>
      </c>
      <c r="AX879" s="65"/>
      <c r="AY879" s="65"/>
      <c r="AZ879" s="65"/>
      <c r="BA879" s="65"/>
    </row>
    <row r="880">
      <c r="A880" s="65" t="str">
        <f>IFERROR(__xludf.DUMMYFUNCTION("""COMPUTED_VALUE"""),"27-03-2026")</f>
        <v>27-03-2026</v>
      </c>
      <c r="B880" s="65">
        <f>IFERROR(__xludf.DUMMYFUNCTION("""COMPUTED_VALUE"""),4481400.0)</f>
        <v>4481400</v>
      </c>
      <c r="C880" s="65" t="str">
        <f>IFERROR(__xludf.DUMMYFUNCTION("""COMPUTED_VALUE"""),"17:12")</f>
        <v>17:12</v>
      </c>
      <c r="D880" s="65" t="str">
        <f>IFERROR(__xludf.DUMMYFUNCTION("""COMPUTED_VALUE"""),"11-02-2026")</f>
        <v>11-02-2026</v>
      </c>
      <c r="E880" s="65" t="str">
        <f>IFERROR(__xludf.DUMMYFUNCTION("""COMPUTED_VALUE"""),"Calixta Teresa Zambrano Alcivar.")</f>
        <v>Calixta Teresa Zambrano Alcivar.</v>
      </c>
      <c r="F880" s="65" t="str">
        <f>IFERROR(__xludf.DUMMYFUNCTION("""COMPUTED_VALUE"""),"992644871")</f>
        <v>992644871</v>
      </c>
      <c r="G880" s="65"/>
      <c r="H880" s="65"/>
      <c r="I880" s="65"/>
      <c r="J880" s="65" t="str">
        <f>IFERROR(__xludf.DUMMYFUNCTION("""COMPUTED_VALUE"""),"D001322577")</f>
        <v>D001322577</v>
      </c>
      <c r="K880" s="65" t="str">
        <f>IFERROR(__xludf.DUMMYFUNCTION("""COMPUTED_VALUE"""),"ENTREGADO")</f>
        <v>ENTREGADO</v>
      </c>
      <c r="L880" s="65" t="str">
        <f>IFERROR(__xludf.DUMMYFUNCTION("""COMPUTED_VALUE"""),"CON RECAUDO")</f>
        <v>CON RECAUDO</v>
      </c>
      <c r="M880" s="65" t="str">
        <f>IFERROR(__xludf.DUMMYFUNCTION("""COMPUTED_VALUE"""),"MANABI")</f>
        <v>MANABI</v>
      </c>
      <c r="N880" s="65" t="str">
        <f>IFERROR(__xludf.DUMMYFUNCTION("""COMPUTED_VALUE"""),"CANUTO")</f>
        <v>CANUTO</v>
      </c>
      <c r="O880" s="65" t="str">
        <f>IFERROR(__xludf.DUMMYFUNCTION("""COMPUTED_VALUE"""),"Chone Canuto calle cordova y Paez Casa beys esquina - REF : CERCA AL PARQUE CENTRAL")</f>
        <v>Chone Canuto calle cordova y Paez Casa beys esquina - REF : CERCA AL PARQUE CENTRAL</v>
      </c>
      <c r="P880" s="65"/>
      <c r="Q880" s="65" t="str">
        <f>IFERROR(__xludf.DUMMYFUNCTION("""COMPUTED_VALUE"""),"GINTRACOM")</f>
        <v>GINTRACOM</v>
      </c>
      <c r="R880" s="65">
        <f>IFERROR(__xludf.DUMMYFUNCTION("""COMPUTED_VALUE"""),22.0)</f>
        <v>22</v>
      </c>
      <c r="S880" s="65">
        <f>IFERROR(__xludf.DUMMYFUNCTION("""COMPUTED_VALUE"""),10.39)</f>
        <v>10.39</v>
      </c>
      <c r="T880" s="65">
        <f>IFERROR(__xludf.DUMMYFUNCTION("""COMPUTED_VALUE"""),6.41)</f>
        <v>6.41</v>
      </c>
      <c r="U880" s="65">
        <f>IFERROR(__xludf.DUMMYFUNCTION("""COMPUTED_VALUE"""),0.0)</f>
        <v>0</v>
      </c>
      <c r="V880" s="65">
        <f>IFERROR(__xludf.DUMMYFUNCTION("""COMPUTED_VALUE"""),0.0)</f>
        <v>0</v>
      </c>
      <c r="W880" s="65">
        <f>IFERROR(__xludf.DUMMYFUNCTION("""COMPUTED_VALUE"""),0.0)</f>
        <v>0</v>
      </c>
      <c r="X880" s="65">
        <f>IFERROR(__xludf.DUMMYFUNCTION("""COMPUTED_VALUE"""),2.6)</f>
        <v>2.6</v>
      </c>
      <c r="Y880" s="65">
        <f>IFERROR(__xludf.DUMMYFUNCTION("""COMPUTED_VALUE"""),5.2)</f>
        <v>5.2</v>
      </c>
      <c r="Z880" s="65">
        <f>IFERROR(__xludf.DUMMYFUNCTION("""COMPUTED_VALUE"""),121983.0)</f>
        <v>121983</v>
      </c>
      <c r="AA880" s="65" t="str">
        <f>IFERROR(__xludf.DUMMYFUNCTION("""COMPUTED_VALUE"""),"PROV-CHLLCF")</f>
        <v>PROV-CHLLCF</v>
      </c>
      <c r="AB880" s="65"/>
      <c r="AC880" s="65" t="str">
        <f>IFERROR(__xludf.DUMMYFUNCTION("""COMPUTED_VALUE"""),"CUCHILLO PARA CHEF")</f>
        <v>CUCHILLO PARA CHEF</v>
      </c>
      <c r="AD880" s="65"/>
      <c r="AE880" s="65">
        <f>IFERROR(__xludf.DUMMYFUNCTION("""COMPUTED_VALUE"""),2.0)</f>
        <v>2</v>
      </c>
      <c r="AF880" s="65"/>
      <c r="AG880" s="65"/>
      <c r="AH880" s="65"/>
      <c r="AI880" s="65"/>
      <c r="AJ880" s="65"/>
      <c r="AK880" s="65"/>
      <c r="AL880" s="65"/>
      <c r="AM880" s="65"/>
      <c r="AN880" s="65" t="str">
        <f>IFERROR(__xludf.DUMMYFUNCTION("""COMPUTED_VALUE"""),"15:53")</f>
        <v>15:53</v>
      </c>
      <c r="AO880" s="65" t="str">
        <f>IFERROR(__xludf.DUMMYFUNCTION("""COMPUTED_VALUE"""),"14-02-2026")</f>
        <v>14-02-2026</v>
      </c>
      <c r="AP880" s="65" t="str">
        <f>IFERROR(__xludf.DUMMYFUNCTION("""COMPUTED_VALUE"""),"ENTREGADA GINTRACOM")</f>
        <v>ENTREGADA GINTRACOM</v>
      </c>
      <c r="AQ880" s="65" t="str">
        <f>IFERROR(__xludf.DUMMYFUNCTION("""COMPUTED_VALUE"""),"ENTREGADA GINTRACOM")</f>
        <v>ENTREGADA GINTRACOM</v>
      </c>
      <c r="AR880" s="65"/>
      <c r="AS880" s="65"/>
      <c r="AT880" s="65" t="str">
        <f>IFERROR(__xludf.DUMMYFUNCTION("""COMPUTED_VALUE"""),"SHOPIFY")</f>
        <v>SHOPIFY</v>
      </c>
      <c r="AU880" s="65" t="str">
        <f>IFERROR(__xludf.DUMMYFUNCTION("""COMPUTED_VALUE"""),"IMPORTEX EC")</f>
        <v>IMPORTEX EC</v>
      </c>
      <c r="AV880" s="65" t="str">
        <f>IFERROR(__xludf.DUMMYFUNCTION("""COMPUTED_VALUE"""),"6496667336748")</f>
        <v>6496667336748</v>
      </c>
      <c r="AW880" s="65">
        <f>IFERROR(__xludf.DUMMYFUNCTION("""COMPUTED_VALUE"""),6005.0)</f>
        <v>6005</v>
      </c>
      <c r="AX880" s="65"/>
      <c r="AY880" s="65" t="str">
        <f>IFERROR(__xludf.DUMMYFUNCTION("""COMPUTED_VALUE"""),"12/02/2026")</f>
        <v>12/02/2026</v>
      </c>
      <c r="AZ880" s="65"/>
      <c r="BA880" s="65"/>
    </row>
    <row r="881">
      <c r="A881" s="65" t="str">
        <f>IFERROR(__xludf.DUMMYFUNCTION("""COMPUTED_VALUE"""),"27-03-2026")</f>
        <v>27-03-2026</v>
      </c>
      <c r="B881" s="65">
        <f>IFERROR(__xludf.DUMMYFUNCTION("""COMPUTED_VALUE"""),4481305.0)</f>
        <v>4481305</v>
      </c>
      <c r="C881" s="65" t="str">
        <f>IFERROR(__xludf.DUMMYFUNCTION("""COMPUTED_VALUE"""),"17:03")</f>
        <v>17:03</v>
      </c>
      <c r="D881" s="65" t="str">
        <f>IFERROR(__xludf.DUMMYFUNCTION("""COMPUTED_VALUE"""),"11-02-2026")</f>
        <v>11-02-2026</v>
      </c>
      <c r="E881" s="65" t="str">
        <f>IFERROR(__xludf.DUMMYFUNCTION("""COMPUTED_VALUE"""),"Sandra López")</f>
        <v>Sandra López</v>
      </c>
      <c r="F881" s="65" t="str">
        <f>IFERROR(__xludf.DUMMYFUNCTION("""COMPUTED_VALUE"""),"959757601")</f>
        <v>959757601</v>
      </c>
      <c r="G881" s="65"/>
      <c r="H881" s="65"/>
      <c r="I881" s="65"/>
      <c r="J881" s="65"/>
      <c r="K881" s="65" t="str">
        <f>IFERROR(__xludf.DUMMYFUNCTION("""COMPUTED_VALUE"""),"CANCELADO")</f>
        <v>CANCELADO</v>
      </c>
      <c r="L881" s="65" t="str">
        <f>IFERROR(__xludf.DUMMYFUNCTION("""COMPUTED_VALUE"""),"CON RECAUDO")</f>
        <v>CON RECAUDO</v>
      </c>
      <c r="M881" s="65" t="str">
        <f>IFERROR(__xludf.DUMMYFUNCTION("""COMPUTED_VALUE"""),"NAPO")</f>
        <v>NAPO</v>
      </c>
      <c r="N881" s="65" t="str">
        <f>IFERROR(__xludf.DUMMYFUNCTION("""COMPUTED_VALUE"""),"AROSEMENA TOLA")</f>
        <v>AROSEMENA TOLA</v>
      </c>
      <c r="O881" s="65" t="str">
        <f>IFERROR(__xludf.DUMMYFUNCTION("""COMPUTED_VALUE"""),"Vía Tena puyo Arocena tola -")</f>
        <v>Vía Tena puyo Arocena tola -</v>
      </c>
      <c r="P881" s="65"/>
      <c r="Q881" s="65" t="str">
        <f>IFERROR(__xludf.DUMMYFUNCTION("""COMPUTED_VALUE"""),"LAARCOURIER")</f>
        <v>LAARCOURIER</v>
      </c>
      <c r="R881" s="65">
        <f>IFERROR(__xludf.DUMMYFUNCTION("""COMPUTED_VALUE"""),20.0)</f>
        <v>20</v>
      </c>
      <c r="S881" s="65"/>
      <c r="T881" s="65">
        <f>IFERROR(__xludf.DUMMYFUNCTION("""COMPUTED_VALUE"""),8.05)</f>
        <v>8.05</v>
      </c>
      <c r="U881" s="65">
        <f>IFERROR(__xludf.DUMMYFUNCTION("""COMPUTED_VALUE"""),0.0)</f>
        <v>0</v>
      </c>
      <c r="V881" s="65">
        <f>IFERROR(__xludf.DUMMYFUNCTION("""COMPUTED_VALUE"""),0.0)</f>
        <v>0</v>
      </c>
      <c r="W881" s="65">
        <f>IFERROR(__xludf.DUMMYFUNCTION("""COMPUTED_VALUE"""),0.0)</f>
        <v>0</v>
      </c>
      <c r="X881" s="65">
        <f>IFERROR(__xludf.DUMMYFUNCTION("""COMPUTED_VALUE"""),2.4)</f>
        <v>2.4</v>
      </c>
      <c r="Y881" s="65">
        <f>IFERROR(__xludf.DUMMYFUNCTION("""COMPUTED_VALUE"""),2.4)</f>
        <v>2.4</v>
      </c>
      <c r="Z881" s="65">
        <f>IFERROR(__xludf.DUMMYFUNCTION("""COMPUTED_VALUE"""),120732.0)</f>
        <v>120732</v>
      </c>
      <c r="AA881" s="65" t="str">
        <f>IFERROR(__xludf.DUMMYFUNCTION("""COMPUTED_VALUE"""),"PROV-LMPVT")</f>
        <v>PROV-LMPVT</v>
      </c>
      <c r="AB881" s="65"/>
      <c r="AC881" s="65" t="str">
        <f>IFERROR(__xludf.DUMMYFUNCTION("""COMPUTED_VALUE"""),"LIMPIADOR DE PARABRISAS Y VENTANAS")</f>
        <v>LIMPIADOR DE PARABRISAS Y VENTANAS</v>
      </c>
      <c r="AD881" s="65"/>
      <c r="AE881" s="65">
        <f>IFERROR(__xludf.DUMMYFUNCTION("""COMPUTED_VALUE"""),1.0)</f>
        <v>1</v>
      </c>
      <c r="AF881" s="65"/>
      <c r="AG881" s="65"/>
      <c r="AH881" s="65"/>
      <c r="AI881" s="65"/>
      <c r="AJ881" s="65"/>
      <c r="AK881" s="65"/>
      <c r="AL881" s="65"/>
      <c r="AM881" s="65"/>
      <c r="AN881" s="65"/>
      <c r="AO881" s="65"/>
      <c r="AP881" s="65"/>
      <c r="AQ881" s="65"/>
      <c r="AR881" s="65"/>
      <c r="AS881" s="65"/>
      <c r="AT881" s="65" t="str">
        <f>IFERROR(__xludf.DUMMYFUNCTION("""COMPUTED_VALUE"""),"SHOPIFY")</f>
        <v>SHOPIFY</v>
      </c>
      <c r="AU881" s="65" t="str">
        <f>IFERROR(__xludf.DUMMYFUNCTION("""COMPUTED_VALUE"""),"IMPORTEX EC")</f>
        <v>IMPORTEX EC</v>
      </c>
      <c r="AV881" s="65" t="str">
        <f>IFERROR(__xludf.DUMMYFUNCTION("""COMPUTED_VALUE"""),"6496641318956")</f>
        <v>6496641318956</v>
      </c>
      <c r="AW881" s="65">
        <f>IFERROR(__xludf.DUMMYFUNCTION("""COMPUTED_VALUE"""),6004.0)</f>
        <v>6004</v>
      </c>
      <c r="AX881" s="65"/>
      <c r="AY881" s="65"/>
      <c r="AZ881" s="65"/>
      <c r="BA881" s="65"/>
    </row>
    <row r="882">
      <c r="A882" s="65" t="str">
        <f>IFERROR(__xludf.DUMMYFUNCTION("""COMPUTED_VALUE"""),"27-03-2026")</f>
        <v>27-03-2026</v>
      </c>
      <c r="B882" s="65">
        <f>IFERROR(__xludf.DUMMYFUNCTION("""COMPUTED_VALUE"""),4481190.0)</f>
        <v>4481190</v>
      </c>
      <c r="C882" s="65" t="str">
        <f>IFERROR(__xludf.DUMMYFUNCTION("""COMPUTED_VALUE"""),"16:51")</f>
        <v>16:51</v>
      </c>
      <c r="D882" s="65" t="str">
        <f>IFERROR(__xludf.DUMMYFUNCTION("""COMPUTED_VALUE"""),"11-02-2026")</f>
        <v>11-02-2026</v>
      </c>
      <c r="E882" s="65" t="str">
        <f>IFERROR(__xludf.DUMMYFUNCTION("""COMPUTED_VALUE"""),"Verónica Ochoa")</f>
        <v>Verónica Ochoa</v>
      </c>
      <c r="F882" s="65" t="str">
        <f>IFERROR(__xludf.DUMMYFUNCTION("""COMPUTED_VALUE"""),"963941386")</f>
        <v>963941386</v>
      </c>
      <c r="G882" s="65"/>
      <c r="H882" s="65"/>
      <c r="I882" s="65"/>
      <c r="J882" s="65" t="str">
        <f>IFERROR(__xludf.DUMMYFUNCTION("""COMPUTED_VALUE"""),"LC52860571")</f>
        <v>LC52860571</v>
      </c>
      <c r="K882" s="65" t="str">
        <f>IFERROR(__xludf.DUMMYFUNCTION("""COMPUTED_VALUE"""),"ENTREGADO")</f>
        <v>ENTREGADO</v>
      </c>
      <c r="L882" s="65" t="str">
        <f>IFERROR(__xludf.DUMMYFUNCTION("""COMPUTED_VALUE"""),"CON RECAUDO")</f>
        <v>CON RECAUDO</v>
      </c>
      <c r="M882" s="65" t="str">
        <f>IFERROR(__xludf.DUMMYFUNCTION("""COMPUTED_VALUE"""),"ZAMORA CHINCHIPE")</f>
        <v>ZAMORA CHINCHIPE</v>
      </c>
      <c r="N882" s="65" t="str">
        <f>IFERROR(__xludf.DUMMYFUNCTION("""COMPUTED_VALUE"""),"YANTZAZA")</f>
        <v>YANTZAZA</v>
      </c>
      <c r="O882" s="65" t="str">
        <f>IFERROR(__xludf.DUMMYFUNCTION("""COMPUTED_VALUE"""),"Mayaicu y héroes del Cenepa, REF :  Cerca junto a la Bombonera cancha sintética")</f>
        <v>Mayaicu y héroes del Cenepa, REF :  Cerca junto a la Bombonera cancha sintética</v>
      </c>
      <c r="P882" s="65"/>
      <c r="Q882" s="65" t="str">
        <f>IFERROR(__xludf.DUMMYFUNCTION("""COMPUTED_VALUE"""),"LAARCOURIER")</f>
        <v>LAARCOURIER</v>
      </c>
      <c r="R882" s="65">
        <f>IFERROR(__xludf.DUMMYFUNCTION("""COMPUTED_VALUE"""),25.0)</f>
        <v>25</v>
      </c>
      <c r="S882" s="65">
        <f>IFERROR(__xludf.DUMMYFUNCTION("""COMPUTED_VALUE"""),11.86)</f>
        <v>11.86</v>
      </c>
      <c r="T882" s="65">
        <f>IFERROR(__xludf.DUMMYFUNCTION("""COMPUTED_VALUE"""),8.34)</f>
        <v>8.34</v>
      </c>
      <c r="U882" s="65">
        <f>IFERROR(__xludf.DUMMYFUNCTION("""COMPUTED_VALUE"""),0.0)</f>
        <v>0</v>
      </c>
      <c r="V882" s="65">
        <f>IFERROR(__xludf.DUMMYFUNCTION("""COMPUTED_VALUE"""),0.0)</f>
        <v>0</v>
      </c>
      <c r="W882" s="65">
        <f>IFERROR(__xludf.DUMMYFUNCTION("""COMPUTED_VALUE"""),0.0)</f>
        <v>0</v>
      </c>
      <c r="X882" s="65">
        <f>IFERROR(__xludf.DUMMYFUNCTION("""COMPUTED_VALUE"""),2.4)</f>
        <v>2.4</v>
      </c>
      <c r="Y882" s="65">
        <f>IFERROR(__xludf.DUMMYFUNCTION("""COMPUTED_VALUE"""),4.8)</f>
        <v>4.8</v>
      </c>
      <c r="Z882" s="65">
        <f>IFERROR(__xludf.DUMMYFUNCTION("""COMPUTED_VALUE"""),120732.0)</f>
        <v>120732</v>
      </c>
      <c r="AA882" s="65" t="str">
        <f>IFERROR(__xludf.DUMMYFUNCTION("""COMPUTED_VALUE"""),"PROV-LMPVT")</f>
        <v>PROV-LMPVT</v>
      </c>
      <c r="AB882" s="65"/>
      <c r="AC882" s="65" t="str">
        <f>IFERROR(__xludf.DUMMYFUNCTION("""COMPUTED_VALUE"""),"LIMPIADOR DE PARABRISAS Y VENTANAS")</f>
        <v>LIMPIADOR DE PARABRISAS Y VENTANAS</v>
      </c>
      <c r="AD882" s="65"/>
      <c r="AE882" s="65">
        <f>IFERROR(__xludf.DUMMYFUNCTION("""COMPUTED_VALUE"""),2.0)</f>
        <v>2</v>
      </c>
      <c r="AF882" s="65"/>
      <c r="AG882" s="65"/>
      <c r="AH882" s="65"/>
      <c r="AI882" s="65"/>
      <c r="AJ882" s="65"/>
      <c r="AK882" s="65"/>
      <c r="AL882" s="65"/>
      <c r="AM882" s="65"/>
      <c r="AN882" s="65" t="str">
        <f>IFERROR(__xludf.DUMMYFUNCTION("""COMPUTED_VALUE"""),"09:26")</f>
        <v>09:26</v>
      </c>
      <c r="AO882" s="65" t="str">
        <f>IFERROR(__xludf.DUMMYFUNCTION("""COMPUTED_VALUE"""),"13-03-2026")</f>
        <v>13-03-2026</v>
      </c>
      <c r="AP882" s="65" t="str">
        <f>IFERROR(__xludf.DUMMYFUNCTION("""COMPUTED_VALUE"""),"ENTREGADO")</f>
        <v>ENTREGADO</v>
      </c>
      <c r="AQ882" s="65" t="str">
        <f>IFERROR(__xludf.DUMMYFUNCTION("""COMPUTED_VALUE"""),"ENTREGADO")</f>
        <v>ENTREGADO</v>
      </c>
      <c r="AR882" s="65"/>
      <c r="AS882" s="65"/>
      <c r="AT882" s="65" t="str">
        <f>IFERROR(__xludf.DUMMYFUNCTION("""COMPUTED_VALUE"""),"SHOPIFY")</f>
        <v>SHOPIFY</v>
      </c>
      <c r="AU882" s="65" t="str">
        <f>IFERROR(__xludf.DUMMYFUNCTION("""COMPUTED_VALUE"""),"IMPORTEX EC")</f>
        <v>IMPORTEX EC</v>
      </c>
      <c r="AV882" s="65" t="str">
        <f>IFERROR(__xludf.DUMMYFUNCTION("""COMPUTED_VALUE"""),"6496619200556")</f>
        <v>6496619200556</v>
      </c>
      <c r="AW882" s="65">
        <f>IFERROR(__xludf.DUMMYFUNCTION("""COMPUTED_VALUE"""),6003.0)</f>
        <v>6003</v>
      </c>
      <c r="AX882" s="65"/>
      <c r="AY882" s="65" t="str">
        <f>IFERROR(__xludf.DUMMYFUNCTION("""COMPUTED_VALUE"""),"12/02/2026")</f>
        <v>12/02/2026</v>
      </c>
      <c r="AZ882" s="65"/>
      <c r="BA882" s="65"/>
    </row>
    <row r="883">
      <c r="A883" s="65" t="str">
        <f>IFERROR(__xludf.DUMMYFUNCTION("""COMPUTED_VALUE"""),"27-03-2026")</f>
        <v>27-03-2026</v>
      </c>
      <c r="B883" s="65">
        <f>IFERROR(__xludf.DUMMYFUNCTION("""COMPUTED_VALUE"""),4480883.0)</f>
        <v>4480883</v>
      </c>
      <c r="C883" s="65" t="str">
        <f>IFERROR(__xludf.DUMMYFUNCTION("""COMPUTED_VALUE"""),"16:29")</f>
        <v>16:29</v>
      </c>
      <c r="D883" s="65" t="str">
        <f>IFERROR(__xludf.DUMMYFUNCTION("""COMPUTED_VALUE"""),"11-02-2026")</f>
        <v>11-02-2026</v>
      </c>
      <c r="E883" s="65" t="str">
        <f>IFERROR(__xludf.DUMMYFUNCTION("""COMPUTED_VALUE"""),"Mireya Fernández")</f>
        <v>Mireya Fernández</v>
      </c>
      <c r="F883" s="65" t="str">
        <f>IFERROR(__xludf.DUMMYFUNCTION("""COMPUTED_VALUE"""),"978936246")</f>
        <v>978936246</v>
      </c>
      <c r="G883" s="65" t="str">
        <f>IFERROR(__xludf.DUMMYFUNCTION("""COMPUTED_VALUE"""),"inhousecowor@gmail.com")</f>
        <v>inhousecowor@gmail.com</v>
      </c>
      <c r="H883" s="65"/>
      <c r="I883" s="65"/>
      <c r="J883" s="65" t="str">
        <f>IFERROR(__xludf.DUMMYFUNCTION("""COMPUTED_VALUE"""),"D001322578")</f>
        <v>D001322578</v>
      </c>
      <c r="K883" s="65" t="str">
        <f>IFERROR(__xludf.DUMMYFUNCTION("""COMPUTED_VALUE"""),"ENTREGADO")</f>
        <v>ENTREGADO</v>
      </c>
      <c r="L883" s="65" t="str">
        <f>IFERROR(__xludf.DUMMYFUNCTION("""COMPUTED_VALUE"""),"CON RECAUDO")</f>
        <v>CON RECAUDO</v>
      </c>
      <c r="M883" s="65" t="str">
        <f>IFERROR(__xludf.DUMMYFUNCTION("""COMPUTED_VALUE"""),"PICHINCHA")</f>
        <v>PICHINCHA</v>
      </c>
      <c r="N883" s="65" t="str">
        <f>IFERROR(__xludf.DUMMYFUNCTION("""COMPUTED_VALUE"""),"QUITO")</f>
        <v>QUITO</v>
      </c>
      <c r="O883" s="65" t="str">
        <f>IFERROR(__xludf.DUMMYFUNCTION("""COMPUTED_VALUE"""),"Río Coca OE14-183 y Venus Sector San Gabriel Valle de  Los Chillos - Edificio InHouse Coworking")</f>
        <v>Río Coca OE14-183 y Venus Sector San Gabriel Valle de  Los Chillos - Edificio InHouse Coworking</v>
      </c>
      <c r="P883" s="65"/>
      <c r="Q883" s="65" t="str">
        <f>IFERROR(__xludf.DUMMYFUNCTION("""COMPUTED_VALUE"""),"GINTRACOM")</f>
        <v>GINTRACOM</v>
      </c>
      <c r="R883" s="65">
        <f>IFERROR(__xludf.DUMMYFUNCTION("""COMPUTED_VALUE"""),25.0)</f>
        <v>25</v>
      </c>
      <c r="S883" s="65">
        <f>IFERROR(__xludf.DUMMYFUNCTION("""COMPUTED_VALUE"""),14.24)</f>
        <v>14.24</v>
      </c>
      <c r="T883" s="65">
        <f>IFERROR(__xludf.DUMMYFUNCTION("""COMPUTED_VALUE"""),5.96)</f>
        <v>5.96</v>
      </c>
      <c r="U883" s="65">
        <f>IFERROR(__xludf.DUMMYFUNCTION("""COMPUTED_VALUE"""),0.0)</f>
        <v>0</v>
      </c>
      <c r="V883" s="65">
        <f>IFERROR(__xludf.DUMMYFUNCTION("""COMPUTED_VALUE"""),0.0)</f>
        <v>0</v>
      </c>
      <c r="W883" s="65">
        <f>IFERROR(__xludf.DUMMYFUNCTION("""COMPUTED_VALUE"""),0.0)</f>
        <v>0</v>
      </c>
      <c r="X883" s="65">
        <f>IFERROR(__xludf.DUMMYFUNCTION("""COMPUTED_VALUE"""),2.4)</f>
        <v>2.4</v>
      </c>
      <c r="Y883" s="65">
        <f>IFERROR(__xludf.DUMMYFUNCTION("""COMPUTED_VALUE"""),4.8)</f>
        <v>4.8</v>
      </c>
      <c r="Z883" s="65">
        <f>IFERROR(__xludf.DUMMYFUNCTION("""COMPUTED_VALUE"""),120732.0)</f>
        <v>120732</v>
      </c>
      <c r="AA883" s="65" t="str">
        <f>IFERROR(__xludf.DUMMYFUNCTION("""COMPUTED_VALUE"""),"PROV-LMPVT")</f>
        <v>PROV-LMPVT</v>
      </c>
      <c r="AB883" s="65"/>
      <c r="AC883" s="65" t="str">
        <f>IFERROR(__xludf.DUMMYFUNCTION("""COMPUTED_VALUE"""),"LIMPIADOR DE PARABRISAS Y VENTANAS")</f>
        <v>LIMPIADOR DE PARABRISAS Y VENTANAS</v>
      </c>
      <c r="AD883" s="65"/>
      <c r="AE883" s="65">
        <f>IFERROR(__xludf.DUMMYFUNCTION("""COMPUTED_VALUE"""),2.0)</f>
        <v>2</v>
      </c>
      <c r="AF883" s="65"/>
      <c r="AG883" s="65"/>
      <c r="AH883" s="65"/>
      <c r="AI883" s="65"/>
      <c r="AJ883" s="65"/>
      <c r="AK883" s="65"/>
      <c r="AL883" s="65"/>
      <c r="AM883" s="65"/>
      <c r="AN883" s="65" t="str">
        <f>IFERROR(__xludf.DUMMYFUNCTION("""COMPUTED_VALUE"""),"14:19")</f>
        <v>14:19</v>
      </c>
      <c r="AO883" s="65" t="str">
        <f>IFERROR(__xludf.DUMMYFUNCTION("""COMPUTED_VALUE"""),"18-02-2026")</f>
        <v>18-02-2026</v>
      </c>
      <c r="AP883" s="65" t="str">
        <f>IFERROR(__xludf.DUMMYFUNCTION("""COMPUTED_VALUE"""),"ENTREGADA GINTRACOM")</f>
        <v>ENTREGADA GINTRACOM</v>
      </c>
      <c r="AQ883" s="65" t="str">
        <f>IFERROR(__xludf.DUMMYFUNCTION("""COMPUTED_VALUE"""),"ENTREGADA GINTRACOM")</f>
        <v>ENTREGADA GINTRACOM</v>
      </c>
      <c r="AR883" s="65"/>
      <c r="AS883" s="65"/>
      <c r="AT883" s="65" t="str">
        <f>IFERROR(__xludf.DUMMYFUNCTION("""COMPUTED_VALUE"""),"SHOPIFY")</f>
        <v>SHOPIFY</v>
      </c>
      <c r="AU883" s="65" t="str">
        <f>IFERROR(__xludf.DUMMYFUNCTION("""COMPUTED_VALUE"""),"IMPORTEX EC")</f>
        <v>IMPORTEX EC</v>
      </c>
      <c r="AV883" s="65" t="str">
        <f>IFERROR(__xludf.DUMMYFUNCTION("""COMPUTED_VALUE"""),"6496259047468")</f>
        <v>6496259047468</v>
      </c>
      <c r="AW883" s="65">
        <f>IFERROR(__xludf.DUMMYFUNCTION("""COMPUTED_VALUE"""),5999.0)</f>
        <v>5999</v>
      </c>
      <c r="AX883" s="65"/>
      <c r="AY883" s="65" t="str">
        <f>IFERROR(__xludf.DUMMYFUNCTION("""COMPUTED_VALUE"""),"12/02/2026")</f>
        <v>12/02/2026</v>
      </c>
      <c r="AZ883" s="65"/>
      <c r="BA883" s="65"/>
    </row>
    <row r="884">
      <c r="A884" s="65" t="str">
        <f>IFERROR(__xludf.DUMMYFUNCTION("""COMPUTED_VALUE"""),"27-03-2026")</f>
        <v>27-03-2026</v>
      </c>
      <c r="B884" s="65">
        <f>IFERROR(__xludf.DUMMYFUNCTION("""COMPUTED_VALUE"""),4480601.0)</f>
        <v>4480601</v>
      </c>
      <c r="C884" s="65" t="str">
        <f>IFERROR(__xludf.DUMMYFUNCTION("""COMPUTED_VALUE"""),"16:00")</f>
        <v>16:00</v>
      </c>
      <c r="D884" s="65" t="str">
        <f>IFERROR(__xludf.DUMMYFUNCTION("""COMPUTED_VALUE"""),"11-02-2026")</f>
        <v>11-02-2026</v>
      </c>
      <c r="E884" s="65" t="str">
        <f>IFERROR(__xludf.DUMMYFUNCTION("""COMPUTED_VALUE"""),"Francisco Rodríguez")</f>
        <v>Francisco Rodríguez</v>
      </c>
      <c r="F884" s="65" t="str">
        <f>IFERROR(__xludf.DUMMYFUNCTION("""COMPUTED_VALUE"""),"995655851")</f>
        <v>995655851</v>
      </c>
      <c r="G884" s="65" t="str">
        <f>IFERROR(__xludf.DUMMYFUNCTION("""COMPUTED_VALUE"""),"panchoochas@hotmail.com")</f>
        <v>panchoochas@hotmail.com</v>
      </c>
      <c r="H884" s="65"/>
      <c r="I884" s="65"/>
      <c r="J884" s="65" t="str">
        <f>IFERROR(__xludf.DUMMYFUNCTION("""COMPUTED_VALUE"""),"D001322579")</f>
        <v>D001322579</v>
      </c>
      <c r="K884" s="65" t="str">
        <f>IFERROR(__xludf.DUMMYFUNCTION("""COMPUTED_VALUE"""),"ENTREGADO")</f>
        <v>ENTREGADO</v>
      </c>
      <c r="L884" s="65" t="str">
        <f>IFERROR(__xludf.DUMMYFUNCTION("""COMPUTED_VALUE"""),"CON RECAUDO")</f>
        <v>CON RECAUDO</v>
      </c>
      <c r="M884" s="65" t="str">
        <f>IFERROR(__xludf.DUMMYFUNCTION("""COMPUTED_VALUE"""),"PICHINCHA")</f>
        <v>PICHINCHA</v>
      </c>
      <c r="N884" s="65" t="str">
        <f>IFERROR(__xludf.DUMMYFUNCTION("""COMPUTED_VALUE"""),"QUITO")</f>
        <v>QUITO</v>
      </c>
      <c r="O884" s="65" t="str">
        <f>IFERROR(__xludf.DUMMYFUNCTION("""COMPUTED_VALUE"""),"Hernandez de Giron OE4-154 Y Vasco de Contreras Rumipamba -")</f>
        <v>Hernandez de Giron OE4-154 Y Vasco de Contreras Rumipamba -</v>
      </c>
      <c r="P884" s="65"/>
      <c r="Q884" s="65" t="str">
        <f>IFERROR(__xludf.DUMMYFUNCTION("""COMPUTED_VALUE"""),"GINTRACOM")</f>
        <v>GINTRACOM</v>
      </c>
      <c r="R884" s="65">
        <f>IFERROR(__xludf.DUMMYFUNCTION("""COMPUTED_VALUE"""),22.0)</f>
        <v>22</v>
      </c>
      <c r="S884" s="65">
        <f>IFERROR(__xludf.DUMMYFUNCTION("""COMPUTED_VALUE"""),10.96)</f>
        <v>10.96</v>
      </c>
      <c r="T884" s="65">
        <f>IFERROR(__xludf.DUMMYFUNCTION("""COMPUTED_VALUE"""),5.84)</f>
        <v>5.84</v>
      </c>
      <c r="U884" s="65">
        <f>IFERROR(__xludf.DUMMYFUNCTION("""COMPUTED_VALUE"""),0.0)</f>
        <v>0</v>
      </c>
      <c r="V884" s="65">
        <f>IFERROR(__xludf.DUMMYFUNCTION("""COMPUTED_VALUE"""),0.0)</f>
        <v>0</v>
      </c>
      <c r="W884" s="65">
        <f>IFERROR(__xludf.DUMMYFUNCTION("""COMPUTED_VALUE"""),0.0)</f>
        <v>0</v>
      </c>
      <c r="X884" s="65">
        <f>IFERROR(__xludf.DUMMYFUNCTION("""COMPUTED_VALUE"""),2.6)</f>
        <v>2.6</v>
      </c>
      <c r="Y884" s="65">
        <f>IFERROR(__xludf.DUMMYFUNCTION("""COMPUTED_VALUE"""),5.2)</f>
        <v>5.2</v>
      </c>
      <c r="Z884" s="65">
        <f>IFERROR(__xludf.DUMMYFUNCTION("""COMPUTED_VALUE"""),121983.0)</f>
        <v>121983</v>
      </c>
      <c r="AA884" s="65" t="str">
        <f>IFERROR(__xludf.DUMMYFUNCTION("""COMPUTED_VALUE"""),"PROV-CHLLCF")</f>
        <v>PROV-CHLLCF</v>
      </c>
      <c r="AB884" s="65"/>
      <c r="AC884" s="65" t="str">
        <f>IFERROR(__xludf.DUMMYFUNCTION("""COMPUTED_VALUE"""),"CUCHILLO PARA CHEF")</f>
        <v>CUCHILLO PARA CHEF</v>
      </c>
      <c r="AD884" s="65"/>
      <c r="AE884" s="65">
        <f>IFERROR(__xludf.DUMMYFUNCTION("""COMPUTED_VALUE"""),2.0)</f>
        <v>2</v>
      </c>
      <c r="AF884" s="65"/>
      <c r="AG884" s="65"/>
      <c r="AH884" s="65"/>
      <c r="AI884" s="65"/>
      <c r="AJ884" s="65"/>
      <c r="AK884" s="65"/>
      <c r="AL884" s="65"/>
      <c r="AM884" s="65"/>
      <c r="AN884" s="65" t="str">
        <f>IFERROR(__xludf.DUMMYFUNCTION("""COMPUTED_VALUE"""),"12:51")</f>
        <v>12:51</v>
      </c>
      <c r="AO884" s="65" t="str">
        <f>IFERROR(__xludf.DUMMYFUNCTION("""COMPUTED_VALUE"""),"13-02-2026")</f>
        <v>13-02-2026</v>
      </c>
      <c r="AP884" s="65" t="str">
        <f>IFERROR(__xludf.DUMMYFUNCTION("""COMPUTED_VALUE"""),"ENTREGADA GINTRACOM")</f>
        <v>ENTREGADA GINTRACOM</v>
      </c>
      <c r="AQ884" s="65" t="str">
        <f>IFERROR(__xludf.DUMMYFUNCTION("""COMPUTED_VALUE"""),"ENTREGADA GINTRACOM")</f>
        <v>ENTREGADA GINTRACOM</v>
      </c>
      <c r="AR884" s="65"/>
      <c r="AS884" s="65"/>
      <c r="AT884" s="65" t="str">
        <f>IFERROR(__xludf.DUMMYFUNCTION("""COMPUTED_VALUE"""),"SHOPIFY")</f>
        <v>SHOPIFY</v>
      </c>
      <c r="AU884" s="65" t="str">
        <f>IFERROR(__xludf.DUMMYFUNCTION("""COMPUTED_VALUE"""),"IMPORTEX EC")</f>
        <v>IMPORTEX EC</v>
      </c>
      <c r="AV884" s="65" t="str">
        <f>IFERROR(__xludf.DUMMYFUNCTION("""COMPUTED_VALUE"""),"6496506183724")</f>
        <v>6496506183724</v>
      </c>
      <c r="AW884" s="65">
        <f>IFERROR(__xludf.DUMMYFUNCTION("""COMPUTED_VALUE"""),6002.0)</f>
        <v>6002</v>
      </c>
      <c r="AX884" s="65"/>
      <c r="AY884" s="65" t="str">
        <f>IFERROR(__xludf.DUMMYFUNCTION("""COMPUTED_VALUE"""),"12/02/2026")</f>
        <v>12/02/2026</v>
      </c>
      <c r="AZ884" s="65"/>
      <c r="BA884" s="65"/>
    </row>
    <row r="885">
      <c r="A885" s="65" t="str">
        <f>IFERROR(__xludf.DUMMYFUNCTION("""COMPUTED_VALUE"""),"27-03-2026")</f>
        <v>27-03-2026</v>
      </c>
      <c r="B885" s="65">
        <f>IFERROR(__xludf.DUMMYFUNCTION("""COMPUTED_VALUE"""),4479830.0)</f>
        <v>4479830</v>
      </c>
      <c r="C885" s="65" t="str">
        <f>IFERROR(__xludf.DUMMYFUNCTION("""COMPUTED_VALUE"""),"14:58")</f>
        <v>14:58</v>
      </c>
      <c r="D885" s="65" t="str">
        <f>IFERROR(__xludf.DUMMYFUNCTION("""COMPUTED_VALUE"""),"11-02-2026")</f>
        <v>11-02-2026</v>
      </c>
      <c r="E885" s="65" t="str">
        <f>IFERROR(__xludf.DUMMYFUNCTION("""COMPUTED_VALUE"""),"Sócrates Junior Merejildo Laínez")</f>
        <v>Sócrates Junior Merejildo Laínez</v>
      </c>
      <c r="F885" s="65" t="str">
        <f>IFERROR(__xludf.DUMMYFUNCTION("""COMPUTED_VALUE"""),"992845020")</f>
        <v>992845020</v>
      </c>
      <c r="G885" s="65" t="str">
        <f>IFERROR(__xludf.DUMMYFUNCTION("""COMPUTED_VALUE"""),"socratesmerejildo@hotmail.com")</f>
        <v>socratesmerejildo@hotmail.com</v>
      </c>
      <c r="H885" s="65"/>
      <c r="I885" s="65"/>
      <c r="J885" s="65" t="str">
        <f>IFERROR(__xludf.DUMMYFUNCTION("""COMPUTED_VALUE"""),"D001325889")</f>
        <v>D001325889</v>
      </c>
      <c r="K885" s="65" t="str">
        <f>IFERROR(__xludf.DUMMYFUNCTION("""COMPUTED_VALUE"""),"ENTREGADO")</f>
        <v>ENTREGADO</v>
      </c>
      <c r="L885" s="65" t="str">
        <f>IFERROR(__xludf.DUMMYFUNCTION("""COMPUTED_VALUE"""),"CON RECAUDO")</f>
        <v>CON RECAUDO</v>
      </c>
      <c r="M885" s="65" t="str">
        <f>IFERROR(__xludf.DUMMYFUNCTION("""COMPUTED_VALUE"""),"SANTA ELENA")</f>
        <v>SANTA ELENA</v>
      </c>
      <c r="N885" s="65" t="str">
        <f>IFERROR(__xludf.DUMMYFUNCTION("""COMPUTED_VALUE"""),"MUEY")</f>
        <v>MUEY</v>
      </c>
      <c r="O885" s="65" t="str">
        <f>IFERROR(__xludf.DUMMYFUNCTION("""COMPUTED_VALUE"""),"Parroquia José Luis Tamayo, Avenida 5 y calle 14 Barrio 9 de octubre  REFERENCIA  ATRAS D ELA ESCUELA  FISCAL  PRESIDENTE TAMAYO")</f>
        <v>Parroquia José Luis Tamayo, Avenida 5 y calle 14 Barrio 9 de octubre  REFERENCIA  ATRAS D ELA ESCUELA  FISCAL  PRESIDENTE TAMAYO</v>
      </c>
      <c r="P885" s="65"/>
      <c r="Q885" s="65" t="str">
        <f>IFERROR(__xludf.DUMMYFUNCTION("""COMPUTED_VALUE"""),"GINTRACOM")</f>
        <v>GINTRACOM</v>
      </c>
      <c r="R885" s="65">
        <f>IFERROR(__xludf.DUMMYFUNCTION("""COMPUTED_VALUE"""),22.0)</f>
        <v>22</v>
      </c>
      <c r="S885" s="65">
        <f>IFERROR(__xludf.DUMMYFUNCTION("""COMPUTED_VALUE"""),10.39)</f>
        <v>10.39</v>
      </c>
      <c r="T885" s="65">
        <f>IFERROR(__xludf.DUMMYFUNCTION("""COMPUTED_VALUE"""),6.41)</f>
        <v>6.41</v>
      </c>
      <c r="U885" s="65">
        <f>IFERROR(__xludf.DUMMYFUNCTION("""COMPUTED_VALUE"""),0.0)</f>
        <v>0</v>
      </c>
      <c r="V885" s="65">
        <f>IFERROR(__xludf.DUMMYFUNCTION("""COMPUTED_VALUE"""),0.0)</f>
        <v>0</v>
      </c>
      <c r="W885" s="65">
        <f>IFERROR(__xludf.DUMMYFUNCTION("""COMPUTED_VALUE"""),0.0)</f>
        <v>0</v>
      </c>
      <c r="X885" s="65">
        <f>IFERROR(__xludf.DUMMYFUNCTION("""COMPUTED_VALUE"""),2.6)</f>
        <v>2.6</v>
      </c>
      <c r="Y885" s="65">
        <f>IFERROR(__xludf.DUMMYFUNCTION("""COMPUTED_VALUE"""),5.2)</f>
        <v>5.2</v>
      </c>
      <c r="Z885" s="65">
        <f>IFERROR(__xludf.DUMMYFUNCTION("""COMPUTED_VALUE"""),121983.0)</f>
        <v>121983</v>
      </c>
      <c r="AA885" s="65" t="str">
        <f>IFERROR(__xludf.DUMMYFUNCTION("""COMPUTED_VALUE"""),"PROV-CHLLCF")</f>
        <v>PROV-CHLLCF</v>
      </c>
      <c r="AB885" s="65"/>
      <c r="AC885" s="65" t="str">
        <f>IFERROR(__xludf.DUMMYFUNCTION("""COMPUTED_VALUE"""),"CUCHILLO PARA CHEF")</f>
        <v>CUCHILLO PARA CHEF</v>
      </c>
      <c r="AD885" s="65"/>
      <c r="AE885" s="65">
        <f>IFERROR(__xludf.DUMMYFUNCTION("""COMPUTED_VALUE"""),2.0)</f>
        <v>2</v>
      </c>
      <c r="AF885" s="65"/>
      <c r="AG885" s="65"/>
      <c r="AH885" s="65"/>
      <c r="AI885" s="65"/>
      <c r="AJ885" s="65"/>
      <c r="AK885" s="65"/>
      <c r="AL885" s="65"/>
      <c r="AM885" s="65"/>
      <c r="AN885" s="65" t="str">
        <f>IFERROR(__xludf.DUMMYFUNCTION("""COMPUTED_VALUE"""),"12:01")</f>
        <v>12:01</v>
      </c>
      <c r="AO885" s="65" t="str">
        <f>IFERROR(__xludf.DUMMYFUNCTION("""COMPUTED_VALUE"""),"17-02-2026")</f>
        <v>17-02-2026</v>
      </c>
      <c r="AP885" s="65" t="str">
        <f>IFERROR(__xludf.DUMMYFUNCTION("""COMPUTED_VALUE"""),"ENTREGADA GINTRACOM")</f>
        <v>ENTREGADA GINTRACOM</v>
      </c>
      <c r="AQ885" s="65" t="str">
        <f>IFERROR(__xludf.DUMMYFUNCTION("""COMPUTED_VALUE"""),"ENTREGADA GINTRACOM")</f>
        <v>ENTREGADA GINTRACOM</v>
      </c>
      <c r="AR885" s="65"/>
      <c r="AS885" s="65"/>
      <c r="AT885" s="65" t="str">
        <f>IFERROR(__xludf.DUMMYFUNCTION("""COMPUTED_VALUE"""),"SHOPIFY")</f>
        <v>SHOPIFY</v>
      </c>
      <c r="AU885" s="65" t="str">
        <f>IFERROR(__xludf.DUMMYFUNCTION("""COMPUTED_VALUE"""),"IMPORTEX EC")</f>
        <v>IMPORTEX EC</v>
      </c>
      <c r="AV885" s="65" t="str">
        <f>IFERROR(__xludf.DUMMYFUNCTION("""COMPUTED_VALUE"""),"6496366100524")</f>
        <v>6496366100524</v>
      </c>
      <c r="AW885" s="65">
        <f>IFERROR(__xludf.DUMMYFUNCTION("""COMPUTED_VALUE"""),6001.0)</f>
        <v>6001</v>
      </c>
      <c r="AX885" s="65"/>
      <c r="AY885" s="65" t="str">
        <f>IFERROR(__xludf.DUMMYFUNCTION("""COMPUTED_VALUE"""),"13/02/2026")</f>
        <v>13/02/2026</v>
      </c>
      <c r="AZ885" s="65"/>
      <c r="BA885" s="65"/>
    </row>
    <row r="886">
      <c r="A886" s="65" t="str">
        <f>IFERROR(__xludf.DUMMYFUNCTION("""COMPUTED_VALUE"""),"27-03-2026")</f>
        <v>27-03-2026</v>
      </c>
      <c r="B886" s="65">
        <f>IFERROR(__xludf.DUMMYFUNCTION("""COMPUTED_VALUE"""),4479660.0)</f>
        <v>4479660</v>
      </c>
      <c r="C886" s="65" t="str">
        <f>IFERROR(__xludf.DUMMYFUNCTION("""COMPUTED_VALUE"""),"14:43")</f>
        <v>14:43</v>
      </c>
      <c r="D886" s="65" t="str">
        <f>IFERROR(__xludf.DUMMYFUNCTION("""COMPUTED_VALUE"""),"11-02-2026")</f>
        <v>11-02-2026</v>
      </c>
      <c r="E886" s="65" t="str">
        <f>IFERROR(__xludf.DUMMYFUNCTION("""COMPUTED_VALUE"""),"Ingrid Cedeño")</f>
        <v>Ingrid Cedeño</v>
      </c>
      <c r="F886" s="65" t="str">
        <f>IFERROR(__xludf.DUMMYFUNCTION("""COMPUTED_VALUE"""),"982470259")</f>
        <v>982470259</v>
      </c>
      <c r="G886" s="65" t="str">
        <f>IFERROR(__xludf.DUMMYFUNCTION("""COMPUTED_VALUE"""),"incep43@hotmail.com")</f>
        <v>incep43@hotmail.com</v>
      </c>
      <c r="H886" s="65"/>
      <c r="I886" s="65"/>
      <c r="J886" s="65" t="str">
        <f>IFERROR(__xludf.DUMMYFUNCTION("""COMPUTED_VALUE"""),"D001322580")</f>
        <v>D001322580</v>
      </c>
      <c r="K886" s="65" t="str">
        <f>IFERROR(__xludf.DUMMYFUNCTION("""COMPUTED_VALUE"""),"ENTREGADO")</f>
        <v>ENTREGADO</v>
      </c>
      <c r="L886" s="65" t="str">
        <f>IFERROR(__xludf.DUMMYFUNCTION("""COMPUTED_VALUE"""),"CON RECAUDO")</f>
        <v>CON RECAUDO</v>
      </c>
      <c r="M886" s="65" t="str">
        <f>IFERROR(__xludf.DUMMYFUNCTION("""COMPUTED_VALUE"""),"MANABI")</f>
        <v>MANABI</v>
      </c>
      <c r="N886" s="65" t="str">
        <f>IFERROR(__xludf.DUMMYFUNCTION("""COMPUTED_VALUE"""),"ROCAFUERTE")</f>
        <v>ROCAFUERTE</v>
      </c>
      <c r="O886" s="65" t="str">
        <f>IFERROR(__xludf.DUMMYFUNCTION("""COMPUTED_VALUE"""),"Callejón 20 de junio y Atahualpa Diagonal al parque del niño -")</f>
        <v>Callejón 20 de junio y Atahualpa Diagonal al parque del niño -</v>
      </c>
      <c r="P886" s="65"/>
      <c r="Q886" s="65" t="str">
        <f>IFERROR(__xludf.DUMMYFUNCTION("""COMPUTED_VALUE"""),"GINTRACOM")</f>
        <v>GINTRACOM</v>
      </c>
      <c r="R886" s="65">
        <f>IFERROR(__xludf.DUMMYFUNCTION("""COMPUTED_VALUE"""),25.0)</f>
        <v>25</v>
      </c>
      <c r="S886" s="65">
        <f>IFERROR(__xludf.DUMMYFUNCTION("""COMPUTED_VALUE"""),13.67)</f>
        <v>13.67</v>
      </c>
      <c r="T886" s="65">
        <f>IFERROR(__xludf.DUMMYFUNCTION("""COMPUTED_VALUE"""),6.53)</f>
        <v>6.53</v>
      </c>
      <c r="U886" s="65">
        <f>IFERROR(__xludf.DUMMYFUNCTION("""COMPUTED_VALUE"""),0.0)</f>
        <v>0</v>
      </c>
      <c r="V886" s="65">
        <f>IFERROR(__xludf.DUMMYFUNCTION("""COMPUTED_VALUE"""),0.0)</f>
        <v>0</v>
      </c>
      <c r="W886" s="65">
        <f>IFERROR(__xludf.DUMMYFUNCTION("""COMPUTED_VALUE"""),0.0)</f>
        <v>0</v>
      </c>
      <c r="X886" s="65">
        <f>IFERROR(__xludf.DUMMYFUNCTION("""COMPUTED_VALUE"""),2.4)</f>
        <v>2.4</v>
      </c>
      <c r="Y886" s="65">
        <f>IFERROR(__xludf.DUMMYFUNCTION("""COMPUTED_VALUE"""),4.8)</f>
        <v>4.8</v>
      </c>
      <c r="Z886" s="65">
        <f>IFERROR(__xludf.DUMMYFUNCTION("""COMPUTED_VALUE"""),120732.0)</f>
        <v>120732</v>
      </c>
      <c r="AA886" s="65" t="str">
        <f>IFERROR(__xludf.DUMMYFUNCTION("""COMPUTED_VALUE"""),"PROV-LMPVT")</f>
        <v>PROV-LMPVT</v>
      </c>
      <c r="AB886" s="65"/>
      <c r="AC886" s="65" t="str">
        <f>IFERROR(__xludf.DUMMYFUNCTION("""COMPUTED_VALUE"""),"LIMPIADOR DE PARABRISAS Y VENTANAS")</f>
        <v>LIMPIADOR DE PARABRISAS Y VENTANAS</v>
      </c>
      <c r="AD886" s="65"/>
      <c r="AE886" s="65">
        <f>IFERROR(__xludf.DUMMYFUNCTION("""COMPUTED_VALUE"""),2.0)</f>
        <v>2</v>
      </c>
      <c r="AF886" s="65"/>
      <c r="AG886" s="65"/>
      <c r="AH886" s="65"/>
      <c r="AI886" s="65"/>
      <c r="AJ886" s="65"/>
      <c r="AK886" s="65"/>
      <c r="AL886" s="65"/>
      <c r="AM886" s="65"/>
      <c r="AN886" s="65" t="str">
        <f>IFERROR(__xludf.DUMMYFUNCTION("""COMPUTED_VALUE"""),"09:52")</f>
        <v>09:52</v>
      </c>
      <c r="AO886" s="65" t="str">
        <f>IFERROR(__xludf.DUMMYFUNCTION("""COMPUTED_VALUE"""),"14-02-2026")</f>
        <v>14-02-2026</v>
      </c>
      <c r="AP886" s="65" t="str">
        <f>IFERROR(__xludf.DUMMYFUNCTION("""COMPUTED_VALUE"""),"ENTREGADA GINTRACOM")</f>
        <v>ENTREGADA GINTRACOM</v>
      </c>
      <c r="AQ886" s="65" t="str">
        <f>IFERROR(__xludf.DUMMYFUNCTION("""COMPUTED_VALUE"""),"ENTREGADA GINTRACOM")</f>
        <v>ENTREGADA GINTRACOM</v>
      </c>
      <c r="AR886" s="65"/>
      <c r="AS886" s="65"/>
      <c r="AT886" s="65" t="str">
        <f>IFERROR(__xludf.DUMMYFUNCTION("""COMPUTED_VALUE"""),"SHOPIFY")</f>
        <v>SHOPIFY</v>
      </c>
      <c r="AU886" s="65" t="str">
        <f>IFERROR(__xludf.DUMMYFUNCTION("""COMPUTED_VALUE"""),"IMPORTEX EC")</f>
        <v>IMPORTEX EC</v>
      </c>
      <c r="AV886" s="65" t="str">
        <f>IFERROR(__xludf.DUMMYFUNCTION("""COMPUTED_VALUE"""),"6496328745004")</f>
        <v>6496328745004</v>
      </c>
      <c r="AW886" s="65">
        <f>IFERROR(__xludf.DUMMYFUNCTION("""COMPUTED_VALUE"""),6000.0)</f>
        <v>6000</v>
      </c>
      <c r="AX886" s="65"/>
      <c r="AY886" s="65" t="str">
        <f>IFERROR(__xludf.DUMMYFUNCTION("""COMPUTED_VALUE"""),"12/02/2026")</f>
        <v>12/02/2026</v>
      </c>
      <c r="AZ886" s="65"/>
      <c r="BA886" s="65"/>
    </row>
    <row r="887">
      <c r="A887" s="65" t="str">
        <f>IFERROR(__xludf.DUMMYFUNCTION("""COMPUTED_VALUE"""),"27-03-2026")</f>
        <v>27-03-2026</v>
      </c>
      <c r="B887" s="65">
        <f>IFERROR(__xludf.DUMMYFUNCTION("""COMPUTED_VALUE"""),4460273.0)</f>
        <v>4460273</v>
      </c>
      <c r="C887" s="65" t="str">
        <f>IFERROR(__xludf.DUMMYFUNCTION("""COMPUTED_VALUE"""),"22:51")</f>
        <v>22:51</v>
      </c>
      <c r="D887" s="65" t="str">
        <f>IFERROR(__xludf.DUMMYFUNCTION("""COMPUTED_VALUE"""),"09-02-2026")</f>
        <v>09-02-2026</v>
      </c>
      <c r="E887" s="65" t="str">
        <f>IFERROR(__xludf.DUMMYFUNCTION("""COMPUTED_VALUE"""),"FRANCISCO OCHOA")</f>
        <v>FRANCISCO OCHOA</v>
      </c>
      <c r="F887" s="65" t="str">
        <f>IFERROR(__xludf.DUMMYFUNCTION("""COMPUTED_VALUE"""),"985162247")</f>
        <v>985162247</v>
      </c>
      <c r="G887" s="65"/>
      <c r="H887" s="65"/>
      <c r="I887" s="65"/>
      <c r="J887" s="65" t="str">
        <f>IFERROR(__xludf.DUMMYFUNCTION("""COMPUTED_VALUE"""),"187033386")</f>
        <v>187033386</v>
      </c>
      <c r="K887" s="65" t="str">
        <f>IFERROR(__xludf.DUMMYFUNCTION("""COMPUTED_VALUE"""),"ENTREGADO")</f>
        <v>ENTREGADO</v>
      </c>
      <c r="L887" s="65" t="str">
        <f>IFERROR(__xludf.DUMMYFUNCTION("""COMPUTED_VALUE"""),"CON RECAUDO")</f>
        <v>CON RECAUDO</v>
      </c>
      <c r="M887" s="65" t="str">
        <f>IFERROR(__xludf.DUMMYFUNCTION("""COMPUTED_VALUE"""),"SUCUMBIOS")</f>
        <v>SUCUMBIOS</v>
      </c>
      <c r="N887" s="65" t="str">
        <f>IFERROR(__xludf.DUMMYFUNCTION("""COMPUTED_VALUE"""),"LAGO AGRIO")</f>
        <v>LAGO AGRIO</v>
      </c>
      <c r="O887" s="65" t="str">
        <f>IFERROR(__xludf.DUMMYFUNCTION("""COMPUTED_VALUE"""),"RET EN CS : LAGO AGRIO_NAPO - VIA A QUITO KM 1 Y PASAJE BOLIVIA")</f>
        <v>RET EN CS : LAGO AGRIO_NAPO - VIA A QUITO KM 1 Y PASAJE BOLIVIA</v>
      </c>
      <c r="P887" s="65"/>
      <c r="Q887" s="65" t="str">
        <f>IFERROR(__xludf.DUMMYFUNCTION("""COMPUTED_VALUE"""),"SERVIENTREGA")</f>
        <v>SERVIENTREGA</v>
      </c>
      <c r="R887" s="65">
        <f>IFERROR(__xludf.DUMMYFUNCTION("""COMPUTED_VALUE"""),32.0)</f>
        <v>32</v>
      </c>
      <c r="S887" s="65">
        <f>IFERROR(__xludf.DUMMYFUNCTION("""COMPUTED_VALUE"""),13.75)</f>
        <v>13.75</v>
      </c>
      <c r="T887" s="65">
        <f>IFERROR(__xludf.DUMMYFUNCTION("""COMPUTED_VALUE"""),7.85)</f>
        <v>7.85</v>
      </c>
      <c r="U887" s="65">
        <f>IFERROR(__xludf.DUMMYFUNCTION("""COMPUTED_VALUE"""),0.0)</f>
        <v>0</v>
      </c>
      <c r="V887" s="65">
        <f>IFERROR(__xludf.DUMMYFUNCTION("""COMPUTED_VALUE"""),0.0)</f>
        <v>0</v>
      </c>
      <c r="W887" s="65">
        <f>IFERROR(__xludf.DUMMYFUNCTION("""COMPUTED_VALUE"""),0.0)</f>
        <v>0</v>
      </c>
      <c r="X887" s="65">
        <f>IFERROR(__xludf.DUMMYFUNCTION("""COMPUTED_VALUE"""),2.6)</f>
        <v>2.6</v>
      </c>
      <c r="Y887" s="65">
        <f>IFERROR(__xludf.DUMMYFUNCTION("""COMPUTED_VALUE"""),10.4)</f>
        <v>10.4</v>
      </c>
      <c r="Z887" s="65">
        <f>IFERROR(__xludf.DUMMYFUNCTION("""COMPUTED_VALUE"""),121983.0)</f>
        <v>121983</v>
      </c>
      <c r="AA887" s="65" t="str">
        <f>IFERROR(__xludf.DUMMYFUNCTION("""COMPUTED_VALUE"""),"PROV-CHLLCF")</f>
        <v>PROV-CHLLCF</v>
      </c>
      <c r="AB887" s="65"/>
      <c r="AC887" s="65" t="str">
        <f>IFERROR(__xludf.DUMMYFUNCTION("""COMPUTED_VALUE"""),"CUCHILLO PARA CHEF")</f>
        <v>CUCHILLO PARA CHEF</v>
      </c>
      <c r="AD887" s="65"/>
      <c r="AE887" s="65">
        <f>IFERROR(__xludf.DUMMYFUNCTION("""COMPUTED_VALUE"""),4.0)</f>
        <v>4</v>
      </c>
      <c r="AF887" s="65"/>
      <c r="AG887" s="65"/>
      <c r="AH887" s="65"/>
      <c r="AI887" s="65"/>
      <c r="AJ887" s="65"/>
      <c r="AK887" s="65"/>
      <c r="AL887" s="65"/>
      <c r="AM887" s="65"/>
      <c r="AN887" s="65" t="str">
        <f>IFERROR(__xludf.DUMMYFUNCTION("""COMPUTED_VALUE"""),"16:33")</f>
        <v>16:33</v>
      </c>
      <c r="AO887" s="65" t="str">
        <f>IFERROR(__xludf.DUMMYFUNCTION("""COMPUTED_VALUE"""),"24-02-2026")</f>
        <v>24-02-2026</v>
      </c>
      <c r="AP887" s="65" t="str">
        <f>IFERROR(__xludf.DUMMYFUNCTION("""COMPUTED_VALUE"""),"ENTREGA DIGITALIZADA EN CENTRO LOGISTICO")</f>
        <v>ENTREGA DIGITALIZADA EN CENTRO LOGISTICO</v>
      </c>
      <c r="AQ887" s="65" t="str">
        <f>IFERROR(__xludf.DUMMYFUNCTION("""COMPUTED_VALUE"""),"FRANCISCO OCHOA")</f>
        <v>FRANCISCO OCHOA</v>
      </c>
      <c r="AR887" s="65"/>
      <c r="AS887" s="65"/>
      <c r="AT887" s="65"/>
      <c r="AU887" s="65"/>
      <c r="AV887" s="65"/>
      <c r="AW887" s="65"/>
      <c r="AX887" s="65"/>
      <c r="AY887" s="65" t="str">
        <f>IFERROR(__xludf.DUMMYFUNCTION("""COMPUTED_VALUE"""),"10/02/2026")</f>
        <v>10/02/2026</v>
      </c>
      <c r="AZ887" s="65"/>
      <c r="BA887" s="65"/>
    </row>
    <row r="888">
      <c r="A888" s="65" t="str">
        <f>IFERROR(__xludf.DUMMYFUNCTION("""COMPUTED_VALUE"""),"27-03-2026")</f>
        <v>27-03-2026</v>
      </c>
      <c r="B888" s="65">
        <f>IFERROR(__xludf.DUMMYFUNCTION("""COMPUTED_VALUE"""),4459428.0)</f>
        <v>4459428</v>
      </c>
      <c r="C888" s="65" t="str">
        <f>IFERROR(__xludf.DUMMYFUNCTION("""COMPUTED_VALUE"""),"21:54")</f>
        <v>21:54</v>
      </c>
      <c r="D888" s="65" t="str">
        <f>IFERROR(__xludf.DUMMYFUNCTION("""COMPUTED_VALUE"""),"09-02-2026")</f>
        <v>09-02-2026</v>
      </c>
      <c r="E888" s="65" t="str">
        <f>IFERROR(__xludf.DUMMYFUNCTION("""COMPUTED_VALUE"""),"María sarango Sarango")</f>
        <v>María sarango Sarango</v>
      </c>
      <c r="F888" s="65" t="str">
        <f>IFERROR(__xludf.DUMMYFUNCTION("""COMPUTED_VALUE"""),"967935298")</f>
        <v>967935298</v>
      </c>
      <c r="G888" s="65"/>
      <c r="H888" s="65"/>
      <c r="I888" s="65"/>
      <c r="J888" s="65"/>
      <c r="K888" s="65" t="str">
        <f>IFERROR(__xludf.DUMMYFUNCTION("""COMPUTED_VALUE"""),"PENDIENTE CONFIRMACION")</f>
        <v>PENDIENTE CONFIRMACION</v>
      </c>
      <c r="L888" s="65" t="str">
        <f>IFERROR(__xludf.DUMMYFUNCTION("""COMPUTED_VALUE"""),"CON RECAUDO")</f>
        <v>CON RECAUDO</v>
      </c>
      <c r="M888" s="65" t="str">
        <f>IFERROR(__xludf.DUMMYFUNCTION("""COMPUTED_VALUE"""),"PICHINCHA")</f>
        <v>PICHINCHA</v>
      </c>
      <c r="N888" s="65" t="str">
        <f>IFERROR(__xludf.DUMMYFUNCTION("""COMPUTED_VALUE"""),"QUITO")</f>
        <v>QUITO</v>
      </c>
      <c r="O888" s="65" t="str">
        <f>IFERROR(__xludf.DUMMYFUNCTION("""COMPUTED_VALUE"""),"San martin y ay una cancha de tierra alad -")</f>
        <v>San martin y ay una cancha de tierra alad -</v>
      </c>
      <c r="P888" s="65"/>
      <c r="Q888" s="65" t="str">
        <f>IFERROR(__xludf.DUMMYFUNCTION("""COMPUTED_VALUE"""),"GINTRACOM")</f>
        <v>GINTRACOM</v>
      </c>
      <c r="R888" s="65">
        <f>IFERROR(__xludf.DUMMYFUNCTION("""COMPUTED_VALUE"""),22.0)</f>
        <v>22</v>
      </c>
      <c r="S888" s="65"/>
      <c r="T888" s="65">
        <f>IFERROR(__xludf.DUMMYFUNCTION("""COMPUTED_VALUE"""),5.84)</f>
        <v>5.84</v>
      </c>
      <c r="U888" s="65">
        <f>IFERROR(__xludf.DUMMYFUNCTION("""COMPUTED_VALUE"""),0.0)</f>
        <v>0</v>
      </c>
      <c r="V888" s="65">
        <f>IFERROR(__xludf.DUMMYFUNCTION("""COMPUTED_VALUE"""),0.0)</f>
        <v>0</v>
      </c>
      <c r="W888" s="65">
        <f>IFERROR(__xludf.DUMMYFUNCTION("""COMPUTED_VALUE"""),0.0)</f>
        <v>0</v>
      </c>
      <c r="X888" s="65">
        <f>IFERROR(__xludf.DUMMYFUNCTION("""COMPUTED_VALUE"""),2.6)</f>
        <v>2.6</v>
      </c>
      <c r="Y888" s="65">
        <f>IFERROR(__xludf.DUMMYFUNCTION("""COMPUTED_VALUE"""),5.2)</f>
        <v>5.2</v>
      </c>
      <c r="Z888" s="65">
        <f>IFERROR(__xludf.DUMMYFUNCTION("""COMPUTED_VALUE"""),121983.0)</f>
        <v>121983</v>
      </c>
      <c r="AA888" s="65" t="str">
        <f>IFERROR(__xludf.DUMMYFUNCTION("""COMPUTED_VALUE"""),"PROV-CHLLCF")</f>
        <v>PROV-CHLLCF</v>
      </c>
      <c r="AB888" s="65"/>
      <c r="AC888" s="65" t="str">
        <f>IFERROR(__xludf.DUMMYFUNCTION("""COMPUTED_VALUE"""),"CUCHILLO PARA CHEF")</f>
        <v>CUCHILLO PARA CHEF</v>
      </c>
      <c r="AD888" s="65"/>
      <c r="AE888" s="65">
        <f>IFERROR(__xludf.DUMMYFUNCTION("""COMPUTED_VALUE"""),2.0)</f>
        <v>2</v>
      </c>
      <c r="AF888" s="65"/>
      <c r="AG888" s="65"/>
      <c r="AH888" s="65"/>
      <c r="AI888" s="65"/>
      <c r="AJ888" s="65"/>
      <c r="AK888" s="65"/>
      <c r="AL888" s="65"/>
      <c r="AM888" s="65"/>
      <c r="AN888" s="65"/>
      <c r="AO888" s="65"/>
      <c r="AP888" s="65"/>
      <c r="AQ888" s="65"/>
      <c r="AR888" s="65"/>
      <c r="AS888" s="65"/>
      <c r="AT888" s="65" t="str">
        <f>IFERROR(__xludf.DUMMYFUNCTION("""COMPUTED_VALUE"""),"SHOPIFY")</f>
        <v>SHOPIFY</v>
      </c>
      <c r="AU888" s="65" t="str">
        <f>IFERROR(__xludf.DUMMYFUNCTION("""COMPUTED_VALUE"""),"IMPORTEX EC")</f>
        <v>IMPORTEX EC</v>
      </c>
      <c r="AV888" s="65" t="str">
        <f>IFERROR(__xludf.DUMMYFUNCTION("""COMPUTED_VALUE"""),"6487094362156")</f>
        <v>6487094362156</v>
      </c>
      <c r="AW888" s="65">
        <f>IFERROR(__xludf.DUMMYFUNCTION("""COMPUTED_VALUE"""),5973.0)</f>
        <v>5973</v>
      </c>
      <c r="AX888" s="65"/>
      <c r="AY888" s="65"/>
      <c r="AZ888" s="65"/>
      <c r="BA888" s="65"/>
    </row>
    <row r="889">
      <c r="A889" s="65" t="str">
        <f>IFERROR(__xludf.DUMMYFUNCTION("""COMPUTED_VALUE"""),"27-03-2026")</f>
        <v>27-03-2026</v>
      </c>
      <c r="B889" s="65">
        <f>IFERROR(__xludf.DUMMYFUNCTION("""COMPUTED_VALUE"""),4458418.0)</f>
        <v>4458418</v>
      </c>
      <c r="C889" s="65" t="str">
        <f>IFERROR(__xludf.DUMMYFUNCTION("""COMPUTED_VALUE"""),"20:36")</f>
        <v>20:36</v>
      </c>
      <c r="D889" s="65" t="str">
        <f>IFERROR(__xludf.DUMMYFUNCTION("""COMPUTED_VALUE"""),"09-02-2026")</f>
        <v>09-02-2026</v>
      </c>
      <c r="E889" s="65" t="str">
        <f>IFERROR(__xludf.DUMMYFUNCTION("""COMPUTED_VALUE"""),"Marco GUAMAN")</f>
        <v>Marco GUAMAN</v>
      </c>
      <c r="F889" s="65" t="str">
        <f>IFERROR(__xludf.DUMMYFUNCTION("""COMPUTED_VALUE"""),"988149334")</f>
        <v>988149334</v>
      </c>
      <c r="G889" s="65" t="str">
        <f>IFERROR(__xludf.DUMMYFUNCTION("""COMPUTED_VALUE"""),"marcoguamanzambrano@gmail.com")</f>
        <v>marcoguamanzambrano@gmail.com</v>
      </c>
      <c r="H889" s="65"/>
      <c r="I889" s="65"/>
      <c r="J889" s="65" t="str">
        <f>IFERROR(__xludf.DUMMYFUNCTION("""COMPUTED_VALUE"""),"D001318305")</f>
        <v>D001318305</v>
      </c>
      <c r="K889" s="65" t="str">
        <f>IFERROR(__xludf.DUMMYFUNCTION("""COMPUTED_VALUE"""),"ENTREGADO")</f>
        <v>ENTREGADO</v>
      </c>
      <c r="L889" s="65" t="str">
        <f>IFERROR(__xludf.DUMMYFUNCTION("""COMPUTED_VALUE"""),"CON RECAUDO")</f>
        <v>CON RECAUDO</v>
      </c>
      <c r="M889" s="65" t="str">
        <f>IFERROR(__xludf.DUMMYFUNCTION("""COMPUTED_VALUE"""),"SANTO DOMINGO DE LOS TSACHILAS")</f>
        <v>SANTO DOMINGO DE LOS TSACHILAS</v>
      </c>
      <c r="N889" s="65" t="str">
        <f>IFERROR(__xludf.DUMMYFUNCTION("""COMPUTED_VALUE"""),"SANTO DOMINGO")</f>
        <v>SANTO DOMINGO</v>
      </c>
      <c r="O889" s="65" t="str">
        <f>IFERROR(__xludf.DUMMYFUNCTION("""COMPUTED_VALUE"""),"Calle la niña,casa N 429 P - entre : Reina Isabel y Federico Gonzalez")</f>
        <v>Calle la niña,casa N 429 P - entre : Reina Isabel y Federico Gonzalez</v>
      </c>
      <c r="P889" s="65"/>
      <c r="Q889" s="65" t="str">
        <f>IFERROR(__xludf.DUMMYFUNCTION("""COMPUTED_VALUE"""),"GINTRACOM")</f>
        <v>GINTRACOM</v>
      </c>
      <c r="R889" s="65">
        <f>IFERROR(__xludf.DUMMYFUNCTION("""COMPUTED_VALUE"""),22.0)</f>
        <v>22</v>
      </c>
      <c r="S889" s="65">
        <f>IFERROR(__xludf.DUMMYFUNCTION("""COMPUTED_VALUE"""),10.96)</f>
        <v>10.96</v>
      </c>
      <c r="T889" s="65">
        <f>IFERROR(__xludf.DUMMYFUNCTION("""COMPUTED_VALUE"""),5.84)</f>
        <v>5.84</v>
      </c>
      <c r="U889" s="65">
        <f>IFERROR(__xludf.DUMMYFUNCTION("""COMPUTED_VALUE"""),0.0)</f>
        <v>0</v>
      </c>
      <c r="V889" s="65">
        <f>IFERROR(__xludf.DUMMYFUNCTION("""COMPUTED_VALUE"""),0.0)</f>
        <v>0</v>
      </c>
      <c r="W889" s="65">
        <f>IFERROR(__xludf.DUMMYFUNCTION("""COMPUTED_VALUE"""),0.0)</f>
        <v>0</v>
      </c>
      <c r="X889" s="65">
        <f>IFERROR(__xludf.DUMMYFUNCTION("""COMPUTED_VALUE"""),2.6)</f>
        <v>2.6</v>
      </c>
      <c r="Y889" s="65">
        <f>IFERROR(__xludf.DUMMYFUNCTION("""COMPUTED_VALUE"""),5.2)</f>
        <v>5.2</v>
      </c>
      <c r="Z889" s="65">
        <f>IFERROR(__xludf.DUMMYFUNCTION("""COMPUTED_VALUE"""),121983.0)</f>
        <v>121983</v>
      </c>
      <c r="AA889" s="65" t="str">
        <f>IFERROR(__xludf.DUMMYFUNCTION("""COMPUTED_VALUE"""),"PROV-CHLLCF")</f>
        <v>PROV-CHLLCF</v>
      </c>
      <c r="AB889" s="65"/>
      <c r="AC889" s="65" t="str">
        <f>IFERROR(__xludf.DUMMYFUNCTION("""COMPUTED_VALUE"""),"CUCHILLO PARA CHEF")</f>
        <v>CUCHILLO PARA CHEF</v>
      </c>
      <c r="AD889" s="65"/>
      <c r="AE889" s="65">
        <f>IFERROR(__xludf.DUMMYFUNCTION("""COMPUTED_VALUE"""),2.0)</f>
        <v>2</v>
      </c>
      <c r="AF889" s="65"/>
      <c r="AG889" s="65"/>
      <c r="AH889" s="65"/>
      <c r="AI889" s="65"/>
      <c r="AJ889" s="65"/>
      <c r="AK889" s="65"/>
      <c r="AL889" s="65"/>
      <c r="AM889" s="65"/>
      <c r="AN889" s="65" t="str">
        <f>IFERROR(__xludf.DUMMYFUNCTION("""COMPUTED_VALUE"""),"16:51")</f>
        <v>16:51</v>
      </c>
      <c r="AO889" s="65" t="str">
        <f>IFERROR(__xludf.DUMMYFUNCTION("""COMPUTED_VALUE"""),"13-02-2026")</f>
        <v>13-02-2026</v>
      </c>
      <c r="AP889" s="65" t="str">
        <f>IFERROR(__xludf.DUMMYFUNCTION("""COMPUTED_VALUE"""),"ENTREGADA GINTRACOM")</f>
        <v>ENTREGADA GINTRACOM</v>
      </c>
      <c r="AQ889" s="65" t="str">
        <f>IFERROR(__xludf.DUMMYFUNCTION("""COMPUTED_VALUE"""),"ENTREGADA GINTRACOM")</f>
        <v>ENTREGADA GINTRACOM</v>
      </c>
      <c r="AR889" s="65"/>
      <c r="AS889" s="65"/>
      <c r="AT889" s="65" t="str">
        <f>IFERROR(__xludf.DUMMYFUNCTION("""COMPUTED_VALUE"""),"SHOPIFY")</f>
        <v>SHOPIFY</v>
      </c>
      <c r="AU889" s="65" t="str">
        <f>IFERROR(__xludf.DUMMYFUNCTION("""COMPUTED_VALUE"""),"IMPORTEX EC")</f>
        <v>IMPORTEX EC</v>
      </c>
      <c r="AV889" s="65" t="str">
        <f>IFERROR(__xludf.DUMMYFUNCTION("""COMPUTED_VALUE"""),"6485978906668")</f>
        <v>6485978906668</v>
      </c>
      <c r="AW889" s="65">
        <f>IFERROR(__xludf.DUMMYFUNCTION("""COMPUTED_VALUE"""),5946.0)</f>
        <v>5946</v>
      </c>
      <c r="AX889" s="65"/>
      <c r="AY889" s="65" t="str">
        <f>IFERROR(__xludf.DUMMYFUNCTION("""COMPUTED_VALUE"""),"11/02/2026")</f>
        <v>11/02/2026</v>
      </c>
      <c r="AZ889" s="65"/>
      <c r="BA889" s="65"/>
    </row>
    <row r="890">
      <c r="A890" s="65" t="str">
        <f>IFERROR(__xludf.DUMMYFUNCTION("""COMPUTED_VALUE"""),"27-03-2026")</f>
        <v>27-03-2026</v>
      </c>
      <c r="B890" s="65">
        <f>IFERROR(__xludf.DUMMYFUNCTION("""COMPUTED_VALUE"""),4458181.0)</f>
        <v>4458181</v>
      </c>
      <c r="C890" s="65" t="str">
        <f>IFERROR(__xludf.DUMMYFUNCTION("""COMPUTED_VALUE"""),"20:11")</f>
        <v>20:11</v>
      </c>
      <c r="D890" s="65" t="str">
        <f>IFERROR(__xludf.DUMMYFUNCTION("""COMPUTED_VALUE"""),"09-02-2026")</f>
        <v>09-02-2026</v>
      </c>
      <c r="E890" s="65" t="str">
        <f>IFERROR(__xludf.DUMMYFUNCTION("""COMPUTED_VALUE"""),"Aurelio Enrique Vélez Galarza")</f>
        <v>Aurelio Enrique Vélez Galarza</v>
      </c>
      <c r="F890" s="65" t="str">
        <f>IFERROR(__xludf.DUMMYFUNCTION("""COMPUTED_VALUE"""),"987298188")</f>
        <v>987298188</v>
      </c>
      <c r="G890" s="65" t="str">
        <f>IFERROR(__xludf.DUMMYFUNCTION("""COMPUTED_VALUE"""),"districauchosich@hotmail.com")</f>
        <v>districauchosich@hotmail.com</v>
      </c>
      <c r="H890" s="65"/>
      <c r="I890" s="65"/>
      <c r="J890" s="65" t="str">
        <f>IFERROR(__xludf.DUMMYFUNCTION("""COMPUTED_VALUE"""),"D001318306")</f>
        <v>D001318306</v>
      </c>
      <c r="K890" s="65" t="str">
        <f>IFERROR(__xludf.DUMMYFUNCTION("""COMPUTED_VALUE"""),"ENTREGADO")</f>
        <v>ENTREGADO</v>
      </c>
      <c r="L890" s="65" t="str">
        <f>IFERROR(__xludf.DUMMYFUNCTION("""COMPUTED_VALUE"""),"CON RECAUDO")</f>
        <v>CON RECAUDO</v>
      </c>
      <c r="M890" s="65" t="str">
        <f>IFERROR(__xludf.DUMMYFUNCTION("""COMPUTED_VALUE"""),"PICHINCHA")</f>
        <v>PICHINCHA</v>
      </c>
      <c r="N890" s="65" t="str">
        <f>IFERROR(__xludf.DUMMYFUNCTION("""COMPUTED_VALUE"""),"QUITO")</f>
        <v>QUITO</v>
      </c>
      <c r="O890" s="65" t="str">
        <f>IFERROR(__xludf.DUMMYFUNCTION("""COMPUTED_VALUE"""),"Urbanización vencedores del pichincha calle J lote 393 La biloxi -")</f>
        <v>Urbanización vencedores del pichincha calle J lote 393 La biloxi -</v>
      </c>
      <c r="P890" s="65"/>
      <c r="Q890" s="65" t="str">
        <f>IFERROR(__xludf.DUMMYFUNCTION("""COMPUTED_VALUE"""),"GINTRACOM")</f>
        <v>GINTRACOM</v>
      </c>
      <c r="R890" s="65">
        <f>IFERROR(__xludf.DUMMYFUNCTION("""COMPUTED_VALUE"""),27.0)</f>
        <v>27</v>
      </c>
      <c r="S890" s="65">
        <f>IFERROR(__xludf.DUMMYFUNCTION("""COMPUTED_VALUE"""),13.17)</f>
        <v>13.17</v>
      </c>
      <c r="T890" s="65">
        <f>IFERROR(__xludf.DUMMYFUNCTION("""COMPUTED_VALUE"""),6.03)</f>
        <v>6.03</v>
      </c>
      <c r="U890" s="65">
        <f>IFERROR(__xludf.DUMMYFUNCTION("""COMPUTED_VALUE"""),0.0)</f>
        <v>0</v>
      </c>
      <c r="V890" s="65">
        <f>IFERROR(__xludf.DUMMYFUNCTION("""COMPUTED_VALUE"""),0.0)</f>
        <v>0</v>
      </c>
      <c r="W890" s="65">
        <f>IFERROR(__xludf.DUMMYFUNCTION("""COMPUTED_VALUE"""),0.0)</f>
        <v>0</v>
      </c>
      <c r="X890" s="65">
        <f>IFERROR(__xludf.DUMMYFUNCTION("""COMPUTED_VALUE"""),2.6)</f>
        <v>2.6</v>
      </c>
      <c r="Y890" s="65">
        <f>IFERROR(__xludf.DUMMYFUNCTION("""COMPUTED_VALUE"""),7.8)</f>
        <v>7.8</v>
      </c>
      <c r="Z890" s="65">
        <f>IFERROR(__xludf.DUMMYFUNCTION("""COMPUTED_VALUE"""),121983.0)</f>
        <v>121983</v>
      </c>
      <c r="AA890" s="65" t="str">
        <f>IFERROR(__xludf.DUMMYFUNCTION("""COMPUTED_VALUE"""),"PROV-CHLLCF")</f>
        <v>PROV-CHLLCF</v>
      </c>
      <c r="AB890" s="65"/>
      <c r="AC890" s="65" t="str">
        <f>IFERROR(__xludf.DUMMYFUNCTION("""COMPUTED_VALUE"""),"CUCHILLO PARA CHEF")</f>
        <v>CUCHILLO PARA CHEF</v>
      </c>
      <c r="AD890" s="65"/>
      <c r="AE890" s="65">
        <f>IFERROR(__xludf.DUMMYFUNCTION("""COMPUTED_VALUE"""),3.0)</f>
        <v>3</v>
      </c>
      <c r="AF890" s="65"/>
      <c r="AG890" s="65"/>
      <c r="AH890" s="65"/>
      <c r="AI890" s="65"/>
      <c r="AJ890" s="65"/>
      <c r="AK890" s="65"/>
      <c r="AL890" s="65"/>
      <c r="AM890" s="65"/>
      <c r="AN890" s="65" t="str">
        <f>IFERROR(__xludf.DUMMYFUNCTION("""COMPUTED_VALUE"""),"15:15")</f>
        <v>15:15</v>
      </c>
      <c r="AO890" s="65" t="str">
        <f>IFERROR(__xludf.DUMMYFUNCTION("""COMPUTED_VALUE"""),"13-02-2026")</f>
        <v>13-02-2026</v>
      </c>
      <c r="AP890" s="65" t="str">
        <f>IFERROR(__xludf.DUMMYFUNCTION("""COMPUTED_VALUE"""),"ENTREGADA GINTRACOM")</f>
        <v>ENTREGADA GINTRACOM</v>
      </c>
      <c r="AQ890" s="65" t="str">
        <f>IFERROR(__xludf.DUMMYFUNCTION("""COMPUTED_VALUE"""),"ENTREGADA GINTRACOM")</f>
        <v>ENTREGADA GINTRACOM</v>
      </c>
      <c r="AR890" s="65"/>
      <c r="AS890" s="65"/>
      <c r="AT890" s="65" t="str">
        <f>IFERROR(__xludf.DUMMYFUNCTION("""COMPUTED_VALUE"""),"SHOPIFY")</f>
        <v>SHOPIFY</v>
      </c>
      <c r="AU890" s="65" t="str">
        <f>IFERROR(__xludf.DUMMYFUNCTION("""COMPUTED_VALUE"""),"IMPORTEX EC")</f>
        <v>IMPORTEX EC</v>
      </c>
      <c r="AV890" s="65" t="str">
        <f>IFERROR(__xludf.DUMMYFUNCTION("""COMPUTED_VALUE"""),"6485486960684")</f>
        <v>6485486960684</v>
      </c>
      <c r="AW890" s="65">
        <f>IFERROR(__xludf.DUMMYFUNCTION("""COMPUTED_VALUE"""),5940.0)</f>
        <v>5940</v>
      </c>
      <c r="AX890" s="65"/>
      <c r="AY890" s="65" t="str">
        <f>IFERROR(__xludf.DUMMYFUNCTION("""COMPUTED_VALUE"""),"11/02/2026")</f>
        <v>11/02/2026</v>
      </c>
      <c r="AZ890" s="65"/>
      <c r="BA890" s="65"/>
    </row>
    <row r="891">
      <c r="A891" s="65" t="str">
        <f>IFERROR(__xludf.DUMMYFUNCTION("""COMPUTED_VALUE"""),"27-03-2026")</f>
        <v>27-03-2026</v>
      </c>
      <c r="B891" s="65">
        <f>IFERROR(__xludf.DUMMYFUNCTION("""COMPUTED_VALUE"""),4458112.0)</f>
        <v>4458112</v>
      </c>
      <c r="C891" s="65" t="str">
        <f>IFERROR(__xludf.DUMMYFUNCTION("""COMPUTED_VALUE"""),"20:05")</f>
        <v>20:05</v>
      </c>
      <c r="D891" s="65" t="str">
        <f>IFERROR(__xludf.DUMMYFUNCTION("""COMPUTED_VALUE"""),"09-02-2026")</f>
        <v>09-02-2026</v>
      </c>
      <c r="E891" s="65" t="str">
        <f>IFERROR(__xludf.DUMMYFUNCTION("""COMPUTED_VALUE"""),"Wilton Ramon")</f>
        <v>Wilton Ramon</v>
      </c>
      <c r="F891" s="65" t="str">
        <f>IFERROR(__xludf.DUMMYFUNCTION("""COMPUTED_VALUE"""),"990887599")</f>
        <v>990887599</v>
      </c>
      <c r="G891" s="65"/>
      <c r="H891" s="65"/>
      <c r="I891" s="65"/>
      <c r="J891" s="65" t="str">
        <f>IFERROR(__xludf.DUMMYFUNCTION("""COMPUTED_VALUE"""),"D001315140")</f>
        <v>D001315140</v>
      </c>
      <c r="K891" s="65" t="str">
        <f>IFERROR(__xludf.DUMMYFUNCTION("""COMPUTED_VALUE"""),"DEVOLUCION")</f>
        <v>DEVOLUCION</v>
      </c>
      <c r="L891" s="65" t="str">
        <f>IFERROR(__xludf.DUMMYFUNCTION("""COMPUTED_VALUE"""),"CON RECAUDO")</f>
        <v>CON RECAUDO</v>
      </c>
      <c r="M891" s="65" t="str">
        <f>IFERROR(__xludf.DUMMYFUNCTION("""COMPUTED_VALUE"""),"MANABI")</f>
        <v>MANABI</v>
      </c>
      <c r="N891" s="65" t="str">
        <f>IFERROR(__xludf.DUMMYFUNCTION("""COMPUTED_VALUE"""),"MANTA")</f>
        <v>MANTA</v>
      </c>
      <c r="O891" s="65" t="str">
        <f>IFERROR(__xludf.DUMMYFUNCTION("""COMPUTED_VALUE"""),"Av. 22 Y calle 16 no 1608")</f>
        <v>Av. 22 Y calle 16 no 1608</v>
      </c>
      <c r="P891" s="65"/>
      <c r="Q891" s="65" t="str">
        <f>IFERROR(__xludf.DUMMYFUNCTION("""COMPUTED_VALUE"""),"GINTRACOM")</f>
        <v>GINTRACOM</v>
      </c>
      <c r="R891" s="65">
        <f>IFERROR(__xludf.DUMMYFUNCTION("""COMPUTED_VALUE"""),22.0)</f>
        <v>22</v>
      </c>
      <c r="S891" s="65"/>
      <c r="T891" s="65">
        <f>IFERROR(__xludf.DUMMYFUNCTION("""COMPUTED_VALUE"""),5.84)</f>
        <v>5.84</v>
      </c>
      <c r="U891" s="65">
        <f>IFERROR(__xludf.DUMMYFUNCTION("""COMPUTED_VALUE"""),0.0)</f>
        <v>0</v>
      </c>
      <c r="V891" s="65">
        <f>IFERROR(__xludf.DUMMYFUNCTION("""COMPUTED_VALUE"""),0.0)</f>
        <v>0</v>
      </c>
      <c r="W891" s="65">
        <f>IFERROR(__xludf.DUMMYFUNCTION("""COMPUTED_VALUE"""),0.0)</f>
        <v>0</v>
      </c>
      <c r="X891" s="65">
        <f>IFERROR(__xludf.DUMMYFUNCTION("""COMPUTED_VALUE"""),2.6)</f>
        <v>2.6</v>
      </c>
      <c r="Y891" s="65">
        <f>IFERROR(__xludf.DUMMYFUNCTION("""COMPUTED_VALUE"""),5.2)</f>
        <v>5.2</v>
      </c>
      <c r="Z891" s="65">
        <f>IFERROR(__xludf.DUMMYFUNCTION("""COMPUTED_VALUE"""),121983.0)</f>
        <v>121983</v>
      </c>
      <c r="AA891" s="65" t="str">
        <f>IFERROR(__xludf.DUMMYFUNCTION("""COMPUTED_VALUE"""),"PROV-CHLLCF")</f>
        <v>PROV-CHLLCF</v>
      </c>
      <c r="AB891" s="65"/>
      <c r="AC891" s="65" t="str">
        <f>IFERROR(__xludf.DUMMYFUNCTION("""COMPUTED_VALUE"""),"CUCHILLO PARA CHEF")</f>
        <v>CUCHILLO PARA CHEF</v>
      </c>
      <c r="AD891" s="65"/>
      <c r="AE891" s="65">
        <f>IFERROR(__xludf.DUMMYFUNCTION("""COMPUTED_VALUE"""),2.0)</f>
        <v>2</v>
      </c>
      <c r="AF891" s="65" t="str">
        <f>IFERROR(__xludf.DUMMYFUNCTION("""COMPUTED_VALUE"""),"DESTINATARIO NO CONTESTA LLAMADAS NI WHATSAPP")</f>
        <v>DESTINATARIO NO CONTESTA LLAMADAS NI WHATSAPP</v>
      </c>
      <c r="AG891" s="65" t="str">
        <f>IFERROR(__xludf.DUMMYFUNCTION("""COMPUTED_VALUE"""),"NO")</f>
        <v>NO</v>
      </c>
      <c r="AH891" s="65" t="str">
        <f>IFERROR(__xludf.DUMMYFUNCTION("""COMPUTED_VALUE"""),"09:00")</f>
        <v>09:00</v>
      </c>
      <c r="AI891" s="65" t="str">
        <f>IFERROR(__xludf.DUMMYFUNCTION("""COMPUTED_VALUE"""),"20-02-2026")</f>
        <v>20-02-2026</v>
      </c>
      <c r="AJ891" s="65"/>
      <c r="AK891" s="65"/>
      <c r="AL891" s="65"/>
      <c r="AM891" s="65"/>
      <c r="AN891" s="65" t="str">
        <f>IFERROR(__xludf.DUMMYFUNCTION("""COMPUTED_VALUE"""),"01:37")</f>
        <v>01:37</v>
      </c>
      <c r="AO891" s="65" t="str">
        <f>IFERROR(__xludf.DUMMYFUNCTION("""COMPUTED_VALUE"""),"09-03-2026")</f>
        <v>09-03-2026</v>
      </c>
      <c r="AP891" s="65" t="str">
        <f>IFERROR(__xludf.DUMMYFUNCTION("""COMPUTED_VALUE"""),"DEVOLUCIÓN ENTREGADA A ORIGEN")</f>
        <v>DEVOLUCIÓN ENTREGADA A ORIGEN</v>
      </c>
      <c r="AQ891" s="65" t="str">
        <f>IFERROR(__xludf.DUMMYFUNCTION("""COMPUTED_VALUE"""),"DEVOLUCIÓN ENTREGADA A ORIGEN")</f>
        <v>DEVOLUCIÓN ENTREGADA A ORIGEN</v>
      </c>
      <c r="AR891" s="65"/>
      <c r="AS891" s="65"/>
      <c r="AT891" s="65"/>
      <c r="AU891" s="65"/>
      <c r="AV891" s="65"/>
      <c r="AW891" s="65"/>
      <c r="AX891" s="65"/>
      <c r="AY891" s="65" t="str">
        <f>IFERROR(__xludf.DUMMYFUNCTION("""COMPUTED_VALUE"""),"10/02/2026")</f>
        <v>10/02/2026</v>
      </c>
      <c r="AZ891" s="65"/>
      <c r="BA891" s="65"/>
    </row>
    <row r="892">
      <c r="A892" s="65" t="str">
        <f>IFERROR(__xludf.DUMMYFUNCTION("""COMPUTED_VALUE"""),"27-03-2026")</f>
        <v>27-03-2026</v>
      </c>
      <c r="B892" s="65">
        <f>IFERROR(__xludf.DUMMYFUNCTION("""COMPUTED_VALUE"""),4458057.0)</f>
        <v>4458057</v>
      </c>
      <c r="C892" s="65" t="str">
        <f>IFERROR(__xludf.DUMMYFUNCTION("""COMPUTED_VALUE"""),"19:58")</f>
        <v>19:58</v>
      </c>
      <c r="D892" s="65" t="str">
        <f>IFERROR(__xludf.DUMMYFUNCTION("""COMPUTED_VALUE"""),"09-02-2026")</f>
        <v>09-02-2026</v>
      </c>
      <c r="E892" s="65" t="str">
        <f>IFERROR(__xludf.DUMMYFUNCTION("""COMPUTED_VALUE"""),"Carlos Yerovi")</f>
        <v>Carlos Yerovi</v>
      </c>
      <c r="F892" s="65" t="str">
        <f>IFERROR(__xludf.DUMMYFUNCTION("""COMPUTED_VALUE"""),"999977167")</f>
        <v>999977167</v>
      </c>
      <c r="G892" s="65"/>
      <c r="H892" s="65"/>
      <c r="I892" s="65"/>
      <c r="J892" s="65" t="str">
        <f>IFERROR(__xludf.DUMMYFUNCTION("""COMPUTED_VALUE"""),"187033453")</f>
        <v>187033453</v>
      </c>
      <c r="K892" s="65" t="str">
        <f>IFERROR(__xludf.DUMMYFUNCTION("""COMPUTED_VALUE"""),"ENTREGADO")</f>
        <v>ENTREGADO</v>
      </c>
      <c r="L892" s="65" t="str">
        <f>IFERROR(__xludf.DUMMYFUNCTION("""COMPUTED_VALUE"""),"CON RECAUDO")</f>
        <v>CON RECAUDO</v>
      </c>
      <c r="M892" s="65" t="str">
        <f>IFERROR(__xludf.DUMMYFUNCTION("""COMPUTED_VALUE"""),"PASTAZA")</f>
        <v>PASTAZA</v>
      </c>
      <c r="N892" s="65" t="str">
        <f>IFERROR(__xludf.DUMMYFUNCTION("""COMPUTED_VALUE"""),"PUYO")</f>
        <v>PUYO</v>
      </c>
      <c r="O892" s="65" t="str">
        <f>IFERROR(__xludf.DUMMYFUNCTION("""COMPUTED_VALUE"""),"Calles Galápagos y los Rios Ciudadela del chofer")</f>
        <v>Calles Galápagos y los Rios Ciudadela del chofer</v>
      </c>
      <c r="P892" s="65"/>
      <c r="Q892" s="65" t="str">
        <f>IFERROR(__xludf.DUMMYFUNCTION("""COMPUTED_VALUE"""),"SERVIENTREGA")</f>
        <v>SERVIENTREGA</v>
      </c>
      <c r="R892" s="65">
        <f>IFERROR(__xludf.DUMMYFUNCTION("""COMPUTED_VALUE"""),27.0)</f>
        <v>27</v>
      </c>
      <c r="S892" s="65">
        <f>IFERROR(__xludf.DUMMYFUNCTION("""COMPUTED_VALUE"""),11.43)</f>
        <v>11.43</v>
      </c>
      <c r="T892" s="65">
        <f>IFERROR(__xludf.DUMMYFUNCTION("""COMPUTED_VALUE"""),7.77)</f>
        <v>7.77</v>
      </c>
      <c r="U892" s="65">
        <f>IFERROR(__xludf.DUMMYFUNCTION("""COMPUTED_VALUE"""),0.0)</f>
        <v>0</v>
      </c>
      <c r="V892" s="65">
        <f>IFERROR(__xludf.DUMMYFUNCTION("""COMPUTED_VALUE"""),0.0)</f>
        <v>0</v>
      </c>
      <c r="W892" s="65">
        <f>IFERROR(__xludf.DUMMYFUNCTION("""COMPUTED_VALUE"""),0.0)</f>
        <v>0</v>
      </c>
      <c r="X892" s="65">
        <f>IFERROR(__xludf.DUMMYFUNCTION("""COMPUTED_VALUE"""),2.6)</f>
        <v>2.6</v>
      </c>
      <c r="Y892" s="65">
        <f>IFERROR(__xludf.DUMMYFUNCTION("""COMPUTED_VALUE"""),7.8)</f>
        <v>7.8</v>
      </c>
      <c r="Z892" s="65">
        <f>IFERROR(__xludf.DUMMYFUNCTION("""COMPUTED_VALUE"""),121983.0)</f>
        <v>121983</v>
      </c>
      <c r="AA892" s="65" t="str">
        <f>IFERROR(__xludf.DUMMYFUNCTION("""COMPUTED_VALUE"""),"PROV-CHLLCF")</f>
        <v>PROV-CHLLCF</v>
      </c>
      <c r="AB892" s="65"/>
      <c r="AC892" s="65" t="str">
        <f>IFERROR(__xludf.DUMMYFUNCTION("""COMPUTED_VALUE"""),"CUCHILLO PARA CHEF")</f>
        <v>CUCHILLO PARA CHEF</v>
      </c>
      <c r="AD892" s="65"/>
      <c r="AE892" s="65">
        <f>IFERROR(__xludf.DUMMYFUNCTION("""COMPUTED_VALUE"""),3.0)</f>
        <v>3</v>
      </c>
      <c r="AF892" s="65" t="str">
        <f>IFERROR(__xludf.DUMMYFUNCTION("""COMPUTED_VALUE"""),"NO HAY QUIEN RECIBA")</f>
        <v>NO HAY QUIEN RECIBA</v>
      </c>
      <c r="AG892" s="65" t="str">
        <f>IFERROR(__xludf.DUMMYFUNCTION("""COMPUTED_VALUE"""),"NO")</f>
        <v>NO</v>
      </c>
      <c r="AH892" s="65" t="str">
        <f>IFERROR(__xludf.DUMMYFUNCTION("""COMPUTED_VALUE"""),"18:20")</f>
        <v>18:20</v>
      </c>
      <c r="AI892" s="65" t="str">
        <f>IFERROR(__xludf.DUMMYFUNCTION("""COMPUTED_VALUE"""),"11-02-2026")</f>
        <v>11-02-2026</v>
      </c>
      <c r="AJ892" s="65"/>
      <c r="AK892" s="65"/>
      <c r="AL892" s="65"/>
      <c r="AM892" s="65"/>
      <c r="AN892" s="65" t="str">
        <f>IFERROR(__xludf.DUMMYFUNCTION("""COMPUTED_VALUE"""),"12:28")</f>
        <v>12:28</v>
      </c>
      <c r="AO892" s="65" t="str">
        <f>IFERROR(__xludf.DUMMYFUNCTION("""COMPUTED_VALUE"""),"27-02-2026")</f>
        <v>27-02-2026</v>
      </c>
      <c r="AP892" s="65" t="str">
        <f>IFERROR(__xludf.DUMMYFUNCTION("""COMPUTED_VALUE"""),"ENTREGA DIGITALIZADA EN CENTRO LOGISTICO")</f>
        <v>ENTREGA DIGITALIZADA EN CENTRO LOGISTICO</v>
      </c>
      <c r="AQ892" s="65" t="str">
        <f>IFERROR(__xludf.DUMMYFUNCTION("""COMPUTED_VALUE"""),"CARLOS YEROVI")</f>
        <v>CARLOS YEROVI</v>
      </c>
      <c r="AR892" s="65"/>
      <c r="AS892" s="65"/>
      <c r="AT892" s="65"/>
      <c r="AU892" s="65"/>
      <c r="AV892" s="65"/>
      <c r="AW892" s="65"/>
      <c r="AX892" s="65"/>
      <c r="AY892" s="65" t="str">
        <f>IFERROR(__xludf.DUMMYFUNCTION("""COMPUTED_VALUE"""),"10/02/2026")</f>
        <v>10/02/2026</v>
      </c>
      <c r="AZ892" s="65"/>
      <c r="BA892" s="65"/>
    </row>
    <row r="893">
      <c r="A893" s="65" t="str">
        <f>IFERROR(__xludf.DUMMYFUNCTION("""COMPUTED_VALUE"""),"27-03-2026")</f>
        <v>27-03-2026</v>
      </c>
      <c r="B893" s="65">
        <f>IFERROR(__xludf.DUMMYFUNCTION("""COMPUTED_VALUE"""),4457592.0)</f>
        <v>4457592</v>
      </c>
      <c r="C893" s="65" t="str">
        <f>IFERROR(__xludf.DUMMYFUNCTION("""COMPUTED_VALUE"""),"19:01")</f>
        <v>19:01</v>
      </c>
      <c r="D893" s="65" t="str">
        <f>IFERROR(__xludf.DUMMYFUNCTION("""COMPUTED_VALUE"""),"09-02-2026")</f>
        <v>09-02-2026</v>
      </c>
      <c r="E893" s="65" t="str">
        <f>IFERROR(__xludf.DUMMYFUNCTION("""COMPUTED_VALUE"""),"Verónica Camacho")</f>
        <v>Verónica Camacho</v>
      </c>
      <c r="F893" s="65" t="str">
        <f>IFERROR(__xludf.DUMMYFUNCTION("""COMPUTED_VALUE"""),"987667518")</f>
        <v>987667518</v>
      </c>
      <c r="G893" s="65" t="str">
        <f>IFERROR(__xludf.DUMMYFUNCTION("""COMPUTED_VALUE"""),"veronica.a.camacho.e@hotmail.com")</f>
        <v>veronica.a.camacho.e@hotmail.com</v>
      </c>
      <c r="H893" s="65"/>
      <c r="I893" s="65"/>
      <c r="J893" s="65"/>
      <c r="K893" s="65" t="str">
        <f>IFERROR(__xludf.DUMMYFUNCTION("""COMPUTED_VALUE"""),"PENDIENTE CONFIRMACION")</f>
        <v>PENDIENTE CONFIRMACION</v>
      </c>
      <c r="L893" s="65" t="str">
        <f>IFERROR(__xludf.DUMMYFUNCTION("""COMPUTED_VALUE"""),"CON RECAUDO")</f>
        <v>CON RECAUDO</v>
      </c>
      <c r="M893" s="65" t="str">
        <f>IFERROR(__xludf.DUMMYFUNCTION("""COMPUTED_VALUE"""),"PICHINCHA")</f>
        <v>PICHINCHA</v>
      </c>
      <c r="N893" s="65" t="str">
        <f>IFERROR(__xludf.DUMMYFUNCTION("""COMPUTED_VALUE"""),"QUITO")</f>
        <v>QUITO</v>
      </c>
      <c r="O893" s="65" t="str">
        <f>IFERROR(__xludf.DUMMYFUNCTION("""COMPUTED_VALUE"""),"Cárcelen Cárcelen a diego de Vázquez y Rafael carvajal conjunto estrella del norte -")</f>
        <v>Cárcelen Cárcelen a diego de Vázquez y Rafael carvajal conjunto estrella del norte -</v>
      </c>
      <c r="P893" s="65"/>
      <c r="Q893" s="65" t="str">
        <f>IFERROR(__xludf.DUMMYFUNCTION("""COMPUTED_VALUE"""),"GINTRACOM")</f>
        <v>GINTRACOM</v>
      </c>
      <c r="R893" s="65">
        <f>IFERROR(__xludf.DUMMYFUNCTION("""COMPUTED_VALUE"""),27.0)</f>
        <v>27</v>
      </c>
      <c r="S893" s="65"/>
      <c r="T893" s="65">
        <f>IFERROR(__xludf.DUMMYFUNCTION("""COMPUTED_VALUE"""),6.03)</f>
        <v>6.03</v>
      </c>
      <c r="U893" s="65">
        <f>IFERROR(__xludf.DUMMYFUNCTION("""COMPUTED_VALUE"""),0.0)</f>
        <v>0</v>
      </c>
      <c r="V893" s="65">
        <f>IFERROR(__xludf.DUMMYFUNCTION("""COMPUTED_VALUE"""),0.0)</f>
        <v>0</v>
      </c>
      <c r="W893" s="65">
        <f>IFERROR(__xludf.DUMMYFUNCTION("""COMPUTED_VALUE"""),0.0)</f>
        <v>0</v>
      </c>
      <c r="X893" s="65">
        <f>IFERROR(__xludf.DUMMYFUNCTION("""COMPUTED_VALUE"""),2.6)</f>
        <v>2.6</v>
      </c>
      <c r="Y893" s="65">
        <f>IFERROR(__xludf.DUMMYFUNCTION("""COMPUTED_VALUE"""),7.8)</f>
        <v>7.8</v>
      </c>
      <c r="Z893" s="65">
        <f>IFERROR(__xludf.DUMMYFUNCTION("""COMPUTED_VALUE"""),121983.0)</f>
        <v>121983</v>
      </c>
      <c r="AA893" s="65" t="str">
        <f>IFERROR(__xludf.DUMMYFUNCTION("""COMPUTED_VALUE"""),"PROV-CHLLCF")</f>
        <v>PROV-CHLLCF</v>
      </c>
      <c r="AB893" s="65"/>
      <c r="AC893" s="65" t="str">
        <f>IFERROR(__xludf.DUMMYFUNCTION("""COMPUTED_VALUE"""),"CUCHILLO PARA CHEF")</f>
        <v>CUCHILLO PARA CHEF</v>
      </c>
      <c r="AD893" s="65"/>
      <c r="AE893" s="65">
        <f>IFERROR(__xludf.DUMMYFUNCTION("""COMPUTED_VALUE"""),3.0)</f>
        <v>3</v>
      </c>
      <c r="AF893" s="65"/>
      <c r="AG893" s="65"/>
      <c r="AH893" s="65"/>
      <c r="AI893" s="65"/>
      <c r="AJ893" s="65"/>
      <c r="AK893" s="65"/>
      <c r="AL893" s="65"/>
      <c r="AM893" s="65"/>
      <c r="AN893" s="65"/>
      <c r="AO893" s="65"/>
      <c r="AP893" s="65"/>
      <c r="AQ893" s="65"/>
      <c r="AR893" s="65"/>
      <c r="AS893" s="65"/>
      <c r="AT893" s="65" t="str">
        <f>IFERROR(__xludf.DUMMYFUNCTION("""COMPUTED_VALUE"""),"SHOPIFY")</f>
        <v>SHOPIFY</v>
      </c>
      <c r="AU893" s="65" t="str">
        <f>IFERROR(__xludf.DUMMYFUNCTION("""COMPUTED_VALUE"""),"IMPORTEX EC")</f>
        <v>IMPORTEX EC</v>
      </c>
      <c r="AV893" s="65" t="str">
        <f>IFERROR(__xludf.DUMMYFUNCTION("""COMPUTED_VALUE"""),"6484862205996")</f>
        <v>6484862205996</v>
      </c>
      <c r="AW893" s="65">
        <f>IFERROR(__xludf.DUMMYFUNCTION("""COMPUTED_VALUE"""),5931.0)</f>
        <v>5931</v>
      </c>
      <c r="AX893" s="65"/>
      <c r="AY893" s="65"/>
      <c r="AZ893" s="65"/>
      <c r="BA893" s="65"/>
    </row>
    <row r="894">
      <c r="A894" s="65" t="str">
        <f>IFERROR(__xludf.DUMMYFUNCTION("""COMPUTED_VALUE"""),"27-03-2026")</f>
        <v>27-03-2026</v>
      </c>
      <c r="B894" s="65">
        <f>IFERROR(__xludf.DUMMYFUNCTION("""COMPUTED_VALUE"""),4457174.0)</f>
        <v>4457174</v>
      </c>
      <c r="C894" s="65" t="str">
        <f>IFERROR(__xludf.DUMMYFUNCTION("""COMPUTED_VALUE"""),"18:15")</f>
        <v>18:15</v>
      </c>
      <c r="D894" s="65" t="str">
        <f>IFERROR(__xludf.DUMMYFUNCTION("""COMPUTED_VALUE"""),"09-02-2026")</f>
        <v>09-02-2026</v>
      </c>
      <c r="E894" s="65" t="str">
        <f>IFERROR(__xludf.DUMMYFUNCTION("""COMPUTED_VALUE"""),"Lucia Ramos Ramos")</f>
        <v>Lucia Ramos Ramos</v>
      </c>
      <c r="F894" s="65" t="str">
        <f>IFERROR(__xludf.DUMMYFUNCTION("""COMPUTED_VALUE"""),"958648592")</f>
        <v>958648592</v>
      </c>
      <c r="G894" s="65" t="str">
        <f>IFERROR(__xludf.DUMMYFUNCTION("""COMPUTED_VALUE"""),"veronicaramos555@hotmail.com")</f>
        <v>veronicaramos555@hotmail.com</v>
      </c>
      <c r="H894" s="65"/>
      <c r="I894" s="65"/>
      <c r="J894" s="65" t="str">
        <f>IFERROR(__xludf.DUMMYFUNCTION("""COMPUTED_VALUE"""),"D001315141")</f>
        <v>D001315141</v>
      </c>
      <c r="K894" s="65" t="str">
        <f>IFERROR(__xludf.DUMMYFUNCTION("""COMPUTED_VALUE"""),"DEVOLUCION")</f>
        <v>DEVOLUCION</v>
      </c>
      <c r="L894" s="65" t="str">
        <f>IFERROR(__xludf.DUMMYFUNCTION("""COMPUTED_VALUE"""),"CON RECAUDO")</f>
        <v>CON RECAUDO</v>
      </c>
      <c r="M894" s="65" t="str">
        <f>IFERROR(__xludf.DUMMYFUNCTION("""COMPUTED_VALUE"""),"PICHINCHA")</f>
        <v>PICHINCHA</v>
      </c>
      <c r="N894" s="65" t="str">
        <f>IFERROR(__xludf.DUMMYFUNCTION("""COMPUTED_VALUE"""),"LA MERCED")</f>
        <v>LA MERCED</v>
      </c>
      <c r="O894" s="65" t="str">
        <f>IFERROR(__xludf.DUMMYFUNCTION("""COMPUTED_VALUE"""),"Pasaje escudero, y Av. 4 de mayo parque central parroquia La Merced Junto al subcentro de salud de la Merced -")</f>
        <v>Pasaje escudero, y Av. 4 de mayo parque central parroquia La Merced Junto al subcentro de salud de la Merced -</v>
      </c>
      <c r="P894" s="65"/>
      <c r="Q894" s="65" t="str">
        <f>IFERROR(__xludf.DUMMYFUNCTION("""COMPUTED_VALUE"""),"GINTRACOM")</f>
        <v>GINTRACOM</v>
      </c>
      <c r="R894" s="65">
        <f>IFERROR(__xludf.DUMMYFUNCTION("""COMPUTED_VALUE"""),30.0)</f>
        <v>30</v>
      </c>
      <c r="S894" s="65"/>
      <c r="T894" s="65">
        <f>IFERROR(__xludf.DUMMYFUNCTION("""COMPUTED_VALUE"""),6.16)</f>
        <v>6.16</v>
      </c>
      <c r="U894" s="65">
        <f>IFERROR(__xludf.DUMMYFUNCTION("""COMPUTED_VALUE"""),0.0)</f>
        <v>0</v>
      </c>
      <c r="V894" s="65">
        <f>IFERROR(__xludf.DUMMYFUNCTION("""COMPUTED_VALUE"""),0.0)</f>
        <v>0</v>
      </c>
      <c r="W894" s="65">
        <f>IFERROR(__xludf.DUMMYFUNCTION("""COMPUTED_VALUE"""),0.0)</f>
        <v>0</v>
      </c>
      <c r="X894" s="65">
        <f>IFERROR(__xludf.DUMMYFUNCTION("""COMPUTED_VALUE"""),2.4)</f>
        <v>2.4</v>
      </c>
      <c r="Y894" s="65">
        <f>IFERROR(__xludf.DUMMYFUNCTION("""COMPUTED_VALUE"""),7.2)</f>
        <v>7.2</v>
      </c>
      <c r="Z894" s="65">
        <f>IFERROR(__xludf.DUMMYFUNCTION("""COMPUTED_VALUE"""),120732.0)</f>
        <v>120732</v>
      </c>
      <c r="AA894" s="65" t="str">
        <f>IFERROR(__xludf.DUMMYFUNCTION("""COMPUTED_VALUE"""),"PROV-LMPVT")</f>
        <v>PROV-LMPVT</v>
      </c>
      <c r="AB894" s="65"/>
      <c r="AC894" s="65" t="str">
        <f>IFERROR(__xludf.DUMMYFUNCTION("""COMPUTED_VALUE"""),"LIMPIADOR DE PARABRISAS Y VENTANAS")</f>
        <v>LIMPIADOR DE PARABRISAS Y VENTANAS</v>
      </c>
      <c r="AD894" s="65"/>
      <c r="AE894" s="65">
        <f>IFERROR(__xludf.DUMMYFUNCTION("""COMPUTED_VALUE"""),3.0)</f>
        <v>3</v>
      </c>
      <c r="AF894" s="65" t="str">
        <f>IFERROR(__xludf.DUMMYFUNCTION("""COMPUTED_VALUE"""),"DESTINATARIO NO CONTESTA LLAMADAS NI WHATSAPP")</f>
        <v>DESTINATARIO NO CONTESTA LLAMADAS NI WHATSAPP</v>
      </c>
      <c r="AG894" s="65" t="str">
        <f>IFERROR(__xludf.DUMMYFUNCTION("""COMPUTED_VALUE"""),"NO")</f>
        <v>NO</v>
      </c>
      <c r="AH894" s="65" t="str">
        <f>IFERROR(__xludf.DUMMYFUNCTION("""COMPUTED_VALUE"""),"09:00")</f>
        <v>09:00</v>
      </c>
      <c r="AI894" s="65" t="str">
        <f>IFERROR(__xludf.DUMMYFUNCTION("""COMPUTED_VALUE"""),"20-02-2026")</f>
        <v>20-02-2026</v>
      </c>
      <c r="AJ894" s="65"/>
      <c r="AK894" s="65"/>
      <c r="AL894" s="65"/>
      <c r="AM894" s="65"/>
      <c r="AN894" s="65" t="str">
        <f>IFERROR(__xludf.DUMMYFUNCTION("""COMPUTED_VALUE"""),"01:35")</f>
        <v>01:35</v>
      </c>
      <c r="AO894" s="65" t="str">
        <f>IFERROR(__xludf.DUMMYFUNCTION("""COMPUTED_VALUE"""),"06-03-2026")</f>
        <v>06-03-2026</v>
      </c>
      <c r="AP894" s="65" t="str">
        <f>IFERROR(__xludf.DUMMYFUNCTION("""COMPUTED_VALUE"""),"DEVOLUCIÓN ENTREGADA A ORIGEN")</f>
        <v>DEVOLUCIÓN ENTREGADA A ORIGEN</v>
      </c>
      <c r="AQ894" s="65" t="str">
        <f>IFERROR(__xludf.DUMMYFUNCTION("""COMPUTED_VALUE"""),"DEVOLUCIÓN ENTREGADA A ORIGEN")</f>
        <v>DEVOLUCIÓN ENTREGADA A ORIGEN</v>
      </c>
      <c r="AR894" s="65"/>
      <c r="AS894" s="65"/>
      <c r="AT894" s="65" t="str">
        <f>IFERROR(__xludf.DUMMYFUNCTION("""COMPUTED_VALUE"""),"SHOPIFY")</f>
        <v>SHOPIFY</v>
      </c>
      <c r="AU894" s="65" t="str">
        <f>IFERROR(__xludf.DUMMYFUNCTION("""COMPUTED_VALUE"""),"IMPORTEX EC")</f>
        <v>IMPORTEX EC</v>
      </c>
      <c r="AV894" s="65" t="str">
        <f>IFERROR(__xludf.DUMMYFUNCTION("""COMPUTED_VALUE"""),"6484524302380")</f>
        <v>6484524302380</v>
      </c>
      <c r="AW894" s="65">
        <f>IFERROR(__xludf.DUMMYFUNCTION("""COMPUTED_VALUE"""),5923.0)</f>
        <v>5923</v>
      </c>
      <c r="AX894" s="65"/>
      <c r="AY894" s="65" t="str">
        <f>IFERROR(__xludf.DUMMYFUNCTION("""COMPUTED_VALUE"""),"10/02/2026")</f>
        <v>10/02/2026</v>
      </c>
      <c r="AZ894" s="65"/>
      <c r="BA894" s="65"/>
    </row>
    <row r="895">
      <c r="A895" s="65" t="str">
        <f>IFERROR(__xludf.DUMMYFUNCTION("""COMPUTED_VALUE"""),"27-03-2026")</f>
        <v>27-03-2026</v>
      </c>
      <c r="B895" s="65">
        <f>IFERROR(__xludf.DUMMYFUNCTION("""COMPUTED_VALUE"""),4457045.0)</f>
        <v>4457045</v>
      </c>
      <c r="C895" s="65" t="str">
        <f>IFERROR(__xludf.DUMMYFUNCTION("""COMPUTED_VALUE"""),"18:00")</f>
        <v>18:00</v>
      </c>
      <c r="D895" s="65" t="str">
        <f>IFERROR(__xludf.DUMMYFUNCTION("""COMPUTED_VALUE"""),"09-02-2026")</f>
        <v>09-02-2026</v>
      </c>
      <c r="E895" s="65" t="str">
        <f>IFERROR(__xludf.DUMMYFUNCTION("""COMPUTED_VALUE"""),"Marlene Gonzales")</f>
        <v>Marlene Gonzales</v>
      </c>
      <c r="F895" s="65" t="str">
        <f>IFERROR(__xludf.DUMMYFUNCTION("""COMPUTED_VALUE"""),"997069982")</f>
        <v>997069982</v>
      </c>
      <c r="G895" s="65"/>
      <c r="H895" s="65"/>
      <c r="I895" s="65"/>
      <c r="J895" s="65" t="str">
        <f>IFERROR(__xludf.DUMMYFUNCTION("""COMPUTED_VALUE"""),"187033471")</f>
        <v>187033471</v>
      </c>
      <c r="K895" s="65" t="str">
        <f>IFERROR(__xludf.DUMMYFUNCTION("""COMPUTED_VALUE"""),"ENTREGADO")</f>
        <v>ENTREGADO</v>
      </c>
      <c r="L895" s="65" t="str">
        <f>IFERROR(__xludf.DUMMYFUNCTION("""COMPUTED_VALUE"""),"CON RECAUDO")</f>
        <v>CON RECAUDO</v>
      </c>
      <c r="M895" s="65" t="str">
        <f>IFERROR(__xludf.DUMMYFUNCTION("""COMPUTED_VALUE"""),"PICHINCHA")</f>
        <v>PICHINCHA</v>
      </c>
      <c r="N895" s="65" t="str">
        <f>IFERROR(__xludf.DUMMYFUNCTION("""COMPUTED_VALUE"""),"MACHACHI")</f>
        <v>MACHACHI</v>
      </c>
      <c r="O895" s="65" t="str">
        <f>IFERROR(__xludf.DUMMYFUNCTION("""COMPUTED_VALUE"""),"Machachi Av Pablo Guarderas N7-115 y los Nardos,")</f>
        <v>Machachi Av Pablo Guarderas N7-115 y los Nardos,</v>
      </c>
      <c r="P895" s="65"/>
      <c r="Q895" s="65" t="str">
        <f>IFERROR(__xludf.DUMMYFUNCTION("""COMPUTED_VALUE"""),"SERVIENTREGA")</f>
        <v>SERVIENTREGA</v>
      </c>
      <c r="R895" s="65">
        <f>IFERROR(__xludf.DUMMYFUNCTION("""COMPUTED_VALUE"""),22.0)</f>
        <v>22</v>
      </c>
      <c r="S895" s="65">
        <f>IFERROR(__xludf.DUMMYFUNCTION("""COMPUTED_VALUE"""),10.54)</f>
        <v>10.54</v>
      </c>
      <c r="T895" s="65">
        <f>IFERROR(__xludf.DUMMYFUNCTION("""COMPUTED_VALUE"""),6.26)</f>
        <v>6.26</v>
      </c>
      <c r="U895" s="65">
        <f>IFERROR(__xludf.DUMMYFUNCTION("""COMPUTED_VALUE"""),0.0)</f>
        <v>0</v>
      </c>
      <c r="V895" s="65">
        <f>IFERROR(__xludf.DUMMYFUNCTION("""COMPUTED_VALUE"""),0.0)</f>
        <v>0</v>
      </c>
      <c r="W895" s="65">
        <f>IFERROR(__xludf.DUMMYFUNCTION("""COMPUTED_VALUE"""),0.0)</f>
        <v>0</v>
      </c>
      <c r="X895" s="65">
        <f>IFERROR(__xludf.DUMMYFUNCTION("""COMPUTED_VALUE"""),2.6)</f>
        <v>2.6</v>
      </c>
      <c r="Y895" s="65">
        <f>IFERROR(__xludf.DUMMYFUNCTION("""COMPUTED_VALUE"""),5.2)</f>
        <v>5.2</v>
      </c>
      <c r="Z895" s="65">
        <f>IFERROR(__xludf.DUMMYFUNCTION("""COMPUTED_VALUE"""),121983.0)</f>
        <v>121983</v>
      </c>
      <c r="AA895" s="65" t="str">
        <f>IFERROR(__xludf.DUMMYFUNCTION("""COMPUTED_VALUE"""),"PROV-CHLLCF")</f>
        <v>PROV-CHLLCF</v>
      </c>
      <c r="AB895" s="65"/>
      <c r="AC895" s="65" t="str">
        <f>IFERROR(__xludf.DUMMYFUNCTION("""COMPUTED_VALUE"""),"CUCHILLO PARA CHEF")</f>
        <v>CUCHILLO PARA CHEF</v>
      </c>
      <c r="AD895" s="65"/>
      <c r="AE895" s="65">
        <f>IFERROR(__xludf.DUMMYFUNCTION("""COMPUTED_VALUE"""),2.0)</f>
        <v>2</v>
      </c>
      <c r="AF895" s="65"/>
      <c r="AG895" s="65"/>
      <c r="AH895" s="65"/>
      <c r="AI895" s="65"/>
      <c r="AJ895" s="65"/>
      <c r="AK895" s="65"/>
      <c r="AL895" s="65"/>
      <c r="AM895" s="65"/>
      <c r="AN895" s="65" t="str">
        <f>IFERROR(__xludf.DUMMYFUNCTION("""COMPUTED_VALUE"""),"15:27")</f>
        <v>15:27</v>
      </c>
      <c r="AO895" s="65" t="str">
        <f>IFERROR(__xludf.DUMMYFUNCTION("""COMPUTED_VALUE"""),"21-02-2026")</f>
        <v>21-02-2026</v>
      </c>
      <c r="AP895" s="65" t="str">
        <f>IFERROR(__xludf.DUMMYFUNCTION("""COMPUTED_VALUE"""),"ENTREGA DIGITALIZADA EN CENTRO LOGISTICO")</f>
        <v>ENTREGA DIGITALIZADA EN CENTRO LOGISTICO</v>
      </c>
      <c r="AQ895" s="65" t="str">
        <f>IFERROR(__xludf.DUMMYFUNCTION("""COMPUTED_VALUE"""),"MARLENE GONZALES")</f>
        <v>MARLENE GONZALES</v>
      </c>
      <c r="AR895" s="65"/>
      <c r="AS895" s="65"/>
      <c r="AT895" s="65"/>
      <c r="AU895" s="65"/>
      <c r="AV895" s="65"/>
      <c r="AW895" s="65"/>
      <c r="AX895" s="65"/>
      <c r="AY895" s="65" t="str">
        <f>IFERROR(__xludf.DUMMYFUNCTION("""COMPUTED_VALUE"""),"10/02/2026")</f>
        <v>10/02/2026</v>
      </c>
      <c r="AZ895" s="65"/>
      <c r="BA895" s="65"/>
    </row>
    <row r="896">
      <c r="A896" s="65" t="str">
        <f>IFERROR(__xludf.DUMMYFUNCTION("""COMPUTED_VALUE"""),"27-03-2026")</f>
        <v>27-03-2026</v>
      </c>
      <c r="B896" s="65">
        <f>IFERROR(__xludf.DUMMYFUNCTION("""COMPUTED_VALUE"""),4455728.0)</f>
        <v>4455728</v>
      </c>
      <c r="C896" s="65" t="str">
        <f>IFERROR(__xludf.DUMMYFUNCTION("""COMPUTED_VALUE"""),"16:07")</f>
        <v>16:07</v>
      </c>
      <c r="D896" s="65" t="str">
        <f>IFERROR(__xludf.DUMMYFUNCTION("""COMPUTED_VALUE"""),"09-02-2026")</f>
        <v>09-02-2026</v>
      </c>
      <c r="E896" s="65" t="str">
        <f>IFERROR(__xludf.DUMMYFUNCTION("""COMPUTED_VALUE"""),"Karla Pogo")</f>
        <v>Karla Pogo</v>
      </c>
      <c r="F896" s="65" t="str">
        <f>IFERROR(__xludf.DUMMYFUNCTION("""COMPUTED_VALUE"""),"939344263")</f>
        <v>939344263</v>
      </c>
      <c r="G896" s="65"/>
      <c r="H896" s="65"/>
      <c r="I896" s="65"/>
      <c r="J896" s="65" t="str">
        <f>IFERROR(__xludf.DUMMYFUNCTION("""COMPUTED_VALUE"""),"187033499")</f>
        <v>187033499</v>
      </c>
      <c r="K896" s="65" t="str">
        <f>IFERROR(__xludf.DUMMYFUNCTION("""COMPUTED_VALUE"""),"ENTREGADO")</f>
        <v>ENTREGADO</v>
      </c>
      <c r="L896" s="65" t="str">
        <f>IFERROR(__xludf.DUMMYFUNCTION("""COMPUTED_VALUE"""),"CON RECAUDO")</f>
        <v>CON RECAUDO</v>
      </c>
      <c r="M896" s="65" t="str">
        <f>IFERROR(__xludf.DUMMYFUNCTION("""COMPUTED_VALUE"""),"LOJA")</f>
        <v>LOJA</v>
      </c>
      <c r="N896" s="65" t="str">
        <f>IFERROR(__xludf.DUMMYFUNCTION("""COMPUTED_VALUE"""),"CATACOCHA")</f>
        <v>CATACOCHA</v>
      </c>
      <c r="O896" s="65" t="str">
        <f>IFERROR(__xludf.DUMMYFUNCTION("""COMPUTED_VALUE"""),"RET EN CS  : PALTAS_DOMINGO CELI - DOMINGO CELI S/N Y ADRIANO VALAREZO")</f>
        <v>RET EN CS  : PALTAS_DOMINGO CELI - DOMINGO CELI S/N Y ADRIANO VALAREZO</v>
      </c>
      <c r="P896" s="65"/>
      <c r="Q896" s="65" t="str">
        <f>IFERROR(__xludf.DUMMYFUNCTION("""COMPUTED_VALUE"""),"SERVIENTREGA")</f>
        <v>SERVIENTREGA</v>
      </c>
      <c r="R896" s="65">
        <f>IFERROR(__xludf.DUMMYFUNCTION("""COMPUTED_VALUE"""),22.0)</f>
        <v>22</v>
      </c>
      <c r="S896" s="65">
        <f>IFERROR(__xludf.DUMMYFUNCTION("""COMPUTED_VALUE"""),9.1)</f>
        <v>9.1</v>
      </c>
      <c r="T896" s="65">
        <f>IFERROR(__xludf.DUMMYFUNCTION("""COMPUTED_VALUE"""),7.7)</f>
        <v>7.7</v>
      </c>
      <c r="U896" s="65">
        <f>IFERROR(__xludf.DUMMYFUNCTION("""COMPUTED_VALUE"""),0.0)</f>
        <v>0</v>
      </c>
      <c r="V896" s="65">
        <f>IFERROR(__xludf.DUMMYFUNCTION("""COMPUTED_VALUE"""),0.0)</f>
        <v>0</v>
      </c>
      <c r="W896" s="65">
        <f>IFERROR(__xludf.DUMMYFUNCTION("""COMPUTED_VALUE"""),0.0)</f>
        <v>0</v>
      </c>
      <c r="X896" s="65">
        <f>IFERROR(__xludf.DUMMYFUNCTION("""COMPUTED_VALUE"""),2.6)</f>
        <v>2.6</v>
      </c>
      <c r="Y896" s="65">
        <f>IFERROR(__xludf.DUMMYFUNCTION("""COMPUTED_VALUE"""),5.2)</f>
        <v>5.2</v>
      </c>
      <c r="Z896" s="65">
        <f>IFERROR(__xludf.DUMMYFUNCTION("""COMPUTED_VALUE"""),121983.0)</f>
        <v>121983</v>
      </c>
      <c r="AA896" s="65" t="str">
        <f>IFERROR(__xludf.DUMMYFUNCTION("""COMPUTED_VALUE"""),"PROV-CHLLCF")</f>
        <v>PROV-CHLLCF</v>
      </c>
      <c r="AB896" s="65"/>
      <c r="AC896" s="65" t="str">
        <f>IFERROR(__xludf.DUMMYFUNCTION("""COMPUTED_VALUE"""),"CUCHILLO PARA CHEF")</f>
        <v>CUCHILLO PARA CHEF</v>
      </c>
      <c r="AD896" s="65"/>
      <c r="AE896" s="65">
        <f>IFERROR(__xludf.DUMMYFUNCTION("""COMPUTED_VALUE"""),2.0)</f>
        <v>2</v>
      </c>
      <c r="AF896" s="65"/>
      <c r="AG896" s="65"/>
      <c r="AH896" s="65"/>
      <c r="AI896" s="65"/>
      <c r="AJ896" s="65"/>
      <c r="AK896" s="65"/>
      <c r="AL896" s="65"/>
      <c r="AM896" s="65"/>
      <c r="AN896" s="65" t="str">
        <f>IFERROR(__xludf.DUMMYFUNCTION("""COMPUTED_VALUE"""),"11:38")</f>
        <v>11:38</v>
      </c>
      <c r="AO896" s="65" t="str">
        <f>IFERROR(__xludf.DUMMYFUNCTION("""COMPUTED_VALUE"""),"26-02-2026")</f>
        <v>26-02-2026</v>
      </c>
      <c r="AP896" s="65" t="str">
        <f>IFERROR(__xludf.DUMMYFUNCTION("""COMPUTED_VALUE"""),"ENTREGA DIGITALIZADA EN CENTRO LOGISTICO")</f>
        <v>ENTREGA DIGITALIZADA EN CENTRO LOGISTICO</v>
      </c>
      <c r="AQ896" s="65" t="str">
        <f>IFERROR(__xludf.DUMMYFUNCTION("""COMPUTED_VALUE"""),"KARLA POGOA")</f>
        <v>KARLA POGOA</v>
      </c>
      <c r="AR896" s="65"/>
      <c r="AS896" s="65"/>
      <c r="AT896" s="65"/>
      <c r="AU896" s="65"/>
      <c r="AV896" s="65"/>
      <c r="AW896" s="65"/>
      <c r="AX896" s="65"/>
      <c r="AY896" s="65" t="str">
        <f>IFERROR(__xludf.DUMMYFUNCTION("""COMPUTED_VALUE"""),"10/02/2026")</f>
        <v>10/02/2026</v>
      </c>
      <c r="AZ896" s="65"/>
      <c r="BA896" s="65"/>
    </row>
    <row r="897">
      <c r="A897" s="65" t="str">
        <f>IFERROR(__xludf.DUMMYFUNCTION("""COMPUTED_VALUE"""),"27-03-2026")</f>
        <v>27-03-2026</v>
      </c>
      <c r="B897" s="65">
        <f>IFERROR(__xludf.DUMMYFUNCTION("""COMPUTED_VALUE"""),4455062.0)</f>
        <v>4455062</v>
      </c>
      <c r="C897" s="65" t="str">
        <f>IFERROR(__xludf.DUMMYFUNCTION("""COMPUTED_VALUE"""),"15:23")</f>
        <v>15:23</v>
      </c>
      <c r="D897" s="65" t="str">
        <f>IFERROR(__xludf.DUMMYFUNCTION("""COMPUTED_VALUE"""),"09-02-2026")</f>
        <v>09-02-2026</v>
      </c>
      <c r="E897" s="65" t="str">
        <f>IFERROR(__xludf.DUMMYFUNCTION("""COMPUTED_VALUE"""),"Ramón Pacheco")</f>
        <v>Ramón Pacheco</v>
      </c>
      <c r="F897" s="65" t="str">
        <f>IFERROR(__xludf.DUMMYFUNCTION("""COMPUTED_VALUE"""),"994568229")</f>
        <v>994568229</v>
      </c>
      <c r="G897" s="65"/>
      <c r="H897" s="65"/>
      <c r="I897" s="65"/>
      <c r="J897" s="65"/>
      <c r="K897" s="65" t="str">
        <f>IFERROR(__xludf.DUMMYFUNCTION("""COMPUTED_VALUE"""),"PENDIENTE CONFIRMACION")</f>
        <v>PENDIENTE CONFIRMACION</v>
      </c>
      <c r="L897" s="65" t="str">
        <f>IFERROR(__xludf.DUMMYFUNCTION("""COMPUTED_VALUE"""),"CON RECAUDO")</f>
        <v>CON RECAUDO</v>
      </c>
      <c r="M897" s="65" t="str">
        <f>IFERROR(__xludf.DUMMYFUNCTION("""COMPUTED_VALUE"""),"SANTO DOMINGO DE LOS TSACHILAS")</f>
        <v>SANTO DOMINGO DE LOS TSACHILAS</v>
      </c>
      <c r="N897" s="65" t="str">
        <f>IFERROR(__xludf.DUMMYFUNCTION("""COMPUTED_VALUE"""),"SANTO DOMINGO")</f>
        <v>SANTO DOMINGO</v>
      </c>
      <c r="O897" s="65" t="str">
        <f>IFERROR(__xludf.DUMMYFUNCTION("""COMPUTED_VALUE"""),"Urbanización ciudad verde Mz71 Cs20 calle area nacional los samanes Aa lado casa -")</f>
        <v>Urbanización ciudad verde Mz71 Cs20 calle area nacional los samanes Aa lado casa -</v>
      </c>
      <c r="P897" s="65"/>
      <c r="Q897" s="65" t="str">
        <f>IFERROR(__xludf.DUMMYFUNCTION("""COMPUTED_VALUE"""),"GINTRACOM")</f>
        <v>GINTRACOM</v>
      </c>
      <c r="R897" s="65">
        <f>IFERROR(__xludf.DUMMYFUNCTION("""COMPUTED_VALUE"""),20.0)</f>
        <v>20</v>
      </c>
      <c r="S897" s="65"/>
      <c r="T897" s="65">
        <f>IFERROR(__xludf.DUMMYFUNCTION("""COMPUTED_VALUE"""),5.76)</f>
        <v>5.76</v>
      </c>
      <c r="U897" s="65">
        <f>IFERROR(__xludf.DUMMYFUNCTION("""COMPUTED_VALUE"""),0.0)</f>
        <v>0</v>
      </c>
      <c r="V897" s="65">
        <f>IFERROR(__xludf.DUMMYFUNCTION("""COMPUTED_VALUE"""),0.0)</f>
        <v>0</v>
      </c>
      <c r="W897" s="65">
        <f>IFERROR(__xludf.DUMMYFUNCTION("""COMPUTED_VALUE"""),0.0)</f>
        <v>0</v>
      </c>
      <c r="X897" s="65">
        <f>IFERROR(__xludf.DUMMYFUNCTION("""COMPUTED_VALUE"""),2.2)</f>
        <v>2.2</v>
      </c>
      <c r="Y897" s="65">
        <f>IFERROR(__xludf.DUMMYFUNCTION("""COMPUTED_VALUE"""),2.2)</f>
        <v>2.2</v>
      </c>
      <c r="Z897" s="65">
        <f>IFERROR(__xludf.DUMMYFUNCTION("""COMPUTED_VALUE"""),111894.0)</f>
        <v>111894</v>
      </c>
      <c r="AA897" s="65" t="str">
        <f>IFERROR(__xludf.DUMMYFUNCTION("""COMPUTED_VALUE"""),"LYIC5M40067")</f>
        <v>LYIC5M40067</v>
      </c>
      <c r="AB897" s="65"/>
      <c r="AC897" s="65" t="str">
        <f>IFERROR(__xludf.DUMMYFUNCTION("""COMPUTED_VALUE"""),"Limpiador de Parabrisas y Ventanas")</f>
        <v>Limpiador de Parabrisas y Ventanas</v>
      </c>
      <c r="AD897" s="65"/>
      <c r="AE897" s="65">
        <f>IFERROR(__xludf.DUMMYFUNCTION("""COMPUTED_VALUE"""),1.0)</f>
        <v>1</v>
      </c>
      <c r="AF897" s="65"/>
      <c r="AG897" s="65"/>
      <c r="AH897" s="65"/>
      <c r="AI897" s="65"/>
      <c r="AJ897" s="65"/>
      <c r="AK897" s="65"/>
      <c r="AL897" s="65"/>
      <c r="AM897" s="65"/>
      <c r="AN897" s="65"/>
      <c r="AO897" s="65"/>
      <c r="AP897" s="65"/>
      <c r="AQ897" s="65"/>
      <c r="AR897" s="65"/>
      <c r="AS897" s="65"/>
      <c r="AT897" s="65" t="str">
        <f>IFERROR(__xludf.DUMMYFUNCTION("""COMPUTED_VALUE"""),"SHOPIFY")</f>
        <v>SHOPIFY</v>
      </c>
      <c r="AU897" s="65" t="str">
        <f>IFERROR(__xludf.DUMMYFUNCTION("""COMPUTED_VALUE"""),"IMPORTEX EC")</f>
        <v>IMPORTEX EC</v>
      </c>
      <c r="AV897" s="65" t="str">
        <f>IFERROR(__xludf.DUMMYFUNCTION("""COMPUTED_VALUE"""),"6484304396332")</f>
        <v>6484304396332</v>
      </c>
      <c r="AW897" s="65">
        <f>IFERROR(__xludf.DUMMYFUNCTION("""COMPUTED_VALUE"""),5911.0)</f>
        <v>5911</v>
      </c>
      <c r="AX897" s="65"/>
      <c r="AY897" s="65"/>
      <c r="AZ897" s="65"/>
      <c r="BA897" s="65"/>
    </row>
    <row r="898">
      <c r="A898" s="65" t="str">
        <f>IFERROR(__xludf.DUMMYFUNCTION("""COMPUTED_VALUE"""),"27-03-2026")</f>
        <v>27-03-2026</v>
      </c>
      <c r="B898" s="65">
        <f>IFERROR(__xludf.DUMMYFUNCTION("""COMPUTED_VALUE"""),4452873.0)</f>
        <v>4452873</v>
      </c>
      <c r="C898" s="65" t="str">
        <f>IFERROR(__xludf.DUMMYFUNCTION("""COMPUTED_VALUE"""),"12:36")</f>
        <v>12:36</v>
      </c>
      <c r="D898" s="65" t="str">
        <f>IFERROR(__xludf.DUMMYFUNCTION("""COMPUTED_VALUE"""),"09-02-2026")</f>
        <v>09-02-2026</v>
      </c>
      <c r="E898" s="65" t="str">
        <f>IFERROR(__xludf.DUMMYFUNCTION("""COMPUTED_VALUE"""),"Daniel Humberto Albán Arias")</f>
        <v>Daniel Humberto Albán Arias</v>
      </c>
      <c r="F898" s="65" t="str">
        <f>IFERROR(__xludf.DUMMYFUNCTION("""COMPUTED_VALUE"""),"980688709")</f>
        <v>980688709</v>
      </c>
      <c r="G898" s="65"/>
      <c r="H898" s="65"/>
      <c r="I898" s="65"/>
      <c r="J898" s="65" t="str">
        <f>IFERROR(__xludf.DUMMYFUNCTION("""COMPUTED_VALUE"""),"187028298")</f>
        <v>187028298</v>
      </c>
      <c r="K898" s="65" t="str">
        <f>IFERROR(__xludf.DUMMYFUNCTION("""COMPUTED_VALUE"""),"DEVOLUCION")</f>
        <v>DEVOLUCION</v>
      </c>
      <c r="L898" s="65" t="str">
        <f>IFERROR(__xludf.DUMMYFUNCTION("""COMPUTED_VALUE"""),"CON RECAUDO")</f>
        <v>CON RECAUDO</v>
      </c>
      <c r="M898" s="65" t="str">
        <f>IFERROR(__xludf.DUMMYFUNCTION("""COMPUTED_VALUE"""),"ORELLANA")</f>
        <v>ORELLANA</v>
      </c>
      <c r="N898" s="65" t="str">
        <f>IFERROR(__xludf.DUMMYFUNCTION("""COMPUTED_VALUE"""),"JOYA DE LOS SACHAS")</f>
        <v>JOYA DE LOS SACHAS</v>
      </c>
      <c r="O898" s="65" t="str">
        <f>IFERROR(__xludf.DUMMYFUNCTION("""COMPUTED_VALUE"""),"RETIRA EN CS : JOYA DE LOS SACHAS_MARISCAL - AV MARISCAL SUCRE 3403 Y MONSENOR LABAKA")</f>
        <v>RETIRA EN CS : JOYA DE LOS SACHAS_MARISCAL - AV MARISCAL SUCRE 3403 Y MONSENOR LABAKA</v>
      </c>
      <c r="P898" s="65"/>
      <c r="Q898" s="65" t="str">
        <f>IFERROR(__xludf.DUMMYFUNCTION("""COMPUTED_VALUE"""),"SERVIENTREGA")</f>
        <v>SERVIENTREGA</v>
      </c>
      <c r="R898" s="65">
        <f>IFERROR(__xludf.DUMMYFUNCTION("""COMPUTED_VALUE"""),27.0)</f>
        <v>27</v>
      </c>
      <c r="S898" s="65"/>
      <c r="T898" s="65">
        <f>IFERROR(__xludf.DUMMYFUNCTION("""COMPUTED_VALUE"""),7.77)</f>
        <v>7.77</v>
      </c>
      <c r="U898" s="65">
        <f>IFERROR(__xludf.DUMMYFUNCTION("""COMPUTED_VALUE"""),0.0)</f>
        <v>0</v>
      </c>
      <c r="V898" s="65">
        <f>IFERROR(__xludf.DUMMYFUNCTION("""COMPUTED_VALUE"""),0.0)</f>
        <v>0</v>
      </c>
      <c r="W898" s="65">
        <f>IFERROR(__xludf.DUMMYFUNCTION("""COMPUTED_VALUE"""),0.0)</f>
        <v>0</v>
      </c>
      <c r="X898" s="65">
        <f>IFERROR(__xludf.DUMMYFUNCTION("""COMPUTED_VALUE"""),2.6)</f>
        <v>2.6</v>
      </c>
      <c r="Y898" s="65">
        <f>IFERROR(__xludf.DUMMYFUNCTION("""COMPUTED_VALUE"""),7.8)</f>
        <v>7.8</v>
      </c>
      <c r="Z898" s="65">
        <f>IFERROR(__xludf.DUMMYFUNCTION("""COMPUTED_VALUE"""),121983.0)</f>
        <v>121983</v>
      </c>
      <c r="AA898" s="65" t="str">
        <f>IFERROR(__xludf.DUMMYFUNCTION("""COMPUTED_VALUE"""),"PROV-CHLLCF")</f>
        <v>PROV-CHLLCF</v>
      </c>
      <c r="AB898" s="65"/>
      <c r="AC898" s="65" t="str">
        <f>IFERROR(__xludf.DUMMYFUNCTION("""COMPUTED_VALUE"""),"CUCHILLO PARA CHEF")</f>
        <v>CUCHILLO PARA CHEF</v>
      </c>
      <c r="AD898" s="65"/>
      <c r="AE898" s="65">
        <f>IFERROR(__xludf.DUMMYFUNCTION("""COMPUTED_VALUE"""),3.0)</f>
        <v>3</v>
      </c>
      <c r="AF898" s="65" t="str">
        <f>IFERROR(__xludf.DUMMYFUNCTION("""COMPUTED_VALUE"""),"DEVOLUCION AL REMITENTE")</f>
        <v>DEVOLUCION AL REMITENTE</v>
      </c>
      <c r="AG898" s="65" t="str">
        <f>IFERROR(__xludf.DUMMYFUNCTION("""COMPUTED_VALUE"""),"NO")</f>
        <v>NO</v>
      </c>
      <c r="AH898" s="65" t="str">
        <f>IFERROR(__xludf.DUMMYFUNCTION("""COMPUTED_VALUE"""),"13:19")</f>
        <v>13:19</v>
      </c>
      <c r="AI898" s="65" t="str">
        <f>IFERROR(__xludf.DUMMYFUNCTION("""COMPUTED_VALUE"""),"23-02-2026")</f>
        <v>23-02-2026</v>
      </c>
      <c r="AJ898" s="65"/>
      <c r="AK898" s="65"/>
      <c r="AL898" s="65"/>
      <c r="AM898" s="65"/>
      <c r="AN898" s="65" t="str">
        <f>IFERROR(__xludf.DUMMYFUNCTION("""COMPUTED_VALUE"""),"11:23")</f>
        <v>11:23</v>
      </c>
      <c r="AO898" s="65" t="str">
        <f>IFERROR(__xludf.DUMMYFUNCTION("""COMPUTED_VALUE"""),"24-02-2026")</f>
        <v>24-02-2026</v>
      </c>
      <c r="AP898" s="65" t="str">
        <f>IFERROR(__xludf.DUMMYFUNCTION("""COMPUTED_VALUE"""),"DEVOLUCION AL REMITENTE")</f>
        <v>DEVOLUCION AL REMITENTE</v>
      </c>
      <c r="AQ898" s="65" t="str">
        <f>IFERROR(__xludf.DUMMYFUNCTION("""COMPUTED_VALUE"""),"{}")</f>
        <v>{}</v>
      </c>
      <c r="AR898" s="65"/>
      <c r="AS898" s="65"/>
      <c r="AT898" s="65"/>
      <c r="AU898" s="65"/>
      <c r="AV898" s="65"/>
      <c r="AW898" s="65"/>
      <c r="AX898" s="65"/>
      <c r="AY898" s="65" t="str">
        <f>IFERROR(__xludf.DUMMYFUNCTION("""COMPUTED_VALUE"""),"09/02/2026")</f>
        <v>09/02/2026</v>
      </c>
      <c r="AZ898" s="65"/>
      <c r="BA898" s="65"/>
    </row>
    <row r="899">
      <c r="A899" s="65" t="str">
        <f>IFERROR(__xludf.DUMMYFUNCTION("""COMPUTED_VALUE"""),"27-03-2026")</f>
        <v>27-03-2026</v>
      </c>
      <c r="B899" s="65">
        <f>IFERROR(__xludf.DUMMYFUNCTION("""COMPUTED_VALUE"""),4451911.0)</f>
        <v>4451911</v>
      </c>
      <c r="C899" s="65" t="str">
        <f>IFERROR(__xludf.DUMMYFUNCTION("""COMPUTED_VALUE"""),"11:31")</f>
        <v>11:31</v>
      </c>
      <c r="D899" s="65" t="str">
        <f>IFERROR(__xludf.DUMMYFUNCTION("""COMPUTED_VALUE"""),"09-02-2026")</f>
        <v>09-02-2026</v>
      </c>
      <c r="E899" s="65" t="str">
        <f>IFERROR(__xludf.DUMMYFUNCTION("""COMPUTED_VALUE"""),"Vinicio Montaluisa")</f>
        <v>Vinicio Montaluisa</v>
      </c>
      <c r="F899" s="65" t="str">
        <f>IFERROR(__xludf.DUMMYFUNCTION("""COMPUTED_VALUE"""),"982079256")</f>
        <v>982079256</v>
      </c>
      <c r="G899" s="65" t="str">
        <f>IFERROR(__xludf.DUMMYFUNCTION("""COMPUTED_VALUE"""),"vmontaluisa29@gmail.com")</f>
        <v>vmontaluisa29@gmail.com</v>
      </c>
      <c r="H899" s="65"/>
      <c r="I899" s="65"/>
      <c r="J899" s="65" t="str">
        <f>IFERROR(__xludf.DUMMYFUNCTION("""COMPUTED_VALUE"""),"D001318652")</f>
        <v>D001318652</v>
      </c>
      <c r="K899" s="65" t="str">
        <f>IFERROR(__xludf.DUMMYFUNCTION("""COMPUTED_VALUE"""),"ENTREGADO")</f>
        <v>ENTREGADO</v>
      </c>
      <c r="L899" s="65" t="str">
        <f>IFERROR(__xludf.DUMMYFUNCTION("""COMPUTED_VALUE"""),"CON RECAUDO")</f>
        <v>CON RECAUDO</v>
      </c>
      <c r="M899" s="65" t="str">
        <f>IFERROR(__xludf.DUMMYFUNCTION("""COMPUTED_VALUE"""),"PICHINCHA")</f>
        <v>PICHINCHA</v>
      </c>
      <c r="N899" s="65" t="str">
        <f>IFERROR(__xludf.DUMMYFUNCTION("""COMPUTED_VALUE"""),"QUITO")</f>
        <v>QUITO</v>
      </c>
      <c r="O899" s="65" t="str">
        <f>IFERROR(__xludf.DUMMYFUNCTION("""COMPUTED_VALUE"""),"10 de Agosto y Las Casas Esquina Edificio Empresa Electrica Quito Matrix -")</f>
        <v>10 de Agosto y Las Casas Esquina Edificio Empresa Electrica Quito Matrix -</v>
      </c>
      <c r="P899" s="65"/>
      <c r="Q899" s="65" t="str">
        <f>IFERROR(__xludf.DUMMYFUNCTION("""COMPUTED_VALUE"""),"GINTRACOM")</f>
        <v>GINTRACOM</v>
      </c>
      <c r="R899" s="65">
        <f>IFERROR(__xludf.DUMMYFUNCTION("""COMPUTED_VALUE"""),19.99)</f>
        <v>19.99</v>
      </c>
      <c r="S899" s="65">
        <f>IFERROR(__xludf.DUMMYFUNCTION("""COMPUTED_VALUE"""),12.35)</f>
        <v>12.35</v>
      </c>
      <c r="T899" s="65">
        <f>IFERROR(__xludf.DUMMYFUNCTION("""COMPUTED_VALUE"""),4.14)</f>
        <v>4.14</v>
      </c>
      <c r="U899" s="65">
        <f>IFERROR(__xludf.DUMMYFUNCTION("""COMPUTED_VALUE"""),0.0)</f>
        <v>0</v>
      </c>
      <c r="V899" s="65">
        <f>IFERROR(__xludf.DUMMYFUNCTION("""COMPUTED_VALUE"""),0.0)</f>
        <v>0</v>
      </c>
      <c r="W899" s="65">
        <f>IFERROR(__xludf.DUMMYFUNCTION("""COMPUTED_VALUE"""),0.0)</f>
        <v>0</v>
      </c>
      <c r="X899" s="65">
        <f>IFERROR(__xludf.DUMMYFUNCTION("""COMPUTED_VALUE"""),3.5)</f>
        <v>3.5</v>
      </c>
      <c r="Y899" s="65">
        <f>IFERROR(__xludf.DUMMYFUNCTION("""COMPUTED_VALUE"""),3.5)</f>
        <v>3.5</v>
      </c>
      <c r="Z899" s="65">
        <f>IFERROR(__xludf.DUMMYFUNCTION("""COMPUTED_VALUE"""),110064.0)</f>
        <v>110064</v>
      </c>
      <c r="AA899" s="65" t="str">
        <f>IFERROR(__xludf.DUMMYFUNCTION("""COMPUTED_VALUE"""),"IMX-00001")</f>
        <v>IMX-00001</v>
      </c>
      <c r="AB899" s="65"/>
      <c r="AC899" s="65" t="str">
        <f>IFERROR(__xludf.DUMMYFUNCTION("""COMPUTED_VALUE"""),"LLAVE TRINQUETE")</f>
        <v>LLAVE TRINQUETE</v>
      </c>
      <c r="AD899" s="65"/>
      <c r="AE899" s="65">
        <f>IFERROR(__xludf.DUMMYFUNCTION("""COMPUTED_VALUE"""),1.0)</f>
        <v>1</v>
      </c>
      <c r="AF899" s="65"/>
      <c r="AG899" s="65"/>
      <c r="AH899" s="65"/>
      <c r="AI899" s="65"/>
      <c r="AJ899" s="65"/>
      <c r="AK899" s="65"/>
      <c r="AL899" s="65"/>
      <c r="AM899" s="65"/>
      <c r="AN899" s="65" t="str">
        <f>IFERROR(__xludf.DUMMYFUNCTION("""COMPUTED_VALUE"""),"15:15")</f>
        <v>15:15</v>
      </c>
      <c r="AO899" s="65" t="str">
        <f>IFERROR(__xludf.DUMMYFUNCTION("""COMPUTED_VALUE"""),"13-02-2026")</f>
        <v>13-02-2026</v>
      </c>
      <c r="AP899" s="65" t="str">
        <f>IFERROR(__xludf.DUMMYFUNCTION("""COMPUTED_VALUE"""),"ENTREGADA GINTRACOM")</f>
        <v>ENTREGADA GINTRACOM</v>
      </c>
      <c r="AQ899" s="65" t="str">
        <f>IFERROR(__xludf.DUMMYFUNCTION("""COMPUTED_VALUE"""),"ENTREGADA GINTRACOM")</f>
        <v>ENTREGADA GINTRACOM</v>
      </c>
      <c r="AR899" s="65"/>
      <c r="AS899" s="65"/>
      <c r="AT899" s="65" t="str">
        <f>IFERROR(__xludf.DUMMYFUNCTION("""COMPUTED_VALUE"""),"SHOPIFY")</f>
        <v>SHOPIFY</v>
      </c>
      <c r="AU899" s="65" t="str">
        <f>IFERROR(__xludf.DUMMYFUNCTION("""COMPUTED_VALUE"""),"IMPORTEX EC")</f>
        <v>IMPORTEX EC</v>
      </c>
      <c r="AV899" s="65" t="str">
        <f>IFERROR(__xludf.DUMMYFUNCTION("""COMPUTED_VALUE"""),"6489869910060")</f>
        <v>6489869910060</v>
      </c>
      <c r="AW899" s="65">
        <f>IFERROR(__xludf.DUMMYFUNCTION("""COMPUTED_VALUE"""),5996.0)</f>
        <v>5996</v>
      </c>
      <c r="AX899" s="65"/>
      <c r="AY899" s="65" t="str">
        <f>IFERROR(__xludf.DUMMYFUNCTION("""COMPUTED_VALUE"""),"11/02/2026")</f>
        <v>11/02/2026</v>
      </c>
      <c r="AZ899" s="65"/>
      <c r="BA899" s="65"/>
    </row>
    <row r="900">
      <c r="A900" s="65" t="str">
        <f>IFERROR(__xludf.DUMMYFUNCTION("""COMPUTED_VALUE"""),"27-03-2026")</f>
        <v>27-03-2026</v>
      </c>
      <c r="B900" s="65">
        <f>IFERROR(__xludf.DUMMYFUNCTION("""COMPUTED_VALUE"""),4451908.0)</f>
        <v>4451908</v>
      </c>
      <c r="C900" s="65" t="str">
        <f>IFERROR(__xludf.DUMMYFUNCTION("""COMPUTED_VALUE"""),"11:30")</f>
        <v>11:30</v>
      </c>
      <c r="D900" s="65" t="str">
        <f>IFERROR(__xludf.DUMMYFUNCTION("""COMPUTED_VALUE"""),"09-02-2026")</f>
        <v>09-02-2026</v>
      </c>
      <c r="E900" s="65" t="str">
        <f>IFERROR(__xludf.DUMMYFUNCTION("""COMPUTED_VALUE"""),"Galo Véliz")</f>
        <v>Galo Véliz</v>
      </c>
      <c r="F900" s="65" t="str">
        <f>IFERROR(__xludf.DUMMYFUNCTION("""COMPUTED_VALUE"""),"991505520")</f>
        <v>991505520</v>
      </c>
      <c r="G900" s="65" t="str">
        <f>IFERROR(__xludf.DUMMYFUNCTION("""COMPUTED_VALUE"""),"gveliz680@gmail.com")</f>
        <v>gveliz680@gmail.com</v>
      </c>
      <c r="H900" s="65"/>
      <c r="I900" s="65"/>
      <c r="J900" s="65" t="str">
        <f>IFERROR(__xludf.DUMMYFUNCTION("""COMPUTED_VALUE"""),"D001315527")</f>
        <v>D001315527</v>
      </c>
      <c r="K900" s="65" t="str">
        <f>IFERROR(__xludf.DUMMYFUNCTION("""COMPUTED_VALUE"""),"ENTREGADO")</f>
        <v>ENTREGADO</v>
      </c>
      <c r="L900" s="65" t="str">
        <f>IFERROR(__xludf.DUMMYFUNCTION("""COMPUTED_VALUE"""),"CON RECAUDO")</f>
        <v>CON RECAUDO</v>
      </c>
      <c r="M900" s="65" t="str">
        <f>IFERROR(__xludf.DUMMYFUNCTION("""COMPUTED_VALUE"""),"GUAYAS")</f>
        <v>GUAYAS</v>
      </c>
      <c r="N900" s="65" t="str">
        <f>IFERROR(__xludf.DUMMYFUNCTION("""COMPUTED_VALUE"""),"GUAYAQUIL")</f>
        <v>GUAYAQUIL</v>
      </c>
      <c r="O900" s="65" t="str">
        <f>IFERROR(__xludf.DUMMYFUNCTION("""COMPUTED_VALUE"""),"Av. Emilio Romero y calle 1ra. lotiz. Satirion Atras de C.C. Citymall -")</f>
        <v>Av. Emilio Romero y calle 1ra. lotiz. Satirion Atras de C.C. Citymall -</v>
      </c>
      <c r="P900" s="65"/>
      <c r="Q900" s="65" t="str">
        <f>IFERROR(__xludf.DUMMYFUNCTION("""COMPUTED_VALUE"""),"GINTRACOM")</f>
        <v>GINTRACOM</v>
      </c>
      <c r="R900" s="65">
        <f>IFERROR(__xludf.DUMMYFUNCTION("""COMPUTED_VALUE"""),19.99)</f>
        <v>19.99</v>
      </c>
      <c r="S900" s="65">
        <f>IFERROR(__xludf.DUMMYFUNCTION("""COMPUTED_VALUE"""),10.74)</f>
        <v>10.74</v>
      </c>
      <c r="T900" s="65">
        <f>IFERROR(__xludf.DUMMYFUNCTION("""COMPUTED_VALUE"""),5.75)</f>
        <v>5.75</v>
      </c>
      <c r="U900" s="65">
        <f>IFERROR(__xludf.DUMMYFUNCTION("""COMPUTED_VALUE"""),0.0)</f>
        <v>0</v>
      </c>
      <c r="V900" s="65">
        <f>IFERROR(__xludf.DUMMYFUNCTION("""COMPUTED_VALUE"""),0.0)</f>
        <v>0</v>
      </c>
      <c r="W900" s="65">
        <f>IFERROR(__xludf.DUMMYFUNCTION("""COMPUTED_VALUE"""),0.0)</f>
        <v>0</v>
      </c>
      <c r="X900" s="65">
        <f>IFERROR(__xludf.DUMMYFUNCTION("""COMPUTED_VALUE"""),3.5)</f>
        <v>3.5</v>
      </c>
      <c r="Y900" s="65">
        <f>IFERROR(__xludf.DUMMYFUNCTION("""COMPUTED_VALUE"""),3.5)</f>
        <v>3.5</v>
      </c>
      <c r="Z900" s="65">
        <f>IFERROR(__xludf.DUMMYFUNCTION("""COMPUTED_VALUE"""),110064.0)</f>
        <v>110064</v>
      </c>
      <c r="AA900" s="65" t="str">
        <f>IFERROR(__xludf.DUMMYFUNCTION("""COMPUTED_VALUE"""),"IMX-00001")</f>
        <v>IMX-00001</v>
      </c>
      <c r="AB900" s="65"/>
      <c r="AC900" s="65" t="str">
        <f>IFERROR(__xludf.DUMMYFUNCTION("""COMPUTED_VALUE"""),"LLAVE TRINQUETE")</f>
        <v>LLAVE TRINQUETE</v>
      </c>
      <c r="AD900" s="65"/>
      <c r="AE900" s="65">
        <f>IFERROR(__xludf.DUMMYFUNCTION("""COMPUTED_VALUE"""),1.0)</f>
        <v>1</v>
      </c>
      <c r="AF900" s="65"/>
      <c r="AG900" s="65"/>
      <c r="AH900" s="65"/>
      <c r="AI900" s="65"/>
      <c r="AJ900" s="65"/>
      <c r="AK900" s="65"/>
      <c r="AL900" s="65"/>
      <c r="AM900" s="65"/>
      <c r="AN900" s="65" t="str">
        <f>IFERROR(__xludf.DUMMYFUNCTION("""COMPUTED_VALUE"""),"14:10")</f>
        <v>14:10</v>
      </c>
      <c r="AO900" s="65" t="str">
        <f>IFERROR(__xludf.DUMMYFUNCTION("""COMPUTED_VALUE"""),"12-02-2026")</f>
        <v>12-02-2026</v>
      </c>
      <c r="AP900" s="65" t="str">
        <f>IFERROR(__xludf.DUMMYFUNCTION("""COMPUTED_VALUE"""),"ENTREGADA GINTRACOM")</f>
        <v>ENTREGADA GINTRACOM</v>
      </c>
      <c r="AQ900" s="65" t="str">
        <f>IFERROR(__xludf.DUMMYFUNCTION("""COMPUTED_VALUE"""),"ENTREGADA GINTRACOM")</f>
        <v>ENTREGADA GINTRACOM</v>
      </c>
      <c r="AR900" s="65"/>
      <c r="AS900" s="65"/>
      <c r="AT900" s="65" t="str">
        <f>IFERROR(__xludf.DUMMYFUNCTION("""COMPUTED_VALUE"""),"SHOPIFY")</f>
        <v>SHOPIFY</v>
      </c>
      <c r="AU900" s="65" t="str">
        <f>IFERROR(__xludf.DUMMYFUNCTION("""COMPUTED_VALUE"""),"IMPORTEX EC")</f>
        <v>IMPORTEX EC</v>
      </c>
      <c r="AV900" s="65" t="str">
        <f>IFERROR(__xludf.DUMMYFUNCTION("""COMPUTED_VALUE"""),"6489769017388")</f>
        <v>6489769017388</v>
      </c>
      <c r="AW900" s="65">
        <f>IFERROR(__xludf.DUMMYFUNCTION("""COMPUTED_VALUE"""),5995.0)</f>
        <v>5995</v>
      </c>
      <c r="AX900" s="65"/>
      <c r="AY900" s="65" t="str">
        <f>IFERROR(__xludf.DUMMYFUNCTION("""COMPUTED_VALUE"""),"10/02/2026")</f>
        <v>10/02/2026</v>
      </c>
      <c r="AZ900" s="65"/>
      <c r="BA900" s="65"/>
    </row>
    <row r="901">
      <c r="A901" s="65" t="str">
        <f>IFERROR(__xludf.DUMMYFUNCTION("""COMPUTED_VALUE"""),"27-03-2026")</f>
        <v>27-03-2026</v>
      </c>
      <c r="B901" s="65">
        <f>IFERROR(__xludf.DUMMYFUNCTION("""COMPUTED_VALUE"""),4451905.0)</f>
        <v>4451905</v>
      </c>
      <c r="C901" s="65" t="str">
        <f>IFERROR(__xludf.DUMMYFUNCTION("""COMPUTED_VALUE"""),"11:30")</f>
        <v>11:30</v>
      </c>
      <c r="D901" s="65" t="str">
        <f>IFERROR(__xludf.DUMMYFUNCTION("""COMPUTED_VALUE"""),"09-02-2026")</f>
        <v>09-02-2026</v>
      </c>
      <c r="E901" s="65" t="str">
        <f>IFERROR(__xludf.DUMMYFUNCTION("""COMPUTED_VALUE"""),"Luis Jiukam")</f>
        <v>Luis Jiukam</v>
      </c>
      <c r="F901" s="65" t="str">
        <f>IFERROR(__xludf.DUMMYFUNCTION("""COMPUTED_VALUE"""),"986071043")</f>
        <v>986071043</v>
      </c>
      <c r="G901" s="65" t="str">
        <f>IFERROR(__xludf.DUMMYFUNCTION("""COMPUTED_VALUE"""),"luisjiukam88@gmail.com")</f>
        <v>luisjiukam88@gmail.com</v>
      </c>
      <c r="H901" s="65"/>
      <c r="I901" s="65"/>
      <c r="J901" s="65" t="str">
        <f>IFERROR(__xludf.DUMMYFUNCTION("""COMPUTED_VALUE"""),"187034005")</f>
        <v>187034005</v>
      </c>
      <c r="K901" s="65" t="str">
        <f>IFERROR(__xludf.DUMMYFUNCTION("""COMPUTED_VALUE"""),"DEVOLUCION")</f>
        <v>DEVOLUCION</v>
      </c>
      <c r="L901" s="65" t="str">
        <f>IFERROR(__xludf.DUMMYFUNCTION("""COMPUTED_VALUE"""),"CON RECAUDO")</f>
        <v>CON RECAUDO</v>
      </c>
      <c r="M901" s="65" t="str">
        <f>IFERROR(__xludf.DUMMYFUNCTION("""COMPUTED_VALUE"""),"ZAMORA CHINCHIPE")</f>
        <v>ZAMORA CHINCHIPE</v>
      </c>
      <c r="N901" s="65" t="str">
        <f>IFERROR(__xludf.DUMMYFUNCTION("""COMPUTED_VALUE"""),"GUAYZIMI")</f>
        <v>GUAYZIMI</v>
      </c>
      <c r="O901" s="65" t="str">
        <f>IFERROR(__xludf.DUMMYFUNCTION("""COMPUTED_VALUE"""),"RET CS :  GUAYZIMI_CIUDAD PERDIDA - CIUDAD PERDIDA Y LOJA")</f>
        <v>RET CS :  GUAYZIMI_CIUDAD PERDIDA - CIUDAD PERDIDA Y LOJA</v>
      </c>
      <c r="P901" s="65"/>
      <c r="Q901" s="65" t="str">
        <f>IFERROR(__xludf.DUMMYFUNCTION("""COMPUTED_VALUE"""),"SERVIENTREGA")</f>
        <v>SERVIENTREGA</v>
      </c>
      <c r="R901" s="65">
        <f>IFERROR(__xludf.DUMMYFUNCTION("""COMPUTED_VALUE"""),19.99)</f>
        <v>19.99</v>
      </c>
      <c r="S901" s="65"/>
      <c r="T901" s="65">
        <f>IFERROR(__xludf.DUMMYFUNCTION("""COMPUTED_VALUE"""),7.67)</f>
        <v>7.67</v>
      </c>
      <c r="U901" s="65">
        <f>IFERROR(__xludf.DUMMYFUNCTION("""COMPUTED_VALUE"""),0.0)</f>
        <v>0</v>
      </c>
      <c r="V901" s="65">
        <f>IFERROR(__xludf.DUMMYFUNCTION("""COMPUTED_VALUE"""),0.0)</f>
        <v>0</v>
      </c>
      <c r="W901" s="65">
        <f>IFERROR(__xludf.DUMMYFUNCTION("""COMPUTED_VALUE"""),0.0)</f>
        <v>0</v>
      </c>
      <c r="X901" s="65">
        <f>IFERROR(__xludf.DUMMYFUNCTION("""COMPUTED_VALUE"""),3.5)</f>
        <v>3.5</v>
      </c>
      <c r="Y901" s="65">
        <f>IFERROR(__xludf.DUMMYFUNCTION("""COMPUTED_VALUE"""),3.5)</f>
        <v>3.5</v>
      </c>
      <c r="Z901" s="65">
        <f>IFERROR(__xludf.DUMMYFUNCTION("""COMPUTED_VALUE"""),110064.0)</f>
        <v>110064</v>
      </c>
      <c r="AA901" s="65" t="str">
        <f>IFERROR(__xludf.DUMMYFUNCTION("""COMPUTED_VALUE"""),"IMX-00001")</f>
        <v>IMX-00001</v>
      </c>
      <c r="AB901" s="65"/>
      <c r="AC901" s="65" t="str">
        <f>IFERROR(__xludf.DUMMYFUNCTION("""COMPUTED_VALUE"""),"LLAVE TRINQUETE")</f>
        <v>LLAVE TRINQUETE</v>
      </c>
      <c r="AD901" s="65"/>
      <c r="AE901" s="65">
        <f>IFERROR(__xludf.DUMMYFUNCTION("""COMPUTED_VALUE"""),1.0)</f>
        <v>1</v>
      </c>
      <c r="AF901" s="65" t="str">
        <f>IFERROR(__xludf.DUMMYFUNCTION("""COMPUTED_VALUE"""),"DEVUELTO DE")</f>
        <v>DEVUELTO DE</v>
      </c>
      <c r="AG901" s="65" t="str">
        <f>IFERROR(__xludf.DUMMYFUNCTION("""COMPUTED_VALUE"""),"NO")</f>
        <v>NO</v>
      </c>
      <c r="AH901" s="65" t="str">
        <f>IFERROR(__xludf.DUMMYFUNCTION("""COMPUTED_VALUE"""),"08:16")</f>
        <v>08:16</v>
      </c>
      <c r="AI901" s="65" t="str">
        <f>IFERROR(__xludf.DUMMYFUNCTION("""COMPUTED_VALUE"""),"04-03-2026")</f>
        <v>04-03-2026</v>
      </c>
      <c r="AJ901" s="65"/>
      <c r="AK901" s="65"/>
      <c r="AL901" s="65"/>
      <c r="AM901" s="65"/>
      <c r="AN901" s="65" t="str">
        <f>IFERROR(__xludf.DUMMYFUNCTION("""COMPUTED_VALUE"""),"22:13")</f>
        <v>22:13</v>
      </c>
      <c r="AO901" s="65" t="str">
        <f>IFERROR(__xludf.DUMMYFUNCTION("""COMPUTED_VALUE"""),"09-03-2026")</f>
        <v>09-03-2026</v>
      </c>
      <c r="AP901" s="65" t="str">
        <f>IFERROR(__xludf.DUMMYFUNCTION("""COMPUTED_VALUE"""),"DEVOLUCION AL REMITENTE")</f>
        <v>DEVOLUCION AL REMITENTE</v>
      </c>
      <c r="AQ901" s="65" t="str">
        <f>IFERROR(__xludf.DUMMYFUNCTION("""COMPUTED_VALUE"""),"paul borja")</f>
        <v>paul borja</v>
      </c>
      <c r="AR901" s="65"/>
      <c r="AS901" s="65"/>
      <c r="AT901" s="65" t="str">
        <f>IFERROR(__xludf.DUMMYFUNCTION("""COMPUTED_VALUE"""),"SHOPIFY")</f>
        <v>SHOPIFY</v>
      </c>
      <c r="AU901" s="65" t="str">
        <f>IFERROR(__xludf.DUMMYFUNCTION("""COMPUTED_VALUE"""),"IMPORTEX EC")</f>
        <v>IMPORTEX EC</v>
      </c>
      <c r="AV901" s="65" t="str">
        <f>IFERROR(__xludf.DUMMYFUNCTION("""COMPUTED_VALUE"""),"6489764593708")</f>
        <v>6489764593708</v>
      </c>
      <c r="AW901" s="65">
        <f>IFERROR(__xludf.DUMMYFUNCTION("""COMPUTED_VALUE"""),5994.0)</f>
        <v>5994</v>
      </c>
      <c r="AX901" s="65"/>
      <c r="AY901" s="65" t="str">
        <f>IFERROR(__xludf.DUMMYFUNCTION("""COMPUTED_VALUE"""),"10/02/2026")</f>
        <v>10/02/2026</v>
      </c>
      <c r="AZ901" s="65"/>
      <c r="BA901" s="65"/>
    </row>
    <row r="902">
      <c r="A902" s="65" t="str">
        <f>IFERROR(__xludf.DUMMYFUNCTION("""COMPUTED_VALUE"""),"27-03-2026")</f>
        <v>27-03-2026</v>
      </c>
      <c r="B902" s="65">
        <f>IFERROR(__xludf.DUMMYFUNCTION("""COMPUTED_VALUE"""),4451903.0)</f>
        <v>4451903</v>
      </c>
      <c r="C902" s="65" t="str">
        <f>IFERROR(__xludf.DUMMYFUNCTION("""COMPUTED_VALUE"""),"11:30")</f>
        <v>11:30</v>
      </c>
      <c r="D902" s="65" t="str">
        <f>IFERROR(__xludf.DUMMYFUNCTION("""COMPUTED_VALUE"""),"09-02-2026")</f>
        <v>09-02-2026</v>
      </c>
      <c r="E902" s="65" t="str">
        <f>IFERROR(__xludf.DUMMYFUNCTION("""COMPUTED_VALUE"""),"juan carlos lainez segovia")</f>
        <v>juan carlos lainez segovia</v>
      </c>
      <c r="F902" s="65" t="str">
        <f>IFERROR(__xludf.DUMMYFUNCTION("""COMPUTED_VALUE"""),"999029944")</f>
        <v>999029944</v>
      </c>
      <c r="G902" s="65" t="str">
        <f>IFERROR(__xludf.DUMMYFUNCTION("""COMPUTED_VALUE"""),"geomundo@hotmail.es")</f>
        <v>geomundo@hotmail.es</v>
      </c>
      <c r="H902" s="65"/>
      <c r="I902" s="65"/>
      <c r="J902" s="65" t="str">
        <f>IFERROR(__xludf.DUMMYFUNCTION("""COMPUTED_VALUE"""),"D001318653")</f>
        <v>D001318653</v>
      </c>
      <c r="K902" s="65" t="str">
        <f>IFERROR(__xludf.DUMMYFUNCTION("""COMPUTED_VALUE"""),"ENTREGADO")</f>
        <v>ENTREGADO</v>
      </c>
      <c r="L902" s="65" t="str">
        <f>IFERROR(__xludf.DUMMYFUNCTION("""COMPUTED_VALUE"""),"CON RECAUDO")</f>
        <v>CON RECAUDO</v>
      </c>
      <c r="M902" s="65" t="str">
        <f>IFERROR(__xludf.DUMMYFUNCTION("""COMPUTED_VALUE"""),"GUAYAS")</f>
        <v>GUAYAS</v>
      </c>
      <c r="N902" s="65" t="str">
        <f>IFERROR(__xludf.DUMMYFUNCTION("""COMPUTED_VALUE"""),"GUAYAQUIL")</f>
        <v>GUAYAQUIL</v>
      </c>
      <c r="O902" s="65" t="str">
        <f>IFERROR(__xludf.DUMMYFUNCTION("""COMPUTED_VALUE"""),"Avda. Isidro ayora Y 13,  Mz . 409 villa 12 - Diagonal aL TIA DE SAMANES")</f>
        <v>Avda. Isidro ayora Y 13,  Mz . 409 villa 12 - Diagonal aL TIA DE SAMANES</v>
      </c>
      <c r="P902" s="65"/>
      <c r="Q902" s="65" t="str">
        <f>IFERROR(__xludf.DUMMYFUNCTION("""COMPUTED_VALUE"""),"GINTRACOM")</f>
        <v>GINTRACOM</v>
      </c>
      <c r="R902" s="65">
        <f>IFERROR(__xludf.DUMMYFUNCTION("""COMPUTED_VALUE"""),19.99)</f>
        <v>19.99</v>
      </c>
      <c r="S902" s="65">
        <f>IFERROR(__xludf.DUMMYFUNCTION("""COMPUTED_VALUE"""),10.74)</f>
        <v>10.74</v>
      </c>
      <c r="T902" s="65">
        <f>IFERROR(__xludf.DUMMYFUNCTION("""COMPUTED_VALUE"""),5.75)</f>
        <v>5.75</v>
      </c>
      <c r="U902" s="65">
        <f>IFERROR(__xludf.DUMMYFUNCTION("""COMPUTED_VALUE"""),0.0)</f>
        <v>0</v>
      </c>
      <c r="V902" s="65">
        <f>IFERROR(__xludf.DUMMYFUNCTION("""COMPUTED_VALUE"""),0.0)</f>
        <v>0</v>
      </c>
      <c r="W902" s="65">
        <f>IFERROR(__xludf.DUMMYFUNCTION("""COMPUTED_VALUE"""),0.0)</f>
        <v>0</v>
      </c>
      <c r="X902" s="65">
        <f>IFERROR(__xludf.DUMMYFUNCTION("""COMPUTED_VALUE"""),3.5)</f>
        <v>3.5</v>
      </c>
      <c r="Y902" s="65">
        <f>IFERROR(__xludf.DUMMYFUNCTION("""COMPUTED_VALUE"""),3.5)</f>
        <v>3.5</v>
      </c>
      <c r="Z902" s="65">
        <f>IFERROR(__xludf.DUMMYFUNCTION("""COMPUTED_VALUE"""),110064.0)</f>
        <v>110064</v>
      </c>
      <c r="AA902" s="65" t="str">
        <f>IFERROR(__xludf.DUMMYFUNCTION("""COMPUTED_VALUE"""),"IMX-00001")</f>
        <v>IMX-00001</v>
      </c>
      <c r="AB902" s="65"/>
      <c r="AC902" s="65" t="str">
        <f>IFERROR(__xludf.DUMMYFUNCTION("""COMPUTED_VALUE"""),"LLAVE TRINQUETE")</f>
        <v>LLAVE TRINQUETE</v>
      </c>
      <c r="AD902" s="65"/>
      <c r="AE902" s="65">
        <f>IFERROR(__xludf.DUMMYFUNCTION("""COMPUTED_VALUE"""),1.0)</f>
        <v>1</v>
      </c>
      <c r="AF902" s="65" t="str">
        <f>IFERROR(__xludf.DUMMYFUNCTION("""COMPUTED_VALUE"""),"DESTINATARIO NO CONTESTA LLAMADAS NI WHATSAPP")</f>
        <v>DESTINATARIO NO CONTESTA LLAMADAS NI WHATSAPP</v>
      </c>
      <c r="AG902" s="65" t="str">
        <f>IFERROR(__xludf.DUMMYFUNCTION("""COMPUTED_VALUE"""),"SI")</f>
        <v>SI</v>
      </c>
      <c r="AH902" s="65" t="str">
        <f>IFERROR(__xludf.DUMMYFUNCTION("""COMPUTED_VALUE"""),"09:00")</f>
        <v>09:00</v>
      </c>
      <c r="AI902" s="65" t="str">
        <f>IFERROR(__xludf.DUMMYFUNCTION("""COMPUTED_VALUE"""),"17-02-2026")</f>
        <v>17-02-2026</v>
      </c>
      <c r="AJ902" s="65"/>
      <c r="AK902" s="65"/>
      <c r="AL902" s="65"/>
      <c r="AM902" s="65"/>
      <c r="AN902" s="65" t="str">
        <f>IFERROR(__xludf.DUMMYFUNCTION("""COMPUTED_VALUE"""),"13:44")</f>
        <v>13:44</v>
      </c>
      <c r="AO902" s="65" t="str">
        <f>IFERROR(__xludf.DUMMYFUNCTION("""COMPUTED_VALUE"""),"20-02-2026")</f>
        <v>20-02-2026</v>
      </c>
      <c r="AP902" s="65" t="str">
        <f>IFERROR(__xludf.DUMMYFUNCTION("""COMPUTED_VALUE"""),"ENTREGADA GINTRACOM")</f>
        <v>ENTREGADA GINTRACOM</v>
      </c>
      <c r="AQ902" s="65" t="str">
        <f>IFERROR(__xludf.DUMMYFUNCTION("""COMPUTED_VALUE"""),"ENTREGADA GINTRACOM")</f>
        <v>ENTREGADA GINTRACOM</v>
      </c>
      <c r="AR902" s="65"/>
      <c r="AS902" s="65"/>
      <c r="AT902" s="65" t="str">
        <f>IFERROR(__xludf.DUMMYFUNCTION("""COMPUTED_VALUE"""),"SHOPIFY")</f>
        <v>SHOPIFY</v>
      </c>
      <c r="AU902" s="65" t="str">
        <f>IFERROR(__xludf.DUMMYFUNCTION("""COMPUTED_VALUE"""),"IMPORTEX EC")</f>
        <v>IMPORTEX EC</v>
      </c>
      <c r="AV902" s="65" t="str">
        <f>IFERROR(__xludf.DUMMYFUNCTION("""COMPUTED_VALUE"""),"6489732841516")</f>
        <v>6489732841516</v>
      </c>
      <c r="AW902" s="65">
        <f>IFERROR(__xludf.DUMMYFUNCTION("""COMPUTED_VALUE"""),5993.0)</f>
        <v>5993</v>
      </c>
      <c r="AX902" s="65"/>
      <c r="AY902" s="65" t="str">
        <f>IFERROR(__xludf.DUMMYFUNCTION("""COMPUTED_VALUE"""),"11/02/2026")</f>
        <v>11/02/2026</v>
      </c>
      <c r="AZ902" s="65"/>
      <c r="BA902" s="65"/>
    </row>
    <row r="903">
      <c r="A903" s="65" t="str">
        <f>IFERROR(__xludf.DUMMYFUNCTION("""COMPUTED_VALUE"""),"27-03-2026")</f>
        <v>27-03-2026</v>
      </c>
      <c r="B903" s="65">
        <f>IFERROR(__xludf.DUMMYFUNCTION("""COMPUTED_VALUE"""),4451899.0)</f>
        <v>4451899</v>
      </c>
      <c r="C903" s="65" t="str">
        <f>IFERROR(__xludf.DUMMYFUNCTION("""COMPUTED_VALUE"""),"11:30")</f>
        <v>11:30</v>
      </c>
      <c r="D903" s="65" t="str">
        <f>IFERROR(__xludf.DUMMYFUNCTION("""COMPUTED_VALUE"""),"09-02-2026")</f>
        <v>09-02-2026</v>
      </c>
      <c r="E903" s="65" t="str">
        <f>IFERROR(__xludf.DUMMYFUNCTION("""COMPUTED_VALUE"""),"Jose Avila")</f>
        <v>Jose Avila</v>
      </c>
      <c r="F903" s="65" t="str">
        <f>IFERROR(__xludf.DUMMYFUNCTION("""COMPUTED_VALUE"""),"990686703")</f>
        <v>990686703</v>
      </c>
      <c r="G903" s="65"/>
      <c r="H903" s="65"/>
      <c r="I903" s="65"/>
      <c r="J903" s="65"/>
      <c r="K903" s="65" t="str">
        <f>IFERROR(__xludf.DUMMYFUNCTION("""COMPUTED_VALUE"""),"PENDIENTE CONFIRMACION")</f>
        <v>PENDIENTE CONFIRMACION</v>
      </c>
      <c r="L903" s="65" t="str">
        <f>IFERROR(__xludf.DUMMYFUNCTION("""COMPUTED_VALUE"""),"CON RECAUDO")</f>
        <v>CON RECAUDO</v>
      </c>
      <c r="M903" s="65" t="str">
        <f>IFERROR(__xludf.DUMMYFUNCTION("""COMPUTED_VALUE"""),"GUAYAS")</f>
        <v>GUAYAS</v>
      </c>
      <c r="N903" s="65" t="str">
        <f>IFERROR(__xludf.DUMMYFUNCTION("""COMPUTED_VALUE"""),"GUAYAQUIL")</f>
        <v>GUAYAQUIL</v>
      </c>
      <c r="O903" s="65" t="str">
        <f>IFERROR(__xludf.DUMMYFUNCTION("""COMPUTED_VALUE"""),"Martha de roldos Frente al Chifa -")</f>
        <v>Martha de roldos Frente al Chifa -</v>
      </c>
      <c r="P903" s="65"/>
      <c r="Q903" s="65" t="str">
        <f>IFERROR(__xludf.DUMMYFUNCTION("""COMPUTED_VALUE"""),"GINTRACOM")</f>
        <v>GINTRACOM</v>
      </c>
      <c r="R903" s="65">
        <f>IFERROR(__xludf.DUMMYFUNCTION("""COMPUTED_VALUE"""),19.99)</f>
        <v>19.99</v>
      </c>
      <c r="S903" s="65"/>
      <c r="T903" s="65">
        <f>IFERROR(__xludf.DUMMYFUNCTION("""COMPUTED_VALUE"""),5.75)</f>
        <v>5.75</v>
      </c>
      <c r="U903" s="65">
        <f>IFERROR(__xludf.DUMMYFUNCTION("""COMPUTED_VALUE"""),0.0)</f>
        <v>0</v>
      </c>
      <c r="V903" s="65">
        <f>IFERROR(__xludf.DUMMYFUNCTION("""COMPUTED_VALUE"""),0.0)</f>
        <v>0</v>
      </c>
      <c r="W903" s="65">
        <f>IFERROR(__xludf.DUMMYFUNCTION("""COMPUTED_VALUE"""),0.0)</f>
        <v>0</v>
      </c>
      <c r="X903" s="65">
        <f>IFERROR(__xludf.DUMMYFUNCTION("""COMPUTED_VALUE"""),3.5)</f>
        <v>3.5</v>
      </c>
      <c r="Y903" s="65">
        <f>IFERROR(__xludf.DUMMYFUNCTION("""COMPUTED_VALUE"""),3.5)</f>
        <v>3.5</v>
      </c>
      <c r="Z903" s="65">
        <f>IFERROR(__xludf.DUMMYFUNCTION("""COMPUTED_VALUE"""),110064.0)</f>
        <v>110064</v>
      </c>
      <c r="AA903" s="65" t="str">
        <f>IFERROR(__xludf.DUMMYFUNCTION("""COMPUTED_VALUE"""),"IMX-00001")</f>
        <v>IMX-00001</v>
      </c>
      <c r="AB903" s="65"/>
      <c r="AC903" s="65" t="str">
        <f>IFERROR(__xludf.DUMMYFUNCTION("""COMPUTED_VALUE"""),"LLAVE TRINQUETE")</f>
        <v>LLAVE TRINQUETE</v>
      </c>
      <c r="AD903" s="65"/>
      <c r="AE903" s="65">
        <f>IFERROR(__xludf.DUMMYFUNCTION("""COMPUTED_VALUE"""),1.0)</f>
        <v>1</v>
      </c>
      <c r="AF903" s="65"/>
      <c r="AG903" s="65"/>
      <c r="AH903" s="65"/>
      <c r="AI903" s="65"/>
      <c r="AJ903" s="65"/>
      <c r="AK903" s="65"/>
      <c r="AL903" s="65"/>
      <c r="AM903" s="65"/>
      <c r="AN903" s="65"/>
      <c r="AO903" s="65"/>
      <c r="AP903" s="65"/>
      <c r="AQ903" s="65"/>
      <c r="AR903" s="65"/>
      <c r="AS903" s="65"/>
      <c r="AT903" s="65" t="str">
        <f>IFERROR(__xludf.DUMMYFUNCTION("""COMPUTED_VALUE"""),"SHOPIFY")</f>
        <v>SHOPIFY</v>
      </c>
      <c r="AU903" s="65" t="str">
        <f>IFERROR(__xludf.DUMMYFUNCTION("""COMPUTED_VALUE"""),"IMPORTEX EC")</f>
        <v>IMPORTEX EC</v>
      </c>
      <c r="AV903" s="65" t="str">
        <f>IFERROR(__xludf.DUMMYFUNCTION("""COMPUTED_VALUE"""),"6489196265516")</f>
        <v>6489196265516</v>
      </c>
      <c r="AW903" s="65">
        <f>IFERROR(__xludf.DUMMYFUNCTION("""COMPUTED_VALUE"""),5992.0)</f>
        <v>5992</v>
      </c>
      <c r="AX903" s="65"/>
      <c r="AY903" s="65"/>
      <c r="AZ903" s="65"/>
      <c r="BA903" s="65"/>
    </row>
    <row r="904">
      <c r="A904" s="65" t="str">
        <f>IFERROR(__xludf.DUMMYFUNCTION("""COMPUTED_VALUE"""),"27-03-2026")</f>
        <v>27-03-2026</v>
      </c>
      <c r="B904" s="65">
        <f>IFERROR(__xludf.DUMMYFUNCTION("""COMPUTED_VALUE"""),4451896.0)</f>
        <v>4451896</v>
      </c>
      <c r="C904" s="65" t="str">
        <f>IFERROR(__xludf.DUMMYFUNCTION("""COMPUTED_VALUE"""),"11:30")</f>
        <v>11:30</v>
      </c>
      <c r="D904" s="65" t="str">
        <f>IFERROR(__xludf.DUMMYFUNCTION("""COMPUTED_VALUE"""),"09-02-2026")</f>
        <v>09-02-2026</v>
      </c>
      <c r="E904" s="65" t="str">
        <f>IFERROR(__xludf.DUMMYFUNCTION("""COMPUTED_VALUE"""),"Marco Aníbal Trávez García")</f>
        <v>Marco Aníbal Trávez García</v>
      </c>
      <c r="F904" s="65" t="str">
        <f>IFERROR(__xludf.DUMMYFUNCTION("""COMPUTED_VALUE"""),"995688602")</f>
        <v>995688602</v>
      </c>
      <c r="G904" s="65" t="str">
        <f>IFERROR(__xludf.DUMMYFUNCTION("""COMPUTED_VALUE"""),"anibaltravez2007@yahoo.es")</f>
        <v>anibaltravez2007@yahoo.es</v>
      </c>
      <c r="H904" s="65"/>
      <c r="I904" s="65"/>
      <c r="J904" s="65" t="str">
        <f>IFERROR(__xludf.DUMMYFUNCTION("""COMPUTED_VALUE"""),"D001315528")</f>
        <v>D001315528</v>
      </c>
      <c r="K904" s="65" t="str">
        <f>IFERROR(__xludf.DUMMYFUNCTION("""COMPUTED_VALUE"""),"ENTREGADO")</f>
        <v>ENTREGADO</v>
      </c>
      <c r="L904" s="65" t="str">
        <f>IFERROR(__xludf.DUMMYFUNCTION("""COMPUTED_VALUE"""),"CON RECAUDO")</f>
        <v>CON RECAUDO</v>
      </c>
      <c r="M904" s="65" t="str">
        <f>IFERROR(__xludf.DUMMYFUNCTION("""COMPUTED_VALUE"""),"PASTAZA")</f>
        <v>PASTAZA</v>
      </c>
      <c r="N904" s="65" t="str">
        <f>IFERROR(__xludf.DUMMYFUNCTION("""COMPUTED_VALUE"""),"PUYO")</f>
        <v>PUYO</v>
      </c>
      <c r="O904" s="65" t="str">
        <f>IFERROR(__xludf.DUMMYFUNCTION("""COMPUTED_VALUE"""),"Barrio Vicentino Calle Ramiro Fernández , Entre Severo Vargas y Juan de Velasco -")</f>
        <v>Barrio Vicentino Calle Ramiro Fernández , Entre Severo Vargas y Juan de Velasco -</v>
      </c>
      <c r="P904" s="65"/>
      <c r="Q904" s="65" t="str">
        <f>IFERROR(__xludf.DUMMYFUNCTION("""COMPUTED_VALUE"""),"GINTRACOM")</f>
        <v>GINTRACOM</v>
      </c>
      <c r="R904" s="65">
        <f>IFERROR(__xludf.DUMMYFUNCTION("""COMPUTED_VALUE"""),19.99)</f>
        <v>19.99</v>
      </c>
      <c r="S904" s="65">
        <f>IFERROR(__xludf.DUMMYFUNCTION("""COMPUTED_VALUE"""),10.74)</f>
        <v>10.74</v>
      </c>
      <c r="T904" s="65">
        <f>IFERROR(__xludf.DUMMYFUNCTION("""COMPUTED_VALUE"""),5.75)</f>
        <v>5.75</v>
      </c>
      <c r="U904" s="65">
        <f>IFERROR(__xludf.DUMMYFUNCTION("""COMPUTED_VALUE"""),0.0)</f>
        <v>0</v>
      </c>
      <c r="V904" s="65">
        <f>IFERROR(__xludf.DUMMYFUNCTION("""COMPUTED_VALUE"""),0.0)</f>
        <v>0</v>
      </c>
      <c r="W904" s="65">
        <f>IFERROR(__xludf.DUMMYFUNCTION("""COMPUTED_VALUE"""),0.0)</f>
        <v>0</v>
      </c>
      <c r="X904" s="65">
        <f>IFERROR(__xludf.DUMMYFUNCTION("""COMPUTED_VALUE"""),3.5)</f>
        <v>3.5</v>
      </c>
      <c r="Y904" s="65">
        <f>IFERROR(__xludf.DUMMYFUNCTION("""COMPUTED_VALUE"""),3.5)</f>
        <v>3.5</v>
      </c>
      <c r="Z904" s="65">
        <f>IFERROR(__xludf.DUMMYFUNCTION("""COMPUTED_VALUE"""),110064.0)</f>
        <v>110064</v>
      </c>
      <c r="AA904" s="65" t="str">
        <f>IFERROR(__xludf.DUMMYFUNCTION("""COMPUTED_VALUE"""),"IMX-00001")</f>
        <v>IMX-00001</v>
      </c>
      <c r="AB904" s="65"/>
      <c r="AC904" s="65" t="str">
        <f>IFERROR(__xludf.DUMMYFUNCTION("""COMPUTED_VALUE"""),"LLAVE TRINQUETE")</f>
        <v>LLAVE TRINQUETE</v>
      </c>
      <c r="AD904" s="65"/>
      <c r="AE904" s="65">
        <f>IFERROR(__xludf.DUMMYFUNCTION("""COMPUTED_VALUE"""),1.0)</f>
        <v>1</v>
      </c>
      <c r="AF904" s="65"/>
      <c r="AG904" s="65"/>
      <c r="AH904" s="65"/>
      <c r="AI904" s="65"/>
      <c r="AJ904" s="65"/>
      <c r="AK904" s="65"/>
      <c r="AL904" s="65"/>
      <c r="AM904" s="65"/>
      <c r="AN904" s="65" t="str">
        <f>IFERROR(__xludf.DUMMYFUNCTION("""COMPUTED_VALUE"""),"15:12")</f>
        <v>15:12</v>
      </c>
      <c r="AO904" s="65" t="str">
        <f>IFERROR(__xludf.DUMMYFUNCTION("""COMPUTED_VALUE"""),"11-02-2026")</f>
        <v>11-02-2026</v>
      </c>
      <c r="AP904" s="65" t="str">
        <f>IFERROR(__xludf.DUMMYFUNCTION("""COMPUTED_VALUE"""),"ENTREGADA GINTRACOM")</f>
        <v>ENTREGADA GINTRACOM</v>
      </c>
      <c r="AQ904" s="65" t="str">
        <f>IFERROR(__xludf.DUMMYFUNCTION("""COMPUTED_VALUE"""),"ENTREGADA GINTRACOM")</f>
        <v>ENTREGADA GINTRACOM</v>
      </c>
      <c r="AR904" s="65"/>
      <c r="AS904" s="65"/>
      <c r="AT904" s="65" t="str">
        <f>IFERROR(__xludf.DUMMYFUNCTION("""COMPUTED_VALUE"""),"SHOPIFY")</f>
        <v>SHOPIFY</v>
      </c>
      <c r="AU904" s="65" t="str">
        <f>IFERROR(__xludf.DUMMYFUNCTION("""COMPUTED_VALUE"""),"IMPORTEX EC")</f>
        <v>IMPORTEX EC</v>
      </c>
      <c r="AV904" s="65" t="str">
        <f>IFERROR(__xludf.DUMMYFUNCTION("""COMPUTED_VALUE"""),"6488927764524")</f>
        <v>6488927764524</v>
      </c>
      <c r="AW904" s="65">
        <f>IFERROR(__xludf.DUMMYFUNCTION("""COMPUTED_VALUE"""),5991.0)</f>
        <v>5991</v>
      </c>
      <c r="AX904" s="65"/>
      <c r="AY904" s="65" t="str">
        <f>IFERROR(__xludf.DUMMYFUNCTION("""COMPUTED_VALUE"""),"10/02/2026")</f>
        <v>10/02/2026</v>
      </c>
      <c r="AZ904" s="65"/>
      <c r="BA904" s="65"/>
    </row>
    <row r="905">
      <c r="A905" s="65" t="str">
        <f>IFERROR(__xludf.DUMMYFUNCTION("""COMPUTED_VALUE"""),"27-03-2026")</f>
        <v>27-03-2026</v>
      </c>
      <c r="B905" s="65">
        <f>IFERROR(__xludf.DUMMYFUNCTION("""COMPUTED_VALUE"""),4451889.0)</f>
        <v>4451889</v>
      </c>
      <c r="C905" s="65" t="str">
        <f>IFERROR(__xludf.DUMMYFUNCTION("""COMPUTED_VALUE"""),"11:30")</f>
        <v>11:30</v>
      </c>
      <c r="D905" s="65" t="str">
        <f>IFERROR(__xludf.DUMMYFUNCTION("""COMPUTED_VALUE"""),"09-02-2026")</f>
        <v>09-02-2026</v>
      </c>
      <c r="E905" s="65" t="str">
        <f>IFERROR(__xludf.DUMMYFUNCTION("""COMPUTED_VALUE"""),"Luis Servando Pérez Cabascango")</f>
        <v>Luis Servando Pérez Cabascango</v>
      </c>
      <c r="F905" s="65" t="str">
        <f>IFERROR(__xludf.DUMMYFUNCTION("""COMPUTED_VALUE"""),"986230225")</f>
        <v>986230225</v>
      </c>
      <c r="G905" s="65" t="str">
        <f>IFERROR(__xludf.DUMMYFUNCTION("""COMPUTED_VALUE"""),"luisinioperez.12@gmail.com")</f>
        <v>luisinioperez.12@gmail.com</v>
      </c>
      <c r="H905" s="65"/>
      <c r="I905" s="65"/>
      <c r="J905" s="65" t="str">
        <f>IFERROR(__xludf.DUMMYFUNCTION("""COMPUTED_VALUE"""),"D001315529")</f>
        <v>D001315529</v>
      </c>
      <c r="K905" s="65" t="str">
        <f>IFERROR(__xludf.DUMMYFUNCTION("""COMPUTED_VALUE"""),"DEVOLUCION")</f>
        <v>DEVOLUCION</v>
      </c>
      <c r="L905" s="65" t="str">
        <f>IFERROR(__xludf.DUMMYFUNCTION("""COMPUTED_VALUE"""),"CON RECAUDO")</f>
        <v>CON RECAUDO</v>
      </c>
      <c r="M905" s="65" t="str">
        <f>IFERROR(__xludf.DUMMYFUNCTION("""COMPUTED_VALUE"""),"IMBABURA")</f>
        <v>IMBABURA</v>
      </c>
      <c r="N905" s="65" t="str">
        <f>IFERROR(__xludf.DUMMYFUNCTION("""COMPUTED_VALUE"""),"IBARRA")</f>
        <v>IBARRA</v>
      </c>
      <c r="O905" s="65" t="str">
        <f>IFERROR(__xludf.DUMMYFUNCTION("""COMPUTED_VALUE"""),"Quis Quis y Espinoza de los Monteros Caranqui -")</f>
        <v>Quis Quis y Espinoza de los Monteros Caranqui -</v>
      </c>
      <c r="P905" s="65"/>
      <c r="Q905" s="65" t="str">
        <f>IFERROR(__xludf.DUMMYFUNCTION("""COMPUTED_VALUE"""),"GINTRACOM")</f>
        <v>GINTRACOM</v>
      </c>
      <c r="R905" s="65">
        <f>IFERROR(__xludf.DUMMYFUNCTION("""COMPUTED_VALUE"""),28.0)</f>
        <v>28</v>
      </c>
      <c r="S905" s="65"/>
      <c r="T905" s="65">
        <f>IFERROR(__xludf.DUMMYFUNCTION("""COMPUTED_VALUE"""),6.08)</f>
        <v>6.08</v>
      </c>
      <c r="U905" s="65">
        <f>IFERROR(__xludf.DUMMYFUNCTION("""COMPUTED_VALUE"""),0.0)</f>
        <v>0</v>
      </c>
      <c r="V905" s="65">
        <f>IFERROR(__xludf.DUMMYFUNCTION("""COMPUTED_VALUE"""),0.0)</f>
        <v>0</v>
      </c>
      <c r="W905" s="65">
        <f>IFERROR(__xludf.DUMMYFUNCTION("""COMPUTED_VALUE"""),0.0)</f>
        <v>0</v>
      </c>
      <c r="X905" s="65">
        <f>IFERROR(__xludf.DUMMYFUNCTION("""COMPUTED_VALUE"""),3.5)</f>
        <v>3.5</v>
      </c>
      <c r="Y905" s="65">
        <f>IFERROR(__xludf.DUMMYFUNCTION("""COMPUTED_VALUE"""),7.0)</f>
        <v>7</v>
      </c>
      <c r="Z905" s="65">
        <f>IFERROR(__xludf.DUMMYFUNCTION("""COMPUTED_VALUE"""),110064.0)</f>
        <v>110064</v>
      </c>
      <c r="AA905" s="65" t="str">
        <f>IFERROR(__xludf.DUMMYFUNCTION("""COMPUTED_VALUE"""),"IMX-00001")</f>
        <v>IMX-00001</v>
      </c>
      <c r="AB905" s="65"/>
      <c r="AC905" s="65" t="str">
        <f>IFERROR(__xludf.DUMMYFUNCTION("""COMPUTED_VALUE"""),"LLAVE TRINQUETE")</f>
        <v>LLAVE TRINQUETE</v>
      </c>
      <c r="AD905" s="65"/>
      <c r="AE905" s="65">
        <f>IFERROR(__xludf.DUMMYFUNCTION("""COMPUTED_VALUE"""),2.0)</f>
        <v>2</v>
      </c>
      <c r="AF905" s="65" t="str">
        <f>IFERROR(__xludf.DUMMYFUNCTION("""COMPUTED_VALUE"""),"DESTINATARIO INDICA QUE LA MERCANCÍA ESTÁ INCOMPLETA")</f>
        <v>DESTINATARIO INDICA QUE LA MERCANCÍA ESTÁ INCOMPLETA</v>
      </c>
      <c r="AG905" s="65" t="str">
        <f>IFERROR(__xludf.DUMMYFUNCTION("""COMPUTED_VALUE"""),"NO")</f>
        <v>NO</v>
      </c>
      <c r="AH905" s="65" t="str">
        <f>IFERROR(__xludf.DUMMYFUNCTION("""COMPUTED_VALUE"""),"12:50")</f>
        <v>12:50</v>
      </c>
      <c r="AI905" s="65" t="str">
        <f>IFERROR(__xludf.DUMMYFUNCTION("""COMPUTED_VALUE"""),"12-02-2026")</f>
        <v>12-02-2026</v>
      </c>
      <c r="AJ905" s="65"/>
      <c r="AK905" s="65"/>
      <c r="AL905" s="65"/>
      <c r="AM905" s="65"/>
      <c r="AN905" s="65" t="str">
        <f>IFERROR(__xludf.DUMMYFUNCTION("""COMPUTED_VALUE"""),"15:52")</f>
        <v>15:52</v>
      </c>
      <c r="AO905" s="65" t="str">
        <f>IFERROR(__xludf.DUMMYFUNCTION("""COMPUTED_VALUE"""),"02-03-2026")</f>
        <v>02-03-2026</v>
      </c>
      <c r="AP905" s="65" t="str">
        <f>IFERROR(__xludf.DUMMYFUNCTION("""COMPUTED_VALUE"""),"DEVOLUCIÓN ENTREGADA A ORIGEN")</f>
        <v>DEVOLUCIÓN ENTREGADA A ORIGEN</v>
      </c>
      <c r="AQ905" s="65" t="str">
        <f>IFERROR(__xludf.DUMMYFUNCTION("""COMPUTED_VALUE"""),"DEVOLUCIÓN ENTREGADA A ORIGEN")</f>
        <v>DEVOLUCIÓN ENTREGADA A ORIGEN</v>
      </c>
      <c r="AR905" s="65"/>
      <c r="AS905" s="65"/>
      <c r="AT905" s="65" t="str">
        <f>IFERROR(__xludf.DUMMYFUNCTION("""COMPUTED_VALUE"""),"SHOPIFY")</f>
        <v>SHOPIFY</v>
      </c>
      <c r="AU905" s="65" t="str">
        <f>IFERROR(__xludf.DUMMYFUNCTION("""COMPUTED_VALUE"""),"IMPORTEX EC")</f>
        <v>IMPORTEX EC</v>
      </c>
      <c r="AV905" s="65" t="str">
        <f>IFERROR(__xludf.DUMMYFUNCTION("""COMPUTED_VALUE"""),"6488653234220")</f>
        <v>6488653234220</v>
      </c>
      <c r="AW905" s="65">
        <f>IFERROR(__xludf.DUMMYFUNCTION("""COMPUTED_VALUE"""),5990.0)</f>
        <v>5990</v>
      </c>
      <c r="AX905" s="65"/>
      <c r="AY905" s="65" t="str">
        <f>IFERROR(__xludf.DUMMYFUNCTION("""COMPUTED_VALUE"""),"10/02/2026")</f>
        <v>10/02/2026</v>
      </c>
      <c r="AZ905" s="65"/>
      <c r="BA905" s="65"/>
    </row>
    <row r="906">
      <c r="A906" s="65" t="str">
        <f>IFERROR(__xludf.DUMMYFUNCTION("""COMPUTED_VALUE"""),"27-03-2026")</f>
        <v>27-03-2026</v>
      </c>
      <c r="B906" s="65">
        <f>IFERROR(__xludf.DUMMYFUNCTION("""COMPUTED_VALUE"""),4442403.0)</f>
        <v>4442403</v>
      </c>
      <c r="C906" s="65" t="str">
        <f>IFERROR(__xludf.DUMMYFUNCTION("""COMPUTED_VALUE"""),"18:30")</f>
        <v>18:30</v>
      </c>
      <c r="D906" s="65" t="str">
        <f>IFERROR(__xludf.DUMMYFUNCTION("""COMPUTED_VALUE"""),"08-02-2026")</f>
        <v>08-02-2026</v>
      </c>
      <c r="E906" s="65" t="str">
        <f>IFERROR(__xludf.DUMMYFUNCTION("""COMPUTED_VALUE"""),"Marco Bautista")</f>
        <v>Marco Bautista</v>
      </c>
      <c r="F906" s="65" t="str">
        <f>IFERROR(__xludf.DUMMYFUNCTION("""COMPUTED_VALUE"""),"980143787")</f>
        <v>980143787</v>
      </c>
      <c r="G906" s="65" t="str">
        <f>IFERROR(__xludf.DUMMYFUNCTION("""COMPUTED_VALUE"""),"mb966031@gmail.com")</f>
        <v>mb966031@gmail.com</v>
      </c>
      <c r="H906" s="65"/>
      <c r="I906" s="65"/>
      <c r="J906" s="65"/>
      <c r="K906" s="65" t="str">
        <f>IFERROR(__xludf.DUMMYFUNCTION("""COMPUTED_VALUE"""),"PENDIENTE CONFIRMACION")</f>
        <v>PENDIENTE CONFIRMACION</v>
      </c>
      <c r="L906" s="65" t="str">
        <f>IFERROR(__xludf.DUMMYFUNCTION("""COMPUTED_VALUE"""),"CON RECAUDO")</f>
        <v>CON RECAUDO</v>
      </c>
      <c r="M906" s="65" t="str">
        <f>IFERROR(__xludf.DUMMYFUNCTION("""COMPUTED_VALUE"""),"PICHINCHA")</f>
        <v>PICHINCHA</v>
      </c>
      <c r="N906" s="65" t="str">
        <f>IFERROR(__xludf.DUMMYFUNCTION("""COMPUTED_VALUE"""),"QUITO")</f>
        <v>QUITO</v>
      </c>
      <c r="O906" s="65" t="str">
        <f>IFERROR(__xludf.DUMMYFUNCTION("""COMPUTED_VALUE"""),"Tránsito Amaguña El tambo  El magisterio casa 7 -")</f>
        <v>Tránsito Amaguña El tambo  El magisterio casa 7 -</v>
      </c>
      <c r="P906" s="65"/>
      <c r="Q906" s="65" t="str">
        <f>IFERROR(__xludf.DUMMYFUNCTION("""COMPUTED_VALUE"""),"GINTRACOM")</f>
        <v>GINTRACOM</v>
      </c>
      <c r="R906" s="65">
        <f>IFERROR(__xludf.DUMMYFUNCTION("""COMPUTED_VALUE"""),25.0)</f>
        <v>25</v>
      </c>
      <c r="S906" s="65"/>
      <c r="T906" s="65">
        <f>IFERROR(__xludf.DUMMYFUNCTION("""COMPUTED_VALUE"""),5.96)</f>
        <v>5.96</v>
      </c>
      <c r="U906" s="65">
        <f>IFERROR(__xludf.DUMMYFUNCTION("""COMPUTED_VALUE"""),0.0)</f>
        <v>0</v>
      </c>
      <c r="V906" s="65">
        <f>IFERROR(__xludf.DUMMYFUNCTION("""COMPUTED_VALUE"""),0.0)</f>
        <v>0</v>
      </c>
      <c r="W906" s="65">
        <f>IFERROR(__xludf.DUMMYFUNCTION("""COMPUTED_VALUE"""),0.0)</f>
        <v>0</v>
      </c>
      <c r="X906" s="65">
        <f>IFERROR(__xludf.DUMMYFUNCTION("""COMPUTED_VALUE"""),2.2)</f>
        <v>2.2</v>
      </c>
      <c r="Y906" s="65">
        <f>IFERROR(__xludf.DUMMYFUNCTION("""COMPUTED_VALUE"""),4.4)</f>
        <v>4.4</v>
      </c>
      <c r="Z906" s="65">
        <f>IFERROR(__xludf.DUMMYFUNCTION("""COMPUTED_VALUE"""),111894.0)</f>
        <v>111894</v>
      </c>
      <c r="AA906" s="65" t="str">
        <f>IFERROR(__xludf.DUMMYFUNCTION("""COMPUTED_VALUE"""),"LYIC5M40067")</f>
        <v>LYIC5M40067</v>
      </c>
      <c r="AB906" s="65"/>
      <c r="AC906" s="65" t="str">
        <f>IFERROR(__xludf.DUMMYFUNCTION("""COMPUTED_VALUE"""),"Limpiador de Parabrisas y Ventanas")</f>
        <v>Limpiador de Parabrisas y Ventanas</v>
      </c>
      <c r="AD906" s="65"/>
      <c r="AE906" s="65">
        <f>IFERROR(__xludf.DUMMYFUNCTION("""COMPUTED_VALUE"""),2.0)</f>
        <v>2</v>
      </c>
      <c r="AF906" s="65"/>
      <c r="AG906" s="65"/>
      <c r="AH906" s="65"/>
      <c r="AI906" s="65"/>
      <c r="AJ906" s="65"/>
      <c r="AK906" s="65"/>
      <c r="AL906" s="65"/>
      <c r="AM906" s="65"/>
      <c r="AN906" s="65"/>
      <c r="AO906" s="65"/>
      <c r="AP906" s="65"/>
      <c r="AQ906" s="65"/>
      <c r="AR906" s="65"/>
      <c r="AS906" s="65"/>
      <c r="AT906" s="65" t="str">
        <f>IFERROR(__xludf.DUMMYFUNCTION("""COMPUTED_VALUE"""),"SHOPIFY")</f>
        <v>SHOPIFY</v>
      </c>
      <c r="AU906" s="65" t="str">
        <f>IFERROR(__xludf.DUMMYFUNCTION("""COMPUTED_VALUE"""),"IMPORTEX EC")</f>
        <v>IMPORTEX EC</v>
      </c>
      <c r="AV906" s="65" t="str">
        <f>IFERROR(__xludf.DUMMYFUNCTION("""COMPUTED_VALUE"""),"6485727117356")</f>
        <v>6485727117356</v>
      </c>
      <c r="AW906" s="65">
        <f>IFERROR(__xludf.DUMMYFUNCTION("""COMPUTED_VALUE"""),5944.0)</f>
        <v>5944</v>
      </c>
      <c r="AX906" s="65"/>
      <c r="AY906" s="65"/>
      <c r="AZ906" s="65"/>
      <c r="BA906" s="65"/>
    </row>
    <row r="907">
      <c r="A907" s="65" t="str">
        <f>IFERROR(__xludf.DUMMYFUNCTION("""COMPUTED_VALUE"""),"27-03-2026")</f>
        <v>27-03-2026</v>
      </c>
      <c r="B907" s="65">
        <f>IFERROR(__xludf.DUMMYFUNCTION("""COMPUTED_VALUE"""),4442400.0)</f>
        <v>4442400</v>
      </c>
      <c r="C907" s="65" t="str">
        <f>IFERROR(__xludf.DUMMYFUNCTION("""COMPUTED_VALUE"""),"18:30")</f>
        <v>18:30</v>
      </c>
      <c r="D907" s="65" t="str">
        <f>IFERROR(__xludf.DUMMYFUNCTION("""COMPUTED_VALUE"""),"08-02-2026")</f>
        <v>08-02-2026</v>
      </c>
      <c r="E907" s="65" t="str">
        <f>IFERROR(__xludf.DUMMYFUNCTION("""COMPUTED_VALUE"""),"Edison Garcia")</f>
        <v>Edison Garcia</v>
      </c>
      <c r="F907" s="65" t="str">
        <f>IFERROR(__xludf.DUMMYFUNCTION("""COMPUTED_VALUE"""),"979879512")</f>
        <v>979879512</v>
      </c>
      <c r="G907" s="65" t="str">
        <f>IFERROR(__xludf.DUMMYFUNCTION("""COMPUTED_VALUE"""),"garciaedison1992@gmail.com")</f>
        <v>garciaedison1992@gmail.com</v>
      </c>
      <c r="H907" s="65"/>
      <c r="I907" s="65"/>
      <c r="J907" s="65"/>
      <c r="K907" s="65" t="str">
        <f>IFERROR(__xludf.DUMMYFUNCTION("""COMPUTED_VALUE"""),"PENDIENTE CONFIRMACION")</f>
        <v>PENDIENTE CONFIRMACION</v>
      </c>
      <c r="L907" s="65" t="str">
        <f>IFERROR(__xludf.DUMMYFUNCTION("""COMPUTED_VALUE"""),"CON RECAUDO")</f>
        <v>CON RECAUDO</v>
      </c>
      <c r="M907" s="65" t="str">
        <f>IFERROR(__xludf.DUMMYFUNCTION("""COMPUTED_VALUE"""),"LOJA")</f>
        <v>LOJA</v>
      </c>
      <c r="N907" s="65" t="str">
        <f>IFERROR(__xludf.DUMMYFUNCTION("""COMPUTED_VALUE"""),"PINDAL")</f>
        <v>PINDAL</v>
      </c>
      <c r="O907" s="65" t="str">
        <f>IFERROR(__xludf.DUMMYFUNCTION("""COMPUTED_VALUE"""),"Loja y nueve de octubre Barrio 9 de octubre -")</f>
        <v>Loja y nueve de octubre Barrio 9 de octubre -</v>
      </c>
      <c r="P907" s="65"/>
      <c r="Q907" s="65" t="str">
        <f>IFERROR(__xludf.DUMMYFUNCTION("""COMPUTED_VALUE"""),"SERVIENTREGA")</f>
        <v>SERVIENTREGA</v>
      </c>
      <c r="R907" s="65">
        <f>IFERROR(__xludf.DUMMYFUNCTION("""COMPUTED_VALUE"""),20.0)</f>
        <v>20</v>
      </c>
      <c r="S907" s="65"/>
      <c r="T907" s="65">
        <f>IFERROR(__xludf.DUMMYFUNCTION("""COMPUTED_VALUE"""),7.67)</f>
        <v>7.67</v>
      </c>
      <c r="U907" s="65">
        <f>IFERROR(__xludf.DUMMYFUNCTION("""COMPUTED_VALUE"""),0.0)</f>
        <v>0</v>
      </c>
      <c r="V907" s="65">
        <f>IFERROR(__xludf.DUMMYFUNCTION("""COMPUTED_VALUE"""),0.0)</f>
        <v>0</v>
      </c>
      <c r="W907" s="65">
        <f>IFERROR(__xludf.DUMMYFUNCTION("""COMPUTED_VALUE"""),0.0)</f>
        <v>0</v>
      </c>
      <c r="X907" s="65">
        <f>IFERROR(__xludf.DUMMYFUNCTION("""COMPUTED_VALUE"""),2.2)</f>
        <v>2.2</v>
      </c>
      <c r="Y907" s="65">
        <f>IFERROR(__xludf.DUMMYFUNCTION("""COMPUTED_VALUE"""),2.2)</f>
        <v>2.2</v>
      </c>
      <c r="Z907" s="65">
        <f>IFERROR(__xludf.DUMMYFUNCTION("""COMPUTED_VALUE"""),111894.0)</f>
        <v>111894</v>
      </c>
      <c r="AA907" s="65" t="str">
        <f>IFERROR(__xludf.DUMMYFUNCTION("""COMPUTED_VALUE"""),"LYIC5M40067")</f>
        <v>LYIC5M40067</v>
      </c>
      <c r="AB907" s="65"/>
      <c r="AC907" s="65" t="str">
        <f>IFERROR(__xludf.DUMMYFUNCTION("""COMPUTED_VALUE"""),"Limpiador de Parabrisas y Ventanas")</f>
        <v>Limpiador de Parabrisas y Ventanas</v>
      </c>
      <c r="AD907" s="65"/>
      <c r="AE907" s="65">
        <f>IFERROR(__xludf.DUMMYFUNCTION("""COMPUTED_VALUE"""),1.0)</f>
        <v>1</v>
      </c>
      <c r="AF907" s="65"/>
      <c r="AG907" s="65"/>
      <c r="AH907" s="65"/>
      <c r="AI907" s="65"/>
      <c r="AJ907" s="65"/>
      <c r="AK907" s="65"/>
      <c r="AL907" s="65"/>
      <c r="AM907" s="65"/>
      <c r="AN907" s="65"/>
      <c r="AO907" s="65"/>
      <c r="AP907" s="65"/>
      <c r="AQ907" s="65"/>
      <c r="AR907" s="65"/>
      <c r="AS907" s="65"/>
      <c r="AT907" s="65" t="str">
        <f>IFERROR(__xludf.DUMMYFUNCTION("""COMPUTED_VALUE"""),"SHOPIFY")</f>
        <v>SHOPIFY</v>
      </c>
      <c r="AU907" s="65" t="str">
        <f>IFERROR(__xludf.DUMMYFUNCTION("""COMPUTED_VALUE"""),"IMPORTEX EC")</f>
        <v>IMPORTEX EC</v>
      </c>
      <c r="AV907" s="65" t="str">
        <f>IFERROR(__xludf.DUMMYFUNCTION("""COMPUTED_VALUE"""),"6485744156716")</f>
        <v>6485744156716</v>
      </c>
      <c r="AW907" s="65">
        <f>IFERROR(__xludf.DUMMYFUNCTION("""COMPUTED_VALUE"""),5945.0)</f>
        <v>5945</v>
      </c>
      <c r="AX907" s="65"/>
      <c r="AY907" s="65"/>
      <c r="AZ907" s="65"/>
      <c r="BA907" s="65"/>
    </row>
    <row r="908">
      <c r="A908" s="65" t="str">
        <f>IFERROR(__xludf.DUMMYFUNCTION("""COMPUTED_VALUE"""),"27-03-2026")</f>
        <v>27-03-2026</v>
      </c>
      <c r="B908" s="65">
        <f>IFERROR(__xludf.DUMMYFUNCTION("""COMPUTED_VALUE"""),4442399.0)</f>
        <v>4442399</v>
      </c>
      <c r="C908" s="65" t="str">
        <f>IFERROR(__xludf.DUMMYFUNCTION("""COMPUTED_VALUE"""),"18:30")</f>
        <v>18:30</v>
      </c>
      <c r="D908" s="65" t="str">
        <f>IFERROR(__xludf.DUMMYFUNCTION("""COMPUTED_VALUE"""),"08-02-2026")</f>
        <v>08-02-2026</v>
      </c>
      <c r="E908" s="65" t="str">
        <f>IFERROR(__xludf.DUMMYFUNCTION("""COMPUTED_VALUE"""),"Armando Fuentes")</f>
        <v>Armando Fuentes</v>
      </c>
      <c r="F908" s="65" t="str">
        <f>IFERROR(__xludf.DUMMYFUNCTION("""COMPUTED_VALUE"""),"991707191")</f>
        <v>991707191</v>
      </c>
      <c r="G908" s="65" t="str">
        <f>IFERROR(__xludf.DUMMYFUNCTION("""COMPUTED_VALUE"""),"armandoenrif@gmail.com")</f>
        <v>armandoenrif@gmail.com</v>
      </c>
      <c r="H908" s="65"/>
      <c r="I908" s="65"/>
      <c r="J908" s="65" t="str">
        <f>IFERROR(__xludf.DUMMYFUNCTION("""COMPUTED_VALUE"""),"LC52844505")</f>
        <v>LC52844505</v>
      </c>
      <c r="K908" s="65" t="str">
        <f>IFERROR(__xludf.DUMMYFUNCTION("""COMPUTED_VALUE"""),"DEVOLUCION")</f>
        <v>DEVOLUCION</v>
      </c>
      <c r="L908" s="65" t="str">
        <f>IFERROR(__xludf.DUMMYFUNCTION("""COMPUTED_VALUE"""),"CON RECAUDO")</f>
        <v>CON RECAUDO</v>
      </c>
      <c r="M908" s="65" t="str">
        <f>IFERROR(__xludf.DUMMYFUNCTION("""COMPUTED_VALUE"""),"CARCHI")</f>
        <v>CARCHI</v>
      </c>
      <c r="N908" s="65" t="str">
        <f>IFERROR(__xludf.DUMMYFUNCTION("""COMPUTED_VALUE"""),"HUACA")</f>
        <v>HUACA</v>
      </c>
      <c r="O908" s="65" t="str">
        <f>IFERROR(__xludf.DUMMYFUNCTION("""COMPUTED_VALUE"""),"8 diciembre y Feliz Yepez Barrió norte ferretería el gato")</f>
        <v>8 diciembre y Feliz Yepez Barrió norte ferretería el gato</v>
      </c>
      <c r="P908" s="65"/>
      <c r="Q908" s="65" t="str">
        <f>IFERROR(__xludf.DUMMYFUNCTION("""COMPUTED_VALUE"""),"LAARCOURIER")</f>
        <v>LAARCOURIER</v>
      </c>
      <c r="R908" s="65">
        <f>IFERROR(__xludf.DUMMYFUNCTION("""COMPUTED_VALUE"""),22.0)</f>
        <v>22</v>
      </c>
      <c r="S908" s="65"/>
      <c r="T908" s="65">
        <f>IFERROR(__xludf.DUMMYFUNCTION("""COMPUTED_VALUE"""),7.01)</f>
        <v>7.01</v>
      </c>
      <c r="U908" s="65">
        <f>IFERROR(__xludf.DUMMYFUNCTION("""COMPUTED_VALUE"""),0.0)</f>
        <v>0</v>
      </c>
      <c r="V908" s="65">
        <f>IFERROR(__xludf.DUMMYFUNCTION("""COMPUTED_VALUE"""),0.0)</f>
        <v>0</v>
      </c>
      <c r="W908" s="65">
        <f>IFERROR(__xludf.DUMMYFUNCTION("""COMPUTED_VALUE"""),0.0)</f>
        <v>0</v>
      </c>
      <c r="X908" s="65">
        <f>IFERROR(__xludf.DUMMYFUNCTION("""COMPUTED_VALUE"""),2.6)</f>
        <v>2.6</v>
      </c>
      <c r="Y908" s="65">
        <f>IFERROR(__xludf.DUMMYFUNCTION("""COMPUTED_VALUE"""),5.2)</f>
        <v>5.2</v>
      </c>
      <c r="Z908" s="65">
        <f>IFERROR(__xludf.DUMMYFUNCTION("""COMPUTED_VALUE"""),121983.0)</f>
        <v>121983</v>
      </c>
      <c r="AA908" s="65" t="str">
        <f>IFERROR(__xludf.DUMMYFUNCTION("""COMPUTED_VALUE"""),"PROV-CHLLCF")</f>
        <v>PROV-CHLLCF</v>
      </c>
      <c r="AB908" s="65"/>
      <c r="AC908" s="65" t="str">
        <f>IFERROR(__xludf.DUMMYFUNCTION("""COMPUTED_VALUE"""),"CUCHILLO PARA CHEF")</f>
        <v>CUCHILLO PARA CHEF</v>
      </c>
      <c r="AD908" s="65"/>
      <c r="AE908" s="65">
        <f>IFERROR(__xludf.DUMMYFUNCTION("""COMPUTED_VALUE"""),2.0)</f>
        <v>2</v>
      </c>
      <c r="AF908" s="65"/>
      <c r="AG908" s="65"/>
      <c r="AH908" s="65"/>
      <c r="AI908" s="65"/>
      <c r="AJ908" s="65"/>
      <c r="AK908" s="65"/>
      <c r="AL908" s="65"/>
      <c r="AM908" s="65"/>
      <c r="AN908" s="65" t="str">
        <f>IFERROR(__xludf.DUMMYFUNCTION("""COMPUTED_VALUE"""),"13:37")</f>
        <v>13:37</v>
      </c>
      <c r="AO908" s="65" t="str">
        <f>IFERROR(__xludf.DUMMYFUNCTION("""COMPUTED_VALUE"""),"25-02-2026")</f>
        <v>25-02-2026</v>
      </c>
      <c r="AP908" s="65" t="str">
        <f>IFERROR(__xludf.DUMMYFUNCTION("""COMPUTED_VALUE"""),"DEVOLUCIÓN / ENTREGA")</f>
        <v>DEVOLUCIÓN / ENTREGA</v>
      </c>
      <c r="AQ908" s="65" t="str">
        <f>IFERROR(__xludf.DUMMYFUNCTION("""COMPUTED_VALUE"""),"DEVOLUCIÓN / ENTREGA")</f>
        <v>DEVOLUCIÓN / ENTREGA</v>
      </c>
      <c r="AR908" s="65"/>
      <c r="AS908" s="65"/>
      <c r="AT908" s="65" t="str">
        <f>IFERROR(__xludf.DUMMYFUNCTION("""COMPUTED_VALUE"""),"SHOPIFY")</f>
        <v>SHOPIFY</v>
      </c>
      <c r="AU908" s="65" t="str">
        <f>IFERROR(__xludf.DUMMYFUNCTION("""COMPUTED_VALUE"""),"IMPORTEX EC")</f>
        <v>IMPORTEX EC</v>
      </c>
      <c r="AV908" s="65" t="str">
        <f>IFERROR(__xludf.DUMMYFUNCTION("""COMPUTED_VALUE"""),"6485983068204")</f>
        <v>6485983068204</v>
      </c>
      <c r="AW908" s="65">
        <f>IFERROR(__xludf.DUMMYFUNCTION("""COMPUTED_VALUE"""),5947.0)</f>
        <v>5947</v>
      </c>
      <c r="AX908" s="65"/>
      <c r="AY908" s="65" t="str">
        <f>IFERROR(__xludf.DUMMYFUNCTION("""COMPUTED_VALUE"""),"11/02/2026")</f>
        <v>11/02/2026</v>
      </c>
      <c r="AZ908" s="65"/>
      <c r="BA908" s="65"/>
    </row>
    <row r="909">
      <c r="A909" s="65" t="str">
        <f>IFERROR(__xludf.DUMMYFUNCTION("""COMPUTED_VALUE"""),"27-03-2026")</f>
        <v>27-03-2026</v>
      </c>
      <c r="B909" s="65">
        <f>IFERROR(__xludf.DUMMYFUNCTION("""COMPUTED_VALUE"""),4442397.0)</f>
        <v>4442397</v>
      </c>
      <c r="C909" s="65" t="str">
        <f>IFERROR(__xludf.DUMMYFUNCTION("""COMPUTED_VALUE"""),"18:30")</f>
        <v>18:30</v>
      </c>
      <c r="D909" s="65" t="str">
        <f>IFERROR(__xludf.DUMMYFUNCTION("""COMPUTED_VALUE"""),"08-02-2026")</f>
        <v>08-02-2026</v>
      </c>
      <c r="E909" s="65" t="str">
        <f>IFERROR(__xludf.DUMMYFUNCTION("""COMPUTED_VALUE"""),"Cristian Palacios")</f>
        <v>Cristian Palacios</v>
      </c>
      <c r="F909" s="65" t="str">
        <f>IFERROR(__xludf.DUMMYFUNCTION("""COMPUTED_VALUE"""),"998190915")</f>
        <v>998190915</v>
      </c>
      <c r="G909" s="65" t="str">
        <f>IFERROR(__xludf.DUMMYFUNCTION("""COMPUTED_VALUE"""),"cristiancadcam@hotmail.com")</f>
        <v>cristiancadcam@hotmail.com</v>
      </c>
      <c r="H909" s="65"/>
      <c r="I909" s="65"/>
      <c r="J909" s="65" t="str">
        <f>IFERROR(__xludf.DUMMYFUNCTION("""COMPUTED_VALUE"""),"D001312988")</f>
        <v>D001312988</v>
      </c>
      <c r="K909" s="65" t="str">
        <f>IFERROR(__xludf.DUMMYFUNCTION("""COMPUTED_VALUE"""),"ENTREGADO")</f>
        <v>ENTREGADO</v>
      </c>
      <c r="L909" s="65" t="str">
        <f>IFERROR(__xludf.DUMMYFUNCTION("""COMPUTED_VALUE"""),"CON RECAUDO")</f>
        <v>CON RECAUDO</v>
      </c>
      <c r="M909" s="65" t="str">
        <f>IFERROR(__xludf.DUMMYFUNCTION("""COMPUTED_VALUE"""),"PICHINCHA")</f>
        <v>PICHINCHA</v>
      </c>
      <c r="N909" s="65" t="str">
        <f>IFERROR(__xludf.DUMMYFUNCTION("""COMPUTED_VALUE"""),"QUITO")</f>
        <v>QUITO</v>
      </c>
      <c r="O909" s="65" t="str">
        <f>IFERROR(__xludf.DUMMYFUNCTION("""COMPUTED_VALUE"""),"Calle Maria Godoy Pasaje mercurio - conjunto brisas del Norte 2 casa,M 7 Calderón, Quito")</f>
        <v>Calle Maria Godoy Pasaje mercurio - conjunto brisas del Norte 2 casa,M 7 Calderón, Quito</v>
      </c>
      <c r="P909" s="65"/>
      <c r="Q909" s="65" t="str">
        <f>IFERROR(__xludf.DUMMYFUNCTION("""COMPUTED_VALUE"""),"GINTRACOM")</f>
        <v>GINTRACOM</v>
      </c>
      <c r="R909" s="65">
        <f>IFERROR(__xludf.DUMMYFUNCTION("""COMPUTED_VALUE"""),20.0)</f>
        <v>20</v>
      </c>
      <c r="S909" s="65">
        <f>IFERROR(__xludf.DUMMYFUNCTION("""COMPUTED_VALUE"""),12.04)</f>
        <v>12.04</v>
      </c>
      <c r="T909" s="65">
        <f>IFERROR(__xludf.DUMMYFUNCTION("""COMPUTED_VALUE"""),5.76)</f>
        <v>5.76</v>
      </c>
      <c r="U909" s="65">
        <f>IFERROR(__xludf.DUMMYFUNCTION("""COMPUTED_VALUE"""),0.0)</f>
        <v>0</v>
      </c>
      <c r="V909" s="65">
        <f>IFERROR(__xludf.DUMMYFUNCTION("""COMPUTED_VALUE"""),0.0)</f>
        <v>0</v>
      </c>
      <c r="W909" s="65">
        <f>IFERROR(__xludf.DUMMYFUNCTION("""COMPUTED_VALUE"""),0.0)</f>
        <v>0</v>
      </c>
      <c r="X909" s="65">
        <f>IFERROR(__xludf.DUMMYFUNCTION("""COMPUTED_VALUE"""),2.2)</f>
        <v>2.2</v>
      </c>
      <c r="Y909" s="65">
        <f>IFERROR(__xludf.DUMMYFUNCTION("""COMPUTED_VALUE"""),2.2)</f>
        <v>2.2</v>
      </c>
      <c r="Z909" s="65">
        <f>IFERROR(__xludf.DUMMYFUNCTION("""COMPUTED_VALUE"""),111894.0)</f>
        <v>111894</v>
      </c>
      <c r="AA909" s="65" t="str">
        <f>IFERROR(__xludf.DUMMYFUNCTION("""COMPUTED_VALUE"""),"LYIC5M40067")</f>
        <v>LYIC5M40067</v>
      </c>
      <c r="AB909" s="65"/>
      <c r="AC909" s="65" t="str">
        <f>IFERROR(__xludf.DUMMYFUNCTION("""COMPUTED_VALUE"""),"Limpiador de Parabrisas y Ventanas")</f>
        <v>Limpiador de Parabrisas y Ventanas</v>
      </c>
      <c r="AD909" s="65"/>
      <c r="AE909" s="65">
        <f>IFERROR(__xludf.DUMMYFUNCTION("""COMPUTED_VALUE"""),1.0)</f>
        <v>1</v>
      </c>
      <c r="AF909" s="65"/>
      <c r="AG909" s="65"/>
      <c r="AH909" s="65"/>
      <c r="AI909" s="65"/>
      <c r="AJ909" s="65"/>
      <c r="AK909" s="65"/>
      <c r="AL909" s="65"/>
      <c r="AM909" s="65"/>
      <c r="AN909" s="65" t="str">
        <f>IFERROR(__xludf.DUMMYFUNCTION("""COMPUTED_VALUE"""),"14:54")</f>
        <v>14:54</v>
      </c>
      <c r="AO909" s="65" t="str">
        <f>IFERROR(__xludf.DUMMYFUNCTION("""COMPUTED_VALUE"""),"12-02-2026")</f>
        <v>12-02-2026</v>
      </c>
      <c r="AP909" s="65" t="str">
        <f>IFERROR(__xludf.DUMMYFUNCTION("""COMPUTED_VALUE"""),"ENTREGADA GINTRACOM")</f>
        <v>ENTREGADA GINTRACOM</v>
      </c>
      <c r="AQ909" s="65" t="str">
        <f>IFERROR(__xludf.DUMMYFUNCTION("""COMPUTED_VALUE"""),"ENTREGADA GINTRACOM")</f>
        <v>ENTREGADA GINTRACOM</v>
      </c>
      <c r="AR909" s="65"/>
      <c r="AS909" s="65"/>
      <c r="AT909" s="65" t="str">
        <f>IFERROR(__xludf.DUMMYFUNCTION("""COMPUTED_VALUE"""),"SHOPIFY")</f>
        <v>SHOPIFY</v>
      </c>
      <c r="AU909" s="65" t="str">
        <f>IFERROR(__xludf.DUMMYFUNCTION("""COMPUTED_VALUE"""),"IMPORTEX EC")</f>
        <v>IMPORTEX EC</v>
      </c>
      <c r="AV909" s="65" t="str">
        <f>IFERROR(__xludf.DUMMYFUNCTION("""COMPUTED_VALUE"""),"6486007087148")</f>
        <v>6486007087148</v>
      </c>
      <c r="AW909" s="65">
        <f>IFERROR(__xludf.DUMMYFUNCTION("""COMPUTED_VALUE"""),5948.0)</f>
        <v>5948</v>
      </c>
      <c r="AX909" s="65"/>
      <c r="AY909" s="65" t="str">
        <f>IFERROR(__xludf.DUMMYFUNCTION("""COMPUTED_VALUE"""),"09/02/2026")</f>
        <v>09/02/2026</v>
      </c>
      <c r="AZ909" s="65"/>
      <c r="BA909" s="65"/>
    </row>
    <row r="910">
      <c r="A910" s="65" t="str">
        <f>IFERROR(__xludf.DUMMYFUNCTION("""COMPUTED_VALUE"""),"27-03-2026")</f>
        <v>27-03-2026</v>
      </c>
      <c r="B910" s="65">
        <f>IFERROR(__xludf.DUMMYFUNCTION("""COMPUTED_VALUE"""),4442395.0)</f>
        <v>4442395</v>
      </c>
      <c r="C910" s="65" t="str">
        <f>IFERROR(__xludf.DUMMYFUNCTION("""COMPUTED_VALUE"""),"18:30")</f>
        <v>18:30</v>
      </c>
      <c r="D910" s="65" t="str">
        <f>IFERROR(__xludf.DUMMYFUNCTION("""COMPUTED_VALUE"""),"08-02-2026")</f>
        <v>08-02-2026</v>
      </c>
      <c r="E910" s="65" t="str">
        <f>IFERROR(__xludf.DUMMYFUNCTION("""COMPUTED_VALUE"""),"Maria Toala")</f>
        <v>Maria Toala</v>
      </c>
      <c r="F910" s="65" t="str">
        <f>IFERROR(__xludf.DUMMYFUNCTION("""COMPUTED_VALUE"""),"989683375")</f>
        <v>989683375</v>
      </c>
      <c r="G910" s="65" t="str">
        <f>IFERROR(__xludf.DUMMYFUNCTION("""COMPUTED_VALUE"""),"piscis.marita070377@gmail.com")</f>
        <v>piscis.marita070377@gmail.com</v>
      </c>
      <c r="H910" s="65"/>
      <c r="I910" s="65"/>
      <c r="J910" s="65" t="str">
        <f>IFERROR(__xludf.DUMMYFUNCTION("""COMPUTED_VALUE"""),"LC52832255")</f>
        <v>LC52832255</v>
      </c>
      <c r="K910" s="65" t="str">
        <f>IFERROR(__xludf.DUMMYFUNCTION("""COMPUTED_VALUE"""),"ENTREGADO")</f>
        <v>ENTREGADO</v>
      </c>
      <c r="L910" s="65" t="str">
        <f>IFERROR(__xludf.DUMMYFUNCTION("""COMPUTED_VALUE"""),"CON RECAUDO")</f>
        <v>CON RECAUDO</v>
      </c>
      <c r="M910" s="65" t="str">
        <f>IFERROR(__xludf.DUMMYFUNCTION("""COMPUTED_VALUE"""),"MANABI")</f>
        <v>MANABI</v>
      </c>
      <c r="N910" s="65" t="str">
        <f>IFERROR(__xludf.DUMMYFUNCTION("""COMPUTED_VALUE"""),"PAJAN")</f>
        <v>PAJAN</v>
      </c>
      <c r="O910" s="65" t="str">
        <f>IFERROR(__xludf.DUMMYFUNCTION("""COMPUTED_VALUE"""),"9 de octubre Y  Manuel lorenzo nieto -")</f>
        <v>9 de octubre Y  Manuel lorenzo nieto -</v>
      </c>
      <c r="P910" s="65"/>
      <c r="Q910" s="65" t="str">
        <f>IFERROR(__xludf.DUMMYFUNCTION("""COMPUTED_VALUE"""),"LAARCOURIER")</f>
        <v>LAARCOURIER</v>
      </c>
      <c r="R910" s="65">
        <f>IFERROR(__xludf.DUMMYFUNCTION("""COMPUTED_VALUE"""),22.0)</f>
        <v>22</v>
      </c>
      <c r="S910" s="65">
        <f>IFERROR(__xludf.DUMMYFUNCTION("""COMPUTED_VALUE"""),9.79)</f>
        <v>9.79</v>
      </c>
      <c r="T910" s="65">
        <f>IFERROR(__xludf.DUMMYFUNCTION("""COMPUTED_VALUE"""),7.01)</f>
        <v>7.01</v>
      </c>
      <c r="U910" s="65">
        <f>IFERROR(__xludf.DUMMYFUNCTION("""COMPUTED_VALUE"""),0.0)</f>
        <v>0</v>
      </c>
      <c r="V910" s="65">
        <f>IFERROR(__xludf.DUMMYFUNCTION("""COMPUTED_VALUE"""),0.0)</f>
        <v>0</v>
      </c>
      <c r="W910" s="65">
        <f>IFERROR(__xludf.DUMMYFUNCTION("""COMPUTED_VALUE"""),0.0)</f>
        <v>0</v>
      </c>
      <c r="X910" s="65">
        <f>IFERROR(__xludf.DUMMYFUNCTION("""COMPUTED_VALUE"""),2.6)</f>
        <v>2.6</v>
      </c>
      <c r="Y910" s="65">
        <f>IFERROR(__xludf.DUMMYFUNCTION("""COMPUTED_VALUE"""),5.2)</f>
        <v>5.2</v>
      </c>
      <c r="Z910" s="65">
        <f>IFERROR(__xludf.DUMMYFUNCTION("""COMPUTED_VALUE"""),121983.0)</f>
        <v>121983</v>
      </c>
      <c r="AA910" s="65" t="str">
        <f>IFERROR(__xludf.DUMMYFUNCTION("""COMPUTED_VALUE"""),"PROV-CHLLCF")</f>
        <v>PROV-CHLLCF</v>
      </c>
      <c r="AB910" s="65"/>
      <c r="AC910" s="65" t="str">
        <f>IFERROR(__xludf.DUMMYFUNCTION("""COMPUTED_VALUE"""),"CUCHILLO PARA CHEF")</f>
        <v>CUCHILLO PARA CHEF</v>
      </c>
      <c r="AD910" s="65"/>
      <c r="AE910" s="65">
        <f>IFERROR(__xludf.DUMMYFUNCTION("""COMPUTED_VALUE"""),2.0)</f>
        <v>2</v>
      </c>
      <c r="AF910" s="65"/>
      <c r="AG910" s="65"/>
      <c r="AH910" s="65"/>
      <c r="AI910" s="65"/>
      <c r="AJ910" s="65"/>
      <c r="AK910" s="65"/>
      <c r="AL910" s="65"/>
      <c r="AM910" s="65"/>
      <c r="AN910" s="65" t="str">
        <f>IFERROR(__xludf.DUMMYFUNCTION("""COMPUTED_VALUE"""),"10:34")</f>
        <v>10:34</v>
      </c>
      <c r="AO910" s="65" t="str">
        <f>IFERROR(__xludf.DUMMYFUNCTION("""COMPUTED_VALUE"""),"12-02-2026")</f>
        <v>12-02-2026</v>
      </c>
      <c r="AP910" s="65" t="str">
        <f>IFERROR(__xludf.DUMMYFUNCTION("""COMPUTED_VALUE"""),"ENTREGADO")</f>
        <v>ENTREGADO</v>
      </c>
      <c r="AQ910" s="65" t="str">
        <f>IFERROR(__xludf.DUMMYFUNCTION("""COMPUTED_VALUE"""),"ENTREGADO")</f>
        <v>ENTREGADO</v>
      </c>
      <c r="AR910" s="65"/>
      <c r="AS910" s="65"/>
      <c r="AT910" s="65" t="str">
        <f>IFERROR(__xludf.DUMMYFUNCTION("""COMPUTED_VALUE"""),"SHOPIFY")</f>
        <v>SHOPIFY</v>
      </c>
      <c r="AU910" s="65" t="str">
        <f>IFERROR(__xludf.DUMMYFUNCTION("""COMPUTED_VALUE"""),"IMPORTEX EC")</f>
        <v>IMPORTEX EC</v>
      </c>
      <c r="AV910" s="65" t="str">
        <f>IFERROR(__xludf.DUMMYFUNCTION("""COMPUTED_VALUE"""),"6486018719788")</f>
        <v>6486018719788</v>
      </c>
      <c r="AW910" s="65">
        <f>IFERROR(__xludf.DUMMYFUNCTION("""COMPUTED_VALUE"""),5949.0)</f>
        <v>5949</v>
      </c>
      <c r="AX910" s="65"/>
      <c r="AY910" s="65" t="str">
        <f>IFERROR(__xludf.DUMMYFUNCTION("""COMPUTED_VALUE"""),"10/02/2026")</f>
        <v>10/02/2026</v>
      </c>
      <c r="AZ910" s="65"/>
      <c r="BA910" s="65"/>
    </row>
    <row r="911">
      <c r="A911" s="65" t="str">
        <f>IFERROR(__xludf.DUMMYFUNCTION("""COMPUTED_VALUE"""),"27-03-2026")</f>
        <v>27-03-2026</v>
      </c>
      <c r="B911" s="65">
        <f>IFERROR(__xludf.DUMMYFUNCTION("""COMPUTED_VALUE"""),4442394.0)</f>
        <v>4442394</v>
      </c>
      <c r="C911" s="65" t="str">
        <f>IFERROR(__xludf.DUMMYFUNCTION("""COMPUTED_VALUE"""),"18:29")</f>
        <v>18:29</v>
      </c>
      <c r="D911" s="65" t="str">
        <f>IFERROR(__xludf.DUMMYFUNCTION("""COMPUTED_VALUE"""),"08-02-2026")</f>
        <v>08-02-2026</v>
      </c>
      <c r="E911" s="65" t="str">
        <f>IFERROR(__xludf.DUMMYFUNCTION("""COMPUTED_VALUE"""),"Gisela Navia")</f>
        <v>Gisela Navia</v>
      </c>
      <c r="F911" s="65" t="str">
        <f>IFERROR(__xludf.DUMMYFUNCTION("""COMPUTED_VALUE"""),"985995256")</f>
        <v>985995256</v>
      </c>
      <c r="G911" s="65" t="str">
        <f>IFERROR(__xludf.DUMMYFUNCTION("""COMPUTED_VALUE"""),"gisella_nav@hotmail.com")</f>
        <v>gisella_nav@hotmail.com</v>
      </c>
      <c r="H911" s="65"/>
      <c r="I911" s="65"/>
      <c r="J911" s="65" t="str">
        <f>IFERROR(__xludf.DUMMYFUNCTION("""COMPUTED_VALUE"""),"D001312989")</f>
        <v>D001312989</v>
      </c>
      <c r="K911" s="65" t="str">
        <f>IFERROR(__xludf.DUMMYFUNCTION("""COMPUTED_VALUE"""),"ENTREGADO")</f>
        <v>ENTREGADO</v>
      </c>
      <c r="L911" s="65" t="str">
        <f>IFERROR(__xludf.DUMMYFUNCTION("""COMPUTED_VALUE"""),"CON RECAUDO")</f>
        <v>CON RECAUDO</v>
      </c>
      <c r="M911" s="65" t="str">
        <f>IFERROR(__xludf.DUMMYFUNCTION("""COMPUTED_VALUE"""),"GUAYAS")</f>
        <v>GUAYAS</v>
      </c>
      <c r="N911" s="65" t="str">
        <f>IFERROR(__xludf.DUMMYFUNCTION("""COMPUTED_VALUE"""),"GUAYAQUIL")</f>
        <v>GUAYAQUIL</v>
      </c>
      <c r="O911" s="65" t="str">
        <f>IFERROR(__xludf.DUMMYFUNCTION("""COMPUTED_VALUE"""),"Ayacucho e Ismael Pérez Pazmiño Tarqui - Almacén de repuestos Oswaldo Navia")</f>
        <v>Ayacucho e Ismael Pérez Pazmiño Tarqui - Almacén de repuestos Oswaldo Navia</v>
      </c>
      <c r="P911" s="65"/>
      <c r="Q911" s="65" t="str">
        <f>IFERROR(__xludf.DUMMYFUNCTION("""COMPUTED_VALUE"""),"GINTRACOM")</f>
        <v>GINTRACOM</v>
      </c>
      <c r="R911" s="65">
        <f>IFERROR(__xludf.DUMMYFUNCTION("""COMPUTED_VALUE"""),20.0)</f>
        <v>20</v>
      </c>
      <c r="S911" s="65">
        <f>IFERROR(__xludf.DUMMYFUNCTION("""COMPUTED_VALUE"""),13.65)</f>
        <v>13.65</v>
      </c>
      <c r="T911" s="65">
        <f>IFERROR(__xludf.DUMMYFUNCTION("""COMPUTED_VALUE"""),4.15)</f>
        <v>4.15</v>
      </c>
      <c r="U911" s="65">
        <f>IFERROR(__xludf.DUMMYFUNCTION("""COMPUTED_VALUE"""),0.0)</f>
        <v>0</v>
      </c>
      <c r="V911" s="65">
        <f>IFERROR(__xludf.DUMMYFUNCTION("""COMPUTED_VALUE"""),0.0)</f>
        <v>0</v>
      </c>
      <c r="W911" s="65">
        <f>IFERROR(__xludf.DUMMYFUNCTION("""COMPUTED_VALUE"""),0.0)</f>
        <v>0</v>
      </c>
      <c r="X911" s="65">
        <f>IFERROR(__xludf.DUMMYFUNCTION("""COMPUTED_VALUE"""),2.2)</f>
        <v>2.2</v>
      </c>
      <c r="Y911" s="65">
        <f>IFERROR(__xludf.DUMMYFUNCTION("""COMPUTED_VALUE"""),2.2)</f>
        <v>2.2</v>
      </c>
      <c r="Z911" s="65">
        <f>IFERROR(__xludf.DUMMYFUNCTION("""COMPUTED_VALUE"""),111894.0)</f>
        <v>111894</v>
      </c>
      <c r="AA911" s="65" t="str">
        <f>IFERROR(__xludf.DUMMYFUNCTION("""COMPUTED_VALUE"""),"LYIC5M40067")</f>
        <v>LYIC5M40067</v>
      </c>
      <c r="AB911" s="65"/>
      <c r="AC911" s="65" t="str">
        <f>IFERROR(__xludf.DUMMYFUNCTION("""COMPUTED_VALUE"""),"Limpiador de Parabrisas y Ventanas")</f>
        <v>Limpiador de Parabrisas y Ventanas</v>
      </c>
      <c r="AD911" s="65"/>
      <c r="AE911" s="65">
        <f>IFERROR(__xludf.DUMMYFUNCTION("""COMPUTED_VALUE"""),1.0)</f>
        <v>1</v>
      </c>
      <c r="AF911" s="65" t="str">
        <f>IFERROR(__xludf.DUMMYFUNCTION("""COMPUTED_VALUE"""),"DESTINATARIO NO CONTESTA LLAMADAS NI WHATSAPP")</f>
        <v>DESTINATARIO NO CONTESTA LLAMADAS NI WHATSAPP</v>
      </c>
      <c r="AG911" s="65" t="str">
        <f>IFERROR(__xludf.DUMMYFUNCTION("""COMPUTED_VALUE"""),"SI")</f>
        <v>SI</v>
      </c>
      <c r="AH911" s="65" t="str">
        <f>IFERROR(__xludf.DUMMYFUNCTION("""COMPUTED_VALUE"""),"11:00")</f>
        <v>11:00</v>
      </c>
      <c r="AI911" s="65" t="str">
        <f>IFERROR(__xludf.DUMMYFUNCTION("""COMPUTED_VALUE"""),"11-02-2026")</f>
        <v>11-02-2026</v>
      </c>
      <c r="AJ911" s="65" t="str">
        <f>IFERROR(__xludf.DUMMYFUNCTION("""COMPUTED_VALUE"""),"CLIENTE SOLICITA LA ENTREGA DEL PRODUCTO A PARTIR DE LAS 12:00")</f>
        <v>CLIENTE SOLICITA LA ENTREGA DEL PRODUCTO A PARTIR DE LAS 12:00</v>
      </c>
      <c r="AK911" s="65" t="str">
        <f>IFERROR(__xludf.DUMMYFUNCTION("""COMPUTED_VALUE"""),"11:28")</f>
        <v>11:28</v>
      </c>
      <c r="AL911" s="65" t="str">
        <f>IFERROR(__xludf.DUMMYFUNCTION("""COMPUTED_VALUE"""),"11-02-2026")</f>
        <v>11-02-2026</v>
      </c>
      <c r="AM911" s="65"/>
      <c r="AN911" s="65" t="str">
        <f>IFERROR(__xludf.DUMMYFUNCTION("""COMPUTED_VALUE"""),"14:52")</f>
        <v>14:52</v>
      </c>
      <c r="AO911" s="65" t="str">
        <f>IFERROR(__xludf.DUMMYFUNCTION("""COMPUTED_VALUE"""),"12-02-2026")</f>
        <v>12-02-2026</v>
      </c>
      <c r="AP911" s="65" t="str">
        <f>IFERROR(__xludf.DUMMYFUNCTION("""COMPUTED_VALUE"""),"ENTREGADA GINTRACOM")</f>
        <v>ENTREGADA GINTRACOM</v>
      </c>
      <c r="AQ911" s="65" t="str">
        <f>IFERROR(__xludf.DUMMYFUNCTION("""COMPUTED_VALUE"""),"ENTREGADA GINTRACOM")</f>
        <v>ENTREGADA GINTRACOM</v>
      </c>
      <c r="AR911" s="65"/>
      <c r="AS911" s="65"/>
      <c r="AT911" s="65" t="str">
        <f>IFERROR(__xludf.DUMMYFUNCTION("""COMPUTED_VALUE"""),"SHOPIFY")</f>
        <v>SHOPIFY</v>
      </c>
      <c r="AU911" s="65" t="str">
        <f>IFERROR(__xludf.DUMMYFUNCTION("""COMPUTED_VALUE"""),"IMPORTEX EC")</f>
        <v>IMPORTEX EC</v>
      </c>
      <c r="AV911" s="65" t="str">
        <f>IFERROR(__xludf.DUMMYFUNCTION("""COMPUTED_VALUE"""),"6486042869804")</f>
        <v>6486042869804</v>
      </c>
      <c r="AW911" s="65">
        <f>IFERROR(__xludf.DUMMYFUNCTION("""COMPUTED_VALUE"""),5950.0)</f>
        <v>5950</v>
      </c>
      <c r="AX911" s="65"/>
      <c r="AY911" s="65" t="str">
        <f>IFERROR(__xludf.DUMMYFUNCTION("""COMPUTED_VALUE"""),"09/02/2026")</f>
        <v>09/02/2026</v>
      </c>
      <c r="AZ911" s="65"/>
      <c r="BA911" s="65"/>
    </row>
    <row r="912">
      <c r="A912" s="65" t="str">
        <f>IFERROR(__xludf.DUMMYFUNCTION("""COMPUTED_VALUE"""),"27-03-2026")</f>
        <v>27-03-2026</v>
      </c>
      <c r="B912" s="65">
        <f>IFERROR(__xludf.DUMMYFUNCTION("""COMPUTED_VALUE"""),4442393.0)</f>
        <v>4442393</v>
      </c>
      <c r="C912" s="65" t="str">
        <f>IFERROR(__xludf.DUMMYFUNCTION("""COMPUTED_VALUE"""),"18:29")</f>
        <v>18:29</v>
      </c>
      <c r="D912" s="65" t="str">
        <f>IFERROR(__xludf.DUMMYFUNCTION("""COMPUTED_VALUE"""),"08-02-2026")</f>
        <v>08-02-2026</v>
      </c>
      <c r="E912" s="65" t="str">
        <f>IFERROR(__xludf.DUMMYFUNCTION("""COMPUTED_VALUE"""),"Maria Toala")</f>
        <v>Maria Toala</v>
      </c>
      <c r="F912" s="65" t="str">
        <f>IFERROR(__xludf.DUMMYFUNCTION("""COMPUTED_VALUE"""),"989683375")</f>
        <v>989683375</v>
      </c>
      <c r="G912" s="65" t="str">
        <f>IFERROR(__xludf.DUMMYFUNCTION("""COMPUTED_VALUE"""),"piscis.marita070377@gmail.com")</f>
        <v>piscis.marita070377@gmail.com</v>
      </c>
      <c r="H912" s="65"/>
      <c r="I912" s="65"/>
      <c r="J912" s="65"/>
      <c r="K912" s="65" t="str">
        <f>IFERROR(__xludf.DUMMYFUNCTION("""COMPUTED_VALUE"""),"CANCELADO")</f>
        <v>CANCELADO</v>
      </c>
      <c r="L912" s="65" t="str">
        <f>IFERROR(__xludf.DUMMYFUNCTION("""COMPUTED_VALUE"""),"CON RECAUDO")</f>
        <v>CON RECAUDO</v>
      </c>
      <c r="M912" s="65" t="str">
        <f>IFERROR(__xludf.DUMMYFUNCTION("""COMPUTED_VALUE"""),"MANABI")</f>
        <v>MANABI</v>
      </c>
      <c r="N912" s="65" t="str">
        <f>IFERROR(__xludf.DUMMYFUNCTION("""COMPUTED_VALUE"""),"PAJAN")</f>
        <v>PAJAN</v>
      </c>
      <c r="O912" s="65" t="str">
        <f>IFERROR(__xludf.DUMMYFUNCTION("""COMPUTED_VALUE"""),"9 de octubre y manuel lorenzo nieto")</f>
        <v>9 de octubre y manuel lorenzo nieto</v>
      </c>
      <c r="P912" s="65" t="str">
        <f>IFERROR(__xludf.DUMMYFUNCTION("""COMPUTED_VALUE"""),"CUCHILLO PARA CHEF: Default Title ***")</f>
        <v>CUCHILLO PARA CHEF: Default Title ***</v>
      </c>
      <c r="Q912" s="65" t="str">
        <f>IFERROR(__xludf.DUMMYFUNCTION("""COMPUTED_VALUE"""),"LAARCOURIER")</f>
        <v>LAARCOURIER</v>
      </c>
      <c r="R912" s="65">
        <f>IFERROR(__xludf.DUMMYFUNCTION("""COMPUTED_VALUE"""),21.99)</f>
        <v>21.99</v>
      </c>
      <c r="S912" s="65"/>
      <c r="T912" s="65">
        <f>IFERROR(__xludf.DUMMYFUNCTION("""COMPUTED_VALUE"""),7.01)</f>
        <v>7.01</v>
      </c>
      <c r="U912" s="65">
        <f>IFERROR(__xludf.DUMMYFUNCTION("""COMPUTED_VALUE"""),0.0)</f>
        <v>0</v>
      </c>
      <c r="V912" s="65">
        <f>IFERROR(__xludf.DUMMYFUNCTION("""COMPUTED_VALUE"""),0.0)</f>
        <v>0</v>
      </c>
      <c r="W912" s="65">
        <f>IFERROR(__xludf.DUMMYFUNCTION("""COMPUTED_VALUE"""),0.0)</f>
        <v>0</v>
      </c>
      <c r="X912" s="65">
        <f>IFERROR(__xludf.DUMMYFUNCTION("""COMPUTED_VALUE"""),2.6)</f>
        <v>2.6</v>
      </c>
      <c r="Y912" s="65">
        <f>IFERROR(__xludf.DUMMYFUNCTION("""COMPUTED_VALUE"""),2.6)</f>
        <v>2.6</v>
      </c>
      <c r="Z912" s="65">
        <f>IFERROR(__xludf.DUMMYFUNCTION("""COMPUTED_VALUE"""),121983.0)</f>
        <v>121983</v>
      </c>
      <c r="AA912" s="65" t="str">
        <f>IFERROR(__xludf.DUMMYFUNCTION("""COMPUTED_VALUE"""),"PROV-CHLLCF")</f>
        <v>PROV-CHLLCF</v>
      </c>
      <c r="AB912" s="65"/>
      <c r="AC912" s="65" t="str">
        <f>IFERROR(__xludf.DUMMYFUNCTION("""COMPUTED_VALUE"""),"CUCHILLO PARA CHEF")</f>
        <v>CUCHILLO PARA CHEF</v>
      </c>
      <c r="AD912" s="65"/>
      <c r="AE912" s="65">
        <f>IFERROR(__xludf.DUMMYFUNCTION("""COMPUTED_VALUE"""),1.0)</f>
        <v>1</v>
      </c>
      <c r="AF912" s="65"/>
      <c r="AG912" s="65"/>
      <c r="AH912" s="65"/>
      <c r="AI912" s="65"/>
      <c r="AJ912" s="65"/>
      <c r="AK912" s="65"/>
      <c r="AL912" s="65"/>
      <c r="AM912" s="65"/>
      <c r="AN912" s="65"/>
      <c r="AO912" s="65"/>
      <c r="AP912" s="65"/>
      <c r="AQ912" s="65"/>
      <c r="AR912" s="65"/>
      <c r="AS912" s="65"/>
      <c r="AT912" s="65" t="str">
        <f>IFERROR(__xludf.DUMMYFUNCTION("""COMPUTED_VALUE"""),"SHOPIFY")</f>
        <v>SHOPIFY</v>
      </c>
      <c r="AU912" s="65" t="str">
        <f>IFERROR(__xludf.DUMMYFUNCTION("""COMPUTED_VALUE"""),"IMPORTEX EC")</f>
        <v>IMPORTEX EC</v>
      </c>
      <c r="AV912" s="65" t="str">
        <f>IFERROR(__xludf.DUMMYFUNCTION("""COMPUTED_VALUE"""),"6486069674028")</f>
        <v>6486069674028</v>
      </c>
      <c r="AW912" s="65">
        <f>IFERROR(__xludf.DUMMYFUNCTION("""COMPUTED_VALUE"""),5951.0)</f>
        <v>5951</v>
      </c>
      <c r="AX912" s="65"/>
      <c r="AY912" s="65"/>
      <c r="AZ912" s="65"/>
      <c r="BA912" s="65"/>
    </row>
    <row r="913">
      <c r="A913" s="65" t="str">
        <f>IFERROR(__xludf.DUMMYFUNCTION("""COMPUTED_VALUE"""),"27-03-2026")</f>
        <v>27-03-2026</v>
      </c>
      <c r="B913" s="65">
        <f>IFERROR(__xludf.DUMMYFUNCTION("""COMPUTED_VALUE"""),4442392.0)</f>
        <v>4442392</v>
      </c>
      <c r="C913" s="65" t="str">
        <f>IFERROR(__xludf.DUMMYFUNCTION("""COMPUTED_VALUE"""),"18:29")</f>
        <v>18:29</v>
      </c>
      <c r="D913" s="65" t="str">
        <f>IFERROR(__xludf.DUMMYFUNCTION("""COMPUTED_VALUE"""),"08-02-2026")</f>
        <v>08-02-2026</v>
      </c>
      <c r="E913" s="65" t="str">
        <f>IFERROR(__xludf.DUMMYFUNCTION("""COMPUTED_VALUE"""),"Santiago Perez")</f>
        <v>Santiago Perez</v>
      </c>
      <c r="F913" s="65" t="str">
        <f>IFERROR(__xludf.DUMMYFUNCTION("""COMPUTED_VALUE"""),"981170751")</f>
        <v>981170751</v>
      </c>
      <c r="G913" s="65" t="str">
        <f>IFERROR(__xludf.DUMMYFUNCTION("""COMPUTED_VALUE"""),"santy20en@yahoo.es")</f>
        <v>santy20en@yahoo.es</v>
      </c>
      <c r="H913" s="65"/>
      <c r="I913" s="65"/>
      <c r="J913" s="65" t="str">
        <f>IFERROR(__xludf.DUMMYFUNCTION("""COMPUTED_VALUE"""),"D001316566")</f>
        <v>D001316566</v>
      </c>
      <c r="K913" s="65" t="str">
        <f>IFERROR(__xludf.DUMMYFUNCTION("""COMPUTED_VALUE"""),"ENTREGADO")</f>
        <v>ENTREGADO</v>
      </c>
      <c r="L913" s="65" t="str">
        <f>IFERROR(__xludf.DUMMYFUNCTION("""COMPUTED_VALUE"""),"CON RECAUDO")</f>
        <v>CON RECAUDO</v>
      </c>
      <c r="M913" s="65" t="str">
        <f>IFERROR(__xludf.DUMMYFUNCTION("""COMPUTED_VALUE"""),"TUNGURAHUA")</f>
        <v>TUNGURAHUA</v>
      </c>
      <c r="N913" s="65" t="str">
        <f>IFERROR(__xludf.DUMMYFUNCTION("""COMPUTED_VALUE"""),"AMBATO")</f>
        <v>AMBATO</v>
      </c>
      <c r="O913" s="65" t="str">
        <f>IFERROR(__xludf.DUMMYFUNCTION("""COMPUTED_VALUE"""),"Av. Shirys Y Atahualpa -")</f>
        <v>Av. Shirys Y Atahualpa -</v>
      </c>
      <c r="P913" s="65"/>
      <c r="Q913" s="65" t="str">
        <f>IFERROR(__xludf.DUMMYFUNCTION("""COMPUTED_VALUE"""),"GINTRACOM")</f>
        <v>GINTRACOM</v>
      </c>
      <c r="R913" s="65">
        <f>IFERROR(__xludf.DUMMYFUNCTION("""COMPUTED_VALUE"""),30.0)</f>
        <v>30</v>
      </c>
      <c r="S913" s="65">
        <f>IFERROR(__xludf.DUMMYFUNCTION("""COMPUTED_VALUE"""),17.24)</f>
        <v>17.24</v>
      </c>
      <c r="T913" s="65">
        <f>IFERROR(__xludf.DUMMYFUNCTION("""COMPUTED_VALUE"""),6.16)</f>
        <v>6.16</v>
      </c>
      <c r="U913" s="65">
        <f>IFERROR(__xludf.DUMMYFUNCTION("""COMPUTED_VALUE"""),0.0)</f>
        <v>0</v>
      </c>
      <c r="V913" s="65">
        <f>IFERROR(__xludf.DUMMYFUNCTION("""COMPUTED_VALUE"""),0.0)</f>
        <v>0</v>
      </c>
      <c r="W913" s="65">
        <f>IFERROR(__xludf.DUMMYFUNCTION("""COMPUTED_VALUE"""),0.0)</f>
        <v>0</v>
      </c>
      <c r="X913" s="65">
        <f>IFERROR(__xludf.DUMMYFUNCTION("""COMPUTED_VALUE"""),2.2)</f>
        <v>2.2</v>
      </c>
      <c r="Y913" s="65">
        <f>IFERROR(__xludf.DUMMYFUNCTION("""COMPUTED_VALUE"""),6.6)</f>
        <v>6.6</v>
      </c>
      <c r="Z913" s="65">
        <f>IFERROR(__xludf.DUMMYFUNCTION("""COMPUTED_VALUE"""),111894.0)</f>
        <v>111894</v>
      </c>
      <c r="AA913" s="65" t="str">
        <f>IFERROR(__xludf.DUMMYFUNCTION("""COMPUTED_VALUE"""),"LYIC5M40067")</f>
        <v>LYIC5M40067</v>
      </c>
      <c r="AB913" s="65"/>
      <c r="AC913" s="65" t="str">
        <f>IFERROR(__xludf.DUMMYFUNCTION("""COMPUTED_VALUE"""),"Limpiador de Parabrisas y Ventanas")</f>
        <v>Limpiador de Parabrisas y Ventanas</v>
      </c>
      <c r="AD913" s="65"/>
      <c r="AE913" s="65">
        <f>IFERROR(__xludf.DUMMYFUNCTION("""COMPUTED_VALUE"""),3.0)</f>
        <v>3</v>
      </c>
      <c r="AF913" s="65"/>
      <c r="AG913" s="65"/>
      <c r="AH913" s="65"/>
      <c r="AI913" s="65"/>
      <c r="AJ913" s="65"/>
      <c r="AK913" s="65"/>
      <c r="AL913" s="65"/>
      <c r="AM913" s="65"/>
      <c r="AN913" s="65" t="str">
        <f>IFERROR(__xludf.DUMMYFUNCTION("""COMPUTED_VALUE"""),"11:21")</f>
        <v>11:21</v>
      </c>
      <c r="AO913" s="65" t="str">
        <f>IFERROR(__xludf.DUMMYFUNCTION("""COMPUTED_VALUE"""),"13-02-2026")</f>
        <v>13-02-2026</v>
      </c>
      <c r="AP913" s="65" t="str">
        <f>IFERROR(__xludf.DUMMYFUNCTION("""COMPUTED_VALUE"""),"ENTREGADA GINTRACOM")</f>
        <v>ENTREGADA GINTRACOM</v>
      </c>
      <c r="AQ913" s="65" t="str">
        <f>IFERROR(__xludf.DUMMYFUNCTION("""COMPUTED_VALUE"""),"ENTREGADA GINTRACOM")</f>
        <v>ENTREGADA GINTRACOM</v>
      </c>
      <c r="AR913" s="65"/>
      <c r="AS913" s="65"/>
      <c r="AT913" s="65" t="str">
        <f>IFERROR(__xludf.DUMMYFUNCTION("""COMPUTED_VALUE"""),"SHOPIFY")</f>
        <v>SHOPIFY</v>
      </c>
      <c r="AU913" s="65" t="str">
        <f>IFERROR(__xludf.DUMMYFUNCTION("""COMPUTED_VALUE"""),"IMPORTEX EC")</f>
        <v>IMPORTEX EC</v>
      </c>
      <c r="AV913" s="65" t="str">
        <f>IFERROR(__xludf.DUMMYFUNCTION("""COMPUTED_VALUE"""),"6486086385708")</f>
        <v>6486086385708</v>
      </c>
      <c r="AW913" s="65">
        <f>IFERROR(__xludf.DUMMYFUNCTION("""COMPUTED_VALUE"""),5952.0)</f>
        <v>5952</v>
      </c>
      <c r="AX913" s="65"/>
      <c r="AY913" s="65" t="str">
        <f>IFERROR(__xludf.DUMMYFUNCTION("""COMPUTED_VALUE"""),"10/02/2026")</f>
        <v>10/02/2026</v>
      </c>
      <c r="AZ913" s="65"/>
      <c r="BA913" s="65"/>
    </row>
    <row r="914">
      <c r="A914" s="65" t="str">
        <f>IFERROR(__xludf.DUMMYFUNCTION("""COMPUTED_VALUE"""),"27-03-2026")</f>
        <v>27-03-2026</v>
      </c>
      <c r="B914" s="65">
        <f>IFERROR(__xludf.DUMMYFUNCTION("""COMPUTED_VALUE"""),4442390.0)</f>
        <v>4442390</v>
      </c>
      <c r="C914" s="65" t="str">
        <f>IFERROR(__xludf.DUMMYFUNCTION("""COMPUTED_VALUE"""),"18:29")</f>
        <v>18:29</v>
      </c>
      <c r="D914" s="65" t="str">
        <f>IFERROR(__xludf.DUMMYFUNCTION("""COMPUTED_VALUE"""),"08-02-2026")</f>
        <v>08-02-2026</v>
      </c>
      <c r="E914" s="65" t="str">
        <f>IFERROR(__xludf.DUMMYFUNCTION("""COMPUTED_VALUE"""),"Leonardo Rodríguez")</f>
        <v>Leonardo Rodríguez</v>
      </c>
      <c r="F914" s="65" t="str">
        <f>IFERROR(__xludf.DUMMYFUNCTION("""COMPUTED_VALUE"""),"987001707")</f>
        <v>987001707</v>
      </c>
      <c r="G914" s="65" t="str">
        <f>IFERROR(__xludf.DUMMYFUNCTION("""COMPUTED_VALUE"""),"ing.leorodriguez88@gmail.com")</f>
        <v>ing.leorodriguez88@gmail.com</v>
      </c>
      <c r="H914" s="65"/>
      <c r="I914" s="65"/>
      <c r="J914" s="65" t="str">
        <f>IFERROR(__xludf.DUMMYFUNCTION("""COMPUTED_VALUE"""),"D001312990")</f>
        <v>D001312990</v>
      </c>
      <c r="K914" s="65" t="str">
        <f>IFERROR(__xludf.DUMMYFUNCTION("""COMPUTED_VALUE"""),"ENTREGADO")</f>
        <v>ENTREGADO</v>
      </c>
      <c r="L914" s="65" t="str">
        <f>IFERROR(__xludf.DUMMYFUNCTION("""COMPUTED_VALUE"""),"CON RECAUDO")</f>
        <v>CON RECAUDO</v>
      </c>
      <c r="M914" s="65" t="str">
        <f>IFERROR(__xludf.DUMMYFUNCTION("""COMPUTED_VALUE"""),"PICHINCHA")</f>
        <v>PICHINCHA</v>
      </c>
      <c r="N914" s="65" t="str">
        <f>IFERROR(__xludf.DUMMYFUNCTION("""COMPUTED_VALUE"""),"QUITO")</f>
        <v>QUITO</v>
      </c>
      <c r="O914" s="65" t="str">
        <f>IFERROR(__xludf.DUMMYFUNCTION("""COMPUTED_VALUE"""),"San José y Guillermo Valdiviezo, Conjunto Pomasqui Gardens CASA 10 San José de Pomasqui -")</f>
        <v>San José y Guillermo Valdiviezo, Conjunto Pomasqui Gardens CASA 10 San José de Pomasqui -</v>
      </c>
      <c r="P914" s="65"/>
      <c r="Q914" s="65" t="str">
        <f>IFERROR(__xludf.DUMMYFUNCTION("""COMPUTED_VALUE"""),"GINTRACOM")</f>
        <v>GINTRACOM</v>
      </c>
      <c r="R914" s="65">
        <f>IFERROR(__xludf.DUMMYFUNCTION("""COMPUTED_VALUE"""),30.0)</f>
        <v>30</v>
      </c>
      <c r="S914" s="65">
        <f>IFERROR(__xludf.DUMMYFUNCTION("""COMPUTED_VALUE"""),17.24)</f>
        <v>17.24</v>
      </c>
      <c r="T914" s="65">
        <f>IFERROR(__xludf.DUMMYFUNCTION("""COMPUTED_VALUE"""),6.16)</f>
        <v>6.16</v>
      </c>
      <c r="U914" s="65">
        <f>IFERROR(__xludf.DUMMYFUNCTION("""COMPUTED_VALUE"""),0.0)</f>
        <v>0</v>
      </c>
      <c r="V914" s="65">
        <f>IFERROR(__xludf.DUMMYFUNCTION("""COMPUTED_VALUE"""),0.0)</f>
        <v>0</v>
      </c>
      <c r="W914" s="65">
        <f>IFERROR(__xludf.DUMMYFUNCTION("""COMPUTED_VALUE"""),0.0)</f>
        <v>0</v>
      </c>
      <c r="X914" s="65">
        <f>IFERROR(__xludf.DUMMYFUNCTION("""COMPUTED_VALUE"""),2.2)</f>
        <v>2.2</v>
      </c>
      <c r="Y914" s="65">
        <f>IFERROR(__xludf.DUMMYFUNCTION("""COMPUTED_VALUE"""),6.6)</f>
        <v>6.6</v>
      </c>
      <c r="Z914" s="65">
        <f>IFERROR(__xludf.DUMMYFUNCTION("""COMPUTED_VALUE"""),111894.0)</f>
        <v>111894</v>
      </c>
      <c r="AA914" s="65" t="str">
        <f>IFERROR(__xludf.DUMMYFUNCTION("""COMPUTED_VALUE"""),"LYIC5M40067")</f>
        <v>LYIC5M40067</v>
      </c>
      <c r="AB914" s="65"/>
      <c r="AC914" s="65" t="str">
        <f>IFERROR(__xludf.DUMMYFUNCTION("""COMPUTED_VALUE"""),"Limpiador de Parabrisas y Ventanas")</f>
        <v>Limpiador de Parabrisas y Ventanas</v>
      </c>
      <c r="AD914" s="65"/>
      <c r="AE914" s="65">
        <f>IFERROR(__xludf.DUMMYFUNCTION("""COMPUTED_VALUE"""),3.0)</f>
        <v>3</v>
      </c>
      <c r="AF914" s="65"/>
      <c r="AG914" s="65"/>
      <c r="AH914" s="65"/>
      <c r="AI914" s="65"/>
      <c r="AJ914" s="65"/>
      <c r="AK914" s="65"/>
      <c r="AL914" s="65"/>
      <c r="AM914" s="65"/>
      <c r="AN914" s="65" t="str">
        <f>IFERROR(__xludf.DUMMYFUNCTION("""COMPUTED_VALUE"""),"17:57")</f>
        <v>17:57</v>
      </c>
      <c r="AO914" s="65" t="str">
        <f>IFERROR(__xludf.DUMMYFUNCTION("""COMPUTED_VALUE"""),"12-02-2026")</f>
        <v>12-02-2026</v>
      </c>
      <c r="AP914" s="65" t="str">
        <f>IFERROR(__xludf.DUMMYFUNCTION("""COMPUTED_VALUE"""),"ENTREGADA GINTRACOM")</f>
        <v>ENTREGADA GINTRACOM</v>
      </c>
      <c r="AQ914" s="65" t="str">
        <f>IFERROR(__xludf.DUMMYFUNCTION("""COMPUTED_VALUE"""),"ENTREGADA GINTRACOM")</f>
        <v>ENTREGADA GINTRACOM</v>
      </c>
      <c r="AR914" s="65"/>
      <c r="AS914" s="65"/>
      <c r="AT914" s="65" t="str">
        <f>IFERROR(__xludf.DUMMYFUNCTION("""COMPUTED_VALUE"""),"SHOPIFY")</f>
        <v>SHOPIFY</v>
      </c>
      <c r="AU914" s="65" t="str">
        <f>IFERROR(__xludf.DUMMYFUNCTION("""COMPUTED_VALUE"""),"IMPORTEX EC")</f>
        <v>IMPORTEX EC</v>
      </c>
      <c r="AV914" s="65" t="str">
        <f>IFERROR(__xludf.DUMMYFUNCTION("""COMPUTED_VALUE"""),"6486087729196")</f>
        <v>6486087729196</v>
      </c>
      <c r="AW914" s="65">
        <f>IFERROR(__xludf.DUMMYFUNCTION("""COMPUTED_VALUE"""),5953.0)</f>
        <v>5953</v>
      </c>
      <c r="AX914" s="65"/>
      <c r="AY914" s="65" t="str">
        <f>IFERROR(__xludf.DUMMYFUNCTION("""COMPUTED_VALUE"""),"09/02/2026")</f>
        <v>09/02/2026</v>
      </c>
      <c r="AZ914" s="65"/>
      <c r="BA914" s="65"/>
    </row>
    <row r="915">
      <c r="A915" s="65" t="str">
        <f>IFERROR(__xludf.DUMMYFUNCTION("""COMPUTED_VALUE"""),"27-03-2026")</f>
        <v>27-03-2026</v>
      </c>
      <c r="B915" s="65">
        <f>IFERROR(__xludf.DUMMYFUNCTION("""COMPUTED_VALUE"""),4442388.0)</f>
        <v>4442388</v>
      </c>
      <c r="C915" s="65" t="str">
        <f>IFERROR(__xludf.DUMMYFUNCTION("""COMPUTED_VALUE"""),"18:29")</f>
        <v>18:29</v>
      </c>
      <c r="D915" s="65" t="str">
        <f>IFERROR(__xludf.DUMMYFUNCTION("""COMPUTED_VALUE"""),"08-02-2026")</f>
        <v>08-02-2026</v>
      </c>
      <c r="E915" s="65" t="str">
        <f>IFERROR(__xludf.DUMMYFUNCTION("""COMPUTED_VALUE"""),"Rodrigo Arias")</f>
        <v>Rodrigo Arias</v>
      </c>
      <c r="F915" s="65" t="str">
        <f>IFERROR(__xludf.DUMMYFUNCTION("""COMPUTED_VALUE"""),"980068042")</f>
        <v>980068042</v>
      </c>
      <c r="G915" s="65"/>
      <c r="H915" s="65"/>
      <c r="I915" s="65"/>
      <c r="J915" s="65"/>
      <c r="K915" s="65" t="str">
        <f>IFERROR(__xludf.DUMMYFUNCTION("""COMPUTED_VALUE"""),"PENDIENTE CONFIRMACION")</f>
        <v>PENDIENTE CONFIRMACION</v>
      </c>
      <c r="L915" s="65" t="str">
        <f>IFERROR(__xludf.DUMMYFUNCTION("""COMPUTED_VALUE"""),"CON RECAUDO")</f>
        <v>CON RECAUDO</v>
      </c>
      <c r="M915" s="65" t="str">
        <f>IFERROR(__xludf.DUMMYFUNCTION("""COMPUTED_VALUE"""),"AZUAY")</f>
        <v>AZUAY</v>
      </c>
      <c r="N915" s="65" t="str">
        <f>IFERROR(__xludf.DUMMYFUNCTION("""COMPUTED_VALUE"""),"CUENCA")</f>
        <v>CUENCA</v>
      </c>
      <c r="O915" s="65" t="str">
        <f>IFERROR(__xludf.DUMMYFUNCTION("""COMPUTED_VALUE"""),"Sievieme..por.sevientrga.ajensia.dela.jilramires.davalos.frente.alaeropuerto")</f>
        <v>Sievieme..por.sevientrga.ajensia.dela.jilramires.davalos.frente.alaeropuerto</v>
      </c>
      <c r="P915" s="65" t="str">
        <f>IFERROR(__xludf.DUMMYFUNCTION("""COMPUTED_VALUE"""),"CUCHILLO PARA CHEF: Default Title ***")</f>
        <v>CUCHILLO PARA CHEF: Default Title ***</v>
      </c>
      <c r="Q915" s="65" t="str">
        <f>IFERROR(__xludf.DUMMYFUNCTION("""COMPUTED_VALUE"""),"GINTRACOM")</f>
        <v>GINTRACOM</v>
      </c>
      <c r="R915" s="65">
        <f>IFERROR(__xludf.DUMMYFUNCTION("""COMPUTED_VALUE"""),21.99)</f>
        <v>21.99</v>
      </c>
      <c r="S915" s="65"/>
      <c r="T915" s="65">
        <f>IFERROR(__xludf.DUMMYFUNCTION("""COMPUTED_VALUE"""),5.84)</f>
        <v>5.84</v>
      </c>
      <c r="U915" s="65">
        <f>IFERROR(__xludf.DUMMYFUNCTION("""COMPUTED_VALUE"""),0.0)</f>
        <v>0</v>
      </c>
      <c r="V915" s="65">
        <f>IFERROR(__xludf.DUMMYFUNCTION("""COMPUTED_VALUE"""),0.0)</f>
        <v>0</v>
      </c>
      <c r="W915" s="65">
        <f>IFERROR(__xludf.DUMMYFUNCTION("""COMPUTED_VALUE"""),0.0)</f>
        <v>0</v>
      </c>
      <c r="X915" s="65">
        <f>IFERROR(__xludf.DUMMYFUNCTION("""COMPUTED_VALUE"""),2.6)</f>
        <v>2.6</v>
      </c>
      <c r="Y915" s="65">
        <f>IFERROR(__xludf.DUMMYFUNCTION("""COMPUTED_VALUE"""),2.6)</f>
        <v>2.6</v>
      </c>
      <c r="Z915" s="65">
        <f>IFERROR(__xludf.DUMMYFUNCTION("""COMPUTED_VALUE"""),121983.0)</f>
        <v>121983</v>
      </c>
      <c r="AA915" s="65" t="str">
        <f>IFERROR(__xludf.DUMMYFUNCTION("""COMPUTED_VALUE"""),"PROV-CHLLCF")</f>
        <v>PROV-CHLLCF</v>
      </c>
      <c r="AB915" s="65"/>
      <c r="AC915" s="65" t="str">
        <f>IFERROR(__xludf.DUMMYFUNCTION("""COMPUTED_VALUE"""),"CUCHILLO PARA CHEF")</f>
        <v>CUCHILLO PARA CHEF</v>
      </c>
      <c r="AD915" s="65"/>
      <c r="AE915" s="65">
        <f>IFERROR(__xludf.DUMMYFUNCTION("""COMPUTED_VALUE"""),1.0)</f>
        <v>1</v>
      </c>
      <c r="AF915" s="65"/>
      <c r="AG915" s="65"/>
      <c r="AH915" s="65"/>
      <c r="AI915" s="65"/>
      <c r="AJ915" s="65"/>
      <c r="AK915" s="65"/>
      <c r="AL915" s="65"/>
      <c r="AM915" s="65"/>
      <c r="AN915" s="65"/>
      <c r="AO915" s="65"/>
      <c r="AP915" s="65"/>
      <c r="AQ915" s="65"/>
      <c r="AR915" s="65"/>
      <c r="AS915" s="65"/>
      <c r="AT915" s="65" t="str">
        <f>IFERROR(__xludf.DUMMYFUNCTION("""COMPUTED_VALUE"""),"SHOPIFY")</f>
        <v>SHOPIFY</v>
      </c>
      <c r="AU915" s="65" t="str">
        <f>IFERROR(__xludf.DUMMYFUNCTION("""COMPUTED_VALUE"""),"IMPORTEX EC")</f>
        <v>IMPORTEX EC</v>
      </c>
      <c r="AV915" s="65" t="str">
        <f>IFERROR(__xludf.DUMMYFUNCTION("""COMPUTED_VALUE"""),"6486177841196")</f>
        <v>6486177841196</v>
      </c>
      <c r="AW915" s="65">
        <f>IFERROR(__xludf.DUMMYFUNCTION("""COMPUTED_VALUE"""),5954.0)</f>
        <v>5954</v>
      </c>
      <c r="AX915" s="65"/>
      <c r="AY915" s="65"/>
      <c r="AZ915" s="65"/>
      <c r="BA915" s="65"/>
    </row>
    <row r="916">
      <c r="A916" s="65" t="str">
        <f>IFERROR(__xludf.DUMMYFUNCTION("""COMPUTED_VALUE"""),"27-03-2026")</f>
        <v>27-03-2026</v>
      </c>
      <c r="B916" s="65">
        <f>IFERROR(__xludf.DUMMYFUNCTION("""COMPUTED_VALUE"""),4442386.0)</f>
        <v>4442386</v>
      </c>
      <c r="C916" s="65" t="str">
        <f>IFERROR(__xludf.DUMMYFUNCTION("""COMPUTED_VALUE"""),"18:29")</f>
        <v>18:29</v>
      </c>
      <c r="D916" s="65" t="str">
        <f>IFERROR(__xludf.DUMMYFUNCTION("""COMPUTED_VALUE"""),"08-02-2026")</f>
        <v>08-02-2026</v>
      </c>
      <c r="E916" s="65" t="str">
        <f>IFERROR(__xludf.DUMMYFUNCTION("""COMPUTED_VALUE"""),"Veronica Guerra Ramirez")</f>
        <v>Veronica Guerra Ramirez</v>
      </c>
      <c r="F916" s="65" t="str">
        <f>IFERROR(__xludf.DUMMYFUNCTION("""COMPUTED_VALUE"""),"995718713")</f>
        <v>995718713</v>
      </c>
      <c r="G916" s="65" t="str">
        <f>IFERROR(__xludf.DUMMYFUNCTION("""COMPUTED_VALUE"""),"verog74@hotmail.com")</f>
        <v>verog74@hotmail.com</v>
      </c>
      <c r="H916" s="65"/>
      <c r="I916" s="65"/>
      <c r="J916" s="65" t="str">
        <f>IFERROR(__xludf.DUMMYFUNCTION("""COMPUTED_VALUE"""),"D001312991")</f>
        <v>D001312991</v>
      </c>
      <c r="K916" s="65" t="str">
        <f>IFERROR(__xludf.DUMMYFUNCTION("""COMPUTED_VALUE"""),"ENTREGADO")</f>
        <v>ENTREGADO</v>
      </c>
      <c r="L916" s="65" t="str">
        <f>IFERROR(__xludf.DUMMYFUNCTION("""COMPUTED_VALUE"""),"CON RECAUDO")</f>
        <v>CON RECAUDO</v>
      </c>
      <c r="M916" s="65" t="str">
        <f>IFERROR(__xludf.DUMMYFUNCTION("""COMPUTED_VALUE"""),"IMBABURA")</f>
        <v>IMBABURA</v>
      </c>
      <c r="N916" s="65" t="str">
        <f>IFERROR(__xludf.DUMMYFUNCTION("""COMPUTED_VALUE"""),"IBARRA")</f>
        <v>IBARRA</v>
      </c>
      <c r="O916" s="65" t="str">
        <f>IFERROR(__xludf.DUMMYFUNCTION("""COMPUTED_VALUE"""),"Luis Felipe Borja 1-16 y Avda Cristóbal de Troya frente al Redondel de Ajaví a un lado de Pasteleria el Osito Golosito")</f>
        <v>Luis Felipe Borja 1-16 y Avda Cristóbal de Troya frente al Redondel de Ajaví a un lado de Pasteleria el Osito Golosito</v>
      </c>
      <c r="P916" s="65"/>
      <c r="Q916" s="65" t="str">
        <f>IFERROR(__xludf.DUMMYFUNCTION("""COMPUTED_VALUE"""),"GINTRACOM")</f>
        <v>GINTRACOM</v>
      </c>
      <c r="R916" s="65">
        <f>IFERROR(__xludf.DUMMYFUNCTION("""COMPUTED_VALUE"""),25.0)</f>
        <v>25</v>
      </c>
      <c r="S916" s="65">
        <f>IFERROR(__xludf.DUMMYFUNCTION("""COMPUTED_VALUE"""),14.64)</f>
        <v>14.64</v>
      </c>
      <c r="T916" s="65">
        <f>IFERROR(__xludf.DUMMYFUNCTION("""COMPUTED_VALUE"""),5.96)</f>
        <v>5.96</v>
      </c>
      <c r="U916" s="65">
        <f>IFERROR(__xludf.DUMMYFUNCTION("""COMPUTED_VALUE"""),0.0)</f>
        <v>0</v>
      </c>
      <c r="V916" s="65">
        <f>IFERROR(__xludf.DUMMYFUNCTION("""COMPUTED_VALUE"""),0.0)</f>
        <v>0</v>
      </c>
      <c r="W916" s="65">
        <f>IFERROR(__xludf.DUMMYFUNCTION("""COMPUTED_VALUE"""),0.0)</f>
        <v>0</v>
      </c>
      <c r="X916" s="65">
        <f>IFERROR(__xludf.DUMMYFUNCTION("""COMPUTED_VALUE"""),2.2)</f>
        <v>2.2</v>
      </c>
      <c r="Y916" s="65">
        <f>IFERROR(__xludf.DUMMYFUNCTION("""COMPUTED_VALUE"""),4.4)</f>
        <v>4.4</v>
      </c>
      <c r="Z916" s="65">
        <f>IFERROR(__xludf.DUMMYFUNCTION("""COMPUTED_VALUE"""),111894.0)</f>
        <v>111894</v>
      </c>
      <c r="AA916" s="65" t="str">
        <f>IFERROR(__xludf.DUMMYFUNCTION("""COMPUTED_VALUE"""),"LYIC5M40067")</f>
        <v>LYIC5M40067</v>
      </c>
      <c r="AB916" s="65"/>
      <c r="AC916" s="65" t="str">
        <f>IFERROR(__xludf.DUMMYFUNCTION("""COMPUTED_VALUE"""),"Limpiador de Parabrisas y Ventanas")</f>
        <v>Limpiador de Parabrisas y Ventanas</v>
      </c>
      <c r="AD916" s="65"/>
      <c r="AE916" s="65">
        <f>IFERROR(__xludf.DUMMYFUNCTION("""COMPUTED_VALUE"""),2.0)</f>
        <v>2</v>
      </c>
      <c r="AF916" s="65"/>
      <c r="AG916" s="65"/>
      <c r="AH916" s="65"/>
      <c r="AI916" s="65"/>
      <c r="AJ916" s="65"/>
      <c r="AK916" s="65"/>
      <c r="AL916" s="65"/>
      <c r="AM916" s="65"/>
      <c r="AN916" s="65" t="str">
        <f>IFERROR(__xludf.DUMMYFUNCTION("""COMPUTED_VALUE"""),"10:59")</f>
        <v>10:59</v>
      </c>
      <c r="AO916" s="65" t="str">
        <f>IFERROR(__xludf.DUMMYFUNCTION("""COMPUTED_VALUE"""),"11-02-2026")</f>
        <v>11-02-2026</v>
      </c>
      <c r="AP916" s="65" t="str">
        <f>IFERROR(__xludf.DUMMYFUNCTION("""COMPUTED_VALUE"""),"EN REPARTO")</f>
        <v>EN REPARTO</v>
      </c>
      <c r="AQ916" s="65" t="str">
        <f>IFERROR(__xludf.DUMMYFUNCTION("""COMPUTED_VALUE"""),"EN REPARTO")</f>
        <v>EN REPARTO</v>
      </c>
      <c r="AR916" s="65"/>
      <c r="AS916" s="65"/>
      <c r="AT916" s="65" t="str">
        <f>IFERROR(__xludf.DUMMYFUNCTION("""COMPUTED_VALUE"""),"SHOPIFY")</f>
        <v>SHOPIFY</v>
      </c>
      <c r="AU916" s="65" t="str">
        <f>IFERROR(__xludf.DUMMYFUNCTION("""COMPUTED_VALUE"""),"IMPORTEX EC")</f>
        <v>IMPORTEX EC</v>
      </c>
      <c r="AV916" s="65" t="str">
        <f>IFERROR(__xludf.DUMMYFUNCTION("""COMPUTED_VALUE"""),"6486295150636")</f>
        <v>6486295150636</v>
      </c>
      <c r="AW916" s="65">
        <f>IFERROR(__xludf.DUMMYFUNCTION("""COMPUTED_VALUE"""),5955.0)</f>
        <v>5955</v>
      </c>
      <c r="AX916" s="65"/>
      <c r="AY916" s="65" t="str">
        <f>IFERROR(__xludf.DUMMYFUNCTION("""COMPUTED_VALUE"""),"09/02/2026")</f>
        <v>09/02/2026</v>
      </c>
      <c r="AZ916" s="65"/>
      <c r="BA916" s="65"/>
    </row>
    <row r="917">
      <c r="A917" s="65" t="str">
        <f>IFERROR(__xludf.DUMMYFUNCTION("""COMPUTED_VALUE"""),"27-03-2026")</f>
        <v>27-03-2026</v>
      </c>
      <c r="B917" s="65">
        <f>IFERROR(__xludf.DUMMYFUNCTION("""COMPUTED_VALUE"""),4442384.0)</f>
        <v>4442384</v>
      </c>
      <c r="C917" s="65" t="str">
        <f>IFERROR(__xludf.DUMMYFUNCTION("""COMPUTED_VALUE"""),"18:28")</f>
        <v>18:28</v>
      </c>
      <c r="D917" s="65" t="str">
        <f>IFERROR(__xludf.DUMMYFUNCTION("""COMPUTED_VALUE"""),"08-02-2026")</f>
        <v>08-02-2026</v>
      </c>
      <c r="E917" s="65" t="str">
        <f>IFERROR(__xludf.DUMMYFUNCTION("""COMPUTED_VALUE"""),"Roberto Pillajo")</f>
        <v>Roberto Pillajo</v>
      </c>
      <c r="F917" s="65" t="str">
        <f>IFERROR(__xludf.DUMMYFUNCTION("""COMPUTED_VALUE"""),"982497099")</f>
        <v>982497099</v>
      </c>
      <c r="G917" s="65" t="str">
        <f>IFERROR(__xludf.DUMMYFUNCTION("""COMPUTED_VALUE"""),"rpillajo@live.com")</f>
        <v>rpillajo@live.com</v>
      </c>
      <c r="H917" s="65"/>
      <c r="I917" s="65"/>
      <c r="J917" s="65" t="str">
        <f>IFERROR(__xludf.DUMMYFUNCTION("""COMPUTED_VALUE"""),"D001312992")</f>
        <v>D001312992</v>
      </c>
      <c r="K917" s="65" t="str">
        <f>IFERROR(__xludf.DUMMYFUNCTION("""COMPUTED_VALUE"""),"ENTREGADO")</f>
        <v>ENTREGADO</v>
      </c>
      <c r="L917" s="65" t="str">
        <f>IFERROR(__xludf.DUMMYFUNCTION("""COMPUTED_VALUE"""),"CON RECAUDO")</f>
        <v>CON RECAUDO</v>
      </c>
      <c r="M917" s="65" t="str">
        <f>IFERROR(__xludf.DUMMYFUNCTION("""COMPUTED_VALUE"""),"PICHINCHA")</f>
        <v>PICHINCHA</v>
      </c>
      <c r="N917" s="65" t="str">
        <f>IFERROR(__xludf.DUMMYFUNCTION("""COMPUTED_VALUE"""),"QUITO")</f>
        <v>QUITO</v>
      </c>
      <c r="O917" s="65" t="str">
        <f>IFERROR(__xludf.DUMMYFUNCTION("""COMPUTED_VALUE"""),"Calle Virgen Pata OE11-339 y pasaje 2 Chilibulo Alto, frente a víveres Paulina casa blanca de 2 pisos -")</f>
        <v>Calle Virgen Pata OE11-339 y pasaje 2 Chilibulo Alto, frente a víveres Paulina casa blanca de 2 pisos -</v>
      </c>
      <c r="P917" s="65"/>
      <c r="Q917" s="65" t="str">
        <f>IFERROR(__xludf.DUMMYFUNCTION("""COMPUTED_VALUE"""),"GINTRACOM")</f>
        <v>GINTRACOM</v>
      </c>
      <c r="R917" s="65">
        <f>IFERROR(__xludf.DUMMYFUNCTION("""COMPUTED_VALUE"""),25.0)</f>
        <v>25</v>
      </c>
      <c r="S917" s="65">
        <f>IFERROR(__xludf.DUMMYFUNCTION("""COMPUTED_VALUE"""),14.64)</f>
        <v>14.64</v>
      </c>
      <c r="T917" s="65">
        <f>IFERROR(__xludf.DUMMYFUNCTION("""COMPUTED_VALUE"""),5.96)</f>
        <v>5.96</v>
      </c>
      <c r="U917" s="65">
        <f>IFERROR(__xludf.DUMMYFUNCTION("""COMPUTED_VALUE"""),0.0)</f>
        <v>0</v>
      </c>
      <c r="V917" s="65">
        <f>IFERROR(__xludf.DUMMYFUNCTION("""COMPUTED_VALUE"""),0.0)</f>
        <v>0</v>
      </c>
      <c r="W917" s="65">
        <f>IFERROR(__xludf.DUMMYFUNCTION("""COMPUTED_VALUE"""),0.0)</f>
        <v>0</v>
      </c>
      <c r="X917" s="65">
        <f>IFERROR(__xludf.DUMMYFUNCTION("""COMPUTED_VALUE"""),2.2)</f>
        <v>2.2</v>
      </c>
      <c r="Y917" s="65">
        <f>IFERROR(__xludf.DUMMYFUNCTION("""COMPUTED_VALUE"""),4.4)</f>
        <v>4.4</v>
      </c>
      <c r="Z917" s="65">
        <f>IFERROR(__xludf.DUMMYFUNCTION("""COMPUTED_VALUE"""),111894.0)</f>
        <v>111894</v>
      </c>
      <c r="AA917" s="65" t="str">
        <f>IFERROR(__xludf.DUMMYFUNCTION("""COMPUTED_VALUE"""),"LYIC5M40067")</f>
        <v>LYIC5M40067</v>
      </c>
      <c r="AB917" s="65"/>
      <c r="AC917" s="65" t="str">
        <f>IFERROR(__xludf.DUMMYFUNCTION("""COMPUTED_VALUE"""),"Limpiador de Parabrisas y Ventanas")</f>
        <v>Limpiador de Parabrisas y Ventanas</v>
      </c>
      <c r="AD917" s="65"/>
      <c r="AE917" s="65">
        <f>IFERROR(__xludf.DUMMYFUNCTION("""COMPUTED_VALUE"""),2.0)</f>
        <v>2</v>
      </c>
      <c r="AF917" s="65"/>
      <c r="AG917" s="65"/>
      <c r="AH917" s="65"/>
      <c r="AI917" s="65"/>
      <c r="AJ917" s="65"/>
      <c r="AK917" s="65"/>
      <c r="AL917" s="65"/>
      <c r="AM917" s="65"/>
      <c r="AN917" s="65" t="str">
        <f>IFERROR(__xludf.DUMMYFUNCTION("""COMPUTED_VALUE"""),"14:11")</f>
        <v>14:11</v>
      </c>
      <c r="AO917" s="65" t="str">
        <f>IFERROR(__xludf.DUMMYFUNCTION("""COMPUTED_VALUE"""),"13-02-2026")</f>
        <v>13-02-2026</v>
      </c>
      <c r="AP917" s="65" t="str">
        <f>IFERROR(__xludf.DUMMYFUNCTION("""COMPUTED_VALUE"""),"ENTREGADA GINTRACOM")</f>
        <v>ENTREGADA GINTRACOM</v>
      </c>
      <c r="AQ917" s="65" t="str">
        <f>IFERROR(__xludf.DUMMYFUNCTION("""COMPUTED_VALUE"""),"ENTREGADA GINTRACOM")</f>
        <v>ENTREGADA GINTRACOM</v>
      </c>
      <c r="AR917" s="65"/>
      <c r="AS917" s="65"/>
      <c r="AT917" s="65" t="str">
        <f>IFERROR(__xludf.DUMMYFUNCTION("""COMPUTED_VALUE"""),"SHOPIFY")</f>
        <v>SHOPIFY</v>
      </c>
      <c r="AU917" s="65" t="str">
        <f>IFERROR(__xludf.DUMMYFUNCTION("""COMPUTED_VALUE"""),"IMPORTEX EC")</f>
        <v>IMPORTEX EC</v>
      </c>
      <c r="AV917" s="65" t="str">
        <f>IFERROR(__xludf.DUMMYFUNCTION("""COMPUTED_VALUE"""),"6486312026156")</f>
        <v>6486312026156</v>
      </c>
      <c r="AW917" s="65">
        <f>IFERROR(__xludf.DUMMYFUNCTION("""COMPUTED_VALUE"""),5956.0)</f>
        <v>5956</v>
      </c>
      <c r="AX917" s="65"/>
      <c r="AY917" s="65" t="str">
        <f>IFERROR(__xludf.DUMMYFUNCTION("""COMPUTED_VALUE"""),"09/02/2026")</f>
        <v>09/02/2026</v>
      </c>
      <c r="AZ917" s="65"/>
      <c r="BA917" s="65"/>
    </row>
    <row r="918">
      <c r="A918" s="65" t="str">
        <f>IFERROR(__xludf.DUMMYFUNCTION("""COMPUTED_VALUE"""),"27-03-2026")</f>
        <v>27-03-2026</v>
      </c>
      <c r="B918" s="65">
        <f>IFERROR(__xludf.DUMMYFUNCTION("""COMPUTED_VALUE"""),4442382.0)</f>
        <v>4442382</v>
      </c>
      <c r="C918" s="65" t="str">
        <f>IFERROR(__xludf.DUMMYFUNCTION("""COMPUTED_VALUE"""),"18:28")</f>
        <v>18:28</v>
      </c>
      <c r="D918" s="65" t="str">
        <f>IFERROR(__xludf.DUMMYFUNCTION("""COMPUTED_VALUE"""),"08-02-2026")</f>
        <v>08-02-2026</v>
      </c>
      <c r="E918" s="65" t="str">
        <f>IFERROR(__xludf.DUMMYFUNCTION("""COMPUTED_VALUE"""),"Claudio Collaguazo")</f>
        <v>Claudio Collaguazo</v>
      </c>
      <c r="F918" s="65" t="str">
        <f>IFERROR(__xludf.DUMMYFUNCTION("""COMPUTED_VALUE"""),"996123322")</f>
        <v>996123322</v>
      </c>
      <c r="G918" s="65" t="str">
        <f>IFERROR(__xludf.DUMMYFUNCTION("""COMPUTED_VALUE"""),"claudiocf26@hotmail.com")</f>
        <v>claudiocf26@hotmail.com</v>
      </c>
      <c r="H918" s="65"/>
      <c r="I918" s="65"/>
      <c r="J918" s="65" t="str">
        <f>IFERROR(__xludf.DUMMYFUNCTION("""COMPUTED_VALUE"""),"D001315156")</f>
        <v>D001315156</v>
      </c>
      <c r="K918" s="65" t="str">
        <f>IFERROR(__xludf.DUMMYFUNCTION("""COMPUTED_VALUE"""),"ENTREGADO")</f>
        <v>ENTREGADO</v>
      </c>
      <c r="L918" s="65" t="str">
        <f>IFERROR(__xludf.DUMMYFUNCTION("""COMPUTED_VALUE"""),"CON RECAUDO")</f>
        <v>CON RECAUDO</v>
      </c>
      <c r="M918" s="65" t="str">
        <f>IFERROR(__xludf.DUMMYFUNCTION("""COMPUTED_VALUE"""),"AZUAY")</f>
        <v>AZUAY</v>
      </c>
      <c r="N918" s="65" t="str">
        <f>IFERROR(__xludf.DUMMYFUNCTION("""COMPUTED_VALUE"""),"CUENCA")</f>
        <v>CUENCA</v>
      </c>
      <c r="O918" s="65" t="str">
        <f>IFERROR(__xludf.DUMMYFUNCTION("""COMPUTED_VALUE"""),"Camino a Racar Frente al centro comercial racar plaza - frente de la urbanización Los Lirios,")</f>
        <v>Camino a Racar Frente al centro comercial racar plaza - frente de la urbanización Los Lirios,</v>
      </c>
      <c r="P918" s="65"/>
      <c r="Q918" s="65" t="str">
        <f>IFERROR(__xludf.DUMMYFUNCTION("""COMPUTED_VALUE"""),"GINTRACOM")</f>
        <v>GINTRACOM</v>
      </c>
      <c r="R918" s="65">
        <f>IFERROR(__xludf.DUMMYFUNCTION("""COMPUTED_VALUE"""),22.0)</f>
        <v>22</v>
      </c>
      <c r="S918" s="65">
        <f>IFERROR(__xludf.DUMMYFUNCTION("""COMPUTED_VALUE"""),10.96)</f>
        <v>10.96</v>
      </c>
      <c r="T918" s="65">
        <f>IFERROR(__xludf.DUMMYFUNCTION("""COMPUTED_VALUE"""),5.84)</f>
        <v>5.84</v>
      </c>
      <c r="U918" s="65">
        <f>IFERROR(__xludf.DUMMYFUNCTION("""COMPUTED_VALUE"""),0.0)</f>
        <v>0</v>
      </c>
      <c r="V918" s="65">
        <f>IFERROR(__xludf.DUMMYFUNCTION("""COMPUTED_VALUE"""),0.0)</f>
        <v>0</v>
      </c>
      <c r="W918" s="65">
        <f>IFERROR(__xludf.DUMMYFUNCTION("""COMPUTED_VALUE"""),0.0)</f>
        <v>0</v>
      </c>
      <c r="X918" s="65">
        <f>IFERROR(__xludf.DUMMYFUNCTION("""COMPUTED_VALUE"""),2.6)</f>
        <v>2.6</v>
      </c>
      <c r="Y918" s="65">
        <f>IFERROR(__xludf.DUMMYFUNCTION("""COMPUTED_VALUE"""),5.2)</f>
        <v>5.2</v>
      </c>
      <c r="Z918" s="65">
        <f>IFERROR(__xludf.DUMMYFUNCTION("""COMPUTED_VALUE"""),121983.0)</f>
        <v>121983</v>
      </c>
      <c r="AA918" s="65" t="str">
        <f>IFERROR(__xludf.DUMMYFUNCTION("""COMPUTED_VALUE"""),"PROV-CHLLCF")</f>
        <v>PROV-CHLLCF</v>
      </c>
      <c r="AB918" s="65"/>
      <c r="AC918" s="65" t="str">
        <f>IFERROR(__xludf.DUMMYFUNCTION("""COMPUTED_VALUE"""),"CUCHILLO PARA CHEF")</f>
        <v>CUCHILLO PARA CHEF</v>
      </c>
      <c r="AD918" s="65"/>
      <c r="AE918" s="65">
        <f>IFERROR(__xludf.DUMMYFUNCTION("""COMPUTED_VALUE"""),2.0)</f>
        <v>2</v>
      </c>
      <c r="AF918" s="65"/>
      <c r="AG918" s="65"/>
      <c r="AH918" s="65"/>
      <c r="AI918" s="65"/>
      <c r="AJ918" s="65"/>
      <c r="AK918" s="65"/>
      <c r="AL918" s="65"/>
      <c r="AM918" s="65"/>
      <c r="AN918" s="65" t="str">
        <f>IFERROR(__xludf.DUMMYFUNCTION("""COMPUTED_VALUE"""),"13:03")</f>
        <v>13:03</v>
      </c>
      <c r="AO918" s="65" t="str">
        <f>IFERROR(__xludf.DUMMYFUNCTION("""COMPUTED_VALUE"""),"12-02-2026")</f>
        <v>12-02-2026</v>
      </c>
      <c r="AP918" s="65" t="str">
        <f>IFERROR(__xludf.DUMMYFUNCTION("""COMPUTED_VALUE"""),"ENTREGADA GINTRACOM")</f>
        <v>ENTREGADA GINTRACOM</v>
      </c>
      <c r="AQ918" s="65" t="str">
        <f>IFERROR(__xludf.DUMMYFUNCTION("""COMPUTED_VALUE"""),"ENTREGADA GINTRACOM")</f>
        <v>ENTREGADA GINTRACOM</v>
      </c>
      <c r="AR918" s="65"/>
      <c r="AS918" s="65"/>
      <c r="AT918" s="65" t="str">
        <f>IFERROR(__xludf.DUMMYFUNCTION("""COMPUTED_VALUE"""),"SHOPIFY")</f>
        <v>SHOPIFY</v>
      </c>
      <c r="AU918" s="65" t="str">
        <f>IFERROR(__xludf.DUMMYFUNCTION("""COMPUTED_VALUE"""),"IMPORTEX EC")</f>
        <v>IMPORTEX EC</v>
      </c>
      <c r="AV918" s="65" t="str">
        <f>IFERROR(__xludf.DUMMYFUNCTION("""COMPUTED_VALUE"""),"6486315302956")</f>
        <v>6486315302956</v>
      </c>
      <c r="AW918" s="65">
        <f>IFERROR(__xludf.DUMMYFUNCTION("""COMPUTED_VALUE"""),5957.0)</f>
        <v>5957</v>
      </c>
      <c r="AX918" s="65"/>
      <c r="AY918" s="65" t="str">
        <f>IFERROR(__xludf.DUMMYFUNCTION("""COMPUTED_VALUE"""),"10/02/2026")</f>
        <v>10/02/2026</v>
      </c>
      <c r="AZ918" s="65"/>
      <c r="BA918" s="65"/>
    </row>
    <row r="919">
      <c r="A919" s="65" t="str">
        <f>IFERROR(__xludf.DUMMYFUNCTION("""COMPUTED_VALUE"""),"27-03-2026")</f>
        <v>27-03-2026</v>
      </c>
      <c r="B919" s="65">
        <f>IFERROR(__xludf.DUMMYFUNCTION("""COMPUTED_VALUE"""),4442379.0)</f>
        <v>4442379</v>
      </c>
      <c r="C919" s="65" t="str">
        <f>IFERROR(__xludf.DUMMYFUNCTION("""COMPUTED_VALUE"""),"18:28")</f>
        <v>18:28</v>
      </c>
      <c r="D919" s="65" t="str">
        <f>IFERROR(__xludf.DUMMYFUNCTION("""COMPUTED_VALUE"""),"08-02-2026")</f>
        <v>08-02-2026</v>
      </c>
      <c r="E919" s="65" t="str">
        <f>IFERROR(__xludf.DUMMYFUNCTION("""COMPUTED_VALUE"""),"Pablo Sánchez")</f>
        <v>Pablo Sánchez</v>
      </c>
      <c r="F919" s="65" t="str">
        <f>IFERROR(__xludf.DUMMYFUNCTION("""COMPUTED_VALUE"""),"998033097")</f>
        <v>998033097</v>
      </c>
      <c r="G919" s="65" t="str">
        <f>IFERROR(__xludf.DUMMYFUNCTION("""COMPUTED_VALUE"""),"drpablosan@hotmail.com")</f>
        <v>drpablosan@hotmail.com</v>
      </c>
      <c r="H919" s="65"/>
      <c r="I919" s="65"/>
      <c r="J919" s="65" t="str">
        <f>IFERROR(__xludf.DUMMYFUNCTION("""COMPUTED_VALUE"""),"D001312993")</f>
        <v>D001312993</v>
      </c>
      <c r="K919" s="65" t="str">
        <f>IFERROR(__xludf.DUMMYFUNCTION("""COMPUTED_VALUE"""),"DEVOLUCION")</f>
        <v>DEVOLUCION</v>
      </c>
      <c r="L919" s="65" t="str">
        <f>IFERROR(__xludf.DUMMYFUNCTION("""COMPUTED_VALUE"""),"CON RECAUDO")</f>
        <v>CON RECAUDO</v>
      </c>
      <c r="M919" s="65" t="str">
        <f>IFERROR(__xludf.DUMMYFUNCTION("""COMPUTED_VALUE"""),"PICHINCHA")</f>
        <v>PICHINCHA</v>
      </c>
      <c r="N919" s="65" t="str">
        <f>IFERROR(__xludf.DUMMYFUNCTION("""COMPUTED_VALUE"""),"QUITO")</f>
        <v>QUITO</v>
      </c>
      <c r="O919" s="65" t="str">
        <f>IFERROR(__xludf.DUMMYFUNCTION("""COMPUTED_VALUE"""),"Hospital Carlos Andrade Marín, 18 de septiembre y Av Universitaria, puerta de ingreso a Medicina Nuclear, antes de llegar a la puerta de emergencia")</f>
        <v>Hospital Carlos Andrade Marín, 18 de septiembre y Av Universitaria, puerta de ingreso a Medicina Nuclear, antes de llegar a la puerta de emergencia</v>
      </c>
      <c r="P919" s="65"/>
      <c r="Q919" s="65" t="str">
        <f>IFERROR(__xludf.DUMMYFUNCTION("""COMPUTED_VALUE"""),"GINTRACOM")</f>
        <v>GINTRACOM</v>
      </c>
      <c r="R919" s="65">
        <f>IFERROR(__xludf.DUMMYFUNCTION("""COMPUTED_VALUE"""),30.0)</f>
        <v>30</v>
      </c>
      <c r="S919" s="65"/>
      <c r="T919" s="65">
        <f>IFERROR(__xludf.DUMMYFUNCTION("""COMPUTED_VALUE"""),6.16)</f>
        <v>6.16</v>
      </c>
      <c r="U919" s="65">
        <f>IFERROR(__xludf.DUMMYFUNCTION("""COMPUTED_VALUE"""),0.0)</f>
        <v>0</v>
      </c>
      <c r="V919" s="65">
        <f>IFERROR(__xludf.DUMMYFUNCTION("""COMPUTED_VALUE"""),0.0)</f>
        <v>0</v>
      </c>
      <c r="W919" s="65">
        <f>IFERROR(__xludf.DUMMYFUNCTION("""COMPUTED_VALUE"""),0.0)</f>
        <v>0</v>
      </c>
      <c r="X919" s="65">
        <f>IFERROR(__xludf.DUMMYFUNCTION("""COMPUTED_VALUE"""),2.2)</f>
        <v>2.2</v>
      </c>
      <c r="Y919" s="65">
        <f>IFERROR(__xludf.DUMMYFUNCTION("""COMPUTED_VALUE"""),6.6)</f>
        <v>6.6</v>
      </c>
      <c r="Z919" s="65">
        <f>IFERROR(__xludf.DUMMYFUNCTION("""COMPUTED_VALUE"""),111894.0)</f>
        <v>111894</v>
      </c>
      <c r="AA919" s="65" t="str">
        <f>IFERROR(__xludf.DUMMYFUNCTION("""COMPUTED_VALUE"""),"LYIC5M40067")</f>
        <v>LYIC5M40067</v>
      </c>
      <c r="AB919" s="65"/>
      <c r="AC919" s="65" t="str">
        <f>IFERROR(__xludf.DUMMYFUNCTION("""COMPUTED_VALUE"""),"Limpiador de Parabrisas y Ventanas")</f>
        <v>Limpiador de Parabrisas y Ventanas</v>
      </c>
      <c r="AD919" s="65"/>
      <c r="AE919" s="65">
        <f>IFERROR(__xludf.DUMMYFUNCTION("""COMPUTED_VALUE"""),3.0)</f>
        <v>3</v>
      </c>
      <c r="AF919" s="65" t="str">
        <f>IFERROR(__xludf.DUMMYFUNCTION("""COMPUTED_VALUE"""),"DESTINATARIO NO CONTESTA LLAMADAS NI WHATSAPP")</f>
        <v>DESTINATARIO NO CONTESTA LLAMADAS NI WHATSAPP</v>
      </c>
      <c r="AG919" s="65" t="str">
        <f>IFERROR(__xludf.DUMMYFUNCTION("""COMPUTED_VALUE"""),"NO")</f>
        <v>NO</v>
      </c>
      <c r="AH919" s="65" t="str">
        <f>IFERROR(__xludf.DUMMYFUNCTION("""COMPUTED_VALUE"""),"09:00")</f>
        <v>09:00</v>
      </c>
      <c r="AI919" s="65" t="str">
        <f>IFERROR(__xludf.DUMMYFUNCTION("""COMPUTED_VALUE"""),"20-02-2026")</f>
        <v>20-02-2026</v>
      </c>
      <c r="AJ919" s="65"/>
      <c r="AK919" s="65"/>
      <c r="AL919" s="65"/>
      <c r="AM919" s="65"/>
      <c r="AN919" s="65" t="str">
        <f>IFERROR(__xludf.DUMMYFUNCTION("""COMPUTED_VALUE"""),"11:30")</f>
        <v>11:30</v>
      </c>
      <c r="AO919" s="65" t="str">
        <f>IFERROR(__xludf.DUMMYFUNCTION("""COMPUTED_VALUE"""),"02-03-2026")</f>
        <v>02-03-2026</v>
      </c>
      <c r="AP919" s="65" t="str">
        <f>IFERROR(__xludf.DUMMYFUNCTION("""COMPUTED_VALUE"""),"DEVOLUCIÓN ENTREGADA A ORIGEN")</f>
        <v>DEVOLUCIÓN ENTREGADA A ORIGEN</v>
      </c>
      <c r="AQ919" s="65" t="str">
        <f>IFERROR(__xludf.DUMMYFUNCTION("""COMPUTED_VALUE"""),"DEVOLUCIÓN ENTREGADA A ORIGEN")</f>
        <v>DEVOLUCIÓN ENTREGADA A ORIGEN</v>
      </c>
      <c r="AR919" s="65"/>
      <c r="AS919" s="65"/>
      <c r="AT919" s="65" t="str">
        <f>IFERROR(__xludf.DUMMYFUNCTION("""COMPUTED_VALUE"""),"SHOPIFY")</f>
        <v>SHOPIFY</v>
      </c>
      <c r="AU919" s="65" t="str">
        <f>IFERROR(__xludf.DUMMYFUNCTION("""COMPUTED_VALUE"""),"IMPORTEX EC")</f>
        <v>IMPORTEX EC</v>
      </c>
      <c r="AV919" s="65" t="str">
        <f>IFERROR(__xludf.DUMMYFUNCTION("""COMPUTED_VALUE"""),"6486318874668")</f>
        <v>6486318874668</v>
      </c>
      <c r="AW919" s="65">
        <f>IFERROR(__xludf.DUMMYFUNCTION("""COMPUTED_VALUE"""),5958.0)</f>
        <v>5958</v>
      </c>
      <c r="AX919" s="65"/>
      <c r="AY919" s="65" t="str">
        <f>IFERROR(__xludf.DUMMYFUNCTION("""COMPUTED_VALUE"""),"09/02/2026")</f>
        <v>09/02/2026</v>
      </c>
      <c r="AZ919" s="65"/>
      <c r="BA919" s="65"/>
    </row>
    <row r="920">
      <c r="A920" s="65" t="str">
        <f>IFERROR(__xludf.DUMMYFUNCTION("""COMPUTED_VALUE"""),"27-03-2026")</f>
        <v>27-03-2026</v>
      </c>
      <c r="B920" s="65">
        <f>IFERROR(__xludf.DUMMYFUNCTION("""COMPUTED_VALUE"""),4442374.0)</f>
        <v>4442374</v>
      </c>
      <c r="C920" s="65" t="str">
        <f>IFERROR(__xludf.DUMMYFUNCTION("""COMPUTED_VALUE"""),"18:28")</f>
        <v>18:28</v>
      </c>
      <c r="D920" s="65" t="str">
        <f>IFERROR(__xludf.DUMMYFUNCTION("""COMPUTED_VALUE"""),"08-02-2026")</f>
        <v>08-02-2026</v>
      </c>
      <c r="E920" s="65" t="str">
        <f>IFERROR(__xludf.DUMMYFUNCTION("""COMPUTED_VALUE"""),"Luis Montalvo")</f>
        <v>Luis Montalvo</v>
      </c>
      <c r="F920" s="65" t="str">
        <f>IFERROR(__xludf.DUMMYFUNCTION("""COMPUTED_VALUE"""),"991287604")</f>
        <v>991287604</v>
      </c>
      <c r="G920" s="65" t="str">
        <f>IFERROR(__xludf.DUMMYFUNCTION("""COMPUTED_VALUE"""),"montalvoluis141@gmail.com")</f>
        <v>montalvoluis141@gmail.com</v>
      </c>
      <c r="H920" s="65"/>
      <c r="I920" s="65"/>
      <c r="J920" s="65"/>
      <c r="K920" s="65" t="str">
        <f>IFERROR(__xludf.DUMMYFUNCTION("""COMPUTED_VALUE"""),"PENDIENTE CONFIRMACION")</f>
        <v>PENDIENTE CONFIRMACION</v>
      </c>
      <c r="L920" s="65" t="str">
        <f>IFERROR(__xludf.DUMMYFUNCTION("""COMPUTED_VALUE"""),"CON RECAUDO")</f>
        <v>CON RECAUDO</v>
      </c>
      <c r="M920" s="65" t="str">
        <f>IFERROR(__xludf.DUMMYFUNCTION("""COMPUTED_VALUE"""),"IMBABURA")</f>
        <v>IMBABURA</v>
      </c>
      <c r="N920" s="65" t="str">
        <f>IFERROR(__xludf.DUMMYFUNCTION("""COMPUTED_VALUE"""),"OTAVALO")</f>
        <v>OTAVALO</v>
      </c>
      <c r="O920" s="65" t="str">
        <f>IFERROR(__xludf.DUMMYFUNCTION("""COMPUTED_VALUE"""),"Sucre y Abdón Calderón Otavalo -")</f>
        <v>Sucre y Abdón Calderón Otavalo -</v>
      </c>
      <c r="P920" s="65"/>
      <c r="Q920" s="65" t="str">
        <f>IFERROR(__xludf.DUMMYFUNCTION("""COMPUTED_VALUE"""),"GINTRACOM")</f>
        <v>GINTRACOM</v>
      </c>
      <c r="R920" s="65">
        <f>IFERROR(__xludf.DUMMYFUNCTION("""COMPUTED_VALUE"""),22.0)</f>
        <v>22</v>
      </c>
      <c r="S920" s="65"/>
      <c r="T920" s="65">
        <f>IFERROR(__xludf.DUMMYFUNCTION("""COMPUTED_VALUE"""),5.84)</f>
        <v>5.84</v>
      </c>
      <c r="U920" s="65">
        <f>IFERROR(__xludf.DUMMYFUNCTION("""COMPUTED_VALUE"""),0.0)</f>
        <v>0</v>
      </c>
      <c r="V920" s="65">
        <f>IFERROR(__xludf.DUMMYFUNCTION("""COMPUTED_VALUE"""),0.0)</f>
        <v>0</v>
      </c>
      <c r="W920" s="65">
        <f>IFERROR(__xludf.DUMMYFUNCTION("""COMPUTED_VALUE"""),0.0)</f>
        <v>0</v>
      </c>
      <c r="X920" s="65">
        <f>IFERROR(__xludf.DUMMYFUNCTION("""COMPUTED_VALUE"""),2.6)</f>
        <v>2.6</v>
      </c>
      <c r="Y920" s="65">
        <f>IFERROR(__xludf.DUMMYFUNCTION("""COMPUTED_VALUE"""),5.2)</f>
        <v>5.2</v>
      </c>
      <c r="Z920" s="65">
        <f>IFERROR(__xludf.DUMMYFUNCTION("""COMPUTED_VALUE"""),121983.0)</f>
        <v>121983</v>
      </c>
      <c r="AA920" s="65" t="str">
        <f>IFERROR(__xludf.DUMMYFUNCTION("""COMPUTED_VALUE"""),"PROV-CHLLCF")</f>
        <v>PROV-CHLLCF</v>
      </c>
      <c r="AB920" s="65"/>
      <c r="AC920" s="65" t="str">
        <f>IFERROR(__xludf.DUMMYFUNCTION("""COMPUTED_VALUE"""),"CUCHILLO PARA CHEF")</f>
        <v>CUCHILLO PARA CHEF</v>
      </c>
      <c r="AD920" s="65"/>
      <c r="AE920" s="65">
        <f>IFERROR(__xludf.DUMMYFUNCTION("""COMPUTED_VALUE"""),2.0)</f>
        <v>2</v>
      </c>
      <c r="AF920" s="65"/>
      <c r="AG920" s="65"/>
      <c r="AH920" s="65"/>
      <c r="AI920" s="65"/>
      <c r="AJ920" s="65"/>
      <c r="AK920" s="65"/>
      <c r="AL920" s="65"/>
      <c r="AM920" s="65"/>
      <c r="AN920" s="65"/>
      <c r="AO920" s="65"/>
      <c r="AP920" s="65"/>
      <c r="AQ920" s="65"/>
      <c r="AR920" s="65"/>
      <c r="AS920" s="65"/>
      <c r="AT920" s="65" t="str">
        <f>IFERROR(__xludf.DUMMYFUNCTION("""COMPUTED_VALUE"""),"SHOPIFY")</f>
        <v>SHOPIFY</v>
      </c>
      <c r="AU920" s="65" t="str">
        <f>IFERROR(__xludf.DUMMYFUNCTION("""COMPUTED_VALUE"""),"IMPORTEX EC")</f>
        <v>IMPORTEX EC</v>
      </c>
      <c r="AV920" s="65" t="str">
        <f>IFERROR(__xludf.DUMMYFUNCTION("""COMPUTED_VALUE"""),"6486326411308")</f>
        <v>6486326411308</v>
      </c>
      <c r="AW920" s="65">
        <f>IFERROR(__xludf.DUMMYFUNCTION("""COMPUTED_VALUE"""),5959.0)</f>
        <v>5959</v>
      </c>
      <c r="AX920" s="65"/>
      <c r="AY920" s="65"/>
      <c r="AZ920" s="65"/>
      <c r="BA920" s="65"/>
    </row>
    <row r="921">
      <c r="A921" s="65" t="str">
        <f>IFERROR(__xludf.DUMMYFUNCTION("""COMPUTED_VALUE"""),"27-03-2026")</f>
        <v>27-03-2026</v>
      </c>
      <c r="B921" s="65">
        <f>IFERROR(__xludf.DUMMYFUNCTION("""COMPUTED_VALUE"""),4442370.0)</f>
        <v>4442370</v>
      </c>
      <c r="C921" s="65" t="str">
        <f>IFERROR(__xludf.DUMMYFUNCTION("""COMPUTED_VALUE"""),"18:28")</f>
        <v>18:28</v>
      </c>
      <c r="D921" s="65" t="str">
        <f>IFERROR(__xludf.DUMMYFUNCTION("""COMPUTED_VALUE"""),"08-02-2026")</f>
        <v>08-02-2026</v>
      </c>
      <c r="E921" s="65" t="str">
        <f>IFERROR(__xludf.DUMMYFUNCTION("""COMPUTED_VALUE"""),"Elias Briones  parraga")</f>
        <v>Elias Briones  parraga</v>
      </c>
      <c r="F921" s="65" t="str">
        <f>IFERROR(__xludf.DUMMYFUNCTION("""COMPUTED_VALUE"""),"982578940")</f>
        <v>982578940</v>
      </c>
      <c r="G921" s="65" t="str">
        <f>IFERROR(__xludf.DUMMYFUNCTION("""COMPUTED_VALUE"""),"elias1990@live.com")</f>
        <v>elias1990@live.com</v>
      </c>
      <c r="H921" s="65"/>
      <c r="I921" s="65"/>
      <c r="J921" s="65"/>
      <c r="K921" s="65" t="str">
        <f>IFERROR(__xludf.DUMMYFUNCTION("""COMPUTED_VALUE"""),"CANCELADO")</f>
        <v>CANCELADO</v>
      </c>
      <c r="L921" s="65" t="str">
        <f>IFERROR(__xludf.DUMMYFUNCTION("""COMPUTED_VALUE"""),"CON RECAUDO")</f>
        <v>CON RECAUDO</v>
      </c>
      <c r="M921" s="65" t="str">
        <f>IFERROR(__xludf.DUMMYFUNCTION("""COMPUTED_VALUE"""),"GUAYAS")</f>
        <v>GUAYAS</v>
      </c>
      <c r="N921" s="65" t="str">
        <f>IFERROR(__xludf.DUMMYFUNCTION("""COMPUTED_VALUE"""),"GUAYAQUIL")</f>
        <v>GUAYAQUIL</v>
      </c>
      <c r="O921" s="65" t="str">
        <f>IFERROR(__xludf.DUMMYFUNCTION("""COMPUTED_VALUE"""),"mall del norte Av francisco de orellana -")</f>
        <v>mall del norte Av francisco de orellana -</v>
      </c>
      <c r="P921" s="65"/>
      <c r="Q921" s="65" t="str">
        <f>IFERROR(__xludf.DUMMYFUNCTION("""COMPUTED_VALUE"""),"GINTRACOM")</f>
        <v>GINTRACOM</v>
      </c>
      <c r="R921" s="65">
        <f>IFERROR(__xludf.DUMMYFUNCTION("""COMPUTED_VALUE"""),25.0)</f>
        <v>25</v>
      </c>
      <c r="S921" s="65"/>
      <c r="T921" s="65">
        <f>IFERROR(__xludf.DUMMYFUNCTION("""COMPUTED_VALUE"""),4.35)</f>
        <v>4.35</v>
      </c>
      <c r="U921" s="65">
        <f>IFERROR(__xludf.DUMMYFUNCTION("""COMPUTED_VALUE"""),0.0)</f>
        <v>0</v>
      </c>
      <c r="V921" s="65">
        <f>IFERROR(__xludf.DUMMYFUNCTION("""COMPUTED_VALUE"""),0.0)</f>
        <v>0</v>
      </c>
      <c r="W921" s="65">
        <f>IFERROR(__xludf.DUMMYFUNCTION("""COMPUTED_VALUE"""),0.0)</f>
        <v>0</v>
      </c>
      <c r="X921" s="65">
        <f>IFERROR(__xludf.DUMMYFUNCTION("""COMPUTED_VALUE"""),2.2)</f>
        <v>2.2</v>
      </c>
      <c r="Y921" s="65">
        <f>IFERROR(__xludf.DUMMYFUNCTION("""COMPUTED_VALUE"""),4.4)</f>
        <v>4.4</v>
      </c>
      <c r="Z921" s="65">
        <f>IFERROR(__xludf.DUMMYFUNCTION("""COMPUTED_VALUE"""),111894.0)</f>
        <v>111894</v>
      </c>
      <c r="AA921" s="65" t="str">
        <f>IFERROR(__xludf.DUMMYFUNCTION("""COMPUTED_VALUE"""),"LYIC5M40067")</f>
        <v>LYIC5M40067</v>
      </c>
      <c r="AB921" s="65"/>
      <c r="AC921" s="65" t="str">
        <f>IFERROR(__xludf.DUMMYFUNCTION("""COMPUTED_VALUE"""),"Limpiador de Parabrisas y Ventanas")</f>
        <v>Limpiador de Parabrisas y Ventanas</v>
      </c>
      <c r="AD921" s="65"/>
      <c r="AE921" s="65">
        <f>IFERROR(__xludf.DUMMYFUNCTION("""COMPUTED_VALUE"""),2.0)</f>
        <v>2</v>
      </c>
      <c r="AF921" s="65"/>
      <c r="AG921" s="65"/>
      <c r="AH921" s="65"/>
      <c r="AI921" s="65"/>
      <c r="AJ921" s="65"/>
      <c r="AK921" s="65"/>
      <c r="AL921" s="65"/>
      <c r="AM921" s="65"/>
      <c r="AN921" s="65"/>
      <c r="AO921" s="65"/>
      <c r="AP921" s="65"/>
      <c r="AQ921" s="65"/>
      <c r="AR921" s="65"/>
      <c r="AS921" s="65"/>
      <c r="AT921" s="65" t="str">
        <f>IFERROR(__xludf.DUMMYFUNCTION("""COMPUTED_VALUE"""),"SHOPIFY")</f>
        <v>SHOPIFY</v>
      </c>
      <c r="AU921" s="65" t="str">
        <f>IFERROR(__xludf.DUMMYFUNCTION("""COMPUTED_VALUE"""),"IMPORTEX EC")</f>
        <v>IMPORTEX EC</v>
      </c>
      <c r="AV921" s="65" t="str">
        <f>IFERROR(__xludf.DUMMYFUNCTION("""COMPUTED_VALUE"""),"6486334603308")</f>
        <v>6486334603308</v>
      </c>
      <c r="AW921" s="65">
        <f>IFERROR(__xludf.DUMMYFUNCTION("""COMPUTED_VALUE"""),5960.0)</f>
        <v>5960</v>
      </c>
      <c r="AX921" s="65"/>
      <c r="AY921" s="65"/>
      <c r="AZ921" s="65"/>
      <c r="BA921" s="65"/>
    </row>
    <row r="922">
      <c r="A922" s="65" t="str">
        <f>IFERROR(__xludf.DUMMYFUNCTION("""COMPUTED_VALUE"""),"27-03-2026")</f>
        <v>27-03-2026</v>
      </c>
      <c r="B922" s="65">
        <f>IFERROR(__xludf.DUMMYFUNCTION("""COMPUTED_VALUE"""),4442366.0)</f>
        <v>4442366</v>
      </c>
      <c r="C922" s="65" t="str">
        <f>IFERROR(__xludf.DUMMYFUNCTION("""COMPUTED_VALUE"""),"18:28")</f>
        <v>18:28</v>
      </c>
      <c r="D922" s="65" t="str">
        <f>IFERROR(__xludf.DUMMYFUNCTION("""COMPUTED_VALUE"""),"08-02-2026")</f>
        <v>08-02-2026</v>
      </c>
      <c r="E922" s="65" t="str">
        <f>IFERROR(__xludf.DUMMYFUNCTION("""COMPUTED_VALUE"""),"Ramiro Delgado")</f>
        <v>Ramiro Delgado</v>
      </c>
      <c r="F922" s="65" t="str">
        <f>IFERROR(__xludf.DUMMYFUNCTION("""COMPUTED_VALUE"""),"982423562")</f>
        <v>982423562</v>
      </c>
      <c r="G922" s="65" t="str">
        <f>IFERROR(__xludf.DUMMYFUNCTION("""COMPUTED_VALUE"""),"ramirodelgado61@giail.com")</f>
        <v>ramirodelgado61@giail.com</v>
      </c>
      <c r="H922" s="65"/>
      <c r="I922" s="65"/>
      <c r="J922" s="65" t="str">
        <f>IFERROR(__xludf.DUMMYFUNCTION("""COMPUTED_VALUE"""),"D001318309")</f>
        <v>D001318309</v>
      </c>
      <c r="K922" s="65" t="str">
        <f>IFERROR(__xludf.DUMMYFUNCTION("""COMPUTED_VALUE"""),"DEVOLUCION")</f>
        <v>DEVOLUCION</v>
      </c>
      <c r="L922" s="65" t="str">
        <f>IFERROR(__xludf.DUMMYFUNCTION("""COMPUTED_VALUE"""),"CON RECAUDO")</f>
        <v>CON RECAUDO</v>
      </c>
      <c r="M922" s="65" t="str">
        <f>IFERROR(__xludf.DUMMYFUNCTION("""COMPUTED_VALUE"""),"LOJA")</f>
        <v>LOJA</v>
      </c>
      <c r="N922" s="65" t="str">
        <f>IFERROR(__xludf.DUMMYFUNCTION("""COMPUTED_VALUE"""),"LOJA")</f>
        <v>LOJA</v>
      </c>
      <c r="O922" s="65" t="str">
        <f>IFERROR(__xludf.DUMMYFUNCTION("""COMPUTED_VALUE"""),"18 de noviembre y 10 de agosto Mercado centro comercial local #15 exterior -")</f>
        <v>18 de noviembre y 10 de agosto Mercado centro comercial local #15 exterior -</v>
      </c>
      <c r="P922" s="65"/>
      <c r="Q922" s="65" t="str">
        <f>IFERROR(__xludf.DUMMYFUNCTION("""COMPUTED_VALUE"""),"GINTRACOM")</f>
        <v>GINTRACOM</v>
      </c>
      <c r="R922" s="65">
        <f>IFERROR(__xludf.DUMMYFUNCTION("""COMPUTED_VALUE"""),32.0)</f>
        <v>32</v>
      </c>
      <c r="S922" s="65"/>
      <c r="T922" s="65">
        <f>IFERROR(__xludf.DUMMYFUNCTION("""COMPUTED_VALUE"""),6.24)</f>
        <v>6.24</v>
      </c>
      <c r="U922" s="65">
        <f>IFERROR(__xludf.DUMMYFUNCTION("""COMPUTED_VALUE"""),0.0)</f>
        <v>0</v>
      </c>
      <c r="V922" s="65">
        <f>IFERROR(__xludf.DUMMYFUNCTION("""COMPUTED_VALUE"""),0.0)</f>
        <v>0</v>
      </c>
      <c r="W922" s="65">
        <f>IFERROR(__xludf.DUMMYFUNCTION("""COMPUTED_VALUE"""),0.0)</f>
        <v>0</v>
      </c>
      <c r="X922" s="65">
        <f>IFERROR(__xludf.DUMMYFUNCTION("""COMPUTED_VALUE"""),2.6)</f>
        <v>2.6</v>
      </c>
      <c r="Y922" s="65">
        <f>IFERROR(__xludf.DUMMYFUNCTION("""COMPUTED_VALUE"""),10.4)</f>
        <v>10.4</v>
      </c>
      <c r="Z922" s="65">
        <f>IFERROR(__xludf.DUMMYFUNCTION("""COMPUTED_VALUE"""),121983.0)</f>
        <v>121983</v>
      </c>
      <c r="AA922" s="65" t="str">
        <f>IFERROR(__xludf.DUMMYFUNCTION("""COMPUTED_VALUE"""),"PROV-CHLLCF")</f>
        <v>PROV-CHLLCF</v>
      </c>
      <c r="AB922" s="65"/>
      <c r="AC922" s="65" t="str">
        <f>IFERROR(__xludf.DUMMYFUNCTION("""COMPUTED_VALUE"""),"CUCHILLO PARA CHEF")</f>
        <v>CUCHILLO PARA CHEF</v>
      </c>
      <c r="AD922" s="65"/>
      <c r="AE922" s="65">
        <f>IFERROR(__xludf.DUMMYFUNCTION("""COMPUTED_VALUE"""),4.0)</f>
        <v>4</v>
      </c>
      <c r="AF922" s="65" t="str">
        <f>IFERROR(__xludf.DUMMYFUNCTION("""COMPUTED_VALUE"""),"DESTINATARIO INDICA QUE ESTÁ INCONFORME CON EL PRODUCTO. (NO RECIBE)")</f>
        <v>DESTINATARIO INDICA QUE ESTÁ INCONFORME CON EL PRODUCTO. (NO RECIBE)</v>
      </c>
      <c r="AG922" s="65" t="str">
        <f>IFERROR(__xludf.DUMMYFUNCTION("""COMPUTED_VALUE"""),"NO")</f>
        <v>NO</v>
      </c>
      <c r="AH922" s="65" t="str">
        <f>IFERROR(__xludf.DUMMYFUNCTION("""COMPUTED_VALUE"""),"11:56")</f>
        <v>11:56</v>
      </c>
      <c r="AI922" s="65" t="str">
        <f>IFERROR(__xludf.DUMMYFUNCTION("""COMPUTED_VALUE"""),"13-02-2026")</f>
        <v>13-02-2026</v>
      </c>
      <c r="AJ922" s="65"/>
      <c r="AK922" s="65"/>
      <c r="AL922" s="65"/>
      <c r="AM922" s="65"/>
      <c r="AN922" s="65" t="str">
        <f>IFERROR(__xludf.DUMMYFUNCTION("""COMPUTED_VALUE"""),"01:37")</f>
        <v>01:37</v>
      </c>
      <c r="AO922" s="65" t="str">
        <f>IFERROR(__xludf.DUMMYFUNCTION("""COMPUTED_VALUE"""),"09-03-2026")</f>
        <v>09-03-2026</v>
      </c>
      <c r="AP922" s="65" t="str">
        <f>IFERROR(__xludf.DUMMYFUNCTION("""COMPUTED_VALUE"""),"DEVOLUCIÓN ENTREGADA A ORIGEN")</f>
        <v>DEVOLUCIÓN ENTREGADA A ORIGEN</v>
      </c>
      <c r="AQ922" s="65" t="str">
        <f>IFERROR(__xludf.DUMMYFUNCTION("""COMPUTED_VALUE"""),"DEVOLUCIÓN ENTREGADA A ORIGEN")</f>
        <v>DEVOLUCIÓN ENTREGADA A ORIGEN</v>
      </c>
      <c r="AR922" s="65"/>
      <c r="AS922" s="65"/>
      <c r="AT922" s="65" t="str">
        <f>IFERROR(__xludf.DUMMYFUNCTION("""COMPUTED_VALUE"""),"SHOPIFY")</f>
        <v>SHOPIFY</v>
      </c>
      <c r="AU922" s="65" t="str">
        <f>IFERROR(__xludf.DUMMYFUNCTION("""COMPUTED_VALUE"""),"IMPORTEX EC")</f>
        <v>IMPORTEX EC</v>
      </c>
      <c r="AV922" s="65" t="str">
        <f>IFERROR(__xludf.DUMMYFUNCTION("""COMPUTED_VALUE"""),"6486402138156")</f>
        <v>6486402138156</v>
      </c>
      <c r="AW922" s="65">
        <f>IFERROR(__xludf.DUMMYFUNCTION("""COMPUTED_VALUE"""),5961.0)</f>
        <v>5961</v>
      </c>
      <c r="AX922" s="65"/>
      <c r="AY922" s="65" t="str">
        <f>IFERROR(__xludf.DUMMYFUNCTION("""COMPUTED_VALUE"""),"11/02/2026")</f>
        <v>11/02/2026</v>
      </c>
      <c r="AZ922" s="65"/>
      <c r="BA922" s="65"/>
    </row>
    <row r="923">
      <c r="A923" s="65" t="str">
        <f>IFERROR(__xludf.DUMMYFUNCTION("""COMPUTED_VALUE"""),"27-03-2026")</f>
        <v>27-03-2026</v>
      </c>
      <c r="B923" s="65">
        <f>IFERROR(__xludf.DUMMYFUNCTION("""COMPUTED_VALUE"""),4442362.0)</f>
        <v>4442362</v>
      </c>
      <c r="C923" s="65" t="str">
        <f>IFERROR(__xludf.DUMMYFUNCTION("""COMPUTED_VALUE"""),"18:27")</f>
        <v>18:27</v>
      </c>
      <c r="D923" s="65" t="str">
        <f>IFERROR(__xludf.DUMMYFUNCTION("""COMPUTED_VALUE"""),"08-02-2026")</f>
        <v>08-02-2026</v>
      </c>
      <c r="E923" s="65" t="str">
        <f>IFERROR(__xludf.DUMMYFUNCTION("""COMPUTED_VALUE"""),"Elsa Castro")</f>
        <v>Elsa Castro</v>
      </c>
      <c r="F923" s="65" t="str">
        <f>IFERROR(__xludf.DUMMYFUNCTION("""COMPUTED_VALUE"""),"990524711")</f>
        <v>990524711</v>
      </c>
      <c r="G923" s="65"/>
      <c r="H923" s="65"/>
      <c r="I923" s="65"/>
      <c r="J923" s="65"/>
      <c r="K923" s="65" t="str">
        <f>IFERROR(__xludf.DUMMYFUNCTION("""COMPUTED_VALUE"""),"PENDIENTE CONFIRMACION")</f>
        <v>PENDIENTE CONFIRMACION</v>
      </c>
      <c r="L923" s="65" t="str">
        <f>IFERROR(__xludf.DUMMYFUNCTION("""COMPUTED_VALUE"""),"CON RECAUDO")</f>
        <v>CON RECAUDO</v>
      </c>
      <c r="M923" s="65" t="str">
        <f>IFERROR(__xludf.DUMMYFUNCTION("""COMPUTED_VALUE"""),"LOS RIOS")</f>
        <v>LOS RIOS</v>
      </c>
      <c r="N923" s="65" t="str">
        <f>IFERROR(__xludf.DUMMYFUNCTION("""COMPUTED_VALUE"""),"VALENCIA")</f>
        <v>VALENCIA</v>
      </c>
      <c r="O923" s="65" t="str">
        <f>IFERROR(__xludf.DUMMYFUNCTION("""COMPUTED_VALUE"""),"Avenida 13 de diciembre")</f>
        <v>Avenida 13 de diciembre</v>
      </c>
      <c r="P923" s="65" t="str">
        <f>IFERROR(__xludf.DUMMYFUNCTION("""COMPUTED_VALUE"""),"CUCHILLO PARA CHEF: Default Title ***")</f>
        <v>CUCHILLO PARA CHEF: Default Title ***</v>
      </c>
      <c r="Q923" s="65" t="str">
        <f>IFERROR(__xludf.DUMMYFUNCTION("""COMPUTED_VALUE"""),"GINTRACOM")</f>
        <v>GINTRACOM</v>
      </c>
      <c r="R923" s="65">
        <f>IFERROR(__xludf.DUMMYFUNCTION("""COMPUTED_VALUE"""),22.0)</f>
        <v>22</v>
      </c>
      <c r="S923" s="65"/>
      <c r="T923" s="65">
        <f>IFERROR(__xludf.DUMMYFUNCTION("""COMPUTED_VALUE"""),6.41)</f>
        <v>6.41</v>
      </c>
      <c r="U923" s="65">
        <f>IFERROR(__xludf.DUMMYFUNCTION("""COMPUTED_VALUE"""),0.0)</f>
        <v>0</v>
      </c>
      <c r="V923" s="65">
        <f>IFERROR(__xludf.DUMMYFUNCTION("""COMPUTED_VALUE"""),0.0)</f>
        <v>0</v>
      </c>
      <c r="W923" s="65">
        <f>IFERROR(__xludf.DUMMYFUNCTION("""COMPUTED_VALUE"""),0.0)</f>
        <v>0</v>
      </c>
      <c r="X923" s="65">
        <f>IFERROR(__xludf.DUMMYFUNCTION("""COMPUTED_VALUE"""),2.6)</f>
        <v>2.6</v>
      </c>
      <c r="Y923" s="65">
        <f>IFERROR(__xludf.DUMMYFUNCTION("""COMPUTED_VALUE"""),2.6)</f>
        <v>2.6</v>
      </c>
      <c r="Z923" s="65">
        <f>IFERROR(__xludf.DUMMYFUNCTION("""COMPUTED_VALUE"""),121983.0)</f>
        <v>121983</v>
      </c>
      <c r="AA923" s="65" t="str">
        <f>IFERROR(__xludf.DUMMYFUNCTION("""COMPUTED_VALUE"""),"PROV-CHLLCF")</f>
        <v>PROV-CHLLCF</v>
      </c>
      <c r="AB923" s="65"/>
      <c r="AC923" s="65" t="str">
        <f>IFERROR(__xludf.DUMMYFUNCTION("""COMPUTED_VALUE"""),"CUCHILLO PARA CHEF")</f>
        <v>CUCHILLO PARA CHEF</v>
      </c>
      <c r="AD923" s="65"/>
      <c r="AE923" s="65">
        <f>IFERROR(__xludf.DUMMYFUNCTION("""COMPUTED_VALUE"""),1.0)</f>
        <v>1</v>
      </c>
      <c r="AF923" s="65"/>
      <c r="AG923" s="65"/>
      <c r="AH923" s="65"/>
      <c r="AI923" s="65"/>
      <c r="AJ923" s="65"/>
      <c r="AK923" s="65"/>
      <c r="AL923" s="65"/>
      <c r="AM923" s="65"/>
      <c r="AN923" s="65"/>
      <c r="AO923" s="65"/>
      <c r="AP923" s="65"/>
      <c r="AQ923" s="65"/>
      <c r="AR923" s="65"/>
      <c r="AS923" s="65"/>
      <c r="AT923" s="65" t="str">
        <f>IFERROR(__xludf.DUMMYFUNCTION("""COMPUTED_VALUE"""),"SHOPIFY")</f>
        <v>SHOPIFY</v>
      </c>
      <c r="AU923" s="65" t="str">
        <f>IFERROR(__xludf.DUMMYFUNCTION("""COMPUTED_VALUE"""),"IMPORTEX EC")</f>
        <v>IMPORTEX EC</v>
      </c>
      <c r="AV923" s="65" t="str">
        <f>IFERROR(__xludf.DUMMYFUNCTION("""COMPUTED_VALUE"""),"6486403776556")</f>
        <v>6486403776556</v>
      </c>
      <c r="AW923" s="65">
        <f>IFERROR(__xludf.DUMMYFUNCTION("""COMPUTED_VALUE"""),5962.0)</f>
        <v>5962</v>
      </c>
      <c r="AX923" s="65"/>
      <c r="AY923" s="65"/>
      <c r="AZ923" s="65"/>
      <c r="BA923" s="65"/>
    </row>
    <row r="924">
      <c r="A924" s="65" t="str">
        <f>IFERROR(__xludf.DUMMYFUNCTION("""COMPUTED_VALUE"""),"27-03-2026")</f>
        <v>27-03-2026</v>
      </c>
      <c r="B924" s="65">
        <f>IFERROR(__xludf.DUMMYFUNCTION("""COMPUTED_VALUE"""),4442358.0)</f>
        <v>4442358</v>
      </c>
      <c r="C924" s="65" t="str">
        <f>IFERROR(__xludf.DUMMYFUNCTION("""COMPUTED_VALUE"""),"18:27")</f>
        <v>18:27</v>
      </c>
      <c r="D924" s="65" t="str">
        <f>IFERROR(__xludf.DUMMYFUNCTION("""COMPUTED_VALUE"""),"08-02-2026")</f>
        <v>08-02-2026</v>
      </c>
      <c r="E924" s="65" t="str">
        <f>IFERROR(__xludf.DUMMYFUNCTION("""COMPUTED_VALUE"""),"Christian Daniel Michilena Alcívar")</f>
        <v>Christian Daniel Michilena Alcívar</v>
      </c>
      <c r="F924" s="65" t="str">
        <f>IFERROR(__xludf.DUMMYFUNCTION("""COMPUTED_VALUE"""),"968397686")</f>
        <v>968397686</v>
      </c>
      <c r="G924" s="65" t="str">
        <f>IFERROR(__xludf.DUMMYFUNCTION("""COMPUTED_VALUE"""),"cmichilenaa96@gmail.com")</f>
        <v>cmichilenaa96@gmail.com</v>
      </c>
      <c r="H924" s="65"/>
      <c r="I924" s="65"/>
      <c r="J924" s="65" t="str">
        <f>IFERROR(__xludf.DUMMYFUNCTION("""COMPUTED_VALUE"""),"D001312994")</f>
        <v>D001312994</v>
      </c>
      <c r="K924" s="65" t="str">
        <f>IFERROR(__xludf.DUMMYFUNCTION("""COMPUTED_VALUE"""),"ENTREGADO")</f>
        <v>ENTREGADO</v>
      </c>
      <c r="L924" s="65" t="str">
        <f>IFERROR(__xludf.DUMMYFUNCTION("""COMPUTED_VALUE"""),"CON RECAUDO")</f>
        <v>CON RECAUDO</v>
      </c>
      <c r="M924" s="65" t="str">
        <f>IFERROR(__xludf.DUMMYFUNCTION("""COMPUTED_VALUE"""),"GUAYAS")</f>
        <v>GUAYAS</v>
      </c>
      <c r="N924" s="65" t="str">
        <f>IFERROR(__xludf.DUMMYFUNCTION("""COMPUTED_VALUE"""),"EL TRIUNFO")</f>
        <v>EL TRIUNFO</v>
      </c>
      <c r="O924" s="65" t="str">
        <f>IFERROR(__xludf.DUMMYFUNCTION("""COMPUTED_VALUE"""),"Av. Simin Bolivar y Santiago Reyes Entre las lavadora rio verde y Emanuel, ala orilla del rio -")</f>
        <v>Av. Simin Bolivar y Santiago Reyes Entre las lavadora rio verde y Emanuel, ala orilla del rio -</v>
      </c>
      <c r="P924" s="65"/>
      <c r="Q924" s="65" t="str">
        <f>IFERROR(__xludf.DUMMYFUNCTION("""COMPUTED_VALUE"""),"GINTRACOM")</f>
        <v>GINTRACOM</v>
      </c>
      <c r="R924" s="65">
        <f>IFERROR(__xludf.DUMMYFUNCTION("""COMPUTED_VALUE"""),20.0)</f>
        <v>20</v>
      </c>
      <c r="S924" s="65">
        <f>IFERROR(__xludf.DUMMYFUNCTION("""COMPUTED_VALUE"""),12.04)</f>
        <v>12.04</v>
      </c>
      <c r="T924" s="65">
        <f>IFERROR(__xludf.DUMMYFUNCTION("""COMPUTED_VALUE"""),5.76)</f>
        <v>5.76</v>
      </c>
      <c r="U924" s="65">
        <f>IFERROR(__xludf.DUMMYFUNCTION("""COMPUTED_VALUE"""),0.0)</f>
        <v>0</v>
      </c>
      <c r="V924" s="65">
        <f>IFERROR(__xludf.DUMMYFUNCTION("""COMPUTED_VALUE"""),0.0)</f>
        <v>0</v>
      </c>
      <c r="W924" s="65">
        <f>IFERROR(__xludf.DUMMYFUNCTION("""COMPUTED_VALUE"""),0.0)</f>
        <v>0</v>
      </c>
      <c r="X924" s="65">
        <f>IFERROR(__xludf.DUMMYFUNCTION("""COMPUTED_VALUE"""),2.2)</f>
        <v>2.2</v>
      </c>
      <c r="Y924" s="65">
        <f>IFERROR(__xludf.DUMMYFUNCTION("""COMPUTED_VALUE"""),2.2)</f>
        <v>2.2</v>
      </c>
      <c r="Z924" s="65">
        <f>IFERROR(__xludf.DUMMYFUNCTION("""COMPUTED_VALUE"""),111894.0)</f>
        <v>111894</v>
      </c>
      <c r="AA924" s="65" t="str">
        <f>IFERROR(__xludf.DUMMYFUNCTION("""COMPUTED_VALUE"""),"LYIC5M40067")</f>
        <v>LYIC5M40067</v>
      </c>
      <c r="AB924" s="65"/>
      <c r="AC924" s="65" t="str">
        <f>IFERROR(__xludf.DUMMYFUNCTION("""COMPUTED_VALUE"""),"Limpiador de Parabrisas y Ventanas")</f>
        <v>Limpiador de Parabrisas y Ventanas</v>
      </c>
      <c r="AD924" s="65"/>
      <c r="AE924" s="65">
        <f>IFERROR(__xludf.DUMMYFUNCTION("""COMPUTED_VALUE"""),1.0)</f>
        <v>1</v>
      </c>
      <c r="AF924" s="65"/>
      <c r="AG924" s="65"/>
      <c r="AH924" s="65"/>
      <c r="AI924" s="65"/>
      <c r="AJ924" s="65"/>
      <c r="AK924" s="65"/>
      <c r="AL924" s="65"/>
      <c r="AM924" s="65"/>
      <c r="AN924" s="65" t="str">
        <f>IFERROR(__xludf.DUMMYFUNCTION("""COMPUTED_VALUE"""),"16:11")</f>
        <v>16:11</v>
      </c>
      <c r="AO924" s="65" t="str">
        <f>IFERROR(__xludf.DUMMYFUNCTION("""COMPUTED_VALUE"""),"13-02-2026")</f>
        <v>13-02-2026</v>
      </c>
      <c r="AP924" s="65" t="str">
        <f>IFERROR(__xludf.DUMMYFUNCTION("""COMPUTED_VALUE"""),"ENTREGADA GINTRACOM")</f>
        <v>ENTREGADA GINTRACOM</v>
      </c>
      <c r="AQ924" s="65" t="str">
        <f>IFERROR(__xludf.DUMMYFUNCTION("""COMPUTED_VALUE"""),"ENTREGADA GINTRACOM")</f>
        <v>ENTREGADA GINTRACOM</v>
      </c>
      <c r="AR924" s="65"/>
      <c r="AS924" s="65"/>
      <c r="AT924" s="65" t="str">
        <f>IFERROR(__xludf.DUMMYFUNCTION("""COMPUTED_VALUE"""),"SHOPIFY")</f>
        <v>SHOPIFY</v>
      </c>
      <c r="AU924" s="65" t="str">
        <f>IFERROR(__xludf.DUMMYFUNCTION("""COMPUTED_VALUE"""),"IMPORTEX EC")</f>
        <v>IMPORTEX EC</v>
      </c>
      <c r="AV924" s="65" t="str">
        <f>IFERROR(__xludf.DUMMYFUNCTION("""COMPUTED_VALUE"""),"6486502735916")</f>
        <v>6486502735916</v>
      </c>
      <c r="AW924" s="65">
        <f>IFERROR(__xludf.DUMMYFUNCTION("""COMPUTED_VALUE"""),5963.0)</f>
        <v>5963</v>
      </c>
      <c r="AX924" s="65"/>
      <c r="AY924" s="65" t="str">
        <f>IFERROR(__xludf.DUMMYFUNCTION("""COMPUTED_VALUE"""),"09/02/2026")</f>
        <v>09/02/2026</v>
      </c>
      <c r="AZ924" s="65"/>
      <c r="BA924" s="65"/>
    </row>
    <row r="925">
      <c r="A925" s="65" t="str">
        <f>IFERROR(__xludf.DUMMYFUNCTION("""COMPUTED_VALUE"""),"27-03-2026")</f>
        <v>27-03-2026</v>
      </c>
      <c r="B925" s="65">
        <f>IFERROR(__xludf.DUMMYFUNCTION("""COMPUTED_VALUE"""),4442356.0)</f>
        <v>4442356</v>
      </c>
      <c r="C925" s="65" t="str">
        <f>IFERROR(__xludf.DUMMYFUNCTION("""COMPUTED_VALUE"""),"18:27")</f>
        <v>18:27</v>
      </c>
      <c r="D925" s="65" t="str">
        <f>IFERROR(__xludf.DUMMYFUNCTION("""COMPUTED_VALUE"""),"08-02-2026")</f>
        <v>08-02-2026</v>
      </c>
      <c r="E925" s="65" t="str">
        <f>IFERROR(__xludf.DUMMYFUNCTION("""COMPUTED_VALUE"""),"César Mayorga Abril")</f>
        <v>César Mayorga Abril</v>
      </c>
      <c r="F925" s="65" t="str">
        <f>IFERROR(__xludf.DUMMYFUNCTION("""COMPUTED_VALUE"""),"997989827")</f>
        <v>997989827</v>
      </c>
      <c r="G925" s="65" t="str">
        <f>IFERROR(__xludf.DUMMYFUNCTION("""COMPUTED_VALUE"""),"cesarmayorga2002@yahoo.com")</f>
        <v>cesarmayorga2002@yahoo.com</v>
      </c>
      <c r="H925" s="65"/>
      <c r="I925" s="65"/>
      <c r="J925" s="65" t="str">
        <f>IFERROR(__xludf.DUMMYFUNCTION("""COMPUTED_VALUE"""),"D001315157")</f>
        <v>D001315157</v>
      </c>
      <c r="K925" s="65" t="str">
        <f>IFERROR(__xludf.DUMMYFUNCTION("""COMPUTED_VALUE"""),"ENTREGADO")</f>
        <v>ENTREGADO</v>
      </c>
      <c r="L925" s="65" t="str">
        <f>IFERROR(__xludf.DUMMYFUNCTION("""COMPUTED_VALUE"""),"CON RECAUDO")</f>
        <v>CON RECAUDO</v>
      </c>
      <c r="M925" s="65" t="str">
        <f>IFERROR(__xludf.DUMMYFUNCTION("""COMPUTED_VALUE"""),"TUNGURAHUA")</f>
        <v>TUNGURAHUA</v>
      </c>
      <c r="N925" s="65" t="str">
        <f>IFERROR(__xludf.DUMMYFUNCTION("""COMPUTED_VALUE"""),"AMBATO")</f>
        <v>AMBATO</v>
      </c>
      <c r="O925" s="65" t="str">
        <f>IFERROR(__xludf.DUMMYFUNCTION("""COMPUTED_VALUE"""),"22 de enero y Jiménez Banda MICROMAXI, frente a San Juan II -")</f>
        <v>22 de enero y Jiménez Banda MICROMAXI, frente a San Juan II -</v>
      </c>
      <c r="P925" s="65"/>
      <c r="Q925" s="65" t="str">
        <f>IFERROR(__xludf.DUMMYFUNCTION("""COMPUTED_VALUE"""),"GINTRACOM")</f>
        <v>GINTRACOM</v>
      </c>
      <c r="R925" s="65">
        <f>IFERROR(__xludf.DUMMYFUNCTION("""COMPUTED_VALUE"""),22.0)</f>
        <v>22</v>
      </c>
      <c r="S925" s="65">
        <f>IFERROR(__xludf.DUMMYFUNCTION("""COMPUTED_VALUE"""),10.96)</f>
        <v>10.96</v>
      </c>
      <c r="T925" s="65">
        <f>IFERROR(__xludf.DUMMYFUNCTION("""COMPUTED_VALUE"""),5.84)</f>
        <v>5.84</v>
      </c>
      <c r="U925" s="65">
        <f>IFERROR(__xludf.DUMMYFUNCTION("""COMPUTED_VALUE"""),0.0)</f>
        <v>0</v>
      </c>
      <c r="V925" s="65">
        <f>IFERROR(__xludf.DUMMYFUNCTION("""COMPUTED_VALUE"""),0.0)</f>
        <v>0</v>
      </c>
      <c r="W925" s="65">
        <f>IFERROR(__xludf.DUMMYFUNCTION("""COMPUTED_VALUE"""),0.0)</f>
        <v>0</v>
      </c>
      <c r="X925" s="65">
        <f>IFERROR(__xludf.DUMMYFUNCTION("""COMPUTED_VALUE"""),2.6)</f>
        <v>2.6</v>
      </c>
      <c r="Y925" s="65">
        <f>IFERROR(__xludf.DUMMYFUNCTION("""COMPUTED_VALUE"""),5.2)</f>
        <v>5.2</v>
      </c>
      <c r="Z925" s="65">
        <f>IFERROR(__xludf.DUMMYFUNCTION("""COMPUTED_VALUE"""),121983.0)</f>
        <v>121983</v>
      </c>
      <c r="AA925" s="65" t="str">
        <f>IFERROR(__xludf.DUMMYFUNCTION("""COMPUTED_VALUE"""),"PROV-CHLLCF")</f>
        <v>PROV-CHLLCF</v>
      </c>
      <c r="AB925" s="65"/>
      <c r="AC925" s="65" t="str">
        <f>IFERROR(__xludf.DUMMYFUNCTION("""COMPUTED_VALUE"""),"CUCHILLO PARA CHEF")</f>
        <v>CUCHILLO PARA CHEF</v>
      </c>
      <c r="AD925" s="65"/>
      <c r="AE925" s="65">
        <f>IFERROR(__xludf.DUMMYFUNCTION("""COMPUTED_VALUE"""),2.0)</f>
        <v>2</v>
      </c>
      <c r="AF925" s="65"/>
      <c r="AG925" s="65"/>
      <c r="AH925" s="65"/>
      <c r="AI925" s="65"/>
      <c r="AJ925" s="65"/>
      <c r="AK925" s="65"/>
      <c r="AL925" s="65"/>
      <c r="AM925" s="65"/>
      <c r="AN925" s="65" t="str">
        <f>IFERROR(__xludf.DUMMYFUNCTION("""COMPUTED_VALUE"""),"08:51")</f>
        <v>08:51</v>
      </c>
      <c r="AO925" s="65" t="str">
        <f>IFERROR(__xludf.DUMMYFUNCTION("""COMPUTED_VALUE"""),"12-02-2026")</f>
        <v>12-02-2026</v>
      </c>
      <c r="AP925" s="65" t="str">
        <f>IFERROR(__xludf.DUMMYFUNCTION("""COMPUTED_VALUE"""),"EN REPARTO")</f>
        <v>EN REPARTO</v>
      </c>
      <c r="AQ925" s="65" t="str">
        <f>IFERROR(__xludf.DUMMYFUNCTION("""COMPUTED_VALUE"""),"EN REPARTO")</f>
        <v>EN REPARTO</v>
      </c>
      <c r="AR925" s="65"/>
      <c r="AS925" s="65"/>
      <c r="AT925" s="65" t="str">
        <f>IFERROR(__xludf.DUMMYFUNCTION("""COMPUTED_VALUE"""),"SHOPIFY")</f>
        <v>SHOPIFY</v>
      </c>
      <c r="AU925" s="65" t="str">
        <f>IFERROR(__xludf.DUMMYFUNCTION("""COMPUTED_VALUE"""),"IMPORTEX EC")</f>
        <v>IMPORTEX EC</v>
      </c>
      <c r="AV925" s="65" t="str">
        <f>IFERROR(__xludf.DUMMYFUNCTION("""COMPUTED_VALUE"""),"6486538911788")</f>
        <v>6486538911788</v>
      </c>
      <c r="AW925" s="65">
        <f>IFERROR(__xludf.DUMMYFUNCTION("""COMPUTED_VALUE"""),5964.0)</f>
        <v>5964</v>
      </c>
      <c r="AX925" s="65"/>
      <c r="AY925" s="65" t="str">
        <f>IFERROR(__xludf.DUMMYFUNCTION("""COMPUTED_VALUE"""),"10/02/2026")</f>
        <v>10/02/2026</v>
      </c>
      <c r="AZ925" s="65"/>
      <c r="BA925" s="65"/>
    </row>
    <row r="926">
      <c r="A926" s="65" t="str">
        <f>IFERROR(__xludf.DUMMYFUNCTION("""COMPUTED_VALUE"""),"27-03-2026")</f>
        <v>27-03-2026</v>
      </c>
      <c r="B926" s="65">
        <f>IFERROR(__xludf.DUMMYFUNCTION("""COMPUTED_VALUE"""),4442352.0)</f>
        <v>4442352</v>
      </c>
      <c r="C926" s="65" t="str">
        <f>IFERROR(__xludf.DUMMYFUNCTION("""COMPUTED_VALUE"""),"18:27")</f>
        <v>18:27</v>
      </c>
      <c r="D926" s="65" t="str">
        <f>IFERROR(__xludf.DUMMYFUNCTION("""COMPUTED_VALUE"""),"08-02-2026")</f>
        <v>08-02-2026</v>
      </c>
      <c r="E926" s="65" t="str">
        <f>IFERROR(__xludf.DUMMYFUNCTION("""COMPUTED_VALUE"""),"Elin Corsa")</f>
        <v>Elin Corsa</v>
      </c>
      <c r="F926" s="65" t="str">
        <f>IFERROR(__xludf.DUMMYFUNCTION("""COMPUTED_VALUE"""),"967872362")</f>
        <v>967872362</v>
      </c>
      <c r="G926" s="65" t="str">
        <f>IFERROR(__xludf.DUMMYFUNCTION("""COMPUTED_VALUE"""),"corsa2911@gmail.com")</f>
        <v>corsa2911@gmail.com</v>
      </c>
      <c r="H926" s="65"/>
      <c r="I926" s="65"/>
      <c r="J926" s="65" t="str">
        <f>IFERROR(__xludf.DUMMYFUNCTION("""COMPUTED_VALUE"""),"D001315158")</f>
        <v>D001315158</v>
      </c>
      <c r="K926" s="65" t="str">
        <f>IFERROR(__xludf.DUMMYFUNCTION("""COMPUTED_VALUE"""),"ENTREGADO")</f>
        <v>ENTREGADO</v>
      </c>
      <c r="L926" s="65" t="str">
        <f>IFERROR(__xludf.DUMMYFUNCTION("""COMPUTED_VALUE"""),"CON RECAUDO")</f>
        <v>CON RECAUDO</v>
      </c>
      <c r="M926" s="65" t="str">
        <f>IFERROR(__xludf.DUMMYFUNCTION("""COMPUTED_VALUE"""),"MORONA SANTIAGO")</f>
        <v>MORONA SANTIAGO</v>
      </c>
      <c r="N926" s="65" t="str">
        <f>IFERROR(__xludf.DUMMYFUNCTION("""COMPUTED_VALUE"""),"MACAS")</f>
        <v>MACAS</v>
      </c>
      <c r="O926" s="65" t="str">
        <f>IFERROR(__xludf.DUMMYFUNCTION("""COMPUTED_VALUE"""),"Pastaza 24 de mayo y 9 de octubre - Frente al Coliseo 'Lis Canelos""")</f>
        <v>Pastaza 24 de mayo y 9 de octubre - Frente al Coliseo 'Lis Canelos"</v>
      </c>
      <c r="P926" s="65"/>
      <c r="Q926" s="65" t="str">
        <f>IFERROR(__xludf.DUMMYFUNCTION("""COMPUTED_VALUE"""),"GINTRACOM")</f>
        <v>GINTRACOM</v>
      </c>
      <c r="R926" s="65">
        <f>IFERROR(__xludf.DUMMYFUNCTION("""COMPUTED_VALUE"""),22.0)</f>
        <v>22</v>
      </c>
      <c r="S926" s="65">
        <f>IFERROR(__xludf.DUMMYFUNCTION("""COMPUTED_VALUE"""),10.96)</f>
        <v>10.96</v>
      </c>
      <c r="T926" s="65">
        <f>IFERROR(__xludf.DUMMYFUNCTION("""COMPUTED_VALUE"""),5.84)</f>
        <v>5.84</v>
      </c>
      <c r="U926" s="65">
        <f>IFERROR(__xludf.DUMMYFUNCTION("""COMPUTED_VALUE"""),0.0)</f>
        <v>0</v>
      </c>
      <c r="V926" s="65">
        <f>IFERROR(__xludf.DUMMYFUNCTION("""COMPUTED_VALUE"""),0.0)</f>
        <v>0</v>
      </c>
      <c r="W926" s="65">
        <f>IFERROR(__xludf.DUMMYFUNCTION("""COMPUTED_VALUE"""),0.0)</f>
        <v>0</v>
      </c>
      <c r="X926" s="65">
        <f>IFERROR(__xludf.DUMMYFUNCTION("""COMPUTED_VALUE"""),2.6)</f>
        <v>2.6</v>
      </c>
      <c r="Y926" s="65">
        <f>IFERROR(__xludf.DUMMYFUNCTION("""COMPUTED_VALUE"""),5.2)</f>
        <v>5.2</v>
      </c>
      <c r="Z926" s="65">
        <f>IFERROR(__xludf.DUMMYFUNCTION("""COMPUTED_VALUE"""),121983.0)</f>
        <v>121983</v>
      </c>
      <c r="AA926" s="65" t="str">
        <f>IFERROR(__xludf.DUMMYFUNCTION("""COMPUTED_VALUE"""),"PROV-CHLLCF")</f>
        <v>PROV-CHLLCF</v>
      </c>
      <c r="AB926" s="65"/>
      <c r="AC926" s="65" t="str">
        <f>IFERROR(__xludf.DUMMYFUNCTION("""COMPUTED_VALUE"""),"CUCHILLO PARA CHEF")</f>
        <v>CUCHILLO PARA CHEF</v>
      </c>
      <c r="AD926" s="65"/>
      <c r="AE926" s="65">
        <f>IFERROR(__xludf.DUMMYFUNCTION("""COMPUTED_VALUE"""),2.0)</f>
        <v>2</v>
      </c>
      <c r="AF926" s="65"/>
      <c r="AG926" s="65"/>
      <c r="AH926" s="65"/>
      <c r="AI926" s="65"/>
      <c r="AJ926" s="65"/>
      <c r="AK926" s="65"/>
      <c r="AL926" s="65"/>
      <c r="AM926" s="65"/>
      <c r="AN926" s="65" t="str">
        <f>IFERROR(__xludf.DUMMYFUNCTION("""COMPUTED_VALUE"""),"12:09")</f>
        <v>12:09</v>
      </c>
      <c r="AO926" s="65" t="str">
        <f>IFERROR(__xludf.DUMMYFUNCTION("""COMPUTED_VALUE"""),"12-02-2026")</f>
        <v>12-02-2026</v>
      </c>
      <c r="AP926" s="65" t="str">
        <f>IFERROR(__xludf.DUMMYFUNCTION("""COMPUTED_VALUE"""),"ENTREGADA GINTRACOM")</f>
        <v>ENTREGADA GINTRACOM</v>
      </c>
      <c r="AQ926" s="65" t="str">
        <f>IFERROR(__xludf.DUMMYFUNCTION("""COMPUTED_VALUE"""),"ENTREGADA GINTRACOM")</f>
        <v>ENTREGADA GINTRACOM</v>
      </c>
      <c r="AR926" s="65"/>
      <c r="AS926" s="65"/>
      <c r="AT926" s="65" t="str">
        <f>IFERROR(__xludf.DUMMYFUNCTION("""COMPUTED_VALUE"""),"SHOPIFY")</f>
        <v>SHOPIFY</v>
      </c>
      <c r="AU926" s="65" t="str">
        <f>IFERROR(__xludf.DUMMYFUNCTION("""COMPUTED_VALUE"""),"IMPORTEX EC")</f>
        <v>IMPORTEX EC</v>
      </c>
      <c r="AV926" s="65" t="str">
        <f>IFERROR(__xludf.DUMMYFUNCTION("""COMPUTED_VALUE"""),"6486694690860")</f>
        <v>6486694690860</v>
      </c>
      <c r="AW926" s="65">
        <f>IFERROR(__xludf.DUMMYFUNCTION("""COMPUTED_VALUE"""),5965.0)</f>
        <v>5965</v>
      </c>
      <c r="AX926" s="65"/>
      <c r="AY926" s="65" t="str">
        <f>IFERROR(__xludf.DUMMYFUNCTION("""COMPUTED_VALUE"""),"10/02/2026")</f>
        <v>10/02/2026</v>
      </c>
      <c r="AZ926" s="65"/>
      <c r="BA926" s="65"/>
    </row>
    <row r="927">
      <c r="A927" s="65" t="str">
        <f>IFERROR(__xludf.DUMMYFUNCTION("""COMPUTED_VALUE"""),"27-03-2026")</f>
        <v>27-03-2026</v>
      </c>
      <c r="B927" s="65">
        <f>IFERROR(__xludf.DUMMYFUNCTION("""COMPUTED_VALUE"""),4442348.0)</f>
        <v>4442348</v>
      </c>
      <c r="C927" s="65" t="str">
        <f>IFERROR(__xludf.DUMMYFUNCTION("""COMPUTED_VALUE"""),"18:27")</f>
        <v>18:27</v>
      </c>
      <c r="D927" s="65" t="str">
        <f>IFERROR(__xludf.DUMMYFUNCTION("""COMPUTED_VALUE"""),"08-02-2026")</f>
        <v>08-02-2026</v>
      </c>
      <c r="E927" s="65" t="str">
        <f>IFERROR(__xludf.DUMMYFUNCTION("""COMPUTED_VALUE"""),"Beatriz Osorio Oviedo")</f>
        <v>Beatriz Osorio Oviedo</v>
      </c>
      <c r="F927" s="65" t="str">
        <f>IFERROR(__xludf.DUMMYFUNCTION("""COMPUTED_VALUE"""),"999611596")</f>
        <v>999611596</v>
      </c>
      <c r="G927" s="65" t="str">
        <f>IFERROR(__xludf.DUMMYFUNCTION("""COMPUTED_VALUE"""),"mariscosazul@gmail.com")</f>
        <v>mariscosazul@gmail.com</v>
      </c>
      <c r="H927" s="65"/>
      <c r="I927" s="65"/>
      <c r="J927" s="65" t="str">
        <f>IFERROR(__xludf.DUMMYFUNCTION("""COMPUTED_VALUE"""),"D001320043")</f>
        <v>D001320043</v>
      </c>
      <c r="K927" s="65" t="str">
        <f>IFERROR(__xludf.DUMMYFUNCTION("""COMPUTED_VALUE"""),"ENTREGADO")</f>
        <v>ENTREGADO</v>
      </c>
      <c r="L927" s="65" t="str">
        <f>IFERROR(__xludf.DUMMYFUNCTION("""COMPUTED_VALUE"""),"CON RECAUDO")</f>
        <v>CON RECAUDO</v>
      </c>
      <c r="M927" s="65" t="str">
        <f>IFERROR(__xludf.DUMMYFUNCTION("""COMPUTED_VALUE"""),"GUAYAS")</f>
        <v>GUAYAS</v>
      </c>
      <c r="N927" s="65" t="str">
        <f>IFERROR(__xludf.DUMMYFUNCTION("""COMPUTED_VALUE"""),"GUAYAQUIL")</f>
        <v>GUAYAQUIL</v>
      </c>
      <c r="O927" s="65" t="str">
        <f>IFERROR(__xludf.DUMMYFUNCTION("""COMPUTED_VALUE"""),"Brisas Condominio Altamira Uno Depto Uno y Av Olmos Lomas de Urdesa recta de Puente Policentro sube x Olmos pequeña cuadrita y vira a la derecha en garita preguntar Urdesa -")</f>
        <v>Brisas Condominio Altamira Uno Depto Uno y Av Olmos Lomas de Urdesa recta de Puente Policentro sube x Olmos pequeña cuadrita y vira a la derecha en garita preguntar Urdesa -</v>
      </c>
      <c r="P927" s="65"/>
      <c r="Q927" s="65" t="str">
        <f>IFERROR(__xludf.DUMMYFUNCTION("""COMPUTED_VALUE"""),"GINTRACOM")</f>
        <v>GINTRACOM</v>
      </c>
      <c r="R927" s="65">
        <f>IFERROR(__xludf.DUMMYFUNCTION("""COMPUTED_VALUE"""),22.0)</f>
        <v>22</v>
      </c>
      <c r="S927" s="65">
        <f>IFERROR(__xludf.DUMMYFUNCTION("""COMPUTED_VALUE"""),12.57)</f>
        <v>12.57</v>
      </c>
      <c r="T927" s="65">
        <f>IFERROR(__xludf.DUMMYFUNCTION("""COMPUTED_VALUE"""),4.23)</f>
        <v>4.23</v>
      </c>
      <c r="U927" s="65">
        <f>IFERROR(__xludf.DUMMYFUNCTION("""COMPUTED_VALUE"""),0.0)</f>
        <v>0</v>
      </c>
      <c r="V927" s="65">
        <f>IFERROR(__xludf.DUMMYFUNCTION("""COMPUTED_VALUE"""),0.0)</f>
        <v>0</v>
      </c>
      <c r="W927" s="65">
        <f>IFERROR(__xludf.DUMMYFUNCTION("""COMPUTED_VALUE"""),0.0)</f>
        <v>0</v>
      </c>
      <c r="X927" s="65">
        <f>IFERROR(__xludf.DUMMYFUNCTION("""COMPUTED_VALUE"""),2.6)</f>
        <v>2.6</v>
      </c>
      <c r="Y927" s="65">
        <f>IFERROR(__xludf.DUMMYFUNCTION("""COMPUTED_VALUE"""),5.2)</f>
        <v>5.2</v>
      </c>
      <c r="Z927" s="65">
        <f>IFERROR(__xludf.DUMMYFUNCTION("""COMPUTED_VALUE"""),121983.0)</f>
        <v>121983</v>
      </c>
      <c r="AA927" s="65" t="str">
        <f>IFERROR(__xludf.DUMMYFUNCTION("""COMPUTED_VALUE"""),"PROV-CHLLCF")</f>
        <v>PROV-CHLLCF</v>
      </c>
      <c r="AB927" s="65"/>
      <c r="AC927" s="65" t="str">
        <f>IFERROR(__xludf.DUMMYFUNCTION("""COMPUTED_VALUE"""),"CUCHILLO PARA CHEF")</f>
        <v>CUCHILLO PARA CHEF</v>
      </c>
      <c r="AD927" s="65"/>
      <c r="AE927" s="65">
        <f>IFERROR(__xludf.DUMMYFUNCTION("""COMPUTED_VALUE"""),2.0)</f>
        <v>2</v>
      </c>
      <c r="AF927" s="65" t="str">
        <f>IFERROR(__xludf.DUMMYFUNCTION("""COMPUTED_VALUE"""),"DESTINATARIO NO SE ENCUENTRA EN LUGAR DE ENTREGA.")</f>
        <v>DESTINATARIO NO SE ENCUENTRA EN LUGAR DE ENTREGA.</v>
      </c>
      <c r="AG927" s="65" t="str">
        <f>IFERROR(__xludf.DUMMYFUNCTION("""COMPUTED_VALUE"""),"SI")</f>
        <v>SI</v>
      </c>
      <c r="AH927" s="65" t="str">
        <f>IFERROR(__xludf.DUMMYFUNCTION("""COMPUTED_VALUE"""),"14:41")</f>
        <v>14:41</v>
      </c>
      <c r="AI927" s="65" t="str">
        <f>IFERROR(__xludf.DUMMYFUNCTION("""COMPUTED_VALUE"""),"17-02-2026")</f>
        <v>17-02-2026</v>
      </c>
      <c r="AJ927" s="65"/>
      <c r="AK927" s="65"/>
      <c r="AL927" s="65"/>
      <c r="AM927" s="65"/>
      <c r="AN927" s="65" t="str">
        <f>IFERROR(__xludf.DUMMYFUNCTION("""COMPUTED_VALUE"""),"12:54")</f>
        <v>12:54</v>
      </c>
      <c r="AO927" s="65" t="str">
        <f>IFERROR(__xludf.DUMMYFUNCTION("""COMPUTED_VALUE"""),"24-02-2026")</f>
        <v>24-02-2026</v>
      </c>
      <c r="AP927" s="65" t="str">
        <f>IFERROR(__xludf.DUMMYFUNCTION("""COMPUTED_VALUE"""),"ENTREGADA GINTRACOM")</f>
        <v>ENTREGADA GINTRACOM</v>
      </c>
      <c r="AQ927" s="65" t="str">
        <f>IFERROR(__xludf.DUMMYFUNCTION("""COMPUTED_VALUE"""),"ENTREGADA GINTRACOM")</f>
        <v>ENTREGADA GINTRACOM</v>
      </c>
      <c r="AR927" s="65"/>
      <c r="AS927" s="65"/>
      <c r="AT927" s="65" t="str">
        <f>IFERROR(__xludf.DUMMYFUNCTION("""COMPUTED_VALUE"""),"SHOPIFY")</f>
        <v>SHOPIFY</v>
      </c>
      <c r="AU927" s="65" t="str">
        <f>IFERROR(__xludf.DUMMYFUNCTION("""COMPUTED_VALUE"""),"IMPORTEX EC")</f>
        <v>IMPORTEX EC</v>
      </c>
      <c r="AV927" s="65" t="str">
        <f>IFERROR(__xludf.DUMMYFUNCTION("""COMPUTED_VALUE"""),"6486706323500")</f>
        <v>6486706323500</v>
      </c>
      <c r="AW927" s="65">
        <f>IFERROR(__xludf.DUMMYFUNCTION("""COMPUTED_VALUE"""),5966.0)</f>
        <v>5966</v>
      </c>
      <c r="AX927" s="65"/>
      <c r="AY927" s="65" t="str">
        <f>IFERROR(__xludf.DUMMYFUNCTION("""COMPUTED_VALUE"""),"11/02/2026")</f>
        <v>11/02/2026</v>
      </c>
      <c r="AZ927" s="65"/>
      <c r="BA927" s="65"/>
    </row>
    <row r="928">
      <c r="A928" s="65" t="str">
        <f>IFERROR(__xludf.DUMMYFUNCTION("""COMPUTED_VALUE"""),"27-03-2026")</f>
        <v>27-03-2026</v>
      </c>
      <c r="B928" s="65">
        <f>IFERROR(__xludf.DUMMYFUNCTION("""COMPUTED_VALUE"""),4442346.0)</f>
        <v>4442346</v>
      </c>
      <c r="C928" s="65" t="str">
        <f>IFERROR(__xludf.DUMMYFUNCTION("""COMPUTED_VALUE"""),"18:27")</f>
        <v>18:27</v>
      </c>
      <c r="D928" s="65" t="str">
        <f>IFERROR(__xludf.DUMMYFUNCTION("""COMPUTED_VALUE"""),"08-02-2026")</f>
        <v>08-02-2026</v>
      </c>
      <c r="E928" s="65" t="str">
        <f>IFERROR(__xludf.DUMMYFUNCTION("""COMPUTED_VALUE"""),"Marylin Figueroa")</f>
        <v>Marylin Figueroa</v>
      </c>
      <c r="F928" s="65" t="str">
        <f>IFERROR(__xludf.DUMMYFUNCTION("""COMPUTED_VALUE"""),"961733334")</f>
        <v>961733334</v>
      </c>
      <c r="G928" s="65" t="str">
        <f>IFERROR(__xludf.DUMMYFUNCTION("""COMPUTED_VALUE"""),"cmafisu@gmail.com")</f>
        <v>cmafisu@gmail.com</v>
      </c>
      <c r="H928" s="65"/>
      <c r="I928" s="65"/>
      <c r="J928" s="65" t="str">
        <f>IFERROR(__xludf.DUMMYFUNCTION("""COMPUTED_VALUE"""),"D001315159")</f>
        <v>D001315159</v>
      </c>
      <c r="K928" s="65" t="str">
        <f>IFERROR(__xludf.DUMMYFUNCTION("""COMPUTED_VALUE"""),"ENTREGADO")</f>
        <v>ENTREGADO</v>
      </c>
      <c r="L928" s="65" t="str">
        <f>IFERROR(__xludf.DUMMYFUNCTION("""COMPUTED_VALUE"""),"CON RECAUDO")</f>
        <v>CON RECAUDO</v>
      </c>
      <c r="M928" s="65" t="str">
        <f>IFERROR(__xludf.DUMMYFUNCTION("""COMPUTED_VALUE"""),"MANABI")</f>
        <v>MANABI</v>
      </c>
      <c r="N928" s="65" t="str">
        <f>IFERROR(__xludf.DUMMYFUNCTION("""COMPUTED_VALUE"""),"MANTA")</f>
        <v>MANTA</v>
      </c>
      <c r="O928" s="65" t="str">
        <f>IFERROR(__xludf.DUMMYFUNCTION("""COMPUTED_VALUE"""),"Parroquia Los Esteros, Ciudadela las Orquídeas Manzana Q Atrás del Estadio Atlético la Pradera, Villa esquinera, enlucida sin pintar con techo grande, cerramiento de latillas. -")</f>
        <v>Parroquia Los Esteros, Ciudadela las Orquídeas Manzana Q Atrás del Estadio Atlético la Pradera, Villa esquinera, enlucida sin pintar con techo grande, cerramiento de latillas. -</v>
      </c>
      <c r="P928" s="65"/>
      <c r="Q928" s="65" t="str">
        <f>IFERROR(__xludf.DUMMYFUNCTION("""COMPUTED_VALUE"""),"GINTRACOM")</f>
        <v>GINTRACOM</v>
      </c>
      <c r="R928" s="65">
        <f>IFERROR(__xludf.DUMMYFUNCTION("""COMPUTED_VALUE"""),27.0)</f>
        <v>27</v>
      </c>
      <c r="S928" s="65">
        <f>IFERROR(__xludf.DUMMYFUNCTION("""COMPUTED_VALUE"""),13.17)</f>
        <v>13.17</v>
      </c>
      <c r="T928" s="65">
        <f>IFERROR(__xludf.DUMMYFUNCTION("""COMPUTED_VALUE"""),6.03)</f>
        <v>6.03</v>
      </c>
      <c r="U928" s="65">
        <f>IFERROR(__xludf.DUMMYFUNCTION("""COMPUTED_VALUE"""),0.0)</f>
        <v>0</v>
      </c>
      <c r="V928" s="65">
        <f>IFERROR(__xludf.DUMMYFUNCTION("""COMPUTED_VALUE"""),0.0)</f>
        <v>0</v>
      </c>
      <c r="W928" s="65">
        <f>IFERROR(__xludf.DUMMYFUNCTION("""COMPUTED_VALUE"""),0.0)</f>
        <v>0</v>
      </c>
      <c r="X928" s="65">
        <f>IFERROR(__xludf.DUMMYFUNCTION("""COMPUTED_VALUE"""),2.6)</f>
        <v>2.6</v>
      </c>
      <c r="Y928" s="65">
        <f>IFERROR(__xludf.DUMMYFUNCTION("""COMPUTED_VALUE"""),7.8)</f>
        <v>7.8</v>
      </c>
      <c r="Z928" s="65">
        <f>IFERROR(__xludf.DUMMYFUNCTION("""COMPUTED_VALUE"""),121983.0)</f>
        <v>121983</v>
      </c>
      <c r="AA928" s="65" t="str">
        <f>IFERROR(__xludf.DUMMYFUNCTION("""COMPUTED_VALUE"""),"PROV-CHLLCF")</f>
        <v>PROV-CHLLCF</v>
      </c>
      <c r="AB928" s="65"/>
      <c r="AC928" s="65" t="str">
        <f>IFERROR(__xludf.DUMMYFUNCTION("""COMPUTED_VALUE"""),"CUCHILLO PARA CHEF")</f>
        <v>CUCHILLO PARA CHEF</v>
      </c>
      <c r="AD928" s="65"/>
      <c r="AE928" s="65">
        <f>IFERROR(__xludf.DUMMYFUNCTION("""COMPUTED_VALUE"""),3.0)</f>
        <v>3</v>
      </c>
      <c r="AF928" s="65"/>
      <c r="AG928" s="65"/>
      <c r="AH928" s="65"/>
      <c r="AI928" s="65"/>
      <c r="AJ928" s="65"/>
      <c r="AK928" s="65"/>
      <c r="AL928" s="65"/>
      <c r="AM928" s="65"/>
      <c r="AN928" s="65" t="str">
        <f>IFERROR(__xludf.DUMMYFUNCTION("""COMPUTED_VALUE"""),"14:36")</f>
        <v>14:36</v>
      </c>
      <c r="AO928" s="65" t="str">
        <f>IFERROR(__xludf.DUMMYFUNCTION("""COMPUTED_VALUE"""),"12-02-2026")</f>
        <v>12-02-2026</v>
      </c>
      <c r="AP928" s="65" t="str">
        <f>IFERROR(__xludf.DUMMYFUNCTION("""COMPUTED_VALUE"""),"ENTREGADA GINTRACOM")</f>
        <v>ENTREGADA GINTRACOM</v>
      </c>
      <c r="AQ928" s="65" t="str">
        <f>IFERROR(__xludf.DUMMYFUNCTION("""COMPUTED_VALUE"""),"ENTREGADA GINTRACOM")</f>
        <v>ENTREGADA GINTRACOM</v>
      </c>
      <c r="AR928" s="65"/>
      <c r="AS928" s="65"/>
      <c r="AT928" s="65" t="str">
        <f>IFERROR(__xludf.DUMMYFUNCTION("""COMPUTED_VALUE"""),"SHOPIFY")</f>
        <v>SHOPIFY</v>
      </c>
      <c r="AU928" s="65" t="str">
        <f>IFERROR(__xludf.DUMMYFUNCTION("""COMPUTED_VALUE"""),"IMPORTEX EC")</f>
        <v>IMPORTEX EC</v>
      </c>
      <c r="AV928" s="65" t="str">
        <f>IFERROR(__xludf.DUMMYFUNCTION("""COMPUTED_VALUE"""),"6486715039788")</f>
        <v>6486715039788</v>
      </c>
      <c r="AW928" s="65">
        <f>IFERROR(__xludf.DUMMYFUNCTION("""COMPUTED_VALUE"""),5967.0)</f>
        <v>5967</v>
      </c>
      <c r="AX928" s="65"/>
      <c r="AY928" s="65" t="str">
        <f>IFERROR(__xludf.DUMMYFUNCTION("""COMPUTED_VALUE"""),"10/02/2026")</f>
        <v>10/02/2026</v>
      </c>
      <c r="AZ928" s="65"/>
      <c r="BA928" s="65"/>
    </row>
    <row r="929">
      <c r="A929" s="65" t="str">
        <f>IFERROR(__xludf.DUMMYFUNCTION("""COMPUTED_VALUE"""),"27-03-2026")</f>
        <v>27-03-2026</v>
      </c>
      <c r="B929" s="65">
        <f>IFERROR(__xludf.DUMMYFUNCTION("""COMPUTED_VALUE"""),4442344.0)</f>
        <v>4442344</v>
      </c>
      <c r="C929" s="65" t="str">
        <f>IFERROR(__xludf.DUMMYFUNCTION("""COMPUTED_VALUE"""),"18:26")</f>
        <v>18:26</v>
      </c>
      <c r="D929" s="65" t="str">
        <f>IFERROR(__xludf.DUMMYFUNCTION("""COMPUTED_VALUE"""),"08-02-2026")</f>
        <v>08-02-2026</v>
      </c>
      <c r="E929" s="65" t="str">
        <f>IFERROR(__xludf.DUMMYFUNCTION("""COMPUTED_VALUE"""),"Juan Carlos Jiménez")</f>
        <v>Juan Carlos Jiménez</v>
      </c>
      <c r="F929" s="65" t="str">
        <f>IFERROR(__xludf.DUMMYFUNCTION("""COMPUTED_VALUE"""),"992197808")</f>
        <v>992197808</v>
      </c>
      <c r="G929" s="65" t="str">
        <f>IFERROR(__xludf.DUMMYFUNCTION("""COMPUTED_VALUE"""),"ju-jimenez@hotmail.esn")</f>
        <v>ju-jimenez@hotmail.esn</v>
      </c>
      <c r="H929" s="65"/>
      <c r="I929" s="65"/>
      <c r="J929" s="65" t="str">
        <f>IFERROR(__xludf.DUMMYFUNCTION("""COMPUTED_VALUE"""),"D001315160")</f>
        <v>D001315160</v>
      </c>
      <c r="K929" s="65" t="str">
        <f>IFERROR(__xludf.DUMMYFUNCTION("""COMPUTED_VALUE"""),"ENTREGADO")</f>
        <v>ENTREGADO</v>
      </c>
      <c r="L929" s="65" t="str">
        <f>IFERROR(__xludf.DUMMYFUNCTION("""COMPUTED_VALUE"""),"CON RECAUDO")</f>
        <v>CON RECAUDO</v>
      </c>
      <c r="M929" s="65" t="str">
        <f>IFERROR(__xludf.DUMMYFUNCTION("""COMPUTED_VALUE"""),"PICHINCHA")</f>
        <v>PICHINCHA</v>
      </c>
      <c r="N929" s="65" t="str">
        <f>IFERROR(__xludf.DUMMYFUNCTION("""COMPUTED_VALUE"""),"QUITO")</f>
        <v>QUITO</v>
      </c>
      <c r="O929" s="65" t="str">
        <f>IFERROR(__xludf.DUMMYFUNCTION("""COMPUTED_VALUE"""),"calle H -1131 y los Nardos Solca....entrando.por la.calle.los fresnos y Eloy Alfaro - atras de.la gasolinera Primax ..por el.colegio PONSE..edificio color amarillo de 5 pisos ..puertas verdes")</f>
        <v>calle H -1131 y los Nardos Solca....entrando.por la.calle.los fresnos y Eloy Alfaro - atras de.la gasolinera Primax ..por el.colegio PONSE..edificio color amarillo de 5 pisos ..puertas verdes</v>
      </c>
      <c r="P929" s="65"/>
      <c r="Q929" s="65" t="str">
        <f>IFERROR(__xludf.DUMMYFUNCTION("""COMPUTED_VALUE"""),"GINTRACOM")</f>
        <v>GINTRACOM</v>
      </c>
      <c r="R929" s="65">
        <f>IFERROR(__xludf.DUMMYFUNCTION("""COMPUTED_VALUE"""),22.0)</f>
        <v>22</v>
      </c>
      <c r="S929" s="65">
        <f>IFERROR(__xludf.DUMMYFUNCTION("""COMPUTED_VALUE"""),10.96)</f>
        <v>10.96</v>
      </c>
      <c r="T929" s="65">
        <f>IFERROR(__xludf.DUMMYFUNCTION("""COMPUTED_VALUE"""),5.84)</f>
        <v>5.84</v>
      </c>
      <c r="U929" s="65">
        <f>IFERROR(__xludf.DUMMYFUNCTION("""COMPUTED_VALUE"""),0.0)</f>
        <v>0</v>
      </c>
      <c r="V929" s="65">
        <f>IFERROR(__xludf.DUMMYFUNCTION("""COMPUTED_VALUE"""),0.0)</f>
        <v>0</v>
      </c>
      <c r="W929" s="65">
        <f>IFERROR(__xludf.DUMMYFUNCTION("""COMPUTED_VALUE"""),0.0)</f>
        <v>0</v>
      </c>
      <c r="X929" s="65">
        <f>IFERROR(__xludf.DUMMYFUNCTION("""COMPUTED_VALUE"""),2.6)</f>
        <v>2.6</v>
      </c>
      <c r="Y929" s="65">
        <f>IFERROR(__xludf.DUMMYFUNCTION("""COMPUTED_VALUE"""),5.2)</f>
        <v>5.2</v>
      </c>
      <c r="Z929" s="65">
        <f>IFERROR(__xludf.DUMMYFUNCTION("""COMPUTED_VALUE"""),121983.0)</f>
        <v>121983</v>
      </c>
      <c r="AA929" s="65" t="str">
        <f>IFERROR(__xludf.DUMMYFUNCTION("""COMPUTED_VALUE"""),"PROV-CHLLCF")</f>
        <v>PROV-CHLLCF</v>
      </c>
      <c r="AB929" s="65"/>
      <c r="AC929" s="65" t="str">
        <f>IFERROR(__xludf.DUMMYFUNCTION("""COMPUTED_VALUE"""),"CUCHILLO PARA CHEF")</f>
        <v>CUCHILLO PARA CHEF</v>
      </c>
      <c r="AD929" s="65"/>
      <c r="AE929" s="65">
        <f>IFERROR(__xludf.DUMMYFUNCTION("""COMPUTED_VALUE"""),2.0)</f>
        <v>2</v>
      </c>
      <c r="AF929" s="65" t="str">
        <f>IFERROR(__xludf.DUMMYFUNCTION("""COMPUTED_VALUE"""),"DESTINATARIO INDICA QUE YA NO DESEA EL PRODUCTO")</f>
        <v>DESTINATARIO INDICA QUE YA NO DESEA EL PRODUCTO</v>
      </c>
      <c r="AG929" s="65" t="str">
        <f>IFERROR(__xludf.DUMMYFUNCTION("""COMPUTED_VALUE"""),"NO")</f>
        <v>NO</v>
      </c>
      <c r="AH929" s="65" t="str">
        <f>IFERROR(__xludf.DUMMYFUNCTION("""COMPUTED_VALUE"""),"15:14")</f>
        <v>15:14</v>
      </c>
      <c r="AI929" s="65" t="str">
        <f>IFERROR(__xludf.DUMMYFUNCTION("""COMPUTED_VALUE"""),"11-02-2026")</f>
        <v>11-02-2026</v>
      </c>
      <c r="AJ929" s="65"/>
      <c r="AK929" s="65"/>
      <c r="AL929" s="65"/>
      <c r="AM929" s="65"/>
      <c r="AN929" s="65" t="str">
        <f>IFERROR(__xludf.DUMMYFUNCTION("""COMPUTED_VALUE"""),"17:07")</f>
        <v>17:07</v>
      </c>
      <c r="AO929" s="65" t="str">
        <f>IFERROR(__xludf.DUMMYFUNCTION("""COMPUTED_VALUE"""),"12-02-2026")</f>
        <v>12-02-2026</v>
      </c>
      <c r="AP929" s="65" t="str">
        <f>IFERROR(__xludf.DUMMYFUNCTION("""COMPUTED_VALUE"""),"DESTINATARIO RE-PROGRAMA FECHA DE ENTREGA")</f>
        <v>DESTINATARIO RE-PROGRAMA FECHA DE ENTREGA</v>
      </c>
      <c r="AQ929" s="65" t="str">
        <f>IFERROR(__xludf.DUMMYFUNCTION("""COMPUTED_VALUE"""),"DESTINATARIO RE-PROGRAMA FECHA DE ENTREGA")</f>
        <v>DESTINATARIO RE-PROGRAMA FECHA DE ENTREGA</v>
      </c>
      <c r="AR929" s="65"/>
      <c r="AS929" s="65"/>
      <c r="AT929" s="65" t="str">
        <f>IFERROR(__xludf.DUMMYFUNCTION("""COMPUTED_VALUE"""),"SHOPIFY")</f>
        <v>SHOPIFY</v>
      </c>
      <c r="AU929" s="65" t="str">
        <f>IFERROR(__xludf.DUMMYFUNCTION("""COMPUTED_VALUE"""),"IMPORTEX EC")</f>
        <v>IMPORTEX EC</v>
      </c>
      <c r="AV929" s="65" t="str">
        <f>IFERROR(__xludf.DUMMYFUNCTION("""COMPUTED_VALUE"""),"6486738665516")</f>
        <v>6486738665516</v>
      </c>
      <c r="AW929" s="65">
        <f>IFERROR(__xludf.DUMMYFUNCTION("""COMPUTED_VALUE"""),5968.0)</f>
        <v>5968</v>
      </c>
      <c r="AX929" s="65"/>
      <c r="AY929" s="65" t="str">
        <f>IFERROR(__xludf.DUMMYFUNCTION("""COMPUTED_VALUE"""),"10/02/2026")</f>
        <v>10/02/2026</v>
      </c>
      <c r="AZ929" s="65"/>
      <c r="BA929" s="65"/>
    </row>
    <row r="930">
      <c r="A930" s="65" t="str">
        <f>IFERROR(__xludf.DUMMYFUNCTION("""COMPUTED_VALUE"""),"27-03-2026")</f>
        <v>27-03-2026</v>
      </c>
      <c r="B930" s="65">
        <f>IFERROR(__xludf.DUMMYFUNCTION("""COMPUTED_VALUE"""),4442343.0)</f>
        <v>4442343</v>
      </c>
      <c r="C930" s="65" t="str">
        <f>IFERROR(__xludf.DUMMYFUNCTION("""COMPUTED_VALUE"""),"18:26")</f>
        <v>18:26</v>
      </c>
      <c r="D930" s="65" t="str">
        <f>IFERROR(__xludf.DUMMYFUNCTION("""COMPUTED_VALUE"""),"08-02-2026")</f>
        <v>08-02-2026</v>
      </c>
      <c r="E930" s="65" t="str">
        <f>IFERROR(__xludf.DUMMYFUNCTION("""COMPUTED_VALUE"""),"Marco Benalcazar")</f>
        <v>Marco Benalcazar</v>
      </c>
      <c r="F930" s="65" t="str">
        <f>IFERROR(__xludf.DUMMYFUNCTION("""COMPUTED_VALUE"""),"960207439")</f>
        <v>960207439</v>
      </c>
      <c r="G930" s="65"/>
      <c r="H930" s="65"/>
      <c r="I930" s="65"/>
      <c r="J930" s="65"/>
      <c r="K930" s="65" t="str">
        <f>IFERROR(__xludf.DUMMYFUNCTION("""COMPUTED_VALUE"""),"PENDIENTE CONFIRMACION")</f>
        <v>PENDIENTE CONFIRMACION</v>
      </c>
      <c r="L930" s="65" t="str">
        <f>IFERROR(__xludf.DUMMYFUNCTION("""COMPUTED_VALUE"""),"CON RECAUDO")</f>
        <v>CON RECAUDO</v>
      </c>
      <c r="M930" s="65" t="str">
        <f>IFERROR(__xludf.DUMMYFUNCTION("""COMPUTED_VALUE"""),"PICHINCHA")</f>
        <v>PICHINCHA</v>
      </c>
      <c r="N930" s="65" t="str">
        <f>IFERROR(__xludf.DUMMYFUNCTION("""COMPUTED_VALUE"""),"NANEGALITO")</f>
        <v>NANEGALITO</v>
      </c>
      <c r="O930" s="65" t="str">
        <f>IFERROR(__xludf.DUMMYFUNCTION("""COMPUTED_VALUE"""),"Via alos bancos En el mercado denanegalito -")</f>
        <v>Via alos bancos En el mercado denanegalito -</v>
      </c>
      <c r="P930" s="65"/>
      <c r="Q930" s="65" t="str">
        <f>IFERROR(__xludf.DUMMYFUNCTION("""COMPUTED_VALUE"""),"LAARCOURIER")</f>
        <v>LAARCOURIER</v>
      </c>
      <c r="R930" s="65">
        <f>IFERROR(__xludf.DUMMYFUNCTION("""COMPUTED_VALUE"""),32.0)</f>
        <v>32</v>
      </c>
      <c r="S930" s="65"/>
      <c r="T930" s="65">
        <f>IFERROR(__xludf.DUMMYFUNCTION("""COMPUTED_VALUE"""),7.59)</f>
        <v>7.59</v>
      </c>
      <c r="U930" s="65">
        <f>IFERROR(__xludf.DUMMYFUNCTION("""COMPUTED_VALUE"""),0.0)</f>
        <v>0</v>
      </c>
      <c r="V930" s="65">
        <f>IFERROR(__xludf.DUMMYFUNCTION("""COMPUTED_VALUE"""),0.0)</f>
        <v>0</v>
      </c>
      <c r="W930" s="65">
        <f>IFERROR(__xludf.DUMMYFUNCTION("""COMPUTED_VALUE"""),0.0)</f>
        <v>0</v>
      </c>
      <c r="X930" s="65">
        <f>IFERROR(__xludf.DUMMYFUNCTION("""COMPUTED_VALUE"""),2.6)</f>
        <v>2.6</v>
      </c>
      <c r="Y930" s="65">
        <f>IFERROR(__xludf.DUMMYFUNCTION("""COMPUTED_VALUE"""),10.4)</f>
        <v>10.4</v>
      </c>
      <c r="Z930" s="65">
        <f>IFERROR(__xludf.DUMMYFUNCTION("""COMPUTED_VALUE"""),121983.0)</f>
        <v>121983</v>
      </c>
      <c r="AA930" s="65" t="str">
        <f>IFERROR(__xludf.DUMMYFUNCTION("""COMPUTED_VALUE"""),"PROV-CHLLCF")</f>
        <v>PROV-CHLLCF</v>
      </c>
      <c r="AB930" s="65"/>
      <c r="AC930" s="65" t="str">
        <f>IFERROR(__xludf.DUMMYFUNCTION("""COMPUTED_VALUE"""),"CUCHILLO PARA CHEF")</f>
        <v>CUCHILLO PARA CHEF</v>
      </c>
      <c r="AD930" s="65"/>
      <c r="AE930" s="65">
        <f>IFERROR(__xludf.DUMMYFUNCTION("""COMPUTED_VALUE"""),4.0)</f>
        <v>4</v>
      </c>
      <c r="AF930" s="65"/>
      <c r="AG930" s="65"/>
      <c r="AH930" s="65"/>
      <c r="AI930" s="65"/>
      <c r="AJ930" s="65"/>
      <c r="AK930" s="65"/>
      <c r="AL930" s="65"/>
      <c r="AM930" s="65"/>
      <c r="AN930" s="65"/>
      <c r="AO930" s="65"/>
      <c r="AP930" s="65"/>
      <c r="AQ930" s="65"/>
      <c r="AR930" s="65"/>
      <c r="AS930" s="65"/>
      <c r="AT930" s="65" t="str">
        <f>IFERROR(__xludf.DUMMYFUNCTION("""COMPUTED_VALUE"""),"SHOPIFY")</f>
        <v>SHOPIFY</v>
      </c>
      <c r="AU930" s="65" t="str">
        <f>IFERROR(__xludf.DUMMYFUNCTION("""COMPUTED_VALUE"""),"IMPORTEX EC")</f>
        <v>IMPORTEX EC</v>
      </c>
      <c r="AV930" s="65" t="str">
        <f>IFERROR(__xludf.DUMMYFUNCTION("""COMPUTED_VALUE"""),"6487004610604")</f>
        <v>6487004610604</v>
      </c>
      <c r="AW930" s="65">
        <f>IFERROR(__xludf.DUMMYFUNCTION("""COMPUTED_VALUE"""),5969.0)</f>
        <v>5969</v>
      </c>
      <c r="AX930" s="65"/>
      <c r="AY930" s="65"/>
      <c r="AZ930" s="65"/>
      <c r="BA930" s="65"/>
    </row>
    <row r="931">
      <c r="A931" s="65" t="str">
        <f>IFERROR(__xludf.DUMMYFUNCTION("""COMPUTED_VALUE"""),"27-03-2026")</f>
        <v>27-03-2026</v>
      </c>
      <c r="B931" s="65">
        <f>IFERROR(__xludf.DUMMYFUNCTION("""COMPUTED_VALUE"""),4442340.0)</f>
        <v>4442340</v>
      </c>
      <c r="C931" s="65" t="str">
        <f>IFERROR(__xludf.DUMMYFUNCTION("""COMPUTED_VALUE"""),"18:26")</f>
        <v>18:26</v>
      </c>
      <c r="D931" s="65" t="str">
        <f>IFERROR(__xludf.DUMMYFUNCTION("""COMPUTED_VALUE"""),"08-02-2026")</f>
        <v>08-02-2026</v>
      </c>
      <c r="E931" s="65" t="str">
        <f>IFERROR(__xludf.DUMMYFUNCTION("""COMPUTED_VALUE"""),"Luis Sototo")</f>
        <v>Luis Sototo</v>
      </c>
      <c r="F931" s="65" t="str">
        <f>IFERROR(__xludf.DUMMYFUNCTION("""COMPUTED_VALUE"""),"999338346")</f>
        <v>999338346</v>
      </c>
      <c r="G931" s="65"/>
      <c r="H931" s="65"/>
      <c r="I931" s="65"/>
      <c r="J931" s="65" t="str">
        <f>IFERROR(__xludf.DUMMYFUNCTION("""COMPUTED_VALUE"""),"D001318310")</f>
        <v>D001318310</v>
      </c>
      <c r="K931" s="65" t="str">
        <f>IFERROR(__xludf.DUMMYFUNCTION("""COMPUTED_VALUE"""),"ENTREGADO")</f>
        <v>ENTREGADO</v>
      </c>
      <c r="L931" s="65" t="str">
        <f>IFERROR(__xludf.DUMMYFUNCTION("""COMPUTED_VALUE"""),"CON RECAUDO")</f>
        <v>CON RECAUDO</v>
      </c>
      <c r="M931" s="65" t="str">
        <f>IFERROR(__xludf.DUMMYFUNCTION("""COMPUTED_VALUE"""),"PICHINCHA")</f>
        <v>PICHINCHA</v>
      </c>
      <c r="N931" s="65" t="str">
        <f>IFERROR(__xludf.DUMMYFUNCTION("""COMPUTED_VALUE"""),"TUMBACO")</f>
        <v>TUMBACO</v>
      </c>
      <c r="O931" s="65" t="str">
        <f>IFERROR(__xludf.DUMMYFUNCTION("""COMPUTED_VALUE"""),"- EN INDUMADERA en las calle Rios San Pedro y Rio Coca sector Tumbaco. - PUEDE BUSCAR EN GOOGLE MAPS INDUMADERA -")</f>
        <v>- EN INDUMADERA en las calle Rios San Pedro y Rio Coca sector Tumbaco. - PUEDE BUSCAR EN GOOGLE MAPS INDUMADERA -</v>
      </c>
      <c r="P931" s="65" t="str">
        <f>IFERROR(__xludf.DUMMYFUNCTION("""COMPUTED_VALUE"""),"CUCHILLO PARA CHEF: Default Title ***")</f>
        <v>CUCHILLO PARA CHEF: Default Title ***</v>
      </c>
      <c r="Q931" s="65" t="str">
        <f>IFERROR(__xludf.DUMMYFUNCTION("""COMPUTED_VALUE"""),"GINTRACOM")</f>
        <v>GINTRACOM</v>
      </c>
      <c r="R931" s="65">
        <f>IFERROR(__xludf.DUMMYFUNCTION("""COMPUTED_VALUE"""),21.99)</f>
        <v>21.99</v>
      </c>
      <c r="S931" s="65">
        <f>IFERROR(__xludf.DUMMYFUNCTION("""COMPUTED_VALUE"""),13.55)</f>
        <v>13.55</v>
      </c>
      <c r="T931" s="65">
        <f>IFERROR(__xludf.DUMMYFUNCTION("""COMPUTED_VALUE"""),5.84)</f>
        <v>5.84</v>
      </c>
      <c r="U931" s="65">
        <f>IFERROR(__xludf.DUMMYFUNCTION("""COMPUTED_VALUE"""),0.0)</f>
        <v>0</v>
      </c>
      <c r="V931" s="65">
        <f>IFERROR(__xludf.DUMMYFUNCTION("""COMPUTED_VALUE"""),0.0)</f>
        <v>0</v>
      </c>
      <c r="W931" s="65">
        <f>IFERROR(__xludf.DUMMYFUNCTION("""COMPUTED_VALUE"""),0.0)</f>
        <v>0</v>
      </c>
      <c r="X931" s="65">
        <f>IFERROR(__xludf.DUMMYFUNCTION("""COMPUTED_VALUE"""),2.6)</f>
        <v>2.6</v>
      </c>
      <c r="Y931" s="65">
        <f>IFERROR(__xludf.DUMMYFUNCTION("""COMPUTED_VALUE"""),2.6)</f>
        <v>2.6</v>
      </c>
      <c r="Z931" s="65">
        <f>IFERROR(__xludf.DUMMYFUNCTION("""COMPUTED_VALUE"""),121983.0)</f>
        <v>121983</v>
      </c>
      <c r="AA931" s="65" t="str">
        <f>IFERROR(__xludf.DUMMYFUNCTION("""COMPUTED_VALUE"""),"PROV-CHLLCF")</f>
        <v>PROV-CHLLCF</v>
      </c>
      <c r="AB931" s="65"/>
      <c r="AC931" s="65" t="str">
        <f>IFERROR(__xludf.DUMMYFUNCTION("""COMPUTED_VALUE"""),"CUCHILLO PARA CHEF")</f>
        <v>CUCHILLO PARA CHEF</v>
      </c>
      <c r="AD931" s="65"/>
      <c r="AE931" s="65">
        <f>IFERROR(__xludf.DUMMYFUNCTION("""COMPUTED_VALUE"""),1.0)</f>
        <v>1</v>
      </c>
      <c r="AF931" s="65"/>
      <c r="AG931" s="65"/>
      <c r="AH931" s="65"/>
      <c r="AI931" s="65"/>
      <c r="AJ931" s="65"/>
      <c r="AK931" s="65"/>
      <c r="AL931" s="65"/>
      <c r="AM931" s="65"/>
      <c r="AN931" s="65" t="str">
        <f>IFERROR(__xludf.DUMMYFUNCTION("""COMPUTED_VALUE"""),"11:55")</f>
        <v>11:55</v>
      </c>
      <c r="AO931" s="65" t="str">
        <f>IFERROR(__xludf.DUMMYFUNCTION("""COMPUTED_VALUE"""),"12-02-2026")</f>
        <v>12-02-2026</v>
      </c>
      <c r="AP931" s="65" t="str">
        <f>IFERROR(__xludf.DUMMYFUNCTION("""COMPUTED_VALUE"""),"EN REPARTO")</f>
        <v>EN REPARTO</v>
      </c>
      <c r="AQ931" s="65" t="str">
        <f>IFERROR(__xludf.DUMMYFUNCTION("""COMPUTED_VALUE"""),"EN REPARTO")</f>
        <v>EN REPARTO</v>
      </c>
      <c r="AR931" s="65"/>
      <c r="AS931" s="65"/>
      <c r="AT931" s="65" t="str">
        <f>IFERROR(__xludf.DUMMYFUNCTION("""COMPUTED_VALUE"""),"SHOPIFY")</f>
        <v>SHOPIFY</v>
      </c>
      <c r="AU931" s="65" t="str">
        <f>IFERROR(__xludf.DUMMYFUNCTION("""COMPUTED_VALUE"""),"IMPORTEX EC")</f>
        <v>IMPORTEX EC</v>
      </c>
      <c r="AV931" s="65" t="str">
        <f>IFERROR(__xludf.DUMMYFUNCTION("""COMPUTED_VALUE"""),"6487042949164")</f>
        <v>6487042949164</v>
      </c>
      <c r="AW931" s="65">
        <f>IFERROR(__xludf.DUMMYFUNCTION("""COMPUTED_VALUE"""),5970.0)</f>
        <v>5970</v>
      </c>
      <c r="AX931" s="65"/>
      <c r="AY931" s="65" t="str">
        <f>IFERROR(__xludf.DUMMYFUNCTION("""COMPUTED_VALUE"""),"11/02/2026")</f>
        <v>11/02/2026</v>
      </c>
      <c r="AZ931" s="65"/>
      <c r="BA931" s="65"/>
    </row>
    <row r="932">
      <c r="A932" s="65" t="str">
        <f>IFERROR(__xludf.DUMMYFUNCTION("""COMPUTED_VALUE"""),"27-03-2026")</f>
        <v>27-03-2026</v>
      </c>
      <c r="B932" s="65">
        <f>IFERROR(__xludf.DUMMYFUNCTION("""COMPUTED_VALUE"""),4442337.0)</f>
        <v>4442337</v>
      </c>
      <c r="C932" s="65" t="str">
        <f>IFERROR(__xludf.DUMMYFUNCTION("""COMPUTED_VALUE"""),"18:26")</f>
        <v>18:26</v>
      </c>
      <c r="D932" s="65" t="str">
        <f>IFERROR(__xludf.DUMMYFUNCTION("""COMPUTED_VALUE"""),"08-02-2026")</f>
        <v>08-02-2026</v>
      </c>
      <c r="E932" s="65" t="str">
        <f>IFERROR(__xludf.DUMMYFUNCTION("""COMPUTED_VALUE"""),"Dennis Rojas")</f>
        <v>Dennis Rojas</v>
      </c>
      <c r="F932" s="65" t="str">
        <f>IFERROR(__xludf.DUMMYFUNCTION("""COMPUTED_VALUE"""),"985222234")</f>
        <v>985222234</v>
      </c>
      <c r="G932" s="65" t="str">
        <f>IFERROR(__xludf.DUMMYFUNCTION("""COMPUTED_VALUE"""),"deniss_rojas@hotmail.com")</f>
        <v>deniss_rojas@hotmail.com</v>
      </c>
      <c r="H932" s="65"/>
      <c r="I932" s="65"/>
      <c r="J932" s="65" t="str">
        <f>IFERROR(__xludf.DUMMYFUNCTION("""COMPUTED_VALUE"""),"D001312995")</f>
        <v>D001312995</v>
      </c>
      <c r="K932" s="65" t="str">
        <f>IFERROR(__xludf.DUMMYFUNCTION("""COMPUTED_VALUE"""),"ENTREGADO")</f>
        <v>ENTREGADO</v>
      </c>
      <c r="L932" s="65" t="str">
        <f>IFERROR(__xludf.DUMMYFUNCTION("""COMPUTED_VALUE"""),"CON RECAUDO")</f>
        <v>CON RECAUDO</v>
      </c>
      <c r="M932" s="65" t="str">
        <f>IFERROR(__xludf.DUMMYFUNCTION("""COMPUTED_VALUE"""),"GUAYAS")</f>
        <v>GUAYAS</v>
      </c>
      <c r="N932" s="65" t="str">
        <f>IFERROR(__xludf.DUMMYFUNCTION("""COMPUTED_VALUE"""),"DURAN")</f>
        <v>DURAN</v>
      </c>
      <c r="O932" s="65" t="str">
        <f>IFERROR(__xludf.DUMMYFUNCTION("""COMPUTED_VALUE"""),"Duran Empresa Cedal Aluminio - AV TANASA")</f>
        <v>Duran Empresa Cedal Aluminio - AV TANASA</v>
      </c>
      <c r="P932" s="65"/>
      <c r="Q932" s="65" t="str">
        <f>IFERROR(__xludf.DUMMYFUNCTION("""COMPUTED_VALUE"""),"GINTRACOM")</f>
        <v>GINTRACOM</v>
      </c>
      <c r="R932" s="65">
        <f>IFERROR(__xludf.DUMMYFUNCTION("""COMPUTED_VALUE"""),25.0)</f>
        <v>25</v>
      </c>
      <c r="S932" s="65">
        <f>IFERROR(__xludf.DUMMYFUNCTION("""COMPUTED_VALUE"""),15.22)</f>
        <v>15.22</v>
      </c>
      <c r="T932" s="65">
        <f>IFERROR(__xludf.DUMMYFUNCTION("""COMPUTED_VALUE"""),5.38)</f>
        <v>5.38</v>
      </c>
      <c r="U932" s="65">
        <f>IFERROR(__xludf.DUMMYFUNCTION("""COMPUTED_VALUE"""),0.0)</f>
        <v>0</v>
      </c>
      <c r="V932" s="65">
        <f>IFERROR(__xludf.DUMMYFUNCTION("""COMPUTED_VALUE"""),0.0)</f>
        <v>0</v>
      </c>
      <c r="W932" s="65">
        <f>IFERROR(__xludf.DUMMYFUNCTION("""COMPUTED_VALUE"""),0.0)</f>
        <v>0</v>
      </c>
      <c r="X932" s="65">
        <f>IFERROR(__xludf.DUMMYFUNCTION("""COMPUTED_VALUE"""),2.2)</f>
        <v>2.2</v>
      </c>
      <c r="Y932" s="65">
        <f>IFERROR(__xludf.DUMMYFUNCTION("""COMPUTED_VALUE"""),4.4)</f>
        <v>4.4</v>
      </c>
      <c r="Z932" s="65">
        <f>IFERROR(__xludf.DUMMYFUNCTION("""COMPUTED_VALUE"""),111894.0)</f>
        <v>111894</v>
      </c>
      <c r="AA932" s="65" t="str">
        <f>IFERROR(__xludf.DUMMYFUNCTION("""COMPUTED_VALUE"""),"LYIC5M40067")</f>
        <v>LYIC5M40067</v>
      </c>
      <c r="AB932" s="65"/>
      <c r="AC932" s="65" t="str">
        <f>IFERROR(__xludf.DUMMYFUNCTION("""COMPUTED_VALUE"""),"Limpiador de Parabrisas y Ventanas")</f>
        <v>Limpiador de Parabrisas y Ventanas</v>
      </c>
      <c r="AD932" s="65"/>
      <c r="AE932" s="65">
        <f>IFERROR(__xludf.DUMMYFUNCTION("""COMPUTED_VALUE"""),2.0)</f>
        <v>2</v>
      </c>
      <c r="AF932" s="65"/>
      <c r="AG932" s="65"/>
      <c r="AH932" s="65"/>
      <c r="AI932" s="65"/>
      <c r="AJ932" s="65"/>
      <c r="AK932" s="65"/>
      <c r="AL932" s="65"/>
      <c r="AM932" s="65"/>
      <c r="AN932" s="65" t="str">
        <f>IFERROR(__xludf.DUMMYFUNCTION("""COMPUTED_VALUE"""),"14:18")</f>
        <v>14:18</v>
      </c>
      <c r="AO932" s="65" t="str">
        <f>IFERROR(__xludf.DUMMYFUNCTION("""COMPUTED_VALUE"""),"11-02-2026")</f>
        <v>11-02-2026</v>
      </c>
      <c r="AP932" s="65" t="str">
        <f>IFERROR(__xludf.DUMMYFUNCTION("""COMPUTED_VALUE"""),"ENTREGADA GINTRACOM")</f>
        <v>ENTREGADA GINTRACOM</v>
      </c>
      <c r="AQ932" s="65" t="str">
        <f>IFERROR(__xludf.DUMMYFUNCTION("""COMPUTED_VALUE"""),"ENTREGADA GINTRACOM")</f>
        <v>ENTREGADA GINTRACOM</v>
      </c>
      <c r="AR932" s="65"/>
      <c r="AS932" s="65"/>
      <c r="AT932" s="65" t="str">
        <f>IFERROR(__xludf.DUMMYFUNCTION("""COMPUTED_VALUE"""),"SHOPIFY")</f>
        <v>SHOPIFY</v>
      </c>
      <c r="AU932" s="65" t="str">
        <f>IFERROR(__xludf.DUMMYFUNCTION("""COMPUTED_VALUE"""),"IMPORTEX EC")</f>
        <v>IMPORTEX EC</v>
      </c>
      <c r="AV932" s="65" t="str">
        <f>IFERROR(__xludf.DUMMYFUNCTION("""COMPUTED_VALUE"""),"6487079649324")</f>
        <v>6487079649324</v>
      </c>
      <c r="AW932" s="65">
        <f>IFERROR(__xludf.DUMMYFUNCTION("""COMPUTED_VALUE"""),5971.0)</f>
        <v>5971</v>
      </c>
      <c r="AX932" s="65"/>
      <c r="AY932" s="65" t="str">
        <f>IFERROR(__xludf.DUMMYFUNCTION("""COMPUTED_VALUE"""),"09/02/2026")</f>
        <v>09/02/2026</v>
      </c>
      <c r="AZ932" s="65"/>
      <c r="BA932" s="65"/>
    </row>
    <row r="933">
      <c r="A933" s="65" t="str">
        <f>IFERROR(__xludf.DUMMYFUNCTION("""COMPUTED_VALUE"""),"27-03-2026")</f>
        <v>27-03-2026</v>
      </c>
      <c r="B933" s="65">
        <f>IFERROR(__xludf.DUMMYFUNCTION("""COMPUTED_VALUE"""),4442335.0)</f>
        <v>4442335</v>
      </c>
      <c r="C933" s="65" t="str">
        <f>IFERROR(__xludf.DUMMYFUNCTION("""COMPUTED_VALUE"""),"18:26")</f>
        <v>18:26</v>
      </c>
      <c r="D933" s="65" t="str">
        <f>IFERROR(__xludf.DUMMYFUNCTION("""COMPUTED_VALUE"""),"08-02-2026")</f>
        <v>08-02-2026</v>
      </c>
      <c r="E933" s="65" t="str">
        <f>IFERROR(__xludf.DUMMYFUNCTION("""COMPUTED_VALUE"""),"Angélica palacios")</f>
        <v>Angélica palacios</v>
      </c>
      <c r="F933" s="65" t="str">
        <f>IFERROR(__xludf.DUMMYFUNCTION("""COMPUTED_VALUE"""),"987586872")</f>
        <v>987586872</v>
      </c>
      <c r="G933" s="65" t="str">
        <f>IFERROR(__xludf.DUMMYFUNCTION("""COMPUTED_VALUE"""),"la-suca_ange@hotmail.com")</f>
        <v>la-suca_ange@hotmail.com</v>
      </c>
      <c r="H933" s="65"/>
      <c r="I933" s="65"/>
      <c r="J933" s="65" t="str">
        <f>IFERROR(__xludf.DUMMYFUNCTION("""COMPUTED_VALUE"""),"D001316568")</f>
        <v>D001316568</v>
      </c>
      <c r="K933" s="65" t="str">
        <f>IFERROR(__xludf.DUMMYFUNCTION("""COMPUTED_VALUE"""),"ENTREGADO")</f>
        <v>ENTREGADO</v>
      </c>
      <c r="L933" s="65" t="str">
        <f>IFERROR(__xludf.DUMMYFUNCTION("""COMPUTED_VALUE"""),"CON RECAUDO")</f>
        <v>CON RECAUDO</v>
      </c>
      <c r="M933" s="65" t="str">
        <f>IFERROR(__xludf.DUMMYFUNCTION("""COMPUTED_VALUE"""),"AZUAY")</f>
        <v>AZUAY</v>
      </c>
      <c r="N933" s="65" t="str">
        <f>IFERROR(__xludf.DUMMYFUNCTION("""COMPUTED_VALUE"""),"CUENCA")</f>
        <v>CUENCA</v>
      </c>
      <c r="O933" s="65" t="str">
        <f>IFERROR(__xludf.DUMMYFUNCTION("""COMPUTED_VALUE"""),"Esmeraldas 2-54 y remigio crespo Sector la gloria , condominio junto a laboratorio carpio -")</f>
        <v>Esmeraldas 2-54 y remigio crespo Sector la gloria , condominio junto a laboratorio carpio -</v>
      </c>
      <c r="P933" s="65"/>
      <c r="Q933" s="65" t="str">
        <f>IFERROR(__xludf.DUMMYFUNCTION("""COMPUTED_VALUE"""),"GINTRACOM")</f>
        <v>GINTRACOM</v>
      </c>
      <c r="R933" s="65">
        <f>IFERROR(__xludf.DUMMYFUNCTION("""COMPUTED_VALUE"""),30.0)</f>
        <v>30</v>
      </c>
      <c r="S933" s="65">
        <f>IFERROR(__xludf.DUMMYFUNCTION("""COMPUTED_VALUE"""),17.24)</f>
        <v>17.24</v>
      </c>
      <c r="T933" s="65">
        <f>IFERROR(__xludf.DUMMYFUNCTION("""COMPUTED_VALUE"""),6.16)</f>
        <v>6.16</v>
      </c>
      <c r="U933" s="65">
        <f>IFERROR(__xludf.DUMMYFUNCTION("""COMPUTED_VALUE"""),0.0)</f>
        <v>0</v>
      </c>
      <c r="V933" s="65">
        <f>IFERROR(__xludf.DUMMYFUNCTION("""COMPUTED_VALUE"""),0.0)</f>
        <v>0</v>
      </c>
      <c r="W933" s="65">
        <f>IFERROR(__xludf.DUMMYFUNCTION("""COMPUTED_VALUE"""),0.0)</f>
        <v>0</v>
      </c>
      <c r="X933" s="65">
        <f>IFERROR(__xludf.DUMMYFUNCTION("""COMPUTED_VALUE"""),2.2)</f>
        <v>2.2</v>
      </c>
      <c r="Y933" s="65">
        <f>IFERROR(__xludf.DUMMYFUNCTION("""COMPUTED_VALUE"""),6.6)</f>
        <v>6.6</v>
      </c>
      <c r="Z933" s="65">
        <f>IFERROR(__xludf.DUMMYFUNCTION("""COMPUTED_VALUE"""),111894.0)</f>
        <v>111894</v>
      </c>
      <c r="AA933" s="65" t="str">
        <f>IFERROR(__xludf.DUMMYFUNCTION("""COMPUTED_VALUE"""),"LYIC5M40067")</f>
        <v>LYIC5M40067</v>
      </c>
      <c r="AB933" s="65"/>
      <c r="AC933" s="65" t="str">
        <f>IFERROR(__xludf.DUMMYFUNCTION("""COMPUTED_VALUE"""),"Limpiador de Parabrisas y Ventanas")</f>
        <v>Limpiador de Parabrisas y Ventanas</v>
      </c>
      <c r="AD933" s="65"/>
      <c r="AE933" s="65">
        <f>IFERROR(__xludf.DUMMYFUNCTION("""COMPUTED_VALUE"""),3.0)</f>
        <v>3</v>
      </c>
      <c r="AF933" s="65"/>
      <c r="AG933" s="65"/>
      <c r="AH933" s="65"/>
      <c r="AI933" s="65"/>
      <c r="AJ933" s="65"/>
      <c r="AK933" s="65"/>
      <c r="AL933" s="65"/>
      <c r="AM933" s="65"/>
      <c r="AN933" s="65" t="str">
        <f>IFERROR(__xludf.DUMMYFUNCTION("""COMPUTED_VALUE"""),"12:27")</f>
        <v>12:27</v>
      </c>
      <c r="AO933" s="65" t="str">
        <f>IFERROR(__xludf.DUMMYFUNCTION("""COMPUTED_VALUE"""),"12-02-2026")</f>
        <v>12-02-2026</v>
      </c>
      <c r="AP933" s="65" t="str">
        <f>IFERROR(__xludf.DUMMYFUNCTION("""COMPUTED_VALUE"""),"ENTREGADA GINTRACOM")</f>
        <v>ENTREGADA GINTRACOM</v>
      </c>
      <c r="AQ933" s="65" t="str">
        <f>IFERROR(__xludf.DUMMYFUNCTION("""COMPUTED_VALUE"""),"ENTREGADA GINTRACOM")</f>
        <v>ENTREGADA GINTRACOM</v>
      </c>
      <c r="AR933" s="65"/>
      <c r="AS933" s="65"/>
      <c r="AT933" s="65" t="str">
        <f>IFERROR(__xludf.DUMMYFUNCTION("""COMPUTED_VALUE"""),"SHOPIFY")</f>
        <v>SHOPIFY</v>
      </c>
      <c r="AU933" s="65" t="str">
        <f>IFERROR(__xludf.DUMMYFUNCTION("""COMPUTED_VALUE"""),"IMPORTEX EC")</f>
        <v>IMPORTEX EC</v>
      </c>
      <c r="AV933" s="65" t="str">
        <f>IFERROR(__xludf.DUMMYFUNCTION("""COMPUTED_VALUE"""),"6487093870636")</f>
        <v>6487093870636</v>
      </c>
      <c r="AW933" s="65">
        <f>IFERROR(__xludf.DUMMYFUNCTION("""COMPUTED_VALUE"""),5972.0)</f>
        <v>5972</v>
      </c>
      <c r="AX933" s="65"/>
      <c r="AY933" s="65" t="str">
        <f>IFERROR(__xludf.DUMMYFUNCTION("""COMPUTED_VALUE"""),"10/02/2026")</f>
        <v>10/02/2026</v>
      </c>
      <c r="AZ933" s="65"/>
      <c r="BA933" s="65"/>
    </row>
    <row r="934">
      <c r="A934" s="65" t="str">
        <f>IFERROR(__xludf.DUMMYFUNCTION("""COMPUTED_VALUE"""),"27-03-2026")</f>
        <v>27-03-2026</v>
      </c>
      <c r="B934" s="65">
        <f>IFERROR(__xludf.DUMMYFUNCTION("""COMPUTED_VALUE"""),4442330.0)</f>
        <v>4442330</v>
      </c>
      <c r="C934" s="65" t="str">
        <f>IFERROR(__xludf.DUMMYFUNCTION("""COMPUTED_VALUE"""),"18:25")</f>
        <v>18:25</v>
      </c>
      <c r="D934" s="65" t="str">
        <f>IFERROR(__xludf.DUMMYFUNCTION("""COMPUTED_VALUE"""),"08-02-2026")</f>
        <v>08-02-2026</v>
      </c>
      <c r="E934" s="65" t="str">
        <f>IFERROR(__xludf.DUMMYFUNCTION("""COMPUTED_VALUE"""),"Luis Guaman")</f>
        <v>Luis Guaman</v>
      </c>
      <c r="F934" s="65" t="str">
        <f>IFERROR(__xludf.DUMMYFUNCTION("""COMPUTED_VALUE"""),"969842844")</f>
        <v>969842844</v>
      </c>
      <c r="G934" s="65" t="str">
        <f>IFERROR(__xludf.DUMMYFUNCTION("""COMPUTED_VALUE"""),"luissanty198342@gmail.com")</f>
        <v>luissanty198342@gmail.com</v>
      </c>
      <c r="H934" s="65"/>
      <c r="I934" s="65"/>
      <c r="J934" s="65" t="str">
        <f>IFERROR(__xludf.DUMMYFUNCTION("""COMPUTED_VALUE"""),"D001313694")</f>
        <v>D001313694</v>
      </c>
      <c r="K934" s="65" t="str">
        <f>IFERROR(__xludf.DUMMYFUNCTION("""COMPUTED_VALUE"""),"ENTREGADO")</f>
        <v>ENTREGADO</v>
      </c>
      <c r="L934" s="65" t="str">
        <f>IFERROR(__xludf.DUMMYFUNCTION("""COMPUTED_VALUE"""),"CON RECAUDO")</f>
        <v>CON RECAUDO</v>
      </c>
      <c r="M934" s="65" t="str">
        <f>IFERROR(__xludf.DUMMYFUNCTION("""COMPUTED_VALUE"""),"PICHINCHA")</f>
        <v>PICHINCHA</v>
      </c>
      <c r="N934" s="65" t="str">
        <f>IFERROR(__xludf.DUMMYFUNCTION("""COMPUTED_VALUE"""),"YARUQUI")</f>
        <v>YARUQUI</v>
      </c>
      <c r="O934" s="65" t="str">
        <f>IFERROR(__xludf.DUMMYFUNCTION("""COMPUTED_VALUE"""),"Eujenio  espejo y clemente  yerovi San jose -")</f>
        <v>Eujenio  espejo y clemente  yerovi San jose -</v>
      </c>
      <c r="P934" s="65"/>
      <c r="Q934" s="65" t="str">
        <f>IFERROR(__xludf.DUMMYFUNCTION("""COMPUTED_VALUE"""),"GINTRACOM")</f>
        <v>GINTRACOM</v>
      </c>
      <c r="R934" s="65">
        <f>IFERROR(__xludf.DUMMYFUNCTION("""COMPUTED_VALUE"""),30.0)</f>
        <v>30</v>
      </c>
      <c r="S934" s="65">
        <f>IFERROR(__xludf.DUMMYFUNCTION("""COMPUTED_VALUE"""),16.67)</f>
        <v>16.67</v>
      </c>
      <c r="T934" s="65">
        <f>IFERROR(__xludf.DUMMYFUNCTION("""COMPUTED_VALUE"""),6.73)</f>
        <v>6.73</v>
      </c>
      <c r="U934" s="65">
        <f>IFERROR(__xludf.DUMMYFUNCTION("""COMPUTED_VALUE"""),0.0)</f>
        <v>0</v>
      </c>
      <c r="V934" s="65">
        <f>IFERROR(__xludf.DUMMYFUNCTION("""COMPUTED_VALUE"""),0.0)</f>
        <v>0</v>
      </c>
      <c r="W934" s="65">
        <f>IFERROR(__xludf.DUMMYFUNCTION("""COMPUTED_VALUE"""),0.0)</f>
        <v>0</v>
      </c>
      <c r="X934" s="65">
        <f>IFERROR(__xludf.DUMMYFUNCTION("""COMPUTED_VALUE"""),2.2)</f>
        <v>2.2</v>
      </c>
      <c r="Y934" s="65">
        <f>IFERROR(__xludf.DUMMYFUNCTION("""COMPUTED_VALUE"""),6.6)</f>
        <v>6.6</v>
      </c>
      <c r="Z934" s="65">
        <f>IFERROR(__xludf.DUMMYFUNCTION("""COMPUTED_VALUE"""),111894.0)</f>
        <v>111894</v>
      </c>
      <c r="AA934" s="65" t="str">
        <f>IFERROR(__xludf.DUMMYFUNCTION("""COMPUTED_VALUE"""),"LYIC5M40067")</f>
        <v>LYIC5M40067</v>
      </c>
      <c r="AB934" s="65"/>
      <c r="AC934" s="65" t="str">
        <f>IFERROR(__xludf.DUMMYFUNCTION("""COMPUTED_VALUE"""),"Limpiador de Parabrisas y Ventanas")</f>
        <v>Limpiador de Parabrisas y Ventanas</v>
      </c>
      <c r="AD934" s="65"/>
      <c r="AE934" s="65">
        <f>IFERROR(__xludf.DUMMYFUNCTION("""COMPUTED_VALUE"""),3.0)</f>
        <v>3</v>
      </c>
      <c r="AF934" s="65" t="str">
        <f>IFERROR(__xludf.DUMMYFUNCTION("""COMPUTED_VALUE"""),"DIRECCIÓN DE DESTINARIO INCOMPLETA O INCORRECTA Y NO HAY RESPUESTA DEL CLIENTE")</f>
        <v>DIRECCIÓN DE DESTINARIO INCOMPLETA O INCORRECTA Y NO HAY RESPUESTA DEL CLIENTE</v>
      </c>
      <c r="AG934" s="65" t="str">
        <f>IFERROR(__xludf.DUMMYFUNCTION("""COMPUTED_VALUE"""),"SI")</f>
        <v>SI</v>
      </c>
      <c r="AH934" s="65" t="str">
        <f>IFERROR(__xludf.DUMMYFUNCTION("""COMPUTED_VALUE"""),"17:20")</f>
        <v>17:20</v>
      </c>
      <c r="AI934" s="65" t="str">
        <f>IFERROR(__xludf.DUMMYFUNCTION("""COMPUTED_VALUE"""),"12-02-2026")</f>
        <v>12-02-2026</v>
      </c>
      <c r="AJ934" s="65"/>
      <c r="AK934" s="65"/>
      <c r="AL934" s="65"/>
      <c r="AM934" s="65"/>
      <c r="AN934" s="65" t="str">
        <f>IFERROR(__xludf.DUMMYFUNCTION("""COMPUTED_VALUE"""),"16:34")</f>
        <v>16:34</v>
      </c>
      <c r="AO934" s="65" t="str">
        <f>IFERROR(__xludf.DUMMYFUNCTION("""COMPUTED_VALUE"""),"17-02-2026")</f>
        <v>17-02-2026</v>
      </c>
      <c r="AP934" s="65" t="str">
        <f>IFERROR(__xludf.DUMMYFUNCTION("""COMPUTED_VALUE"""),"ENTREGADA GINTRACOM")</f>
        <v>ENTREGADA GINTRACOM</v>
      </c>
      <c r="AQ934" s="65" t="str">
        <f>IFERROR(__xludf.DUMMYFUNCTION("""COMPUTED_VALUE"""),"ENTREGADA GINTRACOM")</f>
        <v>ENTREGADA GINTRACOM</v>
      </c>
      <c r="AR934" s="65"/>
      <c r="AS934" s="65"/>
      <c r="AT934" s="65" t="str">
        <f>IFERROR(__xludf.DUMMYFUNCTION("""COMPUTED_VALUE"""),"SHOPIFY")</f>
        <v>SHOPIFY</v>
      </c>
      <c r="AU934" s="65" t="str">
        <f>IFERROR(__xludf.DUMMYFUNCTION("""COMPUTED_VALUE"""),"IMPORTEX EC")</f>
        <v>IMPORTEX EC</v>
      </c>
      <c r="AV934" s="65" t="str">
        <f>IFERROR(__xludf.DUMMYFUNCTION("""COMPUTED_VALUE"""),"6487099703340")</f>
        <v>6487099703340</v>
      </c>
      <c r="AW934" s="65">
        <f>IFERROR(__xludf.DUMMYFUNCTION("""COMPUTED_VALUE"""),5974.0)</f>
        <v>5974</v>
      </c>
      <c r="AX934" s="65"/>
      <c r="AY934" s="65" t="str">
        <f>IFERROR(__xludf.DUMMYFUNCTION("""COMPUTED_VALUE"""),"10/02/2026")</f>
        <v>10/02/2026</v>
      </c>
      <c r="AZ934" s="65"/>
      <c r="BA934" s="65"/>
    </row>
    <row r="935">
      <c r="A935" s="65" t="str">
        <f>IFERROR(__xludf.DUMMYFUNCTION("""COMPUTED_VALUE"""),"27-03-2026")</f>
        <v>27-03-2026</v>
      </c>
      <c r="B935" s="65">
        <f>IFERROR(__xludf.DUMMYFUNCTION("""COMPUTED_VALUE"""),4442329.0)</f>
        <v>4442329</v>
      </c>
      <c r="C935" s="65" t="str">
        <f>IFERROR(__xludf.DUMMYFUNCTION("""COMPUTED_VALUE"""),"18:25")</f>
        <v>18:25</v>
      </c>
      <c r="D935" s="65" t="str">
        <f>IFERROR(__xludf.DUMMYFUNCTION("""COMPUTED_VALUE"""),"08-02-2026")</f>
        <v>08-02-2026</v>
      </c>
      <c r="E935" s="65" t="str">
        <f>IFERROR(__xludf.DUMMYFUNCTION("""COMPUTED_VALUE"""),"Frenando Lopez")</f>
        <v>Frenando Lopez</v>
      </c>
      <c r="F935" s="65" t="str">
        <f>IFERROR(__xludf.DUMMYFUNCTION("""COMPUTED_VALUE"""),"984336175")</f>
        <v>984336175</v>
      </c>
      <c r="G935" s="65" t="str">
        <f>IFERROR(__xludf.DUMMYFUNCTION("""COMPUTED_VALUE"""),"edgarfernando968@gmail.com")</f>
        <v>edgarfernando968@gmail.com</v>
      </c>
      <c r="H935" s="65"/>
      <c r="I935" s="65"/>
      <c r="J935" s="65" t="str">
        <f>IFERROR(__xludf.DUMMYFUNCTION("""COMPUTED_VALUE"""),"D001315161")</f>
        <v>D001315161</v>
      </c>
      <c r="K935" s="65" t="str">
        <f>IFERROR(__xludf.DUMMYFUNCTION("""COMPUTED_VALUE"""),"DEVOLUCION")</f>
        <v>DEVOLUCION</v>
      </c>
      <c r="L935" s="65" t="str">
        <f>IFERROR(__xludf.DUMMYFUNCTION("""COMPUTED_VALUE"""),"CON RECAUDO")</f>
        <v>CON RECAUDO</v>
      </c>
      <c r="M935" s="65" t="str">
        <f>IFERROR(__xludf.DUMMYFUNCTION("""COMPUTED_VALUE"""),"PICHINCHA")</f>
        <v>PICHINCHA</v>
      </c>
      <c r="N935" s="65" t="str">
        <f>IFERROR(__xludf.DUMMYFUNCTION("""COMPUTED_VALUE"""),"QUITO")</f>
        <v>QUITO</v>
      </c>
      <c r="O935" s="65" t="str">
        <f>IFERROR(__xludf.DUMMYFUNCTION("""COMPUTED_VALUE"""),"Calle Carvajal y La Gasca")</f>
        <v>Calle Carvajal y La Gasca</v>
      </c>
      <c r="P935" s="65" t="str">
        <f>IFERROR(__xludf.DUMMYFUNCTION("""COMPUTED_VALUE"""),"CUCHILLO PARA CHEF: Default Title ***")</f>
        <v>CUCHILLO PARA CHEF: Default Title ***</v>
      </c>
      <c r="Q935" s="65" t="str">
        <f>IFERROR(__xludf.DUMMYFUNCTION("""COMPUTED_VALUE"""),"GINTRACOM")</f>
        <v>GINTRACOM</v>
      </c>
      <c r="R935" s="65">
        <f>IFERROR(__xludf.DUMMYFUNCTION("""COMPUTED_VALUE"""),22.0)</f>
        <v>22</v>
      </c>
      <c r="S935" s="65"/>
      <c r="T935" s="65">
        <f>IFERROR(__xludf.DUMMYFUNCTION("""COMPUTED_VALUE"""),5.84)</f>
        <v>5.84</v>
      </c>
      <c r="U935" s="65">
        <f>IFERROR(__xludf.DUMMYFUNCTION("""COMPUTED_VALUE"""),0.0)</f>
        <v>0</v>
      </c>
      <c r="V935" s="65">
        <f>IFERROR(__xludf.DUMMYFUNCTION("""COMPUTED_VALUE"""),0.0)</f>
        <v>0</v>
      </c>
      <c r="W935" s="65">
        <f>IFERROR(__xludf.DUMMYFUNCTION("""COMPUTED_VALUE"""),0.0)</f>
        <v>0</v>
      </c>
      <c r="X935" s="65">
        <f>IFERROR(__xludf.DUMMYFUNCTION("""COMPUTED_VALUE"""),2.6)</f>
        <v>2.6</v>
      </c>
      <c r="Y935" s="65">
        <f>IFERROR(__xludf.DUMMYFUNCTION("""COMPUTED_VALUE"""),2.6)</f>
        <v>2.6</v>
      </c>
      <c r="Z935" s="65">
        <f>IFERROR(__xludf.DUMMYFUNCTION("""COMPUTED_VALUE"""),121983.0)</f>
        <v>121983</v>
      </c>
      <c r="AA935" s="65" t="str">
        <f>IFERROR(__xludf.DUMMYFUNCTION("""COMPUTED_VALUE"""),"PROV-CHLLCF")</f>
        <v>PROV-CHLLCF</v>
      </c>
      <c r="AB935" s="65"/>
      <c r="AC935" s="65" t="str">
        <f>IFERROR(__xludf.DUMMYFUNCTION("""COMPUTED_VALUE"""),"CUCHILLO PARA CHEF")</f>
        <v>CUCHILLO PARA CHEF</v>
      </c>
      <c r="AD935" s="65"/>
      <c r="AE935" s="65">
        <f>IFERROR(__xludf.DUMMYFUNCTION("""COMPUTED_VALUE"""),1.0)</f>
        <v>1</v>
      </c>
      <c r="AF935" s="65" t="str">
        <f>IFERROR(__xludf.DUMMYFUNCTION("""COMPUTED_VALUE"""),"DESTINATARIO NO CONTESTA LLAMADAS NI WHATSAPP")</f>
        <v>DESTINATARIO NO CONTESTA LLAMADAS NI WHATSAPP</v>
      </c>
      <c r="AG935" s="65" t="str">
        <f>IFERROR(__xludf.DUMMYFUNCTION("""COMPUTED_VALUE"""),"NO")</f>
        <v>NO</v>
      </c>
      <c r="AH935" s="65" t="str">
        <f>IFERROR(__xludf.DUMMYFUNCTION("""COMPUTED_VALUE"""),"09:00")</f>
        <v>09:00</v>
      </c>
      <c r="AI935" s="65" t="str">
        <f>IFERROR(__xludf.DUMMYFUNCTION("""COMPUTED_VALUE"""),"20-02-2026")</f>
        <v>20-02-2026</v>
      </c>
      <c r="AJ935" s="65"/>
      <c r="AK935" s="65"/>
      <c r="AL935" s="65"/>
      <c r="AM935" s="65"/>
      <c r="AN935" s="65" t="str">
        <f>IFERROR(__xludf.DUMMYFUNCTION("""COMPUTED_VALUE"""),"01:35")</f>
        <v>01:35</v>
      </c>
      <c r="AO935" s="65" t="str">
        <f>IFERROR(__xludf.DUMMYFUNCTION("""COMPUTED_VALUE"""),"06-03-2026")</f>
        <v>06-03-2026</v>
      </c>
      <c r="AP935" s="65" t="str">
        <f>IFERROR(__xludf.DUMMYFUNCTION("""COMPUTED_VALUE"""),"DEVOLUCIÓN ENTREGADA A ORIGEN")</f>
        <v>DEVOLUCIÓN ENTREGADA A ORIGEN</v>
      </c>
      <c r="AQ935" s="65" t="str">
        <f>IFERROR(__xludf.DUMMYFUNCTION("""COMPUTED_VALUE"""),"DEVOLUCIÓN ENTREGADA A ORIGEN")</f>
        <v>DEVOLUCIÓN ENTREGADA A ORIGEN</v>
      </c>
      <c r="AR935" s="65"/>
      <c r="AS935" s="65"/>
      <c r="AT935" s="65" t="str">
        <f>IFERROR(__xludf.DUMMYFUNCTION("""COMPUTED_VALUE"""),"SHOPIFY")</f>
        <v>SHOPIFY</v>
      </c>
      <c r="AU935" s="65" t="str">
        <f>IFERROR(__xludf.DUMMYFUNCTION("""COMPUTED_VALUE"""),"IMPORTEX EC")</f>
        <v>IMPORTEX EC</v>
      </c>
      <c r="AV935" s="65" t="str">
        <f>IFERROR(__xludf.DUMMYFUNCTION("""COMPUTED_VALUE"""),"6487103438892")</f>
        <v>6487103438892</v>
      </c>
      <c r="AW935" s="65">
        <f>IFERROR(__xludf.DUMMYFUNCTION("""COMPUTED_VALUE"""),5975.0)</f>
        <v>5975</v>
      </c>
      <c r="AX935" s="65"/>
      <c r="AY935" s="65" t="str">
        <f>IFERROR(__xludf.DUMMYFUNCTION("""COMPUTED_VALUE"""),"10/02/2026")</f>
        <v>10/02/2026</v>
      </c>
      <c r="AZ935" s="65"/>
      <c r="BA935" s="65"/>
    </row>
    <row r="936">
      <c r="A936" s="65" t="str">
        <f>IFERROR(__xludf.DUMMYFUNCTION("""COMPUTED_VALUE"""),"27-03-2026")</f>
        <v>27-03-2026</v>
      </c>
      <c r="B936" s="65">
        <f>IFERROR(__xludf.DUMMYFUNCTION("""COMPUTED_VALUE"""),4442327.0)</f>
        <v>4442327</v>
      </c>
      <c r="C936" s="65" t="str">
        <f>IFERROR(__xludf.DUMMYFUNCTION("""COMPUTED_VALUE"""),"18:25")</f>
        <v>18:25</v>
      </c>
      <c r="D936" s="65" t="str">
        <f>IFERROR(__xludf.DUMMYFUNCTION("""COMPUTED_VALUE"""),"08-02-2026")</f>
        <v>08-02-2026</v>
      </c>
      <c r="E936" s="65" t="str">
        <f>IFERROR(__xludf.DUMMYFUNCTION("""COMPUTED_VALUE"""),"Paola Ferraro")</f>
        <v>Paola Ferraro</v>
      </c>
      <c r="F936" s="65" t="str">
        <f>IFERROR(__xludf.DUMMYFUNCTION("""COMPUTED_VALUE"""),"999435749")</f>
        <v>999435749</v>
      </c>
      <c r="G936" s="65" t="str">
        <f>IFERROR(__xludf.DUMMYFUNCTION("""COMPUTED_VALUE"""),"paolaferraro74@gmail.com")</f>
        <v>paolaferraro74@gmail.com</v>
      </c>
      <c r="H936" s="65"/>
      <c r="I936" s="65"/>
      <c r="J936" s="65" t="str">
        <f>IFERROR(__xludf.DUMMYFUNCTION("""COMPUTED_VALUE"""),"D001313695")</f>
        <v>D001313695</v>
      </c>
      <c r="K936" s="65" t="str">
        <f>IFERROR(__xludf.DUMMYFUNCTION("""COMPUTED_VALUE"""),"ENTREGADO")</f>
        <v>ENTREGADO</v>
      </c>
      <c r="L936" s="65" t="str">
        <f>IFERROR(__xludf.DUMMYFUNCTION("""COMPUTED_VALUE"""),"CON RECAUDO")</f>
        <v>CON RECAUDO</v>
      </c>
      <c r="M936" s="65" t="str">
        <f>IFERROR(__xludf.DUMMYFUNCTION("""COMPUTED_VALUE"""),"PICHINCHA")</f>
        <v>PICHINCHA</v>
      </c>
      <c r="N936" s="65" t="str">
        <f>IFERROR(__xludf.DUMMYFUNCTION("""COMPUTED_VALUE"""),"TUMBACO")</f>
        <v>TUMBACO</v>
      </c>
      <c r="O936" s="65" t="str">
        <f>IFERROR(__xludf.DUMMYFUNCTION("""COMPUTED_VALUE"""),"Urb. Cunucbamba calle cunucbamba casa 21 Calle 2 de agosto Via intervalles -")</f>
        <v>Urb. Cunucbamba calle cunucbamba casa 21 Calle 2 de agosto Via intervalles -</v>
      </c>
      <c r="P936" s="65"/>
      <c r="Q936" s="65" t="str">
        <f>IFERROR(__xludf.DUMMYFUNCTION("""COMPUTED_VALUE"""),"GINTRACOM")</f>
        <v>GINTRACOM</v>
      </c>
      <c r="R936" s="65">
        <f>IFERROR(__xludf.DUMMYFUNCTION("""COMPUTED_VALUE"""),25.0)</f>
        <v>25</v>
      </c>
      <c r="S936" s="65">
        <f>IFERROR(__xludf.DUMMYFUNCTION("""COMPUTED_VALUE"""),14.64)</f>
        <v>14.64</v>
      </c>
      <c r="T936" s="65">
        <f>IFERROR(__xludf.DUMMYFUNCTION("""COMPUTED_VALUE"""),5.96)</f>
        <v>5.96</v>
      </c>
      <c r="U936" s="65">
        <f>IFERROR(__xludf.DUMMYFUNCTION("""COMPUTED_VALUE"""),0.0)</f>
        <v>0</v>
      </c>
      <c r="V936" s="65">
        <f>IFERROR(__xludf.DUMMYFUNCTION("""COMPUTED_VALUE"""),0.0)</f>
        <v>0</v>
      </c>
      <c r="W936" s="65">
        <f>IFERROR(__xludf.DUMMYFUNCTION("""COMPUTED_VALUE"""),0.0)</f>
        <v>0</v>
      </c>
      <c r="X936" s="65">
        <f>IFERROR(__xludf.DUMMYFUNCTION("""COMPUTED_VALUE"""),2.2)</f>
        <v>2.2</v>
      </c>
      <c r="Y936" s="65">
        <f>IFERROR(__xludf.DUMMYFUNCTION("""COMPUTED_VALUE"""),4.4)</f>
        <v>4.4</v>
      </c>
      <c r="Z936" s="65">
        <f>IFERROR(__xludf.DUMMYFUNCTION("""COMPUTED_VALUE"""),111894.0)</f>
        <v>111894</v>
      </c>
      <c r="AA936" s="65" t="str">
        <f>IFERROR(__xludf.DUMMYFUNCTION("""COMPUTED_VALUE"""),"LYIC5M40067")</f>
        <v>LYIC5M40067</v>
      </c>
      <c r="AB936" s="65"/>
      <c r="AC936" s="65" t="str">
        <f>IFERROR(__xludf.DUMMYFUNCTION("""COMPUTED_VALUE"""),"Limpiador de Parabrisas y Ventanas")</f>
        <v>Limpiador de Parabrisas y Ventanas</v>
      </c>
      <c r="AD936" s="65"/>
      <c r="AE936" s="65">
        <f>IFERROR(__xludf.DUMMYFUNCTION("""COMPUTED_VALUE"""),2.0)</f>
        <v>2</v>
      </c>
      <c r="AF936" s="65" t="str">
        <f>IFERROR(__xludf.DUMMYFUNCTION("""COMPUTED_VALUE"""),"DESTINATARIO NO CONTESTA LLAMADAS NI WHATSAPP")</f>
        <v>DESTINATARIO NO CONTESTA LLAMADAS NI WHATSAPP</v>
      </c>
      <c r="AG936" s="65" t="str">
        <f>IFERROR(__xludf.DUMMYFUNCTION("""COMPUTED_VALUE"""),"NO")</f>
        <v>NO</v>
      </c>
      <c r="AH936" s="65" t="str">
        <f>IFERROR(__xludf.DUMMYFUNCTION("""COMPUTED_VALUE"""),"09:00")</f>
        <v>09:00</v>
      </c>
      <c r="AI936" s="65" t="str">
        <f>IFERROR(__xludf.DUMMYFUNCTION("""COMPUTED_VALUE"""),"17-02-2026")</f>
        <v>17-02-2026</v>
      </c>
      <c r="AJ936" s="65"/>
      <c r="AK936" s="65"/>
      <c r="AL936" s="65"/>
      <c r="AM936" s="65"/>
      <c r="AN936" s="65" t="str">
        <f>IFERROR(__xludf.DUMMYFUNCTION("""COMPUTED_VALUE"""),"15:18")</f>
        <v>15:18</v>
      </c>
      <c r="AO936" s="65" t="str">
        <f>IFERROR(__xludf.DUMMYFUNCTION("""COMPUTED_VALUE"""),"20-02-2026")</f>
        <v>20-02-2026</v>
      </c>
      <c r="AP936" s="65" t="str">
        <f>IFERROR(__xludf.DUMMYFUNCTION("""COMPUTED_VALUE"""),"ENTREGADA GINTRACOM")</f>
        <v>ENTREGADA GINTRACOM</v>
      </c>
      <c r="AQ936" s="65" t="str">
        <f>IFERROR(__xludf.DUMMYFUNCTION("""COMPUTED_VALUE"""),"ENTREGADA GINTRACOM")</f>
        <v>ENTREGADA GINTRACOM</v>
      </c>
      <c r="AR936" s="65"/>
      <c r="AS936" s="65"/>
      <c r="AT936" s="65" t="str">
        <f>IFERROR(__xludf.DUMMYFUNCTION("""COMPUTED_VALUE"""),"SHOPIFY")</f>
        <v>SHOPIFY</v>
      </c>
      <c r="AU936" s="65" t="str">
        <f>IFERROR(__xludf.DUMMYFUNCTION("""COMPUTED_VALUE"""),"IMPORTEX EC")</f>
        <v>IMPORTEX EC</v>
      </c>
      <c r="AV936" s="65" t="str">
        <f>IFERROR(__xludf.DUMMYFUNCTION("""COMPUTED_VALUE"""),"6487131488300")</f>
        <v>6487131488300</v>
      </c>
      <c r="AW936" s="65">
        <f>IFERROR(__xludf.DUMMYFUNCTION("""COMPUTED_VALUE"""),5976.0)</f>
        <v>5976</v>
      </c>
      <c r="AX936" s="65"/>
      <c r="AY936" s="65" t="str">
        <f>IFERROR(__xludf.DUMMYFUNCTION("""COMPUTED_VALUE"""),"10/02/2026")</f>
        <v>10/02/2026</v>
      </c>
      <c r="AZ936" s="65"/>
      <c r="BA936" s="65"/>
    </row>
    <row r="937">
      <c r="A937" s="65" t="str">
        <f>IFERROR(__xludf.DUMMYFUNCTION("""COMPUTED_VALUE"""),"27-03-2026")</f>
        <v>27-03-2026</v>
      </c>
      <c r="B937" s="65">
        <f>IFERROR(__xludf.DUMMYFUNCTION("""COMPUTED_VALUE"""),4442323.0)</f>
        <v>4442323</v>
      </c>
      <c r="C937" s="65" t="str">
        <f>IFERROR(__xludf.DUMMYFUNCTION("""COMPUTED_VALUE"""),"18:25")</f>
        <v>18:25</v>
      </c>
      <c r="D937" s="65" t="str">
        <f>IFERROR(__xludf.DUMMYFUNCTION("""COMPUTED_VALUE"""),"08-02-2026")</f>
        <v>08-02-2026</v>
      </c>
      <c r="E937" s="65" t="str">
        <f>IFERROR(__xludf.DUMMYFUNCTION("""COMPUTED_VALUE"""),"German Villao")</f>
        <v>German Villao</v>
      </c>
      <c r="F937" s="65" t="str">
        <f>IFERROR(__xludf.DUMMYFUNCTION("""COMPUTED_VALUE"""),"980988097")</f>
        <v>980988097</v>
      </c>
      <c r="G937" s="65" t="str">
        <f>IFERROR(__xludf.DUMMYFUNCTION("""COMPUTED_VALUE"""),"villaogerman4@gmail.com")</f>
        <v>villaogerman4@gmail.com</v>
      </c>
      <c r="H937" s="65"/>
      <c r="I937" s="65"/>
      <c r="J937" s="65" t="str">
        <f>IFERROR(__xludf.DUMMYFUNCTION("""COMPUTED_VALUE"""),"LC52831895")</f>
        <v>LC52831895</v>
      </c>
      <c r="K937" s="65" t="str">
        <f>IFERROR(__xludf.DUMMYFUNCTION("""COMPUTED_VALUE"""),"DEVOLUCION")</f>
        <v>DEVOLUCION</v>
      </c>
      <c r="L937" s="65" t="str">
        <f>IFERROR(__xludf.DUMMYFUNCTION("""COMPUTED_VALUE"""),"CON RECAUDO")</f>
        <v>CON RECAUDO</v>
      </c>
      <c r="M937" s="65" t="str">
        <f>IFERROR(__xludf.DUMMYFUNCTION("""COMPUTED_VALUE"""),"GUAYAS")</f>
        <v>GUAYAS</v>
      </c>
      <c r="N937" s="65" t="str">
        <f>IFERROR(__xludf.DUMMYFUNCTION("""COMPUTED_VALUE"""),"CHONGON")</f>
        <v>CHONGON</v>
      </c>
      <c r="O937" s="65" t="str">
        <f>IFERROR(__xludf.DUMMYFUNCTION("""COMPUTED_VALUE"""),"Calle 3ra Chongon Upc frente -")</f>
        <v>Calle 3ra Chongon Upc frente -</v>
      </c>
      <c r="P937" s="65"/>
      <c r="Q937" s="65" t="str">
        <f>IFERROR(__xludf.DUMMYFUNCTION("""COMPUTED_VALUE"""),"LAARCOURIER")</f>
        <v>LAARCOURIER</v>
      </c>
      <c r="R937" s="65">
        <f>IFERROR(__xludf.DUMMYFUNCTION("""COMPUTED_VALUE"""),20.0)</f>
        <v>20</v>
      </c>
      <c r="S937" s="65"/>
      <c r="T937" s="65">
        <f>IFERROR(__xludf.DUMMYFUNCTION("""COMPUTED_VALUE"""),6.9)</f>
        <v>6.9</v>
      </c>
      <c r="U937" s="65">
        <f>IFERROR(__xludf.DUMMYFUNCTION("""COMPUTED_VALUE"""),0.0)</f>
        <v>0</v>
      </c>
      <c r="V937" s="65">
        <f>IFERROR(__xludf.DUMMYFUNCTION("""COMPUTED_VALUE"""),0.0)</f>
        <v>0</v>
      </c>
      <c r="W937" s="65">
        <f>IFERROR(__xludf.DUMMYFUNCTION("""COMPUTED_VALUE"""),0.0)</f>
        <v>0</v>
      </c>
      <c r="X937" s="65">
        <f>IFERROR(__xludf.DUMMYFUNCTION("""COMPUTED_VALUE"""),2.2)</f>
        <v>2.2</v>
      </c>
      <c r="Y937" s="65">
        <f>IFERROR(__xludf.DUMMYFUNCTION("""COMPUTED_VALUE"""),2.2)</f>
        <v>2.2</v>
      </c>
      <c r="Z937" s="65">
        <f>IFERROR(__xludf.DUMMYFUNCTION("""COMPUTED_VALUE"""),111894.0)</f>
        <v>111894</v>
      </c>
      <c r="AA937" s="65" t="str">
        <f>IFERROR(__xludf.DUMMYFUNCTION("""COMPUTED_VALUE"""),"LYIC5M40067")</f>
        <v>LYIC5M40067</v>
      </c>
      <c r="AB937" s="65"/>
      <c r="AC937" s="65" t="str">
        <f>IFERROR(__xludf.DUMMYFUNCTION("""COMPUTED_VALUE"""),"Limpiador de Parabrisas y Ventanas")</f>
        <v>Limpiador de Parabrisas y Ventanas</v>
      </c>
      <c r="AD937" s="65"/>
      <c r="AE937" s="65">
        <f>IFERROR(__xludf.DUMMYFUNCTION("""COMPUTED_VALUE"""),1.0)</f>
        <v>1</v>
      </c>
      <c r="AF937" s="65"/>
      <c r="AG937" s="65"/>
      <c r="AH937" s="65"/>
      <c r="AI937" s="65"/>
      <c r="AJ937" s="65"/>
      <c r="AK937" s="65"/>
      <c r="AL937" s="65"/>
      <c r="AM937" s="65"/>
      <c r="AN937" s="65" t="str">
        <f>IFERROR(__xludf.DUMMYFUNCTION("""COMPUTED_VALUE"""),"13:25")</f>
        <v>13:25</v>
      </c>
      <c r="AO937" s="65" t="str">
        <f>IFERROR(__xludf.DUMMYFUNCTION("""COMPUTED_VALUE"""),"24-02-2026")</f>
        <v>24-02-2026</v>
      </c>
      <c r="AP937" s="65" t="str">
        <f>IFERROR(__xludf.DUMMYFUNCTION("""COMPUTED_VALUE"""),"DEVOLUCIÓN / ENTREGA")</f>
        <v>DEVOLUCIÓN / ENTREGA</v>
      </c>
      <c r="AQ937" s="65" t="str">
        <f>IFERROR(__xludf.DUMMYFUNCTION("""COMPUTED_VALUE"""),"DEVOLUCIÓN / ENTREGA")</f>
        <v>DEVOLUCIÓN / ENTREGA</v>
      </c>
      <c r="AR937" s="65"/>
      <c r="AS937" s="65"/>
      <c r="AT937" s="65" t="str">
        <f>IFERROR(__xludf.DUMMYFUNCTION("""COMPUTED_VALUE"""),"SHOPIFY")</f>
        <v>SHOPIFY</v>
      </c>
      <c r="AU937" s="65" t="str">
        <f>IFERROR(__xludf.DUMMYFUNCTION("""COMPUTED_VALUE"""),"IMPORTEX EC")</f>
        <v>IMPORTEX EC</v>
      </c>
      <c r="AV937" s="65" t="str">
        <f>IFERROR(__xludf.DUMMYFUNCTION("""COMPUTED_VALUE"""),"6487136829484")</f>
        <v>6487136829484</v>
      </c>
      <c r="AW937" s="65">
        <f>IFERROR(__xludf.DUMMYFUNCTION("""COMPUTED_VALUE"""),5977.0)</f>
        <v>5977</v>
      </c>
      <c r="AX937" s="65"/>
      <c r="AY937" s="65" t="str">
        <f>IFERROR(__xludf.DUMMYFUNCTION("""COMPUTED_VALUE"""),"10/02/2026")</f>
        <v>10/02/2026</v>
      </c>
      <c r="AZ937" s="65"/>
      <c r="BA937" s="65"/>
    </row>
    <row r="938">
      <c r="A938" s="65" t="str">
        <f>IFERROR(__xludf.DUMMYFUNCTION("""COMPUTED_VALUE"""),"27-03-2026")</f>
        <v>27-03-2026</v>
      </c>
      <c r="B938" s="65">
        <f>IFERROR(__xludf.DUMMYFUNCTION("""COMPUTED_VALUE"""),4442321.0)</f>
        <v>4442321</v>
      </c>
      <c r="C938" s="65" t="str">
        <f>IFERROR(__xludf.DUMMYFUNCTION("""COMPUTED_VALUE"""),"18:25")</f>
        <v>18:25</v>
      </c>
      <c r="D938" s="65" t="str">
        <f>IFERROR(__xludf.DUMMYFUNCTION("""COMPUTED_VALUE"""),"08-02-2026")</f>
        <v>08-02-2026</v>
      </c>
      <c r="E938" s="65" t="str">
        <f>IFERROR(__xludf.DUMMYFUNCTION("""COMPUTED_VALUE"""),"Juan Carlos Guerrero Veliz")</f>
        <v>Juan Carlos Guerrero Veliz</v>
      </c>
      <c r="F938" s="65" t="str">
        <f>IFERROR(__xludf.DUMMYFUNCTION("""COMPUTED_VALUE"""),"990022748")</f>
        <v>990022748</v>
      </c>
      <c r="G938" s="65"/>
      <c r="H938" s="65"/>
      <c r="I938" s="65"/>
      <c r="J938" s="65"/>
      <c r="K938" s="65" t="str">
        <f>IFERROR(__xludf.DUMMYFUNCTION("""COMPUTED_VALUE"""),"PENDIENTE CONFIRMACION")</f>
        <v>PENDIENTE CONFIRMACION</v>
      </c>
      <c r="L938" s="65" t="str">
        <f>IFERROR(__xludf.DUMMYFUNCTION("""COMPUTED_VALUE"""),"CON RECAUDO")</f>
        <v>CON RECAUDO</v>
      </c>
      <c r="M938" s="65" t="str">
        <f>IFERROR(__xludf.DUMMYFUNCTION("""COMPUTED_VALUE"""),"MANABI")</f>
        <v>MANABI</v>
      </c>
      <c r="N938" s="65" t="str">
        <f>IFERROR(__xludf.DUMMYFUNCTION("""COMPUTED_VALUE"""),"MONTECRISTI")</f>
        <v>MONTECRISTI</v>
      </c>
      <c r="O938" s="65" t="str">
        <f>IFERROR(__xludf.DUMMYFUNCTION("""COMPUTED_VALUE"""),"Barrio las chispas Diagonal a la hyundai -")</f>
        <v>Barrio las chispas Diagonal a la hyundai -</v>
      </c>
      <c r="P938" s="65"/>
      <c r="Q938" s="65" t="str">
        <f>IFERROR(__xludf.DUMMYFUNCTION("""COMPUTED_VALUE"""),"GINTRACOM")</f>
        <v>GINTRACOM</v>
      </c>
      <c r="R938" s="65">
        <f>IFERROR(__xludf.DUMMYFUNCTION("""COMPUTED_VALUE"""),30.0)</f>
        <v>30</v>
      </c>
      <c r="S938" s="65"/>
      <c r="T938" s="65">
        <f>IFERROR(__xludf.DUMMYFUNCTION("""COMPUTED_VALUE"""),6.73)</f>
        <v>6.73</v>
      </c>
      <c r="U938" s="65">
        <f>IFERROR(__xludf.DUMMYFUNCTION("""COMPUTED_VALUE"""),0.0)</f>
        <v>0</v>
      </c>
      <c r="V938" s="65">
        <f>IFERROR(__xludf.DUMMYFUNCTION("""COMPUTED_VALUE"""),0.0)</f>
        <v>0</v>
      </c>
      <c r="W938" s="65">
        <f>IFERROR(__xludf.DUMMYFUNCTION("""COMPUTED_VALUE"""),0.0)</f>
        <v>0</v>
      </c>
      <c r="X938" s="65">
        <f>IFERROR(__xludf.DUMMYFUNCTION("""COMPUTED_VALUE"""),2.2)</f>
        <v>2.2</v>
      </c>
      <c r="Y938" s="65">
        <f>IFERROR(__xludf.DUMMYFUNCTION("""COMPUTED_VALUE"""),6.6)</f>
        <v>6.6</v>
      </c>
      <c r="Z938" s="65">
        <f>IFERROR(__xludf.DUMMYFUNCTION("""COMPUTED_VALUE"""),111894.0)</f>
        <v>111894</v>
      </c>
      <c r="AA938" s="65" t="str">
        <f>IFERROR(__xludf.DUMMYFUNCTION("""COMPUTED_VALUE"""),"LYIC5M40067")</f>
        <v>LYIC5M40067</v>
      </c>
      <c r="AB938" s="65"/>
      <c r="AC938" s="65" t="str">
        <f>IFERROR(__xludf.DUMMYFUNCTION("""COMPUTED_VALUE"""),"Limpiador de Parabrisas y Ventanas")</f>
        <v>Limpiador de Parabrisas y Ventanas</v>
      </c>
      <c r="AD938" s="65"/>
      <c r="AE938" s="65">
        <f>IFERROR(__xludf.DUMMYFUNCTION("""COMPUTED_VALUE"""),3.0)</f>
        <v>3</v>
      </c>
      <c r="AF938" s="65"/>
      <c r="AG938" s="65"/>
      <c r="AH938" s="65"/>
      <c r="AI938" s="65"/>
      <c r="AJ938" s="65"/>
      <c r="AK938" s="65"/>
      <c r="AL938" s="65"/>
      <c r="AM938" s="65"/>
      <c r="AN938" s="65"/>
      <c r="AO938" s="65"/>
      <c r="AP938" s="65"/>
      <c r="AQ938" s="65"/>
      <c r="AR938" s="65"/>
      <c r="AS938" s="65"/>
      <c r="AT938" s="65" t="str">
        <f>IFERROR(__xludf.DUMMYFUNCTION("""COMPUTED_VALUE"""),"SHOPIFY")</f>
        <v>SHOPIFY</v>
      </c>
      <c r="AU938" s="65" t="str">
        <f>IFERROR(__xludf.DUMMYFUNCTION("""COMPUTED_VALUE"""),"IMPORTEX EC")</f>
        <v>IMPORTEX EC</v>
      </c>
      <c r="AV938" s="65" t="str">
        <f>IFERROR(__xludf.DUMMYFUNCTION("""COMPUTED_VALUE"""),"6487154884652")</f>
        <v>6487154884652</v>
      </c>
      <c r="AW938" s="65">
        <f>IFERROR(__xludf.DUMMYFUNCTION("""COMPUTED_VALUE"""),5978.0)</f>
        <v>5978</v>
      </c>
      <c r="AX938" s="65"/>
      <c r="AY938" s="65"/>
      <c r="AZ938" s="65"/>
      <c r="BA938" s="65"/>
    </row>
    <row r="939">
      <c r="A939" s="65" t="str">
        <f>IFERROR(__xludf.DUMMYFUNCTION("""COMPUTED_VALUE"""),"27-03-2026")</f>
        <v>27-03-2026</v>
      </c>
      <c r="B939" s="65">
        <f>IFERROR(__xludf.DUMMYFUNCTION("""COMPUTED_VALUE"""),4442318.0)</f>
        <v>4442318</v>
      </c>
      <c r="C939" s="65" t="str">
        <f>IFERROR(__xludf.DUMMYFUNCTION("""COMPUTED_VALUE"""),"18:25")</f>
        <v>18:25</v>
      </c>
      <c r="D939" s="65" t="str">
        <f>IFERROR(__xludf.DUMMYFUNCTION("""COMPUTED_VALUE"""),"08-02-2026")</f>
        <v>08-02-2026</v>
      </c>
      <c r="E939" s="65" t="str">
        <f>IFERROR(__xludf.DUMMYFUNCTION("""COMPUTED_VALUE"""),"Carlos Byron BERMEO LEÓN")</f>
        <v>Carlos Byron BERMEO LEÓN</v>
      </c>
      <c r="F939" s="65" t="str">
        <f>IFERROR(__xludf.DUMMYFUNCTION("""COMPUTED_VALUE"""),"995612120")</f>
        <v>995612120</v>
      </c>
      <c r="G939" s="65" t="str">
        <f>IFERROR(__xludf.DUMMYFUNCTION("""COMPUTED_VALUE"""),"carloxb3@gmail.com")</f>
        <v>carloxb3@gmail.com</v>
      </c>
      <c r="H939" s="65"/>
      <c r="I939" s="65"/>
      <c r="J939" s="65"/>
      <c r="K939" s="65" t="str">
        <f>IFERROR(__xludf.DUMMYFUNCTION("""COMPUTED_VALUE"""),"PENDIENTE CONFIRMACION")</f>
        <v>PENDIENTE CONFIRMACION</v>
      </c>
      <c r="L939" s="65" t="str">
        <f>IFERROR(__xludf.DUMMYFUNCTION("""COMPUTED_VALUE"""),"CON RECAUDO")</f>
        <v>CON RECAUDO</v>
      </c>
      <c r="M939" s="65" t="str">
        <f>IFERROR(__xludf.DUMMYFUNCTION("""COMPUTED_VALUE"""),"LOJA")</f>
        <v>LOJA</v>
      </c>
      <c r="N939" s="65" t="str">
        <f>IFERROR(__xludf.DUMMYFUNCTION("""COMPUTED_VALUE"""),"LOJA")</f>
        <v>LOJA</v>
      </c>
      <c r="O939" s="65" t="str">
        <f>IFERROR(__xludf.DUMMYFUNCTION("""COMPUTED_VALUE"""),"Av Eloy Alfaro y Flavio Alfaro Argelia, ciudad alegría -")</f>
        <v>Av Eloy Alfaro y Flavio Alfaro Argelia, ciudad alegría -</v>
      </c>
      <c r="P939" s="65"/>
      <c r="Q939" s="65" t="str">
        <f>IFERROR(__xludf.DUMMYFUNCTION("""COMPUTED_VALUE"""),"GINTRACOM")</f>
        <v>GINTRACOM</v>
      </c>
      <c r="R939" s="65">
        <f>IFERROR(__xludf.DUMMYFUNCTION("""COMPUTED_VALUE"""),30.0)</f>
        <v>30</v>
      </c>
      <c r="S939" s="65"/>
      <c r="T939" s="65">
        <f>IFERROR(__xludf.DUMMYFUNCTION("""COMPUTED_VALUE"""),6.16)</f>
        <v>6.16</v>
      </c>
      <c r="U939" s="65">
        <f>IFERROR(__xludf.DUMMYFUNCTION("""COMPUTED_VALUE"""),0.0)</f>
        <v>0</v>
      </c>
      <c r="V939" s="65">
        <f>IFERROR(__xludf.DUMMYFUNCTION("""COMPUTED_VALUE"""),0.0)</f>
        <v>0</v>
      </c>
      <c r="W939" s="65">
        <f>IFERROR(__xludf.DUMMYFUNCTION("""COMPUTED_VALUE"""),0.0)</f>
        <v>0</v>
      </c>
      <c r="X939" s="65">
        <f>IFERROR(__xludf.DUMMYFUNCTION("""COMPUTED_VALUE"""),2.2)</f>
        <v>2.2</v>
      </c>
      <c r="Y939" s="65">
        <f>IFERROR(__xludf.DUMMYFUNCTION("""COMPUTED_VALUE"""),6.6)</f>
        <v>6.6</v>
      </c>
      <c r="Z939" s="65">
        <f>IFERROR(__xludf.DUMMYFUNCTION("""COMPUTED_VALUE"""),111894.0)</f>
        <v>111894</v>
      </c>
      <c r="AA939" s="65" t="str">
        <f>IFERROR(__xludf.DUMMYFUNCTION("""COMPUTED_VALUE"""),"LYIC5M40067")</f>
        <v>LYIC5M40067</v>
      </c>
      <c r="AB939" s="65"/>
      <c r="AC939" s="65" t="str">
        <f>IFERROR(__xludf.DUMMYFUNCTION("""COMPUTED_VALUE"""),"Limpiador de Parabrisas y Ventanas")</f>
        <v>Limpiador de Parabrisas y Ventanas</v>
      </c>
      <c r="AD939" s="65"/>
      <c r="AE939" s="65">
        <f>IFERROR(__xludf.DUMMYFUNCTION("""COMPUTED_VALUE"""),3.0)</f>
        <v>3</v>
      </c>
      <c r="AF939" s="65"/>
      <c r="AG939" s="65"/>
      <c r="AH939" s="65"/>
      <c r="AI939" s="65"/>
      <c r="AJ939" s="65"/>
      <c r="AK939" s="65"/>
      <c r="AL939" s="65"/>
      <c r="AM939" s="65"/>
      <c r="AN939" s="65"/>
      <c r="AO939" s="65"/>
      <c r="AP939" s="65"/>
      <c r="AQ939" s="65"/>
      <c r="AR939" s="65"/>
      <c r="AS939" s="65"/>
      <c r="AT939" s="65" t="str">
        <f>IFERROR(__xludf.DUMMYFUNCTION("""COMPUTED_VALUE"""),"SHOPIFY")</f>
        <v>SHOPIFY</v>
      </c>
      <c r="AU939" s="65" t="str">
        <f>IFERROR(__xludf.DUMMYFUNCTION("""COMPUTED_VALUE"""),"IMPORTEX EC")</f>
        <v>IMPORTEX EC</v>
      </c>
      <c r="AV939" s="65" t="str">
        <f>IFERROR(__xludf.DUMMYFUNCTION("""COMPUTED_VALUE"""),"6487168811052")</f>
        <v>6487168811052</v>
      </c>
      <c r="AW939" s="65">
        <f>IFERROR(__xludf.DUMMYFUNCTION("""COMPUTED_VALUE"""),5979.0)</f>
        <v>5979</v>
      </c>
      <c r="AX939" s="65"/>
      <c r="AY939" s="65"/>
      <c r="AZ939" s="65"/>
      <c r="BA939" s="65"/>
    </row>
    <row r="940">
      <c r="A940" s="65" t="str">
        <f>IFERROR(__xludf.DUMMYFUNCTION("""COMPUTED_VALUE"""),"27-03-2026")</f>
        <v>27-03-2026</v>
      </c>
      <c r="B940" s="65">
        <f>IFERROR(__xludf.DUMMYFUNCTION("""COMPUTED_VALUE"""),4442317.0)</f>
        <v>4442317</v>
      </c>
      <c r="C940" s="65" t="str">
        <f>IFERROR(__xludf.DUMMYFUNCTION("""COMPUTED_VALUE"""),"18:24")</f>
        <v>18:24</v>
      </c>
      <c r="D940" s="65" t="str">
        <f>IFERROR(__xludf.DUMMYFUNCTION("""COMPUTED_VALUE"""),"08-02-2026")</f>
        <v>08-02-2026</v>
      </c>
      <c r="E940" s="65" t="str">
        <f>IFERROR(__xludf.DUMMYFUNCTION("""COMPUTED_VALUE"""),"Tannia Abril")</f>
        <v>Tannia Abril</v>
      </c>
      <c r="F940" s="65" t="str">
        <f>IFERROR(__xludf.DUMMYFUNCTION("""COMPUTED_VALUE"""),"992720246")</f>
        <v>992720246</v>
      </c>
      <c r="G940" s="65" t="str">
        <f>IFERROR(__xludf.DUMMYFUNCTION("""COMPUTED_VALUE"""),"tanny_ve@hotmail.es")</f>
        <v>tanny_ve@hotmail.es</v>
      </c>
      <c r="H940" s="65"/>
      <c r="I940" s="65"/>
      <c r="J940" s="65" t="str">
        <f>IFERROR(__xludf.DUMMYFUNCTION("""COMPUTED_VALUE"""),"D001315162")</f>
        <v>D001315162</v>
      </c>
      <c r="K940" s="65" t="str">
        <f>IFERROR(__xludf.DUMMYFUNCTION("""COMPUTED_VALUE"""),"ENTREGADO")</f>
        <v>ENTREGADO</v>
      </c>
      <c r="L940" s="65" t="str">
        <f>IFERROR(__xludf.DUMMYFUNCTION("""COMPUTED_VALUE"""),"CON RECAUDO")</f>
        <v>CON RECAUDO</v>
      </c>
      <c r="M940" s="65" t="str">
        <f>IFERROR(__xludf.DUMMYFUNCTION("""COMPUTED_VALUE"""),"TUNGURAHUA")</f>
        <v>TUNGURAHUA</v>
      </c>
      <c r="N940" s="65" t="str">
        <f>IFERROR(__xludf.DUMMYFUNCTION("""COMPUTED_VALUE"""),"AMBATO")</f>
        <v>AMBATO</v>
      </c>
      <c r="O940" s="65" t="str">
        <f>IFERROR(__xludf.DUMMYFUNCTION("""COMPUTED_VALUE"""),"Los Higos y  chamburos -")</f>
        <v>Los Higos y  chamburos -</v>
      </c>
      <c r="P940" s="65"/>
      <c r="Q940" s="65" t="str">
        <f>IFERROR(__xludf.DUMMYFUNCTION("""COMPUTED_VALUE"""),"GINTRACOM")</f>
        <v>GINTRACOM</v>
      </c>
      <c r="R940" s="65">
        <f>IFERROR(__xludf.DUMMYFUNCTION("""COMPUTED_VALUE"""),27.0)</f>
        <v>27</v>
      </c>
      <c r="S940" s="65">
        <f>IFERROR(__xludf.DUMMYFUNCTION("""COMPUTED_VALUE"""),13.17)</f>
        <v>13.17</v>
      </c>
      <c r="T940" s="65">
        <f>IFERROR(__xludf.DUMMYFUNCTION("""COMPUTED_VALUE"""),6.03)</f>
        <v>6.03</v>
      </c>
      <c r="U940" s="65">
        <f>IFERROR(__xludf.DUMMYFUNCTION("""COMPUTED_VALUE"""),0.0)</f>
        <v>0</v>
      </c>
      <c r="V940" s="65">
        <f>IFERROR(__xludf.DUMMYFUNCTION("""COMPUTED_VALUE"""),0.0)</f>
        <v>0</v>
      </c>
      <c r="W940" s="65">
        <f>IFERROR(__xludf.DUMMYFUNCTION("""COMPUTED_VALUE"""),0.0)</f>
        <v>0</v>
      </c>
      <c r="X940" s="65">
        <f>IFERROR(__xludf.DUMMYFUNCTION("""COMPUTED_VALUE"""),2.6)</f>
        <v>2.6</v>
      </c>
      <c r="Y940" s="65">
        <f>IFERROR(__xludf.DUMMYFUNCTION("""COMPUTED_VALUE"""),7.8)</f>
        <v>7.8</v>
      </c>
      <c r="Z940" s="65">
        <f>IFERROR(__xludf.DUMMYFUNCTION("""COMPUTED_VALUE"""),121983.0)</f>
        <v>121983</v>
      </c>
      <c r="AA940" s="65" t="str">
        <f>IFERROR(__xludf.DUMMYFUNCTION("""COMPUTED_VALUE"""),"PROV-CHLLCF")</f>
        <v>PROV-CHLLCF</v>
      </c>
      <c r="AB940" s="65"/>
      <c r="AC940" s="65" t="str">
        <f>IFERROR(__xludf.DUMMYFUNCTION("""COMPUTED_VALUE"""),"CUCHILLO PARA CHEF")</f>
        <v>CUCHILLO PARA CHEF</v>
      </c>
      <c r="AD940" s="65"/>
      <c r="AE940" s="65">
        <f>IFERROR(__xludf.DUMMYFUNCTION("""COMPUTED_VALUE"""),3.0)</f>
        <v>3</v>
      </c>
      <c r="AF940" s="65" t="str">
        <f>IFERROR(__xludf.DUMMYFUNCTION("""COMPUTED_VALUE"""),"DESTINATARIO NO CONTESTA LLAMADAS NI WHATSAPP")</f>
        <v>DESTINATARIO NO CONTESTA LLAMADAS NI WHATSAPP</v>
      </c>
      <c r="AG940" s="65" t="str">
        <f>IFERROR(__xludf.DUMMYFUNCTION("""COMPUTED_VALUE"""),"NO")</f>
        <v>NO</v>
      </c>
      <c r="AH940" s="65" t="str">
        <f>IFERROR(__xludf.DUMMYFUNCTION("""COMPUTED_VALUE"""),"18:18")</f>
        <v>18:18</v>
      </c>
      <c r="AI940" s="65" t="str">
        <f>IFERROR(__xludf.DUMMYFUNCTION("""COMPUTED_VALUE"""),"12-02-2026")</f>
        <v>12-02-2026</v>
      </c>
      <c r="AJ940" s="65"/>
      <c r="AK940" s="65"/>
      <c r="AL940" s="65"/>
      <c r="AM940" s="65"/>
      <c r="AN940" s="65" t="str">
        <f>IFERROR(__xludf.DUMMYFUNCTION("""COMPUTED_VALUE"""),"15:23")</f>
        <v>15:23</v>
      </c>
      <c r="AO940" s="65" t="str">
        <f>IFERROR(__xludf.DUMMYFUNCTION("""COMPUTED_VALUE"""),"17-02-2026")</f>
        <v>17-02-2026</v>
      </c>
      <c r="AP940" s="65" t="str">
        <f>IFERROR(__xludf.DUMMYFUNCTION("""COMPUTED_VALUE"""),"ENTREGADA GINTRACOM")</f>
        <v>ENTREGADA GINTRACOM</v>
      </c>
      <c r="AQ940" s="65" t="str">
        <f>IFERROR(__xludf.DUMMYFUNCTION("""COMPUTED_VALUE"""),"ENTREGADA GINTRACOM")</f>
        <v>ENTREGADA GINTRACOM</v>
      </c>
      <c r="AR940" s="65"/>
      <c r="AS940" s="65"/>
      <c r="AT940" s="65" t="str">
        <f>IFERROR(__xludf.DUMMYFUNCTION("""COMPUTED_VALUE"""),"SHOPIFY")</f>
        <v>SHOPIFY</v>
      </c>
      <c r="AU940" s="65" t="str">
        <f>IFERROR(__xludf.DUMMYFUNCTION("""COMPUTED_VALUE"""),"IMPORTEX EC")</f>
        <v>IMPORTEX EC</v>
      </c>
      <c r="AV940" s="65" t="str">
        <f>IFERROR(__xludf.DUMMYFUNCTION("""COMPUTED_VALUE"""),"6487175168044")</f>
        <v>6487175168044</v>
      </c>
      <c r="AW940" s="65">
        <f>IFERROR(__xludf.DUMMYFUNCTION("""COMPUTED_VALUE"""),5980.0)</f>
        <v>5980</v>
      </c>
      <c r="AX940" s="65"/>
      <c r="AY940" s="65" t="str">
        <f>IFERROR(__xludf.DUMMYFUNCTION("""COMPUTED_VALUE"""),"10/02/2026")</f>
        <v>10/02/2026</v>
      </c>
      <c r="AZ940" s="65"/>
      <c r="BA940" s="65"/>
    </row>
    <row r="941">
      <c r="A941" s="65" t="str">
        <f>IFERROR(__xludf.DUMMYFUNCTION("""COMPUTED_VALUE"""),"27-03-2026")</f>
        <v>27-03-2026</v>
      </c>
      <c r="B941" s="65">
        <f>IFERROR(__xludf.DUMMYFUNCTION("""COMPUTED_VALUE"""),4442316.0)</f>
        <v>4442316</v>
      </c>
      <c r="C941" s="65" t="str">
        <f>IFERROR(__xludf.DUMMYFUNCTION("""COMPUTED_VALUE"""),"18:24")</f>
        <v>18:24</v>
      </c>
      <c r="D941" s="65" t="str">
        <f>IFERROR(__xludf.DUMMYFUNCTION("""COMPUTED_VALUE"""),"08-02-2026")</f>
        <v>08-02-2026</v>
      </c>
      <c r="E941" s="65" t="str">
        <f>IFERROR(__xludf.DUMMYFUNCTION("""COMPUTED_VALUE"""),"César Poveda")</f>
        <v>César Poveda</v>
      </c>
      <c r="F941" s="65" t="str">
        <f>IFERROR(__xludf.DUMMYFUNCTION("""COMPUTED_VALUE"""),"999273594")</f>
        <v>999273594</v>
      </c>
      <c r="G941" s="65" t="str">
        <f>IFERROR(__xludf.DUMMYFUNCTION("""COMPUTED_VALUE"""),"cesar.povedar@gmail.com")</f>
        <v>cesar.povedar@gmail.com</v>
      </c>
      <c r="H941" s="65"/>
      <c r="I941" s="65"/>
      <c r="J941" s="65" t="str">
        <f>IFERROR(__xludf.DUMMYFUNCTION("""COMPUTED_VALUE"""),"D001315163")</f>
        <v>D001315163</v>
      </c>
      <c r="K941" s="65" t="str">
        <f>IFERROR(__xludf.DUMMYFUNCTION("""COMPUTED_VALUE"""),"ENTREGADO")</f>
        <v>ENTREGADO</v>
      </c>
      <c r="L941" s="65" t="str">
        <f>IFERROR(__xludf.DUMMYFUNCTION("""COMPUTED_VALUE"""),"CON RECAUDO")</f>
        <v>CON RECAUDO</v>
      </c>
      <c r="M941" s="65" t="str">
        <f>IFERROR(__xludf.DUMMYFUNCTION("""COMPUTED_VALUE"""),"PICHINCHA")</f>
        <v>PICHINCHA</v>
      </c>
      <c r="N941" s="65" t="str">
        <f>IFERROR(__xludf.DUMMYFUNCTION("""COMPUTED_VALUE"""),"QUITO")</f>
        <v>QUITO</v>
      </c>
      <c r="O941" s="65" t="str">
        <f>IFERROR(__xludf.DUMMYFUNCTION("""COMPUTED_VALUE"""),"Río Ushimana 40 y Colibrí Urbanización Ushimana lote 40 - junto al complejo deportivo del ministerio del Deporte")</f>
        <v>Río Ushimana 40 y Colibrí Urbanización Ushimana lote 40 - junto al complejo deportivo del ministerio del Deporte</v>
      </c>
      <c r="P941" s="65"/>
      <c r="Q941" s="65" t="str">
        <f>IFERROR(__xludf.DUMMYFUNCTION("""COMPUTED_VALUE"""),"GINTRACOM")</f>
        <v>GINTRACOM</v>
      </c>
      <c r="R941" s="65">
        <f>IFERROR(__xludf.DUMMYFUNCTION("""COMPUTED_VALUE"""),22.0)</f>
        <v>22</v>
      </c>
      <c r="S941" s="65">
        <f>IFERROR(__xludf.DUMMYFUNCTION("""COMPUTED_VALUE"""),10.96)</f>
        <v>10.96</v>
      </c>
      <c r="T941" s="65">
        <f>IFERROR(__xludf.DUMMYFUNCTION("""COMPUTED_VALUE"""),5.84)</f>
        <v>5.84</v>
      </c>
      <c r="U941" s="65">
        <f>IFERROR(__xludf.DUMMYFUNCTION("""COMPUTED_VALUE"""),0.0)</f>
        <v>0</v>
      </c>
      <c r="V941" s="65">
        <f>IFERROR(__xludf.DUMMYFUNCTION("""COMPUTED_VALUE"""),0.0)</f>
        <v>0</v>
      </c>
      <c r="W941" s="65">
        <f>IFERROR(__xludf.DUMMYFUNCTION("""COMPUTED_VALUE"""),0.0)</f>
        <v>0</v>
      </c>
      <c r="X941" s="65">
        <f>IFERROR(__xludf.DUMMYFUNCTION("""COMPUTED_VALUE"""),2.6)</f>
        <v>2.6</v>
      </c>
      <c r="Y941" s="65">
        <f>IFERROR(__xludf.DUMMYFUNCTION("""COMPUTED_VALUE"""),5.2)</f>
        <v>5.2</v>
      </c>
      <c r="Z941" s="65">
        <f>IFERROR(__xludf.DUMMYFUNCTION("""COMPUTED_VALUE"""),121983.0)</f>
        <v>121983</v>
      </c>
      <c r="AA941" s="65" t="str">
        <f>IFERROR(__xludf.DUMMYFUNCTION("""COMPUTED_VALUE"""),"PROV-CHLLCF")</f>
        <v>PROV-CHLLCF</v>
      </c>
      <c r="AB941" s="65"/>
      <c r="AC941" s="65" t="str">
        <f>IFERROR(__xludf.DUMMYFUNCTION("""COMPUTED_VALUE"""),"CUCHILLO PARA CHEF")</f>
        <v>CUCHILLO PARA CHEF</v>
      </c>
      <c r="AD941" s="65"/>
      <c r="AE941" s="65">
        <f>IFERROR(__xludf.DUMMYFUNCTION("""COMPUTED_VALUE"""),2.0)</f>
        <v>2</v>
      </c>
      <c r="AF941" s="65"/>
      <c r="AG941" s="65"/>
      <c r="AH941" s="65"/>
      <c r="AI941" s="65"/>
      <c r="AJ941" s="65"/>
      <c r="AK941" s="65"/>
      <c r="AL941" s="65"/>
      <c r="AM941" s="65"/>
      <c r="AN941" s="65" t="str">
        <f>IFERROR(__xludf.DUMMYFUNCTION("""COMPUTED_VALUE"""),"10:33")</f>
        <v>10:33</v>
      </c>
      <c r="AO941" s="65" t="str">
        <f>IFERROR(__xludf.DUMMYFUNCTION("""COMPUTED_VALUE"""),"12-02-2026")</f>
        <v>12-02-2026</v>
      </c>
      <c r="AP941" s="65" t="str">
        <f>IFERROR(__xludf.DUMMYFUNCTION("""COMPUTED_VALUE"""),"EN REPARTO")</f>
        <v>EN REPARTO</v>
      </c>
      <c r="AQ941" s="65" t="str">
        <f>IFERROR(__xludf.DUMMYFUNCTION("""COMPUTED_VALUE"""),"EN REPARTO")</f>
        <v>EN REPARTO</v>
      </c>
      <c r="AR941" s="65"/>
      <c r="AS941" s="65"/>
      <c r="AT941" s="65" t="str">
        <f>IFERROR(__xludf.DUMMYFUNCTION("""COMPUTED_VALUE"""),"SHOPIFY")</f>
        <v>SHOPIFY</v>
      </c>
      <c r="AU941" s="65" t="str">
        <f>IFERROR(__xludf.DUMMYFUNCTION("""COMPUTED_VALUE"""),"IMPORTEX EC")</f>
        <v>IMPORTEX EC</v>
      </c>
      <c r="AV941" s="65" t="str">
        <f>IFERROR(__xludf.DUMMYFUNCTION("""COMPUTED_VALUE"""),"6487180378156")</f>
        <v>6487180378156</v>
      </c>
      <c r="AW941" s="65">
        <f>IFERROR(__xludf.DUMMYFUNCTION("""COMPUTED_VALUE"""),5981.0)</f>
        <v>5981</v>
      </c>
      <c r="AX941" s="65"/>
      <c r="AY941" s="65" t="str">
        <f>IFERROR(__xludf.DUMMYFUNCTION("""COMPUTED_VALUE"""),"10/02/2026")</f>
        <v>10/02/2026</v>
      </c>
      <c r="AZ941" s="65"/>
      <c r="BA941" s="65"/>
    </row>
    <row r="942">
      <c r="A942" s="65" t="str">
        <f>IFERROR(__xludf.DUMMYFUNCTION("""COMPUTED_VALUE"""),"27-03-2026")</f>
        <v>27-03-2026</v>
      </c>
      <c r="B942" s="65">
        <f>IFERROR(__xludf.DUMMYFUNCTION("""COMPUTED_VALUE"""),4442315.0)</f>
        <v>4442315</v>
      </c>
      <c r="C942" s="65" t="str">
        <f>IFERROR(__xludf.DUMMYFUNCTION("""COMPUTED_VALUE"""),"18:24")</f>
        <v>18:24</v>
      </c>
      <c r="D942" s="65" t="str">
        <f>IFERROR(__xludf.DUMMYFUNCTION("""COMPUTED_VALUE"""),"08-02-2026")</f>
        <v>08-02-2026</v>
      </c>
      <c r="E942" s="65" t="str">
        <f>IFERROR(__xludf.DUMMYFUNCTION("""COMPUTED_VALUE"""),"Ginger Galarza Sarasti")</f>
        <v>Ginger Galarza Sarasti</v>
      </c>
      <c r="F942" s="65" t="str">
        <f>IFERROR(__xludf.DUMMYFUNCTION("""COMPUTED_VALUE"""),"998068135")</f>
        <v>998068135</v>
      </c>
      <c r="G942" s="65" t="str">
        <f>IFERROR(__xludf.DUMMYFUNCTION("""COMPUTED_VALUE"""),"gingergalarza09@gmail.com")</f>
        <v>gingergalarza09@gmail.com</v>
      </c>
      <c r="H942" s="65"/>
      <c r="I942" s="65"/>
      <c r="J942" s="65" t="str">
        <f>IFERROR(__xludf.DUMMYFUNCTION("""COMPUTED_VALUE"""),"D001316570")</f>
        <v>D001316570</v>
      </c>
      <c r="K942" s="65" t="str">
        <f>IFERROR(__xludf.DUMMYFUNCTION("""COMPUTED_VALUE"""),"DEVOLUCION")</f>
        <v>DEVOLUCION</v>
      </c>
      <c r="L942" s="65" t="str">
        <f>IFERROR(__xludf.DUMMYFUNCTION("""COMPUTED_VALUE"""),"CON RECAUDO")</f>
        <v>CON RECAUDO</v>
      </c>
      <c r="M942" s="65" t="str">
        <f>IFERROR(__xludf.DUMMYFUNCTION("""COMPUTED_VALUE"""),"GUAYAS")</f>
        <v>GUAYAS</v>
      </c>
      <c r="N942" s="65" t="str">
        <f>IFERROR(__xludf.DUMMYFUNCTION("""COMPUTED_VALUE"""),"DAULE")</f>
        <v>DAULE</v>
      </c>
      <c r="O942" s="65" t="str">
        <f>IFERROR(__xludf.DUMMYFUNCTION("""COMPUTED_VALUE"""),"Centro Comercial  LA PIAZZA LOCAL #5")</f>
        <v>Centro Comercial  LA PIAZZA LOCAL #5</v>
      </c>
      <c r="P942" s="65"/>
      <c r="Q942" s="65" t="str">
        <f>IFERROR(__xludf.DUMMYFUNCTION("""COMPUTED_VALUE"""),"GINTRACOM")</f>
        <v>GINTRACOM</v>
      </c>
      <c r="R942" s="65">
        <f>IFERROR(__xludf.DUMMYFUNCTION("""COMPUTED_VALUE"""),25.0)</f>
        <v>25</v>
      </c>
      <c r="S942" s="65"/>
      <c r="T942" s="65">
        <f>IFERROR(__xludf.DUMMYFUNCTION("""COMPUTED_VALUE"""),5.38)</f>
        <v>5.38</v>
      </c>
      <c r="U942" s="65">
        <f>IFERROR(__xludf.DUMMYFUNCTION("""COMPUTED_VALUE"""),0.0)</f>
        <v>0</v>
      </c>
      <c r="V942" s="65">
        <f>IFERROR(__xludf.DUMMYFUNCTION("""COMPUTED_VALUE"""),0.0)</f>
        <v>0</v>
      </c>
      <c r="W942" s="65">
        <f>IFERROR(__xludf.DUMMYFUNCTION("""COMPUTED_VALUE"""),0.0)</f>
        <v>0</v>
      </c>
      <c r="X942" s="65">
        <f>IFERROR(__xludf.DUMMYFUNCTION("""COMPUTED_VALUE"""),2.2)</f>
        <v>2.2</v>
      </c>
      <c r="Y942" s="65">
        <f>IFERROR(__xludf.DUMMYFUNCTION("""COMPUTED_VALUE"""),4.4)</f>
        <v>4.4</v>
      </c>
      <c r="Z942" s="65">
        <f>IFERROR(__xludf.DUMMYFUNCTION("""COMPUTED_VALUE"""),111894.0)</f>
        <v>111894</v>
      </c>
      <c r="AA942" s="65" t="str">
        <f>IFERROR(__xludf.DUMMYFUNCTION("""COMPUTED_VALUE"""),"LYIC5M40067")</f>
        <v>LYIC5M40067</v>
      </c>
      <c r="AB942" s="65"/>
      <c r="AC942" s="65" t="str">
        <f>IFERROR(__xludf.DUMMYFUNCTION("""COMPUTED_VALUE"""),"Limpiador de Parabrisas y Ventanas")</f>
        <v>Limpiador de Parabrisas y Ventanas</v>
      </c>
      <c r="AD942" s="65"/>
      <c r="AE942" s="65">
        <f>IFERROR(__xludf.DUMMYFUNCTION("""COMPUTED_VALUE"""),2.0)</f>
        <v>2</v>
      </c>
      <c r="AF942" s="65" t="str">
        <f>IFERROR(__xludf.DUMMYFUNCTION("""COMPUTED_VALUE"""),"DESTINATARIO NO CONTESTA LLAMADAS NI WHATSAPP")</f>
        <v>DESTINATARIO NO CONTESTA LLAMADAS NI WHATSAPP</v>
      </c>
      <c r="AG942" s="65" t="str">
        <f>IFERROR(__xludf.DUMMYFUNCTION("""COMPUTED_VALUE"""),"NO")</f>
        <v>NO</v>
      </c>
      <c r="AH942" s="65" t="str">
        <f>IFERROR(__xludf.DUMMYFUNCTION("""COMPUTED_VALUE"""),"09:00")</f>
        <v>09:00</v>
      </c>
      <c r="AI942" s="65" t="str">
        <f>IFERROR(__xludf.DUMMYFUNCTION("""COMPUTED_VALUE"""),"20-02-2026")</f>
        <v>20-02-2026</v>
      </c>
      <c r="AJ942" s="65"/>
      <c r="AK942" s="65"/>
      <c r="AL942" s="65"/>
      <c r="AM942" s="65"/>
      <c r="AN942" s="65" t="str">
        <f>IFERROR(__xludf.DUMMYFUNCTION("""COMPUTED_VALUE"""),"12:10")</f>
        <v>12:10</v>
      </c>
      <c r="AO942" s="65" t="str">
        <f>IFERROR(__xludf.DUMMYFUNCTION("""COMPUTED_VALUE"""),"04-03-2026")</f>
        <v>04-03-2026</v>
      </c>
      <c r="AP942" s="65" t="str">
        <f>IFERROR(__xludf.DUMMYFUNCTION("""COMPUTED_VALUE"""),"DEVOLUCIÓN ENTREGADA A ORIGEN")</f>
        <v>DEVOLUCIÓN ENTREGADA A ORIGEN</v>
      </c>
      <c r="AQ942" s="65" t="str">
        <f>IFERROR(__xludf.DUMMYFUNCTION("""COMPUTED_VALUE"""),"DEVOLUCIÓN ENTREGADA A ORIGEN")</f>
        <v>DEVOLUCIÓN ENTREGADA A ORIGEN</v>
      </c>
      <c r="AR942" s="65"/>
      <c r="AS942" s="65"/>
      <c r="AT942" s="65" t="str">
        <f>IFERROR(__xludf.DUMMYFUNCTION("""COMPUTED_VALUE"""),"SHOPIFY")</f>
        <v>SHOPIFY</v>
      </c>
      <c r="AU942" s="65" t="str">
        <f>IFERROR(__xludf.DUMMYFUNCTION("""COMPUTED_VALUE"""),"IMPORTEX EC")</f>
        <v>IMPORTEX EC</v>
      </c>
      <c r="AV942" s="65" t="str">
        <f>IFERROR(__xludf.DUMMYFUNCTION("""COMPUTED_VALUE"""),"6487191027756")</f>
        <v>6487191027756</v>
      </c>
      <c r="AW942" s="65">
        <f>IFERROR(__xludf.DUMMYFUNCTION("""COMPUTED_VALUE"""),5982.0)</f>
        <v>5982</v>
      </c>
      <c r="AX942" s="65"/>
      <c r="AY942" s="65" t="str">
        <f>IFERROR(__xludf.DUMMYFUNCTION("""COMPUTED_VALUE"""),"10/02/2026")</f>
        <v>10/02/2026</v>
      </c>
      <c r="AZ942" s="65"/>
      <c r="BA942" s="65"/>
    </row>
    <row r="943">
      <c r="A943" s="65" t="str">
        <f>IFERROR(__xludf.DUMMYFUNCTION("""COMPUTED_VALUE"""),"27-03-2026")</f>
        <v>27-03-2026</v>
      </c>
      <c r="B943" s="65">
        <f>IFERROR(__xludf.DUMMYFUNCTION("""COMPUTED_VALUE"""),4442313.0)</f>
        <v>4442313</v>
      </c>
      <c r="C943" s="65" t="str">
        <f>IFERROR(__xludf.DUMMYFUNCTION("""COMPUTED_VALUE"""),"18:24")</f>
        <v>18:24</v>
      </c>
      <c r="D943" s="65" t="str">
        <f>IFERROR(__xludf.DUMMYFUNCTION("""COMPUTED_VALUE"""),"08-02-2026")</f>
        <v>08-02-2026</v>
      </c>
      <c r="E943" s="65" t="str">
        <f>IFERROR(__xludf.DUMMYFUNCTION("""COMPUTED_VALUE"""),"Rafael Cornejo")</f>
        <v>Rafael Cornejo</v>
      </c>
      <c r="F943" s="65" t="str">
        <f>IFERROR(__xludf.DUMMYFUNCTION("""COMPUTED_VALUE"""),"994580668")</f>
        <v>994580668</v>
      </c>
      <c r="G943" s="65" t="str">
        <f>IFERROR(__xludf.DUMMYFUNCTION("""COMPUTED_VALUE"""),"liliacalvachicevallos@gmail.com")</f>
        <v>liliacalvachicevallos@gmail.com</v>
      </c>
      <c r="H943" s="65"/>
      <c r="I943" s="65"/>
      <c r="J943" s="65" t="str">
        <f>IFERROR(__xludf.DUMMYFUNCTION("""COMPUTED_VALUE"""),"D001315164")</f>
        <v>D001315164</v>
      </c>
      <c r="K943" s="65" t="str">
        <f>IFERROR(__xludf.DUMMYFUNCTION("""COMPUTED_VALUE"""),"ENTREGADO")</f>
        <v>ENTREGADO</v>
      </c>
      <c r="L943" s="65" t="str">
        <f>IFERROR(__xludf.DUMMYFUNCTION("""COMPUTED_VALUE"""),"CON RECAUDO")</f>
        <v>CON RECAUDO</v>
      </c>
      <c r="M943" s="65" t="str">
        <f>IFERROR(__xludf.DUMMYFUNCTION("""COMPUTED_VALUE"""),"COTOPAXI")</f>
        <v>COTOPAXI</v>
      </c>
      <c r="N943" s="65" t="str">
        <f>IFERROR(__xludf.DUMMYFUNCTION("""COMPUTED_VALUE"""),"LATACUNGA")</f>
        <v>LATACUNGA</v>
      </c>
      <c r="O943" s="65" t="str">
        <f>IFERROR(__xludf.DUMMYFUNCTION("""COMPUTED_VALUE"""),"Calle Sánchez de Orellana 19-50 y Félix Valencia a lado de la bodega de la coca cola , Latacunga sector la merced")</f>
        <v>Calle Sánchez de Orellana 19-50 y Félix Valencia a lado de la bodega de la coca cola , Latacunga sector la merced</v>
      </c>
      <c r="P943" s="65"/>
      <c r="Q943" s="65" t="str">
        <f>IFERROR(__xludf.DUMMYFUNCTION("""COMPUTED_VALUE"""),"GINTRACOM")</f>
        <v>GINTRACOM</v>
      </c>
      <c r="R943" s="65">
        <f>IFERROR(__xludf.DUMMYFUNCTION("""COMPUTED_VALUE"""),22.0)</f>
        <v>22</v>
      </c>
      <c r="S943" s="65">
        <f>IFERROR(__xludf.DUMMYFUNCTION("""COMPUTED_VALUE"""),10.96)</f>
        <v>10.96</v>
      </c>
      <c r="T943" s="65">
        <f>IFERROR(__xludf.DUMMYFUNCTION("""COMPUTED_VALUE"""),5.84)</f>
        <v>5.84</v>
      </c>
      <c r="U943" s="65">
        <f>IFERROR(__xludf.DUMMYFUNCTION("""COMPUTED_VALUE"""),0.0)</f>
        <v>0</v>
      </c>
      <c r="V943" s="65">
        <f>IFERROR(__xludf.DUMMYFUNCTION("""COMPUTED_VALUE"""),0.0)</f>
        <v>0</v>
      </c>
      <c r="W943" s="65">
        <f>IFERROR(__xludf.DUMMYFUNCTION("""COMPUTED_VALUE"""),0.0)</f>
        <v>0</v>
      </c>
      <c r="X943" s="65">
        <f>IFERROR(__xludf.DUMMYFUNCTION("""COMPUTED_VALUE"""),2.6)</f>
        <v>2.6</v>
      </c>
      <c r="Y943" s="65">
        <f>IFERROR(__xludf.DUMMYFUNCTION("""COMPUTED_VALUE"""),5.2)</f>
        <v>5.2</v>
      </c>
      <c r="Z943" s="65">
        <f>IFERROR(__xludf.DUMMYFUNCTION("""COMPUTED_VALUE"""),121983.0)</f>
        <v>121983</v>
      </c>
      <c r="AA943" s="65" t="str">
        <f>IFERROR(__xludf.DUMMYFUNCTION("""COMPUTED_VALUE"""),"PROV-CHLLCF")</f>
        <v>PROV-CHLLCF</v>
      </c>
      <c r="AB943" s="65"/>
      <c r="AC943" s="65" t="str">
        <f>IFERROR(__xludf.DUMMYFUNCTION("""COMPUTED_VALUE"""),"CUCHILLO PARA CHEF")</f>
        <v>CUCHILLO PARA CHEF</v>
      </c>
      <c r="AD943" s="65"/>
      <c r="AE943" s="65">
        <f>IFERROR(__xludf.DUMMYFUNCTION("""COMPUTED_VALUE"""),2.0)</f>
        <v>2</v>
      </c>
      <c r="AF943" s="65"/>
      <c r="AG943" s="65"/>
      <c r="AH943" s="65"/>
      <c r="AI943" s="65"/>
      <c r="AJ943" s="65"/>
      <c r="AK943" s="65"/>
      <c r="AL943" s="65"/>
      <c r="AM943" s="65"/>
      <c r="AN943" s="65" t="str">
        <f>IFERROR(__xludf.DUMMYFUNCTION("""COMPUTED_VALUE"""),"18:03")</f>
        <v>18:03</v>
      </c>
      <c r="AO943" s="65" t="str">
        <f>IFERROR(__xludf.DUMMYFUNCTION("""COMPUTED_VALUE"""),"12-02-2026")</f>
        <v>12-02-2026</v>
      </c>
      <c r="AP943" s="65" t="str">
        <f>IFERROR(__xludf.DUMMYFUNCTION("""COMPUTED_VALUE"""),"ENTREGADA GINTRACOM")</f>
        <v>ENTREGADA GINTRACOM</v>
      </c>
      <c r="AQ943" s="65" t="str">
        <f>IFERROR(__xludf.DUMMYFUNCTION("""COMPUTED_VALUE"""),"ENTREGADA GINTRACOM")</f>
        <v>ENTREGADA GINTRACOM</v>
      </c>
      <c r="AR943" s="65"/>
      <c r="AS943" s="65"/>
      <c r="AT943" s="65" t="str">
        <f>IFERROR(__xludf.DUMMYFUNCTION("""COMPUTED_VALUE"""),"SHOPIFY")</f>
        <v>SHOPIFY</v>
      </c>
      <c r="AU943" s="65" t="str">
        <f>IFERROR(__xludf.DUMMYFUNCTION("""COMPUTED_VALUE"""),"IMPORTEX EC")</f>
        <v>IMPORTEX EC</v>
      </c>
      <c r="AV943" s="65" t="str">
        <f>IFERROR(__xludf.DUMMYFUNCTION("""COMPUTED_VALUE"""),"6487225499692")</f>
        <v>6487225499692</v>
      </c>
      <c r="AW943" s="65">
        <f>IFERROR(__xludf.DUMMYFUNCTION("""COMPUTED_VALUE"""),5983.0)</f>
        <v>5983</v>
      </c>
      <c r="AX943" s="65"/>
      <c r="AY943" s="65" t="str">
        <f>IFERROR(__xludf.DUMMYFUNCTION("""COMPUTED_VALUE"""),"10/02/2026")</f>
        <v>10/02/2026</v>
      </c>
      <c r="AZ943" s="65"/>
      <c r="BA943" s="65"/>
    </row>
    <row r="944">
      <c r="A944" s="65" t="str">
        <f>IFERROR(__xludf.DUMMYFUNCTION("""COMPUTED_VALUE"""),"27-03-2026")</f>
        <v>27-03-2026</v>
      </c>
      <c r="B944" s="65">
        <f>IFERROR(__xludf.DUMMYFUNCTION("""COMPUTED_VALUE"""),4442312.0)</f>
        <v>4442312</v>
      </c>
      <c r="C944" s="65" t="str">
        <f>IFERROR(__xludf.DUMMYFUNCTION("""COMPUTED_VALUE"""),"18:24")</f>
        <v>18:24</v>
      </c>
      <c r="D944" s="65" t="str">
        <f>IFERROR(__xludf.DUMMYFUNCTION("""COMPUTED_VALUE"""),"08-02-2026")</f>
        <v>08-02-2026</v>
      </c>
      <c r="E944" s="65" t="str">
        <f>IFERROR(__xludf.DUMMYFUNCTION("""COMPUTED_VALUE"""),"Luis Melo")</f>
        <v>Luis Melo</v>
      </c>
      <c r="F944" s="65" t="str">
        <f>IFERROR(__xludf.DUMMYFUNCTION("""COMPUTED_VALUE"""),"993211584")</f>
        <v>993211584</v>
      </c>
      <c r="G944" s="65" t="str">
        <f>IFERROR(__xludf.DUMMYFUNCTION("""COMPUTED_VALUE"""),"eduardomelocorella10@gmail.com")</f>
        <v>eduardomelocorella10@gmail.com</v>
      </c>
      <c r="H944" s="65"/>
      <c r="I944" s="65"/>
      <c r="J944" s="65" t="str">
        <f>IFERROR(__xludf.DUMMYFUNCTION("""COMPUTED_VALUE"""),"D001313696")</f>
        <v>D001313696</v>
      </c>
      <c r="K944" s="65" t="str">
        <f>IFERROR(__xludf.DUMMYFUNCTION("""COMPUTED_VALUE"""),"ENTREGADO")</f>
        <v>ENTREGADO</v>
      </c>
      <c r="L944" s="65" t="str">
        <f>IFERROR(__xludf.DUMMYFUNCTION("""COMPUTED_VALUE"""),"CON RECAUDO")</f>
        <v>CON RECAUDO</v>
      </c>
      <c r="M944" s="65" t="str">
        <f>IFERROR(__xludf.DUMMYFUNCTION("""COMPUTED_VALUE"""),"ESMERALDAS")</f>
        <v>ESMERALDAS</v>
      </c>
      <c r="N944" s="65" t="str">
        <f>IFERROR(__xludf.DUMMYFUNCTION("""COMPUTED_VALUE"""),"ESMERALDAS")</f>
        <v>ESMERALDAS</v>
      </c>
      <c r="O944" s="65" t="str">
        <f>IFERROR(__xludf.DUMMYFUNCTION("""COMPUTED_VALUE"""),"Av. Primera M21 SB8 P1 D1 Peatonal 3 CDLA Julio Estupiñan, Diagonal al Garaje alquiler.")</f>
        <v>Av. Primera M21 SB8 P1 D1 Peatonal 3 CDLA Julio Estupiñan, Diagonal al Garaje alquiler.</v>
      </c>
      <c r="P944" s="65"/>
      <c r="Q944" s="65" t="str">
        <f>IFERROR(__xludf.DUMMYFUNCTION("""COMPUTED_VALUE"""),"GINTRACOM")</f>
        <v>GINTRACOM</v>
      </c>
      <c r="R944" s="65">
        <f>IFERROR(__xludf.DUMMYFUNCTION("""COMPUTED_VALUE"""),25.0)</f>
        <v>25</v>
      </c>
      <c r="S944" s="65">
        <f>IFERROR(__xludf.DUMMYFUNCTION("""COMPUTED_VALUE"""),14.64)</f>
        <v>14.64</v>
      </c>
      <c r="T944" s="65">
        <f>IFERROR(__xludf.DUMMYFUNCTION("""COMPUTED_VALUE"""),5.96)</f>
        <v>5.96</v>
      </c>
      <c r="U944" s="65">
        <f>IFERROR(__xludf.DUMMYFUNCTION("""COMPUTED_VALUE"""),0.0)</f>
        <v>0</v>
      </c>
      <c r="V944" s="65">
        <f>IFERROR(__xludf.DUMMYFUNCTION("""COMPUTED_VALUE"""),0.0)</f>
        <v>0</v>
      </c>
      <c r="W944" s="65">
        <f>IFERROR(__xludf.DUMMYFUNCTION("""COMPUTED_VALUE"""),0.0)</f>
        <v>0</v>
      </c>
      <c r="X944" s="65">
        <f>IFERROR(__xludf.DUMMYFUNCTION("""COMPUTED_VALUE"""),2.2)</f>
        <v>2.2</v>
      </c>
      <c r="Y944" s="65">
        <f>IFERROR(__xludf.DUMMYFUNCTION("""COMPUTED_VALUE"""),4.4)</f>
        <v>4.4</v>
      </c>
      <c r="Z944" s="65">
        <f>IFERROR(__xludf.DUMMYFUNCTION("""COMPUTED_VALUE"""),111894.0)</f>
        <v>111894</v>
      </c>
      <c r="AA944" s="65" t="str">
        <f>IFERROR(__xludf.DUMMYFUNCTION("""COMPUTED_VALUE"""),"LYIC5M40067")</f>
        <v>LYIC5M40067</v>
      </c>
      <c r="AB944" s="65"/>
      <c r="AC944" s="65" t="str">
        <f>IFERROR(__xludf.DUMMYFUNCTION("""COMPUTED_VALUE"""),"Limpiador de Parabrisas y Ventanas")</f>
        <v>Limpiador de Parabrisas y Ventanas</v>
      </c>
      <c r="AD944" s="65"/>
      <c r="AE944" s="65">
        <f>IFERROR(__xludf.DUMMYFUNCTION("""COMPUTED_VALUE"""),2.0)</f>
        <v>2</v>
      </c>
      <c r="AF944" s="65" t="str">
        <f>IFERROR(__xludf.DUMMYFUNCTION("""COMPUTED_VALUE"""),"DESTINATARIO NO CONTESTA LLAMADAS NI WHATSAPP")</f>
        <v>DESTINATARIO NO CONTESTA LLAMADAS NI WHATSAPP</v>
      </c>
      <c r="AG944" s="65" t="str">
        <f>IFERROR(__xludf.DUMMYFUNCTION("""COMPUTED_VALUE"""),"SI")</f>
        <v>SI</v>
      </c>
      <c r="AH944" s="65" t="str">
        <f>IFERROR(__xludf.DUMMYFUNCTION("""COMPUTED_VALUE"""),"14:26")</f>
        <v>14:26</v>
      </c>
      <c r="AI944" s="65" t="str">
        <f>IFERROR(__xludf.DUMMYFUNCTION("""COMPUTED_VALUE"""),"11-02-2026")</f>
        <v>11-02-2026</v>
      </c>
      <c r="AJ944" s="65" t="str">
        <f>IFERROR(__xludf.DUMMYFUNCTION("""COMPUTED_VALUE"""),"Cliente solicita la entrega de pedido")</f>
        <v>Cliente solicita la entrega de pedido</v>
      </c>
      <c r="AK944" s="65" t="str">
        <f>IFERROR(__xludf.DUMMYFUNCTION("""COMPUTED_VALUE"""),"14:43")</f>
        <v>14:43</v>
      </c>
      <c r="AL944" s="65" t="str">
        <f>IFERROR(__xludf.DUMMYFUNCTION("""COMPUTED_VALUE"""),"11-02-2026")</f>
        <v>11-02-2026</v>
      </c>
      <c r="AM944" s="65"/>
      <c r="AN944" s="65" t="str">
        <f>IFERROR(__xludf.DUMMYFUNCTION("""COMPUTED_VALUE"""),"17:04")</f>
        <v>17:04</v>
      </c>
      <c r="AO944" s="65" t="str">
        <f>IFERROR(__xludf.DUMMYFUNCTION("""COMPUTED_VALUE"""),"12-02-2026")</f>
        <v>12-02-2026</v>
      </c>
      <c r="AP944" s="65" t="str">
        <f>IFERROR(__xludf.DUMMYFUNCTION("""COMPUTED_VALUE"""),"ENTREGADA GINTRACOM")</f>
        <v>ENTREGADA GINTRACOM</v>
      </c>
      <c r="AQ944" s="65" t="str">
        <f>IFERROR(__xludf.DUMMYFUNCTION("""COMPUTED_VALUE"""),"ENTREGADA GINTRACOM")</f>
        <v>ENTREGADA GINTRACOM</v>
      </c>
      <c r="AR944" s="65"/>
      <c r="AS944" s="65"/>
      <c r="AT944" s="65" t="str">
        <f>IFERROR(__xludf.DUMMYFUNCTION("""COMPUTED_VALUE"""),"SHOPIFY")</f>
        <v>SHOPIFY</v>
      </c>
      <c r="AU944" s="65" t="str">
        <f>IFERROR(__xludf.DUMMYFUNCTION("""COMPUTED_VALUE"""),"IMPORTEX EC")</f>
        <v>IMPORTEX EC</v>
      </c>
      <c r="AV944" s="65" t="str">
        <f>IFERROR(__xludf.DUMMYFUNCTION("""COMPUTED_VALUE"""),"6487362764844")</f>
        <v>6487362764844</v>
      </c>
      <c r="AW944" s="65">
        <f>IFERROR(__xludf.DUMMYFUNCTION("""COMPUTED_VALUE"""),5984.0)</f>
        <v>5984</v>
      </c>
      <c r="AX944" s="65"/>
      <c r="AY944" s="65" t="str">
        <f>IFERROR(__xludf.DUMMYFUNCTION("""COMPUTED_VALUE"""),"10/02/2026")</f>
        <v>10/02/2026</v>
      </c>
      <c r="AZ944" s="65"/>
      <c r="BA944" s="65"/>
    </row>
    <row r="945">
      <c r="A945" s="65" t="str">
        <f>IFERROR(__xludf.DUMMYFUNCTION("""COMPUTED_VALUE"""),"27-03-2026")</f>
        <v>27-03-2026</v>
      </c>
      <c r="B945" s="65">
        <f>IFERROR(__xludf.DUMMYFUNCTION("""COMPUTED_VALUE"""),4442311.0)</f>
        <v>4442311</v>
      </c>
      <c r="C945" s="65" t="str">
        <f>IFERROR(__xludf.DUMMYFUNCTION("""COMPUTED_VALUE"""),"18:24")</f>
        <v>18:24</v>
      </c>
      <c r="D945" s="65" t="str">
        <f>IFERROR(__xludf.DUMMYFUNCTION("""COMPUTED_VALUE"""),"08-02-2026")</f>
        <v>08-02-2026</v>
      </c>
      <c r="E945" s="65" t="str">
        <f>IFERROR(__xludf.DUMMYFUNCTION("""COMPUTED_VALUE"""),"FRANCISCO OCHOA")</f>
        <v>FRANCISCO OCHOA</v>
      </c>
      <c r="F945" s="65" t="str">
        <f>IFERROR(__xludf.DUMMYFUNCTION("""COMPUTED_VALUE"""),"985162247")</f>
        <v>985162247</v>
      </c>
      <c r="G945" s="65" t="str">
        <f>IFERROR(__xludf.DUMMYFUNCTION("""COMPUTED_VALUE"""),"ochoafrancisco344@gmail.com")</f>
        <v>ochoafrancisco344@gmail.com</v>
      </c>
      <c r="H945" s="65"/>
      <c r="I945" s="65"/>
      <c r="J945" s="65"/>
      <c r="K945" s="65" t="str">
        <f>IFERROR(__xludf.DUMMYFUNCTION("""COMPUTED_VALUE"""),"CANCELADO")</f>
        <v>CANCELADO</v>
      </c>
      <c r="L945" s="65" t="str">
        <f>IFERROR(__xludf.DUMMYFUNCTION("""COMPUTED_VALUE"""),"CON RECAUDO")</f>
        <v>CON RECAUDO</v>
      </c>
      <c r="M945" s="65" t="str">
        <f>IFERROR(__xludf.DUMMYFUNCTION("""COMPUTED_VALUE"""),"SUCUMBIOS")</f>
        <v>SUCUMBIOS</v>
      </c>
      <c r="N945" s="65" t="str">
        <f>IFERROR(__xludf.DUMMYFUNCTION("""COMPUTED_VALUE"""),"LAGO AGRIO")</f>
        <v>LAGO AGRIO</v>
      </c>
      <c r="O945" s="65" t="str">
        <f>IFERROR(__xludf.DUMMYFUNCTION("""COMPUTED_VALUE"""),"A. AMAZONAS TRAS COMUNIDAD VIRGEN DEL CISNE -")</f>
        <v>A. AMAZONAS TRAS COMUNIDAD VIRGEN DEL CISNE -</v>
      </c>
      <c r="P945" s="65"/>
      <c r="Q945" s="65" t="str">
        <f>IFERROR(__xludf.DUMMYFUNCTION("""COMPUTED_VALUE"""),"GINTRACOM")</f>
        <v>GINTRACOM</v>
      </c>
      <c r="R945" s="65">
        <f>IFERROR(__xludf.DUMMYFUNCTION("""COMPUTED_VALUE"""),32.0)</f>
        <v>32</v>
      </c>
      <c r="S945" s="65"/>
      <c r="T945" s="65">
        <f>IFERROR(__xludf.DUMMYFUNCTION("""COMPUTED_VALUE"""),6.24)</f>
        <v>6.24</v>
      </c>
      <c r="U945" s="65">
        <f>IFERROR(__xludf.DUMMYFUNCTION("""COMPUTED_VALUE"""),0.0)</f>
        <v>0</v>
      </c>
      <c r="V945" s="65">
        <f>IFERROR(__xludf.DUMMYFUNCTION("""COMPUTED_VALUE"""),0.0)</f>
        <v>0</v>
      </c>
      <c r="W945" s="65">
        <f>IFERROR(__xludf.DUMMYFUNCTION("""COMPUTED_VALUE"""),0.0)</f>
        <v>0</v>
      </c>
      <c r="X945" s="65">
        <f>IFERROR(__xludf.DUMMYFUNCTION("""COMPUTED_VALUE"""),2.6)</f>
        <v>2.6</v>
      </c>
      <c r="Y945" s="65">
        <f>IFERROR(__xludf.DUMMYFUNCTION("""COMPUTED_VALUE"""),10.4)</f>
        <v>10.4</v>
      </c>
      <c r="Z945" s="65">
        <f>IFERROR(__xludf.DUMMYFUNCTION("""COMPUTED_VALUE"""),121983.0)</f>
        <v>121983</v>
      </c>
      <c r="AA945" s="65" t="str">
        <f>IFERROR(__xludf.DUMMYFUNCTION("""COMPUTED_VALUE"""),"PROV-CHLLCF")</f>
        <v>PROV-CHLLCF</v>
      </c>
      <c r="AB945" s="65"/>
      <c r="AC945" s="65" t="str">
        <f>IFERROR(__xludf.DUMMYFUNCTION("""COMPUTED_VALUE"""),"CUCHILLO PARA CHEF")</f>
        <v>CUCHILLO PARA CHEF</v>
      </c>
      <c r="AD945" s="65"/>
      <c r="AE945" s="65">
        <f>IFERROR(__xludf.DUMMYFUNCTION("""COMPUTED_VALUE"""),4.0)</f>
        <v>4</v>
      </c>
      <c r="AF945" s="65"/>
      <c r="AG945" s="65"/>
      <c r="AH945" s="65"/>
      <c r="AI945" s="65"/>
      <c r="AJ945" s="65"/>
      <c r="AK945" s="65"/>
      <c r="AL945" s="65"/>
      <c r="AM945" s="65"/>
      <c r="AN945" s="65"/>
      <c r="AO945" s="65"/>
      <c r="AP945" s="65"/>
      <c r="AQ945" s="65"/>
      <c r="AR945" s="65"/>
      <c r="AS945" s="65"/>
      <c r="AT945" s="65" t="str">
        <f>IFERROR(__xludf.DUMMYFUNCTION("""COMPUTED_VALUE"""),"SHOPIFY")</f>
        <v>SHOPIFY</v>
      </c>
      <c r="AU945" s="65" t="str">
        <f>IFERROR(__xludf.DUMMYFUNCTION("""COMPUTED_VALUE"""),"IMPORTEX EC")</f>
        <v>IMPORTEX EC</v>
      </c>
      <c r="AV945" s="65" t="str">
        <f>IFERROR(__xludf.DUMMYFUNCTION("""COMPUTED_VALUE"""),"6487384391724")</f>
        <v>6487384391724</v>
      </c>
      <c r="AW945" s="65">
        <f>IFERROR(__xludf.DUMMYFUNCTION("""COMPUTED_VALUE"""),5985.0)</f>
        <v>5985</v>
      </c>
      <c r="AX945" s="65"/>
      <c r="AY945" s="65"/>
      <c r="AZ945" s="65"/>
      <c r="BA945" s="65"/>
    </row>
    <row r="946">
      <c r="A946" s="65" t="str">
        <f>IFERROR(__xludf.DUMMYFUNCTION("""COMPUTED_VALUE"""),"27-03-2026")</f>
        <v>27-03-2026</v>
      </c>
      <c r="B946" s="65">
        <f>IFERROR(__xludf.DUMMYFUNCTION("""COMPUTED_VALUE"""),4442310.0)</f>
        <v>4442310</v>
      </c>
      <c r="C946" s="65" t="str">
        <f>IFERROR(__xludf.DUMMYFUNCTION("""COMPUTED_VALUE"""),"18:23")</f>
        <v>18:23</v>
      </c>
      <c r="D946" s="65" t="str">
        <f>IFERROR(__xludf.DUMMYFUNCTION("""COMPUTED_VALUE"""),"08-02-2026")</f>
        <v>08-02-2026</v>
      </c>
      <c r="E946" s="65" t="str">
        <f>IFERROR(__xludf.DUMMYFUNCTION("""COMPUTED_VALUE"""),"Freddy Intriago")</f>
        <v>Freddy Intriago</v>
      </c>
      <c r="F946" s="65" t="str">
        <f>IFERROR(__xludf.DUMMYFUNCTION("""COMPUTED_VALUE"""),"968167342")</f>
        <v>968167342</v>
      </c>
      <c r="G946" s="65" t="str">
        <f>IFERROR(__xludf.DUMMYFUNCTION("""COMPUTED_VALUE"""),"intriagofreddy75@gmail.com")</f>
        <v>intriagofreddy75@gmail.com</v>
      </c>
      <c r="H946" s="65"/>
      <c r="I946" s="65"/>
      <c r="J946" s="65" t="str">
        <f>IFERROR(__xludf.DUMMYFUNCTION("""COMPUTED_VALUE"""),"D001315540")</f>
        <v>D001315540</v>
      </c>
      <c r="K946" s="65" t="str">
        <f>IFERROR(__xludf.DUMMYFUNCTION("""COMPUTED_VALUE"""),"ENTREGADO")</f>
        <v>ENTREGADO</v>
      </c>
      <c r="L946" s="65" t="str">
        <f>IFERROR(__xludf.DUMMYFUNCTION("""COMPUTED_VALUE"""),"CON RECAUDO")</f>
        <v>CON RECAUDO</v>
      </c>
      <c r="M946" s="65" t="str">
        <f>IFERROR(__xludf.DUMMYFUNCTION("""COMPUTED_VALUE"""),"MANABI")</f>
        <v>MANABI</v>
      </c>
      <c r="N946" s="65" t="str">
        <f>IFERROR(__xludf.DUMMYFUNCTION("""COMPUTED_VALUE"""),"MANTA")</f>
        <v>MANTA</v>
      </c>
      <c r="O946" s="65" t="str">
        <f>IFERROR(__xludf.DUMMYFUNCTION("""COMPUTED_VALUE"""),"Calle 404 y avenida 408 Divino niño ciudadela -")</f>
        <v>Calle 404 y avenida 408 Divino niño ciudadela -</v>
      </c>
      <c r="P946" s="65"/>
      <c r="Q946" s="65" t="str">
        <f>IFERROR(__xludf.DUMMYFUNCTION("""COMPUTED_VALUE"""),"GINTRACOM")</f>
        <v>GINTRACOM</v>
      </c>
      <c r="R946" s="65">
        <f>IFERROR(__xludf.DUMMYFUNCTION("""COMPUTED_VALUE"""),28.0)</f>
        <v>28</v>
      </c>
      <c r="S946" s="65">
        <f>IFERROR(__xludf.DUMMYFUNCTION("""COMPUTED_VALUE"""),11.92)</f>
        <v>11.92</v>
      </c>
      <c r="T946" s="65">
        <f>IFERROR(__xludf.DUMMYFUNCTION("""COMPUTED_VALUE"""),6.08)</f>
        <v>6.08</v>
      </c>
      <c r="U946" s="65">
        <f>IFERROR(__xludf.DUMMYFUNCTION("""COMPUTED_VALUE"""),0.0)</f>
        <v>0</v>
      </c>
      <c r="V946" s="65">
        <f>IFERROR(__xludf.DUMMYFUNCTION("""COMPUTED_VALUE"""),0.0)</f>
        <v>0</v>
      </c>
      <c r="W946" s="65">
        <f>IFERROR(__xludf.DUMMYFUNCTION("""COMPUTED_VALUE"""),0.0)</f>
        <v>0</v>
      </c>
      <c r="X946" s="65">
        <f>IFERROR(__xludf.DUMMYFUNCTION("""COMPUTED_VALUE"""),5.0)</f>
        <v>5</v>
      </c>
      <c r="Y946" s="65">
        <f>IFERROR(__xludf.DUMMYFUNCTION("""COMPUTED_VALUE"""),10.0)</f>
        <v>10</v>
      </c>
      <c r="Z946" s="65">
        <f>IFERROR(__xludf.DUMMYFUNCTION("""COMPUTED_VALUE"""),110064.0)</f>
        <v>110064</v>
      </c>
      <c r="AA946" s="65" t="str">
        <f>IFERROR(__xludf.DUMMYFUNCTION("""COMPUTED_VALUE"""),"IMX-00001")</f>
        <v>IMX-00001</v>
      </c>
      <c r="AB946" s="65"/>
      <c r="AC946" s="65" t="str">
        <f>IFERROR(__xludf.DUMMYFUNCTION("""COMPUTED_VALUE"""),"LLAVE TRINQUETE")</f>
        <v>LLAVE TRINQUETE</v>
      </c>
      <c r="AD946" s="65"/>
      <c r="AE946" s="65">
        <f>IFERROR(__xludf.DUMMYFUNCTION("""COMPUTED_VALUE"""),2.0)</f>
        <v>2</v>
      </c>
      <c r="AF946" s="65"/>
      <c r="AG946" s="65"/>
      <c r="AH946" s="65"/>
      <c r="AI946" s="65"/>
      <c r="AJ946" s="65"/>
      <c r="AK946" s="65"/>
      <c r="AL946" s="65"/>
      <c r="AM946" s="65"/>
      <c r="AN946" s="65" t="str">
        <f>IFERROR(__xludf.DUMMYFUNCTION("""COMPUTED_VALUE"""),"13:34")</f>
        <v>13:34</v>
      </c>
      <c r="AO946" s="65" t="str">
        <f>IFERROR(__xludf.DUMMYFUNCTION("""COMPUTED_VALUE"""),"11-02-2026")</f>
        <v>11-02-2026</v>
      </c>
      <c r="AP946" s="65" t="str">
        <f>IFERROR(__xludf.DUMMYFUNCTION("""COMPUTED_VALUE"""),"ENTREGADA GINTRACOM")</f>
        <v>ENTREGADA GINTRACOM</v>
      </c>
      <c r="AQ946" s="65" t="str">
        <f>IFERROR(__xludf.DUMMYFUNCTION("""COMPUTED_VALUE"""),"ENTREGADA GINTRACOM")</f>
        <v>ENTREGADA GINTRACOM</v>
      </c>
      <c r="AR946" s="65"/>
      <c r="AS946" s="65"/>
      <c r="AT946" s="65" t="str">
        <f>IFERROR(__xludf.DUMMYFUNCTION("""COMPUTED_VALUE"""),"SHOPIFY")</f>
        <v>SHOPIFY</v>
      </c>
      <c r="AU946" s="65" t="str">
        <f>IFERROR(__xludf.DUMMYFUNCTION("""COMPUTED_VALUE"""),"IMPORTEX EC")</f>
        <v>IMPORTEX EC</v>
      </c>
      <c r="AV946" s="65" t="str">
        <f>IFERROR(__xludf.DUMMYFUNCTION("""COMPUTED_VALUE"""),"6488008228908")</f>
        <v>6488008228908</v>
      </c>
      <c r="AW946" s="65">
        <f>IFERROR(__xludf.DUMMYFUNCTION("""COMPUTED_VALUE"""),5986.0)</f>
        <v>5986</v>
      </c>
      <c r="AX946" s="65"/>
      <c r="AY946" s="65" t="str">
        <f>IFERROR(__xludf.DUMMYFUNCTION("""COMPUTED_VALUE"""),"10/02/2026")</f>
        <v>10/02/2026</v>
      </c>
      <c r="AZ946" s="65"/>
      <c r="BA946" s="65"/>
    </row>
    <row r="947">
      <c r="A947" s="65" t="str">
        <f>IFERROR(__xludf.DUMMYFUNCTION("""COMPUTED_VALUE"""),"27-03-2026")</f>
        <v>27-03-2026</v>
      </c>
      <c r="B947" s="65">
        <f>IFERROR(__xludf.DUMMYFUNCTION("""COMPUTED_VALUE"""),4442308.0)</f>
        <v>4442308</v>
      </c>
      <c r="C947" s="65" t="str">
        <f>IFERROR(__xludf.DUMMYFUNCTION("""COMPUTED_VALUE"""),"18:23")</f>
        <v>18:23</v>
      </c>
      <c r="D947" s="65" t="str">
        <f>IFERROR(__xludf.DUMMYFUNCTION("""COMPUTED_VALUE"""),"08-02-2026")</f>
        <v>08-02-2026</v>
      </c>
      <c r="E947" s="65" t="str">
        <f>IFERROR(__xludf.DUMMYFUNCTION("""COMPUTED_VALUE"""),"Cesar Salvador")</f>
        <v>Cesar Salvador</v>
      </c>
      <c r="F947" s="65" t="str">
        <f>IFERROR(__xludf.DUMMYFUNCTION("""COMPUTED_VALUE"""),"996526137")</f>
        <v>996526137</v>
      </c>
      <c r="G947" s="65" t="str">
        <f>IFERROR(__xludf.DUMMYFUNCTION("""COMPUTED_VALUE"""),"cefsama@hotmail.com")</f>
        <v>cefsama@hotmail.com</v>
      </c>
      <c r="H947" s="65"/>
      <c r="I947" s="65"/>
      <c r="J947" s="65" t="str">
        <f>IFERROR(__xludf.DUMMYFUNCTION("""COMPUTED_VALUE"""),"D001315541")</f>
        <v>D001315541</v>
      </c>
      <c r="K947" s="65" t="str">
        <f>IFERROR(__xludf.DUMMYFUNCTION("""COMPUTED_VALUE"""),"ENTREGADO")</f>
        <v>ENTREGADO</v>
      </c>
      <c r="L947" s="65" t="str">
        <f>IFERROR(__xludf.DUMMYFUNCTION("""COMPUTED_VALUE"""),"CON RECAUDO")</f>
        <v>CON RECAUDO</v>
      </c>
      <c r="M947" s="65" t="str">
        <f>IFERROR(__xludf.DUMMYFUNCTION("""COMPUTED_VALUE"""),"GUAYAS")</f>
        <v>GUAYAS</v>
      </c>
      <c r="N947" s="65" t="str">
        <f>IFERROR(__xludf.DUMMYFUNCTION("""COMPUTED_VALUE"""),"GUAYAQUIL")</f>
        <v>GUAYAQUIL</v>
      </c>
      <c r="O947" s="65" t="str">
        <f>IFERROR(__xludf.DUMMYFUNCTION("""COMPUTED_VALUE"""),"Av. Isidro Ayora Mz 791 Villa 18 y Av. Luis Tamayo -")</f>
        <v>Av. Isidro Ayora Mz 791 Villa 18 y Av. Luis Tamayo -</v>
      </c>
      <c r="P947" s="65"/>
      <c r="Q947" s="65" t="str">
        <f>IFERROR(__xludf.DUMMYFUNCTION("""COMPUTED_VALUE"""),"GINTRACOM")</f>
        <v>GINTRACOM</v>
      </c>
      <c r="R947" s="65">
        <f>IFERROR(__xludf.DUMMYFUNCTION("""COMPUTED_VALUE"""),28.0)</f>
        <v>28</v>
      </c>
      <c r="S947" s="65">
        <f>IFERROR(__xludf.DUMMYFUNCTION("""COMPUTED_VALUE"""),11.92)</f>
        <v>11.92</v>
      </c>
      <c r="T947" s="65">
        <f>IFERROR(__xludf.DUMMYFUNCTION("""COMPUTED_VALUE"""),6.08)</f>
        <v>6.08</v>
      </c>
      <c r="U947" s="65">
        <f>IFERROR(__xludf.DUMMYFUNCTION("""COMPUTED_VALUE"""),0.0)</f>
        <v>0</v>
      </c>
      <c r="V947" s="65">
        <f>IFERROR(__xludf.DUMMYFUNCTION("""COMPUTED_VALUE"""),0.0)</f>
        <v>0</v>
      </c>
      <c r="W947" s="65">
        <f>IFERROR(__xludf.DUMMYFUNCTION("""COMPUTED_VALUE"""),0.0)</f>
        <v>0</v>
      </c>
      <c r="X947" s="65">
        <f>IFERROR(__xludf.DUMMYFUNCTION("""COMPUTED_VALUE"""),5.0)</f>
        <v>5</v>
      </c>
      <c r="Y947" s="65">
        <f>IFERROR(__xludf.DUMMYFUNCTION("""COMPUTED_VALUE"""),10.0)</f>
        <v>10</v>
      </c>
      <c r="Z947" s="65">
        <f>IFERROR(__xludf.DUMMYFUNCTION("""COMPUTED_VALUE"""),110064.0)</f>
        <v>110064</v>
      </c>
      <c r="AA947" s="65" t="str">
        <f>IFERROR(__xludf.DUMMYFUNCTION("""COMPUTED_VALUE"""),"IMX-00001")</f>
        <v>IMX-00001</v>
      </c>
      <c r="AB947" s="65"/>
      <c r="AC947" s="65" t="str">
        <f>IFERROR(__xludf.DUMMYFUNCTION("""COMPUTED_VALUE"""),"LLAVE TRINQUETE")</f>
        <v>LLAVE TRINQUETE</v>
      </c>
      <c r="AD947" s="65"/>
      <c r="AE947" s="65">
        <f>IFERROR(__xludf.DUMMYFUNCTION("""COMPUTED_VALUE"""),2.0)</f>
        <v>2</v>
      </c>
      <c r="AF947" s="65"/>
      <c r="AG947" s="65"/>
      <c r="AH947" s="65"/>
      <c r="AI947" s="65"/>
      <c r="AJ947" s="65"/>
      <c r="AK947" s="65"/>
      <c r="AL947" s="65"/>
      <c r="AM947" s="65"/>
      <c r="AN947" s="65" t="str">
        <f>IFERROR(__xludf.DUMMYFUNCTION("""COMPUTED_VALUE"""),"14:31")</f>
        <v>14:31</v>
      </c>
      <c r="AO947" s="65" t="str">
        <f>IFERROR(__xludf.DUMMYFUNCTION("""COMPUTED_VALUE"""),"12-02-2026")</f>
        <v>12-02-2026</v>
      </c>
      <c r="AP947" s="65" t="str">
        <f>IFERROR(__xludf.DUMMYFUNCTION("""COMPUTED_VALUE"""),"ENTREGADA GINTRACOM")</f>
        <v>ENTREGADA GINTRACOM</v>
      </c>
      <c r="AQ947" s="65" t="str">
        <f>IFERROR(__xludf.DUMMYFUNCTION("""COMPUTED_VALUE"""),"ENTREGADA GINTRACOM")</f>
        <v>ENTREGADA GINTRACOM</v>
      </c>
      <c r="AR947" s="65"/>
      <c r="AS947" s="65"/>
      <c r="AT947" s="65" t="str">
        <f>IFERROR(__xludf.DUMMYFUNCTION("""COMPUTED_VALUE"""),"SHOPIFY")</f>
        <v>SHOPIFY</v>
      </c>
      <c r="AU947" s="65" t="str">
        <f>IFERROR(__xludf.DUMMYFUNCTION("""COMPUTED_VALUE"""),"IMPORTEX EC")</f>
        <v>IMPORTEX EC</v>
      </c>
      <c r="AV947" s="65" t="str">
        <f>IFERROR(__xludf.DUMMYFUNCTION("""COMPUTED_VALUE"""),"6488423596076")</f>
        <v>6488423596076</v>
      </c>
      <c r="AW947" s="65">
        <f>IFERROR(__xludf.DUMMYFUNCTION("""COMPUTED_VALUE"""),5987.0)</f>
        <v>5987</v>
      </c>
      <c r="AX947" s="65"/>
      <c r="AY947" s="65" t="str">
        <f>IFERROR(__xludf.DUMMYFUNCTION("""COMPUTED_VALUE"""),"10/02/2026")</f>
        <v>10/02/2026</v>
      </c>
      <c r="AZ947" s="65"/>
      <c r="BA947" s="65"/>
    </row>
    <row r="948">
      <c r="A948" s="65" t="str">
        <f>IFERROR(__xludf.DUMMYFUNCTION("""COMPUTED_VALUE"""),"27-03-2026")</f>
        <v>27-03-2026</v>
      </c>
      <c r="B948" s="65">
        <f>IFERROR(__xludf.DUMMYFUNCTION("""COMPUTED_VALUE"""),4442307.0)</f>
        <v>4442307</v>
      </c>
      <c r="C948" s="65" t="str">
        <f>IFERROR(__xludf.DUMMYFUNCTION("""COMPUTED_VALUE"""),"18:23")</f>
        <v>18:23</v>
      </c>
      <c r="D948" s="65" t="str">
        <f>IFERROR(__xludf.DUMMYFUNCTION("""COMPUTED_VALUE"""),"08-02-2026")</f>
        <v>08-02-2026</v>
      </c>
      <c r="E948" s="65" t="str">
        <f>IFERROR(__xludf.DUMMYFUNCTION("""COMPUTED_VALUE"""),"Diego Xavier Cisneros Echeverría")</f>
        <v>Diego Xavier Cisneros Echeverría</v>
      </c>
      <c r="F948" s="65" t="str">
        <f>IFERROR(__xludf.DUMMYFUNCTION("""COMPUTED_VALUE"""),"958615668")</f>
        <v>958615668</v>
      </c>
      <c r="G948" s="65" t="str">
        <f>IFERROR(__xludf.DUMMYFUNCTION("""COMPUTED_VALUE"""),"diegoxavi_ec@hotmail.com")</f>
        <v>diegoxavi_ec@hotmail.com</v>
      </c>
      <c r="H948" s="65"/>
      <c r="I948" s="65"/>
      <c r="J948" s="65" t="str">
        <f>IFERROR(__xludf.DUMMYFUNCTION("""COMPUTED_VALUE"""),"D001315542")</f>
        <v>D001315542</v>
      </c>
      <c r="K948" s="65" t="str">
        <f>IFERROR(__xludf.DUMMYFUNCTION("""COMPUTED_VALUE"""),"ENTREGADO")</f>
        <v>ENTREGADO</v>
      </c>
      <c r="L948" s="65" t="str">
        <f>IFERROR(__xludf.DUMMYFUNCTION("""COMPUTED_VALUE"""),"CON RECAUDO")</f>
        <v>CON RECAUDO</v>
      </c>
      <c r="M948" s="65" t="str">
        <f>IFERROR(__xludf.DUMMYFUNCTION("""COMPUTED_VALUE"""),"PICHINCHA")</f>
        <v>PICHINCHA</v>
      </c>
      <c r="N948" s="65" t="str">
        <f>IFERROR(__xludf.DUMMYFUNCTION("""COMPUTED_VALUE"""),"CAYAMBE")</f>
        <v>CAYAMBE</v>
      </c>
      <c r="O948" s="65" t="str">
        <f>IFERROR(__xludf.DUMMYFUNCTION("""COMPUTED_VALUE"""),"Juan pío Montufar Y  Dolores veintimilla -  casa s543 - Diagonal a capitán water")</f>
        <v>Juan pío Montufar Y  Dolores veintimilla -  casa s543 - Diagonal a capitán water</v>
      </c>
      <c r="P948" s="65"/>
      <c r="Q948" s="65" t="str">
        <f>IFERROR(__xludf.DUMMYFUNCTION("""COMPUTED_VALUE"""),"GINTRACOM")</f>
        <v>GINTRACOM</v>
      </c>
      <c r="R948" s="65">
        <f>IFERROR(__xludf.DUMMYFUNCTION("""COMPUTED_VALUE"""),19.99)</f>
        <v>19.99</v>
      </c>
      <c r="S948" s="65">
        <f>IFERROR(__xludf.DUMMYFUNCTION("""COMPUTED_VALUE"""),9.82)</f>
        <v>9.82</v>
      </c>
      <c r="T948" s="65">
        <f>IFERROR(__xludf.DUMMYFUNCTION("""COMPUTED_VALUE"""),5.17)</f>
        <v>5.17</v>
      </c>
      <c r="U948" s="65">
        <f>IFERROR(__xludf.DUMMYFUNCTION("""COMPUTED_VALUE"""),0.0)</f>
        <v>0</v>
      </c>
      <c r="V948" s="65">
        <f>IFERROR(__xludf.DUMMYFUNCTION("""COMPUTED_VALUE"""),0.0)</f>
        <v>0</v>
      </c>
      <c r="W948" s="65">
        <f>IFERROR(__xludf.DUMMYFUNCTION("""COMPUTED_VALUE"""),0.0)</f>
        <v>0</v>
      </c>
      <c r="X948" s="65">
        <f>IFERROR(__xludf.DUMMYFUNCTION("""COMPUTED_VALUE"""),5.0)</f>
        <v>5</v>
      </c>
      <c r="Y948" s="65">
        <f>IFERROR(__xludf.DUMMYFUNCTION("""COMPUTED_VALUE"""),5.0)</f>
        <v>5</v>
      </c>
      <c r="Z948" s="65">
        <f>IFERROR(__xludf.DUMMYFUNCTION("""COMPUTED_VALUE"""),110064.0)</f>
        <v>110064</v>
      </c>
      <c r="AA948" s="65" t="str">
        <f>IFERROR(__xludf.DUMMYFUNCTION("""COMPUTED_VALUE"""),"IMX-00001")</f>
        <v>IMX-00001</v>
      </c>
      <c r="AB948" s="65"/>
      <c r="AC948" s="65" t="str">
        <f>IFERROR(__xludf.DUMMYFUNCTION("""COMPUTED_VALUE"""),"LLAVE TRINQUETE")</f>
        <v>LLAVE TRINQUETE</v>
      </c>
      <c r="AD948" s="65"/>
      <c r="AE948" s="65">
        <f>IFERROR(__xludf.DUMMYFUNCTION("""COMPUTED_VALUE"""),1.0)</f>
        <v>1</v>
      </c>
      <c r="AF948" s="65"/>
      <c r="AG948" s="65"/>
      <c r="AH948" s="65"/>
      <c r="AI948" s="65"/>
      <c r="AJ948" s="65"/>
      <c r="AK948" s="65"/>
      <c r="AL948" s="65"/>
      <c r="AM948" s="65"/>
      <c r="AN948" s="65" t="str">
        <f>IFERROR(__xludf.DUMMYFUNCTION("""COMPUTED_VALUE"""),"10:59")</f>
        <v>10:59</v>
      </c>
      <c r="AO948" s="65" t="str">
        <f>IFERROR(__xludf.DUMMYFUNCTION("""COMPUTED_VALUE"""),"11-02-2026")</f>
        <v>11-02-2026</v>
      </c>
      <c r="AP948" s="65" t="str">
        <f>IFERROR(__xludf.DUMMYFUNCTION("""COMPUTED_VALUE"""),"ENTREGADA GINTRACOM")</f>
        <v>ENTREGADA GINTRACOM</v>
      </c>
      <c r="AQ948" s="65" t="str">
        <f>IFERROR(__xludf.DUMMYFUNCTION("""COMPUTED_VALUE"""),"ENTREGADA GINTRACOM")</f>
        <v>ENTREGADA GINTRACOM</v>
      </c>
      <c r="AR948" s="65"/>
      <c r="AS948" s="65"/>
      <c r="AT948" s="65" t="str">
        <f>IFERROR(__xludf.DUMMYFUNCTION("""COMPUTED_VALUE"""),"SHOPIFY")</f>
        <v>SHOPIFY</v>
      </c>
      <c r="AU948" s="65" t="str">
        <f>IFERROR(__xludf.DUMMYFUNCTION("""COMPUTED_VALUE"""),"IMPORTEX EC")</f>
        <v>IMPORTEX EC</v>
      </c>
      <c r="AV948" s="65" t="str">
        <f>IFERROR(__xludf.DUMMYFUNCTION("""COMPUTED_VALUE"""),"6488450433068")</f>
        <v>6488450433068</v>
      </c>
      <c r="AW948" s="65">
        <f>IFERROR(__xludf.DUMMYFUNCTION("""COMPUTED_VALUE"""),5988.0)</f>
        <v>5988</v>
      </c>
      <c r="AX948" s="65"/>
      <c r="AY948" s="65" t="str">
        <f>IFERROR(__xludf.DUMMYFUNCTION("""COMPUTED_VALUE"""),"10/02/2026")</f>
        <v>10/02/2026</v>
      </c>
      <c r="AZ948" s="65"/>
      <c r="BA948" s="65"/>
    </row>
    <row r="949">
      <c r="A949" s="65" t="str">
        <f>IFERROR(__xludf.DUMMYFUNCTION("""COMPUTED_VALUE"""),"27-03-2026")</f>
        <v>27-03-2026</v>
      </c>
      <c r="B949" s="65">
        <f>IFERROR(__xludf.DUMMYFUNCTION("""COMPUTED_VALUE"""),4442305.0)</f>
        <v>4442305</v>
      </c>
      <c r="C949" s="65" t="str">
        <f>IFERROR(__xludf.DUMMYFUNCTION("""COMPUTED_VALUE"""),"18:23")</f>
        <v>18:23</v>
      </c>
      <c r="D949" s="65" t="str">
        <f>IFERROR(__xludf.DUMMYFUNCTION("""COMPUTED_VALUE"""),"08-02-2026")</f>
        <v>08-02-2026</v>
      </c>
      <c r="E949" s="65" t="str">
        <f>IFERROR(__xludf.DUMMYFUNCTION("""COMPUTED_VALUE"""),"Francisco Gamboa")</f>
        <v>Francisco Gamboa</v>
      </c>
      <c r="F949" s="65" t="str">
        <f>IFERROR(__xludf.DUMMYFUNCTION("""COMPUTED_VALUE"""),"984891823")</f>
        <v>984891823</v>
      </c>
      <c r="G949" s="65" t="str">
        <f>IFERROR(__xludf.DUMMYFUNCTION("""COMPUTED_VALUE"""),"fgamboa.figo@gmail.com")</f>
        <v>fgamboa.figo@gmail.com</v>
      </c>
      <c r="H949" s="65"/>
      <c r="I949" s="65"/>
      <c r="J949" s="65" t="str">
        <f>IFERROR(__xludf.DUMMYFUNCTION("""COMPUTED_VALUE"""),"D001315543")</f>
        <v>D001315543</v>
      </c>
      <c r="K949" s="65" t="str">
        <f>IFERROR(__xludf.DUMMYFUNCTION("""COMPUTED_VALUE"""),"DEVOLUCION")</f>
        <v>DEVOLUCION</v>
      </c>
      <c r="L949" s="65" t="str">
        <f>IFERROR(__xludf.DUMMYFUNCTION("""COMPUTED_VALUE"""),"CON RECAUDO")</f>
        <v>CON RECAUDO</v>
      </c>
      <c r="M949" s="65" t="str">
        <f>IFERROR(__xludf.DUMMYFUNCTION("""COMPUTED_VALUE"""),"GUAYAS")</f>
        <v>GUAYAS</v>
      </c>
      <c r="N949" s="65" t="str">
        <f>IFERROR(__xludf.DUMMYFUNCTION("""COMPUTED_VALUE"""),"DAULE")</f>
        <v>DAULE</v>
      </c>
      <c r="O949" s="65" t="str">
        <f>IFERROR(__xludf.DUMMYFUNCTION("""COMPUTED_VALUE"""),"Urbanización la joya etapa murano Mz 6 villa 51 -")</f>
        <v>Urbanización la joya etapa murano Mz 6 villa 51 -</v>
      </c>
      <c r="P949" s="65"/>
      <c r="Q949" s="65" t="str">
        <f>IFERROR(__xludf.DUMMYFUNCTION("""COMPUTED_VALUE"""),"GINTRACOM")</f>
        <v>GINTRACOM</v>
      </c>
      <c r="R949" s="65">
        <f>IFERROR(__xludf.DUMMYFUNCTION("""COMPUTED_VALUE"""),28.0)</f>
        <v>28</v>
      </c>
      <c r="S949" s="65"/>
      <c r="T949" s="65">
        <f>IFERROR(__xludf.DUMMYFUNCTION("""COMPUTED_VALUE"""),6.08)</f>
        <v>6.08</v>
      </c>
      <c r="U949" s="65">
        <f>IFERROR(__xludf.DUMMYFUNCTION("""COMPUTED_VALUE"""),0.0)</f>
        <v>0</v>
      </c>
      <c r="V949" s="65">
        <f>IFERROR(__xludf.DUMMYFUNCTION("""COMPUTED_VALUE"""),0.0)</f>
        <v>0</v>
      </c>
      <c r="W949" s="65">
        <f>IFERROR(__xludf.DUMMYFUNCTION("""COMPUTED_VALUE"""),0.0)</f>
        <v>0</v>
      </c>
      <c r="X949" s="65">
        <f>IFERROR(__xludf.DUMMYFUNCTION("""COMPUTED_VALUE"""),5.0)</f>
        <v>5</v>
      </c>
      <c r="Y949" s="65">
        <f>IFERROR(__xludf.DUMMYFUNCTION("""COMPUTED_VALUE"""),10.0)</f>
        <v>10</v>
      </c>
      <c r="Z949" s="65">
        <f>IFERROR(__xludf.DUMMYFUNCTION("""COMPUTED_VALUE"""),110064.0)</f>
        <v>110064</v>
      </c>
      <c r="AA949" s="65" t="str">
        <f>IFERROR(__xludf.DUMMYFUNCTION("""COMPUTED_VALUE"""),"IMX-00001")</f>
        <v>IMX-00001</v>
      </c>
      <c r="AB949" s="65"/>
      <c r="AC949" s="65" t="str">
        <f>IFERROR(__xludf.DUMMYFUNCTION("""COMPUTED_VALUE"""),"LLAVE TRINQUETE")</f>
        <v>LLAVE TRINQUETE</v>
      </c>
      <c r="AD949" s="65"/>
      <c r="AE949" s="65">
        <f>IFERROR(__xludf.DUMMYFUNCTION("""COMPUTED_VALUE"""),2.0)</f>
        <v>2</v>
      </c>
      <c r="AF949" s="65" t="str">
        <f>IFERROR(__xludf.DUMMYFUNCTION("""COMPUTED_VALUE"""),"DESTINATARIO NO CONTESTA LLAMADAS NI WHATSAPP")</f>
        <v>DESTINATARIO NO CONTESTA LLAMADAS NI WHATSAPP</v>
      </c>
      <c r="AG949" s="65" t="str">
        <f>IFERROR(__xludf.DUMMYFUNCTION("""COMPUTED_VALUE"""),"NO")</f>
        <v>NO</v>
      </c>
      <c r="AH949" s="65" t="str">
        <f>IFERROR(__xludf.DUMMYFUNCTION("""COMPUTED_VALUE"""),"09:00")</f>
        <v>09:00</v>
      </c>
      <c r="AI949" s="65" t="str">
        <f>IFERROR(__xludf.DUMMYFUNCTION("""COMPUTED_VALUE"""),"20-02-2026")</f>
        <v>20-02-2026</v>
      </c>
      <c r="AJ949" s="65"/>
      <c r="AK949" s="65"/>
      <c r="AL949" s="65"/>
      <c r="AM949" s="65"/>
      <c r="AN949" s="65" t="str">
        <f>IFERROR(__xludf.DUMMYFUNCTION("""COMPUTED_VALUE"""),"15:52")</f>
        <v>15:52</v>
      </c>
      <c r="AO949" s="65" t="str">
        <f>IFERROR(__xludf.DUMMYFUNCTION("""COMPUTED_VALUE"""),"02-03-2026")</f>
        <v>02-03-2026</v>
      </c>
      <c r="AP949" s="65" t="str">
        <f>IFERROR(__xludf.DUMMYFUNCTION("""COMPUTED_VALUE"""),"DEVOLUCIÓN ENTREGADA A ORIGEN")</f>
        <v>DEVOLUCIÓN ENTREGADA A ORIGEN</v>
      </c>
      <c r="AQ949" s="65" t="str">
        <f>IFERROR(__xludf.DUMMYFUNCTION("""COMPUTED_VALUE"""),"DEVOLUCIÓN ENTREGADA A ORIGEN")</f>
        <v>DEVOLUCIÓN ENTREGADA A ORIGEN</v>
      </c>
      <c r="AR949" s="65"/>
      <c r="AS949" s="65"/>
      <c r="AT949" s="65" t="str">
        <f>IFERROR(__xludf.DUMMYFUNCTION("""COMPUTED_VALUE"""),"SHOPIFY")</f>
        <v>SHOPIFY</v>
      </c>
      <c r="AU949" s="65" t="str">
        <f>IFERROR(__xludf.DUMMYFUNCTION("""COMPUTED_VALUE"""),"IMPORTEX EC")</f>
        <v>IMPORTEX EC</v>
      </c>
      <c r="AV949" s="65" t="str">
        <f>IFERROR(__xludf.DUMMYFUNCTION("""COMPUTED_VALUE"""),"6488482021420")</f>
        <v>6488482021420</v>
      </c>
      <c r="AW949" s="65">
        <f>IFERROR(__xludf.DUMMYFUNCTION("""COMPUTED_VALUE"""),5989.0)</f>
        <v>5989</v>
      </c>
      <c r="AX949" s="65"/>
      <c r="AY949" s="65" t="str">
        <f>IFERROR(__xludf.DUMMYFUNCTION("""COMPUTED_VALUE"""),"10/02/2026")</f>
        <v>10/02/2026</v>
      </c>
      <c r="AZ949" s="65"/>
      <c r="BA949" s="65"/>
    </row>
    <row r="950">
      <c r="A950" s="65" t="str">
        <f>IFERROR(__xludf.DUMMYFUNCTION("""COMPUTED_VALUE"""),"27-03-2026")</f>
        <v>27-03-2026</v>
      </c>
      <c r="B950" s="65">
        <f>IFERROR(__xludf.DUMMYFUNCTION("""COMPUTED_VALUE"""),4432111.0)</f>
        <v>4432111</v>
      </c>
      <c r="C950" s="65" t="str">
        <f>IFERROR(__xludf.DUMMYFUNCTION("""COMPUTED_VALUE"""),"16:47")</f>
        <v>16:47</v>
      </c>
      <c r="D950" s="65" t="str">
        <f>IFERROR(__xludf.DUMMYFUNCTION("""COMPUTED_VALUE"""),"07-02-2026")</f>
        <v>07-02-2026</v>
      </c>
      <c r="E950" s="65" t="str">
        <f>IFERROR(__xludf.DUMMYFUNCTION("""COMPUTED_VALUE"""),"Sixto Moreno")</f>
        <v>Sixto Moreno</v>
      </c>
      <c r="F950" s="65" t="str">
        <f>IFERROR(__xludf.DUMMYFUNCTION("""COMPUTED_VALUE"""),"997211538")</f>
        <v>997211538</v>
      </c>
      <c r="G950" s="65" t="str">
        <f>IFERROR(__xludf.DUMMYFUNCTION("""COMPUTED_VALUE"""),"s.moreno@gruposxm.com")</f>
        <v>s.moreno@gruposxm.com</v>
      </c>
      <c r="H950" s="65"/>
      <c r="I950" s="65"/>
      <c r="J950" s="65" t="str">
        <f>IFERROR(__xludf.DUMMYFUNCTION("""COMPUTED_VALUE"""),"D001315166")</f>
        <v>D001315166</v>
      </c>
      <c r="K950" s="65" t="str">
        <f>IFERROR(__xludf.DUMMYFUNCTION("""COMPUTED_VALUE"""),"ENTREGADO")</f>
        <v>ENTREGADO</v>
      </c>
      <c r="L950" s="65" t="str">
        <f>IFERROR(__xludf.DUMMYFUNCTION("""COMPUTED_VALUE"""),"CON RECAUDO")</f>
        <v>CON RECAUDO</v>
      </c>
      <c r="M950" s="65" t="str">
        <f>IFERROR(__xludf.DUMMYFUNCTION("""COMPUTED_VALUE"""),"ORELLANA")</f>
        <v>ORELLANA</v>
      </c>
      <c r="N950" s="65" t="str">
        <f>IFERROR(__xludf.DUMMYFUNCTION("""COMPUTED_VALUE"""),"EL COCA")</f>
        <v>EL COCA</v>
      </c>
      <c r="O950" s="65" t="str">
        <f>IFERROR(__xludf.DUMMYFUNCTION("""COMPUTED_VALUE"""),"Lavadora De Carros Lubrimax Av Labaka Y Antonio Cabrera -")</f>
        <v>Lavadora De Carros Lubrimax Av Labaka Y Antonio Cabrera -</v>
      </c>
      <c r="P950" s="65"/>
      <c r="Q950" s="65" t="str">
        <f>IFERROR(__xludf.DUMMYFUNCTION("""COMPUTED_VALUE"""),"GINTRACOM")</f>
        <v>GINTRACOM</v>
      </c>
      <c r="R950" s="65">
        <f>IFERROR(__xludf.DUMMYFUNCTION("""COMPUTED_VALUE"""),22.0)</f>
        <v>22</v>
      </c>
      <c r="S950" s="65">
        <f>IFERROR(__xludf.DUMMYFUNCTION("""COMPUTED_VALUE"""),10.96)</f>
        <v>10.96</v>
      </c>
      <c r="T950" s="65">
        <f>IFERROR(__xludf.DUMMYFUNCTION("""COMPUTED_VALUE"""),5.84)</f>
        <v>5.84</v>
      </c>
      <c r="U950" s="65">
        <f>IFERROR(__xludf.DUMMYFUNCTION("""COMPUTED_VALUE"""),0.0)</f>
        <v>0</v>
      </c>
      <c r="V950" s="65">
        <f>IFERROR(__xludf.DUMMYFUNCTION("""COMPUTED_VALUE"""),0.0)</f>
        <v>0</v>
      </c>
      <c r="W950" s="65">
        <f>IFERROR(__xludf.DUMMYFUNCTION("""COMPUTED_VALUE"""),0.0)</f>
        <v>0</v>
      </c>
      <c r="X950" s="65">
        <f>IFERROR(__xludf.DUMMYFUNCTION("""COMPUTED_VALUE"""),2.6)</f>
        <v>2.6</v>
      </c>
      <c r="Y950" s="65">
        <f>IFERROR(__xludf.DUMMYFUNCTION("""COMPUTED_VALUE"""),5.2)</f>
        <v>5.2</v>
      </c>
      <c r="Z950" s="65">
        <f>IFERROR(__xludf.DUMMYFUNCTION("""COMPUTED_VALUE"""),121983.0)</f>
        <v>121983</v>
      </c>
      <c r="AA950" s="65" t="str">
        <f>IFERROR(__xludf.DUMMYFUNCTION("""COMPUTED_VALUE"""),"PROV-CHLLCF")</f>
        <v>PROV-CHLLCF</v>
      </c>
      <c r="AB950" s="65"/>
      <c r="AC950" s="65" t="str">
        <f>IFERROR(__xludf.DUMMYFUNCTION("""COMPUTED_VALUE"""),"CUCHILLO PARA CHEF")</f>
        <v>CUCHILLO PARA CHEF</v>
      </c>
      <c r="AD950" s="65"/>
      <c r="AE950" s="65">
        <f>IFERROR(__xludf.DUMMYFUNCTION("""COMPUTED_VALUE"""),2.0)</f>
        <v>2</v>
      </c>
      <c r="AF950" s="65"/>
      <c r="AG950" s="65"/>
      <c r="AH950" s="65"/>
      <c r="AI950" s="65"/>
      <c r="AJ950" s="65"/>
      <c r="AK950" s="65"/>
      <c r="AL950" s="65"/>
      <c r="AM950" s="65"/>
      <c r="AN950" s="65" t="str">
        <f>IFERROR(__xludf.DUMMYFUNCTION("""COMPUTED_VALUE"""),"14:09")</f>
        <v>14:09</v>
      </c>
      <c r="AO950" s="65" t="str">
        <f>IFERROR(__xludf.DUMMYFUNCTION("""COMPUTED_VALUE"""),"12-02-2026")</f>
        <v>12-02-2026</v>
      </c>
      <c r="AP950" s="65" t="str">
        <f>IFERROR(__xludf.DUMMYFUNCTION("""COMPUTED_VALUE"""),"ENTREGADA GINTRACOM")</f>
        <v>ENTREGADA GINTRACOM</v>
      </c>
      <c r="AQ950" s="65" t="str">
        <f>IFERROR(__xludf.DUMMYFUNCTION("""COMPUTED_VALUE"""),"ENTREGADA GINTRACOM")</f>
        <v>ENTREGADA GINTRACOM</v>
      </c>
      <c r="AR950" s="65"/>
      <c r="AS950" s="65"/>
      <c r="AT950" s="65" t="str">
        <f>IFERROR(__xludf.DUMMYFUNCTION("""COMPUTED_VALUE"""),"SHOPIFY")</f>
        <v>SHOPIFY</v>
      </c>
      <c r="AU950" s="65" t="str">
        <f>IFERROR(__xludf.DUMMYFUNCTION("""COMPUTED_VALUE"""),"IMPORTEX EC")</f>
        <v>IMPORTEX EC</v>
      </c>
      <c r="AV950" s="65" t="str">
        <f>IFERROR(__xludf.DUMMYFUNCTION("""COMPUTED_VALUE"""),"6483349667884")</f>
        <v>6483349667884</v>
      </c>
      <c r="AW950" s="65">
        <f>IFERROR(__xludf.DUMMYFUNCTION("""COMPUTED_VALUE"""),5894.0)</f>
        <v>5894</v>
      </c>
      <c r="AX950" s="65"/>
      <c r="AY950" s="65" t="str">
        <f>IFERROR(__xludf.DUMMYFUNCTION("""COMPUTED_VALUE"""),"10/02/2026")</f>
        <v>10/02/2026</v>
      </c>
      <c r="AZ950" s="65"/>
      <c r="BA950" s="65"/>
    </row>
    <row r="951">
      <c r="A951" s="65" t="str">
        <f>IFERROR(__xludf.DUMMYFUNCTION("""COMPUTED_VALUE"""),"27-03-2026")</f>
        <v>27-03-2026</v>
      </c>
      <c r="B951" s="65">
        <f>IFERROR(__xludf.DUMMYFUNCTION("""COMPUTED_VALUE"""),4432108.0)</f>
        <v>4432108</v>
      </c>
      <c r="C951" s="65" t="str">
        <f>IFERROR(__xludf.DUMMYFUNCTION("""COMPUTED_VALUE"""),"16:47")</f>
        <v>16:47</v>
      </c>
      <c r="D951" s="65" t="str">
        <f>IFERROR(__xludf.DUMMYFUNCTION("""COMPUTED_VALUE"""),"07-02-2026")</f>
        <v>07-02-2026</v>
      </c>
      <c r="E951" s="65" t="str">
        <f>IFERROR(__xludf.DUMMYFUNCTION("""COMPUTED_VALUE"""),"Alexandra Macias")</f>
        <v>Alexandra Macias</v>
      </c>
      <c r="F951" s="65" t="str">
        <f>IFERROR(__xludf.DUMMYFUNCTION("""COMPUTED_VALUE"""),"998194399")</f>
        <v>998194399</v>
      </c>
      <c r="G951" s="65" t="str">
        <f>IFERROR(__xludf.DUMMYFUNCTION("""COMPUTED_VALUE"""),"lexie.macias1@gmail.com")</f>
        <v>lexie.macias1@gmail.com</v>
      </c>
      <c r="H951" s="65"/>
      <c r="I951" s="65"/>
      <c r="J951" s="65" t="str">
        <f>IFERROR(__xludf.DUMMYFUNCTION("""COMPUTED_VALUE"""),"D001313019")</f>
        <v>D001313019</v>
      </c>
      <c r="K951" s="65" t="str">
        <f>IFERROR(__xludf.DUMMYFUNCTION("""COMPUTED_VALUE"""),"ENTREGADO")</f>
        <v>ENTREGADO</v>
      </c>
      <c r="L951" s="65" t="str">
        <f>IFERROR(__xludf.DUMMYFUNCTION("""COMPUTED_VALUE"""),"CON RECAUDO")</f>
        <v>CON RECAUDO</v>
      </c>
      <c r="M951" s="65" t="str">
        <f>IFERROR(__xludf.DUMMYFUNCTION("""COMPUTED_VALUE"""),"GUAYAS")</f>
        <v>GUAYAS</v>
      </c>
      <c r="N951" s="65" t="str">
        <f>IFERROR(__xludf.DUMMYFUNCTION("""COMPUTED_VALUE"""),"GUAYAQUIL")</f>
        <v>GUAYAQUIL</v>
      </c>
      <c r="O951" s="65" t="str">
        <f>IFERROR(__xludf.DUMMYFUNCTION("""COMPUTED_VALUE"""),"9 de octubre 100 y malecon edificio la previsora piso 24 oficina 2401 Centro -")</f>
        <v>9 de octubre 100 y malecon edificio la previsora piso 24 oficina 2401 Centro -</v>
      </c>
      <c r="P951" s="65"/>
      <c r="Q951" s="65" t="str">
        <f>IFERROR(__xludf.DUMMYFUNCTION("""COMPUTED_VALUE"""),"GINTRACOM")</f>
        <v>GINTRACOM</v>
      </c>
      <c r="R951" s="65">
        <f>IFERROR(__xludf.DUMMYFUNCTION("""COMPUTED_VALUE"""),25.0)</f>
        <v>25</v>
      </c>
      <c r="S951" s="65">
        <f>IFERROR(__xludf.DUMMYFUNCTION("""COMPUTED_VALUE"""),16.25)</f>
        <v>16.25</v>
      </c>
      <c r="T951" s="65">
        <f>IFERROR(__xludf.DUMMYFUNCTION("""COMPUTED_VALUE"""),4.35)</f>
        <v>4.35</v>
      </c>
      <c r="U951" s="65">
        <f>IFERROR(__xludf.DUMMYFUNCTION("""COMPUTED_VALUE"""),0.0)</f>
        <v>0</v>
      </c>
      <c r="V951" s="65">
        <f>IFERROR(__xludf.DUMMYFUNCTION("""COMPUTED_VALUE"""),0.0)</f>
        <v>0</v>
      </c>
      <c r="W951" s="65">
        <f>IFERROR(__xludf.DUMMYFUNCTION("""COMPUTED_VALUE"""),0.0)</f>
        <v>0</v>
      </c>
      <c r="X951" s="65">
        <f>IFERROR(__xludf.DUMMYFUNCTION("""COMPUTED_VALUE"""),2.2)</f>
        <v>2.2</v>
      </c>
      <c r="Y951" s="65">
        <f>IFERROR(__xludf.DUMMYFUNCTION("""COMPUTED_VALUE"""),4.4)</f>
        <v>4.4</v>
      </c>
      <c r="Z951" s="65">
        <f>IFERROR(__xludf.DUMMYFUNCTION("""COMPUTED_VALUE"""),111894.0)</f>
        <v>111894</v>
      </c>
      <c r="AA951" s="65" t="str">
        <f>IFERROR(__xludf.DUMMYFUNCTION("""COMPUTED_VALUE"""),"LYIC5M40067")</f>
        <v>LYIC5M40067</v>
      </c>
      <c r="AB951" s="65"/>
      <c r="AC951" s="65" t="str">
        <f>IFERROR(__xludf.DUMMYFUNCTION("""COMPUTED_VALUE"""),"Limpiador de Parabrisas y Ventanas")</f>
        <v>Limpiador de Parabrisas y Ventanas</v>
      </c>
      <c r="AD951" s="65"/>
      <c r="AE951" s="65">
        <f>IFERROR(__xludf.DUMMYFUNCTION("""COMPUTED_VALUE"""),2.0)</f>
        <v>2</v>
      </c>
      <c r="AF951" s="65"/>
      <c r="AG951" s="65"/>
      <c r="AH951" s="65"/>
      <c r="AI951" s="65"/>
      <c r="AJ951" s="65"/>
      <c r="AK951" s="65"/>
      <c r="AL951" s="65"/>
      <c r="AM951" s="65"/>
      <c r="AN951" s="65" t="str">
        <f>IFERROR(__xludf.DUMMYFUNCTION("""COMPUTED_VALUE"""),"15:40")</f>
        <v>15:40</v>
      </c>
      <c r="AO951" s="65" t="str">
        <f>IFERROR(__xludf.DUMMYFUNCTION("""COMPUTED_VALUE"""),"11-02-2026")</f>
        <v>11-02-2026</v>
      </c>
      <c r="AP951" s="65" t="str">
        <f>IFERROR(__xludf.DUMMYFUNCTION("""COMPUTED_VALUE"""),"ENTREGADA GINTRACOM")</f>
        <v>ENTREGADA GINTRACOM</v>
      </c>
      <c r="AQ951" s="65" t="str">
        <f>IFERROR(__xludf.DUMMYFUNCTION("""COMPUTED_VALUE"""),"ENTREGADA GINTRACOM")</f>
        <v>ENTREGADA GINTRACOM</v>
      </c>
      <c r="AR951" s="65"/>
      <c r="AS951" s="65"/>
      <c r="AT951" s="65" t="str">
        <f>IFERROR(__xludf.DUMMYFUNCTION("""COMPUTED_VALUE"""),"SHOPIFY")</f>
        <v>SHOPIFY</v>
      </c>
      <c r="AU951" s="65" t="str">
        <f>IFERROR(__xludf.DUMMYFUNCTION("""COMPUTED_VALUE"""),"IMPORTEX EC")</f>
        <v>IMPORTEX EC</v>
      </c>
      <c r="AV951" s="65" t="str">
        <f>IFERROR(__xludf.DUMMYFUNCTION("""COMPUTED_VALUE"""),"6483377618988")</f>
        <v>6483377618988</v>
      </c>
      <c r="AW951" s="65">
        <f>IFERROR(__xludf.DUMMYFUNCTION("""COMPUTED_VALUE"""),5895.0)</f>
        <v>5895</v>
      </c>
      <c r="AX951" s="65"/>
      <c r="AY951" s="65" t="str">
        <f>IFERROR(__xludf.DUMMYFUNCTION("""COMPUTED_VALUE"""),"09/02/2026")</f>
        <v>09/02/2026</v>
      </c>
      <c r="AZ951" s="65"/>
      <c r="BA951" s="65"/>
    </row>
    <row r="952">
      <c r="A952" s="65" t="str">
        <f>IFERROR(__xludf.DUMMYFUNCTION("""COMPUTED_VALUE"""),"27-03-2026")</f>
        <v>27-03-2026</v>
      </c>
      <c r="B952" s="65">
        <f>IFERROR(__xludf.DUMMYFUNCTION("""COMPUTED_VALUE"""),4432106.0)</f>
        <v>4432106</v>
      </c>
      <c r="C952" s="65" t="str">
        <f>IFERROR(__xludf.DUMMYFUNCTION("""COMPUTED_VALUE"""),"16:47")</f>
        <v>16:47</v>
      </c>
      <c r="D952" s="65" t="str">
        <f>IFERROR(__xludf.DUMMYFUNCTION("""COMPUTED_VALUE"""),"07-02-2026")</f>
        <v>07-02-2026</v>
      </c>
      <c r="E952" s="65" t="str">
        <f>IFERROR(__xludf.DUMMYFUNCTION("""COMPUTED_VALUE"""),"Juan Villa")</f>
        <v>Juan Villa</v>
      </c>
      <c r="F952" s="65" t="str">
        <f>IFERROR(__xludf.DUMMYFUNCTION("""COMPUTED_VALUE"""),"960242339")</f>
        <v>960242339</v>
      </c>
      <c r="G952" s="65" t="str">
        <f>IFERROR(__xludf.DUMMYFUNCTION("""COMPUTED_VALUE"""),"jcvilla_72@yahoo.com")</f>
        <v>jcvilla_72@yahoo.com</v>
      </c>
      <c r="H952" s="65"/>
      <c r="I952" s="65"/>
      <c r="J952" s="65" t="str">
        <f>IFERROR(__xludf.DUMMYFUNCTION("""COMPUTED_VALUE"""),"D001313020")</f>
        <v>D001313020</v>
      </c>
      <c r="K952" s="65" t="str">
        <f>IFERROR(__xludf.DUMMYFUNCTION("""COMPUTED_VALUE"""),"ENTREGADO")</f>
        <v>ENTREGADO</v>
      </c>
      <c r="L952" s="65" t="str">
        <f>IFERROR(__xludf.DUMMYFUNCTION("""COMPUTED_VALUE"""),"CON RECAUDO")</f>
        <v>CON RECAUDO</v>
      </c>
      <c r="M952" s="65" t="str">
        <f>IFERROR(__xludf.DUMMYFUNCTION("""COMPUTED_VALUE"""),"IMBABURA")</f>
        <v>IMBABURA</v>
      </c>
      <c r="N952" s="65" t="str">
        <f>IFERROR(__xludf.DUMMYFUNCTION("""COMPUTED_VALUE"""),"OTAVALO")</f>
        <v>OTAVALO</v>
      </c>
      <c r="O952" s="65" t="str">
        <f>IFERROR(__xludf.DUMMYFUNCTION("""COMPUTED_VALUE"""),"Salinas 405 entre Bolívar y Sucre Plaza ponchos - A 80m de la Plaza de Ponchos")</f>
        <v>Salinas 405 entre Bolívar y Sucre Plaza ponchos - A 80m de la Plaza de Ponchos</v>
      </c>
      <c r="P952" s="65"/>
      <c r="Q952" s="65" t="str">
        <f>IFERROR(__xludf.DUMMYFUNCTION("""COMPUTED_VALUE"""),"GINTRACOM")</f>
        <v>GINTRACOM</v>
      </c>
      <c r="R952" s="65">
        <f>IFERROR(__xludf.DUMMYFUNCTION("""COMPUTED_VALUE"""),30.0)</f>
        <v>30</v>
      </c>
      <c r="S952" s="65">
        <f>IFERROR(__xludf.DUMMYFUNCTION("""COMPUTED_VALUE"""),17.24)</f>
        <v>17.24</v>
      </c>
      <c r="T952" s="65">
        <f>IFERROR(__xludf.DUMMYFUNCTION("""COMPUTED_VALUE"""),6.16)</f>
        <v>6.16</v>
      </c>
      <c r="U952" s="65">
        <f>IFERROR(__xludf.DUMMYFUNCTION("""COMPUTED_VALUE"""),0.0)</f>
        <v>0</v>
      </c>
      <c r="V952" s="65">
        <f>IFERROR(__xludf.DUMMYFUNCTION("""COMPUTED_VALUE"""),0.0)</f>
        <v>0</v>
      </c>
      <c r="W952" s="65">
        <f>IFERROR(__xludf.DUMMYFUNCTION("""COMPUTED_VALUE"""),0.0)</f>
        <v>0</v>
      </c>
      <c r="X952" s="65">
        <f>IFERROR(__xludf.DUMMYFUNCTION("""COMPUTED_VALUE"""),2.2)</f>
        <v>2.2</v>
      </c>
      <c r="Y952" s="65">
        <f>IFERROR(__xludf.DUMMYFUNCTION("""COMPUTED_VALUE"""),6.6)</f>
        <v>6.6</v>
      </c>
      <c r="Z952" s="65">
        <f>IFERROR(__xludf.DUMMYFUNCTION("""COMPUTED_VALUE"""),111894.0)</f>
        <v>111894</v>
      </c>
      <c r="AA952" s="65" t="str">
        <f>IFERROR(__xludf.DUMMYFUNCTION("""COMPUTED_VALUE"""),"LYIC5M40067")</f>
        <v>LYIC5M40067</v>
      </c>
      <c r="AB952" s="65"/>
      <c r="AC952" s="65" t="str">
        <f>IFERROR(__xludf.DUMMYFUNCTION("""COMPUTED_VALUE"""),"Limpiador de Parabrisas y Ventanas")</f>
        <v>Limpiador de Parabrisas y Ventanas</v>
      </c>
      <c r="AD952" s="65"/>
      <c r="AE952" s="65">
        <f>IFERROR(__xludf.DUMMYFUNCTION("""COMPUTED_VALUE"""),3.0)</f>
        <v>3</v>
      </c>
      <c r="AF952" s="65"/>
      <c r="AG952" s="65"/>
      <c r="AH952" s="65"/>
      <c r="AI952" s="65"/>
      <c r="AJ952" s="65"/>
      <c r="AK952" s="65"/>
      <c r="AL952" s="65"/>
      <c r="AM952" s="65"/>
      <c r="AN952" s="65" t="str">
        <f>IFERROR(__xludf.DUMMYFUNCTION("""COMPUTED_VALUE"""),"14:54")</f>
        <v>14:54</v>
      </c>
      <c r="AO952" s="65" t="str">
        <f>IFERROR(__xludf.DUMMYFUNCTION("""COMPUTED_VALUE"""),"11-02-2026")</f>
        <v>11-02-2026</v>
      </c>
      <c r="AP952" s="65" t="str">
        <f>IFERROR(__xludf.DUMMYFUNCTION("""COMPUTED_VALUE"""),"ENTREGADA GINTRACOM")</f>
        <v>ENTREGADA GINTRACOM</v>
      </c>
      <c r="AQ952" s="65" t="str">
        <f>IFERROR(__xludf.DUMMYFUNCTION("""COMPUTED_VALUE"""),"ENTREGADA GINTRACOM")</f>
        <v>ENTREGADA GINTRACOM</v>
      </c>
      <c r="AR952" s="65"/>
      <c r="AS952" s="65"/>
      <c r="AT952" s="65" t="str">
        <f>IFERROR(__xludf.DUMMYFUNCTION("""COMPUTED_VALUE"""),"SHOPIFY")</f>
        <v>SHOPIFY</v>
      </c>
      <c r="AU952" s="65" t="str">
        <f>IFERROR(__xludf.DUMMYFUNCTION("""COMPUTED_VALUE"""),"IMPORTEX EC")</f>
        <v>IMPORTEX EC</v>
      </c>
      <c r="AV952" s="65" t="str">
        <f>IFERROR(__xludf.DUMMYFUNCTION("""COMPUTED_VALUE"""),"6483391119404")</f>
        <v>6483391119404</v>
      </c>
      <c r="AW952" s="65">
        <f>IFERROR(__xludf.DUMMYFUNCTION("""COMPUTED_VALUE"""),5896.0)</f>
        <v>5896</v>
      </c>
      <c r="AX952" s="65"/>
      <c r="AY952" s="65" t="str">
        <f>IFERROR(__xludf.DUMMYFUNCTION("""COMPUTED_VALUE"""),"09/02/2026")</f>
        <v>09/02/2026</v>
      </c>
      <c r="AZ952" s="65"/>
      <c r="BA952" s="65"/>
    </row>
    <row r="953">
      <c r="A953" s="65" t="str">
        <f>IFERROR(__xludf.DUMMYFUNCTION("""COMPUTED_VALUE"""),"27-03-2026")</f>
        <v>27-03-2026</v>
      </c>
      <c r="B953" s="65">
        <f>IFERROR(__xludf.DUMMYFUNCTION("""COMPUTED_VALUE"""),4432104.0)</f>
        <v>4432104</v>
      </c>
      <c r="C953" s="65" t="str">
        <f>IFERROR(__xludf.DUMMYFUNCTION("""COMPUTED_VALUE"""),"16:47")</f>
        <v>16:47</v>
      </c>
      <c r="D953" s="65" t="str">
        <f>IFERROR(__xludf.DUMMYFUNCTION("""COMPUTED_VALUE"""),"07-02-2026")</f>
        <v>07-02-2026</v>
      </c>
      <c r="E953" s="65" t="str">
        <f>IFERROR(__xludf.DUMMYFUNCTION("""COMPUTED_VALUE"""),"Edgar Cilo Fernández Piza")</f>
        <v>Edgar Cilo Fernández Piza</v>
      </c>
      <c r="F953" s="65" t="str">
        <f>IFERROR(__xludf.DUMMYFUNCTION("""COMPUTED_VALUE"""),"993805428")</f>
        <v>993805428</v>
      </c>
      <c r="G953" s="65" t="str">
        <f>IFERROR(__xludf.DUMMYFUNCTION("""COMPUTED_VALUE"""),"edgarfer_73_@hotmail.com")</f>
        <v>edgarfer_73_@hotmail.com</v>
      </c>
      <c r="H953" s="65"/>
      <c r="I953" s="65"/>
      <c r="J953" s="65" t="str">
        <f>IFERROR(__xludf.DUMMYFUNCTION("""COMPUTED_VALUE"""),"D001315167")</f>
        <v>D001315167</v>
      </c>
      <c r="K953" s="65" t="str">
        <f>IFERROR(__xludf.DUMMYFUNCTION("""COMPUTED_VALUE"""),"ENTREGADO")</f>
        <v>ENTREGADO</v>
      </c>
      <c r="L953" s="65" t="str">
        <f>IFERROR(__xludf.DUMMYFUNCTION("""COMPUTED_VALUE"""),"CON RECAUDO")</f>
        <v>CON RECAUDO</v>
      </c>
      <c r="M953" s="65" t="str">
        <f>IFERROR(__xludf.DUMMYFUNCTION("""COMPUTED_VALUE"""),"MANABI")</f>
        <v>MANABI</v>
      </c>
      <c r="N953" s="65" t="str">
        <f>IFERROR(__xludf.DUMMYFUNCTION("""COMPUTED_VALUE"""),"EL CARMEN")</f>
        <v>EL CARMEN</v>
      </c>
      <c r="O953" s="65" t="str">
        <f>IFERROR(__xludf.DUMMYFUNCTION("""COMPUTED_VALUE"""),"En la calle 12 de octubre y betania- Alado de bodega de gas,")</f>
        <v>En la calle 12 de octubre y betania- Alado de bodega de gas,</v>
      </c>
      <c r="P953" s="65"/>
      <c r="Q953" s="65" t="str">
        <f>IFERROR(__xludf.DUMMYFUNCTION("""COMPUTED_VALUE"""),"GINTRACOM")</f>
        <v>GINTRACOM</v>
      </c>
      <c r="R953" s="65">
        <f>IFERROR(__xludf.DUMMYFUNCTION("""COMPUTED_VALUE"""),27.0)</f>
        <v>27</v>
      </c>
      <c r="S953" s="65">
        <f>IFERROR(__xludf.DUMMYFUNCTION("""COMPUTED_VALUE"""),13.17)</f>
        <v>13.17</v>
      </c>
      <c r="T953" s="65">
        <f>IFERROR(__xludf.DUMMYFUNCTION("""COMPUTED_VALUE"""),6.03)</f>
        <v>6.03</v>
      </c>
      <c r="U953" s="65">
        <f>IFERROR(__xludf.DUMMYFUNCTION("""COMPUTED_VALUE"""),0.0)</f>
        <v>0</v>
      </c>
      <c r="V953" s="65">
        <f>IFERROR(__xludf.DUMMYFUNCTION("""COMPUTED_VALUE"""),0.0)</f>
        <v>0</v>
      </c>
      <c r="W953" s="65">
        <f>IFERROR(__xludf.DUMMYFUNCTION("""COMPUTED_VALUE"""),0.0)</f>
        <v>0</v>
      </c>
      <c r="X953" s="65">
        <f>IFERROR(__xludf.DUMMYFUNCTION("""COMPUTED_VALUE"""),2.6)</f>
        <v>2.6</v>
      </c>
      <c r="Y953" s="65">
        <f>IFERROR(__xludf.DUMMYFUNCTION("""COMPUTED_VALUE"""),7.8)</f>
        <v>7.8</v>
      </c>
      <c r="Z953" s="65">
        <f>IFERROR(__xludf.DUMMYFUNCTION("""COMPUTED_VALUE"""),121983.0)</f>
        <v>121983</v>
      </c>
      <c r="AA953" s="65" t="str">
        <f>IFERROR(__xludf.DUMMYFUNCTION("""COMPUTED_VALUE"""),"PROV-CHLLCF")</f>
        <v>PROV-CHLLCF</v>
      </c>
      <c r="AB953" s="65"/>
      <c r="AC953" s="65" t="str">
        <f>IFERROR(__xludf.DUMMYFUNCTION("""COMPUTED_VALUE"""),"CUCHILLO PARA CHEF")</f>
        <v>CUCHILLO PARA CHEF</v>
      </c>
      <c r="AD953" s="65"/>
      <c r="AE953" s="65">
        <f>IFERROR(__xludf.DUMMYFUNCTION("""COMPUTED_VALUE"""),3.0)</f>
        <v>3</v>
      </c>
      <c r="AF953" s="65"/>
      <c r="AG953" s="65"/>
      <c r="AH953" s="65"/>
      <c r="AI953" s="65"/>
      <c r="AJ953" s="65"/>
      <c r="AK953" s="65"/>
      <c r="AL953" s="65"/>
      <c r="AM953" s="65"/>
      <c r="AN953" s="65" t="str">
        <f>IFERROR(__xludf.DUMMYFUNCTION("""COMPUTED_VALUE"""),"11:07")</f>
        <v>11:07</v>
      </c>
      <c r="AO953" s="65" t="str">
        <f>IFERROR(__xludf.DUMMYFUNCTION("""COMPUTED_VALUE"""),"19-02-2026")</f>
        <v>19-02-2026</v>
      </c>
      <c r="AP953" s="65" t="str">
        <f>IFERROR(__xludf.DUMMYFUNCTION("""COMPUTED_VALUE"""),"ENTREGADA GINTRACOM")</f>
        <v>ENTREGADA GINTRACOM</v>
      </c>
      <c r="AQ953" s="65" t="str">
        <f>IFERROR(__xludf.DUMMYFUNCTION("""COMPUTED_VALUE"""),"ENTREGADA GINTRACOM")</f>
        <v>ENTREGADA GINTRACOM</v>
      </c>
      <c r="AR953" s="65"/>
      <c r="AS953" s="65"/>
      <c r="AT953" s="65" t="str">
        <f>IFERROR(__xludf.DUMMYFUNCTION("""COMPUTED_VALUE"""),"SHOPIFY")</f>
        <v>SHOPIFY</v>
      </c>
      <c r="AU953" s="65" t="str">
        <f>IFERROR(__xludf.DUMMYFUNCTION("""COMPUTED_VALUE"""),"IMPORTEX EC")</f>
        <v>IMPORTEX EC</v>
      </c>
      <c r="AV953" s="65" t="str">
        <f>IFERROR(__xludf.DUMMYFUNCTION("""COMPUTED_VALUE"""),"6483407962156")</f>
        <v>6483407962156</v>
      </c>
      <c r="AW953" s="65">
        <f>IFERROR(__xludf.DUMMYFUNCTION("""COMPUTED_VALUE"""),5897.0)</f>
        <v>5897</v>
      </c>
      <c r="AX953" s="65"/>
      <c r="AY953" s="65" t="str">
        <f>IFERROR(__xludf.DUMMYFUNCTION("""COMPUTED_VALUE"""),"10/02/2026")</f>
        <v>10/02/2026</v>
      </c>
      <c r="AZ953" s="65"/>
      <c r="BA953" s="65"/>
    </row>
    <row r="954">
      <c r="A954" s="65" t="str">
        <f>IFERROR(__xludf.DUMMYFUNCTION("""COMPUTED_VALUE"""),"27-03-2026")</f>
        <v>27-03-2026</v>
      </c>
      <c r="B954" s="65">
        <f>IFERROR(__xludf.DUMMYFUNCTION("""COMPUTED_VALUE"""),4432102.0)</f>
        <v>4432102</v>
      </c>
      <c r="C954" s="65" t="str">
        <f>IFERROR(__xludf.DUMMYFUNCTION("""COMPUTED_VALUE"""),"16:47")</f>
        <v>16:47</v>
      </c>
      <c r="D954" s="65" t="str">
        <f>IFERROR(__xludf.DUMMYFUNCTION("""COMPUTED_VALUE"""),"07-02-2026")</f>
        <v>07-02-2026</v>
      </c>
      <c r="E954" s="65" t="str">
        <f>IFERROR(__xludf.DUMMYFUNCTION("""COMPUTED_VALUE"""),"Efrain Bajaña")</f>
        <v>Efrain Bajaña</v>
      </c>
      <c r="F954" s="65" t="str">
        <f>IFERROR(__xludf.DUMMYFUNCTION("""COMPUTED_VALUE"""),"994291189")</f>
        <v>994291189</v>
      </c>
      <c r="G954" s="65" t="str">
        <f>IFERROR(__xludf.DUMMYFUNCTION("""COMPUTED_VALUE"""),"efrain.bajana@hotmail.com")</f>
        <v>efrain.bajana@hotmail.com</v>
      </c>
      <c r="H954" s="65"/>
      <c r="I954" s="65"/>
      <c r="J954" s="65" t="str">
        <f>IFERROR(__xludf.DUMMYFUNCTION("""COMPUTED_VALUE"""),"LC52831532")</f>
        <v>LC52831532</v>
      </c>
      <c r="K954" s="65" t="str">
        <f>IFERROR(__xludf.DUMMYFUNCTION("""COMPUTED_VALUE"""),"ENTREGADO")</f>
        <v>ENTREGADO</v>
      </c>
      <c r="L954" s="65" t="str">
        <f>IFERROR(__xludf.DUMMYFUNCTION("""COMPUTED_VALUE"""),"CON RECAUDO")</f>
        <v>CON RECAUDO</v>
      </c>
      <c r="M954" s="65" t="str">
        <f>IFERROR(__xludf.DUMMYFUNCTION("""COMPUTED_VALUE"""),"LOS RIOS")</f>
        <v>LOS RIOS</v>
      </c>
      <c r="N954" s="65" t="str">
        <f>IFERROR(__xludf.DUMMYFUNCTION("""COMPUTED_VALUE"""),"SAN CAMILO")</f>
        <v>SAN CAMILO</v>
      </c>
      <c r="O954" s="65" t="str">
        <f>IFERROR(__xludf.DUMMYFUNCTION("""COMPUTED_VALUE"""),"Camilo arevalo 211 y juan montalvo San camilo -")</f>
        <v>Camilo arevalo 211 y juan montalvo San camilo -</v>
      </c>
      <c r="P954" s="65"/>
      <c r="Q954" s="65" t="str">
        <f>IFERROR(__xludf.DUMMYFUNCTION("""COMPUTED_VALUE"""),"LAARCOURIER")</f>
        <v>LAARCOURIER</v>
      </c>
      <c r="R954" s="65">
        <f>IFERROR(__xludf.DUMMYFUNCTION("""COMPUTED_VALUE"""),30.0)</f>
        <v>30</v>
      </c>
      <c r="S954" s="65">
        <f>IFERROR(__xludf.DUMMYFUNCTION("""COMPUTED_VALUE"""),15.92)</f>
        <v>15.92</v>
      </c>
      <c r="T954" s="65">
        <f>IFERROR(__xludf.DUMMYFUNCTION("""COMPUTED_VALUE"""),7.48)</f>
        <v>7.48</v>
      </c>
      <c r="U954" s="65">
        <f>IFERROR(__xludf.DUMMYFUNCTION("""COMPUTED_VALUE"""),0.0)</f>
        <v>0</v>
      </c>
      <c r="V954" s="65">
        <f>IFERROR(__xludf.DUMMYFUNCTION("""COMPUTED_VALUE"""),0.0)</f>
        <v>0</v>
      </c>
      <c r="W954" s="65">
        <f>IFERROR(__xludf.DUMMYFUNCTION("""COMPUTED_VALUE"""),0.0)</f>
        <v>0</v>
      </c>
      <c r="X954" s="65">
        <f>IFERROR(__xludf.DUMMYFUNCTION("""COMPUTED_VALUE"""),2.2)</f>
        <v>2.2</v>
      </c>
      <c r="Y954" s="65">
        <f>IFERROR(__xludf.DUMMYFUNCTION("""COMPUTED_VALUE"""),6.6)</f>
        <v>6.6</v>
      </c>
      <c r="Z954" s="65">
        <f>IFERROR(__xludf.DUMMYFUNCTION("""COMPUTED_VALUE"""),111894.0)</f>
        <v>111894</v>
      </c>
      <c r="AA954" s="65" t="str">
        <f>IFERROR(__xludf.DUMMYFUNCTION("""COMPUTED_VALUE"""),"LYIC5M40067")</f>
        <v>LYIC5M40067</v>
      </c>
      <c r="AB954" s="65"/>
      <c r="AC954" s="65" t="str">
        <f>IFERROR(__xludf.DUMMYFUNCTION("""COMPUTED_VALUE"""),"Limpiador de Parabrisas y Ventanas")</f>
        <v>Limpiador de Parabrisas y Ventanas</v>
      </c>
      <c r="AD954" s="65"/>
      <c r="AE954" s="65">
        <f>IFERROR(__xludf.DUMMYFUNCTION("""COMPUTED_VALUE"""),3.0)</f>
        <v>3</v>
      </c>
      <c r="AF954" s="65"/>
      <c r="AG954" s="65"/>
      <c r="AH954" s="65"/>
      <c r="AI954" s="65"/>
      <c r="AJ954" s="65"/>
      <c r="AK954" s="65"/>
      <c r="AL954" s="65"/>
      <c r="AM954" s="65"/>
      <c r="AN954" s="65" t="str">
        <f>IFERROR(__xludf.DUMMYFUNCTION("""COMPUTED_VALUE"""),"16:48")</f>
        <v>16:48</v>
      </c>
      <c r="AO954" s="65" t="str">
        <f>IFERROR(__xludf.DUMMYFUNCTION("""COMPUTED_VALUE"""),"11-02-2026")</f>
        <v>11-02-2026</v>
      </c>
      <c r="AP954" s="65" t="str">
        <f>IFERROR(__xludf.DUMMYFUNCTION("""COMPUTED_VALUE"""),"ENTREGADO")</f>
        <v>ENTREGADO</v>
      </c>
      <c r="AQ954" s="65" t="str">
        <f>IFERROR(__xludf.DUMMYFUNCTION("""COMPUTED_VALUE"""),"ENTREGADO")</f>
        <v>ENTREGADO</v>
      </c>
      <c r="AR954" s="65"/>
      <c r="AS954" s="65"/>
      <c r="AT954" s="65" t="str">
        <f>IFERROR(__xludf.DUMMYFUNCTION("""COMPUTED_VALUE"""),"SHOPIFY")</f>
        <v>SHOPIFY</v>
      </c>
      <c r="AU954" s="65" t="str">
        <f>IFERROR(__xludf.DUMMYFUNCTION("""COMPUTED_VALUE"""),"IMPORTEX EC")</f>
        <v>IMPORTEX EC</v>
      </c>
      <c r="AV954" s="65" t="str">
        <f>IFERROR(__xludf.DUMMYFUNCTION("""COMPUTED_VALUE"""),"6483425427500")</f>
        <v>6483425427500</v>
      </c>
      <c r="AW954" s="65">
        <f>IFERROR(__xludf.DUMMYFUNCTION("""COMPUTED_VALUE"""),5898.0)</f>
        <v>5898</v>
      </c>
      <c r="AX954" s="65"/>
      <c r="AY954" s="65" t="str">
        <f>IFERROR(__xludf.DUMMYFUNCTION("""COMPUTED_VALUE"""),"09/02/2026")</f>
        <v>09/02/2026</v>
      </c>
      <c r="AZ954" s="65"/>
      <c r="BA954" s="65"/>
    </row>
    <row r="955">
      <c r="A955" s="65" t="str">
        <f>IFERROR(__xludf.DUMMYFUNCTION("""COMPUTED_VALUE"""),"27-03-2026")</f>
        <v>27-03-2026</v>
      </c>
      <c r="B955" s="65">
        <f>IFERROR(__xludf.DUMMYFUNCTION("""COMPUTED_VALUE"""),4432100.0)</f>
        <v>4432100</v>
      </c>
      <c r="C955" s="65" t="str">
        <f>IFERROR(__xludf.DUMMYFUNCTION("""COMPUTED_VALUE"""),"16:47")</f>
        <v>16:47</v>
      </c>
      <c r="D955" s="65" t="str">
        <f>IFERROR(__xludf.DUMMYFUNCTION("""COMPUTED_VALUE"""),"07-02-2026")</f>
        <v>07-02-2026</v>
      </c>
      <c r="E955" s="65" t="str">
        <f>IFERROR(__xludf.DUMMYFUNCTION("""COMPUTED_VALUE"""),"Jimena Rojas")</f>
        <v>Jimena Rojas</v>
      </c>
      <c r="F955" s="65" t="str">
        <f>IFERROR(__xludf.DUMMYFUNCTION("""COMPUTED_VALUE"""),"996170780")</f>
        <v>996170780</v>
      </c>
      <c r="G955" s="65" t="str">
        <f>IFERROR(__xludf.DUMMYFUNCTION("""COMPUTED_VALUE"""),"gabrielarojasvalle@gmail.com")</f>
        <v>gabrielarojasvalle@gmail.com</v>
      </c>
      <c r="H955" s="65"/>
      <c r="I955" s="65"/>
      <c r="J955" s="65" t="str">
        <f>IFERROR(__xludf.DUMMYFUNCTION("""COMPUTED_VALUE"""),"D001313021")</f>
        <v>D001313021</v>
      </c>
      <c r="K955" s="65" t="str">
        <f>IFERROR(__xludf.DUMMYFUNCTION("""COMPUTED_VALUE"""),"ENTREGADO")</f>
        <v>ENTREGADO</v>
      </c>
      <c r="L955" s="65" t="str">
        <f>IFERROR(__xludf.DUMMYFUNCTION("""COMPUTED_VALUE"""),"CON RECAUDO")</f>
        <v>CON RECAUDO</v>
      </c>
      <c r="M955" s="65" t="str">
        <f>IFERROR(__xludf.DUMMYFUNCTION("""COMPUTED_VALUE"""),"PASTAZA")</f>
        <v>PASTAZA</v>
      </c>
      <c r="N955" s="65" t="str">
        <f>IFERROR(__xludf.DUMMYFUNCTION("""COMPUTED_VALUE"""),"PUYO")</f>
        <v>PUYO</v>
      </c>
      <c r="O955" s="65" t="str">
        <f>IFERROR(__xludf.DUMMYFUNCTION("""COMPUTED_VALUE"""),"Calles Luis Molina Celi y Augusto Naranjo frente al parque lineal")</f>
        <v>Calles Luis Molina Celi y Augusto Naranjo frente al parque lineal</v>
      </c>
      <c r="P955" s="65"/>
      <c r="Q955" s="65" t="str">
        <f>IFERROR(__xludf.DUMMYFUNCTION("""COMPUTED_VALUE"""),"GINTRACOM")</f>
        <v>GINTRACOM</v>
      </c>
      <c r="R955" s="65">
        <f>IFERROR(__xludf.DUMMYFUNCTION("""COMPUTED_VALUE"""),20.0)</f>
        <v>20</v>
      </c>
      <c r="S955" s="65">
        <f>IFERROR(__xludf.DUMMYFUNCTION("""COMPUTED_VALUE"""),12.04)</f>
        <v>12.04</v>
      </c>
      <c r="T955" s="65">
        <f>IFERROR(__xludf.DUMMYFUNCTION("""COMPUTED_VALUE"""),5.76)</f>
        <v>5.76</v>
      </c>
      <c r="U955" s="65">
        <f>IFERROR(__xludf.DUMMYFUNCTION("""COMPUTED_VALUE"""),0.0)</f>
        <v>0</v>
      </c>
      <c r="V955" s="65">
        <f>IFERROR(__xludf.DUMMYFUNCTION("""COMPUTED_VALUE"""),0.0)</f>
        <v>0</v>
      </c>
      <c r="W955" s="65">
        <f>IFERROR(__xludf.DUMMYFUNCTION("""COMPUTED_VALUE"""),0.0)</f>
        <v>0</v>
      </c>
      <c r="X955" s="65">
        <f>IFERROR(__xludf.DUMMYFUNCTION("""COMPUTED_VALUE"""),2.2)</f>
        <v>2.2</v>
      </c>
      <c r="Y955" s="65">
        <f>IFERROR(__xludf.DUMMYFUNCTION("""COMPUTED_VALUE"""),2.2)</f>
        <v>2.2</v>
      </c>
      <c r="Z955" s="65">
        <f>IFERROR(__xludf.DUMMYFUNCTION("""COMPUTED_VALUE"""),111894.0)</f>
        <v>111894</v>
      </c>
      <c r="AA955" s="65" t="str">
        <f>IFERROR(__xludf.DUMMYFUNCTION("""COMPUTED_VALUE"""),"LYIC5M40067")</f>
        <v>LYIC5M40067</v>
      </c>
      <c r="AB955" s="65"/>
      <c r="AC955" s="65" t="str">
        <f>IFERROR(__xludf.DUMMYFUNCTION("""COMPUTED_VALUE"""),"Limpiador de Parabrisas y Ventanas")</f>
        <v>Limpiador de Parabrisas y Ventanas</v>
      </c>
      <c r="AD955" s="65"/>
      <c r="AE955" s="65">
        <f>IFERROR(__xludf.DUMMYFUNCTION("""COMPUTED_VALUE"""),1.0)</f>
        <v>1</v>
      </c>
      <c r="AF955" s="65"/>
      <c r="AG955" s="65"/>
      <c r="AH955" s="65"/>
      <c r="AI955" s="65"/>
      <c r="AJ955" s="65"/>
      <c r="AK955" s="65"/>
      <c r="AL955" s="65"/>
      <c r="AM955" s="65"/>
      <c r="AN955" s="65" t="str">
        <f>IFERROR(__xludf.DUMMYFUNCTION("""COMPUTED_VALUE"""),"15:43")</f>
        <v>15:43</v>
      </c>
      <c r="AO955" s="65" t="str">
        <f>IFERROR(__xludf.DUMMYFUNCTION("""COMPUTED_VALUE"""),"12-02-2026")</f>
        <v>12-02-2026</v>
      </c>
      <c r="AP955" s="65" t="str">
        <f>IFERROR(__xludf.DUMMYFUNCTION("""COMPUTED_VALUE"""),"ENTREGADA GINTRACOM")</f>
        <v>ENTREGADA GINTRACOM</v>
      </c>
      <c r="AQ955" s="65" t="str">
        <f>IFERROR(__xludf.DUMMYFUNCTION("""COMPUTED_VALUE"""),"ENTREGADA GINTRACOM")</f>
        <v>ENTREGADA GINTRACOM</v>
      </c>
      <c r="AR955" s="65"/>
      <c r="AS955" s="65"/>
      <c r="AT955" s="65" t="str">
        <f>IFERROR(__xludf.DUMMYFUNCTION("""COMPUTED_VALUE"""),"SHOPIFY")</f>
        <v>SHOPIFY</v>
      </c>
      <c r="AU955" s="65" t="str">
        <f>IFERROR(__xludf.DUMMYFUNCTION("""COMPUTED_VALUE"""),"IMPORTEX EC")</f>
        <v>IMPORTEX EC</v>
      </c>
      <c r="AV955" s="65" t="str">
        <f>IFERROR(__xludf.DUMMYFUNCTION("""COMPUTED_VALUE"""),"6483525566508")</f>
        <v>6483525566508</v>
      </c>
      <c r="AW955" s="65">
        <f>IFERROR(__xludf.DUMMYFUNCTION("""COMPUTED_VALUE"""),5899.0)</f>
        <v>5899</v>
      </c>
      <c r="AX955" s="65"/>
      <c r="AY955" s="65" t="str">
        <f>IFERROR(__xludf.DUMMYFUNCTION("""COMPUTED_VALUE"""),"09/02/2026")</f>
        <v>09/02/2026</v>
      </c>
      <c r="AZ955" s="65"/>
      <c r="BA955" s="65"/>
    </row>
    <row r="956">
      <c r="A956" s="65" t="str">
        <f>IFERROR(__xludf.DUMMYFUNCTION("""COMPUTED_VALUE"""),"27-03-2026")</f>
        <v>27-03-2026</v>
      </c>
      <c r="B956" s="65">
        <f>IFERROR(__xludf.DUMMYFUNCTION("""COMPUTED_VALUE"""),4432099.0)</f>
        <v>4432099</v>
      </c>
      <c r="C956" s="65" t="str">
        <f>IFERROR(__xludf.DUMMYFUNCTION("""COMPUTED_VALUE"""),"16:46")</f>
        <v>16:46</v>
      </c>
      <c r="D956" s="65" t="str">
        <f>IFERROR(__xludf.DUMMYFUNCTION("""COMPUTED_VALUE"""),"07-02-2026")</f>
        <v>07-02-2026</v>
      </c>
      <c r="E956" s="65" t="str">
        <f>IFERROR(__xludf.DUMMYFUNCTION("""COMPUTED_VALUE"""),"José eduardo Salazar cueva")</f>
        <v>José eduardo Salazar cueva</v>
      </c>
      <c r="F956" s="65" t="str">
        <f>IFERROR(__xludf.DUMMYFUNCTION("""COMPUTED_VALUE"""),"967011199")</f>
        <v>967011199</v>
      </c>
      <c r="G956" s="65" t="str">
        <f>IFERROR(__xludf.DUMMYFUNCTION("""COMPUTED_VALUE"""),"joseeduardosalazarc.56@gmail.com")</f>
        <v>joseeduardosalazarc.56@gmail.com</v>
      </c>
      <c r="H956" s="65"/>
      <c r="I956" s="65"/>
      <c r="J956" s="65"/>
      <c r="K956" s="65" t="str">
        <f>IFERROR(__xludf.DUMMYFUNCTION("""COMPUTED_VALUE"""),"PENDIENTE CONFIRMACION")</f>
        <v>PENDIENTE CONFIRMACION</v>
      </c>
      <c r="L956" s="65" t="str">
        <f>IFERROR(__xludf.DUMMYFUNCTION("""COMPUTED_VALUE"""),"CON RECAUDO")</f>
        <v>CON RECAUDO</v>
      </c>
      <c r="M956" s="65" t="str">
        <f>IFERROR(__xludf.DUMMYFUNCTION("""COMPUTED_VALUE"""),"GUAYAS")</f>
        <v>GUAYAS</v>
      </c>
      <c r="N956" s="65" t="str">
        <f>IFERROR(__xludf.DUMMYFUNCTION("""COMPUTED_VALUE"""),"LORENZO DE GARAICOA")</f>
        <v>LORENZO DE GARAICOA</v>
      </c>
      <c r="O956" s="65" t="str">
        <f>IFERROR(__xludf.DUMMYFUNCTION("""COMPUTED_VALUE"""),"Av.ricsrdo Firmat y Virgen del carmen Pwuia.lzo. de garaicoa -")</f>
        <v>Av.ricsrdo Firmat y Virgen del carmen Pwuia.lzo. de garaicoa -</v>
      </c>
      <c r="P956" s="65"/>
      <c r="Q956" s="65" t="str">
        <f>IFERROR(__xludf.DUMMYFUNCTION("""COMPUTED_VALUE"""),"LAARCOURIER")</f>
        <v>LAARCOURIER</v>
      </c>
      <c r="R956" s="65">
        <f>IFERROR(__xludf.DUMMYFUNCTION("""COMPUTED_VALUE"""),22.0)</f>
        <v>22</v>
      </c>
      <c r="S956" s="65"/>
      <c r="T956" s="65">
        <f>IFERROR(__xludf.DUMMYFUNCTION("""COMPUTED_VALUE"""),7.01)</f>
        <v>7.01</v>
      </c>
      <c r="U956" s="65">
        <f>IFERROR(__xludf.DUMMYFUNCTION("""COMPUTED_VALUE"""),0.0)</f>
        <v>0</v>
      </c>
      <c r="V956" s="65">
        <f>IFERROR(__xludf.DUMMYFUNCTION("""COMPUTED_VALUE"""),0.0)</f>
        <v>0</v>
      </c>
      <c r="W956" s="65">
        <f>IFERROR(__xludf.DUMMYFUNCTION("""COMPUTED_VALUE"""),0.0)</f>
        <v>0</v>
      </c>
      <c r="X956" s="65">
        <f>IFERROR(__xludf.DUMMYFUNCTION("""COMPUTED_VALUE"""),2.6)</f>
        <v>2.6</v>
      </c>
      <c r="Y956" s="65">
        <f>IFERROR(__xludf.DUMMYFUNCTION("""COMPUTED_VALUE"""),5.2)</f>
        <v>5.2</v>
      </c>
      <c r="Z956" s="65">
        <f>IFERROR(__xludf.DUMMYFUNCTION("""COMPUTED_VALUE"""),121983.0)</f>
        <v>121983</v>
      </c>
      <c r="AA956" s="65" t="str">
        <f>IFERROR(__xludf.DUMMYFUNCTION("""COMPUTED_VALUE"""),"PROV-CHLLCF")</f>
        <v>PROV-CHLLCF</v>
      </c>
      <c r="AB956" s="65"/>
      <c r="AC956" s="65" t="str">
        <f>IFERROR(__xludf.DUMMYFUNCTION("""COMPUTED_VALUE"""),"CUCHILLO PARA CHEF")</f>
        <v>CUCHILLO PARA CHEF</v>
      </c>
      <c r="AD956" s="65"/>
      <c r="AE956" s="65">
        <f>IFERROR(__xludf.DUMMYFUNCTION("""COMPUTED_VALUE"""),2.0)</f>
        <v>2</v>
      </c>
      <c r="AF956" s="65"/>
      <c r="AG956" s="65"/>
      <c r="AH956" s="65"/>
      <c r="AI956" s="65"/>
      <c r="AJ956" s="65"/>
      <c r="AK956" s="65"/>
      <c r="AL956" s="65"/>
      <c r="AM956" s="65"/>
      <c r="AN956" s="65"/>
      <c r="AO956" s="65"/>
      <c r="AP956" s="65"/>
      <c r="AQ956" s="65"/>
      <c r="AR956" s="65"/>
      <c r="AS956" s="65"/>
      <c r="AT956" s="65" t="str">
        <f>IFERROR(__xludf.DUMMYFUNCTION("""COMPUTED_VALUE"""),"SHOPIFY")</f>
        <v>SHOPIFY</v>
      </c>
      <c r="AU956" s="65" t="str">
        <f>IFERROR(__xludf.DUMMYFUNCTION("""COMPUTED_VALUE"""),"IMPORTEX EC")</f>
        <v>IMPORTEX EC</v>
      </c>
      <c r="AV956" s="65" t="str">
        <f>IFERROR(__xludf.DUMMYFUNCTION("""COMPUTED_VALUE"""),"6483595067436")</f>
        <v>6483595067436</v>
      </c>
      <c r="AW956" s="65">
        <f>IFERROR(__xludf.DUMMYFUNCTION("""COMPUTED_VALUE"""),5900.0)</f>
        <v>5900</v>
      </c>
      <c r="AX956" s="65"/>
      <c r="AY956" s="65"/>
      <c r="AZ956" s="65"/>
      <c r="BA956" s="65"/>
    </row>
    <row r="957">
      <c r="A957" s="65" t="str">
        <f>IFERROR(__xludf.DUMMYFUNCTION("""COMPUTED_VALUE"""),"27-03-2026")</f>
        <v>27-03-2026</v>
      </c>
      <c r="B957" s="65">
        <f>IFERROR(__xludf.DUMMYFUNCTION("""COMPUTED_VALUE"""),4432098.0)</f>
        <v>4432098</v>
      </c>
      <c r="C957" s="65" t="str">
        <f>IFERROR(__xludf.DUMMYFUNCTION("""COMPUTED_VALUE"""),"16:46")</f>
        <v>16:46</v>
      </c>
      <c r="D957" s="65" t="str">
        <f>IFERROR(__xludf.DUMMYFUNCTION("""COMPUTED_VALUE"""),"07-02-2026")</f>
        <v>07-02-2026</v>
      </c>
      <c r="E957" s="65" t="str">
        <f>IFERROR(__xludf.DUMMYFUNCTION("""COMPUTED_VALUE"""),"Segundo Alejandro Albacando ramos")</f>
        <v>Segundo Alejandro Albacando ramos</v>
      </c>
      <c r="F957" s="65" t="str">
        <f>IFERROR(__xludf.DUMMYFUNCTION("""COMPUTED_VALUE"""),"962959239")</f>
        <v>962959239</v>
      </c>
      <c r="G957" s="65" t="str">
        <f>IFERROR(__xludf.DUMMYFUNCTION("""COMPUTED_VALUE"""),"albacandoalejandro@gmail.com")</f>
        <v>albacandoalejandro@gmail.com</v>
      </c>
      <c r="H957" s="65"/>
      <c r="I957" s="65"/>
      <c r="J957" s="65" t="str">
        <f>IFERROR(__xludf.DUMMYFUNCTION("""COMPUTED_VALUE"""),"D001315168")</f>
        <v>D001315168</v>
      </c>
      <c r="K957" s="65" t="str">
        <f>IFERROR(__xludf.DUMMYFUNCTION("""COMPUTED_VALUE"""),"ENTREGADO")</f>
        <v>ENTREGADO</v>
      </c>
      <c r="L957" s="65" t="str">
        <f>IFERROR(__xludf.DUMMYFUNCTION("""COMPUTED_VALUE"""),"CON RECAUDO")</f>
        <v>CON RECAUDO</v>
      </c>
      <c r="M957" s="65" t="str">
        <f>IFERROR(__xludf.DUMMYFUNCTION("""COMPUTED_VALUE"""),"CAÑAR")</f>
        <v>CAÑAR</v>
      </c>
      <c r="N957" s="65" t="str">
        <f>IFERROR(__xludf.DUMMYFUNCTION("""COMPUTED_VALUE"""),"AZOGUES")</f>
        <v>AZOGUES</v>
      </c>
      <c r="O957" s="65" t="str">
        <f>IFERROR(__xludf.DUMMYFUNCTION("""COMPUTED_VALUE"""),"Autopista  azogues bibliam  desvío a cojitambo Tienda Arelos -")</f>
        <v>Autopista  azogues bibliam  desvío a cojitambo Tienda Arelos -</v>
      </c>
      <c r="P957" s="65"/>
      <c r="Q957" s="65" t="str">
        <f>IFERROR(__xludf.DUMMYFUNCTION("""COMPUTED_VALUE"""),"GINTRACOM")</f>
        <v>GINTRACOM</v>
      </c>
      <c r="R957" s="65">
        <f>IFERROR(__xludf.DUMMYFUNCTION("""COMPUTED_VALUE"""),22.0)</f>
        <v>22</v>
      </c>
      <c r="S957" s="65">
        <f>IFERROR(__xludf.DUMMYFUNCTION("""COMPUTED_VALUE"""),10.96)</f>
        <v>10.96</v>
      </c>
      <c r="T957" s="65">
        <f>IFERROR(__xludf.DUMMYFUNCTION("""COMPUTED_VALUE"""),5.84)</f>
        <v>5.84</v>
      </c>
      <c r="U957" s="65">
        <f>IFERROR(__xludf.DUMMYFUNCTION("""COMPUTED_VALUE"""),0.0)</f>
        <v>0</v>
      </c>
      <c r="V957" s="65">
        <f>IFERROR(__xludf.DUMMYFUNCTION("""COMPUTED_VALUE"""),0.0)</f>
        <v>0</v>
      </c>
      <c r="W957" s="65">
        <f>IFERROR(__xludf.DUMMYFUNCTION("""COMPUTED_VALUE"""),0.0)</f>
        <v>0</v>
      </c>
      <c r="X957" s="65">
        <f>IFERROR(__xludf.DUMMYFUNCTION("""COMPUTED_VALUE"""),2.6)</f>
        <v>2.6</v>
      </c>
      <c r="Y957" s="65">
        <f>IFERROR(__xludf.DUMMYFUNCTION("""COMPUTED_VALUE"""),5.2)</f>
        <v>5.2</v>
      </c>
      <c r="Z957" s="65">
        <f>IFERROR(__xludf.DUMMYFUNCTION("""COMPUTED_VALUE"""),121983.0)</f>
        <v>121983</v>
      </c>
      <c r="AA957" s="65" t="str">
        <f>IFERROR(__xludf.DUMMYFUNCTION("""COMPUTED_VALUE"""),"PROV-CHLLCF")</f>
        <v>PROV-CHLLCF</v>
      </c>
      <c r="AB957" s="65"/>
      <c r="AC957" s="65" t="str">
        <f>IFERROR(__xludf.DUMMYFUNCTION("""COMPUTED_VALUE"""),"CUCHILLO PARA CHEF")</f>
        <v>CUCHILLO PARA CHEF</v>
      </c>
      <c r="AD957" s="65"/>
      <c r="AE957" s="65">
        <f>IFERROR(__xludf.DUMMYFUNCTION("""COMPUTED_VALUE"""),2.0)</f>
        <v>2</v>
      </c>
      <c r="AF957" s="65"/>
      <c r="AG957" s="65"/>
      <c r="AH957" s="65"/>
      <c r="AI957" s="65"/>
      <c r="AJ957" s="65"/>
      <c r="AK957" s="65"/>
      <c r="AL957" s="65"/>
      <c r="AM957" s="65"/>
      <c r="AN957" s="65" t="str">
        <f>IFERROR(__xludf.DUMMYFUNCTION("""COMPUTED_VALUE"""),"16:53")</f>
        <v>16:53</v>
      </c>
      <c r="AO957" s="65" t="str">
        <f>IFERROR(__xludf.DUMMYFUNCTION("""COMPUTED_VALUE"""),"12-02-2026")</f>
        <v>12-02-2026</v>
      </c>
      <c r="AP957" s="65" t="str">
        <f>IFERROR(__xludf.DUMMYFUNCTION("""COMPUTED_VALUE"""),"ENTREGADA GINTRACOM")</f>
        <v>ENTREGADA GINTRACOM</v>
      </c>
      <c r="AQ957" s="65" t="str">
        <f>IFERROR(__xludf.DUMMYFUNCTION("""COMPUTED_VALUE"""),"ENTREGADA GINTRACOM")</f>
        <v>ENTREGADA GINTRACOM</v>
      </c>
      <c r="AR957" s="65"/>
      <c r="AS957" s="65"/>
      <c r="AT957" s="65" t="str">
        <f>IFERROR(__xludf.DUMMYFUNCTION("""COMPUTED_VALUE"""),"SHOPIFY")</f>
        <v>SHOPIFY</v>
      </c>
      <c r="AU957" s="65" t="str">
        <f>IFERROR(__xludf.DUMMYFUNCTION("""COMPUTED_VALUE"""),"IMPORTEX EC")</f>
        <v>IMPORTEX EC</v>
      </c>
      <c r="AV957" s="65" t="str">
        <f>IFERROR(__xludf.DUMMYFUNCTION("""COMPUTED_VALUE"""),"6483598540844")</f>
        <v>6483598540844</v>
      </c>
      <c r="AW957" s="65">
        <f>IFERROR(__xludf.DUMMYFUNCTION("""COMPUTED_VALUE"""),5901.0)</f>
        <v>5901</v>
      </c>
      <c r="AX957" s="65"/>
      <c r="AY957" s="65" t="str">
        <f>IFERROR(__xludf.DUMMYFUNCTION("""COMPUTED_VALUE"""),"10/02/2026")</f>
        <v>10/02/2026</v>
      </c>
      <c r="AZ957" s="65"/>
      <c r="BA957" s="65"/>
    </row>
    <row r="958">
      <c r="A958" s="65" t="str">
        <f>IFERROR(__xludf.DUMMYFUNCTION("""COMPUTED_VALUE"""),"27-03-2026")</f>
        <v>27-03-2026</v>
      </c>
      <c r="B958" s="65">
        <f>IFERROR(__xludf.DUMMYFUNCTION("""COMPUTED_VALUE"""),4432097.0)</f>
        <v>4432097</v>
      </c>
      <c r="C958" s="65" t="str">
        <f>IFERROR(__xludf.DUMMYFUNCTION("""COMPUTED_VALUE"""),"16:46")</f>
        <v>16:46</v>
      </c>
      <c r="D958" s="65" t="str">
        <f>IFERROR(__xludf.DUMMYFUNCTION("""COMPUTED_VALUE"""),"07-02-2026")</f>
        <v>07-02-2026</v>
      </c>
      <c r="E958" s="65" t="str">
        <f>IFERROR(__xludf.DUMMYFUNCTION("""COMPUTED_VALUE"""),"Ibeth Rendón")</f>
        <v>Ibeth Rendón</v>
      </c>
      <c r="F958" s="65" t="str">
        <f>IFERROR(__xludf.DUMMYFUNCTION("""COMPUTED_VALUE"""),"992698056")</f>
        <v>992698056</v>
      </c>
      <c r="G958" s="65" t="str">
        <f>IFERROR(__xludf.DUMMYFUNCTION("""COMPUTED_VALUE"""),"ibethrendon2506@gmail.com")</f>
        <v>ibethrendon2506@gmail.com</v>
      </c>
      <c r="H958" s="65"/>
      <c r="I958" s="65"/>
      <c r="J958" s="65" t="str">
        <f>IFERROR(__xludf.DUMMYFUNCTION("""COMPUTED_VALUE"""),"D001313022")</f>
        <v>D001313022</v>
      </c>
      <c r="K958" s="65" t="str">
        <f>IFERROR(__xludf.DUMMYFUNCTION("""COMPUTED_VALUE"""),"ENTREGADO")</f>
        <v>ENTREGADO</v>
      </c>
      <c r="L958" s="65" t="str">
        <f>IFERROR(__xludf.DUMMYFUNCTION("""COMPUTED_VALUE"""),"CON RECAUDO")</f>
        <v>CON RECAUDO</v>
      </c>
      <c r="M958" s="65" t="str">
        <f>IFERROR(__xludf.DUMMYFUNCTION("""COMPUTED_VALUE"""),"IMBABURA")</f>
        <v>IMBABURA</v>
      </c>
      <c r="N958" s="65" t="str">
        <f>IFERROR(__xludf.DUMMYFUNCTION("""COMPUTED_VALUE"""),"IBARRA")</f>
        <v>IBARRA</v>
      </c>
      <c r="O958" s="65" t="str">
        <f>IFERROR(__xludf.DUMMYFUNCTION("""COMPUTED_VALUE"""),"El Capuli y El Cerezo. Conjunto Habitacional Balcón del Milagro casa 26 El Milagro -")</f>
        <v>El Capuli y El Cerezo. Conjunto Habitacional Balcón del Milagro casa 26 El Milagro -</v>
      </c>
      <c r="P958" s="65"/>
      <c r="Q958" s="65" t="str">
        <f>IFERROR(__xludf.DUMMYFUNCTION("""COMPUTED_VALUE"""),"GINTRACOM")</f>
        <v>GINTRACOM</v>
      </c>
      <c r="R958" s="65">
        <f>IFERROR(__xludf.DUMMYFUNCTION("""COMPUTED_VALUE"""),20.0)</f>
        <v>20</v>
      </c>
      <c r="S958" s="65">
        <f>IFERROR(__xludf.DUMMYFUNCTION("""COMPUTED_VALUE"""),12.04)</f>
        <v>12.04</v>
      </c>
      <c r="T958" s="65">
        <f>IFERROR(__xludf.DUMMYFUNCTION("""COMPUTED_VALUE"""),5.76)</f>
        <v>5.76</v>
      </c>
      <c r="U958" s="65">
        <f>IFERROR(__xludf.DUMMYFUNCTION("""COMPUTED_VALUE"""),0.0)</f>
        <v>0</v>
      </c>
      <c r="V958" s="65">
        <f>IFERROR(__xludf.DUMMYFUNCTION("""COMPUTED_VALUE"""),0.0)</f>
        <v>0</v>
      </c>
      <c r="W958" s="65">
        <f>IFERROR(__xludf.DUMMYFUNCTION("""COMPUTED_VALUE"""),0.0)</f>
        <v>0</v>
      </c>
      <c r="X958" s="65">
        <f>IFERROR(__xludf.DUMMYFUNCTION("""COMPUTED_VALUE"""),2.2)</f>
        <v>2.2</v>
      </c>
      <c r="Y958" s="65">
        <f>IFERROR(__xludf.DUMMYFUNCTION("""COMPUTED_VALUE"""),2.2)</f>
        <v>2.2</v>
      </c>
      <c r="Z958" s="65">
        <f>IFERROR(__xludf.DUMMYFUNCTION("""COMPUTED_VALUE"""),111894.0)</f>
        <v>111894</v>
      </c>
      <c r="AA958" s="65" t="str">
        <f>IFERROR(__xludf.DUMMYFUNCTION("""COMPUTED_VALUE"""),"LYIC5M40067")</f>
        <v>LYIC5M40067</v>
      </c>
      <c r="AB958" s="65"/>
      <c r="AC958" s="65" t="str">
        <f>IFERROR(__xludf.DUMMYFUNCTION("""COMPUTED_VALUE"""),"Limpiador de Parabrisas y Ventanas")</f>
        <v>Limpiador de Parabrisas y Ventanas</v>
      </c>
      <c r="AD958" s="65"/>
      <c r="AE958" s="65">
        <f>IFERROR(__xludf.DUMMYFUNCTION("""COMPUTED_VALUE"""),1.0)</f>
        <v>1</v>
      </c>
      <c r="AF958" s="65"/>
      <c r="AG958" s="65"/>
      <c r="AH958" s="65"/>
      <c r="AI958" s="65"/>
      <c r="AJ958" s="65"/>
      <c r="AK958" s="65"/>
      <c r="AL958" s="65"/>
      <c r="AM958" s="65"/>
      <c r="AN958" s="65" t="str">
        <f>IFERROR(__xludf.DUMMYFUNCTION("""COMPUTED_VALUE"""),"10:59")</f>
        <v>10:59</v>
      </c>
      <c r="AO958" s="65" t="str">
        <f>IFERROR(__xludf.DUMMYFUNCTION("""COMPUTED_VALUE"""),"11-02-2026")</f>
        <v>11-02-2026</v>
      </c>
      <c r="AP958" s="65" t="str">
        <f>IFERROR(__xludf.DUMMYFUNCTION("""COMPUTED_VALUE"""),"EN REPARTO")</f>
        <v>EN REPARTO</v>
      </c>
      <c r="AQ958" s="65" t="str">
        <f>IFERROR(__xludf.DUMMYFUNCTION("""COMPUTED_VALUE"""),"EN REPARTO")</f>
        <v>EN REPARTO</v>
      </c>
      <c r="AR958" s="65"/>
      <c r="AS958" s="65"/>
      <c r="AT958" s="65" t="str">
        <f>IFERROR(__xludf.DUMMYFUNCTION("""COMPUTED_VALUE"""),"SHOPIFY")</f>
        <v>SHOPIFY</v>
      </c>
      <c r="AU958" s="65" t="str">
        <f>IFERROR(__xludf.DUMMYFUNCTION("""COMPUTED_VALUE"""),"IMPORTEX EC")</f>
        <v>IMPORTEX EC</v>
      </c>
      <c r="AV958" s="65" t="str">
        <f>IFERROR(__xludf.DUMMYFUNCTION("""COMPUTED_VALUE"""),"6483696484396")</f>
        <v>6483696484396</v>
      </c>
      <c r="AW958" s="65">
        <f>IFERROR(__xludf.DUMMYFUNCTION("""COMPUTED_VALUE"""),5902.0)</f>
        <v>5902</v>
      </c>
      <c r="AX958" s="65"/>
      <c r="AY958" s="65" t="str">
        <f>IFERROR(__xludf.DUMMYFUNCTION("""COMPUTED_VALUE"""),"09/02/2026")</f>
        <v>09/02/2026</v>
      </c>
      <c r="AZ958" s="65"/>
      <c r="BA958" s="65"/>
    </row>
    <row r="959">
      <c r="A959" s="65" t="str">
        <f>IFERROR(__xludf.DUMMYFUNCTION("""COMPUTED_VALUE"""),"27-03-2026")</f>
        <v>27-03-2026</v>
      </c>
      <c r="B959" s="65">
        <f>IFERROR(__xludf.DUMMYFUNCTION("""COMPUTED_VALUE"""),4432096.0)</f>
        <v>4432096</v>
      </c>
      <c r="C959" s="65" t="str">
        <f>IFERROR(__xludf.DUMMYFUNCTION("""COMPUTED_VALUE"""),"16:46")</f>
        <v>16:46</v>
      </c>
      <c r="D959" s="65" t="str">
        <f>IFERROR(__xludf.DUMMYFUNCTION("""COMPUTED_VALUE"""),"07-02-2026")</f>
        <v>07-02-2026</v>
      </c>
      <c r="E959" s="65" t="str">
        <f>IFERROR(__xludf.DUMMYFUNCTION("""COMPUTED_VALUE"""),"Edgar G Arias Quizhpe")</f>
        <v>Edgar G Arias Quizhpe</v>
      </c>
      <c r="F959" s="65" t="str">
        <f>IFERROR(__xludf.DUMMYFUNCTION("""COMPUTED_VALUE"""),"992542343")</f>
        <v>992542343</v>
      </c>
      <c r="G959" s="65" t="str">
        <f>IFERROR(__xludf.DUMMYFUNCTION("""COMPUTED_VALUE"""),"mundialderesistencias@hotmail.com")</f>
        <v>mundialderesistencias@hotmail.com</v>
      </c>
      <c r="H959" s="65"/>
      <c r="I959" s="65"/>
      <c r="J959" s="65" t="str">
        <f>IFERROR(__xludf.DUMMYFUNCTION("""COMPUTED_VALUE"""),"D001315169")</f>
        <v>D001315169</v>
      </c>
      <c r="K959" s="65" t="str">
        <f>IFERROR(__xludf.DUMMYFUNCTION("""COMPUTED_VALUE"""),"DEVOLUCION")</f>
        <v>DEVOLUCION</v>
      </c>
      <c r="L959" s="65" t="str">
        <f>IFERROR(__xludf.DUMMYFUNCTION("""COMPUTED_VALUE"""),"CON RECAUDO")</f>
        <v>CON RECAUDO</v>
      </c>
      <c r="M959" s="65" t="str">
        <f>IFERROR(__xludf.DUMMYFUNCTION("""COMPUTED_VALUE"""),"PICHINCHA")</f>
        <v>PICHINCHA</v>
      </c>
      <c r="N959" s="65" t="str">
        <f>IFERROR(__xludf.DUMMYFUNCTION("""COMPUTED_VALUE"""),"QUITO")</f>
        <v>QUITO</v>
      </c>
      <c r="O959" s="65" t="str">
        <f>IFERROR(__xludf.DUMMYFUNCTION("""COMPUTED_VALUE"""),"10 Agosto N34-500 y y República -")</f>
        <v>10 Agosto N34-500 y y República -</v>
      </c>
      <c r="P959" s="65"/>
      <c r="Q959" s="65" t="str">
        <f>IFERROR(__xludf.DUMMYFUNCTION("""COMPUTED_VALUE"""),"GINTRACOM")</f>
        <v>GINTRACOM</v>
      </c>
      <c r="R959" s="65">
        <f>IFERROR(__xludf.DUMMYFUNCTION("""COMPUTED_VALUE"""),22.0)</f>
        <v>22</v>
      </c>
      <c r="S959" s="65"/>
      <c r="T959" s="65">
        <f>IFERROR(__xludf.DUMMYFUNCTION("""COMPUTED_VALUE"""),5.84)</f>
        <v>5.84</v>
      </c>
      <c r="U959" s="65">
        <f>IFERROR(__xludf.DUMMYFUNCTION("""COMPUTED_VALUE"""),0.0)</f>
        <v>0</v>
      </c>
      <c r="V959" s="65">
        <f>IFERROR(__xludf.DUMMYFUNCTION("""COMPUTED_VALUE"""),0.0)</f>
        <v>0</v>
      </c>
      <c r="W959" s="65">
        <f>IFERROR(__xludf.DUMMYFUNCTION("""COMPUTED_VALUE"""),0.0)</f>
        <v>0</v>
      </c>
      <c r="X959" s="65">
        <f>IFERROR(__xludf.DUMMYFUNCTION("""COMPUTED_VALUE"""),2.6)</f>
        <v>2.6</v>
      </c>
      <c r="Y959" s="65">
        <f>IFERROR(__xludf.DUMMYFUNCTION("""COMPUTED_VALUE"""),5.2)</f>
        <v>5.2</v>
      </c>
      <c r="Z959" s="65">
        <f>IFERROR(__xludf.DUMMYFUNCTION("""COMPUTED_VALUE"""),121983.0)</f>
        <v>121983</v>
      </c>
      <c r="AA959" s="65" t="str">
        <f>IFERROR(__xludf.DUMMYFUNCTION("""COMPUTED_VALUE"""),"PROV-CHLLCF")</f>
        <v>PROV-CHLLCF</v>
      </c>
      <c r="AB959" s="65"/>
      <c r="AC959" s="65" t="str">
        <f>IFERROR(__xludf.DUMMYFUNCTION("""COMPUTED_VALUE"""),"CUCHILLO PARA CHEF")</f>
        <v>CUCHILLO PARA CHEF</v>
      </c>
      <c r="AD959" s="65"/>
      <c r="AE959" s="65">
        <f>IFERROR(__xludf.DUMMYFUNCTION("""COMPUTED_VALUE"""),2.0)</f>
        <v>2</v>
      </c>
      <c r="AF959" s="65" t="str">
        <f>IFERROR(__xludf.DUMMYFUNCTION("""COMPUTED_VALUE"""),"DESTINATARIO INDICA QUE YA NO DESEA EL PRODUCTO")</f>
        <v>DESTINATARIO INDICA QUE YA NO DESEA EL PRODUCTO</v>
      </c>
      <c r="AG959" s="65" t="str">
        <f>IFERROR(__xludf.DUMMYFUNCTION("""COMPUTED_VALUE"""),"NO")</f>
        <v>NO</v>
      </c>
      <c r="AH959" s="65" t="str">
        <f>IFERROR(__xludf.DUMMYFUNCTION("""COMPUTED_VALUE"""),"09:35")</f>
        <v>09:35</v>
      </c>
      <c r="AI959" s="65" t="str">
        <f>IFERROR(__xludf.DUMMYFUNCTION("""COMPUTED_VALUE"""),"23-02-2026")</f>
        <v>23-02-2026</v>
      </c>
      <c r="AJ959" s="65"/>
      <c r="AK959" s="65"/>
      <c r="AL959" s="65"/>
      <c r="AM959" s="65"/>
      <c r="AN959" s="65" t="str">
        <f>IFERROR(__xludf.DUMMYFUNCTION("""COMPUTED_VALUE"""),"01:35")</f>
        <v>01:35</v>
      </c>
      <c r="AO959" s="65" t="str">
        <f>IFERROR(__xludf.DUMMYFUNCTION("""COMPUTED_VALUE"""),"06-03-2026")</f>
        <v>06-03-2026</v>
      </c>
      <c r="AP959" s="65" t="str">
        <f>IFERROR(__xludf.DUMMYFUNCTION("""COMPUTED_VALUE"""),"DEVOLUCIÓN ENTREGADA A ORIGEN")</f>
        <v>DEVOLUCIÓN ENTREGADA A ORIGEN</v>
      </c>
      <c r="AQ959" s="65" t="str">
        <f>IFERROR(__xludf.DUMMYFUNCTION("""COMPUTED_VALUE"""),"DEVOLUCIÓN ENTREGADA A ORIGEN")</f>
        <v>DEVOLUCIÓN ENTREGADA A ORIGEN</v>
      </c>
      <c r="AR959" s="65"/>
      <c r="AS959" s="65"/>
      <c r="AT959" s="65" t="str">
        <f>IFERROR(__xludf.DUMMYFUNCTION("""COMPUTED_VALUE"""),"SHOPIFY")</f>
        <v>SHOPIFY</v>
      </c>
      <c r="AU959" s="65" t="str">
        <f>IFERROR(__xludf.DUMMYFUNCTION("""COMPUTED_VALUE"""),"IMPORTEX EC")</f>
        <v>IMPORTEX EC</v>
      </c>
      <c r="AV959" s="65" t="str">
        <f>IFERROR(__xludf.DUMMYFUNCTION("""COMPUTED_VALUE"""),"6483737215020")</f>
        <v>6483737215020</v>
      </c>
      <c r="AW959" s="65">
        <f>IFERROR(__xludf.DUMMYFUNCTION("""COMPUTED_VALUE"""),5903.0)</f>
        <v>5903</v>
      </c>
      <c r="AX959" s="65"/>
      <c r="AY959" s="65" t="str">
        <f>IFERROR(__xludf.DUMMYFUNCTION("""COMPUTED_VALUE"""),"10/02/2026")</f>
        <v>10/02/2026</v>
      </c>
      <c r="AZ959" s="65"/>
      <c r="BA959" s="65"/>
    </row>
    <row r="960">
      <c r="A960" s="65" t="str">
        <f>IFERROR(__xludf.DUMMYFUNCTION("""COMPUTED_VALUE"""),"27-03-2026")</f>
        <v>27-03-2026</v>
      </c>
      <c r="B960" s="65">
        <f>IFERROR(__xludf.DUMMYFUNCTION("""COMPUTED_VALUE"""),4432095.0)</f>
        <v>4432095</v>
      </c>
      <c r="C960" s="65" t="str">
        <f>IFERROR(__xludf.DUMMYFUNCTION("""COMPUTED_VALUE"""),"16:46")</f>
        <v>16:46</v>
      </c>
      <c r="D960" s="65" t="str">
        <f>IFERROR(__xludf.DUMMYFUNCTION("""COMPUTED_VALUE"""),"07-02-2026")</f>
        <v>07-02-2026</v>
      </c>
      <c r="E960" s="65" t="str">
        <f>IFERROR(__xludf.DUMMYFUNCTION("""COMPUTED_VALUE"""),"Cecilia Villarreal")</f>
        <v>Cecilia Villarreal</v>
      </c>
      <c r="F960" s="65" t="str">
        <f>IFERROR(__xludf.DUMMYFUNCTION("""COMPUTED_VALUE"""),"998431659")</f>
        <v>998431659</v>
      </c>
      <c r="G960" s="65" t="str">
        <f>IFERROR(__xludf.DUMMYFUNCTION("""COMPUTED_VALUE"""),"cvillarrean@gmail.com")</f>
        <v>cvillarrean@gmail.com</v>
      </c>
      <c r="H960" s="65"/>
      <c r="I960" s="65"/>
      <c r="J960" s="65"/>
      <c r="K960" s="65" t="str">
        <f>IFERROR(__xludf.DUMMYFUNCTION("""COMPUTED_VALUE"""),"PENDIENTE CONFIRMACION")</f>
        <v>PENDIENTE CONFIRMACION</v>
      </c>
      <c r="L960" s="65" t="str">
        <f>IFERROR(__xludf.DUMMYFUNCTION("""COMPUTED_VALUE"""),"CON RECAUDO")</f>
        <v>CON RECAUDO</v>
      </c>
      <c r="M960" s="65" t="str">
        <f>IFERROR(__xludf.DUMMYFUNCTION("""COMPUTED_VALUE"""),"PICHINCHA")</f>
        <v>PICHINCHA</v>
      </c>
      <c r="N960" s="65" t="str">
        <f>IFERROR(__xludf.DUMMYFUNCTION("""COMPUTED_VALUE"""),"QUITO")</f>
        <v>QUITO</v>
      </c>
      <c r="O960" s="65" t="str">
        <f>IFERROR(__xludf.DUMMYFUNCTION("""COMPUTED_VALUE"""),"Calle moro moro Av. Teniente hugo ortiz -")</f>
        <v>Calle moro moro Av. Teniente hugo ortiz -</v>
      </c>
      <c r="P960" s="65"/>
      <c r="Q960" s="65" t="str">
        <f>IFERROR(__xludf.DUMMYFUNCTION("""COMPUTED_VALUE"""),"GINTRACOM")</f>
        <v>GINTRACOM</v>
      </c>
      <c r="R960" s="65">
        <f>IFERROR(__xludf.DUMMYFUNCTION("""COMPUTED_VALUE"""),20.0)</f>
        <v>20</v>
      </c>
      <c r="S960" s="65"/>
      <c r="T960" s="65">
        <f>IFERROR(__xludf.DUMMYFUNCTION("""COMPUTED_VALUE"""),5.76)</f>
        <v>5.76</v>
      </c>
      <c r="U960" s="65">
        <f>IFERROR(__xludf.DUMMYFUNCTION("""COMPUTED_VALUE"""),0.0)</f>
        <v>0</v>
      </c>
      <c r="V960" s="65">
        <f>IFERROR(__xludf.DUMMYFUNCTION("""COMPUTED_VALUE"""),0.0)</f>
        <v>0</v>
      </c>
      <c r="W960" s="65">
        <f>IFERROR(__xludf.DUMMYFUNCTION("""COMPUTED_VALUE"""),0.0)</f>
        <v>0</v>
      </c>
      <c r="X960" s="65">
        <f>IFERROR(__xludf.DUMMYFUNCTION("""COMPUTED_VALUE"""),2.2)</f>
        <v>2.2</v>
      </c>
      <c r="Y960" s="65">
        <f>IFERROR(__xludf.DUMMYFUNCTION("""COMPUTED_VALUE"""),2.2)</f>
        <v>2.2</v>
      </c>
      <c r="Z960" s="65">
        <f>IFERROR(__xludf.DUMMYFUNCTION("""COMPUTED_VALUE"""),111894.0)</f>
        <v>111894</v>
      </c>
      <c r="AA960" s="65" t="str">
        <f>IFERROR(__xludf.DUMMYFUNCTION("""COMPUTED_VALUE"""),"LYIC5M40067")</f>
        <v>LYIC5M40067</v>
      </c>
      <c r="AB960" s="65"/>
      <c r="AC960" s="65" t="str">
        <f>IFERROR(__xludf.DUMMYFUNCTION("""COMPUTED_VALUE"""),"Limpiador de Parabrisas y Ventanas")</f>
        <v>Limpiador de Parabrisas y Ventanas</v>
      </c>
      <c r="AD960" s="65"/>
      <c r="AE960" s="65">
        <f>IFERROR(__xludf.DUMMYFUNCTION("""COMPUTED_VALUE"""),1.0)</f>
        <v>1</v>
      </c>
      <c r="AF960" s="65"/>
      <c r="AG960" s="65"/>
      <c r="AH960" s="65"/>
      <c r="AI960" s="65"/>
      <c r="AJ960" s="65"/>
      <c r="AK960" s="65"/>
      <c r="AL960" s="65"/>
      <c r="AM960" s="65"/>
      <c r="AN960" s="65"/>
      <c r="AO960" s="65"/>
      <c r="AP960" s="65"/>
      <c r="AQ960" s="65"/>
      <c r="AR960" s="65"/>
      <c r="AS960" s="65"/>
      <c r="AT960" s="65" t="str">
        <f>IFERROR(__xludf.DUMMYFUNCTION("""COMPUTED_VALUE"""),"SHOPIFY")</f>
        <v>SHOPIFY</v>
      </c>
      <c r="AU960" s="65" t="str">
        <f>IFERROR(__xludf.DUMMYFUNCTION("""COMPUTED_VALUE"""),"IMPORTEX EC")</f>
        <v>IMPORTEX EC</v>
      </c>
      <c r="AV960" s="65" t="str">
        <f>IFERROR(__xludf.DUMMYFUNCTION("""COMPUTED_VALUE"""),"6483763363884")</f>
        <v>6483763363884</v>
      </c>
      <c r="AW960" s="65">
        <f>IFERROR(__xludf.DUMMYFUNCTION("""COMPUTED_VALUE"""),5904.0)</f>
        <v>5904</v>
      </c>
      <c r="AX960" s="65"/>
      <c r="AY960" s="65"/>
      <c r="AZ960" s="65"/>
      <c r="BA960" s="65"/>
    </row>
    <row r="961">
      <c r="A961" s="65" t="str">
        <f>IFERROR(__xludf.DUMMYFUNCTION("""COMPUTED_VALUE"""),"27-03-2026")</f>
        <v>27-03-2026</v>
      </c>
      <c r="B961" s="65">
        <f>IFERROR(__xludf.DUMMYFUNCTION("""COMPUTED_VALUE"""),4432094.0)</f>
        <v>4432094</v>
      </c>
      <c r="C961" s="65" t="str">
        <f>IFERROR(__xludf.DUMMYFUNCTION("""COMPUTED_VALUE"""),"16:46")</f>
        <v>16:46</v>
      </c>
      <c r="D961" s="65" t="str">
        <f>IFERROR(__xludf.DUMMYFUNCTION("""COMPUTED_VALUE"""),"07-02-2026")</f>
        <v>07-02-2026</v>
      </c>
      <c r="E961" s="65" t="str">
        <f>IFERROR(__xludf.DUMMYFUNCTION("""COMPUTED_VALUE"""),"Luciano Abad Leon")</f>
        <v>Luciano Abad Leon</v>
      </c>
      <c r="F961" s="65" t="str">
        <f>IFERROR(__xludf.DUMMYFUNCTION("""COMPUTED_VALUE"""),"992149364")</f>
        <v>992149364</v>
      </c>
      <c r="G961" s="65" t="str">
        <f>IFERROR(__xludf.DUMMYFUNCTION("""COMPUTED_VALUE"""),"jack_ie81@hotmail.com")</f>
        <v>jack_ie81@hotmail.com</v>
      </c>
      <c r="H961" s="65"/>
      <c r="I961" s="65"/>
      <c r="J961" s="65" t="str">
        <f>IFERROR(__xludf.DUMMYFUNCTION("""COMPUTED_VALUE"""),"D001315170")</f>
        <v>D001315170</v>
      </c>
      <c r="K961" s="65" t="str">
        <f>IFERROR(__xludf.DUMMYFUNCTION("""COMPUTED_VALUE"""),"ENTREGADO")</f>
        <v>ENTREGADO</v>
      </c>
      <c r="L961" s="65" t="str">
        <f>IFERROR(__xludf.DUMMYFUNCTION("""COMPUTED_VALUE"""),"CON RECAUDO")</f>
        <v>CON RECAUDO</v>
      </c>
      <c r="M961" s="65" t="str">
        <f>IFERROR(__xludf.DUMMYFUNCTION("""COMPUTED_VALUE"""),"GUAYAS")</f>
        <v>GUAYAS</v>
      </c>
      <c r="N961" s="65" t="str">
        <f>IFERROR(__xludf.DUMMYFUNCTION("""COMPUTED_VALUE"""),"GUAYAQUIL")</f>
        <v>GUAYAQUIL</v>
      </c>
      <c r="O961" s="65" t="str">
        <f>IFERROR(__xludf.DUMMYFUNCTION("""COMPUTED_VALUE"""),"Porton Urdesa Edificio Arcos 2do piso dep 4 Bajando Lomas de urdesa -")</f>
        <v>Porton Urdesa Edificio Arcos 2do piso dep 4 Bajando Lomas de urdesa -</v>
      </c>
      <c r="P961" s="65"/>
      <c r="Q961" s="65" t="str">
        <f>IFERROR(__xludf.DUMMYFUNCTION("""COMPUTED_VALUE"""),"GINTRACOM")</f>
        <v>GINTRACOM</v>
      </c>
      <c r="R961" s="65">
        <f>IFERROR(__xludf.DUMMYFUNCTION("""COMPUTED_VALUE"""),22.0)</f>
        <v>22</v>
      </c>
      <c r="S961" s="65">
        <f>IFERROR(__xludf.DUMMYFUNCTION("""COMPUTED_VALUE"""),12.57)</f>
        <v>12.57</v>
      </c>
      <c r="T961" s="65">
        <f>IFERROR(__xludf.DUMMYFUNCTION("""COMPUTED_VALUE"""),4.23)</f>
        <v>4.23</v>
      </c>
      <c r="U961" s="65">
        <f>IFERROR(__xludf.DUMMYFUNCTION("""COMPUTED_VALUE"""),0.0)</f>
        <v>0</v>
      </c>
      <c r="V961" s="65">
        <f>IFERROR(__xludf.DUMMYFUNCTION("""COMPUTED_VALUE"""),0.0)</f>
        <v>0</v>
      </c>
      <c r="W961" s="65">
        <f>IFERROR(__xludf.DUMMYFUNCTION("""COMPUTED_VALUE"""),0.0)</f>
        <v>0</v>
      </c>
      <c r="X961" s="65">
        <f>IFERROR(__xludf.DUMMYFUNCTION("""COMPUTED_VALUE"""),2.6)</f>
        <v>2.6</v>
      </c>
      <c r="Y961" s="65">
        <f>IFERROR(__xludf.DUMMYFUNCTION("""COMPUTED_VALUE"""),5.2)</f>
        <v>5.2</v>
      </c>
      <c r="Z961" s="65">
        <f>IFERROR(__xludf.DUMMYFUNCTION("""COMPUTED_VALUE"""),121983.0)</f>
        <v>121983</v>
      </c>
      <c r="AA961" s="65" t="str">
        <f>IFERROR(__xludf.DUMMYFUNCTION("""COMPUTED_VALUE"""),"PROV-CHLLCF")</f>
        <v>PROV-CHLLCF</v>
      </c>
      <c r="AB961" s="65"/>
      <c r="AC961" s="65" t="str">
        <f>IFERROR(__xludf.DUMMYFUNCTION("""COMPUTED_VALUE"""),"CUCHILLO PARA CHEF")</f>
        <v>CUCHILLO PARA CHEF</v>
      </c>
      <c r="AD961" s="65"/>
      <c r="AE961" s="65">
        <f>IFERROR(__xludf.DUMMYFUNCTION("""COMPUTED_VALUE"""),2.0)</f>
        <v>2</v>
      </c>
      <c r="AF961" s="65"/>
      <c r="AG961" s="65"/>
      <c r="AH961" s="65"/>
      <c r="AI961" s="65"/>
      <c r="AJ961" s="65"/>
      <c r="AK961" s="65"/>
      <c r="AL961" s="65"/>
      <c r="AM961" s="65"/>
      <c r="AN961" s="65" t="str">
        <f>IFERROR(__xludf.DUMMYFUNCTION("""COMPUTED_VALUE"""),"08:32")</f>
        <v>08:32</v>
      </c>
      <c r="AO961" s="65" t="str">
        <f>IFERROR(__xludf.DUMMYFUNCTION("""COMPUTED_VALUE"""),"11-02-2026")</f>
        <v>11-02-2026</v>
      </c>
      <c r="AP961" s="65" t="str">
        <f>IFERROR(__xludf.DUMMYFUNCTION("""COMPUTED_VALUE"""),"EN REPARTO")</f>
        <v>EN REPARTO</v>
      </c>
      <c r="AQ961" s="65" t="str">
        <f>IFERROR(__xludf.DUMMYFUNCTION("""COMPUTED_VALUE"""),"EN REPARTO")</f>
        <v>EN REPARTO</v>
      </c>
      <c r="AR961" s="65"/>
      <c r="AS961" s="65"/>
      <c r="AT961" s="65" t="str">
        <f>IFERROR(__xludf.DUMMYFUNCTION("""COMPUTED_VALUE"""),"SHOPIFY")</f>
        <v>SHOPIFY</v>
      </c>
      <c r="AU961" s="65" t="str">
        <f>IFERROR(__xludf.DUMMYFUNCTION("""COMPUTED_VALUE"""),"IMPORTEX EC")</f>
        <v>IMPORTEX EC</v>
      </c>
      <c r="AV961" s="65" t="str">
        <f>IFERROR(__xludf.DUMMYFUNCTION("""COMPUTED_VALUE"""),"6483793674284")</f>
        <v>6483793674284</v>
      </c>
      <c r="AW961" s="65">
        <f>IFERROR(__xludf.DUMMYFUNCTION("""COMPUTED_VALUE"""),5905.0)</f>
        <v>5905</v>
      </c>
      <c r="AX961" s="65"/>
      <c r="AY961" s="65" t="str">
        <f>IFERROR(__xludf.DUMMYFUNCTION("""COMPUTED_VALUE"""),"10/02/2026")</f>
        <v>10/02/2026</v>
      </c>
      <c r="AZ961" s="65"/>
      <c r="BA961" s="65"/>
    </row>
    <row r="962">
      <c r="A962" s="65" t="str">
        <f>IFERROR(__xludf.DUMMYFUNCTION("""COMPUTED_VALUE"""),"27-03-2026")</f>
        <v>27-03-2026</v>
      </c>
      <c r="B962" s="65">
        <f>IFERROR(__xludf.DUMMYFUNCTION("""COMPUTED_VALUE"""),4432093.0)</f>
        <v>4432093</v>
      </c>
      <c r="C962" s="65" t="str">
        <f>IFERROR(__xludf.DUMMYFUNCTION("""COMPUTED_VALUE"""),"16:45")</f>
        <v>16:45</v>
      </c>
      <c r="D962" s="65" t="str">
        <f>IFERROR(__xludf.DUMMYFUNCTION("""COMPUTED_VALUE"""),"07-02-2026")</f>
        <v>07-02-2026</v>
      </c>
      <c r="E962" s="65" t="str">
        <f>IFERROR(__xludf.DUMMYFUNCTION("""COMPUTED_VALUE"""),"Isabel Cristina SUR")</f>
        <v>Isabel Cristina SUR</v>
      </c>
      <c r="F962" s="65" t="str">
        <f>IFERROR(__xludf.DUMMYFUNCTION("""COMPUTED_VALUE"""),"963763707")</f>
        <v>963763707</v>
      </c>
      <c r="G962" s="65" t="str">
        <f>IFERROR(__xludf.DUMMYFUNCTION("""COMPUTED_VALUE"""),"isa_crissvale@hotmail.com")</f>
        <v>isa_crissvale@hotmail.com</v>
      </c>
      <c r="H962" s="65"/>
      <c r="I962" s="65"/>
      <c r="J962" s="65"/>
      <c r="K962" s="65" t="str">
        <f>IFERROR(__xludf.DUMMYFUNCTION("""COMPUTED_VALUE"""),"PENDIENTE CONFIRMACION")</f>
        <v>PENDIENTE CONFIRMACION</v>
      </c>
      <c r="L962" s="65" t="str">
        <f>IFERROR(__xludf.DUMMYFUNCTION("""COMPUTED_VALUE"""),"CON RECAUDO")</f>
        <v>CON RECAUDO</v>
      </c>
      <c r="M962" s="65" t="str">
        <f>IFERROR(__xludf.DUMMYFUNCTION("""COMPUTED_VALUE"""),"PICHINCHA")</f>
        <v>PICHINCHA</v>
      </c>
      <c r="N962" s="65" t="str">
        <f>IFERROR(__xludf.DUMMYFUNCTION("""COMPUTED_VALUE"""),"QUITO")</f>
        <v>QUITO</v>
      </c>
      <c r="O962" s="65" t="str">
        <f>IFERROR(__xludf.DUMMYFUNCTION("""COMPUTED_VALUE"""),"Salvador Bravo Durazno -")</f>
        <v>Salvador Bravo Durazno -</v>
      </c>
      <c r="P962" s="65"/>
      <c r="Q962" s="65" t="str">
        <f>IFERROR(__xludf.DUMMYFUNCTION("""COMPUTED_VALUE"""),"GINTRACOM")</f>
        <v>GINTRACOM</v>
      </c>
      <c r="R962" s="65">
        <f>IFERROR(__xludf.DUMMYFUNCTION("""COMPUTED_VALUE"""),25.0)</f>
        <v>25</v>
      </c>
      <c r="S962" s="65"/>
      <c r="T962" s="65">
        <f>IFERROR(__xludf.DUMMYFUNCTION("""COMPUTED_VALUE"""),5.96)</f>
        <v>5.96</v>
      </c>
      <c r="U962" s="65">
        <f>IFERROR(__xludf.DUMMYFUNCTION("""COMPUTED_VALUE"""),0.0)</f>
        <v>0</v>
      </c>
      <c r="V962" s="65">
        <f>IFERROR(__xludf.DUMMYFUNCTION("""COMPUTED_VALUE"""),0.0)</f>
        <v>0</v>
      </c>
      <c r="W962" s="65">
        <f>IFERROR(__xludf.DUMMYFUNCTION("""COMPUTED_VALUE"""),0.0)</f>
        <v>0</v>
      </c>
      <c r="X962" s="65">
        <f>IFERROR(__xludf.DUMMYFUNCTION("""COMPUTED_VALUE"""),2.2)</f>
        <v>2.2</v>
      </c>
      <c r="Y962" s="65">
        <f>IFERROR(__xludf.DUMMYFUNCTION("""COMPUTED_VALUE"""),4.4)</f>
        <v>4.4</v>
      </c>
      <c r="Z962" s="65">
        <f>IFERROR(__xludf.DUMMYFUNCTION("""COMPUTED_VALUE"""),111894.0)</f>
        <v>111894</v>
      </c>
      <c r="AA962" s="65" t="str">
        <f>IFERROR(__xludf.DUMMYFUNCTION("""COMPUTED_VALUE"""),"LYIC5M40067")</f>
        <v>LYIC5M40067</v>
      </c>
      <c r="AB962" s="65"/>
      <c r="AC962" s="65" t="str">
        <f>IFERROR(__xludf.DUMMYFUNCTION("""COMPUTED_VALUE"""),"Limpiador de Parabrisas y Ventanas")</f>
        <v>Limpiador de Parabrisas y Ventanas</v>
      </c>
      <c r="AD962" s="65"/>
      <c r="AE962" s="65">
        <f>IFERROR(__xludf.DUMMYFUNCTION("""COMPUTED_VALUE"""),2.0)</f>
        <v>2</v>
      </c>
      <c r="AF962" s="65"/>
      <c r="AG962" s="65"/>
      <c r="AH962" s="65"/>
      <c r="AI962" s="65"/>
      <c r="AJ962" s="65"/>
      <c r="AK962" s="65"/>
      <c r="AL962" s="65"/>
      <c r="AM962" s="65"/>
      <c r="AN962" s="65"/>
      <c r="AO962" s="65"/>
      <c r="AP962" s="65"/>
      <c r="AQ962" s="65"/>
      <c r="AR962" s="65"/>
      <c r="AS962" s="65"/>
      <c r="AT962" s="65" t="str">
        <f>IFERROR(__xludf.DUMMYFUNCTION("""COMPUTED_VALUE"""),"SHOPIFY")</f>
        <v>SHOPIFY</v>
      </c>
      <c r="AU962" s="65" t="str">
        <f>IFERROR(__xludf.DUMMYFUNCTION("""COMPUTED_VALUE"""),"IMPORTEX EC")</f>
        <v>IMPORTEX EC</v>
      </c>
      <c r="AV962" s="65" t="str">
        <f>IFERROR(__xludf.DUMMYFUNCTION("""COMPUTED_VALUE"""),"6484023148588")</f>
        <v>6484023148588</v>
      </c>
      <c r="AW962" s="65">
        <f>IFERROR(__xludf.DUMMYFUNCTION("""COMPUTED_VALUE"""),5906.0)</f>
        <v>5906</v>
      </c>
      <c r="AX962" s="65"/>
      <c r="AY962" s="65"/>
      <c r="AZ962" s="65"/>
      <c r="BA962" s="65"/>
    </row>
    <row r="963">
      <c r="A963" s="65" t="str">
        <f>IFERROR(__xludf.DUMMYFUNCTION("""COMPUTED_VALUE"""),"27-03-2026")</f>
        <v>27-03-2026</v>
      </c>
      <c r="B963" s="65">
        <f>IFERROR(__xludf.DUMMYFUNCTION("""COMPUTED_VALUE"""),4432091.0)</f>
        <v>4432091</v>
      </c>
      <c r="C963" s="65" t="str">
        <f>IFERROR(__xludf.DUMMYFUNCTION("""COMPUTED_VALUE"""),"16:45")</f>
        <v>16:45</v>
      </c>
      <c r="D963" s="65" t="str">
        <f>IFERROR(__xludf.DUMMYFUNCTION("""COMPUTED_VALUE"""),"07-02-2026")</f>
        <v>07-02-2026</v>
      </c>
      <c r="E963" s="65" t="str">
        <f>IFERROR(__xludf.DUMMYFUNCTION("""COMPUTED_VALUE"""),"Eva Jacome")</f>
        <v>Eva Jacome</v>
      </c>
      <c r="F963" s="65" t="str">
        <f>IFERROR(__xludf.DUMMYFUNCTION("""COMPUTED_VALUE"""),"983528851")</f>
        <v>983528851</v>
      </c>
      <c r="G963" s="65" t="str">
        <f>IFERROR(__xludf.DUMMYFUNCTION("""COMPUTED_VALUE"""),"jeva5352@gmail.com")</f>
        <v>jeva5352@gmail.com</v>
      </c>
      <c r="H963" s="65"/>
      <c r="I963" s="65"/>
      <c r="J963" s="65" t="str">
        <f>IFERROR(__xludf.DUMMYFUNCTION("""COMPUTED_VALUE"""),"D001313023")</f>
        <v>D001313023</v>
      </c>
      <c r="K963" s="65" t="str">
        <f>IFERROR(__xludf.DUMMYFUNCTION("""COMPUTED_VALUE"""),"DEVOLUCION")</f>
        <v>DEVOLUCION</v>
      </c>
      <c r="L963" s="65" t="str">
        <f>IFERROR(__xludf.DUMMYFUNCTION("""COMPUTED_VALUE"""),"CON RECAUDO")</f>
        <v>CON RECAUDO</v>
      </c>
      <c r="M963" s="65" t="str">
        <f>IFERROR(__xludf.DUMMYFUNCTION("""COMPUTED_VALUE"""),"GUAYAS")</f>
        <v>GUAYAS</v>
      </c>
      <c r="N963" s="65" t="str">
        <f>IFERROR(__xludf.DUMMYFUNCTION("""COMPUTED_VALUE"""),"GUAYAQUIL")</f>
        <v>GUAYAQUIL</v>
      </c>
      <c r="O963" s="65" t="str">
        <f>IFERROR(__xludf.DUMMYFUNCTION("""COMPUTED_VALUE"""),"Guasmo central Cooperativa 7 de septiembre M9 Z18 - 14  -Diagonal a la panadería Alexander casa esquina de 2 pisos color blanca")</f>
        <v>Guasmo central Cooperativa 7 de septiembre M9 Z18 - 14  -Diagonal a la panadería Alexander casa esquina de 2 pisos color blanca</v>
      </c>
      <c r="P963" s="65"/>
      <c r="Q963" s="65" t="str">
        <f>IFERROR(__xludf.DUMMYFUNCTION("""COMPUTED_VALUE"""),"GINTRACOM")</f>
        <v>GINTRACOM</v>
      </c>
      <c r="R963" s="65">
        <f>IFERROR(__xludf.DUMMYFUNCTION("""COMPUTED_VALUE"""),20.0)</f>
        <v>20</v>
      </c>
      <c r="S963" s="65"/>
      <c r="T963" s="65">
        <f>IFERROR(__xludf.DUMMYFUNCTION("""COMPUTED_VALUE"""),4.15)</f>
        <v>4.15</v>
      </c>
      <c r="U963" s="65">
        <f>IFERROR(__xludf.DUMMYFUNCTION("""COMPUTED_VALUE"""),0.0)</f>
        <v>0</v>
      </c>
      <c r="V963" s="65">
        <f>IFERROR(__xludf.DUMMYFUNCTION("""COMPUTED_VALUE"""),0.0)</f>
        <v>0</v>
      </c>
      <c r="W963" s="65">
        <f>IFERROR(__xludf.DUMMYFUNCTION("""COMPUTED_VALUE"""),0.0)</f>
        <v>0</v>
      </c>
      <c r="X963" s="65">
        <f>IFERROR(__xludf.DUMMYFUNCTION("""COMPUTED_VALUE"""),2.2)</f>
        <v>2.2</v>
      </c>
      <c r="Y963" s="65">
        <f>IFERROR(__xludf.DUMMYFUNCTION("""COMPUTED_VALUE"""),2.2)</f>
        <v>2.2</v>
      </c>
      <c r="Z963" s="65">
        <f>IFERROR(__xludf.DUMMYFUNCTION("""COMPUTED_VALUE"""),111894.0)</f>
        <v>111894</v>
      </c>
      <c r="AA963" s="65" t="str">
        <f>IFERROR(__xludf.DUMMYFUNCTION("""COMPUTED_VALUE"""),"LYIC5M40067")</f>
        <v>LYIC5M40067</v>
      </c>
      <c r="AB963" s="65"/>
      <c r="AC963" s="65" t="str">
        <f>IFERROR(__xludf.DUMMYFUNCTION("""COMPUTED_VALUE"""),"Limpiador de Parabrisas y Ventanas")</f>
        <v>Limpiador de Parabrisas y Ventanas</v>
      </c>
      <c r="AD963" s="65"/>
      <c r="AE963" s="65">
        <f>IFERROR(__xludf.DUMMYFUNCTION("""COMPUTED_VALUE"""),1.0)</f>
        <v>1</v>
      </c>
      <c r="AF963" s="65" t="str">
        <f>IFERROR(__xludf.DUMMYFUNCTION("""COMPUTED_VALUE"""),"DESTINATARIO NO CONTESTA LLAMADAS NI WHATSAPP")</f>
        <v>DESTINATARIO NO CONTESTA LLAMADAS NI WHATSAPP</v>
      </c>
      <c r="AG963" s="65" t="str">
        <f>IFERROR(__xludf.DUMMYFUNCTION("""COMPUTED_VALUE"""),"NO")</f>
        <v>NO</v>
      </c>
      <c r="AH963" s="65" t="str">
        <f>IFERROR(__xludf.DUMMYFUNCTION("""COMPUTED_VALUE"""),"09:00")</f>
        <v>09:00</v>
      </c>
      <c r="AI963" s="65" t="str">
        <f>IFERROR(__xludf.DUMMYFUNCTION("""COMPUTED_VALUE"""),"19-02-2026")</f>
        <v>19-02-2026</v>
      </c>
      <c r="AJ963" s="65"/>
      <c r="AK963" s="65"/>
      <c r="AL963" s="65"/>
      <c r="AM963" s="65"/>
      <c r="AN963" s="65" t="str">
        <f>IFERROR(__xludf.DUMMYFUNCTION("""COMPUTED_VALUE"""),"12:10")</f>
        <v>12:10</v>
      </c>
      <c r="AO963" s="65" t="str">
        <f>IFERROR(__xludf.DUMMYFUNCTION("""COMPUTED_VALUE"""),"04-03-2026")</f>
        <v>04-03-2026</v>
      </c>
      <c r="AP963" s="65" t="str">
        <f>IFERROR(__xludf.DUMMYFUNCTION("""COMPUTED_VALUE"""),"DEVOLUCIÓN ENTREGADA A ORIGEN")</f>
        <v>DEVOLUCIÓN ENTREGADA A ORIGEN</v>
      </c>
      <c r="AQ963" s="65" t="str">
        <f>IFERROR(__xludf.DUMMYFUNCTION("""COMPUTED_VALUE"""),"DEVOLUCIÓN ENTREGADA A ORIGEN")</f>
        <v>DEVOLUCIÓN ENTREGADA A ORIGEN</v>
      </c>
      <c r="AR963" s="65"/>
      <c r="AS963" s="65"/>
      <c r="AT963" s="65" t="str">
        <f>IFERROR(__xludf.DUMMYFUNCTION("""COMPUTED_VALUE"""),"SHOPIFY")</f>
        <v>SHOPIFY</v>
      </c>
      <c r="AU963" s="65" t="str">
        <f>IFERROR(__xludf.DUMMYFUNCTION("""COMPUTED_VALUE"""),"IMPORTEX EC")</f>
        <v>IMPORTEX EC</v>
      </c>
      <c r="AV963" s="65" t="str">
        <f>IFERROR(__xludf.DUMMYFUNCTION("""COMPUTED_VALUE"""),"6484124565548")</f>
        <v>6484124565548</v>
      </c>
      <c r="AW963" s="65">
        <f>IFERROR(__xludf.DUMMYFUNCTION("""COMPUTED_VALUE"""),5907.0)</f>
        <v>5907</v>
      </c>
      <c r="AX963" s="65"/>
      <c r="AY963" s="65" t="str">
        <f>IFERROR(__xludf.DUMMYFUNCTION("""COMPUTED_VALUE"""),"09/02/2026")</f>
        <v>09/02/2026</v>
      </c>
      <c r="AZ963" s="65"/>
      <c r="BA963" s="65"/>
    </row>
    <row r="964">
      <c r="A964" s="65" t="str">
        <f>IFERROR(__xludf.DUMMYFUNCTION("""COMPUTED_VALUE"""),"27-03-2026")</f>
        <v>27-03-2026</v>
      </c>
      <c r="B964" s="65">
        <f>IFERROR(__xludf.DUMMYFUNCTION("""COMPUTED_VALUE"""),4432090.0)</f>
        <v>4432090</v>
      </c>
      <c r="C964" s="65" t="str">
        <f>IFERROR(__xludf.DUMMYFUNCTION("""COMPUTED_VALUE"""),"16:45")</f>
        <v>16:45</v>
      </c>
      <c r="D964" s="65" t="str">
        <f>IFERROR(__xludf.DUMMYFUNCTION("""COMPUTED_VALUE"""),"07-02-2026")</f>
        <v>07-02-2026</v>
      </c>
      <c r="E964" s="65" t="str">
        <f>IFERROR(__xludf.DUMMYFUNCTION("""COMPUTED_VALUE"""),"Paola Cedeño Cedeño")</f>
        <v>Paola Cedeño Cedeño</v>
      </c>
      <c r="F964" s="65" t="str">
        <f>IFERROR(__xludf.DUMMYFUNCTION("""COMPUTED_VALUE"""),"968879348")</f>
        <v>968879348</v>
      </c>
      <c r="G964" s="65" t="str">
        <f>IFERROR(__xludf.DUMMYFUNCTION("""COMPUTED_VALUE"""),"pgcv7703@hotmail.com")</f>
        <v>pgcv7703@hotmail.com</v>
      </c>
      <c r="H964" s="65"/>
      <c r="I964" s="65"/>
      <c r="J964" s="65" t="str">
        <f>IFERROR(__xludf.DUMMYFUNCTION("""COMPUTED_VALUE"""),"D001313024")</f>
        <v>D001313024</v>
      </c>
      <c r="K964" s="65" t="str">
        <f>IFERROR(__xludf.DUMMYFUNCTION("""COMPUTED_VALUE"""),"DEVOLUCION")</f>
        <v>DEVOLUCION</v>
      </c>
      <c r="L964" s="65" t="str">
        <f>IFERROR(__xludf.DUMMYFUNCTION("""COMPUTED_VALUE"""),"CON RECAUDO")</f>
        <v>CON RECAUDO</v>
      </c>
      <c r="M964" s="65" t="str">
        <f>IFERROR(__xludf.DUMMYFUNCTION("""COMPUTED_VALUE"""),"PICHINCHA")</f>
        <v>PICHINCHA</v>
      </c>
      <c r="N964" s="65" t="str">
        <f>IFERROR(__xludf.DUMMYFUNCTION("""COMPUTED_VALUE"""),"QUITO")</f>
        <v>QUITO</v>
      </c>
      <c r="O964" s="65" t="str">
        <f>IFERROR(__xludf.DUMMYFUNCTION("""COMPUTED_VALUE"""),"Calle Capri Y Av Eloy Alfaro Conjunto Génova 2 Casa 34-b -")</f>
        <v>Calle Capri Y Av Eloy Alfaro Conjunto Génova 2 Casa 34-b -</v>
      </c>
      <c r="P964" s="65"/>
      <c r="Q964" s="65" t="str">
        <f>IFERROR(__xludf.DUMMYFUNCTION("""COMPUTED_VALUE"""),"GINTRACOM")</f>
        <v>GINTRACOM</v>
      </c>
      <c r="R964" s="65">
        <f>IFERROR(__xludf.DUMMYFUNCTION("""COMPUTED_VALUE"""),20.0)</f>
        <v>20</v>
      </c>
      <c r="S964" s="65"/>
      <c r="T964" s="65">
        <f>IFERROR(__xludf.DUMMYFUNCTION("""COMPUTED_VALUE"""),5.76)</f>
        <v>5.76</v>
      </c>
      <c r="U964" s="65">
        <f>IFERROR(__xludf.DUMMYFUNCTION("""COMPUTED_VALUE"""),0.0)</f>
        <v>0</v>
      </c>
      <c r="V964" s="65">
        <f>IFERROR(__xludf.DUMMYFUNCTION("""COMPUTED_VALUE"""),0.0)</f>
        <v>0</v>
      </c>
      <c r="W964" s="65">
        <f>IFERROR(__xludf.DUMMYFUNCTION("""COMPUTED_VALUE"""),0.0)</f>
        <v>0</v>
      </c>
      <c r="X964" s="65">
        <f>IFERROR(__xludf.DUMMYFUNCTION("""COMPUTED_VALUE"""),2.2)</f>
        <v>2.2</v>
      </c>
      <c r="Y964" s="65">
        <f>IFERROR(__xludf.DUMMYFUNCTION("""COMPUTED_VALUE"""),2.2)</f>
        <v>2.2</v>
      </c>
      <c r="Z964" s="65">
        <f>IFERROR(__xludf.DUMMYFUNCTION("""COMPUTED_VALUE"""),111894.0)</f>
        <v>111894</v>
      </c>
      <c r="AA964" s="65" t="str">
        <f>IFERROR(__xludf.DUMMYFUNCTION("""COMPUTED_VALUE"""),"LYIC5M40067")</f>
        <v>LYIC5M40067</v>
      </c>
      <c r="AB964" s="65"/>
      <c r="AC964" s="65" t="str">
        <f>IFERROR(__xludf.DUMMYFUNCTION("""COMPUTED_VALUE"""),"Limpiador de Parabrisas y Ventanas")</f>
        <v>Limpiador de Parabrisas y Ventanas</v>
      </c>
      <c r="AD964" s="65"/>
      <c r="AE964" s="65">
        <f>IFERROR(__xludf.DUMMYFUNCTION("""COMPUTED_VALUE"""),1.0)</f>
        <v>1</v>
      </c>
      <c r="AF964" s="65" t="str">
        <f>IFERROR(__xludf.DUMMYFUNCTION("""COMPUTED_VALUE"""),"DESTINATARIO NO CONTESTA LLAMADAS NI WHATSAPP")</f>
        <v>DESTINATARIO NO CONTESTA LLAMADAS NI WHATSAPP</v>
      </c>
      <c r="AG964" s="65" t="str">
        <f>IFERROR(__xludf.DUMMYFUNCTION("""COMPUTED_VALUE"""),"NO")</f>
        <v>NO</v>
      </c>
      <c r="AH964" s="65" t="str">
        <f>IFERROR(__xludf.DUMMYFUNCTION("""COMPUTED_VALUE"""),"09:00")</f>
        <v>09:00</v>
      </c>
      <c r="AI964" s="65" t="str">
        <f>IFERROR(__xludf.DUMMYFUNCTION("""COMPUTED_VALUE"""),"20-02-2026")</f>
        <v>20-02-2026</v>
      </c>
      <c r="AJ964" s="65"/>
      <c r="AK964" s="65"/>
      <c r="AL964" s="65"/>
      <c r="AM964" s="65"/>
      <c r="AN964" s="65" t="str">
        <f>IFERROR(__xludf.DUMMYFUNCTION("""COMPUTED_VALUE"""),"11:30")</f>
        <v>11:30</v>
      </c>
      <c r="AO964" s="65" t="str">
        <f>IFERROR(__xludf.DUMMYFUNCTION("""COMPUTED_VALUE"""),"02-03-2026")</f>
        <v>02-03-2026</v>
      </c>
      <c r="AP964" s="65" t="str">
        <f>IFERROR(__xludf.DUMMYFUNCTION("""COMPUTED_VALUE"""),"DEVOLUCIÓN ENTREGADA A ORIGEN")</f>
        <v>DEVOLUCIÓN ENTREGADA A ORIGEN</v>
      </c>
      <c r="AQ964" s="65" t="str">
        <f>IFERROR(__xludf.DUMMYFUNCTION("""COMPUTED_VALUE"""),"DEVOLUCIÓN ENTREGADA A ORIGEN")</f>
        <v>DEVOLUCIÓN ENTREGADA A ORIGEN</v>
      </c>
      <c r="AR964" s="65"/>
      <c r="AS964" s="65"/>
      <c r="AT964" s="65" t="str">
        <f>IFERROR(__xludf.DUMMYFUNCTION("""COMPUTED_VALUE"""),"SHOPIFY")</f>
        <v>SHOPIFY</v>
      </c>
      <c r="AU964" s="65" t="str">
        <f>IFERROR(__xludf.DUMMYFUNCTION("""COMPUTED_VALUE"""),"IMPORTEX EC")</f>
        <v>IMPORTEX EC</v>
      </c>
      <c r="AV964" s="65" t="str">
        <f>IFERROR(__xludf.DUMMYFUNCTION("""COMPUTED_VALUE"""),"6484225130540")</f>
        <v>6484225130540</v>
      </c>
      <c r="AW964" s="65">
        <f>IFERROR(__xludf.DUMMYFUNCTION("""COMPUTED_VALUE"""),5908.0)</f>
        <v>5908</v>
      </c>
      <c r="AX964" s="65"/>
      <c r="AY964" s="65" t="str">
        <f>IFERROR(__xludf.DUMMYFUNCTION("""COMPUTED_VALUE"""),"09/02/2026")</f>
        <v>09/02/2026</v>
      </c>
      <c r="AZ964" s="65"/>
      <c r="BA964" s="65"/>
    </row>
    <row r="965">
      <c r="A965" s="65" t="str">
        <f>IFERROR(__xludf.DUMMYFUNCTION("""COMPUTED_VALUE"""),"27-03-2026")</f>
        <v>27-03-2026</v>
      </c>
      <c r="B965" s="65">
        <f>IFERROR(__xludf.DUMMYFUNCTION("""COMPUTED_VALUE"""),4432088.0)</f>
        <v>4432088</v>
      </c>
      <c r="C965" s="65" t="str">
        <f>IFERROR(__xludf.DUMMYFUNCTION("""COMPUTED_VALUE"""),"16:45")</f>
        <v>16:45</v>
      </c>
      <c r="D965" s="65" t="str">
        <f>IFERROR(__xludf.DUMMYFUNCTION("""COMPUTED_VALUE"""),"07-02-2026")</f>
        <v>07-02-2026</v>
      </c>
      <c r="E965" s="65" t="str">
        <f>IFERROR(__xludf.DUMMYFUNCTION("""COMPUTED_VALUE"""),"Miguel Ángel Morocho")</f>
        <v>Miguel Ángel Morocho</v>
      </c>
      <c r="F965" s="65" t="str">
        <f>IFERROR(__xludf.DUMMYFUNCTION("""COMPUTED_VALUE"""),"986019433")</f>
        <v>986019433</v>
      </c>
      <c r="G965" s="65" t="str">
        <f>IFERROR(__xludf.DUMMYFUNCTION("""COMPUTED_VALUE"""),"miguelangelmorocholozano53@gmail.com")</f>
        <v>miguelangelmorocholozano53@gmail.com</v>
      </c>
      <c r="H965" s="65"/>
      <c r="I965" s="65"/>
      <c r="J965" s="65"/>
      <c r="K965" s="65" t="str">
        <f>IFERROR(__xludf.DUMMYFUNCTION("""COMPUTED_VALUE"""),"PENDIENTE CONFIRMACION")</f>
        <v>PENDIENTE CONFIRMACION</v>
      </c>
      <c r="L965" s="65" t="str">
        <f>IFERROR(__xludf.DUMMYFUNCTION("""COMPUTED_VALUE"""),"CON RECAUDO")</f>
        <v>CON RECAUDO</v>
      </c>
      <c r="M965" s="65" t="str">
        <f>IFERROR(__xludf.DUMMYFUNCTION("""COMPUTED_VALUE"""),"LOJA")</f>
        <v>LOJA</v>
      </c>
      <c r="N965" s="65" t="str">
        <f>IFERROR(__xludf.DUMMYFUNCTION("""COMPUTED_VALUE"""),"LOJA")</f>
        <v>LOJA</v>
      </c>
      <c r="O965" s="65" t="str">
        <f>IFERROR(__xludf.DUMMYFUNCTION("""COMPUTED_VALUE"""),"Via a ciudadela junto al cementerio Frente al cementerio -")</f>
        <v>Via a ciudadela junto al cementerio Frente al cementerio -</v>
      </c>
      <c r="P965" s="65"/>
      <c r="Q965" s="65" t="str">
        <f>IFERROR(__xludf.DUMMYFUNCTION("""COMPUTED_VALUE"""),"GINTRACOM")</f>
        <v>GINTRACOM</v>
      </c>
      <c r="R965" s="65">
        <f>IFERROR(__xludf.DUMMYFUNCTION("""COMPUTED_VALUE"""),22.0)</f>
        <v>22</v>
      </c>
      <c r="S965" s="65"/>
      <c r="T965" s="65">
        <f>IFERROR(__xludf.DUMMYFUNCTION("""COMPUTED_VALUE"""),5.84)</f>
        <v>5.84</v>
      </c>
      <c r="U965" s="65">
        <f>IFERROR(__xludf.DUMMYFUNCTION("""COMPUTED_VALUE"""),0.0)</f>
        <v>0</v>
      </c>
      <c r="V965" s="65">
        <f>IFERROR(__xludf.DUMMYFUNCTION("""COMPUTED_VALUE"""),0.0)</f>
        <v>0</v>
      </c>
      <c r="W965" s="65">
        <f>IFERROR(__xludf.DUMMYFUNCTION("""COMPUTED_VALUE"""),0.0)</f>
        <v>0</v>
      </c>
      <c r="X965" s="65">
        <f>IFERROR(__xludf.DUMMYFUNCTION("""COMPUTED_VALUE"""),2.6)</f>
        <v>2.6</v>
      </c>
      <c r="Y965" s="65">
        <f>IFERROR(__xludf.DUMMYFUNCTION("""COMPUTED_VALUE"""),5.2)</f>
        <v>5.2</v>
      </c>
      <c r="Z965" s="65">
        <f>IFERROR(__xludf.DUMMYFUNCTION("""COMPUTED_VALUE"""),121983.0)</f>
        <v>121983</v>
      </c>
      <c r="AA965" s="65" t="str">
        <f>IFERROR(__xludf.DUMMYFUNCTION("""COMPUTED_VALUE"""),"PROV-CHLLCF")</f>
        <v>PROV-CHLLCF</v>
      </c>
      <c r="AB965" s="65"/>
      <c r="AC965" s="65" t="str">
        <f>IFERROR(__xludf.DUMMYFUNCTION("""COMPUTED_VALUE"""),"CUCHILLO PARA CHEF")</f>
        <v>CUCHILLO PARA CHEF</v>
      </c>
      <c r="AD965" s="65"/>
      <c r="AE965" s="65">
        <f>IFERROR(__xludf.DUMMYFUNCTION("""COMPUTED_VALUE"""),2.0)</f>
        <v>2</v>
      </c>
      <c r="AF965" s="65"/>
      <c r="AG965" s="65"/>
      <c r="AH965" s="65"/>
      <c r="AI965" s="65"/>
      <c r="AJ965" s="65"/>
      <c r="AK965" s="65"/>
      <c r="AL965" s="65"/>
      <c r="AM965" s="65"/>
      <c r="AN965" s="65"/>
      <c r="AO965" s="65"/>
      <c r="AP965" s="65"/>
      <c r="AQ965" s="65"/>
      <c r="AR965" s="65"/>
      <c r="AS965" s="65"/>
      <c r="AT965" s="65" t="str">
        <f>IFERROR(__xludf.DUMMYFUNCTION("""COMPUTED_VALUE"""),"SHOPIFY")</f>
        <v>SHOPIFY</v>
      </c>
      <c r="AU965" s="65" t="str">
        <f>IFERROR(__xludf.DUMMYFUNCTION("""COMPUTED_VALUE"""),"IMPORTEX EC")</f>
        <v>IMPORTEX EC</v>
      </c>
      <c r="AV965" s="65" t="str">
        <f>IFERROR(__xludf.DUMMYFUNCTION("""COMPUTED_VALUE"""),"6484231127084")</f>
        <v>6484231127084</v>
      </c>
      <c r="AW965" s="65">
        <f>IFERROR(__xludf.DUMMYFUNCTION("""COMPUTED_VALUE"""),5909.0)</f>
        <v>5909</v>
      </c>
      <c r="AX965" s="65"/>
      <c r="AY965" s="65"/>
      <c r="AZ965" s="65"/>
      <c r="BA965" s="65"/>
    </row>
    <row r="966">
      <c r="A966" s="65" t="str">
        <f>IFERROR(__xludf.DUMMYFUNCTION("""COMPUTED_VALUE"""),"27-03-2026")</f>
        <v>27-03-2026</v>
      </c>
      <c r="B966" s="65">
        <f>IFERROR(__xludf.DUMMYFUNCTION("""COMPUTED_VALUE"""),4432087.0)</f>
        <v>4432087</v>
      </c>
      <c r="C966" s="65" t="str">
        <f>IFERROR(__xludf.DUMMYFUNCTION("""COMPUTED_VALUE"""),"16:45")</f>
        <v>16:45</v>
      </c>
      <c r="D966" s="65" t="str">
        <f>IFERROR(__xludf.DUMMYFUNCTION("""COMPUTED_VALUE"""),"07-02-2026")</f>
        <v>07-02-2026</v>
      </c>
      <c r="E966" s="65" t="str">
        <f>IFERROR(__xludf.DUMMYFUNCTION("""COMPUTED_VALUE"""),"Miguel marcos Morocho Morocho")</f>
        <v>Miguel marcos Morocho Morocho</v>
      </c>
      <c r="F966" s="65" t="str">
        <f>IFERROR(__xludf.DUMMYFUNCTION("""COMPUTED_VALUE"""),"997349187")</f>
        <v>997349187</v>
      </c>
      <c r="G966" s="65" t="str">
        <f>IFERROR(__xludf.DUMMYFUNCTION("""COMPUTED_VALUE"""),"marco12orrega@hotmail.com")</f>
        <v>marco12orrega@hotmail.com</v>
      </c>
      <c r="H966" s="65"/>
      <c r="I966" s="65"/>
      <c r="J966" s="65" t="str">
        <f>IFERROR(__xludf.DUMMYFUNCTION("""COMPUTED_VALUE"""),"LC52832256")</f>
        <v>LC52832256</v>
      </c>
      <c r="K966" s="65" t="str">
        <f>IFERROR(__xludf.DUMMYFUNCTION("""COMPUTED_VALUE"""),"ENTREGADO")</f>
        <v>ENTREGADO</v>
      </c>
      <c r="L966" s="65" t="str">
        <f>IFERROR(__xludf.DUMMYFUNCTION("""COMPUTED_VALUE"""),"CON RECAUDO")</f>
        <v>CON RECAUDO</v>
      </c>
      <c r="M966" s="65" t="str">
        <f>IFERROR(__xludf.DUMMYFUNCTION("""COMPUTED_VALUE"""),"AZUAY")</f>
        <v>AZUAY</v>
      </c>
      <c r="N966" s="65" t="str">
        <f>IFERROR(__xludf.DUMMYFUNCTION("""COMPUTED_VALUE"""),"SIG SIG")</f>
        <v>SIG SIG</v>
      </c>
      <c r="O966" s="65" t="str">
        <f>IFERROR(__xludf.DUMMYFUNCTION("""COMPUTED_VALUE"""),"Av kenedy y Davila  Casa azul -  REFERENCIA al hospital San Sebastián, FRENTE , de entrada de emergencia.")</f>
        <v>Av kenedy y Davila  Casa azul -  REFERENCIA al hospital San Sebastián, FRENTE , de entrada de emergencia.</v>
      </c>
      <c r="P966" s="65"/>
      <c r="Q966" s="65" t="str">
        <f>IFERROR(__xludf.DUMMYFUNCTION("""COMPUTED_VALUE"""),"LAARCOURIER")</f>
        <v>LAARCOURIER</v>
      </c>
      <c r="R966" s="65">
        <f>IFERROR(__xludf.DUMMYFUNCTION("""COMPUTED_VALUE"""),22.0)</f>
        <v>22</v>
      </c>
      <c r="S966" s="65">
        <f>IFERROR(__xludf.DUMMYFUNCTION("""COMPUTED_VALUE"""),9.79)</f>
        <v>9.79</v>
      </c>
      <c r="T966" s="65">
        <f>IFERROR(__xludf.DUMMYFUNCTION("""COMPUTED_VALUE"""),7.01)</f>
        <v>7.01</v>
      </c>
      <c r="U966" s="65">
        <f>IFERROR(__xludf.DUMMYFUNCTION("""COMPUTED_VALUE"""),0.0)</f>
        <v>0</v>
      </c>
      <c r="V966" s="65">
        <f>IFERROR(__xludf.DUMMYFUNCTION("""COMPUTED_VALUE"""),0.0)</f>
        <v>0</v>
      </c>
      <c r="W966" s="65">
        <f>IFERROR(__xludf.DUMMYFUNCTION("""COMPUTED_VALUE"""),0.0)</f>
        <v>0</v>
      </c>
      <c r="X966" s="65">
        <f>IFERROR(__xludf.DUMMYFUNCTION("""COMPUTED_VALUE"""),2.6)</f>
        <v>2.6</v>
      </c>
      <c r="Y966" s="65">
        <f>IFERROR(__xludf.DUMMYFUNCTION("""COMPUTED_VALUE"""),5.2)</f>
        <v>5.2</v>
      </c>
      <c r="Z966" s="65">
        <f>IFERROR(__xludf.DUMMYFUNCTION("""COMPUTED_VALUE"""),121983.0)</f>
        <v>121983</v>
      </c>
      <c r="AA966" s="65" t="str">
        <f>IFERROR(__xludf.DUMMYFUNCTION("""COMPUTED_VALUE"""),"PROV-CHLLCF")</f>
        <v>PROV-CHLLCF</v>
      </c>
      <c r="AB966" s="65"/>
      <c r="AC966" s="65" t="str">
        <f>IFERROR(__xludf.DUMMYFUNCTION("""COMPUTED_VALUE"""),"CUCHILLO PARA CHEF")</f>
        <v>CUCHILLO PARA CHEF</v>
      </c>
      <c r="AD966" s="65"/>
      <c r="AE966" s="65">
        <f>IFERROR(__xludf.DUMMYFUNCTION("""COMPUTED_VALUE"""),2.0)</f>
        <v>2</v>
      </c>
      <c r="AF966" s="65"/>
      <c r="AG966" s="65"/>
      <c r="AH966" s="65"/>
      <c r="AI966" s="65"/>
      <c r="AJ966" s="65"/>
      <c r="AK966" s="65"/>
      <c r="AL966" s="65"/>
      <c r="AM966" s="65"/>
      <c r="AN966" s="65" t="str">
        <f>IFERROR(__xludf.DUMMYFUNCTION("""COMPUTED_VALUE"""),"07:43")</f>
        <v>07:43</v>
      </c>
      <c r="AO966" s="65" t="str">
        <f>IFERROR(__xludf.DUMMYFUNCTION("""COMPUTED_VALUE"""),"18-02-2026")</f>
        <v>18-02-2026</v>
      </c>
      <c r="AP966" s="65" t="str">
        <f>IFERROR(__xludf.DUMMYFUNCTION("""COMPUTED_VALUE"""),"ZONA DE ENTREGA")</f>
        <v>ZONA DE ENTREGA</v>
      </c>
      <c r="AQ966" s="65" t="str">
        <f>IFERROR(__xludf.DUMMYFUNCTION("""COMPUTED_VALUE"""),"ZONA DE ENTREGA")</f>
        <v>ZONA DE ENTREGA</v>
      </c>
      <c r="AR966" s="65"/>
      <c r="AS966" s="65"/>
      <c r="AT966" s="65" t="str">
        <f>IFERROR(__xludf.DUMMYFUNCTION("""COMPUTED_VALUE"""),"SHOPIFY")</f>
        <v>SHOPIFY</v>
      </c>
      <c r="AU966" s="65" t="str">
        <f>IFERROR(__xludf.DUMMYFUNCTION("""COMPUTED_VALUE"""),"IMPORTEX EC")</f>
        <v>IMPORTEX EC</v>
      </c>
      <c r="AV966" s="65" t="str">
        <f>IFERROR(__xludf.DUMMYFUNCTION("""COMPUTED_VALUE"""),"6484268253228")</f>
        <v>6484268253228</v>
      </c>
      <c r="AW966" s="65">
        <f>IFERROR(__xludf.DUMMYFUNCTION("""COMPUTED_VALUE"""),5910.0)</f>
        <v>5910</v>
      </c>
      <c r="AX966" s="65"/>
      <c r="AY966" s="65" t="str">
        <f>IFERROR(__xludf.DUMMYFUNCTION("""COMPUTED_VALUE"""),"10/02/2026")</f>
        <v>10/02/2026</v>
      </c>
      <c r="AZ966" s="65"/>
      <c r="BA966" s="65"/>
    </row>
    <row r="967">
      <c r="A967" s="65" t="str">
        <f>IFERROR(__xludf.DUMMYFUNCTION("""COMPUTED_VALUE"""),"27-03-2026")</f>
        <v>27-03-2026</v>
      </c>
      <c r="B967" s="65">
        <f>IFERROR(__xludf.DUMMYFUNCTION("""COMPUTED_VALUE"""),4432083.0)</f>
        <v>4432083</v>
      </c>
      <c r="C967" s="65" t="str">
        <f>IFERROR(__xludf.DUMMYFUNCTION("""COMPUTED_VALUE"""),"16:44")</f>
        <v>16:44</v>
      </c>
      <c r="D967" s="65" t="str">
        <f>IFERROR(__xludf.DUMMYFUNCTION("""COMPUTED_VALUE"""),"07-02-2026")</f>
        <v>07-02-2026</v>
      </c>
      <c r="E967" s="65" t="str">
        <f>IFERROR(__xludf.DUMMYFUNCTION("""COMPUTED_VALUE"""),"Tamara Alvarez")</f>
        <v>Tamara Alvarez</v>
      </c>
      <c r="F967" s="65" t="str">
        <f>IFERROR(__xludf.DUMMYFUNCTION("""COMPUTED_VALUE"""),"988245248")</f>
        <v>988245248</v>
      </c>
      <c r="G967" s="65" t="str">
        <f>IFERROR(__xludf.DUMMYFUNCTION("""COMPUTED_VALUE"""),"ariastamara14@hotmail.com")</f>
        <v>ariastamara14@hotmail.com</v>
      </c>
      <c r="H967" s="65"/>
      <c r="I967" s="65"/>
      <c r="J967" s="65" t="str">
        <f>IFERROR(__xludf.DUMMYFUNCTION("""COMPUTED_VALUE"""),"D001313025")</f>
        <v>D001313025</v>
      </c>
      <c r="K967" s="65" t="str">
        <f>IFERROR(__xludf.DUMMYFUNCTION("""COMPUTED_VALUE"""),"ENTREGADO")</f>
        <v>ENTREGADO</v>
      </c>
      <c r="L967" s="65" t="str">
        <f>IFERROR(__xludf.DUMMYFUNCTION("""COMPUTED_VALUE"""),"CON RECAUDO")</f>
        <v>CON RECAUDO</v>
      </c>
      <c r="M967" s="65" t="str">
        <f>IFERROR(__xludf.DUMMYFUNCTION("""COMPUTED_VALUE"""),"PICHINCHA")</f>
        <v>PICHINCHA</v>
      </c>
      <c r="N967" s="65" t="str">
        <f>IFERROR(__xludf.DUMMYFUNCTION("""COMPUTED_VALUE"""),"QUITO")</f>
        <v>QUITO</v>
      </c>
      <c r="O967" s="65" t="str">
        <f>IFERROR(__xludf.DUMMYFUNCTION("""COMPUTED_VALUE"""),"Pedro Capiro Oe5-440 y Serapio Japeravi Barrionuevo -")</f>
        <v>Pedro Capiro Oe5-440 y Serapio Japeravi Barrionuevo -</v>
      </c>
      <c r="P967" s="65"/>
      <c r="Q967" s="65" t="str">
        <f>IFERROR(__xludf.DUMMYFUNCTION("""COMPUTED_VALUE"""),"GINTRACOM")</f>
        <v>GINTRACOM</v>
      </c>
      <c r="R967" s="65">
        <f>IFERROR(__xludf.DUMMYFUNCTION("""COMPUTED_VALUE"""),20.0)</f>
        <v>20</v>
      </c>
      <c r="S967" s="65">
        <f>IFERROR(__xludf.DUMMYFUNCTION("""COMPUTED_VALUE"""),12.04)</f>
        <v>12.04</v>
      </c>
      <c r="T967" s="65">
        <f>IFERROR(__xludf.DUMMYFUNCTION("""COMPUTED_VALUE"""),5.76)</f>
        <v>5.76</v>
      </c>
      <c r="U967" s="65">
        <f>IFERROR(__xludf.DUMMYFUNCTION("""COMPUTED_VALUE"""),0.0)</f>
        <v>0</v>
      </c>
      <c r="V967" s="65">
        <f>IFERROR(__xludf.DUMMYFUNCTION("""COMPUTED_VALUE"""),0.0)</f>
        <v>0</v>
      </c>
      <c r="W967" s="65">
        <f>IFERROR(__xludf.DUMMYFUNCTION("""COMPUTED_VALUE"""),0.0)</f>
        <v>0</v>
      </c>
      <c r="X967" s="65">
        <f>IFERROR(__xludf.DUMMYFUNCTION("""COMPUTED_VALUE"""),2.2)</f>
        <v>2.2</v>
      </c>
      <c r="Y967" s="65">
        <f>IFERROR(__xludf.DUMMYFUNCTION("""COMPUTED_VALUE"""),2.2)</f>
        <v>2.2</v>
      </c>
      <c r="Z967" s="65">
        <f>IFERROR(__xludf.DUMMYFUNCTION("""COMPUTED_VALUE"""),111894.0)</f>
        <v>111894</v>
      </c>
      <c r="AA967" s="65" t="str">
        <f>IFERROR(__xludf.DUMMYFUNCTION("""COMPUTED_VALUE"""),"LYIC5M40067")</f>
        <v>LYIC5M40067</v>
      </c>
      <c r="AB967" s="65"/>
      <c r="AC967" s="65" t="str">
        <f>IFERROR(__xludf.DUMMYFUNCTION("""COMPUTED_VALUE"""),"Limpiador de Parabrisas y Ventanas")</f>
        <v>Limpiador de Parabrisas y Ventanas</v>
      </c>
      <c r="AD967" s="65"/>
      <c r="AE967" s="65">
        <f>IFERROR(__xludf.DUMMYFUNCTION("""COMPUTED_VALUE"""),1.0)</f>
        <v>1</v>
      </c>
      <c r="AF967" s="65"/>
      <c r="AG967" s="65"/>
      <c r="AH967" s="65"/>
      <c r="AI967" s="65"/>
      <c r="AJ967" s="65"/>
      <c r="AK967" s="65"/>
      <c r="AL967" s="65"/>
      <c r="AM967" s="65"/>
      <c r="AN967" s="65" t="str">
        <f>IFERROR(__xludf.DUMMYFUNCTION("""COMPUTED_VALUE"""),"12:21")</f>
        <v>12:21</v>
      </c>
      <c r="AO967" s="65" t="str">
        <f>IFERROR(__xludf.DUMMYFUNCTION("""COMPUTED_VALUE"""),"13-02-2026")</f>
        <v>13-02-2026</v>
      </c>
      <c r="AP967" s="65" t="str">
        <f>IFERROR(__xludf.DUMMYFUNCTION("""COMPUTED_VALUE"""),"ENTREGADA GINTRACOM")</f>
        <v>ENTREGADA GINTRACOM</v>
      </c>
      <c r="AQ967" s="65" t="str">
        <f>IFERROR(__xludf.DUMMYFUNCTION("""COMPUTED_VALUE"""),"ENTREGADA GINTRACOM")</f>
        <v>ENTREGADA GINTRACOM</v>
      </c>
      <c r="AR967" s="65"/>
      <c r="AS967" s="65"/>
      <c r="AT967" s="65" t="str">
        <f>IFERROR(__xludf.DUMMYFUNCTION("""COMPUTED_VALUE"""),"SHOPIFY")</f>
        <v>SHOPIFY</v>
      </c>
      <c r="AU967" s="65" t="str">
        <f>IFERROR(__xludf.DUMMYFUNCTION("""COMPUTED_VALUE"""),"IMPORTEX EC")</f>
        <v>IMPORTEX EC</v>
      </c>
      <c r="AV967" s="65" t="str">
        <f>IFERROR(__xludf.DUMMYFUNCTION("""COMPUTED_VALUE"""),"6484320550956")</f>
        <v>6484320550956</v>
      </c>
      <c r="AW967" s="65">
        <f>IFERROR(__xludf.DUMMYFUNCTION("""COMPUTED_VALUE"""),5912.0)</f>
        <v>5912</v>
      </c>
      <c r="AX967" s="65"/>
      <c r="AY967" s="65" t="str">
        <f>IFERROR(__xludf.DUMMYFUNCTION("""COMPUTED_VALUE"""),"09/02/2026")</f>
        <v>09/02/2026</v>
      </c>
      <c r="AZ967" s="65"/>
      <c r="BA967" s="65"/>
    </row>
    <row r="968">
      <c r="A968" s="65" t="str">
        <f>IFERROR(__xludf.DUMMYFUNCTION("""COMPUTED_VALUE"""),"27-03-2026")</f>
        <v>27-03-2026</v>
      </c>
      <c r="B968" s="65">
        <f>IFERROR(__xludf.DUMMYFUNCTION("""COMPUTED_VALUE"""),4432081.0)</f>
        <v>4432081</v>
      </c>
      <c r="C968" s="65" t="str">
        <f>IFERROR(__xludf.DUMMYFUNCTION("""COMPUTED_VALUE"""),"16:44")</f>
        <v>16:44</v>
      </c>
      <c r="D968" s="65" t="str">
        <f>IFERROR(__xludf.DUMMYFUNCTION("""COMPUTED_VALUE"""),"07-02-2026")</f>
        <v>07-02-2026</v>
      </c>
      <c r="E968" s="65" t="str">
        <f>IFERROR(__xludf.DUMMYFUNCTION("""COMPUTED_VALUE"""),"ELIECER NOE Camacho Vite")</f>
        <v>ELIECER NOE Camacho Vite</v>
      </c>
      <c r="F968" s="65" t="str">
        <f>IFERROR(__xludf.DUMMYFUNCTION("""COMPUTED_VALUE"""),"960181726")</f>
        <v>960181726</v>
      </c>
      <c r="G968" s="65" t="str">
        <f>IFERROR(__xludf.DUMMYFUNCTION("""COMPUTED_VALUE"""),"ekmacho3@hotmail.com")</f>
        <v>ekmacho3@hotmail.com</v>
      </c>
      <c r="H968" s="65"/>
      <c r="I968" s="65"/>
      <c r="J968" s="65" t="str">
        <f>IFERROR(__xludf.DUMMYFUNCTION("""COMPUTED_VALUE"""),"D001313026")</f>
        <v>D001313026</v>
      </c>
      <c r="K968" s="65" t="str">
        <f>IFERROR(__xludf.DUMMYFUNCTION("""COMPUTED_VALUE"""),"ENTREGADO")</f>
        <v>ENTREGADO</v>
      </c>
      <c r="L968" s="65" t="str">
        <f>IFERROR(__xludf.DUMMYFUNCTION("""COMPUTED_VALUE"""),"CON RECAUDO")</f>
        <v>CON RECAUDO</v>
      </c>
      <c r="M968" s="65" t="str">
        <f>IFERROR(__xludf.DUMMYFUNCTION("""COMPUTED_VALUE"""),"GUAYAS")</f>
        <v>GUAYAS</v>
      </c>
      <c r="N968" s="65" t="str">
        <f>IFERROR(__xludf.DUMMYFUNCTION("""COMPUTED_VALUE"""),"MILAGRO")</f>
        <v>MILAGRO</v>
      </c>
      <c r="O968" s="65" t="str">
        <f>IFERROR(__xludf.DUMMYFUNCTION("""COMPUTED_VALUE"""),"S. Benalcazar 421 Y P. Carbo Barrio Chirijos - Frente al Parque Norte Casa color gris de 2 plantas.")</f>
        <v>S. Benalcazar 421 Y P. Carbo Barrio Chirijos - Frente al Parque Norte Casa color gris de 2 plantas.</v>
      </c>
      <c r="P968" s="65"/>
      <c r="Q968" s="65" t="str">
        <f>IFERROR(__xludf.DUMMYFUNCTION("""COMPUTED_VALUE"""),"GINTRACOM")</f>
        <v>GINTRACOM</v>
      </c>
      <c r="R968" s="65">
        <f>IFERROR(__xludf.DUMMYFUNCTION("""COMPUTED_VALUE"""),30.0)</f>
        <v>30</v>
      </c>
      <c r="S968" s="65">
        <f>IFERROR(__xludf.DUMMYFUNCTION("""COMPUTED_VALUE"""),17.82)</f>
        <v>17.82</v>
      </c>
      <c r="T968" s="65">
        <f>IFERROR(__xludf.DUMMYFUNCTION("""COMPUTED_VALUE"""),5.58)</f>
        <v>5.58</v>
      </c>
      <c r="U968" s="65">
        <f>IFERROR(__xludf.DUMMYFUNCTION("""COMPUTED_VALUE"""),0.0)</f>
        <v>0</v>
      </c>
      <c r="V968" s="65">
        <f>IFERROR(__xludf.DUMMYFUNCTION("""COMPUTED_VALUE"""),0.0)</f>
        <v>0</v>
      </c>
      <c r="W968" s="65">
        <f>IFERROR(__xludf.DUMMYFUNCTION("""COMPUTED_VALUE"""),0.0)</f>
        <v>0</v>
      </c>
      <c r="X968" s="65">
        <f>IFERROR(__xludf.DUMMYFUNCTION("""COMPUTED_VALUE"""),2.2)</f>
        <v>2.2</v>
      </c>
      <c r="Y968" s="65">
        <f>IFERROR(__xludf.DUMMYFUNCTION("""COMPUTED_VALUE"""),6.6)</f>
        <v>6.6</v>
      </c>
      <c r="Z968" s="65">
        <f>IFERROR(__xludf.DUMMYFUNCTION("""COMPUTED_VALUE"""),111894.0)</f>
        <v>111894</v>
      </c>
      <c r="AA968" s="65" t="str">
        <f>IFERROR(__xludf.DUMMYFUNCTION("""COMPUTED_VALUE"""),"LYIC5M40067")</f>
        <v>LYIC5M40067</v>
      </c>
      <c r="AB968" s="65"/>
      <c r="AC968" s="65" t="str">
        <f>IFERROR(__xludf.DUMMYFUNCTION("""COMPUTED_VALUE"""),"Limpiador de Parabrisas y Ventanas")</f>
        <v>Limpiador de Parabrisas y Ventanas</v>
      </c>
      <c r="AD968" s="65"/>
      <c r="AE968" s="65">
        <f>IFERROR(__xludf.DUMMYFUNCTION("""COMPUTED_VALUE"""),3.0)</f>
        <v>3</v>
      </c>
      <c r="AF968" s="65"/>
      <c r="AG968" s="65"/>
      <c r="AH968" s="65"/>
      <c r="AI968" s="65"/>
      <c r="AJ968" s="65"/>
      <c r="AK968" s="65"/>
      <c r="AL968" s="65"/>
      <c r="AM968" s="65"/>
      <c r="AN968" s="65" t="str">
        <f>IFERROR(__xludf.DUMMYFUNCTION("""COMPUTED_VALUE"""),"16:21")</f>
        <v>16:21</v>
      </c>
      <c r="AO968" s="65" t="str">
        <f>IFERROR(__xludf.DUMMYFUNCTION("""COMPUTED_VALUE"""),"11-02-2026")</f>
        <v>11-02-2026</v>
      </c>
      <c r="AP968" s="65" t="str">
        <f>IFERROR(__xludf.DUMMYFUNCTION("""COMPUTED_VALUE"""),"ENTREGADA GINTRACOM")</f>
        <v>ENTREGADA GINTRACOM</v>
      </c>
      <c r="AQ968" s="65" t="str">
        <f>IFERROR(__xludf.DUMMYFUNCTION("""COMPUTED_VALUE"""),"ENTREGADA GINTRACOM")</f>
        <v>ENTREGADA GINTRACOM</v>
      </c>
      <c r="AR968" s="65"/>
      <c r="AS968" s="65"/>
      <c r="AT968" s="65" t="str">
        <f>IFERROR(__xludf.DUMMYFUNCTION("""COMPUTED_VALUE"""),"SHOPIFY")</f>
        <v>SHOPIFY</v>
      </c>
      <c r="AU968" s="65" t="str">
        <f>IFERROR(__xludf.DUMMYFUNCTION("""COMPUTED_VALUE"""),"IMPORTEX EC")</f>
        <v>IMPORTEX EC</v>
      </c>
      <c r="AV968" s="65" t="str">
        <f>IFERROR(__xludf.DUMMYFUNCTION("""COMPUTED_VALUE"""),"6484363968556")</f>
        <v>6484363968556</v>
      </c>
      <c r="AW968" s="65">
        <f>IFERROR(__xludf.DUMMYFUNCTION("""COMPUTED_VALUE"""),5913.0)</f>
        <v>5913</v>
      </c>
      <c r="AX968" s="65"/>
      <c r="AY968" s="65" t="str">
        <f>IFERROR(__xludf.DUMMYFUNCTION("""COMPUTED_VALUE"""),"09/02/2026")</f>
        <v>09/02/2026</v>
      </c>
      <c r="AZ968" s="65"/>
      <c r="BA968" s="65"/>
    </row>
    <row r="969">
      <c r="A969" s="65" t="str">
        <f>IFERROR(__xludf.DUMMYFUNCTION("""COMPUTED_VALUE"""),"27-03-2026")</f>
        <v>27-03-2026</v>
      </c>
      <c r="B969" s="65">
        <f>IFERROR(__xludf.DUMMYFUNCTION("""COMPUTED_VALUE"""),4432079.0)</f>
        <v>4432079</v>
      </c>
      <c r="C969" s="65" t="str">
        <f>IFERROR(__xludf.DUMMYFUNCTION("""COMPUTED_VALUE"""),"16:44")</f>
        <v>16:44</v>
      </c>
      <c r="D969" s="65" t="str">
        <f>IFERROR(__xludf.DUMMYFUNCTION("""COMPUTED_VALUE"""),"07-02-2026")</f>
        <v>07-02-2026</v>
      </c>
      <c r="E969" s="65" t="str">
        <f>IFERROR(__xludf.DUMMYFUNCTION("""COMPUTED_VALUE"""),"Byron Quimbiamba Quishpe Quimbiamba")</f>
        <v>Byron Quimbiamba Quishpe Quimbiamba</v>
      </c>
      <c r="F969" s="65" t="str">
        <f>IFERROR(__xludf.DUMMYFUNCTION("""COMPUTED_VALUE"""),"998865883")</f>
        <v>998865883</v>
      </c>
      <c r="G969" s="65" t="str">
        <f>IFERROR(__xludf.DUMMYFUNCTION("""COMPUTED_VALUE"""),"byronquimbiamba1994@gmail.com")</f>
        <v>byronquimbiamba1994@gmail.com</v>
      </c>
      <c r="H969" s="65"/>
      <c r="I969" s="65"/>
      <c r="J969" s="65" t="str">
        <f>IFERROR(__xludf.DUMMYFUNCTION("""COMPUTED_VALUE"""),"D001316925")</f>
        <v>D001316925</v>
      </c>
      <c r="K969" s="65" t="str">
        <f>IFERROR(__xludf.DUMMYFUNCTION("""COMPUTED_VALUE"""),"DEVOLUCION")</f>
        <v>DEVOLUCION</v>
      </c>
      <c r="L969" s="65" t="str">
        <f>IFERROR(__xludf.DUMMYFUNCTION("""COMPUTED_VALUE"""),"CON RECAUDO")</f>
        <v>CON RECAUDO</v>
      </c>
      <c r="M969" s="65" t="str">
        <f>IFERROR(__xludf.DUMMYFUNCTION("""COMPUTED_VALUE"""),"PICHINCHA")</f>
        <v>PICHINCHA</v>
      </c>
      <c r="N969" s="65" t="str">
        <f>IFERROR(__xludf.DUMMYFUNCTION("""COMPUTED_VALUE"""),"CAYAMBE")</f>
        <v>CAYAMBE</v>
      </c>
      <c r="O969" s="65" t="str">
        <f>IFERROR(__xludf.DUMMYFUNCTION("""COMPUTED_VALUE"""),"Calle Teran y Libertad - CAYAMBE")</f>
        <v>Calle Teran y Libertad - CAYAMBE</v>
      </c>
      <c r="P969" s="65"/>
      <c r="Q969" s="65" t="str">
        <f>IFERROR(__xludf.DUMMYFUNCTION("""COMPUTED_VALUE"""),"GINTRACOM")</f>
        <v>GINTRACOM</v>
      </c>
      <c r="R969" s="65">
        <f>IFERROR(__xludf.DUMMYFUNCTION("""COMPUTED_VALUE"""),30.0)</f>
        <v>30</v>
      </c>
      <c r="S969" s="65"/>
      <c r="T969" s="65">
        <f>IFERROR(__xludf.DUMMYFUNCTION("""COMPUTED_VALUE"""),6.16)</f>
        <v>6.16</v>
      </c>
      <c r="U969" s="65">
        <f>IFERROR(__xludf.DUMMYFUNCTION("""COMPUTED_VALUE"""),0.0)</f>
        <v>0</v>
      </c>
      <c r="V969" s="65">
        <f>IFERROR(__xludf.DUMMYFUNCTION("""COMPUTED_VALUE"""),0.0)</f>
        <v>0</v>
      </c>
      <c r="W969" s="65">
        <f>IFERROR(__xludf.DUMMYFUNCTION("""COMPUTED_VALUE"""),0.0)</f>
        <v>0</v>
      </c>
      <c r="X969" s="65">
        <f>IFERROR(__xludf.DUMMYFUNCTION("""COMPUTED_VALUE"""),2.2)</f>
        <v>2.2</v>
      </c>
      <c r="Y969" s="65">
        <f>IFERROR(__xludf.DUMMYFUNCTION("""COMPUTED_VALUE"""),6.6)</f>
        <v>6.6</v>
      </c>
      <c r="Z969" s="65">
        <f>IFERROR(__xludf.DUMMYFUNCTION("""COMPUTED_VALUE"""),111894.0)</f>
        <v>111894</v>
      </c>
      <c r="AA969" s="65" t="str">
        <f>IFERROR(__xludf.DUMMYFUNCTION("""COMPUTED_VALUE"""),"LYIC5M40067")</f>
        <v>LYIC5M40067</v>
      </c>
      <c r="AB969" s="65"/>
      <c r="AC969" s="65" t="str">
        <f>IFERROR(__xludf.DUMMYFUNCTION("""COMPUTED_VALUE"""),"Limpiador de Parabrisas y Ventanas")</f>
        <v>Limpiador de Parabrisas y Ventanas</v>
      </c>
      <c r="AD969" s="65"/>
      <c r="AE969" s="65">
        <f>IFERROR(__xludf.DUMMYFUNCTION("""COMPUTED_VALUE"""),3.0)</f>
        <v>3</v>
      </c>
      <c r="AF969" s="65" t="str">
        <f>IFERROR(__xludf.DUMMYFUNCTION("""COMPUTED_VALUE"""),"DESTINATARIO NO CONTESTA LLAMADAS NI WHATSAPP")</f>
        <v>DESTINATARIO NO CONTESTA LLAMADAS NI WHATSAPP</v>
      </c>
      <c r="AG969" s="65" t="str">
        <f>IFERROR(__xludf.DUMMYFUNCTION("""COMPUTED_VALUE"""),"NO")</f>
        <v>NO</v>
      </c>
      <c r="AH969" s="65" t="str">
        <f>IFERROR(__xludf.DUMMYFUNCTION("""COMPUTED_VALUE"""),"09:00")</f>
        <v>09:00</v>
      </c>
      <c r="AI969" s="65" t="str">
        <f>IFERROR(__xludf.DUMMYFUNCTION("""COMPUTED_VALUE"""),"21-02-2026")</f>
        <v>21-02-2026</v>
      </c>
      <c r="AJ969" s="65"/>
      <c r="AK969" s="65"/>
      <c r="AL969" s="65"/>
      <c r="AM969" s="65"/>
      <c r="AN969" s="65" t="str">
        <f>IFERROR(__xludf.DUMMYFUNCTION("""COMPUTED_VALUE"""),"14:36")</f>
        <v>14:36</v>
      </c>
      <c r="AO969" s="65" t="str">
        <f>IFERROR(__xludf.DUMMYFUNCTION("""COMPUTED_VALUE"""),"05-03-2026")</f>
        <v>05-03-2026</v>
      </c>
      <c r="AP969" s="65" t="str">
        <f>IFERROR(__xludf.DUMMYFUNCTION("""COMPUTED_VALUE"""),"DEVOLUCIÓN ENTREGADA A ORIGEN")</f>
        <v>DEVOLUCIÓN ENTREGADA A ORIGEN</v>
      </c>
      <c r="AQ969" s="65" t="str">
        <f>IFERROR(__xludf.DUMMYFUNCTION("""COMPUTED_VALUE"""),"DEVOLUCIÓN ENTREGADA A ORIGEN")</f>
        <v>DEVOLUCIÓN ENTREGADA A ORIGEN</v>
      </c>
      <c r="AR969" s="65"/>
      <c r="AS969" s="65"/>
      <c r="AT969" s="65" t="str">
        <f>IFERROR(__xludf.DUMMYFUNCTION("""COMPUTED_VALUE"""),"SHOPIFY")</f>
        <v>SHOPIFY</v>
      </c>
      <c r="AU969" s="65" t="str">
        <f>IFERROR(__xludf.DUMMYFUNCTION("""COMPUTED_VALUE"""),"IMPORTEX EC")</f>
        <v>IMPORTEX EC</v>
      </c>
      <c r="AV969" s="65" t="str">
        <f>IFERROR(__xludf.DUMMYFUNCTION("""COMPUTED_VALUE"""),"6484370128940")</f>
        <v>6484370128940</v>
      </c>
      <c r="AW969" s="65">
        <f>IFERROR(__xludf.DUMMYFUNCTION("""COMPUTED_VALUE"""),5914.0)</f>
        <v>5914</v>
      </c>
      <c r="AX969" s="65"/>
      <c r="AY969" s="65" t="str">
        <f>IFERROR(__xludf.DUMMYFUNCTION("""COMPUTED_VALUE"""),"10/02/2026")</f>
        <v>10/02/2026</v>
      </c>
      <c r="AZ969" s="65"/>
      <c r="BA969" s="65"/>
    </row>
    <row r="970">
      <c r="A970" s="65" t="str">
        <f>IFERROR(__xludf.DUMMYFUNCTION("""COMPUTED_VALUE"""),"27-03-2026")</f>
        <v>27-03-2026</v>
      </c>
      <c r="B970" s="65">
        <f>IFERROR(__xludf.DUMMYFUNCTION("""COMPUTED_VALUE"""),4432078.0)</f>
        <v>4432078</v>
      </c>
      <c r="C970" s="65" t="str">
        <f>IFERROR(__xludf.DUMMYFUNCTION("""COMPUTED_VALUE"""),"16:44")</f>
        <v>16:44</v>
      </c>
      <c r="D970" s="65" t="str">
        <f>IFERROR(__xludf.DUMMYFUNCTION("""COMPUTED_VALUE"""),"07-02-2026")</f>
        <v>07-02-2026</v>
      </c>
      <c r="E970" s="65" t="str">
        <f>IFERROR(__xludf.DUMMYFUNCTION("""COMPUTED_VALUE"""),"Galo Tamayo")</f>
        <v>Galo Tamayo</v>
      </c>
      <c r="F970" s="65" t="str">
        <f>IFERROR(__xludf.DUMMYFUNCTION("""COMPUTED_VALUE"""),"991953754")</f>
        <v>991953754</v>
      </c>
      <c r="G970" s="65" t="str">
        <f>IFERROR(__xludf.DUMMYFUNCTION("""COMPUTED_VALUE"""),"sales2.ldsexport@gmail.com")</f>
        <v>sales2.ldsexport@gmail.com</v>
      </c>
      <c r="H970" s="65"/>
      <c r="I970" s="65"/>
      <c r="J970" s="65" t="str">
        <f>IFERROR(__xludf.DUMMYFUNCTION("""COMPUTED_VALUE"""),"D001313027")</f>
        <v>D001313027</v>
      </c>
      <c r="K970" s="65" t="str">
        <f>IFERROR(__xludf.DUMMYFUNCTION("""COMPUTED_VALUE"""),"DEVOLUCION")</f>
        <v>DEVOLUCION</v>
      </c>
      <c r="L970" s="65" t="str">
        <f>IFERROR(__xludf.DUMMYFUNCTION("""COMPUTED_VALUE"""),"CON RECAUDO")</f>
        <v>CON RECAUDO</v>
      </c>
      <c r="M970" s="65" t="str">
        <f>IFERROR(__xludf.DUMMYFUNCTION("""COMPUTED_VALUE"""),"PICHINCHA")</f>
        <v>PICHINCHA</v>
      </c>
      <c r="N970" s="65" t="str">
        <f>IFERROR(__xludf.DUMMYFUNCTION("""COMPUTED_VALUE"""),"SANGOLQUI")</f>
        <v>SANGOLQUI</v>
      </c>
      <c r="O970" s="65" t="str">
        <f>IFERROR(__xludf.DUMMYFUNCTION("""COMPUTED_VALUE"""),"Calle pinos 67 y los Cedros Bohios de sector Capelo  el valle de los chillos - Casa # 67 frente al conjunto las retamas")</f>
        <v>Calle pinos 67 y los Cedros Bohios de sector Capelo  el valle de los chillos - Casa # 67 frente al conjunto las retamas</v>
      </c>
      <c r="P970" s="65"/>
      <c r="Q970" s="65" t="str">
        <f>IFERROR(__xludf.DUMMYFUNCTION("""COMPUTED_VALUE"""),"GINTRACOM")</f>
        <v>GINTRACOM</v>
      </c>
      <c r="R970" s="65">
        <f>IFERROR(__xludf.DUMMYFUNCTION("""COMPUTED_VALUE"""),30.0)</f>
        <v>30</v>
      </c>
      <c r="S970" s="65"/>
      <c r="T970" s="65">
        <f>IFERROR(__xludf.DUMMYFUNCTION("""COMPUTED_VALUE"""),6.16)</f>
        <v>6.16</v>
      </c>
      <c r="U970" s="65">
        <f>IFERROR(__xludf.DUMMYFUNCTION("""COMPUTED_VALUE"""),0.0)</f>
        <v>0</v>
      </c>
      <c r="V970" s="65">
        <f>IFERROR(__xludf.DUMMYFUNCTION("""COMPUTED_VALUE"""),0.0)</f>
        <v>0</v>
      </c>
      <c r="W970" s="65">
        <f>IFERROR(__xludf.DUMMYFUNCTION("""COMPUTED_VALUE"""),0.0)</f>
        <v>0</v>
      </c>
      <c r="X970" s="65">
        <f>IFERROR(__xludf.DUMMYFUNCTION("""COMPUTED_VALUE"""),2.2)</f>
        <v>2.2</v>
      </c>
      <c r="Y970" s="65">
        <f>IFERROR(__xludf.DUMMYFUNCTION("""COMPUTED_VALUE"""),6.6)</f>
        <v>6.6</v>
      </c>
      <c r="Z970" s="65">
        <f>IFERROR(__xludf.DUMMYFUNCTION("""COMPUTED_VALUE"""),111894.0)</f>
        <v>111894</v>
      </c>
      <c r="AA970" s="65" t="str">
        <f>IFERROR(__xludf.DUMMYFUNCTION("""COMPUTED_VALUE"""),"LYIC5M40067")</f>
        <v>LYIC5M40067</v>
      </c>
      <c r="AB970" s="65"/>
      <c r="AC970" s="65" t="str">
        <f>IFERROR(__xludf.DUMMYFUNCTION("""COMPUTED_VALUE"""),"Limpiador de Parabrisas y Ventanas")</f>
        <v>Limpiador de Parabrisas y Ventanas</v>
      </c>
      <c r="AD970" s="65"/>
      <c r="AE970" s="65">
        <f>IFERROR(__xludf.DUMMYFUNCTION("""COMPUTED_VALUE"""),3.0)</f>
        <v>3</v>
      </c>
      <c r="AF970" s="65"/>
      <c r="AG970" s="65"/>
      <c r="AH970" s="65"/>
      <c r="AI970" s="65"/>
      <c r="AJ970" s="65"/>
      <c r="AK970" s="65"/>
      <c r="AL970" s="65"/>
      <c r="AM970" s="65"/>
      <c r="AN970" s="65" t="str">
        <f>IFERROR(__xludf.DUMMYFUNCTION("""COMPUTED_VALUE"""),"11:29")</f>
        <v>11:29</v>
      </c>
      <c r="AO970" s="65" t="str">
        <f>IFERROR(__xludf.DUMMYFUNCTION("""COMPUTED_VALUE"""),"02-03-2026")</f>
        <v>02-03-2026</v>
      </c>
      <c r="AP970" s="65" t="str">
        <f>IFERROR(__xludf.DUMMYFUNCTION("""COMPUTED_VALUE"""),"DEVOLUCIÓN ENTREGADA A ORIGEN")</f>
        <v>DEVOLUCIÓN ENTREGADA A ORIGEN</v>
      </c>
      <c r="AQ970" s="65" t="str">
        <f>IFERROR(__xludf.DUMMYFUNCTION("""COMPUTED_VALUE"""),"DEVOLUCIÓN ENTREGADA A ORIGEN")</f>
        <v>DEVOLUCIÓN ENTREGADA A ORIGEN</v>
      </c>
      <c r="AR970" s="65"/>
      <c r="AS970" s="65"/>
      <c r="AT970" s="65" t="str">
        <f>IFERROR(__xludf.DUMMYFUNCTION("""COMPUTED_VALUE"""),"SHOPIFY")</f>
        <v>SHOPIFY</v>
      </c>
      <c r="AU970" s="65" t="str">
        <f>IFERROR(__xludf.DUMMYFUNCTION("""COMPUTED_VALUE"""),"IMPORTEX EC")</f>
        <v>IMPORTEX EC</v>
      </c>
      <c r="AV970" s="65" t="str">
        <f>IFERROR(__xludf.DUMMYFUNCTION("""COMPUTED_VALUE"""),"6484384514092")</f>
        <v>6484384514092</v>
      </c>
      <c r="AW970" s="65">
        <f>IFERROR(__xludf.DUMMYFUNCTION("""COMPUTED_VALUE"""),5915.0)</f>
        <v>5915</v>
      </c>
      <c r="AX970" s="65"/>
      <c r="AY970" s="65" t="str">
        <f>IFERROR(__xludf.DUMMYFUNCTION("""COMPUTED_VALUE"""),"09/02/2026")</f>
        <v>09/02/2026</v>
      </c>
      <c r="AZ970" s="65"/>
      <c r="BA970" s="65"/>
    </row>
    <row r="971">
      <c r="A971" s="65" t="str">
        <f>IFERROR(__xludf.DUMMYFUNCTION("""COMPUTED_VALUE"""),"27-03-2026")</f>
        <v>27-03-2026</v>
      </c>
      <c r="B971" s="65">
        <f>IFERROR(__xludf.DUMMYFUNCTION("""COMPUTED_VALUE"""),4432077.0)</f>
        <v>4432077</v>
      </c>
      <c r="C971" s="65" t="str">
        <f>IFERROR(__xludf.DUMMYFUNCTION("""COMPUTED_VALUE"""),"16:44")</f>
        <v>16:44</v>
      </c>
      <c r="D971" s="65" t="str">
        <f>IFERROR(__xludf.DUMMYFUNCTION("""COMPUTED_VALUE"""),"07-02-2026")</f>
        <v>07-02-2026</v>
      </c>
      <c r="E971" s="65" t="str">
        <f>IFERROR(__xludf.DUMMYFUNCTION("""COMPUTED_VALUE"""),"Andres Andrade")</f>
        <v>Andres Andrade</v>
      </c>
      <c r="F971" s="65" t="str">
        <f>IFERROR(__xludf.DUMMYFUNCTION("""COMPUTED_VALUE"""),"992854101")</f>
        <v>992854101</v>
      </c>
      <c r="G971" s="65" t="str">
        <f>IFERROR(__xludf.DUMMYFUNCTION("""COMPUTED_VALUE"""),"andres253@gmail.com")</f>
        <v>andres253@gmail.com</v>
      </c>
      <c r="H971" s="65"/>
      <c r="I971" s="65"/>
      <c r="J971" s="65" t="str">
        <f>IFERROR(__xludf.DUMMYFUNCTION("""COMPUTED_VALUE"""),"D001313028")</f>
        <v>D001313028</v>
      </c>
      <c r="K971" s="65" t="str">
        <f>IFERROR(__xludf.DUMMYFUNCTION("""COMPUTED_VALUE"""),"ENTREGADO")</f>
        <v>ENTREGADO</v>
      </c>
      <c r="L971" s="65" t="str">
        <f>IFERROR(__xludf.DUMMYFUNCTION("""COMPUTED_VALUE"""),"CON RECAUDO")</f>
        <v>CON RECAUDO</v>
      </c>
      <c r="M971" s="65" t="str">
        <f>IFERROR(__xludf.DUMMYFUNCTION("""COMPUTED_VALUE"""),"AZUAY")</f>
        <v>AZUAY</v>
      </c>
      <c r="N971" s="65" t="str">
        <f>IFERROR(__xludf.DUMMYFUNCTION("""COMPUTED_VALUE"""),"CUENCA")</f>
        <v>CUENCA</v>
      </c>
      <c r="O971" s="65" t="str">
        <f>IFERROR(__xludf.DUMMYFUNCTION("""COMPUTED_VALUE"""),"Bolivar Davila y Rafael Sojos, Sector  Puertas del Sol -  Casa: 1-38")</f>
        <v>Bolivar Davila y Rafael Sojos, Sector  Puertas del Sol -  Casa: 1-38</v>
      </c>
      <c r="P971" s="65"/>
      <c r="Q971" s="65" t="str">
        <f>IFERROR(__xludf.DUMMYFUNCTION("""COMPUTED_VALUE"""),"GINTRACOM")</f>
        <v>GINTRACOM</v>
      </c>
      <c r="R971" s="65">
        <f>IFERROR(__xludf.DUMMYFUNCTION("""COMPUTED_VALUE"""),25.0)</f>
        <v>25</v>
      </c>
      <c r="S971" s="65">
        <f>IFERROR(__xludf.DUMMYFUNCTION("""COMPUTED_VALUE"""),14.64)</f>
        <v>14.64</v>
      </c>
      <c r="T971" s="65">
        <f>IFERROR(__xludf.DUMMYFUNCTION("""COMPUTED_VALUE"""),5.96)</f>
        <v>5.96</v>
      </c>
      <c r="U971" s="65">
        <f>IFERROR(__xludf.DUMMYFUNCTION("""COMPUTED_VALUE"""),0.0)</f>
        <v>0</v>
      </c>
      <c r="V971" s="65">
        <f>IFERROR(__xludf.DUMMYFUNCTION("""COMPUTED_VALUE"""),0.0)</f>
        <v>0</v>
      </c>
      <c r="W971" s="65">
        <f>IFERROR(__xludf.DUMMYFUNCTION("""COMPUTED_VALUE"""),0.0)</f>
        <v>0</v>
      </c>
      <c r="X971" s="65">
        <f>IFERROR(__xludf.DUMMYFUNCTION("""COMPUTED_VALUE"""),2.2)</f>
        <v>2.2</v>
      </c>
      <c r="Y971" s="65">
        <f>IFERROR(__xludf.DUMMYFUNCTION("""COMPUTED_VALUE"""),4.4)</f>
        <v>4.4</v>
      </c>
      <c r="Z971" s="65">
        <f>IFERROR(__xludf.DUMMYFUNCTION("""COMPUTED_VALUE"""),111894.0)</f>
        <v>111894</v>
      </c>
      <c r="AA971" s="65" t="str">
        <f>IFERROR(__xludf.DUMMYFUNCTION("""COMPUTED_VALUE"""),"LYIC5M40067")</f>
        <v>LYIC5M40067</v>
      </c>
      <c r="AB971" s="65"/>
      <c r="AC971" s="65" t="str">
        <f>IFERROR(__xludf.DUMMYFUNCTION("""COMPUTED_VALUE"""),"Limpiador de Parabrisas y Ventanas")</f>
        <v>Limpiador de Parabrisas y Ventanas</v>
      </c>
      <c r="AD971" s="65"/>
      <c r="AE971" s="65">
        <f>IFERROR(__xludf.DUMMYFUNCTION("""COMPUTED_VALUE"""),2.0)</f>
        <v>2</v>
      </c>
      <c r="AF971" s="65"/>
      <c r="AG971" s="65"/>
      <c r="AH971" s="65"/>
      <c r="AI971" s="65"/>
      <c r="AJ971" s="65"/>
      <c r="AK971" s="65"/>
      <c r="AL971" s="65"/>
      <c r="AM971" s="65"/>
      <c r="AN971" s="65" t="str">
        <f>IFERROR(__xludf.DUMMYFUNCTION("""COMPUTED_VALUE"""),"17:10")</f>
        <v>17:10</v>
      </c>
      <c r="AO971" s="65" t="str">
        <f>IFERROR(__xludf.DUMMYFUNCTION("""COMPUTED_VALUE"""),"11-02-2026")</f>
        <v>11-02-2026</v>
      </c>
      <c r="AP971" s="65" t="str">
        <f>IFERROR(__xludf.DUMMYFUNCTION("""COMPUTED_VALUE"""),"ENTREGADA GINTRACOM")</f>
        <v>ENTREGADA GINTRACOM</v>
      </c>
      <c r="AQ971" s="65" t="str">
        <f>IFERROR(__xludf.DUMMYFUNCTION("""COMPUTED_VALUE"""),"ENTREGADA GINTRACOM")</f>
        <v>ENTREGADA GINTRACOM</v>
      </c>
      <c r="AR971" s="65"/>
      <c r="AS971" s="65"/>
      <c r="AT971" s="65" t="str">
        <f>IFERROR(__xludf.DUMMYFUNCTION("""COMPUTED_VALUE"""),"SHOPIFY")</f>
        <v>SHOPIFY</v>
      </c>
      <c r="AU971" s="65" t="str">
        <f>IFERROR(__xludf.DUMMYFUNCTION("""COMPUTED_VALUE"""),"IMPORTEX EC")</f>
        <v>IMPORTEX EC</v>
      </c>
      <c r="AV971" s="65" t="str">
        <f>IFERROR(__xludf.DUMMYFUNCTION("""COMPUTED_VALUE"""),"6484391821356")</f>
        <v>6484391821356</v>
      </c>
      <c r="AW971" s="65">
        <f>IFERROR(__xludf.DUMMYFUNCTION("""COMPUTED_VALUE"""),5916.0)</f>
        <v>5916</v>
      </c>
      <c r="AX971" s="65"/>
      <c r="AY971" s="65" t="str">
        <f>IFERROR(__xludf.DUMMYFUNCTION("""COMPUTED_VALUE"""),"09/02/2026")</f>
        <v>09/02/2026</v>
      </c>
      <c r="AZ971" s="65"/>
      <c r="BA971" s="65"/>
    </row>
    <row r="972">
      <c r="A972" s="65" t="str">
        <f>IFERROR(__xludf.DUMMYFUNCTION("""COMPUTED_VALUE"""),"27-03-2026")</f>
        <v>27-03-2026</v>
      </c>
      <c r="B972" s="65">
        <f>IFERROR(__xludf.DUMMYFUNCTION("""COMPUTED_VALUE"""),4432074.0)</f>
        <v>4432074</v>
      </c>
      <c r="C972" s="65" t="str">
        <f>IFERROR(__xludf.DUMMYFUNCTION("""COMPUTED_VALUE"""),"16:43")</f>
        <v>16:43</v>
      </c>
      <c r="D972" s="65" t="str">
        <f>IFERROR(__xludf.DUMMYFUNCTION("""COMPUTED_VALUE"""),"07-02-2026")</f>
        <v>07-02-2026</v>
      </c>
      <c r="E972" s="65" t="str">
        <f>IFERROR(__xludf.DUMMYFUNCTION("""COMPUTED_VALUE"""),"Victor Vaca")</f>
        <v>Victor Vaca</v>
      </c>
      <c r="F972" s="65" t="str">
        <f>IFERROR(__xludf.DUMMYFUNCTION("""COMPUTED_VALUE"""),"984987219")</f>
        <v>984987219</v>
      </c>
      <c r="G972" s="65" t="str">
        <f>IFERROR(__xludf.DUMMYFUNCTION("""COMPUTED_VALUE"""),"vicvac084@gmail.com")</f>
        <v>vicvac084@gmail.com</v>
      </c>
      <c r="H972" s="65"/>
      <c r="I972" s="65"/>
      <c r="J972" s="65" t="str">
        <f>IFERROR(__xludf.DUMMYFUNCTION("""COMPUTED_VALUE"""),"D001313029")</f>
        <v>D001313029</v>
      </c>
      <c r="K972" s="65" t="str">
        <f>IFERROR(__xludf.DUMMYFUNCTION("""COMPUTED_VALUE"""),"ENTREGADO")</f>
        <v>ENTREGADO</v>
      </c>
      <c r="L972" s="65" t="str">
        <f>IFERROR(__xludf.DUMMYFUNCTION("""COMPUTED_VALUE"""),"CON RECAUDO")</f>
        <v>CON RECAUDO</v>
      </c>
      <c r="M972" s="65" t="str">
        <f>IFERROR(__xludf.DUMMYFUNCTION("""COMPUTED_VALUE"""),"EL ORO")</f>
        <v>EL ORO</v>
      </c>
      <c r="N972" s="65" t="str">
        <f>IFERROR(__xludf.DUMMYFUNCTION("""COMPUTED_VALUE"""),"MACHALA")</f>
        <v>MACHALA</v>
      </c>
      <c r="O972" s="65" t="str">
        <f>IFERROR(__xludf.DUMMYFUNCTION("""COMPUTED_VALUE"""),"Psj 3 era  y 10ma oeste A lado de la Carpas Cris Car -")</f>
        <v>Psj 3 era  y 10ma oeste A lado de la Carpas Cris Car -</v>
      </c>
      <c r="P972" s="65"/>
      <c r="Q972" s="65" t="str">
        <f>IFERROR(__xludf.DUMMYFUNCTION("""COMPUTED_VALUE"""),"GINTRACOM")</f>
        <v>GINTRACOM</v>
      </c>
      <c r="R972" s="65">
        <f>IFERROR(__xludf.DUMMYFUNCTION("""COMPUTED_VALUE"""),30.0)</f>
        <v>30</v>
      </c>
      <c r="S972" s="65">
        <f>IFERROR(__xludf.DUMMYFUNCTION("""COMPUTED_VALUE"""),17.24)</f>
        <v>17.24</v>
      </c>
      <c r="T972" s="65">
        <f>IFERROR(__xludf.DUMMYFUNCTION("""COMPUTED_VALUE"""),6.16)</f>
        <v>6.16</v>
      </c>
      <c r="U972" s="65">
        <f>IFERROR(__xludf.DUMMYFUNCTION("""COMPUTED_VALUE"""),0.0)</f>
        <v>0</v>
      </c>
      <c r="V972" s="65">
        <f>IFERROR(__xludf.DUMMYFUNCTION("""COMPUTED_VALUE"""),0.0)</f>
        <v>0</v>
      </c>
      <c r="W972" s="65">
        <f>IFERROR(__xludf.DUMMYFUNCTION("""COMPUTED_VALUE"""),0.0)</f>
        <v>0</v>
      </c>
      <c r="X972" s="65">
        <f>IFERROR(__xludf.DUMMYFUNCTION("""COMPUTED_VALUE"""),2.2)</f>
        <v>2.2</v>
      </c>
      <c r="Y972" s="65">
        <f>IFERROR(__xludf.DUMMYFUNCTION("""COMPUTED_VALUE"""),6.6)</f>
        <v>6.6</v>
      </c>
      <c r="Z972" s="65">
        <f>IFERROR(__xludf.DUMMYFUNCTION("""COMPUTED_VALUE"""),111894.0)</f>
        <v>111894</v>
      </c>
      <c r="AA972" s="65" t="str">
        <f>IFERROR(__xludf.DUMMYFUNCTION("""COMPUTED_VALUE"""),"LYIC5M40067")</f>
        <v>LYIC5M40067</v>
      </c>
      <c r="AB972" s="65"/>
      <c r="AC972" s="65" t="str">
        <f>IFERROR(__xludf.DUMMYFUNCTION("""COMPUTED_VALUE"""),"Limpiador de Parabrisas y Ventanas")</f>
        <v>Limpiador de Parabrisas y Ventanas</v>
      </c>
      <c r="AD972" s="65"/>
      <c r="AE972" s="65">
        <f>IFERROR(__xludf.DUMMYFUNCTION("""COMPUTED_VALUE"""),3.0)</f>
        <v>3</v>
      </c>
      <c r="AF972" s="65" t="str">
        <f>IFERROR(__xludf.DUMMYFUNCTION("""COMPUTED_VALUE"""),"DESTINATARIO NO SE ENCUENTRA EN LUGAR DE ENTREGA.")</f>
        <v>DESTINATARIO NO SE ENCUENTRA EN LUGAR DE ENTREGA.</v>
      </c>
      <c r="AG972" s="65" t="str">
        <f>IFERROR(__xludf.DUMMYFUNCTION("""COMPUTED_VALUE"""),"SI")</f>
        <v>SI</v>
      </c>
      <c r="AH972" s="65" t="str">
        <f>IFERROR(__xludf.DUMMYFUNCTION("""COMPUTED_VALUE"""),"10:37")</f>
        <v>10:37</v>
      </c>
      <c r="AI972" s="65" t="str">
        <f>IFERROR(__xludf.DUMMYFUNCTION("""COMPUTED_VALUE"""),"11-02-2026")</f>
        <v>11-02-2026</v>
      </c>
      <c r="AJ972" s="65" t="str">
        <f>IFERROR(__xludf.DUMMYFUNCTION("""COMPUTED_VALUE"""),"CLIENTE SOLICITA LA ENTREGA DEL PEDIDO")</f>
        <v>CLIENTE SOLICITA LA ENTREGA DEL PEDIDO</v>
      </c>
      <c r="AK972" s="65" t="str">
        <f>IFERROR(__xludf.DUMMYFUNCTION("""COMPUTED_VALUE"""),"11:31")</f>
        <v>11:31</v>
      </c>
      <c r="AL972" s="65" t="str">
        <f>IFERROR(__xludf.DUMMYFUNCTION("""COMPUTED_VALUE"""),"11-02-2026")</f>
        <v>11-02-2026</v>
      </c>
      <c r="AM972" s="65"/>
      <c r="AN972" s="65" t="str">
        <f>IFERROR(__xludf.DUMMYFUNCTION("""COMPUTED_VALUE"""),"15:32")</f>
        <v>15:32</v>
      </c>
      <c r="AO972" s="65" t="str">
        <f>IFERROR(__xludf.DUMMYFUNCTION("""COMPUTED_VALUE"""),"11-02-2026")</f>
        <v>11-02-2026</v>
      </c>
      <c r="AP972" s="65" t="str">
        <f>IFERROR(__xludf.DUMMYFUNCTION("""COMPUTED_VALUE"""),"ENTREGADA GINTRACOM")</f>
        <v>ENTREGADA GINTRACOM</v>
      </c>
      <c r="AQ972" s="65" t="str">
        <f>IFERROR(__xludf.DUMMYFUNCTION("""COMPUTED_VALUE"""),"ENTREGADA GINTRACOM")</f>
        <v>ENTREGADA GINTRACOM</v>
      </c>
      <c r="AR972" s="65"/>
      <c r="AS972" s="65"/>
      <c r="AT972" s="65" t="str">
        <f>IFERROR(__xludf.DUMMYFUNCTION("""COMPUTED_VALUE"""),"SHOPIFY")</f>
        <v>SHOPIFY</v>
      </c>
      <c r="AU972" s="65" t="str">
        <f>IFERROR(__xludf.DUMMYFUNCTION("""COMPUTED_VALUE"""),"IMPORTEX EC")</f>
        <v>IMPORTEX EC</v>
      </c>
      <c r="AV972" s="65" t="str">
        <f>IFERROR(__xludf.DUMMYFUNCTION("""COMPUTED_VALUE"""),"6484438614060")</f>
        <v>6484438614060</v>
      </c>
      <c r="AW972" s="65">
        <f>IFERROR(__xludf.DUMMYFUNCTION("""COMPUTED_VALUE"""),5917.0)</f>
        <v>5917</v>
      </c>
      <c r="AX972" s="65"/>
      <c r="AY972" s="65" t="str">
        <f>IFERROR(__xludf.DUMMYFUNCTION("""COMPUTED_VALUE"""),"09/02/2026")</f>
        <v>09/02/2026</v>
      </c>
      <c r="AZ972" s="65"/>
      <c r="BA972" s="65"/>
    </row>
    <row r="973">
      <c r="A973" s="65" t="str">
        <f>IFERROR(__xludf.DUMMYFUNCTION("""COMPUTED_VALUE"""),"27-03-2026")</f>
        <v>27-03-2026</v>
      </c>
      <c r="B973" s="65">
        <f>IFERROR(__xludf.DUMMYFUNCTION("""COMPUTED_VALUE"""),4432073.0)</f>
        <v>4432073</v>
      </c>
      <c r="C973" s="65" t="str">
        <f>IFERROR(__xludf.DUMMYFUNCTION("""COMPUTED_VALUE"""),"16:43")</f>
        <v>16:43</v>
      </c>
      <c r="D973" s="65" t="str">
        <f>IFERROR(__xludf.DUMMYFUNCTION("""COMPUTED_VALUE"""),"07-02-2026")</f>
        <v>07-02-2026</v>
      </c>
      <c r="E973" s="65" t="str">
        <f>IFERROR(__xludf.DUMMYFUNCTION("""COMPUTED_VALUE"""),"Jean Garzón")</f>
        <v>Jean Garzón</v>
      </c>
      <c r="F973" s="65" t="str">
        <f>IFERROR(__xludf.DUMMYFUNCTION("""COMPUTED_VALUE"""),"963478988")</f>
        <v>963478988</v>
      </c>
      <c r="G973" s="65" t="str">
        <f>IFERROR(__xludf.DUMMYFUNCTION("""COMPUTED_VALUE"""),"jeanpigarzon10@gmail.com")</f>
        <v>jeanpigarzon10@gmail.com</v>
      </c>
      <c r="H973" s="65"/>
      <c r="I973" s="65"/>
      <c r="J973" s="65"/>
      <c r="K973" s="65" t="str">
        <f>IFERROR(__xludf.DUMMYFUNCTION("""COMPUTED_VALUE"""),"PENDIENTE CONFIRMACION")</f>
        <v>PENDIENTE CONFIRMACION</v>
      </c>
      <c r="L973" s="65" t="str">
        <f>IFERROR(__xludf.DUMMYFUNCTION("""COMPUTED_VALUE"""),"CON RECAUDO")</f>
        <v>CON RECAUDO</v>
      </c>
      <c r="M973" s="65" t="str">
        <f>IFERROR(__xludf.DUMMYFUNCTION("""COMPUTED_VALUE"""),"PICHINCHA")</f>
        <v>PICHINCHA</v>
      </c>
      <c r="N973" s="65" t="str">
        <f>IFERROR(__xludf.DUMMYFUNCTION("""COMPUTED_VALUE"""),"POMASQUI")</f>
        <v>POMASQUI</v>
      </c>
      <c r="O973" s="65" t="str">
        <f>IFERROR(__xludf.DUMMYFUNCTION("""COMPUTED_VALUE"""),"Ignacio Carrasco y Marieta de Veintimilla Pomasqui, conjunto cielito lindo 1 atrás del estadio de pomasqui -")</f>
        <v>Ignacio Carrasco y Marieta de Veintimilla Pomasqui, conjunto cielito lindo 1 atrás del estadio de pomasqui -</v>
      </c>
      <c r="P973" s="65"/>
      <c r="Q973" s="65" t="str">
        <f>IFERROR(__xludf.DUMMYFUNCTION("""COMPUTED_VALUE"""),"GINTRACOM")</f>
        <v>GINTRACOM</v>
      </c>
      <c r="R973" s="65">
        <f>IFERROR(__xludf.DUMMYFUNCTION("""COMPUTED_VALUE"""),20.0)</f>
        <v>20</v>
      </c>
      <c r="S973" s="65"/>
      <c r="T973" s="65">
        <f>IFERROR(__xludf.DUMMYFUNCTION("""COMPUTED_VALUE"""),6.33)</f>
        <v>6.33</v>
      </c>
      <c r="U973" s="65">
        <f>IFERROR(__xludf.DUMMYFUNCTION("""COMPUTED_VALUE"""),0.0)</f>
        <v>0</v>
      </c>
      <c r="V973" s="65">
        <f>IFERROR(__xludf.DUMMYFUNCTION("""COMPUTED_VALUE"""),0.0)</f>
        <v>0</v>
      </c>
      <c r="W973" s="65">
        <f>IFERROR(__xludf.DUMMYFUNCTION("""COMPUTED_VALUE"""),0.0)</f>
        <v>0</v>
      </c>
      <c r="X973" s="65">
        <f>IFERROR(__xludf.DUMMYFUNCTION("""COMPUTED_VALUE"""),2.2)</f>
        <v>2.2</v>
      </c>
      <c r="Y973" s="65">
        <f>IFERROR(__xludf.DUMMYFUNCTION("""COMPUTED_VALUE"""),2.2)</f>
        <v>2.2</v>
      </c>
      <c r="Z973" s="65">
        <f>IFERROR(__xludf.DUMMYFUNCTION("""COMPUTED_VALUE"""),111894.0)</f>
        <v>111894</v>
      </c>
      <c r="AA973" s="65" t="str">
        <f>IFERROR(__xludf.DUMMYFUNCTION("""COMPUTED_VALUE"""),"LYIC5M40067")</f>
        <v>LYIC5M40067</v>
      </c>
      <c r="AB973" s="65"/>
      <c r="AC973" s="65" t="str">
        <f>IFERROR(__xludf.DUMMYFUNCTION("""COMPUTED_VALUE"""),"Limpiador de Parabrisas y Ventanas")</f>
        <v>Limpiador de Parabrisas y Ventanas</v>
      </c>
      <c r="AD973" s="65"/>
      <c r="AE973" s="65">
        <f>IFERROR(__xludf.DUMMYFUNCTION("""COMPUTED_VALUE"""),1.0)</f>
        <v>1</v>
      </c>
      <c r="AF973" s="65"/>
      <c r="AG973" s="65"/>
      <c r="AH973" s="65"/>
      <c r="AI973" s="65"/>
      <c r="AJ973" s="65"/>
      <c r="AK973" s="65"/>
      <c r="AL973" s="65"/>
      <c r="AM973" s="65"/>
      <c r="AN973" s="65"/>
      <c r="AO973" s="65"/>
      <c r="AP973" s="65"/>
      <c r="AQ973" s="65"/>
      <c r="AR973" s="65"/>
      <c r="AS973" s="65"/>
      <c r="AT973" s="65" t="str">
        <f>IFERROR(__xludf.DUMMYFUNCTION("""COMPUTED_VALUE"""),"SHOPIFY")</f>
        <v>SHOPIFY</v>
      </c>
      <c r="AU973" s="65" t="str">
        <f>IFERROR(__xludf.DUMMYFUNCTION("""COMPUTED_VALUE"""),"IMPORTEX EC")</f>
        <v>IMPORTEX EC</v>
      </c>
      <c r="AV973" s="65" t="str">
        <f>IFERROR(__xludf.DUMMYFUNCTION("""COMPUTED_VALUE"""),"6484487340076")</f>
        <v>6484487340076</v>
      </c>
      <c r="AW973" s="65">
        <f>IFERROR(__xludf.DUMMYFUNCTION("""COMPUTED_VALUE"""),5918.0)</f>
        <v>5918</v>
      </c>
      <c r="AX973" s="65"/>
      <c r="AY973" s="65"/>
      <c r="AZ973" s="65"/>
      <c r="BA973" s="65"/>
    </row>
    <row r="974">
      <c r="A974" s="65" t="str">
        <f>IFERROR(__xludf.DUMMYFUNCTION("""COMPUTED_VALUE"""),"27-03-2026")</f>
        <v>27-03-2026</v>
      </c>
      <c r="B974" s="65">
        <f>IFERROR(__xludf.DUMMYFUNCTION("""COMPUTED_VALUE"""),4432070.0)</f>
        <v>4432070</v>
      </c>
      <c r="C974" s="65" t="str">
        <f>IFERROR(__xludf.DUMMYFUNCTION("""COMPUTED_VALUE"""),"16:43")</f>
        <v>16:43</v>
      </c>
      <c r="D974" s="65" t="str">
        <f>IFERROR(__xludf.DUMMYFUNCTION("""COMPUTED_VALUE"""),"07-02-2026")</f>
        <v>07-02-2026</v>
      </c>
      <c r="E974" s="65" t="str">
        <f>IFERROR(__xludf.DUMMYFUNCTION("""COMPUTED_VALUE"""),"Karla POGO")</f>
        <v>Karla POGO</v>
      </c>
      <c r="F974" s="65" t="str">
        <f>IFERROR(__xludf.DUMMYFUNCTION("""COMPUTED_VALUE"""),"939344263")</f>
        <v>939344263</v>
      </c>
      <c r="G974" s="65" t="str">
        <f>IFERROR(__xludf.DUMMYFUNCTION("""COMPUTED_VALUE"""),"karlapogo18@gmail.com")</f>
        <v>karlapogo18@gmail.com</v>
      </c>
      <c r="H974" s="65"/>
      <c r="I974" s="65"/>
      <c r="J974" s="65"/>
      <c r="K974" s="65" t="str">
        <f>IFERROR(__xludf.DUMMYFUNCTION("""COMPUTED_VALUE"""),"CANCELADO")</f>
        <v>CANCELADO</v>
      </c>
      <c r="L974" s="65" t="str">
        <f>IFERROR(__xludf.DUMMYFUNCTION("""COMPUTED_VALUE"""),"CON RECAUDO")</f>
        <v>CON RECAUDO</v>
      </c>
      <c r="M974" s="65" t="str">
        <f>IFERROR(__xludf.DUMMYFUNCTION("""COMPUTED_VALUE"""),"LOJA")</f>
        <v>LOJA</v>
      </c>
      <c r="N974" s="65" t="str">
        <f>IFERROR(__xludf.DUMMYFUNCTION("""COMPUTED_VALUE"""),"CATACOCHA")</f>
        <v>CATACOCHA</v>
      </c>
      <c r="O974" s="65" t="str">
        <f>IFERROR(__xludf.DUMMYFUNCTION("""COMPUTED_VALUE"""),"Agencia Servientrega Central -")</f>
        <v>Agencia Servientrega Central -</v>
      </c>
      <c r="P974" s="65"/>
      <c r="Q974" s="65" t="str">
        <f>IFERROR(__xludf.DUMMYFUNCTION("""COMPUTED_VALUE"""),"LAARCOURIER")</f>
        <v>LAARCOURIER</v>
      </c>
      <c r="R974" s="65">
        <f>IFERROR(__xludf.DUMMYFUNCTION("""COMPUTED_VALUE"""),22.0)</f>
        <v>22</v>
      </c>
      <c r="S974" s="65"/>
      <c r="T974" s="65">
        <f>IFERROR(__xludf.DUMMYFUNCTION("""COMPUTED_VALUE"""),7.01)</f>
        <v>7.01</v>
      </c>
      <c r="U974" s="65">
        <f>IFERROR(__xludf.DUMMYFUNCTION("""COMPUTED_VALUE"""),0.0)</f>
        <v>0</v>
      </c>
      <c r="V974" s="65">
        <f>IFERROR(__xludf.DUMMYFUNCTION("""COMPUTED_VALUE"""),0.0)</f>
        <v>0</v>
      </c>
      <c r="W974" s="65">
        <f>IFERROR(__xludf.DUMMYFUNCTION("""COMPUTED_VALUE"""),0.0)</f>
        <v>0</v>
      </c>
      <c r="X974" s="65">
        <f>IFERROR(__xludf.DUMMYFUNCTION("""COMPUTED_VALUE"""),2.6)</f>
        <v>2.6</v>
      </c>
      <c r="Y974" s="65">
        <f>IFERROR(__xludf.DUMMYFUNCTION("""COMPUTED_VALUE"""),5.2)</f>
        <v>5.2</v>
      </c>
      <c r="Z974" s="65">
        <f>IFERROR(__xludf.DUMMYFUNCTION("""COMPUTED_VALUE"""),121983.0)</f>
        <v>121983</v>
      </c>
      <c r="AA974" s="65" t="str">
        <f>IFERROR(__xludf.DUMMYFUNCTION("""COMPUTED_VALUE"""),"PROV-CHLLCF")</f>
        <v>PROV-CHLLCF</v>
      </c>
      <c r="AB974" s="65"/>
      <c r="AC974" s="65" t="str">
        <f>IFERROR(__xludf.DUMMYFUNCTION("""COMPUTED_VALUE"""),"CUCHILLO PARA CHEF")</f>
        <v>CUCHILLO PARA CHEF</v>
      </c>
      <c r="AD974" s="65"/>
      <c r="AE974" s="65">
        <f>IFERROR(__xludf.DUMMYFUNCTION("""COMPUTED_VALUE"""),2.0)</f>
        <v>2</v>
      </c>
      <c r="AF974" s="65"/>
      <c r="AG974" s="65"/>
      <c r="AH974" s="65"/>
      <c r="AI974" s="65"/>
      <c r="AJ974" s="65"/>
      <c r="AK974" s="65"/>
      <c r="AL974" s="65"/>
      <c r="AM974" s="65"/>
      <c r="AN974" s="65"/>
      <c r="AO974" s="65"/>
      <c r="AP974" s="65"/>
      <c r="AQ974" s="65"/>
      <c r="AR974" s="65"/>
      <c r="AS974" s="65"/>
      <c r="AT974" s="65" t="str">
        <f>IFERROR(__xludf.DUMMYFUNCTION("""COMPUTED_VALUE"""),"SHOPIFY")</f>
        <v>SHOPIFY</v>
      </c>
      <c r="AU974" s="65" t="str">
        <f>IFERROR(__xludf.DUMMYFUNCTION("""COMPUTED_VALUE"""),"IMPORTEX EC")</f>
        <v>IMPORTEX EC</v>
      </c>
      <c r="AV974" s="65" t="str">
        <f>IFERROR(__xludf.DUMMYFUNCTION("""COMPUTED_VALUE"""),"6484497694764")</f>
        <v>6484497694764</v>
      </c>
      <c r="AW974" s="65">
        <f>IFERROR(__xludf.DUMMYFUNCTION("""COMPUTED_VALUE"""),5919.0)</f>
        <v>5919</v>
      </c>
      <c r="AX974" s="65"/>
      <c r="AY974" s="65"/>
      <c r="AZ974" s="65"/>
      <c r="BA974" s="65"/>
    </row>
    <row r="975">
      <c r="A975" s="65" t="str">
        <f>IFERROR(__xludf.DUMMYFUNCTION("""COMPUTED_VALUE"""),"27-03-2026")</f>
        <v>27-03-2026</v>
      </c>
      <c r="B975" s="65">
        <f>IFERROR(__xludf.DUMMYFUNCTION("""COMPUTED_VALUE"""),4432064.0)</f>
        <v>4432064</v>
      </c>
      <c r="C975" s="65" t="str">
        <f>IFERROR(__xludf.DUMMYFUNCTION("""COMPUTED_VALUE"""),"16:43")</f>
        <v>16:43</v>
      </c>
      <c r="D975" s="65" t="str">
        <f>IFERROR(__xludf.DUMMYFUNCTION("""COMPUTED_VALUE"""),"07-02-2026")</f>
        <v>07-02-2026</v>
      </c>
      <c r="E975" s="65" t="str">
        <f>IFERROR(__xludf.DUMMYFUNCTION("""COMPUTED_VALUE"""),"Marlene Gonzales")</f>
        <v>Marlene Gonzales</v>
      </c>
      <c r="F975" s="65" t="str">
        <f>IFERROR(__xludf.DUMMYFUNCTION("""COMPUTED_VALUE"""),"997069982")</f>
        <v>997069982</v>
      </c>
      <c r="G975" s="65" t="str">
        <f>IFERROR(__xludf.DUMMYFUNCTION("""COMPUTED_VALUE"""),"princesachabi2010@hotmail.com")</f>
        <v>princesachabi2010@hotmail.com</v>
      </c>
      <c r="H975" s="65"/>
      <c r="I975" s="65"/>
      <c r="J975" s="65"/>
      <c r="K975" s="65" t="str">
        <f>IFERROR(__xludf.DUMMYFUNCTION("""COMPUTED_VALUE"""),"CANCELADO")</f>
        <v>CANCELADO</v>
      </c>
      <c r="L975" s="65" t="str">
        <f>IFERROR(__xludf.DUMMYFUNCTION("""COMPUTED_VALUE"""),"CON RECAUDO")</f>
        <v>CON RECAUDO</v>
      </c>
      <c r="M975" s="65" t="str">
        <f>IFERROR(__xludf.DUMMYFUNCTION("""COMPUTED_VALUE"""),"PICHINCHA")</f>
        <v>PICHINCHA</v>
      </c>
      <c r="N975" s="65" t="str">
        <f>IFERROR(__xludf.DUMMYFUNCTION("""COMPUTED_VALUE"""),"MEJIA")</f>
        <v>MEJIA</v>
      </c>
      <c r="O975" s="65" t="str">
        <f>IFERROR(__xludf.DUMMYFUNCTION("""COMPUTED_VALUE"""),"Machachi Av Pablo Guarderas N7-115 y los Nardos")</f>
        <v>Machachi Av Pablo Guarderas N7-115 y los Nardos</v>
      </c>
      <c r="P975" s="65" t="str">
        <f>IFERROR(__xludf.DUMMYFUNCTION("""COMPUTED_VALUE"""),"CUCHILLO PARA CHEF: Default Title ***")</f>
        <v>CUCHILLO PARA CHEF: Default Title ***</v>
      </c>
      <c r="Q975" s="65" t="str">
        <f>IFERROR(__xludf.DUMMYFUNCTION("""COMPUTED_VALUE"""),"LAARCOURIER")</f>
        <v>LAARCOURIER</v>
      </c>
      <c r="R975" s="65">
        <f>IFERROR(__xludf.DUMMYFUNCTION("""COMPUTED_VALUE"""),21.99)</f>
        <v>21.99</v>
      </c>
      <c r="S975" s="65"/>
      <c r="T975" s="65">
        <f>IFERROR(__xludf.DUMMYFUNCTION("""COMPUTED_VALUE"""),7.01)</f>
        <v>7.01</v>
      </c>
      <c r="U975" s="65">
        <f>IFERROR(__xludf.DUMMYFUNCTION("""COMPUTED_VALUE"""),0.0)</f>
        <v>0</v>
      </c>
      <c r="V975" s="65">
        <f>IFERROR(__xludf.DUMMYFUNCTION("""COMPUTED_VALUE"""),0.0)</f>
        <v>0</v>
      </c>
      <c r="W975" s="65">
        <f>IFERROR(__xludf.DUMMYFUNCTION("""COMPUTED_VALUE"""),0.0)</f>
        <v>0</v>
      </c>
      <c r="X975" s="65">
        <f>IFERROR(__xludf.DUMMYFUNCTION("""COMPUTED_VALUE"""),2.6)</f>
        <v>2.6</v>
      </c>
      <c r="Y975" s="65">
        <f>IFERROR(__xludf.DUMMYFUNCTION("""COMPUTED_VALUE"""),2.6)</f>
        <v>2.6</v>
      </c>
      <c r="Z975" s="65">
        <f>IFERROR(__xludf.DUMMYFUNCTION("""COMPUTED_VALUE"""),121983.0)</f>
        <v>121983</v>
      </c>
      <c r="AA975" s="65" t="str">
        <f>IFERROR(__xludf.DUMMYFUNCTION("""COMPUTED_VALUE"""),"PROV-CHLLCF")</f>
        <v>PROV-CHLLCF</v>
      </c>
      <c r="AB975" s="65"/>
      <c r="AC975" s="65" t="str">
        <f>IFERROR(__xludf.DUMMYFUNCTION("""COMPUTED_VALUE"""),"CUCHILLO PARA CHEF")</f>
        <v>CUCHILLO PARA CHEF</v>
      </c>
      <c r="AD975" s="65"/>
      <c r="AE975" s="65">
        <f>IFERROR(__xludf.DUMMYFUNCTION("""COMPUTED_VALUE"""),1.0)</f>
        <v>1</v>
      </c>
      <c r="AF975" s="65"/>
      <c r="AG975" s="65"/>
      <c r="AH975" s="65"/>
      <c r="AI975" s="65"/>
      <c r="AJ975" s="65"/>
      <c r="AK975" s="65"/>
      <c r="AL975" s="65"/>
      <c r="AM975" s="65"/>
      <c r="AN975" s="65"/>
      <c r="AO975" s="65"/>
      <c r="AP975" s="65"/>
      <c r="AQ975" s="65"/>
      <c r="AR975" s="65"/>
      <c r="AS975" s="65"/>
      <c r="AT975" s="65" t="str">
        <f>IFERROR(__xludf.DUMMYFUNCTION("""COMPUTED_VALUE"""),"SHOPIFY")</f>
        <v>SHOPIFY</v>
      </c>
      <c r="AU975" s="65" t="str">
        <f>IFERROR(__xludf.DUMMYFUNCTION("""COMPUTED_VALUE"""),"IMPORTEX EC")</f>
        <v>IMPORTEX EC</v>
      </c>
      <c r="AV975" s="65" t="str">
        <f>IFERROR(__xludf.DUMMYFUNCTION("""COMPUTED_VALUE"""),"6484513849388")</f>
        <v>6484513849388</v>
      </c>
      <c r="AW975" s="65">
        <f>IFERROR(__xludf.DUMMYFUNCTION("""COMPUTED_VALUE"""),5920.0)</f>
        <v>5920</v>
      </c>
      <c r="AX975" s="65"/>
      <c r="AY975" s="65"/>
      <c r="AZ975" s="65"/>
      <c r="BA975" s="65"/>
    </row>
    <row r="976">
      <c r="A976" s="65" t="str">
        <f>IFERROR(__xludf.DUMMYFUNCTION("""COMPUTED_VALUE"""),"27-03-2026")</f>
        <v>27-03-2026</v>
      </c>
      <c r="B976" s="65">
        <f>IFERROR(__xludf.DUMMYFUNCTION("""COMPUTED_VALUE"""),4432061.0)</f>
        <v>4432061</v>
      </c>
      <c r="C976" s="65" t="str">
        <f>IFERROR(__xludf.DUMMYFUNCTION("""COMPUTED_VALUE"""),"16:43")</f>
        <v>16:43</v>
      </c>
      <c r="D976" s="65" t="str">
        <f>IFERROR(__xludf.DUMMYFUNCTION("""COMPUTED_VALUE"""),"07-02-2026")</f>
        <v>07-02-2026</v>
      </c>
      <c r="E976" s="65" t="str">
        <f>IFERROR(__xludf.DUMMYFUNCTION("""COMPUTED_VALUE"""),"Gladys Oquendo")</f>
        <v>Gladys Oquendo</v>
      </c>
      <c r="F976" s="65" t="str">
        <f>IFERROR(__xludf.DUMMYFUNCTION("""COMPUTED_VALUE"""),"991562998")</f>
        <v>991562998</v>
      </c>
      <c r="G976" s="65" t="str">
        <f>IFERROR(__xludf.DUMMYFUNCTION("""COMPUTED_VALUE"""),"gladysioquendoa@gmail.com")</f>
        <v>gladysioquendoa@gmail.com</v>
      </c>
      <c r="H976" s="65"/>
      <c r="I976" s="65"/>
      <c r="J976" s="65" t="str">
        <f>IFERROR(__xludf.DUMMYFUNCTION("""COMPUTED_VALUE"""),"D001313030")</f>
        <v>D001313030</v>
      </c>
      <c r="K976" s="65" t="str">
        <f>IFERROR(__xludf.DUMMYFUNCTION("""COMPUTED_VALUE"""),"ENTREGADO")</f>
        <v>ENTREGADO</v>
      </c>
      <c r="L976" s="65" t="str">
        <f>IFERROR(__xludf.DUMMYFUNCTION("""COMPUTED_VALUE"""),"CON RECAUDO")</f>
        <v>CON RECAUDO</v>
      </c>
      <c r="M976" s="65" t="str">
        <f>IFERROR(__xludf.DUMMYFUNCTION("""COMPUTED_VALUE"""),"SANTA ELENA")</f>
        <v>SANTA ELENA</v>
      </c>
      <c r="N976" s="65" t="str">
        <f>IFERROR(__xludf.DUMMYFUNCTION("""COMPUTED_VALUE"""),"SANTA ELENA")</f>
        <v>SANTA ELENA</v>
      </c>
      <c r="O976" s="65" t="str">
        <f>IFERROR(__xludf.DUMMYFUNCTION("""COMPUTED_VALUE"""),"Fernando Márquez de La Plata s/n y Martha de Roldós Barrio Los Sauces -")</f>
        <v>Fernando Márquez de La Plata s/n y Martha de Roldós Barrio Los Sauces -</v>
      </c>
      <c r="P976" s="65"/>
      <c r="Q976" s="65" t="str">
        <f>IFERROR(__xludf.DUMMYFUNCTION("""COMPUTED_VALUE"""),"GINTRACOM")</f>
        <v>GINTRACOM</v>
      </c>
      <c r="R976" s="65">
        <f>IFERROR(__xludf.DUMMYFUNCTION("""COMPUTED_VALUE"""),25.0)</f>
        <v>25</v>
      </c>
      <c r="S976" s="65">
        <f>IFERROR(__xludf.DUMMYFUNCTION("""COMPUTED_VALUE"""),14.64)</f>
        <v>14.64</v>
      </c>
      <c r="T976" s="65">
        <f>IFERROR(__xludf.DUMMYFUNCTION("""COMPUTED_VALUE"""),5.96)</f>
        <v>5.96</v>
      </c>
      <c r="U976" s="65">
        <f>IFERROR(__xludf.DUMMYFUNCTION("""COMPUTED_VALUE"""),0.0)</f>
        <v>0</v>
      </c>
      <c r="V976" s="65">
        <f>IFERROR(__xludf.DUMMYFUNCTION("""COMPUTED_VALUE"""),0.0)</f>
        <v>0</v>
      </c>
      <c r="W976" s="65">
        <f>IFERROR(__xludf.DUMMYFUNCTION("""COMPUTED_VALUE"""),0.0)</f>
        <v>0</v>
      </c>
      <c r="X976" s="65">
        <f>IFERROR(__xludf.DUMMYFUNCTION("""COMPUTED_VALUE"""),2.2)</f>
        <v>2.2</v>
      </c>
      <c r="Y976" s="65">
        <f>IFERROR(__xludf.DUMMYFUNCTION("""COMPUTED_VALUE"""),4.4)</f>
        <v>4.4</v>
      </c>
      <c r="Z976" s="65">
        <f>IFERROR(__xludf.DUMMYFUNCTION("""COMPUTED_VALUE"""),111894.0)</f>
        <v>111894</v>
      </c>
      <c r="AA976" s="65" t="str">
        <f>IFERROR(__xludf.DUMMYFUNCTION("""COMPUTED_VALUE"""),"LYIC5M40067")</f>
        <v>LYIC5M40067</v>
      </c>
      <c r="AB976" s="65"/>
      <c r="AC976" s="65" t="str">
        <f>IFERROR(__xludf.DUMMYFUNCTION("""COMPUTED_VALUE"""),"Limpiador de Parabrisas y Ventanas")</f>
        <v>Limpiador de Parabrisas y Ventanas</v>
      </c>
      <c r="AD976" s="65"/>
      <c r="AE976" s="65">
        <f>IFERROR(__xludf.DUMMYFUNCTION("""COMPUTED_VALUE"""),2.0)</f>
        <v>2</v>
      </c>
      <c r="AF976" s="65"/>
      <c r="AG976" s="65"/>
      <c r="AH976" s="65"/>
      <c r="AI976" s="65"/>
      <c r="AJ976" s="65"/>
      <c r="AK976" s="65"/>
      <c r="AL976" s="65"/>
      <c r="AM976" s="65"/>
      <c r="AN976" s="65" t="str">
        <f>IFERROR(__xludf.DUMMYFUNCTION("""COMPUTED_VALUE"""),"14:55")</f>
        <v>14:55</v>
      </c>
      <c r="AO976" s="65" t="str">
        <f>IFERROR(__xludf.DUMMYFUNCTION("""COMPUTED_VALUE"""),"11-02-2026")</f>
        <v>11-02-2026</v>
      </c>
      <c r="AP976" s="65" t="str">
        <f>IFERROR(__xludf.DUMMYFUNCTION("""COMPUTED_VALUE"""),"ENTREGADA GINTRACOM")</f>
        <v>ENTREGADA GINTRACOM</v>
      </c>
      <c r="AQ976" s="65" t="str">
        <f>IFERROR(__xludf.DUMMYFUNCTION("""COMPUTED_VALUE"""),"ENTREGADA GINTRACOM")</f>
        <v>ENTREGADA GINTRACOM</v>
      </c>
      <c r="AR976" s="65"/>
      <c r="AS976" s="65"/>
      <c r="AT976" s="65" t="str">
        <f>IFERROR(__xludf.DUMMYFUNCTION("""COMPUTED_VALUE"""),"SHOPIFY")</f>
        <v>SHOPIFY</v>
      </c>
      <c r="AU976" s="65" t="str">
        <f>IFERROR(__xludf.DUMMYFUNCTION("""COMPUTED_VALUE"""),"IMPORTEX EC")</f>
        <v>IMPORTEX EC</v>
      </c>
      <c r="AV976" s="65" t="str">
        <f>IFERROR(__xludf.DUMMYFUNCTION("""COMPUTED_VALUE"""),"6484514832428")</f>
        <v>6484514832428</v>
      </c>
      <c r="AW976" s="65">
        <f>IFERROR(__xludf.DUMMYFUNCTION("""COMPUTED_VALUE"""),5921.0)</f>
        <v>5921</v>
      </c>
      <c r="AX976" s="65"/>
      <c r="AY976" s="65" t="str">
        <f>IFERROR(__xludf.DUMMYFUNCTION("""COMPUTED_VALUE"""),"09/02/2026")</f>
        <v>09/02/2026</v>
      </c>
      <c r="AZ976" s="65"/>
      <c r="BA976" s="65"/>
    </row>
    <row r="977">
      <c r="A977" s="65" t="str">
        <f>IFERROR(__xludf.DUMMYFUNCTION("""COMPUTED_VALUE"""),"27-03-2026")</f>
        <v>27-03-2026</v>
      </c>
      <c r="B977" s="65">
        <f>IFERROR(__xludf.DUMMYFUNCTION("""COMPUTED_VALUE"""),4432058.0)</f>
        <v>4432058</v>
      </c>
      <c r="C977" s="65" t="str">
        <f>IFERROR(__xludf.DUMMYFUNCTION("""COMPUTED_VALUE"""),"16:43")</f>
        <v>16:43</v>
      </c>
      <c r="D977" s="65" t="str">
        <f>IFERROR(__xludf.DUMMYFUNCTION("""COMPUTED_VALUE"""),"07-02-2026")</f>
        <v>07-02-2026</v>
      </c>
      <c r="E977" s="65" t="str">
        <f>IFERROR(__xludf.DUMMYFUNCTION("""COMPUTED_VALUE"""),"Renzo Alva")</f>
        <v>Renzo Alva</v>
      </c>
      <c r="F977" s="65" t="str">
        <f>IFERROR(__xludf.DUMMYFUNCTION("""COMPUTED_VALUE"""),"980950489")</f>
        <v>980950489</v>
      </c>
      <c r="G977" s="65"/>
      <c r="H977" s="65"/>
      <c r="I977" s="65"/>
      <c r="J977" s="65" t="str">
        <f>IFERROR(__xludf.DUMMYFUNCTION("""COMPUTED_VALUE"""),"D001313031")</f>
        <v>D001313031</v>
      </c>
      <c r="K977" s="65" t="str">
        <f>IFERROR(__xludf.DUMMYFUNCTION("""COMPUTED_VALUE"""),"DEVOLUCION")</f>
        <v>DEVOLUCION</v>
      </c>
      <c r="L977" s="65" t="str">
        <f>IFERROR(__xludf.DUMMYFUNCTION("""COMPUTED_VALUE"""),"CON RECAUDO")</f>
        <v>CON RECAUDO</v>
      </c>
      <c r="M977" s="65" t="str">
        <f>IFERROR(__xludf.DUMMYFUNCTION("""COMPUTED_VALUE"""),"GUAYAS")</f>
        <v>GUAYAS</v>
      </c>
      <c r="N977" s="65" t="str">
        <f>IFERROR(__xludf.DUMMYFUNCTION("""COMPUTED_VALUE"""),"SAMBORONDON")</f>
        <v>SAMBORONDON</v>
      </c>
      <c r="O977" s="65" t="str">
        <f>IFERROR(__xludf.DUMMYFUNCTION("""COMPUTED_VALUE"""),"Km 6.5 vía Samborondon, Isla Mocoli, ciudadela isla del Río Villa 4 -Por favor que la entrega sea entre el martes y el viernes entre las 9 am y 6 pm")</f>
        <v>Km 6.5 vía Samborondon, Isla Mocoli, ciudadela isla del Río Villa 4 -Por favor que la entrega sea entre el martes y el viernes entre las 9 am y 6 pm</v>
      </c>
      <c r="P977" s="65" t="str">
        <f>IFERROR(__xludf.DUMMYFUNCTION("""COMPUTED_VALUE"""),"Limpiador de Parabrisas y Ventanas: Default Title ***")</f>
        <v>Limpiador de Parabrisas y Ventanas: Default Title ***</v>
      </c>
      <c r="Q977" s="65" t="str">
        <f>IFERROR(__xludf.DUMMYFUNCTION("""COMPUTED_VALUE"""),"GINTRACOM")</f>
        <v>GINTRACOM</v>
      </c>
      <c r="R977" s="65">
        <f>IFERROR(__xludf.DUMMYFUNCTION("""COMPUTED_VALUE"""),20.0)</f>
        <v>20</v>
      </c>
      <c r="S977" s="65"/>
      <c r="T977" s="65">
        <f>IFERROR(__xludf.DUMMYFUNCTION("""COMPUTED_VALUE"""),5.18)</f>
        <v>5.18</v>
      </c>
      <c r="U977" s="65">
        <f>IFERROR(__xludf.DUMMYFUNCTION("""COMPUTED_VALUE"""),0.0)</f>
        <v>0</v>
      </c>
      <c r="V977" s="65">
        <f>IFERROR(__xludf.DUMMYFUNCTION("""COMPUTED_VALUE"""),0.0)</f>
        <v>0</v>
      </c>
      <c r="W977" s="65">
        <f>IFERROR(__xludf.DUMMYFUNCTION("""COMPUTED_VALUE"""),0.0)</f>
        <v>0</v>
      </c>
      <c r="X977" s="65">
        <f>IFERROR(__xludf.DUMMYFUNCTION("""COMPUTED_VALUE"""),2.2)</f>
        <v>2.2</v>
      </c>
      <c r="Y977" s="65">
        <f>IFERROR(__xludf.DUMMYFUNCTION("""COMPUTED_VALUE"""),2.2)</f>
        <v>2.2</v>
      </c>
      <c r="Z977" s="65">
        <f>IFERROR(__xludf.DUMMYFUNCTION("""COMPUTED_VALUE"""),111894.0)</f>
        <v>111894</v>
      </c>
      <c r="AA977" s="65" t="str">
        <f>IFERROR(__xludf.DUMMYFUNCTION("""COMPUTED_VALUE"""),"LYIC5M40067")</f>
        <v>LYIC5M40067</v>
      </c>
      <c r="AB977" s="65"/>
      <c r="AC977" s="65" t="str">
        <f>IFERROR(__xludf.DUMMYFUNCTION("""COMPUTED_VALUE"""),"Limpiador de Parabrisas y Ventanas")</f>
        <v>Limpiador de Parabrisas y Ventanas</v>
      </c>
      <c r="AD977" s="65"/>
      <c r="AE977" s="65">
        <f>IFERROR(__xludf.DUMMYFUNCTION("""COMPUTED_VALUE"""),1.0)</f>
        <v>1</v>
      </c>
      <c r="AF977" s="65" t="str">
        <f>IFERROR(__xludf.DUMMYFUNCTION("""COMPUTED_VALUE"""),"DESTINATARIO INDICA QUE NO HA COMPRADO NINGÚN PRODUCTO")</f>
        <v>DESTINATARIO INDICA QUE NO HA COMPRADO NINGÚN PRODUCTO</v>
      </c>
      <c r="AG977" s="65" t="str">
        <f>IFERROR(__xludf.DUMMYFUNCTION("""COMPUTED_VALUE"""),"NO")</f>
        <v>NO</v>
      </c>
      <c r="AH977" s="65" t="str">
        <f>IFERROR(__xludf.DUMMYFUNCTION("""COMPUTED_VALUE"""),"15:46")</f>
        <v>15:46</v>
      </c>
      <c r="AI977" s="65" t="str">
        <f>IFERROR(__xludf.DUMMYFUNCTION("""COMPUTED_VALUE"""),"11-02-2026")</f>
        <v>11-02-2026</v>
      </c>
      <c r="AJ977" s="65"/>
      <c r="AK977" s="65"/>
      <c r="AL977" s="65"/>
      <c r="AM977" s="65"/>
      <c r="AN977" s="65" t="str">
        <f>IFERROR(__xludf.DUMMYFUNCTION("""COMPUTED_VALUE"""),"12:10")</f>
        <v>12:10</v>
      </c>
      <c r="AO977" s="65" t="str">
        <f>IFERROR(__xludf.DUMMYFUNCTION("""COMPUTED_VALUE"""),"04-03-2026")</f>
        <v>04-03-2026</v>
      </c>
      <c r="AP977" s="65" t="str">
        <f>IFERROR(__xludf.DUMMYFUNCTION("""COMPUTED_VALUE"""),"DEVOLUCIÓN ENTREGADA A ORIGEN")</f>
        <v>DEVOLUCIÓN ENTREGADA A ORIGEN</v>
      </c>
      <c r="AQ977" s="65" t="str">
        <f>IFERROR(__xludf.DUMMYFUNCTION("""COMPUTED_VALUE"""),"DEVOLUCIÓN ENTREGADA A ORIGEN")</f>
        <v>DEVOLUCIÓN ENTREGADA A ORIGEN</v>
      </c>
      <c r="AR977" s="65"/>
      <c r="AS977" s="65"/>
      <c r="AT977" s="65" t="str">
        <f>IFERROR(__xludf.DUMMYFUNCTION("""COMPUTED_VALUE"""),"SHOPIFY")</f>
        <v>SHOPIFY</v>
      </c>
      <c r="AU977" s="65" t="str">
        <f>IFERROR(__xludf.DUMMYFUNCTION("""COMPUTED_VALUE"""),"IMPORTEX EC")</f>
        <v>IMPORTEX EC</v>
      </c>
      <c r="AV977" s="65" t="str">
        <f>IFERROR(__xludf.DUMMYFUNCTION("""COMPUTED_VALUE"""),"6484519059500")</f>
        <v>6484519059500</v>
      </c>
      <c r="AW977" s="65">
        <f>IFERROR(__xludf.DUMMYFUNCTION("""COMPUTED_VALUE"""),5922.0)</f>
        <v>5922</v>
      </c>
      <c r="AX977" s="65"/>
      <c r="AY977" s="65" t="str">
        <f>IFERROR(__xludf.DUMMYFUNCTION("""COMPUTED_VALUE"""),"09/02/2026")</f>
        <v>09/02/2026</v>
      </c>
      <c r="AZ977" s="65"/>
      <c r="BA977" s="65"/>
    </row>
    <row r="978">
      <c r="A978" s="65" t="str">
        <f>IFERROR(__xludf.DUMMYFUNCTION("""COMPUTED_VALUE"""),"27-03-2026")</f>
        <v>27-03-2026</v>
      </c>
      <c r="B978" s="65">
        <f>IFERROR(__xludf.DUMMYFUNCTION("""COMPUTED_VALUE"""),4432054.0)</f>
        <v>4432054</v>
      </c>
      <c r="C978" s="65" t="str">
        <f>IFERROR(__xludf.DUMMYFUNCTION("""COMPUTED_VALUE"""),"16:42")</f>
        <v>16:42</v>
      </c>
      <c r="D978" s="65" t="str">
        <f>IFERROR(__xludf.DUMMYFUNCTION("""COMPUTED_VALUE"""),"07-02-2026")</f>
        <v>07-02-2026</v>
      </c>
      <c r="E978" s="65" t="str">
        <f>IFERROR(__xludf.DUMMYFUNCTION("""COMPUTED_VALUE"""),"Diego CALLE")</f>
        <v>Diego CALLE</v>
      </c>
      <c r="F978" s="65" t="str">
        <f>IFERROR(__xludf.DUMMYFUNCTION("""COMPUTED_VALUE"""),"981343731")</f>
        <v>981343731</v>
      </c>
      <c r="G978" s="65" t="str">
        <f>IFERROR(__xludf.DUMMYFUNCTION("""COMPUTED_VALUE"""),"dimatias03@gmail.com")</f>
        <v>dimatias03@gmail.com</v>
      </c>
      <c r="H978" s="65"/>
      <c r="I978" s="65"/>
      <c r="J978" s="65" t="str">
        <f>IFERROR(__xludf.DUMMYFUNCTION("""COMPUTED_VALUE"""),"D001313032")</f>
        <v>D001313032</v>
      </c>
      <c r="K978" s="65" t="str">
        <f>IFERROR(__xludf.DUMMYFUNCTION("""COMPUTED_VALUE"""),"ENTREGADO")</f>
        <v>ENTREGADO</v>
      </c>
      <c r="L978" s="65" t="str">
        <f>IFERROR(__xludf.DUMMYFUNCTION("""COMPUTED_VALUE"""),"CON RECAUDO")</f>
        <v>CON RECAUDO</v>
      </c>
      <c r="M978" s="65" t="str">
        <f>IFERROR(__xludf.DUMMYFUNCTION("""COMPUTED_VALUE"""),"AZUAY")</f>
        <v>AZUAY</v>
      </c>
      <c r="N978" s="65" t="str">
        <f>IFERROR(__xludf.DUMMYFUNCTION("""COMPUTED_VALUE"""),"CUENCA")</f>
        <v>CUENCA</v>
      </c>
      <c r="O978" s="65" t="str">
        <f>IFERROR(__xludf.DUMMYFUNCTION("""COMPUTED_VALUE"""),"1 de septiembre y cdla san José baños, San José Cdla san José - Casa 7")</f>
        <v>1 de septiembre y cdla san José baños, San José Cdla san José - Casa 7</v>
      </c>
      <c r="P978" s="65"/>
      <c r="Q978" s="65" t="str">
        <f>IFERROR(__xludf.DUMMYFUNCTION("""COMPUTED_VALUE"""),"GINTRACOM")</f>
        <v>GINTRACOM</v>
      </c>
      <c r="R978" s="65">
        <f>IFERROR(__xludf.DUMMYFUNCTION("""COMPUTED_VALUE"""),30.0)</f>
        <v>30</v>
      </c>
      <c r="S978" s="65">
        <f>IFERROR(__xludf.DUMMYFUNCTION("""COMPUTED_VALUE"""),17.24)</f>
        <v>17.24</v>
      </c>
      <c r="T978" s="65">
        <f>IFERROR(__xludf.DUMMYFUNCTION("""COMPUTED_VALUE"""),6.16)</f>
        <v>6.16</v>
      </c>
      <c r="U978" s="65">
        <f>IFERROR(__xludf.DUMMYFUNCTION("""COMPUTED_VALUE"""),0.0)</f>
        <v>0</v>
      </c>
      <c r="V978" s="65">
        <f>IFERROR(__xludf.DUMMYFUNCTION("""COMPUTED_VALUE"""),0.0)</f>
        <v>0</v>
      </c>
      <c r="W978" s="65">
        <f>IFERROR(__xludf.DUMMYFUNCTION("""COMPUTED_VALUE"""),0.0)</f>
        <v>0</v>
      </c>
      <c r="X978" s="65">
        <f>IFERROR(__xludf.DUMMYFUNCTION("""COMPUTED_VALUE"""),2.2)</f>
        <v>2.2</v>
      </c>
      <c r="Y978" s="65">
        <f>IFERROR(__xludf.DUMMYFUNCTION("""COMPUTED_VALUE"""),6.6)</f>
        <v>6.6</v>
      </c>
      <c r="Z978" s="65">
        <f>IFERROR(__xludf.DUMMYFUNCTION("""COMPUTED_VALUE"""),111894.0)</f>
        <v>111894</v>
      </c>
      <c r="AA978" s="65" t="str">
        <f>IFERROR(__xludf.DUMMYFUNCTION("""COMPUTED_VALUE"""),"LYIC5M40067")</f>
        <v>LYIC5M40067</v>
      </c>
      <c r="AB978" s="65"/>
      <c r="AC978" s="65" t="str">
        <f>IFERROR(__xludf.DUMMYFUNCTION("""COMPUTED_VALUE"""),"Limpiador de Parabrisas y Ventanas")</f>
        <v>Limpiador de Parabrisas y Ventanas</v>
      </c>
      <c r="AD978" s="65"/>
      <c r="AE978" s="65">
        <f>IFERROR(__xludf.DUMMYFUNCTION("""COMPUTED_VALUE"""),3.0)</f>
        <v>3</v>
      </c>
      <c r="AF978" s="65"/>
      <c r="AG978" s="65"/>
      <c r="AH978" s="65"/>
      <c r="AI978" s="65"/>
      <c r="AJ978" s="65"/>
      <c r="AK978" s="65"/>
      <c r="AL978" s="65"/>
      <c r="AM978" s="65"/>
      <c r="AN978" s="65" t="str">
        <f>IFERROR(__xludf.DUMMYFUNCTION("""COMPUTED_VALUE"""),"17:02")</f>
        <v>17:02</v>
      </c>
      <c r="AO978" s="65" t="str">
        <f>IFERROR(__xludf.DUMMYFUNCTION("""COMPUTED_VALUE"""),"12-02-2026")</f>
        <v>12-02-2026</v>
      </c>
      <c r="AP978" s="65" t="str">
        <f>IFERROR(__xludf.DUMMYFUNCTION("""COMPUTED_VALUE"""),"ENTREGADA GINTRACOM")</f>
        <v>ENTREGADA GINTRACOM</v>
      </c>
      <c r="AQ978" s="65" t="str">
        <f>IFERROR(__xludf.DUMMYFUNCTION("""COMPUTED_VALUE"""),"ENTREGADA GINTRACOM")</f>
        <v>ENTREGADA GINTRACOM</v>
      </c>
      <c r="AR978" s="65"/>
      <c r="AS978" s="65"/>
      <c r="AT978" s="65" t="str">
        <f>IFERROR(__xludf.DUMMYFUNCTION("""COMPUTED_VALUE"""),"SHOPIFY")</f>
        <v>SHOPIFY</v>
      </c>
      <c r="AU978" s="65" t="str">
        <f>IFERROR(__xludf.DUMMYFUNCTION("""COMPUTED_VALUE"""),"IMPORTEX EC")</f>
        <v>IMPORTEX EC</v>
      </c>
      <c r="AV978" s="65" t="str">
        <f>IFERROR(__xludf.DUMMYFUNCTION("""COMPUTED_VALUE"""),"6484573159468")</f>
        <v>6484573159468</v>
      </c>
      <c r="AW978" s="65">
        <f>IFERROR(__xludf.DUMMYFUNCTION("""COMPUTED_VALUE"""),5924.0)</f>
        <v>5924</v>
      </c>
      <c r="AX978" s="65"/>
      <c r="AY978" s="65" t="str">
        <f>IFERROR(__xludf.DUMMYFUNCTION("""COMPUTED_VALUE"""),"09/02/2026")</f>
        <v>09/02/2026</v>
      </c>
      <c r="AZ978" s="65"/>
      <c r="BA978" s="65"/>
    </row>
    <row r="979">
      <c r="A979" s="65" t="str">
        <f>IFERROR(__xludf.DUMMYFUNCTION("""COMPUTED_VALUE"""),"27-03-2026")</f>
        <v>27-03-2026</v>
      </c>
      <c r="B979" s="65">
        <f>IFERROR(__xludf.DUMMYFUNCTION("""COMPUTED_VALUE"""),4432052.0)</f>
        <v>4432052</v>
      </c>
      <c r="C979" s="65" t="str">
        <f>IFERROR(__xludf.DUMMYFUNCTION("""COMPUTED_VALUE"""),"16:42")</f>
        <v>16:42</v>
      </c>
      <c r="D979" s="65" t="str">
        <f>IFERROR(__xludf.DUMMYFUNCTION("""COMPUTED_VALUE"""),"07-02-2026")</f>
        <v>07-02-2026</v>
      </c>
      <c r="E979" s="65" t="str">
        <f>IFERROR(__xludf.DUMMYFUNCTION("""COMPUTED_VALUE"""),"Julio Amaguaña")</f>
        <v>Julio Amaguaña</v>
      </c>
      <c r="F979" s="65" t="str">
        <f>IFERROR(__xludf.DUMMYFUNCTION("""COMPUTED_VALUE"""),"997366500")</f>
        <v>997366500</v>
      </c>
      <c r="G979" s="65" t="str">
        <f>IFERROR(__xludf.DUMMYFUNCTION("""COMPUTED_VALUE"""),"cesar_at21@hotmail.com")</f>
        <v>cesar_at21@hotmail.com</v>
      </c>
      <c r="H979" s="65"/>
      <c r="I979" s="65"/>
      <c r="J979" s="65" t="str">
        <f>IFERROR(__xludf.DUMMYFUNCTION("""COMPUTED_VALUE"""),"D001313033")</f>
        <v>D001313033</v>
      </c>
      <c r="K979" s="65" t="str">
        <f>IFERROR(__xludf.DUMMYFUNCTION("""COMPUTED_VALUE"""),"ENTREGADO")</f>
        <v>ENTREGADO</v>
      </c>
      <c r="L979" s="65" t="str">
        <f>IFERROR(__xludf.DUMMYFUNCTION("""COMPUTED_VALUE"""),"CON RECAUDO")</f>
        <v>CON RECAUDO</v>
      </c>
      <c r="M979" s="65" t="str">
        <f>IFERROR(__xludf.DUMMYFUNCTION("""COMPUTED_VALUE"""),"IMBABURA")</f>
        <v>IMBABURA</v>
      </c>
      <c r="N979" s="65" t="str">
        <f>IFERROR(__xludf.DUMMYFUNCTION("""COMPUTED_VALUE"""),"OTAVALO")</f>
        <v>OTAVALO</v>
      </c>
      <c r="O979" s="65" t="str">
        <f>IFERROR(__xludf.DUMMYFUNCTION("""COMPUTED_VALUE"""),"Calle 13 de junio y pasaje 5 Barrio Cardon Bajo - A 2 cuadras de la Universidad de Otavalo")</f>
        <v>Calle 13 de junio y pasaje 5 Barrio Cardon Bajo - A 2 cuadras de la Universidad de Otavalo</v>
      </c>
      <c r="P979" s="65"/>
      <c r="Q979" s="65" t="str">
        <f>IFERROR(__xludf.DUMMYFUNCTION("""COMPUTED_VALUE"""),"GINTRACOM")</f>
        <v>GINTRACOM</v>
      </c>
      <c r="R979" s="65">
        <f>IFERROR(__xludf.DUMMYFUNCTION("""COMPUTED_VALUE"""),25.0)</f>
        <v>25</v>
      </c>
      <c r="S979" s="65">
        <f>IFERROR(__xludf.DUMMYFUNCTION("""COMPUTED_VALUE"""),14.64)</f>
        <v>14.64</v>
      </c>
      <c r="T979" s="65">
        <f>IFERROR(__xludf.DUMMYFUNCTION("""COMPUTED_VALUE"""),5.96)</f>
        <v>5.96</v>
      </c>
      <c r="U979" s="65">
        <f>IFERROR(__xludf.DUMMYFUNCTION("""COMPUTED_VALUE"""),0.0)</f>
        <v>0</v>
      </c>
      <c r="V979" s="65">
        <f>IFERROR(__xludf.DUMMYFUNCTION("""COMPUTED_VALUE"""),0.0)</f>
        <v>0</v>
      </c>
      <c r="W979" s="65">
        <f>IFERROR(__xludf.DUMMYFUNCTION("""COMPUTED_VALUE"""),0.0)</f>
        <v>0</v>
      </c>
      <c r="X979" s="65">
        <f>IFERROR(__xludf.DUMMYFUNCTION("""COMPUTED_VALUE"""),2.2)</f>
        <v>2.2</v>
      </c>
      <c r="Y979" s="65">
        <f>IFERROR(__xludf.DUMMYFUNCTION("""COMPUTED_VALUE"""),4.4)</f>
        <v>4.4</v>
      </c>
      <c r="Z979" s="65">
        <f>IFERROR(__xludf.DUMMYFUNCTION("""COMPUTED_VALUE"""),111894.0)</f>
        <v>111894</v>
      </c>
      <c r="AA979" s="65" t="str">
        <f>IFERROR(__xludf.DUMMYFUNCTION("""COMPUTED_VALUE"""),"LYIC5M40067")</f>
        <v>LYIC5M40067</v>
      </c>
      <c r="AB979" s="65"/>
      <c r="AC979" s="65" t="str">
        <f>IFERROR(__xludf.DUMMYFUNCTION("""COMPUTED_VALUE"""),"Limpiador de Parabrisas y Ventanas")</f>
        <v>Limpiador de Parabrisas y Ventanas</v>
      </c>
      <c r="AD979" s="65"/>
      <c r="AE979" s="65">
        <f>IFERROR(__xludf.DUMMYFUNCTION("""COMPUTED_VALUE"""),2.0)</f>
        <v>2</v>
      </c>
      <c r="AF979" s="65"/>
      <c r="AG979" s="65"/>
      <c r="AH979" s="65"/>
      <c r="AI979" s="65"/>
      <c r="AJ979" s="65"/>
      <c r="AK979" s="65"/>
      <c r="AL979" s="65"/>
      <c r="AM979" s="65"/>
      <c r="AN979" s="65" t="str">
        <f>IFERROR(__xludf.DUMMYFUNCTION("""COMPUTED_VALUE"""),"19:55")</f>
        <v>19:55</v>
      </c>
      <c r="AO979" s="65" t="str">
        <f>IFERROR(__xludf.DUMMYFUNCTION("""COMPUTED_VALUE"""),"11-02-2026")</f>
        <v>11-02-2026</v>
      </c>
      <c r="AP979" s="65" t="str">
        <f>IFERROR(__xludf.DUMMYFUNCTION("""COMPUTED_VALUE"""),"ENTREGADA GINTRACOM")</f>
        <v>ENTREGADA GINTRACOM</v>
      </c>
      <c r="AQ979" s="65" t="str">
        <f>IFERROR(__xludf.DUMMYFUNCTION("""COMPUTED_VALUE"""),"ENTREGADA GINTRACOM")</f>
        <v>ENTREGADA GINTRACOM</v>
      </c>
      <c r="AR979" s="65"/>
      <c r="AS979" s="65"/>
      <c r="AT979" s="65" t="str">
        <f>IFERROR(__xludf.DUMMYFUNCTION("""COMPUTED_VALUE"""),"SHOPIFY")</f>
        <v>SHOPIFY</v>
      </c>
      <c r="AU979" s="65" t="str">
        <f>IFERROR(__xludf.DUMMYFUNCTION("""COMPUTED_VALUE"""),"IMPORTEX EC")</f>
        <v>IMPORTEX EC</v>
      </c>
      <c r="AV979" s="65" t="str">
        <f>IFERROR(__xludf.DUMMYFUNCTION("""COMPUTED_VALUE"""),"6484619460652")</f>
        <v>6484619460652</v>
      </c>
      <c r="AW979" s="65">
        <f>IFERROR(__xludf.DUMMYFUNCTION("""COMPUTED_VALUE"""),5925.0)</f>
        <v>5925</v>
      </c>
      <c r="AX979" s="65"/>
      <c r="AY979" s="65" t="str">
        <f>IFERROR(__xludf.DUMMYFUNCTION("""COMPUTED_VALUE"""),"09/02/2026")</f>
        <v>09/02/2026</v>
      </c>
      <c r="AZ979" s="65"/>
      <c r="BA979" s="65"/>
    </row>
    <row r="980">
      <c r="A980" s="65" t="str">
        <f>IFERROR(__xludf.DUMMYFUNCTION("""COMPUTED_VALUE"""),"27-03-2026")</f>
        <v>27-03-2026</v>
      </c>
      <c r="B980" s="65">
        <f>IFERROR(__xludf.DUMMYFUNCTION("""COMPUTED_VALUE"""),4432049.0)</f>
        <v>4432049</v>
      </c>
      <c r="C980" s="65" t="str">
        <f>IFERROR(__xludf.DUMMYFUNCTION("""COMPUTED_VALUE"""),"16:42")</f>
        <v>16:42</v>
      </c>
      <c r="D980" s="65" t="str">
        <f>IFERROR(__xludf.DUMMYFUNCTION("""COMPUTED_VALUE"""),"07-02-2026")</f>
        <v>07-02-2026</v>
      </c>
      <c r="E980" s="65" t="str">
        <f>IFERROR(__xludf.DUMMYFUNCTION("""COMPUTED_VALUE"""),"Lourdes Guerrero")</f>
        <v>Lourdes Guerrero</v>
      </c>
      <c r="F980" s="65" t="str">
        <f>IFERROR(__xludf.DUMMYFUNCTION("""COMPUTED_VALUE"""),"995135706")</f>
        <v>995135706</v>
      </c>
      <c r="G980" s="65" t="str">
        <f>IFERROR(__xludf.DUMMYFUNCTION("""COMPUTED_VALUE"""),"luciagm61@hotmail.com")</f>
        <v>luciagm61@hotmail.com</v>
      </c>
      <c r="H980" s="65"/>
      <c r="I980" s="65"/>
      <c r="J980" s="65"/>
      <c r="K980" s="65" t="str">
        <f>IFERROR(__xludf.DUMMYFUNCTION("""COMPUTED_VALUE"""),"CANCELADO")</f>
        <v>CANCELADO</v>
      </c>
      <c r="L980" s="65" t="str">
        <f>IFERROR(__xludf.DUMMYFUNCTION("""COMPUTED_VALUE"""),"CON RECAUDO")</f>
        <v>CON RECAUDO</v>
      </c>
      <c r="M980" s="65" t="str">
        <f>IFERROR(__xludf.DUMMYFUNCTION("""COMPUTED_VALUE"""),"CARCHI")</f>
        <v>CARCHI</v>
      </c>
      <c r="N980" s="65" t="str">
        <f>IFERROR(__xludf.DUMMYFUNCTION("""COMPUTED_VALUE"""),"EL ANGEL")</f>
        <v>EL ANGEL</v>
      </c>
      <c r="O980" s="65" t="str">
        <f>IFERROR(__xludf.DUMMYFUNCTION("""COMPUTED_VALUE"""),"Salinas")</f>
        <v>Salinas</v>
      </c>
      <c r="P980" s="65" t="str">
        <f>IFERROR(__xludf.DUMMYFUNCTION("""COMPUTED_VALUE"""),"CUCHILLO PARA CHEF: Default Title ***")</f>
        <v>CUCHILLO PARA CHEF: Default Title ***</v>
      </c>
      <c r="Q980" s="65" t="str">
        <f>IFERROR(__xludf.DUMMYFUNCTION("""COMPUTED_VALUE"""),"LAARCOURIER")</f>
        <v>LAARCOURIER</v>
      </c>
      <c r="R980" s="65">
        <f>IFERROR(__xludf.DUMMYFUNCTION("""COMPUTED_VALUE"""),43.98)</f>
        <v>43.98</v>
      </c>
      <c r="S980" s="65"/>
      <c r="T980" s="65">
        <f>IFERROR(__xludf.DUMMYFUNCTION("""COMPUTED_VALUE"""),8.28)</f>
        <v>8.28</v>
      </c>
      <c r="U980" s="65">
        <f>IFERROR(__xludf.DUMMYFUNCTION("""COMPUTED_VALUE"""),0.0)</f>
        <v>0</v>
      </c>
      <c r="V980" s="65">
        <f>IFERROR(__xludf.DUMMYFUNCTION("""COMPUTED_VALUE"""),0.0)</f>
        <v>0</v>
      </c>
      <c r="W980" s="65">
        <f>IFERROR(__xludf.DUMMYFUNCTION("""COMPUTED_VALUE"""),0.0)</f>
        <v>0</v>
      </c>
      <c r="X980" s="65">
        <f>IFERROR(__xludf.DUMMYFUNCTION("""COMPUTED_VALUE"""),2.6)</f>
        <v>2.6</v>
      </c>
      <c r="Y980" s="65">
        <f>IFERROR(__xludf.DUMMYFUNCTION("""COMPUTED_VALUE"""),5.2)</f>
        <v>5.2</v>
      </c>
      <c r="Z980" s="65">
        <f>IFERROR(__xludf.DUMMYFUNCTION("""COMPUTED_VALUE"""),121983.0)</f>
        <v>121983</v>
      </c>
      <c r="AA980" s="65" t="str">
        <f>IFERROR(__xludf.DUMMYFUNCTION("""COMPUTED_VALUE"""),"PROV-CHLLCF")</f>
        <v>PROV-CHLLCF</v>
      </c>
      <c r="AB980" s="65"/>
      <c r="AC980" s="65" t="str">
        <f>IFERROR(__xludf.DUMMYFUNCTION("""COMPUTED_VALUE"""),"CUCHILLO PARA CHEF")</f>
        <v>CUCHILLO PARA CHEF</v>
      </c>
      <c r="AD980" s="65"/>
      <c r="AE980" s="65">
        <f>IFERROR(__xludf.DUMMYFUNCTION("""COMPUTED_VALUE"""),2.0)</f>
        <v>2</v>
      </c>
      <c r="AF980" s="65"/>
      <c r="AG980" s="65"/>
      <c r="AH980" s="65"/>
      <c r="AI980" s="65"/>
      <c r="AJ980" s="65"/>
      <c r="AK980" s="65"/>
      <c r="AL980" s="65"/>
      <c r="AM980" s="65"/>
      <c r="AN980" s="65"/>
      <c r="AO980" s="65"/>
      <c r="AP980" s="65"/>
      <c r="AQ980" s="65"/>
      <c r="AR980" s="65"/>
      <c r="AS980" s="65"/>
      <c r="AT980" s="65" t="str">
        <f>IFERROR(__xludf.DUMMYFUNCTION("""COMPUTED_VALUE"""),"SHOPIFY")</f>
        <v>SHOPIFY</v>
      </c>
      <c r="AU980" s="65" t="str">
        <f>IFERROR(__xludf.DUMMYFUNCTION("""COMPUTED_VALUE"""),"IMPORTEX EC")</f>
        <v>IMPORTEX EC</v>
      </c>
      <c r="AV980" s="65" t="str">
        <f>IFERROR(__xludf.DUMMYFUNCTION("""COMPUTED_VALUE"""),"6484645707820")</f>
        <v>6484645707820</v>
      </c>
      <c r="AW980" s="65">
        <f>IFERROR(__xludf.DUMMYFUNCTION("""COMPUTED_VALUE"""),5926.0)</f>
        <v>5926</v>
      </c>
      <c r="AX980" s="65"/>
      <c r="AY980" s="65"/>
      <c r="AZ980" s="65"/>
      <c r="BA980" s="65"/>
    </row>
    <row r="981">
      <c r="A981" s="65" t="str">
        <f>IFERROR(__xludf.DUMMYFUNCTION("""COMPUTED_VALUE"""),"27-03-2026")</f>
        <v>27-03-2026</v>
      </c>
      <c r="B981" s="65">
        <f>IFERROR(__xludf.DUMMYFUNCTION("""COMPUTED_VALUE"""),4432048.0)</f>
        <v>4432048</v>
      </c>
      <c r="C981" s="65" t="str">
        <f>IFERROR(__xludf.DUMMYFUNCTION("""COMPUTED_VALUE"""),"16:42")</f>
        <v>16:42</v>
      </c>
      <c r="D981" s="65" t="str">
        <f>IFERROR(__xludf.DUMMYFUNCTION("""COMPUTED_VALUE"""),"07-02-2026")</f>
        <v>07-02-2026</v>
      </c>
      <c r="E981" s="65" t="str">
        <f>IFERROR(__xludf.DUMMYFUNCTION("""COMPUTED_VALUE"""),"José Encalada")</f>
        <v>José Encalada</v>
      </c>
      <c r="F981" s="65" t="str">
        <f>IFERROR(__xludf.DUMMYFUNCTION("""COMPUTED_VALUE"""),"986372074")</f>
        <v>986372074</v>
      </c>
      <c r="G981" s="65" t="str">
        <f>IFERROR(__xludf.DUMMYFUNCTION("""COMPUTED_VALUE"""),"encaladajose76@gmail.com")</f>
        <v>encaladajose76@gmail.com</v>
      </c>
      <c r="H981" s="65"/>
      <c r="I981" s="65"/>
      <c r="J981" s="65" t="str">
        <f>IFERROR(__xludf.DUMMYFUNCTION("""COMPUTED_VALUE"""),"D001313034")</f>
        <v>D001313034</v>
      </c>
      <c r="K981" s="65" t="str">
        <f>IFERROR(__xludf.DUMMYFUNCTION("""COMPUTED_VALUE"""),"DEVOLUCION")</f>
        <v>DEVOLUCION</v>
      </c>
      <c r="L981" s="65" t="str">
        <f>IFERROR(__xludf.DUMMYFUNCTION("""COMPUTED_VALUE"""),"CON RECAUDO")</f>
        <v>CON RECAUDO</v>
      </c>
      <c r="M981" s="65" t="str">
        <f>IFERROR(__xludf.DUMMYFUNCTION("""COMPUTED_VALUE"""),"PICHINCHA")</f>
        <v>PICHINCHA</v>
      </c>
      <c r="N981" s="65" t="str">
        <f>IFERROR(__xludf.DUMMYFUNCTION("""COMPUTED_VALUE"""),"QUITO")</f>
        <v>QUITO</v>
      </c>
      <c r="O981" s="65" t="str">
        <f>IFERROR(__xludf.DUMMYFUNCTION("""COMPUTED_VALUE"""),"Toacazo y chanchagua Lagatazo -")</f>
        <v>Toacazo y chanchagua Lagatazo -</v>
      </c>
      <c r="P981" s="65"/>
      <c r="Q981" s="65" t="str">
        <f>IFERROR(__xludf.DUMMYFUNCTION("""COMPUTED_VALUE"""),"GINTRACOM")</f>
        <v>GINTRACOM</v>
      </c>
      <c r="R981" s="65">
        <f>IFERROR(__xludf.DUMMYFUNCTION("""COMPUTED_VALUE"""),25.0)</f>
        <v>25</v>
      </c>
      <c r="S981" s="65"/>
      <c r="T981" s="65">
        <f>IFERROR(__xludf.DUMMYFUNCTION("""COMPUTED_VALUE"""),5.96)</f>
        <v>5.96</v>
      </c>
      <c r="U981" s="65">
        <f>IFERROR(__xludf.DUMMYFUNCTION("""COMPUTED_VALUE"""),0.0)</f>
        <v>0</v>
      </c>
      <c r="V981" s="65">
        <f>IFERROR(__xludf.DUMMYFUNCTION("""COMPUTED_VALUE"""),0.0)</f>
        <v>0</v>
      </c>
      <c r="W981" s="65">
        <f>IFERROR(__xludf.DUMMYFUNCTION("""COMPUTED_VALUE"""),0.0)</f>
        <v>0</v>
      </c>
      <c r="X981" s="65">
        <f>IFERROR(__xludf.DUMMYFUNCTION("""COMPUTED_VALUE"""),2.2)</f>
        <v>2.2</v>
      </c>
      <c r="Y981" s="65">
        <f>IFERROR(__xludf.DUMMYFUNCTION("""COMPUTED_VALUE"""),4.4)</f>
        <v>4.4</v>
      </c>
      <c r="Z981" s="65">
        <f>IFERROR(__xludf.DUMMYFUNCTION("""COMPUTED_VALUE"""),111894.0)</f>
        <v>111894</v>
      </c>
      <c r="AA981" s="65" t="str">
        <f>IFERROR(__xludf.DUMMYFUNCTION("""COMPUTED_VALUE"""),"LYIC5M40067")</f>
        <v>LYIC5M40067</v>
      </c>
      <c r="AB981" s="65"/>
      <c r="AC981" s="65" t="str">
        <f>IFERROR(__xludf.DUMMYFUNCTION("""COMPUTED_VALUE"""),"Limpiador de Parabrisas y Ventanas")</f>
        <v>Limpiador de Parabrisas y Ventanas</v>
      </c>
      <c r="AD981" s="65"/>
      <c r="AE981" s="65">
        <f>IFERROR(__xludf.DUMMYFUNCTION("""COMPUTED_VALUE"""),2.0)</f>
        <v>2</v>
      </c>
      <c r="AF981" s="65" t="str">
        <f>IFERROR(__xludf.DUMMYFUNCTION("""COMPUTED_VALUE"""),"DESTINATARIO NO CONTESTA LLAMADAS NI WHATSAPP")</f>
        <v>DESTINATARIO NO CONTESTA LLAMADAS NI WHATSAPP</v>
      </c>
      <c r="AG981" s="65" t="str">
        <f>IFERROR(__xludf.DUMMYFUNCTION("""COMPUTED_VALUE"""),"NO")</f>
        <v>NO</v>
      </c>
      <c r="AH981" s="65" t="str">
        <f>IFERROR(__xludf.DUMMYFUNCTION("""COMPUTED_VALUE"""),"09:00")</f>
        <v>09:00</v>
      </c>
      <c r="AI981" s="65" t="str">
        <f>IFERROR(__xludf.DUMMYFUNCTION("""COMPUTED_VALUE"""),"20-02-2026")</f>
        <v>20-02-2026</v>
      </c>
      <c r="AJ981" s="65"/>
      <c r="AK981" s="65"/>
      <c r="AL981" s="65"/>
      <c r="AM981" s="65"/>
      <c r="AN981" s="65" t="str">
        <f>IFERROR(__xludf.DUMMYFUNCTION("""COMPUTED_VALUE"""),"11:29")</f>
        <v>11:29</v>
      </c>
      <c r="AO981" s="65" t="str">
        <f>IFERROR(__xludf.DUMMYFUNCTION("""COMPUTED_VALUE"""),"02-03-2026")</f>
        <v>02-03-2026</v>
      </c>
      <c r="AP981" s="65" t="str">
        <f>IFERROR(__xludf.DUMMYFUNCTION("""COMPUTED_VALUE"""),"DEVOLUCIÓN ENTREGADA A ORIGEN")</f>
        <v>DEVOLUCIÓN ENTREGADA A ORIGEN</v>
      </c>
      <c r="AQ981" s="65" t="str">
        <f>IFERROR(__xludf.DUMMYFUNCTION("""COMPUTED_VALUE"""),"DEVOLUCIÓN ENTREGADA A ORIGEN")</f>
        <v>DEVOLUCIÓN ENTREGADA A ORIGEN</v>
      </c>
      <c r="AR981" s="65"/>
      <c r="AS981" s="65"/>
      <c r="AT981" s="65" t="str">
        <f>IFERROR(__xludf.DUMMYFUNCTION("""COMPUTED_VALUE"""),"SHOPIFY")</f>
        <v>SHOPIFY</v>
      </c>
      <c r="AU981" s="65" t="str">
        <f>IFERROR(__xludf.DUMMYFUNCTION("""COMPUTED_VALUE"""),"IMPORTEX EC")</f>
        <v>IMPORTEX EC</v>
      </c>
      <c r="AV981" s="65" t="str">
        <f>IFERROR(__xludf.DUMMYFUNCTION("""COMPUTED_VALUE"""),"6484672413740")</f>
        <v>6484672413740</v>
      </c>
      <c r="AW981" s="65">
        <f>IFERROR(__xludf.DUMMYFUNCTION("""COMPUTED_VALUE"""),5927.0)</f>
        <v>5927</v>
      </c>
      <c r="AX981" s="65"/>
      <c r="AY981" s="65" t="str">
        <f>IFERROR(__xludf.DUMMYFUNCTION("""COMPUTED_VALUE"""),"09/02/2026")</f>
        <v>09/02/2026</v>
      </c>
      <c r="AZ981" s="65"/>
      <c r="BA981" s="65"/>
    </row>
    <row r="982">
      <c r="A982" s="65" t="str">
        <f>IFERROR(__xludf.DUMMYFUNCTION("""COMPUTED_VALUE"""),"27-03-2026")</f>
        <v>27-03-2026</v>
      </c>
      <c r="B982" s="65">
        <f>IFERROR(__xludf.DUMMYFUNCTION("""COMPUTED_VALUE"""),4432046.0)</f>
        <v>4432046</v>
      </c>
      <c r="C982" s="65" t="str">
        <f>IFERROR(__xludf.DUMMYFUNCTION("""COMPUTED_VALUE"""),"16:42")</f>
        <v>16:42</v>
      </c>
      <c r="D982" s="65" t="str">
        <f>IFERROR(__xludf.DUMMYFUNCTION("""COMPUTED_VALUE"""),"07-02-2026")</f>
        <v>07-02-2026</v>
      </c>
      <c r="E982" s="65" t="str">
        <f>IFERROR(__xludf.DUMMYFUNCTION("""COMPUTED_VALUE"""),"Carmen Ordoñez Ordoñez")</f>
        <v>Carmen Ordoñez Ordoñez</v>
      </c>
      <c r="F982" s="65" t="str">
        <f>IFERROR(__xludf.DUMMYFUNCTION("""COMPUTED_VALUE"""),"979496325")</f>
        <v>979496325</v>
      </c>
      <c r="G982" s="65" t="str">
        <f>IFERROR(__xludf.DUMMYFUNCTION("""COMPUTED_VALUE"""),"deliaordonez975@gmail.com")</f>
        <v>deliaordonez975@gmail.com</v>
      </c>
      <c r="H982" s="65"/>
      <c r="I982" s="65"/>
      <c r="J982" s="65" t="str">
        <f>IFERROR(__xludf.DUMMYFUNCTION("""COMPUTED_VALUE"""),"187033545")</f>
        <v>187033545</v>
      </c>
      <c r="K982" s="65" t="str">
        <f>IFERROR(__xludf.DUMMYFUNCTION("""COMPUTED_VALUE"""),"DEVOLUCION")</f>
        <v>DEVOLUCION</v>
      </c>
      <c r="L982" s="65" t="str">
        <f>IFERROR(__xludf.DUMMYFUNCTION("""COMPUTED_VALUE"""),"CON RECAUDO")</f>
        <v>CON RECAUDO</v>
      </c>
      <c r="M982" s="65" t="str">
        <f>IFERROR(__xludf.DUMMYFUNCTION("""COMPUTED_VALUE"""),"LOJA")</f>
        <v>LOJA</v>
      </c>
      <c r="N982" s="65" t="str">
        <f>IFERROR(__xludf.DUMMYFUNCTION("""COMPUTED_VALUE"""),"PINDAL")</f>
        <v>PINDAL</v>
      </c>
      <c r="O982" s="65" t="str">
        <f>IFERROR(__xludf.DUMMYFUNCTION("""COMPUTED_VALUE"""),"Via a la piscina natural Pindal - a dos cuadras de la escuela Zoila Rendon de Mosquera, ciudad Pindal a 2 minutos de la entrada a las piscinas naturales.")</f>
        <v>Via a la piscina natural Pindal - a dos cuadras de la escuela Zoila Rendon de Mosquera, ciudad Pindal a 2 minutos de la entrada a las piscinas naturales.</v>
      </c>
      <c r="P982" s="65"/>
      <c r="Q982" s="65" t="str">
        <f>IFERROR(__xludf.DUMMYFUNCTION("""COMPUTED_VALUE"""),"SERVIENTREGA")</f>
        <v>SERVIENTREGA</v>
      </c>
      <c r="R982" s="65">
        <f>IFERROR(__xludf.DUMMYFUNCTION("""COMPUTED_VALUE"""),22.0)</f>
        <v>22</v>
      </c>
      <c r="S982" s="65"/>
      <c r="T982" s="65">
        <f>IFERROR(__xludf.DUMMYFUNCTION("""COMPUTED_VALUE"""),7.7)</f>
        <v>7.7</v>
      </c>
      <c r="U982" s="65">
        <f>IFERROR(__xludf.DUMMYFUNCTION("""COMPUTED_VALUE"""),0.0)</f>
        <v>0</v>
      </c>
      <c r="V982" s="65">
        <f>IFERROR(__xludf.DUMMYFUNCTION("""COMPUTED_VALUE"""),0.0)</f>
        <v>0</v>
      </c>
      <c r="W982" s="65">
        <f>IFERROR(__xludf.DUMMYFUNCTION("""COMPUTED_VALUE"""),0.0)</f>
        <v>0</v>
      </c>
      <c r="X982" s="65">
        <f>IFERROR(__xludf.DUMMYFUNCTION("""COMPUTED_VALUE"""),2.6)</f>
        <v>2.6</v>
      </c>
      <c r="Y982" s="65">
        <f>IFERROR(__xludf.DUMMYFUNCTION("""COMPUTED_VALUE"""),5.2)</f>
        <v>5.2</v>
      </c>
      <c r="Z982" s="65">
        <f>IFERROR(__xludf.DUMMYFUNCTION("""COMPUTED_VALUE"""),121983.0)</f>
        <v>121983</v>
      </c>
      <c r="AA982" s="65" t="str">
        <f>IFERROR(__xludf.DUMMYFUNCTION("""COMPUTED_VALUE"""),"PROV-CHLLCF")</f>
        <v>PROV-CHLLCF</v>
      </c>
      <c r="AB982" s="65"/>
      <c r="AC982" s="65" t="str">
        <f>IFERROR(__xludf.DUMMYFUNCTION("""COMPUTED_VALUE"""),"CUCHILLO PARA CHEF")</f>
        <v>CUCHILLO PARA CHEF</v>
      </c>
      <c r="AD982" s="65"/>
      <c r="AE982" s="65">
        <f>IFERROR(__xludf.DUMMYFUNCTION("""COMPUTED_VALUE"""),2.0)</f>
        <v>2</v>
      </c>
      <c r="AF982" s="65" t="str">
        <f>IFERROR(__xludf.DUMMYFUNCTION("""COMPUTED_VALUE"""),"DEVOLUCION AL REMITENTE")</f>
        <v>DEVOLUCION AL REMITENTE</v>
      </c>
      <c r="AG982" s="65" t="str">
        <f>IFERROR(__xludf.DUMMYFUNCTION("""COMPUTED_VALUE"""),"NO")</f>
        <v>NO</v>
      </c>
      <c r="AH982" s="65" t="str">
        <f>IFERROR(__xludf.DUMMYFUNCTION("""COMPUTED_VALUE"""),"13:19")</f>
        <v>13:19</v>
      </c>
      <c r="AI982" s="65" t="str">
        <f>IFERROR(__xludf.DUMMYFUNCTION("""COMPUTED_VALUE"""),"23-02-2026")</f>
        <v>23-02-2026</v>
      </c>
      <c r="AJ982" s="65"/>
      <c r="AK982" s="65"/>
      <c r="AL982" s="65"/>
      <c r="AM982" s="65"/>
      <c r="AN982" s="65" t="str">
        <f>IFERROR(__xludf.DUMMYFUNCTION("""COMPUTED_VALUE"""),"11:15")</f>
        <v>11:15</v>
      </c>
      <c r="AO982" s="65" t="str">
        <f>IFERROR(__xludf.DUMMYFUNCTION("""COMPUTED_VALUE"""),"24-02-2026")</f>
        <v>24-02-2026</v>
      </c>
      <c r="AP982" s="65" t="str">
        <f>IFERROR(__xludf.DUMMYFUNCTION("""COMPUTED_VALUE"""),"DEVOLUCION AL REMITENTE")</f>
        <v>DEVOLUCION AL REMITENTE</v>
      </c>
      <c r="AQ982" s="65" t="str">
        <f>IFERROR(__xludf.DUMMYFUNCTION("""COMPUTED_VALUE"""),"{}")</f>
        <v>{}</v>
      </c>
      <c r="AR982" s="65"/>
      <c r="AS982" s="65"/>
      <c r="AT982" s="65" t="str">
        <f>IFERROR(__xludf.DUMMYFUNCTION("""COMPUTED_VALUE"""),"SHOPIFY")</f>
        <v>SHOPIFY</v>
      </c>
      <c r="AU982" s="65" t="str">
        <f>IFERROR(__xludf.DUMMYFUNCTION("""COMPUTED_VALUE"""),"IMPORTEX EC")</f>
        <v>IMPORTEX EC</v>
      </c>
      <c r="AV982" s="65" t="str">
        <f>IFERROR(__xludf.DUMMYFUNCTION("""COMPUTED_VALUE"""),"6484741062700")</f>
        <v>6484741062700</v>
      </c>
      <c r="AW982" s="65">
        <f>IFERROR(__xludf.DUMMYFUNCTION("""COMPUTED_VALUE"""),5928.0)</f>
        <v>5928</v>
      </c>
      <c r="AX982" s="65"/>
      <c r="AY982" s="65" t="str">
        <f>IFERROR(__xludf.DUMMYFUNCTION("""COMPUTED_VALUE"""),"10/02/2026")</f>
        <v>10/02/2026</v>
      </c>
      <c r="AZ982" s="65"/>
      <c r="BA982" s="65"/>
    </row>
    <row r="983">
      <c r="A983" s="65" t="str">
        <f>IFERROR(__xludf.DUMMYFUNCTION("""COMPUTED_VALUE"""),"27-03-2026")</f>
        <v>27-03-2026</v>
      </c>
      <c r="B983" s="65">
        <f>IFERROR(__xludf.DUMMYFUNCTION("""COMPUTED_VALUE"""),4432044.0)</f>
        <v>4432044</v>
      </c>
      <c r="C983" s="65" t="str">
        <f>IFERROR(__xludf.DUMMYFUNCTION("""COMPUTED_VALUE"""),"16:41")</f>
        <v>16:41</v>
      </c>
      <c r="D983" s="65" t="str">
        <f>IFERROR(__xludf.DUMMYFUNCTION("""COMPUTED_VALUE"""),"07-02-2026")</f>
        <v>07-02-2026</v>
      </c>
      <c r="E983" s="65" t="str">
        <f>IFERROR(__xludf.DUMMYFUNCTION("""COMPUTED_VALUE"""),"LUIS CABASCANGO")</f>
        <v>LUIS CABASCANGO</v>
      </c>
      <c r="F983" s="65" t="str">
        <f>IFERROR(__xludf.DUMMYFUNCTION("""COMPUTED_VALUE"""),"989962885")</f>
        <v>989962885</v>
      </c>
      <c r="G983" s="65" t="str">
        <f>IFERROR(__xludf.DUMMYFUNCTION("""COMPUTED_VALUE"""),"chalitoricodos@gmail.com")</f>
        <v>chalitoricodos@gmail.com</v>
      </c>
      <c r="H983" s="65"/>
      <c r="I983" s="65"/>
      <c r="J983" s="65" t="str">
        <f>IFERROR(__xludf.DUMMYFUNCTION("""COMPUTED_VALUE"""),"D001315171")</f>
        <v>D001315171</v>
      </c>
      <c r="K983" s="65" t="str">
        <f>IFERROR(__xludf.DUMMYFUNCTION("""COMPUTED_VALUE"""),"ENTREGADO")</f>
        <v>ENTREGADO</v>
      </c>
      <c r="L983" s="65" t="str">
        <f>IFERROR(__xludf.DUMMYFUNCTION("""COMPUTED_VALUE"""),"CON RECAUDO")</f>
        <v>CON RECAUDO</v>
      </c>
      <c r="M983" s="65" t="str">
        <f>IFERROR(__xludf.DUMMYFUNCTION("""COMPUTED_VALUE"""),"PICHINCHA")</f>
        <v>PICHINCHA</v>
      </c>
      <c r="N983" s="65" t="str">
        <f>IFERROR(__xludf.DUMMYFUNCTION("""COMPUTED_VALUE"""),"QUITO")</f>
        <v>QUITO</v>
      </c>
      <c r="O983" s="65" t="str">
        <f>IFERROR(__xludf.DUMMYFUNCTION("""COMPUTED_VALUE"""),"América y voz Andez N-39-305 Sector la y frente al CC la y -")</f>
        <v>América y voz Andez N-39-305 Sector la y frente al CC la y -</v>
      </c>
      <c r="P983" s="65"/>
      <c r="Q983" s="65" t="str">
        <f>IFERROR(__xludf.DUMMYFUNCTION("""COMPUTED_VALUE"""),"GINTRACOM")</f>
        <v>GINTRACOM</v>
      </c>
      <c r="R983" s="65">
        <f>IFERROR(__xludf.DUMMYFUNCTION("""COMPUTED_VALUE"""),22.0)</f>
        <v>22</v>
      </c>
      <c r="S983" s="65">
        <f>IFERROR(__xludf.DUMMYFUNCTION("""COMPUTED_VALUE"""),10.96)</f>
        <v>10.96</v>
      </c>
      <c r="T983" s="65">
        <f>IFERROR(__xludf.DUMMYFUNCTION("""COMPUTED_VALUE"""),5.84)</f>
        <v>5.84</v>
      </c>
      <c r="U983" s="65">
        <f>IFERROR(__xludf.DUMMYFUNCTION("""COMPUTED_VALUE"""),0.0)</f>
        <v>0</v>
      </c>
      <c r="V983" s="65">
        <f>IFERROR(__xludf.DUMMYFUNCTION("""COMPUTED_VALUE"""),0.0)</f>
        <v>0</v>
      </c>
      <c r="W983" s="65">
        <f>IFERROR(__xludf.DUMMYFUNCTION("""COMPUTED_VALUE"""),0.0)</f>
        <v>0</v>
      </c>
      <c r="X983" s="65">
        <f>IFERROR(__xludf.DUMMYFUNCTION("""COMPUTED_VALUE"""),2.6)</f>
        <v>2.6</v>
      </c>
      <c r="Y983" s="65">
        <f>IFERROR(__xludf.DUMMYFUNCTION("""COMPUTED_VALUE"""),5.2)</f>
        <v>5.2</v>
      </c>
      <c r="Z983" s="65">
        <f>IFERROR(__xludf.DUMMYFUNCTION("""COMPUTED_VALUE"""),121983.0)</f>
        <v>121983</v>
      </c>
      <c r="AA983" s="65" t="str">
        <f>IFERROR(__xludf.DUMMYFUNCTION("""COMPUTED_VALUE"""),"PROV-CHLLCF")</f>
        <v>PROV-CHLLCF</v>
      </c>
      <c r="AB983" s="65"/>
      <c r="AC983" s="65" t="str">
        <f>IFERROR(__xludf.DUMMYFUNCTION("""COMPUTED_VALUE"""),"CUCHILLO PARA CHEF")</f>
        <v>CUCHILLO PARA CHEF</v>
      </c>
      <c r="AD983" s="65"/>
      <c r="AE983" s="65">
        <f>IFERROR(__xludf.DUMMYFUNCTION("""COMPUTED_VALUE"""),2.0)</f>
        <v>2</v>
      </c>
      <c r="AF983" s="65"/>
      <c r="AG983" s="65"/>
      <c r="AH983" s="65"/>
      <c r="AI983" s="65"/>
      <c r="AJ983" s="65"/>
      <c r="AK983" s="65"/>
      <c r="AL983" s="65"/>
      <c r="AM983" s="65"/>
      <c r="AN983" s="65" t="str">
        <f>IFERROR(__xludf.DUMMYFUNCTION("""COMPUTED_VALUE"""),"14:14")</f>
        <v>14:14</v>
      </c>
      <c r="AO983" s="65" t="str">
        <f>IFERROR(__xludf.DUMMYFUNCTION("""COMPUTED_VALUE"""),"12-02-2026")</f>
        <v>12-02-2026</v>
      </c>
      <c r="AP983" s="65" t="str">
        <f>IFERROR(__xludf.DUMMYFUNCTION("""COMPUTED_VALUE"""),"ENTREGADA GINTRACOM")</f>
        <v>ENTREGADA GINTRACOM</v>
      </c>
      <c r="AQ983" s="65" t="str">
        <f>IFERROR(__xludf.DUMMYFUNCTION("""COMPUTED_VALUE"""),"ENTREGADA GINTRACOM")</f>
        <v>ENTREGADA GINTRACOM</v>
      </c>
      <c r="AR983" s="65"/>
      <c r="AS983" s="65"/>
      <c r="AT983" s="65" t="str">
        <f>IFERROR(__xludf.DUMMYFUNCTION("""COMPUTED_VALUE"""),"SHOPIFY")</f>
        <v>SHOPIFY</v>
      </c>
      <c r="AU983" s="65" t="str">
        <f>IFERROR(__xludf.DUMMYFUNCTION("""COMPUTED_VALUE"""),"IMPORTEX EC")</f>
        <v>IMPORTEX EC</v>
      </c>
      <c r="AV983" s="65" t="str">
        <f>IFERROR(__xludf.DUMMYFUNCTION("""COMPUTED_VALUE"""),"6484792344620")</f>
        <v>6484792344620</v>
      </c>
      <c r="AW983" s="65">
        <f>IFERROR(__xludf.DUMMYFUNCTION("""COMPUTED_VALUE"""),5929.0)</f>
        <v>5929</v>
      </c>
      <c r="AX983" s="65"/>
      <c r="AY983" s="65" t="str">
        <f>IFERROR(__xludf.DUMMYFUNCTION("""COMPUTED_VALUE"""),"10/02/2026")</f>
        <v>10/02/2026</v>
      </c>
      <c r="AZ983" s="65"/>
      <c r="BA983" s="65"/>
    </row>
    <row r="984">
      <c r="A984" s="65" t="str">
        <f>IFERROR(__xludf.DUMMYFUNCTION("""COMPUTED_VALUE"""),"27-03-2026")</f>
        <v>27-03-2026</v>
      </c>
      <c r="B984" s="65">
        <f>IFERROR(__xludf.DUMMYFUNCTION("""COMPUTED_VALUE"""),4432041.0)</f>
        <v>4432041</v>
      </c>
      <c r="C984" s="65" t="str">
        <f>IFERROR(__xludf.DUMMYFUNCTION("""COMPUTED_VALUE"""),"16:41")</f>
        <v>16:41</v>
      </c>
      <c r="D984" s="65" t="str">
        <f>IFERROR(__xludf.DUMMYFUNCTION("""COMPUTED_VALUE"""),"07-02-2026")</f>
        <v>07-02-2026</v>
      </c>
      <c r="E984" s="65" t="str">
        <f>IFERROR(__xludf.DUMMYFUNCTION("""COMPUTED_VALUE"""),"Ivanna Zamora")</f>
        <v>Ivanna Zamora</v>
      </c>
      <c r="F984" s="65" t="str">
        <f>IFERROR(__xludf.DUMMYFUNCTION("""COMPUTED_VALUE"""),"981879577")</f>
        <v>981879577</v>
      </c>
      <c r="G984" s="65" t="str">
        <f>IFERROR(__xludf.DUMMYFUNCTION("""COMPUTED_VALUE"""),"ivannazl206@gmail.com")</f>
        <v>ivannazl206@gmail.com</v>
      </c>
      <c r="H984" s="65"/>
      <c r="I984" s="65"/>
      <c r="J984" s="65" t="str">
        <f>IFERROR(__xludf.DUMMYFUNCTION("""COMPUTED_VALUE"""),"D001313035")</f>
        <v>D001313035</v>
      </c>
      <c r="K984" s="65" t="str">
        <f>IFERROR(__xludf.DUMMYFUNCTION("""COMPUTED_VALUE"""),"ENTREGADO")</f>
        <v>ENTREGADO</v>
      </c>
      <c r="L984" s="65" t="str">
        <f>IFERROR(__xludf.DUMMYFUNCTION("""COMPUTED_VALUE"""),"CON RECAUDO")</f>
        <v>CON RECAUDO</v>
      </c>
      <c r="M984" s="65" t="str">
        <f>IFERROR(__xludf.DUMMYFUNCTION("""COMPUTED_VALUE"""),"GUAYAS")</f>
        <v>GUAYAS</v>
      </c>
      <c r="N984" s="65" t="str">
        <f>IFERROR(__xludf.DUMMYFUNCTION("""COMPUTED_VALUE"""),"DAULE")</f>
        <v>DAULE</v>
      </c>
      <c r="O984" s="65" t="str">
        <f>IFERROR(__xludf.DUMMYFUNCTION("""COMPUTED_VALUE"""),"Av Leon Febres Cordero km 14 Urb Altos del Rio Mz5 V15 -")</f>
        <v>Av Leon Febres Cordero km 14 Urb Altos del Rio Mz5 V15 -</v>
      </c>
      <c r="P984" s="65"/>
      <c r="Q984" s="65" t="str">
        <f>IFERROR(__xludf.DUMMYFUNCTION("""COMPUTED_VALUE"""),"GINTRACOM")</f>
        <v>GINTRACOM</v>
      </c>
      <c r="R984" s="65">
        <f>IFERROR(__xludf.DUMMYFUNCTION("""COMPUTED_VALUE"""),25.0)</f>
        <v>25</v>
      </c>
      <c r="S984" s="65">
        <f>IFERROR(__xludf.DUMMYFUNCTION("""COMPUTED_VALUE"""),15.22)</f>
        <v>15.22</v>
      </c>
      <c r="T984" s="65">
        <f>IFERROR(__xludf.DUMMYFUNCTION("""COMPUTED_VALUE"""),5.38)</f>
        <v>5.38</v>
      </c>
      <c r="U984" s="65">
        <f>IFERROR(__xludf.DUMMYFUNCTION("""COMPUTED_VALUE"""),0.0)</f>
        <v>0</v>
      </c>
      <c r="V984" s="65">
        <f>IFERROR(__xludf.DUMMYFUNCTION("""COMPUTED_VALUE"""),0.0)</f>
        <v>0</v>
      </c>
      <c r="W984" s="65">
        <f>IFERROR(__xludf.DUMMYFUNCTION("""COMPUTED_VALUE"""),0.0)</f>
        <v>0</v>
      </c>
      <c r="X984" s="65">
        <f>IFERROR(__xludf.DUMMYFUNCTION("""COMPUTED_VALUE"""),2.2)</f>
        <v>2.2</v>
      </c>
      <c r="Y984" s="65">
        <f>IFERROR(__xludf.DUMMYFUNCTION("""COMPUTED_VALUE"""),4.4)</f>
        <v>4.4</v>
      </c>
      <c r="Z984" s="65">
        <f>IFERROR(__xludf.DUMMYFUNCTION("""COMPUTED_VALUE"""),111894.0)</f>
        <v>111894</v>
      </c>
      <c r="AA984" s="65" t="str">
        <f>IFERROR(__xludf.DUMMYFUNCTION("""COMPUTED_VALUE"""),"LYIC5M40067")</f>
        <v>LYIC5M40067</v>
      </c>
      <c r="AB984" s="65"/>
      <c r="AC984" s="65" t="str">
        <f>IFERROR(__xludf.DUMMYFUNCTION("""COMPUTED_VALUE"""),"Limpiador de Parabrisas y Ventanas")</f>
        <v>Limpiador de Parabrisas y Ventanas</v>
      </c>
      <c r="AD984" s="65"/>
      <c r="AE984" s="65">
        <f>IFERROR(__xludf.DUMMYFUNCTION("""COMPUTED_VALUE"""),2.0)</f>
        <v>2</v>
      </c>
      <c r="AF984" s="65"/>
      <c r="AG984" s="65"/>
      <c r="AH984" s="65"/>
      <c r="AI984" s="65"/>
      <c r="AJ984" s="65"/>
      <c r="AK984" s="65"/>
      <c r="AL984" s="65"/>
      <c r="AM984" s="65"/>
      <c r="AN984" s="65" t="str">
        <f>IFERROR(__xludf.DUMMYFUNCTION("""COMPUTED_VALUE"""),"08:26")</f>
        <v>08:26</v>
      </c>
      <c r="AO984" s="65" t="str">
        <f>IFERROR(__xludf.DUMMYFUNCTION("""COMPUTED_VALUE"""),"11-02-2026")</f>
        <v>11-02-2026</v>
      </c>
      <c r="AP984" s="65" t="str">
        <f>IFERROR(__xludf.DUMMYFUNCTION("""COMPUTED_VALUE"""),"EN REPARTO")</f>
        <v>EN REPARTO</v>
      </c>
      <c r="AQ984" s="65" t="str">
        <f>IFERROR(__xludf.DUMMYFUNCTION("""COMPUTED_VALUE"""),"EN REPARTO")</f>
        <v>EN REPARTO</v>
      </c>
      <c r="AR984" s="65"/>
      <c r="AS984" s="65"/>
      <c r="AT984" s="65" t="str">
        <f>IFERROR(__xludf.DUMMYFUNCTION("""COMPUTED_VALUE"""),"SHOPIFY")</f>
        <v>SHOPIFY</v>
      </c>
      <c r="AU984" s="65" t="str">
        <f>IFERROR(__xludf.DUMMYFUNCTION("""COMPUTED_VALUE"""),"IMPORTEX EC")</f>
        <v>IMPORTEX EC</v>
      </c>
      <c r="AV984" s="65" t="str">
        <f>IFERROR(__xludf.DUMMYFUNCTION("""COMPUTED_VALUE"""),"6484819902508")</f>
        <v>6484819902508</v>
      </c>
      <c r="AW984" s="65">
        <f>IFERROR(__xludf.DUMMYFUNCTION("""COMPUTED_VALUE"""),5930.0)</f>
        <v>5930</v>
      </c>
      <c r="AX984" s="65"/>
      <c r="AY984" s="65" t="str">
        <f>IFERROR(__xludf.DUMMYFUNCTION("""COMPUTED_VALUE"""),"09/02/2026")</f>
        <v>09/02/2026</v>
      </c>
      <c r="AZ984" s="65"/>
      <c r="BA984" s="65"/>
    </row>
    <row r="985">
      <c r="A985" s="65" t="str">
        <f>IFERROR(__xludf.DUMMYFUNCTION("""COMPUTED_VALUE"""),"27-03-2026")</f>
        <v>27-03-2026</v>
      </c>
      <c r="B985" s="65">
        <f>IFERROR(__xludf.DUMMYFUNCTION("""COMPUTED_VALUE"""),4432038.0)</f>
        <v>4432038</v>
      </c>
      <c r="C985" s="65" t="str">
        <f>IFERROR(__xludf.DUMMYFUNCTION("""COMPUTED_VALUE"""),"16:41")</f>
        <v>16:41</v>
      </c>
      <c r="D985" s="65" t="str">
        <f>IFERROR(__xludf.DUMMYFUNCTION("""COMPUTED_VALUE"""),"07-02-2026")</f>
        <v>07-02-2026</v>
      </c>
      <c r="E985" s="65" t="str">
        <f>IFERROR(__xludf.DUMMYFUNCTION("""COMPUTED_VALUE"""),"Carlos Patricio Velez Merchan")</f>
        <v>Carlos Patricio Velez Merchan</v>
      </c>
      <c r="F985" s="65" t="str">
        <f>IFERROR(__xludf.DUMMYFUNCTION("""COMPUTED_VALUE"""),"968164263")</f>
        <v>968164263</v>
      </c>
      <c r="G985" s="65" t="str">
        <f>IFERROR(__xludf.DUMMYFUNCTION("""COMPUTED_VALUE"""),"pvelezmerchan@gmail.com")</f>
        <v>pvelezmerchan@gmail.com</v>
      </c>
      <c r="H985" s="65"/>
      <c r="I985" s="65"/>
      <c r="J985" s="65" t="str">
        <f>IFERROR(__xludf.DUMMYFUNCTION("""COMPUTED_VALUE"""),"D001319434")</f>
        <v>D001319434</v>
      </c>
      <c r="K985" s="65" t="str">
        <f>IFERROR(__xludf.DUMMYFUNCTION("""COMPUTED_VALUE"""),"ENTREGADO")</f>
        <v>ENTREGADO</v>
      </c>
      <c r="L985" s="65" t="str">
        <f>IFERROR(__xludf.DUMMYFUNCTION("""COMPUTED_VALUE"""),"CON RECAUDO")</f>
        <v>CON RECAUDO</v>
      </c>
      <c r="M985" s="65" t="str">
        <f>IFERROR(__xludf.DUMMYFUNCTION("""COMPUTED_VALUE"""),"PASTAZA")</f>
        <v>PASTAZA</v>
      </c>
      <c r="N985" s="65" t="str">
        <f>IFERROR(__xludf.DUMMYFUNCTION("""COMPUTED_VALUE"""),"PUYO")</f>
        <v>PUYO</v>
      </c>
      <c r="O985" s="65" t="str">
        <f>IFERROR(__xludf.DUMMYFUNCTION("""COMPUTED_VALUE"""),"Ramiro Fernandez / pasaje Juan Jose Flores Referencia internado del colegio Vicentino -")</f>
        <v>Ramiro Fernandez / pasaje Juan Jose Flores Referencia internado del colegio Vicentino -</v>
      </c>
      <c r="P985" s="65"/>
      <c r="Q985" s="65" t="str">
        <f>IFERROR(__xludf.DUMMYFUNCTION("""COMPUTED_VALUE"""),"GINTRACOM")</f>
        <v>GINTRACOM</v>
      </c>
      <c r="R985" s="65">
        <f>IFERROR(__xludf.DUMMYFUNCTION("""COMPUTED_VALUE"""),22.0)</f>
        <v>22</v>
      </c>
      <c r="S985" s="65">
        <f>IFERROR(__xludf.DUMMYFUNCTION("""COMPUTED_VALUE"""),10.96)</f>
        <v>10.96</v>
      </c>
      <c r="T985" s="65">
        <f>IFERROR(__xludf.DUMMYFUNCTION("""COMPUTED_VALUE"""),5.84)</f>
        <v>5.84</v>
      </c>
      <c r="U985" s="65">
        <f>IFERROR(__xludf.DUMMYFUNCTION("""COMPUTED_VALUE"""),0.0)</f>
        <v>0</v>
      </c>
      <c r="V985" s="65">
        <f>IFERROR(__xludf.DUMMYFUNCTION("""COMPUTED_VALUE"""),0.0)</f>
        <v>0</v>
      </c>
      <c r="W985" s="65">
        <f>IFERROR(__xludf.DUMMYFUNCTION("""COMPUTED_VALUE"""),0.0)</f>
        <v>0</v>
      </c>
      <c r="X985" s="65">
        <f>IFERROR(__xludf.DUMMYFUNCTION("""COMPUTED_VALUE"""),2.6)</f>
        <v>2.6</v>
      </c>
      <c r="Y985" s="65">
        <f>IFERROR(__xludf.DUMMYFUNCTION("""COMPUTED_VALUE"""),5.2)</f>
        <v>5.2</v>
      </c>
      <c r="Z985" s="65">
        <f>IFERROR(__xludf.DUMMYFUNCTION("""COMPUTED_VALUE"""),121983.0)</f>
        <v>121983</v>
      </c>
      <c r="AA985" s="65" t="str">
        <f>IFERROR(__xludf.DUMMYFUNCTION("""COMPUTED_VALUE"""),"PROV-CHLLCF")</f>
        <v>PROV-CHLLCF</v>
      </c>
      <c r="AB985" s="65"/>
      <c r="AC985" s="65" t="str">
        <f>IFERROR(__xludf.DUMMYFUNCTION("""COMPUTED_VALUE"""),"CUCHILLO PARA CHEF")</f>
        <v>CUCHILLO PARA CHEF</v>
      </c>
      <c r="AD985" s="65"/>
      <c r="AE985" s="65">
        <f>IFERROR(__xludf.DUMMYFUNCTION("""COMPUTED_VALUE"""),2.0)</f>
        <v>2</v>
      </c>
      <c r="AF985" s="65"/>
      <c r="AG985" s="65"/>
      <c r="AH985" s="65"/>
      <c r="AI985" s="65"/>
      <c r="AJ985" s="65"/>
      <c r="AK985" s="65"/>
      <c r="AL985" s="65"/>
      <c r="AM985" s="65"/>
      <c r="AN985" s="65" t="str">
        <f>IFERROR(__xludf.DUMMYFUNCTION("""COMPUTED_VALUE"""),"10:54")</f>
        <v>10:54</v>
      </c>
      <c r="AO985" s="65" t="str">
        <f>IFERROR(__xludf.DUMMYFUNCTION("""COMPUTED_VALUE"""),"13-02-2026")</f>
        <v>13-02-2026</v>
      </c>
      <c r="AP985" s="65" t="str">
        <f>IFERROR(__xludf.DUMMYFUNCTION("""COMPUTED_VALUE"""),"ENTREGADA GINTRACOM")</f>
        <v>ENTREGADA GINTRACOM</v>
      </c>
      <c r="AQ985" s="65" t="str">
        <f>IFERROR(__xludf.DUMMYFUNCTION("""COMPUTED_VALUE"""),"ENTREGADA GINTRACOM")</f>
        <v>ENTREGADA GINTRACOM</v>
      </c>
      <c r="AR985" s="65"/>
      <c r="AS985" s="65"/>
      <c r="AT985" s="65" t="str">
        <f>IFERROR(__xludf.DUMMYFUNCTION("""COMPUTED_VALUE"""),"SHOPIFY")</f>
        <v>SHOPIFY</v>
      </c>
      <c r="AU985" s="65" t="str">
        <f>IFERROR(__xludf.DUMMYFUNCTION("""COMPUTED_VALUE"""),"IMPORTEX EC")</f>
        <v>IMPORTEX EC</v>
      </c>
      <c r="AV985" s="65" t="str">
        <f>IFERROR(__xludf.DUMMYFUNCTION("""COMPUTED_VALUE"""),"6485012938796")</f>
        <v>6485012938796</v>
      </c>
      <c r="AW985" s="65">
        <f>IFERROR(__xludf.DUMMYFUNCTION("""COMPUTED_VALUE"""),5932.0)</f>
        <v>5932</v>
      </c>
      <c r="AX985" s="65"/>
      <c r="AY985" s="65" t="str">
        <f>IFERROR(__xludf.DUMMYFUNCTION("""COMPUTED_VALUE"""),"11/02/2026")</f>
        <v>11/02/2026</v>
      </c>
      <c r="AZ985" s="65"/>
      <c r="BA985" s="65"/>
    </row>
    <row r="986">
      <c r="A986" s="65" t="str">
        <f>IFERROR(__xludf.DUMMYFUNCTION("""COMPUTED_VALUE"""),"27-03-2026")</f>
        <v>27-03-2026</v>
      </c>
      <c r="B986" s="65">
        <f>IFERROR(__xludf.DUMMYFUNCTION("""COMPUTED_VALUE"""),4432035.0)</f>
        <v>4432035</v>
      </c>
      <c r="C986" s="65" t="str">
        <f>IFERROR(__xludf.DUMMYFUNCTION("""COMPUTED_VALUE"""),"16:41")</f>
        <v>16:41</v>
      </c>
      <c r="D986" s="65" t="str">
        <f>IFERROR(__xludf.DUMMYFUNCTION("""COMPUTED_VALUE"""),"07-02-2026")</f>
        <v>07-02-2026</v>
      </c>
      <c r="E986" s="65" t="str">
        <f>IFERROR(__xludf.DUMMYFUNCTION("""COMPUTED_VALUE"""),"JORGE Maldonado")</f>
        <v>JORGE Maldonado</v>
      </c>
      <c r="F986" s="65" t="str">
        <f>IFERROR(__xludf.DUMMYFUNCTION("""COMPUTED_VALUE"""),"999524323")</f>
        <v>999524323</v>
      </c>
      <c r="G986" s="65" t="str">
        <f>IFERROR(__xludf.DUMMYFUNCTION("""COMPUTED_VALUE"""),"abjormal57@gmail.com")</f>
        <v>abjormal57@gmail.com</v>
      </c>
      <c r="H986" s="65"/>
      <c r="I986" s="65"/>
      <c r="J986" s="65" t="str">
        <f>IFERROR(__xludf.DUMMYFUNCTION("""COMPUTED_VALUE"""),"D001315172")</f>
        <v>D001315172</v>
      </c>
      <c r="K986" s="65" t="str">
        <f>IFERROR(__xludf.DUMMYFUNCTION("""COMPUTED_VALUE"""),"ENTREGADO")</f>
        <v>ENTREGADO</v>
      </c>
      <c r="L986" s="65" t="str">
        <f>IFERROR(__xludf.DUMMYFUNCTION("""COMPUTED_VALUE"""),"CON RECAUDO")</f>
        <v>CON RECAUDO</v>
      </c>
      <c r="M986" s="65" t="str">
        <f>IFERROR(__xludf.DUMMYFUNCTION("""COMPUTED_VALUE"""),"GUAYAS")</f>
        <v>GUAYAS</v>
      </c>
      <c r="N986" s="65" t="str">
        <f>IFERROR(__xludf.DUMMYFUNCTION("""COMPUTED_VALUE"""),"GUAYAQUIL")</f>
        <v>GUAYAQUIL</v>
      </c>
      <c r="O986" s="65" t="str">
        <f>IFERROR(__xludf.DUMMYFUNCTION("""COMPUTED_VALUE"""),"URDENOR 2, Mz 237 Villa 104 Atras de centro empresarial colon , casa azul y puertas anaranjadas -")</f>
        <v>URDENOR 2, Mz 237 Villa 104 Atras de centro empresarial colon , casa azul y puertas anaranjadas -</v>
      </c>
      <c r="P986" s="65"/>
      <c r="Q986" s="65" t="str">
        <f>IFERROR(__xludf.DUMMYFUNCTION("""COMPUTED_VALUE"""),"GINTRACOM")</f>
        <v>GINTRACOM</v>
      </c>
      <c r="R986" s="65">
        <f>IFERROR(__xludf.DUMMYFUNCTION("""COMPUTED_VALUE"""),27.0)</f>
        <v>27</v>
      </c>
      <c r="S986" s="65">
        <f>IFERROR(__xludf.DUMMYFUNCTION("""COMPUTED_VALUE"""),14.78)</f>
        <v>14.78</v>
      </c>
      <c r="T986" s="65">
        <f>IFERROR(__xludf.DUMMYFUNCTION("""COMPUTED_VALUE"""),4.42)</f>
        <v>4.42</v>
      </c>
      <c r="U986" s="65">
        <f>IFERROR(__xludf.DUMMYFUNCTION("""COMPUTED_VALUE"""),0.0)</f>
        <v>0</v>
      </c>
      <c r="V986" s="65">
        <f>IFERROR(__xludf.DUMMYFUNCTION("""COMPUTED_VALUE"""),0.0)</f>
        <v>0</v>
      </c>
      <c r="W986" s="65">
        <f>IFERROR(__xludf.DUMMYFUNCTION("""COMPUTED_VALUE"""),0.0)</f>
        <v>0</v>
      </c>
      <c r="X986" s="65">
        <f>IFERROR(__xludf.DUMMYFUNCTION("""COMPUTED_VALUE"""),2.6)</f>
        <v>2.6</v>
      </c>
      <c r="Y986" s="65">
        <f>IFERROR(__xludf.DUMMYFUNCTION("""COMPUTED_VALUE"""),7.8)</f>
        <v>7.8</v>
      </c>
      <c r="Z986" s="65">
        <f>IFERROR(__xludf.DUMMYFUNCTION("""COMPUTED_VALUE"""),121983.0)</f>
        <v>121983</v>
      </c>
      <c r="AA986" s="65" t="str">
        <f>IFERROR(__xludf.DUMMYFUNCTION("""COMPUTED_VALUE"""),"PROV-CHLLCF")</f>
        <v>PROV-CHLLCF</v>
      </c>
      <c r="AB986" s="65"/>
      <c r="AC986" s="65" t="str">
        <f>IFERROR(__xludf.DUMMYFUNCTION("""COMPUTED_VALUE"""),"CUCHILLO PARA CHEF")</f>
        <v>CUCHILLO PARA CHEF</v>
      </c>
      <c r="AD986" s="65"/>
      <c r="AE986" s="65">
        <f>IFERROR(__xludf.DUMMYFUNCTION("""COMPUTED_VALUE"""),3.0)</f>
        <v>3</v>
      </c>
      <c r="AF986" s="65"/>
      <c r="AG986" s="65"/>
      <c r="AH986" s="65"/>
      <c r="AI986" s="65"/>
      <c r="AJ986" s="65"/>
      <c r="AK986" s="65"/>
      <c r="AL986" s="65"/>
      <c r="AM986" s="65"/>
      <c r="AN986" s="65" t="str">
        <f>IFERROR(__xludf.DUMMYFUNCTION("""COMPUTED_VALUE"""),"10:53")</f>
        <v>10:53</v>
      </c>
      <c r="AO986" s="65" t="str">
        <f>IFERROR(__xludf.DUMMYFUNCTION("""COMPUTED_VALUE"""),"11-02-2026")</f>
        <v>11-02-2026</v>
      </c>
      <c r="AP986" s="65" t="str">
        <f>IFERROR(__xludf.DUMMYFUNCTION("""COMPUTED_VALUE"""),"EN REPARTO")</f>
        <v>EN REPARTO</v>
      </c>
      <c r="AQ986" s="65" t="str">
        <f>IFERROR(__xludf.DUMMYFUNCTION("""COMPUTED_VALUE"""),"EN REPARTO")</f>
        <v>EN REPARTO</v>
      </c>
      <c r="AR986" s="65"/>
      <c r="AS986" s="65"/>
      <c r="AT986" s="65" t="str">
        <f>IFERROR(__xludf.DUMMYFUNCTION("""COMPUTED_VALUE"""),"SHOPIFY")</f>
        <v>SHOPIFY</v>
      </c>
      <c r="AU986" s="65" t="str">
        <f>IFERROR(__xludf.DUMMYFUNCTION("""COMPUTED_VALUE"""),"IMPORTEX EC")</f>
        <v>IMPORTEX EC</v>
      </c>
      <c r="AV986" s="65" t="str">
        <f>IFERROR(__xludf.DUMMYFUNCTION("""COMPUTED_VALUE"""),"6485047705644")</f>
        <v>6485047705644</v>
      </c>
      <c r="AW986" s="65">
        <f>IFERROR(__xludf.DUMMYFUNCTION("""COMPUTED_VALUE"""),5933.0)</f>
        <v>5933</v>
      </c>
      <c r="AX986" s="65"/>
      <c r="AY986" s="65" t="str">
        <f>IFERROR(__xludf.DUMMYFUNCTION("""COMPUTED_VALUE"""),"10/02/2026")</f>
        <v>10/02/2026</v>
      </c>
      <c r="AZ986" s="65"/>
      <c r="BA986" s="65"/>
    </row>
    <row r="987">
      <c r="A987" s="65" t="str">
        <f>IFERROR(__xludf.DUMMYFUNCTION("""COMPUTED_VALUE"""),"27-03-2026")</f>
        <v>27-03-2026</v>
      </c>
      <c r="B987" s="65">
        <f>IFERROR(__xludf.DUMMYFUNCTION("""COMPUTED_VALUE"""),4432032.0)</f>
        <v>4432032</v>
      </c>
      <c r="C987" s="65" t="str">
        <f>IFERROR(__xludf.DUMMYFUNCTION("""COMPUTED_VALUE"""),"16:41")</f>
        <v>16:41</v>
      </c>
      <c r="D987" s="65" t="str">
        <f>IFERROR(__xludf.DUMMYFUNCTION("""COMPUTED_VALUE"""),"07-02-2026")</f>
        <v>07-02-2026</v>
      </c>
      <c r="E987" s="65" t="str">
        <f>IFERROR(__xludf.DUMMYFUNCTION("""COMPUTED_VALUE"""),"Oswaldo Pimboza")</f>
        <v>Oswaldo Pimboza</v>
      </c>
      <c r="F987" s="65" t="str">
        <f>IFERROR(__xludf.DUMMYFUNCTION("""COMPUTED_VALUE"""),"997940318")</f>
        <v>997940318</v>
      </c>
      <c r="G987" s="65" t="str">
        <f>IFERROR(__xludf.DUMMYFUNCTION("""COMPUTED_VALUE"""),"pimbozaoswaldo@gmail.com")</f>
        <v>pimbozaoswaldo@gmail.com</v>
      </c>
      <c r="H987" s="65"/>
      <c r="I987" s="65"/>
      <c r="J987" s="65"/>
      <c r="K987" s="65" t="str">
        <f>IFERROR(__xludf.DUMMYFUNCTION("""COMPUTED_VALUE"""),"CANCELADO")</f>
        <v>CANCELADO</v>
      </c>
      <c r="L987" s="65" t="str">
        <f>IFERROR(__xludf.DUMMYFUNCTION("""COMPUTED_VALUE"""),"CON RECAUDO")</f>
        <v>CON RECAUDO</v>
      </c>
      <c r="M987" s="65" t="str">
        <f>IFERROR(__xludf.DUMMYFUNCTION("""COMPUTED_VALUE"""),"LOS RIOS")</f>
        <v>LOS RIOS</v>
      </c>
      <c r="N987" s="65" t="str">
        <f>IFERROR(__xludf.DUMMYFUNCTION("""COMPUTED_VALUE"""),"PALENQUE")</f>
        <v>PALENQUE</v>
      </c>
      <c r="O987" s="65" t="str">
        <f>IFERROR(__xludf.DUMMYFUNCTION("""COMPUTED_VALUE"""),"Recinto jauneche UPC Jauneche, Policía Nacional -")</f>
        <v>Recinto jauneche UPC Jauneche, Policía Nacional -</v>
      </c>
      <c r="P987" s="65"/>
      <c r="Q987" s="65" t="str">
        <f>IFERROR(__xludf.DUMMYFUNCTION("""COMPUTED_VALUE"""),"SERVIENTREGA")</f>
        <v>SERVIENTREGA</v>
      </c>
      <c r="R987" s="65">
        <f>IFERROR(__xludf.DUMMYFUNCTION("""COMPUTED_VALUE"""),22.0)</f>
        <v>22</v>
      </c>
      <c r="S987" s="65"/>
      <c r="T987" s="65">
        <f>IFERROR(__xludf.DUMMYFUNCTION("""COMPUTED_VALUE"""),7.7)</f>
        <v>7.7</v>
      </c>
      <c r="U987" s="65">
        <f>IFERROR(__xludf.DUMMYFUNCTION("""COMPUTED_VALUE"""),0.0)</f>
        <v>0</v>
      </c>
      <c r="V987" s="65">
        <f>IFERROR(__xludf.DUMMYFUNCTION("""COMPUTED_VALUE"""),0.0)</f>
        <v>0</v>
      </c>
      <c r="W987" s="65">
        <f>IFERROR(__xludf.DUMMYFUNCTION("""COMPUTED_VALUE"""),0.0)</f>
        <v>0</v>
      </c>
      <c r="X987" s="65">
        <f>IFERROR(__xludf.DUMMYFUNCTION("""COMPUTED_VALUE"""),2.6)</f>
        <v>2.6</v>
      </c>
      <c r="Y987" s="65">
        <f>IFERROR(__xludf.DUMMYFUNCTION("""COMPUTED_VALUE"""),5.2)</f>
        <v>5.2</v>
      </c>
      <c r="Z987" s="65">
        <f>IFERROR(__xludf.DUMMYFUNCTION("""COMPUTED_VALUE"""),121983.0)</f>
        <v>121983</v>
      </c>
      <c r="AA987" s="65" t="str">
        <f>IFERROR(__xludf.DUMMYFUNCTION("""COMPUTED_VALUE"""),"PROV-CHLLCF")</f>
        <v>PROV-CHLLCF</v>
      </c>
      <c r="AB987" s="65"/>
      <c r="AC987" s="65" t="str">
        <f>IFERROR(__xludf.DUMMYFUNCTION("""COMPUTED_VALUE"""),"CUCHILLO PARA CHEF")</f>
        <v>CUCHILLO PARA CHEF</v>
      </c>
      <c r="AD987" s="65"/>
      <c r="AE987" s="65">
        <f>IFERROR(__xludf.DUMMYFUNCTION("""COMPUTED_VALUE"""),2.0)</f>
        <v>2</v>
      </c>
      <c r="AF987" s="65"/>
      <c r="AG987" s="65"/>
      <c r="AH987" s="65"/>
      <c r="AI987" s="65"/>
      <c r="AJ987" s="65"/>
      <c r="AK987" s="65"/>
      <c r="AL987" s="65"/>
      <c r="AM987" s="65"/>
      <c r="AN987" s="65"/>
      <c r="AO987" s="65"/>
      <c r="AP987" s="65"/>
      <c r="AQ987" s="65"/>
      <c r="AR987" s="65"/>
      <c r="AS987" s="65"/>
      <c r="AT987" s="65" t="str">
        <f>IFERROR(__xludf.DUMMYFUNCTION("""COMPUTED_VALUE"""),"SHOPIFY")</f>
        <v>SHOPIFY</v>
      </c>
      <c r="AU987" s="65" t="str">
        <f>IFERROR(__xludf.DUMMYFUNCTION("""COMPUTED_VALUE"""),"IMPORTEX EC")</f>
        <v>IMPORTEX EC</v>
      </c>
      <c r="AV987" s="65" t="str">
        <f>IFERROR(__xludf.DUMMYFUNCTION("""COMPUTED_VALUE"""),"6485153054764")</f>
        <v>6485153054764</v>
      </c>
      <c r="AW987" s="65">
        <f>IFERROR(__xludf.DUMMYFUNCTION("""COMPUTED_VALUE"""),5934.0)</f>
        <v>5934</v>
      </c>
      <c r="AX987" s="65"/>
      <c r="AY987" s="65"/>
      <c r="AZ987" s="65"/>
      <c r="BA987" s="65"/>
    </row>
    <row r="988">
      <c r="A988" s="65" t="str">
        <f>IFERROR(__xludf.DUMMYFUNCTION("""COMPUTED_VALUE"""),"27-03-2026")</f>
        <v>27-03-2026</v>
      </c>
      <c r="B988" s="65">
        <f>IFERROR(__xludf.DUMMYFUNCTION("""COMPUTED_VALUE"""),4432031.0)</f>
        <v>4432031</v>
      </c>
      <c r="C988" s="65" t="str">
        <f>IFERROR(__xludf.DUMMYFUNCTION("""COMPUTED_VALUE"""),"16:40")</f>
        <v>16:40</v>
      </c>
      <c r="D988" s="65" t="str">
        <f>IFERROR(__xludf.DUMMYFUNCTION("""COMPUTED_VALUE"""),"07-02-2026")</f>
        <v>07-02-2026</v>
      </c>
      <c r="E988" s="65" t="str">
        <f>IFERROR(__xludf.DUMMYFUNCTION("""COMPUTED_VALUE"""),"Mariell Gomez")</f>
        <v>Mariell Gomez</v>
      </c>
      <c r="F988" s="65" t="str">
        <f>IFERROR(__xludf.DUMMYFUNCTION("""COMPUTED_VALUE"""),"959627248")</f>
        <v>959627248</v>
      </c>
      <c r="G988" s="65" t="str">
        <f>IFERROR(__xludf.DUMMYFUNCTION("""COMPUTED_VALUE"""),"ajidemesa@gmail.com")</f>
        <v>ajidemesa@gmail.com</v>
      </c>
      <c r="H988" s="65"/>
      <c r="I988" s="65"/>
      <c r="J988" s="65" t="str">
        <f>IFERROR(__xludf.DUMMYFUNCTION("""COMPUTED_VALUE"""),"D001315173")</f>
        <v>D001315173</v>
      </c>
      <c r="K988" s="65" t="str">
        <f>IFERROR(__xludf.DUMMYFUNCTION("""COMPUTED_VALUE"""),"ENTREGADO")</f>
        <v>ENTREGADO</v>
      </c>
      <c r="L988" s="65" t="str">
        <f>IFERROR(__xludf.DUMMYFUNCTION("""COMPUTED_VALUE"""),"CON RECAUDO")</f>
        <v>CON RECAUDO</v>
      </c>
      <c r="M988" s="65" t="str">
        <f>IFERROR(__xludf.DUMMYFUNCTION("""COMPUTED_VALUE"""),"TUNGURAHUA")</f>
        <v>TUNGURAHUA</v>
      </c>
      <c r="N988" s="65" t="str">
        <f>IFERROR(__xludf.DUMMYFUNCTION("""COMPUTED_VALUE"""),"AMBATO")</f>
        <v>AMBATO</v>
      </c>
      <c r="O988" s="65" t="str">
        <f>IFERROR(__xludf.DUMMYFUNCTION("""COMPUTED_VALUE"""),"Via a Baños Calle gustavo Alvarez,estacionamiento de la clínica de Odontología UNIANDES")</f>
        <v>Via a Baños Calle gustavo Alvarez,estacionamiento de la clínica de Odontología UNIANDES</v>
      </c>
      <c r="P988" s="65"/>
      <c r="Q988" s="65" t="str">
        <f>IFERROR(__xludf.DUMMYFUNCTION("""COMPUTED_VALUE"""),"GINTRACOM")</f>
        <v>GINTRACOM</v>
      </c>
      <c r="R988" s="65">
        <f>IFERROR(__xludf.DUMMYFUNCTION("""COMPUTED_VALUE"""),22.0)</f>
        <v>22</v>
      </c>
      <c r="S988" s="65">
        <f>IFERROR(__xludf.DUMMYFUNCTION("""COMPUTED_VALUE"""),10.96)</f>
        <v>10.96</v>
      </c>
      <c r="T988" s="65">
        <f>IFERROR(__xludf.DUMMYFUNCTION("""COMPUTED_VALUE"""),5.84)</f>
        <v>5.84</v>
      </c>
      <c r="U988" s="65">
        <f>IFERROR(__xludf.DUMMYFUNCTION("""COMPUTED_VALUE"""),0.0)</f>
        <v>0</v>
      </c>
      <c r="V988" s="65">
        <f>IFERROR(__xludf.DUMMYFUNCTION("""COMPUTED_VALUE"""),0.0)</f>
        <v>0</v>
      </c>
      <c r="W988" s="65">
        <f>IFERROR(__xludf.DUMMYFUNCTION("""COMPUTED_VALUE"""),0.0)</f>
        <v>0</v>
      </c>
      <c r="X988" s="65">
        <f>IFERROR(__xludf.DUMMYFUNCTION("""COMPUTED_VALUE"""),2.6)</f>
        <v>2.6</v>
      </c>
      <c r="Y988" s="65">
        <f>IFERROR(__xludf.DUMMYFUNCTION("""COMPUTED_VALUE"""),5.2)</f>
        <v>5.2</v>
      </c>
      <c r="Z988" s="65">
        <f>IFERROR(__xludf.DUMMYFUNCTION("""COMPUTED_VALUE"""),121983.0)</f>
        <v>121983</v>
      </c>
      <c r="AA988" s="65" t="str">
        <f>IFERROR(__xludf.DUMMYFUNCTION("""COMPUTED_VALUE"""),"PROV-CHLLCF")</f>
        <v>PROV-CHLLCF</v>
      </c>
      <c r="AB988" s="65"/>
      <c r="AC988" s="65" t="str">
        <f>IFERROR(__xludf.DUMMYFUNCTION("""COMPUTED_VALUE"""),"CUCHILLO PARA CHEF")</f>
        <v>CUCHILLO PARA CHEF</v>
      </c>
      <c r="AD988" s="65"/>
      <c r="AE988" s="65">
        <f>IFERROR(__xludf.DUMMYFUNCTION("""COMPUTED_VALUE"""),2.0)</f>
        <v>2</v>
      </c>
      <c r="AF988" s="65"/>
      <c r="AG988" s="65"/>
      <c r="AH988" s="65"/>
      <c r="AI988" s="65"/>
      <c r="AJ988" s="65"/>
      <c r="AK988" s="65"/>
      <c r="AL988" s="65"/>
      <c r="AM988" s="65"/>
      <c r="AN988" s="65" t="str">
        <f>IFERROR(__xludf.DUMMYFUNCTION("""COMPUTED_VALUE"""),"01:30")</f>
        <v>01:30</v>
      </c>
      <c r="AO988" s="65" t="str">
        <f>IFERROR(__xludf.DUMMYFUNCTION("""COMPUTED_VALUE"""),"12-02-2026")</f>
        <v>12-02-2026</v>
      </c>
      <c r="AP988" s="65" t="str">
        <f>IFERROR(__xludf.DUMMYFUNCTION("""COMPUTED_VALUE"""),"EN TRÁNSITO")</f>
        <v>EN TRÁNSITO</v>
      </c>
      <c r="AQ988" s="65" t="str">
        <f>IFERROR(__xludf.DUMMYFUNCTION("""COMPUTED_VALUE"""),"EN TRÁNSITO")</f>
        <v>EN TRÁNSITO</v>
      </c>
      <c r="AR988" s="65"/>
      <c r="AS988" s="65"/>
      <c r="AT988" s="65" t="str">
        <f>IFERROR(__xludf.DUMMYFUNCTION("""COMPUTED_VALUE"""),"SHOPIFY")</f>
        <v>SHOPIFY</v>
      </c>
      <c r="AU988" s="65" t="str">
        <f>IFERROR(__xludf.DUMMYFUNCTION("""COMPUTED_VALUE"""),"IMPORTEX EC")</f>
        <v>IMPORTEX EC</v>
      </c>
      <c r="AV988" s="65" t="str">
        <f>IFERROR(__xludf.DUMMYFUNCTION("""COMPUTED_VALUE"""),"6485224718380")</f>
        <v>6485224718380</v>
      </c>
      <c r="AW988" s="65">
        <f>IFERROR(__xludf.DUMMYFUNCTION("""COMPUTED_VALUE"""),5935.0)</f>
        <v>5935</v>
      </c>
      <c r="AX988" s="65"/>
      <c r="AY988" s="65" t="str">
        <f>IFERROR(__xludf.DUMMYFUNCTION("""COMPUTED_VALUE"""),"10/02/2026")</f>
        <v>10/02/2026</v>
      </c>
      <c r="AZ988" s="65"/>
      <c r="BA988" s="65"/>
    </row>
    <row r="989">
      <c r="A989" s="65" t="str">
        <f>IFERROR(__xludf.DUMMYFUNCTION("""COMPUTED_VALUE"""),"27-03-2026")</f>
        <v>27-03-2026</v>
      </c>
      <c r="B989" s="65">
        <f>IFERROR(__xludf.DUMMYFUNCTION("""COMPUTED_VALUE"""),4432028.0)</f>
        <v>4432028</v>
      </c>
      <c r="C989" s="65" t="str">
        <f>IFERROR(__xludf.DUMMYFUNCTION("""COMPUTED_VALUE"""),"16:40")</f>
        <v>16:40</v>
      </c>
      <c r="D989" s="65" t="str">
        <f>IFERROR(__xludf.DUMMYFUNCTION("""COMPUTED_VALUE"""),"07-02-2026")</f>
        <v>07-02-2026</v>
      </c>
      <c r="E989" s="65" t="str">
        <f>IFERROR(__xludf.DUMMYFUNCTION("""COMPUTED_VALUE"""),"Carlos Yerovi")</f>
        <v>Carlos Yerovi</v>
      </c>
      <c r="F989" s="65" t="str">
        <f>IFERROR(__xludf.DUMMYFUNCTION("""COMPUTED_VALUE"""),"999977167")</f>
        <v>999977167</v>
      </c>
      <c r="G989" s="65" t="str">
        <f>IFERROR(__xludf.DUMMYFUNCTION("""COMPUTED_VALUE"""),"yerovicarlos66@gmail.com")</f>
        <v>yerovicarlos66@gmail.com</v>
      </c>
      <c r="H989" s="65"/>
      <c r="I989" s="65"/>
      <c r="J989" s="65"/>
      <c r="K989" s="65" t="str">
        <f>IFERROR(__xludf.DUMMYFUNCTION("""COMPUTED_VALUE"""),"CANCELADO")</f>
        <v>CANCELADO</v>
      </c>
      <c r="L989" s="65" t="str">
        <f>IFERROR(__xludf.DUMMYFUNCTION("""COMPUTED_VALUE"""),"CON RECAUDO")</f>
        <v>CON RECAUDO</v>
      </c>
      <c r="M989" s="65" t="str">
        <f>IFERROR(__xludf.DUMMYFUNCTION("""COMPUTED_VALUE"""),"PASTAZA")</f>
        <v>PASTAZA</v>
      </c>
      <c r="N989" s="65" t="str">
        <f>IFERROR(__xludf.DUMMYFUNCTION("""COMPUTED_VALUE"""),"PUYO")</f>
        <v>PUYO</v>
      </c>
      <c r="O989" s="65" t="str">
        <f>IFERROR(__xludf.DUMMYFUNCTION("""COMPUTED_VALUE"""),"Calles Galápagos y los Rios Ciudadela del chofer -")</f>
        <v>Calles Galápagos y los Rios Ciudadela del chofer -</v>
      </c>
      <c r="P989" s="65"/>
      <c r="Q989" s="65" t="str">
        <f>IFERROR(__xludf.DUMMYFUNCTION("""COMPUTED_VALUE"""),"GINTRACOM")</f>
        <v>GINTRACOM</v>
      </c>
      <c r="R989" s="65">
        <f>IFERROR(__xludf.DUMMYFUNCTION("""COMPUTED_VALUE"""),27.0)</f>
        <v>27</v>
      </c>
      <c r="S989" s="65"/>
      <c r="T989" s="65">
        <f>IFERROR(__xludf.DUMMYFUNCTION("""COMPUTED_VALUE"""),6.03)</f>
        <v>6.03</v>
      </c>
      <c r="U989" s="65">
        <f>IFERROR(__xludf.DUMMYFUNCTION("""COMPUTED_VALUE"""),0.0)</f>
        <v>0</v>
      </c>
      <c r="V989" s="65">
        <f>IFERROR(__xludf.DUMMYFUNCTION("""COMPUTED_VALUE"""),0.0)</f>
        <v>0</v>
      </c>
      <c r="W989" s="65">
        <f>IFERROR(__xludf.DUMMYFUNCTION("""COMPUTED_VALUE"""),0.0)</f>
        <v>0</v>
      </c>
      <c r="X989" s="65">
        <f>IFERROR(__xludf.DUMMYFUNCTION("""COMPUTED_VALUE"""),2.6)</f>
        <v>2.6</v>
      </c>
      <c r="Y989" s="65">
        <f>IFERROR(__xludf.DUMMYFUNCTION("""COMPUTED_VALUE"""),7.8)</f>
        <v>7.8</v>
      </c>
      <c r="Z989" s="65">
        <f>IFERROR(__xludf.DUMMYFUNCTION("""COMPUTED_VALUE"""),121983.0)</f>
        <v>121983</v>
      </c>
      <c r="AA989" s="65" t="str">
        <f>IFERROR(__xludf.DUMMYFUNCTION("""COMPUTED_VALUE"""),"PROV-CHLLCF")</f>
        <v>PROV-CHLLCF</v>
      </c>
      <c r="AB989" s="65"/>
      <c r="AC989" s="65" t="str">
        <f>IFERROR(__xludf.DUMMYFUNCTION("""COMPUTED_VALUE"""),"CUCHILLO PARA CHEF")</f>
        <v>CUCHILLO PARA CHEF</v>
      </c>
      <c r="AD989" s="65"/>
      <c r="AE989" s="65">
        <f>IFERROR(__xludf.DUMMYFUNCTION("""COMPUTED_VALUE"""),3.0)</f>
        <v>3</v>
      </c>
      <c r="AF989" s="65"/>
      <c r="AG989" s="65"/>
      <c r="AH989" s="65"/>
      <c r="AI989" s="65"/>
      <c r="AJ989" s="65"/>
      <c r="AK989" s="65"/>
      <c r="AL989" s="65"/>
      <c r="AM989" s="65"/>
      <c r="AN989" s="65"/>
      <c r="AO989" s="65"/>
      <c r="AP989" s="65"/>
      <c r="AQ989" s="65"/>
      <c r="AR989" s="65"/>
      <c r="AS989" s="65"/>
      <c r="AT989" s="65" t="str">
        <f>IFERROR(__xludf.DUMMYFUNCTION("""COMPUTED_VALUE"""),"SHOPIFY")</f>
        <v>SHOPIFY</v>
      </c>
      <c r="AU989" s="65" t="str">
        <f>IFERROR(__xludf.DUMMYFUNCTION("""COMPUTED_VALUE"""),"IMPORTEX EC")</f>
        <v>IMPORTEX EC</v>
      </c>
      <c r="AV989" s="65" t="str">
        <f>IFERROR(__xludf.DUMMYFUNCTION("""COMPUTED_VALUE"""),"6485252833324")</f>
        <v>6485252833324</v>
      </c>
      <c r="AW989" s="65">
        <f>IFERROR(__xludf.DUMMYFUNCTION("""COMPUTED_VALUE"""),5936.0)</f>
        <v>5936</v>
      </c>
      <c r="AX989" s="65"/>
      <c r="AY989" s="65"/>
      <c r="AZ989" s="65"/>
      <c r="BA989" s="65"/>
    </row>
    <row r="990">
      <c r="A990" s="65" t="str">
        <f>IFERROR(__xludf.DUMMYFUNCTION("""COMPUTED_VALUE"""),"27-03-2026")</f>
        <v>27-03-2026</v>
      </c>
      <c r="B990" s="65">
        <f>IFERROR(__xludf.DUMMYFUNCTION("""COMPUTED_VALUE"""),4432027.0)</f>
        <v>4432027</v>
      </c>
      <c r="C990" s="65" t="str">
        <f>IFERROR(__xludf.DUMMYFUNCTION("""COMPUTED_VALUE"""),"16:40")</f>
        <v>16:40</v>
      </c>
      <c r="D990" s="65" t="str">
        <f>IFERROR(__xludf.DUMMYFUNCTION("""COMPUTED_VALUE"""),"07-02-2026")</f>
        <v>07-02-2026</v>
      </c>
      <c r="E990" s="65" t="str">
        <f>IFERROR(__xludf.DUMMYFUNCTION("""COMPUTED_VALUE"""),"Ángel Guerra")</f>
        <v>Ángel Guerra</v>
      </c>
      <c r="F990" s="65" t="str">
        <f>IFERROR(__xludf.DUMMYFUNCTION("""COMPUTED_VALUE"""),"968553378")</f>
        <v>968553378</v>
      </c>
      <c r="G990" s="65" t="str">
        <f>IFERROR(__xludf.DUMMYFUNCTION("""COMPUTED_VALUE"""),"angelguerras1962@gmail.com")</f>
        <v>angelguerras1962@gmail.com</v>
      </c>
      <c r="H990" s="65"/>
      <c r="I990" s="65"/>
      <c r="J990" s="65"/>
      <c r="K990" s="65" t="str">
        <f>IFERROR(__xludf.DUMMYFUNCTION("""COMPUTED_VALUE"""),"PENDIENTE CONFIRMACION")</f>
        <v>PENDIENTE CONFIRMACION</v>
      </c>
      <c r="L990" s="65" t="str">
        <f>IFERROR(__xludf.DUMMYFUNCTION("""COMPUTED_VALUE"""),"CON RECAUDO")</f>
        <v>CON RECAUDO</v>
      </c>
      <c r="M990" s="65" t="str">
        <f>IFERROR(__xludf.DUMMYFUNCTION("""COMPUTED_VALUE"""),"GUAYAS")</f>
        <v>GUAYAS</v>
      </c>
      <c r="N990" s="65" t="str">
        <f>IFERROR(__xludf.DUMMYFUNCTION("""COMPUTED_VALUE"""),"GUAYAQUIL")</f>
        <v>GUAYAQUIL</v>
      </c>
      <c r="O990" s="65" t="str">
        <f>IFERROR(__xludf.DUMMYFUNCTION("""COMPUTED_VALUE"""),"Calle principal: sauces 6 Numero de casa:maz 351 F Sl 20 -")</f>
        <v>Calle principal: sauces 6 Numero de casa:maz 351 F Sl 20 -</v>
      </c>
      <c r="P990" s="65"/>
      <c r="Q990" s="65" t="str">
        <f>IFERROR(__xludf.DUMMYFUNCTION("""COMPUTED_VALUE"""),"GINTRACOM")</f>
        <v>GINTRACOM</v>
      </c>
      <c r="R990" s="65">
        <f>IFERROR(__xludf.DUMMYFUNCTION("""COMPUTED_VALUE"""),22.0)</f>
        <v>22</v>
      </c>
      <c r="S990" s="65"/>
      <c r="T990" s="65">
        <f>IFERROR(__xludf.DUMMYFUNCTION("""COMPUTED_VALUE"""),4.23)</f>
        <v>4.23</v>
      </c>
      <c r="U990" s="65">
        <f>IFERROR(__xludf.DUMMYFUNCTION("""COMPUTED_VALUE"""),0.0)</f>
        <v>0</v>
      </c>
      <c r="V990" s="65">
        <f>IFERROR(__xludf.DUMMYFUNCTION("""COMPUTED_VALUE"""),0.0)</f>
        <v>0</v>
      </c>
      <c r="W990" s="65">
        <f>IFERROR(__xludf.DUMMYFUNCTION("""COMPUTED_VALUE"""),0.0)</f>
        <v>0</v>
      </c>
      <c r="X990" s="65">
        <f>IFERROR(__xludf.DUMMYFUNCTION("""COMPUTED_VALUE"""),2.6)</f>
        <v>2.6</v>
      </c>
      <c r="Y990" s="65">
        <f>IFERROR(__xludf.DUMMYFUNCTION("""COMPUTED_VALUE"""),5.2)</f>
        <v>5.2</v>
      </c>
      <c r="Z990" s="65">
        <f>IFERROR(__xludf.DUMMYFUNCTION("""COMPUTED_VALUE"""),121983.0)</f>
        <v>121983</v>
      </c>
      <c r="AA990" s="65" t="str">
        <f>IFERROR(__xludf.DUMMYFUNCTION("""COMPUTED_VALUE"""),"PROV-CHLLCF")</f>
        <v>PROV-CHLLCF</v>
      </c>
      <c r="AB990" s="65"/>
      <c r="AC990" s="65" t="str">
        <f>IFERROR(__xludf.DUMMYFUNCTION("""COMPUTED_VALUE"""),"CUCHILLO PARA CHEF")</f>
        <v>CUCHILLO PARA CHEF</v>
      </c>
      <c r="AD990" s="65"/>
      <c r="AE990" s="65">
        <f>IFERROR(__xludf.DUMMYFUNCTION("""COMPUTED_VALUE"""),2.0)</f>
        <v>2</v>
      </c>
      <c r="AF990" s="65"/>
      <c r="AG990" s="65"/>
      <c r="AH990" s="65"/>
      <c r="AI990" s="65"/>
      <c r="AJ990" s="65"/>
      <c r="AK990" s="65"/>
      <c r="AL990" s="65"/>
      <c r="AM990" s="65"/>
      <c r="AN990" s="65"/>
      <c r="AO990" s="65"/>
      <c r="AP990" s="65"/>
      <c r="AQ990" s="65"/>
      <c r="AR990" s="65"/>
      <c r="AS990" s="65"/>
      <c r="AT990" s="65" t="str">
        <f>IFERROR(__xludf.DUMMYFUNCTION("""COMPUTED_VALUE"""),"SHOPIFY")</f>
        <v>SHOPIFY</v>
      </c>
      <c r="AU990" s="65" t="str">
        <f>IFERROR(__xludf.DUMMYFUNCTION("""COMPUTED_VALUE"""),"IMPORTEX EC")</f>
        <v>IMPORTEX EC</v>
      </c>
      <c r="AV990" s="65" t="str">
        <f>IFERROR(__xludf.DUMMYFUNCTION("""COMPUTED_VALUE"""),"6485296513068")</f>
        <v>6485296513068</v>
      </c>
      <c r="AW990" s="65">
        <f>IFERROR(__xludf.DUMMYFUNCTION("""COMPUTED_VALUE"""),5937.0)</f>
        <v>5937</v>
      </c>
      <c r="AX990" s="65"/>
      <c r="AY990" s="65"/>
      <c r="AZ990" s="65"/>
      <c r="BA990" s="65"/>
    </row>
    <row r="991">
      <c r="A991" s="65" t="str">
        <f>IFERROR(__xludf.DUMMYFUNCTION("""COMPUTED_VALUE"""),"27-03-2026")</f>
        <v>27-03-2026</v>
      </c>
      <c r="B991" s="65">
        <f>IFERROR(__xludf.DUMMYFUNCTION("""COMPUTED_VALUE"""),4432024.0)</f>
        <v>4432024</v>
      </c>
      <c r="C991" s="65" t="str">
        <f>IFERROR(__xludf.DUMMYFUNCTION("""COMPUTED_VALUE"""),"16:40")</f>
        <v>16:40</v>
      </c>
      <c r="D991" s="65" t="str">
        <f>IFERROR(__xludf.DUMMYFUNCTION("""COMPUTED_VALUE"""),"07-02-2026")</f>
        <v>07-02-2026</v>
      </c>
      <c r="E991" s="65" t="str">
        <f>IFERROR(__xludf.DUMMYFUNCTION("""COMPUTED_VALUE"""),"Roberto Romero")</f>
        <v>Roberto Romero</v>
      </c>
      <c r="F991" s="65" t="str">
        <f>IFERROR(__xludf.DUMMYFUNCTION("""COMPUTED_VALUE"""),"984698989")</f>
        <v>984698989</v>
      </c>
      <c r="G991" s="65" t="str">
        <f>IFERROR(__xludf.DUMMYFUNCTION("""COMPUTED_VALUE"""),"roberto_romero@hotmail.com")</f>
        <v>roberto_romero@hotmail.com</v>
      </c>
      <c r="H991" s="65"/>
      <c r="I991" s="65"/>
      <c r="J991" s="65" t="str">
        <f>IFERROR(__xludf.DUMMYFUNCTION("""COMPUTED_VALUE"""),"D001313036")</f>
        <v>D001313036</v>
      </c>
      <c r="K991" s="65" t="str">
        <f>IFERROR(__xludf.DUMMYFUNCTION("""COMPUTED_VALUE"""),"ENTREGADO")</f>
        <v>ENTREGADO</v>
      </c>
      <c r="L991" s="65" t="str">
        <f>IFERROR(__xludf.DUMMYFUNCTION("""COMPUTED_VALUE"""),"CON RECAUDO")</f>
        <v>CON RECAUDO</v>
      </c>
      <c r="M991" s="65" t="str">
        <f>IFERROR(__xludf.DUMMYFUNCTION("""COMPUTED_VALUE"""),"PICHINCHA")</f>
        <v>PICHINCHA</v>
      </c>
      <c r="N991" s="65" t="str">
        <f>IFERROR(__xludf.DUMMYFUNCTION("""COMPUTED_VALUE"""),"QUITO")</f>
        <v>QUITO</v>
      </c>
      <c r="O991" s="65" t="str">
        <f>IFERROR(__xludf.DUMMYFUNCTION("""COMPUTED_VALUE"""),"Av mariana de jesus y pedro calvo urb la granja acceso 53 Frente al parque de la mujer -")</f>
        <v>Av mariana de jesus y pedro calvo urb la granja acceso 53 Frente al parque de la mujer -</v>
      </c>
      <c r="P991" s="65"/>
      <c r="Q991" s="65" t="str">
        <f>IFERROR(__xludf.DUMMYFUNCTION("""COMPUTED_VALUE"""),"GINTRACOM")</f>
        <v>GINTRACOM</v>
      </c>
      <c r="R991" s="65">
        <f>IFERROR(__xludf.DUMMYFUNCTION("""COMPUTED_VALUE"""),30.0)</f>
        <v>30</v>
      </c>
      <c r="S991" s="65">
        <f>IFERROR(__xludf.DUMMYFUNCTION("""COMPUTED_VALUE"""),17.24)</f>
        <v>17.24</v>
      </c>
      <c r="T991" s="65">
        <f>IFERROR(__xludf.DUMMYFUNCTION("""COMPUTED_VALUE"""),6.16)</f>
        <v>6.16</v>
      </c>
      <c r="U991" s="65">
        <f>IFERROR(__xludf.DUMMYFUNCTION("""COMPUTED_VALUE"""),0.0)</f>
        <v>0</v>
      </c>
      <c r="V991" s="65">
        <f>IFERROR(__xludf.DUMMYFUNCTION("""COMPUTED_VALUE"""),0.0)</f>
        <v>0</v>
      </c>
      <c r="W991" s="65">
        <f>IFERROR(__xludf.DUMMYFUNCTION("""COMPUTED_VALUE"""),0.0)</f>
        <v>0</v>
      </c>
      <c r="X991" s="65">
        <f>IFERROR(__xludf.DUMMYFUNCTION("""COMPUTED_VALUE"""),2.2)</f>
        <v>2.2</v>
      </c>
      <c r="Y991" s="65">
        <f>IFERROR(__xludf.DUMMYFUNCTION("""COMPUTED_VALUE"""),6.6)</f>
        <v>6.6</v>
      </c>
      <c r="Z991" s="65">
        <f>IFERROR(__xludf.DUMMYFUNCTION("""COMPUTED_VALUE"""),111894.0)</f>
        <v>111894</v>
      </c>
      <c r="AA991" s="65" t="str">
        <f>IFERROR(__xludf.DUMMYFUNCTION("""COMPUTED_VALUE"""),"LYIC5M40067")</f>
        <v>LYIC5M40067</v>
      </c>
      <c r="AB991" s="65"/>
      <c r="AC991" s="65" t="str">
        <f>IFERROR(__xludf.DUMMYFUNCTION("""COMPUTED_VALUE"""),"Limpiador de Parabrisas y Ventanas")</f>
        <v>Limpiador de Parabrisas y Ventanas</v>
      </c>
      <c r="AD991" s="65"/>
      <c r="AE991" s="65">
        <f>IFERROR(__xludf.DUMMYFUNCTION("""COMPUTED_VALUE"""),3.0)</f>
        <v>3</v>
      </c>
      <c r="AF991" s="65" t="str">
        <f>IFERROR(__xludf.DUMMYFUNCTION("""COMPUTED_VALUE"""),"DESTINATARIO NO SE ENCUENTRA EN LUGAR DE ENTREGA.")</f>
        <v>DESTINATARIO NO SE ENCUENTRA EN LUGAR DE ENTREGA.</v>
      </c>
      <c r="AG991" s="65" t="str">
        <f>IFERROR(__xludf.DUMMYFUNCTION("""COMPUTED_VALUE"""),"SI")</f>
        <v>SI</v>
      </c>
      <c r="AH991" s="65" t="str">
        <f>IFERROR(__xludf.DUMMYFUNCTION("""COMPUTED_VALUE"""),"16:50")</f>
        <v>16:50</v>
      </c>
      <c r="AI991" s="65" t="str">
        <f>IFERROR(__xludf.DUMMYFUNCTION("""COMPUTED_VALUE"""),"12-02-2026")</f>
        <v>12-02-2026</v>
      </c>
      <c r="AJ991" s="65"/>
      <c r="AK991" s="65"/>
      <c r="AL991" s="65"/>
      <c r="AM991" s="65"/>
      <c r="AN991" s="65" t="str">
        <f>IFERROR(__xludf.DUMMYFUNCTION("""COMPUTED_VALUE"""),"14:29")</f>
        <v>14:29</v>
      </c>
      <c r="AO991" s="65" t="str">
        <f>IFERROR(__xludf.DUMMYFUNCTION("""COMPUTED_VALUE"""),"19-02-2026")</f>
        <v>19-02-2026</v>
      </c>
      <c r="AP991" s="65" t="str">
        <f>IFERROR(__xludf.DUMMYFUNCTION("""COMPUTED_VALUE"""),"ENTREGADA GINTRACOM")</f>
        <v>ENTREGADA GINTRACOM</v>
      </c>
      <c r="AQ991" s="65" t="str">
        <f>IFERROR(__xludf.DUMMYFUNCTION("""COMPUTED_VALUE"""),"ENTREGADA GINTRACOM")</f>
        <v>ENTREGADA GINTRACOM</v>
      </c>
      <c r="AR991" s="65"/>
      <c r="AS991" s="65"/>
      <c r="AT991" s="65" t="str">
        <f>IFERROR(__xludf.DUMMYFUNCTION("""COMPUTED_VALUE"""),"SHOPIFY")</f>
        <v>SHOPIFY</v>
      </c>
      <c r="AU991" s="65" t="str">
        <f>IFERROR(__xludf.DUMMYFUNCTION("""COMPUTED_VALUE"""),"IMPORTEX EC")</f>
        <v>IMPORTEX EC</v>
      </c>
      <c r="AV991" s="65" t="str">
        <f>IFERROR(__xludf.DUMMYFUNCTION("""COMPUTED_VALUE"""),"6485334425644")</f>
        <v>6485334425644</v>
      </c>
      <c r="AW991" s="65">
        <f>IFERROR(__xludf.DUMMYFUNCTION("""COMPUTED_VALUE"""),5939.0)</f>
        <v>5939</v>
      </c>
      <c r="AX991" s="65"/>
      <c r="AY991" s="65" t="str">
        <f>IFERROR(__xludf.DUMMYFUNCTION("""COMPUTED_VALUE"""),"09/02/2026")</f>
        <v>09/02/2026</v>
      </c>
      <c r="AZ991" s="65"/>
      <c r="BA991" s="65"/>
    </row>
    <row r="992">
      <c r="A992" s="65" t="str">
        <f>IFERROR(__xludf.DUMMYFUNCTION("""COMPUTED_VALUE"""),"27-03-2026")</f>
        <v>27-03-2026</v>
      </c>
      <c r="B992" s="65">
        <f>IFERROR(__xludf.DUMMYFUNCTION("""COMPUTED_VALUE"""),4432022.0)</f>
        <v>4432022</v>
      </c>
      <c r="C992" s="65" t="str">
        <f>IFERROR(__xludf.DUMMYFUNCTION("""COMPUTED_VALUE"""),"16:39")</f>
        <v>16:39</v>
      </c>
      <c r="D992" s="65" t="str">
        <f>IFERROR(__xludf.DUMMYFUNCTION("""COMPUTED_VALUE"""),"07-02-2026")</f>
        <v>07-02-2026</v>
      </c>
      <c r="E992" s="65" t="str">
        <f>IFERROR(__xludf.DUMMYFUNCTION("""COMPUTED_VALUE"""),"Andres cobos")</f>
        <v>Andres cobos</v>
      </c>
      <c r="F992" s="65" t="str">
        <f>IFERROR(__xludf.DUMMYFUNCTION("""COMPUTED_VALUE"""),"960037851")</f>
        <v>960037851</v>
      </c>
      <c r="G992" s="65" t="str">
        <f>IFERROR(__xludf.DUMMYFUNCTION("""COMPUTED_VALUE"""),"cobosjuan82@icloud.com")</f>
        <v>cobosjuan82@icloud.com</v>
      </c>
      <c r="H992" s="65"/>
      <c r="I992" s="65"/>
      <c r="J992" s="65" t="str">
        <f>IFERROR(__xludf.DUMMYFUNCTION("""COMPUTED_VALUE"""),"LC52831534")</f>
        <v>LC52831534</v>
      </c>
      <c r="K992" s="65" t="str">
        <f>IFERROR(__xludf.DUMMYFUNCTION("""COMPUTED_VALUE"""),"DEVOLUCION")</f>
        <v>DEVOLUCION</v>
      </c>
      <c r="L992" s="65" t="str">
        <f>IFERROR(__xludf.DUMMYFUNCTION("""COMPUTED_VALUE"""),"CON RECAUDO")</f>
        <v>CON RECAUDO</v>
      </c>
      <c r="M992" s="65" t="str">
        <f>IFERROR(__xludf.DUMMYFUNCTION("""COMPUTED_VALUE"""),"AZUAY")</f>
        <v>AZUAY</v>
      </c>
      <c r="N992" s="65" t="str">
        <f>IFERROR(__xludf.DUMMYFUNCTION("""COMPUTED_VALUE"""),"CHORDELEG")</f>
        <v>CHORDELEG</v>
      </c>
      <c r="O992" s="65" t="str">
        <f>IFERROR(__xludf.DUMMYFUNCTION("""COMPUTED_VALUE"""),"Las colinas Y Sucre y atahualpa -")</f>
        <v>Las colinas Y Sucre y atahualpa -</v>
      </c>
      <c r="P992" s="65"/>
      <c r="Q992" s="65" t="str">
        <f>IFERROR(__xludf.DUMMYFUNCTION("""COMPUTED_VALUE"""),"LAARCOURIER")</f>
        <v>LAARCOURIER</v>
      </c>
      <c r="R992" s="65">
        <f>IFERROR(__xludf.DUMMYFUNCTION("""COMPUTED_VALUE"""),20.0)</f>
        <v>20</v>
      </c>
      <c r="S992" s="65"/>
      <c r="T992" s="65">
        <f>IFERROR(__xludf.DUMMYFUNCTION("""COMPUTED_VALUE"""),6.9)</f>
        <v>6.9</v>
      </c>
      <c r="U992" s="65">
        <f>IFERROR(__xludf.DUMMYFUNCTION("""COMPUTED_VALUE"""),0.0)</f>
        <v>0</v>
      </c>
      <c r="V992" s="65">
        <f>IFERROR(__xludf.DUMMYFUNCTION("""COMPUTED_VALUE"""),0.0)</f>
        <v>0</v>
      </c>
      <c r="W992" s="65">
        <f>IFERROR(__xludf.DUMMYFUNCTION("""COMPUTED_VALUE"""),0.0)</f>
        <v>0</v>
      </c>
      <c r="X992" s="65">
        <f>IFERROR(__xludf.DUMMYFUNCTION("""COMPUTED_VALUE"""),2.2)</f>
        <v>2.2</v>
      </c>
      <c r="Y992" s="65">
        <f>IFERROR(__xludf.DUMMYFUNCTION("""COMPUTED_VALUE"""),2.2)</f>
        <v>2.2</v>
      </c>
      <c r="Z992" s="65">
        <f>IFERROR(__xludf.DUMMYFUNCTION("""COMPUTED_VALUE"""),111894.0)</f>
        <v>111894</v>
      </c>
      <c r="AA992" s="65" t="str">
        <f>IFERROR(__xludf.DUMMYFUNCTION("""COMPUTED_VALUE"""),"LYIC5M40067")</f>
        <v>LYIC5M40067</v>
      </c>
      <c r="AB992" s="65"/>
      <c r="AC992" s="65" t="str">
        <f>IFERROR(__xludf.DUMMYFUNCTION("""COMPUTED_VALUE"""),"Limpiador de Parabrisas y Ventanas")</f>
        <v>Limpiador de Parabrisas y Ventanas</v>
      </c>
      <c r="AD992" s="65"/>
      <c r="AE992" s="65">
        <f>IFERROR(__xludf.DUMMYFUNCTION("""COMPUTED_VALUE"""),1.0)</f>
        <v>1</v>
      </c>
      <c r="AF992" s="65"/>
      <c r="AG992" s="65"/>
      <c r="AH992" s="65"/>
      <c r="AI992" s="65"/>
      <c r="AJ992" s="65"/>
      <c r="AK992" s="65"/>
      <c r="AL992" s="65"/>
      <c r="AM992" s="65"/>
      <c r="AN992" s="65" t="str">
        <f>IFERROR(__xludf.DUMMYFUNCTION("""COMPUTED_VALUE"""),"07:46")</f>
        <v>07:46</v>
      </c>
      <c r="AO992" s="65" t="str">
        <f>IFERROR(__xludf.DUMMYFUNCTION("""COMPUTED_VALUE"""),"23-02-2026")</f>
        <v>23-02-2026</v>
      </c>
      <c r="AP992" s="65" t="str">
        <f>IFERROR(__xludf.DUMMYFUNCTION("""COMPUTED_VALUE"""),"ZONA DE ENTREGA")</f>
        <v>ZONA DE ENTREGA</v>
      </c>
      <c r="AQ992" s="65" t="str">
        <f>IFERROR(__xludf.DUMMYFUNCTION("""COMPUTED_VALUE"""),"ZONA DE ENTREGA")</f>
        <v>ZONA DE ENTREGA</v>
      </c>
      <c r="AR992" s="65"/>
      <c r="AS992" s="65"/>
      <c r="AT992" s="65" t="str">
        <f>IFERROR(__xludf.DUMMYFUNCTION("""COMPUTED_VALUE"""),"SHOPIFY")</f>
        <v>SHOPIFY</v>
      </c>
      <c r="AU992" s="65" t="str">
        <f>IFERROR(__xludf.DUMMYFUNCTION("""COMPUTED_VALUE"""),"IMPORTEX EC")</f>
        <v>IMPORTEX EC</v>
      </c>
      <c r="AV992" s="65" t="str">
        <f>IFERROR(__xludf.DUMMYFUNCTION("""COMPUTED_VALUE"""),"6485496037420")</f>
        <v>6485496037420</v>
      </c>
      <c r="AW992" s="65">
        <f>IFERROR(__xludf.DUMMYFUNCTION("""COMPUTED_VALUE"""),5941.0)</f>
        <v>5941</v>
      </c>
      <c r="AX992" s="65"/>
      <c r="AY992" s="65" t="str">
        <f>IFERROR(__xludf.DUMMYFUNCTION("""COMPUTED_VALUE"""),"09/02/2026")</f>
        <v>09/02/2026</v>
      </c>
      <c r="AZ992" s="65"/>
      <c r="BA992" s="65"/>
    </row>
    <row r="993">
      <c r="A993" s="65" t="str">
        <f>IFERROR(__xludf.DUMMYFUNCTION("""COMPUTED_VALUE"""),"27-03-2026")</f>
        <v>27-03-2026</v>
      </c>
      <c r="B993" s="65">
        <f>IFERROR(__xludf.DUMMYFUNCTION("""COMPUTED_VALUE"""),4432019.0)</f>
        <v>4432019</v>
      </c>
      <c r="C993" s="65" t="str">
        <f>IFERROR(__xludf.DUMMYFUNCTION("""COMPUTED_VALUE"""),"16:39")</f>
        <v>16:39</v>
      </c>
      <c r="D993" s="65" t="str">
        <f>IFERROR(__xludf.DUMMYFUNCTION("""COMPUTED_VALUE"""),"07-02-2026")</f>
        <v>07-02-2026</v>
      </c>
      <c r="E993" s="65" t="str">
        <f>IFERROR(__xludf.DUMMYFUNCTION("""COMPUTED_VALUE"""),"Willian Loayza")</f>
        <v>Willian Loayza</v>
      </c>
      <c r="F993" s="65" t="str">
        <f>IFERROR(__xludf.DUMMYFUNCTION("""COMPUTED_VALUE"""),"968704480")</f>
        <v>968704480</v>
      </c>
      <c r="G993" s="65" t="str">
        <f>IFERROR(__xludf.DUMMYFUNCTION("""COMPUTED_VALUE"""),"wilosa@hotmail.es")</f>
        <v>wilosa@hotmail.es</v>
      </c>
      <c r="H993" s="65"/>
      <c r="I993" s="65"/>
      <c r="J993" s="65" t="str">
        <f>IFERROR(__xludf.DUMMYFUNCTION("""COMPUTED_VALUE"""),"D001313037")</f>
        <v>D001313037</v>
      </c>
      <c r="K993" s="65" t="str">
        <f>IFERROR(__xludf.DUMMYFUNCTION("""COMPUTED_VALUE"""),"ENTREGADO")</f>
        <v>ENTREGADO</v>
      </c>
      <c r="L993" s="65" t="str">
        <f>IFERROR(__xludf.DUMMYFUNCTION("""COMPUTED_VALUE"""),"CON RECAUDO")</f>
        <v>CON RECAUDO</v>
      </c>
      <c r="M993" s="65" t="str">
        <f>IFERROR(__xludf.DUMMYFUNCTION("""COMPUTED_VALUE"""),"EL ORO")</f>
        <v>EL ORO</v>
      </c>
      <c r="N993" s="65" t="str">
        <f>IFERROR(__xludf.DUMMYFUNCTION("""COMPUTED_VALUE"""),"MACHALA")</f>
        <v>MACHALA</v>
      </c>
      <c r="O993" s="65" t="str">
        <f>IFERROR(__xludf.DUMMYFUNCTION("""COMPUTED_VALUE"""),"Av Ferroviaria entre la segunda y tercera este Centrollantas -")</f>
        <v>Av Ferroviaria entre la segunda y tercera este Centrollantas -</v>
      </c>
      <c r="P993" s="65"/>
      <c r="Q993" s="65" t="str">
        <f>IFERROR(__xludf.DUMMYFUNCTION("""COMPUTED_VALUE"""),"GINTRACOM")</f>
        <v>GINTRACOM</v>
      </c>
      <c r="R993" s="65">
        <f>IFERROR(__xludf.DUMMYFUNCTION("""COMPUTED_VALUE"""),25.0)</f>
        <v>25</v>
      </c>
      <c r="S993" s="65">
        <f>IFERROR(__xludf.DUMMYFUNCTION("""COMPUTED_VALUE"""),14.64)</f>
        <v>14.64</v>
      </c>
      <c r="T993" s="65">
        <f>IFERROR(__xludf.DUMMYFUNCTION("""COMPUTED_VALUE"""),5.96)</f>
        <v>5.96</v>
      </c>
      <c r="U993" s="65">
        <f>IFERROR(__xludf.DUMMYFUNCTION("""COMPUTED_VALUE"""),0.0)</f>
        <v>0</v>
      </c>
      <c r="V993" s="65">
        <f>IFERROR(__xludf.DUMMYFUNCTION("""COMPUTED_VALUE"""),0.0)</f>
        <v>0</v>
      </c>
      <c r="W993" s="65">
        <f>IFERROR(__xludf.DUMMYFUNCTION("""COMPUTED_VALUE"""),0.0)</f>
        <v>0</v>
      </c>
      <c r="X993" s="65">
        <f>IFERROR(__xludf.DUMMYFUNCTION("""COMPUTED_VALUE"""),2.2)</f>
        <v>2.2</v>
      </c>
      <c r="Y993" s="65">
        <f>IFERROR(__xludf.DUMMYFUNCTION("""COMPUTED_VALUE"""),4.4)</f>
        <v>4.4</v>
      </c>
      <c r="Z993" s="65">
        <f>IFERROR(__xludf.DUMMYFUNCTION("""COMPUTED_VALUE"""),111894.0)</f>
        <v>111894</v>
      </c>
      <c r="AA993" s="65" t="str">
        <f>IFERROR(__xludf.DUMMYFUNCTION("""COMPUTED_VALUE"""),"LYIC5M40067")</f>
        <v>LYIC5M40067</v>
      </c>
      <c r="AB993" s="65"/>
      <c r="AC993" s="65" t="str">
        <f>IFERROR(__xludf.DUMMYFUNCTION("""COMPUTED_VALUE"""),"Limpiador de Parabrisas y Ventanas")</f>
        <v>Limpiador de Parabrisas y Ventanas</v>
      </c>
      <c r="AD993" s="65"/>
      <c r="AE993" s="65">
        <f>IFERROR(__xludf.DUMMYFUNCTION("""COMPUTED_VALUE"""),2.0)</f>
        <v>2</v>
      </c>
      <c r="AF993" s="65"/>
      <c r="AG993" s="65"/>
      <c r="AH993" s="65"/>
      <c r="AI993" s="65"/>
      <c r="AJ993" s="65"/>
      <c r="AK993" s="65"/>
      <c r="AL993" s="65"/>
      <c r="AM993" s="65"/>
      <c r="AN993" s="65" t="str">
        <f>IFERROR(__xludf.DUMMYFUNCTION("""COMPUTED_VALUE"""),"13:13")</f>
        <v>13:13</v>
      </c>
      <c r="AO993" s="65" t="str">
        <f>IFERROR(__xludf.DUMMYFUNCTION("""COMPUTED_VALUE"""),"12-02-2026")</f>
        <v>12-02-2026</v>
      </c>
      <c r="AP993" s="65" t="str">
        <f>IFERROR(__xludf.DUMMYFUNCTION("""COMPUTED_VALUE"""),"ENTREGADA GINTRACOM")</f>
        <v>ENTREGADA GINTRACOM</v>
      </c>
      <c r="AQ993" s="65" t="str">
        <f>IFERROR(__xludf.DUMMYFUNCTION("""COMPUTED_VALUE"""),"ENTREGADA GINTRACOM")</f>
        <v>ENTREGADA GINTRACOM</v>
      </c>
      <c r="AR993" s="65"/>
      <c r="AS993" s="65"/>
      <c r="AT993" s="65" t="str">
        <f>IFERROR(__xludf.DUMMYFUNCTION("""COMPUTED_VALUE"""),"SHOPIFY")</f>
        <v>SHOPIFY</v>
      </c>
      <c r="AU993" s="65" t="str">
        <f>IFERROR(__xludf.DUMMYFUNCTION("""COMPUTED_VALUE"""),"IMPORTEX EC")</f>
        <v>IMPORTEX EC</v>
      </c>
      <c r="AV993" s="65" t="str">
        <f>IFERROR(__xludf.DUMMYFUNCTION("""COMPUTED_VALUE"""),"6485565997100")</f>
        <v>6485565997100</v>
      </c>
      <c r="AW993" s="65">
        <f>IFERROR(__xludf.DUMMYFUNCTION("""COMPUTED_VALUE"""),5942.0)</f>
        <v>5942</v>
      </c>
      <c r="AX993" s="65"/>
      <c r="AY993" s="65" t="str">
        <f>IFERROR(__xludf.DUMMYFUNCTION("""COMPUTED_VALUE"""),"09/02/2026")</f>
        <v>09/02/2026</v>
      </c>
      <c r="AZ993" s="65"/>
      <c r="BA993" s="65"/>
    </row>
    <row r="994">
      <c r="A994" s="65" t="str">
        <f>IFERROR(__xludf.DUMMYFUNCTION("""COMPUTED_VALUE"""),"27-03-2026")</f>
        <v>27-03-2026</v>
      </c>
      <c r="B994" s="65">
        <f>IFERROR(__xludf.DUMMYFUNCTION("""COMPUTED_VALUE"""),4432015.0)</f>
        <v>4432015</v>
      </c>
      <c r="C994" s="65" t="str">
        <f>IFERROR(__xludf.DUMMYFUNCTION("""COMPUTED_VALUE"""),"16:39")</f>
        <v>16:39</v>
      </c>
      <c r="D994" s="65" t="str">
        <f>IFERROR(__xludf.DUMMYFUNCTION("""COMPUTED_VALUE"""),"07-02-2026")</f>
        <v>07-02-2026</v>
      </c>
      <c r="E994" s="65" t="str">
        <f>IFERROR(__xludf.DUMMYFUNCTION("""COMPUTED_VALUE"""),"Javier Escobar")</f>
        <v>Javier Escobar</v>
      </c>
      <c r="F994" s="65" t="str">
        <f>IFERROR(__xludf.DUMMYFUNCTION("""COMPUTED_VALUE"""),"998055705")</f>
        <v>998055705</v>
      </c>
      <c r="G994" s="65" t="str">
        <f>IFERROR(__xludf.DUMMYFUNCTION("""COMPUTED_VALUE"""),"javier_escvil35@hotmail.com")</f>
        <v>javier_escvil35@hotmail.com</v>
      </c>
      <c r="H994" s="65"/>
      <c r="I994" s="65"/>
      <c r="J994" s="65"/>
      <c r="K994" s="65" t="str">
        <f>IFERROR(__xludf.DUMMYFUNCTION("""COMPUTED_VALUE"""),"PENDIENTE CONFIRMACION")</f>
        <v>PENDIENTE CONFIRMACION</v>
      </c>
      <c r="L994" s="65" t="str">
        <f>IFERROR(__xludf.DUMMYFUNCTION("""COMPUTED_VALUE"""),"CON RECAUDO")</f>
        <v>CON RECAUDO</v>
      </c>
      <c r="M994" s="65" t="str">
        <f>IFERROR(__xludf.DUMMYFUNCTION("""COMPUTED_VALUE"""),"TUNGURAHUA")</f>
        <v>TUNGURAHUA</v>
      </c>
      <c r="N994" s="65" t="str">
        <f>IFERROR(__xludf.DUMMYFUNCTION("""COMPUTED_VALUE"""),"AMBATO")</f>
        <v>AMBATO</v>
      </c>
      <c r="O994" s="65" t="str">
        <f>IFERROR(__xludf.DUMMYFUNCTION("""COMPUTED_VALUE"""),"Cartago Y  Keveec -")</f>
        <v>Cartago Y  Keveec -</v>
      </c>
      <c r="P994" s="65"/>
      <c r="Q994" s="65" t="str">
        <f>IFERROR(__xludf.DUMMYFUNCTION("""COMPUTED_VALUE"""),"GINTRACOM")</f>
        <v>GINTRACOM</v>
      </c>
      <c r="R994" s="65">
        <f>IFERROR(__xludf.DUMMYFUNCTION("""COMPUTED_VALUE"""),30.0)</f>
        <v>30</v>
      </c>
      <c r="S994" s="65"/>
      <c r="T994" s="65">
        <f>IFERROR(__xludf.DUMMYFUNCTION("""COMPUTED_VALUE"""),6.16)</f>
        <v>6.16</v>
      </c>
      <c r="U994" s="65">
        <f>IFERROR(__xludf.DUMMYFUNCTION("""COMPUTED_VALUE"""),0.0)</f>
        <v>0</v>
      </c>
      <c r="V994" s="65">
        <f>IFERROR(__xludf.DUMMYFUNCTION("""COMPUTED_VALUE"""),0.0)</f>
        <v>0</v>
      </c>
      <c r="W994" s="65">
        <f>IFERROR(__xludf.DUMMYFUNCTION("""COMPUTED_VALUE"""),0.0)</f>
        <v>0</v>
      </c>
      <c r="X994" s="65">
        <f>IFERROR(__xludf.DUMMYFUNCTION("""COMPUTED_VALUE"""),2.2)</f>
        <v>2.2</v>
      </c>
      <c r="Y994" s="65">
        <f>IFERROR(__xludf.DUMMYFUNCTION("""COMPUTED_VALUE"""),6.6)</f>
        <v>6.6</v>
      </c>
      <c r="Z994" s="65">
        <f>IFERROR(__xludf.DUMMYFUNCTION("""COMPUTED_VALUE"""),111894.0)</f>
        <v>111894</v>
      </c>
      <c r="AA994" s="65" t="str">
        <f>IFERROR(__xludf.DUMMYFUNCTION("""COMPUTED_VALUE"""),"LYIC5M40067")</f>
        <v>LYIC5M40067</v>
      </c>
      <c r="AB994" s="65"/>
      <c r="AC994" s="65" t="str">
        <f>IFERROR(__xludf.DUMMYFUNCTION("""COMPUTED_VALUE"""),"Limpiador de Parabrisas y Ventanas")</f>
        <v>Limpiador de Parabrisas y Ventanas</v>
      </c>
      <c r="AD994" s="65"/>
      <c r="AE994" s="65">
        <f>IFERROR(__xludf.DUMMYFUNCTION("""COMPUTED_VALUE"""),3.0)</f>
        <v>3</v>
      </c>
      <c r="AF994" s="65"/>
      <c r="AG994" s="65"/>
      <c r="AH994" s="65"/>
      <c r="AI994" s="65"/>
      <c r="AJ994" s="65"/>
      <c r="AK994" s="65"/>
      <c r="AL994" s="65"/>
      <c r="AM994" s="65"/>
      <c r="AN994" s="65"/>
      <c r="AO994" s="65"/>
      <c r="AP994" s="65"/>
      <c r="AQ994" s="65"/>
      <c r="AR994" s="65"/>
      <c r="AS994" s="65"/>
      <c r="AT994" s="65" t="str">
        <f>IFERROR(__xludf.DUMMYFUNCTION("""COMPUTED_VALUE"""),"SHOPIFY")</f>
        <v>SHOPIFY</v>
      </c>
      <c r="AU994" s="65" t="str">
        <f>IFERROR(__xludf.DUMMYFUNCTION("""COMPUTED_VALUE"""),"IMPORTEX EC")</f>
        <v>IMPORTEX EC</v>
      </c>
      <c r="AV994" s="65" t="str">
        <f>IFERROR(__xludf.DUMMYFUNCTION("""COMPUTED_VALUE"""),"6485576220716")</f>
        <v>6485576220716</v>
      </c>
      <c r="AW994" s="65">
        <f>IFERROR(__xludf.DUMMYFUNCTION("""COMPUTED_VALUE"""),5943.0)</f>
        <v>5943</v>
      </c>
      <c r="AX994" s="65"/>
      <c r="AY994" s="65"/>
      <c r="AZ994" s="65"/>
      <c r="BA994" s="65"/>
    </row>
    <row r="995">
      <c r="A995" s="65" t="str">
        <f>IFERROR(__xludf.DUMMYFUNCTION("""COMPUTED_VALUE"""),"27-03-2026")</f>
        <v>27-03-2026</v>
      </c>
      <c r="B995" s="65">
        <f>IFERROR(__xludf.DUMMYFUNCTION("""COMPUTED_VALUE"""),4432008.0)</f>
        <v>4432008</v>
      </c>
      <c r="C995" s="65" t="str">
        <f>IFERROR(__xludf.DUMMYFUNCTION("""COMPUTED_VALUE"""),"16:38")</f>
        <v>16:38</v>
      </c>
      <c r="D995" s="65" t="str">
        <f>IFERROR(__xludf.DUMMYFUNCTION("""COMPUTED_VALUE"""),"07-02-2026")</f>
        <v>07-02-2026</v>
      </c>
      <c r="E995" s="65" t="str">
        <f>IFERROR(__xludf.DUMMYFUNCTION("""COMPUTED_VALUE"""),"Teodora Melendrez  Mosquera Echeverria")</f>
        <v>Teodora Melendrez  Mosquera Echeverria</v>
      </c>
      <c r="F995" s="65" t="str">
        <f>IFERROR(__xludf.DUMMYFUNCTION("""COMPUTED_VALUE"""),"998031914")</f>
        <v>998031914</v>
      </c>
      <c r="G995" s="65" t="str">
        <f>IFERROR(__xludf.DUMMYFUNCTION("""COMPUTED_VALUE"""),"tinamm42@hotmail.com")</f>
        <v>tinamm42@hotmail.com</v>
      </c>
      <c r="H995" s="65"/>
      <c r="I995" s="65"/>
      <c r="J995" s="65" t="str">
        <f>IFERROR(__xludf.DUMMYFUNCTION("""COMPUTED_VALUE"""),"D001315174")</f>
        <v>D001315174</v>
      </c>
      <c r="K995" s="65" t="str">
        <f>IFERROR(__xludf.DUMMYFUNCTION("""COMPUTED_VALUE"""),"DEVOLUCION")</f>
        <v>DEVOLUCION</v>
      </c>
      <c r="L995" s="65" t="str">
        <f>IFERROR(__xludf.DUMMYFUNCTION("""COMPUTED_VALUE"""),"CON RECAUDO")</f>
        <v>CON RECAUDO</v>
      </c>
      <c r="M995" s="65" t="str">
        <f>IFERROR(__xludf.DUMMYFUNCTION("""COMPUTED_VALUE"""),"GUAYAS")</f>
        <v>GUAYAS</v>
      </c>
      <c r="N995" s="65" t="str">
        <f>IFERROR(__xludf.DUMMYFUNCTION("""COMPUTED_VALUE"""),"GUAYAQUIL")</f>
        <v>GUAYAQUIL</v>
      </c>
      <c r="O995" s="65" t="str">
        <f>IFERROR(__xludf.DUMMYFUNCTION("""COMPUTED_VALUE"""),"Ciudadela Las Tejas manzana #2 villa 6")</f>
        <v>Ciudadela Las Tejas manzana #2 villa 6</v>
      </c>
      <c r="P995" s="65" t="str">
        <f>IFERROR(__xludf.DUMMYFUNCTION("""COMPUTED_VALUE"""),"CUCHILLO PARA CHEF: Default Title ***")</f>
        <v>CUCHILLO PARA CHEF: Default Title ***</v>
      </c>
      <c r="Q995" s="65" t="str">
        <f>IFERROR(__xludf.DUMMYFUNCTION("""COMPUTED_VALUE"""),"GINTRACOM")</f>
        <v>GINTRACOM</v>
      </c>
      <c r="R995" s="65">
        <f>IFERROR(__xludf.DUMMYFUNCTION("""COMPUTED_VALUE"""),21.99)</f>
        <v>21.99</v>
      </c>
      <c r="S995" s="65"/>
      <c r="T995" s="65">
        <f>IFERROR(__xludf.DUMMYFUNCTION("""COMPUTED_VALUE"""),4.23)</f>
        <v>4.23</v>
      </c>
      <c r="U995" s="65">
        <f>IFERROR(__xludf.DUMMYFUNCTION("""COMPUTED_VALUE"""),0.0)</f>
        <v>0</v>
      </c>
      <c r="V995" s="65">
        <f>IFERROR(__xludf.DUMMYFUNCTION("""COMPUTED_VALUE"""),0.0)</f>
        <v>0</v>
      </c>
      <c r="W995" s="65">
        <f>IFERROR(__xludf.DUMMYFUNCTION("""COMPUTED_VALUE"""),0.0)</f>
        <v>0</v>
      </c>
      <c r="X995" s="65">
        <f>IFERROR(__xludf.DUMMYFUNCTION("""COMPUTED_VALUE"""),2.6)</f>
        <v>2.6</v>
      </c>
      <c r="Y995" s="65">
        <f>IFERROR(__xludf.DUMMYFUNCTION("""COMPUTED_VALUE"""),2.6)</f>
        <v>2.6</v>
      </c>
      <c r="Z995" s="65">
        <f>IFERROR(__xludf.DUMMYFUNCTION("""COMPUTED_VALUE"""),121983.0)</f>
        <v>121983</v>
      </c>
      <c r="AA995" s="65" t="str">
        <f>IFERROR(__xludf.DUMMYFUNCTION("""COMPUTED_VALUE"""),"PROV-CHLLCF")</f>
        <v>PROV-CHLLCF</v>
      </c>
      <c r="AB995" s="65"/>
      <c r="AC995" s="65" t="str">
        <f>IFERROR(__xludf.DUMMYFUNCTION("""COMPUTED_VALUE"""),"CUCHILLO PARA CHEF")</f>
        <v>CUCHILLO PARA CHEF</v>
      </c>
      <c r="AD995" s="65"/>
      <c r="AE995" s="65">
        <f>IFERROR(__xludf.DUMMYFUNCTION("""COMPUTED_VALUE"""),1.0)</f>
        <v>1</v>
      </c>
      <c r="AF995" s="65" t="str">
        <f>IFERROR(__xludf.DUMMYFUNCTION("""COMPUTED_VALUE"""),"DESTINATARIO INDICA QUE YA NO DESEA EL PRODUCTO")</f>
        <v>DESTINATARIO INDICA QUE YA NO DESEA EL PRODUCTO</v>
      </c>
      <c r="AG995" s="65" t="str">
        <f>IFERROR(__xludf.DUMMYFUNCTION("""COMPUTED_VALUE"""),"NO")</f>
        <v>NO</v>
      </c>
      <c r="AH995" s="65" t="str">
        <f>IFERROR(__xludf.DUMMYFUNCTION("""COMPUTED_VALUE"""),"13:58")</f>
        <v>13:58</v>
      </c>
      <c r="AI995" s="65" t="str">
        <f>IFERROR(__xludf.DUMMYFUNCTION("""COMPUTED_VALUE"""),"18-02-2026")</f>
        <v>18-02-2026</v>
      </c>
      <c r="AJ995" s="65"/>
      <c r="AK995" s="65"/>
      <c r="AL995" s="65"/>
      <c r="AM995" s="65"/>
      <c r="AN995" s="65" t="str">
        <f>IFERROR(__xludf.DUMMYFUNCTION("""COMPUTED_VALUE"""),"01:35")</f>
        <v>01:35</v>
      </c>
      <c r="AO995" s="65" t="str">
        <f>IFERROR(__xludf.DUMMYFUNCTION("""COMPUTED_VALUE"""),"06-03-2026")</f>
        <v>06-03-2026</v>
      </c>
      <c r="AP995" s="65" t="str">
        <f>IFERROR(__xludf.DUMMYFUNCTION("""COMPUTED_VALUE"""),"DEVOLUCIÓN ENTREGADA A ORIGEN")</f>
        <v>DEVOLUCIÓN ENTREGADA A ORIGEN</v>
      </c>
      <c r="AQ995" s="65" t="str">
        <f>IFERROR(__xludf.DUMMYFUNCTION("""COMPUTED_VALUE"""),"DEVOLUCIÓN ENTREGADA A ORIGEN")</f>
        <v>DEVOLUCIÓN ENTREGADA A ORIGEN</v>
      </c>
      <c r="AR995" s="65"/>
      <c r="AS995" s="65"/>
      <c r="AT995" s="65" t="str">
        <f>IFERROR(__xludf.DUMMYFUNCTION("""COMPUTED_VALUE"""),"SHOPIFY")</f>
        <v>SHOPIFY</v>
      </c>
      <c r="AU995" s="65" t="str">
        <f>IFERROR(__xludf.DUMMYFUNCTION("""COMPUTED_VALUE"""),"IMPORTEX EC")</f>
        <v>IMPORTEX EC</v>
      </c>
      <c r="AV995" s="65" t="str">
        <f>IFERROR(__xludf.DUMMYFUNCTION("""COMPUTED_VALUE"""),"6483315130412")</f>
        <v>6483315130412</v>
      </c>
      <c r="AW995" s="65">
        <f>IFERROR(__xludf.DUMMYFUNCTION("""COMPUTED_VALUE"""),5890.0)</f>
        <v>5890</v>
      </c>
      <c r="AX995" s="65"/>
      <c r="AY995" s="65" t="str">
        <f>IFERROR(__xludf.DUMMYFUNCTION("""COMPUTED_VALUE"""),"10/02/2026")</f>
        <v>10/02/2026</v>
      </c>
      <c r="AZ995" s="65"/>
      <c r="BA995" s="65"/>
    </row>
    <row r="996">
      <c r="A996" s="65" t="str">
        <f>IFERROR(__xludf.DUMMYFUNCTION("""COMPUTED_VALUE"""),"27-03-2026")</f>
        <v>27-03-2026</v>
      </c>
      <c r="B996" s="65">
        <f>IFERROR(__xludf.DUMMYFUNCTION("""COMPUTED_VALUE"""),4432005.0)</f>
        <v>4432005</v>
      </c>
      <c r="C996" s="65" t="str">
        <f>IFERROR(__xludf.DUMMYFUNCTION("""COMPUTED_VALUE"""),"16:38")</f>
        <v>16:38</v>
      </c>
      <c r="D996" s="65" t="str">
        <f>IFERROR(__xludf.DUMMYFUNCTION("""COMPUTED_VALUE"""),"07-02-2026")</f>
        <v>07-02-2026</v>
      </c>
      <c r="E996" s="65" t="str">
        <f>IFERROR(__xludf.DUMMYFUNCTION("""COMPUTED_VALUE"""),"Sevilla Mile")</f>
        <v>Sevilla Mile</v>
      </c>
      <c r="F996" s="65" t="str">
        <f>IFERROR(__xludf.DUMMYFUNCTION("""COMPUTED_VALUE"""),"984051682")</f>
        <v>984051682</v>
      </c>
      <c r="G996" s="65" t="str">
        <f>IFERROR(__xludf.DUMMYFUNCTION("""COMPUTED_VALUE"""),"milesevilla4@yahoo.com")</f>
        <v>milesevilla4@yahoo.com</v>
      </c>
      <c r="H996" s="65"/>
      <c r="I996" s="65"/>
      <c r="J996" s="65" t="str">
        <f>IFERROR(__xludf.DUMMYFUNCTION("""COMPUTED_VALUE"""),"D001312625")</f>
        <v>D001312625</v>
      </c>
      <c r="K996" s="65" t="str">
        <f>IFERROR(__xludf.DUMMYFUNCTION("""COMPUTED_VALUE"""),"ENTREGADO")</f>
        <v>ENTREGADO</v>
      </c>
      <c r="L996" s="65" t="str">
        <f>IFERROR(__xludf.DUMMYFUNCTION("""COMPUTED_VALUE"""),"CON RECAUDO")</f>
        <v>CON RECAUDO</v>
      </c>
      <c r="M996" s="65" t="str">
        <f>IFERROR(__xludf.DUMMYFUNCTION("""COMPUTED_VALUE"""),"PICHINCHA")</f>
        <v>PICHINCHA</v>
      </c>
      <c r="N996" s="65" t="str">
        <f>IFERROR(__xludf.DUMMYFUNCTION("""COMPUTED_VALUE"""),"QUITO")</f>
        <v>QUITO</v>
      </c>
      <c r="O996" s="65" t="str">
        <f>IFERROR(__xludf.DUMMYFUNCTION("""COMPUTED_VALUE"""),"Carlos Polit e20-15 y pasaje francisco de victoria jardín del valle monjas")</f>
        <v>Carlos Polit e20-15 y pasaje francisco de victoria jardín del valle monjas</v>
      </c>
      <c r="P996" s="65"/>
      <c r="Q996" s="65" t="str">
        <f>IFERROR(__xludf.DUMMYFUNCTION("""COMPUTED_VALUE"""),"GINTRACOM")</f>
        <v>GINTRACOM</v>
      </c>
      <c r="R996" s="65">
        <f>IFERROR(__xludf.DUMMYFUNCTION("""COMPUTED_VALUE"""),20.0)</f>
        <v>20</v>
      </c>
      <c r="S996" s="65">
        <f>IFERROR(__xludf.DUMMYFUNCTION("""COMPUTED_VALUE"""),12.04)</f>
        <v>12.04</v>
      </c>
      <c r="T996" s="65">
        <f>IFERROR(__xludf.DUMMYFUNCTION("""COMPUTED_VALUE"""),5.76)</f>
        <v>5.76</v>
      </c>
      <c r="U996" s="65">
        <f>IFERROR(__xludf.DUMMYFUNCTION("""COMPUTED_VALUE"""),0.0)</f>
        <v>0</v>
      </c>
      <c r="V996" s="65">
        <f>IFERROR(__xludf.DUMMYFUNCTION("""COMPUTED_VALUE"""),0.0)</f>
        <v>0</v>
      </c>
      <c r="W996" s="65">
        <f>IFERROR(__xludf.DUMMYFUNCTION("""COMPUTED_VALUE"""),0.0)</f>
        <v>0</v>
      </c>
      <c r="X996" s="65">
        <f>IFERROR(__xludf.DUMMYFUNCTION("""COMPUTED_VALUE"""),2.2)</f>
        <v>2.2</v>
      </c>
      <c r="Y996" s="65">
        <f>IFERROR(__xludf.DUMMYFUNCTION("""COMPUTED_VALUE"""),2.2)</f>
        <v>2.2</v>
      </c>
      <c r="Z996" s="65">
        <f>IFERROR(__xludf.DUMMYFUNCTION("""COMPUTED_VALUE"""),111894.0)</f>
        <v>111894</v>
      </c>
      <c r="AA996" s="65" t="str">
        <f>IFERROR(__xludf.DUMMYFUNCTION("""COMPUTED_VALUE"""),"LYIC5M40067")</f>
        <v>LYIC5M40067</v>
      </c>
      <c r="AB996" s="65"/>
      <c r="AC996" s="65" t="str">
        <f>IFERROR(__xludf.DUMMYFUNCTION("""COMPUTED_VALUE"""),"Limpiador de Parabrisas y Ventanas")</f>
        <v>Limpiador de Parabrisas y Ventanas</v>
      </c>
      <c r="AD996" s="65"/>
      <c r="AE996" s="65">
        <f>IFERROR(__xludf.DUMMYFUNCTION("""COMPUTED_VALUE"""),1.0)</f>
        <v>1</v>
      </c>
      <c r="AF996" s="65" t="str">
        <f>IFERROR(__xludf.DUMMYFUNCTION("""COMPUTED_VALUE"""),"DESTINATARIO NO SE ENCUENTRA EN LUGAR DE ENTREGA.")</f>
        <v>DESTINATARIO NO SE ENCUENTRA EN LUGAR DE ENTREGA.</v>
      </c>
      <c r="AG996" s="65" t="str">
        <f>IFERROR(__xludf.DUMMYFUNCTION("""COMPUTED_VALUE"""),"SI")</f>
        <v>SI</v>
      </c>
      <c r="AH996" s="65" t="str">
        <f>IFERROR(__xludf.DUMMYFUNCTION("""COMPUTED_VALUE"""),"16:39")</f>
        <v>16:39</v>
      </c>
      <c r="AI996" s="65" t="str">
        <f>IFERROR(__xludf.DUMMYFUNCTION("""COMPUTED_VALUE"""),"12-02-2026")</f>
        <v>12-02-2026</v>
      </c>
      <c r="AJ996" s="65"/>
      <c r="AK996" s="65"/>
      <c r="AL996" s="65"/>
      <c r="AM996" s="65"/>
      <c r="AN996" s="65" t="str">
        <f>IFERROR(__xludf.DUMMYFUNCTION("""COMPUTED_VALUE"""),"15:02")</f>
        <v>15:02</v>
      </c>
      <c r="AO996" s="65" t="str">
        <f>IFERROR(__xludf.DUMMYFUNCTION("""COMPUTED_VALUE"""),"18-02-2026")</f>
        <v>18-02-2026</v>
      </c>
      <c r="AP996" s="65" t="str">
        <f>IFERROR(__xludf.DUMMYFUNCTION("""COMPUTED_VALUE"""),"ENTREGADA GINTRACOM")</f>
        <v>ENTREGADA GINTRACOM</v>
      </c>
      <c r="AQ996" s="65" t="str">
        <f>IFERROR(__xludf.DUMMYFUNCTION("""COMPUTED_VALUE"""),"ENTREGADA GINTRACOM")</f>
        <v>ENTREGADA GINTRACOM</v>
      </c>
      <c r="AR996" s="65"/>
      <c r="AS996" s="65"/>
      <c r="AT996" s="65" t="str">
        <f>IFERROR(__xludf.DUMMYFUNCTION("""COMPUTED_VALUE"""),"SHOPIFY")</f>
        <v>SHOPIFY</v>
      </c>
      <c r="AU996" s="65" t="str">
        <f>IFERROR(__xludf.DUMMYFUNCTION("""COMPUTED_VALUE"""),"IMPORTEX EC")</f>
        <v>IMPORTEX EC</v>
      </c>
      <c r="AV996" s="65" t="str">
        <f>IFERROR(__xludf.DUMMYFUNCTION("""COMPUTED_VALUE"""),"6483257688108")</f>
        <v>6483257688108</v>
      </c>
      <c r="AW996" s="65">
        <f>IFERROR(__xludf.DUMMYFUNCTION("""COMPUTED_VALUE"""),5889.0)</f>
        <v>5889</v>
      </c>
      <c r="AX996" s="65"/>
      <c r="AY996" s="65" t="str">
        <f>IFERROR(__xludf.DUMMYFUNCTION("""COMPUTED_VALUE"""),"09/02/2026")</f>
        <v>09/02/2026</v>
      </c>
      <c r="AZ996" s="65"/>
      <c r="BA996" s="65"/>
    </row>
    <row r="997">
      <c r="A997" s="65" t="str">
        <f>IFERROR(__xludf.DUMMYFUNCTION("""COMPUTED_VALUE"""),"27-03-2026")</f>
        <v>27-03-2026</v>
      </c>
      <c r="B997" s="65">
        <f>IFERROR(__xludf.DUMMYFUNCTION("""COMPUTED_VALUE"""),4432001.0)</f>
        <v>4432001</v>
      </c>
      <c r="C997" s="65" t="str">
        <f>IFERROR(__xludf.DUMMYFUNCTION("""COMPUTED_VALUE"""),"16:38")</f>
        <v>16:38</v>
      </c>
      <c r="D997" s="65" t="str">
        <f>IFERROR(__xludf.DUMMYFUNCTION("""COMPUTED_VALUE"""),"07-02-2026")</f>
        <v>07-02-2026</v>
      </c>
      <c r="E997" s="65" t="str">
        <f>IFERROR(__xludf.DUMMYFUNCTION("""COMPUTED_VALUE"""),"Luis feijoo Feijoo")</f>
        <v>Luis feijoo Feijoo</v>
      </c>
      <c r="F997" s="65" t="str">
        <f>IFERROR(__xludf.DUMMYFUNCTION("""COMPUTED_VALUE"""),"958939703")</f>
        <v>958939703</v>
      </c>
      <c r="G997" s="65" t="str">
        <f>IFERROR(__xludf.DUMMYFUNCTION("""COMPUTED_VALUE"""),"betitofeijoo1@hotmail.com")</f>
        <v>betitofeijoo1@hotmail.com</v>
      </c>
      <c r="H997" s="65"/>
      <c r="I997" s="65"/>
      <c r="J997" s="65" t="str">
        <f>IFERROR(__xludf.DUMMYFUNCTION("""COMPUTED_VALUE"""),"D001312626")</f>
        <v>D001312626</v>
      </c>
      <c r="K997" s="65" t="str">
        <f>IFERROR(__xludf.DUMMYFUNCTION("""COMPUTED_VALUE"""),"ENTREGADO")</f>
        <v>ENTREGADO</v>
      </c>
      <c r="L997" s="65" t="str">
        <f>IFERROR(__xludf.DUMMYFUNCTION("""COMPUTED_VALUE"""),"CON RECAUDO")</f>
        <v>CON RECAUDO</v>
      </c>
      <c r="M997" s="65" t="str">
        <f>IFERROR(__xludf.DUMMYFUNCTION("""COMPUTED_VALUE"""),"EL ORO")</f>
        <v>EL ORO</v>
      </c>
      <c r="N997" s="65" t="str">
        <f>IFERROR(__xludf.DUMMYFUNCTION("""COMPUTED_VALUE"""),"MACHALA")</f>
        <v>MACHALA</v>
      </c>
      <c r="O997" s="65" t="str">
        <f>IFERROR(__xludf.DUMMYFUNCTION("""COMPUTED_VALUE"""),"Avenida ferroviaria y urbanizacion san patricio - Urbanización san Patricio conjunto Laureana villa v18 - Familia Feijóo rivas")</f>
        <v>Avenida ferroviaria y urbanizacion san patricio - Urbanización san Patricio conjunto Laureana villa v18 - Familia Feijóo rivas</v>
      </c>
      <c r="P997" s="65"/>
      <c r="Q997" s="65" t="str">
        <f>IFERROR(__xludf.DUMMYFUNCTION("""COMPUTED_VALUE"""),"GINTRACOM")</f>
        <v>GINTRACOM</v>
      </c>
      <c r="R997" s="65">
        <f>IFERROR(__xludf.DUMMYFUNCTION("""COMPUTED_VALUE"""),30.0)</f>
        <v>30</v>
      </c>
      <c r="S997" s="65">
        <f>IFERROR(__xludf.DUMMYFUNCTION("""COMPUTED_VALUE"""),17.24)</f>
        <v>17.24</v>
      </c>
      <c r="T997" s="65">
        <f>IFERROR(__xludf.DUMMYFUNCTION("""COMPUTED_VALUE"""),6.16)</f>
        <v>6.16</v>
      </c>
      <c r="U997" s="65">
        <f>IFERROR(__xludf.DUMMYFUNCTION("""COMPUTED_VALUE"""),0.0)</f>
        <v>0</v>
      </c>
      <c r="V997" s="65">
        <f>IFERROR(__xludf.DUMMYFUNCTION("""COMPUTED_VALUE"""),0.0)</f>
        <v>0</v>
      </c>
      <c r="W997" s="65">
        <f>IFERROR(__xludf.DUMMYFUNCTION("""COMPUTED_VALUE"""),0.0)</f>
        <v>0</v>
      </c>
      <c r="X997" s="65">
        <f>IFERROR(__xludf.DUMMYFUNCTION("""COMPUTED_VALUE"""),2.2)</f>
        <v>2.2</v>
      </c>
      <c r="Y997" s="65">
        <f>IFERROR(__xludf.DUMMYFUNCTION("""COMPUTED_VALUE"""),6.6)</f>
        <v>6.6</v>
      </c>
      <c r="Z997" s="65">
        <f>IFERROR(__xludf.DUMMYFUNCTION("""COMPUTED_VALUE"""),111894.0)</f>
        <v>111894</v>
      </c>
      <c r="AA997" s="65" t="str">
        <f>IFERROR(__xludf.DUMMYFUNCTION("""COMPUTED_VALUE"""),"LYIC5M40067")</f>
        <v>LYIC5M40067</v>
      </c>
      <c r="AB997" s="65"/>
      <c r="AC997" s="65" t="str">
        <f>IFERROR(__xludf.DUMMYFUNCTION("""COMPUTED_VALUE"""),"Limpiador de Parabrisas y Ventanas")</f>
        <v>Limpiador de Parabrisas y Ventanas</v>
      </c>
      <c r="AD997" s="65"/>
      <c r="AE997" s="65">
        <f>IFERROR(__xludf.DUMMYFUNCTION("""COMPUTED_VALUE"""),3.0)</f>
        <v>3</v>
      </c>
      <c r="AF997" s="65"/>
      <c r="AG997" s="65"/>
      <c r="AH997" s="65"/>
      <c r="AI997" s="65"/>
      <c r="AJ997" s="65"/>
      <c r="AK997" s="65"/>
      <c r="AL997" s="65"/>
      <c r="AM997" s="65"/>
      <c r="AN997" s="65" t="str">
        <f>IFERROR(__xludf.DUMMYFUNCTION("""COMPUTED_VALUE"""),"08:39")</f>
        <v>08:39</v>
      </c>
      <c r="AO997" s="65" t="str">
        <f>IFERROR(__xludf.DUMMYFUNCTION("""COMPUTED_VALUE"""),"12-02-2026")</f>
        <v>12-02-2026</v>
      </c>
      <c r="AP997" s="65" t="str">
        <f>IFERROR(__xludf.DUMMYFUNCTION("""COMPUTED_VALUE"""),"EN REPARTO")</f>
        <v>EN REPARTO</v>
      </c>
      <c r="AQ997" s="65" t="str">
        <f>IFERROR(__xludf.DUMMYFUNCTION("""COMPUTED_VALUE"""),"EN REPARTO")</f>
        <v>EN REPARTO</v>
      </c>
      <c r="AR997" s="65"/>
      <c r="AS997" s="65"/>
      <c r="AT997" s="65" t="str">
        <f>IFERROR(__xludf.DUMMYFUNCTION("""COMPUTED_VALUE"""),"SHOPIFY")</f>
        <v>SHOPIFY</v>
      </c>
      <c r="AU997" s="65" t="str">
        <f>IFERROR(__xludf.DUMMYFUNCTION("""COMPUTED_VALUE"""),"IMPORTEX EC")</f>
        <v>IMPORTEX EC</v>
      </c>
      <c r="AV997" s="65" t="str">
        <f>IFERROR(__xludf.DUMMYFUNCTION("""COMPUTED_VALUE"""),"6483185598508")</f>
        <v>6483185598508</v>
      </c>
      <c r="AW997" s="65">
        <f>IFERROR(__xludf.DUMMYFUNCTION("""COMPUTED_VALUE"""),5888.0)</f>
        <v>5888</v>
      </c>
      <c r="AX997" s="65"/>
      <c r="AY997" s="65" t="str">
        <f>IFERROR(__xludf.DUMMYFUNCTION("""COMPUTED_VALUE"""),"09/02/2026")</f>
        <v>09/02/2026</v>
      </c>
      <c r="AZ997" s="65"/>
      <c r="BA997" s="65"/>
    </row>
    <row r="998">
      <c r="A998" s="65" t="str">
        <f>IFERROR(__xludf.DUMMYFUNCTION("""COMPUTED_VALUE"""),"27-03-2026")</f>
        <v>27-03-2026</v>
      </c>
      <c r="B998" s="65">
        <f>IFERROR(__xludf.DUMMYFUNCTION("""COMPUTED_VALUE"""),4431998.0)</f>
        <v>4431998</v>
      </c>
      <c r="C998" s="65" t="str">
        <f>IFERROR(__xludf.DUMMYFUNCTION("""COMPUTED_VALUE"""),"16:38")</f>
        <v>16:38</v>
      </c>
      <c r="D998" s="65" t="str">
        <f>IFERROR(__xludf.DUMMYFUNCTION("""COMPUTED_VALUE"""),"07-02-2026")</f>
        <v>07-02-2026</v>
      </c>
      <c r="E998" s="65" t="str">
        <f>IFERROR(__xludf.DUMMYFUNCTION("""COMPUTED_VALUE"""),"Cristian Alejandro Cuesta Leon")</f>
        <v>Cristian Alejandro Cuesta Leon</v>
      </c>
      <c r="F998" s="65" t="str">
        <f>IFERROR(__xludf.DUMMYFUNCTION("""COMPUTED_VALUE"""),"998121467")</f>
        <v>998121467</v>
      </c>
      <c r="G998" s="65" t="str">
        <f>IFERROR(__xludf.DUMMYFUNCTION("""COMPUTED_VALUE"""),"crcuesta1975@hotmail.com")</f>
        <v>crcuesta1975@hotmail.com</v>
      </c>
      <c r="H998" s="65"/>
      <c r="I998" s="65"/>
      <c r="J998" s="65" t="str">
        <f>IFERROR(__xludf.DUMMYFUNCTION("""COMPUTED_VALUE"""),"D001312627")</f>
        <v>D001312627</v>
      </c>
      <c r="K998" s="65" t="str">
        <f>IFERROR(__xludf.DUMMYFUNCTION("""COMPUTED_VALUE"""),"ENTREGADO")</f>
        <v>ENTREGADO</v>
      </c>
      <c r="L998" s="65" t="str">
        <f>IFERROR(__xludf.DUMMYFUNCTION("""COMPUTED_VALUE"""),"CON RECAUDO")</f>
        <v>CON RECAUDO</v>
      </c>
      <c r="M998" s="65" t="str">
        <f>IFERROR(__xludf.DUMMYFUNCTION("""COMPUTED_VALUE"""),"PICHINCHA")</f>
        <v>PICHINCHA</v>
      </c>
      <c r="N998" s="65" t="str">
        <f>IFERROR(__xludf.DUMMYFUNCTION("""COMPUTED_VALUE"""),"QUITO")</f>
        <v>QUITO</v>
      </c>
      <c r="O998" s="65" t="str">
        <f>IFERROR(__xludf.DUMMYFUNCTION("""COMPUTED_VALUE"""),"Manuel Ambrosi E6-124 e Higueras Comite del pueblo -")</f>
        <v>Manuel Ambrosi E6-124 e Higueras Comite del pueblo -</v>
      </c>
      <c r="P998" s="65"/>
      <c r="Q998" s="65" t="str">
        <f>IFERROR(__xludf.DUMMYFUNCTION("""COMPUTED_VALUE"""),"GINTRACOM")</f>
        <v>GINTRACOM</v>
      </c>
      <c r="R998" s="65">
        <f>IFERROR(__xludf.DUMMYFUNCTION("""COMPUTED_VALUE"""),25.0)</f>
        <v>25</v>
      </c>
      <c r="S998" s="65">
        <f>IFERROR(__xludf.DUMMYFUNCTION("""COMPUTED_VALUE"""),14.64)</f>
        <v>14.64</v>
      </c>
      <c r="T998" s="65">
        <f>IFERROR(__xludf.DUMMYFUNCTION("""COMPUTED_VALUE"""),5.96)</f>
        <v>5.96</v>
      </c>
      <c r="U998" s="65">
        <f>IFERROR(__xludf.DUMMYFUNCTION("""COMPUTED_VALUE"""),0.0)</f>
        <v>0</v>
      </c>
      <c r="V998" s="65">
        <f>IFERROR(__xludf.DUMMYFUNCTION("""COMPUTED_VALUE"""),0.0)</f>
        <v>0</v>
      </c>
      <c r="W998" s="65">
        <f>IFERROR(__xludf.DUMMYFUNCTION("""COMPUTED_VALUE"""),0.0)</f>
        <v>0</v>
      </c>
      <c r="X998" s="65">
        <f>IFERROR(__xludf.DUMMYFUNCTION("""COMPUTED_VALUE"""),2.2)</f>
        <v>2.2</v>
      </c>
      <c r="Y998" s="65">
        <f>IFERROR(__xludf.DUMMYFUNCTION("""COMPUTED_VALUE"""),4.4)</f>
        <v>4.4</v>
      </c>
      <c r="Z998" s="65">
        <f>IFERROR(__xludf.DUMMYFUNCTION("""COMPUTED_VALUE"""),111894.0)</f>
        <v>111894</v>
      </c>
      <c r="AA998" s="65" t="str">
        <f>IFERROR(__xludf.DUMMYFUNCTION("""COMPUTED_VALUE"""),"LYIC5M40067")</f>
        <v>LYIC5M40067</v>
      </c>
      <c r="AB998" s="65"/>
      <c r="AC998" s="65" t="str">
        <f>IFERROR(__xludf.DUMMYFUNCTION("""COMPUTED_VALUE"""),"Limpiador de Parabrisas y Ventanas")</f>
        <v>Limpiador de Parabrisas y Ventanas</v>
      </c>
      <c r="AD998" s="65"/>
      <c r="AE998" s="65">
        <f>IFERROR(__xludf.DUMMYFUNCTION("""COMPUTED_VALUE"""),2.0)</f>
        <v>2</v>
      </c>
      <c r="AF998" s="65"/>
      <c r="AG998" s="65"/>
      <c r="AH998" s="65"/>
      <c r="AI998" s="65"/>
      <c r="AJ998" s="65"/>
      <c r="AK998" s="65"/>
      <c r="AL998" s="65"/>
      <c r="AM998" s="65"/>
      <c r="AN998" s="65" t="str">
        <f>IFERROR(__xludf.DUMMYFUNCTION("""COMPUTED_VALUE"""),"14:29")</f>
        <v>14:29</v>
      </c>
      <c r="AO998" s="65" t="str">
        <f>IFERROR(__xludf.DUMMYFUNCTION("""COMPUTED_VALUE"""),"12-02-2026")</f>
        <v>12-02-2026</v>
      </c>
      <c r="AP998" s="65" t="str">
        <f>IFERROR(__xludf.DUMMYFUNCTION("""COMPUTED_VALUE"""),"ENTREGADA GINTRACOM")</f>
        <v>ENTREGADA GINTRACOM</v>
      </c>
      <c r="AQ998" s="65" t="str">
        <f>IFERROR(__xludf.DUMMYFUNCTION("""COMPUTED_VALUE"""),"ENTREGADA GINTRACOM")</f>
        <v>ENTREGADA GINTRACOM</v>
      </c>
      <c r="AR998" s="65"/>
      <c r="AS998" s="65"/>
      <c r="AT998" s="65" t="str">
        <f>IFERROR(__xludf.DUMMYFUNCTION("""COMPUTED_VALUE"""),"SHOPIFY")</f>
        <v>SHOPIFY</v>
      </c>
      <c r="AU998" s="65" t="str">
        <f>IFERROR(__xludf.DUMMYFUNCTION("""COMPUTED_VALUE"""),"IMPORTEX EC")</f>
        <v>IMPORTEX EC</v>
      </c>
      <c r="AV998" s="65" t="str">
        <f>IFERROR(__xludf.DUMMYFUNCTION("""COMPUTED_VALUE"""),"6483169738796")</f>
        <v>6483169738796</v>
      </c>
      <c r="AW998" s="65">
        <f>IFERROR(__xludf.DUMMYFUNCTION("""COMPUTED_VALUE"""),5887.0)</f>
        <v>5887</v>
      </c>
      <c r="AX998" s="65"/>
      <c r="AY998" s="65" t="str">
        <f>IFERROR(__xludf.DUMMYFUNCTION("""COMPUTED_VALUE"""),"09/02/2026")</f>
        <v>09/02/2026</v>
      </c>
      <c r="AZ998" s="65"/>
      <c r="BA998" s="65"/>
    </row>
    <row r="999">
      <c r="A999" s="65" t="str">
        <f>IFERROR(__xludf.DUMMYFUNCTION("""COMPUTED_VALUE"""),"27-03-2026")</f>
        <v>27-03-2026</v>
      </c>
      <c r="B999" s="65">
        <f>IFERROR(__xludf.DUMMYFUNCTION("""COMPUTED_VALUE"""),4431995.0)</f>
        <v>4431995</v>
      </c>
      <c r="C999" s="65" t="str">
        <f>IFERROR(__xludf.DUMMYFUNCTION("""COMPUTED_VALUE"""),"16:38")</f>
        <v>16:38</v>
      </c>
      <c r="D999" s="65" t="str">
        <f>IFERROR(__xludf.DUMMYFUNCTION("""COMPUTED_VALUE"""),"07-02-2026")</f>
        <v>07-02-2026</v>
      </c>
      <c r="E999" s="65" t="str">
        <f>IFERROR(__xludf.DUMMYFUNCTION("""COMPUTED_VALUE"""),"Ivan Moya")</f>
        <v>Ivan Moya</v>
      </c>
      <c r="F999" s="65" t="str">
        <f>IFERROR(__xludf.DUMMYFUNCTION("""COMPUTED_VALUE"""),"987039162")</f>
        <v>987039162</v>
      </c>
      <c r="G999" s="65" t="str">
        <f>IFERROR(__xludf.DUMMYFUNCTION("""COMPUTED_VALUE"""),"eduardomoya88@yahoo.es")</f>
        <v>eduardomoya88@yahoo.es</v>
      </c>
      <c r="H999" s="65"/>
      <c r="I999" s="65"/>
      <c r="J999" s="65" t="str">
        <f>IFERROR(__xludf.DUMMYFUNCTION("""COMPUTED_VALUE"""),"D001312629")</f>
        <v>D001312629</v>
      </c>
      <c r="K999" s="65" t="str">
        <f>IFERROR(__xludf.DUMMYFUNCTION("""COMPUTED_VALUE"""),"DEVOLUCION")</f>
        <v>DEVOLUCION</v>
      </c>
      <c r="L999" s="65" t="str">
        <f>IFERROR(__xludf.DUMMYFUNCTION("""COMPUTED_VALUE"""),"CON RECAUDO")</f>
        <v>CON RECAUDO</v>
      </c>
      <c r="M999" s="65" t="str">
        <f>IFERROR(__xludf.DUMMYFUNCTION("""COMPUTED_VALUE"""),"PICHINCHA")</f>
        <v>PICHINCHA</v>
      </c>
      <c r="N999" s="65" t="str">
        <f>IFERROR(__xludf.DUMMYFUNCTION("""COMPUTED_VALUE"""),"QUITO")</f>
        <v>QUITO</v>
      </c>
      <c r="O999" s="65" t="str">
        <f>IFERROR(__xludf.DUMMYFUNCTION("""COMPUTED_VALUE"""),"Serapio Japerabi y Pedro Capiro Barrionuevo - En el comercial robles 2")</f>
        <v>Serapio Japerabi y Pedro Capiro Barrionuevo - En el comercial robles 2</v>
      </c>
      <c r="P999" s="65"/>
      <c r="Q999" s="65" t="str">
        <f>IFERROR(__xludf.DUMMYFUNCTION("""COMPUTED_VALUE"""),"GINTRACOM")</f>
        <v>GINTRACOM</v>
      </c>
      <c r="R999" s="65">
        <f>IFERROR(__xludf.DUMMYFUNCTION("""COMPUTED_VALUE"""),25.0)</f>
        <v>25</v>
      </c>
      <c r="S999" s="65"/>
      <c r="T999" s="65">
        <f>IFERROR(__xludf.DUMMYFUNCTION("""COMPUTED_VALUE"""),5.96)</f>
        <v>5.96</v>
      </c>
      <c r="U999" s="65">
        <f>IFERROR(__xludf.DUMMYFUNCTION("""COMPUTED_VALUE"""),0.0)</f>
        <v>0</v>
      </c>
      <c r="V999" s="65">
        <f>IFERROR(__xludf.DUMMYFUNCTION("""COMPUTED_VALUE"""),0.0)</f>
        <v>0</v>
      </c>
      <c r="W999" s="65">
        <f>IFERROR(__xludf.DUMMYFUNCTION("""COMPUTED_VALUE"""),0.0)</f>
        <v>0</v>
      </c>
      <c r="X999" s="65">
        <f>IFERROR(__xludf.DUMMYFUNCTION("""COMPUTED_VALUE"""),2.2)</f>
        <v>2.2</v>
      </c>
      <c r="Y999" s="65">
        <f>IFERROR(__xludf.DUMMYFUNCTION("""COMPUTED_VALUE"""),4.4)</f>
        <v>4.4</v>
      </c>
      <c r="Z999" s="65">
        <f>IFERROR(__xludf.DUMMYFUNCTION("""COMPUTED_VALUE"""),111894.0)</f>
        <v>111894</v>
      </c>
      <c r="AA999" s="65" t="str">
        <f>IFERROR(__xludf.DUMMYFUNCTION("""COMPUTED_VALUE"""),"LYIC5M40067")</f>
        <v>LYIC5M40067</v>
      </c>
      <c r="AB999" s="65"/>
      <c r="AC999" s="65" t="str">
        <f>IFERROR(__xludf.DUMMYFUNCTION("""COMPUTED_VALUE"""),"Limpiador de Parabrisas y Ventanas")</f>
        <v>Limpiador de Parabrisas y Ventanas</v>
      </c>
      <c r="AD999" s="65"/>
      <c r="AE999" s="65">
        <f>IFERROR(__xludf.DUMMYFUNCTION("""COMPUTED_VALUE"""),2.0)</f>
        <v>2</v>
      </c>
      <c r="AF999" s="65" t="str">
        <f>IFERROR(__xludf.DUMMYFUNCTION("""COMPUTED_VALUE"""),"DESTINATARIO NO CONTESTA LLAMADAS NI WHATSAPP")</f>
        <v>DESTINATARIO NO CONTESTA LLAMADAS NI WHATSAPP</v>
      </c>
      <c r="AG999" s="65" t="str">
        <f>IFERROR(__xludf.DUMMYFUNCTION("""COMPUTED_VALUE"""),"NO")</f>
        <v>NO</v>
      </c>
      <c r="AH999" s="65" t="str">
        <f>IFERROR(__xludf.DUMMYFUNCTION("""COMPUTED_VALUE"""),"09:00")</f>
        <v>09:00</v>
      </c>
      <c r="AI999" s="65" t="str">
        <f>IFERROR(__xludf.DUMMYFUNCTION("""COMPUTED_VALUE"""),"20-02-2026")</f>
        <v>20-02-2026</v>
      </c>
      <c r="AJ999" s="65"/>
      <c r="AK999" s="65"/>
      <c r="AL999" s="65"/>
      <c r="AM999" s="65"/>
      <c r="AN999" s="65" t="str">
        <f>IFERROR(__xludf.DUMMYFUNCTION("""COMPUTED_VALUE"""),"11:29")</f>
        <v>11:29</v>
      </c>
      <c r="AO999" s="65" t="str">
        <f>IFERROR(__xludf.DUMMYFUNCTION("""COMPUTED_VALUE"""),"02-03-2026")</f>
        <v>02-03-2026</v>
      </c>
      <c r="AP999" s="65" t="str">
        <f>IFERROR(__xludf.DUMMYFUNCTION("""COMPUTED_VALUE"""),"DEVOLUCIÓN ENTREGADA A ORIGEN")</f>
        <v>DEVOLUCIÓN ENTREGADA A ORIGEN</v>
      </c>
      <c r="AQ999" s="65" t="str">
        <f>IFERROR(__xludf.DUMMYFUNCTION("""COMPUTED_VALUE"""),"DEVOLUCIÓN ENTREGADA A ORIGEN")</f>
        <v>DEVOLUCIÓN ENTREGADA A ORIGEN</v>
      </c>
      <c r="AR999" s="65"/>
      <c r="AS999" s="65"/>
      <c r="AT999" s="65" t="str">
        <f>IFERROR(__xludf.DUMMYFUNCTION("""COMPUTED_VALUE"""),"SHOPIFY")</f>
        <v>SHOPIFY</v>
      </c>
      <c r="AU999" s="65" t="str">
        <f>IFERROR(__xludf.DUMMYFUNCTION("""COMPUTED_VALUE"""),"IMPORTEX EC")</f>
        <v>IMPORTEX EC</v>
      </c>
      <c r="AV999" s="65" t="str">
        <f>IFERROR(__xludf.DUMMYFUNCTION("""COMPUTED_VALUE"""),"6483161776172")</f>
        <v>6483161776172</v>
      </c>
      <c r="AW999" s="65">
        <f>IFERROR(__xludf.DUMMYFUNCTION("""COMPUTED_VALUE"""),5886.0)</f>
        <v>5886</v>
      </c>
      <c r="AX999" s="65"/>
      <c r="AY999" s="65" t="str">
        <f>IFERROR(__xludf.DUMMYFUNCTION("""COMPUTED_VALUE"""),"09/02/2026")</f>
        <v>09/02/2026</v>
      </c>
      <c r="AZ999" s="65"/>
      <c r="BA999" s="65"/>
    </row>
    <row r="1000">
      <c r="A1000" s="65" t="str">
        <f>IFERROR(__xludf.DUMMYFUNCTION("""COMPUTED_VALUE"""),"27-03-2026")</f>
        <v>27-03-2026</v>
      </c>
      <c r="B1000" s="65">
        <f>IFERROR(__xludf.DUMMYFUNCTION("""COMPUTED_VALUE"""),4431992.0)</f>
        <v>4431992</v>
      </c>
      <c r="C1000" s="65" t="str">
        <f>IFERROR(__xludf.DUMMYFUNCTION("""COMPUTED_VALUE"""),"16:37")</f>
        <v>16:37</v>
      </c>
      <c r="D1000" s="65" t="str">
        <f>IFERROR(__xludf.DUMMYFUNCTION("""COMPUTED_VALUE"""),"07-02-2026")</f>
        <v>07-02-2026</v>
      </c>
      <c r="E1000" s="65" t="str">
        <f>IFERROR(__xludf.DUMMYFUNCTION("""COMPUTED_VALUE"""),"Ruth Gómez 0991586104")</f>
        <v>Ruth Gómez 0991586104</v>
      </c>
      <c r="F1000" s="65" t="str">
        <f>IFERROR(__xludf.DUMMYFUNCTION("""COMPUTED_VALUE"""),"991586104")</f>
        <v>991586104</v>
      </c>
      <c r="G1000" s="65" t="str">
        <f>IFERROR(__xludf.DUMMYFUNCTION("""COMPUTED_VALUE"""),"ruthgomezpareja@gmail.com")</f>
        <v>ruthgomezpareja@gmail.com</v>
      </c>
      <c r="H1000" s="65"/>
      <c r="I1000" s="65"/>
      <c r="J1000" s="65" t="str">
        <f>IFERROR(__xludf.DUMMYFUNCTION("""COMPUTED_VALUE"""),"D001315175")</f>
        <v>D001315175</v>
      </c>
      <c r="K1000" s="65" t="str">
        <f>IFERROR(__xludf.DUMMYFUNCTION("""COMPUTED_VALUE"""),"ENTREGADO")</f>
        <v>ENTREGADO</v>
      </c>
      <c r="L1000" s="65" t="str">
        <f>IFERROR(__xludf.DUMMYFUNCTION("""COMPUTED_VALUE"""),"CON RECAUDO")</f>
        <v>CON RECAUDO</v>
      </c>
      <c r="M1000" s="65" t="str">
        <f>IFERROR(__xludf.DUMMYFUNCTION("""COMPUTED_VALUE"""),"GUAYAS")</f>
        <v>GUAYAS</v>
      </c>
      <c r="N1000" s="65" t="str">
        <f>IFERROR(__xludf.DUMMYFUNCTION("""COMPUTED_VALUE"""),"GUAYAQUIL")</f>
        <v>GUAYAQUIL</v>
      </c>
      <c r="O1000" s="65" t="str">
        <f>IFERROR(__xludf.DUMMYFUNCTION("""COMPUTED_VALUE"""),"Garzota# 1 mz 16 villa17 Entrar por la mz del cangrejo -")</f>
        <v>Garzota# 1 mz 16 villa17 Entrar por la mz del cangrejo -</v>
      </c>
      <c r="P1000" s="65"/>
      <c r="Q1000" s="65" t="str">
        <f>IFERROR(__xludf.DUMMYFUNCTION("""COMPUTED_VALUE"""),"GINTRACOM")</f>
        <v>GINTRACOM</v>
      </c>
      <c r="R1000" s="65">
        <f>IFERROR(__xludf.DUMMYFUNCTION("""COMPUTED_VALUE"""),22.0)</f>
        <v>22</v>
      </c>
      <c r="S1000" s="65">
        <f>IFERROR(__xludf.DUMMYFUNCTION("""COMPUTED_VALUE"""),12.57)</f>
        <v>12.57</v>
      </c>
      <c r="T1000" s="65">
        <f>IFERROR(__xludf.DUMMYFUNCTION("""COMPUTED_VALUE"""),4.23)</f>
        <v>4.23</v>
      </c>
      <c r="U1000" s="65">
        <f>IFERROR(__xludf.DUMMYFUNCTION("""COMPUTED_VALUE"""),0.0)</f>
        <v>0</v>
      </c>
      <c r="V1000" s="65">
        <f>IFERROR(__xludf.DUMMYFUNCTION("""COMPUTED_VALUE"""),0.0)</f>
        <v>0</v>
      </c>
      <c r="W1000" s="65">
        <f>IFERROR(__xludf.DUMMYFUNCTION("""COMPUTED_VALUE"""),0.0)</f>
        <v>0</v>
      </c>
      <c r="X1000" s="65">
        <f>IFERROR(__xludf.DUMMYFUNCTION("""COMPUTED_VALUE"""),2.6)</f>
        <v>2.6</v>
      </c>
      <c r="Y1000" s="65">
        <f>IFERROR(__xludf.DUMMYFUNCTION("""COMPUTED_VALUE"""),5.2)</f>
        <v>5.2</v>
      </c>
      <c r="Z1000" s="65">
        <f>IFERROR(__xludf.DUMMYFUNCTION("""COMPUTED_VALUE"""),121983.0)</f>
        <v>121983</v>
      </c>
      <c r="AA1000" s="65" t="str">
        <f>IFERROR(__xludf.DUMMYFUNCTION("""COMPUTED_VALUE"""),"PROV-CHLLCF")</f>
        <v>PROV-CHLLCF</v>
      </c>
      <c r="AB1000" s="65"/>
      <c r="AC1000" s="65" t="str">
        <f>IFERROR(__xludf.DUMMYFUNCTION("""COMPUTED_VALUE"""),"CUCHILLO PARA CHEF")</f>
        <v>CUCHILLO PARA CHEF</v>
      </c>
      <c r="AD1000" s="65"/>
      <c r="AE1000" s="65">
        <f>IFERROR(__xludf.DUMMYFUNCTION("""COMPUTED_VALUE"""),2.0)</f>
        <v>2</v>
      </c>
      <c r="AF1000" s="65"/>
      <c r="AG1000" s="65"/>
      <c r="AH1000" s="65"/>
      <c r="AI1000" s="65"/>
      <c r="AJ1000" s="65"/>
      <c r="AK1000" s="65"/>
      <c r="AL1000" s="65"/>
      <c r="AM1000" s="65"/>
      <c r="AN1000" s="65" t="str">
        <f>IFERROR(__xludf.DUMMYFUNCTION("""COMPUTED_VALUE"""),"16:21")</f>
        <v>16:21</v>
      </c>
      <c r="AO1000" s="65" t="str">
        <f>IFERROR(__xludf.DUMMYFUNCTION("""COMPUTED_VALUE"""),"11-02-2026")</f>
        <v>11-02-2026</v>
      </c>
      <c r="AP1000" s="65" t="str">
        <f>IFERROR(__xludf.DUMMYFUNCTION("""COMPUTED_VALUE"""),"ENTREGADA GINTRACOM")</f>
        <v>ENTREGADA GINTRACOM</v>
      </c>
      <c r="AQ1000" s="65" t="str">
        <f>IFERROR(__xludf.DUMMYFUNCTION("""COMPUTED_VALUE"""),"ENTREGADA GINTRACOM")</f>
        <v>ENTREGADA GINTRACOM</v>
      </c>
      <c r="AR1000" s="65"/>
      <c r="AS1000" s="65"/>
      <c r="AT1000" s="65" t="str">
        <f>IFERROR(__xludf.DUMMYFUNCTION("""COMPUTED_VALUE"""),"SHOPIFY")</f>
        <v>SHOPIFY</v>
      </c>
      <c r="AU1000" s="65" t="str">
        <f>IFERROR(__xludf.DUMMYFUNCTION("""COMPUTED_VALUE"""),"IMPORTEX EC")</f>
        <v>IMPORTEX EC</v>
      </c>
      <c r="AV1000" s="65" t="str">
        <f>IFERROR(__xludf.DUMMYFUNCTION("""COMPUTED_VALUE"""),"6483119439916")</f>
        <v>6483119439916</v>
      </c>
      <c r="AW1000" s="65">
        <f>IFERROR(__xludf.DUMMYFUNCTION("""COMPUTED_VALUE"""),5885.0)</f>
        <v>5885</v>
      </c>
      <c r="AX1000" s="65"/>
      <c r="AY1000" s="65" t="str">
        <f>IFERROR(__xludf.DUMMYFUNCTION("""COMPUTED_VALUE"""),"10/02/2026")</f>
        <v>10/02/2026</v>
      </c>
      <c r="AZ1000" s="65"/>
      <c r="BA1000" s="65"/>
    </row>
    <row r="1001">
      <c r="A1001" s="65" t="str">
        <f>IFERROR(__xludf.DUMMYFUNCTION("""COMPUTED_VALUE"""),"27-03-2026")</f>
        <v>27-03-2026</v>
      </c>
      <c r="B1001" s="65">
        <f>IFERROR(__xludf.DUMMYFUNCTION("""COMPUTED_VALUE"""),4431991.0)</f>
        <v>4431991</v>
      </c>
      <c r="C1001" s="65" t="str">
        <f>IFERROR(__xludf.DUMMYFUNCTION("""COMPUTED_VALUE"""),"16:37")</f>
        <v>16:37</v>
      </c>
      <c r="D1001" s="65" t="str">
        <f>IFERROR(__xludf.DUMMYFUNCTION("""COMPUTED_VALUE"""),"07-02-2026")</f>
        <v>07-02-2026</v>
      </c>
      <c r="E1001" s="65" t="str">
        <f>IFERROR(__xludf.DUMMYFUNCTION("""COMPUTED_VALUE"""),"Raul Guerrero")</f>
        <v>Raul Guerrero</v>
      </c>
      <c r="F1001" s="65" t="str">
        <f>IFERROR(__xludf.DUMMYFUNCTION("""COMPUTED_VALUE"""),"998156711")</f>
        <v>998156711</v>
      </c>
      <c r="G1001" s="65" t="str">
        <f>IFERROR(__xludf.DUMMYFUNCTION("""COMPUTED_VALUE"""),"raulguerreroalvarez1@gmail.com")</f>
        <v>raulguerreroalvarez1@gmail.com</v>
      </c>
      <c r="H1001" s="65"/>
      <c r="I1001" s="65"/>
      <c r="J1001" s="65" t="str">
        <f>IFERROR(__xludf.DUMMYFUNCTION("""COMPUTED_VALUE"""),"D001315176")</f>
        <v>D001315176</v>
      </c>
      <c r="K1001" s="65" t="str">
        <f>IFERROR(__xludf.DUMMYFUNCTION("""COMPUTED_VALUE"""),"DEVOLUCION")</f>
        <v>DEVOLUCION</v>
      </c>
      <c r="L1001" s="65" t="str">
        <f>IFERROR(__xludf.DUMMYFUNCTION("""COMPUTED_VALUE"""),"CON RECAUDO")</f>
        <v>CON RECAUDO</v>
      </c>
      <c r="M1001" s="65" t="str">
        <f>IFERROR(__xludf.DUMMYFUNCTION("""COMPUTED_VALUE"""),"AZUAY")</f>
        <v>AZUAY</v>
      </c>
      <c r="N1001" s="65" t="str">
        <f>IFERROR(__xludf.DUMMYFUNCTION("""COMPUTED_VALUE"""),"CUENCA")</f>
        <v>CUENCA</v>
      </c>
      <c r="O1001" s="65" t="str">
        <f>IFERROR(__xludf.DUMMYFUNCTION("""COMPUTED_VALUE"""),"Calle comercio y el Norte esquina Monay -")</f>
        <v>Calle comercio y el Norte esquina Monay -</v>
      </c>
      <c r="P1001" s="65"/>
      <c r="Q1001" s="65" t="str">
        <f>IFERROR(__xludf.DUMMYFUNCTION("""COMPUTED_VALUE"""),"GINTRACOM")</f>
        <v>GINTRACOM</v>
      </c>
      <c r="R1001" s="65">
        <f>IFERROR(__xludf.DUMMYFUNCTION("""COMPUTED_VALUE"""),32.0)</f>
        <v>32</v>
      </c>
      <c r="S1001" s="65"/>
      <c r="T1001" s="65">
        <f>IFERROR(__xludf.DUMMYFUNCTION("""COMPUTED_VALUE"""),6.24)</f>
        <v>6.24</v>
      </c>
      <c r="U1001" s="65">
        <f>IFERROR(__xludf.DUMMYFUNCTION("""COMPUTED_VALUE"""),0.0)</f>
        <v>0</v>
      </c>
      <c r="V1001" s="65">
        <f>IFERROR(__xludf.DUMMYFUNCTION("""COMPUTED_VALUE"""),0.0)</f>
        <v>0</v>
      </c>
      <c r="W1001" s="65">
        <f>IFERROR(__xludf.DUMMYFUNCTION("""COMPUTED_VALUE"""),0.0)</f>
        <v>0</v>
      </c>
      <c r="X1001" s="65">
        <f>IFERROR(__xludf.DUMMYFUNCTION("""COMPUTED_VALUE"""),2.6)</f>
        <v>2.6</v>
      </c>
      <c r="Y1001" s="65">
        <f>IFERROR(__xludf.DUMMYFUNCTION("""COMPUTED_VALUE"""),10.4)</f>
        <v>10.4</v>
      </c>
      <c r="Z1001" s="65">
        <f>IFERROR(__xludf.DUMMYFUNCTION("""COMPUTED_VALUE"""),121983.0)</f>
        <v>121983</v>
      </c>
      <c r="AA1001" s="65" t="str">
        <f>IFERROR(__xludf.DUMMYFUNCTION("""COMPUTED_VALUE"""),"PROV-CHLLCF")</f>
        <v>PROV-CHLLCF</v>
      </c>
      <c r="AB1001" s="65"/>
      <c r="AC1001" s="65" t="str">
        <f>IFERROR(__xludf.DUMMYFUNCTION("""COMPUTED_VALUE"""),"CUCHILLO PARA CHEF")</f>
        <v>CUCHILLO PARA CHEF</v>
      </c>
      <c r="AD1001" s="65"/>
      <c r="AE1001" s="65">
        <f>IFERROR(__xludf.DUMMYFUNCTION("""COMPUTED_VALUE"""),4.0)</f>
        <v>4</v>
      </c>
      <c r="AF1001" s="65" t="str">
        <f>IFERROR(__xludf.DUMMYFUNCTION("""COMPUTED_VALUE"""),"DESTINATARIO INDICA QUE NO ES EL PRODUCTO QUE SOLICITÓ")</f>
        <v>DESTINATARIO INDICA QUE NO ES EL PRODUCTO QUE SOLICITÓ</v>
      </c>
      <c r="AG1001" s="65" t="str">
        <f>IFERROR(__xludf.DUMMYFUNCTION("""COMPUTED_VALUE"""),"NO")</f>
        <v>NO</v>
      </c>
      <c r="AH1001" s="65" t="str">
        <f>IFERROR(__xludf.DUMMYFUNCTION("""COMPUTED_VALUE"""),"18:29")</f>
        <v>18:29</v>
      </c>
      <c r="AI1001" s="65" t="str">
        <f>IFERROR(__xludf.DUMMYFUNCTION("""COMPUTED_VALUE"""),"12-02-2026")</f>
        <v>12-02-2026</v>
      </c>
      <c r="AJ1001" s="65"/>
      <c r="AK1001" s="65"/>
      <c r="AL1001" s="65"/>
      <c r="AM1001" s="65"/>
      <c r="AN1001" s="65" t="str">
        <f>IFERROR(__xludf.DUMMYFUNCTION("""COMPUTED_VALUE"""),"10:38")</f>
        <v>10:38</v>
      </c>
      <c r="AO1001" s="65" t="str">
        <f>IFERROR(__xludf.DUMMYFUNCTION("""COMPUTED_VALUE"""),"17-03-2026")</f>
        <v>17-03-2026</v>
      </c>
      <c r="AP1001" s="65" t="str">
        <f>IFERROR(__xludf.DUMMYFUNCTION("""COMPUTED_VALUE"""),"DEV CONFIRMADA POR BODEGA")</f>
        <v>DEV CONFIRMADA POR BODEGA</v>
      </c>
      <c r="AQ1001" s="65"/>
      <c r="AR1001" s="65" t="str">
        <f>IFERROR(__xludf.DUMMYFUNCTION("""COMPUTED_VALUE"""),"Gestionado por: PROVEDIX DAMIAN, email:enviogratisdirecto@gmail.com, total de productos en la orden: 1")</f>
        <v>Gestionado por: PROVEDIX DAMIAN, email:enviogratisdirecto@gmail.com, total de productos en la orden: 1</v>
      </c>
      <c r="AS1001" s="65"/>
      <c r="AT1001" s="65" t="str">
        <f>IFERROR(__xludf.DUMMYFUNCTION("""COMPUTED_VALUE"""),"SHOPIFY")</f>
        <v>SHOPIFY</v>
      </c>
      <c r="AU1001" s="65" t="str">
        <f>IFERROR(__xludf.DUMMYFUNCTION("""COMPUTED_VALUE"""),"IMPORTEX EC")</f>
        <v>IMPORTEX EC</v>
      </c>
      <c r="AV1001" s="65" t="str">
        <f>IFERROR(__xludf.DUMMYFUNCTION("""COMPUTED_VALUE"""),"6483320602668")</f>
        <v>6483320602668</v>
      </c>
      <c r="AW1001" s="65">
        <f>IFERROR(__xludf.DUMMYFUNCTION("""COMPUTED_VALUE"""),5891.0)</f>
        <v>5891</v>
      </c>
      <c r="AX1001" s="65"/>
      <c r="AY1001" s="65" t="str">
        <f>IFERROR(__xludf.DUMMYFUNCTION("""COMPUTED_VALUE"""),"10/02/2026")</f>
        <v>10/02/2026</v>
      </c>
      <c r="AZ1001" s="65"/>
      <c r="BA1001" s="65"/>
    </row>
    <row r="1002">
      <c r="A1002" s="65" t="str">
        <f>IFERROR(__xludf.DUMMYFUNCTION("""COMPUTED_VALUE"""),"27-03-2026")</f>
        <v>27-03-2026</v>
      </c>
      <c r="B1002" s="65">
        <f>IFERROR(__xludf.DUMMYFUNCTION("""COMPUTED_VALUE"""),4431989.0)</f>
        <v>4431989</v>
      </c>
      <c r="C1002" s="65" t="str">
        <f>IFERROR(__xludf.DUMMYFUNCTION("""COMPUTED_VALUE"""),"16:37")</f>
        <v>16:37</v>
      </c>
      <c r="D1002" s="65" t="str">
        <f>IFERROR(__xludf.DUMMYFUNCTION("""COMPUTED_VALUE"""),"07-02-2026")</f>
        <v>07-02-2026</v>
      </c>
      <c r="E1002" s="65" t="str">
        <f>IFERROR(__xludf.DUMMYFUNCTION("""COMPUTED_VALUE"""),"Norma Sánchez")</f>
        <v>Norma Sánchez</v>
      </c>
      <c r="F1002" s="65" t="str">
        <f>IFERROR(__xludf.DUMMYFUNCTION("""COMPUTED_VALUE"""),"984628570")</f>
        <v>984628570</v>
      </c>
      <c r="G1002" s="65" t="str">
        <f>IFERROR(__xludf.DUMMYFUNCTION("""COMPUTED_VALUE"""),"norma_051962@hotnmail.com")</f>
        <v>norma_051962@hotnmail.com</v>
      </c>
      <c r="H1002" s="65"/>
      <c r="I1002" s="65"/>
      <c r="J1002" s="65" t="str">
        <f>IFERROR(__xludf.DUMMYFUNCTION("""COMPUTED_VALUE"""),"D001315177")</f>
        <v>D001315177</v>
      </c>
      <c r="K1002" s="65" t="str">
        <f>IFERROR(__xludf.DUMMYFUNCTION("""COMPUTED_VALUE"""),"ENTREGADO")</f>
        <v>ENTREGADO</v>
      </c>
      <c r="L1002" s="65" t="str">
        <f>IFERROR(__xludf.DUMMYFUNCTION("""COMPUTED_VALUE"""),"CON RECAUDO")</f>
        <v>CON RECAUDO</v>
      </c>
      <c r="M1002" s="65" t="str">
        <f>IFERROR(__xludf.DUMMYFUNCTION("""COMPUTED_VALUE"""),"TUNGURAHUA")</f>
        <v>TUNGURAHUA</v>
      </c>
      <c r="N1002" s="65" t="str">
        <f>IFERROR(__xludf.DUMMYFUNCTION("""COMPUTED_VALUE"""),"AMBATO")</f>
        <v>AMBATO</v>
      </c>
      <c r="O1002" s="65" t="str">
        <f>IFERROR(__xludf.DUMMYFUNCTION("""COMPUTED_VALUE"""),"Calle llimpe y camino el rey S la vuelta de almacén el motor -")</f>
        <v>Calle llimpe y camino el rey S la vuelta de almacén el motor -</v>
      </c>
      <c r="P1002" s="65"/>
      <c r="Q1002" s="65" t="str">
        <f>IFERROR(__xludf.DUMMYFUNCTION("""COMPUTED_VALUE"""),"GINTRACOM")</f>
        <v>GINTRACOM</v>
      </c>
      <c r="R1002" s="65">
        <f>IFERROR(__xludf.DUMMYFUNCTION("""COMPUTED_VALUE"""),22.0)</f>
        <v>22</v>
      </c>
      <c r="S1002" s="65">
        <f>IFERROR(__xludf.DUMMYFUNCTION("""COMPUTED_VALUE"""),10.96)</f>
        <v>10.96</v>
      </c>
      <c r="T1002" s="65">
        <f>IFERROR(__xludf.DUMMYFUNCTION("""COMPUTED_VALUE"""),5.84)</f>
        <v>5.84</v>
      </c>
      <c r="U1002" s="65">
        <f>IFERROR(__xludf.DUMMYFUNCTION("""COMPUTED_VALUE"""),0.0)</f>
        <v>0</v>
      </c>
      <c r="V1002" s="65">
        <f>IFERROR(__xludf.DUMMYFUNCTION("""COMPUTED_VALUE"""),0.0)</f>
        <v>0</v>
      </c>
      <c r="W1002" s="65">
        <f>IFERROR(__xludf.DUMMYFUNCTION("""COMPUTED_VALUE"""),0.0)</f>
        <v>0</v>
      </c>
      <c r="X1002" s="65">
        <f>IFERROR(__xludf.DUMMYFUNCTION("""COMPUTED_VALUE"""),2.6)</f>
        <v>2.6</v>
      </c>
      <c r="Y1002" s="65">
        <f>IFERROR(__xludf.DUMMYFUNCTION("""COMPUTED_VALUE"""),5.2)</f>
        <v>5.2</v>
      </c>
      <c r="Z1002" s="65">
        <f>IFERROR(__xludf.DUMMYFUNCTION("""COMPUTED_VALUE"""),121983.0)</f>
        <v>121983</v>
      </c>
      <c r="AA1002" s="65" t="str">
        <f>IFERROR(__xludf.DUMMYFUNCTION("""COMPUTED_VALUE"""),"PROV-CHLLCF")</f>
        <v>PROV-CHLLCF</v>
      </c>
      <c r="AB1002" s="65"/>
      <c r="AC1002" s="65" t="str">
        <f>IFERROR(__xludf.DUMMYFUNCTION("""COMPUTED_VALUE"""),"CUCHILLO PARA CHEF")</f>
        <v>CUCHILLO PARA CHEF</v>
      </c>
      <c r="AD1002" s="65"/>
      <c r="AE1002" s="65">
        <f>IFERROR(__xludf.DUMMYFUNCTION("""COMPUTED_VALUE"""),2.0)</f>
        <v>2</v>
      </c>
      <c r="AF1002" s="65"/>
      <c r="AG1002" s="65"/>
      <c r="AH1002" s="65"/>
      <c r="AI1002" s="65"/>
      <c r="AJ1002" s="65"/>
      <c r="AK1002" s="65"/>
      <c r="AL1002" s="65"/>
      <c r="AM1002" s="65"/>
      <c r="AN1002" s="65" t="str">
        <f>IFERROR(__xludf.DUMMYFUNCTION("""COMPUTED_VALUE"""),"08:47")</f>
        <v>08:47</v>
      </c>
      <c r="AO1002" s="65" t="str">
        <f>IFERROR(__xludf.DUMMYFUNCTION("""COMPUTED_VALUE"""),"12-02-2026")</f>
        <v>12-02-2026</v>
      </c>
      <c r="AP1002" s="65" t="str">
        <f>IFERROR(__xludf.DUMMYFUNCTION("""COMPUTED_VALUE"""),"EN REPARTO")</f>
        <v>EN REPARTO</v>
      </c>
      <c r="AQ1002" s="65" t="str">
        <f>IFERROR(__xludf.DUMMYFUNCTION("""COMPUTED_VALUE"""),"EN REPARTO")</f>
        <v>EN REPARTO</v>
      </c>
      <c r="AR1002" s="65"/>
      <c r="AS1002" s="65"/>
      <c r="AT1002" s="65" t="str">
        <f>IFERROR(__xludf.DUMMYFUNCTION("""COMPUTED_VALUE"""),"SHOPIFY")</f>
        <v>SHOPIFY</v>
      </c>
      <c r="AU1002" s="65" t="str">
        <f>IFERROR(__xludf.DUMMYFUNCTION("""COMPUTED_VALUE"""),"IMPORTEX EC")</f>
        <v>IMPORTEX EC</v>
      </c>
      <c r="AV1002" s="65" t="str">
        <f>IFERROR(__xludf.DUMMYFUNCTION("""COMPUTED_VALUE"""),"6483323846700")</f>
        <v>6483323846700</v>
      </c>
      <c r="AW1002" s="65">
        <f>IFERROR(__xludf.DUMMYFUNCTION("""COMPUTED_VALUE"""),5892.0)</f>
        <v>5892</v>
      </c>
      <c r="AX1002" s="65"/>
      <c r="AY1002" s="65" t="str">
        <f>IFERROR(__xludf.DUMMYFUNCTION("""COMPUTED_VALUE"""),"10/02/2026")</f>
        <v>10/02/2026</v>
      </c>
      <c r="AZ1002" s="65"/>
      <c r="BA1002" s="65"/>
    </row>
    <row r="1003">
      <c r="A1003" s="65" t="str">
        <f>IFERROR(__xludf.DUMMYFUNCTION("""COMPUTED_VALUE"""),"27-03-2026")</f>
        <v>27-03-2026</v>
      </c>
      <c r="B1003" s="65">
        <f>IFERROR(__xludf.DUMMYFUNCTION("""COMPUTED_VALUE"""),4431988.0)</f>
        <v>4431988</v>
      </c>
      <c r="C1003" s="65" t="str">
        <f>IFERROR(__xludf.DUMMYFUNCTION("""COMPUTED_VALUE"""),"16:37")</f>
        <v>16:37</v>
      </c>
      <c r="D1003" s="65" t="str">
        <f>IFERROR(__xludf.DUMMYFUNCTION("""COMPUTED_VALUE"""),"07-02-2026")</f>
        <v>07-02-2026</v>
      </c>
      <c r="E1003" s="65" t="str">
        <f>IFERROR(__xludf.DUMMYFUNCTION("""COMPUTED_VALUE"""),"Isabel Velásquez Reyes")</f>
        <v>Isabel Velásquez Reyes</v>
      </c>
      <c r="F1003" s="65" t="str">
        <f>IFERROR(__xludf.DUMMYFUNCTION("""COMPUTED_VALUE"""),"960153694")</f>
        <v>960153694</v>
      </c>
      <c r="G1003" s="65" t="str">
        <f>IFERROR(__xludf.DUMMYFUNCTION("""COMPUTED_VALUE"""),"rodrocueva@hotmail.com")</f>
        <v>rodrocueva@hotmail.com</v>
      </c>
      <c r="H1003" s="65"/>
      <c r="I1003" s="65"/>
      <c r="J1003" s="65" t="str">
        <f>IFERROR(__xludf.DUMMYFUNCTION("""COMPUTED_VALUE"""),"D001315178")</f>
        <v>D001315178</v>
      </c>
      <c r="K1003" s="65" t="str">
        <f>IFERROR(__xludf.DUMMYFUNCTION("""COMPUTED_VALUE"""),"ENTREGADO")</f>
        <v>ENTREGADO</v>
      </c>
      <c r="L1003" s="65" t="str">
        <f>IFERROR(__xludf.DUMMYFUNCTION("""COMPUTED_VALUE"""),"CON RECAUDO")</f>
        <v>CON RECAUDO</v>
      </c>
      <c r="M1003" s="65" t="str">
        <f>IFERROR(__xludf.DUMMYFUNCTION("""COMPUTED_VALUE"""),"PICHINCHA")</f>
        <v>PICHINCHA</v>
      </c>
      <c r="N1003" s="65" t="str">
        <f>IFERROR(__xludf.DUMMYFUNCTION("""COMPUTED_VALUE"""),"TUMBACO")</f>
        <v>TUMBACO</v>
      </c>
      <c r="O1003" s="65" t="str">
        <f>IFERROR(__xludf.DUMMYFUNCTION("""COMPUTED_VALUE"""),"José María Vargas N4-31 frente al reservorio de Cumbaya Casa Blanca con letrero Provefabric")</f>
        <v>José María Vargas N4-31 frente al reservorio de Cumbaya Casa Blanca con letrero Provefabric</v>
      </c>
      <c r="P1003" s="65"/>
      <c r="Q1003" s="65" t="str">
        <f>IFERROR(__xludf.DUMMYFUNCTION("""COMPUTED_VALUE"""),"GINTRACOM")</f>
        <v>GINTRACOM</v>
      </c>
      <c r="R1003" s="65">
        <f>IFERROR(__xludf.DUMMYFUNCTION("""COMPUTED_VALUE"""),22.0)</f>
        <v>22</v>
      </c>
      <c r="S1003" s="65">
        <f>IFERROR(__xludf.DUMMYFUNCTION("""COMPUTED_VALUE"""),10.96)</f>
        <v>10.96</v>
      </c>
      <c r="T1003" s="65">
        <f>IFERROR(__xludf.DUMMYFUNCTION("""COMPUTED_VALUE"""),5.84)</f>
        <v>5.84</v>
      </c>
      <c r="U1003" s="65">
        <f>IFERROR(__xludf.DUMMYFUNCTION("""COMPUTED_VALUE"""),0.0)</f>
        <v>0</v>
      </c>
      <c r="V1003" s="65">
        <f>IFERROR(__xludf.DUMMYFUNCTION("""COMPUTED_VALUE"""),0.0)</f>
        <v>0</v>
      </c>
      <c r="W1003" s="65">
        <f>IFERROR(__xludf.DUMMYFUNCTION("""COMPUTED_VALUE"""),0.0)</f>
        <v>0</v>
      </c>
      <c r="X1003" s="65">
        <f>IFERROR(__xludf.DUMMYFUNCTION("""COMPUTED_VALUE"""),2.6)</f>
        <v>2.6</v>
      </c>
      <c r="Y1003" s="65">
        <f>IFERROR(__xludf.DUMMYFUNCTION("""COMPUTED_VALUE"""),5.2)</f>
        <v>5.2</v>
      </c>
      <c r="Z1003" s="65">
        <f>IFERROR(__xludf.DUMMYFUNCTION("""COMPUTED_VALUE"""),121983.0)</f>
        <v>121983</v>
      </c>
      <c r="AA1003" s="65" t="str">
        <f>IFERROR(__xludf.DUMMYFUNCTION("""COMPUTED_VALUE"""),"PROV-CHLLCF")</f>
        <v>PROV-CHLLCF</v>
      </c>
      <c r="AB1003" s="65"/>
      <c r="AC1003" s="65" t="str">
        <f>IFERROR(__xludf.DUMMYFUNCTION("""COMPUTED_VALUE"""),"CUCHILLO PARA CHEF")</f>
        <v>CUCHILLO PARA CHEF</v>
      </c>
      <c r="AD1003" s="65"/>
      <c r="AE1003" s="65">
        <f>IFERROR(__xludf.DUMMYFUNCTION("""COMPUTED_VALUE"""),2.0)</f>
        <v>2</v>
      </c>
      <c r="AF1003" s="65"/>
      <c r="AG1003" s="65"/>
      <c r="AH1003" s="65"/>
      <c r="AI1003" s="65"/>
      <c r="AJ1003" s="65"/>
      <c r="AK1003" s="65"/>
      <c r="AL1003" s="65"/>
      <c r="AM1003" s="65"/>
      <c r="AN1003" s="65" t="str">
        <f>IFERROR(__xludf.DUMMYFUNCTION("""COMPUTED_VALUE"""),"12:35")</f>
        <v>12:35</v>
      </c>
      <c r="AO1003" s="65" t="str">
        <f>IFERROR(__xludf.DUMMYFUNCTION("""COMPUTED_VALUE"""),"14-02-2026")</f>
        <v>14-02-2026</v>
      </c>
      <c r="AP1003" s="65" t="str">
        <f>IFERROR(__xludf.DUMMYFUNCTION("""COMPUTED_VALUE"""),"ENTREGADA GINTRACOM")</f>
        <v>ENTREGADA GINTRACOM</v>
      </c>
      <c r="AQ1003" s="65" t="str">
        <f>IFERROR(__xludf.DUMMYFUNCTION("""COMPUTED_VALUE"""),"ENTREGADA GINTRACOM")</f>
        <v>ENTREGADA GINTRACOM</v>
      </c>
      <c r="AR1003" s="65"/>
      <c r="AS1003" s="65"/>
      <c r="AT1003" s="65" t="str">
        <f>IFERROR(__xludf.DUMMYFUNCTION("""COMPUTED_VALUE"""),"SHOPIFY")</f>
        <v>SHOPIFY</v>
      </c>
      <c r="AU1003" s="65" t="str">
        <f>IFERROR(__xludf.DUMMYFUNCTION("""COMPUTED_VALUE"""),"IMPORTEX EC")</f>
        <v>IMPORTEX EC</v>
      </c>
      <c r="AV1003" s="65" t="str">
        <f>IFERROR(__xludf.DUMMYFUNCTION("""COMPUTED_VALUE"""),"6483330695212")</f>
        <v>6483330695212</v>
      </c>
      <c r="AW1003" s="65">
        <f>IFERROR(__xludf.DUMMYFUNCTION("""COMPUTED_VALUE"""),5893.0)</f>
        <v>5893</v>
      </c>
      <c r="AX1003" s="65"/>
      <c r="AY1003" s="65" t="str">
        <f>IFERROR(__xludf.DUMMYFUNCTION("""COMPUTED_VALUE"""),"10/02/2026")</f>
        <v>10/02/2026</v>
      </c>
      <c r="AZ1003" s="65"/>
      <c r="BA1003" s="65"/>
    </row>
    <row r="1004">
      <c r="A1004" s="65" t="str">
        <f>IFERROR(__xludf.DUMMYFUNCTION("""COMPUTED_VALUE"""),"27-03-2026")</f>
        <v>27-03-2026</v>
      </c>
      <c r="B1004" s="65">
        <f>IFERROR(__xludf.DUMMYFUNCTION("""COMPUTED_VALUE"""),4422094.0)</f>
        <v>4422094</v>
      </c>
      <c r="C1004" s="65" t="str">
        <f>IFERROR(__xludf.DUMMYFUNCTION("""COMPUTED_VALUE"""),"17:31")</f>
        <v>17:31</v>
      </c>
      <c r="D1004" s="65" t="str">
        <f>IFERROR(__xludf.DUMMYFUNCTION("""COMPUTED_VALUE"""),"06-02-2026")</f>
        <v>06-02-2026</v>
      </c>
      <c r="E1004" s="65" t="str">
        <f>IFERROR(__xludf.DUMMYFUNCTION("""COMPUTED_VALUE"""),"Walter ballesteros")</f>
        <v>Walter ballesteros</v>
      </c>
      <c r="F1004" s="65" t="str">
        <f>IFERROR(__xludf.DUMMYFUNCTION("""COMPUTED_VALUE"""),"996117892")</f>
        <v>996117892</v>
      </c>
      <c r="G1004" s="65"/>
      <c r="H1004" s="65"/>
      <c r="I1004" s="65"/>
      <c r="J1004" s="65" t="str">
        <f>IFERROR(__xludf.DUMMYFUNCTION("""COMPUTED_VALUE"""),"V4002231738")</f>
        <v>V4002231738</v>
      </c>
      <c r="K1004" s="65" t="str">
        <f>IFERROR(__xludf.DUMMYFUNCTION("""COMPUTED_VALUE"""),"ENTREGADO")</f>
        <v>ENTREGADO</v>
      </c>
      <c r="L1004" s="65" t="str">
        <f>IFERROR(__xludf.DUMMYFUNCTION("""COMPUTED_VALUE"""),"CON RECAUDO")</f>
        <v>CON RECAUDO</v>
      </c>
      <c r="M1004" s="65" t="str">
        <f>IFERROR(__xludf.DUMMYFUNCTION("""COMPUTED_VALUE"""),"PICHINCHA")</f>
        <v>PICHINCHA</v>
      </c>
      <c r="N1004" s="65" t="str">
        <f>IFERROR(__xludf.DUMMYFUNCTION("""COMPUTED_VALUE"""),"QUITO")</f>
        <v>QUITO</v>
      </c>
      <c r="O1004" s="65" t="str">
        <f>IFERROR(__xludf.DUMMYFUNCTION("""COMPUTED_VALUE"""),"Peaje.S29_D oe1189 y Esteban Alonso , SECTOR CHILLOGALLO ,")</f>
        <v>Peaje.S29_D oe1189 y Esteban Alonso , SECTOR CHILLOGALLO ,</v>
      </c>
      <c r="P1004" s="65"/>
      <c r="Q1004" s="65" t="str">
        <f>IFERROR(__xludf.DUMMYFUNCTION("""COMPUTED_VALUE"""),"VELOCES")</f>
        <v>VELOCES</v>
      </c>
      <c r="R1004" s="65">
        <f>IFERROR(__xludf.DUMMYFUNCTION("""COMPUTED_VALUE"""),27.0)</f>
        <v>27</v>
      </c>
      <c r="S1004" s="65">
        <f>IFERROR(__xludf.DUMMYFUNCTION("""COMPUTED_VALUE"""),13.29)</f>
        <v>13.29</v>
      </c>
      <c r="T1004" s="65">
        <f>IFERROR(__xludf.DUMMYFUNCTION("""COMPUTED_VALUE"""),5.91)</f>
        <v>5.91</v>
      </c>
      <c r="U1004" s="65">
        <f>IFERROR(__xludf.DUMMYFUNCTION("""COMPUTED_VALUE"""),0.0)</f>
        <v>0</v>
      </c>
      <c r="V1004" s="65">
        <f>IFERROR(__xludf.DUMMYFUNCTION("""COMPUTED_VALUE"""),0.0)</f>
        <v>0</v>
      </c>
      <c r="W1004" s="65">
        <f>IFERROR(__xludf.DUMMYFUNCTION("""COMPUTED_VALUE"""),0.0)</f>
        <v>0</v>
      </c>
      <c r="X1004" s="65">
        <f>IFERROR(__xludf.DUMMYFUNCTION("""COMPUTED_VALUE"""),2.6)</f>
        <v>2.6</v>
      </c>
      <c r="Y1004" s="65">
        <f>IFERROR(__xludf.DUMMYFUNCTION("""COMPUTED_VALUE"""),7.8)</f>
        <v>7.8</v>
      </c>
      <c r="Z1004" s="65">
        <f>IFERROR(__xludf.DUMMYFUNCTION("""COMPUTED_VALUE"""),121983.0)</f>
        <v>121983</v>
      </c>
      <c r="AA1004" s="65" t="str">
        <f>IFERROR(__xludf.DUMMYFUNCTION("""COMPUTED_VALUE"""),"PROV-CHLLCF")</f>
        <v>PROV-CHLLCF</v>
      </c>
      <c r="AB1004" s="65"/>
      <c r="AC1004" s="65" t="str">
        <f>IFERROR(__xludf.DUMMYFUNCTION("""COMPUTED_VALUE"""),"CUCHILLO PARA CHEF")</f>
        <v>CUCHILLO PARA CHEF</v>
      </c>
      <c r="AD1004" s="65"/>
      <c r="AE1004" s="65">
        <f>IFERROR(__xludf.DUMMYFUNCTION("""COMPUTED_VALUE"""),3.0)</f>
        <v>3</v>
      </c>
      <c r="AF1004" s="65"/>
      <c r="AG1004" s="65"/>
      <c r="AH1004" s="65"/>
      <c r="AI1004" s="65"/>
      <c r="AJ1004" s="65"/>
      <c r="AK1004" s="65"/>
      <c r="AL1004" s="65"/>
      <c r="AM1004" s="65"/>
      <c r="AN1004" s="65"/>
      <c r="AO1004" s="65"/>
      <c r="AP1004" s="65"/>
      <c r="AQ1004" s="65"/>
      <c r="AR1004" s="65"/>
      <c r="AS1004" s="65"/>
      <c r="AT1004" s="65"/>
      <c r="AU1004" s="65"/>
      <c r="AV1004" s="65"/>
      <c r="AW1004" s="65"/>
      <c r="AX1004" s="65"/>
      <c r="AY1004" s="65" t="str">
        <f>IFERROR(__xludf.DUMMYFUNCTION("""COMPUTED_VALUE"""),"11/02/2026")</f>
        <v>11/02/2026</v>
      </c>
      <c r="AZ1004" s="65"/>
      <c r="BA1004" s="65"/>
    </row>
    <row r="1005">
      <c r="A1005" s="65" t="str">
        <f>IFERROR(__xludf.DUMMYFUNCTION("""COMPUTED_VALUE"""),"27-03-2026")</f>
        <v>27-03-2026</v>
      </c>
      <c r="B1005" s="65">
        <f>IFERROR(__xludf.DUMMYFUNCTION("""COMPUTED_VALUE"""),4421918.0)</f>
        <v>4421918</v>
      </c>
      <c r="C1005" s="65" t="str">
        <f>IFERROR(__xludf.DUMMYFUNCTION("""COMPUTED_VALUE"""),"17:15")</f>
        <v>17:15</v>
      </c>
      <c r="D1005" s="65" t="str">
        <f>IFERROR(__xludf.DUMMYFUNCTION("""COMPUTED_VALUE"""),"06-02-2026")</f>
        <v>06-02-2026</v>
      </c>
      <c r="E1005" s="65" t="str">
        <f>IFERROR(__xludf.DUMMYFUNCTION("""COMPUTED_VALUE"""),"Daniel Humberto Albán Arias")</f>
        <v>Daniel Humberto Albán Arias</v>
      </c>
      <c r="F1005" s="65" t="str">
        <f>IFERROR(__xludf.DUMMYFUNCTION("""COMPUTED_VALUE"""),"980688709")</f>
        <v>980688709</v>
      </c>
      <c r="G1005" s="65" t="str">
        <f>IFERROR(__xludf.DUMMYFUNCTION("""COMPUTED_VALUE"""),"alban.daniel0200@gmail.com")</f>
        <v>alban.daniel0200@gmail.com</v>
      </c>
      <c r="H1005" s="65"/>
      <c r="I1005" s="65"/>
      <c r="J1005" s="65"/>
      <c r="K1005" s="65" t="str">
        <f>IFERROR(__xludf.DUMMYFUNCTION("""COMPUTED_VALUE"""),"CANCELADO")</f>
        <v>CANCELADO</v>
      </c>
      <c r="L1005" s="65" t="str">
        <f>IFERROR(__xludf.DUMMYFUNCTION("""COMPUTED_VALUE"""),"CON RECAUDO")</f>
        <v>CON RECAUDO</v>
      </c>
      <c r="M1005" s="65" t="str">
        <f>IFERROR(__xludf.DUMMYFUNCTION("""COMPUTED_VALUE"""),"ORELLANA")</f>
        <v>ORELLANA</v>
      </c>
      <c r="N1005" s="65" t="str">
        <f>IFERROR(__xludf.DUMMYFUNCTION("""COMPUTED_VALUE"""),"JOYA DE LOS SACHAS")</f>
        <v>JOYA DE LOS SACHAS</v>
      </c>
      <c r="O1005" s="65" t="str">
        <f>IFERROR(__xludf.DUMMYFUNCTION("""COMPUTED_VALUE"""),"Ayúdeme por serbi entrega del Avenida los Fundadores y Maris -")</f>
        <v>Ayúdeme por serbi entrega del Avenida los Fundadores y Maris -</v>
      </c>
      <c r="P1005" s="65"/>
      <c r="Q1005" s="65" t="str">
        <f>IFERROR(__xludf.DUMMYFUNCTION("""COMPUTED_VALUE"""),"GINTRACOM")</f>
        <v>GINTRACOM</v>
      </c>
      <c r="R1005" s="65">
        <f>IFERROR(__xludf.DUMMYFUNCTION("""COMPUTED_VALUE"""),27.0)</f>
        <v>27</v>
      </c>
      <c r="S1005" s="65"/>
      <c r="T1005" s="65">
        <f>IFERROR(__xludf.DUMMYFUNCTION("""COMPUTED_VALUE"""),6.03)</f>
        <v>6.03</v>
      </c>
      <c r="U1005" s="65">
        <f>IFERROR(__xludf.DUMMYFUNCTION("""COMPUTED_VALUE"""),0.0)</f>
        <v>0</v>
      </c>
      <c r="V1005" s="65">
        <f>IFERROR(__xludf.DUMMYFUNCTION("""COMPUTED_VALUE"""),0.0)</f>
        <v>0</v>
      </c>
      <c r="W1005" s="65">
        <f>IFERROR(__xludf.DUMMYFUNCTION("""COMPUTED_VALUE"""),0.0)</f>
        <v>0</v>
      </c>
      <c r="X1005" s="65">
        <f>IFERROR(__xludf.DUMMYFUNCTION("""COMPUTED_VALUE"""),2.6)</f>
        <v>2.6</v>
      </c>
      <c r="Y1005" s="65">
        <f>IFERROR(__xludf.DUMMYFUNCTION("""COMPUTED_VALUE"""),7.8)</f>
        <v>7.8</v>
      </c>
      <c r="Z1005" s="65">
        <f>IFERROR(__xludf.DUMMYFUNCTION("""COMPUTED_VALUE"""),121983.0)</f>
        <v>121983</v>
      </c>
      <c r="AA1005" s="65" t="str">
        <f>IFERROR(__xludf.DUMMYFUNCTION("""COMPUTED_VALUE"""),"PROV-CHLLCF")</f>
        <v>PROV-CHLLCF</v>
      </c>
      <c r="AB1005" s="65"/>
      <c r="AC1005" s="65" t="str">
        <f>IFERROR(__xludf.DUMMYFUNCTION("""COMPUTED_VALUE"""),"CUCHILLO PARA CHEF")</f>
        <v>CUCHILLO PARA CHEF</v>
      </c>
      <c r="AD1005" s="65"/>
      <c r="AE1005" s="65">
        <f>IFERROR(__xludf.DUMMYFUNCTION("""COMPUTED_VALUE"""),3.0)</f>
        <v>3</v>
      </c>
      <c r="AF1005" s="65"/>
      <c r="AG1005" s="65"/>
      <c r="AH1005" s="65"/>
      <c r="AI1005" s="65"/>
      <c r="AJ1005" s="65"/>
      <c r="AK1005" s="65"/>
      <c r="AL1005" s="65"/>
      <c r="AM1005" s="65"/>
      <c r="AN1005" s="65"/>
      <c r="AO1005" s="65"/>
      <c r="AP1005" s="65"/>
      <c r="AQ1005" s="65"/>
      <c r="AR1005" s="65"/>
      <c r="AS1005" s="65"/>
      <c r="AT1005" s="65" t="str">
        <f>IFERROR(__xludf.DUMMYFUNCTION("""COMPUTED_VALUE"""),"SHOPIFY")</f>
        <v>SHOPIFY</v>
      </c>
      <c r="AU1005" s="65" t="str">
        <f>IFERROR(__xludf.DUMMYFUNCTION("""COMPUTED_VALUE"""),"IMPORTEX EC")</f>
        <v>IMPORTEX EC</v>
      </c>
      <c r="AV1005" s="65" t="str">
        <f>IFERROR(__xludf.DUMMYFUNCTION("""COMPUTED_VALUE"""),"6483085492268")</f>
        <v>6483085492268</v>
      </c>
      <c r="AW1005" s="65">
        <f>IFERROR(__xludf.DUMMYFUNCTION("""COMPUTED_VALUE"""),5883.0)</f>
        <v>5883</v>
      </c>
      <c r="AX1005" s="65"/>
      <c r="AY1005" s="65"/>
      <c r="AZ1005" s="65"/>
      <c r="BA1005" s="65"/>
    </row>
    <row r="1006">
      <c r="A1006" s="65" t="str">
        <f>IFERROR(__xludf.DUMMYFUNCTION("""COMPUTED_VALUE"""),"27-03-2026")</f>
        <v>27-03-2026</v>
      </c>
      <c r="B1006" s="65">
        <f>IFERROR(__xludf.DUMMYFUNCTION("""COMPUTED_VALUE"""),4421914.0)</f>
        <v>4421914</v>
      </c>
      <c r="C1006" s="65" t="str">
        <f>IFERROR(__xludf.DUMMYFUNCTION("""COMPUTED_VALUE"""),"17:15")</f>
        <v>17:15</v>
      </c>
      <c r="D1006" s="65" t="str">
        <f>IFERROR(__xludf.DUMMYFUNCTION("""COMPUTED_VALUE"""),"06-02-2026")</f>
        <v>06-02-2026</v>
      </c>
      <c r="E1006" s="65" t="str">
        <f>IFERROR(__xludf.DUMMYFUNCTION("""COMPUTED_VALUE"""),"PEDRO HAZ ALVARADO")</f>
        <v>PEDRO HAZ ALVARADO</v>
      </c>
      <c r="F1006" s="65" t="str">
        <f>IFERROR(__xludf.DUMMYFUNCTION("""COMPUTED_VALUE"""),"996567010")</f>
        <v>996567010</v>
      </c>
      <c r="G1006" s="65" t="str">
        <f>IFERROR(__xludf.DUMMYFUNCTION("""COMPUTED_VALUE"""),"peter.haz@hotmail.com")</f>
        <v>peter.haz@hotmail.com</v>
      </c>
      <c r="H1006" s="65"/>
      <c r="I1006" s="65"/>
      <c r="J1006" s="65" t="str">
        <f>IFERROR(__xludf.DUMMYFUNCTION("""COMPUTED_VALUE"""),"D001312639")</f>
        <v>D001312639</v>
      </c>
      <c r="K1006" s="65" t="str">
        <f>IFERROR(__xludf.DUMMYFUNCTION("""COMPUTED_VALUE"""),"ENTREGADO")</f>
        <v>ENTREGADO</v>
      </c>
      <c r="L1006" s="65" t="str">
        <f>IFERROR(__xludf.DUMMYFUNCTION("""COMPUTED_VALUE"""),"CON RECAUDO")</f>
        <v>CON RECAUDO</v>
      </c>
      <c r="M1006" s="65" t="str">
        <f>IFERROR(__xludf.DUMMYFUNCTION("""COMPUTED_VALUE"""),"GUAYAS")</f>
        <v>GUAYAS</v>
      </c>
      <c r="N1006" s="65" t="str">
        <f>IFERROR(__xludf.DUMMYFUNCTION("""COMPUTED_VALUE"""),"GUAYAQUIL")</f>
        <v>GUAYAQUIL</v>
      </c>
      <c r="O1006" s="65" t="str">
        <f>IFERROR(__xludf.DUMMYFUNCTION("""COMPUTED_VALUE"""),"Garcia Moreno 609 y Quis Quis Centro Guayaquil - A 2 cuadras del hotel Oro Verde")</f>
        <v>Garcia Moreno 609 y Quis Quis Centro Guayaquil - A 2 cuadras del hotel Oro Verde</v>
      </c>
      <c r="P1006" s="65"/>
      <c r="Q1006" s="65" t="str">
        <f>IFERROR(__xludf.DUMMYFUNCTION("""COMPUTED_VALUE"""),"GINTRACOM")</f>
        <v>GINTRACOM</v>
      </c>
      <c r="R1006" s="65">
        <f>IFERROR(__xludf.DUMMYFUNCTION("""COMPUTED_VALUE"""),20.0)</f>
        <v>20</v>
      </c>
      <c r="S1006" s="65">
        <f>IFERROR(__xludf.DUMMYFUNCTION("""COMPUTED_VALUE"""),13.65)</f>
        <v>13.65</v>
      </c>
      <c r="T1006" s="65">
        <f>IFERROR(__xludf.DUMMYFUNCTION("""COMPUTED_VALUE"""),4.15)</f>
        <v>4.15</v>
      </c>
      <c r="U1006" s="65">
        <f>IFERROR(__xludf.DUMMYFUNCTION("""COMPUTED_VALUE"""),0.0)</f>
        <v>0</v>
      </c>
      <c r="V1006" s="65">
        <f>IFERROR(__xludf.DUMMYFUNCTION("""COMPUTED_VALUE"""),0.0)</f>
        <v>0</v>
      </c>
      <c r="W1006" s="65">
        <f>IFERROR(__xludf.DUMMYFUNCTION("""COMPUTED_VALUE"""),0.0)</f>
        <v>0</v>
      </c>
      <c r="X1006" s="65">
        <f>IFERROR(__xludf.DUMMYFUNCTION("""COMPUTED_VALUE"""),2.2)</f>
        <v>2.2</v>
      </c>
      <c r="Y1006" s="65">
        <f>IFERROR(__xludf.DUMMYFUNCTION("""COMPUTED_VALUE"""),2.2)</f>
        <v>2.2</v>
      </c>
      <c r="Z1006" s="65">
        <f>IFERROR(__xludf.DUMMYFUNCTION("""COMPUTED_VALUE"""),111894.0)</f>
        <v>111894</v>
      </c>
      <c r="AA1006" s="65" t="str">
        <f>IFERROR(__xludf.DUMMYFUNCTION("""COMPUTED_VALUE"""),"LYIC5M40067")</f>
        <v>LYIC5M40067</v>
      </c>
      <c r="AB1006" s="65"/>
      <c r="AC1006" s="65" t="str">
        <f>IFERROR(__xludf.DUMMYFUNCTION("""COMPUTED_VALUE"""),"Limpiador de Parabrisas y Ventanas")</f>
        <v>Limpiador de Parabrisas y Ventanas</v>
      </c>
      <c r="AD1006" s="65"/>
      <c r="AE1006" s="65">
        <f>IFERROR(__xludf.DUMMYFUNCTION("""COMPUTED_VALUE"""),1.0)</f>
        <v>1</v>
      </c>
      <c r="AF1006" s="65" t="str">
        <f>IFERROR(__xludf.DUMMYFUNCTION("""COMPUTED_VALUE"""),"DESTINATARIO NO CONTESTA LLAMADAS NI WHATSAPP")</f>
        <v>DESTINATARIO NO CONTESTA LLAMADAS NI WHATSAPP</v>
      </c>
      <c r="AG1006" s="65" t="str">
        <f>IFERROR(__xludf.DUMMYFUNCTION("""COMPUTED_VALUE"""),"SI")</f>
        <v>SI</v>
      </c>
      <c r="AH1006" s="65" t="str">
        <f>IFERROR(__xludf.DUMMYFUNCTION("""COMPUTED_VALUE"""),"12:35")</f>
        <v>12:35</v>
      </c>
      <c r="AI1006" s="65" t="str">
        <f>IFERROR(__xludf.DUMMYFUNCTION("""COMPUTED_VALUE"""),"12-02-2026")</f>
        <v>12-02-2026</v>
      </c>
      <c r="AJ1006" s="65"/>
      <c r="AK1006" s="65"/>
      <c r="AL1006" s="65"/>
      <c r="AM1006" s="65"/>
      <c r="AN1006" s="65" t="str">
        <f>IFERROR(__xludf.DUMMYFUNCTION("""COMPUTED_VALUE"""),"15:14")</f>
        <v>15:14</v>
      </c>
      <c r="AO1006" s="65" t="str">
        <f>IFERROR(__xludf.DUMMYFUNCTION("""COMPUTED_VALUE"""),"13-02-2026")</f>
        <v>13-02-2026</v>
      </c>
      <c r="AP1006" s="65" t="str">
        <f>IFERROR(__xludf.DUMMYFUNCTION("""COMPUTED_VALUE"""),"ENTREGADA GINTRACOM")</f>
        <v>ENTREGADA GINTRACOM</v>
      </c>
      <c r="AQ1006" s="65" t="str">
        <f>IFERROR(__xludf.DUMMYFUNCTION("""COMPUTED_VALUE"""),"ENTREGADA GINTRACOM")</f>
        <v>ENTREGADA GINTRACOM</v>
      </c>
      <c r="AR1006" s="65"/>
      <c r="AS1006" s="65"/>
      <c r="AT1006" s="65" t="str">
        <f>IFERROR(__xludf.DUMMYFUNCTION("""COMPUTED_VALUE"""),"SHOPIFY")</f>
        <v>SHOPIFY</v>
      </c>
      <c r="AU1006" s="65" t="str">
        <f>IFERROR(__xludf.DUMMYFUNCTION("""COMPUTED_VALUE"""),"IMPORTEX EC")</f>
        <v>IMPORTEX EC</v>
      </c>
      <c r="AV1006" s="65" t="str">
        <f>IFERROR(__xludf.DUMMYFUNCTION("""COMPUTED_VALUE"""),"6483095060524")</f>
        <v>6483095060524</v>
      </c>
      <c r="AW1006" s="65">
        <f>IFERROR(__xludf.DUMMYFUNCTION("""COMPUTED_VALUE"""),5884.0)</f>
        <v>5884</v>
      </c>
      <c r="AX1006" s="65"/>
      <c r="AY1006" s="65" t="str">
        <f>IFERROR(__xludf.DUMMYFUNCTION("""COMPUTED_VALUE"""),"09/02/2026")</f>
        <v>09/02/2026</v>
      </c>
      <c r="AZ1006" s="65"/>
      <c r="BA1006" s="65"/>
    </row>
    <row r="1007">
      <c r="A1007" s="65" t="str">
        <f>IFERROR(__xludf.DUMMYFUNCTION("""COMPUTED_VALUE"""),"27-03-2026")</f>
        <v>27-03-2026</v>
      </c>
      <c r="B1007" s="65">
        <f>IFERROR(__xludf.DUMMYFUNCTION("""COMPUTED_VALUE"""),4421755.0)</f>
        <v>4421755</v>
      </c>
      <c r="C1007" s="65" t="str">
        <f>IFERROR(__xludf.DUMMYFUNCTION("""COMPUTED_VALUE"""),"16:59")</f>
        <v>16:59</v>
      </c>
      <c r="D1007" s="65" t="str">
        <f>IFERROR(__xludf.DUMMYFUNCTION("""COMPUTED_VALUE"""),"06-02-2026")</f>
        <v>06-02-2026</v>
      </c>
      <c r="E1007" s="65" t="str">
        <f>IFERROR(__xludf.DUMMYFUNCTION("""COMPUTED_VALUE"""),"Washington Manosalvas")</f>
        <v>Washington Manosalvas</v>
      </c>
      <c r="F1007" s="65" t="str">
        <f>IFERROR(__xludf.DUMMYFUNCTION("""COMPUTED_VALUE"""),"999499537")</f>
        <v>999499537</v>
      </c>
      <c r="G1007" s="65" t="str">
        <f>IFERROR(__xludf.DUMMYFUNCTION("""COMPUTED_VALUE"""),"wgmgmanosalvas@gmail.com")</f>
        <v>wgmgmanosalvas@gmail.com</v>
      </c>
      <c r="H1007" s="65"/>
      <c r="I1007" s="65"/>
      <c r="J1007" s="65" t="str">
        <f>IFERROR(__xludf.DUMMYFUNCTION("""COMPUTED_VALUE"""),"D001318311")</f>
        <v>D001318311</v>
      </c>
      <c r="K1007" s="65" t="str">
        <f>IFERROR(__xludf.DUMMYFUNCTION("""COMPUTED_VALUE"""),"ENTREGADO")</f>
        <v>ENTREGADO</v>
      </c>
      <c r="L1007" s="65" t="str">
        <f>IFERROR(__xludf.DUMMYFUNCTION("""COMPUTED_VALUE"""),"CON RECAUDO")</f>
        <v>CON RECAUDO</v>
      </c>
      <c r="M1007" s="65" t="str">
        <f>IFERROR(__xludf.DUMMYFUNCTION("""COMPUTED_VALUE"""),"SANTO DOMINGO DE LOS TSACHILAS")</f>
        <v>SANTO DOMINGO DE LOS TSACHILAS</v>
      </c>
      <c r="N1007" s="65" t="str">
        <f>IFERROR(__xludf.DUMMYFUNCTION("""COMPUTED_VALUE"""),"SANTO DOMINGO")</f>
        <v>SANTO DOMINGO</v>
      </c>
      <c r="O1007" s="65" t="str">
        <f>IFERROR(__xludf.DUMMYFUNCTION("""COMPUTED_VALUE"""),"via a las Mercedes km 1,5 bodegas de la empresa eléctrica cnel-ep, puede ser en la mañana de 8 a 12 del día ,o en la tarde de 2 a 5pm..gracias.")</f>
        <v>via a las Mercedes km 1,5 bodegas de la empresa eléctrica cnel-ep, puede ser en la mañana de 8 a 12 del día ,o en la tarde de 2 a 5pm..gracias.</v>
      </c>
      <c r="P1007" s="65"/>
      <c r="Q1007" s="65" t="str">
        <f>IFERROR(__xludf.DUMMYFUNCTION("""COMPUTED_VALUE"""),"GINTRACOM")</f>
        <v>GINTRACOM</v>
      </c>
      <c r="R1007" s="65">
        <f>IFERROR(__xludf.DUMMYFUNCTION("""COMPUTED_VALUE"""),22.0)</f>
        <v>22</v>
      </c>
      <c r="S1007" s="65">
        <f>IFERROR(__xludf.DUMMYFUNCTION("""COMPUTED_VALUE"""),10.96)</f>
        <v>10.96</v>
      </c>
      <c r="T1007" s="65">
        <f>IFERROR(__xludf.DUMMYFUNCTION("""COMPUTED_VALUE"""),5.84)</f>
        <v>5.84</v>
      </c>
      <c r="U1007" s="65">
        <f>IFERROR(__xludf.DUMMYFUNCTION("""COMPUTED_VALUE"""),0.0)</f>
        <v>0</v>
      </c>
      <c r="V1007" s="65">
        <f>IFERROR(__xludf.DUMMYFUNCTION("""COMPUTED_VALUE"""),0.0)</f>
        <v>0</v>
      </c>
      <c r="W1007" s="65">
        <f>IFERROR(__xludf.DUMMYFUNCTION("""COMPUTED_VALUE"""),0.0)</f>
        <v>0</v>
      </c>
      <c r="X1007" s="65">
        <f>IFERROR(__xludf.DUMMYFUNCTION("""COMPUTED_VALUE"""),2.6)</f>
        <v>2.6</v>
      </c>
      <c r="Y1007" s="65">
        <f>IFERROR(__xludf.DUMMYFUNCTION("""COMPUTED_VALUE"""),5.2)</f>
        <v>5.2</v>
      </c>
      <c r="Z1007" s="65">
        <f>IFERROR(__xludf.DUMMYFUNCTION("""COMPUTED_VALUE"""),121983.0)</f>
        <v>121983</v>
      </c>
      <c r="AA1007" s="65" t="str">
        <f>IFERROR(__xludf.DUMMYFUNCTION("""COMPUTED_VALUE"""),"PROV-CHLLCF")</f>
        <v>PROV-CHLLCF</v>
      </c>
      <c r="AB1007" s="65"/>
      <c r="AC1007" s="65" t="str">
        <f>IFERROR(__xludf.DUMMYFUNCTION("""COMPUTED_VALUE"""),"CUCHILLO PARA CHEF")</f>
        <v>CUCHILLO PARA CHEF</v>
      </c>
      <c r="AD1007" s="65"/>
      <c r="AE1007" s="65">
        <f>IFERROR(__xludf.DUMMYFUNCTION("""COMPUTED_VALUE"""),2.0)</f>
        <v>2</v>
      </c>
      <c r="AF1007" s="65"/>
      <c r="AG1007" s="65"/>
      <c r="AH1007" s="65"/>
      <c r="AI1007" s="65"/>
      <c r="AJ1007" s="65"/>
      <c r="AK1007" s="65"/>
      <c r="AL1007" s="65"/>
      <c r="AM1007" s="65"/>
      <c r="AN1007" s="65" t="str">
        <f>IFERROR(__xludf.DUMMYFUNCTION("""COMPUTED_VALUE"""),"11:47")</f>
        <v>11:47</v>
      </c>
      <c r="AO1007" s="65" t="str">
        <f>IFERROR(__xludf.DUMMYFUNCTION("""COMPUTED_VALUE"""),"14-02-2026")</f>
        <v>14-02-2026</v>
      </c>
      <c r="AP1007" s="65" t="str">
        <f>IFERROR(__xludf.DUMMYFUNCTION("""COMPUTED_VALUE"""),"ENTREGADA GINTRACOM")</f>
        <v>ENTREGADA GINTRACOM</v>
      </c>
      <c r="AQ1007" s="65" t="str">
        <f>IFERROR(__xludf.DUMMYFUNCTION("""COMPUTED_VALUE"""),"ENTREGADA GINTRACOM")</f>
        <v>ENTREGADA GINTRACOM</v>
      </c>
      <c r="AR1007" s="65"/>
      <c r="AS1007" s="65"/>
      <c r="AT1007" s="65" t="str">
        <f>IFERROR(__xludf.DUMMYFUNCTION("""COMPUTED_VALUE"""),"SHOPIFY")</f>
        <v>SHOPIFY</v>
      </c>
      <c r="AU1007" s="65" t="str">
        <f>IFERROR(__xludf.DUMMYFUNCTION("""COMPUTED_VALUE"""),"IMPORTEX EC")</f>
        <v>IMPORTEX EC</v>
      </c>
      <c r="AV1007" s="65" t="str">
        <f>IFERROR(__xludf.DUMMYFUNCTION("""COMPUTED_VALUE"""),"6482204360748")</f>
        <v>6482204360748</v>
      </c>
      <c r="AW1007" s="65">
        <f>IFERROR(__xludf.DUMMYFUNCTION("""COMPUTED_VALUE"""),5878.0)</f>
        <v>5878</v>
      </c>
      <c r="AX1007" s="65"/>
      <c r="AY1007" s="65" t="str">
        <f>IFERROR(__xludf.DUMMYFUNCTION("""COMPUTED_VALUE"""),"11/02/2026")</f>
        <v>11/02/2026</v>
      </c>
      <c r="AZ1007" s="65"/>
      <c r="BA1007" s="65"/>
    </row>
    <row r="1008">
      <c r="A1008" s="65" t="str">
        <f>IFERROR(__xludf.DUMMYFUNCTION("""COMPUTED_VALUE"""),"27-03-2026")</f>
        <v>27-03-2026</v>
      </c>
      <c r="B1008" s="65">
        <f>IFERROR(__xludf.DUMMYFUNCTION("""COMPUTED_VALUE"""),4421453.0)</f>
        <v>4421453</v>
      </c>
      <c r="C1008" s="65" t="str">
        <f>IFERROR(__xludf.DUMMYFUNCTION("""COMPUTED_VALUE"""),"16:33")</f>
        <v>16:33</v>
      </c>
      <c r="D1008" s="65" t="str">
        <f>IFERROR(__xludf.DUMMYFUNCTION("""COMPUTED_VALUE"""),"06-02-2026")</f>
        <v>06-02-2026</v>
      </c>
      <c r="E1008" s="65" t="str">
        <f>IFERROR(__xludf.DUMMYFUNCTION("""COMPUTED_VALUE"""),"Junior Marcillo")</f>
        <v>Junior Marcillo</v>
      </c>
      <c r="F1008" s="65" t="str">
        <f>IFERROR(__xludf.DUMMYFUNCTION("""COMPUTED_VALUE"""),"999633817")</f>
        <v>999633817</v>
      </c>
      <c r="G1008" s="65" t="str">
        <f>IFERROR(__xludf.DUMMYFUNCTION("""COMPUTED_VALUE"""),"juniormarcillo6@gmail.com")</f>
        <v>juniormarcillo6@gmail.com</v>
      </c>
      <c r="H1008" s="65"/>
      <c r="I1008" s="65"/>
      <c r="J1008" s="65"/>
      <c r="K1008" s="65" t="str">
        <f>IFERROR(__xludf.DUMMYFUNCTION("""COMPUTED_VALUE"""),"PENDIENTE CONFIRMACION")</f>
        <v>PENDIENTE CONFIRMACION</v>
      </c>
      <c r="L1008" s="65" t="str">
        <f>IFERROR(__xludf.DUMMYFUNCTION("""COMPUTED_VALUE"""),"CON RECAUDO")</f>
        <v>CON RECAUDO</v>
      </c>
      <c r="M1008" s="65" t="str">
        <f>IFERROR(__xludf.DUMMYFUNCTION("""COMPUTED_VALUE"""),"PICHINCHA")</f>
        <v>PICHINCHA</v>
      </c>
      <c r="N1008" s="65" t="str">
        <f>IFERROR(__xludf.DUMMYFUNCTION("""COMPUTED_VALUE"""),"QUITO")</f>
        <v>QUITO</v>
      </c>
      <c r="O1008" s="65" t="str">
        <f>IFERROR(__xludf.DUMMYFUNCTION("""COMPUTED_VALUE"""),"calle María barreto Mongas -")</f>
        <v>calle María barreto Mongas -</v>
      </c>
      <c r="P1008" s="65"/>
      <c r="Q1008" s="65" t="str">
        <f>IFERROR(__xludf.DUMMYFUNCTION("""COMPUTED_VALUE"""),"GINTRACOM")</f>
        <v>GINTRACOM</v>
      </c>
      <c r="R1008" s="65">
        <f>IFERROR(__xludf.DUMMYFUNCTION("""COMPUTED_VALUE"""),20.0)</f>
        <v>20</v>
      </c>
      <c r="S1008" s="65"/>
      <c r="T1008" s="65">
        <f>IFERROR(__xludf.DUMMYFUNCTION("""COMPUTED_VALUE"""),5.76)</f>
        <v>5.76</v>
      </c>
      <c r="U1008" s="65">
        <f>IFERROR(__xludf.DUMMYFUNCTION("""COMPUTED_VALUE"""),0.0)</f>
        <v>0</v>
      </c>
      <c r="V1008" s="65">
        <f>IFERROR(__xludf.DUMMYFUNCTION("""COMPUTED_VALUE"""),0.0)</f>
        <v>0</v>
      </c>
      <c r="W1008" s="65">
        <f>IFERROR(__xludf.DUMMYFUNCTION("""COMPUTED_VALUE"""),0.0)</f>
        <v>0</v>
      </c>
      <c r="X1008" s="65">
        <f>IFERROR(__xludf.DUMMYFUNCTION("""COMPUTED_VALUE"""),2.2)</f>
        <v>2.2</v>
      </c>
      <c r="Y1008" s="65">
        <f>IFERROR(__xludf.DUMMYFUNCTION("""COMPUTED_VALUE"""),2.2)</f>
        <v>2.2</v>
      </c>
      <c r="Z1008" s="65">
        <f>IFERROR(__xludf.DUMMYFUNCTION("""COMPUTED_VALUE"""),111894.0)</f>
        <v>111894</v>
      </c>
      <c r="AA1008" s="65" t="str">
        <f>IFERROR(__xludf.DUMMYFUNCTION("""COMPUTED_VALUE"""),"LYIC5M40067")</f>
        <v>LYIC5M40067</v>
      </c>
      <c r="AB1008" s="65"/>
      <c r="AC1008" s="65" t="str">
        <f>IFERROR(__xludf.DUMMYFUNCTION("""COMPUTED_VALUE"""),"Limpiador de Parabrisas y Ventanas")</f>
        <v>Limpiador de Parabrisas y Ventanas</v>
      </c>
      <c r="AD1008" s="65"/>
      <c r="AE1008" s="65">
        <f>IFERROR(__xludf.DUMMYFUNCTION("""COMPUTED_VALUE"""),1.0)</f>
        <v>1</v>
      </c>
      <c r="AF1008" s="65"/>
      <c r="AG1008" s="65"/>
      <c r="AH1008" s="65"/>
      <c r="AI1008" s="65"/>
      <c r="AJ1008" s="65"/>
      <c r="AK1008" s="65"/>
      <c r="AL1008" s="65"/>
      <c r="AM1008" s="65"/>
      <c r="AN1008" s="65"/>
      <c r="AO1008" s="65"/>
      <c r="AP1008" s="65"/>
      <c r="AQ1008" s="65"/>
      <c r="AR1008" s="65"/>
      <c r="AS1008" s="65"/>
      <c r="AT1008" s="65" t="str">
        <f>IFERROR(__xludf.DUMMYFUNCTION("""COMPUTED_VALUE"""),"SHOPIFY")</f>
        <v>SHOPIFY</v>
      </c>
      <c r="AU1008" s="65" t="str">
        <f>IFERROR(__xludf.DUMMYFUNCTION("""COMPUTED_VALUE"""),"IMPORTEX EC")</f>
        <v>IMPORTEX EC</v>
      </c>
      <c r="AV1008" s="65" t="str">
        <f>IFERROR(__xludf.DUMMYFUNCTION("""COMPUTED_VALUE"""),"6481771364396")</f>
        <v>6481771364396</v>
      </c>
      <c r="AW1008" s="65">
        <f>IFERROR(__xludf.DUMMYFUNCTION("""COMPUTED_VALUE"""),5868.0)</f>
        <v>5868</v>
      </c>
      <c r="AX1008" s="65"/>
      <c r="AY1008" s="65"/>
      <c r="AZ1008" s="65"/>
      <c r="BA1008" s="65"/>
    </row>
    <row r="1009">
      <c r="A1009" s="65" t="str">
        <f>IFERROR(__xludf.DUMMYFUNCTION("""COMPUTED_VALUE"""),"27-03-2026")</f>
        <v>27-03-2026</v>
      </c>
      <c r="B1009" s="65">
        <f>IFERROR(__xludf.DUMMYFUNCTION("""COMPUTED_VALUE"""),4421351.0)</f>
        <v>4421351</v>
      </c>
      <c r="C1009" s="65" t="str">
        <f>IFERROR(__xludf.DUMMYFUNCTION("""COMPUTED_VALUE"""),"16:23")</f>
        <v>16:23</v>
      </c>
      <c r="D1009" s="65" t="str">
        <f>IFERROR(__xludf.DUMMYFUNCTION("""COMPUTED_VALUE"""),"06-02-2026")</f>
        <v>06-02-2026</v>
      </c>
      <c r="E1009" s="65" t="str">
        <f>IFERROR(__xludf.DUMMYFUNCTION("""COMPUTED_VALUE"""),"isabel cedeño")</f>
        <v>isabel cedeño</v>
      </c>
      <c r="F1009" s="65" t="str">
        <f>IFERROR(__xludf.DUMMYFUNCTION("""COMPUTED_VALUE"""),"984053575")</f>
        <v>984053575</v>
      </c>
      <c r="G1009" s="65" t="str">
        <f>IFERROR(__xludf.DUMMYFUNCTION("""COMPUTED_VALUE"""),"isabelcedeno1710@gmail.com")</f>
        <v>isabelcedeno1710@gmail.com</v>
      </c>
      <c r="H1009" s="65"/>
      <c r="I1009" s="65"/>
      <c r="J1009" s="65"/>
      <c r="K1009" s="65" t="str">
        <f>IFERROR(__xludf.DUMMYFUNCTION("""COMPUTED_VALUE"""),"PENDIENTE CONFIRMACION")</f>
        <v>PENDIENTE CONFIRMACION</v>
      </c>
      <c r="L1009" s="65" t="str">
        <f>IFERROR(__xludf.DUMMYFUNCTION("""COMPUTED_VALUE"""),"CON RECAUDO")</f>
        <v>CON RECAUDO</v>
      </c>
      <c r="M1009" s="65" t="str">
        <f>IFERROR(__xludf.DUMMYFUNCTION("""COMPUTED_VALUE"""),"SANTO DOMINGO DE LOS TSACHILAS")</f>
        <v>SANTO DOMINGO DE LOS TSACHILAS</v>
      </c>
      <c r="N1009" s="65" t="str">
        <f>IFERROR(__xludf.DUMMYFUNCTION("""COMPUTED_VALUE"""),"SANTO DOMINGO")</f>
        <v>SANTO DOMINGO</v>
      </c>
      <c r="O1009" s="65" t="str">
        <f>IFERROR(__xludf.DUMMYFUNCTION("""COMPUTED_VALUE"""),"Brasilia Km cuatro y medio vía quevedo -")</f>
        <v>Brasilia Km cuatro y medio vía quevedo -</v>
      </c>
      <c r="P1009" s="65"/>
      <c r="Q1009" s="65" t="str">
        <f>IFERROR(__xludf.DUMMYFUNCTION("""COMPUTED_VALUE"""),"GINTRACOM")</f>
        <v>GINTRACOM</v>
      </c>
      <c r="R1009" s="65">
        <f>IFERROR(__xludf.DUMMYFUNCTION("""COMPUTED_VALUE"""),22.0)</f>
        <v>22</v>
      </c>
      <c r="S1009" s="65"/>
      <c r="T1009" s="65">
        <f>IFERROR(__xludf.DUMMYFUNCTION("""COMPUTED_VALUE"""),5.84)</f>
        <v>5.84</v>
      </c>
      <c r="U1009" s="65">
        <f>IFERROR(__xludf.DUMMYFUNCTION("""COMPUTED_VALUE"""),0.0)</f>
        <v>0</v>
      </c>
      <c r="V1009" s="65">
        <f>IFERROR(__xludf.DUMMYFUNCTION("""COMPUTED_VALUE"""),0.0)</f>
        <v>0</v>
      </c>
      <c r="W1009" s="65">
        <f>IFERROR(__xludf.DUMMYFUNCTION("""COMPUTED_VALUE"""),0.0)</f>
        <v>0</v>
      </c>
      <c r="X1009" s="65">
        <f>IFERROR(__xludf.DUMMYFUNCTION("""COMPUTED_VALUE"""),2.6)</f>
        <v>2.6</v>
      </c>
      <c r="Y1009" s="65">
        <f>IFERROR(__xludf.DUMMYFUNCTION("""COMPUTED_VALUE"""),5.2)</f>
        <v>5.2</v>
      </c>
      <c r="Z1009" s="65">
        <f>IFERROR(__xludf.DUMMYFUNCTION("""COMPUTED_VALUE"""),121983.0)</f>
        <v>121983</v>
      </c>
      <c r="AA1009" s="65" t="str">
        <f>IFERROR(__xludf.DUMMYFUNCTION("""COMPUTED_VALUE"""),"PROV-CHLLCF")</f>
        <v>PROV-CHLLCF</v>
      </c>
      <c r="AB1009" s="65"/>
      <c r="AC1009" s="65" t="str">
        <f>IFERROR(__xludf.DUMMYFUNCTION("""COMPUTED_VALUE"""),"CUCHILLO PARA CHEF")</f>
        <v>CUCHILLO PARA CHEF</v>
      </c>
      <c r="AD1009" s="65"/>
      <c r="AE1009" s="65">
        <f>IFERROR(__xludf.DUMMYFUNCTION("""COMPUTED_VALUE"""),2.0)</f>
        <v>2</v>
      </c>
      <c r="AF1009" s="65"/>
      <c r="AG1009" s="65"/>
      <c r="AH1009" s="65"/>
      <c r="AI1009" s="65"/>
      <c r="AJ1009" s="65"/>
      <c r="AK1009" s="65"/>
      <c r="AL1009" s="65"/>
      <c r="AM1009" s="65"/>
      <c r="AN1009" s="65"/>
      <c r="AO1009" s="65"/>
      <c r="AP1009" s="65"/>
      <c r="AQ1009" s="65"/>
      <c r="AR1009" s="65"/>
      <c r="AS1009" s="65"/>
      <c r="AT1009" s="65" t="str">
        <f>IFERROR(__xludf.DUMMYFUNCTION("""COMPUTED_VALUE"""),"SHOPIFY")</f>
        <v>SHOPIFY</v>
      </c>
      <c r="AU1009" s="65" t="str">
        <f>IFERROR(__xludf.DUMMYFUNCTION("""COMPUTED_VALUE"""),"IMPORTEX EC")</f>
        <v>IMPORTEX EC</v>
      </c>
      <c r="AV1009" s="65" t="str">
        <f>IFERROR(__xludf.DUMMYFUNCTION("""COMPUTED_VALUE"""),"6481654644780")</f>
        <v>6481654644780</v>
      </c>
      <c r="AW1009" s="65">
        <f>IFERROR(__xludf.DUMMYFUNCTION("""COMPUTED_VALUE"""),5863.0)</f>
        <v>5863</v>
      </c>
      <c r="AX1009" s="65"/>
      <c r="AY1009" s="65"/>
      <c r="AZ1009" s="65"/>
      <c r="BA1009" s="65"/>
    </row>
    <row r="1010">
      <c r="A1010" s="65" t="str">
        <f>IFERROR(__xludf.DUMMYFUNCTION("""COMPUTED_VALUE"""),"27-03-2026")</f>
        <v>27-03-2026</v>
      </c>
      <c r="B1010" s="65">
        <f>IFERROR(__xludf.DUMMYFUNCTION("""COMPUTED_VALUE"""),4421198.0)</f>
        <v>4421198</v>
      </c>
      <c r="C1010" s="65" t="str">
        <f>IFERROR(__xludf.DUMMYFUNCTION("""COMPUTED_VALUE"""),"16:08")</f>
        <v>16:08</v>
      </c>
      <c r="D1010" s="65" t="str">
        <f>IFERROR(__xludf.DUMMYFUNCTION("""COMPUTED_VALUE"""),"06-02-2026")</f>
        <v>06-02-2026</v>
      </c>
      <c r="E1010" s="65" t="str">
        <f>IFERROR(__xludf.DUMMYFUNCTION("""COMPUTED_VALUE"""),"Byron René Díaz")</f>
        <v>Byron René Díaz</v>
      </c>
      <c r="F1010" s="65" t="str">
        <f>IFERROR(__xludf.DUMMYFUNCTION("""COMPUTED_VALUE"""),"967697634")</f>
        <v>967697634</v>
      </c>
      <c r="G1010" s="65" t="str">
        <f>IFERROR(__xludf.DUMMYFUNCTION("""COMPUTED_VALUE"""),"baydiaz1717@gmail.com")</f>
        <v>baydiaz1717@gmail.com</v>
      </c>
      <c r="H1010" s="65"/>
      <c r="I1010" s="65"/>
      <c r="J1010" s="65" t="str">
        <f>IFERROR(__xludf.DUMMYFUNCTION("""COMPUTED_VALUE"""),"D001304707")</f>
        <v>D001304707</v>
      </c>
      <c r="K1010" s="65" t="str">
        <f>IFERROR(__xludf.DUMMYFUNCTION("""COMPUTED_VALUE"""),"DEVOLUCION")</f>
        <v>DEVOLUCION</v>
      </c>
      <c r="L1010" s="65" t="str">
        <f>IFERROR(__xludf.DUMMYFUNCTION("""COMPUTED_VALUE"""),"CON RECAUDO")</f>
        <v>CON RECAUDO</v>
      </c>
      <c r="M1010" s="65" t="str">
        <f>IFERROR(__xludf.DUMMYFUNCTION("""COMPUTED_VALUE"""),"LOJA")</f>
        <v>LOJA</v>
      </c>
      <c r="N1010" s="65" t="str">
        <f>IFERROR(__xludf.DUMMYFUNCTION("""COMPUTED_VALUE"""),"LOJA")</f>
        <v>LOJA</v>
      </c>
      <c r="O1010" s="65" t="str">
        <f>IFERROR(__xludf.DUMMYFUNCTION("""COMPUTED_VALUE"""),"Barrio Trapichillo sector 15 de noviembre Diagonal a las canchas, a 200 metros de multi canal -")</f>
        <v>Barrio Trapichillo sector 15 de noviembre Diagonal a las canchas, a 200 metros de multi canal -</v>
      </c>
      <c r="P1010" s="65"/>
      <c r="Q1010" s="65" t="str">
        <f>IFERROR(__xludf.DUMMYFUNCTION("""COMPUTED_VALUE"""),"GINTRACOM")</f>
        <v>GINTRACOM</v>
      </c>
      <c r="R1010" s="65">
        <f>IFERROR(__xludf.DUMMYFUNCTION("""COMPUTED_VALUE"""),22.0)</f>
        <v>22</v>
      </c>
      <c r="S1010" s="65"/>
      <c r="T1010" s="65">
        <f>IFERROR(__xludf.DUMMYFUNCTION("""COMPUTED_VALUE"""),5.84)</f>
        <v>5.84</v>
      </c>
      <c r="U1010" s="65">
        <f>IFERROR(__xludf.DUMMYFUNCTION("""COMPUTED_VALUE"""),0.0)</f>
        <v>0</v>
      </c>
      <c r="V1010" s="65">
        <f>IFERROR(__xludf.DUMMYFUNCTION("""COMPUTED_VALUE"""),0.0)</f>
        <v>0</v>
      </c>
      <c r="W1010" s="65">
        <f>IFERROR(__xludf.DUMMYFUNCTION("""COMPUTED_VALUE"""),0.0)</f>
        <v>0</v>
      </c>
      <c r="X1010" s="65">
        <f>IFERROR(__xludf.DUMMYFUNCTION("""COMPUTED_VALUE"""),2.6)</f>
        <v>2.6</v>
      </c>
      <c r="Y1010" s="65">
        <f>IFERROR(__xludf.DUMMYFUNCTION("""COMPUTED_VALUE"""),5.2)</f>
        <v>5.2</v>
      </c>
      <c r="Z1010" s="65">
        <f>IFERROR(__xludf.DUMMYFUNCTION("""COMPUTED_VALUE"""),121983.0)</f>
        <v>121983</v>
      </c>
      <c r="AA1010" s="65" t="str">
        <f>IFERROR(__xludf.DUMMYFUNCTION("""COMPUTED_VALUE"""),"PROV-CHLLCF")</f>
        <v>PROV-CHLLCF</v>
      </c>
      <c r="AB1010" s="65"/>
      <c r="AC1010" s="65" t="str">
        <f>IFERROR(__xludf.DUMMYFUNCTION("""COMPUTED_VALUE"""),"CUCHILLO PARA CHEF")</f>
        <v>CUCHILLO PARA CHEF</v>
      </c>
      <c r="AD1010" s="65"/>
      <c r="AE1010" s="65">
        <f>IFERROR(__xludf.DUMMYFUNCTION("""COMPUTED_VALUE"""),2.0)</f>
        <v>2</v>
      </c>
      <c r="AF1010" s="65"/>
      <c r="AG1010" s="65"/>
      <c r="AH1010" s="65"/>
      <c r="AI1010" s="65"/>
      <c r="AJ1010" s="65"/>
      <c r="AK1010" s="65"/>
      <c r="AL1010" s="65"/>
      <c r="AM1010" s="65"/>
      <c r="AN1010" s="65" t="str">
        <f>IFERROR(__xludf.DUMMYFUNCTION("""COMPUTED_VALUE"""),"01:37")</f>
        <v>01:37</v>
      </c>
      <c r="AO1010" s="65" t="str">
        <f>IFERROR(__xludf.DUMMYFUNCTION("""COMPUTED_VALUE"""),"06-03-2026")</f>
        <v>06-03-2026</v>
      </c>
      <c r="AP1010" s="65" t="str">
        <f>IFERROR(__xludf.DUMMYFUNCTION("""COMPUTED_VALUE"""),"DEVOLUCIÓN ENTREGADA A ORIGEN")</f>
        <v>DEVOLUCIÓN ENTREGADA A ORIGEN</v>
      </c>
      <c r="AQ1010" s="65" t="str">
        <f>IFERROR(__xludf.DUMMYFUNCTION("""COMPUTED_VALUE"""),"DEVOLUCIÓN ENTREGADA A ORIGEN")</f>
        <v>DEVOLUCIÓN ENTREGADA A ORIGEN</v>
      </c>
      <c r="AR1010" s="65"/>
      <c r="AS1010" s="65"/>
      <c r="AT1010" s="65" t="str">
        <f>IFERROR(__xludf.DUMMYFUNCTION("""COMPUTED_VALUE"""),"SHOPIFY")</f>
        <v>SHOPIFY</v>
      </c>
      <c r="AU1010" s="65" t="str">
        <f>IFERROR(__xludf.DUMMYFUNCTION("""COMPUTED_VALUE"""),"IMPORTEX EC")</f>
        <v>IMPORTEX EC</v>
      </c>
      <c r="AV1010" s="65" t="str">
        <f>IFERROR(__xludf.DUMMYFUNCTION("""COMPUTED_VALUE"""),"6482926272556")</f>
        <v>6482926272556</v>
      </c>
      <c r="AW1010" s="65">
        <f>IFERROR(__xludf.DUMMYFUNCTION("""COMPUTED_VALUE"""),5882.0)</f>
        <v>5882</v>
      </c>
      <c r="AX1010" s="65"/>
      <c r="AY1010" s="65" t="str">
        <f>IFERROR(__xludf.DUMMYFUNCTION("""COMPUTED_VALUE"""),"07/02/2026")</f>
        <v>07/02/2026</v>
      </c>
      <c r="AZ1010" s="65"/>
      <c r="BA1010" s="65"/>
    </row>
    <row r="1011">
      <c r="A1011" s="65" t="str">
        <f>IFERROR(__xludf.DUMMYFUNCTION("""COMPUTED_VALUE"""),"27-03-2026")</f>
        <v>27-03-2026</v>
      </c>
      <c r="B1011" s="65">
        <f>IFERROR(__xludf.DUMMYFUNCTION("""COMPUTED_VALUE"""),4421195.0)</f>
        <v>4421195</v>
      </c>
      <c r="C1011" s="65" t="str">
        <f>IFERROR(__xludf.DUMMYFUNCTION("""COMPUTED_VALUE"""),"16:08")</f>
        <v>16:08</v>
      </c>
      <c r="D1011" s="65" t="str">
        <f>IFERROR(__xludf.DUMMYFUNCTION("""COMPUTED_VALUE"""),"06-02-2026")</f>
        <v>06-02-2026</v>
      </c>
      <c r="E1011" s="65" t="str">
        <f>IFERROR(__xludf.DUMMYFUNCTION("""COMPUTED_VALUE"""),"Patricio Dávalos")</f>
        <v>Patricio Dávalos</v>
      </c>
      <c r="F1011" s="65" t="str">
        <f>IFERROR(__xludf.DUMMYFUNCTION("""COMPUTED_VALUE"""),"999708099")</f>
        <v>999708099</v>
      </c>
      <c r="G1011" s="65" t="str">
        <f>IFERROR(__xludf.DUMMYFUNCTION("""COMPUTED_VALUE"""),"pdavalosm@gmail.com")</f>
        <v>pdavalosm@gmail.com</v>
      </c>
      <c r="H1011" s="65"/>
      <c r="I1011" s="65"/>
      <c r="J1011" s="65"/>
      <c r="K1011" s="65" t="str">
        <f>IFERROR(__xludf.DUMMYFUNCTION("""COMPUTED_VALUE"""),"PENDIENTE CONFIRMACION")</f>
        <v>PENDIENTE CONFIRMACION</v>
      </c>
      <c r="L1011" s="65" t="str">
        <f>IFERROR(__xludf.DUMMYFUNCTION("""COMPUTED_VALUE"""),"CON RECAUDO")</f>
        <v>CON RECAUDO</v>
      </c>
      <c r="M1011" s="65" t="str">
        <f>IFERROR(__xludf.DUMMYFUNCTION("""COMPUTED_VALUE"""),"PICHINCHA")</f>
        <v>PICHINCHA</v>
      </c>
      <c r="N1011" s="65" t="str">
        <f>IFERROR(__xludf.DUMMYFUNCTION("""COMPUTED_VALUE"""),"QUITO")</f>
        <v>QUITO</v>
      </c>
      <c r="O1011" s="65" t="str">
        <f>IFERROR(__xludf.DUMMYFUNCTION("""COMPUTED_VALUE"""),"Av 10 de agosto N 36 190 y NNuU Iñaquito -")</f>
        <v>Av 10 de agosto N 36 190 y NNuU Iñaquito -</v>
      </c>
      <c r="P1011" s="65"/>
      <c r="Q1011" s="65" t="str">
        <f>IFERROR(__xludf.DUMMYFUNCTION("""COMPUTED_VALUE"""),"GINTRACOM")</f>
        <v>GINTRACOM</v>
      </c>
      <c r="R1011" s="65">
        <f>IFERROR(__xludf.DUMMYFUNCTION("""COMPUTED_VALUE"""),32.0)</f>
        <v>32</v>
      </c>
      <c r="S1011" s="65"/>
      <c r="T1011" s="65">
        <f>IFERROR(__xludf.DUMMYFUNCTION("""COMPUTED_VALUE"""),6.24)</f>
        <v>6.24</v>
      </c>
      <c r="U1011" s="65">
        <f>IFERROR(__xludf.DUMMYFUNCTION("""COMPUTED_VALUE"""),0.0)</f>
        <v>0</v>
      </c>
      <c r="V1011" s="65">
        <f>IFERROR(__xludf.DUMMYFUNCTION("""COMPUTED_VALUE"""),0.0)</f>
        <v>0</v>
      </c>
      <c r="W1011" s="65">
        <f>IFERROR(__xludf.DUMMYFUNCTION("""COMPUTED_VALUE"""),0.0)</f>
        <v>0</v>
      </c>
      <c r="X1011" s="65">
        <f>IFERROR(__xludf.DUMMYFUNCTION("""COMPUTED_VALUE"""),2.6)</f>
        <v>2.6</v>
      </c>
      <c r="Y1011" s="65">
        <f>IFERROR(__xludf.DUMMYFUNCTION("""COMPUTED_VALUE"""),10.4)</f>
        <v>10.4</v>
      </c>
      <c r="Z1011" s="65">
        <f>IFERROR(__xludf.DUMMYFUNCTION("""COMPUTED_VALUE"""),121983.0)</f>
        <v>121983</v>
      </c>
      <c r="AA1011" s="65" t="str">
        <f>IFERROR(__xludf.DUMMYFUNCTION("""COMPUTED_VALUE"""),"PROV-CHLLCF")</f>
        <v>PROV-CHLLCF</v>
      </c>
      <c r="AB1011" s="65"/>
      <c r="AC1011" s="65" t="str">
        <f>IFERROR(__xludf.DUMMYFUNCTION("""COMPUTED_VALUE"""),"CUCHILLO PARA CHEF")</f>
        <v>CUCHILLO PARA CHEF</v>
      </c>
      <c r="AD1011" s="65"/>
      <c r="AE1011" s="65">
        <f>IFERROR(__xludf.DUMMYFUNCTION("""COMPUTED_VALUE"""),4.0)</f>
        <v>4</v>
      </c>
      <c r="AF1011" s="65"/>
      <c r="AG1011" s="65"/>
      <c r="AH1011" s="65"/>
      <c r="AI1011" s="65"/>
      <c r="AJ1011" s="65"/>
      <c r="AK1011" s="65"/>
      <c r="AL1011" s="65"/>
      <c r="AM1011" s="65"/>
      <c r="AN1011" s="65"/>
      <c r="AO1011" s="65"/>
      <c r="AP1011" s="65"/>
      <c r="AQ1011" s="65"/>
      <c r="AR1011" s="65"/>
      <c r="AS1011" s="65"/>
      <c r="AT1011" s="65" t="str">
        <f>IFERROR(__xludf.DUMMYFUNCTION("""COMPUTED_VALUE"""),"SHOPIFY")</f>
        <v>SHOPIFY</v>
      </c>
      <c r="AU1011" s="65" t="str">
        <f>IFERROR(__xludf.DUMMYFUNCTION("""COMPUTED_VALUE"""),"IMPORTEX EC")</f>
        <v>IMPORTEX EC</v>
      </c>
      <c r="AV1011" s="65" t="str">
        <f>IFERROR(__xludf.DUMMYFUNCTION("""COMPUTED_VALUE"""),"6482533580844")</f>
        <v>6482533580844</v>
      </c>
      <c r="AW1011" s="65">
        <f>IFERROR(__xludf.DUMMYFUNCTION("""COMPUTED_VALUE"""),5881.0)</f>
        <v>5881</v>
      </c>
      <c r="AX1011" s="65"/>
      <c r="AY1011" s="65"/>
      <c r="AZ1011" s="65"/>
      <c r="BA1011" s="65"/>
    </row>
    <row r="1012">
      <c r="A1012" s="65" t="str">
        <f>IFERROR(__xludf.DUMMYFUNCTION("""COMPUTED_VALUE"""),"27-03-2026")</f>
        <v>27-03-2026</v>
      </c>
      <c r="B1012" s="65">
        <f>IFERROR(__xludf.DUMMYFUNCTION("""COMPUTED_VALUE"""),4421193.0)</f>
        <v>4421193</v>
      </c>
      <c r="C1012" s="65" t="str">
        <f>IFERROR(__xludf.DUMMYFUNCTION("""COMPUTED_VALUE"""),"16:08")</f>
        <v>16:08</v>
      </c>
      <c r="D1012" s="65" t="str">
        <f>IFERROR(__xludf.DUMMYFUNCTION("""COMPUTED_VALUE"""),"06-02-2026")</f>
        <v>06-02-2026</v>
      </c>
      <c r="E1012" s="65" t="str">
        <f>IFERROR(__xludf.DUMMYFUNCTION("""COMPUTED_VALUE"""),"José Luis. Díaz Salazar")</f>
        <v>José Luis. Díaz Salazar</v>
      </c>
      <c r="F1012" s="65" t="str">
        <f>IFERROR(__xludf.DUMMYFUNCTION("""COMPUTED_VALUE"""),"988512543")</f>
        <v>988512543</v>
      </c>
      <c r="G1012" s="65" t="str">
        <f>IFERROR(__xludf.DUMMYFUNCTION("""COMPUTED_VALUE"""),"diassalazarjoseluis@gmail.com")</f>
        <v>diassalazarjoseluis@gmail.com</v>
      </c>
      <c r="H1012" s="65"/>
      <c r="I1012" s="65"/>
      <c r="J1012" s="65" t="str">
        <f>IFERROR(__xludf.DUMMYFUNCTION("""COMPUTED_VALUE"""),"D001304708")</f>
        <v>D001304708</v>
      </c>
      <c r="K1012" s="65" t="str">
        <f>IFERROR(__xludf.DUMMYFUNCTION("""COMPUTED_VALUE"""),"ENTREGADO")</f>
        <v>ENTREGADO</v>
      </c>
      <c r="L1012" s="65" t="str">
        <f>IFERROR(__xludf.DUMMYFUNCTION("""COMPUTED_VALUE"""),"CON RECAUDO")</f>
        <v>CON RECAUDO</v>
      </c>
      <c r="M1012" s="65" t="str">
        <f>IFERROR(__xludf.DUMMYFUNCTION("""COMPUTED_VALUE"""),"MORONA SANTIAGO")</f>
        <v>MORONA SANTIAGO</v>
      </c>
      <c r="N1012" s="65" t="str">
        <f>IFERROR(__xludf.DUMMYFUNCTION("""COMPUTED_VALUE"""),"MACAS")</f>
        <v>MACAS</v>
      </c>
      <c r="O1012" s="65" t="str">
        <f>IFERROR(__xludf.DUMMYFUNCTION("""COMPUTED_VALUE"""),"Calle Juan de la Cruz y guamote barbería José styl Al lado de la costurería -")</f>
        <v>Calle Juan de la Cruz y guamote barbería José styl Al lado de la costurería -</v>
      </c>
      <c r="P1012" s="65"/>
      <c r="Q1012" s="65" t="str">
        <f>IFERROR(__xludf.DUMMYFUNCTION("""COMPUTED_VALUE"""),"GINTRACOM")</f>
        <v>GINTRACOM</v>
      </c>
      <c r="R1012" s="65">
        <f>IFERROR(__xludf.DUMMYFUNCTION("""COMPUTED_VALUE"""),22.0)</f>
        <v>22</v>
      </c>
      <c r="S1012" s="65">
        <f>IFERROR(__xludf.DUMMYFUNCTION("""COMPUTED_VALUE"""),10.96)</f>
        <v>10.96</v>
      </c>
      <c r="T1012" s="65">
        <f>IFERROR(__xludf.DUMMYFUNCTION("""COMPUTED_VALUE"""),5.84)</f>
        <v>5.84</v>
      </c>
      <c r="U1012" s="65">
        <f>IFERROR(__xludf.DUMMYFUNCTION("""COMPUTED_VALUE"""),0.0)</f>
        <v>0</v>
      </c>
      <c r="V1012" s="65">
        <f>IFERROR(__xludf.DUMMYFUNCTION("""COMPUTED_VALUE"""),0.0)</f>
        <v>0</v>
      </c>
      <c r="W1012" s="65">
        <f>IFERROR(__xludf.DUMMYFUNCTION("""COMPUTED_VALUE"""),0.0)</f>
        <v>0</v>
      </c>
      <c r="X1012" s="65">
        <f>IFERROR(__xludf.DUMMYFUNCTION("""COMPUTED_VALUE"""),2.6)</f>
        <v>2.6</v>
      </c>
      <c r="Y1012" s="65">
        <f>IFERROR(__xludf.DUMMYFUNCTION("""COMPUTED_VALUE"""),5.2)</f>
        <v>5.2</v>
      </c>
      <c r="Z1012" s="65">
        <f>IFERROR(__xludf.DUMMYFUNCTION("""COMPUTED_VALUE"""),121983.0)</f>
        <v>121983</v>
      </c>
      <c r="AA1012" s="65" t="str">
        <f>IFERROR(__xludf.DUMMYFUNCTION("""COMPUTED_VALUE"""),"PROV-CHLLCF")</f>
        <v>PROV-CHLLCF</v>
      </c>
      <c r="AB1012" s="65"/>
      <c r="AC1012" s="65" t="str">
        <f>IFERROR(__xludf.DUMMYFUNCTION("""COMPUTED_VALUE"""),"CUCHILLO PARA CHEF")</f>
        <v>CUCHILLO PARA CHEF</v>
      </c>
      <c r="AD1012" s="65"/>
      <c r="AE1012" s="65">
        <f>IFERROR(__xludf.DUMMYFUNCTION("""COMPUTED_VALUE"""),2.0)</f>
        <v>2</v>
      </c>
      <c r="AF1012" s="65"/>
      <c r="AG1012" s="65"/>
      <c r="AH1012" s="65"/>
      <c r="AI1012" s="65"/>
      <c r="AJ1012" s="65"/>
      <c r="AK1012" s="65"/>
      <c r="AL1012" s="65"/>
      <c r="AM1012" s="65"/>
      <c r="AN1012" s="65" t="str">
        <f>IFERROR(__xludf.DUMMYFUNCTION("""COMPUTED_VALUE"""),"12:17")</f>
        <v>12:17</v>
      </c>
      <c r="AO1012" s="65" t="str">
        <f>IFERROR(__xludf.DUMMYFUNCTION("""COMPUTED_VALUE"""),"10-02-2026")</f>
        <v>10-02-2026</v>
      </c>
      <c r="AP1012" s="65" t="str">
        <f>IFERROR(__xludf.DUMMYFUNCTION("""COMPUTED_VALUE"""),"EN REPARTO")</f>
        <v>EN REPARTO</v>
      </c>
      <c r="AQ1012" s="65" t="str">
        <f>IFERROR(__xludf.DUMMYFUNCTION("""COMPUTED_VALUE"""),"EN REPARTO")</f>
        <v>EN REPARTO</v>
      </c>
      <c r="AR1012" s="65"/>
      <c r="AS1012" s="65"/>
      <c r="AT1012" s="65" t="str">
        <f>IFERROR(__xludf.DUMMYFUNCTION("""COMPUTED_VALUE"""),"SHOPIFY")</f>
        <v>SHOPIFY</v>
      </c>
      <c r="AU1012" s="65" t="str">
        <f>IFERROR(__xludf.DUMMYFUNCTION("""COMPUTED_VALUE"""),"IMPORTEX EC")</f>
        <v>IMPORTEX EC</v>
      </c>
      <c r="AV1012" s="65" t="str">
        <f>IFERROR(__xludf.DUMMYFUNCTION("""COMPUTED_VALUE"""),"6482273697836")</f>
        <v>6482273697836</v>
      </c>
      <c r="AW1012" s="65">
        <f>IFERROR(__xludf.DUMMYFUNCTION("""COMPUTED_VALUE"""),5880.0)</f>
        <v>5880</v>
      </c>
      <c r="AX1012" s="65"/>
      <c r="AY1012" s="65" t="str">
        <f>IFERROR(__xludf.DUMMYFUNCTION("""COMPUTED_VALUE"""),"07/02/2026")</f>
        <v>07/02/2026</v>
      </c>
      <c r="AZ1012" s="65"/>
      <c r="BA1012" s="65"/>
    </row>
    <row r="1013">
      <c r="A1013" s="65" t="str">
        <f>IFERROR(__xludf.DUMMYFUNCTION("""COMPUTED_VALUE"""),"27-03-2026")</f>
        <v>27-03-2026</v>
      </c>
      <c r="B1013" s="65">
        <f>IFERROR(__xludf.DUMMYFUNCTION("""COMPUTED_VALUE"""),4420847.0)</f>
        <v>4420847</v>
      </c>
      <c r="C1013" s="65" t="str">
        <f>IFERROR(__xludf.DUMMYFUNCTION("""COMPUTED_VALUE"""),"15:35")</f>
        <v>15:35</v>
      </c>
      <c r="D1013" s="65" t="str">
        <f>IFERROR(__xludf.DUMMYFUNCTION("""COMPUTED_VALUE"""),"06-02-2026")</f>
        <v>06-02-2026</v>
      </c>
      <c r="E1013" s="65" t="str">
        <f>IFERROR(__xludf.DUMMYFUNCTION("""COMPUTED_VALUE"""),"Erik Obando")</f>
        <v>Erik Obando</v>
      </c>
      <c r="F1013" s="65" t="str">
        <f>IFERROR(__xludf.DUMMYFUNCTION("""COMPUTED_VALUE"""),"998930648")</f>
        <v>998930648</v>
      </c>
      <c r="G1013" s="65" t="str">
        <f>IFERROR(__xludf.DUMMYFUNCTION("""COMPUTED_VALUE"""),"erikobando94@gmail.com")</f>
        <v>erikobando94@gmail.com</v>
      </c>
      <c r="H1013" s="65"/>
      <c r="I1013" s="65"/>
      <c r="J1013" s="65"/>
      <c r="K1013" s="65" t="str">
        <f>IFERROR(__xludf.DUMMYFUNCTION("""COMPUTED_VALUE"""),"PENDIENTE CONFIRMACION")</f>
        <v>PENDIENTE CONFIRMACION</v>
      </c>
      <c r="L1013" s="65" t="str">
        <f>IFERROR(__xludf.DUMMYFUNCTION("""COMPUTED_VALUE"""),"CON RECAUDO")</f>
        <v>CON RECAUDO</v>
      </c>
      <c r="M1013" s="65" t="str">
        <f>IFERROR(__xludf.DUMMYFUNCTION("""COMPUTED_VALUE"""),"SANTO DOMINGO DE LOS TSACHILAS")</f>
        <v>SANTO DOMINGO DE LOS TSACHILAS</v>
      </c>
      <c r="N1013" s="65" t="str">
        <f>IFERROR(__xludf.DUMMYFUNCTION("""COMPUTED_VALUE"""),"SANTO DOMINGO")</f>
        <v>SANTO DOMINGO</v>
      </c>
      <c r="O1013" s="65" t="str">
        <f>IFERROR(__xludf.DUMMYFUNCTION("""COMPUTED_VALUE"""),"Ave. Esmeraldas y guayaquil Av. guayaquil y Calle chaupicruz -")</f>
        <v>Ave. Esmeraldas y guayaquil Av. guayaquil y Calle chaupicruz -</v>
      </c>
      <c r="P1013" s="65"/>
      <c r="Q1013" s="65" t="str">
        <f>IFERROR(__xludf.DUMMYFUNCTION("""COMPUTED_VALUE"""),"GINTRACOM")</f>
        <v>GINTRACOM</v>
      </c>
      <c r="R1013" s="65">
        <f>IFERROR(__xludf.DUMMYFUNCTION("""COMPUTED_VALUE"""),25.0)</f>
        <v>25</v>
      </c>
      <c r="S1013" s="65"/>
      <c r="T1013" s="65">
        <f>IFERROR(__xludf.DUMMYFUNCTION("""COMPUTED_VALUE"""),5.96)</f>
        <v>5.96</v>
      </c>
      <c r="U1013" s="65">
        <f>IFERROR(__xludf.DUMMYFUNCTION("""COMPUTED_VALUE"""),0.0)</f>
        <v>0</v>
      </c>
      <c r="V1013" s="65">
        <f>IFERROR(__xludf.DUMMYFUNCTION("""COMPUTED_VALUE"""),0.0)</f>
        <v>0</v>
      </c>
      <c r="W1013" s="65">
        <f>IFERROR(__xludf.DUMMYFUNCTION("""COMPUTED_VALUE"""),0.0)</f>
        <v>0</v>
      </c>
      <c r="X1013" s="65">
        <f>IFERROR(__xludf.DUMMYFUNCTION("""COMPUTED_VALUE"""),2.2)</f>
        <v>2.2</v>
      </c>
      <c r="Y1013" s="65">
        <f>IFERROR(__xludf.DUMMYFUNCTION("""COMPUTED_VALUE"""),4.4)</f>
        <v>4.4</v>
      </c>
      <c r="Z1013" s="65">
        <f>IFERROR(__xludf.DUMMYFUNCTION("""COMPUTED_VALUE"""),111894.0)</f>
        <v>111894</v>
      </c>
      <c r="AA1013" s="65" t="str">
        <f>IFERROR(__xludf.DUMMYFUNCTION("""COMPUTED_VALUE"""),"LYIC5M40067")</f>
        <v>LYIC5M40067</v>
      </c>
      <c r="AB1013" s="65"/>
      <c r="AC1013" s="65" t="str">
        <f>IFERROR(__xludf.DUMMYFUNCTION("""COMPUTED_VALUE"""),"Limpiador de Parabrisas y Ventanas")</f>
        <v>Limpiador de Parabrisas y Ventanas</v>
      </c>
      <c r="AD1013" s="65"/>
      <c r="AE1013" s="65">
        <f>IFERROR(__xludf.DUMMYFUNCTION("""COMPUTED_VALUE"""),2.0)</f>
        <v>2</v>
      </c>
      <c r="AF1013" s="65"/>
      <c r="AG1013" s="65"/>
      <c r="AH1013" s="65"/>
      <c r="AI1013" s="65"/>
      <c r="AJ1013" s="65"/>
      <c r="AK1013" s="65"/>
      <c r="AL1013" s="65"/>
      <c r="AM1013" s="65"/>
      <c r="AN1013" s="65"/>
      <c r="AO1013" s="65"/>
      <c r="AP1013" s="65"/>
      <c r="AQ1013" s="65"/>
      <c r="AR1013" s="65"/>
      <c r="AS1013" s="65"/>
      <c r="AT1013" s="65" t="str">
        <f>IFERROR(__xludf.DUMMYFUNCTION("""COMPUTED_VALUE"""),"SHOPIFY")</f>
        <v>SHOPIFY</v>
      </c>
      <c r="AU1013" s="65" t="str">
        <f>IFERROR(__xludf.DUMMYFUNCTION("""COMPUTED_VALUE"""),"IMPORTEX EC")</f>
        <v>IMPORTEX EC</v>
      </c>
      <c r="AV1013" s="65" t="str">
        <f>IFERROR(__xludf.DUMMYFUNCTION("""COMPUTED_VALUE"""),"6480238936108")</f>
        <v>6480238936108</v>
      </c>
      <c r="AW1013" s="65">
        <f>IFERROR(__xludf.DUMMYFUNCTION("""COMPUTED_VALUE"""),5841.0)</f>
        <v>5841</v>
      </c>
      <c r="AX1013" s="65"/>
      <c r="AY1013" s="65"/>
      <c r="AZ1013" s="65"/>
      <c r="BA1013" s="65"/>
    </row>
    <row r="1014">
      <c r="A1014" s="65" t="str">
        <f>IFERROR(__xludf.DUMMYFUNCTION("""COMPUTED_VALUE"""),"27-03-2026")</f>
        <v>27-03-2026</v>
      </c>
      <c r="B1014" s="65">
        <f>IFERROR(__xludf.DUMMYFUNCTION("""COMPUTED_VALUE"""),4418777.0)</f>
        <v>4418777</v>
      </c>
      <c r="C1014" s="65" t="str">
        <f>IFERROR(__xludf.DUMMYFUNCTION("""COMPUTED_VALUE"""),"12:13")</f>
        <v>12:13</v>
      </c>
      <c r="D1014" s="65" t="str">
        <f>IFERROR(__xludf.DUMMYFUNCTION("""COMPUTED_VALUE"""),"06-02-2026")</f>
        <v>06-02-2026</v>
      </c>
      <c r="E1014" s="65" t="str">
        <f>IFERROR(__xludf.DUMMYFUNCTION("""COMPUTED_VALUE"""),"Juan Calle")</f>
        <v>Juan Calle</v>
      </c>
      <c r="F1014" s="65" t="str">
        <f>IFERROR(__xludf.DUMMYFUNCTION("""COMPUTED_VALUE"""),"990175683")</f>
        <v>990175683</v>
      </c>
      <c r="G1014" s="65" t="str">
        <f>IFERROR(__xludf.DUMMYFUNCTION("""COMPUTED_VALUE"""),"juanpacalleavila@gmail.com")</f>
        <v>juanpacalleavila@gmail.com</v>
      </c>
      <c r="H1014" s="65"/>
      <c r="I1014" s="65"/>
      <c r="J1014" s="65" t="str">
        <f>IFERROR(__xludf.DUMMYFUNCTION("""COMPUTED_VALUE"""),"D001304716")</f>
        <v>D001304716</v>
      </c>
      <c r="K1014" s="65" t="str">
        <f>IFERROR(__xludf.DUMMYFUNCTION("""COMPUTED_VALUE"""),"ENTREGADO")</f>
        <v>ENTREGADO</v>
      </c>
      <c r="L1014" s="65" t="str">
        <f>IFERROR(__xludf.DUMMYFUNCTION("""COMPUTED_VALUE"""),"CON RECAUDO")</f>
        <v>CON RECAUDO</v>
      </c>
      <c r="M1014" s="65" t="str">
        <f>IFERROR(__xludf.DUMMYFUNCTION("""COMPUTED_VALUE"""),"AZUAY")</f>
        <v>AZUAY</v>
      </c>
      <c r="N1014" s="65" t="str">
        <f>IFERROR(__xludf.DUMMYFUNCTION("""COMPUTED_VALUE"""),"CUENCA")</f>
        <v>CUENCA</v>
      </c>
      <c r="O1014" s="65" t="str">
        <f>IFERROR(__xludf.DUMMYFUNCTION("""COMPUTED_VALUE"""),"Los Andes y hurtado de Mendoza,  casa 9-43 - La casa está ubicada a lado de una tienda donde venden jugos naturales a lado de la para de buses Totoracocha -")</f>
        <v>Los Andes y hurtado de Mendoza,  casa 9-43 - La casa está ubicada a lado de una tienda donde venden jugos naturales a lado de la para de buses Totoracocha -</v>
      </c>
      <c r="P1014" s="65"/>
      <c r="Q1014" s="65" t="str">
        <f>IFERROR(__xludf.DUMMYFUNCTION("""COMPUTED_VALUE"""),"GINTRACOM")</f>
        <v>GINTRACOM</v>
      </c>
      <c r="R1014" s="65">
        <f>IFERROR(__xludf.DUMMYFUNCTION("""COMPUTED_VALUE"""),27.0)</f>
        <v>27</v>
      </c>
      <c r="S1014" s="65">
        <f>IFERROR(__xludf.DUMMYFUNCTION("""COMPUTED_VALUE"""),13.17)</f>
        <v>13.17</v>
      </c>
      <c r="T1014" s="65">
        <f>IFERROR(__xludf.DUMMYFUNCTION("""COMPUTED_VALUE"""),6.03)</f>
        <v>6.03</v>
      </c>
      <c r="U1014" s="65">
        <f>IFERROR(__xludf.DUMMYFUNCTION("""COMPUTED_VALUE"""),0.0)</f>
        <v>0</v>
      </c>
      <c r="V1014" s="65">
        <f>IFERROR(__xludf.DUMMYFUNCTION("""COMPUTED_VALUE"""),0.0)</f>
        <v>0</v>
      </c>
      <c r="W1014" s="65">
        <f>IFERROR(__xludf.DUMMYFUNCTION("""COMPUTED_VALUE"""),0.0)</f>
        <v>0</v>
      </c>
      <c r="X1014" s="65">
        <f>IFERROR(__xludf.DUMMYFUNCTION("""COMPUTED_VALUE"""),2.6)</f>
        <v>2.6</v>
      </c>
      <c r="Y1014" s="65">
        <f>IFERROR(__xludf.DUMMYFUNCTION("""COMPUTED_VALUE"""),7.8)</f>
        <v>7.8</v>
      </c>
      <c r="Z1014" s="65">
        <f>IFERROR(__xludf.DUMMYFUNCTION("""COMPUTED_VALUE"""),121983.0)</f>
        <v>121983</v>
      </c>
      <c r="AA1014" s="65" t="str">
        <f>IFERROR(__xludf.DUMMYFUNCTION("""COMPUTED_VALUE"""),"PROV-CHLLCF")</f>
        <v>PROV-CHLLCF</v>
      </c>
      <c r="AB1014" s="65"/>
      <c r="AC1014" s="65" t="str">
        <f>IFERROR(__xludf.DUMMYFUNCTION("""COMPUTED_VALUE"""),"CUCHILLO PARA CHEF")</f>
        <v>CUCHILLO PARA CHEF</v>
      </c>
      <c r="AD1014" s="65"/>
      <c r="AE1014" s="65">
        <f>IFERROR(__xludf.DUMMYFUNCTION("""COMPUTED_VALUE"""),3.0)</f>
        <v>3</v>
      </c>
      <c r="AF1014" s="65"/>
      <c r="AG1014" s="65"/>
      <c r="AH1014" s="65"/>
      <c r="AI1014" s="65"/>
      <c r="AJ1014" s="65"/>
      <c r="AK1014" s="65"/>
      <c r="AL1014" s="65"/>
      <c r="AM1014" s="65"/>
      <c r="AN1014" s="65" t="str">
        <f>IFERROR(__xludf.DUMMYFUNCTION("""COMPUTED_VALUE"""),"14:57")</f>
        <v>14:57</v>
      </c>
      <c r="AO1014" s="65" t="str">
        <f>IFERROR(__xludf.DUMMYFUNCTION("""COMPUTED_VALUE"""),"09-02-2026")</f>
        <v>09-02-2026</v>
      </c>
      <c r="AP1014" s="65" t="str">
        <f>IFERROR(__xludf.DUMMYFUNCTION("""COMPUTED_VALUE"""),"ENTREGADA GINTRACOM")</f>
        <v>ENTREGADA GINTRACOM</v>
      </c>
      <c r="AQ1014" s="65" t="str">
        <f>IFERROR(__xludf.DUMMYFUNCTION("""COMPUTED_VALUE"""),"ENTREGADA GINTRACOM")</f>
        <v>ENTREGADA GINTRACOM</v>
      </c>
      <c r="AR1014" s="65"/>
      <c r="AS1014" s="65"/>
      <c r="AT1014" s="65" t="str">
        <f>IFERROR(__xludf.DUMMYFUNCTION("""COMPUTED_VALUE"""),"SHOPIFY")</f>
        <v>SHOPIFY</v>
      </c>
      <c r="AU1014" s="65" t="str">
        <f>IFERROR(__xludf.DUMMYFUNCTION("""COMPUTED_VALUE"""),"IMPORTEX EC")</f>
        <v>IMPORTEX EC</v>
      </c>
      <c r="AV1014" s="65" t="str">
        <f>IFERROR(__xludf.DUMMYFUNCTION("""COMPUTED_VALUE"""),"6479650947116")</f>
        <v>6479650947116</v>
      </c>
      <c r="AW1014" s="65">
        <f>IFERROR(__xludf.DUMMYFUNCTION("""COMPUTED_VALUE"""),5832.0)</f>
        <v>5832</v>
      </c>
      <c r="AX1014" s="65"/>
      <c r="AY1014" s="65" t="str">
        <f>IFERROR(__xludf.DUMMYFUNCTION("""COMPUTED_VALUE"""),"07/02/2026")</f>
        <v>07/02/2026</v>
      </c>
      <c r="AZ1014" s="65"/>
      <c r="BA1014" s="65"/>
    </row>
    <row r="1015">
      <c r="A1015" s="65" t="str">
        <f>IFERROR(__xludf.DUMMYFUNCTION("""COMPUTED_VALUE"""),"27-03-2026")</f>
        <v>27-03-2026</v>
      </c>
      <c r="B1015" s="65">
        <f>IFERROR(__xludf.DUMMYFUNCTION("""COMPUTED_VALUE"""),4418776.0)</f>
        <v>4418776</v>
      </c>
      <c r="C1015" s="65" t="str">
        <f>IFERROR(__xludf.DUMMYFUNCTION("""COMPUTED_VALUE"""),"12:12")</f>
        <v>12:12</v>
      </c>
      <c r="D1015" s="65" t="str">
        <f>IFERROR(__xludf.DUMMYFUNCTION("""COMPUTED_VALUE"""),"06-02-2026")</f>
        <v>06-02-2026</v>
      </c>
      <c r="E1015" s="65" t="str">
        <f>IFERROR(__xludf.DUMMYFUNCTION("""COMPUTED_VALUE"""),"Alexis Mero")</f>
        <v>Alexis Mero</v>
      </c>
      <c r="F1015" s="65" t="str">
        <f>IFERROR(__xludf.DUMMYFUNCTION("""COMPUTED_VALUE"""),"998844838")</f>
        <v>998844838</v>
      </c>
      <c r="G1015" s="65" t="str">
        <f>IFERROR(__xludf.DUMMYFUNCTION("""COMPUTED_VALUE"""),"merosteven07@gmail.comm")</f>
        <v>merosteven07@gmail.comm</v>
      </c>
      <c r="H1015" s="65"/>
      <c r="I1015" s="65"/>
      <c r="J1015" s="65"/>
      <c r="K1015" s="65" t="str">
        <f>IFERROR(__xludf.DUMMYFUNCTION("""COMPUTED_VALUE"""),"PENDIENTE CONFIRMACION")</f>
        <v>PENDIENTE CONFIRMACION</v>
      </c>
      <c r="L1015" s="65" t="str">
        <f>IFERROR(__xludf.DUMMYFUNCTION("""COMPUTED_VALUE"""),"CON RECAUDO")</f>
        <v>CON RECAUDO</v>
      </c>
      <c r="M1015" s="65" t="str">
        <f>IFERROR(__xludf.DUMMYFUNCTION("""COMPUTED_VALUE"""),"MANABI")</f>
        <v>MANABI</v>
      </c>
      <c r="N1015" s="65" t="str">
        <f>IFERROR(__xludf.DUMMYFUNCTION("""COMPUTED_VALUE"""),"MANTA")</f>
        <v>MANTA</v>
      </c>
      <c r="O1015" s="65" t="str">
        <f>IFERROR(__xludf.DUMMYFUNCTION("""COMPUTED_VALUE"""),"Ciudadela 15 de abril. Calle 325 y AV216 15 de abril -")</f>
        <v>Ciudadela 15 de abril. Calle 325 y AV216 15 de abril -</v>
      </c>
      <c r="P1015" s="65"/>
      <c r="Q1015" s="65" t="str">
        <f>IFERROR(__xludf.DUMMYFUNCTION("""COMPUTED_VALUE"""),"GINTRACOM")</f>
        <v>GINTRACOM</v>
      </c>
      <c r="R1015" s="65">
        <f>IFERROR(__xludf.DUMMYFUNCTION("""COMPUTED_VALUE"""),25.0)</f>
        <v>25</v>
      </c>
      <c r="S1015" s="65"/>
      <c r="T1015" s="65">
        <f>IFERROR(__xludf.DUMMYFUNCTION("""COMPUTED_VALUE"""),5.96)</f>
        <v>5.96</v>
      </c>
      <c r="U1015" s="65">
        <f>IFERROR(__xludf.DUMMYFUNCTION("""COMPUTED_VALUE"""),0.0)</f>
        <v>0</v>
      </c>
      <c r="V1015" s="65">
        <f>IFERROR(__xludf.DUMMYFUNCTION("""COMPUTED_VALUE"""),0.0)</f>
        <v>0</v>
      </c>
      <c r="W1015" s="65">
        <f>IFERROR(__xludf.DUMMYFUNCTION("""COMPUTED_VALUE"""),0.0)</f>
        <v>0</v>
      </c>
      <c r="X1015" s="65">
        <f>IFERROR(__xludf.DUMMYFUNCTION("""COMPUTED_VALUE"""),2.2)</f>
        <v>2.2</v>
      </c>
      <c r="Y1015" s="65">
        <f>IFERROR(__xludf.DUMMYFUNCTION("""COMPUTED_VALUE"""),4.4)</f>
        <v>4.4</v>
      </c>
      <c r="Z1015" s="65">
        <f>IFERROR(__xludf.DUMMYFUNCTION("""COMPUTED_VALUE"""),111894.0)</f>
        <v>111894</v>
      </c>
      <c r="AA1015" s="65" t="str">
        <f>IFERROR(__xludf.DUMMYFUNCTION("""COMPUTED_VALUE"""),"LYIC5M40067")</f>
        <v>LYIC5M40067</v>
      </c>
      <c r="AB1015" s="65"/>
      <c r="AC1015" s="65" t="str">
        <f>IFERROR(__xludf.DUMMYFUNCTION("""COMPUTED_VALUE"""),"Limpiador de Parabrisas y Ventanas")</f>
        <v>Limpiador de Parabrisas y Ventanas</v>
      </c>
      <c r="AD1015" s="65"/>
      <c r="AE1015" s="65">
        <f>IFERROR(__xludf.DUMMYFUNCTION("""COMPUTED_VALUE"""),2.0)</f>
        <v>2</v>
      </c>
      <c r="AF1015" s="65"/>
      <c r="AG1015" s="65"/>
      <c r="AH1015" s="65"/>
      <c r="AI1015" s="65"/>
      <c r="AJ1015" s="65"/>
      <c r="AK1015" s="65"/>
      <c r="AL1015" s="65"/>
      <c r="AM1015" s="65"/>
      <c r="AN1015" s="65"/>
      <c r="AO1015" s="65"/>
      <c r="AP1015" s="65"/>
      <c r="AQ1015" s="65"/>
      <c r="AR1015" s="65"/>
      <c r="AS1015" s="65"/>
      <c r="AT1015" s="65" t="str">
        <f>IFERROR(__xludf.DUMMYFUNCTION("""COMPUTED_VALUE"""),"SHOPIFY")</f>
        <v>SHOPIFY</v>
      </c>
      <c r="AU1015" s="65" t="str">
        <f>IFERROR(__xludf.DUMMYFUNCTION("""COMPUTED_VALUE"""),"IMPORTEX EC")</f>
        <v>IMPORTEX EC</v>
      </c>
      <c r="AV1015" s="65" t="str">
        <f>IFERROR(__xludf.DUMMYFUNCTION("""COMPUTED_VALUE"""),"6479775989804")</f>
        <v>6479775989804</v>
      </c>
      <c r="AW1015" s="65">
        <f>IFERROR(__xludf.DUMMYFUNCTION("""COMPUTED_VALUE"""),5833.0)</f>
        <v>5833</v>
      </c>
      <c r="AX1015" s="65"/>
      <c r="AY1015" s="65"/>
      <c r="AZ1015" s="65"/>
      <c r="BA1015" s="65"/>
    </row>
    <row r="1016">
      <c r="A1016" s="65" t="str">
        <f>IFERROR(__xludf.DUMMYFUNCTION("""COMPUTED_VALUE"""),"27-03-2026")</f>
        <v>27-03-2026</v>
      </c>
      <c r="B1016" s="65">
        <f>IFERROR(__xludf.DUMMYFUNCTION("""COMPUTED_VALUE"""),4418774.0)</f>
        <v>4418774</v>
      </c>
      <c r="C1016" s="65" t="str">
        <f>IFERROR(__xludf.DUMMYFUNCTION("""COMPUTED_VALUE"""),"12:12")</f>
        <v>12:12</v>
      </c>
      <c r="D1016" s="65" t="str">
        <f>IFERROR(__xludf.DUMMYFUNCTION("""COMPUTED_VALUE"""),"06-02-2026")</f>
        <v>06-02-2026</v>
      </c>
      <c r="E1016" s="65" t="str">
        <f>IFERROR(__xludf.DUMMYFUNCTION("""COMPUTED_VALUE"""),"WILSON CRUZ")</f>
        <v>WILSON CRUZ</v>
      </c>
      <c r="F1016" s="65" t="str">
        <f>IFERROR(__xludf.DUMMYFUNCTION("""COMPUTED_VALUE"""),"998513011")</f>
        <v>998513011</v>
      </c>
      <c r="G1016" s="65" t="str">
        <f>IFERROR(__xludf.DUMMYFUNCTION("""COMPUTED_VALUE"""),"fernancral5@gmail.com")</f>
        <v>fernancral5@gmail.com</v>
      </c>
      <c r="H1016" s="65"/>
      <c r="I1016" s="65"/>
      <c r="J1016" s="65" t="str">
        <f>IFERROR(__xludf.DUMMYFUNCTION("""COMPUTED_VALUE"""),"D001303435")</f>
        <v>D001303435</v>
      </c>
      <c r="K1016" s="65" t="str">
        <f>IFERROR(__xludf.DUMMYFUNCTION("""COMPUTED_VALUE"""),"ENTREGADO")</f>
        <v>ENTREGADO</v>
      </c>
      <c r="L1016" s="65" t="str">
        <f>IFERROR(__xludf.DUMMYFUNCTION("""COMPUTED_VALUE"""),"CON RECAUDO")</f>
        <v>CON RECAUDO</v>
      </c>
      <c r="M1016" s="65" t="str">
        <f>IFERROR(__xludf.DUMMYFUNCTION("""COMPUTED_VALUE"""),"PICHINCHA")</f>
        <v>PICHINCHA</v>
      </c>
      <c r="N1016" s="65" t="str">
        <f>IFERROR(__xludf.DUMMYFUNCTION("""COMPUTED_VALUE"""),"QUITO")</f>
        <v>QUITO</v>
      </c>
      <c r="O1016" s="65" t="str">
        <f>IFERROR(__xludf.DUMMYFUNCTION("""COMPUTED_VALUE"""),"Autopista general Rumiñahui San Luis shopping, EN EL REGISTRO CIVIL -  entre semana de 8 am a 17h")</f>
        <v>Autopista general Rumiñahui San Luis shopping, EN EL REGISTRO CIVIL -  entre semana de 8 am a 17h</v>
      </c>
      <c r="P1016" s="65"/>
      <c r="Q1016" s="65" t="str">
        <f>IFERROR(__xludf.DUMMYFUNCTION("""COMPUTED_VALUE"""),"GINTRACOM")</f>
        <v>GINTRACOM</v>
      </c>
      <c r="R1016" s="65">
        <f>IFERROR(__xludf.DUMMYFUNCTION("""COMPUTED_VALUE"""),30.0)</f>
        <v>30</v>
      </c>
      <c r="S1016" s="65">
        <f>IFERROR(__xludf.DUMMYFUNCTION("""COMPUTED_VALUE"""),17.24)</f>
        <v>17.24</v>
      </c>
      <c r="T1016" s="65">
        <f>IFERROR(__xludf.DUMMYFUNCTION("""COMPUTED_VALUE"""),6.16)</f>
        <v>6.16</v>
      </c>
      <c r="U1016" s="65">
        <f>IFERROR(__xludf.DUMMYFUNCTION("""COMPUTED_VALUE"""),0.0)</f>
        <v>0</v>
      </c>
      <c r="V1016" s="65">
        <f>IFERROR(__xludf.DUMMYFUNCTION("""COMPUTED_VALUE"""),0.0)</f>
        <v>0</v>
      </c>
      <c r="W1016" s="65">
        <f>IFERROR(__xludf.DUMMYFUNCTION("""COMPUTED_VALUE"""),0.0)</f>
        <v>0</v>
      </c>
      <c r="X1016" s="65">
        <f>IFERROR(__xludf.DUMMYFUNCTION("""COMPUTED_VALUE"""),2.2)</f>
        <v>2.2</v>
      </c>
      <c r="Y1016" s="65">
        <f>IFERROR(__xludf.DUMMYFUNCTION("""COMPUTED_VALUE"""),6.6)</f>
        <v>6.6</v>
      </c>
      <c r="Z1016" s="65">
        <f>IFERROR(__xludf.DUMMYFUNCTION("""COMPUTED_VALUE"""),111894.0)</f>
        <v>111894</v>
      </c>
      <c r="AA1016" s="65" t="str">
        <f>IFERROR(__xludf.DUMMYFUNCTION("""COMPUTED_VALUE"""),"LYIC5M40067")</f>
        <v>LYIC5M40067</v>
      </c>
      <c r="AB1016" s="65"/>
      <c r="AC1016" s="65" t="str">
        <f>IFERROR(__xludf.DUMMYFUNCTION("""COMPUTED_VALUE"""),"Limpiador de Parabrisas y Ventanas")</f>
        <v>Limpiador de Parabrisas y Ventanas</v>
      </c>
      <c r="AD1016" s="65"/>
      <c r="AE1016" s="65">
        <f>IFERROR(__xludf.DUMMYFUNCTION("""COMPUTED_VALUE"""),3.0)</f>
        <v>3</v>
      </c>
      <c r="AF1016" s="65"/>
      <c r="AG1016" s="65"/>
      <c r="AH1016" s="65"/>
      <c r="AI1016" s="65"/>
      <c r="AJ1016" s="65"/>
      <c r="AK1016" s="65"/>
      <c r="AL1016" s="65"/>
      <c r="AM1016" s="65"/>
      <c r="AN1016" s="65" t="str">
        <f>IFERROR(__xludf.DUMMYFUNCTION("""COMPUTED_VALUE"""),"12:24")</f>
        <v>12:24</v>
      </c>
      <c r="AO1016" s="65" t="str">
        <f>IFERROR(__xludf.DUMMYFUNCTION("""COMPUTED_VALUE"""),"09-02-2026")</f>
        <v>09-02-2026</v>
      </c>
      <c r="AP1016" s="65" t="str">
        <f>IFERROR(__xludf.DUMMYFUNCTION("""COMPUTED_VALUE"""),"ENTREGADA GINTRACOM")</f>
        <v>ENTREGADA GINTRACOM</v>
      </c>
      <c r="AQ1016" s="65" t="str">
        <f>IFERROR(__xludf.DUMMYFUNCTION("""COMPUTED_VALUE"""),"ENTREGADA GINTRACOM")</f>
        <v>ENTREGADA GINTRACOM</v>
      </c>
      <c r="AR1016" s="65"/>
      <c r="AS1016" s="65"/>
      <c r="AT1016" s="65" t="str">
        <f>IFERROR(__xludf.DUMMYFUNCTION("""COMPUTED_VALUE"""),"SHOPIFY")</f>
        <v>SHOPIFY</v>
      </c>
      <c r="AU1016" s="65" t="str">
        <f>IFERROR(__xludf.DUMMYFUNCTION("""COMPUTED_VALUE"""),"IMPORTEX EC")</f>
        <v>IMPORTEX EC</v>
      </c>
      <c r="AV1016" s="65" t="str">
        <f>IFERROR(__xludf.DUMMYFUNCTION("""COMPUTED_VALUE"""),"6479794831404")</f>
        <v>6479794831404</v>
      </c>
      <c r="AW1016" s="65">
        <f>IFERROR(__xludf.DUMMYFUNCTION("""COMPUTED_VALUE"""),5834.0)</f>
        <v>5834</v>
      </c>
      <c r="AX1016" s="65"/>
      <c r="AY1016" s="65" t="str">
        <f>IFERROR(__xludf.DUMMYFUNCTION("""COMPUTED_VALUE"""),"06/02/2026")</f>
        <v>06/02/2026</v>
      </c>
      <c r="AZ1016" s="65"/>
      <c r="BA1016" s="65"/>
    </row>
    <row r="1017">
      <c r="A1017" s="65" t="str">
        <f>IFERROR(__xludf.DUMMYFUNCTION("""COMPUTED_VALUE"""),"27-03-2026")</f>
        <v>27-03-2026</v>
      </c>
      <c r="B1017" s="65">
        <f>IFERROR(__xludf.DUMMYFUNCTION("""COMPUTED_VALUE"""),4418770.0)</f>
        <v>4418770</v>
      </c>
      <c r="C1017" s="65" t="str">
        <f>IFERROR(__xludf.DUMMYFUNCTION("""COMPUTED_VALUE"""),"12:12")</f>
        <v>12:12</v>
      </c>
      <c r="D1017" s="65" t="str">
        <f>IFERROR(__xludf.DUMMYFUNCTION("""COMPUTED_VALUE"""),"06-02-2026")</f>
        <v>06-02-2026</v>
      </c>
      <c r="E1017" s="65" t="str">
        <f>IFERROR(__xludf.DUMMYFUNCTION("""COMPUTED_VALUE"""),"Roberto Cepeda")</f>
        <v>Roberto Cepeda</v>
      </c>
      <c r="F1017" s="65" t="str">
        <f>IFERROR(__xludf.DUMMYFUNCTION("""COMPUTED_VALUE"""),"989272573")</f>
        <v>989272573</v>
      </c>
      <c r="G1017" s="65" t="str">
        <f>IFERROR(__xludf.DUMMYFUNCTION("""COMPUTED_VALUE"""),"rc3384586@gmail.com")</f>
        <v>rc3384586@gmail.com</v>
      </c>
      <c r="H1017" s="65"/>
      <c r="I1017" s="65"/>
      <c r="J1017" s="65" t="str">
        <f>IFERROR(__xludf.DUMMYFUNCTION("""COMPUTED_VALUE"""),"D001303436")</f>
        <v>D001303436</v>
      </c>
      <c r="K1017" s="65" t="str">
        <f>IFERROR(__xludf.DUMMYFUNCTION("""COMPUTED_VALUE"""),"ENTREGADO")</f>
        <v>ENTREGADO</v>
      </c>
      <c r="L1017" s="65" t="str">
        <f>IFERROR(__xludf.DUMMYFUNCTION("""COMPUTED_VALUE"""),"CON RECAUDO")</f>
        <v>CON RECAUDO</v>
      </c>
      <c r="M1017" s="65" t="str">
        <f>IFERROR(__xludf.DUMMYFUNCTION("""COMPUTED_VALUE"""),"GUAYAS")</f>
        <v>GUAYAS</v>
      </c>
      <c r="N1017" s="65" t="str">
        <f>IFERROR(__xludf.DUMMYFUNCTION("""COMPUTED_VALUE"""),"GUAYAQUIL")</f>
        <v>GUAYAQUIL</v>
      </c>
      <c r="O1017" s="65" t="str">
        <f>IFERROR(__xludf.DUMMYFUNCTION("""COMPUTED_VALUE"""),"En el Parque Acuatico Av  Guano  sector: Juan Montalvo Ficoa de motalvo")</f>
        <v>En el Parque Acuatico Av  Guano  sector: Juan Montalvo Ficoa de motalvo</v>
      </c>
      <c r="P1017" s="65"/>
      <c r="Q1017" s="65" t="str">
        <f>IFERROR(__xludf.DUMMYFUNCTION("""COMPUTED_VALUE"""),"GINTRACOM")</f>
        <v>GINTRACOM</v>
      </c>
      <c r="R1017" s="65">
        <f>IFERROR(__xludf.DUMMYFUNCTION("""COMPUTED_VALUE"""),30.0)</f>
        <v>30</v>
      </c>
      <c r="S1017" s="65">
        <f>IFERROR(__xludf.DUMMYFUNCTION("""COMPUTED_VALUE"""),18.85)</f>
        <v>18.85</v>
      </c>
      <c r="T1017" s="65">
        <f>IFERROR(__xludf.DUMMYFUNCTION("""COMPUTED_VALUE"""),4.55)</f>
        <v>4.55</v>
      </c>
      <c r="U1017" s="65">
        <f>IFERROR(__xludf.DUMMYFUNCTION("""COMPUTED_VALUE"""),0.0)</f>
        <v>0</v>
      </c>
      <c r="V1017" s="65">
        <f>IFERROR(__xludf.DUMMYFUNCTION("""COMPUTED_VALUE"""),0.0)</f>
        <v>0</v>
      </c>
      <c r="W1017" s="65">
        <f>IFERROR(__xludf.DUMMYFUNCTION("""COMPUTED_VALUE"""),0.0)</f>
        <v>0</v>
      </c>
      <c r="X1017" s="65">
        <f>IFERROR(__xludf.DUMMYFUNCTION("""COMPUTED_VALUE"""),2.2)</f>
        <v>2.2</v>
      </c>
      <c r="Y1017" s="65">
        <f>IFERROR(__xludf.DUMMYFUNCTION("""COMPUTED_VALUE"""),6.6)</f>
        <v>6.6</v>
      </c>
      <c r="Z1017" s="65">
        <f>IFERROR(__xludf.DUMMYFUNCTION("""COMPUTED_VALUE"""),111894.0)</f>
        <v>111894</v>
      </c>
      <c r="AA1017" s="65" t="str">
        <f>IFERROR(__xludf.DUMMYFUNCTION("""COMPUTED_VALUE"""),"LYIC5M40067")</f>
        <v>LYIC5M40067</v>
      </c>
      <c r="AB1017" s="65"/>
      <c r="AC1017" s="65" t="str">
        <f>IFERROR(__xludf.DUMMYFUNCTION("""COMPUTED_VALUE"""),"Limpiador de Parabrisas y Ventanas")</f>
        <v>Limpiador de Parabrisas y Ventanas</v>
      </c>
      <c r="AD1017" s="65"/>
      <c r="AE1017" s="65">
        <f>IFERROR(__xludf.DUMMYFUNCTION("""COMPUTED_VALUE"""),3.0)</f>
        <v>3</v>
      </c>
      <c r="AF1017" s="65" t="str">
        <f>IFERROR(__xludf.DUMMYFUNCTION("""COMPUTED_VALUE"""),"DESTINATARIO NO CONTESTA LLAMADAS NI WHATSAPP")</f>
        <v>DESTINATARIO NO CONTESTA LLAMADAS NI WHATSAPP</v>
      </c>
      <c r="AG1017" s="65" t="str">
        <f>IFERROR(__xludf.DUMMYFUNCTION("""COMPUTED_VALUE"""),"NO")</f>
        <v>NO</v>
      </c>
      <c r="AH1017" s="65" t="str">
        <f>IFERROR(__xludf.DUMMYFUNCTION("""COMPUTED_VALUE"""),"18:26")</f>
        <v>18:26</v>
      </c>
      <c r="AI1017" s="65" t="str">
        <f>IFERROR(__xludf.DUMMYFUNCTION("""COMPUTED_VALUE"""),"13-02-2026")</f>
        <v>13-02-2026</v>
      </c>
      <c r="AJ1017" s="65"/>
      <c r="AK1017" s="65"/>
      <c r="AL1017" s="65"/>
      <c r="AM1017" s="65"/>
      <c r="AN1017" s="65" t="str">
        <f>IFERROR(__xludf.DUMMYFUNCTION("""COMPUTED_VALUE"""),"17:18")</f>
        <v>17:18</v>
      </c>
      <c r="AO1017" s="65" t="str">
        <f>IFERROR(__xludf.DUMMYFUNCTION("""COMPUTED_VALUE"""),"14-02-2026")</f>
        <v>14-02-2026</v>
      </c>
      <c r="AP1017" s="65" t="str">
        <f>IFERROR(__xludf.DUMMYFUNCTION("""COMPUTED_VALUE"""),"ENTREGADA GINTRACOM")</f>
        <v>ENTREGADA GINTRACOM</v>
      </c>
      <c r="AQ1017" s="65" t="str">
        <f>IFERROR(__xludf.DUMMYFUNCTION("""COMPUTED_VALUE"""),"ENTREGADA GINTRACOM")</f>
        <v>ENTREGADA GINTRACOM</v>
      </c>
      <c r="AR1017" s="65"/>
      <c r="AS1017" s="65"/>
      <c r="AT1017" s="65" t="str">
        <f>IFERROR(__xludf.DUMMYFUNCTION("""COMPUTED_VALUE"""),"SHOPIFY")</f>
        <v>SHOPIFY</v>
      </c>
      <c r="AU1017" s="65" t="str">
        <f>IFERROR(__xludf.DUMMYFUNCTION("""COMPUTED_VALUE"""),"IMPORTEX EC")</f>
        <v>IMPORTEX EC</v>
      </c>
      <c r="AV1017" s="65" t="str">
        <f>IFERROR(__xludf.DUMMYFUNCTION("""COMPUTED_VALUE"""),"6479882027052")</f>
        <v>6479882027052</v>
      </c>
      <c r="AW1017" s="65">
        <f>IFERROR(__xludf.DUMMYFUNCTION("""COMPUTED_VALUE"""),5835.0)</f>
        <v>5835</v>
      </c>
      <c r="AX1017" s="65"/>
      <c r="AY1017" s="65" t="str">
        <f>IFERROR(__xludf.DUMMYFUNCTION("""COMPUTED_VALUE"""),"06/02/2026")</f>
        <v>06/02/2026</v>
      </c>
      <c r="AZ1017" s="65"/>
      <c r="BA1017" s="65"/>
    </row>
    <row r="1018">
      <c r="A1018" s="65" t="str">
        <f>IFERROR(__xludf.DUMMYFUNCTION("""COMPUTED_VALUE"""),"27-03-2026")</f>
        <v>27-03-2026</v>
      </c>
      <c r="B1018" s="65">
        <f>IFERROR(__xludf.DUMMYFUNCTION("""COMPUTED_VALUE"""),4418766.0)</f>
        <v>4418766</v>
      </c>
      <c r="C1018" s="65" t="str">
        <f>IFERROR(__xludf.DUMMYFUNCTION("""COMPUTED_VALUE"""),"12:12")</f>
        <v>12:12</v>
      </c>
      <c r="D1018" s="65" t="str">
        <f>IFERROR(__xludf.DUMMYFUNCTION("""COMPUTED_VALUE"""),"06-02-2026")</f>
        <v>06-02-2026</v>
      </c>
      <c r="E1018" s="65" t="str">
        <f>IFERROR(__xludf.DUMMYFUNCTION("""COMPUTED_VALUE"""),"Tito Andrade")</f>
        <v>Tito Andrade</v>
      </c>
      <c r="F1018" s="65" t="str">
        <f>IFERROR(__xludf.DUMMYFUNCTION("""COMPUTED_VALUE"""),"993044886")</f>
        <v>993044886</v>
      </c>
      <c r="G1018" s="65" t="str">
        <f>IFERROR(__xludf.DUMMYFUNCTION("""COMPUTED_VALUE"""),"titoandrade1953@hotmail.com")</f>
        <v>titoandrade1953@hotmail.com</v>
      </c>
      <c r="H1018" s="65"/>
      <c r="I1018" s="65"/>
      <c r="J1018" s="65"/>
      <c r="K1018" s="65" t="str">
        <f>IFERROR(__xludf.DUMMYFUNCTION("""COMPUTED_VALUE"""),"PENDIENTE CONFIRMACION")</f>
        <v>PENDIENTE CONFIRMACION</v>
      </c>
      <c r="L1018" s="65" t="str">
        <f>IFERROR(__xludf.DUMMYFUNCTION("""COMPUTED_VALUE"""),"CON RECAUDO")</f>
        <v>CON RECAUDO</v>
      </c>
      <c r="M1018" s="65" t="str">
        <f>IFERROR(__xludf.DUMMYFUNCTION("""COMPUTED_VALUE"""),"MORONA SANTIAGO")</f>
        <v>MORONA SANTIAGO</v>
      </c>
      <c r="N1018" s="65" t="str">
        <f>IFERROR(__xludf.DUMMYFUNCTION("""COMPUTED_VALUE"""),"SUCUA")</f>
        <v>SUCUA</v>
      </c>
      <c r="O1018" s="65" t="str">
        <f>IFERROR(__xludf.DUMMYFUNCTION("""COMPUTED_VALUE"""),"Julio solis y sor carlota nieto La providencia -")</f>
        <v>Julio solis y sor carlota nieto La providencia -</v>
      </c>
      <c r="P1018" s="65"/>
      <c r="Q1018" s="65" t="str">
        <f>IFERROR(__xludf.DUMMYFUNCTION("""COMPUTED_VALUE"""),"LAARCOURIER")</f>
        <v>LAARCOURIER</v>
      </c>
      <c r="R1018" s="65">
        <f>IFERROR(__xludf.DUMMYFUNCTION("""COMPUTED_VALUE"""),22.0)</f>
        <v>22</v>
      </c>
      <c r="S1018" s="65"/>
      <c r="T1018" s="65">
        <f>IFERROR(__xludf.DUMMYFUNCTION("""COMPUTED_VALUE"""),8.16)</f>
        <v>8.16</v>
      </c>
      <c r="U1018" s="65">
        <f>IFERROR(__xludf.DUMMYFUNCTION("""COMPUTED_VALUE"""),0.0)</f>
        <v>0</v>
      </c>
      <c r="V1018" s="65">
        <f>IFERROR(__xludf.DUMMYFUNCTION("""COMPUTED_VALUE"""),0.0)</f>
        <v>0</v>
      </c>
      <c r="W1018" s="65">
        <f>IFERROR(__xludf.DUMMYFUNCTION("""COMPUTED_VALUE"""),0.0)</f>
        <v>0</v>
      </c>
      <c r="X1018" s="65">
        <f>IFERROR(__xludf.DUMMYFUNCTION("""COMPUTED_VALUE"""),2.6)</f>
        <v>2.6</v>
      </c>
      <c r="Y1018" s="65">
        <f>IFERROR(__xludf.DUMMYFUNCTION("""COMPUTED_VALUE"""),5.2)</f>
        <v>5.2</v>
      </c>
      <c r="Z1018" s="65">
        <f>IFERROR(__xludf.DUMMYFUNCTION("""COMPUTED_VALUE"""),121983.0)</f>
        <v>121983</v>
      </c>
      <c r="AA1018" s="65" t="str">
        <f>IFERROR(__xludf.DUMMYFUNCTION("""COMPUTED_VALUE"""),"PROV-CHLLCF")</f>
        <v>PROV-CHLLCF</v>
      </c>
      <c r="AB1018" s="65"/>
      <c r="AC1018" s="65" t="str">
        <f>IFERROR(__xludf.DUMMYFUNCTION("""COMPUTED_VALUE"""),"CUCHILLO PARA CHEF")</f>
        <v>CUCHILLO PARA CHEF</v>
      </c>
      <c r="AD1018" s="65"/>
      <c r="AE1018" s="65">
        <f>IFERROR(__xludf.DUMMYFUNCTION("""COMPUTED_VALUE"""),2.0)</f>
        <v>2</v>
      </c>
      <c r="AF1018" s="65"/>
      <c r="AG1018" s="65"/>
      <c r="AH1018" s="65"/>
      <c r="AI1018" s="65"/>
      <c r="AJ1018" s="65"/>
      <c r="AK1018" s="65"/>
      <c r="AL1018" s="65"/>
      <c r="AM1018" s="65"/>
      <c r="AN1018" s="65"/>
      <c r="AO1018" s="65"/>
      <c r="AP1018" s="65"/>
      <c r="AQ1018" s="65"/>
      <c r="AR1018" s="65"/>
      <c r="AS1018" s="65"/>
      <c r="AT1018" s="65" t="str">
        <f>IFERROR(__xludf.DUMMYFUNCTION("""COMPUTED_VALUE"""),"SHOPIFY")</f>
        <v>SHOPIFY</v>
      </c>
      <c r="AU1018" s="65" t="str">
        <f>IFERROR(__xludf.DUMMYFUNCTION("""COMPUTED_VALUE"""),"IMPORTEX EC")</f>
        <v>IMPORTEX EC</v>
      </c>
      <c r="AV1018" s="65" t="str">
        <f>IFERROR(__xludf.DUMMYFUNCTION("""COMPUTED_VALUE"""),"6479912337452")</f>
        <v>6479912337452</v>
      </c>
      <c r="AW1018" s="65">
        <f>IFERROR(__xludf.DUMMYFUNCTION("""COMPUTED_VALUE"""),5836.0)</f>
        <v>5836</v>
      </c>
      <c r="AX1018" s="65"/>
      <c r="AY1018" s="65"/>
      <c r="AZ1018" s="65"/>
      <c r="BA1018" s="65"/>
    </row>
    <row r="1019">
      <c r="A1019" s="65" t="str">
        <f>IFERROR(__xludf.DUMMYFUNCTION("""COMPUTED_VALUE"""),"27-03-2026")</f>
        <v>27-03-2026</v>
      </c>
      <c r="B1019" s="65">
        <f>IFERROR(__xludf.DUMMYFUNCTION("""COMPUTED_VALUE"""),4418764.0)</f>
        <v>4418764</v>
      </c>
      <c r="C1019" s="65" t="str">
        <f>IFERROR(__xludf.DUMMYFUNCTION("""COMPUTED_VALUE"""),"12:12")</f>
        <v>12:12</v>
      </c>
      <c r="D1019" s="65" t="str">
        <f>IFERROR(__xludf.DUMMYFUNCTION("""COMPUTED_VALUE"""),"06-02-2026")</f>
        <v>06-02-2026</v>
      </c>
      <c r="E1019" s="65" t="str">
        <f>IFERROR(__xludf.DUMMYFUNCTION("""COMPUTED_VALUE"""),"Pablo Herrera")</f>
        <v>Pablo Herrera</v>
      </c>
      <c r="F1019" s="65" t="str">
        <f>IFERROR(__xludf.DUMMYFUNCTION("""COMPUTED_VALUE"""),"981319358")</f>
        <v>981319358</v>
      </c>
      <c r="G1019" s="65" t="str">
        <f>IFERROR(__xludf.DUMMYFUNCTION("""COMPUTED_VALUE"""),"ph5941655@gmail.com")</f>
        <v>ph5941655@gmail.com</v>
      </c>
      <c r="H1019" s="65"/>
      <c r="I1019" s="65"/>
      <c r="J1019" s="65" t="str">
        <f>IFERROR(__xludf.DUMMYFUNCTION("""COMPUTED_VALUE"""),"D001303437")</f>
        <v>D001303437</v>
      </c>
      <c r="K1019" s="65" t="str">
        <f>IFERROR(__xludf.DUMMYFUNCTION("""COMPUTED_VALUE"""),"DEVOLUCION")</f>
        <v>DEVOLUCION</v>
      </c>
      <c r="L1019" s="65" t="str">
        <f>IFERROR(__xludf.DUMMYFUNCTION("""COMPUTED_VALUE"""),"CON RECAUDO")</f>
        <v>CON RECAUDO</v>
      </c>
      <c r="M1019" s="65" t="str">
        <f>IFERROR(__xludf.DUMMYFUNCTION("""COMPUTED_VALUE"""),"LOJA")</f>
        <v>LOJA</v>
      </c>
      <c r="N1019" s="65" t="str">
        <f>IFERROR(__xludf.DUMMYFUNCTION("""COMPUTED_VALUE"""),"LOJA")</f>
        <v>LOJA</v>
      </c>
      <c r="O1019" s="65" t="str">
        <f>IFERROR(__xludf.DUMMYFUNCTION("""COMPUTED_VALUE"""),"Francisco Cumbicus y Clotario Paz Sector San José Alto - REF :  En la calle francisco cumbicus 200 metros de la antena y 300 metros antes del centro del día San José Alto")</f>
        <v>Francisco Cumbicus y Clotario Paz Sector San José Alto - REF :  En la calle francisco cumbicus 200 metros de la antena y 300 metros antes del centro del día San José Alto</v>
      </c>
      <c r="P1019" s="65"/>
      <c r="Q1019" s="65" t="str">
        <f>IFERROR(__xludf.DUMMYFUNCTION("""COMPUTED_VALUE"""),"GINTRACOM")</f>
        <v>GINTRACOM</v>
      </c>
      <c r="R1019" s="65">
        <f>IFERROR(__xludf.DUMMYFUNCTION("""COMPUTED_VALUE"""),25.0)</f>
        <v>25</v>
      </c>
      <c r="S1019" s="65"/>
      <c r="T1019" s="65">
        <f>IFERROR(__xludf.DUMMYFUNCTION("""COMPUTED_VALUE"""),5.96)</f>
        <v>5.96</v>
      </c>
      <c r="U1019" s="65">
        <f>IFERROR(__xludf.DUMMYFUNCTION("""COMPUTED_VALUE"""),0.0)</f>
        <v>0</v>
      </c>
      <c r="V1019" s="65">
        <f>IFERROR(__xludf.DUMMYFUNCTION("""COMPUTED_VALUE"""),0.0)</f>
        <v>0</v>
      </c>
      <c r="W1019" s="65">
        <f>IFERROR(__xludf.DUMMYFUNCTION("""COMPUTED_VALUE"""),0.0)</f>
        <v>0</v>
      </c>
      <c r="X1019" s="65">
        <f>IFERROR(__xludf.DUMMYFUNCTION("""COMPUTED_VALUE"""),2.2)</f>
        <v>2.2</v>
      </c>
      <c r="Y1019" s="65">
        <f>IFERROR(__xludf.DUMMYFUNCTION("""COMPUTED_VALUE"""),4.4)</f>
        <v>4.4</v>
      </c>
      <c r="Z1019" s="65">
        <f>IFERROR(__xludf.DUMMYFUNCTION("""COMPUTED_VALUE"""),111894.0)</f>
        <v>111894</v>
      </c>
      <c r="AA1019" s="65" t="str">
        <f>IFERROR(__xludf.DUMMYFUNCTION("""COMPUTED_VALUE"""),"LYIC5M40067")</f>
        <v>LYIC5M40067</v>
      </c>
      <c r="AB1019" s="65"/>
      <c r="AC1019" s="65" t="str">
        <f>IFERROR(__xludf.DUMMYFUNCTION("""COMPUTED_VALUE"""),"Limpiador de Parabrisas y Ventanas")</f>
        <v>Limpiador de Parabrisas y Ventanas</v>
      </c>
      <c r="AD1019" s="65"/>
      <c r="AE1019" s="65">
        <f>IFERROR(__xludf.DUMMYFUNCTION("""COMPUTED_VALUE"""),2.0)</f>
        <v>2</v>
      </c>
      <c r="AF1019" s="65" t="str">
        <f>IFERROR(__xludf.DUMMYFUNCTION("""COMPUTED_VALUE"""),"DESTINATARIO NO SE ENCUENTRA EN LUGAR DE ENTREGA.")</f>
        <v>DESTINATARIO NO SE ENCUENTRA EN LUGAR DE ENTREGA.</v>
      </c>
      <c r="AG1019" s="65" t="str">
        <f>IFERROR(__xludf.DUMMYFUNCTION("""COMPUTED_VALUE"""),"SI")</f>
        <v>SI</v>
      </c>
      <c r="AH1019" s="65" t="str">
        <f>IFERROR(__xludf.DUMMYFUNCTION("""COMPUTED_VALUE"""),"14:01")</f>
        <v>14:01</v>
      </c>
      <c r="AI1019" s="65" t="str">
        <f>IFERROR(__xludf.DUMMYFUNCTION("""COMPUTED_VALUE"""),"09-02-2026")</f>
        <v>09-02-2026</v>
      </c>
      <c r="AJ1019" s="65"/>
      <c r="AK1019" s="65"/>
      <c r="AL1019" s="65"/>
      <c r="AM1019" s="65"/>
      <c r="AN1019" s="65" t="str">
        <f>IFERROR(__xludf.DUMMYFUNCTION("""COMPUTED_VALUE"""),"14:36")</f>
        <v>14:36</v>
      </c>
      <c r="AO1019" s="65" t="str">
        <f>IFERROR(__xludf.DUMMYFUNCTION("""COMPUTED_VALUE"""),"05-03-2026")</f>
        <v>05-03-2026</v>
      </c>
      <c r="AP1019" s="65" t="str">
        <f>IFERROR(__xludf.DUMMYFUNCTION("""COMPUTED_VALUE"""),"DEVOLUCIÓN ENTREGADA A ORIGEN")</f>
        <v>DEVOLUCIÓN ENTREGADA A ORIGEN</v>
      </c>
      <c r="AQ1019" s="65" t="str">
        <f>IFERROR(__xludf.DUMMYFUNCTION("""COMPUTED_VALUE"""),"DEVOLUCIÓN ENTREGADA A ORIGEN")</f>
        <v>DEVOLUCIÓN ENTREGADA A ORIGEN</v>
      </c>
      <c r="AR1019" s="65"/>
      <c r="AS1019" s="65"/>
      <c r="AT1019" s="65" t="str">
        <f>IFERROR(__xludf.DUMMYFUNCTION("""COMPUTED_VALUE"""),"SHOPIFY")</f>
        <v>SHOPIFY</v>
      </c>
      <c r="AU1019" s="65" t="str">
        <f>IFERROR(__xludf.DUMMYFUNCTION("""COMPUTED_VALUE"""),"IMPORTEX EC")</f>
        <v>IMPORTEX EC</v>
      </c>
      <c r="AV1019" s="65" t="str">
        <f>IFERROR(__xludf.DUMMYFUNCTION("""COMPUTED_VALUE"""),"6479992913964")</f>
        <v>6479992913964</v>
      </c>
      <c r="AW1019" s="65">
        <f>IFERROR(__xludf.DUMMYFUNCTION("""COMPUTED_VALUE"""),5837.0)</f>
        <v>5837</v>
      </c>
      <c r="AX1019" s="65"/>
      <c r="AY1019" s="65" t="str">
        <f>IFERROR(__xludf.DUMMYFUNCTION("""COMPUTED_VALUE"""),"06/02/2026")</f>
        <v>06/02/2026</v>
      </c>
      <c r="AZ1019" s="65"/>
      <c r="BA1019" s="65"/>
    </row>
    <row r="1020">
      <c r="A1020" s="65" t="str">
        <f>IFERROR(__xludf.DUMMYFUNCTION("""COMPUTED_VALUE"""),"27-03-2026")</f>
        <v>27-03-2026</v>
      </c>
      <c r="B1020" s="65">
        <f>IFERROR(__xludf.DUMMYFUNCTION("""COMPUTED_VALUE"""),4418758.0)</f>
        <v>4418758</v>
      </c>
      <c r="C1020" s="65" t="str">
        <f>IFERROR(__xludf.DUMMYFUNCTION("""COMPUTED_VALUE"""),"12:12")</f>
        <v>12:12</v>
      </c>
      <c r="D1020" s="65" t="str">
        <f>IFERROR(__xludf.DUMMYFUNCTION("""COMPUTED_VALUE"""),"06-02-2026")</f>
        <v>06-02-2026</v>
      </c>
      <c r="E1020" s="65" t="str">
        <f>IFERROR(__xludf.DUMMYFUNCTION("""COMPUTED_VALUE"""),"Ronald David Campoverde")</f>
        <v>Ronald David Campoverde</v>
      </c>
      <c r="F1020" s="65" t="str">
        <f>IFERROR(__xludf.DUMMYFUNCTION("""COMPUTED_VALUE"""),"990565791")</f>
        <v>990565791</v>
      </c>
      <c r="G1020" s="65" t="str">
        <f>IFERROR(__xludf.DUMMYFUNCTION("""COMPUTED_VALUE"""),"ronaldcampo_199260@yahoo.es")</f>
        <v>ronaldcampo_199260@yahoo.es</v>
      </c>
      <c r="H1020" s="65"/>
      <c r="I1020" s="65"/>
      <c r="J1020" s="65" t="str">
        <f>IFERROR(__xludf.DUMMYFUNCTION("""COMPUTED_VALUE"""),"D001303438")</f>
        <v>D001303438</v>
      </c>
      <c r="K1020" s="65" t="str">
        <f>IFERROR(__xludf.DUMMYFUNCTION("""COMPUTED_VALUE"""),"ENTREGADO")</f>
        <v>ENTREGADO</v>
      </c>
      <c r="L1020" s="65" t="str">
        <f>IFERROR(__xludf.DUMMYFUNCTION("""COMPUTED_VALUE"""),"CON RECAUDO")</f>
        <v>CON RECAUDO</v>
      </c>
      <c r="M1020" s="65" t="str">
        <f>IFERROR(__xludf.DUMMYFUNCTION("""COMPUTED_VALUE"""),"CAÑAR")</f>
        <v>CAÑAR</v>
      </c>
      <c r="N1020" s="65" t="str">
        <f>IFERROR(__xludf.DUMMYFUNCTION("""COMPUTED_VALUE"""),"LA TRONCAL")</f>
        <v>LA TRONCAL</v>
      </c>
      <c r="O1020" s="65" t="str">
        <f>IFERROR(__xludf.DUMMYFUNCTION("""COMPUTED_VALUE"""),"Calle 25 de Agosto Escuela del milenio Nela Martínez la troncal -")</f>
        <v>Calle 25 de Agosto Escuela del milenio Nela Martínez la troncal -</v>
      </c>
      <c r="P1020" s="65"/>
      <c r="Q1020" s="65" t="str">
        <f>IFERROR(__xludf.DUMMYFUNCTION("""COMPUTED_VALUE"""),"GINTRACOM")</f>
        <v>GINTRACOM</v>
      </c>
      <c r="R1020" s="65">
        <f>IFERROR(__xludf.DUMMYFUNCTION("""COMPUTED_VALUE"""),20.0)</f>
        <v>20</v>
      </c>
      <c r="S1020" s="65">
        <f>IFERROR(__xludf.DUMMYFUNCTION("""COMPUTED_VALUE"""),12.04)</f>
        <v>12.04</v>
      </c>
      <c r="T1020" s="65">
        <f>IFERROR(__xludf.DUMMYFUNCTION("""COMPUTED_VALUE"""),5.76)</f>
        <v>5.76</v>
      </c>
      <c r="U1020" s="65">
        <f>IFERROR(__xludf.DUMMYFUNCTION("""COMPUTED_VALUE"""),0.0)</f>
        <v>0</v>
      </c>
      <c r="V1020" s="65">
        <f>IFERROR(__xludf.DUMMYFUNCTION("""COMPUTED_VALUE"""),0.0)</f>
        <v>0</v>
      </c>
      <c r="W1020" s="65">
        <f>IFERROR(__xludf.DUMMYFUNCTION("""COMPUTED_VALUE"""),0.0)</f>
        <v>0</v>
      </c>
      <c r="X1020" s="65">
        <f>IFERROR(__xludf.DUMMYFUNCTION("""COMPUTED_VALUE"""),2.2)</f>
        <v>2.2</v>
      </c>
      <c r="Y1020" s="65">
        <f>IFERROR(__xludf.DUMMYFUNCTION("""COMPUTED_VALUE"""),2.2)</f>
        <v>2.2</v>
      </c>
      <c r="Z1020" s="65">
        <f>IFERROR(__xludf.DUMMYFUNCTION("""COMPUTED_VALUE"""),111894.0)</f>
        <v>111894</v>
      </c>
      <c r="AA1020" s="65" t="str">
        <f>IFERROR(__xludf.DUMMYFUNCTION("""COMPUTED_VALUE"""),"LYIC5M40067")</f>
        <v>LYIC5M40067</v>
      </c>
      <c r="AB1020" s="65"/>
      <c r="AC1020" s="65" t="str">
        <f>IFERROR(__xludf.DUMMYFUNCTION("""COMPUTED_VALUE"""),"Limpiador de Parabrisas y Ventanas")</f>
        <v>Limpiador de Parabrisas y Ventanas</v>
      </c>
      <c r="AD1020" s="65"/>
      <c r="AE1020" s="65">
        <f>IFERROR(__xludf.DUMMYFUNCTION("""COMPUTED_VALUE"""),1.0)</f>
        <v>1</v>
      </c>
      <c r="AF1020" s="65"/>
      <c r="AG1020" s="65"/>
      <c r="AH1020" s="65"/>
      <c r="AI1020" s="65"/>
      <c r="AJ1020" s="65"/>
      <c r="AK1020" s="65"/>
      <c r="AL1020" s="65"/>
      <c r="AM1020" s="65"/>
      <c r="AN1020" s="65" t="str">
        <f>IFERROR(__xludf.DUMMYFUNCTION("""COMPUTED_VALUE"""),"16:08")</f>
        <v>16:08</v>
      </c>
      <c r="AO1020" s="65" t="str">
        <f>IFERROR(__xludf.DUMMYFUNCTION("""COMPUTED_VALUE"""),"10-02-2026")</f>
        <v>10-02-2026</v>
      </c>
      <c r="AP1020" s="65" t="str">
        <f>IFERROR(__xludf.DUMMYFUNCTION("""COMPUTED_VALUE"""),"EN REPARTO")</f>
        <v>EN REPARTO</v>
      </c>
      <c r="AQ1020" s="65" t="str">
        <f>IFERROR(__xludf.DUMMYFUNCTION("""COMPUTED_VALUE"""),"EN REPARTO")</f>
        <v>EN REPARTO</v>
      </c>
      <c r="AR1020" s="65"/>
      <c r="AS1020" s="65"/>
      <c r="AT1020" s="65" t="str">
        <f>IFERROR(__xludf.DUMMYFUNCTION("""COMPUTED_VALUE"""),"SHOPIFY")</f>
        <v>SHOPIFY</v>
      </c>
      <c r="AU1020" s="65" t="str">
        <f>IFERROR(__xludf.DUMMYFUNCTION("""COMPUTED_VALUE"""),"IMPORTEX EC")</f>
        <v>IMPORTEX EC</v>
      </c>
      <c r="AV1020" s="65" t="str">
        <f>IFERROR(__xludf.DUMMYFUNCTION("""COMPUTED_VALUE"""),"6480039706668")</f>
        <v>6480039706668</v>
      </c>
      <c r="AW1020" s="65">
        <f>IFERROR(__xludf.DUMMYFUNCTION("""COMPUTED_VALUE"""),5838.0)</f>
        <v>5838</v>
      </c>
      <c r="AX1020" s="65"/>
      <c r="AY1020" s="65" t="str">
        <f>IFERROR(__xludf.DUMMYFUNCTION("""COMPUTED_VALUE"""),"06/02/2026")</f>
        <v>06/02/2026</v>
      </c>
      <c r="AZ1020" s="65"/>
      <c r="BA1020" s="65"/>
    </row>
    <row r="1021">
      <c r="A1021" s="65" t="str">
        <f>IFERROR(__xludf.DUMMYFUNCTION("""COMPUTED_VALUE"""),"27-03-2026")</f>
        <v>27-03-2026</v>
      </c>
      <c r="B1021" s="65">
        <f>IFERROR(__xludf.DUMMYFUNCTION("""COMPUTED_VALUE"""),4418755.0)</f>
        <v>4418755</v>
      </c>
      <c r="C1021" s="65" t="str">
        <f>IFERROR(__xludf.DUMMYFUNCTION("""COMPUTED_VALUE"""),"12:11")</f>
        <v>12:11</v>
      </c>
      <c r="D1021" s="65" t="str">
        <f>IFERROR(__xludf.DUMMYFUNCTION("""COMPUTED_VALUE"""),"06-02-2026")</f>
        <v>06-02-2026</v>
      </c>
      <c r="E1021" s="65" t="str">
        <f>IFERROR(__xludf.DUMMYFUNCTION("""COMPUTED_VALUE"""),"Luis Criollo")</f>
        <v>Luis Criollo</v>
      </c>
      <c r="F1021" s="65" t="str">
        <f>IFERROR(__xludf.DUMMYFUNCTION("""COMPUTED_VALUE"""),"980000915")</f>
        <v>980000915</v>
      </c>
      <c r="G1021" s="65" t="str">
        <f>IFERROR(__xludf.DUMMYFUNCTION("""COMPUTED_VALUE"""),"nano.encalada10@hotmail.com")</f>
        <v>nano.encalada10@hotmail.com</v>
      </c>
      <c r="H1021" s="65"/>
      <c r="I1021" s="65"/>
      <c r="J1021" s="65" t="str">
        <f>IFERROR(__xludf.DUMMYFUNCTION("""COMPUTED_VALUE"""),"WYB167029639")</f>
        <v>WYB167029639</v>
      </c>
      <c r="K1021" s="65" t="str">
        <f>IFERROR(__xludf.DUMMYFUNCTION("""COMPUTED_VALUE"""),"DEVOLUCION")</f>
        <v>DEVOLUCION</v>
      </c>
      <c r="L1021" s="65" t="str">
        <f>IFERROR(__xludf.DUMMYFUNCTION("""COMPUTED_VALUE"""),"CON RECAUDO")</f>
        <v>CON RECAUDO</v>
      </c>
      <c r="M1021" s="65" t="str">
        <f>IFERROR(__xludf.DUMMYFUNCTION("""COMPUTED_VALUE"""),"EL ORO")</f>
        <v>EL ORO</v>
      </c>
      <c r="N1021" s="65" t="str">
        <f>IFERROR(__xludf.DUMMYFUNCTION("""COMPUTED_VALUE"""),"PIÑAS")</f>
        <v>PIÑAS</v>
      </c>
      <c r="O1021" s="65" t="str">
        <f>IFERROR(__xludf.DUMMYFUNCTION("""COMPUTED_VALUE"""),"Ciudadela la inmaculada, segunda cancha frente a carlos salazar Frente a costurera letty -")</f>
        <v>Ciudadela la inmaculada, segunda cancha frente a carlos salazar Frente a costurera letty -</v>
      </c>
      <c r="P1021" s="65"/>
      <c r="Q1021" s="65" t="str">
        <f>IFERROR(__xludf.DUMMYFUNCTION("""COMPUTED_VALUE"""),"URBANO")</f>
        <v>URBANO</v>
      </c>
      <c r="R1021" s="65">
        <f>IFERROR(__xludf.DUMMYFUNCTION("""COMPUTED_VALUE"""),25.0)</f>
        <v>25</v>
      </c>
      <c r="S1021" s="65"/>
      <c r="T1021" s="65">
        <f>IFERROR(__xludf.DUMMYFUNCTION("""COMPUTED_VALUE"""),5.61)</f>
        <v>5.61</v>
      </c>
      <c r="U1021" s="65">
        <f>IFERROR(__xludf.DUMMYFUNCTION("""COMPUTED_VALUE"""),0.0)</f>
        <v>0</v>
      </c>
      <c r="V1021" s="65">
        <f>IFERROR(__xludf.DUMMYFUNCTION("""COMPUTED_VALUE"""),0.0)</f>
        <v>0</v>
      </c>
      <c r="W1021" s="65">
        <f>IFERROR(__xludf.DUMMYFUNCTION("""COMPUTED_VALUE"""),0.0)</f>
        <v>0</v>
      </c>
      <c r="X1021" s="65">
        <f>IFERROR(__xludf.DUMMYFUNCTION("""COMPUTED_VALUE"""),2.2)</f>
        <v>2.2</v>
      </c>
      <c r="Y1021" s="65">
        <f>IFERROR(__xludf.DUMMYFUNCTION("""COMPUTED_VALUE"""),4.4)</f>
        <v>4.4</v>
      </c>
      <c r="Z1021" s="65">
        <f>IFERROR(__xludf.DUMMYFUNCTION("""COMPUTED_VALUE"""),111894.0)</f>
        <v>111894</v>
      </c>
      <c r="AA1021" s="65" t="str">
        <f>IFERROR(__xludf.DUMMYFUNCTION("""COMPUTED_VALUE"""),"LYIC5M40067")</f>
        <v>LYIC5M40067</v>
      </c>
      <c r="AB1021" s="65"/>
      <c r="AC1021" s="65" t="str">
        <f>IFERROR(__xludf.DUMMYFUNCTION("""COMPUTED_VALUE"""),"Limpiador de Parabrisas y Ventanas")</f>
        <v>Limpiador de Parabrisas y Ventanas</v>
      </c>
      <c r="AD1021" s="65"/>
      <c r="AE1021" s="65">
        <f>IFERROR(__xludf.DUMMYFUNCTION("""COMPUTED_VALUE"""),2.0)</f>
        <v>2</v>
      </c>
      <c r="AF1021" s="65" t="str">
        <f>IFERROR(__xludf.DUMMYFUNCTION("""COMPUTED_VALUE"""),"DESCONOCIDO EN EL LUGAR")</f>
        <v>DESCONOCIDO EN EL LUGAR</v>
      </c>
      <c r="AG1021" s="65" t="str">
        <f>IFERROR(__xludf.DUMMYFUNCTION("""COMPUTED_VALUE"""),"NO")</f>
        <v>NO</v>
      </c>
      <c r="AH1021" s="65" t="str">
        <f>IFERROR(__xludf.DUMMYFUNCTION("""COMPUTED_VALUE"""),"02:04")</f>
        <v>02:04</v>
      </c>
      <c r="AI1021" s="65" t="str">
        <f>IFERROR(__xludf.DUMMYFUNCTION("""COMPUTED_VALUE"""),"02-03-2026")</f>
        <v>02-03-2026</v>
      </c>
      <c r="AJ1021" s="65"/>
      <c r="AK1021" s="65"/>
      <c r="AL1021" s="65"/>
      <c r="AM1021" s="65"/>
      <c r="AN1021" s="65"/>
      <c r="AO1021" s="65"/>
      <c r="AP1021" s="65"/>
      <c r="AQ1021" s="65"/>
      <c r="AR1021" s="65"/>
      <c r="AS1021" s="65"/>
      <c r="AT1021" s="65" t="str">
        <f>IFERROR(__xludf.DUMMYFUNCTION("""COMPUTED_VALUE"""),"SHOPIFY")</f>
        <v>SHOPIFY</v>
      </c>
      <c r="AU1021" s="65" t="str">
        <f>IFERROR(__xludf.DUMMYFUNCTION("""COMPUTED_VALUE"""),"IMPORTEX EC")</f>
        <v>IMPORTEX EC</v>
      </c>
      <c r="AV1021" s="65" t="str">
        <f>IFERROR(__xludf.DUMMYFUNCTION("""COMPUTED_VALUE"""),"6480073392172")</f>
        <v>6480073392172</v>
      </c>
      <c r="AW1021" s="65">
        <f>IFERROR(__xludf.DUMMYFUNCTION("""COMPUTED_VALUE"""),5839.0)</f>
        <v>5839</v>
      </c>
      <c r="AX1021" s="65"/>
      <c r="AY1021" s="65" t="str">
        <f>IFERROR(__xludf.DUMMYFUNCTION("""COMPUTED_VALUE"""),"06/02/2026")</f>
        <v>06/02/2026</v>
      </c>
      <c r="AZ1021" s="65"/>
      <c r="BA1021" s="65"/>
    </row>
    <row r="1022">
      <c r="A1022" s="65" t="str">
        <f>IFERROR(__xludf.DUMMYFUNCTION("""COMPUTED_VALUE"""),"27-03-2026")</f>
        <v>27-03-2026</v>
      </c>
      <c r="B1022" s="65">
        <f>IFERROR(__xludf.DUMMYFUNCTION("""COMPUTED_VALUE"""),4418751.0)</f>
        <v>4418751</v>
      </c>
      <c r="C1022" s="65" t="str">
        <f>IFERROR(__xludf.DUMMYFUNCTION("""COMPUTED_VALUE"""),"12:11")</f>
        <v>12:11</v>
      </c>
      <c r="D1022" s="65" t="str">
        <f>IFERROR(__xludf.DUMMYFUNCTION("""COMPUTED_VALUE"""),"06-02-2026")</f>
        <v>06-02-2026</v>
      </c>
      <c r="E1022" s="65" t="str">
        <f>IFERROR(__xludf.DUMMYFUNCTION("""COMPUTED_VALUE"""),"Francisco Torres")</f>
        <v>Francisco Torres</v>
      </c>
      <c r="F1022" s="65" t="str">
        <f>IFERROR(__xludf.DUMMYFUNCTION("""COMPUTED_VALUE"""),"991090093")</f>
        <v>991090093</v>
      </c>
      <c r="G1022" s="65" t="str">
        <f>IFERROR(__xludf.DUMMYFUNCTION("""COMPUTED_VALUE"""),"espumec@hotmail.com")</f>
        <v>espumec@hotmail.com</v>
      </c>
      <c r="H1022" s="65"/>
      <c r="I1022" s="65"/>
      <c r="J1022" s="65" t="str">
        <f>IFERROR(__xludf.DUMMYFUNCTION("""COMPUTED_VALUE"""),"D001303439")</f>
        <v>D001303439</v>
      </c>
      <c r="K1022" s="65" t="str">
        <f>IFERROR(__xludf.DUMMYFUNCTION("""COMPUTED_VALUE"""),"ENTREGADO")</f>
        <v>ENTREGADO</v>
      </c>
      <c r="L1022" s="65" t="str">
        <f>IFERROR(__xludf.DUMMYFUNCTION("""COMPUTED_VALUE"""),"CON RECAUDO")</f>
        <v>CON RECAUDO</v>
      </c>
      <c r="M1022" s="65" t="str">
        <f>IFERROR(__xludf.DUMMYFUNCTION("""COMPUTED_VALUE"""),"GUAYAS")</f>
        <v>GUAYAS</v>
      </c>
      <c r="N1022" s="65" t="str">
        <f>IFERROR(__xludf.DUMMYFUNCTION("""COMPUTED_VALUE"""),"GUAYAQUIL")</f>
        <v>GUAYAQUIL</v>
      </c>
      <c r="O1022" s="65" t="str">
        <f>IFERROR(__xludf.DUMMYFUNCTION("""COMPUTED_VALUE"""),"Alcedo 225 y lorenzo de garaycoa Centro  - Se llama comercial carvallo torres - Horario de atención de 9:30 hasta 5:30")</f>
        <v>Alcedo 225 y lorenzo de garaycoa Centro  - Se llama comercial carvallo torres - Horario de atención de 9:30 hasta 5:30</v>
      </c>
      <c r="P1022" s="65"/>
      <c r="Q1022" s="65" t="str">
        <f>IFERROR(__xludf.DUMMYFUNCTION("""COMPUTED_VALUE"""),"GINTRACOM")</f>
        <v>GINTRACOM</v>
      </c>
      <c r="R1022" s="65">
        <f>IFERROR(__xludf.DUMMYFUNCTION("""COMPUTED_VALUE"""),30.0)</f>
        <v>30</v>
      </c>
      <c r="S1022" s="65">
        <f>IFERROR(__xludf.DUMMYFUNCTION("""COMPUTED_VALUE"""),18.85)</f>
        <v>18.85</v>
      </c>
      <c r="T1022" s="65">
        <f>IFERROR(__xludf.DUMMYFUNCTION("""COMPUTED_VALUE"""),4.55)</f>
        <v>4.55</v>
      </c>
      <c r="U1022" s="65">
        <f>IFERROR(__xludf.DUMMYFUNCTION("""COMPUTED_VALUE"""),0.0)</f>
        <v>0</v>
      </c>
      <c r="V1022" s="65">
        <f>IFERROR(__xludf.DUMMYFUNCTION("""COMPUTED_VALUE"""),0.0)</f>
        <v>0</v>
      </c>
      <c r="W1022" s="65">
        <f>IFERROR(__xludf.DUMMYFUNCTION("""COMPUTED_VALUE"""),0.0)</f>
        <v>0</v>
      </c>
      <c r="X1022" s="65">
        <f>IFERROR(__xludf.DUMMYFUNCTION("""COMPUTED_VALUE"""),2.2)</f>
        <v>2.2</v>
      </c>
      <c r="Y1022" s="65">
        <f>IFERROR(__xludf.DUMMYFUNCTION("""COMPUTED_VALUE"""),6.6)</f>
        <v>6.6</v>
      </c>
      <c r="Z1022" s="65">
        <f>IFERROR(__xludf.DUMMYFUNCTION("""COMPUTED_VALUE"""),111894.0)</f>
        <v>111894</v>
      </c>
      <c r="AA1022" s="65" t="str">
        <f>IFERROR(__xludf.DUMMYFUNCTION("""COMPUTED_VALUE"""),"LYIC5M40067")</f>
        <v>LYIC5M40067</v>
      </c>
      <c r="AB1022" s="65"/>
      <c r="AC1022" s="65" t="str">
        <f>IFERROR(__xludf.DUMMYFUNCTION("""COMPUTED_VALUE"""),"Limpiador de Parabrisas y Ventanas")</f>
        <v>Limpiador de Parabrisas y Ventanas</v>
      </c>
      <c r="AD1022" s="65"/>
      <c r="AE1022" s="65">
        <f>IFERROR(__xludf.DUMMYFUNCTION("""COMPUTED_VALUE"""),3.0)</f>
        <v>3</v>
      </c>
      <c r="AF1022" s="65"/>
      <c r="AG1022" s="65"/>
      <c r="AH1022" s="65"/>
      <c r="AI1022" s="65"/>
      <c r="AJ1022" s="65"/>
      <c r="AK1022" s="65"/>
      <c r="AL1022" s="65"/>
      <c r="AM1022" s="65"/>
      <c r="AN1022" s="65" t="str">
        <f>IFERROR(__xludf.DUMMYFUNCTION("""COMPUTED_VALUE"""),"13:42")</f>
        <v>13:42</v>
      </c>
      <c r="AO1022" s="65" t="str">
        <f>IFERROR(__xludf.DUMMYFUNCTION("""COMPUTED_VALUE"""),"10-02-2026")</f>
        <v>10-02-2026</v>
      </c>
      <c r="AP1022" s="65" t="str">
        <f>IFERROR(__xludf.DUMMYFUNCTION("""COMPUTED_VALUE"""),"ENTREGADA GINTRACOM")</f>
        <v>ENTREGADA GINTRACOM</v>
      </c>
      <c r="AQ1022" s="65" t="str">
        <f>IFERROR(__xludf.DUMMYFUNCTION("""COMPUTED_VALUE"""),"ENTREGADA GINTRACOM")</f>
        <v>ENTREGADA GINTRACOM</v>
      </c>
      <c r="AR1022" s="65"/>
      <c r="AS1022" s="65"/>
      <c r="AT1022" s="65" t="str">
        <f>IFERROR(__xludf.DUMMYFUNCTION("""COMPUTED_VALUE"""),"SHOPIFY")</f>
        <v>SHOPIFY</v>
      </c>
      <c r="AU1022" s="65" t="str">
        <f>IFERROR(__xludf.DUMMYFUNCTION("""COMPUTED_VALUE"""),"IMPORTEX EC")</f>
        <v>IMPORTEX EC</v>
      </c>
      <c r="AV1022" s="65" t="str">
        <f>IFERROR(__xludf.DUMMYFUNCTION("""COMPUTED_VALUE"""),"6480230678572")</f>
        <v>6480230678572</v>
      </c>
      <c r="AW1022" s="65">
        <f>IFERROR(__xludf.DUMMYFUNCTION("""COMPUTED_VALUE"""),5840.0)</f>
        <v>5840</v>
      </c>
      <c r="AX1022" s="65"/>
      <c r="AY1022" s="65" t="str">
        <f>IFERROR(__xludf.DUMMYFUNCTION("""COMPUTED_VALUE"""),"06/02/2026")</f>
        <v>06/02/2026</v>
      </c>
      <c r="AZ1022" s="65"/>
      <c r="BA1022" s="65"/>
    </row>
    <row r="1023">
      <c r="A1023" s="65" t="str">
        <f>IFERROR(__xludf.DUMMYFUNCTION("""COMPUTED_VALUE"""),"27-03-2026")</f>
        <v>27-03-2026</v>
      </c>
      <c r="B1023" s="65">
        <f>IFERROR(__xludf.DUMMYFUNCTION("""COMPUTED_VALUE"""),4418747.0)</f>
        <v>4418747</v>
      </c>
      <c r="C1023" s="65" t="str">
        <f>IFERROR(__xludf.DUMMYFUNCTION("""COMPUTED_VALUE"""),"12:11")</f>
        <v>12:11</v>
      </c>
      <c r="D1023" s="65" t="str">
        <f>IFERROR(__xludf.DUMMYFUNCTION("""COMPUTED_VALUE"""),"06-02-2026")</f>
        <v>06-02-2026</v>
      </c>
      <c r="E1023" s="65" t="str">
        <f>IFERROR(__xludf.DUMMYFUNCTION("""COMPUTED_VALUE"""),"Fabiola Leon Cabrera")</f>
        <v>Fabiola Leon Cabrera</v>
      </c>
      <c r="F1023" s="65" t="str">
        <f>IFERROR(__xludf.DUMMYFUNCTION("""COMPUTED_VALUE"""),"997446138")</f>
        <v>997446138</v>
      </c>
      <c r="G1023" s="65" t="str">
        <f>IFERROR(__xludf.DUMMYFUNCTION("""COMPUTED_VALUE"""),"rocioleoncabrera60@gmail.com")</f>
        <v>rocioleoncabrera60@gmail.com</v>
      </c>
      <c r="H1023" s="65"/>
      <c r="I1023" s="65"/>
      <c r="J1023" s="65" t="str">
        <f>IFERROR(__xludf.DUMMYFUNCTION("""COMPUTED_VALUE"""),"D001304717")</f>
        <v>D001304717</v>
      </c>
      <c r="K1023" s="65" t="str">
        <f>IFERROR(__xludf.DUMMYFUNCTION("""COMPUTED_VALUE"""),"ENTREGADO")</f>
        <v>ENTREGADO</v>
      </c>
      <c r="L1023" s="65" t="str">
        <f>IFERROR(__xludf.DUMMYFUNCTION("""COMPUTED_VALUE"""),"CON RECAUDO")</f>
        <v>CON RECAUDO</v>
      </c>
      <c r="M1023" s="65" t="str">
        <f>IFERROR(__xludf.DUMMYFUNCTION("""COMPUTED_VALUE"""),"AZUAY")</f>
        <v>AZUAY</v>
      </c>
      <c r="N1023" s="65" t="str">
        <f>IFERROR(__xludf.DUMMYFUNCTION("""COMPUTED_VALUE"""),"CUENCA")</f>
        <v>CUENCA</v>
      </c>
      <c r="O1023" s="65" t="str">
        <f>IFERROR(__xludf.DUMMYFUNCTION("""COMPUTED_VALUE"""),"Miguel Angel Estrella Y Juan Bautista .  parqué interior y diagonal a los sandwiches del mono. -")</f>
        <v>Miguel Angel Estrella Y Juan Bautista .  parqué interior y diagonal a los sandwiches del mono. -</v>
      </c>
      <c r="P1023" s="65"/>
      <c r="Q1023" s="65" t="str">
        <f>IFERROR(__xludf.DUMMYFUNCTION("""COMPUTED_VALUE"""),"GINTRACOM")</f>
        <v>GINTRACOM</v>
      </c>
      <c r="R1023" s="65">
        <f>IFERROR(__xludf.DUMMYFUNCTION("""COMPUTED_VALUE"""),22.0)</f>
        <v>22</v>
      </c>
      <c r="S1023" s="65">
        <f>IFERROR(__xludf.DUMMYFUNCTION("""COMPUTED_VALUE"""),10.96)</f>
        <v>10.96</v>
      </c>
      <c r="T1023" s="65">
        <f>IFERROR(__xludf.DUMMYFUNCTION("""COMPUTED_VALUE"""),5.84)</f>
        <v>5.84</v>
      </c>
      <c r="U1023" s="65">
        <f>IFERROR(__xludf.DUMMYFUNCTION("""COMPUTED_VALUE"""),0.0)</f>
        <v>0</v>
      </c>
      <c r="V1023" s="65">
        <f>IFERROR(__xludf.DUMMYFUNCTION("""COMPUTED_VALUE"""),0.0)</f>
        <v>0</v>
      </c>
      <c r="W1023" s="65">
        <f>IFERROR(__xludf.DUMMYFUNCTION("""COMPUTED_VALUE"""),0.0)</f>
        <v>0</v>
      </c>
      <c r="X1023" s="65">
        <f>IFERROR(__xludf.DUMMYFUNCTION("""COMPUTED_VALUE"""),2.6)</f>
        <v>2.6</v>
      </c>
      <c r="Y1023" s="65">
        <f>IFERROR(__xludf.DUMMYFUNCTION("""COMPUTED_VALUE"""),5.2)</f>
        <v>5.2</v>
      </c>
      <c r="Z1023" s="65">
        <f>IFERROR(__xludf.DUMMYFUNCTION("""COMPUTED_VALUE"""),121983.0)</f>
        <v>121983</v>
      </c>
      <c r="AA1023" s="65" t="str">
        <f>IFERROR(__xludf.DUMMYFUNCTION("""COMPUTED_VALUE"""),"PROV-CHLLCF")</f>
        <v>PROV-CHLLCF</v>
      </c>
      <c r="AB1023" s="65"/>
      <c r="AC1023" s="65" t="str">
        <f>IFERROR(__xludf.DUMMYFUNCTION("""COMPUTED_VALUE"""),"CUCHILLO PARA CHEF")</f>
        <v>CUCHILLO PARA CHEF</v>
      </c>
      <c r="AD1023" s="65"/>
      <c r="AE1023" s="65">
        <f>IFERROR(__xludf.DUMMYFUNCTION("""COMPUTED_VALUE"""),2.0)</f>
        <v>2</v>
      </c>
      <c r="AF1023" s="65"/>
      <c r="AG1023" s="65"/>
      <c r="AH1023" s="65"/>
      <c r="AI1023" s="65"/>
      <c r="AJ1023" s="65"/>
      <c r="AK1023" s="65"/>
      <c r="AL1023" s="65"/>
      <c r="AM1023" s="65"/>
      <c r="AN1023" s="65" t="str">
        <f>IFERROR(__xludf.DUMMYFUNCTION("""COMPUTED_VALUE"""),"14:40")</f>
        <v>14:40</v>
      </c>
      <c r="AO1023" s="65" t="str">
        <f>IFERROR(__xludf.DUMMYFUNCTION("""COMPUTED_VALUE"""),"09-02-2026")</f>
        <v>09-02-2026</v>
      </c>
      <c r="AP1023" s="65" t="str">
        <f>IFERROR(__xludf.DUMMYFUNCTION("""COMPUTED_VALUE"""),"ENTREGADA GINTRACOM")</f>
        <v>ENTREGADA GINTRACOM</v>
      </c>
      <c r="AQ1023" s="65" t="str">
        <f>IFERROR(__xludf.DUMMYFUNCTION("""COMPUTED_VALUE"""),"ENTREGADA GINTRACOM")</f>
        <v>ENTREGADA GINTRACOM</v>
      </c>
      <c r="AR1023" s="65"/>
      <c r="AS1023" s="65"/>
      <c r="AT1023" s="65" t="str">
        <f>IFERROR(__xludf.DUMMYFUNCTION("""COMPUTED_VALUE"""),"SHOPIFY")</f>
        <v>SHOPIFY</v>
      </c>
      <c r="AU1023" s="65" t="str">
        <f>IFERROR(__xludf.DUMMYFUNCTION("""COMPUTED_VALUE"""),"IMPORTEX EC")</f>
        <v>IMPORTEX EC</v>
      </c>
      <c r="AV1023" s="65" t="str">
        <f>IFERROR(__xludf.DUMMYFUNCTION("""COMPUTED_VALUE"""),"6480241098796")</f>
        <v>6480241098796</v>
      </c>
      <c r="AW1023" s="65">
        <f>IFERROR(__xludf.DUMMYFUNCTION("""COMPUTED_VALUE"""),5842.0)</f>
        <v>5842</v>
      </c>
      <c r="AX1023" s="65"/>
      <c r="AY1023" s="65" t="str">
        <f>IFERROR(__xludf.DUMMYFUNCTION("""COMPUTED_VALUE"""),"07/02/2026")</f>
        <v>07/02/2026</v>
      </c>
      <c r="AZ1023" s="65"/>
      <c r="BA1023" s="65"/>
    </row>
    <row r="1024">
      <c r="A1024" s="65" t="str">
        <f>IFERROR(__xludf.DUMMYFUNCTION("""COMPUTED_VALUE"""),"27-03-2026")</f>
        <v>27-03-2026</v>
      </c>
      <c r="B1024" s="65">
        <f>IFERROR(__xludf.DUMMYFUNCTION("""COMPUTED_VALUE"""),4418744.0)</f>
        <v>4418744</v>
      </c>
      <c r="C1024" s="65" t="str">
        <f>IFERROR(__xludf.DUMMYFUNCTION("""COMPUTED_VALUE"""),"12:11")</f>
        <v>12:11</v>
      </c>
      <c r="D1024" s="65" t="str">
        <f>IFERROR(__xludf.DUMMYFUNCTION("""COMPUTED_VALUE"""),"06-02-2026")</f>
        <v>06-02-2026</v>
      </c>
      <c r="E1024" s="65" t="str">
        <f>IFERROR(__xludf.DUMMYFUNCTION("""COMPUTED_VALUE"""),"Hugo Espinoza")</f>
        <v>Hugo Espinoza</v>
      </c>
      <c r="F1024" s="65" t="str">
        <f>IFERROR(__xludf.DUMMYFUNCTION("""COMPUTED_VALUE"""),"996124553")</f>
        <v>996124553</v>
      </c>
      <c r="G1024" s="65" t="str">
        <f>IFERROR(__xludf.DUMMYFUNCTION("""COMPUTED_VALUE"""),"hellavemaestra06@gmail.com")</f>
        <v>hellavemaestra06@gmail.com</v>
      </c>
      <c r="H1024" s="65"/>
      <c r="I1024" s="65"/>
      <c r="J1024" s="65"/>
      <c r="K1024" s="65" t="str">
        <f>IFERROR(__xludf.DUMMYFUNCTION("""COMPUTED_VALUE"""),"PENDIENTE CONFIRMACION")</f>
        <v>PENDIENTE CONFIRMACION</v>
      </c>
      <c r="L1024" s="65" t="str">
        <f>IFERROR(__xludf.DUMMYFUNCTION("""COMPUTED_VALUE"""),"CON RECAUDO")</f>
        <v>CON RECAUDO</v>
      </c>
      <c r="M1024" s="65" t="str">
        <f>IFERROR(__xludf.DUMMYFUNCTION("""COMPUTED_VALUE"""),"CARCHI")</f>
        <v>CARCHI</v>
      </c>
      <c r="N1024" s="65" t="str">
        <f>IFERROR(__xludf.DUMMYFUNCTION("""COMPUTED_VALUE"""),"TULCAN")</f>
        <v>TULCAN</v>
      </c>
      <c r="O1024" s="65" t="str">
        <f>IFERROR(__xludf.DUMMYFUNCTION("""COMPUTED_VALUE"""),"Tarqui Olmedo -")</f>
        <v>Tarqui Olmedo -</v>
      </c>
      <c r="P1024" s="65"/>
      <c r="Q1024" s="65" t="str">
        <f>IFERROR(__xludf.DUMMYFUNCTION("""COMPUTED_VALUE"""),"GINTRACOM")</f>
        <v>GINTRACOM</v>
      </c>
      <c r="R1024" s="65">
        <f>IFERROR(__xludf.DUMMYFUNCTION("""COMPUTED_VALUE"""),20.0)</f>
        <v>20</v>
      </c>
      <c r="S1024" s="65"/>
      <c r="T1024" s="65">
        <f>IFERROR(__xludf.DUMMYFUNCTION("""COMPUTED_VALUE"""),5.76)</f>
        <v>5.76</v>
      </c>
      <c r="U1024" s="65">
        <f>IFERROR(__xludf.DUMMYFUNCTION("""COMPUTED_VALUE"""),0.0)</f>
        <v>0</v>
      </c>
      <c r="V1024" s="65">
        <f>IFERROR(__xludf.DUMMYFUNCTION("""COMPUTED_VALUE"""),0.0)</f>
        <v>0</v>
      </c>
      <c r="W1024" s="65">
        <f>IFERROR(__xludf.DUMMYFUNCTION("""COMPUTED_VALUE"""),0.0)</f>
        <v>0</v>
      </c>
      <c r="X1024" s="65">
        <f>IFERROR(__xludf.DUMMYFUNCTION("""COMPUTED_VALUE"""),2.2)</f>
        <v>2.2</v>
      </c>
      <c r="Y1024" s="65">
        <f>IFERROR(__xludf.DUMMYFUNCTION("""COMPUTED_VALUE"""),2.2)</f>
        <v>2.2</v>
      </c>
      <c r="Z1024" s="65">
        <f>IFERROR(__xludf.DUMMYFUNCTION("""COMPUTED_VALUE"""),111894.0)</f>
        <v>111894</v>
      </c>
      <c r="AA1024" s="65" t="str">
        <f>IFERROR(__xludf.DUMMYFUNCTION("""COMPUTED_VALUE"""),"LYIC5M40067")</f>
        <v>LYIC5M40067</v>
      </c>
      <c r="AB1024" s="65"/>
      <c r="AC1024" s="65" t="str">
        <f>IFERROR(__xludf.DUMMYFUNCTION("""COMPUTED_VALUE"""),"Limpiador de Parabrisas y Ventanas")</f>
        <v>Limpiador de Parabrisas y Ventanas</v>
      </c>
      <c r="AD1024" s="65"/>
      <c r="AE1024" s="65">
        <f>IFERROR(__xludf.DUMMYFUNCTION("""COMPUTED_VALUE"""),1.0)</f>
        <v>1</v>
      </c>
      <c r="AF1024" s="65"/>
      <c r="AG1024" s="65"/>
      <c r="AH1024" s="65"/>
      <c r="AI1024" s="65"/>
      <c r="AJ1024" s="65"/>
      <c r="AK1024" s="65"/>
      <c r="AL1024" s="65"/>
      <c r="AM1024" s="65"/>
      <c r="AN1024" s="65"/>
      <c r="AO1024" s="65"/>
      <c r="AP1024" s="65"/>
      <c r="AQ1024" s="65"/>
      <c r="AR1024" s="65"/>
      <c r="AS1024" s="65"/>
      <c r="AT1024" s="65" t="str">
        <f>IFERROR(__xludf.DUMMYFUNCTION("""COMPUTED_VALUE"""),"SHOPIFY")</f>
        <v>SHOPIFY</v>
      </c>
      <c r="AU1024" s="65" t="str">
        <f>IFERROR(__xludf.DUMMYFUNCTION("""COMPUTED_VALUE"""),"IMPORTEX EC")</f>
        <v>IMPORTEX EC</v>
      </c>
      <c r="AV1024" s="65" t="str">
        <f>IFERROR(__xludf.DUMMYFUNCTION("""COMPUTED_VALUE"""),"6480289431596")</f>
        <v>6480289431596</v>
      </c>
      <c r="AW1024" s="65">
        <f>IFERROR(__xludf.DUMMYFUNCTION("""COMPUTED_VALUE"""),5843.0)</f>
        <v>5843</v>
      </c>
      <c r="AX1024" s="65"/>
      <c r="AY1024" s="65"/>
      <c r="AZ1024" s="65"/>
      <c r="BA1024" s="65"/>
    </row>
    <row r="1025">
      <c r="A1025" s="65" t="str">
        <f>IFERROR(__xludf.DUMMYFUNCTION("""COMPUTED_VALUE"""),"27-03-2026")</f>
        <v>27-03-2026</v>
      </c>
      <c r="B1025" s="65">
        <f>IFERROR(__xludf.DUMMYFUNCTION("""COMPUTED_VALUE"""),4418735.0)</f>
        <v>4418735</v>
      </c>
      <c r="C1025" s="65" t="str">
        <f>IFERROR(__xludf.DUMMYFUNCTION("""COMPUTED_VALUE"""),"12:11")</f>
        <v>12:11</v>
      </c>
      <c r="D1025" s="65" t="str">
        <f>IFERROR(__xludf.DUMMYFUNCTION("""COMPUTED_VALUE"""),"06-02-2026")</f>
        <v>06-02-2026</v>
      </c>
      <c r="E1025" s="65" t="str">
        <f>IFERROR(__xludf.DUMMYFUNCTION("""COMPUTED_VALUE"""),"Gloria Aracely Rivas Torres")</f>
        <v>Gloria Aracely Rivas Torres</v>
      </c>
      <c r="F1025" s="65" t="str">
        <f>IFERROR(__xludf.DUMMYFUNCTION("""COMPUTED_VALUE"""),"988037501")</f>
        <v>988037501</v>
      </c>
      <c r="G1025" s="65" t="str">
        <f>IFERROR(__xludf.DUMMYFUNCTION("""COMPUTED_VALUE"""),"gloriarivastorres23@gmail.com")</f>
        <v>gloriarivastorres23@gmail.com</v>
      </c>
      <c r="H1025" s="65"/>
      <c r="I1025" s="65"/>
      <c r="J1025" s="65" t="str">
        <f>IFERROR(__xludf.DUMMYFUNCTION("""COMPUTED_VALUE"""),"D001304718")</f>
        <v>D001304718</v>
      </c>
      <c r="K1025" s="65" t="str">
        <f>IFERROR(__xludf.DUMMYFUNCTION("""COMPUTED_VALUE"""),"DEVOLUCION")</f>
        <v>DEVOLUCION</v>
      </c>
      <c r="L1025" s="65" t="str">
        <f>IFERROR(__xludf.DUMMYFUNCTION("""COMPUTED_VALUE"""),"CON RECAUDO")</f>
        <v>CON RECAUDO</v>
      </c>
      <c r="M1025" s="65" t="str">
        <f>IFERROR(__xludf.DUMMYFUNCTION("""COMPUTED_VALUE"""),"GUAYAS")</f>
        <v>GUAYAS</v>
      </c>
      <c r="N1025" s="65" t="str">
        <f>IFERROR(__xludf.DUMMYFUNCTION("""COMPUTED_VALUE"""),"EL EMPALME")</f>
        <v>EL EMPALME</v>
      </c>
      <c r="O1025" s="65" t="str">
        <f>IFERROR(__xludf.DUMMYFUNCTION("""COMPUTED_VALUE"""),"Vía Guayaquil y entrada Oriente Ecuatoriano frente a la esquina de Alex y servíentrega Picanteria tres hermanos Pero solo me encuentran ahí hasta la 10.30 p m gracias")</f>
        <v>Vía Guayaquil y entrada Oriente Ecuatoriano frente a la esquina de Alex y servíentrega Picanteria tres hermanos Pero solo me encuentran ahí hasta la 10.30 p m gracias</v>
      </c>
      <c r="P1025" s="65"/>
      <c r="Q1025" s="65" t="str">
        <f>IFERROR(__xludf.DUMMYFUNCTION("""COMPUTED_VALUE"""),"GINTRACOM")</f>
        <v>GINTRACOM</v>
      </c>
      <c r="R1025" s="65">
        <f>IFERROR(__xludf.DUMMYFUNCTION("""COMPUTED_VALUE"""),22.0)</f>
        <v>22</v>
      </c>
      <c r="S1025" s="65"/>
      <c r="T1025" s="65">
        <f>IFERROR(__xludf.DUMMYFUNCTION("""COMPUTED_VALUE"""),5.84)</f>
        <v>5.84</v>
      </c>
      <c r="U1025" s="65">
        <f>IFERROR(__xludf.DUMMYFUNCTION("""COMPUTED_VALUE"""),0.0)</f>
        <v>0</v>
      </c>
      <c r="V1025" s="65">
        <f>IFERROR(__xludf.DUMMYFUNCTION("""COMPUTED_VALUE"""),0.0)</f>
        <v>0</v>
      </c>
      <c r="W1025" s="65">
        <f>IFERROR(__xludf.DUMMYFUNCTION("""COMPUTED_VALUE"""),0.0)</f>
        <v>0</v>
      </c>
      <c r="X1025" s="65">
        <f>IFERROR(__xludf.DUMMYFUNCTION("""COMPUTED_VALUE"""),2.6)</f>
        <v>2.6</v>
      </c>
      <c r="Y1025" s="65">
        <f>IFERROR(__xludf.DUMMYFUNCTION("""COMPUTED_VALUE"""),5.2)</f>
        <v>5.2</v>
      </c>
      <c r="Z1025" s="65">
        <f>IFERROR(__xludf.DUMMYFUNCTION("""COMPUTED_VALUE"""),121983.0)</f>
        <v>121983</v>
      </c>
      <c r="AA1025" s="65" t="str">
        <f>IFERROR(__xludf.DUMMYFUNCTION("""COMPUTED_VALUE"""),"PROV-CHLLCF")</f>
        <v>PROV-CHLLCF</v>
      </c>
      <c r="AB1025" s="65"/>
      <c r="AC1025" s="65" t="str">
        <f>IFERROR(__xludf.DUMMYFUNCTION("""COMPUTED_VALUE"""),"CUCHILLO PARA CHEF")</f>
        <v>CUCHILLO PARA CHEF</v>
      </c>
      <c r="AD1025" s="65"/>
      <c r="AE1025" s="65">
        <f>IFERROR(__xludf.DUMMYFUNCTION("""COMPUTED_VALUE"""),2.0)</f>
        <v>2</v>
      </c>
      <c r="AF1025" s="65" t="str">
        <f>IFERROR(__xludf.DUMMYFUNCTION("""COMPUTED_VALUE"""),"DESTINATARIO INDICA QUE ESTÁ INCONFORME CON EL PRODUCTO. (NO RECIBE)")</f>
        <v>DESTINATARIO INDICA QUE ESTÁ INCONFORME CON EL PRODUCTO. (NO RECIBE)</v>
      </c>
      <c r="AG1025" s="65" t="str">
        <f>IFERROR(__xludf.DUMMYFUNCTION("""COMPUTED_VALUE"""),"NO")</f>
        <v>NO</v>
      </c>
      <c r="AH1025" s="65" t="str">
        <f>IFERROR(__xludf.DUMMYFUNCTION("""COMPUTED_VALUE"""),"10:35")</f>
        <v>10:35</v>
      </c>
      <c r="AI1025" s="65" t="str">
        <f>IFERROR(__xludf.DUMMYFUNCTION("""COMPUTED_VALUE"""),"09-02-2026")</f>
        <v>09-02-2026</v>
      </c>
      <c r="AJ1025" s="65"/>
      <c r="AK1025" s="65"/>
      <c r="AL1025" s="65"/>
      <c r="AM1025" s="65"/>
      <c r="AN1025" s="65" t="str">
        <f>IFERROR(__xludf.DUMMYFUNCTION("""COMPUTED_VALUE"""),"01:36")</f>
        <v>01:36</v>
      </c>
      <c r="AO1025" s="65" t="str">
        <f>IFERROR(__xludf.DUMMYFUNCTION("""COMPUTED_VALUE"""),"06-03-2026")</f>
        <v>06-03-2026</v>
      </c>
      <c r="AP1025" s="65" t="str">
        <f>IFERROR(__xludf.DUMMYFUNCTION("""COMPUTED_VALUE"""),"DEVOLUCIÓN ENTREGADA A ORIGEN")</f>
        <v>DEVOLUCIÓN ENTREGADA A ORIGEN</v>
      </c>
      <c r="AQ1025" s="65" t="str">
        <f>IFERROR(__xludf.DUMMYFUNCTION("""COMPUTED_VALUE"""),"DEVOLUCIÓN ENTREGADA A ORIGEN")</f>
        <v>DEVOLUCIÓN ENTREGADA A ORIGEN</v>
      </c>
      <c r="AR1025" s="65"/>
      <c r="AS1025" s="65"/>
      <c r="AT1025" s="65" t="str">
        <f>IFERROR(__xludf.DUMMYFUNCTION("""COMPUTED_VALUE"""),"SHOPIFY")</f>
        <v>SHOPIFY</v>
      </c>
      <c r="AU1025" s="65" t="str">
        <f>IFERROR(__xludf.DUMMYFUNCTION("""COMPUTED_VALUE"""),"IMPORTEX EC")</f>
        <v>IMPORTEX EC</v>
      </c>
      <c r="AV1025" s="65" t="str">
        <f>IFERROR(__xludf.DUMMYFUNCTION("""COMPUTED_VALUE"""),"6480456810540")</f>
        <v>6480456810540</v>
      </c>
      <c r="AW1025" s="65">
        <f>IFERROR(__xludf.DUMMYFUNCTION("""COMPUTED_VALUE"""),5844.0)</f>
        <v>5844</v>
      </c>
      <c r="AX1025" s="65"/>
      <c r="AY1025" s="65" t="str">
        <f>IFERROR(__xludf.DUMMYFUNCTION("""COMPUTED_VALUE"""),"07/02/2026")</f>
        <v>07/02/2026</v>
      </c>
      <c r="AZ1025" s="65"/>
      <c r="BA1025" s="65"/>
    </row>
    <row r="1026">
      <c r="A1026" s="65" t="str">
        <f>IFERROR(__xludf.DUMMYFUNCTION("""COMPUTED_VALUE"""),"27-03-2026")</f>
        <v>27-03-2026</v>
      </c>
      <c r="B1026" s="65">
        <f>IFERROR(__xludf.DUMMYFUNCTION("""COMPUTED_VALUE"""),4418732.0)</f>
        <v>4418732</v>
      </c>
      <c r="C1026" s="65" t="str">
        <f>IFERROR(__xludf.DUMMYFUNCTION("""COMPUTED_VALUE"""),"12:10")</f>
        <v>12:10</v>
      </c>
      <c r="D1026" s="65" t="str">
        <f>IFERROR(__xludf.DUMMYFUNCTION("""COMPUTED_VALUE"""),"06-02-2026")</f>
        <v>06-02-2026</v>
      </c>
      <c r="E1026" s="65" t="str">
        <f>IFERROR(__xludf.DUMMYFUNCTION("""COMPUTED_VALUE"""),"Dalton Maldonado")</f>
        <v>Dalton Maldonado</v>
      </c>
      <c r="F1026" s="65" t="str">
        <f>IFERROR(__xludf.DUMMYFUNCTION("""COMPUTED_VALUE"""),"988017052")</f>
        <v>988017052</v>
      </c>
      <c r="G1026" s="65" t="str">
        <f>IFERROR(__xludf.DUMMYFUNCTION("""COMPUTED_VALUE"""),"prof.daltonmaldonado@holmail.com")</f>
        <v>prof.daltonmaldonado@holmail.com</v>
      </c>
      <c r="H1026" s="65"/>
      <c r="I1026" s="65"/>
      <c r="J1026" s="65"/>
      <c r="K1026" s="65" t="str">
        <f>IFERROR(__xludf.DUMMYFUNCTION("""COMPUTED_VALUE"""),"PENDIENTE CONFIRMACION")</f>
        <v>PENDIENTE CONFIRMACION</v>
      </c>
      <c r="L1026" s="65" t="str">
        <f>IFERROR(__xludf.DUMMYFUNCTION("""COMPUTED_VALUE"""),"CON RECAUDO")</f>
        <v>CON RECAUDO</v>
      </c>
      <c r="M1026" s="65" t="str">
        <f>IFERROR(__xludf.DUMMYFUNCTION("""COMPUTED_VALUE"""),"LOJA")</f>
        <v>LOJA</v>
      </c>
      <c r="N1026" s="65" t="str">
        <f>IFERROR(__xludf.DUMMYFUNCTION("""COMPUTED_VALUE"""),"MACARA")</f>
        <v>MACARA</v>
      </c>
      <c r="O1026" s="65" t="str">
        <f>IFERROR(__xludf.DUMMYFUNCTION("""COMPUTED_VALUE"""),"Catamayo y Diego Noboa Frente a emergencia del hospital -")</f>
        <v>Catamayo y Diego Noboa Frente a emergencia del hospital -</v>
      </c>
      <c r="P1026" s="65"/>
      <c r="Q1026" s="65" t="str">
        <f>IFERROR(__xludf.DUMMYFUNCTION("""COMPUTED_VALUE"""),"LAARCOURIER")</f>
        <v>LAARCOURIER</v>
      </c>
      <c r="R1026" s="65">
        <f>IFERROR(__xludf.DUMMYFUNCTION("""COMPUTED_VALUE"""),22.0)</f>
        <v>22</v>
      </c>
      <c r="S1026" s="65"/>
      <c r="T1026" s="65">
        <f>IFERROR(__xludf.DUMMYFUNCTION("""COMPUTED_VALUE"""),7.01)</f>
        <v>7.01</v>
      </c>
      <c r="U1026" s="65">
        <f>IFERROR(__xludf.DUMMYFUNCTION("""COMPUTED_VALUE"""),0.0)</f>
        <v>0</v>
      </c>
      <c r="V1026" s="65">
        <f>IFERROR(__xludf.DUMMYFUNCTION("""COMPUTED_VALUE"""),0.0)</f>
        <v>0</v>
      </c>
      <c r="W1026" s="65">
        <f>IFERROR(__xludf.DUMMYFUNCTION("""COMPUTED_VALUE"""),0.0)</f>
        <v>0</v>
      </c>
      <c r="X1026" s="65">
        <f>IFERROR(__xludf.DUMMYFUNCTION("""COMPUTED_VALUE"""),2.6)</f>
        <v>2.6</v>
      </c>
      <c r="Y1026" s="65">
        <f>IFERROR(__xludf.DUMMYFUNCTION("""COMPUTED_VALUE"""),5.2)</f>
        <v>5.2</v>
      </c>
      <c r="Z1026" s="65">
        <f>IFERROR(__xludf.DUMMYFUNCTION("""COMPUTED_VALUE"""),121983.0)</f>
        <v>121983</v>
      </c>
      <c r="AA1026" s="65" t="str">
        <f>IFERROR(__xludf.DUMMYFUNCTION("""COMPUTED_VALUE"""),"PROV-CHLLCF")</f>
        <v>PROV-CHLLCF</v>
      </c>
      <c r="AB1026" s="65"/>
      <c r="AC1026" s="65" t="str">
        <f>IFERROR(__xludf.DUMMYFUNCTION("""COMPUTED_VALUE"""),"CUCHILLO PARA CHEF")</f>
        <v>CUCHILLO PARA CHEF</v>
      </c>
      <c r="AD1026" s="65"/>
      <c r="AE1026" s="65">
        <f>IFERROR(__xludf.DUMMYFUNCTION("""COMPUTED_VALUE"""),2.0)</f>
        <v>2</v>
      </c>
      <c r="AF1026" s="65"/>
      <c r="AG1026" s="65"/>
      <c r="AH1026" s="65"/>
      <c r="AI1026" s="65"/>
      <c r="AJ1026" s="65"/>
      <c r="AK1026" s="65"/>
      <c r="AL1026" s="65"/>
      <c r="AM1026" s="65"/>
      <c r="AN1026" s="65"/>
      <c r="AO1026" s="65"/>
      <c r="AP1026" s="65"/>
      <c r="AQ1026" s="65"/>
      <c r="AR1026" s="65"/>
      <c r="AS1026" s="65"/>
      <c r="AT1026" s="65" t="str">
        <f>IFERROR(__xludf.DUMMYFUNCTION("""COMPUTED_VALUE"""),"SHOPIFY")</f>
        <v>SHOPIFY</v>
      </c>
      <c r="AU1026" s="65" t="str">
        <f>IFERROR(__xludf.DUMMYFUNCTION("""COMPUTED_VALUE"""),"IMPORTEX EC")</f>
        <v>IMPORTEX EC</v>
      </c>
      <c r="AV1026" s="65" t="str">
        <f>IFERROR(__xludf.DUMMYFUNCTION("""COMPUTED_VALUE"""),"6480503210028")</f>
        <v>6480503210028</v>
      </c>
      <c r="AW1026" s="65">
        <f>IFERROR(__xludf.DUMMYFUNCTION("""COMPUTED_VALUE"""),5845.0)</f>
        <v>5845</v>
      </c>
      <c r="AX1026" s="65"/>
      <c r="AY1026" s="65"/>
      <c r="AZ1026" s="65"/>
      <c r="BA1026" s="65"/>
    </row>
    <row r="1027">
      <c r="A1027" s="65" t="str">
        <f>IFERROR(__xludf.DUMMYFUNCTION("""COMPUTED_VALUE"""),"27-03-2026")</f>
        <v>27-03-2026</v>
      </c>
      <c r="B1027" s="65">
        <f>IFERROR(__xludf.DUMMYFUNCTION("""COMPUTED_VALUE"""),4418730.0)</f>
        <v>4418730</v>
      </c>
      <c r="C1027" s="65" t="str">
        <f>IFERROR(__xludf.DUMMYFUNCTION("""COMPUTED_VALUE"""),"12:10")</f>
        <v>12:10</v>
      </c>
      <c r="D1027" s="65" t="str">
        <f>IFERROR(__xludf.DUMMYFUNCTION("""COMPUTED_VALUE"""),"06-02-2026")</f>
        <v>06-02-2026</v>
      </c>
      <c r="E1027" s="65" t="str">
        <f>IFERROR(__xludf.DUMMYFUNCTION("""COMPUTED_VALUE"""),"Angel Rea")</f>
        <v>Angel Rea</v>
      </c>
      <c r="F1027" s="65" t="str">
        <f>IFERROR(__xludf.DUMMYFUNCTION("""COMPUTED_VALUE"""),"988335015")</f>
        <v>988335015</v>
      </c>
      <c r="G1027" s="65" t="str">
        <f>IFERROR(__xludf.DUMMYFUNCTION("""COMPUTED_VALUE"""),"reaangel85@gmail.com")</f>
        <v>reaangel85@gmail.com</v>
      </c>
      <c r="H1027" s="65"/>
      <c r="I1027" s="65"/>
      <c r="J1027" s="65"/>
      <c r="K1027" s="65" t="str">
        <f>IFERROR(__xludf.DUMMYFUNCTION("""COMPUTED_VALUE"""),"PENDIENTE CONFIRMACION")</f>
        <v>PENDIENTE CONFIRMACION</v>
      </c>
      <c r="L1027" s="65" t="str">
        <f>IFERROR(__xludf.DUMMYFUNCTION("""COMPUTED_VALUE"""),"CON RECAUDO")</f>
        <v>CON RECAUDO</v>
      </c>
      <c r="M1027" s="65" t="str">
        <f>IFERROR(__xludf.DUMMYFUNCTION("""COMPUTED_VALUE"""),"BOLIVAR")</f>
        <v>BOLIVAR</v>
      </c>
      <c r="N1027" s="65" t="str">
        <f>IFERROR(__xludf.DUMMYFUNCTION("""COMPUTED_VALUE"""),"GUARANDA")</f>
        <v>GUARANDA</v>
      </c>
      <c r="O1027" s="65" t="str">
        <f>IFERROR(__xludf.DUMMYFUNCTION("""COMPUTED_VALUE"""),"Frente a la iglesia de Rumilom Barrio Rumiloma ventemilla -")</f>
        <v>Frente a la iglesia de Rumilom Barrio Rumiloma ventemilla -</v>
      </c>
      <c r="P1027" s="65"/>
      <c r="Q1027" s="65" t="str">
        <f>IFERROR(__xludf.DUMMYFUNCTION("""COMPUTED_VALUE"""),"GINTRACOM")</f>
        <v>GINTRACOM</v>
      </c>
      <c r="R1027" s="65">
        <f>IFERROR(__xludf.DUMMYFUNCTION("""COMPUTED_VALUE"""),22.0)</f>
        <v>22</v>
      </c>
      <c r="S1027" s="65"/>
      <c r="T1027" s="65">
        <f>IFERROR(__xludf.DUMMYFUNCTION("""COMPUTED_VALUE"""),5.84)</f>
        <v>5.84</v>
      </c>
      <c r="U1027" s="65">
        <f>IFERROR(__xludf.DUMMYFUNCTION("""COMPUTED_VALUE"""),0.0)</f>
        <v>0</v>
      </c>
      <c r="V1027" s="65">
        <f>IFERROR(__xludf.DUMMYFUNCTION("""COMPUTED_VALUE"""),0.0)</f>
        <v>0</v>
      </c>
      <c r="W1027" s="65">
        <f>IFERROR(__xludf.DUMMYFUNCTION("""COMPUTED_VALUE"""),0.0)</f>
        <v>0</v>
      </c>
      <c r="X1027" s="65">
        <f>IFERROR(__xludf.DUMMYFUNCTION("""COMPUTED_VALUE"""),2.6)</f>
        <v>2.6</v>
      </c>
      <c r="Y1027" s="65">
        <f>IFERROR(__xludf.DUMMYFUNCTION("""COMPUTED_VALUE"""),5.2)</f>
        <v>5.2</v>
      </c>
      <c r="Z1027" s="65">
        <f>IFERROR(__xludf.DUMMYFUNCTION("""COMPUTED_VALUE"""),121983.0)</f>
        <v>121983</v>
      </c>
      <c r="AA1027" s="65" t="str">
        <f>IFERROR(__xludf.DUMMYFUNCTION("""COMPUTED_VALUE"""),"PROV-CHLLCF")</f>
        <v>PROV-CHLLCF</v>
      </c>
      <c r="AB1027" s="65"/>
      <c r="AC1027" s="65" t="str">
        <f>IFERROR(__xludf.DUMMYFUNCTION("""COMPUTED_VALUE"""),"CUCHILLO PARA CHEF")</f>
        <v>CUCHILLO PARA CHEF</v>
      </c>
      <c r="AD1027" s="65"/>
      <c r="AE1027" s="65">
        <f>IFERROR(__xludf.DUMMYFUNCTION("""COMPUTED_VALUE"""),2.0)</f>
        <v>2</v>
      </c>
      <c r="AF1027" s="65"/>
      <c r="AG1027" s="65"/>
      <c r="AH1027" s="65"/>
      <c r="AI1027" s="65"/>
      <c r="AJ1027" s="65"/>
      <c r="AK1027" s="65"/>
      <c r="AL1027" s="65"/>
      <c r="AM1027" s="65"/>
      <c r="AN1027" s="65"/>
      <c r="AO1027" s="65"/>
      <c r="AP1027" s="65"/>
      <c r="AQ1027" s="65"/>
      <c r="AR1027" s="65"/>
      <c r="AS1027" s="65"/>
      <c r="AT1027" s="65" t="str">
        <f>IFERROR(__xludf.DUMMYFUNCTION("""COMPUTED_VALUE"""),"SHOPIFY")</f>
        <v>SHOPIFY</v>
      </c>
      <c r="AU1027" s="65" t="str">
        <f>IFERROR(__xludf.DUMMYFUNCTION("""COMPUTED_VALUE"""),"IMPORTEX EC")</f>
        <v>IMPORTEX EC</v>
      </c>
      <c r="AV1027" s="65" t="str">
        <f>IFERROR(__xludf.DUMMYFUNCTION("""COMPUTED_VALUE"""),"6480688742444")</f>
        <v>6480688742444</v>
      </c>
      <c r="AW1027" s="65">
        <f>IFERROR(__xludf.DUMMYFUNCTION("""COMPUTED_VALUE"""),5846.0)</f>
        <v>5846</v>
      </c>
      <c r="AX1027" s="65"/>
      <c r="AY1027" s="65"/>
      <c r="AZ1027" s="65"/>
      <c r="BA1027" s="65"/>
    </row>
    <row r="1028">
      <c r="A1028" s="65" t="str">
        <f>IFERROR(__xludf.DUMMYFUNCTION("""COMPUTED_VALUE"""),"27-03-2026")</f>
        <v>27-03-2026</v>
      </c>
      <c r="B1028" s="65">
        <f>IFERROR(__xludf.DUMMYFUNCTION("""COMPUTED_VALUE"""),4418727.0)</f>
        <v>4418727</v>
      </c>
      <c r="C1028" s="65" t="str">
        <f>IFERROR(__xludf.DUMMYFUNCTION("""COMPUTED_VALUE"""),"12:10")</f>
        <v>12:10</v>
      </c>
      <c r="D1028" s="65" t="str">
        <f>IFERROR(__xludf.DUMMYFUNCTION("""COMPUTED_VALUE"""),"06-02-2026")</f>
        <v>06-02-2026</v>
      </c>
      <c r="E1028" s="65" t="str">
        <f>IFERROR(__xludf.DUMMYFUNCTION("""COMPUTED_VALUE"""),"Simonbolivar Ibarra")</f>
        <v>Simonbolivar Ibarra</v>
      </c>
      <c r="F1028" s="65" t="str">
        <f>IFERROR(__xludf.DUMMYFUNCTION("""COMPUTED_VALUE"""),"969034980")</f>
        <v>969034980</v>
      </c>
      <c r="G1028" s="65" t="str">
        <f>IFERROR(__xludf.DUMMYFUNCTION("""COMPUTED_VALUE"""),"bolivaribarra08@gmail.com")</f>
        <v>bolivaribarra08@gmail.com</v>
      </c>
      <c r="H1028" s="65"/>
      <c r="I1028" s="65"/>
      <c r="J1028" s="65"/>
      <c r="K1028" s="65" t="str">
        <f>IFERROR(__xludf.DUMMYFUNCTION("""COMPUTED_VALUE"""),"PENDIENTE CONFIRMACION")</f>
        <v>PENDIENTE CONFIRMACION</v>
      </c>
      <c r="L1028" s="65" t="str">
        <f>IFERROR(__xludf.DUMMYFUNCTION("""COMPUTED_VALUE"""),"CON RECAUDO")</f>
        <v>CON RECAUDO</v>
      </c>
      <c r="M1028" s="65" t="str">
        <f>IFERROR(__xludf.DUMMYFUNCTION("""COMPUTED_VALUE"""),"GUAYAS")</f>
        <v>GUAYAS</v>
      </c>
      <c r="N1028" s="65" t="str">
        <f>IFERROR(__xludf.DUMMYFUNCTION("""COMPUTED_VALUE"""),"EL EMPALME")</f>
        <v>EL EMPALME</v>
      </c>
      <c r="O1028" s="65" t="str">
        <f>IFERROR(__xludf.DUMMYFUNCTION("""COMPUTED_VALUE"""),"El Empalme provincia del Guayas Servientrega  -")</f>
        <v>El Empalme provincia del Guayas Servientrega  -</v>
      </c>
      <c r="P1028" s="65" t="str">
        <f>IFERROR(__xludf.DUMMYFUNCTION("""COMPUTED_VALUE"""),"CUCHILLO PARA CHEF: Default Title ***")</f>
        <v>CUCHILLO PARA CHEF: Default Title ***</v>
      </c>
      <c r="Q1028" s="65" t="str">
        <f>IFERROR(__xludf.DUMMYFUNCTION("""COMPUTED_VALUE"""),"GINTRACOM")</f>
        <v>GINTRACOM</v>
      </c>
      <c r="R1028" s="65">
        <f>IFERROR(__xludf.DUMMYFUNCTION("""COMPUTED_VALUE"""),21.99)</f>
        <v>21.99</v>
      </c>
      <c r="S1028" s="65"/>
      <c r="T1028" s="65">
        <f>IFERROR(__xludf.DUMMYFUNCTION("""COMPUTED_VALUE"""),5.84)</f>
        <v>5.84</v>
      </c>
      <c r="U1028" s="65">
        <f>IFERROR(__xludf.DUMMYFUNCTION("""COMPUTED_VALUE"""),0.0)</f>
        <v>0</v>
      </c>
      <c r="V1028" s="65">
        <f>IFERROR(__xludf.DUMMYFUNCTION("""COMPUTED_VALUE"""),0.0)</f>
        <v>0</v>
      </c>
      <c r="W1028" s="65">
        <f>IFERROR(__xludf.DUMMYFUNCTION("""COMPUTED_VALUE"""),0.0)</f>
        <v>0</v>
      </c>
      <c r="X1028" s="65">
        <f>IFERROR(__xludf.DUMMYFUNCTION("""COMPUTED_VALUE"""),2.6)</f>
        <v>2.6</v>
      </c>
      <c r="Y1028" s="65">
        <f>IFERROR(__xludf.DUMMYFUNCTION("""COMPUTED_VALUE"""),2.6)</f>
        <v>2.6</v>
      </c>
      <c r="Z1028" s="65">
        <f>IFERROR(__xludf.DUMMYFUNCTION("""COMPUTED_VALUE"""),121983.0)</f>
        <v>121983</v>
      </c>
      <c r="AA1028" s="65" t="str">
        <f>IFERROR(__xludf.DUMMYFUNCTION("""COMPUTED_VALUE"""),"PROV-CHLLCF")</f>
        <v>PROV-CHLLCF</v>
      </c>
      <c r="AB1028" s="65"/>
      <c r="AC1028" s="65" t="str">
        <f>IFERROR(__xludf.DUMMYFUNCTION("""COMPUTED_VALUE"""),"CUCHILLO PARA CHEF")</f>
        <v>CUCHILLO PARA CHEF</v>
      </c>
      <c r="AD1028" s="65"/>
      <c r="AE1028" s="65">
        <f>IFERROR(__xludf.DUMMYFUNCTION("""COMPUTED_VALUE"""),1.0)</f>
        <v>1</v>
      </c>
      <c r="AF1028" s="65"/>
      <c r="AG1028" s="65"/>
      <c r="AH1028" s="65"/>
      <c r="AI1028" s="65"/>
      <c r="AJ1028" s="65"/>
      <c r="AK1028" s="65"/>
      <c r="AL1028" s="65"/>
      <c r="AM1028" s="65"/>
      <c r="AN1028" s="65"/>
      <c r="AO1028" s="65"/>
      <c r="AP1028" s="65"/>
      <c r="AQ1028" s="65"/>
      <c r="AR1028" s="65"/>
      <c r="AS1028" s="65"/>
      <c r="AT1028" s="65" t="str">
        <f>IFERROR(__xludf.DUMMYFUNCTION("""COMPUTED_VALUE"""),"SHOPIFY")</f>
        <v>SHOPIFY</v>
      </c>
      <c r="AU1028" s="65" t="str">
        <f>IFERROR(__xludf.DUMMYFUNCTION("""COMPUTED_VALUE"""),"IMPORTEX EC")</f>
        <v>IMPORTEX EC</v>
      </c>
      <c r="AV1028" s="65" t="str">
        <f>IFERROR(__xludf.DUMMYFUNCTION("""COMPUTED_VALUE"""),"6480777969708")</f>
        <v>6480777969708</v>
      </c>
      <c r="AW1028" s="65">
        <f>IFERROR(__xludf.DUMMYFUNCTION("""COMPUTED_VALUE"""),5847.0)</f>
        <v>5847</v>
      </c>
      <c r="AX1028" s="65"/>
      <c r="AY1028" s="65"/>
      <c r="AZ1028" s="65"/>
      <c r="BA1028" s="65"/>
    </row>
    <row r="1029">
      <c r="A1029" s="65" t="str">
        <f>IFERROR(__xludf.DUMMYFUNCTION("""COMPUTED_VALUE"""),"27-03-2026")</f>
        <v>27-03-2026</v>
      </c>
      <c r="B1029" s="65">
        <f>IFERROR(__xludf.DUMMYFUNCTION("""COMPUTED_VALUE"""),4418726.0)</f>
        <v>4418726</v>
      </c>
      <c r="C1029" s="65" t="str">
        <f>IFERROR(__xludf.DUMMYFUNCTION("""COMPUTED_VALUE"""),"12:10")</f>
        <v>12:10</v>
      </c>
      <c r="D1029" s="65" t="str">
        <f>IFERROR(__xludf.DUMMYFUNCTION("""COMPUTED_VALUE"""),"06-02-2026")</f>
        <v>06-02-2026</v>
      </c>
      <c r="E1029" s="65" t="str">
        <f>IFERROR(__xludf.DUMMYFUNCTION("""COMPUTED_VALUE"""),"Martha Arellano")</f>
        <v>Martha Arellano</v>
      </c>
      <c r="F1029" s="65" t="str">
        <f>IFERROR(__xludf.DUMMYFUNCTION("""COMPUTED_VALUE"""),"994015494")</f>
        <v>994015494</v>
      </c>
      <c r="G1029" s="65" t="str">
        <f>IFERROR(__xludf.DUMMYFUNCTION("""COMPUTED_VALUE"""),"marthaarellano0601@gmail.com")</f>
        <v>marthaarellano0601@gmail.com</v>
      </c>
      <c r="H1029" s="65"/>
      <c r="I1029" s="65"/>
      <c r="J1029" s="65" t="str">
        <f>IFERROR(__xludf.DUMMYFUNCTION("""COMPUTED_VALUE"""),"D001304719")</f>
        <v>D001304719</v>
      </c>
      <c r="K1029" s="65" t="str">
        <f>IFERROR(__xludf.DUMMYFUNCTION("""COMPUTED_VALUE"""),"ENTREGADO")</f>
        <v>ENTREGADO</v>
      </c>
      <c r="L1029" s="65" t="str">
        <f>IFERROR(__xludf.DUMMYFUNCTION("""COMPUTED_VALUE"""),"CON RECAUDO")</f>
        <v>CON RECAUDO</v>
      </c>
      <c r="M1029" s="65" t="str">
        <f>IFERROR(__xludf.DUMMYFUNCTION("""COMPUTED_VALUE"""),"GUAYAS")</f>
        <v>GUAYAS</v>
      </c>
      <c r="N1029" s="65" t="str">
        <f>IFERROR(__xludf.DUMMYFUNCTION("""COMPUTED_VALUE"""),"GUAYAQUIL")</f>
        <v>GUAYAQUIL</v>
      </c>
      <c r="O1029" s="65" t="str">
        <f>IFERROR(__xludf.DUMMYFUNCTION("""COMPUTED_VALUE"""),"La 42 y pórtete frente a la gasolinera terpel")</f>
        <v>La 42 y pórtete frente a la gasolinera terpel</v>
      </c>
      <c r="P1029" s="65"/>
      <c r="Q1029" s="65" t="str">
        <f>IFERROR(__xludf.DUMMYFUNCTION("""COMPUTED_VALUE"""),"GINTRACOM")</f>
        <v>GINTRACOM</v>
      </c>
      <c r="R1029" s="65">
        <f>IFERROR(__xludf.DUMMYFUNCTION("""COMPUTED_VALUE"""),22.0)</f>
        <v>22</v>
      </c>
      <c r="S1029" s="65">
        <f>IFERROR(__xludf.DUMMYFUNCTION("""COMPUTED_VALUE"""),12.57)</f>
        <v>12.57</v>
      </c>
      <c r="T1029" s="65">
        <f>IFERROR(__xludf.DUMMYFUNCTION("""COMPUTED_VALUE"""),4.23)</f>
        <v>4.23</v>
      </c>
      <c r="U1029" s="65">
        <f>IFERROR(__xludf.DUMMYFUNCTION("""COMPUTED_VALUE"""),0.0)</f>
        <v>0</v>
      </c>
      <c r="V1029" s="65">
        <f>IFERROR(__xludf.DUMMYFUNCTION("""COMPUTED_VALUE"""),0.0)</f>
        <v>0</v>
      </c>
      <c r="W1029" s="65">
        <f>IFERROR(__xludf.DUMMYFUNCTION("""COMPUTED_VALUE"""),0.0)</f>
        <v>0</v>
      </c>
      <c r="X1029" s="65">
        <f>IFERROR(__xludf.DUMMYFUNCTION("""COMPUTED_VALUE"""),2.6)</f>
        <v>2.6</v>
      </c>
      <c r="Y1029" s="65">
        <f>IFERROR(__xludf.DUMMYFUNCTION("""COMPUTED_VALUE"""),5.2)</f>
        <v>5.2</v>
      </c>
      <c r="Z1029" s="65">
        <f>IFERROR(__xludf.DUMMYFUNCTION("""COMPUTED_VALUE"""),121983.0)</f>
        <v>121983</v>
      </c>
      <c r="AA1029" s="65" t="str">
        <f>IFERROR(__xludf.DUMMYFUNCTION("""COMPUTED_VALUE"""),"PROV-CHLLCF")</f>
        <v>PROV-CHLLCF</v>
      </c>
      <c r="AB1029" s="65"/>
      <c r="AC1029" s="65" t="str">
        <f>IFERROR(__xludf.DUMMYFUNCTION("""COMPUTED_VALUE"""),"CUCHILLO PARA CHEF")</f>
        <v>CUCHILLO PARA CHEF</v>
      </c>
      <c r="AD1029" s="65"/>
      <c r="AE1029" s="65">
        <f>IFERROR(__xludf.DUMMYFUNCTION("""COMPUTED_VALUE"""),2.0)</f>
        <v>2</v>
      </c>
      <c r="AF1029" s="65"/>
      <c r="AG1029" s="65"/>
      <c r="AH1029" s="65"/>
      <c r="AI1029" s="65"/>
      <c r="AJ1029" s="65"/>
      <c r="AK1029" s="65"/>
      <c r="AL1029" s="65"/>
      <c r="AM1029" s="65"/>
      <c r="AN1029" s="65" t="str">
        <f>IFERROR(__xludf.DUMMYFUNCTION("""COMPUTED_VALUE"""),"12:10")</f>
        <v>12:10</v>
      </c>
      <c r="AO1029" s="65" t="str">
        <f>IFERROR(__xludf.DUMMYFUNCTION("""COMPUTED_VALUE"""),"10-02-2026")</f>
        <v>10-02-2026</v>
      </c>
      <c r="AP1029" s="65" t="str">
        <f>IFERROR(__xludf.DUMMYFUNCTION("""COMPUTED_VALUE"""),"ENTREGADA GINTRACOM")</f>
        <v>ENTREGADA GINTRACOM</v>
      </c>
      <c r="AQ1029" s="65" t="str">
        <f>IFERROR(__xludf.DUMMYFUNCTION("""COMPUTED_VALUE"""),"ENTREGADA GINTRACOM")</f>
        <v>ENTREGADA GINTRACOM</v>
      </c>
      <c r="AR1029" s="65"/>
      <c r="AS1029" s="65"/>
      <c r="AT1029" s="65" t="str">
        <f>IFERROR(__xludf.DUMMYFUNCTION("""COMPUTED_VALUE"""),"SHOPIFY")</f>
        <v>SHOPIFY</v>
      </c>
      <c r="AU1029" s="65" t="str">
        <f>IFERROR(__xludf.DUMMYFUNCTION("""COMPUTED_VALUE"""),"IMPORTEX EC")</f>
        <v>IMPORTEX EC</v>
      </c>
      <c r="AV1029" s="65" t="str">
        <f>IFERROR(__xludf.DUMMYFUNCTION("""COMPUTED_VALUE"""),"6480845832236")</f>
        <v>6480845832236</v>
      </c>
      <c r="AW1029" s="65">
        <f>IFERROR(__xludf.DUMMYFUNCTION("""COMPUTED_VALUE"""),5848.0)</f>
        <v>5848</v>
      </c>
      <c r="AX1029" s="65"/>
      <c r="AY1029" s="65" t="str">
        <f>IFERROR(__xludf.DUMMYFUNCTION("""COMPUTED_VALUE"""),"07/02/2026")</f>
        <v>07/02/2026</v>
      </c>
      <c r="AZ1029" s="65"/>
      <c r="BA1029" s="65"/>
    </row>
    <row r="1030">
      <c r="A1030" s="65" t="str">
        <f>IFERROR(__xludf.DUMMYFUNCTION("""COMPUTED_VALUE"""),"27-03-2026")</f>
        <v>27-03-2026</v>
      </c>
      <c r="B1030" s="65">
        <f>IFERROR(__xludf.DUMMYFUNCTION("""COMPUTED_VALUE"""),4418725.0)</f>
        <v>4418725</v>
      </c>
      <c r="C1030" s="65" t="str">
        <f>IFERROR(__xludf.DUMMYFUNCTION("""COMPUTED_VALUE"""),"12:10")</f>
        <v>12:10</v>
      </c>
      <c r="D1030" s="65" t="str">
        <f>IFERROR(__xludf.DUMMYFUNCTION("""COMPUTED_VALUE"""),"06-02-2026")</f>
        <v>06-02-2026</v>
      </c>
      <c r="E1030" s="65" t="str">
        <f>IFERROR(__xludf.DUMMYFUNCTION("""COMPUTED_VALUE"""),"Diego Zhindon")</f>
        <v>Diego Zhindon</v>
      </c>
      <c r="F1030" s="65" t="str">
        <f>IFERROR(__xludf.DUMMYFUNCTION("""COMPUTED_VALUE"""),"999251181")</f>
        <v>999251181</v>
      </c>
      <c r="G1030" s="65" t="str">
        <f>IFERROR(__xludf.DUMMYFUNCTION("""COMPUTED_VALUE"""),"dzra.1906@gmail.com")</f>
        <v>dzra.1906@gmail.com</v>
      </c>
      <c r="H1030" s="65"/>
      <c r="I1030" s="65"/>
      <c r="J1030" s="65" t="str">
        <f>IFERROR(__xludf.DUMMYFUNCTION("""COMPUTED_VALUE"""),"D001304720")</f>
        <v>D001304720</v>
      </c>
      <c r="K1030" s="65" t="str">
        <f>IFERROR(__xludf.DUMMYFUNCTION("""COMPUTED_VALUE"""),"ENTREGADO")</f>
        <v>ENTREGADO</v>
      </c>
      <c r="L1030" s="65" t="str">
        <f>IFERROR(__xludf.DUMMYFUNCTION("""COMPUTED_VALUE"""),"CON RECAUDO")</f>
        <v>CON RECAUDO</v>
      </c>
      <c r="M1030" s="65" t="str">
        <f>IFERROR(__xludf.DUMMYFUNCTION("""COMPUTED_VALUE"""),"AZUAY")</f>
        <v>AZUAY</v>
      </c>
      <c r="N1030" s="65" t="str">
        <f>IFERROR(__xludf.DUMMYFUNCTION("""COMPUTED_VALUE"""),"CUENCA")</f>
        <v>CUENCA</v>
      </c>
      <c r="O1030" s="65" t="str">
        <f>IFERROR(__xludf.DUMMYFUNCTION("""COMPUTED_VALUE"""),"Ramayana Telemaco .  esquina, Cuenca, sector urbanización de Los Ingenieros")</f>
        <v>Ramayana Telemaco .  esquina, Cuenca, sector urbanización de Los Ingenieros</v>
      </c>
      <c r="P1030" s="65"/>
      <c r="Q1030" s="65" t="str">
        <f>IFERROR(__xludf.DUMMYFUNCTION("""COMPUTED_VALUE"""),"GINTRACOM")</f>
        <v>GINTRACOM</v>
      </c>
      <c r="R1030" s="65">
        <f>IFERROR(__xludf.DUMMYFUNCTION("""COMPUTED_VALUE"""),22.0)</f>
        <v>22</v>
      </c>
      <c r="S1030" s="65">
        <f>IFERROR(__xludf.DUMMYFUNCTION("""COMPUTED_VALUE"""),10.96)</f>
        <v>10.96</v>
      </c>
      <c r="T1030" s="65">
        <f>IFERROR(__xludf.DUMMYFUNCTION("""COMPUTED_VALUE"""),5.84)</f>
        <v>5.84</v>
      </c>
      <c r="U1030" s="65">
        <f>IFERROR(__xludf.DUMMYFUNCTION("""COMPUTED_VALUE"""),0.0)</f>
        <v>0</v>
      </c>
      <c r="V1030" s="65">
        <f>IFERROR(__xludf.DUMMYFUNCTION("""COMPUTED_VALUE"""),0.0)</f>
        <v>0</v>
      </c>
      <c r="W1030" s="65">
        <f>IFERROR(__xludf.DUMMYFUNCTION("""COMPUTED_VALUE"""),0.0)</f>
        <v>0</v>
      </c>
      <c r="X1030" s="65">
        <f>IFERROR(__xludf.DUMMYFUNCTION("""COMPUTED_VALUE"""),2.6)</f>
        <v>2.6</v>
      </c>
      <c r="Y1030" s="65">
        <f>IFERROR(__xludf.DUMMYFUNCTION("""COMPUTED_VALUE"""),5.2)</f>
        <v>5.2</v>
      </c>
      <c r="Z1030" s="65">
        <f>IFERROR(__xludf.DUMMYFUNCTION("""COMPUTED_VALUE"""),121983.0)</f>
        <v>121983</v>
      </c>
      <c r="AA1030" s="65" t="str">
        <f>IFERROR(__xludf.DUMMYFUNCTION("""COMPUTED_VALUE"""),"PROV-CHLLCF")</f>
        <v>PROV-CHLLCF</v>
      </c>
      <c r="AB1030" s="65"/>
      <c r="AC1030" s="65" t="str">
        <f>IFERROR(__xludf.DUMMYFUNCTION("""COMPUTED_VALUE"""),"CUCHILLO PARA CHEF")</f>
        <v>CUCHILLO PARA CHEF</v>
      </c>
      <c r="AD1030" s="65"/>
      <c r="AE1030" s="65">
        <f>IFERROR(__xludf.DUMMYFUNCTION("""COMPUTED_VALUE"""),2.0)</f>
        <v>2</v>
      </c>
      <c r="AF1030" s="65"/>
      <c r="AG1030" s="65"/>
      <c r="AH1030" s="65"/>
      <c r="AI1030" s="65"/>
      <c r="AJ1030" s="65"/>
      <c r="AK1030" s="65"/>
      <c r="AL1030" s="65"/>
      <c r="AM1030" s="65"/>
      <c r="AN1030" s="65" t="str">
        <f>IFERROR(__xludf.DUMMYFUNCTION("""COMPUTED_VALUE"""),"14:21")</f>
        <v>14:21</v>
      </c>
      <c r="AO1030" s="65" t="str">
        <f>IFERROR(__xludf.DUMMYFUNCTION("""COMPUTED_VALUE"""),"09-02-2026")</f>
        <v>09-02-2026</v>
      </c>
      <c r="AP1030" s="65" t="str">
        <f>IFERROR(__xludf.DUMMYFUNCTION("""COMPUTED_VALUE"""),"ENTREGADA GINTRACOM")</f>
        <v>ENTREGADA GINTRACOM</v>
      </c>
      <c r="AQ1030" s="65" t="str">
        <f>IFERROR(__xludf.DUMMYFUNCTION("""COMPUTED_VALUE"""),"ENTREGADA GINTRACOM")</f>
        <v>ENTREGADA GINTRACOM</v>
      </c>
      <c r="AR1030" s="65"/>
      <c r="AS1030" s="65"/>
      <c r="AT1030" s="65" t="str">
        <f>IFERROR(__xludf.DUMMYFUNCTION("""COMPUTED_VALUE"""),"SHOPIFY")</f>
        <v>SHOPIFY</v>
      </c>
      <c r="AU1030" s="65" t="str">
        <f>IFERROR(__xludf.DUMMYFUNCTION("""COMPUTED_VALUE"""),"IMPORTEX EC")</f>
        <v>IMPORTEX EC</v>
      </c>
      <c r="AV1030" s="65" t="str">
        <f>IFERROR(__xludf.DUMMYFUNCTION("""COMPUTED_VALUE"""),"6480848289836")</f>
        <v>6480848289836</v>
      </c>
      <c r="AW1030" s="65">
        <f>IFERROR(__xludf.DUMMYFUNCTION("""COMPUTED_VALUE"""),5849.0)</f>
        <v>5849</v>
      </c>
      <c r="AX1030" s="65"/>
      <c r="AY1030" s="65" t="str">
        <f>IFERROR(__xludf.DUMMYFUNCTION("""COMPUTED_VALUE"""),"07/02/2026")</f>
        <v>07/02/2026</v>
      </c>
      <c r="AZ1030" s="65"/>
      <c r="BA1030" s="65"/>
    </row>
    <row r="1031">
      <c r="A1031" s="65" t="str">
        <f>IFERROR(__xludf.DUMMYFUNCTION("""COMPUTED_VALUE"""),"27-03-2026")</f>
        <v>27-03-2026</v>
      </c>
      <c r="B1031" s="65">
        <f>IFERROR(__xludf.DUMMYFUNCTION("""COMPUTED_VALUE"""),4418721.0)</f>
        <v>4418721</v>
      </c>
      <c r="C1031" s="65" t="str">
        <f>IFERROR(__xludf.DUMMYFUNCTION("""COMPUTED_VALUE"""),"12:10")</f>
        <v>12:10</v>
      </c>
      <c r="D1031" s="65" t="str">
        <f>IFERROR(__xludf.DUMMYFUNCTION("""COMPUTED_VALUE"""),"06-02-2026")</f>
        <v>06-02-2026</v>
      </c>
      <c r="E1031" s="65" t="str">
        <f>IFERROR(__xludf.DUMMYFUNCTION("""COMPUTED_VALUE"""),"Cristóbal Eras")</f>
        <v>Cristóbal Eras</v>
      </c>
      <c r="F1031" s="65" t="str">
        <f>IFERROR(__xludf.DUMMYFUNCTION("""COMPUTED_VALUE"""),"959266824")</f>
        <v>959266824</v>
      </c>
      <c r="G1031" s="65" t="str">
        <f>IFERROR(__xludf.DUMMYFUNCTION("""COMPUTED_VALUE"""),"gaece1963@gmail.com")</f>
        <v>gaece1963@gmail.com</v>
      </c>
      <c r="H1031" s="65"/>
      <c r="I1031" s="65"/>
      <c r="J1031" s="65" t="str">
        <f>IFERROR(__xludf.DUMMYFUNCTION("""COMPUTED_VALUE"""),"D001304721")</f>
        <v>D001304721</v>
      </c>
      <c r="K1031" s="65" t="str">
        <f>IFERROR(__xludf.DUMMYFUNCTION("""COMPUTED_VALUE"""),"DEVOLUCION")</f>
        <v>DEVOLUCION</v>
      </c>
      <c r="L1031" s="65" t="str">
        <f>IFERROR(__xludf.DUMMYFUNCTION("""COMPUTED_VALUE"""),"CON RECAUDO")</f>
        <v>CON RECAUDO</v>
      </c>
      <c r="M1031" s="65" t="str">
        <f>IFERROR(__xludf.DUMMYFUNCTION("""COMPUTED_VALUE"""),"PICHINCHA")</f>
        <v>PICHINCHA</v>
      </c>
      <c r="N1031" s="65" t="str">
        <f>IFERROR(__xludf.DUMMYFUNCTION("""COMPUTED_VALUE"""),"QUITO")</f>
        <v>QUITO</v>
      </c>
      <c r="O1031" s="65" t="str">
        <f>IFERROR(__xludf.DUMMYFUNCTION("""COMPUTED_VALUE"""),"Gabriel Noroña E3-67 y Hermandad Ferroviaria Ferroviaria Baja - A media cuadra de la farmacia sana sana")</f>
        <v>Gabriel Noroña E3-67 y Hermandad Ferroviaria Ferroviaria Baja - A media cuadra de la farmacia sana sana</v>
      </c>
      <c r="P1031" s="65"/>
      <c r="Q1031" s="65" t="str">
        <f>IFERROR(__xludf.DUMMYFUNCTION("""COMPUTED_VALUE"""),"GINTRACOM")</f>
        <v>GINTRACOM</v>
      </c>
      <c r="R1031" s="65">
        <f>IFERROR(__xludf.DUMMYFUNCTION("""COMPUTED_VALUE"""),27.0)</f>
        <v>27</v>
      </c>
      <c r="S1031" s="65"/>
      <c r="T1031" s="65">
        <f>IFERROR(__xludf.DUMMYFUNCTION("""COMPUTED_VALUE"""),6.03)</f>
        <v>6.03</v>
      </c>
      <c r="U1031" s="65">
        <f>IFERROR(__xludf.DUMMYFUNCTION("""COMPUTED_VALUE"""),0.0)</f>
        <v>0</v>
      </c>
      <c r="V1031" s="65">
        <f>IFERROR(__xludf.DUMMYFUNCTION("""COMPUTED_VALUE"""),0.0)</f>
        <v>0</v>
      </c>
      <c r="W1031" s="65">
        <f>IFERROR(__xludf.DUMMYFUNCTION("""COMPUTED_VALUE"""),0.0)</f>
        <v>0</v>
      </c>
      <c r="X1031" s="65">
        <f>IFERROR(__xludf.DUMMYFUNCTION("""COMPUTED_VALUE"""),2.6)</f>
        <v>2.6</v>
      </c>
      <c r="Y1031" s="65">
        <f>IFERROR(__xludf.DUMMYFUNCTION("""COMPUTED_VALUE"""),7.8)</f>
        <v>7.8</v>
      </c>
      <c r="Z1031" s="65">
        <f>IFERROR(__xludf.DUMMYFUNCTION("""COMPUTED_VALUE"""),121983.0)</f>
        <v>121983</v>
      </c>
      <c r="AA1031" s="65" t="str">
        <f>IFERROR(__xludf.DUMMYFUNCTION("""COMPUTED_VALUE"""),"PROV-CHLLCF")</f>
        <v>PROV-CHLLCF</v>
      </c>
      <c r="AB1031" s="65"/>
      <c r="AC1031" s="65" t="str">
        <f>IFERROR(__xludf.DUMMYFUNCTION("""COMPUTED_VALUE"""),"CUCHILLO PARA CHEF")</f>
        <v>CUCHILLO PARA CHEF</v>
      </c>
      <c r="AD1031" s="65"/>
      <c r="AE1031" s="65">
        <f>IFERROR(__xludf.DUMMYFUNCTION("""COMPUTED_VALUE"""),3.0)</f>
        <v>3</v>
      </c>
      <c r="AF1031" s="65" t="str">
        <f>IFERROR(__xludf.DUMMYFUNCTION("""COMPUTED_VALUE"""),"DESTINATARIO NO CONTESTA LLAMADAS NI WHATSAPP")</f>
        <v>DESTINATARIO NO CONTESTA LLAMADAS NI WHATSAPP</v>
      </c>
      <c r="AG1031" s="65" t="str">
        <f>IFERROR(__xludf.DUMMYFUNCTION("""COMPUTED_VALUE"""),"NO")</f>
        <v>NO</v>
      </c>
      <c r="AH1031" s="65" t="str">
        <f>IFERROR(__xludf.DUMMYFUNCTION("""COMPUTED_VALUE"""),"09:00")</f>
        <v>09:00</v>
      </c>
      <c r="AI1031" s="65" t="str">
        <f>IFERROR(__xludf.DUMMYFUNCTION("""COMPUTED_VALUE"""),"17-02-2026")</f>
        <v>17-02-2026</v>
      </c>
      <c r="AJ1031" s="65"/>
      <c r="AK1031" s="65"/>
      <c r="AL1031" s="65"/>
      <c r="AM1031" s="65"/>
      <c r="AN1031" s="65" t="str">
        <f>IFERROR(__xludf.DUMMYFUNCTION("""COMPUTED_VALUE"""),"01:36")</f>
        <v>01:36</v>
      </c>
      <c r="AO1031" s="65" t="str">
        <f>IFERROR(__xludf.DUMMYFUNCTION("""COMPUTED_VALUE"""),"06-03-2026")</f>
        <v>06-03-2026</v>
      </c>
      <c r="AP1031" s="65" t="str">
        <f>IFERROR(__xludf.DUMMYFUNCTION("""COMPUTED_VALUE"""),"DEVOLUCIÓN ENTREGADA A ORIGEN")</f>
        <v>DEVOLUCIÓN ENTREGADA A ORIGEN</v>
      </c>
      <c r="AQ1031" s="65" t="str">
        <f>IFERROR(__xludf.DUMMYFUNCTION("""COMPUTED_VALUE"""),"DEVOLUCIÓN ENTREGADA A ORIGEN")</f>
        <v>DEVOLUCIÓN ENTREGADA A ORIGEN</v>
      </c>
      <c r="AR1031" s="65"/>
      <c r="AS1031" s="65"/>
      <c r="AT1031" s="65" t="str">
        <f>IFERROR(__xludf.DUMMYFUNCTION("""COMPUTED_VALUE"""),"SHOPIFY")</f>
        <v>SHOPIFY</v>
      </c>
      <c r="AU1031" s="65" t="str">
        <f>IFERROR(__xludf.DUMMYFUNCTION("""COMPUTED_VALUE"""),"IMPORTEX EC")</f>
        <v>IMPORTEX EC</v>
      </c>
      <c r="AV1031" s="65" t="str">
        <f>IFERROR(__xludf.DUMMYFUNCTION("""COMPUTED_VALUE"""),"6480849010732")</f>
        <v>6480849010732</v>
      </c>
      <c r="AW1031" s="65">
        <f>IFERROR(__xludf.DUMMYFUNCTION("""COMPUTED_VALUE"""),5850.0)</f>
        <v>5850</v>
      </c>
      <c r="AX1031" s="65"/>
      <c r="AY1031" s="65" t="str">
        <f>IFERROR(__xludf.DUMMYFUNCTION("""COMPUTED_VALUE"""),"07/02/2026")</f>
        <v>07/02/2026</v>
      </c>
      <c r="AZ1031" s="65"/>
      <c r="BA1031" s="65"/>
    </row>
    <row r="1032">
      <c r="A1032" s="65" t="str">
        <f>IFERROR(__xludf.DUMMYFUNCTION("""COMPUTED_VALUE"""),"27-03-2026")</f>
        <v>27-03-2026</v>
      </c>
      <c r="B1032" s="65">
        <f>IFERROR(__xludf.DUMMYFUNCTION("""COMPUTED_VALUE"""),4418715.0)</f>
        <v>4418715</v>
      </c>
      <c r="C1032" s="65" t="str">
        <f>IFERROR(__xludf.DUMMYFUNCTION("""COMPUTED_VALUE"""),"12:09")</f>
        <v>12:09</v>
      </c>
      <c r="D1032" s="65" t="str">
        <f>IFERROR(__xludf.DUMMYFUNCTION("""COMPUTED_VALUE"""),"06-02-2026")</f>
        <v>06-02-2026</v>
      </c>
      <c r="E1032" s="65" t="str">
        <f>IFERROR(__xludf.DUMMYFUNCTION("""COMPUTED_VALUE"""),"Diego Fernando Barros criollo")</f>
        <v>Diego Fernando Barros criollo</v>
      </c>
      <c r="F1032" s="65" t="str">
        <f>IFERROR(__xludf.DUMMYFUNCTION("""COMPUTED_VALUE"""),"986139409")</f>
        <v>986139409</v>
      </c>
      <c r="G1032" s="65" t="str">
        <f>IFERROR(__xludf.DUMMYFUNCTION("""COMPUTED_VALUE"""),"moscos76@hotmail.es")</f>
        <v>moscos76@hotmail.es</v>
      </c>
      <c r="H1032" s="65"/>
      <c r="I1032" s="65"/>
      <c r="J1032" s="65"/>
      <c r="K1032" s="65" t="str">
        <f>IFERROR(__xludf.DUMMYFUNCTION("""COMPUTED_VALUE"""),"PENDIENTE CONFIRMACION")</f>
        <v>PENDIENTE CONFIRMACION</v>
      </c>
      <c r="L1032" s="65" t="str">
        <f>IFERROR(__xludf.DUMMYFUNCTION("""COMPUTED_VALUE"""),"CON RECAUDO")</f>
        <v>CON RECAUDO</v>
      </c>
      <c r="M1032" s="65" t="str">
        <f>IFERROR(__xludf.DUMMYFUNCTION("""COMPUTED_VALUE"""),"AZUAY")</f>
        <v>AZUAY</v>
      </c>
      <c r="N1032" s="65" t="str">
        <f>IFERROR(__xludf.DUMMYFUNCTION("""COMPUTED_VALUE"""),"CUENCA")</f>
        <v>CUENCA</v>
      </c>
      <c r="O1032" s="65" t="str">
        <f>IFERROR(__xludf.DUMMYFUNCTION("""COMPUTED_VALUE"""),"Canción otavalo Barrio unión alta -")</f>
        <v>Canción otavalo Barrio unión alta -</v>
      </c>
      <c r="P1032" s="65"/>
      <c r="Q1032" s="65" t="str">
        <f>IFERROR(__xludf.DUMMYFUNCTION("""COMPUTED_VALUE"""),"GINTRACOM")</f>
        <v>GINTRACOM</v>
      </c>
      <c r="R1032" s="65">
        <f>IFERROR(__xludf.DUMMYFUNCTION("""COMPUTED_VALUE"""),22.0)</f>
        <v>22</v>
      </c>
      <c r="S1032" s="65"/>
      <c r="T1032" s="65">
        <f>IFERROR(__xludf.DUMMYFUNCTION("""COMPUTED_VALUE"""),5.84)</f>
        <v>5.84</v>
      </c>
      <c r="U1032" s="65">
        <f>IFERROR(__xludf.DUMMYFUNCTION("""COMPUTED_VALUE"""),0.0)</f>
        <v>0</v>
      </c>
      <c r="V1032" s="65">
        <f>IFERROR(__xludf.DUMMYFUNCTION("""COMPUTED_VALUE"""),0.0)</f>
        <v>0</v>
      </c>
      <c r="W1032" s="65">
        <f>IFERROR(__xludf.DUMMYFUNCTION("""COMPUTED_VALUE"""),0.0)</f>
        <v>0</v>
      </c>
      <c r="X1032" s="65">
        <f>IFERROR(__xludf.DUMMYFUNCTION("""COMPUTED_VALUE"""),2.6)</f>
        <v>2.6</v>
      </c>
      <c r="Y1032" s="65">
        <f>IFERROR(__xludf.DUMMYFUNCTION("""COMPUTED_VALUE"""),5.2)</f>
        <v>5.2</v>
      </c>
      <c r="Z1032" s="65">
        <f>IFERROR(__xludf.DUMMYFUNCTION("""COMPUTED_VALUE"""),121983.0)</f>
        <v>121983</v>
      </c>
      <c r="AA1032" s="65" t="str">
        <f>IFERROR(__xludf.DUMMYFUNCTION("""COMPUTED_VALUE"""),"PROV-CHLLCF")</f>
        <v>PROV-CHLLCF</v>
      </c>
      <c r="AB1032" s="65"/>
      <c r="AC1032" s="65" t="str">
        <f>IFERROR(__xludf.DUMMYFUNCTION("""COMPUTED_VALUE"""),"CUCHILLO PARA CHEF")</f>
        <v>CUCHILLO PARA CHEF</v>
      </c>
      <c r="AD1032" s="65"/>
      <c r="AE1032" s="65">
        <f>IFERROR(__xludf.DUMMYFUNCTION("""COMPUTED_VALUE"""),2.0)</f>
        <v>2</v>
      </c>
      <c r="AF1032" s="65"/>
      <c r="AG1032" s="65"/>
      <c r="AH1032" s="65"/>
      <c r="AI1032" s="65"/>
      <c r="AJ1032" s="65"/>
      <c r="AK1032" s="65"/>
      <c r="AL1032" s="65"/>
      <c r="AM1032" s="65"/>
      <c r="AN1032" s="65"/>
      <c r="AO1032" s="65"/>
      <c r="AP1032" s="65"/>
      <c r="AQ1032" s="65"/>
      <c r="AR1032" s="65"/>
      <c r="AS1032" s="65"/>
      <c r="AT1032" s="65" t="str">
        <f>IFERROR(__xludf.DUMMYFUNCTION("""COMPUTED_VALUE"""),"SHOPIFY")</f>
        <v>SHOPIFY</v>
      </c>
      <c r="AU1032" s="65" t="str">
        <f>IFERROR(__xludf.DUMMYFUNCTION("""COMPUTED_VALUE"""),"IMPORTEX EC")</f>
        <v>IMPORTEX EC</v>
      </c>
      <c r="AV1032" s="65" t="str">
        <f>IFERROR(__xludf.DUMMYFUNCTION("""COMPUTED_VALUE"""),"6480910843948")</f>
        <v>6480910843948</v>
      </c>
      <c r="AW1032" s="65">
        <f>IFERROR(__xludf.DUMMYFUNCTION("""COMPUTED_VALUE"""),5851.0)</f>
        <v>5851</v>
      </c>
      <c r="AX1032" s="65"/>
      <c r="AY1032" s="65"/>
      <c r="AZ1032" s="65"/>
      <c r="BA1032" s="65"/>
    </row>
    <row r="1033">
      <c r="A1033" s="65" t="str">
        <f>IFERROR(__xludf.DUMMYFUNCTION("""COMPUTED_VALUE"""),"27-03-2026")</f>
        <v>27-03-2026</v>
      </c>
      <c r="B1033" s="65">
        <f>IFERROR(__xludf.DUMMYFUNCTION("""COMPUTED_VALUE"""),4418710.0)</f>
        <v>4418710</v>
      </c>
      <c r="C1033" s="65" t="str">
        <f>IFERROR(__xludf.DUMMYFUNCTION("""COMPUTED_VALUE"""),"12:09")</f>
        <v>12:09</v>
      </c>
      <c r="D1033" s="65" t="str">
        <f>IFERROR(__xludf.DUMMYFUNCTION("""COMPUTED_VALUE"""),"06-02-2026")</f>
        <v>06-02-2026</v>
      </c>
      <c r="E1033" s="65" t="str">
        <f>IFERROR(__xludf.DUMMYFUNCTION("""COMPUTED_VALUE"""),"Norma Vera Zambrano")</f>
        <v>Norma Vera Zambrano</v>
      </c>
      <c r="F1033" s="65" t="str">
        <f>IFERROR(__xludf.DUMMYFUNCTION("""COMPUTED_VALUE"""),"969236976")</f>
        <v>969236976</v>
      </c>
      <c r="G1033" s="65"/>
      <c r="H1033" s="65"/>
      <c r="I1033" s="65"/>
      <c r="J1033" s="65"/>
      <c r="K1033" s="65" t="str">
        <f>IFERROR(__xludf.DUMMYFUNCTION("""COMPUTED_VALUE"""),"PENDIENTE CONFIRMACION")</f>
        <v>PENDIENTE CONFIRMACION</v>
      </c>
      <c r="L1033" s="65" t="str">
        <f>IFERROR(__xludf.DUMMYFUNCTION("""COMPUTED_VALUE"""),"CON RECAUDO")</f>
        <v>CON RECAUDO</v>
      </c>
      <c r="M1033" s="65" t="str">
        <f>IFERROR(__xludf.DUMMYFUNCTION("""COMPUTED_VALUE"""),"LOS RIOS")</f>
        <v>LOS RIOS</v>
      </c>
      <c r="N1033" s="65" t="str">
        <f>IFERROR(__xludf.DUMMYFUNCTION("""COMPUTED_VALUE"""),"BABAHOYO")</f>
        <v>BABAHOYO</v>
      </c>
      <c r="O1033" s="65" t="str">
        <f>IFERROR(__xludf.DUMMYFUNCTION("""COMPUTED_VALUE"""),"Ecuador Ciudadela puerta negra sector nuevo babahoyo -")</f>
        <v>Ecuador Ciudadela puerta negra sector nuevo babahoyo -</v>
      </c>
      <c r="P1033" s="65"/>
      <c r="Q1033" s="65" t="str">
        <f>IFERROR(__xludf.DUMMYFUNCTION("""COMPUTED_VALUE"""),"GINTRACOM")</f>
        <v>GINTRACOM</v>
      </c>
      <c r="R1033" s="65">
        <f>IFERROR(__xludf.DUMMYFUNCTION("""COMPUTED_VALUE"""),22.0)</f>
        <v>22</v>
      </c>
      <c r="S1033" s="65"/>
      <c r="T1033" s="65">
        <f>IFERROR(__xludf.DUMMYFUNCTION("""COMPUTED_VALUE"""),5.84)</f>
        <v>5.84</v>
      </c>
      <c r="U1033" s="65">
        <f>IFERROR(__xludf.DUMMYFUNCTION("""COMPUTED_VALUE"""),0.0)</f>
        <v>0</v>
      </c>
      <c r="V1033" s="65">
        <f>IFERROR(__xludf.DUMMYFUNCTION("""COMPUTED_VALUE"""),0.0)</f>
        <v>0</v>
      </c>
      <c r="W1033" s="65">
        <f>IFERROR(__xludf.DUMMYFUNCTION("""COMPUTED_VALUE"""),0.0)</f>
        <v>0</v>
      </c>
      <c r="X1033" s="65">
        <f>IFERROR(__xludf.DUMMYFUNCTION("""COMPUTED_VALUE"""),2.6)</f>
        <v>2.6</v>
      </c>
      <c r="Y1033" s="65">
        <f>IFERROR(__xludf.DUMMYFUNCTION("""COMPUTED_VALUE"""),5.2)</f>
        <v>5.2</v>
      </c>
      <c r="Z1033" s="65">
        <f>IFERROR(__xludf.DUMMYFUNCTION("""COMPUTED_VALUE"""),121983.0)</f>
        <v>121983</v>
      </c>
      <c r="AA1033" s="65" t="str">
        <f>IFERROR(__xludf.DUMMYFUNCTION("""COMPUTED_VALUE"""),"PROV-CHLLCF")</f>
        <v>PROV-CHLLCF</v>
      </c>
      <c r="AB1033" s="65"/>
      <c r="AC1033" s="65" t="str">
        <f>IFERROR(__xludf.DUMMYFUNCTION("""COMPUTED_VALUE"""),"CUCHILLO PARA CHEF")</f>
        <v>CUCHILLO PARA CHEF</v>
      </c>
      <c r="AD1033" s="65"/>
      <c r="AE1033" s="65">
        <f>IFERROR(__xludf.DUMMYFUNCTION("""COMPUTED_VALUE"""),2.0)</f>
        <v>2</v>
      </c>
      <c r="AF1033" s="65"/>
      <c r="AG1033" s="65"/>
      <c r="AH1033" s="65"/>
      <c r="AI1033" s="65"/>
      <c r="AJ1033" s="65"/>
      <c r="AK1033" s="65"/>
      <c r="AL1033" s="65"/>
      <c r="AM1033" s="65"/>
      <c r="AN1033" s="65"/>
      <c r="AO1033" s="65"/>
      <c r="AP1033" s="65"/>
      <c r="AQ1033" s="65"/>
      <c r="AR1033" s="65"/>
      <c r="AS1033" s="65"/>
      <c r="AT1033" s="65" t="str">
        <f>IFERROR(__xludf.DUMMYFUNCTION("""COMPUTED_VALUE"""),"SHOPIFY")</f>
        <v>SHOPIFY</v>
      </c>
      <c r="AU1033" s="65" t="str">
        <f>IFERROR(__xludf.DUMMYFUNCTION("""COMPUTED_VALUE"""),"IMPORTEX EC")</f>
        <v>IMPORTEX EC</v>
      </c>
      <c r="AV1033" s="65" t="str">
        <f>IFERROR(__xludf.DUMMYFUNCTION("""COMPUTED_VALUE"""),"6480988012588")</f>
        <v>6480988012588</v>
      </c>
      <c r="AW1033" s="65">
        <f>IFERROR(__xludf.DUMMYFUNCTION("""COMPUTED_VALUE"""),5852.0)</f>
        <v>5852</v>
      </c>
      <c r="AX1033" s="65"/>
      <c r="AY1033" s="65"/>
      <c r="AZ1033" s="65"/>
      <c r="BA1033" s="65"/>
    </row>
    <row r="1034">
      <c r="A1034" s="65" t="str">
        <f>IFERROR(__xludf.DUMMYFUNCTION("""COMPUTED_VALUE"""),"27-03-2026")</f>
        <v>27-03-2026</v>
      </c>
      <c r="B1034" s="65">
        <f>IFERROR(__xludf.DUMMYFUNCTION("""COMPUTED_VALUE"""),4418709.0)</f>
        <v>4418709</v>
      </c>
      <c r="C1034" s="65" t="str">
        <f>IFERROR(__xludf.DUMMYFUNCTION("""COMPUTED_VALUE"""),"12:09")</f>
        <v>12:09</v>
      </c>
      <c r="D1034" s="65" t="str">
        <f>IFERROR(__xludf.DUMMYFUNCTION("""COMPUTED_VALUE"""),"06-02-2026")</f>
        <v>06-02-2026</v>
      </c>
      <c r="E1034" s="65" t="str">
        <f>IFERROR(__xludf.DUMMYFUNCTION("""COMPUTED_VALUE"""),"Lauro Patiño")</f>
        <v>Lauro Patiño</v>
      </c>
      <c r="F1034" s="65" t="str">
        <f>IFERROR(__xludf.DUMMYFUNCTION("""COMPUTED_VALUE"""),"984977721")</f>
        <v>984977721</v>
      </c>
      <c r="G1034" s="65" t="str">
        <f>IFERROR(__xludf.DUMMYFUNCTION("""COMPUTED_VALUE"""),"lauropatino123@outlook.es")</f>
        <v>lauropatino123@outlook.es</v>
      </c>
      <c r="H1034" s="65"/>
      <c r="I1034" s="65"/>
      <c r="J1034" s="65"/>
      <c r="K1034" s="65" t="str">
        <f>IFERROR(__xludf.DUMMYFUNCTION("""COMPUTED_VALUE"""),"PENDIENTE CONFIRMACION")</f>
        <v>PENDIENTE CONFIRMACION</v>
      </c>
      <c r="L1034" s="65" t="str">
        <f>IFERROR(__xludf.DUMMYFUNCTION("""COMPUTED_VALUE"""),"CON RECAUDO")</f>
        <v>CON RECAUDO</v>
      </c>
      <c r="M1034" s="65" t="str">
        <f>IFERROR(__xludf.DUMMYFUNCTION("""COMPUTED_VALUE"""),"AZUAY")</f>
        <v>AZUAY</v>
      </c>
      <c r="N1034" s="65" t="str">
        <f>IFERROR(__xludf.DUMMYFUNCTION("""COMPUTED_VALUE"""),"CUENCA")</f>
        <v>CUENCA</v>
      </c>
      <c r="O1034" s="65" t="str">
        <f>IFERROR(__xludf.DUMMYFUNCTION("""COMPUTED_VALUE"""),"Julio Abad Chica y coya 232 Totoracocha -")</f>
        <v>Julio Abad Chica y coya 232 Totoracocha -</v>
      </c>
      <c r="P1034" s="65"/>
      <c r="Q1034" s="65" t="str">
        <f>IFERROR(__xludf.DUMMYFUNCTION("""COMPUTED_VALUE"""),"GINTRACOM")</f>
        <v>GINTRACOM</v>
      </c>
      <c r="R1034" s="65">
        <f>IFERROR(__xludf.DUMMYFUNCTION("""COMPUTED_VALUE"""),25.0)</f>
        <v>25</v>
      </c>
      <c r="S1034" s="65"/>
      <c r="T1034" s="65">
        <f>IFERROR(__xludf.DUMMYFUNCTION("""COMPUTED_VALUE"""),5.96)</f>
        <v>5.96</v>
      </c>
      <c r="U1034" s="65">
        <f>IFERROR(__xludf.DUMMYFUNCTION("""COMPUTED_VALUE"""),0.0)</f>
        <v>0</v>
      </c>
      <c r="V1034" s="65">
        <f>IFERROR(__xludf.DUMMYFUNCTION("""COMPUTED_VALUE"""),0.0)</f>
        <v>0</v>
      </c>
      <c r="W1034" s="65">
        <f>IFERROR(__xludf.DUMMYFUNCTION("""COMPUTED_VALUE"""),0.0)</f>
        <v>0</v>
      </c>
      <c r="X1034" s="65">
        <f>IFERROR(__xludf.DUMMYFUNCTION("""COMPUTED_VALUE"""),2.2)</f>
        <v>2.2</v>
      </c>
      <c r="Y1034" s="65">
        <f>IFERROR(__xludf.DUMMYFUNCTION("""COMPUTED_VALUE"""),4.4)</f>
        <v>4.4</v>
      </c>
      <c r="Z1034" s="65">
        <f>IFERROR(__xludf.DUMMYFUNCTION("""COMPUTED_VALUE"""),111894.0)</f>
        <v>111894</v>
      </c>
      <c r="AA1034" s="65" t="str">
        <f>IFERROR(__xludf.DUMMYFUNCTION("""COMPUTED_VALUE"""),"LYIC5M40067")</f>
        <v>LYIC5M40067</v>
      </c>
      <c r="AB1034" s="65"/>
      <c r="AC1034" s="65" t="str">
        <f>IFERROR(__xludf.DUMMYFUNCTION("""COMPUTED_VALUE"""),"Limpiador de Parabrisas y Ventanas")</f>
        <v>Limpiador de Parabrisas y Ventanas</v>
      </c>
      <c r="AD1034" s="65"/>
      <c r="AE1034" s="65">
        <f>IFERROR(__xludf.DUMMYFUNCTION("""COMPUTED_VALUE"""),2.0)</f>
        <v>2</v>
      </c>
      <c r="AF1034" s="65"/>
      <c r="AG1034" s="65"/>
      <c r="AH1034" s="65"/>
      <c r="AI1034" s="65"/>
      <c r="AJ1034" s="65"/>
      <c r="AK1034" s="65"/>
      <c r="AL1034" s="65"/>
      <c r="AM1034" s="65"/>
      <c r="AN1034" s="65"/>
      <c r="AO1034" s="65"/>
      <c r="AP1034" s="65"/>
      <c r="AQ1034" s="65"/>
      <c r="AR1034" s="65"/>
      <c r="AS1034" s="65"/>
      <c r="AT1034" s="65" t="str">
        <f>IFERROR(__xludf.DUMMYFUNCTION("""COMPUTED_VALUE"""),"SHOPIFY")</f>
        <v>SHOPIFY</v>
      </c>
      <c r="AU1034" s="65" t="str">
        <f>IFERROR(__xludf.DUMMYFUNCTION("""COMPUTED_VALUE"""),"IMPORTEX EC")</f>
        <v>IMPORTEX EC</v>
      </c>
      <c r="AV1034" s="65" t="str">
        <f>IFERROR(__xludf.DUMMYFUNCTION("""COMPUTED_VALUE"""),"6481104076844")</f>
        <v>6481104076844</v>
      </c>
      <c r="AW1034" s="65">
        <f>IFERROR(__xludf.DUMMYFUNCTION("""COMPUTED_VALUE"""),5853.0)</f>
        <v>5853</v>
      </c>
      <c r="AX1034" s="65"/>
      <c r="AY1034" s="65"/>
      <c r="AZ1034" s="65"/>
      <c r="BA1034" s="65"/>
    </row>
    <row r="1035">
      <c r="A1035" s="65" t="str">
        <f>IFERROR(__xludf.DUMMYFUNCTION("""COMPUTED_VALUE"""),"27-03-2026")</f>
        <v>27-03-2026</v>
      </c>
      <c r="B1035" s="65">
        <f>IFERROR(__xludf.DUMMYFUNCTION("""COMPUTED_VALUE"""),4418703.0)</f>
        <v>4418703</v>
      </c>
      <c r="C1035" s="65" t="str">
        <f>IFERROR(__xludf.DUMMYFUNCTION("""COMPUTED_VALUE"""),"12:09")</f>
        <v>12:09</v>
      </c>
      <c r="D1035" s="65" t="str">
        <f>IFERROR(__xludf.DUMMYFUNCTION("""COMPUTED_VALUE"""),"06-02-2026")</f>
        <v>06-02-2026</v>
      </c>
      <c r="E1035" s="65" t="str">
        <f>IFERROR(__xludf.DUMMYFUNCTION("""COMPUTED_VALUE"""),"Olga Chuya")</f>
        <v>Olga Chuya</v>
      </c>
      <c r="F1035" s="65" t="str">
        <f>IFERROR(__xludf.DUMMYFUNCTION("""COMPUTED_VALUE"""),"999456597")</f>
        <v>999456597</v>
      </c>
      <c r="G1035" s="65" t="str">
        <f>IFERROR(__xludf.DUMMYFUNCTION("""COMPUTED_VALUE"""),"olgachuya1@gmail.com")</f>
        <v>olgachuya1@gmail.com</v>
      </c>
      <c r="H1035" s="65"/>
      <c r="I1035" s="65"/>
      <c r="J1035" s="65"/>
      <c r="K1035" s="65" t="str">
        <f>IFERROR(__xludf.DUMMYFUNCTION("""COMPUTED_VALUE"""),"PENDIENTE CONFIRMACION")</f>
        <v>PENDIENTE CONFIRMACION</v>
      </c>
      <c r="L1035" s="65" t="str">
        <f>IFERROR(__xludf.DUMMYFUNCTION("""COMPUTED_VALUE"""),"CON RECAUDO")</f>
        <v>CON RECAUDO</v>
      </c>
      <c r="M1035" s="65" t="str">
        <f>IFERROR(__xludf.DUMMYFUNCTION("""COMPUTED_VALUE"""),"AZUAY")</f>
        <v>AZUAY</v>
      </c>
      <c r="N1035" s="65" t="str">
        <f>IFERROR(__xludf.DUMMYFUNCTION("""COMPUTED_VALUE"""),"CUENCA")</f>
        <v>CUENCA</v>
      </c>
      <c r="O1035" s="65" t="str">
        <f>IFERROR(__xludf.DUMMYFUNCTION("""COMPUTED_VALUE"""),"Eduardo malo y avenida 10 de agosto La salle -")</f>
        <v>Eduardo malo y avenida 10 de agosto La salle -</v>
      </c>
      <c r="P1035" s="65"/>
      <c r="Q1035" s="65" t="str">
        <f>IFERROR(__xludf.DUMMYFUNCTION("""COMPUTED_VALUE"""),"GINTRACOM")</f>
        <v>GINTRACOM</v>
      </c>
      <c r="R1035" s="65">
        <f>IFERROR(__xludf.DUMMYFUNCTION("""COMPUTED_VALUE"""),27.0)</f>
        <v>27</v>
      </c>
      <c r="S1035" s="65"/>
      <c r="T1035" s="65">
        <f>IFERROR(__xludf.DUMMYFUNCTION("""COMPUTED_VALUE"""),6.03)</f>
        <v>6.03</v>
      </c>
      <c r="U1035" s="65">
        <f>IFERROR(__xludf.DUMMYFUNCTION("""COMPUTED_VALUE"""),0.0)</f>
        <v>0</v>
      </c>
      <c r="V1035" s="65">
        <f>IFERROR(__xludf.DUMMYFUNCTION("""COMPUTED_VALUE"""),0.0)</f>
        <v>0</v>
      </c>
      <c r="W1035" s="65">
        <f>IFERROR(__xludf.DUMMYFUNCTION("""COMPUTED_VALUE"""),0.0)</f>
        <v>0</v>
      </c>
      <c r="X1035" s="65">
        <f>IFERROR(__xludf.DUMMYFUNCTION("""COMPUTED_VALUE"""),2.6)</f>
        <v>2.6</v>
      </c>
      <c r="Y1035" s="65">
        <f>IFERROR(__xludf.DUMMYFUNCTION("""COMPUTED_VALUE"""),7.8)</f>
        <v>7.8</v>
      </c>
      <c r="Z1035" s="65">
        <f>IFERROR(__xludf.DUMMYFUNCTION("""COMPUTED_VALUE"""),121983.0)</f>
        <v>121983</v>
      </c>
      <c r="AA1035" s="65" t="str">
        <f>IFERROR(__xludf.DUMMYFUNCTION("""COMPUTED_VALUE"""),"PROV-CHLLCF")</f>
        <v>PROV-CHLLCF</v>
      </c>
      <c r="AB1035" s="65"/>
      <c r="AC1035" s="65" t="str">
        <f>IFERROR(__xludf.DUMMYFUNCTION("""COMPUTED_VALUE"""),"CUCHILLO PARA CHEF")</f>
        <v>CUCHILLO PARA CHEF</v>
      </c>
      <c r="AD1035" s="65"/>
      <c r="AE1035" s="65">
        <f>IFERROR(__xludf.DUMMYFUNCTION("""COMPUTED_VALUE"""),3.0)</f>
        <v>3</v>
      </c>
      <c r="AF1035" s="65"/>
      <c r="AG1035" s="65"/>
      <c r="AH1035" s="65"/>
      <c r="AI1035" s="65"/>
      <c r="AJ1035" s="65"/>
      <c r="AK1035" s="65"/>
      <c r="AL1035" s="65"/>
      <c r="AM1035" s="65"/>
      <c r="AN1035" s="65"/>
      <c r="AO1035" s="65"/>
      <c r="AP1035" s="65"/>
      <c r="AQ1035" s="65"/>
      <c r="AR1035" s="65"/>
      <c r="AS1035" s="65"/>
      <c r="AT1035" s="65" t="str">
        <f>IFERROR(__xludf.DUMMYFUNCTION("""COMPUTED_VALUE"""),"SHOPIFY")</f>
        <v>SHOPIFY</v>
      </c>
      <c r="AU1035" s="65" t="str">
        <f>IFERROR(__xludf.DUMMYFUNCTION("""COMPUTED_VALUE"""),"IMPORTEX EC")</f>
        <v>IMPORTEX EC</v>
      </c>
      <c r="AV1035" s="65" t="str">
        <f>IFERROR(__xludf.DUMMYFUNCTION("""COMPUTED_VALUE"""),"6481105518636")</f>
        <v>6481105518636</v>
      </c>
      <c r="AW1035" s="65">
        <f>IFERROR(__xludf.DUMMYFUNCTION("""COMPUTED_VALUE"""),5854.0)</f>
        <v>5854</v>
      </c>
      <c r="AX1035" s="65"/>
      <c r="AY1035" s="65"/>
      <c r="AZ1035" s="65"/>
      <c r="BA1035" s="65"/>
    </row>
    <row r="1036">
      <c r="A1036" s="65" t="str">
        <f>IFERROR(__xludf.DUMMYFUNCTION("""COMPUTED_VALUE"""),"27-03-2026")</f>
        <v>27-03-2026</v>
      </c>
      <c r="B1036" s="65">
        <f>IFERROR(__xludf.DUMMYFUNCTION("""COMPUTED_VALUE"""),4418699.0)</f>
        <v>4418699</v>
      </c>
      <c r="C1036" s="65" t="str">
        <f>IFERROR(__xludf.DUMMYFUNCTION("""COMPUTED_VALUE"""),"12:09")</f>
        <v>12:09</v>
      </c>
      <c r="D1036" s="65" t="str">
        <f>IFERROR(__xludf.DUMMYFUNCTION("""COMPUTED_VALUE"""),"06-02-2026")</f>
        <v>06-02-2026</v>
      </c>
      <c r="E1036" s="65" t="str">
        <f>IFERROR(__xludf.DUMMYFUNCTION("""COMPUTED_VALUE"""),"Carlos Guato")</f>
        <v>Carlos Guato</v>
      </c>
      <c r="F1036" s="65" t="str">
        <f>IFERROR(__xludf.DUMMYFUNCTION("""COMPUTED_VALUE"""),"959658393")</f>
        <v>959658393</v>
      </c>
      <c r="G1036" s="65" t="str">
        <f>IFERROR(__xludf.DUMMYFUNCTION("""COMPUTED_VALUE"""),"carlosmaciasguato@gmail.com")</f>
        <v>carlosmaciasguato@gmail.com</v>
      </c>
      <c r="H1036" s="65"/>
      <c r="I1036" s="65"/>
      <c r="J1036" s="65" t="str">
        <f>IFERROR(__xludf.DUMMYFUNCTION("""COMPUTED_VALUE"""),"D001303440")</f>
        <v>D001303440</v>
      </c>
      <c r="K1036" s="65" t="str">
        <f>IFERROR(__xludf.DUMMYFUNCTION("""COMPUTED_VALUE"""),"ENTREGADO")</f>
        <v>ENTREGADO</v>
      </c>
      <c r="L1036" s="65" t="str">
        <f>IFERROR(__xludf.DUMMYFUNCTION("""COMPUTED_VALUE"""),"CON RECAUDO")</f>
        <v>CON RECAUDO</v>
      </c>
      <c r="M1036" s="65" t="str">
        <f>IFERROR(__xludf.DUMMYFUNCTION("""COMPUTED_VALUE"""),"GUAYAS")</f>
        <v>GUAYAS</v>
      </c>
      <c r="N1036" s="65" t="str">
        <f>IFERROR(__xludf.DUMMYFUNCTION("""COMPUTED_VALUE"""),"GUAYAQUIL")</f>
        <v>GUAYAQUIL</v>
      </c>
      <c r="O1036" s="65" t="str">
        <f>IFERROR(__xludf.DUMMYFUNCTION("""COMPUTED_VALUE"""),"Mucho lote 1 Mz. 2288 villa 25 - Vía isidro ayora atrás del tutti de la isidro ayora")</f>
        <v>Mucho lote 1 Mz. 2288 villa 25 - Vía isidro ayora atrás del tutti de la isidro ayora</v>
      </c>
      <c r="P1036" s="65"/>
      <c r="Q1036" s="65" t="str">
        <f>IFERROR(__xludf.DUMMYFUNCTION("""COMPUTED_VALUE"""),"GINTRACOM")</f>
        <v>GINTRACOM</v>
      </c>
      <c r="R1036" s="65">
        <f>IFERROR(__xludf.DUMMYFUNCTION("""COMPUTED_VALUE"""),25.0)</f>
        <v>25</v>
      </c>
      <c r="S1036" s="65">
        <f>IFERROR(__xludf.DUMMYFUNCTION("""COMPUTED_VALUE"""),16.25)</f>
        <v>16.25</v>
      </c>
      <c r="T1036" s="65">
        <f>IFERROR(__xludf.DUMMYFUNCTION("""COMPUTED_VALUE"""),4.35)</f>
        <v>4.35</v>
      </c>
      <c r="U1036" s="65">
        <f>IFERROR(__xludf.DUMMYFUNCTION("""COMPUTED_VALUE"""),0.0)</f>
        <v>0</v>
      </c>
      <c r="V1036" s="65">
        <f>IFERROR(__xludf.DUMMYFUNCTION("""COMPUTED_VALUE"""),0.0)</f>
        <v>0</v>
      </c>
      <c r="W1036" s="65">
        <f>IFERROR(__xludf.DUMMYFUNCTION("""COMPUTED_VALUE"""),0.0)</f>
        <v>0</v>
      </c>
      <c r="X1036" s="65">
        <f>IFERROR(__xludf.DUMMYFUNCTION("""COMPUTED_VALUE"""),2.2)</f>
        <v>2.2</v>
      </c>
      <c r="Y1036" s="65">
        <f>IFERROR(__xludf.DUMMYFUNCTION("""COMPUTED_VALUE"""),4.4)</f>
        <v>4.4</v>
      </c>
      <c r="Z1036" s="65">
        <f>IFERROR(__xludf.DUMMYFUNCTION("""COMPUTED_VALUE"""),111894.0)</f>
        <v>111894</v>
      </c>
      <c r="AA1036" s="65" t="str">
        <f>IFERROR(__xludf.DUMMYFUNCTION("""COMPUTED_VALUE"""),"LYIC5M40067")</f>
        <v>LYIC5M40067</v>
      </c>
      <c r="AB1036" s="65"/>
      <c r="AC1036" s="65" t="str">
        <f>IFERROR(__xludf.DUMMYFUNCTION("""COMPUTED_VALUE"""),"Limpiador de Parabrisas y Ventanas")</f>
        <v>Limpiador de Parabrisas y Ventanas</v>
      </c>
      <c r="AD1036" s="65"/>
      <c r="AE1036" s="65">
        <f>IFERROR(__xludf.DUMMYFUNCTION("""COMPUTED_VALUE"""),2.0)</f>
        <v>2</v>
      </c>
      <c r="AF1036" s="65"/>
      <c r="AG1036" s="65"/>
      <c r="AH1036" s="65"/>
      <c r="AI1036" s="65"/>
      <c r="AJ1036" s="65"/>
      <c r="AK1036" s="65"/>
      <c r="AL1036" s="65"/>
      <c r="AM1036" s="65"/>
      <c r="AN1036" s="65" t="str">
        <f>IFERROR(__xludf.DUMMYFUNCTION("""COMPUTED_VALUE"""),"10:43")</f>
        <v>10:43</v>
      </c>
      <c r="AO1036" s="65" t="str">
        <f>IFERROR(__xludf.DUMMYFUNCTION("""COMPUTED_VALUE"""),"09-02-2026")</f>
        <v>09-02-2026</v>
      </c>
      <c r="AP1036" s="65" t="str">
        <f>IFERROR(__xludf.DUMMYFUNCTION("""COMPUTED_VALUE"""),"ENTREGADA GINTRACOM")</f>
        <v>ENTREGADA GINTRACOM</v>
      </c>
      <c r="AQ1036" s="65" t="str">
        <f>IFERROR(__xludf.DUMMYFUNCTION("""COMPUTED_VALUE"""),"ENTREGADA GINTRACOM")</f>
        <v>ENTREGADA GINTRACOM</v>
      </c>
      <c r="AR1036" s="65"/>
      <c r="AS1036" s="65"/>
      <c r="AT1036" s="65" t="str">
        <f>IFERROR(__xludf.DUMMYFUNCTION("""COMPUTED_VALUE"""),"SHOPIFY")</f>
        <v>SHOPIFY</v>
      </c>
      <c r="AU1036" s="65" t="str">
        <f>IFERROR(__xludf.DUMMYFUNCTION("""COMPUTED_VALUE"""),"IMPORTEX EC")</f>
        <v>IMPORTEX EC</v>
      </c>
      <c r="AV1036" s="65" t="str">
        <f>IFERROR(__xludf.DUMMYFUNCTION("""COMPUTED_VALUE"""),"6481133862956")</f>
        <v>6481133862956</v>
      </c>
      <c r="AW1036" s="65">
        <f>IFERROR(__xludf.DUMMYFUNCTION("""COMPUTED_VALUE"""),5855.0)</f>
        <v>5855</v>
      </c>
      <c r="AX1036" s="65"/>
      <c r="AY1036" s="65" t="str">
        <f>IFERROR(__xludf.DUMMYFUNCTION("""COMPUTED_VALUE"""),"06/02/2026")</f>
        <v>06/02/2026</v>
      </c>
      <c r="AZ1036" s="65"/>
      <c r="BA1036" s="65"/>
    </row>
    <row r="1037">
      <c r="A1037" s="65" t="str">
        <f>IFERROR(__xludf.DUMMYFUNCTION("""COMPUTED_VALUE"""),"27-03-2026")</f>
        <v>27-03-2026</v>
      </c>
      <c r="B1037" s="65">
        <f>IFERROR(__xludf.DUMMYFUNCTION("""COMPUTED_VALUE"""),4418695.0)</f>
        <v>4418695</v>
      </c>
      <c r="C1037" s="65" t="str">
        <f>IFERROR(__xludf.DUMMYFUNCTION("""COMPUTED_VALUE"""),"12:08")</f>
        <v>12:08</v>
      </c>
      <c r="D1037" s="65" t="str">
        <f>IFERROR(__xludf.DUMMYFUNCTION("""COMPUTED_VALUE"""),"06-02-2026")</f>
        <v>06-02-2026</v>
      </c>
      <c r="E1037" s="65" t="str">
        <f>IFERROR(__xludf.DUMMYFUNCTION("""COMPUTED_VALUE"""),"Henry Patiño")</f>
        <v>Henry Patiño</v>
      </c>
      <c r="F1037" s="65" t="str">
        <f>IFERROR(__xludf.DUMMYFUNCTION("""COMPUTED_VALUE"""),"989736251")</f>
        <v>989736251</v>
      </c>
      <c r="G1037" s="65" t="str">
        <f>IFERROR(__xludf.DUMMYFUNCTION("""COMPUTED_VALUE"""),"henrypatino62@gmail.com")</f>
        <v>henrypatino62@gmail.com</v>
      </c>
      <c r="H1037" s="65"/>
      <c r="I1037" s="65"/>
      <c r="J1037" s="65"/>
      <c r="K1037" s="65" t="str">
        <f>IFERROR(__xludf.DUMMYFUNCTION("""COMPUTED_VALUE"""),"CANCELADO")</f>
        <v>CANCELADO</v>
      </c>
      <c r="L1037" s="65" t="str">
        <f>IFERROR(__xludf.DUMMYFUNCTION("""COMPUTED_VALUE"""),"CON RECAUDO")</f>
        <v>CON RECAUDO</v>
      </c>
      <c r="M1037" s="65" t="str">
        <f>IFERROR(__xludf.DUMMYFUNCTION("""COMPUTED_VALUE"""),"MORONA SANTIAGO")</f>
        <v>MORONA SANTIAGO</v>
      </c>
      <c r="N1037" s="65" t="str">
        <f>IFERROR(__xludf.DUMMYFUNCTION("""COMPUTED_VALUE"""),"HUAMBOYA")</f>
        <v>HUAMBOYA</v>
      </c>
      <c r="O1037" s="65" t="str">
        <f>IFERROR(__xludf.DUMMYFUNCTION("""COMPUTED_VALUE"""),"10 de octubre y 3 de noviembre Casa por acabar el segundo piso -")</f>
        <v>10 de octubre y 3 de noviembre Casa por acabar el segundo piso -</v>
      </c>
      <c r="P1037" s="65"/>
      <c r="Q1037" s="65" t="str">
        <f>IFERROR(__xludf.DUMMYFUNCTION("""COMPUTED_VALUE"""),"SERVIENTREGA")</f>
        <v>SERVIENTREGA</v>
      </c>
      <c r="R1037" s="65">
        <f>IFERROR(__xludf.DUMMYFUNCTION("""COMPUTED_VALUE"""),20.0)</f>
        <v>20</v>
      </c>
      <c r="S1037" s="65"/>
      <c r="T1037" s="65">
        <f>IFERROR(__xludf.DUMMYFUNCTION("""COMPUTED_VALUE"""),7.67)</f>
        <v>7.67</v>
      </c>
      <c r="U1037" s="65">
        <f>IFERROR(__xludf.DUMMYFUNCTION("""COMPUTED_VALUE"""),0.0)</f>
        <v>0</v>
      </c>
      <c r="V1037" s="65">
        <f>IFERROR(__xludf.DUMMYFUNCTION("""COMPUTED_VALUE"""),0.0)</f>
        <v>0</v>
      </c>
      <c r="W1037" s="65">
        <f>IFERROR(__xludf.DUMMYFUNCTION("""COMPUTED_VALUE"""),0.0)</f>
        <v>0</v>
      </c>
      <c r="X1037" s="65">
        <f>IFERROR(__xludf.DUMMYFUNCTION("""COMPUTED_VALUE"""),2.2)</f>
        <v>2.2</v>
      </c>
      <c r="Y1037" s="65">
        <f>IFERROR(__xludf.DUMMYFUNCTION("""COMPUTED_VALUE"""),2.2)</f>
        <v>2.2</v>
      </c>
      <c r="Z1037" s="65">
        <f>IFERROR(__xludf.DUMMYFUNCTION("""COMPUTED_VALUE"""),111894.0)</f>
        <v>111894</v>
      </c>
      <c r="AA1037" s="65" t="str">
        <f>IFERROR(__xludf.DUMMYFUNCTION("""COMPUTED_VALUE"""),"LYIC5M40067")</f>
        <v>LYIC5M40067</v>
      </c>
      <c r="AB1037" s="65"/>
      <c r="AC1037" s="65" t="str">
        <f>IFERROR(__xludf.DUMMYFUNCTION("""COMPUTED_VALUE"""),"Limpiador de Parabrisas y Ventanas")</f>
        <v>Limpiador de Parabrisas y Ventanas</v>
      </c>
      <c r="AD1037" s="65"/>
      <c r="AE1037" s="65">
        <f>IFERROR(__xludf.DUMMYFUNCTION("""COMPUTED_VALUE"""),1.0)</f>
        <v>1</v>
      </c>
      <c r="AF1037" s="65"/>
      <c r="AG1037" s="65"/>
      <c r="AH1037" s="65"/>
      <c r="AI1037" s="65"/>
      <c r="AJ1037" s="65"/>
      <c r="AK1037" s="65"/>
      <c r="AL1037" s="65"/>
      <c r="AM1037" s="65"/>
      <c r="AN1037" s="65"/>
      <c r="AO1037" s="65"/>
      <c r="AP1037" s="65"/>
      <c r="AQ1037" s="65"/>
      <c r="AR1037" s="65"/>
      <c r="AS1037" s="65"/>
      <c r="AT1037" s="65" t="str">
        <f>IFERROR(__xludf.DUMMYFUNCTION("""COMPUTED_VALUE"""),"SHOPIFY")</f>
        <v>SHOPIFY</v>
      </c>
      <c r="AU1037" s="65" t="str">
        <f>IFERROR(__xludf.DUMMYFUNCTION("""COMPUTED_VALUE"""),"IMPORTEX EC")</f>
        <v>IMPORTEX EC</v>
      </c>
      <c r="AV1037" s="65" t="str">
        <f>IFERROR(__xludf.DUMMYFUNCTION("""COMPUTED_VALUE"""),"6481134059564")</f>
        <v>6481134059564</v>
      </c>
      <c r="AW1037" s="65">
        <f>IFERROR(__xludf.DUMMYFUNCTION("""COMPUTED_VALUE"""),5856.0)</f>
        <v>5856</v>
      </c>
      <c r="AX1037" s="65"/>
      <c r="AY1037" s="65"/>
      <c r="AZ1037" s="65"/>
      <c r="BA1037" s="65"/>
    </row>
    <row r="1038">
      <c r="A1038" s="65" t="str">
        <f>IFERROR(__xludf.DUMMYFUNCTION("""COMPUTED_VALUE"""),"27-03-2026")</f>
        <v>27-03-2026</v>
      </c>
      <c r="B1038" s="65">
        <f>IFERROR(__xludf.DUMMYFUNCTION("""COMPUTED_VALUE"""),4418691.0)</f>
        <v>4418691</v>
      </c>
      <c r="C1038" s="65" t="str">
        <f>IFERROR(__xludf.DUMMYFUNCTION("""COMPUTED_VALUE"""),"12:08")</f>
        <v>12:08</v>
      </c>
      <c r="D1038" s="65" t="str">
        <f>IFERROR(__xludf.DUMMYFUNCTION("""COMPUTED_VALUE"""),"06-02-2026")</f>
        <v>06-02-2026</v>
      </c>
      <c r="E1038" s="65" t="str">
        <f>IFERROR(__xludf.DUMMYFUNCTION("""COMPUTED_VALUE"""),"Baldemar Alfredo Guerra García Guerra García")</f>
        <v>Baldemar Alfredo Guerra García Guerra García</v>
      </c>
      <c r="F1038" s="65" t="str">
        <f>IFERROR(__xludf.DUMMYFUNCTION("""COMPUTED_VALUE"""),"989625886")</f>
        <v>989625886</v>
      </c>
      <c r="G1038" s="65" t="str">
        <f>IFERROR(__xludf.DUMMYFUNCTION("""COMPUTED_VALUE"""),"bagg2606@hotmail.com")</f>
        <v>bagg2606@hotmail.com</v>
      </c>
      <c r="H1038" s="65"/>
      <c r="I1038" s="65"/>
      <c r="J1038" s="65"/>
      <c r="K1038" s="65" t="str">
        <f>IFERROR(__xludf.DUMMYFUNCTION("""COMPUTED_VALUE"""),"PENDIENTE CONFIRMACION")</f>
        <v>PENDIENTE CONFIRMACION</v>
      </c>
      <c r="L1038" s="65" t="str">
        <f>IFERROR(__xludf.DUMMYFUNCTION("""COMPUTED_VALUE"""),"CON RECAUDO")</f>
        <v>CON RECAUDO</v>
      </c>
      <c r="M1038" s="65" t="str">
        <f>IFERROR(__xludf.DUMMYFUNCTION("""COMPUTED_VALUE"""),"MANABI")</f>
        <v>MANABI</v>
      </c>
      <c r="N1038" s="65" t="str">
        <f>IFERROR(__xludf.DUMMYFUNCTION("""COMPUTED_VALUE"""),"PORTOVIEJO")</f>
        <v>PORTOVIEJO</v>
      </c>
      <c r="O1038" s="65" t="str">
        <f>IFERROR(__xludf.DUMMYFUNCTION("""COMPUTED_VALUE"""),"Cdla. San Cristóbal, Calle Amistad y Calle Amistad -")</f>
        <v>Cdla. San Cristóbal, Calle Amistad y Calle Amistad -</v>
      </c>
      <c r="P1038" s="65"/>
      <c r="Q1038" s="65" t="str">
        <f>IFERROR(__xludf.DUMMYFUNCTION("""COMPUTED_VALUE"""),"GINTRACOM")</f>
        <v>GINTRACOM</v>
      </c>
      <c r="R1038" s="65">
        <f>IFERROR(__xludf.DUMMYFUNCTION("""COMPUTED_VALUE"""),25.0)</f>
        <v>25</v>
      </c>
      <c r="S1038" s="65"/>
      <c r="T1038" s="65">
        <f>IFERROR(__xludf.DUMMYFUNCTION("""COMPUTED_VALUE"""),5.96)</f>
        <v>5.96</v>
      </c>
      <c r="U1038" s="65">
        <f>IFERROR(__xludf.DUMMYFUNCTION("""COMPUTED_VALUE"""),0.0)</f>
        <v>0</v>
      </c>
      <c r="V1038" s="65">
        <f>IFERROR(__xludf.DUMMYFUNCTION("""COMPUTED_VALUE"""),0.0)</f>
        <v>0</v>
      </c>
      <c r="W1038" s="65">
        <f>IFERROR(__xludf.DUMMYFUNCTION("""COMPUTED_VALUE"""),0.0)</f>
        <v>0</v>
      </c>
      <c r="X1038" s="65">
        <f>IFERROR(__xludf.DUMMYFUNCTION("""COMPUTED_VALUE"""),2.2)</f>
        <v>2.2</v>
      </c>
      <c r="Y1038" s="65">
        <f>IFERROR(__xludf.DUMMYFUNCTION("""COMPUTED_VALUE"""),4.4)</f>
        <v>4.4</v>
      </c>
      <c r="Z1038" s="65">
        <f>IFERROR(__xludf.DUMMYFUNCTION("""COMPUTED_VALUE"""),111894.0)</f>
        <v>111894</v>
      </c>
      <c r="AA1038" s="65" t="str">
        <f>IFERROR(__xludf.DUMMYFUNCTION("""COMPUTED_VALUE"""),"LYIC5M40067")</f>
        <v>LYIC5M40067</v>
      </c>
      <c r="AB1038" s="65"/>
      <c r="AC1038" s="65" t="str">
        <f>IFERROR(__xludf.DUMMYFUNCTION("""COMPUTED_VALUE"""),"Limpiador de Parabrisas y Ventanas")</f>
        <v>Limpiador de Parabrisas y Ventanas</v>
      </c>
      <c r="AD1038" s="65"/>
      <c r="AE1038" s="65">
        <f>IFERROR(__xludf.DUMMYFUNCTION("""COMPUTED_VALUE"""),2.0)</f>
        <v>2</v>
      </c>
      <c r="AF1038" s="65"/>
      <c r="AG1038" s="65"/>
      <c r="AH1038" s="65"/>
      <c r="AI1038" s="65"/>
      <c r="AJ1038" s="65"/>
      <c r="AK1038" s="65"/>
      <c r="AL1038" s="65"/>
      <c r="AM1038" s="65"/>
      <c r="AN1038" s="65"/>
      <c r="AO1038" s="65"/>
      <c r="AP1038" s="65"/>
      <c r="AQ1038" s="65"/>
      <c r="AR1038" s="65"/>
      <c r="AS1038" s="65"/>
      <c r="AT1038" s="65" t="str">
        <f>IFERROR(__xludf.DUMMYFUNCTION("""COMPUTED_VALUE"""),"SHOPIFY")</f>
        <v>SHOPIFY</v>
      </c>
      <c r="AU1038" s="65" t="str">
        <f>IFERROR(__xludf.DUMMYFUNCTION("""COMPUTED_VALUE"""),"IMPORTEX EC")</f>
        <v>IMPORTEX EC</v>
      </c>
      <c r="AV1038" s="65" t="str">
        <f>IFERROR(__xludf.DUMMYFUNCTION("""COMPUTED_VALUE"""),"6481138909228")</f>
        <v>6481138909228</v>
      </c>
      <c r="AW1038" s="65">
        <f>IFERROR(__xludf.DUMMYFUNCTION("""COMPUTED_VALUE"""),5857.0)</f>
        <v>5857</v>
      </c>
      <c r="AX1038" s="65"/>
      <c r="AY1038" s="65"/>
      <c r="AZ1038" s="65"/>
      <c r="BA1038" s="65"/>
    </row>
    <row r="1039">
      <c r="A1039" s="65" t="str">
        <f>IFERROR(__xludf.DUMMYFUNCTION("""COMPUTED_VALUE"""),"27-03-2026")</f>
        <v>27-03-2026</v>
      </c>
      <c r="B1039" s="65">
        <f>IFERROR(__xludf.DUMMYFUNCTION("""COMPUTED_VALUE"""),4418688.0)</f>
        <v>4418688</v>
      </c>
      <c r="C1039" s="65" t="str">
        <f>IFERROR(__xludf.DUMMYFUNCTION("""COMPUTED_VALUE"""),"12:08")</f>
        <v>12:08</v>
      </c>
      <c r="D1039" s="65" t="str">
        <f>IFERROR(__xludf.DUMMYFUNCTION("""COMPUTED_VALUE"""),"06-02-2026")</f>
        <v>06-02-2026</v>
      </c>
      <c r="E1039" s="65" t="str">
        <f>IFERROR(__xludf.DUMMYFUNCTION("""COMPUTED_VALUE"""),"Enrique Ramón Dàger Rivera")</f>
        <v>Enrique Ramón Dàger Rivera</v>
      </c>
      <c r="F1039" s="65" t="str">
        <f>IFERROR(__xludf.DUMMYFUNCTION("""COMPUTED_VALUE"""),"996343002")</f>
        <v>996343002</v>
      </c>
      <c r="G1039" s="65" t="str">
        <f>IFERROR(__xludf.DUMMYFUNCTION("""COMPUTED_VALUE"""),"enriquedager1953@gmail.com")</f>
        <v>enriquedager1953@gmail.com</v>
      </c>
      <c r="H1039" s="65"/>
      <c r="I1039" s="65"/>
      <c r="J1039" s="65"/>
      <c r="K1039" s="65" t="str">
        <f>IFERROR(__xludf.DUMMYFUNCTION("""COMPUTED_VALUE"""),"PENDIENTE CONFIRMACION")</f>
        <v>PENDIENTE CONFIRMACION</v>
      </c>
      <c r="L1039" s="65" t="str">
        <f>IFERROR(__xludf.DUMMYFUNCTION("""COMPUTED_VALUE"""),"CON RECAUDO")</f>
        <v>CON RECAUDO</v>
      </c>
      <c r="M1039" s="65" t="str">
        <f>IFERROR(__xludf.DUMMYFUNCTION("""COMPUTED_VALUE"""),"GUAYAS")</f>
        <v>GUAYAS</v>
      </c>
      <c r="N1039" s="65" t="str">
        <f>IFERROR(__xludf.DUMMYFUNCTION("""COMPUTED_VALUE"""),"NARANJITO")</f>
        <v>NARANJITO</v>
      </c>
      <c r="O1039" s="65" t="str">
        <f>IFERROR(__xludf.DUMMYFUNCTION("""COMPUTED_VALUE"""),"Av. 5 de octubre y Pichincha Frente de almacén El Regalón -")</f>
        <v>Av. 5 de octubre y Pichincha Frente de almacén El Regalón -</v>
      </c>
      <c r="P1039" s="65"/>
      <c r="Q1039" s="65" t="str">
        <f>IFERROR(__xludf.DUMMYFUNCTION("""COMPUTED_VALUE"""),"GINTRACOM")</f>
        <v>GINTRACOM</v>
      </c>
      <c r="R1039" s="65">
        <f>IFERROR(__xludf.DUMMYFUNCTION("""COMPUTED_VALUE"""),22.0)</f>
        <v>22</v>
      </c>
      <c r="S1039" s="65"/>
      <c r="T1039" s="65">
        <f>IFERROR(__xludf.DUMMYFUNCTION("""COMPUTED_VALUE"""),5.84)</f>
        <v>5.84</v>
      </c>
      <c r="U1039" s="65">
        <f>IFERROR(__xludf.DUMMYFUNCTION("""COMPUTED_VALUE"""),0.0)</f>
        <v>0</v>
      </c>
      <c r="V1039" s="65">
        <f>IFERROR(__xludf.DUMMYFUNCTION("""COMPUTED_VALUE"""),0.0)</f>
        <v>0</v>
      </c>
      <c r="W1039" s="65">
        <f>IFERROR(__xludf.DUMMYFUNCTION("""COMPUTED_VALUE"""),0.0)</f>
        <v>0</v>
      </c>
      <c r="X1039" s="65">
        <f>IFERROR(__xludf.DUMMYFUNCTION("""COMPUTED_VALUE"""),2.6)</f>
        <v>2.6</v>
      </c>
      <c r="Y1039" s="65">
        <f>IFERROR(__xludf.DUMMYFUNCTION("""COMPUTED_VALUE"""),5.2)</f>
        <v>5.2</v>
      </c>
      <c r="Z1039" s="65">
        <f>IFERROR(__xludf.DUMMYFUNCTION("""COMPUTED_VALUE"""),121983.0)</f>
        <v>121983</v>
      </c>
      <c r="AA1039" s="65" t="str">
        <f>IFERROR(__xludf.DUMMYFUNCTION("""COMPUTED_VALUE"""),"PROV-CHLLCF")</f>
        <v>PROV-CHLLCF</v>
      </c>
      <c r="AB1039" s="65"/>
      <c r="AC1039" s="65" t="str">
        <f>IFERROR(__xludf.DUMMYFUNCTION("""COMPUTED_VALUE"""),"CUCHILLO PARA CHEF")</f>
        <v>CUCHILLO PARA CHEF</v>
      </c>
      <c r="AD1039" s="65"/>
      <c r="AE1039" s="65">
        <f>IFERROR(__xludf.DUMMYFUNCTION("""COMPUTED_VALUE"""),2.0)</f>
        <v>2</v>
      </c>
      <c r="AF1039" s="65"/>
      <c r="AG1039" s="65"/>
      <c r="AH1039" s="65"/>
      <c r="AI1039" s="65"/>
      <c r="AJ1039" s="65"/>
      <c r="AK1039" s="65"/>
      <c r="AL1039" s="65"/>
      <c r="AM1039" s="65"/>
      <c r="AN1039" s="65"/>
      <c r="AO1039" s="65"/>
      <c r="AP1039" s="65"/>
      <c r="AQ1039" s="65"/>
      <c r="AR1039" s="65"/>
      <c r="AS1039" s="65"/>
      <c r="AT1039" s="65" t="str">
        <f>IFERROR(__xludf.DUMMYFUNCTION("""COMPUTED_VALUE"""),"SHOPIFY")</f>
        <v>SHOPIFY</v>
      </c>
      <c r="AU1039" s="65" t="str">
        <f>IFERROR(__xludf.DUMMYFUNCTION("""COMPUTED_VALUE"""),"IMPORTEX EC")</f>
        <v>IMPORTEX EC</v>
      </c>
      <c r="AV1039" s="65" t="str">
        <f>IFERROR(__xludf.DUMMYFUNCTION("""COMPUTED_VALUE"""),"6481157029932")</f>
        <v>6481157029932</v>
      </c>
      <c r="AW1039" s="65">
        <f>IFERROR(__xludf.DUMMYFUNCTION("""COMPUTED_VALUE"""),5858.0)</f>
        <v>5858</v>
      </c>
      <c r="AX1039" s="65"/>
      <c r="AY1039" s="65"/>
      <c r="AZ1039" s="65"/>
      <c r="BA1039" s="65"/>
    </row>
    <row r="1040">
      <c r="A1040" s="65" t="str">
        <f>IFERROR(__xludf.DUMMYFUNCTION("""COMPUTED_VALUE"""),"27-03-2026")</f>
        <v>27-03-2026</v>
      </c>
      <c r="B1040" s="65">
        <f>IFERROR(__xludf.DUMMYFUNCTION("""COMPUTED_VALUE"""),4418686.0)</f>
        <v>4418686</v>
      </c>
      <c r="C1040" s="65" t="str">
        <f>IFERROR(__xludf.DUMMYFUNCTION("""COMPUTED_VALUE"""),"12:08")</f>
        <v>12:08</v>
      </c>
      <c r="D1040" s="65" t="str">
        <f>IFERROR(__xludf.DUMMYFUNCTION("""COMPUTED_VALUE"""),"06-02-2026")</f>
        <v>06-02-2026</v>
      </c>
      <c r="E1040" s="65" t="str">
        <f>IFERROR(__xludf.DUMMYFUNCTION("""COMPUTED_VALUE"""),"Fernando Acosta")</f>
        <v>Fernando Acosta</v>
      </c>
      <c r="F1040" s="65" t="str">
        <f>IFERROR(__xludf.DUMMYFUNCTION("""COMPUTED_VALUE"""),"993728114")</f>
        <v>993728114</v>
      </c>
      <c r="G1040" s="65" t="str">
        <f>IFERROR(__xludf.DUMMYFUNCTION("""COMPUTED_VALUE"""),"polylepislodge@yahoo.com")</f>
        <v>polylepislodge@yahoo.com</v>
      </c>
      <c r="H1040" s="65"/>
      <c r="I1040" s="65"/>
      <c r="J1040" s="65"/>
      <c r="K1040" s="65" t="str">
        <f>IFERROR(__xludf.DUMMYFUNCTION("""COMPUTED_VALUE"""),"PENDIENTE CONFIRMACION")</f>
        <v>PENDIENTE CONFIRMACION</v>
      </c>
      <c r="L1040" s="65" t="str">
        <f>IFERROR(__xludf.DUMMYFUNCTION("""COMPUTED_VALUE"""),"CON RECAUDO")</f>
        <v>CON RECAUDO</v>
      </c>
      <c r="M1040" s="65" t="str">
        <f>IFERROR(__xludf.DUMMYFUNCTION("""COMPUTED_VALUE"""),"IMBABURA")</f>
        <v>IMBABURA</v>
      </c>
      <c r="N1040" s="65" t="str">
        <f>IFERROR(__xludf.DUMMYFUNCTION("""COMPUTED_VALUE"""),"IBARRA")</f>
        <v>IBARRA</v>
      </c>
      <c r="O1040" s="65" t="str">
        <f>IFERROR(__xludf.DUMMYFUNCTION("""COMPUTED_VALUE"""),"Aloburo Ibarra -")</f>
        <v>Aloburo Ibarra -</v>
      </c>
      <c r="P1040" s="65"/>
      <c r="Q1040" s="65" t="str">
        <f>IFERROR(__xludf.DUMMYFUNCTION("""COMPUTED_VALUE"""),"GINTRACOM")</f>
        <v>GINTRACOM</v>
      </c>
      <c r="R1040" s="65">
        <f>IFERROR(__xludf.DUMMYFUNCTION("""COMPUTED_VALUE"""),22.0)</f>
        <v>22</v>
      </c>
      <c r="S1040" s="65"/>
      <c r="T1040" s="65">
        <f>IFERROR(__xludf.DUMMYFUNCTION("""COMPUTED_VALUE"""),5.84)</f>
        <v>5.84</v>
      </c>
      <c r="U1040" s="65">
        <f>IFERROR(__xludf.DUMMYFUNCTION("""COMPUTED_VALUE"""),0.0)</f>
        <v>0</v>
      </c>
      <c r="V1040" s="65">
        <f>IFERROR(__xludf.DUMMYFUNCTION("""COMPUTED_VALUE"""),0.0)</f>
        <v>0</v>
      </c>
      <c r="W1040" s="65">
        <f>IFERROR(__xludf.DUMMYFUNCTION("""COMPUTED_VALUE"""),0.0)</f>
        <v>0</v>
      </c>
      <c r="X1040" s="65">
        <f>IFERROR(__xludf.DUMMYFUNCTION("""COMPUTED_VALUE"""),2.6)</f>
        <v>2.6</v>
      </c>
      <c r="Y1040" s="65">
        <f>IFERROR(__xludf.DUMMYFUNCTION("""COMPUTED_VALUE"""),5.2)</f>
        <v>5.2</v>
      </c>
      <c r="Z1040" s="65">
        <f>IFERROR(__xludf.DUMMYFUNCTION("""COMPUTED_VALUE"""),121983.0)</f>
        <v>121983</v>
      </c>
      <c r="AA1040" s="65" t="str">
        <f>IFERROR(__xludf.DUMMYFUNCTION("""COMPUTED_VALUE"""),"PROV-CHLLCF")</f>
        <v>PROV-CHLLCF</v>
      </c>
      <c r="AB1040" s="65"/>
      <c r="AC1040" s="65" t="str">
        <f>IFERROR(__xludf.DUMMYFUNCTION("""COMPUTED_VALUE"""),"CUCHILLO PARA CHEF")</f>
        <v>CUCHILLO PARA CHEF</v>
      </c>
      <c r="AD1040" s="65"/>
      <c r="AE1040" s="65">
        <f>IFERROR(__xludf.DUMMYFUNCTION("""COMPUTED_VALUE"""),2.0)</f>
        <v>2</v>
      </c>
      <c r="AF1040" s="65"/>
      <c r="AG1040" s="65"/>
      <c r="AH1040" s="65"/>
      <c r="AI1040" s="65"/>
      <c r="AJ1040" s="65"/>
      <c r="AK1040" s="65"/>
      <c r="AL1040" s="65"/>
      <c r="AM1040" s="65"/>
      <c r="AN1040" s="65"/>
      <c r="AO1040" s="65"/>
      <c r="AP1040" s="65"/>
      <c r="AQ1040" s="65"/>
      <c r="AR1040" s="65"/>
      <c r="AS1040" s="65"/>
      <c r="AT1040" s="65" t="str">
        <f>IFERROR(__xludf.DUMMYFUNCTION("""COMPUTED_VALUE"""),"SHOPIFY")</f>
        <v>SHOPIFY</v>
      </c>
      <c r="AU1040" s="65" t="str">
        <f>IFERROR(__xludf.DUMMYFUNCTION("""COMPUTED_VALUE"""),"IMPORTEX EC")</f>
        <v>IMPORTEX EC</v>
      </c>
      <c r="AV1040" s="65" t="str">
        <f>IFERROR(__xludf.DUMMYFUNCTION("""COMPUTED_VALUE"""),"6481158242348")</f>
        <v>6481158242348</v>
      </c>
      <c r="AW1040" s="65">
        <f>IFERROR(__xludf.DUMMYFUNCTION("""COMPUTED_VALUE"""),5859.0)</f>
        <v>5859</v>
      </c>
      <c r="AX1040" s="65"/>
      <c r="AY1040" s="65"/>
      <c r="AZ1040" s="65"/>
      <c r="BA1040" s="65"/>
    </row>
    <row r="1041">
      <c r="A1041" s="65" t="str">
        <f>IFERROR(__xludf.DUMMYFUNCTION("""COMPUTED_VALUE"""),"27-03-2026")</f>
        <v>27-03-2026</v>
      </c>
      <c r="B1041" s="65">
        <f>IFERROR(__xludf.DUMMYFUNCTION("""COMPUTED_VALUE"""),4418684.0)</f>
        <v>4418684</v>
      </c>
      <c r="C1041" s="65" t="str">
        <f>IFERROR(__xludf.DUMMYFUNCTION("""COMPUTED_VALUE"""),"12:08")</f>
        <v>12:08</v>
      </c>
      <c r="D1041" s="65" t="str">
        <f>IFERROR(__xludf.DUMMYFUNCTION("""COMPUTED_VALUE"""),"06-02-2026")</f>
        <v>06-02-2026</v>
      </c>
      <c r="E1041" s="65" t="str">
        <f>IFERROR(__xludf.DUMMYFUNCTION("""COMPUTED_VALUE"""),"Jaime Gomez")</f>
        <v>Jaime Gomez</v>
      </c>
      <c r="F1041" s="65" t="str">
        <f>IFERROR(__xludf.DUMMYFUNCTION("""COMPUTED_VALUE"""),"958650644")</f>
        <v>958650644</v>
      </c>
      <c r="G1041" s="65" t="str">
        <f>IFERROR(__xludf.DUMMYFUNCTION("""COMPUTED_VALUE"""),"guapopoli@hotmail.com")</f>
        <v>guapopoli@hotmail.com</v>
      </c>
      <c r="H1041" s="65"/>
      <c r="I1041" s="65"/>
      <c r="J1041" s="65"/>
      <c r="K1041" s="65" t="str">
        <f>IFERROR(__xludf.DUMMYFUNCTION("""COMPUTED_VALUE"""),"PENDIENTE CONFIRMACION")</f>
        <v>PENDIENTE CONFIRMACION</v>
      </c>
      <c r="L1041" s="65" t="str">
        <f>IFERROR(__xludf.DUMMYFUNCTION("""COMPUTED_VALUE"""),"CON RECAUDO")</f>
        <v>CON RECAUDO</v>
      </c>
      <c r="M1041" s="65" t="str">
        <f>IFERROR(__xludf.DUMMYFUNCTION("""COMPUTED_VALUE"""),"MANABI")</f>
        <v>MANABI</v>
      </c>
      <c r="N1041" s="65" t="str">
        <f>IFERROR(__xludf.DUMMYFUNCTION("""COMPUTED_VALUE"""),"PORTOVIEJO")</f>
        <v>PORTOVIEJO</v>
      </c>
      <c r="O1041" s="65" t="str">
        <f>IFERROR(__xludf.DUMMYFUNCTION("""COMPUTED_VALUE"""),"Avenida 21 de noviembre Callejón San Rafael -")</f>
        <v>Avenida 21 de noviembre Callejón San Rafael -</v>
      </c>
      <c r="P1041" s="65"/>
      <c r="Q1041" s="65" t="str">
        <f>IFERROR(__xludf.DUMMYFUNCTION("""COMPUTED_VALUE"""),"GINTRACOM")</f>
        <v>GINTRACOM</v>
      </c>
      <c r="R1041" s="65">
        <f>IFERROR(__xludf.DUMMYFUNCTION("""COMPUTED_VALUE"""),22.0)</f>
        <v>22</v>
      </c>
      <c r="S1041" s="65"/>
      <c r="T1041" s="65">
        <f>IFERROR(__xludf.DUMMYFUNCTION("""COMPUTED_VALUE"""),5.84)</f>
        <v>5.84</v>
      </c>
      <c r="U1041" s="65">
        <f>IFERROR(__xludf.DUMMYFUNCTION("""COMPUTED_VALUE"""),0.0)</f>
        <v>0</v>
      </c>
      <c r="V1041" s="65">
        <f>IFERROR(__xludf.DUMMYFUNCTION("""COMPUTED_VALUE"""),0.0)</f>
        <v>0</v>
      </c>
      <c r="W1041" s="65">
        <f>IFERROR(__xludf.DUMMYFUNCTION("""COMPUTED_VALUE"""),0.0)</f>
        <v>0</v>
      </c>
      <c r="X1041" s="65">
        <f>IFERROR(__xludf.DUMMYFUNCTION("""COMPUTED_VALUE"""),2.6)</f>
        <v>2.6</v>
      </c>
      <c r="Y1041" s="65">
        <f>IFERROR(__xludf.DUMMYFUNCTION("""COMPUTED_VALUE"""),5.2)</f>
        <v>5.2</v>
      </c>
      <c r="Z1041" s="65">
        <f>IFERROR(__xludf.DUMMYFUNCTION("""COMPUTED_VALUE"""),121983.0)</f>
        <v>121983</v>
      </c>
      <c r="AA1041" s="65" t="str">
        <f>IFERROR(__xludf.DUMMYFUNCTION("""COMPUTED_VALUE"""),"PROV-CHLLCF")</f>
        <v>PROV-CHLLCF</v>
      </c>
      <c r="AB1041" s="65"/>
      <c r="AC1041" s="65" t="str">
        <f>IFERROR(__xludf.DUMMYFUNCTION("""COMPUTED_VALUE"""),"CUCHILLO PARA CHEF")</f>
        <v>CUCHILLO PARA CHEF</v>
      </c>
      <c r="AD1041" s="65"/>
      <c r="AE1041" s="65">
        <f>IFERROR(__xludf.DUMMYFUNCTION("""COMPUTED_VALUE"""),2.0)</f>
        <v>2</v>
      </c>
      <c r="AF1041" s="65"/>
      <c r="AG1041" s="65"/>
      <c r="AH1041" s="65"/>
      <c r="AI1041" s="65"/>
      <c r="AJ1041" s="65"/>
      <c r="AK1041" s="65"/>
      <c r="AL1041" s="65"/>
      <c r="AM1041" s="65"/>
      <c r="AN1041" s="65"/>
      <c r="AO1041" s="65"/>
      <c r="AP1041" s="65"/>
      <c r="AQ1041" s="65"/>
      <c r="AR1041" s="65"/>
      <c r="AS1041" s="65"/>
      <c r="AT1041" s="65" t="str">
        <f>IFERROR(__xludf.DUMMYFUNCTION("""COMPUTED_VALUE"""),"SHOPIFY")</f>
        <v>SHOPIFY</v>
      </c>
      <c r="AU1041" s="65" t="str">
        <f>IFERROR(__xludf.DUMMYFUNCTION("""COMPUTED_VALUE"""),"IMPORTEX EC")</f>
        <v>IMPORTEX EC</v>
      </c>
      <c r="AV1041" s="65" t="str">
        <f>IFERROR(__xludf.DUMMYFUNCTION("""COMPUTED_VALUE"""),"6481175281708")</f>
        <v>6481175281708</v>
      </c>
      <c r="AW1041" s="65">
        <f>IFERROR(__xludf.DUMMYFUNCTION("""COMPUTED_VALUE"""),5860.0)</f>
        <v>5860</v>
      </c>
      <c r="AX1041" s="65"/>
      <c r="AY1041" s="65"/>
      <c r="AZ1041" s="65"/>
      <c r="BA1041" s="65"/>
    </row>
    <row r="1042">
      <c r="A1042" s="65" t="str">
        <f>IFERROR(__xludf.DUMMYFUNCTION("""COMPUTED_VALUE"""),"27-03-2026")</f>
        <v>27-03-2026</v>
      </c>
      <c r="B1042" s="65">
        <f>IFERROR(__xludf.DUMMYFUNCTION("""COMPUTED_VALUE"""),4418683.0)</f>
        <v>4418683</v>
      </c>
      <c r="C1042" s="65" t="str">
        <f>IFERROR(__xludf.DUMMYFUNCTION("""COMPUTED_VALUE"""),"12:08")</f>
        <v>12:08</v>
      </c>
      <c r="D1042" s="65" t="str">
        <f>IFERROR(__xludf.DUMMYFUNCTION("""COMPUTED_VALUE"""),"06-02-2026")</f>
        <v>06-02-2026</v>
      </c>
      <c r="E1042" s="65" t="str">
        <f>IFERROR(__xludf.DUMMYFUNCTION("""COMPUTED_VALUE"""),"Marina Natividad Puma Yauri")</f>
        <v>Marina Natividad Puma Yauri</v>
      </c>
      <c r="F1042" s="65" t="str">
        <f>IFERROR(__xludf.DUMMYFUNCTION("""COMPUTED_VALUE"""),"979767564")</f>
        <v>979767564</v>
      </c>
      <c r="G1042" s="65" t="str">
        <f>IFERROR(__xludf.DUMMYFUNCTION("""COMPUTED_VALUE"""),"marynatividadpuma19850208@gmail.com")</f>
        <v>marynatividadpuma19850208@gmail.com</v>
      </c>
      <c r="H1042" s="65"/>
      <c r="I1042" s="65"/>
      <c r="J1042" s="65"/>
      <c r="K1042" s="65" t="str">
        <f>IFERROR(__xludf.DUMMYFUNCTION("""COMPUTED_VALUE"""),"CANCELADO")</f>
        <v>CANCELADO</v>
      </c>
      <c r="L1042" s="65" t="str">
        <f>IFERROR(__xludf.DUMMYFUNCTION("""COMPUTED_VALUE"""),"CON RECAUDO")</f>
        <v>CON RECAUDO</v>
      </c>
      <c r="M1042" s="65" t="str">
        <f>IFERROR(__xludf.DUMMYFUNCTION("""COMPUTED_VALUE"""),"CAÑAR")</f>
        <v>CAÑAR</v>
      </c>
      <c r="N1042" s="65" t="str">
        <f>IFERROR(__xludf.DUMMYFUNCTION("""COMPUTED_VALUE"""),"AZOGUES")</f>
        <v>AZOGUES</v>
      </c>
      <c r="O1042" s="65" t="str">
        <f>IFERROR(__xludf.DUMMYFUNCTION("""COMPUTED_VALUE"""),"calle 10 de agosto Mercado Recinto Ferial -")</f>
        <v>calle 10 de agosto Mercado Recinto Ferial -</v>
      </c>
      <c r="P1042" s="65"/>
      <c r="Q1042" s="65" t="str">
        <f>IFERROR(__xludf.DUMMYFUNCTION("""COMPUTED_VALUE"""),"GINTRACOM")</f>
        <v>GINTRACOM</v>
      </c>
      <c r="R1042" s="65">
        <f>IFERROR(__xludf.DUMMYFUNCTION("""COMPUTED_VALUE"""),20.0)</f>
        <v>20</v>
      </c>
      <c r="S1042" s="65"/>
      <c r="T1042" s="65">
        <f>IFERROR(__xludf.DUMMYFUNCTION("""COMPUTED_VALUE"""),5.76)</f>
        <v>5.76</v>
      </c>
      <c r="U1042" s="65">
        <f>IFERROR(__xludf.DUMMYFUNCTION("""COMPUTED_VALUE"""),0.0)</f>
        <v>0</v>
      </c>
      <c r="V1042" s="65">
        <f>IFERROR(__xludf.DUMMYFUNCTION("""COMPUTED_VALUE"""),0.0)</f>
        <v>0</v>
      </c>
      <c r="W1042" s="65">
        <f>IFERROR(__xludf.DUMMYFUNCTION("""COMPUTED_VALUE"""),0.0)</f>
        <v>0</v>
      </c>
      <c r="X1042" s="65">
        <f>IFERROR(__xludf.DUMMYFUNCTION("""COMPUTED_VALUE"""),2.2)</f>
        <v>2.2</v>
      </c>
      <c r="Y1042" s="65">
        <f>IFERROR(__xludf.DUMMYFUNCTION("""COMPUTED_VALUE"""),2.2)</f>
        <v>2.2</v>
      </c>
      <c r="Z1042" s="65">
        <f>IFERROR(__xludf.DUMMYFUNCTION("""COMPUTED_VALUE"""),111894.0)</f>
        <v>111894</v>
      </c>
      <c r="AA1042" s="65" t="str">
        <f>IFERROR(__xludf.DUMMYFUNCTION("""COMPUTED_VALUE"""),"LYIC5M40067")</f>
        <v>LYIC5M40067</v>
      </c>
      <c r="AB1042" s="65"/>
      <c r="AC1042" s="65" t="str">
        <f>IFERROR(__xludf.DUMMYFUNCTION("""COMPUTED_VALUE"""),"Limpiador de Parabrisas y Ventanas")</f>
        <v>Limpiador de Parabrisas y Ventanas</v>
      </c>
      <c r="AD1042" s="65"/>
      <c r="AE1042" s="65">
        <f>IFERROR(__xludf.DUMMYFUNCTION("""COMPUTED_VALUE"""),1.0)</f>
        <v>1</v>
      </c>
      <c r="AF1042" s="65"/>
      <c r="AG1042" s="65"/>
      <c r="AH1042" s="65"/>
      <c r="AI1042" s="65"/>
      <c r="AJ1042" s="65"/>
      <c r="AK1042" s="65"/>
      <c r="AL1042" s="65"/>
      <c r="AM1042" s="65"/>
      <c r="AN1042" s="65"/>
      <c r="AO1042" s="65"/>
      <c r="AP1042" s="65"/>
      <c r="AQ1042" s="65"/>
      <c r="AR1042" s="65"/>
      <c r="AS1042" s="65"/>
      <c r="AT1042" s="65" t="str">
        <f>IFERROR(__xludf.DUMMYFUNCTION("""COMPUTED_VALUE"""),"SHOPIFY")</f>
        <v>SHOPIFY</v>
      </c>
      <c r="AU1042" s="65" t="str">
        <f>IFERROR(__xludf.DUMMYFUNCTION("""COMPUTED_VALUE"""),"IMPORTEX EC")</f>
        <v>IMPORTEX EC</v>
      </c>
      <c r="AV1042" s="65" t="str">
        <f>IFERROR(__xludf.DUMMYFUNCTION("""COMPUTED_VALUE"""),"6481214832684")</f>
        <v>6481214832684</v>
      </c>
      <c r="AW1042" s="65">
        <f>IFERROR(__xludf.DUMMYFUNCTION("""COMPUTED_VALUE"""),5861.0)</f>
        <v>5861</v>
      </c>
      <c r="AX1042" s="65"/>
      <c r="AY1042" s="65"/>
      <c r="AZ1042" s="65"/>
      <c r="BA1042" s="65"/>
    </row>
    <row r="1043">
      <c r="A1043" s="65" t="str">
        <f>IFERROR(__xludf.DUMMYFUNCTION("""COMPUTED_VALUE"""),"27-03-2026")</f>
        <v>27-03-2026</v>
      </c>
      <c r="B1043" s="65">
        <f>IFERROR(__xludf.DUMMYFUNCTION("""COMPUTED_VALUE"""),4418681.0)</f>
        <v>4418681</v>
      </c>
      <c r="C1043" s="65" t="str">
        <f>IFERROR(__xludf.DUMMYFUNCTION("""COMPUTED_VALUE"""),"12:07")</f>
        <v>12:07</v>
      </c>
      <c r="D1043" s="65" t="str">
        <f>IFERROR(__xludf.DUMMYFUNCTION("""COMPUTED_VALUE"""),"06-02-2026")</f>
        <v>06-02-2026</v>
      </c>
      <c r="E1043" s="65" t="str">
        <f>IFERROR(__xludf.DUMMYFUNCTION("""COMPUTED_VALUE"""),"Alexandra Contrera")</f>
        <v>Alexandra Contrera</v>
      </c>
      <c r="F1043" s="65" t="str">
        <f>IFERROR(__xludf.DUMMYFUNCTION("""COMPUTED_VALUE"""),"999661577")</f>
        <v>999661577</v>
      </c>
      <c r="G1043" s="65" t="str">
        <f>IFERROR(__xludf.DUMMYFUNCTION("""COMPUTED_VALUE"""),"alexandrac616@gmail.com")</f>
        <v>alexandrac616@gmail.com</v>
      </c>
      <c r="H1043" s="65"/>
      <c r="I1043" s="65"/>
      <c r="J1043" s="65"/>
      <c r="K1043" s="65" t="str">
        <f>IFERROR(__xludf.DUMMYFUNCTION("""COMPUTED_VALUE"""),"PENDIENTE CONFIRMACION")</f>
        <v>PENDIENTE CONFIRMACION</v>
      </c>
      <c r="L1043" s="65" t="str">
        <f>IFERROR(__xludf.DUMMYFUNCTION("""COMPUTED_VALUE"""),"CON RECAUDO")</f>
        <v>CON RECAUDO</v>
      </c>
      <c r="M1043" s="65" t="str">
        <f>IFERROR(__xludf.DUMMYFUNCTION("""COMPUTED_VALUE"""),"ESMERALDAS")</f>
        <v>ESMERALDAS</v>
      </c>
      <c r="N1043" s="65" t="str">
        <f>IFERROR(__xludf.DUMMYFUNCTION("""COMPUTED_VALUE"""),"SAN LORENZO")</f>
        <v>SAN LORENZO</v>
      </c>
      <c r="O1043" s="65" t="str">
        <f>IFERROR(__xludf.DUMMYFUNCTION("""COMPUTED_VALUE"""),"Av. Orellana y Atahualpa.      Los Colonos y Av. BombOoli A dos cuadras del colegio Técnico -")</f>
        <v>Av. Orellana y Atahualpa.      Los Colonos y Av. BombOoli A dos cuadras del colegio Técnico -</v>
      </c>
      <c r="P1043" s="65"/>
      <c r="Q1043" s="65" t="str">
        <f>IFERROR(__xludf.DUMMYFUNCTION("""COMPUTED_VALUE"""),"GINTRACOM")</f>
        <v>GINTRACOM</v>
      </c>
      <c r="R1043" s="65">
        <f>IFERROR(__xludf.DUMMYFUNCTION("""COMPUTED_VALUE"""),32.0)</f>
        <v>32</v>
      </c>
      <c r="S1043" s="65"/>
      <c r="T1043" s="65">
        <f>IFERROR(__xludf.DUMMYFUNCTION("""COMPUTED_VALUE"""),6.24)</f>
        <v>6.24</v>
      </c>
      <c r="U1043" s="65">
        <f>IFERROR(__xludf.DUMMYFUNCTION("""COMPUTED_VALUE"""),0.0)</f>
        <v>0</v>
      </c>
      <c r="V1043" s="65">
        <f>IFERROR(__xludf.DUMMYFUNCTION("""COMPUTED_VALUE"""),0.0)</f>
        <v>0</v>
      </c>
      <c r="W1043" s="65">
        <f>IFERROR(__xludf.DUMMYFUNCTION("""COMPUTED_VALUE"""),0.0)</f>
        <v>0</v>
      </c>
      <c r="X1043" s="65">
        <f>IFERROR(__xludf.DUMMYFUNCTION("""COMPUTED_VALUE"""),2.6)</f>
        <v>2.6</v>
      </c>
      <c r="Y1043" s="65">
        <f>IFERROR(__xludf.DUMMYFUNCTION("""COMPUTED_VALUE"""),10.4)</f>
        <v>10.4</v>
      </c>
      <c r="Z1043" s="65">
        <f>IFERROR(__xludf.DUMMYFUNCTION("""COMPUTED_VALUE"""),121983.0)</f>
        <v>121983</v>
      </c>
      <c r="AA1043" s="65" t="str">
        <f>IFERROR(__xludf.DUMMYFUNCTION("""COMPUTED_VALUE"""),"PROV-CHLLCF")</f>
        <v>PROV-CHLLCF</v>
      </c>
      <c r="AB1043" s="65"/>
      <c r="AC1043" s="65" t="str">
        <f>IFERROR(__xludf.DUMMYFUNCTION("""COMPUTED_VALUE"""),"CUCHILLO PARA CHEF")</f>
        <v>CUCHILLO PARA CHEF</v>
      </c>
      <c r="AD1043" s="65"/>
      <c r="AE1043" s="65">
        <f>IFERROR(__xludf.DUMMYFUNCTION("""COMPUTED_VALUE"""),4.0)</f>
        <v>4</v>
      </c>
      <c r="AF1043" s="65"/>
      <c r="AG1043" s="65"/>
      <c r="AH1043" s="65"/>
      <c r="AI1043" s="65"/>
      <c r="AJ1043" s="65"/>
      <c r="AK1043" s="65"/>
      <c r="AL1043" s="65"/>
      <c r="AM1043" s="65"/>
      <c r="AN1043" s="65"/>
      <c r="AO1043" s="65"/>
      <c r="AP1043" s="65"/>
      <c r="AQ1043" s="65"/>
      <c r="AR1043" s="65"/>
      <c r="AS1043" s="65"/>
      <c r="AT1043" s="65" t="str">
        <f>IFERROR(__xludf.DUMMYFUNCTION("""COMPUTED_VALUE"""),"SHOPIFY")</f>
        <v>SHOPIFY</v>
      </c>
      <c r="AU1043" s="65" t="str">
        <f>IFERROR(__xludf.DUMMYFUNCTION("""COMPUTED_VALUE"""),"IMPORTEX EC")</f>
        <v>IMPORTEX EC</v>
      </c>
      <c r="AV1043" s="65" t="str">
        <f>IFERROR(__xludf.DUMMYFUNCTION("""COMPUTED_VALUE"""),"6481605689388")</f>
        <v>6481605689388</v>
      </c>
      <c r="AW1043" s="65">
        <f>IFERROR(__xludf.DUMMYFUNCTION("""COMPUTED_VALUE"""),5862.0)</f>
        <v>5862</v>
      </c>
      <c r="AX1043" s="65"/>
      <c r="AY1043" s="65"/>
      <c r="AZ1043" s="65"/>
      <c r="BA1043" s="65"/>
    </row>
    <row r="1044">
      <c r="A1044" s="65" t="str">
        <f>IFERROR(__xludf.DUMMYFUNCTION("""COMPUTED_VALUE"""),"27-03-2026")</f>
        <v>27-03-2026</v>
      </c>
      <c r="B1044" s="65">
        <f>IFERROR(__xludf.DUMMYFUNCTION("""COMPUTED_VALUE"""),4418677.0)</f>
        <v>4418677</v>
      </c>
      <c r="C1044" s="65" t="str">
        <f>IFERROR(__xludf.DUMMYFUNCTION("""COMPUTED_VALUE"""),"12:07")</f>
        <v>12:07</v>
      </c>
      <c r="D1044" s="65" t="str">
        <f>IFERROR(__xludf.DUMMYFUNCTION("""COMPUTED_VALUE"""),"06-02-2026")</f>
        <v>06-02-2026</v>
      </c>
      <c r="E1044" s="65" t="str">
        <f>IFERROR(__xludf.DUMMYFUNCTION("""COMPUTED_VALUE"""),"Estela Rodriguez")</f>
        <v>Estela Rodriguez</v>
      </c>
      <c r="F1044" s="65" t="str">
        <f>IFERROR(__xludf.DUMMYFUNCTION("""COMPUTED_VALUE"""),"997148250")</f>
        <v>997148250</v>
      </c>
      <c r="G1044" s="65" t="str">
        <f>IFERROR(__xludf.DUMMYFUNCTION("""COMPUTED_VALUE"""),"estelatonic69@gmail.com")</f>
        <v>estelatonic69@gmail.com</v>
      </c>
      <c r="H1044" s="65"/>
      <c r="I1044" s="65"/>
      <c r="J1044" s="65"/>
      <c r="K1044" s="65" t="str">
        <f>IFERROR(__xludf.DUMMYFUNCTION("""COMPUTED_VALUE"""),"PENDIENTE CONFIRMACION")</f>
        <v>PENDIENTE CONFIRMACION</v>
      </c>
      <c r="L1044" s="65" t="str">
        <f>IFERROR(__xludf.DUMMYFUNCTION("""COMPUTED_VALUE"""),"CON RECAUDO")</f>
        <v>CON RECAUDO</v>
      </c>
      <c r="M1044" s="65" t="str">
        <f>IFERROR(__xludf.DUMMYFUNCTION("""COMPUTED_VALUE"""),"MANABI")</f>
        <v>MANABI</v>
      </c>
      <c r="N1044" s="65" t="str">
        <f>IFERROR(__xludf.DUMMYFUNCTION("""COMPUTED_VALUE"""),"PORTOVIEJO")</f>
        <v>PORTOVIEJO</v>
      </c>
      <c r="O1044" s="65" t="str">
        <f>IFERROR(__xludf.DUMMYFUNCTION("""COMPUTED_VALUE"""),"Calle portoviejo y 18de diciembre El cady casa gris -")</f>
        <v>Calle portoviejo y 18de diciembre El cady casa gris -</v>
      </c>
      <c r="P1044" s="65"/>
      <c r="Q1044" s="65" t="str">
        <f>IFERROR(__xludf.DUMMYFUNCTION("""COMPUTED_VALUE"""),"GINTRACOM")</f>
        <v>GINTRACOM</v>
      </c>
      <c r="R1044" s="65">
        <f>IFERROR(__xludf.DUMMYFUNCTION("""COMPUTED_VALUE"""),32.0)</f>
        <v>32</v>
      </c>
      <c r="S1044" s="65"/>
      <c r="T1044" s="65">
        <f>IFERROR(__xludf.DUMMYFUNCTION("""COMPUTED_VALUE"""),6.24)</f>
        <v>6.24</v>
      </c>
      <c r="U1044" s="65">
        <f>IFERROR(__xludf.DUMMYFUNCTION("""COMPUTED_VALUE"""),0.0)</f>
        <v>0</v>
      </c>
      <c r="V1044" s="65">
        <f>IFERROR(__xludf.DUMMYFUNCTION("""COMPUTED_VALUE"""),0.0)</f>
        <v>0</v>
      </c>
      <c r="W1044" s="65">
        <f>IFERROR(__xludf.DUMMYFUNCTION("""COMPUTED_VALUE"""),0.0)</f>
        <v>0</v>
      </c>
      <c r="X1044" s="65">
        <f>IFERROR(__xludf.DUMMYFUNCTION("""COMPUTED_VALUE"""),2.6)</f>
        <v>2.6</v>
      </c>
      <c r="Y1044" s="65">
        <f>IFERROR(__xludf.DUMMYFUNCTION("""COMPUTED_VALUE"""),10.4)</f>
        <v>10.4</v>
      </c>
      <c r="Z1044" s="65">
        <f>IFERROR(__xludf.DUMMYFUNCTION("""COMPUTED_VALUE"""),121983.0)</f>
        <v>121983</v>
      </c>
      <c r="AA1044" s="65" t="str">
        <f>IFERROR(__xludf.DUMMYFUNCTION("""COMPUTED_VALUE"""),"PROV-CHLLCF")</f>
        <v>PROV-CHLLCF</v>
      </c>
      <c r="AB1044" s="65"/>
      <c r="AC1044" s="65" t="str">
        <f>IFERROR(__xludf.DUMMYFUNCTION("""COMPUTED_VALUE"""),"CUCHILLO PARA CHEF")</f>
        <v>CUCHILLO PARA CHEF</v>
      </c>
      <c r="AD1044" s="65"/>
      <c r="AE1044" s="65">
        <f>IFERROR(__xludf.DUMMYFUNCTION("""COMPUTED_VALUE"""),4.0)</f>
        <v>4</v>
      </c>
      <c r="AF1044" s="65"/>
      <c r="AG1044" s="65"/>
      <c r="AH1044" s="65"/>
      <c r="AI1044" s="65"/>
      <c r="AJ1044" s="65"/>
      <c r="AK1044" s="65"/>
      <c r="AL1044" s="65"/>
      <c r="AM1044" s="65"/>
      <c r="AN1044" s="65"/>
      <c r="AO1044" s="65"/>
      <c r="AP1044" s="65"/>
      <c r="AQ1044" s="65"/>
      <c r="AR1044" s="65"/>
      <c r="AS1044" s="65"/>
      <c r="AT1044" s="65" t="str">
        <f>IFERROR(__xludf.DUMMYFUNCTION("""COMPUTED_VALUE"""),"SHOPIFY")</f>
        <v>SHOPIFY</v>
      </c>
      <c r="AU1044" s="65" t="str">
        <f>IFERROR(__xludf.DUMMYFUNCTION("""COMPUTED_VALUE"""),"IMPORTEX EC")</f>
        <v>IMPORTEX EC</v>
      </c>
      <c r="AV1044" s="65" t="str">
        <f>IFERROR(__xludf.DUMMYFUNCTION("""COMPUTED_VALUE"""),"6481665163308")</f>
        <v>6481665163308</v>
      </c>
      <c r="AW1044" s="65">
        <f>IFERROR(__xludf.DUMMYFUNCTION("""COMPUTED_VALUE"""),5864.0)</f>
        <v>5864</v>
      </c>
      <c r="AX1044" s="65"/>
      <c r="AY1044" s="65"/>
      <c r="AZ1044" s="65"/>
      <c r="BA1044" s="65"/>
    </row>
    <row r="1045">
      <c r="A1045" s="65" t="str">
        <f>IFERROR(__xludf.DUMMYFUNCTION("""COMPUTED_VALUE"""),"27-03-2026")</f>
        <v>27-03-2026</v>
      </c>
      <c r="B1045" s="65">
        <f>IFERROR(__xludf.DUMMYFUNCTION("""COMPUTED_VALUE"""),4418673.0)</f>
        <v>4418673</v>
      </c>
      <c r="C1045" s="65" t="str">
        <f>IFERROR(__xludf.DUMMYFUNCTION("""COMPUTED_VALUE"""),"12:07")</f>
        <v>12:07</v>
      </c>
      <c r="D1045" s="65" t="str">
        <f>IFERROR(__xludf.DUMMYFUNCTION("""COMPUTED_VALUE"""),"06-02-2026")</f>
        <v>06-02-2026</v>
      </c>
      <c r="E1045" s="65" t="str">
        <f>IFERROR(__xludf.DUMMYFUNCTION("""COMPUTED_VALUE"""),"Jorge risco")</f>
        <v>Jorge risco</v>
      </c>
      <c r="F1045" s="65" t="str">
        <f>IFERROR(__xludf.DUMMYFUNCTION("""COMPUTED_VALUE"""),"996326234")</f>
        <v>996326234</v>
      </c>
      <c r="G1045" s="65" t="str">
        <f>IFERROR(__xludf.DUMMYFUNCTION("""COMPUTED_VALUE"""),"jorgerisco@hotmail.es")</f>
        <v>jorgerisco@hotmail.es</v>
      </c>
      <c r="H1045" s="65"/>
      <c r="I1045" s="65"/>
      <c r="J1045" s="65"/>
      <c r="K1045" s="65" t="str">
        <f>IFERROR(__xludf.DUMMYFUNCTION("""COMPUTED_VALUE"""),"CANCELADO")</f>
        <v>CANCELADO</v>
      </c>
      <c r="L1045" s="65" t="str">
        <f>IFERROR(__xludf.DUMMYFUNCTION("""COMPUTED_VALUE"""),"CON RECAUDO")</f>
        <v>CON RECAUDO</v>
      </c>
      <c r="M1045" s="65" t="str">
        <f>IFERROR(__xludf.DUMMYFUNCTION("""COMPUTED_VALUE"""),"MANABI")</f>
        <v>MANABI</v>
      </c>
      <c r="N1045" s="65" t="str">
        <f>IFERROR(__xludf.DUMMYFUNCTION("""COMPUTED_VALUE"""),"SAN VICENTE")</f>
        <v>SAN VICENTE</v>
      </c>
      <c r="O1045" s="65" t="str">
        <f>IFERROR(__xludf.DUMMYFUNCTION("""COMPUTED_VALUE"""),"Ingreso playa Briceño o principal  Malecon -")</f>
        <v>Ingreso playa Briceño o principal  Malecon -</v>
      </c>
      <c r="P1045" s="65"/>
      <c r="Q1045" s="65" t="str">
        <f>IFERROR(__xludf.DUMMYFUNCTION("""COMPUTED_VALUE"""),"LAARCOURIER")</f>
        <v>LAARCOURIER</v>
      </c>
      <c r="R1045" s="65">
        <f>IFERROR(__xludf.DUMMYFUNCTION("""COMPUTED_VALUE"""),22.0)</f>
        <v>22</v>
      </c>
      <c r="S1045" s="65"/>
      <c r="T1045" s="65">
        <f>IFERROR(__xludf.DUMMYFUNCTION("""COMPUTED_VALUE"""),7.01)</f>
        <v>7.01</v>
      </c>
      <c r="U1045" s="65">
        <f>IFERROR(__xludf.DUMMYFUNCTION("""COMPUTED_VALUE"""),0.0)</f>
        <v>0</v>
      </c>
      <c r="V1045" s="65">
        <f>IFERROR(__xludf.DUMMYFUNCTION("""COMPUTED_VALUE"""),0.0)</f>
        <v>0</v>
      </c>
      <c r="W1045" s="65">
        <f>IFERROR(__xludf.DUMMYFUNCTION("""COMPUTED_VALUE"""),0.0)</f>
        <v>0</v>
      </c>
      <c r="X1045" s="65">
        <f>IFERROR(__xludf.DUMMYFUNCTION("""COMPUTED_VALUE"""),2.6)</f>
        <v>2.6</v>
      </c>
      <c r="Y1045" s="65">
        <f>IFERROR(__xludf.DUMMYFUNCTION("""COMPUTED_VALUE"""),5.2)</f>
        <v>5.2</v>
      </c>
      <c r="Z1045" s="65">
        <f>IFERROR(__xludf.DUMMYFUNCTION("""COMPUTED_VALUE"""),121983.0)</f>
        <v>121983</v>
      </c>
      <c r="AA1045" s="65" t="str">
        <f>IFERROR(__xludf.DUMMYFUNCTION("""COMPUTED_VALUE"""),"PROV-CHLLCF")</f>
        <v>PROV-CHLLCF</v>
      </c>
      <c r="AB1045" s="65"/>
      <c r="AC1045" s="65" t="str">
        <f>IFERROR(__xludf.DUMMYFUNCTION("""COMPUTED_VALUE"""),"CUCHILLO PARA CHEF")</f>
        <v>CUCHILLO PARA CHEF</v>
      </c>
      <c r="AD1045" s="65"/>
      <c r="AE1045" s="65">
        <f>IFERROR(__xludf.DUMMYFUNCTION("""COMPUTED_VALUE"""),2.0)</f>
        <v>2</v>
      </c>
      <c r="AF1045" s="65"/>
      <c r="AG1045" s="65"/>
      <c r="AH1045" s="65"/>
      <c r="AI1045" s="65"/>
      <c r="AJ1045" s="65"/>
      <c r="AK1045" s="65"/>
      <c r="AL1045" s="65"/>
      <c r="AM1045" s="65"/>
      <c r="AN1045" s="65"/>
      <c r="AO1045" s="65"/>
      <c r="AP1045" s="65"/>
      <c r="AQ1045" s="65"/>
      <c r="AR1045" s="65"/>
      <c r="AS1045" s="65"/>
      <c r="AT1045" s="65" t="str">
        <f>IFERROR(__xludf.DUMMYFUNCTION("""COMPUTED_VALUE"""),"SHOPIFY")</f>
        <v>SHOPIFY</v>
      </c>
      <c r="AU1045" s="65" t="str">
        <f>IFERROR(__xludf.DUMMYFUNCTION("""COMPUTED_VALUE"""),"IMPORTEX EC")</f>
        <v>IMPORTEX EC</v>
      </c>
      <c r="AV1045" s="65" t="str">
        <f>IFERROR(__xludf.DUMMYFUNCTION("""COMPUTED_VALUE"""),"6481684234284")</f>
        <v>6481684234284</v>
      </c>
      <c r="AW1045" s="65">
        <f>IFERROR(__xludf.DUMMYFUNCTION("""COMPUTED_VALUE"""),5865.0)</f>
        <v>5865</v>
      </c>
      <c r="AX1045" s="65"/>
      <c r="AY1045" s="65"/>
      <c r="AZ1045" s="65"/>
      <c r="BA1045" s="65"/>
    </row>
    <row r="1046">
      <c r="A1046" s="65" t="str">
        <f>IFERROR(__xludf.DUMMYFUNCTION("""COMPUTED_VALUE"""),"27-03-2026")</f>
        <v>27-03-2026</v>
      </c>
      <c r="B1046" s="65">
        <f>IFERROR(__xludf.DUMMYFUNCTION("""COMPUTED_VALUE"""),4418670.0)</f>
        <v>4418670</v>
      </c>
      <c r="C1046" s="65" t="str">
        <f>IFERROR(__xludf.DUMMYFUNCTION("""COMPUTED_VALUE"""),"12:07")</f>
        <v>12:07</v>
      </c>
      <c r="D1046" s="65" t="str">
        <f>IFERROR(__xludf.DUMMYFUNCTION("""COMPUTED_VALUE"""),"06-02-2026")</f>
        <v>06-02-2026</v>
      </c>
      <c r="E1046" s="65" t="str">
        <f>IFERROR(__xludf.DUMMYFUNCTION("""COMPUTED_VALUE"""),"Maria Carrera")</f>
        <v>Maria Carrera</v>
      </c>
      <c r="F1046" s="65" t="str">
        <f>IFERROR(__xludf.DUMMYFUNCTION("""COMPUTED_VALUE"""),"961044285")</f>
        <v>961044285</v>
      </c>
      <c r="G1046" s="65" t="str">
        <f>IFERROR(__xludf.DUMMYFUNCTION("""COMPUTED_VALUE"""),"bruceraul@hotmail.com")</f>
        <v>bruceraul@hotmail.com</v>
      </c>
      <c r="H1046" s="65"/>
      <c r="I1046" s="65"/>
      <c r="J1046" s="65"/>
      <c r="K1046" s="65" t="str">
        <f>IFERROR(__xludf.DUMMYFUNCTION("""COMPUTED_VALUE"""),"PENDIENTE CONFIRMACION")</f>
        <v>PENDIENTE CONFIRMACION</v>
      </c>
      <c r="L1046" s="65" t="str">
        <f>IFERROR(__xludf.DUMMYFUNCTION("""COMPUTED_VALUE"""),"CON RECAUDO")</f>
        <v>CON RECAUDO</v>
      </c>
      <c r="M1046" s="65" t="str">
        <f>IFERROR(__xludf.DUMMYFUNCTION("""COMPUTED_VALUE"""),"IMBABURA")</f>
        <v>IMBABURA</v>
      </c>
      <c r="N1046" s="65" t="str">
        <f>IFERROR(__xludf.DUMMYFUNCTION("""COMPUTED_VALUE"""),"OTAVALO")</f>
        <v>OTAVALO</v>
      </c>
      <c r="O1046" s="65" t="str">
        <f>IFERROR(__xludf.DUMMYFUNCTION("""COMPUTED_VALUE"""),"Barrio San vicente -casa de portón verde -")</f>
        <v>Barrio San vicente -casa de portón verde -</v>
      </c>
      <c r="P1046" s="65"/>
      <c r="Q1046" s="65" t="str">
        <f>IFERROR(__xludf.DUMMYFUNCTION("""COMPUTED_VALUE"""),"GINTRACOM")</f>
        <v>GINTRACOM</v>
      </c>
      <c r="R1046" s="65">
        <f>IFERROR(__xludf.DUMMYFUNCTION("""COMPUTED_VALUE"""),32.0)</f>
        <v>32</v>
      </c>
      <c r="S1046" s="65"/>
      <c r="T1046" s="65">
        <f>IFERROR(__xludf.DUMMYFUNCTION("""COMPUTED_VALUE"""),6.24)</f>
        <v>6.24</v>
      </c>
      <c r="U1046" s="65">
        <f>IFERROR(__xludf.DUMMYFUNCTION("""COMPUTED_VALUE"""),0.0)</f>
        <v>0</v>
      </c>
      <c r="V1046" s="65">
        <f>IFERROR(__xludf.DUMMYFUNCTION("""COMPUTED_VALUE"""),0.0)</f>
        <v>0</v>
      </c>
      <c r="W1046" s="65">
        <f>IFERROR(__xludf.DUMMYFUNCTION("""COMPUTED_VALUE"""),0.0)</f>
        <v>0</v>
      </c>
      <c r="X1046" s="65">
        <f>IFERROR(__xludf.DUMMYFUNCTION("""COMPUTED_VALUE"""),2.6)</f>
        <v>2.6</v>
      </c>
      <c r="Y1046" s="65">
        <f>IFERROR(__xludf.DUMMYFUNCTION("""COMPUTED_VALUE"""),10.4)</f>
        <v>10.4</v>
      </c>
      <c r="Z1046" s="65">
        <f>IFERROR(__xludf.DUMMYFUNCTION("""COMPUTED_VALUE"""),121983.0)</f>
        <v>121983</v>
      </c>
      <c r="AA1046" s="65" t="str">
        <f>IFERROR(__xludf.DUMMYFUNCTION("""COMPUTED_VALUE"""),"PROV-CHLLCF")</f>
        <v>PROV-CHLLCF</v>
      </c>
      <c r="AB1046" s="65"/>
      <c r="AC1046" s="65" t="str">
        <f>IFERROR(__xludf.DUMMYFUNCTION("""COMPUTED_VALUE"""),"CUCHILLO PARA CHEF")</f>
        <v>CUCHILLO PARA CHEF</v>
      </c>
      <c r="AD1046" s="65"/>
      <c r="AE1046" s="65">
        <f>IFERROR(__xludf.DUMMYFUNCTION("""COMPUTED_VALUE"""),4.0)</f>
        <v>4</v>
      </c>
      <c r="AF1046" s="65"/>
      <c r="AG1046" s="65"/>
      <c r="AH1046" s="65"/>
      <c r="AI1046" s="65"/>
      <c r="AJ1046" s="65"/>
      <c r="AK1046" s="65"/>
      <c r="AL1046" s="65"/>
      <c r="AM1046" s="65"/>
      <c r="AN1046" s="65"/>
      <c r="AO1046" s="65"/>
      <c r="AP1046" s="65"/>
      <c r="AQ1046" s="65"/>
      <c r="AR1046" s="65"/>
      <c r="AS1046" s="65"/>
      <c r="AT1046" s="65" t="str">
        <f>IFERROR(__xludf.DUMMYFUNCTION("""COMPUTED_VALUE"""),"SHOPIFY")</f>
        <v>SHOPIFY</v>
      </c>
      <c r="AU1046" s="65" t="str">
        <f>IFERROR(__xludf.DUMMYFUNCTION("""COMPUTED_VALUE"""),"IMPORTEX EC")</f>
        <v>IMPORTEX EC</v>
      </c>
      <c r="AV1046" s="65" t="str">
        <f>IFERROR(__xludf.DUMMYFUNCTION("""COMPUTED_VALUE"""),"6481694752812")</f>
        <v>6481694752812</v>
      </c>
      <c r="AW1046" s="65">
        <f>IFERROR(__xludf.DUMMYFUNCTION("""COMPUTED_VALUE"""),5866.0)</f>
        <v>5866</v>
      </c>
      <c r="AX1046" s="65"/>
      <c r="AY1046" s="65"/>
      <c r="AZ1046" s="65"/>
      <c r="BA1046" s="65"/>
    </row>
    <row r="1047">
      <c r="A1047" s="65" t="str">
        <f>IFERROR(__xludf.DUMMYFUNCTION("""COMPUTED_VALUE"""),"27-03-2026")</f>
        <v>27-03-2026</v>
      </c>
      <c r="B1047" s="65">
        <f>IFERROR(__xludf.DUMMYFUNCTION("""COMPUTED_VALUE"""),4418667.0)</f>
        <v>4418667</v>
      </c>
      <c r="C1047" s="65" t="str">
        <f>IFERROR(__xludf.DUMMYFUNCTION("""COMPUTED_VALUE"""),"12:07")</f>
        <v>12:07</v>
      </c>
      <c r="D1047" s="65" t="str">
        <f>IFERROR(__xludf.DUMMYFUNCTION("""COMPUTED_VALUE"""),"06-02-2026")</f>
        <v>06-02-2026</v>
      </c>
      <c r="E1047" s="65" t="str">
        <f>IFERROR(__xludf.DUMMYFUNCTION("""COMPUTED_VALUE"""),"Leandro Olivero Hurtado Herdoiza")</f>
        <v>Leandro Olivero Hurtado Herdoiza</v>
      </c>
      <c r="F1047" s="65" t="str">
        <f>IFERROR(__xludf.DUMMYFUNCTION("""COMPUTED_VALUE"""),"982239301")</f>
        <v>982239301</v>
      </c>
      <c r="G1047" s="65" t="str">
        <f>IFERROR(__xludf.DUMMYFUNCTION("""COMPUTED_VALUE"""),"leandrooliverh1@gmail.com")</f>
        <v>leandrooliverh1@gmail.com</v>
      </c>
      <c r="H1047" s="65"/>
      <c r="I1047" s="65"/>
      <c r="J1047" s="65" t="str">
        <f>IFERROR(__xludf.DUMMYFUNCTION("""COMPUTED_VALUE"""),"LC52818849")</f>
        <v>LC52818849</v>
      </c>
      <c r="K1047" s="65" t="str">
        <f>IFERROR(__xludf.DUMMYFUNCTION("""COMPUTED_VALUE"""),"ENTREGADO")</f>
        <v>ENTREGADO</v>
      </c>
      <c r="L1047" s="65" t="str">
        <f>IFERROR(__xludf.DUMMYFUNCTION("""COMPUTED_VALUE"""),"CON RECAUDO")</f>
        <v>CON RECAUDO</v>
      </c>
      <c r="M1047" s="65" t="str">
        <f>IFERROR(__xludf.DUMMYFUNCTION("""COMPUTED_VALUE"""),"EL ORO")</f>
        <v>EL ORO</v>
      </c>
      <c r="N1047" s="65" t="str">
        <f>IFERROR(__xludf.DUMMYFUNCTION("""COMPUTED_VALUE"""),"ARENILLAS")</f>
        <v>ARENILLAS</v>
      </c>
      <c r="O1047" s="65" t="str">
        <f>IFERROR(__xludf.DUMMYFUNCTION("""COMPUTED_VALUE"""),"Medardo Angel Silva y cañar diagonal al antiguo parador turístico casa esquinera de un a planta color rojizo ladrillo con rejas y portón negro.")</f>
        <v>Medardo Angel Silva y cañar diagonal al antiguo parador turístico casa esquinera de un a planta color rojizo ladrillo con rejas y portón negro.</v>
      </c>
      <c r="P1047" s="65"/>
      <c r="Q1047" s="65" t="str">
        <f>IFERROR(__xludf.DUMMYFUNCTION("""COMPUTED_VALUE"""),"LAARCOURIER")</f>
        <v>LAARCOURIER</v>
      </c>
      <c r="R1047" s="65">
        <f>IFERROR(__xludf.DUMMYFUNCTION("""COMPUTED_VALUE"""),32.0)</f>
        <v>32</v>
      </c>
      <c r="S1047" s="65">
        <f>IFERROR(__xludf.DUMMYFUNCTION("""COMPUTED_VALUE"""),14.01)</f>
        <v>14.01</v>
      </c>
      <c r="T1047" s="65">
        <f>IFERROR(__xludf.DUMMYFUNCTION("""COMPUTED_VALUE"""),7.59)</f>
        <v>7.59</v>
      </c>
      <c r="U1047" s="65">
        <f>IFERROR(__xludf.DUMMYFUNCTION("""COMPUTED_VALUE"""),0.0)</f>
        <v>0</v>
      </c>
      <c r="V1047" s="65">
        <f>IFERROR(__xludf.DUMMYFUNCTION("""COMPUTED_VALUE"""),0.0)</f>
        <v>0</v>
      </c>
      <c r="W1047" s="65">
        <f>IFERROR(__xludf.DUMMYFUNCTION("""COMPUTED_VALUE"""),0.0)</f>
        <v>0</v>
      </c>
      <c r="X1047" s="65">
        <f>IFERROR(__xludf.DUMMYFUNCTION("""COMPUTED_VALUE"""),2.6)</f>
        <v>2.6</v>
      </c>
      <c r="Y1047" s="65">
        <f>IFERROR(__xludf.DUMMYFUNCTION("""COMPUTED_VALUE"""),10.4)</f>
        <v>10.4</v>
      </c>
      <c r="Z1047" s="65">
        <f>IFERROR(__xludf.DUMMYFUNCTION("""COMPUTED_VALUE"""),121983.0)</f>
        <v>121983</v>
      </c>
      <c r="AA1047" s="65" t="str">
        <f>IFERROR(__xludf.DUMMYFUNCTION("""COMPUTED_VALUE"""),"PROV-CHLLCF")</f>
        <v>PROV-CHLLCF</v>
      </c>
      <c r="AB1047" s="65"/>
      <c r="AC1047" s="65" t="str">
        <f>IFERROR(__xludf.DUMMYFUNCTION("""COMPUTED_VALUE"""),"CUCHILLO PARA CHEF")</f>
        <v>CUCHILLO PARA CHEF</v>
      </c>
      <c r="AD1047" s="65"/>
      <c r="AE1047" s="65">
        <f>IFERROR(__xludf.DUMMYFUNCTION("""COMPUTED_VALUE"""),4.0)</f>
        <v>4</v>
      </c>
      <c r="AF1047" s="65"/>
      <c r="AG1047" s="65"/>
      <c r="AH1047" s="65"/>
      <c r="AI1047" s="65"/>
      <c r="AJ1047" s="65"/>
      <c r="AK1047" s="65"/>
      <c r="AL1047" s="65"/>
      <c r="AM1047" s="65"/>
      <c r="AN1047" s="65" t="str">
        <f>IFERROR(__xludf.DUMMYFUNCTION("""COMPUTED_VALUE"""),"13:32")</f>
        <v>13:32</v>
      </c>
      <c r="AO1047" s="65" t="str">
        <f>IFERROR(__xludf.DUMMYFUNCTION("""COMPUTED_VALUE"""),"10-02-2026")</f>
        <v>10-02-2026</v>
      </c>
      <c r="AP1047" s="65" t="str">
        <f>IFERROR(__xludf.DUMMYFUNCTION("""COMPUTED_VALUE"""),"ENTREGADO")</f>
        <v>ENTREGADO</v>
      </c>
      <c r="AQ1047" s="65" t="str">
        <f>IFERROR(__xludf.DUMMYFUNCTION("""COMPUTED_VALUE"""),"ENTREGADO")</f>
        <v>ENTREGADO</v>
      </c>
      <c r="AR1047" s="65"/>
      <c r="AS1047" s="65"/>
      <c r="AT1047" s="65" t="str">
        <f>IFERROR(__xludf.DUMMYFUNCTION("""COMPUTED_VALUE"""),"SHOPIFY")</f>
        <v>SHOPIFY</v>
      </c>
      <c r="AU1047" s="65" t="str">
        <f>IFERROR(__xludf.DUMMYFUNCTION("""COMPUTED_VALUE"""),"IMPORTEX EC")</f>
        <v>IMPORTEX EC</v>
      </c>
      <c r="AV1047" s="65" t="str">
        <f>IFERROR(__xludf.DUMMYFUNCTION("""COMPUTED_VALUE"""),"6481711235116")</f>
        <v>6481711235116</v>
      </c>
      <c r="AW1047" s="65">
        <f>IFERROR(__xludf.DUMMYFUNCTION("""COMPUTED_VALUE"""),5867.0)</f>
        <v>5867</v>
      </c>
      <c r="AX1047" s="65"/>
      <c r="AY1047" s="65" t="str">
        <f>IFERROR(__xludf.DUMMYFUNCTION("""COMPUTED_VALUE"""),"09/02/2026")</f>
        <v>09/02/2026</v>
      </c>
      <c r="AZ1047" s="65"/>
      <c r="BA1047" s="65"/>
    </row>
    <row r="1048">
      <c r="A1048" s="65" t="str">
        <f>IFERROR(__xludf.DUMMYFUNCTION("""COMPUTED_VALUE"""),"27-03-2026")</f>
        <v>27-03-2026</v>
      </c>
      <c r="B1048" s="65">
        <f>IFERROR(__xludf.DUMMYFUNCTION("""COMPUTED_VALUE"""),4418663.0)</f>
        <v>4418663</v>
      </c>
      <c r="C1048" s="65" t="str">
        <f>IFERROR(__xludf.DUMMYFUNCTION("""COMPUTED_VALUE"""),"12:06")</f>
        <v>12:06</v>
      </c>
      <c r="D1048" s="65" t="str">
        <f>IFERROR(__xludf.DUMMYFUNCTION("""COMPUTED_VALUE"""),"06-02-2026")</f>
        <v>06-02-2026</v>
      </c>
      <c r="E1048" s="65" t="str">
        <f>IFERROR(__xludf.DUMMYFUNCTION("""COMPUTED_VALUE"""),"Juan carlos Garcia")</f>
        <v>Juan carlos Garcia</v>
      </c>
      <c r="F1048" s="65" t="str">
        <f>IFERROR(__xludf.DUMMYFUNCTION("""COMPUTED_VALUE"""),"962872062")</f>
        <v>962872062</v>
      </c>
      <c r="G1048" s="65" t="str">
        <f>IFERROR(__xludf.DUMMYFUNCTION("""COMPUTED_VALUE"""),"rosanasanchezc@gmail.com")</f>
        <v>rosanasanchezc@gmail.com</v>
      </c>
      <c r="H1048" s="65"/>
      <c r="I1048" s="65"/>
      <c r="J1048" s="65"/>
      <c r="K1048" s="65" t="str">
        <f>IFERROR(__xludf.DUMMYFUNCTION("""COMPUTED_VALUE"""),"PENDIENTE CONFIRMACION")</f>
        <v>PENDIENTE CONFIRMACION</v>
      </c>
      <c r="L1048" s="65" t="str">
        <f>IFERROR(__xludf.DUMMYFUNCTION("""COMPUTED_VALUE"""),"CON RECAUDO")</f>
        <v>CON RECAUDO</v>
      </c>
      <c r="M1048" s="65" t="str">
        <f>IFERROR(__xludf.DUMMYFUNCTION("""COMPUTED_VALUE"""),"PICHINCHA")</f>
        <v>PICHINCHA</v>
      </c>
      <c r="N1048" s="65" t="str">
        <f>IFERROR(__xludf.DUMMYFUNCTION("""COMPUTED_VALUE"""),"QUITO")</f>
        <v>QUITO</v>
      </c>
      <c r="O1048" s="65" t="str">
        <f>IFERROR(__xludf.DUMMYFUNCTION("""COMPUTED_VALUE"""),"Francisco dalmau Calle 10 -")</f>
        <v>Francisco dalmau Calle 10 -</v>
      </c>
      <c r="P1048" s="65"/>
      <c r="Q1048" s="65" t="str">
        <f>IFERROR(__xludf.DUMMYFUNCTION("""COMPUTED_VALUE"""),"GINTRACOM")</f>
        <v>GINTRACOM</v>
      </c>
      <c r="R1048" s="65">
        <f>IFERROR(__xludf.DUMMYFUNCTION("""COMPUTED_VALUE"""),25.0)</f>
        <v>25</v>
      </c>
      <c r="S1048" s="65"/>
      <c r="T1048" s="65">
        <f>IFERROR(__xludf.DUMMYFUNCTION("""COMPUTED_VALUE"""),5.96)</f>
        <v>5.96</v>
      </c>
      <c r="U1048" s="65">
        <f>IFERROR(__xludf.DUMMYFUNCTION("""COMPUTED_VALUE"""),0.0)</f>
        <v>0</v>
      </c>
      <c r="V1048" s="65">
        <f>IFERROR(__xludf.DUMMYFUNCTION("""COMPUTED_VALUE"""),0.0)</f>
        <v>0</v>
      </c>
      <c r="W1048" s="65">
        <f>IFERROR(__xludf.DUMMYFUNCTION("""COMPUTED_VALUE"""),0.0)</f>
        <v>0</v>
      </c>
      <c r="X1048" s="65">
        <f>IFERROR(__xludf.DUMMYFUNCTION("""COMPUTED_VALUE"""),2.2)</f>
        <v>2.2</v>
      </c>
      <c r="Y1048" s="65">
        <f>IFERROR(__xludf.DUMMYFUNCTION("""COMPUTED_VALUE"""),4.4)</f>
        <v>4.4</v>
      </c>
      <c r="Z1048" s="65">
        <f>IFERROR(__xludf.DUMMYFUNCTION("""COMPUTED_VALUE"""),111894.0)</f>
        <v>111894</v>
      </c>
      <c r="AA1048" s="65" t="str">
        <f>IFERROR(__xludf.DUMMYFUNCTION("""COMPUTED_VALUE"""),"LYIC5M40067")</f>
        <v>LYIC5M40067</v>
      </c>
      <c r="AB1048" s="65"/>
      <c r="AC1048" s="65" t="str">
        <f>IFERROR(__xludf.DUMMYFUNCTION("""COMPUTED_VALUE"""),"Limpiador de Parabrisas y Ventanas")</f>
        <v>Limpiador de Parabrisas y Ventanas</v>
      </c>
      <c r="AD1048" s="65"/>
      <c r="AE1048" s="65">
        <f>IFERROR(__xludf.DUMMYFUNCTION("""COMPUTED_VALUE"""),2.0)</f>
        <v>2</v>
      </c>
      <c r="AF1048" s="65"/>
      <c r="AG1048" s="65"/>
      <c r="AH1048" s="65"/>
      <c r="AI1048" s="65"/>
      <c r="AJ1048" s="65"/>
      <c r="AK1048" s="65"/>
      <c r="AL1048" s="65"/>
      <c r="AM1048" s="65"/>
      <c r="AN1048" s="65"/>
      <c r="AO1048" s="65"/>
      <c r="AP1048" s="65"/>
      <c r="AQ1048" s="65"/>
      <c r="AR1048" s="65"/>
      <c r="AS1048" s="65"/>
      <c r="AT1048" s="65" t="str">
        <f>IFERROR(__xludf.DUMMYFUNCTION("""COMPUTED_VALUE"""),"SHOPIFY")</f>
        <v>SHOPIFY</v>
      </c>
      <c r="AU1048" s="65" t="str">
        <f>IFERROR(__xludf.DUMMYFUNCTION("""COMPUTED_VALUE"""),"IMPORTEX EC")</f>
        <v>IMPORTEX EC</v>
      </c>
      <c r="AV1048" s="65" t="str">
        <f>IFERROR(__xludf.DUMMYFUNCTION("""COMPUTED_VALUE"""),"6481776640044")</f>
        <v>6481776640044</v>
      </c>
      <c r="AW1048" s="65">
        <f>IFERROR(__xludf.DUMMYFUNCTION("""COMPUTED_VALUE"""),5869.0)</f>
        <v>5869</v>
      </c>
      <c r="AX1048" s="65"/>
      <c r="AY1048" s="65"/>
      <c r="AZ1048" s="65"/>
      <c r="BA1048" s="65"/>
    </row>
    <row r="1049">
      <c r="A1049" s="65" t="str">
        <f>IFERROR(__xludf.DUMMYFUNCTION("""COMPUTED_VALUE"""),"27-03-2026")</f>
        <v>27-03-2026</v>
      </c>
      <c r="B1049" s="65">
        <f>IFERROR(__xludf.DUMMYFUNCTION("""COMPUTED_VALUE"""),4418661.0)</f>
        <v>4418661</v>
      </c>
      <c r="C1049" s="65" t="str">
        <f>IFERROR(__xludf.DUMMYFUNCTION("""COMPUTED_VALUE"""),"12:06")</f>
        <v>12:06</v>
      </c>
      <c r="D1049" s="65" t="str">
        <f>IFERROR(__xludf.DUMMYFUNCTION("""COMPUTED_VALUE"""),"06-02-2026")</f>
        <v>06-02-2026</v>
      </c>
      <c r="E1049" s="65" t="str">
        <f>IFERROR(__xludf.DUMMYFUNCTION("""COMPUTED_VALUE"""),"RICARDO pastor ZAMORA Tarira")</f>
        <v>RICARDO pastor ZAMORA Tarira</v>
      </c>
      <c r="F1049" s="65" t="str">
        <f>IFERROR(__xludf.DUMMYFUNCTION("""COMPUTED_VALUE"""),"988322457")</f>
        <v>988322457</v>
      </c>
      <c r="G1049" s="65" t="str">
        <f>IFERROR(__xludf.DUMMYFUNCTION("""COMPUTED_VALUE"""),"zamoraricardo938@gmail.com")</f>
        <v>zamoraricardo938@gmail.com</v>
      </c>
      <c r="H1049" s="65"/>
      <c r="I1049" s="65"/>
      <c r="J1049" s="65" t="str">
        <f>IFERROR(__xludf.DUMMYFUNCTION("""COMPUTED_VALUE"""),"D001304722")</f>
        <v>D001304722</v>
      </c>
      <c r="K1049" s="65" t="str">
        <f>IFERROR(__xludf.DUMMYFUNCTION("""COMPUTED_VALUE"""),"ENTREGADO")</f>
        <v>ENTREGADO</v>
      </c>
      <c r="L1049" s="65" t="str">
        <f>IFERROR(__xludf.DUMMYFUNCTION("""COMPUTED_VALUE"""),"CON RECAUDO")</f>
        <v>CON RECAUDO</v>
      </c>
      <c r="M1049" s="65" t="str">
        <f>IFERROR(__xludf.DUMMYFUNCTION("""COMPUTED_VALUE"""),"LOS RIOS")</f>
        <v>LOS RIOS</v>
      </c>
      <c r="N1049" s="65" t="str">
        <f>IFERROR(__xludf.DUMMYFUNCTION("""COMPUTED_VALUE"""),"QUEVEDO")</f>
        <v>QUEVEDO</v>
      </c>
      <c r="O1049" s="65" t="str">
        <f>IFERROR(__xludf.DUMMYFUNCTION("""COMPUTED_VALUE"""),"Km 4,5 vía quevedo Valencia Pista Jaramillo a lado de la universidad insutec -")</f>
        <v>Km 4,5 vía quevedo Valencia Pista Jaramillo a lado de la universidad insutec -</v>
      </c>
      <c r="P1049" s="65"/>
      <c r="Q1049" s="65" t="str">
        <f>IFERROR(__xludf.DUMMYFUNCTION("""COMPUTED_VALUE"""),"GINTRACOM")</f>
        <v>GINTRACOM</v>
      </c>
      <c r="R1049" s="65">
        <f>IFERROR(__xludf.DUMMYFUNCTION("""COMPUTED_VALUE"""),22.0)</f>
        <v>22</v>
      </c>
      <c r="S1049" s="65">
        <f>IFERROR(__xludf.DUMMYFUNCTION("""COMPUTED_VALUE"""),10.96)</f>
        <v>10.96</v>
      </c>
      <c r="T1049" s="65">
        <f>IFERROR(__xludf.DUMMYFUNCTION("""COMPUTED_VALUE"""),5.84)</f>
        <v>5.84</v>
      </c>
      <c r="U1049" s="65">
        <f>IFERROR(__xludf.DUMMYFUNCTION("""COMPUTED_VALUE"""),0.0)</f>
        <v>0</v>
      </c>
      <c r="V1049" s="65">
        <f>IFERROR(__xludf.DUMMYFUNCTION("""COMPUTED_VALUE"""),0.0)</f>
        <v>0</v>
      </c>
      <c r="W1049" s="65">
        <f>IFERROR(__xludf.DUMMYFUNCTION("""COMPUTED_VALUE"""),0.0)</f>
        <v>0</v>
      </c>
      <c r="X1049" s="65">
        <f>IFERROR(__xludf.DUMMYFUNCTION("""COMPUTED_VALUE"""),2.6)</f>
        <v>2.6</v>
      </c>
      <c r="Y1049" s="65">
        <f>IFERROR(__xludf.DUMMYFUNCTION("""COMPUTED_VALUE"""),5.2)</f>
        <v>5.2</v>
      </c>
      <c r="Z1049" s="65">
        <f>IFERROR(__xludf.DUMMYFUNCTION("""COMPUTED_VALUE"""),121983.0)</f>
        <v>121983</v>
      </c>
      <c r="AA1049" s="65" t="str">
        <f>IFERROR(__xludf.DUMMYFUNCTION("""COMPUTED_VALUE"""),"PROV-CHLLCF")</f>
        <v>PROV-CHLLCF</v>
      </c>
      <c r="AB1049" s="65"/>
      <c r="AC1049" s="65" t="str">
        <f>IFERROR(__xludf.DUMMYFUNCTION("""COMPUTED_VALUE"""),"CUCHILLO PARA CHEF")</f>
        <v>CUCHILLO PARA CHEF</v>
      </c>
      <c r="AD1049" s="65"/>
      <c r="AE1049" s="65">
        <f>IFERROR(__xludf.DUMMYFUNCTION("""COMPUTED_VALUE"""),2.0)</f>
        <v>2</v>
      </c>
      <c r="AF1049" s="65" t="str">
        <f>IFERROR(__xludf.DUMMYFUNCTION("""COMPUTED_VALUE"""),"DESTINATARIO NO CONTESTA LLAMADAS NI WHATSAPP")</f>
        <v>DESTINATARIO NO CONTESTA LLAMADAS NI WHATSAPP</v>
      </c>
      <c r="AG1049" s="65" t="str">
        <f>IFERROR(__xludf.DUMMYFUNCTION("""COMPUTED_VALUE"""),"NO")</f>
        <v>NO</v>
      </c>
      <c r="AH1049" s="65" t="str">
        <f>IFERROR(__xludf.DUMMYFUNCTION("""COMPUTED_VALUE"""),"15:53")</f>
        <v>15:53</v>
      </c>
      <c r="AI1049" s="65" t="str">
        <f>IFERROR(__xludf.DUMMYFUNCTION("""COMPUTED_VALUE"""),"09-02-2026")</f>
        <v>09-02-2026</v>
      </c>
      <c r="AJ1049" s="65"/>
      <c r="AK1049" s="65"/>
      <c r="AL1049" s="65"/>
      <c r="AM1049" s="65"/>
      <c r="AN1049" s="65" t="str">
        <f>IFERROR(__xludf.DUMMYFUNCTION("""COMPUTED_VALUE"""),"10:50")</f>
        <v>10:50</v>
      </c>
      <c r="AO1049" s="65" t="str">
        <f>IFERROR(__xludf.DUMMYFUNCTION("""COMPUTED_VALUE"""),"10-02-2026")</f>
        <v>10-02-2026</v>
      </c>
      <c r="AP1049" s="65" t="str">
        <f>IFERROR(__xludf.DUMMYFUNCTION("""COMPUTED_VALUE"""),"ENTREGADA GINTRACOM")</f>
        <v>ENTREGADA GINTRACOM</v>
      </c>
      <c r="AQ1049" s="65" t="str">
        <f>IFERROR(__xludf.DUMMYFUNCTION("""COMPUTED_VALUE"""),"ENTREGADA GINTRACOM")</f>
        <v>ENTREGADA GINTRACOM</v>
      </c>
      <c r="AR1049" s="65"/>
      <c r="AS1049" s="65"/>
      <c r="AT1049" s="65" t="str">
        <f>IFERROR(__xludf.DUMMYFUNCTION("""COMPUTED_VALUE"""),"SHOPIFY")</f>
        <v>SHOPIFY</v>
      </c>
      <c r="AU1049" s="65" t="str">
        <f>IFERROR(__xludf.DUMMYFUNCTION("""COMPUTED_VALUE"""),"IMPORTEX EC")</f>
        <v>IMPORTEX EC</v>
      </c>
      <c r="AV1049" s="65" t="str">
        <f>IFERROR(__xludf.DUMMYFUNCTION("""COMPUTED_VALUE"""),"6481802657836")</f>
        <v>6481802657836</v>
      </c>
      <c r="AW1049" s="65">
        <f>IFERROR(__xludf.DUMMYFUNCTION("""COMPUTED_VALUE"""),5870.0)</f>
        <v>5870</v>
      </c>
      <c r="AX1049" s="65"/>
      <c r="AY1049" s="65" t="str">
        <f>IFERROR(__xludf.DUMMYFUNCTION("""COMPUTED_VALUE"""),"07/02/2026")</f>
        <v>07/02/2026</v>
      </c>
      <c r="AZ1049" s="65"/>
      <c r="BA1049" s="65"/>
    </row>
    <row r="1050">
      <c r="A1050" s="65" t="str">
        <f>IFERROR(__xludf.DUMMYFUNCTION("""COMPUTED_VALUE"""),"27-03-2026")</f>
        <v>27-03-2026</v>
      </c>
      <c r="B1050" s="65">
        <f>IFERROR(__xludf.DUMMYFUNCTION("""COMPUTED_VALUE"""),4418658.0)</f>
        <v>4418658</v>
      </c>
      <c r="C1050" s="65" t="str">
        <f>IFERROR(__xludf.DUMMYFUNCTION("""COMPUTED_VALUE"""),"12:06")</f>
        <v>12:06</v>
      </c>
      <c r="D1050" s="65" t="str">
        <f>IFERROR(__xludf.DUMMYFUNCTION("""COMPUTED_VALUE"""),"06-02-2026")</f>
        <v>06-02-2026</v>
      </c>
      <c r="E1050" s="65" t="str">
        <f>IFERROR(__xludf.DUMMYFUNCTION("""COMPUTED_VALUE"""),"Norma Vera Zambrano")</f>
        <v>Norma Vera Zambrano</v>
      </c>
      <c r="F1050" s="65" t="str">
        <f>IFERROR(__xludf.DUMMYFUNCTION("""COMPUTED_VALUE"""),"969236976")</f>
        <v>969236976</v>
      </c>
      <c r="G1050" s="65"/>
      <c r="H1050" s="65"/>
      <c r="I1050" s="65"/>
      <c r="J1050" s="65"/>
      <c r="K1050" s="65" t="str">
        <f>IFERROR(__xludf.DUMMYFUNCTION("""COMPUTED_VALUE"""),"PENDIENTE CONFIRMACION")</f>
        <v>PENDIENTE CONFIRMACION</v>
      </c>
      <c r="L1050" s="65" t="str">
        <f>IFERROR(__xludf.DUMMYFUNCTION("""COMPUTED_VALUE"""),"CON RECAUDO")</f>
        <v>CON RECAUDO</v>
      </c>
      <c r="M1050" s="65" t="str">
        <f>IFERROR(__xludf.DUMMYFUNCTION("""COMPUTED_VALUE"""),"LOS RIOS")</f>
        <v>LOS RIOS</v>
      </c>
      <c r="N1050" s="65" t="str">
        <f>IFERROR(__xludf.DUMMYFUNCTION("""COMPUTED_VALUE"""),"BABAHOYO")</f>
        <v>BABAHOYO</v>
      </c>
      <c r="O1050" s="65" t="str">
        <f>IFERROR(__xludf.DUMMYFUNCTION("""COMPUTED_VALUE"""),"Ciudadela puerta negra sector nuevo babahoyo entrando por la última entrada de nuevo babahoyo en el cuarto callejón dónde está uvicada la antena de claro  -")</f>
        <v>Ciudadela puerta negra sector nuevo babahoyo entrando por la última entrada de nuevo babahoyo en el cuarto callejón dónde está uvicada la antena de claro  -</v>
      </c>
      <c r="P1050" s="65" t="str">
        <f>IFERROR(__xludf.DUMMYFUNCTION("""COMPUTED_VALUE"""),"CUCHILLO PARA CHEF: Default Title ***")</f>
        <v>CUCHILLO PARA CHEF: Default Title ***</v>
      </c>
      <c r="Q1050" s="65" t="str">
        <f>IFERROR(__xludf.DUMMYFUNCTION("""COMPUTED_VALUE"""),"GINTRACOM")</f>
        <v>GINTRACOM</v>
      </c>
      <c r="R1050" s="65">
        <f>IFERROR(__xludf.DUMMYFUNCTION("""COMPUTED_VALUE"""),21.99)</f>
        <v>21.99</v>
      </c>
      <c r="S1050" s="65"/>
      <c r="T1050" s="65">
        <f>IFERROR(__xludf.DUMMYFUNCTION("""COMPUTED_VALUE"""),5.84)</f>
        <v>5.84</v>
      </c>
      <c r="U1050" s="65">
        <f>IFERROR(__xludf.DUMMYFUNCTION("""COMPUTED_VALUE"""),0.0)</f>
        <v>0</v>
      </c>
      <c r="V1050" s="65">
        <f>IFERROR(__xludf.DUMMYFUNCTION("""COMPUTED_VALUE"""),0.0)</f>
        <v>0</v>
      </c>
      <c r="W1050" s="65">
        <f>IFERROR(__xludf.DUMMYFUNCTION("""COMPUTED_VALUE"""),0.0)</f>
        <v>0</v>
      </c>
      <c r="X1050" s="65">
        <f>IFERROR(__xludf.DUMMYFUNCTION("""COMPUTED_VALUE"""),2.6)</f>
        <v>2.6</v>
      </c>
      <c r="Y1050" s="65">
        <f>IFERROR(__xludf.DUMMYFUNCTION("""COMPUTED_VALUE"""),2.6)</f>
        <v>2.6</v>
      </c>
      <c r="Z1050" s="65">
        <f>IFERROR(__xludf.DUMMYFUNCTION("""COMPUTED_VALUE"""),121983.0)</f>
        <v>121983</v>
      </c>
      <c r="AA1050" s="65" t="str">
        <f>IFERROR(__xludf.DUMMYFUNCTION("""COMPUTED_VALUE"""),"PROV-CHLLCF")</f>
        <v>PROV-CHLLCF</v>
      </c>
      <c r="AB1050" s="65"/>
      <c r="AC1050" s="65" t="str">
        <f>IFERROR(__xludf.DUMMYFUNCTION("""COMPUTED_VALUE"""),"CUCHILLO PARA CHEF")</f>
        <v>CUCHILLO PARA CHEF</v>
      </c>
      <c r="AD1050" s="65"/>
      <c r="AE1050" s="65">
        <f>IFERROR(__xludf.DUMMYFUNCTION("""COMPUTED_VALUE"""),1.0)</f>
        <v>1</v>
      </c>
      <c r="AF1050" s="65"/>
      <c r="AG1050" s="65"/>
      <c r="AH1050" s="65"/>
      <c r="AI1050" s="65"/>
      <c r="AJ1050" s="65"/>
      <c r="AK1050" s="65"/>
      <c r="AL1050" s="65"/>
      <c r="AM1050" s="65"/>
      <c r="AN1050" s="65"/>
      <c r="AO1050" s="65"/>
      <c r="AP1050" s="65"/>
      <c r="AQ1050" s="65"/>
      <c r="AR1050" s="65"/>
      <c r="AS1050" s="65"/>
      <c r="AT1050" s="65" t="str">
        <f>IFERROR(__xludf.DUMMYFUNCTION("""COMPUTED_VALUE"""),"SHOPIFY")</f>
        <v>SHOPIFY</v>
      </c>
      <c r="AU1050" s="65" t="str">
        <f>IFERROR(__xludf.DUMMYFUNCTION("""COMPUTED_VALUE"""),"IMPORTEX EC")</f>
        <v>IMPORTEX EC</v>
      </c>
      <c r="AV1050" s="65" t="str">
        <f>IFERROR(__xludf.DUMMYFUNCTION("""COMPUTED_VALUE"""),"6481830641708")</f>
        <v>6481830641708</v>
      </c>
      <c r="AW1050" s="65">
        <f>IFERROR(__xludf.DUMMYFUNCTION("""COMPUTED_VALUE"""),5871.0)</f>
        <v>5871</v>
      </c>
      <c r="AX1050" s="65"/>
      <c r="AY1050" s="65"/>
      <c r="AZ1050" s="65"/>
      <c r="BA1050" s="65"/>
    </row>
    <row r="1051">
      <c r="A1051" s="65" t="str">
        <f>IFERROR(__xludf.DUMMYFUNCTION("""COMPUTED_VALUE"""),"27-03-2026")</f>
        <v>27-03-2026</v>
      </c>
      <c r="B1051" s="65">
        <f>IFERROR(__xludf.DUMMYFUNCTION("""COMPUTED_VALUE"""),4418656.0)</f>
        <v>4418656</v>
      </c>
      <c r="C1051" s="65" t="str">
        <f>IFERROR(__xludf.DUMMYFUNCTION("""COMPUTED_VALUE"""),"12:06")</f>
        <v>12:06</v>
      </c>
      <c r="D1051" s="65" t="str">
        <f>IFERROR(__xludf.DUMMYFUNCTION("""COMPUTED_VALUE"""),"06-02-2026")</f>
        <v>06-02-2026</v>
      </c>
      <c r="E1051" s="65" t="str">
        <f>IFERROR(__xludf.DUMMYFUNCTION("""COMPUTED_VALUE"""),"Lucia Morales")</f>
        <v>Lucia Morales</v>
      </c>
      <c r="F1051" s="65" t="str">
        <f>IFERROR(__xludf.DUMMYFUNCTION("""COMPUTED_VALUE"""),"963637701")</f>
        <v>963637701</v>
      </c>
      <c r="G1051" s="65" t="str">
        <f>IFERROR(__xludf.DUMMYFUNCTION("""COMPUTED_VALUE"""),"luciamchef@gmail.com")</f>
        <v>luciamchef@gmail.com</v>
      </c>
      <c r="H1051" s="65"/>
      <c r="I1051" s="65"/>
      <c r="J1051" s="65" t="str">
        <f>IFERROR(__xludf.DUMMYFUNCTION("""COMPUTED_VALUE"""),"D001303441")</f>
        <v>D001303441</v>
      </c>
      <c r="K1051" s="65" t="str">
        <f>IFERROR(__xludf.DUMMYFUNCTION("""COMPUTED_VALUE"""),"ENTREGADO")</f>
        <v>ENTREGADO</v>
      </c>
      <c r="L1051" s="65" t="str">
        <f>IFERROR(__xludf.DUMMYFUNCTION("""COMPUTED_VALUE"""),"CON RECAUDO")</f>
        <v>CON RECAUDO</v>
      </c>
      <c r="M1051" s="65" t="str">
        <f>IFERROR(__xludf.DUMMYFUNCTION("""COMPUTED_VALUE"""),"PICHINCHA")</f>
        <v>PICHINCHA</v>
      </c>
      <c r="N1051" s="65" t="str">
        <f>IFERROR(__xludf.DUMMYFUNCTION("""COMPUTED_VALUE"""),"QUITO")</f>
        <v>QUITO</v>
      </c>
      <c r="O1051" s="65" t="str">
        <f>IFERROR(__xludf.DUMMYFUNCTION("""COMPUTED_VALUE"""),"Av 6 de Diciembre y Av Gaspar de Villarroel Edificio Torre Solari piso 21 dpto 21D -")</f>
        <v>Av 6 de Diciembre y Av Gaspar de Villarroel Edificio Torre Solari piso 21 dpto 21D -</v>
      </c>
      <c r="P1051" s="65"/>
      <c r="Q1051" s="65" t="str">
        <f>IFERROR(__xludf.DUMMYFUNCTION("""COMPUTED_VALUE"""),"GINTRACOM")</f>
        <v>GINTRACOM</v>
      </c>
      <c r="R1051" s="65">
        <f>IFERROR(__xludf.DUMMYFUNCTION("""COMPUTED_VALUE"""),20.0)</f>
        <v>20</v>
      </c>
      <c r="S1051" s="65">
        <f>IFERROR(__xludf.DUMMYFUNCTION("""COMPUTED_VALUE"""),12.04)</f>
        <v>12.04</v>
      </c>
      <c r="T1051" s="65">
        <f>IFERROR(__xludf.DUMMYFUNCTION("""COMPUTED_VALUE"""),5.76)</f>
        <v>5.76</v>
      </c>
      <c r="U1051" s="65">
        <f>IFERROR(__xludf.DUMMYFUNCTION("""COMPUTED_VALUE"""),0.0)</f>
        <v>0</v>
      </c>
      <c r="V1051" s="65">
        <f>IFERROR(__xludf.DUMMYFUNCTION("""COMPUTED_VALUE"""),0.0)</f>
        <v>0</v>
      </c>
      <c r="W1051" s="65">
        <f>IFERROR(__xludf.DUMMYFUNCTION("""COMPUTED_VALUE"""),0.0)</f>
        <v>0</v>
      </c>
      <c r="X1051" s="65">
        <f>IFERROR(__xludf.DUMMYFUNCTION("""COMPUTED_VALUE"""),2.2)</f>
        <v>2.2</v>
      </c>
      <c r="Y1051" s="65">
        <f>IFERROR(__xludf.DUMMYFUNCTION("""COMPUTED_VALUE"""),2.2)</f>
        <v>2.2</v>
      </c>
      <c r="Z1051" s="65">
        <f>IFERROR(__xludf.DUMMYFUNCTION("""COMPUTED_VALUE"""),111894.0)</f>
        <v>111894</v>
      </c>
      <c r="AA1051" s="65" t="str">
        <f>IFERROR(__xludf.DUMMYFUNCTION("""COMPUTED_VALUE"""),"LYIC5M40067")</f>
        <v>LYIC5M40067</v>
      </c>
      <c r="AB1051" s="65"/>
      <c r="AC1051" s="65" t="str">
        <f>IFERROR(__xludf.DUMMYFUNCTION("""COMPUTED_VALUE"""),"Limpiador de Parabrisas y Ventanas")</f>
        <v>Limpiador de Parabrisas y Ventanas</v>
      </c>
      <c r="AD1051" s="65"/>
      <c r="AE1051" s="65">
        <f>IFERROR(__xludf.DUMMYFUNCTION("""COMPUTED_VALUE"""),1.0)</f>
        <v>1</v>
      </c>
      <c r="AF1051" s="65"/>
      <c r="AG1051" s="65"/>
      <c r="AH1051" s="65"/>
      <c r="AI1051" s="65"/>
      <c r="AJ1051" s="65"/>
      <c r="AK1051" s="65"/>
      <c r="AL1051" s="65"/>
      <c r="AM1051" s="65"/>
      <c r="AN1051" s="65" t="str">
        <f>IFERROR(__xludf.DUMMYFUNCTION("""COMPUTED_VALUE"""),"15:48")</f>
        <v>15:48</v>
      </c>
      <c r="AO1051" s="65" t="str">
        <f>IFERROR(__xludf.DUMMYFUNCTION("""COMPUTED_VALUE"""),"09-02-2026")</f>
        <v>09-02-2026</v>
      </c>
      <c r="AP1051" s="65" t="str">
        <f>IFERROR(__xludf.DUMMYFUNCTION("""COMPUTED_VALUE"""),"ENTREGADA GINTRACOM")</f>
        <v>ENTREGADA GINTRACOM</v>
      </c>
      <c r="AQ1051" s="65" t="str">
        <f>IFERROR(__xludf.DUMMYFUNCTION("""COMPUTED_VALUE"""),"ENTREGADA GINTRACOM")</f>
        <v>ENTREGADA GINTRACOM</v>
      </c>
      <c r="AR1051" s="65"/>
      <c r="AS1051" s="65"/>
      <c r="AT1051" s="65" t="str">
        <f>IFERROR(__xludf.DUMMYFUNCTION("""COMPUTED_VALUE"""),"SHOPIFY")</f>
        <v>SHOPIFY</v>
      </c>
      <c r="AU1051" s="65" t="str">
        <f>IFERROR(__xludf.DUMMYFUNCTION("""COMPUTED_VALUE"""),"IMPORTEX EC")</f>
        <v>IMPORTEX EC</v>
      </c>
      <c r="AV1051" s="65" t="str">
        <f>IFERROR(__xludf.DUMMYFUNCTION("""COMPUTED_VALUE"""),"6482006638636")</f>
        <v>6482006638636</v>
      </c>
      <c r="AW1051" s="65">
        <f>IFERROR(__xludf.DUMMYFUNCTION("""COMPUTED_VALUE"""),5872.0)</f>
        <v>5872</v>
      </c>
      <c r="AX1051" s="65"/>
      <c r="AY1051" s="65" t="str">
        <f>IFERROR(__xludf.DUMMYFUNCTION("""COMPUTED_VALUE"""),"06/02/2026")</f>
        <v>06/02/2026</v>
      </c>
      <c r="AZ1051" s="65"/>
      <c r="BA1051" s="65"/>
    </row>
    <row r="1052">
      <c r="A1052" s="65" t="str">
        <f>IFERROR(__xludf.DUMMYFUNCTION("""COMPUTED_VALUE"""),"27-03-2026")</f>
        <v>27-03-2026</v>
      </c>
      <c r="B1052" s="65">
        <f>IFERROR(__xludf.DUMMYFUNCTION("""COMPUTED_VALUE"""),4418651.0)</f>
        <v>4418651</v>
      </c>
      <c r="C1052" s="65" t="str">
        <f>IFERROR(__xludf.DUMMYFUNCTION("""COMPUTED_VALUE"""),"12:06")</f>
        <v>12:06</v>
      </c>
      <c r="D1052" s="65" t="str">
        <f>IFERROR(__xludf.DUMMYFUNCTION("""COMPUTED_VALUE"""),"06-02-2026")</f>
        <v>06-02-2026</v>
      </c>
      <c r="E1052" s="65" t="str">
        <f>IFERROR(__xludf.DUMMYFUNCTION("""COMPUTED_VALUE"""),"Shirley Moreira")</f>
        <v>Shirley Moreira</v>
      </c>
      <c r="F1052" s="65" t="str">
        <f>IFERROR(__xludf.DUMMYFUNCTION("""COMPUTED_VALUE"""),"985220404")</f>
        <v>985220404</v>
      </c>
      <c r="G1052" s="65" t="str">
        <f>IFERROR(__xludf.DUMMYFUNCTION("""COMPUTED_VALUE"""),"smoreiran@gmail.com")</f>
        <v>smoreiran@gmail.com</v>
      </c>
      <c r="H1052" s="65"/>
      <c r="I1052" s="65"/>
      <c r="J1052" s="65" t="str">
        <f>IFERROR(__xludf.DUMMYFUNCTION("""COMPUTED_VALUE"""),"D001303442")</f>
        <v>D001303442</v>
      </c>
      <c r="K1052" s="65" t="str">
        <f>IFERROR(__xludf.DUMMYFUNCTION("""COMPUTED_VALUE"""),"ENTREGADO")</f>
        <v>ENTREGADO</v>
      </c>
      <c r="L1052" s="65" t="str">
        <f>IFERROR(__xludf.DUMMYFUNCTION("""COMPUTED_VALUE"""),"CON RECAUDO")</f>
        <v>CON RECAUDO</v>
      </c>
      <c r="M1052" s="65" t="str">
        <f>IFERROR(__xludf.DUMMYFUNCTION("""COMPUTED_VALUE"""),"GUAYAS")</f>
        <v>GUAYAS</v>
      </c>
      <c r="N1052" s="65" t="str">
        <f>IFERROR(__xludf.DUMMYFUNCTION("""COMPUTED_VALUE"""),"GUAYAQUIL")</f>
        <v>GUAYAQUIL</v>
      </c>
      <c r="O1052" s="65" t="str">
        <f>IFERROR(__xludf.DUMMYFUNCTION("""COMPUTED_VALUE"""),"Jorge maldonado renella y costanera Cdla el prado - Mz 1 V 4 por el centro médico alianza - Entrando por el lado del al frente de la cruz azul, en la tercera peatonal con rejas doradas")</f>
        <v>Jorge maldonado renella y costanera Cdla el prado - Mz 1 V 4 por el centro médico alianza - Entrando por el lado del al frente de la cruz azul, en la tercera peatonal con rejas doradas</v>
      </c>
      <c r="P1052" s="65"/>
      <c r="Q1052" s="65" t="str">
        <f>IFERROR(__xludf.DUMMYFUNCTION("""COMPUTED_VALUE"""),"GINTRACOM")</f>
        <v>GINTRACOM</v>
      </c>
      <c r="R1052" s="65">
        <f>IFERROR(__xludf.DUMMYFUNCTION("""COMPUTED_VALUE"""),20.0)</f>
        <v>20</v>
      </c>
      <c r="S1052" s="65">
        <f>IFERROR(__xludf.DUMMYFUNCTION("""COMPUTED_VALUE"""),13.65)</f>
        <v>13.65</v>
      </c>
      <c r="T1052" s="65">
        <f>IFERROR(__xludf.DUMMYFUNCTION("""COMPUTED_VALUE"""),4.15)</f>
        <v>4.15</v>
      </c>
      <c r="U1052" s="65">
        <f>IFERROR(__xludf.DUMMYFUNCTION("""COMPUTED_VALUE"""),0.0)</f>
        <v>0</v>
      </c>
      <c r="V1052" s="65">
        <f>IFERROR(__xludf.DUMMYFUNCTION("""COMPUTED_VALUE"""),0.0)</f>
        <v>0</v>
      </c>
      <c r="W1052" s="65">
        <f>IFERROR(__xludf.DUMMYFUNCTION("""COMPUTED_VALUE"""),0.0)</f>
        <v>0</v>
      </c>
      <c r="X1052" s="65">
        <f>IFERROR(__xludf.DUMMYFUNCTION("""COMPUTED_VALUE"""),2.2)</f>
        <v>2.2</v>
      </c>
      <c r="Y1052" s="65">
        <f>IFERROR(__xludf.DUMMYFUNCTION("""COMPUTED_VALUE"""),2.2)</f>
        <v>2.2</v>
      </c>
      <c r="Z1052" s="65">
        <f>IFERROR(__xludf.DUMMYFUNCTION("""COMPUTED_VALUE"""),111894.0)</f>
        <v>111894</v>
      </c>
      <c r="AA1052" s="65" t="str">
        <f>IFERROR(__xludf.DUMMYFUNCTION("""COMPUTED_VALUE"""),"LYIC5M40067")</f>
        <v>LYIC5M40067</v>
      </c>
      <c r="AB1052" s="65"/>
      <c r="AC1052" s="65" t="str">
        <f>IFERROR(__xludf.DUMMYFUNCTION("""COMPUTED_VALUE"""),"Limpiador de Parabrisas y Ventanas")</f>
        <v>Limpiador de Parabrisas y Ventanas</v>
      </c>
      <c r="AD1052" s="65"/>
      <c r="AE1052" s="65">
        <f>IFERROR(__xludf.DUMMYFUNCTION("""COMPUTED_VALUE"""),1.0)</f>
        <v>1</v>
      </c>
      <c r="AF1052" s="65"/>
      <c r="AG1052" s="65"/>
      <c r="AH1052" s="65"/>
      <c r="AI1052" s="65"/>
      <c r="AJ1052" s="65"/>
      <c r="AK1052" s="65"/>
      <c r="AL1052" s="65"/>
      <c r="AM1052" s="65"/>
      <c r="AN1052" s="65" t="str">
        <f>IFERROR(__xludf.DUMMYFUNCTION("""COMPUTED_VALUE"""),"14:51")</f>
        <v>14:51</v>
      </c>
      <c r="AO1052" s="65" t="str">
        <f>IFERROR(__xludf.DUMMYFUNCTION("""COMPUTED_VALUE"""),"10-02-2026")</f>
        <v>10-02-2026</v>
      </c>
      <c r="AP1052" s="65" t="str">
        <f>IFERROR(__xludf.DUMMYFUNCTION("""COMPUTED_VALUE"""),"ENTREGADA GINTRACOM")</f>
        <v>ENTREGADA GINTRACOM</v>
      </c>
      <c r="AQ1052" s="65" t="str">
        <f>IFERROR(__xludf.DUMMYFUNCTION("""COMPUTED_VALUE"""),"ENTREGADA GINTRACOM")</f>
        <v>ENTREGADA GINTRACOM</v>
      </c>
      <c r="AR1052" s="65"/>
      <c r="AS1052" s="65"/>
      <c r="AT1052" s="65" t="str">
        <f>IFERROR(__xludf.DUMMYFUNCTION("""COMPUTED_VALUE"""),"SHOPIFY")</f>
        <v>SHOPIFY</v>
      </c>
      <c r="AU1052" s="65" t="str">
        <f>IFERROR(__xludf.DUMMYFUNCTION("""COMPUTED_VALUE"""),"IMPORTEX EC")</f>
        <v>IMPORTEX EC</v>
      </c>
      <c r="AV1052" s="65" t="str">
        <f>IFERROR(__xludf.DUMMYFUNCTION("""COMPUTED_VALUE"""),"6482091606060")</f>
        <v>6482091606060</v>
      </c>
      <c r="AW1052" s="65">
        <f>IFERROR(__xludf.DUMMYFUNCTION("""COMPUTED_VALUE"""),5873.0)</f>
        <v>5873</v>
      </c>
      <c r="AX1052" s="65"/>
      <c r="AY1052" s="65" t="str">
        <f>IFERROR(__xludf.DUMMYFUNCTION("""COMPUTED_VALUE"""),"06/02/2026")</f>
        <v>06/02/2026</v>
      </c>
      <c r="AZ1052" s="65"/>
      <c r="BA1052" s="65"/>
    </row>
    <row r="1053">
      <c r="A1053" s="65" t="str">
        <f>IFERROR(__xludf.DUMMYFUNCTION("""COMPUTED_VALUE"""),"27-03-2026")</f>
        <v>27-03-2026</v>
      </c>
      <c r="B1053" s="65">
        <f>IFERROR(__xludf.DUMMYFUNCTION("""COMPUTED_VALUE"""),4418649.0)</f>
        <v>4418649</v>
      </c>
      <c r="C1053" s="65" t="str">
        <f>IFERROR(__xludf.DUMMYFUNCTION("""COMPUTED_VALUE"""),"12:05")</f>
        <v>12:05</v>
      </c>
      <c r="D1053" s="65" t="str">
        <f>IFERROR(__xludf.DUMMYFUNCTION("""COMPUTED_VALUE"""),"06-02-2026")</f>
        <v>06-02-2026</v>
      </c>
      <c r="E1053" s="65" t="str">
        <f>IFERROR(__xludf.DUMMYFUNCTION("""COMPUTED_VALUE"""),"Lissette Machare")</f>
        <v>Lissette Machare</v>
      </c>
      <c r="F1053" s="65" t="str">
        <f>IFERROR(__xludf.DUMMYFUNCTION("""COMPUTED_VALUE"""),"958638927")</f>
        <v>958638927</v>
      </c>
      <c r="G1053" s="65" t="str">
        <f>IFERROR(__xludf.DUMMYFUNCTION("""COMPUTED_VALUE"""),"joyli2040@hotmail.com")</f>
        <v>joyli2040@hotmail.com</v>
      </c>
      <c r="H1053" s="65"/>
      <c r="I1053" s="65"/>
      <c r="J1053" s="65" t="str">
        <f>IFERROR(__xludf.DUMMYFUNCTION("""COMPUTED_VALUE"""),"D001303443")</f>
        <v>D001303443</v>
      </c>
      <c r="K1053" s="65" t="str">
        <f>IFERROR(__xludf.DUMMYFUNCTION("""COMPUTED_VALUE"""),"ENTREGADO")</f>
        <v>ENTREGADO</v>
      </c>
      <c r="L1053" s="65" t="str">
        <f>IFERROR(__xludf.DUMMYFUNCTION("""COMPUTED_VALUE"""),"CON RECAUDO")</f>
        <v>CON RECAUDO</v>
      </c>
      <c r="M1053" s="65" t="str">
        <f>IFERROR(__xludf.DUMMYFUNCTION("""COMPUTED_VALUE"""),"GUAYAS")</f>
        <v>GUAYAS</v>
      </c>
      <c r="N1053" s="65" t="str">
        <f>IFERROR(__xludf.DUMMYFUNCTION("""COMPUTED_VALUE"""),"GUAYAQUIL")</f>
        <v>GUAYAQUIL</v>
      </c>
      <c r="O1053" s="65" t="str">
        <f>IFERROR(__xludf.DUMMYFUNCTION("""COMPUTED_VALUE"""),"Avenida Francisco de Orellana Talleres - Alborada Decima, etapa manzana 407, Villa ocho - Como referencia por atrás del centro comercial la rotonda")</f>
        <v>Avenida Francisco de Orellana Talleres - Alborada Decima, etapa manzana 407, Villa ocho - Como referencia por atrás del centro comercial la rotonda</v>
      </c>
      <c r="P1053" s="65"/>
      <c r="Q1053" s="65" t="str">
        <f>IFERROR(__xludf.DUMMYFUNCTION("""COMPUTED_VALUE"""),"GINTRACOM")</f>
        <v>GINTRACOM</v>
      </c>
      <c r="R1053" s="65">
        <f>IFERROR(__xludf.DUMMYFUNCTION("""COMPUTED_VALUE"""),20.0)</f>
        <v>20</v>
      </c>
      <c r="S1053" s="65">
        <f>IFERROR(__xludf.DUMMYFUNCTION("""COMPUTED_VALUE"""),13.65)</f>
        <v>13.65</v>
      </c>
      <c r="T1053" s="65">
        <f>IFERROR(__xludf.DUMMYFUNCTION("""COMPUTED_VALUE"""),4.15)</f>
        <v>4.15</v>
      </c>
      <c r="U1053" s="65">
        <f>IFERROR(__xludf.DUMMYFUNCTION("""COMPUTED_VALUE"""),0.0)</f>
        <v>0</v>
      </c>
      <c r="V1053" s="65">
        <f>IFERROR(__xludf.DUMMYFUNCTION("""COMPUTED_VALUE"""),0.0)</f>
        <v>0</v>
      </c>
      <c r="W1053" s="65">
        <f>IFERROR(__xludf.DUMMYFUNCTION("""COMPUTED_VALUE"""),0.0)</f>
        <v>0</v>
      </c>
      <c r="X1053" s="65">
        <f>IFERROR(__xludf.DUMMYFUNCTION("""COMPUTED_VALUE"""),2.2)</f>
        <v>2.2</v>
      </c>
      <c r="Y1053" s="65">
        <f>IFERROR(__xludf.DUMMYFUNCTION("""COMPUTED_VALUE"""),2.2)</f>
        <v>2.2</v>
      </c>
      <c r="Z1053" s="65">
        <f>IFERROR(__xludf.DUMMYFUNCTION("""COMPUTED_VALUE"""),111894.0)</f>
        <v>111894</v>
      </c>
      <c r="AA1053" s="65" t="str">
        <f>IFERROR(__xludf.DUMMYFUNCTION("""COMPUTED_VALUE"""),"LYIC5M40067")</f>
        <v>LYIC5M40067</v>
      </c>
      <c r="AB1053" s="65"/>
      <c r="AC1053" s="65" t="str">
        <f>IFERROR(__xludf.DUMMYFUNCTION("""COMPUTED_VALUE"""),"Limpiador de Parabrisas y Ventanas")</f>
        <v>Limpiador de Parabrisas y Ventanas</v>
      </c>
      <c r="AD1053" s="65"/>
      <c r="AE1053" s="65">
        <f>IFERROR(__xludf.DUMMYFUNCTION("""COMPUTED_VALUE"""),1.0)</f>
        <v>1</v>
      </c>
      <c r="AF1053" s="65"/>
      <c r="AG1053" s="65"/>
      <c r="AH1053" s="65"/>
      <c r="AI1053" s="65"/>
      <c r="AJ1053" s="65"/>
      <c r="AK1053" s="65"/>
      <c r="AL1053" s="65"/>
      <c r="AM1053" s="65"/>
      <c r="AN1053" s="65" t="str">
        <f>IFERROR(__xludf.DUMMYFUNCTION("""COMPUTED_VALUE"""),"12:05")</f>
        <v>12:05</v>
      </c>
      <c r="AO1053" s="65" t="str">
        <f>IFERROR(__xludf.DUMMYFUNCTION("""COMPUTED_VALUE"""),"10-02-2026")</f>
        <v>10-02-2026</v>
      </c>
      <c r="AP1053" s="65" t="str">
        <f>IFERROR(__xludf.DUMMYFUNCTION("""COMPUTED_VALUE"""),"ENTREGADA GINTRACOM")</f>
        <v>ENTREGADA GINTRACOM</v>
      </c>
      <c r="AQ1053" s="65" t="str">
        <f>IFERROR(__xludf.DUMMYFUNCTION("""COMPUTED_VALUE"""),"ENTREGADA GINTRACOM")</f>
        <v>ENTREGADA GINTRACOM</v>
      </c>
      <c r="AR1053" s="65"/>
      <c r="AS1053" s="65"/>
      <c r="AT1053" s="65" t="str">
        <f>IFERROR(__xludf.DUMMYFUNCTION("""COMPUTED_VALUE"""),"SHOPIFY")</f>
        <v>SHOPIFY</v>
      </c>
      <c r="AU1053" s="65" t="str">
        <f>IFERROR(__xludf.DUMMYFUNCTION("""COMPUTED_VALUE"""),"IMPORTEX EC")</f>
        <v>IMPORTEX EC</v>
      </c>
      <c r="AV1053" s="65" t="str">
        <f>IFERROR(__xludf.DUMMYFUNCTION("""COMPUTED_VALUE"""),"6482093703212")</f>
        <v>6482093703212</v>
      </c>
      <c r="AW1053" s="65">
        <f>IFERROR(__xludf.DUMMYFUNCTION("""COMPUTED_VALUE"""),5874.0)</f>
        <v>5874</v>
      </c>
      <c r="AX1053" s="65"/>
      <c r="AY1053" s="65" t="str">
        <f>IFERROR(__xludf.DUMMYFUNCTION("""COMPUTED_VALUE"""),"06/02/2026")</f>
        <v>06/02/2026</v>
      </c>
      <c r="AZ1053" s="65"/>
      <c r="BA1053" s="65"/>
    </row>
    <row r="1054">
      <c r="A1054" s="65" t="str">
        <f>IFERROR(__xludf.DUMMYFUNCTION("""COMPUTED_VALUE"""),"27-03-2026")</f>
        <v>27-03-2026</v>
      </c>
      <c r="B1054" s="65">
        <f>IFERROR(__xludf.DUMMYFUNCTION("""COMPUTED_VALUE"""),4418640.0)</f>
        <v>4418640</v>
      </c>
      <c r="C1054" s="65" t="str">
        <f>IFERROR(__xludf.DUMMYFUNCTION("""COMPUTED_VALUE"""),"12:05")</f>
        <v>12:05</v>
      </c>
      <c r="D1054" s="65" t="str">
        <f>IFERROR(__xludf.DUMMYFUNCTION("""COMPUTED_VALUE"""),"06-02-2026")</f>
        <v>06-02-2026</v>
      </c>
      <c r="E1054" s="65" t="str">
        <f>IFERROR(__xludf.DUMMYFUNCTION("""COMPUTED_VALUE"""),"Nelly Acosta")</f>
        <v>Nelly Acosta</v>
      </c>
      <c r="F1054" s="65" t="str">
        <f>IFERROR(__xludf.DUMMYFUNCTION("""COMPUTED_VALUE"""),"997506571")</f>
        <v>997506571</v>
      </c>
      <c r="G1054" s="65" t="str">
        <f>IFERROR(__xludf.DUMMYFUNCTION("""COMPUTED_VALUE"""),"nelly.luisana2007@gmail.com")</f>
        <v>nelly.luisana2007@gmail.com</v>
      </c>
      <c r="H1054" s="65"/>
      <c r="I1054" s="65"/>
      <c r="J1054" s="65" t="str">
        <f>IFERROR(__xludf.DUMMYFUNCTION("""COMPUTED_VALUE"""),"D001304723")</f>
        <v>D001304723</v>
      </c>
      <c r="K1054" s="65" t="str">
        <f>IFERROR(__xludf.DUMMYFUNCTION("""COMPUTED_VALUE"""),"ENTREGADO")</f>
        <v>ENTREGADO</v>
      </c>
      <c r="L1054" s="65" t="str">
        <f>IFERROR(__xludf.DUMMYFUNCTION("""COMPUTED_VALUE"""),"CON RECAUDO")</f>
        <v>CON RECAUDO</v>
      </c>
      <c r="M1054" s="65" t="str">
        <f>IFERROR(__xludf.DUMMYFUNCTION("""COMPUTED_VALUE"""),"EL ORO")</f>
        <v>EL ORO</v>
      </c>
      <c r="N1054" s="65" t="str">
        <f>IFERROR(__xludf.DUMMYFUNCTION("""COMPUTED_VALUE"""),"HUAQUILLAS")</f>
        <v>HUAQUILLAS</v>
      </c>
      <c r="O1054" s="65" t="str">
        <f>IFERROR(__xludf.DUMMYFUNCTION("""COMPUTED_VALUE"""),"Pasaje y 6 de Diciembre Martha Bucaram - En la esquina hay una librería JF se llama")</f>
        <v>Pasaje y 6 de Diciembre Martha Bucaram - En la esquina hay una librería JF se llama</v>
      </c>
      <c r="P1054" s="65"/>
      <c r="Q1054" s="65" t="str">
        <f>IFERROR(__xludf.DUMMYFUNCTION("""COMPUTED_VALUE"""),"GINTRACOM")</f>
        <v>GINTRACOM</v>
      </c>
      <c r="R1054" s="65">
        <f>IFERROR(__xludf.DUMMYFUNCTION("""COMPUTED_VALUE"""),22.0)</f>
        <v>22</v>
      </c>
      <c r="S1054" s="65">
        <f>IFERROR(__xludf.DUMMYFUNCTION("""COMPUTED_VALUE"""),10.96)</f>
        <v>10.96</v>
      </c>
      <c r="T1054" s="65">
        <f>IFERROR(__xludf.DUMMYFUNCTION("""COMPUTED_VALUE"""),5.84)</f>
        <v>5.84</v>
      </c>
      <c r="U1054" s="65">
        <f>IFERROR(__xludf.DUMMYFUNCTION("""COMPUTED_VALUE"""),0.0)</f>
        <v>0</v>
      </c>
      <c r="V1054" s="65">
        <f>IFERROR(__xludf.DUMMYFUNCTION("""COMPUTED_VALUE"""),0.0)</f>
        <v>0</v>
      </c>
      <c r="W1054" s="65">
        <f>IFERROR(__xludf.DUMMYFUNCTION("""COMPUTED_VALUE"""),0.0)</f>
        <v>0</v>
      </c>
      <c r="X1054" s="65">
        <f>IFERROR(__xludf.DUMMYFUNCTION("""COMPUTED_VALUE"""),2.6)</f>
        <v>2.6</v>
      </c>
      <c r="Y1054" s="65">
        <f>IFERROR(__xludf.DUMMYFUNCTION("""COMPUTED_VALUE"""),5.2)</f>
        <v>5.2</v>
      </c>
      <c r="Z1054" s="65">
        <f>IFERROR(__xludf.DUMMYFUNCTION("""COMPUTED_VALUE"""),121983.0)</f>
        <v>121983</v>
      </c>
      <c r="AA1054" s="65" t="str">
        <f>IFERROR(__xludf.DUMMYFUNCTION("""COMPUTED_VALUE"""),"PROV-CHLLCF")</f>
        <v>PROV-CHLLCF</v>
      </c>
      <c r="AB1054" s="65"/>
      <c r="AC1054" s="65" t="str">
        <f>IFERROR(__xludf.DUMMYFUNCTION("""COMPUTED_VALUE"""),"CUCHILLO PARA CHEF")</f>
        <v>CUCHILLO PARA CHEF</v>
      </c>
      <c r="AD1054" s="65"/>
      <c r="AE1054" s="65">
        <f>IFERROR(__xludf.DUMMYFUNCTION("""COMPUTED_VALUE"""),2.0)</f>
        <v>2</v>
      </c>
      <c r="AF1054" s="65"/>
      <c r="AG1054" s="65"/>
      <c r="AH1054" s="65"/>
      <c r="AI1054" s="65"/>
      <c r="AJ1054" s="65"/>
      <c r="AK1054" s="65"/>
      <c r="AL1054" s="65"/>
      <c r="AM1054" s="65"/>
      <c r="AN1054" s="65" t="str">
        <f>IFERROR(__xludf.DUMMYFUNCTION("""COMPUTED_VALUE"""),"23:00")</f>
        <v>23:00</v>
      </c>
      <c r="AO1054" s="65" t="str">
        <f>IFERROR(__xludf.DUMMYFUNCTION("""COMPUTED_VALUE"""),"09-02-2026")</f>
        <v>09-02-2026</v>
      </c>
      <c r="AP1054" s="65" t="str">
        <f>IFERROR(__xludf.DUMMYFUNCTION("""COMPUTED_VALUE"""),"ENTREGADA GINTRACOM")</f>
        <v>ENTREGADA GINTRACOM</v>
      </c>
      <c r="AQ1054" s="65" t="str">
        <f>IFERROR(__xludf.DUMMYFUNCTION("""COMPUTED_VALUE"""),"ENTREGADA GINTRACOM")</f>
        <v>ENTREGADA GINTRACOM</v>
      </c>
      <c r="AR1054" s="65"/>
      <c r="AS1054" s="65"/>
      <c r="AT1054" s="65" t="str">
        <f>IFERROR(__xludf.DUMMYFUNCTION("""COMPUTED_VALUE"""),"SHOPIFY")</f>
        <v>SHOPIFY</v>
      </c>
      <c r="AU1054" s="65" t="str">
        <f>IFERROR(__xludf.DUMMYFUNCTION("""COMPUTED_VALUE"""),"IMPORTEX EC")</f>
        <v>IMPORTEX EC</v>
      </c>
      <c r="AV1054" s="65" t="str">
        <f>IFERROR(__xludf.DUMMYFUNCTION("""COMPUTED_VALUE"""),"6482131583020")</f>
        <v>6482131583020</v>
      </c>
      <c r="AW1054" s="65">
        <f>IFERROR(__xludf.DUMMYFUNCTION("""COMPUTED_VALUE"""),5876.0)</f>
        <v>5876</v>
      </c>
      <c r="AX1054" s="65"/>
      <c r="AY1054" s="65" t="str">
        <f>IFERROR(__xludf.DUMMYFUNCTION("""COMPUTED_VALUE"""),"07/02/2026")</f>
        <v>07/02/2026</v>
      </c>
      <c r="AZ1054" s="65"/>
      <c r="BA1054" s="65"/>
    </row>
    <row r="1055">
      <c r="A1055" s="65" t="str">
        <f>IFERROR(__xludf.DUMMYFUNCTION("""COMPUTED_VALUE"""),"27-03-2026")</f>
        <v>27-03-2026</v>
      </c>
      <c r="B1055" s="65">
        <f>IFERROR(__xludf.DUMMYFUNCTION("""COMPUTED_VALUE"""),4418635.0)</f>
        <v>4418635</v>
      </c>
      <c r="C1055" s="65" t="str">
        <f>IFERROR(__xludf.DUMMYFUNCTION("""COMPUTED_VALUE"""),"12:05")</f>
        <v>12:05</v>
      </c>
      <c r="D1055" s="65" t="str">
        <f>IFERROR(__xludf.DUMMYFUNCTION("""COMPUTED_VALUE"""),"06-02-2026")</f>
        <v>06-02-2026</v>
      </c>
      <c r="E1055" s="65" t="str">
        <f>IFERROR(__xludf.DUMMYFUNCTION("""COMPUTED_VALUE"""),"Richard Benavides")</f>
        <v>Richard Benavides</v>
      </c>
      <c r="F1055" s="65" t="str">
        <f>IFERROR(__xludf.DUMMYFUNCTION("""COMPUTED_VALUE"""),"978800030")</f>
        <v>978800030</v>
      </c>
      <c r="G1055" s="65" t="str">
        <f>IFERROR(__xludf.DUMMYFUNCTION("""COMPUTED_VALUE"""),"benavidesrichard4@outlook.com")</f>
        <v>benavidesrichard4@outlook.com</v>
      </c>
      <c r="H1055" s="65"/>
      <c r="I1055" s="65"/>
      <c r="J1055" s="65"/>
      <c r="K1055" s="65" t="str">
        <f>IFERROR(__xludf.DUMMYFUNCTION("""COMPUTED_VALUE"""),"PENDIENTE CONFIRMACION")</f>
        <v>PENDIENTE CONFIRMACION</v>
      </c>
      <c r="L1055" s="65" t="str">
        <f>IFERROR(__xludf.DUMMYFUNCTION("""COMPUTED_VALUE"""),"CON RECAUDO")</f>
        <v>CON RECAUDO</v>
      </c>
      <c r="M1055" s="65" t="str">
        <f>IFERROR(__xludf.DUMMYFUNCTION("""COMPUTED_VALUE"""),"PICHINCHA")</f>
        <v>PICHINCHA</v>
      </c>
      <c r="N1055" s="65" t="str">
        <f>IFERROR(__xludf.DUMMYFUNCTION("""COMPUTED_VALUE"""),"QUITO")</f>
        <v>QUITO</v>
      </c>
      <c r="O1055" s="65" t="str">
        <f>IFERROR(__xludf.DUMMYFUNCTION("""COMPUTED_VALUE"""),"Eloy Alfaro Y Manuel Ambrosi Comité del pueblo -")</f>
        <v>Eloy Alfaro Y Manuel Ambrosi Comité del pueblo -</v>
      </c>
      <c r="P1055" s="65"/>
      <c r="Q1055" s="65" t="str">
        <f>IFERROR(__xludf.DUMMYFUNCTION("""COMPUTED_VALUE"""),"GINTRACOM")</f>
        <v>GINTRACOM</v>
      </c>
      <c r="R1055" s="65">
        <f>IFERROR(__xludf.DUMMYFUNCTION("""COMPUTED_VALUE"""),25.0)</f>
        <v>25</v>
      </c>
      <c r="S1055" s="65"/>
      <c r="T1055" s="65">
        <f>IFERROR(__xludf.DUMMYFUNCTION("""COMPUTED_VALUE"""),5.96)</f>
        <v>5.96</v>
      </c>
      <c r="U1055" s="65">
        <f>IFERROR(__xludf.DUMMYFUNCTION("""COMPUTED_VALUE"""),0.0)</f>
        <v>0</v>
      </c>
      <c r="V1055" s="65">
        <f>IFERROR(__xludf.DUMMYFUNCTION("""COMPUTED_VALUE"""),0.0)</f>
        <v>0</v>
      </c>
      <c r="W1055" s="65">
        <f>IFERROR(__xludf.DUMMYFUNCTION("""COMPUTED_VALUE"""),0.0)</f>
        <v>0</v>
      </c>
      <c r="X1055" s="65">
        <f>IFERROR(__xludf.DUMMYFUNCTION("""COMPUTED_VALUE"""),2.2)</f>
        <v>2.2</v>
      </c>
      <c r="Y1055" s="65">
        <f>IFERROR(__xludf.DUMMYFUNCTION("""COMPUTED_VALUE"""),4.4)</f>
        <v>4.4</v>
      </c>
      <c r="Z1055" s="65">
        <f>IFERROR(__xludf.DUMMYFUNCTION("""COMPUTED_VALUE"""),111894.0)</f>
        <v>111894</v>
      </c>
      <c r="AA1055" s="65" t="str">
        <f>IFERROR(__xludf.DUMMYFUNCTION("""COMPUTED_VALUE"""),"LYIC5M40067")</f>
        <v>LYIC5M40067</v>
      </c>
      <c r="AB1055" s="65"/>
      <c r="AC1055" s="65" t="str">
        <f>IFERROR(__xludf.DUMMYFUNCTION("""COMPUTED_VALUE"""),"Limpiador de Parabrisas y Ventanas")</f>
        <v>Limpiador de Parabrisas y Ventanas</v>
      </c>
      <c r="AD1055" s="65"/>
      <c r="AE1055" s="65">
        <f>IFERROR(__xludf.DUMMYFUNCTION("""COMPUTED_VALUE"""),2.0)</f>
        <v>2</v>
      </c>
      <c r="AF1055" s="65"/>
      <c r="AG1055" s="65"/>
      <c r="AH1055" s="65"/>
      <c r="AI1055" s="65"/>
      <c r="AJ1055" s="65"/>
      <c r="AK1055" s="65"/>
      <c r="AL1055" s="65"/>
      <c r="AM1055" s="65"/>
      <c r="AN1055" s="65"/>
      <c r="AO1055" s="65"/>
      <c r="AP1055" s="65"/>
      <c r="AQ1055" s="65"/>
      <c r="AR1055" s="65"/>
      <c r="AS1055" s="65"/>
      <c r="AT1055" s="65" t="str">
        <f>IFERROR(__xludf.DUMMYFUNCTION("""COMPUTED_VALUE"""),"SHOPIFY")</f>
        <v>SHOPIFY</v>
      </c>
      <c r="AU1055" s="65" t="str">
        <f>IFERROR(__xludf.DUMMYFUNCTION("""COMPUTED_VALUE"""),"IMPORTEX EC")</f>
        <v>IMPORTEX EC</v>
      </c>
      <c r="AV1055" s="65" t="str">
        <f>IFERROR(__xludf.DUMMYFUNCTION("""COMPUTED_VALUE"""),"6482191319084")</f>
        <v>6482191319084</v>
      </c>
      <c r="AW1055" s="65">
        <f>IFERROR(__xludf.DUMMYFUNCTION("""COMPUTED_VALUE"""),5877.0)</f>
        <v>5877</v>
      </c>
      <c r="AX1055" s="65"/>
      <c r="AY1055" s="65"/>
      <c r="AZ1055" s="65"/>
      <c r="BA1055" s="65"/>
    </row>
    <row r="1056">
      <c r="A1056" s="65" t="str">
        <f>IFERROR(__xludf.DUMMYFUNCTION("""COMPUTED_VALUE"""),"27-03-2026")</f>
        <v>27-03-2026</v>
      </c>
      <c r="B1056" s="65">
        <f>IFERROR(__xludf.DUMMYFUNCTION("""COMPUTED_VALUE"""),4418629.0)</f>
        <v>4418629</v>
      </c>
      <c r="C1056" s="65" t="str">
        <f>IFERROR(__xludf.DUMMYFUNCTION("""COMPUTED_VALUE"""),"12:05")</f>
        <v>12:05</v>
      </c>
      <c r="D1056" s="65" t="str">
        <f>IFERROR(__xludf.DUMMYFUNCTION("""COMPUTED_VALUE"""),"06-02-2026")</f>
        <v>06-02-2026</v>
      </c>
      <c r="E1056" s="65" t="str">
        <f>IFERROR(__xludf.DUMMYFUNCTION("""COMPUTED_VALUE"""),"Joner Barahona")</f>
        <v>Joner Barahona</v>
      </c>
      <c r="F1056" s="65" t="str">
        <f>IFERROR(__xludf.DUMMYFUNCTION("""COMPUTED_VALUE"""),"988123260")</f>
        <v>988123260</v>
      </c>
      <c r="G1056" s="65" t="str">
        <f>IFERROR(__xludf.DUMMYFUNCTION("""COMPUTED_VALUE"""),"jonerbarahona@hotmail.com")</f>
        <v>jonerbarahona@hotmail.com</v>
      </c>
      <c r="H1056" s="65"/>
      <c r="I1056" s="65"/>
      <c r="J1056" s="65" t="str">
        <f>IFERROR(__xludf.DUMMYFUNCTION("""COMPUTED_VALUE"""),"D001303444")</f>
        <v>D001303444</v>
      </c>
      <c r="K1056" s="65" t="str">
        <f>IFERROR(__xludf.DUMMYFUNCTION("""COMPUTED_VALUE"""),"ENTREGADO")</f>
        <v>ENTREGADO</v>
      </c>
      <c r="L1056" s="65" t="str">
        <f>IFERROR(__xludf.DUMMYFUNCTION("""COMPUTED_VALUE"""),"CON RECAUDO")</f>
        <v>CON RECAUDO</v>
      </c>
      <c r="M1056" s="65" t="str">
        <f>IFERROR(__xludf.DUMMYFUNCTION("""COMPUTED_VALUE"""),"ESMERALDAS")</f>
        <v>ESMERALDAS</v>
      </c>
      <c r="N1056" s="65" t="str">
        <f>IFERROR(__xludf.DUMMYFUNCTION("""COMPUTED_VALUE"""),"ESMERALDAS")</f>
        <v>ESMERALDAS</v>
      </c>
      <c r="O1056" s="65" t="str">
        <f>IFERROR(__xludf.DUMMYFUNCTION("""COMPUTED_VALUE"""),"Colón entre quito y Calderón Frente a bogatex casa 11-30 -")</f>
        <v>Colón entre quito y Calderón Frente a bogatex casa 11-30 -</v>
      </c>
      <c r="P1056" s="65"/>
      <c r="Q1056" s="65" t="str">
        <f>IFERROR(__xludf.DUMMYFUNCTION("""COMPUTED_VALUE"""),"GINTRACOM")</f>
        <v>GINTRACOM</v>
      </c>
      <c r="R1056" s="65">
        <f>IFERROR(__xludf.DUMMYFUNCTION("""COMPUTED_VALUE"""),25.0)</f>
        <v>25</v>
      </c>
      <c r="S1056" s="65">
        <f>IFERROR(__xludf.DUMMYFUNCTION("""COMPUTED_VALUE"""),14.64)</f>
        <v>14.64</v>
      </c>
      <c r="T1056" s="65">
        <f>IFERROR(__xludf.DUMMYFUNCTION("""COMPUTED_VALUE"""),5.96)</f>
        <v>5.96</v>
      </c>
      <c r="U1056" s="65">
        <f>IFERROR(__xludf.DUMMYFUNCTION("""COMPUTED_VALUE"""),0.0)</f>
        <v>0</v>
      </c>
      <c r="V1056" s="65">
        <f>IFERROR(__xludf.DUMMYFUNCTION("""COMPUTED_VALUE"""),0.0)</f>
        <v>0</v>
      </c>
      <c r="W1056" s="65">
        <f>IFERROR(__xludf.DUMMYFUNCTION("""COMPUTED_VALUE"""),0.0)</f>
        <v>0</v>
      </c>
      <c r="X1056" s="65">
        <f>IFERROR(__xludf.DUMMYFUNCTION("""COMPUTED_VALUE"""),2.2)</f>
        <v>2.2</v>
      </c>
      <c r="Y1056" s="65">
        <f>IFERROR(__xludf.DUMMYFUNCTION("""COMPUTED_VALUE"""),4.4)</f>
        <v>4.4</v>
      </c>
      <c r="Z1056" s="65">
        <f>IFERROR(__xludf.DUMMYFUNCTION("""COMPUTED_VALUE"""),111894.0)</f>
        <v>111894</v>
      </c>
      <c r="AA1056" s="65" t="str">
        <f>IFERROR(__xludf.DUMMYFUNCTION("""COMPUTED_VALUE"""),"LYIC5M40067")</f>
        <v>LYIC5M40067</v>
      </c>
      <c r="AB1056" s="65"/>
      <c r="AC1056" s="65" t="str">
        <f>IFERROR(__xludf.DUMMYFUNCTION("""COMPUTED_VALUE"""),"Limpiador de Parabrisas y Ventanas")</f>
        <v>Limpiador de Parabrisas y Ventanas</v>
      </c>
      <c r="AD1056" s="65"/>
      <c r="AE1056" s="65">
        <f>IFERROR(__xludf.DUMMYFUNCTION("""COMPUTED_VALUE"""),2.0)</f>
        <v>2</v>
      </c>
      <c r="AF1056" s="65" t="str">
        <f>IFERROR(__xludf.DUMMYFUNCTION("""COMPUTED_VALUE"""),"DESTINATARIO NO CONTESTA LLAMADAS NI WHATSAPP")</f>
        <v>DESTINATARIO NO CONTESTA LLAMADAS NI WHATSAPP</v>
      </c>
      <c r="AG1056" s="65" t="str">
        <f>IFERROR(__xludf.DUMMYFUNCTION("""COMPUTED_VALUE"""),"NO")</f>
        <v>NO</v>
      </c>
      <c r="AH1056" s="65" t="str">
        <f>IFERROR(__xludf.DUMMYFUNCTION("""COMPUTED_VALUE"""),"19:02")</f>
        <v>19:02</v>
      </c>
      <c r="AI1056" s="65" t="str">
        <f>IFERROR(__xludf.DUMMYFUNCTION("""COMPUTED_VALUE"""),"09-02-2026")</f>
        <v>09-02-2026</v>
      </c>
      <c r="AJ1056" s="65"/>
      <c r="AK1056" s="65"/>
      <c r="AL1056" s="65"/>
      <c r="AM1056" s="65"/>
      <c r="AN1056" s="65" t="str">
        <f>IFERROR(__xludf.DUMMYFUNCTION("""COMPUTED_VALUE"""),"12:38")</f>
        <v>12:38</v>
      </c>
      <c r="AO1056" s="65" t="str">
        <f>IFERROR(__xludf.DUMMYFUNCTION("""COMPUTED_VALUE"""),"10-02-2026")</f>
        <v>10-02-2026</v>
      </c>
      <c r="AP1056" s="65" t="str">
        <f>IFERROR(__xludf.DUMMYFUNCTION("""COMPUTED_VALUE"""),"ENTREGADA GINTRACOM")</f>
        <v>ENTREGADA GINTRACOM</v>
      </c>
      <c r="AQ1056" s="65" t="str">
        <f>IFERROR(__xludf.DUMMYFUNCTION("""COMPUTED_VALUE"""),"ENTREGADA GINTRACOM")</f>
        <v>ENTREGADA GINTRACOM</v>
      </c>
      <c r="AR1056" s="65"/>
      <c r="AS1056" s="65"/>
      <c r="AT1056" s="65" t="str">
        <f>IFERROR(__xludf.DUMMYFUNCTION("""COMPUTED_VALUE"""),"SHOPIFY")</f>
        <v>SHOPIFY</v>
      </c>
      <c r="AU1056" s="65" t="str">
        <f>IFERROR(__xludf.DUMMYFUNCTION("""COMPUTED_VALUE"""),"IMPORTEX EC")</f>
        <v>IMPORTEX EC</v>
      </c>
      <c r="AV1056" s="65" t="str">
        <f>IFERROR(__xludf.DUMMYFUNCTION("""COMPUTED_VALUE"""),"6482219532332")</f>
        <v>6482219532332</v>
      </c>
      <c r="AW1056" s="65">
        <f>IFERROR(__xludf.DUMMYFUNCTION("""COMPUTED_VALUE"""),5879.0)</f>
        <v>5879</v>
      </c>
      <c r="AX1056" s="65"/>
      <c r="AY1056" s="65" t="str">
        <f>IFERROR(__xludf.DUMMYFUNCTION("""COMPUTED_VALUE"""),"06/02/2026")</f>
        <v>06/02/2026</v>
      </c>
      <c r="AZ1056" s="65"/>
      <c r="BA1056" s="65"/>
    </row>
    <row r="1057">
      <c r="A1057" s="65" t="str">
        <f>IFERROR(__xludf.DUMMYFUNCTION("""COMPUTED_VALUE"""),"27-03-2026")</f>
        <v>27-03-2026</v>
      </c>
      <c r="B1057" s="65">
        <f>IFERROR(__xludf.DUMMYFUNCTION("""COMPUTED_VALUE"""),4418522.0)</f>
        <v>4418522</v>
      </c>
      <c r="C1057" s="65" t="str">
        <f>IFERROR(__xludf.DUMMYFUNCTION("""COMPUTED_VALUE"""),"11:57")</f>
        <v>11:57</v>
      </c>
      <c r="D1057" s="65" t="str">
        <f>IFERROR(__xludf.DUMMYFUNCTION("""COMPUTED_VALUE"""),"06-02-2026")</f>
        <v>06-02-2026</v>
      </c>
      <c r="E1057" s="65" t="str">
        <f>IFERROR(__xludf.DUMMYFUNCTION("""COMPUTED_VALUE"""),"Yisela Valarezo")</f>
        <v>Yisela Valarezo</v>
      </c>
      <c r="F1057" s="65" t="str">
        <f>IFERROR(__xludf.DUMMYFUNCTION("""COMPUTED_VALUE"""),"988793458")</f>
        <v>988793458</v>
      </c>
      <c r="G1057" s="65" t="str">
        <f>IFERROR(__xludf.DUMMYFUNCTION("""COMPUTED_VALUE"""),"yiseladelrocio5@hotmail.com")</f>
        <v>yiseladelrocio5@hotmail.com</v>
      </c>
      <c r="H1057" s="65"/>
      <c r="I1057" s="65"/>
      <c r="J1057" s="65" t="str">
        <f>IFERROR(__xludf.DUMMYFUNCTION("""COMPUTED_VALUE"""),"D001304724")</f>
        <v>D001304724</v>
      </c>
      <c r="K1057" s="65" t="str">
        <f>IFERROR(__xludf.DUMMYFUNCTION("""COMPUTED_VALUE"""),"DEVOLUCION")</f>
        <v>DEVOLUCION</v>
      </c>
      <c r="L1057" s="65" t="str">
        <f>IFERROR(__xludf.DUMMYFUNCTION("""COMPUTED_VALUE"""),"CON RECAUDO")</f>
        <v>CON RECAUDO</v>
      </c>
      <c r="M1057" s="65" t="str">
        <f>IFERROR(__xludf.DUMMYFUNCTION("""COMPUTED_VALUE"""),"GUAYAS")</f>
        <v>GUAYAS</v>
      </c>
      <c r="N1057" s="65" t="str">
        <f>IFERROR(__xludf.DUMMYFUNCTION("""COMPUTED_VALUE"""),"DURAN")</f>
        <v>DURAN</v>
      </c>
      <c r="O1057" s="65" t="str">
        <f>IFERROR(__xludf.DUMMYFUNCTION("""COMPUTED_VALUE"""),"Km 5 1/2 vía duran tambo, Cdla Panorama. Urb Panorama Real")</f>
        <v>Km 5 1/2 vía duran tambo, Cdla Panorama. Urb Panorama Real</v>
      </c>
      <c r="P1057" s="65"/>
      <c r="Q1057" s="65" t="str">
        <f>IFERROR(__xludf.DUMMYFUNCTION("""COMPUTED_VALUE"""),"GINTRACOM")</f>
        <v>GINTRACOM</v>
      </c>
      <c r="R1057" s="65">
        <f>IFERROR(__xludf.DUMMYFUNCTION("""COMPUTED_VALUE"""),27.0)</f>
        <v>27</v>
      </c>
      <c r="S1057" s="65"/>
      <c r="T1057" s="65">
        <f>IFERROR(__xludf.DUMMYFUNCTION("""COMPUTED_VALUE"""),5.45)</f>
        <v>5.45</v>
      </c>
      <c r="U1057" s="65">
        <f>IFERROR(__xludf.DUMMYFUNCTION("""COMPUTED_VALUE"""),0.0)</f>
        <v>0</v>
      </c>
      <c r="V1057" s="65">
        <f>IFERROR(__xludf.DUMMYFUNCTION("""COMPUTED_VALUE"""),0.0)</f>
        <v>0</v>
      </c>
      <c r="W1057" s="65">
        <f>IFERROR(__xludf.DUMMYFUNCTION("""COMPUTED_VALUE"""),0.0)</f>
        <v>0</v>
      </c>
      <c r="X1057" s="65">
        <f>IFERROR(__xludf.DUMMYFUNCTION("""COMPUTED_VALUE"""),2.6)</f>
        <v>2.6</v>
      </c>
      <c r="Y1057" s="65">
        <f>IFERROR(__xludf.DUMMYFUNCTION("""COMPUTED_VALUE"""),7.8)</f>
        <v>7.8</v>
      </c>
      <c r="Z1057" s="65">
        <f>IFERROR(__xludf.DUMMYFUNCTION("""COMPUTED_VALUE"""),121983.0)</f>
        <v>121983</v>
      </c>
      <c r="AA1057" s="65" t="str">
        <f>IFERROR(__xludf.DUMMYFUNCTION("""COMPUTED_VALUE"""),"PROV-CHLLCF")</f>
        <v>PROV-CHLLCF</v>
      </c>
      <c r="AB1057" s="65"/>
      <c r="AC1057" s="65" t="str">
        <f>IFERROR(__xludf.DUMMYFUNCTION("""COMPUTED_VALUE"""),"CUCHILLO PARA CHEF")</f>
        <v>CUCHILLO PARA CHEF</v>
      </c>
      <c r="AD1057" s="65"/>
      <c r="AE1057" s="65">
        <f>IFERROR(__xludf.DUMMYFUNCTION("""COMPUTED_VALUE"""),3.0)</f>
        <v>3</v>
      </c>
      <c r="AF1057" s="65" t="str">
        <f>IFERROR(__xludf.DUMMYFUNCTION("""COMPUTED_VALUE"""),"DESTINATARIO NO CONTESTA LLAMADAS NI WHATSAPP")</f>
        <v>DESTINATARIO NO CONTESTA LLAMADAS NI WHATSAPP</v>
      </c>
      <c r="AG1057" s="65" t="str">
        <f>IFERROR(__xludf.DUMMYFUNCTION("""COMPUTED_VALUE"""),"NO")</f>
        <v>NO</v>
      </c>
      <c r="AH1057" s="65" t="str">
        <f>IFERROR(__xludf.DUMMYFUNCTION("""COMPUTED_VALUE"""),"09:00")</f>
        <v>09:00</v>
      </c>
      <c r="AI1057" s="65" t="str">
        <f>IFERROR(__xludf.DUMMYFUNCTION("""COMPUTED_VALUE"""),"18-02-2026")</f>
        <v>18-02-2026</v>
      </c>
      <c r="AJ1057" s="65"/>
      <c r="AK1057" s="65"/>
      <c r="AL1057" s="65"/>
      <c r="AM1057" s="65"/>
      <c r="AN1057" s="65" t="str">
        <f>IFERROR(__xludf.DUMMYFUNCTION("""COMPUTED_VALUE"""),"01:36")</f>
        <v>01:36</v>
      </c>
      <c r="AO1057" s="65" t="str">
        <f>IFERROR(__xludf.DUMMYFUNCTION("""COMPUTED_VALUE"""),"06-03-2026")</f>
        <v>06-03-2026</v>
      </c>
      <c r="AP1057" s="65" t="str">
        <f>IFERROR(__xludf.DUMMYFUNCTION("""COMPUTED_VALUE"""),"DEVOLUCIÓN ENTREGADA A ORIGEN")</f>
        <v>DEVOLUCIÓN ENTREGADA A ORIGEN</v>
      </c>
      <c r="AQ1057" s="65" t="str">
        <f>IFERROR(__xludf.DUMMYFUNCTION("""COMPUTED_VALUE"""),"DEVOLUCIÓN ENTREGADA A ORIGEN")</f>
        <v>DEVOLUCIÓN ENTREGADA A ORIGEN</v>
      </c>
      <c r="AR1057" s="65"/>
      <c r="AS1057" s="65"/>
      <c r="AT1057" s="65" t="str">
        <f>IFERROR(__xludf.DUMMYFUNCTION("""COMPUTED_VALUE"""),"SHOPIFY")</f>
        <v>SHOPIFY</v>
      </c>
      <c r="AU1057" s="65" t="str">
        <f>IFERROR(__xludf.DUMMYFUNCTION("""COMPUTED_VALUE"""),"IMPORTEX EC")</f>
        <v>IMPORTEX EC</v>
      </c>
      <c r="AV1057" s="65" t="str">
        <f>IFERROR(__xludf.DUMMYFUNCTION("""COMPUTED_VALUE"""),"6479612117036")</f>
        <v>6479612117036</v>
      </c>
      <c r="AW1057" s="65">
        <f>IFERROR(__xludf.DUMMYFUNCTION("""COMPUTED_VALUE"""),5831.0)</f>
        <v>5831</v>
      </c>
      <c r="AX1057" s="65"/>
      <c r="AY1057" s="65" t="str">
        <f>IFERROR(__xludf.DUMMYFUNCTION("""COMPUTED_VALUE"""),"07/02/2026")</f>
        <v>07/02/2026</v>
      </c>
      <c r="AZ1057" s="65"/>
      <c r="BA1057" s="65"/>
    </row>
    <row r="1058">
      <c r="A1058" s="65" t="str">
        <f>IFERROR(__xludf.DUMMYFUNCTION("""COMPUTED_VALUE"""),"27-03-2026")</f>
        <v>27-03-2026</v>
      </c>
      <c r="B1058" s="65">
        <f>IFERROR(__xludf.DUMMYFUNCTION("""COMPUTED_VALUE"""),4418490.0)</f>
        <v>4418490</v>
      </c>
      <c r="C1058" s="65" t="str">
        <f>IFERROR(__xludf.DUMMYFUNCTION("""COMPUTED_VALUE"""),"11:54")</f>
        <v>11:54</v>
      </c>
      <c r="D1058" s="65" t="str">
        <f>IFERROR(__xludf.DUMMYFUNCTION("""COMPUTED_VALUE"""),"06-02-2026")</f>
        <v>06-02-2026</v>
      </c>
      <c r="E1058" s="65" t="str">
        <f>IFERROR(__xludf.DUMMYFUNCTION("""COMPUTED_VALUE"""),"ISIDRO QUIMIS")</f>
        <v>ISIDRO QUIMIS</v>
      </c>
      <c r="F1058" s="65" t="str">
        <f>IFERROR(__xludf.DUMMYFUNCTION("""COMPUTED_VALUE"""),"998260448")</f>
        <v>998260448</v>
      </c>
      <c r="G1058" s="65" t="str">
        <f>IFERROR(__xludf.DUMMYFUNCTION("""COMPUTED_VALUE"""),"bluezone1961@gmail.com")</f>
        <v>bluezone1961@gmail.com</v>
      </c>
      <c r="H1058" s="65"/>
      <c r="I1058" s="65"/>
      <c r="J1058" s="65" t="str">
        <f>IFERROR(__xludf.DUMMYFUNCTION("""COMPUTED_VALUE"""),"D001304725")</f>
        <v>D001304725</v>
      </c>
      <c r="K1058" s="65" t="str">
        <f>IFERROR(__xludf.DUMMYFUNCTION("""COMPUTED_VALUE"""),"ENTREGADO")</f>
        <v>ENTREGADO</v>
      </c>
      <c r="L1058" s="65" t="str">
        <f>IFERROR(__xludf.DUMMYFUNCTION("""COMPUTED_VALUE"""),"CON RECAUDO")</f>
        <v>CON RECAUDO</v>
      </c>
      <c r="M1058" s="65" t="str">
        <f>IFERROR(__xludf.DUMMYFUNCTION("""COMPUTED_VALUE"""),"PICHINCHA")</f>
        <v>PICHINCHA</v>
      </c>
      <c r="N1058" s="65" t="str">
        <f>IFERROR(__xludf.DUMMYFUNCTION("""COMPUTED_VALUE"""),"QUITO")</f>
        <v>QUITO</v>
      </c>
      <c r="O1058" s="65" t="str">
        <f>IFERROR(__xludf.DUMMYFUNCTION("""COMPUTED_VALUE"""),"Calle Jose Miguel Guarderas y Faustino Carrasco - CYBER BLIEZONE - FRENTE AL PARQUE CENTRAL DE CALDERON")</f>
        <v>Calle Jose Miguel Guarderas y Faustino Carrasco - CYBER BLIEZONE - FRENTE AL PARQUE CENTRAL DE CALDERON</v>
      </c>
      <c r="P1058" s="65"/>
      <c r="Q1058" s="65" t="str">
        <f>IFERROR(__xludf.DUMMYFUNCTION("""COMPUTED_VALUE"""),"GINTRACOM")</f>
        <v>GINTRACOM</v>
      </c>
      <c r="R1058" s="65">
        <f>IFERROR(__xludf.DUMMYFUNCTION("""COMPUTED_VALUE"""),27.0)</f>
        <v>27</v>
      </c>
      <c r="S1058" s="65">
        <f>IFERROR(__xludf.DUMMYFUNCTION("""COMPUTED_VALUE"""),13.17)</f>
        <v>13.17</v>
      </c>
      <c r="T1058" s="65">
        <f>IFERROR(__xludf.DUMMYFUNCTION("""COMPUTED_VALUE"""),6.03)</f>
        <v>6.03</v>
      </c>
      <c r="U1058" s="65">
        <f>IFERROR(__xludf.DUMMYFUNCTION("""COMPUTED_VALUE"""),0.0)</f>
        <v>0</v>
      </c>
      <c r="V1058" s="65">
        <f>IFERROR(__xludf.DUMMYFUNCTION("""COMPUTED_VALUE"""),0.0)</f>
        <v>0</v>
      </c>
      <c r="W1058" s="65">
        <f>IFERROR(__xludf.DUMMYFUNCTION("""COMPUTED_VALUE"""),0.0)</f>
        <v>0</v>
      </c>
      <c r="X1058" s="65">
        <f>IFERROR(__xludf.DUMMYFUNCTION("""COMPUTED_VALUE"""),2.6)</f>
        <v>2.6</v>
      </c>
      <c r="Y1058" s="65">
        <f>IFERROR(__xludf.DUMMYFUNCTION("""COMPUTED_VALUE"""),7.8)</f>
        <v>7.8</v>
      </c>
      <c r="Z1058" s="65">
        <f>IFERROR(__xludf.DUMMYFUNCTION("""COMPUTED_VALUE"""),121983.0)</f>
        <v>121983</v>
      </c>
      <c r="AA1058" s="65" t="str">
        <f>IFERROR(__xludf.DUMMYFUNCTION("""COMPUTED_VALUE"""),"PROV-CHLLCF")</f>
        <v>PROV-CHLLCF</v>
      </c>
      <c r="AB1058" s="65"/>
      <c r="AC1058" s="65" t="str">
        <f>IFERROR(__xludf.DUMMYFUNCTION("""COMPUTED_VALUE"""),"CUCHILLO PARA CHEF")</f>
        <v>CUCHILLO PARA CHEF</v>
      </c>
      <c r="AD1058" s="65"/>
      <c r="AE1058" s="65">
        <f>IFERROR(__xludf.DUMMYFUNCTION("""COMPUTED_VALUE"""),3.0)</f>
        <v>3</v>
      </c>
      <c r="AF1058" s="65"/>
      <c r="AG1058" s="65"/>
      <c r="AH1058" s="65"/>
      <c r="AI1058" s="65"/>
      <c r="AJ1058" s="65"/>
      <c r="AK1058" s="65"/>
      <c r="AL1058" s="65"/>
      <c r="AM1058" s="65"/>
      <c r="AN1058" s="65" t="str">
        <f>IFERROR(__xludf.DUMMYFUNCTION("""COMPUTED_VALUE"""),"20:39")</f>
        <v>20:39</v>
      </c>
      <c r="AO1058" s="65" t="str">
        <f>IFERROR(__xludf.DUMMYFUNCTION("""COMPUTED_VALUE"""),"09-02-2026")</f>
        <v>09-02-2026</v>
      </c>
      <c r="AP1058" s="65" t="str">
        <f>IFERROR(__xludf.DUMMYFUNCTION("""COMPUTED_VALUE"""),"ENTREGADA GINTRACOM")</f>
        <v>ENTREGADA GINTRACOM</v>
      </c>
      <c r="AQ1058" s="65" t="str">
        <f>IFERROR(__xludf.DUMMYFUNCTION("""COMPUTED_VALUE"""),"ENTREGADA GINTRACOM")</f>
        <v>ENTREGADA GINTRACOM</v>
      </c>
      <c r="AR1058" s="65"/>
      <c r="AS1058" s="65"/>
      <c r="AT1058" s="65" t="str">
        <f>IFERROR(__xludf.DUMMYFUNCTION("""COMPUTED_VALUE"""),"SHOPIFY")</f>
        <v>SHOPIFY</v>
      </c>
      <c r="AU1058" s="65" t="str">
        <f>IFERROR(__xludf.DUMMYFUNCTION("""COMPUTED_VALUE"""),"IMPORTEX EC")</f>
        <v>IMPORTEX EC</v>
      </c>
      <c r="AV1058" s="65" t="str">
        <f>IFERROR(__xludf.DUMMYFUNCTION("""COMPUTED_VALUE"""),"6479581904940")</f>
        <v>6479581904940</v>
      </c>
      <c r="AW1058" s="65">
        <f>IFERROR(__xludf.DUMMYFUNCTION("""COMPUTED_VALUE"""),5830.0)</f>
        <v>5830</v>
      </c>
      <c r="AX1058" s="65"/>
      <c r="AY1058" s="65" t="str">
        <f>IFERROR(__xludf.DUMMYFUNCTION("""COMPUTED_VALUE"""),"07/02/2026")</f>
        <v>07/02/2026</v>
      </c>
      <c r="AZ1058" s="65"/>
      <c r="BA1058" s="65"/>
    </row>
    <row r="1059">
      <c r="A1059" s="65" t="str">
        <f>IFERROR(__xludf.DUMMYFUNCTION("""COMPUTED_VALUE"""),"27-03-2026")</f>
        <v>27-03-2026</v>
      </c>
      <c r="B1059" s="65">
        <f>IFERROR(__xludf.DUMMYFUNCTION("""COMPUTED_VALUE"""),4406819.0)</f>
        <v>4406819</v>
      </c>
      <c r="C1059" s="65" t="str">
        <f>IFERROR(__xludf.DUMMYFUNCTION("""COMPUTED_VALUE"""),"12:38")</f>
        <v>12:38</v>
      </c>
      <c r="D1059" s="65" t="str">
        <f>IFERROR(__xludf.DUMMYFUNCTION("""COMPUTED_VALUE"""),"05-02-2026")</f>
        <v>05-02-2026</v>
      </c>
      <c r="E1059" s="65" t="str">
        <f>IFERROR(__xludf.DUMMYFUNCTION("""COMPUTED_VALUE"""),"Patricio Cevallos seme Cevallos")</f>
        <v>Patricio Cevallos seme Cevallos</v>
      </c>
      <c r="F1059" s="65" t="str">
        <f>IFERROR(__xludf.DUMMYFUNCTION("""COMPUTED_VALUE"""),"981168793")</f>
        <v>981168793</v>
      </c>
      <c r="G1059" s="65" t="str">
        <f>IFERROR(__xludf.DUMMYFUNCTION("""COMPUTED_VALUE"""),"pato_cese@hotmail.com")</f>
        <v>pato_cese@hotmail.com</v>
      </c>
      <c r="H1059" s="65"/>
      <c r="I1059" s="65"/>
      <c r="J1059" s="65" t="str">
        <f>IFERROR(__xludf.DUMMYFUNCTION("""COMPUTED_VALUE"""),"D001302986")</f>
        <v>D001302986</v>
      </c>
      <c r="K1059" s="65" t="str">
        <f>IFERROR(__xludf.DUMMYFUNCTION("""COMPUTED_VALUE"""),"ENTREGADO")</f>
        <v>ENTREGADO</v>
      </c>
      <c r="L1059" s="65" t="str">
        <f>IFERROR(__xludf.DUMMYFUNCTION("""COMPUTED_VALUE"""),"CON RECAUDO")</f>
        <v>CON RECAUDO</v>
      </c>
      <c r="M1059" s="65" t="str">
        <f>IFERROR(__xludf.DUMMYFUNCTION("""COMPUTED_VALUE"""),"SUCUMBIOS")</f>
        <v>SUCUMBIOS</v>
      </c>
      <c r="N1059" s="65" t="str">
        <f>IFERROR(__xludf.DUMMYFUNCTION("""COMPUTED_VALUE"""),"SHUSHUFINDI")</f>
        <v>SHUSHUFINDI</v>
      </c>
      <c r="O1059" s="65" t="str">
        <f>IFERROR(__xludf.DUMMYFUNCTION("""COMPUTED_VALUE"""),"Av aguarico y Av unidad nacional Frente al banco de motos -")</f>
        <v>Av aguarico y Av unidad nacional Frente al banco de motos -</v>
      </c>
      <c r="P1059" s="65"/>
      <c r="Q1059" s="65" t="str">
        <f>IFERROR(__xludf.DUMMYFUNCTION("""COMPUTED_VALUE"""),"GINTRACOM")</f>
        <v>GINTRACOM</v>
      </c>
      <c r="R1059" s="65">
        <f>IFERROR(__xludf.DUMMYFUNCTION("""COMPUTED_VALUE"""),20.0)</f>
        <v>20</v>
      </c>
      <c r="S1059" s="65">
        <f>IFERROR(__xludf.DUMMYFUNCTION("""COMPUTED_VALUE"""),12.04)</f>
        <v>12.04</v>
      </c>
      <c r="T1059" s="65">
        <f>IFERROR(__xludf.DUMMYFUNCTION("""COMPUTED_VALUE"""),5.76)</f>
        <v>5.76</v>
      </c>
      <c r="U1059" s="65">
        <f>IFERROR(__xludf.DUMMYFUNCTION("""COMPUTED_VALUE"""),0.0)</f>
        <v>0</v>
      </c>
      <c r="V1059" s="65">
        <f>IFERROR(__xludf.DUMMYFUNCTION("""COMPUTED_VALUE"""),0.0)</f>
        <v>0</v>
      </c>
      <c r="W1059" s="65">
        <f>IFERROR(__xludf.DUMMYFUNCTION("""COMPUTED_VALUE"""),0.0)</f>
        <v>0</v>
      </c>
      <c r="X1059" s="65">
        <f>IFERROR(__xludf.DUMMYFUNCTION("""COMPUTED_VALUE"""),2.2)</f>
        <v>2.2</v>
      </c>
      <c r="Y1059" s="65">
        <f>IFERROR(__xludf.DUMMYFUNCTION("""COMPUTED_VALUE"""),2.2)</f>
        <v>2.2</v>
      </c>
      <c r="Z1059" s="65">
        <f>IFERROR(__xludf.DUMMYFUNCTION("""COMPUTED_VALUE"""),111894.0)</f>
        <v>111894</v>
      </c>
      <c r="AA1059" s="65" t="str">
        <f>IFERROR(__xludf.DUMMYFUNCTION("""COMPUTED_VALUE"""),"LYIC5M40067")</f>
        <v>LYIC5M40067</v>
      </c>
      <c r="AB1059" s="65"/>
      <c r="AC1059" s="65" t="str">
        <f>IFERROR(__xludf.DUMMYFUNCTION("""COMPUTED_VALUE"""),"Limpiador de Parabrisas y Ventanas")</f>
        <v>Limpiador de Parabrisas y Ventanas</v>
      </c>
      <c r="AD1059" s="65"/>
      <c r="AE1059" s="65">
        <f>IFERROR(__xludf.DUMMYFUNCTION("""COMPUTED_VALUE"""),1.0)</f>
        <v>1</v>
      </c>
      <c r="AF1059" s="65"/>
      <c r="AG1059" s="65"/>
      <c r="AH1059" s="65"/>
      <c r="AI1059" s="65"/>
      <c r="AJ1059" s="65"/>
      <c r="AK1059" s="65"/>
      <c r="AL1059" s="65"/>
      <c r="AM1059" s="65"/>
      <c r="AN1059" s="65" t="str">
        <f>IFERROR(__xludf.DUMMYFUNCTION("""COMPUTED_VALUE"""),"11:35")</f>
        <v>11:35</v>
      </c>
      <c r="AO1059" s="65" t="str">
        <f>IFERROR(__xludf.DUMMYFUNCTION("""COMPUTED_VALUE"""),"10-02-2026")</f>
        <v>10-02-2026</v>
      </c>
      <c r="AP1059" s="65" t="str">
        <f>IFERROR(__xludf.DUMMYFUNCTION("""COMPUTED_VALUE"""),"ENTREGADA GINTRACOM")</f>
        <v>ENTREGADA GINTRACOM</v>
      </c>
      <c r="AQ1059" s="65" t="str">
        <f>IFERROR(__xludf.DUMMYFUNCTION("""COMPUTED_VALUE"""),"ENTREGADA GINTRACOM")</f>
        <v>ENTREGADA GINTRACOM</v>
      </c>
      <c r="AR1059" s="65"/>
      <c r="AS1059" s="65"/>
      <c r="AT1059" s="65" t="str">
        <f>IFERROR(__xludf.DUMMYFUNCTION("""COMPUTED_VALUE"""),"SHOPIFY")</f>
        <v>SHOPIFY</v>
      </c>
      <c r="AU1059" s="65" t="str">
        <f>IFERROR(__xludf.DUMMYFUNCTION("""COMPUTED_VALUE"""),"IMPORTEX EC")</f>
        <v>IMPORTEX EC</v>
      </c>
      <c r="AV1059" s="65" t="str">
        <f>IFERROR(__xludf.DUMMYFUNCTION("""COMPUTED_VALUE"""),"6479544090668")</f>
        <v>6479544090668</v>
      </c>
      <c r="AW1059" s="65">
        <f>IFERROR(__xludf.DUMMYFUNCTION("""COMPUTED_VALUE"""),5829.0)</f>
        <v>5829</v>
      </c>
      <c r="AX1059" s="65"/>
      <c r="AY1059" s="65" t="str">
        <f>IFERROR(__xludf.DUMMYFUNCTION("""COMPUTED_VALUE"""),"06/02/2026")</f>
        <v>06/02/2026</v>
      </c>
      <c r="AZ1059" s="65"/>
      <c r="BA1059" s="65"/>
    </row>
    <row r="1060">
      <c r="A1060" s="65" t="str">
        <f>IFERROR(__xludf.DUMMYFUNCTION("""COMPUTED_VALUE"""),"27-03-2026")</f>
        <v>27-03-2026</v>
      </c>
      <c r="B1060" s="65">
        <f>IFERROR(__xludf.DUMMYFUNCTION("""COMPUTED_VALUE"""),4406660.0)</f>
        <v>4406660</v>
      </c>
      <c r="C1060" s="65" t="str">
        <f>IFERROR(__xludf.DUMMYFUNCTION("""COMPUTED_VALUE"""),"12:25")</f>
        <v>12:25</v>
      </c>
      <c r="D1060" s="65" t="str">
        <f>IFERROR(__xludf.DUMMYFUNCTION("""COMPUTED_VALUE"""),"05-02-2026")</f>
        <v>05-02-2026</v>
      </c>
      <c r="E1060" s="65" t="str">
        <f>IFERROR(__xludf.DUMMYFUNCTION("""COMPUTED_VALUE"""),"Gabriela Estefanía Vince mora 0981673958")</f>
        <v>Gabriela Estefanía Vince mora 0981673958</v>
      </c>
      <c r="F1060" s="65" t="str">
        <f>IFERROR(__xludf.DUMMYFUNCTION("""COMPUTED_VALUE"""),"981673958")</f>
        <v>981673958</v>
      </c>
      <c r="G1060" s="65" t="str">
        <f>IFERROR(__xludf.DUMMYFUNCTION("""COMPUTED_VALUE"""),"richardharo@gmail.com")</f>
        <v>richardharo@gmail.com</v>
      </c>
      <c r="H1060" s="65"/>
      <c r="I1060" s="65"/>
      <c r="J1060" s="65"/>
      <c r="K1060" s="65" t="str">
        <f>IFERROR(__xludf.DUMMYFUNCTION("""COMPUTED_VALUE"""),"PENDIENTE CONFIRMACION")</f>
        <v>PENDIENTE CONFIRMACION</v>
      </c>
      <c r="L1060" s="65" t="str">
        <f>IFERROR(__xludf.DUMMYFUNCTION("""COMPUTED_VALUE"""),"CON RECAUDO")</f>
        <v>CON RECAUDO</v>
      </c>
      <c r="M1060" s="65" t="str">
        <f>IFERROR(__xludf.DUMMYFUNCTION("""COMPUTED_VALUE"""),"GUAYAS")</f>
        <v>GUAYAS</v>
      </c>
      <c r="N1060" s="65" t="str">
        <f>IFERROR(__xludf.DUMMYFUNCTION("""COMPUTED_VALUE"""),"EL TRIUNFO")</f>
        <v>EL TRIUNFO</v>
      </c>
      <c r="O1060" s="65" t="str">
        <f>IFERROR(__xludf.DUMMYFUNCTION("""COMPUTED_VALUE"""),"Recinto el piedrero Y Piedritas Río dos bocas -")</f>
        <v>Recinto el piedrero Y Piedritas Río dos bocas -</v>
      </c>
      <c r="P1060" s="65"/>
      <c r="Q1060" s="65" t="str">
        <f>IFERROR(__xludf.DUMMYFUNCTION("""COMPUTED_VALUE"""),"GINTRACOM")</f>
        <v>GINTRACOM</v>
      </c>
      <c r="R1060" s="65">
        <f>IFERROR(__xludf.DUMMYFUNCTION("""COMPUTED_VALUE"""),30.0)</f>
        <v>30</v>
      </c>
      <c r="S1060" s="65"/>
      <c r="T1060" s="65">
        <f>IFERROR(__xludf.DUMMYFUNCTION("""COMPUTED_VALUE"""),6.16)</f>
        <v>6.16</v>
      </c>
      <c r="U1060" s="65">
        <f>IFERROR(__xludf.DUMMYFUNCTION("""COMPUTED_VALUE"""),0.0)</f>
        <v>0</v>
      </c>
      <c r="V1060" s="65">
        <f>IFERROR(__xludf.DUMMYFUNCTION("""COMPUTED_VALUE"""),0.0)</f>
        <v>0</v>
      </c>
      <c r="W1060" s="65">
        <f>IFERROR(__xludf.DUMMYFUNCTION("""COMPUTED_VALUE"""),0.0)</f>
        <v>0</v>
      </c>
      <c r="X1060" s="65">
        <f>IFERROR(__xludf.DUMMYFUNCTION("""COMPUTED_VALUE"""),2.2)</f>
        <v>2.2</v>
      </c>
      <c r="Y1060" s="65">
        <f>IFERROR(__xludf.DUMMYFUNCTION("""COMPUTED_VALUE"""),6.6)</f>
        <v>6.6</v>
      </c>
      <c r="Z1060" s="65">
        <f>IFERROR(__xludf.DUMMYFUNCTION("""COMPUTED_VALUE"""),111894.0)</f>
        <v>111894</v>
      </c>
      <c r="AA1060" s="65" t="str">
        <f>IFERROR(__xludf.DUMMYFUNCTION("""COMPUTED_VALUE"""),"LYIC5M40067")</f>
        <v>LYIC5M40067</v>
      </c>
      <c r="AB1060" s="65"/>
      <c r="AC1060" s="65" t="str">
        <f>IFERROR(__xludf.DUMMYFUNCTION("""COMPUTED_VALUE"""),"Limpiador de Parabrisas y Ventanas")</f>
        <v>Limpiador de Parabrisas y Ventanas</v>
      </c>
      <c r="AD1060" s="65"/>
      <c r="AE1060" s="65">
        <f>IFERROR(__xludf.DUMMYFUNCTION("""COMPUTED_VALUE"""),3.0)</f>
        <v>3</v>
      </c>
      <c r="AF1060" s="65"/>
      <c r="AG1060" s="65"/>
      <c r="AH1060" s="65"/>
      <c r="AI1060" s="65"/>
      <c r="AJ1060" s="65"/>
      <c r="AK1060" s="65"/>
      <c r="AL1060" s="65"/>
      <c r="AM1060" s="65"/>
      <c r="AN1060" s="65"/>
      <c r="AO1060" s="65"/>
      <c r="AP1060" s="65"/>
      <c r="AQ1060" s="65"/>
      <c r="AR1060" s="65"/>
      <c r="AS1060" s="65"/>
      <c r="AT1060" s="65" t="str">
        <f>IFERROR(__xludf.DUMMYFUNCTION("""COMPUTED_VALUE"""),"SHOPIFY")</f>
        <v>SHOPIFY</v>
      </c>
      <c r="AU1060" s="65" t="str">
        <f>IFERROR(__xludf.DUMMYFUNCTION("""COMPUTED_VALUE"""),"IMPORTEX EC")</f>
        <v>IMPORTEX EC</v>
      </c>
      <c r="AV1060" s="65" t="str">
        <f>IFERROR(__xludf.DUMMYFUNCTION("""COMPUTED_VALUE"""),"6479508340780")</f>
        <v>6479508340780</v>
      </c>
      <c r="AW1060" s="65">
        <f>IFERROR(__xludf.DUMMYFUNCTION("""COMPUTED_VALUE"""),5828.0)</f>
        <v>5828</v>
      </c>
      <c r="AX1060" s="65"/>
      <c r="AY1060" s="65"/>
      <c r="AZ1060" s="65"/>
      <c r="BA1060" s="65"/>
    </row>
    <row r="1061">
      <c r="A1061" s="65" t="str">
        <f>IFERROR(__xludf.DUMMYFUNCTION("""COMPUTED_VALUE"""),"27-03-2026")</f>
        <v>27-03-2026</v>
      </c>
      <c r="B1061" s="65">
        <f>IFERROR(__xludf.DUMMYFUNCTION("""COMPUTED_VALUE"""),4406617.0)</f>
        <v>4406617</v>
      </c>
      <c r="C1061" s="65" t="str">
        <f>IFERROR(__xludf.DUMMYFUNCTION("""COMPUTED_VALUE"""),"12:22")</f>
        <v>12:22</v>
      </c>
      <c r="D1061" s="65" t="str">
        <f>IFERROR(__xludf.DUMMYFUNCTION("""COMPUTED_VALUE"""),"05-02-2026")</f>
        <v>05-02-2026</v>
      </c>
      <c r="E1061" s="65" t="str">
        <f>IFERROR(__xludf.DUMMYFUNCTION("""COMPUTED_VALUE"""),"Luisa Castro")</f>
        <v>Luisa Castro</v>
      </c>
      <c r="F1061" s="65" t="str">
        <f>IFERROR(__xludf.DUMMYFUNCTION("""COMPUTED_VALUE"""),"990490307")</f>
        <v>990490307</v>
      </c>
      <c r="G1061" s="65" t="str">
        <f>IFERROR(__xludf.DUMMYFUNCTION("""COMPUTED_VALUE"""),"wuelinton24@gmail.com")</f>
        <v>wuelinton24@gmail.com</v>
      </c>
      <c r="H1061" s="65"/>
      <c r="I1061" s="65"/>
      <c r="J1061" s="65" t="str">
        <f>IFERROR(__xludf.DUMMYFUNCTION("""COMPUTED_VALUE"""),"D001302757")</f>
        <v>D001302757</v>
      </c>
      <c r="K1061" s="65" t="str">
        <f>IFERROR(__xludf.DUMMYFUNCTION("""COMPUTED_VALUE"""),"DEVOLUCION")</f>
        <v>DEVOLUCION</v>
      </c>
      <c r="L1061" s="65" t="str">
        <f>IFERROR(__xludf.DUMMYFUNCTION("""COMPUTED_VALUE"""),"CON RECAUDO")</f>
        <v>CON RECAUDO</v>
      </c>
      <c r="M1061" s="65" t="str">
        <f>IFERROR(__xludf.DUMMYFUNCTION("""COMPUTED_VALUE"""),"GUAYAS")</f>
        <v>GUAYAS</v>
      </c>
      <c r="N1061" s="65" t="str">
        <f>IFERROR(__xludf.DUMMYFUNCTION("""COMPUTED_VALUE"""),"DAULE")</f>
        <v>DAULE</v>
      </c>
      <c r="O1061" s="65" t="str">
        <f>IFERROR(__xludf.DUMMYFUNCTION("""COMPUTED_VALUE"""),"Gallegos Lara Y Olmedo Almeida Tobar -Colgio José Luis Tamayo")</f>
        <v>Gallegos Lara Y Olmedo Almeida Tobar -Colgio José Luis Tamayo</v>
      </c>
      <c r="P1061" s="65"/>
      <c r="Q1061" s="65" t="str">
        <f>IFERROR(__xludf.DUMMYFUNCTION("""COMPUTED_VALUE"""),"GINTRACOM")</f>
        <v>GINTRACOM</v>
      </c>
      <c r="R1061" s="65">
        <f>IFERROR(__xludf.DUMMYFUNCTION("""COMPUTED_VALUE"""),22.0)</f>
        <v>22</v>
      </c>
      <c r="S1061" s="65"/>
      <c r="T1061" s="65">
        <f>IFERROR(__xludf.DUMMYFUNCTION("""COMPUTED_VALUE"""),5.26)</f>
        <v>5.26</v>
      </c>
      <c r="U1061" s="65">
        <f>IFERROR(__xludf.DUMMYFUNCTION("""COMPUTED_VALUE"""),0.0)</f>
        <v>0</v>
      </c>
      <c r="V1061" s="65">
        <f>IFERROR(__xludf.DUMMYFUNCTION("""COMPUTED_VALUE"""),0.0)</f>
        <v>0</v>
      </c>
      <c r="W1061" s="65">
        <f>IFERROR(__xludf.DUMMYFUNCTION("""COMPUTED_VALUE"""),0.0)</f>
        <v>0</v>
      </c>
      <c r="X1061" s="65">
        <f>IFERROR(__xludf.DUMMYFUNCTION("""COMPUTED_VALUE"""),2.6)</f>
        <v>2.6</v>
      </c>
      <c r="Y1061" s="65">
        <f>IFERROR(__xludf.DUMMYFUNCTION("""COMPUTED_VALUE"""),5.2)</f>
        <v>5.2</v>
      </c>
      <c r="Z1061" s="65">
        <f>IFERROR(__xludf.DUMMYFUNCTION("""COMPUTED_VALUE"""),121983.0)</f>
        <v>121983</v>
      </c>
      <c r="AA1061" s="65" t="str">
        <f>IFERROR(__xludf.DUMMYFUNCTION("""COMPUTED_VALUE"""),"PROV-CHLLCF")</f>
        <v>PROV-CHLLCF</v>
      </c>
      <c r="AB1061" s="65"/>
      <c r="AC1061" s="65" t="str">
        <f>IFERROR(__xludf.DUMMYFUNCTION("""COMPUTED_VALUE"""),"CUCHILLO PARA CHEF")</f>
        <v>CUCHILLO PARA CHEF</v>
      </c>
      <c r="AD1061" s="65"/>
      <c r="AE1061" s="65">
        <f>IFERROR(__xludf.DUMMYFUNCTION("""COMPUTED_VALUE"""),2.0)</f>
        <v>2</v>
      </c>
      <c r="AF1061" s="65" t="str">
        <f>IFERROR(__xludf.DUMMYFUNCTION("""COMPUTED_VALUE"""),"DESTINATARIO NO CONTESTA LLAMADAS NI WHATSAPP")</f>
        <v>DESTINATARIO NO CONTESTA LLAMADAS NI WHATSAPP</v>
      </c>
      <c r="AG1061" s="65" t="str">
        <f>IFERROR(__xludf.DUMMYFUNCTION("""COMPUTED_VALUE"""),"NO")</f>
        <v>NO</v>
      </c>
      <c r="AH1061" s="65" t="str">
        <f>IFERROR(__xludf.DUMMYFUNCTION("""COMPUTED_VALUE"""),"09:00")</f>
        <v>09:00</v>
      </c>
      <c r="AI1061" s="65" t="str">
        <f>IFERROR(__xludf.DUMMYFUNCTION("""COMPUTED_VALUE"""),"17-02-2026")</f>
        <v>17-02-2026</v>
      </c>
      <c r="AJ1061" s="65"/>
      <c r="AK1061" s="65"/>
      <c r="AL1061" s="65"/>
      <c r="AM1061" s="65"/>
      <c r="AN1061" s="65" t="str">
        <f>IFERROR(__xludf.DUMMYFUNCTION("""COMPUTED_VALUE"""),"01:36")</f>
        <v>01:36</v>
      </c>
      <c r="AO1061" s="65" t="str">
        <f>IFERROR(__xludf.DUMMYFUNCTION("""COMPUTED_VALUE"""),"06-03-2026")</f>
        <v>06-03-2026</v>
      </c>
      <c r="AP1061" s="65" t="str">
        <f>IFERROR(__xludf.DUMMYFUNCTION("""COMPUTED_VALUE"""),"DEVOLUCIÓN ENTREGADA A ORIGEN")</f>
        <v>DEVOLUCIÓN ENTREGADA A ORIGEN</v>
      </c>
      <c r="AQ1061" s="65" t="str">
        <f>IFERROR(__xludf.DUMMYFUNCTION("""COMPUTED_VALUE"""),"DEVOLUCIÓN ENTREGADA A ORIGEN")</f>
        <v>DEVOLUCIÓN ENTREGADA A ORIGEN</v>
      </c>
      <c r="AR1061" s="65"/>
      <c r="AS1061" s="65"/>
      <c r="AT1061" s="65" t="str">
        <f>IFERROR(__xludf.DUMMYFUNCTION("""COMPUTED_VALUE"""),"SHOPIFY")</f>
        <v>SHOPIFY</v>
      </c>
      <c r="AU1061" s="65" t="str">
        <f>IFERROR(__xludf.DUMMYFUNCTION("""COMPUTED_VALUE"""),"IMPORTEX EC")</f>
        <v>IMPORTEX EC</v>
      </c>
      <c r="AV1061" s="65" t="str">
        <f>IFERROR(__xludf.DUMMYFUNCTION("""COMPUTED_VALUE"""),"6479501951020")</f>
        <v>6479501951020</v>
      </c>
      <c r="AW1061" s="65">
        <f>IFERROR(__xludf.DUMMYFUNCTION("""COMPUTED_VALUE"""),5827.0)</f>
        <v>5827</v>
      </c>
      <c r="AX1061" s="65"/>
      <c r="AY1061" s="65" t="str">
        <f>IFERROR(__xludf.DUMMYFUNCTION("""COMPUTED_VALUE"""),"06/02/2026")</f>
        <v>06/02/2026</v>
      </c>
      <c r="AZ1061" s="65"/>
      <c r="BA1061" s="65"/>
    </row>
    <row r="1062">
      <c r="A1062" s="65" t="str">
        <f>IFERROR(__xludf.DUMMYFUNCTION("""COMPUTED_VALUE"""),"27-03-2026")</f>
        <v>27-03-2026</v>
      </c>
      <c r="B1062" s="65">
        <f>IFERROR(__xludf.DUMMYFUNCTION("""COMPUTED_VALUE"""),4406065.0)</f>
        <v>4406065</v>
      </c>
      <c r="C1062" s="65" t="str">
        <f>IFERROR(__xludf.DUMMYFUNCTION("""COMPUTED_VALUE"""),"11:39")</f>
        <v>11:39</v>
      </c>
      <c r="D1062" s="65" t="str">
        <f>IFERROR(__xludf.DUMMYFUNCTION("""COMPUTED_VALUE"""),"05-02-2026")</f>
        <v>05-02-2026</v>
      </c>
      <c r="E1062" s="65" t="str">
        <f>IFERROR(__xludf.DUMMYFUNCTION("""COMPUTED_VALUE"""),"Jean Paul Latorre")</f>
        <v>Jean Paul Latorre</v>
      </c>
      <c r="F1062" s="65" t="str">
        <f>IFERROR(__xludf.DUMMYFUNCTION("""COMPUTED_VALUE"""),"987518115")</f>
        <v>987518115</v>
      </c>
      <c r="G1062" s="65" t="str">
        <f>IFERROR(__xludf.DUMMYFUNCTION("""COMPUTED_VALUE"""),"poldjties007@gmail.com")</f>
        <v>poldjties007@gmail.com</v>
      </c>
      <c r="H1062" s="65"/>
      <c r="I1062" s="65"/>
      <c r="J1062" s="65" t="str">
        <f>IFERROR(__xludf.DUMMYFUNCTION("""COMPUTED_VALUE"""),"D001302988")</f>
        <v>D001302988</v>
      </c>
      <c r="K1062" s="65" t="str">
        <f>IFERROR(__xludf.DUMMYFUNCTION("""COMPUTED_VALUE"""),"ENTREGADO")</f>
        <v>ENTREGADO</v>
      </c>
      <c r="L1062" s="65" t="str">
        <f>IFERROR(__xludf.DUMMYFUNCTION("""COMPUTED_VALUE"""),"CON RECAUDO")</f>
        <v>CON RECAUDO</v>
      </c>
      <c r="M1062" s="65" t="str">
        <f>IFERROR(__xludf.DUMMYFUNCTION("""COMPUTED_VALUE"""),"PICHINCHA")</f>
        <v>PICHINCHA</v>
      </c>
      <c r="N1062" s="65" t="str">
        <f>IFERROR(__xludf.DUMMYFUNCTION("""COMPUTED_VALUE"""),"CAYAMBE")</f>
        <v>CAYAMBE</v>
      </c>
      <c r="O1062" s="65" t="str">
        <f>IFERROR(__xludf.DUMMYFUNCTION("""COMPUTED_VALUE"""),"Ascazubi n205 y vivar Nasacota puento  - Entregar en local de claro al frente de la cooperativa chiqueo")</f>
        <v>Ascazubi n205 y vivar Nasacota puento  - Entregar en local de claro al frente de la cooperativa chiqueo</v>
      </c>
      <c r="P1062" s="65"/>
      <c r="Q1062" s="65" t="str">
        <f>IFERROR(__xludf.DUMMYFUNCTION("""COMPUTED_VALUE"""),"GINTRACOM")</f>
        <v>GINTRACOM</v>
      </c>
      <c r="R1062" s="65">
        <f>IFERROR(__xludf.DUMMYFUNCTION("""COMPUTED_VALUE"""),30.0)</f>
        <v>30</v>
      </c>
      <c r="S1062" s="65">
        <f>IFERROR(__xludf.DUMMYFUNCTION("""COMPUTED_VALUE"""),17.24)</f>
        <v>17.24</v>
      </c>
      <c r="T1062" s="65">
        <f>IFERROR(__xludf.DUMMYFUNCTION("""COMPUTED_VALUE"""),6.16)</f>
        <v>6.16</v>
      </c>
      <c r="U1062" s="65">
        <f>IFERROR(__xludf.DUMMYFUNCTION("""COMPUTED_VALUE"""),0.0)</f>
        <v>0</v>
      </c>
      <c r="V1062" s="65">
        <f>IFERROR(__xludf.DUMMYFUNCTION("""COMPUTED_VALUE"""),0.0)</f>
        <v>0</v>
      </c>
      <c r="W1062" s="65">
        <f>IFERROR(__xludf.DUMMYFUNCTION("""COMPUTED_VALUE"""),0.0)</f>
        <v>0</v>
      </c>
      <c r="X1062" s="65">
        <f>IFERROR(__xludf.DUMMYFUNCTION("""COMPUTED_VALUE"""),2.2)</f>
        <v>2.2</v>
      </c>
      <c r="Y1062" s="65">
        <f>IFERROR(__xludf.DUMMYFUNCTION("""COMPUTED_VALUE"""),6.6)</f>
        <v>6.6</v>
      </c>
      <c r="Z1062" s="65">
        <f>IFERROR(__xludf.DUMMYFUNCTION("""COMPUTED_VALUE"""),111894.0)</f>
        <v>111894</v>
      </c>
      <c r="AA1062" s="65" t="str">
        <f>IFERROR(__xludf.DUMMYFUNCTION("""COMPUTED_VALUE"""),"LYIC5M40067")</f>
        <v>LYIC5M40067</v>
      </c>
      <c r="AB1062" s="65"/>
      <c r="AC1062" s="65" t="str">
        <f>IFERROR(__xludf.DUMMYFUNCTION("""COMPUTED_VALUE"""),"Limpiador de Parabrisas y Ventanas")</f>
        <v>Limpiador de Parabrisas y Ventanas</v>
      </c>
      <c r="AD1062" s="65"/>
      <c r="AE1062" s="65">
        <f>IFERROR(__xludf.DUMMYFUNCTION("""COMPUTED_VALUE"""),3.0)</f>
        <v>3</v>
      </c>
      <c r="AF1062" s="65" t="str">
        <f>IFERROR(__xludf.DUMMYFUNCTION("""COMPUTED_VALUE"""),"DESTINATARIO NO CONTESTA LLAMADAS NI WHATSAPP")</f>
        <v>DESTINATARIO NO CONTESTA LLAMADAS NI WHATSAPP</v>
      </c>
      <c r="AG1062" s="65" t="str">
        <f>IFERROR(__xludf.DUMMYFUNCTION("""COMPUTED_VALUE"""),"SI")</f>
        <v>SI</v>
      </c>
      <c r="AH1062" s="65" t="str">
        <f>IFERROR(__xludf.DUMMYFUNCTION("""COMPUTED_VALUE"""),"17:25")</f>
        <v>17:25</v>
      </c>
      <c r="AI1062" s="65" t="str">
        <f>IFERROR(__xludf.DUMMYFUNCTION("""COMPUTED_VALUE"""),"10-02-2026")</f>
        <v>10-02-2026</v>
      </c>
      <c r="AJ1062" s="65" t="str">
        <f>IFERROR(__xludf.DUMMYFUNCTION("""COMPUTED_VALUE"""),"Dejare en el local de la dirección el dinero, jueves 12")</f>
        <v>Dejare en el local de la dirección el dinero, jueves 12</v>
      </c>
      <c r="AK1062" s="65" t="str">
        <f>IFERROR(__xludf.DUMMYFUNCTION("""COMPUTED_VALUE"""),"11:54")</f>
        <v>11:54</v>
      </c>
      <c r="AL1062" s="65" t="str">
        <f>IFERROR(__xludf.DUMMYFUNCTION("""COMPUTED_VALUE"""),"11-02-2026")</f>
        <v>11-02-2026</v>
      </c>
      <c r="AM1062" s="65"/>
      <c r="AN1062" s="65" t="str">
        <f>IFERROR(__xludf.DUMMYFUNCTION("""COMPUTED_VALUE"""),"10:27")</f>
        <v>10:27</v>
      </c>
      <c r="AO1062" s="65" t="str">
        <f>IFERROR(__xludf.DUMMYFUNCTION("""COMPUTED_VALUE"""),"12-02-2026")</f>
        <v>12-02-2026</v>
      </c>
      <c r="AP1062" s="65" t="str">
        <f>IFERROR(__xludf.DUMMYFUNCTION("""COMPUTED_VALUE"""),"ENTREGADA GINTRACOM")</f>
        <v>ENTREGADA GINTRACOM</v>
      </c>
      <c r="AQ1062" s="65" t="str">
        <f>IFERROR(__xludf.DUMMYFUNCTION("""COMPUTED_VALUE"""),"ENTREGADA GINTRACOM")</f>
        <v>ENTREGADA GINTRACOM</v>
      </c>
      <c r="AR1062" s="65"/>
      <c r="AS1062" s="65"/>
      <c r="AT1062" s="65" t="str">
        <f>IFERROR(__xludf.DUMMYFUNCTION("""COMPUTED_VALUE"""),"SHOPIFY")</f>
        <v>SHOPIFY</v>
      </c>
      <c r="AU1062" s="65" t="str">
        <f>IFERROR(__xludf.DUMMYFUNCTION("""COMPUTED_VALUE"""),"IMPORTEX EC")</f>
        <v>IMPORTEX EC</v>
      </c>
      <c r="AV1062" s="65" t="str">
        <f>IFERROR(__xludf.DUMMYFUNCTION("""COMPUTED_VALUE"""),"6479392899116")</f>
        <v>6479392899116</v>
      </c>
      <c r="AW1062" s="65">
        <f>IFERROR(__xludf.DUMMYFUNCTION("""COMPUTED_VALUE"""),5826.0)</f>
        <v>5826</v>
      </c>
      <c r="AX1062" s="65"/>
      <c r="AY1062" s="65" t="str">
        <f>IFERROR(__xludf.DUMMYFUNCTION("""COMPUTED_VALUE"""),"06/02/2026")</f>
        <v>06/02/2026</v>
      </c>
      <c r="AZ1062" s="65"/>
      <c r="BA1062" s="65"/>
    </row>
    <row r="1063">
      <c r="A1063" s="65" t="str">
        <f>IFERROR(__xludf.DUMMYFUNCTION("""COMPUTED_VALUE"""),"27-03-2026")</f>
        <v>27-03-2026</v>
      </c>
      <c r="B1063" s="65">
        <f>IFERROR(__xludf.DUMMYFUNCTION("""COMPUTED_VALUE"""),4405554.0)</f>
        <v>4405554</v>
      </c>
      <c r="C1063" s="65" t="str">
        <f>IFERROR(__xludf.DUMMYFUNCTION("""COMPUTED_VALUE"""),"10:49")</f>
        <v>10:49</v>
      </c>
      <c r="D1063" s="65" t="str">
        <f>IFERROR(__xludf.DUMMYFUNCTION("""COMPUTED_VALUE"""),"05-02-2026")</f>
        <v>05-02-2026</v>
      </c>
      <c r="E1063" s="65" t="str">
        <f>IFERROR(__xludf.DUMMYFUNCTION("""COMPUTED_VALUE"""),"Elvis Vicuña")</f>
        <v>Elvis Vicuña</v>
      </c>
      <c r="F1063" s="65" t="str">
        <f>IFERROR(__xludf.DUMMYFUNCTION("""COMPUTED_VALUE"""),"993043797")</f>
        <v>993043797</v>
      </c>
      <c r="G1063" s="65" t="str">
        <f>IFERROR(__xludf.DUMMYFUNCTION("""COMPUTED_VALUE"""),"elvicu2273@gmail.com")</f>
        <v>elvicu2273@gmail.com</v>
      </c>
      <c r="H1063" s="65"/>
      <c r="I1063" s="65"/>
      <c r="J1063" s="65" t="str">
        <f>IFERROR(__xludf.DUMMYFUNCTION("""COMPUTED_VALUE"""),"D001302758")</f>
        <v>D001302758</v>
      </c>
      <c r="K1063" s="65" t="str">
        <f>IFERROR(__xludf.DUMMYFUNCTION("""COMPUTED_VALUE"""),"ENTREGADO")</f>
        <v>ENTREGADO</v>
      </c>
      <c r="L1063" s="65" t="str">
        <f>IFERROR(__xludf.DUMMYFUNCTION("""COMPUTED_VALUE"""),"CON RECAUDO")</f>
        <v>CON RECAUDO</v>
      </c>
      <c r="M1063" s="65" t="str">
        <f>IFERROR(__xludf.DUMMYFUNCTION("""COMPUTED_VALUE"""),"GUAYAS")</f>
        <v>GUAYAS</v>
      </c>
      <c r="N1063" s="65" t="str">
        <f>IFERROR(__xludf.DUMMYFUNCTION("""COMPUTED_VALUE"""),"MILAGRO")</f>
        <v>MILAGRO</v>
      </c>
      <c r="O1063" s="65" t="str">
        <f>IFERROR(__xludf.DUMMYFUNCTION("""COMPUTED_VALUE"""),"Av Chirijos y El Oro Local de Recarga de Extintores MANVEX al lado de parrillada Buffalo -")</f>
        <v>Av Chirijos y El Oro Local de Recarga de Extintores MANVEX al lado de parrillada Buffalo -</v>
      </c>
      <c r="P1063" s="65"/>
      <c r="Q1063" s="65" t="str">
        <f>IFERROR(__xludf.DUMMYFUNCTION("""COMPUTED_VALUE"""),"GINTRACOM")</f>
        <v>GINTRACOM</v>
      </c>
      <c r="R1063" s="65">
        <f>IFERROR(__xludf.DUMMYFUNCTION("""COMPUTED_VALUE"""),22.0)</f>
        <v>22</v>
      </c>
      <c r="S1063" s="65">
        <f>IFERROR(__xludf.DUMMYFUNCTION("""COMPUTED_VALUE"""),11.54)</f>
        <v>11.54</v>
      </c>
      <c r="T1063" s="65">
        <f>IFERROR(__xludf.DUMMYFUNCTION("""COMPUTED_VALUE"""),5.26)</f>
        <v>5.26</v>
      </c>
      <c r="U1063" s="65">
        <f>IFERROR(__xludf.DUMMYFUNCTION("""COMPUTED_VALUE"""),0.0)</f>
        <v>0</v>
      </c>
      <c r="V1063" s="65">
        <f>IFERROR(__xludf.DUMMYFUNCTION("""COMPUTED_VALUE"""),0.0)</f>
        <v>0</v>
      </c>
      <c r="W1063" s="65">
        <f>IFERROR(__xludf.DUMMYFUNCTION("""COMPUTED_VALUE"""),0.0)</f>
        <v>0</v>
      </c>
      <c r="X1063" s="65">
        <f>IFERROR(__xludf.DUMMYFUNCTION("""COMPUTED_VALUE"""),2.6)</f>
        <v>2.6</v>
      </c>
      <c r="Y1063" s="65">
        <f>IFERROR(__xludf.DUMMYFUNCTION("""COMPUTED_VALUE"""),5.2)</f>
        <v>5.2</v>
      </c>
      <c r="Z1063" s="65">
        <f>IFERROR(__xludf.DUMMYFUNCTION("""COMPUTED_VALUE"""),121983.0)</f>
        <v>121983</v>
      </c>
      <c r="AA1063" s="65" t="str">
        <f>IFERROR(__xludf.DUMMYFUNCTION("""COMPUTED_VALUE"""),"PROV-CHLLCF")</f>
        <v>PROV-CHLLCF</v>
      </c>
      <c r="AB1063" s="65"/>
      <c r="AC1063" s="65" t="str">
        <f>IFERROR(__xludf.DUMMYFUNCTION("""COMPUTED_VALUE"""),"CUCHILLO PARA CHEF")</f>
        <v>CUCHILLO PARA CHEF</v>
      </c>
      <c r="AD1063" s="65"/>
      <c r="AE1063" s="65">
        <f>IFERROR(__xludf.DUMMYFUNCTION("""COMPUTED_VALUE"""),2.0)</f>
        <v>2</v>
      </c>
      <c r="AF1063" s="65"/>
      <c r="AG1063" s="65"/>
      <c r="AH1063" s="65"/>
      <c r="AI1063" s="65"/>
      <c r="AJ1063" s="65"/>
      <c r="AK1063" s="65"/>
      <c r="AL1063" s="65"/>
      <c r="AM1063" s="65"/>
      <c r="AN1063" s="65" t="str">
        <f>IFERROR(__xludf.DUMMYFUNCTION("""COMPUTED_VALUE"""),"09:59")</f>
        <v>09:59</v>
      </c>
      <c r="AO1063" s="65" t="str">
        <f>IFERROR(__xludf.DUMMYFUNCTION("""COMPUTED_VALUE"""),"09-02-2026")</f>
        <v>09-02-2026</v>
      </c>
      <c r="AP1063" s="65" t="str">
        <f>IFERROR(__xludf.DUMMYFUNCTION("""COMPUTED_VALUE"""),"ENTREGADA GINTRACOM")</f>
        <v>ENTREGADA GINTRACOM</v>
      </c>
      <c r="AQ1063" s="65" t="str">
        <f>IFERROR(__xludf.DUMMYFUNCTION("""COMPUTED_VALUE"""),"ENTREGADA GINTRACOM")</f>
        <v>ENTREGADA GINTRACOM</v>
      </c>
      <c r="AR1063" s="65"/>
      <c r="AS1063" s="65"/>
      <c r="AT1063" s="65" t="str">
        <f>IFERROR(__xludf.DUMMYFUNCTION("""COMPUTED_VALUE"""),"SHOPIFY")</f>
        <v>SHOPIFY</v>
      </c>
      <c r="AU1063" s="65" t="str">
        <f>IFERROR(__xludf.DUMMYFUNCTION("""COMPUTED_VALUE"""),"IMPORTEX EC")</f>
        <v>IMPORTEX EC</v>
      </c>
      <c r="AV1063" s="65" t="str">
        <f>IFERROR(__xludf.DUMMYFUNCTION("""COMPUTED_VALUE"""),"6479274344492")</f>
        <v>6479274344492</v>
      </c>
      <c r="AW1063" s="65">
        <f>IFERROR(__xludf.DUMMYFUNCTION("""COMPUTED_VALUE"""),5825.0)</f>
        <v>5825</v>
      </c>
      <c r="AX1063" s="65"/>
      <c r="AY1063" s="65" t="str">
        <f>IFERROR(__xludf.DUMMYFUNCTION("""COMPUTED_VALUE"""),"06/02/2026")</f>
        <v>06/02/2026</v>
      </c>
      <c r="AZ1063" s="65"/>
      <c r="BA1063" s="65"/>
    </row>
    <row r="1064">
      <c r="A1064" s="65" t="str">
        <f>IFERROR(__xludf.DUMMYFUNCTION("""COMPUTED_VALUE"""),"27-03-2026")</f>
        <v>27-03-2026</v>
      </c>
      <c r="B1064" s="65">
        <f>IFERROR(__xludf.DUMMYFUNCTION("""COMPUTED_VALUE"""),4405543.0)</f>
        <v>4405543</v>
      </c>
      <c r="C1064" s="65" t="str">
        <f>IFERROR(__xludf.DUMMYFUNCTION("""COMPUTED_VALUE"""),"10:48")</f>
        <v>10:48</v>
      </c>
      <c r="D1064" s="65" t="str">
        <f>IFERROR(__xludf.DUMMYFUNCTION("""COMPUTED_VALUE"""),"05-02-2026")</f>
        <v>05-02-2026</v>
      </c>
      <c r="E1064" s="65" t="str">
        <f>IFERROR(__xludf.DUMMYFUNCTION("""COMPUTED_VALUE"""),"José Bernabé Alcivar Vera")</f>
        <v>José Bernabé Alcivar Vera</v>
      </c>
      <c r="F1064" s="65" t="str">
        <f>IFERROR(__xludf.DUMMYFUNCTION("""COMPUTED_VALUE"""),"990583358")</f>
        <v>990583358</v>
      </c>
      <c r="G1064" s="65" t="str">
        <f>IFERROR(__xludf.DUMMYFUNCTION("""COMPUTED_VALUE"""),"josealcivar2310@gmail.com")</f>
        <v>josealcivar2310@gmail.com</v>
      </c>
      <c r="H1064" s="65"/>
      <c r="I1064" s="65"/>
      <c r="J1064" s="65" t="str">
        <f>IFERROR(__xludf.DUMMYFUNCTION("""COMPUTED_VALUE"""),"D001302759")</f>
        <v>D001302759</v>
      </c>
      <c r="K1064" s="65" t="str">
        <f>IFERROR(__xludf.DUMMYFUNCTION("""COMPUTED_VALUE"""),"ENTREGADO")</f>
        <v>ENTREGADO</v>
      </c>
      <c r="L1064" s="65" t="str">
        <f>IFERROR(__xludf.DUMMYFUNCTION("""COMPUTED_VALUE"""),"CON RECAUDO")</f>
        <v>CON RECAUDO</v>
      </c>
      <c r="M1064" s="65" t="str">
        <f>IFERROR(__xludf.DUMMYFUNCTION("""COMPUTED_VALUE"""),"GUAYAS")</f>
        <v>GUAYAS</v>
      </c>
      <c r="N1064" s="65" t="str">
        <f>IFERROR(__xludf.DUMMYFUNCTION("""COMPUTED_VALUE"""),"MILAGRO")</f>
        <v>MILAGRO</v>
      </c>
      <c r="O1064" s="65" t="str">
        <f>IFERROR(__xludf.DUMMYFUNCTION("""COMPUTED_VALUE"""),"Calderón y Escobedo taller de motos, como referencia es conocida como la esquina azul")</f>
        <v>Calderón y Escobedo taller de motos, como referencia es conocida como la esquina azul</v>
      </c>
      <c r="P1064" s="65"/>
      <c r="Q1064" s="65" t="str">
        <f>IFERROR(__xludf.DUMMYFUNCTION("""COMPUTED_VALUE"""),"GINTRACOM")</f>
        <v>GINTRACOM</v>
      </c>
      <c r="R1064" s="65">
        <f>IFERROR(__xludf.DUMMYFUNCTION("""COMPUTED_VALUE"""),27.0)</f>
        <v>27</v>
      </c>
      <c r="S1064" s="65">
        <f>IFERROR(__xludf.DUMMYFUNCTION("""COMPUTED_VALUE"""),13.75)</f>
        <v>13.75</v>
      </c>
      <c r="T1064" s="65">
        <f>IFERROR(__xludf.DUMMYFUNCTION("""COMPUTED_VALUE"""),5.45)</f>
        <v>5.45</v>
      </c>
      <c r="U1064" s="65">
        <f>IFERROR(__xludf.DUMMYFUNCTION("""COMPUTED_VALUE"""),0.0)</f>
        <v>0</v>
      </c>
      <c r="V1064" s="65">
        <f>IFERROR(__xludf.DUMMYFUNCTION("""COMPUTED_VALUE"""),0.0)</f>
        <v>0</v>
      </c>
      <c r="W1064" s="65">
        <f>IFERROR(__xludf.DUMMYFUNCTION("""COMPUTED_VALUE"""),0.0)</f>
        <v>0</v>
      </c>
      <c r="X1064" s="65">
        <f>IFERROR(__xludf.DUMMYFUNCTION("""COMPUTED_VALUE"""),2.6)</f>
        <v>2.6</v>
      </c>
      <c r="Y1064" s="65">
        <f>IFERROR(__xludf.DUMMYFUNCTION("""COMPUTED_VALUE"""),7.8)</f>
        <v>7.8</v>
      </c>
      <c r="Z1064" s="65">
        <f>IFERROR(__xludf.DUMMYFUNCTION("""COMPUTED_VALUE"""),121983.0)</f>
        <v>121983</v>
      </c>
      <c r="AA1064" s="65" t="str">
        <f>IFERROR(__xludf.DUMMYFUNCTION("""COMPUTED_VALUE"""),"PROV-CHLLCF")</f>
        <v>PROV-CHLLCF</v>
      </c>
      <c r="AB1064" s="65"/>
      <c r="AC1064" s="65" t="str">
        <f>IFERROR(__xludf.DUMMYFUNCTION("""COMPUTED_VALUE"""),"CUCHILLO PARA CHEF")</f>
        <v>CUCHILLO PARA CHEF</v>
      </c>
      <c r="AD1064" s="65"/>
      <c r="AE1064" s="65">
        <f>IFERROR(__xludf.DUMMYFUNCTION("""COMPUTED_VALUE"""),3.0)</f>
        <v>3</v>
      </c>
      <c r="AF1064" s="65" t="str">
        <f>IFERROR(__xludf.DUMMYFUNCTION("""COMPUTED_VALUE"""),"DESTINATARIO NO CONTESTA LLAMADAS NI WHATSAPP")</f>
        <v>DESTINATARIO NO CONTESTA LLAMADAS NI WHATSAPP</v>
      </c>
      <c r="AG1064" s="65" t="str">
        <f>IFERROR(__xludf.DUMMYFUNCTION("""COMPUTED_VALUE"""),"NO")</f>
        <v>NO</v>
      </c>
      <c r="AH1064" s="65" t="str">
        <f>IFERROR(__xludf.DUMMYFUNCTION("""COMPUTED_VALUE"""),"18:44")</f>
        <v>18:44</v>
      </c>
      <c r="AI1064" s="65" t="str">
        <f>IFERROR(__xludf.DUMMYFUNCTION("""COMPUTED_VALUE"""),"09-02-2026")</f>
        <v>09-02-2026</v>
      </c>
      <c r="AJ1064" s="65"/>
      <c r="AK1064" s="65"/>
      <c r="AL1064" s="65"/>
      <c r="AM1064" s="65"/>
      <c r="AN1064" s="65" t="str">
        <f>IFERROR(__xludf.DUMMYFUNCTION("""COMPUTED_VALUE"""),"11:41")</f>
        <v>11:41</v>
      </c>
      <c r="AO1064" s="65" t="str">
        <f>IFERROR(__xludf.DUMMYFUNCTION("""COMPUTED_VALUE"""),"13-02-2026")</f>
        <v>13-02-2026</v>
      </c>
      <c r="AP1064" s="65" t="str">
        <f>IFERROR(__xludf.DUMMYFUNCTION("""COMPUTED_VALUE"""),"ENTREGADA GINTRACOM")</f>
        <v>ENTREGADA GINTRACOM</v>
      </c>
      <c r="AQ1064" s="65" t="str">
        <f>IFERROR(__xludf.DUMMYFUNCTION("""COMPUTED_VALUE"""),"ENTREGADA GINTRACOM")</f>
        <v>ENTREGADA GINTRACOM</v>
      </c>
      <c r="AR1064" s="65"/>
      <c r="AS1064" s="65"/>
      <c r="AT1064" s="65" t="str">
        <f>IFERROR(__xludf.DUMMYFUNCTION("""COMPUTED_VALUE"""),"SHOPIFY")</f>
        <v>SHOPIFY</v>
      </c>
      <c r="AU1064" s="65" t="str">
        <f>IFERROR(__xludf.DUMMYFUNCTION("""COMPUTED_VALUE"""),"IMPORTEX EC")</f>
        <v>IMPORTEX EC</v>
      </c>
      <c r="AV1064" s="65" t="str">
        <f>IFERROR(__xludf.DUMMYFUNCTION("""COMPUTED_VALUE"""),"6479272509484")</f>
        <v>6479272509484</v>
      </c>
      <c r="AW1064" s="65">
        <f>IFERROR(__xludf.DUMMYFUNCTION("""COMPUTED_VALUE"""),5824.0)</f>
        <v>5824</v>
      </c>
      <c r="AX1064" s="65"/>
      <c r="AY1064" s="65" t="str">
        <f>IFERROR(__xludf.DUMMYFUNCTION("""COMPUTED_VALUE"""),"06/02/2026")</f>
        <v>06/02/2026</v>
      </c>
      <c r="AZ1064" s="65"/>
      <c r="BA1064" s="65"/>
    </row>
    <row r="1065">
      <c r="A1065" s="65" t="str">
        <f>IFERROR(__xludf.DUMMYFUNCTION("""COMPUTED_VALUE"""),"27-03-2026")</f>
        <v>27-03-2026</v>
      </c>
      <c r="B1065" s="65">
        <f>IFERROR(__xludf.DUMMYFUNCTION("""COMPUTED_VALUE"""),4405388.0)</f>
        <v>4405388</v>
      </c>
      <c r="C1065" s="65" t="str">
        <f>IFERROR(__xludf.DUMMYFUNCTION("""COMPUTED_VALUE"""),"10:33")</f>
        <v>10:33</v>
      </c>
      <c r="D1065" s="65" t="str">
        <f>IFERROR(__xludf.DUMMYFUNCTION("""COMPUTED_VALUE"""),"05-02-2026")</f>
        <v>05-02-2026</v>
      </c>
      <c r="E1065" s="65" t="str">
        <f>IFERROR(__xludf.DUMMYFUNCTION("""COMPUTED_VALUE"""),"Verónica Moncayo")</f>
        <v>Verónica Moncayo</v>
      </c>
      <c r="F1065" s="65" t="str">
        <f>IFERROR(__xludf.DUMMYFUNCTION("""COMPUTED_VALUE"""),"983960630")</f>
        <v>983960630</v>
      </c>
      <c r="G1065" s="65" t="str">
        <f>IFERROR(__xludf.DUMMYFUNCTION("""COMPUTED_VALUE"""),"verito.mrjt@gmail.com")</f>
        <v>verito.mrjt@gmail.com</v>
      </c>
      <c r="H1065" s="65"/>
      <c r="I1065" s="65"/>
      <c r="J1065" s="65"/>
      <c r="K1065" s="65" t="str">
        <f>IFERROR(__xludf.DUMMYFUNCTION("""COMPUTED_VALUE"""),"PENDIENTE CONFIRMACION")</f>
        <v>PENDIENTE CONFIRMACION</v>
      </c>
      <c r="L1065" s="65" t="str">
        <f>IFERROR(__xludf.DUMMYFUNCTION("""COMPUTED_VALUE"""),"CON RECAUDO")</f>
        <v>CON RECAUDO</v>
      </c>
      <c r="M1065" s="65" t="str">
        <f>IFERROR(__xludf.DUMMYFUNCTION("""COMPUTED_VALUE"""),"AZUAY")</f>
        <v>AZUAY</v>
      </c>
      <c r="N1065" s="65" t="str">
        <f>IFERROR(__xludf.DUMMYFUNCTION("""COMPUTED_VALUE"""),"CUENCA")</f>
        <v>CUENCA</v>
      </c>
      <c r="O1065" s="65" t="str">
        <f>IFERROR(__xludf.DUMMYFUNCTION("""COMPUTED_VALUE"""),"Ciudadela de los ingenieros civiles CICA 2 Vía ochoa león -")</f>
        <v>Ciudadela de los ingenieros civiles CICA 2 Vía ochoa león -</v>
      </c>
      <c r="P1065" s="65"/>
      <c r="Q1065" s="65" t="str">
        <f>IFERROR(__xludf.DUMMYFUNCTION("""COMPUTED_VALUE"""),"GINTRACOM")</f>
        <v>GINTRACOM</v>
      </c>
      <c r="R1065" s="65">
        <f>IFERROR(__xludf.DUMMYFUNCTION("""COMPUTED_VALUE"""),20.0)</f>
        <v>20</v>
      </c>
      <c r="S1065" s="65"/>
      <c r="T1065" s="65">
        <f>IFERROR(__xludf.DUMMYFUNCTION("""COMPUTED_VALUE"""),5.76)</f>
        <v>5.76</v>
      </c>
      <c r="U1065" s="65">
        <f>IFERROR(__xludf.DUMMYFUNCTION("""COMPUTED_VALUE"""),0.0)</f>
        <v>0</v>
      </c>
      <c r="V1065" s="65">
        <f>IFERROR(__xludf.DUMMYFUNCTION("""COMPUTED_VALUE"""),0.0)</f>
        <v>0</v>
      </c>
      <c r="W1065" s="65">
        <f>IFERROR(__xludf.DUMMYFUNCTION("""COMPUTED_VALUE"""),0.0)</f>
        <v>0</v>
      </c>
      <c r="X1065" s="65">
        <f>IFERROR(__xludf.DUMMYFUNCTION("""COMPUTED_VALUE"""),2.2)</f>
        <v>2.2</v>
      </c>
      <c r="Y1065" s="65">
        <f>IFERROR(__xludf.DUMMYFUNCTION("""COMPUTED_VALUE"""),2.2)</f>
        <v>2.2</v>
      </c>
      <c r="Z1065" s="65">
        <f>IFERROR(__xludf.DUMMYFUNCTION("""COMPUTED_VALUE"""),111894.0)</f>
        <v>111894</v>
      </c>
      <c r="AA1065" s="65" t="str">
        <f>IFERROR(__xludf.DUMMYFUNCTION("""COMPUTED_VALUE"""),"LYIC5M40067")</f>
        <v>LYIC5M40067</v>
      </c>
      <c r="AB1065" s="65"/>
      <c r="AC1065" s="65" t="str">
        <f>IFERROR(__xludf.DUMMYFUNCTION("""COMPUTED_VALUE"""),"Limpiador de Parabrisas y Ventanas")</f>
        <v>Limpiador de Parabrisas y Ventanas</v>
      </c>
      <c r="AD1065" s="65"/>
      <c r="AE1065" s="65">
        <f>IFERROR(__xludf.DUMMYFUNCTION("""COMPUTED_VALUE"""),1.0)</f>
        <v>1</v>
      </c>
      <c r="AF1065" s="65"/>
      <c r="AG1065" s="65"/>
      <c r="AH1065" s="65"/>
      <c r="AI1065" s="65"/>
      <c r="AJ1065" s="65"/>
      <c r="AK1065" s="65"/>
      <c r="AL1065" s="65"/>
      <c r="AM1065" s="65"/>
      <c r="AN1065" s="65"/>
      <c r="AO1065" s="65"/>
      <c r="AP1065" s="65"/>
      <c r="AQ1065" s="65"/>
      <c r="AR1065" s="65"/>
      <c r="AS1065" s="65"/>
      <c r="AT1065" s="65" t="str">
        <f>IFERROR(__xludf.DUMMYFUNCTION("""COMPUTED_VALUE"""),"SHOPIFY")</f>
        <v>SHOPIFY</v>
      </c>
      <c r="AU1065" s="65" t="str">
        <f>IFERROR(__xludf.DUMMYFUNCTION("""COMPUTED_VALUE"""),"IMPORTEX EC")</f>
        <v>IMPORTEX EC</v>
      </c>
      <c r="AV1065" s="65" t="str">
        <f>IFERROR(__xludf.DUMMYFUNCTION("""COMPUTED_VALUE"""),"6479238529068")</f>
        <v>6479238529068</v>
      </c>
      <c r="AW1065" s="65">
        <f>IFERROR(__xludf.DUMMYFUNCTION("""COMPUTED_VALUE"""),5823.0)</f>
        <v>5823</v>
      </c>
      <c r="AX1065" s="65"/>
      <c r="AY1065" s="65"/>
      <c r="AZ1065" s="65"/>
      <c r="BA1065" s="65"/>
    </row>
    <row r="1066">
      <c r="A1066" s="65" t="str">
        <f>IFERROR(__xludf.DUMMYFUNCTION("""COMPUTED_VALUE"""),"27-03-2026")</f>
        <v>27-03-2026</v>
      </c>
      <c r="B1066" s="65">
        <f>IFERROR(__xludf.DUMMYFUNCTION("""COMPUTED_VALUE"""),4404690.0)</f>
        <v>4404690</v>
      </c>
      <c r="C1066" s="65" t="str">
        <f>IFERROR(__xludf.DUMMYFUNCTION("""COMPUTED_VALUE"""),"09:43")</f>
        <v>09:43</v>
      </c>
      <c r="D1066" s="65" t="str">
        <f>IFERROR(__xludf.DUMMYFUNCTION("""COMPUTED_VALUE"""),"05-02-2026")</f>
        <v>05-02-2026</v>
      </c>
      <c r="E1066" s="65" t="str">
        <f>IFERROR(__xludf.DUMMYFUNCTION("""COMPUTED_VALUE"""),"Franklin Mauricio Sanmartín Fajardo")</f>
        <v>Franklin Mauricio Sanmartín Fajardo</v>
      </c>
      <c r="F1066" s="65" t="str">
        <f>IFERROR(__xludf.DUMMYFUNCTION("""COMPUTED_VALUE"""),"988810361")</f>
        <v>988810361</v>
      </c>
      <c r="G1066" s="65" t="str">
        <f>IFERROR(__xludf.DUMMYFUNCTION("""COMPUTED_VALUE"""),"maurysanmartin@gmail.com")</f>
        <v>maurysanmartin@gmail.com</v>
      </c>
      <c r="H1066" s="65"/>
      <c r="I1066" s="65"/>
      <c r="J1066" s="65"/>
      <c r="K1066" s="65" t="str">
        <f>IFERROR(__xludf.DUMMYFUNCTION("""COMPUTED_VALUE"""),"PENDIENTE CONFIRMACION")</f>
        <v>PENDIENTE CONFIRMACION</v>
      </c>
      <c r="L1066" s="65" t="str">
        <f>IFERROR(__xludf.DUMMYFUNCTION("""COMPUTED_VALUE"""),"CON RECAUDO")</f>
        <v>CON RECAUDO</v>
      </c>
      <c r="M1066" s="65" t="str">
        <f>IFERROR(__xludf.DUMMYFUNCTION("""COMPUTED_VALUE"""),"GUAYAS")</f>
        <v>GUAYAS</v>
      </c>
      <c r="N1066" s="65" t="str">
        <f>IFERROR(__xludf.DUMMYFUNCTION("""COMPUTED_VALUE"""),"NARANJITO")</f>
        <v>NARANJITO</v>
      </c>
      <c r="O1066" s="65" t="str">
        <f>IFERROR(__xludf.DUMMYFUNCTION("""COMPUTED_VALUE"""),"Vía Durán tambo km 6.5 entrando por bio mar hasta complejo de bodegas pilco Bio Mar empresa de balanceados -")</f>
        <v>Vía Durán tambo km 6.5 entrando por bio mar hasta complejo de bodegas pilco Bio Mar empresa de balanceados -</v>
      </c>
      <c r="P1066" s="65"/>
      <c r="Q1066" s="65" t="str">
        <f>IFERROR(__xludf.DUMMYFUNCTION("""COMPUTED_VALUE"""),"GINTRACOM")</f>
        <v>GINTRACOM</v>
      </c>
      <c r="R1066" s="65">
        <f>IFERROR(__xludf.DUMMYFUNCTION("""COMPUTED_VALUE"""),22.0)</f>
        <v>22</v>
      </c>
      <c r="S1066" s="65"/>
      <c r="T1066" s="65">
        <f>IFERROR(__xludf.DUMMYFUNCTION("""COMPUTED_VALUE"""),5.84)</f>
        <v>5.84</v>
      </c>
      <c r="U1066" s="65">
        <f>IFERROR(__xludf.DUMMYFUNCTION("""COMPUTED_VALUE"""),0.0)</f>
        <v>0</v>
      </c>
      <c r="V1066" s="65">
        <f>IFERROR(__xludf.DUMMYFUNCTION("""COMPUTED_VALUE"""),0.0)</f>
        <v>0</v>
      </c>
      <c r="W1066" s="65">
        <f>IFERROR(__xludf.DUMMYFUNCTION("""COMPUTED_VALUE"""),0.0)</f>
        <v>0</v>
      </c>
      <c r="X1066" s="65">
        <f>IFERROR(__xludf.DUMMYFUNCTION("""COMPUTED_VALUE"""),2.6)</f>
        <v>2.6</v>
      </c>
      <c r="Y1066" s="65">
        <f>IFERROR(__xludf.DUMMYFUNCTION("""COMPUTED_VALUE"""),5.2)</f>
        <v>5.2</v>
      </c>
      <c r="Z1066" s="65">
        <f>IFERROR(__xludf.DUMMYFUNCTION("""COMPUTED_VALUE"""),121983.0)</f>
        <v>121983</v>
      </c>
      <c r="AA1066" s="65" t="str">
        <f>IFERROR(__xludf.DUMMYFUNCTION("""COMPUTED_VALUE"""),"PROV-CHLLCF")</f>
        <v>PROV-CHLLCF</v>
      </c>
      <c r="AB1066" s="65"/>
      <c r="AC1066" s="65" t="str">
        <f>IFERROR(__xludf.DUMMYFUNCTION("""COMPUTED_VALUE"""),"CUCHILLO PARA CHEF")</f>
        <v>CUCHILLO PARA CHEF</v>
      </c>
      <c r="AD1066" s="65"/>
      <c r="AE1066" s="65">
        <f>IFERROR(__xludf.DUMMYFUNCTION("""COMPUTED_VALUE"""),2.0)</f>
        <v>2</v>
      </c>
      <c r="AF1066" s="65"/>
      <c r="AG1066" s="65"/>
      <c r="AH1066" s="65"/>
      <c r="AI1066" s="65"/>
      <c r="AJ1066" s="65"/>
      <c r="AK1066" s="65"/>
      <c r="AL1066" s="65"/>
      <c r="AM1066" s="65"/>
      <c r="AN1066" s="65"/>
      <c r="AO1066" s="65"/>
      <c r="AP1066" s="65"/>
      <c r="AQ1066" s="65"/>
      <c r="AR1066" s="65"/>
      <c r="AS1066" s="65"/>
      <c r="AT1066" s="65" t="str">
        <f>IFERROR(__xludf.DUMMYFUNCTION("""COMPUTED_VALUE"""),"SHOPIFY")</f>
        <v>SHOPIFY</v>
      </c>
      <c r="AU1066" s="65" t="str">
        <f>IFERROR(__xludf.DUMMYFUNCTION("""COMPUTED_VALUE"""),"IMPORTEX EC")</f>
        <v>IMPORTEX EC</v>
      </c>
      <c r="AV1066" s="65" t="str">
        <f>IFERROR(__xludf.DUMMYFUNCTION("""COMPUTED_VALUE"""),"6479136129068")</f>
        <v>6479136129068</v>
      </c>
      <c r="AW1066" s="65">
        <f>IFERROR(__xludf.DUMMYFUNCTION("""COMPUTED_VALUE"""),5822.0)</f>
        <v>5822</v>
      </c>
      <c r="AX1066" s="65"/>
      <c r="AY1066" s="65"/>
      <c r="AZ1066" s="65"/>
      <c r="BA1066" s="65"/>
    </row>
    <row r="1067">
      <c r="A1067" s="65" t="str">
        <f>IFERROR(__xludf.DUMMYFUNCTION("""COMPUTED_VALUE"""),"27-03-2026")</f>
        <v>27-03-2026</v>
      </c>
      <c r="B1067" s="65">
        <f>IFERROR(__xludf.DUMMYFUNCTION("""COMPUTED_VALUE"""),4404376.0)</f>
        <v>4404376</v>
      </c>
      <c r="C1067" s="65" t="str">
        <f>IFERROR(__xludf.DUMMYFUNCTION("""COMPUTED_VALUE"""),"09:19")</f>
        <v>09:19</v>
      </c>
      <c r="D1067" s="65" t="str">
        <f>IFERROR(__xludf.DUMMYFUNCTION("""COMPUTED_VALUE"""),"05-02-2026")</f>
        <v>05-02-2026</v>
      </c>
      <c r="E1067" s="65" t="str">
        <f>IFERROR(__xludf.DUMMYFUNCTION("""COMPUTED_VALUE"""),"José Joaquín Cando Calderón")</f>
        <v>José Joaquín Cando Calderón</v>
      </c>
      <c r="F1067" s="65" t="str">
        <f>IFERROR(__xludf.DUMMYFUNCTION("""COMPUTED_VALUE"""),"989614823")</f>
        <v>989614823</v>
      </c>
      <c r="G1067" s="65" t="str">
        <f>IFERROR(__xludf.DUMMYFUNCTION("""COMPUTED_VALUE"""),"candoeliel@gmail.com")</f>
        <v>candoeliel@gmail.com</v>
      </c>
      <c r="H1067" s="65"/>
      <c r="I1067" s="65"/>
      <c r="J1067" s="65" t="str">
        <f>IFERROR(__xludf.DUMMYFUNCTION("""COMPUTED_VALUE"""),"D001302989")</f>
        <v>D001302989</v>
      </c>
      <c r="K1067" s="65" t="str">
        <f>IFERROR(__xludf.DUMMYFUNCTION("""COMPUTED_VALUE"""),"ENTREGADO")</f>
        <v>ENTREGADO</v>
      </c>
      <c r="L1067" s="65" t="str">
        <f>IFERROR(__xludf.DUMMYFUNCTION("""COMPUTED_VALUE"""),"CON RECAUDO")</f>
        <v>CON RECAUDO</v>
      </c>
      <c r="M1067" s="65" t="str">
        <f>IFERROR(__xludf.DUMMYFUNCTION("""COMPUTED_VALUE"""),"IMBABURA")</f>
        <v>IMBABURA</v>
      </c>
      <c r="N1067" s="65" t="str">
        <f>IFERROR(__xludf.DUMMYFUNCTION("""COMPUTED_VALUE"""),"IBARRA")</f>
        <v>IBARRA</v>
      </c>
      <c r="O1067" s="65" t="str">
        <f>IFERROR(__xludf.DUMMYFUNCTION("""COMPUTED_VALUE"""),"Calle manuela Sánchez y Jorge Enrique Adoum  Barrio jardines de Odila diagonal casa barrial -")</f>
        <v>Calle manuela Sánchez y Jorge Enrique Adoum  Barrio jardines de Odila diagonal casa barrial -</v>
      </c>
      <c r="P1067" s="65"/>
      <c r="Q1067" s="65" t="str">
        <f>IFERROR(__xludf.DUMMYFUNCTION("""COMPUTED_VALUE"""),"GINTRACOM")</f>
        <v>GINTRACOM</v>
      </c>
      <c r="R1067" s="65">
        <f>IFERROR(__xludf.DUMMYFUNCTION("""COMPUTED_VALUE"""),20.0)</f>
        <v>20</v>
      </c>
      <c r="S1067" s="65">
        <f>IFERROR(__xludf.DUMMYFUNCTION("""COMPUTED_VALUE"""),12.04)</f>
        <v>12.04</v>
      </c>
      <c r="T1067" s="65">
        <f>IFERROR(__xludf.DUMMYFUNCTION("""COMPUTED_VALUE"""),5.76)</f>
        <v>5.76</v>
      </c>
      <c r="U1067" s="65">
        <f>IFERROR(__xludf.DUMMYFUNCTION("""COMPUTED_VALUE"""),0.0)</f>
        <v>0</v>
      </c>
      <c r="V1067" s="65">
        <f>IFERROR(__xludf.DUMMYFUNCTION("""COMPUTED_VALUE"""),0.0)</f>
        <v>0</v>
      </c>
      <c r="W1067" s="65">
        <f>IFERROR(__xludf.DUMMYFUNCTION("""COMPUTED_VALUE"""),0.0)</f>
        <v>0</v>
      </c>
      <c r="X1067" s="65">
        <f>IFERROR(__xludf.DUMMYFUNCTION("""COMPUTED_VALUE"""),2.2)</f>
        <v>2.2</v>
      </c>
      <c r="Y1067" s="65">
        <f>IFERROR(__xludf.DUMMYFUNCTION("""COMPUTED_VALUE"""),2.2)</f>
        <v>2.2</v>
      </c>
      <c r="Z1067" s="65">
        <f>IFERROR(__xludf.DUMMYFUNCTION("""COMPUTED_VALUE"""),111894.0)</f>
        <v>111894</v>
      </c>
      <c r="AA1067" s="65" t="str">
        <f>IFERROR(__xludf.DUMMYFUNCTION("""COMPUTED_VALUE"""),"LYIC5M40067")</f>
        <v>LYIC5M40067</v>
      </c>
      <c r="AB1067" s="65"/>
      <c r="AC1067" s="65" t="str">
        <f>IFERROR(__xludf.DUMMYFUNCTION("""COMPUTED_VALUE"""),"Limpiador de Parabrisas y Ventanas")</f>
        <v>Limpiador de Parabrisas y Ventanas</v>
      </c>
      <c r="AD1067" s="65"/>
      <c r="AE1067" s="65">
        <f>IFERROR(__xludf.DUMMYFUNCTION("""COMPUTED_VALUE"""),1.0)</f>
        <v>1</v>
      </c>
      <c r="AF1067" s="65"/>
      <c r="AG1067" s="65"/>
      <c r="AH1067" s="65"/>
      <c r="AI1067" s="65"/>
      <c r="AJ1067" s="65"/>
      <c r="AK1067" s="65"/>
      <c r="AL1067" s="65"/>
      <c r="AM1067" s="65"/>
      <c r="AN1067" s="65" t="str">
        <f>IFERROR(__xludf.DUMMYFUNCTION("""COMPUTED_VALUE"""),"18:55")</f>
        <v>18:55</v>
      </c>
      <c r="AO1067" s="65" t="str">
        <f>IFERROR(__xludf.DUMMYFUNCTION("""COMPUTED_VALUE"""),"09-02-2026")</f>
        <v>09-02-2026</v>
      </c>
      <c r="AP1067" s="65" t="str">
        <f>IFERROR(__xludf.DUMMYFUNCTION("""COMPUTED_VALUE"""),"ENTREGADA GINTRACOM")</f>
        <v>ENTREGADA GINTRACOM</v>
      </c>
      <c r="AQ1067" s="65" t="str">
        <f>IFERROR(__xludf.DUMMYFUNCTION("""COMPUTED_VALUE"""),"ENTREGADA GINTRACOM")</f>
        <v>ENTREGADA GINTRACOM</v>
      </c>
      <c r="AR1067" s="65"/>
      <c r="AS1067" s="65"/>
      <c r="AT1067" s="65" t="str">
        <f>IFERROR(__xludf.DUMMYFUNCTION("""COMPUTED_VALUE"""),"SHOPIFY")</f>
        <v>SHOPIFY</v>
      </c>
      <c r="AU1067" s="65" t="str">
        <f>IFERROR(__xludf.DUMMYFUNCTION("""COMPUTED_VALUE"""),"IMPORTEX EC")</f>
        <v>IMPORTEX EC</v>
      </c>
      <c r="AV1067" s="65" t="str">
        <f>IFERROR(__xludf.DUMMYFUNCTION("""COMPUTED_VALUE"""),"6479088877612")</f>
        <v>6479088877612</v>
      </c>
      <c r="AW1067" s="65">
        <f>IFERROR(__xludf.DUMMYFUNCTION("""COMPUTED_VALUE"""),5821.0)</f>
        <v>5821</v>
      </c>
      <c r="AX1067" s="65"/>
      <c r="AY1067" s="65" t="str">
        <f>IFERROR(__xludf.DUMMYFUNCTION("""COMPUTED_VALUE"""),"06/02/2026")</f>
        <v>06/02/2026</v>
      </c>
      <c r="AZ1067" s="65"/>
      <c r="BA1067" s="65"/>
    </row>
    <row r="1068">
      <c r="A1068" s="65" t="str">
        <f>IFERROR(__xludf.DUMMYFUNCTION("""COMPUTED_VALUE"""),"27-03-2026")</f>
        <v>27-03-2026</v>
      </c>
      <c r="B1068" s="65">
        <f>IFERROR(__xludf.DUMMYFUNCTION("""COMPUTED_VALUE"""),4394274.0)</f>
        <v>4394274</v>
      </c>
      <c r="C1068" s="65" t="str">
        <f>IFERROR(__xludf.DUMMYFUNCTION("""COMPUTED_VALUE"""),"12:44")</f>
        <v>12:44</v>
      </c>
      <c r="D1068" s="65" t="str">
        <f>IFERROR(__xludf.DUMMYFUNCTION("""COMPUTED_VALUE"""),"04-02-2026")</f>
        <v>04-02-2026</v>
      </c>
      <c r="E1068" s="65" t="str">
        <f>IFERROR(__xludf.DUMMYFUNCTION("""COMPUTED_VALUE"""),"Carlos Bruno")</f>
        <v>Carlos Bruno</v>
      </c>
      <c r="F1068" s="65" t="str">
        <f>IFERROR(__xludf.DUMMYFUNCTION("""COMPUTED_VALUE"""),"985728855")</f>
        <v>985728855</v>
      </c>
      <c r="G1068" s="65"/>
      <c r="H1068" s="65"/>
      <c r="I1068" s="65"/>
      <c r="J1068" s="65"/>
      <c r="K1068" s="65" t="str">
        <f>IFERROR(__xludf.DUMMYFUNCTION("""COMPUTED_VALUE"""),"PENDIENTE CONFIRMACION")</f>
        <v>PENDIENTE CONFIRMACION</v>
      </c>
      <c r="L1068" s="65" t="str">
        <f>IFERROR(__xludf.DUMMYFUNCTION("""COMPUTED_VALUE"""),"CON RECAUDO")</f>
        <v>CON RECAUDO</v>
      </c>
      <c r="M1068" s="65" t="str">
        <f>IFERROR(__xludf.DUMMYFUNCTION("""COMPUTED_VALUE"""),"GUAYAS")</f>
        <v>GUAYAS</v>
      </c>
      <c r="N1068" s="65" t="str">
        <f>IFERROR(__xludf.DUMMYFUNCTION("""COMPUTED_VALUE"""),"GUAYAQUIL")</f>
        <v>GUAYAQUIL</v>
      </c>
      <c r="O1068" s="65" t="str">
        <f>IFERROR(__xludf.DUMMYFUNCTION("""COMPUTED_VALUE"""),"Maldonado 3813 y la 19 avA  -")</f>
        <v>Maldonado 3813 y la 19 avA  -</v>
      </c>
      <c r="P1068" s="65" t="str">
        <f>IFERROR(__xludf.DUMMYFUNCTION("""COMPUTED_VALUE"""),"LLAVE TRINQUETE: Default Title ***")</f>
        <v>LLAVE TRINQUETE: Default Title ***</v>
      </c>
      <c r="Q1068" s="65" t="str">
        <f>IFERROR(__xludf.DUMMYFUNCTION("""COMPUTED_VALUE"""),"GINTRACOM")</f>
        <v>GINTRACOM</v>
      </c>
      <c r="R1068" s="65">
        <f>IFERROR(__xludf.DUMMYFUNCTION("""COMPUTED_VALUE"""),19.99)</f>
        <v>19.99</v>
      </c>
      <c r="S1068" s="65"/>
      <c r="T1068" s="65">
        <f>IFERROR(__xludf.DUMMYFUNCTION("""COMPUTED_VALUE"""),5.75)</f>
        <v>5.75</v>
      </c>
      <c r="U1068" s="65">
        <f>IFERROR(__xludf.DUMMYFUNCTION("""COMPUTED_VALUE"""),0.0)</f>
        <v>0</v>
      </c>
      <c r="V1068" s="65">
        <f>IFERROR(__xludf.DUMMYFUNCTION("""COMPUTED_VALUE"""),0.0)</f>
        <v>0</v>
      </c>
      <c r="W1068" s="65">
        <f>IFERROR(__xludf.DUMMYFUNCTION("""COMPUTED_VALUE"""),0.0)</f>
        <v>0</v>
      </c>
      <c r="X1068" s="65">
        <f>IFERROR(__xludf.DUMMYFUNCTION("""COMPUTED_VALUE"""),5.0)</f>
        <v>5</v>
      </c>
      <c r="Y1068" s="65">
        <f>IFERROR(__xludf.DUMMYFUNCTION("""COMPUTED_VALUE"""),5.0)</f>
        <v>5</v>
      </c>
      <c r="Z1068" s="65">
        <f>IFERROR(__xludf.DUMMYFUNCTION("""COMPUTED_VALUE"""),110064.0)</f>
        <v>110064</v>
      </c>
      <c r="AA1068" s="65" t="str">
        <f>IFERROR(__xludf.DUMMYFUNCTION("""COMPUTED_VALUE"""),"IMX-00001")</f>
        <v>IMX-00001</v>
      </c>
      <c r="AB1068" s="65"/>
      <c r="AC1068" s="65" t="str">
        <f>IFERROR(__xludf.DUMMYFUNCTION("""COMPUTED_VALUE"""),"LLAVE TRINQUETE")</f>
        <v>LLAVE TRINQUETE</v>
      </c>
      <c r="AD1068" s="65"/>
      <c r="AE1068" s="65">
        <f>IFERROR(__xludf.DUMMYFUNCTION("""COMPUTED_VALUE"""),1.0)</f>
        <v>1</v>
      </c>
      <c r="AF1068" s="65"/>
      <c r="AG1068" s="65"/>
      <c r="AH1068" s="65"/>
      <c r="AI1068" s="65"/>
      <c r="AJ1068" s="65"/>
      <c r="AK1068" s="65"/>
      <c r="AL1068" s="65"/>
      <c r="AM1068" s="65"/>
      <c r="AN1068" s="65"/>
      <c r="AO1068" s="65"/>
      <c r="AP1068" s="65"/>
      <c r="AQ1068" s="65"/>
      <c r="AR1068" s="65"/>
      <c r="AS1068" s="65"/>
      <c r="AT1068" s="65" t="str">
        <f>IFERROR(__xludf.DUMMYFUNCTION("""COMPUTED_VALUE"""),"SHOPIFY")</f>
        <v>SHOPIFY</v>
      </c>
      <c r="AU1068" s="65" t="str">
        <f>IFERROR(__xludf.DUMMYFUNCTION("""COMPUTED_VALUE"""),"IMPORTEX EC")</f>
        <v>IMPORTEX EC</v>
      </c>
      <c r="AV1068" s="65" t="str">
        <f>IFERROR(__xludf.DUMMYFUNCTION("""COMPUTED_VALUE"""),"6476871041068")</f>
        <v>6476871041068</v>
      </c>
      <c r="AW1068" s="65">
        <f>IFERROR(__xludf.DUMMYFUNCTION("""COMPUTED_VALUE"""),5820.0)</f>
        <v>5820</v>
      </c>
      <c r="AX1068" s="65"/>
      <c r="AY1068" s="65"/>
      <c r="AZ1068" s="65"/>
      <c r="BA1068" s="65"/>
    </row>
    <row r="1069">
      <c r="A1069" s="65" t="str">
        <f>IFERROR(__xludf.DUMMYFUNCTION("""COMPUTED_VALUE"""),"27-03-2026")</f>
        <v>27-03-2026</v>
      </c>
      <c r="B1069" s="65">
        <f>IFERROR(__xludf.DUMMYFUNCTION("""COMPUTED_VALUE"""),4383686.0)</f>
        <v>4383686</v>
      </c>
      <c r="C1069" s="65" t="str">
        <f>IFERROR(__xludf.DUMMYFUNCTION("""COMPUTED_VALUE"""),"15:41")</f>
        <v>15:41</v>
      </c>
      <c r="D1069" s="65" t="str">
        <f>IFERROR(__xludf.DUMMYFUNCTION("""COMPUTED_VALUE"""),"03-02-2026")</f>
        <v>03-02-2026</v>
      </c>
      <c r="E1069" s="65" t="str">
        <f>IFERROR(__xludf.DUMMYFUNCTION("""COMPUTED_VALUE"""),"Jorge H")</f>
        <v>Jorge H</v>
      </c>
      <c r="F1069" s="65" t="str">
        <f>IFERROR(__xludf.DUMMYFUNCTION("""COMPUTED_VALUE"""),"987938858")</f>
        <v>987938858</v>
      </c>
      <c r="G1069" s="65"/>
      <c r="H1069" s="65"/>
      <c r="I1069" s="65"/>
      <c r="J1069" s="65" t="str">
        <f>IFERROR(__xludf.DUMMYFUNCTION("""COMPUTED_VALUE"""),"D001294465")</f>
        <v>D001294465</v>
      </c>
      <c r="K1069" s="65" t="str">
        <f>IFERROR(__xludf.DUMMYFUNCTION("""COMPUTED_VALUE"""),"DEVOLUCION")</f>
        <v>DEVOLUCION</v>
      </c>
      <c r="L1069" s="65" t="str">
        <f>IFERROR(__xludf.DUMMYFUNCTION("""COMPUTED_VALUE"""),"CON RECAUDO")</f>
        <v>CON RECAUDO</v>
      </c>
      <c r="M1069" s="65" t="str">
        <f>IFERROR(__xludf.DUMMYFUNCTION("""COMPUTED_VALUE"""),"CHIMBORAZO")</f>
        <v>CHIMBORAZO</v>
      </c>
      <c r="N1069" s="65" t="str">
        <f>IFERROR(__xludf.DUMMYFUNCTION("""COMPUTED_VALUE"""),"RIOBAMBA")</f>
        <v>RIOBAMBA</v>
      </c>
      <c r="O1069" s="65" t="str">
        <f>IFERROR(__xludf.DUMMYFUNCTION("""COMPUTED_VALUE"""),"Boyacá #4 y Augusto Alzamora, Barrio San Luis, Sector Solca, RIOBAMBA, CHIMBORAZO")</f>
        <v>Boyacá #4 y Augusto Alzamora, Barrio San Luis, Sector Solca, RIOBAMBA, CHIMBORAZO</v>
      </c>
      <c r="P1069" s="65"/>
      <c r="Q1069" s="65" t="str">
        <f>IFERROR(__xludf.DUMMYFUNCTION("""COMPUTED_VALUE"""),"GINTRACOM")</f>
        <v>GINTRACOM</v>
      </c>
      <c r="R1069" s="65">
        <f>IFERROR(__xludf.DUMMYFUNCTION("""COMPUTED_VALUE"""),28.0)</f>
        <v>28</v>
      </c>
      <c r="S1069" s="65"/>
      <c r="T1069" s="65">
        <f>IFERROR(__xludf.DUMMYFUNCTION("""COMPUTED_VALUE"""),6.08)</f>
        <v>6.08</v>
      </c>
      <c r="U1069" s="65">
        <f>IFERROR(__xludf.DUMMYFUNCTION("""COMPUTED_VALUE"""),0.0)</f>
        <v>0</v>
      </c>
      <c r="V1069" s="65">
        <f>IFERROR(__xludf.DUMMYFUNCTION("""COMPUTED_VALUE"""),0.0)</f>
        <v>0</v>
      </c>
      <c r="W1069" s="65">
        <f>IFERROR(__xludf.DUMMYFUNCTION("""COMPUTED_VALUE"""),0.0)</f>
        <v>0</v>
      </c>
      <c r="X1069" s="65">
        <f>IFERROR(__xludf.DUMMYFUNCTION("""COMPUTED_VALUE"""),5.0)</f>
        <v>5</v>
      </c>
      <c r="Y1069" s="65">
        <f>IFERROR(__xludf.DUMMYFUNCTION("""COMPUTED_VALUE"""),10.0)</f>
        <v>10</v>
      </c>
      <c r="Z1069" s="65">
        <f>IFERROR(__xludf.DUMMYFUNCTION("""COMPUTED_VALUE"""),110064.0)</f>
        <v>110064</v>
      </c>
      <c r="AA1069" s="65" t="str">
        <f>IFERROR(__xludf.DUMMYFUNCTION("""COMPUTED_VALUE"""),"IMX-00001")</f>
        <v>IMX-00001</v>
      </c>
      <c r="AB1069" s="65"/>
      <c r="AC1069" s="65" t="str">
        <f>IFERROR(__xludf.DUMMYFUNCTION("""COMPUTED_VALUE"""),"LLAVE TRINQUETE")</f>
        <v>LLAVE TRINQUETE</v>
      </c>
      <c r="AD1069" s="65"/>
      <c r="AE1069" s="65">
        <f>IFERROR(__xludf.DUMMYFUNCTION("""COMPUTED_VALUE"""),2.0)</f>
        <v>2</v>
      </c>
      <c r="AF1069" s="65" t="str">
        <f>IFERROR(__xludf.DUMMYFUNCTION("""COMPUTED_VALUE"""),"DESTINATARIO INDICA QUE SE ENCUENTRA FUERA DE LA CIUDAD")</f>
        <v>DESTINATARIO INDICA QUE SE ENCUENTRA FUERA DE LA CIUDAD</v>
      </c>
      <c r="AG1069" s="65" t="str">
        <f>IFERROR(__xludf.DUMMYFUNCTION("""COMPUTED_VALUE"""),"NO")</f>
        <v>NO</v>
      </c>
      <c r="AH1069" s="65" t="str">
        <f>IFERROR(__xludf.DUMMYFUNCTION("""COMPUTED_VALUE"""),"16:25")</f>
        <v>16:25</v>
      </c>
      <c r="AI1069" s="65" t="str">
        <f>IFERROR(__xludf.DUMMYFUNCTION("""COMPUTED_VALUE"""),"14-02-2026")</f>
        <v>14-02-2026</v>
      </c>
      <c r="AJ1069" s="65"/>
      <c r="AK1069" s="65"/>
      <c r="AL1069" s="65"/>
      <c r="AM1069" s="65"/>
      <c r="AN1069" s="65" t="str">
        <f>IFERROR(__xludf.DUMMYFUNCTION("""COMPUTED_VALUE"""),"12:03")</f>
        <v>12:03</v>
      </c>
      <c r="AO1069" s="65" t="str">
        <f>IFERROR(__xludf.DUMMYFUNCTION("""COMPUTED_VALUE"""),"27-02-2026")</f>
        <v>27-02-2026</v>
      </c>
      <c r="AP1069" s="65" t="str">
        <f>IFERROR(__xludf.DUMMYFUNCTION("""COMPUTED_VALUE"""),"DEVOLUCIÓN ENTREGADA A ORIGEN")</f>
        <v>DEVOLUCIÓN ENTREGADA A ORIGEN</v>
      </c>
      <c r="AQ1069" s="65" t="str">
        <f>IFERROR(__xludf.DUMMYFUNCTION("""COMPUTED_VALUE"""),"DEVOLUCIÓN ENTREGADA A ORIGEN")</f>
        <v>DEVOLUCIÓN ENTREGADA A ORIGEN</v>
      </c>
      <c r="AR1069" s="65"/>
      <c r="AS1069" s="65"/>
      <c r="AT1069" s="65"/>
      <c r="AU1069" s="65"/>
      <c r="AV1069" s="65"/>
      <c r="AW1069" s="65"/>
      <c r="AX1069" s="65"/>
      <c r="AY1069" s="65" t="str">
        <f>IFERROR(__xludf.DUMMYFUNCTION("""COMPUTED_VALUE"""),"04/02/2026")</f>
        <v>04/02/2026</v>
      </c>
      <c r="AZ1069" s="65"/>
      <c r="BA1069" s="65"/>
    </row>
    <row r="1070">
      <c r="A1070" s="65" t="str">
        <f>IFERROR(__xludf.DUMMYFUNCTION("""COMPUTED_VALUE"""),"27-03-2026")</f>
        <v>27-03-2026</v>
      </c>
      <c r="B1070" s="65">
        <f>IFERROR(__xludf.DUMMYFUNCTION("""COMPUTED_VALUE"""),4372643.0)</f>
        <v>4372643</v>
      </c>
      <c r="C1070" s="65" t="str">
        <f>IFERROR(__xludf.DUMMYFUNCTION("""COMPUTED_VALUE"""),"18:55")</f>
        <v>18:55</v>
      </c>
      <c r="D1070" s="65" t="str">
        <f>IFERROR(__xludf.DUMMYFUNCTION("""COMPUTED_VALUE"""),"02-02-2026")</f>
        <v>02-02-2026</v>
      </c>
      <c r="E1070" s="65" t="str">
        <f>IFERROR(__xludf.DUMMYFUNCTION("""COMPUTED_VALUE"""),"César Acosta")</f>
        <v>César Acosta</v>
      </c>
      <c r="F1070" s="65" t="str">
        <f>IFERROR(__xludf.DUMMYFUNCTION("""COMPUTED_VALUE"""),"985446424")</f>
        <v>985446424</v>
      </c>
      <c r="G1070" s="65"/>
      <c r="H1070" s="65"/>
      <c r="I1070" s="65"/>
      <c r="J1070" s="65" t="str">
        <f>IFERROR(__xludf.DUMMYFUNCTION("""COMPUTED_VALUE"""),"186994290")</f>
        <v>186994290</v>
      </c>
      <c r="K1070" s="65" t="str">
        <f>IFERROR(__xludf.DUMMYFUNCTION("""COMPUTED_VALUE"""),"ENTREGADO")</f>
        <v>ENTREGADO</v>
      </c>
      <c r="L1070" s="65" t="str">
        <f>IFERROR(__xludf.DUMMYFUNCTION("""COMPUTED_VALUE"""),"CON RECAUDO")</f>
        <v>CON RECAUDO</v>
      </c>
      <c r="M1070" s="65" t="str">
        <f>IFERROR(__xludf.DUMMYFUNCTION("""COMPUTED_VALUE"""),"IMBABURA")</f>
        <v>IMBABURA</v>
      </c>
      <c r="N1070" s="65" t="str">
        <f>IFERROR(__xludf.DUMMYFUNCTION("""COMPUTED_VALUE"""),"IBARRA")</f>
        <v>IBARRA</v>
      </c>
      <c r="O1070" s="65" t="str">
        <f>IFERROR(__xludf.DUMMYFUNCTION("""COMPUTED_VALUE"""),"RETIRA EN CS : IBARRA_SANCHEZ - SANCHEZ Y CIFUENTES 9-54 Y PEDRO MONCAYO")</f>
        <v>RETIRA EN CS : IBARRA_SANCHEZ - SANCHEZ Y CIFUENTES 9-54 Y PEDRO MONCAYO</v>
      </c>
      <c r="P1070" s="65"/>
      <c r="Q1070" s="65" t="str">
        <f>IFERROR(__xludf.DUMMYFUNCTION("""COMPUTED_VALUE"""),"SERVIENTREGA")</f>
        <v>SERVIENTREGA</v>
      </c>
      <c r="R1070" s="65">
        <f>IFERROR(__xludf.DUMMYFUNCTION("""COMPUTED_VALUE"""),20.0)</f>
        <v>20</v>
      </c>
      <c r="S1070" s="65">
        <f>IFERROR(__xludf.DUMMYFUNCTION("""COMPUTED_VALUE"""),9.03)</f>
        <v>9.03</v>
      </c>
      <c r="T1070" s="65">
        <f>IFERROR(__xludf.DUMMYFUNCTION("""COMPUTED_VALUE"""),5.97)</f>
        <v>5.97</v>
      </c>
      <c r="U1070" s="65">
        <f>IFERROR(__xludf.DUMMYFUNCTION("""COMPUTED_VALUE"""),0.0)</f>
        <v>0</v>
      </c>
      <c r="V1070" s="65">
        <f>IFERROR(__xludf.DUMMYFUNCTION("""COMPUTED_VALUE"""),0.0)</f>
        <v>0</v>
      </c>
      <c r="W1070" s="65">
        <f>IFERROR(__xludf.DUMMYFUNCTION("""COMPUTED_VALUE"""),0.0)</f>
        <v>0</v>
      </c>
      <c r="X1070" s="65">
        <f>IFERROR(__xludf.DUMMYFUNCTION("""COMPUTED_VALUE"""),5.0)</f>
        <v>5</v>
      </c>
      <c r="Y1070" s="65">
        <f>IFERROR(__xludf.DUMMYFUNCTION("""COMPUTED_VALUE"""),5.0)</f>
        <v>5</v>
      </c>
      <c r="Z1070" s="65">
        <f>IFERROR(__xludf.DUMMYFUNCTION("""COMPUTED_VALUE"""),110064.0)</f>
        <v>110064</v>
      </c>
      <c r="AA1070" s="65" t="str">
        <f>IFERROR(__xludf.DUMMYFUNCTION("""COMPUTED_VALUE"""),"IMX-00001")</f>
        <v>IMX-00001</v>
      </c>
      <c r="AB1070" s="65"/>
      <c r="AC1070" s="65" t="str">
        <f>IFERROR(__xludf.DUMMYFUNCTION("""COMPUTED_VALUE"""),"LLAVE TRINQUETE")</f>
        <v>LLAVE TRINQUETE</v>
      </c>
      <c r="AD1070" s="65"/>
      <c r="AE1070" s="65">
        <f>IFERROR(__xludf.DUMMYFUNCTION("""COMPUTED_VALUE"""),1.0)</f>
        <v>1</v>
      </c>
      <c r="AF1070" s="65"/>
      <c r="AG1070" s="65"/>
      <c r="AH1070" s="65"/>
      <c r="AI1070" s="65"/>
      <c r="AJ1070" s="65"/>
      <c r="AK1070" s="65"/>
      <c r="AL1070" s="65"/>
      <c r="AM1070" s="65"/>
      <c r="AN1070" s="65" t="str">
        <f>IFERROR(__xludf.DUMMYFUNCTION("""COMPUTED_VALUE"""),"12:18")</f>
        <v>12:18</v>
      </c>
      <c r="AO1070" s="65" t="str">
        <f>IFERROR(__xludf.DUMMYFUNCTION("""COMPUTED_VALUE"""),"19-02-2026")</f>
        <v>19-02-2026</v>
      </c>
      <c r="AP1070" s="65" t="str">
        <f>IFERROR(__xludf.DUMMYFUNCTION("""COMPUTED_VALUE"""),"ENTREGA DIGITALIZADA EN CENTRO LOGISTICO")</f>
        <v>ENTREGA DIGITALIZADA EN CENTRO LOGISTICO</v>
      </c>
      <c r="AQ1070" s="65" t="str">
        <f>IFERROR(__xludf.DUMMYFUNCTION("""COMPUTED_VALUE"""),"JULIANA CARCELEN")</f>
        <v>JULIANA CARCELEN</v>
      </c>
      <c r="AR1070" s="65"/>
      <c r="AS1070" s="65"/>
      <c r="AT1070" s="65"/>
      <c r="AU1070" s="65"/>
      <c r="AV1070" s="65"/>
      <c r="AW1070" s="65"/>
      <c r="AX1070" s="65"/>
      <c r="AY1070" s="65" t="str">
        <f>IFERROR(__xludf.DUMMYFUNCTION("""COMPUTED_VALUE"""),"03/02/2026")</f>
        <v>03/02/2026</v>
      </c>
      <c r="AZ1070" s="65"/>
      <c r="BA1070" s="65"/>
    </row>
    <row r="1071">
      <c r="A1071" s="65" t="str">
        <f>IFERROR(__xludf.DUMMYFUNCTION("""COMPUTED_VALUE"""),"27-03-2026")</f>
        <v>27-03-2026</v>
      </c>
      <c r="B1071" s="65">
        <f>IFERROR(__xludf.DUMMYFUNCTION("""COMPUTED_VALUE"""),4372193.0)</f>
        <v>4372193</v>
      </c>
      <c r="C1071" s="65" t="str">
        <f>IFERROR(__xludf.DUMMYFUNCTION("""COMPUTED_VALUE"""),"18:02")</f>
        <v>18:02</v>
      </c>
      <c r="D1071" s="65" t="str">
        <f>IFERROR(__xludf.DUMMYFUNCTION("""COMPUTED_VALUE"""),"02-02-2026")</f>
        <v>02-02-2026</v>
      </c>
      <c r="E1071" s="65" t="str">
        <f>IFERROR(__xludf.DUMMYFUNCTION("""COMPUTED_VALUE"""),"María Jose Yánez")</f>
        <v>María Jose Yánez</v>
      </c>
      <c r="F1071" s="65" t="str">
        <f>IFERROR(__xludf.DUMMYFUNCTION("""COMPUTED_VALUE"""),"969958828")</f>
        <v>969958828</v>
      </c>
      <c r="G1071" s="65" t="str">
        <f>IFERROR(__xludf.DUMMYFUNCTION("""COMPUTED_VALUE"""),"majoyan_22@hotmail.com")</f>
        <v>majoyan_22@hotmail.com</v>
      </c>
      <c r="H1071" s="65"/>
      <c r="I1071" s="65"/>
      <c r="J1071" s="65"/>
      <c r="K1071" s="65" t="str">
        <f>IFERROR(__xludf.DUMMYFUNCTION("""COMPUTED_VALUE"""),"PENDIENTE CONFIRMACION")</f>
        <v>PENDIENTE CONFIRMACION</v>
      </c>
      <c r="L1071" s="65" t="str">
        <f>IFERROR(__xludf.DUMMYFUNCTION("""COMPUTED_VALUE"""),"CON RECAUDO")</f>
        <v>CON RECAUDO</v>
      </c>
      <c r="M1071" s="65" t="str">
        <f>IFERROR(__xludf.DUMMYFUNCTION("""COMPUTED_VALUE"""),"PICHINCHA")</f>
        <v>PICHINCHA</v>
      </c>
      <c r="N1071" s="65" t="str">
        <f>IFERROR(__xludf.DUMMYFUNCTION("""COMPUTED_VALUE"""),"QUITO")</f>
        <v>QUITO</v>
      </c>
      <c r="O1071" s="65" t="str">
        <f>IFERROR(__xludf.DUMMYFUNCTION("""COMPUTED_VALUE"""),"De los cerezos Oe3-340 Jorge Pérez concha Conjunto san Fernando del norte -")</f>
        <v>De los cerezos Oe3-340 Jorge Pérez concha Conjunto san Fernando del norte -</v>
      </c>
      <c r="P1071" s="65"/>
      <c r="Q1071" s="65" t="str">
        <f>IFERROR(__xludf.DUMMYFUNCTION("""COMPUTED_VALUE"""),"GINTRACOM")</f>
        <v>GINTRACOM</v>
      </c>
      <c r="R1071" s="65">
        <f>IFERROR(__xludf.DUMMYFUNCTION("""COMPUTED_VALUE"""),30.0)</f>
        <v>30</v>
      </c>
      <c r="S1071" s="65"/>
      <c r="T1071" s="65">
        <f>IFERROR(__xludf.DUMMYFUNCTION("""COMPUTED_VALUE"""),6.16)</f>
        <v>6.16</v>
      </c>
      <c r="U1071" s="65">
        <f>IFERROR(__xludf.DUMMYFUNCTION("""COMPUTED_VALUE"""),0.0)</f>
        <v>0</v>
      </c>
      <c r="V1071" s="65">
        <f>IFERROR(__xludf.DUMMYFUNCTION("""COMPUTED_VALUE"""),0.0)</f>
        <v>0</v>
      </c>
      <c r="W1071" s="65">
        <f>IFERROR(__xludf.DUMMYFUNCTION("""COMPUTED_VALUE"""),0.0)</f>
        <v>0</v>
      </c>
      <c r="X1071" s="65">
        <f>IFERROR(__xludf.DUMMYFUNCTION("""COMPUTED_VALUE"""),2.2)</f>
        <v>2.2</v>
      </c>
      <c r="Y1071" s="65">
        <f>IFERROR(__xludf.DUMMYFUNCTION("""COMPUTED_VALUE"""),6.6)</f>
        <v>6.6</v>
      </c>
      <c r="Z1071" s="65">
        <f>IFERROR(__xludf.DUMMYFUNCTION("""COMPUTED_VALUE"""),111894.0)</f>
        <v>111894</v>
      </c>
      <c r="AA1071" s="65" t="str">
        <f>IFERROR(__xludf.DUMMYFUNCTION("""COMPUTED_VALUE"""),"LYIC5M40067")</f>
        <v>LYIC5M40067</v>
      </c>
      <c r="AB1071" s="65"/>
      <c r="AC1071" s="65" t="str">
        <f>IFERROR(__xludf.DUMMYFUNCTION("""COMPUTED_VALUE"""),"Limpiador de Parabrisas y Ventanas")</f>
        <v>Limpiador de Parabrisas y Ventanas</v>
      </c>
      <c r="AD1071" s="65"/>
      <c r="AE1071" s="65">
        <f>IFERROR(__xludf.DUMMYFUNCTION("""COMPUTED_VALUE"""),3.0)</f>
        <v>3</v>
      </c>
      <c r="AF1071" s="65"/>
      <c r="AG1071" s="65"/>
      <c r="AH1071" s="65"/>
      <c r="AI1071" s="65"/>
      <c r="AJ1071" s="65"/>
      <c r="AK1071" s="65"/>
      <c r="AL1071" s="65"/>
      <c r="AM1071" s="65"/>
      <c r="AN1071" s="65"/>
      <c r="AO1071" s="65"/>
      <c r="AP1071" s="65"/>
      <c r="AQ1071" s="65"/>
      <c r="AR1071" s="65"/>
      <c r="AS1071" s="65"/>
      <c r="AT1071" s="65" t="str">
        <f>IFERROR(__xludf.DUMMYFUNCTION("""COMPUTED_VALUE"""),"SHOPIFY")</f>
        <v>SHOPIFY</v>
      </c>
      <c r="AU1071" s="65" t="str">
        <f>IFERROR(__xludf.DUMMYFUNCTION("""COMPUTED_VALUE"""),"IMPORTEX EC")</f>
        <v>IMPORTEX EC</v>
      </c>
      <c r="AV1071" s="65" t="str">
        <f>IFERROR(__xludf.DUMMYFUNCTION("""COMPUTED_VALUE"""),"6470156320812")</f>
        <v>6470156320812</v>
      </c>
      <c r="AW1071" s="65">
        <f>IFERROR(__xludf.DUMMYFUNCTION("""COMPUTED_VALUE"""),5797.0)</f>
        <v>5797</v>
      </c>
      <c r="AX1071" s="65"/>
      <c r="AY1071" s="65"/>
      <c r="AZ1071" s="65"/>
      <c r="BA1071" s="65"/>
    </row>
    <row r="1072">
      <c r="A1072" s="65" t="str">
        <f>IFERROR(__xludf.DUMMYFUNCTION("""COMPUTED_VALUE"""),"27-03-2026")</f>
        <v>27-03-2026</v>
      </c>
      <c r="B1072" s="65">
        <f>IFERROR(__xludf.DUMMYFUNCTION("""COMPUTED_VALUE"""),4372035.0)</f>
        <v>4372035</v>
      </c>
      <c r="C1072" s="65" t="str">
        <f>IFERROR(__xludf.DUMMYFUNCTION("""COMPUTED_VALUE"""),"17:48")</f>
        <v>17:48</v>
      </c>
      <c r="D1072" s="65" t="str">
        <f>IFERROR(__xludf.DUMMYFUNCTION("""COMPUTED_VALUE"""),"02-02-2026")</f>
        <v>02-02-2026</v>
      </c>
      <c r="E1072" s="65" t="str">
        <f>IFERROR(__xludf.DUMMYFUNCTION("""COMPUTED_VALUE"""),"Agripino Milciades Fernandez Nupia")</f>
        <v>Agripino Milciades Fernandez Nupia</v>
      </c>
      <c r="F1072" s="65" t="str">
        <f>IFERROR(__xludf.DUMMYFUNCTION("""COMPUTED_VALUE"""),"987912213")</f>
        <v>987912213</v>
      </c>
      <c r="G1072" s="65"/>
      <c r="H1072" s="65"/>
      <c r="I1072" s="65"/>
      <c r="J1072" s="65"/>
      <c r="K1072" s="65" t="str">
        <f>IFERROR(__xludf.DUMMYFUNCTION("""COMPUTED_VALUE"""),"PENDIENTE CONFIRMACION")</f>
        <v>PENDIENTE CONFIRMACION</v>
      </c>
      <c r="L1072" s="65" t="str">
        <f>IFERROR(__xludf.DUMMYFUNCTION("""COMPUTED_VALUE"""),"CON RECAUDO")</f>
        <v>CON RECAUDO</v>
      </c>
      <c r="M1072" s="65" t="str">
        <f>IFERROR(__xludf.DUMMYFUNCTION("""COMPUTED_VALUE"""),"LOS RIOS")</f>
        <v>LOS RIOS</v>
      </c>
      <c r="N1072" s="65" t="str">
        <f>IFERROR(__xludf.DUMMYFUNCTION("""COMPUTED_VALUE"""),"QUEVEDO")</f>
        <v>QUEVEDO</v>
      </c>
      <c r="O1072" s="65" t="str">
        <f>IFERROR(__xludf.DUMMYFUNCTION("""COMPUTED_VALUE"""),"Retira en CS : QUEVEDO_EL GUAYACAN II - CDLA. GUAYACAN II SOLAR 22 DIAGONAL A FARMACIA SANA SANA")</f>
        <v>Retira en CS : QUEVEDO_EL GUAYACAN II - CDLA. GUAYACAN II SOLAR 22 DIAGONAL A FARMACIA SANA SANA</v>
      </c>
      <c r="P1072" s="65"/>
      <c r="Q1072" s="65" t="str">
        <f>IFERROR(__xludf.DUMMYFUNCTION("""COMPUTED_VALUE"""),"SERVIENTREGA")</f>
        <v>SERVIENTREGA</v>
      </c>
      <c r="R1072" s="65">
        <f>IFERROR(__xludf.DUMMYFUNCTION("""COMPUTED_VALUE"""),32.0)</f>
        <v>32</v>
      </c>
      <c r="S1072" s="65"/>
      <c r="T1072" s="65">
        <f>IFERROR(__xludf.DUMMYFUNCTION("""COMPUTED_VALUE"""),6.15)</f>
        <v>6.15</v>
      </c>
      <c r="U1072" s="65">
        <f>IFERROR(__xludf.DUMMYFUNCTION("""COMPUTED_VALUE"""),0.0)</f>
        <v>0</v>
      </c>
      <c r="V1072" s="65">
        <f>IFERROR(__xludf.DUMMYFUNCTION("""COMPUTED_VALUE"""),0.0)</f>
        <v>0</v>
      </c>
      <c r="W1072" s="65">
        <f>IFERROR(__xludf.DUMMYFUNCTION("""COMPUTED_VALUE"""),0.0)</f>
        <v>0</v>
      </c>
      <c r="X1072" s="65">
        <f>IFERROR(__xludf.DUMMYFUNCTION("""COMPUTED_VALUE"""),2.6)</f>
        <v>2.6</v>
      </c>
      <c r="Y1072" s="65">
        <f>IFERROR(__xludf.DUMMYFUNCTION("""COMPUTED_VALUE"""),10.4)</f>
        <v>10.4</v>
      </c>
      <c r="Z1072" s="65">
        <f>IFERROR(__xludf.DUMMYFUNCTION("""COMPUTED_VALUE"""),121983.0)</f>
        <v>121983</v>
      </c>
      <c r="AA1072" s="65" t="str">
        <f>IFERROR(__xludf.DUMMYFUNCTION("""COMPUTED_VALUE"""),"PROV-CHLLCF")</f>
        <v>PROV-CHLLCF</v>
      </c>
      <c r="AB1072" s="65"/>
      <c r="AC1072" s="65" t="str">
        <f>IFERROR(__xludf.DUMMYFUNCTION("""COMPUTED_VALUE"""),"CUCHILLO PARA CHEF")</f>
        <v>CUCHILLO PARA CHEF</v>
      </c>
      <c r="AD1072" s="65"/>
      <c r="AE1072" s="65">
        <f>IFERROR(__xludf.DUMMYFUNCTION("""COMPUTED_VALUE"""),4.0)</f>
        <v>4</v>
      </c>
      <c r="AF1072" s="65"/>
      <c r="AG1072" s="65"/>
      <c r="AH1072" s="65"/>
      <c r="AI1072" s="65"/>
      <c r="AJ1072" s="65"/>
      <c r="AK1072" s="65"/>
      <c r="AL1072" s="65"/>
      <c r="AM1072" s="65"/>
      <c r="AN1072" s="65"/>
      <c r="AO1072" s="65"/>
      <c r="AP1072" s="65"/>
      <c r="AQ1072" s="65"/>
      <c r="AR1072" s="65"/>
      <c r="AS1072" s="65"/>
      <c r="AT1072" s="65"/>
      <c r="AU1072" s="65"/>
      <c r="AV1072" s="65"/>
      <c r="AW1072" s="65"/>
      <c r="AX1072" s="65"/>
      <c r="AY1072" s="65"/>
      <c r="AZ1072" s="65"/>
      <c r="BA1072" s="65"/>
    </row>
    <row r="1073">
      <c r="A1073" s="65" t="str">
        <f>IFERROR(__xludf.DUMMYFUNCTION("""COMPUTED_VALUE"""),"27-03-2026")</f>
        <v>27-03-2026</v>
      </c>
      <c r="B1073" s="65">
        <f>IFERROR(__xludf.DUMMYFUNCTION("""COMPUTED_VALUE"""),4371441.0)</f>
        <v>4371441</v>
      </c>
      <c r="C1073" s="65" t="str">
        <f>IFERROR(__xludf.DUMMYFUNCTION("""COMPUTED_VALUE"""),"17:02")</f>
        <v>17:02</v>
      </c>
      <c r="D1073" s="65" t="str">
        <f>IFERROR(__xludf.DUMMYFUNCTION("""COMPUTED_VALUE"""),"02-02-2026")</f>
        <v>02-02-2026</v>
      </c>
      <c r="E1073" s="65" t="str">
        <f>IFERROR(__xludf.DUMMYFUNCTION("""COMPUTED_VALUE"""),"Ana Julia Bravo de la Cruz")</f>
        <v>Ana Julia Bravo de la Cruz</v>
      </c>
      <c r="F1073" s="65" t="str">
        <f>IFERROR(__xludf.DUMMYFUNCTION("""COMPUTED_VALUE"""),"999162493")</f>
        <v>999162493</v>
      </c>
      <c r="G1073" s="65"/>
      <c r="H1073" s="65"/>
      <c r="I1073" s="65"/>
      <c r="J1073" s="65" t="str">
        <f>IFERROR(__xludf.DUMMYFUNCTION("""COMPUTED_VALUE"""),"186991689")</f>
        <v>186991689</v>
      </c>
      <c r="K1073" s="65" t="str">
        <f>IFERROR(__xludf.DUMMYFUNCTION("""COMPUTED_VALUE"""),"ENTREGADO")</f>
        <v>ENTREGADO</v>
      </c>
      <c r="L1073" s="65" t="str">
        <f>IFERROR(__xludf.DUMMYFUNCTION("""COMPUTED_VALUE"""),"CON RECAUDO")</f>
        <v>CON RECAUDO</v>
      </c>
      <c r="M1073" s="65" t="str">
        <f>IFERROR(__xludf.DUMMYFUNCTION("""COMPUTED_VALUE"""),"MANABI")</f>
        <v>MANABI</v>
      </c>
      <c r="N1073" s="65" t="str">
        <f>IFERROR(__xludf.DUMMYFUNCTION("""COMPUTED_VALUE"""),"PEDERNALES")</f>
        <v>PEDERNALES</v>
      </c>
      <c r="O1073" s="65" t="str">
        <f>IFERROR(__xludf.DUMMYFUNCTION("""COMPUTED_VALUE"""),"RETIRA EN CS : PEDERNALES_PRINCIPAL - GARCIA MORENO S/N Y MARIA AUXILIADORA")</f>
        <v>RETIRA EN CS : PEDERNALES_PRINCIPAL - GARCIA MORENO S/N Y MARIA AUXILIADORA</v>
      </c>
      <c r="P1073" s="65"/>
      <c r="Q1073" s="65" t="str">
        <f>IFERROR(__xludf.DUMMYFUNCTION("""COMPUTED_VALUE"""),"SERVIENTREGA")</f>
        <v>SERVIENTREGA</v>
      </c>
      <c r="R1073" s="65">
        <f>IFERROR(__xludf.DUMMYFUNCTION("""COMPUTED_VALUE"""),22.0)</f>
        <v>22</v>
      </c>
      <c r="S1073" s="65">
        <f>IFERROR(__xludf.DUMMYFUNCTION("""COMPUTED_VALUE"""),9.1)</f>
        <v>9.1</v>
      </c>
      <c r="T1073" s="65">
        <f>IFERROR(__xludf.DUMMYFUNCTION("""COMPUTED_VALUE"""),7.7)</f>
        <v>7.7</v>
      </c>
      <c r="U1073" s="65">
        <f>IFERROR(__xludf.DUMMYFUNCTION("""COMPUTED_VALUE"""),0.0)</f>
        <v>0</v>
      </c>
      <c r="V1073" s="65">
        <f>IFERROR(__xludf.DUMMYFUNCTION("""COMPUTED_VALUE"""),0.0)</f>
        <v>0</v>
      </c>
      <c r="W1073" s="65">
        <f>IFERROR(__xludf.DUMMYFUNCTION("""COMPUTED_VALUE"""),0.0)</f>
        <v>0</v>
      </c>
      <c r="X1073" s="65">
        <f>IFERROR(__xludf.DUMMYFUNCTION("""COMPUTED_VALUE"""),2.6)</f>
        <v>2.6</v>
      </c>
      <c r="Y1073" s="65">
        <f>IFERROR(__xludf.DUMMYFUNCTION("""COMPUTED_VALUE"""),5.2)</f>
        <v>5.2</v>
      </c>
      <c r="Z1073" s="65">
        <f>IFERROR(__xludf.DUMMYFUNCTION("""COMPUTED_VALUE"""),121983.0)</f>
        <v>121983</v>
      </c>
      <c r="AA1073" s="65" t="str">
        <f>IFERROR(__xludf.DUMMYFUNCTION("""COMPUTED_VALUE"""),"PROV-CHLLCF")</f>
        <v>PROV-CHLLCF</v>
      </c>
      <c r="AB1073" s="65"/>
      <c r="AC1073" s="65" t="str">
        <f>IFERROR(__xludf.DUMMYFUNCTION("""COMPUTED_VALUE"""),"CUCHILLO PARA CHEF")</f>
        <v>CUCHILLO PARA CHEF</v>
      </c>
      <c r="AD1073" s="65"/>
      <c r="AE1073" s="65">
        <f>IFERROR(__xludf.DUMMYFUNCTION("""COMPUTED_VALUE"""),2.0)</f>
        <v>2</v>
      </c>
      <c r="AF1073" s="65"/>
      <c r="AG1073" s="65"/>
      <c r="AH1073" s="65"/>
      <c r="AI1073" s="65"/>
      <c r="AJ1073" s="65"/>
      <c r="AK1073" s="65"/>
      <c r="AL1073" s="65"/>
      <c r="AM1073" s="65"/>
      <c r="AN1073" s="65" t="str">
        <f>IFERROR(__xludf.DUMMYFUNCTION("""COMPUTED_VALUE"""),"12:17")</f>
        <v>12:17</v>
      </c>
      <c r="AO1073" s="65" t="str">
        <f>IFERROR(__xludf.DUMMYFUNCTION("""COMPUTED_VALUE"""),"19-02-2026")</f>
        <v>19-02-2026</v>
      </c>
      <c r="AP1073" s="65" t="str">
        <f>IFERROR(__xludf.DUMMYFUNCTION("""COMPUTED_VALUE"""),"ENTREGA DIGITALIZADA EN CENTRO LOGISTICO")</f>
        <v>ENTREGA DIGITALIZADA EN CENTRO LOGISTICO</v>
      </c>
      <c r="AQ1073" s="65" t="str">
        <f>IFERROR(__xludf.DUMMYFUNCTION("""COMPUTED_VALUE"""),"ANA BRAVO")</f>
        <v>ANA BRAVO</v>
      </c>
      <c r="AR1073" s="65"/>
      <c r="AS1073" s="65"/>
      <c r="AT1073" s="65"/>
      <c r="AU1073" s="65"/>
      <c r="AV1073" s="65"/>
      <c r="AW1073" s="65"/>
      <c r="AX1073" s="65"/>
      <c r="AY1073" s="65" t="str">
        <f>IFERROR(__xludf.DUMMYFUNCTION("""COMPUTED_VALUE"""),"02/02/2026")</f>
        <v>02/02/2026</v>
      </c>
      <c r="AZ1073" s="65"/>
      <c r="BA1073" s="65"/>
    </row>
    <row r="1074">
      <c r="A1074" s="65" t="str">
        <f>IFERROR(__xludf.DUMMYFUNCTION("""COMPUTED_VALUE"""),"27-03-2026")</f>
        <v>27-03-2026</v>
      </c>
      <c r="B1074" s="65">
        <f>IFERROR(__xludf.DUMMYFUNCTION("""COMPUTED_VALUE"""),4371279.0)</f>
        <v>4371279</v>
      </c>
      <c r="C1074" s="65" t="str">
        <f>IFERROR(__xludf.DUMMYFUNCTION("""COMPUTED_VALUE"""),"16:52")</f>
        <v>16:52</v>
      </c>
      <c r="D1074" s="65" t="str">
        <f>IFERROR(__xludf.DUMMYFUNCTION("""COMPUTED_VALUE"""),"02-02-2026")</f>
        <v>02-02-2026</v>
      </c>
      <c r="E1074" s="65" t="str">
        <f>IFERROR(__xludf.DUMMYFUNCTION("""COMPUTED_VALUE"""),"Joel Alexander Burgos Anaguano")</f>
        <v>Joel Alexander Burgos Anaguano</v>
      </c>
      <c r="F1074" s="65" t="str">
        <f>IFERROR(__xludf.DUMMYFUNCTION("""COMPUTED_VALUE"""),"997872723")</f>
        <v>997872723</v>
      </c>
      <c r="G1074" s="65" t="str">
        <f>IFERROR(__xludf.DUMMYFUNCTION("""COMPUTED_VALUE"""),"joelburgosanaguano@gmail.com")</f>
        <v>joelburgosanaguano@gmail.com</v>
      </c>
      <c r="H1074" s="65"/>
      <c r="I1074" s="65"/>
      <c r="J1074" s="65"/>
      <c r="K1074" s="65" t="str">
        <f>IFERROR(__xludf.DUMMYFUNCTION("""COMPUTED_VALUE"""),"CANCELADO")</f>
        <v>CANCELADO</v>
      </c>
      <c r="L1074" s="65" t="str">
        <f>IFERROR(__xludf.DUMMYFUNCTION("""COMPUTED_VALUE"""),"CON RECAUDO")</f>
        <v>CON RECAUDO</v>
      </c>
      <c r="M1074" s="65" t="str">
        <f>IFERROR(__xludf.DUMMYFUNCTION("""COMPUTED_VALUE"""),"SANTO DOMINGO DE LOS TSACHILAS")</f>
        <v>SANTO DOMINGO DE LOS TSACHILAS</v>
      </c>
      <c r="N1074" s="65" t="str">
        <f>IFERROR(__xludf.DUMMYFUNCTION("""COMPUTED_VALUE"""),"SANTO DOMINGO")</f>
        <v>SANTO DOMINGO</v>
      </c>
      <c r="O1074" s="65" t="str">
        <f>IFERROR(__xludf.DUMMYFUNCTION("""COMPUTED_VALUE"""),"Av Abraham Calazacon y Calle Diogenes Paredes Sector los Rosales 3ra etapa -")</f>
        <v>Av Abraham Calazacon y Calle Diogenes Paredes Sector los Rosales 3ra etapa -</v>
      </c>
      <c r="P1074" s="65"/>
      <c r="Q1074" s="65" t="str">
        <f>IFERROR(__xludf.DUMMYFUNCTION("""COMPUTED_VALUE"""),"GINTRACOM")</f>
        <v>GINTRACOM</v>
      </c>
      <c r="R1074" s="65">
        <f>IFERROR(__xludf.DUMMYFUNCTION("""COMPUTED_VALUE"""),25.0)</f>
        <v>25</v>
      </c>
      <c r="S1074" s="65"/>
      <c r="T1074" s="65">
        <f>IFERROR(__xludf.DUMMYFUNCTION("""COMPUTED_VALUE"""),5.96)</f>
        <v>5.96</v>
      </c>
      <c r="U1074" s="65">
        <f>IFERROR(__xludf.DUMMYFUNCTION("""COMPUTED_VALUE"""),0.0)</f>
        <v>0</v>
      </c>
      <c r="V1074" s="65">
        <f>IFERROR(__xludf.DUMMYFUNCTION("""COMPUTED_VALUE"""),0.0)</f>
        <v>0</v>
      </c>
      <c r="W1074" s="65">
        <f>IFERROR(__xludf.DUMMYFUNCTION("""COMPUTED_VALUE"""),0.0)</f>
        <v>0</v>
      </c>
      <c r="X1074" s="65">
        <f>IFERROR(__xludf.DUMMYFUNCTION("""COMPUTED_VALUE"""),2.2)</f>
        <v>2.2</v>
      </c>
      <c r="Y1074" s="65">
        <f>IFERROR(__xludf.DUMMYFUNCTION("""COMPUTED_VALUE"""),4.4)</f>
        <v>4.4</v>
      </c>
      <c r="Z1074" s="65">
        <f>IFERROR(__xludf.DUMMYFUNCTION("""COMPUTED_VALUE"""),111894.0)</f>
        <v>111894</v>
      </c>
      <c r="AA1074" s="65" t="str">
        <f>IFERROR(__xludf.DUMMYFUNCTION("""COMPUTED_VALUE"""),"LYIC5M40067")</f>
        <v>LYIC5M40067</v>
      </c>
      <c r="AB1074" s="65"/>
      <c r="AC1074" s="65" t="str">
        <f>IFERROR(__xludf.DUMMYFUNCTION("""COMPUTED_VALUE"""),"Limpiador de Parabrisas y Ventanas")</f>
        <v>Limpiador de Parabrisas y Ventanas</v>
      </c>
      <c r="AD1074" s="65"/>
      <c r="AE1074" s="65">
        <f>IFERROR(__xludf.DUMMYFUNCTION("""COMPUTED_VALUE"""),2.0)</f>
        <v>2</v>
      </c>
      <c r="AF1074" s="65"/>
      <c r="AG1074" s="65"/>
      <c r="AH1074" s="65"/>
      <c r="AI1074" s="65"/>
      <c r="AJ1074" s="65"/>
      <c r="AK1074" s="65"/>
      <c r="AL1074" s="65"/>
      <c r="AM1074" s="65"/>
      <c r="AN1074" s="65"/>
      <c r="AO1074" s="65"/>
      <c r="AP1074" s="65"/>
      <c r="AQ1074" s="65"/>
      <c r="AR1074" s="65"/>
      <c r="AS1074" s="65"/>
      <c r="AT1074" s="65" t="str">
        <f>IFERROR(__xludf.DUMMYFUNCTION("""COMPUTED_VALUE"""),"SHOPIFY")</f>
        <v>SHOPIFY</v>
      </c>
      <c r="AU1074" s="65" t="str">
        <f>IFERROR(__xludf.DUMMYFUNCTION("""COMPUTED_VALUE"""),"IMPORTEX EC")</f>
        <v>IMPORTEX EC</v>
      </c>
      <c r="AV1074" s="65" t="str">
        <f>IFERROR(__xludf.DUMMYFUNCTION("""COMPUTED_VALUE"""),"6468879613996")</f>
        <v>6468879613996</v>
      </c>
      <c r="AW1074" s="65">
        <f>IFERROR(__xludf.DUMMYFUNCTION("""COMPUTED_VALUE"""),5766.0)</f>
        <v>5766</v>
      </c>
      <c r="AX1074" s="65"/>
      <c r="AY1074" s="65"/>
      <c r="AZ1074" s="65"/>
      <c r="BA1074" s="65"/>
    </row>
    <row r="1075">
      <c r="A1075" s="65" t="str">
        <f>IFERROR(__xludf.DUMMYFUNCTION("""COMPUTED_VALUE"""),"27-03-2026")</f>
        <v>27-03-2026</v>
      </c>
      <c r="B1075" s="65">
        <f>IFERROR(__xludf.DUMMYFUNCTION("""COMPUTED_VALUE"""),4371257.0)</f>
        <v>4371257</v>
      </c>
      <c r="C1075" s="65" t="str">
        <f>IFERROR(__xludf.DUMMYFUNCTION("""COMPUTED_VALUE"""),"16:50")</f>
        <v>16:50</v>
      </c>
      <c r="D1075" s="65" t="str">
        <f>IFERROR(__xludf.DUMMYFUNCTION("""COMPUTED_VALUE"""),"02-02-2026")</f>
        <v>02-02-2026</v>
      </c>
      <c r="E1075" s="65" t="str">
        <f>IFERROR(__xludf.DUMMYFUNCTION("""COMPUTED_VALUE"""),"Erika Luzvenia Alvarado Shiguango")</f>
        <v>Erika Luzvenia Alvarado Shiguango</v>
      </c>
      <c r="F1075" s="65" t="str">
        <f>IFERROR(__xludf.DUMMYFUNCTION("""COMPUTED_VALUE"""),"968054292")</f>
        <v>968054292</v>
      </c>
      <c r="G1075" s="65" t="str">
        <f>IFERROR(__xludf.DUMMYFUNCTION("""COMPUTED_VALUE"""),"alvaradoerika530@gmail.com")</f>
        <v>alvaradoerika530@gmail.com</v>
      </c>
      <c r="H1075" s="65"/>
      <c r="I1075" s="65"/>
      <c r="J1075" s="65" t="str">
        <f>IFERROR(__xludf.DUMMYFUNCTION("""COMPUTED_VALUE"""),"D001294606")</f>
        <v>D001294606</v>
      </c>
      <c r="K1075" s="65" t="str">
        <f>IFERROR(__xludf.DUMMYFUNCTION("""COMPUTED_VALUE"""),"DEVOLUCION")</f>
        <v>DEVOLUCION</v>
      </c>
      <c r="L1075" s="65" t="str">
        <f>IFERROR(__xludf.DUMMYFUNCTION("""COMPUTED_VALUE"""),"CON RECAUDO")</f>
        <v>CON RECAUDO</v>
      </c>
      <c r="M1075" s="65" t="str">
        <f>IFERROR(__xludf.DUMMYFUNCTION("""COMPUTED_VALUE"""),"ORELLANA")</f>
        <v>ORELLANA</v>
      </c>
      <c r="N1075" s="65" t="str">
        <f>IFERROR(__xludf.DUMMYFUNCTION("""COMPUTED_VALUE"""),"EL COCA")</f>
        <v>EL COCA</v>
      </c>
      <c r="O1075" s="65" t="str">
        <f>IFERROR(__xludf.DUMMYFUNCTION("""COMPUTED_VALUE"""),"San Sebastián del Coca,  Via Coca Sacha entrada al costado del colegio Río Coca cuarta cuadra segundo lote ala derecha casa de Semento con dura techo")</f>
        <v>San Sebastián del Coca,  Via Coca Sacha entrada al costado del colegio Río Coca cuarta cuadra segundo lote ala derecha casa de Semento con dura techo</v>
      </c>
      <c r="P1075" s="65"/>
      <c r="Q1075" s="65" t="str">
        <f>IFERROR(__xludf.DUMMYFUNCTION("""COMPUTED_VALUE"""),"GINTRACOM")</f>
        <v>GINTRACOM</v>
      </c>
      <c r="R1075" s="65">
        <f>IFERROR(__xludf.DUMMYFUNCTION("""COMPUTED_VALUE"""),32.0)</f>
        <v>32</v>
      </c>
      <c r="S1075" s="65"/>
      <c r="T1075" s="65">
        <f>IFERROR(__xludf.DUMMYFUNCTION("""COMPUTED_VALUE"""),6.24)</f>
        <v>6.24</v>
      </c>
      <c r="U1075" s="65">
        <f>IFERROR(__xludf.DUMMYFUNCTION("""COMPUTED_VALUE"""),0.0)</f>
        <v>0</v>
      </c>
      <c r="V1075" s="65">
        <f>IFERROR(__xludf.DUMMYFUNCTION("""COMPUTED_VALUE"""),0.0)</f>
        <v>0</v>
      </c>
      <c r="W1075" s="65">
        <f>IFERROR(__xludf.DUMMYFUNCTION("""COMPUTED_VALUE"""),0.0)</f>
        <v>0</v>
      </c>
      <c r="X1075" s="65">
        <f>IFERROR(__xludf.DUMMYFUNCTION("""COMPUTED_VALUE"""),2.6)</f>
        <v>2.6</v>
      </c>
      <c r="Y1075" s="65">
        <f>IFERROR(__xludf.DUMMYFUNCTION("""COMPUTED_VALUE"""),10.4)</f>
        <v>10.4</v>
      </c>
      <c r="Z1075" s="65">
        <f>IFERROR(__xludf.DUMMYFUNCTION("""COMPUTED_VALUE"""),121983.0)</f>
        <v>121983</v>
      </c>
      <c r="AA1075" s="65" t="str">
        <f>IFERROR(__xludf.DUMMYFUNCTION("""COMPUTED_VALUE"""),"PROV-CHLLCF")</f>
        <v>PROV-CHLLCF</v>
      </c>
      <c r="AB1075" s="65"/>
      <c r="AC1075" s="65" t="str">
        <f>IFERROR(__xludf.DUMMYFUNCTION("""COMPUTED_VALUE"""),"CUCHILLO PARA CHEF")</f>
        <v>CUCHILLO PARA CHEF</v>
      </c>
      <c r="AD1075" s="65"/>
      <c r="AE1075" s="65">
        <f>IFERROR(__xludf.DUMMYFUNCTION("""COMPUTED_VALUE"""),4.0)</f>
        <v>4</v>
      </c>
      <c r="AF1075" s="65" t="str">
        <f>IFERROR(__xludf.DUMMYFUNCTION("""COMPUTED_VALUE"""),"DESTINATARIO NO CONTESTA LLAMADAS NI WHATSAPP")</f>
        <v>DESTINATARIO NO CONTESTA LLAMADAS NI WHATSAPP</v>
      </c>
      <c r="AG1075" s="65" t="str">
        <f>IFERROR(__xludf.DUMMYFUNCTION("""COMPUTED_VALUE"""),"NO")</f>
        <v>NO</v>
      </c>
      <c r="AH1075" s="65" t="str">
        <f>IFERROR(__xludf.DUMMYFUNCTION("""COMPUTED_VALUE"""),"09:00")</f>
        <v>09:00</v>
      </c>
      <c r="AI1075" s="65" t="str">
        <f>IFERROR(__xludf.DUMMYFUNCTION("""COMPUTED_VALUE"""),"14-02-2026")</f>
        <v>14-02-2026</v>
      </c>
      <c r="AJ1075" s="65"/>
      <c r="AK1075" s="65"/>
      <c r="AL1075" s="65"/>
      <c r="AM1075" s="65"/>
      <c r="AN1075" s="65" t="str">
        <f>IFERROR(__xludf.DUMMYFUNCTION("""COMPUTED_VALUE"""),"01:37")</f>
        <v>01:37</v>
      </c>
      <c r="AO1075" s="65" t="str">
        <f>IFERROR(__xludf.DUMMYFUNCTION("""COMPUTED_VALUE"""),"06-03-2026")</f>
        <v>06-03-2026</v>
      </c>
      <c r="AP1075" s="65" t="str">
        <f>IFERROR(__xludf.DUMMYFUNCTION("""COMPUTED_VALUE"""),"DEVOLUCIÓN ENTREGADA A ORIGEN")</f>
        <v>DEVOLUCIÓN ENTREGADA A ORIGEN</v>
      </c>
      <c r="AQ1075" s="65" t="str">
        <f>IFERROR(__xludf.DUMMYFUNCTION("""COMPUTED_VALUE"""),"DEVOLUCIÓN ENTREGADA A ORIGEN")</f>
        <v>DEVOLUCIÓN ENTREGADA A ORIGEN</v>
      </c>
      <c r="AR1075" s="65"/>
      <c r="AS1075" s="65"/>
      <c r="AT1075" s="65" t="str">
        <f>IFERROR(__xludf.DUMMYFUNCTION("""COMPUTED_VALUE"""),"SHOPIFY")</f>
        <v>SHOPIFY</v>
      </c>
      <c r="AU1075" s="65" t="str">
        <f>IFERROR(__xludf.DUMMYFUNCTION("""COMPUTED_VALUE"""),"IMPORTEX EC")</f>
        <v>IMPORTEX EC</v>
      </c>
      <c r="AV1075" s="65" t="str">
        <f>IFERROR(__xludf.DUMMYFUNCTION("""COMPUTED_VALUE"""),"6468842094636")</f>
        <v>6468842094636</v>
      </c>
      <c r="AW1075" s="65">
        <f>IFERROR(__xludf.DUMMYFUNCTION("""COMPUTED_VALUE"""),5765.0)</f>
        <v>5765</v>
      </c>
      <c r="AX1075" s="65"/>
      <c r="AY1075" s="65" t="str">
        <f>IFERROR(__xludf.DUMMYFUNCTION("""COMPUTED_VALUE"""),"04/02/2026")</f>
        <v>04/02/2026</v>
      </c>
      <c r="AZ1075" s="65"/>
      <c r="BA1075" s="65"/>
    </row>
    <row r="1076">
      <c r="A1076" s="65" t="str">
        <f>IFERROR(__xludf.DUMMYFUNCTION("""COMPUTED_VALUE"""),"27-03-2026")</f>
        <v>27-03-2026</v>
      </c>
      <c r="B1076" s="65">
        <f>IFERROR(__xludf.DUMMYFUNCTION("""COMPUTED_VALUE"""),4371109.0)</f>
        <v>4371109</v>
      </c>
      <c r="C1076" s="65" t="str">
        <f>IFERROR(__xludf.DUMMYFUNCTION("""COMPUTED_VALUE"""),"16:39")</f>
        <v>16:39</v>
      </c>
      <c r="D1076" s="65" t="str">
        <f>IFERROR(__xludf.DUMMYFUNCTION("""COMPUTED_VALUE"""),"02-02-2026")</f>
        <v>02-02-2026</v>
      </c>
      <c r="E1076" s="65" t="str">
        <f>IFERROR(__xludf.DUMMYFUNCTION("""COMPUTED_VALUE"""),"Medardo Punina")</f>
        <v>Medardo Punina</v>
      </c>
      <c r="F1076" s="65" t="str">
        <f>IFERROR(__xludf.DUMMYFUNCTION("""COMPUTED_VALUE"""),"997808174")</f>
        <v>997808174</v>
      </c>
      <c r="G1076" s="65"/>
      <c r="H1076" s="65"/>
      <c r="I1076" s="65"/>
      <c r="J1076" s="65" t="str">
        <f>IFERROR(__xludf.DUMMYFUNCTION("""COMPUTED_VALUE"""),"186994286")</f>
        <v>186994286</v>
      </c>
      <c r="K1076" s="65" t="str">
        <f>IFERROR(__xludf.DUMMYFUNCTION("""COMPUTED_VALUE"""),"ENTREGADO")</f>
        <v>ENTREGADO</v>
      </c>
      <c r="L1076" s="65" t="str">
        <f>IFERROR(__xludf.DUMMYFUNCTION("""COMPUTED_VALUE"""),"CON RECAUDO")</f>
        <v>CON RECAUDO</v>
      </c>
      <c r="M1076" s="65" t="str">
        <f>IFERROR(__xludf.DUMMYFUNCTION("""COMPUTED_VALUE"""),"TUNGURAHUA")</f>
        <v>TUNGURAHUA</v>
      </c>
      <c r="N1076" s="65" t="str">
        <f>IFERROR(__xludf.DUMMYFUNCTION("""COMPUTED_VALUE"""),"TISALEO")</f>
        <v>TISALEO</v>
      </c>
      <c r="O1076" s="65" t="str">
        <f>IFERROR(__xludf.DUMMYFUNCTION("""COMPUTED_VALUE"""),"Ambato-tisaleo Avenida 17 De N Local en la parada de camionetas express Tisaleo- casa esquinera blanca de dos pisos")</f>
        <v>Ambato-tisaleo Avenida 17 De N Local en la parada de camionetas express Tisaleo- casa esquinera blanca de dos pisos</v>
      </c>
      <c r="P1076" s="65"/>
      <c r="Q1076" s="65" t="str">
        <f>IFERROR(__xludf.DUMMYFUNCTION("""COMPUTED_VALUE"""),"SERVIENTREGA")</f>
        <v>SERVIENTREGA</v>
      </c>
      <c r="R1076" s="65">
        <f>IFERROR(__xludf.DUMMYFUNCTION("""COMPUTED_VALUE"""),20.0)</f>
        <v>20</v>
      </c>
      <c r="S1076" s="65">
        <f>IFERROR(__xludf.DUMMYFUNCTION("""COMPUTED_VALUE"""),7.33)</f>
        <v>7.33</v>
      </c>
      <c r="T1076" s="65">
        <f>IFERROR(__xludf.DUMMYFUNCTION("""COMPUTED_VALUE"""),7.67)</f>
        <v>7.67</v>
      </c>
      <c r="U1076" s="65">
        <f>IFERROR(__xludf.DUMMYFUNCTION("""COMPUTED_VALUE"""),0.0)</f>
        <v>0</v>
      </c>
      <c r="V1076" s="65">
        <f>IFERROR(__xludf.DUMMYFUNCTION("""COMPUTED_VALUE"""),0.0)</f>
        <v>0</v>
      </c>
      <c r="W1076" s="65">
        <f>IFERROR(__xludf.DUMMYFUNCTION("""COMPUTED_VALUE"""),0.0)</f>
        <v>0</v>
      </c>
      <c r="X1076" s="65">
        <f>IFERROR(__xludf.DUMMYFUNCTION("""COMPUTED_VALUE"""),5.0)</f>
        <v>5</v>
      </c>
      <c r="Y1076" s="65">
        <f>IFERROR(__xludf.DUMMYFUNCTION("""COMPUTED_VALUE"""),5.0)</f>
        <v>5</v>
      </c>
      <c r="Z1076" s="65">
        <f>IFERROR(__xludf.DUMMYFUNCTION("""COMPUTED_VALUE"""),110064.0)</f>
        <v>110064</v>
      </c>
      <c r="AA1076" s="65" t="str">
        <f>IFERROR(__xludf.DUMMYFUNCTION("""COMPUTED_VALUE"""),"IMX-00001")</f>
        <v>IMX-00001</v>
      </c>
      <c r="AB1076" s="65"/>
      <c r="AC1076" s="65" t="str">
        <f>IFERROR(__xludf.DUMMYFUNCTION("""COMPUTED_VALUE"""),"LLAVE TRINQUETE")</f>
        <v>LLAVE TRINQUETE</v>
      </c>
      <c r="AD1076" s="65"/>
      <c r="AE1076" s="65">
        <f>IFERROR(__xludf.DUMMYFUNCTION("""COMPUTED_VALUE"""),1.0)</f>
        <v>1</v>
      </c>
      <c r="AF1076" s="65" t="str">
        <f>IFERROR(__xludf.DUMMYFUNCTION("""COMPUTED_VALUE"""),"NO HAY QUIEN RECIBA")</f>
        <v>NO HAY QUIEN RECIBA</v>
      </c>
      <c r="AG1076" s="65" t="str">
        <f>IFERROR(__xludf.DUMMYFUNCTION("""COMPUTED_VALUE"""),"NO")</f>
        <v>NO</v>
      </c>
      <c r="AH1076" s="65" t="str">
        <f>IFERROR(__xludf.DUMMYFUNCTION("""COMPUTED_VALUE"""),"20:10")</f>
        <v>20:10</v>
      </c>
      <c r="AI1076" s="65" t="str">
        <f>IFERROR(__xludf.DUMMYFUNCTION("""COMPUTED_VALUE"""),"05-02-2026")</f>
        <v>05-02-2026</v>
      </c>
      <c r="AJ1076" s="65"/>
      <c r="AK1076" s="65"/>
      <c r="AL1076" s="65"/>
      <c r="AM1076" s="65"/>
      <c r="AN1076" s="65" t="str">
        <f>IFERROR(__xludf.DUMMYFUNCTION("""COMPUTED_VALUE"""),"12:42")</f>
        <v>12:42</v>
      </c>
      <c r="AO1076" s="65" t="str">
        <f>IFERROR(__xludf.DUMMYFUNCTION("""COMPUTED_VALUE"""),"21-02-2026")</f>
        <v>21-02-2026</v>
      </c>
      <c r="AP1076" s="65" t="str">
        <f>IFERROR(__xludf.DUMMYFUNCTION("""COMPUTED_VALUE"""),"ENTREGA DIGITALIZADA EN CENTRO LOGISTICO")</f>
        <v>ENTREGA DIGITALIZADA EN CENTRO LOGISTICO</v>
      </c>
      <c r="AQ1076" s="65" t="str">
        <f>IFERROR(__xludf.DUMMYFUNCTION("""COMPUTED_VALUE"""),"ANGEL PUNINA")</f>
        <v>ANGEL PUNINA</v>
      </c>
      <c r="AR1076" s="65"/>
      <c r="AS1076" s="65"/>
      <c r="AT1076" s="65"/>
      <c r="AU1076" s="65"/>
      <c r="AV1076" s="65"/>
      <c r="AW1076" s="65"/>
      <c r="AX1076" s="65"/>
      <c r="AY1076" s="65" t="str">
        <f>IFERROR(__xludf.DUMMYFUNCTION("""COMPUTED_VALUE"""),"03/02/2026")</f>
        <v>03/02/2026</v>
      </c>
      <c r="AZ1076" s="65"/>
      <c r="BA1076" s="65"/>
    </row>
    <row r="1077">
      <c r="A1077" s="65" t="str">
        <f>IFERROR(__xludf.DUMMYFUNCTION("""COMPUTED_VALUE"""),"27-03-2026")</f>
        <v>27-03-2026</v>
      </c>
      <c r="B1077" s="65">
        <f>IFERROR(__xludf.DUMMYFUNCTION("""COMPUTED_VALUE"""),4370534.0)</f>
        <v>4370534</v>
      </c>
      <c r="C1077" s="65" t="str">
        <f>IFERROR(__xludf.DUMMYFUNCTION("""COMPUTED_VALUE"""),"15:56")</f>
        <v>15:56</v>
      </c>
      <c r="D1077" s="65" t="str">
        <f>IFERROR(__xludf.DUMMYFUNCTION("""COMPUTED_VALUE"""),"02-02-2026")</f>
        <v>02-02-2026</v>
      </c>
      <c r="E1077" s="65" t="str">
        <f>IFERROR(__xludf.DUMMYFUNCTION("""COMPUTED_VALUE"""),"Jose Cabrera Maya Cabrera Maya")</f>
        <v>Jose Cabrera Maya Cabrera Maya</v>
      </c>
      <c r="F1077" s="65" t="str">
        <f>IFERROR(__xludf.DUMMYFUNCTION("""COMPUTED_VALUE"""),"983713271")</f>
        <v>983713271</v>
      </c>
      <c r="G1077" s="65" t="str">
        <f>IFERROR(__xludf.DUMMYFUNCTION("""COMPUTED_VALUE"""),"joshepcabrera1509@gmail.com")</f>
        <v>joshepcabrera1509@gmail.com</v>
      </c>
      <c r="H1077" s="65"/>
      <c r="I1077" s="65"/>
      <c r="J1077" s="65"/>
      <c r="K1077" s="65" t="str">
        <f>IFERROR(__xludf.DUMMYFUNCTION("""COMPUTED_VALUE"""),"PENDIENTE CONFIRMACION")</f>
        <v>PENDIENTE CONFIRMACION</v>
      </c>
      <c r="L1077" s="65" t="str">
        <f>IFERROR(__xludf.DUMMYFUNCTION("""COMPUTED_VALUE"""),"CON RECAUDO")</f>
        <v>CON RECAUDO</v>
      </c>
      <c r="M1077" s="65" t="str">
        <f>IFERROR(__xludf.DUMMYFUNCTION("""COMPUTED_VALUE"""),"PICHINCHA")</f>
        <v>PICHINCHA</v>
      </c>
      <c r="N1077" s="65" t="str">
        <f>IFERROR(__xludf.DUMMYFUNCTION("""COMPUTED_VALUE"""),"QUITO")</f>
        <v>QUITO</v>
      </c>
      <c r="O1077" s="65" t="str">
        <f>IFERROR(__xludf.DUMMYFUNCTION("""COMPUTED_VALUE"""),"Joel Monroy y new York San juan -")</f>
        <v>Joel Monroy y new York San juan -</v>
      </c>
      <c r="P1077" s="65"/>
      <c r="Q1077" s="65" t="str">
        <f>IFERROR(__xludf.DUMMYFUNCTION("""COMPUTED_VALUE"""),"GINTRACOM")</f>
        <v>GINTRACOM</v>
      </c>
      <c r="R1077" s="65">
        <f>IFERROR(__xludf.DUMMYFUNCTION("""COMPUTED_VALUE"""),30.0)</f>
        <v>30</v>
      </c>
      <c r="S1077" s="65"/>
      <c r="T1077" s="65">
        <f>IFERROR(__xludf.DUMMYFUNCTION("""COMPUTED_VALUE"""),6.16)</f>
        <v>6.16</v>
      </c>
      <c r="U1077" s="65">
        <f>IFERROR(__xludf.DUMMYFUNCTION("""COMPUTED_VALUE"""),0.0)</f>
        <v>0</v>
      </c>
      <c r="V1077" s="65">
        <f>IFERROR(__xludf.DUMMYFUNCTION("""COMPUTED_VALUE"""),0.0)</f>
        <v>0</v>
      </c>
      <c r="W1077" s="65">
        <f>IFERROR(__xludf.DUMMYFUNCTION("""COMPUTED_VALUE"""),0.0)</f>
        <v>0</v>
      </c>
      <c r="X1077" s="65">
        <f>IFERROR(__xludf.DUMMYFUNCTION("""COMPUTED_VALUE"""),2.2)</f>
        <v>2.2</v>
      </c>
      <c r="Y1077" s="65">
        <f>IFERROR(__xludf.DUMMYFUNCTION("""COMPUTED_VALUE"""),6.6)</f>
        <v>6.6</v>
      </c>
      <c r="Z1077" s="65">
        <f>IFERROR(__xludf.DUMMYFUNCTION("""COMPUTED_VALUE"""),111894.0)</f>
        <v>111894</v>
      </c>
      <c r="AA1077" s="65" t="str">
        <f>IFERROR(__xludf.DUMMYFUNCTION("""COMPUTED_VALUE"""),"LYIC5M40067")</f>
        <v>LYIC5M40067</v>
      </c>
      <c r="AB1077" s="65"/>
      <c r="AC1077" s="65" t="str">
        <f>IFERROR(__xludf.DUMMYFUNCTION("""COMPUTED_VALUE"""),"Limpiador de Parabrisas y Ventanas")</f>
        <v>Limpiador de Parabrisas y Ventanas</v>
      </c>
      <c r="AD1077" s="65"/>
      <c r="AE1077" s="65">
        <f>IFERROR(__xludf.DUMMYFUNCTION("""COMPUTED_VALUE"""),3.0)</f>
        <v>3</v>
      </c>
      <c r="AF1077" s="65"/>
      <c r="AG1077" s="65"/>
      <c r="AH1077" s="65"/>
      <c r="AI1077" s="65"/>
      <c r="AJ1077" s="65"/>
      <c r="AK1077" s="65"/>
      <c r="AL1077" s="65"/>
      <c r="AM1077" s="65"/>
      <c r="AN1077" s="65"/>
      <c r="AO1077" s="65"/>
      <c r="AP1077" s="65"/>
      <c r="AQ1077" s="65"/>
      <c r="AR1077" s="65"/>
      <c r="AS1077" s="65"/>
      <c r="AT1077" s="65" t="str">
        <f>IFERROR(__xludf.DUMMYFUNCTION("""COMPUTED_VALUE"""),"SHOPIFY")</f>
        <v>SHOPIFY</v>
      </c>
      <c r="AU1077" s="65" t="str">
        <f>IFERROR(__xludf.DUMMYFUNCTION("""COMPUTED_VALUE"""),"IMPORTEX EC")</f>
        <v>IMPORTEX EC</v>
      </c>
      <c r="AV1077" s="65" t="str">
        <f>IFERROR(__xludf.DUMMYFUNCTION("""COMPUTED_VALUE"""),"6467905912876")</f>
        <v>6467905912876</v>
      </c>
      <c r="AW1077" s="65">
        <f>IFERROR(__xludf.DUMMYFUNCTION("""COMPUTED_VALUE"""),5744.0)</f>
        <v>5744</v>
      </c>
      <c r="AX1077" s="65"/>
      <c r="AY1077" s="65"/>
      <c r="AZ1077" s="65"/>
      <c r="BA1077" s="65"/>
    </row>
    <row r="1078">
      <c r="A1078" s="65" t="str">
        <f>IFERROR(__xludf.DUMMYFUNCTION("""COMPUTED_VALUE"""),"27-03-2026")</f>
        <v>27-03-2026</v>
      </c>
      <c r="B1078" s="65">
        <f>IFERROR(__xludf.DUMMYFUNCTION("""COMPUTED_VALUE"""),4370326.0)</f>
        <v>4370326</v>
      </c>
      <c r="C1078" s="65" t="str">
        <f>IFERROR(__xludf.DUMMYFUNCTION("""COMPUTED_VALUE"""),"15:43")</f>
        <v>15:43</v>
      </c>
      <c r="D1078" s="65" t="str">
        <f>IFERROR(__xludf.DUMMYFUNCTION("""COMPUTED_VALUE"""),"02-02-2026")</f>
        <v>02-02-2026</v>
      </c>
      <c r="E1078" s="65" t="str">
        <f>IFERROR(__xludf.DUMMYFUNCTION("""COMPUTED_VALUE"""),"Carlos Jimenez Arturo")</f>
        <v>Carlos Jimenez Arturo</v>
      </c>
      <c r="F1078" s="65" t="str">
        <f>IFERROR(__xludf.DUMMYFUNCTION("""COMPUTED_VALUE"""),"984535967")</f>
        <v>984535967</v>
      </c>
      <c r="G1078" s="65" t="str">
        <f>IFERROR(__xludf.DUMMYFUNCTION("""COMPUTED_VALUE"""),"cj25799@gmail.com")</f>
        <v>cj25799@gmail.com</v>
      </c>
      <c r="H1078" s="65"/>
      <c r="I1078" s="65"/>
      <c r="J1078" s="65" t="str">
        <f>IFERROR(__xludf.DUMMYFUNCTION("""COMPUTED_VALUE"""),"D001295483")</f>
        <v>D001295483</v>
      </c>
      <c r="K1078" s="65" t="str">
        <f>IFERROR(__xludf.DUMMYFUNCTION("""COMPUTED_VALUE"""),"ENTREGADO")</f>
        <v>ENTREGADO</v>
      </c>
      <c r="L1078" s="65" t="str">
        <f>IFERROR(__xludf.DUMMYFUNCTION("""COMPUTED_VALUE"""),"CON RECAUDO")</f>
        <v>CON RECAUDO</v>
      </c>
      <c r="M1078" s="65" t="str">
        <f>IFERROR(__xludf.DUMMYFUNCTION("""COMPUTED_VALUE"""),"SANTO DOMINGO DE LOS TSACHILAS")</f>
        <v>SANTO DOMINGO DE LOS TSACHILAS</v>
      </c>
      <c r="N1078" s="65" t="str">
        <f>IFERROR(__xludf.DUMMYFUNCTION("""COMPUTED_VALUE"""),"SANTO DOMINGO")</f>
        <v>SANTO DOMINGO</v>
      </c>
      <c r="O1078" s="65" t="str">
        <f>IFERROR(__xludf.DUMMYFUNCTION("""COMPUTED_VALUE"""),"Es Conjunto Palma Real, Avenida los Colonos.   Ahí, cuando estén en la garita, me llaman para yo autorizar el ingreso o salir hasta la garita a recibirles. Eso sería todo. 4:40 PM")</f>
        <v>Es Conjunto Palma Real, Avenida los Colonos.   Ahí, cuando estén en la garita, me llaman para yo autorizar el ingreso o salir hasta la garita a recibirles. Eso sería todo. 4:40 PM</v>
      </c>
      <c r="P1078" s="65"/>
      <c r="Q1078" s="65" t="str">
        <f>IFERROR(__xludf.DUMMYFUNCTION("""COMPUTED_VALUE"""),"GINTRACOM")</f>
        <v>GINTRACOM</v>
      </c>
      <c r="R1078" s="65">
        <f>IFERROR(__xludf.DUMMYFUNCTION("""COMPUTED_VALUE"""),19.99)</f>
        <v>19.99</v>
      </c>
      <c r="S1078" s="65">
        <f>IFERROR(__xludf.DUMMYFUNCTION("""COMPUTED_VALUE"""),9.24)</f>
        <v>9.24</v>
      </c>
      <c r="T1078" s="65">
        <f>IFERROR(__xludf.DUMMYFUNCTION("""COMPUTED_VALUE"""),5.75)</f>
        <v>5.75</v>
      </c>
      <c r="U1078" s="65">
        <f>IFERROR(__xludf.DUMMYFUNCTION("""COMPUTED_VALUE"""),0.0)</f>
        <v>0</v>
      </c>
      <c r="V1078" s="65">
        <f>IFERROR(__xludf.DUMMYFUNCTION("""COMPUTED_VALUE"""),0.0)</f>
        <v>0</v>
      </c>
      <c r="W1078" s="65">
        <f>IFERROR(__xludf.DUMMYFUNCTION("""COMPUTED_VALUE"""),0.0)</f>
        <v>0</v>
      </c>
      <c r="X1078" s="65">
        <f>IFERROR(__xludf.DUMMYFUNCTION("""COMPUTED_VALUE"""),5.0)</f>
        <v>5</v>
      </c>
      <c r="Y1078" s="65">
        <f>IFERROR(__xludf.DUMMYFUNCTION("""COMPUTED_VALUE"""),5.0)</f>
        <v>5</v>
      </c>
      <c r="Z1078" s="65">
        <f>IFERROR(__xludf.DUMMYFUNCTION("""COMPUTED_VALUE"""),110064.0)</f>
        <v>110064</v>
      </c>
      <c r="AA1078" s="65" t="str">
        <f>IFERROR(__xludf.DUMMYFUNCTION("""COMPUTED_VALUE"""),"IMX-00001")</f>
        <v>IMX-00001</v>
      </c>
      <c r="AB1078" s="65"/>
      <c r="AC1078" s="65" t="str">
        <f>IFERROR(__xludf.DUMMYFUNCTION("""COMPUTED_VALUE"""),"LLAVE TRINQUETE")</f>
        <v>LLAVE TRINQUETE</v>
      </c>
      <c r="AD1078" s="65"/>
      <c r="AE1078" s="65">
        <f>IFERROR(__xludf.DUMMYFUNCTION("""COMPUTED_VALUE"""),1.0)</f>
        <v>1</v>
      </c>
      <c r="AF1078" s="65"/>
      <c r="AG1078" s="65"/>
      <c r="AH1078" s="65"/>
      <c r="AI1078" s="65"/>
      <c r="AJ1078" s="65"/>
      <c r="AK1078" s="65"/>
      <c r="AL1078" s="65"/>
      <c r="AM1078" s="65"/>
      <c r="AN1078" s="65" t="str">
        <f>IFERROR(__xludf.DUMMYFUNCTION("""COMPUTED_VALUE"""),"13:27")</f>
        <v>13:27</v>
      </c>
      <c r="AO1078" s="65" t="str">
        <f>IFERROR(__xludf.DUMMYFUNCTION("""COMPUTED_VALUE"""),"06-02-2026")</f>
        <v>06-02-2026</v>
      </c>
      <c r="AP1078" s="65" t="str">
        <f>IFERROR(__xludf.DUMMYFUNCTION("""COMPUTED_VALUE"""),"ENTREGADA GINTRACOM")</f>
        <v>ENTREGADA GINTRACOM</v>
      </c>
      <c r="AQ1078" s="65" t="str">
        <f>IFERROR(__xludf.DUMMYFUNCTION("""COMPUTED_VALUE"""),"ENTREGADA GINTRACOM")</f>
        <v>ENTREGADA GINTRACOM</v>
      </c>
      <c r="AR1078" s="65"/>
      <c r="AS1078" s="65"/>
      <c r="AT1078" s="65" t="str">
        <f>IFERROR(__xludf.DUMMYFUNCTION("""COMPUTED_VALUE"""),"SHOPIFY")</f>
        <v>SHOPIFY</v>
      </c>
      <c r="AU1078" s="65" t="str">
        <f>IFERROR(__xludf.DUMMYFUNCTION("""COMPUTED_VALUE"""),"IMPORTEX EC")</f>
        <v>IMPORTEX EC</v>
      </c>
      <c r="AV1078" s="65" t="str">
        <f>IFERROR(__xludf.DUMMYFUNCTION("""COMPUTED_VALUE"""),"6467847880748")</f>
        <v>6467847880748</v>
      </c>
      <c r="AW1078" s="65">
        <f>IFERROR(__xludf.DUMMYFUNCTION("""COMPUTED_VALUE"""),5740.0)</f>
        <v>5740</v>
      </c>
      <c r="AX1078" s="65"/>
      <c r="AY1078" s="65" t="str">
        <f>IFERROR(__xludf.DUMMYFUNCTION("""COMPUTED_VALUE"""),"04/02/2026")</f>
        <v>04/02/2026</v>
      </c>
      <c r="AZ1078" s="65"/>
      <c r="BA1078" s="65"/>
    </row>
    <row r="1079">
      <c r="A1079" s="65" t="str">
        <f>IFERROR(__xludf.DUMMYFUNCTION("""COMPUTED_VALUE"""),"27-03-2026")</f>
        <v>27-03-2026</v>
      </c>
      <c r="B1079" s="65">
        <f>IFERROR(__xludf.DUMMYFUNCTION("""COMPUTED_VALUE"""),4370206.0)</f>
        <v>4370206</v>
      </c>
      <c r="C1079" s="65" t="str">
        <f>IFERROR(__xludf.DUMMYFUNCTION("""COMPUTED_VALUE"""),"15:34")</f>
        <v>15:34</v>
      </c>
      <c r="D1079" s="65" t="str">
        <f>IFERROR(__xludf.DUMMYFUNCTION("""COMPUTED_VALUE"""),"02-02-2026")</f>
        <v>02-02-2026</v>
      </c>
      <c r="E1079" s="65" t="str">
        <f>IFERROR(__xludf.DUMMYFUNCTION("""COMPUTED_VALUE"""),"Cristian Suarez")</f>
        <v>Cristian Suarez</v>
      </c>
      <c r="F1079" s="65" t="str">
        <f>IFERROR(__xludf.DUMMYFUNCTION("""COMPUTED_VALUE"""),"992766120")</f>
        <v>992766120</v>
      </c>
      <c r="G1079" s="65"/>
      <c r="H1079" s="65"/>
      <c r="I1079" s="65"/>
      <c r="J1079" s="65"/>
      <c r="K1079" s="65" t="str">
        <f>IFERROR(__xludf.DUMMYFUNCTION("""COMPUTED_VALUE"""),"PENDIENTE CONFIRMACION")</f>
        <v>PENDIENTE CONFIRMACION</v>
      </c>
      <c r="L1079" s="65" t="str">
        <f>IFERROR(__xludf.DUMMYFUNCTION("""COMPUTED_VALUE"""),"CON RECAUDO")</f>
        <v>CON RECAUDO</v>
      </c>
      <c r="M1079" s="65" t="str">
        <f>IFERROR(__xludf.DUMMYFUNCTION("""COMPUTED_VALUE"""),"PICHINCHA")</f>
        <v>PICHINCHA</v>
      </c>
      <c r="N1079" s="65" t="str">
        <f>IFERROR(__xludf.DUMMYFUNCTION("""COMPUTED_VALUE"""),"QUITO")</f>
        <v>QUITO</v>
      </c>
      <c r="O1079" s="65" t="str">
        <f>IFERROR(__xludf.DUMMYFUNCTION("""COMPUTED_VALUE"""),"Barrio 10 de mayo Santa María encarnacion y apóstol abdias")</f>
        <v>Barrio 10 de mayo Santa María encarnacion y apóstol abdias</v>
      </c>
      <c r="P1079" s="65"/>
      <c r="Q1079" s="65" t="str">
        <f>IFERROR(__xludf.DUMMYFUNCTION("""COMPUTED_VALUE"""),"GINTRACOM")</f>
        <v>GINTRACOM</v>
      </c>
      <c r="R1079" s="65">
        <f>IFERROR(__xludf.DUMMYFUNCTION("""COMPUTED_VALUE"""),20.0)</f>
        <v>20</v>
      </c>
      <c r="S1079" s="65"/>
      <c r="T1079" s="65">
        <f>IFERROR(__xludf.DUMMYFUNCTION("""COMPUTED_VALUE"""),5.76)</f>
        <v>5.76</v>
      </c>
      <c r="U1079" s="65">
        <f>IFERROR(__xludf.DUMMYFUNCTION("""COMPUTED_VALUE"""),0.0)</f>
        <v>0</v>
      </c>
      <c r="V1079" s="65">
        <f>IFERROR(__xludf.DUMMYFUNCTION("""COMPUTED_VALUE"""),0.0)</f>
        <v>0</v>
      </c>
      <c r="W1079" s="65">
        <f>IFERROR(__xludf.DUMMYFUNCTION("""COMPUTED_VALUE"""),0.0)</f>
        <v>0</v>
      </c>
      <c r="X1079" s="65">
        <f>IFERROR(__xludf.DUMMYFUNCTION("""COMPUTED_VALUE"""),2.2)</f>
        <v>2.2</v>
      </c>
      <c r="Y1079" s="65">
        <f>IFERROR(__xludf.DUMMYFUNCTION("""COMPUTED_VALUE"""),2.2)</f>
        <v>2.2</v>
      </c>
      <c r="Z1079" s="65">
        <f>IFERROR(__xludf.DUMMYFUNCTION("""COMPUTED_VALUE"""),111894.0)</f>
        <v>111894</v>
      </c>
      <c r="AA1079" s="65" t="str">
        <f>IFERROR(__xludf.DUMMYFUNCTION("""COMPUTED_VALUE"""),"LYIC5M40067")</f>
        <v>LYIC5M40067</v>
      </c>
      <c r="AB1079" s="65"/>
      <c r="AC1079" s="65" t="str">
        <f>IFERROR(__xludf.DUMMYFUNCTION("""COMPUTED_VALUE"""),"Limpiador de Parabrisas y Ventanas")</f>
        <v>Limpiador de Parabrisas y Ventanas</v>
      </c>
      <c r="AD1079" s="65"/>
      <c r="AE1079" s="65">
        <f>IFERROR(__xludf.DUMMYFUNCTION("""COMPUTED_VALUE"""),1.0)</f>
        <v>1</v>
      </c>
      <c r="AF1079" s="65"/>
      <c r="AG1079" s="65"/>
      <c r="AH1079" s="65"/>
      <c r="AI1079" s="65"/>
      <c r="AJ1079" s="65"/>
      <c r="AK1079" s="65"/>
      <c r="AL1079" s="65"/>
      <c r="AM1079" s="65"/>
      <c r="AN1079" s="65"/>
      <c r="AO1079" s="65"/>
      <c r="AP1079" s="65"/>
      <c r="AQ1079" s="65"/>
      <c r="AR1079" s="65"/>
      <c r="AS1079" s="65"/>
      <c r="AT1079" s="65"/>
      <c r="AU1079" s="65"/>
      <c r="AV1079" s="65"/>
      <c r="AW1079" s="65"/>
      <c r="AX1079" s="65"/>
      <c r="AY1079" s="65"/>
      <c r="AZ1079" s="65"/>
      <c r="BA1079" s="65"/>
    </row>
    <row r="1080">
      <c r="A1080" s="65" t="str">
        <f>IFERROR(__xludf.DUMMYFUNCTION("""COMPUTED_VALUE"""),"27-03-2026")</f>
        <v>27-03-2026</v>
      </c>
      <c r="B1080" s="65">
        <f>IFERROR(__xludf.DUMMYFUNCTION("""COMPUTED_VALUE"""),4369387.0)</f>
        <v>4369387</v>
      </c>
      <c r="C1080" s="65" t="str">
        <f>IFERROR(__xludf.DUMMYFUNCTION("""COMPUTED_VALUE"""),"14:39")</f>
        <v>14:39</v>
      </c>
      <c r="D1080" s="65" t="str">
        <f>IFERROR(__xludf.DUMMYFUNCTION("""COMPUTED_VALUE"""),"02-02-2026")</f>
        <v>02-02-2026</v>
      </c>
      <c r="E1080" s="65" t="str">
        <f>IFERROR(__xludf.DUMMYFUNCTION("""COMPUTED_VALUE"""),"Gaston Campuzano")</f>
        <v>Gaston Campuzano</v>
      </c>
      <c r="F1080" s="65" t="str">
        <f>IFERROR(__xludf.DUMMYFUNCTION("""COMPUTED_VALUE"""),"960215810")</f>
        <v>960215810</v>
      </c>
      <c r="G1080" s="65"/>
      <c r="H1080" s="65"/>
      <c r="I1080" s="65"/>
      <c r="J1080" s="65" t="str">
        <f>IFERROR(__xludf.DUMMYFUNCTION("""COMPUTED_VALUE"""),"186992023")</f>
        <v>186992023</v>
      </c>
      <c r="K1080" s="65" t="str">
        <f>IFERROR(__xludf.DUMMYFUNCTION("""COMPUTED_VALUE"""),"ENTREGADO")</f>
        <v>ENTREGADO</v>
      </c>
      <c r="L1080" s="65" t="str">
        <f>IFERROR(__xludf.DUMMYFUNCTION("""COMPUTED_VALUE"""),"CON RECAUDO")</f>
        <v>CON RECAUDO</v>
      </c>
      <c r="M1080" s="65" t="str">
        <f>IFERROR(__xludf.DUMMYFUNCTION("""COMPUTED_VALUE"""),"LOS RIOS")</f>
        <v>LOS RIOS</v>
      </c>
      <c r="N1080" s="65" t="str">
        <f>IFERROR(__xludf.DUMMYFUNCTION("""COMPUTED_VALUE"""),"QUEVEDO")</f>
        <v>QUEVEDO</v>
      </c>
      <c r="O1080" s="65" t="str">
        <f>IFERROR(__xludf.DUMMYFUNCTION("""COMPUTED_VALUE"""),"RETIRA EN CS : QUEVEDO_EL GUAYACAN II , CDLA. GUAYACAN II SOLAR 22 DIAGONAL A FARMACIA SANA SANA")</f>
        <v>RETIRA EN CS : QUEVEDO_EL GUAYACAN II , CDLA. GUAYACAN II SOLAR 22 DIAGONAL A FARMACIA SANA SANA</v>
      </c>
      <c r="P1080" s="65"/>
      <c r="Q1080" s="65" t="str">
        <f>IFERROR(__xludf.DUMMYFUNCTION("""COMPUTED_VALUE"""),"SERVIENTREGA")</f>
        <v>SERVIENTREGA</v>
      </c>
      <c r="R1080" s="65">
        <f>IFERROR(__xludf.DUMMYFUNCTION("""COMPUTED_VALUE"""),20.0)</f>
        <v>20</v>
      </c>
      <c r="S1080" s="65">
        <f>IFERROR(__xludf.DUMMYFUNCTION("""COMPUTED_VALUE"""),11.83)</f>
        <v>11.83</v>
      </c>
      <c r="T1080" s="65">
        <f>IFERROR(__xludf.DUMMYFUNCTION("""COMPUTED_VALUE"""),5.97)</f>
        <v>5.97</v>
      </c>
      <c r="U1080" s="65">
        <f>IFERROR(__xludf.DUMMYFUNCTION("""COMPUTED_VALUE"""),0.0)</f>
        <v>0</v>
      </c>
      <c r="V1080" s="65">
        <f>IFERROR(__xludf.DUMMYFUNCTION("""COMPUTED_VALUE"""),0.0)</f>
        <v>0</v>
      </c>
      <c r="W1080" s="65">
        <f>IFERROR(__xludf.DUMMYFUNCTION("""COMPUTED_VALUE"""),0.0)</f>
        <v>0</v>
      </c>
      <c r="X1080" s="65">
        <f>IFERROR(__xludf.DUMMYFUNCTION("""COMPUTED_VALUE"""),2.2)</f>
        <v>2.2</v>
      </c>
      <c r="Y1080" s="65">
        <f>IFERROR(__xludf.DUMMYFUNCTION("""COMPUTED_VALUE"""),2.2)</f>
        <v>2.2</v>
      </c>
      <c r="Z1080" s="65">
        <f>IFERROR(__xludf.DUMMYFUNCTION("""COMPUTED_VALUE"""),111894.0)</f>
        <v>111894</v>
      </c>
      <c r="AA1080" s="65" t="str">
        <f>IFERROR(__xludf.DUMMYFUNCTION("""COMPUTED_VALUE"""),"LYIC5M40067")</f>
        <v>LYIC5M40067</v>
      </c>
      <c r="AB1080" s="65"/>
      <c r="AC1080" s="65" t="str">
        <f>IFERROR(__xludf.DUMMYFUNCTION("""COMPUTED_VALUE"""),"Limpiador de Parabrisas y Ventanas")</f>
        <v>Limpiador de Parabrisas y Ventanas</v>
      </c>
      <c r="AD1080" s="65"/>
      <c r="AE1080" s="65">
        <f>IFERROR(__xludf.DUMMYFUNCTION("""COMPUTED_VALUE"""),1.0)</f>
        <v>1</v>
      </c>
      <c r="AF1080" s="65"/>
      <c r="AG1080" s="65"/>
      <c r="AH1080" s="65"/>
      <c r="AI1080" s="65"/>
      <c r="AJ1080" s="65"/>
      <c r="AK1080" s="65"/>
      <c r="AL1080" s="65"/>
      <c r="AM1080" s="65"/>
      <c r="AN1080" s="65" t="str">
        <f>IFERROR(__xludf.DUMMYFUNCTION("""COMPUTED_VALUE"""),"09:02")</f>
        <v>09:02</v>
      </c>
      <c r="AO1080" s="65" t="str">
        <f>IFERROR(__xludf.DUMMYFUNCTION("""COMPUTED_VALUE"""),"13-02-2026")</f>
        <v>13-02-2026</v>
      </c>
      <c r="AP1080" s="65" t="str">
        <f>IFERROR(__xludf.DUMMYFUNCTION("""COMPUTED_VALUE"""),"ENTREGA DIGITALIZADA EN CENTRO LOGISTICO")</f>
        <v>ENTREGA DIGITALIZADA EN CENTRO LOGISTICO</v>
      </c>
      <c r="AQ1080" s="65" t="str">
        <f>IFERROR(__xludf.DUMMYFUNCTION("""COMPUTED_VALUE"""),"GASTON CAMPUZANO")</f>
        <v>GASTON CAMPUZANO</v>
      </c>
      <c r="AR1080" s="65"/>
      <c r="AS1080" s="65"/>
      <c r="AT1080" s="65"/>
      <c r="AU1080" s="65"/>
      <c r="AV1080" s="65"/>
      <c r="AW1080" s="65"/>
      <c r="AX1080" s="65"/>
      <c r="AY1080" s="65" t="str">
        <f>IFERROR(__xludf.DUMMYFUNCTION("""COMPUTED_VALUE"""),"02/02/2026")</f>
        <v>02/02/2026</v>
      </c>
      <c r="AZ1080" s="65"/>
      <c r="BA1080" s="65"/>
    </row>
    <row r="1081">
      <c r="A1081" s="65" t="str">
        <f>IFERROR(__xludf.DUMMYFUNCTION("""COMPUTED_VALUE"""),"27-03-2026")</f>
        <v>27-03-2026</v>
      </c>
      <c r="B1081" s="65">
        <f>IFERROR(__xludf.DUMMYFUNCTION("""COMPUTED_VALUE"""),4369054.0)</f>
        <v>4369054</v>
      </c>
      <c r="C1081" s="65" t="str">
        <f>IFERROR(__xludf.DUMMYFUNCTION("""COMPUTED_VALUE"""),"14:17")</f>
        <v>14:17</v>
      </c>
      <c r="D1081" s="65" t="str">
        <f>IFERROR(__xludf.DUMMYFUNCTION("""COMPUTED_VALUE"""),"02-02-2026")</f>
        <v>02-02-2026</v>
      </c>
      <c r="E1081" s="65" t="str">
        <f>IFERROR(__xludf.DUMMYFUNCTION("""COMPUTED_VALUE"""),"César Acosta")</f>
        <v>César Acosta</v>
      </c>
      <c r="F1081" s="65" t="str">
        <f>IFERROR(__xludf.DUMMYFUNCTION("""COMPUTED_VALUE"""),"985446424")</f>
        <v>985446424</v>
      </c>
      <c r="G1081" s="65" t="str">
        <f>IFERROR(__xludf.DUMMYFUNCTION("""COMPUTED_VALUE"""),"keylajulieth2009@gmail.com")</f>
        <v>keylajulieth2009@gmail.com</v>
      </c>
      <c r="H1081" s="65"/>
      <c r="I1081" s="65"/>
      <c r="J1081" s="65"/>
      <c r="K1081" s="65" t="str">
        <f>IFERROR(__xludf.DUMMYFUNCTION("""COMPUTED_VALUE"""),"CANCELADO")</f>
        <v>CANCELADO</v>
      </c>
      <c r="L1081" s="65" t="str">
        <f>IFERROR(__xludf.DUMMYFUNCTION("""COMPUTED_VALUE"""),"CON RECAUDO")</f>
        <v>CON RECAUDO</v>
      </c>
      <c r="M1081" s="65" t="str">
        <f>IFERROR(__xludf.DUMMYFUNCTION("""COMPUTED_VALUE"""),"IMBABURA")</f>
        <v>IMBABURA</v>
      </c>
      <c r="N1081" s="65" t="str">
        <f>IFERROR(__xludf.DUMMYFUNCTION("""COMPUTED_VALUE"""),"IBARRA")</f>
        <v>IBARRA</v>
      </c>
      <c r="O1081" s="65" t="str">
        <f>IFERROR(__xludf.DUMMYFUNCTION("""COMPUTED_VALUE"""),"Sánchez y Cifuentes y Pedro Moncayo Centro -")</f>
        <v>Sánchez y Cifuentes y Pedro Moncayo Centro -</v>
      </c>
      <c r="P1081" s="65"/>
      <c r="Q1081" s="65" t="str">
        <f>IFERROR(__xludf.DUMMYFUNCTION("""COMPUTED_VALUE"""),"GINTRACOM")</f>
        <v>GINTRACOM</v>
      </c>
      <c r="R1081" s="65">
        <f>IFERROR(__xludf.DUMMYFUNCTION("""COMPUTED_VALUE"""),19.99)</f>
        <v>19.99</v>
      </c>
      <c r="S1081" s="65"/>
      <c r="T1081" s="65">
        <f>IFERROR(__xludf.DUMMYFUNCTION("""COMPUTED_VALUE"""),5.75)</f>
        <v>5.75</v>
      </c>
      <c r="U1081" s="65">
        <f>IFERROR(__xludf.DUMMYFUNCTION("""COMPUTED_VALUE"""),0.0)</f>
        <v>0</v>
      </c>
      <c r="V1081" s="65">
        <f>IFERROR(__xludf.DUMMYFUNCTION("""COMPUTED_VALUE"""),0.0)</f>
        <v>0</v>
      </c>
      <c r="W1081" s="65">
        <f>IFERROR(__xludf.DUMMYFUNCTION("""COMPUTED_VALUE"""),0.0)</f>
        <v>0</v>
      </c>
      <c r="X1081" s="65">
        <f>IFERROR(__xludf.DUMMYFUNCTION("""COMPUTED_VALUE"""),5.0)</f>
        <v>5</v>
      </c>
      <c r="Y1081" s="65">
        <f>IFERROR(__xludf.DUMMYFUNCTION("""COMPUTED_VALUE"""),5.0)</f>
        <v>5</v>
      </c>
      <c r="Z1081" s="65">
        <f>IFERROR(__xludf.DUMMYFUNCTION("""COMPUTED_VALUE"""),110064.0)</f>
        <v>110064</v>
      </c>
      <c r="AA1081" s="65" t="str">
        <f>IFERROR(__xludf.DUMMYFUNCTION("""COMPUTED_VALUE"""),"IMX-00001")</f>
        <v>IMX-00001</v>
      </c>
      <c r="AB1081" s="65"/>
      <c r="AC1081" s="65" t="str">
        <f>IFERROR(__xludf.DUMMYFUNCTION("""COMPUTED_VALUE"""),"LLAVE TRINQUETE")</f>
        <v>LLAVE TRINQUETE</v>
      </c>
      <c r="AD1081" s="65"/>
      <c r="AE1081" s="65">
        <f>IFERROR(__xludf.DUMMYFUNCTION("""COMPUTED_VALUE"""),1.0)</f>
        <v>1</v>
      </c>
      <c r="AF1081" s="65"/>
      <c r="AG1081" s="65"/>
      <c r="AH1081" s="65"/>
      <c r="AI1081" s="65"/>
      <c r="AJ1081" s="65"/>
      <c r="AK1081" s="65"/>
      <c r="AL1081" s="65"/>
      <c r="AM1081" s="65"/>
      <c r="AN1081" s="65"/>
      <c r="AO1081" s="65"/>
      <c r="AP1081" s="65"/>
      <c r="AQ1081" s="65"/>
      <c r="AR1081" s="65"/>
      <c r="AS1081" s="65"/>
      <c r="AT1081" s="65" t="str">
        <f>IFERROR(__xludf.DUMMYFUNCTION("""COMPUTED_VALUE"""),"SHOPIFY")</f>
        <v>SHOPIFY</v>
      </c>
      <c r="AU1081" s="65" t="str">
        <f>IFERROR(__xludf.DUMMYFUNCTION("""COMPUTED_VALUE"""),"IMPORTEX EC")</f>
        <v>IMPORTEX EC</v>
      </c>
      <c r="AV1081" s="65" t="str">
        <f>IFERROR(__xludf.DUMMYFUNCTION("""COMPUTED_VALUE"""),"6471869726764")</f>
        <v>6471869726764</v>
      </c>
      <c r="AW1081" s="65">
        <f>IFERROR(__xludf.DUMMYFUNCTION("""COMPUTED_VALUE"""),5819.0)</f>
        <v>5819</v>
      </c>
      <c r="AX1081" s="65"/>
      <c r="AY1081" s="65"/>
      <c r="AZ1081" s="65"/>
      <c r="BA1081" s="65"/>
    </row>
    <row r="1082">
      <c r="A1082" s="65" t="str">
        <f>IFERROR(__xludf.DUMMYFUNCTION("""COMPUTED_VALUE"""),"27-03-2026")</f>
        <v>27-03-2026</v>
      </c>
      <c r="B1082" s="65">
        <f>IFERROR(__xludf.DUMMYFUNCTION("""COMPUTED_VALUE"""),4367391.0)</f>
        <v>4367391</v>
      </c>
      <c r="C1082" s="65" t="str">
        <f>IFERROR(__xludf.DUMMYFUNCTION("""COMPUTED_VALUE"""),"12:23")</f>
        <v>12:23</v>
      </c>
      <c r="D1082" s="65" t="str">
        <f>IFERROR(__xludf.DUMMYFUNCTION("""COMPUTED_VALUE"""),"02-02-2026")</f>
        <v>02-02-2026</v>
      </c>
      <c r="E1082" s="65" t="str">
        <f>IFERROR(__xludf.DUMMYFUNCTION("""COMPUTED_VALUE"""),"Armando Unaucho")</f>
        <v>Armando Unaucho</v>
      </c>
      <c r="F1082" s="65" t="str">
        <f>IFERROR(__xludf.DUMMYFUNCTION("""COMPUTED_VALUE"""),"984523040")</f>
        <v>984523040</v>
      </c>
      <c r="G1082" s="65"/>
      <c r="H1082" s="65"/>
      <c r="I1082" s="65"/>
      <c r="J1082" s="65" t="str">
        <f>IFERROR(__xludf.DUMMYFUNCTION("""COMPUTED_VALUE"""),"186994302")</f>
        <v>186994302</v>
      </c>
      <c r="K1082" s="65" t="str">
        <f>IFERROR(__xludf.DUMMYFUNCTION("""COMPUTED_VALUE"""),"ENTREGADO")</f>
        <v>ENTREGADO</v>
      </c>
      <c r="L1082" s="65" t="str">
        <f>IFERROR(__xludf.DUMMYFUNCTION("""COMPUTED_VALUE"""),"CON RECAUDO")</f>
        <v>CON RECAUDO</v>
      </c>
      <c r="M1082" s="65" t="str">
        <f>IFERROR(__xludf.DUMMYFUNCTION("""COMPUTED_VALUE"""),"PICHINCHA")</f>
        <v>PICHINCHA</v>
      </c>
      <c r="N1082" s="65" t="str">
        <f>IFERROR(__xludf.DUMMYFUNCTION("""COMPUTED_VALUE"""),"CUMBAYA")</f>
        <v>CUMBAYA</v>
      </c>
      <c r="O1082" s="65" t="str">
        <f>IFERROR(__xludf.DUMMYFUNCTION("""COMPUTED_VALUE"""),"RETIRA EN CS : QUITO_CUMBAYA , ELOY ALFARO OE1-34 Y AV. MARIA ANGELICA IDROVO")</f>
        <v>RETIRA EN CS : QUITO_CUMBAYA , ELOY ALFARO OE1-34 Y AV. MARIA ANGELICA IDROVO</v>
      </c>
      <c r="P1082" s="65"/>
      <c r="Q1082" s="65" t="str">
        <f>IFERROR(__xludf.DUMMYFUNCTION("""COMPUTED_VALUE"""),"SERVIENTREGA")</f>
        <v>SERVIENTREGA</v>
      </c>
      <c r="R1082" s="65">
        <f>IFERROR(__xludf.DUMMYFUNCTION("""COMPUTED_VALUE"""),32.0)</f>
        <v>32</v>
      </c>
      <c r="S1082" s="65">
        <f>IFERROR(__xludf.DUMMYFUNCTION("""COMPUTED_VALUE"""),17.09)</f>
        <v>17.09</v>
      </c>
      <c r="T1082" s="65">
        <f>IFERROR(__xludf.DUMMYFUNCTION("""COMPUTED_VALUE"""),4.91)</f>
        <v>4.91</v>
      </c>
      <c r="U1082" s="65">
        <f>IFERROR(__xludf.DUMMYFUNCTION("""COMPUTED_VALUE"""),0.0)</f>
        <v>0</v>
      </c>
      <c r="V1082" s="65">
        <f>IFERROR(__xludf.DUMMYFUNCTION("""COMPUTED_VALUE"""),0.0)</f>
        <v>0</v>
      </c>
      <c r="W1082" s="65">
        <f>IFERROR(__xludf.DUMMYFUNCTION("""COMPUTED_VALUE"""),0.0)</f>
        <v>0</v>
      </c>
      <c r="X1082" s="65">
        <f>IFERROR(__xludf.DUMMYFUNCTION("""COMPUTED_VALUE"""),5.0)</f>
        <v>5</v>
      </c>
      <c r="Y1082" s="65">
        <f>IFERROR(__xludf.DUMMYFUNCTION("""COMPUTED_VALUE"""),10.0)</f>
        <v>10</v>
      </c>
      <c r="Z1082" s="65">
        <f>IFERROR(__xludf.DUMMYFUNCTION("""COMPUTED_VALUE"""),110064.0)</f>
        <v>110064</v>
      </c>
      <c r="AA1082" s="65" t="str">
        <f>IFERROR(__xludf.DUMMYFUNCTION("""COMPUTED_VALUE"""),"IMX-00001")</f>
        <v>IMX-00001</v>
      </c>
      <c r="AB1082" s="65"/>
      <c r="AC1082" s="65" t="str">
        <f>IFERROR(__xludf.DUMMYFUNCTION("""COMPUTED_VALUE"""),"LLAVE TRINQUETE")</f>
        <v>LLAVE TRINQUETE</v>
      </c>
      <c r="AD1082" s="65"/>
      <c r="AE1082" s="65">
        <f>IFERROR(__xludf.DUMMYFUNCTION("""COMPUTED_VALUE"""),2.0)</f>
        <v>2</v>
      </c>
      <c r="AF1082" s="65"/>
      <c r="AG1082" s="65"/>
      <c r="AH1082" s="65"/>
      <c r="AI1082" s="65"/>
      <c r="AJ1082" s="65"/>
      <c r="AK1082" s="65"/>
      <c r="AL1082" s="65"/>
      <c r="AM1082" s="65"/>
      <c r="AN1082" s="65" t="str">
        <f>IFERROR(__xludf.DUMMYFUNCTION("""COMPUTED_VALUE"""),"15:57")</f>
        <v>15:57</v>
      </c>
      <c r="AO1082" s="65" t="str">
        <f>IFERROR(__xludf.DUMMYFUNCTION("""COMPUTED_VALUE"""),"10-02-2026")</f>
        <v>10-02-2026</v>
      </c>
      <c r="AP1082" s="65" t="str">
        <f>IFERROR(__xludf.DUMMYFUNCTION("""COMPUTED_VALUE"""),"ENTREGA DIGITALIZADA EN CENTRO LOGISTICO")</f>
        <v>ENTREGA DIGITALIZADA EN CENTRO LOGISTICO</v>
      </c>
      <c r="AQ1082" s="65" t="str">
        <f>IFERROR(__xludf.DUMMYFUNCTION("""COMPUTED_VALUE"""),"ARMANDO UNAUCHO")</f>
        <v>ARMANDO UNAUCHO</v>
      </c>
      <c r="AR1082" s="65"/>
      <c r="AS1082" s="65"/>
      <c r="AT1082" s="65"/>
      <c r="AU1082" s="65"/>
      <c r="AV1082" s="65"/>
      <c r="AW1082" s="65"/>
      <c r="AX1082" s="65"/>
      <c r="AY1082" s="65" t="str">
        <f>IFERROR(__xludf.DUMMYFUNCTION("""COMPUTED_VALUE"""),"03/02/2026")</f>
        <v>03/02/2026</v>
      </c>
      <c r="AZ1082" s="65"/>
      <c r="BA1082" s="65"/>
    </row>
    <row r="1083">
      <c r="A1083" s="65" t="str">
        <f>IFERROR(__xludf.DUMMYFUNCTION("""COMPUTED_VALUE"""),"27-03-2026")</f>
        <v>27-03-2026</v>
      </c>
      <c r="B1083" s="65">
        <f>IFERROR(__xludf.DUMMYFUNCTION("""COMPUTED_VALUE"""),4367065.0)</f>
        <v>4367065</v>
      </c>
      <c r="C1083" s="65" t="str">
        <f>IFERROR(__xludf.DUMMYFUNCTION("""COMPUTED_VALUE"""),"12:15")</f>
        <v>12:15</v>
      </c>
      <c r="D1083" s="65" t="str">
        <f>IFERROR(__xludf.DUMMYFUNCTION("""COMPUTED_VALUE"""),"02-02-2026")</f>
        <v>02-02-2026</v>
      </c>
      <c r="E1083" s="65" t="str">
        <f>IFERROR(__xludf.DUMMYFUNCTION("""COMPUTED_VALUE"""),"Wilson Corrales")</f>
        <v>Wilson Corrales</v>
      </c>
      <c r="F1083" s="65" t="str">
        <f>IFERROR(__xludf.DUMMYFUNCTION("""COMPUTED_VALUE"""),"999801756")</f>
        <v>999801756</v>
      </c>
      <c r="G1083" s="65"/>
      <c r="H1083" s="65"/>
      <c r="I1083" s="65"/>
      <c r="J1083" s="65" t="str">
        <f>IFERROR(__xludf.DUMMYFUNCTION("""COMPUTED_VALUE"""),"186991734")</f>
        <v>186991734</v>
      </c>
      <c r="K1083" s="65" t="str">
        <f>IFERROR(__xludf.DUMMYFUNCTION("""COMPUTED_VALUE"""),"ENTREGADO")</f>
        <v>ENTREGADO</v>
      </c>
      <c r="L1083" s="65" t="str">
        <f>IFERROR(__xludf.DUMMYFUNCTION("""COMPUTED_VALUE"""),"CON RECAUDO")</f>
        <v>CON RECAUDO</v>
      </c>
      <c r="M1083" s="65" t="str">
        <f>IFERROR(__xludf.DUMMYFUNCTION("""COMPUTED_VALUE"""),"SUCUMBIOS")</f>
        <v>SUCUMBIOS</v>
      </c>
      <c r="N1083" s="65" t="str">
        <f>IFERROR(__xludf.DUMMYFUNCTION("""COMPUTED_VALUE"""),"LAGO AGRIO")</f>
        <v>LAGO AGRIO</v>
      </c>
      <c r="O1083" s="65" t="str">
        <f>IFERROR(__xludf.DUMMYFUNCTION("""COMPUTED_VALUE"""),"RETIRA EN CS : LAGO AGRIO_PRINCIPAL , AV. ELOY ALFARO 317 Y 12 DE FEBRERO")</f>
        <v>RETIRA EN CS : LAGO AGRIO_PRINCIPAL , AV. ELOY ALFARO 317 Y 12 DE FEBRERO</v>
      </c>
      <c r="P1083" s="65"/>
      <c r="Q1083" s="65" t="str">
        <f>IFERROR(__xludf.DUMMYFUNCTION("""COMPUTED_VALUE"""),"SERVIENTREGA")</f>
        <v>SERVIENTREGA</v>
      </c>
      <c r="R1083" s="65">
        <f>IFERROR(__xludf.DUMMYFUNCTION("""COMPUTED_VALUE"""),22.0)</f>
        <v>22</v>
      </c>
      <c r="S1083" s="65">
        <f>IFERROR(__xludf.DUMMYFUNCTION("""COMPUTED_VALUE"""),9.1)</f>
        <v>9.1</v>
      </c>
      <c r="T1083" s="65">
        <f>IFERROR(__xludf.DUMMYFUNCTION("""COMPUTED_VALUE"""),7.7)</f>
        <v>7.7</v>
      </c>
      <c r="U1083" s="65">
        <f>IFERROR(__xludf.DUMMYFUNCTION("""COMPUTED_VALUE"""),0.0)</f>
        <v>0</v>
      </c>
      <c r="V1083" s="65">
        <f>IFERROR(__xludf.DUMMYFUNCTION("""COMPUTED_VALUE"""),0.0)</f>
        <v>0</v>
      </c>
      <c r="W1083" s="65">
        <f>IFERROR(__xludf.DUMMYFUNCTION("""COMPUTED_VALUE"""),0.0)</f>
        <v>0</v>
      </c>
      <c r="X1083" s="65">
        <f>IFERROR(__xludf.DUMMYFUNCTION("""COMPUTED_VALUE"""),2.6)</f>
        <v>2.6</v>
      </c>
      <c r="Y1083" s="65">
        <f>IFERROR(__xludf.DUMMYFUNCTION("""COMPUTED_VALUE"""),5.2)</f>
        <v>5.2</v>
      </c>
      <c r="Z1083" s="65">
        <f>IFERROR(__xludf.DUMMYFUNCTION("""COMPUTED_VALUE"""),121983.0)</f>
        <v>121983</v>
      </c>
      <c r="AA1083" s="65" t="str">
        <f>IFERROR(__xludf.DUMMYFUNCTION("""COMPUTED_VALUE"""),"PROV-CHLLCF")</f>
        <v>PROV-CHLLCF</v>
      </c>
      <c r="AB1083" s="65"/>
      <c r="AC1083" s="65" t="str">
        <f>IFERROR(__xludf.DUMMYFUNCTION("""COMPUTED_VALUE"""),"CUCHILLO PARA CHEF")</f>
        <v>CUCHILLO PARA CHEF</v>
      </c>
      <c r="AD1083" s="65"/>
      <c r="AE1083" s="65">
        <f>IFERROR(__xludf.DUMMYFUNCTION("""COMPUTED_VALUE"""),2.0)</f>
        <v>2</v>
      </c>
      <c r="AF1083" s="65"/>
      <c r="AG1083" s="65"/>
      <c r="AH1083" s="65"/>
      <c r="AI1083" s="65"/>
      <c r="AJ1083" s="65"/>
      <c r="AK1083" s="65"/>
      <c r="AL1083" s="65"/>
      <c r="AM1083" s="65"/>
      <c r="AN1083" s="65" t="str">
        <f>IFERROR(__xludf.DUMMYFUNCTION("""COMPUTED_VALUE"""),"17:02")</f>
        <v>17:02</v>
      </c>
      <c r="AO1083" s="65" t="str">
        <f>IFERROR(__xludf.DUMMYFUNCTION("""COMPUTED_VALUE"""),"24-02-2026")</f>
        <v>24-02-2026</v>
      </c>
      <c r="AP1083" s="65" t="str">
        <f>IFERROR(__xludf.DUMMYFUNCTION("""COMPUTED_VALUE"""),"ENTREGA DIGITALIZADA EN CENTRO LOGISTICO")</f>
        <v>ENTREGA DIGITALIZADA EN CENTRO LOGISTICO</v>
      </c>
      <c r="AQ1083" s="65" t="str">
        <f>IFERROR(__xludf.DUMMYFUNCTION("""COMPUTED_VALUE"""),"WILSON CORRALES")</f>
        <v>WILSON CORRALES</v>
      </c>
      <c r="AR1083" s="65"/>
      <c r="AS1083" s="65"/>
      <c r="AT1083" s="65"/>
      <c r="AU1083" s="65"/>
      <c r="AV1083" s="65"/>
      <c r="AW1083" s="65"/>
      <c r="AX1083" s="65"/>
      <c r="AY1083" s="65" t="str">
        <f>IFERROR(__xludf.DUMMYFUNCTION("""COMPUTED_VALUE"""),"02/02/2026")</f>
        <v>02/02/2026</v>
      </c>
      <c r="AZ1083" s="65"/>
      <c r="BA1083" s="65"/>
    </row>
    <row r="1084">
      <c r="A1084" s="65" t="str">
        <f>IFERROR(__xludf.DUMMYFUNCTION("""COMPUTED_VALUE"""),"27-03-2026")</f>
        <v>27-03-2026</v>
      </c>
      <c r="B1084" s="65">
        <f>IFERROR(__xludf.DUMMYFUNCTION("""COMPUTED_VALUE"""),4366701.0)</f>
        <v>4366701</v>
      </c>
      <c r="C1084" s="65" t="str">
        <f>IFERROR(__xludf.DUMMYFUNCTION("""COMPUTED_VALUE"""),"11:53")</f>
        <v>11:53</v>
      </c>
      <c r="D1084" s="65" t="str">
        <f>IFERROR(__xludf.DUMMYFUNCTION("""COMPUTED_VALUE"""),"02-02-2026")</f>
        <v>02-02-2026</v>
      </c>
      <c r="E1084" s="65" t="str">
        <f>IFERROR(__xludf.DUMMYFUNCTION("""COMPUTED_VALUE"""),"Jhonny Carlos Valdivieso Pizarro")</f>
        <v>Jhonny Carlos Valdivieso Pizarro</v>
      </c>
      <c r="F1084" s="65" t="str">
        <f>IFERROR(__xludf.DUMMYFUNCTION("""COMPUTED_VALUE"""),"988244329")</f>
        <v>988244329</v>
      </c>
      <c r="G1084" s="65"/>
      <c r="H1084" s="65"/>
      <c r="I1084" s="65"/>
      <c r="J1084" s="65" t="str">
        <f>IFERROR(__xludf.DUMMYFUNCTION("""COMPUTED_VALUE"""),"186792346")</f>
        <v>186792346</v>
      </c>
      <c r="K1084" s="65" t="str">
        <f>IFERROR(__xludf.DUMMYFUNCTION("""COMPUTED_VALUE"""),"DEVOLUCION")</f>
        <v>DEVOLUCION</v>
      </c>
      <c r="L1084" s="65" t="str">
        <f>IFERROR(__xludf.DUMMYFUNCTION("""COMPUTED_VALUE"""),"CON RECAUDO")</f>
        <v>CON RECAUDO</v>
      </c>
      <c r="M1084" s="65" t="str">
        <f>IFERROR(__xludf.DUMMYFUNCTION("""COMPUTED_VALUE"""),"EL ORO")</f>
        <v>EL ORO</v>
      </c>
      <c r="N1084" s="65" t="str">
        <f>IFERROR(__xludf.DUMMYFUNCTION("""COMPUTED_VALUE"""),"EL CAMBIO")</f>
        <v>EL CAMBIO</v>
      </c>
      <c r="O1084" s="65" t="str">
        <f>IFERROR(__xludf.DUMMYFUNCTION("""COMPUTED_VALUE"""),"RETIRA EN CS : BARRIO SAN VICENTE Y 1ERA SUR FRENTE A LA IGLESIA EL CAMBIO")</f>
        <v>RETIRA EN CS : BARRIO SAN VICENTE Y 1ERA SUR FRENTE A LA IGLESIA EL CAMBIO</v>
      </c>
      <c r="P1084" s="65"/>
      <c r="Q1084" s="65" t="str">
        <f>IFERROR(__xludf.DUMMYFUNCTION("""COMPUTED_VALUE"""),"SERVIENTREGA")</f>
        <v>SERVIENTREGA</v>
      </c>
      <c r="R1084" s="65">
        <f>IFERROR(__xludf.DUMMYFUNCTION("""COMPUTED_VALUE"""),20.0)</f>
        <v>20</v>
      </c>
      <c r="S1084" s="65"/>
      <c r="T1084" s="65">
        <f>IFERROR(__xludf.DUMMYFUNCTION("""COMPUTED_VALUE"""),7.67)</f>
        <v>7.67</v>
      </c>
      <c r="U1084" s="65">
        <f>IFERROR(__xludf.DUMMYFUNCTION("""COMPUTED_VALUE"""),0.0)</f>
        <v>0</v>
      </c>
      <c r="V1084" s="65">
        <f>IFERROR(__xludf.DUMMYFUNCTION("""COMPUTED_VALUE"""),0.0)</f>
        <v>0</v>
      </c>
      <c r="W1084" s="65">
        <f>IFERROR(__xludf.DUMMYFUNCTION("""COMPUTED_VALUE"""),0.0)</f>
        <v>0</v>
      </c>
      <c r="X1084" s="65">
        <f>IFERROR(__xludf.DUMMYFUNCTION("""COMPUTED_VALUE"""),2.2)</f>
        <v>2.2</v>
      </c>
      <c r="Y1084" s="65">
        <f>IFERROR(__xludf.DUMMYFUNCTION("""COMPUTED_VALUE"""),2.2)</f>
        <v>2.2</v>
      </c>
      <c r="Z1084" s="65">
        <f>IFERROR(__xludf.DUMMYFUNCTION("""COMPUTED_VALUE"""),111894.0)</f>
        <v>111894</v>
      </c>
      <c r="AA1084" s="65" t="str">
        <f>IFERROR(__xludf.DUMMYFUNCTION("""COMPUTED_VALUE"""),"LYIC5M40067")</f>
        <v>LYIC5M40067</v>
      </c>
      <c r="AB1084" s="65"/>
      <c r="AC1084" s="65" t="str">
        <f>IFERROR(__xludf.DUMMYFUNCTION("""COMPUTED_VALUE"""),"Limpiador de Parabrisas y Ventanas")</f>
        <v>Limpiador de Parabrisas y Ventanas</v>
      </c>
      <c r="AD1084" s="65"/>
      <c r="AE1084" s="65">
        <f>IFERROR(__xludf.DUMMYFUNCTION("""COMPUTED_VALUE"""),1.0)</f>
        <v>1</v>
      </c>
      <c r="AF1084" s="65" t="str">
        <f>IFERROR(__xludf.DUMMYFUNCTION("""COMPUTED_VALUE"""),"DEVOLUCION AL REMITENTE")</f>
        <v>DEVOLUCION AL REMITENTE</v>
      </c>
      <c r="AG1084" s="65" t="str">
        <f>IFERROR(__xludf.DUMMYFUNCTION("""COMPUTED_VALUE"""),"NO")</f>
        <v>NO</v>
      </c>
      <c r="AH1084" s="65" t="str">
        <f>IFERROR(__xludf.DUMMYFUNCTION("""COMPUTED_VALUE"""),"10:01")</f>
        <v>10:01</v>
      </c>
      <c r="AI1084" s="65" t="str">
        <f>IFERROR(__xludf.DUMMYFUNCTION("""COMPUTED_VALUE"""),"12-02-2026")</f>
        <v>12-02-2026</v>
      </c>
      <c r="AJ1084" s="65"/>
      <c r="AK1084" s="65"/>
      <c r="AL1084" s="65"/>
      <c r="AM1084" s="65"/>
      <c r="AN1084" s="65" t="str">
        <f>IFERROR(__xludf.DUMMYFUNCTION("""COMPUTED_VALUE"""),"01:02")</f>
        <v>01:02</v>
      </c>
      <c r="AO1084" s="65" t="str">
        <f>IFERROR(__xludf.DUMMYFUNCTION("""COMPUTED_VALUE"""),"14-02-2026")</f>
        <v>14-02-2026</v>
      </c>
      <c r="AP1084" s="65" t="str">
        <f>IFERROR(__xludf.DUMMYFUNCTION("""COMPUTED_VALUE"""),"DEVOLUCION AL REMITENTE")</f>
        <v>DEVOLUCION AL REMITENTE</v>
      </c>
      <c r="AQ1084" s="65" t="str">
        <f>IFERROR(__xludf.DUMMYFUNCTION("""COMPUTED_VALUE"""),"{}")</f>
        <v>{}</v>
      </c>
      <c r="AR1084" s="65"/>
      <c r="AS1084" s="65"/>
      <c r="AT1084" s="65"/>
      <c r="AU1084" s="65"/>
      <c r="AV1084" s="65"/>
      <c r="AW1084" s="65"/>
      <c r="AX1084" s="65"/>
      <c r="AY1084" s="65" t="str">
        <f>IFERROR(__xludf.DUMMYFUNCTION("""COMPUTED_VALUE"""),"02/02/2026")</f>
        <v>02/02/2026</v>
      </c>
      <c r="AZ1084" s="65"/>
      <c r="BA1084" s="65"/>
    </row>
    <row r="1085">
      <c r="A1085" s="65" t="str">
        <f>IFERROR(__xludf.DUMMYFUNCTION("""COMPUTED_VALUE"""),"27-03-2026")</f>
        <v>27-03-2026</v>
      </c>
      <c r="B1085" s="65">
        <f>IFERROR(__xludf.DUMMYFUNCTION("""COMPUTED_VALUE"""),4366108.0)</f>
        <v>4366108</v>
      </c>
      <c r="C1085" s="65" t="str">
        <f>IFERROR(__xludf.DUMMYFUNCTION("""COMPUTED_VALUE"""),"11:13")</f>
        <v>11:13</v>
      </c>
      <c r="D1085" s="65" t="str">
        <f>IFERROR(__xludf.DUMMYFUNCTION("""COMPUTED_VALUE"""),"02-02-2026")</f>
        <v>02-02-2026</v>
      </c>
      <c r="E1085" s="65" t="str">
        <f>IFERROR(__xludf.DUMMYFUNCTION("""COMPUTED_VALUE"""),"José Chicaiza")</f>
        <v>José Chicaiza</v>
      </c>
      <c r="F1085" s="65" t="str">
        <f>IFERROR(__xludf.DUMMYFUNCTION("""COMPUTED_VALUE"""),"996019122")</f>
        <v>996019122</v>
      </c>
      <c r="G1085" s="65" t="str">
        <f>IFERROR(__xludf.DUMMYFUNCTION("""COMPUTED_VALUE"""),"jchicaizap@hotmail.com")</f>
        <v>jchicaizap@hotmail.com</v>
      </c>
      <c r="H1085" s="65"/>
      <c r="I1085" s="65"/>
      <c r="J1085" s="65"/>
      <c r="K1085" s="65" t="str">
        <f>IFERROR(__xludf.DUMMYFUNCTION("""COMPUTED_VALUE"""),"PENDIENTE CONFIRMACION")</f>
        <v>PENDIENTE CONFIRMACION</v>
      </c>
      <c r="L1085" s="65" t="str">
        <f>IFERROR(__xludf.DUMMYFUNCTION("""COMPUTED_VALUE"""),"CON RECAUDO")</f>
        <v>CON RECAUDO</v>
      </c>
      <c r="M1085" s="65" t="str">
        <f>IFERROR(__xludf.DUMMYFUNCTION("""COMPUTED_VALUE"""),"PICHINCHA")</f>
        <v>PICHINCHA</v>
      </c>
      <c r="N1085" s="65" t="str">
        <f>IFERROR(__xludf.DUMMYFUNCTION("""COMPUTED_VALUE"""),"QUITO")</f>
        <v>QUITO</v>
      </c>
      <c r="O1085" s="65" t="str">
        <f>IFERROR(__xludf.DUMMYFUNCTION("""COMPUTED_VALUE"""),"Av Napo e2150 y Alamor, Dimatel Chimbacalle -")</f>
        <v>Av Napo e2150 y Alamor, Dimatel Chimbacalle -</v>
      </c>
      <c r="P1085" s="65"/>
      <c r="Q1085" s="65" t="str">
        <f>IFERROR(__xludf.DUMMYFUNCTION("""COMPUTED_VALUE"""),"GINTRACOM")</f>
        <v>GINTRACOM</v>
      </c>
      <c r="R1085" s="65">
        <f>IFERROR(__xludf.DUMMYFUNCTION("""COMPUTED_VALUE"""),30.0)</f>
        <v>30</v>
      </c>
      <c r="S1085" s="65"/>
      <c r="T1085" s="65">
        <f>IFERROR(__xludf.DUMMYFUNCTION("""COMPUTED_VALUE"""),4.55)</f>
        <v>4.55</v>
      </c>
      <c r="U1085" s="65">
        <f>IFERROR(__xludf.DUMMYFUNCTION("""COMPUTED_VALUE"""),0.0)</f>
        <v>0</v>
      </c>
      <c r="V1085" s="65">
        <f>IFERROR(__xludf.DUMMYFUNCTION("""COMPUTED_VALUE"""),0.0)</f>
        <v>0</v>
      </c>
      <c r="W1085" s="65">
        <f>IFERROR(__xludf.DUMMYFUNCTION("""COMPUTED_VALUE"""),0.0)</f>
        <v>0</v>
      </c>
      <c r="X1085" s="65">
        <f>IFERROR(__xludf.DUMMYFUNCTION("""COMPUTED_VALUE"""),2.35)</f>
        <v>2.35</v>
      </c>
      <c r="Y1085" s="65">
        <f>IFERROR(__xludf.DUMMYFUNCTION("""COMPUTED_VALUE"""),7.05)</f>
        <v>7.05</v>
      </c>
      <c r="Z1085" s="65">
        <f>IFERROR(__xludf.DUMMYFUNCTION("""COMPUTED_VALUE"""),116679.0)</f>
        <v>116679</v>
      </c>
      <c r="AA1085" s="65" t="str">
        <f>IFERROR(__xludf.DUMMYFUNCTION("""COMPUTED_VALUE"""),"AMC-2738")</f>
        <v>AMC-2738</v>
      </c>
      <c r="AB1085" s="65"/>
      <c r="AC1085" s="65" t="str">
        <f>IFERROR(__xludf.DUMMYFUNCTION("""COMPUTED_VALUE"""),"ESPONJA ANTILLUVIA DE PARABRISAS")</f>
        <v>ESPONJA ANTILLUVIA DE PARABRISAS</v>
      </c>
      <c r="AD1085" s="65"/>
      <c r="AE1085" s="65">
        <f>IFERROR(__xludf.DUMMYFUNCTION("""COMPUTED_VALUE"""),3.0)</f>
        <v>3</v>
      </c>
      <c r="AF1085" s="65"/>
      <c r="AG1085" s="65"/>
      <c r="AH1085" s="65"/>
      <c r="AI1085" s="65"/>
      <c r="AJ1085" s="65"/>
      <c r="AK1085" s="65"/>
      <c r="AL1085" s="65"/>
      <c r="AM1085" s="65"/>
      <c r="AN1085" s="65"/>
      <c r="AO1085" s="65"/>
      <c r="AP1085" s="65"/>
      <c r="AQ1085" s="65"/>
      <c r="AR1085" s="65"/>
      <c r="AS1085" s="65"/>
      <c r="AT1085" s="65" t="str">
        <f>IFERROR(__xludf.DUMMYFUNCTION("""COMPUTED_VALUE"""),"SHOPIFY")</f>
        <v>SHOPIFY</v>
      </c>
      <c r="AU1085" s="65" t="str">
        <f>IFERROR(__xludf.DUMMYFUNCTION("""COMPUTED_VALUE"""),"IMPORTEX EC")</f>
        <v>IMPORTEX EC</v>
      </c>
      <c r="AV1085" s="65" t="str">
        <f>IFERROR(__xludf.DUMMYFUNCTION("""COMPUTED_VALUE"""),"6466777579564")</f>
        <v>6466777579564</v>
      </c>
      <c r="AW1085" s="65">
        <f>IFERROR(__xludf.DUMMYFUNCTION("""COMPUTED_VALUE"""),5722.0)</f>
        <v>5722</v>
      </c>
      <c r="AX1085" s="65"/>
      <c r="AY1085" s="65"/>
      <c r="AZ1085" s="65"/>
      <c r="BA1085" s="65"/>
    </row>
    <row r="1086">
      <c r="A1086" s="65" t="str">
        <f>IFERROR(__xludf.DUMMYFUNCTION("""COMPUTED_VALUE"""),"27-03-2026")</f>
        <v>27-03-2026</v>
      </c>
      <c r="B1086" s="65">
        <f>IFERROR(__xludf.DUMMYFUNCTION("""COMPUTED_VALUE"""),4365907.0)</f>
        <v>4365907</v>
      </c>
      <c r="C1086" s="65" t="str">
        <f>IFERROR(__xludf.DUMMYFUNCTION("""COMPUTED_VALUE"""),"10:58")</f>
        <v>10:58</v>
      </c>
      <c r="D1086" s="65" t="str">
        <f>IFERROR(__xludf.DUMMYFUNCTION("""COMPUTED_VALUE"""),"02-02-2026")</f>
        <v>02-02-2026</v>
      </c>
      <c r="E1086" s="65" t="str">
        <f>IFERROR(__xludf.DUMMYFUNCTION("""COMPUTED_VALUE"""),"Ivan Ricardo")</f>
        <v>Ivan Ricardo</v>
      </c>
      <c r="F1086" s="65" t="str">
        <f>IFERROR(__xludf.DUMMYFUNCTION("""COMPUTED_VALUE"""),"980722919")</f>
        <v>980722919</v>
      </c>
      <c r="G1086" s="65" t="str">
        <f>IFERROR(__xludf.DUMMYFUNCTION("""COMPUTED_VALUE"""),"navianitaromero1@gmail.com")</f>
        <v>navianitaromero1@gmail.com</v>
      </c>
      <c r="H1086" s="65"/>
      <c r="I1086" s="65"/>
      <c r="J1086" s="65"/>
      <c r="K1086" s="65" t="str">
        <f>IFERROR(__xludf.DUMMYFUNCTION("""COMPUTED_VALUE"""),"PENDIENTE CONFIRMACION")</f>
        <v>PENDIENTE CONFIRMACION</v>
      </c>
      <c r="L1086" s="65" t="str">
        <f>IFERROR(__xludf.DUMMYFUNCTION("""COMPUTED_VALUE"""),"CON RECAUDO")</f>
        <v>CON RECAUDO</v>
      </c>
      <c r="M1086" s="65" t="str">
        <f>IFERROR(__xludf.DUMMYFUNCTION("""COMPUTED_VALUE"""),"SANTO DOMINGO DE LOS TSACHILAS")</f>
        <v>SANTO DOMINGO DE LOS TSACHILAS</v>
      </c>
      <c r="N1086" s="65" t="str">
        <f>IFERROR(__xludf.DUMMYFUNCTION("""COMPUTED_VALUE"""),"SANTO DOMINGO")</f>
        <v>SANTO DOMINGO</v>
      </c>
      <c r="O1086" s="65" t="str">
        <f>IFERROR(__xludf.DUMMYFUNCTION("""COMPUTED_VALUE"""),"Calle loja y primero de mayo Mercado central -")</f>
        <v>Calle loja y primero de mayo Mercado central -</v>
      </c>
      <c r="P1086" s="65"/>
      <c r="Q1086" s="65" t="str">
        <f>IFERROR(__xludf.DUMMYFUNCTION("""COMPUTED_VALUE"""),"GINTRACOM")</f>
        <v>GINTRACOM</v>
      </c>
      <c r="R1086" s="65">
        <f>IFERROR(__xludf.DUMMYFUNCTION("""COMPUTED_VALUE"""),20.0)</f>
        <v>20</v>
      </c>
      <c r="S1086" s="65"/>
      <c r="T1086" s="65">
        <f>IFERROR(__xludf.DUMMYFUNCTION("""COMPUTED_VALUE"""),5.76)</f>
        <v>5.76</v>
      </c>
      <c r="U1086" s="65">
        <f>IFERROR(__xludf.DUMMYFUNCTION("""COMPUTED_VALUE"""),0.0)</f>
        <v>0</v>
      </c>
      <c r="V1086" s="65">
        <f>IFERROR(__xludf.DUMMYFUNCTION("""COMPUTED_VALUE"""),0.0)</f>
        <v>0</v>
      </c>
      <c r="W1086" s="65">
        <f>IFERROR(__xludf.DUMMYFUNCTION("""COMPUTED_VALUE"""),0.0)</f>
        <v>0</v>
      </c>
      <c r="X1086" s="65">
        <f>IFERROR(__xludf.DUMMYFUNCTION("""COMPUTED_VALUE"""),2.35)</f>
        <v>2.35</v>
      </c>
      <c r="Y1086" s="65">
        <f>IFERROR(__xludf.DUMMYFUNCTION("""COMPUTED_VALUE"""),2.35)</f>
        <v>2.35</v>
      </c>
      <c r="Z1086" s="65">
        <f>IFERROR(__xludf.DUMMYFUNCTION("""COMPUTED_VALUE"""),116679.0)</f>
        <v>116679</v>
      </c>
      <c r="AA1086" s="65" t="str">
        <f>IFERROR(__xludf.DUMMYFUNCTION("""COMPUTED_VALUE"""),"AMC-2738")</f>
        <v>AMC-2738</v>
      </c>
      <c r="AB1086" s="65"/>
      <c r="AC1086" s="65" t="str">
        <f>IFERROR(__xludf.DUMMYFUNCTION("""COMPUTED_VALUE"""),"ESPONJA ANTILLUVIA DE PARABRISAS")</f>
        <v>ESPONJA ANTILLUVIA DE PARABRISAS</v>
      </c>
      <c r="AD1086" s="65"/>
      <c r="AE1086" s="65">
        <f>IFERROR(__xludf.DUMMYFUNCTION("""COMPUTED_VALUE"""),1.0)</f>
        <v>1</v>
      </c>
      <c r="AF1086" s="65"/>
      <c r="AG1086" s="65"/>
      <c r="AH1086" s="65"/>
      <c r="AI1086" s="65"/>
      <c r="AJ1086" s="65"/>
      <c r="AK1086" s="65"/>
      <c r="AL1086" s="65"/>
      <c r="AM1086" s="65"/>
      <c r="AN1086" s="65"/>
      <c r="AO1086" s="65"/>
      <c r="AP1086" s="65"/>
      <c r="AQ1086" s="65"/>
      <c r="AR1086" s="65"/>
      <c r="AS1086" s="65"/>
      <c r="AT1086" s="65" t="str">
        <f>IFERROR(__xludf.DUMMYFUNCTION("""COMPUTED_VALUE"""),"SHOPIFY")</f>
        <v>SHOPIFY</v>
      </c>
      <c r="AU1086" s="65" t="str">
        <f>IFERROR(__xludf.DUMMYFUNCTION("""COMPUTED_VALUE"""),"IMPORTEX EC")</f>
        <v>IMPORTEX EC</v>
      </c>
      <c r="AV1086" s="65" t="str">
        <f>IFERROR(__xludf.DUMMYFUNCTION("""COMPUTED_VALUE"""),"6461695885356")</f>
        <v>6461695885356</v>
      </c>
      <c r="AW1086" s="65">
        <f>IFERROR(__xludf.DUMMYFUNCTION("""COMPUTED_VALUE"""),5643.0)</f>
        <v>5643</v>
      </c>
      <c r="AX1086" s="65"/>
      <c r="AY1086" s="65"/>
      <c r="AZ1086" s="65"/>
      <c r="BA1086" s="65"/>
    </row>
    <row r="1087">
      <c r="A1087" s="65" t="str">
        <f>IFERROR(__xludf.DUMMYFUNCTION("""COMPUTED_VALUE"""),"27-03-2026")</f>
        <v>27-03-2026</v>
      </c>
      <c r="B1087" s="65">
        <f>IFERROR(__xludf.DUMMYFUNCTION("""COMPUTED_VALUE"""),4365777.0)</f>
        <v>4365777</v>
      </c>
      <c r="C1087" s="65" t="str">
        <f>IFERROR(__xludf.DUMMYFUNCTION("""COMPUTED_VALUE"""),"10:49")</f>
        <v>10:49</v>
      </c>
      <c r="D1087" s="65" t="str">
        <f>IFERROR(__xludf.DUMMYFUNCTION("""COMPUTED_VALUE"""),"02-02-2026")</f>
        <v>02-02-2026</v>
      </c>
      <c r="E1087" s="65" t="str">
        <f>IFERROR(__xludf.DUMMYFUNCTION("""COMPUTED_VALUE"""),"Luis García")</f>
        <v>Luis García</v>
      </c>
      <c r="F1087" s="65" t="str">
        <f>IFERROR(__xludf.DUMMYFUNCTION("""COMPUTED_VALUE"""),"959570288")</f>
        <v>959570288</v>
      </c>
      <c r="G1087" s="65" t="str">
        <f>IFERROR(__xludf.DUMMYFUNCTION("""COMPUTED_VALUE"""),"lg5429206@gmail.com")</f>
        <v>lg5429206@gmail.com</v>
      </c>
      <c r="H1087" s="65"/>
      <c r="I1087" s="65"/>
      <c r="J1087" s="65"/>
      <c r="K1087" s="65" t="str">
        <f>IFERROR(__xludf.DUMMYFUNCTION("""COMPUTED_VALUE"""),"PENDIENTE CONFIRMACION")</f>
        <v>PENDIENTE CONFIRMACION</v>
      </c>
      <c r="L1087" s="65" t="str">
        <f>IFERROR(__xludf.DUMMYFUNCTION("""COMPUTED_VALUE"""),"CON RECAUDO")</f>
        <v>CON RECAUDO</v>
      </c>
      <c r="M1087" s="65" t="str">
        <f>IFERROR(__xludf.DUMMYFUNCTION("""COMPUTED_VALUE"""),"SANTO DOMINGO DE LOS TSACHILAS")</f>
        <v>SANTO DOMINGO DE LOS TSACHILAS</v>
      </c>
      <c r="N1087" s="65" t="str">
        <f>IFERROR(__xludf.DUMMYFUNCTION("""COMPUTED_VALUE"""),"KM 24 QUEVEDO")</f>
        <v>KM 24 QUEVEDO</v>
      </c>
      <c r="O1087" s="65" t="str">
        <f>IFERROR(__xludf.DUMMYFUNCTION("""COMPUTED_VALUE"""),"Parroquia el esfuerzo Santo Domingo -")</f>
        <v>Parroquia el esfuerzo Santo Domingo -</v>
      </c>
      <c r="P1087" s="65"/>
      <c r="Q1087" s="65" t="str">
        <f>IFERROR(__xludf.DUMMYFUNCTION("""COMPUTED_VALUE"""),"SERVIENTREGA")</f>
        <v>SERVIENTREGA</v>
      </c>
      <c r="R1087" s="65">
        <f>IFERROR(__xludf.DUMMYFUNCTION("""COMPUTED_VALUE"""),25.0)</f>
        <v>25</v>
      </c>
      <c r="S1087" s="65"/>
      <c r="T1087" s="65">
        <f>IFERROR(__xludf.DUMMYFUNCTION("""COMPUTED_VALUE"""),7.75)</f>
        <v>7.75</v>
      </c>
      <c r="U1087" s="65">
        <f>IFERROR(__xludf.DUMMYFUNCTION("""COMPUTED_VALUE"""),0.0)</f>
        <v>0</v>
      </c>
      <c r="V1087" s="65">
        <f>IFERROR(__xludf.DUMMYFUNCTION("""COMPUTED_VALUE"""),0.0)</f>
        <v>0</v>
      </c>
      <c r="W1087" s="65">
        <f>IFERROR(__xludf.DUMMYFUNCTION("""COMPUTED_VALUE"""),0.0)</f>
        <v>0</v>
      </c>
      <c r="X1087" s="65">
        <f>IFERROR(__xludf.DUMMYFUNCTION("""COMPUTED_VALUE"""),2.35)</f>
        <v>2.35</v>
      </c>
      <c r="Y1087" s="65">
        <f>IFERROR(__xludf.DUMMYFUNCTION("""COMPUTED_VALUE"""),4.7)</f>
        <v>4.7</v>
      </c>
      <c r="Z1087" s="65">
        <f>IFERROR(__xludf.DUMMYFUNCTION("""COMPUTED_VALUE"""),116679.0)</f>
        <v>116679</v>
      </c>
      <c r="AA1087" s="65" t="str">
        <f>IFERROR(__xludf.DUMMYFUNCTION("""COMPUTED_VALUE"""),"AMC-2738")</f>
        <v>AMC-2738</v>
      </c>
      <c r="AB1087" s="65"/>
      <c r="AC1087" s="65" t="str">
        <f>IFERROR(__xludf.DUMMYFUNCTION("""COMPUTED_VALUE"""),"ESPONJA ANTILLUVIA DE PARABRISAS")</f>
        <v>ESPONJA ANTILLUVIA DE PARABRISAS</v>
      </c>
      <c r="AD1087" s="65"/>
      <c r="AE1087" s="65">
        <f>IFERROR(__xludf.DUMMYFUNCTION("""COMPUTED_VALUE"""),2.0)</f>
        <v>2</v>
      </c>
      <c r="AF1087" s="65"/>
      <c r="AG1087" s="65"/>
      <c r="AH1087" s="65"/>
      <c r="AI1087" s="65"/>
      <c r="AJ1087" s="65"/>
      <c r="AK1087" s="65"/>
      <c r="AL1087" s="65"/>
      <c r="AM1087" s="65"/>
      <c r="AN1087" s="65"/>
      <c r="AO1087" s="65"/>
      <c r="AP1087" s="65"/>
      <c r="AQ1087" s="65"/>
      <c r="AR1087" s="65"/>
      <c r="AS1087" s="65"/>
      <c r="AT1087" s="65" t="str">
        <f>IFERROR(__xludf.DUMMYFUNCTION("""COMPUTED_VALUE"""),"SHOPIFY")</f>
        <v>SHOPIFY</v>
      </c>
      <c r="AU1087" s="65" t="str">
        <f>IFERROR(__xludf.DUMMYFUNCTION("""COMPUTED_VALUE"""),"IMPORTEX EC")</f>
        <v>IMPORTEX EC</v>
      </c>
      <c r="AV1087" s="65" t="str">
        <f>IFERROR(__xludf.DUMMYFUNCTION("""COMPUTED_VALUE"""),"6463615041580")</f>
        <v>6463615041580</v>
      </c>
      <c r="AW1087" s="65">
        <f>IFERROR(__xludf.DUMMYFUNCTION("""COMPUTED_VALUE"""),5667.0)</f>
        <v>5667</v>
      </c>
      <c r="AX1087" s="65"/>
      <c r="AY1087" s="65"/>
      <c r="AZ1087" s="65"/>
      <c r="BA1087" s="65"/>
    </row>
    <row r="1088">
      <c r="A1088" s="65" t="str">
        <f>IFERROR(__xludf.DUMMYFUNCTION("""COMPUTED_VALUE"""),"27-03-2026")</f>
        <v>27-03-2026</v>
      </c>
      <c r="B1088" s="65">
        <f>IFERROR(__xludf.DUMMYFUNCTION("""COMPUTED_VALUE"""),4365743.0)</f>
        <v>4365743</v>
      </c>
      <c r="C1088" s="65" t="str">
        <f>IFERROR(__xludf.DUMMYFUNCTION("""COMPUTED_VALUE"""),"10:47")</f>
        <v>10:47</v>
      </c>
      <c r="D1088" s="65" t="str">
        <f>IFERROR(__xludf.DUMMYFUNCTION("""COMPUTED_VALUE"""),"02-02-2026")</f>
        <v>02-02-2026</v>
      </c>
      <c r="E1088" s="65" t="str">
        <f>IFERROR(__xludf.DUMMYFUNCTION("""COMPUTED_VALUE"""),"Marcos alcivar Alcivar")</f>
        <v>Marcos alcivar Alcivar</v>
      </c>
      <c r="F1088" s="65" t="str">
        <f>IFERROR(__xludf.DUMMYFUNCTION("""COMPUTED_VALUE"""),"958843998")</f>
        <v>958843998</v>
      </c>
      <c r="G1088" s="65" t="str">
        <f>IFERROR(__xludf.DUMMYFUNCTION("""COMPUTED_VALUE"""),"alcivarmarco@hotmail.com")</f>
        <v>alcivarmarco@hotmail.com</v>
      </c>
      <c r="H1088" s="65"/>
      <c r="I1088" s="65"/>
      <c r="J1088" s="65"/>
      <c r="K1088" s="65" t="str">
        <f>IFERROR(__xludf.DUMMYFUNCTION("""COMPUTED_VALUE"""),"PENDIENTE CONFIRMACION")</f>
        <v>PENDIENTE CONFIRMACION</v>
      </c>
      <c r="L1088" s="65" t="str">
        <f>IFERROR(__xludf.DUMMYFUNCTION("""COMPUTED_VALUE"""),"CON RECAUDO")</f>
        <v>CON RECAUDO</v>
      </c>
      <c r="M1088" s="65" t="str">
        <f>IFERROR(__xludf.DUMMYFUNCTION("""COMPUTED_VALUE"""),"PICHINCHA")</f>
        <v>PICHINCHA</v>
      </c>
      <c r="N1088" s="65" t="str">
        <f>IFERROR(__xludf.DUMMYFUNCTION("""COMPUTED_VALUE"""),"QUITO")</f>
        <v>QUITO</v>
      </c>
      <c r="O1088" s="65" t="str">
        <f>IFERROR(__xludf.DUMMYFUNCTION("""COMPUTED_VALUE"""),"Prebisterio y  s34B -")</f>
        <v>Prebisterio y  s34B -</v>
      </c>
      <c r="P1088" s="65"/>
      <c r="Q1088" s="65" t="str">
        <f>IFERROR(__xludf.DUMMYFUNCTION("""COMPUTED_VALUE"""),"GINTRACOM")</f>
        <v>GINTRACOM</v>
      </c>
      <c r="R1088" s="65">
        <f>IFERROR(__xludf.DUMMYFUNCTION("""COMPUTED_VALUE"""),27.0)</f>
        <v>27</v>
      </c>
      <c r="S1088" s="65"/>
      <c r="T1088" s="65">
        <f>IFERROR(__xludf.DUMMYFUNCTION("""COMPUTED_VALUE"""),6.03)</f>
        <v>6.03</v>
      </c>
      <c r="U1088" s="65">
        <f>IFERROR(__xludf.DUMMYFUNCTION("""COMPUTED_VALUE"""),0.0)</f>
        <v>0</v>
      </c>
      <c r="V1088" s="65">
        <f>IFERROR(__xludf.DUMMYFUNCTION("""COMPUTED_VALUE"""),0.0)</f>
        <v>0</v>
      </c>
      <c r="W1088" s="65">
        <f>IFERROR(__xludf.DUMMYFUNCTION("""COMPUTED_VALUE"""),0.0)</f>
        <v>0</v>
      </c>
      <c r="X1088" s="65">
        <f>IFERROR(__xludf.DUMMYFUNCTION("""COMPUTED_VALUE"""),2.6)</f>
        <v>2.6</v>
      </c>
      <c r="Y1088" s="65">
        <f>IFERROR(__xludf.DUMMYFUNCTION("""COMPUTED_VALUE"""),7.8)</f>
        <v>7.8</v>
      </c>
      <c r="Z1088" s="65">
        <f>IFERROR(__xludf.DUMMYFUNCTION("""COMPUTED_VALUE"""),121983.0)</f>
        <v>121983</v>
      </c>
      <c r="AA1088" s="65" t="str">
        <f>IFERROR(__xludf.DUMMYFUNCTION("""COMPUTED_VALUE"""),"PROV-CHLLCF")</f>
        <v>PROV-CHLLCF</v>
      </c>
      <c r="AB1088" s="65"/>
      <c r="AC1088" s="65" t="str">
        <f>IFERROR(__xludf.DUMMYFUNCTION("""COMPUTED_VALUE"""),"CUCHILLO PARA CHEF")</f>
        <v>CUCHILLO PARA CHEF</v>
      </c>
      <c r="AD1088" s="65"/>
      <c r="AE1088" s="65">
        <f>IFERROR(__xludf.DUMMYFUNCTION("""COMPUTED_VALUE"""),3.0)</f>
        <v>3</v>
      </c>
      <c r="AF1088" s="65"/>
      <c r="AG1088" s="65"/>
      <c r="AH1088" s="65"/>
      <c r="AI1088" s="65"/>
      <c r="AJ1088" s="65"/>
      <c r="AK1088" s="65"/>
      <c r="AL1088" s="65"/>
      <c r="AM1088" s="65"/>
      <c r="AN1088" s="65"/>
      <c r="AO1088" s="65"/>
      <c r="AP1088" s="65"/>
      <c r="AQ1088" s="65"/>
      <c r="AR1088" s="65"/>
      <c r="AS1088" s="65"/>
      <c r="AT1088" s="65" t="str">
        <f>IFERROR(__xludf.DUMMYFUNCTION("""COMPUTED_VALUE"""),"SHOPIFY")</f>
        <v>SHOPIFY</v>
      </c>
      <c r="AU1088" s="65" t="str">
        <f>IFERROR(__xludf.DUMMYFUNCTION("""COMPUTED_VALUE"""),"IMPORTEX EC")</f>
        <v>IMPORTEX EC</v>
      </c>
      <c r="AV1088" s="65" t="str">
        <f>IFERROR(__xludf.DUMMYFUNCTION("""COMPUTED_VALUE"""),"6464108068908")</f>
        <v>6464108068908</v>
      </c>
      <c r="AW1088" s="65">
        <f>IFERROR(__xludf.DUMMYFUNCTION("""COMPUTED_VALUE"""),5677.0)</f>
        <v>5677</v>
      </c>
      <c r="AX1088" s="65"/>
      <c r="AY1088" s="65"/>
      <c r="AZ1088" s="65"/>
      <c r="BA1088" s="65"/>
    </row>
    <row r="1089">
      <c r="A1089" s="65" t="str">
        <f>IFERROR(__xludf.DUMMYFUNCTION("""COMPUTED_VALUE"""),"27-03-2026")</f>
        <v>27-03-2026</v>
      </c>
      <c r="B1089" s="65">
        <f>IFERROR(__xludf.DUMMYFUNCTION("""COMPUTED_VALUE"""),4365588.0)</f>
        <v>4365588</v>
      </c>
      <c r="C1089" s="65" t="str">
        <f>IFERROR(__xludf.DUMMYFUNCTION("""COMPUTED_VALUE"""),"10:39")</f>
        <v>10:39</v>
      </c>
      <c r="D1089" s="65" t="str">
        <f>IFERROR(__xludf.DUMMYFUNCTION("""COMPUTED_VALUE"""),"02-02-2026")</f>
        <v>02-02-2026</v>
      </c>
      <c r="E1089" s="65" t="str">
        <f>IFERROR(__xludf.DUMMYFUNCTION("""COMPUTED_VALUE"""),"Jenniffer Cornejo")</f>
        <v>Jenniffer Cornejo</v>
      </c>
      <c r="F1089" s="65" t="str">
        <f>IFERROR(__xludf.DUMMYFUNCTION("""COMPUTED_VALUE"""),"984358404")</f>
        <v>984358404</v>
      </c>
      <c r="G1089" s="65" t="str">
        <f>IFERROR(__xludf.DUMMYFUNCTION("""COMPUTED_VALUE"""),"jenn06cornejo@gmail.com")</f>
        <v>jenn06cornejo@gmail.com</v>
      </c>
      <c r="H1089" s="65"/>
      <c r="I1089" s="65"/>
      <c r="J1089" s="65"/>
      <c r="K1089" s="65" t="str">
        <f>IFERROR(__xludf.DUMMYFUNCTION("""COMPUTED_VALUE"""),"PENDIENTE CONFIRMACION")</f>
        <v>PENDIENTE CONFIRMACION</v>
      </c>
      <c r="L1089" s="65" t="str">
        <f>IFERROR(__xludf.DUMMYFUNCTION("""COMPUTED_VALUE"""),"CON RECAUDO")</f>
        <v>CON RECAUDO</v>
      </c>
      <c r="M1089" s="65" t="str">
        <f>IFERROR(__xludf.DUMMYFUNCTION("""COMPUTED_VALUE"""),"GUAYAS")</f>
        <v>GUAYAS</v>
      </c>
      <c r="N1089" s="65" t="str">
        <f>IFERROR(__xludf.DUMMYFUNCTION("""COMPUTED_VALUE"""),"ELOY ALFARO DURAN")</f>
        <v>ELOY ALFARO DURAN</v>
      </c>
      <c r="O1089" s="65" t="str">
        <f>IFERROR(__xludf.DUMMYFUNCTION("""COMPUTED_VALUE"""),"Eloy Alfaro Eloy Alfaro -")</f>
        <v>Eloy Alfaro Eloy Alfaro -</v>
      </c>
      <c r="P1089" s="65"/>
      <c r="Q1089" s="65" t="str">
        <f>IFERROR(__xludf.DUMMYFUNCTION("""COMPUTED_VALUE"""),"LAARCOURIER")</f>
        <v>LAARCOURIER</v>
      </c>
      <c r="R1089" s="65">
        <f>IFERROR(__xludf.DUMMYFUNCTION("""COMPUTED_VALUE"""),25.0)</f>
        <v>25</v>
      </c>
      <c r="S1089" s="65"/>
      <c r="T1089" s="65">
        <f>IFERROR(__xludf.DUMMYFUNCTION("""COMPUTED_VALUE"""),7.19)</f>
        <v>7.19</v>
      </c>
      <c r="U1089" s="65">
        <f>IFERROR(__xludf.DUMMYFUNCTION("""COMPUTED_VALUE"""),0.0)</f>
        <v>0</v>
      </c>
      <c r="V1089" s="65">
        <f>IFERROR(__xludf.DUMMYFUNCTION("""COMPUTED_VALUE"""),0.0)</f>
        <v>0</v>
      </c>
      <c r="W1089" s="65">
        <f>IFERROR(__xludf.DUMMYFUNCTION("""COMPUTED_VALUE"""),0.0)</f>
        <v>0</v>
      </c>
      <c r="X1089" s="65">
        <f>IFERROR(__xludf.DUMMYFUNCTION("""COMPUTED_VALUE"""),2.35)</f>
        <v>2.35</v>
      </c>
      <c r="Y1089" s="65">
        <f>IFERROR(__xludf.DUMMYFUNCTION("""COMPUTED_VALUE"""),4.7)</f>
        <v>4.7</v>
      </c>
      <c r="Z1089" s="65">
        <f>IFERROR(__xludf.DUMMYFUNCTION("""COMPUTED_VALUE"""),116679.0)</f>
        <v>116679</v>
      </c>
      <c r="AA1089" s="65" t="str">
        <f>IFERROR(__xludf.DUMMYFUNCTION("""COMPUTED_VALUE"""),"AMC-2738")</f>
        <v>AMC-2738</v>
      </c>
      <c r="AB1089" s="65"/>
      <c r="AC1089" s="65" t="str">
        <f>IFERROR(__xludf.DUMMYFUNCTION("""COMPUTED_VALUE"""),"ESPONJA ANTILLUVIA DE PARABRISAS")</f>
        <v>ESPONJA ANTILLUVIA DE PARABRISAS</v>
      </c>
      <c r="AD1089" s="65"/>
      <c r="AE1089" s="65">
        <f>IFERROR(__xludf.DUMMYFUNCTION("""COMPUTED_VALUE"""),2.0)</f>
        <v>2</v>
      </c>
      <c r="AF1089" s="65"/>
      <c r="AG1089" s="65"/>
      <c r="AH1089" s="65"/>
      <c r="AI1089" s="65"/>
      <c r="AJ1089" s="65"/>
      <c r="AK1089" s="65"/>
      <c r="AL1089" s="65"/>
      <c r="AM1089" s="65"/>
      <c r="AN1089" s="65"/>
      <c r="AO1089" s="65"/>
      <c r="AP1089" s="65"/>
      <c r="AQ1089" s="65"/>
      <c r="AR1089" s="65"/>
      <c r="AS1089" s="65"/>
      <c r="AT1089" s="65" t="str">
        <f>IFERROR(__xludf.DUMMYFUNCTION("""COMPUTED_VALUE"""),"SHOPIFY")</f>
        <v>SHOPIFY</v>
      </c>
      <c r="AU1089" s="65" t="str">
        <f>IFERROR(__xludf.DUMMYFUNCTION("""COMPUTED_VALUE"""),"IMPORTEX EC")</f>
        <v>IMPORTEX EC</v>
      </c>
      <c r="AV1089" s="65" t="str">
        <f>IFERROR(__xludf.DUMMYFUNCTION("""COMPUTED_VALUE"""),"6464757694508")</f>
        <v>6464757694508</v>
      </c>
      <c r="AW1089" s="65">
        <f>IFERROR(__xludf.DUMMYFUNCTION("""COMPUTED_VALUE"""),5692.0)</f>
        <v>5692</v>
      </c>
      <c r="AX1089" s="65"/>
      <c r="AY1089" s="65"/>
      <c r="AZ1089" s="65"/>
      <c r="BA1089" s="65"/>
    </row>
    <row r="1090">
      <c r="A1090" s="65" t="str">
        <f>IFERROR(__xludf.DUMMYFUNCTION("""COMPUTED_VALUE"""),"27-03-2026")</f>
        <v>27-03-2026</v>
      </c>
      <c r="B1090" s="65">
        <f>IFERROR(__xludf.DUMMYFUNCTION("""COMPUTED_VALUE"""),4365541.0)</f>
        <v>4365541</v>
      </c>
      <c r="C1090" s="65" t="str">
        <f>IFERROR(__xludf.DUMMYFUNCTION("""COMPUTED_VALUE"""),"10:37")</f>
        <v>10:37</v>
      </c>
      <c r="D1090" s="65" t="str">
        <f>IFERROR(__xludf.DUMMYFUNCTION("""COMPUTED_VALUE"""),"02-02-2026")</f>
        <v>02-02-2026</v>
      </c>
      <c r="E1090" s="65" t="str">
        <f>IFERROR(__xludf.DUMMYFUNCTION("""COMPUTED_VALUE"""),"Oscar Antero Franco Alvarado")</f>
        <v>Oscar Antero Franco Alvarado</v>
      </c>
      <c r="F1090" s="65" t="str">
        <f>IFERROR(__xludf.DUMMYFUNCTION("""COMPUTED_VALUE"""),"979108545")</f>
        <v>979108545</v>
      </c>
      <c r="G1090" s="65" t="str">
        <f>IFERROR(__xludf.DUMMYFUNCTION("""COMPUTED_VALUE"""),"anterofranco18@gmail.com")</f>
        <v>anterofranco18@gmail.com</v>
      </c>
      <c r="H1090" s="65"/>
      <c r="I1090" s="65"/>
      <c r="J1090" s="65"/>
      <c r="K1090" s="65" t="str">
        <f>IFERROR(__xludf.DUMMYFUNCTION("""COMPUTED_VALUE"""),"PENDIENTE CONFIRMACION")</f>
        <v>PENDIENTE CONFIRMACION</v>
      </c>
      <c r="L1090" s="65" t="str">
        <f>IFERROR(__xludf.DUMMYFUNCTION("""COMPUTED_VALUE"""),"CON RECAUDO")</f>
        <v>CON RECAUDO</v>
      </c>
      <c r="M1090" s="65" t="str">
        <f>IFERROR(__xludf.DUMMYFUNCTION("""COMPUTED_VALUE"""),"GUAYAS")</f>
        <v>GUAYAS</v>
      </c>
      <c r="N1090" s="65" t="str">
        <f>IFERROR(__xludf.DUMMYFUNCTION("""COMPUTED_VALUE"""),"VIRGEN DE FATIMA KM 26")</f>
        <v>VIRGEN DE FATIMA KM 26</v>
      </c>
      <c r="O1090" s="65" t="str">
        <f>IFERROR(__xludf.DUMMYFUNCTION("""COMPUTED_VALUE"""),"Virgen de Fátima Coop 12 de octubre y unidos vendemos -")</f>
        <v>Virgen de Fátima Coop 12 de octubre y unidos vendemos -</v>
      </c>
      <c r="P1090" s="65"/>
      <c r="Q1090" s="65" t="str">
        <f>IFERROR(__xludf.DUMMYFUNCTION("""COMPUTED_VALUE"""),"SERVIENTREGA")</f>
        <v>SERVIENTREGA</v>
      </c>
      <c r="R1090" s="65">
        <f>IFERROR(__xludf.DUMMYFUNCTION("""COMPUTED_VALUE"""),25.0)</f>
        <v>25</v>
      </c>
      <c r="S1090" s="65"/>
      <c r="T1090" s="65">
        <f>IFERROR(__xludf.DUMMYFUNCTION("""COMPUTED_VALUE"""),7.75)</f>
        <v>7.75</v>
      </c>
      <c r="U1090" s="65">
        <f>IFERROR(__xludf.DUMMYFUNCTION("""COMPUTED_VALUE"""),0.0)</f>
        <v>0</v>
      </c>
      <c r="V1090" s="65">
        <f>IFERROR(__xludf.DUMMYFUNCTION("""COMPUTED_VALUE"""),0.0)</f>
        <v>0</v>
      </c>
      <c r="W1090" s="65">
        <f>IFERROR(__xludf.DUMMYFUNCTION("""COMPUTED_VALUE"""),0.0)</f>
        <v>0</v>
      </c>
      <c r="X1090" s="65">
        <f>IFERROR(__xludf.DUMMYFUNCTION("""COMPUTED_VALUE"""),2.35)</f>
        <v>2.35</v>
      </c>
      <c r="Y1090" s="65">
        <f>IFERROR(__xludf.DUMMYFUNCTION("""COMPUTED_VALUE"""),4.7)</f>
        <v>4.7</v>
      </c>
      <c r="Z1090" s="65">
        <f>IFERROR(__xludf.DUMMYFUNCTION("""COMPUTED_VALUE"""),116679.0)</f>
        <v>116679</v>
      </c>
      <c r="AA1090" s="65" t="str">
        <f>IFERROR(__xludf.DUMMYFUNCTION("""COMPUTED_VALUE"""),"AMC-2738")</f>
        <v>AMC-2738</v>
      </c>
      <c r="AB1090" s="65"/>
      <c r="AC1090" s="65" t="str">
        <f>IFERROR(__xludf.DUMMYFUNCTION("""COMPUTED_VALUE"""),"ESPONJA ANTILLUVIA DE PARABRISAS")</f>
        <v>ESPONJA ANTILLUVIA DE PARABRISAS</v>
      </c>
      <c r="AD1090" s="65"/>
      <c r="AE1090" s="65">
        <f>IFERROR(__xludf.DUMMYFUNCTION("""COMPUTED_VALUE"""),2.0)</f>
        <v>2</v>
      </c>
      <c r="AF1090" s="65"/>
      <c r="AG1090" s="65"/>
      <c r="AH1090" s="65"/>
      <c r="AI1090" s="65"/>
      <c r="AJ1090" s="65"/>
      <c r="AK1090" s="65"/>
      <c r="AL1090" s="65"/>
      <c r="AM1090" s="65"/>
      <c r="AN1090" s="65"/>
      <c r="AO1090" s="65"/>
      <c r="AP1090" s="65"/>
      <c r="AQ1090" s="65"/>
      <c r="AR1090" s="65"/>
      <c r="AS1090" s="65"/>
      <c r="AT1090" s="65" t="str">
        <f>IFERROR(__xludf.DUMMYFUNCTION("""COMPUTED_VALUE"""),"SHOPIFY")</f>
        <v>SHOPIFY</v>
      </c>
      <c r="AU1090" s="65" t="str">
        <f>IFERROR(__xludf.DUMMYFUNCTION("""COMPUTED_VALUE"""),"IMPORTEX EC")</f>
        <v>IMPORTEX EC</v>
      </c>
      <c r="AV1090" s="65" t="str">
        <f>IFERROR(__xludf.DUMMYFUNCTION("""COMPUTED_VALUE"""),"6465370947628")</f>
        <v>6465370947628</v>
      </c>
      <c r="AW1090" s="65">
        <f>IFERROR(__xludf.DUMMYFUNCTION("""COMPUTED_VALUE"""),5704.0)</f>
        <v>5704</v>
      </c>
      <c r="AX1090" s="65"/>
      <c r="AY1090" s="65"/>
      <c r="AZ1090" s="65"/>
      <c r="BA1090" s="65"/>
    </row>
    <row r="1091">
      <c r="A1091" s="65" t="str">
        <f>IFERROR(__xludf.DUMMYFUNCTION("""COMPUTED_VALUE"""),"27-03-2026")</f>
        <v>27-03-2026</v>
      </c>
      <c r="B1091" s="65">
        <f>IFERROR(__xludf.DUMMYFUNCTION("""COMPUTED_VALUE"""),4364765.0)</f>
        <v>4364765</v>
      </c>
      <c r="C1091" s="65" t="str">
        <f>IFERROR(__xludf.DUMMYFUNCTION("""COMPUTED_VALUE"""),"09:57")</f>
        <v>09:57</v>
      </c>
      <c r="D1091" s="65" t="str">
        <f>IFERROR(__xludf.DUMMYFUNCTION("""COMPUTED_VALUE"""),"02-02-2026")</f>
        <v>02-02-2026</v>
      </c>
      <c r="E1091" s="65" t="str">
        <f>IFERROR(__xludf.DUMMYFUNCTION("""COMPUTED_VALUE"""),"Jose luis ibujes")</f>
        <v>Jose luis ibujes</v>
      </c>
      <c r="F1091" s="65" t="str">
        <f>IFERROR(__xludf.DUMMYFUNCTION("""COMPUTED_VALUE"""),"994181004")</f>
        <v>994181004</v>
      </c>
      <c r="G1091" s="65" t="str">
        <f>IFERROR(__xludf.DUMMYFUNCTION("""COMPUTED_VALUE"""),"luisjose5050@outlook.cl")</f>
        <v>luisjose5050@outlook.cl</v>
      </c>
      <c r="H1091" s="65"/>
      <c r="I1091" s="65"/>
      <c r="J1091" s="65"/>
      <c r="K1091" s="65" t="str">
        <f>IFERROR(__xludf.DUMMYFUNCTION("""COMPUTED_VALUE"""),"PENDIENTE CONFIRMACION")</f>
        <v>PENDIENTE CONFIRMACION</v>
      </c>
      <c r="L1091" s="65" t="str">
        <f>IFERROR(__xludf.DUMMYFUNCTION("""COMPUTED_VALUE"""),"CON RECAUDO")</f>
        <v>CON RECAUDO</v>
      </c>
      <c r="M1091" s="65" t="str">
        <f>IFERROR(__xludf.DUMMYFUNCTION("""COMPUTED_VALUE"""),"CARCHI")</f>
        <v>CARCHI</v>
      </c>
      <c r="N1091" s="65" t="str">
        <f>IFERROR(__xludf.DUMMYFUNCTION("""COMPUTED_VALUE"""),"BOLIVAR")</f>
        <v>BOLIVAR</v>
      </c>
      <c r="O1091" s="65" t="str">
        <f>IFERROR(__xludf.DUMMYFUNCTION("""COMPUTED_VALUE"""),"Centro  -")</f>
        <v>Centro  -</v>
      </c>
      <c r="P1091" s="65" t="str">
        <f>IFERROR(__xludf.DUMMYFUNCTION("""COMPUTED_VALUE"""),"LLAVE TRINQUETE: Default Title ***")</f>
        <v>LLAVE TRINQUETE: Default Title ***</v>
      </c>
      <c r="Q1091" s="65" t="str">
        <f>IFERROR(__xludf.DUMMYFUNCTION("""COMPUTED_VALUE"""),"SERVIENTREGA")</f>
        <v>SERVIENTREGA</v>
      </c>
      <c r="R1091" s="65">
        <f>IFERROR(__xludf.DUMMYFUNCTION("""COMPUTED_VALUE"""),19.99)</f>
        <v>19.99</v>
      </c>
      <c r="S1091" s="65"/>
      <c r="T1091" s="65">
        <f>IFERROR(__xludf.DUMMYFUNCTION("""COMPUTED_VALUE"""),7.67)</f>
        <v>7.67</v>
      </c>
      <c r="U1091" s="65">
        <f>IFERROR(__xludf.DUMMYFUNCTION("""COMPUTED_VALUE"""),0.0)</f>
        <v>0</v>
      </c>
      <c r="V1091" s="65">
        <f>IFERROR(__xludf.DUMMYFUNCTION("""COMPUTED_VALUE"""),0.0)</f>
        <v>0</v>
      </c>
      <c r="W1091" s="65">
        <f>IFERROR(__xludf.DUMMYFUNCTION("""COMPUTED_VALUE"""),0.0)</f>
        <v>0</v>
      </c>
      <c r="X1091" s="65">
        <f>IFERROR(__xludf.DUMMYFUNCTION("""COMPUTED_VALUE"""),5.0)</f>
        <v>5</v>
      </c>
      <c r="Y1091" s="65">
        <f>IFERROR(__xludf.DUMMYFUNCTION("""COMPUTED_VALUE"""),5.0)</f>
        <v>5</v>
      </c>
      <c r="Z1091" s="65">
        <f>IFERROR(__xludf.DUMMYFUNCTION("""COMPUTED_VALUE"""),110064.0)</f>
        <v>110064</v>
      </c>
      <c r="AA1091" s="65" t="str">
        <f>IFERROR(__xludf.DUMMYFUNCTION("""COMPUTED_VALUE"""),"IMX-00001")</f>
        <v>IMX-00001</v>
      </c>
      <c r="AB1091" s="65"/>
      <c r="AC1091" s="65" t="str">
        <f>IFERROR(__xludf.DUMMYFUNCTION("""COMPUTED_VALUE"""),"LLAVE TRINQUETE")</f>
        <v>LLAVE TRINQUETE</v>
      </c>
      <c r="AD1091" s="65"/>
      <c r="AE1091" s="65">
        <f>IFERROR(__xludf.DUMMYFUNCTION("""COMPUTED_VALUE"""),1.0)</f>
        <v>1</v>
      </c>
      <c r="AF1091" s="65"/>
      <c r="AG1091" s="65"/>
      <c r="AH1091" s="65"/>
      <c r="AI1091" s="65"/>
      <c r="AJ1091" s="65"/>
      <c r="AK1091" s="65"/>
      <c r="AL1091" s="65"/>
      <c r="AM1091" s="65"/>
      <c r="AN1091" s="65"/>
      <c r="AO1091" s="65"/>
      <c r="AP1091" s="65"/>
      <c r="AQ1091" s="65"/>
      <c r="AR1091" s="65"/>
      <c r="AS1091" s="65"/>
      <c r="AT1091" s="65" t="str">
        <f>IFERROR(__xludf.DUMMYFUNCTION("""COMPUTED_VALUE"""),"SHOPIFY")</f>
        <v>SHOPIFY</v>
      </c>
      <c r="AU1091" s="65" t="str">
        <f>IFERROR(__xludf.DUMMYFUNCTION("""COMPUTED_VALUE"""),"IMPORTEX EC")</f>
        <v>IMPORTEX EC</v>
      </c>
      <c r="AV1091" s="65" t="str">
        <f>IFERROR(__xludf.DUMMYFUNCTION("""COMPUTED_VALUE"""),"6471202045996")</f>
        <v>6471202045996</v>
      </c>
      <c r="AW1091" s="65">
        <f>IFERROR(__xludf.DUMMYFUNCTION("""COMPUTED_VALUE"""),5818.0)</f>
        <v>5818</v>
      </c>
      <c r="AX1091" s="65"/>
      <c r="AY1091" s="65"/>
      <c r="AZ1091" s="65"/>
      <c r="BA1091" s="65"/>
    </row>
    <row r="1092">
      <c r="A1092" s="65" t="str">
        <f>IFERROR(__xludf.DUMMYFUNCTION("""COMPUTED_VALUE"""),"27-03-2026")</f>
        <v>27-03-2026</v>
      </c>
      <c r="B1092" s="65">
        <f>IFERROR(__xludf.DUMMYFUNCTION("""COMPUTED_VALUE"""),4364428.0)</f>
        <v>4364428</v>
      </c>
      <c r="C1092" s="65" t="str">
        <f>IFERROR(__xludf.DUMMYFUNCTION("""COMPUTED_VALUE"""),"09:40")</f>
        <v>09:40</v>
      </c>
      <c r="D1092" s="65" t="str">
        <f>IFERROR(__xludf.DUMMYFUNCTION("""COMPUTED_VALUE"""),"02-02-2026")</f>
        <v>02-02-2026</v>
      </c>
      <c r="E1092" s="65" t="str">
        <f>IFERROR(__xludf.DUMMYFUNCTION("""COMPUTED_VALUE"""),"Deivid castaño")</f>
        <v>Deivid castaño</v>
      </c>
      <c r="F1092" s="65" t="str">
        <f>IFERROR(__xludf.DUMMYFUNCTION("""COMPUTED_VALUE"""),"982222820")</f>
        <v>982222820</v>
      </c>
      <c r="G1092" s="65" t="str">
        <f>IFERROR(__xludf.DUMMYFUNCTION("""COMPUTED_VALUE"""),"servicioalcliente@tct-ec.com")</f>
        <v>servicioalcliente@tct-ec.com</v>
      </c>
      <c r="H1092" s="65"/>
      <c r="I1092" s="65"/>
      <c r="J1092" s="65" t="str">
        <f>IFERROR(__xludf.DUMMYFUNCTION("""COMPUTED_VALUE"""),"D001290737")</f>
        <v>D001290737</v>
      </c>
      <c r="K1092" s="65" t="str">
        <f>IFERROR(__xludf.DUMMYFUNCTION("""COMPUTED_VALUE"""),"ENTREGADO")</f>
        <v>ENTREGADO</v>
      </c>
      <c r="L1092" s="65" t="str">
        <f>IFERROR(__xludf.DUMMYFUNCTION("""COMPUTED_VALUE"""),"CON RECAUDO")</f>
        <v>CON RECAUDO</v>
      </c>
      <c r="M1092" s="65" t="str">
        <f>IFERROR(__xludf.DUMMYFUNCTION("""COMPUTED_VALUE"""),"GUAYAS")</f>
        <v>GUAYAS</v>
      </c>
      <c r="N1092" s="65" t="str">
        <f>IFERROR(__xludf.DUMMYFUNCTION("""COMPUTED_VALUE"""),"GUAYAQUIL")</f>
        <v>GUAYAQUIL</v>
      </c>
      <c r="O1092" s="65" t="str">
        <f>IFERROR(__xludf.DUMMYFUNCTION("""COMPUTED_VALUE"""),"Junin 618 y boyaca local TCT tu centro tecnológico")</f>
        <v>Junin 618 y boyaca local TCT tu centro tecnológico</v>
      </c>
      <c r="P1092" s="65"/>
      <c r="Q1092" s="65" t="str">
        <f>IFERROR(__xludf.DUMMYFUNCTION("""COMPUTED_VALUE"""),"GINTRACOM")</f>
        <v>GINTRACOM</v>
      </c>
      <c r="R1092" s="65">
        <f>IFERROR(__xludf.DUMMYFUNCTION("""COMPUTED_VALUE"""),28.0)</f>
        <v>28</v>
      </c>
      <c r="S1092" s="65">
        <f>IFERROR(__xludf.DUMMYFUNCTION("""COMPUTED_VALUE"""),11.92)</f>
        <v>11.92</v>
      </c>
      <c r="T1092" s="65">
        <f>IFERROR(__xludf.DUMMYFUNCTION("""COMPUTED_VALUE"""),6.08)</f>
        <v>6.08</v>
      </c>
      <c r="U1092" s="65">
        <f>IFERROR(__xludf.DUMMYFUNCTION("""COMPUTED_VALUE"""),0.0)</f>
        <v>0</v>
      </c>
      <c r="V1092" s="65">
        <f>IFERROR(__xludf.DUMMYFUNCTION("""COMPUTED_VALUE"""),0.0)</f>
        <v>0</v>
      </c>
      <c r="W1092" s="65">
        <f>IFERROR(__xludf.DUMMYFUNCTION("""COMPUTED_VALUE"""),0.0)</f>
        <v>0</v>
      </c>
      <c r="X1092" s="65">
        <f>IFERROR(__xludf.DUMMYFUNCTION("""COMPUTED_VALUE"""),5.0)</f>
        <v>5</v>
      </c>
      <c r="Y1092" s="65">
        <f>IFERROR(__xludf.DUMMYFUNCTION("""COMPUTED_VALUE"""),10.0)</f>
        <v>10</v>
      </c>
      <c r="Z1092" s="65">
        <f>IFERROR(__xludf.DUMMYFUNCTION("""COMPUTED_VALUE"""),110064.0)</f>
        <v>110064</v>
      </c>
      <c r="AA1092" s="65" t="str">
        <f>IFERROR(__xludf.DUMMYFUNCTION("""COMPUTED_VALUE"""),"IMX-00001")</f>
        <v>IMX-00001</v>
      </c>
      <c r="AB1092" s="65"/>
      <c r="AC1092" s="65" t="str">
        <f>IFERROR(__xludf.DUMMYFUNCTION("""COMPUTED_VALUE"""),"LLAVE TRINQUETE")</f>
        <v>LLAVE TRINQUETE</v>
      </c>
      <c r="AD1092" s="65"/>
      <c r="AE1092" s="65">
        <f>IFERROR(__xludf.DUMMYFUNCTION("""COMPUTED_VALUE"""),2.0)</f>
        <v>2</v>
      </c>
      <c r="AF1092" s="65"/>
      <c r="AG1092" s="65"/>
      <c r="AH1092" s="65"/>
      <c r="AI1092" s="65"/>
      <c r="AJ1092" s="65"/>
      <c r="AK1092" s="65"/>
      <c r="AL1092" s="65"/>
      <c r="AM1092" s="65"/>
      <c r="AN1092" s="65"/>
      <c r="AO1092" s="65"/>
      <c r="AP1092" s="65"/>
      <c r="AQ1092" s="65"/>
      <c r="AR1092" s="65"/>
      <c r="AS1092" s="65"/>
      <c r="AT1092" s="65" t="str">
        <f>IFERROR(__xludf.DUMMYFUNCTION("""COMPUTED_VALUE"""),"SHOPIFY")</f>
        <v>SHOPIFY</v>
      </c>
      <c r="AU1092" s="65" t="str">
        <f>IFERROR(__xludf.DUMMYFUNCTION("""COMPUTED_VALUE"""),"IMPORTEX EC")</f>
        <v>IMPORTEX EC</v>
      </c>
      <c r="AV1092" s="65" t="str">
        <f>IFERROR(__xludf.DUMMYFUNCTION("""COMPUTED_VALUE"""),"6471172522028")</f>
        <v>6471172522028</v>
      </c>
      <c r="AW1092" s="65">
        <f>IFERROR(__xludf.DUMMYFUNCTION("""COMPUTED_VALUE"""),5817.0)</f>
        <v>5817</v>
      </c>
      <c r="AX1092" s="65"/>
      <c r="AY1092" s="65" t="str">
        <f>IFERROR(__xludf.DUMMYFUNCTION("""COMPUTED_VALUE"""),"03/02/2026")</f>
        <v>03/02/2026</v>
      </c>
      <c r="AZ1092" s="65"/>
      <c r="BA1092" s="65"/>
    </row>
    <row r="1093">
      <c r="A1093" s="65" t="str">
        <f>IFERROR(__xludf.DUMMYFUNCTION("""COMPUTED_VALUE"""),"27-03-2026")</f>
        <v>27-03-2026</v>
      </c>
      <c r="B1093" s="65">
        <f>IFERROR(__xludf.DUMMYFUNCTION("""COMPUTED_VALUE"""),4363928.0)</f>
        <v>4363928</v>
      </c>
      <c r="C1093" s="65" t="str">
        <f>IFERROR(__xludf.DUMMYFUNCTION("""COMPUTED_VALUE"""),"09:13")</f>
        <v>09:13</v>
      </c>
      <c r="D1093" s="65" t="str">
        <f>IFERROR(__xludf.DUMMYFUNCTION("""COMPUTED_VALUE"""),"02-02-2026")</f>
        <v>02-02-2026</v>
      </c>
      <c r="E1093" s="65" t="str">
        <f>IFERROR(__xludf.DUMMYFUNCTION("""COMPUTED_VALUE"""),"Fernando Coronel")</f>
        <v>Fernando Coronel</v>
      </c>
      <c r="F1093" s="65" t="str">
        <f>IFERROR(__xludf.DUMMYFUNCTION("""COMPUTED_VALUE"""),"989322582")</f>
        <v>989322582</v>
      </c>
      <c r="G1093" s="65" t="str">
        <f>IFERROR(__xludf.DUMMYFUNCTION("""COMPUTED_VALUE"""),"luiscoronelvera16@hotmail.com")</f>
        <v>luiscoronelvera16@hotmail.com</v>
      </c>
      <c r="H1093" s="65"/>
      <c r="I1093" s="65"/>
      <c r="J1093" s="65" t="str">
        <f>IFERROR(__xludf.DUMMYFUNCTION("""COMPUTED_VALUE"""),"D001291472")</f>
        <v>D001291472</v>
      </c>
      <c r="K1093" s="65" t="str">
        <f>IFERROR(__xludf.DUMMYFUNCTION("""COMPUTED_VALUE"""),"ENTREGADO")</f>
        <v>ENTREGADO</v>
      </c>
      <c r="L1093" s="65" t="str">
        <f>IFERROR(__xludf.DUMMYFUNCTION("""COMPUTED_VALUE"""),"CON RECAUDO")</f>
        <v>CON RECAUDO</v>
      </c>
      <c r="M1093" s="65" t="str">
        <f>IFERROR(__xludf.DUMMYFUNCTION("""COMPUTED_VALUE"""),"GUAYAS")</f>
        <v>GUAYAS</v>
      </c>
      <c r="N1093" s="65" t="str">
        <f>IFERROR(__xludf.DUMMYFUNCTION("""COMPUTED_VALUE"""),"EL EMPALME")</f>
        <v>EL EMPALME</v>
      </c>
      <c r="O1093" s="65" t="str">
        <f>IFERROR(__xludf.DUMMYFUNCTION("""COMPUTED_VALUE"""),"Av. Manabi y Humberto Rodriguez Av principal - Ferreteria Ferrecor Stihl -")</f>
        <v>Av. Manabi y Humberto Rodriguez Av principal - Ferreteria Ferrecor Stihl -</v>
      </c>
      <c r="P1093" s="65"/>
      <c r="Q1093" s="65" t="str">
        <f>IFERROR(__xludf.DUMMYFUNCTION("""COMPUTED_VALUE"""),"GINTRACOM")</f>
        <v>GINTRACOM</v>
      </c>
      <c r="R1093" s="65">
        <f>IFERROR(__xludf.DUMMYFUNCTION("""COMPUTED_VALUE"""),25.0)</f>
        <v>25</v>
      </c>
      <c r="S1093" s="65">
        <f>IFERROR(__xludf.DUMMYFUNCTION("""COMPUTED_VALUE"""),13.77)</f>
        <v>13.77</v>
      </c>
      <c r="T1093" s="65">
        <f>IFERROR(__xludf.DUMMYFUNCTION("""COMPUTED_VALUE"""),6.53)</f>
        <v>6.53</v>
      </c>
      <c r="U1093" s="65">
        <f>IFERROR(__xludf.DUMMYFUNCTION("""COMPUTED_VALUE"""),0.0)</f>
        <v>0</v>
      </c>
      <c r="V1093" s="65">
        <f>IFERROR(__xludf.DUMMYFUNCTION("""COMPUTED_VALUE"""),0.0)</f>
        <v>0</v>
      </c>
      <c r="W1093" s="65">
        <f>IFERROR(__xludf.DUMMYFUNCTION("""COMPUTED_VALUE"""),0.0)</f>
        <v>0</v>
      </c>
      <c r="X1093" s="65">
        <f>IFERROR(__xludf.DUMMYFUNCTION("""COMPUTED_VALUE"""),2.35)</f>
        <v>2.35</v>
      </c>
      <c r="Y1093" s="65">
        <f>IFERROR(__xludf.DUMMYFUNCTION("""COMPUTED_VALUE"""),4.7)</f>
        <v>4.7</v>
      </c>
      <c r="Z1093" s="65">
        <f>IFERROR(__xludf.DUMMYFUNCTION("""COMPUTED_VALUE"""),116679.0)</f>
        <v>116679</v>
      </c>
      <c r="AA1093" s="65" t="str">
        <f>IFERROR(__xludf.DUMMYFUNCTION("""COMPUTED_VALUE"""),"AMC-2738")</f>
        <v>AMC-2738</v>
      </c>
      <c r="AB1093" s="65"/>
      <c r="AC1093" s="65" t="str">
        <f>IFERROR(__xludf.DUMMYFUNCTION("""COMPUTED_VALUE"""),"ESPONJA ANTILLUVIA DE PARABRISAS")</f>
        <v>ESPONJA ANTILLUVIA DE PARABRISAS</v>
      </c>
      <c r="AD1093" s="65"/>
      <c r="AE1093" s="65">
        <f>IFERROR(__xludf.DUMMYFUNCTION("""COMPUTED_VALUE"""),2.0)</f>
        <v>2</v>
      </c>
      <c r="AF1093" s="65"/>
      <c r="AG1093" s="65"/>
      <c r="AH1093" s="65"/>
      <c r="AI1093" s="65"/>
      <c r="AJ1093" s="65"/>
      <c r="AK1093" s="65"/>
      <c r="AL1093" s="65"/>
      <c r="AM1093" s="65"/>
      <c r="AN1093" s="65" t="str">
        <f>IFERROR(__xludf.DUMMYFUNCTION("""COMPUTED_VALUE"""),"09:28")</f>
        <v>09:28</v>
      </c>
      <c r="AO1093" s="65" t="str">
        <f>IFERROR(__xludf.DUMMYFUNCTION("""COMPUTED_VALUE"""),"07-02-2026")</f>
        <v>07-02-2026</v>
      </c>
      <c r="AP1093" s="65" t="str">
        <f>IFERROR(__xludf.DUMMYFUNCTION("""COMPUTED_VALUE"""),"EN REPARTO")</f>
        <v>EN REPARTO</v>
      </c>
      <c r="AQ1093" s="65" t="str">
        <f>IFERROR(__xludf.DUMMYFUNCTION("""COMPUTED_VALUE"""),"EN REPARTO")</f>
        <v>EN REPARTO</v>
      </c>
      <c r="AR1093" s="65"/>
      <c r="AS1093" s="65"/>
      <c r="AT1093" s="65" t="str">
        <f>IFERROR(__xludf.DUMMYFUNCTION("""COMPUTED_VALUE"""),"SHOPIFY")</f>
        <v>SHOPIFY</v>
      </c>
      <c r="AU1093" s="65" t="str">
        <f>IFERROR(__xludf.DUMMYFUNCTION("""COMPUTED_VALUE"""),"IMPORTEX EC")</f>
        <v>IMPORTEX EC</v>
      </c>
      <c r="AV1093" s="65" t="str">
        <f>IFERROR(__xludf.DUMMYFUNCTION("""COMPUTED_VALUE"""),"6471058161708")</f>
        <v>6471058161708</v>
      </c>
      <c r="AW1093" s="65">
        <f>IFERROR(__xludf.DUMMYFUNCTION("""COMPUTED_VALUE"""),5816.0)</f>
        <v>5816</v>
      </c>
      <c r="AX1093" s="65"/>
      <c r="AY1093" s="65" t="str">
        <f>IFERROR(__xludf.DUMMYFUNCTION("""COMPUTED_VALUE"""),"03/02/2026")</f>
        <v>03/02/2026</v>
      </c>
      <c r="AZ1093" s="65"/>
      <c r="BA1093" s="65"/>
    </row>
    <row r="1094">
      <c r="A1094" s="65" t="str">
        <f>IFERROR(__xludf.DUMMYFUNCTION("""COMPUTED_VALUE"""),"27-03-2026")</f>
        <v>27-03-2026</v>
      </c>
      <c r="B1094" s="65">
        <f>IFERROR(__xludf.DUMMYFUNCTION("""COMPUTED_VALUE"""),4363816.0)</f>
        <v>4363816</v>
      </c>
      <c r="C1094" s="65" t="str">
        <f>IFERROR(__xludf.DUMMYFUNCTION("""COMPUTED_VALUE"""),"09:06")</f>
        <v>09:06</v>
      </c>
      <c r="D1094" s="65" t="str">
        <f>IFERROR(__xludf.DUMMYFUNCTION("""COMPUTED_VALUE"""),"02-02-2026")</f>
        <v>02-02-2026</v>
      </c>
      <c r="E1094" s="65" t="str">
        <f>IFERROR(__xludf.DUMMYFUNCTION("""COMPUTED_VALUE"""),"Luis Rubén")</f>
        <v>Luis Rubén</v>
      </c>
      <c r="F1094" s="65" t="str">
        <f>IFERROR(__xludf.DUMMYFUNCTION("""COMPUTED_VALUE"""),"993223824")</f>
        <v>993223824</v>
      </c>
      <c r="G1094" s="65" t="str">
        <f>IFERROR(__xludf.DUMMYFUNCTION("""COMPUTED_VALUE"""),"luisrubenarceespinoza1993@gmail.com")</f>
        <v>luisrubenarceespinoza1993@gmail.com</v>
      </c>
      <c r="H1094" s="65"/>
      <c r="I1094" s="65"/>
      <c r="J1094" s="65"/>
      <c r="K1094" s="65" t="str">
        <f>IFERROR(__xludf.DUMMYFUNCTION("""COMPUTED_VALUE"""),"PENDIENTE CONFIRMACION")</f>
        <v>PENDIENTE CONFIRMACION</v>
      </c>
      <c r="L1094" s="65" t="str">
        <f>IFERROR(__xludf.DUMMYFUNCTION("""COMPUTED_VALUE"""),"CON RECAUDO")</f>
        <v>CON RECAUDO</v>
      </c>
      <c r="M1094" s="65" t="str">
        <f>IFERROR(__xludf.DUMMYFUNCTION("""COMPUTED_VALUE"""),"PICHINCHA")</f>
        <v>PICHINCHA</v>
      </c>
      <c r="N1094" s="65" t="str">
        <f>IFERROR(__xludf.DUMMYFUNCTION("""COMPUTED_VALUE"""),"QUITO")</f>
        <v>QUITO</v>
      </c>
      <c r="O1094" s="65" t="str">
        <f>IFERROR(__xludf.DUMMYFUNCTION("""COMPUTED_VALUE"""),"Avenida Eloy Alfaro Delgado Y D Ciudadela bicentenario -")</f>
        <v>Avenida Eloy Alfaro Delgado Y D Ciudadela bicentenario -</v>
      </c>
      <c r="P1094" s="65"/>
      <c r="Q1094" s="65" t="str">
        <f>IFERROR(__xludf.DUMMYFUNCTION("""COMPUTED_VALUE"""),"GINTRACOM")</f>
        <v>GINTRACOM</v>
      </c>
      <c r="R1094" s="65">
        <f>IFERROR(__xludf.DUMMYFUNCTION("""COMPUTED_VALUE"""),30.0)</f>
        <v>30</v>
      </c>
      <c r="S1094" s="65"/>
      <c r="T1094" s="65">
        <f>IFERROR(__xludf.DUMMYFUNCTION("""COMPUTED_VALUE"""),4.55)</f>
        <v>4.55</v>
      </c>
      <c r="U1094" s="65">
        <f>IFERROR(__xludf.DUMMYFUNCTION("""COMPUTED_VALUE"""),0.0)</f>
        <v>0</v>
      </c>
      <c r="V1094" s="65">
        <f>IFERROR(__xludf.DUMMYFUNCTION("""COMPUTED_VALUE"""),0.0)</f>
        <v>0</v>
      </c>
      <c r="W1094" s="65">
        <f>IFERROR(__xludf.DUMMYFUNCTION("""COMPUTED_VALUE"""),0.0)</f>
        <v>0</v>
      </c>
      <c r="X1094" s="65">
        <f>IFERROR(__xludf.DUMMYFUNCTION("""COMPUTED_VALUE"""),2.35)</f>
        <v>2.35</v>
      </c>
      <c r="Y1094" s="65">
        <f>IFERROR(__xludf.DUMMYFUNCTION("""COMPUTED_VALUE"""),7.05)</f>
        <v>7.05</v>
      </c>
      <c r="Z1094" s="65">
        <f>IFERROR(__xludf.DUMMYFUNCTION("""COMPUTED_VALUE"""),116679.0)</f>
        <v>116679</v>
      </c>
      <c r="AA1094" s="65" t="str">
        <f>IFERROR(__xludf.DUMMYFUNCTION("""COMPUTED_VALUE"""),"AMC-2738")</f>
        <v>AMC-2738</v>
      </c>
      <c r="AB1094" s="65"/>
      <c r="AC1094" s="65" t="str">
        <f>IFERROR(__xludf.DUMMYFUNCTION("""COMPUTED_VALUE"""),"ESPONJA ANTILLUVIA DE PARABRISAS")</f>
        <v>ESPONJA ANTILLUVIA DE PARABRISAS</v>
      </c>
      <c r="AD1094" s="65"/>
      <c r="AE1094" s="65">
        <f>IFERROR(__xludf.DUMMYFUNCTION("""COMPUTED_VALUE"""),3.0)</f>
        <v>3</v>
      </c>
      <c r="AF1094" s="65"/>
      <c r="AG1094" s="65"/>
      <c r="AH1094" s="65"/>
      <c r="AI1094" s="65"/>
      <c r="AJ1094" s="65"/>
      <c r="AK1094" s="65"/>
      <c r="AL1094" s="65"/>
      <c r="AM1094" s="65"/>
      <c r="AN1094" s="65"/>
      <c r="AO1094" s="65"/>
      <c r="AP1094" s="65"/>
      <c r="AQ1094" s="65"/>
      <c r="AR1094" s="65"/>
      <c r="AS1094" s="65"/>
      <c r="AT1094" s="65" t="str">
        <f>IFERROR(__xludf.DUMMYFUNCTION("""COMPUTED_VALUE"""),"SHOPIFY")</f>
        <v>SHOPIFY</v>
      </c>
      <c r="AU1094" s="65" t="str">
        <f>IFERROR(__xludf.DUMMYFUNCTION("""COMPUTED_VALUE"""),"IMPORTEX EC")</f>
        <v>IMPORTEX EC</v>
      </c>
      <c r="AV1094" s="65" t="str">
        <f>IFERROR(__xludf.DUMMYFUNCTION("""COMPUTED_VALUE"""),"6471047020588")</f>
        <v>6471047020588</v>
      </c>
      <c r="AW1094" s="65">
        <f>IFERROR(__xludf.DUMMYFUNCTION("""COMPUTED_VALUE"""),5815.0)</f>
        <v>5815</v>
      </c>
      <c r="AX1094" s="65"/>
      <c r="AY1094" s="65"/>
      <c r="AZ1094" s="65"/>
      <c r="BA1094" s="65"/>
    </row>
    <row r="1095">
      <c r="A1095" s="65" t="str">
        <f>IFERROR(__xludf.DUMMYFUNCTION("""COMPUTED_VALUE"""),"27-03-2026")</f>
        <v>27-03-2026</v>
      </c>
      <c r="B1095" s="65">
        <f>IFERROR(__xludf.DUMMYFUNCTION("""COMPUTED_VALUE"""),4363809.0)</f>
        <v>4363809</v>
      </c>
      <c r="C1095" s="65" t="str">
        <f>IFERROR(__xludf.DUMMYFUNCTION("""COMPUTED_VALUE"""),"09:05")</f>
        <v>09:05</v>
      </c>
      <c r="D1095" s="65" t="str">
        <f>IFERROR(__xludf.DUMMYFUNCTION("""COMPUTED_VALUE"""),"02-02-2026")</f>
        <v>02-02-2026</v>
      </c>
      <c r="E1095" s="65" t="str">
        <f>IFERROR(__xludf.DUMMYFUNCTION("""COMPUTED_VALUE"""),"Edgar Rodrigo")</f>
        <v>Edgar Rodrigo</v>
      </c>
      <c r="F1095" s="65" t="str">
        <f>IFERROR(__xludf.DUMMYFUNCTION("""COMPUTED_VALUE"""),"997706035")</f>
        <v>997706035</v>
      </c>
      <c r="G1095" s="65" t="str">
        <f>IFERROR(__xludf.DUMMYFUNCTION("""COMPUTED_VALUE"""),"edgarrodrigol@yahoo.es")</f>
        <v>edgarrodrigol@yahoo.es</v>
      </c>
      <c r="H1095" s="65"/>
      <c r="I1095" s="65"/>
      <c r="J1095" s="65" t="str">
        <f>IFERROR(__xludf.DUMMYFUNCTION("""COMPUTED_VALUE"""),"D001291473")</f>
        <v>D001291473</v>
      </c>
      <c r="K1095" s="65" t="str">
        <f>IFERROR(__xludf.DUMMYFUNCTION("""COMPUTED_VALUE"""),"ENTREGADO")</f>
        <v>ENTREGADO</v>
      </c>
      <c r="L1095" s="65" t="str">
        <f>IFERROR(__xludf.DUMMYFUNCTION("""COMPUTED_VALUE"""),"CON RECAUDO")</f>
        <v>CON RECAUDO</v>
      </c>
      <c r="M1095" s="65" t="str">
        <f>IFERROR(__xludf.DUMMYFUNCTION("""COMPUTED_VALUE"""),"CARCHI")</f>
        <v>CARCHI</v>
      </c>
      <c r="N1095" s="65" t="str">
        <f>IFERROR(__xludf.DUMMYFUNCTION("""COMPUTED_VALUE"""),"TULCAN")</f>
        <v>TULCAN</v>
      </c>
      <c r="O1095" s="65" t="str">
        <f>IFERROR(__xludf.DUMMYFUNCTION("""COMPUTED_VALUE"""),"Av. San Francisco y Gustavo Becker Hospital Luis G Dávila - Consulta externa ,")</f>
        <v>Av. San Francisco y Gustavo Becker Hospital Luis G Dávila - Consulta externa ,</v>
      </c>
      <c r="P1095" s="65"/>
      <c r="Q1095" s="65" t="str">
        <f>IFERROR(__xludf.DUMMYFUNCTION("""COMPUTED_VALUE"""),"GINTRACOM")</f>
        <v>GINTRACOM</v>
      </c>
      <c r="R1095" s="65">
        <f>IFERROR(__xludf.DUMMYFUNCTION("""COMPUTED_VALUE"""),30.0)</f>
        <v>30</v>
      </c>
      <c r="S1095" s="65">
        <f>IFERROR(__xludf.DUMMYFUNCTION("""COMPUTED_VALUE"""),16.79)</f>
        <v>16.79</v>
      </c>
      <c r="T1095" s="65">
        <f>IFERROR(__xludf.DUMMYFUNCTION("""COMPUTED_VALUE"""),6.16)</f>
        <v>6.16</v>
      </c>
      <c r="U1095" s="65">
        <f>IFERROR(__xludf.DUMMYFUNCTION("""COMPUTED_VALUE"""),0.0)</f>
        <v>0</v>
      </c>
      <c r="V1095" s="65">
        <f>IFERROR(__xludf.DUMMYFUNCTION("""COMPUTED_VALUE"""),0.0)</f>
        <v>0</v>
      </c>
      <c r="W1095" s="65">
        <f>IFERROR(__xludf.DUMMYFUNCTION("""COMPUTED_VALUE"""),0.0)</f>
        <v>0</v>
      </c>
      <c r="X1095" s="65">
        <f>IFERROR(__xludf.DUMMYFUNCTION("""COMPUTED_VALUE"""),2.35)</f>
        <v>2.35</v>
      </c>
      <c r="Y1095" s="65">
        <f>IFERROR(__xludf.DUMMYFUNCTION("""COMPUTED_VALUE"""),7.05)</f>
        <v>7.05</v>
      </c>
      <c r="Z1095" s="65">
        <f>IFERROR(__xludf.DUMMYFUNCTION("""COMPUTED_VALUE"""),116679.0)</f>
        <v>116679</v>
      </c>
      <c r="AA1095" s="65" t="str">
        <f>IFERROR(__xludf.DUMMYFUNCTION("""COMPUTED_VALUE"""),"AMC-2738")</f>
        <v>AMC-2738</v>
      </c>
      <c r="AB1095" s="65"/>
      <c r="AC1095" s="65" t="str">
        <f>IFERROR(__xludf.DUMMYFUNCTION("""COMPUTED_VALUE"""),"ESPONJA ANTILLUVIA DE PARABRISAS")</f>
        <v>ESPONJA ANTILLUVIA DE PARABRISAS</v>
      </c>
      <c r="AD1095" s="65"/>
      <c r="AE1095" s="65">
        <f>IFERROR(__xludf.DUMMYFUNCTION("""COMPUTED_VALUE"""),3.0)</f>
        <v>3</v>
      </c>
      <c r="AF1095" s="65"/>
      <c r="AG1095" s="65"/>
      <c r="AH1095" s="65"/>
      <c r="AI1095" s="65"/>
      <c r="AJ1095" s="65"/>
      <c r="AK1095" s="65"/>
      <c r="AL1095" s="65"/>
      <c r="AM1095" s="65"/>
      <c r="AN1095" s="65" t="str">
        <f>IFERROR(__xludf.DUMMYFUNCTION("""COMPUTED_VALUE"""),"17:08")</f>
        <v>17:08</v>
      </c>
      <c r="AO1095" s="65" t="str">
        <f>IFERROR(__xludf.DUMMYFUNCTION("""COMPUTED_VALUE"""),"07-02-2026")</f>
        <v>07-02-2026</v>
      </c>
      <c r="AP1095" s="65" t="str">
        <f>IFERROR(__xludf.DUMMYFUNCTION("""COMPUTED_VALUE"""),"ENTREGADA GINTRACOM")</f>
        <v>ENTREGADA GINTRACOM</v>
      </c>
      <c r="AQ1095" s="65" t="str">
        <f>IFERROR(__xludf.DUMMYFUNCTION("""COMPUTED_VALUE"""),"ENTREGADA GINTRACOM")</f>
        <v>ENTREGADA GINTRACOM</v>
      </c>
      <c r="AR1095" s="65"/>
      <c r="AS1095" s="65"/>
      <c r="AT1095" s="65" t="str">
        <f>IFERROR(__xludf.DUMMYFUNCTION("""COMPUTED_VALUE"""),"SHOPIFY")</f>
        <v>SHOPIFY</v>
      </c>
      <c r="AU1095" s="65" t="str">
        <f>IFERROR(__xludf.DUMMYFUNCTION("""COMPUTED_VALUE"""),"IMPORTEX EC")</f>
        <v>IMPORTEX EC</v>
      </c>
      <c r="AV1095" s="65" t="str">
        <f>IFERROR(__xludf.DUMMYFUNCTION("""COMPUTED_VALUE"""),"6471045316652")</f>
        <v>6471045316652</v>
      </c>
      <c r="AW1095" s="65">
        <f>IFERROR(__xludf.DUMMYFUNCTION("""COMPUTED_VALUE"""),5814.0)</f>
        <v>5814</v>
      </c>
      <c r="AX1095" s="65"/>
      <c r="AY1095" s="65" t="str">
        <f>IFERROR(__xludf.DUMMYFUNCTION("""COMPUTED_VALUE"""),"03/02/2026")</f>
        <v>03/02/2026</v>
      </c>
      <c r="AZ1095" s="65"/>
      <c r="BA1095" s="65"/>
    </row>
    <row r="1096">
      <c r="A1096" s="65" t="str">
        <f>IFERROR(__xludf.DUMMYFUNCTION("""COMPUTED_VALUE"""),"27-03-2026")</f>
        <v>27-03-2026</v>
      </c>
      <c r="B1096" s="65">
        <f>IFERROR(__xludf.DUMMYFUNCTION("""COMPUTED_VALUE"""),4363796.0)</f>
        <v>4363796</v>
      </c>
      <c r="C1096" s="65" t="str">
        <f>IFERROR(__xludf.DUMMYFUNCTION("""COMPUTED_VALUE"""),"09:04")</f>
        <v>09:04</v>
      </c>
      <c r="D1096" s="65" t="str">
        <f>IFERROR(__xludf.DUMMYFUNCTION("""COMPUTED_VALUE"""),"02-02-2026")</f>
        <v>02-02-2026</v>
      </c>
      <c r="E1096" s="65" t="str">
        <f>IFERROR(__xludf.DUMMYFUNCTION("""COMPUTED_VALUE"""),"Luis Paredes Zambrano")</f>
        <v>Luis Paredes Zambrano</v>
      </c>
      <c r="F1096" s="65" t="str">
        <f>IFERROR(__xludf.DUMMYFUNCTION("""COMPUTED_VALUE"""),"978943427")</f>
        <v>978943427</v>
      </c>
      <c r="G1096" s="65" t="str">
        <f>IFERROR(__xludf.DUMMYFUNCTION("""COMPUTED_VALUE"""),"luis.pz1693@gmail.com")</f>
        <v>luis.pz1693@gmail.com</v>
      </c>
      <c r="H1096" s="65"/>
      <c r="I1096" s="65"/>
      <c r="J1096" s="65" t="str">
        <f>IFERROR(__xludf.DUMMYFUNCTION("""COMPUTED_VALUE"""),"D001291474")</f>
        <v>D001291474</v>
      </c>
      <c r="K1096" s="65" t="str">
        <f>IFERROR(__xludf.DUMMYFUNCTION("""COMPUTED_VALUE"""),"DEVOLUCION")</f>
        <v>DEVOLUCION</v>
      </c>
      <c r="L1096" s="65" t="str">
        <f>IFERROR(__xludf.DUMMYFUNCTION("""COMPUTED_VALUE"""),"CON RECAUDO")</f>
        <v>CON RECAUDO</v>
      </c>
      <c r="M1096" s="65" t="str">
        <f>IFERROR(__xludf.DUMMYFUNCTION("""COMPUTED_VALUE"""),"GUAYAS")</f>
        <v>GUAYAS</v>
      </c>
      <c r="N1096" s="65" t="str">
        <f>IFERROR(__xludf.DUMMYFUNCTION("""COMPUTED_VALUE"""),"DAULE")</f>
        <v>DAULE</v>
      </c>
      <c r="O1096" s="65" t="str">
        <f>IFERROR(__xludf.DUMMYFUNCTION("""COMPUTED_VALUE"""),"Isidro Fajardo &amp; 10 de febrero Manzana 77 Villa 2 , Cdla la Yolita, atrás de la mueblería Jiménez , Casa de dos pisos color café")</f>
        <v>Isidro Fajardo &amp; 10 de febrero Manzana 77 Villa 2 , Cdla la Yolita, atrás de la mueblería Jiménez , Casa de dos pisos color café</v>
      </c>
      <c r="P1096" s="65"/>
      <c r="Q1096" s="65" t="str">
        <f>IFERROR(__xludf.DUMMYFUNCTION("""COMPUTED_VALUE"""),"GINTRACOM")</f>
        <v>GINTRACOM</v>
      </c>
      <c r="R1096" s="65">
        <f>IFERROR(__xludf.DUMMYFUNCTION("""COMPUTED_VALUE"""),25.0)</f>
        <v>25</v>
      </c>
      <c r="S1096" s="65"/>
      <c r="T1096" s="65">
        <f>IFERROR(__xludf.DUMMYFUNCTION("""COMPUTED_VALUE"""),5.96)</f>
        <v>5.96</v>
      </c>
      <c r="U1096" s="65">
        <f>IFERROR(__xludf.DUMMYFUNCTION("""COMPUTED_VALUE"""),0.0)</f>
        <v>0</v>
      </c>
      <c r="V1096" s="65">
        <f>IFERROR(__xludf.DUMMYFUNCTION("""COMPUTED_VALUE"""),0.0)</f>
        <v>0</v>
      </c>
      <c r="W1096" s="65">
        <f>IFERROR(__xludf.DUMMYFUNCTION("""COMPUTED_VALUE"""),0.0)</f>
        <v>0</v>
      </c>
      <c r="X1096" s="65">
        <f>IFERROR(__xludf.DUMMYFUNCTION("""COMPUTED_VALUE"""),2.35)</f>
        <v>2.35</v>
      </c>
      <c r="Y1096" s="65">
        <f>IFERROR(__xludf.DUMMYFUNCTION("""COMPUTED_VALUE"""),4.7)</f>
        <v>4.7</v>
      </c>
      <c r="Z1096" s="65">
        <f>IFERROR(__xludf.DUMMYFUNCTION("""COMPUTED_VALUE"""),116679.0)</f>
        <v>116679</v>
      </c>
      <c r="AA1096" s="65" t="str">
        <f>IFERROR(__xludf.DUMMYFUNCTION("""COMPUTED_VALUE"""),"AMC-2738")</f>
        <v>AMC-2738</v>
      </c>
      <c r="AB1096" s="65"/>
      <c r="AC1096" s="65" t="str">
        <f>IFERROR(__xludf.DUMMYFUNCTION("""COMPUTED_VALUE"""),"ESPONJA ANTILLUVIA DE PARABRISAS")</f>
        <v>ESPONJA ANTILLUVIA DE PARABRISAS</v>
      </c>
      <c r="AD1096" s="65"/>
      <c r="AE1096" s="65">
        <f>IFERROR(__xludf.DUMMYFUNCTION("""COMPUTED_VALUE"""),2.0)</f>
        <v>2</v>
      </c>
      <c r="AF1096" s="65" t="str">
        <f>IFERROR(__xludf.DUMMYFUNCTION("""COMPUTED_VALUE"""),"DESTINATARIO NO CONTESTA LLAMADAS NI WHATSAPP")</f>
        <v>DESTINATARIO NO CONTESTA LLAMADAS NI WHATSAPP</v>
      </c>
      <c r="AG1096" s="65" t="str">
        <f>IFERROR(__xludf.DUMMYFUNCTION("""COMPUTED_VALUE"""),"NO")</f>
        <v>NO</v>
      </c>
      <c r="AH1096" s="65" t="str">
        <f>IFERROR(__xludf.DUMMYFUNCTION("""COMPUTED_VALUE"""),"09:00")</f>
        <v>09:00</v>
      </c>
      <c r="AI1096" s="65" t="str">
        <f>IFERROR(__xludf.DUMMYFUNCTION("""COMPUTED_VALUE"""),"17-02-2026")</f>
        <v>17-02-2026</v>
      </c>
      <c r="AJ1096" s="65"/>
      <c r="AK1096" s="65"/>
      <c r="AL1096" s="65"/>
      <c r="AM1096" s="65"/>
      <c r="AN1096" s="65" t="str">
        <f>IFERROR(__xludf.DUMMYFUNCTION("""COMPUTED_VALUE"""),"15:48")</f>
        <v>15:48</v>
      </c>
      <c r="AO1096" s="65" t="str">
        <f>IFERROR(__xludf.DUMMYFUNCTION("""COMPUTED_VALUE"""),"02-03-2026")</f>
        <v>02-03-2026</v>
      </c>
      <c r="AP1096" s="65" t="str">
        <f>IFERROR(__xludf.DUMMYFUNCTION("""COMPUTED_VALUE"""),"DEVOLUCIÓN ENTREGADA A ORIGEN")</f>
        <v>DEVOLUCIÓN ENTREGADA A ORIGEN</v>
      </c>
      <c r="AQ1096" s="65" t="str">
        <f>IFERROR(__xludf.DUMMYFUNCTION("""COMPUTED_VALUE"""),"DEVOLUCIÓN ENTREGADA A ORIGEN")</f>
        <v>DEVOLUCIÓN ENTREGADA A ORIGEN</v>
      </c>
      <c r="AR1096" s="65"/>
      <c r="AS1096" s="65"/>
      <c r="AT1096" s="65" t="str">
        <f>IFERROR(__xludf.DUMMYFUNCTION("""COMPUTED_VALUE"""),"SHOPIFY")</f>
        <v>SHOPIFY</v>
      </c>
      <c r="AU1096" s="65" t="str">
        <f>IFERROR(__xludf.DUMMYFUNCTION("""COMPUTED_VALUE"""),"IMPORTEX EC")</f>
        <v>IMPORTEX EC</v>
      </c>
      <c r="AV1096" s="65" t="str">
        <f>IFERROR(__xludf.DUMMYFUNCTION("""COMPUTED_VALUE"""),"6471043252268")</f>
        <v>6471043252268</v>
      </c>
      <c r="AW1096" s="65">
        <f>IFERROR(__xludf.DUMMYFUNCTION("""COMPUTED_VALUE"""),5813.0)</f>
        <v>5813</v>
      </c>
      <c r="AX1096" s="65"/>
      <c r="AY1096" s="65" t="str">
        <f>IFERROR(__xludf.DUMMYFUNCTION("""COMPUTED_VALUE"""),"03/02/2026")</f>
        <v>03/02/2026</v>
      </c>
      <c r="AZ1096" s="65"/>
      <c r="BA1096" s="65"/>
    </row>
    <row r="1097">
      <c r="A1097" s="65" t="str">
        <f>IFERROR(__xludf.DUMMYFUNCTION("""COMPUTED_VALUE"""),"27-03-2026")</f>
        <v>27-03-2026</v>
      </c>
      <c r="B1097" s="65">
        <f>IFERROR(__xludf.DUMMYFUNCTION("""COMPUTED_VALUE"""),4363609.0)</f>
        <v>4363609</v>
      </c>
      <c r="C1097" s="65" t="str">
        <f>IFERROR(__xludf.DUMMYFUNCTION("""COMPUTED_VALUE"""),"08:51")</f>
        <v>08:51</v>
      </c>
      <c r="D1097" s="65" t="str">
        <f>IFERROR(__xludf.DUMMYFUNCTION("""COMPUTED_VALUE"""),"02-02-2026")</f>
        <v>02-02-2026</v>
      </c>
      <c r="E1097" s="65" t="str">
        <f>IFERROR(__xludf.DUMMYFUNCTION("""COMPUTED_VALUE"""),"Alfonso Chacha")</f>
        <v>Alfonso Chacha</v>
      </c>
      <c r="F1097" s="65" t="str">
        <f>IFERROR(__xludf.DUMMYFUNCTION("""COMPUTED_VALUE"""),"995414068")</f>
        <v>995414068</v>
      </c>
      <c r="G1097" s="65" t="str">
        <f>IFERROR(__xludf.DUMMYFUNCTION("""COMPUTED_VALUE"""),"achacha121164@gmail.com")</f>
        <v>achacha121164@gmail.com</v>
      </c>
      <c r="H1097" s="65"/>
      <c r="I1097" s="65"/>
      <c r="J1097" s="65"/>
      <c r="K1097" s="65" t="str">
        <f>IFERROR(__xludf.DUMMYFUNCTION("""COMPUTED_VALUE"""),"PENDIENTE CONFIRMACION")</f>
        <v>PENDIENTE CONFIRMACION</v>
      </c>
      <c r="L1097" s="65" t="str">
        <f>IFERROR(__xludf.DUMMYFUNCTION("""COMPUTED_VALUE"""),"CON RECAUDO")</f>
        <v>CON RECAUDO</v>
      </c>
      <c r="M1097" s="65" t="str">
        <f>IFERROR(__xludf.DUMMYFUNCTION("""COMPUTED_VALUE"""),"CAÑAR")</f>
        <v>CAÑAR</v>
      </c>
      <c r="N1097" s="65" t="str">
        <f>IFERROR(__xludf.DUMMYFUNCTION("""COMPUTED_VALUE"""),"AZOGUES")</f>
        <v>AZOGUES</v>
      </c>
      <c r="O1097" s="65" t="str">
        <f>IFERROR(__xludf.DUMMYFUNCTION("""COMPUTED_VALUE"""),"Trajano carrasco Frente  a industrial  guapan -")</f>
        <v>Trajano carrasco Frente  a industrial  guapan -</v>
      </c>
      <c r="P1097" s="65"/>
      <c r="Q1097" s="65" t="str">
        <f>IFERROR(__xludf.DUMMYFUNCTION("""COMPUTED_VALUE"""),"GINTRACOM")</f>
        <v>GINTRACOM</v>
      </c>
      <c r="R1097" s="65">
        <f>IFERROR(__xludf.DUMMYFUNCTION("""COMPUTED_VALUE"""),19.99)</f>
        <v>19.99</v>
      </c>
      <c r="S1097" s="65"/>
      <c r="T1097" s="65">
        <f>IFERROR(__xludf.DUMMYFUNCTION("""COMPUTED_VALUE"""),5.75)</f>
        <v>5.75</v>
      </c>
      <c r="U1097" s="65">
        <f>IFERROR(__xludf.DUMMYFUNCTION("""COMPUTED_VALUE"""),0.0)</f>
        <v>0</v>
      </c>
      <c r="V1097" s="65">
        <f>IFERROR(__xludf.DUMMYFUNCTION("""COMPUTED_VALUE"""),0.0)</f>
        <v>0</v>
      </c>
      <c r="W1097" s="65">
        <f>IFERROR(__xludf.DUMMYFUNCTION("""COMPUTED_VALUE"""),0.0)</f>
        <v>0</v>
      </c>
      <c r="X1097" s="65">
        <f>IFERROR(__xludf.DUMMYFUNCTION("""COMPUTED_VALUE"""),5.0)</f>
        <v>5</v>
      </c>
      <c r="Y1097" s="65">
        <f>IFERROR(__xludf.DUMMYFUNCTION("""COMPUTED_VALUE"""),5.0)</f>
        <v>5</v>
      </c>
      <c r="Z1097" s="65">
        <f>IFERROR(__xludf.DUMMYFUNCTION("""COMPUTED_VALUE"""),110064.0)</f>
        <v>110064</v>
      </c>
      <c r="AA1097" s="65" t="str">
        <f>IFERROR(__xludf.DUMMYFUNCTION("""COMPUTED_VALUE"""),"IMX-00001")</f>
        <v>IMX-00001</v>
      </c>
      <c r="AB1097" s="65"/>
      <c r="AC1097" s="65" t="str">
        <f>IFERROR(__xludf.DUMMYFUNCTION("""COMPUTED_VALUE"""),"LLAVE TRINQUETE")</f>
        <v>LLAVE TRINQUETE</v>
      </c>
      <c r="AD1097" s="65"/>
      <c r="AE1097" s="65">
        <f>IFERROR(__xludf.DUMMYFUNCTION("""COMPUTED_VALUE"""),1.0)</f>
        <v>1</v>
      </c>
      <c r="AF1097" s="65"/>
      <c r="AG1097" s="65"/>
      <c r="AH1097" s="65"/>
      <c r="AI1097" s="65"/>
      <c r="AJ1097" s="65"/>
      <c r="AK1097" s="65"/>
      <c r="AL1097" s="65"/>
      <c r="AM1097" s="65"/>
      <c r="AN1097" s="65"/>
      <c r="AO1097" s="65"/>
      <c r="AP1097" s="65"/>
      <c r="AQ1097" s="65"/>
      <c r="AR1097" s="65"/>
      <c r="AS1097" s="65"/>
      <c r="AT1097" s="65" t="str">
        <f>IFERROR(__xludf.DUMMYFUNCTION("""COMPUTED_VALUE"""),"SHOPIFY")</f>
        <v>SHOPIFY</v>
      </c>
      <c r="AU1097" s="65" t="str">
        <f>IFERROR(__xludf.DUMMYFUNCTION("""COMPUTED_VALUE"""),"IMPORTEX EC")</f>
        <v>IMPORTEX EC</v>
      </c>
      <c r="AV1097" s="65" t="str">
        <f>IFERROR(__xludf.DUMMYFUNCTION("""COMPUTED_VALUE"""),"6471025328172")</f>
        <v>6471025328172</v>
      </c>
      <c r="AW1097" s="65">
        <f>IFERROR(__xludf.DUMMYFUNCTION("""COMPUTED_VALUE"""),5812.0)</f>
        <v>5812</v>
      </c>
      <c r="AX1097" s="65"/>
      <c r="AY1097" s="65"/>
      <c r="AZ1097" s="65"/>
      <c r="BA1097" s="65"/>
    </row>
    <row r="1098">
      <c r="A1098" s="65" t="str">
        <f>IFERROR(__xludf.DUMMYFUNCTION("""COMPUTED_VALUE"""),"27-03-2026")</f>
        <v>27-03-2026</v>
      </c>
      <c r="B1098" s="65">
        <f>IFERROR(__xludf.DUMMYFUNCTION("""COMPUTED_VALUE"""),4363548.0)</f>
        <v>4363548</v>
      </c>
      <c r="C1098" s="65" t="str">
        <f>IFERROR(__xludf.DUMMYFUNCTION("""COMPUTED_VALUE"""),"08:48")</f>
        <v>08:48</v>
      </c>
      <c r="D1098" s="65" t="str">
        <f>IFERROR(__xludf.DUMMYFUNCTION("""COMPUTED_VALUE"""),"02-02-2026")</f>
        <v>02-02-2026</v>
      </c>
      <c r="E1098" s="65" t="str">
        <f>IFERROR(__xludf.DUMMYFUNCTION("""COMPUTED_VALUE"""),"Martín Rivera")</f>
        <v>Martín Rivera</v>
      </c>
      <c r="F1098" s="65" t="str">
        <f>IFERROR(__xludf.DUMMYFUNCTION("""COMPUTED_VALUE"""),"995086452")</f>
        <v>995086452</v>
      </c>
      <c r="G1098" s="65" t="str">
        <f>IFERROR(__xludf.DUMMYFUNCTION("""COMPUTED_VALUE"""),"sanmarti21@gmail.com")</f>
        <v>sanmarti21@gmail.com</v>
      </c>
      <c r="H1098" s="65"/>
      <c r="I1098" s="65"/>
      <c r="J1098" s="65" t="str">
        <f>IFERROR(__xludf.DUMMYFUNCTION("""COMPUTED_VALUE"""),"D001291475")</f>
        <v>D001291475</v>
      </c>
      <c r="K1098" s="65" t="str">
        <f>IFERROR(__xludf.DUMMYFUNCTION("""COMPUTED_VALUE"""),"ENTREGADO")</f>
        <v>ENTREGADO</v>
      </c>
      <c r="L1098" s="65" t="str">
        <f>IFERROR(__xludf.DUMMYFUNCTION("""COMPUTED_VALUE"""),"CON RECAUDO")</f>
        <v>CON RECAUDO</v>
      </c>
      <c r="M1098" s="65" t="str">
        <f>IFERROR(__xludf.DUMMYFUNCTION("""COMPUTED_VALUE"""),"TUNGURAHUA")</f>
        <v>TUNGURAHUA</v>
      </c>
      <c r="N1098" s="65" t="str">
        <f>IFERROR(__xludf.DUMMYFUNCTION("""COMPUTED_VALUE"""),"AMBATO")</f>
        <v>AMBATO</v>
      </c>
      <c r="O1098" s="65" t="str">
        <f>IFERROR(__xludf.DUMMYFUNCTION("""COMPUTED_VALUE"""),"Augusto Naranjo y Pedro Vasconez A la vuelta de la Escuela Galo Miño -")</f>
        <v>Augusto Naranjo y Pedro Vasconez A la vuelta de la Escuela Galo Miño -</v>
      </c>
      <c r="P1098" s="65"/>
      <c r="Q1098" s="65" t="str">
        <f>IFERROR(__xludf.DUMMYFUNCTION("""COMPUTED_VALUE"""),"GINTRACOM")</f>
        <v>GINTRACOM</v>
      </c>
      <c r="R1098" s="65">
        <f>IFERROR(__xludf.DUMMYFUNCTION("""COMPUTED_VALUE"""),30.0)</f>
        <v>30</v>
      </c>
      <c r="S1098" s="65">
        <f>IFERROR(__xludf.DUMMYFUNCTION("""COMPUTED_VALUE"""),16.79)</f>
        <v>16.79</v>
      </c>
      <c r="T1098" s="65">
        <f>IFERROR(__xludf.DUMMYFUNCTION("""COMPUTED_VALUE"""),6.16)</f>
        <v>6.16</v>
      </c>
      <c r="U1098" s="65">
        <f>IFERROR(__xludf.DUMMYFUNCTION("""COMPUTED_VALUE"""),0.0)</f>
        <v>0</v>
      </c>
      <c r="V1098" s="65">
        <f>IFERROR(__xludf.DUMMYFUNCTION("""COMPUTED_VALUE"""),0.0)</f>
        <v>0</v>
      </c>
      <c r="W1098" s="65">
        <f>IFERROR(__xludf.DUMMYFUNCTION("""COMPUTED_VALUE"""),0.0)</f>
        <v>0</v>
      </c>
      <c r="X1098" s="65">
        <f>IFERROR(__xludf.DUMMYFUNCTION("""COMPUTED_VALUE"""),2.35)</f>
        <v>2.35</v>
      </c>
      <c r="Y1098" s="65">
        <f>IFERROR(__xludf.DUMMYFUNCTION("""COMPUTED_VALUE"""),7.05)</f>
        <v>7.05</v>
      </c>
      <c r="Z1098" s="65">
        <f>IFERROR(__xludf.DUMMYFUNCTION("""COMPUTED_VALUE"""),116679.0)</f>
        <v>116679</v>
      </c>
      <c r="AA1098" s="65" t="str">
        <f>IFERROR(__xludf.DUMMYFUNCTION("""COMPUTED_VALUE"""),"AMC-2738")</f>
        <v>AMC-2738</v>
      </c>
      <c r="AB1098" s="65"/>
      <c r="AC1098" s="65" t="str">
        <f>IFERROR(__xludf.DUMMYFUNCTION("""COMPUTED_VALUE"""),"ESPONJA ANTILLUVIA DE PARABRISAS")</f>
        <v>ESPONJA ANTILLUVIA DE PARABRISAS</v>
      </c>
      <c r="AD1098" s="65"/>
      <c r="AE1098" s="65">
        <f>IFERROR(__xludf.DUMMYFUNCTION("""COMPUTED_VALUE"""),3.0)</f>
        <v>3</v>
      </c>
      <c r="AF1098" s="65"/>
      <c r="AG1098" s="65"/>
      <c r="AH1098" s="65"/>
      <c r="AI1098" s="65"/>
      <c r="AJ1098" s="65"/>
      <c r="AK1098" s="65"/>
      <c r="AL1098" s="65"/>
      <c r="AM1098" s="65"/>
      <c r="AN1098" s="65"/>
      <c r="AO1098" s="65"/>
      <c r="AP1098" s="65"/>
      <c r="AQ1098" s="65"/>
      <c r="AR1098" s="65"/>
      <c r="AS1098" s="65"/>
      <c r="AT1098" s="65" t="str">
        <f>IFERROR(__xludf.DUMMYFUNCTION("""COMPUTED_VALUE"""),"SHOPIFY")</f>
        <v>SHOPIFY</v>
      </c>
      <c r="AU1098" s="65" t="str">
        <f>IFERROR(__xludf.DUMMYFUNCTION("""COMPUTED_VALUE"""),"IMPORTEX EC")</f>
        <v>IMPORTEX EC</v>
      </c>
      <c r="AV1098" s="65" t="str">
        <f>IFERROR(__xludf.DUMMYFUNCTION("""COMPUTED_VALUE"""),"6471017889836")</f>
        <v>6471017889836</v>
      </c>
      <c r="AW1098" s="65">
        <f>IFERROR(__xludf.DUMMYFUNCTION("""COMPUTED_VALUE"""),5811.0)</f>
        <v>5811</v>
      </c>
      <c r="AX1098" s="65"/>
      <c r="AY1098" s="65" t="str">
        <f>IFERROR(__xludf.DUMMYFUNCTION("""COMPUTED_VALUE"""),"03/02/2026")</f>
        <v>03/02/2026</v>
      </c>
      <c r="AZ1098" s="65"/>
      <c r="BA1098" s="65"/>
    </row>
    <row r="1099">
      <c r="A1099" s="65" t="str">
        <f>IFERROR(__xludf.DUMMYFUNCTION("""COMPUTED_VALUE"""),"27-03-2026")</f>
        <v>27-03-2026</v>
      </c>
      <c r="B1099" s="65">
        <f>IFERROR(__xludf.DUMMYFUNCTION("""COMPUTED_VALUE"""),4363187.0)</f>
        <v>4363187</v>
      </c>
      <c r="C1099" s="65" t="str">
        <f>IFERROR(__xludf.DUMMYFUNCTION("""COMPUTED_VALUE"""),"08:20")</f>
        <v>08:20</v>
      </c>
      <c r="D1099" s="65" t="str">
        <f>IFERROR(__xludf.DUMMYFUNCTION("""COMPUTED_VALUE"""),"02-02-2026")</f>
        <v>02-02-2026</v>
      </c>
      <c r="E1099" s="65" t="str">
        <f>IFERROR(__xludf.DUMMYFUNCTION("""COMPUTED_VALUE"""),"Jhon Burgos")</f>
        <v>Jhon Burgos</v>
      </c>
      <c r="F1099" s="65" t="str">
        <f>IFERROR(__xludf.DUMMYFUNCTION("""COMPUTED_VALUE"""),"989498157")</f>
        <v>989498157</v>
      </c>
      <c r="G1099" s="65" t="str">
        <f>IFERROR(__xludf.DUMMYFUNCTION("""COMPUTED_VALUE"""),"jhon.burgos.o@gmail.com")</f>
        <v>jhon.burgos.o@gmail.com</v>
      </c>
      <c r="H1099" s="65"/>
      <c r="I1099" s="65"/>
      <c r="J1099" s="65"/>
      <c r="K1099" s="65" t="str">
        <f>IFERROR(__xludf.DUMMYFUNCTION("""COMPUTED_VALUE"""),"RECHAZADO")</f>
        <v>RECHAZADO</v>
      </c>
      <c r="L1099" s="65" t="str">
        <f>IFERROR(__xludf.DUMMYFUNCTION("""COMPUTED_VALUE"""),"CON RECAUDO")</f>
        <v>CON RECAUDO</v>
      </c>
      <c r="M1099" s="65" t="str">
        <f>IFERROR(__xludf.DUMMYFUNCTION("""COMPUTED_VALUE"""),"GUAYAS")</f>
        <v>GUAYAS</v>
      </c>
      <c r="N1099" s="65" t="str">
        <f>IFERROR(__xludf.DUMMYFUNCTION("""COMPUTED_VALUE"""),"GUAYAQUIL")</f>
        <v>GUAYAQUIL</v>
      </c>
      <c r="O1099" s="65" t="str">
        <f>IFERROR(__xludf.DUMMYFUNCTION("""COMPUTED_VALUE"""),"C 45B s-o y 24 de mayo Sur-oeste batallón del suburbio - REFERENCIA : media cuadra de la estación de bus 🚐🚌 de la línea #34 cooperativa Eloy Alfaro")</f>
        <v>C 45B s-o y 24 de mayo Sur-oeste batallón del suburbio - REFERENCIA : media cuadra de la estación de bus 🚐🚌 de la línea #34 cooperativa Eloy Alfaro</v>
      </c>
      <c r="P1099" s="65"/>
      <c r="Q1099" s="65" t="str">
        <f>IFERROR(__xludf.DUMMYFUNCTION("""COMPUTED_VALUE"""),"GINTRACOM")</f>
        <v>GINTRACOM</v>
      </c>
      <c r="R1099" s="65">
        <f>IFERROR(__xludf.DUMMYFUNCTION("""COMPUTED_VALUE"""),27.0)</f>
        <v>27</v>
      </c>
      <c r="S1099" s="65"/>
      <c r="T1099" s="65">
        <f>IFERROR(__xludf.DUMMYFUNCTION("""COMPUTED_VALUE"""),4.42)</f>
        <v>4.42</v>
      </c>
      <c r="U1099" s="65">
        <f>IFERROR(__xludf.DUMMYFUNCTION("""COMPUTED_VALUE"""),0.0)</f>
        <v>0</v>
      </c>
      <c r="V1099" s="65">
        <f>IFERROR(__xludf.DUMMYFUNCTION("""COMPUTED_VALUE"""),0.0)</f>
        <v>0</v>
      </c>
      <c r="W1099" s="65">
        <f>IFERROR(__xludf.DUMMYFUNCTION("""COMPUTED_VALUE"""),0.0)</f>
        <v>0</v>
      </c>
      <c r="X1099" s="65">
        <f>IFERROR(__xludf.DUMMYFUNCTION("""COMPUTED_VALUE"""),2.6)</f>
        <v>2.6</v>
      </c>
      <c r="Y1099" s="65">
        <f>IFERROR(__xludf.DUMMYFUNCTION("""COMPUTED_VALUE"""),7.8)</f>
        <v>7.8</v>
      </c>
      <c r="Z1099" s="65">
        <f>IFERROR(__xludf.DUMMYFUNCTION("""COMPUTED_VALUE"""),121983.0)</f>
        <v>121983</v>
      </c>
      <c r="AA1099" s="65" t="str">
        <f>IFERROR(__xludf.DUMMYFUNCTION("""COMPUTED_VALUE"""),"PROV-CHLLCF")</f>
        <v>PROV-CHLLCF</v>
      </c>
      <c r="AB1099" s="65"/>
      <c r="AC1099" s="65" t="str">
        <f>IFERROR(__xludf.DUMMYFUNCTION("""COMPUTED_VALUE"""),"CUCHILLO PARA CHEF")</f>
        <v>CUCHILLO PARA CHEF</v>
      </c>
      <c r="AD1099" s="65"/>
      <c r="AE1099" s="65">
        <f>IFERROR(__xludf.DUMMYFUNCTION("""COMPUTED_VALUE"""),3.0)</f>
        <v>3</v>
      </c>
      <c r="AF1099" s="65"/>
      <c r="AG1099" s="65"/>
      <c r="AH1099" s="65"/>
      <c r="AI1099" s="65"/>
      <c r="AJ1099" s="65"/>
      <c r="AK1099" s="65"/>
      <c r="AL1099" s="65"/>
      <c r="AM1099" s="65"/>
      <c r="AN1099" s="65"/>
      <c r="AO1099" s="65"/>
      <c r="AP1099" s="65"/>
      <c r="AQ1099" s="65"/>
      <c r="AR1099" s="65"/>
      <c r="AS1099" s="65"/>
      <c r="AT1099" s="65" t="str">
        <f>IFERROR(__xludf.DUMMYFUNCTION("""COMPUTED_VALUE"""),"SHOPIFY")</f>
        <v>SHOPIFY</v>
      </c>
      <c r="AU1099" s="65" t="str">
        <f>IFERROR(__xludf.DUMMYFUNCTION("""COMPUTED_VALUE"""),"IMPORTEX EC")</f>
        <v>IMPORTEX EC</v>
      </c>
      <c r="AV1099" s="65" t="str">
        <f>IFERROR(__xludf.DUMMYFUNCTION("""COMPUTED_VALUE"""),"6470978437164")</f>
        <v>6470978437164</v>
      </c>
      <c r="AW1099" s="65">
        <f>IFERROR(__xludf.DUMMYFUNCTION("""COMPUTED_VALUE"""),5810.0)</f>
        <v>5810</v>
      </c>
      <c r="AX1099" s="65"/>
      <c r="AY1099" s="65"/>
      <c r="AZ1099" s="65"/>
      <c r="BA1099" s="65"/>
    </row>
    <row r="1100">
      <c r="A1100" s="65" t="str">
        <f>IFERROR(__xludf.DUMMYFUNCTION("""COMPUTED_VALUE"""),"27-03-2026")</f>
        <v>27-03-2026</v>
      </c>
      <c r="B1100" s="65">
        <f>IFERROR(__xludf.DUMMYFUNCTION("""COMPUTED_VALUE"""),4362954.0)</f>
        <v>4362954</v>
      </c>
      <c r="C1100" s="65" t="str">
        <f>IFERROR(__xludf.DUMMYFUNCTION("""COMPUTED_VALUE"""),"08:04")</f>
        <v>08:04</v>
      </c>
      <c r="D1100" s="65" t="str">
        <f>IFERROR(__xludf.DUMMYFUNCTION("""COMPUTED_VALUE"""),"02-02-2026")</f>
        <v>02-02-2026</v>
      </c>
      <c r="E1100" s="65" t="str">
        <f>IFERROR(__xludf.DUMMYFUNCTION("""COMPUTED_VALUE"""),"Daniela Pástor")</f>
        <v>Daniela Pástor</v>
      </c>
      <c r="F1100" s="65" t="str">
        <f>IFERROR(__xludf.DUMMYFUNCTION("""COMPUTED_VALUE"""),"987488022")</f>
        <v>987488022</v>
      </c>
      <c r="G1100" s="65" t="str">
        <f>IFERROR(__xludf.DUMMYFUNCTION("""COMPUTED_VALUE"""),"danielapastorl30@gmail.com")</f>
        <v>danielapastorl30@gmail.com</v>
      </c>
      <c r="H1100" s="65"/>
      <c r="I1100" s="65"/>
      <c r="J1100" s="65" t="str">
        <f>IFERROR(__xludf.DUMMYFUNCTION("""COMPUTED_VALUE"""),"D001294982")</f>
        <v>D001294982</v>
      </c>
      <c r="K1100" s="65" t="str">
        <f>IFERROR(__xludf.DUMMYFUNCTION("""COMPUTED_VALUE"""),"ENTREGADO")</f>
        <v>ENTREGADO</v>
      </c>
      <c r="L1100" s="65" t="str">
        <f>IFERROR(__xludf.DUMMYFUNCTION("""COMPUTED_VALUE"""),"CON RECAUDO")</f>
        <v>CON RECAUDO</v>
      </c>
      <c r="M1100" s="65" t="str">
        <f>IFERROR(__xludf.DUMMYFUNCTION("""COMPUTED_VALUE"""),"TUNGURAHUA")</f>
        <v>TUNGURAHUA</v>
      </c>
      <c r="N1100" s="65" t="str">
        <f>IFERROR(__xludf.DUMMYFUNCTION("""COMPUTED_VALUE"""),"AMBATO")</f>
        <v>AMBATO</v>
      </c>
      <c r="O1100" s="65" t="str">
        <f>IFERROR(__xludf.DUMMYFUNCTION("""COMPUTED_VALUE"""),"Av. Bolivariana Y San CristÓbal Junto A La Bodega De Helados PingÜino Entregar En Local Home Grass A tres cuadras más arriba de Khumo Tires en el Local de césped sintético Home Grass Importadora -")</f>
        <v>Av. Bolivariana Y San CristÓbal Junto A La Bodega De Helados PingÜino Entregar En Local Home Grass A tres cuadras más arriba de Khumo Tires en el Local de césped sintético Home Grass Importadora -</v>
      </c>
      <c r="P1100" s="65"/>
      <c r="Q1100" s="65" t="str">
        <f>IFERROR(__xludf.DUMMYFUNCTION("""COMPUTED_VALUE"""),"GINTRACOM")</f>
        <v>GINTRACOM</v>
      </c>
      <c r="R1100" s="65">
        <f>IFERROR(__xludf.DUMMYFUNCTION("""COMPUTED_VALUE"""),30.0)</f>
        <v>30</v>
      </c>
      <c r="S1100" s="65">
        <f>IFERROR(__xludf.DUMMYFUNCTION("""COMPUTED_VALUE"""),16.79)</f>
        <v>16.79</v>
      </c>
      <c r="T1100" s="65">
        <f>IFERROR(__xludf.DUMMYFUNCTION("""COMPUTED_VALUE"""),6.16)</f>
        <v>6.16</v>
      </c>
      <c r="U1100" s="65">
        <f>IFERROR(__xludf.DUMMYFUNCTION("""COMPUTED_VALUE"""),0.0)</f>
        <v>0</v>
      </c>
      <c r="V1100" s="65">
        <f>IFERROR(__xludf.DUMMYFUNCTION("""COMPUTED_VALUE"""),0.0)</f>
        <v>0</v>
      </c>
      <c r="W1100" s="65">
        <f>IFERROR(__xludf.DUMMYFUNCTION("""COMPUTED_VALUE"""),0.0)</f>
        <v>0</v>
      </c>
      <c r="X1100" s="65">
        <f>IFERROR(__xludf.DUMMYFUNCTION("""COMPUTED_VALUE"""),2.35)</f>
        <v>2.35</v>
      </c>
      <c r="Y1100" s="65">
        <f>IFERROR(__xludf.DUMMYFUNCTION("""COMPUTED_VALUE"""),7.05)</f>
        <v>7.05</v>
      </c>
      <c r="Z1100" s="65">
        <f>IFERROR(__xludf.DUMMYFUNCTION("""COMPUTED_VALUE"""),116679.0)</f>
        <v>116679</v>
      </c>
      <c r="AA1100" s="65" t="str">
        <f>IFERROR(__xludf.DUMMYFUNCTION("""COMPUTED_VALUE"""),"AMC-2738")</f>
        <v>AMC-2738</v>
      </c>
      <c r="AB1100" s="65"/>
      <c r="AC1100" s="65" t="str">
        <f>IFERROR(__xludf.DUMMYFUNCTION("""COMPUTED_VALUE"""),"ESPONJA ANTILLUVIA DE PARABRISAS")</f>
        <v>ESPONJA ANTILLUVIA DE PARABRISAS</v>
      </c>
      <c r="AD1100" s="65"/>
      <c r="AE1100" s="65">
        <f>IFERROR(__xludf.DUMMYFUNCTION("""COMPUTED_VALUE"""),3.0)</f>
        <v>3</v>
      </c>
      <c r="AF1100" s="65"/>
      <c r="AG1100" s="65"/>
      <c r="AH1100" s="65"/>
      <c r="AI1100" s="65"/>
      <c r="AJ1100" s="65"/>
      <c r="AK1100" s="65"/>
      <c r="AL1100" s="65"/>
      <c r="AM1100" s="65"/>
      <c r="AN1100" s="65" t="str">
        <f>IFERROR(__xludf.DUMMYFUNCTION("""COMPUTED_VALUE"""),"13:05")</f>
        <v>13:05</v>
      </c>
      <c r="AO1100" s="65" t="str">
        <f>IFERROR(__xludf.DUMMYFUNCTION("""COMPUTED_VALUE"""),"07-02-2026")</f>
        <v>07-02-2026</v>
      </c>
      <c r="AP1100" s="65" t="str">
        <f>IFERROR(__xludf.DUMMYFUNCTION("""COMPUTED_VALUE"""),"ENTREGADA GINTRACOM")</f>
        <v>ENTREGADA GINTRACOM</v>
      </c>
      <c r="AQ1100" s="65" t="str">
        <f>IFERROR(__xludf.DUMMYFUNCTION("""COMPUTED_VALUE"""),"ENTREGADA GINTRACOM")</f>
        <v>ENTREGADA GINTRACOM</v>
      </c>
      <c r="AR1100" s="65"/>
      <c r="AS1100" s="65"/>
      <c r="AT1100" s="65" t="str">
        <f>IFERROR(__xludf.DUMMYFUNCTION("""COMPUTED_VALUE"""),"SHOPIFY")</f>
        <v>SHOPIFY</v>
      </c>
      <c r="AU1100" s="65" t="str">
        <f>IFERROR(__xludf.DUMMYFUNCTION("""COMPUTED_VALUE"""),"IMPORTEX EC")</f>
        <v>IMPORTEX EC</v>
      </c>
      <c r="AV1100" s="65" t="str">
        <f>IFERROR(__xludf.DUMMYFUNCTION("""COMPUTED_VALUE"""),"6470956974124")</f>
        <v>6470956974124</v>
      </c>
      <c r="AW1100" s="65">
        <f>IFERROR(__xludf.DUMMYFUNCTION("""COMPUTED_VALUE"""),5809.0)</f>
        <v>5809</v>
      </c>
      <c r="AX1100" s="65"/>
      <c r="AY1100" s="65" t="str">
        <f>IFERROR(__xludf.DUMMYFUNCTION("""COMPUTED_VALUE"""),"04/02/2026")</f>
        <v>04/02/2026</v>
      </c>
      <c r="AZ1100" s="65"/>
      <c r="BA1100" s="65"/>
    </row>
    <row r="1101">
      <c r="A1101" s="65" t="str">
        <f>IFERROR(__xludf.DUMMYFUNCTION("""COMPUTED_VALUE"""),"27-03-2026")</f>
        <v>27-03-2026</v>
      </c>
      <c r="B1101" s="65">
        <f>IFERROR(__xludf.DUMMYFUNCTION("""COMPUTED_VALUE"""),4362938.0)</f>
        <v>4362938</v>
      </c>
      <c r="C1101" s="65" t="str">
        <f>IFERROR(__xludf.DUMMYFUNCTION("""COMPUTED_VALUE"""),"08:03")</f>
        <v>08:03</v>
      </c>
      <c r="D1101" s="65" t="str">
        <f>IFERROR(__xludf.DUMMYFUNCTION("""COMPUTED_VALUE"""),"02-02-2026")</f>
        <v>02-02-2026</v>
      </c>
      <c r="E1101" s="65" t="str">
        <f>IFERROR(__xludf.DUMMYFUNCTION("""COMPUTED_VALUE"""),"Wilman Galarraga")</f>
        <v>Wilman Galarraga</v>
      </c>
      <c r="F1101" s="65" t="str">
        <f>IFERROR(__xludf.DUMMYFUNCTION("""COMPUTED_VALUE"""),"989626074")</f>
        <v>989626074</v>
      </c>
      <c r="G1101" s="65" t="str">
        <f>IFERROR(__xludf.DUMMYFUNCTION("""COMPUTED_VALUE"""),"wilmangalarraga@gmail.com")</f>
        <v>wilmangalarraga@gmail.com</v>
      </c>
      <c r="H1101" s="65"/>
      <c r="I1101" s="65"/>
      <c r="J1101" s="65" t="str">
        <f>IFERROR(__xludf.DUMMYFUNCTION("""COMPUTED_VALUE"""),"D001295494")</f>
        <v>D001295494</v>
      </c>
      <c r="K1101" s="65" t="str">
        <f>IFERROR(__xludf.DUMMYFUNCTION("""COMPUTED_VALUE"""),"ENTREGADO")</f>
        <v>ENTREGADO</v>
      </c>
      <c r="L1101" s="65" t="str">
        <f>IFERROR(__xludf.DUMMYFUNCTION("""COMPUTED_VALUE"""),"CON RECAUDO")</f>
        <v>CON RECAUDO</v>
      </c>
      <c r="M1101" s="65" t="str">
        <f>IFERROR(__xludf.DUMMYFUNCTION("""COMPUTED_VALUE"""),"IMBABURA")</f>
        <v>IMBABURA</v>
      </c>
      <c r="N1101" s="65" t="str">
        <f>IFERROR(__xludf.DUMMYFUNCTION("""COMPUTED_VALUE"""),"ATUNTAQUI")</f>
        <v>ATUNTAQUI</v>
      </c>
      <c r="O1101" s="65" t="str">
        <f>IFERROR(__xludf.DUMMYFUNCTION("""COMPUTED_VALUE"""),"Bolivar y Marco Mantilla s/n Barrio santo Domingo - REF : esquina Rótulo grande dice Confecciones Natalia")</f>
        <v>Bolivar y Marco Mantilla s/n Barrio santo Domingo - REF : esquina Rótulo grande dice Confecciones Natalia</v>
      </c>
      <c r="P1101" s="65"/>
      <c r="Q1101" s="65" t="str">
        <f>IFERROR(__xludf.DUMMYFUNCTION("""COMPUTED_VALUE"""),"GINTRACOM")</f>
        <v>GINTRACOM</v>
      </c>
      <c r="R1101" s="65">
        <f>IFERROR(__xludf.DUMMYFUNCTION("""COMPUTED_VALUE"""),19.99)</f>
        <v>19.99</v>
      </c>
      <c r="S1101" s="65">
        <f>IFERROR(__xludf.DUMMYFUNCTION("""COMPUTED_VALUE"""),8.67)</f>
        <v>8.67</v>
      </c>
      <c r="T1101" s="65">
        <f>IFERROR(__xludf.DUMMYFUNCTION("""COMPUTED_VALUE"""),6.32)</f>
        <v>6.32</v>
      </c>
      <c r="U1101" s="65">
        <f>IFERROR(__xludf.DUMMYFUNCTION("""COMPUTED_VALUE"""),0.0)</f>
        <v>0</v>
      </c>
      <c r="V1101" s="65">
        <f>IFERROR(__xludf.DUMMYFUNCTION("""COMPUTED_VALUE"""),0.0)</f>
        <v>0</v>
      </c>
      <c r="W1101" s="65">
        <f>IFERROR(__xludf.DUMMYFUNCTION("""COMPUTED_VALUE"""),0.0)</f>
        <v>0</v>
      </c>
      <c r="X1101" s="65">
        <f>IFERROR(__xludf.DUMMYFUNCTION("""COMPUTED_VALUE"""),5.0)</f>
        <v>5</v>
      </c>
      <c r="Y1101" s="65">
        <f>IFERROR(__xludf.DUMMYFUNCTION("""COMPUTED_VALUE"""),5.0)</f>
        <v>5</v>
      </c>
      <c r="Z1101" s="65">
        <f>IFERROR(__xludf.DUMMYFUNCTION("""COMPUTED_VALUE"""),110064.0)</f>
        <v>110064</v>
      </c>
      <c r="AA1101" s="65" t="str">
        <f>IFERROR(__xludf.DUMMYFUNCTION("""COMPUTED_VALUE"""),"IMX-00001")</f>
        <v>IMX-00001</v>
      </c>
      <c r="AB1101" s="65"/>
      <c r="AC1101" s="65" t="str">
        <f>IFERROR(__xludf.DUMMYFUNCTION("""COMPUTED_VALUE"""),"LLAVE TRINQUETE")</f>
        <v>LLAVE TRINQUETE</v>
      </c>
      <c r="AD1101" s="65"/>
      <c r="AE1101" s="65">
        <f>IFERROR(__xludf.DUMMYFUNCTION("""COMPUTED_VALUE"""),1.0)</f>
        <v>1</v>
      </c>
      <c r="AF1101" s="65"/>
      <c r="AG1101" s="65"/>
      <c r="AH1101" s="65"/>
      <c r="AI1101" s="65"/>
      <c r="AJ1101" s="65"/>
      <c r="AK1101" s="65"/>
      <c r="AL1101" s="65"/>
      <c r="AM1101" s="65"/>
      <c r="AN1101" s="65" t="str">
        <f>IFERROR(__xludf.DUMMYFUNCTION("""COMPUTED_VALUE"""),"01:30")</f>
        <v>01:30</v>
      </c>
      <c r="AO1101" s="65" t="str">
        <f>IFERROR(__xludf.DUMMYFUNCTION("""COMPUTED_VALUE"""),"07-02-2026")</f>
        <v>07-02-2026</v>
      </c>
      <c r="AP1101" s="65" t="str">
        <f>IFERROR(__xludf.DUMMYFUNCTION("""COMPUTED_VALUE"""),"ENTREGADA GINTRACOM")</f>
        <v>ENTREGADA GINTRACOM</v>
      </c>
      <c r="AQ1101" s="65" t="str">
        <f>IFERROR(__xludf.DUMMYFUNCTION("""COMPUTED_VALUE"""),"ENTREGADA GINTRACOM")</f>
        <v>ENTREGADA GINTRACOM</v>
      </c>
      <c r="AR1101" s="65"/>
      <c r="AS1101" s="65"/>
      <c r="AT1101" s="65" t="str">
        <f>IFERROR(__xludf.DUMMYFUNCTION("""COMPUTED_VALUE"""),"SHOPIFY")</f>
        <v>SHOPIFY</v>
      </c>
      <c r="AU1101" s="65" t="str">
        <f>IFERROR(__xludf.DUMMYFUNCTION("""COMPUTED_VALUE"""),"IMPORTEX EC")</f>
        <v>IMPORTEX EC</v>
      </c>
      <c r="AV1101" s="65" t="str">
        <f>IFERROR(__xludf.DUMMYFUNCTION("""COMPUTED_VALUE"""),"6470955696172")</f>
        <v>6470955696172</v>
      </c>
      <c r="AW1101" s="65">
        <f>IFERROR(__xludf.DUMMYFUNCTION("""COMPUTED_VALUE"""),5808.0)</f>
        <v>5808</v>
      </c>
      <c r="AX1101" s="65"/>
      <c r="AY1101" s="65" t="str">
        <f>IFERROR(__xludf.DUMMYFUNCTION("""COMPUTED_VALUE"""),"04/02/2026")</f>
        <v>04/02/2026</v>
      </c>
      <c r="AZ1101" s="65"/>
      <c r="BA1101" s="65"/>
    </row>
    <row r="1102">
      <c r="A1102" s="65" t="str">
        <f>IFERROR(__xludf.DUMMYFUNCTION("""COMPUTED_VALUE"""),"27-03-2026")</f>
        <v>27-03-2026</v>
      </c>
      <c r="B1102" s="65">
        <f>IFERROR(__xludf.DUMMYFUNCTION("""COMPUTED_VALUE"""),4362434.0)</f>
        <v>4362434</v>
      </c>
      <c r="C1102" s="65" t="str">
        <f>IFERROR(__xludf.DUMMYFUNCTION("""COMPUTED_VALUE"""),"07:21")</f>
        <v>07:21</v>
      </c>
      <c r="D1102" s="65" t="str">
        <f>IFERROR(__xludf.DUMMYFUNCTION("""COMPUTED_VALUE"""),"02-02-2026")</f>
        <v>02-02-2026</v>
      </c>
      <c r="E1102" s="65" t="str">
        <f>IFERROR(__xludf.DUMMYFUNCTION("""COMPUTED_VALUE"""),"Jose Carrillo Cedeño")</f>
        <v>Jose Carrillo Cedeño</v>
      </c>
      <c r="F1102" s="65" t="str">
        <f>IFERROR(__xludf.DUMMYFUNCTION("""COMPUTED_VALUE"""),"992777624")</f>
        <v>992777624</v>
      </c>
      <c r="G1102" s="65" t="str">
        <f>IFERROR(__xludf.DUMMYFUNCTION("""COMPUTED_VALUE"""),"vengamor71@gmail.com")</f>
        <v>vengamor71@gmail.com</v>
      </c>
      <c r="H1102" s="65"/>
      <c r="I1102" s="65"/>
      <c r="J1102" s="65"/>
      <c r="K1102" s="65" t="str">
        <f>IFERROR(__xludf.DUMMYFUNCTION("""COMPUTED_VALUE"""),"PENDIENTE CONFIRMACION")</f>
        <v>PENDIENTE CONFIRMACION</v>
      </c>
      <c r="L1102" s="65" t="str">
        <f>IFERROR(__xludf.DUMMYFUNCTION("""COMPUTED_VALUE"""),"CON RECAUDO")</f>
        <v>CON RECAUDO</v>
      </c>
      <c r="M1102" s="65" t="str">
        <f>IFERROR(__xludf.DUMMYFUNCTION("""COMPUTED_VALUE"""),"TUNGURAHUA")</f>
        <v>TUNGURAHUA</v>
      </c>
      <c r="N1102" s="65" t="str">
        <f>IFERROR(__xludf.DUMMYFUNCTION("""COMPUTED_VALUE"""),"PELILEO")</f>
        <v>PELILEO</v>
      </c>
      <c r="O1102" s="65" t="str">
        <f>IFERROR(__xludf.DUMMYFUNCTION("""COMPUTED_VALUE"""),"Faustino Domingo Sarmiento Y galo, plaza con Heriberto Álvarez -")</f>
        <v>Faustino Domingo Sarmiento Y galo, plaza con Heriberto Álvarez -</v>
      </c>
      <c r="P1102" s="65"/>
      <c r="Q1102" s="65" t="str">
        <f>IFERROR(__xludf.DUMMYFUNCTION("""COMPUTED_VALUE"""),"GINTRACOM")</f>
        <v>GINTRACOM</v>
      </c>
      <c r="R1102" s="65">
        <f>IFERROR(__xludf.DUMMYFUNCTION("""COMPUTED_VALUE"""),22.0)</f>
        <v>22</v>
      </c>
      <c r="S1102" s="65"/>
      <c r="T1102" s="65">
        <f>IFERROR(__xludf.DUMMYFUNCTION("""COMPUTED_VALUE"""),6.41)</f>
        <v>6.41</v>
      </c>
      <c r="U1102" s="65">
        <f>IFERROR(__xludf.DUMMYFUNCTION("""COMPUTED_VALUE"""),0.0)</f>
        <v>0</v>
      </c>
      <c r="V1102" s="65">
        <f>IFERROR(__xludf.DUMMYFUNCTION("""COMPUTED_VALUE"""),0.0)</f>
        <v>0</v>
      </c>
      <c r="W1102" s="65">
        <f>IFERROR(__xludf.DUMMYFUNCTION("""COMPUTED_VALUE"""),0.0)</f>
        <v>0</v>
      </c>
      <c r="X1102" s="65">
        <f>IFERROR(__xludf.DUMMYFUNCTION("""COMPUTED_VALUE"""),2.6)</f>
        <v>2.6</v>
      </c>
      <c r="Y1102" s="65">
        <f>IFERROR(__xludf.DUMMYFUNCTION("""COMPUTED_VALUE"""),5.2)</f>
        <v>5.2</v>
      </c>
      <c r="Z1102" s="65">
        <f>IFERROR(__xludf.DUMMYFUNCTION("""COMPUTED_VALUE"""),121983.0)</f>
        <v>121983</v>
      </c>
      <c r="AA1102" s="65" t="str">
        <f>IFERROR(__xludf.DUMMYFUNCTION("""COMPUTED_VALUE"""),"PROV-CHLLCF")</f>
        <v>PROV-CHLLCF</v>
      </c>
      <c r="AB1102" s="65"/>
      <c r="AC1102" s="65" t="str">
        <f>IFERROR(__xludf.DUMMYFUNCTION("""COMPUTED_VALUE"""),"CUCHILLO PARA CHEF")</f>
        <v>CUCHILLO PARA CHEF</v>
      </c>
      <c r="AD1102" s="65"/>
      <c r="AE1102" s="65">
        <f>IFERROR(__xludf.DUMMYFUNCTION("""COMPUTED_VALUE"""),2.0)</f>
        <v>2</v>
      </c>
      <c r="AF1102" s="65"/>
      <c r="AG1102" s="65"/>
      <c r="AH1102" s="65"/>
      <c r="AI1102" s="65"/>
      <c r="AJ1102" s="65"/>
      <c r="AK1102" s="65"/>
      <c r="AL1102" s="65"/>
      <c r="AM1102" s="65"/>
      <c r="AN1102" s="65"/>
      <c r="AO1102" s="65"/>
      <c r="AP1102" s="65"/>
      <c r="AQ1102" s="65"/>
      <c r="AR1102" s="65"/>
      <c r="AS1102" s="65"/>
      <c r="AT1102" s="65" t="str">
        <f>IFERROR(__xludf.DUMMYFUNCTION("""COMPUTED_VALUE"""),"SHOPIFY")</f>
        <v>SHOPIFY</v>
      </c>
      <c r="AU1102" s="65" t="str">
        <f>IFERROR(__xludf.DUMMYFUNCTION("""COMPUTED_VALUE"""),"IMPORTEX EC")</f>
        <v>IMPORTEX EC</v>
      </c>
      <c r="AV1102" s="65" t="str">
        <f>IFERROR(__xludf.DUMMYFUNCTION("""COMPUTED_VALUE"""),"6470873055276")</f>
        <v>6470873055276</v>
      </c>
      <c r="AW1102" s="65">
        <f>IFERROR(__xludf.DUMMYFUNCTION("""COMPUTED_VALUE"""),5807.0)</f>
        <v>5807</v>
      </c>
      <c r="AX1102" s="65"/>
      <c r="AY1102" s="65"/>
      <c r="AZ1102" s="65"/>
      <c r="BA1102" s="65"/>
    </row>
    <row r="1103">
      <c r="A1103" s="65" t="str">
        <f>IFERROR(__xludf.DUMMYFUNCTION("""COMPUTED_VALUE"""),"27-03-2026")</f>
        <v>27-03-2026</v>
      </c>
      <c r="B1103" s="65">
        <f>IFERROR(__xludf.DUMMYFUNCTION("""COMPUTED_VALUE"""),4362190.0)</f>
        <v>4362190</v>
      </c>
      <c r="C1103" s="65" t="str">
        <f>IFERROR(__xludf.DUMMYFUNCTION("""COMPUTED_VALUE"""),"07:01")</f>
        <v>07:01</v>
      </c>
      <c r="D1103" s="65" t="str">
        <f>IFERROR(__xludf.DUMMYFUNCTION("""COMPUTED_VALUE"""),"02-02-2026")</f>
        <v>02-02-2026</v>
      </c>
      <c r="E1103" s="65" t="str">
        <f>IFERROR(__xludf.DUMMYFUNCTION("""COMPUTED_VALUE"""),"Manuel Moreira")</f>
        <v>Manuel Moreira</v>
      </c>
      <c r="F1103" s="65" t="str">
        <f>IFERROR(__xludf.DUMMYFUNCTION("""COMPUTED_VALUE"""),"995259666")</f>
        <v>995259666</v>
      </c>
      <c r="G1103" s="65" t="str">
        <f>IFERROR(__xludf.DUMMYFUNCTION("""COMPUTED_VALUE"""),"manuelmm89@gmail.com")</f>
        <v>manuelmm89@gmail.com</v>
      </c>
      <c r="H1103" s="65"/>
      <c r="I1103" s="65"/>
      <c r="J1103" s="65" t="str">
        <f>IFERROR(__xludf.DUMMYFUNCTION("""COMPUTED_VALUE"""),"D001290764")</f>
        <v>D001290764</v>
      </c>
      <c r="K1103" s="65" t="str">
        <f>IFERROR(__xludf.DUMMYFUNCTION("""COMPUTED_VALUE"""),"DEVOLUCION")</f>
        <v>DEVOLUCION</v>
      </c>
      <c r="L1103" s="65" t="str">
        <f>IFERROR(__xludf.DUMMYFUNCTION("""COMPUTED_VALUE"""),"CON RECAUDO")</f>
        <v>CON RECAUDO</v>
      </c>
      <c r="M1103" s="65" t="str">
        <f>IFERROR(__xludf.DUMMYFUNCTION("""COMPUTED_VALUE"""),"MANABI")</f>
        <v>MANABI</v>
      </c>
      <c r="N1103" s="65" t="str">
        <f>IFERROR(__xludf.DUMMYFUNCTION("""COMPUTED_VALUE"""),"MANTA")</f>
        <v>MANTA</v>
      </c>
      <c r="O1103" s="65" t="str">
        <f>IFERROR(__xludf.DUMMYFUNCTION("""COMPUTED_VALUE"""),"Calle 7 y avenida Malecón Edificio CNEL EP - Mezanine 2 La.emoresa eléctrica")</f>
        <v>Calle 7 y avenida Malecón Edificio CNEL EP - Mezanine 2 La.emoresa eléctrica</v>
      </c>
      <c r="P1103" s="65"/>
      <c r="Q1103" s="65" t="str">
        <f>IFERROR(__xludf.DUMMYFUNCTION("""COMPUTED_VALUE"""),"GINTRACOM")</f>
        <v>GINTRACOM</v>
      </c>
      <c r="R1103" s="65">
        <f>IFERROR(__xludf.DUMMYFUNCTION("""COMPUTED_VALUE"""),22.0)</f>
        <v>22</v>
      </c>
      <c r="S1103" s="65"/>
      <c r="T1103" s="65">
        <f>IFERROR(__xludf.DUMMYFUNCTION("""COMPUTED_VALUE"""),5.84)</f>
        <v>5.84</v>
      </c>
      <c r="U1103" s="65">
        <f>IFERROR(__xludf.DUMMYFUNCTION("""COMPUTED_VALUE"""),0.0)</f>
        <v>0</v>
      </c>
      <c r="V1103" s="65">
        <f>IFERROR(__xludf.DUMMYFUNCTION("""COMPUTED_VALUE"""),0.0)</f>
        <v>0</v>
      </c>
      <c r="W1103" s="65">
        <f>IFERROR(__xludf.DUMMYFUNCTION("""COMPUTED_VALUE"""),0.0)</f>
        <v>0</v>
      </c>
      <c r="X1103" s="65">
        <f>IFERROR(__xludf.DUMMYFUNCTION("""COMPUTED_VALUE"""),2.6)</f>
        <v>2.6</v>
      </c>
      <c r="Y1103" s="65">
        <f>IFERROR(__xludf.DUMMYFUNCTION("""COMPUTED_VALUE"""),5.2)</f>
        <v>5.2</v>
      </c>
      <c r="Z1103" s="65">
        <f>IFERROR(__xludf.DUMMYFUNCTION("""COMPUTED_VALUE"""),121983.0)</f>
        <v>121983</v>
      </c>
      <c r="AA1103" s="65" t="str">
        <f>IFERROR(__xludf.DUMMYFUNCTION("""COMPUTED_VALUE"""),"PROV-CHLLCF")</f>
        <v>PROV-CHLLCF</v>
      </c>
      <c r="AB1103" s="65"/>
      <c r="AC1103" s="65" t="str">
        <f>IFERROR(__xludf.DUMMYFUNCTION("""COMPUTED_VALUE"""),"CUCHILLO PARA CHEF")</f>
        <v>CUCHILLO PARA CHEF</v>
      </c>
      <c r="AD1103" s="65"/>
      <c r="AE1103" s="65">
        <f>IFERROR(__xludf.DUMMYFUNCTION("""COMPUTED_VALUE"""),2.0)</f>
        <v>2</v>
      </c>
      <c r="AF1103" s="65" t="str">
        <f>IFERROR(__xludf.DUMMYFUNCTION("""COMPUTED_VALUE"""),"DESTINATARIO INDICA QUE ESTÁ INCONFORME CON EL PRODUCTO. (NO RECIBE)")</f>
        <v>DESTINATARIO INDICA QUE ESTÁ INCONFORME CON EL PRODUCTO. (NO RECIBE)</v>
      </c>
      <c r="AG1103" s="65" t="str">
        <f>IFERROR(__xludf.DUMMYFUNCTION("""COMPUTED_VALUE"""),"NO")</f>
        <v>NO</v>
      </c>
      <c r="AH1103" s="65" t="str">
        <f>IFERROR(__xludf.DUMMYFUNCTION("""COMPUTED_VALUE"""),"16:30")</f>
        <v>16:30</v>
      </c>
      <c r="AI1103" s="65" t="str">
        <f>IFERROR(__xludf.DUMMYFUNCTION("""COMPUTED_VALUE"""),"05-02-2026")</f>
        <v>05-02-2026</v>
      </c>
      <c r="AJ1103" s="65"/>
      <c r="AK1103" s="65"/>
      <c r="AL1103" s="65"/>
      <c r="AM1103" s="65"/>
      <c r="AN1103" s="65" t="str">
        <f>IFERROR(__xludf.DUMMYFUNCTION("""COMPUTED_VALUE"""),"01:37")</f>
        <v>01:37</v>
      </c>
      <c r="AO1103" s="65" t="str">
        <f>IFERROR(__xludf.DUMMYFUNCTION("""COMPUTED_VALUE"""),"06-03-2026")</f>
        <v>06-03-2026</v>
      </c>
      <c r="AP1103" s="65" t="str">
        <f>IFERROR(__xludf.DUMMYFUNCTION("""COMPUTED_VALUE"""),"DEVOLUCIÓN ENTREGADA A ORIGEN")</f>
        <v>DEVOLUCIÓN ENTREGADA A ORIGEN</v>
      </c>
      <c r="AQ1103" s="65" t="str">
        <f>IFERROR(__xludf.DUMMYFUNCTION("""COMPUTED_VALUE"""),"DEVOLUCIÓN ENTREGADA A ORIGEN")</f>
        <v>DEVOLUCIÓN ENTREGADA A ORIGEN</v>
      </c>
      <c r="AR1103" s="65"/>
      <c r="AS1103" s="65"/>
      <c r="AT1103" s="65" t="str">
        <f>IFERROR(__xludf.DUMMYFUNCTION("""COMPUTED_VALUE"""),"SHOPIFY")</f>
        <v>SHOPIFY</v>
      </c>
      <c r="AU1103" s="65" t="str">
        <f>IFERROR(__xludf.DUMMYFUNCTION("""COMPUTED_VALUE"""),"IMPORTEX EC")</f>
        <v>IMPORTEX EC</v>
      </c>
      <c r="AV1103" s="65" t="str">
        <f>IFERROR(__xludf.DUMMYFUNCTION("""COMPUTED_VALUE"""),"6470835241004")</f>
        <v>6470835241004</v>
      </c>
      <c r="AW1103" s="65">
        <f>IFERROR(__xludf.DUMMYFUNCTION("""COMPUTED_VALUE"""),5806.0)</f>
        <v>5806</v>
      </c>
      <c r="AX1103" s="65"/>
      <c r="AY1103" s="65" t="str">
        <f>IFERROR(__xludf.DUMMYFUNCTION("""COMPUTED_VALUE"""),"03/02/2026")</f>
        <v>03/02/2026</v>
      </c>
      <c r="AZ1103" s="65"/>
      <c r="BA1103" s="65"/>
    </row>
    <row r="1104">
      <c r="A1104" s="65" t="str">
        <f>IFERROR(__xludf.DUMMYFUNCTION("""COMPUTED_VALUE"""),"27-03-2026")</f>
        <v>27-03-2026</v>
      </c>
      <c r="B1104" s="65">
        <f>IFERROR(__xludf.DUMMYFUNCTION("""COMPUTED_VALUE"""),4361987.0)</f>
        <v>4361987</v>
      </c>
      <c r="C1104" s="65" t="str">
        <f>IFERROR(__xludf.DUMMYFUNCTION("""COMPUTED_VALUE"""),"06:51")</f>
        <v>06:51</v>
      </c>
      <c r="D1104" s="65" t="str">
        <f>IFERROR(__xludf.DUMMYFUNCTION("""COMPUTED_VALUE"""),"02-02-2026")</f>
        <v>02-02-2026</v>
      </c>
      <c r="E1104" s="65" t="str">
        <f>IFERROR(__xludf.DUMMYFUNCTION("""COMPUTED_VALUE"""),"Rocio Analuisa")</f>
        <v>Rocio Analuisa</v>
      </c>
      <c r="F1104" s="65" t="str">
        <f>IFERROR(__xludf.DUMMYFUNCTION("""COMPUTED_VALUE"""),"995515532")</f>
        <v>995515532</v>
      </c>
      <c r="G1104" s="65" t="str">
        <f>IFERROR(__xludf.DUMMYFUNCTION("""COMPUTED_VALUE"""),"ranaluisa.76@gmail.com")</f>
        <v>ranaluisa.76@gmail.com</v>
      </c>
      <c r="H1104" s="65"/>
      <c r="I1104" s="65"/>
      <c r="J1104" s="65" t="str">
        <f>IFERROR(__xludf.DUMMYFUNCTION("""COMPUTED_VALUE"""),"D001291478")</f>
        <v>D001291478</v>
      </c>
      <c r="K1104" s="65" t="str">
        <f>IFERROR(__xludf.DUMMYFUNCTION("""COMPUTED_VALUE"""),"ENTREGADO")</f>
        <v>ENTREGADO</v>
      </c>
      <c r="L1104" s="65" t="str">
        <f>IFERROR(__xludf.DUMMYFUNCTION("""COMPUTED_VALUE"""),"CON RECAUDO")</f>
        <v>CON RECAUDO</v>
      </c>
      <c r="M1104" s="65" t="str">
        <f>IFERROR(__xludf.DUMMYFUNCTION("""COMPUTED_VALUE"""),"PICHINCHA")</f>
        <v>PICHINCHA</v>
      </c>
      <c r="N1104" s="65" t="str">
        <f>IFERROR(__xludf.DUMMYFUNCTION("""COMPUTED_VALUE"""),"SANGOLQUI")</f>
        <v>SANGOLQUI</v>
      </c>
      <c r="O1104" s="65" t="str">
        <f>IFERROR(__xludf.DUMMYFUNCTION("""COMPUTED_VALUE"""),"Sangolqui, av el Inca y Concepción Fajardo Lavadora de autos -")</f>
        <v>Sangolqui, av el Inca y Concepción Fajardo Lavadora de autos -</v>
      </c>
      <c r="P1104" s="65"/>
      <c r="Q1104" s="65" t="str">
        <f>IFERROR(__xludf.DUMMYFUNCTION("""COMPUTED_VALUE"""),"GINTRACOM")</f>
        <v>GINTRACOM</v>
      </c>
      <c r="R1104" s="65">
        <f>IFERROR(__xludf.DUMMYFUNCTION("""COMPUTED_VALUE"""),30.0)</f>
        <v>30</v>
      </c>
      <c r="S1104" s="65">
        <f>IFERROR(__xludf.DUMMYFUNCTION("""COMPUTED_VALUE"""),17.83)</f>
        <v>17.83</v>
      </c>
      <c r="T1104" s="65">
        <f>IFERROR(__xludf.DUMMYFUNCTION("""COMPUTED_VALUE"""),5.12)</f>
        <v>5.12</v>
      </c>
      <c r="U1104" s="65">
        <f>IFERROR(__xludf.DUMMYFUNCTION("""COMPUTED_VALUE"""),0.0)</f>
        <v>0</v>
      </c>
      <c r="V1104" s="65">
        <f>IFERROR(__xludf.DUMMYFUNCTION("""COMPUTED_VALUE"""),0.0)</f>
        <v>0</v>
      </c>
      <c r="W1104" s="65">
        <f>IFERROR(__xludf.DUMMYFUNCTION("""COMPUTED_VALUE"""),0.0)</f>
        <v>0</v>
      </c>
      <c r="X1104" s="65">
        <f>IFERROR(__xludf.DUMMYFUNCTION("""COMPUTED_VALUE"""),2.35)</f>
        <v>2.35</v>
      </c>
      <c r="Y1104" s="65">
        <f>IFERROR(__xludf.DUMMYFUNCTION("""COMPUTED_VALUE"""),7.05)</f>
        <v>7.05</v>
      </c>
      <c r="Z1104" s="65">
        <f>IFERROR(__xludf.DUMMYFUNCTION("""COMPUTED_VALUE"""),116679.0)</f>
        <v>116679</v>
      </c>
      <c r="AA1104" s="65" t="str">
        <f>IFERROR(__xludf.DUMMYFUNCTION("""COMPUTED_VALUE"""),"AMC-2738")</f>
        <v>AMC-2738</v>
      </c>
      <c r="AB1104" s="65"/>
      <c r="AC1104" s="65" t="str">
        <f>IFERROR(__xludf.DUMMYFUNCTION("""COMPUTED_VALUE"""),"ESPONJA ANTILLUVIA DE PARABRISAS")</f>
        <v>ESPONJA ANTILLUVIA DE PARABRISAS</v>
      </c>
      <c r="AD1104" s="65"/>
      <c r="AE1104" s="65">
        <f>IFERROR(__xludf.DUMMYFUNCTION("""COMPUTED_VALUE"""),3.0)</f>
        <v>3</v>
      </c>
      <c r="AF1104" s="65"/>
      <c r="AG1104" s="65"/>
      <c r="AH1104" s="65"/>
      <c r="AI1104" s="65"/>
      <c r="AJ1104" s="65"/>
      <c r="AK1104" s="65"/>
      <c r="AL1104" s="65"/>
      <c r="AM1104" s="65"/>
      <c r="AN1104" s="65" t="str">
        <f>IFERROR(__xludf.DUMMYFUNCTION("""COMPUTED_VALUE"""),"14:35")</f>
        <v>14:35</v>
      </c>
      <c r="AO1104" s="65" t="str">
        <f>IFERROR(__xludf.DUMMYFUNCTION("""COMPUTED_VALUE"""),"07-02-2026")</f>
        <v>07-02-2026</v>
      </c>
      <c r="AP1104" s="65" t="str">
        <f>IFERROR(__xludf.DUMMYFUNCTION("""COMPUTED_VALUE"""),"ENTREGADA GINTRACOM")</f>
        <v>ENTREGADA GINTRACOM</v>
      </c>
      <c r="AQ1104" s="65" t="str">
        <f>IFERROR(__xludf.DUMMYFUNCTION("""COMPUTED_VALUE"""),"ENTREGADA GINTRACOM")</f>
        <v>ENTREGADA GINTRACOM</v>
      </c>
      <c r="AR1104" s="65"/>
      <c r="AS1104" s="65"/>
      <c r="AT1104" s="65" t="str">
        <f>IFERROR(__xludf.DUMMYFUNCTION("""COMPUTED_VALUE"""),"SHOPIFY")</f>
        <v>SHOPIFY</v>
      </c>
      <c r="AU1104" s="65" t="str">
        <f>IFERROR(__xludf.DUMMYFUNCTION("""COMPUTED_VALUE"""),"IMPORTEX EC")</f>
        <v>IMPORTEX EC</v>
      </c>
      <c r="AV1104" s="65" t="str">
        <f>IFERROR(__xludf.DUMMYFUNCTION("""COMPUTED_VALUE"""),"6470814138412")</f>
        <v>6470814138412</v>
      </c>
      <c r="AW1104" s="65">
        <f>IFERROR(__xludf.DUMMYFUNCTION("""COMPUTED_VALUE"""),5805.0)</f>
        <v>5805</v>
      </c>
      <c r="AX1104" s="65"/>
      <c r="AY1104" s="65" t="str">
        <f>IFERROR(__xludf.DUMMYFUNCTION("""COMPUTED_VALUE"""),"03/02/2026")</f>
        <v>03/02/2026</v>
      </c>
      <c r="AZ1104" s="65"/>
      <c r="BA1104" s="65"/>
    </row>
    <row r="1105">
      <c r="A1105" s="65" t="str">
        <f>IFERROR(__xludf.DUMMYFUNCTION("""COMPUTED_VALUE"""),"27-03-2026")</f>
        <v>27-03-2026</v>
      </c>
      <c r="B1105" s="65">
        <f>IFERROR(__xludf.DUMMYFUNCTION("""COMPUTED_VALUE"""),4361648.0)</f>
        <v>4361648</v>
      </c>
      <c r="C1105" s="65" t="str">
        <f>IFERROR(__xludf.DUMMYFUNCTION("""COMPUTED_VALUE"""),"06:01")</f>
        <v>06:01</v>
      </c>
      <c r="D1105" s="65" t="str">
        <f>IFERROR(__xludf.DUMMYFUNCTION("""COMPUTED_VALUE"""),"02-02-2026")</f>
        <v>02-02-2026</v>
      </c>
      <c r="E1105" s="65" t="str">
        <f>IFERROR(__xludf.DUMMYFUNCTION("""COMPUTED_VALUE"""),"Avelino Herman Villon")</f>
        <v>Avelino Herman Villon</v>
      </c>
      <c r="F1105" s="65" t="str">
        <f>IFERROR(__xludf.DUMMYFUNCTION("""COMPUTED_VALUE"""),"999414485")</f>
        <v>999414485</v>
      </c>
      <c r="G1105" s="65" t="str">
        <f>IFERROR(__xludf.DUMMYFUNCTION("""COMPUTED_VALUE"""),"hermanvillongut@hotmail.com")</f>
        <v>hermanvillongut@hotmail.com</v>
      </c>
      <c r="H1105" s="65"/>
      <c r="I1105" s="65"/>
      <c r="J1105" s="65" t="str">
        <f>IFERROR(__xludf.DUMMYFUNCTION("""COMPUTED_VALUE"""),"186994733")</f>
        <v>186994733</v>
      </c>
      <c r="K1105" s="65" t="str">
        <f>IFERROR(__xludf.DUMMYFUNCTION("""COMPUTED_VALUE"""),"ENTREGADO")</f>
        <v>ENTREGADO</v>
      </c>
      <c r="L1105" s="65" t="str">
        <f>IFERROR(__xludf.DUMMYFUNCTION("""COMPUTED_VALUE"""),"CON RECAUDO")</f>
        <v>CON RECAUDO</v>
      </c>
      <c r="M1105" s="65" t="str">
        <f>IFERROR(__xludf.DUMMYFUNCTION("""COMPUTED_VALUE"""),"GUAYAS")</f>
        <v>GUAYAS</v>
      </c>
      <c r="N1105" s="65" t="str">
        <f>IFERROR(__xludf.DUMMYFUNCTION("""COMPUTED_VALUE"""),"CERECITA")</f>
        <v>CERECITA</v>
      </c>
      <c r="O1105" s="65" t="str">
        <f>IFERROR(__xludf.DUMMYFUNCTION("""COMPUTED_VALUE"""),"Calle principal recinto Cerecita barrio San Jacinto Ingreso a la escuela Carlos Camacho Navarro , Diagonal a la lubricadora Bermúdez")</f>
        <v>Calle principal recinto Cerecita barrio San Jacinto Ingreso a la escuela Carlos Camacho Navarro , Diagonal a la lubricadora Bermúdez</v>
      </c>
      <c r="P1105" s="65"/>
      <c r="Q1105" s="65" t="str">
        <f>IFERROR(__xludf.DUMMYFUNCTION("""COMPUTED_VALUE"""),"SERVIENTREGA")</f>
        <v>SERVIENTREGA</v>
      </c>
      <c r="R1105" s="65">
        <f>IFERROR(__xludf.DUMMYFUNCTION("""COMPUTED_VALUE"""),22.0)</f>
        <v>22</v>
      </c>
      <c r="S1105" s="65">
        <f>IFERROR(__xludf.DUMMYFUNCTION("""COMPUTED_VALUE"""),9.1)</f>
        <v>9.1</v>
      </c>
      <c r="T1105" s="65">
        <f>IFERROR(__xludf.DUMMYFUNCTION("""COMPUTED_VALUE"""),7.7)</f>
        <v>7.7</v>
      </c>
      <c r="U1105" s="65">
        <f>IFERROR(__xludf.DUMMYFUNCTION("""COMPUTED_VALUE"""),0.0)</f>
        <v>0</v>
      </c>
      <c r="V1105" s="65">
        <f>IFERROR(__xludf.DUMMYFUNCTION("""COMPUTED_VALUE"""),0.0)</f>
        <v>0</v>
      </c>
      <c r="W1105" s="65">
        <f>IFERROR(__xludf.DUMMYFUNCTION("""COMPUTED_VALUE"""),0.0)</f>
        <v>0</v>
      </c>
      <c r="X1105" s="65">
        <f>IFERROR(__xludf.DUMMYFUNCTION("""COMPUTED_VALUE"""),2.6)</f>
        <v>2.6</v>
      </c>
      <c r="Y1105" s="65">
        <f>IFERROR(__xludf.DUMMYFUNCTION("""COMPUTED_VALUE"""),5.2)</f>
        <v>5.2</v>
      </c>
      <c r="Z1105" s="65">
        <f>IFERROR(__xludf.DUMMYFUNCTION("""COMPUTED_VALUE"""),121983.0)</f>
        <v>121983</v>
      </c>
      <c r="AA1105" s="65" t="str">
        <f>IFERROR(__xludf.DUMMYFUNCTION("""COMPUTED_VALUE"""),"PROV-CHLLCF")</f>
        <v>PROV-CHLLCF</v>
      </c>
      <c r="AB1105" s="65"/>
      <c r="AC1105" s="65" t="str">
        <f>IFERROR(__xludf.DUMMYFUNCTION("""COMPUTED_VALUE"""),"CUCHILLO PARA CHEF")</f>
        <v>CUCHILLO PARA CHEF</v>
      </c>
      <c r="AD1105" s="65"/>
      <c r="AE1105" s="65">
        <f>IFERROR(__xludf.DUMMYFUNCTION("""COMPUTED_VALUE"""),2.0)</f>
        <v>2</v>
      </c>
      <c r="AF1105" s="65"/>
      <c r="AG1105" s="65"/>
      <c r="AH1105" s="65"/>
      <c r="AI1105" s="65"/>
      <c r="AJ1105" s="65"/>
      <c r="AK1105" s="65"/>
      <c r="AL1105" s="65"/>
      <c r="AM1105" s="65"/>
      <c r="AN1105" s="65" t="str">
        <f>IFERROR(__xludf.DUMMYFUNCTION("""COMPUTED_VALUE"""),"22:42")</f>
        <v>22:42</v>
      </c>
      <c r="AO1105" s="65" t="str">
        <f>IFERROR(__xludf.DUMMYFUNCTION("""COMPUTED_VALUE"""),"02-03-2026")</f>
        <v>02-03-2026</v>
      </c>
      <c r="AP1105" s="65" t="str">
        <f>IFERROR(__xludf.DUMMYFUNCTION("""COMPUTED_VALUE"""),"ENTREGA DIGITALIZADA EN CENTRO LOGISTICO")</f>
        <v>ENTREGA DIGITALIZADA EN CENTRO LOGISTICO</v>
      </c>
      <c r="AQ1105" s="65" t="str">
        <f>IFERROR(__xludf.DUMMYFUNCTION("""COMPUTED_VALUE"""),"Avelino villón")</f>
        <v>Avelino villón</v>
      </c>
      <c r="AR1105" s="65"/>
      <c r="AS1105" s="65"/>
      <c r="AT1105" s="65" t="str">
        <f>IFERROR(__xludf.DUMMYFUNCTION("""COMPUTED_VALUE"""),"SHOPIFY")</f>
        <v>SHOPIFY</v>
      </c>
      <c r="AU1105" s="65" t="str">
        <f>IFERROR(__xludf.DUMMYFUNCTION("""COMPUTED_VALUE"""),"IMPORTEX EC")</f>
        <v>IMPORTEX EC</v>
      </c>
      <c r="AV1105" s="65" t="str">
        <f>IFERROR(__xludf.DUMMYFUNCTION("""COMPUTED_VALUE"""),"6470773997612")</f>
        <v>6470773997612</v>
      </c>
      <c r="AW1105" s="65">
        <f>IFERROR(__xludf.DUMMYFUNCTION("""COMPUTED_VALUE"""),5804.0)</f>
        <v>5804</v>
      </c>
      <c r="AX1105" s="65"/>
      <c r="AY1105" s="65" t="str">
        <f>IFERROR(__xludf.DUMMYFUNCTION("""COMPUTED_VALUE"""),"03/02/2026")</f>
        <v>03/02/2026</v>
      </c>
      <c r="AZ1105" s="65"/>
      <c r="BA1105" s="65"/>
    </row>
    <row r="1106">
      <c r="A1106" s="65" t="str">
        <f>IFERROR(__xludf.DUMMYFUNCTION("""COMPUTED_VALUE"""),"27-03-2026")</f>
        <v>27-03-2026</v>
      </c>
      <c r="B1106" s="65">
        <f>IFERROR(__xludf.DUMMYFUNCTION("""COMPUTED_VALUE"""),4361504.0)</f>
        <v>4361504</v>
      </c>
      <c r="C1106" s="65" t="str">
        <f>IFERROR(__xludf.DUMMYFUNCTION("""COMPUTED_VALUE"""),"05:19")</f>
        <v>05:19</v>
      </c>
      <c r="D1106" s="65" t="str">
        <f>IFERROR(__xludf.DUMMYFUNCTION("""COMPUTED_VALUE"""),"02-02-2026")</f>
        <v>02-02-2026</v>
      </c>
      <c r="E1106" s="65" t="str">
        <f>IFERROR(__xludf.DUMMYFUNCTION("""COMPUTED_VALUE"""),"Pablo Velastegui")</f>
        <v>Pablo Velastegui</v>
      </c>
      <c r="F1106" s="65" t="str">
        <f>IFERROR(__xludf.DUMMYFUNCTION("""COMPUTED_VALUE"""),"990938244")</f>
        <v>990938244</v>
      </c>
      <c r="G1106" s="65" t="str">
        <f>IFERROR(__xludf.DUMMYFUNCTION("""COMPUTED_VALUE"""),"pablovelastegui1979@yahoo.com")</f>
        <v>pablovelastegui1979@yahoo.com</v>
      </c>
      <c r="H1106" s="65"/>
      <c r="I1106" s="65"/>
      <c r="J1106" s="65" t="str">
        <f>IFERROR(__xludf.DUMMYFUNCTION("""COMPUTED_VALUE"""),"D001290797")</f>
        <v>D001290797</v>
      </c>
      <c r="K1106" s="65" t="str">
        <f>IFERROR(__xludf.DUMMYFUNCTION("""COMPUTED_VALUE"""),"DEVOLUCION")</f>
        <v>DEVOLUCION</v>
      </c>
      <c r="L1106" s="65" t="str">
        <f>IFERROR(__xludf.DUMMYFUNCTION("""COMPUTED_VALUE"""),"CON RECAUDO")</f>
        <v>CON RECAUDO</v>
      </c>
      <c r="M1106" s="65" t="str">
        <f>IFERROR(__xludf.DUMMYFUNCTION("""COMPUTED_VALUE"""),"GUAYAS")</f>
        <v>GUAYAS</v>
      </c>
      <c r="N1106" s="65" t="str">
        <f>IFERROR(__xludf.DUMMYFUNCTION("""COMPUTED_VALUE"""),"MILAGRO")</f>
        <v>MILAGRO</v>
      </c>
      <c r="O1106" s="65" t="str">
        <f>IFERROR(__xludf.DUMMYFUNCTION("""COMPUTED_VALUE"""),"Gral Montero y Gral Paez Cdla el porvenir -")</f>
        <v>Gral Montero y Gral Paez Cdla el porvenir -</v>
      </c>
      <c r="P1106" s="65"/>
      <c r="Q1106" s="65" t="str">
        <f>IFERROR(__xludf.DUMMYFUNCTION("""COMPUTED_VALUE"""),"GINTRACOM")</f>
        <v>GINTRACOM</v>
      </c>
      <c r="R1106" s="65">
        <f>IFERROR(__xludf.DUMMYFUNCTION("""COMPUTED_VALUE"""),28.0)</f>
        <v>28</v>
      </c>
      <c r="S1106" s="65"/>
      <c r="T1106" s="65">
        <f>IFERROR(__xludf.DUMMYFUNCTION("""COMPUTED_VALUE"""),6.08)</f>
        <v>6.08</v>
      </c>
      <c r="U1106" s="65">
        <f>IFERROR(__xludf.DUMMYFUNCTION("""COMPUTED_VALUE"""),0.0)</f>
        <v>0</v>
      </c>
      <c r="V1106" s="65">
        <f>IFERROR(__xludf.DUMMYFUNCTION("""COMPUTED_VALUE"""),0.0)</f>
        <v>0</v>
      </c>
      <c r="W1106" s="65">
        <f>IFERROR(__xludf.DUMMYFUNCTION("""COMPUTED_VALUE"""),0.0)</f>
        <v>0</v>
      </c>
      <c r="X1106" s="65">
        <f>IFERROR(__xludf.DUMMYFUNCTION("""COMPUTED_VALUE"""),5.0)</f>
        <v>5</v>
      </c>
      <c r="Y1106" s="65">
        <f>IFERROR(__xludf.DUMMYFUNCTION("""COMPUTED_VALUE"""),10.0)</f>
        <v>10</v>
      </c>
      <c r="Z1106" s="65">
        <f>IFERROR(__xludf.DUMMYFUNCTION("""COMPUTED_VALUE"""),110064.0)</f>
        <v>110064</v>
      </c>
      <c r="AA1106" s="65" t="str">
        <f>IFERROR(__xludf.DUMMYFUNCTION("""COMPUTED_VALUE"""),"IMX-00001")</f>
        <v>IMX-00001</v>
      </c>
      <c r="AB1106" s="65"/>
      <c r="AC1106" s="65" t="str">
        <f>IFERROR(__xludf.DUMMYFUNCTION("""COMPUTED_VALUE"""),"LLAVE TRINQUETE")</f>
        <v>LLAVE TRINQUETE</v>
      </c>
      <c r="AD1106" s="65"/>
      <c r="AE1106" s="65">
        <f>IFERROR(__xludf.DUMMYFUNCTION("""COMPUTED_VALUE"""),2.0)</f>
        <v>2</v>
      </c>
      <c r="AF1106" s="65" t="str">
        <f>IFERROR(__xludf.DUMMYFUNCTION("""COMPUTED_VALUE"""),"DESTINATARIO NO CONTESTA LLAMADAS NI WHATSAPP")</f>
        <v>DESTINATARIO NO CONTESTA LLAMADAS NI WHATSAPP</v>
      </c>
      <c r="AG1106" s="65" t="str">
        <f>IFERROR(__xludf.DUMMYFUNCTION("""COMPUTED_VALUE"""),"NO")</f>
        <v>NO</v>
      </c>
      <c r="AH1106" s="65" t="str">
        <f>IFERROR(__xludf.DUMMYFUNCTION("""COMPUTED_VALUE"""),"16:49")</f>
        <v>16:49</v>
      </c>
      <c r="AI1106" s="65" t="str">
        <f>IFERROR(__xludf.DUMMYFUNCTION("""COMPUTED_VALUE"""),"12-02-2026")</f>
        <v>12-02-2026</v>
      </c>
      <c r="AJ1106" s="65"/>
      <c r="AK1106" s="65"/>
      <c r="AL1106" s="65"/>
      <c r="AM1106" s="65"/>
      <c r="AN1106" s="65" t="str">
        <f>IFERROR(__xludf.DUMMYFUNCTION("""COMPUTED_VALUE"""),"15:52")</f>
        <v>15:52</v>
      </c>
      <c r="AO1106" s="65" t="str">
        <f>IFERROR(__xludf.DUMMYFUNCTION("""COMPUTED_VALUE"""),"02-03-2026")</f>
        <v>02-03-2026</v>
      </c>
      <c r="AP1106" s="65" t="str">
        <f>IFERROR(__xludf.DUMMYFUNCTION("""COMPUTED_VALUE"""),"DEVOLUCIÓN ENTREGADA A ORIGEN")</f>
        <v>DEVOLUCIÓN ENTREGADA A ORIGEN</v>
      </c>
      <c r="AQ1106" s="65" t="str">
        <f>IFERROR(__xludf.DUMMYFUNCTION("""COMPUTED_VALUE"""),"DEVOLUCIÓN ENTREGADA A ORIGEN")</f>
        <v>DEVOLUCIÓN ENTREGADA A ORIGEN</v>
      </c>
      <c r="AR1106" s="65"/>
      <c r="AS1106" s="65"/>
      <c r="AT1106" s="65" t="str">
        <f>IFERROR(__xludf.DUMMYFUNCTION("""COMPUTED_VALUE"""),"SHOPIFY")</f>
        <v>SHOPIFY</v>
      </c>
      <c r="AU1106" s="65" t="str">
        <f>IFERROR(__xludf.DUMMYFUNCTION("""COMPUTED_VALUE"""),"IMPORTEX EC")</f>
        <v>IMPORTEX EC</v>
      </c>
      <c r="AV1106" s="65" t="str">
        <f>IFERROR(__xludf.DUMMYFUNCTION("""COMPUTED_VALUE"""),"6470673203244")</f>
        <v>6470673203244</v>
      </c>
      <c r="AW1106" s="65">
        <f>IFERROR(__xludf.DUMMYFUNCTION("""COMPUTED_VALUE"""),5803.0)</f>
        <v>5803</v>
      </c>
      <c r="AX1106" s="65"/>
      <c r="AY1106" s="65" t="str">
        <f>IFERROR(__xludf.DUMMYFUNCTION("""COMPUTED_VALUE"""),"03/02/2026")</f>
        <v>03/02/2026</v>
      </c>
      <c r="AZ1106" s="65"/>
      <c r="BA1106" s="65"/>
    </row>
    <row r="1107">
      <c r="A1107" s="65" t="str">
        <f>IFERROR(__xludf.DUMMYFUNCTION("""COMPUTED_VALUE"""),"27-03-2026")</f>
        <v>27-03-2026</v>
      </c>
      <c r="B1107" s="65">
        <f>IFERROR(__xludf.DUMMYFUNCTION("""COMPUTED_VALUE"""),4361137.0)</f>
        <v>4361137</v>
      </c>
      <c r="C1107" s="65" t="str">
        <f>IFERROR(__xludf.DUMMYFUNCTION("""COMPUTED_VALUE"""),"02:03")</f>
        <v>02:03</v>
      </c>
      <c r="D1107" s="65" t="str">
        <f>IFERROR(__xludf.DUMMYFUNCTION("""COMPUTED_VALUE"""),"02-02-2026")</f>
        <v>02-02-2026</v>
      </c>
      <c r="E1107" s="65" t="str">
        <f>IFERROR(__xludf.DUMMYFUNCTION("""COMPUTED_VALUE"""),"Jorge Portilla")</f>
        <v>Jorge Portilla</v>
      </c>
      <c r="F1107" s="65" t="str">
        <f>IFERROR(__xludf.DUMMYFUNCTION("""COMPUTED_VALUE"""),"999646105")</f>
        <v>999646105</v>
      </c>
      <c r="G1107" s="65" t="str">
        <f>IFERROR(__xludf.DUMMYFUNCTION("""COMPUTED_VALUE"""),"jorge_portilla@outlook.es")</f>
        <v>jorge_portilla@outlook.es</v>
      </c>
      <c r="H1107" s="65"/>
      <c r="I1107" s="65"/>
      <c r="J1107" s="65"/>
      <c r="K1107" s="65" t="str">
        <f>IFERROR(__xludf.DUMMYFUNCTION("""COMPUTED_VALUE"""),"PENDIENTE CONFIRMACION")</f>
        <v>PENDIENTE CONFIRMACION</v>
      </c>
      <c r="L1107" s="65" t="str">
        <f>IFERROR(__xludf.DUMMYFUNCTION("""COMPUTED_VALUE"""),"CON RECAUDO")</f>
        <v>CON RECAUDO</v>
      </c>
      <c r="M1107" s="65" t="str">
        <f>IFERROR(__xludf.DUMMYFUNCTION("""COMPUTED_VALUE"""),"GUAYAS")</f>
        <v>GUAYAS</v>
      </c>
      <c r="N1107" s="65" t="str">
        <f>IFERROR(__xludf.DUMMYFUNCTION("""COMPUTED_VALUE"""),"GUAYAQUIL")</f>
        <v>GUAYAQUIL</v>
      </c>
      <c r="O1107" s="65" t="str">
        <f>IFERROR(__xludf.DUMMYFUNCTION("""COMPUTED_VALUE"""),"Sauces 9 mz L1 - villa 8 Tarqui -")</f>
        <v>Sauces 9 mz L1 - villa 8 Tarqui -</v>
      </c>
      <c r="P1107" s="65"/>
      <c r="Q1107" s="65" t="str">
        <f>IFERROR(__xludf.DUMMYFUNCTION("""COMPUTED_VALUE"""),"GINTRACOM")</f>
        <v>GINTRACOM</v>
      </c>
      <c r="R1107" s="65">
        <f>IFERROR(__xludf.DUMMYFUNCTION("""COMPUTED_VALUE"""),28.0)</f>
        <v>28</v>
      </c>
      <c r="S1107" s="65"/>
      <c r="T1107" s="65">
        <f>IFERROR(__xludf.DUMMYFUNCTION("""COMPUTED_VALUE"""),6.08)</f>
        <v>6.08</v>
      </c>
      <c r="U1107" s="65">
        <f>IFERROR(__xludf.DUMMYFUNCTION("""COMPUTED_VALUE"""),0.0)</f>
        <v>0</v>
      </c>
      <c r="V1107" s="65">
        <f>IFERROR(__xludf.DUMMYFUNCTION("""COMPUTED_VALUE"""),0.0)</f>
        <v>0</v>
      </c>
      <c r="W1107" s="65">
        <f>IFERROR(__xludf.DUMMYFUNCTION("""COMPUTED_VALUE"""),0.0)</f>
        <v>0</v>
      </c>
      <c r="X1107" s="65">
        <f>IFERROR(__xludf.DUMMYFUNCTION("""COMPUTED_VALUE"""),5.0)</f>
        <v>5</v>
      </c>
      <c r="Y1107" s="65">
        <f>IFERROR(__xludf.DUMMYFUNCTION("""COMPUTED_VALUE"""),10.0)</f>
        <v>10</v>
      </c>
      <c r="Z1107" s="65">
        <f>IFERROR(__xludf.DUMMYFUNCTION("""COMPUTED_VALUE"""),110064.0)</f>
        <v>110064</v>
      </c>
      <c r="AA1107" s="65" t="str">
        <f>IFERROR(__xludf.DUMMYFUNCTION("""COMPUTED_VALUE"""),"IMX-00001")</f>
        <v>IMX-00001</v>
      </c>
      <c r="AB1107" s="65"/>
      <c r="AC1107" s="65" t="str">
        <f>IFERROR(__xludf.DUMMYFUNCTION("""COMPUTED_VALUE"""),"LLAVE TRINQUETE")</f>
        <v>LLAVE TRINQUETE</v>
      </c>
      <c r="AD1107" s="65"/>
      <c r="AE1107" s="65">
        <f>IFERROR(__xludf.DUMMYFUNCTION("""COMPUTED_VALUE"""),2.0)</f>
        <v>2</v>
      </c>
      <c r="AF1107" s="65"/>
      <c r="AG1107" s="65"/>
      <c r="AH1107" s="65"/>
      <c r="AI1107" s="65"/>
      <c r="AJ1107" s="65"/>
      <c r="AK1107" s="65"/>
      <c r="AL1107" s="65"/>
      <c r="AM1107" s="65"/>
      <c r="AN1107" s="65"/>
      <c r="AO1107" s="65"/>
      <c r="AP1107" s="65"/>
      <c r="AQ1107" s="65"/>
      <c r="AR1107" s="65"/>
      <c r="AS1107" s="65"/>
      <c r="AT1107" s="65" t="str">
        <f>IFERROR(__xludf.DUMMYFUNCTION("""COMPUTED_VALUE"""),"SHOPIFY")</f>
        <v>SHOPIFY</v>
      </c>
      <c r="AU1107" s="65" t="str">
        <f>IFERROR(__xludf.DUMMYFUNCTION("""COMPUTED_VALUE"""),"IMPORTEX EC")</f>
        <v>IMPORTEX EC</v>
      </c>
      <c r="AV1107" s="65" t="str">
        <f>IFERROR(__xludf.DUMMYFUNCTION("""COMPUTED_VALUE"""),"6470429212716")</f>
        <v>6470429212716</v>
      </c>
      <c r="AW1107" s="65">
        <f>IFERROR(__xludf.DUMMYFUNCTION("""COMPUTED_VALUE"""),5802.0)</f>
        <v>5802</v>
      </c>
      <c r="AX1107" s="65"/>
      <c r="AY1107" s="65"/>
      <c r="AZ1107" s="65"/>
      <c r="BA1107" s="65"/>
    </row>
    <row r="1108">
      <c r="A1108" s="65" t="str">
        <f>IFERROR(__xludf.DUMMYFUNCTION("""COMPUTED_VALUE"""),"27-03-2026")</f>
        <v>27-03-2026</v>
      </c>
      <c r="B1108" s="65">
        <f>IFERROR(__xludf.DUMMYFUNCTION("""COMPUTED_VALUE"""),4360777.0)</f>
        <v>4360777</v>
      </c>
      <c r="C1108" s="65" t="str">
        <f>IFERROR(__xludf.DUMMYFUNCTION("""COMPUTED_VALUE"""),"00:40")</f>
        <v>00:40</v>
      </c>
      <c r="D1108" s="65" t="str">
        <f>IFERROR(__xludf.DUMMYFUNCTION("""COMPUTED_VALUE"""),"02-02-2026")</f>
        <v>02-02-2026</v>
      </c>
      <c r="E1108" s="65" t="str">
        <f>IFERROR(__xludf.DUMMYFUNCTION("""COMPUTED_VALUE"""),"Ronald Duque")</f>
        <v>Ronald Duque</v>
      </c>
      <c r="F1108" s="65" t="str">
        <f>IFERROR(__xludf.DUMMYFUNCTION("""COMPUTED_VALUE"""),"968686996")</f>
        <v>968686996</v>
      </c>
      <c r="G1108" s="65" t="str">
        <f>IFERROR(__xludf.DUMMYFUNCTION("""COMPUTED_VALUE"""),"ronalds0827@gmail.com")</f>
        <v>ronalds0827@gmail.com</v>
      </c>
      <c r="H1108" s="65"/>
      <c r="I1108" s="65"/>
      <c r="J1108" s="65" t="str">
        <f>IFERROR(__xludf.DUMMYFUNCTION("""COMPUTED_VALUE"""),"D001285344")</f>
        <v>D001285344</v>
      </c>
      <c r="K1108" s="65" t="str">
        <f>IFERROR(__xludf.DUMMYFUNCTION("""COMPUTED_VALUE"""),"ENTREGADO")</f>
        <v>ENTREGADO</v>
      </c>
      <c r="L1108" s="65" t="str">
        <f>IFERROR(__xludf.DUMMYFUNCTION("""COMPUTED_VALUE"""),"CON RECAUDO")</f>
        <v>CON RECAUDO</v>
      </c>
      <c r="M1108" s="65" t="str">
        <f>IFERROR(__xludf.DUMMYFUNCTION("""COMPUTED_VALUE"""),"LOS RIOS")</f>
        <v>LOS RIOS</v>
      </c>
      <c r="N1108" s="65" t="str">
        <f>IFERROR(__xludf.DUMMYFUNCTION("""COMPUTED_VALUE"""),"QUEVEDO")</f>
        <v>QUEVEDO</v>
      </c>
      <c r="O1108" s="65" t="str">
        <f>IFERROR(__xludf.DUMMYFUNCTION("""COMPUTED_VALUE"""),"Bolivar y cuarta Centro - Al lado de dollar store Es un almacen de ropa")</f>
        <v>Bolivar y cuarta Centro - Al lado de dollar store Es un almacen de ropa</v>
      </c>
      <c r="P1108" s="65"/>
      <c r="Q1108" s="65" t="str">
        <f>IFERROR(__xludf.DUMMYFUNCTION("""COMPUTED_VALUE"""),"GINTRACOM")</f>
        <v>GINTRACOM</v>
      </c>
      <c r="R1108" s="65">
        <f>IFERROR(__xludf.DUMMYFUNCTION("""COMPUTED_VALUE"""),25.0)</f>
        <v>25</v>
      </c>
      <c r="S1108" s="65">
        <f>IFERROR(__xludf.DUMMYFUNCTION("""COMPUTED_VALUE"""),14.34)</f>
        <v>14.34</v>
      </c>
      <c r="T1108" s="65">
        <f>IFERROR(__xludf.DUMMYFUNCTION("""COMPUTED_VALUE"""),5.96)</f>
        <v>5.96</v>
      </c>
      <c r="U1108" s="65">
        <f>IFERROR(__xludf.DUMMYFUNCTION("""COMPUTED_VALUE"""),0.0)</f>
        <v>0</v>
      </c>
      <c r="V1108" s="65">
        <f>IFERROR(__xludf.DUMMYFUNCTION("""COMPUTED_VALUE"""),0.0)</f>
        <v>0</v>
      </c>
      <c r="W1108" s="65">
        <f>IFERROR(__xludf.DUMMYFUNCTION("""COMPUTED_VALUE"""),0.0)</f>
        <v>0</v>
      </c>
      <c r="X1108" s="65">
        <f>IFERROR(__xludf.DUMMYFUNCTION("""COMPUTED_VALUE"""),2.35)</f>
        <v>2.35</v>
      </c>
      <c r="Y1108" s="65">
        <f>IFERROR(__xludf.DUMMYFUNCTION("""COMPUTED_VALUE"""),4.7)</f>
        <v>4.7</v>
      </c>
      <c r="Z1108" s="65">
        <f>IFERROR(__xludf.DUMMYFUNCTION("""COMPUTED_VALUE"""),116679.0)</f>
        <v>116679</v>
      </c>
      <c r="AA1108" s="65" t="str">
        <f>IFERROR(__xludf.DUMMYFUNCTION("""COMPUTED_VALUE"""),"AMC-2738")</f>
        <v>AMC-2738</v>
      </c>
      <c r="AB1108" s="65"/>
      <c r="AC1108" s="65" t="str">
        <f>IFERROR(__xludf.DUMMYFUNCTION("""COMPUTED_VALUE"""),"ESPONJA ANTILLUVIA DE PARABRISAS")</f>
        <v>ESPONJA ANTILLUVIA DE PARABRISAS</v>
      </c>
      <c r="AD1108" s="65"/>
      <c r="AE1108" s="65">
        <f>IFERROR(__xludf.DUMMYFUNCTION("""COMPUTED_VALUE"""),2.0)</f>
        <v>2</v>
      </c>
      <c r="AF1108" s="65"/>
      <c r="AG1108" s="65"/>
      <c r="AH1108" s="65"/>
      <c r="AI1108" s="65"/>
      <c r="AJ1108" s="65"/>
      <c r="AK1108" s="65"/>
      <c r="AL1108" s="65"/>
      <c r="AM1108" s="65"/>
      <c r="AN1108" s="65" t="str">
        <f>IFERROR(__xludf.DUMMYFUNCTION("""COMPUTED_VALUE"""),"19:45")</f>
        <v>19:45</v>
      </c>
      <c r="AO1108" s="65" t="str">
        <f>IFERROR(__xludf.DUMMYFUNCTION("""COMPUTED_VALUE"""),"06-02-2026")</f>
        <v>06-02-2026</v>
      </c>
      <c r="AP1108" s="65" t="str">
        <f>IFERROR(__xludf.DUMMYFUNCTION("""COMPUTED_VALUE"""),"ENTREGADA GINTRACOM")</f>
        <v>ENTREGADA GINTRACOM</v>
      </c>
      <c r="AQ1108" s="65" t="str">
        <f>IFERROR(__xludf.DUMMYFUNCTION("""COMPUTED_VALUE"""),"ENTREGADA GINTRACOM")</f>
        <v>ENTREGADA GINTRACOM</v>
      </c>
      <c r="AR1108" s="65"/>
      <c r="AS1108" s="65"/>
      <c r="AT1108" s="65" t="str">
        <f>IFERROR(__xludf.DUMMYFUNCTION("""COMPUTED_VALUE"""),"SHOPIFY")</f>
        <v>SHOPIFY</v>
      </c>
      <c r="AU1108" s="65" t="str">
        <f>IFERROR(__xludf.DUMMYFUNCTION("""COMPUTED_VALUE"""),"IMPORTEX EC")</f>
        <v>IMPORTEX EC</v>
      </c>
      <c r="AV1108" s="65" t="str">
        <f>IFERROR(__xludf.DUMMYFUNCTION("""COMPUTED_VALUE"""),"6470338183212")</f>
        <v>6470338183212</v>
      </c>
      <c r="AW1108" s="65">
        <f>IFERROR(__xludf.DUMMYFUNCTION("""COMPUTED_VALUE"""),5801.0)</f>
        <v>5801</v>
      </c>
      <c r="AX1108" s="65"/>
      <c r="AY1108" s="65" t="str">
        <f>IFERROR(__xludf.DUMMYFUNCTION("""COMPUTED_VALUE"""),"02/02/2026")</f>
        <v>02/02/2026</v>
      </c>
      <c r="AZ1108" s="65"/>
      <c r="BA1108" s="65"/>
    </row>
    <row r="1109">
      <c r="A1109" s="65" t="str">
        <f>IFERROR(__xludf.DUMMYFUNCTION("""COMPUTED_VALUE"""),"27-03-2026")</f>
        <v>27-03-2026</v>
      </c>
      <c r="B1109" s="65">
        <f>IFERROR(__xludf.DUMMYFUNCTION("""COMPUTED_VALUE"""),4360690.0)</f>
        <v>4360690</v>
      </c>
      <c r="C1109" s="65" t="str">
        <f>IFERROR(__xludf.DUMMYFUNCTION("""COMPUTED_VALUE"""),"00:29")</f>
        <v>00:29</v>
      </c>
      <c r="D1109" s="65" t="str">
        <f>IFERROR(__xludf.DUMMYFUNCTION("""COMPUTED_VALUE"""),"02-02-2026")</f>
        <v>02-02-2026</v>
      </c>
      <c r="E1109" s="65" t="str">
        <f>IFERROR(__xludf.DUMMYFUNCTION("""COMPUTED_VALUE"""),"Marino Alexis RESTREPO ARCILA")</f>
        <v>Marino Alexis RESTREPO ARCILA</v>
      </c>
      <c r="F1109" s="65" t="str">
        <f>IFERROR(__xludf.DUMMYFUNCTION("""COMPUTED_VALUE"""),"984645032")</f>
        <v>984645032</v>
      </c>
      <c r="G1109" s="65" t="str">
        <f>IFERROR(__xludf.DUMMYFUNCTION("""COMPUTED_VALUE"""),"alexisrestrepo400@gmail.com")</f>
        <v>alexisrestrepo400@gmail.com</v>
      </c>
      <c r="H1109" s="65"/>
      <c r="I1109" s="65"/>
      <c r="J1109" s="65"/>
      <c r="K1109" s="65" t="str">
        <f>IFERROR(__xludf.DUMMYFUNCTION("""COMPUTED_VALUE"""),"PENDIENTE CONFIRMACION")</f>
        <v>PENDIENTE CONFIRMACION</v>
      </c>
      <c r="L1109" s="65" t="str">
        <f>IFERROR(__xludf.DUMMYFUNCTION("""COMPUTED_VALUE"""),"CON RECAUDO")</f>
        <v>CON RECAUDO</v>
      </c>
      <c r="M1109" s="65" t="str">
        <f>IFERROR(__xludf.DUMMYFUNCTION("""COMPUTED_VALUE"""),"CHIMBORAZO")</f>
        <v>CHIMBORAZO</v>
      </c>
      <c r="N1109" s="65" t="str">
        <f>IFERROR(__xludf.DUMMYFUNCTION("""COMPUTED_VALUE"""),"RIOBAMBA")</f>
        <v>RIOBAMBA</v>
      </c>
      <c r="O1109" s="65" t="str">
        <f>IFERROR(__xludf.DUMMYFUNCTION("""COMPUTED_VALUE"""),"Pichincha Y Chile Y y  Colombia -")</f>
        <v>Pichincha Y Chile Y y  Colombia -</v>
      </c>
      <c r="P1109" s="65"/>
      <c r="Q1109" s="65" t="str">
        <f>IFERROR(__xludf.DUMMYFUNCTION("""COMPUTED_VALUE"""),"GINTRACOM")</f>
        <v>GINTRACOM</v>
      </c>
      <c r="R1109" s="65">
        <f>IFERROR(__xludf.DUMMYFUNCTION("""COMPUTED_VALUE"""),25.0)</f>
        <v>25</v>
      </c>
      <c r="S1109" s="65"/>
      <c r="T1109" s="65">
        <f>IFERROR(__xludf.DUMMYFUNCTION("""COMPUTED_VALUE"""),5.96)</f>
        <v>5.96</v>
      </c>
      <c r="U1109" s="65">
        <f>IFERROR(__xludf.DUMMYFUNCTION("""COMPUTED_VALUE"""),0.0)</f>
        <v>0</v>
      </c>
      <c r="V1109" s="65">
        <f>IFERROR(__xludf.DUMMYFUNCTION("""COMPUTED_VALUE"""),0.0)</f>
        <v>0</v>
      </c>
      <c r="W1109" s="65">
        <f>IFERROR(__xludf.DUMMYFUNCTION("""COMPUTED_VALUE"""),0.0)</f>
        <v>0</v>
      </c>
      <c r="X1109" s="65">
        <f>IFERROR(__xludf.DUMMYFUNCTION("""COMPUTED_VALUE"""),2.35)</f>
        <v>2.35</v>
      </c>
      <c r="Y1109" s="65">
        <f>IFERROR(__xludf.DUMMYFUNCTION("""COMPUTED_VALUE"""),4.7)</f>
        <v>4.7</v>
      </c>
      <c r="Z1109" s="65">
        <f>IFERROR(__xludf.DUMMYFUNCTION("""COMPUTED_VALUE"""),116679.0)</f>
        <v>116679</v>
      </c>
      <c r="AA1109" s="65" t="str">
        <f>IFERROR(__xludf.DUMMYFUNCTION("""COMPUTED_VALUE"""),"AMC-2738")</f>
        <v>AMC-2738</v>
      </c>
      <c r="AB1109" s="65"/>
      <c r="AC1109" s="65" t="str">
        <f>IFERROR(__xludf.DUMMYFUNCTION("""COMPUTED_VALUE"""),"ESPONJA ANTILLUVIA DE PARABRISAS")</f>
        <v>ESPONJA ANTILLUVIA DE PARABRISAS</v>
      </c>
      <c r="AD1109" s="65"/>
      <c r="AE1109" s="65">
        <f>IFERROR(__xludf.DUMMYFUNCTION("""COMPUTED_VALUE"""),2.0)</f>
        <v>2</v>
      </c>
      <c r="AF1109" s="65"/>
      <c r="AG1109" s="65"/>
      <c r="AH1109" s="65"/>
      <c r="AI1109" s="65"/>
      <c r="AJ1109" s="65"/>
      <c r="AK1109" s="65"/>
      <c r="AL1109" s="65"/>
      <c r="AM1109" s="65"/>
      <c r="AN1109" s="65"/>
      <c r="AO1109" s="65"/>
      <c r="AP1109" s="65"/>
      <c r="AQ1109" s="65"/>
      <c r="AR1109" s="65"/>
      <c r="AS1109" s="65"/>
      <c r="AT1109" s="65" t="str">
        <f>IFERROR(__xludf.DUMMYFUNCTION("""COMPUTED_VALUE"""),"SHOPIFY")</f>
        <v>SHOPIFY</v>
      </c>
      <c r="AU1109" s="65" t="str">
        <f>IFERROR(__xludf.DUMMYFUNCTION("""COMPUTED_VALUE"""),"IMPORTEX EC")</f>
        <v>IMPORTEX EC</v>
      </c>
      <c r="AV1109" s="65" t="str">
        <f>IFERROR(__xludf.DUMMYFUNCTION("""COMPUTED_VALUE"""),"6470323109932")</f>
        <v>6470323109932</v>
      </c>
      <c r="AW1109" s="65">
        <f>IFERROR(__xludf.DUMMYFUNCTION("""COMPUTED_VALUE"""),5800.0)</f>
        <v>5800</v>
      </c>
      <c r="AX1109" s="65"/>
      <c r="AY1109" s="65"/>
      <c r="AZ1109" s="65"/>
      <c r="BA1109" s="65"/>
    </row>
    <row r="1110">
      <c r="A1110" s="65" t="str">
        <f>IFERROR(__xludf.DUMMYFUNCTION("""COMPUTED_VALUE"""),"27-03-2026")</f>
        <v>27-03-2026</v>
      </c>
      <c r="B1110" s="65">
        <f>IFERROR(__xludf.DUMMYFUNCTION("""COMPUTED_VALUE"""),4360337.0)</f>
        <v>4360337</v>
      </c>
      <c r="C1110" s="65" t="str">
        <f>IFERROR(__xludf.DUMMYFUNCTION("""COMPUTED_VALUE"""),"23:45")</f>
        <v>23:45</v>
      </c>
      <c r="D1110" s="65" t="str">
        <f>IFERROR(__xludf.DUMMYFUNCTION("""COMPUTED_VALUE"""),"01-02-2026")</f>
        <v>01-02-2026</v>
      </c>
      <c r="E1110" s="65" t="str">
        <f>IFERROR(__xludf.DUMMYFUNCTION("""COMPUTED_VALUE"""),"Nexar Antonio Mero López")</f>
        <v>Nexar Antonio Mero López</v>
      </c>
      <c r="F1110" s="65" t="str">
        <f>IFERROR(__xludf.DUMMYFUNCTION("""COMPUTED_VALUE"""),"997233084")</f>
        <v>997233084</v>
      </c>
      <c r="G1110" s="65" t="str">
        <f>IFERROR(__xludf.DUMMYFUNCTION("""COMPUTED_VALUE"""),"tamymero85@gmail.com")</f>
        <v>tamymero85@gmail.com</v>
      </c>
      <c r="H1110" s="65"/>
      <c r="I1110" s="65"/>
      <c r="J1110" s="65"/>
      <c r="K1110" s="65" t="str">
        <f>IFERROR(__xludf.DUMMYFUNCTION("""COMPUTED_VALUE"""),"PENDIENTE CONFIRMACION")</f>
        <v>PENDIENTE CONFIRMACION</v>
      </c>
      <c r="L1110" s="65" t="str">
        <f>IFERROR(__xludf.DUMMYFUNCTION("""COMPUTED_VALUE"""),"CON RECAUDO")</f>
        <v>CON RECAUDO</v>
      </c>
      <c r="M1110" s="65" t="str">
        <f>IFERROR(__xludf.DUMMYFUNCTION("""COMPUTED_VALUE"""),"GUAYAS")</f>
        <v>GUAYAS</v>
      </c>
      <c r="N1110" s="65" t="str">
        <f>IFERROR(__xludf.DUMMYFUNCTION("""COMPUTED_VALUE"""),"GUAYAQUIL")</f>
        <v>GUAYAQUIL</v>
      </c>
      <c r="O1110" s="65" t="str">
        <f>IFERROR(__xludf.DUMMYFUNCTION("""COMPUTED_VALUE"""),"Cooperativa Venecia / Canchas de boley -")</f>
        <v>Cooperativa Venecia / Canchas de boley -</v>
      </c>
      <c r="P1110" s="65"/>
      <c r="Q1110" s="65" t="str">
        <f>IFERROR(__xludf.DUMMYFUNCTION("""COMPUTED_VALUE"""),"GINTRACOM")</f>
        <v>GINTRACOM</v>
      </c>
      <c r="R1110" s="65">
        <f>IFERROR(__xludf.DUMMYFUNCTION("""COMPUTED_VALUE"""),19.99)</f>
        <v>19.99</v>
      </c>
      <c r="S1110" s="65"/>
      <c r="T1110" s="65">
        <f>IFERROR(__xludf.DUMMYFUNCTION("""COMPUTED_VALUE"""),5.75)</f>
        <v>5.75</v>
      </c>
      <c r="U1110" s="65">
        <f>IFERROR(__xludf.DUMMYFUNCTION("""COMPUTED_VALUE"""),0.0)</f>
        <v>0</v>
      </c>
      <c r="V1110" s="65">
        <f>IFERROR(__xludf.DUMMYFUNCTION("""COMPUTED_VALUE"""),0.0)</f>
        <v>0</v>
      </c>
      <c r="W1110" s="65">
        <f>IFERROR(__xludf.DUMMYFUNCTION("""COMPUTED_VALUE"""),0.0)</f>
        <v>0</v>
      </c>
      <c r="X1110" s="65">
        <f>IFERROR(__xludf.DUMMYFUNCTION("""COMPUTED_VALUE"""),5.0)</f>
        <v>5</v>
      </c>
      <c r="Y1110" s="65">
        <f>IFERROR(__xludf.DUMMYFUNCTION("""COMPUTED_VALUE"""),5.0)</f>
        <v>5</v>
      </c>
      <c r="Z1110" s="65">
        <f>IFERROR(__xludf.DUMMYFUNCTION("""COMPUTED_VALUE"""),110064.0)</f>
        <v>110064</v>
      </c>
      <c r="AA1110" s="65" t="str">
        <f>IFERROR(__xludf.DUMMYFUNCTION("""COMPUTED_VALUE"""),"IMX-00001")</f>
        <v>IMX-00001</v>
      </c>
      <c r="AB1110" s="65"/>
      <c r="AC1110" s="65" t="str">
        <f>IFERROR(__xludf.DUMMYFUNCTION("""COMPUTED_VALUE"""),"LLAVE TRINQUETE")</f>
        <v>LLAVE TRINQUETE</v>
      </c>
      <c r="AD1110" s="65"/>
      <c r="AE1110" s="65">
        <f>IFERROR(__xludf.DUMMYFUNCTION("""COMPUTED_VALUE"""),1.0)</f>
        <v>1</v>
      </c>
      <c r="AF1110" s="65"/>
      <c r="AG1110" s="65"/>
      <c r="AH1110" s="65"/>
      <c r="AI1110" s="65"/>
      <c r="AJ1110" s="65"/>
      <c r="AK1110" s="65"/>
      <c r="AL1110" s="65"/>
      <c r="AM1110" s="65"/>
      <c r="AN1110" s="65"/>
      <c r="AO1110" s="65"/>
      <c r="AP1110" s="65"/>
      <c r="AQ1110" s="65"/>
      <c r="AR1110" s="65"/>
      <c r="AS1110" s="65"/>
      <c r="AT1110" s="65" t="str">
        <f>IFERROR(__xludf.DUMMYFUNCTION("""COMPUTED_VALUE"""),"SHOPIFY")</f>
        <v>SHOPIFY</v>
      </c>
      <c r="AU1110" s="65" t="str">
        <f>IFERROR(__xludf.DUMMYFUNCTION("""COMPUTED_VALUE"""),"IMPORTEX EC")</f>
        <v>IMPORTEX EC</v>
      </c>
      <c r="AV1110" s="65" t="str">
        <f>IFERROR(__xludf.DUMMYFUNCTION("""COMPUTED_VALUE"""),"6470241943596")</f>
        <v>6470241943596</v>
      </c>
      <c r="AW1110" s="65">
        <f>IFERROR(__xludf.DUMMYFUNCTION("""COMPUTED_VALUE"""),5799.0)</f>
        <v>5799</v>
      </c>
      <c r="AX1110" s="65"/>
      <c r="AY1110" s="65"/>
      <c r="AZ1110" s="65"/>
      <c r="BA1110" s="65"/>
    </row>
    <row r="1111">
      <c r="A1111" s="65" t="str">
        <f>IFERROR(__xludf.DUMMYFUNCTION("""COMPUTED_VALUE"""),"27-03-2026")</f>
        <v>27-03-2026</v>
      </c>
      <c r="B1111" s="65">
        <f>IFERROR(__xludf.DUMMYFUNCTION("""COMPUTED_VALUE"""),4360035.0)</f>
        <v>4360035</v>
      </c>
      <c r="C1111" s="65" t="str">
        <f>IFERROR(__xludf.DUMMYFUNCTION("""COMPUTED_VALUE"""),"23:22")</f>
        <v>23:22</v>
      </c>
      <c r="D1111" s="65" t="str">
        <f>IFERROR(__xludf.DUMMYFUNCTION("""COMPUTED_VALUE"""),"01-02-2026")</f>
        <v>01-02-2026</v>
      </c>
      <c r="E1111" s="65" t="str">
        <f>IFERROR(__xludf.DUMMYFUNCTION("""COMPUTED_VALUE"""),"Jordan Torres")</f>
        <v>Jordan Torres</v>
      </c>
      <c r="F1111" s="65" t="str">
        <f>IFERROR(__xludf.DUMMYFUNCTION("""COMPUTED_VALUE"""),"991670099")</f>
        <v>991670099</v>
      </c>
      <c r="G1111" s="65" t="str">
        <f>IFERROR(__xludf.DUMMYFUNCTION("""COMPUTED_VALUE"""),"yeray15081999@gmail.com")</f>
        <v>yeray15081999@gmail.com</v>
      </c>
      <c r="H1111" s="65"/>
      <c r="I1111" s="65"/>
      <c r="J1111" s="65" t="str">
        <f>IFERROR(__xludf.DUMMYFUNCTION("""COMPUTED_VALUE"""),"D001291484")</f>
        <v>D001291484</v>
      </c>
      <c r="K1111" s="65" t="str">
        <f>IFERROR(__xludf.DUMMYFUNCTION("""COMPUTED_VALUE"""),"ENTREGADO")</f>
        <v>ENTREGADO</v>
      </c>
      <c r="L1111" s="65" t="str">
        <f>IFERROR(__xludf.DUMMYFUNCTION("""COMPUTED_VALUE"""),"CON RECAUDO")</f>
        <v>CON RECAUDO</v>
      </c>
      <c r="M1111" s="65" t="str">
        <f>IFERROR(__xludf.DUMMYFUNCTION("""COMPUTED_VALUE"""),"CAÑAR")</f>
        <v>CAÑAR</v>
      </c>
      <c r="N1111" s="65" t="str">
        <f>IFERROR(__xludf.DUMMYFUNCTION("""COMPUTED_VALUE"""),"LA TRONCAL")</f>
        <v>LA TRONCAL</v>
      </c>
      <c r="O1111" s="65" t="str">
        <f>IFERROR(__xludf.DUMMYFUNCTION("""COMPUTED_VALUE"""),"Calle 1 de mayo y Velasco Ibarra Al frente de la escuela Velázco Ibarra -")</f>
        <v>Calle 1 de mayo y Velasco Ibarra Al frente de la escuela Velázco Ibarra -</v>
      </c>
      <c r="P1111" s="65"/>
      <c r="Q1111" s="65" t="str">
        <f>IFERROR(__xludf.DUMMYFUNCTION("""COMPUTED_VALUE"""),"GINTRACOM")</f>
        <v>GINTRACOM</v>
      </c>
      <c r="R1111" s="65">
        <f>IFERROR(__xludf.DUMMYFUNCTION("""COMPUTED_VALUE"""),30.0)</f>
        <v>30</v>
      </c>
      <c r="S1111" s="65">
        <f>IFERROR(__xludf.DUMMYFUNCTION("""COMPUTED_VALUE"""),16.79)</f>
        <v>16.79</v>
      </c>
      <c r="T1111" s="65">
        <f>IFERROR(__xludf.DUMMYFUNCTION("""COMPUTED_VALUE"""),6.16)</f>
        <v>6.16</v>
      </c>
      <c r="U1111" s="65">
        <f>IFERROR(__xludf.DUMMYFUNCTION("""COMPUTED_VALUE"""),0.0)</f>
        <v>0</v>
      </c>
      <c r="V1111" s="65">
        <f>IFERROR(__xludf.DUMMYFUNCTION("""COMPUTED_VALUE"""),0.0)</f>
        <v>0</v>
      </c>
      <c r="W1111" s="65">
        <f>IFERROR(__xludf.DUMMYFUNCTION("""COMPUTED_VALUE"""),0.0)</f>
        <v>0</v>
      </c>
      <c r="X1111" s="65">
        <f>IFERROR(__xludf.DUMMYFUNCTION("""COMPUTED_VALUE"""),2.35)</f>
        <v>2.35</v>
      </c>
      <c r="Y1111" s="65">
        <f>IFERROR(__xludf.DUMMYFUNCTION("""COMPUTED_VALUE"""),7.05)</f>
        <v>7.05</v>
      </c>
      <c r="Z1111" s="65">
        <f>IFERROR(__xludf.DUMMYFUNCTION("""COMPUTED_VALUE"""),116679.0)</f>
        <v>116679</v>
      </c>
      <c r="AA1111" s="65" t="str">
        <f>IFERROR(__xludf.DUMMYFUNCTION("""COMPUTED_VALUE"""),"AMC-2738")</f>
        <v>AMC-2738</v>
      </c>
      <c r="AB1111" s="65"/>
      <c r="AC1111" s="65" t="str">
        <f>IFERROR(__xludf.DUMMYFUNCTION("""COMPUTED_VALUE"""),"ESPONJA ANTILLUVIA DE PARABRISAS")</f>
        <v>ESPONJA ANTILLUVIA DE PARABRISAS</v>
      </c>
      <c r="AD1111" s="65"/>
      <c r="AE1111" s="65">
        <f>IFERROR(__xludf.DUMMYFUNCTION("""COMPUTED_VALUE"""),3.0)</f>
        <v>3</v>
      </c>
      <c r="AF1111" s="65"/>
      <c r="AG1111" s="65"/>
      <c r="AH1111" s="65"/>
      <c r="AI1111" s="65"/>
      <c r="AJ1111" s="65"/>
      <c r="AK1111" s="65"/>
      <c r="AL1111" s="65"/>
      <c r="AM1111" s="65"/>
      <c r="AN1111" s="65" t="str">
        <f>IFERROR(__xludf.DUMMYFUNCTION("""COMPUTED_VALUE"""),"18:16")</f>
        <v>18:16</v>
      </c>
      <c r="AO1111" s="65" t="str">
        <f>IFERROR(__xludf.DUMMYFUNCTION("""COMPUTED_VALUE"""),"09-02-2026")</f>
        <v>09-02-2026</v>
      </c>
      <c r="AP1111" s="65" t="str">
        <f>IFERROR(__xludf.DUMMYFUNCTION("""COMPUTED_VALUE"""),"DESTINATARIO RE-PROGRAMA FECHA DE ENTREGA")</f>
        <v>DESTINATARIO RE-PROGRAMA FECHA DE ENTREGA</v>
      </c>
      <c r="AQ1111" s="65" t="str">
        <f>IFERROR(__xludf.DUMMYFUNCTION("""COMPUTED_VALUE"""),"DESTINATARIO RE-PROGRAMA FECHA DE ENTREGA")</f>
        <v>DESTINATARIO RE-PROGRAMA FECHA DE ENTREGA</v>
      </c>
      <c r="AR1111" s="65"/>
      <c r="AS1111" s="65"/>
      <c r="AT1111" s="65" t="str">
        <f>IFERROR(__xludf.DUMMYFUNCTION("""COMPUTED_VALUE"""),"SHOPIFY")</f>
        <v>SHOPIFY</v>
      </c>
      <c r="AU1111" s="65" t="str">
        <f>IFERROR(__xludf.DUMMYFUNCTION("""COMPUTED_VALUE"""),"IMPORTEX EC")</f>
        <v>IMPORTEX EC</v>
      </c>
      <c r="AV1111" s="65" t="str">
        <f>IFERROR(__xludf.DUMMYFUNCTION("""COMPUTED_VALUE"""),"6470198493228")</f>
        <v>6470198493228</v>
      </c>
      <c r="AW1111" s="65">
        <f>IFERROR(__xludf.DUMMYFUNCTION("""COMPUTED_VALUE"""),5798.0)</f>
        <v>5798</v>
      </c>
      <c r="AX1111" s="65"/>
      <c r="AY1111" s="65" t="str">
        <f>IFERROR(__xludf.DUMMYFUNCTION("""COMPUTED_VALUE"""),"03/02/2026")</f>
        <v>03/02/2026</v>
      </c>
      <c r="AZ1111" s="65"/>
      <c r="BA1111" s="65"/>
    </row>
    <row r="1112">
      <c r="A1112" s="65" t="str">
        <f>IFERROR(__xludf.DUMMYFUNCTION("""COMPUTED_VALUE"""),"27-03-2026")</f>
        <v>27-03-2026</v>
      </c>
      <c r="B1112" s="65">
        <f>IFERROR(__xludf.DUMMYFUNCTION("""COMPUTED_VALUE"""),4359740.0)</f>
        <v>4359740</v>
      </c>
      <c r="C1112" s="65" t="str">
        <f>IFERROR(__xludf.DUMMYFUNCTION("""COMPUTED_VALUE"""),"23:03")</f>
        <v>23:03</v>
      </c>
      <c r="D1112" s="65" t="str">
        <f>IFERROR(__xludf.DUMMYFUNCTION("""COMPUTED_VALUE"""),"01-02-2026")</f>
        <v>01-02-2026</v>
      </c>
      <c r="E1112" s="65" t="str">
        <f>IFERROR(__xludf.DUMMYFUNCTION("""COMPUTED_VALUE"""),"Jimmy Villavicencio")</f>
        <v>Jimmy Villavicencio</v>
      </c>
      <c r="F1112" s="65" t="str">
        <f>IFERROR(__xludf.DUMMYFUNCTION("""COMPUTED_VALUE"""),"987691121")</f>
        <v>987691121</v>
      </c>
      <c r="G1112" s="65" t="str">
        <f>IFERROR(__xludf.DUMMYFUNCTION("""COMPUTED_VALUE"""),"jimmyvillavicenciom@hotmail.com")</f>
        <v>jimmyvillavicenciom@hotmail.com</v>
      </c>
      <c r="H1112" s="65"/>
      <c r="I1112" s="65"/>
      <c r="J1112" s="65"/>
      <c r="K1112" s="65" t="str">
        <f>IFERROR(__xludf.DUMMYFUNCTION("""COMPUTED_VALUE"""),"PENDIENTE CONFIRMACION")</f>
        <v>PENDIENTE CONFIRMACION</v>
      </c>
      <c r="L1112" s="65" t="str">
        <f>IFERROR(__xludf.DUMMYFUNCTION("""COMPUTED_VALUE"""),"CON RECAUDO")</f>
        <v>CON RECAUDO</v>
      </c>
      <c r="M1112" s="65" t="str">
        <f>IFERROR(__xludf.DUMMYFUNCTION("""COMPUTED_VALUE"""),"LOJA")</f>
        <v>LOJA</v>
      </c>
      <c r="N1112" s="65" t="str">
        <f>IFERROR(__xludf.DUMMYFUNCTION("""COMPUTED_VALUE"""),"LOJA")</f>
        <v>LOJA</v>
      </c>
      <c r="O1112" s="65" t="str">
        <f>IFERROR(__xludf.DUMMYFUNCTION("""COMPUTED_VALUE"""),"18 de noviembre y anturios , a lado de local minasur 500 -")</f>
        <v>18 de noviembre y anturios , a lado de local minasur 500 -</v>
      </c>
      <c r="P1112" s="65"/>
      <c r="Q1112" s="65" t="str">
        <f>IFERROR(__xludf.DUMMYFUNCTION("""COMPUTED_VALUE"""),"GINTRACOM")</f>
        <v>GINTRACOM</v>
      </c>
      <c r="R1112" s="65">
        <f>IFERROR(__xludf.DUMMYFUNCTION("""COMPUTED_VALUE"""),20.0)</f>
        <v>20</v>
      </c>
      <c r="S1112" s="65"/>
      <c r="T1112" s="65">
        <f>IFERROR(__xludf.DUMMYFUNCTION("""COMPUTED_VALUE"""),5.76)</f>
        <v>5.76</v>
      </c>
      <c r="U1112" s="65">
        <f>IFERROR(__xludf.DUMMYFUNCTION("""COMPUTED_VALUE"""),0.0)</f>
        <v>0</v>
      </c>
      <c r="V1112" s="65">
        <f>IFERROR(__xludf.DUMMYFUNCTION("""COMPUTED_VALUE"""),0.0)</f>
        <v>0</v>
      </c>
      <c r="W1112" s="65">
        <f>IFERROR(__xludf.DUMMYFUNCTION("""COMPUTED_VALUE"""),0.0)</f>
        <v>0</v>
      </c>
      <c r="X1112" s="65">
        <f>IFERROR(__xludf.DUMMYFUNCTION("""COMPUTED_VALUE"""),2.35)</f>
        <v>2.35</v>
      </c>
      <c r="Y1112" s="65">
        <f>IFERROR(__xludf.DUMMYFUNCTION("""COMPUTED_VALUE"""),2.35)</f>
        <v>2.35</v>
      </c>
      <c r="Z1112" s="65">
        <f>IFERROR(__xludf.DUMMYFUNCTION("""COMPUTED_VALUE"""),116679.0)</f>
        <v>116679</v>
      </c>
      <c r="AA1112" s="65" t="str">
        <f>IFERROR(__xludf.DUMMYFUNCTION("""COMPUTED_VALUE"""),"AMC-2738")</f>
        <v>AMC-2738</v>
      </c>
      <c r="AB1112" s="65"/>
      <c r="AC1112" s="65" t="str">
        <f>IFERROR(__xludf.DUMMYFUNCTION("""COMPUTED_VALUE"""),"ESPONJA ANTILLUVIA DE PARABRISAS")</f>
        <v>ESPONJA ANTILLUVIA DE PARABRISAS</v>
      </c>
      <c r="AD1112" s="65"/>
      <c r="AE1112" s="65">
        <f>IFERROR(__xludf.DUMMYFUNCTION("""COMPUTED_VALUE"""),1.0)</f>
        <v>1</v>
      </c>
      <c r="AF1112" s="65"/>
      <c r="AG1112" s="65"/>
      <c r="AH1112" s="65"/>
      <c r="AI1112" s="65"/>
      <c r="AJ1112" s="65"/>
      <c r="AK1112" s="65"/>
      <c r="AL1112" s="65"/>
      <c r="AM1112" s="65"/>
      <c r="AN1112" s="65"/>
      <c r="AO1112" s="65"/>
      <c r="AP1112" s="65"/>
      <c r="AQ1112" s="65"/>
      <c r="AR1112" s="65"/>
      <c r="AS1112" s="65"/>
      <c r="AT1112" s="65" t="str">
        <f>IFERROR(__xludf.DUMMYFUNCTION("""COMPUTED_VALUE"""),"SHOPIFY")</f>
        <v>SHOPIFY</v>
      </c>
      <c r="AU1112" s="65" t="str">
        <f>IFERROR(__xludf.DUMMYFUNCTION("""COMPUTED_VALUE"""),"IMPORTEX EC")</f>
        <v>IMPORTEX EC</v>
      </c>
      <c r="AV1112" s="65" t="str">
        <f>IFERROR(__xludf.DUMMYFUNCTION("""COMPUTED_VALUE"""),"6470154911788")</f>
        <v>6470154911788</v>
      </c>
      <c r="AW1112" s="65">
        <f>IFERROR(__xludf.DUMMYFUNCTION("""COMPUTED_VALUE"""),5796.0)</f>
        <v>5796</v>
      </c>
      <c r="AX1112" s="65"/>
      <c r="AY1112" s="65"/>
      <c r="AZ1112" s="65"/>
      <c r="BA1112" s="65"/>
    </row>
    <row r="1113">
      <c r="A1113" s="65" t="str">
        <f>IFERROR(__xludf.DUMMYFUNCTION("""COMPUTED_VALUE"""),"27-03-2026")</f>
        <v>27-03-2026</v>
      </c>
      <c r="B1113" s="65">
        <f>IFERROR(__xludf.DUMMYFUNCTION("""COMPUTED_VALUE"""),4359690.0)</f>
        <v>4359690</v>
      </c>
      <c r="C1113" s="65" t="str">
        <f>IFERROR(__xludf.DUMMYFUNCTION("""COMPUTED_VALUE"""),"22:59")</f>
        <v>22:59</v>
      </c>
      <c r="D1113" s="65" t="str">
        <f>IFERROR(__xludf.DUMMYFUNCTION("""COMPUTED_VALUE"""),"01-02-2026")</f>
        <v>01-02-2026</v>
      </c>
      <c r="E1113" s="65" t="str">
        <f>IFERROR(__xludf.DUMMYFUNCTION("""COMPUTED_VALUE"""),"Amilcar Rubio")</f>
        <v>Amilcar Rubio</v>
      </c>
      <c r="F1113" s="65" t="str">
        <f>IFERROR(__xludf.DUMMYFUNCTION("""COMPUTED_VALUE"""),"993315533")</f>
        <v>993315533</v>
      </c>
      <c r="G1113" s="65" t="str">
        <f>IFERROR(__xludf.DUMMYFUNCTION("""COMPUTED_VALUE"""),"amilcarymagda@aol.com")</f>
        <v>amilcarymagda@aol.com</v>
      </c>
      <c r="H1113" s="65"/>
      <c r="I1113" s="65"/>
      <c r="J1113" s="65" t="str">
        <f>IFERROR(__xludf.DUMMYFUNCTION("""COMPUTED_VALUE"""),"WYB166676398")</f>
        <v>WYB166676398</v>
      </c>
      <c r="K1113" s="65" t="str">
        <f>IFERROR(__xludf.DUMMYFUNCTION("""COMPUTED_VALUE"""),"ENTREGADO")</f>
        <v>ENTREGADO</v>
      </c>
      <c r="L1113" s="65" t="str">
        <f>IFERROR(__xludf.DUMMYFUNCTION("""COMPUTED_VALUE"""),"CON RECAUDO")</f>
        <v>CON RECAUDO</v>
      </c>
      <c r="M1113" s="65" t="str">
        <f>IFERROR(__xludf.DUMMYFUNCTION("""COMPUTED_VALUE"""),"EL ORO")</f>
        <v>EL ORO</v>
      </c>
      <c r="N1113" s="65" t="str">
        <f>IFERROR(__xludf.DUMMYFUNCTION("""COMPUTED_VALUE"""),"PIÑAS")</f>
        <v>PIÑAS</v>
      </c>
      <c r="O1113" s="65" t="str">
        <f>IFERROR(__xludf.DUMMYFUNCTION("""COMPUTED_VALUE"""),"Calle Juan Leon Mera Tercena Asociacion de Ganaderos Pedro Agustin Apolo -")</f>
        <v>Calle Juan Leon Mera Tercena Asociacion de Ganaderos Pedro Agustin Apolo -</v>
      </c>
      <c r="P1113" s="65"/>
      <c r="Q1113" s="65" t="str">
        <f>IFERROR(__xludf.DUMMYFUNCTION("""COMPUTED_VALUE"""),"URBANO")</f>
        <v>URBANO</v>
      </c>
      <c r="R1113" s="65">
        <f>IFERROR(__xludf.DUMMYFUNCTION("""COMPUTED_VALUE"""),28.0)</f>
        <v>28</v>
      </c>
      <c r="S1113" s="65">
        <f>IFERROR(__xludf.DUMMYFUNCTION("""COMPUTED_VALUE"""),12.27)</f>
        <v>12.27</v>
      </c>
      <c r="T1113" s="65">
        <f>IFERROR(__xludf.DUMMYFUNCTION("""COMPUTED_VALUE"""),5.73)</f>
        <v>5.73</v>
      </c>
      <c r="U1113" s="65">
        <f>IFERROR(__xludf.DUMMYFUNCTION("""COMPUTED_VALUE"""),0.0)</f>
        <v>0</v>
      </c>
      <c r="V1113" s="65">
        <f>IFERROR(__xludf.DUMMYFUNCTION("""COMPUTED_VALUE"""),0.0)</f>
        <v>0</v>
      </c>
      <c r="W1113" s="65">
        <f>IFERROR(__xludf.DUMMYFUNCTION("""COMPUTED_VALUE"""),0.0)</f>
        <v>0</v>
      </c>
      <c r="X1113" s="65">
        <f>IFERROR(__xludf.DUMMYFUNCTION("""COMPUTED_VALUE"""),5.0)</f>
        <v>5</v>
      </c>
      <c r="Y1113" s="65">
        <f>IFERROR(__xludf.DUMMYFUNCTION("""COMPUTED_VALUE"""),10.0)</f>
        <v>10</v>
      </c>
      <c r="Z1113" s="65">
        <f>IFERROR(__xludf.DUMMYFUNCTION("""COMPUTED_VALUE"""),110064.0)</f>
        <v>110064</v>
      </c>
      <c r="AA1113" s="65" t="str">
        <f>IFERROR(__xludf.DUMMYFUNCTION("""COMPUTED_VALUE"""),"IMX-00001")</f>
        <v>IMX-00001</v>
      </c>
      <c r="AB1113" s="65"/>
      <c r="AC1113" s="65" t="str">
        <f>IFERROR(__xludf.DUMMYFUNCTION("""COMPUTED_VALUE"""),"LLAVE TRINQUETE")</f>
        <v>LLAVE TRINQUETE</v>
      </c>
      <c r="AD1113" s="65"/>
      <c r="AE1113" s="65">
        <f>IFERROR(__xludf.DUMMYFUNCTION("""COMPUTED_VALUE"""),2.0)</f>
        <v>2</v>
      </c>
      <c r="AF1113" s="65"/>
      <c r="AG1113" s="65"/>
      <c r="AH1113" s="65"/>
      <c r="AI1113" s="65"/>
      <c r="AJ1113" s="65"/>
      <c r="AK1113" s="65"/>
      <c r="AL1113" s="65"/>
      <c r="AM1113" s="65"/>
      <c r="AN1113" s="65"/>
      <c r="AO1113" s="65"/>
      <c r="AP1113" s="65"/>
      <c r="AQ1113" s="65"/>
      <c r="AR1113" s="65"/>
      <c r="AS1113" s="65"/>
      <c r="AT1113" s="65" t="str">
        <f>IFERROR(__xludf.DUMMYFUNCTION("""COMPUTED_VALUE"""),"SHOPIFY")</f>
        <v>SHOPIFY</v>
      </c>
      <c r="AU1113" s="65" t="str">
        <f>IFERROR(__xludf.DUMMYFUNCTION("""COMPUTED_VALUE"""),"IMPORTEX EC")</f>
        <v>IMPORTEX EC</v>
      </c>
      <c r="AV1113" s="65" t="str">
        <f>IFERROR(__xludf.DUMMYFUNCTION("""COMPUTED_VALUE"""),"6470151045164")</f>
        <v>6470151045164</v>
      </c>
      <c r="AW1113" s="65">
        <f>IFERROR(__xludf.DUMMYFUNCTION("""COMPUTED_VALUE"""),5795.0)</f>
        <v>5795</v>
      </c>
      <c r="AX1113" s="65"/>
      <c r="AY1113" s="65" t="str">
        <f>IFERROR(__xludf.DUMMYFUNCTION("""COMPUTED_VALUE"""),"03/02/2026")</f>
        <v>03/02/2026</v>
      </c>
      <c r="AZ1113" s="65"/>
      <c r="BA1113" s="65"/>
    </row>
    <row r="1114">
      <c r="A1114" s="65" t="str">
        <f>IFERROR(__xludf.DUMMYFUNCTION("""COMPUTED_VALUE"""),"27-03-2026")</f>
        <v>27-03-2026</v>
      </c>
      <c r="B1114" s="65">
        <f>IFERROR(__xludf.DUMMYFUNCTION("""COMPUTED_VALUE"""),4359526.0)</f>
        <v>4359526</v>
      </c>
      <c r="C1114" s="65" t="str">
        <f>IFERROR(__xludf.DUMMYFUNCTION("""COMPUTED_VALUE"""),"22:48")</f>
        <v>22:48</v>
      </c>
      <c r="D1114" s="65" t="str">
        <f>IFERROR(__xludf.DUMMYFUNCTION("""COMPUTED_VALUE"""),"01-02-2026")</f>
        <v>01-02-2026</v>
      </c>
      <c r="E1114" s="65" t="str">
        <f>IFERROR(__xludf.DUMMYFUNCTION("""COMPUTED_VALUE"""),"Milton Marquez Reyes")</f>
        <v>Milton Marquez Reyes</v>
      </c>
      <c r="F1114" s="65" t="str">
        <f>IFERROR(__xludf.DUMMYFUNCTION("""COMPUTED_VALUE"""),"985731923")</f>
        <v>985731923</v>
      </c>
      <c r="G1114" s="65" t="str">
        <f>IFERROR(__xludf.DUMMYFUNCTION("""COMPUTED_VALUE"""),"csavolmedo.naranjal@gmail.com")</f>
        <v>csavolmedo.naranjal@gmail.com</v>
      </c>
      <c r="H1114" s="65"/>
      <c r="I1114" s="65"/>
      <c r="J1114" s="65" t="str">
        <f>IFERROR(__xludf.DUMMYFUNCTION("""COMPUTED_VALUE"""),"D001291485")</f>
        <v>D001291485</v>
      </c>
      <c r="K1114" s="65" t="str">
        <f>IFERROR(__xludf.DUMMYFUNCTION("""COMPUTED_VALUE"""),"ENTREGADO")</f>
        <v>ENTREGADO</v>
      </c>
      <c r="L1114" s="65" t="str">
        <f>IFERROR(__xludf.DUMMYFUNCTION("""COMPUTED_VALUE"""),"CON RECAUDO")</f>
        <v>CON RECAUDO</v>
      </c>
      <c r="M1114" s="65" t="str">
        <f>IFERROR(__xludf.DUMMYFUNCTION("""COMPUTED_VALUE"""),"GUAYAS")</f>
        <v>GUAYAS</v>
      </c>
      <c r="N1114" s="65" t="str">
        <f>IFERROR(__xludf.DUMMYFUNCTION("""COMPUTED_VALUE"""),"NARANJAL")</f>
        <v>NARANJAL</v>
      </c>
      <c r="O1114" s="65" t="str">
        <f>IFERROR(__xludf.DUMMYFUNCTION("""COMPUTED_VALUE"""),"Klever Mora y Cesar Amador esquina Mi lote - Casa beige con balcon redondo de una planta esquinera")</f>
        <v>Klever Mora y Cesar Amador esquina Mi lote - Casa beige con balcon redondo de una planta esquinera</v>
      </c>
      <c r="P1114" s="65"/>
      <c r="Q1114" s="65" t="str">
        <f>IFERROR(__xludf.DUMMYFUNCTION("""COMPUTED_VALUE"""),"GINTRACOM")</f>
        <v>GINTRACOM</v>
      </c>
      <c r="R1114" s="65">
        <f>IFERROR(__xludf.DUMMYFUNCTION("""COMPUTED_VALUE"""),20.0)</f>
        <v>20</v>
      </c>
      <c r="S1114" s="65">
        <f>IFERROR(__xludf.DUMMYFUNCTION("""COMPUTED_VALUE"""),11.89)</f>
        <v>11.89</v>
      </c>
      <c r="T1114" s="65">
        <f>IFERROR(__xludf.DUMMYFUNCTION("""COMPUTED_VALUE"""),5.76)</f>
        <v>5.76</v>
      </c>
      <c r="U1114" s="65">
        <f>IFERROR(__xludf.DUMMYFUNCTION("""COMPUTED_VALUE"""),0.0)</f>
        <v>0</v>
      </c>
      <c r="V1114" s="65">
        <f>IFERROR(__xludf.DUMMYFUNCTION("""COMPUTED_VALUE"""),0.0)</f>
        <v>0</v>
      </c>
      <c r="W1114" s="65">
        <f>IFERROR(__xludf.DUMMYFUNCTION("""COMPUTED_VALUE"""),0.0)</f>
        <v>0</v>
      </c>
      <c r="X1114" s="65">
        <f>IFERROR(__xludf.DUMMYFUNCTION("""COMPUTED_VALUE"""),2.35)</f>
        <v>2.35</v>
      </c>
      <c r="Y1114" s="65">
        <f>IFERROR(__xludf.DUMMYFUNCTION("""COMPUTED_VALUE"""),2.35)</f>
        <v>2.35</v>
      </c>
      <c r="Z1114" s="65">
        <f>IFERROR(__xludf.DUMMYFUNCTION("""COMPUTED_VALUE"""),116679.0)</f>
        <v>116679</v>
      </c>
      <c r="AA1114" s="65" t="str">
        <f>IFERROR(__xludf.DUMMYFUNCTION("""COMPUTED_VALUE"""),"AMC-2738")</f>
        <v>AMC-2738</v>
      </c>
      <c r="AB1114" s="65"/>
      <c r="AC1114" s="65" t="str">
        <f>IFERROR(__xludf.DUMMYFUNCTION("""COMPUTED_VALUE"""),"ESPONJA ANTILLUVIA DE PARABRISAS")</f>
        <v>ESPONJA ANTILLUVIA DE PARABRISAS</v>
      </c>
      <c r="AD1114" s="65"/>
      <c r="AE1114" s="65">
        <f>IFERROR(__xludf.DUMMYFUNCTION("""COMPUTED_VALUE"""),1.0)</f>
        <v>1</v>
      </c>
      <c r="AF1114" s="65"/>
      <c r="AG1114" s="65"/>
      <c r="AH1114" s="65"/>
      <c r="AI1114" s="65"/>
      <c r="AJ1114" s="65"/>
      <c r="AK1114" s="65"/>
      <c r="AL1114" s="65"/>
      <c r="AM1114" s="65"/>
      <c r="AN1114" s="65"/>
      <c r="AO1114" s="65"/>
      <c r="AP1114" s="65"/>
      <c r="AQ1114" s="65"/>
      <c r="AR1114" s="65"/>
      <c r="AS1114" s="65"/>
      <c r="AT1114" s="65" t="str">
        <f>IFERROR(__xludf.DUMMYFUNCTION("""COMPUTED_VALUE"""),"SHOPIFY")</f>
        <v>SHOPIFY</v>
      </c>
      <c r="AU1114" s="65" t="str">
        <f>IFERROR(__xludf.DUMMYFUNCTION("""COMPUTED_VALUE"""),"IMPORTEX EC")</f>
        <v>IMPORTEX EC</v>
      </c>
      <c r="AV1114" s="65" t="str">
        <f>IFERROR(__xludf.DUMMYFUNCTION("""COMPUTED_VALUE"""),"6470119161900")</f>
        <v>6470119161900</v>
      </c>
      <c r="AW1114" s="65">
        <f>IFERROR(__xludf.DUMMYFUNCTION("""COMPUTED_VALUE"""),5794.0)</f>
        <v>5794</v>
      </c>
      <c r="AX1114" s="65"/>
      <c r="AY1114" s="65" t="str">
        <f>IFERROR(__xludf.DUMMYFUNCTION("""COMPUTED_VALUE"""),"03/02/2026")</f>
        <v>03/02/2026</v>
      </c>
      <c r="AZ1114" s="65"/>
      <c r="BA1114" s="65"/>
    </row>
    <row r="1115">
      <c r="A1115" s="65" t="str">
        <f>IFERROR(__xludf.DUMMYFUNCTION("""COMPUTED_VALUE"""),"27-03-2026")</f>
        <v>27-03-2026</v>
      </c>
      <c r="B1115" s="65">
        <f>IFERROR(__xludf.DUMMYFUNCTION("""COMPUTED_VALUE"""),4359299.0)</f>
        <v>4359299</v>
      </c>
      <c r="C1115" s="65" t="str">
        <f>IFERROR(__xludf.DUMMYFUNCTION("""COMPUTED_VALUE"""),"22:34")</f>
        <v>22:34</v>
      </c>
      <c r="D1115" s="65" t="str">
        <f>IFERROR(__xludf.DUMMYFUNCTION("""COMPUTED_VALUE"""),"01-02-2026")</f>
        <v>01-02-2026</v>
      </c>
      <c r="E1115" s="65" t="str">
        <f>IFERROR(__xludf.DUMMYFUNCTION("""COMPUTED_VALUE"""),"Dennis Morejon Morejon")</f>
        <v>Dennis Morejon Morejon</v>
      </c>
      <c r="F1115" s="65" t="str">
        <f>IFERROR(__xludf.DUMMYFUNCTION("""COMPUTED_VALUE"""),"987173605")</f>
        <v>987173605</v>
      </c>
      <c r="G1115" s="65" t="str">
        <f>IFERROR(__xludf.DUMMYFUNCTION("""COMPUTED_VALUE"""),"dmorejon93@hotmail.com")</f>
        <v>dmorejon93@hotmail.com</v>
      </c>
      <c r="H1115" s="65"/>
      <c r="I1115" s="65"/>
      <c r="J1115" s="65" t="str">
        <f>IFERROR(__xludf.DUMMYFUNCTION("""COMPUTED_VALUE"""),"D001291486")</f>
        <v>D001291486</v>
      </c>
      <c r="K1115" s="65" t="str">
        <f>IFERROR(__xludf.DUMMYFUNCTION("""COMPUTED_VALUE"""),"DEVOLUCION")</f>
        <v>DEVOLUCION</v>
      </c>
      <c r="L1115" s="65" t="str">
        <f>IFERROR(__xludf.DUMMYFUNCTION("""COMPUTED_VALUE"""),"CON RECAUDO")</f>
        <v>CON RECAUDO</v>
      </c>
      <c r="M1115" s="65" t="str">
        <f>IFERROR(__xludf.DUMMYFUNCTION("""COMPUTED_VALUE"""),"PICHINCHA")</f>
        <v>PICHINCHA</v>
      </c>
      <c r="N1115" s="65" t="str">
        <f>IFERROR(__xludf.DUMMYFUNCTION("""COMPUTED_VALUE"""),"QUITO")</f>
        <v>QUITO</v>
      </c>
      <c r="O1115" s="65" t="str">
        <f>IFERROR(__xludf.DUMMYFUNCTION("""COMPUTED_VALUE"""),"Matilde delgado y tungas casa E14-536,  - frente a la antigua iglesia de orquídeas - BARRIO   Las orquideas")</f>
        <v>Matilde delgado y tungas casa E14-536,  - frente a la antigua iglesia de orquídeas - BARRIO   Las orquideas</v>
      </c>
      <c r="P1115" s="65"/>
      <c r="Q1115" s="65" t="str">
        <f>IFERROR(__xludf.DUMMYFUNCTION("""COMPUTED_VALUE"""),"GINTRACOM")</f>
        <v>GINTRACOM</v>
      </c>
      <c r="R1115" s="65">
        <f>IFERROR(__xludf.DUMMYFUNCTION("""COMPUTED_VALUE"""),30.0)</f>
        <v>30</v>
      </c>
      <c r="S1115" s="65"/>
      <c r="T1115" s="65">
        <f>IFERROR(__xludf.DUMMYFUNCTION("""COMPUTED_VALUE"""),4.55)</f>
        <v>4.55</v>
      </c>
      <c r="U1115" s="65">
        <f>IFERROR(__xludf.DUMMYFUNCTION("""COMPUTED_VALUE"""),0.0)</f>
        <v>0</v>
      </c>
      <c r="V1115" s="65">
        <f>IFERROR(__xludf.DUMMYFUNCTION("""COMPUTED_VALUE"""),0.0)</f>
        <v>0</v>
      </c>
      <c r="W1115" s="65">
        <f>IFERROR(__xludf.DUMMYFUNCTION("""COMPUTED_VALUE"""),0.0)</f>
        <v>0</v>
      </c>
      <c r="X1115" s="65">
        <f>IFERROR(__xludf.DUMMYFUNCTION("""COMPUTED_VALUE"""),2.35)</f>
        <v>2.35</v>
      </c>
      <c r="Y1115" s="65">
        <f>IFERROR(__xludf.DUMMYFUNCTION("""COMPUTED_VALUE"""),7.05)</f>
        <v>7.05</v>
      </c>
      <c r="Z1115" s="65">
        <f>IFERROR(__xludf.DUMMYFUNCTION("""COMPUTED_VALUE"""),116679.0)</f>
        <v>116679</v>
      </c>
      <c r="AA1115" s="65" t="str">
        <f>IFERROR(__xludf.DUMMYFUNCTION("""COMPUTED_VALUE"""),"AMC-2738")</f>
        <v>AMC-2738</v>
      </c>
      <c r="AB1115" s="65"/>
      <c r="AC1115" s="65" t="str">
        <f>IFERROR(__xludf.DUMMYFUNCTION("""COMPUTED_VALUE"""),"ESPONJA ANTILLUVIA DE PARABRISAS")</f>
        <v>ESPONJA ANTILLUVIA DE PARABRISAS</v>
      </c>
      <c r="AD1115" s="65"/>
      <c r="AE1115" s="65">
        <f>IFERROR(__xludf.DUMMYFUNCTION("""COMPUTED_VALUE"""),3.0)</f>
        <v>3</v>
      </c>
      <c r="AF1115" s="65"/>
      <c r="AG1115" s="65"/>
      <c r="AH1115" s="65"/>
      <c r="AI1115" s="65"/>
      <c r="AJ1115" s="65"/>
      <c r="AK1115" s="65"/>
      <c r="AL1115" s="65"/>
      <c r="AM1115" s="65"/>
      <c r="AN1115" s="65" t="str">
        <f>IFERROR(__xludf.DUMMYFUNCTION("""COMPUTED_VALUE"""),"19:32")</f>
        <v>19:32</v>
      </c>
      <c r="AO1115" s="65" t="str">
        <f>IFERROR(__xludf.DUMMYFUNCTION("""COMPUTED_VALUE"""),"19-02-2026")</f>
        <v>19-02-2026</v>
      </c>
      <c r="AP1115" s="65" t="str">
        <f>IFERROR(__xludf.DUMMYFUNCTION("""COMPUTED_VALUE"""),"DEVOLUCIÓN ENTREGADA A ORIGEN")</f>
        <v>DEVOLUCIÓN ENTREGADA A ORIGEN</v>
      </c>
      <c r="AQ1115" s="65" t="str">
        <f>IFERROR(__xludf.DUMMYFUNCTION("""COMPUTED_VALUE"""),"DEVOLUCIÓN ENTREGADA A ORIGEN")</f>
        <v>DEVOLUCIÓN ENTREGADA A ORIGEN</v>
      </c>
      <c r="AR1115" s="65"/>
      <c r="AS1115" s="65"/>
      <c r="AT1115" s="65" t="str">
        <f>IFERROR(__xludf.DUMMYFUNCTION("""COMPUTED_VALUE"""),"SHOPIFY")</f>
        <v>SHOPIFY</v>
      </c>
      <c r="AU1115" s="65" t="str">
        <f>IFERROR(__xludf.DUMMYFUNCTION("""COMPUTED_VALUE"""),"IMPORTEX EC")</f>
        <v>IMPORTEX EC</v>
      </c>
      <c r="AV1115" s="65" t="str">
        <f>IFERROR(__xludf.DUMMYFUNCTION("""COMPUTED_VALUE"""),"6470087376940")</f>
        <v>6470087376940</v>
      </c>
      <c r="AW1115" s="65">
        <f>IFERROR(__xludf.DUMMYFUNCTION("""COMPUTED_VALUE"""),5793.0)</f>
        <v>5793</v>
      </c>
      <c r="AX1115" s="65"/>
      <c r="AY1115" s="65" t="str">
        <f>IFERROR(__xludf.DUMMYFUNCTION("""COMPUTED_VALUE"""),"03/02/2026")</f>
        <v>03/02/2026</v>
      </c>
      <c r="AZ1115" s="65"/>
      <c r="BA1115" s="65"/>
    </row>
    <row r="1116">
      <c r="A1116" s="65" t="str">
        <f>IFERROR(__xludf.DUMMYFUNCTION("""COMPUTED_VALUE"""),"27-03-2026")</f>
        <v>27-03-2026</v>
      </c>
      <c r="B1116" s="65">
        <f>IFERROR(__xludf.DUMMYFUNCTION("""COMPUTED_VALUE"""),4359117.0)</f>
        <v>4359117</v>
      </c>
      <c r="C1116" s="65" t="str">
        <f>IFERROR(__xludf.DUMMYFUNCTION("""COMPUTED_VALUE"""),"22:23")</f>
        <v>22:23</v>
      </c>
      <c r="D1116" s="65" t="str">
        <f>IFERROR(__xludf.DUMMYFUNCTION("""COMPUTED_VALUE"""),"01-02-2026")</f>
        <v>01-02-2026</v>
      </c>
      <c r="E1116" s="65" t="str">
        <f>IFERROR(__xludf.DUMMYFUNCTION("""COMPUTED_VALUE"""),"Patricio Cayo")</f>
        <v>Patricio Cayo</v>
      </c>
      <c r="F1116" s="65" t="str">
        <f>IFERROR(__xludf.DUMMYFUNCTION("""COMPUTED_VALUE"""),"999282237")</f>
        <v>999282237</v>
      </c>
      <c r="G1116" s="65" t="str">
        <f>IFERROR(__xludf.DUMMYFUNCTION("""COMPUTED_VALUE"""),"plcayo535@gmail.com")</f>
        <v>plcayo535@gmail.com</v>
      </c>
      <c r="H1116" s="65"/>
      <c r="I1116" s="65"/>
      <c r="J1116" s="65" t="str">
        <f>IFERROR(__xludf.DUMMYFUNCTION("""COMPUTED_VALUE"""),"D001291487")</f>
        <v>D001291487</v>
      </c>
      <c r="K1116" s="65" t="str">
        <f>IFERROR(__xludf.DUMMYFUNCTION("""COMPUTED_VALUE"""),"DEVOLUCION")</f>
        <v>DEVOLUCION</v>
      </c>
      <c r="L1116" s="65" t="str">
        <f>IFERROR(__xludf.DUMMYFUNCTION("""COMPUTED_VALUE"""),"CON RECAUDO")</f>
        <v>CON RECAUDO</v>
      </c>
      <c r="M1116" s="65" t="str">
        <f>IFERROR(__xludf.DUMMYFUNCTION("""COMPUTED_VALUE"""),"COTOPAXI")</f>
        <v>COTOPAXI</v>
      </c>
      <c r="N1116" s="65" t="str">
        <f>IFERROR(__xludf.DUMMYFUNCTION("""COMPUTED_VALUE"""),"PUJILI")</f>
        <v>PUJILI</v>
      </c>
      <c r="O1116" s="65" t="str">
        <f>IFERROR(__xludf.DUMMYFUNCTION("""COMPUTED_VALUE"""),"Gabriel García Moreno y aquilino cajas Barrio Oriente centro -")</f>
        <v>Gabriel García Moreno y aquilino cajas Barrio Oriente centro -</v>
      </c>
      <c r="P1116" s="65"/>
      <c r="Q1116" s="65" t="str">
        <f>IFERROR(__xludf.DUMMYFUNCTION("""COMPUTED_VALUE"""),"GINTRACOM")</f>
        <v>GINTRACOM</v>
      </c>
      <c r="R1116" s="65">
        <f>IFERROR(__xludf.DUMMYFUNCTION("""COMPUTED_VALUE"""),25.0)</f>
        <v>25</v>
      </c>
      <c r="S1116" s="65"/>
      <c r="T1116" s="65">
        <f>IFERROR(__xludf.DUMMYFUNCTION("""COMPUTED_VALUE"""),6.53)</f>
        <v>6.53</v>
      </c>
      <c r="U1116" s="65">
        <f>IFERROR(__xludf.DUMMYFUNCTION("""COMPUTED_VALUE"""),0.0)</f>
        <v>0</v>
      </c>
      <c r="V1116" s="65">
        <f>IFERROR(__xludf.DUMMYFUNCTION("""COMPUTED_VALUE"""),0.0)</f>
        <v>0</v>
      </c>
      <c r="W1116" s="65">
        <f>IFERROR(__xludf.DUMMYFUNCTION("""COMPUTED_VALUE"""),0.0)</f>
        <v>0</v>
      </c>
      <c r="X1116" s="65">
        <f>IFERROR(__xludf.DUMMYFUNCTION("""COMPUTED_VALUE"""),2.35)</f>
        <v>2.35</v>
      </c>
      <c r="Y1116" s="65">
        <f>IFERROR(__xludf.DUMMYFUNCTION("""COMPUTED_VALUE"""),4.7)</f>
        <v>4.7</v>
      </c>
      <c r="Z1116" s="65">
        <f>IFERROR(__xludf.DUMMYFUNCTION("""COMPUTED_VALUE"""),116679.0)</f>
        <v>116679</v>
      </c>
      <c r="AA1116" s="65" t="str">
        <f>IFERROR(__xludf.DUMMYFUNCTION("""COMPUTED_VALUE"""),"AMC-2738")</f>
        <v>AMC-2738</v>
      </c>
      <c r="AB1116" s="65"/>
      <c r="AC1116" s="65" t="str">
        <f>IFERROR(__xludf.DUMMYFUNCTION("""COMPUTED_VALUE"""),"ESPONJA ANTILLUVIA DE PARABRISAS")</f>
        <v>ESPONJA ANTILLUVIA DE PARABRISAS</v>
      </c>
      <c r="AD1116" s="65"/>
      <c r="AE1116" s="65">
        <f>IFERROR(__xludf.DUMMYFUNCTION("""COMPUTED_VALUE"""),2.0)</f>
        <v>2</v>
      </c>
      <c r="AF1116" s="65" t="str">
        <f>IFERROR(__xludf.DUMMYFUNCTION("""COMPUTED_VALUE"""),"DESTINATARIO INDICA QUE YA NO DESEA EL PRODUCTO")</f>
        <v>DESTINATARIO INDICA QUE YA NO DESEA EL PRODUCTO</v>
      </c>
      <c r="AG1116" s="65" t="str">
        <f>IFERROR(__xludf.DUMMYFUNCTION("""COMPUTED_VALUE"""),"NO")</f>
        <v>NO</v>
      </c>
      <c r="AH1116" s="65" t="str">
        <f>IFERROR(__xludf.DUMMYFUNCTION("""COMPUTED_VALUE"""),"11:27")</f>
        <v>11:27</v>
      </c>
      <c r="AI1116" s="65" t="str">
        <f>IFERROR(__xludf.DUMMYFUNCTION("""COMPUTED_VALUE"""),"07-02-2026")</f>
        <v>07-02-2026</v>
      </c>
      <c r="AJ1116" s="65"/>
      <c r="AK1116" s="65"/>
      <c r="AL1116" s="65"/>
      <c r="AM1116" s="65"/>
      <c r="AN1116" s="65" t="str">
        <f>IFERROR(__xludf.DUMMYFUNCTION("""COMPUTED_VALUE"""),"22:07")</f>
        <v>22:07</v>
      </c>
      <c r="AO1116" s="65" t="str">
        <f>IFERROR(__xludf.DUMMYFUNCTION("""COMPUTED_VALUE"""),"02-03-2026")</f>
        <v>02-03-2026</v>
      </c>
      <c r="AP1116" s="65" t="str">
        <f>IFERROR(__xludf.DUMMYFUNCTION("""COMPUTED_VALUE"""),"DEVOLUCIÓN ENTREGADA A ORIGEN")</f>
        <v>DEVOLUCIÓN ENTREGADA A ORIGEN</v>
      </c>
      <c r="AQ1116" s="65" t="str">
        <f>IFERROR(__xludf.DUMMYFUNCTION("""COMPUTED_VALUE"""),"DEVOLUCIÓN ENTREGADA A ORIGEN")</f>
        <v>DEVOLUCIÓN ENTREGADA A ORIGEN</v>
      </c>
      <c r="AR1116" s="65"/>
      <c r="AS1116" s="65"/>
      <c r="AT1116" s="65" t="str">
        <f>IFERROR(__xludf.DUMMYFUNCTION("""COMPUTED_VALUE"""),"SHOPIFY")</f>
        <v>SHOPIFY</v>
      </c>
      <c r="AU1116" s="65" t="str">
        <f>IFERROR(__xludf.DUMMYFUNCTION("""COMPUTED_VALUE"""),"IMPORTEX EC")</f>
        <v>IMPORTEX EC</v>
      </c>
      <c r="AV1116" s="65" t="str">
        <f>IFERROR(__xludf.DUMMYFUNCTION("""COMPUTED_VALUE"""),"6470060933164")</f>
        <v>6470060933164</v>
      </c>
      <c r="AW1116" s="65">
        <f>IFERROR(__xludf.DUMMYFUNCTION("""COMPUTED_VALUE"""),5792.0)</f>
        <v>5792</v>
      </c>
      <c r="AX1116" s="65"/>
      <c r="AY1116" s="65" t="str">
        <f>IFERROR(__xludf.DUMMYFUNCTION("""COMPUTED_VALUE"""),"03/02/2026")</f>
        <v>03/02/2026</v>
      </c>
      <c r="AZ1116" s="65"/>
      <c r="BA1116" s="65"/>
    </row>
    <row r="1117">
      <c r="A1117" s="65" t="str">
        <f>IFERROR(__xludf.DUMMYFUNCTION("""COMPUTED_VALUE"""),"27-03-2026")</f>
        <v>27-03-2026</v>
      </c>
      <c r="B1117" s="65">
        <f>IFERROR(__xludf.DUMMYFUNCTION("""COMPUTED_VALUE"""),4358278.0)</f>
        <v>4358278</v>
      </c>
      <c r="C1117" s="65" t="str">
        <f>IFERROR(__xludf.DUMMYFUNCTION("""COMPUTED_VALUE"""),"21:37")</f>
        <v>21:37</v>
      </c>
      <c r="D1117" s="65" t="str">
        <f>IFERROR(__xludf.DUMMYFUNCTION("""COMPUTED_VALUE"""),"01-02-2026")</f>
        <v>01-02-2026</v>
      </c>
      <c r="E1117" s="65" t="str">
        <f>IFERROR(__xludf.DUMMYFUNCTION("""COMPUTED_VALUE"""),"Rafael Buñay")</f>
        <v>Rafael Buñay</v>
      </c>
      <c r="F1117" s="65" t="str">
        <f>IFERROR(__xludf.DUMMYFUNCTION("""COMPUTED_VALUE"""),"993076311")</f>
        <v>993076311</v>
      </c>
      <c r="G1117" s="65" t="str">
        <f>IFERROR(__xludf.DUMMYFUNCTION("""COMPUTED_VALUE"""),"rbunaymenoscal@gmail.comr")</f>
        <v>rbunaymenoscal@gmail.comr</v>
      </c>
      <c r="H1117" s="65"/>
      <c r="I1117" s="65"/>
      <c r="J1117" s="65" t="str">
        <f>IFERROR(__xludf.DUMMYFUNCTION("""COMPUTED_VALUE"""),"D001290799")</f>
        <v>D001290799</v>
      </c>
      <c r="K1117" s="65" t="str">
        <f>IFERROR(__xludf.DUMMYFUNCTION("""COMPUTED_VALUE"""),"ENTREGADO")</f>
        <v>ENTREGADO</v>
      </c>
      <c r="L1117" s="65" t="str">
        <f>IFERROR(__xludf.DUMMYFUNCTION("""COMPUTED_VALUE"""),"CON RECAUDO")</f>
        <v>CON RECAUDO</v>
      </c>
      <c r="M1117" s="65" t="str">
        <f>IFERROR(__xludf.DUMMYFUNCTION("""COMPUTED_VALUE"""),"GUAYAS")</f>
        <v>GUAYAS</v>
      </c>
      <c r="N1117" s="65" t="str">
        <f>IFERROR(__xludf.DUMMYFUNCTION("""COMPUTED_VALUE"""),"GUAYAQUIL")</f>
        <v>GUAYAQUIL</v>
      </c>
      <c r="O1117" s="65" t="str">
        <f>IFERROR(__xludf.DUMMYFUNCTION("""COMPUTED_VALUE"""),"Puerto azul mz. B4a villa 5 Por la liga -")</f>
        <v>Puerto azul mz. B4a villa 5 Por la liga -</v>
      </c>
      <c r="P1117" s="65"/>
      <c r="Q1117" s="65" t="str">
        <f>IFERROR(__xludf.DUMMYFUNCTION("""COMPUTED_VALUE"""),"GINTRACOM")</f>
        <v>GINTRACOM</v>
      </c>
      <c r="R1117" s="65">
        <f>IFERROR(__xludf.DUMMYFUNCTION("""COMPUTED_VALUE"""),19.99)</f>
        <v>19.99</v>
      </c>
      <c r="S1117" s="65">
        <f>IFERROR(__xludf.DUMMYFUNCTION("""COMPUTED_VALUE"""),9.24)</f>
        <v>9.24</v>
      </c>
      <c r="T1117" s="65">
        <f>IFERROR(__xludf.DUMMYFUNCTION("""COMPUTED_VALUE"""),5.75)</f>
        <v>5.75</v>
      </c>
      <c r="U1117" s="65">
        <f>IFERROR(__xludf.DUMMYFUNCTION("""COMPUTED_VALUE"""),0.0)</f>
        <v>0</v>
      </c>
      <c r="V1117" s="65">
        <f>IFERROR(__xludf.DUMMYFUNCTION("""COMPUTED_VALUE"""),0.0)</f>
        <v>0</v>
      </c>
      <c r="W1117" s="65">
        <f>IFERROR(__xludf.DUMMYFUNCTION("""COMPUTED_VALUE"""),0.0)</f>
        <v>0</v>
      </c>
      <c r="X1117" s="65">
        <f>IFERROR(__xludf.DUMMYFUNCTION("""COMPUTED_VALUE"""),5.0)</f>
        <v>5</v>
      </c>
      <c r="Y1117" s="65">
        <f>IFERROR(__xludf.DUMMYFUNCTION("""COMPUTED_VALUE"""),5.0)</f>
        <v>5</v>
      </c>
      <c r="Z1117" s="65">
        <f>IFERROR(__xludf.DUMMYFUNCTION("""COMPUTED_VALUE"""),110064.0)</f>
        <v>110064</v>
      </c>
      <c r="AA1117" s="65" t="str">
        <f>IFERROR(__xludf.DUMMYFUNCTION("""COMPUTED_VALUE"""),"IMX-00001")</f>
        <v>IMX-00001</v>
      </c>
      <c r="AB1117" s="65"/>
      <c r="AC1117" s="65" t="str">
        <f>IFERROR(__xludf.DUMMYFUNCTION("""COMPUTED_VALUE"""),"LLAVE TRINQUETE")</f>
        <v>LLAVE TRINQUETE</v>
      </c>
      <c r="AD1117" s="65"/>
      <c r="AE1117" s="65">
        <f>IFERROR(__xludf.DUMMYFUNCTION("""COMPUTED_VALUE"""),1.0)</f>
        <v>1</v>
      </c>
      <c r="AF1117" s="65"/>
      <c r="AG1117" s="65"/>
      <c r="AH1117" s="65"/>
      <c r="AI1117" s="65"/>
      <c r="AJ1117" s="65"/>
      <c r="AK1117" s="65"/>
      <c r="AL1117" s="65"/>
      <c r="AM1117" s="65"/>
      <c r="AN1117" s="65"/>
      <c r="AO1117" s="65"/>
      <c r="AP1117" s="65"/>
      <c r="AQ1117" s="65"/>
      <c r="AR1117" s="65"/>
      <c r="AS1117" s="65"/>
      <c r="AT1117" s="65" t="str">
        <f>IFERROR(__xludf.DUMMYFUNCTION("""COMPUTED_VALUE"""),"SHOPIFY")</f>
        <v>SHOPIFY</v>
      </c>
      <c r="AU1117" s="65" t="str">
        <f>IFERROR(__xludf.DUMMYFUNCTION("""COMPUTED_VALUE"""),"IMPORTEX EC")</f>
        <v>IMPORTEX EC</v>
      </c>
      <c r="AV1117" s="65" t="str">
        <f>IFERROR(__xludf.DUMMYFUNCTION("""COMPUTED_VALUE"""),"6469934415916")</f>
        <v>6469934415916</v>
      </c>
      <c r="AW1117" s="65">
        <f>IFERROR(__xludf.DUMMYFUNCTION("""COMPUTED_VALUE"""),5791.0)</f>
        <v>5791</v>
      </c>
      <c r="AX1117" s="65"/>
      <c r="AY1117" s="65" t="str">
        <f>IFERROR(__xludf.DUMMYFUNCTION("""COMPUTED_VALUE"""),"03/02/2026")</f>
        <v>03/02/2026</v>
      </c>
      <c r="AZ1117" s="65"/>
      <c r="BA1117" s="65"/>
    </row>
    <row r="1118">
      <c r="A1118" s="65" t="str">
        <f>IFERROR(__xludf.DUMMYFUNCTION("""COMPUTED_VALUE"""),"27-03-2026")</f>
        <v>27-03-2026</v>
      </c>
      <c r="B1118" s="65">
        <f>IFERROR(__xludf.DUMMYFUNCTION("""COMPUTED_VALUE"""),4358161.0)</f>
        <v>4358161</v>
      </c>
      <c r="C1118" s="65" t="str">
        <f>IFERROR(__xludf.DUMMYFUNCTION("""COMPUTED_VALUE"""),"21:29")</f>
        <v>21:29</v>
      </c>
      <c r="D1118" s="65" t="str">
        <f>IFERROR(__xludf.DUMMYFUNCTION("""COMPUTED_VALUE"""),"01-02-2026")</f>
        <v>01-02-2026</v>
      </c>
      <c r="E1118" s="65" t="str">
        <f>IFERROR(__xludf.DUMMYFUNCTION("""COMPUTED_VALUE"""),"Juan jose Ramos fonte")</f>
        <v>Juan jose Ramos fonte</v>
      </c>
      <c r="F1118" s="65" t="str">
        <f>IFERROR(__xludf.DUMMYFUNCTION("""COMPUTED_VALUE"""),"983755701")</f>
        <v>983755701</v>
      </c>
      <c r="G1118" s="65"/>
      <c r="H1118" s="65"/>
      <c r="I1118" s="65"/>
      <c r="J1118" s="65" t="str">
        <f>IFERROR(__xludf.DUMMYFUNCTION("""COMPUTED_VALUE"""),"D001290765")</f>
        <v>D001290765</v>
      </c>
      <c r="K1118" s="65" t="str">
        <f>IFERROR(__xludf.DUMMYFUNCTION("""COMPUTED_VALUE"""),"ENTREGADO")</f>
        <v>ENTREGADO</v>
      </c>
      <c r="L1118" s="65" t="str">
        <f>IFERROR(__xludf.DUMMYFUNCTION("""COMPUTED_VALUE"""),"CON RECAUDO")</f>
        <v>CON RECAUDO</v>
      </c>
      <c r="M1118" s="65" t="str">
        <f>IFERROR(__xludf.DUMMYFUNCTION("""COMPUTED_VALUE"""),"PICHINCHA")</f>
        <v>PICHINCHA</v>
      </c>
      <c r="N1118" s="65" t="str">
        <f>IFERROR(__xludf.DUMMYFUNCTION("""COMPUTED_VALUE"""),"QUITO")</f>
        <v>QUITO</v>
      </c>
      <c r="O1118" s="65" t="str">
        <f>IFERROR(__xludf.DUMMYFUNCTION("""COMPUTED_VALUE"""),"Pedro campaña N64-86 y Rafael Echeverria Comité del Pueblo -")</f>
        <v>Pedro campaña N64-86 y Rafael Echeverria Comité del Pueblo -</v>
      </c>
      <c r="P1118" s="65"/>
      <c r="Q1118" s="65" t="str">
        <f>IFERROR(__xludf.DUMMYFUNCTION("""COMPUTED_VALUE"""),"GINTRACOM")</f>
        <v>GINTRACOM</v>
      </c>
      <c r="R1118" s="65">
        <f>IFERROR(__xludf.DUMMYFUNCTION("""COMPUTED_VALUE"""),22.0)</f>
        <v>22</v>
      </c>
      <c r="S1118" s="65">
        <f>IFERROR(__xludf.DUMMYFUNCTION("""COMPUTED_VALUE"""),10.96)</f>
        <v>10.96</v>
      </c>
      <c r="T1118" s="65">
        <f>IFERROR(__xludf.DUMMYFUNCTION("""COMPUTED_VALUE"""),5.84)</f>
        <v>5.84</v>
      </c>
      <c r="U1118" s="65">
        <f>IFERROR(__xludf.DUMMYFUNCTION("""COMPUTED_VALUE"""),0.0)</f>
        <v>0</v>
      </c>
      <c r="V1118" s="65">
        <f>IFERROR(__xludf.DUMMYFUNCTION("""COMPUTED_VALUE"""),0.0)</f>
        <v>0</v>
      </c>
      <c r="W1118" s="65">
        <f>IFERROR(__xludf.DUMMYFUNCTION("""COMPUTED_VALUE"""),0.0)</f>
        <v>0</v>
      </c>
      <c r="X1118" s="65">
        <f>IFERROR(__xludf.DUMMYFUNCTION("""COMPUTED_VALUE"""),2.6)</f>
        <v>2.6</v>
      </c>
      <c r="Y1118" s="65">
        <f>IFERROR(__xludf.DUMMYFUNCTION("""COMPUTED_VALUE"""),5.2)</f>
        <v>5.2</v>
      </c>
      <c r="Z1118" s="65">
        <f>IFERROR(__xludf.DUMMYFUNCTION("""COMPUTED_VALUE"""),121983.0)</f>
        <v>121983</v>
      </c>
      <c r="AA1118" s="65" t="str">
        <f>IFERROR(__xludf.DUMMYFUNCTION("""COMPUTED_VALUE"""),"PROV-CHLLCF")</f>
        <v>PROV-CHLLCF</v>
      </c>
      <c r="AB1118" s="65"/>
      <c r="AC1118" s="65" t="str">
        <f>IFERROR(__xludf.DUMMYFUNCTION("""COMPUTED_VALUE"""),"CUCHILLO PARA CHEF")</f>
        <v>CUCHILLO PARA CHEF</v>
      </c>
      <c r="AD1118" s="65"/>
      <c r="AE1118" s="65">
        <f>IFERROR(__xludf.DUMMYFUNCTION("""COMPUTED_VALUE"""),2.0)</f>
        <v>2</v>
      </c>
      <c r="AF1118" s="65"/>
      <c r="AG1118" s="65"/>
      <c r="AH1118" s="65"/>
      <c r="AI1118" s="65"/>
      <c r="AJ1118" s="65"/>
      <c r="AK1118" s="65"/>
      <c r="AL1118" s="65"/>
      <c r="AM1118" s="65"/>
      <c r="AN1118" s="65"/>
      <c r="AO1118" s="65"/>
      <c r="AP1118" s="65"/>
      <c r="AQ1118" s="65"/>
      <c r="AR1118" s="65"/>
      <c r="AS1118" s="65"/>
      <c r="AT1118" s="65" t="str">
        <f>IFERROR(__xludf.DUMMYFUNCTION("""COMPUTED_VALUE"""),"SHOPIFY")</f>
        <v>SHOPIFY</v>
      </c>
      <c r="AU1118" s="65" t="str">
        <f>IFERROR(__xludf.DUMMYFUNCTION("""COMPUTED_VALUE"""),"IMPORTEX EC")</f>
        <v>IMPORTEX EC</v>
      </c>
      <c r="AV1118" s="65" t="str">
        <f>IFERROR(__xludf.DUMMYFUNCTION("""COMPUTED_VALUE"""),"6469920358444")</f>
        <v>6469920358444</v>
      </c>
      <c r="AW1118" s="65">
        <f>IFERROR(__xludf.DUMMYFUNCTION("""COMPUTED_VALUE"""),5790.0)</f>
        <v>5790</v>
      </c>
      <c r="AX1118" s="65"/>
      <c r="AY1118" s="65" t="str">
        <f>IFERROR(__xludf.DUMMYFUNCTION("""COMPUTED_VALUE"""),"03/02/2026")</f>
        <v>03/02/2026</v>
      </c>
      <c r="AZ1118" s="65"/>
      <c r="BA1118" s="65"/>
    </row>
    <row r="1119">
      <c r="A1119" s="65" t="str">
        <f>IFERROR(__xludf.DUMMYFUNCTION("""COMPUTED_VALUE"""),"27-03-2026")</f>
        <v>27-03-2026</v>
      </c>
      <c r="B1119" s="65">
        <f>IFERROR(__xludf.DUMMYFUNCTION("""COMPUTED_VALUE"""),4358002.0)</f>
        <v>4358002</v>
      </c>
      <c r="C1119" s="65" t="str">
        <f>IFERROR(__xludf.DUMMYFUNCTION("""COMPUTED_VALUE"""),"21:16")</f>
        <v>21:16</v>
      </c>
      <c r="D1119" s="65" t="str">
        <f>IFERROR(__xludf.DUMMYFUNCTION("""COMPUTED_VALUE"""),"01-02-2026")</f>
        <v>01-02-2026</v>
      </c>
      <c r="E1119" s="65" t="str">
        <f>IFERROR(__xludf.DUMMYFUNCTION("""COMPUTED_VALUE"""),"Patricio Vargas")</f>
        <v>Patricio Vargas</v>
      </c>
      <c r="F1119" s="65" t="str">
        <f>IFERROR(__xludf.DUMMYFUNCTION("""COMPUTED_VALUE"""),"988230705")</f>
        <v>988230705</v>
      </c>
      <c r="G1119" s="65" t="str">
        <f>IFERROR(__xludf.DUMMYFUNCTION("""COMPUTED_VALUE"""),"patovarcer@yahoo.com")</f>
        <v>patovarcer@yahoo.com</v>
      </c>
      <c r="H1119" s="65"/>
      <c r="I1119" s="65"/>
      <c r="J1119" s="65" t="str">
        <f>IFERROR(__xludf.DUMMYFUNCTION("""COMPUTED_VALUE"""),"D001290800")</f>
        <v>D001290800</v>
      </c>
      <c r="K1119" s="65" t="str">
        <f>IFERROR(__xludf.DUMMYFUNCTION("""COMPUTED_VALUE"""),"ENTREGADO")</f>
        <v>ENTREGADO</v>
      </c>
      <c r="L1119" s="65" t="str">
        <f>IFERROR(__xludf.DUMMYFUNCTION("""COMPUTED_VALUE"""),"CON RECAUDO")</f>
        <v>CON RECAUDO</v>
      </c>
      <c r="M1119" s="65" t="str">
        <f>IFERROR(__xludf.DUMMYFUNCTION("""COMPUTED_VALUE"""),"PASTAZA")</f>
        <v>PASTAZA</v>
      </c>
      <c r="N1119" s="65" t="str">
        <f>IFERROR(__xludf.DUMMYFUNCTION("""COMPUTED_VALUE"""),"PUYO")</f>
        <v>PUYO</v>
      </c>
      <c r="O1119" s="65" t="str">
        <f>IFERROR(__xludf.DUMMYFUNCTION("""COMPUTED_VALUE"""),"Av. Luis Oleas Castillo Union Base, ADJUNTO EN NOTAS UBICACION GOOGLE MAPS")</f>
        <v>Av. Luis Oleas Castillo Union Base, ADJUNTO EN NOTAS UBICACION GOOGLE MAPS</v>
      </c>
      <c r="P1119" s="68" t="str">
        <f>IFERROR(__xludf.DUMMYFUNCTION("""COMPUTED_VALUE"""),"https://www.google.com/maps/place/1%C2%B030'09.8%22S+77%C2%B058'54.9%22W/@-1.502904,-77.9822402,18.25z/data=!4m4!3m3!8m2!3d-1.5027248!4d-77.9819107?entry=ttu&amp;g_ep=EgoyMDI2MDEyOC4wIKXMDSoASAFQAw%3D%3D")</f>
        <v>https://www.google.com/maps/place/1%C2%B030'09.8%22S+77%C2%B058'54.9%22W/@-1.502904,-77.9822402,18.25z/data=!4m4!3m3!8m2!3d-1.5027248!4d-77.9819107?entry=ttu&amp;g_ep=EgoyMDI2MDEyOC4wIKXMDSoASAFQAw%3D%3D</v>
      </c>
      <c r="Q1119" s="65" t="str">
        <f>IFERROR(__xludf.DUMMYFUNCTION("""COMPUTED_VALUE"""),"GINTRACOM")</f>
        <v>GINTRACOM</v>
      </c>
      <c r="R1119" s="65">
        <f>IFERROR(__xludf.DUMMYFUNCTION("""COMPUTED_VALUE"""),19.99)</f>
        <v>19.99</v>
      </c>
      <c r="S1119" s="65">
        <f>IFERROR(__xludf.DUMMYFUNCTION("""COMPUTED_VALUE"""),9.24)</f>
        <v>9.24</v>
      </c>
      <c r="T1119" s="65">
        <f>IFERROR(__xludf.DUMMYFUNCTION("""COMPUTED_VALUE"""),5.75)</f>
        <v>5.75</v>
      </c>
      <c r="U1119" s="65">
        <f>IFERROR(__xludf.DUMMYFUNCTION("""COMPUTED_VALUE"""),0.0)</f>
        <v>0</v>
      </c>
      <c r="V1119" s="65">
        <f>IFERROR(__xludf.DUMMYFUNCTION("""COMPUTED_VALUE"""),0.0)</f>
        <v>0</v>
      </c>
      <c r="W1119" s="65">
        <f>IFERROR(__xludf.DUMMYFUNCTION("""COMPUTED_VALUE"""),0.0)</f>
        <v>0</v>
      </c>
      <c r="X1119" s="65">
        <f>IFERROR(__xludf.DUMMYFUNCTION("""COMPUTED_VALUE"""),5.0)</f>
        <v>5</v>
      </c>
      <c r="Y1119" s="65">
        <f>IFERROR(__xludf.DUMMYFUNCTION("""COMPUTED_VALUE"""),5.0)</f>
        <v>5</v>
      </c>
      <c r="Z1119" s="65">
        <f>IFERROR(__xludf.DUMMYFUNCTION("""COMPUTED_VALUE"""),110064.0)</f>
        <v>110064</v>
      </c>
      <c r="AA1119" s="65" t="str">
        <f>IFERROR(__xludf.DUMMYFUNCTION("""COMPUTED_VALUE"""),"IMX-00001")</f>
        <v>IMX-00001</v>
      </c>
      <c r="AB1119" s="65"/>
      <c r="AC1119" s="65" t="str">
        <f>IFERROR(__xludf.DUMMYFUNCTION("""COMPUTED_VALUE"""),"LLAVE TRINQUETE")</f>
        <v>LLAVE TRINQUETE</v>
      </c>
      <c r="AD1119" s="65"/>
      <c r="AE1119" s="65">
        <f>IFERROR(__xludf.DUMMYFUNCTION("""COMPUTED_VALUE"""),1.0)</f>
        <v>1</v>
      </c>
      <c r="AF1119" s="65" t="str">
        <f>IFERROR(__xludf.DUMMYFUNCTION("""COMPUTED_VALUE"""),"DESTINATARIO NO CONTESTA LLAMADAS NI WHATSAPP")</f>
        <v>DESTINATARIO NO CONTESTA LLAMADAS NI WHATSAPP</v>
      </c>
      <c r="AG1119" s="65" t="str">
        <f>IFERROR(__xludf.DUMMYFUNCTION("""COMPUTED_VALUE"""),"SI")</f>
        <v>SI</v>
      </c>
      <c r="AH1119" s="65" t="str">
        <f>IFERROR(__xludf.DUMMYFUNCTION("""COMPUTED_VALUE"""),"16:46")</f>
        <v>16:46</v>
      </c>
      <c r="AI1119" s="65" t="str">
        <f>IFERROR(__xludf.DUMMYFUNCTION("""COMPUTED_VALUE"""),"05-02-2026")</f>
        <v>05-02-2026</v>
      </c>
      <c r="AJ1119" s="65"/>
      <c r="AK1119" s="65"/>
      <c r="AL1119" s="65"/>
      <c r="AM1119" s="65"/>
      <c r="AN1119" s="65" t="str">
        <f>IFERROR(__xludf.DUMMYFUNCTION("""COMPUTED_VALUE"""),"10:16")</f>
        <v>10:16</v>
      </c>
      <c r="AO1119" s="65" t="str">
        <f>IFERROR(__xludf.DUMMYFUNCTION("""COMPUTED_VALUE"""),"11-02-2026")</f>
        <v>11-02-2026</v>
      </c>
      <c r="AP1119" s="65" t="str">
        <f>IFERROR(__xludf.DUMMYFUNCTION("""COMPUTED_VALUE"""),"ENTREGADA GINTRACOM")</f>
        <v>ENTREGADA GINTRACOM</v>
      </c>
      <c r="AQ1119" s="65" t="str">
        <f>IFERROR(__xludf.DUMMYFUNCTION("""COMPUTED_VALUE"""),"ENTREGADA GINTRACOM")</f>
        <v>ENTREGADA GINTRACOM</v>
      </c>
      <c r="AR1119" s="65"/>
      <c r="AS1119" s="65"/>
      <c r="AT1119" s="65" t="str">
        <f>IFERROR(__xludf.DUMMYFUNCTION("""COMPUTED_VALUE"""),"SHOPIFY")</f>
        <v>SHOPIFY</v>
      </c>
      <c r="AU1119" s="65" t="str">
        <f>IFERROR(__xludf.DUMMYFUNCTION("""COMPUTED_VALUE"""),"IMPORTEX EC")</f>
        <v>IMPORTEX EC</v>
      </c>
      <c r="AV1119" s="65" t="str">
        <f>IFERROR(__xludf.DUMMYFUNCTION("""COMPUTED_VALUE"""),"6469885591596")</f>
        <v>6469885591596</v>
      </c>
      <c r="AW1119" s="65">
        <f>IFERROR(__xludf.DUMMYFUNCTION("""COMPUTED_VALUE"""),5789.0)</f>
        <v>5789</v>
      </c>
      <c r="AX1119" s="65"/>
      <c r="AY1119" s="65" t="str">
        <f>IFERROR(__xludf.DUMMYFUNCTION("""COMPUTED_VALUE"""),"03/02/2026")</f>
        <v>03/02/2026</v>
      </c>
      <c r="AZ1119" s="65"/>
      <c r="BA1119" s="65"/>
    </row>
    <row r="1120">
      <c r="A1120" s="65" t="str">
        <f>IFERROR(__xludf.DUMMYFUNCTION("""COMPUTED_VALUE"""),"27-03-2026")</f>
        <v>27-03-2026</v>
      </c>
      <c r="B1120" s="65">
        <f>IFERROR(__xludf.DUMMYFUNCTION("""COMPUTED_VALUE"""),4358000.0)</f>
        <v>4358000</v>
      </c>
      <c r="C1120" s="65" t="str">
        <f>IFERROR(__xludf.DUMMYFUNCTION("""COMPUTED_VALUE"""),"21:15")</f>
        <v>21:15</v>
      </c>
      <c r="D1120" s="65" t="str">
        <f>IFERROR(__xludf.DUMMYFUNCTION("""COMPUTED_VALUE"""),"01-02-2026")</f>
        <v>01-02-2026</v>
      </c>
      <c r="E1120" s="65" t="str">
        <f>IFERROR(__xludf.DUMMYFUNCTION("""COMPUTED_VALUE"""),"Agripino Milciades Fernandez Nupia")</f>
        <v>Agripino Milciades Fernandez Nupia</v>
      </c>
      <c r="F1120" s="65" t="str">
        <f>IFERROR(__xludf.DUMMYFUNCTION("""COMPUTED_VALUE"""),"987912213")</f>
        <v>987912213</v>
      </c>
      <c r="G1120" s="65" t="str">
        <f>IFERROR(__xludf.DUMMYFUNCTION("""COMPUTED_VALUE"""),"milciades244@hotmail.com")</f>
        <v>milciades244@hotmail.com</v>
      </c>
      <c r="H1120" s="65"/>
      <c r="I1120" s="65"/>
      <c r="J1120" s="65"/>
      <c r="K1120" s="65" t="str">
        <f>IFERROR(__xludf.DUMMYFUNCTION("""COMPUTED_VALUE"""),"CANCELADO")</f>
        <v>CANCELADO</v>
      </c>
      <c r="L1120" s="65" t="str">
        <f>IFERROR(__xludf.DUMMYFUNCTION("""COMPUTED_VALUE"""),"CON RECAUDO")</f>
        <v>CON RECAUDO</v>
      </c>
      <c r="M1120" s="65" t="str">
        <f>IFERROR(__xludf.DUMMYFUNCTION("""COMPUTED_VALUE"""),"LOS RIOS")</f>
        <v>LOS RIOS</v>
      </c>
      <c r="N1120" s="65" t="str">
        <f>IFERROR(__xludf.DUMMYFUNCTION("""COMPUTED_VALUE"""),"QUEVEDO")</f>
        <v>QUEVEDO</v>
      </c>
      <c r="O1120" s="65" t="str">
        <f>IFERROR(__xludf.DUMMYFUNCTION("""COMPUTED_VALUE"""),"Manz A-10 , villa # 20 Parroquia "" El Guayacan"" -")</f>
        <v>Manz A-10 , villa # 20 Parroquia " El Guayacan" -</v>
      </c>
      <c r="P1120" s="65"/>
      <c r="Q1120" s="65" t="str">
        <f>IFERROR(__xludf.DUMMYFUNCTION("""COMPUTED_VALUE"""),"GINTRACOM")</f>
        <v>GINTRACOM</v>
      </c>
      <c r="R1120" s="65">
        <f>IFERROR(__xludf.DUMMYFUNCTION("""COMPUTED_VALUE"""),32.0)</f>
        <v>32</v>
      </c>
      <c r="S1120" s="65"/>
      <c r="T1120" s="65">
        <f>IFERROR(__xludf.DUMMYFUNCTION("""COMPUTED_VALUE"""),6.24)</f>
        <v>6.24</v>
      </c>
      <c r="U1120" s="65">
        <f>IFERROR(__xludf.DUMMYFUNCTION("""COMPUTED_VALUE"""),0.0)</f>
        <v>0</v>
      </c>
      <c r="V1120" s="65">
        <f>IFERROR(__xludf.DUMMYFUNCTION("""COMPUTED_VALUE"""),0.0)</f>
        <v>0</v>
      </c>
      <c r="W1120" s="65">
        <f>IFERROR(__xludf.DUMMYFUNCTION("""COMPUTED_VALUE"""),0.0)</f>
        <v>0</v>
      </c>
      <c r="X1120" s="65">
        <f>IFERROR(__xludf.DUMMYFUNCTION("""COMPUTED_VALUE"""),2.6)</f>
        <v>2.6</v>
      </c>
      <c r="Y1120" s="65">
        <f>IFERROR(__xludf.DUMMYFUNCTION("""COMPUTED_VALUE"""),10.4)</f>
        <v>10.4</v>
      </c>
      <c r="Z1120" s="65">
        <f>IFERROR(__xludf.DUMMYFUNCTION("""COMPUTED_VALUE"""),121983.0)</f>
        <v>121983</v>
      </c>
      <c r="AA1120" s="65" t="str">
        <f>IFERROR(__xludf.DUMMYFUNCTION("""COMPUTED_VALUE"""),"PROV-CHLLCF")</f>
        <v>PROV-CHLLCF</v>
      </c>
      <c r="AB1120" s="65"/>
      <c r="AC1120" s="65" t="str">
        <f>IFERROR(__xludf.DUMMYFUNCTION("""COMPUTED_VALUE"""),"CUCHILLO PARA CHEF")</f>
        <v>CUCHILLO PARA CHEF</v>
      </c>
      <c r="AD1120" s="65"/>
      <c r="AE1120" s="65">
        <f>IFERROR(__xludf.DUMMYFUNCTION("""COMPUTED_VALUE"""),4.0)</f>
        <v>4</v>
      </c>
      <c r="AF1120" s="65"/>
      <c r="AG1120" s="65"/>
      <c r="AH1120" s="65"/>
      <c r="AI1120" s="65"/>
      <c r="AJ1120" s="65"/>
      <c r="AK1120" s="65"/>
      <c r="AL1120" s="65"/>
      <c r="AM1120" s="65"/>
      <c r="AN1120" s="65"/>
      <c r="AO1120" s="65"/>
      <c r="AP1120" s="65"/>
      <c r="AQ1120" s="65"/>
      <c r="AR1120" s="65"/>
      <c r="AS1120" s="65"/>
      <c r="AT1120" s="65" t="str">
        <f>IFERROR(__xludf.DUMMYFUNCTION("""COMPUTED_VALUE"""),"SHOPIFY")</f>
        <v>SHOPIFY</v>
      </c>
      <c r="AU1120" s="65" t="str">
        <f>IFERROR(__xludf.DUMMYFUNCTION("""COMPUTED_VALUE"""),"IMPORTEX EC")</f>
        <v>IMPORTEX EC</v>
      </c>
      <c r="AV1120" s="65" t="str">
        <f>IFERROR(__xludf.DUMMYFUNCTION("""COMPUTED_VALUE"""),"6469885329452")</f>
        <v>6469885329452</v>
      </c>
      <c r="AW1120" s="65">
        <f>IFERROR(__xludf.DUMMYFUNCTION("""COMPUTED_VALUE"""),5788.0)</f>
        <v>5788</v>
      </c>
      <c r="AX1120" s="65"/>
      <c r="AY1120" s="65"/>
      <c r="AZ1120" s="65"/>
      <c r="BA1120" s="65"/>
    </row>
    <row r="1121">
      <c r="A1121" s="65" t="str">
        <f>IFERROR(__xludf.DUMMYFUNCTION("""COMPUTED_VALUE"""),"27-03-2026")</f>
        <v>27-03-2026</v>
      </c>
      <c r="B1121" s="65">
        <f>IFERROR(__xludf.DUMMYFUNCTION("""COMPUTED_VALUE"""),4357933.0)</f>
        <v>4357933</v>
      </c>
      <c r="C1121" s="65" t="str">
        <f>IFERROR(__xludf.DUMMYFUNCTION("""COMPUTED_VALUE"""),"21:10")</f>
        <v>21:10</v>
      </c>
      <c r="D1121" s="65" t="str">
        <f>IFERROR(__xludf.DUMMYFUNCTION("""COMPUTED_VALUE"""),"01-02-2026")</f>
        <v>01-02-2026</v>
      </c>
      <c r="E1121" s="65" t="str">
        <f>IFERROR(__xludf.DUMMYFUNCTION("""COMPUTED_VALUE"""),"Luís Zambrano")</f>
        <v>Luís Zambrano</v>
      </c>
      <c r="F1121" s="65" t="str">
        <f>IFERROR(__xludf.DUMMYFUNCTION("""COMPUTED_VALUE"""),"985391767")</f>
        <v>985391767</v>
      </c>
      <c r="G1121" s="65"/>
      <c r="H1121" s="65"/>
      <c r="I1121" s="65"/>
      <c r="J1121" s="65"/>
      <c r="K1121" s="65" t="str">
        <f>IFERROR(__xludf.DUMMYFUNCTION("""COMPUTED_VALUE"""),"PENDIENTE CONFIRMACION")</f>
        <v>PENDIENTE CONFIRMACION</v>
      </c>
      <c r="L1121" s="65" t="str">
        <f>IFERROR(__xludf.DUMMYFUNCTION("""COMPUTED_VALUE"""),"CON RECAUDO")</f>
        <v>CON RECAUDO</v>
      </c>
      <c r="M1121" s="65" t="str">
        <f>IFERROR(__xludf.DUMMYFUNCTION("""COMPUTED_VALUE"""),"MANABI")</f>
        <v>MANABI</v>
      </c>
      <c r="N1121" s="65" t="str">
        <f>IFERROR(__xludf.DUMMYFUNCTION("""COMPUTED_VALUE"""),"SAN ISIDRO (BAHIA)")</f>
        <v>SAN ISIDRO (BAHIA)</v>
      </c>
      <c r="O1121" s="65" t="str">
        <f>IFERROR(__xludf.DUMMYFUNCTION("""COMPUTED_VALUE"""),"San Isidro San Isidro -")</f>
        <v>San Isidro San Isidro -</v>
      </c>
      <c r="P1121" s="65"/>
      <c r="Q1121" s="65" t="str">
        <f>IFERROR(__xludf.DUMMYFUNCTION("""COMPUTED_VALUE"""),"SERVIENTREGA")</f>
        <v>SERVIENTREGA</v>
      </c>
      <c r="R1121" s="65">
        <f>IFERROR(__xludf.DUMMYFUNCTION("""COMPUTED_VALUE"""),32.0)</f>
        <v>32</v>
      </c>
      <c r="S1121" s="65"/>
      <c r="T1121" s="65">
        <f>IFERROR(__xludf.DUMMYFUNCTION("""COMPUTED_VALUE"""),7.85)</f>
        <v>7.85</v>
      </c>
      <c r="U1121" s="65">
        <f>IFERROR(__xludf.DUMMYFUNCTION("""COMPUTED_VALUE"""),0.0)</f>
        <v>0</v>
      </c>
      <c r="V1121" s="65">
        <f>IFERROR(__xludf.DUMMYFUNCTION("""COMPUTED_VALUE"""),0.0)</f>
        <v>0</v>
      </c>
      <c r="W1121" s="65">
        <f>IFERROR(__xludf.DUMMYFUNCTION("""COMPUTED_VALUE"""),0.0)</f>
        <v>0</v>
      </c>
      <c r="X1121" s="65">
        <f>IFERROR(__xludf.DUMMYFUNCTION("""COMPUTED_VALUE"""),2.6)</f>
        <v>2.6</v>
      </c>
      <c r="Y1121" s="65">
        <f>IFERROR(__xludf.DUMMYFUNCTION("""COMPUTED_VALUE"""),10.4)</f>
        <v>10.4</v>
      </c>
      <c r="Z1121" s="65">
        <f>IFERROR(__xludf.DUMMYFUNCTION("""COMPUTED_VALUE"""),121983.0)</f>
        <v>121983</v>
      </c>
      <c r="AA1121" s="65" t="str">
        <f>IFERROR(__xludf.DUMMYFUNCTION("""COMPUTED_VALUE"""),"PROV-CHLLCF")</f>
        <v>PROV-CHLLCF</v>
      </c>
      <c r="AB1121" s="65"/>
      <c r="AC1121" s="65" t="str">
        <f>IFERROR(__xludf.DUMMYFUNCTION("""COMPUTED_VALUE"""),"CUCHILLO PARA CHEF")</f>
        <v>CUCHILLO PARA CHEF</v>
      </c>
      <c r="AD1121" s="65"/>
      <c r="AE1121" s="65">
        <f>IFERROR(__xludf.DUMMYFUNCTION("""COMPUTED_VALUE"""),4.0)</f>
        <v>4</v>
      </c>
      <c r="AF1121" s="65"/>
      <c r="AG1121" s="65"/>
      <c r="AH1121" s="65"/>
      <c r="AI1121" s="65"/>
      <c r="AJ1121" s="65"/>
      <c r="AK1121" s="65"/>
      <c r="AL1121" s="65"/>
      <c r="AM1121" s="65"/>
      <c r="AN1121" s="65"/>
      <c r="AO1121" s="65"/>
      <c r="AP1121" s="65"/>
      <c r="AQ1121" s="65"/>
      <c r="AR1121" s="65"/>
      <c r="AS1121" s="65"/>
      <c r="AT1121" s="65" t="str">
        <f>IFERROR(__xludf.DUMMYFUNCTION("""COMPUTED_VALUE"""),"SHOPIFY")</f>
        <v>SHOPIFY</v>
      </c>
      <c r="AU1121" s="65" t="str">
        <f>IFERROR(__xludf.DUMMYFUNCTION("""COMPUTED_VALUE"""),"IMPORTEX EC")</f>
        <v>IMPORTEX EC</v>
      </c>
      <c r="AV1121" s="65" t="str">
        <f>IFERROR(__xludf.DUMMYFUNCTION("""COMPUTED_VALUE"""),"6469865996332")</f>
        <v>6469865996332</v>
      </c>
      <c r="AW1121" s="65">
        <f>IFERROR(__xludf.DUMMYFUNCTION("""COMPUTED_VALUE"""),5787.0)</f>
        <v>5787</v>
      </c>
      <c r="AX1121" s="65"/>
      <c r="AY1121" s="65"/>
      <c r="AZ1121" s="65"/>
      <c r="BA1121" s="65"/>
    </row>
    <row r="1122">
      <c r="A1122" s="65" t="str">
        <f>IFERROR(__xludf.DUMMYFUNCTION("""COMPUTED_VALUE"""),"27-03-2026")</f>
        <v>27-03-2026</v>
      </c>
      <c r="B1122" s="65">
        <f>IFERROR(__xludf.DUMMYFUNCTION("""COMPUTED_VALUE"""),4357920.0)</f>
        <v>4357920</v>
      </c>
      <c r="C1122" s="65" t="str">
        <f>IFERROR(__xludf.DUMMYFUNCTION("""COMPUTED_VALUE"""),"21:09")</f>
        <v>21:09</v>
      </c>
      <c r="D1122" s="65" t="str">
        <f>IFERROR(__xludf.DUMMYFUNCTION("""COMPUTED_VALUE"""),"01-02-2026")</f>
        <v>01-02-2026</v>
      </c>
      <c r="E1122" s="65" t="str">
        <f>IFERROR(__xludf.DUMMYFUNCTION("""COMPUTED_VALUE"""),"Leonel Lara s Lara Santana")</f>
        <v>Leonel Lara s Lara Santana</v>
      </c>
      <c r="F1122" s="65" t="str">
        <f>IFERROR(__xludf.DUMMYFUNCTION("""COMPUTED_VALUE"""),"993713535")</f>
        <v>993713535</v>
      </c>
      <c r="G1122" s="65" t="str">
        <f>IFERROR(__xludf.DUMMYFUNCTION("""COMPUTED_VALUE"""),"edwinlara74@outlook.com")</f>
        <v>edwinlara74@outlook.com</v>
      </c>
      <c r="H1122" s="65"/>
      <c r="I1122" s="65"/>
      <c r="J1122" s="65" t="str">
        <f>IFERROR(__xludf.DUMMYFUNCTION("""COMPUTED_VALUE"""),"D001295504")</f>
        <v>D001295504</v>
      </c>
      <c r="K1122" s="65" t="str">
        <f>IFERROR(__xludf.DUMMYFUNCTION("""COMPUTED_VALUE"""),"ENTREGADO")</f>
        <v>ENTREGADO</v>
      </c>
      <c r="L1122" s="65" t="str">
        <f>IFERROR(__xludf.DUMMYFUNCTION("""COMPUTED_VALUE"""),"CON RECAUDO")</f>
        <v>CON RECAUDO</v>
      </c>
      <c r="M1122" s="65" t="str">
        <f>IFERROR(__xludf.DUMMYFUNCTION("""COMPUTED_VALUE"""),"LOS RIOS")</f>
        <v>LOS RIOS</v>
      </c>
      <c r="N1122" s="65" t="str">
        <f>IFERROR(__xludf.DUMMYFUNCTION("""COMPUTED_VALUE"""),"BABAHOYO")</f>
        <v>BABAHOYO</v>
      </c>
      <c r="O1122" s="65" t="str">
        <f>IFERROR(__xludf.DUMMYFUNCTION("""COMPUTED_VALUE"""),"Avenida universitaria  Y Pasaje B , Esquina maquinarias j Espinosa FRENTE AL ESTADIO Rafael Vera Yepez")</f>
        <v>Avenida universitaria  Y Pasaje B , Esquina maquinarias j Espinosa FRENTE AL ESTADIO Rafael Vera Yepez</v>
      </c>
      <c r="P1122" s="65"/>
      <c r="Q1122" s="65" t="str">
        <f>IFERROR(__xludf.DUMMYFUNCTION("""COMPUTED_VALUE"""),"GINTRACOM")</f>
        <v>GINTRACOM</v>
      </c>
      <c r="R1122" s="65">
        <f>IFERROR(__xludf.DUMMYFUNCTION("""COMPUTED_VALUE"""),19.99)</f>
        <v>19.99</v>
      </c>
      <c r="S1122" s="65">
        <f>IFERROR(__xludf.DUMMYFUNCTION("""COMPUTED_VALUE"""),9.24)</f>
        <v>9.24</v>
      </c>
      <c r="T1122" s="65">
        <f>IFERROR(__xludf.DUMMYFUNCTION("""COMPUTED_VALUE"""),5.75)</f>
        <v>5.75</v>
      </c>
      <c r="U1122" s="65">
        <f>IFERROR(__xludf.DUMMYFUNCTION("""COMPUTED_VALUE"""),0.0)</f>
        <v>0</v>
      </c>
      <c r="V1122" s="65">
        <f>IFERROR(__xludf.DUMMYFUNCTION("""COMPUTED_VALUE"""),0.0)</f>
        <v>0</v>
      </c>
      <c r="W1122" s="65">
        <f>IFERROR(__xludf.DUMMYFUNCTION("""COMPUTED_VALUE"""),0.0)</f>
        <v>0</v>
      </c>
      <c r="X1122" s="65">
        <f>IFERROR(__xludf.DUMMYFUNCTION("""COMPUTED_VALUE"""),5.0)</f>
        <v>5</v>
      </c>
      <c r="Y1122" s="65">
        <f>IFERROR(__xludf.DUMMYFUNCTION("""COMPUTED_VALUE"""),5.0)</f>
        <v>5</v>
      </c>
      <c r="Z1122" s="65">
        <f>IFERROR(__xludf.DUMMYFUNCTION("""COMPUTED_VALUE"""),110064.0)</f>
        <v>110064</v>
      </c>
      <c r="AA1122" s="65" t="str">
        <f>IFERROR(__xludf.DUMMYFUNCTION("""COMPUTED_VALUE"""),"IMX-00001")</f>
        <v>IMX-00001</v>
      </c>
      <c r="AB1122" s="65"/>
      <c r="AC1122" s="65" t="str">
        <f>IFERROR(__xludf.DUMMYFUNCTION("""COMPUTED_VALUE"""),"LLAVE TRINQUETE")</f>
        <v>LLAVE TRINQUETE</v>
      </c>
      <c r="AD1122" s="65"/>
      <c r="AE1122" s="65">
        <f>IFERROR(__xludf.DUMMYFUNCTION("""COMPUTED_VALUE"""),1.0)</f>
        <v>1</v>
      </c>
      <c r="AF1122" s="65"/>
      <c r="AG1122" s="65"/>
      <c r="AH1122" s="65"/>
      <c r="AI1122" s="65"/>
      <c r="AJ1122" s="65"/>
      <c r="AK1122" s="65"/>
      <c r="AL1122" s="65"/>
      <c r="AM1122" s="65"/>
      <c r="AN1122" s="65" t="str">
        <f>IFERROR(__xludf.DUMMYFUNCTION("""COMPUTED_VALUE"""),"15:16")</f>
        <v>15:16</v>
      </c>
      <c r="AO1122" s="65" t="str">
        <f>IFERROR(__xludf.DUMMYFUNCTION("""COMPUTED_VALUE"""),"06-02-2026")</f>
        <v>06-02-2026</v>
      </c>
      <c r="AP1122" s="65" t="str">
        <f>IFERROR(__xludf.DUMMYFUNCTION("""COMPUTED_VALUE"""),"ENTREGADA GINTRACOM")</f>
        <v>ENTREGADA GINTRACOM</v>
      </c>
      <c r="AQ1122" s="65" t="str">
        <f>IFERROR(__xludf.DUMMYFUNCTION("""COMPUTED_VALUE"""),"ENTREGADA GINTRACOM")</f>
        <v>ENTREGADA GINTRACOM</v>
      </c>
      <c r="AR1122" s="65"/>
      <c r="AS1122" s="65"/>
      <c r="AT1122" s="65" t="str">
        <f>IFERROR(__xludf.DUMMYFUNCTION("""COMPUTED_VALUE"""),"SHOPIFY")</f>
        <v>SHOPIFY</v>
      </c>
      <c r="AU1122" s="65" t="str">
        <f>IFERROR(__xludf.DUMMYFUNCTION("""COMPUTED_VALUE"""),"IMPORTEX EC")</f>
        <v>IMPORTEX EC</v>
      </c>
      <c r="AV1122" s="65" t="str">
        <f>IFERROR(__xludf.DUMMYFUNCTION("""COMPUTED_VALUE"""),"6469863571500")</f>
        <v>6469863571500</v>
      </c>
      <c r="AW1122" s="65">
        <f>IFERROR(__xludf.DUMMYFUNCTION("""COMPUTED_VALUE"""),5786.0)</f>
        <v>5786</v>
      </c>
      <c r="AX1122" s="65"/>
      <c r="AY1122" s="65" t="str">
        <f>IFERROR(__xludf.DUMMYFUNCTION("""COMPUTED_VALUE"""),"04/02/2026")</f>
        <v>04/02/2026</v>
      </c>
      <c r="AZ1122" s="65"/>
      <c r="BA1122" s="65"/>
    </row>
    <row r="1123">
      <c r="A1123" s="65" t="str">
        <f>IFERROR(__xludf.DUMMYFUNCTION("""COMPUTED_VALUE"""),"27-03-2026")</f>
        <v>27-03-2026</v>
      </c>
      <c r="B1123" s="65">
        <f>IFERROR(__xludf.DUMMYFUNCTION("""COMPUTED_VALUE"""),4357814.0)</f>
        <v>4357814</v>
      </c>
      <c r="C1123" s="65" t="str">
        <f>IFERROR(__xludf.DUMMYFUNCTION("""COMPUTED_VALUE"""),"21:01")</f>
        <v>21:01</v>
      </c>
      <c r="D1123" s="65" t="str">
        <f>IFERROR(__xludf.DUMMYFUNCTION("""COMPUTED_VALUE"""),"01-02-2026")</f>
        <v>01-02-2026</v>
      </c>
      <c r="E1123" s="65" t="str">
        <f>IFERROR(__xludf.DUMMYFUNCTION("""COMPUTED_VALUE"""),"Victor Suárez")</f>
        <v>Victor Suárez</v>
      </c>
      <c r="F1123" s="65" t="str">
        <f>IFERROR(__xludf.DUMMYFUNCTION("""COMPUTED_VALUE"""),"958646697")</f>
        <v>958646697</v>
      </c>
      <c r="G1123" s="65" t="str">
        <f>IFERROR(__xludf.DUMMYFUNCTION("""COMPUTED_VALUE"""),"victorsuarez7777@gmail.com")</f>
        <v>victorsuarez7777@gmail.com</v>
      </c>
      <c r="H1123" s="65"/>
      <c r="I1123" s="65"/>
      <c r="J1123" s="65" t="str">
        <f>IFERROR(__xludf.DUMMYFUNCTION("""COMPUTED_VALUE"""),"D001290802")</f>
        <v>D001290802</v>
      </c>
      <c r="K1123" s="65" t="str">
        <f>IFERROR(__xludf.DUMMYFUNCTION("""COMPUTED_VALUE"""),"DEVOLUCION")</f>
        <v>DEVOLUCION</v>
      </c>
      <c r="L1123" s="65" t="str">
        <f>IFERROR(__xludf.DUMMYFUNCTION("""COMPUTED_VALUE"""),"CON RECAUDO")</f>
        <v>CON RECAUDO</v>
      </c>
      <c r="M1123" s="65" t="str">
        <f>IFERROR(__xludf.DUMMYFUNCTION("""COMPUTED_VALUE"""),"GUAYAS")</f>
        <v>GUAYAS</v>
      </c>
      <c r="N1123" s="65" t="str">
        <f>IFERROR(__xludf.DUMMYFUNCTION("""COMPUTED_VALUE"""),"GUAYAQUIL")</f>
        <v>GUAYAQUIL</v>
      </c>
      <c r="O1123" s="65" t="str">
        <f>IFERROR(__xludf.DUMMYFUNCTION("""COMPUTED_VALUE"""),"Calle C 129 entre Lizardo García y Tungurahua Cristo del consuelo -")</f>
        <v>Calle C 129 entre Lizardo García y Tungurahua Cristo del consuelo -</v>
      </c>
      <c r="P1123" s="65"/>
      <c r="Q1123" s="65" t="str">
        <f>IFERROR(__xludf.DUMMYFUNCTION("""COMPUTED_VALUE"""),"GINTRACOM")</f>
        <v>GINTRACOM</v>
      </c>
      <c r="R1123" s="65">
        <f>IFERROR(__xludf.DUMMYFUNCTION("""COMPUTED_VALUE"""),28.0)</f>
        <v>28</v>
      </c>
      <c r="S1123" s="65"/>
      <c r="T1123" s="65">
        <f>IFERROR(__xludf.DUMMYFUNCTION("""COMPUTED_VALUE"""),6.08)</f>
        <v>6.08</v>
      </c>
      <c r="U1123" s="65">
        <f>IFERROR(__xludf.DUMMYFUNCTION("""COMPUTED_VALUE"""),0.0)</f>
        <v>0</v>
      </c>
      <c r="V1123" s="65">
        <f>IFERROR(__xludf.DUMMYFUNCTION("""COMPUTED_VALUE"""),0.0)</f>
        <v>0</v>
      </c>
      <c r="W1123" s="65">
        <f>IFERROR(__xludf.DUMMYFUNCTION("""COMPUTED_VALUE"""),0.0)</f>
        <v>0</v>
      </c>
      <c r="X1123" s="65">
        <f>IFERROR(__xludf.DUMMYFUNCTION("""COMPUTED_VALUE"""),5.0)</f>
        <v>5</v>
      </c>
      <c r="Y1123" s="65">
        <f>IFERROR(__xludf.DUMMYFUNCTION("""COMPUTED_VALUE"""),10.0)</f>
        <v>10</v>
      </c>
      <c r="Z1123" s="65">
        <f>IFERROR(__xludf.DUMMYFUNCTION("""COMPUTED_VALUE"""),110064.0)</f>
        <v>110064</v>
      </c>
      <c r="AA1123" s="65" t="str">
        <f>IFERROR(__xludf.DUMMYFUNCTION("""COMPUTED_VALUE"""),"IMX-00001")</f>
        <v>IMX-00001</v>
      </c>
      <c r="AB1123" s="65"/>
      <c r="AC1123" s="65" t="str">
        <f>IFERROR(__xludf.DUMMYFUNCTION("""COMPUTED_VALUE"""),"LLAVE TRINQUETE")</f>
        <v>LLAVE TRINQUETE</v>
      </c>
      <c r="AD1123" s="65"/>
      <c r="AE1123" s="65">
        <f>IFERROR(__xludf.DUMMYFUNCTION("""COMPUTED_VALUE"""),2.0)</f>
        <v>2</v>
      </c>
      <c r="AF1123" s="65" t="str">
        <f>IFERROR(__xludf.DUMMYFUNCTION("""COMPUTED_VALUE"""),"DESTINATARIO NO CONTESTA LLAMADAS NI WHATSAPP")</f>
        <v>DESTINATARIO NO CONTESTA LLAMADAS NI WHATSAPP</v>
      </c>
      <c r="AG1123" s="65" t="str">
        <f>IFERROR(__xludf.DUMMYFUNCTION("""COMPUTED_VALUE"""),"SI")</f>
        <v>SI</v>
      </c>
      <c r="AH1123" s="65" t="str">
        <f>IFERROR(__xludf.DUMMYFUNCTION("""COMPUTED_VALUE"""),"09:00")</f>
        <v>09:00</v>
      </c>
      <c r="AI1123" s="65" t="str">
        <f>IFERROR(__xludf.DUMMYFUNCTION("""COMPUTED_VALUE"""),"10-02-2026")</f>
        <v>10-02-2026</v>
      </c>
      <c r="AJ1123" s="65" t="str">
        <f>IFERROR(__xludf.DUMMYFUNCTION("""COMPUTED_VALUE"""),"CLIENTE SOLICITA LA ENTREGA PARA EL DIA DE MAÑANA A LAS 9: 00 AM")</f>
        <v>CLIENTE SOLICITA LA ENTREGA PARA EL DIA DE MAÑANA A LAS 9: 00 AM</v>
      </c>
      <c r="AK1123" s="65" t="str">
        <f>IFERROR(__xludf.DUMMYFUNCTION("""COMPUTED_VALUE"""),"14:54")</f>
        <v>14:54</v>
      </c>
      <c r="AL1123" s="65" t="str">
        <f>IFERROR(__xludf.DUMMYFUNCTION("""COMPUTED_VALUE"""),"11-02-2026")</f>
        <v>11-02-2026</v>
      </c>
      <c r="AM1123" s="65"/>
      <c r="AN1123" s="65" t="str">
        <f>IFERROR(__xludf.DUMMYFUNCTION("""COMPUTED_VALUE"""),"15:52")</f>
        <v>15:52</v>
      </c>
      <c r="AO1123" s="65" t="str">
        <f>IFERROR(__xludf.DUMMYFUNCTION("""COMPUTED_VALUE"""),"02-03-2026")</f>
        <v>02-03-2026</v>
      </c>
      <c r="AP1123" s="65" t="str">
        <f>IFERROR(__xludf.DUMMYFUNCTION("""COMPUTED_VALUE"""),"DEVOLUCIÓN ENTREGADA A ORIGEN")</f>
        <v>DEVOLUCIÓN ENTREGADA A ORIGEN</v>
      </c>
      <c r="AQ1123" s="65" t="str">
        <f>IFERROR(__xludf.DUMMYFUNCTION("""COMPUTED_VALUE"""),"DEVOLUCIÓN ENTREGADA A ORIGEN")</f>
        <v>DEVOLUCIÓN ENTREGADA A ORIGEN</v>
      </c>
      <c r="AR1123" s="65"/>
      <c r="AS1123" s="65"/>
      <c r="AT1123" s="65" t="str">
        <f>IFERROR(__xludf.DUMMYFUNCTION("""COMPUTED_VALUE"""),"SHOPIFY")</f>
        <v>SHOPIFY</v>
      </c>
      <c r="AU1123" s="65" t="str">
        <f>IFERROR(__xludf.DUMMYFUNCTION("""COMPUTED_VALUE"""),"IMPORTEX EC")</f>
        <v>IMPORTEX EC</v>
      </c>
      <c r="AV1123" s="65" t="str">
        <f>IFERROR(__xludf.DUMMYFUNCTION("""COMPUTED_VALUE"""),"6469849382956")</f>
        <v>6469849382956</v>
      </c>
      <c r="AW1123" s="65">
        <f>IFERROR(__xludf.DUMMYFUNCTION("""COMPUTED_VALUE"""),5785.0)</f>
        <v>5785</v>
      </c>
      <c r="AX1123" s="65"/>
      <c r="AY1123" s="65" t="str">
        <f>IFERROR(__xludf.DUMMYFUNCTION("""COMPUTED_VALUE"""),"03/02/2026")</f>
        <v>03/02/2026</v>
      </c>
      <c r="AZ1123" s="65"/>
      <c r="BA1123" s="65"/>
    </row>
    <row r="1124">
      <c r="A1124" s="65" t="str">
        <f>IFERROR(__xludf.DUMMYFUNCTION("""COMPUTED_VALUE"""),"27-03-2026")</f>
        <v>27-03-2026</v>
      </c>
      <c r="B1124" s="65">
        <f>IFERROR(__xludf.DUMMYFUNCTION("""COMPUTED_VALUE"""),4357755.0)</f>
        <v>4357755</v>
      </c>
      <c r="C1124" s="65" t="str">
        <f>IFERROR(__xludf.DUMMYFUNCTION("""COMPUTED_VALUE"""),"20:57")</f>
        <v>20:57</v>
      </c>
      <c r="D1124" s="65" t="str">
        <f>IFERROR(__xludf.DUMMYFUNCTION("""COMPUTED_VALUE"""),"01-02-2026")</f>
        <v>01-02-2026</v>
      </c>
      <c r="E1124" s="65" t="str">
        <f>IFERROR(__xludf.DUMMYFUNCTION("""COMPUTED_VALUE"""),"Angel Acosta")</f>
        <v>Angel Acosta</v>
      </c>
      <c r="F1124" s="65" t="str">
        <f>IFERROR(__xludf.DUMMYFUNCTION("""COMPUTED_VALUE"""),"984507752")</f>
        <v>984507752</v>
      </c>
      <c r="G1124" s="65" t="str">
        <f>IFERROR(__xludf.DUMMYFUNCTION("""COMPUTED_VALUE"""),"angelo.197876@gmail.com")</f>
        <v>angelo.197876@gmail.com</v>
      </c>
      <c r="H1124" s="65"/>
      <c r="I1124" s="65"/>
      <c r="J1124" s="65" t="str">
        <f>IFERROR(__xludf.DUMMYFUNCTION("""COMPUTED_VALUE"""),"D001290766")</f>
        <v>D001290766</v>
      </c>
      <c r="K1124" s="65" t="str">
        <f>IFERROR(__xludf.DUMMYFUNCTION("""COMPUTED_VALUE"""),"DEVOLUCION")</f>
        <v>DEVOLUCION</v>
      </c>
      <c r="L1124" s="65" t="str">
        <f>IFERROR(__xludf.DUMMYFUNCTION("""COMPUTED_VALUE"""),"CON RECAUDO")</f>
        <v>CON RECAUDO</v>
      </c>
      <c r="M1124" s="65" t="str">
        <f>IFERROR(__xludf.DUMMYFUNCTION("""COMPUTED_VALUE"""),"NAPO")</f>
        <v>NAPO</v>
      </c>
      <c r="N1124" s="65" t="str">
        <f>IFERROR(__xludf.DUMMYFUNCTION("""COMPUTED_VALUE"""),"TENA")</f>
        <v>TENA</v>
      </c>
      <c r="O1124" s="65" t="str">
        <f>IFERROR(__xludf.DUMMYFUNCTION("""COMPUTED_VALUE"""),"Federación deportiva de Napo  , Calle Sucre y Olmedo")</f>
        <v>Federación deportiva de Napo  , Calle Sucre y Olmedo</v>
      </c>
      <c r="P1124" s="65"/>
      <c r="Q1124" s="65" t="str">
        <f>IFERROR(__xludf.DUMMYFUNCTION("""COMPUTED_VALUE"""),"GINTRACOM")</f>
        <v>GINTRACOM</v>
      </c>
      <c r="R1124" s="65">
        <f>IFERROR(__xludf.DUMMYFUNCTION("""COMPUTED_VALUE"""),22.0)</f>
        <v>22</v>
      </c>
      <c r="S1124" s="65"/>
      <c r="T1124" s="65">
        <f>IFERROR(__xludf.DUMMYFUNCTION("""COMPUTED_VALUE"""),5.84)</f>
        <v>5.84</v>
      </c>
      <c r="U1124" s="65">
        <f>IFERROR(__xludf.DUMMYFUNCTION("""COMPUTED_VALUE"""),0.0)</f>
        <v>0</v>
      </c>
      <c r="V1124" s="65">
        <f>IFERROR(__xludf.DUMMYFUNCTION("""COMPUTED_VALUE"""),0.0)</f>
        <v>0</v>
      </c>
      <c r="W1124" s="65">
        <f>IFERROR(__xludf.DUMMYFUNCTION("""COMPUTED_VALUE"""),0.0)</f>
        <v>0</v>
      </c>
      <c r="X1124" s="65">
        <f>IFERROR(__xludf.DUMMYFUNCTION("""COMPUTED_VALUE"""),2.6)</f>
        <v>2.6</v>
      </c>
      <c r="Y1124" s="65">
        <f>IFERROR(__xludf.DUMMYFUNCTION("""COMPUTED_VALUE"""),5.2)</f>
        <v>5.2</v>
      </c>
      <c r="Z1124" s="65">
        <f>IFERROR(__xludf.DUMMYFUNCTION("""COMPUTED_VALUE"""),121983.0)</f>
        <v>121983</v>
      </c>
      <c r="AA1124" s="65" t="str">
        <f>IFERROR(__xludf.DUMMYFUNCTION("""COMPUTED_VALUE"""),"PROV-CHLLCF")</f>
        <v>PROV-CHLLCF</v>
      </c>
      <c r="AB1124" s="65"/>
      <c r="AC1124" s="65" t="str">
        <f>IFERROR(__xludf.DUMMYFUNCTION("""COMPUTED_VALUE"""),"CUCHILLO PARA CHEF")</f>
        <v>CUCHILLO PARA CHEF</v>
      </c>
      <c r="AD1124" s="65"/>
      <c r="AE1124" s="65">
        <f>IFERROR(__xludf.DUMMYFUNCTION("""COMPUTED_VALUE"""),2.0)</f>
        <v>2</v>
      </c>
      <c r="AF1124" s="65" t="str">
        <f>IFERROR(__xludf.DUMMYFUNCTION("""COMPUTED_VALUE"""),"DESTINATARIO INDICA QUE NO ES EL PRODUCTO QUE SOLICITÓ")</f>
        <v>DESTINATARIO INDICA QUE NO ES EL PRODUCTO QUE SOLICITÓ</v>
      </c>
      <c r="AG1124" s="65" t="str">
        <f>IFERROR(__xludf.DUMMYFUNCTION("""COMPUTED_VALUE"""),"NO")</f>
        <v>NO</v>
      </c>
      <c r="AH1124" s="65" t="str">
        <f>IFERROR(__xludf.DUMMYFUNCTION("""COMPUTED_VALUE"""),"11:23")</f>
        <v>11:23</v>
      </c>
      <c r="AI1124" s="65" t="str">
        <f>IFERROR(__xludf.DUMMYFUNCTION("""COMPUTED_VALUE"""),"05-02-2026")</f>
        <v>05-02-2026</v>
      </c>
      <c r="AJ1124" s="65"/>
      <c r="AK1124" s="65"/>
      <c r="AL1124" s="65"/>
      <c r="AM1124" s="65"/>
      <c r="AN1124" s="65" t="str">
        <f>IFERROR(__xludf.DUMMYFUNCTION("""COMPUTED_VALUE"""),"01:37")</f>
        <v>01:37</v>
      </c>
      <c r="AO1124" s="65" t="str">
        <f>IFERROR(__xludf.DUMMYFUNCTION("""COMPUTED_VALUE"""),"06-03-2026")</f>
        <v>06-03-2026</v>
      </c>
      <c r="AP1124" s="65" t="str">
        <f>IFERROR(__xludf.DUMMYFUNCTION("""COMPUTED_VALUE"""),"DEVOLUCIÓN ENTREGADA A ORIGEN")</f>
        <v>DEVOLUCIÓN ENTREGADA A ORIGEN</v>
      </c>
      <c r="AQ1124" s="65" t="str">
        <f>IFERROR(__xludf.DUMMYFUNCTION("""COMPUTED_VALUE"""),"DEVOLUCIÓN ENTREGADA A ORIGEN")</f>
        <v>DEVOLUCIÓN ENTREGADA A ORIGEN</v>
      </c>
      <c r="AR1124" s="65"/>
      <c r="AS1124" s="65"/>
      <c r="AT1124" s="65" t="str">
        <f>IFERROR(__xludf.DUMMYFUNCTION("""COMPUTED_VALUE"""),"SHOPIFY")</f>
        <v>SHOPIFY</v>
      </c>
      <c r="AU1124" s="65" t="str">
        <f>IFERROR(__xludf.DUMMYFUNCTION("""COMPUTED_VALUE"""),"IMPORTEX EC")</f>
        <v>IMPORTEX EC</v>
      </c>
      <c r="AV1124" s="65" t="str">
        <f>IFERROR(__xludf.DUMMYFUNCTION("""COMPUTED_VALUE"""),"6469838045228")</f>
        <v>6469838045228</v>
      </c>
      <c r="AW1124" s="65">
        <f>IFERROR(__xludf.DUMMYFUNCTION("""COMPUTED_VALUE"""),5784.0)</f>
        <v>5784</v>
      </c>
      <c r="AX1124" s="65"/>
      <c r="AY1124" s="65" t="str">
        <f>IFERROR(__xludf.DUMMYFUNCTION("""COMPUTED_VALUE"""),"03/02/2026")</f>
        <v>03/02/2026</v>
      </c>
      <c r="AZ1124" s="65"/>
      <c r="BA1124" s="65"/>
    </row>
    <row r="1125">
      <c r="A1125" s="65" t="str">
        <f>IFERROR(__xludf.DUMMYFUNCTION("""COMPUTED_VALUE"""),"27-03-2026")</f>
        <v>27-03-2026</v>
      </c>
      <c r="B1125" s="65">
        <f>IFERROR(__xludf.DUMMYFUNCTION("""COMPUTED_VALUE"""),4357562.0)</f>
        <v>4357562</v>
      </c>
      <c r="C1125" s="65" t="str">
        <f>IFERROR(__xludf.DUMMYFUNCTION("""COMPUTED_VALUE"""),"20:45")</f>
        <v>20:45</v>
      </c>
      <c r="D1125" s="65" t="str">
        <f>IFERROR(__xludf.DUMMYFUNCTION("""COMPUTED_VALUE"""),"01-02-2026")</f>
        <v>01-02-2026</v>
      </c>
      <c r="E1125" s="65" t="str">
        <f>IFERROR(__xludf.DUMMYFUNCTION("""COMPUTED_VALUE"""),"Elsa Narvaez Prado")</f>
        <v>Elsa Narvaez Prado</v>
      </c>
      <c r="F1125" s="65" t="str">
        <f>IFERROR(__xludf.DUMMYFUNCTION("""COMPUTED_VALUE"""),"999931485")</f>
        <v>999931485</v>
      </c>
      <c r="G1125" s="65" t="str">
        <f>IFERROR(__xludf.DUMMYFUNCTION("""COMPUTED_VALUE"""),"elsita_narvaez@hotmail.com")</f>
        <v>elsita_narvaez@hotmail.com</v>
      </c>
      <c r="H1125" s="65"/>
      <c r="I1125" s="65"/>
      <c r="J1125" s="65" t="str">
        <f>IFERROR(__xludf.DUMMYFUNCTION("""COMPUTED_VALUE"""),"D001291488")</f>
        <v>D001291488</v>
      </c>
      <c r="K1125" s="65" t="str">
        <f>IFERROR(__xludf.DUMMYFUNCTION("""COMPUTED_VALUE"""),"ENTREGADO")</f>
        <v>ENTREGADO</v>
      </c>
      <c r="L1125" s="65" t="str">
        <f>IFERROR(__xludf.DUMMYFUNCTION("""COMPUTED_VALUE"""),"CON RECAUDO")</f>
        <v>CON RECAUDO</v>
      </c>
      <c r="M1125" s="65" t="str">
        <f>IFERROR(__xludf.DUMMYFUNCTION("""COMPUTED_VALUE"""),"PICHINCHA")</f>
        <v>PICHINCHA</v>
      </c>
      <c r="N1125" s="65" t="str">
        <f>IFERROR(__xludf.DUMMYFUNCTION("""COMPUTED_VALUE"""),"QUITO")</f>
        <v>QUITO</v>
      </c>
      <c r="O1125" s="65" t="str">
        <f>IFERROR(__xludf.DUMMYFUNCTION("""COMPUTED_VALUE"""),"Calle Julio Arias Y Diego Barba Chillogallo barrio el giron - n el centro de salud el tránsito del ministerio de salud que queda en el barrio el Girón")</f>
        <v>Calle Julio Arias Y Diego Barba Chillogallo barrio el giron - n el centro de salud el tránsito del ministerio de salud que queda en el barrio el Girón</v>
      </c>
      <c r="P1125" s="65"/>
      <c r="Q1125" s="65" t="str">
        <f>IFERROR(__xludf.DUMMYFUNCTION("""COMPUTED_VALUE"""),"GINTRACOM")</f>
        <v>GINTRACOM</v>
      </c>
      <c r="R1125" s="65">
        <f>IFERROR(__xludf.DUMMYFUNCTION("""COMPUTED_VALUE"""),20.0)</f>
        <v>20</v>
      </c>
      <c r="S1125" s="65">
        <f>IFERROR(__xludf.DUMMYFUNCTION("""COMPUTED_VALUE"""),13.5)</f>
        <v>13.5</v>
      </c>
      <c r="T1125" s="65">
        <f>IFERROR(__xludf.DUMMYFUNCTION("""COMPUTED_VALUE"""),4.15)</f>
        <v>4.15</v>
      </c>
      <c r="U1125" s="65">
        <f>IFERROR(__xludf.DUMMYFUNCTION("""COMPUTED_VALUE"""),0.0)</f>
        <v>0</v>
      </c>
      <c r="V1125" s="65">
        <f>IFERROR(__xludf.DUMMYFUNCTION("""COMPUTED_VALUE"""),0.0)</f>
        <v>0</v>
      </c>
      <c r="W1125" s="65">
        <f>IFERROR(__xludf.DUMMYFUNCTION("""COMPUTED_VALUE"""),0.0)</f>
        <v>0</v>
      </c>
      <c r="X1125" s="65">
        <f>IFERROR(__xludf.DUMMYFUNCTION("""COMPUTED_VALUE"""),2.35)</f>
        <v>2.35</v>
      </c>
      <c r="Y1125" s="65">
        <f>IFERROR(__xludf.DUMMYFUNCTION("""COMPUTED_VALUE"""),2.35)</f>
        <v>2.35</v>
      </c>
      <c r="Z1125" s="65">
        <f>IFERROR(__xludf.DUMMYFUNCTION("""COMPUTED_VALUE"""),116679.0)</f>
        <v>116679</v>
      </c>
      <c r="AA1125" s="65" t="str">
        <f>IFERROR(__xludf.DUMMYFUNCTION("""COMPUTED_VALUE"""),"AMC-2738")</f>
        <v>AMC-2738</v>
      </c>
      <c r="AB1125" s="65"/>
      <c r="AC1125" s="65" t="str">
        <f>IFERROR(__xludf.DUMMYFUNCTION("""COMPUTED_VALUE"""),"ESPONJA ANTILLUVIA DE PARABRISAS")</f>
        <v>ESPONJA ANTILLUVIA DE PARABRISAS</v>
      </c>
      <c r="AD1125" s="65"/>
      <c r="AE1125" s="65">
        <f>IFERROR(__xludf.DUMMYFUNCTION("""COMPUTED_VALUE"""),1.0)</f>
        <v>1</v>
      </c>
      <c r="AF1125" s="65"/>
      <c r="AG1125" s="65"/>
      <c r="AH1125" s="65"/>
      <c r="AI1125" s="65"/>
      <c r="AJ1125" s="65"/>
      <c r="AK1125" s="65"/>
      <c r="AL1125" s="65"/>
      <c r="AM1125" s="65"/>
      <c r="AN1125" s="65"/>
      <c r="AO1125" s="65"/>
      <c r="AP1125" s="65"/>
      <c r="AQ1125" s="65"/>
      <c r="AR1125" s="65"/>
      <c r="AS1125" s="65"/>
      <c r="AT1125" s="65" t="str">
        <f>IFERROR(__xludf.DUMMYFUNCTION("""COMPUTED_VALUE"""),"SHOPIFY")</f>
        <v>SHOPIFY</v>
      </c>
      <c r="AU1125" s="65" t="str">
        <f>IFERROR(__xludf.DUMMYFUNCTION("""COMPUTED_VALUE"""),"IMPORTEX EC")</f>
        <v>IMPORTEX EC</v>
      </c>
      <c r="AV1125" s="65" t="str">
        <f>IFERROR(__xludf.DUMMYFUNCTION("""COMPUTED_VALUE"""),"6469808259116")</f>
        <v>6469808259116</v>
      </c>
      <c r="AW1125" s="65">
        <f>IFERROR(__xludf.DUMMYFUNCTION("""COMPUTED_VALUE"""),5783.0)</f>
        <v>5783</v>
      </c>
      <c r="AX1125" s="65"/>
      <c r="AY1125" s="65" t="str">
        <f>IFERROR(__xludf.DUMMYFUNCTION("""COMPUTED_VALUE"""),"03/02/2026")</f>
        <v>03/02/2026</v>
      </c>
      <c r="AZ1125" s="65"/>
      <c r="BA1125" s="65"/>
    </row>
    <row r="1126">
      <c r="A1126" s="65" t="str">
        <f>IFERROR(__xludf.DUMMYFUNCTION("""COMPUTED_VALUE"""),"27-03-2026")</f>
        <v>27-03-2026</v>
      </c>
      <c r="B1126" s="65">
        <f>IFERROR(__xludf.DUMMYFUNCTION("""COMPUTED_VALUE"""),4357229.0)</f>
        <v>4357229</v>
      </c>
      <c r="C1126" s="65" t="str">
        <f>IFERROR(__xludf.DUMMYFUNCTION("""COMPUTED_VALUE"""),"20:23")</f>
        <v>20:23</v>
      </c>
      <c r="D1126" s="65" t="str">
        <f>IFERROR(__xludf.DUMMYFUNCTION("""COMPUTED_VALUE"""),"01-02-2026")</f>
        <v>01-02-2026</v>
      </c>
      <c r="E1126" s="65" t="str">
        <f>IFERROR(__xludf.DUMMYFUNCTION("""COMPUTED_VALUE"""),"Luis Garzón")</f>
        <v>Luis Garzón</v>
      </c>
      <c r="F1126" s="65" t="str">
        <f>IFERROR(__xludf.DUMMYFUNCTION("""COMPUTED_VALUE"""),"988760383")</f>
        <v>988760383</v>
      </c>
      <c r="G1126" s="65" t="str">
        <f>IFERROR(__xludf.DUMMYFUNCTION("""COMPUTED_VALUE"""),"garzoncontrerasluisfernando70@gmail.com")</f>
        <v>garzoncontrerasluisfernando70@gmail.com</v>
      </c>
      <c r="H1126" s="65"/>
      <c r="I1126" s="65"/>
      <c r="J1126" s="65" t="str">
        <f>IFERROR(__xludf.DUMMYFUNCTION("""COMPUTED_VALUE"""),"D001290809")</f>
        <v>D001290809</v>
      </c>
      <c r="K1126" s="65" t="str">
        <f>IFERROR(__xludf.DUMMYFUNCTION("""COMPUTED_VALUE"""),"DEVOLUCION")</f>
        <v>DEVOLUCION</v>
      </c>
      <c r="L1126" s="65" t="str">
        <f>IFERROR(__xludf.DUMMYFUNCTION("""COMPUTED_VALUE"""),"CON RECAUDO")</f>
        <v>CON RECAUDO</v>
      </c>
      <c r="M1126" s="65" t="str">
        <f>IFERROR(__xludf.DUMMYFUNCTION("""COMPUTED_VALUE"""),"LOS RIOS")</f>
        <v>LOS RIOS</v>
      </c>
      <c r="N1126" s="65" t="str">
        <f>IFERROR(__xludf.DUMMYFUNCTION("""COMPUTED_VALUE"""),"BABAHOYO")</f>
        <v>BABAHOYO</v>
      </c>
      <c r="O1126" s="65" t="str">
        <f>IFERROR(__xludf.DUMMYFUNCTION("""COMPUTED_VALUE"""),"Calle e y calle v intersección de la calle juan x marcós Ciudadela el chorrillo REFERENCIA : Frente esta un restaurante la zazon de la vero")</f>
        <v>Calle e y calle v intersección de la calle juan x marcós Ciudadela el chorrillo REFERENCIA : Frente esta un restaurante la zazon de la vero</v>
      </c>
      <c r="P1126" s="65"/>
      <c r="Q1126" s="65" t="str">
        <f>IFERROR(__xludf.DUMMYFUNCTION("""COMPUTED_VALUE"""),"GINTRACOM")</f>
        <v>GINTRACOM</v>
      </c>
      <c r="R1126" s="65">
        <f>IFERROR(__xludf.DUMMYFUNCTION("""COMPUTED_VALUE"""),19.99)</f>
        <v>19.99</v>
      </c>
      <c r="S1126" s="65"/>
      <c r="T1126" s="65">
        <f>IFERROR(__xludf.DUMMYFUNCTION("""COMPUTED_VALUE"""),5.75)</f>
        <v>5.75</v>
      </c>
      <c r="U1126" s="65">
        <f>IFERROR(__xludf.DUMMYFUNCTION("""COMPUTED_VALUE"""),0.0)</f>
        <v>0</v>
      </c>
      <c r="V1126" s="65">
        <f>IFERROR(__xludf.DUMMYFUNCTION("""COMPUTED_VALUE"""),0.0)</f>
        <v>0</v>
      </c>
      <c r="W1126" s="65">
        <f>IFERROR(__xludf.DUMMYFUNCTION("""COMPUTED_VALUE"""),0.0)</f>
        <v>0</v>
      </c>
      <c r="X1126" s="65">
        <f>IFERROR(__xludf.DUMMYFUNCTION("""COMPUTED_VALUE"""),5.0)</f>
        <v>5</v>
      </c>
      <c r="Y1126" s="65">
        <f>IFERROR(__xludf.DUMMYFUNCTION("""COMPUTED_VALUE"""),5.0)</f>
        <v>5</v>
      </c>
      <c r="Z1126" s="65">
        <f>IFERROR(__xludf.DUMMYFUNCTION("""COMPUTED_VALUE"""),110064.0)</f>
        <v>110064</v>
      </c>
      <c r="AA1126" s="65" t="str">
        <f>IFERROR(__xludf.DUMMYFUNCTION("""COMPUTED_VALUE"""),"IMX-00001")</f>
        <v>IMX-00001</v>
      </c>
      <c r="AB1126" s="65"/>
      <c r="AC1126" s="65" t="str">
        <f>IFERROR(__xludf.DUMMYFUNCTION("""COMPUTED_VALUE"""),"LLAVE TRINQUETE")</f>
        <v>LLAVE TRINQUETE</v>
      </c>
      <c r="AD1126" s="65"/>
      <c r="AE1126" s="65">
        <f>IFERROR(__xludf.DUMMYFUNCTION("""COMPUTED_VALUE"""),1.0)</f>
        <v>1</v>
      </c>
      <c r="AF1126" s="65" t="str">
        <f>IFERROR(__xludf.DUMMYFUNCTION("""COMPUTED_VALUE"""),"DESTINATARIO NO CONTESTA LLAMADAS NI WHATSAPP")</f>
        <v>DESTINATARIO NO CONTESTA LLAMADAS NI WHATSAPP</v>
      </c>
      <c r="AG1126" s="65" t="str">
        <f>IFERROR(__xludf.DUMMYFUNCTION("""COMPUTED_VALUE"""),"NO")</f>
        <v>NO</v>
      </c>
      <c r="AH1126" s="65" t="str">
        <f>IFERROR(__xludf.DUMMYFUNCTION("""COMPUTED_VALUE"""),"12:30")</f>
        <v>12:30</v>
      </c>
      <c r="AI1126" s="65" t="str">
        <f>IFERROR(__xludf.DUMMYFUNCTION("""COMPUTED_VALUE"""),"12-02-2026")</f>
        <v>12-02-2026</v>
      </c>
      <c r="AJ1126" s="65"/>
      <c r="AK1126" s="65"/>
      <c r="AL1126" s="65"/>
      <c r="AM1126" s="65"/>
      <c r="AN1126" s="65" t="str">
        <f>IFERROR(__xludf.DUMMYFUNCTION("""COMPUTED_VALUE"""),"09:09")</f>
        <v>09:09</v>
      </c>
      <c r="AO1126" s="65" t="str">
        <f>IFERROR(__xludf.DUMMYFUNCTION("""COMPUTED_VALUE"""),"12-03-2026")</f>
        <v>12-03-2026</v>
      </c>
      <c r="AP1126" s="65" t="str">
        <f>IFERROR(__xludf.DUMMYFUNCTION("""COMPUTED_VALUE"""),"DEVOLUCIÓN ENTREGADA A ORIGEN")</f>
        <v>DEVOLUCIÓN ENTREGADA A ORIGEN</v>
      </c>
      <c r="AQ1126" s="65" t="str">
        <f>IFERROR(__xludf.DUMMYFUNCTION("""COMPUTED_VALUE"""),"DEVOLUCIÓN ENTREGADA A ORIGEN")</f>
        <v>DEVOLUCIÓN ENTREGADA A ORIGEN</v>
      </c>
      <c r="AR1126" s="65"/>
      <c r="AS1126" s="65"/>
      <c r="AT1126" s="65" t="str">
        <f>IFERROR(__xludf.DUMMYFUNCTION("""COMPUTED_VALUE"""),"SHOPIFY")</f>
        <v>SHOPIFY</v>
      </c>
      <c r="AU1126" s="65" t="str">
        <f>IFERROR(__xludf.DUMMYFUNCTION("""COMPUTED_VALUE"""),"IMPORTEX EC")</f>
        <v>IMPORTEX EC</v>
      </c>
      <c r="AV1126" s="65" t="str">
        <f>IFERROR(__xludf.DUMMYFUNCTION("""COMPUTED_VALUE"""),"6469754716204")</f>
        <v>6469754716204</v>
      </c>
      <c r="AW1126" s="65">
        <f>IFERROR(__xludf.DUMMYFUNCTION("""COMPUTED_VALUE"""),5782.0)</f>
        <v>5782</v>
      </c>
      <c r="AX1126" s="65"/>
      <c r="AY1126" s="65" t="str">
        <f>IFERROR(__xludf.DUMMYFUNCTION("""COMPUTED_VALUE"""),"03/02/2026")</f>
        <v>03/02/2026</v>
      </c>
      <c r="AZ1126" s="65"/>
      <c r="BA1126" s="65"/>
    </row>
    <row r="1127">
      <c r="A1127" s="65" t="str">
        <f>IFERROR(__xludf.DUMMYFUNCTION("""COMPUTED_VALUE"""),"27-03-2026")</f>
        <v>27-03-2026</v>
      </c>
      <c r="B1127" s="65">
        <f>IFERROR(__xludf.DUMMYFUNCTION("""COMPUTED_VALUE"""),4357121.0)</f>
        <v>4357121</v>
      </c>
      <c r="C1127" s="65" t="str">
        <f>IFERROR(__xludf.DUMMYFUNCTION("""COMPUTED_VALUE"""),"20:14")</f>
        <v>20:14</v>
      </c>
      <c r="D1127" s="65" t="str">
        <f>IFERROR(__xludf.DUMMYFUNCTION("""COMPUTED_VALUE"""),"01-02-2026")</f>
        <v>01-02-2026</v>
      </c>
      <c r="E1127" s="65" t="str">
        <f>IFERROR(__xludf.DUMMYFUNCTION("""COMPUTED_VALUE"""),"Luis Hugo salau Salau")</f>
        <v>Luis Hugo salau Salau</v>
      </c>
      <c r="F1127" s="65" t="str">
        <f>IFERROR(__xludf.DUMMYFUNCTION("""COMPUTED_VALUE"""),"959960631")</f>
        <v>959960631</v>
      </c>
      <c r="G1127" s="65" t="str">
        <f>IFERROR(__xludf.DUMMYFUNCTION("""COMPUTED_VALUE"""),"luisalau85@gmail.com")</f>
        <v>luisalau85@gmail.com</v>
      </c>
      <c r="H1127" s="65"/>
      <c r="I1127" s="65"/>
      <c r="J1127" s="65"/>
      <c r="K1127" s="65" t="str">
        <f>IFERROR(__xludf.DUMMYFUNCTION("""COMPUTED_VALUE"""),"CANCELADO")</f>
        <v>CANCELADO</v>
      </c>
      <c r="L1127" s="65" t="str">
        <f>IFERROR(__xludf.DUMMYFUNCTION("""COMPUTED_VALUE"""),"CON RECAUDO")</f>
        <v>CON RECAUDO</v>
      </c>
      <c r="M1127" s="65" t="str">
        <f>IFERROR(__xludf.DUMMYFUNCTION("""COMPUTED_VALUE"""),"CHIMBORAZO")</f>
        <v>CHIMBORAZO</v>
      </c>
      <c r="N1127" s="65" t="str">
        <f>IFERROR(__xludf.DUMMYFUNCTION("""COMPUTED_VALUE"""),"RIOBAMBA")</f>
        <v>RIOBAMBA</v>
      </c>
      <c r="O1127" s="65" t="str">
        <f>IFERROR(__xludf.DUMMYFUNCTION("""COMPUTED_VALUE"""),"Vía a macas San luis -")</f>
        <v>Vía a macas San luis -</v>
      </c>
      <c r="P1127" s="65"/>
      <c r="Q1127" s="65" t="str">
        <f>IFERROR(__xludf.DUMMYFUNCTION("""COMPUTED_VALUE"""),"GINTRACOM")</f>
        <v>GINTRACOM</v>
      </c>
      <c r="R1127" s="65">
        <f>IFERROR(__xludf.DUMMYFUNCTION("""COMPUTED_VALUE"""),22.0)</f>
        <v>22</v>
      </c>
      <c r="S1127" s="65"/>
      <c r="T1127" s="65">
        <f>IFERROR(__xludf.DUMMYFUNCTION("""COMPUTED_VALUE"""),5.84)</f>
        <v>5.84</v>
      </c>
      <c r="U1127" s="65">
        <f>IFERROR(__xludf.DUMMYFUNCTION("""COMPUTED_VALUE"""),0.0)</f>
        <v>0</v>
      </c>
      <c r="V1127" s="65">
        <f>IFERROR(__xludf.DUMMYFUNCTION("""COMPUTED_VALUE"""),0.0)</f>
        <v>0</v>
      </c>
      <c r="W1127" s="65">
        <f>IFERROR(__xludf.DUMMYFUNCTION("""COMPUTED_VALUE"""),0.0)</f>
        <v>0</v>
      </c>
      <c r="X1127" s="65">
        <f>IFERROR(__xludf.DUMMYFUNCTION("""COMPUTED_VALUE"""),2.6)</f>
        <v>2.6</v>
      </c>
      <c r="Y1127" s="65">
        <f>IFERROR(__xludf.DUMMYFUNCTION("""COMPUTED_VALUE"""),5.2)</f>
        <v>5.2</v>
      </c>
      <c r="Z1127" s="65">
        <f>IFERROR(__xludf.DUMMYFUNCTION("""COMPUTED_VALUE"""),121983.0)</f>
        <v>121983</v>
      </c>
      <c r="AA1127" s="65" t="str">
        <f>IFERROR(__xludf.DUMMYFUNCTION("""COMPUTED_VALUE"""),"PROV-CHLLCF")</f>
        <v>PROV-CHLLCF</v>
      </c>
      <c r="AB1127" s="65"/>
      <c r="AC1127" s="65" t="str">
        <f>IFERROR(__xludf.DUMMYFUNCTION("""COMPUTED_VALUE"""),"CUCHILLO PARA CHEF")</f>
        <v>CUCHILLO PARA CHEF</v>
      </c>
      <c r="AD1127" s="65"/>
      <c r="AE1127" s="65">
        <f>IFERROR(__xludf.DUMMYFUNCTION("""COMPUTED_VALUE"""),2.0)</f>
        <v>2</v>
      </c>
      <c r="AF1127" s="65"/>
      <c r="AG1127" s="65"/>
      <c r="AH1127" s="65"/>
      <c r="AI1127" s="65"/>
      <c r="AJ1127" s="65"/>
      <c r="AK1127" s="65"/>
      <c r="AL1127" s="65"/>
      <c r="AM1127" s="65"/>
      <c r="AN1127" s="65"/>
      <c r="AO1127" s="65"/>
      <c r="AP1127" s="65"/>
      <c r="AQ1127" s="65"/>
      <c r="AR1127" s="65"/>
      <c r="AS1127" s="65"/>
      <c r="AT1127" s="65" t="str">
        <f>IFERROR(__xludf.DUMMYFUNCTION("""COMPUTED_VALUE"""),"SHOPIFY")</f>
        <v>SHOPIFY</v>
      </c>
      <c r="AU1127" s="65" t="str">
        <f>IFERROR(__xludf.DUMMYFUNCTION("""COMPUTED_VALUE"""),"IMPORTEX EC")</f>
        <v>IMPORTEX EC</v>
      </c>
      <c r="AV1127" s="65" t="str">
        <f>IFERROR(__xludf.DUMMYFUNCTION("""COMPUTED_VALUE"""),"6469734924332")</f>
        <v>6469734924332</v>
      </c>
      <c r="AW1127" s="65">
        <f>IFERROR(__xludf.DUMMYFUNCTION("""COMPUTED_VALUE"""),5781.0)</f>
        <v>5781</v>
      </c>
      <c r="AX1127" s="65"/>
      <c r="AY1127" s="65"/>
      <c r="AZ1127" s="65"/>
      <c r="BA1127" s="65"/>
    </row>
    <row r="1128">
      <c r="A1128" s="65" t="str">
        <f>IFERROR(__xludf.DUMMYFUNCTION("""COMPUTED_VALUE"""),"27-03-2026")</f>
        <v>27-03-2026</v>
      </c>
      <c r="B1128" s="65">
        <f>IFERROR(__xludf.DUMMYFUNCTION("""COMPUTED_VALUE"""),4357086.0)</f>
        <v>4357086</v>
      </c>
      <c r="C1128" s="65" t="str">
        <f>IFERROR(__xludf.DUMMYFUNCTION("""COMPUTED_VALUE"""),"20:12")</f>
        <v>20:12</v>
      </c>
      <c r="D1128" s="65" t="str">
        <f>IFERROR(__xludf.DUMMYFUNCTION("""COMPUTED_VALUE"""),"01-02-2026")</f>
        <v>01-02-2026</v>
      </c>
      <c r="E1128" s="65" t="str">
        <f>IFERROR(__xludf.DUMMYFUNCTION("""COMPUTED_VALUE"""),"Luis Kleber Andrango")</f>
        <v>Luis Kleber Andrango</v>
      </c>
      <c r="F1128" s="65" t="str">
        <f>IFERROR(__xludf.DUMMYFUNCTION("""COMPUTED_VALUE"""),"980463512")</f>
        <v>980463512</v>
      </c>
      <c r="G1128" s="65"/>
      <c r="H1128" s="65"/>
      <c r="I1128" s="65"/>
      <c r="J1128" s="65" t="str">
        <f>IFERROR(__xludf.DUMMYFUNCTION("""COMPUTED_VALUE"""),"D001291489")</f>
        <v>D001291489</v>
      </c>
      <c r="K1128" s="65" t="str">
        <f>IFERROR(__xludf.DUMMYFUNCTION("""COMPUTED_VALUE"""),"ENTREGADO")</f>
        <v>ENTREGADO</v>
      </c>
      <c r="L1128" s="65" t="str">
        <f>IFERROR(__xludf.DUMMYFUNCTION("""COMPUTED_VALUE"""),"CON RECAUDO")</f>
        <v>CON RECAUDO</v>
      </c>
      <c r="M1128" s="65" t="str">
        <f>IFERROR(__xludf.DUMMYFUNCTION("""COMPUTED_VALUE"""),"PICHINCHA")</f>
        <v>PICHINCHA</v>
      </c>
      <c r="N1128" s="65" t="str">
        <f>IFERROR(__xludf.DUMMYFUNCTION("""COMPUTED_VALUE"""),"QUITO")</f>
        <v>QUITO</v>
      </c>
      <c r="O1128" s="65" t="str">
        <f>IFERROR(__xludf.DUMMYFUNCTION("""COMPUTED_VALUE"""),"Los cholanes E-16 La Quintana -")</f>
        <v>Los cholanes E-16 La Quintana -</v>
      </c>
      <c r="P1128" s="65"/>
      <c r="Q1128" s="65" t="str">
        <f>IFERROR(__xludf.DUMMYFUNCTION("""COMPUTED_VALUE"""),"GINTRACOM")</f>
        <v>GINTRACOM</v>
      </c>
      <c r="R1128" s="65">
        <f>IFERROR(__xludf.DUMMYFUNCTION("""COMPUTED_VALUE"""),30.0)</f>
        <v>30</v>
      </c>
      <c r="S1128" s="65">
        <f>IFERROR(__xludf.DUMMYFUNCTION("""COMPUTED_VALUE"""),18.4)</f>
        <v>18.4</v>
      </c>
      <c r="T1128" s="65">
        <f>IFERROR(__xludf.DUMMYFUNCTION("""COMPUTED_VALUE"""),4.55)</f>
        <v>4.55</v>
      </c>
      <c r="U1128" s="65">
        <f>IFERROR(__xludf.DUMMYFUNCTION("""COMPUTED_VALUE"""),0.0)</f>
        <v>0</v>
      </c>
      <c r="V1128" s="65">
        <f>IFERROR(__xludf.DUMMYFUNCTION("""COMPUTED_VALUE"""),0.0)</f>
        <v>0</v>
      </c>
      <c r="W1128" s="65">
        <f>IFERROR(__xludf.DUMMYFUNCTION("""COMPUTED_VALUE"""),0.0)</f>
        <v>0</v>
      </c>
      <c r="X1128" s="65">
        <f>IFERROR(__xludf.DUMMYFUNCTION("""COMPUTED_VALUE"""),2.35)</f>
        <v>2.35</v>
      </c>
      <c r="Y1128" s="65">
        <f>IFERROR(__xludf.DUMMYFUNCTION("""COMPUTED_VALUE"""),7.05)</f>
        <v>7.05</v>
      </c>
      <c r="Z1128" s="65">
        <f>IFERROR(__xludf.DUMMYFUNCTION("""COMPUTED_VALUE"""),116679.0)</f>
        <v>116679</v>
      </c>
      <c r="AA1128" s="65" t="str">
        <f>IFERROR(__xludf.DUMMYFUNCTION("""COMPUTED_VALUE"""),"AMC-2738")</f>
        <v>AMC-2738</v>
      </c>
      <c r="AB1128" s="65"/>
      <c r="AC1128" s="65" t="str">
        <f>IFERROR(__xludf.DUMMYFUNCTION("""COMPUTED_VALUE"""),"ESPONJA ANTILLUVIA DE PARABRISAS")</f>
        <v>ESPONJA ANTILLUVIA DE PARABRISAS</v>
      </c>
      <c r="AD1128" s="65"/>
      <c r="AE1128" s="65">
        <f>IFERROR(__xludf.DUMMYFUNCTION("""COMPUTED_VALUE"""),3.0)</f>
        <v>3</v>
      </c>
      <c r="AF1128" s="65"/>
      <c r="AG1128" s="65"/>
      <c r="AH1128" s="65"/>
      <c r="AI1128" s="65"/>
      <c r="AJ1128" s="65"/>
      <c r="AK1128" s="65"/>
      <c r="AL1128" s="65"/>
      <c r="AM1128" s="65"/>
      <c r="AN1128" s="65"/>
      <c r="AO1128" s="65"/>
      <c r="AP1128" s="65"/>
      <c r="AQ1128" s="65"/>
      <c r="AR1128" s="65"/>
      <c r="AS1128" s="65"/>
      <c r="AT1128" s="65" t="str">
        <f>IFERROR(__xludf.DUMMYFUNCTION("""COMPUTED_VALUE"""),"SHOPIFY")</f>
        <v>SHOPIFY</v>
      </c>
      <c r="AU1128" s="65" t="str">
        <f>IFERROR(__xludf.DUMMYFUNCTION("""COMPUTED_VALUE"""),"IMPORTEX EC")</f>
        <v>IMPORTEX EC</v>
      </c>
      <c r="AV1128" s="65" t="str">
        <f>IFERROR(__xludf.DUMMYFUNCTION("""COMPUTED_VALUE"""),"6469727879212")</f>
        <v>6469727879212</v>
      </c>
      <c r="AW1128" s="65">
        <f>IFERROR(__xludf.DUMMYFUNCTION("""COMPUTED_VALUE"""),5780.0)</f>
        <v>5780</v>
      </c>
      <c r="AX1128" s="65"/>
      <c r="AY1128" s="65" t="str">
        <f>IFERROR(__xludf.DUMMYFUNCTION("""COMPUTED_VALUE"""),"03/02/2026")</f>
        <v>03/02/2026</v>
      </c>
      <c r="AZ1128" s="65"/>
      <c r="BA1128" s="65"/>
    </row>
    <row r="1129">
      <c r="A1129" s="65" t="str">
        <f>IFERROR(__xludf.DUMMYFUNCTION("""COMPUTED_VALUE"""),"27-03-2026")</f>
        <v>27-03-2026</v>
      </c>
      <c r="B1129" s="65">
        <f>IFERROR(__xludf.DUMMYFUNCTION("""COMPUTED_VALUE"""),4356627.0)</f>
        <v>4356627</v>
      </c>
      <c r="C1129" s="65" t="str">
        <f>IFERROR(__xludf.DUMMYFUNCTION("""COMPUTED_VALUE"""),"19:33")</f>
        <v>19:33</v>
      </c>
      <c r="D1129" s="65" t="str">
        <f>IFERROR(__xludf.DUMMYFUNCTION("""COMPUTED_VALUE"""),"01-02-2026")</f>
        <v>01-02-2026</v>
      </c>
      <c r="E1129" s="65" t="str">
        <f>IFERROR(__xludf.DUMMYFUNCTION("""COMPUTED_VALUE"""),"Fabricio Toapanta")</f>
        <v>Fabricio Toapanta</v>
      </c>
      <c r="F1129" s="65" t="str">
        <f>IFERROR(__xludf.DUMMYFUNCTION("""COMPUTED_VALUE"""),"990992153")</f>
        <v>990992153</v>
      </c>
      <c r="G1129" s="65" t="str">
        <f>IFERROR(__xludf.DUMMYFUNCTION("""COMPUTED_VALUE"""),"luswin_ferrari@hotmail.com")</f>
        <v>luswin_ferrari@hotmail.com</v>
      </c>
      <c r="H1129" s="65"/>
      <c r="I1129" s="65"/>
      <c r="J1129" s="65" t="str">
        <f>IFERROR(__xludf.DUMMYFUNCTION("""COMPUTED_VALUE"""),"186995634")</f>
        <v>186995634</v>
      </c>
      <c r="K1129" s="65" t="str">
        <f>IFERROR(__xludf.DUMMYFUNCTION("""COMPUTED_VALUE"""),"NOVEDAD")</f>
        <v>NOVEDAD</v>
      </c>
      <c r="L1129" s="65" t="str">
        <f>IFERROR(__xludf.DUMMYFUNCTION("""COMPUTED_VALUE"""),"CON RECAUDO")</f>
        <v>CON RECAUDO</v>
      </c>
      <c r="M1129" s="65" t="str">
        <f>IFERROR(__xludf.DUMMYFUNCTION("""COMPUTED_VALUE"""),"PICHINCHA")</f>
        <v>PICHINCHA</v>
      </c>
      <c r="N1129" s="65" t="str">
        <f>IFERROR(__xludf.DUMMYFUNCTION("""COMPUTED_VALUE"""),"MEJIA")</f>
        <v>MEJIA</v>
      </c>
      <c r="O1129" s="65" t="str">
        <f>IFERROR(__xludf.DUMMYFUNCTION("""COMPUTED_VALUE"""),"A Servientrega RETIRA EN CS : MACHACHI_CENTRO LOGISTICO - AV. PABLO GUARDERAS LT2 Y JAIME ROLDOS")</f>
        <v>A Servientrega RETIRA EN CS : MACHACHI_CENTRO LOGISTICO - AV. PABLO GUARDERAS LT2 Y JAIME ROLDOS</v>
      </c>
      <c r="P1129" s="65"/>
      <c r="Q1129" s="65" t="str">
        <f>IFERROR(__xludf.DUMMYFUNCTION("""COMPUTED_VALUE"""),"SERVIENTREGA")</f>
        <v>SERVIENTREGA</v>
      </c>
      <c r="R1129" s="65">
        <f>IFERROR(__xludf.DUMMYFUNCTION("""COMPUTED_VALUE"""),25.0)</f>
        <v>25</v>
      </c>
      <c r="S1129" s="65"/>
      <c r="T1129" s="65">
        <f>IFERROR(__xludf.DUMMYFUNCTION("""COMPUTED_VALUE"""),7.75)</f>
        <v>7.75</v>
      </c>
      <c r="U1129" s="65">
        <f>IFERROR(__xludf.DUMMYFUNCTION("""COMPUTED_VALUE"""),0.0)</f>
        <v>0</v>
      </c>
      <c r="V1129" s="65">
        <f>IFERROR(__xludf.DUMMYFUNCTION("""COMPUTED_VALUE"""),0.0)</f>
        <v>0</v>
      </c>
      <c r="W1129" s="65">
        <f>IFERROR(__xludf.DUMMYFUNCTION("""COMPUTED_VALUE"""),0.0)</f>
        <v>0</v>
      </c>
      <c r="X1129" s="65">
        <f>IFERROR(__xludf.DUMMYFUNCTION("""COMPUTED_VALUE"""),2.35)</f>
        <v>2.35</v>
      </c>
      <c r="Y1129" s="65">
        <f>IFERROR(__xludf.DUMMYFUNCTION("""COMPUTED_VALUE"""),4.7)</f>
        <v>4.7</v>
      </c>
      <c r="Z1129" s="65">
        <f>IFERROR(__xludf.DUMMYFUNCTION("""COMPUTED_VALUE"""),116679.0)</f>
        <v>116679</v>
      </c>
      <c r="AA1129" s="65" t="str">
        <f>IFERROR(__xludf.DUMMYFUNCTION("""COMPUTED_VALUE"""),"AMC-2738")</f>
        <v>AMC-2738</v>
      </c>
      <c r="AB1129" s="65"/>
      <c r="AC1129" s="65" t="str">
        <f>IFERROR(__xludf.DUMMYFUNCTION("""COMPUTED_VALUE"""),"ESPONJA ANTILLUVIA DE PARABRISAS")</f>
        <v>ESPONJA ANTILLUVIA DE PARABRISAS</v>
      </c>
      <c r="AD1129" s="65"/>
      <c r="AE1129" s="65">
        <f>IFERROR(__xludf.DUMMYFUNCTION("""COMPUTED_VALUE"""),2.0)</f>
        <v>2</v>
      </c>
      <c r="AF1129" s="65" t="str">
        <f>IFERROR(__xludf.DUMMYFUNCTION("""COMPUTED_VALUE"""),"DEVOLUCION AL REMITENTE")</f>
        <v>DEVOLUCION AL REMITENTE</v>
      </c>
      <c r="AG1129" s="65" t="str">
        <f>IFERROR(__xludf.DUMMYFUNCTION("""COMPUTED_VALUE"""),"NO")</f>
        <v>NO</v>
      </c>
      <c r="AH1129" s="65" t="str">
        <f>IFERROR(__xludf.DUMMYFUNCTION("""COMPUTED_VALUE"""),"07:24")</f>
        <v>07:24</v>
      </c>
      <c r="AI1129" s="65" t="str">
        <f>IFERROR(__xludf.DUMMYFUNCTION("""COMPUTED_VALUE"""),"19-02-2026")</f>
        <v>19-02-2026</v>
      </c>
      <c r="AJ1129" s="65"/>
      <c r="AK1129" s="65"/>
      <c r="AL1129" s="65"/>
      <c r="AM1129" s="65"/>
      <c r="AN1129" s="65" t="str">
        <f>IFERROR(__xludf.DUMMYFUNCTION("""COMPUTED_VALUE"""),"01:04")</f>
        <v>01:04</v>
      </c>
      <c r="AO1129" s="65" t="str">
        <f>IFERROR(__xludf.DUMMYFUNCTION("""COMPUTED_VALUE"""),"21-02-2026")</f>
        <v>21-02-2026</v>
      </c>
      <c r="AP1129" s="65" t="str">
        <f>IFERROR(__xludf.DUMMYFUNCTION("""COMPUTED_VALUE"""),"Certificacion Devolucion al Remitente CL QUITO SUR")</f>
        <v>Certificacion Devolucion al Remitente CL QUITO SUR</v>
      </c>
      <c r="AQ1129" s="65" t="str">
        <f>IFERROR(__xludf.DUMMYFUNCTION("""COMPUTED_VALUE"""),"{}")</f>
        <v>{}</v>
      </c>
      <c r="AR1129" s="65"/>
      <c r="AS1129" s="65"/>
      <c r="AT1129" s="65" t="str">
        <f>IFERROR(__xludf.DUMMYFUNCTION("""COMPUTED_VALUE"""),"SHOPIFY")</f>
        <v>SHOPIFY</v>
      </c>
      <c r="AU1129" s="65" t="str">
        <f>IFERROR(__xludf.DUMMYFUNCTION("""COMPUTED_VALUE"""),"IMPORTEX EC")</f>
        <v>IMPORTEX EC</v>
      </c>
      <c r="AV1129" s="65" t="str">
        <f>IFERROR(__xludf.DUMMYFUNCTION("""COMPUTED_VALUE"""),"6469631803436")</f>
        <v>6469631803436</v>
      </c>
      <c r="AW1129" s="65">
        <f>IFERROR(__xludf.DUMMYFUNCTION("""COMPUTED_VALUE"""),5779.0)</f>
        <v>5779</v>
      </c>
      <c r="AX1129" s="65"/>
      <c r="AY1129" s="65" t="str">
        <f>IFERROR(__xludf.DUMMYFUNCTION("""COMPUTED_VALUE"""),"03/02/2026")</f>
        <v>03/02/2026</v>
      </c>
      <c r="AZ1129" s="65"/>
      <c r="BA1129" s="65"/>
    </row>
    <row r="1130">
      <c r="A1130" s="65" t="str">
        <f>IFERROR(__xludf.DUMMYFUNCTION("""COMPUTED_VALUE"""),"27-03-2026")</f>
        <v>27-03-2026</v>
      </c>
      <c r="B1130" s="65">
        <f>IFERROR(__xludf.DUMMYFUNCTION("""COMPUTED_VALUE"""),4356619.0)</f>
        <v>4356619</v>
      </c>
      <c r="C1130" s="65" t="str">
        <f>IFERROR(__xludf.DUMMYFUNCTION("""COMPUTED_VALUE"""),"19:32")</f>
        <v>19:32</v>
      </c>
      <c r="D1130" s="65" t="str">
        <f>IFERROR(__xludf.DUMMYFUNCTION("""COMPUTED_VALUE"""),"01-02-2026")</f>
        <v>01-02-2026</v>
      </c>
      <c r="E1130" s="65" t="str">
        <f>IFERROR(__xludf.DUMMYFUNCTION("""COMPUTED_VALUE"""),"Pablo De La Cruz")</f>
        <v>Pablo De La Cruz</v>
      </c>
      <c r="F1130" s="65" t="str">
        <f>IFERROR(__xludf.DUMMYFUNCTION("""COMPUTED_VALUE"""),"995649035")</f>
        <v>995649035</v>
      </c>
      <c r="G1130" s="65" t="str">
        <f>IFERROR(__xludf.DUMMYFUNCTION("""COMPUTED_VALUE"""),"pabloadelacruzp@gmail.com")</f>
        <v>pabloadelacruzp@gmail.com</v>
      </c>
      <c r="H1130" s="65"/>
      <c r="I1130" s="65"/>
      <c r="J1130" s="65"/>
      <c r="K1130" s="65" t="str">
        <f>IFERROR(__xludf.DUMMYFUNCTION("""COMPUTED_VALUE"""),"PENDIENTE CONFIRMACION")</f>
        <v>PENDIENTE CONFIRMACION</v>
      </c>
      <c r="L1130" s="65" t="str">
        <f>IFERROR(__xludf.DUMMYFUNCTION("""COMPUTED_VALUE"""),"CON RECAUDO")</f>
        <v>CON RECAUDO</v>
      </c>
      <c r="M1130" s="65" t="str">
        <f>IFERROR(__xludf.DUMMYFUNCTION("""COMPUTED_VALUE"""),"PICHINCHA")</f>
        <v>PICHINCHA</v>
      </c>
      <c r="N1130" s="65" t="str">
        <f>IFERROR(__xludf.DUMMYFUNCTION("""COMPUTED_VALUE"""),"CALDERON")</f>
        <v>CALDERON</v>
      </c>
      <c r="O1130" s="65" t="str">
        <f>IFERROR(__xludf.DUMMYFUNCTION("""COMPUTED_VALUE"""),"La Concordia y Pedro ramos Calderon -")</f>
        <v>La Concordia y Pedro ramos Calderon -</v>
      </c>
      <c r="P1130" s="65"/>
      <c r="Q1130" s="65" t="str">
        <f>IFERROR(__xludf.DUMMYFUNCTION("""COMPUTED_VALUE"""),"GINTRACOM")</f>
        <v>GINTRACOM</v>
      </c>
      <c r="R1130" s="65">
        <f>IFERROR(__xludf.DUMMYFUNCTION("""COMPUTED_VALUE"""),30.0)</f>
        <v>30</v>
      </c>
      <c r="S1130" s="65"/>
      <c r="T1130" s="65">
        <f>IFERROR(__xludf.DUMMYFUNCTION("""COMPUTED_VALUE"""),5.12)</f>
        <v>5.12</v>
      </c>
      <c r="U1130" s="65">
        <f>IFERROR(__xludf.DUMMYFUNCTION("""COMPUTED_VALUE"""),0.0)</f>
        <v>0</v>
      </c>
      <c r="V1130" s="65">
        <f>IFERROR(__xludf.DUMMYFUNCTION("""COMPUTED_VALUE"""),0.0)</f>
        <v>0</v>
      </c>
      <c r="W1130" s="65">
        <f>IFERROR(__xludf.DUMMYFUNCTION("""COMPUTED_VALUE"""),0.0)</f>
        <v>0</v>
      </c>
      <c r="X1130" s="65">
        <f>IFERROR(__xludf.DUMMYFUNCTION("""COMPUTED_VALUE"""),2.35)</f>
        <v>2.35</v>
      </c>
      <c r="Y1130" s="65">
        <f>IFERROR(__xludf.DUMMYFUNCTION("""COMPUTED_VALUE"""),7.05)</f>
        <v>7.05</v>
      </c>
      <c r="Z1130" s="65">
        <f>IFERROR(__xludf.DUMMYFUNCTION("""COMPUTED_VALUE"""),116679.0)</f>
        <v>116679</v>
      </c>
      <c r="AA1130" s="65" t="str">
        <f>IFERROR(__xludf.DUMMYFUNCTION("""COMPUTED_VALUE"""),"AMC-2738")</f>
        <v>AMC-2738</v>
      </c>
      <c r="AB1130" s="65"/>
      <c r="AC1130" s="65" t="str">
        <f>IFERROR(__xludf.DUMMYFUNCTION("""COMPUTED_VALUE"""),"ESPONJA ANTILLUVIA DE PARABRISAS")</f>
        <v>ESPONJA ANTILLUVIA DE PARABRISAS</v>
      </c>
      <c r="AD1130" s="65"/>
      <c r="AE1130" s="65">
        <f>IFERROR(__xludf.DUMMYFUNCTION("""COMPUTED_VALUE"""),3.0)</f>
        <v>3</v>
      </c>
      <c r="AF1130" s="65"/>
      <c r="AG1130" s="65"/>
      <c r="AH1130" s="65"/>
      <c r="AI1130" s="65"/>
      <c r="AJ1130" s="65"/>
      <c r="AK1130" s="65"/>
      <c r="AL1130" s="65"/>
      <c r="AM1130" s="65"/>
      <c r="AN1130" s="65"/>
      <c r="AO1130" s="65"/>
      <c r="AP1130" s="65"/>
      <c r="AQ1130" s="65"/>
      <c r="AR1130" s="65"/>
      <c r="AS1130" s="65"/>
      <c r="AT1130" s="65" t="str">
        <f>IFERROR(__xludf.DUMMYFUNCTION("""COMPUTED_VALUE"""),"SHOPIFY")</f>
        <v>SHOPIFY</v>
      </c>
      <c r="AU1130" s="65" t="str">
        <f>IFERROR(__xludf.DUMMYFUNCTION("""COMPUTED_VALUE"""),"IMPORTEX EC")</f>
        <v>IMPORTEX EC</v>
      </c>
      <c r="AV1130" s="65" t="str">
        <f>IFERROR(__xludf.DUMMYFUNCTION("""COMPUTED_VALUE"""),"6469630328876")</f>
        <v>6469630328876</v>
      </c>
      <c r="AW1130" s="65">
        <f>IFERROR(__xludf.DUMMYFUNCTION("""COMPUTED_VALUE"""),5778.0)</f>
        <v>5778</v>
      </c>
      <c r="AX1130" s="65"/>
      <c r="AY1130" s="65"/>
      <c r="AZ1130" s="65"/>
      <c r="BA1130" s="65"/>
    </row>
    <row r="1131">
      <c r="A1131" s="65" t="str">
        <f>IFERROR(__xludf.DUMMYFUNCTION("""COMPUTED_VALUE"""),"27-03-2026")</f>
        <v>27-03-2026</v>
      </c>
      <c r="B1131" s="65">
        <f>IFERROR(__xludf.DUMMYFUNCTION("""COMPUTED_VALUE"""),4356452.0)</f>
        <v>4356452</v>
      </c>
      <c r="C1131" s="65" t="str">
        <f>IFERROR(__xludf.DUMMYFUNCTION("""COMPUTED_VALUE"""),"19:16")</f>
        <v>19:16</v>
      </c>
      <c r="D1131" s="65" t="str">
        <f>IFERROR(__xludf.DUMMYFUNCTION("""COMPUTED_VALUE"""),"01-02-2026")</f>
        <v>01-02-2026</v>
      </c>
      <c r="E1131" s="65" t="str">
        <f>IFERROR(__xludf.DUMMYFUNCTION("""COMPUTED_VALUE"""),"Anibal Tipantasi")</f>
        <v>Anibal Tipantasi</v>
      </c>
      <c r="F1131" s="65" t="str">
        <f>IFERROR(__xludf.DUMMYFUNCTION("""COMPUTED_VALUE"""),"998148020")</f>
        <v>998148020</v>
      </c>
      <c r="G1131" s="65" t="str">
        <f>IFERROR(__xludf.DUMMYFUNCTION("""COMPUTED_VALUE"""),"marmolitegranitos@gmail.com")</f>
        <v>marmolitegranitos@gmail.com</v>
      </c>
      <c r="H1131" s="65"/>
      <c r="I1131" s="65"/>
      <c r="J1131" s="65"/>
      <c r="K1131" s="65" t="str">
        <f>IFERROR(__xludf.DUMMYFUNCTION("""COMPUTED_VALUE"""),"PENDIENTE CONFIRMACION")</f>
        <v>PENDIENTE CONFIRMACION</v>
      </c>
      <c r="L1131" s="65" t="str">
        <f>IFERROR(__xludf.DUMMYFUNCTION("""COMPUTED_VALUE"""),"CON RECAUDO")</f>
        <v>CON RECAUDO</v>
      </c>
      <c r="M1131" s="65" t="str">
        <f>IFERROR(__xludf.DUMMYFUNCTION("""COMPUTED_VALUE"""),"PASTAZA")</f>
        <v>PASTAZA</v>
      </c>
      <c r="N1131" s="65" t="str">
        <f>IFERROR(__xludf.DUMMYFUNCTION("""COMPUTED_VALUE"""),"PUYO")</f>
        <v>PUYO</v>
      </c>
      <c r="O1131" s="65" t="str">
        <f>IFERROR(__xludf.DUMMYFUNCTION("""COMPUTED_VALUE"""),"Vía a la Tarquikm2.5 Lalama -")</f>
        <v>Vía a la Tarquikm2.5 Lalama -</v>
      </c>
      <c r="P1131" s="65"/>
      <c r="Q1131" s="65" t="str">
        <f>IFERROR(__xludf.DUMMYFUNCTION("""COMPUTED_VALUE"""),"GINTRACOM")</f>
        <v>GINTRACOM</v>
      </c>
      <c r="R1131" s="65">
        <f>IFERROR(__xludf.DUMMYFUNCTION("""COMPUTED_VALUE"""),19.99)</f>
        <v>19.99</v>
      </c>
      <c r="S1131" s="65"/>
      <c r="T1131" s="65">
        <f>IFERROR(__xludf.DUMMYFUNCTION("""COMPUTED_VALUE"""),5.75)</f>
        <v>5.75</v>
      </c>
      <c r="U1131" s="65">
        <f>IFERROR(__xludf.DUMMYFUNCTION("""COMPUTED_VALUE"""),0.0)</f>
        <v>0</v>
      </c>
      <c r="V1131" s="65">
        <f>IFERROR(__xludf.DUMMYFUNCTION("""COMPUTED_VALUE"""),0.0)</f>
        <v>0</v>
      </c>
      <c r="W1131" s="65">
        <f>IFERROR(__xludf.DUMMYFUNCTION("""COMPUTED_VALUE"""),0.0)</f>
        <v>0</v>
      </c>
      <c r="X1131" s="65">
        <f>IFERROR(__xludf.DUMMYFUNCTION("""COMPUTED_VALUE"""),5.0)</f>
        <v>5</v>
      </c>
      <c r="Y1131" s="65">
        <f>IFERROR(__xludf.DUMMYFUNCTION("""COMPUTED_VALUE"""),5.0)</f>
        <v>5</v>
      </c>
      <c r="Z1131" s="65">
        <f>IFERROR(__xludf.DUMMYFUNCTION("""COMPUTED_VALUE"""),110064.0)</f>
        <v>110064</v>
      </c>
      <c r="AA1131" s="65" t="str">
        <f>IFERROR(__xludf.DUMMYFUNCTION("""COMPUTED_VALUE"""),"IMX-00001")</f>
        <v>IMX-00001</v>
      </c>
      <c r="AB1131" s="65"/>
      <c r="AC1131" s="65" t="str">
        <f>IFERROR(__xludf.DUMMYFUNCTION("""COMPUTED_VALUE"""),"LLAVE TRINQUETE")</f>
        <v>LLAVE TRINQUETE</v>
      </c>
      <c r="AD1131" s="65"/>
      <c r="AE1131" s="65">
        <f>IFERROR(__xludf.DUMMYFUNCTION("""COMPUTED_VALUE"""),1.0)</f>
        <v>1</v>
      </c>
      <c r="AF1131" s="65"/>
      <c r="AG1131" s="65"/>
      <c r="AH1131" s="65"/>
      <c r="AI1131" s="65"/>
      <c r="AJ1131" s="65"/>
      <c r="AK1131" s="65"/>
      <c r="AL1131" s="65"/>
      <c r="AM1131" s="65"/>
      <c r="AN1131" s="65"/>
      <c r="AO1131" s="65"/>
      <c r="AP1131" s="65"/>
      <c r="AQ1131" s="65"/>
      <c r="AR1131" s="65"/>
      <c r="AS1131" s="65"/>
      <c r="AT1131" s="65" t="str">
        <f>IFERROR(__xludf.DUMMYFUNCTION("""COMPUTED_VALUE"""),"SHOPIFY")</f>
        <v>SHOPIFY</v>
      </c>
      <c r="AU1131" s="65" t="str">
        <f>IFERROR(__xludf.DUMMYFUNCTION("""COMPUTED_VALUE"""),"IMPORTEX EC")</f>
        <v>IMPORTEX EC</v>
      </c>
      <c r="AV1131" s="65" t="str">
        <f>IFERROR(__xludf.DUMMYFUNCTION("""COMPUTED_VALUE"""),"6469599199276")</f>
        <v>6469599199276</v>
      </c>
      <c r="AW1131" s="65">
        <f>IFERROR(__xludf.DUMMYFUNCTION("""COMPUTED_VALUE"""),5777.0)</f>
        <v>5777</v>
      </c>
      <c r="AX1131" s="65"/>
      <c r="AY1131" s="65"/>
      <c r="AZ1131" s="65"/>
      <c r="BA1131" s="65"/>
    </row>
    <row r="1132">
      <c r="A1132" s="65" t="str">
        <f>IFERROR(__xludf.DUMMYFUNCTION("""COMPUTED_VALUE"""),"27-03-2026")</f>
        <v>27-03-2026</v>
      </c>
      <c r="B1132" s="65">
        <f>IFERROR(__xludf.DUMMYFUNCTION("""COMPUTED_VALUE"""),4356183.0)</f>
        <v>4356183</v>
      </c>
      <c r="C1132" s="65" t="str">
        <f>IFERROR(__xludf.DUMMYFUNCTION("""COMPUTED_VALUE"""),"18:56")</f>
        <v>18:56</v>
      </c>
      <c r="D1132" s="65" t="str">
        <f>IFERROR(__xludf.DUMMYFUNCTION("""COMPUTED_VALUE"""),"01-02-2026")</f>
        <v>01-02-2026</v>
      </c>
      <c r="E1132" s="65" t="str">
        <f>IFERROR(__xludf.DUMMYFUNCTION("""COMPUTED_VALUE"""),"Paulina Palacios")</f>
        <v>Paulina Palacios</v>
      </c>
      <c r="F1132" s="65" t="str">
        <f>IFERROR(__xludf.DUMMYFUNCTION("""COMPUTED_VALUE"""),"995652349")</f>
        <v>995652349</v>
      </c>
      <c r="G1132" s="65"/>
      <c r="H1132" s="65"/>
      <c r="I1132" s="65"/>
      <c r="J1132" s="65" t="str">
        <f>IFERROR(__xludf.DUMMYFUNCTION("""COMPUTED_VALUE"""),"D001291490")</f>
        <v>D001291490</v>
      </c>
      <c r="K1132" s="65" t="str">
        <f>IFERROR(__xludf.DUMMYFUNCTION("""COMPUTED_VALUE"""),"ENTREGADO")</f>
        <v>ENTREGADO</v>
      </c>
      <c r="L1132" s="65" t="str">
        <f>IFERROR(__xludf.DUMMYFUNCTION("""COMPUTED_VALUE"""),"CON RECAUDO")</f>
        <v>CON RECAUDO</v>
      </c>
      <c r="M1132" s="65" t="str">
        <f>IFERROR(__xludf.DUMMYFUNCTION("""COMPUTED_VALUE"""),"AZUAY")</f>
        <v>AZUAY</v>
      </c>
      <c r="N1132" s="65" t="str">
        <f>IFERROR(__xludf.DUMMYFUNCTION("""COMPUTED_VALUE"""),"CUENCA")</f>
        <v>CUENCA</v>
      </c>
      <c r="O1132" s="65" t="str">
        <f>IFERROR(__xludf.DUMMYFUNCTION("""COMPUTED_VALUE"""),"Federico Malo 1-90 y Ave. 12 de abril Cámara de Comercio de Cuenca -")</f>
        <v>Federico Malo 1-90 y Ave. 12 de abril Cámara de Comercio de Cuenca -</v>
      </c>
      <c r="P1132" s="65"/>
      <c r="Q1132" s="65" t="str">
        <f>IFERROR(__xludf.DUMMYFUNCTION("""COMPUTED_VALUE"""),"GINTRACOM")</f>
        <v>GINTRACOM</v>
      </c>
      <c r="R1132" s="65">
        <f>IFERROR(__xludf.DUMMYFUNCTION("""COMPUTED_VALUE"""),25.0)</f>
        <v>25</v>
      </c>
      <c r="S1132" s="65">
        <f>IFERROR(__xludf.DUMMYFUNCTION("""COMPUTED_VALUE"""),14.34)</f>
        <v>14.34</v>
      </c>
      <c r="T1132" s="65">
        <f>IFERROR(__xludf.DUMMYFUNCTION("""COMPUTED_VALUE"""),5.96)</f>
        <v>5.96</v>
      </c>
      <c r="U1132" s="65">
        <f>IFERROR(__xludf.DUMMYFUNCTION("""COMPUTED_VALUE"""),0.0)</f>
        <v>0</v>
      </c>
      <c r="V1132" s="65">
        <f>IFERROR(__xludf.DUMMYFUNCTION("""COMPUTED_VALUE"""),0.0)</f>
        <v>0</v>
      </c>
      <c r="W1132" s="65">
        <f>IFERROR(__xludf.DUMMYFUNCTION("""COMPUTED_VALUE"""),0.0)</f>
        <v>0</v>
      </c>
      <c r="X1132" s="65">
        <f>IFERROR(__xludf.DUMMYFUNCTION("""COMPUTED_VALUE"""),2.35)</f>
        <v>2.35</v>
      </c>
      <c r="Y1132" s="65">
        <f>IFERROR(__xludf.DUMMYFUNCTION("""COMPUTED_VALUE"""),4.7)</f>
        <v>4.7</v>
      </c>
      <c r="Z1132" s="65">
        <f>IFERROR(__xludf.DUMMYFUNCTION("""COMPUTED_VALUE"""),116679.0)</f>
        <v>116679</v>
      </c>
      <c r="AA1132" s="65" t="str">
        <f>IFERROR(__xludf.DUMMYFUNCTION("""COMPUTED_VALUE"""),"AMC-2738")</f>
        <v>AMC-2738</v>
      </c>
      <c r="AB1132" s="65"/>
      <c r="AC1132" s="65" t="str">
        <f>IFERROR(__xludf.DUMMYFUNCTION("""COMPUTED_VALUE"""),"ESPONJA ANTILLUVIA DE PARABRISAS")</f>
        <v>ESPONJA ANTILLUVIA DE PARABRISAS</v>
      </c>
      <c r="AD1132" s="65"/>
      <c r="AE1132" s="65">
        <f>IFERROR(__xludf.DUMMYFUNCTION("""COMPUTED_VALUE"""),2.0)</f>
        <v>2</v>
      </c>
      <c r="AF1132" s="65"/>
      <c r="AG1132" s="65"/>
      <c r="AH1132" s="65"/>
      <c r="AI1132" s="65"/>
      <c r="AJ1132" s="65"/>
      <c r="AK1132" s="65"/>
      <c r="AL1132" s="65"/>
      <c r="AM1132" s="65"/>
      <c r="AN1132" s="65"/>
      <c r="AO1132" s="65"/>
      <c r="AP1132" s="65"/>
      <c r="AQ1132" s="65"/>
      <c r="AR1132" s="65"/>
      <c r="AS1132" s="65"/>
      <c r="AT1132" s="65" t="str">
        <f>IFERROR(__xludf.DUMMYFUNCTION("""COMPUTED_VALUE"""),"SHOPIFY")</f>
        <v>SHOPIFY</v>
      </c>
      <c r="AU1132" s="65" t="str">
        <f>IFERROR(__xludf.DUMMYFUNCTION("""COMPUTED_VALUE"""),"IMPORTEX EC")</f>
        <v>IMPORTEX EC</v>
      </c>
      <c r="AV1132" s="65" t="str">
        <f>IFERROR(__xludf.DUMMYFUNCTION("""COMPUTED_VALUE"""),"6469550440492")</f>
        <v>6469550440492</v>
      </c>
      <c r="AW1132" s="65">
        <f>IFERROR(__xludf.DUMMYFUNCTION("""COMPUTED_VALUE"""),5776.0)</f>
        <v>5776</v>
      </c>
      <c r="AX1132" s="65"/>
      <c r="AY1132" s="65" t="str">
        <f>IFERROR(__xludf.DUMMYFUNCTION("""COMPUTED_VALUE"""),"03/02/2026")</f>
        <v>03/02/2026</v>
      </c>
      <c r="AZ1132" s="65"/>
      <c r="BA1132" s="65"/>
    </row>
    <row r="1133">
      <c r="A1133" s="65" t="str">
        <f>IFERROR(__xludf.DUMMYFUNCTION("""COMPUTED_VALUE"""),"27-03-2026")</f>
        <v>27-03-2026</v>
      </c>
      <c r="B1133" s="65">
        <f>IFERROR(__xludf.DUMMYFUNCTION("""COMPUTED_VALUE"""),4356007.0)</f>
        <v>4356007</v>
      </c>
      <c r="C1133" s="65" t="str">
        <f>IFERROR(__xludf.DUMMYFUNCTION("""COMPUTED_VALUE"""),"18:42")</f>
        <v>18:42</v>
      </c>
      <c r="D1133" s="65" t="str">
        <f>IFERROR(__xludf.DUMMYFUNCTION("""COMPUTED_VALUE"""),"01-02-2026")</f>
        <v>01-02-2026</v>
      </c>
      <c r="E1133" s="65" t="str">
        <f>IFERROR(__xludf.DUMMYFUNCTION("""COMPUTED_VALUE"""),"Jhanet Allaico")</f>
        <v>Jhanet Allaico</v>
      </c>
      <c r="F1133" s="65" t="str">
        <f>IFERROR(__xludf.DUMMYFUNCTION("""COMPUTED_VALUE"""),"984935896")</f>
        <v>984935896</v>
      </c>
      <c r="G1133" s="65" t="str">
        <f>IFERROR(__xludf.DUMMYFUNCTION("""COMPUTED_VALUE"""),"jhanetallaico@gmail.com")</f>
        <v>jhanetallaico@gmail.com</v>
      </c>
      <c r="H1133" s="65"/>
      <c r="I1133" s="65"/>
      <c r="J1133" s="65" t="str">
        <f>IFERROR(__xludf.DUMMYFUNCTION("""COMPUTED_VALUE"""),"D001291491")</f>
        <v>D001291491</v>
      </c>
      <c r="K1133" s="65" t="str">
        <f>IFERROR(__xludf.DUMMYFUNCTION("""COMPUTED_VALUE"""),"ENTREGADO")</f>
        <v>ENTREGADO</v>
      </c>
      <c r="L1133" s="65" t="str">
        <f>IFERROR(__xludf.DUMMYFUNCTION("""COMPUTED_VALUE"""),"CON RECAUDO")</f>
        <v>CON RECAUDO</v>
      </c>
      <c r="M1133" s="65" t="str">
        <f>IFERROR(__xludf.DUMMYFUNCTION("""COMPUTED_VALUE"""),"CAÑAR")</f>
        <v>CAÑAR</v>
      </c>
      <c r="N1133" s="65" t="str">
        <f>IFERROR(__xludf.DUMMYFUNCTION("""COMPUTED_VALUE"""),"AZOGUES")</f>
        <v>AZOGUES</v>
      </c>
      <c r="O1133" s="65" t="str">
        <f>IFERROR(__xludf.DUMMYFUNCTION("""COMPUTED_VALUE"""),"Av 16 dé abril 2 La concordia - edificio color durazno diagonal al Emapal"".")</f>
        <v>Av 16 dé abril 2 La concordia - edificio color durazno diagonal al Emapal".</v>
      </c>
      <c r="P1133" s="65"/>
      <c r="Q1133" s="65" t="str">
        <f>IFERROR(__xludf.DUMMYFUNCTION("""COMPUTED_VALUE"""),"GINTRACOM")</f>
        <v>GINTRACOM</v>
      </c>
      <c r="R1133" s="65">
        <f>IFERROR(__xludf.DUMMYFUNCTION("""COMPUTED_VALUE"""),20.0)</f>
        <v>20</v>
      </c>
      <c r="S1133" s="65">
        <f>IFERROR(__xludf.DUMMYFUNCTION("""COMPUTED_VALUE"""),11.89)</f>
        <v>11.89</v>
      </c>
      <c r="T1133" s="65">
        <f>IFERROR(__xludf.DUMMYFUNCTION("""COMPUTED_VALUE"""),5.76)</f>
        <v>5.76</v>
      </c>
      <c r="U1133" s="65">
        <f>IFERROR(__xludf.DUMMYFUNCTION("""COMPUTED_VALUE"""),0.0)</f>
        <v>0</v>
      </c>
      <c r="V1133" s="65">
        <f>IFERROR(__xludf.DUMMYFUNCTION("""COMPUTED_VALUE"""),0.0)</f>
        <v>0</v>
      </c>
      <c r="W1133" s="65">
        <f>IFERROR(__xludf.DUMMYFUNCTION("""COMPUTED_VALUE"""),0.0)</f>
        <v>0</v>
      </c>
      <c r="X1133" s="65">
        <f>IFERROR(__xludf.DUMMYFUNCTION("""COMPUTED_VALUE"""),2.35)</f>
        <v>2.35</v>
      </c>
      <c r="Y1133" s="65">
        <f>IFERROR(__xludf.DUMMYFUNCTION("""COMPUTED_VALUE"""),2.35)</f>
        <v>2.35</v>
      </c>
      <c r="Z1133" s="65">
        <f>IFERROR(__xludf.DUMMYFUNCTION("""COMPUTED_VALUE"""),116679.0)</f>
        <v>116679</v>
      </c>
      <c r="AA1133" s="65" t="str">
        <f>IFERROR(__xludf.DUMMYFUNCTION("""COMPUTED_VALUE"""),"AMC-2738")</f>
        <v>AMC-2738</v>
      </c>
      <c r="AB1133" s="65"/>
      <c r="AC1133" s="65" t="str">
        <f>IFERROR(__xludf.DUMMYFUNCTION("""COMPUTED_VALUE"""),"ESPONJA ANTILLUVIA DE PARABRISAS")</f>
        <v>ESPONJA ANTILLUVIA DE PARABRISAS</v>
      </c>
      <c r="AD1133" s="65"/>
      <c r="AE1133" s="65">
        <f>IFERROR(__xludf.DUMMYFUNCTION("""COMPUTED_VALUE"""),1.0)</f>
        <v>1</v>
      </c>
      <c r="AF1133" s="65"/>
      <c r="AG1133" s="65"/>
      <c r="AH1133" s="65"/>
      <c r="AI1133" s="65"/>
      <c r="AJ1133" s="65"/>
      <c r="AK1133" s="65"/>
      <c r="AL1133" s="65"/>
      <c r="AM1133" s="65"/>
      <c r="AN1133" s="65"/>
      <c r="AO1133" s="65"/>
      <c r="AP1133" s="65"/>
      <c r="AQ1133" s="65"/>
      <c r="AR1133" s="65"/>
      <c r="AS1133" s="65"/>
      <c r="AT1133" s="65" t="str">
        <f>IFERROR(__xludf.DUMMYFUNCTION("""COMPUTED_VALUE"""),"SHOPIFY")</f>
        <v>SHOPIFY</v>
      </c>
      <c r="AU1133" s="65" t="str">
        <f>IFERROR(__xludf.DUMMYFUNCTION("""COMPUTED_VALUE"""),"IMPORTEX EC")</f>
        <v>IMPORTEX EC</v>
      </c>
      <c r="AV1133" s="65" t="str">
        <f>IFERROR(__xludf.DUMMYFUNCTION("""COMPUTED_VALUE"""),"6469516492844")</f>
        <v>6469516492844</v>
      </c>
      <c r="AW1133" s="65">
        <f>IFERROR(__xludf.DUMMYFUNCTION("""COMPUTED_VALUE"""),5775.0)</f>
        <v>5775</v>
      </c>
      <c r="AX1133" s="65"/>
      <c r="AY1133" s="65" t="str">
        <f>IFERROR(__xludf.DUMMYFUNCTION("""COMPUTED_VALUE"""),"03/02/2026")</f>
        <v>03/02/2026</v>
      </c>
      <c r="AZ1133" s="65"/>
      <c r="BA1133" s="65"/>
    </row>
    <row r="1134">
      <c r="A1134" s="65" t="str">
        <f>IFERROR(__xludf.DUMMYFUNCTION("""COMPUTED_VALUE"""),"27-03-2026")</f>
        <v>27-03-2026</v>
      </c>
      <c r="B1134" s="65">
        <f>IFERROR(__xludf.DUMMYFUNCTION("""COMPUTED_VALUE"""),4355512.0)</f>
        <v>4355512</v>
      </c>
      <c r="C1134" s="65" t="str">
        <f>IFERROR(__xludf.DUMMYFUNCTION("""COMPUTED_VALUE"""),"18:06")</f>
        <v>18:06</v>
      </c>
      <c r="D1134" s="65" t="str">
        <f>IFERROR(__xludf.DUMMYFUNCTION("""COMPUTED_VALUE"""),"01-02-2026")</f>
        <v>01-02-2026</v>
      </c>
      <c r="E1134" s="65" t="str">
        <f>IFERROR(__xludf.DUMMYFUNCTION("""COMPUTED_VALUE"""),"Hamilton Zamora")</f>
        <v>Hamilton Zamora</v>
      </c>
      <c r="F1134" s="65" t="str">
        <f>IFERROR(__xludf.DUMMYFUNCTION("""COMPUTED_VALUE"""),"988804343")</f>
        <v>988804343</v>
      </c>
      <c r="G1134" s="65" t="str">
        <f>IFERROR(__xludf.DUMMYFUNCTION("""COMPUTED_VALUE"""),"hamiltonzamoram@gmail.com")</f>
        <v>hamiltonzamoram@gmail.com</v>
      </c>
      <c r="H1134" s="65"/>
      <c r="I1134" s="65"/>
      <c r="J1134" s="65" t="str">
        <f>IFERROR(__xludf.DUMMYFUNCTION("""COMPUTED_VALUE"""),"D001294611")</f>
        <v>D001294611</v>
      </c>
      <c r="K1134" s="65" t="str">
        <f>IFERROR(__xludf.DUMMYFUNCTION("""COMPUTED_VALUE"""),"ENTREGADO")</f>
        <v>ENTREGADO</v>
      </c>
      <c r="L1134" s="65" t="str">
        <f>IFERROR(__xludf.DUMMYFUNCTION("""COMPUTED_VALUE"""),"CON RECAUDO")</f>
        <v>CON RECAUDO</v>
      </c>
      <c r="M1134" s="65" t="str">
        <f>IFERROR(__xludf.DUMMYFUNCTION("""COMPUTED_VALUE"""),"MANABI")</f>
        <v>MANABI</v>
      </c>
      <c r="N1134" s="65" t="str">
        <f>IFERROR(__xludf.DUMMYFUNCTION("""COMPUTED_VALUE"""),"MONTECRISTI")</f>
        <v>MONTECRISTI</v>
      </c>
      <c r="O1134" s="65" t="str">
        <f>IFERROR(__xludf.DUMMYFUNCTION("""COMPUTED_VALUE"""),"Parque Ruta de los Spondylus y C15 , Diagonal a la URBANIZACION BELO HORIZONTE .")</f>
        <v>Parque Ruta de los Spondylus y C15 , Diagonal a la URBANIZACION BELO HORIZONTE .</v>
      </c>
      <c r="P1134" s="65" t="str">
        <f>IFERROR(__xludf.DUMMYFUNCTION("""COMPUTED_VALUE"""),"CUCHILLO PARA CHEF: Default Title ***")</f>
        <v>CUCHILLO PARA CHEF: Default Title ***</v>
      </c>
      <c r="Q1134" s="65" t="str">
        <f>IFERROR(__xludf.DUMMYFUNCTION("""COMPUTED_VALUE"""),"GINTRACOM")</f>
        <v>GINTRACOM</v>
      </c>
      <c r="R1134" s="65">
        <f>IFERROR(__xludf.DUMMYFUNCTION("""COMPUTED_VALUE"""),22.0)</f>
        <v>22</v>
      </c>
      <c r="S1134" s="65">
        <f>IFERROR(__xludf.DUMMYFUNCTION("""COMPUTED_VALUE"""),10.39)</f>
        <v>10.39</v>
      </c>
      <c r="T1134" s="65">
        <f>IFERROR(__xludf.DUMMYFUNCTION("""COMPUTED_VALUE"""),6.41)</f>
        <v>6.41</v>
      </c>
      <c r="U1134" s="65">
        <f>IFERROR(__xludf.DUMMYFUNCTION("""COMPUTED_VALUE"""),0.0)</f>
        <v>0</v>
      </c>
      <c r="V1134" s="65">
        <f>IFERROR(__xludf.DUMMYFUNCTION("""COMPUTED_VALUE"""),0.0)</f>
        <v>0</v>
      </c>
      <c r="W1134" s="65">
        <f>IFERROR(__xludf.DUMMYFUNCTION("""COMPUTED_VALUE"""),0.0)</f>
        <v>0</v>
      </c>
      <c r="X1134" s="65">
        <f>IFERROR(__xludf.DUMMYFUNCTION("""COMPUTED_VALUE"""),2.6)</f>
        <v>2.6</v>
      </c>
      <c r="Y1134" s="65">
        <f>IFERROR(__xludf.DUMMYFUNCTION("""COMPUTED_VALUE"""),5.2)</f>
        <v>5.2</v>
      </c>
      <c r="Z1134" s="65">
        <f>IFERROR(__xludf.DUMMYFUNCTION("""COMPUTED_VALUE"""),121983.0)</f>
        <v>121983</v>
      </c>
      <c r="AA1134" s="65" t="str">
        <f>IFERROR(__xludf.DUMMYFUNCTION("""COMPUTED_VALUE"""),"PROV-CHLLCF")</f>
        <v>PROV-CHLLCF</v>
      </c>
      <c r="AB1134" s="65"/>
      <c r="AC1134" s="65" t="str">
        <f>IFERROR(__xludf.DUMMYFUNCTION("""COMPUTED_VALUE"""),"CUCHILLO PARA CHEF")</f>
        <v>CUCHILLO PARA CHEF</v>
      </c>
      <c r="AD1134" s="65"/>
      <c r="AE1134" s="65">
        <f>IFERROR(__xludf.DUMMYFUNCTION("""COMPUTED_VALUE"""),2.0)</f>
        <v>2</v>
      </c>
      <c r="AF1134" s="65"/>
      <c r="AG1134" s="65"/>
      <c r="AH1134" s="65"/>
      <c r="AI1134" s="65"/>
      <c r="AJ1134" s="65"/>
      <c r="AK1134" s="65"/>
      <c r="AL1134" s="65"/>
      <c r="AM1134" s="65"/>
      <c r="AN1134" s="65" t="str">
        <f>IFERROR(__xludf.DUMMYFUNCTION("""COMPUTED_VALUE"""),"01:30")</f>
        <v>01:30</v>
      </c>
      <c r="AO1134" s="65" t="str">
        <f>IFERROR(__xludf.DUMMYFUNCTION("""COMPUTED_VALUE"""),"07-02-2026")</f>
        <v>07-02-2026</v>
      </c>
      <c r="AP1134" s="65" t="str">
        <f>IFERROR(__xludf.DUMMYFUNCTION("""COMPUTED_VALUE"""),"ENTREGADA GINTRACOM")</f>
        <v>ENTREGADA GINTRACOM</v>
      </c>
      <c r="AQ1134" s="65" t="str">
        <f>IFERROR(__xludf.DUMMYFUNCTION("""COMPUTED_VALUE"""),"ENTREGADA GINTRACOM")</f>
        <v>ENTREGADA GINTRACOM</v>
      </c>
      <c r="AR1134" s="65"/>
      <c r="AS1134" s="65"/>
      <c r="AT1134" s="65" t="str">
        <f>IFERROR(__xludf.DUMMYFUNCTION("""COMPUTED_VALUE"""),"SHOPIFY")</f>
        <v>SHOPIFY</v>
      </c>
      <c r="AU1134" s="65" t="str">
        <f>IFERROR(__xludf.DUMMYFUNCTION("""COMPUTED_VALUE"""),"IMPORTEX EC")</f>
        <v>IMPORTEX EC</v>
      </c>
      <c r="AV1134" s="65" t="str">
        <f>IFERROR(__xludf.DUMMYFUNCTION("""COMPUTED_VALUE"""),"6469424611372")</f>
        <v>6469424611372</v>
      </c>
      <c r="AW1134" s="65">
        <f>IFERROR(__xludf.DUMMYFUNCTION("""COMPUTED_VALUE"""),5774.0)</f>
        <v>5774</v>
      </c>
      <c r="AX1134" s="65"/>
      <c r="AY1134" s="65" t="str">
        <f>IFERROR(__xludf.DUMMYFUNCTION("""COMPUTED_VALUE"""),"04/02/2026")</f>
        <v>04/02/2026</v>
      </c>
      <c r="AZ1134" s="65"/>
      <c r="BA1134" s="65"/>
    </row>
    <row r="1135">
      <c r="A1135" s="65" t="str">
        <f>IFERROR(__xludf.DUMMYFUNCTION("""COMPUTED_VALUE"""),"27-03-2026")</f>
        <v>27-03-2026</v>
      </c>
      <c r="B1135" s="65">
        <f>IFERROR(__xludf.DUMMYFUNCTION("""COMPUTED_VALUE"""),4355458.0)</f>
        <v>4355458</v>
      </c>
      <c r="C1135" s="65" t="str">
        <f>IFERROR(__xludf.DUMMYFUNCTION("""COMPUTED_VALUE"""),"18:00")</f>
        <v>18:00</v>
      </c>
      <c r="D1135" s="65" t="str">
        <f>IFERROR(__xludf.DUMMYFUNCTION("""COMPUTED_VALUE"""),"01-02-2026")</f>
        <v>01-02-2026</v>
      </c>
      <c r="E1135" s="65" t="str">
        <f>IFERROR(__xludf.DUMMYFUNCTION("""COMPUTED_VALUE"""),"Galo Macas")</f>
        <v>Galo Macas</v>
      </c>
      <c r="F1135" s="65" t="str">
        <f>IFERROR(__xludf.DUMMYFUNCTION("""COMPUTED_VALUE"""),"994582018")</f>
        <v>994582018</v>
      </c>
      <c r="G1135" s="65" t="str">
        <f>IFERROR(__xludf.DUMMYFUNCTION("""COMPUTED_VALUE"""),"macasgalo411@gmail.com")</f>
        <v>macasgalo411@gmail.com</v>
      </c>
      <c r="H1135" s="65"/>
      <c r="I1135" s="65"/>
      <c r="J1135" s="65" t="str">
        <f>IFERROR(__xludf.DUMMYFUNCTION("""COMPUTED_VALUE"""),"D001288606")</f>
        <v>D001288606</v>
      </c>
      <c r="K1135" s="65" t="str">
        <f>IFERROR(__xludf.DUMMYFUNCTION("""COMPUTED_VALUE"""),"DEVOLUCION")</f>
        <v>DEVOLUCION</v>
      </c>
      <c r="L1135" s="65" t="str">
        <f>IFERROR(__xludf.DUMMYFUNCTION("""COMPUTED_VALUE"""),"CON RECAUDO")</f>
        <v>CON RECAUDO</v>
      </c>
      <c r="M1135" s="65" t="str">
        <f>IFERROR(__xludf.DUMMYFUNCTION("""COMPUTED_VALUE"""),"CHIMBORAZO")</f>
        <v>CHIMBORAZO</v>
      </c>
      <c r="N1135" s="65" t="str">
        <f>IFERROR(__xludf.DUMMYFUNCTION("""COMPUTED_VALUE"""),"RIOBAMBA")</f>
        <v>RIOBAMBA</v>
      </c>
      <c r="O1135" s="65" t="str">
        <f>IFERROR(__xludf.DUMMYFUNCTION("""COMPUTED_VALUE"""),"Francisco Roca y Pasaje Edificio blanco")</f>
        <v>Francisco Roca y Pasaje Edificio blanco</v>
      </c>
      <c r="P1135" s="65"/>
      <c r="Q1135" s="65" t="str">
        <f>IFERROR(__xludf.DUMMYFUNCTION("""COMPUTED_VALUE"""),"GINTRACOM")</f>
        <v>GINTRACOM</v>
      </c>
      <c r="R1135" s="65">
        <f>IFERROR(__xludf.DUMMYFUNCTION("""COMPUTED_VALUE"""),25.0)</f>
        <v>25</v>
      </c>
      <c r="S1135" s="65"/>
      <c r="T1135" s="65">
        <f>IFERROR(__xludf.DUMMYFUNCTION("""COMPUTED_VALUE"""),5.96)</f>
        <v>5.96</v>
      </c>
      <c r="U1135" s="65">
        <f>IFERROR(__xludf.DUMMYFUNCTION("""COMPUTED_VALUE"""),0.0)</f>
        <v>0</v>
      </c>
      <c r="V1135" s="65">
        <f>IFERROR(__xludf.DUMMYFUNCTION("""COMPUTED_VALUE"""),0.0)</f>
        <v>0</v>
      </c>
      <c r="W1135" s="65">
        <f>IFERROR(__xludf.DUMMYFUNCTION("""COMPUTED_VALUE"""),0.0)</f>
        <v>0</v>
      </c>
      <c r="X1135" s="65">
        <f>IFERROR(__xludf.DUMMYFUNCTION("""COMPUTED_VALUE"""),2.35)</f>
        <v>2.35</v>
      </c>
      <c r="Y1135" s="65">
        <f>IFERROR(__xludf.DUMMYFUNCTION("""COMPUTED_VALUE"""),4.7)</f>
        <v>4.7</v>
      </c>
      <c r="Z1135" s="65">
        <f>IFERROR(__xludf.DUMMYFUNCTION("""COMPUTED_VALUE"""),116679.0)</f>
        <v>116679</v>
      </c>
      <c r="AA1135" s="65" t="str">
        <f>IFERROR(__xludf.DUMMYFUNCTION("""COMPUTED_VALUE"""),"AMC-2738")</f>
        <v>AMC-2738</v>
      </c>
      <c r="AB1135" s="65"/>
      <c r="AC1135" s="65" t="str">
        <f>IFERROR(__xludf.DUMMYFUNCTION("""COMPUTED_VALUE"""),"ESPONJA ANTILLUVIA DE PARABRISAS")</f>
        <v>ESPONJA ANTILLUVIA DE PARABRISAS</v>
      </c>
      <c r="AD1135" s="65"/>
      <c r="AE1135" s="65">
        <f>IFERROR(__xludf.DUMMYFUNCTION("""COMPUTED_VALUE"""),2.0)</f>
        <v>2</v>
      </c>
      <c r="AF1135" s="65" t="str">
        <f>IFERROR(__xludf.DUMMYFUNCTION("""COMPUTED_VALUE"""),"DESTINATARIO INDICA QUE YA NO DESEA EL PRODUCTO")</f>
        <v>DESTINATARIO INDICA QUE YA NO DESEA EL PRODUCTO</v>
      </c>
      <c r="AG1135" s="65" t="str">
        <f>IFERROR(__xludf.DUMMYFUNCTION("""COMPUTED_VALUE"""),"NO")</f>
        <v>NO</v>
      </c>
      <c r="AH1135" s="65" t="str">
        <f>IFERROR(__xludf.DUMMYFUNCTION("""COMPUTED_VALUE"""),"11:16")</f>
        <v>11:16</v>
      </c>
      <c r="AI1135" s="65" t="str">
        <f>IFERROR(__xludf.DUMMYFUNCTION("""COMPUTED_VALUE"""),"05-02-2026")</f>
        <v>05-02-2026</v>
      </c>
      <c r="AJ1135" s="65"/>
      <c r="AK1135" s="65"/>
      <c r="AL1135" s="65"/>
      <c r="AM1135" s="65"/>
      <c r="AN1135" s="65" t="str">
        <f>IFERROR(__xludf.DUMMYFUNCTION("""COMPUTED_VALUE"""),"15:47")</f>
        <v>15:47</v>
      </c>
      <c r="AO1135" s="65" t="str">
        <f>IFERROR(__xludf.DUMMYFUNCTION("""COMPUTED_VALUE"""),"02-03-2026")</f>
        <v>02-03-2026</v>
      </c>
      <c r="AP1135" s="65" t="str">
        <f>IFERROR(__xludf.DUMMYFUNCTION("""COMPUTED_VALUE"""),"DEVOLUCIÓN ENTREGADA A ORIGEN")</f>
        <v>DEVOLUCIÓN ENTREGADA A ORIGEN</v>
      </c>
      <c r="AQ1135" s="65" t="str">
        <f>IFERROR(__xludf.DUMMYFUNCTION("""COMPUTED_VALUE"""),"DEVOLUCIÓN ENTREGADA A ORIGEN")</f>
        <v>DEVOLUCIÓN ENTREGADA A ORIGEN</v>
      </c>
      <c r="AR1135" s="65"/>
      <c r="AS1135" s="65"/>
      <c r="AT1135" s="65" t="str">
        <f>IFERROR(__xludf.DUMMYFUNCTION("""COMPUTED_VALUE"""),"SHOPIFY")</f>
        <v>SHOPIFY</v>
      </c>
      <c r="AU1135" s="65" t="str">
        <f>IFERROR(__xludf.DUMMYFUNCTION("""COMPUTED_VALUE"""),"IMPORTEX EC")</f>
        <v>IMPORTEX EC</v>
      </c>
      <c r="AV1135" s="65" t="str">
        <f>IFERROR(__xludf.DUMMYFUNCTION("""COMPUTED_VALUE"""),"6469415141420")</f>
        <v>6469415141420</v>
      </c>
      <c r="AW1135" s="65">
        <f>IFERROR(__xludf.DUMMYFUNCTION("""COMPUTED_VALUE"""),5773.0)</f>
        <v>5773</v>
      </c>
      <c r="AX1135" s="65"/>
      <c r="AY1135" s="65" t="str">
        <f>IFERROR(__xludf.DUMMYFUNCTION("""COMPUTED_VALUE"""),"02/02/2026")</f>
        <v>02/02/2026</v>
      </c>
      <c r="AZ1135" s="65"/>
      <c r="BA1135" s="65"/>
    </row>
    <row r="1136">
      <c r="A1136" s="65" t="str">
        <f>IFERROR(__xludf.DUMMYFUNCTION("""COMPUTED_VALUE"""),"27-03-2026")</f>
        <v>27-03-2026</v>
      </c>
      <c r="B1136" s="65">
        <f>IFERROR(__xludf.DUMMYFUNCTION("""COMPUTED_VALUE"""),4354385.0)</f>
        <v>4354385</v>
      </c>
      <c r="C1136" s="65" t="str">
        <f>IFERROR(__xludf.DUMMYFUNCTION("""COMPUTED_VALUE"""),"16:19")</f>
        <v>16:19</v>
      </c>
      <c r="D1136" s="65" t="str">
        <f>IFERROR(__xludf.DUMMYFUNCTION("""COMPUTED_VALUE"""),"01-02-2026")</f>
        <v>01-02-2026</v>
      </c>
      <c r="E1136" s="65" t="str">
        <f>IFERROR(__xludf.DUMMYFUNCTION("""COMPUTED_VALUE"""),"RODRIGO FERNANDEZ")</f>
        <v>RODRIGO FERNANDEZ</v>
      </c>
      <c r="F1136" s="65" t="str">
        <f>IFERROR(__xludf.DUMMYFUNCTION("""COMPUTED_VALUE"""),"961471380")</f>
        <v>961471380</v>
      </c>
      <c r="G1136" s="65" t="str">
        <f>IFERROR(__xludf.DUMMYFUNCTION("""COMPUTED_VALUE"""),"canuto83c@gmail.com")</f>
        <v>canuto83c@gmail.com</v>
      </c>
      <c r="H1136" s="65"/>
      <c r="I1136" s="65"/>
      <c r="J1136" s="65"/>
      <c r="K1136" s="65" t="str">
        <f>IFERROR(__xludf.DUMMYFUNCTION("""COMPUTED_VALUE"""),"CANCELADO")</f>
        <v>CANCELADO</v>
      </c>
      <c r="L1136" s="65" t="str">
        <f>IFERROR(__xludf.DUMMYFUNCTION("""COMPUTED_VALUE"""),"CON RECAUDO")</f>
        <v>CON RECAUDO</v>
      </c>
      <c r="M1136" s="65" t="str">
        <f>IFERROR(__xludf.DUMMYFUNCTION("""COMPUTED_VALUE"""),"PICHINCHA")</f>
        <v>PICHINCHA</v>
      </c>
      <c r="N1136" s="65" t="str">
        <f>IFERROR(__xludf.DUMMYFUNCTION("""COMPUTED_VALUE"""),"QUITO")</f>
        <v>QUITO</v>
      </c>
      <c r="O1136" s="65" t="str">
        <f>IFERROR(__xludf.DUMMYFUNCTION("""COMPUTED_VALUE"""),"Puembo teran bardea y Gustavo vallejo Puembo -")</f>
        <v>Puembo teran bardea y Gustavo vallejo Puembo -</v>
      </c>
      <c r="P1136" s="65"/>
      <c r="Q1136" s="65" t="str">
        <f>IFERROR(__xludf.DUMMYFUNCTION("""COMPUTED_VALUE"""),"GINTRACOM")</f>
        <v>GINTRACOM</v>
      </c>
      <c r="R1136" s="65">
        <f>IFERROR(__xludf.DUMMYFUNCTION("""COMPUTED_VALUE"""),22.0)</f>
        <v>22</v>
      </c>
      <c r="S1136" s="65"/>
      <c r="T1136" s="65">
        <f>IFERROR(__xludf.DUMMYFUNCTION("""COMPUTED_VALUE"""),5.84)</f>
        <v>5.84</v>
      </c>
      <c r="U1136" s="65">
        <f>IFERROR(__xludf.DUMMYFUNCTION("""COMPUTED_VALUE"""),0.0)</f>
        <v>0</v>
      </c>
      <c r="V1136" s="65">
        <f>IFERROR(__xludf.DUMMYFUNCTION("""COMPUTED_VALUE"""),0.0)</f>
        <v>0</v>
      </c>
      <c r="W1136" s="65">
        <f>IFERROR(__xludf.DUMMYFUNCTION("""COMPUTED_VALUE"""),0.0)</f>
        <v>0</v>
      </c>
      <c r="X1136" s="65">
        <f>IFERROR(__xludf.DUMMYFUNCTION("""COMPUTED_VALUE"""),2.6)</f>
        <v>2.6</v>
      </c>
      <c r="Y1136" s="65">
        <f>IFERROR(__xludf.DUMMYFUNCTION("""COMPUTED_VALUE"""),5.2)</f>
        <v>5.2</v>
      </c>
      <c r="Z1136" s="65">
        <f>IFERROR(__xludf.DUMMYFUNCTION("""COMPUTED_VALUE"""),121983.0)</f>
        <v>121983</v>
      </c>
      <c r="AA1136" s="65" t="str">
        <f>IFERROR(__xludf.DUMMYFUNCTION("""COMPUTED_VALUE"""),"PROV-CHLLCF")</f>
        <v>PROV-CHLLCF</v>
      </c>
      <c r="AB1136" s="65"/>
      <c r="AC1136" s="65" t="str">
        <f>IFERROR(__xludf.DUMMYFUNCTION("""COMPUTED_VALUE"""),"CUCHILLO PARA CHEF")</f>
        <v>CUCHILLO PARA CHEF</v>
      </c>
      <c r="AD1136" s="65"/>
      <c r="AE1136" s="65">
        <f>IFERROR(__xludf.DUMMYFUNCTION("""COMPUTED_VALUE"""),2.0)</f>
        <v>2</v>
      </c>
      <c r="AF1136" s="65"/>
      <c r="AG1136" s="65"/>
      <c r="AH1136" s="65"/>
      <c r="AI1136" s="65"/>
      <c r="AJ1136" s="65"/>
      <c r="AK1136" s="65"/>
      <c r="AL1136" s="65"/>
      <c r="AM1136" s="65"/>
      <c r="AN1136" s="65"/>
      <c r="AO1136" s="65"/>
      <c r="AP1136" s="65"/>
      <c r="AQ1136" s="65"/>
      <c r="AR1136" s="65"/>
      <c r="AS1136" s="65"/>
      <c r="AT1136" s="65" t="str">
        <f>IFERROR(__xludf.DUMMYFUNCTION("""COMPUTED_VALUE"""),"SHOPIFY")</f>
        <v>SHOPIFY</v>
      </c>
      <c r="AU1136" s="65" t="str">
        <f>IFERROR(__xludf.DUMMYFUNCTION("""COMPUTED_VALUE"""),"IMPORTEX EC")</f>
        <v>IMPORTEX EC</v>
      </c>
      <c r="AV1136" s="65" t="str">
        <f>IFERROR(__xludf.DUMMYFUNCTION("""COMPUTED_VALUE"""),"6469159387180")</f>
        <v>6469159387180</v>
      </c>
      <c r="AW1136" s="65">
        <f>IFERROR(__xludf.DUMMYFUNCTION("""COMPUTED_VALUE"""),5772.0)</f>
        <v>5772</v>
      </c>
      <c r="AX1136" s="65"/>
      <c r="AY1136" s="65"/>
      <c r="AZ1136" s="65"/>
      <c r="BA1136" s="65"/>
    </row>
    <row r="1137">
      <c r="A1137" s="65" t="str">
        <f>IFERROR(__xludf.DUMMYFUNCTION("""COMPUTED_VALUE"""),"27-03-2026")</f>
        <v>27-03-2026</v>
      </c>
      <c r="B1137" s="65">
        <f>IFERROR(__xludf.DUMMYFUNCTION("""COMPUTED_VALUE"""),4354082.0)</f>
        <v>4354082</v>
      </c>
      <c r="C1137" s="65" t="str">
        <f>IFERROR(__xludf.DUMMYFUNCTION("""COMPUTED_VALUE"""),"15:45")</f>
        <v>15:45</v>
      </c>
      <c r="D1137" s="65" t="str">
        <f>IFERROR(__xludf.DUMMYFUNCTION("""COMPUTED_VALUE"""),"01-02-2026")</f>
        <v>01-02-2026</v>
      </c>
      <c r="E1137" s="65" t="str">
        <f>IFERROR(__xludf.DUMMYFUNCTION("""COMPUTED_VALUE"""),"Monica Argudo")</f>
        <v>Monica Argudo</v>
      </c>
      <c r="F1137" s="65" t="str">
        <f>IFERROR(__xludf.DUMMYFUNCTION("""COMPUTED_VALUE"""),"999392150")</f>
        <v>999392150</v>
      </c>
      <c r="G1137" s="65" t="str">
        <f>IFERROR(__xludf.DUMMYFUNCTION("""COMPUTED_VALUE"""),"monicargudo45@gmail.com")</f>
        <v>monicargudo45@gmail.com</v>
      </c>
      <c r="H1137" s="65"/>
      <c r="I1137" s="65"/>
      <c r="J1137" s="65" t="str">
        <f>IFERROR(__xludf.DUMMYFUNCTION("""COMPUTED_VALUE"""),"D001290769")</f>
        <v>D001290769</v>
      </c>
      <c r="K1137" s="65" t="str">
        <f>IFERROR(__xludf.DUMMYFUNCTION("""COMPUTED_VALUE"""),"ENTREGADO")</f>
        <v>ENTREGADO</v>
      </c>
      <c r="L1137" s="65" t="str">
        <f>IFERROR(__xludf.DUMMYFUNCTION("""COMPUTED_VALUE"""),"CON RECAUDO")</f>
        <v>CON RECAUDO</v>
      </c>
      <c r="M1137" s="65" t="str">
        <f>IFERROR(__xludf.DUMMYFUNCTION("""COMPUTED_VALUE"""),"AZUAY")</f>
        <v>AZUAY</v>
      </c>
      <c r="N1137" s="65" t="str">
        <f>IFERROR(__xludf.DUMMYFUNCTION("""COMPUTED_VALUE"""),"CUENCA")</f>
        <v>CUENCA</v>
      </c>
      <c r="O1137" s="65" t="str">
        <f>IFERROR(__xludf.DUMMYFUNCTION("""COMPUTED_VALUE"""),"General Torres y Calle Larga  Mercado 10 de Agosto -")</f>
        <v>General Torres y Calle Larga  Mercado 10 de Agosto -</v>
      </c>
      <c r="P1137" s="65"/>
      <c r="Q1137" s="65" t="str">
        <f>IFERROR(__xludf.DUMMYFUNCTION("""COMPUTED_VALUE"""),"GINTRACOM")</f>
        <v>GINTRACOM</v>
      </c>
      <c r="R1137" s="65">
        <f>IFERROR(__xludf.DUMMYFUNCTION("""COMPUTED_VALUE"""),22.0)</f>
        <v>22</v>
      </c>
      <c r="S1137" s="65">
        <f>IFERROR(__xludf.DUMMYFUNCTION("""COMPUTED_VALUE"""),10.96)</f>
        <v>10.96</v>
      </c>
      <c r="T1137" s="65">
        <f>IFERROR(__xludf.DUMMYFUNCTION("""COMPUTED_VALUE"""),5.84)</f>
        <v>5.84</v>
      </c>
      <c r="U1137" s="65">
        <f>IFERROR(__xludf.DUMMYFUNCTION("""COMPUTED_VALUE"""),0.0)</f>
        <v>0</v>
      </c>
      <c r="V1137" s="65">
        <f>IFERROR(__xludf.DUMMYFUNCTION("""COMPUTED_VALUE"""),0.0)</f>
        <v>0</v>
      </c>
      <c r="W1137" s="65">
        <f>IFERROR(__xludf.DUMMYFUNCTION("""COMPUTED_VALUE"""),0.0)</f>
        <v>0</v>
      </c>
      <c r="X1137" s="65">
        <f>IFERROR(__xludf.DUMMYFUNCTION("""COMPUTED_VALUE"""),2.6)</f>
        <v>2.6</v>
      </c>
      <c r="Y1137" s="65">
        <f>IFERROR(__xludf.DUMMYFUNCTION("""COMPUTED_VALUE"""),5.2)</f>
        <v>5.2</v>
      </c>
      <c r="Z1137" s="65">
        <f>IFERROR(__xludf.DUMMYFUNCTION("""COMPUTED_VALUE"""),121983.0)</f>
        <v>121983</v>
      </c>
      <c r="AA1137" s="65" t="str">
        <f>IFERROR(__xludf.DUMMYFUNCTION("""COMPUTED_VALUE"""),"PROV-CHLLCF")</f>
        <v>PROV-CHLLCF</v>
      </c>
      <c r="AB1137" s="65"/>
      <c r="AC1137" s="65" t="str">
        <f>IFERROR(__xludf.DUMMYFUNCTION("""COMPUTED_VALUE"""),"CUCHILLO PARA CHEF")</f>
        <v>CUCHILLO PARA CHEF</v>
      </c>
      <c r="AD1137" s="65"/>
      <c r="AE1137" s="65">
        <f>IFERROR(__xludf.DUMMYFUNCTION("""COMPUTED_VALUE"""),2.0)</f>
        <v>2</v>
      </c>
      <c r="AF1137" s="65" t="str">
        <f>IFERROR(__xludf.DUMMYFUNCTION("""COMPUTED_VALUE"""),"DESTINATARIO NO CONTESTA LLAMADAS NI WHATSAPP")</f>
        <v>DESTINATARIO NO CONTESTA LLAMADAS NI WHATSAPP</v>
      </c>
      <c r="AG1137" s="65" t="str">
        <f>IFERROR(__xludf.DUMMYFUNCTION("""COMPUTED_VALUE"""),"SI")</f>
        <v>SI</v>
      </c>
      <c r="AH1137" s="65" t="str">
        <f>IFERROR(__xludf.DUMMYFUNCTION("""COMPUTED_VALUE"""),"09:00")</f>
        <v>09:00</v>
      </c>
      <c r="AI1137" s="65" t="str">
        <f>IFERROR(__xludf.DUMMYFUNCTION("""COMPUTED_VALUE"""),"10-02-2026")</f>
        <v>10-02-2026</v>
      </c>
      <c r="AJ1137" s="65" t="str">
        <f>IFERROR(__xludf.DUMMYFUNCTION("""COMPUTED_VALUE"""),"CLIENTE SOLICITA LA ENTREGA  INMEDIATA")</f>
        <v>CLIENTE SOLICITA LA ENTREGA  INMEDIATA</v>
      </c>
      <c r="AK1137" s="65" t="str">
        <f>IFERROR(__xludf.DUMMYFUNCTION("""COMPUTED_VALUE"""),"15:01")</f>
        <v>15:01</v>
      </c>
      <c r="AL1137" s="65" t="str">
        <f>IFERROR(__xludf.DUMMYFUNCTION("""COMPUTED_VALUE"""),"11-02-2026")</f>
        <v>11-02-2026</v>
      </c>
      <c r="AM1137" s="65"/>
      <c r="AN1137" s="65" t="str">
        <f>IFERROR(__xludf.DUMMYFUNCTION("""COMPUTED_VALUE"""),"14:02")</f>
        <v>14:02</v>
      </c>
      <c r="AO1137" s="65" t="str">
        <f>IFERROR(__xludf.DUMMYFUNCTION("""COMPUTED_VALUE"""),"12-02-2026")</f>
        <v>12-02-2026</v>
      </c>
      <c r="AP1137" s="65" t="str">
        <f>IFERROR(__xludf.DUMMYFUNCTION("""COMPUTED_VALUE"""),"ENTREGADA GINTRACOM")</f>
        <v>ENTREGADA GINTRACOM</v>
      </c>
      <c r="AQ1137" s="65" t="str">
        <f>IFERROR(__xludf.DUMMYFUNCTION("""COMPUTED_VALUE"""),"ENTREGADA GINTRACOM")</f>
        <v>ENTREGADA GINTRACOM</v>
      </c>
      <c r="AR1137" s="65"/>
      <c r="AS1137" s="65"/>
      <c r="AT1137" s="65" t="str">
        <f>IFERROR(__xludf.DUMMYFUNCTION("""COMPUTED_VALUE"""),"SHOPIFY")</f>
        <v>SHOPIFY</v>
      </c>
      <c r="AU1137" s="65" t="str">
        <f>IFERROR(__xludf.DUMMYFUNCTION("""COMPUTED_VALUE"""),"IMPORTEX EC")</f>
        <v>IMPORTEX EC</v>
      </c>
      <c r="AV1137" s="65" t="str">
        <f>IFERROR(__xludf.DUMMYFUNCTION("""COMPUTED_VALUE"""),"6469075566636")</f>
        <v>6469075566636</v>
      </c>
      <c r="AW1137" s="65">
        <f>IFERROR(__xludf.DUMMYFUNCTION("""COMPUTED_VALUE"""),5771.0)</f>
        <v>5771</v>
      </c>
      <c r="AX1137" s="65"/>
      <c r="AY1137" s="65" t="str">
        <f>IFERROR(__xludf.DUMMYFUNCTION("""COMPUTED_VALUE"""),"03/02/2026")</f>
        <v>03/02/2026</v>
      </c>
      <c r="AZ1137" s="65"/>
      <c r="BA1137" s="65"/>
    </row>
    <row r="1138">
      <c r="A1138" s="65" t="str">
        <f>IFERROR(__xludf.DUMMYFUNCTION("""COMPUTED_VALUE"""),"27-03-2026")</f>
        <v>27-03-2026</v>
      </c>
      <c r="B1138" s="65">
        <f>IFERROR(__xludf.DUMMYFUNCTION("""COMPUTED_VALUE"""),4353792.0)</f>
        <v>4353792</v>
      </c>
      <c r="C1138" s="65" t="str">
        <f>IFERROR(__xludf.DUMMYFUNCTION("""COMPUTED_VALUE"""),"15:13")</f>
        <v>15:13</v>
      </c>
      <c r="D1138" s="65" t="str">
        <f>IFERROR(__xludf.DUMMYFUNCTION("""COMPUTED_VALUE"""),"01-02-2026")</f>
        <v>01-02-2026</v>
      </c>
      <c r="E1138" s="65" t="str">
        <f>IFERROR(__xludf.DUMMYFUNCTION("""COMPUTED_VALUE"""),"Cinthia Zambrano Varela")</f>
        <v>Cinthia Zambrano Varela</v>
      </c>
      <c r="F1138" s="65" t="str">
        <f>IFERROR(__xludf.DUMMYFUNCTION("""COMPUTED_VALUE"""),"993482219")</f>
        <v>993482219</v>
      </c>
      <c r="G1138" s="65" t="str">
        <f>IFERROR(__xludf.DUMMYFUNCTION("""COMPUTED_VALUE"""),"cinthiazambrano98@gmail.com")</f>
        <v>cinthiazambrano98@gmail.com</v>
      </c>
      <c r="H1138" s="65"/>
      <c r="I1138" s="65"/>
      <c r="J1138" s="65" t="str">
        <f>IFERROR(__xludf.DUMMYFUNCTION("""COMPUTED_VALUE"""),"D001288577")</f>
        <v>D001288577</v>
      </c>
      <c r="K1138" s="65" t="str">
        <f>IFERROR(__xludf.DUMMYFUNCTION("""COMPUTED_VALUE"""),"ENTREGADO")</f>
        <v>ENTREGADO</v>
      </c>
      <c r="L1138" s="65" t="str">
        <f>IFERROR(__xludf.DUMMYFUNCTION("""COMPUTED_VALUE"""),"CON RECAUDO")</f>
        <v>CON RECAUDO</v>
      </c>
      <c r="M1138" s="65" t="str">
        <f>IFERROR(__xludf.DUMMYFUNCTION("""COMPUTED_VALUE"""),"MANABI")</f>
        <v>MANABI</v>
      </c>
      <c r="N1138" s="65" t="str">
        <f>IFERROR(__xludf.DUMMYFUNCTION("""COMPUTED_VALUE"""),"EL CARMEN")</f>
        <v>EL CARMEN</v>
      </c>
      <c r="O1138" s="65" t="str">
        <f>IFERROR(__xludf.DUMMYFUNCTION("""COMPUTED_VALUE"""),"Avenida chone y calle o Carmen alto - Tras la escuela de conducción sport drive")</f>
        <v>Avenida chone y calle o Carmen alto - Tras la escuela de conducción sport drive</v>
      </c>
      <c r="P1138" s="65"/>
      <c r="Q1138" s="65" t="str">
        <f>IFERROR(__xludf.DUMMYFUNCTION("""COMPUTED_VALUE"""),"GINTRACOM")</f>
        <v>GINTRACOM</v>
      </c>
      <c r="R1138" s="65">
        <f>IFERROR(__xludf.DUMMYFUNCTION("""COMPUTED_VALUE"""),25.0)</f>
        <v>25</v>
      </c>
      <c r="S1138" s="65">
        <f>IFERROR(__xludf.DUMMYFUNCTION("""COMPUTED_VALUE"""),14.34)</f>
        <v>14.34</v>
      </c>
      <c r="T1138" s="65">
        <f>IFERROR(__xludf.DUMMYFUNCTION("""COMPUTED_VALUE"""),5.96)</f>
        <v>5.96</v>
      </c>
      <c r="U1138" s="65">
        <f>IFERROR(__xludf.DUMMYFUNCTION("""COMPUTED_VALUE"""),0.0)</f>
        <v>0</v>
      </c>
      <c r="V1138" s="65">
        <f>IFERROR(__xludf.DUMMYFUNCTION("""COMPUTED_VALUE"""),0.0)</f>
        <v>0</v>
      </c>
      <c r="W1138" s="65">
        <f>IFERROR(__xludf.DUMMYFUNCTION("""COMPUTED_VALUE"""),0.0)</f>
        <v>0</v>
      </c>
      <c r="X1138" s="65">
        <f>IFERROR(__xludf.DUMMYFUNCTION("""COMPUTED_VALUE"""),2.35)</f>
        <v>2.35</v>
      </c>
      <c r="Y1138" s="65">
        <f>IFERROR(__xludf.DUMMYFUNCTION("""COMPUTED_VALUE"""),4.7)</f>
        <v>4.7</v>
      </c>
      <c r="Z1138" s="65">
        <f>IFERROR(__xludf.DUMMYFUNCTION("""COMPUTED_VALUE"""),116679.0)</f>
        <v>116679</v>
      </c>
      <c r="AA1138" s="65" t="str">
        <f>IFERROR(__xludf.DUMMYFUNCTION("""COMPUTED_VALUE"""),"AMC-2738")</f>
        <v>AMC-2738</v>
      </c>
      <c r="AB1138" s="65"/>
      <c r="AC1138" s="65" t="str">
        <f>IFERROR(__xludf.DUMMYFUNCTION("""COMPUTED_VALUE"""),"ESPONJA ANTILLUVIA DE PARABRISAS")</f>
        <v>ESPONJA ANTILLUVIA DE PARABRISAS</v>
      </c>
      <c r="AD1138" s="65"/>
      <c r="AE1138" s="65">
        <f>IFERROR(__xludf.DUMMYFUNCTION("""COMPUTED_VALUE"""),2.0)</f>
        <v>2</v>
      </c>
      <c r="AF1138" s="65" t="str">
        <f>IFERROR(__xludf.DUMMYFUNCTION("""COMPUTED_VALUE"""),"DESTINATARIO NO CONTESTA LLAMADAS NI WHATSAPP")</f>
        <v>DESTINATARIO NO CONTESTA LLAMADAS NI WHATSAPP</v>
      </c>
      <c r="AG1138" s="65" t="str">
        <f>IFERROR(__xludf.DUMMYFUNCTION("""COMPUTED_VALUE"""),"SI")</f>
        <v>SI</v>
      </c>
      <c r="AH1138" s="65" t="str">
        <f>IFERROR(__xludf.DUMMYFUNCTION("""COMPUTED_VALUE"""),"09:00")</f>
        <v>09:00</v>
      </c>
      <c r="AI1138" s="65" t="str">
        <f>IFERROR(__xludf.DUMMYFUNCTION("""COMPUTED_VALUE"""),"10-02-2026")</f>
        <v>10-02-2026</v>
      </c>
      <c r="AJ1138" s="65" t="str">
        <f>IFERROR(__xludf.DUMMYFUNCTION("""COMPUTED_VALUE"""),"cliente solicita  la entrega del pedido")</f>
        <v>cliente solicita  la entrega del pedido</v>
      </c>
      <c r="AK1138" s="65" t="str">
        <f>IFERROR(__xludf.DUMMYFUNCTION("""COMPUTED_VALUE"""),"14:56")</f>
        <v>14:56</v>
      </c>
      <c r="AL1138" s="65" t="str">
        <f>IFERROR(__xludf.DUMMYFUNCTION("""COMPUTED_VALUE"""),"11-02-2026")</f>
        <v>11-02-2026</v>
      </c>
      <c r="AM1138" s="65"/>
      <c r="AN1138" s="65" t="str">
        <f>IFERROR(__xludf.DUMMYFUNCTION("""COMPUTED_VALUE"""),"10:12")</f>
        <v>10:12</v>
      </c>
      <c r="AO1138" s="65" t="str">
        <f>IFERROR(__xludf.DUMMYFUNCTION("""COMPUTED_VALUE"""),"13-02-2026")</f>
        <v>13-02-2026</v>
      </c>
      <c r="AP1138" s="65" t="str">
        <f>IFERROR(__xludf.DUMMYFUNCTION("""COMPUTED_VALUE"""),"ENTREGADA GINTRACOM")</f>
        <v>ENTREGADA GINTRACOM</v>
      </c>
      <c r="AQ1138" s="65" t="str">
        <f>IFERROR(__xludf.DUMMYFUNCTION("""COMPUTED_VALUE"""),"ENTREGADA GINTRACOM")</f>
        <v>ENTREGADA GINTRACOM</v>
      </c>
      <c r="AR1138" s="65"/>
      <c r="AS1138" s="65"/>
      <c r="AT1138" s="65" t="str">
        <f>IFERROR(__xludf.DUMMYFUNCTION("""COMPUTED_VALUE"""),"SHOPIFY")</f>
        <v>SHOPIFY</v>
      </c>
      <c r="AU1138" s="65" t="str">
        <f>IFERROR(__xludf.DUMMYFUNCTION("""COMPUTED_VALUE"""),"IMPORTEX EC")</f>
        <v>IMPORTEX EC</v>
      </c>
      <c r="AV1138" s="65" t="str">
        <f>IFERROR(__xludf.DUMMYFUNCTION("""COMPUTED_VALUE"""),"6468980736044")</f>
        <v>6468980736044</v>
      </c>
      <c r="AW1138" s="65">
        <f>IFERROR(__xludf.DUMMYFUNCTION("""COMPUTED_VALUE"""),5770.0)</f>
        <v>5770</v>
      </c>
      <c r="AX1138" s="65"/>
      <c r="AY1138" s="65" t="str">
        <f>IFERROR(__xludf.DUMMYFUNCTION("""COMPUTED_VALUE"""),"02/02/2026")</f>
        <v>02/02/2026</v>
      </c>
      <c r="AZ1138" s="65"/>
      <c r="BA1138" s="65"/>
    </row>
    <row r="1139">
      <c r="A1139" s="65" t="str">
        <f>IFERROR(__xludf.DUMMYFUNCTION("""COMPUTED_VALUE"""),"27-03-2026")</f>
        <v>27-03-2026</v>
      </c>
      <c r="B1139" s="65">
        <f>IFERROR(__xludf.DUMMYFUNCTION("""COMPUTED_VALUE"""),4353582.0)</f>
        <v>4353582</v>
      </c>
      <c r="C1139" s="65" t="str">
        <f>IFERROR(__xludf.DUMMYFUNCTION("""COMPUTED_VALUE"""),"14:51")</f>
        <v>14:51</v>
      </c>
      <c r="D1139" s="65" t="str">
        <f>IFERROR(__xludf.DUMMYFUNCTION("""COMPUTED_VALUE"""),"01-02-2026")</f>
        <v>01-02-2026</v>
      </c>
      <c r="E1139" s="65" t="str">
        <f>IFERROR(__xludf.DUMMYFUNCTION("""COMPUTED_VALUE"""),"LUIS BECERRA")</f>
        <v>LUIS BECERRA</v>
      </c>
      <c r="F1139" s="65" t="str">
        <f>IFERROR(__xludf.DUMMYFUNCTION("""COMPUTED_VALUE"""),"994961093")</f>
        <v>994961093</v>
      </c>
      <c r="G1139" s="65" t="str">
        <f>IFERROR(__xludf.DUMMYFUNCTION("""COMPUTED_VALUE"""),"luisbecerra1945@gmail.com")</f>
        <v>luisbecerra1945@gmail.com</v>
      </c>
      <c r="H1139" s="65"/>
      <c r="I1139" s="65"/>
      <c r="J1139" s="65"/>
      <c r="K1139" s="65" t="str">
        <f>IFERROR(__xludf.DUMMYFUNCTION("""COMPUTED_VALUE"""),"PENDIENTE CONFIRMACION")</f>
        <v>PENDIENTE CONFIRMACION</v>
      </c>
      <c r="L1139" s="65" t="str">
        <f>IFERROR(__xludf.DUMMYFUNCTION("""COMPUTED_VALUE"""),"CON RECAUDO")</f>
        <v>CON RECAUDO</v>
      </c>
      <c r="M1139" s="65" t="str">
        <f>IFERROR(__xludf.DUMMYFUNCTION("""COMPUTED_VALUE"""),"ESMERALDAS")</f>
        <v>ESMERALDAS</v>
      </c>
      <c r="N1139" s="65" t="str">
        <f>IFERROR(__xludf.DUMMYFUNCTION("""COMPUTED_VALUE"""),"ESMERALDAS")</f>
        <v>ESMERALDAS</v>
      </c>
      <c r="O1139" s="65" t="str">
        <f>IFERROR(__xludf.DUMMYFUNCTION("""COMPUTED_VALUE"""),"Barrio nuevo milenio parroqui Via a salima  200 metros del m -")</f>
        <v>Barrio nuevo milenio parroqui Via a salima  200 metros del m -</v>
      </c>
      <c r="P1139" s="65"/>
      <c r="Q1139" s="65" t="str">
        <f>IFERROR(__xludf.DUMMYFUNCTION("""COMPUTED_VALUE"""),"GINTRACOM")</f>
        <v>GINTRACOM</v>
      </c>
      <c r="R1139" s="65">
        <f>IFERROR(__xludf.DUMMYFUNCTION("""COMPUTED_VALUE"""),28.0)</f>
        <v>28</v>
      </c>
      <c r="S1139" s="65"/>
      <c r="T1139" s="65">
        <f>IFERROR(__xludf.DUMMYFUNCTION("""COMPUTED_VALUE"""),6.08)</f>
        <v>6.08</v>
      </c>
      <c r="U1139" s="65">
        <f>IFERROR(__xludf.DUMMYFUNCTION("""COMPUTED_VALUE"""),0.0)</f>
        <v>0</v>
      </c>
      <c r="V1139" s="65">
        <f>IFERROR(__xludf.DUMMYFUNCTION("""COMPUTED_VALUE"""),0.0)</f>
        <v>0</v>
      </c>
      <c r="W1139" s="65">
        <f>IFERROR(__xludf.DUMMYFUNCTION("""COMPUTED_VALUE"""),0.0)</f>
        <v>0</v>
      </c>
      <c r="X1139" s="65">
        <f>IFERROR(__xludf.DUMMYFUNCTION("""COMPUTED_VALUE"""),5.0)</f>
        <v>5</v>
      </c>
      <c r="Y1139" s="65">
        <f>IFERROR(__xludf.DUMMYFUNCTION("""COMPUTED_VALUE"""),10.0)</f>
        <v>10</v>
      </c>
      <c r="Z1139" s="65">
        <f>IFERROR(__xludf.DUMMYFUNCTION("""COMPUTED_VALUE"""),110064.0)</f>
        <v>110064</v>
      </c>
      <c r="AA1139" s="65" t="str">
        <f>IFERROR(__xludf.DUMMYFUNCTION("""COMPUTED_VALUE"""),"IMX-00001")</f>
        <v>IMX-00001</v>
      </c>
      <c r="AB1139" s="65"/>
      <c r="AC1139" s="65" t="str">
        <f>IFERROR(__xludf.DUMMYFUNCTION("""COMPUTED_VALUE"""),"LLAVE TRINQUETE")</f>
        <v>LLAVE TRINQUETE</v>
      </c>
      <c r="AD1139" s="65"/>
      <c r="AE1139" s="65">
        <f>IFERROR(__xludf.DUMMYFUNCTION("""COMPUTED_VALUE"""),2.0)</f>
        <v>2</v>
      </c>
      <c r="AF1139" s="65"/>
      <c r="AG1139" s="65"/>
      <c r="AH1139" s="65"/>
      <c r="AI1139" s="65"/>
      <c r="AJ1139" s="65"/>
      <c r="AK1139" s="65"/>
      <c r="AL1139" s="65"/>
      <c r="AM1139" s="65"/>
      <c r="AN1139" s="65"/>
      <c r="AO1139" s="65"/>
      <c r="AP1139" s="65"/>
      <c r="AQ1139" s="65"/>
      <c r="AR1139" s="65"/>
      <c r="AS1139" s="65"/>
      <c r="AT1139" s="65" t="str">
        <f>IFERROR(__xludf.DUMMYFUNCTION("""COMPUTED_VALUE"""),"SHOPIFY")</f>
        <v>SHOPIFY</v>
      </c>
      <c r="AU1139" s="65" t="str">
        <f>IFERROR(__xludf.DUMMYFUNCTION("""COMPUTED_VALUE"""),"IMPORTEX EC")</f>
        <v>IMPORTEX EC</v>
      </c>
      <c r="AV1139" s="65" t="str">
        <f>IFERROR(__xludf.DUMMYFUNCTION("""COMPUTED_VALUE"""),"6468920901676")</f>
        <v>6468920901676</v>
      </c>
      <c r="AW1139" s="65">
        <f>IFERROR(__xludf.DUMMYFUNCTION("""COMPUTED_VALUE"""),5769.0)</f>
        <v>5769</v>
      </c>
      <c r="AX1139" s="65"/>
      <c r="AY1139" s="65"/>
      <c r="AZ1139" s="65"/>
      <c r="BA1139" s="65"/>
    </row>
    <row r="1140">
      <c r="A1140" s="65" t="str">
        <f>IFERROR(__xludf.DUMMYFUNCTION("""COMPUTED_VALUE"""),"27-03-2026")</f>
        <v>27-03-2026</v>
      </c>
      <c r="B1140" s="65">
        <f>IFERROR(__xludf.DUMMYFUNCTION("""COMPUTED_VALUE"""),4353503.0)</f>
        <v>4353503</v>
      </c>
      <c r="C1140" s="65" t="str">
        <f>IFERROR(__xludf.DUMMYFUNCTION("""COMPUTED_VALUE"""),"14:43")</f>
        <v>14:43</v>
      </c>
      <c r="D1140" s="65" t="str">
        <f>IFERROR(__xludf.DUMMYFUNCTION("""COMPUTED_VALUE"""),"01-02-2026")</f>
        <v>01-02-2026</v>
      </c>
      <c r="E1140" s="65" t="str">
        <f>IFERROR(__xludf.DUMMYFUNCTION("""COMPUTED_VALUE"""),"Ana Julia Bravo Julia Bravo")</f>
        <v>Ana Julia Bravo Julia Bravo</v>
      </c>
      <c r="F1140" s="65" t="str">
        <f>IFERROR(__xludf.DUMMYFUNCTION("""COMPUTED_VALUE"""),"999162493")</f>
        <v>999162493</v>
      </c>
      <c r="G1140" s="65" t="str">
        <f>IFERROR(__xludf.DUMMYFUNCTION("""COMPUTED_VALUE"""),"anitabravo2013@gmail.com")</f>
        <v>anitabravo2013@gmail.com</v>
      </c>
      <c r="H1140" s="65"/>
      <c r="I1140" s="65"/>
      <c r="J1140" s="65"/>
      <c r="K1140" s="65" t="str">
        <f>IFERROR(__xludf.DUMMYFUNCTION("""COMPUTED_VALUE"""),"CANCELADO")</f>
        <v>CANCELADO</v>
      </c>
      <c r="L1140" s="65" t="str">
        <f>IFERROR(__xludf.DUMMYFUNCTION("""COMPUTED_VALUE"""),"CON RECAUDO")</f>
        <v>CON RECAUDO</v>
      </c>
      <c r="M1140" s="65" t="str">
        <f>IFERROR(__xludf.DUMMYFUNCTION("""COMPUTED_VALUE"""),"MANABI")</f>
        <v>MANABI</v>
      </c>
      <c r="N1140" s="65" t="str">
        <f>IFERROR(__xludf.DUMMYFUNCTION("""COMPUTED_VALUE"""),"PEDERNALES")</f>
        <v>PEDERNALES</v>
      </c>
      <c r="O1140" s="65" t="str">
        <f>IFERROR(__xludf.DUMMYFUNCTION("""COMPUTED_VALUE"""),"S/n S/N -")</f>
        <v>S/n S/N -</v>
      </c>
      <c r="P1140" s="65"/>
      <c r="Q1140" s="65" t="str">
        <f>IFERROR(__xludf.DUMMYFUNCTION("""COMPUTED_VALUE"""),"SERVIENTREGA")</f>
        <v>SERVIENTREGA</v>
      </c>
      <c r="R1140" s="65">
        <f>IFERROR(__xludf.DUMMYFUNCTION("""COMPUTED_VALUE"""),22.0)</f>
        <v>22</v>
      </c>
      <c r="S1140" s="65"/>
      <c r="T1140" s="65">
        <f>IFERROR(__xludf.DUMMYFUNCTION("""COMPUTED_VALUE"""),7.7)</f>
        <v>7.7</v>
      </c>
      <c r="U1140" s="65">
        <f>IFERROR(__xludf.DUMMYFUNCTION("""COMPUTED_VALUE"""),0.0)</f>
        <v>0</v>
      </c>
      <c r="V1140" s="65">
        <f>IFERROR(__xludf.DUMMYFUNCTION("""COMPUTED_VALUE"""),0.0)</f>
        <v>0</v>
      </c>
      <c r="W1140" s="65">
        <f>IFERROR(__xludf.DUMMYFUNCTION("""COMPUTED_VALUE"""),0.0)</f>
        <v>0</v>
      </c>
      <c r="X1140" s="65">
        <f>IFERROR(__xludf.DUMMYFUNCTION("""COMPUTED_VALUE"""),2.6)</f>
        <v>2.6</v>
      </c>
      <c r="Y1140" s="65">
        <f>IFERROR(__xludf.DUMMYFUNCTION("""COMPUTED_VALUE"""),5.2)</f>
        <v>5.2</v>
      </c>
      <c r="Z1140" s="65">
        <f>IFERROR(__xludf.DUMMYFUNCTION("""COMPUTED_VALUE"""),121983.0)</f>
        <v>121983</v>
      </c>
      <c r="AA1140" s="65" t="str">
        <f>IFERROR(__xludf.DUMMYFUNCTION("""COMPUTED_VALUE"""),"PROV-CHLLCF")</f>
        <v>PROV-CHLLCF</v>
      </c>
      <c r="AB1140" s="65"/>
      <c r="AC1140" s="65" t="str">
        <f>IFERROR(__xludf.DUMMYFUNCTION("""COMPUTED_VALUE"""),"CUCHILLO PARA CHEF")</f>
        <v>CUCHILLO PARA CHEF</v>
      </c>
      <c r="AD1140" s="65"/>
      <c r="AE1140" s="65">
        <f>IFERROR(__xludf.DUMMYFUNCTION("""COMPUTED_VALUE"""),2.0)</f>
        <v>2</v>
      </c>
      <c r="AF1140" s="65"/>
      <c r="AG1140" s="65"/>
      <c r="AH1140" s="65"/>
      <c r="AI1140" s="65"/>
      <c r="AJ1140" s="65"/>
      <c r="AK1140" s="65"/>
      <c r="AL1140" s="65"/>
      <c r="AM1140" s="65"/>
      <c r="AN1140" s="65"/>
      <c r="AO1140" s="65"/>
      <c r="AP1140" s="65"/>
      <c r="AQ1140" s="65"/>
      <c r="AR1140" s="65"/>
      <c r="AS1140" s="65"/>
      <c r="AT1140" s="65" t="str">
        <f>IFERROR(__xludf.DUMMYFUNCTION("""COMPUTED_VALUE"""),"SHOPIFY")</f>
        <v>SHOPIFY</v>
      </c>
      <c r="AU1140" s="65" t="str">
        <f>IFERROR(__xludf.DUMMYFUNCTION("""COMPUTED_VALUE"""),"IMPORTEX EC")</f>
        <v>IMPORTEX EC</v>
      </c>
      <c r="AV1140" s="65" t="str">
        <f>IFERROR(__xludf.DUMMYFUNCTION("""COMPUTED_VALUE"""),"6468900028460")</f>
        <v>6468900028460</v>
      </c>
      <c r="AW1140" s="65">
        <f>IFERROR(__xludf.DUMMYFUNCTION("""COMPUTED_VALUE"""),5768.0)</f>
        <v>5768</v>
      </c>
      <c r="AX1140" s="65"/>
      <c r="AY1140" s="65"/>
      <c r="AZ1140" s="65"/>
      <c r="BA1140" s="65"/>
    </row>
    <row r="1141">
      <c r="A1141" s="65" t="str">
        <f>IFERROR(__xludf.DUMMYFUNCTION("""COMPUTED_VALUE"""),"27-03-2026")</f>
        <v>27-03-2026</v>
      </c>
      <c r="B1141" s="65">
        <f>IFERROR(__xludf.DUMMYFUNCTION("""COMPUTED_VALUE"""),4353478.0)</f>
        <v>4353478</v>
      </c>
      <c r="C1141" s="65" t="str">
        <f>IFERROR(__xludf.DUMMYFUNCTION("""COMPUTED_VALUE"""),"14:40")</f>
        <v>14:40</v>
      </c>
      <c r="D1141" s="65" t="str">
        <f>IFERROR(__xludf.DUMMYFUNCTION("""COMPUTED_VALUE"""),"01-02-2026")</f>
        <v>01-02-2026</v>
      </c>
      <c r="E1141" s="65" t="str">
        <f>IFERROR(__xludf.DUMMYFUNCTION("""COMPUTED_VALUE"""),"Jaime Eduardo Guanopatin silva")</f>
        <v>Jaime Eduardo Guanopatin silva</v>
      </c>
      <c r="F1141" s="65" t="str">
        <f>IFERROR(__xludf.DUMMYFUNCTION("""COMPUTED_VALUE"""),"999909284")</f>
        <v>999909284</v>
      </c>
      <c r="G1141" s="65"/>
      <c r="H1141" s="65"/>
      <c r="I1141" s="65"/>
      <c r="J1141" s="65"/>
      <c r="K1141" s="65" t="str">
        <f>IFERROR(__xludf.DUMMYFUNCTION("""COMPUTED_VALUE"""),"PENDIENTE CONFIRMACION")</f>
        <v>PENDIENTE CONFIRMACION</v>
      </c>
      <c r="L1141" s="65" t="str">
        <f>IFERROR(__xludf.DUMMYFUNCTION("""COMPUTED_VALUE"""),"CON RECAUDO")</f>
        <v>CON RECAUDO</v>
      </c>
      <c r="M1141" s="65" t="str">
        <f>IFERROR(__xludf.DUMMYFUNCTION("""COMPUTED_VALUE"""),"COTOPAXI")</f>
        <v>COTOPAXI</v>
      </c>
      <c r="N1141" s="65" t="str">
        <f>IFERROR(__xludf.DUMMYFUNCTION("""COMPUTED_VALUE"""),"SALCEDO")</f>
        <v>SALCEDO</v>
      </c>
      <c r="O1141" s="65" t="str">
        <f>IFERROR(__xludf.DUMMYFUNCTION("""COMPUTED_VALUE"""),"Latacunga 0103")</f>
        <v>Latacunga 0103</v>
      </c>
      <c r="P1141" s="65" t="str">
        <f>IFERROR(__xludf.DUMMYFUNCTION("""COMPUTED_VALUE"""),"CUCHILLO PARA CHEF: Default Title ***")</f>
        <v>CUCHILLO PARA CHEF: Default Title ***</v>
      </c>
      <c r="Q1141" s="65" t="str">
        <f>IFERROR(__xludf.DUMMYFUNCTION("""COMPUTED_VALUE"""),"GINTRACOM")</f>
        <v>GINTRACOM</v>
      </c>
      <c r="R1141" s="65">
        <f>IFERROR(__xludf.DUMMYFUNCTION("""COMPUTED_VALUE"""),66.0)</f>
        <v>66</v>
      </c>
      <c r="S1141" s="65"/>
      <c r="T1141" s="65">
        <f>IFERROR(__xludf.DUMMYFUNCTION("""COMPUTED_VALUE"""),7.61)</f>
        <v>7.61</v>
      </c>
      <c r="U1141" s="65">
        <f>IFERROR(__xludf.DUMMYFUNCTION("""COMPUTED_VALUE"""),0.0)</f>
        <v>0</v>
      </c>
      <c r="V1141" s="65">
        <f>IFERROR(__xludf.DUMMYFUNCTION("""COMPUTED_VALUE"""),0.0)</f>
        <v>0</v>
      </c>
      <c r="W1141" s="65">
        <f>IFERROR(__xludf.DUMMYFUNCTION("""COMPUTED_VALUE"""),0.0)</f>
        <v>0</v>
      </c>
      <c r="X1141" s="65">
        <f>IFERROR(__xludf.DUMMYFUNCTION("""COMPUTED_VALUE"""),2.6)</f>
        <v>2.6</v>
      </c>
      <c r="Y1141" s="65">
        <f>IFERROR(__xludf.DUMMYFUNCTION("""COMPUTED_VALUE"""),7.8)</f>
        <v>7.8</v>
      </c>
      <c r="Z1141" s="65">
        <f>IFERROR(__xludf.DUMMYFUNCTION("""COMPUTED_VALUE"""),121983.0)</f>
        <v>121983</v>
      </c>
      <c r="AA1141" s="65" t="str">
        <f>IFERROR(__xludf.DUMMYFUNCTION("""COMPUTED_VALUE"""),"PROV-CHLLCF")</f>
        <v>PROV-CHLLCF</v>
      </c>
      <c r="AB1141" s="65"/>
      <c r="AC1141" s="65" t="str">
        <f>IFERROR(__xludf.DUMMYFUNCTION("""COMPUTED_VALUE"""),"CUCHILLO PARA CHEF")</f>
        <v>CUCHILLO PARA CHEF</v>
      </c>
      <c r="AD1141" s="65"/>
      <c r="AE1141" s="65">
        <f>IFERROR(__xludf.DUMMYFUNCTION("""COMPUTED_VALUE"""),3.0)</f>
        <v>3</v>
      </c>
      <c r="AF1141" s="65"/>
      <c r="AG1141" s="65"/>
      <c r="AH1141" s="65"/>
      <c r="AI1141" s="65"/>
      <c r="AJ1141" s="65"/>
      <c r="AK1141" s="65"/>
      <c r="AL1141" s="65"/>
      <c r="AM1141" s="65"/>
      <c r="AN1141" s="65"/>
      <c r="AO1141" s="65"/>
      <c r="AP1141" s="65"/>
      <c r="AQ1141" s="65"/>
      <c r="AR1141" s="65"/>
      <c r="AS1141" s="65"/>
      <c r="AT1141" s="65" t="str">
        <f>IFERROR(__xludf.DUMMYFUNCTION("""COMPUTED_VALUE"""),"SHOPIFY")</f>
        <v>SHOPIFY</v>
      </c>
      <c r="AU1141" s="65" t="str">
        <f>IFERROR(__xludf.DUMMYFUNCTION("""COMPUTED_VALUE"""),"IMPORTEX EC")</f>
        <v>IMPORTEX EC</v>
      </c>
      <c r="AV1141" s="65" t="str">
        <f>IFERROR(__xludf.DUMMYFUNCTION("""COMPUTED_VALUE"""),"6468889575468")</f>
        <v>6468889575468</v>
      </c>
      <c r="AW1141" s="65">
        <f>IFERROR(__xludf.DUMMYFUNCTION("""COMPUTED_VALUE"""),5767.0)</f>
        <v>5767</v>
      </c>
      <c r="AX1141" s="65"/>
      <c r="AY1141" s="65"/>
      <c r="AZ1141" s="65"/>
      <c r="BA1141" s="65"/>
    </row>
    <row r="1142">
      <c r="A1142" s="65" t="str">
        <f>IFERROR(__xludf.DUMMYFUNCTION("""COMPUTED_VALUE"""),"27-03-2026")</f>
        <v>27-03-2026</v>
      </c>
      <c r="B1142" s="65">
        <f>IFERROR(__xludf.DUMMYFUNCTION("""COMPUTED_VALUE"""),4353035.0)</f>
        <v>4353035</v>
      </c>
      <c r="C1142" s="65" t="str">
        <f>IFERROR(__xludf.DUMMYFUNCTION("""COMPUTED_VALUE"""),"13:59")</f>
        <v>13:59</v>
      </c>
      <c r="D1142" s="65" t="str">
        <f>IFERROR(__xludf.DUMMYFUNCTION("""COMPUTED_VALUE"""),"01-02-2026")</f>
        <v>01-02-2026</v>
      </c>
      <c r="E1142" s="65" t="str">
        <f>IFERROR(__xludf.DUMMYFUNCTION("""COMPUTED_VALUE"""),"Zoila María Cadena María")</f>
        <v>Zoila María Cadena María</v>
      </c>
      <c r="F1142" s="65" t="str">
        <f>IFERROR(__xludf.DUMMYFUNCTION("""COMPUTED_VALUE"""),"987337395")</f>
        <v>987337395</v>
      </c>
      <c r="G1142" s="65" t="str">
        <f>IFERROR(__xludf.DUMMYFUNCTION("""COMPUTED_VALUE"""),"zoila2@guimil.com")</f>
        <v>zoila2@guimil.com</v>
      </c>
      <c r="H1142" s="65"/>
      <c r="I1142" s="65"/>
      <c r="J1142" s="65" t="str">
        <f>IFERROR(__xludf.DUMMYFUNCTION("""COMPUTED_VALUE"""),"D001290770")</f>
        <v>D001290770</v>
      </c>
      <c r="K1142" s="65" t="str">
        <f>IFERROR(__xludf.DUMMYFUNCTION("""COMPUTED_VALUE"""),"ENTREGADO")</f>
        <v>ENTREGADO</v>
      </c>
      <c r="L1142" s="65" t="str">
        <f>IFERROR(__xludf.DUMMYFUNCTION("""COMPUTED_VALUE"""),"CON RECAUDO")</f>
        <v>CON RECAUDO</v>
      </c>
      <c r="M1142" s="65" t="str">
        <f>IFERROR(__xludf.DUMMYFUNCTION("""COMPUTED_VALUE"""),"PICHINCHA")</f>
        <v>PICHINCHA</v>
      </c>
      <c r="N1142" s="65" t="str">
        <f>IFERROR(__xludf.DUMMYFUNCTION("""COMPUTED_VALUE"""),"QUITO")</f>
        <v>QUITO</v>
      </c>
      <c r="O1142" s="65" t="str">
        <f>IFERROR(__xludf.DUMMYFUNCTION("""COMPUTED_VALUE"""),"Avenida Valparaíso y Concepción Tola alta - REFERENCIA : casa qué tiene plantas en la vereda es un local qué tiene un letrero que dice alta costura")</f>
        <v>Avenida Valparaíso y Concepción Tola alta - REFERENCIA : casa qué tiene plantas en la vereda es un local qué tiene un letrero que dice alta costura</v>
      </c>
      <c r="P1142" s="68" t="str">
        <f>IFERROR(__xludf.DUMMYFUNCTION("""COMPUTED_VALUE"""),"https://www.google.com/maps/place/0%C2%B013'32.8%22S+78%C2%B030'15.9%22W/@-0.2258944,-78.5047726,20.5z/data=!4m4!3m3!8m2!3d-0.2257765!4d-78.50442?entry=ttu&amp;g_ep=EgoyMDI2MDEyOC4wIKXMDSoASAFQAw%3D%3D")</f>
        <v>https://www.google.com/maps/place/0%C2%B013'32.8%22S+78%C2%B030'15.9%22W/@-0.2258944,-78.5047726,20.5z/data=!4m4!3m3!8m2!3d-0.2257765!4d-78.50442?entry=ttu&amp;g_ep=EgoyMDI2MDEyOC4wIKXMDSoASAFQAw%3D%3D</v>
      </c>
      <c r="Q1142" s="65" t="str">
        <f>IFERROR(__xludf.DUMMYFUNCTION("""COMPUTED_VALUE"""),"GINTRACOM")</f>
        <v>GINTRACOM</v>
      </c>
      <c r="R1142" s="65">
        <f>IFERROR(__xludf.DUMMYFUNCTION("""COMPUTED_VALUE"""),22.0)</f>
        <v>22</v>
      </c>
      <c r="S1142" s="65">
        <f>IFERROR(__xludf.DUMMYFUNCTION("""COMPUTED_VALUE"""),10.96)</f>
        <v>10.96</v>
      </c>
      <c r="T1142" s="65">
        <f>IFERROR(__xludf.DUMMYFUNCTION("""COMPUTED_VALUE"""),5.84)</f>
        <v>5.84</v>
      </c>
      <c r="U1142" s="65">
        <f>IFERROR(__xludf.DUMMYFUNCTION("""COMPUTED_VALUE"""),0.0)</f>
        <v>0</v>
      </c>
      <c r="V1142" s="65">
        <f>IFERROR(__xludf.DUMMYFUNCTION("""COMPUTED_VALUE"""),0.0)</f>
        <v>0</v>
      </c>
      <c r="W1142" s="65">
        <f>IFERROR(__xludf.DUMMYFUNCTION("""COMPUTED_VALUE"""),0.0)</f>
        <v>0</v>
      </c>
      <c r="X1142" s="65">
        <f>IFERROR(__xludf.DUMMYFUNCTION("""COMPUTED_VALUE"""),2.6)</f>
        <v>2.6</v>
      </c>
      <c r="Y1142" s="65">
        <f>IFERROR(__xludf.DUMMYFUNCTION("""COMPUTED_VALUE"""),5.2)</f>
        <v>5.2</v>
      </c>
      <c r="Z1142" s="65">
        <f>IFERROR(__xludf.DUMMYFUNCTION("""COMPUTED_VALUE"""),121983.0)</f>
        <v>121983</v>
      </c>
      <c r="AA1142" s="65" t="str">
        <f>IFERROR(__xludf.DUMMYFUNCTION("""COMPUTED_VALUE"""),"PROV-CHLLCF")</f>
        <v>PROV-CHLLCF</v>
      </c>
      <c r="AB1142" s="65"/>
      <c r="AC1142" s="65" t="str">
        <f>IFERROR(__xludf.DUMMYFUNCTION("""COMPUTED_VALUE"""),"CUCHILLO PARA CHEF")</f>
        <v>CUCHILLO PARA CHEF</v>
      </c>
      <c r="AD1142" s="65"/>
      <c r="AE1142" s="65">
        <f>IFERROR(__xludf.DUMMYFUNCTION("""COMPUTED_VALUE"""),2.0)</f>
        <v>2</v>
      </c>
      <c r="AF1142" s="65"/>
      <c r="AG1142" s="65"/>
      <c r="AH1142" s="65"/>
      <c r="AI1142" s="65"/>
      <c r="AJ1142" s="65"/>
      <c r="AK1142" s="65"/>
      <c r="AL1142" s="65"/>
      <c r="AM1142" s="65"/>
      <c r="AN1142" s="65" t="str">
        <f>IFERROR(__xludf.DUMMYFUNCTION("""COMPUTED_VALUE"""),"12:57")</f>
        <v>12:57</v>
      </c>
      <c r="AO1142" s="65" t="str">
        <f>IFERROR(__xludf.DUMMYFUNCTION("""COMPUTED_VALUE"""),"06-02-2026")</f>
        <v>06-02-2026</v>
      </c>
      <c r="AP1142" s="65" t="str">
        <f>IFERROR(__xludf.DUMMYFUNCTION("""COMPUTED_VALUE"""),"ENTREGADA GINTRACOM")</f>
        <v>ENTREGADA GINTRACOM</v>
      </c>
      <c r="AQ1142" s="65" t="str">
        <f>IFERROR(__xludf.DUMMYFUNCTION("""COMPUTED_VALUE"""),"ENTREGADA GINTRACOM")</f>
        <v>ENTREGADA GINTRACOM</v>
      </c>
      <c r="AR1142" s="65"/>
      <c r="AS1142" s="65"/>
      <c r="AT1142" s="65" t="str">
        <f>IFERROR(__xludf.DUMMYFUNCTION("""COMPUTED_VALUE"""),"SHOPIFY")</f>
        <v>SHOPIFY</v>
      </c>
      <c r="AU1142" s="65" t="str">
        <f>IFERROR(__xludf.DUMMYFUNCTION("""COMPUTED_VALUE"""),"IMPORTEX EC")</f>
        <v>IMPORTEX EC</v>
      </c>
      <c r="AV1142" s="65" t="str">
        <f>IFERROR(__xludf.DUMMYFUNCTION("""COMPUTED_VALUE"""),"6468764139564")</f>
        <v>6468764139564</v>
      </c>
      <c r="AW1142" s="65">
        <f>IFERROR(__xludf.DUMMYFUNCTION("""COMPUTED_VALUE"""),5764.0)</f>
        <v>5764</v>
      </c>
      <c r="AX1142" s="65"/>
      <c r="AY1142" s="65" t="str">
        <f>IFERROR(__xludf.DUMMYFUNCTION("""COMPUTED_VALUE"""),"03/02/2026")</f>
        <v>03/02/2026</v>
      </c>
      <c r="AZ1142" s="65"/>
      <c r="BA1142" s="65"/>
    </row>
    <row r="1143">
      <c r="A1143" s="65" t="str">
        <f>IFERROR(__xludf.DUMMYFUNCTION("""COMPUTED_VALUE"""),"27-03-2026")</f>
        <v>27-03-2026</v>
      </c>
      <c r="B1143" s="65">
        <f>IFERROR(__xludf.DUMMYFUNCTION("""COMPUTED_VALUE"""),4352751.0)</f>
        <v>4352751</v>
      </c>
      <c r="C1143" s="65" t="str">
        <f>IFERROR(__xludf.DUMMYFUNCTION("""COMPUTED_VALUE"""),"13:26")</f>
        <v>13:26</v>
      </c>
      <c r="D1143" s="65" t="str">
        <f>IFERROR(__xludf.DUMMYFUNCTION("""COMPUTED_VALUE"""),"01-02-2026")</f>
        <v>01-02-2026</v>
      </c>
      <c r="E1143" s="65" t="str">
        <f>IFERROR(__xludf.DUMMYFUNCTION("""COMPUTED_VALUE"""),"Edith Castillo")</f>
        <v>Edith Castillo</v>
      </c>
      <c r="F1143" s="65" t="str">
        <f>IFERROR(__xludf.DUMMYFUNCTION("""COMPUTED_VALUE"""),"990908646")</f>
        <v>990908646</v>
      </c>
      <c r="G1143" s="65" t="str">
        <f>IFERROR(__xludf.DUMMYFUNCTION("""COMPUTED_VALUE"""),"edithmina16@gmail.com")</f>
        <v>edithmina16@gmail.com</v>
      </c>
      <c r="H1143" s="65"/>
      <c r="I1143" s="65"/>
      <c r="J1143" s="65" t="str">
        <f>IFERROR(__xludf.DUMMYFUNCTION("""COMPUTED_VALUE"""),"LC52775887")</f>
        <v>LC52775887</v>
      </c>
      <c r="K1143" s="65" t="str">
        <f>IFERROR(__xludf.DUMMYFUNCTION("""COMPUTED_VALUE"""),"ENTREGADO")</f>
        <v>ENTREGADO</v>
      </c>
      <c r="L1143" s="65" t="str">
        <f>IFERROR(__xludf.DUMMYFUNCTION("""COMPUTED_VALUE"""),"CON RECAUDO")</f>
        <v>CON RECAUDO</v>
      </c>
      <c r="M1143" s="65" t="str">
        <f>IFERROR(__xludf.DUMMYFUNCTION("""COMPUTED_VALUE"""),"ZAMORA CHINCHIPE")</f>
        <v>ZAMORA CHINCHIPE</v>
      </c>
      <c r="N1143" s="65" t="str">
        <f>IFERROR(__xludf.DUMMYFUNCTION("""COMPUTED_VALUE"""),"CENTINELA DEL CONDOR")</f>
        <v>CENTINELA DEL CONDOR</v>
      </c>
      <c r="O1143" s="65" t="str">
        <f>IFERROR(__xludf.DUMMYFUNCTION("""COMPUTED_VALUE"""),"24 de mayo Y avenida Paquisha - Alado de la notaría, frente al parque Central")</f>
        <v>24 de mayo Y avenida Paquisha - Alado de la notaría, frente al parque Central</v>
      </c>
      <c r="P1143" s="65"/>
      <c r="Q1143" s="65" t="str">
        <f>IFERROR(__xludf.DUMMYFUNCTION("""COMPUTED_VALUE"""),"LAARCOURIER")</f>
        <v>LAARCOURIER</v>
      </c>
      <c r="R1143" s="65">
        <f>IFERROR(__xludf.DUMMYFUNCTION("""COMPUTED_VALUE"""),25.0)</f>
        <v>25</v>
      </c>
      <c r="S1143" s="65">
        <f>IFERROR(__xludf.DUMMYFUNCTION("""COMPUTED_VALUE"""),11.96)</f>
        <v>11.96</v>
      </c>
      <c r="T1143" s="65">
        <f>IFERROR(__xludf.DUMMYFUNCTION("""COMPUTED_VALUE"""),8.34)</f>
        <v>8.34</v>
      </c>
      <c r="U1143" s="65">
        <f>IFERROR(__xludf.DUMMYFUNCTION("""COMPUTED_VALUE"""),0.0)</f>
        <v>0</v>
      </c>
      <c r="V1143" s="65">
        <f>IFERROR(__xludf.DUMMYFUNCTION("""COMPUTED_VALUE"""),0.0)</f>
        <v>0</v>
      </c>
      <c r="W1143" s="65">
        <f>IFERROR(__xludf.DUMMYFUNCTION("""COMPUTED_VALUE"""),0.0)</f>
        <v>0</v>
      </c>
      <c r="X1143" s="65">
        <f>IFERROR(__xludf.DUMMYFUNCTION("""COMPUTED_VALUE"""),2.35)</f>
        <v>2.35</v>
      </c>
      <c r="Y1143" s="65">
        <f>IFERROR(__xludf.DUMMYFUNCTION("""COMPUTED_VALUE"""),4.7)</f>
        <v>4.7</v>
      </c>
      <c r="Z1143" s="65">
        <f>IFERROR(__xludf.DUMMYFUNCTION("""COMPUTED_VALUE"""),116679.0)</f>
        <v>116679</v>
      </c>
      <c r="AA1143" s="65" t="str">
        <f>IFERROR(__xludf.DUMMYFUNCTION("""COMPUTED_VALUE"""),"AMC-2738")</f>
        <v>AMC-2738</v>
      </c>
      <c r="AB1143" s="65"/>
      <c r="AC1143" s="65" t="str">
        <f>IFERROR(__xludf.DUMMYFUNCTION("""COMPUTED_VALUE"""),"ESPONJA ANTILLUVIA DE PARABRISAS")</f>
        <v>ESPONJA ANTILLUVIA DE PARABRISAS</v>
      </c>
      <c r="AD1143" s="65"/>
      <c r="AE1143" s="65">
        <f>IFERROR(__xludf.DUMMYFUNCTION("""COMPUTED_VALUE"""),2.0)</f>
        <v>2</v>
      </c>
      <c r="AF1143" s="65"/>
      <c r="AG1143" s="65"/>
      <c r="AH1143" s="65"/>
      <c r="AI1143" s="65"/>
      <c r="AJ1143" s="65"/>
      <c r="AK1143" s="65"/>
      <c r="AL1143" s="65"/>
      <c r="AM1143" s="65"/>
      <c r="AN1143" s="65" t="str">
        <f>IFERROR(__xludf.DUMMYFUNCTION("""COMPUTED_VALUE"""),"09:41")</f>
        <v>09:41</v>
      </c>
      <c r="AO1143" s="65" t="str">
        <f>IFERROR(__xludf.DUMMYFUNCTION("""COMPUTED_VALUE"""),"13-02-2026")</f>
        <v>13-02-2026</v>
      </c>
      <c r="AP1143" s="65" t="str">
        <f>IFERROR(__xludf.DUMMYFUNCTION("""COMPUTED_VALUE"""),"ENTREGADO")</f>
        <v>ENTREGADO</v>
      </c>
      <c r="AQ1143" s="65" t="str">
        <f>IFERROR(__xludf.DUMMYFUNCTION("""COMPUTED_VALUE"""),"ENTREGADO")</f>
        <v>ENTREGADO</v>
      </c>
      <c r="AR1143" s="65"/>
      <c r="AS1143" s="65"/>
      <c r="AT1143" s="65" t="str">
        <f>IFERROR(__xludf.DUMMYFUNCTION("""COMPUTED_VALUE"""),"SHOPIFY")</f>
        <v>SHOPIFY</v>
      </c>
      <c r="AU1143" s="65" t="str">
        <f>IFERROR(__xludf.DUMMYFUNCTION("""COMPUTED_VALUE"""),"IMPORTEX EC")</f>
        <v>IMPORTEX EC</v>
      </c>
      <c r="AV1143" s="65" t="str">
        <f>IFERROR(__xludf.DUMMYFUNCTION("""COMPUTED_VALUE"""),"6468667441196")</f>
        <v>6468667441196</v>
      </c>
      <c r="AW1143" s="65">
        <f>IFERROR(__xludf.DUMMYFUNCTION("""COMPUTED_VALUE"""),5763.0)</f>
        <v>5763</v>
      </c>
      <c r="AX1143" s="65"/>
      <c r="AY1143" s="65" t="str">
        <f>IFERROR(__xludf.DUMMYFUNCTION("""COMPUTED_VALUE"""),"03/02/2026")</f>
        <v>03/02/2026</v>
      </c>
      <c r="AZ1143" s="65"/>
      <c r="BA1143" s="65"/>
    </row>
    <row r="1144">
      <c r="A1144" s="65" t="str">
        <f>IFERROR(__xludf.DUMMYFUNCTION("""COMPUTED_VALUE"""),"27-03-2026")</f>
        <v>27-03-2026</v>
      </c>
      <c r="B1144" s="65">
        <f>IFERROR(__xludf.DUMMYFUNCTION("""COMPUTED_VALUE"""),4352673.0)</f>
        <v>4352673</v>
      </c>
      <c r="C1144" s="65" t="str">
        <f>IFERROR(__xludf.DUMMYFUNCTION("""COMPUTED_VALUE"""),"13:18")</f>
        <v>13:18</v>
      </c>
      <c r="D1144" s="65" t="str">
        <f>IFERROR(__xludf.DUMMYFUNCTION("""COMPUTED_VALUE"""),"01-02-2026")</f>
        <v>01-02-2026</v>
      </c>
      <c r="E1144" s="65" t="str">
        <f>IFERROR(__xludf.DUMMYFUNCTION("""COMPUTED_VALUE"""),"Nube  del Rocio Bermeo Saula")</f>
        <v>Nube  del Rocio Bermeo Saula</v>
      </c>
      <c r="F1144" s="65" t="str">
        <f>IFERROR(__xludf.DUMMYFUNCTION("""COMPUTED_VALUE"""),"998888720")</f>
        <v>998888720</v>
      </c>
      <c r="G1144" s="65" t="str">
        <f>IFERROR(__xludf.DUMMYFUNCTION("""COMPUTED_VALUE"""),"nubebermeo@yahoo.com")</f>
        <v>nubebermeo@yahoo.com</v>
      </c>
      <c r="H1144" s="65"/>
      <c r="I1144" s="65"/>
      <c r="J1144" s="65" t="str">
        <f>IFERROR(__xludf.DUMMYFUNCTION("""COMPUTED_VALUE"""),"D001290771")</f>
        <v>D001290771</v>
      </c>
      <c r="K1144" s="65" t="str">
        <f>IFERROR(__xludf.DUMMYFUNCTION("""COMPUTED_VALUE"""),"ENTREGADO")</f>
        <v>ENTREGADO</v>
      </c>
      <c r="L1144" s="65" t="str">
        <f>IFERROR(__xludf.DUMMYFUNCTION("""COMPUTED_VALUE"""),"CON RECAUDO")</f>
        <v>CON RECAUDO</v>
      </c>
      <c r="M1144" s="65" t="str">
        <f>IFERROR(__xludf.DUMMYFUNCTION("""COMPUTED_VALUE"""),"CAÑAR")</f>
        <v>CAÑAR</v>
      </c>
      <c r="N1144" s="65" t="str">
        <f>IFERROR(__xludf.DUMMYFUNCTION("""COMPUTED_VALUE"""),"BIBLIAN")</f>
        <v>BIBLIAN</v>
      </c>
      <c r="O1144" s="65" t="str">
        <f>IFERROR(__xludf.DUMMYFUNCTION("""COMPUTED_VALUE"""),"Calle Velasco Ibarra y Atahualpa Barrio el Tope -  referencia iglesia de la Virgen de la Paz")</f>
        <v>Calle Velasco Ibarra y Atahualpa Barrio el Tope -  referencia iglesia de la Virgen de la Paz</v>
      </c>
      <c r="P1144" s="65"/>
      <c r="Q1144" s="65" t="str">
        <f>IFERROR(__xludf.DUMMYFUNCTION("""COMPUTED_VALUE"""),"GINTRACOM")</f>
        <v>GINTRACOM</v>
      </c>
      <c r="R1144" s="65">
        <f>IFERROR(__xludf.DUMMYFUNCTION("""COMPUTED_VALUE"""),27.0)</f>
        <v>27</v>
      </c>
      <c r="S1144" s="65">
        <f>IFERROR(__xludf.DUMMYFUNCTION("""COMPUTED_VALUE"""),12.6)</f>
        <v>12.6</v>
      </c>
      <c r="T1144" s="65">
        <f>IFERROR(__xludf.DUMMYFUNCTION("""COMPUTED_VALUE"""),6.6)</f>
        <v>6.6</v>
      </c>
      <c r="U1144" s="65">
        <f>IFERROR(__xludf.DUMMYFUNCTION("""COMPUTED_VALUE"""),0.0)</f>
        <v>0</v>
      </c>
      <c r="V1144" s="65">
        <f>IFERROR(__xludf.DUMMYFUNCTION("""COMPUTED_VALUE"""),0.0)</f>
        <v>0</v>
      </c>
      <c r="W1144" s="65">
        <f>IFERROR(__xludf.DUMMYFUNCTION("""COMPUTED_VALUE"""),0.0)</f>
        <v>0</v>
      </c>
      <c r="X1144" s="65">
        <f>IFERROR(__xludf.DUMMYFUNCTION("""COMPUTED_VALUE"""),2.6)</f>
        <v>2.6</v>
      </c>
      <c r="Y1144" s="65">
        <f>IFERROR(__xludf.DUMMYFUNCTION("""COMPUTED_VALUE"""),7.8)</f>
        <v>7.8</v>
      </c>
      <c r="Z1144" s="65">
        <f>IFERROR(__xludf.DUMMYFUNCTION("""COMPUTED_VALUE"""),121983.0)</f>
        <v>121983</v>
      </c>
      <c r="AA1144" s="65" t="str">
        <f>IFERROR(__xludf.DUMMYFUNCTION("""COMPUTED_VALUE"""),"PROV-CHLLCF")</f>
        <v>PROV-CHLLCF</v>
      </c>
      <c r="AB1144" s="65"/>
      <c r="AC1144" s="65" t="str">
        <f>IFERROR(__xludf.DUMMYFUNCTION("""COMPUTED_VALUE"""),"CUCHILLO PARA CHEF")</f>
        <v>CUCHILLO PARA CHEF</v>
      </c>
      <c r="AD1144" s="65"/>
      <c r="AE1144" s="65">
        <f>IFERROR(__xludf.DUMMYFUNCTION("""COMPUTED_VALUE"""),3.0)</f>
        <v>3</v>
      </c>
      <c r="AF1144" s="65"/>
      <c r="AG1144" s="65"/>
      <c r="AH1144" s="65"/>
      <c r="AI1144" s="65"/>
      <c r="AJ1144" s="65"/>
      <c r="AK1144" s="65"/>
      <c r="AL1144" s="65"/>
      <c r="AM1144" s="65"/>
      <c r="AN1144" s="65"/>
      <c r="AO1144" s="65"/>
      <c r="AP1144" s="65"/>
      <c r="AQ1144" s="65"/>
      <c r="AR1144" s="65"/>
      <c r="AS1144" s="65"/>
      <c r="AT1144" s="65" t="str">
        <f>IFERROR(__xludf.DUMMYFUNCTION("""COMPUTED_VALUE"""),"SHOPIFY")</f>
        <v>SHOPIFY</v>
      </c>
      <c r="AU1144" s="65" t="str">
        <f>IFERROR(__xludf.DUMMYFUNCTION("""COMPUTED_VALUE"""),"IMPORTEX EC")</f>
        <v>IMPORTEX EC</v>
      </c>
      <c r="AV1144" s="65" t="str">
        <f>IFERROR(__xludf.DUMMYFUNCTION("""COMPUTED_VALUE"""),"6468645322796")</f>
        <v>6468645322796</v>
      </c>
      <c r="AW1144" s="65">
        <f>IFERROR(__xludf.DUMMYFUNCTION("""COMPUTED_VALUE"""),5762.0)</f>
        <v>5762</v>
      </c>
      <c r="AX1144" s="65"/>
      <c r="AY1144" s="65" t="str">
        <f>IFERROR(__xludf.DUMMYFUNCTION("""COMPUTED_VALUE"""),"03/02/2026")</f>
        <v>03/02/2026</v>
      </c>
      <c r="AZ1144" s="65"/>
      <c r="BA1144" s="65"/>
    </row>
    <row r="1145">
      <c r="A1145" s="65" t="str">
        <f>IFERROR(__xludf.DUMMYFUNCTION("""COMPUTED_VALUE"""),"27-03-2026")</f>
        <v>27-03-2026</v>
      </c>
      <c r="B1145" s="65">
        <f>IFERROR(__xludf.DUMMYFUNCTION("""COMPUTED_VALUE"""),4352545.0)</f>
        <v>4352545</v>
      </c>
      <c r="C1145" s="65" t="str">
        <f>IFERROR(__xludf.DUMMYFUNCTION("""COMPUTED_VALUE"""),"13:06")</f>
        <v>13:06</v>
      </c>
      <c r="D1145" s="65" t="str">
        <f>IFERROR(__xludf.DUMMYFUNCTION("""COMPUTED_VALUE"""),"01-02-2026")</f>
        <v>01-02-2026</v>
      </c>
      <c r="E1145" s="65" t="str">
        <f>IFERROR(__xludf.DUMMYFUNCTION("""COMPUTED_VALUE"""),"Angel Quimis Pin")</f>
        <v>Angel Quimis Pin</v>
      </c>
      <c r="F1145" s="65" t="str">
        <f>IFERROR(__xludf.DUMMYFUNCTION("""COMPUTED_VALUE"""),"959994374")</f>
        <v>959994374</v>
      </c>
      <c r="G1145" s="65" t="str">
        <f>IFERROR(__xludf.DUMMYFUNCTION("""COMPUTED_VALUE"""),"angel_quimis_p1@hotmail.com")</f>
        <v>angel_quimis_p1@hotmail.com</v>
      </c>
      <c r="H1145" s="65"/>
      <c r="I1145" s="65"/>
      <c r="J1145" s="65" t="str">
        <f>IFERROR(__xludf.DUMMYFUNCTION("""COMPUTED_VALUE"""),"187001271")</f>
        <v>187001271</v>
      </c>
      <c r="K1145" s="65" t="str">
        <f>IFERROR(__xludf.DUMMYFUNCTION("""COMPUTED_VALUE"""),"DEVOLUCION")</f>
        <v>DEVOLUCION</v>
      </c>
      <c r="L1145" s="65" t="str">
        <f>IFERROR(__xludf.DUMMYFUNCTION("""COMPUTED_VALUE"""),"CON RECAUDO")</f>
        <v>CON RECAUDO</v>
      </c>
      <c r="M1145" s="65" t="str">
        <f>IFERROR(__xludf.DUMMYFUNCTION("""COMPUTED_VALUE"""),"GUAYAS")</f>
        <v>GUAYAS</v>
      </c>
      <c r="N1145" s="65" t="str">
        <f>IFERROR(__xludf.DUMMYFUNCTION("""COMPUTED_VALUE"""),"CHONGON")</f>
        <v>CHONGON</v>
      </c>
      <c r="O1145" s="65" t="str">
        <f>IFERROR(__xludf.DUMMYFUNCTION("""COMPUTED_VALUE"""),"VIA A LA COSTA KM 117 SECTOR CHONGON FRENTE A LA GOSOLINERA TERPEL .")</f>
        <v>VIA A LA COSTA KM 117 SECTOR CHONGON FRENTE A LA GOSOLINERA TERPEL .</v>
      </c>
      <c r="P1145" s="65"/>
      <c r="Q1145" s="65" t="str">
        <f>IFERROR(__xludf.DUMMYFUNCTION("""COMPUTED_VALUE"""),"SERVIENTREGA")</f>
        <v>SERVIENTREGA</v>
      </c>
      <c r="R1145" s="65">
        <f>IFERROR(__xludf.DUMMYFUNCTION("""COMPUTED_VALUE"""),19.99)</f>
        <v>19.99</v>
      </c>
      <c r="S1145" s="65"/>
      <c r="T1145" s="65">
        <f>IFERROR(__xludf.DUMMYFUNCTION("""COMPUTED_VALUE"""),6.24)</f>
        <v>6.24</v>
      </c>
      <c r="U1145" s="65">
        <f>IFERROR(__xludf.DUMMYFUNCTION("""COMPUTED_VALUE"""),0.0)</f>
        <v>0</v>
      </c>
      <c r="V1145" s="65">
        <f>IFERROR(__xludf.DUMMYFUNCTION("""COMPUTED_VALUE"""),0.0)</f>
        <v>0</v>
      </c>
      <c r="W1145" s="65">
        <f>IFERROR(__xludf.DUMMYFUNCTION("""COMPUTED_VALUE"""),0.0)</f>
        <v>0</v>
      </c>
      <c r="X1145" s="65">
        <f>IFERROR(__xludf.DUMMYFUNCTION("""COMPUTED_VALUE"""),5.0)</f>
        <v>5</v>
      </c>
      <c r="Y1145" s="65">
        <f>IFERROR(__xludf.DUMMYFUNCTION("""COMPUTED_VALUE"""),5.0)</f>
        <v>5</v>
      </c>
      <c r="Z1145" s="65">
        <f>IFERROR(__xludf.DUMMYFUNCTION("""COMPUTED_VALUE"""),110064.0)</f>
        <v>110064</v>
      </c>
      <c r="AA1145" s="65" t="str">
        <f>IFERROR(__xludf.DUMMYFUNCTION("""COMPUTED_VALUE"""),"IMX-00001")</f>
        <v>IMX-00001</v>
      </c>
      <c r="AB1145" s="65"/>
      <c r="AC1145" s="65" t="str">
        <f>IFERROR(__xludf.DUMMYFUNCTION("""COMPUTED_VALUE"""),"LLAVE TRINQUETE")</f>
        <v>LLAVE TRINQUETE</v>
      </c>
      <c r="AD1145" s="65"/>
      <c r="AE1145" s="65">
        <f>IFERROR(__xludf.DUMMYFUNCTION("""COMPUTED_VALUE"""),1.0)</f>
        <v>1</v>
      </c>
      <c r="AF1145" s="65" t="str">
        <f>IFERROR(__xludf.DUMMYFUNCTION("""COMPUTED_VALUE"""),"FALTAN DATOS EN DIRECCION")</f>
        <v>FALTAN DATOS EN DIRECCION</v>
      </c>
      <c r="AG1145" s="65" t="str">
        <f>IFERROR(__xludf.DUMMYFUNCTION("""COMPUTED_VALUE"""),"SI")</f>
        <v>SI</v>
      </c>
      <c r="AH1145" s="65" t="str">
        <f>IFERROR(__xludf.DUMMYFUNCTION("""COMPUTED_VALUE"""),"09:21")</f>
        <v>09:21</v>
      </c>
      <c r="AI1145" s="65" t="str">
        <f>IFERROR(__xludf.DUMMYFUNCTION("""COMPUTED_VALUE"""),"10-02-2026")</f>
        <v>10-02-2026</v>
      </c>
      <c r="AJ1145" s="65" t="str">
        <f>IFERROR(__xludf.DUMMYFUNCTION("""COMPUTED_VALUE"""),"https   www google com maps place 2 C2 B012 53 5 22S 80 C2 B004 38 2 22W   2 214834  80 0780331 18 25z data  4m4 3m3 8m2 3d 2 2148557 4d 80 0772629 entry ttu g ep EgoyMDI2MDIwOS4wIKXMDSoASAFQAw 3D 3D")</f>
        <v>https   www google com maps place 2 C2 B012 53 5 22S 80 C2 B004 38 2 22W   2 214834  80 0780331 18 25z data  4m4 3m3 8m2 3d 2 2148557 4d 80 0772629 entry ttu g ep EgoyMDI2MDIwOS4wIKXMDSoASAFQAw 3D 3D</v>
      </c>
      <c r="AK1145" s="65" t="str">
        <f>IFERROR(__xludf.DUMMYFUNCTION("""COMPUTED_VALUE"""),"13:07")</f>
        <v>13:07</v>
      </c>
      <c r="AL1145" s="65" t="str">
        <f>IFERROR(__xludf.DUMMYFUNCTION("""COMPUTED_VALUE"""),"11-02-2026")</f>
        <v>11-02-2026</v>
      </c>
      <c r="AM1145" s="65"/>
      <c r="AN1145" s="65" t="str">
        <f>IFERROR(__xludf.DUMMYFUNCTION("""COMPUTED_VALUE"""),"01:04")</f>
        <v>01:04</v>
      </c>
      <c r="AO1145" s="65" t="str">
        <f>IFERROR(__xludf.DUMMYFUNCTION("""COMPUTED_VALUE"""),"22-02-2026")</f>
        <v>22-02-2026</v>
      </c>
      <c r="AP1145" s="65" t="str">
        <f>IFERROR(__xludf.DUMMYFUNCTION("""COMPUTED_VALUE"""),"Certificacion Devolucion al Remitente CL QUITO")</f>
        <v>Certificacion Devolucion al Remitente CL QUITO</v>
      </c>
      <c r="AQ1145" s="65" t="str">
        <f>IFERROR(__xludf.DUMMYFUNCTION("""COMPUTED_VALUE"""),"{}")</f>
        <v>{}</v>
      </c>
      <c r="AR1145" s="65"/>
      <c r="AS1145" s="65"/>
      <c r="AT1145" s="65" t="str">
        <f>IFERROR(__xludf.DUMMYFUNCTION("""COMPUTED_VALUE"""),"SHOPIFY")</f>
        <v>SHOPIFY</v>
      </c>
      <c r="AU1145" s="65" t="str">
        <f>IFERROR(__xludf.DUMMYFUNCTION("""COMPUTED_VALUE"""),"IMPORTEX EC")</f>
        <v>IMPORTEX EC</v>
      </c>
      <c r="AV1145" s="65" t="str">
        <f>IFERROR(__xludf.DUMMYFUNCTION("""COMPUTED_VALUE"""),"6468588666924")</f>
        <v>6468588666924</v>
      </c>
      <c r="AW1145" s="65">
        <f>IFERROR(__xludf.DUMMYFUNCTION("""COMPUTED_VALUE"""),5761.0)</f>
        <v>5761</v>
      </c>
      <c r="AX1145" s="65"/>
      <c r="AY1145" s="65" t="str">
        <f>IFERROR(__xludf.DUMMYFUNCTION("""COMPUTED_VALUE"""),"04/02/2026")</f>
        <v>04/02/2026</v>
      </c>
      <c r="AZ1145" s="65"/>
      <c r="BA1145" s="65"/>
    </row>
    <row r="1146">
      <c r="A1146" s="65" t="str">
        <f>IFERROR(__xludf.DUMMYFUNCTION("""COMPUTED_VALUE"""),"27-03-2026")</f>
        <v>27-03-2026</v>
      </c>
      <c r="B1146" s="65">
        <f>IFERROR(__xludf.DUMMYFUNCTION("""COMPUTED_VALUE"""),4352498.0)</f>
        <v>4352498</v>
      </c>
      <c r="C1146" s="65" t="str">
        <f>IFERROR(__xludf.DUMMYFUNCTION("""COMPUTED_VALUE"""),"12:59")</f>
        <v>12:59</v>
      </c>
      <c r="D1146" s="65" t="str">
        <f>IFERROR(__xludf.DUMMYFUNCTION("""COMPUTED_VALUE"""),"01-02-2026")</f>
        <v>01-02-2026</v>
      </c>
      <c r="E1146" s="65" t="str">
        <f>IFERROR(__xludf.DUMMYFUNCTION("""COMPUTED_VALUE"""),"Luis Macias")</f>
        <v>Luis Macias</v>
      </c>
      <c r="F1146" s="65" t="str">
        <f>IFERROR(__xludf.DUMMYFUNCTION("""COMPUTED_VALUE"""),"963167221")</f>
        <v>963167221</v>
      </c>
      <c r="G1146" s="65" t="str">
        <f>IFERROR(__xludf.DUMMYFUNCTION("""COMPUTED_VALUE"""),"asecontryfmacias@gmail.com")</f>
        <v>asecontryfmacias@gmail.com</v>
      </c>
      <c r="H1146" s="65"/>
      <c r="I1146" s="65"/>
      <c r="J1146" s="65"/>
      <c r="K1146" s="65" t="str">
        <f>IFERROR(__xludf.DUMMYFUNCTION("""COMPUTED_VALUE"""),"CANCELADO")</f>
        <v>CANCELADO</v>
      </c>
      <c r="L1146" s="65" t="str">
        <f>IFERROR(__xludf.DUMMYFUNCTION("""COMPUTED_VALUE"""),"CON RECAUDO")</f>
        <v>CON RECAUDO</v>
      </c>
      <c r="M1146" s="65" t="str">
        <f>IFERROR(__xludf.DUMMYFUNCTION("""COMPUTED_VALUE"""),"PICHINCHA")</f>
        <v>PICHINCHA</v>
      </c>
      <c r="N1146" s="65" t="str">
        <f>IFERROR(__xludf.DUMMYFUNCTION("""COMPUTED_VALUE"""),"QUITO")</f>
        <v>QUITO</v>
      </c>
      <c r="O1146" s="65" t="str">
        <f>IFERROR(__xludf.DUMMYFUNCTION("""COMPUTED_VALUE"""),"Av. Juan Larrea N 5-15 entre José Riofrío y Buenos Aires Parque Alameda - Quito -")</f>
        <v>Av. Juan Larrea N 5-15 entre José Riofrío y Buenos Aires Parque Alameda - Quito -</v>
      </c>
      <c r="P1146" s="65"/>
      <c r="Q1146" s="65" t="str">
        <f>IFERROR(__xludf.DUMMYFUNCTION("""COMPUTED_VALUE"""),"GINTRACOM")</f>
        <v>GINTRACOM</v>
      </c>
      <c r="R1146" s="65">
        <f>IFERROR(__xludf.DUMMYFUNCTION("""COMPUTED_VALUE"""),30.0)</f>
        <v>30</v>
      </c>
      <c r="S1146" s="65"/>
      <c r="T1146" s="65">
        <f>IFERROR(__xludf.DUMMYFUNCTION("""COMPUTED_VALUE"""),4.55)</f>
        <v>4.55</v>
      </c>
      <c r="U1146" s="65">
        <f>IFERROR(__xludf.DUMMYFUNCTION("""COMPUTED_VALUE"""),0.0)</f>
        <v>0</v>
      </c>
      <c r="V1146" s="65">
        <f>IFERROR(__xludf.DUMMYFUNCTION("""COMPUTED_VALUE"""),0.0)</f>
        <v>0</v>
      </c>
      <c r="W1146" s="65">
        <f>IFERROR(__xludf.DUMMYFUNCTION("""COMPUTED_VALUE"""),0.0)</f>
        <v>0</v>
      </c>
      <c r="X1146" s="65">
        <f>IFERROR(__xludf.DUMMYFUNCTION("""COMPUTED_VALUE"""),2.35)</f>
        <v>2.35</v>
      </c>
      <c r="Y1146" s="65">
        <f>IFERROR(__xludf.DUMMYFUNCTION("""COMPUTED_VALUE"""),7.05)</f>
        <v>7.05</v>
      </c>
      <c r="Z1146" s="65">
        <f>IFERROR(__xludf.DUMMYFUNCTION("""COMPUTED_VALUE"""),116679.0)</f>
        <v>116679</v>
      </c>
      <c r="AA1146" s="65" t="str">
        <f>IFERROR(__xludf.DUMMYFUNCTION("""COMPUTED_VALUE"""),"AMC-2738")</f>
        <v>AMC-2738</v>
      </c>
      <c r="AB1146" s="65"/>
      <c r="AC1146" s="65" t="str">
        <f>IFERROR(__xludf.DUMMYFUNCTION("""COMPUTED_VALUE"""),"ESPONJA ANTILLUVIA DE PARABRISAS")</f>
        <v>ESPONJA ANTILLUVIA DE PARABRISAS</v>
      </c>
      <c r="AD1146" s="65"/>
      <c r="AE1146" s="65">
        <f>IFERROR(__xludf.DUMMYFUNCTION("""COMPUTED_VALUE"""),3.0)</f>
        <v>3</v>
      </c>
      <c r="AF1146" s="65"/>
      <c r="AG1146" s="65"/>
      <c r="AH1146" s="65"/>
      <c r="AI1146" s="65"/>
      <c r="AJ1146" s="65"/>
      <c r="AK1146" s="65"/>
      <c r="AL1146" s="65"/>
      <c r="AM1146" s="65"/>
      <c r="AN1146" s="65"/>
      <c r="AO1146" s="65"/>
      <c r="AP1146" s="65"/>
      <c r="AQ1146" s="65"/>
      <c r="AR1146" s="65"/>
      <c r="AS1146" s="65"/>
      <c r="AT1146" s="65" t="str">
        <f>IFERROR(__xludf.DUMMYFUNCTION("""COMPUTED_VALUE"""),"SHOPIFY")</f>
        <v>SHOPIFY</v>
      </c>
      <c r="AU1146" s="65" t="str">
        <f>IFERROR(__xludf.DUMMYFUNCTION("""COMPUTED_VALUE"""),"IMPORTEX EC")</f>
        <v>IMPORTEX EC</v>
      </c>
      <c r="AV1146" s="65" t="str">
        <f>IFERROR(__xludf.DUMMYFUNCTION("""COMPUTED_VALUE"""),"6468572643372")</f>
        <v>6468572643372</v>
      </c>
      <c r="AW1146" s="65">
        <f>IFERROR(__xludf.DUMMYFUNCTION("""COMPUTED_VALUE"""),5760.0)</f>
        <v>5760</v>
      </c>
      <c r="AX1146" s="65"/>
      <c r="AY1146" s="65"/>
      <c r="AZ1146" s="65"/>
      <c r="BA1146" s="65"/>
    </row>
    <row r="1147">
      <c r="A1147" s="65" t="str">
        <f>IFERROR(__xludf.DUMMYFUNCTION("""COMPUTED_VALUE"""),"27-03-2026")</f>
        <v>27-03-2026</v>
      </c>
      <c r="B1147" s="65">
        <f>IFERROR(__xludf.DUMMYFUNCTION("""COMPUTED_VALUE"""),4352407.0)</f>
        <v>4352407</v>
      </c>
      <c r="C1147" s="65" t="str">
        <f>IFERROR(__xludf.DUMMYFUNCTION("""COMPUTED_VALUE"""),"12:49")</f>
        <v>12:49</v>
      </c>
      <c r="D1147" s="65" t="str">
        <f>IFERROR(__xludf.DUMMYFUNCTION("""COMPUTED_VALUE"""),"01-02-2026")</f>
        <v>01-02-2026</v>
      </c>
      <c r="E1147" s="65" t="str">
        <f>IFERROR(__xludf.DUMMYFUNCTION("""COMPUTED_VALUE"""),"Darwin Lopez")</f>
        <v>Darwin Lopez</v>
      </c>
      <c r="F1147" s="65" t="str">
        <f>IFERROR(__xludf.DUMMYFUNCTION("""COMPUTED_VALUE"""),"991271195")</f>
        <v>991271195</v>
      </c>
      <c r="G1147" s="65"/>
      <c r="H1147" s="65"/>
      <c r="I1147" s="65"/>
      <c r="J1147" s="65"/>
      <c r="K1147" s="65" t="str">
        <f>IFERROR(__xludf.DUMMYFUNCTION("""COMPUTED_VALUE"""),"PENDIENTE CONFIRMACION")</f>
        <v>PENDIENTE CONFIRMACION</v>
      </c>
      <c r="L1147" s="65" t="str">
        <f>IFERROR(__xludf.DUMMYFUNCTION("""COMPUTED_VALUE"""),"CON RECAUDO")</f>
        <v>CON RECAUDO</v>
      </c>
      <c r="M1147" s="65" t="str">
        <f>IFERROR(__xludf.DUMMYFUNCTION("""COMPUTED_VALUE"""),"CARCHI")</f>
        <v>CARCHI</v>
      </c>
      <c r="N1147" s="65" t="str">
        <f>IFERROR(__xludf.DUMMYFUNCTION("""COMPUTED_VALUE"""),"TULCAN")</f>
        <v>TULCAN</v>
      </c>
      <c r="O1147" s="65" t="str">
        <f>IFERROR(__xludf.DUMMYFUNCTION("""COMPUTED_VALUE"""),"Veitimilla y universitaria Frente a la lechera Carchi -")</f>
        <v>Veitimilla y universitaria Frente a la lechera Carchi -</v>
      </c>
      <c r="P1147" s="65"/>
      <c r="Q1147" s="65" t="str">
        <f>IFERROR(__xludf.DUMMYFUNCTION("""COMPUTED_VALUE"""),"GINTRACOM")</f>
        <v>GINTRACOM</v>
      </c>
      <c r="R1147" s="65">
        <f>IFERROR(__xludf.DUMMYFUNCTION("""COMPUTED_VALUE"""),25.0)</f>
        <v>25</v>
      </c>
      <c r="S1147" s="65"/>
      <c r="T1147" s="65">
        <f>IFERROR(__xludf.DUMMYFUNCTION("""COMPUTED_VALUE"""),5.96)</f>
        <v>5.96</v>
      </c>
      <c r="U1147" s="65">
        <f>IFERROR(__xludf.DUMMYFUNCTION("""COMPUTED_VALUE"""),0.0)</f>
        <v>0</v>
      </c>
      <c r="V1147" s="65">
        <f>IFERROR(__xludf.DUMMYFUNCTION("""COMPUTED_VALUE"""),0.0)</f>
        <v>0</v>
      </c>
      <c r="W1147" s="65">
        <f>IFERROR(__xludf.DUMMYFUNCTION("""COMPUTED_VALUE"""),0.0)</f>
        <v>0</v>
      </c>
      <c r="X1147" s="65">
        <f>IFERROR(__xludf.DUMMYFUNCTION("""COMPUTED_VALUE"""),2.35)</f>
        <v>2.35</v>
      </c>
      <c r="Y1147" s="65">
        <f>IFERROR(__xludf.DUMMYFUNCTION("""COMPUTED_VALUE"""),4.7)</f>
        <v>4.7</v>
      </c>
      <c r="Z1147" s="65">
        <f>IFERROR(__xludf.DUMMYFUNCTION("""COMPUTED_VALUE"""),116679.0)</f>
        <v>116679</v>
      </c>
      <c r="AA1147" s="65" t="str">
        <f>IFERROR(__xludf.DUMMYFUNCTION("""COMPUTED_VALUE"""),"AMC-2738")</f>
        <v>AMC-2738</v>
      </c>
      <c r="AB1147" s="65"/>
      <c r="AC1147" s="65" t="str">
        <f>IFERROR(__xludf.DUMMYFUNCTION("""COMPUTED_VALUE"""),"ESPONJA ANTILLUVIA DE PARABRISAS")</f>
        <v>ESPONJA ANTILLUVIA DE PARABRISAS</v>
      </c>
      <c r="AD1147" s="65"/>
      <c r="AE1147" s="65">
        <f>IFERROR(__xludf.DUMMYFUNCTION("""COMPUTED_VALUE"""),2.0)</f>
        <v>2</v>
      </c>
      <c r="AF1147" s="65"/>
      <c r="AG1147" s="65"/>
      <c r="AH1147" s="65"/>
      <c r="AI1147" s="65"/>
      <c r="AJ1147" s="65"/>
      <c r="AK1147" s="65"/>
      <c r="AL1147" s="65"/>
      <c r="AM1147" s="65"/>
      <c r="AN1147" s="65"/>
      <c r="AO1147" s="65"/>
      <c r="AP1147" s="65"/>
      <c r="AQ1147" s="65"/>
      <c r="AR1147" s="65"/>
      <c r="AS1147" s="65"/>
      <c r="AT1147" s="65" t="str">
        <f>IFERROR(__xludf.DUMMYFUNCTION("""COMPUTED_VALUE"""),"SHOPIFY")</f>
        <v>SHOPIFY</v>
      </c>
      <c r="AU1147" s="65" t="str">
        <f>IFERROR(__xludf.DUMMYFUNCTION("""COMPUTED_VALUE"""),"IMPORTEX EC")</f>
        <v>IMPORTEX EC</v>
      </c>
      <c r="AV1147" s="65" t="str">
        <f>IFERROR(__xludf.DUMMYFUNCTION("""COMPUTED_VALUE"""),"6468543479852")</f>
        <v>6468543479852</v>
      </c>
      <c r="AW1147" s="65">
        <f>IFERROR(__xludf.DUMMYFUNCTION("""COMPUTED_VALUE"""),5759.0)</f>
        <v>5759</v>
      </c>
      <c r="AX1147" s="65"/>
      <c r="AY1147" s="65"/>
      <c r="AZ1147" s="65"/>
      <c r="BA1147" s="65"/>
    </row>
    <row r="1148">
      <c r="A1148" s="65" t="str">
        <f>IFERROR(__xludf.DUMMYFUNCTION("""COMPUTED_VALUE"""),"27-03-2026")</f>
        <v>27-03-2026</v>
      </c>
      <c r="B1148" s="65">
        <f>IFERROR(__xludf.DUMMYFUNCTION("""COMPUTED_VALUE"""),4351699.0)</f>
        <v>4351699</v>
      </c>
      <c r="C1148" s="65" t="str">
        <f>IFERROR(__xludf.DUMMYFUNCTION("""COMPUTED_VALUE"""),"11:39")</f>
        <v>11:39</v>
      </c>
      <c r="D1148" s="65" t="str">
        <f>IFERROR(__xludf.DUMMYFUNCTION("""COMPUTED_VALUE"""),"01-02-2026")</f>
        <v>01-02-2026</v>
      </c>
      <c r="E1148" s="65" t="str">
        <f>IFERROR(__xludf.DUMMYFUNCTION("""COMPUTED_VALUE"""),"Maria Crespo")</f>
        <v>Maria Crespo</v>
      </c>
      <c r="F1148" s="65" t="str">
        <f>IFERROR(__xludf.DUMMYFUNCTION("""COMPUTED_VALUE"""),"998143217")</f>
        <v>998143217</v>
      </c>
      <c r="G1148" s="65"/>
      <c r="H1148" s="65"/>
      <c r="I1148" s="65"/>
      <c r="J1148" s="65" t="str">
        <f>IFERROR(__xludf.DUMMYFUNCTION("""COMPUTED_VALUE"""),"D001288569")</f>
        <v>D001288569</v>
      </c>
      <c r="K1148" s="65" t="str">
        <f>IFERROR(__xludf.DUMMYFUNCTION("""COMPUTED_VALUE"""),"ENTREGADO")</f>
        <v>ENTREGADO</v>
      </c>
      <c r="L1148" s="65" t="str">
        <f>IFERROR(__xludf.DUMMYFUNCTION("""COMPUTED_VALUE"""),"CON RECAUDO")</f>
        <v>CON RECAUDO</v>
      </c>
      <c r="M1148" s="65" t="str">
        <f>IFERROR(__xludf.DUMMYFUNCTION("""COMPUTED_VALUE"""),"CAÑAR")</f>
        <v>CAÑAR</v>
      </c>
      <c r="N1148" s="65" t="str">
        <f>IFERROR(__xludf.DUMMYFUNCTION("""COMPUTED_VALUE"""),"AZOGUES")</f>
        <v>AZOGUES</v>
      </c>
      <c r="O1148" s="65" t="str">
        <f>IFERROR(__xludf.DUMMYFUNCTION("""COMPUTED_VALUE"""),"Calle Bolívar y azuay en Banecuador Centro - Es en Banecuador")</f>
        <v>Calle Bolívar y azuay en Banecuador Centro - Es en Banecuador</v>
      </c>
      <c r="P1148" s="65"/>
      <c r="Q1148" s="65" t="str">
        <f>IFERROR(__xludf.DUMMYFUNCTION("""COMPUTED_VALUE"""),"GINTRACOM")</f>
        <v>GINTRACOM</v>
      </c>
      <c r="R1148" s="65">
        <f>IFERROR(__xludf.DUMMYFUNCTION("""COMPUTED_VALUE"""),30.0)</f>
        <v>30</v>
      </c>
      <c r="S1148" s="65">
        <f>IFERROR(__xludf.DUMMYFUNCTION("""COMPUTED_VALUE"""),16.79)</f>
        <v>16.79</v>
      </c>
      <c r="T1148" s="65">
        <f>IFERROR(__xludf.DUMMYFUNCTION("""COMPUTED_VALUE"""),6.16)</f>
        <v>6.16</v>
      </c>
      <c r="U1148" s="65">
        <f>IFERROR(__xludf.DUMMYFUNCTION("""COMPUTED_VALUE"""),0.0)</f>
        <v>0</v>
      </c>
      <c r="V1148" s="65">
        <f>IFERROR(__xludf.DUMMYFUNCTION("""COMPUTED_VALUE"""),0.0)</f>
        <v>0</v>
      </c>
      <c r="W1148" s="65">
        <f>IFERROR(__xludf.DUMMYFUNCTION("""COMPUTED_VALUE"""),0.0)</f>
        <v>0</v>
      </c>
      <c r="X1148" s="65">
        <f>IFERROR(__xludf.DUMMYFUNCTION("""COMPUTED_VALUE"""),2.35)</f>
        <v>2.35</v>
      </c>
      <c r="Y1148" s="65">
        <f>IFERROR(__xludf.DUMMYFUNCTION("""COMPUTED_VALUE"""),7.05)</f>
        <v>7.05</v>
      </c>
      <c r="Z1148" s="65">
        <f>IFERROR(__xludf.DUMMYFUNCTION("""COMPUTED_VALUE"""),116679.0)</f>
        <v>116679</v>
      </c>
      <c r="AA1148" s="65" t="str">
        <f>IFERROR(__xludf.DUMMYFUNCTION("""COMPUTED_VALUE"""),"AMC-2738")</f>
        <v>AMC-2738</v>
      </c>
      <c r="AB1148" s="65"/>
      <c r="AC1148" s="65" t="str">
        <f>IFERROR(__xludf.DUMMYFUNCTION("""COMPUTED_VALUE"""),"ESPONJA ANTILLUVIA DE PARABRISAS")</f>
        <v>ESPONJA ANTILLUVIA DE PARABRISAS</v>
      </c>
      <c r="AD1148" s="65"/>
      <c r="AE1148" s="65">
        <f>IFERROR(__xludf.DUMMYFUNCTION("""COMPUTED_VALUE"""),3.0)</f>
        <v>3</v>
      </c>
      <c r="AF1148" s="65"/>
      <c r="AG1148" s="65"/>
      <c r="AH1148" s="65"/>
      <c r="AI1148" s="65"/>
      <c r="AJ1148" s="65"/>
      <c r="AK1148" s="65"/>
      <c r="AL1148" s="65"/>
      <c r="AM1148" s="65"/>
      <c r="AN1148" s="65"/>
      <c r="AO1148" s="65"/>
      <c r="AP1148" s="65"/>
      <c r="AQ1148" s="65"/>
      <c r="AR1148" s="65"/>
      <c r="AS1148" s="65"/>
      <c r="AT1148" s="65" t="str">
        <f>IFERROR(__xludf.DUMMYFUNCTION("""COMPUTED_VALUE"""),"SHOPIFY")</f>
        <v>SHOPIFY</v>
      </c>
      <c r="AU1148" s="65" t="str">
        <f>IFERROR(__xludf.DUMMYFUNCTION("""COMPUTED_VALUE"""),"IMPORTEX EC")</f>
        <v>IMPORTEX EC</v>
      </c>
      <c r="AV1148" s="65" t="str">
        <f>IFERROR(__xludf.DUMMYFUNCTION("""COMPUTED_VALUE"""),"6468329799724")</f>
        <v>6468329799724</v>
      </c>
      <c r="AW1148" s="65">
        <f>IFERROR(__xludf.DUMMYFUNCTION("""COMPUTED_VALUE"""),5758.0)</f>
        <v>5758</v>
      </c>
      <c r="AX1148" s="65"/>
      <c r="AY1148" s="65" t="str">
        <f>IFERROR(__xludf.DUMMYFUNCTION("""COMPUTED_VALUE"""),"02/02/2026")</f>
        <v>02/02/2026</v>
      </c>
      <c r="AZ1148" s="65"/>
      <c r="BA1148" s="65"/>
    </row>
    <row r="1149">
      <c r="A1149" s="65" t="str">
        <f>IFERROR(__xludf.DUMMYFUNCTION("""COMPUTED_VALUE"""),"27-03-2026")</f>
        <v>27-03-2026</v>
      </c>
      <c r="B1149" s="65">
        <f>IFERROR(__xludf.DUMMYFUNCTION("""COMPUTED_VALUE"""),4351675.0)</f>
        <v>4351675</v>
      </c>
      <c r="C1149" s="65" t="str">
        <f>IFERROR(__xludf.DUMMYFUNCTION("""COMPUTED_VALUE"""),"11:37")</f>
        <v>11:37</v>
      </c>
      <c r="D1149" s="65" t="str">
        <f>IFERROR(__xludf.DUMMYFUNCTION("""COMPUTED_VALUE"""),"01-02-2026")</f>
        <v>01-02-2026</v>
      </c>
      <c r="E1149" s="65" t="str">
        <f>IFERROR(__xludf.DUMMYFUNCTION("""COMPUTED_VALUE"""),"Byron Peña")</f>
        <v>Byron Peña</v>
      </c>
      <c r="F1149" s="65" t="str">
        <f>IFERROR(__xludf.DUMMYFUNCTION("""COMPUTED_VALUE"""),"969345643")</f>
        <v>969345643</v>
      </c>
      <c r="G1149" s="65" t="str">
        <f>IFERROR(__xludf.DUMMYFUNCTION("""COMPUTED_VALUE"""),"bap_bsc@yahoo.es")</f>
        <v>bap_bsc@yahoo.es</v>
      </c>
      <c r="H1149" s="65"/>
      <c r="I1149" s="65"/>
      <c r="J1149" s="65"/>
      <c r="K1149" s="65" t="str">
        <f>IFERROR(__xludf.DUMMYFUNCTION("""COMPUTED_VALUE"""),"PENDIENTE CONFIRMACION")</f>
        <v>PENDIENTE CONFIRMACION</v>
      </c>
      <c r="L1149" s="65" t="str">
        <f>IFERROR(__xludf.DUMMYFUNCTION("""COMPUTED_VALUE"""),"CON RECAUDO")</f>
        <v>CON RECAUDO</v>
      </c>
      <c r="M1149" s="65" t="str">
        <f>IFERROR(__xludf.DUMMYFUNCTION("""COMPUTED_VALUE"""),"AZUAY")</f>
        <v>AZUAY</v>
      </c>
      <c r="N1149" s="65" t="str">
        <f>IFERROR(__xludf.DUMMYFUNCTION("""COMPUTED_VALUE"""),"CUENCA")</f>
        <v>CUENCA</v>
      </c>
      <c r="O1149" s="65" t="str">
        <f>IFERROR(__xludf.DUMMYFUNCTION("""COMPUTED_VALUE"""),"El tejar El tejar -")</f>
        <v>El tejar El tejar -</v>
      </c>
      <c r="P1149" s="65"/>
      <c r="Q1149" s="65" t="str">
        <f>IFERROR(__xludf.DUMMYFUNCTION("""COMPUTED_VALUE"""),"GINTRACOM")</f>
        <v>GINTRACOM</v>
      </c>
      <c r="R1149" s="65">
        <f>IFERROR(__xludf.DUMMYFUNCTION("""COMPUTED_VALUE"""),20.0)</f>
        <v>20</v>
      </c>
      <c r="S1149" s="65"/>
      <c r="T1149" s="65">
        <f>IFERROR(__xludf.DUMMYFUNCTION("""COMPUTED_VALUE"""),5.76)</f>
        <v>5.76</v>
      </c>
      <c r="U1149" s="65">
        <f>IFERROR(__xludf.DUMMYFUNCTION("""COMPUTED_VALUE"""),0.0)</f>
        <v>0</v>
      </c>
      <c r="V1149" s="65">
        <f>IFERROR(__xludf.DUMMYFUNCTION("""COMPUTED_VALUE"""),0.0)</f>
        <v>0</v>
      </c>
      <c r="W1149" s="65">
        <f>IFERROR(__xludf.DUMMYFUNCTION("""COMPUTED_VALUE"""),0.0)</f>
        <v>0</v>
      </c>
      <c r="X1149" s="65">
        <f>IFERROR(__xludf.DUMMYFUNCTION("""COMPUTED_VALUE"""),2.35)</f>
        <v>2.35</v>
      </c>
      <c r="Y1149" s="65">
        <f>IFERROR(__xludf.DUMMYFUNCTION("""COMPUTED_VALUE"""),2.35)</f>
        <v>2.35</v>
      </c>
      <c r="Z1149" s="65">
        <f>IFERROR(__xludf.DUMMYFUNCTION("""COMPUTED_VALUE"""),116679.0)</f>
        <v>116679</v>
      </c>
      <c r="AA1149" s="65" t="str">
        <f>IFERROR(__xludf.DUMMYFUNCTION("""COMPUTED_VALUE"""),"AMC-2738")</f>
        <v>AMC-2738</v>
      </c>
      <c r="AB1149" s="65"/>
      <c r="AC1149" s="65" t="str">
        <f>IFERROR(__xludf.DUMMYFUNCTION("""COMPUTED_VALUE"""),"ESPONJA ANTILLUVIA DE PARABRISAS")</f>
        <v>ESPONJA ANTILLUVIA DE PARABRISAS</v>
      </c>
      <c r="AD1149" s="65"/>
      <c r="AE1149" s="65">
        <f>IFERROR(__xludf.DUMMYFUNCTION("""COMPUTED_VALUE"""),1.0)</f>
        <v>1</v>
      </c>
      <c r="AF1149" s="65"/>
      <c r="AG1149" s="65"/>
      <c r="AH1149" s="65"/>
      <c r="AI1149" s="65"/>
      <c r="AJ1149" s="65"/>
      <c r="AK1149" s="65"/>
      <c r="AL1149" s="65"/>
      <c r="AM1149" s="65"/>
      <c r="AN1149" s="65"/>
      <c r="AO1149" s="65"/>
      <c r="AP1149" s="65"/>
      <c r="AQ1149" s="65"/>
      <c r="AR1149" s="65"/>
      <c r="AS1149" s="65"/>
      <c r="AT1149" s="65" t="str">
        <f>IFERROR(__xludf.DUMMYFUNCTION("""COMPUTED_VALUE"""),"SHOPIFY")</f>
        <v>SHOPIFY</v>
      </c>
      <c r="AU1149" s="65" t="str">
        <f>IFERROR(__xludf.DUMMYFUNCTION("""COMPUTED_VALUE"""),"IMPORTEX EC")</f>
        <v>IMPORTEX EC</v>
      </c>
      <c r="AV1149" s="65" t="str">
        <f>IFERROR(__xludf.DUMMYFUNCTION("""COMPUTED_VALUE"""),"6468323835948")</f>
        <v>6468323835948</v>
      </c>
      <c r="AW1149" s="65">
        <f>IFERROR(__xludf.DUMMYFUNCTION("""COMPUTED_VALUE"""),5757.0)</f>
        <v>5757</v>
      </c>
      <c r="AX1149" s="65"/>
      <c r="AY1149" s="65"/>
      <c r="AZ1149" s="65"/>
      <c r="BA1149" s="65"/>
    </row>
    <row r="1150">
      <c r="A1150" s="65" t="str">
        <f>IFERROR(__xludf.DUMMYFUNCTION("""COMPUTED_VALUE"""),"27-03-2026")</f>
        <v>27-03-2026</v>
      </c>
      <c r="B1150" s="65">
        <f>IFERROR(__xludf.DUMMYFUNCTION("""COMPUTED_VALUE"""),4351156.0)</f>
        <v>4351156</v>
      </c>
      <c r="C1150" s="65" t="str">
        <f>IFERROR(__xludf.DUMMYFUNCTION("""COMPUTED_VALUE"""),"10:50")</f>
        <v>10:50</v>
      </c>
      <c r="D1150" s="65" t="str">
        <f>IFERROR(__xludf.DUMMYFUNCTION("""COMPUTED_VALUE"""),"01-02-2026")</f>
        <v>01-02-2026</v>
      </c>
      <c r="E1150" s="65" t="str">
        <f>IFERROR(__xludf.DUMMYFUNCTION("""COMPUTED_VALUE"""),"Medardo Punina")</f>
        <v>Medardo Punina</v>
      </c>
      <c r="F1150" s="65" t="str">
        <f>IFERROR(__xludf.DUMMYFUNCTION("""COMPUTED_VALUE"""),"997808174")</f>
        <v>997808174</v>
      </c>
      <c r="G1150" s="65" t="str">
        <f>IFERROR(__xludf.DUMMYFUNCTION("""COMPUTED_VALUE"""),"medita.32@hotmail.com")</f>
        <v>medita.32@hotmail.com</v>
      </c>
      <c r="H1150" s="65"/>
      <c r="I1150" s="65"/>
      <c r="J1150" s="65"/>
      <c r="K1150" s="65" t="str">
        <f>IFERROR(__xludf.DUMMYFUNCTION("""COMPUTED_VALUE"""),"CANCELADO")</f>
        <v>CANCELADO</v>
      </c>
      <c r="L1150" s="65" t="str">
        <f>IFERROR(__xludf.DUMMYFUNCTION("""COMPUTED_VALUE"""),"CON RECAUDO")</f>
        <v>CON RECAUDO</v>
      </c>
      <c r="M1150" s="65" t="str">
        <f>IFERROR(__xludf.DUMMYFUNCTION("""COMPUTED_VALUE"""),"TUNGURAHUA")</f>
        <v>TUNGURAHUA</v>
      </c>
      <c r="N1150" s="65" t="str">
        <f>IFERROR(__xludf.DUMMYFUNCTION("""COMPUTED_VALUE"""),"TISALEO")</f>
        <v>TISALEO</v>
      </c>
      <c r="O1150" s="65" t="str">
        <f>IFERROR(__xludf.DUMMYFUNCTION("""COMPUTED_VALUE"""),"Ambato-tisaleo Avenida 17 De N Local en la parada de camionetas express Tisaleo-esquina -")</f>
        <v>Ambato-tisaleo Avenida 17 De N Local en la parada de camionetas express Tisaleo-esquina -</v>
      </c>
      <c r="P1150" s="65"/>
      <c r="Q1150" s="65" t="str">
        <f>IFERROR(__xludf.DUMMYFUNCTION("""COMPUTED_VALUE"""),"GINTRACOM")</f>
        <v>GINTRACOM</v>
      </c>
      <c r="R1150" s="65">
        <f>IFERROR(__xludf.DUMMYFUNCTION("""COMPUTED_VALUE"""),19.99)</f>
        <v>19.99</v>
      </c>
      <c r="S1150" s="65"/>
      <c r="T1150" s="65">
        <f>IFERROR(__xludf.DUMMYFUNCTION("""COMPUTED_VALUE"""),6.32)</f>
        <v>6.32</v>
      </c>
      <c r="U1150" s="65">
        <f>IFERROR(__xludf.DUMMYFUNCTION("""COMPUTED_VALUE"""),0.0)</f>
        <v>0</v>
      </c>
      <c r="V1150" s="65">
        <f>IFERROR(__xludf.DUMMYFUNCTION("""COMPUTED_VALUE"""),0.0)</f>
        <v>0</v>
      </c>
      <c r="W1150" s="65">
        <f>IFERROR(__xludf.DUMMYFUNCTION("""COMPUTED_VALUE"""),0.0)</f>
        <v>0</v>
      </c>
      <c r="X1150" s="65">
        <f>IFERROR(__xludf.DUMMYFUNCTION("""COMPUTED_VALUE"""),5.0)</f>
        <v>5</v>
      </c>
      <c r="Y1150" s="65">
        <f>IFERROR(__xludf.DUMMYFUNCTION("""COMPUTED_VALUE"""),5.0)</f>
        <v>5</v>
      </c>
      <c r="Z1150" s="65">
        <f>IFERROR(__xludf.DUMMYFUNCTION("""COMPUTED_VALUE"""),110064.0)</f>
        <v>110064</v>
      </c>
      <c r="AA1150" s="65" t="str">
        <f>IFERROR(__xludf.DUMMYFUNCTION("""COMPUTED_VALUE"""),"IMX-00001")</f>
        <v>IMX-00001</v>
      </c>
      <c r="AB1150" s="65"/>
      <c r="AC1150" s="65" t="str">
        <f>IFERROR(__xludf.DUMMYFUNCTION("""COMPUTED_VALUE"""),"LLAVE TRINQUETE")</f>
        <v>LLAVE TRINQUETE</v>
      </c>
      <c r="AD1150" s="65"/>
      <c r="AE1150" s="65">
        <f>IFERROR(__xludf.DUMMYFUNCTION("""COMPUTED_VALUE"""),1.0)</f>
        <v>1</v>
      </c>
      <c r="AF1150" s="65"/>
      <c r="AG1150" s="65"/>
      <c r="AH1150" s="65"/>
      <c r="AI1150" s="65"/>
      <c r="AJ1150" s="65"/>
      <c r="AK1150" s="65"/>
      <c r="AL1150" s="65"/>
      <c r="AM1150" s="65"/>
      <c r="AN1150" s="65"/>
      <c r="AO1150" s="65"/>
      <c r="AP1150" s="65"/>
      <c r="AQ1150" s="65"/>
      <c r="AR1150" s="65"/>
      <c r="AS1150" s="65"/>
      <c r="AT1150" s="65" t="str">
        <f>IFERROR(__xludf.DUMMYFUNCTION("""COMPUTED_VALUE"""),"SHOPIFY")</f>
        <v>SHOPIFY</v>
      </c>
      <c r="AU1150" s="65" t="str">
        <f>IFERROR(__xludf.DUMMYFUNCTION("""COMPUTED_VALUE"""),"IMPORTEX EC")</f>
        <v>IMPORTEX EC</v>
      </c>
      <c r="AV1150" s="65" t="str">
        <f>IFERROR(__xludf.DUMMYFUNCTION("""COMPUTED_VALUE"""),"6468206854188")</f>
        <v>6468206854188</v>
      </c>
      <c r="AW1150" s="65">
        <f>IFERROR(__xludf.DUMMYFUNCTION("""COMPUTED_VALUE"""),5756.0)</f>
        <v>5756</v>
      </c>
      <c r="AX1150" s="65"/>
      <c r="AY1150" s="65"/>
      <c r="AZ1150" s="65"/>
      <c r="BA1150" s="65"/>
    </row>
    <row r="1151">
      <c r="A1151" s="65" t="str">
        <f>IFERROR(__xludf.DUMMYFUNCTION("""COMPUTED_VALUE"""),"27-03-2026")</f>
        <v>27-03-2026</v>
      </c>
      <c r="B1151" s="65">
        <f>IFERROR(__xludf.DUMMYFUNCTION("""COMPUTED_VALUE"""),4351154.0)</f>
        <v>4351154</v>
      </c>
      <c r="C1151" s="65" t="str">
        <f>IFERROR(__xludf.DUMMYFUNCTION("""COMPUTED_VALUE"""),"10:50")</f>
        <v>10:50</v>
      </c>
      <c r="D1151" s="65" t="str">
        <f>IFERROR(__xludf.DUMMYFUNCTION("""COMPUTED_VALUE"""),"01-02-2026")</f>
        <v>01-02-2026</v>
      </c>
      <c r="E1151" s="65" t="str">
        <f>IFERROR(__xludf.DUMMYFUNCTION("""COMPUTED_VALUE"""),"Segundo Ruben Cevallos Zambrano")</f>
        <v>Segundo Ruben Cevallos Zambrano</v>
      </c>
      <c r="F1151" s="65" t="str">
        <f>IFERROR(__xludf.DUMMYFUNCTION("""COMPUTED_VALUE"""),"967199565")</f>
        <v>967199565</v>
      </c>
      <c r="G1151" s="65" t="str">
        <f>IFERROR(__xludf.DUMMYFUNCTION("""COMPUTED_VALUE"""),"rubencevallosz@hotmail.com")</f>
        <v>rubencevallosz@hotmail.com</v>
      </c>
      <c r="H1151" s="65"/>
      <c r="I1151" s="65"/>
      <c r="J1151" s="65" t="str">
        <f>IFERROR(__xludf.DUMMYFUNCTION("""COMPUTED_VALUE"""),"D001290811")</f>
        <v>D001290811</v>
      </c>
      <c r="K1151" s="65" t="str">
        <f>IFERROR(__xludf.DUMMYFUNCTION("""COMPUTED_VALUE"""),"ENTREGADO")</f>
        <v>ENTREGADO</v>
      </c>
      <c r="L1151" s="65" t="str">
        <f>IFERROR(__xludf.DUMMYFUNCTION("""COMPUTED_VALUE"""),"CON RECAUDO")</f>
        <v>CON RECAUDO</v>
      </c>
      <c r="M1151" s="65" t="str">
        <f>IFERROR(__xludf.DUMMYFUNCTION("""COMPUTED_VALUE"""),"MANABI")</f>
        <v>MANABI</v>
      </c>
      <c r="N1151" s="65" t="str">
        <f>IFERROR(__xludf.DUMMYFUNCTION("""COMPUTED_VALUE"""),"ROCAFUERTE")</f>
        <v>ROCAFUERTE</v>
      </c>
      <c r="O1151" s="65" t="str">
        <f>IFERROR(__xludf.DUMMYFUNCTION("""COMPUTED_VALUE"""),"Rocafuerte y 10 de agosto Parroquia Rocafuerte. Barrios Los Pinos , En los Altos de Licorería Yandry, Diagonal a la Escuela León Febrero Cordero")</f>
        <v>Rocafuerte y 10 de agosto Parroquia Rocafuerte. Barrios Los Pinos , En los Altos de Licorería Yandry, Diagonal a la Escuela León Febrero Cordero</v>
      </c>
      <c r="P1151" s="65"/>
      <c r="Q1151" s="65" t="str">
        <f>IFERROR(__xludf.DUMMYFUNCTION("""COMPUTED_VALUE"""),"GINTRACOM")</f>
        <v>GINTRACOM</v>
      </c>
      <c r="R1151" s="65">
        <f>IFERROR(__xludf.DUMMYFUNCTION("""COMPUTED_VALUE"""),19.99)</f>
        <v>19.99</v>
      </c>
      <c r="S1151" s="65">
        <f>IFERROR(__xludf.DUMMYFUNCTION("""COMPUTED_VALUE"""),8.67)</f>
        <v>8.67</v>
      </c>
      <c r="T1151" s="65">
        <f>IFERROR(__xludf.DUMMYFUNCTION("""COMPUTED_VALUE"""),6.32)</f>
        <v>6.32</v>
      </c>
      <c r="U1151" s="65">
        <f>IFERROR(__xludf.DUMMYFUNCTION("""COMPUTED_VALUE"""),0.0)</f>
        <v>0</v>
      </c>
      <c r="V1151" s="65">
        <f>IFERROR(__xludf.DUMMYFUNCTION("""COMPUTED_VALUE"""),0.0)</f>
        <v>0</v>
      </c>
      <c r="W1151" s="65">
        <f>IFERROR(__xludf.DUMMYFUNCTION("""COMPUTED_VALUE"""),0.0)</f>
        <v>0</v>
      </c>
      <c r="X1151" s="65">
        <f>IFERROR(__xludf.DUMMYFUNCTION("""COMPUTED_VALUE"""),5.0)</f>
        <v>5</v>
      </c>
      <c r="Y1151" s="65">
        <f>IFERROR(__xludf.DUMMYFUNCTION("""COMPUTED_VALUE"""),5.0)</f>
        <v>5</v>
      </c>
      <c r="Z1151" s="65">
        <f>IFERROR(__xludf.DUMMYFUNCTION("""COMPUTED_VALUE"""),110064.0)</f>
        <v>110064</v>
      </c>
      <c r="AA1151" s="65" t="str">
        <f>IFERROR(__xludf.DUMMYFUNCTION("""COMPUTED_VALUE"""),"IMX-00001")</f>
        <v>IMX-00001</v>
      </c>
      <c r="AB1151" s="65"/>
      <c r="AC1151" s="65" t="str">
        <f>IFERROR(__xludf.DUMMYFUNCTION("""COMPUTED_VALUE"""),"LLAVE TRINQUETE")</f>
        <v>LLAVE TRINQUETE</v>
      </c>
      <c r="AD1151" s="65"/>
      <c r="AE1151" s="65">
        <f>IFERROR(__xludf.DUMMYFUNCTION("""COMPUTED_VALUE"""),1.0)</f>
        <v>1</v>
      </c>
      <c r="AF1151" s="65"/>
      <c r="AG1151" s="65"/>
      <c r="AH1151" s="65"/>
      <c r="AI1151" s="65"/>
      <c r="AJ1151" s="65"/>
      <c r="AK1151" s="65"/>
      <c r="AL1151" s="65"/>
      <c r="AM1151" s="65"/>
      <c r="AN1151" s="65"/>
      <c r="AO1151" s="65"/>
      <c r="AP1151" s="65"/>
      <c r="AQ1151" s="65"/>
      <c r="AR1151" s="65"/>
      <c r="AS1151" s="65"/>
      <c r="AT1151" s="65" t="str">
        <f>IFERROR(__xludf.DUMMYFUNCTION("""COMPUTED_VALUE"""),"SHOPIFY")</f>
        <v>SHOPIFY</v>
      </c>
      <c r="AU1151" s="65" t="str">
        <f>IFERROR(__xludf.DUMMYFUNCTION("""COMPUTED_VALUE"""),"IMPORTEX EC")</f>
        <v>IMPORTEX EC</v>
      </c>
      <c r="AV1151" s="65" t="str">
        <f>IFERROR(__xludf.DUMMYFUNCTION("""COMPUTED_VALUE"""),"6468206329900")</f>
        <v>6468206329900</v>
      </c>
      <c r="AW1151" s="65">
        <f>IFERROR(__xludf.DUMMYFUNCTION("""COMPUTED_VALUE"""),5755.0)</f>
        <v>5755</v>
      </c>
      <c r="AX1151" s="65"/>
      <c r="AY1151" s="65" t="str">
        <f>IFERROR(__xludf.DUMMYFUNCTION("""COMPUTED_VALUE"""),"03/02/2026")</f>
        <v>03/02/2026</v>
      </c>
      <c r="AZ1151" s="65"/>
      <c r="BA1151" s="65"/>
    </row>
    <row r="1152">
      <c r="A1152" s="65" t="str">
        <f>IFERROR(__xludf.DUMMYFUNCTION("""COMPUTED_VALUE"""),"27-03-2026")</f>
        <v>27-03-2026</v>
      </c>
      <c r="B1152" s="65">
        <f>IFERROR(__xludf.DUMMYFUNCTION("""COMPUTED_VALUE"""),4351036.0)</f>
        <v>4351036</v>
      </c>
      <c r="C1152" s="65" t="str">
        <f>IFERROR(__xludf.DUMMYFUNCTION("""COMPUTED_VALUE"""),"10:37")</f>
        <v>10:37</v>
      </c>
      <c r="D1152" s="65" t="str">
        <f>IFERROR(__xludf.DUMMYFUNCTION("""COMPUTED_VALUE"""),"01-02-2026")</f>
        <v>01-02-2026</v>
      </c>
      <c r="E1152" s="65" t="str">
        <f>IFERROR(__xludf.DUMMYFUNCTION("""COMPUTED_VALUE"""),"Edward Guzman")</f>
        <v>Edward Guzman</v>
      </c>
      <c r="F1152" s="65" t="str">
        <f>IFERROR(__xludf.DUMMYFUNCTION("""COMPUTED_VALUE"""),"988722771")</f>
        <v>988722771</v>
      </c>
      <c r="G1152" s="65" t="str">
        <f>IFERROR(__xludf.DUMMYFUNCTION("""COMPUTED_VALUE"""),"edward_germanguzman@hotmail.com")</f>
        <v>edward_germanguzman@hotmail.com</v>
      </c>
      <c r="H1152" s="65"/>
      <c r="I1152" s="65"/>
      <c r="J1152" s="65" t="str">
        <f>IFERROR(__xludf.DUMMYFUNCTION("""COMPUTED_VALUE"""),"186994368")</f>
        <v>186994368</v>
      </c>
      <c r="K1152" s="65" t="str">
        <f>IFERROR(__xludf.DUMMYFUNCTION("""COMPUTED_VALUE"""),"ENTREGADO")</f>
        <v>ENTREGADO</v>
      </c>
      <c r="L1152" s="65" t="str">
        <f>IFERROR(__xludf.DUMMYFUNCTION("""COMPUTED_VALUE"""),"CON RECAUDO")</f>
        <v>CON RECAUDO</v>
      </c>
      <c r="M1152" s="65" t="str">
        <f>IFERROR(__xludf.DUMMYFUNCTION("""COMPUTED_VALUE"""),"ZAMORA CHINCHIPE")</f>
        <v>ZAMORA CHINCHIPE</v>
      </c>
      <c r="N1152" s="65" t="str">
        <f>IFERROR(__xludf.DUMMYFUNCTION("""COMPUTED_VALUE"""),"EL PANGUI")</f>
        <v>EL PANGUI</v>
      </c>
      <c r="O1152" s="65" t="str">
        <f>IFERROR(__xludf.DUMMYFUNCTION("""COMPUTED_VALUE"""),"Calle loja y san diego Jesus del gran poder -")</f>
        <v>Calle loja y san diego Jesus del gran poder -</v>
      </c>
      <c r="P1152" s="65"/>
      <c r="Q1152" s="65" t="str">
        <f>IFERROR(__xludf.DUMMYFUNCTION("""COMPUTED_VALUE"""),"SERVIENTREGA")</f>
        <v>SERVIENTREGA</v>
      </c>
      <c r="R1152" s="65">
        <f>IFERROR(__xludf.DUMMYFUNCTION("""COMPUTED_VALUE"""),19.99)</f>
        <v>19.99</v>
      </c>
      <c r="S1152" s="65">
        <f>IFERROR(__xludf.DUMMYFUNCTION("""COMPUTED_VALUE"""),7.32)</f>
        <v>7.32</v>
      </c>
      <c r="T1152" s="65">
        <f>IFERROR(__xludf.DUMMYFUNCTION("""COMPUTED_VALUE"""),7.67)</f>
        <v>7.67</v>
      </c>
      <c r="U1152" s="65">
        <f>IFERROR(__xludf.DUMMYFUNCTION("""COMPUTED_VALUE"""),0.0)</f>
        <v>0</v>
      </c>
      <c r="V1152" s="65">
        <f>IFERROR(__xludf.DUMMYFUNCTION("""COMPUTED_VALUE"""),0.0)</f>
        <v>0</v>
      </c>
      <c r="W1152" s="65">
        <f>IFERROR(__xludf.DUMMYFUNCTION("""COMPUTED_VALUE"""),0.0)</f>
        <v>0</v>
      </c>
      <c r="X1152" s="65">
        <f>IFERROR(__xludf.DUMMYFUNCTION("""COMPUTED_VALUE"""),5.0)</f>
        <v>5</v>
      </c>
      <c r="Y1152" s="65">
        <f>IFERROR(__xludf.DUMMYFUNCTION("""COMPUTED_VALUE"""),5.0)</f>
        <v>5</v>
      </c>
      <c r="Z1152" s="65">
        <f>IFERROR(__xludf.DUMMYFUNCTION("""COMPUTED_VALUE"""),110064.0)</f>
        <v>110064</v>
      </c>
      <c r="AA1152" s="65" t="str">
        <f>IFERROR(__xludf.DUMMYFUNCTION("""COMPUTED_VALUE"""),"IMX-00001")</f>
        <v>IMX-00001</v>
      </c>
      <c r="AB1152" s="65"/>
      <c r="AC1152" s="65" t="str">
        <f>IFERROR(__xludf.DUMMYFUNCTION("""COMPUTED_VALUE"""),"LLAVE TRINQUETE")</f>
        <v>LLAVE TRINQUETE</v>
      </c>
      <c r="AD1152" s="65"/>
      <c r="AE1152" s="65">
        <f>IFERROR(__xludf.DUMMYFUNCTION("""COMPUTED_VALUE"""),1.0)</f>
        <v>1</v>
      </c>
      <c r="AF1152" s="65"/>
      <c r="AG1152" s="65"/>
      <c r="AH1152" s="65"/>
      <c r="AI1152" s="65"/>
      <c r="AJ1152" s="65"/>
      <c r="AK1152" s="65"/>
      <c r="AL1152" s="65"/>
      <c r="AM1152" s="65"/>
      <c r="AN1152" s="65" t="str">
        <f>IFERROR(__xludf.DUMMYFUNCTION("""COMPUTED_VALUE"""),"17:02")</f>
        <v>17:02</v>
      </c>
      <c r="AO1152" s="65" t="str">
        <f>IFERROR(__xludf.DUMMYFUNCTION("""COMPUTED_VALUE"""),"20-02-2026")</f>
        <v>20-02-2026</v>
      </c>
      <c r="AP1152" s="65" t="str">
        <f>IFERROR(__xludf.DUMMYFUNCTION("""COMPUTED_VALUE"""),"ENTREGA DIGITALIZADA EN CENTRO LOGISTICO")</f>
        <v>ENTREGA DIGITALIZADA EN CENTRO LOGISTICO</v>
      </c>
      <c r="AQ1152" s="65" t="str">
        <f>IFERROR(__xludf.DUMMYFUNCTION("""COMPUTED_VALUE"""),"Edward Guzman")</f>
        <v>Edward Guzman</v>
      </c>
      <c r="AR1152" s="65"/>
      <c r="AS1152" s="65"/>
      <c r="AT1152" s="65" t="str">
        <f>IFERROR(__xludf.DUMMYFUNCTION("""COMPUTED_VALUE"""),"SHOPIFY")</f>
        <v>SHOPIFY</v>
      </c>
      <c r="AU1152" s="65" t="str">
        <f>IFERROR(__xludf.DUMMYFUNCTION("""COMPUTED_VALUE"""),"IMPORTEX EC")</f>
        <v>IMPORTEX EC</v>
      </c>
      <c r="AV1152" s="65" t="str">
        <f>IFERROR(__xludf.DUMMYFUNCTION("""COMPUTED_VALUE"""),"6468181000236")</f>
        <v>6468181000236</v>
      </c>
      <c r="AW1152" s="65">
        <f>IFERROR(__xludf.DUMMYFUNCTION("""COMPUTED_VALUE"""),5754.0)</f>
        <v>5754</v>
      </c>
      <c r="AX1152" s="65"/>
      <c r="AY1152" s="65" t="str">
        <f>IFERROR(__xludf.DUMMYFUNCTION("""COMPUTED_VALUE"""),"03/02/2026")</f>
        <v>03/02/2026</v>
      </c>
      <c r="AZ1152" s="65"/>
      <c r="BA1152" s="65"/>
    </row>
    <row r="1153">
      <c r="A1153" s="65" t="str">
        <f>IFERROR(__xludf.DUMMYFUNCTION("""COMPUTED_VALUE"""),"27-03-2026")</f>
        <v>27-03-2026</v>
      </c>
      <c r="B1153" s="65">
        <f>IFERROR(__xludf.DUMMYFUNCTION("""COMPUTED_VALUE"""),4350802.0)</f>
        <v>4350802</v>
      </c>
      <c r="C1153" s="65" t="str">
        <f>IFERROR(__xludf.DUMMYFUNCTION("""COMPUTED_VALUE"""),"10:15")</f>
        <v>10:15</v>
      </c>
      <c r="D1153" s="65" t="str">
        <f>IFERROR(__xludf.DUMMYFUNCTION("""COMPUTED_VALUE"""),"01-02-2026")</f>
        <v>01-02-2026</v>
      </c>
      <c r="E1153" s="65" t="str">
        <f>IFERROR(__xludf.DUMMYFUNCTION("""COMPUTED_VALUE"""),"Miguel avecilla avecilla pincay")</f>
        <v>Miguel avecilla avecilla pincay</v>
      </c>
      <c r="F1153" s="65" t="str">
        <f>IFERROR(__xludf.DUMMYFUNCTION("""COMPUTED_VALUE"""),"991678101")</f>
        <v>991678101</v>
      </c>
      <c r="G1153" s="65" t="str">
        <f>IFERROR(__xludf.DUMMYFUNCTION("""COMPUTED_VALUE"""),"miguelavecilla2@gmail.com")</f>
        <v>miguelavecilla2@gmail.com</v>
      </c>
      <c r="H1153" s="65"/>
      <c r="I1153" s="65"/>
      <c r="J1153" s="65" t="str">
        <f>IFERROR(__xludf.DUMMYFUNCTION("""COMPUTED_VALUE"""),"186991781")</f>
        <v>186991781</v>
      </c>
      <c r="K1153" s="65" t="str">
        <f>IFERROR(__xludf.DUMMYFUNCTION("""COMPUTED_VALUE"""),"ENTREGADO")</f>
        <v>ENTREGADO</v>
      </c>
      <c r="L1153" s="65" t="str">
        <f>IFERROR(__xludf.DUMMYFUNCTION("""COMPUTED_VALUE"""),"CON RECAUDO")</f>
        <v>CON RECAUDO</v>
      </c>
      <c r="M1153" s="65" t="str">
        <f>IFERROR(__xludf.DUMMYFUNCTION("""COMPUTED_VALUE"""),"GUAYAS")</f>
        <v>GUAYAS</v>
      </c>
      <c r="N1153" s="65" t="str">
        <f>IFERROR(__xludf.DUMMYFUNCTION("""COMPUTED_VALUE"""),"PLAYAS")</f>
        <v>PLAYAS</v>
      </c>
      <c r="O1153" s="65" t="str">
        <f>IFERROR(__xludf.DUMMYFUNCTION("""COMPUTED_VALUE"""),"Playas Casa vacacional del iess -")</f>
        <v>Playas Casa vacacional del iess -</v>
      </c>
      <c r="P1153" s="65"/>
      <c r="Q1153" s="65" t="str">
        <f>IFERROR(__xludf.DUMMYFUNCTION("""COMPUTED_VALUE"""),"SERVIENTREGA")</f>
        <v>SERVIENTREGA</v>
      </c>
      <c r="R1153" s="65">
        <f>IFERROR(__xludf.DUMMYFUNCTION("""COMPUTED_VALUE"""),22.0)</f>
        <v>22</v>
      </c>
      <c r="S1153" s="65">
        <f>IFERROR(__xludf.DUMMYFUNCTION("""COMPUTED_VALUE"""),9.1)</f>
        <v>9.1</v>
      </c>
      <c r="T1153" s="65">
        <f>IFERROR(__xludf.DUMMYFUNCTION("""COMPUTED_VALUE"""),7.7)</f>
        <v>7.7</v>
      </c>
      <c r="U1153" s="65">
        <f>IFERROR(__xludf.DUMMYFUNCTION("""COMPUTED_VALUE"""),0.0)</f>
        <v>0</v>
      </c>
      <c r="V1153" s="65">
        <f>IFERROR(__xludf.DUMMYFUNCTION("""COMPUTED_VALUE"""),0.0)</f>
        <v>0</v>
      </c>
      <c r="W1153" s="65">
        <f>IFERROR(__xludf.DUMMYFUNCTION("""COMPUTED_VALUE"""),0.0)</f>
        <v>0</v>
      </c>
      <c r="X1153" s="65">
        <f>IFERROR(__xludf.DUMMYFUNCTION("""COMPUTED_VALUE"""),2.6)</f>
        <v>2.6</v>
      </c>
      <c r="Y1153" s="65">
        <f>IFERROR(__xludf.DUMMYFUNCTION("""COMPUTED_VALUE"""),5.2)</f>
        <v>5.2</v>
      </c>
      <c r="Z1153" s="65">
        <f>IFERROR(__xludf.DUMMYFUNCTION("""COMPUTED_VALUE"""),121983.0)</f>
        <v>121983</v>
      </c>
      <c r="AA1153" s="65" t="str">
        <f>IFERROR(__xludf.DUMMYFUNCTION("""COMPUTED_VALUE"""),"PROV-CHLLCF")</f>
        <v>PROV-CHLLCF</v>
      </c>
      <c r="AB1153" s="65"/>
      <c r="AC1153" s="65" t="str">
        <f>IFERROR(__xludf.DUMMYFUNCTION("""COMPUTED_VALUE"""),"CUCHILLO PARA CHEF")</f>
        <v>CUCHILLO PARA CHEF</v>
      </c>
      <c r="AD1153" s="65"/>
      <c r="AE1153" s="65">
        <f>IFERROR(__xludf.DUMMYFUNCTION("""COMPUTED_VALUE"""),2.0)</f>
        <v>2</v>
      </c>
      <c r="AF1153" s="65" t="str">
        <f>IFERROR(__xludf.DUMMYFUNCTION("""COMPUTED_VALUE"""),"NO LO CONOCEN")</f>
        <v>NO LO CONOCEN</v>
      </c>
      <c r="AG1153" s="65" t="str">
        <f>IFERROR(__xludf.DUMMYFUNCTION("""COMPUTED_VALUE"""),"NO")</f>
        <v>NO</v>
      </c>
      <c r="AH1153" s="65" t="str">
        <f>IFERROR(__xludf.DUMMYFUNCTION("""COMPUTED_VALUE"""),"17:32")</f>
        <v>17:32</v>
      </c>
      <c r="AI1153" s="65" t="str">
        <f>IFERROR(__xludf.DUMMYFUNCTION("""COMPUTED_VALUE"""),"04-02-2026")</f>
        <v>04-02-2026</v>
      </c>
      <c r="AJ1153" s="65"/>
      <c r="AK1153" s="65"/>
      <c r="AL1153" s="65"/>
      <c r="AM1153" s="65"/>
      <c r="AN1153" s="65" t="str">
        <f>IFERROR(__xludf.DUMMYFUNCTION("""COMPUTED_VALUE"""),"08:43")</f>
        <v>08:43</v>
      </c>
      <c r="AO1153" s="65" t="str">
        <f>IFERROR(__xludf.DUMMYFUNCTION("""COMPUTED_VALUE"""),"25-02-2026")</f>
        <v>25-02-2026</v>
      </c>
      <c r="AP1153" s="65" t="str">
        <f>IFERROR(__xludf.DUMMYFUNCTION("""COMPUTED_VALUE"""),"ENTREGA DIGITALIZADA EN CENTRO LOGISTICO")</f>
        <v>ENTREGA DIGITALIZADA EN CENTRO LOGISTICO</v>
      </c>
      <c r="AQ1153" s="65" t="str">
        <f>IFERROR(__xludf.DUMMYFUNCTION("""COMPUTED_VALUE"""),"miguel")</f>
        <v>miguel</v>
      </c>
      <c r="AR1153" s="65"/>
      <c r="AS1153" s="65"/>
      <c r="AT1153" s="65" t="str">
        <f>IFERROR(__xludf.DUMMYFUNCTION("""COMPUTED_VALUE"""),"SHOPIFY")</f>
        <v>SHOPIFY</v>
      </c>
      <c r="AU1153" s="65" t="str">
        <f>IFERROR(__xludf.DUMMYFUNCTION("""COMPUTED_VALUE"""),"IMPORTEX EC")</f>
        <v>IMPORTEX EC</v>
      </c>
      <c r="AV1153" s="65" t="str">
        <f>IFERROR(__xludf.DUMMYFUNCTION("""COMPUTED_VALUE"""),"6468129685548")</f>
        <v>6468129685548</v>
      </c>
      <c r="AW1153" s="65">
        <f>IFERROR(__xludf.DUMMYFUNCTION("""COMPUTED_VALUE"""),5753.0)</f>
        <v>5753</v>
      </c>
      <c r="AX1153" s="65"/>
      <c r="AY1153" s="65" t="str">
        <f>IFERROR(__xludf.DUMMYFUNCTION("""COMPUTED_VALUE"""),"02/02/2026")</f>
        <v>02/02/2026</v>
      </c>
      <c r="AZ1153" s="65"/>
      <c r="BA1153" s="65"/>
    </row>
    <row r="1154">
      <c r="A1154" s="65" t="str">
        <f>IFERROR(__xludf.DUMMYFUNCTION("""COMPUTED_VALUE"""),"27-03-2026")</f>
        <v>27-03-2026</v>
      </c>
      <c r="B1154" s="65">
        <f>IFERROR(__xludf.DUMMYFUNCTION("""COMPUTED_VALUE"""),4350658.0)</f>
        <v>4350658</v>
      </c>
      <c r="C1154" s="65" t="str">
        <f>IFERROR(__xludf.DUMMYFUNCTION("""COMPUTED_VALUE"""),"09:59")</f>
        <v>09:59</v>
      </c>
      <c r="D1154" s="65" t="str">
        <f>IFERROR(__xludf.DUMMYFUNCTION("""COMPUTED_VALUE"""),"01-02-2026")</f>
        <v>01-02-2026</v>
      </c>
      <c r="E1154" s="65" t="str">
        <f>IFERROR(__xludf.DUMMYFUNCTION("""COMPUTED_VALUE"""),"Patricios Duque")</f>
        <v>Patricios Duque</v>
      </c>
      <c r="F1154" s="65" t="str">
        <f>IFERROR(__xludf.DUMMYFUNCTION("""COMPUTED_VALUE"""),"978767832")</f>
        <v>978767832</v>
      </c>
      <c r="G1154" s="65" t="str">
        <f>IFERROR(__xludf.DUMMYFUNCTION("""COMPUTED_VALUE"""),"patrizioygissela250912@hotmail.com")</f>
        <v>patrizioygissela250912@hotmail.com</v>
      </c>
      <c r="H1154" s="65"/>
      <c r="I1154" s="65"/>
      <c r="J1154" s="65" t="str">
        <f>IFERROR(__xludf.DUMMYFUNCTION("""COMPUTED_VALUE"""),"D001290855")</f>
        <v>D001290855</v>
      </c>
      <c r="K1154" s="65" t="str">
        <f>IFERROR(__xludf.DUMMYFUNCTION("""COMPUTED_VALUE"""),"DEVOLUCION")</f>
        <v>DEVOLUCION</v>
      </c>
      <c r="L1154" s="65" t="str">
        <f>IFERROR(__xludf.DUMMYFUNCTION("""COMPUTED_VALUE"""),"CON RECAUDO")</f>
        <v>CON RECAUDO</v>
      </c>
      <c r="M1154" s="65" t="str">
        <f>IFERROR(__xludf.DUMMYFUNCTION("""COMPUTED_VALUE"""),"PICHINCHA")</f>
        <v>PICHINCHA</v>
      </c>
      <c r="N1154" s="65" t="str">
        <f>IFERROR(__xludf.DUMMYFUNCTION("""COMPUTED_VALUE"""),"SANGOLQUI")</f>
        <v>SANGOLQUI</v>
      </c>
      <c r="O1154" s="65" t="str">
        <f>IFERROR(__xludf.DUMMYFUNCTION("""COMPUTED_VALUE"""),"Diego Ibarra Y 9NX , REFERENCIA ; Alado es una papelería BANANA JOE - ADJUNTO NOTAS UBICACION GOOGLE MAPS, SECTOR PUENTE 8")</f>
        <v>Diego Ibarra Y 9NX , REFERENCIA ; Alado es una papelería BANANA JOE - ADJUNTO NOTAS UBICACION GOOGLE MAPS, SECTOR PUENTE 8</v>
      </c>
      <c r="P1154" s="68" t="str">
        <f>IFERROR(__xludf.DUMMYFUNCTION("""COMPUTED_VALUE"""),"https://www.google.com/maps/place/0%C2%B016'50.0%22S+78%C2%B028'12.5%22W/@-0.2806852,-78.4703682,3a,35.9y,332.39h,97.55t/data=!3m7!1e1!3m5!1sRkMogptyCInAosDHG-chrg!2e0!6shttps:%2F%2Fstreetviewpixels-pa.googleapis.com%2Fv1%2Fthumbnail%3Fcb_client%3Dmaps_sv"&amp;".tactile%26w%3D900%26h%3D600%26pitch%3D-7.554337423855301%26panoid%3DRkMogptyCInAosDHG-chrg%26yaw%3D332.39278509059704!7i16384!8i8192!4m4!3m3!8m2!3d-0.2805645!4d-78.4701462?entry=ttu&amp;g_ep=EgoyMDI2MDEyOC4wIKXMDSoASAFQAw%3D%3D")</f>
        <v>https://www.google.com/maps/place/0%C2%B016'50.0%22S+78%C2%B028'12.5%22W/@-0.2806852,-78.4703682,3a,35.9y,332.39h,97.55t/data=!3m7!1e1!3m5!1sRkMogptyCInAosDHG-chrg!2e0!6shttps:%2F%2Fstreetviewpixels-pa.googleapis.com%2Fv1%2Fthumbnail%3Fcb_client%3Dmaps_sv.tactile%26w%3D900%26h%3D600%26pitch%3D-7.554337423855301%26panoid%3DRkMogptyCInAosDHG-chrg%26yaw%3D332.39278509059704!7i16384!8i8192!4m4!3m3!8m2!3d-0.2805645!4d-78.4701462?entry=ttu&amp;g_ep=EgoyMDI2MDEyOC4wIKXMDSoASAFQAw%3D%3D</v>
      </c>
      <c r="Q1154" s="65" t="str">
        <f>IFERROR(__xludf.DUMMYFUNCTION("""COMPUTED_VALUE"""),"GINTRACOM")</f>
        <v>GINTRACOM</v>
      </c>
      <c r="R1154" s="65">
        <f>IFERROR(__xludf.DUMMYFUNCTION("""COMPUTED_VALUE"""),19.99)</f>
        <v>19.99</v>
      </c>
      <c r="S1154" s="65"/>
      <c r="T1154" s="65">
        <f>IFERROR(__xludf.DUMMYFUNCTION("""COMPUTED_VALUE"""),4.71)</f>
        <v>4.71</v>
      </c>
      <c r="U1154" s="65">
        <f>IFERROR(__xludf.DUMMYFUNCTION("""COMPUTED_VALUE"""),0.0)</f>
        <v>0</v>
      </c>
      <c r="V1154" s="65">
        <f>IFERROR(__xludf.DUMMYFUNCTION("""COMPUTED_VALUE"""),0.0)</f>
        <v>0</v>
      </c>
      <c r="W1154" s="65">
        <f>IFERROR(__xludf.DUMMYFUNCTION("""COMPUTED_VALUE"""),0.0)</f>
        <v>0</v>
      </c>
      <c r="X1154" s="65">
        <f>IFERROR(__xludf.DUMMYFUNCTION("""COMPUTED_VALUE"""),5.0)</f>
        <v>5</v>
      </c>
      <c r="Y1154" s="65">
        <f>IFERROR(__xludf.DUMMYFUNCTION("""COMPUTED_VALUE"""),5.0)</f>
        <v>5</v>
      </c>
      <c r="Z1154" s="65">
        <f>IFERROR(__xludf.DUMMYFUNCTION("""COMPUTED_VALUE"""),110064.0)</f>
        <v>110064</v>
      </c>
      <c r="AA1154" s="65" t="str">
        <f>IFERROR(__xludf.DUMMYFUNCTION("""COMPUTED_VALUE"""),"IMX-00001")</f>
        <v>IMX-00001</v>
      </c>
      <c r="AB1154" s="65"/>
      <c r="AC1154" s="65" t="str">
        <f>IFERROR(__xludf.DUMMYFUNCTION("""COMPUTED_VALUE"""),"LLAVE TRINQUETE")</f>
        <v>LLAVE TRINQUETE</v>
      </c>
      <c r="AD1154" s="65"/>
      <c r="AE1154" s="65">
        <f>IFERROR(__xludf.DUMMYFUNCTION("""COMPUTED_VALUE"""),1.0)</f>
        <v>1</v>
      </c>
      <c r="AF1154" s="65" t="str">
        <f>IFERROR(__xludf.DUMMYFUNCTION("""COMPUTED_VALUE"""),"DESTINATARIO INDICA QUE YA NO DESEA EL PRODUCTO")</f>
        <v>DESTINATARIO INDICA QUE YA NO DESEA EL PRODUCTO</v>
      </c>
      <c r="AG1154" s="65" t="str">
        <f>IFERROR(__xludf.DUMMYFUNCTION("""COMPUTED_VALUE"""),"NO")</f>
        <v>NO</v>
      </c>
      <c r="AH1154" s="65" t="str">
        <f>IFERROR(__xludf.DUMMYFUNCTION("""COMPUTED_VALUE"""),"14:21")</f>
        <v>14:21</v>
      </c>
      <c r="AI1154" s="65" t="str">
        <f>IFERROR(__xludf.DUMMYFUNCTION("""COMPUTED_VALUE"""),"08-02-2026")</f>
        <v>08-02-2026</v>
      </c>
      <c r="AJ1154" s="65"/>
      <c r="AK1154" s="65"/>
      <c r="AL1154" s="65"/>
      <c r="AM1154" s="65"/>
      <c r="AN1154" s="65" t="str">
        <f>IFERROR(__xludf.DUMMYFUNCTION("""COMPUTED_VALUE"""),"11:56")</f>
        <v>11:56</v>
      </c>
      <c r="AO1154" s="65" t="str">
        <f>IFERROR(__xludf.DUMMYFUNCTION("""COMPUTED_VALUE"""),"19-02-2026")</f>
        <v>19-02-2026</v>
      </c>
      <c r="AP1154" s="65" t="str">
        <f>IFERROR(__xludf.DUMMYFUNCTION("""COMPUTED_VALUE"""),"DEVOLUCIÓN ENTREGADA A ORIGEN")</f>
        <v>DEVOLUCIÓN ENTREGADA A ORIGEN</v>
      </c>
      <c r="AQ1154" s="65" t="str">
        <f>IFERROR(__xludf.DUMMYFUNCTION("""COMPUTED_VALUE"""),"DEVOLUCIÓN ENTREGADA A ORIGEN")</f>
        <v>DEVOLUCIÓN ENTREGADA A ORIGEN</v>
      </c>
      <c r="AR1154" s="65"/>
      <c r="AS1154" s="65"/>
      <c r="AT1154" s="65" t="str">
        <f>IFERROR(__xludf.DUMMYFUNCTION("""COMPUTED_VALUE"""),"SHOPIFY")</f>
        <v>SHOPIFY</v>
      </c>
      <c r="AU1154" s="65" t="str">
        <f>IFERROR(__xludf.DUMMYFUNCTION("""COMPUTED_VALUE"""),"IMPORTEX EC")</f>
        <v>IMPORTEX EC</v>
      </c>
      <c r="AV1154" s="65" t="str">
        <f>IFERROR(__xludf.DUMMYFUNCTION("""COMPUTED_VALUE"""),"6468099211308")</f>
        <v>6468099211308</v>
      </c>
      <c r="AW1154" s="65">
        <f>IFERROR(__xludf.DUMMYFUNCTION("""COMPUTED_VALUE"""),5752.0)</f>
        <v>5752</v>
      </c>
      <c r="AX1154" s="65"/>
      <c r="AY1154" s="65" t="str">
        <f>IFERROR(__xludf.DUMMYFUNCTION("""COMPUTED_VALUE"""),"03/02/2026")</f>
        <v>03/02/2026</v>
      </c>
      <c r="AZ1154" s="65"/>
      <c r="BA1154" s="65"/>
    </row>
    <row r="1155">
      <c r="A1155" s="65" t="str">
        <f>IFERROR(__xludf.DUMMYFUNCTION("""COMPUTED_VALUE"""),"27-03-2026")</f>
        <v>27-03-2026</v>
      </c>
      <c r="B1155" s="65">
        <f>IFERROR(__xludf.DUMMYFUNCTION("""COMPUTED_VALUE"""),4350570.0)</f>
        <v>4350570</v>
      </c>
      <c r="C1155" s="65" t="str">
        <f>IFERROR(__xludf.DUMMYFUNCTION("""COMPUTED_VALUE"""),"09:52")</f>
        <v>09:52</v>
      </c>
      <c r="D1155" s="65" t="str">
        <f>IFERROR(__xludf.DUMMYFUNCTION("""COMPUTED_VALUE"""),"01-02-2026")</f>
        <v>01-02-2026</v>
      </c>
      <c r="E1155" s="65" t="str">
        <f>IFERROR(__xludf.DUMMYFUNCTION("""COMPUTED_VALUE"""),"Luis Guerrero")</f>
        <v>Luis Guerrero</v>
      </c>
      <c r="F1155" s="65" t="str">
        <f>IFERROR(__xludf.DUMMYFUNCTION("""COMPUTED_VALUE"""),"994541461")</f>
        <v>994541461</v>
      </c>
      <c r="G1155" s="65" t="str">
        <f>IFERROR(__xludf.DUMMYFUNCTION("""COMPUTED_VALUE"""),"indhesivess@hotmail.com")</f>
        <v>indhesivess@hotmail.com</v>
      </c>
      <c r="H1155" s="65"/>
      <c r="I1155" s="65"/>
      <c r="J1155" s="65" t="str">
        <f>IFERROR(__xludf.DUMMYFUNCTION("""COMPUTED_VALUE"""),"D001294613")</f>
        <v>D001294613</v>
      </c>
      <c r="K1155" s="65" t="str">
        <f>IFERROR(__xludf.DUMMYFUNCTION("""COMPUTED_VALUE"""),"ENTREGADO")</f>
        <v>ENTREGADO</v>
      </c>
      <c r="L1155" s="65" t="str">
        <f>IFERROR(__xludf.DUMMYFUNCTION("""COMPUTED_VALUE"""),"CON RECAUDO")</f>
        <v>CON RECAUDO</v>
      </c>
      <c r="M1155" s="65" t="str">
        <f>IFERROR(__xludf.DUMMYFUNCTION("""COMPUTED_VALUE"""),"PICHINCHA")</f>
        <v>PICHINCHA</v>
      </c>
      <c r="N1155" s="65" t="str">
        <f>IFERROR(__xludf.DUMMYFUNCTION("""COMPUTED_VALUE"""),"POMASQUI")</f>
        <v>POMASQUI</v>
      </c>
      <c r="O1155" s="65" t="str">
        <f>IFERROR(__xludf.DUMMYFUNCTION("""COMPUTED_VALUE"""),"URBANIZACION EL CONDADO, calle V edif 926, depto 3b")</f>
        <v>URBANIZACION EL CONDADO, calle V edif 926, depto 3b</v>
      </c>
      <c r="P1155" s="65"/>
      <c r="Q1155" s="65" t="str">
        <f>IFERROR(__xludf.DUMMYFUNCTION("""COMPUTED_VALUE"""),"GINTRACOM")</f>
        <v>GINTRACOM</v>
      </c>
      <c r="R1155" s="65">
        <f>IFERROR(__xludf.DUMMYFUNCTION("""COMPUTED_VALUE"""),22.0)</f>
        <v>22</v>
      </c>
      <c r="S1155" s="65">
        <f>IFERROR(__xludf.DUMMYFUNCTION("""COMPUTED_VALUE"""),10.39)</f>
        <v>10.39</v>
      </c>
      <c r="T1155" s="65">
        <f>IFERROR(__xludf.DUMMYFUNCTION("""COMPUTED_VALUE"""),6.41)</f>
        <v>6.41</v>
      </c>
      <c r="U1155" s="65">
        <f>IFERROR(__xludf.DUMMYFUNCTION("""COMPUTED_VALUE"""),0.0)</f>
        <v>0</v>
      </c>
      <c r="V1155" s="65">
        <f>IFERROR(__xludf.DUMMYFUNCTION("""COMPUTED_VALUE"""),0.0)</f>
        <v>0</v>
      </c>
      <c r="W1155" s="65">
        <f>IFERROR(__xludf.DUMMYFUNCTION("""COMPUTED_VALUE"""),0.0)</f>
        <v>0</v>
      </c>
      <c r="X1155" s="65">
        <f>IFERROR(__xludf.DUMMYFUNCTION("""COMPUTED_VALUE"""),2.6)</f>
        <v>2.6</v>
      </c>
      <c r="Y1155" s="65">
        <f>IFERROR(__xludf.DUMMYFUNCTION("""COMPUTED_VALUE"""),5.2)</f>
        <v>5.2</v>
      </c>
      <c r="Z1155" s="65">
        <f>IFERROR(__xludf.DUMMYFUNCTION("""COMPUTED_VALUE"""),121983.0)</f>
        <v>121983</v>
      </c>
      <c r="AA1155" s="65" t="str">
        <f>IFERROR(__xludf.DUMMYFUNCTION("""COMPUTED_VALUE"""),"PROV-CHLLCF")</f>
        <v>PROV-CHLLCF</v>
      </c>
      <c r="AB1155" s="65"/>
      <c r="AC1155" s="65" t="str">
        <f>IFERROR(__xludf.DUMMYFUNCTION("""COMPUTED_VALUE"""),"CUCHILLO PARA CHEF")</f>
        <v>CUCHILLO PARA CHEF</v>
      </c>
      <c r="AD1155" s="65"/>
      <c r="AE1155" s="65">
        <f>IFERROR(__xludf.DUMMYFUNCTION("""COMPUTED_VALUE"""),2.0)</f>
        <v>2</v>
      </c>
      <c r="AF1155" s="65" t="str">
        <f>IFERROR(__xludf.DUMMYFUNCTION("""COMPUTED_VALUE"""),"DESTINATARIO NO CONTESTA LLAMADAS NI WHATSAPP")</f>
        <v>DESTINATARIO NO CONTESTA LLAMADAS NI WHATSAPP</v>
      </c>
      <c r="AG1155" s="65" t="str">
        <f>IFERROR(__xludf.DUMMYFUNCTION("""COMPUTED_VALUE"""),"SI")</f>
        <v>SI</v>
      </c>
      <c r="AH1155" s="65" t="str">
        <f>IFERROR(__xludf.DUMMYFUNCTION("""COMPUTED_VALUE"""),"22:24")</f>
        <v>22:24</v>
      </c>
      <c r="AI1155" s="65" t="str">
        <f>IFERROR(__xludf.DUMMYFUNCTION("""COMPUTED_VALUE"""),"06-02-2026")</f>
        <v>06-02-2026</v>
      </c>
      <c r="AJ1155" s="65"/>
      <c r="AK1155" s="65"/>
      <c r="AL1155" s="65"/>
      <c r="AM1155" s="65"/>
      <c r="AN1155" s="65" t="str">
        <f>IFERROR(__xludf.DUMMYFUNCTION("""COMPUTED_VALUE"""),"16:20")</f>
        <v>16:20</v>
      </c>
      <c r="AO1155" s="65" t="str">
        <f>IFERROR(__xludf.DUMMYFUNCTION("""COMPUTED_VALUE"""),"12-02-2026")</f>
        <v>12-02-2026</v>
      </c>
      <c r="AP1155" s="65" t="str">
        <f>IFERROR(__xludf.DUMMYFUNCTION("""COMPUTED_VALUE"""),"ENTREGADA GINTRACOM")</f>
        <v>ENTREGADA GINTRACOM</v>
      </c>
      <c r="AQ1155" s="65" t="str">
        <f>IFERROR(__xludf.DUMMYFUNCTION("""COMPUTED_VALUE"""),"ENTREGADA GINTRACOM")</f>
        <v>ENTREGADA GINTRACOM</v>
      </c>
      <c r="AR1155" s="65"/>
      <c r="AS1155" s="65"/>
      <c r="AT1155" s="65" t="str">
        <f>IFERROR(__xludf.DUMMYFUNCTION("""COMPUTED_VALUE"""),"SHOPIFY")</f>
        <v>SHOPIFY</v>
      </c>
      <c r="AU1155" s="65" t="str">
        <f>IFERROR(__xludf.DUMMYFUNCTION("""COMPUTED_VALUE"""),"IMPORTEX EC")</f>
        <v>IMPORTEX EC</v>
      </c>
      <c r="AV1155" s="65" t="str">
        <f>IFERROR(__xludf.DUMMYFUNCTION("""COMPUTED_VALUE"""),"6468082892844")</f>
        <v>6468082892844</v>
      </c>
      <c r="AW1155" s="65">
        <f>IFERROR(__xludf.DUMMYFUNCTION("""COMPUTED_VALUE"""),5751.0)</f>
        <v>5751</v>
      </c>
      <c r="AX1155" s="65"/>
      <c r="AY1155" s="65" t="str">
        <f>IFERROR(__xludf.DUMMYFUNCTION("""COMPUTED_VALUE"""),"04/02/2026")</f>
        <v>04/02/2026</v>
      </c>
      <c r="AZ1155" s="65"/>
      <c r="BA1155" s="65"/>
    </row>
    <row r="1156">
      <c r="A1156" s="65" t="str">
        <f>IFERROR(__xludf.DUMMYFUNCTION("""COMPUTED_VALUE"""),"27-03-2026")</f>
        <v>27-03-2026</v>
      </c>
      <c r="B1156" s="65">
        <f>IFERROR(__xludf.DUMMYFUNCTION("""COMPUTED_VALUE"""),4350341.0)</f>
        <v>4350341</v>
      </c>
      <c r="C1156" s="65" t="str">
        <f>IFERROR(__xludf.DUMMYFUNCTION("""COMPUTED_VALUE"""),"09:32")</f>
        <v>09:32</v>
      </c>
      <c r="D1156" s="65" t="str">
        <f>IFERROR(__xludf.DUMMYFUNCTION("""COMPUTED_VALUE"""),"01-02-2026")</f>
        <v>01-02-2026</v>
      </c>
      <c r="E1156" s="65" t="str">
        <f>IFERROR(__xludf.DUMMYFUNCTION("""COMPUTED_VALUE"""),"Jean Carlos Suikoski pico")</f>
        <v>Jean Carlos Suikoski pico</v>
      </c>
      <c r="F1156" s="65" t="str">
        <f>IFERROR(__xludf.DUMMYFUNCTION("""COMPUTED_VALUE"""),"983318910")</f>
        <v>983318910</v>
      </c>
      <c r="G1156" s="65" t="str">
        <f>IFERROR(__xludf.DUMMYFUNCTION("""COMPUTED_VALUE"""),"suikoskyjean@gmail.com")</f>
        <v>suikoskyjean@gmail.com</v>
      </c>
      <c r="H1156" s="65"/>
      <c r="I1156" s="65"/>
      <c r="J1156" s="65" t="str">
        <f>IFERROR(__xludf.DUMMYFUNCTION("""COMPUTED_VALUE"""),"D001288571")</f>
        <v>D001288571</v>
      </c>
      <c r="K1156" s="65" t="str">
        <f>IFERROR(__xludf.DUMMYFUNCTION("""COMPUTED_VALUE"""),"ENTREGADO")</f>
        <v>ENTREGADO</v>
      </c>
      <c r="L1156" s="65" t="str">
        <f>IFERROR(__xludf.DUMMYFUNCTION("""COMPUTED_VALUE"""),"CON RECAUDO")</f>
        <v>CON RECAUDO</v>
      </c>
      <c r="M1156" s="65" t="str">
        <f>IFERROR(__xludf.DUMMYFUNCTION("""COMPUTED_VALUE"""),"GUAYAS")</f>
        <v>GUAYAS</v>
      </c>
      <c r="N1156" s="65" t="str">
        <f>IFERROR(__xludf.DUMMYFUNCTION("""COMPUTED_VALUE"""),"GUAYAQUIL")</f>
        <v>GUAYAQUIL</v>
      </c>
      <c r="O1156" s="65" t="str">
        <f>IFERROR(__xludf.DUMMYFUNCTION("""COMPUTED_VALUE"""),"Av. del Ejército 3212 entre Venezuela y Colombia García moreno -")</f>
        <v>Av. del Ejército 3212 entre Venezuela y Colombia García moreno -</v>
      </c>
      <c r="P1156" s="65"/>
      <c r="Q1156" s="65" t="str">
        <f>IFERROR(__xludf.DUMMYFUNCTION("""COMPUTED_VALUE"""),"GINTRACOM")</f>
        <v>GINTRACOM</v>
      </c>
      <c r="R1156" s="65">
        <f>IFERROR(__xludf.DUMMYFUNCTION("""COMPUTED_VALUE"""),20.0)</f>
        <v>20</v>
      </c>
      <c r="S1156" s="65">
        <f>IFERROR(__xludf.DUMMYFUNCTION("""COMPUTED_VALUE"""),11.89)</f>
        <v>11.89</v>
      </c>
      <c r="T1156" s="65">
        <f>IFERROR(__xludf.DUMMYFUNCTION("""COMPUTED_VALUE"""),5.76)</f>
        <v>5.76</v>
      </c>
      <c r="U1156" s="65">
        <f>IFERROR(__xludf.DUMMYFUNCTION("""COMPUTED_VALUE"""),0.0)</f>
        <v>0</v>
      </c>
      <c r="V1156" s="65">
        <f>IFERROR(__xludf.DUMMYFUNCTION("""COMPUTED_VALUE"""),0.0)</f>
        <v>0</v>
      </c>
      <c r="W1156" s="65">
        <f>IFERROR(__xludf.DUMMYFUNCTION("""COMPUTED_VALUE"""),0.0)</f>
        <v>0</v>
      </c>
      <c r="X1156" s="65">
        <f>IFERROR(__xludf.DUMMYFUNCTION("""COMPUTED_VALUE"""),2.35)</f>
        <v>2.35</v>
      </c>
      <c r="Y1156" s="65">
        <f>IFERROR(__xludf.DUMMYFUNCTION("""COMPUTED_VALUE"""),2.35)</f>
        <v>2.35</v>
      </c>
      <c r="Z1156" s="65">
        <f>IFERROR(__xludf.DUMMYFUNCTION("""COMPUTED_VALUE"""),116679.0)</f>
        <v>116679</v>
      </c>
      <c r="AA1156" s="65" t="str">
        <f>IFERROR(__xludf.DUMMYFUNCTION("""COMPUTED_VALUE"""),"AMC-2738")</f>
        <v>AMC-2738</v>
      </c>
      <c r="AB1156" s="65"/>
      <c r="AC1156" s="65" t="str">
        <f>IFERROR(__xludf.DUMMYFUNCTION("""COMPUTED_VALUE"""),"ESPONJA ANTILLUVIA DE PARABRISAS")</f>
        <v>ESPONJA ANTILLUVIA DE PARABRISAS</v>
      </c>
      <c r="AD1156" s="65"/>
      <c r="AE1156" s="65">
        <f>IFERROR(__xludf.DUMMYFUNCTION("""COMPUTED_VALUE"""),1.0)</f>
        <v>1</v>
      </c>
      <c r="AF1156" s="65"/>
      <c r="AG1156" s="65"/>
      <c r="AH1156" s="65"/>
      <c r="AI1156" s="65"/>
      <c r="AJ1156" s="65"/>
      <c r="AK1156" s="65"/>
      <c r="AL1156" s="65"/>
      <c r="AM1156" s="65"/>
      <c r="AN1156" s="65" t="str">
        <f>IFERROR(__xludf.DUMMYFUNCTION("""COMPUTED_VALUE"""),"15:32")</f>
        <v>15:32</v>
      </c>
      <c r="AO1156" s="65" t="str">
        <f>IFERROR(__xludf.DUMMYFUNCTION("""COMPUTED_VALUE"""),"06-02-2026")</f>
        <v>06-02-2026</v>
      </c>
      <c r="AP1156" s="65" t="str">
        <f>IFERROR(__xludf.DUMMYFUNCTION("""COMPUTED_VALUE"""),"ENTREGADA GINTRACOM")</f>
        <v>ENTREGADA GINTRACOM</v>
      </c>
      <c r="AQ1156" s="65" t="str">
        <f>IFERROR(__xludf.DUMMYFUNCTION("""COMPUTED_VALUE"""),"ENTREGADA GINTRACOM")</f>
        <v>ENTREGADA GINTRACOM</v>
      </c>
      <c r="AR1156" s="65"/>
      <c r="AS1156" s="65"/>
      <c r="AT1156" s="65" t="str">
        <f>IFERROR(__xludf.DUMMYFUNCTION("""COMPUTED_VALUE"""),"SHOPIFY")</f>
        <v>SHOPIFY</v>
      </c>
      <c r="AU1156" s="65" t="str">
        <f>IFERROR(__xludf.DUMMYFUNCTION("""COMPUTED_VALUE"""),"IMPORTEX EC")</f>
        <v>IMPORTEX EC</v>
      </c>
      <c r="AV1156" s="65" t="str">
        <f>IFERROR(__xludf.DUMMYFUNCTION("""COMPUTED_VALUE"""),"6468044095532")</f>
        <v>6468044095532</v>
      </c>
      <c r="AW1156" s="65">
        <f>IFERROR(__xludf.DUMMYFUNCTION("""COMPUTED_VALUE"""),5750.0)</f>
        <v>5750</v>
      </c>
      <c r="AX1156" s="65"/>
      <c r="AY1156" s="65" t="str">
        <f>IFERROR(__xludf.DUMMYFUNCTION("""COMPUTED_VALUE"""),"02/02/2026")</f>
        <v>02/02/2026</v>
      </c>
      <c r="AZ1156" s="65"/>
      <c r="BA1156" s="65"/>
    </row>
    <row r="1157">
      <c r="A1157" s="65" t="str">
        <f>IFERROR(__xludf.DUMMYFUNCTION("""COMPUTED_VALUE"""),"27-03-2026")</f>
        <v>27-03-2026</v>
      </c>
      <c r="B1157" s="65">
        <f>IFERROR(__xludf.DUMMYFUNCTION("""COMPUTED_VALUE"""),4350109.0)</f>
        <v>4350109</v>
      </c>
      <c r="C1157" s="65" t="str">
        <f>IFERROR(__xludf.DUMMYFUNCTION("""COMPUTED_VALUE"""),"09:07")</f>
        <v>09:07</v>
      </c>
      <c r="D1157" s="65" t="str">
        <f>IFERROR(__xludf.DUMMYFUNCTION("""COMPUTED_VALUE"""),"01-02-2026")</f>
        <v>01-02-2026</v>
      </c>
      <c r="E1157" s="65" t="str">
        <f>IFERROR(__xludf.DUMMYFUNCTION("""COMPUTED_VALUE"""),"Jasson Pinargote")</f>
        <v>Jasson Pinargote</v>
      </c>
      <c r="F1157" s="65" t="str">
        <f>IFERROR(__xludf.DUMMYFUNCTION("""COMPUTED_VALUE"""),"961969267")</f>
        <v>961969267</v>
      </c>
      <c r="G1157" s="65" t="str">
        <f>IFERROR(__xludf.DUMMYFUNCTION("""COMPUTED_VALUE"""),"jasson-p92@hotmail.com")</f>
        <v>jasson-p92@hotmail.com</v>
      </c>
      <c r="H1157" s="65"/>
      <c r="I1157" s="65"/>
      <c r="J1157" s="65" t="str">
        <f>IFERROR(__xludf.DUMMYFUNCTION("""COMPUTED_VALUE"""),"186994371")</f>
        <v>186994371</v>
      </c>
      <c r="K1157" s="65" t="str">
        <f>IFERROR(__xludf.DUMMYFUNCTION("""COMPUTED_VALUE"""),"DEVOLUCION")</f>
        <v>DEVOLUCION</v>
      </c>
      <c r="L1157" s="65" t="str">
        <f>IFERROR(__xludf.DUMMYFUNCTION("""COMPUTED_VALUE"""),"CON RECAUDO")</f>
        <v>CON RECAUDO</v>
      </c>
      <c r="M1157" s="65" t="str">
        <f>IFERROR(__xludf.DUMMYFUNCTION("""COMPUTED_VALUE"""),"MANABI")</f>
        <v>MANABI</v>
      </c>
      <c r="N1157" s="65" t="str">
        <f>IFERROR(__xludf.DUMMYFUNCTION("""COMPUTED_VALUE"""),"PEDERNALES")</f>
        <v>PEDERNALES</v>
      </c>
      <c r="O1157" s="65" t="str">
        <f>IFERROR(__xludf.DUMMYFUNCTION("""COMPUTED_VALUE"""),"RETIRA EN CS : PEDERNALES_PRINCIPAL , GARCIA MORENO S/N Y MARIA AUXILIADORA")</f>
        <v>RETIRA EN CS : PEDERNALES_PRINCIPAL , GARCIA MORENO S/N Y MARIA AUXILIADORA</v>
      </c>
      <c r="P1157" s="65" t="str">
        <f>IFERROR(__xludf.DUMMYFUNCTION("""COMPUTED_VALUE"""),"LLAVE TRINQUETE: Default Title ***")</f>
        <v>LLAVE TRINQUETE: Default Title ***</v>
      </c>
      <c r="Q1157" s="65" t="str">
        <f>IFERROR(__xludf.DUMMYFUNCTION("""COMPUTED_VALUE"""),"SERVIENTREGA")</f>
        <v>SERVIENTREGA</v>
      </c>
      <c r="R1157" s="65">
        <f>IFERROR(__xludf.DUMMYFUNCTION("""COMPUTED_VALUE"""),19.99)</f>
        <v>19.99</v>
      </c>
      <c r="S1157" s="65"/>
      <c r="T1157" s="65">
        <f>IFERROR(__xludf.DUMMYFUNCTION("""COMPUTED_VALUE"""),7.67)</f>
        <v>7.67</v>
      </c>
      <c r="U1157" s="65">
        <f>IFERROR(__xludf.DUMMYFUNCTION("""COMPUTED_VALUE"""),0.0)</f>
        <v>0</v>
      </c>
      <c r="V1157" s="65">
        <f>IFERROR(__xludf.DUMMYFUNCTION("""COMPUTED_VALUE"""),0.0)</f>
        <v>0</v>
      </c>
      <c r="W1157" s="65">
        <f>IFERROR(__xludf.DUMMYFUNCTION("""COMPUTED_VALUE"""),0.0)</f>
        <v>0</v>
      </c>
      <c r="X1157" s="65">
        <f>IFERROR(__xludf.DUMMYFUNCTION("""COMPUTED_VALUE"""),5.0)</f>
        <v>5</v>
      </c>
      <c r="Y1157" s="65">
        <f>IFERROR(__xludf.DUMMYFUNCTION("""COMPUTED_VALUE"""),5.0)</f>
        <v>5</v>
      </c>
      <c r="Z1157" s="65">
        <f>IFERROR(__xludf.DUMMYFUNCTION("""COMPUTED_VALUE"""),110064.0)</f>
        <v>110064</v>
      </c>
      <c r="AA1157" s="65" t="str">
        <f>IFERROR(__xludf.DUMMYFUNCTION("""COMPUTED_VALUE"""),"IMX-00001")</f>
        <v>IMX-00001</v>
      </c>
      <c r="AB1157" s="65"/>
      <c r="AC1157" s="65" t="str">
        <f>IFERROR(__xludf.DUMMYFUNCTION("""COMPUTED_VALUE"""),"LLAVE TRINQUETE")</f>
        <v>LLAVE TRINQUETE</v>
      </c>
      <c r="AD1157" s="65"/>
      <c r="AE1157" s="65">
        <f>IFERROR(__xludf.DUMMYFUNCTION("""COMPUTED_VALUE"""),1.0)</f>
        <v>1</v>
      </c>
      <c r="AF1157" s="65" t="str">
        <f>IFERROR(__xludf.DUMMYFUNCTION("""COMPUTED_VALUE"""),"DEVOLUCION AL REMITENTE")</f>
        <v>DEVOLUCION AL REMITENTE</v>
      </c>
      <c r="AG1157" s="65" t="str">
        <f>IFERROR(__xludf.DUMMYFUNCTION("""COMPUTED_VALUE"""),"NO")</f>
        <v>NO</v>
      </c>
      <c r="AH1157" s="65" t="str">
        <f>IFERROR(__xludf.DUMMYFUNCTION("""COMPUTED_VALUE"""),"13:44")</f>
        <v>13:44</v>
      </c>
      <c r="AI1157" s="65" t="str">
        <f>IFERROR(__xludf.DUMMYFUNCTION("""COMPUTED_VALUE"""),"25-02-2026")</f>
        <v>25-02-2026</v>
      </c>
      <c r="AJ1157" s="65"/>
      <c r="AK1157" s="65"/>
      <c r="AL1157" s="65"/>
      <c r="AM1157" s="65"/>
      <c r="AN1157" s="65" t="str">
        <f>IFERROR(__xludf.DUMMYFUNCTION("""COMPUTED_VALUE"""),"01:01")</f>
        <v>01:01</v>
      </c>
      <c r="AO1157" s="65" t="str">
        <f>IFERROR(__xludf.DUMMYFUNCTION("""COMPUTED_VALUE"""),"27-02-2026")</f>
        <v>27-02-2026</v>
      </c>
      <c r="AP1157" s="65" t="str">
        <f>IFERROR(__xludf.DUMMYFUNCTION("""COMPUTED_VALUE"""),"Certificacion Devolucion al Remitente CL QUITO")</f>
        <v>Certificacion Devolucion al Remitente CL QUITO</v>
      </c>
      <c r="AQ1157" s="65" t="str">
        <f>IFERROR(__xludf.DUMMYFUNCTION("""COMPUTED_VALUE"""),"{}")</f>
        <v>{}</v>
      </c>
      <c r="AR1157" s="65"/>
      <c r="AS1157" s="65"/>
      <c r="AT1157" s="65" t="str">
        <f>IFERROR(__xludf.DUMMYFUNCTION("""COMPUTED_VALUE"""),"SHOPIFY")</f>
        <v>SHOPIFY</v>
      </c>
      <c r="AU1157" s="65" t="str">
        <f>IFERROR(__xludf.DUMMYFUNCTION("""COMPUTED_VALUE"""),"IMPORTEX EC")</f>
        <v>IMPORTEX EC</v>
      </c>
      <c r="AV1157" s="65" t="str">
        <f>IFERROR(__xludf.DUMMYFUNCTION("""COMPUTED_VALUE"""),"6468003954732")</f>
        <v>6468003954732</v>
      </c>
      <c r="AW1157" s="65">
        <f>IFERROR(__xludf.DUMMYFUNCTION("""COMPUTED_VALUE"""),5749.0)</f>
        <v>5749</v>
      </c>
      <c r="AX1157" s="65"/>
      <c r="AY1157" s="65" t="str">
        <f>IFERROR(__xludf.DUMMYFUNCTION("""COMPUTED_VALUE"""),"03/02/2026")</f>
        <v>03/02/2026</v>
      </c>
      <c r="AZ1157" s="65"/>
      <c r="BA1157" s="65"/>
    </row>
    <row r="1158">
      <c r="A1158" s="65" t="str">
        <f>IFERROR(__xludf.DUMMYFUNCTION("""COMPUTED_VALUE"""),"27-03-2026")</f>
        <v>27-03-2026</v>
      </c>
      <c r="B1158" s="65">
        <f>IFERROR(__xludf.DUMMYFUNCTION("""COMPUTED_VALUE"""),4349853.0)</f>
        <v>4349853</v>
      </c>
      <c r="C1158" s="65" t="str">
        <f>IFERROR(__xludf.DUMMYFUNCTION("""COMPUTED_VALUE"""),"08:43")</f>
        <v>08:43</v>
      </c>
      <c r="D1158" s="65" t="str">
        <f>IFERROR(__xludf.DUMMYFUNCTION("""COMPUTED_VALUE"""),"01-02-2026")</f>
        <v>01-02-2026</v>
      </c>
      <c r="E1158" s="65" t="str">
        <f>IFERROR(__xludf.DUMMYFUNCTION("""COMPUTED_VALUE"""),"Bismar Antonio Ullaguari Piuri")</f>
        <v>Bismar Antonio Ullaguari Piuri</v>
      </c>
      <c r="F1158" s="65" t="str">
        <f>IFERROR(__xludf.DUMMYFUNCTION("""COMPUTED_VALUE"""),"980301175")</f>
        <v>980301175</v>
      </c>
      <c r="G1158" s="65" t="str">
        <f>IFERROR(__xludf.DUMMYFUNCTION("""COMPUTED_VALUE"""),"bismar1974@hotmail.com")</f>
        <v>bismar1974@hotmail.com</v>
      </c>
      <c r="H1158" s="65"/>
      <c r="I1158" s="65"/>
      <c r="J1158" s="65" t="str">
        <f>IFERROR(__xludf.DUMMYFUNCTION("""COMPUTED_VALUE"""),"D001288573")</f>
        <v>D001288573</v>
      </c>
      <c r="K1158" s="65" t="str">
        <f>IFERROR(__xludf.DUMMYFUNCTION("""COMPUTED_VALUE"""),"ENTREGADO")</f>
        <v>ENTREGADO</v>
      </c>
      <c r="L1158" s="65" t="str">
        <f>IFERROR(__xludf.DUMMYFUNCTION("""COMPUTED_VALUE"""),"CON RECAUDO")</f>
        <v>CON RECAUDO</v>
      </c>
      <c r="M1158" s="65" t="str">
        <f>IFERROR(__xludf.DUMMYFUNCTION("""COMPUTED_VALUE"""),"IMBABURA")</f>
        <v>IMBABURA</v>
      </c>
      <c r="N1158" s="65" t="str">
        <f>IFERROR(__xludf.DUMMYFUNCTION("""COMPUTED_VALUE"""),"IBARRA")</f>
        <v>IBARRA</v>
      </c>
      <c r="O1158" s="65" t="str">
        <f>IFERROR(__xludf.DUMMYFUNCTION("""COMPUTED_VALUE"""),"Rio Machinaza y rio quininde Barrio los cribos  casa azul -")</f>
        <v>Rio Machinaza y rio quininde Barrio los cribos  casa azul -</v>
      </c>
      <c r="P1158" s="65"/>
      <c r="Q1158" s="65" t="str">
        <f>IFERROR(__xludf.DUMMYFUNCTION("""COMPUTED_VALUE"""),"GINTRACOM")</f>
        <v>GINTRACOM</v>
      </c>
      <c r="R1158" s="65">
        <f>IFERROR(__xludf.DUMMYFUNCTION("""COMPUTED_VALUE"""),25.0)</f>
        <v>25</v>
      </c>
      <c r="S1158" s="65">
        <f>IFERROR(__xludf.DUMMYFUNCTION("""COMPUTED_VALUE"""),14.34)</f>
        <v>14.34</v>
      </c>
      <c r="T1158" s="65">
        <f>IFERROR(__xludf.DUMMYFUNCTION("""COMPUTED_VALUE"""),5.96)</f>
        <v>5.96</v>
      </c>
      <c r="U1158" s="65">
        <f>IFERROR(__xludf.DUMMYFUNCTION("""COMPUTED_VALUE"""),0.0)</f>
        <v>0</v>
      </c>
      <c r="V1158" s="65">
        <f>IFERROR(__xludf.DUMMYFUNCTION("""COMPUTED_VALUE"""),0.0)</f>
        <v>0</v>
      </c>
      <c r="W1158" s="65">
        <f>IFERROR(__xludf.DUMMYFUNCTION("""COMPUTED_VALUE"""),0.0)</f>
        <v>0</v>
      </c>
      <c r="X1158" s="65">
        <f>IFERROR(__xludf.DUMMYFUNCTION("""COMPUTED_VALUE"""),2.35)</f>
        <v>2.35</v>
      </c>
      <c r="Y1158" s="65">
        <f>IFERROR(__xludf.DUMMYFUNCTION("""COMPUTED_VALUE"""),4.7)</f>
        <v>4.7</v>
      </c>
      <c r="Z1158" s="65">
        <f>IFERROR(__xludf.DUMMYFUNCTION("""COMPUTED_VALUE"""),116679.0)</f>
        <v>116679</v>
      </c>
      <c r="AA1158" s="65" t="str">
        <f>IFERROR(__xludf.DUMMYFUNCTION("""COMPUTED_VALUE"""),"AMC-2738")</f>
        <v>AMC-2738</v>
      </c>
      <c r="AB1158" s="65"/>
      <c r="AC1158" s="65" t="str">
        <f>IFERROR(__xludf.DUMMYFUNCTION("""COMPUTED_VALUE"""),"ESPONJA ANTILLUVIA DE PARABRISAS")</f>
        <v>ESPONJA ANTILLUVIA DE PARABRISAS</v>
      </c>
      <c r="AD1158" s="65"/>
      <c r="AE1158" s="65">
        <f>IFERROR(__xludf.DUMMYFUNCTION("""COMPUTED_VALUE"""),2.0)</f>
        <v>2</v>
      </c>
      <c r="AF1158" s="65"/>
      <c r="AG1158" s="65"/>
      <c r="AH1158" s="65"/>
      <c r="AI1158" s="65"/>
      <c r="AJ1158" s="65"/>
      <c r="AK1158" s="65"/>
      <c r="AL1158" s="65"/>
      <c r="AM1158" s="65"/>
      <c r="AN1158" s="65"/>
      <c r="AO1158" s="65"/>
      <c r="AP1158" s="65"/>
      <c r="AQ1158" s="65"/>
      <c r="AR1158" s="65"/>
      <c r="AS1158" s="65"/>
      <c r="AT1158" s="65" t="str">
        <f>IFERROR(__xludf.DUMMYFUNCTION("""COMPUTED_VALUE"""),"SHOPIFY")</f>
        <v>SHOPIFY</v>
      </c>
      <c r="AU1158" s="65" t="str">
        <f>IFERROR(__xludf.DUMMYFUNCTION("""COMPUTED_VALUE"""),"IMPORTEX EC")</f>
        <v>IMPORTEX EC</v>
      </c>
      <c r="AV1158" s="65" t="str">
        <f>IFERROR(__xludf.DUMMYFUNCTION("""COMPUTED_VALUE"""),"6467962699820")</f>
        <v>6467962699820</v>
      </c>
      <c r="AW1158" s="65">
        <f>IFERROR(__xludf.DUMMYFUNCTION("""COMPUTED_VALUE"""),5748.0)</f>
        <v>5748</v>
      </c>
      <c r="AX1158" s="65"/>
      <c r="AY1158" s="65" t="str">
        <f>IFERROR(__xludf.DUMMYFUNCTION("""COMPUTED_VALUE"""),"02/02/2026")</f>
        <v>02/02/2026</v>
      </c>
      <c r="AZ1158" s="65"/>
      <c r="BA1158" s="65"/>
    </row>
    <row r="1159">
      <c r="A1159" s="65" t="str">
        <f>IFERROR(__xludf.DUMMYFUNCTION("""COMPUTED_VALUE"""),"27-03-2026")</f>
        <v>27-03-2026</v>
      </c>
      <c r="B1159" s="65">
        <f>IFERROR(__xludf.DUMMYFUNCTION("""COMPUTED_VALUE"""),4349603.0)</f>
        <v>4349603</v>
      </c>
      <c r="C1159" s="65" t="str">
        <f>IFERROR(__xludf.DUMMYFUNCTION("""COMPUTED_VALUE"""),"08:10")</f>
        <v>08:10</v>
      </c>
      <c r="D1159" s="65" t="str">
        <f>IFERROR(__xludf.DUMMYFUNCTION("""COMPUTED_VALUE"""),"01-02-2026")</f>
        <v>01-02-2026</v>
      </c>
      <c r="E1159" s="65" t="str">
        <f>IFERROR(__xludf.DUMMYFUNCTION("""COMPUTED_VALUE"""),"Wilson Guerrero")</f>
        <v>Wilson Guerrero</v>
      </c>
      <c r="F1159" s="65" t="str">
        <f>IFERROR(__xludf.DUMMYFUNCTION("""COMPUTED_VALUE"""),"967599083")</f>
        <v>967599083</v>
      </c>
      <c r="G1159" s="65"/>
      <c r="H1159" s="65"/>
      <c r="I1159" s="65"/>
      <c r="J1159" s="65"/>
      <c r="K1159" s="65" t="str">
        <f>IFERROR(__xludf.DUMMYFUNCTION("""COMPUTED_VALUE"""),"PENDIENTE CONFIRMACION")</f>
        <v>PENDIENTE CONFIRMACION</v>
      </c>
      <c r="L1159" s="65" t="str">
        <f>IFERROR(__xludf.DUMMYFUNCTION("""COMPUTED_VALUE"""),"CON RECAUDO")</f>
        <v>CON RECAUDO</v>
      </c>
      <c r="M1159" s="65" t="str">
        <f>IFERROR(__xludf.DUMMYFUNCTION("""COMPUTED_VALUE"""),"GUAYAS")</f>
        <v>GUAYAS</v>
      </c>
      <c r="N1159" s="65" t="str">
        <f>IFERROR(__xludf.DUMMYFUNCTION("""COMPUTED_VALUE"""),"GUAYAQUIL")</f>
        <v>GUAYAQUIL</v>
      </c>
      <c r="O1159" s="65" t="str">
        <f>IFERROR(__xludf.DUMMYFUNCTION("""COMPUTED_VALUE"""),"Las Acacias Parroquia Ximena -")</f>
        <v>Las Acacias Parroquia Ximena -</v>
      </c>
      <c r="P1159" s="65"/>
      <c r="Q1159" s="65" t="str">
        <f>IFERROR(__xludf.DUMMYFUNCTION("""COMPUTED_VALUE"""),"GINTRACOM")</f>
        <v>GINTRACOM</v>
      </c>
      <c r="R1159" s="65">
        <f>IFERROR(__xludf.DUMMYFUNCTION("""COMPUTED_VALUE"""),20.0)</f>
        <v>20</v>
      </c>
      <c r="S1159" s="65"/>
      <c r="T1159" s="65">
        <f>IFERROR(__xludf.DUMMYFUNCTION("""COMPUTED_VALUE"""),5.76)</f>
        <v>5.76</v>
      </c>
      <c r="U1159" s="65">
        <f>IFERROR(__xludf.DUMMYFUNCTION("""COMPUTED_VALUE"""),0.0)</f>
        <v>0</v>
      </c>
      <c r="V1159" s="65">
        <f>IFERROR(__xludf.DUMMYFUNCTION("""COMPUTED_VALUE"""),0.0)</f>
        <v>0</v>
      </c>
      <c r="W1159" s="65">
        <f>IFERROR(__xludf.DUMMYFUNCTION("""COMPUTED_VALUE"""),0.0)</f>
        <v>0</v>
      </c>
      <c r="X1159" s="65">
        <f>IFERROR(__xludf.DUMMYFUNCTION("""COMPUTED_VALUE"""),2.35)</f>
        <v>2.35</v>
      </c>
      <c r="Y1159" s="65">
        <f>IFERROR(__xludf.DUMMYFUNCTION("""COMPUTED_VALUE"""),2.35)</f>
        <v>2.35</v>
      </c>
      <c r="Z1159" s="65">
        <f>IFERROR(__xludf.DUMMYFUNCTION("""COMPUTED_VALUE"""),116679.0)</f>
        <v>116679</v>
      </c>
      <c r="AA1159" s="65" t="str">
        <f>IFERROR(__xludf.DUMMYFUNCTION("""COMPUTED_VALUE"""),"AMC-2738")</f>
        <v>AMC-2738</v>
      </c>
      <c r="AB1159" s="65"/>
      <c r="AC1159" s="65" t="str">
        <f>IFERROR(__xludf.DUMMYFUNCTION("""COMPUTED_VALUE"""),"ESPONJA ANTILLUVIA DE PARABRISAS")</f>
        <v>ESPONJA ANTILLUVIA DE PARABRISAS</v>
      </c>
      <c r="AD1159" s="65"/>
      <c r="AE1159" s="65">
        <f>IFERROR(__xludf.DUMMYFUNCTION("""COMPUTED_VALUE"""),1.0)</f>
        <v>1</v>
      </c>
      <c r="AF1159" s="65"/>
      <c r="AG1159" s="65"/>
      <c r="AH1159" s="65"/>
      <c r="AI1159" s="65"/>
      <c r="AJ1159" s="65"/>
      <c r="AK1159" s="65"/>
      <c r="AL1159" s="65"/>
      <c r="AM1159" s="65"/>
      <c r="AN1159" s="65"/>
      <c r="AO1159" s="65"/>
      <c r="AP1159" s="65"/>
      <c r="AQ1159" s="65"/>
      <c r="AR1159" s="65"/>
      <c r="AS1159" s="65"/>
      <c r="AT1159" s="65" t="str">
        <f>IFERROR(__xludf.DUMMYFUNCTION("""COMPUTED_VALUE"""),"SHOPIFY")</f>
        <v>SHOPIFY</v>
      </c>
      <c r="AU1159" s="65" t="str">
        <f>IFERROR(__xludf.DUMMYFUNCTION("""COMPUTED_VALUE"""),"IMPORTEX EC")</f>
        <v>IMPORTEX EC</v>
      </c>
      <c r="AV1159" s="65" t="str">
        <f>IFERROR(__xludf.DUMMYFUNCTION("""COMPUTED_VALUE"""),"6467919872044")</f>
        <v>6467919872044</v>
      </c>
      <c r="AW1159" s="65">
        <f>IFERROR(__xludf.DUMMYFUNCTION("""COMPUTED_VALUE"""),5747.0)</f>
        <v>5747</v>
      </c>
      <c r="AX1159" s="65"/>
      <c r="AY1159" s="65"/>
      <c r="AZ1159" s="65"/>
      <c r="BA1159" s="65"/>
    </row>
    <row r="1160">
      <c r="A1160" s="65" t="str">
        <f>IFERROR(__xludf.DUMMYFUNCTION("""COMPUTED_VALUE"""),"27-03-2026")</f>
        <v>27-03-2026</v>
      </c>
      <c r="B1160" s="65">
        <f>IFERROR(__xludf.DUMMYFUNCTION("""COMPUTED_VALUE"""),4349604.0)</f>
        <v>4349604</v>
      </c>
      <c r="C1160" s="65" t="str">
        <f>IFERROR(__xludf.DUMMYFUNCTION("""COMPUTED_VALUE"""),"08:10")</f>
        <v>08:10</v>
      </c>
      <c r="D1160" s="65" t="str">
        <f>IFERROR(__xludf.DUMMYFUNCTION("""COMPUTED_VALUE"""),"01-02-2026")</f>
        <v>01-02-2026</v>
      </c>
      <c r="E1160" s="65" t="str">
        <f>IFERROR(__xludf.DUMMYFUNCTION("""COMPUTED_VALUE"""),"Juan Perez")</f>
        <v>Juan Perez</v>
      </c>
      <c r="F1160" s="65" t="str">
        <f>IFERROR(__xludf.DUMMYFUNCTION("""COMPUTED_VALUE"""),"984684624")</f>
        <v>984684624</v>
      </c>
      <c r="G1160" s="65" t="str">
        <f>IFERROR(__xludf.DUMMYFUNCTION("""COMPUTED_VALUE"""),"gabrielperez81@gmail.com")</f>
        <v>gabrielperez81@gmail.com</v>
      </c>
      <c r="H1160" s="65"/>
      <c r="I1160" s="65"/>
      <c r="J1160" s="65" t="str">
        <f>IFERROR(__xludf.DUMMYFUNCTION("""COMPUTED_VALUE"""),"D001288574")</f>
        <v>D001288574</v>
      </c>
      <c r="K1160" s="65" t="str">
        <f>IFERROR(__xludf.DUMMYFUNCTION("""COMPUTED_VALUE"""),"ENTREGADO")</f>
        <v>ENTREGADO</v>
      </c>
      <c r="L1160" s="65" t="str">
        <f>IFERROR(__xludf.DUMMYFUNCTION("""COMPUTED_VALUE"""),"CON RECAUDO")</f>
        <v>CON RECAUDO</v>
      </c>
      <c r="M1160" s="65" t="str">
        <f>IFERROR(__xludf.DUMMYFUNCTION("""COMPUTED_VALUE"""),"AZUAY")</f>
        <v>AZUAY</v>
      </c>
      <c r="N1160" s="65" t="str">
        <f>IFERROR(__xludf.DUMMYFUNCTION("""COMPUTED_VALUE"""),"CUENCA")</f>
        <v>CUENCA</v>
      </c>
      <c r="O1160" s="65" t="str">
        <f>IFERROR(__xludf.DUMMYFUNCTION("""COMPUTED_VALUE"""),"Ciudad de Machala Colinas del paraiso - Porton negro, cuando estén por llegar 1/2 hora antes. Me avisen a este número para coordinar")</f>
        <v>Ciudad de Machala Colinas del paraiso - Porton negro, cuando estén por llegar 1/2 hora antes. Me avisen a este número para coordinar</v>
      </c>
      <c r="P1160" s="65"/>
      <c r="Q1160" s="65" t="str">
        <f>IFERROR(__xludf.DUMMYFUNCTION("""COMPUTED_VALUE"""),"GINTRACOM")</f>
        <v>GINTRACOM</v>
      </c>
      <c r="R1160" s="65">
        <f>IFERROR(__xludf.DUMMYFUNCTION("""COMPUTED_VALUE"""),25.0)</f>
        <v>25</v>
      </c>
      <c r="S1160" s="65">
        <f>IFERROR(__xludf.DUMMYFUNCTION("""COMPUTED_VALUE"""),14.34)</f>
        <v>14.34</v>
      </c>
      <c r="T1160" s="65">
        <f>IFERROR(__xludf.DUMMYFUNCTION("""COMPUTED_VALUE"""),5.96)</f>
        <v>5.96</v>
      </c>
      <c r="U1160" s="65">
        <f>IFERROR(__xludf.DUMMYFUNCTION("""COMPUTED_VALUE"""),0.0)</f>
        <v>0</v>
      </c>
      <c r="V1160" s="65">
        <f>IFERROR(__xludf.DUMMYFUNCTION("""COMPUTED_VALUE"""),0.0)</f>
        <v>0</v>
      </c>
      <c r="W1160" s="65">
        <f>IFERROR(__xludf.DUMMYFUNCTION("""COMPUTED_VALUE"""),0.0)</f>
        <v>0</v>
      </c>
      <c r="X1160" s="65">
        <f>IFERROR(__xludf.DUMMYFUNCTION("""COMPUTED_VALUE"""),2.35)</f>
        <v>2.35</v>
      </c>
      <c r="Y1160" s="65">
        <f>IFERROR(__xludf.DUMMYFUNCTION("""COMPUTED_VALUE"""),4.7)</f>
        <v>4.7</v>
      </c>
      <c r="Z1160" s="65">
        <f>IFERROR(__xludf.DUMMYFUNCTION("""COMPUTED_VALUE"""),116679.0)</f>
        <v>116679</v>
      </c>
      <c r="AA1160" s="65" t="str">
        <f>IFERROR(__xludf.DUMMYFUNCTION("""COMPUTED_VALUE"""),"AMC-2738")</f>
        <v>AMC-2738</v>
      </c>
      <c r="AB1160" s="65"/>
      <c r="AC1160" s="65" t="str">
        <f>IFERROR(__xludf.DUMMYFUNCTION("""COMPUTED_VALUE"""),"ESPONJA ANTILLUVIA DE PARABRISAS")</f>
        <v>ESPONJA ANTILLUVIA DE PARABRISAS</v>
      </c>
      <c r="AD1160" s="65"/>
      <c r="AE1160" s="65">
        <f>IFERROR(__xludf.DUMMYFUNCTION("""COMPUTED_VALUE"""),2.0)</f>
        <v>2</v>
      </c>
      <c r="AF1160" s="65"/>
      <c r="AG1160" s="65"/>
      <c r="AH1160" s="65"/>
      <c r="AI1160" s="65"/>
      <c r="AJ1160" s="65"/>
      <c r="AK1160" s="65"/>
      <c r="AL1160" s="65"/>
      <c r="AM1160" s="65"/>
      <c r="AN1160" s="65" t="str">
        <f>IFERROR(__xludf.DUMMYFUNCTION("""COMPUTED_VALUE"""),"13:05")</f>
        <v>13:05</v>
      </c>
      <c r="AO1160" s="65" t="str">
        <f>IFERROR(__xludf.DUMMYFUNCTION("""COMPUTED_VALUE"""),"06-02-2026")</f>
        <v>06-02-2026</v>
      </c>
      <c r="AP1160" s="65" t="str">
        <f>IFERROR(__xludf.DUMMYFUNCTION("""COMPUTED_VALUE"""),"ENTREGADA GINTRACOM")</f>
        <v>ENTREGADA GINTRACOM</v>
      </c>
      <c r="AQ1160" s="65" t="str">
        <f>IFERROR(__xludf.DUMMYFUNCTION("""COMPUTED_VALUE"""),"ENTREGADA GINTRACOM")</f>
        <v>ENTREGADA GINTRACOM</v>
      </c>
      <c r="AR1160" s="65"/>
      <c r="AS1160" s="65"/>
      <c r="AT1160" s="65" t="str">
        <f>IFERROR(__xludf.DUMMYFUNCTION("""COMPUTED_VALUE"""),"SHOPIFY")</f>
        <v>SHOPIFY</v>
      </c>
      <c r="AU1160" s="65" t="str">
        <f>IFERROR(__xludf.DUMMYFUNCTION("""COMPUTED_VALUE"""),"IMPORTEX EC")</f>
        <v>IMPORTEX EC</v>
      </c>
      <c r="AV1160" s="65" t="str">
        <f>IFERROR(__xludf.DUMMYFUNCTION("""COMPUTED_VALUE"""),"6467919839276")</f>
        <v>6467919839276</v>
      </c>
      <c r="AW1160" s="65">
        <f>IFERROR(__xludf.DUMMYFUNCTION("""COMPUTED_VALUE"""),5746.0)</f>
        <v>5746</v>
      </c>
      <c r="AX1160" s="65"/>
      <c r="AY1160" s="65" t="str">
        <f>IFERROR(__xludf.DUMMYFUNCTION("""COMPUTED_VALUE"""),"02/02/2026")</f>
        <v>02/02/2026</v>
      </c>
      <c r="AZ1160" s="65"/>
      <c r="BA1160" s="65"/>
    </row>
    <row r="1161">
      <c r="A1161" s="65" t="str">
        <f>IFERROR(__xludf.DUMMYFUNCTION("""COMPUTED_VALUE"""),"27-03-2026")</f>
        <v>27-03-2026</v>
      </c>
      <c r="B1161" s="65">
        <f>IFERROR(__xludf.DUMMYFUNCTION("""COMPUTED_VALUE"""),4349540.0)</f>
        <v>4349540</v>
      </c>
      <c r="C1161" s="65" t="str">
        <f>IFERROR(__xludf.DUMMYFUNCTION("""COMPUTED_VALUE"""),"08:05")</f>
        <v>08:05</v>
      </c>
      <c r="D1161" s="65" t="str">
        <f>IFERROR(__xludf.DUMMYFUNCTION("""COMPUTED_VALUE"""),"01-02-2026")</f>
        <v>01-02-2026</v>
      </c>
      <c r="E1161" s="65" t="str">
        <f>IFERROR(__xludf.DUMMYFUNCTION("""COMPUTED_VALUE"""),"Fabian Molina Molina")</f>
        <v>Fabian Molina Molina</v>
      </c>
      <c r="F1161" s="65" t="str">
        <f>IFERROR(__xludf.DUMMYFUNCTION("""COMPUTED_VALUE"""),"983076106")</f>
        <v>983076106</v>
      </c>
      <c r="G1161" s="65" t="str">
        <f>IFERROR(__xludf.DUMMYFUNCTION("""COMPUTED_VALUE"""),"enriquecanizares357@gmail.com")</f>
        <v>enriquecanizares357@gmail.com</v>
      </c>
      <c r="H1161" s="65"/>
      <c r="I1161" s="65"/>
      <c r="J1161" s="65"/>
      <c r="K1161" s="65" t="str">
        <f>IFERROR(__xludf.DUMMYFUNCTION("""COMPUTED_VALUE"""),"PENDIENTE CONFIRMACION")</f>
        <v>PENDIENTE CONFIRMACION</v>
      </c>
      <c r="L1161" s="65" t="str">
        <f>IFERROR(__xludf.DUMMYFUNCTION("""COMPUTED_VALUE"""),"CON RECAUDO")</f>
        <v>CON RECAUDO</v>
      </c>
      <c r="M1161" s="65" t="str">
        <f>IFERROR(__xludf.DUMMYFUNCTION("""COMPUTED_VALUE"""),"MANABI")</f>
        <v>MANABI</v>
      </c>
      <c r="N1161" s="65" t="str">
        <f>IFERROR(__xludf.DUMMYFUNCTION("""COMPUTED_VALUE"""),"MANTA")</f>
        <v>MANTA</v>
      </c>
      <c r="O1161" s="65" t="str">
        <f>IFERROR(__xludf.DUMMYFUNCTION("""COMPUTED_VALUE"""),"Calle oliva miranda barrio san Via al palmar alado de gasolin -")</f>
        <v>Calle oliva miranda barrio san Via al palmar alado de gasolin -</v>
      </c>
      <c r="P1161" s="65"/>
      <c r="Q1161" s="65" t="str">
        <f>IFERROR(__xludf.DUMMYFUNCTION("""COMPUTED_VALUE"""),"GINTRACOM")</f>
        <v>GINTRACOM</v>
      </c>
      <c r="R1161" s="65">
        <f>IFERROR(__xludf.DUMMYFUNCTION("""COMPUTED_VALUE"""),25.0)</f>
        <v>25</v>
      </c>
      <c r="S1161" s="65"/>
      <c r="T1161" s="65">
        <f>IFERROR(__xludf.DUMMYFUNCTION("""COMPUTED_VALUE"""),5.96)</f>
        <v>5.96</v>
      </c>
      <c r="U1161" s="65">
        <f>IFERROR(__xludf.DUMMYFUNCTION("""COMPUTED_VALUE"""),0.0)</f>
        <v>0</v>
      </c>
      <c r="V1161" s="65">
        <f>IFERROR(__xludf.DUMMYFUNCTION("""COMPUTED_VALUE"""),0.0)</f>
        <v>0</v>
      </c>
      <c r="W1161" s="65">
        <f>IFERROR(__xludf.DUMMYFUNCTION("""COMPUTED_VALUE"""),0.0)</f>
        <v>0</v>
      </c>
      <c r="X1161" s="65">
        <f>IFERROR(__xludf.DUMMYFUNCTION("""COMPUTED_VALUE"""),2.35)</f>
        <v>2.35</v>
      </c>
      <c r="Y1161" s="65">
        <f>IFERROR(__xludf.DUMMYFUNCTION("""COMPUTED_VALUE"""),4.7)</f>
        <v>4.7</v>
      </c>
      <c r="Z1161" s="65">
        <f>IFERROR(__xludf.DUMMYFUNCTION("""COMPUTED_VALUE"""),116679.0)</f>
        <v>116679</v>
      </c>
      <c r="AA1161" s="65" t="str">
        <f>IFERROR(__xludf.DUMMYFUNCTION("""COMPUTED_VALUE"""),"AMC-2738")</f>
        <v>AMC-2738</v>
      </c>
      <c r="AB1161" s="65"/>
      <c r="AC1161" s="65" t="str">
        <f>IFERROR(__xludf.DUMMYFUNCTION("""COMPUTED_VALUE"""),"ESPONJA ANTILLUVIA DE PARABRISAS")</f>
        <v>ESPONJA ANTILLUVIA DE PARABRISAS</v>
      </c>
      <c r="AD1161" s="65"/>
      <c r="AE1161" s="65">
        <f>IFERROR(__xludf.DUMMYFUNCTION("""COMPUTED_VALUE"""),2.0)</f>
        <v>2</v>
      </c>
      <c r="AF1161" s="65"/>
      <c r="AG1161" s="65"/>
      <c r="AH1161" s="65"/>
      <c r="AI1161" s="65"/>
      <c r="AJ1161" s="65"/>
      <c r="AK1161" s="65"/>
      <c r="AL1161" s="65"/>
      <c r="AM1161" s="65"/>
      <c r="AN1161" s="65"/>
      <c r="AO1161" s="65"/>
      <c r="AP1161" s="65"/>
      <c r="AQ1161" s="65"/>
      <c r="AR1161" s="65"/>
      <c r="AS1161" s="65"/>
      <c r="AT1161" s="65" t="str">
        <f>IFERROR(__xludf.DUMMYFUNCTION("""COMPUTED_VALUE"""),"SHOPIFY")</f>
        <v>SHOPIFY</v>
      </c>
      <c r="AU1161" s="65" t="str">
        <f>IFERROR(__xludf.DUMMYFUNCTION("""COMPUTED_VALUE"""),"IMPORTEX EC")</f>
        <v>IMPORTEX EC</v>
      </c>
      <c r="AV1161" s="65" t="str">
        <f>IFERROR(__xludf.DUMMYFUNCTION("""COMPUTED_VALUE"""),"6467912138796")</f>
        <v>6467912138796</v>
      </c>
      <c r="AW1161" s="65">
        <f>IFERROR(__xludf.DUMMYFUNCTION("""COMPUTED_VALUE"""),5745.0)</f>
        <v>5745</v>
      </c>
      <c r="AX1161" s="65"/>
      <c r="AY1161" s="65"/>
      <c r="AZ1161" s="65"/>
      <c r="BA1161" s="65"/>
    </row>
    <row r="1162">
      <c r="A1162" s="65" t="str">
        <f>IFERROR(__xludf.DUMMYFUNCTION("""COMPUTED_VALUE"""),"27-03-2026")</f>
        <v>27-03-2026</v>
      </c>
      <c r="B1162" s="65">
        <f>IFERROR(__xludf.DUMMYFUNCTION("""COMPUTED_VALUE"""),4349452.0)</f>
        <v>4349452</v>
      </c>
      <c r="C1162" s="65" t="str">
        <f>IFERROR(__xludf.DUMMYFUNCTION("""COMPUTED_VALUE"""),"07:53")</f>
        <v>07:53</v>
      </c>
      <c r="D1162" s="65" t="str">
        <f>IFERROR(__xludf.DUMMYFUNCTION("""COMPUTED_VALUE"""),"01-02-2026")</f>
        <v>01-02-2026</v>
      </c>
      <c r="E1162" s="65" t="str">
        <f>IFERROR(__xludf.DUMMYFUNCTION("""COMPUTED_VALUE"""),"Fabricio Alcivar")</f>
        <v>Fabricio Alcivar</v>
      </c>
      <c r="F1162" s="65" t="str">
        <f>IFERROR(__xludf.DUMMYFUNCTION("""COMPUTED_VALUE"""),"994777365")</f>
        <v>994777365</v>
      </c>
      <c r="G1162" s="65" t="str">
        <f>IFERROR(__xludf.DUMMYFUNCTION("""COMPUTED_VALUE"""),"alcivarfabricio25@gmail.com")</f>
        <v>alcivarfabricio25@gmail.com</v>
      </c>
      <c r="H1162" s="65"/>
      <c r="I1162" s="65"/>
      <c r="J1162" s="65" t="str">
        <f>IFERROR(__xludf.DUMMYFUNCTION("""COMPUTED_VALUE"""),"D001290773")</f>
        <v>D001290773</v>
      </c>
      <c r="K1162" s="65" t="str">
        <f>IFERROR(__xludf.DUMMYFUNCTION("""COMPUTED_VALUE"""),"ENTREGADO")</f>
        <v>ENTREGADO</v>
      </c>
      <c r="L1162" s="65" t="str">
        <f>IFERROR(__xludf.DUMMYFUNCTION("""COMPUTED_VALUE"""),"CON RECAUDO")</f>
        <v>CON RECAUDO</v>
      </c>
      <c r="M1162" s="65" t="str">
        <f>IFERROR(__xludf.DUMMYFUNCTION("""COMPUTED_VALUE"""),"MANABI")</f>
        <v>MANABI</v>
      </c>
      <c r="N1162" s="65" t="str">
        <f>IFERROR(__xludf.DUMMYFUNCTION("""COMPUTED_VALUE"""),"MONTECRISTI")</f>
        <v>MONTECRISTI</v>
      </c>
      <c r="O1162" s="65" t="str">
        <f>IFERROR(__xludf.DUMMYFUNCTION("""COMPUTED_VALUE"""),"Km8 Montecristi _Manta, Ecuapetsa A los lados de Propemar -")</f>
        <v>Km8 Montecristi _Manta, Ecuapetsa A los lados de Propemar -</v>
      </c>
      <c r="P1162" s="65"/>
      <c r="Q1162" s="65" t="str">
        <f>IFERROR(__xludf.DUMMYFUNCTION("""COMPUTED_VALUE"""),"GINTRACOM")</f>
        <v>GINTRACOM</v>
      </c>
      <c r="R1162" s="65">
        <f>IFERROR(__xludf.DUMMYFUNCTION("""COMPUTED_VALUE"""),32.0)</f>
        <v>32</v>
      </c>
      <c r="S1162" s="65">
        <f>IFERROR(__xludf.DUMMYFUNCTION("""COMPUTED_VALUE"""),14.79)</f>
        <v>14.79</v>
      </c>
      <c r="T1162" s="65">
        <f>IFERROR(__xludf.DUMMYFUNCTION("""COMPUTED_VALUE"""),6.81)</f>
        <v>6.81</v>
      </c>
      <c r="U1162" s="65">
        <f>IFERROR(__xludf.DUMMYFUNCTION("""COMPUTED_VALUE"""),0.0)</f>
        <v>0</v>
      </c>
      <c r="V1162" s="65">
        <f>IFERROR(__xludf.DUMMYFUNCTION("""COMPUTED_VALUE"""),0.0)</f>
        <v>0</v>
      </c>
      <c r="W1162" s="65">
        <f>IFERROR(__xludf.DUMMYFUNCTION("""COMPUTED_VALUE"""),0.0)</f>
        <v>0</v>
      </c>
      <c r="X1162" s="65">
        <f>IFERROR(__xludf.DUMMYFUNCTION("""COMPUTED_VALUE"""),2.6)</f>
        <v>2.6</v>
      </c>
      <c r="Y1162" s="65">
        <f>IFERROR(__xludf.DUMMYFUNCTION("""COMPUTED_VALUE"""),10.4)</f>
        <v>10.4</v>
      </c>
      <c r="Z1162" s="65">
        <f>IFERROR(__xludf.DUMMYFUNCTION("""COMPUTED_VALUE"""),121983.0)</f>
        <v>121983</v>
      </c>
      <c r="AA1162" s="65" t="str">
        <f>IFERROR(__xludf.DUMMYFUNCTION("""COMPUTED_VALUE"""),"PROV-CHLLCF")</f>
        <v>PROV-CHLLCF</v>
      </c>
      <c r="AB1162" s="65"/>
      <c r="AC1162" s="65" t="str">
        <f>IFERROR(__xludf.DUMMYFUNCTION("""COMPUTED_VALUE"""),"CUCHILLO PARA CHEF")</f>
        <v>CUCHILLO PARA CHEF</v>
      </c>
      <c r="AD1162" s="65"/>
      <c r="AE1162" s="65">
        <f>IFERROR(__xludf.DUMMYFUNCTION("""COMPUTED_VALUE"""),4.0)</f>
        <v>4</v>
      </c>
      <c r="AF1162" s="65"/>
      <c r="AG1162" s="65"/>
      <c r="AH1162" s="65"/>
      <c r="AI1162" s="65"/>
      <c r="AJ1162" s="65"/>
      <c r="AK1162" s="65"/>
      <c r="AL1162" s="65"/>
      <c r="AM1162" s="65"/>
      <c r="AN1162" s="65"/>
      <c r="AO1162" s="65"/>
      <c r="AP1162" s="65"/>
      <c r="AQ1162" s="65"/>
      <c r="AR1162" s="65"/>
      <c r="AS1162" s="65"/>
      <c r="AT1162" s="65" t="str">
        <f>IFERROR(__xludf.DUMMYFUNCTION("""COMPUTED_VALUE"""),"SHOPIFY")</f>
        <v>SHOPIFY</v>
      </c>
      <c r="AU1162" s="65" t="str">
        <f>IFERROR(__xludf.DUMMYFUNCTION("""COMPUTED_VALUE"""),"IMPORTEX EC")</f>
        <v>IMPORTEX EC</v>
      </c>
      <c r="AV1162" s="65" t="str">
        <f>IFERROR(__xludf.DUMMYFUNCTION("""COMPUTED_VALUE"""),"6467900538924")</f>
        <v>6467900538924</v>
      </c>
      <c r="AW1162" s="65">
        <f>IFERROR(__xludf.DUMMYFUNCTION("""COMPUTED_VALUE"""),5743.0)</f>
        <v>5743</v>
      </c>
      <c r="AX1162" s="65"/>
      <c r="AY1162" s="65" t="str">
        <f>IFERROR(__xludf.DUMMYFUNCTION("""COMPUTED_VALUE"""),"03/02/2026")</f>
        <v>03/02/2026</v>
      </c>
      <c r="AZ1162" s="65"/>
      <c r="BA1162" s="65"/>
    </row>
    <row r="1163">
      <c r="A1163" s="65" t="str">
        <f>IFERROR(__xludf.DUMMYFUNCTION("""COMPUTED_VALUE"""),"27-03-2026")</f>
        <v>27-03-2026</v>
      </c>
      <c r="B1163" s="65">
        <f>IFERROR(__xludf.DUMMYFUNCTION("""COMPUTED_VALUE"""),4349348.0)</f>
        <v>4349348</v>
      </c>
      <c r="C1163" s="65" t="str">
        <f>IFERROR(__xludf.DUMMYFUNCTION("""COMPUTED_VALUE"""),"07:36")</f>
        <v>07:36</v>
      </c>
      <c r="D1163" s="65" t="str">
        <f>IFERROR(__xludf.DUMMYFUNCTION("""COMPUTED_VALUE"""),"01-02-2026")</f>
        <v>01-02-2026</v>
      </c>
      <c r="E1163" s="65" t="str">
        <f>IFERROR(__xludf.DUMMYFUNCTION("""COMPUTED_VALUE"""),"Akex Geovany Salinas Peñaloza")</f>
        <v>Akex Geovany Salinas Peñaloza</v>
      </c>
      <c r="F1163" s="65" t="str">
        <f>IFERROR(__xludf.DUMMYFUNCTION("""COMPUTED_VALUE"""),"994562438")</f>
        <v>994562438</v>
      </c>
      <c r="G1163" s="65" t="str">
        <f>IFERROR(__xludf.DUMMYFUNCTION("""COMPUTED_VALUE"""),"salinas_abogados@yahoo.es")</f>
        <v>salinas_abogados@yahoo.es</v>
      </c>
      <c r="H1163" s="65"/>
      <c r="I1163" s="65"/>
      <c r="J1163" s="65" t="str">
        <f>IFERROR(__xludf.DUMMYFUNCTION("""COMPUTED_VALUE"""),"D001288575")</f>
        <v>D001288575</v>
      </c>
      <c r="K1163" s="65" t="str">
        <f>IFERROR(__xludf.DUMMYFUNCTION("""COMPUTED_VALUE"""),"ENTREGADO")</f>
        <v>ENTREGADO</v>
      </c>
      <c r="L1163" s="65" t="str">
        <f>IFERROR(__xludf.DUMMYFUNCTION("""COMPUTED_VALUE"""),"CON RECAUDO")</f>
        <v>CON RECAUDO</v>
      </c>
      <c r="M1163" s="65" t="str">
        <f>IFERROR(__xludf.DUMMYFUNCTION("""COMPUTED_VALUE"""),"LOS RIOS")</f>
        <v>LOS RIOS</v>
      </c>
      <c r="N1163" s="65" t="str">
        <f>IFERROR(__xludf.DUMMYFUNCTION("""COMPUTED_VALUE"""),"VENTANAS")</f>
        <v>VENTANAS</v>
      </c>
      <c r="O1163" s="65" t="str">
        <f>IFERROR(__xludf.DUMMYFUNCTION("""COMPUTED_VALUE"""),"calle 9 de octubre y 10 de agosto, frente a la Coop. 13 de Abril El lugar a entregar es en la oficina de la Notaría 3 del cantón Ventanas,")</f>
        <v>calle 9 de octubre y 10 de agosto, frente a la Coop. 13 de Abril El lugar a entregar es en la oficina de la Notaría 3 del cantón Ventanas,</v>
      </c>
      <c r="P1163" s="65"/>
      <c r="Q1163" s="65" t="str">
        <f>IFERROR(__xludf.DUMMYFUNCTION("""COMPUTED_VALUE"""),"GINTRACOM")</f>
        <v>GINTRACOM</v>
      </c>
      <c r="R1163" s="65">
        <f>IFERROR(__xludf.DUMMYFUNCTION("""COMPUTED_VALUE"""),20.0)</f>
        <v>20</v>
      </c>
      <c r="S1163" s="65">
        <f>IFERROR(__xludf.DUMMYFUNCTION("""COMPUTED_VALUE"""),11.89)</f>
        <v>11.89</v>
      </c>
      <c r="T1163" s="65">
        <f>IFERROR(__xludf.DUMMYFUNCTION("""COMPUTED_VALUE"""),5.76)</f>
        <v>5.76</v>
      </c>
      <c r="U1163" s="65">
        <f>IFERROR(__xludf.DUMMYFUNCTION("""COMPUTED_VALUE"""),0.0)</f>
        <v>0</v>
      </c>
      <c r="V1163" s="65">
        <f>IFERROR(__xludf.DUMMYFUNCTION("""COMPUTED_VALUE"""),0.0)</f>
        <v>0</v>
      </c>
      <c r="W1163" s="65">
        <f>IFERROR(__xludf.DUMMYFUNCTION("""COMPUTED_VALUE"""),0.0)</f>
        <v>0</v>
      </c>
      <c r="X1163" s="65">
        <f>IFERROR(__xludf.DUMMYFUNCTION("""COMPUTED_VALUE"""),2.35)</f>
        <v>2.35</v>
      </c>
      <c r="Y1163" s="65">
        <f>IFERROR(__xludf.DUMMYFUNCTION("""COMPUTED_VALUE"""),2.35)</f>
        <v>2.35</v>
      </c>
      <c r="Z1163" s="65">
        <f>IFERROR(__xludf.DUMMYFUNCTION("""COMPUTED_VALUE"""),116679.0)</f>
        <v>116679</v>
      </c>
      <c r="AA1163" s="65" t="str">
        <f>IFERROR(__xludf.DUMMYFUNCTION("""COMPUTED_VALUE"""),"AMC-2738")</f>
        <v>AMC-2738</v>
      </c>
      <c r="AB1163" s="65"/>
      <c r="AC1163" s="65" t="str">
        <f>IFERROR(__xludf.DUMMYFUNCTION("""COMPUTED_VALUE"""),"ESPONJA ANTILLUVIA DE PARABRISAS")</f>
        <v>ESPONJA ANTILLUVIA DE PARABRISAS</v>
      </c>
      <c r="AD1163" s="65"/>
      <c r="AE1163" s="65">
        <f>IFERROR(__xludf.DUMMYFUNCTION("""COMPUTED_VALUE"""),1.0)</f>
        <v>1</v>
      </c>
      <c r="AF1163" s="65"/>
      <c r="AG1163" s="65"/>
      <c r="AH1163" s="65"/>
      <c r="AI1163" s="65"/>
      <c r="AJ1163" s="65"/>
      <c r="AK1163" s="65"/>
      <c r="AL1163" s="65"/>
      <c r="AM1163" s="65"/>
      <c r="AN1163" s="65" t="str">
        <f>IFERROR(__xludf.DUMMYFUNCTION("""COMPUTED_VALUE"""),"01:30")</f>
        <v>01:30</v>
      </c>
      <c r="AO1163" s="65" t="str">
        <f>IFERROR(__xludf.DUMMYFUNCTION("""COMPUTED_VALUE"""),"07-02-2026")</f>
        <v>07-02-2026</v>
      </c>
      <c r="AP1163" s="65" t="str">
        <f>IFERROR(__xludf.DUMMYFUNCTION("""COMPUTED_VALUE"""),"ENTREGADA GINTRACOM")</f>
        <v>ENTREGADA GINTRACOM</v>
      </c>
      <c r="AQ1163" s="65" t="str">
        <f>IFERROR(__xludf.DUMMYFUNCTION("""COMPUTED_VALUE"""),"ENTREGADA GINTRACOM")</f>
        <v>ENTREGADA GINTRACOM</v>
      </c>
      <c r="AR1163" s="65"/>
      <c r="AS1163" s="65"/>
      <c r="AT1163" s="65" t="str">
        <f>IFERROR(__xludf.DUMMYFUNCTION("""COMPUTED_VALUE"""),"SHOPIFY")</f>
        <v>SHOPIFY</v>
      </c>
      <c r="AU1163" s="65" t="str">
        <f>IFERROR(__xludf.DUMMYFUNCTION("""COMPUTED_VALUE"""),"IMPORTEX EC")</f>
        <v>IMPORTEX EC</v>
      </c>
      <c r="AV1163" s="65" t="str">
        <f>IFERROR(__xludf.DUMMYFUNCTION("""COMPUTED_VALUE"""),"6467887595564")</f>
        <v>6467887595564</v>
      </c>
      <c r="AW1163" s="65">
        <f>IFERROR(__xludf.DUMMYFUNCTION("""COMPUTED_VALUE"""),5742.0)</f>
        <v>5742</v>
      </c>
      <c r="AX1163" s="65"/>
      <c r="AY1163" s="65" t="str">
        <f>IFERROR(__xludf.DUMMYFUNCTION("""COMPUTED_VALUE"""),"02/02/2026")</f>
        <v>02/02/2026</v>
      </c>
      <c r="AZ1163" s="65"/>
      <c r="BA1163" s="65"/>
    </row>
    <row r="1164">
      <c r="A1164" s="65" t="str">
        <f>IFERROR(__xludf.DUMMYFUNCTION("""COMPUTED_VALUE"""),"27-03-2026")</f>
        <v>27-03-2026</v>
      </c>
      <c r="B1164" s="65">
        <f>IFERROR(__xludf.DUMMYFUNCTION("""COMPUTED_VALUE"""),4349336.0)</f>
        <v>4349336</v>
      </c>
      <c r="C1164" s="65" t="str">
        <f>IFERROR(__xludf.DUMMYFUNCTION("""COMPUTED_VALUE"""),"07:35")</f>
        <v>07:35</v>
      </c>
      <c r="D1164" s="65" t="str">
        <f>IFERROR(__xludf.DUMMYFUNCTION("""COMPUTED_VALUE"""),"01-02-2026")</f>
        <v>01-02-2026</v>
      </c>
      <c r="E1164" s="65" t="str">
        <f>IFERROR(__xludf.DUMMYFUNCTION("""COMPUTED_VALUE"""),"Luis colina")</f>
        <v>Luis colina</v>
      </c>
      <c r="F1164" s="65" t="str">
        <f>IFERROR(__xludf.DUMMYFUNCTION("""COMPUTED_VALUE"""),"990400759")</f>
        <v>990400759</v>
      </c>
      <c r="G1164" s="65" t="str">
        <f>IFERROR(__xludf.DUMMYFUNCTION("""COMPUTED_VALUE"""),"luiscolina1961@hotmail.com")</f>
        <v>luiscolina1961@hotmail.com</v>
      </c>
      <c r="H1164" s="65"/>
      <c r="I1164" s="65"/>
      <c r="J1164" s="65" t="str">
        <f>IFERROR(__xludf.DUMMYFUNCTION("""COMPUTED_VALUE"""),"186994372")</f>
        <v>186994372</v>
      </c>
      <c r="K1164" s="65" t="str">
        <f>IFERROR(__xludf.DUMMYFUNCTION("""COMPUTED_VALUE"""),"ENTREGADO")</f>
        <v>ENTREGADO</v>
      </c>
      <c r="L1164" s="65" t="str">
        <f>IFERROR(__xludf.DUMMYFUNCTION("""COMPUTED_VALUE"""),"CON RECAUDO")</f>
        <v>CON RECAUDO</v>
      </c>
      <c r="M1164" s="65" t="str">
        <f>IFERROR(__xludf.DUMMYFUNCTION("""COMPUTED_VALUE"""),"LOS RIOS")</f>
        <v>LOS RIOS</v>
      </c>
      <c r="N1164" s="65" t="str">
        <f>IFERROR(__xludf.DUMMYFUNCTION("""COMPUTED_VALUE"""),"MATA DE CACAO")</f>
        <v>MATA DE CACAO</v>
      </c>
      <c r="O1164" s="65" t="str">
        <f>IFERROR(__xludf.DUMMYFUNCTION("""COMPUTED_VALUE"""),"San RETIRA EN CS : SAN JOSE DEL TAMBO_PRINCIPAL  - CALLE ARTURO MONTERO Y RUPERTO BENAVIDES JUNTO AL COMERCIAL D RICHARD")</f>
        <v>San RETIRA EN CS : SAN JOSE DEL TAMBO_PRINCIPAL  - CALLE ARTURO MONTERO Y RUPERTO BENAVIDES JUNTO AL COMERCIAL D RICHARD</v>
      </c>
      <c r="P1164" s="65"/>
      <c r="Q1164" s="65" t="str">
        <f>IFERROR(__xludf.DUMMYFUNCTION("""COMPUTED_VALUE"""),"SERVIENTREGA")</f>
        <v>SERVIENTREGA</v>
      </c>
      <c r="R1164" s="65">
        <f>IFERROR(__xludf.DUMMYFUNCTION("""COMPUTED_VALUE"""),19.99)</f>
        <v>19.99</v>
      </c>
      <c r="S1164" s="65">
        <f>IFERROR(__xludf.DUMMYFUNCTION("""COMPUTED_VALUE"""),7.32)</f>
        <v>7.32</v>
      </c>
      <c r="T1164" s="65">
        <f>IFERROR(__xludf.DUMMYFUNCTION("""COMPUTED_VALUE"""),7.67)</f>
        <v>7.67</v>
      </c>
      <c r="U1164" s="65">
        <f>IFERROR(__xludf.DUMMYFUNCTION("""COMPUTED_VALUE"""),0.0)</f>
        <v>0</v>
      </c>
      <c r="V1164" s="65">
        <f>IFERROR(__xludf.DUMMYFUNCTION("""COMPUTED_VALUE"""),0.0)</f>
        <v>0</v>
      </c>
      <c r="W1164" s="65">
        <f>IFERROR(__xludf.DUMMYFUNCTION("""COMPUTED_VALUE"""),0.0)</f>
        <v>0</v>
      </c>
      <c r="X1164" s="65">
        <f>IFERROR(__xludf.DUMMYFUNCTION("""COMPUTED_VALUE"""),5.0)</f>
        <v>5</v>
      </c>
      <c r="Y1164" s="65">
        <f>IFERROR(__xludf.DUMMYFUNCTION("""COMPUTED_VALUE"""),5.0)</f>
        <v>5</v>
      </c>
      <c r="Z1164" s="65">
        <f>IFERROR(__xludf.DUMMYFUNCTION("""COMPUTED_VALUE"""),110064.0)</f>
        <v>110064</v>
      </c>
      <c r="AA1164" s="65" t="str">
        <f>IFERROR(__xludf.DUMMYFUNCTION("""COMPUTED_VALUE"""),"IMX-00001")</f>
        <v>IMX-00001</v>
      </c>
      <c r="AB1164" s="65"/>
      <c r="AC1164" s="65" t="str">
        <f>IFERROR(__xludf.DUMMYFUNCTION("""COMPUTED_VALUE"""),"LLAVE TRINQUETE")</f>
        <v>LLAVE TRINQUETE</v>
      </c>
      <c r="AD1164" s="65"/>
      <c r="AE1164" s="65">
        <f>IFERROR(__xludf.DUMMYFUNCTION("""COMPUTED_VALUE"""),1.0)</f>
        <v>1</v>
      </c>
      <c r="AF1164" s="65" t="str">
        <f>IFERROR(__xludf.DUMMYFUNCTION("""COMPUTED_VALUE"""),"MAL ZONIFICADO")</f>
        <v>MAL ZONIFICADO</v>
      </c>
      <c r="AG1164" s="65" t="str">
        <f>IFERROR(__xludf.DUMMYFUNCTION("""COMPUTED_VALUE"""),"NO")</f>
        <v>NO</v>
      </c>
      <c r="AH1164" s="65" t="str">
        <f>IFERROR(__xludf.DUMMYFUNCTION("""COMPUTED_VALUE"""),"10:31")</f>
        <v>10:31</v>
      </c>
      <c r="AI1164" s="65" t="str">
        <f>IFERROR(__xludf.DUMMYFUNCTION("""COMPUTED_VALUE"""),"05-02-2026")</f>
        <v>05-02-2026</v>
      </c>
      <c r="AJ1164" s="65"/>
      <c r="AK1164" s="65"/>
      <c r="AL1164" s="65"/>
      <c r="AM1164" s="65"/>
      <c r="AN1164" s="65" t="str">
        <f>IFERROR(__xludf.DUMMYFUNCTION("""COMPUTED_VALUE"""),"10:02")</f>
        <v>10:02</v>
      </c>
      <c r="AO1164" s="65" t="str">
        <f>IFERROR(__xludf.DUMMYFUNCTION("""COMPUTED_VALUE"""),"05-02-2026")</f>
        <v>05-02-2026</v>
      </c>
      <c r="AP1164" s="65" t="str">
        <f>IFERROR(__xludf.DUMMYFUNCTION("""COMPUTED_VALUE"""),"INGRESANDO OPERATIVO A")</f>
        <v>INGRESANDO OPERATIVO A</v>
      </c>
      <c r="AQ1164" s="65" t="str">
        <f>IFERROR(__xludf.DUMMYFUNCTION("""COMPUTED_VALUE"""),".")</f>
        <v>.</v>
      </c>
      <c r="AR1164" s="65"/>
      <c r="AS1164" s="65"/>
      <c r="AT1164" s="65" t="str">
        <f>IFERROR(__xludf.DUMMYFUNCTION("""COMPUTED_VALUE"""),"SHOPIFY")</f>
        <v>SHOPIFY</v>
      </c>
      <c r="AU1164" s="65" t="str">
        <f>IFERROR(__xludf.DUMMYFUNCTION("""COMPUTED_VALUE"""),"IMPORTEX EC")</f>
        <v>IMPORTEX EC</v>
      </c>
      <c r="AV1164" s="65" t="str">
        <f>IFERROR(__xludf.DUMMYFUNCTION("""COMPUTED_VALUE"""),"6467885465644")</f>
        <v>6467885465644</v>
      </c>
      <c r="AW1164" s="65">
        <f>IFERROR(__xludf.DUMMYFUNCTION("""COMPUTED_VALUE"""),5741.0)</f>
        <v>5741</v>
      </c>
      <c r="AX1164" s="65"/>
      <c r="AY1164" s="65" t="str">
        <f>IFERROR(__xludf.DUMMYFUNCTION("""COMPUTED_VALUE"""),"03/02/2026")</f>
        <v>03/02/2026</v>
      </c>
      <c r="AZ1164" s="65"/>
      <c r="BA1164" s="65"/>
    </row>
    <row r="1165">
      <c r="A1165" s="65" t="str">
        <f>IFERROR(__xludf.DUMMYFUNCTION("""COMPUTED_VALUE"""),"27-03-2026")</f>
        <v>27-03-2026</v>
      </c>
      <c r="B1165" s="65">
        <f>IFERROR(__xludf.DUMMYFUNCTION("""COMPUTED_VALUE"""),4349132.0)</f>
        <v>4349132</v>
      </c>
      <c r="C1165" s="65" t="str">
        <f>IFERROR(__xludf.DUMMYFUNCTION("""COMPUTED_VALUE"""),"07:02")</f>
        <v>07:02</v>
      </c>
      <c r="D1165" s="65" t="str">
        <f>IFERROR(__xludf.DUMMYFUNCTION("""COMPUTED_VALUE"""),"01-02-2026")</f>
        <v>01-02-2026</v>
      </c>
      <c r="E1165" s="65" t="str">
        <f>IFERROR(__xludf.DUMMYFUNCTION("""COMPUTED_VALUE"""),"Fernanda Flores")</f>
        <v>Fernanda Flores</v>
      </c>
      <c r="F1165" s="65" t="str">
        <f>IFERROR(__xludf.DUMMYFUNCTION("""COMPUTED_VALUE"""),"939134694")</f>
        <v>939134694</v>
      </c>
      <c r="G1165" s="65" t="str">
        <f>IFERROR(__xludf.DUMMYFUNCTION("""COMPUTED_VALUE"""),"fernandaeli@hotmail.it")</f>
        <v>fernandaeli@hotmail.it</v>
      </c>
      <c r="H1165" s="65"/>
      <c r="I1165" s="65"/>
      <c r="J1165" s="65" t="str">
        <f>IFERROR(__xludf.DUMMYFUNCTION("""COMPUTED_VALUE"""),"186991801")</f>
        <v>186991801</v>
      </c>
      <c r="K1165" s="65" t="str">
        <f>IFERROR(__xludf.DUMMYFUNCTION("""COMPUTED_VALUE"""),"ENTREGADO")</f>
        <v>ENTREGADO</v>
      </c>
      <c r="L1165" s="65" t="str">
        <f>IFERROR(__xludf.DUMMYFUNCTION("""COMPUTED_VALUE"""),"CON RECAUDO")</f>
        <v>CON RECAUDO</v>
      </c>
      <c r="M1165" s="65" t="str">
        <f>IFERROR(__xludf.DUMMYFUNCTION("""COMPUTED_VALUE"""),"PICHINCHA")</f>
        <v>PICHINCHA</v>
      </c>
      <c r="N1165" s="65" t="str">
        <f>IFERROR(__xludf.DUMMYFUNCTION("""COMPUTED_VALUE"""),"GUAYLLABAMBA")</f>
        <v>GUAYLLABAMBA</v>
      </c>
      <c r="O1165" s="65" t="str">
        <f>IFERROR(__xludf.DUMMYFUNCTION("""COMPUTED_VALUE"""),"Calle Fernando navarro y roque Sevilla pasaje familia Flores San Vicente -")</f>
        <v>Calle Fernando navarro y roque Sevilla pasaje familia Flores San Vicente -</v>
      </c>
      <c r="P1165" s="65"/>
      <c r="Q1165" s="65" t="str">
        <f>IFERROR(__xludf.DUMMYFUNCTION("""COMPUTED_VALUE"""),"SERVIENTREGA")</f>
        <v>SERVIENTREGA</v>
      </c>
      <c r="R1165" s="65">
        <f>IFERROR(__xludf.DUMMYFUNCTION("""COMPUTED_VALUE"""),27.0)</f>
        <v>27</v>
      </c>
      <c r="S1165" s="65">
        <f>IFERROR(__xludf.DUMMYFUNCTION("""COMPUTED_VALUE"""),11.43)</f>
        <v>11.43</v>
      </c>
      <c r="T1165" s="65">
        <f>IFERROR(__xludf.DUMMYFUNCTION("""COMPUTED_VALUE"""),7.77)</f>
        <v>7.77</v>
      </c>
      <c r="U1165" s="65">
        <f>IFERROR(__xludf.DUMMYFUNCTION("""COMPUTED_VALUE"""),0.0)</f>
        <v>0</v>
      </c>
      <c r="V1165" s="65">
        <f>IFERROR(__xludf.DUMMYFUNCTION("""COMPUTED_VALUE"""),0.0)</f>
        <v>0</v>
      </c>
      <c r="W1165" s="65">
        <f>IFERROR(__xludf.DUMMYFUNCTION("""COMPUTED_VALUE"""),0.0)</f>
        <v>0</v>
      </c>
      <c r="X1165" s="65">
        <f>IFERROR(__xludf.DUMMYFUNCTION("""COMPUTED_VALUE"""),2.6)</f>
        <v>2.6</v>
      </c>
      <c r="Y1165" s="65">
        <f>IFERROR(__xludf.DUMMYFUNCTION("""COMPUTED_VALUE"""),7.8)</f>
        <v>7.8</v>
      </c>
      <c r="Z1165" s="65">
        <f>IFERROR(__xludf.DUMMYFUNCTION("""COMPUTED_VALUE"""),121983.0)</f>
        <v>121983</v>
      </c>
      <c r="AA1165" s="65" t="str">
        <f>IFERROR(__xludf.DUMMYFUNCTION("""COMPUTED_VALUE"""),"PROV-CHLLCF")</f>
        <v>PROV-CHLLCF</v>
      </c>
      <c r="AB1165" s="65"/>
      <c r="AC1165" s="65" t="str">
        <f>IFERROR(__xludf.DUMMYFUNCTION("""COMPUTED_VALUE"""),"CUCHILLO PARA CHEF")</f>
        <v>CUCHILLO PARA CHEF</v>
      </c>
      <c r="AD1165" s="65"/>
      <c r="AE1165" s="65">
        <f>IFERROR(__xludf.DUMMYFUNCTION("""COMPUTED_VALUE"""),3.0)</f>
        <v>3</v>
      </c>
      <c r="AF1165" s="65" t="str">
        <f>IFERROR(__xludf.DUMMYFUNCTION("""COMPUTED_VALUE"""),"NO HAY QUIEN RECIBA")</f>
        <v>NO HAY QUIEN RECIBA</v>
      </c>
      <c r="AG1165" s="65" t="str">
        <f>IFERROR(__xludf.DUMMYFUNCTION("""COMPUTED_VALUE"""),"SI")</f>
        <v>SI</v>
      </c>
      <c r="AH1165" s="65" t="str">
        <f>IFERROR(__xludf.DUMMYFUNCTION("""COMPUTED_VALUE"""),"22:47")</f>
        <v>22:47</v>
      </c>
      <c r="AI1165" s="65" t="str">
        <f>IFERROR(__xludf.DUMMYFUNCTION("""COMPUTED_VALUE"""),"10-02-2026")</f>
        <v>10-02-2026</v>
      </c>
      <c r="AJ1165" s="65" t="str">
        <f>IFERROR(__xludf.DUMMYFUNCTION("""COMPUTED_VALUE"""),"CLIENTE SOLICITA LA ENTREGA DE SU PEDIDO")</f>
        <v>CLIENTE SOLICITA LA ENTREGA DE SU PEDIDO</v>
      </c>
      <c r="AK1165" s="65" t="str">
        <f>IFERROR(__xludf.DUMMYFUNCTION("""COMPUTED_VALUE"""),"11:47")</f>
        <v>11:47</v>
      </c>
      <c r="AL1165" s="65" t="str">
        <f>IFERROR(__xludf.DUMMYFUNCTION("""COMPUTED_VALUE"""),"11-02-2026")</f>
        <v>11-02-2026</v>
      </c>
      <c r="AM1165" s="65"/>
      <c r="AN1165" s="65" t="str">
        <f>IFERROR(__xludf.DUMMYFUNCTION("""COMPUTED_VALUE"""),"22:41")</f>
        <v>22:41</v>
      </c>
      <c r="AO1165" s="65" t="str">
        <f>IFERROR(__xludf.DUMMYFUNCTION("""COMPUTED_VALUE"""),"17-02-2026")</f>
        <v>17-02-2026</v>
      </c>
      <c r="AP1165" s="65" t="str">
        <f>IFERROR(__xludf.DUMMYFUNCTION("""COMPUTED_VALUE"""),"REPORTADO ENTREGADO EN APP")</f>
        <v>REPORTADO ENTREGADO EN APP</v>
      </c>
      <c r="AQ1165" s="65" t="str">
        <f>IFERROR(__xludf.DUMMYFUNCTION("""COMPUTED_VALUE"""),"Fernanda Flores")</f>
        <v>Fernanda Flores</v>
      </c>
      <c r="AR1165" s="65"/>
      <c r="AS1165" s="65"/>
      <c r="AT1165" s="65" t="str">
        <f>IFERROR(__xludf.DUMMYFUNCTION("""COMPUTED_VALUE"""),"SHOPIFY")</f>
        <v>SHOPIFY</v>
      </c>
      <c r="AU1165" s="65" t="str">
        <f>IFERROR(__xludf.DUMMYFUNCTION("""COMPUTED_VALUE"""),"IMPORTEX EC")</f>
        <v>IMPORTEX EC</v>
      </c>
      <c r="AV1165" s="65" t="str">
        <f>IFERROR(__xludf.DUMMYFUNCTION("""COMPUTED_VALUE"""),"6467846635564")</f>
        <v>6467846635564</v>
      </c>
      <c r="AW1165" s="65">
        <f>IFERROR(__xludf.DUMMYFUNCTION("""COMPUTED_VALUE"""),5739.0)</f>
        <v>5739</v>
      </c>
      <c r="AX1165" s="65"/>
      <c r="AY1165" s="65" t="str">
        <f>IFERROR(__xludf.DUMMYFUNCTION("""COMPUTED_VALUE"""),"02/02/2026")</f>
        <v>02/02/2026</v>
      </c>
      <c r="AZ1165" s="65"/>
      <c r="BA1165" s="65"/>
    </row>
    <row r="1166">
      <c r="A1166" s="65" t="str">
        <f>IFERROR(__xludf.DUMMYFUNCTION("""COMPUTED_VALUE"""),"27-03-2026")</f>
        <v>27-03-2026</v>
      </c>
      <c r="B1166" s="65">
        <f>IFERROR(__xludf.DUMMYFUNCTION("""COMPUTED_VALUE"""),4349032.0)</f>
        <v>4349032</v>
      </c>
      <c r="C1166" s="65" t="str">
        <f>IFERROR(__xludf.DUMMYFUNCTION("""COMPUTED_VALUE"""),"06:42")</f>
        <v>06:42</v>
      </c>
      <c r="D1166" s="65" t="str">
        <f>IFERROR(__xludf.DUMMYFUNCTION("""COMPUTED_VALUE"""),"01-02-2026")</f>
        <v>01-02-2026</v>
      </c>
      <c r="E1166" s="65" t="str">
        <f>IFERROR(__xludf.DUMMYFUNCTION("""COMPUTED_VALUE"""),"Julio Quito")</f>
        <v>Julio Quito</v>
      </c>
      <c r="F1166" s="65" t="str">
        <f>IFERROR(__xludf.DUMMYFUNCTION("""COMPUTED_VALUE"""),"983590884")</f>
        <v>983590884</v>
      </c>
      <c r="G1166" s="65" t="str">
        <f>IFERROR(__xludf.DUMMYFUNCTION("""COMPUTED_VALUE"""),"juliopquito77@gmail.com")</f>
        <v>juliopquito77@gmail.com</v>
      </c>
      <c r="H1166" s="65"/>
      <c r="I1166" s="65"/>
      <c r="J1166" s="65"/>
      <c r="K1166" s="65" t="str">
        <f>IFERROR(__xludf.DUMMYFUNCTION("""COMPUTED_VALUE"""),"CANCELADO")</f>
        <v>CANCELADO</v>
      </c>
      <c r="L1166" s="65" t="str">
        <f>IFERROR(__xludf.DUMMYFUNCTION("""COMPUTED_VALUE"""),"CON RECAUDO")</f>
        <v>CON RECAUDO</v>
      </c>
      <c r="M1166" s="65" t="str">
        <f>IFERROR(__xludf.DUMMYFUNCTION("""COMPUTED_VALUE"""),"AZUAY")</f>
        <v>AZUAY</v>
      </c>
      <c r="N1166" s="65" t="str">
        <f>IFERROR(__xludf.DUMMYFUNCTION("""COMPUTED_VALUE"""),"CUENCA")</f>
        <v>CUENCA</v>
      </c>
      <c r="O1166" s="65" t="str">
        <f>IFERROR(__xludf.DUMMYFUNCTION("""COMPUTED_VALUE"""),"Barrio Ricaurte y alado de la iglesia de Ricaurte -")</f>
        <v>Barrio Ricaurte y alado de la iglesia de Ricaurte -</v>
      </c>
      <c r="P1166" s="65"/>
      <c r="Q1166" s="65" t="str">
        <f>IFERROR(__xludf.DUMMYFUNCTION("""COMPUTED_VALUE"""),"GINTRACOM")</f>
        <v>GINTRACOM</v>
      </c>
      <c r="R1166" s="65">
        <f>IFERROR(__xludf.DUMMYFUNCTION("""COMPUTED_VALUE"""),19.99)</f>
        <v>19.99</v>
      </c>
      <c r="S1166" s="65"/>
      <c r="T1166" s="65">
        <f>IFERROR(__xludf.DUMMYFUNCTION("""COMPUTED_VALUE"""),5.75)</f>
        <v>5.75</v>
      </c>
      <c r="U1166" s="65">
        <f>IFERROR(__xludf.DUMMYFUNCTION("""COMPUTED_VALUE"""),0.0)</f>
        <v>0</v>
      </c>
      <c r="V1166" s="65">
        <f>IFERROR(__xludf.DUMMYFUNCTION("""COMPUTED_VALUE"""),0.0)</f>
        <v>0</v>
      </c>
      <c r="W1166" s="65">
        <f>IFERROR(__xludf.DUMMYFUNCTION("""COMPUTED_VALUE"""),0.0)</f>
        <v>0</v>
      </c>
      <c r="X1166" s="65">
        <f>IFERROR(__xludf.DUMMYFUNCTION("""COMPUTED_VALUE"""),5.0)</f>
        <v>5</v>
      </c>
      <c r="Y1166" s="65">
        <f>IFERROR(__xludf.DUMMYFUNCTION("""COMPUTED_VALUE"""),5.0)</f>
        <v>5</v>
      </c>
      <c r="Z1166" s="65">
        <f>IFERROR(__xludf.DUMMYFUNCTION("""COMPUTED_VALUE"""),110064.0)</f>
        <v>110064</v>
      </c>
      <c r="AA1166" s="65" t="str">
        <f>IFERROR(__xludf.DUMMYFUNCTION("""COMPUTED_VALUE"""),"IMX-00001")</f>
        <v>IMX-00001</v>
      </c>
      <c r="AB1166" s="65"/>
      <c r="AC1166" s="65" t="str">
        <f>IFERROR(__xludf.DUMMYFUNCTION("""COMPUTED_VALUE"""),"LLAVE TRINQUETE")</f>
        <v>LLAVE TRINQUETE</v>
      </c>
      <c r="AD1166" s="65"/>
      <c r="AE1166" s="65">
        <f>IFERROR(__xludf.DUMMYFUNCTION("""COMPUTED_VALUE"""),1.0)</f>
        <v>1</v>
      </c>
      <c r="AF1166" s="65"/>
      <c r="AG1166" s="65"/>
      <c r="AH1166" s="65"/>
      <c r="AI1166" s="65"/>
      <c r="AJ1166" s="65"/>
      <c r="AK1166" s="65"/>
      <c r="AL1166" s="65"/>
      <c r="AM1166" s="65"/>
      <c r="AN1166" s="65"/>
      <c r="AO1166" s="65"/>
      <c r="AP1166" s="65"/>
      <c r="AQ1166" s="65"/>
      <c r="AR1166" s="65"/>
      <c r="AS1166" s="65"/>
      <c r="AT1166" s="65" t="str">
        <f>IFERROR(__xludf.DUMMYFUNCTION("""COMPUTED_VALUE"""),"SHOPIFY")</f>
        <v>SHOPIFY</v>
      </c>
      <c r="AU1166" s="65" t="str">
        <f>IFERROR(__xludf.DUMMYFUNCTION("""COMPUTED_VALUE"""),"IMPORTEX EC")</f>
        <v>IMPORTEX EC</v>
      </c>
      <c r="AV1166" s="65" t="str">
        <f>IFERROR(__xludf.DUMMYFUNCTION("""COMPUTED_VALUE"""),"6467829891116")</f>
        <v>6467829891116</v>
      </c>
      <c r="AW1166" s="65">
        <f>IFERROR(__xludf.DUMMYFUNCTION("""COMPUTED_VALUE"""),5738.0)</f>
        <v>5738</v>
      </c>
      <c r="AX1166" s="65"/>
      <c r="AY1166" s="65"/>
      <c r="AZ1166" s="65"/>
      <c r="BA1166" s="65"/>
    </row>
    <row r="1167">
      <c r="A1167" s="65" t="str">
        <f>IFERROR(__xludf.DUMMYFUNCTION("""COMPUTED_VALUE"""),"27-03-2026")</f>
        <v>27-03-2026</v>
      </c>
      <c r="B1167" s="65">
        <f>IFERROR(__xludf.DUMMYFUNCTION("""COMPUTED_VALUE"""),4349017.0)</f>
        <v>4349017</v>
      </c>
      <c r="C1167" s="65" t="str">
        <f>IFERROR(__xludf.DUMMYFUNCTION("""COMPUTED_VALUE"""),"06:38")</f>
        <v>06:38</v>
      </c>
      <c r="D1167" s="65" t="str">
        <f>IFERROR(__xludf.DUMMYFUNCTION("""COMPUTED_VALUE"""),"01-02-2026")</f>
        <v>01-02-2026</v>
      </c>
      <c r="E1167" s="65" t="str">
        <f>IFERROR(__xludf.DUMMYFUNCTION("""COMPUTED_VALUE"""),"Javier Delgado")</f>
        <v>Javier Delgado</v>
      </c>
      <c r="F1167" s="65" t="str">
        <f>IFERROR(__xludf.DUMMYFUNCTION("""COMPUTED_VALUE"""),"992191462")</f>
        <v>992191462</v>
      </c>
      <c r="G1167" s="65" t="str">
        <f>IFERROR(__xludf.DUMMYFUNCTION("""COMPUTED_VALUE"""),"111984javier@gmail.com")</f>
        <v>111984javier@gmail.com</v>
      </c>
      <c r="H1167" s="65"/>
      <c r="I1167" s="65"/>
      <c r="J1167" s="65" t="str">
        <f>IFERROR(__xludf.DUMMYFUNCTION("""COMPUTED_VALUE"""),"D001290857")</f>
        <v>D001290857</v>
      </c>
      <c r="K1167" s="65" t="str">
        <f>IFERROR(__xludf.DUMMYFUNCTION("""COMPUTED_VALUE"""),"ENTREGADO")</f>
        <v>ENTREGADO</v>
      </c>
      <c r="L1167" s="65" t="str">
        <f>IFERROR(__xludf.DUMMYFUNCTION("""COMPUTED_VALUE"""),"CON RECAUDO")</f>
        <v>CON RECAUDO</v>
      </c>
      <c r="M1167" s="65" t="str">
        <f>IFERROR(__xludf.DUMMYFUNCTION("""COMPUTED_VALUE"""),"PICHINCHA")</f>
        <v>PICHINCHA</v>
      </c>
      <c r="N1167" s="65" t="str">
        <f>IFERROR(__xludf.DUMMYFUNCTION("""COMPUTED_VALUE"""),"QUITO")</f>
        <v>QUITO</v>
      </c>
      <c r="O1167" s="65" t="str">
        <f>IFERROR(__xludf.DUMMYFUNCTION("""COMPUTED_VALUE"""),"Calle E8H LT-9 S35 san Martín de porres")</f>
        <v>Calle E8H LT-9 S35 san Martín de porres</v>
      </c>
      <c r="P1167" s="65"/>
      <c r="Q1167" s="65" t="str">
        <f>IFERROR(__xludf.DUMMYFUNCTION("""COMPUTED_VALUE"""),"GINTRACOM")</f>
        <v>GINTRACOM</v>
      </c>
      <c r="R1167" s="65">
        <f>IFERROR(__xludf.DUMMYFUNCTION("""COMPUTED_VALUE"""),19.99)</f>
        <v>19.99</v>
      </c>
      <c r="S1167" s="65">
        <f>IFERROR(__xludf.DUMMYFUNCTION("""COMPUTED_VALUE"""),10.85)</f>
        <v>10.85</v>
      </c>
      <c r="T1167" s="65">
        <f>IFERROR(__xludf.DUMMYFUNCTION("""COMPUTED_VALUE"""),4.14)</f>
        <v>4.14</v>
      </c>
      <c r="U1167" s="65">
        <f>IFERROR(__xludf.DUMMYFUNCTION("""COMPUTED_VALUE"""),0.0)</f>
        <v>0</v>
      </c>
      <c r="V1167" s="65">
        <f>IFERROR(__xludf.DUMMYFUNCTION("""COMPUTED_VALUE"""),0.0)</f>
        <v>0</v>
      </c>
      <c r="W1167" s="65">
        <f>IFERROR(__xludf.DUMMYFUNCTION("""COMPUTED_VALUE"""),0.0)</f>
        <v>0</v>
      </c>
      <c r="X1167" s="65">
        <f>IFERROR(__xludf.DUMMYFUNCTION("""COMPUTED_VALUE"""),5.0)</f>
        <v>5</v>
      </c>
      <c r="Y1167" s="65">
        <f>IFERROR(__xludf.DUMMYFUNCTION("""COMPUTED_VALUE"""),5.0)</f>
        <v>5</v>
      </c>
      <c r="Z1167" s="65">
        <f>IFERROR(__xludf.DUMMYFUNCTION("""COMPUTED_VALUE"""),110064.0)</f>
        <v>110064</v>
      </c>
      <c r="AA1167" s="65" t="str">
        <f>IFERROR(__xludf.DUMMYFUNCTION("""COMPUTED_VALUE"""),"IMX-00001")</f>
        <v>IMX-00001</v>
      </c>
      <c r="AB1167" s="65"/>
      <c r="AC1167" s="65" t="str">
        <f>IFERROR(__xludf.DUMMYFUNCTION("""COMPUTED_VALUE"""),"LLAVE TRINQUETE")</f>
        <v>LLAVE TRINQUETE</v>
      </c>
      <c r="AD1167" s="65"/>
      <c r="AE1167" s="65">
        <f>IFERROR(__xludf.DUMMYFUNCTION("""COMPUTED_VALUE"""),1.0)</f>
        <v>1</v>
      </c>
      <c r="AF1167" s="65"/>
      <c r="AG1167" s="65"/>
      <c r="AH1167" s="65"/>
      <c r="AI1167" s="65"/>
      <c r="AJ1167" s="65"/>
      <c r="AK1167" s="65"/>
      <c r="AL1167" s="65"/>
      <c r="AM1167" s="65"/>
      <c r="AN1167" s="65"/>
      <c r="AO1167" s="65"/>
      <c r="AP1167" s="65"/>
      <c r="AQ1167" s="65"/>
      <c r="AR1167" s="65"/>
      <c r="AS1167" s="65"/>
      <c r="AT1167" s="65" t="str">
        <f>IFERROR(__xludf.DUMMYFUNCTION("""COMPUTED_VALUE"""),"SHOPIFY")</f>
        <v>SHOPIFY</v>
      </c>
      <c r="AU1167" s="65" t="str">
        <f>IFERROR(__xludf.DUMMYFUNCTION("""COMPUTED_VALUE"""),"IMPORTEX EC")</f>
        <v>IMPORTEX EC</v>
      </c>
      <c r="AV1167" s="65" t="str">
        <f>IFERROR(__xludf.DUMMYFUNCTION("""COMPUTED_VALUE"""),"6467826090028")</f>
        <v>6467826090028</v>
      </c>
      <c r="AW1167" s="65">
        <f>IFERROR(__xludf.DUMMYFUNCTION("""COMPUTED_VALUE"""),5737.0)</f>
        <v>5737</v>
      </c>
      <c r="AX1167" s="65"/>
      <c r="AY1167" s="65" t="str">
        <f>IFERROR(__xludf.DUMMYFUNCTION("""COMPUTED_VALUE"""),"03/02/2026")</f>
        <v>03/02/2026</v>
      </c>
      <c r="AZ1167" s="65"/>
      <c r="BA1167" s="65"/>
    </row>
    <row r="1168">
      <c r="A1168" s="65" t="str">
        <f>IFERROR(__xludf.DUMMYFUNCTION("""COMPUTED_VALUE"""),"27-03-2026")</f>
        <v>27-03-2026</v>
      </c>
      <c r="B1168" s="65">
        <f>IFERROR(__xludf.DUMMYFUNCTION("""COMPUTED_VALUE"""),4348983.0)</f>
        <v>4348983</v>
      </c>
      <c r="C1168" s="65" t="str">
        <f>IFERROR(__xludf.DUMMYFUNCTION("""COMPUTED_VALUE"""),"06:31")</f>
        <v>06:31</v>
      </c>
      <c r="D1168" s="65" t="str">
        <f>IFERROR(__xludf.DUMMYFUNCTION("""COMPUTED_VALUE"""),"01-02-2026")</f>
        <v>01-02-2026</v>
      </c>
      <c r="E1168" s="65" t="str">
        <f>IFERROR(__xludf.DUMMYFUNCTION("""COMPUTED_VALUE"""),"Jorge H.")</f>
        <v>Jorge H.</v>
      </c>
      <c r="F1168" s="65" t="str">
        <f>IFERROR(__xludf.DUMMYFUNCTION("""COMPUTED_VALUE"""),"987938858")</f>
        <v>987938858</v>
      </c>
      <c r="G1168" s="65" t="str">
        <f>IFERROR(__xludf.DUMMYFUNCTION("""COMPUTED_VALUE"""),"jhsilvainca@gmail.com")</f>
        <v>jhsilvainca@gmail.com</v>
      </c>
      <c r="H1168" s="65"/>
      <c r="I1168" s="65"/>
      <c r="J1168" s="65"/>
      <c r="K1168" s="65" t="str">
        <f>IFERROR(__xludf.DUMMYFUNCTION("""COMPUTED_VALUE"""),"CANCELADO")</f>
        <v>CANCELADO</v>
      </c>
      <c r="L1168" s="65" t="str">
        <f>IFERROR(__xludf.DUMMYFUNCTION("""COMPUTED_VALUE"""),"CON RECAUDO")</f>
        <v>CON RECAUDO</v>
      </c>
      <c r="M1168" s="65" t="str">
        <f>IFERROR(__xludf.DUMMYFUNCTION("""COMPUTED_VALUE"""),"CHIMBORAZO")</f>
        <v>CHIMBORAZO</v>
      </c>
      <c r="N1168" s="65" t="str">
        <f>IFERROR(__xludf.DUMMYFUNCTION("""COMPUTED_VALUE"""),"RIOBAMBA")</f>
        <v>RIOBAMBA</v>
      </c>
      <c r="O1168" s="65" t="str">
        <f>IFERROR(__xludf.DUMMYFUNCTION("""COMPUTED_VALUE"""),"Boyacá y Augusto Alzamora Solca -")</f>
        <v>Boyacá y Augusto Alzamora Solca -</v>
      </c>
      <c r="P1168" s="65"/>
      <c r="Q1168" s="65" t="str">
        <f>IFERROR(__xludf.DUMMYFUNCTION("""COMPUTED_VALUE"""),"GINTRACOM")</f>
        <v>GINTRACOM</v>
      </c>
      <c r="R1168" s="65">
        <f>IFERROR(__xludf.DUMMYFUNCTION("""COMPUTED_VALUE"""),19.99)</f>
        <v>19.99</v>
      </c>
      <c r="S1168" s="65"/>
      <c r="T1168" s="65">
        <f>IFERROR(__xludf.DUMMYFUNCTION("""COMPUTED_VALUE"""),5.75)</f>
        <v>5.75</v>
      </c>
      <c r="U1168" s="65">
        <f>IFERROR(__xludf.DUMMYFUNCTION("""COMPUTED_VALUE"""),0.0)</f>
        <v>0</v>
      </c>
      <c r="V1168" s="65">
        <f>IFERROR(__xludf.DUMMYFUNCTION("""COMPUTED_VALUE"""),0.0)</f>
        <v>0</v>
      </c>
      <c r="W1168" s="65">
        <f>IFERROR(__xludf.DUMMYFUNCTION("""COMPUTED_VALUE"""),0.0)</f>
        <v>0</v>
      </c>
      <c r="X1168" s="65">
        <f>IFERROR(__xludf.DUMMYFUNCTION("""COMPUTED_VALUE"""),5.0)</f>
        <v>5</v>
      </c>
      <c r="Y1168" s="65">
        <f>IFERROR(__xludf.DUMMYFUNCTION("""COMPUTED_VALUE"""),5.0)</f>
        <v>5</v>
      </c>
      <c r="Z1168" s="65">
        <f>IFERROR(__xludf.DUMMYFUNCTION("""COMPUTED_VALUE"""),110064.0)</f>
        <v>110064</v>
      </c>
      <c r="AA1168" s="65" t="str">
        <f>IFERROR(__xludf.DUMMYFUNCTION("""COMPUTED_VALUE"""),"IMX-00001")</f>
        <v>IMX-00001</v>
      </c>
      <c r="AB1168" s="65"/>
      <c r="AC1168" s="65" t="str">
        <f>IFERROR(__xludf.DUMMYFUNCTION("""COMPUTED_VALUE"""),"LLAVE TRINQUETE")</f>
        <v>LLAVE TRINQUETE</v>
      </c>
      <c r="AD1168" s="65"/>
      <c r="AE1168" s="65">
        <f>IFERROR(__xludf.DUMMYFUNCTION("""COMPUTED_VALUE"""),1.0)</f>
        <v>1</v>
      </c>
      <c r="AF1168" s="65"/>
      <c r="AG1168" s="65"/>
      <c r="AH1168" s="65"/>
      <c r="AI1168" s="65"/>
      <c r="AJ1168" s="65"/>
      <c r="AK1168" s="65"/>
      <c r="AL1168" s="65"/>
      <c r="AM1168" s="65"/>
      <c r="AN1168" s="65"/>
      <c r="AO1168" s="65"/>
      <c r="AP1168" s="65"/>
      <c r="AQ1168" s="65"/>
      <c r="AR1168" s="65"/>
      <c r="AS1168" s="65"/>
      <c r="AT1168" s="65" t="str">
        <f>IFERROR(__xludf.DUMMYFUNCTION("""COMPUTED_VALUE"""),"SHOPIFY")</f>
        <v>SHOPIFY</v>
      </c>
      <c r="AU1168" s="65" t="str">
        <f>IFERROR(__xludf.DUMMYFUNCTION("""COMPUTED_VALUE"""),"IMPORTEX EC")</f>
        <v>IMPORTEX EC</v>
      </c>
      <c r="AV1168" s="65" t="str">
        <f>IFERROR(__xludf.DUMMYFUNCTION("""COMPUTED_VALUE"""),"6467806003244")</f>
        <v>6467806003244</v>
      </c>
      <c r="AW1168" s="65">
        <f>IFERROR(__xludf.DUMMYFUNCTION("""COMPUTED_VALUE"""),5736.0)</f>
        <v>5736</v>
      </c>
      <c r="AX1168" s="65"/>
      <c r="AY1168" s="65"/>
      <c r="AZ1168" s="65"/>
      <c r="BA1168" s="65"/>
    </row>
    <row r="1169">
      <c r="A1169" s="65" t="str">
        <f>IFERROR(__xludf.DUMMYFUNCTION("""COMPUTED_VALUE"""),"27-03-2026")</f>
        <v>27-03-2026</v>
      </c>
      <c r="B1169" s="65">
        <f>IFERROR(__xludf.DUMMYFUNCTION("""COMPUTED_VALUE"""),4348882.0)</f>
        <v>4348882</v>
      </c>
      <c r="C1169" s="65" t="str">
        <f>IFERROR(__xludf.DUMMYFUNCTION("""COMPUTED_VALUE"""),"06:00")</f>
        <v>06:00</v>
      </c>
      <c r="D1169" s="65" t="str">
        <f>IFERROR(__xludf.DUMMYFUNCTION("""COMPUTED_VALUE"""),"01-02-2026")</f>
        <v>01-02-2026</v>
      </c>
      <c r="E1169" s="65" t="str">
        <f>IFERROR(__xludf.DUMMYFUNCTION("""COMPUTED_VALUE"""),"Mario Cardona")</f>
        <v>Mario Cardona</v>
      </c>
      <c r="F1169" s="65" t="str">
        <f>IFERROR(__xludf.DUMMYFUNCTION("""COMPUTED_VALUE"""),"986863176")</f>
        <v>986863176</v>
      </c>
      <c r="G1169" s="65" t="str">
        <f>IFERROR(__xludf.DUMMYFUNCTION("""COMPUTED_VALUE"""),"pmariocardonaya@hotmail.com")</f>
        <v>pmariocardonaya@hotmail.com</v>
      </c>
      <c r="H1169" s="65"/>
      <c r="I1169" s="65"/>
      <c r="J1169" s="65" t="str">
        <f>IFERROR(__xludf.DUMMYFUNCTION("""COMPUTED_VALUE"""),"D001290859")</f>
        <v>D001290859</v>
      </c>
      <c r="K1169" s="65" t="str">
        <f>IFERROR(__xludf.DUMMYFUNCTION("""COMPUTED_VALUE"""),"DEVOLUCION")</f>
        <v>DEVOLUCION</v>
      </c>
      <c r="L1169" s="65" t="str">
        <f>IFERROR(__xludf.DUMMYFUNCTION("""COMPUTED_VALUE"""),"CON RECAUDO")</f>
        <v>CON RECAUDO</v>
      </c>
      <c r="M1169" s="65" t="str">
        <f>IFERROR(__xludf.DUMMYFUNCTION("""COMPUTED_VALUE"""),"CHIMBORAZO")</f>
        <v>CHIMBORAZO</v>
      </c>
      <c r="N1169" s="65" t="str">
        <f>IFERROR(__xludf.DUMMYFUNCTION("""COMPUTED_VALUE"""),"RIOBAMBA")</f>
        <v>RIOBAMBA</v>
      </c>
      <c r="O1169" s="65" t="str">
        <f>IFERROR(__xludf.DUMMYFUNCTION("""COMPUTED_VALUE"""),"Av. Bolívar Bonilla y San Juan , REF: A lado de la iglesia el NAZARENO")</f>
        <v>Av. Bolívar Bonilla y San Juan , REF: A lado de la iglesia el NAZARENO</v>
      </c>
      <c r="P1169" s="65"/>
      <c r="Q1169" s="65" t="str">
        <f>IFERROR(__xludf.DUMMYFUNCTION("""COMPUTED_VALUE"""),"GINTRACOM")</f>
        <v>GINTRACOM</v>
      </c>
      <c r="R1169" s="65">
        <f>IFERROR(__xludf.DUMMYFUNCTION("""COMPUTED_VALUE"""),19.99)</f>
        <v>19.99</v>
      </c>
      <c r="S1169" s="65"/>
      <c r="T1169" s="65">
        <f>IFERROR(__xludf.DUMMYFUNCTION("""COMPUTED_VALUE"""),5.75)</f>
        <v>5.75</v>
      </c>
      <c r="U1169" s="65">
        <f>IFERROR(__xludf.DUMMYFUNCTION("""COMPUTED_VALUE"""),0.0)</f>
        <v>0</v>
      </c>
      <c r="V1169" s="65">
        <f>IFERROR(__xludf.DUMMYFUNCTION("""COMPUTED_VALUE"""),0.0)</f>
        <v>0</v>
      </c>
      <c r="W1169" s="65">
        <f>IFERROR(__xludf.DUMMYFUNCTION("""COMPUTED_VALUE"""),0.0)</f>
        <v>0</v>
      </c>
      <c r="X1169" s="65">
        <f>IFERROR(__xludf.DUMMYFUNCTION("""COMPUTED_VALUE"""),5.0)</f>
        <v>5</v>
      </c>
      <c r="Y1169" s="65">
        <f>IFERROR(__xludf.DUMMYFUNCTION("""COMPUTED_VALUE"""),5.0)</f>
        <v>5</v>
      </c>
      <c r="Z1169" s="65">
        <f>IFERROR(__xludf.DUMMYFUNCTION("""COMPUTED_VALUE"""),110064.0)</f>
        <v>110064</v>
      </c>
      <c r="AA1169" s="65" t="str">
        <f>IFERROR(__xludf.DUMMYFUNCTION("""COMPUTED_VALUE"""),"IMX-00001")</f>
        <v>IMX-00001</v>
      </c>
      <c r="AB1169" s="65"/>
      <c r="AC1169" s="65" t="str">
        <f>IFERROR(__xludf.DUMMYFUNCTION("""COMPUTED_VALUE"""),"LLAVE TRINQUETE")</f>
        <v>LLAVE TRINQUETE</v>
      </c>
      <c r="AD1169" s="65"/>
      <c r="AE1169" s="65">
        <f>IFERROR(__xludf.DUMMYFUNCTION("""COMPUTED_VALUE"""),1.0)</f>
        <v>1</v>
      </c>
      <c r="AF1169" s="65" t="str">
        <f>IFERROR(__xludf.DUMMYFUNCTION("""COMPUTED_VALUE"""),"DESTINATARIO NO CONTESTA LLAMADAS NI WHATSAPP")</f>
        <v>DESTINATARIO NO CONTESTA LLAMADAS NI WHATSAPP</v>
      </c>
      <c r="AG1169" s="65" t="str">
        <f>IFERROR(__xludf.DUMMYFUNCTION("""COMPUTED_VALUE"""),"NO")</f>
        <v>NO</v>
      </c>
      <c r="AH1169" s="65" t="str">
        <f>IFERROR(__xludf.DUMMYFUNCTION("""COMPUTED_VALUE"""),"22:10")</f>
        <v>22:10</v>
      </c>
      <c r="AI1169" s="65" t="str">
        <f>IFERROR(__xludf.DUMMYFUNCTION("""COMPUTED_VALUE"""),"12-02-2026")</f>
        <v>12-02-2026</v>
      </c>
      <c r="AJ1169" s="65"/>
      <c r="AK1169" s="65"/>
      <c r="AL1169" s="65"/>
      <c r="AM1169" s="65"/>
      <c r="AN1169" s="65" t="str">
        <f>IFERROR(__xludf.DUMMYFUNCTION("""COMPUTED_VALUE"""),"12:03")</f>
        <v>12:03</v>
      </c>
      <c r="AO1169" s="65" t="str">
        <f>IFERROR(__xludf.DUMMYFUNCTION("""COMPUTED_VALUE"""),"27-02-2026")</f>
        <v>27-02-2026</v>
      </c>
      <c r="AP1169" s="65" t="str">
        <f>IFERROR(__xludf.DUMMYFUNCTION("""COMPUTED_VALUE"""),"DEVOLUCIÓN ENTREGADA A ORIGEN")</f>
        <v>DEVOLUCIÓN ENTREGADA A ORIGEN</v>
      </c>
      <c r="AQ1169" s="65" t="str">
        <f>IFERROR(__xludf.DUMMYFUNCTION("""COMPUTED_VALUE"""),"DEVOLUCIÓN ENTREGADA A ORIGEN")</f>
        <v>DEVOLUCIÓN ENTREGADA A ORIGEN</v>
      </c>
      <c r="AR1169" s="65"/>
      <c r="AS1169" s="65"/>
      <c r="AT1169" s="65" t="str">
        <f>IFERROR(__xludf.DUMMYFUNCTION("""COMPUTED_VALUE"""),"SHOPIFY")</f>
        <v>SHOPIFY</v>
      </c>
      <c r="AU1169" s="65" t="str">
        <f>IFERROR(__xludf.DUMMYFUNCTION("""COMPUTED_VALUE"""),"IMPORTEX EC")</f>
        <v>IMPORTEX EC</v>
      </c>
      <c r="AV1169" s="65" t="str">
        <f>IFERROR(__xludf.DUMMYFUNCTION("""COMPUTED_VALUE"""),"6467760291884")</f>
        <v>6467760291884</v>
      </c>
      <c r="AW1169" s="65">
        <f>IFERROR(__xludf.DUMMYFUNCTION("""COMPUTED_VALUE"""),5735.0)</f>
        <v>5735</v>
      </c>
      <c r="AX1169" s="65"/>
      <c r="AY1169" s="65" t="str">
        <f>IFERROR(__xludf.DUMMYFUNCTION("""COMPUTED_VALUE"""),"03/02/2026")</f>
        <v>03/02/2026</v>
      </c>
      <c r="AZ1169" s="65"/>
      <c r="BA1169" s="65"/>
    </row>
    <row r="1170">
      <c r="A1170" s="65" t="str">
        <f>IFERROR(__xludf.DUMMYFUNCTION("""COMPUTED_VALUE"""),"27-03-2026")</f>
        <v>27-03-2026</v>
      </c>
      <c r="B1170" s="65">
        <f>IFERROR(__xludf.DUMMYFUNCTION("""COMPUTED_VALUE"""),4348861.0)</f>
        <v>4348861</v>
      </c>
      <c r="C1170" s="65" t="str">
        <f>IFERROR(__xludf.DUMMYFUNCTION("""COMPUTED_VALUE"""),"05:50")</f>
        <v>05:50</v>
      </c>
      <c r="D1170" s="65" t="str">
        <f>IFERROR(__xludf.DUMMYFUNCTION("""COMPUTED_VALUE"""),"01-02-2026")</f>
        <v>01-02-2026</v>
      </c>
      <c r="E1170" s="65" t="str">
        <f>IFERROR(__xludf.DUMMYFUNCTION("""COMPUTED_VALUE"""),"Cecilia Tapia")</f>
        <v>Cecilia Tapia</v>
      </c>
      <c r="F1170" s="65" t="str">
        <f>IFERROR(__xludf.DUMMYFUNCTION("""COMPUTED_VALUE"""),"969076621")</f>
        <v>969076621</v>
      </c>
      <c r="G1170" s="65" t="str">
        <f>IFERROR(__xludf.DUMMYFUNCTION("""COMPUTED_VALUE"""),"ceciliatapiaescobar13@gmail.com")</f>
        <v>ceciliatapiaescobar13@gmail.com</v>
      </c>
      <c r="H1170" s="65"/>
      <c r="I1170" s="65"/>
      <c r="J1170" s="65"/>
      <c r="K1170" s="65" t="str">
        <f>IFERROR(__xludf.DUMMYFUNCTION("""COMPUTED_VALUE"""),"PENDIENTE CONFIRMACION")</f>
        <v>PENDIENTE CONFIRMACION</v>
      </c>
      <c r="L1170" s="65" t="str">
        <f>IFERROR(__xludf.DUMMYFUNCTION("""COMPUTED_VALUE"""),"CON RECAUDO")</f>
        <v>CON RECAUDO</v>
      </c>
      <c r="M1170" s="65" t="str">
        <f>IFERROR(__xludf.DUMMYFUNCTION("""COMPUTED_VALUE"""),"COTOPAXI")</f>
        <v>COTOPAXI</v>
      </c>
      <c r="N1170" s="65" t="str">
        <f>IFERROR(__xludf.DUMMYFUNCTION("""COMPUTED_VALUE"""),"TOACASO")</f>
        <v>TOACASO</v>
      </c>
      <c r="O1170" s="65" t="str">
        <f>IFERROR(__xludf.DUMMYFUNCTION("""COMPUTED_VALUE"""),"Parroquia Toacaso calle bolivar y oriente -")</f>
        <v>Parroquia Toacaso calle bolivar y oriente -</v>
      </c>
      <c r="P1170" s="65"/>
      <c r="Q1170" s="65" t="str">
        <f>IFERROR(__xludf.DUMMYFUNCTION("""COMPUTED_VALUE"""),"GINTRACOM")</f>
        <v>GINTRACOM</v>
      </c>
      <c r="R1170" s="65">
        <f>IFERROR(__xludf.DUMMYFUNCTION("""COMPUTED_VALUE"""),22.0)</f>
        <v>22</v>
      </c>
      <c r="S1170" s="65"/>
      <c r="T1170" s="65">
        <f>IFERROR(__xludf.DUMMYFUNCTION("""COMPUTED_VALUE"""),6.41)</f>
        <v>6.41</v>
      </c>
      <c r="U1170" s="65">
        <f>IFERROR(__xludf.DUMMYFUNCTION("""COMPUTED_VALUE"""),0.0)</f>
        <v>0</v>
      </c>
      <c r="V1170" s="65">
        <f>IFERROR(__xludf.DUMMYFUNCTION("""COMPUTED_VALUE"""),0.0)</f>
        <v>0</v>
      </c>
      <c r="W1170" s="65">
        <f>IFERROR(__xludf.DUMMYFUNCTION("""COMPUTED_VALUE"""),0.0)</f>
        <v>0</v>
      </c>
      <c r="X1170" s="65">
        <f>IFERROR(__xludf.DUMMYFUNCTION("""COMPUTED_VALUE"""),2.6)</f>
        <v>2.6</v>
      </c>
      <c r="Y1170" s="65">
        <f>IFERROR(__xludf.DUMMYFUNCTION("""COMPUTED_VALUE"""),5.2)</f>
        <v>5.2</v>
      </c>
      <c r="Z1170" s="65">
        <f>IFERROR(__xludf.DUMMYFUNCTION("""COMPUTED_VALUE"""),121983.0)</f>
        <v>121983</v>
      </c>
      <c r="AA1170" s="65" t="str">
        <f>IFERROR(__xludf.DUMMYFUNCTION("""COMPUTED_VALUE"""),"PROV-CHLLCF")</f>
        <v>PROV-CHLLCF</v>
      </c>
      <c r="AB1170" s="65"/>
      <c r="AC1170" s="65" t="str">
        <f>IFERROR(__xludf.DUMMYFUNCTION("""COMPUTED_VALUE"""),"CUCHILLO PARA CHEF")</f>
        <v>CUCHILLO PARA CHEF</v>
      </c>
      <c r="AD1170" s="65"/>
      <c r="AE1170" s="65">
        <f>IFERROR(__xludf.DUMMYFUNCTION("""COMPUTED_VALUE"""),2.0)</f>
        <v>2</v>
      </c>
      <c r="AF1170" s="65"/>
      <c r="AG1170" s="65"/>
      <c r="AH1170" s="65"/>
      <c r="AI1170" s="65"/>
      <c r="AJ1170" s="65"/>
      <c r="AK1170" s="65"/>
      <c r="AL1170" s="65"/>
      <c r="AM1170" s="65"/>
      <c r="AN1170" s="65"/>
      <c r="AO1170" s="65"/>
      <c r="AP1170" s="65"/>
      <c r="AQ1170" s="65"/>
      <c r="AR1170" s="65"/>
      <c r="AS1170" s="65"/>
      <c r="AT1170" s="65" t="str">
        <f>IFERROR(__xludf.DUMMYFUNCTION("""COMPUTED_VALUE"""),"SHOPIFY")</f>
        <v>SHOPIFY</v>
      </c>
      <c r="AU1170" s="65" t="str">
        <f>IFERROR(__xludf.DUMMYFUNCTION("""COMPUTED_VALUE"""),"IMPORTEX EC")</f>
        <v>IMPORTEX EC</v>
      </c>
      <c r="AV1170" s="65" t="str">
        <f>IFERROR(__xludf.DUMMYFUNCTION("""COMPUTED_VALUE"""),"6467754754092")</f>
        <v>6467754754092</v>
      </c>
      <c r="AW1170" s="65">
        <f>IFERROR(__xludf.DUMMYFUNCTION("""COMPUTED_VALUE"""),5734.0)</f>
        <v>5734</v>
      </c>
      <c r="AX1170" s="65"/>
      <c r="AY1170" s="65"/>
      <c r="AZ1170" s="65"/>
      <c r="BA1170" s="65"/>
    </row>
    <row r="1171">
      <c r="A1171" s="65" t="str">
        <f>IFERROR(__xludf.DUMMYFUNCTION("""COMPUTED_VALUE"""),"27-03-2026")</f>
        <v>27-03-2026</v>
      </c>
      <c r="B1171" s="65">
        <f>IFERROR(__xludf.DUMMYFUNCTION("""COMPUTED_VALUE"""),4348771.0)</f>
        <v>4348771</v>
      </c>
      <c r="C1171" s="65" t="str">
        <f>IFERROR(__xludf.DUMMYFUNCTION("""COMPUTED_VALUE"""),"04:55")</f>
        <v>04:55</v>
      </c>
      <c r="D1171" s="65" t="str">
        <f>IFERROR(__xludf.DUMMYFUNCTION("""COMPUTED_VALUE"""),"01-02-2026")</f>
        <v>01-02-2026</v>
      </c>
      <c r="E1171" s="65" t="str">
        <f>IFERROR(__xludf.DUMMYFUNCTION("""COMPUTED_VALUE"""),"Ricardo Wuilfrido Quimis castro")</f>
        <v>Ricardo Wuilfrido Quimis castro</v>
      </c>
      <c r="F1171" s="65" t="str">
        <f>IFERROR(__xludf.DUMMYFUNCTION("""COMPUTED_VALUE"""),"989991960")</f>
        <v>989991960</v>
      </c>
      <c r="G1171" s="65"/>
      <c r="H1171" s="65"/>
      <c r="I1171" s="65"/>
      <c r="J1171" s="65" t="str">
        <f>IFERROR(__xludf.DUMMYFUNCTION("""COMPUTED_VALUE"""),"D001288578")</f>
        <v>D001288578</v>
      </c>
      <c r="K1171" s="65" t="str">
        <f>IFERROR(__xludf.DUMMYFUNCTION("""COMPUTED_VALUE"""),"ENTREGADO")</f>
        <v>ENTREGADO</v>
      </c>
      <c r="L1171" s="65" t="str">
        <f>IFERROR(__xludf.DUMMYFUNCTION("""COMPUTED_VALUE"""),"CON RECAUDO")</f>
        <v>CON RECAUDO</v>
      </c>
      <c r="M1171" s="65" t="str">
        <f>IFERROR(__xludf.DUMMYFUNCTION("""COMPUTED_VALUE"""),"GUAYAS")</f>
        <v>GUAYAS</v>
      </c>
      <c r="N1171" s="65" t="str">
        <f>IFERROR(__xludf.DUMMYFUNCTION("""COMPUTED_VALUE"""),"GUAYAQUIL")</f>
        <v>GUAYAQUIL</v>
      </c>
      <c r="O1171" s="65" t="str">
        <f>IFERROR(__xludf.DUMMYFUNCTION("""COMPUTED_VALUE"""),"Principal de Alamos Norte A lado de oficina urvaseo -")</f>
        <v>Principal de Alamos Norte A lado de oficina urvaseo -</v>
      </c>
      <c r="P1171" s="65"/>
      <c r="Q1171" s="65" t="str">
        <f>IFERROR(__xludf.DUMMYFUNCTION("""COMPUTED_VALUE"""),"GINTRACOM")</f>
        <v>GINTRACOM</v>
      </c>
      <c r="R1171" s="65">
        <f>IFERROR(__xludf.DUMMYFUNCTION("""COMPUTED_VALUE"""),20.0)</f>
        <v>20</v>
      </c>
      <c r="S1171" s="65">
        <f>IFERROR(__xludf.DUMMYFUNCTION("""COMPUTED_VALUE"""),11.89)</f>
        <v>11.89</v>
      </c>
      <c r="T1171" s="65">
        <f>IFERROR(__xludf.DUMMYFUNCTION("""COMPUTED_VALUE"""),5.76)</f>
        <v>5.76</v>
      </c>
      <c r="U1171" s="65">
        <f>IFERROR(__xludf.DUMMYFUNCTION("""COMPUTED_VALUE"""),0.0)</f>
        <v>0</v>
      </c>
      <c r="V1171" s="65">
        <f>IFERROR(__xludf.DUMMYFUNCTION("""COMPUTED_VALUE"""),0.0)</f>
        <v>0</v>
      </c>
      <c r="W1171" s="65">
        <f>IFERROR(__xludf.DUMMYFUNCTION("""COMPUTED_VALUE"""),0.0)</f>
        <v>0</v>
      </c>
      <c r="X1171" s="65">
        <f>IFERROR(__xludf.DUMMYFUNCTION("""COMPUTED_VALUE"""),2.35)</f>
        <v>2.35</v>
      </c>
      <c r="Y1171" s="65">
        <f>IFERROR(__xludf.DUMMYFUNCTION("""COMPUTED_VALUE"""),2.35)</f>
        <v>2.35</v>
      </c>
      <c r="Z1171" s="65">
        <f>IFERROR(__xludf.DUMMYFUNCTION("""COMPUTED_VALUE"""),116679.0)</f>
        <v>116679</v>
      </c>
      <c r="AA1171" s="65" t="str">
        <f>IFERROR(__xludf.DUMMYFUNCTION("""COMPUTED_VALUE"""),"AMC-2738")</f>
        <v>AMC-2738</v>
      </c>
      <c r="AB1171" s="65"/>
      <c r="AC1171" s="65" t="str">
        <f>IFERROR(__xludf.DUMMYFUNCTION("""COMPUTED_VALUE"""),"ESPONJA ANTILLUVIA DE PARABRISAS")</f>
        <v>ESPONJA ANTILLUVIA DE PARABRISAS</v>
      </c>
      <c r="AD1171" s="65"/>
      <c r="AE1171" s="65">
        <f>IFERROR(__xludf.DUMMYFUNCTION("""COMPUTED_VALUE"""),1.0)</f>
        <v>1</v>
      </c>
      <c r="AF1171" s="65"/>
      <c r="AG1171" s="65"/>
      <c r="AH1171" s="65"/>
      <c r="AI1171" s="65"/>
      <c r="AJ1171" s="65"/>
      <c r="AK1171" s="65"/>
      <c r="AL1171" s="65"/>
      <c r="AM1171" s="65"/>
      <c r="AN1171" s="65" t="str">
        <f>IFERROR(__xludf.DUMMYFUNCTION("""COMPUTED_VALUE"""),"13:12")</f>
        <v>13:12</v>
      </c>
      <c r="AO1171" s="65" t="str">
        <f>IFERROR(__xludf.DUMMYFUNCTION("""COMPUTED_VALUE"""),"06-02-2026")</f>
        <v>06-02-2026</v>
      </c>
      <c r="AP1171" s="65" t="str">
        <f>IFERROR(__xludf.DUMMYFUNCTION("""COMPUTED_VALUE"""),"ENTREGADA GINTRACOM")</f>
        <v>ENTREGADA GINTRACOM</v>
      </c>
      <c r="AQ1171" s="65" t="str">
        <f>IFERROR(__xludf.DUMMYFUNCTION("""COMPUTED_VALUE"""),"ENTREGADA GINTRACOM")</f>
        <v>ENTREGADA GINTRACOM</v>
      </c>
      <c r="AR1171" s="65"/>
      <c r="AS1171" s="65"/>
      <c r="AT1171" s="65" t="str">
        <f>IFERROR(__xludf.DUMMYFUNCTION("""COMPUTED_VALUE"""),"SHOPIFY")</f>
        <v>SHOPIFY</v>
      </c>
      <c r="AU1171" s="65" t="str">
        <f>IFERROR(__xludf.DUMMYFUNCTION("""COMPUTED_VALUE"""),"IMPORTEX EC")</f>
        <v>IMPORTEX EC</v>
      </c>
      <c r="AV1171" s="65" t="str">
        <f>IFERROR(__xludf.DUMMYFUNCTION("""COMPUTED_VALUE"""),"6467714875436")</f>
        <v>6467714875436</v>
      </c>
      <c r="AW1171" s="65">
        <f>IFERROR(__xludf.DUMMYFUNCTION("""COMPUTED_VALUE"""),5732.0)</f>
        <v>5732</v>
      </c>
      <c r="AX1171" s="65"/>
      <c r="AY1171" s="65" t="str">
        <f>IFERROR(__xludf.DUMMYFUNCTION("""COMPUTED_VALUE"""),"02/02/2026")</f>
        <v>02/02/2026</v>
      </c>
      <c r="AZ1171" s="65"/>
      <c r="BA1171" s="65"/>
    </row>
    <row r="1172">
      <c r="A1172" s="65" t="str">
        <f>IFERROR(__xludf.DUMMYFUNCTION("""COMPUTED_VALUE"""),"27-03-2026")</f>
        <v>27-03-2026</v>
      </c>
      <c r="B1172" s="65">
        <f>IFERROR(__xludf.DUMMYFUNCTION("""COMPUTED_VALUE"""),4348584.0)</f>
        <v>4348584</v>
      </c>
      <c r="C1172" s="65" t="str">
        <f>IFERROR(__xludf.DUMMYFUNCTION("""COMPUTED_VALUE"""),"02:12")</f>
        <v>02:12</v>
      </c>
      <c r="D1172" s="65" t="str">
        <f>IFERROR(__xludf.DUMMYFUNCTION("""COMPUTED_VALUE"""),"01-02-2026")</f>
        <v>01-02-2026</v>
      </c>
      <c r="E1172" s="65" t="str">
        <f>IFERROR(__xludf.DUMMYFUNCTION("""COMPUTED_VALUE"""),"Angel Balcazar")</f>
        <v>Angel Balcazar</v>
      </c>
      <c r="F1172" s="65" t="str">
        <f>IFERROR(__xludf.DUMMYFUNCTION("""COMPUTED_VALUE"""),"986569333")</f>
        <v>986569333</v>
      </c>
      <c r="G1172" s="65" t="str">
        <f>IFERROR(__xludf.DUMMYFUNCTION("""COMPUTED_VALUE"""),"jinsopmania79@hotmail.com")</f>
        <v>jinsopmania79@hotmail.com</v>
      </c>
      <c r="H1172" s="65"/>
      <c r="I1172" s="65"/>
      <c r="J1172" s="65" t="str">
        <f>IFERROR(__xludf.DUMMYFUNCTION("""COMPUTED_VALUE"""),"D001288580")</f>
        <v>D001288580</v>
      </c>
      <c r="K1172" s="65" t="str">
        <f>IFERROR(__xludf.DUMMYFUNCTION("""COMPUTED_VALUE"""),"ENTREGADO")</f>
        <v>ENTREGADO</v>
      </c>
      <c r="L1172" s="65" t="str">
        <f>IFERROR(__xludf.DUMMYFUNCTION("""COMPUTED_VALUE"""),"CON RECAUDO")</f>
        <v>CON RECAUDO</v>
      </c>
      <c r="M1172" s="65" t="str">
        <f>IFERROR(__xludf.DUMMYFUNCTION("""COMPUTED_VALUE"""),"EL ORO")</f>
        <v>EL ORO</v>
      </c>
      <c r="N1172" s="65" t="str">
        <f>IFERROR(__xludf.DUMMYFUNCTION("""COMPUTED_VALUE"""),"MACHALA")</f>
        <v>MACHALA</v>
      </c>
      <c r="O1172" s="65" t="str">
        <f>IFERROR(__xludf.DUMMYFUNCTION("""COMPUTED_VALUE"""),"av. 25 de Junio Urbanización Santa Inés -")</f>
        <v>av. 25 de Junio Urbanización Santa Inés -</v>
      </c>
      <c r="P1172" s="65"/>
      <c r="Q1172" s="65" t="str">
        <f>IFERROR(__xludf.DUMMYFUNCTION("""COMPUTED_VALUE"""),"GINTRACOM")</f>
        <v>GINTRACOM</v>
      </c>
      <c r="R1172" s="65">
        <f>IFERROR(__xludf.DUMMYFUNCTION("""COMPUTED_VALUE"""),25.0)</f>
        <v>25</v>
      </c>
      <c r="S1172" s="65">
        <f>IFERROR(__xludf.DUMMYFUNCTION("""COMPUTED_VALUE"""),14.34)</f>
        <v>14.34</v>
      </c>
      <c r="T1172" s="65">
        <f>IFERROR(__xludf.DUMMYFUNCTION("""COMPUTED_VALUE"""),5.96)</f>
        <v>5.96</v>
      </c>
      <c r="U1172" s="65">
        <f>IFERROR(__xludf.DUMMYFUNCTION("""COMPUTED_VALUE"""),0.0)</f>
        <v>0</v>
      </c>
      <c r="V1172" s="65">
        <f>IFERROR(__xludf.DUMMYFUNCTION("""COMPUTED_VALUE"""),0.0)</f>
        <v>0</v>
      </c>
      <c r="W1172" s="65">
        <f>IFERROR(__xludf.DUMMYFUNCTION("""COMPUTED_VALUE"""),0.0)</f>
        <v>0</v>
      </c>
      <c r="X1172" s="65">
        <f>IFERROR(__xludf.DUMMYFUNCTION("""COMPUTED_VALUE"""),2.35)</f>
        <v>2.35</v>
      </c>
      <c r="Y1172" s="65">
        <f>IFERROR(__xludf.DUMMYFUNCTION("""COMPUTED_VALUE"""),4.7)</f>
        <v>4.7</v>
      </c>
      <c r="Z1172" s="65">
        <f>IFERROR(__xludf.DUMMYFUNCTION("""COMPUTED_VALUE"""),116679.0)</f>
        <v>116679</v>
      </c>
      <c r="AA1172" s="65" t="str">
        <f>IFERROR(__xludf.DUMMYFUNCTION("""COMPUTED_VALUE"""),"AMC-2738")</f>
        <v>AMC-2738</v>
      </c>
      <c r="AB1172" s="65"/>
      <c r="AC1172" s="65" t="str">
        <f>IFERROR(__xludf.DUMMYFUNCTION("""COMPUTED_VALUE"""),"ESPONJA ANTILLUVIA DE PARABRISAS")</f>
        <v>ESPONJA ANTILLUVIA DE PARABRISAS</v>
      </c>
      <c r="AD1172" s="65"/>
      <c r="AE1172" s="65">
        <f>IFERROR(__xludf.DUMMYFUNCTION("""COMPUTED_VALUE"""),2.0)</f>
        <v>2</v>
      </c>
      <c r="AF1172" s="65" t="str">
        <f>IFERROR(__xludf.DUMMYFUNCTION("""COMPUTED_VALUE"""),"DESTINATARIO NO SE ENCUENTRA EN LUGAR DE ENTREGA.")</f>
        <v>DESTINATARIO NO SE ENCUENTRA EN LUGAR DE ENTREGA.</v>
      </c>
      <c r="AG1172" s="65" t="str">
        <f>IFERROR(__xludf.DUMMYFUNCTION("""COMPUTED_VALUE"""),"NO")</f>
        <v>NO</v>
      </c>
      <c r="AH1172" s="65" t="str">
        <f>IFERROR(__xludf.DUMMYFUNCTION("""COMPUTED_VALUE"""),"17:32")</f>
        <v>17:32</v>
      </c>
      <c r="AI1172" s="65" t="str">
        <f>IFERROR(__xludf.DUMMYFUNCTION("""COMPUTED_VALUE"""),"05-02-2026")</f>
        <v>05-02-2026</v>
      </c>
      <c r="AJ1172" s="65"/>
      <c r="AK1172" s="65"/>
      <c r="AL1172" s="65"/>
      <c r="AM1172" s="65"/>
      <c r="AN1172" s="65" t="str">
        <f>IFERROR(__xludf.DUMMYFUNCTION("""COMPUTED_VALUE"""),"09:07")</f>
        <v>09:07</v>
      </c>
      <c r="AO1172" s="65" t="str">
        <f>IFERROR(__xludf.DUMMYFUNCTION("""COMPUTED_VALUE"""),"07-02-2026")</f>
        <v>07-02-2026</v>
      </c>
      <c r="AP1172" s="65" t="str">
        <f>IFERROR(__xludf.DUMMYFUNCTION("""COMPUTED_VALUE"""),"ENTREGADA GINTRACOM")</f>
        <v>ENTREGADA GINTRACOM</v>
      </c>
      <c r="AQ1172" s="65" t="str">
        <f>IFERROR(__xludf.DUMMYFUNCTION("""COMPUTED_VALUE"""),"ENTREGADA GINTRACOM")</f>
        <v>ENTREGADA GINTRACOM</v>
      </c>
      <c r="AR1172" s="65"/>
      <c r="AS1172" s="65"/>
      <c r="AT1172" s="65" t="str">
        <f>IFERROR(__xludf.DUMMYFUNCTION("""COMPUTED_VALUE"""),"SHOPIFY")</f>
        <v>SHOPIFY</v>
      </c>
      <c r="AU1172" s="65" t="str">
        <f>IFERROR(__xludf.DUMMYFUNCTION("""COMPUTED_VALUE"""),"IMPORTEX EC")</f>
        <v>IMPORTEX EC</v>
      </c>
      <c r="AV1172" s="65" t="str">
        <f>IFERROR(__xludf.DUMMYFUNCTION("""COMPUTED_VALUE"""),"6467472883756")</f>
        <v>6467472883756</v>
      </c>
      <c r="AW1172" s="65">
        <f>IFERROR(__xludf.DUMMYFUNCTION("""COMPUTED_VALUE"""),5731.0)</f>
        <v>5731</v>
      </c>
      <c r="AX1172" s="65"/>
      <c r="AY1172" s="65" t="str">
        <f>IFERROR(__xludf.DUMMYFUNCTION("""COMPUTED_VALUE"""),"02/02/2026")</f>
        <v>02/02/2026</v>
      </c>
      <c r="AZ1172" s="65"/>
      <c r="BA1172" s="65"/>
    </row>
    <row r="1173">
      <c r="A1173" s="65" t="str">
        <f>IFERROR(__xludf.DUMMYFUNCTION("""COMPUTED_VALUE"""),"27-03-2026")</f>
        <v>27-03-2026</v>
      </c>
      <c r="B1173" s="65">
        <f>IFERROR(__xludf.DUMMYFUNCTION("""COMPUTED_VALUE"""),4348506.0)</f>
        <v>4348506</v>
      </c>
      <c r="C1173" s="65" t="str">
        <f>IFERROR(__xludf.DUMMYFUNCTION("""COMPUTED_VALUE"""),"01:41")</f>
        <v>01:41</v>
      </c>
      <c r="D1173" s="65" t="str">
        <f>IFERROR(__xludf.DUMMYFUNCTION("""COMPUTED_VALUE"""),"01-02-2026")</f>
        <v>01-02-2026</v>
      </c>
      <c r="E1173" s="65" t="str">
        <f>IFERROR(__xludf.DUMMYFUNCTION("""COMPUTED_VALUE"""),"Roxana Zambrano Mendoza")</f>
        <v>Roxana Zambrano Mendoza</v>
      </c>
      <c r="F1173" s="65" t="str">
        <f>IFERROR(__xludf.DUMMYFUNCTION("""COMPUTED_VALUE"""),"991517902")</f>
        <v>991517902</v>
      </c>
      <c r="G1173" s="65" t="str">
        <f>IFERROR(__xludf.DUMMYFUNCTION("""COMPUTED_VALUE"""),"roxanaale329@gmail.com")</f>
        <v>roxanaale329@gmail.com</v>
      </c>
      <c r="H1173" s="65"/>
      <c r="I1173" s="65"/>
      <c r="J1173" s="65" t="str">
        <f>IFERROR(__xludf.DUMMYFUNCTION("""COMPUTED_VALUE"""),"186995637")</f>
        <v>186995637</v>
      </c>
      <c r="K1173" s="65" t="str">
        <f>IFERROR(__xludf.DUMMYFUNCTION("""COMPUTED_VALUE"""),"DEVOLUCION")</f>
        <v>DEVOLUCION</v>
      </c>
      <c r="L1173" s="65" t="str">
        <f>IFERROR(__xludf.DUMMYFUNCTION("""COMPUTED_VALUE"""),"CON RECAUDO")</f>
        <v>CON RECAUDO</v>
      </c>
      <c r="M1173" s="65" t="str">
        <f>IFERROR(__xludf.DUMMYFUNCTION("""COMPUTED_VALUE"""),"GUAYAS")</f>
        <v>GUAYAS</v>
      </c>
      <c r="N1173" s="65" t="str">
        <f>IFERROR(__xludf.DUMMYFUNCTION("""COMPUTED_VALUE"""),"SIMON BOLIVAR")</f>
        <v>SIMON BOLIVAR</v>
      </c>
      <c r="O1173" s="65" t="str">
        <f>IFERROR(__xludf.DUMMYFUNCTION("""COMPUTED_VALUE"""),"Parroquia cnel Lorenzo de Garaicoa vía a Simon Bolivar Río chico a 400m de unidad Educativa 13 de octubre en Depósito al Paso")</f>
        <v>Parroquia cnel Lorenzo de Garaicoa vía a Simon Bolivar Río chico a 400m de unidad Educativa 13 de octubre en Depósito al Paso</v>
      </c>
      <c r="P1173" s="65"/>
      <c r="Q1173" s="65" t="str">
        <f>IFERROR(__xludf.DUMMYFUNCTION("""COMPUTED_VALUE"""),"SERVIENTREGA")</f>
        <v>SERVIENTREGA</v>
      </c>
      <c r="R1173" s="65">
        <f>IFERROR(__xludf.DUMMYFUNCTION("""COMPUTED_VALUE"""),25.0)</f>
        <v>25</v>
      </c>
      <c r="S1173" s="65"/>
      <c r="T1173" s="65">
        <f>IFERROR(__xludf.DUMMYFUNCTION("""COMPUTED_VALUE"""),7.75)</f>
        <v>7.75</v>
      </c>
      <c r="U1173" s="65">
        <f>IFERROR(__xludf.DUMMYFUNCTION("""COMPUTED_VALUE"""),0.0)</f>
        <v>0</v>
      </c>
      <c r="V1173" s="65">
        <f>IFERROR(__xludf.DUMMYFUNCTION("""COMPUTED_VALUE"""),0.0)</f>
        <v>0</v>
      </c>
      <c r="W1173" s="65">
        <f>IFERROR(__xludf.DUMMYFUNCTION("""COMPUTED_VALUE"""),0.0)</f>
        <v>0</v>
      </c>
      <c r="X1173" s="65">
        <f>IFERROR(__xludf.DUMMYFUNCTION("""COMPUTED_VALUE"""),2.35)</f>
        <v>2.35</v>
      </c>
      <c r="Y1173" s="65">
        <f>IFERROR(__xludf.DUMMYFUNCTION("""COMPUTED_VALUE"""),4.7)</f>
        <v>4.7</v>
      </c>
      <c r="Z1173" s="65">
        <f>IFERROR(__xludf.DUMMYFUNCTION("""COMPUTED_VALUE"""),116679.0)</f>
        <v>116679</v>
      </c>
      <c r="AA1173" s="65" t="str">
        <f>IFERROR(__xludf.DUMMYFUNCTION("""COMPUTED_VALUE"""),"AMC-2738")</f>
        <v>AMC-2738</v>
      </c>
      <c r="AB1173" s="65"/>
      <c r="AC1173" s="65" t="str">
        <f>IFERROR(__xludf.DUMMYFUNCTION("""COMPUTED_VALUE"""),"ESPONJA ANTILLUVIA DE PARABRISAS")</f>
        <v>ESPONJA ANTILLUVIA DE PARABRISAS</v>
      </c>
      <c r="AD1173" s="65"/>
      <c r="AE1173" s="65">
        <f>IFERROR(__xludf.DUMMYFUNCTION("""COMPUTED_VALUE"""),2.0)</f>
        <v>2</v>
      </c>
      <c r="AF1173" s="65" t="str">
        <f>IFERROR(__xludf.DUMMYFUNCTION("""COMPUTED_VALUE"""),"DEVUELTO DE")</f>
        <v>DEVUELTO DE</v>
      </c>
      <c r="AG1173" s="65" t="str">
        <f>IFERROR(__xludf.DUMMYFUNCTION("""COMPUTED_VALUE"""),"NO")</f>
        <v>NO</v>
      </c>
      <c r="AH1173" s="65" t="str">
        <f>IFERROR(__xludf.DUMMYFUNCTION("""COMPUTED_VALUE"""),"09:35")</f>
        <v>09:35</v>
      </c>
      <c r="AI1173" s="65" t="str">
        <f>IFERROR(__xludf.DUMMYFUNCTION("""COMPUTED_VALUE"""),"12-02-2026")</f>
        <v>12-02-2026</v>
      </c>
      <c r="AJ1173" s="65"/>
      <c r="AK1173" s="65"/>
      <c r="AL1173" s="65"/>
      <c r="AM1173" s="65"/>
      <c r="AN1173" s="65" t="str">
        <f>IFERROR(__xludf.DUMMYFUNCTION("""COMPUTED_VALUE"""),"01:02")</f>
        <v>01:02</v>
      </c>
      <c r="AO1173" s="65" t="str">
        <f>IFERROR(__xludf.DUMMYFUNCTION("""COMPUTED_VALUE"""),"20-02-2026")</f>
        <v>20-02-2026</v>
      </c>
      <c r="AP1173" s="65" t="str">
        <f>IFERROR(__xludf.DUMMYFUNCTION("""COMPUTED_VALUE"""),"Certificacion Devolucion al Remitente CL QUITO SUR")</f>
        <v>Certificacion Devolucion al Remitente CL QUITO SUR</v>
      </c>
      <c r="AQ1173" s="65" t="str">
        <f>IFERROR(__xludf.DUMMYFUNCTION("""COMPUTED_VALUE"""),"{}")</f>
        <v>{}</v>
      </c>
      <c r="AR1173" s="65"/>
      <c r="AS1173" s="65"/>
      <c r="AT1173" s="65" t="str">
        <f>IFERROR(__xludf.DUMMYFUNCTION("""COMPUTED_VALUE"""),"SHOPIFY")</f>
        <v>SHOPIFY</v>
      </c>
      <c r="AU1173" s="65" t="str">
        <f>IFERROR(__xludf.DUMMYFUNCTION("""COMPUTED_VALUE"""),"IMPORTEX EC")</f>
        <v>IMPORTEX EC</v>
      </c>
      <c r="AV1173" s="65" t="str">
        <f>IFERROR(__xludf.DUMMYFUNCTION("""COMPUTED_VALUE"""),"6467441328172")</f>
        <v>6467441328172</v>
      </c>
      <c r="AW1173" s="65">
        <f>IFERROR(__xludf.DUMMYFUNCTION("""COMPUTED_VALUE"""),5730.0)</f>
        <v>5730</v>
      </c>
      <c r="AX1173" s="65"/>
      <c r="AY1173" s="65" t="str">
        <f>IFERROR(__xludf.DUMMYFUNCTION("""COMPUTED_VALUE"""),"03/02/2026")</f>
        <v>03/02/2026</v>
      </c>
      <c r="AZ1173" s="65"/>
      <c r="BA1173" s="65"/>
    </row>
    <row r="1174">
      <c r="A1174" s="65" t="str">
        <f>IFERROR(__xludf.DUMMYFUNCTION("""COMPUTED_VALUE"""),"27-03-2026")</f>
        <v>27-03-2026</v>
      </c>
      <c r="B1174" s="65">
        <f>IFERROR(__xludf.DUMMYFUNCTION("""COMPUTED_VALUE"""),4348457.0)</f>
        <v>4348457</v>
      </c>
      <c r="C1174" s="65" t="str">
        <f>IFERROR(__xludf.DUMMYFUNCTION("""COMPUTED_VALUE"""),"01:18")</f>
        <v>01:18</v>
      </c>
      <c r="D1174" s="65" t="str">
        <f>IFERROR(__xludf.DUMMYFUNCTION("""COMPUTED_VALUE"""),"01-02-2026")</f>
        <v>01-02-2026</v>
      </c>
      <c r="E1174" s="65" t="str">
        <f>IFERROR(__xludf.DUMMYFUNCTION("""COMPUTED_VALUE"""),"Verónica Flores")</f>
        <v>Verónica Flores</v>
      </c>
      <c r="F1174" s="65" t="str">
        <f>IFERROR(__xludf.DUMMYFUNCTION("""COMPUTED_VALUE"""),"997021537")</f>
        <v>997021537</v>
      </c>
      <c r="G1174" s="65"/>
      <c r="H1174" s="65"/>
      <c r="I1174" s="65"/>
      <c r="J1174" s="65" t="str">
        <f>IFERROR(__xludf.DUMMYFUNCTION("""COMPUTED_VALUE"""),"D001290774")</f>
        <v>D001290774</v>
      </c>
      <c r="K1174" s="65" t="str">
        <f>IFERROR(__xludf.DUMMYFUNCTION("""COMPUTED_VALUE"""),"DEVOLUCION")</f>
        <v>DEVOLUCION</v>
      </c>
      <c r="L1174" s="65" t="str">
        <f>IFERROR(__xludf.DUMMYFUNCTION("""COMPUTED_VALUE"""),"CON RECAUDO")</f>
        <v>CON RECAUDO</v>
      </c>
      <c r="M1174" s="65" t="str">
        <f>IFERROR(__xludf.DUMMYFUNCTION("""COMPUTED_VALUE"""),"EL ORO")</f>
        <v>EL ORO</v>
      </c>
      <c r="N1174" s="65" t="str">
        <f>IFERROR(__xludf.DUMMYFUNCTION("""COMPUTED_VALUE"""),"HUAQUILLAS")</f>
        <v>HUAQUILLAS</v>
      </c>
      <c r="O1174" s="65" t="str">
        <f>IFERROR(__xludf.DUMMYFUNCTION("""COMPUTED_VALUE"""),"Calle santa rosa Y  machala , Cerca de la cooperativa CIFA")</f>
        <v>Calle santa rosa Y  machala , Cerca de la cooperativa CIFA</v>
      </c>
      <c r="P1174" s="65"/>
      <c r="Q1174" s="65" t="str">
        <f>IFERROR(__xludf.DUMMYFUNCTION("""COMPUTED_VALUE"""),"GINTRACOM")</f>
        <v>GINTRACOM</v>
      </c>
      <c r="R1174" s="65">
        <f>IFERROR(__xludf.DUMMYFUNCTION("""COMPUTED_VALUE"""),22.0)</f>
        <v>22</v>
      </c>
      <c r="S1174" s="65"/>
      <c r="T1174" s="65">
        <f>IFERROR(__xludf.DUMMYFUNCTION("""COMPUTED_VALUE"""),5.84)</f>
        <v>5.84</v>
      </c>
      <c r="U1174" s="65">
        <f>IFERROR(__xludf.DUMMYFUNCTION("""COMPUTED_VALUE"""),0.0)</f>
        <v>0</v>
      </c>
      <c r="V1174" s="65">
        <f>IFERROR(__xludf.DUMMYFUNCTION("""COMPUTED_VALUE"""),0.0)</f>
        <v>0</v>
      </c>
      <c r="W1174" s="65">
        <f>IFERROR(__xludf.DUMMYFUNCTION("""COMPUTED_VALUE"""),0.0)</f>
        <v>0</v>
      </c>
      <c r="X1174" s="65">
        <f>IFERROR(__xludf.DUMMYFUNCTION("""COMPUTED_VALUE"""),2.6)</f>
        <v>2.6</v>
      </c>
      <c r="Y1174" s="65">
        <f>IFERROR(__xludf.DUMMYFUNCTION("""COMPUTED_VALUE"""),5.2)</f>
        <v>5.2</v>
      </c>
      <c r="Z1174" s="65">
        <f>IFERROR(__xludf.DUMMYFUNCTION("""COMPUTED_VALUE"""),121983.0)</f>
        <v>121983</v>
      </c>
      <c r="AA1174" s="65" t="str">
        <f>IFERROR(__xludf.DUMMYFUNCTION("""COMPUTED_VALUE"""),"PROV-CHLLCF")</f>
        <v>PROV-CHLLCF</v>
      </c>
      <c r="AB1174" s="65"/>
      <c r="AC1174" s="65" t="str">
        <f>IFERROR(__xludf.DUMMYFUNCTION("""COMPUTED_VALUE"""),"CUCHILLO PARA CHEF")</f>
        <v>CUCHILLO PARA CHEF</v>
      </c>
      <c r="AD1174" s="65"/>
      <c r="AE1174" s="65">
        <f>IFERROR(__xludf.DUMMYFUNCTION("""COMPUTED_VALUE"""),2.0)</f>
        <v>2</v>
      </c>
      <c r="AF1174" s="65" t="str">
        <f>IFERROR(__xludf.DUMMYFUNCTION("""COMPUTED_VALUE"""),"DESTINATARIO NO CONTESTA LLAMADAS NI WHATSAPP")</f>
        <v>DESTINATARIO NO CONTESTA LLAMADAS NI WHATSAPP</v>
      </c>
      <c r="AG1174" s="65" t="str">
        <f>IFERROR(__xludf.DUMMYFUNCTION("""COMPUTED_VALUE"""),"NO")</f>
        <v>NO</v>
      </c>
      <c r="AH1174" s="65" t="str">
        <f>IFERROR(__xludf.DUMMYFUNCTION("""COMPUTED_VALUE"""),"13:33")</f>
        <v>13:33</v>
      </c>
      <c r="AI1174" s="65" t="str">
        <f>IFERROR(__xludf.DUMMYFUNCTION("""COMPUTED_VALUE"""),"12-02-2026")</f>
        <v>12-02-2026</v>
      </c>
      <c r="AJ1174" s="65"/>
      <c r="AK1174" s="65"/>
      <c r="AL1174" s="65"/>
      <c r="AM1174" s="65"/>
      <c r="AN1174" s="65" t="str">
        <f>IFERROR(__xludf.DUMMYFUNCTION("""COMPUTED_VALUE"""),"01:37")</f>
        <v>01:37</v>
      </c>
      <c r="AO1174" s="65" t="str">
        <f>IFERROR(__xludf.DUMMYFUNCTION("""COMPUTED_VALUE"""),"06-03-2026")</f>
        <v>06-03-2026</v>
      </c>
      <c r="AP1174" s="65" t="str">
        <f>IFERROR(__xludf.DUMMYFUNCTION("""COMPUTED_VALUE"""),"DEVOLUCIÓN ENTREGADA A ORIGEN")</f>
        <v>DEVOLUCIÓN ENTREGADA A ORIGEN</v>
      </c>
      <c r="AQ1174" s="65" t="str">
        <f>IFERROR(__xludf.DUMMYFUNCTION("""COMPUTED_VALUE"""),"DEVOLUCIÓN ENTREGADA A ORIGEN")</f>
        <v>DEVOLUCIÓN ENTREGADA A ORIGEN</v>
      </c>
      <c r="AR1174" s="65"/>
      <c r="AS1174" s="65"/>
      <c r="AT1174" s="65" t="str">
        <f>IFERROR(__xludf.DUMMYFUNCTION("""COMPUTED_VALUE"""),"SHOPIFY")</f>
        <v>SHOPIFY</v>
      </c>
      <c r="AU1174" s="65" t="str">
        <f>IFERROR(__xludf.DUMMYFUNCTION("""COMPUTED_VALUE"""),"IMPORTEX EC")</f>
        <v>IMPORTEX EC</v>
      </c>
      <c r="AV1174" s="65" t="str">
        <f>IFERROR(__xludf.DUMMYFUNCTION("""COMPUTED_VALUE"""),"6467416195116")</f>
        <v>6467416195116</v>
      </c>
      <c r="AW1174" s="65">
        <f>IFERROR(__xludf.DUMMYFUNCTION("""COMPUTED_VALUE"""),5729.0)</f>
        <v>5729</v>
      </c>
      <c r="AX1174" s="65"/>
      <c r="AY1174" s="65" t="str">
        <f>IFERROR(__xludf.DUMMYFUNCTION("""COMPUTED_VALUE"""),"03/02/2026")</f>
        <v>03/02/2026</v>
      </c>
      <c r="AZ1174" s="65"/>
      <c r="BA1174" s="65"/>
    </row>
    <row r="1175">
      <c r="A1175" s="65" t="str">
        <f>IFERROR(__xludf.DUMMYFUNCTION("""COMPUTED_VALUE"""),"27-03-2026")</f>
        <v>27-03-2026</v>
      </c>
      <c r="B1175" s="65">
        <f>IFERROR(__xludf.DUMMYFUNCTION("""COMPUTED_VALUE"""),4348391.0)</f>
        <v>4348391</v>
      </c>
      <c r="C1175" s="65" t="str">
        <f>IFERROR(__xludf.DUMMYFUNCTION("""COMPUTED_VALUE"""),"00:50")</f>
        <v>00:50</v>
      </c>
      <c r="D1175" s="65" t="str">
        <f>IFERROR(__xludf.DUMMYFUNCTION("""COMPUTED_VALUE"""),"01-02-2026")</f>
        <v>01-02-2026</v>
      </c>
      <c r="E1175" s="65" t="str">
        <f>IFERROR(__xludf.DUMMYFUNCTION("""COMPUTED_VALUE"""),"Venus Rodriguez")</f>
        <v>Venus Rodriguez</v>
      </c>
      <c r="F1175" s="65" t="str">
        <f>IFERROR(__xludf.DUMMYFUNCTION("""COMPUTED_VALUE"""),"999709984")</f>
        <v>999709984</v>
      </c>
      <c r="G1175" s="65" t="str">
        <f>IFERROR(__xludf.DUMMYFUNCTION("""COMPUTED_VALUE"""),"email@venusrodriguez.com")</f>
        <v>email@venusrodriguez.com</v>
      </c>
      <c r="H1175" s="65"/>
      <c r="I1175" s="65"/>
      <c r="J1175" s="65" t="str">
        <f>IFERROR(__xludf.DUMMYFUNCTION("""COMPUTED_VALUE"""),"D001288581")</f>
        <v>D001288581</v>
      </c>
      <c r="K1175" s="65" t="str">
        <f>IFERROR(__xludf.DUMMYFUNCTION("""COMPUTED_VALUE"""),"DEVOLUCION")</f>
        <v>DEVOLUCION</v>
      </c>
      <c r="L1175" s="65" t="str">
        <f>IFERROR(__xludf.DUMMYFUNCTION("""COMPUTED_VALUE"""),"CON RECAUDO")</f>
        <v>CON RECAUDO</v>
      </c>
      <c r="M1175" s="65" t="str">
        <f>IFERROR(__xludf.DUMMYFUNCTION("""COMPUTED_VALUE"""),"PICHINCHA")</f>
        <v>PICHINCHA</v>
      </c>
      <c r="N1175" s="65" t="str">
        <f>IFERROR(__xludf.DUMMYFUNCTION("""COMPUTED_VALUE"""),"QUITO")</f>
        <v>QUITO</v>
      </c>
      <c r="O1175" s="65" t="str">
        <f>IFERROR(__xludf.DUMMYFUNCTION("""COMPUTED_VALUE"""),"Urbanización altos del valle. Avda interoceanica km 5 y  junto a Miravalle 1 diagonal a gasolinera terpel de Miravalle -")</f>
        <v>Urbanización altos del valle. Avda interoceanica km 5 y  junto a Miravalle 1 diagonal a gasolinera terpel de Miravalle -</v>
      </c>
      <c r="P1175" s="65"/>
      <c r="Q1175" s="65" t="str">
        <f>IFERROR(__xludf.DUMMYFUNCTION("""COMPUTED_VALUE"""),"GINTRACOM")</f>
        <v>GINTRACOM</v>
      </c>
      <c r="R1175" s="65">
        <f>IFERROR(__xludf.DUMMYFUNCTION("""COMPUTED_VALUE"""),20.0)</f>
        <v>20</v>
      </c>
      <c r="S1175" s="65"/>
      <c r="T1175" s="65">
        <f>IFERROR(__xludf.DUMMYFUNCTION("""COMPUTED_VALUE"""),4.15)</f>
        <v>4.15</v>
      </c>
      <c r="U1175" s="65">
        <f>IFERROR(__xludf.DUMMYFUNCTION("""COMPUTED_VALUE"""),0.0)</f>
        <v>0</v>
      </c>
      <c r="V1175" s="65">
        <f>IFERROR(__xludf.DUMMYFUNCTION("""COMPUTED_VALUE"""),0.0)</f>
        <v>0</v>
      </c>
      <c r="W1175" s="65">
        <f>IFERROR(__xludf.DUMMYFUNCTION("""COMPUTED_VALUE"""),0.0)</f>
        <v>0</v>
      </c>
      <c r="X1175" s="65">
        <f>IFERROR(__xludf.DUMMYFUNCTION("""COMPUTED_VALUE"""),2.35)</f>
        <v>2.35</v>
      </c>
      <c r="Y1175" s="65">
        <f>IFERROR(__xludf.DUMMYFUNCTION("""COMPUTED_VALUE"""),2.35)</f>
        <v>2.35</v>
      </c>
      <c r="Z1175" s="65">
        <f>IFERROR(__xludf.DUMMYFUNCTION("""COMPUTED_VALUE"""),116679.0)</f>
        <v>116679</v>
      </c>
      <c r="AA1175" s="65" t="str">
        <f>IFERROR(__xludf.DUMMYFUNCTION("""COMPUTED_VALUE"""),"AMC-2738")</f>
        <v>AMC-2738</v>
      </c>
      <c r="AB1175" s="65"/>
      <c r="AC1175" s="65" t="str">
        <f>IFERROR(__xludf.DUMMYFUNCTION("""COMPUTED_VALUE"""),"ESPONJA ANTILLUVIA DE PARABRISAS")</f>
        <v>ESPONJA ANTILLUVIA DE PARABRISAS</v>
      </c>
      <c r="AD1175" s="65"/>
      <c r="AE1175" s="65">
        <f>IFERROR(__xludf.DUMMYFUNCTION("""COMPUTED_VALUE"""),1.0)</f>
        <v>1</v>
      </c>
      <c r="AF1175" s="65" t="str">
        <f>IFERROR(__xludf.DUMMYFUNCTION("""COMPUTED_VALUE"""),"DESTINATARIO NO CONTESTA LLAMADAS NI WHATSAPP")</f>
        <v>DESTINATARIO NO CONTESTA LLAMADAS NI WHATSAPP</v>
      </c>
      <c r="AG1175" s="65" t="str">
        <f>IFERROR(__xludf.DUMMYFUNCTION("""COMPUTED_VALUE"""),"NO")</f>
        <v>NO</v>
      </c>
      <c r="AH1175" s="65" t="str">
        <f>IFERROR(__xludf.DUMMYFUNCTION("""COMPUTED_VALUE"""),"09:00")</f>
        <v>09:00</v>
      </c>
      <c r="AI1175" s="65" t="str">
        <f>IFERROR(__xludf.DUMMYFUNCTION("""COMPUTED_VALUE"""),"13-02-2026")</f>
        <v>13-02-2026</v>
      </c>
      <c r="AJ1175" s="65"/>
      <c r="AK1175" s="65"/>
      <c r="AL1175" s="65"/>
      <c r="AM1175" s="65"/>
      <c r="AN1175" s="65" t="str">
        <f>IFERROR(__xludf.DUMMYFUNCTION("""COMPUTED_VALUE"""),"19:32")</f>
        <v>19:32</v>
      </c>
      <c r="AO1175" s="65" t="str">
        <f>IFERROR(__xludf.DUMMYFUNCTION("""COMPUTED_VALUE"""),"19-02-2026")</f>
        <v>19-02-2026</v>
      </c>
      <c r="AP1175" s="65" t="str">
        <f>IFERROR(__xludf.DUMMYFUNCTION("""COMPUTED_VALUE"""),"DEVOLUCIÓN ENTREGADA A ORIGEN")</f>
        <v>DEVOLUCIÓN ENTREGADA A ORIGEN</v>
      </c>
      <c r="AQ1175" s="65" t="str">
        <f>IFERROR(__xludf.DUMMYFUNCTION("""COMPUTED_VALUE"""),"DEVOLUCIÓN ENTREGADA A ORIGEN")</f>
        <v>DEVOLUCIÓN ENTREGADA A ORIGEN</v>
      </c>
      <c r="AR1175" s="65"/>
      <c r="AS1175" s="65"/>
      <c r="AT1175" s="65" t="str">
        <f>IFERROR(__xludf.DUMMYFUNCTION("""COMPUTED_VALUE"""),"SHOPIFY")</f>
        <v>SHOPIFY</v>
      </c>
      <c r="AU1175" s="65" t="str">
        <f>IFERROR(__xludf.DUMMYFUNCTION("""COMPUTED_VALUE"""),"IMPORTEX EC")</f>
        <v>IMPORTEX EC</v>
      </c>
      <c r="AV1175" s="65" t="str">
        <f>IFERROR(__xludf.DUMMYFUNCTION("""COMPUTED_VALUE"""),"6467378282540")</f>
        <v>6467378282540</v>
      </c>
      <c r="AW1175" s="65">
        <f>IFERROR(__xludf.DUMMYFUNCTION("""COMPUTED_VALUE"""),5728.0)</f>
        <v>5728</v>
      </c>
      <c r="AX1175" s="65"/>
      <c r="AY1175" s="65" t="str">
        <f>IFERROR(__xludf.DUMMYFUNCTION("""COMPUTED_VALUE"""),"02/02/2026")</f>
        <v>02/02/2026</v>
      </c>
      <c r="AZ1175" s="65"/>
      <c r="BA1175" s="65"/>
    </row>
    <row r="1176">
      <c r="A1176" s="65" t="str">
        <f>IFERROR(__xludf.DUMMYFUNCTION("""COMPUTED_VALUE"""),"27-03-2026")</f>
        <v>27-03-2026</v>
      </c>
      <c r="B1176" s="65">
        <f>IFERROR(__xludf.DUMMYFUNCTION("""COMPUTED_VALUE"""),4348312.0)</f>
        <v>4348312</v>
      </c>
      <c r="C1176" s="65" t="str">
        <f>IFERROR(__xludf.DUMMYFUNCTION("""COMPUTED_VALUE"""),"00:25")</f>
        <v>00:25</v>
      </c>
      <c r="D1176" s="65" t="str">
        <f>IFERROR(__xludf.DUMMYFUNCTION("""COMPUTED_VALUE"""),"01-02-2026")</f>
        <v>01-02-2026</v>
      </c>
      <c r="E1176" s="65" t="str">
        <f>IFERROR(__xludf.DUMMYFUNCTION("""COMPUTED_VALUE"""),"Francisco Ormaza")</f>
        <v>Francisco Ormaza</v>
      </c>
      <c r="F1176" s="65" t="str">
        <f>IFERROR(__xludf.DUMMYFUNCTION("""COMPUTED_VALUE"""),"963187050")</f>
        <v>963187050</v>
      </c>
      <c r="G1176" s="65" t="str">
        <f>IFERROR(__xludf.DUMMYFUNCTION("""COMPUTED_VALUE"""),"franciscoormaza1998@gmail.com")</f>
        <v>franciscoormaza1998@gmail.com</v>
      </c>
      <c r="H1176" s="65"/>
      <c r="I1176" s="65"/>
      <c r="J1176" s="65" t="str">
        <f>IFERROR(__xludf.DUMMYFUNCTION("""COMPUTED_VALUE"""),"D001288582")</f>
        <v>D001288582</v>
      </c>
      <c r="K1176" s="65" t="str">
        <f>IFERROR(__xludf.DUMMYFUNCTION("""COMPUTED_VALUE"""),"ENTREGADO")</f>
        <v>ENTREGADO</v>
      </c>
      <c r="L1176" s="65" t="str">
        <f>IFERROR(__xludf.DUMMYFUNCTION("""COMPUTED_VALUE"""),"CON RECAUDO")</f>
        <v>CON RECAUDO</v>
      </c>
      <c r="M1176" s="65" t="str">
        <f>IFERROR(__xludf.DUMMYFUNCTION("""COMPUTED_VALUE"""),"MANABI")</f>
        <v>MANABI</v>
      </c>
      <c r="N1176" s="65" t="str">
        <f>IFERROR(__xludf.DUMMYFUNCTION("""COMPUTED_VALUE"""),"CALCETA")</f>
        <v>CALCETA</v>
      </c>
      <c r="O1176" s="65" t="str">
        <f>IFERROR(__xludf.DUMMYFUNCTION("""COMPUTED_VALUE"""),"Calceta Calle cesar ovidio villamar Y Av. 10 de agosto - Local BARATOCOURIER")</f>
        <v>Calceta Calle cesar ovidio villamar Y Av. 10 de agosto - Local BARATOCOURIER</v>
      </c>
      <c r="P1176" s="65"/>
      <c r="Q1176" s="65" t="str">
        <f>IFERROR(__xludf.DUMMYFUNCTION("""COMPUTED_VALUE"""),"GINTRACOM")</f>
        <v>GINTRACOM</v>
      </c>
      <c r="R1176" s="65">
        <f>IFERROR(__xludf.DUMMYFUNCTION("""COMPUTED_VALUE"""),25.0)</f>
        <v>25</v>
      </c>
      <c r="S1176" s="65">
        <f>IFERROR(__xludf.DUMMYFUNCTION("""COMPUTED_VALUE"""),13.77)</f>
        <v>13.77</v>
      </c>
      <c r="T1176" s="65">
        <f>IFERROR(__xludf.DUMMYFUNCTION("""COMPUTED_VALUE"""),6.53)</f>
        <v>6.53</v>
      </c>
      <c r="U1176" s="65">
        <f>IFERROR(__xludf.DUMMYFUNCTION("""COMPUTED_VALUE"""),0.0)</f>
        <v>0</v>
      </c>
      <c r="V1176" s="65">
        <f>IFERROR(__xludf.DUMMYFUNCTION("""COMPUTED_VALUE"""),0.0)</f>
        <v>0</v>
      </c>
      <c r="W1176" s="65">
        <f>IFERROR(__xludf.DUMMYFUNCTION("""COMPUTED_VALUE"""),0.0)</f>
        <v>0</v>
      </c>
      <c r="X1176" s="65">
        <f>IFERROR(__xludf.DUMMYFUNCTION("""COMPUTED_VALUE"""),2.35)</f>
        <v>2.35</v>
      </c>
      <c r="Y1176" s="65">
        <f>IFERROR(__xludf.DUMMYFUNCTION("""COMPUTED_VALUE"""),4.7)</f>
        <v>4.7</v>
      </c>
      <c r="Z1176" s="65">
        <f>IFERROR(__xludf.DUMMYFUNCTION("""COMPUTED_VALUE"""),116679.0)</f>
        <v>116679</v>
      </c>
      <c r="AA1176" s="65" t="str">
        <f>IFERROR(__xludf.DUMMYFUNCTION("""COMPUTED_VALUE"""),"AMC-2738")</f>
        <v>AMC-2738</v>
      </c>
      <c r="AB1176" s="65"/>
      <c r="AC1176" s="65" t="str">
        <f>IFERROR(__xludf.DUMMYFUNCTION("""COMPUTED_VALUE"""),"ESPONJA ANTILLUVIA DE PARABRISAS")</f>
        <v>ESPONJA ANTILLUVIA DE PARABRISAS</v>
      </c>
      <c r="AD1176" s="65"/>
      <c r="AE1176" s="65">
        <f>IFERROR(__xludf.DUMMYFUNCTION("""COMPUTED_VALUE"""),2.0)</f>
        <v>2</v>
      </c>
      <c r="AF1176" s="65"/>
      <c r="AG1176" s="65"/>
      <c r="AH1176" s="65"/>
      <c r="AI1176" s="65"/>
      <c r="AJ1176" s="65"/>
      <c r="AK1176" s="65"/>
      <c r="AL1176" s="65"/>
      <c r="AM1176" s="65"/>
      <c r="AN1176" s="65"/>
      <c r="AO1176" s="65"/>
      <c r="AP1176" s="65"/>
      <c r="AQ1176" s="65"/>
      <c r="AR1176" s="65"/>
      <c r="AS1176" s="65"/>
      <c r="AT1176" s="65" t="str">
        <f>IFERROR(__xludf.DUMMYFUNCTION("""COMPUTED_VALUE"""),"SHOPIFY")</f>
        <v>SHOPIFY</v>
      </c>
      <c r="AU1176" s="65" t="str">
        <f>IFERROR(__xludf.DUMMYFUNCTION("""COMPUTED_VALUE"""),"IMPORTEX EC")</f>
        <v>IMPORTEX EC</v>
      </c>
      <c r="AV1176" s="65" t="str">
        <f>IFERROR(__xludf.DUMMYFUNCTION("""COMPUTED_VALUE"""),"6467225616428")</f>
        <v>6467225616428</v>
      </c>
      <c r="AW1176" s="65">
        <f>IFERROR(__xludf.DUMMYFUNCTION("""COMPUTED_VALUE"""),5727.0)</f>
        <v>5727</v>
      </c>
      <c r="AX1176" s="65"/>
      <c r="AY1176" s="65" t="str">
        <f>IFERROR(__xludf.DUMMYFUNCTION("""COMPUTED_VALUE"""),"02/02/2026")</f>
        <v>02/02/2026</v>
      </c>
      <c r="AZ1176" s="65"/>
      <c r="BA1176" s="65"/>
    </row>
    <row r="1177">
      <c r="A1177" s="65" t="str">
        <f>IFERROR(__xludf.DUMMYFUNCTION("""COMPUTED_VALUE"""),"27-03-2026")</f>
        <v>27-03-2026</v>
      </c>
      <c r="B1177" s="65">
        <f>IFERROR(__xludf.DUMMYFUNCTION("""COMPUTED_VALUE"""),4347500.0)</f>
        <v>4347500</v>
      </c>
      <c r="C1177" s="65" t="str">
        <f>IFERROR(__xludf.DUMMYFUNCTION("""COMPUTED_VALUE"""),"22:17")</f>
        <v>22:17</v>
      </c>
      <c r="D1177" s="65" t="str">
        <f>IFERROR(__xludf.DUMMYFUNCTION("""COMPUTED_VALUE"""),"31-01-2026")</f>
        <v>31-01-2026</v>
      </c>
      <c r="E1177" s="65" t="str">
        <f>IFERROR(__xludf.DUMMYFUNCTION("""COMPUTED_VALUE"""),"Susana Avila")</f>
        <v>Susana Avila</v>
      </c>
      <c r="F1177" s="65" t="str">
        <f>IFERROR(__xludf.DUMMYFUNCTION("""COMPUTED_VALUE"""),"983120807")</f>
        <v>983120807</v>
      </c>
      <c r="G1177" s="65" t="str">
        <f>IFERROR(__xludf.DUMMYFUNCTION("""COMPUTED_VALUE"""),"avilasusana141@gmail.com")</f>
        <v>avilasusana141@gmail.com</v>
      </c>
      <c r="H1177" s="65"/>
      <c r="I1177" s="65"/>
      <c r="J1177" s="65" t="str">
        <f>IFERROR(__xludf.DUMMYFUNCTION("""COMPUTED_VALUE"""),"D001287592")</f>
        <v>D001287592</v>
      </c>
      <c r="K1177" s="65" t="str">
        <f>IFERROR(__xludf.DUMMYFUNCTION("""COMPUTED_VALUE"""),"ENTREGADO")</f>
        <v>ENTREGADO</v>
      </c>
      <c r="L1177" s="65" t="str">
        <f>IFERROR(__xludf.DUMMYFUNCTION("""COMPUTED_VALUE"""),"CON RECAUDO")</f>
        <v>CON RECAUDO</v>
      </c>
      <c r="M1177" s="65" t="str">
        <f>IFERROR(__xludf.DUMMYFUNCTION("""COMPUTED_VALUE"""),"SUCUMBIOS")</f>
        <v>SUCUMBIOS</v>
      </c>
      <c r="N1177" s="65" t="str">
        <f>IFERROR(__xludf.DUMMYFUNCTION("""COMPUTED_VALUE"""),"LAGO AGRIO")</f>
        <v>LAGO AGRIO</v>
      </c>
      <c r="O1177" s="65" t="str">
        <f>IFERROR(__xludf.DUMMYFUNCTION("""COMPUTED_VALUE"""),"Calle 9 de Octubre y Panamericana  REF : FRENTE AL GARAGE DEL HOTEL SAN CARLOS BARRIO 9 OCTUBRE -")</f>
        <v>Calle 9 de Octubre y Panamericana  REF : FRENTE AL GARAGE DEL HOTEL SAN CARLOS BARRIO 9 OCTUBRE -</v>
      </c>
      <c r="P1177" s="65"/>
      <c r="Q1177" s="65" t="str">
        <f>IFERROR(__xludf.DUMMYFUNCTION("""COMPUTED_VALUE"""),"GINTRACOM")</f>
        <v>GINTRACOM</v>
      </c>
      <c r="R1177" s="65">
        <f>IFERROR(__xludf.DUMMYFUNCTION("""COMPUTED_VALUE"""),32.0)</f>
        <v>32</v>
      </c>
      <c r="S1177" s="65">
        <f>IFERROR(__xludf.DUMMYFUNCTION("""COMPUTED_VALUE"""),15.36)</f>
        <v>15.36</v>
      </c>
      <c r="T1177" s="65">
        <f>IFERROR(__xludf.DUMMYFUNCTION("""COMPUTED_VALUE"""),6.24)</f>
        <v>6.24</v>
      </c>
      <c r="U1177" s="65">
        <f>IFERROR(__xludf.DUMMYFUNCTION("""COMPUTED_VALUE"""),0.0)</f>
        <v>0</v>
      </c>
      <c r="V1177" s="65">
        <f>IFERROR(__xludf.DUMMYFUNCTION("""COMPUTED_VALUE"""),0.0)</f>
        <v>0</v>
      </c>
      <c r="W1177" s="65">
        <f>IFERROR(__xludf.DUMMYFUNCTION("""COMPUTED_VALUE"""),0.0)</f>
        <v>0</v>
      </c>
      <c r="X1177" s="65">
        <f>IFERROR(__xludf.DUMMYFUNCTION("""COMPUTED_VALUE"""),2.6)</f>
        <v>2.6</v>
      </c>
      <c r="Y1177" s="65">
        <f>IFERROR(__xludf.DUMMYFUNCTION("""COMPUTED_VALUE"""),10.4)</f>
        <v>10.4</v>
      </c>
      <c r="Z1177" s="65">
        <f>IFERROR(__xludf.DUMMYFUNCTION("""COMPUTED_VALUE"""),121983.0)</f>
        <v>121983</v>
      </c>
      <c r="AA1177" s="65" t="str">
        <f>IFERROR(__xludf.DUMMYFUNCTION("""COMPUTED_VALUE"""),"PROV-CHLLCF")</f>
        <v>PROV-CHLLCF</v>
      </c>
      <c r="AB1177" s="65"/>
      <c r="AC1177" s="65" t="str">
        <f>IFERROR(__xludf.DUMMYFUNCTION("""COMPUTED_VALUE"""),"CUCHILLO PARA CHEF")</f>
        <v>CUCHILLO PARA CHEF</v>
      </c>
      <c r="AD1177" s="65"/>
      <c r="AE1177" s="65">
        <f>IFERROR(__xludf.DUMMYFUNCTION("""COMPUTED_VALUE"""),4.0)</f>
        <v>4</v>
      </c>
      <c r="AF1177" s="65"/>
      <c r="AG1177" s="65"/>
      <c r="AH1177" s="65"/>
      <c r="AI1177" s="65"/>
      <c r="AJ1177" s="65"/>
      <c r="AK1177" s="65"/>
      <c r="AL1177" s="65"/>
      <c r="AM1177" s="65"/>
      <c r="AN1177" s="65"/>
      <c r="AO1177" s="65"/>
      <c r="AP1177" s="65"/>
      <c r="AQ1177" s="65"/>
      <c r="AR1177" s="65"/>
      <c r="AS1177" s="65"/>
      <c r="AT1177" s="65" t="str">
        <f>IFERROR(__xludf.DUMMYFUNCTION("""COMPUTED_VALUE"""),"SHOPIFY")</f>
        <v>SHOPIFY</v>
      </c>
      <c r="AU1177" s="65" t="str">
        <f>IFERROR(__xludf.DUMMYFUNCTION("""COMPUTED_VALUE"""),"IMPORTEX EC")</f>
        <v>IMPORTEX EC</v>
      </c>
      <c r="AV1177" s="65" t="str">
        <f>IFERROR(__xludf.DUMMYFUNCTION("""COMPUTED_VALUE"""),"6466928803884")</f>
        <v>6466928803884</v>
      </c>
      <c r="AW1177" s="65">
        <f>IFERROR(__xludf.DUMMYFUNCTION("""COMPUTED_VALUE"""),5726.0)</f>
        <v>5726</v>
      </c>
      <c r="AX1177" s="65"/>
      <c r="AY1177" s="65" t="str">
        <f>IFERROR(__xludf.DUMMYFUNCTION("""COMPUTED_VALUE"""),"02/02/2026")</f>
        <v>02/02/2026</v>
      </c>
      <c r="AZ1177" s="65"/>
      <c r="BA1177" s="65"/>
    </row>
    <row r="1178">
      <c r="A1178" s="65" t="str">
        <f>IFERROR(__xludf.DUMMYFUNCTION("""COMPUTED_VALUE"""),"27-03-2026")</f>
        <v>27-03-2026</v>
      </c>
      <c r="B1178" s="65">
        <f>IFERROR(__xludf.DUMMYFUNCTION("""COMPUTED_VALUE"""),4347476.0)</f>
        <v>4347476</v>
      </c>
      <c r="C1178" s="65" t="str">
        <f>IFERROR(__xludf.DUMMYFUNCTION("""COMPUTED_VALUE"""),"22:16")</f>
        <v>22:16</v>
      </c>
      <c r="D1178" s="65" t="str">
        <f>IFERROR(__xludf.DUMMYFUNCTION("""COMPUTED_VALUE"""),"31-01-2026")</f>
        <v>31-01-2026</v>
      </c>
      <c r="E1178" s="65" t="str">
        <f>IFERROR(__xludf.DUMMYFUNCTION("""COMPUTED_VALUE"""),"Gabriel Bernal Bernal")</f>
        <v>Gabriel Bernal Bernal</v>
      </c>
      <c r="F1178" s="65" t="str">
        <f>IFERROR(__xludf.DUMMYFUNCTION("""COMPUTED_VALUE"""),"998810143")</f>
        <v>998810143</v>
      </c>
      <c r="G1178" s="65" t="str">
        <f>IFERROR(__xludf.DUMMYFUNCTION("""COMPUTED_VALUE"""),"gbernal@etapa.net.ec")</f>
        <v>gbernal@etapa.net.ec</v>
      </c>
      <c r="H1178" s="65"/>
      <c r="I1178" s="65"/>
      <c r="J1178" s="65"/>
      <c r="K1178" s="65" t="str">
        <f>IFERROR(__xludf.DUMMYFUNCTION("""COMPUTED_VALUE"""),"PENDIENTE CONFIRMACION")</f>
        <v>PENDIENTE CONFIRMACION</v>
      </c>
      <c r="L1178" s="65" t="str">
        <f>IFERROR(__xludf.DUMMYFUNCTION("""COMPUTED_VALUE"""),"CON RECAUDO")</f>
        <v>CON RECAUDO</v>
      </c>
      <c r="M1178" s="65" t="str">
        <f>IFERROR(__xludf.DUMMYFUNCTION("""COMPUTED_VALUE"""),"AZUAY")</f>
        <v>AZUAY</v>
      </c>
      <c r="N1178" s="65" t="str">
        <f>IFERROR(__xludf.DUMMYFUNCTION("""COMPUTED_VALUE"""),"CUENCA")</f>
        <v>CUENCA</v>
      </c>
      <c r="O1178" s="65" t="str">
        <f>IFERROR(__xludf.DUMMYFUNCTION("""COMPUTED_VALUE"""),"Av 27 de febrero y Av 10 de agosto Empresa etapa ep gapal -")</f>
        <v>Av 27 de febrero y Av 10 de agosto Empresa etapa ep gapal -</v>
      </c>
      <c r="P1178" s="65"/>
      <c r="Q1178" s="65" t="str">
        <f>IFERROR(__xludf.DUMMYFUNCTION("""COMPUTED_VALUE"""),"GINTRACOM")</f>
        <v>GINTRACOM</v>
      </c>
      <c r="R1178" s="65">
        <f>IFERROR(__xludf.DUMMYFUNCTION("""COMPUTED_VALUE"""),27.0)</f>
        <v>27</v>
      </c>
      <c r="S1178" s="65"/>
      <c r="T1178" s="65">
        <f>IFERROR(__xludf.DUMMYFUNCTION("""COMPUTED_VALUE"""),6.03)</f>
        <v>6.03</v>
      </c>
      <c r="U1178" s="65">
        <f>IFERROR(__xludf.DUMMYFUNCTION("""COMPUTED_VALUE"""),0.0)</f>
        <v>0</v>
      </c>
      <c r="V1178" s="65">
        <f>IFERROR(__xludf.DUMMYFUNCTION("""COMPUTED_VALUE"""),0.0)</f>
        <v>0</v>
      </c>
      <c r="W1178" s="65">
        <f>IFERROR(__xludf.DUMMYFUNCTION("""COMPUTED_VALUE"""),0.0)</f>
        <v>0</v>
      </c>
      <c r="X1178" s="65">
        <f>IFERROR(__xludf.DUMMYFUNCTION("""COMPUTED_VALUE"""),2.6)</f>
        <v>2.6</v>
      </c>
      <c r="Y1178" s="65">
        <f>IFERROR(__xludf.DUMMYFUNCTION("""COMPUTED_VALUE"""),7.8)</f>
        <v>7.8</v>
      </c>
      <c r="Z1178" s="65">
        <f>IFERROR(__xludf.DUMMYFUNCTION("""COMPUTED_VALUE"""),121983.0)</f>
        <v>121983</v>
      </c>
      <c r="AA1178" s="65" t="str">
        <f>IFERROR(__xludf.DUMMYFUNCTION("""COMPUTED_VALUE"""),"PROV-CHLLCF")</f>
        <v>PROV-CHLLCF</v>
      </c>
      <c r="AB1178" s="65"/>
      <c r="AC1178" s="65" t="str">
        <f>IFERROR(__xludf.DUMMYFUNCTION("""COMPUTED_VALUE"""),"CUCHILLO PARA CHEF")</f>
        <v>CUCHILLO PARA CHEF</v>
      </c>
      <c r="AD1178" s="65"/>
      <c r="AE1178" s="65">
        <f>IFERROR(__xludf.DUMMYFUNCTION("""COMPUTED_VALUE"""),3.0)</f>
        <v>3</v>
      </c>
      <c r="AF1178" s="65"/>
      <c r="AG1178" s="65"/>
      <c r="AH1178" s="65"/>
      <c r="AI1178" s="65"/>
      <c r="AJ1178" s="65"/>
      <c r="AK1178" s="65"/>
      <c r="AL1178" s="65"/>
      <c r="AM1178" s="65"/>
      <c r="AN1178" s="65"/>
      <c r="AO1178" s="65"/>
      <c r="AP1178" s="65"/>
      <c r="AQ1178" s="65"/>
      <c r="AR1178" s="65"/>
      <c r="AS1178" s="65"/>
      <c r="AT1178" s="65" t="str">
        <f>IFERROR(__xludf.DUMMYFUNCTION("""COMPUTED_VALUE"""),"SHOPIFY")</f>
        <v>SHOPIFY</v>
      </c>
      <c r="AU1178" s="65" t="str">
        <f>IFERROR(__xludf.DUMMYFUNCTION("""COMPUTED_VALUE"""),"IMPORTEX EC")</f>
        <v>IMPORTEX EC</v>
      </c>
      <c r="AV1178" s="65" t="str">
        <f>IFERROR(__xludf.DUMMYFUNCTION("""COMPUTED_VALUE"""),"6466923593772")</f>
        <v>6466923593772</v>
      </c>
      <c r="AW1178" s="65">
        <f>IFERROR(__xludf.DUMMYFUNCTION("""COMPUTED_VALUE"""),5725.0)</f>
        <v>5725</v>
      </c>
      <c r="AX1178" s="65"/>
      <c r="AY1178" s="65"/>
      <c r="AZ1178" s="65"/>
      <c r="BA1178" s="65"/>
    </row>
    <row r="1179">
      <c r="A1179" s="65" t="str">
        <f>IFERROR(__xludf.DUMMYFUNCTION("""COMPUTED_VALUE"""),"27-03-2026")</f>
        <v>27-03-2026</v>
      </c>
      <c r="B1179" s="65">
        <f>IFERROR(__xludf.DUMMYFUNCTION("""COMPUTED_VALUE"""),4347089.0)</f>
        <v>4347089</v>
      </c>
      <c r="C1179" s="65" t="str">
        <f>IFERROR(__xludf.DUMMYFUNCTION("""COMPUTED_VALUE"""),"21:35")</f>
        <v>21:35</v>
      </c>
      <c r="D1179" s="65" t="str">
        <f>IFERROR(__xludf.DUMMYFUNCTION("""COMPUTED_VALUE"""),"31-01-2026")</f>
        <v>31-01-2026</v>
      </c>
      <c r="E1179" s="65" t="str">
        <f>IFERROR(__xludf.DUMMYFUNCTION("""COMPUTED_VALUE"""),"Jessica narcisa Avila cacierra")</f>
        <v>Jessica narcisa Avila cacierra</v>
      </c>
      <c r="F1179" s="65" t="str">
        <f>IFERROR(__xludf.DUMMYFUNCTION("""COMPUTED_VALUE"""),"983606346")</f>
        <v>983606346</v>
      </c>
      <c r="G1179" s="65" t="str">
        <f>IFERROR(__xludf.DUMMYFUNCTION("""COMPUTED_VALUE"""),"jessicavila16@gmail.con")</f>
        <v>jessicavila16@gmail.con</v>
      </c>
      <c r="H1179" s="65"/>
      <c r="I1179" s="65"/>
      <c r="J1179" s="65" t="str">
        <f>IFERROR(__xludf.DUMMYFUNCTION("""COMPUTED_VALUE"""),"D001288585")</f>
        <v>D001288585</v>
      </c>
      <c r="K1179" s="65" t="str">
        <f>IFERROR(__xludf.DUMMYFUNCTION("""COMPUTED_VALUE"""),"ENTREGADO")</f>
        <v>ENTREGADO</v>
      </c>
      <c r="L1179" s="65" t="str">
        <f>IFERROR(__xludf.DUMMYFUNCTION("""COMPUTED_VALUE"""),"CON RECAUDO")</f>
        <v>CON RECAUDO</v>
      </c>
      <c r="M1179" s="65" t="str">
        <f>IFERROR(__xludf.DUMMYFUNCTION("""COMPUTED_VALUE"""),"GUAYAS")</f>
        <v>GUAYAS</v>
      </c>
      <c r="N1179" s="65" t="str">
        <f>IFERROR(__xludf.DUMMYFUNCTION("""COMPUTED_VALUE"""),"GUAYAQUIL")</f>
        <v>GUAYAQUIL</v>
      </c>
      <c r="O1179" s="65" t="str">
        <f>IFERROR(__xludf.DUMMYFUNCTION("""COMPUTED_VALUE"""),"27 entre Maldonado y calicuchima Febre cordero REF: Al frete hay un garaje puerta ploma")</f>
        <v>27 entre Maldonado y calicuchima Febre cordero REF: Al frete hay un garaje puerta ploma</v>
      </c>
      <c r="P1179" s="65"/>
      <c r="Q1179" s="65" t="str">
        <f>IFERROR(__xludf.DUMMYFUNCTION("""COMPUTED_VALUE"""),"GINTRACOM")</f>
        <v>GINTRACOM</v>
      </c>
      <c r="R1179" s="65">
        <f>IFERROR(__xludf.DUMMYFUNCTION("""COMPUTED_VALUE"""),30.0)</f>
        <v>30</v>
      </c>
      <c r="S1179" s="65">
        <f>IFERROR(__xludf.DUMMYFUNCTION("""COMPUTED_VALUE"""),16.79)</f>
        <v>16.79</v>
      </c>
      <c r="T1179" s="65">
        <f>IFERROR(__xludf.DUMMYFUNCTION("""COMPUTED_VALUE"""),6.16)</f>
        <v>6.16</v>
      </c>
      <c r="U1179" s="65">
        <f>IFERROR(__xludf.DUMMYFUNCTION("""COMPUTED_VALUE"""),0.0)</f>
        <v>0</v>
      </c>
      <c r="V1179" s="65">
        <f>IFERROR(__xludf.DUMMYFUNCTION("""COMPUTED_VALUE"""),0.0)</f>
        <v>0</v>
      </c>
      <c r="W1179" s="65">
        <f>IFERROR(__xludf.DUMMYFUNCTION("""COMPUTED_VALUE"""),0.0)</f>
        <v>0</v>
      </c>
      <c r="X1179" s="65">
        <f>IFERROR(__xludf.DUMMYFUNCTION("""COMPUTED_VALUE"""),2.35)</f>
        <v>2.35</v>
      </c>
      <c r="Y1179" s="65">
        <f>IFERROR(__xludf.DUMMYFUNCTION("""COMPUTED_VALUE"""),7.05)</f>
        <v>7.05</v>
      </c>
      <c r="Z1179" s="65">
        <f>IFERROR(__xludf.DUMMYFUNCTION("""COMPUTED_VALUE"""),116679.0)</f>
        <v>116679</v>
      </c>
      <c r="AA1179" s="65" t="str">
        <f>IFERROR(__xludf.DUMMYFUNCTION("""COMPUTED_VALUE"""),"AMC-2738")</f>
        <v>AMC-2738</v>
      </c>
      <c r="AB1179" s="65"/>
      <c r="AC1179" s="65" t="str">
        <f>IFERROR(__xludf.DUMMYFUNCTION("""COMPUTED_VALUE"""),"ESPONJA ANTILLUVIA DE PARABRISAS")</f>
        <v>ESPONJA ANTILLUVIA DE PARABRISAS</v>
      </c>
      <c r="AD1179" s="65"/>
      <c r="AE1179" s="65">
        <f>IFERROR(__xludf.DUMMYFUNCTION("""COMPUTED_VALUE"""),3.0)</f>
        <v>3</v>
      </c>
      <c r="AF1179" s="65"/>
      <c r="AG1179" s="65"/>
      <c r="AH1179" s="65"/>
      <c r="AI1179" s="65"/>
      <c r="AJ1179" s="65"/>
      <c r="AK1179" s="65"/>
      <c r="AL1179" s="65"/>
      <c r="AM1179" s="65"/>
      <c r="AN1179" s="65"/>
      <c r="AO1179" s="65"/>
      <c r="AP1179" s="65"/>
      <c r="AQ1179" s="65"/>
      <c r="AR1179" s="65"/>
      <c r="AS1179" s="65"/>
      <c r="AT1179" s="65" t="str">
        <f>IFERROR(__xludf.DUMMYFUNCTION("""COMPUTED_VALUE"""),"SHOPIFY")</f>
        <v>SHOPIFY</v>
      </c>
      <c r="AU1179" s="65" t="str">
        <f>IFERROR(__xludf.DUMMYFUNCTION("""COMPUTED_VALUE"""),"IMPORTEX EC")</f>
        <v>IMPORTEX EC</v>
      </c>
      <c r="AV1179" s="65" t="str">
        <f>IFERROR(__xludf.DUMMYFUNCTION("""COMPUTED_VALUE"""),"6466827223084")</f>
        <v>6466827223084</v>
      </c>
      <c r="AW1179" s="65">
        <f>IFERROR(__xludf.DUMMYFUNCTION("""COMPUTED_VALUE"""),5724.0)</f>
        <v>5724</v>
      </c>
      <c r="AX1179" s="65"/>
      <c r="AY1179" s="65" t="str">
        <f>IFERROR(__xludf.DUMMYFUNCTION("""COMPUTED_VALUE"""),"02/02/2026")</f>
        <v>02/02/2026</v>
      </c>
      <c r="AZ1179" s="65"/>
      <c r="BA1179" s="65"/>
    </row>
    <row r="1180">
      <c r="A1180" s="65" t="str">
        <f>IFERROR(__xludf.DUMMYFUNCTION("""COMPUTED_VALUE"""),"27-03-2026")</f>
        <v>27-03-2026</v>
      </c>
      <c r="B1180" s="65">
        <f>IFERROR(__xludf.DUMMYFUNCTION("""COMPUTED_VALUE"""),4347010.0)</f>
        <v>4347010</v>
      </c>
      <c r="C1180" s="65" t="str">
        <f>IFERROR(__xludf.DUMMYFUNCTION("""COMPUTED_VALUE"""),"21:23")</f>
        <v>21:23</v>
      </c>
      <c r="D1180" s="65" t="str">
        <f>IFERROR(__xludf.DUMMYFUNCTION("""COMPUTED_VALUE"""),"31-01-2026")</f>
        <v>31-01-2026</v>
      </c>
      <c r="E1180" s="65" t="str">
        <f>IFERROR(__xludf.DUMMYFUNCTION("""COMPUTED_VALUE"""),"Aida  Yolanda Paredes Meza")</f>
        <v>Aida  Yolanda Paredes Meza</v>
      </c>
      <c r="F1180" s="65" t="str">
        <f>IFERROR(__xludf.DUMMYFUNCTION("""COMPUTED_VALUE"""),"982793508")</f>
        <v>982793508</v>
      </c>
      <c r="G1180" s="65"/>
      <c r="H1180" s="65"/>
      <c r="I1180" s="65"/>
      <c r="J1180" s="65" t="str">
        <f>IFERROR(__xludf.DUMMYFUNCTION("""COMPUTED_VALUE"""),"D001287597")</f>
        <v>D001287597</v>
      </c>
      <c r="K1180" s="65" t="str">
        <f>IFERROR(__xludf.DUMMYFUNCTION("""COMPUTED_VALUE"""),"DEVOLUCION")</f>
        <v>DEVOLUCION</v>
      </c>
      <c r="L1180" s="65" t="str">
        <f>IFERROR(__xludf.DUMMYFUNCTION("""COMPUTED_VALUE"""),"CON RECAUDO")</f>
        <v>CON RECAUDO</v>
      </c>
      <c r="M1180" s="65" t="str">
        <f>IFERROR(__xludf.DUMMYFUNCTION("""COMPUTED_VALUE"""),"PASTAZA")</f>
        <v>PASTAZA</v>
      </c>
      <c r="N1180" s="65" t="str">
        <f>IFERROR(__xludf.DUMMYFUNCTION("""COMPUTED_VALUE"""),"PUYO")</f>
        <v>PUYO</v>
      </c>
      <c r="O1180" s="65" t="str">
        <f>IFERROR(__xludf.DUMMYFUNCTION("""COMPUTED_VALUE"""),"Km 3 via Puyo Tena y Margen dereçha  REFERENCIA : Entregar en Zoologico Yana Cocha que queda en el km tres y medio via Puyo Tena")</f>
        <v>Km 3 via Puyo Tena y Margen dereçha  REFERENCIA : Entregar en Zoologico Yana Cocha que queda en el km tres y medio via Puyo Tena</v>
      </c>
      <c r="P1180" s="65"/>
      <c r="Q1180" s="65" t="str">
        <f>IFERROR(__xludf.DUMMYFUNCTION("""COMPUTED_VALUE"""),"GINTRACOM")</f>
        <v>GINTRACOM</v>
      </c>
      <c r="R1180" s="65">
        <f>IFERROR(__xludf.DUMMYFUNCTION("""COMPUTED_VALUE"""),22.0)</f>
        <v>22</v>
      </c>
      <c r="S1180" s="65"/>
      <c r="T1180" s="65">
        <f>IFERROR(__xludf.DUMMYFUNCTION("""COMPUTED_VALUE"""),5.84)</f>
        <v>5.84</v>
      </c>
      <c r="U1180" s="65">
        <f>IFERROR(__xludf.DUMMYFUNCTION("""COMPUTED_VALUE"""),0.0)</f>
        <v>0</v>
      </c>
      <c r="V1180" s="65">
        <f>IFERROR(__xludf.DUMMYFUNCTION("""COMPUTED_VALUE"""),0.0)</f>
        <v>0</v>
      </c>
      <c r="W1180" s="65">
        <f>IFERROR(__xludf.DUMMYFUNCTION("""COMPUTED_VALUE"""),0.0)</f>
        <v>0</v>
      </c>
      <c r="X1180" s="65">
        <f>IFERROR(__xludf.DUMMYFUNCTION("""COMPUTED_VALUE"""),2.6)</f>
        <v>2.6</v>
      </c>
      <c r="Y1180" s="65">
        <f>IFERROR(__xludf.DUMMYFUNCTION("""COMPUTED_VALUE"""),5.2)</f>
        <v>5.2</v>
      </c>
      <c r="Z1180" s="65">
        <f>IFERROR(__xludf.DUMMYFUNCTION("""COMPUTED_VALUE"""),121983.0)</f>
        <v>121983</v>
      </c>
      <c r="AA1180" s="65" t="str">
        <f>IFERROR(__xludf.DUMMYFUNCTION("""COMPUTED_VALUE"""),"PROV-CHLLCF")</f>
        <v>PROV-CHLLCF</v>
      </c>
      <c r="AB1180" s="65"/>
      <c r="AC1180" s="65" t="str">
        <f>IFERROR(__xludf.DUMMYFUNCTION("""COMPUTED_VALUE"""),"CUCHILLO PARA CHEF")</f>
        <v>CUCHILLO PARA CHEF</v>
      </c>
      <c r="AD1180" s="65"/>
      <c r="AE1180" s="65">
        <f>IFERROR(__xludf.DUMMYFUNCTION("""COMPUTED_VALUE"""),2.0)</f>
        <v>2</v>
      </c>
      <c r="AF1180" s="65" t="str">
        <f>IFERROR(__xludf.DUMMYFUNCTION("""COMPUTED_VALUE"""),"DESTINATARIO NO CONTESTA LLAMADAS NI WHATSAPP")</f>
        <v>DESTINATARIO NO CONTESTA LLAMADAS NI WHATSAPP</v>
      </c>
      <c r="AG1180" s="65" t="str">
        <f>IFERROR(__xludf.DUMMYFUNCTION("""COMPUTED_VALUE"""),"NO")</f>
        <v>NO</v>
      </c>
      <c r="AH1180" s="65" t="str">
        <f>IFERROR(__xludf.DUMMYFUNCTION("""COMPUTED_VALUE"""),"09:00")</f>
        <v>09:00</v>
      </c>
      <c r="AI1180" s="65" t="str">
        <f>IFERROR(__xludf.DUMMYFUNCTION("""COMPUTED_VALUE"""),"12-02-2026")</f>
        <v>12-02-2026</v>
      </c>
      <c r="AJ1180" s="65"/>
      <c r="AK1180" s="65"/>
      <c r="AL1180" s="65"/>
      <c r="AM1180" s="65"/>
      <c r="AN1180" s="65" t="str">
        <f>IFERROR(__xludf.DUMMYFUNCTION("""COMPUTED_VALUE"""),"01:37")</f>
        <v>01:37</v>
      </c>
      <c r="AO1180" s="65" t="str">
        <f>IFERROR(__xludf.DUMMYFUNCTION("""COMPUTED_VALUE"""),"06-03-2026")</f>
        <v>06-03-2026</v>
      </c>
      <c r="AP1180" s="65" t="str">
        <f>IFERROR(__xludf.DUMMYFUNCTION("""COMPUTED_VALUE"""),"DEVOLUCIÓN ENTREGADA A ORIGEN")</f>
        <v>DEVOLUCIÓN ENTREGADA A ORIGEN</v>
      </c>
      <c r="AQ1180" s="65" t="str">
        <f>IFERROR(__xludf.DUMMYFUNCTION("""COMPUTED_VALUE"""),"DEVOLUCIÓN ENTREGADA A ORIGEN")</f>
        <v>DEVOLUCIÓN ENTREGADA A ORIGEN</v>
      </c>
      <c r="AR1180" s="65"/>
      <c r="AS1180" s="65"/>
      <c r="AT1180" s="65" t="str">
        <f>IFERROR(__xludf.DUMMYFUNCTION("""COMPUTED_VALUE"""),"SHOPIFY")</f>
        <v>SHOPIFY</v>
      </c>
      <c r="AU1180" s="65" t="str">
        <f>IFERROR(__xludf.DUMMYFUNCTION("""COMPUTED_VALUE"""),"IMPORTEX EC")</f>
        <v>IMPORTEX EC</v>
      </c>
      <c r="AV1180" s="65" t="str">
        <f>IFERROR(__xludf.DUMMYFUNCTION("""COMPUTED_VALUE"""),"6466799501356")</f>
        <v>6466799501356</v>
      </c>
      <c r="AW1180" s="65">
        <f>IFERROR(__xludf.DUMMYFUNCTION("""COMPUTED_VALUE"""),5723.0)</f>
        <v>5723</v>
      </c>
      <c r="AX1180" s="65"/>
      <c r="AY1180" s="65" t="str">
        <f>IFERROR(__xludf.DUMMYFUNCTION("""COMPUTED_VALUE"""),"02/02/2026")</f>
        <v>02/02/2026</v>
      </c>
      <c r="AZ1180" s="65"/>
      <c r="BA1180" s="65"/>
    </row>
    <row r="1181">
      <c r="A1181" s="65" t="str">
        <f>IFERROR(__xludf.DUMMYFUNCTION("""COMPUTED_VALUE"""),"27-03-2026")</f>
        <v>27-03-2026</v>
      </c>
      <c r="B1181" s="65">
        <f>IFERROR(__xludf.DUMMYFUNCTION("""COMPUTED_VALUE"""),4346670.0)</f>
        <v>4346670</v>
      </c>
      <c r="C1181" s="65" t="str">
        <f>IFERROR(__xludf.DUMMYFUNCTION("""COMPUTED_VALUE"""),"20:41")</f>
        <v>20:41</v>
      </c>
      <c r="D1181" s="65" t="str">
        <f>IFERROR(__xludf.DUMMYFUNCTION("""COMPUTED_VALUE"""),"31-01-2026")</f>
        <v>31-01-2026</v>
      </c>
      <c r="E1181" s="65" t="str">
        <f>IFERROR(__xludf.DUMMYFUNCTION("""COMPUTED_VALUE"""),"Gloria Herrera Herrera")</f>
        <v>Gloria Herrera Herrera</v>
      </c>
      <c r="F1181" s="65" t="str">
        <f>IFERROR(__xludf.DUMMYFUNCTION("""COMPUTED_VALUE"""),"991720995")</f>
        <v>991720995</v>
      </c>
      <c r="G1181" s="65" t="str">
        <f>IFERROR(__xludf.DUMMYFUNCTION("""COMPUTED_VALUE"""),"gloriaherreraespinoza@gmail.com")</f>
        <v>gloriaherreraespinoza@gmail.com</v>
      </c>
      <c r="H1181" s="65"/>
      <c r="I1181" s="65"/>
      <c r="J1181" s="65" t="str">
        <f>IFERROR(__xludf.DUMMYFUNCTION("""COMPUTED_VALUE"""),"D001287600")</f>
        <v>D001287600</v>
      </c>
      <c r="K1181" s="65" t="str">
        <f>IFERROR(__xludf.DUMMYFUNCTION("""COMPUTED_VALUE"""),"ENTREGADO")</f>
        <v>ENTREGADO</v>
      </c>
      <c r="L1181" s="65" t="str">
        <f>IFERROR(__xludf.DUMMYFUNCTION("""COMPUTED_VALUE"""),"CON RECAUDO")</f>
        <v>CON RECAUDO</v>
      </c>
      <c r="M1181" s="65" t="str">
        <f>IFERROR(__xludf.DUMMYFUNCTION("""COMPUTED_VALUE"""),"LOS RIOS")</f>
        <v>LOS RIOS</v>
      </c>
      <c r="N1181" s="65" t="str">
        <f>IFERROR(__xludf.DUMMYFUNCTION("""COMPUTED_VALUE"""),"VENTANAS")</f>
        <v>VENTANAS</v>
      </c>
      <c r="O1181" s="65" t="str">
        <f>IFERROR(__xludf.DUMMYFUNCTION("""COMPUTED_VALUE"""),"Malecón y Bolívar Ventanas - REFERENCIA : Abajo del hotel Kalabi , Cyber Esquinero")</f>
        <v>Malecón y Bolívar Ventanas - REFERENCIA : Abajo del hotel Kalabi , Cyber Esquinero</v>
      </c>
      <c r="P1181" s="65"/>
      <c r="Q1181" s="65" t="str">
        <f>IFERROR(__xludf.DUMMYFUNCTION("""COMPUTED_VALUE"""),"GINTRACOM")</f>
        <v>GINTRACOM</v>
      </c>
      <c r="R1181" s="65">
        <f>IFERROR(__xludf.DUMMYFUNCTION("""COMPUTED_VALUE"""),22.0)</f>
        <v>22</v>
      </c>
      <c r="S1181" s="65">
        <f>IFERROR(__xludf.DUMMYFUNCTION("""COMPUTED_VALUE"""),10.96)</f>
        <v>10.96</v>
      </c>
      <c r="T1181" s="65">
        <f>IFERROR(__xludf.DUMMYFUNCTION("""COMPUTED_VALUE"""),5.84)</f>
        <v>5.84</v>
      </c>
      <c r="U1181" s="65">
        <f>IFERROR(__xludf.DUMMYFUNCTION("""COMPUTED_VALUE"""),0.0)</f>
        <v>0</v>
      </c>
      <c r="V1181" s="65">
        <f>IFERROR(__xludf.DUMMYFUNCTION("""COMPUTED_VALUE"""),0.0)</f>
        <v>0</v>
      </c>
      <c r="W1181" s="65">
        <f>IFERROR(__xludf.DUMMYFUNCTION("""COMPUTED_VALUE"""),0.0)</f>
        <v>0</v>
      </c>
      <c r="X1181" s="65">
        <f>IFERROR(__xludf.DUMMYFUNCTION("""COMPUTED_VALUE"""),2.6)</f>
        <v>2.6</v>
      </c>
      <c r="Y1181" s="65">
        <f>IFERROR(__xludf.DUMMYFUNCTION("""COMPUTED_VALUE"""),5.2)</f>
        <v>5.2</v>
      </c>
      <c r="Z1181" s="65">
        <f>IFERROR(__xludf.DUMMYFUNCTION("""COMPUTED_VALUE"""),121983.0)</f>
        <v>121983</v>
      </c>
      <c r="AA1181" s="65" t="str">
        <f>IFERROR(__xludf.DUMMYFUNCTION("""COMPUTED_VALUE"""),"PROV-CHLLCF")</f>
        <v>PROV-CHLLCF</v>
      </c>
      <c r="AB1181" s="65"/>
      <c r="AC1181" s="65" t="str">
        <f>IFERROR(__xludf.DUMMYFUNCTION("""COMPUTED_VALUE"""),"CUCHILLO PARA CHEF")</f>
        <v>CUCHILLO PARA CHEF</v>
      </c>
      <c r="AD1181" s="65"/>
      <c r="AE1181" s="65">
        <f>IFERROR(__xludf.DUMMYFUNCTION("""COMPUTED_VALUE"""),2.0)</f>
        <v>2</v>
      </c>
      <c r="AF1181" s="65" t="str">
        <f>IFERROR(__xludf.DUMMYFUNCTION("""COMPUTED_VALUE"""),"DESTINATARIO NO CONTESTA LLAMADAS NI WHATSAPP")</f>
        <v>DESTINATARIO NO CONTESTA LLAMADAS NI WHATSAPP</v>
      </c>
      <c r="AG1181" s="65" t="str">
        <f>IFERROR(__xludf.DUMMYFUNCTION("""COMPUTED_VALUE"""),"NO")</f>
        <v>NO</v>
      </c>
      <c r="AH1181" s="65" t="str">
        <f>IFERROR(__xludf.DUMMYFUNCTION("""COMPUTED_VALUE"""),"09:00")</f>
        <v>09:00</v>
      </c>
      <c r="AI1181" s="65" t="str">
        <f>IFERROR(__xludf.DUMMYFUNCTION("""COMPUTED_VALUE"""),"12-02-2026")</f>
        <v>12-02-2026</v>
      </c>
      <c r="AJ1181" s="65"/>
      <c r="AK1181" s="65"/>
      <c r="AL1181" s="65"/>
      <c r="AM1181" s="65"/>
      <c r="AN1181" s="65" t="str">
        <f>IFERROR(__xludf.DUMMYFUNCTION("""COMPUTED_VALUE"""),"08:02")</f>
        <v>08:02</v>
      </c>
      <c r="AO1181" s="65" t="str">
        <f>IFERROR(__xludf.DUMMYFUNCTION("""COMPUTED_VALUE"""),"07-03-2026")</f>
        <v>07-03-2026</v>
      </c>
      <c r="AP1181" s="65" t="str">
        <f>IFERROR(__xludf.DUMMYFUNCTION("""COMPUTED_VALUE"""),"ENTREGADA GINTRACOM")</f>
        <v>ENTREGADA GINTRACOM</v>
      </c>
      <c r="AQ1181" s="65" t="str">
        <f>IFERROR(__xludf.DUMMYFUNCTION("""COMPUTED_VALUE"""),"ENTREGADA GINTRACOM")</f>
        <v>ENTREGADA GINTRACOM</v>
      </c>
      <c r="AR1181" s="65"/>
      <c r="AS1181" s="65"/>
      <c r="AT1181" s="65" t="str">
        <f>IFERROR(__xludf.DUMMYFUNCTION("""COMPUTED_VALUE"""),"SHOPIFY")</f>
        <v>SHOPIFY</v>
      </c>
      <c r="AU1181" s="65" t="str">
        <f>IFERROR(__xludf.DUMMYFUNCTION("""COMPUTED_VALUE"""),"IMPORTEX EC")</f>
        <v>IMPORTEX EC</v>
      </c>
      <c r="AV1181" s="65" t="str">
        <f>IFERROR(__xludf.DUMMYFUNCTION("""COMPUTED_VALUE"""),"6466689597484")</f>
        <v>6466689597484</v>
      </c>
      <c r="AW1181" s="65">
        <f>IFERROR(__xludf.DUMMYFUNCTION("""COMPUTED_VALUE"""),5721.0)</f>
        <v>5721</v>
      </c>
      <c r="AX1181" s="65"/>
      <c r="AY1181" s="65" t="str">
        <f>IFERROR(__xludf.DUMMYFUNCTION("""COMPUTED_VALUE"""),"02/02/2026")</f>
        <v>02/02/2026</v>
      </c>
      <c r="AZ1181" s="65"/>
      <c r="BA1181" s="65"/>
    </row>
    <row r="1182">
      <c r="A1182" s="65" t="str">
        <f>IFERROR(__xludf.DUMMYFUNCTION("""COMPUTED_VALUE"""),"27-03-2026")</f>
        <v>27-03-2026</v>
      </c>
      <c r="B1182" s="65">
        <f>IFERROR(__xludf.DUMMYFUNCTION("""COMPUTED_VALUE"""),4346381.0)</f>
        <v>4346381</v>
      </c>
      <c r="C1182" s="65" t="str">
        <f>IFERROR(__xludf.DUMMYFUNCTION("""COMPUTED_VALUE"""),"20:06")</f>
        <v>20:06</v>
      </c>
      <c r="D1182" s="65" t="str">
        <f>IFERROR(__xludf.DUMMYFUNCTION("""COMPUTED_VALUE"""),"31-01-2026")</f>
        <v>31-01-2026</v>
      </c>
      <c r="E1182" s="65" t="str">
        <f>IFERROR(__xludf.DUMMYFUNCTION("""COMPUTED_VALUE"""),"Gonzalo Mendoza")</f>
        <v>Gonzalo Mendoza</v>
      </c>
      <c r="F1182" s="65" t="str">
        <f>IFERROR(__xludf.DUMMYFUNCTION("""COMPUTED_VALUE"""),"969948135")</f>
        <v>969948135</v>
      </c>
      <c r="G1182" s="65" t="str">
        <f>IFERROR(__xludf.DUMMYFUNCTION("""COMPUTED_VALUE"""),"gomzalon2220@geimel.con")</f>
        <v>gomzalon2220@geimel.con</v>
      </c>
      <c r="H1182" s="65"/>
      <c r="I1182" s="65"/>
      <c r="J1182" s="65" t="str">
        <f>IFERROR(__xludf.DUMMYFUNCTION("""COMPUTED_VALUE"""),"D001287608")</f>
        <v>D001287608</v>
      </c>
      <c r="K1182" s="65" t="str">
        <f>IFERROR(__xludf.DUMMYFUNCTION("""COMPUTED_VALUE"""),"ENTREGADO")</f>
        <v>ENTREGADO</v>
      </c>
      <c r="L1182" s="65" t="str">
        <f>IFERROR(__xludf.DUMMYFUNCTION("""COMPUTED_VALUE"""),"CON RECAUDO")</f>
        <v>CON RECAUDO</v>
      </c>
      <c r="M1182" s="65" t="str">
        <f>IFERROR(__xludf.DUMMYFUNCTION("""COMPUTED_VALUE"""),"MANABI")</f>
        <v>MANABI</v>
      </c>
      <c r="N1182" s="65" t="str">
        <f>IFERROR(__xludf.DUMMYFUNCTION("""COMPUTED_VALUE"""),"MANTA")</f>
        <v>MANTA</v>
      </c>
      <c r="O1182" s="65" t="str">
        <f>IFERROR(__xludf.DUMMYFUNCTION("""COMPUTED_VALUE"""),"CALLE 33 . Loma de barbasquillo FRENTE  a umiña tenis clud")</f>
        <v>CALLE 33 . Loma de barbasquillo FRENTE  a umiña tenis clud</v>
      </c>
      <c r="P1182" s="65"/>
      <c r="Q1182" s="65" t="str">
        <f>IFERROR(__xludf.DUMMYFUNCTION("""COMPUTED_VALUE"""),"GINTRACOM")</f>
        <v>GINTRACOM</v>
      </c>
      <c r="R1182" s="65">
        <f>IFERROR(__xludf.DUMMYFUNCTION("""COMPUTED_VALUE"""),27.0)</f>
        <v>27</v>
      </c>
      <c r="S1182" s="65">
        <f>IFERROR(__xludf.DUMMYFUNCTION("""COMPUTED_VALUE"""),13.17)</f>
        <v>13.17</v>
      </c>
      <c r="T1182" s="65">
        <f>IFERROR(__xludf.DUMMYFUNCTION("""COMPUTED_VALUE"""),6.03)</f>
        <v>6.03</v>
      </c>
      <c r="U1182" s="65">
        <f>IFERROR(__xludf.DUMMYFUNCTION("""COMPUTED_VALUE"""),0.0)</f>
        <v>0</v>
      </c>
      <c r="V1182" s="65">
        <f>IFERROR(__xludf.DUMMYFUNCTION("""COMPUTED_VALUE"""),0.0)</f>
        <v>0</v>
      </c>
      <c r="W1182" s="65">
        <f>IFERROR(__xludf.DUMMYFUNCTION("""COMPUTED_VALUE"""),0.0)</f>
        <v>0</v>
      </c>
      <c r="X1182" s="65">
        <f>IFERROR(__xludf.DUMMYFUNCTION("""COMPUTED_VALUE"""),2.6)</f>
        <v>2.6</v>
      </c>
      <c r="Y1182" s="65">
        <f>IFERROR(__xludf.DUMMYFUNCTION("""COMPUTED_VALUE"""),7.8)</f>
        <v>7.8</v>
      </c>
      <c r="Z1182" s="65">
        <f>IFERROR(__xludf.DUMMYFUNCTION("""COMPUTED_VALUE"""),121983.0)</f>
        <v>121983</v>
      </c>
      <c r="AA1182" s="65" t="str">
        <f>IFERROR(__xludf.DUMMYFUNCTION("""COMPUTED_VALUE"""),"PROV-CHLLCF")</f>
        <v>PROV-CHLLCF</v>
      </c>
      <c r="AB1182" s="65"/>
      <c r="AC1182" s="65" t="str">
        <f>IFERROR(__xludf.DUMMYFUNCTION("""COMPUTED_VALUE"""),"CUCHILLO PARA CHEF")</f>
        <v>CUCHILLO PARA CHEF</v>
      </c>
      <c r="AD1182" s="65"/>
      <c r="AE1182" s="65">
        <f>IFERROR(__xludf.DUMMYFUNCTION("""COMPUTED_VALUE"""),3.0)</f>
        <v>3</v>
      </c>
      <c r="AF1182" s="65"/>
      <c r="AG1182" s="65"/>
      <c r="AH1182" s="65"/>
      <c r="AI1182" s="65"/>
      <c r="AJ1182" s="65"/>
      <c r="AK1182" s="65"/>
      <c r="AL1182" s="65"/>
      <c r="AM1182" s="65"/>
      <c r="AN1182" s="65" t="str">
        <f>IFERROR(__xludf.DUMMYFUNCTION("""COMPUTED_VALUE"""),"21:24")</f>
        <v>21:24</v>
      </c>
      <c r="AO1182" s="65" t="str">
        <f>IFERROR(__xludf.DUMMYFUNCTION("""COMPUTED_VALUE"""),"09-02-2026")</f>
        <v>09-02-2026</v>
      </c>
      <c r="AP1182" s="65" t="str">
        <f>IFERROR(__xludf.DUMMYFUNCTION("""COMPUTED_VALUE"""),"ENTREGADA GINTRACOM")</f>
        <v>ENTREGADA GINTRACOM</v>
      </c>
      <c r="AQ1182" s="65" t="str">
        <f>IFERROR(__xludf.DUMMYFUNCTION("""COMPUTED_VALUE"""),"ENTREGADA GINTRACOM")</f>
        <v>ENTREGADA GINTRACOM</v>
      </c>
      <c r="AR1182" s="65"/>
      <c r="AS1182" s="65"/>
      <c r="AT1182" s="65" t="str">
        <f>IFERROR(__xludf.DUMMYFUNCTION("""COMPUTED_VALUE"""),"SHOPIFY")</f>
        <v>SHOPIFY</v>
      </c>
      <c r="AU1182" s="65" t="str">
        <f>IFERROR(__xludf.DUMMYFUNCTION("""COMPUTED_VALUE"""),"IMPORTEX EC")</f>
        <v>IMPORTEX EC</v>
      </c>
      <c r="AV1182" s="65" t="str">
        <f>IFERROR(__xludf.DUMMYFUNCTION("""COMPUTED_VALUE"""),"6466608398380")</f>
        <v>6466608398380</v>
      </c>
      <c r="AW1182" s="65">
        <f>IFERROR(__xludf.DUMMYFUNCTION("""COMPUTED_VALUE"""),5720.0)</f>
        <v>5720</v>
      </c>
      <c r="AX1182" s="65"/>
      <c r="AY1182" s="65" t="str">
        <f>IFERROR(__xludf.DUMMYFUNCTION("""COMPUTED_VALUE"""),"02/02/2026")</f>
        <v>02/02/2026</v>
      </c>
      <c r="AZ1182" s="65"/>
      <c r="BA1182" s="65"/>
    </row>
    <row r="1183">
      <c r="A1183" s="65" t="str">
        <f>IFERROR(__xludf.DUMMYFUNCTION("""COMPUTED_VALUE"""),"27-03-2026")</f>
        <v>27-03-2026</v>
      </c>
      <c r="B1183" s="65">
        <f>IFERROR(__xludf.DUMMYFUNCTION("""COMPUTED_VALUE"""),4346042.0)</f>
        <v>4346042</v>
      </c>
      <c r="C1183" s="65" t="str">
        <f>IFERROR(__xludf.DUMMYFUNCTION("""COMPUTED_VALUE"""),"19:23")</f>
        <v>19:23</v>
      </c>
      <c r="D1183" s="65" t="str">
        <f>IFERROR(__xludf.DUMMYFUNCTION("""COMPUTED_VALUE"""),"31-01-2026")</f>
        <v>31-01-2026</v>
      </c>
      <c r="E1183" s="65" t="str">
        <f>IFERROR(__xludf.DUMMYFUNCTION("""COMPUTED_VALUE"""),"Gabriel Guevara")</f>
        <v>Gabriel Guevara</v>
      </c>
      <c r="F1183" s="65" t="str">
        <f>IFERROR(__xludf.DUMMYFUNCTION("""COMPUTED_VALUE"""),"997566619")</f>
        <v>997566619</v>
      </c>
      <c r="G1183" s="65" t="str">
        <f>IFERROR(__xludf.DUMMYFUNCTION("""COMPUTED_VALUE"""),"ggr25468@gmail.com")</f>
        <v>ggr25468@gmail.com</v>
      </c>
      <c r="H1183" s="65"/>
      <c r="I1183" s="65"/>
      <c r="J1183" s="65" t="str">
        <f>IFERROR(__xludf.DUMMYFUNCTION("""COMPUTED_VALUE"""),"D001288586")</f>
        <v>D001288586</v>
      </c>
      <c r="K1183" s="65" t="str">
        <f>IFERROR(__xludf.DUMMYFUNCTION("""COMPUTED_VALUE"""),"ENTREGADO")</f>
        <v>ENTREGADO</v>
      </c>
      <c r="L1183" s="65" t="str">
        <f>IFERROR(__xludf.DUMMYFUNCTION("""COMPUTED_VALUE"""),"CON RECAUDO")</f>
        <v>CON RECAUDO</v>
      </c>
      <c r="M1183" s="65" t="str">
        <f>IFERROR(__xludf.DUMMYFUNCTION("""COMPUTED_VALUE"""),"GUAYAS")</f>
        <v>GUAYAS</v>
      </c>
      <c r="N1183" s="65" t="str">
        <f>IFERROR(__xludf.DUMMYFUNCTION("""COMPUTED_VALUE"""),"DAULE")</f>
        <v>DAULE</v>
      </c>
      <c r="O1183" s="65" t="str">
        <f>IFERROR(__xludf.DUMMYFUNCTION("""COMPUTED_VALUE"""),"Urb. Cataluña Km12.5 via a Samborondon- Salitre Urbanización Cataluña Mz 15 villa 12y diagonal a la parroquia Santo Tomás Apóstol -")</f>
        <v>Urb. Cataluña Km12.5 via a Samborondon- Salitre Urbanización Cataluña Mz 15 villa 12y diagonal a la parroquia Santo Tomás Apóstol -</v>
      </c>
      <c r="P1183" s="65"/>
      <c r="Q1183" s="65" t="str">
        <f>IFERROR(__xludf.DUMMYFUNCTION("""COMPUTED_VALUE"""),"GINTRACOM")</f>
        <v>GINTRACOM</v>
      </c>
      <c r="R1183" s="65">
        <f>IFERROR(__xludf.DUMMYFUNCTION("""COMPUTED_VALUE"""),30.0)</f>
        <v>30</v>
      </c>
      <c r="S1183" s="65">
        <f>IFERROR(__xludf.DUMMYFUNCTION("""COMPUTED_VALUE"""),16.79)</f>
        <v>16.79</v>
      </c>
      <c r="T1183" s="65">
        <f>IFERROR(__xludf.DUMMYFUNCTION("""COMPUTED_VALUE"""),6.16)</f>
        <v>6.16</v>
      </c>
      <c r="U1183" s="65">
        <f>IFERROR(__xludf.DUMMYFUNCTION("""COMPUTED_VALUE"""),0.0)</f>
        <v>0</v>
      </c>
      <c r="V1183" s="65">
        <f>IFERROR(__xludf.DUMMYFUNCTION("""COMPUTED_VALUE"""),0.0)</f>
        <v>0</v>
      </c>
      <c r="W1183" s="65">
        <f>IFERROR(__xludf.DUMMYFUNCTION("""COMPUTED_VALUE"""),0.0)</f>
        <v>0</v>
      </c>
      <c r="X1183" s="65">
        <f>IFERROR(__xludf.DUMMYFUNCTION("""COMPUTED_VALUE"""),2.35)</f>
        <v>2.35</v>
      </c>
      <c r="Y1183" s="65">
        <f>IFERROR(__xludf.DUMMYFUNCTION("""COMPUTED_VALUE"""),7.05)</f>
        <v>7.05</v>
      </c>
      <c r="Z1183" s="65">
        <f>IFERROR(__xludf.DUMMYFUNCTION("""COMPUTED_VALUE"""),116679.0)</f>
        <v>116679</v>
      </c>
      <c r="AA1183" s="65" t="str">
        <f>IFERROR(__xludf.DUMMYFUNCTION("""COMPUTED_VALUE"""),"AMC-2738")</f>
        <v>AMC-2738</v>
      </c>
      <c r="AB1183" s="65"/>
      <c r="AC1183" s="65" t="str">
        <f>IFERROR(__xludf.DUMMYFUNCTION("""COMPUTED_VALUE"""),"ESPONJA ANTILLUVIA DE PARABRISAS")</f>
        <v>ESPONJA ANTILLUVIA DE PARABRISAS</v>
      </c>
      <c r="AD1183" s="65"/>
      <c r="AE1183" s="65">
        <f>IFERROR(__xludf.DUMMYFUNCTION("""COMPUTED_VALUE"""),3.0)</f>
        <v>3</v>
      </c>
      <c r="AF1183" s="65"/>
      <c r="AG1183" s="65"/>
      <c r="AH1183" s="65"/>
      <c r="AI1183" s="65"/>
      <c r="AJ1183" s="65"/>
      <c r="AK1183" s="65"/>
      <c r="AL1183" s="65"/>
      <c r="AM1183" s="65"/>
      <c r="AN1183" s="65" t="str">
        <f>IFERROR(__xludf.DUMMYFUNCTION("""COMPUTED_VALUE"""),"14:40")</f>
        <v>14:40</v>
      </c>
      <c r="AO1183" s="65" t="str">
        <f>IFERROR(__xludf.DUMMYFUNCTION("""COMPUTED_VALUE"""),"06-02-2026")</f>
        <v>06-02-2026</v>
      </c>
      <c r="AP1183" s="65" t="str">
        <f>IFERROR(__xludf.DUMMYFUNCTION("""COMPUTED_VALUE"""),"ENTREGADA GINTRACOM")</f>
        <v>ENTREGADA GINTRACOM</v>
      </c>
      <c r="AQ1183" s="65" t="str">
        <f>IFERROR(__xludf.DUMMYFUNCTION("""COMPUTED_VALUE"""),"ENTREGADA GINTRACOM")</f>
        <v>ENTREGADA GINTRACOM</v>
      </c>
      <c r="AR1183" s="65"/>
      <c r="AS1183" s="65"/>
      <c r="AT1183" s="65" t="str">
        <f>IFERROR(__xludf.DUMMYFUNCTION("""COMPUTED_VALUE"""),"SHOPIFY")</f>
        <v>SHOPIFY</v>
      </c>
      <c r="AU1183" s="65" t="str">
        <f>IFERROR(__xludf.DUMMYFUNCTION("""COMPUTED_VALUE"""),"IMPORTEX EC")</f>
        <v>IMPORTEX EC</v>
      </c>
      <c r="AV1183" s="65" t="str">
        <f>IFERROR(__xludf.DUMMYFUNCTION("""COMPUTED_VALUE"""),"6466509307948")</f>
        <v>6466509307948</v>
      </c>
      <c r="AW1183" s="65">
        <f>IFERROR(__xludf.DUMMYFUNCTION("""COMPUTED_VALUE"""),5719.0)</f>
        <v>5719</v>
      </c>
      <c r="AX1183" s="65"/>
      <c r="AY1183" s="65" t="str">
        <f>IFERROR(__xludf.DUMMYFUNCTION("""COMPUTED_VALUE"""),"02/02/2026")</f>
        <v>02/02/2026</v>
      </c>
      <c r="AZ1183" s="65"/>
      <c r="BA1183" s="65"/>
    </row>
    <row r="1184">
      <c r="A1184" s="65" t="str">
        <f>IFERROR(__xludf.DUMMYFUNCTION("""COMPUTED_VALUE"""),"27-03-2026")</f>
        <v>27-03-2026</v>
      </c>
      <c r="B1184" s="65">
        <f>IFERROR(__xludf.DUMMYFUNCTION("""COMPUTED_VALUE"""),4345887.0)</f>
        <v>4345887</v>
      </c>
      <c r="C1184" s="65" t="str">
        <f>IFERROR(__xludf.DUMMYFUNCTION("""COMPUTED_VALUE"""),"19:07")</f>
        <v>19:07</v>
      </c>
      <c r="D1184" s="65" t="str">
        <f>IFERROR(__xludf.DUMMYFUNCTION("""COMPUTED_VALUE"""),"31-01-2026")</f>
        <v>31-01-2026</v>
      </c>
      <c r="E1184" s="65" t="str">
        <f>IFERROR(__xludf.DUMMYFUNCTION("""COMPUTED_VALUE"""),"Roberto Herrera")</f>
        <v>Roberto Herrera</v>
      </c>
      <c r="F1184" s="65" t="str">
        <f>IFERROR(__xludf.DUMMYFUNCTION("""COMPUTED_VALUE"""),"994738838")</f>
        <v>994738838</v>
      </c>
      <c r="G1184" s="65" t="str">
        <f>IFERROR(__xludf.DUMMYFUNCTION("""COMPUTED_VALUE"""),"mrherrera@hotmail.com")</f>
        <v>mrherrera@hotmail.com</v>
      </c>
      <c r="H1184" s="65"/>
      <c r="I1184" s="65"/>
      <c r="J1184" s="65" t="str">
        <f>IFERROR(__xludf.DUMMYFUNCTION("""COMPUTED_VALUE"""),"D001288587")</f>
        <v>D001288587</v>
      </c>
      <c r="K1184" s="65" t="str">
        <f>IFERROR(__xludf.DUMMYFUNCTION("""COMPUTED_VALUE"""),"ENTREGADO")</f>
        <v>ENTREGADO</v>
      </c>
      <c r="L1184" s="65" t="str">
        <f>IFERROR(__xludf.DUMMYFUNCTION("""COMPUTED_VALUE"""),"CON RECAUDO")</f>
        <v>CON RECAUDO</v>
      </c>
      <c r="M1184" s="65" t="str">
        <f>IFERROR(__xludf.DUMMYFUNCTION("""COMPUTED_VALUE"""),"PICHINCHA")</f>
        <v>PICHINCHA</v>
      </c>
      <c r="N1184" s="65" t="str">
        <f>IFERROR(__xludf.DUMMYFUNCTION("""COMPUTED_VALUE"""),"TUMBACO")</f>
        <v>TUMBACO</v>
      </c>
      <c r="O1184" s="65" t="str">
        <f>IFERROR(__xludf.DUMMYFUNCTION("""COMPUTED_VALUE"""),"Av interoceanica 777 y Federico Gonzalez Suarez Tumbaco entre MG motor y ventura mall, frente a Centrales medicas Veris -")</f>
        <v>Av interoceanica 777 y Federico Gonzalez Suarez Tumbaco entre MG motor y ventura mall, frente a Centrales medicas Veris -</v>
      </c>
      <c r="P1184" s="65"/>
      <c r="Q1184" s="65" t="str">
        <f>IFERROR(__xludf.DUMMYFUNCTION("""COMPUTED_VALUE"""),"GINTRACOM")</f>
        <v>GINTRACOM</v>
      </c>
      <c r="R1184" s="65">
        <f>IFERROR(__xludf.DUMMYFUNCTION("""COMPUTED_VALUE"""),25.0)</f>
        <v>25</v>
      </c>
      <c r="S1184" s="65">
        <f>IFERROR(__xludf.DUMMYFUNCTION("""COMPUTED_VALUE"""),15.38)</f>
        <v>15.38</v>
      </c>
      <c r="T1184" s="65">
        <f>IFERROR(__xludf.DUMMYFUNCTION("""COMPUTED_VALUE"""),4.92)</f>
        <v>4.92</v>
      </c>
      <c r="U1184" s="65">
        <f>IFERROR(__xludf.DUMMYFUNCTION("""COMPUTED_VALUE"""),0.0)</f>
        <v>0</v>
      </c>
      <c r="V1184" s="65">
        <f>IFERROR(__xludf.DUMMYFUNCTION("""COMPUTED_VALUE"""),0.0)</f>
        <v>0</v>
      </c>
      <c r="W1184" s="65">
        <f>IFERROR(__xludf.DUMMYFUNCTION("""COMPUTED_VALUE"""),0.0)</f>
        <v>0</v>
      </c>
      <c r="X1184" s="65">
        <f>IFERROR(__xludf.DUMMYFUNCTION("""COMPUTED_VALUE"""),2.35)</f>
        <v>2.35</v>
      </c>
      <c r="Y1184" s="65">
        <f>IFERROR(__xludf.DUMMYFUNCTION("""COMPUTED_VALUE"""),4.7)</f>
        <v>4.7</v>
      </c>
      <c r="Z1184" s="65">
        <f>IFERROR(__xludf.DUMMYFUNCTION("""COMPUTED_VALUE"""),116679.0)</f>
        <v>116679</v>
      </c>
      <c r="AA1184" s="65" t="str">
        <f>IFERROR(__xludf.DUMMYFUNCTION("""COMPUTED_VALUE"""),"AMC-2738")</f>
        <v>AMC-2738</v>
      </c>
      <c r="AB1184" s="65"/>
      <c r="AC1184" s="65" t="str">
        <f>IFERROR(__xludf.DUMMYFUNCTION("""COMPUTED_VALUE"""),"ESPONJA ANTILLUVIA DE PARABRISAS")</f>
        <v>ESPONJA ANTILLUVIA DE PARABRISAS</v>
      </c>
      <c r="AD1184" s="65"/>
      <c r="AE1184" s="65">
        <f>IFERROR(__xludf.DUMMYFUNCTION("""COMPUTED_VALUE"""),2.0)</f>
        <v>2</v>
      </c>
      <c r="AF1184" s="65"/>
      <c r="AG1184" s="65"/>
      <c r="AH1184" s="65"/>
      <c r="AI1184" s="65"/>
      <c r="AJ1184" s="65"/>
      <c r="AK1184" s="65"/>
      <c r="AL1184" s="65"/>
      <c r="AM1184" s="65"/>
      <c r="AN1184" s="65" t="str">
        <f>IFERROR(__xludf.DUMMYFUNCTION("""COMPUTED_VALUE"""),"13:06")</f>
        <v>13:06</v>
      </c>
      <c r="AO1184" s="65" t="str">
        <f>IFERROR(__xludf.DUMMYFUNCTION("""COMPUTED_VALUE"""),"06-02-2026")</f>
        <v>06-02-2026</v>
      </c>
      <c r="AP1184" s="65" t="str">
        <f>IFERROR(__xludf.DUMMYFUNCTION("""COMPUTED_VALUE"""),"ENTREGADA GINTRACOM")</f>
        <v>ENTREGADA GINTRACOM</v>
      </c>
      <c r="AQ1184" s="65" t="str">
        <f>IFERROR(__xludf.DUMMYFUNCTION("""COMPUTED_VALUE"""),"ENTREGADA GINTRACOM")</f>
        <v>ENTREGADA GINTRACOM</v>
      </c>
      <c r="AR1184" s="65"/>
      <c r="AS1184" s="65"/>
      <c r="AT1184" s="65" t="str">
        <f>IFERROR(__xludf.DUMMYFUNCTION("""COMPUTED_VALUE"""),"SHOPIFY")</f>
        <v>SHOPIFY</v>
      </c>
      <c r="AU1184" s="65" t="str">
        <f>IFERROR(__xludf.DUMMYFUNCTION("""COMPUTED_VALUE"""),"IMPORTEX EC")</f>
        <v>IMPORTEX EC</v>
      </c>
      <c r="AV1184" s="65" t="str">
        <f>IFERROR(__xludf.DUMMYFUNCTION("""COMPUTED_VALUE"""),"6466465955884")</f>
        <v>6466465955884</v>
      </c>
      <c r="AW1184" s="65">
        <f>IFERROR(__xludf.DUMMYFUNCTION("""COMPUTED_VALUE"""),5718.0)</f>
        <v>5718</v>
      </c>
      <c r="AX1184" s="65"/>
      <c r="AY1184" s="65" t="str">
        <f>IFERROR(__xludf.DUMMYFUNCTION("""COMPUTED_VALUE"""),"02/02/2026")</f>
        <v>02/02/2026</v>
      </c>
      <c r="AZ1184" s="65"/>
      <c r="BA1184" s="65"/>
    </row>
    <row r="1185">
      <c r="A1185" s="65" t="str">
        <f>IFERROR(__xludf.DUMMYFUNCTION("""COMPUTED_VALUE"""),"27-03-2026")</f>
        <v>27-03-2026</v>
      </c>
      <c r="B1185" s="65">
        <f>IFERROR(__xludf.DUMMYFUNCTION("""COMPUTED_VALUE"""),4345867.0)</f>
        <v>4345867</v>
      </c>
      <c r="C1185" s="65" t="str">
        <f>IFERROR(__xludf.DUMMYFUNCTION("""COMPUTED_VALUE"""),"19:03")</f>
        <v>19:03</v>
      </c>
      <c r="D1185" s="65" t="str">
        <f>IFERROR(__xludf.DUMMYFUNCTION("""COMPUTED_VALUE"""),"31-01-2026")</f>
        <v>31-01-2026</v>
      </c>
      <c r="E1185" s="65" t="str">
        <f>IFERROR(__xludf.DUMMYFUNCTION("""COMPUTED_VALUE"""),"Edilberto Vera vidal")</f>
        <v>Edilberto Vera vidal</v>
      </c>
      <c r="F1185" s="65" t="str">
        <f>IFERROR(__xludf.DUMMYFUNCTION("""COMPUTED_VALUE"""),"990708944")</f>
        <v>990708944</v>
      </c>
      <c r="G1185" s="65"/>
      <c r="H1185" s="65"/>
      <c r="I1185" s="65"/>
      <c r="J1185" s="65" t="str">
        <f>IFERROR(__xludf.DUMMYFUNCTION("""COMPUTED_VALUE"""),"186991783")</f>
        <v>186991783</v>
      </c>
      <c r="K1185" s="65" t="str">
        <f>IFERROR(__xludf.DUMMYFUNCTION("""COMPUTED_VALUE"""),"ENTREGADO")</f>
        <v>ENTREGADO</v>
      </c>
      <c r="L1185" s="65" t="str">
        <f>IFERROR(__xludf.DUMMYFUNCTION("""COMPUTED_VALUE"""),"CON RECAUDO")</f>
        <v>CON RECAUDO</v>
      </c>
      <c r="M1185" s="65" t="str">
        <f>IFERROR(__xludf.DUMMYFUNCTION("""COMPUTED_VALUE"""),"GUAYAS")</f>
        <v>GUAYAS</v>
      </c>
      <c r="N1185" s="65" t="str">
        <f>IFERROR(__xludf.DUMMYFUNCTION("""COMPUTED_VALUE"""),"PEDRO CARBO")</f>
        <v>PEDRO CARBO</v>
      </c>
      <c r="O1185" s="65" t="str">
        <f>IFERROR(__xludf.DUMMYFUNCTION("""COMPUTED_VALUE"""),"Profesor Noboa y Sucre Barrió primero de mayo -")</f>
        <v>Profesor Noboa y Sucre Barrió primero de mayo -</v>
      </c>
      <c r="P1185" s="65"/>
      <c r="Q1185" s="65" t="str">
        <f>IFERROR(__xludf.DUMMYFUNCTION("""COMPUTED_VALUE"""),"SERVIENTREGA")</f>
        <v>SERVIENTREGA</v>
      </c>
      <c r="R1185" s="65">
        <f>IFERROR(__xludf.DUMMYFUNCTION("""COMPUTED_VALUE"""),32.0)</f>
        <v>32</v>
      </c>
      <c r="S1185" s="65">
        <f>IFERROR(__xludf.DUMMYFUNCTION("""COMPUTED_VALUE"""),13.75)</f>
        <v>13.75</v>
      </c>
      <c r="T1185" s="65">
        <f>IFERROR(__xludf.DUMMYFUNCTION("""COMPUTED_VALUE"""),7.85)</f>
        <v>7.85</v>
      </c>
      <c r="U1185" s="65">
        <f>IFERROR(__xludf.DUMMYFUNCTION("""COMPUTED_VALUE"""),0.0)</f>
        <v>0</v>
      </c>
      <c r="V1185" s="65">
        <f>IFERROR(__xludf.DUMMYFUNCTION("""COMPUTED_VALUE"""),0.0)</f>
        <v>0</v>
      </c>
      <c r="W1185" s="65">
        <f>IFERROR(__xludf.DUMMYFUNCTION("""COMPUTED_VALUE"""),0.0)</f>
        <v>0</v>
      </c>
      <c r="X1185" s="65">
        <f>IFERROR(__xludf.DUMMYFUNCTION("""COMPUTED_VALUE"""),2.6)</f>
        <v>2.6</v>
      </c>
      <c r="Y1185" s="65">
        <f>IFERROR(__xludf.DUMMYFUNCTION("""COMPUTED_VALUE"""),10.4)</f>
        <v>10.4</v>
      </c>
      <c r="Z1185" s="65">
        <f>IFERROR(__xludf.DUMMYFUNCTION("""COMPUTED_VALUE"""),121983.0)</f>
        <v>121983</v>
      </c>
      <c r="AA1185" s="65" t="str">
        <f>IFERROR(__xludf.DUMMYFUNCTION("""COMPUTED_VALUE"""),"PROV-CHLLCF")</f>
        <v>PROV-CHLLCF</v>
      </c>
      <c r="AB1185" s="65"/>
      <c r="AC1185" s="65" t="str">
        <f>IFERROR(__xludf.DUMMYFUNCTION("""COMPUTED_VALUE"""),"CUCHILLO PARA CHEF")</f>
        <v>CUCHILLO PARA CHEF</v>
      </c>
      <c r="AD1185" s="65"/>
      <c r="AE1185" s="65">
        <f>IFERROR(__xludf.DUMMYFUNCTION("""COMPUTED_VALUE"""),4.0)</f>
        <v>4</v>
      </c>
      <c r="AF1185" s="65"/>
      <c r="AG1185" s="65"/>
      <c r="AH1185" s="65"/>
      <c r="AI1185" s="65"/>
      <c r="AJ1185" s="65"/>
      <c r="AK1185" s="65"/>
      <c r="AL1185" s="65"/>
      <c r="AM1185" s="65"/>
      <c r="AN1185" s="65" t="str">
        <f>IFERROR(__xludf.DUMMYFUNCTION("""COMPUTED_VALUE"""),"23:42")</f>
        <v>23:42</v>
      </c>
      <c r="AO1185" s="65" t="str">
        <f>IFERROR(__xludf.DUMMYFUNCTION("""COMPUTED_VALUE"""),"09-02-2026")</f>
        <v>09-02-2026</v>
      </c>
      <c r="AP1185" s="65" t="str">
        <f>IFERROR(__xludf.DUMMYFUNCTION("""COMPUTED_VALUE"""),"REPORTADO ENTREGADO EN APP")</f>
        <v>REPORTADO ENTREGADO EN APP</v>
      </c>
      <c r="AQ1185" s="65" t="str">
        <f>IFERROR(__xludf.DUMMYFUNCTION("""COMPUTED_VALUE"""),"Edilberto Vera")</f>
        <v>Edilberto Vera</v>
      </c>
      <c r="AR1185" s="65"/>
      <c r="AS1185" s="65"/>
      <c r="AT1185" s="65" t="str">
        <f>IFERROR(__xludf.DUMMYFUNCTION("""COMPUTED_VALUE"""),"SHOPIFY")</f>
        <v>SHOPIFY</v>
      </c>
      <c r="AU1185" s="65" t="str">
        <f>IFERROR(__xludf.DUMMYFUNCTION("""COMPUTED_VALUE"""),"IMPORTEX EC")</f>
        <v>IMPORTEX EC</v>
      </c>
      <c r="AV1185" s="65" t="str">
        <f>IFERROR(__xludf.DUMMYFUNCTION("""COMPUTED_VALUE"""),"6466461007916")</f>
        <v>6466461007916</v>
      </c>
      <c r="AW1185" s="65">
        <f>IFERROR(__xludf.DUMMYFUNCTION("""COMPUTED_VALUE"""),5717.0)</f>
        <v>5717</v>
      </c>
      <c r="AX1185" s="65"/>
      <c r="AY1185" s="65" t="str">
        <f>IFERROR(__xludf.DUMMYFUNCTION("""COMPUTED_VALUE"""),"02/02/2026")</f>
        <v>02/02/2026</v>
      </c>
      <c r="AZ1185" s="65"/>
      <c r="BA1185" s="65"/>
    </row>
    <row r="1186">
      <c r="A1186" s="65" t="str">
        <f>IFERROR(__xludf.DUMMYFUNCTION("""COMPUTED_VALUE"""),"27-03-2026")</f>
        <v>27-03-2026</v>
      </c>
      <c r="B1186" s="65">
        <f>IFERROR(__xludf.DUMMYFUNCTION("""COMPUTED_VALUE"""),4345858.0)</f>
        <v>4345858</v>
      </c>
      <c r="C1186" s="65" t="str">
        <f>IFERROR(__xludf.DUMMYFUNCTION("""COMPUTED_VALUE"""),"19:02")</f>
        <v>19:02</v>
      </c>
      <c r="D1186" s="65" t="str">
        <f>IFERROR(__xludf.DUMMYFUNCTION("""COMPUTED_VALUE"""),"31-01-2026")</f>
        <v>31-01-2026</v>
      </c>
      <c r="E1186" s="65" t="str">
        <f>IFERROR(__xludf.DUMMYFUNCTION("""COMPUTED_VALUE"""),"Luz Elena Lezcano Arcos")</f>
        <v>Luz Elena Lezcano Arcos</v>
      </c>
      <c r="F1186" s="65" t="str">
        <f>IFERROR(__xludf.DUMMYFUNCTION("""COMPUTED_VALUE"""),"987492482")</f>
        <v>987492482</v>
      </c>
      <c r="G1186" s="65" t="str">
        <f>IFERROR(__xludf.DUMMYFUNCTION("""COMPUTED_VALUE"""),"luzlez0578@gmail.com")</f>
        <v>luzlez0578@gmail.com</v>
      </c>
      <c r="H1186" s="65"/>
      <c r="I1186" s="65"/>
      <c r="J1186" s="65"/>
      <c r="K1186" s="65" t="str">
        <f>IFERROR(__xludf.DUMMYFUNCTION("""COMPUTED_VALUE"""),"CANCELADO")</f>
        <v>CANCELADO</v>
      </c>
      <c r="L1186" s="65" t="str">
        <f>IFERROR(__xludf.DUMMYFUNCTION("""COMPUTED_VALUE"""),"CON RECAUDO")</f>
        <v>CON RECAUDO</v>
      </c>
      <c r="M1186" s="65" t="str">
        <f>IFERROR(__xludf.DUMMYFUNCTION("""COMPUTED_VALUE"""),"AZUAY")</f>
        <v>AZUAY</v>
      </c>
      <c r="N1186" s="65" t="str">
        <f>IFERROR(__xludf.DUMMYFUNCTION("""COMPUTED_VALUE"""),"CUENCA")</f>
        <v>CUENCA</v>
      </c>
      <c r="O1186" s="65" t="str">
        <f>IFERROR(__xludf.DUMMYFUNCTION("""COMPUTED_VALUE"""),"Juan jose flores 3-36 Restaurante Ecuacolombia -")</f>
        <v>Juan jose flores 3-36 Restaurante Ecuacolombia -</v>
      </c>
      <c r="P1186" s="65"/>
      <c r="Q1186" s="65" t="str">
        <f>IFERROR(__xludf.DUMMYFUNCTION("""COMPUTED_VALUE"""),"GINTRACOM")</f>
        <v>GINTRACOM</v>
      </c>
      <c r="R1186" s="65">
        <f>IFERROR(__xludf.DUMMYFUNCTION("""COMPUTED_VALUE"""),22.0)</f>
        <v>22</v>
      </c>
      <c r="S1186" s="65"/>
      <c r="T1186" s="65">
        <f>IFERROR(__xludf.DUMMYFUNCTION("""COMPUTED_VALUE"""),5.84)</f>
        <v>5.84</v>
      </c>
      <c r="U1186" s="65">
        <f>IFERROR(__xludf.DUMMYFUNCTION("""COMPUTED_VALUE"""),0.0)</f>
        <v>0</v>
      </c>
      <c r="V1186" s="65">
        <f>IFERROR(__xludf.DUMMYFUNCTION("""COMPUTED_VALUE"""),0.0)</f>
        <v>0</v>
      </c>
      <c r="W1186" s="65">
        <f>IFERROR(__xludf.DUMMYFUNCTION("""COMPUTED_VALUE"""),0.0)</f>
        <v>0</v>
      </c>
      <c r="X1186" s="65">
        <f>IFERROR(__xludf.DUMMYFUNCTION("""COMPUTED_VALUE"""),2.6)</f>
        <v>2.6</v>
      </c>
      <c r="Y1186" s="65">
        <f>IFERROR(__xludf.DUMMYFUNCTION("""COMPUTED_VALUE"""),5.2)</f>
        <v>5.2</v>
      </c>
      <c r="Z1186" s="65">
        <f>IFERROR(__xludf.DUMMYFUNCTION("""COMPUTED_VALUE"""),121983.0)</f>
        <v>121983</v>
      </c>
      <c r="AA1186" s="65" t="str">
        <f>IFERROR(__xludf.DUMMYFUNCTION("""COMPUTED_VALUE"""),"PROV-CHLLCF")</f>
        <v>PROV-CHLLCF</v>
      </c>
      <c r="AB1186" s="65"/>
      <c r="AC1186" s="65" t="str">
        <f>IFERROR(__xludf.DUMMYFUNCTION("""COMPUTED_VALUE"""),"CUCHILLO PARA CHEF")</f>
        <v>CUCHILLO PARA CHEF</v>
      </c>
      <c r="AD1186" s="65"/>
      <c r="AE1186" s="65">
        <f>IFERROR(__xludf.DUMMYFUNCTION("""COMPUTED_VALUE"""),2.0)</f>
        <v>2</v>
      </c>
      <c r="AF1186" s="65"/>
      <c r="AG1186" s="65"/>
      <c r="AH1186" s="65"/>
      <c r="AI1186" s="65"/>
      <c r="AJ1186" s="65"/>
      <c r="AK1186" s="65"/>
      <c r="AL1186" s="65"/>
      <c r="AM1186" s="65"/>
      <c r="AN1186" s="65"/>
      <c r="AO1186" s="65"/>
      <c r="AP1186" s="65"/>
      <c r="AQ1186" s="65"/>
      <c r="AR1186" s="65"/>
      <c r="AS1186" s="65"/>
      <c r="AT1186" s="65" t="str">
        <f>IFERROR(__xludf.DUMMYFUNCTION("""COMPUTED_VALUE"""),"SHOPIFY")</f>
        <v>SHOPIFY</v>
      </c>
      <c r="AU1186" s="65" t="str">
        <f>IFERROR(__xludf.DUMMYFUNCTION("""COMPUTED_VALUE"""),"IMPORTEX EC")</f>
        <v>IMPORTEX EC</v>
      </c>
      <c r="AV1186" s="65" t="str">
        <f>IFERROR(__xludf.DUMMYFUNCTION("""COMPUTED_VALUE"""),"6466457698348")</f>
        <v>6466457698348</v>
      </c>
      <c r="AW1186" s="65">
        <f>IFERROR(__xludf.DUMMYFUNCTION("""COMPUTED_VALUE"""),5716.0)</f>
        <v>5716</v>
      </c>
      <c r="AX1186" s="65"/>
      <c r="AY1186" s="65"/>
      <c r="AZ1186" s="65"/>
      <c r="BA1186" s="65"/>
    </row>
    <row r="1187">
      <c r="A1187" s="65" t="str">
        <f>IFERROR(__xludf.DUMMYFUNCTION("""COMPUTED_VALUE"""),"27-03-2026")</f>
        <v>27-03-2026</v>
      </c>
      <c r="B1187" s="65">
        <f>IFERROR(__xludf.DUMMYFUNCTION("""COMPUTED_VALUE"""),4345823.0)</f>
        <v>4345823</v>
      </c>
      <c r="C1187" s="65" t="str">
        <f>IFERROR(__xludf.DUMMYFUNCTION("""COMPUTED_VALUE"""),"18:59")</f>
        <v>18:59</v>
      </c>
      <c r="D1187" s="65" t="str">
        <f>IFERROR(__xludf.DUMMYFUNCTION("""COMPUTED_VALUE"""),"31-01-2026")</f>
        <v>31-01-2026</v>
      </c>
      <c r="E1187" s="65" t="str">
        <f>IFERROR(__xludf.DUMMYFUNCTION("""COMPUTED_VALUE"""),"Edwin Vera")</f>
        <v>Edwin Vera</v>
      </c>
      <c r="F1187" s="65" t="str">
        <f>IFERROR(__xludf.DUMMYFUNCTION("""COMPUTED_VALUE"""),"963240900")</f>
        <v>963240900</v>
      </c>
      <c r="G1187" s="65" t="str">
        <f>IFERROR(__xludf.DUMMYFUNCTION("""COMPUTED_VALUE"""),"veralexis454@gmail.com")</f>
        <v>veralexis454@gmail.com</v>
      </c>
      <c r="H1187" s="65"/>
      <c r="I1187" s="65"/>
      <c r="J1187" s="65" t="str">
        <f>IFERROR(__xludf.DUMMYFUNCTION("""COMPUTED_VALUE"""),"D001288589")</f>
        <v>D001288589</v>
      </c>
      <c r="K1187" s="65" t="str">
        <f>IFERROR(__xludf.DUMMYFUNCTION("""COMPUTED_VALUE"""),"DEVOLUCION")</f>
        <v>DEVOLUCION</v>
      </c>
      <c r="L1187" s="65" t="str">
        <f>IFERROR(__xludf.DUMMYFUNCTION("""COMPUTED_VALUE"""),"CON RECAUDO")</f>
        <v>CON RECAUDO</v>
      </c>
      <c r="M1187" s="65" t="str">
        <f>IFERROR(__xludf.DUMMYFUNCTION("""COMPUTED_VALUE"""),"MANABI")</f>
        <v>MANABI</v>
      </c>
      <c r="N1187" s="65" t="str">
        <f>IFERROR(__xludf.DUMMYFUNCTION("""COMPUTED_VALUE"""),"MANTA")</f>
        <v>MANTA</v>
      </c>
      <c r="O1187" s="65" t="str">
        <f>IFERROR(__xludf.DUMMYFUNCTION("""COMPUTED_VALUE"""),"Es la calle10 av 17 a dos cuadras del mercado, REF : Al frente hay un taller de moto")</f>
        <v>Es la calle10 av 17 a dos cuadras del mercado, REF : Al frente hay un taller de moto</v>
      </c>
      <c r="P1187" s="65"/>
      <c r="Q1187" s="65" t="str">
        <f>IFERROR(__xludf.DUMMYFUNCTION("""COMPUTED_VALUE"""),"GINTRACOM")</f>
        <v>GINTRACOM</v>
      </c>
      <c r="R1187" s="65">
        <f>IFERROR(__xludf.DUMMYFUNCTION("""COMPUTED_VALUE"""),30.0)</f>
        <v>30</v>
      </c>
      <c r="S1187" s="65"/>
      <c r="T1187" s="65">
        <f>IFERROR(__xludf.DUMMYFUNCTION("""COMPUTED_VALUE"""),6.16)</f>
        <v>6.16</v>
      </c>
      <c r="U1187" s="65">
        <f>IFERROR(__xludf.DUMMYFUNCTION("""COMPUTED_VALUE"""),0.0)</f>
        <v>0</v>
      </c>
      <c r="V1187" s="65">
        <f>IFERROR(__xludf.DUMMYFUNCTION("""COMPUTED_VALUE"""),0.0)</f>
        <v>0</v>
      </c>
      <c r="W1187" s="65">
        <f>IFERROR(__xludf.DUMMYFUNCTION("""COMPUTED_VALUE"""),0.0)</f>
        <v>0</v>
      </c>
      <c r="X1187" s="65">
        <f>IFERROR(__xludf.DUMMYFUNCTION("""COMPUTED_VALUE"""),2.35)</f>
        <v>2.35</v>
      </c>
      <c r="Y1187" s="65">
        <f>IFERROR(__xludf.DUMMYFUNCTION("""COMPUTED_VALUE"""),7.05)</f>
        <v>7.05</v>
      </c>
      <c r="Z1187" s="65">
        <f>IFERROR(__xludf.DUMMYFUNCTION("""COMPUTED_VALUE"""),116679.0)</f>
        <v>116679</v>
      </c>
      <c r="AA1187" s="65" t="str">
        <f>IFERROR(__xludf.DUMMYFUNCTION("""COMPUTED_VALUE"""),"AMC-2738")</f>
        <v>AMC-2738</v>
      </c>
      <c r="AB1187" s="65"/>
      <c r="AC1187" s="65" t="str">
        <f>IFERROR(__xludf.DUMMYFUNCTION("""COMPUTED_VALUE"""),"ESPONJA ANTILLUVIA DE PARABRISAS")</f>
        <v>ESPONJA ANTILLUVIA DE PARABRISAS</v>
      </c>
      <c r="AD1187" s="65"/>
      <c r="AE1187" s="65">
        <f>IFERROR(__xludf.DUMMYFUNCTION("""COMPUTED_VALUE"""),3.0)</f>
        <v>3</v>
      </c>
      <c r="AF1187" s="65" t="str">
        <f>IFERROR(__xludf.DUMMYFUNCTION("""COMPUTED_VALUE"""),"DESTINATARIO NO CONTESTA LLAMADAS NI WHATSAPP")</f>
        <v>DESTINATARIO NO CONTESTA LLAMADAS NI WHATSAPP</v>
      </c>
      <c r="AG1187" s="65" t="str">
        <f>IFERROR(__xludf.DUMMYFUNCTION("""COMPUTED_VALUE"""),"NO")</f>
        <v>NO</v>
      </c>
      <c r="AH1187" s="65" t="str">
        <f>IFERROR(__xludf.DUMMYFUNCTION("""COMPUTED_VALUE"""),"09:00")</f>
        <v>09:00</v>
      </c>
      <c r="AI1187" s="65" t="str">
        <f>IFERROR(__xludf.DUMMYFUNCTION("""COMPUTED_VALUE"""),"14-02-2026")</f>
        <v>14-02-2026</v>
      </c>
      <c r="AJ1187" s="65"/>
      <c r="AK1187" s="65"/>
      <c r="AL1187" s="65"/>
      <c r="AM1187" s="65"/>
      <c r="AN1187" s="65" t="str">
        <f>IFERROR(__xludf.DUMMYFUNCTION("""COMPUTED_VALUE"""),"15:48")</f>
        <v>15:48</v>
      </c>
      <c r="AO1187" s="65" t="str">
        <f>IFERROR(__xludf.DUMMYFUNCTION("""COMPUTED_VALUE"""),"02-03-2026")</f>
        <v>02-03-2026</v>
      </c>
      <c r="AP1187" s="65" t="str">
        <f>IFERROR(__xludf.DUMMYFUNCTION("""COMPUTED_VALUE"""),"DEVOLUCIÓN ENTREGADA A ORIGEN")</f>
        <v>DEVOLUCIÓN ENTREGADA A ORIGEN</v>
      </c>
      <c r="AQ1187" s="65" t="str">
        <f>IFERROR(__xludf.DUMMYFUNCTION("""COMPUTED_VALUE"""),"DEVOLUCIÓN ENTREGADA A ORIGEN")</f>
        <v>DEVOLUCIÓN ENTREGADA A ORIGEN</v>
      </c>
      <c r="AR1187" s="65"/>
      <c r="AS1187" s="65"/>
      <c r="AT1187" s="65" t="str">
        <f>IFERROR(__xludf.DUMMYFUNCTION("""COMPUTED_VALUE"""),"SHOPIFY")</f>
        <v>SHOPIFY</v>
      </c>
      <c r="AU1187" s="65" t="str">
        <f>IFERROR(__xludf.DUMMYFUNCTION("""COMPUTED_VALUE"""),"IMPORTEX EC")</f>
        <v>IMPORTEX EC</v>
      </c>
      <c r="AV1187" s="65" t="str">
        <f>IFERROR(__xludf.DUMMYFUNCTION("""COMPUTED_VALUE"""),"6466448228396")</f>
        <v>6466448228396</v>
      </c>
      <c r="AW1187" s="65">
        <f>IFERROR(__xludf.DUMMYFUNCTION("""COMPUTED_VALUE"""),5715.0)</f>
        <v>5715</v>
      </c>
      <c r="AX1187" s="65"/>
      <c r="AY1187" s="65" t="str">
        <f>IFERROR(__xludf.DUMMYFUNCTION("""COMPUTED_VALUE"""),"02/02/2026")</f>
        <v>02/02/2026</v>
      </c>
      <c r="AZ1187" s="65"/>
      <c r="BA1187" s="65"/>
    </row>
    <row r="1188">
      <c r="A1188" s="65" t="str">
        <f>IFERROR(__xludf.DUMMYFUNCTION("""COMPUTED_VALUE"""),"27-03-2026")</f>
        <v>27-03-2026</v>
      </c>
      <c r="B1188" s="65">
        <f>IFERROR(__xludf.DUMMYFUNCTION("""COMPUTED_VALUE"""),4345698.0)</f>
        <v>4345698</v>
      </c>
      <c r="C1188" s="65" t="str">
        <f>IFERROR(__xludf.DUMMYFUNCTION("""COMPUTED_VALUE"""),"18:41")</f>
        <v>18:41</v>
      </c>
      <c r="D1188" s="65" t="str">
        <f>IFERROR(__xludf.DUMMYFUNCTION("""COMPUTED_VALUE"""),"31-01-2026")</f>
        <v>31-01-2026</v>
      </c>
      <c r="E1188" s="65" t="str">
        <f>IFERROR(__xludf.DUMMYFUNCTION("""COMPUTED_VALUE"""),"Claudio Orlando Zambrano")</f>
        <v>Claudio Orlando Zambrano</v>
      </c>
      <c r="F1188" s="65" t="str">
        <f>IFERROR(__xludf.DUMMYFUNCTION("""COMPUTED_VALUE"""),"963132613")</f>
        <v>963132613</v>
      </c>
      <c r="G1188" s="65" t="str">
        <f>IFERROR(__xludf.DUMMYFUNCTION("""COMPUTED_VALUE"""),"orzamce@gmail.com")</f>
        <v>orzamce@gmail.com</v>
      </c>
      <c r="H1188" s="65"/>
      <c r="I1188" s="65"/>
      <c r="J1188" s="65" t="str">
        <f>IFERROR(__xludf.DUMMYFUNCTION("""COMPUTED_VALUE"""),"D001287616")</f>
        <v>D001287616</v>
      </c>
      <c r="K1188" s="65" t="str">
        <f>IFERROR(__xludf.DUMMYFUNCTION("""COMPUTED_VALUE"""),"ENTREGADO")</f>
        <v>ENTREGADO</v>
      </c>
      <c r="L1188" s="65" t="str">
        <f>IFERROR(__xludf.DUMMYFUNCTION("""COMPUTED_VALUE"""),"CON RECAUDO")</f>
        <v>CON RECAUDO</v>
      </c>
      <c r="M1188" s="65" t="str">
        <f>IFERROR(__xludf.DUMMYFUNCTION("""COMPUTED_VALUE"""),"GUAYAS")</f>
        <v>GUAYAS</v>
      </c>
      <c r="N1188" s="65" t="str">
        <f>IFERROR(__xludf.DUMMYFUNCTION("""COMPUTED_VALUE"""),"GUAYAQUIL")</f>
        <v>GUAYAQUIL</v>
      </c>
      <c r="O1188" s="65" t="str">
        <f>IFERROR(__xludf.DUMMYFUNCTION("""COMPUTED_VALUE"""),"Orquídeas mz 1032 v. 47 Alado iglesia católica Jesús del buen pastor -")</f>
        <v>Orquídeas mz 1032 v. 47 Alado iglesia católica Jesús del buen pastor -</v>
      </c>
      <c r="P1188" s="65"/>
      <c r="Q1188" s="65" t="str">
        <f>IFERROR(__xludf.DUMMYFUNCTION("""COMPUTED_VALUE"""),"GINTRACOM")</f>
        <v>GINTRACOM</v>
      </c>
      <c r="R1188" s="65">
        <f>IFERROR(__xludf.DUMMYFUNCTION("""COMPUTED_VALUE"""),22.0)</f>
        <v>22</v>
      </c>
      <c r="S1188" s="65">
        <f>IFERROR(__xludf.DUMMYFUNCTION("""COMPUTED_VALUE"""),12.57)</f>
        <v>12.57</v>
      </c>
      <c r="T1188" s="65">
        <f>IFERROR(__xludf.DUMMYFUNCTION("""COMPUTED_VALUE"""),4.23)</f>
        <v>4.23</v>
      </c>
      <c r="U1188" s="65">
        <f>IFERROR(__xludf.DUMMYFUNCTION("""COMPUTED_VALUE"""),0.0)</f>
        <v>0</v>
      </c>
      <c r="V1188" s="65">
        <f>IFERROR(__xludf.DUMMYFUNCTION("""COMPUTED_VALUE"""),0.0)</f>
        <v>0</v>
      </c>
      <c r="W1188" s="65">
        <f>IFERROR(__xludf.DUMMYFUNCTION("""COMPUTED_VALUE"""),0.0)</f>
        <v>0</v>
      </c>
      <c r="X1188" s="65">
        <f>IFERROR(__xludf.DUMMYFUNCTION("""COMPUTED_VALUE"""),2.6)</f>
        <v>2.6</v>
      </c>
      <c r="Y1188" s="65">
        <f>IFERROR(__xludf.DUMMYFUNCTION("""COMPUTED_VALUE"""),5.2)</f>
        <v>5.2</v>
      </c>
      <c r="Z1188" s="65">
        <f>IFERROR(__xludf.DUMMYFUNCTION("""COMPUTED_VALUE"""),121983.0)</f>
        <v>121983</v>
      </c>
      <c r="AA1188" s="65" t="str">
        <f>IFERROR(__xludf.DUMMYFUNCTION("""COMPUTED_VALUE"""),"PROV-CHLLCF")</f>
        <v>PROV-CHLLCF</v>
      </c>
      <c r="AB1188" s="65"/>
      <c r="AC1188" s="65" t="str">
        <f>IFERROR(__xludf.DUMMYFUNCTION("""COMPUTED_VALUE"""),"CUCHILLO PARA CHEF")</f>
        <v>CUCHILLO PARA CHEF</v>
      </c>
      <c r="AD1188" s="65"/>
      <c r="AE1188" s="65">
        <f>IFERROR(__xludf.DUMMYFUNCTION("""COMPUTED_VALUE"""),2.0)</f>
        <v>2</v>
      </c>
      <c r="AF1188" s="65"/>
      <c r="AG1188" s="65"/>
      <c r="AH1188" s="65"/>
      <c r="AI1188" s="65"/>
      <c r="AJ1188" s="65"/>
      <c r="AK1188" s="65"/>
      <c r="AL1188" s="65"/>
      <c r="AM1188" s="65"/>
      <c r="AN1188" s="65"/>
      <c r="AO1188" s="65"/>
      <c r="AP1188" s="65"/>
      <c r="AQ1188" s="65"/>
      <c r="AR1188" s="65"/>
      <c r="AS1188" s="65"/>
      <c r="AT1188" s="65" t="str">
        <f>IFERROR(__xludf.DUMMYFUNCTION("""COMPUTED_VALUE"""),"SHOPIFY")</f>
        <v>SHOPIFY</v>
      </c>
      <c r="AU1188" s="65" t="str">
        <f>IFERROR(__xludf.DUMMYFUNCTION("""COMPUTED_VALUE"""),"IMPORTEX EC")</f>
        <v>IMPORTEX EC</v>
      </c>
      <c r="AV1188" s="65" t="str">
        <f>IFERROR(__xludf.DUMMYFUNCTION("""COMPUTED_VALUE"""),"6466414542892")</f>
        <v>6466414542892</v>
      </c>
      <c r="AW1188" s="65">
        <f>IFERROR(__xludf.DUMMYFUNCTION("""COMPUTED_VALUE"""),5714.0)</f>
        <v>5714</v>
      </c>
      <c r="AX1188" s="65"/>
      <c r="AY1188" s="65" t="str">
        <f>IFERROR(__xludf.DUMMYFUNCTION("""COMPUTED_VALUE"""),"02/02/2026")</f>
        <v>02/02/2026</v>
      </c>
      <c r="AZ1188" s="65"/>
      <c r="BA1188" s="65"/>
    </row>
    <row r="1189">
      <c r="A1189" s="65" t="str">
        <f>IFERROR(__xludf.DUMMYFUNCTION("""COMPUTED_VALUE"""),"27-03-2026")</f>
        <v>27-03-2026</v>
      </c>
      <c r="B1189" s="65">
        <f>IFERROR(__xludf.DUMMYFUNCTION("""COMPUTED_VALUE"""),4345446.0)</f>
        <v>4345446</v>
      </c>
      <c r="C1189" s="65" t="str">
        <f>IFERROR(__xludf.DUMMYFUNCTION("""COMPUTED_VALUE"""),"18:05")</f>
        <v>18:05</v>
      </c>
      <c r="D1189" s="65" t="str">
        <f>IFERROR(__xludf.DUMMYFUNCTION("""COMPUTED_VALUE"""),"31-01-2026")</f>
        <v>31-01-2026</v>
      </c>
      <c r="E1189" s="65" t="str">
        <f>IFERROR(__xludf.DUMMYFUNCTION("""COMPUTED_VALUE"""),"Jhonny Carlo Valdivieso Pizarro")</f>
        <v>Jhonny Carlo Valdivieso Pizarro</v>
      </c>
      <c r="F1189" s="65" t="str">
        <f>IFERROR(__xludf.DUMMYFUNCTION("""COMPUTED_VALUE"""),"988244329")</f>
        <v>988244329</v>
      </c>
      <c r="G1189" s="65"/>
      <c r="H1189" s="65"/>
      <c r="I1189" s="65"/>
      <c r="J1189" s="65"/>
      <c r="K1189" s="65" t="str">
        <f>IFERROR(__xludf.DUMMYFUNCTION("""COMPUTED_VALUE"""),"CANCELADO")</f>
        <v>CANCELADO</v>
      </c>
      <c r="L1189" s="65" t="str">
        <f>IFERROR(__xludf.DUMMYFUNCTION("""COMPUTED_VALUE"""),"CON RECAUDO")</f>
        <v>CON RECAUDO</v>
      </c>
      <c r="M1189" s="65" t="str">
        <f>IFERROR(__xludf.DUMMYFUNCTION("""COMPUTED_VALUE"""),"EL ORO")</f>
        <v>EL ORO</v>
      </c>
      <c r="N1189" s="65" t="str">
        <f>IFERROR(__xludf.DUMMYFUNCTION("""COMPUTED_VALUE"""),"EL CAMBIO")</f>
        <v>EL CAMBIO</v>
      </c>
      <c r="O1189" s="65" t="str">
        <f>IFERROR(__xludf.DUMMYFUNCTION("""COMPUTED_VALUE"""),"frente de la iglesia, al lado de Servientrega, parquecito")</f>
        <v>frente de la iglesia, al lado de Servientrega, parquecito</v>
      </c>
      <c r="P1189" s="65" t="str">
        <f>IFERROR(__xludf.DUMMYFUNCTION("""COMPUTED_VALUE"""),"ESPONJA ANTILLUVIA DE PARABRISAS: Default Title ***")</f>
        <v>ESPONJA ANTILLUVIA DE PARABRISAS: Default Title ***</v>
      </c>
      <c r="Q1189" s="65" t="str">
        <f>IFERROR(__xludf.DUMMYFUNCTION("""COMPUTED_VALUE"""),"GINTRACOM")</f>
        <v>GINTRACOM</v>
      </c>
      <c r="R1189" s="65">
        <f>IFERROR(__xludf.DUMMYFUNCTION("""COMPUTED_VALUE"""),20.0)</f>
        <v>20</v>
      </c>
      <c r="S1189" s="65"/>
      <c r="T1189" s="65">
        <f>IFERROR(__xludf.DUMMYFUNCTION("""COMPUTED_VALUE"""),6.33)</f>
        <v>6.33</v>
      </c>
      <c r="U1189" s="65">
        <f>IFERROR(__xludf.DUMMYFUNCTION("""COMPUTED_VALUE"""),0.0)</f>
        <v>0</v>
      </c>
      <c r="V1189" s="65">
        <f>IFERROR(__xludf.DUMMYFUNCTION("""COMPUTED_VALUE"""),0.0)</f>
        <v>0</v>
      </c>
      <c r="W1189" s="65">
        <f>IFERROR(__xludf.DUMMYFUNCTION("""COMPUTED_VALUE"""),0.0)</f>
        <v>0</v>
      </c>
      <c r="X1189" s="65">
        <f>IFERROR(__xludf.DUMMYFUNCTION("""COMPUTED_VALUE"""),2.35)</f>
        <v>2.35</v>
      </c>
      <c r="Y1189" s="65">
        <f>IFERROR(__xludf.DUMMYFUNCTION("""COMPUTED_VALUE"""),2.35)</f>
        <v>2.35</v>
      </c>
      <c r="Z1189" s="65">
        <f>IFERROR(__xludf.DUMMYFUNCTION("""COMPUTED_VALUE"""),116679.0)</f>
        <v>116679</v>
      </c>
      <c r="AA1189" s="65" t="str">
        <f>IFERROR(__xludf.DUMMYFUNCTION("""COMPUTED_VALUE"""),"AMC-2738")</f>
        <v>AMC-2738</v>
      </c>
      <c r="AB1189" s="65"/>
      <c r="AC1189" s="65" t="str">
        <f>IFERROR(__xludf.DUMMYFUNCTION("""COMPUTED_VALUE"""),"ESPONJA ANTILLUVIA DE PARABRISAS")</f>
        <v>ESPONJA ANTILLUVIA DE PARABRISAS</v>
      </c>
      <c r="AD1189" s="65"/>
      <c r="AE1189" s="65">
        <f>IFERROR(__xludf.DUMMYFUNCTION("""COMPUTED_VALUE"""),1.0)</f>
        <v>1</v>
      </c>
      <c r="AF1189" s="65"/>
      <c r="AG1189" s="65"/>
      <c r="AH1189" s="65"/>
      <c r="AI1189" s="65"/>
      <c r="AJ1189" s="65"/>
      <c r="AK1189" s="65"/>
      <c r="AL1189" s="65"/>
      <c r="AM1189" s="65"/>
      <c r="AN1189" s="65"/>
      <c r="AO1189" s="65"/>
      <c r="AP1189" s="65"/>
      <c r="AQ1189" s="65"/>
      <c r="AR1189" s="65"/>
      <c r="AS1189" s="65"/>
      <c r="AT1189" s="65" t="str">
        <f>IFERROR(__xludf.DUMMYFUNCTION("""COMPUTED_VALUE"""),"SHOPIFY")</f>
        <v>SHOPIFY</v>
      </c>
      <c r="AU1189" s="65" t="str">
        <f>IFERROR(__xludf.DUMMYFUNCTION("""COMPUTED_VALUE"""),"IMPORTEX EC")</f>
        <v>IMPORTEX EC</v>
      </c>
      <c r="AV1189" s="65" t="str">
        <f>IFERROR(__xludf.DUMMYFUNCTION("""COMPUTED_VALUE"""),"6466323513388")</f>
        <v>6466323513388</v>
      </c>
      <c r="AW1189" s="65">
        <f>IFERROR(__xludf.DUMMYFUNCTION("""COMPUTED_VALUE"""),5713.0)</f>
        <v>5713</v>
      </c>
      <c r="AX1189" s="65"/>
      <c r="AY1189" s="65"/>
      <c r="AZ1189" s="65"/>
      <c r="BA1189" s="65"/>
    </row>
    <row r="1190">
      <c r="A1190" s="65" t="str">
        <f>IFERROR(__xludf.DUMMYFUNCTION("""COMPUTED_VALUE"""),"27-03-2026")</f>
        <v>27-03-2026</v>
      </c>
      <c r="B1190" s="65">
        <f>IFERROR(__xludf.DUMMYFUNCTION("""COMPUTED_VALUE"""),4344956.0)</f>
        <v>4344956</v>
      </c>
      <c r="C1190" s="65" t="str">
        <f>IFERROR(__xludf.DUMMYFUNCTION("""COMPUTED_VALUE"""),"16:52")</f>
        <v>16:52</v>
      </c>
      <c r="D1190" s="65" t="str">
        <f>IFERROR(__xludf.DUMMYFUNCTION("""COMPUTED_VALUE"""),"31-01-2026")</f>
        <v>31-01-2026</v>
      </c>
      <c r="E1190" s="65" t="str">
        <f>IFERROR(__xludf.DUMMYFUNCTION("""COMPUTED_VALUE"""),"Luis Alfredo Sanmartin Medina")</f>
        <v>Luis Alfredo Sanmartin Medina</v>
      </c>
      <c r="F1190" s="65" t="str">
        <f>IFERROR(__xludf.DUMMYFUNCTION("""COMPUTED_VALUE"""),"991350507")</f>
        <v>991350507</v>
      </c>
      <c r="G1190" s="65" t="str">
        <f>IFERROR(__xludf.DUMMYFUNCTION("""COMPUTED_VALUE"""),"sanmartin198662@gmail.com")</f>
        <v>sanmartin198662@gmail.com</v>
      </c>
      <c r="H1190" s="65"/>
      <c r="I1190" s="65"/>
      <c r="J1190" s="65" t="str">
        <f>IFERROR(__xludf.DUMMYFUNCTION("""COMPUTED_VALUE"""),"186995647")</f>
        <v>186995647</v>
      </c>
      <c r="K1190" s="65" t="str">
        <f>IFERROR(__xludf.DUMMYFUNCTION("""COMPUTED_VALUE"""),"ENTREGADO")</f>
        <v>ENTREGADO</v>
      </c>
      <c r="L1190" s="65" t="str">
        <f>IFERROR(__xludf.DUMMYFUNCTION("""COMPUTED_VALUE"""),"CON RECAUDO")</f>
        <v>CON RECAUDO</v>
      </c>
      <c r="M1190" s="65" t="str">
        <f>IFERROR(__xludf.DUMMYFUNCTION("""COMPUTED_VALUE"""),"ZAMORA CHINCHIPE")</f>
        <v>ZAMORA CHINCHIPE</v>
      </c>
      <c r="N1190" s="65" t="str">
        <f>IFERROR(__xludf.DUMMYFUNCTION("""COMPUTED_VALUE"""),"YANTZAZA")</f>
        <v>YANTZAZA</v>
      </c>
      <c r="O1190" s="65" t="str">
        <f>IFERROR(__xludf.DUMMYFUNCTION("""COMPUTED_VALUE"""),"RETIRA EN CS : YANTZAZA_IVAN RIOFRIO . IVAN RIOFRIO Y MARTIN AYUY")</f>
        <v>RETIRA EN CS : YANTZAZA_IVAN RIOFRIO . IVAN RIOFRIO Y MARTIN AYUY</v>
      </c>
      <c r="P1190" s="65"/>
      <c r="Q1190" s="65" t="str">
        <f>IFERROR(__xludf.DUMMYFUNCTION("""COMPUTED_VALUE"""),"SERVIENTREGA")</f>
        <v>SERVIENTREGA</v>
      </c>
      <c r="R1190" s="65">
        <f>IFERROR(__xludf.DUMMYFUNCTION("""COMPUTED_VALUE"""),20.0)</f>
        <v>20</v>
      </c>
      <c r="S1190" s="65">
        <f>IFERROR(__xludf.DUMMYFUNCTION("""COMPUTED_VALUE"""),9.98)</f>
        <v>9.98</v>
      </c>
      <c r="T1190" s="65">
        <f>IFERROR(__xludf.DUMMYFUNCTION("""COMPUTED_VALUE"""),7.67)</f>
        <v>7.67</v>
      </c>
      <c r="U1190" s="65">
        <f>IFERROR(__xludf.DUMMYFUNCTION("""COMPUTED_VALUE"""),0.0)</f>
        <v>0</v>
      </c>
      <c r="V1190" s="65">
        <f>IFERROR(__xludf.DUMMYFUNCTION("""COMPUTED_VALUE"""),0.0)</f>
        <v>0</v>
      </c>
      <c r="W1190" s="65">
        <f>IFERROR(__xludf.DUMMYFUNCTION("""COMPUTED_VALUE"""),0.0)</f>
        <v>0</v>
      </c>
      <c r="X1190" s="65">
        <f>IFERROR(__xludf.DUMMYFUNCTION("""COMPUTED_VALUE"""),2.35)</f>
        <v>2.35</v>
      </c>
      <c r="Y1190" s="65">
        <f>IFERROR(__xludf.DUMMYFUNCTION("""COMPUTED_VALUE"""),2.35)</f>
        <v>2.35</v>
      </c>
      <c r="Z1190" s="65">
        <f>IFERROR(__xludf.DUMMYFUNCTION("""COMPUTED_VALUE"""),116679.0)</f>
        <v>116679</v>
      </c>
      <c r="AA1190" s="65" t="str">
        <f>IFERROR(__xludf.DUMMYFUNCTION("""COMPUTED_VALUE"""),"AMC-2738")</f>
        <v>AMC-2738</v>
      </c>
      <c r="AB1190" s="65"/>
      <c r="AC1190" s="65" t="str">
        <f>IFERROR(__xludf.DUMMYFUNCTION("""COMPUTED_VALUE"""),"ESPONJA ANTILLUVIA DE PARABRISAS")</f>
        <v>ESPONJA ANTILLUVIA DE PARABRISAS</v>
      </c>
      <c r="AD1190" s="65"/>
      <c r="AE1190" s="65">
        <f>IFERROR(__xludf.DUMMYFUNCTION("""COMPUTED_VALUE"""),1.0)</f>
        <v>1</v>
      </c>
      <c r="AF1190" s="65"/>
      <c r="AG1190" s="65"/>
      <c r="AH1190" s="65"/>
      <c r="AI1190" s="65"/>
      <c r="AJ1190" s="65"/>
      <c r="AK1190" s="65"/>
      <c r="AL1190" s="65"/>
      <c r="AM1190" s="65"/>
      <c r="AN1190" s="65" t="str">
        <f>IFERROR(__xludf.DUMMYFUNCTION("""COMPUTED_VALUE"""),"13:56")</f>
        <v>13:56</v>
      </c>
      <c r="AO1190" s="65" t="str">
        <f>IFERROR(__xludf.DUMMYFUNCTION("""COMPUTED_VALUE"""),"20-02-2026")</f>
        <v>20-02-2026</v>
      </c>
      <c r="AP1190" s="65" t="str">
        <f>IFERROR(__xludf.DUMMYFUNCTION("""COMPUTED_VALUE"""),"ENTREGA DIGITALIZADA EN CENTRO LOGISTICO")</f>
        <v>ENTREGA DIGITALIZADA EN CENTRO LOGISTICO</v>
      </c>
      <c r="AQ1190" s="65" t="str">
        <f>IFERROR(__xludf.DUMMYFUNCTION("""COMPUTED_VALUE"""),"LUIS ALFREDO SANMAR")</f>
        <v>LUIS ALFREDO SANMAR</v>
      </c>
      <c r="AR1190" s="65"/>
      <c r="AS1190" s="65"/>
      <c r="AT1190" s="65" t="str">
        <f>IFERROR(__xludf.DUMMYFUNCTION("""COMPUTED_VALUE"""),"SHOPIFY")</f>
        <v>SHOPIFY</v>
      </c>
      <c r="AU1190" s="65" t="str">
        <f>IFERROR(__xludf.DUMMYFUNCTION("""COMPUTED_VALUE"""),"IMPORTEX EC")</f>
        <v>IMPORTEX EC</v>
      </c>
      <c r="AV1190" s="65" t="str">
        <f>IFERROR(__xludf.DUMMYFUNCTION("""COMPUTED_VALUE"""),"6466148139052")</f>
        <v>6466148139052</v>
      </c>
      <c r="AW1190" s="65">
        <f>IFERROR(__xludf.DUMMYFUNCTION("""COMPUTED_VALUE"""),5712.0)</f>
        <v>5712</v>
      </c>
      <c r="AX1190" s="65"/>
      <c r="AY1190" s="65" t="str">
        <f>IFERROR(__xludf.DUMMYFUNCTION("""COMPUTED_VALUE"""),"03/02/2026")</f>
        <v>03/02/2026</v>
      </c>
      <c r="AZ1190" s="65"/>
      <c r="BA1190" s="65"/>
    </row>
    <row r="1191">
      <c r="A1191" s="65" t="str">
        <f>IFERROR(__xludf.DUMMYFUNCTION("""COMPUTED_VALUE"""),"27-03-2026")</f>
        <v>27-03-2026</v>
      </c>
      <c r="B1191" s="65">
        <f>IFERROR(__xludf.DUMMYFUNCTION("""COMPUTED_VALUE"""),4344632.0)</f>
        <v>4344632</v>
      </c>
      <c r="C1191" s="65" t="str">
        <f>IFERROR(__xludf.DUMMYFUNCTION("""COMPUTED_VALUE"""),"16:09")</f>
        <v>16:09</v>
      </c>
      <c r="D1191" s="65" t="str">
        <f>IFERROR(__xludf.DUMMYFUNCTION("""COMPUTED_VALUE"""),"31-01-2026")</f>
        <v>31-01-2026</v>
      </c>
      <c r="E1191" s="65" t="str">
        <f>IFERROR(__xludf.DUMMYFUNCTION("""COMPUTED_VALUE"""),"Christian Almeida")</f>
        <v>Christian Almeida</v>
      </c>
      <c r="F1191" s="65" t="str">
        <f>IFERROR(__xludf.DUMMYFUNCTION("""COMPUTED_VALUE"""),"982632682")</f>
        <v>982632682</v>
      </c>
      <c r="G1191" s="65" t="str">
        <f>IFERROR(__xludf.DUMMYFUNCTION("""COMPUTED_VALUE"""),"gerenciamervisa@gmail.com")</f>
        <v>gerenciamervisa@gmail.com</v>
      </c>
      <c r="H1191" s="65"/>
      <c r="I1191" s="65"/>
      <c r="J1191" s="65"/>
      <c r="K1191" s="65" t="str">
        <f>IFERROR(__xludf.DUMMYFUNCTION("""COMPUTED_VALUE"""),"PENDIENTE CONFIRMACION")</f>
        <v>PENDIENTE CONFIRMACION</v>
      </c>
      <c r="L1191" s="65" t="str">
        <f>IFERROR(__xludf.DUMMYFUNCTION("""COMPUTED_VALUE"""),"CON RECAUDO")</f>
        <v>CON RECAUDO</v>
      </c>
      <c r="M1191" s="65" t="str">
        <f>IFERROR(__xludf.DUMMYFUNCTION("""COMPUTED_VALUE"""),"PICHINCHA")</f>
        <v>PICHINCHA</v>
      </c>
      <c r="N1191" s="65" t="str">
        <f>IFERROR(__xludf.DUMMYFUNCTION("""COMPUTED_VALUE"""),"QUITO")</f>
        <v>QUITO</v>
      </c>
      <c r="O1191" s="65" t="str">
        <f>IFERROR(__xludf.DUMMYFUNCTION("""COMPUTED_VALUE"""),"José Figueroa oe5-87 y Emilio Bustamante Cotocollao -")</f>
        <v>José Figueroa oe5-87 y Emilio Bustamante Cotocollao -</v>
      </c>
      <c r="P1191" s="65"/>
      <c r="Q1191" s="65" t="str">
        <f>IFERROR(__xludf.DUMMYFUNCTION("""COMPUTED_VALUE"""),"GINTRACOM")</f>
        <v>GINTRACOM</v>
      </c>
      <c r="R1191" s="65">
        <f>IFERROR(__xludf.DUMMYFUNCTION("""COMPUTED_VALUE"""),30.0)</f>
        <v>30</v>
      </c>
      <c r="S1191" s="65"/>
      <c r="T1191" s="65">
        <f>IFERROR(__xludf.DUMMYFUNCTION("""COMPUTED_VALUE"""),4.55)</f>
        <v>4.55</v>
      </c>
      <c r="U1191" s="65">
        <f>IFERROR(__xludf.DUMMYFUNCTION("""COMPUTED_VALUE"""),0.0)</f>
        <v>0</v>
      </c>
      <c r="V1191" s="65">
        <f>IFERROR(__xludf.DUMMYFUNCTION("""COMPUTED_VALUE"""),0.0)</f>
        <v>0</v>
      </c>
      <c r="W1191" s="65">
        <f>IFERROR(__xludf.DUMMYFUNCTION("""COMPUTED_VALUE"""),0.0)</f>
        <v>0</v>
      </c>
      <c r="X1191" s="65">
        <f>IFERROR(__xludf.DUMMYFUNCTION("""COMPUTED_VALUE"""),2.35)</f>
        <v>2.35</v>
      </c>
      <c r="Y1191" s="65">
        <f>IFERROR(__xludf.DUMMYFUNCTION("""COMPUTED_VALUE"""),7.05)</f>
        <v>7.05</v>
      </c>
      <c r="Z1191" s="65">
        <f>IFERROR(__xludf.DUMMYFUNCTION("""COMPUTED_VALUE"""),116679.0)</f>
        <v>116679</v>
      </c>
      <c r="AA1191" s="65" t="str">
        <f>IFERROR(__xludf.DUMMYFUNCTION("""COMPUTED_VALUE"""),"AMC-2738")</f>
        <v>AMC-2738</v>
      </c>
      <c r="AB1191" s="65"/>
      <c r="AC1191" s="65" t="str">
        <f>IFERROR(__xludf.DUMMYFUNCTION("""COMPUTED_VALUE"""),"ESPONJA ANTILLUVIA DE PARABRISAS")</f>
        <v>ESPONJA ANTILLUVIA DE PARABRISAS</v>
      </c>
      <c r="AD1191" s="65"/>
      <c r="AE1191" s="65">
        <f>IFERROR(__xludf.DUMMYFUNCTION("""COMPUTED_VALUE"""),3.0)</f>
        <v>3</v>
      </c>
      <c r="AF1191" s="65"/>
      <c r="AG1191" s="65"/>
      <c r="AH1191" s="65"/>
      <c r="AI1191" s="65"/>
      <c r="AJ1191" s="65"/>
      <c r="AK1191" s="65"/>
      <c r="AL1191" s="65"/>
      <c r="AM1191" s="65"/>
      <c r="AN1191" s="65"/>
      <c r="AO1191" s="65"/>
      <c r="AP1191" s="65"/>
      <c r="AQ1191" s="65"/>
      <c r="AR1191" s="65"/>
      <c r="AS1191" s="65"/>
      <c r="AT1191" s="65" t="str">
        <f>IFERROR(__xludf.DUMMYFUNCTION("""COMPUTED_VALUE"""),"SHOPIFY")</f>
        <v>SHOPIFY</v>
      </c>
      <c r="AU1191" s="65" t="str">
        <f>IFERROR(__xludf.DUMMYFUNCTION("""COMPUTED_VALUE"""),"IMPORTEX EC")</f>
        <v>IMPORTEX EC</v>
      </c>
      <c r="AV1191" s="65" t="str">
        <f>IFERROR(__xludf.DUMMYFUNCTION("""COMPUTED_VALUE"""),"6466029420588")</f>
        <v>6466029420588</v>
      </c>
      <c r="AW1191" s="65">
        <f>IFERROR(__xludf.DUMMYFUNCTION("""COMPUTED_VALUE"""),5711.0)</f>
        <v>5711</v>
      </c>
      <c r="AX1191" s="65"/>
      <c r="AY1191" s="65"/>
      <c r="AZ1191" s="65"/>
      <c r="BA1191" s="65"/>
    </row>
    <row r="1192">
      <c r="A1192" s="65" t="str">
        <f>IFERROR(__xludf.DUMMYFUNCTION("""COMPUTED_VALUE"""),"27-03-2026")</f>
        <v>27-03-2026</v>
      </c>
      <c r="B1192" s="65">
        <f>IFERROR(__xludf.DUMMYFUNCTION("""COMPUTED_VALUE"""),4344218.0)</f>
        <v>4344218</v>
      </c>
      <c r="C1192" s="65" t="str">
        <f>IFERROR(__xludf.DUMMYFUNCTION("""COMPUTED_VALUE"""),"15:13")</f>
        <v>15:13</v>
      </c>
      <c r="D1192" s="65" t="str">
        <f>IFERROR(__xludf.DUMMYFUNCTION("""COMPUTED_VALUE"""),"31-01-2026")</f>
        <v>31-01-2026</v>
      </c>
      <c r="E1192" s="65" t="str">
        <f>IFERROR(__xludf.DUMMYFUNCTION("""COMPUTED_VALUE"""),"Iván Játiva")</f>
        <v>Iván Játiva</v>
      </c>
      <c r="F1192" s="65" t="str">
        <f>IFERROR(__xludf.DUMMYFUNCTION("""COMPUTED_VALUE"""),"969349055")</f>
        <v>969349055</v>
      </c>
      <c r="G1192" s="65" t="str">
        <f>IFERROR(__xludf.DUMMYFUNCTION("""COMPUTED_VALUE"""),"ivanjativa.90@gmail.com")</f>
        <v>ivanjativa.90@gmail.com</v>
      </c>
      <c r="H1192" s="65"/>
      <c r="I1192" s="65"/>
      <c r="J1192" s="65"/>
      <c r="K1192" s="65" t="str">
        <f>IFERROR(__xludf.DUMMYFUNCTION("""COMPUTED_VALUE"""),"PENDIENTE CONFIRMACION")</f>
        <v>PENDIENTE CONFIRMACION</v>
      </c>
      <c r="L1192" s="65" t="str">
        <f>IFERROR(__xludf.DUMMYFUNCTION("""COMPUTED_VALUE"""),"CON RECAUDO")</f>
        <v>CON RECAUDO</v>
      </c>
      <c r="M1192" s="65" t="str">
        <f>IFERROR(__xludf.DUMMYFUNCTION("""COMPUTED_VALUE"""),"SANTA ELENA")</f>
        <v>SANTA ELENA</v>
      </c>
      <c r="N1192" s="65" t="str">
        <f>IFERROR(__xludf.DUMMYFUNCTION("""COMPUTED_VALUE"""),"SANTA ELENA")</f>
        <v>SANTA ELENA</v>
      </c>
      <c r="O1192" s="65" t="str">
        <f>IFERROR(__xludf.DUMMYFUNCTION("""COMPUTED_VALUE"""),"- parroquia muey Y santa paula -")</f>
        <v>- parroquia muey Y santa paula -</v>
      </c>
      <c r="P1192" s="65"/>
      <c r="Q1192" s="65" t="str">
        <f>IFERROR(__xludf.DUMMYFUNCTION("""COMPUTED_VALUE"""),"GINTRACOM")</f>
        <v>GINTRACOM</v>
      </c>
      <c r="R1192" s="65">
        <f>IFERROR(__xludf.DUMMYFUNCTION("""COMPUTED_VALUE"""),25.0)</f>
        <v>25</v>
      </c>
      <c r="S1192" s="65"/>
      <c r="T1192" s="65">
        <f>IFERROR(__xludf.DUMMYFUNCTION("""COMPUTED_VALUE"""),5.96)</f>
        <v>5.96</v>
      </c>
      <c r="U1192" s="65">
        <f>IFERROR(__xludf.DUMMYFUNCTION("""COMPUTED_VALUE"""),0.0)</f>
        <v>0</v>
      </c>
      <c r="V1192" s="65">
        <f>IFERROR(__xludf.DUMMYFUNCTION("""COMPUTED_VALUE"""),0.0)</f>
        <v>0</v>
      </c>
      <c r="W1192" s="65">
        <f>IFERROR(__xludf.DUMMYFUNCTION("""COMPUTED_VALUE"""),0.0)</f>
        <v>0</v>
      </c>
      <c r="X1192" s="65">
        <f>IFERROR(__xludf.DUMMYFUNCTION("""COMPUTED_VALUE"""),2.35)</f>
        <v>2.35</v>
      </c>
      <c r="Y1192" s="65">
        <f>IFERROR(__xludf.DUMMYFUNCTION("""COMPUTED_VALUE"""),4.7)</f>
        <v>4.7</v>
      </c>
      <c r="Z1192" s="65">
        <f>IFERROR(__xludf.DUMMYFUNCTION("""COMPUTED_VALUE"""),116679.0)</f>
        <v>116679</v>
      </c>
      <c r="AA1192" s="65" t="str">
        <f>IFERROR(__xludf.DUMMYFUNCTION("""COMPUTED_VALUE"""),"AMC-2738")</f>
        <v>AMC-2738</v>
      </c>
      <c r="AB1192" s="65"/>
      <c r="AC1192" s="65" t="str">
        <f>IFERROR(__xludf.DUMMYFUNCTION("""COMPUTED_VALUE"""),"ESPONJA ANTILLUVIA DE PARABRISAS")</f>
        <v>ESPONJA ANTILLUVIA DE PARABRISAS</v>
      </c>
      <c r="AD1192" s="65"/>
      <c r="AE1192" s="65">
        <f>IFERROR(__xludf.DUMMYFUNCTION("""COMPUTED_VALUE"""),2.0)</f>
        <v>2</v>
      </c>
      <c r="AF1192" s="65"/>
      <c r="AG1192" s="65"/>
      <c r="AH1192" s="65"/>
      <c r="AI1192" s="65"/>
      <c r="AJ1192" s="65"/>
      <c r="AK1192" s="65"/>
      <c r="AL1192" s="65"/>
      <c r="AM1192" s="65"/>
      <c r="AN1192" s="65"/>
      <c r="AO1192" s="65"/>
      <c r="AP1192" s="65"/>
      <c r="AQ1192" s="65"/>
      <c r="AR1192" s="65"/>
      <c r="AS1192" s="65"/>
      <c r="AT1192" s="65" t="str">
        <f>IFERROR(__xludf.DUMMYFUNCTION("""COMPUTED_VALUE"""),"SHOPIFY")</f>
        <v>SHOPIFY</v>
      </c>
      <c r="AU1192" s="65" t="str">
        <f>IFERROR(__xludf.DUMMYFUNCTION("""COMPUTED_VALUE"""),"IMPORTEX EC")</f>
        <v>IMPORTEX EC</v>
      </c>
      <c r="AV1192" s="65" t="str">
        <f>IFERROR(__xludf.DUMMYFUNCTION("""COMPUTED_VALUE"""),"6465866137644")</f>
        <v>6465866137644</v>
      </c>
      <c r="AW1192" s="65">
        <f>IFERROR(__xludf.DUMMYFUNCTION("""COMPUTED_VALUE"""),5710.0)</f>
        <v>5710</v>
      </c>
      <c r="AX1192" s="65"/>
      <c r="AY1192" s="65"/>
      <c r="AZ1192" s="65"/>
      <c r="BA1192" s="65"/>
    </row>
    <row r="1193">
      <c r="A1193" s="65" t="str">
        <f>IFERROR(__xludf.DUMMYFUNCTION("""COMPUTED_VALUE"""),"27-03-2026")</f>
        <v>27-03-2026</v>
      </c>
      <c r="B1193" s="65">
        <f>IFERROR(__xludf.DUMMYFUNCTION("""COMPUTED_VALUE"""),4343977.0)</f>
        <v>4343977</v>
      </c>
      <c r="C1193" s="65" t="str">
        <f>IFERROR(__xludf.DUMMYFUNCTION("""COMPUTED_VALUE"""),"14:44")</f>
        <v>14:44</v>
      </c>
      <c r="D1193" s="65" t="str">
        <f>IFERROR(__xludf.DUMMYFUNCTION("""COMPUTED_VALUE"""),"31-01-2026")</f>
        <v>31-01-2026</v>
      </c>
      <c r="E1193" s="65" t="str">
        <f>IFERROR(__xludf.DUMMYFUNCTION("""COMPUTED_VALUE"""),"Marlon Guerron")</f>
        <v>Marlon Guerron</v>
      </c>
      <c r="F1193" s="65" t="str">
        <f>IFERROR(__xludf.DUMMYFUNCTION("""COMPUTED_VALUE"""),"996368450")</f>
        <v>996368450</v>
      </c>
      <c r="G1193" s="65" t="str">
        <f>IFERROR(__xludf.DUMMYFUNCTION("""COMPUTED_VALUE"""),"nguerron2003@gmail.com")</f>
        <v>nguerron2003@gmail.com</v>
      </c>
      <c r="H1193" s="65"/>
      <c r="I1193" s="65"/>
      <c r="J1193" s="65" t="str">
        <f>IFERROR(__xludf.DUMMYFUNCTION("""COMPUTED_VALUE"""),"D001290775")</f>
        <v>D001290775</v>
      </c>
      <c r="K1193" s="65" t="str">
        <f>IFERROR(__xludf.DUMMYFUNCTION("""COMPUTED_VALUE"""),"ENTREGADO")</f>
        <v>ENTREGADO</v>
      </c>
      <c r="L1193" s="65" t="str">
        <f>IFERROR(__xludf.DUMMYFUNCTION("""COMPUTED_VALUE"""),"CON RECAUDO")</f>
        <v>CON RECAUDO</v>
      </c>
      <c r="M1193" s="65" t="str">
        <f>IFERROR(__xludf.DUMMYFUNCTION("""COMPUTED_VALUE"""),"NAPO")</f>
        <v>NAPO</v>
      </c>
      <c r="N1193" s="65" t="str">
        <f>IFERROR(__xludf.DUMMYFUNCTION("""COMPUTED_VALUE"""),"TENA")</f>
        <v>TENA</v>
      </c>
      <c r="O1193" s="65" t="str">
        <f>IFERROR(__xludf.DUMMYFUNCTION("""COMPUTED_VALUE"""),"Calle Cuenca Y Luis Hurtado Davila -")</f>
        <v>Calle Cuenca Y Luis Hurtado Davila -</v>
      </c>
      <c r="P1193" s="65"/>
      <c r="Q1193" s="65" t="str">
        <f>IFERROR(__xludf.DUMMYFUNCTION("""COMPUTED_VALUE"""),"GINTRACOM")</f>
        <v>GINTRACOM</v>
      </c>
      <c r="R1193" s="65">
        <f>IFERROR(__xludf.DUMMYFUNCTION("""COMPUTED_VALUE"""),32.0)</f>
        <v>32</v>
      </c>
      <c r="S1193" s="65">
        <f>IFERROR(__xludf.DUMMYFUNCTION("""COMPUTED_VALUE"""),15.36)</f>
        <v>15.36</v>
      </c>
      <c r="T1193" s="65">
        <f>IFERROR(__xludf.DUMMYFUNCTION("""COMPUTED_VALUE"""),6.24)</f>
        <v>6.24</v>
      </c>
      <c r="U1193" s="65">
        <f>IFERROR(__xludf.DUMMYFUNCTION("""COMPUTED_VALUE"""),0.0)</f>
        <v>0</v>
      </c>
      <c r="V1193" s="65">
        <f>IFERROR(__xludf.DUMMYFUNCTION("""COMPUTED_VALUE"""),0.0)</f>
        <v>0</v>
      </c>
      <c r="W1193" s="65">
        <f>IFERROR(__xludf.DUMMYFUNCTION("""COMPUTED_VALUE"""),0.0)</f>
        <v>0</v>
      </c>
      <c r="X1193" s="65">
        <f>IFERROR(__xludf.DUMMYFUNCTION("""COMPUTED_VALUE"""),2.6)</f>
        <v>2.6</v>
      </c>
      <c r="Y1193" s="65">
        <f>IFERROR(__xludf.DUMMYFUNCTION("""COMPUTED_VALUE"""),10.4)</f>
        <v>10.4</v>
      </c>
      <c r="Z1193" s="65">
        <f>IFERROR(__xludf.DUMMYFUNCTION("""COMPUTED_VALUE"""),121983.0)</f>
        <v>121983</v>
      </c>
      <c r="AA1193" s="65" t="str">
        <f>IFERROR(__xludf.DUMMYFUNCTION("""COMPUTED_VALUE"""),"PROV-CHLLCF")</f>
        <v>PROV-CHLLCF</v>
      </c>
      <c r="AB1193" s="65"/>
      <c r="AC1193" s="65" t="str">
        <f>IFERROR(__xludf.DUMMYFUNCTION("""COMPUTED_VALUE"""),"CUCHILLO PARA CHEF")</f>
        <v>CUCHILLO PARA CHEF</v>
      </c>
      <c r="AD1193" s="65"/>
      <c r="AE1193" s="65">
        <f>IFERROR(__xludf.DUMMYFUNCTION("""COMPUTED_VALUE"""),4.0)</f>
        <v>4</v>
      </c>
      <c r="AF1193" s="65"/>
      <c r="AG1193" s="65"/>
      <c r="AH1193" s="65"/>
      <c r="AI1193" s="65"/>
      <c r="AJ1193" s="65"/>
      <c r="AK1193" s="65"/>
      <c r="AL1193" s="65"/>
      <c r="AM1193" s="65"/>
      <c r="AN1193" s="65" t="str">
        <f>IFERROR(__xludf.DUMMYFUNCTION("""COMPUTED_VALUE"""),"01:30")</f>
        <v>01:30</v>
      </c>
      <c r="AO1193" s="65" t="str">
        <f>IFERROR(__xludf.DUMMYFUNCTION("""COMPUTED_VALUE"""),"07-02-2026")</f>
        <v>07-02-2026</v>
      </c>
      <c r="AP1193" s="65" t="str">
        <f>IFERROR(__xludf.DUMMYFUNCTION("""COMPUTED_VALUE"""),"ENTREGADA GINTRACOM")</f>
        <v>ENTREGADA GINTRACOM</v>
      </c>
      <c r="AQ1193" s="65" t="str">
        <f>IFERROR(__xludf.DUMMYFUNCTION("""COMPUTED_VALUE"""),"ENTREGADA GINTRACOM")</f>
        <v>ENTREGADA GINTRACOM</v>
      </c>
      <c r="AR1193" s="65"/>
      <c r="AS1193" s="65"/>
      <c r="AT1193" s="65" t="str">
        <f>IFERROR(__xludf.DUMMYFUNCTION("""COMPUTED_VALUE"""),"SHOPIFY")</f>
        <v>SHOPIFY</v>
      </c>
      <c r="AU1193" s="65" t="str">
        <f>IFERROR(__xludf.DUMMYFUNCTION("""COMPUTED_VALUE"""),"IMPORTEX EC")</f>
        <v>IMPORTEX EC</v>
      </c>
      <c r="AV1193" s="65" t="str">
        <f>IFERROR(__xludf.DUMMYFUNCTION("""COMPUTED_VALUE"""),"6465782808620")</f>
        <v>6465782808620</v>
      </c>
      <c r="AW1193" s="65">
        <f>IFERROR(__xludf.DUMMYFUNCTION("""COMPUTED_VALUE"""),5709.0)</f>
        <v>5709</v>
      </c>
      <c r="AX1193" s="65"/>
      <c r="AY1193" s="65" t="str">
        <f>IFERROR(__xludf.DUMMYFUNCTION("""COMPUTED_VALUE"""),"03/02/2026")</f>
        <v>03/02/2026</v>
      </c>
      <c r="AZ1193" s="65"/>
      <c r="BA1193" s="65"/>
    </row>
    <row r="1194">
      <c r="A1194" s="65" t="str">
        <f>IFERROR(__xludf.DUMMYFUNCTION("""COMPUTED_VALUE"""),"27-03-2026")</f>
        <v>27-03-2026</v>
      </c>
      <c r="B1194" s="65">
        <f>IFERROR(__xludf.DUMMYFUNCTION("""COMPUTED_VALUE"""),4343499.0)</f>
        <v>4343499</v>
      </c>
      <c r="C1194" s="65" t="str">
        <f>IFERROR(__xludf.DUMMYFUNCTION("""COMPUTED_VALUE"""),"13:35")</f>
        <v>13:35</v>
      </c>
      <c r="D1194" s="65" t="str">
        <f>IFERROR(__xludf.DUMMYFUNCTION("""COMPUTED_VALUE"""),"31-01-2026")</f>
        <v>31-01-2026</v>
      </c>
      <c r="E1194" s="65" t="str">
        <f>IFERROR(__xludf.DUMMYFUNCTION("""COMPUTED_VALUE"""),"Maria Zambrano")</f>
        <v>Maria Zambrano</v>
      </c>
      <c r="F1194" s="65" t="str">
        <f>IFERROR(__xludf.DUMMYFUNCTION("""COMPUTED_VALUE"""),"998031796")</f>
        <v>998031796</v>
      </c>
      <c r="G1194" s="65" t="str">
        <f>IFERROR(__xludf.DUMMYFUNCTION("""COMPUTED_VALUE"""),"eugeniazambrano36@gmail.com")</f>
        <v>eugeniazambrano36@gmail.com</v>
      </c>
      <c r="H1194" s="65"/>
      <c r="I1194" s="65"/>
      <c r="J1194" s="65" t="str">
        <f>IFERROR(__xludf.DUMMYFUNCTION("""COMPUTED_VALUE"""),"D001290776")</f>
        <v>D001290776</v>
      </c>
      <c r="K1194" s="65" t="str">
        <f>IFERROR(__xludf.DUMMYFUNCTION("""COMPUTED_VALUE"""),"ENTREGADO")</f>
        <v>ENTREGADO</v>
      </c>
      <c r="L1194" s="65" t="str">
        <f>IFERROR(__xludf.DUMMYFUNCTION("""COMPUTED_VALUE"""),"CON RECAUDO")</f>
        <v>CON RECAUDO</v>
      </c>
      <c r="M1194" s="65" t="str">
        <f>IFERROR(__xludf.DUMMYFUNCTION("""COMPUTED_VALUE"""),"MANABI")</f>
        <v>MANABI</v>
      </c>
      <c r="N1194" s="65" t="str">
        <f>IFERROR(__xludf.DUMMYFUNCTION("""COMPUTED_VALUE"""),"PORTOVIEJO")</f>
        <v>PORTOVIEJO</v>
      </c>
      <c r="O1194" s="65" t="str">
        <f>IFERROR(__xludf.DUMMYFUNCTION("""COMPUTED_VALUE"""),"Paso lateral frente valle hermoso alado de lavado fox, REFERENCIA : Lavadora fox está el mapa Google")</f>
        <v>Paso lateral frente valle hermoso alado de lavado fox, REFERENCIA : Lavadora fox está el mapa Google</v>
      </c>
      <c r="P1194" s="65"/>
      <c r="Q1194" s="65" t="str">
        <f>IFERROR(__xludf.DUMMYFUNCTION("""COMPUTED_VALUE"""),"GINTRACOM")</f>
        <v>GINTRACOM</v>
      </c>
      <c r="R1194" s="65">
        <f>IFERROR(__xludf.DUMMYFUNCTION("""COMPUTED_VALUE"""),27.0)</f>
        <v>27</v>
      </c>
      <c r="S1194" s="65">
        <f>IFERROR(__xludf.DUMMYFUNCTION("""COMPUTED_VALUE"""),13.17)</f>
        <v>13.17</v>
      </c>
      <c r="T1194" s="65">
        <f>IFERROR(__xludf.DUMMYFUNCTION("""COMPUTED_VALUE"""),6.03)</f>
        <v>6.03</v>
      </c>
      <c r="U1194" s="65">
        <f>IFERROR(__xludf.DUMMYFUNCTION("""COMPUTED_VALUE"""),0.0)</f>
        <v>0</v>
      </c>
      <c r="V1194" s="65">
        <f>IFERROR(__xludf.DUMMYFUNCTION("""COMPUTED_VALUE"""),0.0)</f>
        <v>0</v>
      </c>
      <c r="W1194" s="65">
        <f>IFERROR(__xludf.DUMMYFUNCTION("""COMPUTED_VALUE"""),0.0)</f>
        <v>0</v>
      </c>
      <c r="X1194" s="65">
        <f>IFERROR(__xludf.DUMMYFUNCTION("""COMPUTED_VALUE"""),2.6)</f>
        <v>2.6</v>
      </c>
      <c r="Y1194" s="65">
        <f>IFERROR(__xludf.DUMMYFUNCTION("""COMPUTED_VALUE"""),7.8)</f>
        <v>7.8</v>
      </c>
      <c r="Z1194" s="65">
        <f>IFERROR(__xludf.DUMMYFUNCTION("""COMPUTED_VALUE"""),121983.0)</f>
        <v>121983</v>
      </c>
      <c r="AA1194" s="65" t="str">
        <f>IFERROR(__xludf.DUMMYFUNCTION("""COMPUTED_VALUE"""),"PROV-CHLLCF")</f>
        <v>PROV-CHLLCF</v>
      </c>
      <c r="AB1194" s="65"/>
      <c r="AC1194" s="65" t="str">
        <f>IFERROR(__xludf.DUMMYFUNCTION("""COMPUTED_VALUE"""),"CUCHILLO PARA CHEF")</f>
        <v>CUCHILLO PARA CHEF</v>
      </c>
      <c r="AD1194" s="65"/>
      <c r="AE1194" s="65">
        <f>IFERROR(__xludf.DUMMYFUNCTION("""COMPUTED_VALUE"""),3.0)</f>
        <v>3</v>
      </c>
      <c r="AF1194" s="65" t="str">
        <f>IFERROR(__xludf.DUMMYFUNCTION("""COMPUTED_VALUE"""),"DIRECCIÓN DE DESTINARIO INCOMPLETA O INCORRECTA Y NO HAY RESPUESTA DEL CLIENTE")</f>
        <v>DIRECCIÓN DE DESTINARIO INCOMPLETA O INCORRECTA Y NO HAY RESPUESTA DEL CLIENTE</v>
      </c>
      <c r="AG1194" s="65" t="str">
        <f>IFERROR(__xludf.DUMMYFUNCTION("""COMPUTED_VALUE"""),"NO")</f>
        <v>NO</v>
      </c>
      <c r="AH1194" s="65" t="str">
        <f>IFERROR(__xludf.DUMMYFUNCTION("""COMPUTED_VALUE"""),"14:52")</f>
        <v>14:52</v>
      </c>
      <c r="AI1194" s="65" t="str">
        <f>IFERROR(__xludf.DUMMYFUNCTION("""COMPUTED_VALUE"""),"05-02-2026")</f>
        <v>05-02-2026</v>
      </c>
      <c r="AJ1194" s="65"/>
      <c r="AK1194" s="65"/>
      <c r="AL1194" s="65"/>
      <c r="AM1194" s="65"/>
      <c r="AN1194" s="65" t="str">
        <f>IFERROR(__xludf.DUMMYFUNCTION("""COMPUTED_VALUE"""),"01:30")</f>
        <v>01:30</v>
      </c>
      <c r="AO1194" s="65" t="str">
        <f>IFERROR(__xludf.DUMMYFUNCTION("""COMPUTED_VALUE"""),"07-02-2026")</f>
        <v>07-02-2026</v>
      </c>
      <c r="AP1194" s="65" t="str">
        <f>IFERROR(__xludf.DUMMYFUNCTION("""COMPUTED_VALUE"""),"ENTREGADA GINTRACOM")</f>
        <v>ENTREGADA GINTRACOM</v>
      </c>
      <c r="AQ1194" s="65" t="str">
        <f>IFERROR(__xludf.DUMMYFUNCTION("""COMPUTED_VALUE"""),"ENTREGADA GINTRACOM")</f>
        <v>ENTREGADA GINTRACOM</v>
      </c>
      <c r="AR1194" s="65"/>
      <c r="AS1194" s="65"/>
      <c r="AT1194" s="65" t="str">
        <f>IFERROR(__xludf.DUMMYFUNCTION("""COMPUTED_VALUE"""),"SHOPIFY")</f>
        <v>SHOPIFY</v>
      </c>
      <c r="AU1194" s="65" t="str">
        <f>IFERROR(__xludf.DUMMYFUNCTION("""COMPUTED_VALUE"""),"IMPORTEX EC")</f>
        <v>IMPORTEX EC</v>
      </c>
      <c r="AV1194" s="65" t="str">
        <f>IFERROR(__xludf.DUMMYFUNCTION("""COMPUTED_VALUE"""),"6465585446956")</f>
        <v>6465585446956</v>
      </c>
      <c r="AW1194" s="65">
        <f>IFERROR(__xludf.DUMMYFUNCTION("""COMPUTED_VALUE"""),5708.0)</f>
        <v>5708</v>
      </c>
      <c r="AX1194" s="65"/>
      <c r="AY1194" s="65" t="str">
        <f>IFERROR(__xludf.DUMMYFUNCTION("""COMPUTED_VALUE"""),"03/02/2026")</f>
        <v>03/02/2026</v>
      </c>
      <c r="AZ1194" s="65"/>
      <c r="BA1194" s="65"/>
    </row>
    <row r="1195">
      <c r="A1195" s="65" t="str">
        <f>IFERROR(__xludf.DUMMYFUNCTION("""COMPUTED_VALUE"""),"27-03-2026")</f>
        <v>27-03-2026</v>
      </c>
      <c r="B1195" s="65">
        <f>IFERROR(__xludf.DUMMYFUNCTION("""COMPUTED_VALUE"""),4343413.0)</f>
        <v>4343413</v>
      </c>
      <c r="C1195" s="65" t="str">
        <f>IFERROR(__xludf.DUMMYFUNCTION("""COMPUTED_VALUE"""),"13:25")</f>
        <v>13:25</v>
      </c>
      <c r="D1195" s="65" t="str">
        <f>IFERROR(__xludf.DUMMYFUNCTION("""COMPUTED_VALUE"""),"31-01-2026")</f>
        <v>31-01-2026</v>
      </c>
      <c r="E1195" s="65" t="str">
        <f>IFERROR(__xludf.DUMMYFUNCTION("""COMPUTED_VALUE"""),"Jordi Vinueza")</f>
        <v>Jordi Vinueza</v>
      </c>
      <c r="F1195" s="65" t="str">
        <f>IFERROR(__xludf.DUMMYFUNCTION("""COMPUTED_VALUE"""),"986745445")</f>
        <v>986745445</v>
      </c>
      <c r="G1195" s="65" t="str">
        <f>IFERROR(__xludf.DUMMYFUNCTION("""COMPUTED_VALUE"""),"jordyvinueza2000@gmail.com")</f>
        <v>jordyvinueza2000@gmail.com</v>
      </c>
      <c r="H1195" s="65"/>
      <c r="I1195" s="65"/>
      <c r="J1195" s="65"/>
      <c r="K1195" s="65" t="str">
        <f>IFERROR(__xludf.DUMMYFUNCTION("""COMPUTED_VALUE"""),"PENDIENTE CONFIRMACION")</f>
        <v>PENDIENTE CONFIRMACION</v>
      </c>
      <c r="L1195" s="65" t="str">
        <f>IFERROR(__xludf.DUMMYFUNCTION("""COMPUTED_VALUE"""),"CON RECAUDO")</f>
        <v>CON RECAUDO</v>
      </c>
      <c r="M1195" s="65" t="str">
        <f>IFERROR(__xludf.DUMMYFUNCTION("""COMPUTED_VALUE"""),"IMBABURA")</f>
        <v>IMBABURA</v>
      </c>
      <c r="N1195" s="65" t="str">
        <f>IFERROR(__xludf.DUMMYFUNCTION("""COMPUTED_VALUE"""),"ANTONIO ANTE")</f>
        <v>ANTONIO ANTE</v>
      </c>
      <c r="O1195" s="65" t="str">
        <f>IFERROR(__xludf.DUMMYFUNCTION("""COMPUTED_VALUE"""),"Cacuango y dolores Montalvo Cerotal serca al estadio -")</f>
        <v>Cacuango y dolores Montalvo Cerotal serca al estadio -</v>
      </c>
      <c r="P1195" s="65"/>
      <c r="Q1195" s="65" t="str">
        <f>IFERROR(__xludf.DUMMYFUNCTION("""COMPUTED_VALUE"""),"LAARCOURIER")</f>
        <v>LAARCOURIER</v>
      </c>
      <c r="R1195" s="65">
        <f>IFERROR(__xludf.DUMMYFUNCTION("""COMPUTED_VALUE"""),20.0)</f>
        <v>20</v>
      </c>
      <c r="S1195" s="65"/>
      <c r="T1195" s="65">
        <f>IFERROR(__xludf.DUMMYFUNCTION("""COMPUTED_VALUE"""),6.44)</f>
        <v>6.44</v>
      </c>
      <c r="U1195" s="65">
        <f>IFERROR(__xludf.DUMMYFUNCTION("""COMPUTED_VALUE"""),0.0)</f>
        <v>0</v>
      </c>
      <c r="V1195" s="65">
        <f>IFERROR(__xludf.DUMMYFUNCTION("""COMPUTED_VALUE"""),0.0)</f>
        <v>0</v>
      </c>
      <c r="W1195" s="65">
        <f>IFERROR(__xludf.DUMMYFUNCTION("""COMPUTED_VALUE"""),0.0)</f>
        <v>0</v>
      </c>
      <c r="X1195" s="65">
        <f>IFERROR(__xludf.DUMMYFUNCTION("""COMPUTED_VALUE"""),2.35)</f>
        <v>2.35</v>
      </c>
      <c r="Y1195" s="65">
        <f>IFERROR(__xludf.DUMMYFUNCTION("""COMPUTED_VALUE"""),2.35)</f>
        <v>2.35</v>
      </c>
      <c r="Z1195" s="65">
        <f>IFERROR(__xludf.DUMMYFUNCTION("""COMPUTED_VALUE"""),116679.0)</f>
        <v>116679</v>
      </c>
      <c r="AA1195" s="65" t="str">
        <f>IFERROR(__xludf.DUMMYFUNCTION("""COMPUTED_VALUE"""),"AMC-2738")</f>
        <v>AMC-2738</v>
      </c>
      <c r="AB1195" s="65"/>
      <c r="AC1195" s="65" t="str">
        <f>IFERROR(__xludf.DUMMYFUNCTION("""COMPUTED_VALUE"""),"ESPONJA ANTILLUVIA DE PARABRISAS")</f>
        <v>ESPONJA ANTILLUVIA DE PARABRISAS</v>
      </c>
      <c r="AD1195" s="65"/>
      <c r="AE1195" s="65">
        <f>IFERROR(__xludf.DUMMYFUNCTION("""COMPUTED_VALUE"""),1.0)</f>
        <v>1</v>
      </c>
      <c r="AF1195" s="65"/>
      <c r="AG1195" s="65"/>
      <c r="AH1195" s="65"/>
      <c r="AI1195" s="65"/>
      <c r="AJ1195" s="65"/>
      <c r="AK1195" s="65"/>
      <c r="AL1195" s="65"/>
      <c r="AM1195" s="65"/>
      <c r="AN1195" s="65"/>
      <c r="AO1195" s="65"/>
      <c r="AP1195" s="65"/>
      <c r="AQ1195" s="65"/>
      <c r="AR1195" s="65"/>
      <c r="AS1195" s="65"/>
      <c r="AT1195" s="65" t="str">
        <f>IFERROR(__xludf.DUMMYFUNCTION("""COMPUTED_VALUE"""),"SHOPIFY")</f>
        <v>SHOPIFY</v>
      </c>
      <c r="AU1195" s="65" t="str">
        <f>IFERROR(__xludf.DUMMYFUNCTION("""COMPUTED_VALUE"""),"IMPORTEX EC")</f>
        <v>IMPORTEX EC</v>
      </c>
      <c r="AV1195" s="65" t="str">
        <f>IFERROR(__xludf.DUMMYFUNCTION("""COMPUTED_VALUE"""),"6465534492716")</f>
        <v>6465534492716</v>
      </c>
      <c r="AW1195" s="65">
        <f>IFERROR(__xludf.DUMMYFUNCTION("""COMPUTED_VALUE"""),5707.0)</f>
        <v>5707</v>
      </c>
      <c r="AX1195" s="65"/>
      <c r="AY1195" s="65"/>
      <c r="AZ1195" s="65"/>
      <c r="BA1195" s="65"/>
    </row>
    <row r="1196">
      <c r="A1196" s="65" t="str">
        <f>IFERROR(__xludf.DUMMYFUNCTION("""COMPUTED_VALUE"""),"27-03-2026")</f>
        <v>27-03-2026</v>
      </c>
      <c r="B1196" s="65">
        <f>IFERROR(__xludf.DUMMYFUNCTION("""COMPUTED_VALUE"""),4343159.0)</f>
        <v>4343159</v>
      </c>
      <c r="C1196" s="65" t="str">
        <f>IFERROR(__xludf.DUMMYFUNCTION("""COMPUTED_VALUE"""),"12:55")</f>
        <v>12:55</v>
      </c>
      <c r="D1196" s="65" t="str">
        <f>IFERROR(__xludf.DUMMYFUNCTION("""COMPUTED_VALUE"""),"31-01-2026")</f>
        <v>31-01-2026</v>
      </c>
      <c r="E1196" s="65" t="str">
        <f>IFERROR(__xludf.DUMMYFUNCTION("""COMPUTED_VALUE"""),"Tito Jalka")</f>
        <v>Tito Jalka</v>
      </c>
      <c r="F1196" s="65" t="str">
        <f>IFERROR(__xludf.DUMMYFUNCTION("""COMPUTED_VALUE"""),"993632747")</f>
        <v>993632747</v>
      </c>
      <c r="G1196" s="65" t="str">
        <f>IFERROR(__xludf.DUMMYFUNCTION("""COMPUTED_VALUE"""),"titojalkac@gmail.com")</f>
        <v>titojalkac@gmail.com</v>
      </c>
      <c r="H1196" s="65"/>
      <c r="I1196" s="65"/>
      <c r="J1196" s="65" t="str">
        <f>IFERROR(__xludf.DUMMYFUNCTION("""COMPUTED_VALUE"""),"D001290777")</f>
        <v>D001290777</v>
      </c>
      <c r="K1196" s="65" t="str">
        <f>IFERROR(__xludf.DUMMYFUNCTION("""COMPUTED_VALUE"""),"DEVOLUCION")</f>
        <v>DEVOLUCION</v>
      </c>
      <c r="L1196" s="65" t="str">
        <f>IFERROR(__xludf.DUMMYFUNCTION("""COMPUTED_VALUE"""),"CON RECAUDO")</f>
        <v>CON RECAUDO</v>
      </c>
      <c r="M1196" s="65" t="str">
        <f>IFERROR(__xludf.DUMMYFUNCTION("""COMPUTED_VALUE"""),"GUAYAS")</f>
        <v>GUAYAS</v>
      </c>
      <c r="N1196" s="65" t="str">
        <f>IFERROR(__xludf.DUMMYFUNCTION("""COMPUTED_VALUE"""),"GUAYAQUIL")</f>
        <v>GUAYAQUIL</v>
      </c>
      <c r="O1196" s="65" t="str">
        <f>IFERROR(__xludf.DUMMYFUNCTION("""COMPUTED_VALUE"""),"Tunguragua 4513 y sedalana Barrio cristo del consuelo -")</f>
        <v>Tunguragua 4513 y sedalana Barrio cristo del consuelo -</v>
      </c>
      <c r="P1196" s="65"/>
      <c r="Q1196" s="65" t="str">
        <f>IFERROR(__xludf.DUMMYFUNCTION("""COMPUTED_VALUE"""),"GINTRACOM")</f>
        <v>GINTRACOM</v>
      </c>
      <c r="R1196" s="65">
        <f>IFERROR(__xludf.DUMMYFUNCTION("""COMPUTED_VALUE"""),22.0)</f>
        <v>22</v>
      </c>
      <c r="S1196" s="65"/>
      <c r="T1196" s="65">
        <f>IFERROR(__xludf.DUMMYFUNCTION("""COMPUTED_VALUE"""),4.23)</f>
        <v>4.23</v>
      </c>
      <c r="U1196" s="65">
        <f>IFERROR(__xludf.DUMMYFUNCTION("""COMPUTED_VALUE"""),0.0)</f>
        <v>0</v>
      </c>
      <c r="V1196" s="65">
        <f>IFERROR(__xludf.DUMMYFUNCTION("""COMPUTED_VALUE"""),0.0)</f>
        <v>0</v>
      </c>
      <c r="W1196" s="65">
        <f>IFERROR(__xludf.DUMMYFUNCTION("""COMPUTED_VALUE"""),0.0)</f>
        <v>0</v>
      </c>
      <c r="X1196" s="65">
        <f>IFERROR(__xludf.DUMMYFUNCTION("""COMPUTED_VALUE"""),2.6)</f>
        <v>2.6</v>
      </c>
      <c r="Y1196" s="65">
        <f>IFERROR(__xludf.DUMMYFUNCTION("""COMPUTED_VALUE"""),5.2)</f>
        <v>5.2</v>
      </c>
      <c r="Z1196" s="65">
        <f>IFERROR(__xludf.DUMMYFUNCTION("""COMPUTED_VALUE"""),121983.0)</f>
        <v>121983</v>
      </c>
      <c r="AA1196" s="65" t="str">
        <f>IFERROR(__xludf.DUMMYFUNCTION("""COMPUTED_VALUE"""),"PROV-CHLLCF")</f>
        <v>PROV-CHLLCF</v>
      </c>
      <c r="AB1196" s="65"/>
      <c r="AC1196" s="65" t="str">
        <f>IFERROR(__xludf.DUMMYFUNCTION("""COMPUTED_VALUE"""),"CUCHILLO PARA CHEF")</f>
        <v>CUCHILLO PARA CHEF</v>
      </c>
      <c r="AD1196" s="65"/>
      <c r="AE1196" s="65">
        <f>IFERROR(__xludf.DUMMYFUNCTION("""COMPUTED_VALUE"""),2.0)</f>
        <v>2</v>
      </c>
      <c r="AF1196" s="65" t="str">
        <f>IFERROR(__xludf.DUMMYFUNCTION("""COMPUTED_VALUE"""),"DESTINATARIO NO CONTESTA LLAMADAS NI WHATSAPP")</f>
        <v>DESTINATARIO NO CONTESTA LLAMADAS NI WHATSAPP</v>
      </c>
      <c r="AG1196" s="65" t="str">
        <f>IFERROR(__xludf.DUMMYFUNCTION("""COMPUTED_VALUE"""),"NO")</f>
        <v>NO</v>
      </c>
      <c r="AH1196" s="65" t="str">
        <f>IFERROR(__xludf.DUMMYFUNCTION("""COMPUTED_VALUE"""),"09:00")</f>
        <v>09:00</v>
      </c>
      <c r="AI1196" s="65" t="str">
        <f>IFERROR(__xludf.DUMMYFUNCTION("""COMPUTED_VALUE"""),"12-02-2026")</f>
        <v>12-02-2026</v>
      </c>
      <c r="AJ1196" s="65"/>
      <c r="AK1196" s="65"/>
      <c r="AL1196" s="65"/>
      <c r="AM1196" s="65"/>
      <c r="AN1196" s="65" t="str">
        <f>IFERROR(__xludf.DUMMYFUNCTION("""COMPUTED_VALUE"""),"01:37")</f>
        <v>01:37</v>
      </c>
      <c r="AO1196" s="65" t="str">
        <f>IFERROR(__xludf.DUMMYFUNCTION("""COMPUTED_VALUE"""),"06-03-2026")</f>
        <v>06-03-2026</v>
      </c>
      <c r="AP1196" s="65" t="str">
        <f>IFERROR(__xludf.DUMMYFUNCTION("""COMPUTED_VALUE"""),"DEVOLUCIÓN ENTREGADA A ORIGEN")</f>
        <v>DEVOLUCIÓN ENTREGADA A ORIGEN</v>
      </c>
      <c r="AQ1196" s="65" t="str">
        <f>IFERROR(__xludf.DUMMYFUNCTION("""COMPUTED_VALUE"""),"DEVOLUCIÓN ENTREGADA A ORIGEN")</f>
        <v>DEVOLUCIÓN ENTREGADA A ORIGEN</v>
      </c>
      <c r="AR1196" s="65"/>
      <c r="AS1196" s="65"/>
      <c r="AT1196" s="65" t="str">
        <f>IFERROR(__xludf.DUMMYFUNCTION("""COMPUTED_VALUE"""),"SHOPIFY")</f>
        <v>SHOPIFY</v>
      </c>
      <c r="AU1196" s="65" t="str">
        <f>IFERROR(__xludf.DUMMYFUNCTION("""COMPUTED_VALUE"""),"IMPORTEX EC")</f>
        <v>IMPORTEX EC</v>
      </c>
      <c r="AV1196" s="65" t="str">
        <f>IFERROR(__xludf.DUMMYFUNCTION("""COMPUTED_VALUE"""),"6465440677932")</f>
        <v>6465440677932</v>
      </c>
      <c r="AW1196" s="65">
        <f>IFERROR(__xludf.DUMMYFUNCTION("""COMPUTED_VALUE"""),5706.0)</f>
        <v>5706</v>
      </c>
      <c r="AX1196" s="65"/>
      <c r="AY1196" s="65" t="str">
        <f>IFERROR(__xludf.DUMMYFUNCTION("""COMPUTED_VALUE"""),"03/02/2026")</f>
        <v>03/02/2026</v>
      </c>
      <c r="AZ1196" s="65"/>
      <c r="BA1196" s="65"/>
    </row>
    <row r="1197">
      <c r="A1197" s="65" t="str">
        <f>IFERROR(__xludf.DUMMYFUNCTION("""COMPUTED_VALUE"""),"27-03-2026")</f>
        <v>27-03-2026</v>
      </c>
      <c r="B1197" s="65">
        <f>IFERROR(__xludf.DUMMYFUNCTION("""COMPUTED_VALUE"""),4343002.0)</f>
        <v>4343002</v>
      </c>
      <c r="C1197" s="65" t="str">
        <f>IFERROR(__xludf.DUMMYFUNCTION("""COMPUTED_VALUE"""),"12:40")</f>
        <v>12:40</v>
      </c>
      <c r="D1197" s="65" t="str">
        <f>IFERROR(__xludf.DUMMYFUNCTION("""COMPUTED_VALUE"""),"31-01-2026")</f>
        <v>31-01-2026</v>
      </c>
      <c r="E1197" s="65" t="str">
        <f>IFERROR(__xludf.DUMMYFUNCTION("""COMPUTED_VALUE"""),"Juan Jose Arias")</f>
        <v>Juan Jose Arias</v>
      </c>
      <c r="F1197" s="65" t="str">
        <f>IFERROR(__xludf.DUMMYFUNCTION("""COMPUTED_VALUE"""),"997880952")</f>
        <v>997880952</v>
      </c>
      <c r="G1197" s="65" t="str">
        <f>IFERROR(__xludf.DUMMYFUNCTION("""COMPUTED_VALUE"""),"ariasmoreirajuanjose37@gmail.com")</f>
        <v>ariasmoreirajuanjose37@gmail.com</v>
      </c>
      <c r="H1197" s="65"/>
      <c r="I1197" s="65"/>
      <c r="J1197" s="65" t="str">
        <f>IFERROR(__xludf.DUMMYFUNCTION("""COMPUTED_VALUE"""),"D001290778")</f>
        <v>D001290778</v>
      </c>
      <c r="K1197" s="65" t="str">
        <f>IFERROR(__xludf.DUMMYFUNCTION("""COMPUTED_VALUE"""),"ENTREGADO")</f>
        <v>ENTREGADO</v>
      </c>
      <c r="L1197" s="65" t="str">
        <f>IFERROR(__xludf.DUMMYFUNCTION("""COMPUTED_VALUE"""),"CON RECAUDO")</f>
        <v>CON RECAUDO</v>
      </c>
      <c r="M1197" s="65" t="str">
        <f>IFERROR(__xludf.DUMMYFUNCTION("""COMPUTED_VALUE"""),"MANABI")</f>
        <v>MANABI</v>
      </c>
      <c r="N1197" s="65" t="str">
        <f>IFERROR(__xludf.DUMMYFUNCTION("""COMPUTED_VALUE"""),"PORTOVIEJO")</f>
        <v>PORTOVIEJO</v>
      </c>
      <c r="O1197" s="65" t="str">
        <f>IFERROR(__xludf.DUMMYFUNCTION("""COMPUTED_VALUE"""),"Calle Espejo y Avenida Guayaquil De frente a Bar licorería EL Culto -")</f>
        <v>Calle Espejo y Avenida Guayaquil De frente a Bar licorería EL Culto -</v>
      </c>
      <c r="P1197" s="65"/>
      <c r="Q1197" s="65" t="str">
        <f>IFERROR(__xludf.DUMMYFUNCTION("""COMPUTED_VALUE"""),"GINTRACOM")</f>
        <v>GINTRACOM</v>
      </c>
      <c r="R1197" s="65">
        <f>IFERROR(__xludf.DUMMYFUNCTION("""COMPUTED_VALUE"""),22.0)</f>
        <v>22</v>
      </c>
      <c r="S1197" s="65">
        <f>IFERROR(__xludf.DUMMYFUNCTION("""COMPUTED_VALUE"""),10.96)</f>
        <v>10.96</v>
      </c>
      <c r="T1197" s="65">
        <f>IFERROR(__xludf.DUMMYFUNCTION("""COMPUTED_VALUE"""),5.84)</f>
        <v>5.84</v>
      </c>
      <c r="U1197" s="65">
        <f>IFERROR(__xludf.DUMMYFUNCTION("""COMPUTED_VALUE"""),0.0)</f>
        <v>0</v>
      </c>
      <c r="V1197" s="65">
        <f>IFERROR(__xludf.DUMMYFUNCTION("""COMPUTED_VALUE"""),0.0)</f>
        <v>0</v>
      </c>
      <c r="W1197" s="65">
        <f>IFERROR(__xludf.DUMMYFUNCTION("""COMPUTED_VALUE"""),0.0)</f>
        <v>0</v>
      </c>
      <c r="X1197" s="65">
        <f>IFERROR(__xludf.DUMMYFUNCTION("""COMPUTED_VALUE"""),2.6)</f>
        <v>2.6</v>
      </c>
      <c r="Y1197" s="65">
        <f>IFERROR(__xludf.DUMMYFUNCTION("""COMPUTED_VALUE"""),5.2)</f>
        <v>5.2</v>
      </c>
      <c r="Z1197" s="65">
        <f>IFERROR(__xludf.DUMMYFUNCTION("""COMPUTED_VALUE"""),121983.0)</f>
        <v>121983</v>
      </c>
      <c r="AA1197" s="65" t="str">
        <f>IFERROR(__xludf.DUMMYFUNCTION("""COMPUTED_VALUE"""),"PROV-CHLLCF")</f>
        <v>PROV-CHLLCF</v>
      </c>
      <c r="AB1197" s="65"/>
      <c r="AC1197" s="65" t="str">
        <f>IFERROR(__xludf.DUMMYFUNCTION("""COMPUTED_VALUE"""),"CUCHILLO PARA CHEF")</f>
        <v>CUCHILLO PARA CHEF</v>
      </c>
      <c r="AD1197" s="65"/>
      <c r="AE1197" s="65">
        <f>IFERROR(__xludf.DUMMYFUNCTION("""COMPUTED_VALUE"""),2.0)</f>
        <v>2</v>
      </c>
      <c r="AF1197" s="65"/>
      <c r="AG1197" s="65"/>
      <c r="AH1197" s="65"/>
      <c r="AI1197" s="65"/>
      <c r="AJ1197" s="65"/>
      <c r="AK1197" s="65"/>
      <c r="AL1197" s="65"/>
      <c r="AM1197" s="65"/>
      <c r="AN1197" s="65"/>
      <c r="AO1197" s="65"/>
      <c r="AP1197" s="65"/>
      <c r="AQ1197" s="65"/>
      <c r="AR1197" s="65"/>
      <c r="AS1197" s="65"/>
      <c r="AT1197" s="65" t="str">
        <f>IFERROR(__xludf.DUMMYFUNCTION("""COMPUTED_VALUE"""),"SHOPIFY")</f>
        <v>SHOPIFY</v>
      </c>
      <c r="AU1197" s="65" t="str">
        <f>IFERROR(__xludf.DUMMYFUNCTION("""COMPUTED_VALUE"""),"IMPORTEX EC")</f>
        <v>IMPORTEX EC</v>
      </c>
      <c r="AV1197" s="65" t="str">
        <f>IFERROR(__xludf.DUMMYFUNCTION("""COMPUTED_VALUE"""),"6465383202860")</f>
        <v>6465383202860</v>
      </c>
      <c r="AW1197" s="65">
        <f>IFERROR(__xludf.DUMMYFUNCTION("""COMPUTED_VALUE"""),5705.0)</f>
        <v>5705</v>
      </c>
      <c r="AX1197" s="65"/>
      <c r="AY1197" s="65" t="str">
        <f>IFERROR(__xludf.DUMMYFUNCTION("""COMPUTED_VALUE"""),"03/02/2026")</f>
        <v>03/02/2026</v>
      </c>
      <c r="AZ1197" s="65"/>
      <c r="BA1197" s="65"/>
    </row>
    <row r="1198">
      <c r="A1198" s="65" t="str">
        <f>IFERROR(__xludf.DUMMYFUNCTION("""COMPUTED_VALUE"""),"27-03-2026")</f>
        <v>27-03-2026</v>
      </c>
      <c r="B1198" s="65">
        <f>IFERROR(__xludf.DUMMYFUNCTION("""COMPUTED_VALUE"""),4342686.0)</f>
        <v>4342686</v>
      </c>
      <c r="C1198" s="65" t="str">
        <f>IFERROR(__xludf.DUMMYFUNCTION("""COMPUTED_VALUE"""),"12:09")</f>
        <v>12:09</v>
      </c>
      <c r="D1198" s="65" t="str">
        <f>IFERROR(__xludf.DUMMYFUNCTION("""COMPUTED_VALUE"""),"31-01-2026")</f>
        <v>31-01-2026</v>
      </c>
      <c r="E1198" s="65" t="str">
        <f>IFERROR(__xludf.DUMMYFUNCTION("""COMPUTED_VALUE"""),"Wilson Corrales")</f>
        <v>Wilson Corrales</v>
      </c>
      <c r="F1198" s="65" t="str">
        <f>IFERROR(__xludf.DUMMYFUNCTION("""COMPUTED_VALUE"""),"999801756")</f>
        <v>999801756</v>
      </c>
      <c r="G1198" s="65" t="str">
        <f>IFERROR(__xludf.DUMMYFUNCTION("""COMPUTED_VALUE"""),"wilco20333@hotmail.com")</f>
        <v>wilco20333@hotmail.com</v>
      </c>
      <c r="H1198" s="65"/>
      <c r="I1198" s="65"/>
      <c r="J1198" s="65"/>
      <c r="K1198" s="65" t="str">
        <f>IFERROR(__xludf.DUMMYFUNCTION("""COMPUTED_VALUE"""),"CANCELADO")</f>
        <v>CANCELADO</v>
      </c>
      <c r="L1198" s="65" t="str">
        <f>IFERROR(__xludf.DUMMYFUNCTION("""COMPUTED_VALUE"""),"CON RECAUDO")</f>
        <v>CON RECAUDO</v>
      </c>
      <c r="M1198" s="65" t="str">
        <f>IFERROR(__xludf.DUMMYFUNCTION("""COMPUTED_VALUE"""),"SUCUMBIOS")</f>
        <v>SUCUMBIOS</v>
      </c>
      <c r="N1198" s="65" t="str">
        <f>IFERROR(__xludf.DUMMYFUNCTION("""COMPUTED_VALUE"""),"LAGO AGRIO")</f>
        <v>LAGO AGRIO</v>
      </c>
      <c r="O1198" s="65" t="str">
        <f>IFERROR(__xludf.DUMMYFUNCTION("""COMPUTED_VALUE"""),"Lago Agrio Vía perimetral -")</f>
        <v>Lago Agrio Vía perimetral -</v>
      </c>
      <c r="P1198" s="65"/>
      <c r="Q1198" s="65" t="str">
        <f>IFERROR(__xludf.DUMMYFUNCTION("""COMPUTED_VALUE"""),"GINTRACOM")</f>
        <v>GINTRACOM</v>
      </c>
      <c r="R1198" s="65">
        <f>IFERROR(__xludf.DUMMYFUNCTION("""COMPUTED_VALUE"""),22.0)</f>
        <v>22</v>
      </c>
      <c r="S1198" s="65"/>
      <c r="T1198" s="65">
        <f>IFERROR(__xludf.DUMMYFUNCTION("""COMPUTED_VALUE"""),5.84)</f>
        <v>5.84</v>
      </c>
      <c r="U1198" s="65">
        <f>IFERROR(__xludf.DUMMYFUNCTION("""COMPUTED_VALUE"""),0.0)</f>
        <v>0</v>
      </c>
      <c r="V1198" s="65">
        <f>IFERROR(__xludf.DUMMYFUNCTION("""COMPUTED_VALUE"""),0.0)</f>
        <v>0</v>
      </c>
      <c r="W1198" s="65">
        <f>IFERROR(__xludf.DUMMYFUNCTION("""COMPUTED_VALUE"""),0.0)</f>
        <v>0</v>
      </c>
      <c r="X1198" s="65">
        <f>IFERROR(__xludf.DUMMYFUNCTION("""COMPUTED_VALUE"""),2.6)</f>
        <v>2.6</v>
      </c>
      <c r="Y1198" s="65">
        <f>IFERROR(__xludf.DUMMYFUNCTION("""COMPUTED_VALUE"""),5.2)</f>
        <v>5.2</v>
      </c>
      <c r="Z1198" s="65">
        <f>IFERROR(__xludf.DUMMYFUNCTION("""COMPUTED_VALUE"""),121983.0)</f>
        <v>121983</v>
      </c>
      <c r="AA1198" s="65" t="str">
        <f>IFERROR(__xludf.DUMMYFUNCTION("""COMPUTED_VALUE"""),"PROV-CHLLCF")</f>
        <v>PROV-CHLLCF</v>
      </c>
      <c r="AB1198" s="65"/>
      <c r="AC1198" s="65" t="str">
        <f>IFERROR(__xludf.DUMMYFUNCTION("""COMPUTED_VALUE"""),"CUCHILLO PARA CHEF")</f>
        <v>CUCHILLO PARA CHEF</v>
      </c>
      <c r="AD1198" s="65"/>
      <c r="AE1198" s="65">
        <f>IFERROR(__xludf.DUMMYFUNCTION("""COMPUTED_VALUE"""),2.0)</f>
        <v>2</v>
      </c>
      <c r="AF1198" s="65"/>
      <c r="AG1198" s="65"/>
      <c r="AH1198" s="65"/>
      <c r="AI1198" s="65"/>
      <c r="AJ1198" s="65"/>
      <c r="AK1198" s="65"/>
      <c r="AL1198" s="65"/>
      <c r="AM1198" s="65"/>
      <c r="AN1198" s="65"/>
      <c r="AO1198" s="65"/>
      <c r="AP1198" s="65"/>
      <c r="AQ1198" s="65"/>
      <c r="AR1198" s="65"/>
      <c r="AS1198" s="65"/>
      <c r="AT1198" s="65" t="str">
        <f>IFERROR(__xludf.DUMMYFUNCTION("""COMPUTED_VALUE"""),"SHOPIFY")</f>
        <v>SHOPIFY</v>
      </c>
      <c r="AU1198" s="65" t="str">
        <f>IFERROR(__xludf.DUMMYFUNCTION("""COMPUTED_VALUE"""),"IMPORTEX EC")</f>
        <v>IMPORTEX EC</v>
      </c>
      <c r="AV1198" s="65" t="str">
        <f>IFERROR(__xludf.DUMMYFUNCTION("""COMPUTED_VALUE"""),"6465276018732")</f>
        <v>6465276018732</v>
      </c>
      <c r="AW1198" s="65">
        <f>IFERROR(__xludf.DUMMYFUNCTION("""COMPUTED_VALUE"""),5703.0)</f>
        <v>5703</v>
      </c>
      <c r="AX1198" s="65"/>
      <c r="AY1198" s="65"/>
      <c r="AZ1198" s="65"/>
      <c r="BA1198" s="65"/>
    </row>
    <row r="1199">
      <c r="A1199" s="65" t="str">
        <f>IFERROR(__xludf.DUMMYFUNCTION("""COMPUTED_VALUE"""),"27-03-2026")</f>
        <v>27-03-2026</v>
      </c>
      <c r="B1199" s="65">
        <f>IFERROR(__xludf.DUMMYFUNCTION("""COMPUTED_VALUE"""),4342649.0)</f>
        <v>4342649</v>
      </c>
      <c r="C1199" s="65" t="str">
        <f>IFERROR(__xludf.DUMMYFUNCTION("""COMPUTED_VALUE"""),"12:03")</f>
        <v>12:03</v>
      </c>
      <c r="D1199" s="65" t="str">
        <f>IFERROR(__xludf.DUMMYFUNCTION("""COMPUTED_VALUE"""),"31-01-2026")</f>
        <v>31-01-2026</v>
      </c>
      <c r="E1199" s="65" t="str">
        <f>IFERROR(__xludf.DUMMYFUNCTION("""COMPUTED_VALUE"""),"Armando Unaucho")</f>
        <v>Armando Unaucho</v>
      </c>
      <c r="F1199" s="65" t="str">
        <f>IFERROR(__xludf.DUMMYFUNCTION("""COMPUTED_VALUE"""),"984523040")</f>
        <v>984523040</v>
      </c>
      <c r="G1199" s="65"/>
      <c r="H1199" s="65"/>
      <c r="I1199" s="65"/>
      <c r="J1199" s="65"/>
      <c r="K1199" s="65" t="str">
        <f>IFERROR(__xludf.DUMMYFUNCTION("""COMPUTED_VALUE"""),"PENDIENTE CONFIRMACION")</f>
        <v>PENDIENTE CONFIRMACION</v>
      </c>
      <c r="L1199" s="65" t="str">
        <f>IFERROR(__xludf.DUMMYFUNCTION("""COMPUTED_VALUE"""),"CON RECAUDO")</f>
        <v>CON RECAUDO</v>
      </c>
      <c r="M1199" s="65" t="str">
        <f>IFERROR(__xludf.DUMMYFUNCTION("""COMPUTED_VALUE"""),"PICHINCHA")</f>
        <v>PICHINCHA</v>
      </c>
      <c r="N1199" s="65" t="str">
        <f>IFERROR(__xludf.DUMMYFUNCTION("""COMPUTED_VALUE"""),"CUMBAYA")</f>
        <v>CUMBAYA</v>
      </c>
      <c r="O1199" s="65" t="str">
        <f>IFERROR(__xludf.DUMMYFUNCTION("""COMPUTED_VALUE"""),"Servientrega")</f>
        <v>Servientrega</v>
      </c>
      <c r="P1199" s="65" t="str">
        <f>IFERROR(__xludf.DUMMYFUNCTION("""COMPUTED_VALUE"""),"LLAVE TRINQUETE: Default Title ***")</f>
        <v>LLAVE TRINQUETE: Default Title ***</v>
      </c>
      <c r="Q1199" s="65" t="str">
        <f>IFERROR(__xludf.DUMMYFUNCTION("""COMPUTED_VALUE"""),"GINTRACOM")</f>
        <v>GINTRACOM</v>
      </c>
      <c r="R1199" s="65">
        <f>IFERROR(__xludf.DUMMYFUNCTION("""COMPUTED_VALUE"""),32.0)</f>
        <v>32</v>
      </c>
      <c r="S1199" s="65"/>
      <c r="T1199" s="65">
        <f>IFERROR(__xludf.DUMMYFUNCTION("""COMPUTED_VALUE"""),5.2)</f>
        <v>5.2</v>
      </c>
      <c r="U1199" s="65">
        <f>IFERROR(__xludf.DUMMYFUNCTION("""COMPUTED_VALUE"""),0.0)</f>
        <v>0</v>
      </c>
      <c r="V1199" s="65">
        <f>IFERROR(__xludf.DUMMYFUNCTION("""COMPUTED_VALUE"""),0.0)</f>
        <v>0</v>
      </c>
      <c r="W1199" s="65">
        <f>IFERROR(__xludf.DUMMYFUNCTION("""COMPUTED_VALUE"""),0.0)</f>
        <v>0</v>
      </c>
      <c r="X1199" s="65">
        <f>IFERROR(__xludf.DUMMYFUNCTION("""COMPUTED_VALUE"""),5.0)</f>
        <v>5</v>
      </c>
      <c r="Y1199" s="65">
        <f>IFERROR(__xludf.DUMMYFUNCTION("""COMPUTED_VALUE"""),10.0)</f>
        <v>10</v>
      </c>
      <c r="Z1199" s="65">
        <f>IFERROR(__xludf.DUMMYFUNCTION("""COMPUTED_VALUE"""),110064.0)</f>
        <v>110064</v>
      </c>
      <c r="AA1199" s="65" t="str">
        <f>IFERROR(__xludf.DUMMYFUNCTION("""COMPUTED_VALUE"""),"IMX-00001")</f>
        <v>IMX-00001</v>
      </c>
      <c r="AB1199" s="65"/>
      <c r="AC1199" s="65" t="str">
        <f>IFERROR(__xludf.DUMMYFUNCTION("""COMPUTED_VALUE"""),"LLAVE TRINQUETE")</f>
        <v>LLAVE TRINQUETE</v>
      </c>
      <c r="AD1199" s="65"/>
      <c r="AE1199" s="65">
        <f>IFERROR(__xludf.DUMMYFUNCTION("""COMPUTED_VALUE"""),2.0)</f>
        <v>2</v>
      </c>
      <c r="AF1199" s="65"/>
      <c r="AG1199" s="65"/>
      <c r="AH1199" s="65"/>
      <c r="AI1199" s="65"/>
      <c r="AJ1199" s="65"/>
      <c r="AK1199" s="65"/>
      <c r="AL1199" s="65"/>
      <c r="AM1199" s="65"/>
      <c r="AN1199" s="65"/>
      <c r="AO1199" s="65"/>
      <c r="AP1199" s="65"/>
      <c r="AQ1199" s="65"/>
      <c r="AR1199" s="65"/>
      <c r="AS1199" s="65"/>
      <c r="AT1199" s="65" t="str">
        <f>IFERROR(__xludf.DUMMYFUNCTION("""COMPUTED_VALUE"""),"SHOPIFY")</f>
        <v>SHOPIFY</v>
      </c>
      <c r="AU1199" s="65" t="str">
        <f>IFERROR(__xludf.DUMMYFUNCTION("""COMPUTED_VALUE"""),"IMPORTEX EC")</f>
        <v>IMPORTEX EC</v>
      </c>
      <c r="AV1199" s="65" t="str">
        <f>IFERROR(__xludf.DUMMYFUNCTION("""COMPUTED_VALUE"""),"6465261436972")</f>
        <v>6465261436972</v>
      </c>
      <c r="AW1199" s="65">
        <f>IFERROR(__xludf.DUMMYFUNCTION("""COMPUTED_VALUE"""),5701.0)</f>
        <v>5701</v>
      </c>
      <c r="AX1199" s="65"/>
      <c r="AY1199" s="65"/>
      <c r="AZ1199" s="65"/>
      <c r="BA1199" s="65"/>
    </row>
    <row r="1200">
      <c r="A1200" s="65" t="str">
        <f>IFERROR(__xludf.DUMMYFUNCTION("""COMPUTED_VALUE"""),"27-03-2026")</f>
        <v>27-03-2026</v>
      </c>
      <c r="B1200" s="65">
        <f>IFERROR(__xludf.DUMMYFUNCTION("""COMPUTED_VALUE"""),4342606.0)</f>
        <v>4342606</v>
      </c>
      <c r="C1200" s="65" t="str">
        <f>IFERROR(__xludf.DUMMYFUNCTION("""COMPUTED_VALUE"""),"12:00")</f>
        <v>12:00</v>
      </c>
      <c r="D1200" s="65" t="str">
        <f>IFERROR(__xludf.DUMMYFUNCTION("""COMPUTED_VALUE"""),"31-01-2026")</f>
        <v>31-01-2026</v>
      </c>
      <c r="E1200" s="65" t="str">
        <f>IFERROR(__xludf.DUMMYFUNCTION("""COMPUTED_VALUE"""),"Amparo Chaves")</f>
        <v>Amparo Chaves</v>
      </c>
      <c r="F1200" s="65" t="str">
        <f>IFERROR(__xludf.DUMMYFUNCTION("""COMPUTED_VALUE"""),"959211568")</f>
        <v>959211568</v>
      </c>
      <c r="G1200" s="65"/>
      <c r="H1200" s="65"/>
      <c r="I1200" s="65"/>
      <c r="J1200" s="65" t="str">
        <f>IFERROR(__xludf.DUMMYFUNCTION("""COMPUTED_VALUE"""),"D001290780")</f>
        <v>D001290780</v>
      </c>
      <c r="K1200" s="65" t="str">
        <f>IFERROR(__xludf.DUMMYFUNCTION("""COMPUTED_VALUE"""),"ENTREGADO")</f>
        <v>ENTREGADO</v>
      </c>
      <c r="L1200" s="65" t="str">
        <f>IFERROR(__xludf.DUMMYFUNCTION("""COMPUTED_VALUE"""),"CON RECAUDO")</f>
        <v>CON RECAUDO</v>
      </c>
      <c r="M1200" s="65" t="str">
        <f>IFERROR(__xludf.DUMMYFUNCTION("""COMPUTED_VALUE"""),"BOLIVAR")</f>
        <v>BOLIVAR</v>
      </c>
      <c r="N1200" s="65" t="str">
        <f>IFERROR(__xludf.DUMMYFUNCTION("""COMPUTED_VALUE"""),"GUARANDA")</f>
        <v>GUARANDA</v>
      </c>
      <c r="O1200" s="65" t="str">
        <f>IFERROR(__xludf.DUMMYFUNCTION("""COMPUTED_VALUE"""),"César Augusto Saltos Ciudadela Primero de Mayo , Número de casa es 02 manzana M , REFERENCIA : Está junto al paso peatonal de la ciudadela")</f>
        <v>César Augusto Saltos Ciudadela Primero de Mayo , Número de casa es 02 manzana M , REFERENCIA : Está junto al paso peatonal de la ciudadela</v>
      </c>
      <c r="P1200" s="65"/>
      <c r="Q1200" s="65" t="str">
        <f>IFERROR(__xludf.DUMMYFUNCTION("""COMPUTED_VALUE"""),"GINTRACOM")</f>
        <v>GINTRACOM</v>
      </c>
      <c r="R1200" s="65">
        <f>IFERROR(__xludf.DUMMYFUNCTION("""COMPUTED_VALUE"""),22.0)</f>
        <v>22</v>
      </c>
      <c r="S1200" s="65">
        <f>IFERROR(__xludf.DUMMYFUNCTION("""COMPUTED_VALUE"""),10.96)</f>
        <v>10.96</v>
      </c>
      <c r="T1200" s="65">
        <f>IFERROR(__xludf.DUMMYFUNCTION("""COMPUTED_VALUE"""),5.84)</f>
        <v>5.84</v>
      </c>
      <c r="U1200" s="65">
        <f>IFERROR(__xludf.DUMMYFUNCTION("""COMPUTED_VALUE"""),0.0)</f>
        <v>0</v>
      </c>
      <c r="V1200" s="65">
        <f>IFERROR(__xludf.DUMMYFUNCTION("""COMPUTED_VALUE"""),0.0)</f>
        <v>0</v>
      </c>
      <c r="W1200" s="65">
        <f>IFERROR(__xludf.DUMMYFUNCTION("""COMPUTED_VALUE"""),0.0)</f>
        <v>0</v>
      </c>
      <c r="X1200" s="65">
        <f>IFERROR(__xludf.DUMMYFUNCTION("""COMPUTED_VALUE"""),2.6)</f>
        <v>2.6</v>
      </c>
      <c r="Y1200" s="65">
        <f>IFERROR(__xludf.DUMMYFUNCTION("""COMPUTED_VALUE"""),5.2)</f>
        <v>5.2</v>
      </c>
      <c r="Z1200" s="65">
        <f>IFERROR(__xludf.DUMMYFUNCTION("""COMPUTED_VALUE"""),121983.0)</f>
        <v>121983</v>
      </c>
      <c r="AA1200" s="65" t="str">
        <f>IFERROR(__xludf.DUMMYFUNCTION("""COMPUTED_VALUE"""),"PROV-CHLLCF")</f>
        <v>PROV-CHLLCF</v>
      </c>
      <c r="AB1200" s="65"/>
      <c r="AC1200" s="65" t="str">
        <f>IFERROR(__xludf.DUMMYFUNCTION("""COMPUTED_VALUE"""),"CUCHILLO PARA CHEF")</f>
        <v>CUCHILLO PARA CHEF</v>
      </c>
      <c r="AD1200" s="65"/>
      <c r="AE1200" s="65">
        <f>IFERROR(__xludf.DUMMYFUNCTION("""COMPUTED_VALUE"""),2.0)</f>
        <v>2</v>
      </c>
      <c r="AF1200" s="65"/>
      <c r="AG1200" s="65"/>
      <c r="AH1200" s="65"/>
      <c r="AI1200" s="65"/>
      <c r="AJ1200" s="65"/>
      <c r="AK1200" s="65"/>
      <c r="AL1200" s="65"/>
      <c r="AM1200" s="65"/>
      <c r="AN1200" s="65"/>
      <c r="AO1200" s="65"/>
      <c r="AP1200" s="65"/>
      <c r="AQ1200" s="65"/>
      <c r="AR1200" s="65"/>
      <c r="AS1200" s="65"/>
      <c r="AT1200" s="65" t="str">
        <f>IFERROR(__xludf.DUMMYFUNCTION("""COMPUTED_VALUE"""),"SHOPIFY")</f>
        <v>SHOPIFY</v>
      </c>
      <c r="AU1200" s="65" t="str">
        <f>IFERROR(__xludf.DUMMYFUNCTION("""COMPUTED_VALUE"""),"IMPORTEX EC")</f>
        <v>IMPORTEX EC</v>
      </c>
      <c r="AV1200" s="65" t="str">
        <f>IFERROR(__xludf.DUMMYFUNCTION("""COMPUTED_VALUE"""),"6465250328620")</f>
        <v>6465250328620</v>
      </c>
      <c r="AW1200" s="65">
        <f>IFERROR(__xludf.DUMMYFUNCTION("""COMPUTED_VALUE"""),5700.0)</f>
        <v>5700</v>
      </c>
      <c r="AX1200" s="65"/>
      <c r="AY1200" s="65" t="str">
        <f>IFERROR(__xludf.DUMMYFUNCTION("""COMPUTED_VALUE"""),"03/02/2026")</f>
        <v>03/02/2026</v>
      </c>
      <c r="AZ1200" s="65"/>
      <c r="BA1200" s="65"/>
    </row>
    <row r="1201">
      <c r="A1201" s="65" t="str">
        <f>IFERROR(__xludf.DUMMYFUNCTION("""COMPUTED_VALUE"""),"27-03-2026")</f>
        <v>27-03-2026</v>
      </c>
      <c r="B1201" s="65">
        <f>IFERROR(__xludf.DUMMYFUNCTION("""COMPUTED_VALUE"""),4342202.0)</f>
        <v>4342202</v>
      </c>
      <c r="C1201" s="65" t="str">
        <f>IFERROR(__xludf.DUMMYFUNCTION("""COMPUTED_VALUE"""),"11:22")</f>
        <v>11:22</v>
      </c>
      <c r="D1201" s="65" t="str">
        <f>IFERROR(__xludf.DUMMYFUNCTION("""COMPUTED_VALUE"""),"31-01-2026")</f>
        <v>31-01-2026</v>
      </c>
      <c r="E1201" s="65" t="str">
        <f>IFERROR(__xludf.DUMMYFUNCTION("""COMPUTED_VALUE"""),"Alberto Rosillo")</f>
        <v>Alberto Rosillo</v>
      </c>
      <c r="F1201" s="65" t="str">
        <f>IFERROR(__xludf.DUMMYFUNCTION("""COMPUTED_VALUE"""),"993829687")</f>
        <v>993829687</v>
      </c>
      <c r="G1201" s="65" t="str">
        <f>IFERROR(__xludf.DUMMYFUNCTION("""COMPUTED_VALUE"""),"santitoalcielo@hotmail.es")</f>
        <v>santitoalcielo@hotmail.es</v>
      </c>
      <c r="H1201" s="65"/>
      <c r="I1201" s="65"/>
      <c r="J1201" s="65"/>
      <c r="K1201" s="65" t="str">
        <f>IFERROR(__xludf.DUMMYFUNCTION("""COMPUTED_VALUE"""),"PENDIENTE CONFIRMACION")</f>
        <v>PENDIENTE CONFIRMACION</v>
      </c>
      <c r="L1201" s="65" t="str">
        <f>IFERROR(__xludf.DUMMYFUNCTION("""COMPUTED_VALUE"""),"CON RECAUDO")</f>
        <v>CON RECAUDO</v>
      </c>
      <c r="M1201" s="65" t="str">
        <f>IFERROR(__xludf.DUMMYFUNCTION("""COMPUTED_VALUE"""),"MANABI")</f>
        <v>MANABI</v>
      </c>
      <c r="N1201" s="65" t="str">
        <f>IFERROR(__xludf.DUMMYFUNCTION("""COMPUTED_VALUE"""),"CHARAPOTO")</f>
        <v>CHARAPOTO</v>
      </c>
      <c r="O1201" s="65" t="str">
        <f>IFERROR(__xludf.DUMMYFUNCTION("""COMPUTED_VALUE"""),"Calle Santa Rosa El Blanco -")</f>
        <v>Calle Santa Rosa El Blanco -</v>
      </c>
      <c r="P1201" s="65"/>
      <c r="Q1201" s="65" t="str">
        <f>IFERROR(__xludf.DUMMYFUNCTION("""COMPUTED_VALUE"""),"SERVIENTREGA")</f>
        <v>SERVIENTREGA</v>
      </c>
      <c r="R1201" s="65">
        <f>IFERROR(__xludf.DUMMYFUNCTION("""COMPUTED_VALUE"""),22.0)</f>
        <v>22</v>
      </c>
      <c r="S1201" s="65"/>
      <c r="T1201" s="65">
        <f>IFERROR(__xludf.DUMMYFUNCTION("""COMPUTED_VALUE"""),7.7)</f>
        <v>7.7</v>
      </c>
      <c r="U1201" s="65">
        <f>IFERROR(__xludf.DUMMYFUNCTION("""COMPUTED_VALUE"""),0.0)</f>
        <v>0</v>
      </c>
      <c r="V1201" s="65">
        <f>IFERROR(__xludf.DUMMYFUNCTION("""COMPUTED_VALUE"""),0.0)</f>
        <v>0</v>
      </c>
      <c r="W1201" s="65">
        <f>IFERROR(__xludf.DUMMYFUNCTION("""COMPUTED_VALUE"""),0.0)</f>
        <v>0</v>
      </c>
      <c r="X1201" s="65">
        <f>IFERROR(__xludf.DUMMYFUNCTION("""COMPUTED_VALUE"""),2.6)</f>
        <v>2.6</v>
      </c>
      <c r="Y1201" s="65">
        <f>IFERROR(__xludf.DUMMYFUNCTION("""COMPUTED_VALUE"""),5.2)</f>
        <v>5.2</v>
      </c>
      <c r="Z1201" s="65">
        <f>IFERROR(__xludf.DUMMYFUNCTION("""COMPUTED_VALUE"""),121983.0)</f>
        <v>121983</v>
      </c>
      <c r="AA1201" s="65" t="str">
        <f>IFERROR(__xludf.DUMMYFUNCTION("""COMPUTED_VALUE"""),"PROV-CHLLCF")</f>
        <v>PROV-CHLLCF</v>
      </c>
      <c r="AB1201" s="65"/>
      <c r="AC1201" s="65" t="str">
        <f>IFERROR(__xludf.DUMMYFUNCTION("""COMPUTED_VALUE"""),"CUCHILLO PARA CHEF")</f>
        <v>CUCHILLO PARA CHEF</v>
      </c>
      <c r="AD1201" s="65"/>
      <c r="AE1201" s="65">
        <f>IFERROR(__xludf.DUMMYFUNCTION("""COMPUTED_VALUE"""),2.0)</f>
        <v>2</v>
      </c>
      <c r="AF1201" s="65"/>
      <c r="AG1201" s="65"/>
      <c r="AH1201" s="65"/>
      <c r="AI1201" s="65"/>
      <c r="AJ1201" s="65"/>
      <c r="AK1201" s="65"/>
      <c r="AL1201" s="65"/>
      <c r="AM1201" s="65"/>
      <c r="AN1201" s="65"/>
      <c r="AO1201" s="65"/>
      <c r="AP1201" s="65"/>
      <c r="AQ1201" s="65"/>
      <c r="AR1201" s="65"/>
      <c r="AS1201" s="65"/>
      <c r="AT1201" s="65" t="str">
        <f>IFERROR(__xludf.DUMMYFUNCTION("""COMPUTED_VALUE"""),"SHOPIFY")</f>
        <v>SHOPIFY</v>
      </c>
      <c r="AU1201" s="65" t="str">
        <f>IFERROR(__xludf.DUMMYFUNCTION("""COMPUTED_VALUE"""),"IMPORTEX EC")</f>
        <v>IMPORTEX EC</v>
      </c>
      <c r="AV1201" s="65" t="str">
        <f>IFERROR(__xludf.DUMMYFUNCTION("""COMPUTED_VALUE"""),"6465141112876")</f>
        <v>6465141112876</v>
      </c>
      <c r="AW1201" s="65">
        <f>IFERROR(__xludf.DUMMYFUNCTION("""COMPUTED_VALUE"""),5699.0)</f>
        <v>5699</v>
      </c>
      <c r="AX1201" s="65"/>
      <c r="AY1201" s="65"/>
      <c r="AZ1201" s="65"/>
      <c r="BA1201" s="65"/>
    </row>
    <row r="1202">
      <c r="A1202" s="65" t="str">
        <f>IFERROR(__xludf.DUMMYFUNCTION("""COMPUTED_VALUE"""),"27-03-2026")</f>
        <v>27-03-2026</v>
      </c>
      <c r="B1202" s="65">
        <f>IFERROR(__xludf.DUMMYFUNCTION("""COMPUTED_VALUE"""),4342028.0)</f>
        <v>4342028</v>
      </c>
      <c r="C1202" s="65" t="str">
        <f>IFERROR(__xludf.DUMMYFUNCTION("""COMPUTED_VALUE"""),"11:05")</f>
        <v>11:05</v>
      </c>
      <c r="D1202" s="65" t="str">
        <f>IFERROR(__xludf.DUMMYFUNCTION("""COMPUTED_VALUE"""),"31-01-2026")</f>
        <v>31-01-2026</v>
      </c>
      <c r="E1202" s="65" t="str">
        <f>IFERROR(__xludf.DUMMYFUNCTION("""COMPUTED_VALUE"""),"Jaime Segovia")</f>
        <v>Jaime Segovia</v>
      </c>
      <c r="F1202" s="65" t="str">
        <f>IFERROR(__xludf.DUMMYFUNCTION("""COMPUTED_VALUE"""),"996927781")</f>
        <v>996927781</v>
      </c>
      <c r="G1202" s="65" t="str">
        <f>IFERROR(__xludf.DUMMYFUNCTION("""COMPUTED_VALUE"""),"augustosegovia1968@gmail.com")</f>
        <v>augustosegovia1968@gmail.com</v>
      </c>
      <c r="H1202" s="65"/>
      <c r="I1202" s="65"/>
      <c r="J1202" s="65"/>
      <c r="K1202" s="65" t="str">
        <f>IFERROR(__xludf.DUMMYFUNCTION("""COMPUTED_VALUE"""),"PENDIENTE CONFIRMACION")</f>
        <v>PENDIENTE CONFIRMACION</v>
      </c>
      <c r="L1202" s="65" t="str">
        <f>IFERROR(__xludf.DUMMYFUNCTION("""COMPUTED_VALUE"""),"CON RECAUDO")</f>
        <v>CON RECAUDO</v>
      </c>
      <c r="M1202" s="65" t="str">
        <f>IFERROR(__xludf.DUMMYFUNCTION("""COMPUTED_VALUE"""),"COTOPAXI")</f>
        <v>COTOPAXI</v>
      </c>
      <c r="N1202" s="65" t="str">
        <f>IFERROR(__xludf.DUMMYFUNCTION("""COMPUTED_VALUE"""),"LATACUNGA")</f>
        <v>LATACUNGA</v>
      </c>
      <c r="O1202" s="65" t="str">
        <f>IFERROR(__xludf.DUMMYFUNCTION("""COMPUTED_VALUE"""),"Av Eloy Alfaro Y Río Guayas -")</f>
        <v>Av Eloy Alfaro Y Río Guayas -</v>
      </c>
      <c r="P1202" s="65"/>
      <c r="Q1202" s="65" t="str">
        <f>IFERROR(__xludf.DUMMYFUNCTION("""COMPUTED_VALUE"""),"GINTRACOM")</f>
        <v>GINTRACOM</v>
      </c>
      <c r="R1202" s="65">
        <f>IFERROR(__xludf.DUMMYFUNCTION("""COMPUTED_VALUE"""),27.0)</f>
        <v>27</v>
      </c>
      <c r="S1202" s="65"/>
      <c r="T1202" s="65">
        <f>IFERROR(__xludf.DUMMYFUNCTION("""COMPUTED_VALUE"""),6.03)</f>
        <v>6.03</v>
      </c>
      <c r="U1202" s="65">
        <f>IFERROR(__xludf.DUMMYFUNCTION("""COMPUTED_VALUE"""),0.0)</f>
        <v>0</v>
      </c>
      <c r="V1202" s="65">
        <f>IFERROR(__xludf.DUMMYFUNCTION("""COMPUTED_VALUE"""),0.0)</f>
        <v>0</v>
      </c>
      <c r="W1202" s="65">
        <f>IFERROR(__xludf.DUMMYFUNCTION("""COMPUTED_VALUE"""),0.0)</f>
        <v>0</v>
      </c>
      <c r="X1202" s="65">
        <f>IFERROR(__xludf.DUMMYFUNCTION("""COMPUTED_VALUE"""),2.6)</f>
        <v>2.6</v>
      </c>
      <c r="Y1202" s="65">
        <f>IFERROR(__xludf.DUMMYFUNCTION("""COMPUTED_VALUE"""),7.8)</f>
        <v>7.8</v>
      </c>
      <c r="Z1202" s="65">
        <f>IFERROR(__xludf.DUMMYFUNCTION("""COMPUTED_VALUE"""),121983.0)</f>
        <v>121983</v>
      </c>
      <c r="AA1202" s="65" t="str">
        <f>IFERROR(__xludf.DUMMYFUNCTION("""COMPUTED_VALUE"""),"PROV-CHLLCF")</f>
        <v>PROV-CHLLCF</v>
      </c>
      <c r="AB1202" s="65"/>
      <c r="AC1202" s="65" t="str">
        <f>IFERROR(__xludf.DUMMYFUNCTION("""COMPUTED_VALUE"""),"CUCHILLO PARA CHEF")</f>
        <v>CUCHILLO PARA CHEF</v>
      </c>
      <c r="AD1202" s="65"/>
      <c r="AE1202" s="65">
        <f>IFERROR(__xludf.DUMMYFUNCTION("""COMPUTED_VALUE"""),3.0)</f>
        <v>3</v>
      </c>
      <c r="AF1202" s="65"/>
      <c r="AG1202" s="65"/>
      <c r="AH1202" s="65"/>
      <c r="AI1202" s="65"/>
      <c r="AJ1202" s="65"/>
      <c r="AK1202" s="65"/>
      <c r="AL1202" s="65"/>
      <c r="AM1202" s="65"/>
      <c r="AN1202" s="65"/>
      <c r="AO1202" s="65"/>
      <c r="AP1202" s="65"/>
      <c r="AQ1202" s="65"/>
      <c r="AR1202" s="65"/>
      <c r="AS1202" s="65"/>
      <c r="AT1202" s="65" t="str">
        <f>IFERROR(__xludf.DUMMYFUNCTION("""COMPUTED_VALUE"""),"SHOPIFY")</f>
        <v>SHOPIFY</v>
      </c>
      <c r="AU1202" s="65" t="str">
        <f>IFERROR(__xludf.DUMMYFUNCTION("""COMPUTED_VALUE"""),"IMPORTEX EC")</f>
        <v>IMPORTEX EC</v>
      </c>
      <c r="AV1202" s="65" t="str">
        <f>IFERROR(__xludf.DUMMYFUNCTION("""COMPUTED_VALUE"""),"6465093894188")</f>
        <v>6465093894188</v>
      </c>
      <c r="AW1202" s="65">
        <f>IFERROR(__xludf.DUMMYFUNCTION("""COMPUTED_VALUE"""),5698.0)</f>
        <v>5698</v>
      </c>
      <c r="AX1202" s="65"/>
      <c r="AY1202" s="65"/>
      <c r="AZ1202" s="65"/>
      <c r="BA1202" s="65"/>
    </row>
    <row r="1203">
      <c r="A1203" s="65" t="str">
        <f>IFERROR(__xludf.DUMMYFUNCTION("""COMPUTED_VALUE"""),"27-03-2026")</f>
        <v>27-03-2026</v>
      </c>
      <c r="B1203" s="65">
        <f>IFERROR(__xludf.DUMMYFUNCTION("""COMPUTED_VALUE"""),4341747.0)</f>
        <v>4341747</v>
      </c>
      <c r="C1203" s="65" t="str">
        <f>IFERROR(__xludf.DUMMYFUNCTION("""COMPUTED_VALUE"""),"10:33")</f>
        <v>10:33</v>
      </c>
      <c r="D1203" s="65" t="str">
        <f>IFERROR(__xludf.DUMMYFUNCTION("""COMPUTED_VALUE"""),"31-01-2026")</f>
        <v>31-01-2026</v>
      </c>
      <c r="E1203" s="65" t="str">
        <f>IFERROR(__xludf.DUMMYFUNCTION("""COMPUTED_VALUE"""),"Byron Andrade Verdezoto")</f>
        <v>Byron Andrade Verdezoto</v>
      </c>
      <c r="F1203" s="65" t="str">
        <f>IFERROR(__xludf.DUMMYFUNCTION("""COMPUTED_VALUE"""),"987044056")</f>
        <v>987044056</v>
      </c>
      <c r="G1203" s="65" t="str">
        <f>IFERROR(__xludf.DUMMYFUNCTION("""COMPUTED_VALUE"""),"byronandradev@yahoo.com")</f>
        <v>byronandradev@yahoo.com</v>
      </c>
      <c r="H1203" s="65"/>
      <c r="I1203" s="65"/>
      <c r="J1203" s="65" t="str">
        <f>IFERROR(__xludf.DUMMYFUNCTION("""COMPUTED_VALUE"""),"D001290782")</f>
        <v>D001290782</v>
      </c>
      <c r="K1203" s="65" t="str">
        <f>IFERROR(__xludf.DUMMYFUNCTION("""COMPUTED_VALUE"""),"ENTREGADO")</f>
        <v>ENTREGADO</v>
      </c>
      <c r="L1203" s="65" t="str">
        <f>IFERROR(__xludf.DUMMYFUNCTION("""COMPUTED_VALUE"""),"CON RECAUDO")</f>
        <v>CON RECAUDO</v>
      </c>
      <c r="M1203" s="65" t="str">
        <f>IFERROR(__xludf.DUMMYFUNCTION("""COMPUTED_VALUE"""),"TUNGURAHUA")</f>
        <v>TUNGURAHUA</v>
      </c>
      <c r="N1203" s="65" t="str">
        <f>IFERROR(__xludf.DUMMYFUNCTION("""COMPUTED_VALUE"""),"AMBATO")</f>
        <v>AMBATO</v>
      </c>
      <c r="O1203" s="65" t="str">
        <f>IFERROR(__xludf.DUMMYFUNCTION("""COMPUTED_VALUE"""),"Calle Sucre 05-20 y Martínez frente a Movistar")</f>
        <v>Calle Sucre 05-20 y Martínez frente a Movistar</v>
      </c>
      <c r="P1203" s="65"/>
      <c r="Q1203" s="65" t="str">
        <f>IFERROR(__xludf.DUMMYFUNCTION("""COMPUTED_VALUE"""),"GINTRACOM")</f>
        <v>GINTRACOM</v>
      </c>
      <c r="R1203" s="65">
        <f>IFERROR(__xludf.DUMMYFUNCTION("""COMPUTED_VALUE"""),22.0)</f>
        <v>22</v>
      </c>
      <c r="S1203" s="65">
        <f>IFERROR(__xludf.DUMMYFUNCTION("""COMPUTED_VALUE"""),10.96)</f>
        <v>10.96</v>
      </c>
      <c r="T1203" s="65">
        <f>IFERROR(__xludf.DUMMYFUNCTION("""COMPUTED_VALUE"""),5.84)</f>
        <v>5.84</v>
      </c>
      <c r="U1203" s="65">
        <f>IFERROR(__xludf.DUMMYFUNCTION("""COMPUTED_VALUE"""),0.0)</f>
        <v>0</v>
      </c>
      <c r="V1203" s="65">
        <f>IFERROR(__xludf.DUMMYFUNCTION("""COMPUTED_VALUE"""),0.0)</f>
        <v>0</v>
      </c>
      <c r="W1203" s="65">
        <f>IFERROR(__xludf.DUMMYFUNCTION("""COMPUTED_VALUE"""),0.0)</f>
        <v>0</v>
      </c>
      <c r="X1203" s="65">
        <f>IFERROR(__xludf.DUMMYFUNCTION("""COMPUTED_VALUE"""),2.6)</f>
        <v>2.6</v>
      </c>
      <c r="Y1203" s="65">
        <f>IFERROR(__xludf.DUMMYFUNCTION("""COMPUTED_VALUE"""),5.2)</f>
        <v>5.2</v>
      </c>
      <c r="Z1203" s="65">
        <f>IFERROR(__xludf.DUMMYFUNCTION("""COMPUTED_VALUE"""),121983.0)</f>
        <v>121983</v>
      </c>
      <c r="AA1203" s="65" t="str">
        <f>IFERROR(__xludf.DUMMYFUNCTION("""COMPUTED_VALUE"""),"PROV-CHLLCF")</f>
        <v>PROV-CHLLCF</v>
      </c>
      <c r="AB1203" s="65"/>
      <c r="AC1203" s="65" t="str">
        <f>IFERROR(__xludf.DUMMYFUNCTION("""COMPUTED_VALUE"""),"CUCHILLO PARA CHEF")</f>
        <v>CUCHILLO PARA CHEF</v>
      </c>
      <c r="AD1203" s="65"/>
      <c r="AE1203" s="65">
        <f>IFERROR(__xludf.DUMMYFUNCTION("""COMPUTED_VALUE"""),2.0)</f>
        <v>2</v>
      </c>
      <c r="AF1203" s="65"/>
      <c r="AG1203" s="65"/>
      <c r="AH1203" s="65"/>
      <c r="AI1203" s="65"/>
      <c r="AJ1203" s="65"/>
      <c r="AK1203" s="65"/>
      <c r="AL1203" s="65"/>
      <c r="AM1203" s="65"/>
      <c r="AN1203" s="65"/>
      <c r="AO1203" s="65"/>
      <c r="AP1203" s="65"/>
      <c r="AQ1203" s="65"/>
      <c r="AR1203" s="65"/>
      <c r="AS1203" s="65"/>
      <c r="AT1203" s="65" t="str">
        <f>IFERROR(__xludf.DUMMYFUNCTION("""COMPUTED_VALUE"""),"SHOPIFY")</f>
        <v>SHOPIFY</v>
      </c>
      <c r="AU1203" s="65" t="str">
        <f>IFERROR(__xludf.DUMMYFUNCTION("""COMPUTED_VALUE"""),"IMPORTEX EC")</f>
        <v>IMPORTEX EC</v>
      </c>
      <c r="AV1203" s="65" t="str">
        <f>IFERROR(__xludf.DUMMYFUNCTION("""COMPUTED_VALUE"""),"6465014104108")</f>
        <v>6465014104108</v>
      </c>
      <c r="AW1203" s="65">
        <f>IFERROR(__xludf.DUMMYFUNCTION("""COMPUTED_VALUE"""),5697.0)</f>
        <v>5697</v>
      </c>
      <c r="AX1203" s="65"/>
      <c r="AY1203" s="65" t="str">
        <f>IFERROR(__xludf.DUMMYFUNCTION("""COMPUTED_VALUE"""),"03/02/2026")</f>
        <v>03/02/2026</v>
      </c>
      <c r="AZ1203" s="65"/>
      <c r="BA1203" s="65"/>
    </row>
    <row r="1204">
      <c r="A1204" s="65" t="str">
        <f>IFERROR(__xludf.DUMMYFUNCTION("""COMPUTED_VALUE"""),"27-03-2026")</f>
        <v>27-03-2026</v>
      </c>
      <c r="B1204" s="65">
        <f>IFERROR(__xludf.DUMMYFUNCTION("""COMPUTED_VALUE"""),4341442.0)</f>
        <v>4341442</v>
      </c>
      <c r="C1204" s="65" t="str">
        <f>IFERROR(__xludf.DUMMYFUNCTION("""COMPUTED_VALUE"""),"10:02")</f>
        <v>10:02</v>
      </c>
      <c r="D1204" s="65" t="str">
        <f>IFERROR(__xludf.DUMMYFUNCTION("""COMPUTED_VALUE"""),"31-01-2026")</f>
        <v>31-01-2026</v>
      </c>
      <c r="E1204" s="65" t="str">
        <f>IFERROR(__xludf.DUMMYFUNCTION("""COMPUTED_VALUE"""),"Narcisa Valverde")</f>
        <v>Narcisa Valverde</v>
      </c>
      <c r="F1204" s="65" t="str">
        <f>IFERROR(__xludf.DUMMYFUNCTION("""COMPUTED_VALUE"""),"984966386")</f>
        <v>984966386</v>
      </c>
      <c r="G1204" s="65" t="str">
        <f>IFERROR(__xludf.DUMMYFUNCTION("""COMPUTED_VALUE"""),"valverdenarcisa34@gmail.com")</f>
        <v>valverdenarcisa34@gmail.com</v>
      </c>
      <c r="H1204" s="65"/>
      <c r="I1204" s="65"/>
      <c r="J1204" s="65" t="str">
        <f>IFERROR(__xludf.DUMMYFUNCTION("""COMPUTED_VALUE"""),"186995649")</f>
        <v>186995649</v>
      </c>
      <c r="K1204" s="65" t="str">
        <f>IFERROR(__xludf.DUMMYFUNCTION("""COMPUTED_VALUE"""),"DEVOLUCION")</f>
        <v>DEVOLUCION</v>
      </c>
      <c r="L1204" s="65" t="str">
        <f>IFERROR(__xludf.DUMMYFUNCTION("""COMPUTED_VALUE"""),"CON RECAUDO")</f>
        <v>CON RECAUDO</v>
      </c>
      <c r="M1204" s="65" t="str">
        <f>IFERROR(__xludf.DUMMYFUNCTION("""COMPUTED_VALUE"""),"AZUAY")</f>
        <v>AZUAY</v>
      </c>
      <c r="N1204" s="65" t="str">
        <f>IFERROR(__xludf.DUMMYFUNCTION("""COMPUTED_VALUE"""),"GUALACEO")</f>
        <v>GUALACEO</v>
      </c>
      <c r="O1204" s="65" t="str">
        <f>IFERROR(__xludf.DUMMYFUNCTION("""COMPUTED_VALUE"""),"Av Los Cañaris Y Sor Maria Mercado santiago de gualaceo -")</f>
        <v>Av Los Cañaris Y Sor Maria Mercado santiago de gualaceo -</v>
      </c>
      <c r="P1204" s="65"/>
      <c r="Q1204" s="65" t="str">
        <f>IFERROR(__xludf.DUMMYFUNCTION("""COMPUTED_VALUE"""),"SERVIENTREGA")</f>
        <v>SERVIENTREGA</v>
      </c>
      <c r="R1204" s="65">
        <f>IFERROR(__xludf.DUMMYFUNCTION("""COMPUTED_VALUE"""),25.0)</f>
        <v>25</v>
      </c>
      <c r="S1204" s="65"/>
      <c r="T1204" s="65">
        <f>IFERROR(__xludf.DUMMYFUNCTION("""COMPUTED_VALUE"""),6.31)</f>
        <v>6.31</v>
      </c>
      <c r="U1204" s="65">
        <f>IFERROR(__xludf.DUMMYFUNCTION("""COMPUTED_VALUE"""),0.0)</f>
        <v>0</v>
      </c>
      <c r="V1204" s="65">
        <f>IFERROR(__xludf.DUMMYFUNCTION("""COMPUTED_VALUE"""),0.0)</f>
        <v>0</v>
      </c>
      <c r="W1204" s="65">
        <f>IFERROR(__xludf.DUMMYFUNCTION("""COMPUTED_VALUE"""),0.0)</f>
        <v>0</v>
      </c>
      <c r="X1204" s="65">
        <f>IFERROR(__xludf.DUMMYFUNCTION("""COMPUTED_VALUE"""),2.35)</f>
        <v>2.35</v>
      </c>
      <c r="Y1204" s="65">
        <f>IFERROR(__xludf.DUMMYFUNCTION("""COMPUTED_VALUE"""),4.7)</f>
        <v>4.7</v>
      </c>
      <c r="Z1204" s="65">
        <f>IFERROR(__xludf.DUMMYFUNCTION("""COMPUTED_VALUE"""),116679.0)</f>
        <v>116679</v>
      </c>
      <c r="AA1204" s="65" t="str">
        <f>IFERROR(__xludf.DUMMYFUNCTION("""COMPUTED_VALUE"""),"AMC-2738")</f>
        <v>AMC-2738</v>
      </c>
      <c r="AB1204" s="65"/>
      <c r="AC1204" s="65" t="str">
        <f>IFERROR(__xludf.DUMMYFUNCTION("""COMPUTED_VALUE"""),"ESPONJA ANTILLUVIA DE PARABRISAS")</f>
        <v>ESPONJA ANTILLUVIA DE PARABRISAS</v>
      </c>
      <c r="AD1204" s="65"/>
      <c r="AE1204" s="65">
        <f>IFERROR(__xludf.DUMMYFUNCTION("""COMPUTED_VALUE"""),2.0)</f>
        <v>2</v>
      </c>
      <c r="AF1204" s="65" t="str">
        <f>IFERROR(__xludf.DUMMYFUNCTION("""COMPUTED_VALUE"""),"DEVOLUCION AL REMITENTE")</f>
        <v>DEVOLUCION AL REMITENTE</v>
      </c>
      <c r="AG1204" s="65" t="str">
        <f>IFERROR(__xludf.DUMMYFUNCTION("""COMPUTED_VALUE"""),"NO")</f>
        <v>NO</v>
      </c>
      <c r="AH1204" s="65" t="str">
        <f>IFERROR(__xludf.DUMMYFUNCTION("""COMPUTED_VALUE"""),"07:24")</f>
        <v>07:24</v>
      </c>
      <c r="AI1204" s="65" t="str">
        <f>IFERROR(__xludf.DUMMYFUNCTION("""COMPUTED_VALUE"""),"19-02-2026")</f>
        <v>19-02-2026</v>
      </c>
      <c r="AJ1204" s="65"/>
      <c r="AK1204" s="65"/>
      <c r="AL1204" s="65"/>
      <c r="AM1204" s="65"/>
      <c r="AN1204" s="65" t="str">
        <f>IFERROR(__xludf.DUMMYFUNCTION("""COMPUTED_VALUE"""),"01:04")</f>
        <v>01:04</v>
      </c>
      <c r="AO1204" s="65" t="str">
        <f>IFERROR(__xludf.DUMMYFUNCTION("""COMPUTED_VALUE"""),"21-02-2026")</f>
        <v>21-02-2026</v>
      </c>
      <c r="AP1204" s="65" t="str">
        <f>IFERROR(__xludf.DUMMYFUNCTION("""COMPUTED_VALUE"""),"Certificacion Devolucion al Remitente CL QUITO SUR")</f>
        <v>Certificacion Devolucion al Remitente CL QUITO SUR</v>
      </c>
      <c r="AQ1204" s="65" t="str">
        <f>IFERROR(__xludf.DUMMYFUNCTION("""COMPUTED_VALUE"""),"{}")</f>
        <v>{}</v>
      </c>
      <c r="AR1204" s="65"/>
      <c r="AS1204" s="65"/>
      <c r="AT1204" s="65" t="str">
        <f>IFERROR(__xludf.DUMMYFUNCTION("""COMPUTED_VALUE"""),"SHOPIFY")</f>
        <v>SHOPIFY</v>
      </c>
      <c r="AU1204" s="65" t="str">
        <f>IFERROR(__xludf.DUMMYFUNCTION("""COMPUTED_VALUE"""),"IMPORTEX EC")</f>
        <v>IMPORTEX EC</v>
      </c>
      <c r="AV1204" s="65" t="str">
        <f>IFERROR(__xludf.DUMMYFUNCTION("""COMPUTED_VALUE"""),"6464936378412")</f>
        <v>6464936378412</v>
      </c>
      <c r="AW1204" s="65">
        <f>IFERROR(__xludf.DUMMYFUNCTION("""COMPUTED_VALUE"""),5696.0)</f>
        <v>5696</v>
      </c>
      <c r="AX1204" s="65"/>
      <c r="AY1204" s="65" t="str">
        <f>IFERROR(__xludf.DUMMYFUNCTION("""COMPUTED_VALUE"""),"03/02/2026")</f>
        <v>03/02/2026</v>
      </c>
      <c r="AZ1204" s="65"/>
      <c r="BA1204" s="65"/>
    </row>
    <row r="1205">
      <c r="A1205" s="65" t="str">
        <f>IFERROR(__xludf.DUMMYFUNCTION("""COMPUTED_VALUE"""),"27-03-2026")</f>
        <v>27-03-2026</v>
      </c>
      <c r="B1205" s="65">
        <f>IFERROR(__xludf.DUMMYFUNCTION("""COMPUTED_VALUE"""),4341361.0)</f>
        <v>4341361</v>
      </c>
      <c r="C1205" s="65" t="str">
        <f>IFERROR(__xludf.DUMMYFUNCTION("""COMPUTED_VALUE"""),"09:55")</f>
        <v>09:55</v>
      </c>
      <c r="D1205" s="65" t="str">
        <f>IFERROR(__xludf.DUMMYFUNCTION("""COMPUTED_VALUE"""),"31-01-2026")</f>
        <v>31-01-2026</v>
      </c>
      <c r="E1205" s="65" t="str">
        <f>IFERROR(__xludf.DUMMYFUNCTION("""COMPUTED_VALUE"""),"Danny Fabián Rodríguez Herrera")</f>
        <v>Danny Fabián Rodríguez Herrera</v>
      </c>
      <c r="F1205" s="65" t="str">
        <f>IFERROR(__xludf.DUMMYFUNCTION("""COMPUTED_VALUE"""),"979198521")</f>
        <v>979198521</v>
      </c>
      <c r="G1205" s="65" t="str">
        <f>IFERROR(__xludf.DUMMYFUNCTION("""COMPUTED_VALUE"""),"dannyfarodri@gmail.com")</f>
        <v>dannyfarodri@gmail.com</v>
      </c>
      <c r="H1205" s="65"/>
      <c r="I1205" s="65"/>
      <c r="J1205" s="65" t="str">
        <f>IFERROR(__xludf.DUMMYFUNCTION("""COMPUTED_VALUE"""),"D001290784")</f>
        <v>D001290784</v>
      </c>
      <c r="K1205" s="65" t="str">
        <f>IFERROR(__xludf.DUMMYFUNCTION("""COMPUTED_VALUE"""),"DEVOLUCION")</f>
        <v>DEVOLUCION</v>
      </c>
      <c r="L1205" s="65" t="str">
        <f>IFERROR(__xludf.DUMMYFUNCTION("""COMPUTED_VALUE"""),"CON RECAUDO")</f>
        <v>CON RECAUDO</v>
      </c>
      <c r="M1205" s="65" t="str">
        <f>IFERROR(__xludf.DUMMYFUNCTION("""COMPUTED_VALUE"""),"GUAYAS")</f>
        <v>GUAYAS</v>
      </c>
      <c r="N1205" s="65" t="str">
        <f>IFERROR(__xludf.DUMMYFUNCTION("""COMPUTED_VALUE"""),"GUAYAQUIL")</f>
        <v>GUAYAQUIL</v>
      </c>
      <c r="O1205" s="65" t="str">
        <f>IFERROR(__xludf.DUMMYFUNCTION("""COMPUTED_VALUE"""),"Ciudadela 9 de octubre Casa con dos carpas blancas - Pedro Saad Niyaim calle séptima callejón D villa 209, UBICACION EN GOOGLE MAPS")</f>
        <v>Ciudadela 9 de octubre Casa con dos carpas blancas - Pedro Saad Niyaim calle séptima callejón D villa 209, UBICACION EN GOOGLE MAPS</v>
      </c>
      <c r="P1205" s="68" t="str">
        <f>IFERROR(__xludf.DUMMYFUNCTION("""COMPUTED_VALUE"""),"https://www.google.com/maps/place/2%C2%B014'02.7%22S+79%C2%B053'31.1%22W/@-2.234206,-79.8921612,21z/data=!4m4!3m3!8m2!3d-2.2340833!4d-79.8919722?entry=ttu&amp;g_ep=EgoyMDI2MDEyOC4wIKXMDSoASAFQAw%3D%3D")</f>
        <v>https://www.google.com/maps/place/2%C2%B014'02.7%22S+79%C2%B053'31.1%22W/@-2.234206,-79.8921612,21z/data=!4m4!3m3!8m2!3d-2.2340833!4d-79.8919722?entry=ttu&amp;g_ep=EgoyMDI2MDEyOC4wIKXMDSoASAFQAw%3D%3D</v>
      </c>
      <c r="Q1205" s="65" t="str">
        <f>IFERROR(__xludf.DUMMYFUNCTION("""COMPUTED_VALUE"""),"GINTRACOM")</f>
        <v>GINTRACOM</v>
      </c>
      <c r="R1205" s="65">
        <f>IFERROR(__xludf.DUMMYFUNCTION("""COMPUTED_VALUE"""),22.0)</f>
        <v>22</v>
      </c>
      <c r="S1205" s="65"/>
      <c r="T1205" s="65">
        <f>IFERROR(__xludf.DUMMYFUNCTION("""COMPUTED_VALUE"""),4.23)</f>
        <v>4.23</v>
      </c>
      <c r="U1205" s="65">
        <f>IFERROR(__xludf.DUMMYFUNCTION("""COMPUTED_VALUE"""),0.0)</f>
        <v>0</v>
      </c>
      <c r="V1205" s="65">
        <f>IFERROR(__xludf.DUMMYFUNCTION("""COMPUTED_VALUE"""),0.0)</f>
        <v>0</v>
      </c>
      <c r="W1205" s="65">
        <f>IFERROR(__xludf.DUMMYFUNCTION("""COMPUTED_VALUE"""),0.0)</f>
        <v>0</v>
      </c>
      <c r="X1205" s="65">
        <f>IFERROR(__xludf.DUMMYFUNCTION("""COMPUTED_VALUE"""),2.6)</f>
        <v>2.6</v>
      </c>
      <c r="Y1205" s="65">
        <f>IFERROR(__xludf.DUMMYFUNCTION("""COMPUTED_VALUE"""),5.2)</f>
        <v>5.2</v>
      </c>
      <c r="Z1205" s="65">
        <f>IFERROR(__xludf.DUMMYFUNCTION("""COMPUTED_VALUE"""),121983.0)</f>
        <v>121983</v>
      </c>
      <c r="AA1205" s="65" t="str">
        <f>IFERROR(__xludf.DUMMYFUNCTION("""COMPUTED_VALUE"""),"PROV-CHLLCF")</f>
        <v>PROV-CHLLCF</v>
      </c>
      <c r="AB1205" s="65"/>
      <c r="AC1205" s="65" t="str">
        <f>IFERROR(__xludf.DUMMYFUNCTION("""COMPUTED_VALUE"""),"CUCHILLO PARA CHEF")</f>
        <v>CUCHILLO PARA CHEF</v>
      </c>
      <c r="AD1205" s="65"/>
      <c r="AE1205" s="65">
        <f>IFERROR(__xludf.DUMMYFUNCTION("""COMPUTED_VALUE"""),2.0)</f>
        <v>2</v>
      </c>
      <c r="AF1205" s="65" t="str">
        <f>IFERROR(__xludf.DUMMYFUNCTION("""COMPUTED_VALUE"""),"ZONA PELIGROSA, SE SOLICITA PUNTO DE ENCUENTRO CON CLIENTE Y NO ACEPTA")</f>
        <v>ZONA PELIGROSA, SE SOLICITA PUNTO DE ENCUENTRO CON CLIENTE Y NO ACEPTA</v>
      </c>
      <c r="AG1205" s="65" t="str">
        <f>IFERROR(__xludf.DUMMYFUNCTION("""COMPUTED_VALUE"""),"NO")</f>
        <v>NO</v>
      </c>
      <c r="AH1205" s="65" t="str">
        <f>IFERROR(__xludf.DUMMYFUNCTION("""COMPUTED_VALUE"""),"14:03")</f>
        <v>14:03</v>
      </c>
      <c r="AI1205" s="65" t="str">
        <f>IFERROR(__xludf.DUMMYFUNCTION("""COMPUTED_VALUE"""),"04-02-2026")</f>
        <v>04-02-2026</v>
      </c>
      <c r="AJ1205" s="65"/>
      <c r="AK1205" s="65"/>
      <c r="AL1205" s="65"/>
      <c r="AM1205" s="65"/>
      <c r="AN1205" s="65" t="str">
        <f>IFERROR(__xludf.DUMMYFUNCTION("""COMPUTED_VALUE"""),"01:37")</f>
        <v>01:37</v>
      </c>
      <c r="AO1205" s="65" t="str">
        <f>IFERROR(__xludf.DUMMYFUNCTION("""COMPUTED_VALUE"""),"06-03-2026")</f>
        <v>06-03-2026</v>
      </c>
      <c r="AP1205" s="65" t="str">
        <f>IFERROR(__xludf.DUMMYFUNCTION("""COMPUTED_VALUE"""),"DEVOLUCIÓN ENTREGADA A ORIGEN")</f>
        <v>DEVOLUCIÓN ENTREGADA A ORIGEN</v>
      </c>
      <c r="AQ1205" s="65" t="str">
        <f>IFERROR(__xludf.DUMMYFUNCTION("""COMPUTED_VALUE"""),"DEVOLUCIÓN ENTREGADA A ORIGEN")</f>
        <v>DEVOLUCIÓN ENTREGADA A ORIGEN</v>
      </c>
      <c r="AR1205" s="65"/>
      <c r="AS1205" s="65"/>
      <c r="AT1205" s="65" t="str">
        <f>IFERROR(__xludf.DUMMYFUNCTION("""COMPUTED_VALUE"""),"SHOPIFY")</f>
        <v>SHOPIFY</v>
      </c>
      <c r="AU1205" s="65" t="str">
        <f>IFERROR(__xludf.DUMMYFUNCTION("""COMPUTED_VALUE"""),"IMPORTEX EC")</f>
        <v>IMPORTEX EC</v>
      </c>
      <c r="AV1205" s="65" t="str">
        <f>IFERROR(__xludf.DUMMYFUNCTION("""COMPUTED_VALUE"""),"6464923926572")</f>
        <v>6464923926572</v>
      </c>
      <c r="AW1205" s="65">
        <f>IFERROR(__xludf.DUMMYFUNCTION("""COMPUTED_VALUE"""),5695.0)</f>
        <v>5695</v>
      </c>
      <c r="AX1205" s="65"/>
      <c r="AY1205" s="65" t="str">
        <f>IFERROR(__xludf.DUMMYFUNCTION("""COMPUTED_VALUE"""),"03/02/2026")</f>
        <v>03/02/2026</v>
      </c>
      <c r="AZ1205" s="65"/>
      <c r="BA1205" s="65"/>
    </row>
    <row r="1206">
      <c r="A1206" s="65" t="str">
        <f>IFERROR(__xludf.DUMMYFUNCTION("""COMPUTED_VALUE"""),"27-03-2026")</f>
        <v>27-03-2026</v>
      </c>
      <c r="B1206" s="65">
        <f>IFERROR(__xludf.DUMMYFUNCTION("""COMPUTED_VALUE"""),4341268.0)</f>
        <v>4341268</v>
      </c>
      <c r="C1206" s="65" t="str">
        <f>IFERROR(__xludf.DUMMYFUNCTION("""COMPUTED_VALUE"""),"09:47")</f>
        <v>09:47</v>
      </c>
      <c r="D1206" s="65" t="str">
        <f>IFERROR(__xludf.DUMMYFUNCTION("""COMPUTED_VALUE"""),"31-01-2026")</f>
        <v>31-01-2026</v>
      </c>
      <c r="E1206" s="65" t="str">
        <f>IFERROR(__xludf.DUMMYFUNCTION("""COMPUTED_VALUE"""),"edgar zapata")</f>
        <v>edgar zapata</v>
      </c>
      <c r="F1206" s="65" t="str">
        <f>IFERROR(__xludf.DUMMYFUNCTION("""COMPUTED_VALUE"""),"978901783")</f>
        <v>978901783</v>
      </c>
      <c r="G1206" s="65" t="str">
        <f>IFERROR(__xludf.DUMMYFUNCTION("""COMPUTED_VALUE"""),"zapataedgarm1508@gmail.com")</f>
        <v>zapataedgarm1508@gmail.com</v>
      </c>
      <c r="H1206" s="65"/>
      <c r="I1206" s="65"/>
      <c r="J1206" s="65" t="str">
        <f>IFERROR(__xludf.DUMMYFUNCTION("""COMPUTED_VALUE"""),"D001290786")</f>
        <v>D001290786</v>
      </c>
      <c r="K1206" s="65" t="str">
        <f>IFERROR(__xludf.DUMMYFUNCTION("""COMPUTED_VALUE"""),"ENTREGADO")</f>
        <v>ENTREGADO</v>
      </c>
      <c r="L1206" s="65" t="str">
        <f>IFERROR(__xludf.DUMMYFUNCTION("""COMPUTED_VALUE"""),"CON RECAUDO")</f>
        <v>CON RECAUDO</v>
      </c>
      <c r="M1206" s="65" t="str">
        <f>IFERROR(__xludf.DUMMYFUNCTION("""COMPUTED_VALUE"""),"IMBABURA")</f>
        <v>IMBABURA</v>
      </c>
      <c r="N1206" s="65" t="str">
        <f>IFERROR(__xludf.DUMMYFUNCTION("""COMPUTED_VALUE"""),"ATUNTAQUI")</f>
        <v>ATUNTAQUI</v>
      </c>
      <c r="O1206" s="65" t="str">
        <f>IFERROR(__xludf.DUMMYFUNCTION("""COMPUTED_VALUE"""),"Calle Celiano Aguinaga con calle nueva Luz Bajando por el parque del barrio Santo Domingo 1 cuadra y media ,  casa verde de 3 pisos está en la esquina, UBICACION EN NOTAS")</f>
        <v>Calle Celiano Aguinaga con calle nueva Luz Bajando por el parque del barrio Santo Domingo 1 cuadra y media ,  casa verde de 3 pisos está en la esquina, UBICACION EN NOTAS</v>
      </c>
      <c r="P1206" s="68" t="str">
        <f>IFERROR(__xludf.DUMMYFUNCTION("""COMPUTED_VALUE"""),"https://www.google.com/maps/place/0%C2%B019'32.1%22N+78%C2%B013'29.2%22W/@0.3259404,-78.2248314,18.83z/data=!4m4!3m3!8m2!3d0.3255833!4d-78.2247733?entry=ttu&amp;g_ep=EgoyMDI2MDEyOC4wIKXMDSoASAFQAw%3D%3D")</f>
        <v>https://www.google.com/maps/place/0%C2%B019'32.1%22N+78%C2%B013'29.2%22W/@0.3259404,-78.2248314,18.83z/data=!4m4!3m3!8m2!3d0.3255833!4d-78.2247733?entry=ttu&amp;g_ep=EgoyMDI2MDEyOC4wIKXMDSoASAFQAw%3D%3D</v>
      </c>
      <c r="Q1206" s="65" t="str">
        <f>IFERROR(__xludf.DUMMYFUNCTION("""COMPUTED_VALUE"""),"GINTRACOM")</f>
        <v>GINTRACOM</v>
      </c>
      <c r="R1206" s="65">
        <f>IFERROR(__xludf.DUMMYFUNCTION("""COMPUTED_VALUE"""),22.0)</f>
        <v>22</v>
      </c>
      <c r="S1206" s="65">
        <f>IFERROR(__xludf.DUMMYFUNCTION("""COMPUTED_VALUE"""),10.39)</f>
        <v>10.39</v>
      </c>
      <c r="T1206" s="65">
        <f>IFERROR(__xludf.DUMMYFUNCTION("""COMPUTED_VALUE"""),6.41)</f>
        <v>6.41</v>
      </c>
      <c r="U1206" s="65">
        <f>IFERROR(__xludf.DUMMYFUNCTION("""COMPUTED_VALUE"""),0.0)</f>
        <v>0</v>
      </c>
      <c r="V1206" s="65">
        <f>IFERROR(__xludf.DUMMYFUNCTION("""COMPUTED_VALUE"""),0.0)</f>
        <v>0</v>
      </c>
      <c r="W1206" s="65">
        <f>IFERROR(__xludf.DUMMYFUNCTION("""COMPUTED_VALUE"""),0.0)</f>
        <v>0</v>
      </c>
      <c r="X1206" s="65">
        <f>IFERROR(__xludf.DUMMYFUNCTION("""COMPUTED_VALUE"""),2.6)</f>
        <v>2.6</v>
      </c>
      <c r="Y1206" s="65">
        <f>IFERROR(__xludf.DUMMYFUNCTION("""COMPUTED_VALUE"""),5.2)</f>
        <v>5.2</v>
      </c>
      <c r="Z1206" s="65">
        <f>IFERROR(__xludf.DUMMYFUNCTION("""COMPUTED_VALUE"""),121983.0)</f>
        <v>121983</v>
      </c>
      <c r="AA1206" s="65" t="str">
        <f>IFERROR(__xludf.DUMMYFUNCTION("""COMPUTED_VALUE"""),"PROV-CHLLCF")</f>
        <v>PROV-CHLLCF</v>
      </c>
      <c r="AB1206" s="65"/>
      <c r="AC1206" s="65" t="str">
        <f>IFERROR(__xludf.DUMMYFUNCTION("""COMPUTED_VALUE"""),"CUCHILLO PARA CHEF")</f>
        <v>CUCHILLO PARA CHEF</v>
      </c>
      <c r="AD1206" s="65"/>
      <c r="AE1206" s="65">
        <f>IFERROR(__xludf.DUMMYFUNCTION("""COMPUTED_VALUE"""),2.0)</f>
        <v>2</v>
      </c>
      <c r="AF1206" s="65" t="str">
        <f>IFERROR(__xludf.DUMMYFUNCTION("""COMPUTED_VALUE"""),"DESTINATARIO INDICA QUE SE ENCUENTRA FUERA DE LA CIUDAD")</f>
        <v>DESTINATARIO INDICA QUE SE ENCUENTRA FUERA DE LA CIUDAD</v>
      </c>
      <c r="AG1206" s="65" t="str">
        <f>IFERROR(__xludf.DUMMYFUNCTION("""COMPUTED_VALUE"""),"NO")</f>
        <v>NO</v>
      </c>
      <c r="AH1206" s="65" t="str">
        <f>IFERROR(__xludf.DUMMYFUNCTION("""COMPUTED_VALUE"""),"14:00")</f>
        <v>14:00</v>
      </c>
      <c r="AI1206" s="65" t="str">
        <f>IFERROR(__xludf.DUMMYFUNCTION("""COMPUTED_VALUE"""),"05-02-2026")</f>
        <v>05-02-2026</v>
      </c>
      <c r="AJ1206" s="65"/>
      <c r="AK1206" s="65"/>
      <c r="AL1206" s="65"/>
      <c r="AM1206" s="65"/>
      <c r="AN1206" s="65" t="str">
        <f>IFERROR(__xludf.DUMMYFUNCTION("""COMPUTED_VALUE"""),"01:30")</f>
        <v>01:30</v>
      </c>
      <c r="AO1206" s="65" t="str">
        <f>IFERROR(__xludf.DUMMYFUNCTION("""COMPUTED_VALUE"""),"07-02-2026")</f>
        <v>07-02-2026</v>
      </c>
      <c r="AP1206" s="65" t="str">
        <f>IFERROR(__xludf.DUMMYFUNCTION("""COMPUTED_VALUE"""),"DESTINATARIO INDICA QUE SE ENCUENTRA FUERA DE LA CIUDAD")</f>
        <v>DESTINATARIO INDICA QUE SE ENCUENTRA FUERA DE LA CIUDAD</v>
      </c>
      <c r="AQ1206" s="65" t="str">
        <f>IFERROR(__xludf.DUMMYFUNCTION("""COMPUTED_VALUE"""),"DESTINATARIO INDICA QUE SE ENCUENTRA FUERA DE LA CIUDAD")</f>
        <v>DESTINATARIO INDICA QUE SE ENCUENTRA FUERA DE LA CIUDAD</v>
      </c>
      <c r="AR1206" s="65"/>
      <c r="AS1206" s="65"/>
      <c r="AT1206" s="65" t="str">
        <f>IFERROR(__xludf.DUMMYFUNCTION("""COMPUTED_VALUE"""),"SHOPIFY")</f>
        <v>SHOPIFY</v>
      </c>
      <c r="AU1206" s="65" t="str">
        <f>IFERROR(__xludf.DUMMYFUNCTION("""COMPUTED_VALUE"""),"IMPORTEX EC")</f>
        <v>IMPORTEX EC</v>
      </c>
      <c r="AV1206" s="65" t="str">
        <f>IFERROR(__xludf.DUMMYFUNCTION("""COMPUTED_VALUE"""),"6464906788908")</f>
        <v>6464906788908</v>
      </c>
      <c r="AW1206" s="65">
        <f>IFERROR(__xludf.DUMMYFUNCTION("""COMPUTED_VALUE"""),5694.0)</f>
        <v>5694</v>
      </c>
      <c r="AX1206" s="65"/>
      <c r="AY1206" s="65" t="str">
        <f>IFERROR(__xludf.DUMMYFUNCTION("""COMPUTED_VALUE"""),"03/02/2026")</f>
        <v>03/02/2026</v>
      </c>
      <c r="AZ1206" s="65"/>
      <c r="BA1206" s="65"/>
    </row>
    <row r="1207">
      <c r="A1207" s="65" t="str">
        <f>IFERROR(__xludf.DUMMYFUNCTION("""COMPUTED_VALUE"""),"27-03-2026")</f>
        <v>27-03-2026</v>
      </c>
      <c r="B1207" s="65">
        <f>IFERROR(__xludf.DUMMYFUNCTION("""COMPUTED_VALUE"""),4340752.0)</f>
        <v>4340752</v>
      </c>
      <c r="C1207" s="65" t="str">
        <f>IFERROR(__xludf.DUMMYFUNCTION("""COMPUTED_VALUE"""),"09:01")</f>
        <v>09:01</v>
      </c>
      <c r="D1207" s="65" t="str">
        <f>IFERROR(__xludf.DUMMYFUNCTION("""COMPUTED_VALUE"""),"31-01-2026")</f>
        <v>31-01-2026</v>
      </c>
      <c r="E1207" s="65" t="str">
        <f>IFERROR(__xludf.DUMMYFUNCTION("""COMPUTED_VALUE"""),"Diego Alvarado")</f>
        <v>Diego Alvarado</v>
      </c>
      <c r="F1207" s="65" t="str">
        <f>IFERROR(__xludf.DUMMYFUNCTION("""COMPUTED_VALUE"""),"984977989")</f>
        <v>984977989</v>
      </c>
      <c r="G1207" s="65" t="str">
        <f>IFERROR(__xludf.DUMMYFUNCTION("""COMPUTED_VALUE"""),"dafa1102@gmail.com")</f>
        <v>dafa1102@gmail.com</v>
      </c>
      <c r="H1207" s="65"/>
      <c r="I1207" s="65"/>
      <c r="J1207" s="65" t="str">
        <f>IFERROR(__xludf.DUMMYFUNCTION("""COMPUTED_VALUE"""),"D001288597")</f>
        <v>D001288597</v>
      </c>
      <c r="K1207" s="65" t="str">
        <f>IFERROR(__xludf.DUMMYFUNCTION("""COMPUTED_VALUE"""),"ENTREGADO")</f>
        <v>ENTREGADO</v>
      </c>
      <c r="L1207" s="65" t="str">
        <f>IFERROR(__xludf.DUMMYFUNCTION("""COMPUTED_VALUE"""),"CON RECAUDO")</f>
        <v>CON RECAUDO</v>
      </c>
      <c r="M1207" s="65" t="str">
        <f>IFERROR(__xludf.DUMMYFUNCTION("""COMPUTED_VALUE"""),"LOJA")</f>
        <v>LOJA</v>
      </c>
      <c r="N1207" s="65" t="str">
        <f>IFERROR(__xludf.DUMMYFUNCTION("""COMPUTED_VALUE"""),"LOJA")</f>
        <v>LOJA</v>
      </c>
      <c r="O1207" s="65" t="str">
        <f>IFERROR(__xludf.DUMMYFUNCTION("""COMPUTED_VALUE"""),"Calles.: Balsas y Santa Rosa Junto a Salón Mamá Lola por la calle Santa Rosa -")</f>
        <v>Calles.: Balsas y Santa Rosa Junto a Salón Mamá Lola por la calle Santa Rosa -</v>
      </c>
      <c r="P1207" s="65"/>
      <c r="Q1207" s="65" t="str">
        <f>IFERROR(__xludf.DUMMYFUNCTION("""COMPUTED_VALUE"""),"GINTRACOM")</f>
        <v>GINTRACOM</v>
      </c>
      <c r="R1207" s="65">
        <f>IFERROR(__xludf.DUMMYFUNCTION("""COMPUTED_VALUE"""),25.0)</f>
        <v>25</v>
      </c>
      <c r="S1207" s="65">
        <f>IFERROR(__xludf.DUMMYFUNCTION("""COMPUTED_VALUE"""),14.34)</f>
        <v>14.34</v>
      </c>
      <c r="T1207" s="65">
        <f>IFERROR(__xludf.DUMMYFUNCTION("""COMPUTED_VALUE"""),5.96)</f>
        <v>5.96</v>
      </c>
      <c r="U1207" s="65">
        <f>IFERROR(__xludf.DUMMYFUNCTION("""COMPUTED_VALUE"""),0.0)</f>
        <v>0</v>
      </c>
      <c r="V1207" s="65">
        <f>IFERROR(__xludf.DUMMYFUNCTION("""COMPUTED_VALUE"""),0.0)</f>
        <v>0</v>
      </c>
      <c r="W1207" s="65">
        <f>IFERROR(__xludf.DUMMYFUNCTION("""COMPUTED_VALUE"""),0.0)</f>
        <v>0</v>
      </c>
      <c r="X1207" s="65">
        <f>IFERROR(__xludf.DUMMYFUNCTION("""COMPUTED_VALUE"""),2.35)</f>
        <v>2.35</v>
      </c>
      <c r="Y1207" s="65">
        <f>IFERROR(__xludf.DUMMYFUNCTION("""COMPUTED_VALUE"""),4.7)</f>
        <v>4.7</v>
      </c>
      <c r="Z1207" s="65">
        <f>IFERROR(__xludf.DUMMYFUNCTION("""COMPUTED_VALUE"""),116679.0)</f>
        <v>116679</v>
      </c>
      <c r="AA1207" s="65" t="str">
        <f>IFERROR(__xludf.DUMMYFUNCTION("""COMPUTED_VALUE"""),"AMC-2738")</f>
        <v>AMC-2738</v>
      </c>
      <c r="AB1207" s="65"/>
      <c r="AC1207" s="65" t="str">
        <f>IFERROR(__xludf.DUMMYFUNCTION("""COMPUTED_VALUE"""),"ESPONJA ANTILLUVIA DE PARABRISAS")</f>
        <v>ESPONJA ANTILLUVIA DE PARABRISAS</v>
      </c>
      <c r="AD1207" s="65"/>
      <c r="AE1207" s="65">
        <f>IFERROR(__xludf.DUMMYFUNCTION("""COMPUTED_VALUE"""),2.0)</f>
        <v>2</v>
      </c>
      <c r="AF1207" s="65"/>
      <c r="AG1207" s="65"/>
      <c r="AH1207" s="65"/>
      <c r="AI1207" s="65"/>
      <c r="AJ1207" s="65"/>
      <c r="AK1207" s="65"/>
      <c r="AL1207" s="65"/>
      <c r="AM1207" s="65"/>
      <c r="AN1207" s="65" t="str">
        <f>IFERROR(__xludf.DUMMYFUNCTION("""COMPUTED_VALUE"""),"15:41")</f>
        <v>15:41</v>
      </c>
      <c r="AO1207" s="65" t="str">
        <f>IFERROR(__xludf.DUMMYFUNCTION("""COMPUTED_VALUE"""),"06-02-2026")</f>
        <v>06-02-2026</v>
      </c>
      <c r="AP1207" s="65" t="str">
        <f>IFERROR(__xludf.DUMMYFUNCTION("""COMPUTED_VALUE"""),"ENTREGADA GINTRACOM")</f>
        <v>ENTREGADA GINTRACOM</v>
      </c>
      <c r="AQ1207" s="65" t="str">
        <f>IFERROR(__xludf.DUMMYFUNCTION("""COMPUTED_VALUE"""),"ENTREGADA GINTRACOM")</f>
        <v>ENTREGADA GINTRACOM</v>
      </c>
      <c r="AR1207" s="65"/>
      <c r="AS1207" s="65"/>
      <c r="AT1207" s="65" t="str">
        <f>IFERROR(__xludf.DUMMYFUNCTION("""COMPUTED_VALUE"""),"SHOPIFY")</f>
        <v>SHOPIFY</v>
      </c>
      <c r="AU1207" s="65" t="str">
        <f>IFERROR(__xludf.DUMMYFUNCTION("""COMPUTED_VALUE"""),"IMPORTEX EC")</f>
        <v>IMPORTEX EC</v>
      </c>
      <c r="AV1207" s="65" t="str">
        <f>IFERROR(__xludf.DUMMYFUNCTION("""COMPUTED_VALUE"""),"6464811008044")</f>
        <v>6464811008044</v>
      </c>
      <c r="AW1207" s="65">
        <f>IFERROR(__xludf.DUMMYFUNCTION("""COMPUTED_VALUE"""),5693.0)</f>
        <v>5693</v>
      </c>
      <c r="AX1207" s="65"/>
      <c r="AY1207" s="65" t="str">
        <f>IFERROR(__xludf.DUMMYFUNCTION("""COMPUTED_VALUE"""),"02/02/2026")</f>
        <v>02/02/2026</v>
      </c>
      <c r="AZ1207" s="65"/>
      <c r="BA1207" s="65"/>
    </row>
    <row r="1208">
      <c r="A1208" s="65" t="str">
        <f>IFERROR(__xludf.DUMMYFUNCTION("""COMPUTED_VALUE"""),"27-03-2026")</f>
        <v>27-03-2026</v>
      </c>
      <c r="B1208" s="65">
        <f>IFERROR(__xludf.DUMMYFUNCTION("""COMPUTED_VALUE"""),4340118.0)</f>
        <v>4340118</v>
      </c>
      <c r="C1208" s="65" t="str">
        <f>IFERROR(__xludf.DUMMYFUNCTION("""COMPUTED_VALUE"""),"07:59")</f>
        <v>07:59</v>
      </c>
      <c r="D1208" s="65" t="str">
        <f>IFERROR(__xludf.DUMMYFUNCTION("""COMPUTED_VALUE"""),"31-01-2026")</f>
        <v>31-01-2026</v>
      </c>
      <c r="E1208" s="65" t="str">
        <f>IFERROR(__xludf.DUMMYFUNCTION("""COMPUTED_VALUE"""),"Silvano Suárez Murillo")</f>
        <v>Silvano Suárez Murillo</v>
      </c>
      <c r="F1208" s="65" t="str">
        <f>IFERROR(__xludf.DUMMYFUNCTION("""COMPUTED_VALUE"""),"967016900")</f>
        <v>967016900</v>
      </c>
      <c r="G1208" s="65" t="str">
        <f>IFERROR(__xludf.DUMMYFUNCTION("""COMPUTED_VALUE"""),"silvanosuarez9@gmail.com")</f>
        <v>silvanosuarez9@gmail.com</v>
      </c>
      <c r="H1208" s="65"/>
      <c r="I1208" s="65"/>
      <c r="J1208" s="65" t="str">
        <f>IFERROR(__xludf.DUMMYFUNCTION("""COMPUTED_VALUE"""),"186991786")</f>
        <v>186991786</v>
      </c>
      <c r="K1208" s="65" t="str">
        <f>IFERROR(__xludf.DUMMYFUNCTION("""COMPUTED_VALUE"""),"ENTREGADO")</f>
        <v>ENTREGADO</v>
      </c>
      <c r="L1208" s="65" t="str">
        <f>IFERROR(__xludf.DUMMYFUNCTION("""COMPUTED_VALUE"""),"CON RECAUDO")</f>
        <v>CON RECAUDO</v>
      </c>
      <c r="M1208" s="65" t="str">
        <f>IFERROR(__xludf.DUMMYFUNCTION("""COMPUTED_VALUE"""),"GUAYAS")</f>
        <v>GUAYAS</v>
      </c>
      <c r="N1208" s="65" t="str">
        <f>IFERROR(__xludf.DUMMYFUNCTION("""COMPUTED_VALUE"""),"CHONGON")</f>
        <v>CHONGON</v>
      </c>
      <c r="O1208" s="65" t="str">
        <f>IFERROR(__xludf.DUMMYFUNCTION("""COMPUTED_VALUE"""),"Vía a la costa Kilómetro 24 entrada a Chongon, parque san Gregorio")</f>
        <v>Vía a la costa Kilómetro 24 entrada a Chongon, parque san Gregorio</v>
      </c>
      <c r="P1208" s="65"/>
      <c r="Q1208" s="65" t="str">
        <f>IFERROR(__xludf.DUMMYFUNCTION("""COMPUTED_VALUE"""),"SERVIENTREGA")</f>
        <v>SERVIENTREGA</v>
      </c>
      <c r="R1208" s="65">
        <f>IFERROR(__xludf.DUMMYFUNCTION("""COMPUTED_VALUE"""),22.0)</f>
        <v>22</v>
      </c>
      <c r="S1208" s="65">
        <f>IFERROR(__xludf.DUMMYFUNCTION("""COMPUTED_VALUE"""),11.13)</f>
        <v>11.13</v>
      </c>
      <c r="T1208" s="65">
        <f>IFERROR(__xludf.DUMMYFUNCTION("""COMPUTED_VALUE"""),5.67)</f>
        <v>5.67</v>
      </c>
      <c r="U1208" s="65">
        <f>IFERROR(__xludf.DUMMYFUNCTION("""COMPUTED_VALUE"""),0.0)</f>
        <v>0</v>
      </c>
      <c r="V1208" s="65">
        <f>IFERROR(__xludf.DUMMYFUNCTION("""COMPUTED_VALUE"""),0.0)</f>
        <v>0</v>
      </c>
      <c r="W1208" s="65">
        <f>IFERROR(__xludf.DUMMYFUNCTION("""COMPUTED_VALUE"""),0.0)</f>
        <v>0</v>
      </c>
      <c r="X1208" s="65">
        <f>IFERROR(__xludf.DUMMYFUNCTION("""COMPUTED_VALUE"""),2.6)</f>
        <v>2.6</v>
      </c>
      <c r="Y1208" s="65">
        <f>IFERROR(__xludf.DUMMYFUNCTION("""COMPUTED_VALUE"""),5.2)</f>
        <v>5.2</v>
      </c>
      <c r="Z1208" s="65">
        <f>IFERROR(__xludf.DUMMYFUNCTION("""COMPUTED_VALUE"""),121983.0)</f>
        <v>121983</v>
      </c>
      <c r="AA1208" s="65" t="str">
        <f>IFERROR(__xludf.DUMMYFUNCTION("""COMPUTED_VALUE"""),"PROV-CHLLCF")</f>
        <v>PROV-CHLLCF</v>
      </c>
      <c r="AB1208" s="65"/>
      <c r="AC1208" s="65" t="str">
        <f>IFERROR(__xludf.DUMMYFUNCTION("""COMPUTED_VALUE"""),"CUCHILLO PARA CHEF")</f>
        <v>CUCHILLO PARA CHEF</v>
      </c>
      <c r="AD1208" s="65"/>
      <c r="AE1208" s="65">
        <f>IFERROR(__xludf.DUMMYFUNCTION("""COMPUTED_VALUE"""),2.0)</f>
        <v>2</v>
      </c>
      <c r="AF1208" s="65"/>
      <c r="AG1208" s="65"/>
      <c r="AH1208" s="65"/>
      <c r="AI1208" s="65"/>
      <c r="AJ1208" s="65"/>
      <c r="AK1208" s="65"/>
      <c r="AL1208" s="65"/>
      <c r="AM1208" s="65"/>
      <c r="AN1208" s="65" t="str">
        <f>IFERROR(__xludf.DUMMYFUNCTION("""COMPUTED_VALUE"""),"08:33")</f>
        <v>08:33</v>
      </c>
      <c r="AO1208" s="65" t="str">
        <f>IFERROR(__xludf.DUMMYFUNCTION("""COMPUTED_VALUE"""),"26-02-2026")</f>
        <v>26-02-2026</v>
      </c>
      <c r="AP1208" s="65" t="str">
        <f>IFERROR(__xludf.DUMMYFUNCTION("""COMPUTED_VALUE"""),"ENTREGA DIGITALIZADA EN CENTRO LOGISTICO")</f>
        <v>ENTREGA DIGITALIZADA EN CENTRO LOGISTICO</v>
      </c>
      <c r="AQ1208" s="65" t="str">
        <f>IFERROR(__xludf.DUMMYFUNCTION("""COMPUTED_VALUE"""),"SILVANO SUAREZ MURIL")</f>
        <v>SILVANO SUAREZ MURIL</v>
      </c>
      <c r="AR1208" s="65"/>
      <c r="AS1208" s="65"/>
      <c r="AT1208" s="65" t="str">
        <f>IFERROR(__xludf.DUMMYFUNCTION("""COMPUTED_VALUE"""),"SHOPIFY")</f>
        <v>SHOPIFY</v>
      </c>
      <c r="AU1208" s="65" t="str">
        <f>IFERROR(__xludf.DUMMYFUNCTION("""COMPUTED_VALUE"""),"IMPORTEX EC")</f>
        <v>IMPORTEX EC</v>
      </c>
      <c r="AV1208" s="65" t="str">
        <f>IFERROR(__xludf.DUMMYFUNCTION("""COMPUTED_VALUE"""),"6464719159340")</f>
        <v>6464719159340</v>
      </c>
      <c r="AW1208" s="65">
        <f>IFERROR(__xludf.DUMMYFUNCTION("""COMPUTED_VALUE"""),5691.0)</f>
        <v>5691</v>
      </c>
      <c r="AX1208" s="65"/>
      <c r="AY1208" s="65" t="str">
        <f>IFERROR(__xludf.DUMMYFUNCTION("""COMPUTED_VALUE"""),"02/02/2026")</f>
        <v>02/02/2026</v>
      </c>
      <c r="AZ1208" s="65"/>
      <c r="BA1208" s="65"/>
    </row>
    <row r="1209">
      <c r="A1209" s="65" t="str">
        <f>IFERROR(__xludf.DUMMYFUNCTION("""COMPUTED_VALUE"""),"27-03-2026")</f>
        <v>27-03-2026</v>
      </c>
      <c r="B1209" s="65">
        <f>IFERROR(__xludf.DUMMYFUNCTION("""COMPUTED_VALUE"""),4339929.0)</f>
        <v>4339929</v>
      </c>
      <c r="C1209" s="65" t="str">
        <f>IFERROR(__xludf.DUMMYFUNCTION("""COMPUTED_VALUE"""),"07:36")</f>
        <v>07:36</v>
      </c>
      <c r="D1209" s="65" t="str">
        <f>IFERROR(__xludf.DUMMYFUNCTION("""COMPUTED_VALUE"""),"31-01-2026")</f>
        <v>31-01-2026</v>
      </c>
      <c r="E1209" s="65" t="str">
        <f>IFERROR(__xludf.DUMMYFUNCTION("""COMPUTED_VALUE"""),"Jessica Alvarado")</f>
        <v>Jessica Alvarado</v>
      </c>
      <c r="F1209" s="65" t="str">
        <f>IFERROR(__xludf.DUMMYFUNCTION("""COMPUTED_VALUE"""),"996603471")</f>
        <v>996603471</v>
      </c>
      <c r="G1209" s="65" t="str">
        <f>IFERROR(__xludf.DUMMYFUNCTION("""COMPUTED_VALUE"""),"jessi-alvarado@hotmail.com")</f>
        <v>jessi-alvarado@hotmail.com</v>
      </c>
      <c r="H1209" s="65"/>
      <c r="I1209" s="65"/>
      <c r="J1209" s="65"/>
      <c r="K1209" s="65" t="str">
        <f>IFERROR(__xludf.DUMMYFUNCTION("""COMPUTED_VALUE"""),"CANCELADO")</f>
        <v>CANCELADO</v>
      </c>
      <c r="L1209" s="65" t="str">
        <f>IFERROR(__xludf.DUMMYFUNCTION("""COMPUTED_VALUE"""),"CON RECAUDO")</f>
        <v>CON RECAUDO</v>
      </c>
      <c r="M1209" s="65" t="str">
        <f>IFERROR(__xludf.DUMMYFUNCTION("""COMPUTED_VALUE"""),"CAÑAR")</f>
        <v>CAÑAR</v>
      </c>
      <c r="N1209" s="65" t="str">
        <f>IFERROR(__xludf.DUMMYFUNCTION("""COMPUTED_VALUE"""),"CAÑAR")</f>
        <v>CAÑAR</v>
      </c>
      <c r="O1209" s="65" t="str">
        <f>IFERROR(__xludf.DUMMYFUNCTION("""COMPUTED_VALUE"""),"Justiniano Crespo y Santa Rosa Casa esquinera amarilla -")</f>
        <v>Justiniano Crespo y Santa Rosa Casa esquinera amarilla -</v>
      </c>
      <c r="P1209" s="65"/>
      <c r="Q1209" s="65" t="str">
        <f>IFERROR(__xludf.DUMMYFUNCTION("""COMPUTED_VALUE"""),"GINTRACOM")</f>
        <v>GINTRACOM</v>
      </c>
      <c r="R1209" s="65">
        <f>IFERROR(__xludf.DUMMYFUNCTION("""COMPUTED_VALUE"""),25.0)</f>
        <v>25</v>
      </c>
      <c r="S1209" s="65"/>
      <c r="T1209" s="65">
        <f>IFERROR(__xludf.DUMMYFUNCTION("""COMPUTED_VALUE"""),5.96)</f>
        <v>5.96</v>
      </c>
      <c r="U1209" s="65">
        <f>IFERROR(__xludf.DUMMYFUNCTION("""COMPUTED_VALUE"""),0.0)</f>
        <v>0</v>
      </c>
      <c r="V1209" s="65">
        <f>IFERROR(__xludf.DUMMYFUNCTION("""COMPUTED_VALUE"""),0.0)</f>
        <v>0</v>
      </c>
      <c r="W1209" s="65">
        <f>IFERROR(__xludf.DUMMYFUNCTION("""COMPUTED_VALUE"""),0.0)</f>
        <v>0</v>
      </c>
      <c r="X1209" s="65">
        <f>IFERROR(__xludf.DUMMYFUNCTION("""COMPUTED_VALUE"""),2.35)</f>
        <v>2.35</v>
      </c>
      <c r="Y1209" s="65">
        <f>IFERROR(__xludf.DUMMYFUNCTION("""COMPUTED_VALUE"""),4.7)</f>
        <v>4.7</v>
      </c>
      <c r="Z1209" s="65">
        <f>IFERROR(__xludf.DUMMYFUNCTION("""COMPUTED_VALUE"""),116679.0)</f>
        <v>116679</v>
      </c>
      <c r="AA1209" s="65" t="str">
        <f>IFERROR(__xludf.DUMMYFUNCTION("""COMPUTED_VALUE"""),"AMC-2738")</f>
        <v>AMC-2738</v>
      </c>
      <c r="AB1209" s="65"/>
      <c r="AC1209" s="65" t="str">
        <f>IFERROR(__xludf.DUMMYFUNCTION("""COMPUTED_VALUE"""),"ESPONJA ANTILLUVIA DE PARABRISAS")</f>
        <v>ESPONJA ANTILLUVIA DE PARABRISAS</v>
      </c>
      <c r="AD1209" s="65"/>
      <c r="AE1209" s="65">
        <f>IFERROR(__xludf.DUMMYFUNCTION("""COMPUTED_VALUE"""),2.0)</f>
        <v>2</v>
      </c>
      <c r="AF1209" s="65"/>
      <c r="AG1209" s="65"/>
      <c r="AH1209" s="65"/>
      <c r="AI1209" s="65"/>
      <c r="AJ1209" s="65"/>
      <c r="AK1209" s="65"/>
      <c r="AL1209" s="65"/>
      <c r="AM1209" s="65"/>
      <c r="AN1209" s="65"/>
      <c r="AO1209" s="65"/>
      <c r="AP1209" s="65"/>
      <c r="AQ1209" s="65"/>
      <c r="AR1209" s="65"/>
      <c r="AS1209" s="65"/>
      <c r="AT1209" s="65" t="str">
        <f>IFERROR(__xludf.DUMMYFUNCTION("""COMPUTED_VALUE"""),"SHOPIFY")</f>
        <v>SHOPIFY</v>
      </c>
      <c r="AU1209" s="65" t="str">
        <f>IFERROR(__xludf.DUMMYFUNCTION("""COMPUTED_VALUE"""),"IMPORTEX EC")</f>
        <v>IMPORTEX EC</v>
      </c>
      <c r="AV1209" s="65" t="str">
        <f>IFERROR(__xludf.DUMMYFUNCTION("""COMPUTED_VALUE"""),"6464693141548")</f>
        <v>6464693141548</v>
      </c>
      <c r="AW1209" s="65">
        <f>IFERROR(__xludf.DUMMYFUNCTION("""COMPUTED_VALUE"""),5690.0)</f>
        <v>5690</v>
      </c>
      <c r="AX1209" s="65"/>
      <c r="AY1209" s="65"/>
      <c r="AZ1209" s="65"/>
      <c r="BA1209" s="65"/>
    </row>
    <row r="1210">
      <c r="A1210" s="65" t="str">
        <f>IFERROR(__xludf.DUMMYFUNCTION("""COMPUTED_VALUE"""),"27-03-2026")</f>
        <v>27-03-2026</v>
      </c>
      <c r="B1210" s="65">
        <f>IFERROR(__xludf.DUMMYFUNCTION("""COMPUTED_VALUE"""),4339845.0)</f>
        <v>4339845</v>
      </c>
      <c r="C1210" s="65" t="str">
        <f>IFERROR(__xludf.DUMMYFUNCTION("""COMPUTED_VALUE"""),"07:28")</f>
        <v>07:28</v>
      </c>
      <c r="D1210" s="65" t="str">
        <f>IFERROR(__xludf.DUMMYFUNCTION("""COMPUTED_VALUE"""),"31-01-2026")</f>
        <v>31-01-2026</v>
      </c>
      <c r="E1210" s="65" t="str">
        <f>IFERROR(__xludf.DUMMYFUNCTION("""COMPUTED_VALUE"""),"Juan Freire")</f>
        <v>Juan Freire</v>
      </c>
      <c r="F1210" s="65" t="str">
        <f>IFERROR(__xludf.DUMMYFUNCTION("""COMPUTED_VALUE"""),"987688552")</f>
        <v>987688552</v>
      </c>
      <c r="G1210" s="65" t="str">
        <f>IFERROR(__xludf.DUMMYFUNCTION("""COMPUTED_VALUE"""),"juanka_freile@hotmil.com")</f>
        <v>juanka_freile@hotmil.com</v>
      </c>
      <c r="H1210" s="65"/>
      <c r="I1210" s="65"/>
      <c r="J1210" s="65" t="str">
        <f>IFERROR(__xludf.DUMMYFUNCTION("""COMPUTED_VALUE"""),"D001288599")</f>
        <v>D001288599</v>
      </c>
      <c r="K1210" s="65" t="str">
        <f>IFERROR(__xludf.DUMMYFUNCTION("""COMPUTED_VALUE"""),"DEVOLUCION")</f>
        <v>DEVOLUCION</v>
      </c>
      <c r="L1210" s="65" t="str">
        <f>IFERROR(__xludf.DUMMYFUNCTION("""COMPUTED_VALUE"""),"CON RECAUDO")</f>
        <v>CON RECAUDO</v>
      </c>
      <c r="M1210" s="65" t="str">
        <f>IFERROR(__xludf.DUMMYFUNCTION("""COMPUTED_VALUE"""),"PICHINCHA")</f>
        <v>PICHINCHA</v>
      </c>
      <c r="N1210" s="65" t="str">
        <f>IFERROR(__xludf.DUMMYFUNCTION("""COMPUTED_VALUE"""),"QUITO")</f>
        <v>QUITO</v>
      </c>
      <c r="O1210" s="65" t="str">
        <f>IFERROR(__xludf.DUMMYFUNCTION("""COMPUTED_VALUE"""),"Eloy Alfaro y madreselvas San Isidro del inca -")</f>
        <v>Eloy Alfaro y madreselvas San Isidro del inca -</v>
      </c>
      <c r="P1210" s="65"/>
      <c r="Q1210" s="65" t="str">
        <f>IFERROR(__xludf.DUMMYFUNCTION("""COMPUTED_VALUE"""),"GINTRACOM")</f>
        <v>GINTRACOM</v>
      </c>
      <c r="R1210" s="65">
        <f>IFERROR(__xludf.DUMMYFUNCTION("""COMPUTED_VALUE"""),20.0)</f>
        <v>20</v>
      </c>
      <c r="S1210" s="65"/>
      <c r="T1210" s="65">
        <f>IFERROR(__xludf.DUMMYFUNCTION("""COMPUTED_VALUE"""),4.15)</f>
        <v>4.15</v>
      </c>
      <c r="U1210" s="65">
        <f>IFERROR(__xludf.DUMMYFUNCTION("""COMPUTED_VALUE"""),0.0)</f>
        <v>0</v>
      </c>
      <c r="V1210" s="65">
        <f>IFERROR(__xludf.DUMMYFUNCTION("""COMPUTED_VALUE"""),0.0)</f>
        <v>0</v>
      </c>
      <c r="W1210" s="65">
        <f>IFERROR(__xludf.DUMMYFUNCTION("""COMPUTED_VALUE"""),0.0)</f>
        <v>0</v>
      </c>
      <c r="X1210" s="65">
        <f>IFERROR(__xludf.DUMMYFUNCTION("""COMPUTED_VALUE"""),2.35)</f>
        <v>2.35</v>
      </c>
      <c r="Y1210" s="65">
        <f>IFERROR(__xludf.DUMMYFUNCTION("""COMPUTED_VALUE"""),2.35)</f>
        <v>2.35</v>
      </c>
      <c r="Z1210" s="65">
        <f>IFERROR(__xludf.DUMMYFUNCTION("""COMPUTED_VALUE"""),116679.0)</f>
        <v>116679</v>
      </c>
      <c r="AA1210" s="65" t="str">
        <f>IFERROR(__xludf.DUMMYFUNCTION("""COMPUTED_VALUE"""),"AMC-2738")</f>
        <v>AMC-2738</v>
      </c>
      <c r="AB1210" s="65"/>
      <c r="AC1210" s="65" t="str">
        <f>IFERROR(__xludf.DUMMYFUNCTION("""COMPUTED_VALUE"""),"ESPONJA ANTILLUVIA DE PARABRISAS")</f>
        <v>ESPONJA ANTILLUVIA DE PARABRISAS</v>
      </c>
      <c r="AD1210" s="65"/>
      <c r="AE1210" s="65">
        <f>IFERROR(__xludf.DUMMYFUNCTION("""COMPUTED_VALUE"""),1.0)</f>
        <v>1</v>
      </c>
      <c r="AF1210" s="65" t="str">
        <f>IFERROR(__xludf.DUMMYFUNCTION("""COMPUTED_VALUE"""),"DESTINATARIO NO CONTESTA LLAMADAS NI WHATSAPP")</f>
        <v>DESTINATARIO NO CONTESTA LLAMADAS NI WHATSAPP</v>
      </c>
      <c r="AG1210" s="65" t="str">
        <f>IFERROR(__xludf.DUMMYFUNCTION("""COMPUTED_VALUE"""),"NO")</f>
        <v>NO</v>
      </c>
      <c r="AH1210" s="65" t="str">
        <f>IFERROR(__xludf.DUMMYFUNCTION("""COMPUTED_VALUE"""),"09:00")</f>
        <v>09:00</v>
      </c>
      <c r="AI1210" s="65" t="str">
        <f>IFERROR(__xludf.DUMMYFUNCTION("""COMPUTED_VALUE"""),"14-02-2026")</f>
        <v>14-02-2026</v>
      </c>
      <c r="AJ1210" s="65"/>
      <c r="AK1210" s="65"/>
      <c r="AL1210" s="65"/>
      <c r="AM1210" s="65"/>
      <c r="AN1210" s="65" t="str">
        <f>IFERROR(__xludf.DUMMYFUNCTION("""COMPUTED_VALUE"""),"22:07")</f>
        <v>22:07</v>
      </c>
      <c r="AO1210" s="65" t="str">
        <f>IFERROR(__xludf.DUMMYFUNCTION("""COMPUTED_VALUE"""),"02-03-2026")</f>
        <v>02-03-2026</v>
      </c>
      <c r="AP1210" s="65" t="str">
        <f>IFERROR(__xludf.DUMMYFUNCTION("""COMPUTED_VALUE"""),"DEVOLUCIÓN ENTREGADA A ORIGEN")</f>
        <v>DEVOLUCIÓN ENTREGADA A ORIGEN</v>
      </c>
      <c r="AQ1210" s="65" t="str">
        <f>IFERROR(__xludf.DUMMYFUNCTION("""COMPUTED_VALUE"""),"DEVOLUCIÓN ENTREGADA A ORIGEN")</f>
        <v>DEVOLUCIÓN ENTREGADA A ORIGEN</v>
      </c>
      <c r="AR1210" s="65"/>
      <c r="AS1210" s="65"/>
      <c r="AT1210" s="65" t="str">
        <f>IFERROR(__xludf.DUMMYFUNCTION("""COMPUTED_VALUE"""),"SHOPIFY")</f>
        <v>SHOPIFY</v>
      </c>
      <c r="AU1210" s="65" t="str">
        <f>IFERROR(__xludf.DUMMYFUNCTION("""COMPUTED_VALUE"""),"IMPORTEX EC")</f>
        <v>IMPORTEX EC</v>
      </c>
      <c r="AV1210" s="65" t="str">
        <f>IFERROR(__xludf.DUMMYFUNCTION("""COMPUTED_VALUE"""),"6464686260268")</f>
        <v>6464686260268</v>
      </c>
      <c r="AW1210" s="65">
        <f>IFERROR(__xludf.DUMMYFUNCTION("""COMPUTED_VALUE"""),5689.0)</f>
        <v>5689</v>
      </c>
      <c r="AX1210" s="65"/>
      <c r="AY1210" s="65" t="str">
        <f>IFERROR(__xludf.DUMMYFUNCTION("""COMPUTED_VALUE"""),"02/02/2026")</f>
        <v>02/02/2026</v>
      </c>
      <c r="AZ1210" s="65"/>
      <c r="BA1210" s="65"/>
    </row>
    <row r="1211">
      <c r="A1211" s="65" t="str">
        <f>IFERROR(__xludf.DUMMYFUNCTION("""COMPUTED_VALUE"""),"27-03-2026")</f>
        <v>27-03-2026</v>
      </c>
      <c r="B1211" s="65">
        <f>IFERROR(__xludf.DUMMYFUNCTION("""COMPUTED_VALUE"""),4339836.0)</f>
        <v>4339836</v>
      </c>
      <c r="C1211" s="65" t="str">
        <f>IFERROR(__xludf.DUMMYFUNCTION("""COMPUTED_VALUE"""),"07:27")</f>
        <v>07:27</v>
      </c>
      <c r="D1211" s="65" t="str">
        <f>IFERROR(__xludf.DUMMYFUNCTION("""COMPUTED_VALUE"""),"31-01-2026")</f>
        <v>31-01-2026</v>
      </c>
      <c r="E1211" s="65" t="str">
        <f>IFERROR(__xludf.DUMMYFUNCTION("""COMPUTED_VALUE"""),"Angel Muzo")</f>
        <v>Angel Muzo</v>
      </c>
      <c r="F1211" s="65" t="str">
        <f>IFERROR(__xludf.DUMMYFUNCTION("""COMPUTED_VALUE"""),"987415094")</f>
        <v>987415094</v>
      </c>
      <c r="G1211" s="65" t="str">
        <f>IFERROR(__xludf.DUMMYFUNCTION("""COMPUTED_VALUE"""),"angelmmq89@gmail.com")</f>
        <v>angelmmq89@gmail.com</v>
      </c>
      <c r="H1211" s="65"/>
      <c r="I1211" s="65"/>
      <c r="J1211" s="65"/>
      <c r="K1211" s="65" t="str">
        <f>IFERROR(__xludf.DUMMYFUNCTION("""COMPUTED_VALUE"""),"PENDIENTE CONFIRMACION")</f>
        <v>PENDIENTE CONFIRMACION</v>
      </c>
      <c r="L1211" s="65" t="str">
        <f>IFERROR(__xludf.DUMMYFUNCTION("""COMPUTED_VALUE"""),"CON RECAUDO")</f>
        <v>CON RECAUDO</v>
      </c>
      <c r="M1211" s="65" t="str">
        <f>IFERROR(__xludf.DUMMYFUNCTION("""COMPUTED_VALUE"""),"PICHINCHA")</f>
        <v>PICHINCHA</v>
      </c>
      <c r="N1211" s="65" t="str">
        <f>IFERROR(__xludf.DUMMYFUNCTION("""COMPUTED_VALUE"""),"QUITO")</f>
        <v>QUITO</v>
      </c>
      <c r="O1211" s="65" t="str">
        <f>IFERROR(__xludf.DUMMYFUNCTION("""COMPUTED_VALUE"""),"San Francisco de Rumiurcu Roldos -")</f>
        <v>San Francisco de Rumiurcu Roldos -</v>
      </c>
      <c r="P1211" s="65"/>
      <c r="Q1211" s="65" t="str">
        <f>IFERROR(__xludf.DUMMYFUNCTION("""COMPUTED_VALUE"""),"GINTRACOM")</f>
        <v>GINTRACOM</v>
      </c>
      <c r="R1211" s="65">
        <f>IFERROR(__xludf.DUMMYFUNCTION("""COMPUTED_VALUE"""),30.0)</f>
        <v>30</v>
      </c>
      <c r="S1211" s="65"/>
      <c r="T1211" s="65">
        <f>IFERROR(__xludf.DUMMYFUNCTION("""COMPUTED_VALUE"""),4.55)</f>
        <v>4.55</v>
      </c>
      <c r="U1211" s="65">
        <f>IFERROR(__xludf.DUMMYFUNCTION("""COMPUTED_VALUE"""),0.0)</f>
        <v>0</v>
      </c>
      <c r="V1211" s="65">
        <f>IFERROR(__xludf.DUMMYFUNCTION("""COMPUTED_VALUE"""),0.0)</f>
        <v>0</v>
      </c>
      <c r="W1211" s="65">
        <f>IFERROR(__xludf.DUMMYFUNCTION("""COMPUTED_VALUE"""),0.0)</f>
        <v>0</v>
      </c>
      <c r="X1211" s="65">
        <f>IFERROR(__xludf.DUMMYFUNCTION("""COMPUTED_VALUE"""),2.35)</f>
        <v>2.35</v>
      </c>
      <c r="Y1211" s="65">
        <f>IFERROR(__xludf.DUMMYFUNCTION("""COMPUTED_VALUE"""),7.05)</f>
        <v>7.05</v>
      </c>
      <c r="Z1211" s="65">
        <f>IFERROR(__xludf.DUMMYFUNCTION("""COMPUTED_VALUE"""),116679.0)</f>
        <v>116679</v>
      </c>
      <c r="AA1211" s="65" t="str">
        <f>IFERROR(__xludf.DUMMYFUNCTION("""COMPUTED_VALUE"""),"AMC-2738")</f>
        <v>AMC-2738</v>
      </c>
      <c r="AB1211" s="65"/>
      <c r="AC1211" s="65" t="str">
        <f>IFERROR(__xludf.DUMMYFUNCTION("""COMPUTED_VALUE"""),"ESPONJA ANTILLUVIA DE PARABRISAS")</f>
        <v>ESPONJA ANTILLUVIA DE PARABRISAS</v>
      </c>
      <c r="AD1211" s="65"/>
      <c r="AE1211" s="65">
        <f>IFERROR(__xludf.DUMMYFUNCTION("""COMPUTED_VALUE"""),3.0)</f>
        <v>3</v>
      </c>
      <c r="AF1211" s="65"/>
      <c r="AG1211" s="65"/>
      <c r="AH1211" s="65"/>
      <c r="AI1211" s="65"/>
      <c r="AJ1211" s="65"/>
      <c r="AK1211" s="65"/>
      <c r="AL1211" s="65"/>
      <c r="AM1211" s="65"/>
      <c r="AN1211" s="65"/>
      <c r="AO1211" s="65"/>
      <c r="AP1211" s="65"/>
      <c r="AQ1211" s="65"/>
      <c r="AR1211" s="65"/>
      <c r="AS1211" s="65"/>
      <c r="AT1211" s="65" t="str">
        <f>IFERROR(__xludf.DUMMYFUNCTION("""COMPUTED_VALUE"""),"SHOPIFY")</f>
        <v>SHOPIFY</v>
      </c>
      <c r="AU1211" s="65" t="str">
        <f>IFERROR(__xludf.DUMMYFUNCTION("""COMPUTED_VALUE"""),"IMPORTEX EC")</f>
        <v>IMPORTEX EC</v>
      </c>
      <c r="AV1211" s="65" t="str">
        <f>IFERROR(__xludf.DUMMYFUNCTION("""COMPUTED_VALUE"""),"6464685080620")</f>
        <v>6464685080620</v>
      </c>
      <c r="AW1211" s="65">
        <f>IFERROR(__xludf.DUMMYFUNCTION("""COMPUTED_VALUE"""),5688.0)</f>
        <v>5688</v>
      </c>
      <c r="AX1211" s="65"/>
      <c r="AY1211" s="65"/>
      <c r="AZ1211" s="65"/>
      <c r="BA1211" s="65"/>
    </row>
    <row r="1212">
      <c r="A1212" s="65" t="str">
        <f>IFERROR(__xludf.DUMMYFUNCTION("""COMPUTED_VALUE"""),"27-03-2026")</f>
        <v>27-03-2026</v>
      </c>
      <c r="B1212" s="65">
        <f>IFERROR(__xludf.DUMMYFUNCTION("""COMPUTED_VALUE"""),4339702.0)</f>
        <v>4339702</v>
      </c>
      <c r="C1212" s="65" t="str">
        <f>IFERROR(__xludf.DUMMYFUNCTION("""COMPUTED_VALUE"""),"07:16")</f>
        <v>07:16</v>
      </c>
      <c r="D1212" s="65" t="str">
        <f>IFERROR(__xludf.DUMMYFUNCTION("""COMPUTED_VALUE"""),"31-01-2026")</f>
        <v>31-01-2026</v>
      </c>
      <c r="E1212" s="65" t="str">
        <f>IFERROR(__xludf.DUMMYFUNCTION("""COMPUTED_VALUE"""),"Leodan Vivas Narvaez")</f>
        <v>Leodan Vivas Narvaez</v>
      </c>
      <c r="F1212" s="65" t="str">
        <f>IFERROR(__xludf.DUMMYFUNCTION("""COMPUTED_VALUE"""),"998962775")</f>
        <v>998962775</v>
      </c>
      <c r="G1212" s="65" t="str">
        <f>IFERROR(__xludf.DUMMYFUNCTION("""COMPUTED_VALUE"""),"leofvivas@yahoo.es")</f>
        <v>leofvivas@yahoo.es</v>
      </c>
      <c r="H1212" s="65"/>
      <c r="I1212" s="65"/>
      <c r="J1212" s="65" t="str">
        <f>IFERROR(__xludf.DUMMYFUNCTION("""COMPUTED_VALUE"""),"D001288600")</f>
        <v>D001288600</v>
      </c>
      <c r="K1212" s="65" t="str">
        <f>IFERROR(__xludf.DUMMYFUNCTION("""COMPUTED_VALUE"""),"ENTREGADO")</f>
        <v>ENTREGADO</v>
      </c>
      <c r="L1212" s="65" t="str">
        <f>IFERROR(__xludf.DUMMYFUNCTION("""COMPUTED_VALUE"""),"CON RECAUDO")</f>
        <v>CON RECAUDO</v>
      </c>
      <c r="M1212" s="65" t="str">
        <f>IFERROR(__xludf.DUMMYFUNCTION("""COMPUTED_VALUE"""),"PICHINCHA")</f>
        <v>PICHINCHA</v>
      </c>
      <c r="N1212" s="65" t="str">
        <f>IFERROR(__xludf.DUMMYFUNCTION("""COMPUTED_VALUE"""),"QUITO")</f>
        <v>QUITO</v>
      </c>
      <c r="O1212" s="65" t="str">
        <f>IFERROR(__xludf.DUMMYFUNCTION("""COMPUTED_VALUE"""),"Calle oe3e y s45c casa s44-173 barrio el Ejército sector Quitumbe a dos cuadra de la iglesia católica el ejército")</f>
        <v>Calle oe3e y s45c casa s44-173 barrio el Ejército sector Quitumbe a dos cuadra de la iglesia católica el ejército</v>
      </c>
      <c r="P1212" s="65"/>
      <c r="Q1212" s="65" t="str">
        <f>IFERROR(__xludf.DUMMYFUNCTION("""COMPUTED_VALUE"""),"GINTRACOM")</f>
        <v>GINTRACOM</v>
      </c>
      <c r="R1212" s="65">
        <f>IFERROR(__xludf.DUMMYFUNCTION("""COMPUTED_VALUE"""),30.0)</f>
        <v>30</v>
      </c>
      <c r="S1212" s="65">
        <f>IFERROR(__xludf.DUMMYFUNCTION("""COMPUTED_VALUE"""),18.4)</f>
        <v>18.4</v>
      </c>
      <c r="T1212" s="65">
        <f>IFERROR(__xludf.DUMMYFUNCTION("""COMPUTED_VALUE"""),4.55)</f>
        <v>4.55</v>
      </c>
      <c r="U1212" s="65">
        <f>IFERROR(__xludf.DUMMYFUNCTION("""COMPUTED_VALUE"""),0.0)</f>
        <v>0</v>
      </c>
      <c r="V1212" s="65">
        <f>IFERROR(__xludf.DUMMYFUNCTION("""COMPUTED_VALUE"""),0.0)</f>
        <v>0</v>
      </c>
      <c r="W1212" s="65">
        <f>IFERROR(__xludf.DUMMYFUNCTION("""COMPUTED_VALUE"""),0.0)</f>
        <v>0</v>
      </c>
      <c r="X1212" s="65">
        <f>IFERROR(__xludf.DUMMYFUNCTION("""COMPUTED_VALUE"""),2.35)</f>
        <v>2.35</v>
      </c>
      <c r="Y1212" s="65">
        <f>IFERROR(__xludf.DUMMYFUNCTION("""COMPUTED_VALUE"""),7.05)</f>
        <v>7.05</v>
      </c>
      <c r="Z1212" s="65">
        <f>IFERROR(__xludf.DUMMYFUNCTION("""COMPUTED_VALUE"""),116679.0)</f>
        <v>116679</v>
      </c>
      <c r="AA1212" s="65" t="str">
        <f>IFERROR(__xludf.DUMMYFUNCTION("""COMPUTED_VALUE"""),"AMC-2738")</f>
        <v>AMC-2738</v>
      </c>
      <c r="AB1212" s="65"/>
      <c r="AC1212" s="65" t="str">
        <f>IFERROR(__xludf.DUMMYFUNCTION("""COMPUTED_VALUE"""),"ESPONJA ANTILLUVIA DE PARABRISAS")</f>
        <v>ESPONJA ANTILLUVIA DE PARABRISAS</v>
      </c>
      <c r="AD1212" s="65"/>
      <c r="AE1212" s="65">
        <f>IFERROR(__xludf.DUMMYFUNCTION("""COMPUTED_VALUE"""),3.0)</f>
        <v>3</v>
      </c>
      <c r="AF1212" s="65" t="str">
        <f>IFERROR(__xludf.DUMMYFUNCTION("""COMPUTED_VALUE"""),"DESTINATARIO INDICA QUE SE ENCUENTRA FUERA DE LA CIUDAD")</f>
        <v>DESTINATARIO INDICA QUE SE ENCUENTRA FUERA DE LA CIUDAD</v>
      </c>
      <c r="AG1212" s="65" t="str">
        <f>IFERROR(__xludf.DUMMYFUNCTION("""COMPUTED_VALUE"""),"SI")</f>
        <v>SI</v>
      </c>
      <c r="AH1212" s="65" t="str">
        <f>IFERROR(__xludf.DUMMYFUNCTION("""COMPUTED_VALUE"""),"13:13")</f>
        <v>13:13</v>
      </c>
      <c r="AI1212" s="65" t="str">
        <f>IFERROR(__xludf.DUMMYFUNCTION("""COMPUTED_VALUE"""),"06-02-2026")</f>
        <v>06-02-2026</v>
      </c>
      <c r="AJ1212" s="65"/>
      <c r="AK1212" s="65"/>
      <c r="AL1212" s="65"/>
      <c r="AM1212" s="65"/>
      <c r="AN1212" s="65" t="str">
        <f>IFERROR(__xludf.DUMMYFUNCTION("""COMPUTED_VALUE"""),"09:16")</f>
        <v>09:16</v>
      </c>
      <c r="AO1212" s="65" t="str">
        <f>IFERROR(__xludf.DUMMYFUNCTION("""COMPUTED_VALUE"""),"11-02-2026")</f>
        <v>11-02-2026</v>
      </c>
      <c r="AP1212" s="65" t="str">
        <f>IFERROR(__xludf.DUMMYFUNCTION("""COMPUTED_VALUE"""),"EN REPARTO")</f>
        <v>EN REPARTO</v>
      </c>
      <c r="AQ1212" s="65" t="str">
        <f>IFERROR(__xludf.DUMMYFUNCTION("""COMPUTED_VALUE"""),"EN REPARTO")</f>
        <v>EN REPARTO</v>
      </c>
      <c r="AR1212" s="65"/>
      <c r="AS1212" s="65"/>
      <c r="AT1212" s="65" t="str">
        <f>IFERROR(__xludf.DUMMYFUNCTION("""COMPUTED_VALUE"""),"SHOPIFY")</f>
        <v>SHOPIFY</v>
      </c>
      <c r="AU1212" s="65" t="str">
        <f>IFERROR(__xludf.DUMMYFUNCTION("""COMPUTED_VALUE"""),"IMPORTEX EC")</f>
        <v>IMPORTEX EC</v>
      </c>
      <c r="AV1212" s="65" t="str">
        <f>IFERROR(__xludf.DUMMYFUNCTION("""COMPUTED_VALUE"""),"6464677314604")</f>
        <v>6464677314604</v>
      </c>
      <c r="AW1212" s="65">
        <f>IFERROR(__xludf.DUMMYFUNCTION("""COMPUTED_VALUE"""),5687.0)</f>
        <v>5687</v>
      </c>
      <c r="AX1212" s="65"/>
      <c r="AY1212" s="65" t="str">
        <f>IFERROR(__xludf.DUMMYFUNCTION("""COMPUTED_VALUE"""),"02/02/2026")</f>
        <v>02/02/2026</v>
      </c>
      <c r="AZ1212" s="65"/>
      <c r="BA1212" s="65"/>
    </row>
    <row r="1213">
      <c r="A1213" s="65" t="str">
        <f>IFERROR(__xludf.DUMMYFUNCTION("""COMPUTED_VALUE"""),"27-03-2026")</f>
        <v>27-03-2026</v>
      </c>
      <c r="B1213" s="65">
        <f>IFERROR(__xludf.DUMMYFUNCTION("""COMPUTED_VALUE"""),4339599.0)</f>
        <v>4339599</v>
      </c>
      <c r="C1213" s="65" t="str">
        <f>IFERROR(__xludf.DUMMYFUNCTION("""COMPUTED_VALUE"""),"07:00")</f>
        <v>07:00</v>
      </c>
      <c r="D1213" s="65" t="str">
        <f>IFERROR(__xludf.DUMMYFUNCTION("""COMPUTED_VALUE"""),"31-01-2026")</f>
        <v>31-01-2026</v>
      </c>
      <c r="E1213" s="65" t="str">
        <f>IFERROR(__xludf.DUMMYFUNCTION("""COMPUTED_VALUE"""),"Bernandino Ollaban")</f>
        <v>Bernandino Ollaban</v>
      </c>
      <c r="F1213" s="65" t="str">
        <f>IFERROR(__xludf.DUMMYFUNCTION("""COMPUTED_VALUE"""),"939079724")</f>
        <v>939079724</v>
      </c>
      <c r="G1213" s="65" t="str">
        <f>IFERROR(__xludf.DUMMYFUNCTION("""COMPUTED_VALUE"""),"bernandino.ollaban@gmail.com")</f>
        <v>bernandino.ollaban@gmail.com</v>
      </c>
      <c r="H1213" s="65"/>
      <c r="I1213" s="65"/>
      <c r="J1213" s="65" t="str">
        <f>IFERROR(__xludf.DUMMYFUNCTION("""COMPUTED_VALUE"""),"D001288601")</f>
        <v>D001288601</v>
      </c>
      <c r="K1213" s="65" t="str">
        <f>IFERROR(__xludf.DUMMYFUNCTION("""COMPUTED_VALUE"""),"ENTREGADO")</f>
        <v>ENTREGADO</v>
      </c>
      <c r="L1213" s="65" t="str">
        <f>IFERROR(__xludf.DUMMYFUNCTION("""COMPUTED_VALUE"""),"CON RECAUDO")</f>
        <v>CON RECAUDO</v>
      </c>
      <c r="M1213" s="65" t="str">
        <f>IFERROR(__xludf.DUMMYFUNCTION("""COMPUTED_VALUE"""),"GUAYAS")</f>
        <v>GUAYAS</v>
      </c>
      <c r="N1213" s="65" t="str">
        <f>IFERROR(__xludf.DUMMYFUNCTION("""COMPUTED_VALUE"""),"DAULE")</f>
        <v>DAULE</v>
      </c>
      <c r="O1213" s="65" t="str">
        <f>IFERROR(__xludf.DUMMYFUNCTION("""COMPUTED_VALUE"""),"Via Salitre A lado dEL MC donald, -Urbabización bonaterra, mz5 villa 9.")</f>
        <v>Via Salitre A lado dEL MC donald, -Urbabización bonaterra, mz5 villa 9.</v>
      </c>
      <c r="P1213" s="65"/>
      <c r="Q1213" s="65" t="str">
        <f>IFERROR(__xludf.DUMMYFUNCTION("""COMPUTED_VALUE"""),"GINTRACOM")</f>
        <v>GINTRACOM</v>
      </c>
      <c r="R1213" s="65">
        <f>IFERROR(__xludf.DUMMYFUNCTION("""COMPUTED_VALUE"""),30.0)</f>
        <v>30</v>
      </c>
      <c r="S1213" s="65">
        <f>IFERROR(__xludf.DUMMYFUNCTION("""COMPUTED_VALUE"""),16.79)</f>
        <v>16.79</v>
      </c>
      <c r="T1213" s="65">
        <f>IFERROR(__xludf.DUMMYFUNCTION("""COMPUTED_VALUE"""),6.16)</f>
        <v>6.16</v>
      </c>
      <c r="U1213" s="65">
        <f>IFERROR(__xludf.DUMMYFUNCTION("""COMPUTED_VALUE"""),0.0)</f>
        <v>0</v>
      </c>
      <c r="V1213" s="65">
        <f>IFERROR(__xludf.DUMMYFUNCTION("""COMPUTED_VALUE"""),0.0)</f>
        <v>0</v>
      </c>
      <c r="W1213" s="65">
        <f>IFERROR(__xludf.DUMMYFUNCTION("""COMPUTED_VALUE"""),0.0)</f>
        <v>0</v>
      </c>
      <c r="X1213" s="65">
        <f>IFERROR(__xludf.DUMMYFUNCTION("""COMPUTED_VALUE"""),2.35)</f>
        <v>2.35</v>
      </c>
      <c r="Y1213" s="65">
        <f>IFERROR(__xludf.DUMMYFUNCTION("""COMPUTED_VALUE"""),7.05)</f>
        <v>7.05</v>
      </c>
      <c r="Z1213" s="65">
        <f>IFERROR(__xludf.DUMMYFUNCTION("""COMPUTED_VALUE"""),116679.0)</f>
        <v>116679</v>
      </c>
      <c r="AA1213" s="65" t="str">
        <f>IFERROR(__xludf.DUMMYFUNCTION("""COMPUTED_VALUE"""),"AMC-2738")</f>
        <v>AMC-2738</v>
      </c>
      <c r="AB1213" s="65"/>
      <c r="AC1213" s="65" t="str">
        <f>IFERROR(__xludf.DUMMYFUNCTION("""COMPUTED_VALUE"""),"ESPONJA ANTILLUVIA DE PARABRISAS")</f>
        <v>ESPONJA ANTILLUVIA DE PARABRISAS</v>
      </c>
      <c r="AD1213" s="65"/>
      <c r="AE1213" s="65">
        <f>IFERROR(__xludf.DUMMYFUNCTION("""COMPUTED_VALUE"""),3.0)</f>
        <v>3</v>
      </c>
      <c r="AF1213" s="65"/>
      <c r="AG1213" s="65"/>
      <c r="AH1213" s="65"/>
      <c r="AI1213" s="65"/>
      <c r="AJ1213" s="65"/>
      <c r="AK1213" s="65"/>
      <c r="AL1213" s="65"/>
      <c r="AM1213" s="65"/>
      <c r="AN1213" s="65" t="str">
        <f>IFERROR(__xludf.DUMMYFUNCTION("""COMPUTED_VALUE"""),"09:33")</f>
        <v>09:33</v>
      </c>
      <c r="AO1213" s="65" t="str">
        <f>IFERROR(__xludf.DUMMYFUNCTION("""COMPUTED_VALUE"""),"07-02-2026")</f>
        <v>07-02-2026</v>
      </c>
      <c r="AP1213" s="65" t="str">
        <f>IFERROR(__xludf.DUMMYFUNCTION("""COMPUTED_VALUE"""),"EN REPARTO")</f>
        <v>EN REPARTO</v>
      </c>
      <c r="AQ1213" s="65" t="str">
        <f>IFERROR(__xludf.DUMMYFUNCTION("""COMPUTED_VALUE"""),"EN REPARTO")</f>
        <v>EN REPARTO</v>
      </c>
      <c r="AR1213" s="65"/>
      <c r="AS1213" s="65"/>
      <c r="AT1213" s="65" t="str">
        <f>IFERROR(__xludf.DUMMYFUNCTION("""COMPUTED_VALUE"""),"SHOPIFY")</f>
        <v>SHOPIFY</v>
      </c>
      <c r="AU1213" s="65" t="str">
        <f>IFERROR(__xludf.DUMMYFUNCTION("""COMPUTED_VALUE"""),"IMPORTEX EC")</f>
        <v>IMPORTEX EC</v>
      </c>
      <c r="AV1213" s="65" t="str">
        <f>IFERROR(__xludf.DUMMYFUNCTION("""COMPUTED_VALUE"""),"6464663781420")</f>
        <v>6464663781420</v>
      </c>
      <c r="AW1213" s="65">
        <f>IFERROR(__xludf.DUMMYFUNCTION("""COMPUTED_VALUE"""),5686.0)</f>
        <v>5686</v>
      </c>
      <c r="AX1213" s="65"/>
      <c r="AY1213" s="65" t="str">
        <f>IFERROR(__xludf.DUMMYFUNCTION("""COMPUTED_VALUE"""),"02/02/2026")</f>
        <v>02/02/2026</v>
      </c>
      <c r="AZ1213" s="65"/>
      <c r="BA1213" s="65"/>
    </row>
    <row r="1214">
      <c r="A1214" s="65" t="str">
        <f>IFERROR(__xludf.DUMMYFUNCTION("""COMPUTED_VALUE"""),"27-03-2026")</f>
        <v>27-03-2026</v>
      </c>
      <c r="B1214" s="65">
        <f>IFERROR(__xludf.DUMMYFUNCTION("""COMPUTED_VALUE"""),4339582.0)</f>
        <v>4339582</v>
      </c>
      <c r="C1214" s="65" t="str">
        <f>IFERROR(__xludf.DUMMYFUNCTION("""COMPUTED_VALUE"""),"06:57")</f>
        <v>06:57</v>
      </c>
      <c r="D1214" s="65" t="str">
        <f>IFERROR(__xludf.DUMMYFUNCTION("""COMPUTED_VALUE"""),"31-01-2026")</f>
        <v>31-01-2026</v>
      </c>
      <c r="E1214" s="65" t="str">
        <f>IFERROR(__xludf.DUMMYFUNCTION("""COMPUTED_VALUE"""),"Martha  Sánchez SÁNCHEZ")</f>
        <v>Martha  Sánchez SÁNCHEZ</v>
      </c>
      <c r="F1214" s="65" t="str">
        <f>IFERROR(__xludf.DUMMYFUNCTION("""COMPUTED_VALUE"""),"997787892")</f>
        <v>997787892</v>
      </c>
      <c r="G1214" s="65" t="str">
        <f>IFERROR(__xludf.DUMMYFUNCTION("""COMPUTED_VALUE"""),"marthu03@hotmail.com")</f>
        <v>marthu03@hotmail.com</v>
      </c>
      <c r="H1214" s="65"/>
      <c r="I1214" s="65"/>
      <c r="J1214" s="65" t="str">
        <f>IFERROR(__xludf.DUMMYFUNCTION("""COMPUTED_VALUE"""),"LC52763470")</f>
        <v>LC52763470</v>
      </c>
      <c r="K1214" s="65" t="str">
        <f>IFERROR(__xludf.DUMMYFUNCTION("""COMPUTED_VALUE"""),"ENTREGADO")</f>
        <v>ENTREGADO</v>
      </c>
      <c r="L1214" s="65" t="str">
        <f>IFERROR(__xludf.DUMMYFUNCTION("""COMPUTED_VALUE"""),"CON RECAUDO")</f>
        <v>CON RECAUDO</v>
      </c>
      <c r="M1214" s="65" t="str">
        <f>IFERROR(__xludf.DUMMYFUNCTION("""COMPUTED_VALUE"""),"AZUAY")</f>
        <v>AZUAY</v>
      </c>
      <c r="N1214" s="65" t="str">
        <f>IFERROR(__xludf.DUMMYFUNCTION("""COMPUTED_VALUE"""),"SIG SIG")</f>
        <v>SIG SIG</v>
      </c>
      <c r="O1214" s="65" t="str">
        <f>IFERROR(__xludf.DUMMYFUNCTION("""COMPUTED_VALUE"""),"Salazar entre sucre y bolivar Multicanchas -")</f>
        <v>Salazar entre sucre y bolivar Multicanchas -</v>
      </c>
      <c r="P1214" s="65"/>
      <c r="Q1214" s="65" t="str">
        <f>IFERROR(__xludf.DUMMYFUNCTION("""COMPUTED_VALUE"""),"LAARCOURIER")</f>
        <v>LAARCOURIER</v>
      </c>
      <c r="R1214" s="65">
        <f>IFERROR(__xludf.DUMMYFUNCTION("""COMPUTED_VALUE"""),27.0)</f>
        <v>27</v>
      </c>
      <c r="S1214" s="65">
        <f>IFERROR(__xludf.DUMMYFUNCTION("""COMPUTED_VALUE"""),11.9)</f>
        <v>11.9</v>
      </c>
      <c r="T1214" s="65">
        <f>IFERROR(__xludf.DUMMYFUNCTION("""COMPUTED_VALUE"""),7.3)</f>
        <v>7.3</v>
      </c>
      <c r="U1214" s="65">
        <f>IFERROR(__xludf.DUMMYFUNCTION("""COMPUTED_VALUE"""),0.0)</f>
        <v>0</v>
      </c>
      <c r="V1214" s="65">
        <f>IFERROR(__xludf.DUMMYFUNCTION("""COMPUTED_VALUE"""),0.0)</f>
        <v>0</v>
      </c>
      <c r="W1214" s="65">
        <f>IFERROR(__xludf.DUMMYFUNCTION("""COMPUTED_VALUE"""),0.0)</f>
        <v>0</v>
      </c>
      <c r="X1214" s="65">
        <f>IFERROR(__xludf.DUMMYFUNCTION("""COMPUTED_VALUE"""),2.6)</f>
        <v>2.6</v>
      </c>
      <c r="Y1214" s="65">
        <f>IFERROR(__xludf.DUMMYFUNCTION("""COMPUTED_VALUE"""),7.8)</f>
        <v>7.8</v>
      </c>
      <c r="Z1214" s="65">
        <f>IFERROR(__xludf.DUMMYFUNCTION("""COMPUTED_VALUE"""),121983.0)</f>
        <v>121983</v>
      </c>
      <c r="AA1214" s="65" t="str">
        <f>IFERROR(__xludf.DUMMYFUNCTION("""COMPUTED_VALUE"""),"PROV-CHLLCF")</f>
        <v>PROV-CHLLCF</v>
      </c>
      <c r="AB1214" s="65"/>
      <c r="AC1214" s="65" t="str">
        <f>IFERROR(__xludf.DUMMYFUNCTION("""COMPUTED_VALUE"""),"CUCHILLO PARA CHEF")</f>
        <v>CUCHILLO PARA CHEF</v>
      </c>
      <c r="AD1214" s="65"/>
      <c r="AE1214" s="65">
        <f>IFERROR(__xludf.DUMMYFUNCTION("""COMPUTED_VALUE"""),3.0)</f>
        <v>3</v>
      </c>
      <c r="AF1214" s="65"/>
      <c r="AG1214" s="65"/>
      <c r="AH1214" s="65"/>
      <c r="AI1214" s="65"/>
      <c r="AJ1214" s="65"/>
      <c r="AK1214" s="65"/>
      <c r="AL1214" s="65"/>
      <c r="AM1214" s="65"/>
      <c r="AN1214" s="65" t="str">
        <f>IFERROR(__xludf.DUMMYFUNCTION("""COMPUTED_VALUE"""),"14:00")</f>
        <v>14:00</v>
      </c>
      <c r="AO1214" s="65" t="str">
        <f>IFERROR(__xludf.DUMMYFUNCTION("""COMPUTED_VALUE"""),"03-02-2026")</f>
        <v>03-02-2026</v>
      </c>
      <c r="AP1214" s="65" t="str">
        <f>IFERROR(__xludf.DUMMYFUNCTION("""COMPUTED_VALUE"""),"COBERTURA MIERCOLES")</f>
        <v>COBERTURA MIERCOLES</v>
      </c>
      <c r="AQ1214" s="65" t="str">
        <f>IFERROR(__xludf.DUMMYFUNCTION("""COMPUTED_VALUE"""),"Excepcin de entrega Supervisor")</f>
        <v>Excepcin de entrega Supervisor</v>
      </c>
      <c r="AR1214" s="65"/>
      <c r="AS1214" s="65"/>
      <c r="AT1214" s="65" t="str">
        <f>IFERROR(__xludf.DUMMYFUNCTION("""COMPUTED_VALUE"""),"SHOPIFY")</f>
        <v>SHOPIFY</v>
      </c>
      <c r="AU1214" s="65" t="str">
        <f>IFERROR(__xludf.DUMMYFUNCTION("""COMPUTED_VALUE"""),"IMPORTEX EC")</f>
        <v>IMPORTEX EC</v>
      </c>
      <c r="AV1214" s="65" t="str">
        <f>IFERROR(__xludf.DUMMYFUNCTION("""COMPUTED_VALUE"""),"6464660897836")</f>
        <v>6464660897836</v>
      </c>
      <c r="AW1214" s="65">
        <f>IFERROR(__xludf.DUMMYFUNCTION("""COMPUTED_VALUE"""),5685.0)</f>
        <v>5685</v>
      </c>
      <c r="AX1214" s="65"/>
      <c r="AY1214" s="65" t="str">
        <f>IFERROR(__xludf.DUMMYFUNCTION("""COMPUTED_VALUE"""),"02/02/2026")</f>
        <v>02/02/2026</v>
      </c>
      <c r="AZ1214" s="65"/>
      <c r="BA1214" s="65"/>
    </row>
    <row r="1215">
      <c r="A1215" s="65" t="str">
        <f>IFERROR(__xludf.DUMMYFUNCTION("""COMPUTED_VALUE"""),"27-03-2026")</f>
        <v>27-03-2026</v>
      </c>
      <c r="B1215" s="65">
        <f>IFERROR(__xludf.DUMMYFUNCTION("""COMPUTED_VALUE"""),4339482.0)</f>
        <v>4339482</v>
      </c>
      <c r="C1215" s="65" t="str">
        <f>IFERROR(__xludf.DUMMYFUNCTION("""COMPUTED_VALUE"""),"06:39")</f>
        <v>06:39</v>
      </c>
      <c r="D1215" s="65" t="str">
        <f>IFERROR(__xludf.DUMMYFUNCTION("""COMPUTED_VALUE"""),"31-01-2026")</f>
        <v>31-01-2026</v>
      </c>
      <c r="E1215" s="65" t="str">
        <f>IFERROR(__xludf.DUMMYFUNCTION("""COMPUTED_VALUE"""),"Bryn Damian Cevallos Tovar")</f>
        <v>Bryn Damian Cevallos Tovar</v>
      </c>
      <c r="F1215" s="65" t="str">
        <f>IFERROR(__xludf.DUMMYFUNCTION("""COMPUTED_VALUE"""),"985596059")</f>
        <v>985596059</v>
      </c>
      <c r="G1215" s="65" t="str">
        <f>IFERROR(__xludf.DUMMYFUNCTION("""COMPUTED_VALUE"""),"ecofriobm@gmail.com")</f>
        <v>ecofriobm@gmail.com</v>
      </c>
      <c r="H1215" s="65"/>
      <c r="I1215" s="65"/>
      <c r="J1215" s="65" t="str">
        <f>IFERROR(__xludf.DUMMYFUNCTION("""COMPUTED_VALUE"""),"D001288602")</f>
        <v>D001288602</v>
      </c>
      <c r="K1215" s="65" t="str">
        <f>IFERROR(__xludf.DUMMYFUNCTION("""COMPUTED_VALUE"""),"ENTREGADO")</f>
        <v>ENTREGADO</v>
      </c>
      <c r="L1215" s="65" t="str">
        <f>IFERROR(__xludf.DUMMYFUNCTION("""COMPUTED_VALUE"""),"CON RECAUDO")</f>
        <v>CON RECAUDO</v>
      </c>
      <c r="M1215" s="65" t="str">
        <f>IFERROR(__xludf.DUMMYFUNCTION("""COMPUTED_VALUE"""),"LOS RIOS")</f>
        <v>LOS RIOS</v>
      </c>
      <c r="N1215" s="65" t="str">
        <f>IFERROR(__xludf.DUMMYFUNCTION("""COMPUTED_VALUE"""),"QUEVEDO")</f>
        <v>QUEVEDO</v>
      </c>
      <c r="O1215" s="65" t="str">
        <f>IFERROR(__xludf.DUMMYFUNCTION("""COMPUTED_VALUE"""),"Diagonal A Juan Camarón , Calle 7 De Octubre Av. 7 de octubre , local de repuestos ecofriobm")</f>
        <v>Diagonal A Juan Camarón , Calle 7 De Octubre Av. 7 de octubre , local de repuestos ecofriobm</v>
      </c>
      <c r="P1215" s="65"/>
      <c r="Q1215" s="65" t="str">
        <f>IFERROR(__xludf.DUMMYFUNCTION("""COMPUTED_VALUE"""),"GINTRACOM")</f>
        <v>GINTRACOM</v>
      </c>
      <c r="R1215" s="65">
        <f>IFERROR(__xludf.DUMMYFUNCTION("""COMPUTED_VALUE"""),20.0)</f>
        <v>20</v>
      </c>
      <c r="S1215" s="65">
        <f>IFERROR(__xludf.DUMMYFUNCTION("""COMPUTED_VALUE"""),11.89)</f>
        <v>11.89</v>
      </c>
      <c r="T1215" s="65">
        <f>IFERROR(__xludf.DUMMYFUNCTION("""COMPUTED_VALUE"""),5.76)</f>
        <v>5.76</v>
      </c>
      <c r="U1215" s="65">
        <f>IFERROR(__xludf.DUMMYFUNCTION("""COMPUTED_VALUE"""),0.0)</f>
        <v>0</v>
      </c>
      <c r="V1215" s="65">
        <f>IFERROR(__xludf.DUMMYFUNCTION("""COMPUTED_VALUE"""),0.0)</f>
        <v>0</v>
      </c>
      <c r="W1215" s="65">
        <f>IFERROR(__xludf.DUMMYFUNCTION("""COMPUTED_VALUE"""),0.0)</f>
        <v>0</v>
      </c>
      <c r="X1215" s="65">
        <f>IFERROR(__xludf.DUMMYFUNCTION("""COMPUTED_VALUE"""),2.35)</f>
        <v>2.35</v>
      </c>
      <c r="Y1215" s="65">
        <f>IFERROR(__xludf.DUMMYFUNCTION("""COMPUTED_VALUE"""),2.35)</f>
        <v>2.35</v>
      </c>
      <c r="Z1215" s="65">
        <f>IFERROR(__xludf.DUMMYFUNCTION("""COMPUTED_VALUE"""),116679.0)</f>
        <v>116679</v>
      </c>
      <c r="AA1215" s="65" t="str">
        <f>IFERROR(__xludf.DUMMYFUNCTION("""COMPUTED_VALUE"""),"AMC-2738")</f>
        <v>AMC-2738</v>
      </c>
      <c r="AB1215" s="65"/>
      <c r="AC1215" s="65" t="str">
        <f>IFERROR(__xludf.DUMMYFUNCTION("""COMPUTED_VALUE"""),"ESPONJA ANTILLUVIA DE PARABRISAS")</f>
        <v>ESPONJA ANTILLUVIA DE PARABRISAS</v>
      </c>
      <c r="AD1215" s="65"/>
      <c r="AE1215" s="65">
        <f>IFERROR(__xludf.DUMMYFUNCTION("""COMPUTED_VALUE"""),1.0)</f>
        <v>1</v>
      </c>
      <c r="AF1215" s="65"/>
      <c r="AG1215" s="65"/>
      <c r="AH1215" s="65"/>
      <c r="AI1215" s="65"/>
      <c r="AJ1215" s="65"/>
      <c r="AK1215" s="65"/>
      <c r="AL1215" s="65"/>
      <c r="AM1215" s="65"/>
      <c r="AN1215" s="65" t="str">
        <f>IFERROR(__xludf.DUMMYFUNCTION("""COMPUTED_VALUE"""),"01:30")</f>
        <v>01:30</v>
      </c>
      <c r="AO1215" s="65" t="str">
        <f>IFERROR(__xludf.DUMMYFUNCTION("""COMPUTED_VALUE"""),"07-02-2026")</f>
        <v>07-02-2026</v>
      </c>
      <c r="AP1215" s="65" t="str">
        <f>IFERROR(__xludf.DUMMYFUNCTION("""COMPUTED_VALUE"""),"ENTREGADA GINTRACOM")</f>
        <v>ENTREGADA GINTRACOM</v>
      </c>
      <c r="AQ1215" s="65" t="str">
        <f>IFERROR(__xludf.DUMMYFUNCTION("""COMPUTED_VALUE"""),"ENTREGADA GINTRACOM")</f>
        <v>ENTREGADA GINTRACOM</v>
      </c>
      <c r="AR1215" s="65"/>
      <c r="AS1215" s="65"/>
      <c r="AT1215" s="65" t="str">
        <f>IFERROR(__xludf.DUMMYFUNCTION("""COMPUTED_VALUE"""),"SHOPIFY")</f>
        <v>SHOPIFY</v>
      </c>
      <c r="AU1215" s="65" t="str">
        <f>IFERROR(__xludf.DUMMYFUNCTION("""COMPUTED_VALUE"""),"IMPORTEX EC")</f>
        <v>IMPORTEX EC</v>
      </c>
      <c r="AV1215" s="65" t="str">
        <f>IFERROR(__xludf.DUMMYFUNCTION("""COMPUTED_VALUE"""),"6464648282156")</f>
        <v>6464648282156</v>
      </c>
      <c r="AW1215" s="65">
        <f>IFERROR(__xludf.DUMMYFUNCTION("""COMPUTED_VALUE"""),5684.0)</f>
        <v>5684</v>
      </c>
      <c r="AX1215" s="65"/>
      <c r="AY1215" s="65" t="str">
        <f>IFERROR(__xludf.DUMMYFUNCTION("""COMPUTED_VALUE"""),"02/02/2026")</f>
        <v>02/02/2026</v>
      </c>
      <c r="AZ1215" s="65"/>
      <c r="BA1215" s="65"/>
    </row>
    <row r="1216">
      <c r="A1216" s="65" t="str">
        <f>IFERROR(__xludf.DUMMYFUNCTION("""COMPUTED_VALUE"""),"27-03-2026")</f>
        <v>27-03-2026</v>
      </c>
      <c r="B1216" s="65">
        <f>IFERROR(__xludf.DUMMYFUNCTION("""COMPUTED_VALUE"""),4339399.0)</f>
        <v>4339399</v>
      </c>
      <c r="C1216" s="65" t="str">
        <f>IFERROR(__xludf.DUMMYFUNCTION("""COMPUTED_VALUE"""),"06:20")</f>
        <v>06:20</v>
      </c>
      <c r="D1216" s="65" t="str">
        <f>IFERROR(__xludf.DUMMYFUNCTION("""COMPUTED_VALUE"""),"31-01-2026")</f>
        <v>31-01-2026</v>
      </c>
      <c r="E1216" s="65" t="str">
        <f>IFERROR(__xludf.DUMMYFUNCTION("""COMPUTED_VALUE"""),"Yolanda Arciniega")</f>
        <v>Yolanda Arciniega</v>
      </c>
      <c r="F1216" s="65" t="str">
        <f>IFERROR(__xludf.DUMMYFUNCTION("""COMPUTED_VALUE"""),"994922137")</f>
        <v>994922137</v>
      </c>
      <c r="G1216" s="65" t="str">
        <f>IFERROR(__xludf.DUMMYFUNCTION("""COMPUTED_VALUE"""),"magyhr@hotmail.com")</f>
        <v>magyhr@hotmail.com</v>
      </c>
      <c r="H1216" s="65"/>
      <c r="I1216" s="65"/>
      <c r="J1216" s="65" t="str">
        <f>IFERROR(__xludf.DUMMYFUNCTION("""COMPUTED_VALUE"""),"D001288603")</f>
        <v>D001288603</v>
      </c>
      <c r="K1216" s="65" t="str">
        <f>IFERROR(__xludf.DUMMYFUNCTION("""COMPUTED_VALUE"""),"ENTREGADO")</f>
        <v>ENTREGADO</v>
      </c>
      <c r="L1216" s="65" t="str">
        <f>IFERROR(__xludf.DUMMYFUNCTION("""COMPUTED_VALUE"""),"CON RECAUDO")</f>
        <v>CON RECAUDO</v>
      </c>
      <c r="M1216" s="65" t="str">
        <f>IFERROR(__xludf.DUMMYFUNCTION("""COMPUTED_VALUE"""),"IMBABURA")</f>
        <v>IMBABURA</v>
      </c>
      <c r="N1216" s="65" t="str">
        <f>IFERROR(__xludf.DUMMYFUNCTION("""COMPUTED_VALUE"""),"IBARRA")</f>
        <v>IBARRA</v>
      </c>
      <c r="O1216" s="65" t="str">
        <f>IFERROR(__xludf.DUMMYFUNCTION("""COMPUTED_VALUE"""),"Gabriela mistral 5 30 entre Darío egas y José Tobar Tras del terminal ,  edificio cooperativa valle del Chota")</f>
        <v>Gabriela mistral 5 30 entre Darío egas y José Tobar Tras del terminal ,  edificio cooperativa valle del Chota</v>
      </c>
      <c r="P1216" s="65"/>
      <c r="Q1216" s="65" t="str">
        <f>IFERROR(__xludf.DUMMYFUNCTION("""COMPUTED_VALUE"""),"GINTRACOM")</f>
        <v>GINTRACOM</v>
      </c>
      <c r="R1216" s="65">
        <f>IFERROR(__xludf.DUMMYFUNCTION("""COMPUTED_VALUE"""),25.0)</f>
        <v>25</v>
      </c>
      <c r="S1216" s="65">
        <f>IFERROR(__xludf.DUMMYFUNCTION("""COMPUTED_VALUE"""),14.34)</f>
        <v>14.34</v>
      </c>
      <c r="T1216" s="65">
        <f>IFERROR(__xludf.DUMMYFUNCTION("""COMPUTED_VALUE"""),5.96)</f>
        <v>5.96</v>
      </c>
      <c r="U1216" s="65">
        <f>IFERROR(__xludf.DUMMYFUNCTION("""COMPUTED_VALUE"""),0.0)</f>
        <v>0</v>
      </c>
      <c r="V1216" s="65">
        <f>IFERROR(__xludf.DUMMYFUNCTION("""COMPUTED_VALUE"""),0.0)</f>
        <v>0</v>
      </c>
      <c r="W1216" s="65">
        <f>IFERROR(__xludf.DUMMYFUNCTION("""COMPUTED_VALUE"""),0.0)</f>
        <v>0</v>
      </c>
      <c r="X1216" s="65">
        <f>IFERROR(__xludf.DUMMYFUNCTION("""COMPUTED_VALUE"""),2.35)</f>
        <v>2.35</v>
      </c>
      <c r="Y1216" s="65">
        <f>IFERROR(__xludf.DUMMYFUNCTION("""COMPUTED_VALUE"""),4.7)</f>
        <v>4.7</v>
      </c>
      <c r="Z1216" s="65">
        <f>IFERROR(__xludf.DUMMYFUNCTION("""COMPUTED_VALUE"""),116679.0)</f>
        <v>116679</v>
      </c>
      <c r="AA1216" s="65" t="str">
        <f>IFERROR(__xludf.DUMMYFUNCTION("""COMPUTED_VALUE"""),"AMC-2738")</f>
        <v>AMC-2738</v>
      </c>
      <c r="AB1216" s="65"/>
      <c r="AC1216" s="65" t="str">
        <f>IFERROR(__xludf.DUMMYFUNCTION("""COMPUTED_VALUE"""),"ESPONJA ANTILLUVIA DE PARABRISAS")</f>
        <v>ESPONJA ANTILLUVIA DE PARABRISAS</v>
      </c>
      <c r="AD1216" s="65"/>
      <c r="AE1216" s="65">
        <f>IFERROR(__xludf.DUMMYFUNCTION("""COMPUTED_VALUE"""),2.0)</f>
        <v>2</v>
      </c>
      <c r="AF1216" s="65"/>
      <c r="AG1216" s="65"/>
      <c r="AH1216" s="65"/>
      <c r="AI1216" s="65"/>
      <c r="AJ1216" s="65"/>
      <c r="AK1216" s="65"/>
      <c r="AL1216" s="65"/>
      <c r="AM1216" s="65"/>
      <c r="AN1216" s="65" t="str">
        <f>IFERROR(__xludf.DUMMYFUNCTION("""COMPUTED_VALUE"""),"01:30")</f>
        <v>01:30</v>
      </c>
      <c r="AO1216" s="65" t="str">
        <f>IFERROR(__xludf.DUMMYFUNCTION("""COMPUTED_VALUE"""),"07-02-2026")</f>
        <v>07-02-2026</v>
      </c>
      <c r="AP1216" s="65" t="str">
        <f>IFERROR(__xludf.DUMMYFUNCTION("""COMPUTED_VALUE"""),"ENTREGADA GINTRACOM")</f>
        <v>ENTREGADA GINTRACOM</v>
      </c>
      <c r="AQ1216" s="65" t="str">
        <f>IFERROR(__xludf.DUMMYFUNCTION("""COMPUTED_VALUE"""),"ENTREGADA GINTRACOM")</f>
        <v>ENTREGADA GINTRACOM</v>
      </c>
      <c r="AR1216" s="65"/>
      <c r="AS1216" s="65"/>
      <c r="AT1216" s="65" t="str">
        <f>IFERROR(__xludf.DUMMYFUNCTION("""COMPUTED_VALUE"""),"SHOPIFY")</f>
        <v>SHOPIFY</v>
      </c>
      <c r="AU1216" s="65" t="str">
        <f>IFERROR(__xludf.DUMMYFUNCTION("""COMPUTED_VALUE"""),"IMPORTEX EC")</f>
        <v>IMPORTEX EC</v>
      </c>
      <c r="AV1216" s="65" t="str">
        <f>IFERROR(__xludf.DUMMYFUNCTION("""COMPUTED_VALUE"""),"6464632225836")</f>
        <v>6464632225836</v>
      </c>
      <c r="AW1216" s="65">
        <f>IFERROR(__xludf.DUMMYFUNCTION("""COMPUTED_VALUE"""),5683.0)</f>
        <v>5683</v>
      </c>
      <c r="AX1216" s="65"/>
      <c r="AY1216" s="65" t="str">
        <f>IFERROR(__xludf.DUMMYFUNCTION("""COMPUTED_VALUE"""),"02/02/2026")</f>
        <v>02/02/2026</v>
      </c>
      <c r="AZ1216" s="65"/>
      <c r="BA1216" s="65"/>
    </row>
    <row r="1217">
      <c r="A1217" s="65" t="str">
        <f>IFERROR(__xludf.DUMMYFUNCTION("""COMPUTED_VALUE"""),"27-03-2026")</f>
        <v>27-03-2026</v>
      </c>
      <c r="B1217" s="65">
        <f>IFERROR(__xludf.DUMMYFUNCTION("""COMPUTED_VALUE"""),4339271.0)</f>
        <v>4339271</v>
      </c>
      <c r="C1217" s="65" t="str">
        <f>IFERROR(__xludf.DUMMYFUNCTION("""COMPUTED_VALUE"""),"05:40")</f>
        <v>05:40</v>
      </c>
      <c r="D1217" s="65" t="str">
        <f>IFERROR(__xludf.DUMMYFUNCTION("""COMPUTED_VALUE"""),"31-01-2026")</f>
        <v>31-01-2026</v>
      </c>
      <c r="E1217" s="65" t="str">
        <f>IFERROR(__xludf.DUMMYFUNCTION("""COMPUTED_VALUE"""),"Richard Reye")</f>
        <v>Richard Reye</v>
      </c>
      <c r="F1217" s="65" t="str">
        <f>IFERROR(__xludf.DUMMYFUNCTION("""COMPUTED_VALUE"""),"962739119")</f>
        <v>962739119</v>
      </c>
      <c r="G1217" s="65" t="str">
        <f>IFERROR(__xludf.DUMMYFUNCTION("""COMPUTED_VALUE"""),"arancamaras@gmail.com")</f>
        <v>arancamaras@gmail.com</v>
      </c>
      <c r="H1217" s="65"/>
      <c r="I1217" s="65"/>
      <c r="J1217" s="65"/>
      <c r="K1217" s="65" t="str">
        <f>IFERROR(__xludf.DUMMYFUNCTION("""COMPUTED_VALUE"""),"PENDIENTE CONFIRMACION")</f>
        <v>PENDIENTE CONFIRMACION</v>
      </c>
      <c r="L1217" s="65" t="str">
        <f>IFERROR(__xludf.DUMMYFUNCTION("""COMPUTED_VALUE"""),"CON RECAUDO")</f>
        <v>CON RECAUDO</v>
      </c>
      <c r="M1217" s="65" t="str">
        <f>IFERROR(__xludf.DUMMYFUNCTION("""COMPUTED_VALUE"""),"GUAYAS")</f>
        <v>GUAYAS</v>
      </c>
      <c r="N1217" s="65" t="str">
        <f>IFERROR(__xludf.DUMMYFUNCTION("""COMPUTED_VALUE"""),"EL EMPALME")</f>
        <v>EL EMPALME</v>
      </c>
      <c r="O1217" s="65" t="str">
        <f>IFERROR(__xludf.DUMMYFUNCTION("""COMPUTED_VALUE"""),"Empalme Via Guayaquil por hospital -")</f>
        <v>Empalme Via Guayaquil por hospital -</v>
      </c>
      <c r="P1217" s="65"/>
      <c r="Q1217" s="65" t="str">
        <f>IFERROR(__xludf.DUMMYFUNCTION("""COMPUTED_VALUE"""),"GINTRACOM")</f>
        <v>GINTRACOM</v>
      </c>
      <c r="R1217" s="65">
        <f>IFERROR(__xludf.DUMMYFUNCTION("""COMPUTED_VALUE"""),22.0)</f>
        <v>22</v>
      </c>
      <c r="S1217" s="65"/>
      <c r="T1217" s="65">
        <f>IFERROR(__xludf.DUMMYFUNCTION("""COMPUTED_VALUE"""),5.84)</f>
        <v>5.84</v>
      </c>
      <c r="U1217" s="65">
        <f>IFERROR(__xludf.DUMMYFUNCTION("""COMPUTED_VALUE"""),0.0)</f>
        <v>0</v>
      </c>
      <c r="V1217" s="65">
        <f>IFERROR(__xludf.DUMMYFUNCTION("""COMPUTED_VALUE"""),0.0)</f>
        <v>0</v>
      </c>
      <c r="W1217" s="65">
        <f>IFERROR(__xludf.DUMMYFUNCTION("""COMPUTED_VALUE"""),0.0)</f>
        <v>0</v>
      </c>
      <c r="X1217" s="65">
        <f>IFERROR(__xludf.DUMMYFUNCTION("""COMPUTED_VALUE"""),2.6)</f>
        <v>2.6</v>
      </c>
      <c r="Y1217" s="65">
        <f>IFERROR(__xludf.DUMMYFUNCTION("""COMPUTED_VALUE"""),5.2)</f>
        <v>5.2</v>
      </c>
      <c r="Z1217" s="65">
        <f>IFERROR(__xludf.DUMMYFUNCTION("""COMPUTED_VALUE"""),121983.0)</f>
        <v>121983</v>
      </c>
      <c r="AA1217" s="65" t="str">
        <f>IFERROR(__xludf.DUMMYFUNCTION("""COMPUTED_VALUE"""),"PROV-CHLLCF")</f>
        <v>PROV-CHLLCF</v>
      </c>
      <c r="AB1217" s="65"/>
      <c r="AC1217" s="65" t="str">
        <f>IFERROR(__xludf.DUMMYFUNCTION("""COMPUTED_VALUE"""),"CUCHILLO PARA CHEF")</f>
        <v>CUCHILLO PARA CHEF</v>
      </c>
      <c r="AD1217" s="65"/>
      <c r="AE1217" s="65">
        <f>IFERROR(__xludf.DUMMYFUNCTION("""COMPUTED_VALUE"""),2.0)</f>
        <v>2</v>
      </c>
      <c r="AF1217" s="65"/>
      <c r="AG1217" s="65"/>
      <c r="AH1217" s="65"/>
      <c r="AI1217" s="65"/>
      <c r="AJ1217" s="65"/>
      <c r="AK1217" s="65"/>
      <c r="AL1217" s="65"/>
      <c r="AM1217" s="65"/>
      <c r="AN1217" s="65"/>
      <c r="AO1217" s="65"/>
      <c r="AP1217" s="65"/>
      <c r="AQ1217" s="65"/>
      <c r="AR1217" s="65"/>
      <c r="AS1217" s="65"/>
      <c r="AT1217" s="65" t="str">
        <f>IFERROR(__xludf.DUMMYFUNCTION("""COMPUTED_VALUE"""),"SHOPIFY")</f>
        <v>SHOPIFY</v>
      </c>
      <c r="AU1217" s="65" t="str">
        <f>IFERROR(__xludf.DUMMYFUNCTION("""COMPUTED_VALUE"""),"IMPORTEX EC")</f>
        <v>IMPORTEX EC</v>
      </c>
      <c r="AV1217" s="65" t="str">
        <f>IFERROR(__xludf.DUMMYFUNCTION("""COMPUTED_VALUE"""),"6464602210348")</f>
        <v>6464602210348</v>
      </c>
      <c r="AW1217" s="65">
        <f>IFERROR(__xludf.DUMMYFUNCTION("""COMPUTED_VALUE"""),5682.0)</f>
        <v>5682</v>
      </c>
      <c r="AX1217" s="65"/>
      <c r="AY1217" s="65"/>
      <c r="AZ1217" s="65"/>
      <c r="BA1217" s="65"/>
    </row>
    <row r="1218">
      <c r="A1218" s="65" t="str">
        <f>IFERROR(__xludf.DUMMYFUNCTION("""COMPUTED_VALUE"""),"27-03-2026")</f>
        <v>27-03-2026</v>
      </c>
      <c r="B1218" s="65">
        <f>IFERROR(__xludf.DUMMYFUNCTION("""COMPUTED_VALUE"""),4339125.0)</f>
        <v>4339125</v>
      </c>
      <c r="C1218" s="65" t="str">
        <f>IFERROR(__xludf.DUMMYFUNCTION("""COMPUTED_VALUE"""),"04:11")</f>
        <v>04:11</v>
      </c>
      <c r="D1218" s="65" t="str">
        <f>IFERROR(__xludf.DUMMYFUNCTION("""COMPUTED_VALUE"""),"31-01-2026")</f>
        <v>31-01-2026</v>
      </c>
      <c r="E1218" s="65" t="str">
        <f>IFERROR(__xludf.DUMMYFUNCTION("""COMPUTED_VALUE"""),"Hernan Jiménez Vergara")</f>
        <v>Hernan Jiménez Vergara</v>
      </c>
      <c r="F1218" s="65" t="str">
        <f>IFERROR(__xludf.DUMMYFUNCTION("""COMPUTED_VALUE"""),"993911197")</f>
        <v>993911197</v>
      </c>
      <c r="G1218" s="65" t="str">
        <f>IFERROR(__xludf.DUMMYFUNCTION("""COMPUTED_VALUE"""),"hernanjimenez6@gmail.com")</f>
        <v>hernanjimenez6@gmail.com</v>
      </c>
      <c r="H1218" s="65"/>
      <c r="I1218" s="65"/>
      <c r="J1218" s="65" t="str">
        <f>IFERROR(__xludf.DUMMYFUNCTION("""COMPUTED_VALUE"""),"D001288604")</f>
        <v>D001288604</v>
      </c>
      <c r="K1218" s="65" t="str">
        <f>IFERROR(__xludf.DUMMYFUNCTION("""COMPUTED_VALUE"""),"DEVOLUCION")</f>
        <v>DEVOLUCION</v>
      </c>
      <c r="L1218" s="65" t="str">
        <f>IFERROR(__xludf.DUMMYFUNCTION("""COMPUTED_VALUE"""),"CON RECAUDO")</f>
        <v>CON RECAUDO</v>
      </c>
      <c r="M1218" s="65" t="str">
        <f>IFERROR(__xludf.DUMMYFUNCTION("""COMPUTED_VALUE"""),"BOLIVAR")</f>
        <v>BOLIVAR</v>
      </c>
      <c r="N1218" s="65" t="str">
        <f>IFERROR(__xludf.DUMMYFUNCTION("""COMPUTED_VALUE"""),"GUARANDA")</f>
        <v>GUARANDA</v>
      </c>
      <c r="O1218" s="65" t="str">
        <f>IFERROR(__xludf.DUMMYFUNCTION("""COMPUTED_VALUE"""),"Abel torres oleas  frente a la empresa eléctrica CNEL Ciudadela dólares poveda -")</f>
        <v>Abel torres oleas  frente a la empresa eléctrica CNEL Ciudadela dólares poveda -</v>
      </c>
      <c r="P1218" s="65"/>
      <c r="Q1218" s="65" t="str">
        <f>IFERROR(__xludf.DUMMYFUNCTION("""COMPUTED_VALUE"""),"GINTRACOM")</f>
        <v>GINTRACOM</v>
      </c>
      <c r="R1218" s="65">
        <f>IFERROR(__xludf.DUMMYFUNCTION("""COMPUTED_VALUE"""),20.0)</f>
        <v>20</v>
      </c>
      <c r="S1218" s="65"/>
      <c r="T1218" s="65">
        <f>IFERROR(__xludf.DUMMYFUNCTION("""COMPUTED_VALUE"""),5.76)</f>
        <v>5.76</v>
      </c>
      <c r="U1218" s="65">
        <f>IFERROR(__xludf.DUMMYFUNCTION("""COMPUTED_VALUE"""),0.0)</f>
        <v>0</v>
      </c>
      <c r="V1218" s="65">
        <f>IFERROR(__xludf.DUMMYFUNCTION("""COMPUTED_VALUE"""),0.0)</f>
        <v>0</v>
      </c>
      <c r="W1218" s="65">
        <f>IFERROR(__xludf.DUMMYFUNCTION("""COMPUTED_VALUE"""),0.0)</f>
        <v>0</v>
      </c>
      <c r="X1218" s="65">
        <f>IFERROR(__xludf.DUMMYFUNCTION("""COMPUTED_VALUE"""),2.35)</f>
        <v>2.35</v>
      </c>
      <c r="Y1218" s="65">
        <f>IFERROR(__xludf.DUMMYFUNCTION("""COMPUTED_VALUE"""),2.35)</f>
        <v>2.35</v>
      </c>
      <c r="Z1218" s="65">
        <f>IFERROR(__xludf.DUMMYFUNCTION("""COMPUTED_VALUE"""),116679.0)</f>
        <v>116679</v>
      </c>
      <c r="AA1218" s="65" t="str">
        <f>IFERROR(__xludf.DUMMYFUNCTION("""COMPUTED_VALUE"""),"AMC-2738")</f>
        <v>AMC-2738</v>
      </c>
      <c r="AB1218" s="65"/>
      <c r="AC1218" s="65" t="str">
        <f>IFERROR(__xludf.DUMMYFUNCTION("""COMPUTED_VALUE"""),"ESPONJA ANTILLUVIA DE PARABRISAS")</f>
        <v>ESPONJA ANTILLUVIA DE PARABRISAS</v>
      </c>
      <c r="AD1218" s="65"/>
      <c r="AE1218" s="65">
        <f>IFERROR(__xludf.DUMMYFUNCTION("""COMPUTED_VALUE"""),1.0)</f>
        <v>1</v>
      </c>
      <c r="AF1218" s="65"/>
      <c r="AG1218" s="65"/>
      <c r="AH1218" s="65"/>
      <c r="AI1218" s="65"/>
      <c r="AJ1218" s="65"/>
      <c r="AK1218" s="65"/>
      <c r="AL1218" s="65"/>
      <c r="AM1218" s="65"/>
      <c r="AN1218" s="65" t="str">
        <f>IFERROR(__xludf.DUMMYFUNCTION("""COMPUTED_VALUE"""),"22:07")</f>
        <v>22:07</v>
      </c>
      <c r="AO1218" s="65" t="str">
        <f>IFERROR(__xludf.DUMMYFUNCTION("""COMPUTED_VALUE"""),"02-03-2026")</f>
        <v>02-03-2026</v>
      </c>
      <c r="AP1218" s="65" t="str">
        <f>IFERROR(__xludf.DUMMYFUNCTION("""COMPUTED_VALUE"""),"DEVOLUCIÓN ENTREGADA A ORIGEN")</f>
        <v>DEVOLUCIÓN ENTREGADA A ORIGEN</v>
      </c>
      <c r="AQ1218" s="65" t="str">
        <f>IFERROR(__xludf.DUMMYFUNCTION("""COMPUTED_VALUE"""),"DEVOLUCIÓN ENTREGADA A ORIGEN")</f>
        <v>DEVOLUCIÓN ENTREGADA A ORIGEN</v>
      </c>
      <c r="AR1218" s="65"/>
      <c r="AS1218" s="65"/>
      <c r="AT1218" s="65" t="str">
        <f>IFERROR(__xludf.DUMMYFUNCTION("""COMPUTED_VALUE"""),"SHOPIFY")</f>
        <v>SHOPIFY</v>
      </c>
      <c r="AU1218" s="65" t="str">
        <f>IFERROR(__xludf.DUMMYFUNCTION("""COMPUTED_VALUE"""),"IMPORTEX EC")</f>
        <v>IMPORTEX EC</v>
      </c>
      <c r="AV1218" s="65" t="str">
        <f>IFERROR(__xludf.DUMMYFUNCTION("""COMPUTED_VALUE"""),"6464544866348")</f>
        <v>6464544866348</v>
      </c>
      <c r="AW1218" s="65">
        <f>IFERROR(__xludf.DUMMYFUNCTION("""COMPUTED_VALUE"""),5681.0)</f>
        <v>5681</v>
      </c>
      <c r="AX1218" s="65"/>
      <c r="AY1218" s="65" t="str">
        <f>IFERROR(__xludf.DUMMYFUNCTION("""COMPUTED_VALUE"""),"02/02/2026")</f>
        <v>02/02/2026</v>
      </c>
      <c r="AZ1218" s="65"/>
      <c r="BA1218" s="65"/>
    </row>
    <row r="1219">
      <c r="A1219" s="65" t="str">
        <f>IFERROR(__xludf.DUMMYFUNCTION("""COMPUTED_VALUE"""),"27-03-2026")</f>
        <v>27-03-2026</v>
      </c>
      <c r="B1219" s="65">
        <f>IFERROR(__xludf.DUMMYFUNCTION("""COMPUTED_VALUE"""),4338533.0)</f>
        <v>4338533</v>
      </c>
      <c r="C1219" s="65" t="str">
        <f>IFERROR(__xludf.DUMMYFUNCTION("""COMPUTED_VALUE"""),"00:04")</f>
        <v>00:04</v>
      </c>
      <c r="D1219" s="65" t="str">
        <f>IFERROR(__xludf.DUMMYFUNCTION("""COMPUTED_VALUE"""),"31-01-2026")</f>
        <v>31-01-2026</v>
      </c>
      <c r="E1219" s="65" t="str">
        <f>IFERROR(__xludf.DUMMYFUNCTION("""COMPUTED_VALUE"""),"Ronal Alberto Lapo ramirez")</f>
        <v>Ronal Alberto Lapo ramirez</v>
      </c>
      <c r="F1219" s="65" t="str">
        <f>IFERROR(__xludf.DUMMYFUNCTION("""COMPUTED_VALUE"""),"959501454")</f>
        <v>959501454</v>
      </c>
      <c r="G1219" s="65" t="str">
        <f>IFERROR(__xludf.DUMMYFUNCTION("""COMPUTED_VALUE"""),"ronallapo@gmail.com")</f>
        <v>ronallapo@gmail.com</v>
      </c>
      <c r="H1219" s="65"/>
      <c r="I1219" s="65"/>
      <c r="J1219" s="65"/>
      <c r="K1219" s="65" t="str">
        <f>IFERROR(__xludf.DUMMYFUNCTION("""COMPUTED_VALUE"""),"PENDIENTE CONFIRMACION")</f>
        <v>PENDIENTE CONFIRMACION</v>
      </c>
      <c r="L1219" s="65" t="str">
        <f>IFERROR(__xludf.DUMMYFUNCTION("""COMPUTED_VALUE"""),"CON RECAUDO")</f>
        <v>CON RECAUDO</v>
      </c>
      <c r="M1219" s="65" t="str">
        <f>IFERROR(__xludf.DUMMYFUNCTION("""COMPUTED_VALUE"""),"GUAYAS")</f>
        <v>GUAYAS</v>
      </c>
      <c r="N1219" s="65" t="str">
        <f>IFERROR(__xludf.DUMMYFUNCTION("""COMPUTED_VALUE"""),"GUAYAQUIL")</f>
        <v>GUAYAQUIL</v>
      </c>
      <c r="O1219" s="65" t="str">
        <f>IFERROR(__xludf.DUMMYFUNCTION("""COMPUTED_VALUE"""),"25 de julio y libertad y conciencia 7 lagos -")</f>
        <v>25 de julio y libertad y conciencia 7 lagos -</v>
      </c>
      <c r="P1219" s="65"/>
      <c r="Q1219" s="65" t="str">
        <f>IFERROR(__xludf.DUMMYFUNCTION("""COMPUTED_VALUE"""),"GINTRACOM")</f>
        <v>GINTRACOM</v>
      </c>
      <c r="R1219" s="65">
        <f>IFERROR(__xludf.DUMMYFUNCTION("""COMPUTED_VALUE"""),22.0)</f>
        <v>22</v>
      </c>
      <c r="S1219" s="65"/>
      <c r="T1219" s="65">
        <f>IFERROR(__xludf.DUMMYFUNCTION("""COMPUTED_VALUE"""),4.23)</f>
        <v>4.23</v>
      </c>
      <c r="U1219" s="65">
        <f>IFERROR(__xludf.DUMMYFUNCTION("""COMPUTED_VALUE"""),0.0)</f>
        <v>0</v>
      </c>
      <c r="V1219" s="65">
        <f>IFERROR(__xludf.DUMMYFUNCTION("""COMPUTED_VALUE"""),0.0)</f>
        <v>0</v>
      </c>
      <c r="W1219" s="65">
        <f>IFERROR(__xludf.DUMMYFUNCTION("""COMPUTED_VALUE"""),0.0)</f>
        <v>0</v>
      </c>
      <c r="X1219" s="65">
        <f>IFERROR(__xludf.DUMMYFUNCTION("""COMPUTED_VALUE"""),2.6)</f>
        <v>2.6</v>
      </c>
      <c r="Y1219" s="65">
        <f>IFERROR(__xludf.DUMMYFUNCTION("""COMPUTED_VALUE"""),5.2)</f>
        <v>5.2</v>
      </c>
      <c r="Z1219" s="65">
        <f>IFERROR(__xludf.DUMMYFUNCTION("""COMPUTED_VALUE"""),121983.0)</f>
        <v>121983</v>
      </c>
      <c r="AA1219" s="65" t="str">
        <f>IFERROR(__xludf.DUMMYFUNCTION("""COMPUTED_VALUE"""),"PROV-CHLLCF")</f>
        <v>PROV-CHLLCF</v>
      </c>
      <c r="AB1219" s="65"/>
      <c r="AC1219" s="65" t="str">
        <f>IFERROR(__xludf.DUMMYFUNCTION("""COMPUTED_VALUE"""),"CUCHILLO PARA CHEF")</f>
        <v>CUCHILLO PARA CHEF</v>
      </c>
      <c r="AD1219" s="65"/>
      <c r="AE1219" s="65">
        <f>IFERROR(__xludf.DUMMYFUNCTION("""COMPUTED_VALUE"""),2.0)</f>
        <v>2</v>
      </c>
      <c r="AF1219" s="65"/>
      <c r="AG1219" s="65"/>
      <c r="AH1219" s="65"/>
      <c r="AI1219" s="65"/>
      <c r="AJ1219" s="65"/>
      <c r="AK1219" s="65"/>
      <c r="AL1219" s="65"/>
      <c r="AM1219" s="65"/>
      <c r="AN1219" s="65"/>
      <c r="AO1219" s="65"/>
      <c r="AP1219" s="65"/>
      <c r="AQ1219" s="65"/>
      <c r="AR1219" s="65"/>
      <c r="AS1219" s="65"/>
      <c r="AT1219" s="65" t="str">
        <f>IFERROR(__xludf.DUMMYFUNCTION("""COMPUTED_VALUE"""),"SHOPIFY")</f>
        <v>SHOPIFY</v>
      </c>
      <c r="AU1219" s="65" t="str">
        <f>IFERROR(__xludf.DUMMYFUNCTION("""COMPUTED_VALUE"""),"IMPORTEX EC")</f>
        <v>IMPORTEX EC</v>
      </c>
      <c r="AV1219" s="65" t="str">
        <f>IFERROR(__xludf.DUMMYFUNCTION("""COMPUTED_VALUE"""),"6464237994028")</f>
        <v>6464237994028</v>
      </c>
      <c r="AW1219" s="65">
        <f>IFERROR(__xludf.DUMMYFUNCTION("""COMPUTED_VALUE"""),5680.0)</f>
        <v>5680</v>
      </c>
      <c r="AX1219" s="65"/>
      <c r="AY1219" s="65"/>
      <c r="AZ1219" s="65"/>
      <c r="BA1219" s="65"/>
    </row>
    <row r="1220">
      <c r="A1220" s="65" t="str">
        <f>IFERROR(__xludf.DUMMYFUNCTION("""COMPUTED_VALUE"""),"27-03-2026")</f>
        <v>27-03-2026</v>
      </c>
      <c r="B1220" s="65">
        <f>IFERROR(__xludf.DUMMYFUNCTION("""COMPUTED_VALUE"""),4338216.0)</f>
        <v>4338216</v>
      </c>
      <c r="C1220" s="65" t="str">
        <f>IFERROR(__xludf.DUMMYFUNCTION("""COMPUTED_VALUE"""),"23:15")</f>
        <v>23:15</v>
      </c>
      <c r="D1220" s="65" t="str">
        <f>IFERROR(__xludf.DUMMYFUNCTION("""COMPUTED_VALUE"""),"30-01-2026")</f>
        <v>30-01-2026</v>
      </c>
      <c r="E1220" s="65" t="str">
        <f>IFERROR(__xludf.DUMMYFUNCTION("""COMPUTED_VALUE"""),"FRANCISCO YANEZ LEON")</f>
        <v>FRANCISCO YANEZ LEON</v>
      </c>
      <c r="F1220" s="65" t="str">
        <f>IFERROR(__xludf.DUMMYFUNCTION("""COMPUTED_VALUE"""),"999962422")</f>
        <v>999962422</v>
      </c>
      <c r="G1220" s="65" t="str">
        <f>IFERROR(__xludf.DUMMYFUNCTION("""COMPUTED_VALUE"""),"franciscoyanez@live.com")</f>
        <v>franciscoyanez@live.com</v>
      </c>
      <c r="H1220" s="65"/>
      <c r="I1220" s="65"/>
      <c r="J1220" s="65" t="str">
        <f>IFERROR(__xludf.DUMMYFUNCTION("""COMPUTED_VALUE"""),"D001288605")</f>
        <v>D001288605</v>
      </c>
      <c r="K1220" s="65" t="str">
        <f>IFERROR(__xludf.DUMMYFUNCTION("""COMPUTED_VALUE"""),"ENTREGADO")</f>
        <v>ENTREGADO</v>
      </c>
      <c r="L1220" s="65" t="str">
        <f>IFERROR(__xludf.DUMMYFUNCTION("""COMPUTED_VALUE"""),"CON RECAUDO")</f>
        <v>CON RECAUDO</v>
      </c>
      <c r="M1220" s="65" t="str">
        <f>IFERROR(__xludf.DUMMYFUNCTION("""COMPUTED_VALUE"""),"GUAYAS")</f>
        <v>GUAYAS</v>
      </c>
      <c r="N1220" s="65" t="str">
        <f>IFERROR(__xludf.DUMMYFUNCTION("""COMPUTED_VALUE"""),"GUAYAQUIL")</f>
        <v>GUAYAQUIL</v>
      </c>
      <c r="O1220" s="65" t="str">
        <f>IFERROR(__xludf.DUMMYFUNCTION("""COMPUTED_VALUE"""),"Cdl. Parques de Los Ceibos mz D villa 10A Subiendo por semáforo Colegio Aleman -")</f>
        <v>Cdl. Parques de Los Ceibos mz D villa 10A Subiendo por semáforo Colegio Aleman -</v>
      </c>
      <c r="P1220" s="65"/>
      <c r="Q1220" s="65" t="str">
        <f>IFERROR(__xludf.DUMMYFUNCTION("""COMPUTED_VALUE"""),"GINTRACOM")</f>
        <v>GINTRACOM</v>
      </c>
      <c r="R1220" s="65">
        <f>IFERROR(__xludf.DUMMYFUNCTION("""COMPUTED_VALUE"""),30.0)</f>
        <v>30</v>
      </c>
      <c r="S1220" s="65">
        <f>IFERROR(__xludf.DUMMYFUNCTION("""COMPUTED_VALUE"""),16.79)</f>
        <v>16.79</v>
      </c>
      <c r="T1220" s="65">
        <f>IFERROR(__xludf.DUMMYFUNCTION("""COMPUTED_VALUE"""),6.16)</f>
        <v>6.16</v>
      </c>
      <c r="U1220" s="65">
        <f>IFERROR(__xludf.DUMMYFUNCTION("""COMPUTED_VALUE"""),0.0)</f>
        <v>0</v>
      </c>
      <c r="V1220" s="65">
        <f>IFERROR(__xludf.DUMMYFUNCTION("""COMPUTED_VALUE"""),0.0)</f>
        <v>0</v>
      </c>
      <c r="W1220" s="65">
        <f>IFERROR(__xludf.DUMMYFUNCTION("""COMPUTED_VALUE"""),0.0)</f>
        <v>0</v>
      </c>
      <c r="X1220" s="65">
        <f>IFERROR(__xludf.DUMMYFUNCTION("""COMPUTED_VALUE"""),2.35)</f>
        <v>2.35</v>
      </c>
      <c r="Y1220" s="65">
        <f>IFERROR(__xludf.DUMMYFUNCTION("""COMPUTED_VALUE"""),7.05)</f>
        <v>7.05</v>
      </c>
      <c r="Z1220" s="65">
        <f>IFERROR(__xludf.DUMMYFUNCTION("""COMPUTED_VALUE"""),116679.0)</f>
        <v>116679</v>
      </c>
      <c r="AA1220" s="65" t="str">
        <f>IFERROR(__xludf.DUMMYFUNCTION("""COMPUTED_VALUE"""),"AMC-2738")</f>
        <v>AMC-2738</v>
      </c>
      <c r="AB1220" s="65"/>
      <c r="AC1220" s="65" t="str">
        <f>IFERROR(__xludf.DUMMYFUNCTION("""COMPUTED_VALUE"""),"ESPONJA ANTILLUVIA DE PARABRISAS")</f>
        <v>ESPONJA ANTILLUVIA DE PARABRISAS</v>
      </c>
      <c r="AD1220" s="65"/>
      <c r="AE1220" s="65">
        <f>IFERROR(__xludf.DUMMYFUNCTION("""COMPUTED_VALUE"""),3.0)</f>
        <v>3</v>
      </c>
      <c r="AF1220" s="65"/>
      <c r="AG1220" s="65"/>
      <c r="AH1220" s="65"/>
      <c r="AI1220" s="65"/>
      <c r="AJ1220" s="65"/>
      <c r="AK1220" s="65"/>
      <c r="AL1220" s="65"/>
      <c r="AM1220" s="65"/>
      <c r="AN1220" s="65" t="str">
        <f>IFERROR(__xludf.DUMMYFUNCTION("""COMPUTED_VALUE"""),"14:42")</f>
        <v>14:42</v>
      </c>
      <c r="AO1220" s="65" t="str">
        <f>IFERROR(__xludf.DUMMYFUNCTION("""COMPUTED_VALUE"""),"06-02-2026")</f>
        <v>06-02-2026</v>
      </c>
      <c r="AP1220" s="65" t="str">
        <f>IFERROR(__xludf.DUMMYFUNCTION("""COMPUTED_VALUE"""),"ENTREGADA GINTRACOM")</f>
        <v>ENTREGADA GINTRACOM</v>
      </c>
      <c r="AQ1220" s="65" t="str">
        <f>IFERROR(__xludf.DUMMYFUNCTION("""COMPUTED_VALUE"""),"ENTREGADA GINTRACOM")</f>
        <v>ENTREGADA GINTRACOM</v>
      </c>
      <c r="AR1220" s="65"/>
      <c r="AS1220" s="65"/>
      <c r="AT1220" s="65" t="str">
        <f>IFERROR(__xludf.DUMMYFUNCTION("""COMPUTED_VALUE"""),"SHOPIFY")</f>
        <v>SHOPIFY</v>
      </c>
      <c r="AU1220" s="65" t="str">
        <f>IFERROR(__xludf.DUMMYFUNCTION("""COMPUTED_VALUE"""),"IMPORTEX EC")</f>
        <v>IMPORTEX EC</v>
      </c>
      <c r="AV1220" s="65" t="str">
        <f>IFERROR(__xludf.DUMMYFUNCTION("""COMPUTED_VALUE"""),"6464152764460")</f>
        <v>6464152764460</v>
      </c>
      <c r="AW1220" s="65">
        <f>IFERROR(__xludf.DUMMYFUNCTION("""COMPUTED_VALUE"""),5679.0)</f>
        <v>5679</v>
      </c>
      <c r="AX1220" s="65"/>
      <c r="AY1220" s="65" t="str">
        <f>IFERROR(__xludf.DUMMYFUNCTION("""COMPUTED_VALUE"""),"02/02/2026")</f>
        <v>02/02/2026</v>
      </c>
      <c r="AZ1220" s="65"/>
      <c r="BA1220" s="65"/>
    </row>
    <row r="1221">
      <c r="A1221" s="65" t="str">
        <f>IFERROR(__xludf.DUMMYFUNCTION("""COMPUTED_VALUE"""),"27-03-2026")</f>
        <v>27-03-2026</v>
      </c>
      <c r="B1221" s="65">
        <f>IFERROR(__xludf.DUMMYFUNCTION("""COMPUTED_VALUE"""),4338090.0)</f>
        <v>4338090</v>
      </c>
      <c r="C1221" s="65" t="str">
        <f>IFERROR(__xludf.DUMMYFUNCTION("""COMPUTED_VALUE"""),"23:00")</f>
        <v>23:00</v>
      </c>
      <c r="D1221" s="65" t="str">
        <f>IFERROR(__xludf.DUMMYFUNCTION("""COMPUTED_VALUE"""),"30-01-2026")</f>
        <v>30-01-2026</v>
      </c>
      <c r="E1221" s="65" t="str">
        <f>IFERROR(__xludf.DUMMYFUNCTION("""COMPUTED_VALUE"""),"Darío Calles")</f>
        <v>Darío Calles</v>
      </c>
      <c r="F1221" s="65" t="str">
        <f>IFERROR(__xludf.DUMMYFUNCTION("""COMPUTED_VALUE"""),"958774862")</f>
        <v>958774862</v>
      </c>
      <c r="G1221" s="65" t="str">
        <f>IFERROR(__xludf.DUMMYFUNCTION("""COMPUTED_VALUE"""),"dariocalles2729@gmail.com")</f>
        <v>dariocalles2729@gmail.com</v>
      </c>
      <c r="H1221" s="65"/>
      <c r="I1221" s="65"/>
      <c r="J1221" s="65" t="str">
        <f>IFERROR(__xludf.DUMMYFUNCTION("""COMPUTED_VALUE"""),"D001288607")</f>
        <v>D001288607</v>
      </c>
      <c r="K1221" s="65" t="str">
        <f>IFERROR(__xludf.DUMMYFUNCTION("""COMPUTED_VALUE"""),"ENTREGADO")</f>
        <v>ENTREGADO</v>
      </c>
      <c r="L1221" s="65" t="str">
        <f>IFERROR(__xludf.DUMMYFUNCTION("""COMPUTED_VALUE"""),"CON RECAUDO")</f>
        <v>CON RECAUDO</v>
      </c>
      <c r="M1221" s="65" t="str">
        <f>IFERROR(__xludf.DUMMYFUNCTION("""COMPUTED_VALUE"""),"COTOPAXI")</f>
        <v>COTOPAXI</v>
      </c>
      <c r="N1221" s="65" t="str">
        <f>IFERROR(__xludf.DUMMYFUNCTION("""COMPUTED_VALUE"""),"LATACUNGA")</f>
        <v>LATACUNGA</v>
      </c>
      <c r="O1221" s="65" t="str">
        <f>IFERROR(__xludf.DUMMYFUNCTION("""COMPUTED_VALUE"""),"Av Oriente y Juan Abel Echeverria San Sebastián -")</f>
        <v>Av Oriente y Juan Abel Echeverria San Sebastián -</v>
      </c>
      <c r="P1221" s="65"/>
      <c r="Q1221" s="65" t="str">
        <f>IFERROR(__xludf.DUMMYFUNCTION("""COMPUTED_VALUE"""),"GINTRACOM")</f>
        <v>GINTRACOM</v>
      </c>
      <c r="R1221" s="65">
        <f>IFERROR(__xludf.DUMMYFUNCTION("""COMPUTED_VALUE"""),20.0)</f>
        <v>20</v>
      </c>
      <c r="S1221" s="65">
        <f>IFERROR(__xludf.DUMMYFUNCTION("""COMPUTED_VALUE"""),11.89)</f>
        <v>11.89</v>
      </c>
      <c r="T1221" s="65">
        <f>IFERROR(__xludf.DUMMYFUNCTION("""COMPUTED_VALUE"""),5.76)</f>
        <v>5.76</v>
      </c>
      <c r="U1221" s="65">
        <f>IFERROR(__xludf.DUMMYFUNCTION("""COMPUTED_VALUE"""),0.0)</f>
        <v>0</v>
      </c>
      <c r="V1221" s="65">
        <f>IFERROR(__xludf.DUMMYFUNCTION("""COMPUTED_VALUE"""),0.0)</f>
        <v>0</v>
      </c>
      <c r="W1221" s="65">
        <f>IFERROR(__xludf.DUMMYFUNCTION("""COMPUTED_VALUE"""),0.0)</f>
        <v>0</v>
      </c>
      <c r="X1221" s="65">
        <f>IFERROR(__xludf.DUMMYFUNCTION("""COMPUTED_VALUE"""),2.35)</f>
        <v>2.35</v>
      </c>
      <c r="Y1221" s="65">
        <f>IFERROR(__xludf.DUMMYFUNCTION("""COMPUTED_VALUE"""),2.35)</f>
        <v>2.35</v>
      </c>
      <c r="Z1221" s="65">
        <f>IFERROR(__xludf.DUMMYFUNCTION("""COMPUTED_VALUE"""),116679.0)</f>
        <v>116679</v>
      </c>
      <c r="AA1221" s="65" t="str">
        <f>IFERROR(__xludf.DUMMYFUNCTION("""COMPUTED_VALUE"""),"AMC-2738")</f>
        <v>AMC-2738</v>
      </c>
      <c r="AB1221" s="65"/>
      <c r="AC1221" s="65" t="str">
        <f>IFERROR(__xludf.DUMMYFUNCTION("""COMPUTED_VALUE"""),"ESPONJA ANTILLUVIA DE PARABRISAS")</f>
        <v>ESPONJA ANTILLUVIA DE PARABRISAS</v>
      </c>
      <c r="AD1221" s="65"/>
      <c r="AE1221" s="65">
        <f>IFERROR(__xludf.DUMMYFUNCTION("""COMPUTED_VALUE"""),1.0)</f>
        <v>1</v>
      </c>
      <c r="AF1221" s="65"/>
      <c r="AG1221" s="65"/>
      <c r="AH1221" s="65"/>
      <c r="AI1221" s="65"/>
      <c r="AJ1221" s="65"/>
      <c r="AK1221" s="65"/>
      <c r="AL1221" s="65"/>
      <c r="AM1221" s="65"/>
      <c r="AN1221" s="65" t="str">
        <f>IFERROR(__xludf.DUMMYFUNCTION("""COMPUTED_VALUE"""),"01:31")</f>
        <v>01:31</v>
      </c>
      <c r="AO1221" s="65" t="str">
        <f>IFERROR(__xludf.DUMMYFUNCTION("""COMPUTED_VALUE"""),"07-02-2026")</f>
        <v>07-02-2026</v>
      </c>
      <c r="AP1221" s="65" t="str">
        <f>IFERROR(__xludf.DUMMYFUNCTION("""COMPUTED_VALUE"""),"ENTREGADA GINTRACOM")</f>
        <v>ENTREGADA GINTRACOM</v>
      </c>
      <c r="AQ1221" s="65" t="str">
        <f>IFERROR(__xludf.DUMMYFUNCTION("""COMPUTED_VALUE"""),"ENTREGADA GINTRACOM")</f>
        <v>ENTREGADA GINTRACOM</v>
      </c>
      <c r="AR1221" s="65"/>
      <c r="AS1221" s="65"/>
      <c r="AT1221" s="65" t="str">
        <f>IFERROR(__xludf.DUMMYFUNCTION("""COMPUTED_VALUE"""),"SHOPIFY")</f>
        <v>SHOPIFY</v>
      </c>
      <c r="AU1221" s="65" t="str">
        <f>IFERROR(__xludf.DUMMYFUNCTION("""COMPUTED_VALUE"""),"IMPORTEX EC")</f>
        <v>IMPORTEX EC</v>
      </c>
      <c r="AV1221" s="65" t="str">
        <f>IFERROR(__xludf.DUMMYFUNCTION("""COMPUTED_VALUE"""),"6464121405484")</f>
        <v>6464121405484</v>
      </c>
      <c r="AW1221" s="65">
        <f>IFERROR(__xludf.DUMMYFUNCTION("""COMPUTED_VALUE"""),5678.0)</f>
        <v>5678</v>
      </c>
      <c r="AX1221" s="65"/>
      <c r="AY1221" s="65" t="str">
        <f>IFERROR(__xludf.DUMMYFUNCTION("""COMPUTED_VALUE"""),"02/02/2026")</f>
        <v>02/02/2026</v>
      </c>
      <c r="AZ1221" s="65"/>
      <c r="BA1221" s="65"/>
    </row>
    <row r="1222">
      <c r="A1222" s="65" t="str">
        <f>IFERROR(__xludf.DUMMYFUNCTION("""COMPUTED_VALUE"""),"27-03-2026")</f>
        <v>27-03-2026</v>
      </c>
      <c r="B1222" s="65">
        <f>IFERROR(__xludf.DUMMYFUNCTION("""COMPUTED_VALUE"""),4337691.0)</f>
        <v>4337691</v>
      </c>
      <c r="C1222" s="65" t="str">
        <f>IFERROR(__xludf.DUMMYFUNCTION("""COMPUTED_VALUE"""),"22:17")</f>
        <v>22:17</v>
      </c>
      <c r="D1222" s="65" t="str">
        <f>IFERROR(__xludf.DUMMYFUNCTION("""COMPUTED_VALUE"""),"30-01-2026")</f>
        <v>30-01-2026</v>
      </c>
      <c r="E1222" s="65" t="str">
        <f>IFERROR(__xludf.DUMMYFUNCTION("""COMPUTED_VALUE"""),"Jefferson hernandez")</f>
        <v>Jefferson hernandez</v>
      </c>
      <c r="F1222" s="65" t="str">
        <f>IFERROR(__xludf.DUMMYFUNCTION("""COMPUTED_VALUE"""),"989429540")</f>
        <v>989429540</v>
      </c>
      <c r="G1222" s="65" t="str">
        <f>IFERROR(__xludf.DUMMYFUNCTION("""COMPUTED_VALUE"""),"hernandezjeferson291@gmail.com")</f>
        <v>hernandezjeferson291@gmail.com</v>
      </c>
      <c r="H1222" s="65"/>
      <c r="I1222" s="65"/>
      <c r="J1222" s="65"/>
      <c r="K1222" s="65" t="str">
        <f>IFERROR(__xludf.DUMMYFUNCTION("""COMPUTED_VALUE"""),"PENDIENTE CONFIRMACION")</f>
        <v>PENDIENTE CONFIRMACION</v>
      </c>
      <c r="L1222" s="65" t="str">
        <f>IFERROR(__xludf.DUMMYFUNCTION("""COMPUTED_VALUE"""),"CON RECAUDO")</f>
        <v>CON RECAUDO</v>
      </c>
      <c r="M1222" s="65" t="str">
        <f>IFERROR(__xludf.DUMMYFUNCTION("""COMPUTED_VALUE"""),"COTOPAXI")</f>
        <v>COTOPAXI</v>
      </c>
      <c r="N1222" s="65" t="str">
        <f>IFERROR(__xludf.DUMMYFUNCTION("""COMPUTED_VALUE"""),"LATACUNGA")</f>
        <v>LATACUNGA</v>
      </c>
      <c r="O1222" s="65" t="str">
        <f>IFERROR(__xludf.DUMMYFUNCTION("""COMPUTED_VALUE"""),"calle A ruille ripanda velemitas -")</f>
        <v>calle A ruille ripanda velemitas -</v>
      </c>
      <c r="P1222" s="65"/>
      <c r="Q1222" s="65" t="str">
        <f>IFERROR(__xludf.DUMMYFUNCTION("""COMPUTED_VALUE"""),"GINTRACOM")</f>
        <v>GINTRACOM</v>
      </c>
      <c r="R1222" s="65">
        <f>IFERROR(__xludf.DUMMYFUNCTION("""COMPUTED_VALUE"""),22.0)</f>
        <v>22</v>
      </c>
      <c r="S1222" s="65"/>
      <c r="T1222" s="65">
        <f>IFERROR(__xludf.DUMMYFUNCTION("""COMPUTED_VALUE"""),5.84)</f>
        <v>5.84</v>
      </c>
      <c r="U1222" s="65">
        <f>IFERROR(__xludf.DUMMYFUNCTION("""COMPUTED_VALUE"""),0.0)</f>
        <v>0</v>
      </c>
      <c r="V1222" s="65">
        <f>IFERROR(__xludf.DUMMYFUNCTION("""COMPUTED_VALUE"""),0.0)</f>
        <v>0</v>
      </c>
      <c r="W1222" s="65">
        <f>IFERROR(__xludf.DUMMYFUNCTION("""COMPUTED_VALUE"""),0.0)</f>
        <v>0</v>
      </c>
      <c r="X1222" s="65">
        <f>IFERROR(__xludf.DUMMYFUNCTION("""COMPUTED_VALUE"""),2.6)</f>
        <v>2.6</v>
      </c>
      <c r="Y1222" s="65">
        <f>IFERROR(__xludf.DUMMYFUNCTION("""COMPUTED_VALUE"""),5.2)</f>
        <v>5.2</v>
      </c>
      <c r="Z1222" s="65">
        <f>IFERROR(__xludf.DUMMYFUNCTION("""COMPUTED_VALUE"""),121983.0)</f>
        <v>121983</v>
      </c>
      <c r="AA1222" s="65" t="str">
        <f>IFERROR(__xludf.DUMMYFUNCTION("""COMPUTED_VALUE"""),"PROV-CHLLCF")</f>
        <v>PROV-CHLLCF</v>
      </c>
      <c r="AB1222" s="65"/>
      <c r="AC1222" s="65" t="str">
        <f>IFERROR(__xludf.DUMMYFUNCTION("""COMPUTED_VALUE"""),"CUCHILLO PARA CHEF")</f>
        <v>CUCHILLO PARA CHEF</v>
      </c>
      <c r="AD1222" s="65"/>
      <c r="AE1222" s="65">
        <f>IFERROR(__xludf.DUMMYFUNCTION("""COMPUTED_VALUE"""),2.0)</f>
        <v>2</v>
      </c>
      <c r="AF1222" s="65"/>
      <c r="AG1222" s="65"/>
      <c r="AH1222" s="65"/>
      <c r="AI1222" s="65"/>
      <c r="AJ1222" s="65"/>
      <c r="AK1222" s="65"/>
      <c r="AL1222" s="65"/>
      <c r="AM1222" s="65"/>
      <c r="AN1222" s="65"/>
      <c r="AO1222" s="65"/>
      <c r="AP1222" s="65"/>
      <c r="AQ1222" s="65"/>
      <c r="AR1222" s="65"/>
      <c r="AS1222" s="65"/>
      <c r="AT1222" s="65" t="str">
        <f>IFERROR(__xludf.DUMMYFUNCTION("""COMPUTED_VALUE"""),"SHOPIFY")</f>
        <v>SHOPIFY</v>
      </c>
      <c r="AU1222" s="65" t="str">
        <f>IFERROR(__xludf.DUMMYFUNCTION("""COMPUTED_VALUE"""),"IMPORTEX EC")</f>
        <v>IMPORTEX EC</v>
      </c>
      <c r="AV1222" s="65" t="str">
        <f>IFERROR(__xludf.DUMMYFUNCTION("""COMPUTED_VALUE"""),"6464026607660")</f>
        <v>6464026607660</v>
      </c>
      <c r="AW1222" s="65">
        <f>IFERROR(__xludf.DUMMYFUNCTION("""COMPUTED_VALUE"""),5676.0)</f>
        <v>5676</v>
      </c>
      <c r="AX1222" s="65"/>
      <c r="AY1222" s="65"/>
      <c r="AZ1222" s="65"/>
      <c r="BA1222" s="65"/>
    </row>
    <row r="1223">
      <c r="A1223" s="65" t="str">
        <f>IFERROR(__xludf.DUMMYFUNCTION("""COMPUTED_VALUE"""),"27-03-2026")</f>
        <v>27-03-2026</v>
      </c>
      <c r="B1223" s="65">
        <f>IFERROR(__xludf.DUMMYFUNCTION("""COMPUTED_VALUE"""),4337413.0)</f>
        <v>4337413</v>
      </c>
      <c r="C1223" s="65" t="str">
        <f>IFERROR(__xludf.DUMMYFUNCTION("""COMPUTED_VALUE"""),"21:50")</f>
        <v>21:50</v>
      </c>
      <c r="D1223" s="65" t="str">
        <f>IFERROR(__xludf.DUMMYFUNCTION("""COMPUTED_VALUE"""),"30-01-2026")</f>
        <v>30-01-2026</v>
      </c>
      <c r="E1223" s="65" t="str">
        <f>IFERROR(__xludf.DUMMYFUNCTION("""COMPUTED_VALUE"""),"Jeiny Zambrano")</f>
        <v>Jeiny Zambrano</v>
      </c>
      <c r="F1223" s="65" t="str">
        <f>IFERROR(__xludf.DUMMYFUNCTION("""COMPUTED_VALUE"""),"959264259")</f>
        <v>959264259</v>
      </c>
      <c r="G1223" s="65" t="str">
        <f>IFERROR(__xludf.DUMMYFUNCTION("""COMPUTED_VALUE"""),"jennyzambrano737@gmail.com")</f>
        <v>jennyzambrano737@gmail.com</v>
      </c>
      <c r="H1223" s="65"/>
      <c r="I1223" s="65"/>
      <c r="J1223" s="65"/>
      <c r="K1223" s="65" t="str">
        <f>IFERROR(__xludf.DUMMYFUNCTION("""COMPUTED_VALUE"""),"PENDIENTE CONFIRMACION")</f>
        <v>PENDIENTE CONFIRMACION</v>
      </c>
      <c r="L1223" s="65" t="str">
        <f>IFERROR(__xludf.DUMMYFUNCTION("""COMPUTED_VALUE"""),"CON RECAUDO")</f>
        <v>CON RECAUDO</v>
      </c>
      <c r="M1223" s="65" t="str">
        <f>IFERROR(__xludf.DUMMYFUNCTION("""COMPUTED_VALUE"""),"MANABI")</f>
        <v>MANABI</v>
      </c>
      <c r="N1223" s="65" t="str">
        <f>IFERROR(__xludf.DUMMYFUNCTION("""COMPUTED_VALUE"""),"CRUCITA")</f>
        <v>CRUCITA</v>
      </c>
      <c r="O1223" s="65" t="str">
        <f>IFERROR(__xludf.DUMMYFUNCTION("""COMPUTED_VALUE"""),"Crusita la elvira La elvira -")</f>
        <v>Crusita la elvira La elvira -</v>
      </c>
      <c r="P1223" s="65"/>
      <c r="Q1223" s="65" t="str">
        <f>IFERROR(__xludf.DUMMYFUNCTION("""COMPUTED_VALUE"""),"GINTRACOM")</f>
        <v>GINTRACOM</v>
      </c>
      <c r="R1223" s="65">
        <f>IFERROR(__xludf.DUMMYFUNCTION("""COMPUTED_VALUE"""),27.0)</f>
        <v>27</v>
      </c>
      <c r="S1223" s="65"/>
      <c r="T1223" s="65">
        <f>IFERROR(__xludf.DUMMYFUNCTION("""COMPUTED_VALUE"""),6.6)</f>
        <v>6.6</v>
      </c>
      <c r="U1223" s="65">
        <f>IFERROR(__xludf.DUMMYFUNCTION("""COMPUTED_VALUE"""),0.0)</f>
        <v>0</v>
      </c>
      <c r="V1223" s="65">
        <f>IFERROR(__xludf.DUMMYFUNCTION("""COMPUTED_VALUE"""),0.0)</f>
        <v>0</v>
      </c>
      <c r="W1223" s="65">
        <f>IFERROR(__xludf.DUMMYFUNCTION("""COMPUTED_VALUE"""),0.0)</f>
        <v>0</v>
      </c>
      <c r="X1223" s="65">
        <f>IFERROR(__xludf.DUMMYFUNCTION("""COMPUTED_VALUE"""),2.6)</f>
        <v>2.6</v>
      </c>
      <c r="Y1223" s="65">
        <f>IFERROR(__xludf.DUMMYFUNCTION("""COMPUTED_VALUE"""),7.8)</f>
        <v>7.8</v>
      </c>
      <c r="Z1223" s="65">
        <f>IFERROR(__xludf.DUMMYFUNCTION("""COMPUTED_VALUE"""),121983.0)</f>
        <v>121983</v>
      </c>
      <c r="AA1223" s="65" t="str">
        <f>IFERROR(__xludf.DUMMYFUNCTION("""COMPUTED_VALUE"""),"PROV-CHLLCF")</f>
        <v>PROV-CHLLCF</v>
      </c>
      <c r="AB1223" s="65"/>
      <c r="AC1223" s="65" t="str">
        <f>IFERROR(__xludf.DUMMYFUNCTION("""COMPUTED_VALUE"""),"CUCHILLO PARA CHEF")</f>
        <v>CUCHILLO PARA CHEF</v>
      </c>
      <c r="AD1223" s="65"/>
      <c r="AE1223" s="65">
        <f>IFERROR(__xludf.DUMMYFUNCTION("""COMPUTED_VALUE"""),3.0)</f>
        <v>3</v>
      </c>
      <c r="AF1223" s="65"/>
      <c r="AG1223" s="65"/>
      <c r="AH1223" s="65"/>
      <c r="AI1223" s="65"/>
      <c r="AJ1223" s="65"/>
      <c r="AK1223" s="65"/>
      <c r="AL1223" s="65"/>
      <c r="AM1223" s="65"/>
      <c r="AN1223" s="65"/>
      <c r="AO1223" s="65"/>
      <c r="AP1223" s="65"/>
      <c r="AQ1223" s="65"/>
      <c r="AR1223" s="65"/>
      <c r="AS1223" s="65"/>
      <c r="AT1223" s="65" t="str">
        <f>IFERROR(__xludf.DUMMYFUNCTION("""COMPUTED_VALUE"""),"SHOPIFY")</f>
        <v>SHOPIFY</v>
      </c>
      <c r="AU1223" s="65" t="str">
        <f>IFERROR(__xludf.DUMMYFUNCTION("""COMPUTED_VALUE"""),"IMPORTEX EC")</f>
        <v>IMPORTEX EC</v>
      </c>
      <c r="AV1223" s="65" t="str">
        <f>IFERROR(__xludf.DUMMYFUNCTION("""COMPUTED_VALUE"""),"6463963660332")</f>
        <v>6463963660332</v>
      </c>
      <c r="AW1223" s="65">
        <f>IFERROR(__xludf.DUMMYFUNCTION("""COMPUTED_VALUE"""),5675.0)</f>
        <v>5675</v>
      </c>
      <c r="AX1223" s="65"/>
      <c r="AY1223" s="65"/>
      <c r="AZ1223" s="65"/>
      <c r="BA1223" s="65"/>
    </row>
    <row r="1224">
      <c r="A1224" s="65" t="str">
        <f>IFERROR(__xludf.DUMMYFUNCTION("""COMPUTED_VALUE"""),"27-03-2026")</f>
        <v>27-03-2026</v>
      </c>
      <c r="B1224" s="65">
        <f>IFERROR(__xludf.DUMMYFUNCTION("""COMPUTED_VALUE"""),4337342.0)</f>
        <v>4337342</v>
      </c>
      <c r="C1224" s="65" t="str">
        <f>IFERROR(__xludf.DUMMYFUNCTION("""COMPUTED_VALUE"""),"21:43")</f>
        <v>21:43</v>
      </c>
      <c r="D1224" s="65" t="str">
        <f>IFERROR(__xludf.DUMMYFUNCTION("""COMPUTED_VALUE"""),"30-01-2026")</f>
        <v>30-01-2026</v>
      </c>
      <c r="E1224" s="65" t="str">
        <f>IFERROR(__xludf.DUMMYFUNCTION("""COMPUTED_VALUE"""),"Luis Alfredo Montalvan Montalvan")</f>
        <v>Luis Alfredo Montalvan Montalvan</v>
      </c>
      <c r="F1224" s="65" t="str">
        <f>IFERROR(__xludf.DUMMYFUNCTION("""COMPUTED_VALUE"""),"987139281")</f>
        <v>987139281</v>
      </c>
      <c r="G1224" s="65" t="str">
        <f>IFERROR(__xludf.DUMMYFUNCTION("""COMPUTED_VALUE"""),"lmontalvanmontalvan161@gmail.com")</f>
        <v>lmontalvanmontalvan161@gmail.com</v>
      </c>
      <c r="H1224" s="65"/>
      <c r="I1224" s="65"/>
      <c r="J1224" s="65" t="str">
        <f>IFERROR(__xludf.DUMMYFUNCTION("""COMPUTED_VALUE"""),"D001288609")</f>
        <v>D001288609</v>
      </c>
      <c r="K1224" s="65" t="str">
        <f>IFERROR(__xludf.DUMMYFUNCTION("""COMPUTED_VALUE"""),"DEVOLUCION")</f>
        <v>DEVOLUCION</v>
      </c>
      <c r="L1224" s="65" t="str">
        <f>IFERROR(__xludf.DUMMYFUNCTION("""COMPUTED_VALUE"""),"CON RECAUDO")</f>
        <v>CON RECAUDO</v>
      </c>
      <c r="M1224" s="65" t="str">
        <f>IFERROR(__xludf.DUMMYFUNCTION("""COMPUTED_VALUE"""),"MANABI")</f>
        <v>MANABI</v>
      </c>
      <c r="N1224" s="65" t="str">
        <f>IFERROR(__xludf.DUMMYFUNCTION("""COMPUTED_VALUE"""),"EL CARMEN")</f>
        <v>EL CARMEN</v>
      </c>
      <c r="O1224" s="65" t="str">
        <f>IFERROR(__xludf.DUMMYFUNCTION("""COMPUTED_VALUE"""),"Vía chone Kilometro 40, En la calle Humberto Garcia y Angela Cedeño , REF : Frente a la cancha multiple")</f>
        <v>Vía chone Kilometro 40, En la calle Humberto Garcia y Angela Cedeño , REF : Frente a la cancha multiple</v>
      </c>
      <c r="P1224" s="65"/>
      <c r="Q1224" s="65" t="str">
        <f>IFERROR(__xludf.DUMMYFUNCTION("""COMPUTED_VALUE"""),"GINTRACOM")</f>
        <v>GINTRACOM</v>
      </c>
      <c r="R1224" s="65">
        <f>IFERROR(__xludf.DUMMYFUNCTION("""COMPUTED_VALUE"""),30.0)</f>
        <v>30</v>
      </c>
      <c r="S1224" s="65"/>
      <c r="T1224" s="65">
        <f>IFERROR(__xludf.DUMMYFUNCTION("""COMPUTED_VALUE"""),6.16)</f>
        <v>6.16</v>
      </c>
      <c r="U1224" s="65">
        <f>IFERROR(__xludf.DUMMYFUNCTION("""COMPUTED_VALUE"""),0.0)</f>
        <v>0</v>
      </c>
      <c r="V1224" s="65">
        <f>IFERROR(__xludf.DUMMYFUNCTION("""COMPUTED_VALUE"""),0.0)</f>
        <v>0</v>
      </c>
      <c r="W1224" s="65">
        <f>IFERROR(__xludf.DUMMYFUNCTION("""COMPUTED_VALUE"""),0.0)</f>
        <v>0</v>
      </c>
      <c r="X1224" s="65">
        <f>IFERROR(__xludf.DUMMYFUNCTION("""COMPUTED_VALUE"""),2.35)</f>
        <v>2.35</v>
      </c>
      <c r="Y1224" s="65">
        <f>IFERROR(__xludf.DUMMYFUNCTION("""COMPUTED_VALUE"""),7.05)</f>
        <v>7.05</v>
      </c>
      <c r="Z1224" s="65">
        <f>IFERROR(__xludf.DUMMYFUNCTION("""COMPUTED_VALUE"""),116679.0)</f>
        <v>116679</v>
      </c>
      <c r="AA1224" s="65" t="str">
        <f>IFERROR(__xludf.DUMMYFUNCTION("""COMPUTED_VALUE"""),"AMC-2738")</f>
        <v>AMC-2738</v>
      </c>
      <c r="AB1224" s="65"/>
      <c r="AC1224" s="65" t="str">
        <f>IFERROR(__xludf.DUMMYFUNCTION("""COMPUTED_VALUE"""),"ESPONJA ANTILLUVIA DE PARABRISAS")</f>
        <v>ESPONJA ANTILLUVIA DE PARABRISAS</v>
      </c>
      <c r="AD1224" s="65"/>
      <c r="AE1224" s="65">
        <f>IFERROR(__xludf.DUMMYFUNCTION("""COMPUTED_VALUE"""),3.0)</f>
        <v>3</v>
      </c>
      <c r="AF1224" s="65" t="str">
        <f>IFERROR(__xludf.DUMMYFUNCTION("""COMPUTED_VALUE"""),"DESTINATARIO NO CONTESTA LLAMADAS NI WHATSAPP")</f>
        <v>DESTINATARIO NO CONTESTA LLAMADAS NI WHATSAPP</v>
      </c>
      <c r="AG1224" s="65" t="str">
        <f>IFERROR(__xludf.DUMMYFUNCTION("""COMPUTED_VALUE"""),"NO")</f>
        <v>NO</v>
      </c>
      <c r="AH1224" s="65" t="str">
        <f>IFERROR(__xludf.DUMMYFUNCTION("""COMPUTED_VALUE"""),"09:00")</f>
        <v>09:00</v>
      </c>
      <c r="AI1224" s="65" t="str">
        <f>IFERROR(__xludf.DUMMYFUNCTION("""COMPUTED_VALUE"""),"14-02-2026")</f>
        <v>14-02-2026</v>
      </c>
      <c r="AJ1224" s="65"/>
      <c r="AK1224" s="65"/>
      <c r="AL1224" s="65"/>
      <c r="AM1224" s="65"/>
      <c r="AN1224" s="65" t="str">
        <f>IFERROR(__xludf.DUMMYFUNCTION("""COMPUTED_VALUE"""),"22:07")</f>
        <v>22:07</v>
      </c>
      <c r="AO1224" s="65" t="str">
        <f>IFERROR(__xludf.DUMMYFUNCTION("""COMPUTED_VALUE"""),"02-03-2026")</f>
        <v>02-03-2026</v>
      </c>
      <c r="AP1224" s="65" t="str">
        <f>IFERROR(__xludf.DUMMYFUNCTION("""COMPUTED_VALUE"""),"DEVOLUCIÓN ENTREGADA A ORIGEN")</f>
        <v>DEVOLUCIÓN ENTREGADA A ORIGEN</v>
      </c>
      <c r="AQ1224" s="65" t="str">
        <f>IFERROR(__xludf.DUMMYFUNCTION("""COMPUTED_VALUE"""),"DEVOLUCIÓN ENTREGADA A ORIGEN")</f>
        <v>DEVOLUCIÓN ENTREGADA A ORIGEN</v>
      </c>
      <c r="AR1224" s="65"/>
      <c r="AS1224" s="65"/>
      <c r="AT1224" s="65" t="str">
        <f>IFERROR(__xludf.DUMMYFUNCTION("""COMPUTED_VALUE"""),"SHOPIFY")</f>
        <v>SHOPIFY</v>
      </c>
      <c r="AU1224" s="65" t="str">
        <f>IFERROR(__xludf.DUMMYFUNCTION("""COMPUTED_VALUE"""),"IMPORTEX EC")</f>
        <v>IMPORTEX EC</v>
      </c>
      <c r="AV1224" s="65" t="str">
        <f>IFERROR(__xludf.DUMMYFUNCTION("""COMPUTED_VALUE"""),"6463948521516")</f>
        <v>6463948521516</v>
      </c>
      <c r="AW1224" s="65">
        <f>IFERROR(__xludf.DUMMYFUNCTION("""COMPUTED_VALUE"""),5674.0)</f>
        <v>5674</v>
      </c>
      <c r="AX1224" s="65"/>
      <c r="AY1224" s="65" t="str">
        <f>IFERROR(__xludf.DUMMYFUNCTION("""COMPUTED_VALUE"""),"02/02/2026")</f>
        <v>02/02/2026</v>
      </c>
      <c r="AZ1224" s="65"/>
      <c r="BA1224" s="65"/>
    </row>
    <row r="1225">
      <c r="A1225" s="65" t="str">
        <f>IFERROR(__xludf.DUMMYFUNCTION("""COMPUTED_VALUE"""),"27-03-2026")</f>
        <v>27-03-2026</v>
      </c>
      <c r="B1225" s="65">
        <f>IFERROR(__xludf.DUMMYFUNCTION("""COMPUTED_VALUE"""),4337316.0)</f>
        <v>4337316</v>
      </c>
      <c r="C1225" s="65" t="str">
        <f>IFERROR(__xludf.DUMMYFUNCTION("""COMPUTED_VALUE"""),"21:41")</f>
        <v>21:41</v>
      </c>
      <c r="D1225" s="65" t="str">
        <f>IFERROR(__xludf.DUMMYFUNCTION("""COMPUTED_VALUE"""),"30-01-2026")</f>
        <v>30-01-2026</v>
      </c>
      <c r="E1225" s="65" t="str">
        <f>IFERROR(__xludf.DUMMYFUNCTION("""COMPUTED_VALUE"""),"Mario Patiño")</f>
        <v>Mario Patiño</v>
      </c>
      <c r="F1225" s="65" t="str">
        <f>IFERROR(__xludf.DUMMYFUNCTION("""COMPUTED_VALUE"""),"984125974")</f>
        <v>984125974</v>
      </c>
      <c r="G1225" s="65" t="str">
        <f>IFERROR(__xludf.DUMMYFUNCTION("""COMPUTED_VALUE"""),"mario_torres15@live.com")</f>
        <v>mario_torres15@live.com</v>
      </c>
      <c r="H1225" s="65"/>
      <c r="I1225" s="65"/>
      <c r="J1225" s="65" t="str">
        <f>IFERROR(__xludf.DUMMYFUNCTION("""COMPUTED_VALUE"""),"D001290787")</f>
        <v>D001290787</v>
      </c>
      <c r="K1225" s="65" t="str">
        <f>IFERROR(__xludf.DUMMYFUNCTION("""COMPUTED_VALUE"""),"ENTREGADO")</f>
        <v>ENTREGADO</v>
      </c>
      <c r="L1225" s="65" t="str">
        <f>IFERROR(__xludf.DUMMYFUNCTION("""COMPUTED_VALUE"""),"CON RECAUDO")</f>
        <v>CON RECAUDO</v>
      </c>
      <c r="M1225" s="65" t="str">
        <f>IFERROR(__xludf.DUMMYFUNCTION("""COMPUTED_VALUE"""),"PICHINCHA")</f>
        <v>PICHINCHA</v>
      </c>
      <c r="N1225" s="65" t="str">
        <f>IFERROR(__xludf.DUMMYFUNCTION("""COMPUTED_VALUE"""),"QUITO")</f>
        <v>QUITO</v>
      </c>
      <c r="O1225" s="65" t="str">
        <f>IFERROR(__xludf.DUMMYFUNCTION("""COMPUTED_VALUE"""),"Francisco de Albornoz y pasaje cesar castel lotex20 Frente casa blanca de 3 pisos -")</f>
        <v>Francisco de Albornoz y pasaje cesar castel lotex20 Frente casa blanca de 3 pisos -</v>
      </c>
      <c r="P1225" s="65"/>
      <c r="Q1225" s="65" t="str">
        <f>IFERROR(__xludf.DUMMYFUNCTION("""COMPUTED_VALUE"""),"GINTRACOM")</f>
        <v>GINTRACOM</v>
      </c>
      <c r="R1225" s="65">
        <f>IFERROR(__xludf.DUMMYFUNCTION("""COMPUTED_VALUE"""),22.0)</f>
        <v>22</v>
      </c>
      <c r="S1225" s="65">
        <f>IFERROR(__xludf.DUMMYFUNCTION("""COMPUTED_VALUE"""),10.96)</f>
        <v>10.96</v>
      </c>
      <c r="T1225" s="65">
        <f>IFERROR(__xludf.DUMMYFUNCTION("""COMPUTED_VALUE"""),5.84)</f>
        <v>5.84</v>
      </c>
      <c r="U1225" s="65">
        <f>IFERROR(__xludf.DUMMYFUNCTION("""COMPUTED_VALUE"""),0.0)</f>
        <v>0</v>
      </c>
      <c r="V1225" s="65">
        <f>IFERROR(__xludf.DUMMYFUNCTION("""COMPUTED_VALUE"""),0.0)</f>
        <v>0</v>
      </c>
      <c r="W1225" s="65">
        <f>IFERROR(__xludf.DUMMYFUNCTION("""COMPUTED_VALUE"""),0.0)</f>
        <v>0</v>
      </c>
      <c r="X1225" s="65">
        <f>IFERROR(__xludf.DUMMYFUNCTION("""COMPUTED_VALUE"""),2.6)</f>
        <v>2.6</v>
      </c>
      <c r="Y1225" s="65">
        <f>IFERROR(__xludf.DUMMYFUNCTION("""COMPUTED_VALUE"""),5.2)</f>
        <v>5.2</v>
      </c>
      <c r="Z1225" s="65">
        <f>IFERROR(__xludf.DUMMYFUNCTION("""COMPUTED_VALUE"""),121983.0)</f>
        <v>121983</v>
      </c>
      <c r="AA1225" s="65" t="str">
        <f>IFERROR(__xludf.DUMMYFUNCTION("""COMPUTED_VALUE"""),"PROV-CHLLCF")</f>
        <v>PROV-CHLLCF</v>
      </c>
      <c r="AB1225" s="65"/>
      <c r="AC1225" s="65" t="str">
        <f>IFERROR(__xludf.DUMMYFUNCTION("""COMPUTED_VALUE"""),"CUCHILLO PARA CHEF")</f>
        <v>CUCHILLO PARA CHEF</v>
      </c>
      <c r="AD1225" s="65"/>
      <c r="AE1225" s="65">
        <f>IFERROR(__xludf.DUMMYFUNCTION("""COMPUTED_VALUE"""),2.0)</f>
        <v>2</v>
      </c>
      <c r="AF1225" s="65"/>
      <c r="AG1225" s="65"/>
      <c r="AH1225" s="65"/>
      <c r="AI1225" s="65"/>
      <c r="AJ1225" s="65"/>
      <c r="AK1225" s="65"/>
      <c r="AL1225" s="65"/>
      <c r="AM1225" s="65"/>
      <c r="AN1225" s="65" t="str">
        <f>IFERROR(__xludf.DUMMYFUNCTION("""COMPUTED_VALUE"""),"21:26")</f>
        <v>21:26</v>
      </c>
      <c r="AO1225" s="65" t="str">
        <f>IFERROR(__xludf.DUMMYFUNCTION("""COMPUTED_VALUE"""),"09-02-2026")</f>
        <v>09-02-2026</v>
      </c>
      <c r="AP1225" s="65" t="str">
        <f>IFERROR(__xludf.DUMMYFUNCTION("""COMPUTED_VALUE"""),"ENTREGADA GINTRACOM")</f>
        <v>ENTREGADA GINTRACOM</v>
      </c>
      <c r="AQ1225" s="65" t="str">
        <f>IFERROR(__xludf.DUMMYFUNCTION("""COMPUTED_VALUE"""),"ENTREGADA GINTRACOM")</f>
        <v>ENTREGADA GINTRACOM</v>
      </c>
      <c r="AR1225" s="65"/>
      <c r="AS1225" s="65"/>
      <c r="AT1225" s="65" t="str">
        <f>IFERROR(__xludf.DUMMYFUNCTION("""COMPUTED_VALUE"""),"SHOPIFY")</f>
        <v>SHOPIFY</v>
      </c>
      <c r="AU1225" s="65" t="str">
        <f>IFERROR(__xludf.DUMMYFUNCTION("""COMPUTED_VALUE"""),"IMPORTEX EC")</f>
        <v>IMPORTEX EC</v>
      </c>
      <c r="AV1225" s="65" t="str">
        <f>IFERROR(__xludf.DUMMYFUNCTION("""COMPUTED_VALUE"""),"6463943114796")</f>
        <v>6463943114796</v>
      </c>
      <c r="AW1225" s="65">
        <f>IFERROR(__xludf.DUMMYFUNCTION("""COMPUTED_VALUE"""),5673.0)</f>
        <v>5673</v>
      </c>
      <c r="AX1225" s="65"/>
      <c r="AY1225" s="65" t="str">
        <f>IFERROR(__xludf.DUMMYFUNCTION("""COMPUTED_VALUE"""),"03/02/2026")</f>
        <v>03/02/2026</v>
      </c>
      <c r="AZ1225" s="65"/>
      <c r="BA1225" s="65"/>
    </row>
    <row r="1226">
      <c r="A1226" s="65" t="str">
        <f>IFERROR(__xludf.DUMMYFUNCTION("""COMPUTED_VALUE"""),"27-03-2026")</f>
        <v>27-03-2026</v>
      </c>
      <c r="B1226" s="65">
        <f>IFERROR(__xludf.DUMMYFUNCTION("""COMPUTED_VALUE"""),4337156.0)</f>
        <v>4337156</v>
      </c>
      <c r="C1226" s="65" t="str">
        <f>IFERROR(__xludf.DUMMYFUNCTION("""COMPUTED_VALUE"""),"21:25")</f>
        <v>21:25</v>
      </c>
      <c r="D1226" s="65" t="str">
        <f>IFERROR(__xludf.DUMMYFUNCTION("""COMPUTED_VALUE"""),"30-01-2026")</f>
        <v>30-01-2026</v>
      </c>
      <c r="E1226" s="65" t="str">
        <f>IFERROR(__xludf.DUMMYFUNCTION("""COMPUTED_VALUE"""),"Ángel Enrique Sesme veas")</f>
        <v>Ángel Enrique Sesme veas</v>
      </c>
      <c r="F1226" s="65" t="str">
        <f>IFERROR(__xludf.DUMMYFUNCTION("""COMPUTED_VALUE"""),"989128013")</f>
        <v>989128013</v>
      </c>
      <c r="G1226" s="65" t="str">
        <f>IFERROR(__xludf.DUMMYFUNCTION("""COMPUTED_VALUE"""),"sesme.angel@gmail.com")</f>
        <v>sesme.angel@gmail.com</v>
      </c>
      <c r="H1226" s="65"/>
      <c r="I1226" s="65"/>
      <c r="J1226" s="65" t="str">
        <f>IFERROR(__xludf.DUMMYFUNCTION("""COMPUTED_VALUE"""),"D001290789")</f>
        <v>D001290789</v>
      </c>
      <c r="K1226" s="65" t="str">
        <f>IFERROR(__xludf.DUMMYFUNCTION("""COMPUTED_VALUE"""),"DEVOLUCION")</f>
        <v>DEVOLUCION</v>
      </c>
      <c r="L1226" s="65" t="str">
        <f>IFERROR(__xludf.DUMMYFUNCTION("""COMPUTED_VALUE"""),"CON RECAUDO")</f>
        <v>CON RECAUDO</v>
      </c>
      <c r="M1226" s="65" t="str">
        <f>IFERROR(__xludf.DUMMYFUNCTION("""COMPUTED_VALUE"""),"GUAYAS")</f>
        <v>GUAYAS</v>
      </c>
      <c r="N1226" s="65" t="str">
        <f>IFERROR(__xludf.DUMMYFUNCTION("""COMPUTED_VALUE"""),"GUAYAQUIL")</f>
        <v>GUAYAQUIL</v>
      </c>
      <c r="O1226" s="65" t="str">
        <f>IFERROR(__xludf.DUMMYFUNCTION("""COMPUTED_VALUE"""),"La 40 y venezuela Unidad educativa fiscal patria ecuatoriana REFERENCIA : a lado queda el distrito 4 portete")</f>
        <v>La 40 y venezuela Unidad educativa fiscal patria ecuatoriana REFERENCIA : a lado queda el distrito 4 portete</v>
      </c>
      <c r="P1226" s="65"/>
      <c r="Q1226" s="65" t="str">
        <f>IFERROR(__xludf.DUMMYFUNCTION("""COMPUTED_VALUE"""),"GINTRACOM")</f>
        <v>GINTRACOM</v>
      </c>
      <c r="R1226" s="65">
        <f>IFERROR(__xludf.DUMMYFUNCTION("""COMPUTED_VALUE"""),22.0)</f>
        <v>22</v>
      </c>
      <c r="S1226" s="65"/>
      <c r="T1226" s="65">
        <f>IFERROR(__xludf.DUMMYFUNCTION("""COMPUTED_VALUE"""),4.23)</f>
        <v>4.23</v>
      </c>
      <c r="U1226" s="65">
        <f>IFERROR(__xludf.DUMMYFUNCTION("""COMPUTED_VALUE"""),0.0)</f>
        <v>0</v>
      </c>
      <c r="V1226" s="65">
        <f>IFERROR(__xludf.DUMMYFUNCTION("""COMPUTED_VALUE"""),0.0)</f>
        <v>0</v>
      </c>
      <c r="W1226" s="65">
        <f>IFERROR(__xludf.DUMMYFUNCTION("""COMPUTED_VALUE"""),0.0)</f>
        <v>0</v>
      </c>
      <c r="X1226" s="65">
        <f>IFERROR(__xludf.DUMMYFUNCTION("""COMPUTED_VALUE"""),2.6)</f>
        <v>2.6</v>
      </c>
      <c r="Y1226" s="65">
        <f>IFERROR(__xludf.DUMMYFUNCTION("""COMPUTED_VALUE"""),5.2)</f>
        <v>5.2</v>
      </c>
      <c r="Z1226" s="65">
        <f>IFERROR(__xludf.DUMMYFUNCTION("""COMPUTED_VALUE"""),121983.0)</f>
        <v>121983</v>
      </c>
      <c r="AA1226" s="65" t="str">
        <f>IFERROR(__xludf.DUMMYFUNCTION("""COMPUTED_VALUE"""),"PROV-CHLLCF")</f>
        <v>PROV-CHLLCF</v>
      </c>
      <c r="AB1226" s="65"/>
      <c r="AC1226" s="65" t="str">
        <f>IFERROR(__xludf.DUMMYFUNCTION("""COMPUTED_VALUE"""),"CUCHILLO PARA CHEF")</f>
        <v>CUCHILLO PARA CHEF</v>
      </c>
      <c r="AD1226" s="65"/>
      <c r="AE1226" s="65">
        <f>IFERROR(__xludf.DUMMYFUNCTION("""COMPUTED_VALUE"""),2.0)</f>
        <v>2</v>
      </c>
      <c r="AF1226" s="65" t="str">
        <f>IFERROR(__xludf.DUMMYFUNCTION("""COMPUTED_VALUE"""),"DESTINATARIO NO CONTESTA LLAMADAS NI WHATSAPP")</f>
        <v>DESTINATARIO NO CONTESTA LLAMADAS NI WHATSAPP</v>
      </c>
      <c r="AG1226" s="65" t="str">
        <f>IFERROR(__xludf.DUMMYFUNCTION("""COMPUTED_VALUE"""),"NO")</f>
        <v>NO</v>
      </c>
      <c r="AH1226" s="65" t="str">
        <f>IFERROR(__xludf.DUMMYFUNCTION("""COMPUTED_VALUE"""),"09:00")</f>
        <v>09:00</v>
      </c>
      <c r="AI1226" s="65" t="str">
        <f>IFERROR(__xludf.DUMMYFUNCTION("""COMPUTED_VALUE"""),"12-02-2026")</f>
        <v>12-02-2026</v>
      </c>
      <c r="AJ1226" s="65"/>
      <c r="AK1226" s="65"/>
      <c r="AL1226" s="65"/>
      <c r="AM1226" s="65"/>
      <c r="AN1226" s="65" t="str">
        <f>IFERROR(__xludf.DUMMYFUNCTION("""COMPUTED_VALUE"""),"01:37")</f>
        <v>01:37</v>
      </c>
      <c r="AO1226" s="65" t="str">
        <f>IFERROR(__xludf.DUMMYFUNCTION("""COMPUTED_VALUE"""),"06-03-2026")</f>
        <v>06-03-2026</v>
      </c>
      <c r="AP1226" s="65" t="str">
        <f>IFERROR(__xludf.DUMMYFUNCTION("""COMPUTED_VALUE"""),"DEVOLUCIÓN ENTREGADA A ORIGEN")</f>
        <v>DEVOLUCIÓN ENTREGADA A ORIGEN</v>
      </c>
      <c r="AQ1226" s="65" t="str">
        <f>IFERROR(__xludf.DUMMYFUNCTION("""COMPUTED_VALUE"""),"DEVOLUCIÓN ENTREGADA A ORIGEN")</f>
        <v>DEVOLUCIÓN ENTREGADA A ORIGEN</v>
      </c>
      <c r="AR1226" s="65"/>
      <c r="AS1226" s="65"/>
      <c r="AT1226" s="65" t="str">
        <f>IFERROR(__xludf.DUMMYFUNCTION("""COMPUTED_VALUE"""),"SHOPIFY")</f>
        <v>SHOPIFY</v>
      </c>
      <c r="AU1226" s="65" t="str">
        <f>IFERROR(__xludf.DUMMYFUNCTION("""COMPUTED_VALUE"""),"IMPORTEX EC")</f>
        <v>IMPORTEX EC</v>
      </c>
      <c r="AV1226" s="65" t="str">
        <f>IFERROR(__xludf.DUMMYFUNCTION("""COMPUTED_VALUE"""),"6463906578476")</f>
        <v>6463906578476</v>
      </c>
      <c r="AW1226" s="65">
        <f>IFERROR(__xludf.DUMMYFUNCTION("""COMPUTED_VALUE"""),5672.0)</f>
        <v>5672</v>
      </c>
      <c r="AX1226" s="65"/>
      <c r="AY1226" s="65" t="str">
        <f>IFERROR(__xludf.DUMMYFUNCTION("""COMPUTED_VALUE"""),"03/02/2026")</f>
        <v>03/02/2026</v>
      </c>
      <c r="AZ1226" s="65"/>
      <c r="BA1226" s="65"/>
    </row>
    <row r="1227">
      <c r="A1227" s="65" t="str">
        <f>IFERROR(__xludf.DUMMYFUNCTION("""COMPUTED_VALUE"""),"27-03-2026")</f>
        <v>27-03-2026</v>
      </c>
      <c r="B1227" s="65">
        <f>IFERROR(__xludf.DUMMYFUNCTION("""COMPUTED_VALUE"""),4336826.0)</f>
        <v>4336826</v>
      </c>
      <c r="C1227" s="65" t="str">
        <f>IFERROR(__xludf.DUMMYFUNCTION("""COMPUTED_VALUE"""),"20:53")</f>
        <v>20:53</v>
      </c>
      <c r="D1227" s="65" t="str">
        <f>IFERROR(__xludf.DUMMYFUNCTION("""COMPUTED_VALUE"""),"30-01-2026")</f>
        <v>30-01-2026</v>
      </c>
      <c r="E1227" s="65" t="str">
        <f>IFERROR(__xludf.DUMMYFUNCTION("""COMPUTED_VALUE"""),"luis Ochoa")</f>
        <v>luis Ochoa</v>
      </c>
      <c r="F1227" s="65" t="str">
        <f>IFERROR(__xludf.DUMMYFUNCTION("""COMPUTED_VALUE"""),"982357438")</f>
        <v>982357438</v>
      </c>
      <c r="G1227" s="65" t="str">
        <f>IFERROR(__xludf.DUMMYFUNCTION("""COMPUTED_VALUE"""),"luis25an@gmail.com")</f>
        <v>luis25an@gmail.com</v>
      </c>
      <c r="H1227" s="65"/>
      <c r="I1227" s="65"/>
      <c r="J1227" s="65"/>
      <c r="K1227" s="65" t="str">
        <f>IFERROR(__xludf.DUMMYFUNCTION("""COMPUTED_VALUE"""),"PENDIENTE CONFIRMACION")</f>
        <v>PENDIENTE CONFIRMACION</v>
      </c>
      <c r="L1227" s="65" t="str">
        <f>IFERROR(__xludf.DUMMYFUNCTION("""COMPUTED_VALUE"""),"CON RECAUDO")</f>
        <v>CON RECAUDO</v>
      </c>
      <c r="M1227" s="65" t="str">
        <f>IFERROR(__xludf.DUMMYFUNCTION("""COMPUTED_VALUE"""),"MORONA SANTIAGO")</f>
        <v>MORONA SANTIAGO</v>
      </c>
      <c r="N1227" s="65" t="str">
        <f>IFERROR(__xludf.DUMMYFUNCTION("""COMPUTED_VALUE"""),"MACAS")</f>
        <v>MACAS</v>
      </c>
      <c r="O1227" s="65" t="str">
        <f>IFERROR(__xludf.DUMMYFUNCTION("""COMPUTED_VALUE"""),"24 de mayo y ambrocio Zabala La loma -")</f>
        <v>24 de mayo y ambrocio Zabala La loma -</v>
      </c>
      <c r="P1227" s="65"/>
      <c r="Q1227" s="65" t="str">
        <f>IFERROR(__xludf.DUMMYFUNCTION("""COMPUTED_VALUE"""),"GINTRACOM")</f>
        <v>GINTRACOM</v>
      </c>
      <c r="R1227" s="65">
        <f>IFERROR(__xludf.DUMMYFUNCTION("""COMPUTED_VALUE"""),25.0)</f>
        <v>25</v>
      </c>
      <c r="S1227" s="65"/>
      <c r="T1227" s="65">
        <f>IFERROR(__xludf.DUMMYFUNCTION("""COMPUTED_VALUE"""),5.96)</f>
        <v>5.96</v>
      </c>
      <c r="U1227" s="65">
        <f>IFERROR(__xludf.DUMMYFUNCTION("""COMPUTED_VALUE"""),0.0)</f>
        <v>0</v>
      </c>
      <c r="V1227" s="65">
        <f>IFERROR(__xludf.DUMMYFUNCTION("""COMPUTED_VALUE"""),0.0)</f>
        <v>0</v>
      </c>
      <c r="W1227" s="65">
        <f>IFERROR(__xludf.DUMMYFUNCTION("""COMPUTED_VALUE"""),0.0)</f>
        <v>0</v>
      </c>
      <c r="X1227" s="65">
        <f>IFERROR(__xludf.DUMMYFUNCTION("""COMPUTED_VALUE"""),2.35)</f>
        <v>2.35</v>
      </c>
      <c r="Y1227" s="65">
        <f>IFERROR(__xludf.DUMMYFUNCTION("""COMPUTED_VALUE"""),4.7)</f>
        <v>4.7</v>
      </c>
      <c r="Z1227" s="65">
        <f>IFERROR(__xludf.DUMMYFUNCTION("""COMPUTED_VALUE"""),116679.0)</f>
        <v>116679</v>
      </c>
      <c r="AA1227" s="65" t="str">
        <f>IFERROR(__xludf.DUMMYFUNCTION("""COMPUTED_VALUE"""),"AMC-2738")</f>
        <v>AMC-2738</v>
      </c>
      <c r="AB1227" s="65"/>
      <c r="AC1227" s="65" t="str">
        <f>IFERROR(__xludf.DUMMYFUNCTION("""COMPUTED_VALUE"""),"ESPONJA ANTILLUVIA DE PARABRISAS")</f>
        <v>ESPONJA ANTILLUVIA DE PARABRISAS</v>
      </c>
      <c r="AD1227" s="65"/>
      <c r="AE1227" s="65">
        <f>IFERROR(__xludf.DUMMYFUNCTION("""COMPUTED_VALUE"""),2.0)</f>
        <v>2</v>
      </c>
      <c r="AF1227" s="65"/>
      <c r="AG1227" s="65"/>
      <c r="AH1227" s="65"/>
      <c r="AI1227" s="65"/>
      <c r="AJ1227" s="65"/>
      <c r="AK1227" s="65"/>
      <c r="AL1227" s="65"/>
      <c r="AM1227" s="65"/>
      <c r="AN1227" s="65"/>
      <c r="AO1227" s="65"/>
      <c r="AP1227" s="65"/>
      <c r="AQ1227" s="65"/>
      <c r="AR1227" s="65"/>
      <c r="AS1227" s="65"/>
      <c r="AT1227" s="65" t="str">
        <f>IFERROR(__xludf.DUMMYFUNCTION("""COMPUTED_VALUE"""),"SHOPIFY")</f>
        <v>SHOPIFY</v>
      </c>
      <c r="AU1227" s="65" t="str">
        <f>IFERROR(__xludf.DUMMYFUNCTION("""COMPUTED_VALUE"""),"IMPORTEX EC")</f>
        <v>IMPORTEX EC</v>
      </c>
      <c r="AV1227" s="65" t="str">
        <f>IFERROR(__xludf.DUMMYFUNCTION("""COMPUTED_VALUE"""),"6463833407532")</f>
        <v>6463833407532</v>
      </c>
      <c r="AW1227" s="65">
        <f>IFERROR(__xludf.DUMMYFUNCTION("""COMPUTED_VALUE"""),5671.0)</f>
        <v>5671</v>
      </c>
      <c r="AX1227" s="65"/>
      <c r="AY1227" s="65"/>
      <c r="AZ1227" s="65"/>
      <c r="BA1227" s="65"/>
    </row>
    <row r="1228">
      <c r="A1228" s="65" t="str">
        <f>IFERROR(__xludf.DUMMYFUNCTION("""COMPUTED_VALUE"""),"27-03-2026")</f>
        <v>27-03-2026</v>
      </c>
      <c r="B1228" s="65">
        <f>IFERROR(__xludf.DUMMYFUNCTION("""COMPUTED_VALUE"""),4336605.0)</f>
        <v>4336605</v>
      </c>
      <c r="C1228" s="65" t="str">
        <f>IFERROR(__xludf.DUMMYFUNCTION("""COMPUTED_VALUE"""),"20:29")</f>
        <v>20:29</v>
      </c>
      <c r="D1228" s="65" t="str">
        <f>IFERROR(__xludf.DUMMYFUNCTION("""COMPUTED_VALUE"""),"30-01-2026")</f>
        <v>30-01-2026</v>
      </c>
      <c r="E1228" s="65" t="str">
        <f>IFERROR(__xludf.DUMMYFUNCTION("""COMPUTED_VALUE"""),"Jimmy jasmany Jumbo bailón")</f>
        <v>Jimmy jasmany Jumbo bailón</v>
      </c>
      <c r="F1228" s="65" t="str">
        <f>IFERROR(__xludf.DUMMYFUNCTION("""COMPUTED_VALUE"""),"963020557")</f>
        <v>963020557</v>
      </c>
      <c r="G1228" s="65" t="str">
        <f>IFERROR(__xludf.DUMMYFUNCTION("""COMPUTED_VALUE"""),"jimmyjumbo1213@gmail.com")</f>
        <v>jimmyjumbo1213@gmail.com</v>
      </c>
      <c r="H1228" s="65"/>
      <c r="I1228" s="65"/>
      <c r="J1228" s="65" t="str">
        <f>IFERROR(__xludf.DUMMYFUNCTION("""COMPUTED_VALUE"""),"186991787")</f>
        <v>186991787</v>
      </c>
      <c r="K1228" s="65" t="str">
        <f>IFERROR(__xludf.DUMMYFUNCTION("""COMPUTED_VALUE"""),"ENTREGADO")</f>
        <v>ENTREGADO</v>
      </c>
      <c r="L1228" s="65" t="str">
        <f>IFERROR(__xludf.DUMMYFUNCTION("""COMPUTED_VALUE"""),"CON RECAUDO")</f>
        <v>CON RECAUDO</v>
      </c>
      <c r="M1228" s="65" t="str">
        <f>IFERROR(__xludf.DUMMYFUNCTION("""COMPUTED_VALUE"""),"ESMERALDAS")</f>
        <v>ESMERALDAS</v>
      </c>
      <c r="N1228" s="65" t="str">
        <f>IFERROR(__xludf.DUMMYFUNCTION("""COMPUTED_VALUE"""),"LA CONCORDIA")</f>
        <v>LA CONCORDIA</v>
      </c>
      <c r="O1228" s="65" t="str">
        <f>IFERROR(__xludf.DUMMYFUNCTION("""COMPUTED_VALUE"""),"Nueva concordia sector 2 Calle guayas , entre las calles Jose Maria Lequeria y de los Cafetos, Casa 096")</f>
        <v>Nueva concordia sector 2 Calle guayas , entre las calles Jose Maria Lequeria y de los Cafetos, Casa 096</v>
      </c>
      <c r="P1228" s="65"/>
      <c r="Q1228" s="65" t="str">
        <f>IFERROR(__xludf.DUMMYFUNCTION("""COMPUTED_VALUE"""),"SERVIENTREGA")</f>
        <v>SERVIENTREGA</v>
      </c>
      <c r="R1228" s="65">
        <f>IFERROR(__xludf.DUMMYFUNCTION("""COMPUTED_VALUE"""),27.0)</f>
        <v>27</v>
      </c>
      <c r="S1228" s="65">
        <f>IFERROR(__xludf.DUMMYFUNCTION("""COMPUTED_VALUE"""),11.43)</f>
        <v>11.43</v>
      </c>
      <c r="T1228" s="65">
        <f>IFERROR(__xludf.DUMMYFUNCTION("""COMPUTED_VALUE"""),7.77)</f>
        <v>7.77</v>
      </c>
      <c r="U1228" s="65">
        <f>IFERROR(__xludf.DUMMYFUNCTION("""COMPUTED_VALUE"""),0.0)</f>
        <v>0</v>
      </c>
      <c r="V1228" s="65">
        <f>IFERROR(__xludf.DUMMYFUNCTION("""COMPUTED_VALUE"""),0.0)</f>
        <v>0</v>
      </c>
      <c r="W1228" s="65">
        <f>IFERROR(__xludf.DUMMYFUNCTION("""COMPUTED_VALUE"""),0.0)</f>
        <v>0</v>
      </c>
      <c r="X1228" s="65">
        <f>IFERROR(__xludf.DUMMYFUNCTION("""COMPUTED_VALUE"""),2.6)</f>
        <v>2.6</v>
      </c>
      <c r="Y1228" s="65">
        <f>IFERROR(__xludf.DUMMYFUNCTION("""COMPUTED_VALUE"""),7.8)</f>
        <v>7.8</v>
      </c>
      <c r="Z1228" s="65">
        <f>IFERROR(__xludf.DUMMYFUNCTION("""COMPUTED_VALUE"""),121983.0)</f>
        <v>121983</v>
      </c>
      <c r="AA1228" s="65" t="str">
        <f>IFERROR(__xludf.DUMMYFUNCTION("""COMPUTED_VALUE"""),"PROV-CHLLCF")</f>
        <v>PROV-CHLLCF</v>
      </c>
      <c r="AB1228" s="65"/>
      <c r="AC1228" s="65" t="str">
        <f>IFERROR(__xludf.DUMMYFUNCTION("""COMPUTED_VALUE"""),"CUCHILLO PARA CHEF")</f>
        <v>CUCHILLO PARA CHEF</v>
      </c>
      <c r="AD1228" s="65"/>
      <c r="AE1228" s="65">
        <f>IFERROR(__xludf.DUMMYFUNCTION("""COMPUTED_VALUE"""),3.0)</f>
        <v>3</v>
      </c>
      <c r="AF1228" s="65"/>
      <c r="AG1228" s="65"/>
      <c r="AH1228" s="65"/>
      <c r="AI1228" s="65"/>
      <c r="AJ1228" s="65"/>
      <c r="AK1228" s="65"/>
      <c r="AL1228" s="65"/>
      <c r="AM1228" s="65"/>
      <c r="AN1228" s="65" t="str">
        <f>IFERROR(__xludf.DUMMYFUNCTION("""COMPUTED_VALUE"""),"14:27")</f>
        <v>14:27</v>
      </c>
      <c r="AO1228" s="65" t="str">
        <f>IFERROR(__xludf.DUMMYFUNCTION("""COMPUTED_VALUE"""),"04-02-2026")</f>
        <v>04-02-2026</v>
      </c>
      <c r="AP1228" s="65" t="str">
        <f>IFERROR(__xludf.DUMMYFUNCTION("""COMPUTED_VALUE"""),"REPORTADO ENTREGADO EN APP")</f>
        <v>REPORTADO ENTREGADO EN APP</v>
      </c>
      <c r="AQ1228" s="65" t="str">
        <f>IFERROR(__xludf.DUMMYFUNCTION("""COMPUTED_VALUE"""),"jimmy Jumbo")</f>
        <v>jimmy Jumbo</v>
      </c>
      <c r="AR1228" s="65"/>
      <c r="AS1228" s="65"/>
      <c r="AT1228" s="65" t="str">
        <f>IFERROR(__xludf.DUMMYFUNCTION("""COMPUTED_VALUE"""),"SHOPIFY")</f>
        <v>SHOPIFY</v>
      </c>
      <c r="AU1228" s="65" t="str">
        <f>IFERROR(__xludf.DUMMYFUNCTION("""COMPUTED_VALUE"""),"IMPORTEX EC")</f>
        <v>IMPORTEX EC</v>
      </c>
      <c r="AV1228" s="65" t="str">
        <f>IFERROR(__xludf.DUMMYFUNCTION("""COMPUTED_VALUE"""),"6463776849964")</f>
        <v>6463776849964</v>
      </c>
      <c r="AW1228" s="65">
        <f>IFERROR(__xludf.DUMMYFUNCTION("""COMPUTED_VALUE"""),5670.0)</f>
        <v>5670</v>
      </c>
      <c r="AX1228" s="65"/>
      <c r="AY1228" s="65" t="str">
        <f>IFERROR(__xludf.DUMMYFUNCTION("""COMPUTED_VALUE"""),"02/02/2026")</f>
        <v>02/02/2026</v>
      </c>
      <c r="AZ1228" s="65"/>
      <c r="BA1228" s="65"/>
    </row>
    <row r="1229">
      <c r="A1229" s="65" t="str">
        <f>IFERROR(__xludf.DUMMYFUNCTION("""COMPUTED_VALUE"""),"27-03-2026")</f>
        <v>27-03-2026</v>
      </c>
      <c r="B1229" s="65">
        <f>IFERROR(__xludf.DUMMYFUNCTION("""COMPUTED_VALUE"""),4336473.0)</f>
        <v>4336473</v>
      </c>
      <c r="C1229" s="65" t="str">
        <f>IFERROR(__xludf.DUMMYFUNCTION("""COMPUTED_VALUE"""),"20:11")</f>
        <v>20:11</v>
      </c>
      <c r="D1229" s="65" t="str">
        <f>IFERROR(__xludf.DUMMYFUNCTION("""COMPUTED_VALUE"""),"30-01-2026")</f>
        <v>30-01-2026</v>
      </c>
      <c r="E1229" s="65" t="str">
        <f>IFERROR(__xludf.DUMMYFUNCTION("""COMPUTED_VALUE"""),"William Mora")</f>
        <v>William Mora</v>
      </c>
      <c r="F1229" s="65" t="str">
        <f>IFERROR(__xludf.DUMMYFUNCTION("""COMPUTED_VALUE"""),"996424724")</f>
        <v>996424724</v>
      </c>
      <c r="G1229" s="65"/>
      <c r="H1229" s="65"/>
      <c r="I1229" s="65"/>
      <c r="J1229" s="65" t="str">
        <f>IFERROR(__xludf.DUMMYFUNCTION("""COMPUTED_VALUE"""),"D001279949")</f>
        <v>D001279949</v>
      </c>
      <c r="K1229" s="65" t="str">
        <f>IFERROR(__xludf.DUMMYFUNCTION("""COMPUTED_VALUE"""),"ENTREGADO")</f>
        <v>ENTREGADO</v>
      </c>
      <c r="L1229" s="65" t="str">
        <f>IFERROR(__xludf.DUMMYFUNCTION("""COMPUTED_VALUE"""),"CON RECAUDO")</f>
        <v>CON RECAUDO</v>
      </c>
      <c r="M1229" s="65" t="str">
        <f>IFERROR(__xludf.DUMMYFUNCTION("""COMPUTED_VALUE"""),"SUCUMBIOS")</f>
        <v>SUCUMBIOS</v>
      </c>
      <c r="N1229" s="65" t="str">
        <f>IFERROR(__xludf.DUMMYFUNCTION("""COMPUTED_VALUE"""),"LAGO AGRIO")</f>
        <v>LAGO AGRIO</v>
      </c>
      <c r="O1229" s="65" t="str">
        <f>IFERROR(__xludf.DUMMYFUNCTION("""COMPUTED_VALUE"""),"Progreso y 10 de agosto Los almendros - Casa de 2 pisos margen izquierdo a continuación del puente")</f>
        <v>Progreso y 10 de agosto Los almendros - Casa de 2 pisos margen izquierdo a continuación del puente</v>
      </c>
      <c r="P1229" s="65"/>
      <c r="Q1229" s="65" t="str">
        <f>IFERROR(__xludf.DUMMYFUNCTION("""COMPUTED_VALUE"""),"GINTRACOM")</f>
        <v>GINTRACOM</v>
      </c>
      <c r="R1229" s="65">
        <f>IFERROR(__xludf.DUMMYFUNCTION("""COMPUTED_VALUE"""),25.0)</f>
        <v>25</v>
      </c>
      <c r="S1229" s="65">
        <f>IFERROR(__xludf.DUMMYFUNCTION("""COMPUTED_VALUE"""),14.34)</f>
        <v>14.34</v>
      </c>
      <c r="T1229" s="65">
        <f>IFERROR(__xludf.DUMMYFUNCTION("""COMPUTED_VALUE"""),5.96)</f>
        <v>5.96</v>
      </c>
      <c r="U1229" s="65">
        <f>IFERROR(__xludf.DUMMYFUNCTION("""COMPUTED_VALUE"""),0.0)</f>
        <v>0</v>
      </c>
      <c r="V1229" s="65">
        <f>IFERROR(__xludf.DUMMYFUNCTION("""COMPUTED_VALUE"""),0.0)</f>
        <v>0</v>
      </c>
      <c r="W1229" s="65">
        <f>IFERROR(__xludf.DUMMYFUNCTION("""COMPUTED_VALUE"""),0.0)</f>
        <v>0</v>
      </c>
      <c r="X1229" s="65">
        <f>IFERROR(__xludf.DUMMYFUNCTION("""COMPUTED_VALUE"""),2.35)</f>
        <v>2.35</v>
      </c>
      <c r="Y1229" s="65">
        <f>IFERROR(__xludf.DUMMYFUNCTION("""COMPUTED_VALUE"""),4.7)</f>
        <v>4.7</v>
      </c>
      <c r="Z1229" s="65">
        <f>IFERROR(__xludf.DUMMYFUNCTION("""COMPUTED_VALUE"""),116679.0)</f>
        <v>116679</v>
      </c>
      <c r="AA1229" s="65" t="str">
        <f>IFERROR(__xludf.DUMMYFUNCTION("""COMPUTED_VALUE"""),"AMC-2738")</f>
        <v>AMC-2738</v>
      </c>
      <c r="AB1229" s="65"/>
      <c r="AC1229" s="65" t="str">
        <f>IFERROR(__xludf.DUMMYFUNCTION("""COMPUTED_VALUE"""),"ESPONJA ANTILLUVIA DE PARABRISAS")</f>
        <v>ESPONJA ANTILLUVIA DE PARABRISAS</v>
      </c>
      <c r="AD1229" s="65"/>
      <c r="AE1229" s="65">
        <f>IFERROR(__xludf.DUMMYFUNCTION("""COMPUTED_VALUE"""),2.0)</f>
        <v>2</v>
      </c>
      <c r="AF1229" s="65"/>
      <c r="AG1229" s="65"/>
      <c r="AH1229" s="65"/>
      <c r="AI1229" s="65"/>
      <c r="AJ1229" s="65"/>
      <c r="AK1229" s="65"/>
      <c r="AL1229" s="65"/>
      <c r="AM1229" s="65"/>
      <c r="AN1229" s="65"/>
      <c r="AO1229" s="65"/>
      <c r="AP1229" s="65"/>
      <c r="AQ1229" s="65"/>
      <c r="AR1229" s="65"/>
      <c r="AS1229" s="65"/>
      <c r="AT1229" s="65" t="str">
        <f>IFERROR(__xludf.DUMMYFUNCTION("""COMPUTED_VALUE"""),"CHATEA PRO")</f>
        <v>CHATEA PRO</v>
      </c>
      <c r="AU1229" s="65" t="str">
        <f>IFERROR(__xludf.DUMMYFUNCTION("""COMPUTED_VALUE"""),"CHATEA PRO")</f>
        <v>CHATEA PRO</v>
      </c>
      <c r="AV1229" s="65"/>
      <c r="AW1229" s="65"/>
      <c r="AX1229" s="65"/>
      <c r="AY1229" s="65" t="str">
        <f>IFERROR(__xludf.DUMMYFUNCTION("""COMPUTED_VALUE"""),"31/01/2026")</f>
        <v>31/01/2026</v>
      </c>
      <c r="AZ1229" s="65"/>
      <c r="BA1229" s="65"/>
    </row>
    <row r="1230">
      <c r="A1230" s="65" t="str">
        <f>IFERROR(__xludf.DUMMYFUNCTION("""COMPUTED_VALUE"""),"27-03-2026")</f>
        <v>27-03-2026</v>
      </c>
      <c r="B1230" s="65">
        <f>IFERROR(__xludf.DUMMYFUNCTION("""COMPUTED_VALUE"""),4336432.0)</f>
        <v>4336432</v>
      </c>
      <c r="C1230" s="65" t="str">
        <f>IFERROR(__xludf.DUMMYFUNCTION("""COMPUTED_VALUE"""),"20:05")</f>
        <v>20:05</v>
      </c>
      <c r="D1230" s="65" t="str">
        <f>IFERROR(__xludf.DUMMYFUNCTION("""COMPUTED_VALUE"""),"30-01-2026")</f>
        <v>30-01-2026</v>
      </c>
      <c r="E1230" s="65" t="str">
        <f>IFERROR(__xludf.DUMMYFUNCTION("""COMPUTED_VALUE"""),"Zolanya Toledo")</f>
        <v>Zolanya Toledo</v>
      </c>
      <c r="F1230" s="65" t="str">
        <f>IFERROR(__xludf.DUMMYFUNCTION("""COMPUTED_VALUE"""),"993072490")</f>
        <v>993072490</v>
      </c>
      <c r="G1230" s="65" t="str">
        <f>IFERROR(__xludf.DUMMYFUNCTION("""COMPUTED_VALUE"""),"zolytoledoz@hotmail.com")</f>
        <v>zolytoledoz@hotmail.com</v>
      </c>
      <c r="H1230" s="65"/>
      <c r="I1230" s="65"/>
      <c r="J1230" s="65" t="str">
        <f>IFERROR(__xludf.DUMMYFUNCTION("""COMPUTED_VALUE"""),"D001288610")</f>
        <v>D001288610</v>
      </c>
      <c r="K1230" s="65" t="str">
        <f>IFERROR(__xludf.DUMMYFUNCTION("""COMPUTED_VALUE"""),"ENTREGADO")</f>
        <v>ENTREGADO</v>
      </c>
      <c r="L1230" s="65" t="str">
        <f>IFERROR(__xludf.DUMMYFUNCTION("""COMPUTED_VALUE"""),"CON RECAUDO")</f>
        <v>CON RECAUDO</v>
      </c>
      <c r="M1230" s="65" t="str">
        <f>IFERROR(__xludf.DUMMYFUNCTION("""COMPUTED_VALUE"""),"GUAYAS")</f>
        <v>GUAYAS</v>
      </c>
      <c r="N1230" s="65" t="str">
        <f>IFERROR(__xludf.DUMMYFUNCTION("""COMPUTED_VALUE"""),"GUAYAQUIL")</f>
        <v>GUAYAQUIL</v>
      </c>
      <c r="O1230" s="65" t="str">
        <f>IFERROR(__xludf.DUMMYFUNCTION("""COMPUTED_VALUE"""),"urdesa norte callejon tercero Atrás del templo mayor mormón -")</f>
        <v>urdesa norte callejon tercero Atrás del templo mayor mormón -</v>
      </c>
      <c r="P1230" s="65"/>
      <c r="Q1230" s="65" t="str">
        <f>IFERROR(__xludf.DUMMYFUNCTION("""COMPUTED_VALUE"""),"GINTRACOM")</f>
        <v>GINTRACOM</v>
      </c>
      <c r="R1230" s="65">
        <f>IFERROR(__xludf.DUMMYFUNCTION("""COMPUTED_VALUE"""),20.0)</f>
        <v>20</v>
      </c>
      <c r="S1230" s="65">
        <f>IFERROR(__xludf.DUMMYFUNCTION("""COMPUTED_VALUE"""),11.89)</f>
        <v>11.89</v>
      </c>
      <c r="T1230" s="65">
        <f>IFERROR(__xludf.DUMMYFUNCTION("""COMPUTED_VALUE"""),5.76)</f>
        <v>5.76</v>
      </c>
      <c r="U1230" s="65">
        <f>IFERROR(__xludf.DUMMYFUNCTION("""COMPUTED_VALUE"""),0.0)</f>
        <v>0</v>
      </c>
      <c r="V1230" s="65">
        <f>IFERROR(__xludf.DUMMYFUNCTION("""COMPUTED_VALUE"""),0.0)</f>
        <v>0</v>
      </c>
      <c r="W1230" s="65">
        <f>IFERROR(__xludf.DUMMYFUNCTION("""COMPUTED_VALUE"""),0.0)</f>
        <v>0</v>
      </c>
      <c r="X1230" s="65">
        <f>IFERROR(__xludf.DUMMYFUNCTION("""COMPUTED_VALUE"""),2.35)</f>
        <v>2.35</v>
      </c>
      <c r="Y1230" s="65">
        <f>IFERROR(__xludf.DUMMYFUNCTION("""COMPUTED_VALUE"""),2.35)</f>
        <v>2.35</v>
      </c>
      <c r="Z1230" s="65">
        <f>IFERROR(__xludf.DUMMYFUNCTION("""COMPUTED_VALUE"""),116679.0)</f>
        <v>116679</v>
      </c>
      <c r="AA1230" s="65" t="str">
        <f>IFERROR(__xludf.DUMMYFUNCTION("""COMPUTED_VALUE"""),"AMC-2738")</f>
        <v>AMC-2738</v>
      </c>
      <c r="AB1230" s="65"/>
      <c r="AC1230" s="65" t="str">
        <f>IFERROR(__xludf.DUMMYFUNCTION("""COMPUTED_VALUE"""),"ESPONJA ANTILLUVIA DE PARABRISAS")</f>
        <v>ESPONJA ANTILLUVIA DE PARABRISAS</v>
      </c>
      <c r="AD1230" s="65"/>
      <c r="AE1230" s="65">
        <f>IFERROR(__xludf.DUMMYFUNCTION("""COMPUTED_VALUE"""),1.0)</f>
        <v>1</v>
      </c>
      <c r="AF1230" s="65"/>
      <c r="AG1230" s="65"/>
      <c r="AH1230" s="65"/>
      <c r="AI1230" s="65"/>
      <c r="AJ1230" s="65"/>
      <c r="AK1230" s="65"/>
      <c r="AL1230" s="65"/>
      <c r="AM1230" s="65"/>
      <c r="AN1230" s="65" t="str">
        <f>IFERROR(__xludf.DUMMYFUNCTION("""COMPUTED_VALUE"""),"14:55")</f>
        <v>14:55</v>
      </c>
      <c r="AO1230" s="65" t="str">
        <f>IFERROR(__xludf.DUMMYFUNCTION("""COMPUTED_VALUE"""),"06-02-2026")</f>
        <v>06-02-2026</v>
      </c>
      <c r="AP1230" s="65" t="str">
        <f>IFERROR(__xludf.DUMMYFUNCTION("""COMPUTED_VALUE"""),"ENTREGADA GINTRACOM")</f>
        <v>ENTREGADA GINTRACOM</v>
      </c>
      <c r="AQ1230" s="65" t="str">
        <f>IFERROR(__xludf.DUMMYFUNCTION("""COMPUTED_VALUE"""),"ENTREGADA GINTRACOM")</f>
        <v>ENTREGADA GINTRACOM</v>
      </c>
      <c r="AR1230" s="65"/>
      <c r="AS1230" s="65"/>
      <c r="AT1230" s="65" t="str">
        <f>IFERROR(__xludf.DUMMYFUNCTION("""COMPUTED_VALUE"""),"SHOPIFY")</f>
        <v>SHOPIFY</v>
      </c>
      <c r="AU1230" s="65" t="str">
        <f>IFERROR(__xludf.DUMMYFUNCTION("""COMPUTED_VALUE"""),"IMPORTEX EC")</f>
        <v>IMPORTEX EC</v>
      </c>
      <c r="AV1230" s="65" t="str">
        <f>IFERROR(__xludf.DUMMYFUNCTION("""COMPUTED_VALUE"""),"6463714394156")</f>
        <v>6463714394156</v>
      </c>
      <c r="AW1230" s="65">
        <f>IFERROR(__xludf.DUMMYFUNCTION("""COMPUTED_VALUE"""),5669.0)</f>
        <v>5669</v>
      </c>
      <c r="AX1230" s="65"/>
      <c r="AY1230" s="65" t="str">
        <f>IFERROR(__xludf.DUMMYFUNCTION("""COMPUTED_VALUE"""),"02/02/2026")</f>
        <v>02/02/2026</v>
      </c>
      <c r="AZ1230" s="65"/>
      <c r="BA1230" s="65"/>
    </row>
    <row r="1231">
      <c r="A1231" s="65" t="str">
        <f>IFERROR(__xludf.DUMMYFUNCTION("""COMPUTED_VALUE"""),"27-03-2026")</f>
        <v>27-03-2026</v>
      </c>
      <c r="B1231" s="65">
        <f>IFERROR(__xludf.DUMMYFUNCTION("""COMPUTED_VALUE"""),4336256.0)</f>
        <v>4336256</v>
      </c>
      <c r="C1231" s="65" t="str">
        <f>IFERROR(__xludf.DUMMYFUNCTION("""COMPUTED_VALUE"""),"19:40")</f>
        <v>19:40</v>
      </c>
      <c r="D1231" s="65" t="str">
        <f>IFERROR(__xludf.DUMMYFUNCTION("""COMPUTED_VALUE"""),"30-01-2026")</f>
        <v>30-01-2026</v>
      </c>
      <c r="E1231" s="65" t="str">
        <f>IFERROR(__xludf.DUMMYFUNCTION("""COMPUTED_VALUE"""),"José Arroyo")</f>
        <v>José Arroyo</v>
      </c>
      <c r="F1231" s="65" t="str">
        <f>IFERROR(__xludf.DUMMYFUNCTION("""COMPUTED_VALUE"""),"967403082")</f>
        <v>967403082</v>
      </c>
      <c r="G1231" s="65" t="str">
        <f>IFERROR(__xludf.DUMMYFUNCTION("""COMPUTED_VALUE"""),"josearroyovalencia1972@gmail.com")</f>
        <v>josearroyovalencia1972@gmail.com</v>
      </c>
      <c r="H1231" s="65"/>
      <c r="I1231" s="65"/>
      <c r="J1231" s="65"/>
      <c r="K1231" s="65" t="str">
        <f>IFERROR(__xludf.DUMMYFUNCTION("""COMPUTED_VALUE"""),"PENDIENTE CONFIRMACION")</f>
        <v>PENDIENTE CONFIRMACION</v>
      </c>
      <c r="L1231" s="65" t="str">
        <f>IFERROR(__xludf.DUMMYFUNCTION("""COMPUTED_VALUE"""),"CON RECAUDO")</f>
        <v>CON RECAUDO</v>
      </c>
      <c r="M1231" s="65" t="str">
        <f>IFERROR(__xludf.DUMMYFUNCTION("""COMPUTED_VALUE"""),"SANTA ELENA")</f>
        <v>SANTA ELENA</v>
      </c>
      <c r="N1231" s="65" t="str">
        <f>IFERROR(__xludf.DUMMYFUNCTION("""COMPUTED_VALUE"""),"SANTA ELENA")</f>
        <v>SANTA ELENA</v>
      </c>
      <c r="O1231" s="65" t="str">
        <f>IFERROR(__xludf.DUMMYFUNCTION("""COMPUTED_VALUE"""),"Detras de la cancha sintética Tiwinza Barrio Tiwinza -")</f>
        <v>Detras de la cancha sintética Tiwinza Barrio Tiwinza -</v>
      </c>
      <c r="P1231" s="65"/>
      <c r="Q1231" s="65" t="str">
        <f>IFERROR(__xludf.DUMMYFUNCTION("""COMPUTED_VALUE"""),"GINTRACOM")</f>
        <v>GINTRACOM</v>
      </c>
      <c r="R1231" s="65">
        <f>IFERROR(__xludf.DUMMYFUNCTION("""COMPUTED_VALUE"""),22.0)</f>
        <v>22</v>
      </c>
      <c r="S1231" s="65"/>
      <c r="T1231" s="65">
        <f>IFERROR(__xludf.DUMMYFUNCTION("""COMPUTED_VALUE"""),5.84)</f>
        <v>5.84</v>
      </c>
      <c r="U1231" s="65">
        <f>IFERROR(__xludf.DUMMYFUNCTION("""COMPUTED_VALUE"""),0.0)</f>
        <v>0</v>
      </c>
      <c r="V1231" s="65">
        <f>IFERROR(__xludf.DUMMYFUNCTION("""COMPUTED_VALUE"""),0.0)</f>
        <v>0</v>
      </c>
      <c r="W1231" s="65">
        <f>IFERROR(__xludf.DUMMYFUNCTION("""COMPUTED_VALUE"""),0.0)</f>
        <v>0</v>
      </c>
      <c r="X1231" s="65">
        <f>IFERROR(__xludf.DUMMYFUNCTION("""COMPUTED_VALUE"""),2.6)</f>
        <v>2.6</v>
      </c>
      <c r="Y1231" s="65">
        <f>IFERROR(__xludf.DUMMYFUNCTION("""COMPUTED_VALUE"""),5.2)</f>
        <v>5.2</v>
      </c>
      <c r="Z1231" s="65">
        <f>IFERROR(__xludf.DUMMYFUNCTION("""COMPUTED_VALUE"""),121983.0)</f>
        <v>121983</v>
      </c>
      <c r="AA1231" s="65" t="str">
        <f>IFERROR(__xludf.DUMMYFUNCTION("""COMPUTED_VALUE"""),"PROV-CHLLCF")</f>
        <v>PROV-CHLLCF</v>
      </c>
      <c r="AB1231" s="65"/>
      <c r="AC1231" s="65" t="str">
        <f>IFERROR(__xludf.DUMMYFUNCTION("""COMPUTED_VALUE"""),"CUCHILLO PARA CHEF")</f>
        <v>CUCHILLO PARA CHEF</v>
      </c>
      <c r="AD1231" s="65"/>
      <c r="AE1231" s="65">
        <f>IFERROR(__xludf.DUMMYFUNCTION("""COMPUTED_VALUE"""),2.0)</f>
        <v>2</v>
      </c>
      <c r="AF1231" s="65"/>
      <c r="AG1231" s="65"/>
      <c r="AH1231" s="65"/>
      <c r="AI1231" s="65"/>
      <c r="AJ1231" s="65"/>
      <c r="AK1231" s="65"/>
      <c r="AL1231" s="65"/>
      <c r="AM1231" s="65"/>
      <c r="AN1231" s="65"/>
      <c r="AO1231" s="65"/>
      <c r="AP1231" s="65"/>
      <c r="AQ1231" s="65"/>
      <c r="AR1231" s="65"/>
      <c r="AS1231" s="65"/>
      <c r="AT1231" s="65" t="str">
        <f>IFERROR(__xludf.DUMMYFUNCTION("""COMPUTED_VALUE"""),"SHOPIFY")</f>
        <v>SHOPIFY</v>
      </c>
      <c r="AU1231" s="65" t="str">
        <f>IFERROR(__xludf.DUMMYFUNCTION("""COMPUTED_VALUE"""),"IMPORTEX EC")</f>
        <v>IMPORTEX EC</v>
      </c>
      <c r="AV1231" s="65" t="str">
        <f>IFERROR(__xludf.DUMMYFUNCTION("""COMPUTED_VALUE"""),"6463648694316")</f>
        <v>6463648694316</v>
      </c>
      <c r="AW1231" s="65">
        <f>IFERROR(__xludf.DUMMYFUNCTION("""COMPUTED_VALUE"""),5668.0)</f>
        <v>5668</v>
      </c>
      <c r="AX1231" s="65"/>
      <c r="AY1231" s="65"/>
      <c r="AZ1231" s="65"/>
      <c r="BA1231" s="65"/>
    </row>
    <row r="1232">
      <c r="A1232" s="65" t="str">
        <f>IFERROR(__xludf.DUMMYFUNCTION("""COMPUTED_VALUE"""),"27-03-2026")</f>
        <v>27-03-2026</v>
      </c>
      <c r="B1232" s="65">
        <f>IFERROR(__xludf.DUMMYFUNCTION("""COMPUTED_VALUE"""),4335961.0)</f>
        <v>4335961</v>
      </c>
      <c r="C1232" s="65" t="str">
        <f>IFERROR(__xludf.DUMMYFUNCTION("""COMPUTED_VALUE"""),"18:56")</f>
        <v>18:56</v>
      </c>
      <c r="D1232" s="65" t="str">
        <f>IFERROR(__xludf.DUMMYFUNCTION("""COMPUTED_VALUE"""),"30-01-2026")</f>
        <v>30-01-2026</v>
      </c>
      <c r="E1232" s="65" t="str">
        <f>IFERROR(__xludf.DUMMYFUNCTION("""COMPUTED_VALUE"""),"Gaston Campuzano")</f>
        <v>Gaston Campuzano</v>
      </c>
      <c r="F1232" s="65" t="str">
        <f>IFERROR(__xludf.DUMMYFUNCTION("""COMPUTED_VALUE"""),"960215810")</f>
        <v>960215810</v>
      </c>
      <c r="G1232" s="65" t="str">
        <f>IFERROR(__xludf.DUMMYFUNCTION("""COMPUTED_VALUE"""),"gaston.e.campuzano@hotmail.com")</f>
        <v>gaston.e.campuzano@hotmail.com</v>
      </c>
      <c r="H1232" s="65"/>
      <c r="I1232" s="65"/>
      <c r="J1232" s="65"/>
      <c r="K1232" s="65" t="str">
        <f>IFERROR(__xludf.DUMMYFUNCTION("""COMPUTED_VALUE"""),"CANCELADO")</f>
        <v>CANCELADO</v>
      </c>
      <c r="L1232" s="65" t="str">
        <f>IFERROR(__xludf.DUMMYFUNCTION("""COMPUTED_VALUE"""),"CON RECAUDO")</f>
        <v>CON RECAUDO</v>
      </c>
      <c r="M1232" s="65" t="str">
        <f>IFERROR(__xludf.DUMMYFUNCTION("""COMPUTED_VALUE"""),"LOS RIOS")</f>
        <v>LOS RIOS</v>
      </c>
      <c r="N1232" s="65" t="str">
        <f>IFERROR(__xludf.DUMMYFUNCTION("""COMPUTED_VALUE"""),"QUEVEDO")</f>
        <v>QUEVEDO</v>
      </c>
      <c r="O1232" s="65" t="str">
        <f>IFERROR(__xludf.DUMMYFUNCTION("""COMPUTED_VALUE"""),"Av. Walter andrade, guayacán Antes de la Cancha sintética costanera -")</f>
        <v>Av. Walter andrade, guayacán Antes de la Cancha sintética costanera -</v>
      </c>
      <c r="P1232" s="65"/>
      <c r="Q1232" s="65" t="str">
        <f>IFERROR(__xludf.DUMMYFUNCTION("""COMPUTED_VALUE"""),"GINTRACOM")</f>
        <v>GINTRACOM</v>
      </c>
      <c r="R1232" s="65">
        <f>IFERROR(__xludf.DUMMYFUNCTION("""COMPUTED_VALUE"""),20.0)</f>
        <v>20</v>
      </c>
      <c r="S1232" s="65"/>
      <c r="T1232" s="65">
        <f>IFERROR(__xludf.DUMMYFUNCTION("""COMPUTED_VALUE"""),5.76)</f>
        <v>5.76</v>
      </c>
      <c r="U1232" s="65">
        <f>IFERROR(__xludf.DUMMYFUNCTION("""COMPUTED_VALUE"""),0.0)</f>
        <v>0</v>
      </c>
      <c r="V1232" s="65">
        <f>IFERROR(__xludf.DUMMYFUNCTION("""COMPUTED_VALUE"""),0.0)</f>
        <v>0</v>
      </c>
      <c r="W1232" s="65">
        <f>IFERROR(__xludf.DUMMYFUNCTION("""COMPUTED_VALUE"""),0.0)</f>
        <v>0</v>
      </c>
      <c r="X1232" s="65">
        <f>IFERROR(__xludf.DUMMYFUNCTION("""COMPUTED_VALUE"""),2.35)</f>
        <v>2.35</v>
      </c>
      <c r="Y1232" s="65">
        <f>IFERROR(__xludf.DUMMYFUNCTION("""COMPUTED_VALUE"""),2.35)</f>
        <v>2.35</v>
      </c>
      <c r="Z1232" s="65">
        <f>IFERROR(__xludf.DUMMYFUNCTION("""COMPUTED_VALUE"""),116679.0)</f>
        <v>116679</v>
      </c>
      <c r="AA1232" s="65" t="str">
        <f>IFERROR(__xludf.DUMMYFUNCTION("""COMPUTED_VALUE"""),"AMC-2738")</f>
        <v>AMC-2738</v>
      </c>
      <c r="AB1232" s="65"/>
      <c r="AC1232" s="65" t="str">
        <f>IFERROR(__xludf.DUMMYFUNCTION("""COMPUTED_VALUE"""),"ESPONJA ANTILLUVIA DE PARABRISAS")</f>
        <v>ESPONJA ANTILLUVIA DE PARABRISAS</v>
      </c>
      <c r="AD1232" s="65"/>
      <c r="AE1232" s="65">
        <f>IFERROR(__xludf.DUMMYFUNCTION("""COMPUTED_VALUE"""),1.0)</f>
        <v>1</v>
      </c>
      <c r="AF1232" s="65"/>
      <c r="AG1232" s="65"/>
      <c r="AH1232" s="65"/>
      <c r="AI1232" s="65"/>
      <c r="AJ1232" s="65"/>
      <c r="AK1232" s="65"/>
      <c r="AL1232" s="65"/>
      <c r="AM1232" s="65"/>
      <c r="AN1232" s="65"/>
      <c r="AO1232" s="65"/>
      <c r="AP1232" s="65"/>
      <c r="AQ1232" s="65"/>
      <c r="AR1232" s="65"/>
      <c r="AS1232" s="65"/>
      <c r="AT1232" s="65" t="str">
        <f>IFERROR(__xludf.DUMMYFUNCTION("""COMPUTED_VALUE"""),"SHOPIFY")</f>
        <v>SHOPIFY</v>
      </c>
      <c r="AU1232" s="65" t="str">
        <f>IFERROR(__xludf.DUMMYFUNCTION("""COMPUTED_VALUE"""),"IMPORTEX EC")</f>
        <v>IMPORTEX EC</v>
      </c>
      <c r="AV1232" s="65" t="str">
        <f>IFERROR(__xludf.DUMMYFUNCTION("""COMPUTED_VALUE"""),"6463548096556")</f>
        <v>6463548096556</v>
      </c>
      <c r="AW1232" s="65">
        <f>IFERROR(__xludf.DUMMYFUNCTION("""COMPUTED_VALUE"""),5666.0)</f>
        <v>5666</v>
      </c>
      <c r="AX1232" s="65"/>
      <c r="AY1232" s="65"/>
      <c r="AZ1232" s="65"/>
      <c r="BA1232" s="65"/>
    </row>
    <row r="1233">
      <c r="A1233" s="65" t="str">
        <f>IFERROR(__xludf.DUMMYFUNCTION("""COMPUTED_VALUE"""),"27-03-2026")</f>
        <v>27-03-2026</v>
      </c>
      <c r="B1233" s="65">
        <f>IFERROR(__xludf.DUMMYFUNCTION("""COMPUTED_VALUE"""),4335801.0)</f>
        <v>4335801</v>
      </c>
      <c r="C1233" s="65" t="str">
        <f>IFERROR(__xludf.DUMMYFUNCTION("""COMPUTED_VALUE"""),"18:35")</f>
        <v>18:35</v>
      </c>
      <c r="D1233" s="65" t="str">
        <f>IFERROR(__xludf.DUMMYFUNCTION("""COMPUTED_VALUE"""),"30-01-2026")</f>
        <v>30-01-2026</v>
      </c>
      <c r="E1233" s="65" t="str">
        <f>IFERROR(__xludf.DUMMYFUNCTION("""COMPUTED_VALUE"""),"Jacqueline Vallejo")</f>
        <v>Jacqueline Vallejo</v>
      </c>
      <c r="F1233" s="65" t="str">
        <f>IFERROR(__xludf.DUMMYFUNCTION("""COMPUTED_VALUE"""),"989899459")</f>
        <v>989899459</v>
      </c>
      <c r="G1233" s="65" t="str">
        <f>IFERROR(__xludf.DUMMYFUNCTION("""COMPUTED_VALUE"""),"vallejo_jacq@hotmail.com")</f>
        <v>vallejo_jacq@hotmail.com</v>
      </c>
      <c r="H1233" s="65"/>
      <c r="I1233" s="65"/>
      <c r="J1233" s="65" t="str">
        <f>IFERROR(__xludf.DUMMYFUNCTION("""COMPUTED_VALUE"""),"D001290791")</f>
        <v>D001290791</v>
      </c>
      <c r="K1233" s="65" t="str">
        <f>IFERROR(__xludf.DUMMYFUNCTION("""COMPUTED_VALUE"""),"ENTREGADO")</f>
        <v>ENTREGADO</v>
      </c>
      <c r="L1233" s="65" t="str">
        <f>IFERROR(__xludf.DUMMYFUNCTION("""COMPUTED_VALUE"""),"CON RECAUDO")</f>
        <v>CON RECAUDO</v>
      </c>
      <c r="M1233" s="65" t="str">
        <f>IFERROR(__xludf.DUMMYFUNCTION("""COMPUTED_VALUE"""),"GUAYAS")</f>
        <v>GUAYAS</v>
      </c>
      <c r="N1233" s="65" t="str">
        <f>IFERROR(__xludf.DUMMYFUNCTION("""COMPUTED_VALUE"""),"GUAYAQUIL")</f>
        <v>GUAYAQUIL</v>
      </c>
      <c r="O1233" s="65" t="str">
        <f>IFERROR(__xludf.DUMMYFUNCTION("""COMPUTED_VALUE"""),"Azuay 601 y coronel Torre 5 clínica Alcívar of 507 -")</f>
        <v>Azuay 601 y coronel Torre 5 clínica Alcívar of 507 -</v>
      </c>
      <c r="P1233" s="65"/>
      <c r="Q1233" s="65" t="str">
        <f>IFERROR(__xludf.DUMMYFUNCTION("""COMPUTED_VALUE"""),"GINTRACOM")</f>
        <v>GINTRACOM</v>
      </c>
      <c r="R1233" s="65">
        <f>IFERROR(__xludf.DUMMYFUNCTION("""COMPUTED_VALUE"""),22.0)</f>
        <v>22</v>
      </c>
      <c r="S1233" s="65">
        <f>IFERROR(__xludf.DUMMYFUNCTION("""COMPUTED_VALUE"""),12.57)</f>
        <v>12.57</v>
      </c>
      <c r="T1233" s="65">
        <f>IFERROR(__xludf.DUMMYFUNCTION("""COMPUTED_VALUE"""),4.23)</f>
        <v>4.23</v>
      </c>
      <c r="U1233" s="65">
        <f>IFERROR(__xludf.DUMMYFUNCTION("""COMPUTED_VALUE"""),0.0)</f>
        <v>0</v>
      </c>
      <c r="V1233" s="65">
        <f>IFERROR(__xludf.DUMMYFUNCTION("""COMPUTED_VALUE"""),0.0)</f>
        <v>0</v>
      </c>
      <c r="W1233" s="65">
        <f>IFERROR(__xludf.DUMMYFUNCTION("""COMPUTED_VALUE"""),0.0)</f>
        <v>0</v>
      </c>
      <c r="X1233" s="65">
        <f>IFERROR(__xludf.DUMMYFUNCTION("""COMPUTED_VALUE"""),2.6)</f>
        <v>2.6</v>
      </c>
      <c r="Y1233" s="65">
        <f>IFERROR(__xludf.DUMMYFUNCTION("""COMPUTED_VALUE"""),5.2)</f>
        <v>5.2</v>
      </c>
      <c r="Z1233" s="65">
        <f>IFERROR(__xludf.DUMMYFUNCTION("""COMPUTED_VALUE"""),121983.0)</f>
        <v>121983</v>
      </c>
      <c r="AA1233" s="65" t="str">
        <f>IFERROR(__xludf.DUMMYFUNCTION("""COMPUTED_VALUE"""),"PROV-CHLLCF")</f>
        <v>PROV-CHLLCF</v>
      </c>
      <c r="AB1233" s="65"/>
      <c r="AC1233" s="65" t="str">
        <f>IFERROR(__xludf.DUMMYFUNCTION("""COMPUTED_VALUE"""),"CUCHILLO PARA CHEF")</f>
        <v>CUCHILLO PARA CHEF</v>
      </c>
      <c r="AD1233" s="65"/>
      <c r="AE1233" s="65">
        <f>IFERROR(__xludf.DUMMYFUNCTION("""COMPUTED_VALUE"""),2.0)</f>
        <v>2</v>
      </c>
      <c r="AF1233" s="65"/>
      <c r="AG1233" s="65"/>
      <c r="AH1233" s="65"/>
      <c r="AI1233" s="65"/>
      <c r="AJ1233" s="65"/>
      <c r="AK1233" s="65"/>
      <c r="AL1233" s="65"/>
      <c r="AM1233" s="65"/>
      <c r="AN1233" s="65"/>
      <c r="AO1233" s="65"/>
      <c r="AP1233" s="65"/>
      <c r="AQ1233" s="65"/>
      <c r="AR1233" s="65"/>
      <c r="AS1233" s="65"/>
      <c r="AT1233" s="65" t="str">
        <f>IFERROR(__xludf.DUMMYFUNCTION("""COMPUTED_VALUE"""),"SHOPIFY")</f>
        <v>SHOPIFY</v>
      </c>
      <c r="AU1233" s="65" t="str">
        <f>IFERROR(__xludf.DUMMYFUNCTION("""COMPUTED_VALUE"""),"IMPORTEX EC")</f>
        <v>IMPORTEX EC</v>
      </c>
      <c r="AV1233" s="65" t="str">
        <f>IFERROR(__xludf.DUMMYFUNCTION("""COMPUTED_VALUE"""),"6463497371692")</f>
        <v>6463497371692</v>
      </c>
      <c r="AW1233" s="65">
        <f>IFERROR(__xludf.DUMMYFUNCTION("""COMPUTED_VALUE"""),5665.0)</f>
        <v>5665</v>
      </c>
      <c r="AX1233" s="65"/>
      <c r="AY1233" s="65" t="str">
        <f>IFERROR(__xludf.DUMMYFUNCTION("""COMPUTED_VALUE"""),"03/02/2026")</f>
        <v>03/02/2026</v>
      </c>
      <c r="AZ1233" s="65"/>
      <c r="BA1233" s="65"/>
    </row>
    <row r="1234">
      <c r="A1234" s="65" t="str">
        <f>IFERROR(__xludf.DUMMYFUNCTION("""COMPUTED_VALUE"""),"27-03-2026")</f>
        <v>27-03-2026</v>
      </c>
      <c r="B1234" s="65">
        <f>IFERROR(__xludf.DUMMYFUNCTION("""COMPUTED_VALUE"""),4335785.0)</f>
        <v>4335785</v>
      </c>
      <c r="C1234" s="65" t="str">
        <f>IFERROR(__xludf.DUMMYFUNCTION("""COMPUTED_VALUE"""),"18:34")</f>
        <v>18:34</v>
      </c>
      <c r="D1234" s="65" t="str">
        <f>IFERROR(__xludf.DUMMYFUNCTION("""COMPUTED_VALUE"""),"30-01-2026")</f>
        <v>30-01-2026</v>
      </c>
      <c r="E1234" s="65" t="str">
        <f>IFERROR(__xludf.DUMMYFUNCTION("""COMPUTED_VALUE"""),"Mauricio Veliz")</f>
        <v>Mauricio Veliz</v>
      </c>
      <c r="F1234" s="65" t="str">
        <f>IFERROR(__xludf.DUMMYFUNCTION("""COMPUTED_VALUE"""),"987358760")</f>
        <v>987358760</v>
      </c>
      <c r="G1234" s="65" t="str">
        <f>IFERROR(__xludf.DUMMYFUNCTION("""COMPUTED_VALUE"""),"mauricio.velivi@hotmail.com")</f>
        <v>mauricio.velivi@hotmail.com</v>
      </c>
      <c r="H1234" s="65"/>
      <c r="I1234" s="65"/>
      <c r="J1234" s="65" t="str">
        <f>IFERROR(__xludf.DUMMYFUNCTION("""COMPUTED_VALUE"""),"D001290793")</f>
        <v>D001290793</v>
      </c>
      <c r="K1234" s="65" t="str">
        <f>IFERROR(__xludf.DUMMYFUNCTION("""COMPUTED_VALUE"""),"DEVOLUCION")</f>
        <v>DEVOLUCION</v>
      </c>
      <c r="L1234" s="65" t="str">
        <f>IFERROR(__xludf.DUMMYFUNCTION("""COMPUTED_VALUE"""),"CON RECAUDO")</f>
        <v>CON RECAUDO</v>
      </c>
      <c r="M1234" s="65" t="str">
        <f>IFERROR(__xludf.DUMMYFUNCTION("""COMPUTED_VALUE"""),"GUAYAS")</f>
        <v>GUAYAS</v>
      </c>
      <c r="N1234" s="65" t="str">
        <f>IFERROR(__xludf.DUMMYFUNCTION("""COMPUTED_VALUE"""),"GUAYAQUIL")</f>
        <v>GUAYAQUIL</v>
      </c>
      <c r="O1234" s="65" t="str">
        <f>IFERROR(__xludf.DUMMYFUNCTION("""COMPUTED_VALUE"""),"G|Guayas|0|Guayas| Samanes 4 mz 409 v 49 -")</f>
        <v>G|Guayas|0|Guayas| Samanes 4 mz 409 v 49 -</v>
      </c>
      <c r="P1234" s="65"/>
      <c r="Q1234" s="65" t="str">
        <f>IFERROR(__xludf.DUMMYFUNCTION("""COMPUTED_VALUE"""),"GINTRACOM")</f>
        <v>GINTRACOM</v>
      </c>
      <c r="R1234" s="65">
        <f>IFERROR(__xludf.DUMMYFUNCTION("""COMPUTED_VALUE"""),22.0)</f>
        <v>22</v>
      </c>
      <c r="S1234" s="65"/>
      <c r="T1234" s="65">
        <f>IFERROR(__xludf.DUMMYFUNCTION("""COMPUTED_VALUE"""),4.23)</f>
        <v>4.23</v>
      </c>
      <c r="U1234" s="65">
        <f>IFERROR(__xludf.DUMMYFUNCTION("""COMPUTED_VALUE"""),0.0)</f>
        <v>0</v>
      </c>
      <c r="V1234" s="65">
        <f>IFERROR(__xludf.DUMMYFUNCTION("""COMPUTED_VALUE"""),0.0)</f>
        <v>0</v>
      </c>
      <c r="W1234" s="65">
        <f>IFERROR(__xludf.DUMMYFUNCTION("""COMPUTED_VALUE"""),0.0)</f>
        <v>0</v>
      </c>
      <c r="X1234" s="65">
        <f>IFERROR(__xludf.DUMMYFUNCTION("""COMPUTED_VALUE"""),2.6)</f>
        <v>2.6</v>
      </c>
      <c r="Y1234" s="65">
        <f>IFERROR(__xludf.DUMMYFUNCTION("""COMPUTED_VALUE"""),5.2)</f>
        <v>5.2</v>
      </c>
      <c r="Z1234" s="65">
        <f>IFERROR(__xludf.DUMMYFUNCTION("""COMPUTED_VALUE"""),121983.0)</f>
        <v>121983</v>
      </c>
      <c r="AA1234" s="65" t="str">
        <f>IFERROR(__xludf.DUMMYFUNCTION("""COMPUTED_VALUE"""),"PROV-CHLLCF")</f>
        <v>PROV-CHLLCF</v>
      </c>
      <c r="AB1234" s="65"/>
      <c r="AC1234" s="65" t="str">
        <f>IFERROR(__xludf.DUMMYFUNCTION("""COMPUTED_VALUE"""),"CUCHILLO PARA CHEF")</f>
        <v>CUCHILLO PARA CHEF</v>
      </c>
      <c r="AD1234" s="65"/>
      <c r="AE1234" s="65">
        <f>IFERROR(__xludf.DUMMYFUNCTION("""COMPUTED_VALUE"""),2.0)</f>
        <v>2</v>
      </c>
      <c r="AF1234" s="65" t="str">
        <f>IFERROR(__xludf.DUMMYFUNCTION("""COMPUTED_VALUE"""),"DESTINATARIO NO CONTESTA LLAMADAS NI WHATSAPP")</f>
        <v>DESTINATARIO NO CONTESTA LLAMADAS NI WHATSAPP</v>
      </c>
      <c r="AG1234" s="65" t="str">
        <f>IFERROR(__xludf.DUMMYFUNCTION("""COMPUTED_VALUE"""),"NO")</f>
        <v>NO</v>
      </c>
      <c r="AH1234" s="65" t="str">
        <f>IFERROR(__xludf.DUMMYFUNCTION("""COMPUTED_VALUE"""),"09:00")</f>
        <v>09:00</v>
      </c>
      <c r="AI1234" s="65" t="str">
        <f>IFERROR(__xludf.DUMMYFUNCTION("""COMPUTED_VALUE"""),"12-02-2026")</f>
        <v>12-02-2026</v>
      </c>
      <c r="AJ1234" s="65"/>
      <c r="AK1234" s="65"/>
      <c r="AL1234" s="65"/>
      <c r="AM1234" s="65"/>
      <c r="AN1234" s="65" t="str">
        <f>IFERROR(__xludf.DUMMYFUNCTION("""COMPUTED_VALUE"""),"11:18")</f>
        <v>11:18</v>
      </c>
      <c r="AO1234" s="65" t="str">
        <f>IFERROR(__xludf.DUMMYFUNCTION("""COMPUTED_VALUE"""),"07-03-2026")</f>
        <v>07-03-2026</v>
      </c>
      <c r="AP1234" s="65" t="str">
        <f>IFERROR(__xludf.DUMMYFUNCTION("""COMPUTED_VALUE"""),"DEV CONFIRMADA POR BODEGA")</f>
        <v>DEV CONFIRMADA POR BODEGA</v>
      </c>
      <c r="AQ1234" s="65"/>
      <c r="AR1234" s="65" t="str">
        <f>IFERROR(__xludf.DUMMYFUNCTION("""COMPUTED_VALUE"""),"Gestionado por: PROVEDIX DAMIAN, email:enviogratisdirecto@gmail.com, total de productos en la orden: 1")</f>
        <v>Gestionado por: PROVEDIX DAMIAN, email:enviogratisdirecto@gmail.com, total de productos en la orden: 1</v>
      </c>
      <c r="AS1234" s="65"/>
      <c r="AT1234" s="65" t="str">
        <f>IFERROR(__xludf.DUMMYFUNCTION("""COMPUTED_VALUE"""),"SHOPIFY")</f>
        <v>SHOPIFY</v>
      </c>
      <c r="AU1234" s="65" t="str">
        <f>IFERROR(__xludf.DUMMYFUNCTION("""COMPUTED_VALUE"""),"IMPORTEX EC")</f>
        <v>IMPORTEX EC</v>
      </c>
      <c r="AV1234" s="65" t="str">
        <f>IFERROR(__xludf.DUMMYFUNCTION("""COMPUTED_VALUE"""),"6463491964972")</f>
        <v>6463491964972</v>
      </c>
      <c r="AW1234" s="65">
        <f>IFERROR(__xludf.DUMMYFUNCTION("""COMPUTED_VALUE"""),5664.0)</f>
        <v>5664</v>
      </c>
      <c r="AX1234" s="65"/>
      <c r="AY1234" s="65" t="str">
        <f>IFERROR(__xludf.DUMMYFUNCTION("""COMPUTED_VALUE"""),"03/02/2026")</f>
        <v>03/02/2026</v>
      </c>
      <c r="AZ1234" s="65"/>
      <c r="BA1234" s="65"/>
    </row>
    <row r="1235">
      <c r="A1235" s="65" t="str">
        <f>IFERROR(__xludf.DUMMYFUNCTION("""COMPUTED_VALUE"""),"27-03-2026")</f>
        <v>27-03-2026</v>
      </c>
      <c r="B1235" s="65">
        <f>IFERROR(__xludf.DUMMYFUNCTION("""COMPUTED_VALUE"""),4335778.0)</f>
        <v>4335778</v>
      </c>
      <c r="C1235" s="65" t="str">
        <f>IFERROR(__xludf.DUMMYFUNCTION("""COMPUTED_VALUE"""),"18:33")</f>
        <v>18:33</v>
      </c>
      <c r="D1235" s="65" t="str">
        <f>IFERROR(__xludf.DUMMYFUNCTION("""COMPUTED_VALUE"""),"30-01-2026")</f>
        <v>30-01-2026</v>
      </c>
      <c r="E1235" s="65" t="str">
        <f>IFERROR(__xludf.DUMMYFUNCTION("""COMPUTED_VALUE"""),"Johana Martinez")</f>
        <v>Johana Martinez</v>
      </c>
      <c r="F1235" s="65" t="str">
        <f>IFERROR(__xludf.DUMMYFUNCTION("""COMPUTED_VALUE"""),"995985158")</f>
        <v>995985158</v>
      </c>
      <c r="G1235" s="65" t="str">
        <f>IFERROR(__xludf.DUMMYFUNCTION("""COMPUTED_VALUE"""),"johalr199325@gmail.com")</f>
        <v>johalr199325@gmail.com</v>
      </c>
      <c r="H1235" s="65"/>
      <c r="I1235" s="65"/>
      <c r="J1235" s="65" t="str">
        <f>IFERROR(__xludf.DUMMYFUNCTION("""COMPUTED_VALUE"""),"D001288611")</f>
        <v>D001288611</v>
      </c>
      <c r="K1235" s="65" t="str">
        <f>IFERROR(__xludf.DUMMYFUNCTION("""COMPUTED_VALUE"""),"ENTREGADO")</f>
        <v>ENTREGADO</v>
      </c>
      <c r="L1235" s="65" t="str">
        <f>IFERROR(__xludf.DUMMYFUNCTION("""COMPUTED_VALUE"""),"CON RECAUDO")</f>
        <v>CON RECAUDO</v>
      </c>
      <c r="M1235" s="65" t="str">
        <f>IFERROR(__xludf.DUMMYFUNCTION("""COMPUTED_VALUE"""),"NAPO")</f>
        <v>NAPO</v>
      </c>
      <c r="N1235" s="65" t="str">
        <f>IFERROR(__xludf.DUMMYFUNCTION("""COMPUTED_VALUE"""),"TENA")</f>
        <v>TENA</v>
      </c>
      <c r="O1235" s="65" t="str">
        <f>IFERROR(__xludf.DUMMYFUNCTION("""COMPUTED_VALUE"""),"Av 15 de noviembre y Umbuni Umbuni -")</f>
        <v>Av 15 de noviembre y Umbuni Umbuni -</v>
      </c>
      <c r="P1235" s="65"/>
      <c r="Q1235" s="65" t="str">
        <f>IFERROR(__xludf.DUMMYFUNCTION("""COMPUTED_VALUE"""),"GINTRACOM")</f>
        <v>GINTRACOM</v>
      </c>
      <c r="R1235" s="65">
        <f>IFERROR(__xludf.DUMMYFUNCTION("""COMPUTED_VALUE"""),25.0)</f>
        <v>25</v>
      </c>
      <c r="S1235" s="65">
        <f>IFERROR(__xludf.DUMMYFUNCTION("""COMPUTED_VALUE"""),14.34)</f>
        <v>14.34</v>
      </c>
      <c r="T1235" s="65">
        <f>IFERROR(__xludf.DUMMYFUNCTION("""COMPUTED_VALUE"""),5.96)</f>
        <v>5.96</v>
      </c>
      <c r="U1235" s="65">
        <f>IFERROR(__xludf.DUMMYFUNCTION("""COMPUTED_VALUE"""),0.0)</f>
        <v>0</v>
      </c>
      <c r="V1235" s="65">
        <f>IFERROR(__xludf.DUMMYFUNCTION("""COMPUTED_VALUE"""),0.0)</f>
        <v>0</v>
      </c>
      <c r="W1235" s="65">
        <f>IFERROR(__xludf.DUMMYFUNCTION("""COMPUTED_VALUE"""),0.0)</f>
        <v>0</v>
      </c>
      <c r="X1235" s="65">
        <f>IFERROR(__xludf.DUMMYFUNCTION("""COMPUTED_VALUE"""),2.35)</f>
        <v>2.35</v>
      </c>
      <c r="Y1235" s="65">
        <f>IFERROR(__xludf.DUMMYFUNCTION("""COMPUTED_VALUE"""),4.7)</f>
        <v>4.7</v>
      </c>
      <c r="Z1235" s="65">
        <f>IFERROR(__xludf.DUMMYFUNCTION("""COMPUTED_VALUE"""),116679.0)</f>
        <v>116679</v>
      </c>
      <c r="AA1235" s="65" t="str">
        <f>IFERROR(__xludf.DUMMYFUNCTION("""COMPUTED_VALUE"""),"AMC-2738")</f>
        <v>AMC-2738</v>
      </c>
      <c r="AB1235" s="65"/>
      <c r="AC1235" s="65" t="str">
        <f>IFERROR(__xludf.DUMMYFUNCTION("""COMPUTED_VALUE"""),"ESPONJA ANTILLUVIA DE PARABRISAS")</f>
        <v>ESPONJA ANTILLUVIA DE PARABRISAS</v>
      </c>
      <c r="AD1235" s="65"/>
      <c r="AE1235" s="65">
        <f>IFERROR(__xludf.DUMMYFUNCTION("""COMPUTED_VALUE"""),2.0)</f>
        <v>2</v>
      </c>
      <c r="AF1235" s="65"/>
      <c r="AG1235" s="65"/>
      <c r="AH1235" s="65"/>
      <c r="AI1235" s="65"/>
      <c r="AJ1235" s="65"/>
      <c r="AK1235" s="65"/>
      <c r="AL1235" s="65"/>
      <c r="AM1235" s="65"/>
      <c r="AN1235" s="65"/>
      <c r="AO1235" s="65"/>
      <c r="AP1235" s="65"/>
      <c r="AQ1235" s="65"/>
      <c r="AR1235" s="65"/>
      <c r="AS1235" s="65"/>
      <c r="AT1235" s="65" t="str">
        <f>IFERROR(__xludf.DUMMYFUNCTION("""COMPUTED_VALUE"""),"SHOPIFY")</f>
        <v>SHOPIFY</v>
      </c>
      <c r="AU1235" s="65" t="str">
        <f>IFERROR(__xludf.DUMMYFUNCTION("""COMPUTED_VALUE"""),"IMPORTEX EC")</f>
        <v>IMPORTEX EC</v>
      </c>
      <c r="AV1235" s="65" t="str">
        <f>IFERROR(__xludf.DUMMYFUNCTION("""COMPUTED_VALUE"""),"6463490424876")</f>
        <v>6463490424876</v>
      </c>
      <c r="AW1235" s="65">
        <f>IFERROR(__xludf.DUMMYFUNCTION("""COMPUTED_VALUE"""),5663.0)</f>
        <v>5663</v>
      </c>
      <c r="AX1235" s="65"/>
      <c r="AY1235" s="65" t="str">
        <f>IFERROR(__xludf.DUMMYFUNCTION("""COMPUTED_VALUE"""),"02/02/2026")</f>
        <v>02/02/2026</v>
      </c>
      <c r="AZ1235" s="65"/>
      <c r="BA1235" s="65"/>
    </row>
    <row r="1236">
      <c r="A1236" s="65" t="str">
        <f>IFERROR(__xludf.DUMMYFUNCTION("""COMPUTED_VALUE"""),"27-03-2026")</f>
        <v>27-03-2026</v>
      </c>
      <c r="B1236" s="65">
        <f>IFERROR(__xludf.DUMMYFUNCTION("""COMPUTED_VALUE"""),4335766.0)</f>
        <v>4335766</v>
      </c>
      <c r="C1236" s="65" t="str">
        <f>IFERROR(__xludf.DUMMYFUNCTION("""COMPUTED_VALUE"""),"18:32")</f>
        <v>18:32</v>
      </c>
      <c r="D1236" s="65" t="str">
        <f>IFERROR(__xludf.DUMMYFUNCTION("""COMPUTED_VALUE"""),"30-01-2026")</f>
        <v>30-01-2026</v>
      </c>
      <c r="E1236" s="65" t="str">
        <f>IFERROR(__xludf.DUMMYFUNCTION("""COMPUTED_VALUE"""),"Cesar Naranjo")</f>
        <v>Cesar Naranjo</v>
      </c>
      <c r="F1236" s="65" t="str">
        <f>IFERROR(__xludf.DUMMYFUNCTION("""COMPUTED_VALUE"""),"962392608")</f>
        <v>962392608</v>
      </c>
      <c r="G1236" s="65" t="str">
        <f>IFERROR(__xludf.DUMMYFUNCTION("""COMPUTED_VALUE"""),"csar_naranjo@yahoo.com")</f>
        <v>csar_naranjo@yahoo.com</v>
      </c>
      <c r="H1236" s="65"/>
      <c r="I1236" s="65"/>
      <c r="J1236" s="65"/>
      <c r="K1236" s="65" t="str">
        <f>IFERROR(__xludf.DUMMYFUNCTION("""COMPUTED_VALUE"""),"PENDIENTE CONFIRMACION")</f>
        <v>PENDIENTE CONFIRMACION</v>
      </c>
      <c r="L1236" s="65" t="str">
        <f>IFERROR(__xludf.DUMMYFUNCTION("""COMPUTED_VALUE"""),"CON RECAUDO")</f>
        <v>CON RECAUDO</v>
      </c>
      <c r="M1236" s="65" t="str">
        <f>IFERROR(__xludf.DUMMYFUNCTION("""COMPUTED_VALUE"""),"TUNGURAHUA")</f>
        <v>TUNGURAHUA</v>
      </c>
      <c r="N1236" s="65" t="str">
        <f>IFERROR(__xludf.DUMMYFUNCTION("""COMPUTED_VALUE"""),"AMBATO")</f>
        <v>AMBATO</v>
      </c>
      <c r="O1236" s="65" t="str">
        <f>IFERROR(__xludf.DUMMYFUNCTION("""COMPUTED_VALUE"""),"Av julio jaramillo y los chasquis Huachi Chivo -")</f>
        <v>Av julio jaramillo y los chasquis Huachi Chivo -</v>
      </c>
      <c r="P1236" s="65"/>
      <c r="Q1236" s="65" t="str">
        <f>IFERROR(__xludf.DUMMYFUNCTION("""COMPUTED_VALUE"""),"GINTRACOM")</f>
        <v>GINTRACOM</v>
      </c>
      <c r="R1236" s="65">
        <f>IFERROR(__xludf.DUMMYFUNCTION("""COMPUTED_VALUE"""),25.0)</f>
        <v>25</v>
      </c>
      <c r="S1236" s="65"/>
      <c r="T1236" s="65">
        <f>IFERROR(__xludf.DUMMYFUNCTION("""COMPUTED_VALUE"""),5.96)</f>
        <v>5.96</v>
      </c>
      <c r="U1236" s="65">
        <f>IFERROR(__xludf.DUMMYFUNCTION("""COMPUTED_VALUE"""),0.0)</f>
        <v>0</v>
      </c>
      <c r="V1236" s="65">
        <f>IFERROR(__xludf.DUMMYFUNCTION("""COMPUTED_VALUE"""),0.0)</f>
        <v>0</v>
      </c>
      <c r="W1236" s="65">
        <f>IFERROR(__xludf.DUMMYFUNCTION("""COMPUTED_VALUE"""),0.0)</f>
        <v>0</v>
      </c>
      <c r="X1236" s="65">
        <f>IFERROR(__xludf.DUMMYFUNCTION("""COMPUTED_VALUE"""),2.35)</f>
        <v>2.35</v>
      </c>
      <c r="Y1236" s="65">
        <f>IFERROR(__xludf.DUMMYFUNCTION("""COMPUTED_VALUE"""),4.7)</f>
        <v>4.7</v>
      </c>
      <c r="Z1236" s="65">
        <f>IFERROR(__xludf.DUMMYFUNCTION("""COMPUTED_VALUE"""),116679.0)</f>
        <v>116679</v>
      </c>
      <c r="AA1236" s="65" t="str">
        <f>IFERROR(__xludf.DUMMYFUNCTION("""COMPUTED_VALUE"""),"AMC-2738")</f>
        <v>AMC-2738</v>
      </c>
      <c r="AB1236" s="65"/>
      <c r="AC1236" s="65" t="str">
        <f>IFERROR(__xludf.DUMMYFUNCTION("""COMPUTED_VALUE"""),"ESPONJA ANTILLUVIA DE PARABRISAS")</f>
        <v>ESPONJA ANTILLUVIA DE PARABRISAS</v>
      </c>
      <c r="AD1236" s="65"/>
      <c r="AE1236" s="65">
        <f>IFERROR(__xludf.DUMMYFUNCTION("""COMPUTED_VALUE"""),2.0)</f>
        <v>2</v>
      </c>
      <c r="AF1236" s="65"/>
      <c r="AG1236" s="65"/>
      <c r="AH1236" s="65"/>
      <c r="AI1236" s="65"/>
      <c r="AJ1236" s="65"/>
      <c r="AK1236" s="65"/>
      <c r="AL1236" s="65"/>
      <c r="AM1236" s="65"/>
      <c r="AN1236" s="65"/>
      <c r="AO1236" s="65"/>
      <c r="AP1236" s="65"/>
      <c r="AQ1236" s="65"/>
      <c r="AR1236" s="65"/>
      <c r="AS1236" s="65"/>
      <c r="AT1236" s="65" t="str">
        <f>IFERROR(__xludf.DUMMYFUNCTION("""COMPUTED_VALUE"""),"SHOPIFY")</f>
        <v>SHOPIFY</v>
      </c>
      <c r="AU1236" s="65" t="str">
        <f>IFERROR(__xludf.DUMMYFUNCTION("""COMPUTED_VALUE"""),"IMPORTEX EC")</f>
        <v>IMPORTEX EC</v>
      </c>
      <c r="AV1236" s="65" t="str">
        <f>IFERROR(__xludf.DUMMYFUNCTION("""COMPUTED_VALUE"""),"6463483183148")</f>
        <v>6463483183148</v>
      </c>
      <c r="AW1236" s="65">
        <f>IFERROR(__xludf.DUMMYFUNCTION("""COMPUTED_VALUE"""),5662.0)</f>
        <v>5662</v>
      </c>
      <c r="AX1236" s="65"/>
      <c r="AY1236" s="65"/>
      <c r="AZ1236" s="65"/>
      <c r="BA1236" s="65"/>
    </row>
    <row r="1237">
      <c r="A1237" s="65" t="str">
        <f>IFERROR(__xludf.DUMMYFUNCTION("""COMPUTED_VALUE"""),"27-03-2026")</f>
        <v>27-03-2026</v>
      </c>
      <c r="B1237" s="65">
        <f>IFERROR(__xludf.DUMMYFUNCTION("""COMPUTED_VALUE"""),4335681.0)</f>
        <v>4335681</v>
      </c>
      <c r="C1237" s="65" t="str">
        <f>IFERROR(__xludf.DUMMYFUNCTION("""COMPUTED_VALUE"""),"18:20")</f>
        <v>18:20</v>
      </c>
      <c r="D1237" s="65" t="str">
        <f>IFERROR(__xludf.DUMMYFUNCTION("""COMPUTED_VALUE"""),"30-01-2026")</f>
        <v>30-01-2026</v>
      </c>
      <c r="E1237" s="65" t="str">
        <f>IFERROR(__xludf.DUMMYFUNCTION("""COMPUTED_VALUE"""),"Edison Pillco")</f>
        <v>Edison Pillco</v>
      </c>
      <c r="F1237" s="65" t="str">
        <f>IFERROR(__xludf.DUMMYFUNCTION("""COMPUTED_VALUE"""),"960498538")</f>
        <v>960498538</v>
      </c>
      <c r="G1237" s="65" t="str">
        <f>IFERROR(__xludf.DUMMYFUNCTION("""COMPUTED_VALUE"""),"edisonpillco18@gmail.com")</f>
        <v>edisonpillco18@gmail.com</v>
      </c>
      <c r="H1237" s="65"/>
      <c r="I1237" s="65"/>
      <c r="J1237" s="65" t="str">
        <f>IFERROR(__xludf.DUMMYFUNCTION("""COMPUTED_VALUE"""),"186995651")</f>
        <v>186995651</v>
      </c>
      <c r="K1237" s="65" t="str">
        <f>IFERROR(__xludf.DUMMYFUNCTION("""COMPUTED_VALUE"""),"ENTREGADO")</f>
        <v>ENTREGADO</v>
      </c>
      <c r="L1237" s="65" t="str">
        <f>IFERROR(__xludf.DUMMYFUNCTION("""COMPUTED_VALUE"""),"CON RECAUDO")</f>
        <v>CON RECAUDO</v>
      </c>
      <c r="M1237" s="65" t="str">
        <f>IFERROR(__xludf.DUMMYFUNCTION("""COMPUTED_VALUE"""),"AZUAY")</f>
        <v>AZUAY</v>
      </c>
      <c r="N1237" s="65" t="str">
        <f>IFERROR(__xludf.DUMMYFUNCTION("""COMPUTED_VALUE"""),"SAN FERNANDO")</f>
        <v>SAN FERNANDO</v>
      </c>
      <c r="O1237" s="65" t="str">
        <f>IFERROR(__xludf.DUMMYFUNCTION("""COMPUTED_VALUE"""),"Honorato vasquez y cuenca San Fernando , Comercial Encalada Machuca ,Diagonal a la iglesia central")</f>
        <v>Honorato vasquez y cuenca San Fernando , Comercial Encalada Machuca ,Diagonal a la iglesia central</v>
      </c>
      <c r="P1237" s="65"/>
      <c r="Q1237" s="65" t="str">
        <f>IFERROR(__xludf.DUMMYFUNCTION("""COMPUTED_VALUE"""),"SERVIENTREGA")</f>
        <v>SERVIENTREGA</v>
      </c>
      <c r="R1237" s="65">
        <f>IFERROR(__xludf.DUMMYFUNCTION("""COMPUTED_VALUE"""),20.0)</f>
        <v>20</v>
      </c>
      <c r="S1237" s="65">
        <f>IFERROR(__xludf.DUMMYFUNCTION("""COMPUTED_VALUE"""),9.98)</f>
        <v>9.98</v>
      </c>
      <c r="T1237" s="65">
        <f>IFERROR(__xludf.DUMMYFUNCTION("""COMPUTED_VALUE"""),7.67)</f>
        <v>7.67</v>
      </c>
      <c r="U1237" s="65">
        <f>IFERROR(__xludf.DUMMYFUNCTION("""COMPUTED_VALUE"""),0.0)</f>
        <v>0</v>
      </c>
      <c r="V1237" s="65">
        <f>IFERROR(__xludf.DUMMYFUNCTION("""COMPUTED_VALUE"""),0.0)</f>
        <v>0</v>
      </c>
      <c r="W1237" s="65">
        <f>IFERROR(__xludf.DUMMYFUNCTION("""COMPUTED_VALUE"""),0.0)</f>
        <v>0</v>
      </c>
      <c r="X1237" s="65">
        <f>IFERROR(__xludf.DUMMYFUNCTION("""COMPUTED_VALUE"""),2.35)</f>
        <v>2.35</v>
      </c>
      <c r="Y1237" s="65">
        <f>IFERROR(__xludf.DUMMYFUNCTION("""COMPUTED_VALUE"""),2.35)</f>
        <v>2.35</v>
      </c>
      <c r="Z1237" s="65">
        <f>IFERROR(__xludf.DUMMYFUNCTION("""COMPUTED_VALUE"""),116679.0)</f>
        <v>116679</v>
      </c>
      <c r="AA1237" s="65" t="str">
        <f>IFERROR(__xludf.DUMMYFUNCTION("""COMPUTED_VALUE"""),"AMC-2738")</f>
        <v>AMC-2738</v>
      </c>
      <c r="AB1237" s="65"/>
      <c r="AC1237" s="65" t="str">
        <f>IFERROR(__xludf.DUMMYFUNCTION("""COMPUTED_VALUE"""),"ESPONJA ANTILLUVIA DE PARABRISAS")</f>
        <v>ESPONJA ANTILLUVIA DE PARABRISAS</v>
      </c>
      <c r="AD1237" s="65"/>
      <c r="AE1237" s="65">
        <f>IFERROR(__xludf.DUMMYFUNCTION("""COMPUTED_VALUE"""),1.0)</f>
        <v>1</v>
      </c>
      <c r="AF1237" s="65"/>
      <c r="AG1237" s="65"/>
      <c r="AH1237" s="65"/>
      <c r="AI1237" s="65"/>
      <c r="AJ1237" s="65"/>
      <c r="AK1237" s="65"/>
      <c r="AL1237" s="65"/>
      <c r="AM1237" s="65"/>
      <c r="AN1237" s="65" t="str">
        <f>IFERROR(__xludf.DUMMYFUNCTION("""COMPUTED_VALUE"""),"08:42")</f>
        <v>08:42</v>
      </c>
      <c r="AO1237" s="65" t="str">
        <f>IFERROR(__xludf.DUMMYFUNCTION("""COMPUTED_VALUE"""),"11-02-2026")</f>
        <v>11-02-2026</v>
      </c>
      <c r="AP1237" s="65" t="str">
        <f>IFERROR(__xludf.DUMMYFUNCTION("""COMPUTED_VALUE"""),"ENTREGA DIGITALIZADA EN CENTRO LOGISTICO")</f>
        <v>ENTREGA DIGITALIZADA EN CENTRO LOGISTICO</v>
      </c>
      <c r="AQ1237" s="65" t="str">
        <f>IFERROR(__xludf.DUMMYFUNCTION("""COMPUTED_VALUE"""),"edison quirindumbay")</f>
        <v>edison quirindumbay</v>
      </c>
      <c r="AR1237" s="65"/>
      <c r="AS1237" s="65"/>
      <c r="AT1237" s="65" t="str">
        <f>IFERROR(__xludf.DUMMYFUNCTION("""COMPUTED_VALUE"""),"SHOPIFY")</f>
        <v>SHOPIFY</v>
      </c>
      <c r="AU1237" s="65" t="str">
        <f>IFERROR(__xludf.DUMMYFUNCTION("""COMPUTED_VALUE"""),"IMPORTEX EC")</f>
        <v>IMPORTEX EC</v>
      </c>
      <c r="AV1237" s="65" t="str">
        <f>IFERROR(__xludf.DUMMYFUNCTION("""COMPUTED_VALUE"""),"6463460343852")</f>
        <v>6463460343852</v>
      </c>
      <c r="AW1237" s="65">
        <f>IFERROR(__xludf.DUMMYFUNCTION("""COMPUTED_VALUE"""),5661.0)</f>
        <v>5661</v>
      </c>
      <c r="AX1237" s="65"/>
      <c r="AY1237" s="65" t="str">
        <f>IFERROR(__xludf.DUMMYFUNCTION("""COMPUTED_VALUE"""),"03/02/2026")</f>
        <v>03/02/2026</v>
      </c>
      <c r="AZ1237" s="65"/>
      <c r="BA1237" s="65"/>
    </row>
    <row r="1238">
      <c r="A1238" s="65" t="str">
        <f>IFERROR(__xludf.DUMMYFUNCTION("""COMPUTED_VALUE"""),"27-03-2026")</f>
        <v>27-03-2026</v>
      </c>
      <c r="B1238" s="65">
        <f>IFERROR(__xludf.DUMMYFUNCTION("""COMPUTED_VALUE"""),4335635.0)</f>
        <v>4335635</v>
      </c>
      <c r="C1238" s="65" t="str">
        <f>IFERROR(__xludf.DUMMYFUNCTION("""COMPUTED_VALUE"""),"18:13")</f>
        <v>18:13</v>
      </c>
      <c r="D1238" s="65" t="str">
        <f>IFERROR(__xludf.DUMMYFUNCTION("""COMPUTED_VALUE"""),"30-01-2026")</f>
        <v>30-01-2026</v>
      </c>
      <c r="E1238" s="65" t="str">
        <f>IFERROR(__xludf.DUMMYFUNCTION("""COMPUTED_VALUE"""),"Ariana Ramírez Tanzo")</f>
        <v>Ariana Ramírez Tanzo</v>
      </c>
      <c r="F1238" s="65" t="str">
        <f>IFERROR(__xludf.DUMMYFUNCTION("""COMPUTED_VALUE"""),"996922011")</f>
        <v>996922011</v>
      </c>
      <c r="G1238" s="65"/>
      <c r="H1238" s="65"/>
      <c r="I1238" s="65"/>
      <c r="J1238" s="65" t="str">
        <f>IFERROR(__xludf.DUMMYFUNCTION("""COMPUTED_VALUE"""),"186556558")</f>
        <v>186556558</v>
      </c>
      <c r="K1238" s="65" t="str">
        <f>IFERROR(__xludf.DUMMYFUNCTION("""COMPUTED_VALUE"""),"ENTREGADO")</f>
        <v>ENTREGADO</v>
      </c>
      <c r="L1238" s="65" t="str">
        <f>IFERROR(__xludf.DUMMYFUNCTION("""COMPUTED_VALUE"""),"CON RECAUDO")</f>
        <v>CON RECAUDO</v>
      </c>
      <c r="M1238" s="65" t="str">
        <f>IFERROR(__xludf.DUMMYFUNCTION("""COMPUTED_VALUE"""),"LOS RIOS")</f>
        <v>LOS RIOS</v>
      </c>
      <c r="N1238" s="65" t="str">
        <f>IFERROR(__xludf.DUMMYFUNCTION("""COMPUTED_VALUE"""),"SAN JUAN")</f>
        <v>SAN JUAN</v>
      </c>
      <c r="O1238" s="65" t="str">
        <f>IFERROR(__xludf.DUMMYFUNCTION("""COMPUTED_VALUE"""),"León febres cordero y 6 de octubre junto a maxitel serví entrega San juan, diagonal a la iglesia católica")</f>
        <v>León febres cordero y 6 de octubre junto a maxitel serví entrega San juan, diagonal a la iglesia católica</v>
      </c>
      <c r="P1238" s="65"/>
      <c r="Q1238" s="65" t="str">
        <f>IFERROR(__xludf.DUMMYFUNCTION("""COMPUTED_VALUE"""),"SERVIENTREGA")</f>
        <v>SERVIENTREGA</v>
      </c>
      <c r="R1238" s="65">
        <f>IFERROR(__xludf.DUMMYFUNCTION("""COMPUTED_VALUE"""),22.0)</f>
        <v>22</v>
      </c>
      <c r="S1238" s="65">
        <f>IFERROR(__xludf.DUMMYFUNCTION("""COMPUTED_VALUE"""),9.1)</f>
        <v>9.1</v>
      </c>
      <c r="T1238" s="65">
        <f>IFERROR(__xludf.DUMMYFUNCTION("""COMPUTED_VALUE"""),7.7)</f>
        <v>7.7</v>
      </c>
      <c r="U1238" s="65">
        <f>IFERROR(__xludf.DUMMYFUNCTION("""COMPUTED_VALUE"""),0.0)</f>
        <v>0</v>
      </c>
      <c r="V1238" s="65">
        <f>IFERROR(__xludf.DUMMYFUNCTION("""COMPUTED_VALUE"""),0.0)</f>
        <v>0</v>
      </c>
      <c r="W1238" s="65">
        <f>IFERROR(__xludf.DUMMYFUNCTION("""COMPUTED_VALUE"""),0.0)</f>
        <v>0</v>
      </c>
      <c r="X1238" s="65">
        <f>IFERROR(__xludf.DUMMYFUNCTION("""COMPUTED_VALUE"""),2.6)</f>
        <v>2.6</v>
      </c>
      <c r="Y1238" s="65">
        <f>IFERROR(__xludf.DUMMYFUNCTION("""COMPUTED_VALUE"""),5.2)</f>
        <v>5.2</v>
      </c>
      <c r="Z1238" s="65">
        <f>IFERROR(__xludf.DUMMYFUNCTION("""COMPUTED_VALUE"""),121983.0)</f>
        <v>121983</v>
      </c>
      <c r="AA1238" s="65" t="str">
        <f>IFERROR(__xludf.DUMMYFUNCTION("""COMPUTED_VALUE"""),"PROV-CHLLCF")</f>
        <v>PROV-CHLLCF</v>
      </c>
      <c r="AB1238" s="65"/>
      <c r="AC1238" s="65" t="str">
        <f>IFERROR(__xludf.DUMMYFUNCTION("""COMPUTED_VALUE"""),"CUCHILLO PARA CHEF")</f>
        <v>CUCHILLO PARA CHEF</v>
      </c>
      <c r="AD1238" s="65"/>
      <c r="AE1238" s="65">
        <f>IFERROR(__xludf.DUMMYFUNCTION("""COMPUTED_VALUE"""),2.0)</f>
        <v>2</v>
      </c>
      <c r="AF1238" s="65"/>
      <c r="AG1238" s="65"/>
      <c r="AH1238" s="65"/>
      <c r="AI1238" s="65"/>
      <c r="AJ1238" s="65"/>
      <c r="AK1238" s="65"/>
      <c r="AL1238" s="65"/>
      <c r="AM1238" s="65"/>
      <c r="AN1238" s="65" t="str">
        <f>IFERROR(__xludf.DUMMYFUNCTION("""COMPUTED_VALUE"""),"16:22")</f>
        <v>16:22</v>
      </c>
      <c r="AO1238" s="65" t="str">
        <f>IFERROR(__xludf.DUMMYFUNCTION("""COMPUTED_VALUE"""),"11-02-2026")</f>
        <v>11-02-2026</v>
      </c>
      <c r="AP1238" s="65" t="str">
        <f>IFERROR(__xludf.DUMMYFUNCTION("""COMPUTED_VALUE"""),"ENTREGA DIGITALIZADA EN CENTRO LOGISTICO")</f>
        <v>ENTREGA DIGITALIZADA EN CENTRO LOGISTICO</v>
      </c>
      <c r="AQ1238" s="65" t="str">
        <f>IFERROR(__xludf.DUMMYFUNCTION("""COMPUTED_VALUE"""),"ARIANA RAMIREZ")</f>
        <v>ARIANA RAMIREZ</v>
      </c>
      <c r="AR1238" s="65"/>
      <c r="AS1238" s="65"/>
      <c r="AT1238" s="65" t="str">
        <f>IFERROR(__xludf.DUMMYFUNCTION("""COMPUTED_VALUE"""),"CHATEA PRO")</f>
        <v>CHATEA PRO</v>
      </c>
      <c r="AU1238" s="65" t="str">
        <f>IFERROR(__xludf.DUMMYFUNCTION("""COMPUTED_VALUE"""),"CHATEA PRO")</f>
        <v>CHATEA PRO</v>
      </c>
      <c r="AV1238" s="65"/>
      <c r="AW1238" s="65"/>
      <c r="AX1238" s="65"/>
      <c r="AY1238" s="65" t="str">
        <f>IFERROR(__xludf.DUMMYFUNCTION("""COMPUTED_VALUE"""),"31/01/2026")</f>
        <v>31/01/2026</v>
      </c>
      <c r="AZ1238" s="65"/>
      <c r="BA1238" s="65"/>
    </row>
    <row r="1239">
      <c r="A1239" s="65" t="str">
        <f>IFERROR(__xludf.DUMMYFUNCTION("""COMPUTED_VALUE"""),"27-03-2026")</f>
        <v>27-03-2026</v>
      </c>
      <c r="B1239" s="65">
        <f>IFERROR(__xludf.DUMMYFUNCTION("""COMPUTED_VALUE"""),4335450.0)</f>
        <v>4335450</v>
      </c>
      <c r="C1239" s="65" t="str">
        <f>IFERROR(__xludf.DUMMYFUNCTION("""COMPUTED_VALUE"""),"17:53")</f>
        <v>17:53</v>
      </c>
      <c r="D1239" s="65" t="str">
        <f>IFERROR(__xludf.DUMMYFUNCTION("""COMPUTED_VALUE"""),"30-01-2026")</f>
        <v>30-01-2026</v>
      </c>
      <c r="E1239" s="65" t="str">
        <f>IFERROR(__xludf.DUMMYFUNCTION("""COMPUTED_VALUE"""),"Luis rogelio Cedeño Castro")</f>
        <v>Luis rogelio Cedeño Castro</v>
      </c>
      <c r="F1239" s="65" t="str">
        <f>IFERROR(__xludf.DUMMYFUNCTION("""COMPUTED_VALUE"""),"995909567")</f>
        <v>995909567</v>
      </c>
      <c r="G1239" s="65"/>
      <c r="H1239" s="65"/>
      <c r="I1239" s="65"/>
      <c r="J1239" s="65" t="str">
        <f>IFERROR(__xludf.DUMMYFUNCTION("""COMPUTED_VALUE"""),"D001279952")</f>
        <v>D001279952</v>
      </c>
      <c r="K1239" s="65" t="str">
        <f>IFERROR(__xludf.DUMMYFUNCTION("""COMPUTED_VALUE"""),"ENTREGADO")</f>
        <v>ENTREGADO</v>
      </c>
      <c r="L1239" s="65" t="str">
        <f>IFERROR(__xludf.DUMMYFUNCTION("""COMPUTED_VALUE"""),"CON RECAUDO")</f>
        <v>CON RECAUDO</v>
      </c>
      <c r="M1239" s="65" t="str">
        <f>IFERROR(__xludf.DUMMYFUNCTION("""COMPUTED_VALUE"""),"MANABI")</f>
        <v>MANABI</v>
      </c>
      <c r="N1239" s="65" t="str">
        <f>IFERROR(__xludf.DUMMYFUNCTION("""COMPUTED_VALUE"""),"MANTA")</f>
        <v>MANTA</v>
      </c>
      <c r="O1239" s="65" t="str">
        <f>IFERROR(__xludf.DUMMYFUNCTION("""COMPUTED_VALUE"""),"Barrio 15 de septiembre antigua via a sanjuan de manta En la recicladora el chivo - Sera por este numero")</f>
        <v>Barrio 15 de septiembre antigua via a sanjuan de manta En la recicladora el chivo - Sera por este numero</v>
      </c>
      <c r="P1239" s="65"/>
      <c r="Q1239" s="65" t="str">
        <f>IFERROR(__xludf.DUMMYFUNCTION("""COMPUTED_VALUE"""),"GINTRACOM")</f>
        <v>GINTRACOM</v>
      </c>
      <c r="R1239" s="65">
        <f>IFERROR(__xludf.DUMMYFUNCTION("""COMPUTED_VALUE"""),20.0)</f>
        <v>20</v>
      </c>
      <c r="S1239" s="65">
        <f>IFERROR(__xludf.DUMMYFUNCTION("""COMPUTED_VALUE"""),11.89)</f>
        <v>11.89</v>
      </c>
      <c r="T1239" s="65">
        <f>IFERROR(__xludf.DUMMYFUNCTION("""COMPUTED_VALUE"""),5.76)</f>
        <v>5.76</v>
      </c>
      <c r="U1239" s="65">
        <f>IFERROR(__xludf.DUMMYFUNCTION("""COMPUTED_VALUE"""),0.0)</f>
        <v>0</v>
      </c>
      <c r="V1239" s="65">
        <f>IFERROR(__xludf.DUMMYFUNCTION("""COMPUTED_VALUE"""),0.0)</f>
        <v>0</v>
      </c>
      <c r="W1239" s="65">
        <f>IFERROR(__xludf.DUMMYFUNCTION("""COMPUTED_VALUE"""),0.0)</f>
        <v>0</v>
      </c>
      <c r="X1239" s="65">
        <f>IFERROR(__xludf.DUMMYFUNCTION("""COMPUTED_VALUE"""),2.35)</f>
        <v>2.35</v>
      </c>
      <c r="Y1239" s="65">
        <f>IFERROR(__xludf.DUMMYFUNCTION("""COMPUTED_VALUE"""),2.35)</f>
        <v>2.35</v>
      </c>
      <c r="Z1239" s="65">
        <f>IFERROR(__xludf.DUMMYFUNCTION("""COMPUTED_VALUE"""),116679.0)</f>
        <v>116679</v>
      </c>
      <c r="AA1239" s="65" t="str">
        <f>IFERROR(__xludf.DUMMYFUNCTION("""COMPUTED_VALUE"""),"AMC-2738")</f>
        <v>AMC-2738</v>
      </c>
      <c r="AB1239" s="65"/>
      <c r="AC1239" s="65" t="str">
        <f>IFERROR(__xludf.DUMMYFUNCTION("""COMPUTED_VALUE"""),"ESPONJA ANTILLUVIA DE PARABRISAS")</f>
        <v>ESPONJA ANTILLUVIA DE PARABRISAS</v>
      </c>
      <c r="AD1239" s="65"/>
      <c r="AE1239" s="65">
        <f>IFERROR(__xludf.DUMMYFUNCTION("""COMPUTED_VALUE"""),1.0)</f>
        <v>1</v>
      </c>
      <c r="AF1239" s="65"/>
      <c r="AG1239" s="65"/>
      <c r="AH1239" s="65"/>
      <c r="AI1239" s="65"/>
      <c r="AJ1239" s="65"/>
      <c r="AK1239" s="65"/>
      <c r="AL1239" s="65"/>
      <c r="AM1239" s="65"/>
      <c r="AN1239" s="65"/>
      <c r="AO1239" s="65"/>
      <c r="AP1239" s="65"/>
      <c r="AQ1239" s="65"/>
      <c r="AR1239" s="65"/>
      <c r="AS1239" s="65"/>
      <c r="AT1239" s="65" t="str">
        <f>IFERROR(__xludf.DUMMYFUNCTION("""COMPUTED_VALUE"""),"CHATEA PRO")</f>
        <v>CHATEA PRO</v>
      </c>
      <c r="AU1239" s="65" t="str">
        <f>IFERROR(__xludf.DUMMYFUNCTION("""COMPUTED_VALUE"""),"CHATEA PRO")</f>
        <v>CHATEA PRO</v>
      </c>
      <c r="AV1239" s="65"/>
      <c r="AW1239" s="65"/>
      <c r="AX1239" s="65"/>
      <c r="AY1239" s="65" t="str">
        <f>IFERROR(__xludf.DUMMYFUNCTION("""COMPUTED_VALUE"""),"31/01/2026")</f>
        <v>31/01/2026</v>
      </c>
      <c r="AZ1239" s="65"/>
      <c r="BA1239" s="65"/>
    </row>
    <row r="1240">
      <c r="A1240" s="65" t="str">
        <f>IFERROR(__xludf.DUMMYFUNCTION("""COMPUTED_VALUE"""),"27-03-2026")</f>
        <v>27-03-2026</v>
      </c>
      <c r="B1240" s="65">
        <f>IFERROR(__xludf.DUMMYFUNCTION("""COMPUTED_VALUE"""),4335229.0)</f>
        <v>4335229</v>
      </c>
      <c r="C1240" s="65" t="str">
        <f>IFERROR(__xludf.DUMMYFUNCTION("""COMPUTED_VALUE"""),"17:29")</f>
        <v>17:29</v>
      </c>
      <c r="D1240" s="65" t="str">
        <f>IFERROR(__xludf.DUMMYFUNCTION("""COMPUTED_VALUE"""),"30-01-2026")</f>
        <v>30-01-2026</v>
      </c>
      <c r="E1240" s="65" t="str">
        <f>IFERROR(__xludf.DUMMYFUNCTION("""COMPUTED_VALUE"""),"Kervin Campos")</f>
        <v>Kervin Campos</v>
      </c>
      <c r="F1240" s="65" t="str">
        <f>IFERROR(__xludf.DUMMYFUNCTION("""COMPUTED_VALUE"""),"988679129")</f>
        <v>988679129</v>
      </c>
      <c r="G1240" s="65" t="str">
        <f>IFERROR(__xludf.DUMMYFUNCTION("""COMPUTED_VALUE"""),"kervinjosecamposmorffe@gmail.com")</f>
        <v>kervinjosecamposmorffe@gmail.com</v>
      </c>
      <c r="H1240" s="65"/>
      <c r="I1240" s="65"/>
      <c r="J1240" s="65"/>
      <c r="K1240" s="65" t="str">
        <f>IFERROR(__xludf.DUMMYFUNCTION("""COMPUTED_VALUE"""),"PENDIENTE CONFIRMACION")</f>
        <v>PENDIENTE CONFIRMACION</v>
      </c>
      <c r="L1240" s="65" t="str">
        <f>IFERROR(__xludf.DUMMYFUNCTION("""COMPUTED_VALUE"""),"CON RECAUDO")</f>
        <v>CON RECAUDO</v>
      </c>
      <c r="M1240" s="65" t="str">
        <f>IFERROR(__xludf.DUMMYFUNCTION("""COMPUTED_VALUE"""),"TUNGURAHUA")</f>
        <v>TUNGURAHUA</v>
      </c>
      <c r="N1240" s="65" t="str">
        <f>IFERROR(__xludf.DUMMYFUNCTION("""COMPUTED_VALUE"""),"AMBATO")</f>
        <v>AMBATO</v>
      </c>
      <c r="O1240" s="65" t="str">
        <f>IFERROR(__xludf.DUMMYFUNCTION("""COMPUTED_VALUE"""),"García Lorca Cerca del parque las flores -")</f>
        <v>García Lorca Cerca del parque las flores -</v>
      </c>
      <c r="P1240" s="65"/>
      <c r="Q1240" s="65" t="str">
        <f>IFERROR(__xludf.DUMMYFUNCTION("""COMPUTED_VALUE"""),"GINTRACOM")</f>
        <v>GINTRACOM</v>
      </c>
      <c r="R1240" s="65">
        <f>IFERROR(__xludf.DUMMYFUNCTION("""COMPUTED_VALUE"""),22.0)</f>
        <v>22</v>
      </c>
      <c r="S1240" s="65"/>
      <c r="T1240" s="65">
        <f>IFERROR(__xludf.DUMMYFUNCTION("""COMPUTED_VALUE"""),5.84)</f>
        <v>5.84</v>
      </c>
      <c r="U1240" s="65">
        <f>IFERROR(__xludf.DUMMYFUNCTION("""COMPUTED_VALUE"""),0.0)</f>
        <v>0</v>
      </c>
      <c r="V1240" s="65">
        <f>IFERROR(__xludf.DUMMYFUNCTION("""COMPUTED_VALUE"""),0.0)</f>
        <v>0</v>
      </c>
      <c r="W1240" s="65">
        <f>IFERROR(__xludf.DUMMYFUNCTION("""COMPUTED_VALUE"""),0.0)</f>
        <v>0</v>
      </c>
      <c r="X1240" s="65">
        <f>IFERROR(__xludf.DUMMYFUNCTION("""COMPUTED_VALUE"""),2.6)</f>
        <v>2.6</v>
      </c>
      <c r="Y1240" s="65">
        <f>IFERROR(__xludf.DUMMYFUNCTION("""COMPUTED_VALUE"""),5.2)</f>
        <v>5.2</v>
      </c>
      <c r="Z1240" s="65">
        <f>IFERROR(__xludf.DUMMYFUNCTION("""COMPUTED_VALUE"""),121983.0)</f>
        <v>121983</v>
      </c>
      <c r="AA1240" s="65" t="str">
        <f>IFERROR(__xludf.DUMMYFUNCTION("""COMPUTED_VALUE"""),"PROV-CHLLCF")</f>
        <v>PROV-CHLLCF</v>
      </c>
      <c r="AB1240" s="65"/>
      <c r="AC1240" s="65" t="str">
        <f>IFERROR(__xludf.DUMMYFUNCTION("""COMPUTED_VALUE"""),"CUCHILLO PARA CHEF")</f>
        <v>CUCHILLO PARA CHEF</v>
      </c>
      <c r="AD1240" s="65"/>
      <c r="AE1240" s="65">
        <f>IFERROR(__xludf.DUMMYFUNCTION("""COMPUTED_VALUE"""),2.0)</f>
        <v>2</v>
      </c>
      <c r="AF1240" s="65"/>
      <c r="AG1240" s="65"/>
      <c r="AH1240" s="65"/>
      <c r="AI1240" s="65"/>
      <c r="AJ1240" s="65"/>
      <c r="AK1240" s="65"/>
      <c r="AL1240" s="65"/>
      <c r="AM1240" s="65"/>
      <c r="AN1240" s="65"/>
      <c r="AO1240" s="65"/>
      <c r="AP1240" s="65"/>
      <c r="AQ1240" s="65"/>
      <c r="AR1240" s="65"/>
      <c r="AS1240" s="65"/>
      <c r="AT1240" s="65" t="str">
        <f>IFERROR(__xludf.DUMMYFUNCTION("""COMPUTED_VALUE"""),"SHOPIFY")</f>
        <v>SHOPIFY</v>
      </c>
      <c r="AU1240" s="65" t="str">
        <f>IFERROR(__xludf.DUMMYFUNCTION("""COMPUTED_VALUE"""),"IMPORTEX EC")</f>
        <v>IMPORTEX EC</v>
      </c>
      <c r="AV1240" s="65" t="str">
        <f>IFERROR(__xludf.DUMMYFUNCTION("""COMPUTED_VALUE"""),"6463341297708")</f>
        <v>6463341297708</v>
      </c>
      <c r="AW1240" s="65">
        <f>IFERROR(__xludf.DUMMYFUNCTION("""COMPUTED_VALUE"""),5660.0)</f>
        <v>5660</v>
      </c>
      <c r="AX1240" s="65"/>
      <c r="AY1240" s="65"/>
      <c r="AZ1240" s="65"/>
      <c r="BA1240" s="65"/>
    </row>
    <row r="1241">
      <c r="A1241" s="65" t="str">
        <f>IFERROR(__xludf.DUMMYFUNCTION("""COMPUTED_VALUE"""),"27-03-2026")</f>
        <v>27-03-2026</v>
      </c>
      <c r="B1241" s="65">
        <f>IFERROR(__xludf.DUMMYFUNCTION("""COMPUTED_VALUE"""),4335152.0)</f>
        <v>4335152</v>
      </c>
      <c r="C1241" s="65" t="str">
        <f>IFERROR(__xludf.DUMMYFUNCTION("""COMPUTED_VALUE"""),"17:19")</f>
        <v>17:19</v>
      </c>
      <c r="D1241" s="65" t="str">
        <f>IFERROR(__xludf.DUMMYFUNCTION("""COMPUTED_VALUE"""),"30-01-2026")</f>
        <v>30-01-2026</v>
      </c>
      <c r="E1241" s="65" t="str">
        <f>IFERROR(__xludf.DUMMYFUNCTION("""COMPUTED_VALUE"""),"David Sanchez")</f>
        <v>David Sanchez</v>
      </c>
      <c r="F1241" s="65" t="str">
        <f>IFERROR(__xludf.DUMMYFUNCTION("""COMPUTED_VALUE"""),"980276954")</f>
        <v>980276954</v>
      </c>
      <c r="G1241" s="65" t="str">
        <f>IFERROR(__xludf.DUMMYFUNCTION("""COMPUTED_VALUE"""),"soletiti1982@gmail.com")</f>
        <v>soletiti1982@gmail.com</v>
      </c>
      <c r="H1241" s="65"/>
      <c r="I1241" s="65"/>
      <c r="J1241" s="65"/>
      <c r="K1241" s="65" t="str">
        <f>IFERROR(__xludf.DUMMYFUNCTION("""COMPUTED_VALUE"""),"PENDIENTE CONFIRMACION")</f>
        <v>PENDIENTE CONFIRMACION</v>
      </c>
      <c r="L1241" s="65" t="str">
        <f>IFERROR(__xludf.DUMMYFUNCTION("""COMPUTED_VALUE"""),"CON RECAUDO")</f>
        <v>CON RECAUDO</v>
      </c>
      <c r="M1241" s="65" t="str">
        <f>IFERROR(__xludf.DUMMYFUNCTION("""COMPUTED_VALUE"""),"PICHINCHA")</f>
        <v>PICHINCHA</v>
      </c>
      <c r="N1241" s="65" t="str">
        <f>IFERROR(__xludf.DUMMYFUNCTION("""COMPUTED_VALUE"""),"MACHACHI")</f>
        <v>MACHACHI</v>
      </c>
      <c r="O1241" s="65" t="str">
        <f>IFERROR(__xludf.DUMMYFUNCTION("""COMPUTED_VALUE"""),"Luis Fernando merlo Mamaguacho suf jefatura -")</f>
        <v>Luis Fernando merlo Mamaguacho suf jefatura -</v>
      </c>
      <c r="P1241" s="65"/>
      <c r="Q1241" s="65" t="str">
        <f>IFERROR(__xludf.DUMMYFUNCTION("""COMPUTED_VALUE"""),"SERVIENTREGA")</f>
        <v>SERVIENTREGA</v>
      </c>
      <c r="R1241" s="65">
        <f>IFERROR(__xludf.DUMMYFUNCTION("""COMPUTED_VALUE"""),20.0)</f>
        <v>20</v>
      </c>
      <c r="S1241" s="65"/>
      <c r="T1241" s="65">
        <f>IFERROR(__xludf.DUMMYFUNCTION("""COMPUTED_VALUE"""),5.64)</f>
        <v>5.64</v>
      </c>
      <c r="U1241" s="65">
        <f>IFERROR(__xludf.DUMMYFUNCTION("""COMPUTED_VALUE"""),0.0)</f>
        <v>0</v>
      </c>
      <c r="V1241" s="65">
        <f>IFERROR(__xludf.DUMMYFUNCTION("""COMPUTED_VALUE"""),0.0)</f>
        <v>0</v>
      </c>
      <c r="W1241" s="65">
        <f>IFERROR(__xludf.DUMMYFUNCTION("""COMPUTED_VALUE"""),0.0)</f>
        <v>0</v>
      </c>
      <c r="X1241" s="65">
        <f>IFERROR(__xludf.DUMMYFUNCTION("""COMPUTED_VALUE"""),2.35)</f>
        <v>2.35</v>
      </c>
      <c r="Y1241" s="65">
        <f>IFERROR(__xludf.DUMMYFUNCTION("""COMPUTED_VALUE"""),2.35)</f>
        <v>2.35</v>
      </c>
      <c r="Z1241" s="65">
        <f>IFERROR(__xludf.DUMMYFUNCTION("""COMPUTED_VALUE"""),116679.0)</f>
        <v>116679</v>
      </c>
      <c r="AA1241" s="65" t="str">
        <f>IFERROR(__xludf.DUMMYFUNCTION("""COMPUTED_VALUE"""),"AMC-2738")</f>
        <v>AMC-2738</v>
      </c>
      <c r="AB1241" s="65"/>
      <c r="AC1241" s="65" t="str">
        <f>IFERROR(__xludf.DUMMYFUNCTION("""COMPUTED_VALUE"""),"ESPONJA ANTILLUVIA DE PARABRISAS")</f>
        <v>ESPONJA ANTILLUVIA DE PARABRISAS</v>
      </c>
      <c r="AD1241" s="65"/>
      <c r="AE1241" s="65">
        <f>IFERROR(__xludf.DUMMYFUNCTION("""COMPUTED_VALUE"""),1.0)</f>
        <v>1</v>
      </c>
      <c r="AF1241" s="65"/>
      <c r="AG1241" s="65"/>
      <c r="AH1241" s="65"/>
      <c r="AI1241" s="65"/>
      <c r="AJ1241" s="65"/>
      <c r="AK1241" s="65"/>
      <c r="AL1241" s="65"/>
      <c r="AM1241" s="65"/>
      <c r="AN1241" s="65"/>
      <c r="AO1241" s="65"/>
      <c r="AP1241" s="65"/>
      <c r="AQ1241" s="65"/>
      <c r="AR1241" s="65"/>
      <c r="AS1241" s="65"/>
      <c r="AT1241" s="65" t="str">
        <f>IFERROR(__xludf.DUMMYFUNCTION("""COMPUTED_VALUE"""),"SHOPIFY")</f>
        <v>SHOPIFY</v>
      </c>
      <c r="AU1241" s="65" t="str">
        <f>IFERROR(__xludf.DUMMYFUNCTION("""COMPUTED_VALUE"""),"IMPORTEX EC")</f>
        <v>IMPORTEX EC</v>
      </c>
      <c r="AV1241" s="65" t="str">
        <f>IFERROR(__xludf.DUMMYFUNCTION("""COMPUTED_VALUE"""),"6463319834668")</f>
        <v>6463319834668</v>
      </c>
      <c r="AW1241" s="65">
        <f>IFERROR(__xludf.DUMMYFUNCTION("""COMPUTED_VALUE"""),5659.0)</f>
        <v>5659</v>
      </c>
      <c r="AX1241" s="65"/>
      <c r="AY1241" s="65"/>
      <c r="AZ1241" s="65"/>
      <c r="BA1241" s="65"/>
    </row>
    <row r="1242">
      <c r="A1242" s="65" t="str">
        <f>IFERROR(__xludf.DUMMYFUNCTION("""COMPUTED_VALUE"""),"27-03-2026")</f>
        <v>27-03-2026</v>
      </c>
      <c r="B1242" s="65">
        <f>IFERROR(__xludf.DUMMYFUNCTION("""COMPUTED_VALUE"""),4335142.0)</f>
        <v>4335142</v>
      </c>
      <c r="C1242" s="65" t="str">
        <f>IFERROR(__xludf.DUMMYFUNCTION("""COMPUTED_VALUE"""),"17:18")</f>
        <v>17:18</v>
      </c>
      <c r="D1242" s="65" t="str">
        <f>IFERROR(__xludf.DUMMYFUNCTION("""COMPUTED_VALUE"""),"30-01-2026")</f>
        <v>30-01-2026</v>
      </c>
      <c r="E1242" s="65" t="str">
        <f>IFERROR(__xludf.DUMMYFUNCTION("""COMPUTED_VALUE"""),"Wilson Torres Alarcón")</f>
        <v>Wilson Torres Alarcón</v>
      </c>
      <c r="F1242" s="65" t="str">
        <f>IFERROR(__xludf.DUMMYFUNCTION("""COMPUTED_VALUE"""),"980426699")</f>
        <v>980426699</v>
      </c>
      <c r="G1242" s="65" t="str">
        <f>IFERROR(__xludf.DUMMYFUNCTION("""COMPUTED_VALUE"""),"1966wilsonalarcon@gmail.com")</f>
        <v>1966wilsonalarcon@gmail.com</v>
      </c>
      <c r="H1242" s="65"/>
      <c r="I1242" s="65"/>
      <c r="J1242" s="65"/>
      <c r="K1242" s="65" t="str">
        <f>IFERROR(__xludf.DUMMYFUNCTION("""COMPUTED_VALUE"""),"PENDIENTE CONFIRMACION")</f>
        <v>PENDIENTE CONFIRMACION</v>
      </c>
      <c r="L1242" s="65" t="str">
        <f>IFERROR(__xludf.DUMMYFUNCTION("""COMPUTED_VALUE"""),"CON RECAUDO")</f>
        <v>CON RECAUDO</v>
      </c>
      <c r="M1242" s="65" t="str">
        <f>IFERROR(__xludf.DUMMYFUNCTION("""COMPUTED_VALUE"""),"ESMERALDAS")</f>
        <v>ESMERALDAS</v>
      </c>
      <c r="N1242" s="65" t="str">
        <f>IFERROR(__xludf.DUMMYFUNCTION("""COMPUTED_VALUE"""),"ESMERALDAS")</f>
        <v>ESMERALDAS</v>
      </c>
      <c r="O1242" s="65" t="str">
        <f>IFERROR(__xludf.DUMMYFUNCTION("""COMPUTED_VALUE"""),"Avenidas los puentes Avenida los puente -")</f>
        <v>Avenidas los puentes Avenida los puente -</v>
      </c>
      <c r="P1242" s="65"/>
      <c r="Q1242" s="65" t="str">
        <f>IFERROR(__xludf.DUMMYFUNCTION("""COMPUTED_VALUE"""),"GINTRACOM")</f>
        <v>GINTRACOM</v>
      </c>
      <c r="R1242" s="65">
        <f>IFERROR(__xludf.DUMMYFUNCTION("""COMPUTED_VALUE"""),32.0)</f>
        <v>32</v>
      </c>
      <c r="S1242" s="65"/>
      <c r="T1242" s="65">
        <f>IFERROR(__xludf.DUMMYFUNCTION("""COMPUTED_VALUE"""),6.24)</f>
        <v>6.24</v>
      </c>
      <c r="U1242" s="65">
        <f>IFERROR(__xludf.DUMMYFUNCTION("""COMPUTED_VALUE"""),0.0)</f>
        <v>0</v>
      </c>
      <c r="V1242" s="65">
        <f>IFERROR(__xludf.DUMMYFUNCTION("""COMPUTED_VALUE"""),0.0)</f>
        <v>0</v>
      </c>
      <c r="W1242" s="65">
        <f>IFERROR(__xludf.DUMMYFUNCTION("""COMPUTED_VALUE"""),0.0)</f>
        <v>0</v>
      </c>
      <c r="X1242" s="65">
        <f>IFERROR(__xludf.DUMMYFUNCTION("""COMPUTED_VALUE"""),2.6)</f>
        <v>2.6</v>
      </c>
      <c r="Y1242" s="65">
        <f>IFERROR(__xludf.DUMMYFUNCTION("""COMPUTED_VALUE"""),10.4)</f>
        <v>10.4</v>
      </c>
      <c r="Z1242" s="65">
        <f>IFERROR(__xludf.DUMMYFUNCTION("""COMPUTED_VALUE"""),121983.0)</f>
        <v>121983</v>
      </c>
      <c r="AA1242" s="65" t="str">
        <f>IFERROR(__xludf.DUMMYFUNCTION("""COMPUTED_VALUE"""),"PROV-CHLLCF")</f>
        <v>PROV-CHLLCF</v>
      </c>
      <c r="AB1242" s="65"/>
      <c r="AC1242" s="65" t="str">
        <f>IFERROR(__xludf.DUMMYFUNCTION("""COMPUTED_VALUE"""),"CUCHILLO PARA CHEF")</f>
        <v>CUCHILLO PARA CHEF</v>
      </c>
      <c r="AD1242" s="65"/>
      <c r="AE1242" s="65">
        <f>IFERROR(__xludf.DUMMYFUNCTION("""COMPUTED_VALUE"""),4.0)</f>
        <v>4</v>
      </c>
      <c r="AF1242" s="65"/>
      <c r="AG1242" s="65"/>
      <c r="AH1242" s="65"/>
      <c r="AI1242" s="65"/>
      <c r="AJ1242" s="65"/>
      <c r="AK1242" s="65"/>
      <c r="AL1242" s="65"/>
      <c r="AM1242" s="65"/>
      <c r="AN1242" s="65"/>
      <c r="AO1242" s="65"/>
      <c r="AP1242" s="65"/>
      <c r="AQ1242" s="65"/>
      <c r="AR1242" s="65"/>
      <c r="AS1242" s="65"/>
      <c r="AT1242" s="65" t="str">
        <f>IFERROR(__xludf.DUMMYFUNCTION("""COMPUTED_VALUE"""),"SHOPIFY")</f>
        <v>SHOPIFY</v>
      </c>
      <c r="AU1242" s="65" t="str">
        <f>IFERROR(__xludf.DUMMYFUNCTION("""COMPUTED_VALUE"""),"IMPORTEX EC")</f>
        <v>IMPORTEX EC</v>
      </c>
      <c r="AV1242" s="65" t="str">
        <f>IFERROR(__xludf.DUMMYFUNCTION("""COMPUTED_VALUE"""),"6463314591788")</f>
        <v>6463314591788</v>
      </c>
      <c r="AW1242" s="65">
        <f>IFERROR(__xludf.DUMMYFUNCTION("""COMPUTED_VALUE"""),5658.0)</f>
        <v>5658</v>
      </c>
      <c r="AX1242" s="65"/>
      <c r="AY1242" s="65"/>
      <c r="AZ1242" s="65"/>
      <c r="BA1242" s="65"/>
    </row>
    <row r="1243">
      <c r="A1243" s="65" t="str">
        <f>IFERROR(__xludf.DUMMYFUNCTION("""COMPUTED_VALUE"""),"27-03-2026")</f>
        <v>27-03-2026</v>
      </c>
      <c r="B1243" s="65">
        <f>IFERROR(__xludf.DUMMYFUNCTION("""COMPUTED_VALUE"""),4334275.0)</f>
        <v>4334275</v>
      </c>
      <c r="C1243" s="65" t="str">
        <f>IFERROR(__xludf.DUMMYFUNCTION("""COMPUTED_VALUE"""),"15:56")</f>
        <v>15:56</v>
      </c>
      <c r="D1243" s="65" t="str">
        <f>IFERROR(__xludf.DUMMYFUNCTION("""COMPUTED_VALUE"""),"30-01-2026")</f>
        <v>30-01-2026</v>
      </c>
      <c r="E1243" s="65" t="str">
        <f>IFERROR(__xludf.DUMMYFUNCTION("""COMPUTED_VALUE"""),"Luis Chiriboga")</f>
        <v>Luis Chiriboga</v>
      </c>
      <c r="F1243" s="65" t="str">
        <f>IFERROR(__xludf.DUMMYFUNCTION("""COMPUTED_VALUE"""),"991855171")</f>
        <v>991855171</v>
      </c>
      <c r="G1243" s="65" t="str">
        <f>IFERROR(__xludf.DUMMYFUNCTION("""COMPUTED_VALUE"""),"chrbgl@yahoo.com")</f>
        <v>chrbgl@yahoo.com</v>
      </c>
      <c r="H1243" s="65"/>
      <c r="I1243" s="65"/>
      <c r="J1243" s="65" t="str">
        <f>IFERROR(__xludf.DUMMYFUNCTION("""COMPUTED_VALUE"""),"D001288613")</f>
        <v>D001288613</v>
      </c>
      <c r="K1243" s="65" t="str">
        <f>IFERROR(__xludf.DUMMYFUNCTION("""COMPUTED_VALUE"""),"ENTREGADO")</f>
        <v>ENTREGADO</v>
      </c>
      <c r="L1243" s="65" t="str">
        <f>IFERROR(__xludf.DUMMYFUNCTION("""COMPUTED_VALUE"""),"CON RECAUDO")</f>
        <v>CON RECAUDO</v>
      </c>
      <c r="M1243" s="65" t="str">
        <f>IFERROR(__xludf.DUMMYFUNCTION("""COMPUTED_VALUE"""),"IMBABURA")</f>
        <v>IMBABURA</v>
      </c>
      <c r="N1243" s="65" t="str">
        <f>IFERROR(__xludf.DUMMYFUNCTION("""COMPUTED_VALUE"""),"IBARRA")</f>
        <v>IBARRA</v>
      </c>
      <c r="O1243" s="65" t="str">
        <f>IFERROR(__xludf.DUMMYFUNCTION("""COMPUTED_VALUE"""),"Abelardo Guerrero 183 Y Juan Martin De Orbe A 50 metros del polideportivo -")</f>
        <v>Abelardo Guerrero 183 Y Juan Martin De Orbe A 50 metros del polideportivo -</v>
      </c>
      <c r="P1243" s="65"/>
      <c r="Q1243" s="65" t="str">
        <f>IFERROR(__xludf.DUMMYFUNCTION("""COMPUTED_VALUE"""),"GINTRACOM")</f>
        <v>GINTRACOM</v>
      </c>
      <c r="R1243" s="65">
        <f>IFERROR(__xludf.DUMMYFUNCTION("""COMPUTED_VALUE"""),25.0)</f>
        <v>25</v>
      </c>
      <c r="S1243" s="65">
        <f>IFERROR(__xludf.DUMMYFUNCTION("""COMPUTED_VALUE"""),14.34)</f>
        <v>14.34</v>
      </c>
      <c r="T1243" s="65">
        <f>IFERROR(__xludf.DUMMYFUNCTION("""COMPUTED_VALUE"""),5.96)</f>
        <v>5.96</v>
      </c>
      <c r="U1243" s="65">
        <f>IFERROR(__xludf.DUMMYFUNCTION("""COMPUTED_VALUE"""),0.0)</f>
        <v>0</v>
      </c>
      <c r="V1243" s="65">
        <f>IFERROR(__xludf.DUMMYFUNCTION("""COMPUTED_VALUE"""),0.0)</f>
        <v>0</v>
      </c>
      <c r="W1243" s="65">
        <f>IFERROR(__xludf.DUMMYFUNCTION("""COMPUTED_VALUE"""),0.0)</f>
        <v>0</v>
      </c>
      <c r="X1243" s="65">
        <f>IFERROR(__xludf.DUMMYFUNCTION("""COMPUTED_VALUE"""),2.35)</f>
        <v>2.35</v>
      </c>
      <c r="Y1243" s="65">
        <f>IFERROR(__xludf.DUMMYFUNCTION("""COMPUTED_VALUE"""),4.7)</f>
        <v>4.7</v>
      </c>
      <c r="Z1243" s="65">
        <f>IFERROR(__xludf.DUMMYFUNCTION("""COMPUTED_VALUE"""),116679.0)</f>
        <v>116679</v>
      </c>
      <c r="AA1243" s="65" t="str">
        <f>IFERROR(__xludf.DUMMYFUNCTION("""COMPUTED_VALUE"""),"AMC-2738")</f>
        <v>AMC-2738</v>
      </c>
      <c r="AB1243" s="65"/>
      <c r="AC1243" s="65" t="str">
        <f>IFERROR(__xludf.DUMMYFUNCTION("""COMPUTED_VALUE"""),"ESPONJA ANTILLUVIA DE PARABRISAS")</f>
        <v>ESPONJA ANTILLUVIA DE PARABRISAS</v>
      </c>
      <c r="AD1243" s="65"/>
      <c r="AE1243" s="65">
        <f>IFERROR(__xludf.DUMMYFUNCTION("""COMPUTED_VALUE"""),2.0)</f>
        <v>2</v>
      </c>
      <c r="AF1243" s="65" t="str">
        <f>IFERROR(__xludf.DUMMYFUNCTION("""COMPUTED_VALUE"""),"DESTINATARIO NO CONTESTA LLAMADAS NI WHATSAPP")</f>
        <v>DESTINATARIO NO CONTESTA LLAMADAS NI WHATSAPP</v>
      </c>
      <c r="AG1243" s="65" t="str">
        <f>IFERROR(__xludf.DUMMYFUNCTION("""COMPUTED_VALUE"""),"SI")</f>
        <v>SI</v>
      </c>
      <c r="AH1243" s="65" t="str">
        <f>IFERROR(__xludf.DUMMYFUNCTION("""COMPUTED_VALUE"""),"14:04")</f>
        <v>14:04</v>
      </c>
      <c r="AI1243" s="65" t="str">
        <f>IFERROR(__xludf.DUMMYFUNCTION("""COMPUTED_VALUE"""),"11-02-2026")</f>
        <v>11-02-2026</v>
      </c>
      <c r="AJ1243" s="65" t="str">
        <f>IFERROR(__xludf.DUMMYFUNCTION("""COMPUTED_VALUE"""),"Cliente solicita la entrega del pedido")</f>
        <v>Cliente solicita la entrega del pedido</v>
      </c>
      <c r="AK1243" s="65" t="str">
        <f>IFERROR(__xludf.DUMMYFUNCTION("""COMPUTED_VALUE"""),"14:44")</f>
        <v>14:44</v>
      </c>
      <c r="AL1243" s="65" t="str">
        <f>IFERROR(__xludf.DUMMYFUNCTION("""COMPUTED_VALUE"""),"11-02-2026")</f>
        <v>11-02-2026</v>
      </c>
      <c r="AM1243" s="65"/>
      <c r="AN1243" s="65" t="str">
        <f>IFERROR(__xludf.DUMMYFUNCTION("""COMPUTED_VALUE"""),"12:11")</f>
        <v>12:11</v>
      </c>
      <c r="AO1243" s="65" t="str">
        <f>IFERROR(__xludf.DUMMYFUNCTION("""COMPUTED_VALUE"""),"12-02-2026")</f>
        <v>12-02-2026</v>
      </c>
      <c r="AP1243" s="65" t="str">
        <f>IFERROR(__xludf.DUMMYFUNCTION("""COMPUTED_VALUE"""),"ENTREGADA GINTRACOM")</f>
        <v>ENTREGADA GINTRACOM</v>
      </c>
      <c r="AQ1243" s="65" t="str">
        <f>IFERROR(__xludf.DUMMYFUNCTION("""COMPUTED_VALUE"""),"ENTREGADA GINTRACOM")</f>
        <v>ENTREGADA GINTRACOM</v>
      </c>
      <c r="AR1243" s="65"/>
      <c r="AS1243" s="65"/>
      <c r="AT1243" s="65" t="str">
        <f>IFERROR(__xludf.DUMMYFUNCTION("""COMPUTED_VALUE"""),"SHOPIFY")</f>
        <v>SHOPIFY</v>
      </c>
      <c r="AU1243" s="65" t="str">
        <f>IFERROR(__xludf.DUMMYFUNCTION("""COMPUTED_VALUE"""),"IMPORTEX EC")</f>
        <v>IMPORTEX EC</v>
      </c>
      <c r="AV1243" s="65" t="str">
        <f>IFERROR(__xludf.DUMMYFUNCTION("""COMPUTED_VALUE"""),"6463099043884")</f>
        <v>6463099043884</v>
      </c>
      <c r="AW1243" s="65">
        <f>IFERROR(__xludf.DUMMYFUNCTION("""COMPUTED_VALUE"""),5657.0)</f>
        <v>5657</v>
      </c>
      <c r="AX1243" s="65"/>
      <c r="AY1243" s="65" t="str">
        <f>IFERROR(__xludf.DUMMYFUNCTION("""COMPUTED_VALUE"""),"02/02/2026")</f>
        <v>02/02/2026</v>
      </c>
      <c r="AZ1243" s="65"/>
      <c r="BA1243" s="65"/>
    </row>
    <row r="1244">
      <c r="A1244" s="65" t="str">
        <f>IFERROR(__xludf.DUMMYFUNCTION("""COMPUTED_VALUE"""),"27-03-2026")</f>
        <v>27-03-2026</v>
      </c>
      <c r="B1244" s="65">
        <f>IFERROR(__xludf.DUMMYFUNCTION("""COMPUTED_VALUE"""),4333812.0)</f>
        <v>4333812</v>
      </c>
      <c r="C1244" s="65" t="str">
        <f>IFERROR(__xludf.DUMMYFUNCTION("""COMPUTED_VALUE"""),"15:26")</f>
        <v>15:26</v>
      </c>
      <c r="D1244" s="65" t="str">
        <f>IFERROR(__xludf.DUMMYFUNCTION("""COMPUTED_VALUE"""),"30-01-2026")</f>
        <v>30-01-2026</v>
      </c>
      <c r="E1244" s="65" t="str">
        <f>IFERROR(__xludf.DUMMYFUNCTION("""COMPUTED_VALUE"""),"Luis rogelio Cedeño Castro")</f>
        <v>Luis rogelio Cedeño Castro</v>
      </c>
      <c r="F1244" s="65" t="str">
        <f>IFERROR(__xludf.DUMMYFUNCTION("""COMPUTED_VALUE"""),"995909567")</f>
        <v>995909567</v>
      </c>
      <c r="G1244" s="65" t="str">
        <f>IFERROR(__xludf.DUMMYFUNCTION("""COMPUTED_VALUE"""),"cedenoluisrogelio@gmail.com")</f>
        <v>cedenoluisrogelio@gmail.com</v>
      </c>
      <c r="H1244" s="65"/>
      <c r="I1244" s="65"/>
      <c r="J1244" s="65"/>
      <c r="K1244" s="65" t="str">
        <f>IFERROR(__xludf.DUMMYFUNCTION("""COMPUTED_VALUE"""),"CANCELADO")</f>
        <v>CANCELADO</v>
      </c>
      <c r="L1244" s="65" t="str">
        <f>IFERROR(__xludf.DUMMYFUNCTION("""COMPUTED_VALUE"""),"CON RECAUDO")</f>
        <v>CON RECAUDO</v>
      </c>
      <c r="M1244" s="65" t="str">
        <f>IFERROR(__xludf.DUMMYFUNCTION("""COMPUTED_VALUE"""),"MANABI")</f>
        <v>MANABI</v>
      </c>
      <c r="N1244" s="65" t="str">
        <f>IFERROR(__xludf.DUMMYFUNCTION("""COMPUTED_VALUE"""),"MANTA")</f>
        <v>MANTA</v>
      </c>
      <c r="O1244" s="65" t="str">
        <f>IFERROR(__xludf.DUMMYFUNCTION("""COMPUTED_VALUE"""),"Barrio 15 de septiembre antigua via a sanjuan de manta En la recicladora el chivo -")</f>
        <v>Barrio 15 de septiembre antigua via a sanjuan de manta En la recicladora el chivo -</v>
      </c>
      <c r="P1244" s="65"/>
      <c r="Q1244" s="65" t="str">
        <f>IFERROR(__xludf.DUMMYFUNCTION("""COMPUTED_VALUE"""),"GINTRACOM")</f>
        <v>GINTRACOM</v>
      </c>
      <c r="R1244" s="65">
        <f>IFERROR(__xludf.DUMMYFUNCTION("""COMPUTED_VALUE"""),20.0)</f>
        <v>20</v>
      </c>
      <c r="S1244" s="65"/>
      <c r="T1244" s="65">
        <f>IFERROR(__xludf.DUMMYFUNCTION("""COMPUTED_VALUE"""),5.76)</f>
        <v>5.76</v>
      </c>
      <c r="U1244" s="65">
        <f>IFERROR(__xludf.DUMMYFUNCTION("""COMPUTED_VALUE"""),0.0)</f>
        <v>0</v>
      </c>
      <c r="V1244" s="65">
        <f>IFERROR(__xludf.DUMMYFUNCTION("""COMPUTED_VALUE"""),0.0)</f>
        <v>0</v>
      </c>
      <c r="W1244" s="65">
        <f>IFERROR(__xludf.DUMMYFUNCTION("""COMPUTED_VALUE"""),0.0)</f>
        <v>0</v>
      </c>
      <c r="X1244" s="65">
        <f>IFERROR(__xludf.DUMMYFUNCTION("""COMPUTED_VALUE"""),2.35)</f>
        <v>2.35</v>
      </c>
      <c r="Y1244" s="65">
        <f>IFERROR(__xludf.DUMMYFUNCTION("""COMPUTED_VALUE"""),2.35)</f>
        <v>2.35</v>
      </c>
      <c r="Z1244" s="65">
        <f>IFERROR(__xludf.DUMMYFUNCTION("""COMPUTED_VALUE"""),116679.0)</f>
        <v>116679</v>
      </c>
      <c r="AA1244" s="65" t="str">
        <f>IFERROR(__xludf.DUMMYFUNCTION("""COMPUTED_VALUE"""),"AMC-2738")</f>
        <v>AMC-2738</v>
      </c>
      <c r="AB1244" s="65"/>
      <c r="AC1244" s="65" t="str">
        <f>IFERROR(__xludf.DUMMYFUNCTION("""COMPUTED_VALUE"""),"ESPONJA ANTILLUVIA DE PARABRISAS")</f>
        <v>ESPONJA ANTILLUVIA DE PARABRISAS</v>
      </c>
      <c r="AD1244" s="65"/>
      <c r="AE1244" s="65">
        <f>IFERROR(__xludf.DUMMYFUNCTION("""COMPUTED_VALUE"""),1.0)</f>
        <v>1</v>
      </c>
      <c r="AF1244" s="65"/>
      <c r="AG1244" s="65"/>
      <c r="AH1244" s="65"/>
      <c r="AI1244" s="65"/>
      <c r="AJ1244" s="65"/>
      <c r="AK1244" s="65"/>
      <c r="AL1244" s="65"/>
      <c r="AM1244" s="65"/>
      <c r="AN1244" s="65"/>
      <c r="AO1244" s="65"/>
      <c r="AP1244" s="65"/>
      <c r="AQ1244" s="65"/>
      <c r="AR1244" s="65"/>
      <c r="AS1244" s="65"/>
      <c r="AT1244" s="65" t="str">
        <f>IFERROR(__xludf.DUMMYFUNCTION("""COMPUTED_VALUE"""),"SHOPIFY")</f>
        <v>SHOPIFY</v>
      </c>
      <c r="AU1244" s="65" t="str">
        <f>IFERROR(__xludf.DUMMYFUNCTION("""COMPUTED_VALUE"""),"IMPORTEX EC")</f>
        <v>IMPORTEX EC</v>
      </c>
      <c r="AV1244" s="65" t="str">
        <f>IFERROR(__xludf.DUMMYFUNCTION("""COMPUTED_VALUE"""),"6463030263852")</f>
        <v>6463030263852</v>
      </c>
      <c r="AW1244" s="65">
        <f>IFERROR(__xludf.DUMMYFUNCTION("""COMPUTED_VALUE"""),5656.0)</f>
        <v>5656</v>
      </c>
      <c r="AX1244" s="65"/>
      <c r="AY1244" s="65"/>
      <c r="AZ1244" s="65"/>
      <c r="BA1244" s="65"/>
    </row>
    <row r="1245">
      <c r="A1245" s="65" t="str">
        <f>IFERROR(__xludf.DUMMYFUNCTION("""COMPUTED_VALUE"""),"27-03-2026")</f>
        <v>27-03-2026</v>
      </c>
      <c r="B1245" s="65">
        <f>IFERROR(__xludf.DUMMYFUNCTION("""COMPUTED_VALUE"""),4333654.0)</f>
        <v>4333654</v>
      </c>
      <c r="C1245" s="65" t="str">
        <f>IFERROR(__xludf.DUMMYFUNCTION("""COMPUTED_VALUE"""),"15:12")</f>
        <v>15:12</v>
      </c>
      <c r="D1245" s="65" t="str">
        <f>IFERROR(__xludf.DUMMYFUNCTION("""COMPUTED_VALUE"""),"30-01-2026")</f>
        <v>30-01-2026</v>
      </c>
      <c r="E1245" s="65" t="str">
        <f>IFERROR(__xludf.DUMMYFUNCTION("""COMPUTED_VALUE"""),"Monica Tirira")</f>
        <v>Monica Tirira</v>
      </c>
      <c r="F1245" s="65" t="str">
        <f>IFERROR(__xludf.DUMMYFUNCTION("""COMPUTED_VALUE"""),"961215552")</f>
        <v>961215552</v>
      </c>
      <c r="G1245" s="65" t="str">
        <f>IFERROR(__xludf.DUMMYFUNCTION("""COMPUTED_VALUE"""),"monicatirira17@gmail.com")</f>
        <v>monicatirira17@gmail.com</v>
      </c>
      <c r="H1245" s="65"/>
      <c r="I1245" s="65"/>
      <c r="J1245" s="65" t="str">
        <f>IFERROR(__xludf.DUMMYFUNCTION("""COMPUTED_VALUE"""),"186558015")</f>
        <v>186558015</v>
      </c>
      <c r="K1245" s="65" t="str">
        <f>IFERROR(__xludf.DUMMYFUNCTION("""COMPUTED_VALUE"""),"ENTREGADO")</f>
        <v>ENTREGADO</v>
      </c>
      <c r="L1245" s="65" t="str">
        <f>IFERROR(__xludf.DUMMYFUNCTION("""COMPUTED_VALUE"""),"CON RECAUDO")</f>
        <v>CON RECAUDO</v>
      </c>
      <c r="M1245" s="65" t="str">
        <f>IFERROR(__xludf.DUMMYFUNCTION("""COMPUTED_VALUE"""),"CARCHI")</f>
        <v>CARCHI</v>
      </c>
      <c r="N1245" s="65" t="str">
        <f>IFERROR(__xludf.DUMMYFUNCTION("""COMPUTED_VALUE"""),"SAN GABRIEL")</f>
        <v>SAN GABRIEL</v>
      </c>
      <c r="O1245" s="65" t="str">
        <f>IFERROR(__xludf.DUMMYFUNCTION("""COMPUTED_VALUE"""),"Río Carchi Tras la gasolinera petroecuador -")</f>
        <v>Río Carchi Tras la gasolinera petroecuador -</v>
      </c>
      <c r="P1245" s="65"/>
      <c r="Q1245" s="65" t="str">
        <f>IFERROR(__xludf.DUMMYFUNCTION("""COMPUTED_VALUE"""),"SERVIENTREGA")</f>
        <v>SERVIENTREGA</v>
      </c>
      <c r="R1245" s="65">
        <f>IFERROR(__xludf.DUMMYFUNCTION("""COMPUTED_VALUE"""),25.0)</f>
        <v>25</v>
      </c>
      <c r="S1245" s="65">
        <f>IFERROR(__xludf.DUMMYFUNCTION("""COMPUTED_VALUE"""),12.55)</f>
        <v>12.55</v>
      </c>
      <c r="T1245" s="65">
        <f>IFERROR(__xludf.DUMMYFUNCTION("""COMPUTED_VALUE"""),7.75)</f>
        <v>7.75</v>
      </c>
      <c r="U1245" s="65">
        <f>IFERROR(__xludf.DUMMYFUNCTION("""COMPUTED_VALUE"""),0.0)</f>
        <v>0</v>
      </c>
      <c r="V1245" s="65">
        <f>IFERROR(__xludf.DUMMYFUNCTION("""COMPUTED_VALUE"""),0.0)</f>
        <v>0</v>
      </c>
      <c r="W1245" s="65">
        <f>IFERROR(__xludf.DUMMYFUNCTION("""COMPUTED_VALUE"""),0.0)</f>
        <v>0</v>
      </c>
      <c r="X1245" s="65">
        <f>IFERROR(__xludf.DUMMYFUNCTION("""COMPUTED_VALUE"""),2.35)</f>
        <v>2.35</v>
      </c>
      <c r="Y1245" s="65">
        <f>IFERROR(__xludf.DUMMYFUNCTION("""COMPUTED_VALUE"""),4.7)</f>
        <v>4.7</v>
      </c>
      <c r="Z1245" s="65">
        <f>IFERROR(__xludf.DUMMYFUNCTION("""COMPUTED_VALUE"""),116679.0)</f>
        <v>116679</v>
      </c>
      <c r="AA1245" s="65" t="str">
        <f>IFERROR(__xludf.DUMMYFUNCTION("""COMPUTED_VALUE"""),"AMC-2738")</f>
        <v>AMC-2738</v>
      </c>
      <c r="AB1245" s="65"/>
      <c r="AC1245" s="65" t="str">
        <f>IFERROR(__xludf.DUMMYFUNCTION("""COMPUTED_VALUE"""),"ESPONJA ANTILLUVIA DE PARABRISAS")</f>
        <v>ESPONJA ANTILLUVIA DE PARABRISAS</v>
      </c>
      <c r="AD1245" s="65"/>
      <c r="AE1245" s="65">
        <f>IFERROR(__xludf.DUMMYFUNCTION("""COMPUTED_VALUE"""),2.0)</f>
        <v>2</v>
      </c>
      <c r="AF1245" s="65" t="str">
        <f>IFERROR(__xludf.DUMMYFUNCTION("""COMPUTED_VALUE"""),"CLIENTE SOLICITA RETIRAR EN CS")</f>
        <v>CLIENTE SOLICITA RETIRAR EN CS</v>
      </c>
      <c r="AG1245" s="65" t="str">
        <f>IFERROR(__xludf.DUMMYFUNCTION("""COMPUTED_VALUE"""),"NO")</f>
        <v>NO</v>
      </c>
      <c r="AH1245" s="65" t="str">
        <f>IFERROR(__xludf.DUMMYFUNCTION("""COMPUTED_VALUE"""),"11:40")</f>
        <v>11:40</v>
      </c>
      <c r="AI1245" s="65" t="str">
        <f>IFERROR(__xludf.DUMMYFUNCTION("""COMPUTED_VALUE"""),"06-02-2026")</f>
        <v>06-02-2026</v>
      </c>
      <c r="AJ1245" s="65"/>
      <c r="AK1245" s="65"/>
      <c r="AL1245" s="65"/>
      <c r="AM1245" s="65"/>
      <c r="AN1245" s="65" t="str">
        <f>IFERROR(__xludf.DUMMYFUNCTION("""COMPUTED_VALUE"""),"17:48")</f>
        <v>17:48</v>
      </c>
      <c r="AO1245" s="65" t="str">
        <f>IFERROR(__xludf.DUMMYFUNCTION("""COMPUTED_VALUE"""),"06-02-2026")</f>
        <v>06-02-2026</v>
      </c>
      <c r="AP1245" s="65" t="str">
        <f>IFERROR(__xludf.DUMMYFUNCTION("""COMPUTED_VALUE"""),"REPORTADO ENTREGADO EN AGENCIA")</f>
        <v>REPORTADO ENTREGADO EN AGENCIA</v>
      </c>
      <c r="AQ1245" s="65" t="str">
        <f>IFERROR(__xludf.DUMMYFUNCTION("""COMPUTED_VALUE"""),"MONICA TIRIRA")</f>
        <v>MONICA TIRIRA</v>
      </c>
      <c r="AR1245" s="65"/>
      <c r="AS1245" s="65"/>
      <c r="AT1245" s="65" t="str">
        <f>IFERROR(__xludf.DUMMYFUNCTION("""COMPUTED_VALUE"""),"SHOPIFY")</f>
        <v>SHOPIFY</v>
      </c>
      <c r="AU1245" s="65" t="str">
        <f>IFERROR(__xludf.DUMMYFUNCTION("""COMPUTED_VALUE"""),"IMPORTEX EC")</f>
        <v>IMPORTEX EC</v>
      </c>
      <c r="AV1245" s="65" t="str">
        <f>IFERROR(__xludf.DUMMYFUNCTION("""COMPUTED_VALUE"""),"6462993104940")</f>
        <v>6462993104940</v>
      </c>
      <c r="AW1245" s="65">
        <f>IFERROR(__xludf.DUMMYFUNCTION("""COMPUTED_VALUE"""),5655.0)</f>
        <v>5655</v>
      </c>
      <c r="AX1245" s="65"/>
      <c r="AY1245" s="65" t="str">
        <f>IFERROR(__xludf.DUMMYFUNCTION("""COMPUTED_VALUE"""),"31/01/2026")</f>
        <v>31/01/2026</v>
      </c>
      <c r="AZ1245" s="65"/>
      <c r="BA1245" s="65"/>
    </row>
    <row r="1246">
      <c r="A1246" s="65" t="str">
        <f>IFERROR(__xludf.DUMMYFUNCTION("""COMPUTED_VALUE"""),"27-03-2026")</f>
        <v>27-03-2026</v>
      </c>
      <c r="B1246" s="65">
        <f>IFERROR(__xludf.DUMMYFUNCTION("""COMPUTED_VALUE"""),4333459.0)</f>
        <v>4333459</v>
      </c>
      <c r="C1246" s="65" t="str">
        <f>IFERROR(__xludf.DUMMYFUNCTION("""COMPUTED_VALUE"""),"14:56")</f>
        <v>14:56</v>
      </c>
      <c r="D1246" s="65" t="str">
        <f>IFERROR(__xludf.DUMMYFUNCTION("""COMPUTED_VALUE"""),"30-01-2026")</f>
        <v>30-01-2026</v>
      </c>
      <c r="E1246" s="65" t="str">
        <f>IFERROR(__xludf.DUMMYFUNCTION("""COMPUTED_VALUE"""),"Ruben Garcia")</f>
        <v>Ruben Garcia</v>
      </c>
      <c r="F1246" s="65" t="str">
        <f>IFERROR(__xludf.DUMMYFUNCTION("""COMPUTED_VALUE"""),"991960782")</f>
        <v>991960782</v>
      </c>
      <c r="G1246" s="65" t="str">
        <f>IFERROR(__xludf.DUMMYFUNCTION("""COMPUTED_VALUE"""),"jrgf2000@hotmail.com")</f>
        <v>jrgf2000@hotmail.com</v>
      </c>
      <c r="H1246" s="65"/>
      <c r="I1246" s="65"/>
      <c r="J1246" s="65"/>
      <c r="K1246" s="65" t="str">
        <f>IFERROR(__xludf.DUMMYFUNCTION("""COMPUTED_VALUE"""),"PENDIENTE CONFIRMACION")</f>
        <v>PENDIENTE CONFIRMACION</v>
      </c>
      <c r="L1246" s="65" t="str">
        <f>IFERROR(__xludf.DUMMYFUNCTION("""COMPUTED_VALUE"""),"CON RECAUDO")</f>
        <v>CON RECAUDO</v>
      </c>
      <c r="M1246" s="65" t="str">
        <f>IFERROR(__xludf.DUMMYFUNCTION("""COMPUTED_VALUE"""),"GUAYAS")</f>
        <v>GUAYAS</v>
      </c>
      <c r="N1246" s="65" t="str">
        <f>IFERROR(__xludf.DUMMYFUNCTION("""COMPUTED_VALUE"""),"DAULE")</f>
        <v>DAULE</v>
      </c>
      <c r="O1246" s="65" t="str">
        <f>IFERROR(__xludf.DUMMYFUNCTION("""COMPUTED_VALUE"""),"Av. Urbanización Villa Club; Etapa Aura, Maz J, Villa 6 La Aurora, Villa Club -")</f>
        <v>Av. Urbanización Villa Club; Etapa Aura, Maz J, Villa 6 La Aurora, Villa Club -</v>
      </c>
      <c r="P1246" s="65"/>
      <c r="Q1246" s="65" t="str">
        <f>IFERROR(__xludf.DUMMYFUNCTION("""COMPUTED_VALUE"""),"GINTRACOM")</f>
        <v>GINTRACOM</v>
      </c>
      <c r="R1246" s="65">
        <f>IFERROR(__xludf.DUMMYFUNCTION("""COMPUTED_VALUE"""),27.0)</f>
        <v>27</v>
      </c>
      <c r="S1246" s="65"/>
      <c r="T1246" s="65">
        <f>IFERROR(__xludf.DUMMYFUNCTION("""COMPUTED_VALUE"""),5.45)</f>
        <v>5.45</v>
      </c>
      <c r="U1246" s="65">
        <f>IFERROR(__xludf.DUMMYFUNCTION("""COMPUTED_VALUE"""),0.0)</f>
        <v>0</v>
      </c>
      <c r="V1246" s="65">
        <f>IFERROR(__xludf.DUMMYFUNCTION("""COMPUTED_VALUE"""),0.0)</f>
        <v>0</v>
      </c>
      <c r="W1246" s="65">
        <f>IFERROR(__xludf.DUMMYFUNCTION("""COMPUTED_VALUE"""),0.0)</f>
        <v>0</v>
      </c>
      <c r="X1246" s="65">
        <f>IFERROR(__xludf.DUMMYFUNCTION("""COMPUTED_VALUE"""),2.6)</f>
        <v>2.6</v>
      </c>
      <c r="Y1246" s="65">
        <f>IFERROR(__xludf.DUMMYFUNCTION("""COMPUTED_VALUE"""),7.8)</f>
        <v>7.8</v>
      </c>
      <c r="Z1246" s="65">
        <f>IFERROR(__xludf.DUMMYFUNCTION("""COMPUTED_VALUE"""),121983.0)</f>
        <v>121983</v>
      </c>
      <c r="AA1246" s="65" t="str">
        <f>IFERROR(__xludf.DUMMYFUNCTION("""COMPUTED_VALUE"""),"PROV-CHLLCF")</f>
        <v>PROV-CHLLCF</v>
      </c>
      <c r="AB1246" s="65"/>
      <c r="AC1246" s="65" t="str">
        <f>IFERROR(__xludf.DUMMYFUNCTION("""COMPUTED_VALUE"""),"CUCHILLO PARA CHEF")</f>
        <v>CUCHILLO PARA CHEF</v>
      </c>
      <c r="AD1246" s="65"/>
      <c r="AE1246" s="65">
        <f>IFERROR(__xludf.DUMMYFUNCTION("""COMPUTED_VALUE"""),3.0)</f>
        <v>3</v>
      </c>
      <c r="AF1246" s="65"/>
      <c r="AG1246" s="65"/>
      <c r="AH1246" s="65"/>
      <c r="AI1246" s="65"/>
      <c r="AJ1246" s="65"/>
      <c r="AK1246" s="65"/>
      <c r="AL1246" s="65"/>
      <c r="AM1246" s="65"/>
      <c r="AN1246" s="65"/>
      <c r="AO1246" s="65"/>
      <c r="AP1246" s="65"/>
      <c r="AQ1246" s="65"/>
      <c r="AR1246" s="65"/>
      <c r="AS1246" s="65"/>
      <c r="AT1246" s="65" t="str">
        <f>IFERROR(__xludf.DUMMYFUNCTION("""COMPUTED_VALUE"""),"SHOPIFY")</f>
        <v>SHOPIFY</v>
      </c>
      <c r="AU1246" s="65" t="str">
        <f>IFERROR(__xludf.DUMMYFUNCTION("""COMPUTED_VALUE"""),"IMPORTEX EC")</f>
        <v>IMPORTEX EC</v>
      </c>
      <c r="AV1246" s="65" t="str">
        <f>IFERROR(__xludf.DUMMYFUNCTION("""COMPUTED_VALUE"""),"6462944182316")</f>
        <v>6462944182316</v>
      </c>
      <c r="AW1246" s="65">
        <f>IFERROR(__xludf.DUMMYFUNCTION("""COMPUTED_VALUE"""),5654.0)</f>
        <v>5654</v>
      </c>
      <c r="AX1246" s="65"/>
      <c r="AY1246" s="65"/>
      <c r="AZ1246" s="65"/>
      <c r="BA1246" s="65"/>
    </row>
    <row r="1247">
      <c r="A1247" s="65" t="str">
        <f>IFERROR(__xludf.DUMMYFUNCTION("""COMPUTED_VALUE"""),"27-03-2026")</f>
        <v>27-03-2026</v>
      </c>
      <c r="B1247" s="65">
        <f>IFERROR(__xludf.DUMMYFUNCTION("""COMPUTED_VALUE"""),4333304.0)</f>
        <v>4333304</v>
      </c>
      <c r="C1247" s="65" t="str">
        <f>IFERROR(__xludf.DUMMYFUNCTION("""COMPUTED_VALUE"""),"14:43")</f>
        <v>14:43</v>
      </c>
      <c r="D1247" s="65" t="str">
        <f>IFERROR(__xludf.DUMMYFUNCTION("""COMPUTED_VALUE"""),"30-01-2026")</f>
        <v>30-01-2026</v>
      </c>
      <c r="E1247" s="65" t="str">
        <f>IFERROR(__xludf.DUMMYFUNCTION("""COMPUTED_VALUE"""),"Hipólito Silva")</f>
        <v>Hipólito Silva</v>
      </c>
      <c r="F1247" s="65" t="str">
        <f>IFERROR(__xludf.DUMMYFUNCTION("""COMPUTED_VALUE"""),"994703537")</f>
        <v>994703537</v>
      </c>
      <c r="G1247" s="65" t="str">
        <f>IFERROR(__xludf.DUMMYFUNCTION("""COMPUTED_VALUE"""),"silvalito2011@gmail.com")</f>
        <v>silvalito2011@gmail.com</v>
      </c>
      <c r="H1247" s="65"/>
      <c r="I1247" s="65"/>
      <c r="J1247" s="65"/>
      <c r="K1247" s="65" t="str">
        <f>IFERROR(__xludf.DUMMYFUNCTION("""COMPUTED_VALUE"""),"PENDIENTE CONFIRMACION")</f>
        <v>PENDIENTE CONFIRMACION</v>
      </c>
      <c r="L1247" s="65" t="str">
        <f>IFERROR(__xludf.DUMMYFUNCTION("""COMPUTED_VALUE"""),"CON RECAUDO")</f>
        <v>CON RECAUDO</v>
      </c>
      <c r="M1247" s="65" t="str">
        <f>IFERROR(__xludf.DUMMYFUNCTION("""COMPUTED_VALUE"""),"IMBABURA")</f>
        <v>IMBABURA</v>
      </c>
      <c r="N1247" s="65" t="str">
        <f>IFERROR(__xludf.DUMMYFUNCTION("""COMPUTED_VALUE"""),"IBARRA")</f>
        <v>IBARRA</v>
      </c>
      <c r="O1247" s="65" t="str">
        <f>IFERROR(__xludf.DUMMYFUNCTION("""COMPUTED_VALUE"""),"Av 13 de abril Pasaje montecristi -")</f>
        <v>Av 13 de abril Pasaje montecristi -</v>
      </c>
      <c r="P1247" s="65"/>
      <c r="Q1247" s="65" t="str">
        <f>IFERROR(__xludf.DUMMYFUNCTION("""COMPUTED_VALUE"""),"GINTRACOM")</f>
        <v>GINTRACOM</v>
      </c>
      <c r="R1247" s="65">
        <f>IFERROR(__xludf.DUMMYFUNCTION("""COMPUTED_VALUE"""),22.0)</f>
        <v>22</v>
      </c>
      <c r="S1247" s="65"/>
      <c r="T1247" s="65">
        <f>IFERROR(__xludf.DUMMYFUNCTION("""COMPUTED_VALUE"""),5.84)</f>
        <v>5.84</v>
      </c>
      <c r="U1247" s="65">
        <f>IFERROR(__xludf.DUMMYFUNCTION("""COMPUTED_VALUE"""),0.0)</f>
        <v>0</v>
      </c>
      <c r="V1247" s="65">
        <f>IFERROR(__xludf.DUMMYFUNCTION("""COMPUTED_VALUE"""),0.0)</f>
        <v>0</v>
      </c>
      <c r="W1247" s="65">
        <f>IFERROR(__xludf.DUMMYFUNCTION("""COMPUTED_VALUE"""),0.0)</f>
        <v>0</v>
      </c>
      <c r="X1247" s="65">
        <f>IFERROR(__xludf.DUMMYFUNCTION("""COMPUTED_VALUE"""),2.6)</f>
        <v>2.6</v>
      </c>
      <c r="Y1247" s="65">
        <f>IFERROR(__xludf.DUMMYFUNCTION("""COMPUTED_VALUE"""),5.2)</f>
        <v>5.2</v>
      </c>
      <c r="Z1247" s="65">
        <f>IFERROR(__xludf.DUMMYFUNCTION("""COMPUTED_VALUE"""),121983.0)</f>
        <v>121983</v>
      </c>
      <c r="AA1247" s="65" t="str">
        <f>IFERROR(__xludf.DUMMYFUNCTION("""COMPUTED_VALUE"""),"PROV-CHLLCF")</f>
        <v>PROV-CHLLCF</v>
      </c>
      <c r="AB1247" s="65"/>
      <c r="AC1247" s="65" t="str">
        <f>IFERROR(__xludf.DUMMYFUNCTION("""COMPUTED_VALUE"""),"CUCHILLO PARA CHEF")</f>
        <v>CUCHILLO PARA CHEF</v>
      </c>
      <c r="AD1247" s="65"/>
      <c r="AE1247" s="65">
        <f>IFERROR(__xludf.DUMMYFUNCTION("""COMPUTED_VALUE"""),2.0)</f>
        <v>2</v>
      </c>
      <c r="AF1247" s="65"/>
      <c r="AG1247" s="65"/>
      <c r="AH1247" s="65"/>
      <c r="AI1247" s="65"/>
      <c r="AJ1247" s="65"/>
      <c r="AK1247" s="65"/>
      <c r="AL1247" s="65"/>
      <c r="AM1247" s="65"/>
      <c r="AN1247" s="65"/>
      <c r="AO1247" s="65"/>
      <c r="AP1247" s="65"/>
      <c r="AQ1247" s="65"/>
      <c r="AR1247" s="65"/>
      <c r="AS1247" s="65"/>
      <c r="AT1247" s="65" t="str">
        <f>IFERROR(__xludf.DUMMYFUNCTION("""COMPUTED_VALUE"""),"SHOPIFY")</f>
        <v>SHOPIFY</v>
      </c>
      <c r="AU1247" s="65" t="str">
        <f>IFERROR(__xludf.DUMMYFUNCTION("""COMPUTED_VALUE"""),"IMPORTEX EC")</f>
        <v>IMPORTEX EC</v>
      </c>
      <c r="AV1247" s="65" t="str">
        <f>IFERROR(__xludf.DUMMYFUNCTION("""COMPUTED_VALUE"""),"6462908858412")</f>
        <v>6462908858412</v>
      </c>
      <c r="AW1247" s="65">
        <f>IFERROR(__xludf.DUMMYFUNCTION("""COMPUTED_VALUE"""),5653.0)</f>
        <v>5653</v>
      </c>
      <c r="AX1247" s="65"/>
      <c r="AY1247" s="65"/>
      <c r="AZ1247" s="65"/>
      <c r="BA1247" s="65"/>
    </row>
    <row r="1248">
      <c r="A1248" s="65" t="str">
        <f>IFERROR(__xludf.DUMMYFUNCTION("""COMPUTED_VALUE"""),"27-03-2026")</f>
        <v>27-03-2026</v>
      </c>
      <c r="B1248" s="65">
        <f>IFERROR(__xludf.DUMMYFUNCTION("""COMPUTED_VALUE"""),4333252.0)</f>
        <v>4333252</v>
      </c>
      <c r="C1248" s="65" t="str">
        <f>IFERROR(__xludf.DUMMYFUNCTION("""COMPUTED_VALUE"""),"14:36")</f>
        <v>14:36</v>
      </c>
      <c r="D1248" s="65" t="str">
        <f>IFERROR(__xludf.DUMMYFUNCTION("""COMPUTED_VALUE"""),"30-01-2026")</f>
        <v>30-01-2026</v>
      </c>
      <c r="E1248" s="65" t="str">
        <f>IFERROR(__xludf.DUMMYFUNCTION("""COMPUTED_VALUE"""),"Vilma Rogel")</f>
        <v>Vilma Rogel</v>
      </c>
      <c r="F1248" s="65" t="str">
        <f>IFERROR(__xludf.DUMMYFUNCTION("""COMPUTED_VALUE"""),"983079648")</f>
        <v>983079648</v>
      </c>
      <c r="G1248" s="65" t="str">
        <f>IFERROR(__xludf.DUMMYFUNCTION("""COMPUTED_VALUE"""),"vilma_elisabet@hotmail.com")</f>
        <v>vilma_elisabet@hotmail.com</v>
      </c>
      <c r="H1248" s="65"/>
      <c r="I1248" s="65"/>
      <c r="J1248" s="65" t="str">
        <f>IFERROR(__xludf.DUMMYFUNCTION("""COMPUTED_VALUE"""),"D001279780")</f>
        <v>D001279780</v>
      </c>
      <c r="K1248" s="65" t="str">
        <f>IFERROR(__xludf.DUMMYFUNCTION("""COMPUTED_VALUE"""),"ENTREGADO")</f>
        <v>ENTREGADO</v>
      </c>
      <c r="L1248" s="65" t="str">
        <f>IFERROR(__xludf.DUMMYFUNCTION("""COMPUTED_VALUE"""),"CON RECAUDO")</f>
        <v>CON RECAUDO</v>
      </c>
      <c r="M1248" s="65" t="str">
        <f>IFERROR(__xludf.DUMMYFUNCTION("""COMPUTED_VALUE"""),"NAPO")</f>
        <v>NAPO</v>
      </c>
      <c r="N1248" s="65" t="str">
        <f>IFERROR(__xludf.DUMMYFUNCTION("""COMPUTED_VALUE"""),"TENA")</f>
        <v>TENA</v>
      </c>
      <c r="O1248" s="65" t="str">
        <f>IFERROR(__xludf.DUMMYFUNCTION("""COMPUTED_VALUE"""),"Alejandro pasos y umbuni Barrio Eloy Alfaro diagonal a la iglesia -")</f>
        <v>Alejandro pasos y umbuni Barrio Eloy Alfaro diagonal a la iglesia -</v>
      </c>
      <c r="P1248" s="65"/>
      <c r="Q1248" s="65" t="str">
        <f>IFERROR(__xludf.DUMMYFUNCTION("""COMPUTED_VALUE"""),"GINTRACOM")</f>
        <v>GINTRACOM</v>
      </c>
      <c r="R1248" s="65">
        <f>IFERROR(__xludf.DUMMYFUNCTION("""COMPUTED_VALUE"""),22.0)</f>
        <v>22</v>
      </c>
      <c r="S1248" s="65">
        <f>IFERROR(__xludf.DUMMYFUNCTION("""COMPUTED_VALUE"""),10.96)</f>
        <v>10.96</v>
      </c>
      <c r="T1248" s="65">
        <f>IFERROR(__xludf.DUMMYFUNCTION("""COMPUTED_VALUE"""),5.84)</f>
        <v>5.84</v>
      </c>
      <c r="U1248" s="65">
        <f>IFERROR(__xludf.DUMMYFUNCTION("""COMPUTED_VALUE"""),0.0)</f>
        <v>0</v>
      </c>
      <c r="V1248" s="65">
        <f>IFERROR(__xludf.DUMMYFUNCTION("""COMPUTED_VALUE"""),0.0)</f>
        <v>0</v>
      </c>
      <c r="W1248" s="65">
        <f>IFERROR(__xludf.DUMMYFUNCTION("""COMPUTED_VALUE"""),0.0)</f>
        <v>0</v>
      </c>
      <c r="X1248" s="65">
        <f>IFERROR(__xludf.DUMMYFUNCTION("""COMPUTED_VALUE"""),2.6)</f>
        <v>2.6</v>
      </c>
      <c r="Y1248" s="65">
        <f>IFERROR(__xludf.DUMMYFUNCTION("""COMPUTED_VALUE"""),5.2)</f>
        <v>5.2</v>
      </c>
      <c r="Z1248" s="65">
        <f>IFERROR(__xludf.DUMMYFUNCTION("""COMPUTED_VALUE"""),121983.0)</f>
        <v>121983</v>
      </c>
      <c r="AA1248" s="65" t="str">
        <f>IFERROR(__xludf.DUMMYFUNCTION("""COMPUTED_VALUE"""),"PROV-CHLLCF")</f>
        <v>PROV-CHLLCF</v>
      </c>
      <c r="AB1248" s="65"/>
      <c r="AC1248" s="65" t="str">
        <f>IFERROR(__xludf.DUMMYFUNCTION("""COMPUTED_VALUE"""),"CUCHILLO PARA CHEF")</f>
        <v>CUCHILLO PARA CHEF</v>
      </c>
      <c r="AD1248" s="65"/>
      <c r="AE1248" s="65">
        <f>IFERROR(__xludf.DUMMYFUNCTION("""COMPUTED_VALUE"""),2.0)</f>
        <v>2</v>
      </c>
      <c r="AF1248" s="65"/>
      <c r="AG1248" s="65"/>
      <c r="AH1248" s="65"/>
      <c r="AI1248" s="65"/>
      <c r="AJ1248" s="65"/>
      <c r="AK1248" s="65"/>
      <c r="AL1248" s="65"/>
      <c r="AM1248" s="65"/>
      <c r="AN1248" s="65"/>
      <c r="AO1248" s="65"/>
      <c r="AP1248" s="65"/>
      <c r="AQ1248" s="65"/>
      <c r="AR1248" s="65"/>
      <c r="AS1248" s="65"/>
      <c r="AT1248" s="65" t="str">
        <f>IFERROR(__xludf.DUMMYFUNCTION("""COMPUTED_VALUE"""),"SHOPIFY")</f>
        <v>SHOPIFY</v>
      </c>
      <c r="AU1248" s="65" t="str">
        <f>IFERROR(__xludf.DUMMYFUNCTION("""COMPUTED_VALUE"""),"IMPORTEX EC")</f>
        <v>IMPORTEX EC</v>
      </c>
      <c r="AV1248" s="65" t="str">
        <f>IFERROR(__xludf.DUMMYFUNCTION("""COMPUTED_VALUE"""),"6462893162540")</f>
        <v>6462893162540</v>
      </c>
      <c r="AW1248" s="65">
        <f>IFERROR(__xludf.DUMMYFUNCTION("""COMPUTED_VALUE"""),5652.0)</f>
        <v>5652</v>
      </c>
      <c r="AX1248" s="65"/>
      <c r="AY1248" s="65" t="str">
        <f>IFERROR(__xludf.DUMMYFUNCTION("""COMPUTED_VALUE"""),"31/01/2026")</f>
        <v>31/01/2026</v>
      </c>
      <c r="AZ1248" s="65"/>
      <c r="BA1248" s="65"/>
    </row>
    <row r="1249">
      <c r="A1249" s="65" t="str">
        <f>IFERROR(__xludf.DUMMYFUNCTION("""COMPUTED_VALUE"""),"27-03-2026")</f>
        <v>27-03-2026</v>
      </c>
      <c r="B1249" s="65">
        <f>IFERROR(__xludf.DUMMYFUNCTION("""COMPUTED_VALUE"""),4332272.0)</f>
        <v>4332272</v>
      </c>
      <c r="C1249" s="65" t="str">
        <f>IFERROR(__xludf.DUMMYFUNCTION("""COMPUTED_VALUE"""),"12:55")</f>
        <v>12:55</v>
      </c>
      <c r="D1249" s="65" t="str">
        <f>IFERROR(__xludf.DUMMYFUNCTION("""COMPUTED_VALUE"""),"30-01-2026")</f>
        <v>30-01-2026</v>
      </c>
      <c r="E1249" s="65" t="str">
        <f>IFERROR(__xludf.DUMMYFUNCTION("""COMPUTED_VALUE"""),"Vicente Maroto")</f>
        <v>Vicente Maroto</v>
      </c>
      <c r="F1249" s="65" t="str">
        <f>IFERROR(__xludf.DUMMYFUNCTION("""COMPUTED_VALUE"""),"992611535")</f>
        <v>992611535</v>
      </c>
      <c r="G1249" s="65" t="str">
        <f>IFERROR(__xludf.DUMMYFUNCTION("""COMPUTED_VALUE"""),"misterchente@gmail.com")</f>
        <v>misterchente@gmail.com</v>
      </c>
      <c r="H1249" s="65"/>
      <c r="I1249" s="65"/>
      <c r="J1249" s="65" t="str">
        <f>IFERROR(__xludf.DUMMYFUNCTION("""COMPUTED_VALUE"""),"D001279783")</f>
        <v>D001279783</v>
      </c>
      <c r="K1249" s="65" t="str">
        <f>IFERROR(__xludf.DUMMYFUNCTION("""COMPUTED_VALUE"""),"ENTREGADO")</f>
        <v>ENTREGADO</v>
      </c>
      <c r="L1249" s="65" t="str">
        <f>IFERROR(__xludf.DUMMYFUNCTION("""COMPUTED_VALUE"""),"CON RECAUDO")</f>
        <v>CON RECAUDO</v>
      </c>
      <c r="M1249" s="65" t="str">
        <f>IFERROR(__xludf.DUMMYFUNCTION("""COMPUTED_VALUE"""),"PICHINCHA")</f>
        <v>PICHINCHA</v>
      </c>
      <c r="N1249" s="65" t="str">
        <f>IFERROR(__xludf.DUMMYFUNCTION("""COMPUTED_VALUE"""),"QUITO")</f>
        <v>QUITO</v>
      </c>
      <c r="O1249" s="65" t="str">
        <f>IFERROR(__xludf.DUMMYFUNCTION("""COMPUTED_VALUE"""),"Boliche S13-80 y Juan Camacaro La Santiago frente a una construcción -")</f>
        <v>Boliche S13-80 y Juan Camacaro La Santiago frente a una construcción -</v>
      </c>
      <c r="P1249" s="65"/>
      <c r="Q1249" s="65" t="str">
        <f>IFERROR(__xludf.DUMMYFUNCTION("""COMPUTED_VALUE"""),"GINTRACOM")</f>
        <v>GINTRACOM</v>
      </c>
      <c r="R1249" s="65">
        <f>IFERROR(__xludf.DUMMYFUNCTION("""COMPUTED_VALUE"""),27.0)</f>
        <v>27</v>
      </c>
      <c r="S1249" s="65">
        <f>IFERROR(__xludf.DUMMYFUNCTION("""COMPUTED_VALUE"""),13.17)</f>
        <v>13.17</v>
      </c>
      <c r="T1249" s="65">
        <f>IFERROR(__xludf.DUMMYFUNCTION("""COMPUTED_VALUE"""),6.03)</f>
        <v>6.03</v>
      </c>
      <c r="U1249" s="65">
        <f>IFERROR(__xludf.DUMMYFUNCTION("""COMPUTED_VALUE"""),0.0)</f>
        <v>0</v>
      </c>
      <c r="V1249" s="65">
        <f>IFERROR(__xludf.DUMMYFUNCTION("""COMPUTED_VALUE"""),0.0)</f>
        <v>0</v>
      </c>
      <c r="W1249" s="65">
        <f>IFERROR(__xludf.DUMMYFUNCTION("""COMPUTED_VALUE"""),0.0)</f>
        <v>0</v>
      </c>
      <c r="X1249" s="65">
        <f>IFERROR(__xludf.DUMMYFUNCTION("""COMPUTED_VALUE"""),2.6)</f>
        <v>2.6</v>
      </c>
      <c r="Y1249" s="65">
        <f>IFERROR(__xludf.DUMMYFUNCTION("""COMPUTED_VALUE"""),7.8)</f>
        <v>7.8</v>
      </c>
      <c r="Z1249" s="65">
        <f>IFERROR(__xludf.DUMMYFUNCTION("""COMPUTED_VALUE"""),121983.0)</f>
        <v>121983</v>
      </c>
      <c r="AA1249" s="65" t="str">
        <f>IFERROR(__xludf.DUMMYFUNCTION("""COMPUTED_VALUE"""),"PROV-CHLLCF")</f>
        <v>PROV-CHLLCF</v>
      </c>
      <c r="AB1249" s="65"/>
      <c r="AC1249" s="65" t="str">
        <f>IFERROR(__xludf.DUMMYFUNCTION("""COMPUTED_VALUE"""),"CUCHILLO PARA CHEF")</f>
        <v>CUCHILLO PARA CHEF</v>
      </c>
      <c r="AD1249" s="65"/>
      <c r="AE1249" s="65">
        <f>IFERROR(__xludf.DUMMYFUNCTION("""COMPUTED_VALUE"""),3.0)</f>
        <v>3</v>
      </c>
      <c r="AF1249" s="65"/>
      <c r="AG1249" s="65"/>
      <c r="AH1249" s="65"/>
      <c r="AI1249" s="65"/>
      <c r="AJ1249" s="65"/>
      <c r="AK1249" s="65"/>
      <c r="AL1249" s="65"/>
      <c r="AM1249" s="65"/>
      <c r="AN1249" s="65"/>
      <c r="AO1249" s="65"/>
      <c r="AP1249" s="65"/>
      <c r="AQ1249" s="65"/>
      <c r="AR1249" s="65"/>
      <c r="AS1249" s="65"/>
      <c r="AT1249" s="65" t="str">
        <f>IFERROR(__xludf.DUMMYFUNCTION("""COMPUTED_VALUE"""),"SHOPIFY")</f>
        <v>SHOPIFY</v>
      </c>
      <c r="AU1249" s="65" t="str">
        <f>IFERROR(__xludf.DUMMYFUNCTION("""COMPUTED_VALUE"""),"IMPORTEX EC")</f>
        <v>IMPORTEX EC</v>
      </c>
      <c r="AV1249" s="65" t="str">
        <f>IFERROR(__xludf.DUMMYFUNCTION("""COMPUTED_VALUE"""),"6462613815340")</f>
        <v>6462613815340</v>
      </c>
      <c r="AW1249" s="65">
        <f>IFERROR(__xludf.DUMMYFUNCTION("""COMPUTED_VALUE"""),5651.0)</f>
        <v>5651</v>
      </c>
      <c r="AX1249" s="65"/>
      <c r="AY1249" s="65" t="str">
        <f>IFERROR(__xludf.DUMMYFUNCTION("""COMPUTED_VALUE"""),"31/01/2026")</f>
        <v>31/01/2026</v>
      </c>
      <c r="AZ1249" s="65"/>
      <c r="BA1249" s="65"/>
    </row>
    <row r="1250">
      <c r="A1250" s="65" t="str">
        <f>IFERROR(__xludf.DUMMYFUNCTION("""COMPUTED_VALUE"""),"27-03-2026")</f>
        <v>27-03-2026</v>
      </c>
      <c r="B1250" s="65">
        <f>IFERROR(__xludf.DUMMYFUNCTION("""COMPUTED_VALUE"""),4331159.0)</f>
        <v>4331159</v>
      </c>
      <c r="C1250" s="65" t="str">
        <f>IFERROR(__xludf.DUMMYFUNCTION("""COMPUTED_VALUE"""),"11:07")</f>
        <v>11:07</v>
      </c>
      <c r="D1250" s="65" t="str">
        <f>IFERROR(__xludf.DUMMYFUNCTION("""COMPUTED_VALUE"""),"30-01-2026")</f>
        <v>30-01-2026</v>
      </c>
      <c r="E1250" s="65" t="str">
        <f>IFERROR(__xludf.DUMMYFUNCTION("""COMPUTED_VALUE"""),"Ariana Ramírez Tanzo")</f>
        <v>Ariana Ramírez Tanzo</v>
      </c>
      <c r="F1250" s="65" t="str">
        <f>IFERROR(__xludf.DUMMYFUNCTION("""COMPUTED_VALUE"""),"996922011")</f>
        <v>996922011</v>
      </c>
      <c r="G1250" s="65" t="str">
        <f>IFERROR(__xludf.DUMMYFUNCTION("""COMPUTED_VALUE"""),"arianatanzo8@gmail.com")</f>
        <v>arianatanzo8@gmail.com</v>
      </c>
      <c r="H1250" s="65"/>
      <c r="I1250" s="65"/>
      <c r="J1250" s="65"/>
      <c r="K1250" s="65" t="str">
        <f>IFERROR(__xludf.DUMMYFUNCTION("""COMPUTED_VALUE"""),"CANCELADO")</f>
        <v>CANCELADO</v>
      </c>
      <c r="L1250" s="65" t="str">
        <f>IFERROR(__xludf.DUMMYFUNCTION("""COMPUTED_VALUE"""),"CON RECAUDO")</f>
        <v>CON RECAUDO</v>
      </c>
      <c r="M1250" s="65" t="str">
        <f>IFERROR(__xludf.DUMMYFUNCTION("""COMPUTED_VALUE"""),"LOS RIOS")</f>
        <v>LOS RIOS</v>
      </c>
      <c r="N1250" s="65" t="str">
        <f>IFERROR(__xludf.DUMMYFUNCTION("""COMPUTED_VALUE"""),"SAN JUAN")</f>
        <v>SAN JUAN</v>
      </c>
      <c r="O1250" s="65" t="str">
        <f>IFERROR(__xludf.DUMMYFUNCTION("""COMPUTED_VALUE"""),"León febres cordero y 6 de octubre junto a maxitel serví entrega San juan -")</f>
        <v>León febres cordero y 6 de octubre junto a maxitel serví entrega San juan -</v>
      </c>
      <c r="P1250" s="65"/>
      <c r="Q1250" s="65" t="str">
        <f>IFERROR(__xludf.DUMMYFUNCTION("""COMPUTED_VALUE"""),"SERVIENTREGA")</f>
        <v>SERVIENTREGA</v>
      </c>
      <c r="R1250" s="65">
        <f>IFERROR(__xludf.DUMMYFUNCTION("""COMPUTED_VALUE"""),22.0)</f>
        <v>22</v>
      </c>
      <c r="S1250" s="65"/>
      <c r="T1250" s="65">
        <f>IFERROR(__xludf.DUMMYFUNCTION("""COMPUTED_VALUE"""),7.7)</f>
        <v>7.7</v>
      </c>
      <c r="U1250" s="65">
        <f>IFERROR(__xludf.DUMMYFUNCTION("""COMPUTED_VALUE"""),0.0)</f>
        <v>0</v>
      </c>
      <c r="V1250" s="65">
        <f>IFERROR(__xludf.DUMMYFUNCTION("""COMPUTED_VALUE"""),0.0)</f>
        <v>0</v>
      </c>
      <c r="W1250" s="65">
        <f>IFERROR(__xludf.DUMMYFUNCTION("""COMPUTED_VALUE"""),0.0)</f>
        <v>0</v>
      </c>
      <c r="X1250" s="65">
        <f>IFERROR(__xludf.DUMMYFUNCTION("""COMPUTED_VALUE"""),2.6)</f>
        <v>2.6</v>
      </c>
      <c r="Y1250" s="65">
        <f>IFERROR(__xludf.DUMMYFUNCTION("""COMPUTED_VALUE"""),5.2)</f>
        <v>5.2</v>
      </c>
      <c r="Z1250" s="65">
        <f>IFERROR(__xludf.DUMMYFUNCTION("""COMPUTED_VALUE"""),121983.0)</f>
        <v>121983</v>
      </c>
      <c r="AA1250" s="65" t="str">
        <f>IFERROR(__xludf.DUMMYFUNCTION("""COMPUTED_VALUE"""),"PROV-CHLLCF")</f>
        <v>PROV-CHLLCF</v>
      </c>
      <c r="AB1250" s="65"/>
      <c r="AC1250" s="65" t="str">
        <f>IFERROR(__xludf.DUMMYFUNCTION("""COMPUTED_VALUE"""),"CUCHILLO PARA CHEF")</f>
        <v>CUCHILLO PARA CHEF</v>
      </c>
      <c r="AD1250" s="65"/>
      <c r="AE1250" s="65">
        <f>IFERROR(__xludf.DUMMYFUNCTION("""COMPUTED_VALUE"""),2.0)</f>
        <v>2</v>
      </c>
      <c r="AF1250" s="65"/>
      <c r="AG1250" s="65"/>
      <c r="AH1250" s="65"/>
      <c r="AI1250" s="65"/>
      <c r="AJ1250" s="65"/>
      <c r="AK1250" s="65"/>
      <c r="AL1250" s="65"/>
      <c r="AM1250" s="65"/>
      <c r="AN1250" s="65"/>
      <c r="AO1250" s="65"/>
      <c r="AP1250" s="65"/>
      <c r="AQ1250" s="65"/>
      <c r="AR1250" s="65"/>
      <c r="AS1250" s="65"/>
      <c r="AT1250" s="65" t="str">
        <f>IFERROR(__xludf.DUMMYFUNCTION("""COMPUTED_VALUE"""),"SHOPIFY")</f>
        <v>SHOPIFY</v>
      </c>
      <c r="AU1250" s="65" t="str">
        <f>IFERROR(__xludf.DUMMYFUNCTION("""COMPUTED_VALUE"""),"IMPORTEX EC")</f>
        <v>IMPORTEX EC</v>
      </c>
      <c r="AV1250" s="65" t="str">
        <f>IFERROR(__xludf.DUMMYFUNCTION("""COMPUTED_VALUE"""),"6462296686636")</f>
        <v>6462296686636</v>
      </c>
      <c r="AW1250" s="65">
        <f>IFERROR(__xludf.DUMMYFUNCTION("""COMPUTED_VALUE"""),5650.0)</f>
        <v>5650</v>
      </c>
      <c r="AX1250" s="65"/>
      <c r="AY1250" s="65"/>
      <c r="AZ1250" s="65"/>
      <c r="BA1250" s="65"/>
    </row>
    <row r="1251">
      <c r="A1251" s="65" t="str">
        <f>IFERROR(__xludf.DUMMYFUNCTION("""COMPUTED_VALUE"""),"27-03-2026")</f>
        <v>27-03-2026</v>
      </c>
      <c r="B1251" s="65">
        <f>IFERROR(__xludf.DUMMYFUNCTION("""COMPUTED_VALUE"""),4330471.0)</f>
        <v>4330471</v>
      </c>
      <c r="C1251" s="65" t="str">
        <f>IFERROR(__xludf.DUMMYFUNCTION("""COMPUTED_VALUE"""),"10:13")</f>
        <v>10:13</v>
      </c>
      <c r="D1251" s="65" t="str">
        <f>IFERROR(__xludf.DUMMYFUNCTION("""COMPUTED_VALUE"""),"30-01-2026")</f>
        <v>30-01-2026</v>
      </c>
      <c r="E1251" s="65" t="str">
        <f>IFERROR(__xludf.DUMMYFUNCTION("""COMPUTED_VALUE"""),"JORGE Cascante Bruno")</f>
        <v>JORGE Cascante Bruno</v>
      </c>
      <c r="F1251" s="65" t="str">
        <f>IFERROR(__xludf.DUMMYFUNCTION("""COMPUTED_VALUE"""),"963836541")</f>
        <v>963836541</v>
      </c>
      <c r="G1251" s="65"/>
      <c r="H1251" s="65"/>
      <c r="I1251" s="65"/>
      <c r="J1251" s="65" t="str">
        <f>IFERROR(__xludf.DUMMYFUNCTION("""COMPUTED_VALUE"""),"D001279964")</f>
        <v>D001279964</v>
      </c>
      <c r="K1251" s="65" t="str">
        <f>IFERROR(__xludf.DUMMYFUNCTION("""COMPUTED_VALUE"""),"DEVOLUCION")</f>
        <v>DEVOLUCION</v>
      </c>
      <c r="L1251" s="65" t="str">
        <f>IFERROR(__xludf.DUMMYFUNCTION("""COMPUTED_VALUE"""),"CON RECAUDO")</f>
        <v>CON RECAUDO</v>
      </c>
      <c r="M1251" s="65" t="str">
        <f>IFERROR(__xludf.DUMMYFUNCTION("""COMPUTED_VALUE"""),"GUAYAS")</f>
        <v>GUAYAS</v>
      </c>
      <c r="N1251" s="65" t="str">
        <f>IFERROR(__xludf.DUMMYFUNCTION("""COMPUTED_VALUE"""),"GUAYAQUIL")</f>
        <v>GUAYAQUIL</v>
      </c>
      <c r="O1251" s="65" t="str">
        <f>IFERROR(__xludf.DUMMYFUNCTION("""COMPUTED_VALUE"""),"HABANA 705 Y CHAMBERS Barrio centenario Frente a la tienda A dos cuadras del comisario del barrio centenario")</f>
        <v>HABANA 705 Y CHAMBERS Barrio centenario Frente a la tienda A dos cuadras del comisario del barrio centenario</v>
      </c>
      <c r="P1251" s="65"/>
      <c r="Q1251" s="65" t="str">
        <f>IFERROR(__xludf.DUMMYFUNCTION("""COMPUTED_VALUE"""),"GINTRACOM")</f>
        <v>GINTRACOM</v>
      </c>
      <c r="R1251" s="65">
        <f>IFERROR(__xludf.DUMMYFUNCTION("""COMPUTED_VALUE"""),30.0)</f>
        <v>30</v>
      </c>
      <c r="S1251" s="65"/>
      <c r="T1251" s="65">
        <f>IFERROR(__xludf.DUMMYFUNCTION("""COMPUTED_VALUE"""),6.16)</f>
        <v>6.16</v>
      </c>
      <c r="U1251" s="65">
        <f>IFERROR(__xludf.DUMMYFUNCTION("""COMPUTED_VALUE"""),0.0)</f>
        <v>0</v>
      </c>
      <c r="V1251" s="65">
        <f>IFERROR(__xludf.DUMMYFUNCTION("""COMPUTED_VALUE"""),0.0)</f>
        <v>0</v>
      </c>
      <c r="W1251" s="65">
        <f>IFERROR(__xludf.DUMMYFUNCTION("""COMPUTED_VALUE"""),0.0)</f>
        <v>0</v>
      </c>
      <c r="X1251" s="65">
        <f>IFERROR(__xludf.DUMMYFUNCTION("""COMPUTED_VALUE"""),2.35)</f>
        <v>2.35</v>
      </c>
      <c r="Y1251" s="65">
        <f>IFERROR(__xludf.DUMMYFUNCTION("""COMPUTED_VALUE"""),7.05)</f>
        <v>7.05</v>
      </c>
      <c r="Z1251" s="65">
        <f>IFERROR(__xludf.DUMMYFUNCTION("""COMPUTED_VALUE"""),116679.0)</f>
        <v>116679</v>
      </c>
      <c r="AA1251" s="65" t="str">
        <f>IFERROR(__xludf.DUMMYFUNCTION("""COMPUTED_VALUE"""),"AMC-2738")</f>
        <v>AMC-2738</v>
      </c>
      <c r="AB1251" s="65"/>
      <c r="AC1251" s="65" t="str">
        <f>IFERROR(__xludf.DUMMYFUNCTION("""COMPUTED_VALUE"""),"ESPONJA ANTILLUVIA DE PARABRISAS")</f>
        <v>ESPONJA ANTILLUVIA DE PARABRISAS</v>
      </c>
      <c r="AD1251" s="65"/>
      <c r="AE1251" s="65">
        <f>IFERROR(__xludf.DUMMYFUNCTION("""COMPUTED_VALUE"""),3.0)</f>
        <v>3</v>
      </c>
      <c r="AF1251" s="65" t="str">
        <f>IFERROR(__xludf.DUMMYFUNCTION("""COMPUTED_VALUE"""),"DESTINATARIO NO CONTESTA LLAMADAS NI WHATSAPP")</f>
        <v>DESTINATARIO NO CONTESTA LLAMADAS NI WHATSAPP</v>
      </c>
      <c r="AG1251" s="65" t="str">
        <f>IFERROR(__xludf.DUMMYFUNCTION("""COMPUTED_VALUE"""),"SI")</f>
        <v>SI</v>
      </c>
      <c r="AH1251" s="65" t="str">
        <f>IFERROR(__xludf.DUMMYFUNCTION("""COMPUTED_VALUE"""),"09:00")</f>
        <v>09:00</v>
      </c>
      <c r="AI1251" s="65" t="str">
        <f>IFERROR(__xludf.DUMMYFUNCTION("""COMPUTED_VALUE"""),"10-02-2026")</f>
        <v>10-02-2026</v>
      </c>
      <c r="AJ1251" s="65" t="str">
        <f>IFERROR(__xludf.DUMMYFUNCTION("""COMPUTED_VALUE"""),"CLIENTE SOLICITA LA ENTREGA INMEDIATA")</f>
        <v>CLIENTE SOLICITA LA ENTREGA INMEDIATA</v>
      </c>
      <c r="AK1251" s="65" t="str">
        <f>IFERROR(__xludf.DUMMYFUNCTION("""COMPUTED_VALUE"""),"13:08")</f>
        <v>13:08</v>
      </c>
      <c r="AL1251" s="65" t="str">
        <f>IFERROR(__xludf.DUMMYFUNCTION("""COMPUTED_VALUE"""),"11-02-2026")</f>
        <v>11-02-2026</v>
      </c>
      <c r="AM1251" s="65"/>
      <c r="AN1251" s="65" t="str">
        <f>IFERROR(__xludf.DUMMYFUNCTION("""COMPUTED_VALUE"""),"14:49")</f>
        <v>14:49</v>
      </c>
      <c r="AO1251" s="65" t="str">
        <f>IFERROR(__xludf.DUMMYFUNCTION("""COMPUTED_VALUE"""),"21-02-2026")</f>
        <v>21-02-2026</v>
      </c>
      <c r="AP1251" s="65" t="str">
        <f>IFERROR(__xludf.DUMMYFUNCTION("""COMPUTED_VALUE"""),"DEVOLUCIÓN ENTREGADA A ORIGEN")</f>
        <v>DEVOLUCIÓN ENTREGADA A ORIGEN</v>
      </c>
      <c r="AQ1251" s="65" t="str">
        <f>IFERROR(__xludf.DUMMYFUNCTION("""COMPUTED_VALUE"""),"DEVOLUCIÓN ENTREGADA A ORIGEN")</f>
        <v>DEVOLUCIÓN ENTREGADA A ORIGEN</v>
      </c>
      <c r="AR1251" s="65"/>
      <c r="AS1251" s="65"/>
      <c r="AT1251" s="65" t="str">
        <f>IFERROR(__xludf.DUMMYFUNCTION("""COMPUTED_VALUE"""),"CHATEA PRO")</f>
        <v>CHATEA PRO</v>
      </c>
      <c r="AU1251" s="65" t="str">
        <f>IFERROR(__xludf.DUMMYFUNCTION("""COMPUTED_VALUE"""),"CHATEA PRO")</f>
        <v>CHATEA PRO</v>
      </c>
      <c r="AV1251" s="65"/>
      <c r="AW1251" s="65"/>
      <c r="AX1251" s="65"/>
      <c r="AY1251" s="65" t="str">
        <f>IFERROR(__xludf.DUMMYFUNCTION("""COMPUTED_VALUE"""),"31/01/2026")</f>
        <v>31/01/2026</v>
      </c>
      <c r="AZ1251" s="65"/>
      <c r="BA1251" s="65"/>
    </row>
    <row r="1252">
      <c r="A1252" s="65" t="str">
        <f>IFERROR(__xludf.DUMMYFUNCTION("""COMPUTED_VALUE"""),"27-03-2026")</f>
        <v>27-03-2026</v>
      </c>
      <c r="B1252" s="65">
        <f>IFERROR(__xludf.DUMMYFUNCTION("""COMPUTED_VALUE"""),4330329.0)</f>
        <v>4330329</v>
      </c>
      <c r="C1252" s="65" t="str">
        <f>IFERROR(__xludf.DUMMYFUNCTION("""COMPUTED_VALUE"""),"10:02")</f>
        <v>10:02</v>
      </c>
      <c r="D1252" s="65" t="str">
        <f>IFERROR(__xludf.DUMMYFUNCTION("""COMPUTED_VALUE"""),"30-01-2026")</f>
        <v>30-01-2026</v>
      </c>
      <c r="E1252" s="65" t="str">
        <f>IFERROR(__xludf.DUMMYFUNCTION("""COMPUTED_VALUE"""),"July Yanez")</f>
        <v>July Yanez</v>
      </c>
      <c r="F1252" s="65" t="str">
        <f>IFERROR(__xludf.DUMMYFUNCTION("""COMPUTED_VALUE"""),"981041937")</f>
        <v>981041937</v>
      </c>
      <c r="G1252" s="65"/>
      <c r="H1252" s="65"/>
      <c r="I1252" s="65"/>
      <c r="J1252" s="65" t="str">
        <f>IFERROR(__xludf.DUMMYFUNCTION("""COMPUTED_VALUE"""),"186553175")</f>
        <v>186553175</v>
      </c>
      <c r="K1252" s="65" t="str">
        <f>IFERROR(__xludf.DUMMYFUNCTION("""COMPUTED_VALUE"""),"ENTREGADO")</f>
        <v>ENTREGADO</v>
      </c>
      <c r="L1252" s="65" t="str">
        <f>IFERROR(__xludf.DUMMYFUNCTION("""COMPUTED_VALUE"""),"CON RECAUDO")</f>
        <v>CON RECAUDO</v>
      </c>
      <c r="M1252" s="65" t="str">
        <f>IFERROR(__xludf.DUMMYFUNCTION("""COMPUTED_VALUE"""),"PICHINCHA")</f>
        <v>PICHINCHA</v>
      </c>
      <c r="N1252" s="65" t="str">
        <f>IFERROR(__xludf.DUMMYFUNCTION("""COMPUTED_VALUE"""),"MACHACHI")</f>
        <v>MACHACHI</v>
      </c>
      <c r="O1252" s="65" t="str">
        <f>IFERROR(__xludf.DUMMYFUNCTION("""COMPUTED_VALUE"""),"Simón Bolivar y García moreno Parque central de machachi - N38")</f>
        <v>Simón Bolivar y García moreno Parque central de machachi - N38</v>
      </c>
      <c r="P1252" s="65"/>
      <c r="Q1252" s="65" t="str">
        <f>IFERROR(__xludf.DUMMYFUNCTION("""COMPUTED_VALUE"""),"SERVIENTREGA")</f>
        <v>SERVIENTREGA</v>
      </c>
      <c r="R1252" s="65">
        <f>IFERROR(__xludf.DUMMYFUNCTION("""COMPUTED_VALUE"""),20.0)</f>
        <v>20</v>
      </c>
      <c r="S1252" s="65">
        <f>IFERROR(__xludf.DUMMYFUNCTION("""COMPUTED_VALUE"""),12.01)</f>
        <v>12.01</v>
      </c>
      <c r="T1252" s="65">
        <f>IFERROR(__xludf.DUMMYFUNCTION("""COMPUTED_VALUE"""),5.64)</f>
        <v>5.64</v>
      </c>
      <c r="U1252" s="65">
        <f>IFERROR(__xludf.DUMMYFUNCTION("""COMPUTED_VALUE"""),0.0)</f>
        <v>0</v>
      </c>
      <c r="V1252" s="65">
        <f>IFERROR(__xludf.DUMMYFUNCTION("""COMPUTED_VALUE"""),0.0)</f>
        <v>0</v>
      </c>
      <c r="W1252" s="65">
        <f>IFERROR(__xludf.DUMMYFUNCTION("""COMPUTED_VALUE"""),0.0)</f>
        <v>0</v>
      </c>
      <c r="X1252" s="65">
        <f>IFERROR(__xludf.DUMMYFUNCTION("""COMPUTED_VALUE"""),2.35)</f>
        <v>2.35</v>
      </c>
      <c r="Y1252" s="65">
        <f>IFERROR(__xludf.DUMMYFUNCTION("""COMPUTED_VALUE"""),2.35)</f>
        <v>2.35</v>
      </c>
      <c r="Z1252" s="65">
        <f>IFERROR(__xludf.DUMMYFUNCTION("""COMPUTED_VALUE"""),116679.0)</f>
        <v>116679</v>
      </c>
      <c r="AA1252" s="65" t="str">
        <f>IFERROR(__xludf.DUMMYFUNCTION("""COMPUTED_VALUE"""),"AMC-2738")</f>
        <v>AMC-2738</v>
      </c>
      <c r="AB1252" s="65"/>
      <c r="AC1252" s="65" t="str">
        <f>IFERROR(__xludf.DUMMYFUNCTION("""COMPUTED_VALUE"""),"ESPONJA ANTILLUVIA DE PARABRISAS")</f>
        <v>ESPONJA ANTILLUVIA DE PARABRISAS</v>
      </c>
      <c r="AD1252" s="65"/>
      <c r="AE1252" s="65">
        <f>IFERROR(__xludf.DUMMYFUNCTION("""COMPUTED_VALUE"""),1.0)</f>
        <v>1</v>
      </c>
      <c r="AF1252" s="65"/>
      <c r="AG1252" s="65"/>
      <c r="AH1252" s="65"/>
      <c r="AI1252" s="65"/>
      <c r="AJ1252" s="65"/>
      <c r="AK1252" s="65"/>
      <c r="AL1252" s="65"/>
      <c r="AM1252" s="65"/>
      <c r="AN1252" s="65" t="str">
        <f>IFERROR(__xludf.DUMMYFUNCTION("""COMPUTED_VALUE"""),"08:42")</f>
        <v>08:42</v>
      </c>
      <c r="AO1252" s="65" t="str">
        <f>IFERROR(__xludf.DUMMYFUNCTION("""COMPUTED_VALUE"""),"24-02-2026")</f>
        <v>24-02-2026</v>
      </c>
      <c r="AP1252" s="65" t="str">
        <f>IFERROR(__xludf.DUMMYFUNCTION("""COMPUTED_VALUE"""),"ENTREGA DIGITALIZADA EN CENTRO LOGISTICO")</f>
        <v>ENTREGA DIGITALIZADA EN CENTRO LOGISTICO</v>
      </c>
      <c r="AQ1252" s="65" t="str">
        <f>IFERROR(__xludf.DUMMYFUNCTION("""COMPUTED_VALUE"""),"Julia Yanez")</f>
        <v>Julia Yanez</v>
      </c>
      <c r="AR1252" s="65"/>
      <c r="AS1252" s="65"/>
      <c r="AT1252" s="65" t="str">
        <f>IFERROR(__xludf.DUMMYFUNCTION("""COMPUTED_VALUE"""),"CHATEA PRO")</f>
        <v>CHATEA PRO</v>
      </c>
      <c r="AU1252" s="65" t="str">
        <f>IFERROR(__xludf.DUMMYFUNCTION("""COMPUTED_VALUE"""),"CHATEA PRO")</f>
        <v>CHATEA PRO</v>
      </c>
      <c r="AV1252" s="65"/>
      <c r="AW1252" s="65"/>
      <c r="AX1252" s="65"/>
      <c r="AY1252" s="65" t="str">
        <f>IFERROR(__xludf.DUMMYFUNCTION("""COMPUTED_VALUE"""),"30/01/2026")</f>
        <v>30/01/2026</v>
      </c>
      <c r="AZ1252" s="65"/>
      <c r="BA1252" s="65"/>
    </row>
    <row r="1253">
      <c r="A1253" s="65" t="str">
        <f>IFERROR(__xludf.DUMMYFUNCTION("""COMPUTED_VALUE"""),"27-03-2026")</f>
        <v>27-03-2026</v>
      </c>
      <c r="B1253" s="65">
        <f>IFERROR(__xludf.DUMMYFUNCTION("""COMPUTED_VALUE"""),4330211.0)</f>
        <v>4330211</v>
      </c>
      <c r="C1253" s="65" t="str">
        <f>IFERROR(__xludf.DUMMYFUNCTION("""COMPUTED_VALUE"""),"09:53")</f>
        <v>09:53</v>
      </c>
      <c r="D1253" s="65" t="str">
        <f>IFERROR(__xludf.DUMMYFUNCTION("""COMPUTED_VALUE"""),"30-01-2026")</f>
        <v>30-01-2026</v>
      </c>
      <c r="E1253" s="65" t="str">
        <f>IFERROR(__xludf.DUMMYFUNCTION("""COMPUTED_VALUE"""),"William Mora")</f>
        <v>William Mora</v>
      </c>
      <c r="F1253" s="65" t="str">
        <f>IFERROR(__xludf.DUMMYFUNCTION("""COMPUTED_VALUE"""),"996424724")</f>
        <v>996424724</v>
      </c>
      <c r="G1253" s="65" t="str">
        <f>IFERROR(__xludf.DUMMYFUNCTION("""COMPUTED_VALUE"""),"mq_william@hotmail.com")</f>
        <v>mq_william@hotmail.com</v>
      </c>
      <c r="H1253" s="65"/>
      <c r="I1253" s="65"/>
      <c r="J1253" s="65"/>
      <c r="K1253" s="65" t="str">
        <f>IFERROR(__xludf.DUMMYFUNCTION("""COMPUTED_VALUE"""),"CANCELADO")</f>
        <v>CANCELADO</v>
      </c>
      <c r="L1253" s="65" t="str">
        <f>IFERROR(__xludf.DUMMYFUNCTION("""COMPUTED_VALUE"""),"CON RECAUDO")</f>
        <v>CON RECAUDO</v>
      </c>
      <c r="M1253" s="65" t="str">
        <f>IFERROR(__xludf.DUMMYFUNCTION("""COMPUTED_VALUE"""),"SUCUMBIOS")</f>
        <v>SUCUMBIOS</v>
      </c>
      <c r="N1253" s="65" t="str">
        <f>IFERROR(__xludf.DUMMYFUNCTION("""COMPUTED_VALUE"""),"LAGO AGRIO")</f>
        <v>LAGO AGRIO</v>
      </c>
      <c r="O1253" s="65" t="str">
        <f>IFERROR(__xludf.DUMMYFUNCTION("""COMPUTED_VALUE"""),"Progreso y 10 de agosto Los almendros -")</f>
        <v>Progreso y 10 de agosto Los almendros -</v>
      </c>
      <c r="P1253" s="65"/>
      <c r="Q1253" s="65" t="str">
        <f>IFERROR(__xludf.DUMMYFUNCTION("""COMPUTED_VALUE"""),"GINTRACOM")</f>
        <v>GINTRACOM</v>
      </c>
      <c r="R1253" s="65">
        <f>IFERROR(__xludf.DUMMYFUNCTION("""COMPUTED_VALUE"""),25.0)</f>
        <v>25</v>
      </c>
      <c r="S1253" s="65"/>
      <c r="T1253" s="65">
        <f>IFERROR(__xludf.DUMMYFUNCTION("""COMPUTED_VALUE"""),5.96)</f>
        <v>5.96</v>
      </c>
      <c r="U1253" s="65">
        <f>IFERROR(__xludf.DUMMYFUNCTION("""COMPUTED_VALUE"""),0.0)</f>
        <v>0</v>
      </c>
      <c r="V1253" s="65">
        <f>IFERROR(__xludf.DUMMYFUNCTION("""COMPUTED_VALUE"""),0.0)</f>
        <v>0</v>
      </c>
      <c r="W1253" s="65">
        <f>IFERROR(__xludf.DUMMYFUNCTION("""COMPUTED_VALUE"""),0.0)</f>
        <v>0</v>
      </c>
      <c r="X1253" s="65">
        <f>IFERROR(__xludf.DUMMYFUNCTION("""COMPUTED_VALUE"""),2.35)</f>
        <v>2.35</v>
      </c>
      <c r="Y1253" s="65">
        <f>IFERROR(__xludf.DUMMYFUNCTION("""COMPUTED_VALUE"""),4.7)</f>
        <v>4.7</v>
      </c>
      <c r="Z1253" s="65">
        <f>IFERROR(__xludf.DUMMYFUNCTION("""COMPUTED_VALUE"""),116679.0)</f>
        <v>116679</v>
      </c>
      <c r="AA1253" s="65" t="str">
        <f>IFERROR(__xludf.DUMMYFUNCTION("""COMPUTED_VALUE"""),"AMC-2738")</f>
        <v>AMC-2738</v>
      </c>
      <c r="AB1253" s="65"/>
      <c r="AC1253" s="65" t="str">
        <f>IFERROR(__xludf.DUMMYFUNCTION("""COMPUTED_VALUE"""),"ESPONJA ANTILLUVIA DE PARABRISAS")</f>
        <v>ESPONJA ANTILLUVIA DE PARABRISAS</v>
      </c>
      <c r="AD1253" s="65"/>
      <c r="AE1253" s="65">
        <f>IFERROR(__xludf.DUMMYFUNCTION("""COMPUTED_VALUE"""),2.0)</f>
        <v>2</v>
      </c>
      <c r="AF1253" s="65"/>
      <c r="AG1253" s="65"/>
      <c r="AH1253" s="65"/>
      <c r="AI1253" s="65"/>
      <c r="AJ1253" s="65"/>
      <c r="AK1253" s="65"/>
      <c r="AL1253" s="65"/>
      <c r="AM1253" s="65"/>
      <c r="AN1253" s="65"/>
      <c r="AO1253" s="65"/>
      <c r="AP1253" s="65"/>
      <c r="AQ1253" s="65"/>
      <c r="AR1253" s="65"/>
      <c r="AS1253" s="65"/>
      <c r="AT1253" s="65" t="str">
        <f>IFERROR(__xludf.DUMMYFUNCTION("""COMPUTED_VALUE"""),"SHOPIFY")</f>
        <v>SHOPIFY</v>
      </c>
      <c r="AU1253" s="65" t="str">
        <f>IFERROR(__xludf.DUMMYFUNCTION("""COMPUTED_VALUE"""),"IMPORTEX EC")</f>
        <v>IMPORTEX EC</v>
      </c>
      <c r="AV1253" s="65" t="str">
        <f>IFERROR(__xludf.DUMMYFUNCTION("""COMPUTED_VALUE"""),"6462081728556")</f>
        <v>6462081728556</v>
      </c>
      <c r="AW1253" s="65">
        <f>IFERROR(__xludf.DUMMYFUNCTION("""COMPUTED_VALUE"""),5649.0)</f>
        <v>5649</v>
      </c>
      <c r="AX1253" s="65"/>
      <c r="AY1253" s="65"/>
      <c r="AZ1253" s="65"/>
      <c r="BA1253" s="65"/>
    </row>
    <row r="1254">
      <c r="A1254" s="65" t="str">
        <f>IFERROR(__xludf.DUMMYFUNCTION("""COMPUTED_VALUE"""),"27-03-2026")</f>
        <v>27-03-2026</v>
      </c>
      <c r="B1254" s="65">
        <f>IFERROR(__xludf.DUMMYFUNCTION("""COMPUTED_VALUE"""),4330008.0)</f>
        <v>4330008</v>
      </c>
      <c r="C1254" s="65" t="str">
        <f>IFERROR(__xludf.DUMMYFUNCTION("""COMPUTED_VALUE"""),"09:41")</f>
        <v>09:41</v>
      </c>
      <c r="D1254" s="65" t="str">
        <f>IFERROR(__xludf.DUMMYFUNCTION("""COMPUTED_VALUE"""),"30-01-2026")</f>
        <v>30-01-2026</v>
      </c>
      <c r="E1254" s="65" t="str">
        <f>IFERROR(__xludf.DUMMYFUNCTION("""COMPUTED_VALUE"""),"Ángel Suárez")</f>
        <v>Ángel Suárez</v>
      </c>
      <c r="F1254" s="65" t="str">
        <f>IFERROR(__xludf.DUMMYFUNCTION("""COMPUTED_VALUE"""),"990789378")</f>
        <v>990789378</v>
      </c>
      <c r="G1254" s="65"/>
      <c r="H1254" s="65"/>
      <c r="I1254" s="65"/>
      <c r="J1254" s="65" t="str">
        <f>IFERROR(__xludf.DUMMYFUNCTION("""COMPUTED_VALUE"""),"186555362")</f>
        <v>186555362</v>
      </c>
      <c r="K1254" s="65" t="str">
        <f>IFERROR(__xludf.DUMMYFUNCTION("""COMPUTED_VALUE"""),"DEVOLUCION")</f>
        <v>DEVOLUCION</v>
      </c>
      <c r="L1254" s="65" t="str">
        <f>IFERROR(__xludf.DUMMYFUNCTION("""COMPUTED_VALUE"""),"CON RECAUDO")</f>
        <v>CON RECAUDO</v>
      </c>
      <c r="M1254" s="65" t="str">
        <f>IFERROR(__xludf.DUMMYFUNCTION("""COMPUTED_VALUE"""),"IMBABURA")</f>
        <v>IMBABURA</v>
      </c>
      <c r="N1254" s="65" t="str">
        <f>IFERROR(__xludf.DUMMYFUNCTION("""COMPUTED_VALUE"""),"OTAVALO")</f>
        <v>OTAVALO</v>
      </c>
      <c r="O1254" s="65" t="str">
        <f>IFERROR(__xludf.DUMMYFUNCTION("""COMPUTED_VALUE"""),"CS: OTAVALO_PRINCIPAL / MORALES S/N Y ROCA")</f>
        <v>CS: OTAVALO_PRINCIPAL / MORALES S/N Y ROCA</v>
      </c>
      <c r="P1254" s="65" t="str">
        <f>IFERROR(__xludf.DUMMYFUNCTION("""COMPUTED_VALUE"""),"(SERVIENTREGA) CS: OTAVALO_PRINCIPAL / MORALES S/N Y ROCA")</f>
        <v>(SERVIENTREGA) CS: OTAVALO_PRINCIPAL / MORALES S/N Y ROCA</v>
      </c>
      <c r="Q1254" s="65" t="str">
        <f>IFERROR(__xludf.DUMMYFUNCTION("""COMPUTED_VALUE"""),"SERVIENTREGA")</f>
        <v>SERVIENTREGA</v>
      </c>
      <c r="R1254" s="65">
        <f>IFERROR(__xludf.DUMMYFUNCTION("""COMPUTED_VALUE"""),22.0)</f>
        <v>22</v>
      </c>
      <c r="S1254" s="65"/>
      <c r="T1254" s="65">
        <f>IFERROR(__xludf.DUMMYFUNCTION("""COMPUTED_VALUE"""),7.7)</f>
        <v>7.7</v>
      </c>
      <c r="U1254" s="65">
        <f>IFERROR(__xludf.DUMMYFUNCTION("""COMPUTED_VALUE"""),0.0)</f>
        <v>0</v>
      </c>
      <c r="V1254" s="65">
        <f>IFERROR(__xludf.DUMMYFUNCTION("""COMPUTED_VALUE"""),0.0)</f>
        <v>0</v>
      </c>
      <c r="W1254" s="65">
        <f>IFERROR(__xludf.DUMMYFUNCTION("""COMPUTED_VALUE"""),0.0)</f>
        <v>0</v>
      </c>
      <c r="X1254" s="65">
        <f>IFERROR(__xludf.DUMMYFUNCTION("""COMPUTED_VALUE"""),5.0)</f>
        <v>5</v>
      </c>
      <c r="Y1254" s="65">
        <f>IFERROR(__xludf.DUMMYFUNCTION("""COMPUTED_VALUE"""),5.0)</f>
        <v>5</v>
      </c>
      <c r="Z1254" s="65">
        <f>IFERROR(__xludf.DUMMYFUNCTION("""COMPUTED_VALUE"""),110064.0)</f>
        <v>110064</v>
      </c>
      <c r="AA1254" s="65" t="str">
        <f>IFERROR(__xludf.DUMMYFUNCTION("""COMPUTED_VALUE"""),"IMX-00001")</f>
        <v>IMX-00001</v>
      </c>
      <c r="AB1254" s="65"/>
      <c r="AC1254" s="65" t="str">
        <f>IFERROR(__xludf.DUMMYFUNCTION("""COMPUTED_VALUE"""),"LLAVE TRINQUETE")</f>
        <v>LLAVE TRINQUETE</v>
      </c>
      <c r="AD1254" s="65"/>
      <c r="AE1254" s="65">
        <f>IFERROR(__xludf.DUMMYFUNCTION("""COMPUTED_VALUE"""),1.0)</f>
        <v>1</v>
      </c>
      <c r="AF1254" s="65" t="str">
        <f>IFERROR(__xludf.DUMMYFUNCTION("""COMPUTED_VALUE"""),"DEVOLUCION DIGITALIZADA EN CENTRO LOGISTICO")</f>
        <v>DEVOLUCION DIGITALIZADA EN CENTRO LOGISTICO</v>
      </c>
      <c r="AG1254" s="65" t="str">
        <f>IFERROR(__xludf.DUMMYFUNCTION("""COMPUTED_VALUE"""),"NO")</f>
        <v>NO</v>
      </c>
      <c r="AH1254" s="65" t="str">
        <f>IFERROR(__xludf.DUMMYFUNCTION("""COMPUTED_VALUE"""),"10:43")</f>
        <v>10:43</v>
      </c>
      <c r="AI1254" s="65" t="str">
        <f>IFERROR(__xludf.DUMMYFUNCTION("""COMPUTED_VALUE"""),"02-03-2026")</f>
        <v>02-03-2026</v>
      </c>
      <c r="AJ1254" s="65"/>
      <c r="AK1254" s="65"/>
      <c r="AL1254" s="65"/>
      <c r="AM1254" s="65"/>
      <c r="AN1254" s="65" t="str">
        <f>IFERROR(__xludf.DUMMYFUNCTION("""COMPUTED_VALUE"""),"01:01")</f>
        <v>01:01</v>
      </c>
      <c r="AO1254" s="65" t="str">
        <f>IFERROR(__xludf.DUMMYFUNCTION("""COMPUTED_VALUE"""),"04-03-2026")</f>
        <v>04-03-2026</v>
      </c>
      <c r="AP1254" s="65" t="str">
        <f>IFERROR(__xludf.DUMMYFUNCTION("""COMPUTED_VALUE"""),"Devolucion Digitalizada en Centro Logistico CL GUAYAQUIL")</f>
        <v>Devolucion Digitalizada en Centro Logistico CL GUAYAQUIL</v>
      </c>
      <c r="AQ1254" s="65" t="str">
        <f>IFERROR(__xludf.DUMMYFUNCTION("""COMPUTED_VALUE"""),"{}")</f>
        <v>{}</v>
      </c>
      <c r="AR1254" s="65"/>
      <c r="AS1254" s="65" t="str">
        <f>IFERROR(__xludf.DUMMYFUNCTION("""COMPUTED_VALUE"""),"Bayron Gomez")</f>
        <v>Bayron Gomez</v>
      </c>
      <c r="AT1254" s="65"/>
      <c r="AU1254" s="65"/>
      <c r="AV1254" s="65"/>
      <c r="AW1254" s="65"/>
      <c r="AX1254" s="65"/>
      <c r="AY1254" s="65" t="str">
        <f>IFERROR(__xludf.DUMMYFUNCTION("""COMPUTED_VALUE"""),"31/01/2026")</f>
        <v>31/01/2026</v>
      </c>
      <c r="AZ1254" s="65"/>
      <c r="BA1254" s="65"/>
    </row>
    <row r="1255">
      <c r="A1255" s="65" t="str">
        <f>IFERROR(__xludf.DUMMYFUNCTION("""COMPUTED_VALUE"""),"27-03-2026")</f>
        <v>27-03-2026</v>
      </c>
      <c r="B1255" s="65">
        <f>IFERROR(__xludf.DUMMYFUNCTION("""COMPUTED_VALUE"""),4329928.0)</f>
        <v>4329928</v>
      </c>
      <c r="C1255" s="65" t="str">
        <f>IFERROR(__xludf.DUMMYFUNCTION("""COMPUTED_VALUE"""),"09:34")</f>
        <v>09:34</v>
      </c>
      <c r="D1255" s="65" t="str">
        <f>IFERROR(__xludf.DUMMYFUNCTION("""COMPUTED_VALUE"""),"30-01-2026")</f>
        <v>30-01-2026</v>
      </c>
      <c r="E1255" s="65" t="str">
        <f>IFERROR(__xludf.DUMMYFUNCTION("""COMPUTED_VALUE"""),"Sandra Vanessa Girón Camacho")</f>
        <v>Sandra Vanessa Girón Camacho</v>
      </c>
      <c r="F1255" s="65" t="str">
        <f>IFERROR(__xludf.DUMMYFUNCTION("""COMPUTED_VALUE"""),"986981417")</f>
        <v>986981417</v>
      </c>
      <c r="G1255" s="65"/>
      <c r="H1255" s="65"/>
      <c r="I1255" s="65"/>
      <c r="J1255" s="65"/>
      <c r="K1255" s="65" t="str">
        <f>IFERROR(__xludf.DUMMYFUNCTION("""COMPUTED_VALUE"""),"CANCELADO")</f>
        <v>CANCELADO</v>
      </c>
      <c r="L1255" s="65" t="str">
        <f>IFERROR(__xludf.DUMMYFUNCTION("""COMPUTED_VALUE"""),"CON RECAUDO")</f>
        <v>CON RECAUDO</v>
      </c>
      <c r="M1255" s="65" t="str">
        <f>IFERROR(__xludf.DUMMYFUNCTION("""COMPUTED_VALUE"""),"LOJA")</f>
        <v>LOJA</v>
      </c>
      <c r="N1255" s="65" t="str">
        <f>IFERROR(__xludf.DUMMYFUNCTION("""COMPUTED_VALUE"""),"CATAMAYO")</f>
        <v>CATAMAYO</v>
      </c>
      <c r="O1255" s="65" t="str">
        <f>IFERROR(__xludf.DUMMYFUNCTION("""COMPUTED_VALUE"""),"Av. Isidro Ayora y Av. 24 de Mayo, lugar de cita letras del parque Central Catamayo.")</f>
        <v>Av. Isidro Ayora y Av. 24 de Mayo, lugar de cita letras del parque Central Catamayo.</v>
      </c>
      <c r="P1255" s="65" t="str">
        <f>IFERROR(__xludf.DUMMYFUNCTION("""COMPUTED_VALUE"""),"Favor llamar para coordinar cita en el parque.")</f>
        <v>Favor llamar para coordinar cita en el parque.</v>
      </c>
      <c r="Q1255" s="65" t="str">
        <f>IFERROR(__xludf.DUMMYFUNCTION("""COMPUTED_VALUE"""),"LAARCOURIER")</f>
        <v>LAARCOURIER</v>
      </c>
      <c r="R1255" s="65">
        <f>IFERROR(__xludf.DUMMYFUNCTION("""COMPUTED_VALUE"""),22.0)</f>
        <v>22</v>
      </c>
      <c r="S1255" s="65"/>
      <c r="T1255" s="65">
        <f>IFERROR(__xludf.DUMMYFUNCTION("""COMPUTED_VALUE"""),7.02)</f>
        <v>7.02</v>
      </c>
      <c r="U1255" s="65">
        <f>IFERROR(__xludf.DUMMYFUNCTION("""COMPUTED_VALUE"""),0.0)</f>
        <v>0</v>
      </c>
      <c r="V1255" s="65">
        <f>IFERROR(__xludf.DUMMYFUNCTION("""COMPUTED_VALUE"""),0.0)</f>
        <v>0</v>
      </c>
      <c r="W1255" s="65">
        <f>IFERROR(__xludf.DUMMYFUNCTION("""COMPUTED_VALUE"""),0.0)</f>
        <v>0</v>
      </c>
      <c r="X1255" s="65">
        <f>IFERROR(__xludf.DUMMYFUNCTION("""COMPUTED_VALUE"""),5.0)</f>
        <v>5</v>
      </c>
      <c r="Y1255" s="65">
        <f>IFERROR(__xludf.DUMMYFUNCTION("""COMPUTED_VALUE"""),5.0)</f>
        <v>5</v>
      </c>
      <c r="Z1255" s="65">
        <f>IFERROR(__xludf.DUMMYFUNCTION("""COMPUTED_VALUE"""),110064.0)</f>
        <v>110064</v>
      </c>
      <c r="AA1255" s="65" t="str">
        <f>IFERROR(__xludf.DUMMYFUNCTION("""COMPUTED_VALUE"""),"IMX-00001")</f>
        <v>IMX-00001</v>
      </c>
      <c r="AB1255" s="65"/>
      <c r="AC1255" s="65" t="str">
        <f>IFERROR(__xludf.DUMMYFUNCTION("""COMPUTED_VALUE"""),"LLAVE TRINQUETE")</f>
        <v>LLAVE TRINQUETE</v>
      </c>
      <c r="AD1255" s="65"/>
      <c r="AE1255" s="65">
        <f>IFERROR(__xludf.DUMMYFUNCTION("""COMPUTED_VALUE"""),1.0)</f>
        <v>1</v>
      </c>
      <c r="AF1255" s="65"/>
      <c r="AG1255" s="65"/>
      <c r="AH1255" s="65"/>
      <c r="AI1255" s="65"/>
      <c r="AJ1255" s="65"/>
      <c r="AK1255" s="65"/>
      <c r="AL1255" s="65"/>
      <c r="AM1255" s="65"/>
      <c r="AN1255" s="65"/>
      <c r="AO1255" s="65"/>
      <c r="AP1255" s="65"/>
      <c r="AQ1255" s="65"/>
      <c r="AR1255" s="65"/>
      <c r="AS1255" s="65" t="str">
        <f>IFERROR(__xludf.DUMMYFUNCTION("""COMPUTED_VALUE"""),"Bayron Gomez")</f>
        <v>Bayron Gomez</v>
      </c>
      <c r="AT1255" s="65"/>
      <c r="AU1255" s="65"/>
      <c r="AV1255" s="65"/>
      <c r="AW1255" s="65"/>
      <c r="AX1255" s="65"/>
      <c r="AY1255" s="65"/>
      <c r="AZ1255" s="65"/>
      <c r="BA1255" s="65"/>
    </row>
    <row r="1256">
      <c r="A1256" s="65" t="str">
        <f>IFERROR(__xludf.DUMMYFUNCTION("""COMPUTED_VALUE"""),"27-03-2026")</f>
        <v>27-03-2026</v>
      </c>
      <c r="B1256" s="65">
        <f>IFERROR(__xludf.DUMMYFUNCTION("""COMPUTED_VALUE"""),4329729.0)</f>
        <v>4329729</v>
      </c>
      <c r="C1256" s="65" t="str">
        <f>IFERROR(__xludf.DUMMYFUNCTION("""COMPUTED_VALUE"""),"09:17")</f>
        <v>09:17</v>
      </c>
      <c r="D1256" s="65" t="str">
        <f>IFERROR(__xludf.DUMMYFUNCTION("""COMPUTED_VALUE"""),"30-01-2026")</f>
        <v>30-01-2026</v>
      </c>
      <c r="E1256" s="65" t="str">
        <f>IFERROR(__xludf.DUMMYFUNCTION("""COMPUTED_VALUE"""),"ÉDgar Patricio Fuentes Calderón")</f>
        <v>ÉDgar Patricio Fuentes Calderón</v>
      </c>
      <c r="F1256" s="65" t="str">
        <f>IFERROR(__xludf.DUMMYFUNCTION("""COMPUTED_VALUE"""),"967168323")</f>
        <v>967168323</v>
      </c>
      <c r="G1256" s="65" t="str">
        <f>IFERROR(__xludf.DUMMYFUNCTION("""COMPUTED_VALUE"""),"patriciofue10@gmail.com")</f>
        <v>patriciofue10@gmail.com</v>
      </c>
      <c r="H1256" s="65"/>
      <c r="I1256" s="65"/>
      <c r="J1256" s="65"/>
      <c r="K1256" s="65" t="str">
        <f>IFERROR(__xludf.DUMMYFUNCTION("""COMPUTED_VALUE"""),"PENDIENTE CONFIRMACION")</f>
        <v>PENDIENTE CONFIRMACION</v>
      </c>
      <c r="L1256" s="65" t="str">
        <f>IFERROR(__xludf.DUMMYFUNCTION("""COMPUTED_VALUE"""),"CON RECAUDO")</f>
        <v>CON RECAUDO</v>
      </c>
      <c r="M1256" s="65" t="str">
        <f>IFERROR(__xludf.DUMMYFUNCTION("""COMPUTED_VALUE"""),"BOLIVAR")</f>
        <v>BOLIVAR</v>
      </c>
      <c r="N1256" s="65" t="str">
        <f>IFERROR(__xludf.DUMMYFUNCTION("""COMPUTED_VALUE"""),"GUARANDA")</f>
        <v>GUARANDA</v>
      </c>
      <c r="O1256" s="65" t="str">
        <f>IFERROR(__xludf.DUMMYFUNCTION("""COMPUTED_VALUE"""),"Trigales Trigales -")</f>
        <v>Trigales Trigales -</v>
      </c>
      <c r="P1256" s="65"/>
      <c r="Q1256" s="65" t="str">
        <f>IFERROR(__xludf.DUMMYFUNCTION("""COMPUTED_VALUE"""),"GINTRACOM")</f>
        <v>GINTRACOM</v>
      </c>
      <c r="R1256" s="65">
        <f>IFERROR(__xludf.DUMMYFUNCTION("""COMPUTED_VALUE"""),20.0)</f>
        <v>20</v>
      </c>
      <c r="S1256" s="65"/>
      <c r="T1256" s="65">
        <f>IFERROR(__xludf.DUMMYFUNCTION("""COMPUTED_VALUE"""),5.76)</f>
        <v>5.76</v>
      </c>
      <c r="U1256" s="65">
        <f>IFERROR(__xludf.DUMMYFUNCTION("""COMPUTED_VALUE"""),0.0)</f>
        <v>0</v>
      </c>
      <c r="V1256" s="65">
        <f>IFERROR(__xludf.DUMMYFUNCTION("""COMPUTED_VALUE"""),0.0)</f>
        <v>0</v>
      </c>
      <c r="W1256" s="65">
        <f>IFERROR(__xludf.DUMMYFUNCTION("""COMPUTED_VALUE"""),0.0)</f>
        <v>0</v>
      </c>
      <c r="X1256" s="65">
        <f>IFERROR(__xludf.DUMMYFUNCTION("""COMPUTED_VALUE"""),2.35)</f>
        <v>2.35</v>
      </c>
      <c r="Y1256" s="65">
        <f>IFERROR(__xludf.DUMMYFUNCTION("""COMPUTED_VALUE"""),2.35)</f>
        <v>2.35</v>
      </c>
      <c r="Z1256" s="65">
        <f>IFERROR(__xludf.DUMMYFUNCTION("""COMPUTED_VALUE"""),116679.0)</f>
        <v>116679</v>
      </c>
      <c r="AA1256" s="65" t="str">
        <f>IFERROR(__xludf.DUMMYFUNCTION("""COMPUTED_VALUE"""),"AMC-2738")</f>
        <v>AMC-2738</v>
      </c>
      <c r="AB1256" s="65"/>
      <c r="AC1256" s="65" t="str">
        <f>IFERROR(__xludf.DUMMYFUNCTION("""COMPUTED_VALUE"""),"ESPONJA ANTILLUVIA DE PARABRISAS")</f>
        <v>ESPONJA ANTILLUVIA DE PARABRISAS</v>
      </c>
      <c r="AD1256" s="65"/>
      <c r="AE1256" s="65">
        <f>IFERROR(__xludf.DUMMYFUNCTION("""COMPUTED_VALUE"""),1.0)</f>
        <v>1</v>
      </c>
      <c r="AF1256" s="65"/>
      <c r="AG1256" s="65"/>
      <c r="AH1256" s="65"/>
      <c r="AI1256" s="65"/>
      <c r="AJ1256" s="65"/>
      <c r="AK1256" s="65"/>
      <c r="AL1256" s="65"/>
      <c r="AM1256" s="65"/>
      <c r="AN1256" s="65"/>
      <c r="AO1256" s="65"/>
      <c r="AP1256" s="65"/>
      <c r="AQ1256" s="65"/>
      <c r="AR1256" s="65"/>
      <c r="AS1256" s="65"/>
      <c r="AT1256" s="65" t="str">
        <f>IFERROR(__xludf.DUMMYFUNCTION("""COMPUTED_VALUE"""),"SHOPIFY")</f>
        <v>SHOPIFY</v>
      </c>
      <c r="AU1256" s="65" t="str">
        <f>IFERROR(__xludf.DUMMYFUNCTION("""COMPUTED_VALUE"""),"IMPORTEX EC")</f>
        <v>IMPORTEX EC</v>
      </c>
      <c r="AV1256" s="65" t="str">
        <f>IFERROR(__xludf.DUMMYFUNCTION("""COMPUTED_VALUE"""),"6461977329708")</f>
        <v>6461977329708</v>
      </c>
      <c r="AW1256" s="65">
        <f>IFERROR(__xludf.DUMMYFUNCTION("""COMPUTED_VALUE"""),5648.0)</f>
        <v>5648</v>
      </c>
      <c r="AX1256" s="65"/>
      <c r="AY1256" s="65"/>
      <c r="AZ1256" s="65"/>
      <c r="BA1256" s="65"/>
    </row>
    <row r="1257">
      <c r="A1257" s="65" t="str">
        <f>IFERROR(__xludf.DUMMYFUNCTION("""COMPUTED_VALUE"""),"27-03-2026")</f>
        <v>27-03-2026</v>
      </c>
      <c r="B1257" s="65">
        <f>IFERROR(__xludf.DUMMYFUNCTION("""COMPUTED_VALUE"""),4329132.0)</f>
        <v>4329132</v>
      </c>
      <c r="C1257" s="65" t="str">
        <f>IFERROR(__xludf.DUMMYFUNCTION("""COMPUTED_VALUE"""),"08:34")</f>
        <v>08:34</v>
      </c>
      <c r="D1257" s="65" t="str">
        <f>IFERROR(__xludf.DUMMYFUNCTION("""COMPUTED_VALUE"""),"30-01-2026")</f>
        <v>30-01-2026</v>
      </c>
      <c r="E1257" s="65" t="str">
        <f>IFERROR(__xludf.DUMMYFUNCTION("""COMPUTED_VALUE"""),"JUAN CARLOS PEREZ")</f>
        <v>JUAN CARLOS PEREZ</v>
      </c>
      <c r="F1257" s="65" t="str">
        <f>IFERROR(__xludf.DUMMYFUNCTION("""COMPUTED_VALUE"""),"999428549")</f>
        <v>999428549</v>
      </c>
      <c r="G1257" s="65" t="str">
        <f>IFERROR(__xludf.DUMMYFUNCTION("""COMPUTED_VALUE"""),"jucapelagye@gmail.com")</f>
        <v>jucapelagye@gmail.com</v>
      </c>
      <c r="H1257" s="65"/>
      <c r="I1257" s="65"/>
      <c r="J1257" s="65" t="str">
        <f>IFERROR(__xludf.DUMMYFUNCTION("""COMPUTED_VALUE"""),"D001288614")</f>
        <v>D001288614</v>
      </c>
      <c r="K1257" s="65" t="str">
        <f>IFERROR(__xludf.DUMMYFUNCTION("""COMPUTED_VALUE"""),"ENTREGADO")</f>
        <v>ENTREGADO</v>
      </c>
      <c r="L1257" s="65" t="str">
        <f>IFERROR(__xludf.DUMMYFUNCTION("""COMPUTED_VALUE"""),"CON RECAUDO")</f>
        <v>CON RECAUDO</v>
      </c>
      <c r="M1257" s="65" t="str">
        <f>IFERROR(__xludf.DUMMYFUNCTION("""COMPUTED_VALUE"""),"GUAYAS")</f>
        <v>GUAYAS</v>
      </c>
      <c r="N1257" s="65" t="str">
        <f>IFERROR(__xludf.DUMMYFUNCTION("""COMPUTED_VALUE"""),"GUAYAQUIL")</f>
        <v>GUAYAQUIL</v>
      </c>
      <c r="O1257" s="65" t="str">
        <f>IFERROR(__xludf.DUMMYFUNCTION("""COMPUTED_VALUE"""),"CDLA.GUAYACANES MZ 109A V 8 SECTOR CNT PORTON BLANCO FRENTE ASADERO CHANITO -")</f>
        <v>CDLA.GUAYACANES MZ 109A V 8 SECTOR CNT PORTON BLANCO FRENTE ASADERO CHANITO -</v>
      </c>
      <c r="P1257" s="65"/>
      <c r="Q1257" s="65" t="str">
        <f>IFERROR(__xludf.DUMMYFUNCTION("""COMPUTED_VALUE"""),"GINTRACOM")</f>
        <v>GINTRACOM</v>
      </c>
      <c r="R1257" s="65">
        <f>IFERROR(__xludf.DUMMYFUNCTION("""COMPUTED_VALUE"""),30.0)</f>
        <v>30</v>
      </c>
      <c r="S1257" s="65">
        <f>IFERROR(__xludf.DUMMYFUNCTION("""COMPUTED_VALUE"""),16.79)</f>
        <v>16.79</v>
      </c>
      <c r="T1257" s="65">
        <f>IFERROR(__xludf.DUMMYFUNCTION("""COMPUTED_VALUE"""),6.16)</f>
        <v>6.16</v>
      </c>
      <c r="U1257" s="65">
        <f>IFERROR(__xludf.DUMMYFUNCTION("""COMPUTED_VALUE"""),0.0)</f>
        <v>0</v>
      </c>
      <c r="V1257" s="65">
        <f>IFERROR(__xludf.DUMMYFUNCTION("""COMPUTED_VALUE"""),0.0)</f>
        <v>0</v>
      </c>
      <c r="W1257" s="65">
        <f>IFERROR(__xludf.DUMMYFUNCTION("""COMPUTED_VALUE"""),0.0)</f>
        <v>0</v>
      </c>
      <c r="X1257" s="65">
        <f>IFERROR(__xludf.DUMMYFUNCTION("""COMPUTED_VALUE"""),2.35)</f>
        <v>2.35</v>
      </c>
      <c r="Y1257" s="65">
        <f>IFERROR(__xludf.DUMMYFUNCTION("""COMPUTED_VALUE"""),7.05)</f>
        <v>7.05</v>
      </c>
      <c r="Z1257" s="65">
        <f>IFERROR(__xludf.DUMMYFUNCTION("""COMPUTED_VALUE"""),116679.0)</f>
        <v>116679</v>
      </c>
      <c r="AA1257" s="65" t="str">
        <f>IFERROR(__xludf.DUMMYFUNCTION("""COMPUTED_VALUE"""),"AMC-2738")</f>
        <v>AMC-2738</v>
      </c>
      <c r="AB1257" s="65"/>
      <c r="AC1257" s="65" t="str">
        <f>IFERROR(__xludf.DUMMYFUNCTION("""COMPUTED_VALUE"""),"ESPONJA ANTILLUVIA DE PARABRISAS")</f>
        <v>ESPONJA ANTILLUVIA DE PARABRISAS</v>
      </c>
      <c r="AD1257" s="65"/>
      <c r="AE1257" s="65">
        <f>IFERROR(__xludf.DUMMYFUNCTION("""COMPUTED_VALUE"""),3.0)</f>
        <v>3</v>
      </c>
      <c r="AF1257" s="65"/>
      <c r="AG1257" s="65"/>
      <c r="AH1257" s="65"/>
      <c r="AI1257" s="65"/>
      <c r="AJ1257" s="65"/>
      <c r="AK1257" s="65"/>
      <c r="AL1257" s="65"/>
      <c r="AM1257" s="65"/>
      <c r="AN1257" s="65"/>
      <c r="AO1257" s="65"/>
      <c r="AP1257" s="65"/>
      <c r="AQ1257" s="65"/>
      <c r="AR1257" s="65"/>
      <c r="AS1257" s="65"/>
      <c r="AT1257" s="65" t="str">
        <f>IFERROR(__xludf.DUMMYFUNCTION("""COMPUTED_VALUE"""),"SHOPIFY")</f>
        <v>SHOPIFY</v>
      </c>
      <c r="AU1257" s="65" t="str">
        <f>IFERROR(__xludf.DUMMYFUNCTION("""COMPUTED_VALUE"""),"IMPORTEX EC")</f>
        <v>IMPORTEX EC</v>
      </c>
      <c r="AV1257" s="65" t="str">
        <f>IFERROR(__xludf.DUMMYFUNCTION("""COMPUTED_VALUE"""),"6461881974828")</f>
        <v>6461881974828</v>
      </c>
      <c r="AW1257" s="65">
        <f>IFERROR(__xludf.DUMMYFUNCTION("""COMPUTED_VALUE"""),5647.0)</f>
        <v>5647</v>
      </c>
      <c r="AX1257" s="65"/>
      <c r="AY1257" s="65" t="str">
        <f>IFERROR(__xludf.DUMMYFUNCTION("""COMPUTED_VALUE"""),"02/02/2026")</f>
        <v>02/02/2026</v>
      </c>
      <c r="AZ1257" s="65"/>
      <c r="BA1257" s="65"/>
    </row>
    <row r="1258">
      <c r="A1258" s="65" t="str">
        <f>IFERROR(__xludf.DUMMYFUNCTION("""COMPUTED_VALUE"""),"27-03-2026")</f>
        <v>27-03-2026</v>
      </c>
      <c r="B1258" s="65">
        <f>IFERROR(__xludf.DUMMYFUNCTION("""COMPUTED_VALUE"""),4328879.0)</f>
        <v>4328879</v>
      </c>
      <c r="C1258" s="65" t="str">
        <f>IFERROR(__xludf.DUMMYFUNCTION("""COMPUTED_VALUE"""),"08:16")</f>
        <v>08:16</v>
      </c>
      <c r="D1258" s="65" t="str">
        <f>IFERROR(__xludf.DUMMYFUNCTION("""COMPUTED_VALUE"""),"30-01-2026")</f>
        <v>30-01-2026</v>
      </c>
      <c r="E1258" s="65" t="str">
        <f>IFERROR(__xludf.DUMMYFUNCTION("""COMPUTED_VALUE"""),"Dario Aguirre")</f>
        <v>Dario Aguirre</v>
      </c>
      <c r="F1258" s="65" t="str">
        <f>IFERROR(__xludf.DUMMYFUNCTION("""COMPUTED_VALUE"""),"984836043")</f>
        <v>984836043</v>
      </c>
      <c r="G1258" s="65" t="str">
        <f>IFERROR(__xludf.DUMMYFUNCTION("""COMPUTED_VALUE"""),"dario.javier.aguirre1706@gmail.com")</f>
        <v>dario.javier.aguirre1706@gmail.com</v>
      </c>
      <c r="H1258" s="65"/>
      <c r="I1258" s="65"/>
      <c r="J1258" s="65" t="str">
        <f>IFERROR(__xludf.DUMMYFUNCTION("""COMPUTED_VALUE"""),"D001288615")</f>
        <v>D001288615</v>
      </c>
      <c r="K1258" s="65" t="str">
        <f>IFERROR(__xludf.DUMMYFUNCTION("""COMPUTED_VALUE"""),"ENTREGADO")</f>
        <v>ENTREGADO</v>
      </c>
      <c r="L1258" s="65" t="str">
        <f>IFERROR(__xludf.DUMMYFUNCTION("""COMPUTED_VALUE"""),"CON RECAUDO")</f>
        <v>CON RECAUDO</v>
      </c>
      <c r="M1258" s="65" t="str">
        <f>IFERROR(__xludf.DUMMYFUNCTION("""COMPUTED_VALUE"""),"AZUAY")</f>
        <v>AZUAY</v>
      </c>
      <c r="N1258" s="65" t="str">
        <f>IFERROR(__xludf.DUMMYFUNCTION("""COMPUTED_VALUE"""),"CUENCA")</f>
        <v>CUENCA</v>
      </c>
      <c r="O1258" s="65" t="str">
        <f>IFERROR(__xludf.DUMMYFUNCTION("""COMPUTED_VALUE"""),"Av españa 406 y calle Madrid (RAM AUTOS) Frente al terminal terrestre -")</f>
        <v>Av españa 406 y calle Madrid (RAM AUTOS) Frente al terminal terrestre -</v>
      </c>
      <c r="P1258" s="65"/>
      <c r="Q1258" s="65" t="str">
        <f>IFERROR(__xludf.DUMMYFUNCTION("""COMPUTED_VALUE"""),"GINTRACOM")</f>
        <v>GINTRACOM</v>
      </c>
      <c r="R1258" s="65">
        <f>IFERROR(__xludf.DUMMYFUNCTION("""COMPUTED_VALUE"""),30.0)</f>
        <v>30</v>
      </c>
      <c r="S1258" s="65">
        <f>IFERROR(__xludf.DUMMYFUNCTION("""COMPUTED_VALUE"""),16.79)</f>
        <v>16.79</v>
      </c>
      <c r="T1258" s="65">
        <f>IFERROR(__xludf.DUMMYFUNCTION("""COMPUTED_VALUE"""),6.16)</f>
        <v>6.16</v>
      </c>
      <c r="U1258" s="65">
        <f>IFERROR(__xludf.DUMMYFUNCTION("""COMPUTED_VALUE"""),0.0)</f>
        <v>0</v>
      </c>
      <c r="V1258" s="65">
        <f>IFERROR(__xludf.DUMMYFUNCTION("""COMPUTED_VALUE"""),0.0)</f>
        <v>0</v>
      </c>
      <c r="W1258" s="65">
        <f>IFERROR(__xludf.DUMMYFUNCTION("""COMPUTED_VALUE"""),0.0)</f>
        <v>0</v>
      </c>
      <c r="X1258" s="65">
        <f>IFERROR(__xludf.DUMMYFUNCTION("""COMPUTED_VALUE"""),2.35)</f>
        <v>2.35</v>
      </c>
      <c r="Y1258" s="65">
        <f>IFERROR(__xludf.DUMMYFUNCTION("""COMPUTED_VALUE"""),7.05)</f>
        <v>7.05</v>
      </c>
      <c r="Z1258" s="65">
        <f>IFERROR(__xludf.DUMMYFUNCTION("""COMPUTED_VALUE"""),116679.0)</f>
        <v>116679</v>
      </c>
      <c r="AA1258" s="65" t="str">
        <f>IFERROR(__xludf.DUMMYFUNCTION("""COMPUTED_VALUE"""),"AMC-2738")</f>
        <v>AMC-2738</v>
      </c>
      <c r="AB1258" s="65"/>
      <c r="AC1258" s="65" t="str">
        <f>IFERROR(__xludf.DUMMYFUNCTION("""COMPUTED_VALUE"""),"ESPONJA ANTILLUVIA DE PARABRISAS")</f>
        <v>ESPONJA ANTILLUVIA DE PARABRISAS</v>
      </c>
      <c r="AD1258" s="65"/>
      <c r="AE1258" s="65">
        <f>IFERROR(__xludf.DUMMYFUNCTION("""COMPUTED_VALUE"""),3.0)</f>
        <v>3</v>
      </c>
      <c r="AF1258" s="65"/>
      <c r="AG1258" s="65"/>
      <c r="AH1258" s="65"/>
      <c r="AI1258" s="65"/>
      <c r="AJ1258" s="65"/>
      <c r="AK1258" s="65"/>
      <c r="AL1258" s="65"/>
      <c r="AM1258" s="65"/>
      <c r="AN1258" s="65"/>
      <c r="AO1258" s="65"/>
      <c r="AP1258" s="65"/>
      <c r="AQ1258" s="65"/>
      <c r="AR1258" s="65"/>
      <c r="AS1258" s="65"/>
      <c r="AT1258" s="65" t="str">
        <f>IFERROR(__xludf.DUMMYFUNCTION("""COMPUTED_VALUE"""),"SHOPIFY")</f>
        <v>SHOPIFY</v>
      </c>
      <c r="AU1258" s="65" t="str">
        <f>IFERROR(__xludf.DUMMYFUNCTION("""COMPUTED_VALUE"""),"IMPORTEX EC")</f>
        <v>IMPORTEX EC</v>
      </c>
      <c r="AV1258" s="65" t="str">
        <f>IFERROR(__xludf.DUMMYFUNCTION("""COMPUTED_VALUE"""),"6461841244204")</f>
        <v>6461841244204</v>
      </c>
      <c r="AW1258" s="65">
        <f>IFERROR(__xludf.DUMMYFUNCTION("""COMPUTED_VALUE"""),5646.0)</f>
        <v>5646</v>
      </c>
      <c r="AX1258" s="65"/>
      <c r="AY1258" s="65" t="str">
        <f>IFERROR(__xludf.DUMMYFUNCTION("""COMPUTED_VALUE"""),"02/02/2026")</f>
        <v>02/02/2026</v>
      </c>
      <c r="AZ1258" s="65"/>
      <c r="BA1258" s="65"/>
    </row>
    <row r="1259">
      <c r="A1259" s="65" t="str">
        <f>IFERROR(__xludf.DUMMYFUNCTION("""COMPUTED_VALUE"""),"27-03-2026")</f>
        <v>27-03-2026</v>
      </c>
      <c r="B1259" s="65">
        <f>IFERROR(__xludf.DUMMYFUNCTION("""COMPUTED_VALUE"""),4328571.0)</f>
        <v>4328571</v>
      </c>
      <c r="C1259" s="65" t="str">
        <f>IFERROR(__xludf.DUMMYFUNCTION("""COMPUTED_VALUE"""),"07:42")</f>
        <v>07:42</v>
      </c>
      <c r="D1259" s="65" t="str">
        <f>IFERROR(__xludf.DUMMYFUNCTION("""COMPUTED_VALUE"""),"30-01-2026")</f>
        <v>30-01-2026</v>
      </c>
      <c r="E1259" s="65" t="str">
        <f>IFERROR(__xludf.DUMMYFUNCTION("""COMPUTED_VALUE"""),"Carmen Sanchez")</f>
        <v>Carmen Sanchez</v>
      </c>
      <c r="F1259" s="65" t="str">
        <f>IFERROR(__xludf.DUMMYFUNCTION("""COMPUTED_VALUE"""),"999427610")</f>
        <v>999427610</v>
      </c>
      <c r="G1259" s="65" t="str">
        <f>IFERROR(__xludf.DUMMYFUNCTION("""COMPUTED_VALUE"""),"carmens@gasrios.com")</f>
        <v>carmens@gasrios.com</v>
      </c>
      <c r="H1259" s="65"/>
      <c r="I1259" s="65"/>
      <c r="J1259" s="65" t="str">
        <f>IFERROR(__xludf.DUMMYFUNCTION("""COMPUTED_VALUE"""),"D001290795")</f>
        <v>D001290795</v>
      </c>
      <c r="K1259" s="65" t="str">
        <f>IFERROR(__xludf.DUMMYFUNCTION("""COMPUTED_VALUE"""),"ENTREGADO")</f>
        <v>ENTREGADO</v>
      </c>
      <c r="L1259" s="65" t="str">
        <f>IFERROR(__xludf.DUMMYFUNCTION("""COMPUTED_VALUE"""),"CON RECAUDO")</f>
        <v>CON RECAUDO</v>
      </c>
      <c r="M1259" s="65" t="str">
        <f>IFERROR(__xludf.DUMMYFUNCTION("""COMPUTED_VALUE"""),"AZUAY")</f>
        <v>AZUAY</v>
      </c>
      <c r="N1259" s="65" t="str">
        <f>IFERROR(__xludf.DUMMYFUNCTION("""COMPUTED_VALUE"""),"CUENCA")</f>
        <v>CUENCA</v>
      </c>
      <c r="O1259" s="65" t="str">
        <f>IFERROR(__xludf.DUMMYFUNCTION("""COMPUTED_VALUE"""),"Calle principal: av 12 de octubre y Francisco de quevedo  oficina de la gasolinera pys Parque iberia -")</f>
        <v>Calle principal: av 12 de octubre y Francisco de quevedo  oficina de la gasolinera pys Parque iberia -</v>
      </c>
      <c r="P1259" s="65"/>
      <c r="Q1259" s="65" t="str">
        <f>IFERROR(__xludf.DUMMYFUNCTION("""COMPUTED_VALUE"""),"GINTRACOM")</f>
        <v>GINTRACOM</v>
      </c>
      <c r="R1259" s="65">
        <f>IFERROR(__xludf.DUMMYFUNCTION("""COMPUTED_VALUE"""),22.0)</f>
        <v>22</v>
      </c>
      <c r="S1259" s="65">
        <f>IFERROR(__xludf.DUMMYFUNCTION("""COMPUTED_VALUE"""),10.96)</f>
        <v>10.96</v>
      </c>
      <c r="T1259" s="65">
        <f>IFERROR(__xludf.DUMMYFUNCTION("""COMPUTED_VALUE"""),5.84)</f>
        <v>5.84</v>
      </c>
      <c r="U1259" s="65">
        <f>IFERROR(__xludf.DUMMYFUNCTION("""COMPUTED_VALUE"""),0.0)</f>
        <v>0</v>
      </c>
      <c r="V1259" s="65">
        <f>IFERROR(__xludf.DUMMYFUNCTION("""COMPUTED_VALUE"""),0.0)</f>
        <v>0</v>
      </c>
      <c r="W1259" s="65">
        <f>IFERROR(__xludf.DUMMYFUNCTION("""COMPUTED_VALUE"""),0.0)</f>
        <v>0</v>
      </c>
      <c r="X1259" s="65">
        <f>IFERROR(__xludf.DUMMYFUNCTION("""COMPUTED_VALUE"""),2.6)</f>
        <v>2.6</v>
      </c>
      <c r="Y1259" s="65">
        <f>IFERROR(__xludf.DUMMYFUNCTION("""COMPUTED_VALUE"""),5.2)</f>
        <v>5.2</v>
      </c>
      <c r="Z1259" s="65">
        <f>IFERROR(__xludf.DUMMYFUNCTION("""COMPUTED_VALUE"""),121983.0)</f>
        <v>121983</v>
      </c>
      <c r="AA1259" s="65" t="str">
        <f>IFERROR(__xludf.DUMMYFUNCTION("""COMPUTED_VALUE"""),"PROV-CHLLCF")</f>
        <v>PROV-CHLLCF</v>
      </c>
      <c r="AB1259" s="65"/>
      <c r="AC1259" s="65" t="str">
        <f>IFERROR(__xludf.DUMMYFUNCTION("""COMPUTED_VALUE"""),"CUCHILLO PARA CHEF")</f>
        <v>CUCHILLO PARA CHEF</v>
      </c>
      <c r="AD1259" s="65"/>
      <c r="AE1259" s="65">
        <f>IFERROR(__xludf.DUMMYFUNCTION("""COMPUTED_VALUE"""),2.0)</f>
        <v>2</v>
      </c>
      <c r="AF1259" s="65"/>
      <c r="AG1259" s="65"/>
      <c r="AH1259" s="65"/>
      <c r="AI1259" s="65"/>
      <c r="AJ1259" s="65"/>
      <c r="AK1259" s="65"/>
      <c r="AL1259" s="65"/>
      <c r="AM1259" s="65"/>
      <c r="AN1259" s="65"/>
      <c r="AO1259" s="65"/>
      <c r="AP1259" s="65"/>
      <c r="AQ1259" s="65"/>
      <c r="AR1259" s="65"/>
      <c r="AS1259" s="65"/>
      <c r="AT1259" s="65" t="str">
        <f>IFERROR(__xludf.DUMMYFUNCTION("""COMPUTED_VALUE"""),"SHOPIFY")</f>
        <v>SHOPIFY</v>
      </c>
      <c r="AU1259" s="65" t="str">
        <f>IFERROR(__xludf.DUMMYFUNCTION("""COMPUTED_VALUE"""),"IMPORTEX EC")</f>
        <v>IMPORTEX EC</v>
      </c>
      <c r="AV1259" s="65" t="str">
        <f>IFERROR(__xludf.DUMMYFUNCTION("""COMPUTED_VALUE"""),"6461799923756")</f>
        <v>6461799923756</v>
      </c>
      <c r="AW1259" s="65">
        <f>IFERROR(__xludf.DUMMYFUNCTION("""COMPUTED_VALUE"""),5645.0)</f>
        <v>5645</v>
      </c>
      <c r="AX1259" s="65"/>
      <c r="AY1259" s="65" t="str">
        <f>IFERROR(__xludf.DUMMYFUNCTION("""COMPUTED_VALUE"""),"03/02/2026")</f>
        <v>03/02/2026</v>
      </c>
      <c r="AZ1259" s="65"/>
      <c r="BA1259" s="65"/>
    </row>
    <row r="1260">
      <c r="A1260" s="65" t="str">
        <f>IFERROR(__xludf.DUMMYFUNCTION("""COMPUTED_VALUE"""),"27-03-2026")</f>
        <v>27-03-2026</v>
      </c>
      <c r="B1260" s="65">
        <f>IFERROR(__xludf.DUMMYFUNCTION("""COMPUTED_VALUE"""),4327857.0)</f>
        <v>4327857</v>
      </c>
      <c r="C1260" s="65" t="str">
        <f>IFERROR(__xludf.DUMMYFUNCTION("""COMPUTED_VALUE"""),"05:08")</f>
        <v>05:08</v>
      </c>
      <c r="D1260" s="65" t="str">
        <f>IFERROR(__xludf.DUMMYFUNCTION("""COMPUTED_VALUE"""),"30-01-2026")</f>
        <v>30-01-2026</v>
      </c>
      <c r="E1260" s="65" t="str">
        <f>IFERROR(__xludf.DUMMYFUNCTION("""COMPUTED_VALUE"""),"Nestor Salazar")</f>
        <v>Nestor Salazar</v>
      </c>
      <c r="F1260" s="65" t="str">
        <f>IFERROR(__xludf.DUMMYFUNCTION("""COMPUTED_VALUE"""),"993985987")</f>
        <v>993985987</v>
      </c>
      <c r="G1260" s="65" t="str">
        <f>IFERROR(__xludf.DUMMYFUNCTION("""COMPUTED_VALUE"""),"nealsamu@hotmail.com")</f>
        <v>nealsamu@hotmail.com</v>
      </c>
      <c r="H1260" s="65"/>
      <c r="I1260" s="65"/>
      <c r="J1260" s="65" t="str">
        <f>IFERROR(__xludf.DUMMYFUNCTION("""COMPUTED_VALUE"""),"D001288616")</f>
        <v>D001288616</v>
      </c>
      <c r="K1260" s="65" t="str">
        <f>IFERROR(__xludf.DUMMYFUNCTION("""COMPUTED_VALUE"""),"ENTREGADO")</f>
        <v>ENTREGADO</v>
      </c>
      <c r="L1260" s="65" t="str">
        <f>IFERROR(__xludf.DUMMYFUNCTION("""COMPUTED_VALUE"""),"CON RECAUDO")</f>
        <v>CON RECAUDO</v>
      </c>
      <c r="M1260" s="65" t="str">
        <f>IFERROR(__xludf.DUMMYFUNCTION("""COMPUTED_VALUE"""),"GUAYAS")</f>
        <v>GUAYAS</v>
      </c>
      <c r="N1260" s="65" t="str">
        <f>IFERROR(__xludf.DUMMYFUNCTION("""COMPUTED_VALUE"""),"SAMBORONDON")</f>
        <v>SAMBORONDON</v>
      </c>
      <c r="O1260" s="65" t="str">
        <f>IFERROR(__xludf.DUMMYFUNCTION("""COMPUTED_VALUE"""),"Vía a Samborondón Km 13.5 -")</f>
        <v>Vía a Samborondón Km 13.5 -</v>
      </c>
      <c r="P1260" s="65"/>
      <c r="Q1260" s="65" t="str">
        <f>IFERROR(__xludf.DUMMYFUNCTION("""COMPUTED_VALUE"""),"GINTRACOM")</f>
        <v>GINTRACOM</v>
      </c>
      <c r="R1260" s="65">
        <f>IFERROR(__xludf.DUMMYFUNCTION("""COMPUTED_VALUE"""),25.0)</f>
        <v>25</v>
      </c>
      <c r="S1260" s="65">
        <f>IFERROR(__xludf.DUMMYFUNCTION("""COMPUTED_VALUE"""),14.34)</f>
        <v>14.34</v>
      </c>
      <c r="T1260" s="65">
        <f>IFERROR(__xludf.DUMMYFUNCTION("""COMPUTED_VALUE"""),5.96)</f>
        <v>5.96</v>
      </c>
      <c r="U1260" s="65">
        <f>IFERROR(__xludf.DUMMYFUNCTION("""COMPUTED_VALUE"""),0.0)</f>
        <v>0</v>
      </c>
      <c r="V1260" s="65">
        <f>IFERROR(__xludf.DUMMYFUNCTION("""COMPUTED_VALUE"""),0.0)</f>
        <v>0</v>
      </c>
      <c r="W1260" s="65">
        <f>IFERROR(__xludf.DUMMYFUNCTION("""COMPUTED_VALUE"""),0.0)</f>
        <v>0</v>
      </c>
      <c r="X1260" s="65">
        <f>IFERROR(__xludf.DUMMYFUNCTION("""COMPUTED_VALUE"""),2.35)</f>
        <v>2.35</v>
      </c>
      <c r="Y1260" s="65">
        <f>IFERROR(__xludf.DUMMYFUNCTION("""COMPUTED_VALUE"""),4.7)</f>
        <v>4.7</v>
      </c>
      <c r="Z1260" s="65">
        <f>IFERROR(__xludf.DUMMYFUNCTION("""COMPUTED_VALUE"""),116679.0)</f>
        <v>116679</v>
      </c>
      <c r="AA1260" s="65" t="str">
        <f>IFERROR(__xludf.DUMMYFUNCTION("""COMPUTED_VALUE"""),"AMC-2738")</f>
        <v>AMC-2738</v>
      </c>
      <c r="AB1260" s="65"/>
      <c r="AC1260" s="65" t="str">
        <f>IFERROR(__xludf.DUMMYFUNCTION("""COMPUTED_VALUE"""),"ESPONJA ANTILLUVIA DE PARABRISAS")</f>
        <v>ESPONJA ANTILLUVIA DE PARABRISAS</v>
      </c>
      <c r="AD1260" s="65"/>
      <c r="AE1260" s="65">
        <f>IFERROR(__xludf.DUMMYFUNCTION("""COMPUTED_VALUE"""),2.0)</f>
        <v>2</v>
      </c>
      <c r="AF1260" s="65"/>
      <c r="AG1260" s="65"/>
      <c r="AH1260" s="65"/>
      <c r="AI1260" s="65"/>
      <c r="AJ1260" s="65"/>
      <c r="AK1260" s="65"/>
      <c r="AL1260" s="65"/>
      <c r="AM1260" s="65"/>
      <c r="AN1260" s="65" t="str">
        <f>IFERROR(__xludf.DUMMYFUNCTION("""COMPUTED_VALUE"""),"12:14")</f>
        <v>12:14</v>
      </c>
      <c r="AO1260" s="65" t="str">
        <f>IFERROR(__xludf.DUMMYFUNCTION("""COMPUTED_VALUE"""),"09-02-2026")</f>
        <v>09-02-2026</v>
      </c>
      <c r="AP1260" s="65" t="str">
        <f>IFERROR(__xludf.DUMMYFUNCTION("""COMPUTED_VALUE"""),"ENTREGADA GINTRACOM")</f>
        <v>ENTREGADA GINTRACOM</v>
      </c>
      <c r="AQ1260" s="65" t="str">
        <f>IFERROR(__xludf.DUMMYFUNCTION("""COMPUTED_VALUE"""),"ENTREGADA GINTRACOM")</f>
        <v>ENTREGADA GINTRACOM</v>
      </c>
      <c r="AR1260" s="65"/>
      <c r="AS1260" s="65"/>
      <c r="AT1260" s="65" t="str">
        <f>IFERROR(__xludf.DUMMYFUNCTION("""COMPUTED_VALUE"""),"SHOPIFY")</f>
        <v>SHOPIFY</v>
      </c>
      <c r="AU1260" s="65" t="str">
        <f>IFERROR(__xludf.DUMMYFUNCTION("""COMPUTED_VALUE"""),"IMPORTEX EC")</f>
        <v>IMPORTEX EC</v>
      </c>
      <c r="AV1260" s="65" t="str">
        <f>IFERROR(__xludf.DUMMYFUNCTION("""COMPUTED_VALUE"""),"6461697818668")</f>
        <v>6461697818668</v>
      </c>
      <c r="AW1260" s="65">
        <f>IFERROR(__xludf.DUMMYFUNCTION("""COMPUTED_VALUE"""),5644.0)</f>
        <v>5644</v>
      </c>
      <c r="AX1260" s="65"/>
      <c r="AY1260" s="65" t="str">
        <f>IFERROR(__xludf.DUMMYFUNCTION("""COMPUTED_VALUE"""),"02/02/2026")</f>
        <v>02/02/2026</v>
      </c>
      <c r="AZ1260" s="65"/>
      <c r="BA1260" s="65"/>
    </row>
    <row r="1261">
      <c r="A1261" s="65" t="str">
        <f>IFERROR(__xludf.DUMMYFUNCTION("""COMPUTED_VALUE"""),"27-03-2026")</f>
        <v>27-03-2026</v>
      </c>
      <c r="B1261" s="65">
        <f>IFERROR(__xludf.DUMMYFUNCTION("""COMPUTED_VALUE"""),4327073.0)</f>
        <v>4327073</v>
      </c>
      <c r="C1261" s="65" t="str">
        <f>IFERROR(__xludf.DUMMYFUNCTION("""COMPUTED_VALUE"""),"23:49")</f>
        <v>23:49</v>
      </c>
      <c r="D1261" s="65" t="str">
        <f>IFERROR(__xludf.DUMMYFUNCTION("""COMPUTED_VALUE"""),"29-01-2026")</f>
        <v>29-01-2026</v>
      </c>
      <c r="E1261" s="65" t="str">
        <f>IFERROR(__xludf.DUMMYFUNCTION("""COMPUTED_VALUE"""),"Jesus Rodriguez")</f>
        <v>Jesus Rodriguez</v>
      </c>
      <c r="F1261" s="65" t="str">
        <f>IFERROR(__xludf.DUMMYFUNCTION("""COMPUTED_VALUE"""),"978812916")</f>
        <v>978812916</v>
      </c>
      <c r="G1261" s="65" t="str">
        <f>IFERROR(__xludf.DUMMYFUNCTION("""COMPUTED_VALUE"""),"informaticoerb2@gmail.com")</f>
        <v>informaticoerb2@gmail.com</v>
      </c>
      <c r="H1261" s="65"/>
      <c r="I1261" s="65"/>
      <c r="J1261" s="65" t="str">
        <f>IFERROR(__xludf.DUMMYFUNCTION("""COMPUTED_VALUE"""),"D001288617")</f>
        <v>D001288617</v>
      </c>
      <c r="K1261" s="65" t="str">
        <f>IFERROR(__xludf.DUMMYFUNCTION("""COMPUTED_VALUE"""),"ENTREGADO")</f>
        <v>ENTREGADO</v>
      </c>
      <c r="L1261" s="65" t="str">
        <f>IFERROR(__xludf.DUMMYFUNCTION("""COMPUTED_VALUE"""),"CON RECAUDO")</f>
        <v>CON RECAUDO</v>
      </c>
      <c r="M1261" s="65" t="str">
        <f>IFERROR(__xludf.DUMMYFUNCTION("""COMPUTED_VALUE"""),"MANABI")</f>
        <v>MANABI</v>
      </c>
      <c r="N1261" s="65" t="str">
        <f>IFERROR(__xludf.DUMMYFUNCTION("""COMPUTED_VALUE"""),"CHONE")</f>
        <v>CHONE</v>
      </c>
      <c r="O1261" s="65" t="str">
        <f>IFERROR(__xludf.DUMMYFUNCTION("""COMPUTED_VALUE"""),"Zona movil Av bolívar,  con calle pichincha al lado de oro hasta y farmacias economicas -")</f>
        <v>Zona movil Av bolívar,  con calle pichincha al lado de oro hasta y farmacias economicas -</v>
      </c>
      <c r="P1261" s="65"/>
      <c r="Q1261" s="65" t="str">
        <f>IFERROR(__xludf.DUMMYFUNCTION("""COMPUTED_VALUE"""),"GINTRACOM")</f>
        <v>GINTRACOM</v>
      </c>
      <c r="R1261" s="65">
        <f>IFERROR(__xludf.DUMMYFUNCTION("""COMPUTED_VALUE"""),30.0)</f>
        <v>30</v>
      </c>
      <c r="S1261" s="65">
        <f>IFERROR(__xludf.DUMMYFUNCTION("""COMPUTED_VALUE"""),16.79)</f>
        <v>16.79</v>
      </c>
      <c r="T1261" s="65">
        <f>IFERROR(__xludf.DUMMYFUNCTION("""COMPUTED_VALUE"""),6.16)</f>
        <v>6.16</v>
      </c>
      <c r="U1261" s="65">
        <f>IFERROR(__xludf.DUMMYFUNCTION("""COMPUTED_VALUE"""),0.0)</f>
        <v>0</v>
      </c>
      <c r="V1261" s="65">
        <f>IFERROR(__xludf.DUMMYFUNCTION("""COMPUTED_VALUE"""),0.0)</f>
        <v>0</v>
      </c>
      <c r="W1261" s="65">
        <f>IFERROR(__xludf.DUMMYFUNCTION("""COMPUTED_VALUE"""),0.0)</f>
        <v>0</v>
      </c>
      <c r="X1261" s="65">
        <f>IFERROR(__xludf.DUMMYFUNCTION("""COMPUTED_VALUE"""),2.35)</f>
        <v>2.35</v>
      </c>
      <c r="Y1261" s="65">
        <f>IFERROR(__xludf.DUMMYFUNCTION("""COMPUTED_VALUE"""),7.05)</f>
        <v>7.05</v>
      </c>
      <c r="Z1261" s="65">
        <f>IFERROR(__xludf.DUMMYFUNCTION("""COMPUTED_VALUE"""),116679.0)</f>
        <v>116679</v>
      </c>
      <c r="AA1261" s="65" t="str">
        <f>IFERROR(__xludf.DUMMYFUNCTION("""COMPUTED_VALUE"""),"AMC-2738")</f>
        <v>AMC-2738</v>
      </c>
      <c r="AB1261" s="65"/>
      <c r="AC1261" s="65" t="str">
        <f>IFERROR(__xludf.DUMMYFUNCTION("""COMPUTED_VALUE"""),"ESPONJA ANTILLUVIA DE PARABRISAS")</f>
        <v>ESPONJA ANTILLUVIA DE PARABRISAS</v>
      </c>
      <c r="AD1261" s="65"/>
      <c r="AE1261" s="65">
        <f>IFERROR(__xludf.DUMMYFUNCTION("""COMPUTED_VALUE"""),3.0)</f>
        <v>3</v>
      </c>
      <c r="AF1261" s="65"/>
      <c r="AG1261" s="65"/>
      <c r="AH1261" s="65"/>
      <c r="AI1261" s="65"/>
      <c r="AJ1261" s="65"/>
      <c r="AK1261" s="65"/>
      <c r="AL1261" s="65"/>
      <c r="AM1261" s="65"/>
      <c r="AN1261" s="65" t="str">
        <f>IFERROR(__xludf.DUMMYFUNCTION("""COMPUTED_VALUE"""),"01:31")</f>
        <v>01:31</v>
      </c>
      <c r="AO1261" s="65" t="str">
        <f>IFERROR(__xludf.DUMMYFUNCTION("""COMPUTED_VALUE"""),"07-02-2026")</f>
        <v>07-02-2026</v>
      </c>
      <c r="AP1261" s="65" t="str">
        <f>IFERROR(__xludf.DUMMYFUNCTION("""COMPUTED_VALUE"""),"ENTREGADA GINTRACOM")</f>
        <v>ENTREGADA GINTRACOM</v>
      </c>
      <c r="AQ1261" s="65" t="str">
        <f>IFERROR(__xludf.DUMMYFUNCTION("""COMPUTED_VALUE"""),"ENTREGADA GINTRACOM")</f>
        <v>ENTREGADA GINTRACOM</v>
      </c>
      <c r="AR1261" s="65"/>
      <c r="AS1261" s="65"/>
      <c r="AT1261" s="65" t="str">
        <f>IFERROR(__xludf.DUMMYFUNCTION("""COMPUTED_VALUE"""),"SHOPIFY")</f>
        <v>SHOPIFY</v>
      </c>
      <c r="AU1261" s="65" t="str">
        <f>IFERROR(__xludf.DUMMYFUNCTION("""COMPUTED_VALUE"""),"IMPORTEX EC")</f>
        <v>IMPORTEX EC</v>
      </c>
      <c r="AV1261" s="65" t="str">
        <f>IFERROR(__xludf.DUMMYFUNCTION("""COMPUTED_VALUE"""),"6461263183916")</f>
        <v>6461263183916</v>
      </c>
      <c r="AW1261" s="65">
        <f>IFERROR(__xludf.DUMMYFUNCTION("""COMPUTED_VALUE"""),5642.0)</f>
        <v>5642</v>
      </c>
      <c r="AX1261" s="65"/>
      <c r="AY1261" s="65" t="str">
        <f>IFERROR(__xludf.DUMMYFUNCTION("""COMPUTED_VALUE"""),"02/02/2026")</f>
        <v>02/02/2026</v>
      </c>
      <c r="AZ1261" s="65"/>
      <c r="BA1261" s="65"/>
    </row>
    <row r="1262">
      <c r="A1262" s="65" t="str">
        <f>IFERROR(__xludf.DUMMYFUNCTION("""COMPUTED_VALUE"""),"27-03-2026")</f>
        <v>27-03-2026</v>
      </c>
      <c r="B1262" s="65">
        <f>IFERROR(__xludf.DUMMYFUNCTION("""COMPUTED_VALUE"""),4326673.0)</f>
        <v>4326673</v>
      </c>
      <c r="C1262" s="65" t="str">
        <f>IFERROR(__xludf.DUMMYFUNCTION("""COMPUTED_VALUE"""),"22:59")</f>
        <v>22:59</v>
      </c>
      <c r="D1262" s="65" t="str">
        <f>IFERROR(__xludf.DUMMYFUNCTION("""COMPUTED_VALUE"""),"29-01-2026")</f>
        <v>29-01-2026</v>
      </c>
      <c r="E1262" s="65" t="str">
        <f>IFERROR(__xludf.DUMMYFUNCTION("""COMPUTED_VALUE"""),"Velasco Nelson")</f>
        <v>Velasco Nelson</v>
      </c>
      <c r="F1262" s="65" t="str">
        <f>IFERROR(__xludf.DUMMYFUNCTION("""COMPUTED_VALUE"""),"992565052")</f>
        <v>992565052</v>
      </c>
      <c r="G1262" s="65" t="str">
        <f>IFERROR(__xludf.DUMMYFUNCTION("""COMPUTED_VALUE"""),"nvelasco75@hotmail.com")</f>
        <v>nvelasco75@hotmail.com</v>
      </c>
      <c r="H1262" s="65"/>
      <c r="I1262" s="65"/>
      <c r="J1262" s="65"/>
      <c r="K1262" s="65" t="str">
        <f>IFERROR(__xludf.DUMMYFUNCTION("""COMPUTED_VALUE"""),"PENDIENTE CONFIRMACION")</f>
        <v>PENDIENTE CONFIRMACION</v>
      </c>
      <c r="L1262" s="65" t="str">
        <f>IFERROR(__xludf.DUMMYFUNCTION("""COMPUTED_VALUE"""),"CON RECAUDO")</f>
        <v>CON RECAUDO</v>
      </c>
      <c r="M1262" s="65" t="str">
        <f>IFERROR(__xludf.DUMMYFUNCTION("""COMPUTED_VALUE"""),"CHIMBORAZO")</f>
        <v>CHIMBORAZO</v>
      </c>
      <c r="N1262" s="65" t="str">
        <f>IFERROR(__xludf.DUMMYFUNCTION("""COMPUTED_VALUE"""),"RIOBAMBA")</f>
        <v>RIOBAMBA</v>
      </c>
      <c r="O1262" s="65" t="str">
        <f>IFERROR(__xludf.DUMMYFUNCTION("""COMPUTED_VALUE"""),"Larrea 21-52 y 10 de agosto Parque Sucre centro -")</f>
        <v>Larrea 21-52 y 10 de agosto Parque Sucre centro -</v>
      </c>
      <c r="P1262" s="65"/>
      <c r="Q1262" s="65" t="str">
        <f>IFERROR(__xludf.DUMMYFUNCTION("""COMPUTED_VALUE"""),"GINTRACOM")</f>
        <v>GINTRACOM</v>
      </c>
      <c r="R1262" s="65">
        <f>IFERROR(__xludf.DUMMYFUNCTION("""COMPUTED_VALUE"""),25.0)</f>
        <v>25</v>
      </c>
      <c r="S1262" s="65"/>
      <c r="T1262" s="65">
        <f>IFERROR(__xludf.DUMMYFUNCTION("""COMPUTED_VALUE"""),5.96)</f>
        <v>5.96</v>
      </c>
      <c r="U1262" s="65">
        <f>IFERROR(__xludf.DUMMYFUNCTION("""COMPUTED_VALUE"""),0.0)</f>
        <v>0</v>
      </c>
      <c r="V1262" s="65">
        <f>IFERROR(__xludf.DUMMYFUNCTION("""COMPUTED_VALUE"""),0.0)</f>
        <v>0</v>
      </c>
      <c r="W1262" s="65">
        <f>IFERROR(__xludf.DUMMYFUNCTION("""COMPUTED_VALUE"""),0.0)</f>
        <v>0</v>
      </c>
      <c r="X1262" s="65">
        <f>IFERROR(__xludf.DUMMYFUNCTION("""COMPUTED_VALUE"""),2.35)</f>
        <v>2.35</v>
      </c>
      <c r="Y1262" s="65">
        <f>IFERROR(__xludf.DUMMYFUNCTION("""COMPUTED_VALUE"""),4.7)</f>
        <v>4.7</v>
      </c>
      <c r="Z1262" s="65">
        <f>IFERROR(__xludf.DUMMYFUNCTION("""COMPUTED_VALUE"""),116679.0)</f>
        <v>116679</v>
      </c>
      <c r="AA1262" s="65" t="str">
        <f>IFERROR(__xludf.DUMMYFUNCTION("""COMPUTED_VALUE"""),"AMC-2738")</f>
        <v>AMC-2738</v>
      </c>
      <c r="AB1262" s="65"/>
      <c r="AC1262" s="65" t="str">
        <f>IFERROR(__xludf.DUMMYFUNCTION("""COMPUTED_VALUE"""),"ESPONJA ANTILLUVIA DE PARABRISAS")</f>
        <v>ESPONJA ANTILLUVIA DE PARABRISAS</v>
      </c>
      <c r="AD1262" s="65"/>
      <c r="AE1262" s="65">
        <f>IFERROR(__xludf.DUMMYFUNCTION("""COMPUTED_VALUE"""),2.0)</f>
        <v>2</v>
      </c>
      <c r="AF1262" s="65"/>
      <c r="AG1262" s="65"/>
      <c r="AH1262" s="65"/>
      <c r="AI1262" s="65"/>
      <c r="AJ1262" s="65"/>
      <c r="AK1262" s="65"/>
      <c r="AL1262" s="65"/>
      <c r="AM1262" s="65"/>
      <c r="AN1262" s="65"/>
      <c r="AO1262" s="65"/>
      <c r="AP1262" s="65"/>
      <c r="AQ1262" s="65"/>
      <c r="AR1262" s="65"/>
      <c r="AS1262" s="65"/>
      <c r="AT1262" s="65" t="str">
        <f>IFERROR(__xludf.DUMMYFUNCTION("""COMPUTED_VALUE"""),"SHOPIFY")</f>
        <v>SHOPIFY</v>
      </c>
      <c r="AU1262" s="65" t="str">
        <f>IFERROR(__xludf.DUMMYFUNCTION("""COMPUTED_VALUE"""),"IMPORTEX EC")</f>
        <v>IMPORTEX EC</v>
      </c>
      <c r="AV1262" s="65" t="str">
        <f>IFERROR(__xludf.DUMMYFUNCTION("""COMPUTED_VALUE"""),"6461160489004")</f>
        <v>6461160489004</v>
      </c>
      <c r="AW1262" s="65">
        <f>IFERROR(__xludf.DUMMYFUNCTION("""COMPUTED_VALUE"""),5641.0)</f>
        <v>5641</v>
      </c>
      <c r="AX1262" s="65"/>
      <c r="AY1262" s="65"/>
      <c r="AZ1262" s="65"/>
      <c r="BA1262" s="65"/>
    </row>
    <row r="1263">
      <c r="A1263" s="65" t="str">
        <f>IFERROR(__xludf.DUMMYFUNCTION("""COMPUTED_VALUE"""),"27-03-2026")</f>
        <v>27-03-2026</v>
      </c>
      <c r="B1263" s="65">
        <f>IFERROR(__xludf.DUMMYFUNCTION("""COMPUTED_VALUE"""),4326620.0)</f>
        <v>4326620</v>
      </c>
      <c r="C1263" s="65" t="str">
        <f>IFERROR(__xludf.DUMMYFUNCTION("""COMPUTED_VALUE"""),"22:53")</f>
        <v>22:53</v>
      </c>
      <c r="D1263" s="65" t="str">
        <f>IFERROR(__xludf.DUMMYFUNCTION("""COMPUTED_VALUE"""),"29-01-2026")</f>
        <v>29-01-2026</v>
      </c>
      <c r="E1263" s="65" t="str">
        <f>IFERROR(__xludf.DUMMYFUNCTION("""COMPUTED_VALUE"""),"Mauricio Veliz")</f>
        <v>Mauricio Veliz</v>
      </c>
      <c r="F1263" s="65" t="str">
        <f>IFERROR(__xludf.DUMMYFUNCTION("""COMPUTED_VALUE"""),"987358760")</f>
        <v>987358760</v>
      </c>
      <c r="G1263" s="65" t="str">
        <f>IFERROR(__xludf.DUMMYFUNCTION("""COMPUTED_VALUE"""),"mauricio.velivi@hotmail.com")</f>
        <v>mauricio.velivi@hotmail.com</v>
      </c>
      <c r="H1263" s="65"/>
      <c r="I1263" s="65"/>
      <c r="J1263" s="65" t="str">
        <f>IFERROR(__xludf.DUMMYFUNCTION("""COMPUTED_VALUE"""),"D001288618")</f>
        <v>D001288618</v>
      </c>
      <c r="K1263" s="65" t="str">
        <f>IFERROR(__xludf.DUMMYFUNCTION("""COMPUTED_VALUE"""),"DEVOLUCION")</f>
        <v>DEVOLUCION</v>
      </c>
      <c r="L1263" s="65" t="str">
        <f>IFERROR(__xludf.DUMMYFUNCTION("""COMPUTED_VALUE"""),"CON RECAUDO")</f>
        <v>CON RECAUDO</v>
      </c>
      <c r="M1263" s="65" t="str">
        <f>IFERROR(__xludf.DUMMYFUNCTION("""COMPUTED_VALUE"""),"GUAYAS")</f>
        <v>GUAYAS</v>
      </c>
      <c r="N1263" s="65" t="str">
        <f>IFERROR(__xludf.DUMMYFUNCTION("""COMPUTED_VALUE"""),"GUAYAQUIL")</f>
        <v>GUAYAQUIL</v>
      </c>
      <c r="O1263" s="65" t="str">
        <f>IFERROR(__xludf.DUMMYFUNCTION("""COMPUTED_VALUE"""),"G|Guayas|0|Guayas| Samanes 4 mz 409 v 49 -")</f>
        <v>G|Guayas|0|Guayas| Samanes 4 mz 409 v 49 -</v>
      </c>
      <c r="P1263" s="65"/>
      <c r="Q1263" s="65" t="str">
        <f>IFERROR(__xludf.DUMMYFUNCTION("""COMPUTED_VALUE"""),"GINTRACOM")</f>
        <v>GINTRACOM</v>
      </c>
      <c r="R1263" s="65">
        <f>IFERROR(__xludf.DUMMYFUNCTION("""COMPUTED_VALUE"""),30.0)</f>
        <v>30</v>
      </c>
      <c r="S1263" s="65"/>
      <c r="T1263" s="65">
        <f>IFERROR(__xludf.DUMMYFUNCTION("""COMPUTED_VALUE"""),6.16)</f>
        <v>6.16</v>
      </c>
      <c r="U1263" s="65">
        <f>IFERROR(__xludf.DUMMYFUNCTION("""COMPUTED_VALUE"""),0.0)</f>
        <v>0</v>
      </c>
      <c r="V1263" s="65">
        <f>IFERROR(__xludf.DUMMYFUNCTION("""COMPUTED_VALUE"""),0.0)</f>
        <v>0</v>
      </c>
      <c r="W1263" s="65">
        <f>IFERROR(__xludf.DUMMYFUNCTION("""COMPUTED_VALUE"""),0.0)</f>
        <v>0</v>
      </c>
      <c r="X1263" s="65">
        <f>IFERROR(__xludf.DUMMYFUNCTION("""COMPUTED_VALUE"""),2.35)</f>
        <v>2.35</v>
      </c>
      <c r="Y1263" s="65">
        <f>IFERROR(__xludf.DUMMYFUNCTION("""COMPUTED_VALUE"""),7.05)</f>
        <v>7.05</v>
      </c>
      <c r="Z1263" s="65">
        <f>IFERROR(__xludf.DUMMYFUNCTION("""COMPUTED_VALUE"""),116679.0)</f>
        <v>116679</v>
      </c>
      <c r="AA1263" s="65" t="str">
        <f>IFERROR(__xludf.DUMMYFUNCTION("""COMPUTED_VALUE"""),"AMC-2738")</f>
        <v>AMC-2738</v>
      </c>
      <c r="AB1263" s="65"/>
      <c r="AC1263" s="65" t="str">
        <f>IFERROR(__xludf.DUMMYFUNCTION("""COMPUTED_VALUE"""),"ESPONJA ANTILLUVIA DE PARABRISAS")</f>
        <v>ESPONJA ANTILLUVIA DE PARABRISAS</v>
      </c>
      <c r="AD1263" s="65"/>
      <c r="AE1263" s="65">
        <f>IFERROR(__xludf.DUMMYFUNCTION("""COMPUTED_VALUE"""),3.0)</f>
        <v>3</v>
      </c>
      <c r="AF1263" s="65" t="str">
        <f>IFERROR(__xludf.DUMMYFUNCTION("""COMPUTED_VALUE"""),"DESTINATARIO NO CONTESTA LLAMADAS NI WHATSAPP")</f>
        <v>DESTINATARIO NO CONTESTA LLAMADAS NI WHATSAPP</v>
      </c>
      <c r="AG1263" s="65" t="str">
        <f>IFERROR(__xludf.DUMMYFUNCTION("""COMPUTED_VALUE"""),"NO")</f>
        <v>NO</v>
      </c>
      <c r="AH1263" s="65" t="str">
        <f>IFERROR(__xludf.DUMMYFUNCTION("""COMPUTED_VALUE"""),"09:00")</f>
        <v>09:00</v>
      </c>
      <c r="AI1263" s="65" t="str">
        <f>IFERROR(__xludf.DUMMYFUNCTION("""COMPUTED_VALUE"""),"15-02-2026")</f>
        <v>15-02-2026</v>
      </c>
      <c r="AJ1263" s="65"/>
      <c r="AK1263" s="65"/>
      <c r="AL1263" s="65"/>
      <c r="AM1263" s="65"/>
      <c r="AN1263" s="65" t="str">
        <f>IFERROR(__xludf.DUMMYFUNCTION("""COMPUTED_VALUE"""),"15:47")</f>
        <v>15:47</v>
      </c>
      <c r="AO1263" s="65" t="str">
        <f>IFERROR(__xludf.DUMMYFUNCTION("""COMPUTED_VALUE"""),"02-03-2026")</f>
        <v>02-03-2026</v>
      </c>
      <c r="AP1263" s="65" t="str">
        <f>IFERROR(__xludf.DUMMYFUNCTION("""COMPUTED_VALUE"""),"DEVOLUCIÓN ENTREGADA A ORIGEN")</f>
        <v>DEVOLUCIÓN ENTREGADA A ORIGEN</v>
      </c>
      <c r="AQ1263" s="65" t="str">
        <f>IFERROR(__xludf.DUMMYFUNCTION("""COMPUTED_VALUE"""),"DEVOLUCIÓN ENTREGADA A ORIGEN")</f>
        <v>DEVOLUCIÓN ENTREGADA A ORIGEN</v>
      </c>
      <c r="AR1263" s="65"/>
      <c r="AS1263" s="65"/>
      <c r="AT1263" s="65" t="str">
        <f>IFERROR(__xludf.DUMMYFUNCTION("""COMPUTED_VALUE"""),"SHOPIFY")</f>
        <v>SHOPIFY</v>
      </c>
      <c r="AU1263" s="65" t="str">
        <f>IFERROR(__xludf.DUMMYFUNCTION("""COMPUTED_VALUE"""),"IMPORTEX EC")</f>
        <v>IMPORTEX EC</v>
      </c>
      <c r="AV1263" s="65" t="str">
        <f>IFERROR(__xludf.DUMMYFUNCTION("""COMPUTED_VALUE"""),"6461147938860")</f>
        <v>6461147938860</v>
      </c>
      <c r="AW1263" s="65">
        <f>IFERROR(__xludf.DUMMYFUNCTION("""COMPUTED_VALUE"""),5640.0)</f>
        <v>5640</v>
      </c>
      <c r="AX1263" s="65"/>
      <c r="AY1263" s="65" t="str">
        <f>IFERROR(__xludf.DUMMYFUNCTION("""COMPUTED_VALUE"""),"02/02/2026")</f>
        <v>02/02/2026</v>
      </c>
      <c r="AZ1263" s="65"/>
      <c r="BA1263" s="65"/>
    </row>
    <row r="1264">
      <c r="A1264" s="65" t="str">
        <f>IFERROR(__xludf.DUMMYFUNCTION("""COMPUTED_VALUE"""),"27-03-2026")</f>
        <v>27-03-2026</v>
      </c>
      <c r="B1264" s="65">
        <f>IFERROR(__xludf.DUMMYFUNCTION("""COMPUTED_VALUE"""),4326481.0)</f>
        <v>4326481</v>
      </c>
      <c r="C1264" s="65" t="str">
        <f>IFERROR(__xludf.DUMMYFUNCTION("""COMPUTED_VALUE"""),"22:39")</f>
        <v>22:39</v>
      </c>
      <c r="D1264" s="65" t="str">
        <f>IFERROR(__xludf.DUMMYFUNCTION("""COMPUTED_VALUE"""),"29-01-2026")</f>
        <v>29-01-2026</v>
      </c>
      <c r="E1264" s="65" t="str">
        <f>IFERROR(__xludf.DUMMYFUNCTION("""COMPUTED_VALUE"""),"Calixto Waney Anchundia Meza Anchundia Meza")</f>
        <v>Calixto Waney Anchundia Meza Anchundia Meza</v>
      </c>
      <c r="F1264" s="65" t="str">
        <f>IFERROR(__xludf.DUMMYFUNCTION("""COMPUTED_VALUE"""),"997182441")</f>
        <v>997182441</v>
      </c>
      <c r="G1264" s="65" t="str">
        <f>IFERROR(__xludf.DUMMYFUNCTION("""COMPUTED_VALUE"""),"waneyanchundia@gmail.com")</f>
        <v>waneyanchundia@gmail.com</v>
      </c>
      <c r="H1264" s="65"/>
      <c r="I1264" s="65"/>
      <c r="J1264" s="65"/>
      <c r="K1264" s="65" t="str">
        <f>IFERROR(__xludf.DUMMYFUNCTION("""COMPUTED_VALUE"""),"PENDIENTE CONFIRMACION")</f>
        <v>PENDIENTE CONFIRMACION</v>
      </c>
      <c r="L1264" s="65" t="str">
        <f>IFERROR(__xludf.DUMMYFUNCTION("""COMPUTED_VALUE"""),"CON RECAUDO")</f>
        <v>CON RECAUDO</v>
      </c>
      <c r="M1264" s="65" t="str">
        <f>IFERROR(__xludf.DUMMYFUNCTION("""COMPUTED_VALUE"""),"LOS RIOS")</f>
        <v>LOS RIOS</v>
      </c>
      <c r="N1264" s="65" t="str">
        <f>IFERROR(__xludf.DUMMYFUNCTION("""COMPUTED_VALUE"""),"BUENA FE")</f>
        <v>BUENA FE</v>
      </c>
      <c r="O1264" s="65" t="str">
        <f>IFERROR(__xludf.DUMMYFUNCTION("""COMPUTED_VALUE"""),"Lot san Gabriel Y  entrada a la Nueva Buena Fe sn -")</f>
        <v>Lot san Gabriel Y  entrada a la Nueva Buena Fe sn -</v>
      </c>
      <c r="P1264" s="65"/>
      <c r="Q1264" s="65" t="str">
        <f>IFERROR(__xludf.DUMMYFUNCTION("""COMPUTED_VALUE"""),"GINTRACOM")</f>
        <v>GINTRACOM</v>
      </c>
      <c r="R1264" s="65">
        <f>IFERROR(__xludf.DUMMYFUNCTION("""COMPUTED_VALUE"""),30.0)</f>
        <v>30</v>
      </c>
      <c r="S1264" s="65"/>
      <c r="T1264" s="65">
        <f>IFERROR(__xludf.DUMMYFUNCTION("""COMPUTED_VALUE"""),6.73)</f>
        <v>6.73</v>
      </c>
      <c r="U1264" s="65">
        <f>IFERROR(__xludf.DUMMYFUNCTION("""COMPUTED_VALUE"""),0.0)</f>
        <v>0</v>
      </c>
      <c r="V1264" s="65">
        <f>IFERROR(__xludf.DUMMYFUNCTION("""COMPUTED_VALUE"""),0.0)</f>
        <v>0</v>
      </c>
      <c r="W1264" s="65">
        <f>IFERROR(__xludf.DUMMYFUNCTION("""COMPUTED_VALUE"""),0.0)</f>
        <v>0</v>
      </c>
      <c r="X1264" s="65">
        <f>IFERROR(__xludf.DUMMYFUNCTION("""COMPUTED_VALUE"""),2.35)</f>
        <v>2.35</v>
      </c>
      <c r="Y1264" s="65">
        <f>IFERROR(__xludf.DUMMYFUNCTION("""COMPUTED_VALUE"""),7.05)</f>
        <v>7.05</v>
      </c>
      <c r="Z1264" s="65">
        <f>IFERROR(__xludf.DUMMYFUNCTION("""COMPUTED_VALUE"""),116679.0)</f>
        <v>116679</v>
      </c>
      <c r="AA1264" s="65" t="str">
        <f>IFERROR(__xludf.DUMMYFUNCTION("""COMPUTED_VALUE"""),"AMC-2738")</f>
        <v>AMC-2738</v>
      </c>
      <c r="AB1264" s="65"/>
      <c r="AC1264" s="65" t="str">
        <f>IFERROR(__xludf.DUMMYFUNCTION("""COMPUTED_VALUE"""),"ESPONJA ANTILLUVIA DE PARABRISAS")</f>
        <v>ESPONJA ANTILLUVIA DE PARABRISAS</v>
      </c>
      <c r="AD1264" s="65"/>
      <c r="AE1264" s="65">
        <f>IFERROR(__xludf.DUMMYFUNCTION("""COMPUTED_VALUE"""),3.0)</f>
        <v>3</v>
      </c>
      <c r="AF1264" s="65"/>
      <c r="AG1264" s="65"/>
      <c r="AH1264" s="65"/>
      <c r="AI1264" s="65"/>
      <c r="AJ1264" s="65"/>
      <c r="AK1264" s="65"/>
      <c r="AL1264" s="65"/>
      <c r="AM1264" s="65"/>
      <c r="AN1264" s="65"/>
      <c r="AO1264" s="65"/>
      <c r="AP1264" s="65"/>
      <c r="AQ1264" s="65"/>
      <c r="AR1264" s="65"/>
      <c r="AS1264" s="65"/>
      <c r="AT1264" s="65" t="str">
        <f>IFERROR(__xludf.DUMMYFUNCTION("""COMPUTED_VALUE"""),"SHOPIFY")</f>
        <v>SHOPIFY</v>
      </c>
      <c r="AU1264" s="65" t="str">
        <f>IFERROR(__xludf.DUMMYFUNCTION("""COMPUTED_VALUE"""),"IMPORTEX EC")</f>
        <v>IMPORTEX EC</v>
      </c>
      <c r="AV1264" s="65" t="str">
        <f>IFERROR(__xludf.DUMMYFUNCTION("""COMPUTED_VALUE"""),"6461108486188")</f>
        <v>6461108486188</v>
      </c>
      <c r="AW1264" s="65">
        <f>IFERROR(__xludf.DUMMYFUNCTION("""COMPUTED_VALUE"""),5639.0)</f>
        <v>5639</v>
      </c>
      <c r="AX1264" s="65"/>
      <c r="AY1264" s="65"/>
      <c r="AZ1264" s="65"/>
      <c r="BA1264" s="65"/>
    </row>
    <row r="1265">
      <c r="A1265" s="65" t="str">
        <f>IFERROR(__xludf.DUMMYFUNCTION("""COMPUTED_VALUE"""),"27-03-2026")</f>
        <v>27-03-2026</v>
      </c>
      <c r="B1265" s="65">
        <f>IFERROR(__xludf.DUMMYFUNCTION("""COMPUTED_VALUE"""),4326257.0)</f>
        <v>4326257</v>
      </c>
      <c r="C1265" s="65" t="str">
        <f>IFERROR(__xludf.DUMMYFUNCTION("""COMPUTED_VALUE"""),"22:18")</f>
        <v>22:18</v>
      </c>
      <c r="D1265" s="65" t="str">
        <f>IFERROR(__xludf.DUMMYFUNCTION("""COMPUTED_VALUE"""),"29-01-2026")</f>
        <v>29-01-2026</v>
      </c>
      <c r="E1265" s="65" t="str">
        <f>IFERROR(__xludf.DUMMYFUNCTION("""COMPUTED_VALUE"""),"DIANA López")</f>
        <v>DIANA López</v>
      </c>
      <c r="F1265" s="65" t="str">
        <f>IFERROR(__xludf.DUMMYFUNCTION("""COMPUTED_VALUE"""),"986645452")</f>
        <v>986645452</v>
      </c>
      <c r="G1265" s="65"/>
      <c r="H1265" s="65"/>
      <c r="I1265" s="65"/>
      <c r="J1265" s="65" t="str">
        <f>IFERROR(__xludf.DUMMYFUNCTION("""COMPUTED_VALUE"""),"D001277002")</f>
        <v>D001277002</v>
      </c>
      <c r="K1265" s="65" t="str">
        <f>IFERROR(__xludf.DUMMYFUNCTION("""COMPUTED_VALUE"""),"DEVOLUCION")</f>
        <v>DEVOLUCION</v>
      </c>
      <c r="L1265" s="65" t="str">
        <f>IFERROR(__xludf.DUMMYFUNCTION("""COMPUTED_VALUE"""),"CON RECAUDO")</f>
        <v>CON RECAUDO</v>
      </c>
      <c r="M1265" s="65" t="str">
        <f>IFERROR(__xludf.DUMMYFUNCTION("""COMPUTED_VALUE"""),"MANABI")</f>
        <v>MANABI</v>
      </c>
      <c r="N1265" s="65" t="str">
        <f>IFERROR(__xludf.DUMMYFUNCTION("""COMPUTED_VALUE"""),"PORTOVIEJO")</f>
        <v>PORTOVIEJO</v>
      </c>
      <c r="O1265" s="65" t="str">
        <f>IFERROR(__xludf.DUMMYFUNCTION("""COMPUTED_VALUE"""),"Calle principal de la parroquia Alajuela, Vía manta Quevedo frente al mercado municipal")</f>
        <v>Calle principal de la parroquia Alajuela, Vía manta Quevedo frente al mercado municipal</v>
      </c>
      <c r="P1265" s="65"/>
      <c r="Q1265" s="65" t="str">
        <f>IFERROR(__xludf.DUMMYFUNCTION("""COMPUTED_VALUE"""),"GINTRACOM")</f>
        <v>GINTRACOM</v>
      </c>
      <c r="R1265" s="65">
        <f>IFERROR(__xludf.DUMMYFUNCTION("""COMPUTED_VALUE"""),25.0)</f>
        <v>25</v>
      </c>
      <c r="S1265" s="65"/>
      <c r="T1265" s="65">
        <f>IFERROR(__xludf.DUMMYFUNCTION("""COMPUTED_VALUE"""),5.96)</f>
        <v>5.96</v>
      </c>
      <c r="U1265" s="65">
        <f>IFERROR(__xludf.DUMMYFUNCTION("""COMPUTED_VALUE"""),0.0)</f>
        <v>0</v>
      </c>
      <c r="V1265" s="65">
        <f>IFERROR(__xludf.DUMMYFUNCTION("""COMPUTED_VALUE"""),0.0)</f>
        <v>0</v>
      </c>
      <c r="W1265" s="65">
        <f>IFERROR(__xludf.DUMMYFUNCTION("""COMPUTED_VALUE"""),0.0)</f>
        <v>0</v>
      </c>
      <c r="X1265" s="65">
        <f>IFERROR(__xludf.DUMMYFUNCTION("""COMPUTED_VALUE"""),2.35)</f>
        <v>2.35</v>
      </c>
      <c r="Y1265" s="65">
        <f>IFERROR(__xludf.DUMMYFUNCTION("""COMPUTED_VALUE"""),4.7)</f>
        <v>4.7</v>
      </c>
      <c r="Z1265" s="65">
        <f>IFERROR(__xludf.DUMMYFUNCTION("""COMPUTED_VALUE"""),116679.0)</f>
        <v>116679</v>
      </c>
      <c r="AA1265" s="65" t="str">
        <f>IFERROR(__xludf.DUMMYFUNCTION("""COMPUTED_VALUE"""),"AMC-2738")</f>
        <v>AMC-2738</v>
      </c>
      <c r="AB1265" s="65"/>
      <c r="AC1265" s="65" t="str">
        <f>IFERROR(__xludf.DUMMYFUNCTION("""COMPUTED_VALUE"""),"ESPONJA ANTILLUVIA DE PARABRISAS")</f>
        <v>ESPONJA ANTILLUVIA DE PARABRISAS</v>
      </c>
      <c r="AD1265" s="65"/>
      <c r="AE1265" s="65">
        <f>IFERROR(__xludf.DUMMYFUNCTION("""COMPUTED_VALUE"""),2.0)</f>
        <v>2</v>
      </c>
      <c r="AF1265" s="65" t="str">
        <f>IFERROR(__xludf.DUMMYFUNCTION("""COMPUTED_VALUE"""),"DESTINATARIO NO CONTESTA LLAMADAS NI WHATSAPP")</f>
        <v>DESTINATARIO NO CONTESTA LLAMADAS NI WHATSAPP</v>
      </c>
      <c r="AG1265" s="65" t="str">
        <f>IFERROR(__xludf.DUMMYFUNCTION("""COMPUTED_VALUE"""),"SI")</f>
        <v>SI</v>
      </c>
      <c r="AH1265" s="65" t="str">
        <f>IFERROR(__xludf.DUMMYFUNCTION("""COMPUTED_VALUE"""),"09:00")</f>
        <v>09:00</v>
      </c>
      <c r="AI1265" s="65" t="str">
        <f>IFERROR(__xludf.DUMMYFUNCTION("""COMPUTED_VALUE"""),"10-02-2026")</f>
        <v>10-02-2026</v>
      </c>
      <c r="AJ1265" s="65" t="str">
        <f>IFERROR(__xludf.DUMMYFUNCTION("""COMPUTED_VALUE"""),"Cliente solicita la entrega inmediata")</f>
        <v>Cliente solicita la entrega inmediata</v>
      </c>
      <c r="AK1265" s="65" t="str">
        <f>IFERROR(__xludf.DUMMYFUNCTION("""COMPUTED_VALUE"""),"13:05")</f>
        <v>13:05</v>
      </c>
      <c r="AL1265" s="65" t="str">
        <f>IFERROR(__xludf.DUMMYFUNCTION("""COMPUTED_VALUE"""),"11-02-2026")</f>
        <v>11-02-2026</v>
      </c>
      <c r="AM1265" s="65"/>
      <c r="AN1265" s="65" t="str">
        <f>IFERROR(__xludf.DUMMYFUNCTION("""COMPUTED_VALUE"""),"22:08")</f>
        <v>22:08</v>
      </c>
      <c r="AO1265" s="65" t="str">
        <f>IFERROR(__xludf.DUMMYFUNCTION("""COMPUTED_VALUE"""),"02-03-2026")</f>
        <v>02-03-2026</v>
      </c>
      <c r="AP1265" s="65" t="str">
        <f>IFERROR(__xludf.DUMMYFUNCTION("""COMPUTED_VALUE"""),"DEVOLUCIÓN ENTREGADA A ORIGEN")</f>
        <v>DEVOLUCIÓN ENTREGADA A ORIGEN</v>
      </c>
      <c r="AQ1265" s="65" t="str">
        <f>IFERROR(__xludf.DUMMYFUNCTION("""COMPUTED_VALUE"""),"DEVOLUCIÓN ENTREGADA A ORIGEN")</f>
        <v>DEVOLUCIÓN ENTREGADA A ORIGEN</v>
      </c>
      <c r="AR1265" s="65"/>
      <c r="AS1265" s="65"/>
      <c r="AT1265" s="65" t="str">
        <f>IFERROR(__xludf.DUMMYFUNCTION("""COMPUTED_VALUE"""),"CHATEA PRO")</f>
        <v>CHATEA PRO</v>
      </c>
      <c r="AU1265" s="65" t="str">
        <f>IFERROR(__xludf.DUMMYFUNCTION("""COMPUTED_VALUE"""),"CHATEA PRO")</f>
        <v>CHATEA PRO</v>
      </c>
      <c r="AV1265" s="65"/>
      <c r="AW1265" s="65"/>
      <c r="AX1265" s="65"/>
      <c r="AY1265" s="65" t="str">
        <f>IFERROR(__xludf.DUMMYFUNCTION("""COMPUTED_VALUE"""),"30/01/2026")</f>
        <v>30/01/2026</v>
      </c>
      <c r="AZ1265" s="65"/>
      <c r="BA1265" s="65"/>
    </row>
    <row r="1266">
      <c r="A1266" s="65" t="str">
        <f>IFERROR(__xludf.DUMMYFUNCTION("""COMPUTED_VALUE"""),"27-03-2026")</f>
        <v>27-03-2026</v>
      </c>
      <c r="B1266" s="65">
        <f>IFERROR(__xludf.DUMMYFUNCTION("""COMPUTED_VALUE"""),4326197.0)</f>
        <v>4326197</v>
      </c>
      <c r="C1266" s="65" t="str">
        <f>IFERROR(__xludf.DUMMYFUNCTION("""COMPUTED_VALUE"""),"22:13")</f>
        <v>22:13</v>
      </c>
      <c r="D1266" s="65" t="str">
        <f>IFERROR(__xludf.DUMMYFUNCTION("""COMPUTED_VALUE"""),"29-01-2026")</f>
        <v>29-01-2026</v>
      </c>
      <c r="E1266" s="65" t="str">
        <f>IFERROR(__xludf.DUMMYFUNCTION("""COMPUTED_VALUE"""),"Fausto Medina")</f>
        <v>Fausto Medina</v>
      </c>
      <c r="F1266" s="65" t="str">
        <f>IFERROR(__xludf.DUMMYFUNCTION("""COMPUTED_VALUE"""),"993000775")</f>
        <v>993000775</v>
      </c>
      <c r="G1266" s="65"/>
      <c r="H1266" s="65"/>
      <c r="I1266" s="65"/>
      <c r="J1266" s="65" t="str">
        <f>IFERROR(__xludf.DUMMYFUNCTION("""COMPUTED_VALUE"""),"D001276279")</f>
        <v>D001276279</v>
      </c>
      <c r="K1266" s="65" t="str">
        <f>IFERROR(__xludf.DUMMYFUNCTION("""COMPUTED_VALUE"""),"DEVOLUCION")</f>
        <v>DEVOLUCION</v>
      </c>
      <c r="L1266" s="65" t="str">
        <f>IFERROR(__xludf.DUMMYFUNCTION("""COMPUTED_VALUE"""),"CON RECAUDO")</f>
        <v>CON RECAUDO</v>
      </c>
      <c r="M1266" s="65" t="str">
        <f>IFERROR(__xludf.DUMMYFUNCTION("""COMPUTED_VALUE"""),"LOJA")</f>
        <v>LOJA</v>
      </c>
      <c r="N1266" s="65" t="str">
        <f>IFERROR(__xludf.DUMMYFUNCTION("""COMPUTED_VALUE"""),"LOJA")</f>
        <v>LOJA</v>
      </c>
      <c r="O1266" s="65" t="str">
        <f>IFERROR(__xludf.DUMMYFUNCTION("""COMPUTED_VALUE"""),"LOJA - Ciudadela Unión Lojana - Calle Juan Montalvo y Calle Antonio Nariño -")</f>
        <v>LOJA - Ciudadela Unión Lojana - Calle Juan Montalvo y Calle Antonio Nariño -</v>
      </c>
      <c r="P1266" s="65"/>
      <c r="Q1266" s="65" t="str">
        <f>IFERROR(__xludf.DUMMYFUNCTION("""COMPUTED_VALUE"""),"GINTRACOM")</f>
        <v>GINTRACOM</v>
      </c>
      <c r="R1266" s="65">
        <f>IFERROR(__xludf.DUMMYFUNCTION("""COMPUTED_VALUE"""),32.0)</f>
        <v>32</v>
      </c>
      <c r="S1266" s="65"/>
      <c r="T1266" s="65">
        <f>IFERROR(__xludf.DUMMYFUNCTION("""COMPUTED_VALUE"""),6.24)</f>
        <v>6.24</v>
      </c>
      <c r="U1266" s="65">
        <f>IFERROR(__xludf.DUMMYFUNCTION("""COMPUTED_VALUE"""),0.0)</f>
        <v>0</v>
      </c>
      <c r="V1266" s="65">
        <f>IFERROR(__xludf.DUMMYFUNCTION("""COMPUTED_VALUE"""),0.0)</f>
        <v>0</v>
      </c>
      <c r="W1266" s="65">
        <f>IFERROR(__xludf.DUMMYFUNCTION("""COMPUTED_VALUE"""),0.0)</f>
        <v>0</v>
      </c>
      <c r="X1266" s="65">
        <f>IFERROR(__xludf.DUMMYFUNCTION("""COMPUTED_VALUE"""),5.0)</f>
        <v>5</v>
      </c>
      <c r="Y1266" s="65">
        <f>IFERROR(__xludf.DUMMYFUNCTION("""COMPUTED_VALUE"""),10.0)</f>
        <v>10</v>
      </c>
      <c r="Z1266" s="65">
        <f>IFERROR(__xludf.DUMMYFUNCTION("""COMPUTED_VALUE"""),110064.0)</f>
        <v>110064</v>
      </c>
      <c r="AA1266" s="65" t="str">
        <f>IFERROR(__xludf.DUMMYFUNCTION("""COMPUTED_VALUE"""),"IMX-00001")</f>
        <v>IMX-00001</v>
      </c>
      <c r="AB1266" s="65"/>
      <c r="AC1266" s="65" t="str">
        <f>IFERROR(__xludf.DUMMYFUNCTION("""COMPUTED_VALUE"""),"LLAVE TRINQUETE")</f>
        <v>LLAVE TRINQUETE</v>
      </c>
      <c r="AD1266" s="65"/>
      <c r="AE1266" s="65">
        <f>IFERROR(__xludf.DUMMYFUNCTION("""COMPUTED_VALUE"""),2.0)</f>
        <v>2</v>
      </c>
      <c r="AF1266" s="65" t="str">
        <f>IFERROR(__xludf.DUMMYFUNCTION("""COMPUTED_VALUE"""),"DESTINATARIO NO CONTESTA LLAMADAS NI WHATSAPP")</f>
        <v>DESTINATARIO NO CONTESTA LLAMADAS NI WHATSAPP</v>
      </c>
      <c r="AG1266" s="65" t="str">
        <f>IFERROR(__xludf.DUMMYFUNCTION("""COMPUTED_VALUE"""),"NO")</f>
        <v>NO</v>
      </c>
      <c r="AH1266" s="65" t="str">
        <f>IFERROR(__xludf.DUMMYFUNCTION("""COMPUTED_VALUE"""),"10:00")</f>
        <v>10:00</v>
      </c>
      <c r="AI1266" s="65" t="str">
        <f>IFERROR(__xludf.DUMMYFUNCTION("""COMPUTED_VALUE"""),"05-02-2026")</f>
        <v>05-02-2026</v>
      </c>
      <c r="AJ1266" s="65"/>
      <c r="AK1266" s="65"/>
      <c r="AL1266" s="65"/>
      <c r="AM1266" s="65"/>
      <c r="AN1266" s="65" t="str">
        <f>IFERROR(__xludf.DUMMYFUNCTION("""COMPUTED_VALUE"""),"14:37")</f>
        <v>14:37</v>
      </c>
      <c r="AO1266" s="65" t="str">
        <f>IFERROR(__xludf.DUMMYFUNCTION("""COMPUTED_VALUE"""),"24-02-2026")</f>
        <v>24-02-2026</v>
      </c>
      <c r="AP1266" s="65" t="str">
        <f>IFERROR(__xludf.DUMMYFUNCTION("""COMPUTED_VALUE"""),"DEVOLUCIÓN ENTREGADA A ORIGEN")</f>
        <v>DEVOLUCIÓN ENTREGADA A ORIGEN</v>
      </c>
      <c r="AQ1266" s="65" t="str">
        <f>IFERROR(__xludf.DUMMYFUNCTION("""COMPUTED_VALUE"""),"DEVOLUCIÓN ENTREGADA A ORIGEN")</f>
        <v>DEVOLUCIÓN ENTREGADA A ORIGEN</v>
      </c>
      <c r="AR1266" s="65"/>
      <c r="AS1266" s="65"/>
      <c r="AT1266" s="65" t="str">
        <f>IFERROR(__xludf.DUMMYFUNCTION("""COMPUTED_VALUE"""),"CHATEA PRO")</f>
        <v>CHATEA PRO</v>
      </c>
      <c r="AU1266" s="65" t="str">
        <f>IFERROR(__xludf.DUMMYFUNCTION("""COMPUTED_VALUE"""),"CHATEA PRO")</f>
        <v>CHATEA PRO</v>
      </c>
      <c r="AV1266" s="65"/>
      <c r="AW1266" s="65"/>
      <c r="AX1266" s="65"/>
      <c r="AY1266" s="65" t="str">
        <f>IFERROR(__xludf.DUMMYFUNCTION("""COMPUTED_VALUE"""),"30/01/2026")</f>
        <v>30/01/2026</v>
      </c>
      <c r="AZ1266" s="65"/>
      <c r="BA1266" s="65"/>
    </row>
    <row r="1267">
      <c r="A1267" s="65" t="str">
        <f>IFERROR(__xludf.DUMMYFUNCTION("""COMPUTED_VALUE"""),"27-03-2026")</f>
        <v>27-03-2026</v>
      </c>
      <c r="B1267" s="65">
        <f>IFERROR(__xludf.DUMMYFUNCTION("""COMPUTED_VALUE"""),4326176.0)</f>
        <v>4326176</v>
      </c>
      <c r="C1267" s="65" t="str">
        <f>IFERROR(__xludf.DUMMYFUNCTION("""COMPUTED_VALUE"""),"22:11")</f>
        <v>22:11</v>
      </c>
      <c r="D1267" s="65" t="str">
        <f>IFERROR(__xludf.DUMMYFUNCTION("""COMPUTED_VALUE"""),"29-01-2026")</f>
        <v>29-01-2026</v>
      </c>
      <c r="E1267" s="65" t="str">
        <f>IFERROR(__xludf.DUMMYFUNCTION("""COMPUTED_VALUE"""),"Vanessa Alexandra Alava Moreira")</f>
        <v>Vanessa Alexandra Alava Moreira</v>
      </c>
      <c r="F1267" s="65" t="str">
        <f>IFERROR(__xludf.DUMMYFUNCTION("""COMPUTED_VALUE"""),"982991244")</f>
        <v>982991244</v>
      </c>
      <c r="G1267" s="65"/>
      <c r="H1267" s="65"/>
      <c r="I1267" s="65"/>
      <c r="J1267" s="65" t="str">
        <f>IFERROR(__xludf.DUMMYFUNCTION("""COMPUTED_VALUE"""),"D001277003")</f>
        <v>D001277003</v>
      </c>
      <c r="K1267" s="65" t="str">
        <f>IFERROR(__xludf.DUMMYFUNCTION("""COMPUTED_VALUE"""),"ENTREGADO")</f>
        <v>ENTREGADO</v>
      </c>
      <c r="L1267" s="65" t="str">
        <f>IFERROR(__xludf.DUMMYFUNCTION("""COMPUTED_VALUE"""),"CON RECAUDO")</f>
        <v>CON RECAUDO</v>
      </c>
      <c r="M1267" s="65" t="str">
        <f>IFERROR(__xludf.DUMMYFUNCTION("""COMPUTED_VALUE"""),"MANABI")</f>
        <v>MANABI</v>
      </c>
      <c r="N1267" s="65" t="str">
        <f>IFERROR(__xludf.DUMMYFUNCTION("""COMPUTED_VALUE"""),"PORTOVIEJO")</f>
        <v>PORTOVIEJO</v>
      </c>
      <c r="O1267" s="65" t="str">
        <f>IFERROR(__xludf.DUMMYFUNCTION("""COMPUTED_VALUE"""),"Hospital de especialidades portoviejo Av 15 de abril sector las tres marias - dentro del hospital de especialidades, Puerta número 6")</f>
        <v>Hospital de especialidades portoviejo Av 15 de abril sector las tres marias - dentro del hospital de especialidades, Puerta número 6</v>
      </c>
      <c r="P1267" s="65"/>
      <c r="Q1267" s="65" t="str">
        <f>IFERROR(__xludf.DUMMYFUNCTION("""COMPUTED_VALUE"""),"GINTRACOM")</f>
        <v>GINTRACOM</v>
      </c>
      <c r="R1267" s="65">
        <f>IFERROR(__xludf.DUMMYFUNCTION("""COMPUTED_VALUE"""),25.0)</f>
        <v>25</v>
      </c>
      <c r="S1267" s="65">
        <f>IFERROR(__xludf.DUMMYFUNCTION("""COMPUTED_VALUE"""),14.34)</f>
        <v>14.34</v>
      </c>
      <c r="T1267" s="65">
        <f>IFERROR(__xludf.DUMMYFUNCTION("""COMPUTED_VALUE"""),5.96)</f>
        <v>5.96</v>
      </c>
      <c r="U1267" s="65">
        <f>IFERROR(__xludf.DUMMYFUNCTION("""COMPUTED_VALUE"""),0.0)</f>
        <v>0</v>
      </c>
      <c r="V1267" s="65">
        <f>IFERROR(__xludf.DUMMYFUNCTION("""COMPUTED_VALUE"""),0.0)</f>
        <v>0</v>
      </c>
      <c r="W1267" s="65">
        <f>IFERROR(__xludf.DUMMYFUNCTION("""COMPUTED_VALUE"""),0.0)</f>
        <v>0</v>
      </c>
      <c r="X1267" s="65">
        <f>IFERROR(__xludf.DUMMYFUNCTION("""COMPUTED_VALUE"""),2.35)</f>
        <v>2.35</v>
      </c>
      <c r="Y1267" s="65">
        <f>IFERROR(__xludf.DUMMYFUNCTION("""COMPUTED_VALUE"""),4.7)</f>
        <v>4.7</v>
      </c>
      <c r="Z1267" s="65">
        <f>IFERROR(__xludf.DUMMYFUNCTION("""COMPUTED_VALUE"""),116679.0)</f>
        <v>116679</v>
      </c>
      <c r="AA1267" s="65" t="str">
        <f>IFERROR(__xludf.DUMMYFUNCTION("""COMPUTED_VALUE"""),"AMC-2738")</f>
        <v>AMC-2738</v>
      </c>
      <c r="AB1267" s="65"/>
      <c r="AC1267" s="65" t="str">
        <f>IFERROR(__xludf.DUMMYFUNCTION("""COMPUTED_VALUE"""),"ESPONJA ANTILLUVIA DE PARABRISAS")</f>
        <v>ESPONJA ANTILLUVIA DE PARABRISAS</v>
      </c>
      <c r="AD1267" s="65"/>
      <c r="AE1267" s="65">
        <f>IFERROR(__xludf.DUMMYFUNCTION("""COMPUTED_VALUE"""),2.0)</f>
        <v>2</v>
      </c>
      <c r="AF1267" s="65"/>
      <c r="AG1267" s="65"/>
      <c r="AH1267" s="65"/>
      <c r="AI1267" s="65"/>
      <c r="AJ1267" s="65"/>
      <c r="AK1267" s="65"/>
      <c r="AL1267" s="65"/>
      <c r="AM1267" s="65"/>
      <c r="AN1267" s="65"/>
      <c r="AO1267" s="65"/>
      <c r="AP1267" s="65"/>
      <c r="AQ1267" s="65"/>
      <c r="AR1267" s="65"/>
      <c r="AS1267" s="65"/>
      <c r="AT1267" s="65" t="str">
        <f>IFERROR(__xludf.DUMMYFUNCTION("""COMPUTED_VALUE"""),"CHATEA PRO")</f>
        <v>CHATEA PRO</v>
      </c>
      <c r="AU1267" s="65" t="str">
        <f>IFERROR(__xludf.DUMMYFUNCTION("""COMPUTED_VALUE"""),"CHATEA PRO")</f>
        <v>CHATEA PRO</v>
      </c>
      <c r="AV1267" s="65"/>
      <c r="AW1267" s="65"/>
      <c r="AX1267" s="65"/>
      <c r="AY1267" s="65" t="str">
        <f>IFERROR(__xludf.DUMMYFUNCTION("""COMPUTED_VALUE"""),"30/01/2026")</f>
        <v>30/01/2026</v>
      </c>
      <c r="AZ1267" s="65"/>
      <c r="BA1267" s="65"/>
    </row>
    <row r="1268">
      <c r="A1268" s="65" t="str">
        <f>IFERROR(__xludf.DUMMYFUNCTION("""COMPUTED_VALUE"""),"27-03-2026")</f>
        <v>27-03-2026</v>
      </c>
      <c r="B1268" s="65">
        <f>IFERROR(__xludf.DUMMYFUNCTION("""COMPUTED_VALUE"""),4326126.0)</f>
        <v>4326126</v>
      </c>
      <c r="C1268" s="65" t="str">
        <f>IFERROR(__xludf.DUMMYFUNCTION("""COMPUTED_VALUE"""),"22:08")</f>
        <v>22:08</v>
      </c>
      <c r="D1268" s="65" t="str">
        <f>IFERROR(__xludf.DUMMYFUNCTION("""COMPUTED_VALUE"""),"29-01-2026")</f>
        <v>29-01-2026</v>
      </c>
      <c r="E1268" s="65" t="str">
        <f>IFERROR(__xludf.DUMMYFUNCTION("""COMPUTED_VALUE"""),"VICTOR INTRIAGO")</f>
        <v>VICTOR INTRIAGO</v>
      </c>
      <c r="F1268" s="65" t="str">
        <f>IFERROR(__xludf.DUMMYFUNCTION("""COMPUTED_VALUE"""),"995454661")</f>
        <v>995454661</v>
      </c>
      <c r="G1268" s="65"/>
      <c r="H1268" s="65"/>
      <c r="I1268" s="65"/>
      <c r="J1268" s="65" t="str">
        <f>IFERROR(__xludf.DUMMYFUNCTION("""COMPUTED_VALUE"""),"D001277006")</f>
        <v>D001277006</v>
      </c>
      <c r="K1268" s="65" t="str">
        <f>IFERROR(__xludf.DUMMYFUNCTION("""COMPUTED_VALUE"""),"ENTREGADO")</f>
        <v>ENTREGADO</v>
      </c>
      <c r="L1268" s="65" t="str">
        <f>IFERROR(__xludf.DUMMYFUNCTION("""COMPUTED_VALUE"""),"CON RECAUDO")</f>
        <v>CON RECAUDO</v>
      </c>
      <c r="M1268" s="65" t="str">
        <f>IFERROR(__xludf.DUMMYFUNCTION("""COMPUTED_VALUE"""),"MANABI")</f>
        <v>MANABI</v>
      </c>
      <c r="N1268" s="65" t="str">
        <f>IFERROR(__xludf.DUMMYFUNCTION("""COMPUTED_VALUE"""),"PORTOVIEJO")</f>
        <v>PORTOVIEJO</v>
      </c>
      <c r="O1268" s="65" t="str">
        <f>IFERROR(__xludf.DUMMYFUNCTION("""COMPUTED_VALUE"""),"Calle Jipijapa y Segunda Transversal, Hospital de Especialidades San Antonio de Padua, Consultorio 21, Segundo Piso, Portoviejo, Manabí.")</f>
        <v>Calle Jipijapa y Segunda Transversal, Hospital de Especialidades San Antonio de Padua, Consultorio 21, Segundo Piso, Portoviejo, Manabí.</v>
      </c>
      <c r="P1268" s="65"/>
      <c r="Q1268" s="65" t="str">
        <f>IFERROR(__xludf.DUMMYFUNCTION("""COMPUTED_VALUE"""),"GINTRACOM")</f>
        <v>GINTRACOM</v>
      </c>
      <c r="R1268" s="65">
        <f>IFERROR(__xludf.DUMMYFUNCTION("""COMPUTED_VALUE"""),25.0)</f>
        <v>25</v>
      </c>
      <c r="S1268" s="65">
        <f>IFERROR(__xludf.DUMMYFUNCTION("""COMPUTED_VALUE"""),14.34)</f>
        <v>14.34</v>
      </c>
      <c r="T1268" s="65">
        <f>IFERROR(__xludf.DUMMYFUNCTION("""COMPUTED_VALUE"""),5.96)</f>
        <v>5.96</v>
      </c>
      <c r="U1268" s="65">
        <f>IFERROR(__xludf.DUMMYFUNCTION("""COMPUTED_VALUE"""),0.0)</f>
        <v>0</v>
      </c>
      <c r="V1268" s="65">
        <f>IFERROR(__xludf.DUMMYFUNCTION("""COMPUTED_VALUE"""),0.0)</f>
        <v>0</v>
      </c>
      <c r="W1268" s="65">
        <f>IFERROR(__xludf.DUMMYFUNCTION("""COMPUTED_VALUE"""),0.0)</f>
        <v>0</v>
      </c>
      <c r="X1268" s="65">
        <f>IFERROR(__xludf.DUMMYFUNCTION("""COMPUTED_VALUE"""),2.35)</f>
        <v>2.35</v>
      </c>
      <c r="Y1268" s="65">
        <f>IFERROR(__xludf.DUMMYFUNCTION("""COMPUTED_VALUE"""),4.7)</f>
        <v>4.7</v>
      </c>
      <c r="Z1268" s="65">
        <f>IFERROR(__xludf.DUMMYFUNCTION("""COMPUTED_VALUE"""),116679.0)</f>
        <v>116679</v>
      </c>
      <c r="AA1268" s="65" t="str">
        <f>IFERROR(__xludf.DUMMYFUNCTION("""COMPUTED_VALUE"""),"AMC-2738")</f>
        <v>AMC-2738</v>
      </c>
      <c r="AB1268" s="65"/>
      <c r="AC1268" s="65" t="str">
        <f>IFERROR(__xludf.DUMMYFUNCTION("""COMPUTED_VALUE"""),"ESPONJA ANTILLUVIA DE PARABRISAS")</f>
        <v>ESPONJA ANTILLUVIA DE PARABRISAS</v>
      </c>
      <c r="AD1268" s="65"/>
      <c r="AE1268" s="65">
        <f>IFERROR(__xludf.DUMMYFUNCTION("""COMPUTED_VALUE"""),2.0)</f>
        <v>2</v>
      </c>
      <c r="AF1268" s="65"/>
      <c r="AG1268" s="65"/>
      <c r="AH1268" s="65"/>
      <c r="AI1268" s="65"/>
      <c r="AJ1268" s="65"/>
      <c r="AK1268" s="65"/>
      <c r="AL1268" s="65"/>
      <c r="AM1268" s="65"/>
      <c r="AN1268" s="65" t="str">
        <f>IFERROR(__xludf.DUMMYFUNCTION("""COMPUTED_VALUE"""),"15:51")</f>
        <v>15:51</v>
      </c>
      <c r="AO1268" s="65" t="str">
        <f>IFERROR(__xludf.DUMMYFUNCTION("""COMPUTED_VALUE"""),"06-02-2026")</f>
        <v>06-02-2026</v>
      </c>
      <c r="AP1268" s="65" t="str">
        <f>IFERROR(__xludf.DUMMYFUNCTION("""COMPUTED_VALUE"""),"ENTREGADA GINTRACOM")</f>
        <v>ENTREGADA GINTRACOM</v>
      </c>
      <c r="AQ1268" s="65" t="str">
        <f>IFERROR(__xludf.DUMMYFUNCTION("""COMPUTED_VALUE"""),"ENTREGADA GINTRACOM")</f>
        <v>ENTREGADA GINTRACOM</v>
      </c>
      <c r="AR1268" s="65"/>
      <c r="AS1268" s="65"/>
      <c r="AT1268" s="65" t="str">
        <f>IFERROR(__xludf.DUMMYFUNCTION("""COMPUTED_VALUE"""),"CHATEA PRO")</f>
        <v>CHATEA PRO</v>
      </c>
      <c r="AU1268" s="65" t="str">
        <f>IFERROR(__xludf.DUMMYFUNCTION("""COMPUTED_VALUE"""),"CHATEA PRO")</f>
        <v>CHATEA PRO</v>
      </c>
      <c r="AV1268" s="65"/>
      <c r="AW1268" s="65"/>
      <c r="AX1268" s="65"/>
      <c r="AY1268" s="65" t="str">
        <f>IFERROR(__xludf.DUMMYFUNCTION("""COMPUTED_VALUE"""),"30/01/2026")</f>
        <v>30/01/2026</v>
      </c>
      <c r="AZ1268" s="65"/>
      <c r="BA1268" s="65"/>
    </row>
    <row r="1269">
      <c r="A1269" s="65" t="str">
        <f>IFERROR(__xludf.DUMMYFUNCTION("""COMPUTED_VALUE"""),"27-03-2026")</f>
        <v>27-03-2026</v>
      </c>
      <c r="B1269" s="65">
        <f>IFERROR(__xludf.DUMMYFUNCTION("""COMPUTED_VALUE"""),4326098.0)</f>
        <v>4326098</v>
      </c>
      <c r="C1269" s="65" t="str">
        <f>IFERROR(__xludf.DUMMYFUNCTION("""COMPUTED_VALUE"""),"22:06")</f>
        <v>22:06</v>
      </c>
      <c r="D1269" s="65" t="str">
        <f>IFERROR(__xludf.DUMMYFUNCTION("""COMPUTED_VALUE"""),"29-01-2026")</f>
        <v>29-01-2026</v>
      </c>
      <c r="E1269" s="65" t="str">
        <f>IFERROR(__xludf.DUMMYFUNCTION("""COMPUTED_VALUE"""),"Gabriela Estefanía Robalino Morales")</f>
        <v>Gabriela Estefanía Robalino Morales</v>
      </c>
      <c r="F1269" s="65" t="str">
        <f>IFERROR(__xludf.DUMMYFUNCTION("""COMPUTED_VALUE"""),"995398875")</f>
        <v>995398875</v>
      </c>
      <c r="G1269" s="65"/>
      <c r="H1269" s="65"/>
      <c r="I1269" s="65"/>
      <c r="J1269" s="65" t="str">
        <f>IFERROR(__xludf.DUMMYFUNCTION("""COMPUTED_VALUE"""),"D001277008")</f>
        <v>D001277008</v>
      </c>
      <c r="K1269" s="65" t="str">
        <f>IFERROR(__xludf.DUMMYFUNCTION("""COMPUTED_VALUE"""),"ENTREGADO")</f>
        <v>ENTREGADO</v>
      </c>
      <c r="L1269" s="65" t="str">
        <f>IFERROR(__xludf.DUMMYFUNCTION("""COMPUTED_VALUE"""),"CON RECAUDO")</f>
        <v>CON RECAUDO</v>
      </c>
      <c r="M1269" s="65" t="str">
        <f>IFERROR(__xludf.DUMMYFUNCTION("""COMPUTED_VALUE"""),"TUNGURAHUA")</f>
        <v>TUNGURAHUA</v>
      </c>
      <c r="N1269" s="65" t="str">
        <f>IFERROR(__xludf.DUMMYFUNCTION("""COMPUTED_VALUE"""),"AMBATO")</f>
        <v>AMBATO</v>
      </c>
      <c r="O1269" s="65" t="str">
        <f>IFERROR(__xludf.DUMMYFUNCTION("""COMPUTED_VALUE"""),"Ambato, calle lalama y rocafuerte sector medalla milagrosa Instituto Tecnológico España - frente a la iglesia de la medalla milagrosa")</f>
        <v>Ambato, calle lalama y rocafuerte sector medalla milagrosa Instituto Tecnológico España - frente a la iglesia de la medalla milagrosa</v>
      </c>
      <c r="P1269" s="65"/>
      <c r="Q1269" s="65" t="str">
        <f>IFERROR(__xludf.DUMMYFUNCTION("""COMPUTED_VALUE"""),"GINTRACOM")</f>
        <v>GINTRACOM</v>
      </c>
      <c r="R1269" s="65">
        <f>IFERROR(__xludf.DUMMYFUNCTION("""COMPUTED_VALUE"""),30.0)</f>
        <v>30</v>
      </c>
      <c r="S1269" s="65">
        <f>IFERROR(__xludf.DUMMYFUNCTION("""COMPUTED_VALUE"""),16.79)</f>
        <v>16.79</v>
      </c>
      <c r="T1269" s="65">
        <f>IFERROR(__xludf.DUMMYFUNCTION("""COMPUTED_VALUE"""),6.16)</f>
        <v>6.16</v>
      </c>
      <c r="U1269" s="65">
        <f>IFERROR(__xludf.DUMMYFUNCTION("""COMPUTED_VALUE"""),0.0)</f>
        <v>0</v>
      </c>
      <c r="V1269" s="65">
        <f>IFERROR(__xludf.DUMMYFUNCTION("""COMPUTED_VALUE"""),0.0)</f>
        <v>0</v>
      </c>
      <c r="W1269" s="65">
        <f>IFERROR(__xludf.DUMMYFUNCTION("""COMPUTED_VALUE"""),0.0)</f>
        <v>0</v>
      </c>
      <c r="X1269" s="65">
        <f>IFERROR(__xludf.DUMMYFUNCTION("""COMPUTED_VALUE"""),2.35)</f>
        <v>2.35</v>
      </c>
      <c r="Y1269" s="65">
        <f>IFERROR(__xludf.DUMMYFUNCTION("""COMPUTED_VALUE"""),7.05)</f>
        <v>7.05</v>
      </c>
      <c r="Z1269" s="65">
        <f>IFERROR(__xludf.DUMMYFUNCTION("""COMPUTED_VALUE"""),116679.0)</f>
        <v>116679</v>
      </c>
      <c r="AA1269" s="65" t="str">
        <f>IFERROR(__xludf.DUMMYFUNCTION("""COMPUTED_VALUE"""),"AMC-2738")</f>
        <v>AMC-2738</v>
      </c>
      <c r="AB1269" s="65"/>
      <c r="AC1269" s="65" t="str">
        <f>IFERROR(__xludf.DUMMYFUNCTION("""COMPUTED_VALUE"""),"ESPONJA ANTILLUVIA DE PARABRISAS")</f>
        <v>ESPONJA ANTILLUVIA DE PARABRISAS</v>
      </c>
      <c r="AD1269" s="65"/>
      <c r="AE1269" s="65">
        <f>IFERROR(__xludf.DUMMYFUNCTION("""COMPUTED_VALUE"""),3.0)</f>
        <v>3</v>
      </c>
      <c r="AF1269" s="65"/>
      <c r="AG1269" s="65"/>
      <c r="AH1269" s="65"/>
      <c r="AI1269" s="65"/>
      <c r="AJ1269" s="65"/>
      <c r="AK1269" s="65"/>
      <c r="AL1269" s="65"/>
      <c r="AM1269" s="65"/>
      <c r="AN1269" s="65"/>
      <c r="AO1269" s="65"/>
      <c r="AP1269" s="65"/>
      <c r="AQ1269" s="65"/>
      <c r="AR1269" s="65"/>
      <c r="AS1269" s="65"/>
      <c r="AT1269" s="65" t="str">
        <f>IFERROR(__xludf.DUMMYFUNCTION("""COMPUTED_VALUE"""),"CHATEA PRO")</f>
        <v>CHATEA PRO</v>
      </c>
      <c r="AU1269" s="65" t="str">
        <f>IFERROR(__xludf.DUMMYFUNCTION("""COMPUTED_VALUE"""),"CHATEA PRO")</f>
        <v>CHATEA PRO</v>
      </c>
      <c r="AV1269" s="65"/>
      <c r="AW1269" s="65"/>
      <c r="AX1269" s="65"/>
      <c r="AY1269" s="65" t="str">
        <f>IFERROR(__xludf.DUMMYFUNCTION("""COMPUTED_VALUE"""),"30/01/2026")</f>
        <v>30/01/2026</v>
      </c>
      <c r="AZ1269" s="65"/>
      <c r="BA1269" s="65"/>
    </row>
    <row r="1270">
      <c r="A1270" s="65" t="str">
        <f>IFERROR(__xludf.DUMMYFUNCTION("""COMPUTED_VALUE"""),"27-03-2026")</f>
        <v>27-03-2026</v>
      </c>
      <c r="B1270" s="65">
        <f>IFERROR(__xludf.DUMMYFUNCTION("""COMPUTED_VALUE"""),4325809.0)</f>
        <v>4325809</v>
      </c>
      <c r="C1270" s="65" t="str">
        <f>IFERROR(__xludf.DUMMYFUNCTION("""COMPUTED_VALUE"""),"21:44")</f>
        <v>21:44</v>
      </c>
      <c r="D1270" s="65" t="str">
        <f>IFERROR(__xludf.DUMMYFUNCTION("""COMPUTED_VALUE"""),"29-01-2026")</f>
        <v>29-01-2026</v>
      </c>
      <c r="E1270" s="65" t="str">
        <f>IFERROR(__xludf.DUMMYFUNCTION("""COMPUTED_VALUE"""),"Ruth Ivanna Abril López")</f>
        <v>Ruth Ivanna Abril López</v>
      </c>
      <c r="F1270" s="65" t="str">
        <f>IFERROR(__xludf.DUMMYFUNCTION("""COMPUTED_VALUE"""),"983539049")</f>
        <v>983539049</v>
      </c>
      <c r="G1270" s="65"/>
      <c r="H1270" s="65"/>
      <c r="I1270" s="65"/>
      <c r="J1270" s="65" t="str">
        <f>IFERROR(__xludf.DUMMYFUNCTION("""COMPUTED_VALUE"""),"D001277014")</f>
        <v>D001277014</v>
      </c>
      <c r="K1270" s="65" t="str">
        <f>IFERROR(__xludf.DUMMYFUNCTION("""COMPUTED_VALUE"""),"DEVOLUCION")</f>
        <v>DEVOLUCION</v>
      </c>
      <c r="L1270" s="65" t="str">
        <f>IFERROR(__xludf.DUMMYFUNCTION("""COMPUTED_VALUE"""),"CON RECAUDO")</f>
        <v>CON RECAUDO</v>
      </c>
      <c r="M1270" s="65" t="str">
        <f>IFERROR(__xludf.DUMMYFUNCTION("""COMPUTED_VALUE"""),"GUAYAS")</f>
        <v>GUAYAS</v>
      </c>
      <c r="N1270" s="65" t="str">
        <f>IFERROR(__xludf.DUMMYFUNCTION("""COMPUTED_VALUE"""),"MILAGRO")</f>
        <v>MILAGRO</v>
      </c>
      <c r="O1270" s="65" t="str">
        <f>IFERROR(__xludf.DUMMYFUNCTION("""COMPUTED_VALUE"""),"Milagro - Vía Naranjito - Sector Urbanización Milagro - Ref. Junto a Vivero Tierra Fértil")</f>
        <v>Milagro - Vía Naranjito - Sector Urbanización Milagro - Ref. Junto a Vivero Tierra Fértil</v>
      </c>
      <c r="P1270" s="65"/>
      <c r="Q1270" s="65" t="str">
        <f>IFERROR(__xludf.DUMMYFUNCTION("""COMPUTED_VALUE"""),"GINTRACOM")</f>
        <v>GINTRACOM</v>
      </c>
      <c r="R1270" s="65">
        <f>IFERROR(__xludf.DUMMYFUNCTION("""COMPUTED_VALUE"""),20.0)</f>
        <v>20</v>
      </c>
      <c r="S1270" s="65"/>
      <c r="T1270" s="65">
        <f>IFERROR(__xludf.DUMMYFUNCTION("""COMPUTED_VALUE"""),5.76)</f>
        <v>5.76</v>
      </c>
      <c r="U1270" s="65">
        <f>IFERROR(__xludf.DUMMYFUNCTION("""COMPUTED_VALUE"""),0.0)</f>
        <v>0</v>
      </c>
      <c r="V1270" s="65">
        <f>IFERROR(__xludf.DUMMYFUNCTION("""COMPUTED_VALUE"""),0.0)</f>
        <v>0</v>
      </c>
      <c r="W1270" s="65">
        <f>IFERROR(__xludf.DUMMYFUNCTION("""COMPUTED_VALUE"""),0.0)</f>
        <v>0</v>
      </c>
      <c r="X1270" s="65">
        <f>IFERROR(__xludf.DUMMYFUNCTION("""COMPUTED_VALUE"""),2.35)</f>
        <v>2.35</v>
      </c>
      <c r="Y1270" s="65">
        <f>IFERROR(__xludf.DUMMYFUNCTION("""COMPUTED_VALUE"""),2.35)</f>
        <v>2.35</v>
      </c>
      <c r="Z1270" s="65">
        <f>IFERROR(__xludf.DUMMYFUNCTION("""COMPUTED_VALUE"""),116679.0)</f>
        <v>116679</v>
      </c>
      <c r="AA1270" s="65" t="str">
        <f>IFERROR(__xludf.DUMMYFUNCTION("""COMPUTED_VALUE"""),"AMC-2738")</f>
        <v>AMC-2738</v>
      </c>
      <c r="AB1270" s="65"/>
      <c r="AC1270" s="65" t="str">
        <f>IFERROR(__xludf.DUMMYFUNCTION("""COMPUTED_VALUE"""),"ESPONJA ANTILLUVIA DE PARABRISAS")</f>
        <v>ESPONJA ANTILLUVIA DE PARABRISAS</v>
      </c>
      <c r="AD1270" s="65"/>
      <c r="AE1270" s="65">
        <f>IFERROR(__xludf.DUMMYFUNCTION("""COMPUTED_VALUE"""),1.0)</f>
        <v>1</v>
      </c>
      <c r="AF1270" s="65" t="str">
        <f>IFERROR(__xludf.DUMMYFUNCTION("""COMPUTED_VALUE"""),"DESTINATARIO NO CONTESTA LLAMADAS NI WHATSAPP")</f>
        <v>DESTINATARIO NO CONTESTA LLAMADAS NI WHATSAPP</v>
      </c>
      <c r="AG1270" s="65" t="str">
        <f>IFERROR(__xludf.DUMMYFUNCTION("""COMPUTED_VALUE"""),"NO")</f>
        <v>NO</v>
      </c>
      <c r="AH1270" s="65" t="str">
        <f>IFERROR(__xludf.DUMMYFUNCTION("""COMPUTED_VALUE"""),"09:00")</f>
        <v>09:00</v>
      </c>
      <c r="AI1270" s="65" t="str">
        <f>IFERROR(__xludf.DUMMYFUNCTION("""COMPUTED_VALUE"""),"10-02-2026")</f>
        <v>10-02-2026</v>
      </c>
      <c r="AJ1270" s="65"/>
      <c r="AK1270" s="65"/>
      <c r="AL1270" s="65"/>
      <c r="AM1270" s="65"/>
      <c r="AN1270" s="65" t="str">
        <f>IFERROR(__xludf.DUMMYFUNCTION("""COMPUTED_VALUE"""),"15:48")</f>
        <v>15:48</v>
      </c>
      <c r="AO1270" s="65" t="str">
        <f>IFERROR(__xludf.DUMMYFUNCTION("""COMPUTED_VALUE"""),"02-03-2026")</f>
        <v>02-03-2026</v>
      </c>
      <c r="AP1270" s="65" t="str">
        <f>IFERROR(__xludf.DUMMYFUNCTION("""COMPUTED_VALUE"""),"DEVOLUCIÓN ENTREGADA A ORIGEN")</f>
        <v>DEVOLUCIÓN ENTREGADA A ORIGEN</v>
      </c>
      <c r="AQ1270" s="65" t="str">
        <f>IFERROR(__xludf.DUMMYFUNCTION("""COMPUTED_VALUE"""),"DEVOLUCIÓN ENTREGADA A ORIGEN")</f>
        <v>DEVOLUCIÓN ENTREGADA A ORIGEN</v>
      </c>
      <c r="AR1270" s="65"/>
      <c r="AS1270" s="65"/>
      <c r="AT1270" s="65" t="str">
        <f>IFERROR(__xludf.DUMMYFUNCTION("""COMPUTED_VALUE"""),"CHATEA PRO")</f>
        <v>CHATEA PRO</v>
      </c>
      <c r="AU1270" s="65" t="str">
        <f>IFERROR(__xludf.DUMMYFUNCTION("""COMPUTED_VALUE"""),"CHATEA PRO")</f>
        <v>CHATEA PRO</v>
      </c>
      <c r="AV1270" s="65"/>
      <c r="AW1270" s="65"/>
      <c r="AX1270" s="65"/>
      <c r="AY1270" s="65" t="str">
        <f>IFERROR(__xludf.DUMMYFUNCTION("""COMPUTED_VALUE"""),"30/01/2026")</f>
        <v>30/01/2026</v>
      </c>
      <c r="AZ1270" s="65"/>
      <c r="BA1270" s="65"/>
    </row>
    <row r="1271">
      <c r="A1271" s="65" t="str">
        <f>IFERROR(__xludf.DUMMYFUNCTION("""COMPUTED_VALUE"""),"27-03-2026")</f>
        <v>27-03-2026</v>
      </c>
      <c r="B1271" s="65">
        <f>IFERROR(__xludf.DUMMYFUNCTION("""COMPUTED_VALUE"""),4325616.0)</f>
        <v>4325616</v>
      </c>
      <c r="C1271" s="65" t="str">
        <f>IFERROR(__xludf.DUMMYFUNCTION("""COMPUTED_VALUE"""),"21:29")</f>
        <v>21:29</v>
      </c>
      <c r="D1271" s="65" t="str">
        <f>IFERROR(__xludf.DUMMYFUNCTION("""COMPUTED_VALUE"""),"29-01-2026")</f>
        <v>29-01-2026</v>
      </c>
      <c r="E1271" s="65" t="str">
        <f>IFERROR(__xludf.DUMMYFUNCTION("""COMPUTED_VALUE"""),"Sebastián Morales")</f>
        <v>Sebastián Morales</v>
      </c>
      <c r="F1271" s="65" t="str">
        <f>IFERROR(__xludf.DUMMYFUNCTION("""COMPUTED_VALUE"""),"995979544")</f>
        <v>995979544</v>
      </c>
      <c r="G1271" s="65"/>
      <c r="H1271" s="65"/>
      <c r="I1271" s="65"/>
      <c r="J1271" s="65" t="str">
        <f>IFERROR(__xludf.DUMMYFUNCTION("""COMPUTED_VALUE"""),"D001277015")</f>
        <v>D001277015</v>
      </c>
      <c r="K1271" s="65" t="str">
        <f>IFERROR(__xludf.DUMMYFUNCTION("""COMPUTED_VALUE"""),"ENTREGADO")</f>
        <v>ENTREGADO</v>
      </c>
      <c r="L1271" s="65" t="str">
        <f>IFERROR(__xludf.DUMMYFUNCTION("""COMPUTED_VALUE"""),"CON RECAUDO")</f>
        <v>CON RECAUDO</v>
      </c>
      <c r="M1271" s="65" t="str">
        <f>IFERROR(__xludf.DUMMYFUNCTION("""COMPUTED_VALUE"""),"PICHINCHA")</f>
        <v>PICHINCHA</v>
      </c>
      <c r="N1271" s="65" t="str">
        <f>IFERROR(__xludf.DUMMYFUNCTION("""COMPUTED_VALUE"""),"TUMBACO")</f>
        <v>TUMBACO</v>
      </c>
      <c r="O1271" s="65" t="str">
        <f>IFERROR(__xludf.DUMMYFUNCTION("""COMPUTED_VALUE"""),"San José de collaqui Mas arriba de la iglesia de collaqui - Collaqui tumbaco")</f>
        <v>San José de collaqui Mas arriba de la iglesia de collaqui - Collaqui tumbaco</v>
      </c>
      <c r="P1271" s="65"/>
      <c r="Q1271" s="65" t="str">
        <f>IFERROR(__xludf.DUMMYFUNCTION("""COMPUTED_VALUE"""),"GINTRACOM")</f>
        <v>GINTRACOM</v>
      </c>
      <c r="R1271" s="65">
        <f>IFERROR(__xludf.DUMMYFUNCTION("""COMPUTED_VALUE"""),30.0)</f>
        <v>30</v>
      </c>
      <c r="S1271" s="65">
        <f>IFERROR(__xludf.DUMMYFUNCTION("""COMPUTED_VALUE"""),17.83)</f>
        <v>17.83</v>
      </c>
      <c r="T1271" s="65">
        <f>IFERROR(__xludf.DUMMYFUNCTION("""COMPUTED_VALUE"""),5.12)</f>
        <v>5.12</v>
      </c>
      <c r="U1271" s="65">
        <f>IFERROR(__xludf.DUMMYFUNCTION("""COMPUTED_VALUE"""),0.0)</f>
        <v>0</v>
      </c>
      <c r="V1271" s="65">
        <f>IFERROR(__xludf.DUMMYFUNCTION("""COMPUTED_VALUE"""),0.0)</f>
        <v>0</v>
      </c>
      <c r="W1271" s="65">
        <f>IFERROR(__xludf.DUMMYFUNCTION("""COMPUTED_VALUE"""),0.0)</f>
        <v>0</v>
      </c>
      <c r="X1271" s="65">
        <f>IFERROR(__xludf.DUMMYFUNCTION("""COMPUTED_VALUE"""),2.35)</f>
        <v>2.35</v>
      </c>
      <c r="Y1271" s="65">
        <f>IFERROR(__xludf.DUMMYFUNCTION("""COMPUTED_VALUE"""),7.05)</f>
        <v>7.05</v>
      </c>
      <c r="Z1271" s="65">
        <f>IFERROR(__xludf.DUMMYFUNCTION("""COMPUTED_VALUE"""),116679.0)</f>
        <v>116679</v>
      </c>
      <c r="AA1271" s="65" t="str">
        <f>IFERROR(__xludf.DUMMYFUNCTION("""COMPUTED_VALUE"""),"AMC-2738")</f>
        <v>AMC-2738</v>
      </c>
      <c r="AB1271" s="65"/>
      <c r="AC1271" s="65" t="str">
        <f>IFERROR(__xludf.DUMMYFUNCTION("""COMPUTED_VALUE"""),"ESPONJA ANTILLUVIA DE PARABRISAS")</f>
        <v>ESPONJA ANTILLUVIA DE PARABRISAS</v>
      </c>
      <c r="AD1271" s="65"/>
      <c r="AE1271" s="65">
        <f>IFERROR(__xludf.DUMMYFUNCTION("""COMPUTED_VALUE"""),3.0)</f>
        <v>3</v>
      </c>
      <c r="AF1271" s="65"/>
      <c r="AG1271" s="65"/>
      <c r="AH1271" s="65"/>
      <c r="AI1271" s="65"/>
      <c r="AJ1271" s="65"/>
      <c r="AK1271" s="65"/>
      <c r="AL1271" s="65"/>
      <c r="AM1271" s="65"/>
      <c r="AN1271" s="65"/>
      <c r="AO1271" s="65"/>
      <c r="AP1271" s="65"/>
      <c r="AQ1271" s="65"/>
      <c r="AR1271" s="65"/>
      <c r="AS1271" s="65"/>
      <c r="AT1271" s="65" t="str">
        <f>IFERROR(__xludf.DUMMYFUNCTION("""COMPUTED_VALUE"""),"CHATEA PRO")</f>
        <v>CHATEA PRO</v>
      </c>
      <c r="AU1271" s="65" t="str">
        <f>IFERROR(__xludf.DUMMYFUNCTION("""COMPUTED_VALUE"""),"CHATEA PRO")</f>
        <v>CHATEA PRO</v>
      </c>
      <c r="AV1271" s="65"/>
      <c r="AW1271" s="65"/>
      <c r="AX1271" s="65"/>
      <c r="AY1271" s="65" t="str">
        <f>IFERROR(__xludf.DUMMYFUNCTION("""COMPUTED_VALUE"""),"30/01/2026")</f>
        <v>30/01/2026</v>
      </c>
      <c r="AZ1271" s="65"/>
      <c r="BA1271" s="65"/>
    </row>
    <row r="1272">
      <c r="A1272" s="65" t="str">
        <f>IFERROR(__xludf.DUMMYFUNCTION("""COMPUTED_VALUE"""),"27-03-2026")</f>
        <v>27-03-2026</v>
      </c>
      <c r="B1272" s="65">
        <f>IFERROR(__xludf.DUMMYFUNCTION("""COMPUTED_VALUE"""),4325580.0)</f>
        <v>4325580</v>
      </c>
      <c r="C1272" s="65" t="str">
        <f>IFERROR(__xludf.DUMMYFUNCTION("""COMPUTED_VALUE"""),"21:26")</f>
        <v>21:26</v>
      </c>
      <c r="D1272" s="65" t="str">
        <f>IFERROR(__xludf.DUMMYFUNCTION("""COMPUTED_VALUE"""),"29-01-2026")</f>
        <v>29-01-2026</v>
      </c>
      <c r="E1272" s="65" t="str">
        <f>IFERROR(__xludf.DUMMYFUNCTION("""COMPUTED_VALUE"""),"Jhonny López López")</f>
        <v>Jhonny López López</v>
      </c>
      <c r="F1272" s="65" t="str">
        <f>IFERROR(__xludf.DUMMYFUNCTION("""COMPUTED_VALUE"""),"981564258")</f>
        <v>981564258</v>
      </c>
      <c r="G1272" s="65"/>
      <c r="H1272" s="65"/>
      <c r="I1272" s="65"/>
      <c r="J1272" s="65" t="str">
        <f>IFERROR(__xludf.DUMMYFUNCTION("""COMPUTED_VALUE"""),"186553259")</f>
        <v>186553259</v>
      </c>
      <c r="K1272" s="65" t="str">
        <f>IFERROR(__xludf.DUMMYFUNCTION("""COMPUTED_VALUE"""),"ENTREGADO")</f>
        <v>ENTREGADO</v>
      </c>
      <c r="L1272" s="65" t="str">
        <f>IFERROR(__xludf.DUMMYFUNCTION("""COMPUTED_VALUE"""),"CON RECAUDO")</f>
        <v>CON RECAUDO</v>
      </c>
      <c r="M1272" s="65" t="str">
        <f>IFERROR(__xludf.DUMMYFUNCTION("""COMPUTED_VALUE"""),"ZAMORA CHINCHIPE")</f>
        <v>ZAMORA CHINCHIPE</v>
      </c>
      <c r="N1272" s="65" t="str">
        <f>IFERROR(__xludf.DUMMYFUNCTION("""COMPUTED_VALUE"""),"EL PANGUI")</f>
        <v>EL PANGUI</v>
      </c>
      <c r="O1272" s="65" t="str">
        <f>IFERROR(__xludf.DUMMYFUNCTION("""COMPUTED_VALUE"""),"A.V. ivan riofrio Frente al colegio ecuador amaz - Gold store 0981564258")</f>
        <v>A.V. ivan riofrio Frente al colegio ecuador amaz - Gold store 0981564258</v>
      </c>
      <c r="P1272" s="65"/>
      <c r="Q1272" s="65" t="str">
        <f>IFERROR(__xludf.DUMMYFUNCTION("""COMPUTED_VALUE"""),"SERVIENTREGA")</f>
        <v>SERVIENTREGA</v>
      </c>
      <c r="R1272" s="65">
        <f>IFERROR(__xludf.DUMMYFUNCTION("""COMPUTED_VALUE"""),25.0)</f>
        <v>25</v>
      </c>
      <c r="S1272" s="65">
        <f>IFERROR(__xludf.DUMMYFUNCTION("""COMPUTED_VALUE"""),12.55)</f>
        <v>12.55</v>
      </c>
      <c r="T1272" s="65">
        <f>IFERROR(__xludf.DUMMYFUNCTION("""COMPUTED_VALUE"""),7.75)</f>
        <v>7.75</v>
      </c>
      <c r="U1272" s="65">
        <f>IFERROR(__xludf.DUMMYFUNCTION("""COMPUTED_VALUE"""),0.0)</f>
        <v>0</v>
      </c>
      <c r="V1272" s="65">
        <f>IFERROR(__xludf.DUMMYFUNCTION("""COMPUTED_VALUE"""),0.0)</f>
        <v>0</v>
      </c>
      <c r="W1272" s="65">
        <f>IFERROR(__xludf.DUMMYFUNCTION("""COMPUTED_VALUE"""),0.0)</f>
        <v>0</v>
      </c>
      <c r="X1272" s="65">
        <f>IFERROR(__xludf.DUMMYFUNCTION("""COMPUTED_VALUE"""),2.35)</f>
        <v>2.35</v>
      </c>
      <c r="Y1272" s="65">
        <f>IFERROR(__xludf.DUMMYFUNCTION("""COMPUTED_VALUE"""),4.7)</f>
        <v>4.7</v>
      </c>
      <c r="Z1272" s="65">
        <f>IFERROR(__xludf.DUMMYFUNCTION("""COMPUTED_VALUE"""),116679.0)</f>
        <v>116679</v>
      </c>
      <c r="AA1272" s="65" t="str">
        <f>IFERROR(__xludf.DUMMYFUNCTION("""COMPUTED_VALUE"""),"AMC-2738")</f>
        <v>AMC-2738</v>
      </c>
      <c r="AB1272" s="65"/>
      <c r="AC1272" s="65" t="str">
        <f>IFERROR(__xludf.DUMMYFUNCTION("""COMPUTED_VALUE"""),"ESPONJA ANTILLUVIA DE PARABRISAS")</f>
        <v>ESPONJA ANTILLUVIA DE PARABRISAS</v>
      </c>
      <c r="AD1272" s="65"/>
      <c r="AE1272" s="65">
        <f>IFERROR(__xludf.DUMMYFUNCTION("""COMPUTED_VALUE"""),2.0)</f>
        <v>2</v>
      </c>
      <c r="AF1272" s="65"/>
      <c r="AG1272" s="65"/>
      <c r="AH1272" s="65"/>
      <c r="AI1272" s="65"/>
      <c r="AJ1272" s="65"/>
      <c r="AK1272" s="65"/>
      <c r="AL1272" s="65"/>
      <c r="AM1272" s="65"/>
      <c r="AN1272" s="65" t="str">
        <f>IFERROR(__xludf.DUMMYFUNCTION("""COMPUTED_VALUE"""),"08:42")</f>
        <v>08:42</v>
      </c>
      <c r="AO1272" s="65" t="str">
        <f>IFERROR(__xludf.DUMMYFUNCTION("""COMPUTED_VALUE"""),"24-02-2026")</f>
        <v>24-02-2026</v>
      </c>
      <c r="AP1272" s="65" t="str">
        <f>IFERROR(__xludf.DUMMYFUNCTION("""COMPUTED_VALUE"""),"ENTREGA DIGITALIZADA EN CENTRO LOGISTICO")</f>
        <v>ENTREGA DIGITALIZADA EN CENTRO LOGISTICO</v>
      </c>
      <c r="AQ1272" s="65" t="str">
        <f>IFERROR(__xludf.DUMMYFUNCTION("""COMPUTED_VALUE"""),"Jhonny López")</f>
        <v>Jhonny López</v>
      </c>
      <c r="AR1272" s="65"/>
      <c r="AS1272" s="65"/>
      <c r="AT1272" s="65" t="str">
        <f>IFERROR(__xludf.DUMMYFUNCTION("""COMPUTED_VALUE"""),"CHATEA PRO")</f>
        <v>CHATEA PRO</v>
      </c>
      <c r="AU1272" s="65" t="str">
        <f>IFERROR(__xludf.DUMMYFUNCTION("""COMPUTED_VALUE"""),"CHATEA PRO")</f>
        <v>CHATEA PRO</v>
      </c>
      <c r="AV1272" s="65"/>
      <c r="AW1272" s="65"/>
      <c r="AX1272" s="65"/>
      <c r="AY1272" s="65" t="str">
        <f>IFERROR(__xludf.DUMMYFUNCTION("""COMPUTED_VALUE"""),"30/01/2026")</f>
        <v>30/01/2026</v>
      </c>
      <c r="AZ1272" s="65"/>
      <c r="BA1272" s="65"/>
    </row>
    <row r="1273">
      <c r="A1273" s="65" t="str">
        <f>IFERROR(__xludf.DUMMYFUNCTION("""COMPUTED_VALUE"""),"27-03-2026")</f>
        <v>27-03-2026</v>
      </c>
      <c r="B1273" s="65">
        <f>IFERROR(__xludf.DUMMYFUNCTION("""COMPUTED_VALUE"""),4325551.0)</f>
        <v>4325551</v>
      </c>
      <c r="C1273" s="65" t="str">
        <f>IFERROR(__xludf.DUMMYFUNCTION("""COMPUTED_VALUE"""),"21:23")</f>
        <v>21:23</v>
      </c>
      <c r="D1273" s="65" t="str">
        <f>IFERROR(__xludf.DUMMYFUNCTION("""COMPUTED_VALUE"""),"29-01-2026")</f>
        <v>29-01-2026</v>
      </c>
      <c r="E1273" s="65" t="str">
        <f>IFERROR(__xludf.DUMMYFUNCTION("""COMPUTED_VALUE"""),"Cyndi Villacis")</f>
        <v>Cyndi Villacis</v>
      </c>
      <c r="F1273" s="65" t="str">
        <f>IFERROR(__xludf.DUMMYFUNCTION("""COMPUTED_VALUE"""),"980675658")</f>
        <v>980675658</v>
      </c>
      <c r="G1273" s="65"/>
      <c r="H1273" s="65"/>
      <c r="I1273" s="65"/>
      <c r="J1273" s="65" t="str">
        <f>IFERROR(__xludf.DUMMYFUNCTION("""COMPUTED_VALUE"""),"D001277017")</f>
        <v>D001277017</v>
      </c>
      <c r="K1273" s="65" t="str">
        <f>IFERROR(__xludf.DUMMYFUNCTION("""COMPUTED_VALUE"""),"ENTREGADO")</f>
        <v>ENTREGADO</v>
      </c>
      <c r="L1273" s="65" t="str">
        <f>IFERROR(__xludf.DUMMYFUNCTION("""COMPUTED_VALUE"""),"CON RECAUDO")</f>
        <v>CON RECAUDO</v>
      </c>
      <c r="M1273" s="65" t="str">
        <f>IFERROR(__xludf.DUMMYFUNCTION("""COMPUTED_VALUE"""),"SUCUMBIOS")</f>
        <v>SUCUMBIOS</v>
      </c>
      <c r="N1273" s="65" t="str">
        <f>IFERROR(__xludf.DUMMYFUNCTION("""COMPUTED_VALUE"""),"LAGO AGRIO")</f>
        <v>LAGO AGRIO</v>
      </c>
      <c r="O1273" s="65" t="str">
        <f>IFERROR(__xludf.DUMMYFUNCTION("""COMPUTED_VALUE"""),"Av. Quito y Pasaje Gonzanama - Frente al Hotel Gran Colombia")</f>
        <v>Av. Quito y Pasaje Gonzanama - Frente al Hotel Gran Colombia</v>
      </c>
      <c r="P1273" s="65"/>
      <c r="Q1273" s="65" t="str">
        <f>IFERROR(__xludf.DUMMYFUNCTION("""COMPUTED_VALUE"""),"GINTRACOM")</f>
        <v>GINTRACOM</v>
      </c>
      <c r="R1273" s="65">
        <f>IFERROR(__xludf.DUMMYFUNCTION("""COMPUTED_VALUE"""),20.0)</f>
        <v>20</v>
      </c>
      <c r="S1273" s="65">
        <f>IFERROR(__xludf.DUMMYFUNCTION("""COMPUTED_VALUE"""),11.89)</f>
        <v>11.89</v>
      </c>
      <c r="T1273" s="65">
        <f>IFERROR(__xludf.DUMMYFUNCTION("""COMPUTED_VALUE"""),5.76)</f>
        <v>5.76</v>
      </c>
      <c r="U1273" s="65">
        <f>IFERROR(__xludf.DUMMYFUNCTION("""COMPUTED_VALUE"""),0.0)</f>
        <v>0</v>
      </c>
      <c r="V1273" s="65">
        <f>IFERROR(__xludf.DUMMYFUNCTION("""COMPUTED_VALUE"""),0.0)</f>
        <v>0</v>
      </c>
      <c r="W1273" s="65">
        <f>IFERROR(__xludf.DUMMYFUNCTION("""COMPUTED_VALUE"""),0.0)</f>
        <v>0</v>
      </c>
      <c r="X1273" s="65">
        <f>IFERROR(__xludf.DUMMYFUNCTION("""COMPUTED_VALUE"""),2.35)</f>
        <v>2.35</v>
      </c>
      <c r="Y1273" s="65">
        <f>IFERROR(__xludf.DUMMYFUNCTION("""COMPUTED_VALUE"""),2.35)</f>
        <v>2.35</v>
      </c>
      <c r="Z1273" s="65">
        <f>IFERROR(__xludf.DUMMYFUNCTION("""COMPUTED_VALUE"""),116679.0)</f>
        <v>116679</v>
      </c>
      <c r="AA1273" s="65" t="str">
        <f>IFERROR(__xludf.DUMMYFUNCTION("""COMPUTED_VALUE"""),"AMC-2738")</f>
        <v>AMC-2738</v>
      </c>
      <c r="AB1273" s="65"/>
      <c r="AC1273" s="65" t="str">
        <f>IFERROR(__xludf.DUMMYFUNCTION("""COMPUTED_VALUE"""),"ESPONJA ANTILLUVIA DE PARABRISAS")</f>
        <v>ESPONJA ANTILLUVIA DE PARABRISAS</v>
      </c>
      <c r="AD1273" s="65"/>
      <c r="AE1273" s="65">
        <f>IFERROR(__xludf.DUMMYFUNCTION("""COMPUTED_VALUE"""),1.0)</f>
        <v>1</v>
      </c>
      <c r="AF1273" s="65"/>
      <c r="AG1273" s="65"/>
      <c r="AH1273" s="65"/>
      <c r="AI1273" s="65"/>
      <c r="AJ1273" s="65"/>
      <c r="AK1273" s="65"/>
      <c r="AL1273" s="65"/>
      <c r="AM1273" s="65"/>
      <c r="AN1273" s="65"/>
      <c r="AO1273" s="65"/>
      <c r="AP1273" s="65"/>
      <c r="AQ1273" s="65"/>
      <c r="AR1273" s="65"/>
      <c r="AS1273" s="65"/>
      <c r="AT1273" s="65" t="str">
        <f>IFERROR(__xludf.DUMMYFUNCTION("""COMPUTED_VALUE"""),"CHATEA PRO")</f>
        <v>CHATEA PRO</v>
      </c>
      <c r="AU1273" s="65" t="str">
        <f>IFERROR(__xludf.DUMMYFUNCTION("""COMPUTED_VALUE"""),"CHATEA PRO")</f>
        <v>CHATEA PRO</v>
      </c>
      <c r="AV1273" s="65"/>
      <c r="AW1273" s="65"/>
      <c r="AX1273" s="65"/>
      <c r="AY1273" s="65" t="str">
        <f>IFERROR(__xludf.DUMMYFUNCTION("""COMPUTED_VALUE"""),"30/01/2026")</f>
        <v>30/01/2026</v>
      </c>
      <c r="AZ1273" s="65"/>
      <c r="BA1273" s="65"/>
    </row>
    <row r="1274">
      <c r="A1274" s="65" t="str">
        <f>IFERROR(__xludf.DUMMYFUNCTION("""COMPUTED_VALUE"""),"27-03-2026")</f>
        <v>27-03-2026</v>
      </c>
      <c r="B1274" s="65">
        <f>IFERROR(__xludf.DUMMYFUNCTION("""COMPUTED_VALUE"""),4323759.0)</f>
        <v>4323759</v>
      </c>
      <c r="C1274" s="65" t="str">
        <f>IFERROR(__xludf.DUMMYFUNCTION("""COMPUTED_VALUE"""),"18:19")</f>
        <v>18:19</v>
      </c>
      <c r="D1274" s="65" t="str">
        <f>IFERROR(__xludf.DUMMYFUNCTION("""COMPUTED_VALUE"""),"29-01-2026")</f>
        <v>29-01-2026</v>
      </c>
      <c r="E1274" s="65" t="str">
        <f>IFERROR(__xludf.DUMMYFUNCTION("""COMPUTED_VALUE"""),"Joaquin Gualapuro")</f>
        <v>Joaquin Gualapuro</v>
      </c>
      <c r="F1274" s="65" t="str">
        <f>IFERROR(__xludf.DUMMYFUNCTION("""COMPUTED_VALUE"""),"939742831")</f>
        <v>939742831</v>
      </c>
      <c r="G1274" s="65" t="str">
        <f>IFERROR(__xludf.DUMMYFUNCTION("""COMPUTED_VALUE"""),"joaquingualapuro0@gmail.com")</f>
        <v>joaquingualapuro0@gmail.com</v>
      </c>
      <c r="H1274" s="65"/>
      <c r="I1274" s="65"/>
      <c r="J1274" s="65"/>
      <c r="K1274" s="65" t="str">
        <f>IFERROR(__xludf.DUMMYFUNCTION("""COMPUTED_VALUE"""),"PENDIENTE CONFIRMACION")</f>
        <v>PENDIENTE CONFIRMACION</v>
      </c>
      <c r="L1274" s="65" t="str">
        <f>IFERROR(__xludf.DUMMYFUNCTION("""COMPUTED_VALUE"""),"CON RECAUDO")</f>
        <v>CON RECAUDO</v>
      </c>
      <c r="M1274" s="65" t="str">
        <f>IFERROR(__xludf.DUMMYFUNCTION("""COMPUTED_VALUE"""),"CARCHI")</f>
        <v>CARCHI</v>
      </c>
      <c r="N1274" s="65" t="str">
        <f>IFERROR(__xludf.DUMMYFUNCTION("""COMPUTED_VALUE"""),"EL ANGEL")</f>
        <v>EL ANGEL</v>
      </c>
      <c r="O1274" s="65" t="str">
        <f>IFERROR(__xludf.DUMMYFUNCTION("""COMPUTED_VALUE"""),"Rio frio Lavandería municipales -")</f>
        <v>Rio frio Lavandería municipales -</v>
      </c>
      <c r="P1274" s="65"/>
      <c r="Q1274" s="65" t="str">
        <f>IFERROR(__xludf.DUMMYFUNCTION("""COMPUTED_VALUE"""),"SERVIENTREGA")</f>
        <v>SERVIENTREGA</v>
      </c>
      <c r="R1274" s="65">
        <f>IFERROR(__xludf.DUMMYFUNCTION("""COMPUTED_VALUE"""),21.99)</f>
        <v>21.99</v>
      </c>
      <c r="S1274" s="65"/>
      <c r="T1274" s="65">
        <f>IFERROR(__xludf.DUMMYFUNCTION("""COMPUTED_VALUE"""),7.7)</f>
        <v>7.7</v>
      </c>
      <c r="U1274" s="65">
        <f>IFERROR(__xludf.DUMMYFUNCTION("""COMPUTED_VALUE"""),0.0)</f>
        <v>0</v>
      </c>
      <c r="V1274" s="65">
        <f>IFERROR(__xludf.DUMMYFUNCTION("""COMPUTED_VALUE"""),0.0)</f>
        <v>0</v>
      </c>
      <c r="W1274" s="65">
        <f>IFERROR(__xludf.DUMMYFUNCTION("""COMPUTED_VALUE"""),0.0)</f>
        <v>0</v>
      </c>
      <c r="X1274" s="65">
        <f>IFERROR(__xludf.DUMMYFUNCTION("""COMPUTED_VALUE"""),5.0)</f>
        <v>5</v>
      </c>
      <c r="Y1274" s="65">
        <f>IFERROR(__xludf.DUMMYFUNCTION("""COMPUTED_VALUE"""),5.0)</f>
        <v>5</v>
      </c>
      <c r="Z1274" s="65">
        <f>IFERROR(__xludf.DUMMYFUNCTION("""COMPUTED_VALUE"""),110064.0)</f>
        <v>110064</v>
      </c>
      <c r="AA1274" s="65" t="str">
        <f>IFERROR(__xludf.DUMMYFUNCTION("""COMPUTED_VALUE"""),"IMX-00001")</f>
        <v>IMX-00001</v>
      </c>
      <c r="AB1274" s="65"/>
      <c r="AC1274" s="65" t="str">
        <f>IFERROR(__xludf.DUMMYFUNCTION("""COMPUTED_VALUE"""),"LLAVE TRINQUETE")</f>
        <v>LLAVE TRINQUETE</v>
      </c>
      <c r="AD1274" s="65"/>
      <c r="AE1274" s="65">
        <f>IFERROR(__xludf.DUMMYFUNCTION("""COMPUTED_VALUE"""),1.0)</f>
        <v>1</v>
      </c>
      <c r="AF1274" s="65"/>
      <c r="AG1274" s="65"/>
      <c r="AH1274" s="65"/>
      <c r="AI1274" s="65"/>
      <c r="AJ1274" s="65"/>
      <c r="AK1274" s="65"/>
      <c r="AL1274" s="65"/>
      <c r="AM1274" s="65"/>
      <c r="AN1274" s="65"/>
      <c r="AO1274" s="65"/>
      <c r="AP1274" s="65"/>
      <c r="AQ1274" s="65"/>
      <c r="AR1274" s="65"/>
      <c r="AS1274" s="65"/>
      <c r="AT1274" s="65" t="str">
        <f>IFERROR(__xludf.DUMMYFUNCTION("""COMPUTED_VALUE"""),"SHOPIFY")</f>
        <v>SHOPIFY</v>
      </c>
      <c r="AU1274" s="65" t="str">
        <f>IFERROR(__xludf.DUMMYFUNCTION("""COMPUTED_VALUE"""),"IMPORTEX EC")</f>
        <v>IMPORTEX EC</v>
      </c>
      <c r="AV1274" s="65" t="str">
        <f>IFERROR(__xludf.DUMMYFUNCTION("""COMPUTED_VALUE"""),"6460491563052")</f>
        <v>6460491563052</v>
      </c>
      <c r="AW1274" s="65">
        <f>IFERROR(__xludf.DUMMYFUNCTION("""COMPUTED_VALUE"""),5638.0)</f>
        <v>5638</v>
      </c>
      <c r="AX1274" s="65"/>
      <c r="AY1274" s="65"/>
      <c r="AZ1274" s="65"/>
      <c r="BA1274" s="65"/>
    </row>
    <row r="1275">
      <c r="A1275" s="65" t="str">
        <f>IFERROR(__xludf.DUMMYFUNCTION("""COMPUTED_VALUE"""),"27-03-2026")</f>
        <v>27-03-2026</v>
      </c>
      <c r="B1275" s="65">
        <f>IFERROR(__xludf.DUMMYFUNCTION("""COMPUTED_VALUE"""),4322561.0)</f>
        <v>4322561</v>
      </c>
      <c r="C1275" s="65" t="str">
        <f>IFERROR(__xludf.DUMMYFUNCTION("""COMPUTED_VALUE"""),"16:16")</f>
        <v>16:16</v>
      </c>
      <c r="D1275" s="65" t="str">
        <f>IFERROR(__xludf.DUMMYFUNCTION("""COMPUTED_VALUE"""),"29-01-2026")</f>
        <v>29-01-2026</v>
      </c>
      <c r="E1275" s="65" t="str">
        <f>IFERROR(__xludf.DUMMYFUNCTION("""COMPUTED_VALUE"""),"Luis Eduardo Yunga 0994854379")</f>
        <v>Luis Eduardo Yunga 0994854379</v>
      </c>
      <c r="F1275" s="65" t="str">
        <f>IFERROR(__xludf.DUMMYFUNCTION("""COMPUTED_VALUE"""),"994854379")</f>
        <v>994854379</v>
      </c>
      <c r="G1275" s="65" t="str">
        <f>IFERROR(__xludf.DUMMYFUNCTION("""COMPUTED_VALUE"""),"leduardoysa@gmail.com")</f>
        <v>leduardoysa@gmail.com</v>
      </c>
      <c r="H1275" s="65"/>
      <c r="I1275" s="65"/>
      <c r="J1275" s="65" t="str">
        <f>IFERROR(__xludf.DUMMYFUNCTION("""COMPUTED_VALUE"""),"D001285287")</f>
        <v>D001285287</v>
      </c>
      <c r="K1275" s="65" t="str">
        <f>IFERROR(__xludf.DUMMYFUNCTION("""COMPUTED_VALUE"""),"DEVOLUCION")</f>
        <v>DEVOLUCION</v>
      </c>
      <c r="L1275" s="65" t="str">
        <f>IFERROR(__xludf.DUMMYFUNCTION("""COMPUTED_VALUE"""),"CON RECAUDO")</f>
        <v>CON RECAUDO</v>
      </c>
      <c r="M1275" s="65" t="str">
        <f>IFERROR(__xludf.DUMMYFUNCTION("""COMPUTED_VALUE"""),"PICHINCHA")</f>
        <v>PICHINCHA</v>
      </c>
      <c r="N1275" s="65" t="str">
        <f>IFERROR(__xludf.DUMMYFUNCTION("""COMPUTED_VALUE"""),"QUITO")</f>
        <v>QUITO</v>
      </c>
      <c r="O1275" s="65" t="str">
        <f>IFERROR(__xludf.DUMMYFUNCTION("""COMPUTED_VALUE"""),"Calle  I  y calle A Consejo provincial norte -")</f>
        <v>Calle  I  y calle A Consejo provincial norte -</v>
      </c>
      <c r="P1275" s="65"/>
      <c r="Q1275" s="65" t="str">
        <f>IFERROR(__xludf.DUMMYFUNCTION("""COMPUTED_VALUE"""),"GINTRACOM")</f>
        <v>GINTRACOM</v>
      </c>
      <c r="R1275" s="65">
        <f>IFERROR(__xludf.DUMMYFUNCTION("""COMPUTED_VALUE"""),21.99)</f>
        <v>21.99</v>
      </c>
      <c r="S1275" s="65"/>
      <c r="T1275" s="65">
        <f>IFERROR(__xludf.DUMMYFUNCTION("""COMPUTED_VALUE"""),4.23)</f>
        <v>4.23</v>
      </c>
      <c r="U1275" s="65">
        <f>IFERROR(__xludf.DUMMYFUNCTION("""COMPUTED_VALUE"""),0.0)</f>
        <v>0</v>
      </c>
      <c r="V1275" s="65">
        <f>IFERROR(__xludf.DUMMYFUNCTION("""COMPUTED_VALUE"""),0.0)</f>
        <v>0</v>
      </c>
      <c r="W1275" s="65">
        <f>IFERROR(__xludf.DUMMYFUNCTION("""COMPUTED_VALUE"""),0.0)</f>
        <v>0</v>
      </c>
      <c r="X1275" s="65">
        <f>IFERROR(__xludf.DUMMYFUNCTION("""COMPUTED_VALUE"""),5.0)</f>
        <v>5</v>
      </c>
      <c r="Y1275" s="65">
        <f>IFERROR(__xludf.DUMMYFUNCTION("""COMPUTED_VALUE"""),5.0)</f>
        <v>5</v>
      </c>
      <c r="Z1275" s="65">
        <f>IFERROR(__xludf.DUMMYFUNCTION("""COMPUTED_VALUE"""),110064.0)</f>
        <v>110064</v>
      </c>
      <c r="AA1275" s="65" t="str">
        <f>IFERROR(__xludf.DUMMYFUNCTION("""COMPUTED_VALUE"""),"IMX-00001")</f>
        <v>IMX-00001</v>
      </c>
      <c r="AB1275" s="65"/>
      <c r="AC1275" s="65" t="str">
        <f>IFERROR(__xludf.DUMMYFUNCTION("""COMPUTED_VALUE"""),"LLAVE TRINQUETE")</f>
        <v>LLAVE TRINQUETE</v>
      </c>
      <c r="AD1275" s="65"/>
      <c r="AE1275" s="65">
        <f>IFERROR(__xludf.DUMMYFUNCTION("""COMPUTED_VALUE"""),1.0)</f>
        <v>1</v>
      </c>
      <c r="AF1275" s="65" t="str">
        <f>IFERROR(__xludf.DUMMYFUNCTION("""COMPUTED_VALUE"""),"DESTINATARIO INDICA QUE NO ES EL PRODUCTO QUE SOLICITÓ")</f>
        <v>DESTINATARIO INDICA QUE NO ES EL PRODUCTO QUE SOLICITÓ</v>
      </c>
      <c r="AG1275" s="65" t="str">
        <f>IFERROR(__xludf.DUMMYFUNCTION("""COMPUTED_VALUE"""),"NO")</f>
        <v>NO</v>
      </c>
      <c r="AH1275" s="65" t="str">
        <f>IFERROR(__xludf.DUMMYFUNCTION("""COMPUTED_VALUE"""),"17:39")</f>
        <v>17:39</v>
      </c>
      <c r="AI1275" s="65" t="str">
        <f>IFERROR(__xludf.DUMMYFUNCTION("""COMPUTED_VALUE"""),"12-02-2026")</f>
        <v>12-02-2026</v>
      </c>
      <c r="AJ1275" s="65"/>
      <c r="AK1275" s="65"/>
      <c r="AL1275" s="65"/>
      <c r="AM1275" s="65"/>
      <c r="AN1275" s="65" t="str">
        <f>IFERROR(__xludf.DUMMYFUNCTION("""COMPUTED_VALUE"""),"11:56")</f>
        <v>11:56</v>
      </c>
      <c r="AO1275" s="65" t="str">
        <f>IFERROR(__xludf.DUMMYFUNCTION("""COMPUTED_VALUE"""),"19-02-2026")</f>
        <v>19-02-2026</v>
      </c>
      <c r="AP1275" s="65" t="str">
        <f>IFERROR(__xludf.DUMMYFUNCTION("""COMPUTED_VALUE"""),"DEVOLUCIÓN ENTREGADA A ORIGEN")</f>
        <v>DEVOLUCIÓN ENTREGADA A ORIGEN</v>
      </c>
      <c r="AQ1275" s="65" t="str">
        <f>IFERROR(__xludf.DUMMYFUNCTION("""COMPUTED_VALUE"""),"DEVOLUCIÓN ENTREGADA A ORIGEN")</f>
        <v>DEVOLUCIÓN ENTREGADA A ORIGEN</v>
      </c>
      <c r="AR1275" s="65"/>
      <c r="AS1275" s="65"/>
      <c r="AT1275" s="65" t="str">
        <f>IFERROR(__xludf.DUMMYFUNCTION("""COMPUTED_VALUE"""),"SHOPIFY")</f>
        <v>SHOPIFY</v>
      </c>
      <c r="AU1275" s="65" t="str">
        <f>IFERROR(__xludf.DUMMYFUNCTION("""COMPUTED_VALUE"""),"IMPORTEX EC")</f>
        <v>IMPORTEX EC</v>
      </c>
      <c r="AV1275" s="65" t="str">
        <f>IFERROR(__xludf.DUMMYFUNCTION("""COMPUTED_VALUE"""),"6460201402412")</f>
        <v>6460201402412</v>
      </c>
      <c r="AW1275" s="65">
        <f>IFERROR(__xludf.DUMMYFUNCTION("""COMPUTED_VALUE"""),5637.0)</f>
        <v>5637</v>
      </c>
      <c r="AX1275" s="65"/>
      <c r="AY1275" s="65" t="str">
        <f>IFERROR(__xludf.DUMMYFUNCTION("""COMPUTED_VALUE"""),"02/02/2026")</f>
        <v>02/02/2026</v>
      </c>
      <c r="AZ1275" s="65"/>
      <c r="BA1275" s="65"/>
    </row>
    <row r="1276">
      <c r="A1276" s="65" t="str">
        <f>IFERROR(__xludf.DUMMYFUNCTION("""COMPUTED_VALUE"""),"27-03-2026")</f>
        <v>27-03-2026</v>
      </c>
      <c r="B1276" s="65">
        <f>IFERROR(__xludf.DUMMYFUNCTION("""COMPUTED_VALUE"""),4322166.0)</f>
        <v>4322166</v>
      </c>
      <c r="C1276" s="65" t="str">
        <f>IFERROR(__xludf.DUMMYFUNCTION("""COMPUTED_VALUE"""),"15:41")</f>
        <v>15:41</v>
      </c>
      <c r="D1276" s="65" t="str">
        <f>IFERROR(__xludf.DUMMYFUNCTION("""COMPUTED_VALUE"""),"29-01-2026")</f>
        <v>29-01-2026</v>
      </c>
      <c r="E1276" s="65" t="str">
        <f>IFERROR(__xludf.DUMMYFUNCTION("""COMPUTED_VALUE"""),"JORGE Cascante Bruno")</f>
        <v>JORGE Cascante Bruno</v>
      </c>
      <c r="F1276" s="65" t="str">
        <f>IFERROR(__xludf.DUMMYFUNCTION("""COMPUTED_VALUE"""),"963836541")</f>
        <v>963836541</v>
      </c>
      <c r="G1276" s="65"/>
      <c r="H1276" s="65"/>
      <c r="I1276" s="65"/>
      <c r="J1276" s="65"/>
      <c r="K1276" s="65" t="str">
        <f>IFERROR(__xludf.DUMMYFUNCTION("""COMPUTED_VALUE"""),"CANCELADO")</f>
        <v>CANCELADO</v>
      </c>
      <c r="L1276" s="65" t="str">
        <f>IFERROR(__xludf.DUMMYFUNCTION("""COMPUTED_VALUE"""),"CON RECAUDO")</f>
        <v>CON RECAUDO</v>
      </c>
      <c r="M1276" s="65" t="str">
        <f>IFERROR(__xludf.DUMMYFUNCTION("""COMPUTED_VALUE"""),"GUAYAS")</f>
        <v>GUAYAS</v>
      </c>
      <c r="N1276" s="65" t="str">
        <f>IFERROR(__xludf.DUMMYFUNCTION("""COMPUTED_VALUE"""),"GUAYAQUIL")</f>
        <v>GUAYAQUIL</v>
      </c>
      <c r="O1276" s="65" t="str">
        <f>IFERROR(__xludf.DUMMYFUNCTION("""COMPUTED_VALUE"""),"HABANA 705 Y CHAMBERS Barrio centenario -")</f>
        <v>HABANA 705 Y CHAMBERS Barrio centenario -</v>
      </c>
      <c r="P1276" s="65"/>
      <c r="Q1276" s="65" t="str">
        <f>IFERROR(__xludf.DUMMYFUNCTION("""COMPUTED_VALUE"""),"GINTRACOM")</f>
        <v>GINTRACOM</v>
      </c>
      <c r="R1276" s="65">
        <f>IFERROR(__xludf.DUMMYFUNCTION("""COMPUTED_VALUE"""),30.0)</f>
        <v>30</v>
      </c>
      <c r="S1276" s="65"/>
      <c r="T1276" s="65">
        <f>IFERROR(__xludf.DUMMYFUNCTION("""COMPUTED_VALUE"""),6.16)</f>
        <v>6.16</v>
      </c>
      <c r="U1276" s="65">
        <f>IFERROR(__xludf.DUMMYFUNCTION("""COMPUTED_VALUE"""),0.0)</f>
        <v>0</v>
      </c>
      <c r="V1276" s="65">
        <f>IFERROR(__xludf.DUMMYFUNCTION("""COMPUTED_VALUE"""),0.0)</f>
        <v>0</v>
      </c>
      <c r="W1276" s="65">
        <f>IFERROR(__xludf.DUMMYFUNCTION("""COMPUTED_VALUE"""),0.0)</f>
        <v>0</v>
      </c>
      <c r="X1276" s="65">
        <f>IFERROR(__xludf.DUMMYFUNCTION("""COMPUTED_VALUE"""),2.35)</f>
        <v>2.35</v>
      </c>
      <c r="Y1276" s="65">
        <f>IFERROR(__xludf.DUMMYFUNCTION("""COMPUTED_VALUE"""),7.05)</f>
        <v>7.05</v>
      </c>
      <c r="Z1276" s="65">
        <f>IFERROR(__xludf.DUMMYFUNCTION("""COMPUTED_VALUE"""),116679.0)</f>
        <v>116679</v>
      </c>
      <c r="AA1276" s="65" t="str">
        <f>IFERROR(__xludf.DUMMYFUNCTION("""COMPUTED_VALUE"""),"AMC-2738")</f>
        <v>AMC-2738</v>
      </c>
      <c r="AB1276" s="65"/>
      <c r="AC1276" s="65" t="str">
        <f>IFERROR(__xludf.DUMMYFUNCTION("""COMPUTED_VALUE"""),"ESPONJA ANTILLUVIA DE PARABRISAS")</f>
        <v>ESPONJA ANTILLUVIA DE PARABRISAS</v>
      </c>
      <c r="AD1276" s="65"/>
      <c r="AE1276" s="65">
        <f>IFERROR(__xludf.DUMMYFUNCTION("""COMPUTED_VALUE"""),3.0)</f>
        <v>3</v>
      </c>
      <c r="AF1276" s="65"/>
      <c r="AG1276" s="65"/>
      <c r="AH1276" s="65"/>
      <c r="AI1276" s="65"/>
      <c r="AJ1276" s="65"/>
      <c r="AK1276" s="65"/>
      <c r="AL1276" s="65"/>
      <c r="AM1276" s="65"/>
      <c r="AN1276" s="65"/>
      <c r="AO1276" s="65"/>
      <c r="AP1276" s="65"/>
      <c r="AQ1276" s="65"/>
      <c r="AR1276" s="65"/>
      <c r="AS1276" s="65"/>
      <c r="AT1276" s="65" t="str">
        <f>IFERROR(__xludf.DUMMYFUNCTION("""COMPUTED_VALUE"""),"SHOPIFY")</f>
        <v>SHOPIFY</v>
      </c>
      <c r="AU1276" s="65" t="str">
        <f>IFERROR(__xludf.DUMMYFUNCTION("""COMPUTED_VALUE"""),"IMPORTEX EC")</f>
        <v>IMPORTEX EC</v>
      </c>
      <c r="AV1276" s="65" t="str">
        <f>IFERROR(__xludf.DUMMYFUNCTION("""COMPUTED_VALUE"""),"6460114829356")</f>
        <v>6460114829356</v>
      </c>
      <c r="AW1276" s="65">
        <f>IFERROR(__xludf.DUMMYFUNCTION("""COMPUTED_VALUE"""),5636.0)</f>
        <v>5636</v>
      </c>
      <c r="AX1276" s="65"/>
      <c r="AY1276" s="65"/>
      <c r="AZ1276" s="65"/>
      <c r="BA1276" s="65"/>
    </row>
    <row r="1277">
      <c r="A1277" s="65" t="str">
        <f>IFERROR(__xludf.DUMMYFUNCTION("""COMPUTED_VALUE"""),"27-03-2026")</f>
        <v>27-03-2026</v>
      </c>
      <c r="B1277" s="65">
        <f>IFERROR(__xludf.DUMMYFUNCTION("""COMPUTED_VALUE"""),4321905.0)</f>
        <v>4321905</v>
      </c>
      <c r="C1277" s="65" t="str">
        <f>IFERROR(__xludf.DUMMYFUNCTION("""COMPUTED_VALUE"""),"15:19")</f>
        <v>15:19</v>
      </c>
      <c r="D1277" s="65" t="str">
        <f>IFERROR(__xludf.DUMMYFUNCTION("""COMPUTED_VALUE"""),"29-01-2026")</f>
        <v>29-01-2026</v>
      </c>
      <c r="E1277" s="65" t="str">
        <f>IFERROR(__xludf.DUMMYFUNCTION("""COMPUTED_VALUE"""),"David Sanchez")</f>
        <v>David Sanchez</v>
      </c>
      <c r="F1277" s="65" t="str">
        <f>IFERROR(__xludf.DUMMYFUNCTION("""COMPUTED_VALUE"""),"980276954")</f>
        <v>980276954</v>
      </c>
      <c r="G1277" s="65" t="str">
        <f>IFERROR(__xludf.DUMMYFUNCTION("""COMPUTED_VALUE"""),"soletiti1982@gmail.com")</f>
        <v>soletiti1982@gmail.com</v>
      </c>
      <c r="H1277" s="65"/>
      <c r="I1277" s="65"/>
      <c r="J1277" s="65"/>
      <c r="K1277" s="65" t="str">
        <f>IFERROR(__xludf.DUMMYFUNCTION("""COMPUTED_VALUE"""),"CANCELADO")</f>
        <v>CANCELADO</v>
      </c>
      <c r="L1277" s="65" t="str">
        <f>IFERROR(__xludf.DUMMYFUNCTION("""COMPUTED_VALUE"""),"CON RECAUDO")</f>
        <v>CON RECAUDO</v>
      </c>
      <c r="M1277" s="65" t="str">
        <f>IFERROR(__xludf.DUMMYFUNCTION("""COMPUTED_VALUE"""),"PICHINCHA")</f>
        <v>PICHINCHA</v>
      </c>
      <c r="N1277" s="65" t="str">
        <f>IFERROR(__xludf.DUMMYFUNCTION("""COMPUTED_VALUE"""),"MACHACHI")</f>
        <v>MACHACHI</v>
      </c>
      <c r="O1277" s="65" t="str">
        <f>IFERROR(__xludf.DUMMYFUNCTION("""COMPUTED_VALUE"""),"Luis Fernando merlo y llll -")</f>
        <v>Luis Fernando merlo y llll -</v>
      </c>
      <c r="P1277" s="65"/>
      <c r="Q1277" s="65" t="str">
        <f>IFERROR(__xludf.DUMMYFUNCTION("""COMPUTED_VALUE"""),"SERVIENTREGA")</f>
        <v>SERVIENTREGA</v>
      </c>
      <c r="R1277" s="65">
        <f>IFERROR(__xludf.DUMMYFUNCTION("""COMPUTED_VALUE"""),20.0)</f>
        <v>20</v>
      </c>
      <c r="S1277" s="65"/>
      <c r="T1277" s="65">
        <f>IFERROR(__xludf.DUMMYFUNCTION("""COMPUTED_VALUE"""),5.64)</f>
        <v>5.64</v>
      </c>
      <c r="U1277" s="65">
        <f>IFERROR(__xludf.DUMMYFUNCTION("""COMPUTED_VALUE"""),0.0)</f>
        <v>0</v>
      </c>
      <c r="V1277" s="65">
        <f>IFERROR(__xludf.DUMMYFUNCTION("""COMPUTED_VALUE"""),0.0)</f>
        <v>0</v>
      </c>
      <c r="W1277" s="65">
        <f>IFERROR(__xludf.DUMMYFUNCTION("""COMPUTED_VALUE"""),0.0)</f>
        <v>0</v>
      </c>
      <c r="X1277" s="65">
        <f>IFERROR(__xludf.DUMMYFUNCTION("""COMPUTED_VALUE"""),2.35)</f>
        <v>2.35</v>
      </c>
      <c r="Y1277" s="65">
        <f>IFERROR(__xludf.DUMMYFUNCTION("""COMPUTED_VALUE"""),2.35)</f>
        <v>2.35</v>
      </c>
      <c r="Z1277" s="65">
        <f>IFERROR(__xludf.DUMMYFUNCTION("""COMPUTED_VALUE"""),116679.0)</f>
        <v>116679</v>
      </c>
      <c r="AA1277" s="65" t="str">
        <f>IFERROR(__xludf.DUMMYFUNCTION("""COMPUTED_VALUE"""),"AMC-2738")</f>
        <v>AMC-2738</v>
      </c>
      <c r="AB1277" s="65"/>
      <c r="AC1277" s="65" t="str">
        <f>IFERROR(__xludf.DUMMYFUNCTION("""COMPUTED_VALUE"""),"ESPONJA ANTILLUVIA DE PARABRISAS")</f>
        <v>ESPONJA ANTILLUVIA DE PARABRISAS</v>
      </c>
      <c r="AD1277" s="65"/>
      <c r="AE1277" s="65">
        <f>IFERROR(__xludf.DUMMYFUNCTION("""COMPUTED_VALUE"""),1.0)</f>
        <v>1</v>
      </c>
      <c r="AF1277" s="65"/>
      <c r="AG1277" s="65"/>
      <c r="AH1277" s="65"/>
      <c r="AI1277" s="65"/>
      <c r="AJ1277" s="65"/>
      <c r="AK1277" s="65"/>
      <c r="AL1277" s="65"/>
      <c r="AM1277" s="65"/>
      <c r="AN1277" s="65"/>
      <c r="AO1277" s="65"/>
      <c r="AP1277" s="65"/>
      <c r="AQ1277" s="65"/>
      <c r="AR1277" s="65"/>
      <c r="AS1277" s="65"/>
      <c r="AT1277" s="65" t="str">
        <f>IFERROR(__xludf.DUMMYFUNCTION("""COMPUTED_VALUE"""),"SHOPIFY")</f>
        <v>SHOPIFY</v>
      </c>
      <c r="AU1277" s="65" t="str">
        <f>IFERROR(__xludf.DUMMYFUNCTION("""COMPUTED_VALUE"""),"IMPORTEX EC")</f>
        <v>IMPORTEX EC</v>
      </c>
      <c r="AV1277" s="65" t="str">
        <f>IFERROR(__xludf.DUMMYFUNCTION("""COMPUTED_VALUE"""),"6460060631084")</f>
        <v>6460060631084</v>
      </c>
      <c r="AW1277" s="65">
        <f>IFERROR(__xludf.DUMMYFUNCTION("""COMPUTED_VALUE"""),5635.0)</f>
        <v>5635</v>
      </c>
      <c r="AX1277" s="65"/>
      <c r="AY1277" s="65"/>
      <c r="AZ1277" s="65"/>
      <c r="BA1277" s="65"/>
    </row>
    <row r="1278">
      <c r="A1278" s="65" t="str">
        <f>IFERROR(__xludf.DUMMYFUNCTION("""COMPUTED_VALUE"""),"27-03-2026")</f>
        <v>27-03-2026</v>
      </c>
      <c r="B1278" s="65">
        <f>IFERROR(__xludf.DUMMYFUNCTION("""COMPUTED_VALUE"""),4321153.0)</f>
        <v>4321153</v>
      </c>
      <c r="C1278" s="65" t="str">
        <f>IFERROR(__xludf.DUMMYFUNCTION("""COMPUTED_VALUE"""),"14:05")</f>
        <v>14:05</v>
      </c>
      <c r="D1278" s="65" t="str">
        <f>IFERROR(__xludf.DUMMYFUNCTION("""COMPUTED_VALUE"""),"29-01-2026")</f>
        <v>29-01-2026</v>
      </c>
      <c r="E1278" s="65" t="str">
        <f>IFERROR(__xludf.DUMMYFUNCTION("""COMPUTED_VALUE"""),"July Yanez")</f>
        <v>July Yanez</v>
      </c>
      <c r="F1278" s="65" t="str">
        <f>IFERROR(__xludf.DUMMYFUNCTION("""COMPUTED_VALUE"""),"981041937")</f>
        <v>981041937</v>
      </c>
      <c r="G1278" s="65" t="str">
        <f>IFERROR(__xludf.DUMMYFUNCTION("""COMPUTED_VALUE"""),"julymyanez@gmail.com")</f>
        <v>julymyanez@gmail.com</v>
      </c>
      <c r="H1278" s="65"/>
      <c r="I1278" s="65"/>
      <c r="J1278" s="65"/>
      <c r="K1278" s="65" t="str">
        <f>IFERROR(__xludf.DUMMYFUNCTION("""COMPUTED_VALUE"""),"CANCELADO")</f>
        <v>CANCELADO</v>
      </c>
      <c r="L1278" s="65" t="str">
        <f>IFERROR(__xludf.DUMMYFUNCTION("""COMPUTED_VALUE"""),"CON RECAUDO")</f>
        <v>CON RECAUDO</v>
      </c>
      <c r="M1278" s="65" t="str">
        <f>IFERROR(__xludf.DUMMYFUNCTION("""COMPUTED_VALUE"""),"PICHINCHA")</f>
        <v>PICHINCHA</v>
      </c>
      <c r="N1278" s="65" t="str">
        <f>IFERROR(__xludf.DUMMYFUNCTION("""COMPUTED_VALUE"""),"MACHACHI")</f>
        <v>MACHACHI</v>
      </c>
      <c r="O1278" s="65" t="str">
        <f>IFERROR(__xludf.DUMMYFUNCTION("""COMPUTED_VALUE"""),"Simón Bolivar y García moreno Parque central de machachi -")</f>
        <v>Simón Bolivar y García moreno Parque central de machachi -</v>
      </c>
      <c r="P1278" s="65"/>
      <c r="Q1278" s="65" t="str">
        <f>IFERROR(__xludf.DUMMYFUNCTION("""COMPUTED_VALUE"""),"SERVIENTREGA")</f>
        <v>SERVIENTREGA</v>
      </c>
      <c r="R1278" s="65">
        <f>IFERROR(__xludf.DUMMYFUNCTION("""COMPUTED_VALUE"""),20.0)</f>
        <v>20</v>
      </c>
      <c r="S1278" s="65"/>
      <c r="T1278" s="65">
        <f>IFERROR(__xludf.DUMMYFUNCTION("""COMPUTED_VALUE"""),5.64)</f>
        <v>5.64</v>
      </c>
      <c r="U1278" s="65">
        <f>IFERROR(__xludf.DUMMYFUNCTION("""COMPUTED_VALUE"""),0.0)</f>
        <v>0</v>
      </c>
      <c r="V1278" s="65">
        <f>IFERROR(__xludf.DUMMYFUNCTION("""COMPUTED_VALUE"""),0.0)</f>
        <v>0</v>
      </c>
      <c r="W1278" s="65">
        <f>IFERROR(__xludf.DUMMYFUNCTION("""COMPUTED_VALUE"""),0.0)</f>
        <v>0</v>
      </c>
      <c r="X1278" s="65">
        <f>IFERROR(__xludf.DUMMYFUNCTION("""COMPUTED_VALUE"""),2.35)</f>
        <v>2.35</v>
      </c>
      <c r="Y1278" s="65">
        <f>IFERROR(__xludf.DUMMYFUNCTION("""COMPUTED_VALUE"""),2.35)</f>
        <v>2.35</v>
      </c>
      <c r="Z1278" s="65">
        <f>IFERROR(__xludf.DUMMYFUNCTION("""COMPUTED_VALUE"""),116679.0)</f>
        <v>116679</v>
      </c>
      <c r="AA1278" s="65" t="str">
        <f>IFERROR(__xludf.DUMMYFUNCTION("""COMPUTED_VALUE"""),"AMC-2738")</f>
        <v>AMC-2738</v>
      </c>
      <c r="AB1278" s="65"/>
      <c r="AC1278" s="65" t="str">
        <f>IFERROR(__xludf.DUMMYFUNCTION("""COMPUTED_VALUE"""),"ESPONJA ANTILLUVIA DE PARABRISAS")</f>
        <v>ESPONJA ANTILLUVIA DE PARABRISAS</v>
      </c>
      <c r="AD1278" s="65"/>
      <c r="AE1278" s="65">
        <f>IFERROR(__xludf.DUMMYFUNCTION("""COMPUTED_VALUE"""),1.0)</f>
        <v>1</v>
      </c>
      <c r="AF1278" s="65"/>
      <c r="AG1278" s="65"/>
      <c r="AH1278" s="65"/>
      <c r="AI1278" s="65"/>
      <c r="AJ1278" s="65"/>
      <c r="AK1278" s="65"/>
      <c r="AL1278" s="65"/>
      <c r="AM1278" s="65"/>
      <c r="AN1278" s="65"/>
      <c r="AO1278" s="65"/>
      <c r="AP1278" s="65"/>
      <c r="AQ1278" s="65"/>
      <c r="AR1278" s="65"/>
      <c r="AS1278" s="65"/>
      <c r="AT1278" s="65" t="str">
        <f>IFERROR(__xludf.DUMMYFUNCTION("""COMPUTED_VALUE"""),"SHOPIFY")</f>
        <v>SHOPIFY</v>
      </c>
      <c r="AU1278" s="65" t="str">
        <f>IFERROR(__xludf.DUMMYFUNCTION("""COMPUTED_VALUE"""),"IMPORTEX EC")</f>
        <v>IMPORTEX EC</v>
      </c>
      <c r="AV1278" s="65" t="str">
        <f>IFERROR(__xludf.DUMMYFUNCTION("""COMPUTED_VALUE"""),"6459870183468")</f>
        <v>6459870183468</v>
      </c>
      <c r="AW1278" s="65">
        <f>IFERROR(__xludf.DUMMYFUNCTION("""COMPUTED_VALUE"""),5634.0)</f>
        <v>5634</v>
      </c>
      <c r="AX1278" s="65"/>
      <c r="AY1278" s="65"/>
      <c r="AZ1278" s="65"/>
      <c r="BA1278" s="65"/>
    </row>
    <row r="1279">
      <c r="A1279" s="65" t="str">
        <f>IFERROR(__xludf.DUMMYFUNCTION("""COMPUTED_VALUE"""),"27-03-2026")</f>
        <v>27-03-2026</v>
      </c>
      <c r="B1279" s="65">
        <f>IFERROR(__xludf.DUMMYFUNCTION("""COMPUTED_VALUE"""),4319201.0)</f>
        <v>4319201</v>
      </c>
      <c r="C1279" s="65" t="str">
        <f>IFERROR(__xludf.DUMMYFUNCTION("""COMPUTED_VALUE"""),"11:00")</f>
        <v>11:00</v>
      </c>
      <c r="D1279" s="65" t="str">
        <f>IFERROR(__xludf.DUMMYFUNCTION("""COMPUTED_VALUE"""),"29-01-2026")</f>
        <v>29-01-2026</v>
      </c>
      <c r="E1279" s="65" t="str">
        <f>IFERROR(__xludf.DUMMYFUNCTION("""COMPUTED_VALUE"""),"Alexandra Valarezo 0960508513")</f>
        <v>Alexandra Valarezo 0960508513</v>
      </c>
      <c r="F1279" s="65" t="str">
        <f>IFERROR(__xludf.DUMMYFUNCTION("""COMPUTED_VALUE"""),"960508513")</f>
        <v>960508513</v>
      </c>
      <c r="G1279" s="65"/>
      <c r="H1279" s="65"/>
      <c r="I1279" s="65"/>
      <c r="J1279" s="65" t="str">
        <f>IFERROR(__xludf.DUMMYFUNCTION("""COMPUTED_VALUE"""),"D001277151")</f>
        <v>D001277151</v>
      </c>
      <c r="K1279" s="65" t="str">
        <f>IFERROR(__xludf.DUMMYFUNCTION("""COMPUTED_VALUE"""),"DEVOLUCION")</f>
        <v>DEVOLUCION</v>
      </c>
      <c r="L1279" s="65" t="str">
        <f>IFERROR(__xludf.DUMMYFUNCTION("""COMPUTED_VALUE"""),"CON RECAUDO")</f>
        <v>CON RECAUDO</v>
      </c>
      <c r="M1279" s="65" t="str">
        <f>IFERROR(__xludf.DUMMYFUNCTION("""COMPUTED_VALUE"""),"LOJA")</f>
        <v>LOJA</v>
      </c>
      <c r="N1279" s="65" t="str">
        <f>IFERROR(__xludf.DUMMYFUNCTION("""COMPUTED_VALUE"""),"LOJA")</f>
        <v>LOJA</v>
      </c>
      <c r="O1279" s="65" t="str">
        <f>IFERROR(__xludf.DUMMYFUNCTION("""COMPUTED_VALUE"""),"Restaurante FRIJOL DISH frente al semaforo de la z 24 de mayo y zoilo rodrigues sector la pileta - 24 de mago")</f>
        <v>Restaurante FRIJOL DISH frente al semaforo de la z 24 de mayo y zoilo rodrigues sector la pileta - 24 de mago</v>
      </c>
      <c r="P1279" s="65"/>
      <c r="Q1279" s="65" t="str">
        <f>IFERROR(__xludf.DUMMYFUNCTION("""COMPUTED_VALUE"""),"GINTRACOM")</f>
        <v>GINTRACOM</v>
      </c>
      <c r="R1279" s="65">
        <f>IFERROR(__xludf.DUMMYFUNCTION("""COMPUTED_VALUE"""),20.0)</f>
        <v>20</v>
      </c>
      <c r="S1279" s="65"/>
      <c r="T1279" s="65">
        <f>IFERROR(__xludf.DUMMYFUNCTION("""COMPUTED_VALUE"""),5.76)</f>
        <v>5.76</v>
      </c>
      <c r="U1279" s="65">
        <f>IFERROR(__xludf.DUMMYFUNCTION("""COMPUTED_VALUE"""),0.0)</f>
        <v>0</v>
      </c>
      <c r="V1279" s="65">
        <f>IFERROR(__xludf.DUMMYFUNCTION("""COMPUTED_VALUE"""),0.0)</f>
        <v>0</v>
      </c>
      <c r="W1279" s="65">
        <f>IFERROR(__xludf.DUMMYFUNCTION("""COMPUTED_VALUE"""),0.0)</f>
        <v>0</v>
      </c>
      <c r="X1279" s="65">
        <f>IFERROR(__xludf.DUMMYFUNCTION("""COMPUTED_VALUE"""),2.35)</f>
        <v>2.35</v>
      </c>
      <c r="Y1279" s="65">
        <f>IFERROR(__xludf.DUMMYFUNCTION("""COMPUTED_VALUE"""),2.35)</f>
        <v>2.35</v>
      </c>
      <c r="Z1279" s="65">
        <f>IFERROR(__xludf.DUMMYFUNCTION("""COMPUTED_VALUE"""),116679.0)</f>
        <v>116679</v>
      </c>
      <c r="AA1279" s="65" t="str">
        <f>IFERROR(__xludf.DUMMYFUNCTION("""COMPUTED_VALUE"""),"AMC-2738")</f>
        <v>AMC-2738</v>
      </c>
      <c r="AB1279" s="65"/>
      <c r="AC1279" s="65" t="str">
        <f>IFERROR(__xludf.DUMMYFUNCTION("""COMPUTED_VALUE"""),"ESPONJA ANTILLUVIA DE PARABRISAS")</f>
        <v>ESPONJA ANTILLUVIA DE PARABRISAS</v>
      </c>
      <c r="AD1279" s="65"/>
      <c r="AE1279" s="65">
        <f>IFERROR(__xludf.DUMMYFUNCTION("""COMPUTED_VALUE"""),1.0)</f>
        <v>1</v>
      </c>
      <c r="AF1279" s="65" t="str">
        <f>IFERROR(__xludf.DUMMYFUNCTION("""COMPUTED_VALUE"""),"DESTINATARIO NO CONTESTA LLAMADAS NI WHATSAPP")</f>
        <v>DESTINATARIO NO CONTESTA LLAMADAS NI WHATSAPP</v>
      </c>
      <c r="AG1279" s="65" t="str">
        <f>IFERROR(__xludf.DUMMYFUNCTION("""COMPUTED_VALUE"""),"SI")</f>
        <v>SI</v>
      </c>
      <c r="AH1279" s="65" t="str">
        <f>IFERROR(__xludf.DUMMYFUNCTION("""COMPUTED_VALUE"""),"09:00")</f>
        <v>09:00</v>
      </c>
      <c r="AI1279" s="65" t="str">
        <f>IFERROR(__xludf.DUMMYFUNCTION("""COMPUTED_VALUE"""),"10-02-2026")</f>
        <v>10-02-2026</v>
      </c>
      <c r="AJ1279" s="65" t="str">
        <f>IFERROR(__xludf.DUMMYFUNCTION("""COMPUTED_VALUE"""),"dejar en el restaurante FRIJOL DISH que queda en las calles 24 de mayo y zoilo Rodríguez, sector la pileta")</f>
        <v>dejar en el restaurante FRIJOL DISH que queda en las calles 24 de mayo y zoilo Rodríguez, sector la pileta</v>
      </c>
      <c r="AK1279" s="65" t="str">
        <f>IFERROR(__xludf.DUMMYFUNCTION("""COMPUTED_VALUE"""),"15:00")</f>
        <v>15:00</v>
      </c>
      <c r="AL1279" s="65" t="str">
        <f>IFERROR(__xludf.DUMMYFUNCTION("""COMPUTED_VALUE"""),"11-02-2026")</f>
        <v>11-02-2026</v>
      </c>
      <c r="AM1279" s="65"/>
      <c r="AN1279" s="65" t="str">
        <f>IFERROR(__xludf.DUMMYFUNCTION("""COMPUTED_VALUE"""),"22:08")</f>
        <v>22:08</v>
      </c>
      <c r="AO1279" s="65" t="str">
        <f>IFERROR(__xludf.DUMMYFUNCTION("""COMPUTED_VALUE"""),"02-03-2026")</f>
        <v>02-03-2026</v>
      </c>
      <c r="AP1279" s="65" t="str">
        <f>IFERROR(__xludf.DUMMYFUNCTION("""COMPUTED_VALUE"""),"DEVOLUCIÓN ENTREGADA A ORIGEN")</f>
        <v>DEVOLUCIÓN ENTREGADA A ORIGEN</v>
      </c>
      <c r="AQ1279" s="65" t="str">
        <f>IFERROR(__xludf.DUMMYFUNCTION("""COMPUTED_VALUE"""),"DEVOLUCIÓN ENTREGADA A ORIGEN")</f>
        <v>DEVOLUCIÓN ENTREGADA A ORIGEN</v>
      </c>
      <c r="AR1279" s="65"/>
      <c r="AS1279" s="65"/>
      <c r="AT1279" s="65" t="str">
        <f>IFERROR(__xludf.DUMMYFUNCTION("""COMPUTED_VALUE"""),"CHATEA PRO")</f>
        <v>CHATEA PRO</v>
      </c>
      <c r="AU1279" s="65" t="str">
        <f>IFERROR(__xludf.DUMMYFUNCTION("""COMPUTED_VALUE"""),"CHATEA PRO")</f>
        <v>CHATEA PRO</v>
      </c>
      <c r="AV1279" s="65"/>
      <c r="AW1279" s="65"/>
      <c r="AX1279" s="65"/>
      <c r="AY1279" s="65" t="str">
        <f>IFERROR(__xludf.DUMMYFUNCTION("""COMPUTED_VALUE"""),"30/01/2026")</f>
        <v>30/01/2026</v>
      </c>
      <c r="AZ1279" s="65"/>
      <c r="BA1279" s="65"/>
    </row>
    <row r="1280">
      <c r="A1280" s="65" t="str">
        <f>IFERROR(__xludf.DUMMYFUNCTION("""COMPUTED_VALUE"""),"27-03-2026")</f>
        <v>27-03-2026</v>
      </c>
      <c r="B1280" s="65">
        <f>IFERROR(__xludf.DUMMYFUNCTION("""COMPUTED_VALUE"""),4319173.0)</f>
        <v>4319173</v>
      </c>
      <c r="C1280" s="65" t="str">
        <f>IFERROR(__xludf.DUMMYFUNCTION("""COMPUTED_VALUE"""),"10:59")</f>
        <v>10:59</v>
      </c>
      <c r="D1280" s="65" t="str">
        <f>IFERROR(__xludf.DUMMYFUNCTION("""COMPUTED_VALUE"""),"29-01-2026")</f>
        <v>29-01-2026</v>
      </c>
      <c r="E1280" s="65" t="str">
        <f>IFERROR(__xludf.DUMMYFUNCTION("""COMPUTED_VALUE"""),"Mirian Fajardo")</f>
        <v>Mirian Fajardo</v>
      </c>
      <c r="F1280" s="65" t="str">
        <f>IFERROR(__xludf.DUMMYFUNCTION("""COMPUTED_VALUE"""),"997331326")</f>
        <v>997331326</v>
      </c>
      <c r="G1280" s="65"/>
      <c r="H1280" s="65"/>
      <c r="I1280" s="65"/>
      <c r="J1280" s="65" t="str">
        <f>IFERROR(__xludf.DUMMYFUNCTION("""COMPUTED_VALUE"""),"186553304")</f>
        <v>186553304</v>
      </c>
      <c r="K1280" s="65" t="str">
        <f>IFERROR(__xludf.DUMMYFUNCTION("""COMPUTED_VALUE"""),"ENTREGADO")</f>
        <v>ENTREGADO</v>
      </c>
      <c r="L1280" s="65" t="str">
        <f>IFERROR(__xludf.DUMMYFUNCTION("""COMPUTED_VALUE"""),"CON RECAUDO")</f>
        <v>CON RECAUDO</v>
      </c>
      <c r="M1280" s="65" t="str">
        <f>IFERROR(__xludf.DUMMYFUNCTION("""COMPUTED_VALUE"""),"AZUAY")</f>
        <v>AZUAY</v>
      </c>
      <c r="N1280" s="65" t="str">
        <f>IFERROR(__xludf.DUMMYFUNCTION("""COMPUTED_VALUE"""),"CUENCA")</f>
        <v>CUENCA</v>
      </c>
      <c r="O1280" s="65" t="str">
        <f>IFERROR(__xludf.DUMMYFUNCTION("""COMPUTED_VALUE"""),"CS: CUENCA_AV. GONZALEZ SUAREZ - MONAY / AV. GONZALEZ SUAREZ S/N Y PANCHO VILLA 1 REF A UNA CUADRA DEL MONAY SHOPPING")</f>
        <v>CS: CUENCA_AV. GONZALEZ SUAREZ - MONAY / AV. GONZALEZ SUAREZ S/N Y PANCHO VILLA 1 REF A UNA CUADRA DEL MONAY SHOPPING</v>
      </c>
      <c r="P1280" s="65" t="str">
        <f>IFERROR(__xludf.DUMMYFUNCTION("""COMPUTED_VALUE"""),"(SERVIENTREGA) CS: CUENCA_AV. GONZALEZ SUAREZ - MONAY / AV. GONZALEZ SUAREZ S/N Y PANCHO VILLA 1 REF A UNA CUADRA DEL MONAY SHOPPING")</f>
        <v>(SERVIENTREGA) CS: CUENCA_AV. GONZALEZ SUAREZ - MONAY / AV. GONZALEZ SUAREZ S/N Y PANCHO VILLA 1 REF A UNA CUADRA DEL MONAY SHOPPING</v>
      </c>
      <c r="Q1280" s="65" t="str">
        <f>IFERROR(__xludf.DUMMYFUNCTION("""COMPUTED_VALUE"""),"SERVIENTREGA")</f>
        <v>SERVIENTREGA</v>
      </c>
      <c r="R1280" s="65">
        <f>IFERROR(__xludf.DUMMYFUNCTION("""COMPUTED_VALUE"""),25.0)</f>
        <v>25</v>
      </c>
      <c r="S1280" s="65">
        <f>IFERROR(__xludf.DUMMYFUNCTION("""COMPUTED_VALUE"""),13.99)</f>
        <v>13.99</v>
      </c>
      <c r="T1280" s="65">
        <f>IFERROR(__xludf.DUMMYFUNCTION("""COMPUTED_VALUE"""),6.31)</f>
        <v>6.31</v>
      </c>
      <c r="U1280" s="65">
        <f>IFERROR(__xludf.DUMMYFUNCTION("""COMPUTED_VALUE"""),0.0)</f>
        <v>0</v>
      </c>
      <c r="V1280" s="65">
        <f>IFERROR(__xludf.DUMMYFUNCTION("""COMPUTED_VALUE"""),0.0)</f>
        <v>0</v>
      </c>
      <c r="W1280" s="65">
        <f>IFERROR(__xludf.DUMMYFUNCTION("""COMPUTED_VALUE"""),0.0)</f>
        <v>0</v>
      </c>
      <c r="X1280" s="65">
        <f>IFERROR(__xludf.DUMMYFUNCTION("""COMPUTED_VALUE"""),2.35)</f>
        <v>2.35</v>
      </c>
      <c r="Y1280" s="65">
        <f>IFERROR(__xludf.DUMMYFUNCTION("""COMPUTED_VALUE"""),4.7)</f>
        <v>4.7</v>
      </c>
      <c r="Z1280" s="65">
        <f>IFERROR(__xludf.DUMMYFUNCTION("""COMPUTED_VALUE"""),116679.0)</f>
        <v>116679</v>
      </c>
      <c r="AA1280" s="65" t="str">
        <f>IFERROR(__xludf.DUMMYFUNCTION("""COMPUTED_VALUE"""),"AMC-2738")</f>
        <v>AMC-2738</v>
      </c>
      <c r="AB1280" s="65"/>
      <c r="AC1280" s="65" t="str">
        <f>IFERROR(__xludf.DUMMYFUNCTION("""COMPUTED_VALUE"""),"ESPONJA ANTILLUVIA DE PARABRISAS")</f>
        <v>ESPONJA ANTILLUVIA DE PARABRISAS</v>
      </c>
      <c r="AD1280" s="65"/>
      <c r="AE1280" s="65">
        <f>IFERROR(__xludf.DUMMYFUNCTION("""COMPUTED_VALUE"""),2.0)</f>
        <v>2</v>
      </c>
      <c r="AF1280" s="65"/>
      <c r="AG1280" s="65"/>
      <c r="AH1280" s="65"/>
      <c r="AI1280" s="65"/>
      <c r="AJ1280" s="65"/>
      <c r="AK1280" s="65"/>
      <c r="AL1280" s="65"/>
      <c r="AM1280" s="65"/>
      <c r="AN1280" s="65" t="str">
        <f>IFERROR(__xludf.DUMMYFUNCTION("""COMPUTED_VALUE"""),"15:58")</f>
        <v>15:58</v>
      </c>
      <c r="AO1280" s="65" t="str">
        <f>IFERROR(__xludf.DUMMYFUNCTION("""COMPUTED_VALUE"""),"11-02-2026")</f>
        <v>11-02-2026</v>
      </c>
      <c r="AP1280" s="65" t="str">
        <f>IFERROR(__xludf.DUMMYFUNCTION("""COMPUTED_VALUE"""),"ENTREGA DIGITALIZADA EN CENTRO LOGISTICO")</f>
        <v>ENTREGA DIGITALIZADA EN CENTRO LOGISTICO</v>
      </c>
      <c r="AQ1280" s="65" t="str">
        <f>IFERROR(__xludf.DUMMYFUNCTION("""COMPUTED_VALUE"""),"MIRIAN FAJARDO")</f>
        <v>MIRIAN FAJARDO</v>
      </c>
      <c r="AR1280" s="65"/>
      <c r="AS1280" s="65" t="str">
        <f>IFERROR(__xludf.DUMMYFUNCTION("""COMPUTED_VALUE"""),"Bayron Gomez")</f>
        <v>Bayron Gomez</v>
      </c>
      <c r="AT1280" s="65"/>
      <c r="AU1280" s="65"/>
      <c r="AV1280" s="65"/>
      <c r="AW1280" s="65"/>
      <c r="AX1280" s="65"/>
      <c r="AY1280" s="65" t="str">
        <f>IFERROR(__xludf.DUMMYFUNCTION("""COMPUTED_VALUE"""),"30/01/2026")</f>
        <v>30/01/2026</v>
      </c>
      <c r="AZ1280" s="65"/>
      <c r="BA1280" s="65"/>
    </row>
    <row r="1281">
      <c r="A1281" s="65" t="str">
        <f>IFERROR(__xludf.DUMMYFUNCTION("""COMPUTED_VALUE"""),"27-03-2026")</f>
        <v>27-03-2026</v>
      </c>
      <c r="B1281" s="65">
        <f>IFERROR(__xludf.DUMMYFUNCTION("""COMPUTED_VALUE"""),4319114.0)</f>
        <v>4319114</v>
      </c>
      <c r="C1281" s="65" t="str">
        <f>IFERROR(__xludf.DUMMYFUNCTION("""COMPUTED_VALUE"""),"10:53")</f>
        <v>10:53</v>
      </c>
      <c r="D1281" s="65" t="str">
        <f>IFERROR(__xludf.DUMMYFUNCTION("""COMPUTED_VALUE"""),"29-01-2026")</f>
        <v>29-01-2026</v>
      </c>
      <c r="E1281" s="65" t="str">
        <f>IFERROR(__xludf.DUMMYFUNCTION("""COMPUTED_VALUE"""),"José García")</f>
        <v>José García</v>
      </c>
      <c r="F1281" s="65" t="str">
        <f>IFERROR(__xludf.DUMMYFUNCTION("""COMPUTED_VALUE"""),"998030712")</f>
        <v>998030712</v>
      </c>
      <c r="G1281" s="65"/>
      <c r="H1281" s="65"/>
      <c r="I1281" s="65"/>
      <c r="J1281" s="65" t="str">
        <f>IFERROR(__xludf.DUMMYFUNCTION("""COMPUTED_VALUE"""),"D001277155")</f>
        <v>D001277155</v>
      </c>
      <c r="K1281" s="65" t="str">
        <f>IFERROR(__xludf.DUMMYFUNCTION("""COMPUTED_VALUE"""),"ENTREGADO")</f>
        <v>ENTREGADO</v>
      </c>
      <c r="L1281" s="65" t="str">
        <f>IFERROR(__xludf.DUMMYFUNCTION("""COMPUTED_VALUE"""),"CON RECAUDO")</f>
        <v>CON RECAUDO</v>
      </c>
      <c r="M1281" s="65" t="str">
        <f>IFERROR(__xludf.DUMMYFUNCTION("""COMPUTED_VALUE"""),"PICHINCHA")</f>
        <v>PICHINCHA</v>
      </c>
      <c r="N1281" s="65" t="str">
        <f>IFERROR(__xludf.DUMMYFUNCTION("""COMPUTED_VALUE"""),"QUITO")</f>
        <v>QUITO</v>
      </c>
      <c r="O1281" s="65" t="str">
        <f>IFERROR(__xludf.DUMMYFUNCTION("""COMPUTED_VALUE"""),"Destacamento Casacay n6425 y Nazacota, por la piscina Kaersam, casa portón negro, filos verde")</f>
        <v>Destacamento Casacay n6425 y Nazacota, por la piscina Kaersam, casa portón negro, filos verde</v>
      </c>
      <c r="P1281" s="65"/>
      <c r="Q1281" s="65" t="str">
        <f>IFERROR(__xludf.DUMMYFUNCTION("""COMPUTED_VALUE"""),"GINTRACOM")</f>
        <v>GINTRACOM</v>
      </c>
      <c r="R1281" s="65">
        <f>IFERROR(__xludf.DUMMYFUNCTION("""COMPUTED_VALUE"""),25.0)</f>
        <v>25</v>
      </c>
      <c r="S1281" s="65">
        <f>IFERROR(__xludf.DUMMYFUNCTION("""COMPUTED_VALUE"""),15.95)</f>
        <v>15.95</v>
      </c>
      <c r="T1281" s="65">
        <f>IFERROR(__xludf.DUMMYFUNCTION("""COMPUTED_VALUE"""),4.35)</f>
        <v>4.35</v>
      </c>
      <c r="U1281" s="65">
        <f>IFERROR(__xludf.DUMMYFUNCTION("""COMPUTED_VALUE"""),0.0)</f>
        <v>0</v>
      </c>
      <c r="V1281" s="65">
        <f>IFERROR(__xludf.DUMMYFUNCTION("""COMPUTED_VALUE"""),0.0)</f>
        <v>0</v>
      </c>
      <c r="W1281" s="65">
        <f>IFERROR(__xludf.DUMMYFUNCTION("""COMPUTED_VALUE"""),0.0)</f>
        <v>0</v>
      </c>
      <c r="X1281" s="65">
        <f>IFERROR(__xludf.DUMMYFUNCTION("""COMPUTED_VALUE"""),2.35)</f>
        <v>2.35</v>
      </c>
      <c r="Y1281" s="65">
        <f>IFERROR(__xludf.DUMMYFUNCTION("""COMPUTED_VALUE"""),4.7)</f>
        <v>4.7</v>
      </c>
      <c r="Z1281" s="65">
        <f>IFERROR(__xludf.DUMMYFUNCTION("""COMPUTED_VALUE"""),116679.0)</f>
        <v>116679</v>
      </c>
      <c r="AA1281" s="65" t="str">
        <f>IFERROR(__xludf.DUMMYFUNCTION("""COMPUTED_VALUE"""),"AMC-2738")</f>
        <v>AMC-2738</v>
      </c>
      <c r="AB1281" s="65"/>
      <c r="AC1281" s="65" t="str">
        <f>IFERROR(__xludf.DUMMYFUNCTION("""COMPUTED_VALUE"""),"ESPONJA ANTILLUVIA DE PARABRISAS")</f>
        <v>ESPONJA ANTILLUVIA DE PARABRISAS</v>
      </c>
      <c r="AD1281" s="65"/>
      <c r="AE1281" s="65">
        <f>IFERROR(__xludf.DUMMYFUNCTION("""COMPUTED_VALUE"""),2.0)</f>
        <v>2</v>
      </c>
      <c r="AF1281" s="65"/>
      <c r="AG1281" s="65"/>
      <c r="AH1281" s="65"/>
      <c r="AI1281" s="65"/>
      <c r="AJ1281" s="65"/>
      <c r="AK1281" s="65"/>
      <c r="AL1281" s="65"/>
      <c r="AM1281" s="65"/>
      <c r="AN1281" s="65"/>
      <c r="AO1281" s="65"/>
      <c r="AP1281" s="65"/>
      <c r="AQ1281" s="65"/>
      <c r="AR1281" s="65"/>
      <c r="AS1281" s="65"/>
      <c r="AT1281" s="65" t="str">
        <f>IFERROR(__xludf.DUMMYFUNCTION("""COMPUTED_VALUE"""),"CHATEA PRO")</f>
        <v>CHATEA PRO</v>
      </c>
      <c r="AU1281" s="65" t="str">
        <f>IFERROR(__xludf.DUMMYFUNCTION("""COMPUTED_VALUE"""),"CHATEA PRO")</f>
        <v>CHATEA PRO</v>
      </c>
      <c r="AV1281" s="65"/>
      <c r="AW1281" s="65"/>
      <c r="AX1281" s="65"/>
      <c r="AY1281" s="65" t="str">
        <f>IFERROR(__xludf.DUMMYFUNCTION("""COMPUTED_VALUE"""),"30/01/2026")</f>
        <v>30/01/2026</v>
      </c>
      <c r="AZ1281" s="65"/>
      <c r="BA1281" s="65"/>
    </row>
    <row r="1282">
      <c r="A1282" s="65" t="str">
        <f>IFERROR(__xludf.DUMMYFUNCTION("""COMPUTED_VALUE"""),"27-03-2026")</f>
        <v>27-03-2026</v>
      </c>
      <c r="B1282" s="65">
        <f>IFERROR(__xludf.DUMMYFUNCTION("""COMPUTED_VALUE"""),4319018.0)</f>
        <v>4319018</v>
      </c>
      <c r="C1282" s="65" t="str">
        <f>IFERROR(__xludf.DUMMYFUNCTION("""COMPUTED_VALUE"""),"10:45")</f>
        <v>10:45</v>
      </c>
      <c r="D1282" s="65" t="str">
        <f>IFERROR(__xludf.DUMMYFUNCTION("""COMPUTED_VALUE"""),"29-01-2026")</f>
        <v>29-01-2026</v>
      </c>
      <c r="E1282" s="65" t="str">
        <f>IFERROR(__xludf.DUMMYFUNCTION("""COMPUTED_VALUE"""),"Ana valiente")</f>
        <v>Ana valiente</v>
      </c>
      <c r="F1282" s="65" t="str">
        <f>IFERROR(__xludf.DUMMYFUNCTION("""COMPUTED_VALUE"""),"984867887")</f>
        <v>984867887</v>
      </c>
      <c r="G1282" s="65"/>
      <c r="H1282" s="65"/>
      <c r="I1282" s="65"/>
      <c r="J1282" s="65" t="str">
        <f>IFERROR(__xludf.DUMMYFUNCTION("""COMPUTED_VALUE"""),"D001277156")</f>
        <v>D001277156</v>
      </c>
      <c r="K1282" s="65" t="str">
        <f>IFERROR(__xludf.DUMMYFUNCTION("""COMPUTED_VALUE"""),"DEVOLUCION")</f>
        <v>DEVOLUCION</v>
      </c>
      <c r="L1282" s="65" t="str">
        <f>IFERROR(__xludf.DUMMYFUNCTION("""COMPUTED_VALUE"""),"CON RECAUDO")</f>
        <v>CON RECAUDO</v>
      </c>
      <c r="M1282" s="65" t="str">
        <f>IFERROR(__xludf.DUMMYFUNCTION("""COMPUTED_VALUE"""),"COTOPAXI")</f>
        <v>COTOPAXI</v>
      </c>
      <c r="N1282" s="65" t="str">
        <f>IFERROR(__xludf.DUMMYFUNCTION("""COMPUTED_VALUE"""),"SAQUISILI")</f>
        <v>SAQUISILI</v>
      </c>
      <c r="O1282" s="65" t="str">
        <f>IFERROR(__xludf.DUMMYFUNCTION("""COMPUTED_VALUE"""),"Frente al comercial segovia imbabura, barrio kenedy")</f>
        <v>Frente al comercial segovia imbabura, barrio kenedy</v>
      </c>
      <c r="P1282" s="65"/>
      <c r="Q1282" s="65" t="str">
        <f>IFERROR(__xludf.DUMMYFUNCTION("""COMPUTED_VALUE"""),"GINTRACOM")</f>
        <v>GINTRACOM</v>
      </c>
      <c r="R1282" s="65">
        <f>IFERROR(__xludf.DUMMYFUNCTION("""COMPUTED_VALUE"""),30.0)</f>
        <v>30</v>
      </c>
      <c r="S1282" s="65"/>
      <c r="T1282" s="65">
        <f>IFERROR(__xludf.DUMMYFUNCTION("""COMPUTED_VALUE"""),6.73)</f>
        <v>6.73</v>
      </c>
      <c r="U1282" s="65">
        <f>IFERROR(__xludf.DUMMYFUNCTION("""COMPUTED_VALUE"""),0.0)</f>
        <v>0</v>
      </c>
      <c r="V1282" s="65">
        <f>IFERROR(__xludf.DUMMYFUNCTION("""COMPUTED_VALUE"""),0.0)</f>
        <v>0</v>
      </c>
      <c r="W1282" s="65">
        <f>IFERROR(__xludf.DUMMYFUNCTION("""COMPUTED_VALUE"""),0.0)</f>
        <v>0</v>
      </c>
      <c r="X1282" s="65">
        <f>IFERROR(__xludf.DUMMYFUNCTION("""COMPUTED_VALUE"""),2.35)</f>
        <v>2.35</v>
      </c>
      <c r="Y1282" s="65">
        <f>IFERROR(__xludf.DUMMYFUNCTION("""COMPUTED_VALUE"""),7.05)</f>
        <v>7.05</v>
      </c>
      <c r="Z1282" s="65">
        <f>IFERROR(__xludf.DUMMYFUNCTION("""COMPUTED_VALUE"""),116679.0)</f>
        <v>116679</v>
      </c>
      <c r="AA1282" s="65" t="str">
        <f>IFERROR(__xludf.DUMMYFUNCTION("""COMPUTED_VALUE"""),"AMC-2738")</f>
        <v>AMC-2738</v>
      </c>
      <c r="AB1282" s="65"/>
      <c r="AC1282" s="65" t="str">
        <f>IFERROR(__xludf.DUMMYFUNCTION("""COMPUTED_VALUE"""),"ESPONJA ANTILLUVIA DE PARABRISAS")</f>
        <v>ESPONJA ANTILLUVIA DE PARABRISAS</v>
      </c>
      <c r="AD1282" s="65"/>
      <c r="AE1282" s="65">
        <f>IFERROR(__xludf.DUMMYFUNCTION("""COMPUTED_VALUE"""),3.0)</f>
        <v>3</v>
      </c>
      <c r="AF1282" s="65" t="str">
        <f>IFERROR(__xludf.DUMMYFUNCTION("""COMPUTED_VALUE"""),"DESTINATARIO NO CONTESTA LLAMADAS NI WHATSAPP")</f>
        <v>DESTINATARIO NO CONTESTA LLAMADAS NI WHATSAPP</v>
      </c>
      <c r="AG1282" s="65" t="str">
        <f>IFERROR(__xludf.DUMMYFUNCTION("""COMPUTED_VALUE"""),"SI")</f>
        <v>SI</v>
      </c>
      <c r="AH1282" s="65" t="str">
        <f>IFERROR(__xludf.DUMMYFUNCTION("""COMPUTED_VALUE"""),"09:00")</f>
        <v>09:00</v>
      </c>
      <c r="AI1282" s="65" t="str">
        <f>IFERROR(__xludf.DUMMYFUNCTION("""COMPUTED_VALUE"""),"10-02-2026")</f>
        <v>10-02-2026</v>
      </c>
      <c r="AJ1282" s="65" t="str">
        <f>IFERROR(__xludf.DUMMYFUNCTION("""COMPUTED_VALUE"""),"CLIENTE SOLICITA LA ENTREGA INMEDIATA")</f>
        <v>CLIENTE SOLICITA LA ENTREGA INMEDIATA</v>
      </c>
      <c r="AK1282" s="65" t="str">
        <f>IFERROR(__xludf.DUMMYFUNCTION("""COMPUTED_VALUE"""),"13:11")</f>
        <v>13:11</v>
      </c>
      <c r="AL1282" s="65" t="str">
        <f>IFERROR(__xludf.DUMMYFUNCTION("""COMPUTED_VALUE"""),"11-02-2026")</f>
        <v>11-02-2026</v>
      </c>
      <c r="AM1282" s="65"/>
      <c r="AN1282" s="65" t="str">
        <f>IFERROR(__xludf.DUMMYFUNCTION("""COMPUTED_VALUE"""),"14:49")</f>
        <v>14:49</v>
      </c>
      <c r="AO1282" s="65" t="str">
        <f>IFERROR(__xludf.DUMMYFUNCTION("""COMPUTED_VALUE"""),"21-02-2026")</f>
        <v>21-02-2026</v>
      </c>
      <c r="AP1282" s="65" t="str">
        <f>IFERROR(__xludf.DUMMYFUNCTION("""COMPUTED_VALUE"""),"DEVOLUCIÓN ENTREGADA A ORIGEN")</f>
        <v>DEVOLUCIÓN ENTREGADA A ORIGEN</v>
      </c>
      <c r="AQ1282" s="65" t="str">
        <f>IFERROR(__xludf.DUMMYFUNCTION("""COMPUTED_VALUE"""),"DEVOLUCIÓN ENTREGADA A ORIGEN")</f>
        <v>DEVOLUCIÓN ENTREGADA A ORIGEN</v>
      </c>
      <c r="AR1282" s="65"/>
      <c r="AS1282" s="65"/>
      <c r="AT1282" s="65" t="str">
        <f>IFERROR(__xludf.DUMMYFUNCTION("""COMPUTED_VALUE"""),"CHATEA PRO")</f>
        <v>CHATEA PRO</v>
      </c>
      <c r="AU1282" s="65" t="str">
        <f>IFERROR(__xludf.DUMMYFUNCTION("""COMPUTED_VALUE"""),"CHATEA PRO")</f>
        <v>CHATEA PRO</v>
      </c>
      <c r="AV1282" s="65"/>
      <c r="AW1282" s="65"/>
      <c r="AX1282" s="65"/>
      <c r="AY1282" s="65" t="str">
        <f>IFERROR(__xludf.DUMMYFUNCTION("""COMPUTED_VALUE"""),"30/01/2026")</f>
        <v>30/01/2026</v>
      </c>
      <c r="AZ1282" s="65"/>
      <c r="BA1282" s="65"/>
    </row>
    <row r="1283">
      <c r="A1283" s="65" t="str">
        <f>IFERROR(__xludf.DUMMYFUNCTION("""COMPUTED_VALUE"""),"27-03-2026")</f>
        <v>27-03-2026</v>
      </c>
      <c r="B1283" s="65">
        <f>IFERROR(__xludf.DUMMYFUNCTION("""COMPUTED_VALUE"""),4318947.0)</f>
        <v>4318947</v>
      </c>
      <c r="C1283" s="65" t="str">
        <f>IFERROR(__xludf.DUMMYFUNCTION("""COMPUTED_VALUE"""),"10:39")</f>
        <v>10:39</v>
      </c>
      <c r="D1283" s="65" t="str">
        <f>IFERROR(__xludf.DUMMYFUNCTION("""COMPUTED_VALUE"""),"29-01-2026")</f>
        <v>29-01-2026</v>
      </c>
      <c r="E1283" s="65" t="str">
        <f>IFERROR(__xludf.DUMMYFUNCTION("""COMPUTED_VALUE"""),"Ángel Suárez")</f>
        <v>Ángel Suárez</v>
      </c>
      <c r="F1283" s="65" t="str">
        <f>IFERROR(__xludf.DUMMYFUNCTION("""COMPUTED_VALUE"""),"990789378")</f>
        <v>990789378</v>
      </c>
      <c r="G1283" s="65"/>
      <c r="H1283" s="65"/>
      <c r="I1283" s="65"/>
      <c r="J1283" s="65" t="str">
        <f>IFERROR(__xludf.DUMMYFUNCTION("""COMPUTED_VALUE"""),"D001276281")</f>
        <v>D001276281</v>
      </c>
      <c r="K1283" s="65" t="str">
        <f>IFERROR(__xludf.DUMMYFUNCTION("""COMPUTED_VALUE"""),"RECHAZADO")</f>
        <v>RECHAZADO</v>
      </c>
      <c r="L1283" s="65" t="str">
        <f>IFERROR(__xludf.DUMMYFUNCTION("""COMPUTED_VALUE"""),"CON RECAUDO")</f>
        <v>CON RECAUDO</v>
      </c>
      <c r="M1283" s="65" t="str">
        <f>IFERROR(__xludf.DUMMYFUNCTION("""COMPUTED_VALUE"""),"IMBABURA")</f>
        <v>IMBABURA</v>
      </c>
      <c r="N1283" s="65" t="str">
        <f>IFERROR(__xludf.DUMMYFUNCTION("""COMPUTED_VALUE"""),"OTAVALO")</f>
        <v>OTAVALO</v>
      </c>
      <c r="O1283" s="65" t="str">
        <f>IFERROR(__xludf.DUMMYFUNCTION("""COMPUTED_VALUE"""),"Roca y Morales, Servientrega")</f>
        <v>Roca y Morales, Servientrega</v>
      </c>
      <c r="P1283" s="65" t="str">
        <f>IFERROR(__xludf.DUMMYFUNCTION("""COMPUTED_VALUE"""),"LLAVE TRINQUETE: Default Title ***")</f>
        <v>LLAVE TRINQUETE: Default Title ***</v>
      </c>
      <c r="Q1283" s="65" t="str">
        <f>IFERROR(__xludf.DUMMYFUNCTION("""COMPUTED_VALUE"""),"GINTRACOM")</f>
        <v>GINTRACOM</v>
      </c>
      <c r="R1283" s="65">
        <f>IFERROR(__xludf.DUMMYFUNCTION("""COMPUTED_VALUE"""),21.99)</f>
        <v>21.99</v>
      </c>
      <c r="S1283" s="65"/>
      <c r="T1283" s="65">
        <f>IFERROR(__xludf.DUMMYFUNCTION("""COMPUTED_VALUE"""),5.84)</f>
        <v>5.84</v>
      </c>
      <c r="U1283" s="65">
        <f>IFERROR(__xludf.DUMMYFUNCTION("""COMPUTED_VALUE"""),0.0)</f>
        <v>0</v>
      </c>
      <c r="V1283" s="65">
        <f>IFERROR(__xludf.DUMMYFUNCTION("""COMPUTED_VALUE"""),0.0)</f>
        <v>0</v>
      </c>
      <c r="W1283" s="65">
        <f>IFERROR(__xludf.DUMMYFUNCTION("""COMPUTED_VALUE"""),0.0)</f>
        <v>0</v>
      </c>
      <c r="X1283" s="65">
        <f>IFERROR(__xludf.DUMMYFUNCTION("""COMPUTED_VALUE"""),5.0)</f>
        <v>5</v>
      </c>
      <c r="Y1283" s="65">
        <f>IFERROR(__xludf.DUMMYFUNCTION("""COMPUTED_VALUE"""),5.0)</f>
        <v>5</v>
      </c>
      <c r="Z1283" s="65">
        <f>IFERROR(__xludf.DUMMYFUNCTION("""COMPUTED_VALUE"""),110064.0)</f>
        <v>110064</v>
      </c>
      <c r="AA1283" s="65" t="str">
        <f>IFERROR(__xludf.DUMMYFUNCTION("""COMPUTED_VALUE"""),"IMX-00001")</f>
        <v>IMX-00001</v>
      </c>
      <c r="AB1283" s="65"/>
      <c r="AC1283" s="65" t="str">
        <f>IFERROR(__xludf.DUMMYFUNCTION("""COMPUTED_VALUE"""),"LLAVE TRINQUETE")</f>
        <v>LLAVE TRINQUETE</v>
      </c>
      <c r="AD1283" s="65"/>
      <c r="AE1283" s="65">
        <f>IFERROR(__xludf.DUMMYFUNCTION("""COMPUTED_VALUE"""),1.0)</f>
        <v>1</v>
      </c>
      <c r="AF1283" s="65"/>
      <c r="AG1283" s="65"/>
      <c r="AH1283" s="65"/>
      <c r="AI1283" s="65"/>
      <c r="AJ1283" s="65"/>
      <c r="AK1283" s="65"/>
      <c r="AL1283" s="65"/>
      <c r="AM1283" s="65"/>
      <c r="AN1283" s="65"/>
      <c r="AO1283" s="65"/>
      <c r="AP1283" s="65"/>
      <c r="AQ1283" s="65"/>
      <c r="AR1283" s="65"/>
      <c r="AS1283" s="65"/>
      <c r="AT1283" s="65" t="str">
        <f>IFERROR(__xludf.DUMMYFUNCTION("""COMPUTED_VALUE"""),"SHOPIFY")</f>
        <v>SHOPIFY</v>
      </c>
      <c r="AU1283" s="65" t="str">
        <f>IFERROR(__xludf.DUMMYFUNCTION("""COMPUTED_VALUE"""),"IMPORTEX EC")</f>
        <v>IMPORTEX EC</v>
      </c>
      <c r="AV1283" s="65" t="str">
        <f>IFERROR(__xludf.DUMMYFUNCTION("""COMPUTED_VALUE"""),"6456718622764")</f>
        <v>6456718622764</v>
      </c>
      <c r="AW1283" s="65">
        <f>IFERROR(__xludf.DUMMYFUNCTION("""COMPUTED_VALUE"""),5633.0)</f>
        <v>5633</v>
      </c>
      <c r="AX1283" s="65"/>
      <c r="AY1283" s="65" t="str">
        <f>IFERROR(__xludf.DUMMYFUNCTION("""COMPUTED_VALUE"""),"30/01/2026")</f>
        <v>30/01/2026</v>
      </c>
      <c r="AZ1283" s="65"/>
      <c r="BA1283" s="65"/>
    </row>
    <row r="1284">
      <c r="A1284" s="65" t="str">
        <f>IFERROR(__xludf.DUMMYFUNCTION("""COMPUTED_VALUE"""),"27-03-2026")</f>
        <v>27-03-2026</v>
      </c>
      <c r="B1284" s="65">
        <f>IFERROR(__xludf.DUMMYFUNCTION("""COMPUTED_VALUE"""),4318932.0)</f>
        <v>4318932</v>
      </c>
      <c r="C1284" s="65" t="str">
        <f>IFERROR(__xludf.DUMMYFUNCTION("""COMPUTED_VALUE"""),"10:37")</f>
        <v>10:37</v>
      </c>
      <c r="D1284" s="65" t="str">
        <f>IFERROR(__xludf.DUMMYFUNCTION("""COMPUTED_VALUE"""),"29-01-2026")</f>
        <v>29-01-2026</v>
      </c>
      <c r="E1284" s="65" t="str">
        <f>IFERROR(__xludf.DUMMYFUNCTION("""COMPUTED_VALUE"""),"Giovanni Cisneros")</f>
        <v>Giovanni Cisneros</v>
      </c>
      <c r="F1284" s="65" t="str">
        <f>IFERROR(__xludf.DUMMYFUNCTION("""COMPUTED_VALUE"""),"999876249")</f>
        <v>999876249</v>
      </c>
      <c r="G1284" s="65"/>
      <c r="H1284" s="65"/>
      <c r="I1284" s="65"/>
      <c r="J1284" s="65" t="str">
        <f>IFERROR(__xludf.DUMMYFUNCTION("""COMPUTED_VALUE"""),"D001277157")</f>
        <v>D001277157</v>
      </c>
      <c r="K1284" s="65" t="str">
        <f>IFERROR(__xludf.DUMMYFUNCTION("""COMPUTED_VALUE"""),"ENTREGADO")</f>
        <v>ENTREGADO</v>
      </c>
      <c r="L1284" s="65" t="str">
        <f>IFERROR(__xludf.DUMMYFUNCTION("""COMPUTED_VALUE"""),"CON RECAUDO")</f>
        <v>CON RECAUDO</v>
      </c>
      <c r="M1284" s="65" t="str">
        <f>IFERROR(__xludf.DUMMYFUNCTION("""COMPUTED_VALUE"""),"GUAYAS")</f>
        <v>GUAYAS</v>
      </c>
      <c r="N1284" s="65" t="str">
        <f>IFERROR(__xludf.DUMMYFUNCTION("""COMPUTED_VALUE"""),"GUAYAQUIL")</f>
        <v>GUAYAQUIL</v>
      </c>
      <c r="O1284" s="65" t="str">
        <f>IFERROR(__xludf.DUMMYFUNCTION("""COMPUTED_VALUE"""),"Km 19 vía a la costa, Urb. Costalmar 2, Garita flia Cisneros, pasando Holcim")</f>
        <v>Km 19 vía a la costa, Urb. Costalmar 2, Garita flia Cisneros, pasando Holcim</v>
      </c>
      <c r="P1284" s="65"/>
      <c r="Q1284" s="65" t="str">
        <f>IFERROR(__xludf.DUMMYFUNCTION("""COMPUTED_VALUE"""),"GINTRACOM")</f>
        <v>GINTRACOM</v>
      </c>
      <c r="R1284" s="65">
        <f>IFERROR(__xludf.DUMMYFUNCTION("""COMPUTED_VALUE"""),25.0)</f>
        <v>25</v>
      </c>
      <c r="S1284" s="65">
        <f>IFERROR(__xludf.DUMMYFUNCTION("""COMPUTED_VALUE"""),14.34)</f>
        <v>14.34</v>
      </c>
      <c r="T1284" s="65">
        <f>IFERROR(__xludf.DUMMYFUNCTION("""COMPUTED_VALUE"""),5.96)</f>
        <v>5.96</v>
      </c>
      <c r="U1284" s="65">
        <f>IFERROR(__xludf.DUMMYFUNCTION("""COMPUTED_VALUE"""),0.0)</f>
        <v>0</v>
      </c>
      <c r="V1284" s="65">
        <f>IFERROR(__xludf.DUMMYFUNCTION("""COMPUTED_VALUE"""),0.0)</f>
        <v>0</v>
      </c>
      <c r="W1284" s="65">
        <f>IFERROR(__xludf.DUMMYFUNCTION("""COMPUTED_VALUE"""),0.0)</f>
        <v>0</v>
      </c>
      <c r="X1284" s="65">
        <f>IFERROR(__xludf.DUMMYFUNCTION("""COMPUTED_VALUE"""),2.35)</f>
        <v>2.35</v>
      </c>
      <c r="Y1284" s="65">
        <f>IFERROR(__xludf.DUMMYFUNCTION("""COMPUTED_VALUE"""),4.7)</f>
        <v>4.7</v>
      </c>
      <c r="Z1284" s="65">
        <f>IFERROR(__xludf.DUMMYFUNCTION("""COMPUTED_VALUE"""),116679.0)</f>
        <v>116679</v>
      </c>
      <c r="AA1284" s="65" t="str">
        <f>IFERROR(__xludf.DUMMYFUNCTION("""COMPUTED_VALUE"""),"AMC-2738")</f>
        <v>AMC-2738</v>
      </c>
      <c r="AB1284" s="65"/>
      <c r="AC1284" s="65" t="str">
        <f>IFERROR(__xludf.DUMMYFUNCTION("""COMPUTED_VALUE"""),"ESPONJA ANTILLUVIA DE PARABRISAS")</f>
        <v>ESPONJA ANTILLUVIA DE PARABRISAS</v>
      </c>
      <c r="AD1284" s="65"/>
      <c r="AE1284" s="65">
        <f>IFERROR(__xludf.DUMMYFUNCTION("""COMPUTED_VALUE"""),2.0)</f>
        <v>2</v>
      </c>
      <c r="AF1284" s="65"/>
      <c r="AG1284" s="65"/>
      <c r="AH1284" s="65"/>
      <c r="AI1284" s="65"/>
      <c r="AJ1284" s="65"/>
      <c r="AK1284" s="65"/>
      <c r="AL1284" s="65"/>
      <c r="AM1284" s="65"/>
      <c r="AN1284" s="65"/>
      <c r="AO1284" s="65"/>
      <c r="AP1284" s="65"/>
      <c r="AQ1284" s="65"/>
      <c r="AR1284" s="65"/>
      <c r="AS1284" s="65"/>
      <c r="AT1284" s="65" t="str">
        <f>IFERROR(__xludf.DUMMYFUNCTION("""COMPUTED_VALUE"""),"CHATEA PRO")</f>
        <v>CHATEA PRO</v>
      </c>
      <c r="AU1284" s="65" t="str">
        <f>IFERROR(__xludf.DUMMYFUNCTION("""COMPUTED_VALUE"""),"CHATEA PRO")</f>
        <v>CHATEA PRO</v>
      </c>
      <c r="AV1284" s="65"/>
      <c r="AW1284" s="65"/>
      <c r="AX1284" s="65"/>
      <c r="AY1284" s="65" t="str">
        <f>IFERROR(__xludf.DUMMYFUNCTION("""COMPUTED_VALUE"""),"30/01/2026")</f>
        <v>30/01/2026</v>
      </c>
      <c r="AZ1284" s="65"/>
      <c r="BA1284" s="65"/>
    </row>
    <row r="1285">
      <c r="A1285" s="65" t="str">
        <f>IFERROR(__xludf.DUMMYFUNCTION("""COMPUTED_VALUE"""),"27-03-2026")</f>
        <v>27-03-2026</v>
      </c>
      <c r="B1285" s="65">
        <f>IFERROR(__xludf.DUMMYFUNCTION("""COMPUTED_VALUE"""),4318906.0)</f>
        <v>4318906</v>
      </c>
      <c r="C1285" s="65" t="str">
        <f>IFERROR(__xludf.DUMMYFUNCTION("""COMPUTED_VALUE"""),"10:35")</f>
        <v>10:35</v>
      </c>
      <c r="D1285" s="65" t="str">
        <f>IFERROR(__xludf.DUMMYFUNCTION("""COMPUTED_VALUE"""),"29-01-2026")</f>
        <v>29-01-2026</v>
      </c>
      <c r="E1285" s="65" t="str">
        <f>IFERROR(__xludf.DUMMYFUNCTION("""COMPUTED_VALUE"""),"Cristian Mañay")</f>
        <v>Cristian Mañay</v>
      </c>
      <c r="F1285" s="65" t="str">
        <f>IFERROR(__xludf.DUMMYFUNCTION("""COMPUTED_VALUE"""),"939500011")</f>
        <v>939500011</v>
      </c>
      <c r="G1285" s="65"/>
      <c r="H1285" s="65"/>
      <c r="I1285" s="65"/>
      <c r="J1285" s="65" t="str">
        <f>IFERROR(__xludf.DUMMYFUNCTION("""COMPUTED_VALUE"""),"D001277159")</f>
        <v>D001277159</v>
      </c>
      <c r="K1285" s="65" t="str">
        <f>IFERROR(__xludf.DUMMYFUNCTION("""COMPUTED_VALUE"""),"ENTREGADO")</f>
        <v>ENTREGADO</v>
      </c>
      <c r="L1285" s="65" t="str">
        <f>IFERROR(__xludf.DUMMYFUNCTION("""COMPUTED_VALUE"""),"CON RECAUDO")</f>
        <v>CON RECAUDO</v>
      </c>
      <c r="M1285" s="65" t="str">
        <f>IFERROR(__xludf.DUMMYFUNCTION("""COMPUTED_VALUE"""),"TUNGURAHUA")</f>
        <v>TUNGURAHUA</v>
      </c>
      <c r="N1285" s="65" t="str">
        <f>IFERROR(__xludf.DUMMYFUNCTION("""COMPUTED_VALUE"""),"AMBATO")</f>
        <v>AMBATO</v>
      </c>
      <c r="O1285" s="65" t="str">
        <f>IFERROR(__xludf.DUMMYFUNCTION("""COMPUTED_VALUE"""),"Segunda constituyente El mayorista - Tras la cárcel a media cuadra del ex terminal del mercado América - [número de casa o referencia adicional]")</f>
        <v>Segunda constituyente El mayorista - Tras la cárcel a media cuadra del ex terminal del mercado América - [número de casa o referencia adicional]</v>
      </c>
      <c r="P1285" s="65"/>
      <c r="Q1285" s="65" t="str">
        <f>IFERROR(__xludf.DUMMYFUNCTION("""COMPUTED_VALUE"""),"GINTRACOM")</f>
        <v>GINTRACOM</v>
      </c>
      <c r="R1285" s="65">
        <f>IFERROR(__xludf.DUMMYFUNCTION("""COMPUTED_VALUE"""),25.0)</f>
        <v>25</v>
      </c>
      <c r="S1285" s="65">
        <f>IFERROR(__xludf.DUMMYFUNCTION("""COMPUTED_VALUE"""),14.34)</f>
        <v>14.34</v>
      </c>
      <c r="T1285" s="65">
        <f>IFERROR(__xludf.DUMMYFUNCTION("""COMPUTED_VALUE"""),5.96)</f>
        <v>5.96</v>
      </c>
      <c r="U1285" s="65">
        <f>IFERROR(__xludf.DUMMYFUNCTION("""COMPUTED_VALUE"""),0.0)</f>
        <v>0</v>
      </c>
      <c r="V1285" s="65">
        <f>IFERROR(__xludf.DUMMYFUNCTION("""COMPUTED_VALUE"""),0.0)</f>
        <v>0</v>
      </c>
      <c r="W1285" s="65">
        <f>IFERROR(__xludf.DUMMYFUNCTION("""COMPUTED_VALUE"""),0.0)</f>
        <v>0</v>
      </c>
      <c r="X1285" s="65">
        <f>IFERROR(__xludf.DUMMYFUNCTION("""COMPUTED_VALUE"""),2.35)</f>
        <v>2.35</v>
      </c>
      <c r="Y1285" s="65">
        <f>IFERROR(__xludf.DUMMYFUNCTION("""COMPUTED_VALUE"""),4.7)</f>
        <v>4.7</v>
      </c>
      <c r="Z1285" s="65">
        <f>IFERROR(__xludf.DUMMYFUNCTION("""COMPUTED_VALUE"""),116679.0)</f>
        <v>116679</v>
      </c>
      <c r="AA1285" s="65" t="str">
        <f>IFERROR(__xludf.DUMMYFUNCTION("""COMPUTED_VALUE"""),"AMC-2738")</f>
        <v>AMC-2738</v>
      </c>
      <c r="AB1285" s="65"/>
      <c r="AC1285" s="65" t="str">
        <f>IFERROR(__xludf.DUMMYFUNCTION("""COMPUTED_VALUE"""),"ESPONJA ANTILLUVIA DE PARABRISAS")</f>
        <v>ESPONJA ANTILLUVIA DE PARABRISAS</v>
      </c>
      <c r="AD1285" s="65"/>
      <c r="AE1285" s="65">
        <f>IFERROR(__xludf.DUMMYFUNCTION("""COMPUTED_VALUE"""),2.0)</f>
        <v>2</v>
      </c>
      <c r="AF1285" s="65" t="str">
        <f>IFERROR(__xludf.DUMMYFUNCTION("""COMPUTED_VALUE"""),"DESTINATARIO NO CONTESTA LLAMADAS NI WHATSAPP")</f>
        <v>DESTINATARIO NO CONTESTA LLAMADAS NI WHATSAPP</v>
      </c>
      <c r="AG1285" s="65" t="str">
        <f>IFERROR(__xludf.DUMMYFUNCTION("""COMPUTED_VALUE"""),"SI")</f>
        <v>SI</v>
      </c>
      <c r="AH1285" s="65" t="str">
        <f>IFERROR(__xludf.DUMMYFUNCTION("""COMPUTED_VALUE"""),"09:00")</f>
        <v>09:00</v>
      </c>
      <c r="AI1285" s="65" t="str">
        <f>IFERROR(__xludf.DUMMYFUNCTION("""COMPUTED_VALUE"""),"06-02-2026")</f>
        <v>06-02-2026</v>
      </c>
      <c r="AJ1285" s="65"/>
      <c r="AK1285" s="65"/>
      <c r="AL1285" s="65"/>
      <c r="AM1285" s="65"/>
      <c r="AN1285" s="65" t="str">
        <f>IFERROR(__xludf.DUMMYFUNCTION("""COMPUTED_VALUE"""),"13:02")</f>
        <v>13:02</v>
      </c>
      <c r="AO1285" s="65" t="str">
        <f>IFERROR(__xludf.DUMMYFUNCTION("""COMPUTED_VALUE"""),"10-02-2026")</f>
        <v>10-02-2026</v>
      </c>
      <c r="AP1285" s="65" t="str">
        <f>IFERROR(__xludf.DUMMYFUNCTION("""COMPUTED_VALUE"""),"ENTREGADA GINTRACOM")</f>
        <v>ENTREGADA GINTRACOM</v>
      </c>
      <c r="AQ1285" s="65" t="str">
        <f>IFERROR(__xludf.DUMMYFUNCTION("""COMPUTED_VALUE"""),"ENTREGADA GINTRACOM")</f>
        <v>ENTREGADA GINTRACOM</v>
      </c>
      <c r="AR1285" s="65"/>
      <c r="AS1285" s="65"/>
      <c r="AT1285" s="65" t="str">
        <f>IFERROR(__xludf.DUMMYFUNCTION("""COMPUTED_VALUE"""),"CHATEA PRO")</f>
        <v>CHATEA PRO</v>
      </c>
      <c r="AU1285" s="65" t="str">
        <f>IFERROR(__xludf.DUMMYFUNCTION("""COMPUTED_VALUE"""),"CHATEA PRO")</f>
        <v>CHATEA PRO</v>
      </c>
      <c r="AV1285" s="65"/>
      <c r="AW1285" s="65"/>
      <c r="AX1285" s="65"/>
      <c r="AY1285" s="65" t="str">
        <f>IFERROR(__xludf.DUMMYFUNCTION("""COMPUTED_VALUE"""),"30/01/2026")</f>
        <v>30/01/2026</v>
      </c>
      <c r="AZ1285" s="65"/>
      <c r="BA1285" s="65"/>
    </row>
    <row r="1286">
      <c r="A1286" s="65" t="str">
        <f>IFERROR(__xludf.DUMMYFUNCTION("""COMPUTED_VALUE"""),"27-03-2026")</f>
        <v>27-03-2026</v>
      </c>
      <c r="B1286" s="65">
        <f>IFERROR(__xludf.DUMMYFUNCTION("""COMPUTED_VALUE"""),4318900.0)</f>
        <v>4318900</v>
      </c>
      <c r="C1286" s="65" t="str">
        <f>IFERROR(__xludf.DUMMYFUNCTION("""COMPUTED_VALUE"""),"10:34")</f>
        <v>10:34</v>
      </c>
      <c r="D1286" s="65" t="str">
        <f>IFERROR(__xludf.DUMMYFUNCTION("""COMPUTED_VALUE"""),"29-01-2026")</f>
        <v>29-01-2026</v>
      </c>
      <c r="E1286" s="65" t="str">
        <f>IFERROR(__xludf.DUMMYFUNCTION("""COMPUTED_VALUE"""),"Ehuri Moreira")</f>
        <v>Ehuri Moreira</v>
      </c>
      <c r="F1286" s="65" t="str">
        <f>IFERROR(__xludf.DUMMYFUNCTION("""COMPUTED_VALUE"""),"991831768")</f>
        <v>991831768</v>
      </c>
      <c r="G1286" s="65"/>
      <c r="H1286" s="65"/>
      <c r="I1286" s="65"/>
      <c r="J1286" s="65" t="str">
        <f>IFERROR(__xludf.DUMMYFUNCTION("""COMPUTED_VALUE"""),"D001277160")</f>
        <v>D001277160</v>
      </c>
      <c r="K1286" s="65" t="str">
        <f>IFERROR(__xludf.DUMMYFUNCTION("""COMPUTED_VALUE"""),"ENTREGADO")</f>
        <v>ENTREGADO</v>
      </c>
      <c r="L1286" s="65" t="str">
        <f>IFERROR(__xludf.DUMMYFUNCTION("""COMPUTED_VALUE"""),"CON RECAUDO")</f>
        <v>CON RECAUDO</v>
      </c>
      <c r="M1286" s="65" t="str">
        <f>IFERROR(__xludf.DUMMYFUNCTION("""COMPUTED_VALUE"""),"MANABI")</f>
        <v>MANABI</v>
      </c>
      <c r="N1286" s="65" t="str">
        <f>IFERROR(__xludf.DUMMYFUNCTION("""COMPUTED_VALUE"""),"PORTOVIEJO")</f>
        <v>PORTOVIEJO</v>
      </c>
      <c r="O1286" s="65" t="str">
        <f>IFERROR(__xludf.DUMMYFUNCTION("""COMPUTED_VALUE"""),"Calle 26 de septiembre, entre tulipanes y Acasias, frente farmacia san Gregorio")</f>
        <v>Calle 26 de septiembre, entre tulipanes y Acasias, frente farmacia san Gregorio</v>
      </c>
      <c r="P1286" s="65"/>
      <c r="Q1286" s="65" t="str">
        <f>IFERROR(__xludf.DUMMYFUNCTION("""COMPUTED_VALUE"""),"GINTRACOM")</f>
        <v>GINTRACOM</v>
      </c>
      <c r="R1286" s="65">
        <f>IFERROR(__xludf.DUMMYFUNCTION("""COMPUTED_VALUE"""),25.0)</f>
        <v>25</v>
      </c>
      <c r="S1286" s="65">
        <f>IFERROR(__xludf.DUMMYFUNCTION("""COMPUTED_VALUE"""),14.34)</f>
        <v>14.34</v>
      </c>
      <c r="T1286" s="65">
        <f>IFERROR(__xludf.DUMMYFUNCTION("""COMPUTED_VALUE"""),5.96)</f>
        <v>5.96</v>
      </c>
      <c r="U1286" s="65">
        <f>IFERROR(__xludf.DUMMYFUNCTION("""COMPUTED_VALUE"""),0.0)</f>
        <v>0</v>
      </c>
      <c r="V1286" s="65">
        <f>IFERROR(__xludf.DUMMYFUNCTION("""COMPUTED_VALUE"""),0.0)</f>
        <v>0</v>
      </c>
      <c r="W1286" s="65">
        <f>IFERROR(__xludf.DUMMYFUNCTION("""COMPUTED_VALUE"""),0.0)</f>
        <v>0</v>
      </c>
      <c r="X1286" s="65">
        <f>IFERROR(__xludf.DUMMYFUNCTION("""COMPUTED_VALUE"""),2.35)</f>
        <v>2.35</v>
      </c>
      <c r="Y1286" s="65">
        <f>IFERROR(__xludf.DUMMYFUNCTION("""COMPUTED_VALUE"""),4.7)</f>
        <v>4.7</v>
      </c>
      <c r="Z1286" s="65">
        <f>IFERROR(__xludf.DUMMYFUNCTION("""COMPUTED_VALUE"""),116679.0)</f>
        <v>116679</v>
      </c>
      <c r="AA1286" s="65" t="str">
        <f>IFERROR(__xludf.DUMMYFUNCTION("""COMPUTED_VALUE"""),"AMC-2738")</f>
        <v>AMC-2738</v>
      </c>
      <c r="AB1286" s="65"/>
      <c r="AC1286" s="65" t="str">
        <f>IFERROR(__xludf.DUMMYFUNCTION("""COMPUTED_VALUE"""),"ESPONJA ANTILLUVIA DE PARABRISAS")</f>
        <v>ESPONJA ANTILLUVIA DE PARABRISAS</v>
      </c>
      <c r="AD1286" s="65"/>
      <c r="AE1286" s="65">
        <f>IFERROR(__xludf.DUMMYFUNCTION("""COMPUTED_VALUE"""),2.0)</f>
        <v>2</v>
      </c>
      <c r="AF1286" s="65"/>
      <c r="AG1286" s="65"/>
      <c r="AH1286" s="65"/>
      <c r="AI1286" s="65"/>
      <c r="AJ1286" s="65"/>
      <c r="AK1286" s="65"/>
      <c r="AL1286" s="65"/>
      <c r="AM1286" s="65"/>
      <c r="AN1286" s="65"/>
      <c r="AO1286" s="65"/>
      <c r="AP1286" s="65"/>
      <c r="AQ1286" s="65"/>
      <c r="AR1286" s="65"/>
      <c r="AS1286" s="65"/>
      <c r="AT1286" s="65" t="str">
        <f>IFERROR(__xludf.DUMMYFUNCTION("""COMPUTED_VALUE"""),"CHATEA PRO")</f>
        <v>CHATEA PRO</v>
      </c>
      <c r="AU1286" s="65" t="str">
        <f>IFERROR(__xludf.DUMMYFUNCTION("""COMPUTED_VALUE"""),"CHATEA PRO")</f>
        <v>CHATEA PRO</v>
      </c>
      <c r="AV1286" s="65"/>
      <c r="AW1286" s="65"/>
      <c r="AX1286" s="65"/>
      <c r="AY1286" s="65" t="str">
        <f>IFERROR(__xludf.DUMMYFUNCTION("""COMPUTED_VALUE"""),"30/01/2026")</f>
        <v>30/01/2026</v>
      </c>
      <c r="AZ1286" s="65"/>
      <c r="BA1286" s="65"/>
    </row>
    <row r="1287">
      <c r="A1287" s="65" t="str">
        <f>IFERROR(__xludf.DUMMYFUNCTION("""COMPUTED_VALUE"""),"27-03-2026")</f>
        <v>27-03-2026</v>
      </c>
      <c r="B1287" s="65">
        <f>IFERROR(__xludf.DUMMYFUNCTION("""COMPUTED_VALUE"""),4318885.0)</f>
        <v>4318885</v>
      </c>
      <c r="C1287" s="65" t="str">
        <f>IFERROR(__xludf.DUMMYFUNCTION("""COMPUTED_VALUE"""),"10:32")</f>
        <v>10:32</v>
      </c>
      <c r="D1287" s="65" t="str">
        <f>IFERROR(__xludf.DUMMYFUNCTION("""COMPUTED_VALUE"""),"29-01-2026")</f>
        <v>29-01-2026</v>
      </c>
      <c r="E1287" s="65" t="str">
        <f>IFERROR(__xludf.DUMMYFUNCTION("""COMPUTED_VALUE"""),"Fabian pita")</f>
        <v>Fabian pita</v>
      </c>
      <c r="F1287" s="65" t="str">
        <f>IFERROR(__xludf.DUMMYFUNCTION("""COMPUTED_VALUE"""),"994579595")</f>
        <v>994579595</v>
      </c>
      <c r="G1287" s="65"/>
      <c r="H1287" s="65"/>
      <c r="I1287" s="65"/>
      <c r="J1287" s="65" t="str">
        <f>IFERROR(__xludf.DUMMYFUNCTION("""COMPUTED_VALUE"""),"D001277162")</f>
        <v>D001277162</v>
      </c>
      <c r="K1287" s="65" t="str">
        <f>IFERROR(__xludf.DUMMYFUNCTION("""COMPUTED_VALUE"""),"ENTREGADO")</f>
        <v>ENTREGADO</v>
      </c>
      <c r="L1287" s="65" t="str">
        <f>IFERROR(__xludf.DUMMYFUNCTION("""COMPUTED_VALUE"""),"CON RECAUDO")</f>
        <v>CON RECAUDO</v>
      </c>
      <c r="M1287" s="65" t="str">
        <f>IFERROR(__xludf.DUMMYFUNCTION("""COMPUTED_VALUE"""),"MANABI")</f>
        <v>MANABI</v>
      </c>
      <c r="N1287" s="65" t="str">
        <f>IFERROR(__xludf.DUMMYFUNCTION("""COMPUTED_VALUE"""),"MANTA")</f>
        <v>MANTA</v>
      </c>
      <c r="O1287" s="65" t="str">
        <f>IFERROR(__xludf.DUMMYFUNCTION("""COMPUTED_VALUE"""),"Avenida 113 Av los laureles - diagonal a ex academia naval janveli")</f>
        <v>Avenida 113 Av los laureles - diagonal a ex academia naval janveli</v>
      </c>
      <c r="P1287" s="65"/>
      <c r="Q1287" s="65" t="str">
        <f>IFERROR(__xludf.DUMMYFUNCTION("""COMPUTED_VALUE"""),"GINTRACOM")</f>
        <v>GINTRACOM</v>
      </c>
      <c r="R1287" s="65">
        <f>IFERROR(__xludf.DUMMYFUNCTION("""COMPUTED_VALUE"""),25.0)</f>
        <v>25</v>
      </c>
      <c r="S1287" s="65">
        <f>IFERROR(__xludf.DUMMYFUNCTION("""COMPUTED_VALUE"""),14.34)</f>
        <v>14.34</v>
      </c>
      <c r="T1287" s="65">
        <f>IFERROR(__xludf.DUMMYFUNCTION("""COMPUTED_VALUE"""),5.96)</f>
        <v>5.96</v>
      </c>
      <c r="U1287" s="65">
        <f>IFERROR(__xludf.DUMMYFUNCTION("""COMPUTED_VALUE"""),0.0)</f>
        <v>0</v>
      </c>
      <c r="V1287" s="65">
        <f>IFERROR(__xludf.DUMMYFUNCTION("""COMPUTED_VALUE"""),0.0)</f>
        <v>0</v>
      </c>
      <c r="W1287" s="65">
        <f>IFERROR(__xludf.DUMMYFUNCTION("""COMPUTED_VALUE"""),0.0)</f>
        <v>0</v>
      </c>
      <c r="X1287" s="65">
        <f>IFERROR(__xludf.DUMMYFUNCTION("""COMPUTED_VALUE"""),2.35)</f>
        <v>2.35</v>
      </c>
      <c r="Y1287" s="65">
        <f>IFERROR(__xludf.DUMMYFUNCTION("""COMPUTED_VALUE"""),4.7)</f>
        <v>4.7</v>
      </c>
      <c r="Z1287" s="65">
        <f>IFERROR(__xludf.DUMMYFUNCTION("""COMPUTED_VALUE"""),116679.0)</f>
        <v>116679</v>
      </c>
      <c r="AA1287" s="65" t="str">
        <f>IFERROR(__xludf.DUMMYFUNCTION("""COMPUTED_VALUE"""),"AMC-2738")</f>
        <v>AMC-2738</v>
      </c>
      <c r="AB1287" s="65"/>
      <c r="AC1287" s="65" t="str">
        <f>IFERROR(__xludf.DUMMYFUNCTION("""COMPUTED_VALUE"""),"ESPONJA ANTILLUVIA DE PARABRISAS")</f>
        <v>ESPONJA ANTILLUVIA DE PARABRISAS</v>
      </c>
      <c r="AD1287" s="65"/>
      <c r="AE1287" s="65">
        <f>IFERROR(__xludf.DUMMYFUNCTION("""COMPUTED_VALUE"""),2.0)</f>
        <v>2</v>
      </c>
      <c r="AF1287" s="65"/>
      <c r="AG1287" s="65"/>
      <c r="AH1287" s="65"/>
      <c r="AI1287" s="65"/>
      <c r="AJ1287" s="65"/>
      <c r="AK1287" s="65"/>
      <c r="AL1287" s="65"/>
      <c r="AM1287" s="65"/>
      <c r="AN1287" s="65"/>
      <c r="AO1287" s="65"/>
      <c r="AP1287" s="65"/>
      <c r="AQ1287" s="65"/>
      <c r="AR1287" s="65"/>
      <c r="AS1287" s="65"/>
      <c r="AT1287" s="65" t="str">
        <f>IFERROR(__xludf.DUMMYFUNCTION("""COMPUTED_VALUE"""),"CHATEA PRO")</f>
        <v>CHATEA PRO</v>
      </c>
      <c r="AU1287" s="65" t="str">
        <f>IFERROR(__xludf.DUMMYFUNCTION("""COMPUTED_VALUE"""),"CHATEA PRO")</f>
        <v>CHATEA PRO</v>
      </c>
      <c r="AV1287" s="65"/>
      <c r="AW1287" s="65"/>
      <c r="AX1287" s="65"/>
      <c r="AY1287" s="65" t="str">
        <f>IFERROR(__xludf.DUMMYFUNCTION("""COMPUTED_VALUE"""),"30/01/2026")</f>
        <v>30/01/2026</v>
      </c>
      <c r="AZ1287" s="65"/>
      <c r="BA1287" s="65"/>
    </row>
    <row r="1288">
      <c r="A1288" s="65" t="str">
        <f>IFERROR(__xludf.DUMMYFUNCTION("""COMPUTED_VALUE"""),"27-03-2026")</f>
        <v>27-03-2026</v>
      </c>
      <c r="B1288" s="65">
        <f>IFERROR(__xludf.DUMMYFUNCTION("""COMPUTED_VALUE"""),4318809.0)</f>
        <v>4318809</v>
      </c>
      <c r="C1288" s="65" t="str">
        <f>IFERROR(__xludf.DUMMYFUNCTION("""COMPUTED_VALUE"""),"10:28")</f>
        <v>10:28</v>
      </c>
      <c r="D1288" s="65" t="str">
        <f>IFERROR(__xludf.DUMMYFUNCTION("""COMPUTED_VALUE"""),"29-01-2026")</f>
        <v>29-01-2026</v>
      </c>
      <c r="E1288" s="65" t="str">
        <f>IFERROR(__xludf.DUMMYFUNCTION("""COMPUTED_VALUE"""),"Juan Diego Palacios Ordóñez")</f>
        <v>Juan Diego Palacios Ordóñez</v>
      </c>
      <c r="F1288" s="65" t="str">
        <f>IFERROR(__xludf.DUMMYFUNCTION("""COMPUTED_VALUE"""),"992720088")</f>
        <v>992720088</v>
      </c>
      <c r="G1288" s="65"/>
      <c r="H1288" s="65"/>
      <c r="I1288" s="65"/>
      <c r="J1288" s="65" t="str">
        <f>IFERROR(__xludf.DUMMYFUNCTION("""COMPUTED_VALUE"""),"D001277165")</f>
        <v>D001277165</v>
      </c>
      <c r="K1288" s="65" t="str">
        <f>IFERROR(__xludf.DUMMYFUNCTION("""COMPUTED_VALUE"""),"ENTREGADO")</f>
        <v>ENTREGADO</v>
      </c>
      <c r="L1288" s="65" t="str">
        <f>IFERROR(__xludf.DUMMYFUNCTION("""COMPUTED_VALUE"""),"CON RECAUDO")</f>
        <v>CON RECAUDO</v>
      </c>
      <c r="M1288" s="65" t="str">
        <f>IFERROR(__xludf.DUMMYFUNCTION("""COMPUTED_VALUE"""),"PICHINCHA")</f>
        <v>PICHINCHA</v>
      </c>
      <c r="N1288" s="65" t="str">
        <f>IFERROR(__xludf.DUMMYFUNCTION("""COMPUTED_VALUE"""),"TUMBACO")</f>
        <v>TUMBACO</v>
      </c>
      <c r="O1288" s="65" t="str">
        <f>IFERROR(__xludf.DUMMYFUNCTION("""COMPUTED_VALUE"""),"S/N José María Egas la morita - Frente a la cancha barrial Tola Chica 2")</f>
        <v>S/N José María Egas la morita - Frente a la cancha barrial Tola Chica 2</v>
      </c>
      <c r="P1288" s="65"/>
      <c r="Q1288" s="65" t="str">
        <f>IFERROR(__xludf.DUMMYFUNCTION("""COMPUTED_VALUE"""),"GINTRACOM")</f>
        <v>GINTRACOM</v>
      </c>
      <c r="R1288" s="65">
        <f>IFERROR(__xludf.DUMMYFUNCTION("""COMPUTED_VALUE"""),30.0)</f>
        <v>30</v>
      </c>
      <c r="S1288" s="65">
        <f>IFERROR(__xludf.DUMMYFUNCTION("""COMPUTED_VALUE"""),17.83)</f>
        <v>17.83</v>
      </c>
      <c r="T1288" s="65">
        <f>IFERROR(__xludf.DUMMYFUNCTION("""COMPUTED_VALUE"""),5.12)</f>
        <v>5.12</v>
      </c>
      <c r="U1288" s="65">
        <f>IFERROR(__xludf.DUMMYFUNCTION("""COMPUTED_VALUE"""),0.0)</f>
        <v>0</v>
      </c>
      <c r="V1288" s="65">
        <f>IFERROR(__xludf.DUMMYFUNCTION("""COMPUTED_VALUE"""),0.0)</f>
        <v>0</v>
      </c>
      <c r="W1288" s="65">
        <f>IFERROR(__xludf.DUMMYFUNCTION("""COMPUTED_VALUE"""),0.0)</f>
        <v>0</v>
      </c>
      <c r="X1288" s="65">
        <f>IFERROR(__xludf.DUMMYFUNCTION("""COMPUTED_VALUE"""),2.35)</f>
        <v>2.35</v>
      </c>
      <c r="Y1288" s="65">
        <f>IFERROR(__xludf.DUMMYFUNCTION("""COMPUTED_VALUE"""),7.05)</f>
        <v>7.05</v>
      </c>
      <c r="Z1288" s="65">
        <f>IFERROR(__xludf.DUMMYFUNCTION("""COMPUTED_VALUE"""),116679.0)</f>
        <v>116679</v>
      </c>
      <c r="AA1288" s="65" t="str">
        <f>IFERROR(__xludf.DUMMYFUNCTION("""COMPUTED_VALUE"""),"AMC-2738")</f>
        <v>AMC-2738</v>
      </c>
      <c r="AB1288" s="65"/>
      <c r="AC1288" s="65" t="str">
        <f>IFERROR(__xludf.DUMMYFUNCTION("""COMPUTED_VALUE"""),"ESPONJA ANTILLUVIA DE PARABRISAS")</f>
        <v>ESPONJA ANTILLUVIA DE PARABRISAS</v>
      </c>
      <c r="AD1288" s="65"/>
      <c r="AE1288" s="65">
        <f>IFERROR(__xludf.DUMMYFUNCTION("""COMPUTED_VALUE"""),3.0)</f>
        <v>3</v>
      </c>
      <c r="AF1288" s="65"/>
      <c r="AG1288" s="65"/>
      <c r="AH1288" s="65"/>
      <c r="AI1288" s="65"/>
      <c r="AJ1288" s="65"/>
      <c r="AK1288" s="65"/>
      <c r="AL1288" s="65"/>
      <c r="AM1288" s="65"/>
      <c r="AN1288" s="65"/>
      <c r="AO1288" s="65"/>
      <c r="AP1288" s="65"/>
      <c r="AQ1288" s="65"/>
      <c r="AR1288" s="65"/>
      <c r="AS1288" s="65"/>
      <c r="AT1288" s="65" t="str">
        <f>IFERROR(__xludf.DUMMYFUNCTION("""COMPUTED_VALUE"""),"CHATEA PRO")</f>
        <v>CHATEA PRO</v>
      </c>
      <c r="AU1288" s="65" t="str">
        <f>IFERROR(__xludf.DUMMYFUNCTION("""COMPUTED_VALUE"""),"CHATEA PRO")</f>
        <v>CHATEA PRO</v>
      </c>
      <c r="AV1288" s="65"/>
      <c r="AW1288" s="65"/>
      <c r="AX1288" s="65"/>
      <c r="AY1288" s="65" t="str">
        <f>IFERROR(__xludf.DUMMYFUNCTION("""COMPUTED_VALUE"""),"30/01/2026")</f>
        <v>30/01/2026</v>
      </c>
      <c r="AZ1288" s="65"/>
      <c r="BA1288" s="65"/>
    </row>
    <row r="1289">
      <c r="A1289" s="65" t="str">
        <f>IFERROR(__xludf.DUMMYFUNCTION("""COMPUTED_VALUE"""),"27-03-2026")</f>
        <v>27-03-2026</v>
      </c>
      <c r="B1289" s="65">
        <f>IFERROR(__xludf.DUMMYFUNCTION("""COMPUTED_VALUE"""),4318772.0)</f>
        <v>4318772</v>
      </c>
      <c r="C1289" s="65" t="str">
        <f>IFERROR(__xludf.DUMMYFUNCTION("""COMPUTED_VALUE"""),"10:28")</f>
        <v>10:28</v>
      </c>
      <c r="D1289" s="65" t="str">
        <f>IFERROR(__xludf.DUMMYFUNCTION("""COMPUTED_VALUE"""),"29-01-2026")</f>
        <v>29-01-2026</v>
      </c>
      <c r="E1289" s="65" t="str">
        <f>IFERROR(__xludf.DUMMYFUNCTION("""COMPUTED_VALUE"""),"Angel stalin Yaguachi zumba")</f>
        <v>Angel stalin Yaguachi zumba</v>
      </c>
      <c r="F1289" s="65" t="str">
        <f>IFERROR(__xludf.DUMMYFUNCTION("""COMPUTED_VALUE"""),"984767898")</f>
        <v>984767898</v>
      </c>
      <c r="G1289" s="65" t="str">
        <f>IFERROR(__xludf.DUMMYFUNCTION("""COMPUTED_VALUE"""),"don_yaguar@hotmail.com")</f>
        <v>don_yaguar@hotmail.com</v>
      </c>
      <c r="H1289" s="65"/>
      <c r="I1289" s="65"/>
      <c r="J1289" s="65" t="str">
        <f>IFERROR(__xludf.DUMMYFUNCTION("""COMPUTED_VALUE"""),"D001277356")</f>
        <v>D001277356</v>
      </c>
      <c r="K1289" s="65" t="str">
        <f>IFERROR(__xludf.DUMMYFUNCTION("""COMPUTED_VALUE"""),"DEVOLUCION")</f>
        <v>DEVOLUCION</v>
      </c>
      <c r="L1289" s="65" t="str">
        <f>IFERROR(__xludf.DUMMYFUNCTION("""COMPUTED_VALUE"""),"CON RECAUDO")</f>
        <v>CON RECAUDO</v>
      </c>
      <c r="M1289" s="65" t="str">
        <f>IFERROR(__xludf.DUMMYFUNCTION("""COMPUTED_VALUE"""),"EL ORO")</f>
        <v>EL ORO</v>
      </c>
      <c r="N1289" s="65" t="str">
        <f>IFERROR(__xludf.DUMMYFUNCTION("""COMPUTED_VALUE"""),"MACHALA")</f>
        <v>MACHALA</v>
      </c>
      <c r="O1289" s="65" t="str">
        <f>IFERROR(__xludf.DUMMYFUNCTION("""COMPUTED_VALUE"""),"Avenida circunvalación sur Avenida las amaricas -")</f>
        <v>Avenida circunvalación sur Avenida las amaricas -</v>
      </c>
      <c r="P1289" s="65"/>
      <c r="Q1289" s="65" t="str">
        <f>IFERROR(__xludf.DUMMYFUNCTION("""COMPUTED_VALUE"""),"GINTRACOM")</f>
        <v>GINTRACOM</v>
      </c>
      <c r="R1289" s="65">
        <f>IFERROR(__xludf.DUMMYFUNCTION("""COMPUTED_VALUE"""),21.99)</f>
        <v>21.99</v>
      </c>
      <c r="S1289" s="65"/>
      <c r="T1289" s="65">
        <f>IFERROR(__xludf.DUMMYFUNCTION("""COMPUTED_VALUE"""),5.84)</f>
        <v>5.84</v>
      </c>
      <c r="U1289" s="65">
        <f>IFERROR(__xludf.DUMMYFUNCTION("""COMPUTED_VALUE"""),0.0)</f>
        <v>0</v>
      </c>
      <c r="V1289" s="65">
        <f>IFERROR(__xludf.DUMMYFUNCTION("""COMPUTED_VALUE"""),0.0)</f>
        <v>0</v>
      </c>
      <c r="W1289" s="65">
        <f>IFERROR(__xludf.DUMMYFUNCTION("""COMPUTED_VALUE"""),0.0)</f>
        <v>0</v>
      </c>
      <c r="X1289" s="65">
        <f>IFERROR(__xludf.DUMMYFUNCTION("""COMPUTED_VALUE"""),5.0)</f>
        <v>5</v>
      </c>
      <c r="Y1289" s="65">
        <f>IFERROR(__xludf.DUMMYFUNCTION("""COMPUTED_VALUE"""),5.0)</f>
        <v>5</v>
      </c>
      <c r="Z1289" s="65">
        <f>IFERROR(__xludf.DUMMYFUNCTION("""COMPUTED_VALUE"""),110064.0)</f>
        <v>110064</v>
      </c>
      <c r="AA1289" s="65" t="str">
        <f>IFERROR(__xludf.DUMMYFUNCTION("""COMPUTED_VALUE"""),"IMX-00001")</f>
        <v>IMX-00001</v>
      </c>
      <c r="AB1289" s="65"/>
      <c r="AC1289" s="65" t="str">
        <f>IFERROR(__xludf.DUMMYFUNCTION("""COMPUTED_VALUE"""),"LLAVE TRINQUETE")</f>
        <v>LLAVE TRINQUETE</v>
      </c>
      <c r="AD1289" s="65"/>
      <c r="AE1289" s="65">
        <f>IFERROR(__xludf.DUMMYFUNCTION("""COMPUTED_VALUE"""),1.0)</f>
        <v>1</v>
      </c>
      <c r="AF1289" s="65" t="str">
        <f>IFERROR(__xludf.DUMMYFUNCTION("""COMPUTED_VALUE"""),"DESTINATARIO INDICA QUE YA NO DESEA EL PRODUCTO")</f>
        <v>DESTINATARIO INDICA QUE YA NO DESEA EL PRODUCTO</v>
      </c>
      <c r="AG1289" s="65" t="str">
        <f>IFERROR(__xludf.DUMMYFUNCTION("""COMPUTED_VALUE"""),"NO")</f>
        <v>NO</v>
      </c>
      <c r="AH1289" s="65" t="str">
        <f>IFERROR(__xludf.DUMMYFUNCTION("""COMPUTED_VALUE"""),"14:32")</f>
        <v>14:32</v>
      </c>
      <c r="AI1289" s="65" t="str">
        <f>IFERROR(__xludf.DUMMYFUNCTION("""COMPUTED_VALUE"""),"04-02-2026")</f>
        <v>04-02-2026</v>
      </c>
      <c r="AJ1289" s="65"/>
      <c r="AK1289" s="65"/>
      <c r="AL1289" s="65"/>
      <c r="AM1289" s="65"/>
      <c r="AN1289" s="65" t="str">
        <f>IFERROR(__xludf.DUMMYFUNCTION("""COMPUTED_VALUE"""),"14:37")</f>
        <v>14:37</v>
      </c>
      <c r="AO1289" s="65" t="str">
        <f>IFERROR(__xludf.DUMMYFUNCTION("""COMPUTED_VALUE"""),"24-02-2026")</f>
        <v>24-02-2026</v>
      </c>
      <c r="AP1289" s="65" t="str">
        <f>IFERROR(__xludf.DUMMYFUNCTION("""COMPUTED_VALUE"""),"DEVOLUCIÓN ENTREGADA A ORIGEN")</f>
        <v>DEVOLUCIÓN ENTREGADA A ORIGEN</v>
      </c>
      <c r="AQ1289" s="65" t="str">
        <f>IFERROR(__xludf.DUMMYFUNCTION("""COMPUTED_VALUE"""),"DEVOLUCIÓN ENTREGADA A ORIGEN")</f>
        <v>DEVOLUCIÓN ENTREGADA A ORIGEN</v>
      </c>
      <c r="AR1289" s="65"/>
      <c r="AS1289" s="65"/>
      <c r="AT1289" s="65" t="str">
        <f>IFERROR(__xludf.DUMMYFUNCTION("""COMPUTED_VALUE"""),"SHOPIFY")</f>
        <v>SHOPIFY</v>
      </c>
      <c r="AU1289" s="65" t="str">
        <f>IFERROR(__xludf.DUMMYFUNCTION("""COMPUTED_VALUE"""),"IMPORTEX EC")</f>
        <v>IMPORTEX EC</v>
      </c>
      <c r="AV1289" s="65" t="str">
        <f>IFERROR(__xludf.DUMMYFUNCTION("""COMPUTED_VALUE"""),"6456693260332")</f>
        <v>6456693260332</v>
      </c>
      <c r="AW1289" s="65">
        <f>IFERROR(__xludf.DUMMYFUNCTION("""COMPUTED_VALUE"""),5632.0)</f>
        <v>5632</v>
      </c>
      <c r="AX1289" s="65"/>
      <c r="AY1289" s="65" t="str">
        <f>IFERROR(__xludf.DUMMYFUNCTION("""COMPUTED_VALUE"""),"30/01/2026")</f>
        <v>30/01/2026</v>
      </c>
      <c r="AZ1289" s="65"/>
      <c r="BA1289" s="65"/>
    </row>
    <row r="1290">
      <c r="A1290" s="65" t="str">
        <f>IFERROR(__xludf.DUMMYFUNCTION("""COMPUTED_VALUE"""),"27-03-2026")</f>
        <v>27-03-2026</v>
      </c>
      <c r="B1290" s="65">
        <f>IFERROR(__xludf.DUMMYFUNCTION("""COMPUTED_VALUE"""),4318758.0)</f>
        <v>4318758</v>
      </c>
      <c r="C1290" s="65" t="str">
        <f>IFERROR(__xludf.DUMMYFUNCTION("""COMPUTED_VALUE"""),"10:26")</f>
        <v>10:26</v>
      </c>
      <c r="D1290" s="65" t="str">
        <f>IFERROR(__xludf.DUMMYFUNCTION("""COMPUTED_VALUE"""),"29-01-2026")</f>
        <v>29-01-2026</v>
      </c>
      <c r="E1290" s="65" t="str">
        <f>IFERROR(__xludf.DUMMYFUNCTION("""COMPUTED_VALUE"""),"Marco Iza")</f>
        <v>Marco Iza</v>
      </c>
      <c r="F1290" s="65" t="str">
        <f>IFERROR(__xludf.DUMMYFUNCTION("""COMPUTED_VALUE"""),"984588365")</f>
        <v>984588365</v>
      </c>
      <c r="G1290" s="65" t="str">
        <f>IFERROR(__xludf.DUMMYFUNCTION("""COMPUTED_VALUE"""),"mark.iza@hotmail.com")</f>
        <v>mark.iza@hotmail.com</v>
      </c>
      <c r="H1290" s="65"/>
      <c r="I1290" s="65"/>
      <c r="J1290" s="65"/>
      <c r="K1290" s="65" t="str">
        <f>IFERROR(__xludf.DUMMYFUNCTION("""COMPUTED_VALUE"""),"PENDIENTE CONFIRMACION")</f>
        <v>PENDIENTE CONFIRMACION</v>
      </c>
      <c r="L1290" s="65" t="str">
        <f>IFERROR(__xludf.DUMMYFUNCTION("""COMPUTED_VALUE"""),"CON RECAUDO")</f>
        <v>CON RECAUDO</v>
      </c>
      <c r="M1290" s="65" t="str">
        <f>IFERROR(__xludf.DUMMYFUNCTION("""COMPUTED_VALUE"""),"PICHINCHA")</f>
        <v>PICHINCHA</v>
      </c>
      <c r="N1290" s="65" t="str">
        <f>IFERROR(__xludf.DUMMYFUNCTION("""COMPUTED_VALUE"""),"QUITO")</f>
        <v>QUITO</v>
      </c>
      <c r="O1290" s="65" t="str">
        <f>IFERROR(__xludf.DUMMYFUNCTION("""COMPUTED_VALUE"""),"Scala shoping Cumbaya -")</f>
        <v>Scala shoping Cumbaya -</v>
      </c>
      <c r="P1290" s="65"/>
      <c r="Q1290" s="65" t="str">
        <f>IFERROR(__xludf.DUMMYFUNCTION("""COMPUTED_VALUE"""),"GINTRACOM")</f>
        <v>GINTRACOM</v>
      </c>
      <c r="R1290" s="65">
        <f>IFERROR(__xludf.DUMMYFUNCTION("""COMPUTED_VALUE"""),21.99)</f>
        <v>21.99</v>
      </c>
      <c r="S1290" s="65"/>
      <c r="T1290" s="65">
        <f>IFERROR(__xludf.DUMMYFUNCTION("""COMPUTED_VALUE"""),4.23)</f>
        <v>4.23</v>
      </c>
      <c r="U1290" s="65">
        <f>IFERROR(__xludf.DUMMYFUNCTION("""COMPUTED_VALUE"""),0.0)</f>
        <v>0</v>
      </c>
      <c r="V1290" s="65">
        <f>IFERROR(__xludf.DUMMYFUNCTION("""COMPUTED_VALUE"""),0.0)</f>
        <v>0</v>
      </c>
      <c r="W1290" s="65">
        <f>IFERROR(__xludf.DUMMYFUNCTION("""COMPUTED_VALUE"""),0.0)</f>
        <v>0</v>
      </c>
      <c r="X1290" s="65">
        <f>IFERROR(__xludf.DUMMYFUNCTION("""COMPUTED_VALUE"""),5.0)</f>
        <v>5</v>
      </c>
      <c r="Y1290" s="65">
        <f>IFERROR(__xludf.DUMMYFUNCTION("""COMPUTED_VALUE"""),5.0)</f>
        <v>5</v>
      </c>
      <c r="Z1290" s="65">
        <f>IFERROR(__xludf.DUMMYFUNCTION("""COMPUTED_VALUE"""),110064.0)</f>
        <v>110064</v>
      </c>
      <c r="AA1290" s="65" t="str">
        <f>IFERROR(__xludf.DUMMYFUNCTION("""COMPUTED_VALUE"""),"IMX-00001")</f>
        <v>IMX-00001</v>
      </c>
      <c r="AB1290" s="65"/>
      <c r="AC1290" s="65" t="str">
        <f>IFERROR(__xludf.DUMMYFUNCTION("""COMPUTED_VALUE"""),"LLAVE TRINQUETE")</f>
        <v>LLAVE TRINQUETE</v>
      </c>
      <c r="AD1290" s="65"/>
      <c r="AE1290" s="65">
        <f>IFERROR(__xludf.DUMMYFUNCTION("""COMPUTED_VALUE"""),1.0)</f>
        <v>1</v>
      </c>
      <c r="AF1290" s="65"/>
      <c r="AG1290" s="65"/>
      <c r="AH1290" s="65"/>
      <c r="AI1290" s="65"/>
      <c r="AJ1290" s="65"/>
      <c r="AK1290" s="65"/>
      <c r="AL1290" s="65"/>
      <c r="AM1290" s="65"/>
      <c r="AN1290" s="65"/>
      <c r="AO1290" s="65"/>
      <c r="AP1290" s="65"/>
      <c r="AQ1290" s="65"/>
      <c r="AR1290" s="65"/>
      <c r="AS1290" s="65"/>
      <c r="AT1290" s="65" t="str">
        <f>IFERROR(__xludf.DUMMYFUNCTION("""COMPUTED_VALUE"""),"SHOPIFY")</f>
        <v>SHOPIFY</v>
      </c>
      <c r="AU1290" s="65" t="str">
        <f>IFERROR(__xludf.DUMMYFUNCTION("""COMPUTED_VALUE"""),"IMPORTEX EC")</f>
        <v>IMPORTEX EC</v>
      </c>
      <c r="AV1290" s="65" t="str">
        <f>IFERROR(__xludf.DUMMYFUNCTION("""COMPUTED_VALUE"""),"6455545200684")</f>
        <v>6455545200684</v>
      </c>
      <c r="AW1290" s="65">
        <f>IFERROR(__xludf.DUMMYFUNCTION("""COMPUTED_VALUE"""),5617.0)</f>
        <v>5617</v>
      </c>
      <c r="AX1290" s="65"/>
      <c r="AY1290" s="65"/>
      <c r="AZ1290" s="65"/>
      <c r="BA1290" s="65"/>
    </row>
    <row r="1291">
      <c r="A1291" s="65" t="str">
        <f>IFERROR(__xludf.DUMMYFUNCTION("""COMPUTED_VALUE"""),"27-03-2026")</f>
        <v>27-03-2026</v>
      </c>
      <c r="B1291" s="65">
        <f>IFERROR(__xludf.DUMMYFUNCTION("""COMPUTED_VALUE"""),4318392.0)</f>
        <v>4318392</v>
      </c>
      <c r="C1291" s="65" t="str">
        <f>IFERROR(__xludf.DUMMYFUNCTION("""COMPUTED_VALUE"""),"09:51")</f>
        <v>09:51</v>
      </c>
      <c r="D1291" s="65" t="str">
        <f>IFERROR(__xludf.DUMMYFUNCTION("""COMPUTED_VALUE"""),"29-01-2026")</f>
        <v>29-01-2026</v>
      </c>
      <c r="E1291" s="65" t="str">
        <f>IFERROR(__xludf.DUMMYFUNCTION("""COMPUTED_VALUE"""),"Stalin Bolivar Rios")</f>
        <v>Stalin Bolivar Rios</v>
      </c>
      <c r="F1291" s="65" t="str">
        <f>IFERROR(__xludf.DUMMYFUNCTION("""COMPUTED_VALUE"""),"967777246")</f>
        <v>967777246</v>
      </c>
      <c r="G1291" s="65"/>
      <c r="H1291" s="65"/>
      <c r="I1291" s="65"/>
      <c r="J1291" s="65" t="str">
        <f>IFERROR(__xludf.DUMMYFUNCTION("""COMPUTED_VALUE"""),"D001273767")</f>
        <v>D001273767</v>
      </c>
      <c r="K1291" s="65" t="str">
        <f>IFERROR(__xludf.DUMMYFUNCTION("""COMPUTED_VALUE"""),"ENTREGADO")</f>
        <v>ENTREGADO</v>
      </c>
      <c r="L1291" s="65" t="str">
        <f>IFERROR(__xludf.DUMMYFUNCTION("""COMPUTED_VALUE"""),"CON RECAUDO")</f>
        <v>CON RECAUDO</v>
      </c>
      <c r="M1291" s="65" t="str">
        <f>IFERROR(__xludf.DUMMYFUNCTION("""COMPUTED_VALUE"""),"LOJA")</f>
        <v>LOJA</v>
      </c>
      <c r="N1291" s="65" t="str">
        <f>IFERROR(__xludf.DUMMYFUNCTION("""COMPUTED_VALUE"""),"LOJA")</f>
        <v>LOJA</v>
      </c>
      <c r="O1291" s="65" t="str">
        <f>IFERROR(__xludf.DUMMYFUNCTION("""COMPUTED_VALUE"""),"De Noviembre Celica Y Gonzanama 18 Los molinos ( sucos encebollados) -")</f>
        <v>De Noviembre Celica Y Gonzanama 18 Los molinos ( sucos encebollados) -</v>
      </c>
      <c r="P1291" s="65"/>
      <c r="Q1291" s="65" t="str">
        <f>IFERROR(__xludf.DUMMYFUNCTION("""COMPUTED_VALUE"""),"GINTRACOM")</f>
        <v>GINTRACOM</v>
      </c>
      <c r="R1291" s="65">
        <f>IFERROR(__xludf.DUMMYFUNCTION("""COMPUTED_VALUE"""),30.0)</f>
        <v>30</v>
      </c>
      <c r="S1291" s="65">
        <f>IFERROR(__xludf.DUMMYFUNCTION("""COMPUTED_VALUE"""),16.79)</f>
        <v>16.79</v>
      </c>
      <c r="T1291" s="65">
        <f>IFERROR(__xludf.DUMMYFUNCTION("""COMPUTED_VALUE"""),6.16)</f>
        <v>6.16</v>
      </c>
      <c r="U1291" s="65">
        <f>IFERROR(__xludf.DUMMYFUNCTION("""COMPUTED_VALUE"""),0.0)</f>
        <v>0</v>
      </c>
      <c r="V1291" s="65">
        <f>IFERROR(__xludf.DUMMYFUNCTION("""COMPUTED_VALUE"""),0.0)</f>
        <v>0</v>
      </c>
      <c r="W1291" s="65">
        <f>IFERROR(__xludf.DUMMYFUNCTION("""COMPUTED_VALUE"""),0.0)</f>
        <v>0</v>
      </c>
      <c r="X1291" s="65">
        <f>IFERROR(__xludf.DUMMYFUNCTION("""COMPUTED_VALUE"""),2.35)</f>
        <v>2.35</v>
      </c>
      <c r="Y1291" s="65">
        <f>IFERROR(__xludf.DUMMYFUNCTION("""COMPUTED_VALUE"""),7.05)</f>
        <v>7.05</v>
      </c>
      <c r="Z1291" s="65">
        <f>IFERROR(__xludf.DUMMYFUNCTION("""COMPUTED_VALUE"""),116679.0)</f>
        <v>116679</v>
      </c>
      <c r="AA1291" s="65" t="str">
        <f>IFERROR(__xludf.DUMMYFUNCTION("""COMPUTED_VALUE"""),"AMC-2738")</f>
        <v>AMC-2738</v>
      </c>
      <c r="AB1291" s="65"/>
      <c r="AC1291" s="65" t="str">
        <f>IFERROR(__xludf.DUMMYFUNCTION("""COMPUTED_VALUE"""),"ESPONJA ANTILLUVIA DE PARABRISAS")</f>
        <v>ESPONJA ANTILLUVIA DE PARABRISAS</v>
      </c>
      <c r="AD1291" s="65"/>
      <c r="AE1291" s="65">
        <f>IFERROR(__xludf.DUMMYFUNCTION("""COMPUTED_VALUE"""),3.0)</f>
        <v>3</v>
      </c>
      <c r="AF1291" s="65"/>
      <c r="AG1291" s="65"/>
      <c r="AH1291" s="65"/>
      <c r="AI1291" s="65"/>
      <c r="AJ1291" s="65"/>
      <c r="AK1291" s="65"/>
      <c r="AL1291" s="65"/>
      <c r="AM1291" s="65"/>
      <c r="AN1291" s="65"/>
      <c r="AO1291" s="65"/>
      <c r="AP1291" s="65"/>
      <c r="AQ1291" s="65"/>
      <c r="AR1291" s="65"/>
      <c r="AS1291" s="65"/>
      <c r="AT1291" s="65" t="str">
        <f>IFERROR(__xludf.DUMMYFUNCTION("""COMPUTED_VALUE"""),"CHATEA PRO")</f>
        <v>CHATEA PRO</v>
      </c>
      <c r="AU1291" s="65" t="str">
        <f>IFERROR(__xludf.DUMMYFUNCTION("""COMPUTED_VALUE"""),"CHATEA PRO")</f>
        <v>CHATEA PRO</v>
      </c>
      <c r="AV1291" s="65"/>
      <c r="AW1291" s="65"/>
      <c r="AX1291" s="65"/>
      <c r="AY1291" s="65" t="str">
        <f>IFERROR(__xludf.DUMMYFUNCTION("""COMPUTED_VALUE"""),"29/01/2026")</f>
        <v>29/01/2026</v>
      </c>
      <c r="AZ1291" s="65"/>
      <c r="BA1291" s="65"/>
    </row>
    <row r="1292">
      <c r="A1292" s="65" t="str">
        <f>IFERROR(__xludf.DUMMYFUNCTION("""COMPUTED_VALUE"""),"27-03-2026")</f>
        <v>27-03-2026</v>
      </c>
      <c r="B1292" s="65">
        <f>IFERROR(__xludf.DUMMYFUNCTION("""COMPUTED_VALUE"""),4318372.0)</f>
        <v>4318372</v>
      </c>
      <c r="C1292" s="65" t="str">
        <f>IFERROR(__xludf.DUMMYFUNCTION("""COMPUTED_VALUE"""),"09:49")</f>
        <v>09:49</v>
      </c>
      <c r="D1292" s="65" t="str">
        <f>IFERROR(__xludf.DUMMYFUNCTION("""COMPUTED_VALUE"""),"29-01-2026")</f>
        <v>29-01-2026</v>
      </c>
      <c r="E1292" s="65" t="str">
        <f>IFERROR(__xludf.DUMMYFUNCTION("""COMPUTED_VALUE"""),"Leodan Abelardo vERA CHÁVEZ")</f>
        <v>Leodan Abelardo vERA CHÁVEZ</v>
      </c>
      <c r="F1292" s="65" t="str">
        <f>IFERROR(__xludf.DUMMYFUNCTION("""COMPUTED_VALUE"""),"963190155")</f>
        <v>963190155</v>
      </c>
      <c r="G1292" s="65" t="str">
        <f>IFERROR(__xludf.DUMMYFUNCTION("""COMPUTED_VALUE"""),"leodanvera074@gmail.com")</f>
        <v>leodanvera074@gmail.com</v>
      </c>
      <c r="H1292" s="65"/>
      <c r="I1292" s="65"/>
      <c r="J1292" s="65"/>
      <c r="K1292" s="65" t="str">
        <f>IFERROR(__xludf.DUMMYFUNCTION("""COMPUTED_VALUE"""),"PENDIENTE CONFIRMACION")</f>
        <v>PENDIENTE CONFIRMACION</v>
      </c>
      <c r="L1292" s="65" t="str">
        <f>IFERROR(__xludf.DUMMYFUNCTION("""COMPUTED_VALUE"""),"CON RECAUDO")</f>
        <v>CON RECAUDO</v>
      </c>
      <c r="M1292" s="65" t="str">
        <f>IFERROR(__xludf.DUMMYFUNCTION("""COMPUTED_VALUE"""),"MANABI")</f>
        <v>MANABI</v>
      </c>
      <c r="N1292" s="65" t="str">
        <f>IFERROR(__xludf.DUMMYFUNCTION("""COMPUTED_VALUE"""),"PORTOVIEJO")</f>
        <v>PORTOVIEJO</v>
      </c>
      <c r="O1292" s="65" t="str">
        <f>IFERROR(__xludf.DUMMYFUNCTION("""COMPUTED_VALUE"""),"Máximo puerta y Doce de octubre PEDERNALES -")</f>
        <v>Máximo puerta y Doce de octubre PEDERNALES -</v>
      </c>
      <c r="P1292" s="65"/>
      <c r="Q1292" s="65" t="str">
        <f>IFERROR(__xludf.DUMMYFUNCTION("""COMPUTED_VALUE"""),"GINTRACOM")</f>
        <v>GINTRACOM</v>
      </c>
      <c r="R1292" s="65">
        <f>IFERROR(__xludf.DUMMYFUNCTION("""COMPUTED_VALUE"""),32.0)</f>
        <v>32</v>
      </c>
      <c r="S1292" s="65"/>
      <c r="T1292" s="65">
        <f>IFERROR(__xludf.DUMMYFUNCTION("""COMPUTED_VALUE"""),6.24)</f>
        <v>6.24</v>
      </c>
      <c r="U1292" s="65">
        <f>IFERROR(__xludf.DUMMYFUNCTION("""COMPUTED_VALUE"""),0.0)</f>
        <v>0</v>
      </c>
      <c r="V1292" s="65">
        <f>IFERROR(__xludf.DUMMYFUNCTION("""COMPUTED_VALUE"""),0.0)</f>
        <v>0</v>
      </c>
      <c r="W1292" s="65">
        <f>IFERROR(__xludf.DUMMYFUNCTION("""COMPUTED_VALUE"""),0.0)</f>
        <v>0</v>
      </c>
      <c r="X1292" s="65">
        <f>IFERROR(__xludf.DUMMYFUNCTION("""COMPUTED_VALUE"""),5.0)</f>
        <v>5</v>
      </c>
      <c r="Y1292" s="65">
        <f>IFERROR(__xludf.DUMMYFUNCTION("""COMPUTED_VALUE"""),10.0)</f>
        <v>10</v>
      </c>
      <c r="Z1292" s="65">
        <f>IFERROR(__xludf.DUMMYFUNCTION("""COMPUTED_VALUE"""),110064.0)</f>
        <v>110064</v>
      </c>
      <c r="AA1292" s="65" t="str">
        <f>IFERROR(__xludf.DUMMYFUNCTION("""COMPUTED_VALUE"""),"IMX-00001")</f>
        <v>IMX-00001</v>
      </c>
      <c r="AB1292" s="65"/>
      <c r="AC1292" s="65" t="str">
        <f>IFERROR(__xludf.DUMMYFUNCTION("""COMPUTED_VALUE"""),"LLAVE TRINQUETE")</f>
        <v>LLAVE TRINQUETE</v>
      </c>
      <c r="AD1292" s="65"/>
      <c r="AE1292" s="65">
        <f>IFERROR(__xludf.DUMMYFUNCTION("""COMPUTED_VALUE"""),2.0)</f>
        <v>2</v>
      </c>
      <c r="AF1292" s="65"/>
      <c r="AG1292" s="65"/>
      <c r="AH1292" s="65"/>
      <c r="AI1292" s="65"/>
      <c r="AJ1292" s="65"/>
      <c r="AK1292" s="65"/>
      <c r="AL1292" s="65"/>
      <c r="AM1292" s="65"/>
      <c r="AN1292" s="65"/>
      <c r="AO1292" s="65"/>
      <c r="AP1292" s="65"/>
      <c r="AQ1292" s="65"/>
      <c r="AR1292" s="65"/>
      <c r="AS1292" s="65"/>
      <c r="AT1292" s="65" t="str">
        <f>IFERROR(__xludf.DUMMYFUNCTION("""COMPUTED_VALUE"""),"SHOPIFY")</f>
        <v>SHOPIFY</v>
      </c>
      <c r="AU1292" s="65" t="str">
        <f>IFERROR(__xludf.DUMMYFUNCTION("""COMPUTED_VALUE"""),"IMPORTEX EC")</f>
        <v>IMPORTEX EC</v>
      </c>
      <c r="AV1292" s="65" t="str">
        <f>IFERROR(__xludf.DUMMYFUNCTION("""COMPUTED_VALUE"""),"6456239521836")</f>
        <v>6456239521836</v>
      </c>
      <c r="AW1292" s="65">
        <f>IFERROR(__xludf.DUMMYFUNCTION("""COMPUTED_VALUE"""),5622.0)</f>
        <v>5622</v>
      </c>
      <c r="AX1292" s="65"/>
      <c r="AY1292" s="65"/>
      <c r="AZ1292" s="65"/>
      <c r="BA1292" s="65"/>
    </row>
    <row r="1293">
      <c r="A1293" s="65" t="str">
        <f>IFERROR(__xludf.DUMMYFUNCTION("""COMPUTED_VALUE"""),"27-03-2026")</f>
        <v>27-03-2026</v>
      </c>
      <c r="B1293" s="65">
        <f>IFERROR(__xludf.DUMMYFUNCTION("""COMPUTED_VALUE"""),4318330.0)</f>
        <v>4318330</v>
      </c>
      <c r="C1293" s="65" t="str">
        <f>IFERROR(__xludf.DUMMYFUNCTION("""COMPUTED_VALUE"""),"09:46")</f>
        <v>09:46</v>
      </c>
      <c r="D1293" s="65" t="str">
        <f>IFERROR(__xludf.DUMMYFUNCTION("""COMPUTED_VALUE"""),"29-01-2026")</f>
        <v>29-01-2026</v>
      </c>
      <c r="E1293" s="65" t="str">
        <f>IFERROR(__xludf.DUMMYFUNCTION("""COMPUTED_VALUE"""),"Felix Pichucho")</f>
        <v>Felix Pichucho</v>
      </c>
      <c r="F1293" s="65" t="str">
        <f>IFERROR(__xludf.DUMMYFUNCTION("""COMPUTED_VALUE"""),"958728369")</f>
        <v>958728369</v>
      </c>
      <c r="G1293" s="65"/>
      <c r="H1293" s="65"/>
      <c r="I1293" s="65"/>
      <c r="J1293" s="65" t="str">
        <f>IFERROR(__xludf.DUMMYFUNCTION("""COMPUTED_VALUE"""),"D001273768")</f>
        <v>D001273768</v>
      </c>
      <c r="K1293" s="65" t="str">
        <f>IFERROR(__xludf.DUMMYFUNCTION("""COMPUTED_VALUE"""),"ENTREGADO")</f>
        <v>ENTREGADO</v>
      </c>
      <c r="L1293" s="65" t="str">
        <f>IFERROR(__xludf.DUMMYFUNCTION("""COMPUTED_VALUE"""),"CON RECAUDO")</f>
        <v>CON RECAUDO</v>
      </c>
      <c r="M1293" s="65" t="str">
        <f>IFERROR(__xludf.DUMMYFUNCTION("""COMPUTED_VALUE"""),"CHIMBORAZO")</f>
        <v>CHIMBORAZO</v>
      </c>
      <c r="N1293" s="65" t="str">
        <f>IFERROR(__xludf.DUMMYFUNCTION("""COMPUTED_VALUE"""),"RIOBAMBA")</f>
        <v>RIOBAMBA</v>
      </c>
      <c r="O1293" s="65" t="str">
        <f>IFERROR(__xludf.DUMMYFUNCTION("""COMPUTED_VALUE"""),"Eugenio Espejo y 10 de agosto diagonal al ex correo segundo piso SPARTA centro de capacitación")</f>
        <v>Eugenio Espejo y 10 de agosto diagonal al ex correo segundo piso SPARTA centro de capacitación</v>
      </c>
      <c r="P1293" s="65"/>
      <c r="Q1293" s="65" t="str">
        <f>IFERROR(__xludf.DUMMYFUNCTION("""COMPUTED_VALUE"""),"GINTRACOM")</f>
        <v>GINTRACOM</v>
      </c>
      <c r="R1293" s="65">
        <f>IFERROR(__xludf.DUMMYFUNCTION("""COMPUTED_VALUE"""),25.0)</f>
        <v>25</v>
      </c>
      <c r="S1293" s="65">
        <f>IFERROR(__xludf.DUMMYFUNCTION("""COMPUTED_VALUE"""),14.34)</f>
        <v>14.34</v>
      </c>
      <c r="T1293" s="65">
        <f>IFERROR(__xludf.DUMMYFUNCTION("""COMPUTED_VALUE"""),5.96)</f>
        <v>5.96</v>
      </c>
      <c r="U1293" s="65">
        <f>IFERROR(__xludf.DUMMYFUNCTION("""COMPUTED_VALUE"""),0.0)</f>
        <v>0</v>
      </c>
      <c r="V1293" s="65">
        <f>IFERROR(__xludf.DUMMYFUNCTION("""COMPUTED_VALUE"""),0.0)</f>
        <v>0</v>
      </c>
      <c r="W1293" s="65">
        <f>IFERROR(__xludf.DUMMYFUNCTION("""COMPUTED_VALUE"""),0.0)</f>
        <v>0</v>
      </c>
      <c r="X1293" s="65">
        <f>IFERROR(__xludf.DUMMYFUNCTION("""COMPUTED_VALUE"""),2.35)</f>
        <v>2.35</v>
      </c>
      <c r="Y1293" s="65">
        <f>IFERROR(__xludf.DUMMYFUNCTION("""COMPUTED_VALUE"""),4.7)</f>
        <v>4.7</v>
      </c>
      <c r="Z1293" s="65">
        <f>IFERROR(__xludf.DUMMYFUNCTION("""COMPUTED_VALUE"""),116679.0)</f>
        <v>116679</v>
      </c>
      <c r="AA1293" s="65" t="str">
        <f>IFERROR(__xludf.DUMMYFUNCTION("""COMPUTED_VALUE"""),"AMC-2738")</f>
        <v>AMC-2738</v>
      </c>
      <c r="AB1293" s="65"/>
      <c r="AC1293" s="65" t="str">
        <f>IFERROR(__xludf.DUMMYFUNCTION("""COMPUTED_VALUE"""),"ESPONJA ANTILLUVIA DE PARABRISAS")</f>
        <v>ESPONJA ANTILLUVIA DE PARABRISAS</v>
      </c>
      <c r="AD1293" s="65"/>
      <c r="AE1293" s="65">
        <f>IFERROR(__xludf.DUMMYFUNCTION("""COMPUTED_VALUE"""),2.0)</f>
        <v>2</v>
      </c>
      <c r="AF1293" s="65" t="str">
        <f>IFERROR(__xludf.DUMMYFUNCTION("""COMPUTED_VALUE"""),"DESTINATARIO NO CONTESTA LLAMADAS NI WHATSAPP")</f>
        <v>DESTINATARIO NO CONTESTA LLAMADAS NI WHATSAPP</v>
      </c>
      <c r="AG1293" s="65" t="str">
        <f>IFERROR(__xludf.DUMMYFUNCTION("""COMPUTED_VALUE"""),"NO")</f>
        <v>NO</v>
      </c>
      <c r="AH1293" s="65" t="str">
        <f>IFERROR(__xludf.DUMMYFUNCTION("""COMPUTED_VALUE"""),"17:52")</f>
        <v>17:52</v>
      </c>
      <c r="AI1293" s="65" t="str">
        <f>IFERROR(__xludf.DUMMYFUNCTION("""COMPUTED_VALUE"""),"31-01-2026")</f>
        <v>31-01-2026</v>
      </c>
      <c r="AJ1293" s="65"/>
      <c r="AK1293" s="65"/>
      <c r="AL1293" s="65"/>
      <c r="AM1293" s="65"/>
      <c r="AN1293" s="65"/>
      <c r="AO1293" s="65"/>
      <c r="AP1293" s="65"/>
      <c r="AQ1293" s="65"/>
      <c r="AR1293" s="65"/>
      <c r="AS1293" s="65"/>
      <c r="AT1293" s="65" t="str">
        <f>IFERROR(__xludf.DUMMYFUNCTION("""COMPUTED_VALUE"""),"CHATEA PRO")</f>
        <v>CHATEA PRO</v>
      </c>
      <c r="AU1293" s="65" t="str">
        <f>IFERROR(__xludf.DUMMYFUNCTION("""COMPUTED_VALUE"""),"CHATEA PRO")</f>
        <v>CHATEA PRO</v>
      </c>
      <c r="AV1293" s="65"/>
      <c r="AW1293" s="65"/>
      <c r="AX1293" s="65"/>
      <c r="AY1293" s="65" t="str">
        <f>IFERROR(__xludf.DUMMYFUNCTION("""COMPUTED_VALUE"""),"29/01/2026")</f>
        <v>29/01/2026</v>
      </c>
      <c r="AZ1293" s="65"/>
      <c r="BA1293" s="65"/>
    </row>
    <row r="1294">
      <c r="A1294" s="65" t="str">
        <f>IFERROR(__xludf.DUMMYFUNCTION("""COMPUTED_VALUE"""),"27-03-2026")</f>
        <v>27-03-2026</v>
      </c>
      <c r="B1294" s="65">
        <f>IFERROR(__xludf.DUMMYFUNCTION("""COMPUTED_VALUE"""),4318302.0)</f>
        <v>4318302</v>
      </c>
      <c r="C1294" s="65" t="str">
        <f>IFERROR(__xludf.DUMMYFUNCTION("""COMPUTED_VALUE"""),"09:44")</f>
        <v>09:44</v>
      </c>
      <c r="D1294" s="65" t="str">
        <f>IFERROR(__xludf.DUMMYFUNCTION("""COMPUTED_VALUE"""),"29-01-2026")</f>
        <v>29-01-2026</v>
      </c>
      <c r="E1294" s="65" t="str">
        <f>IFERROR(__xludf.DUMMYFUNCTION("""COMPUTED_VALUE"""),"Anibal Urriola")</f>
        <v>Anibal Urriola</v>
      </c>
      <c r="F1294" s="65" t="str">
        <f>IFERROR(__xludf.DUMMYFUNCTION("""COMPUTED_VALUE"""),"992188926")</f>
        <v>992188926</v>
      </c>
      <c r="G1294" s="65"/>
      <c r="H1294" s="65"/>
      <c r="I1294" s="65"/>
      <c r="J1294" s="65" t="str">
        <f>IFERROR(__xludf.DUMMYFUNCTION("""COMPUTED_VALUE"""),"D001273770")</f>
        <v>D001273770</v>
      </c>
      <c r="K1294" s="65" t="str">
        <f>IFERROR(__xludf.DUMMYFUNCTION("""COMPUTED_VALUE"""),"DEVOLUCION")</f>
        <v>DEVOLUCION</v>
      </c>
      <c r="L1294" s="65" t="str">
        <f>IFERROR(__xludf.DUMMYFUNCTION("""COMPUTED_VALUE"""),"CON RECAUDO")</f>
        <v>CON RECAUDO</v>
      </c>
      <c r="M1294" s="65" t="str">
        <f>IFERROR(__xludf.DUMMYFUNCTION("""COMPUTED_VALUE"""),"GUAYAS")</f>
        <v>GUAYAS</v>
      </c>
      <c r="N1294" s="65" t="str">
        <f>IFERROR(__xludf.DUMMYFUNCTION("""COMPUTED_VALUE"""),"GUAYAQUIL")</f>
        <v>GUAYAQUIL</v>
      </c>
      <c r="O1294" s="65" t="str">
        <f>IFERROR(__xludf.DUMMYFUNCTION("""COMPUTED_VALUE"""),"Calle Diez de Agosto y Av. 9 SO Carchi - Ref. En toda la esquina cruz azul -")</f>
        <v>Calle Diez de Agosto y Av. 9 SO Carchi - Ref. En toda la esquina cruz azul -</v>
      </c>
      <c r="P1294" s="65"/>
      <c r="Q1294" s="65" t="str">
        <f>IFERROR(__xludf.DUMMYFUNCTION("""COMPUTED_VALUE"""),"GINTRACOM")</f>
        <v>GINTRACOM</v>
      </c>
      <c r="R1294" s="65">
        <f>IFERROR(__xludf.DUMMYFUNCTION("""COMPUTED_VALUE"""),20.0)</f>
        <v>20</v>
      </c>
      <c r="S1294" s="65"/>
      <c r="T1294" s="65">
        <f>IFERROR(__xludf.DUMMYFUNCTION("""COMPUTED_VALUE"""),5.76)</f>
        <v>5.76</v>
      </c>
      <c r="U1294" s="65">
        <f>IFERROR(__xludf.DUMMYFUNCTION("""COMPUTED_VALUE"""),0.0)</f>
        <v>0</v>
      </c>
      <c r="V1294" s="65">
        <f>IFERROR(__xludf.DUMMYFUNCTION("""COMPUTED_VALUE"""),0.0)</f>
        <v>0</v>
      </c>
      <c r="W1294" s="65">
        <f>IFERROR(__xludf.DUMMYFUNCTION("""COMPUTED_VALUE"""),0.0)</f>
        <v>0</v>
      </c>
      <c r="X1294" s="65">
        <f>IFERROR(__xludf.DUMMYFUNCTION("""COMPUTED_VALUE"""),2.35)</f>
        <v>2.35</v>
      </c>
      <c r="Y1294" s="65">
        <f>IFERROR(__xludf.DUMMYFUNCTION("""COMPUTED_VALUE"""),2.35)</f>
        <v>2.35</v>
      </c>
      <c r="Z1294" s="65">
        <f>IFERROR(__xludf.DUMMYFUNCTION("""COMPUTED_VALUE"""),116679.0)</f>
        <v>116679</v>
      </c>
      <c r="AA1294" s="65" t="str">
        <f>IFERROR(__xludf.DUMMYFUNCTION("""COMPUTED_VALUE"""),"AMC-2738")</f>
        <v>AMC-2738</v>
      </c>
      <c r="AB1294" s="65"/>
      <c r="AC1294" s="65" t="str">
        <f>IFERROR(__xludf.DUMMYFUNCTION("""COMPUTED_VALUE"""),"ESPONJA ANTILLUVIA DE PARABRISAS")</f>
        <v>ESPONJA ANTILLUVIA DE PARABRISAS</v>
      </c>
      <c r="AD1294" s="65"/>
      <c r="AE1294" s="65">
        <f>IFERROR(__xludf.DUMMYFUNCTION("""COMPUTED_VALUE"""),1.0)</f>
        <v>1</v>
      </c>
      <c r="AF1294" s="65" t="str">
        <f>IFERROR(__xludf.DUMMYFUNCTION("""COMPUTED_VALUE"""),"DESTINATARIO NO CONTESTA LLAMADAS NI WHATSAPP")</f>
        <v>DESTINATARIO NO CONTESTA LLAMADAS NI WHATSAPP</v>
      </c>
      <c r="AG1294" s="65" t="str">
        <f>IFERROR(__xludf.DUMMYFUNCTION("""COMPUTED_VALUE"""),"SI")</f>
        <v>SI</v>
      </c>
      <c r="AH1294" s="65" t="str">
        <f>IFERROR(__xludf.DUMMYFUNCTION("""COMPUTED_VALUE"""),"09:00")</f>
        <v>09:00</v>
      </c>
      <c r="AI1294" s="65" t="str">
        <f>IFERROR(__xludf.DUMMYFUNCTION("""COMPUTED_VALUE"""),"10-02-2026")</f>
        <v>10-02-2026</v>
      </c>
      <c r="AJ1294" s="65" t="str">
        <f>IFERROR(__xludf.DUMMYFUNCTION("""COMPUTED_VALUE"""),"CLIENTE SOLICITA LA ENTREGA INMEDIATA")</f>
        <v>CLIENTE SOLICITA LA ENTREGA INMEDIATA</v>
      </c>
      <c r="AK1294" s="65" t="str">
        <f>IFERROR(__xludf.DUMMYFUNCTION("""COMPUTED_VALUE"""),"13:09")</f>
        <v>13:09</v>
      </c>
      <c r="AL1294" s="65" t="str">
        <f>IFERROR(__xludf.DUMMYFUNCTION("""COMPUTED_VALUE"""),"11-02-2026")</f>
        <v>11-02-2026</v>
      </c>
      <c r="AM1294" s="65"/>
      <c r="AN1294" s="65" t="str">
        <f>IFERROR(__xludf.DUMMYFUNCTION("""COMPUTED_VALUE"""),"14:49")</f>
        <v>14:49</v>
      </c>
      <c r="AO1294" s="65" t="str">
        <f>IFERROR(__xludf.DUMMYFUNCTION("""COMPUTED_VALUE"""),"21-02-2026")</f>
        <v>21-02-2026</v>
      </c>
      <c r="AP1294" s="65" t="str">
        <f>IFERROR(__xludf.DUMMYFUNCTION("""COMPUTED_VALUE"""),"DEVOLUCIÓN ENTREGADA A ORIGEN")</f>
        <v>DEVOLUCIÓN ENTREGADA A ORIGEN</v>
      </c>
      <c r="AQ1294" s="65" t="str">
        <f>IFERROR(__xludf.DUMMYFUNCTION("""COMPUTED_VALUE"""),"DEVOLUCIÓN ENTREGADA A ORIGEN")</f>
        <v>DEVOLUCIÓN ENTREGADA A ORIGEN</v>
      </c>
      <c r="AR1294" s="65"/>
      <c r="AS1294" s="65"/>
      <c r="AT1294" s="65" t="str">
        <f>IFERROR(__xludf.DUMMYFUNCTION("""COMPUTED_VALUE"""),"CHATEA PRO")</f>
        <v>CHATEA PRO</v>
      </c>
      <c r="AU1294" s="65" t="str">
        <f>IFERROR(__xludf.DUMMYFUNCTION("""COMPUTED_VALUE"""),"CHATEA PRO")</f>
        <v>CHATEA PRO</v>
      </c>
      <c r="AV1294" s="65"/>
      <c r="AW1294" s="65"/>
      <c r="AX1294" s="65"/>
      <c r="AY1294" s="65" t="str">
        <f>IFERROR(__xludf.DUMMYFUNCTION("""COMPUTED_VALUE"""),"29/01/2026")</f>
        <v>29/01/2026</v>
      </c>
      <c r="AZ1294" s="65"/>
      <c r="BA1294" s="65"/>
    </row>
    <row r="1295">
      <c r="A1295" s="65" t="str">
        <f>IFERROR(__xludf.DUMMYFUNCTION("""COMPUTED_VALUE"""),"27-03-2026")</f>
        <v>27-03-2026</v>
      </c>
      <c r="B1295" s="65">
        <f>IFERROR(__xludf.DUMMYFUNCTION("""COMPUTED_VALUE"""),4318172.0)</f>
        <v>4318172</v>
      </c>
      <c r="C1295" s="65" t="str">
        <f>IFERROR(__xludf.DUMMYFUNCTION("""COMPUTED_VALUE"""),"09:34")</f>
        <v>09:34</v>
      </c>
      <c r="D1295" s="65" t="str">
        <f>IFERROR(__xludf.DUMMYFUNCTION("""COMPUTED_VALUE"""),"29-01-2026")</f>
        <v>29-01-2026</v>
      </c>
      <c r="E1295" s="65" t="str">
        <f>IFERROR(__xludf.DUMMYFUNCTION("""COMPUTED_VALUE"""),"Bolivar Hernan")</f>
        <v>Bolivar Hernan</v>
      </c>
      <c r="F1295" s="65" t="str">
        <f>IFERROR(__xludf.DUMMYFUNCTION("""COMPUTED_VALUE"""),"985433916")</f>
        <v>985433916</v>
      </c>
      <c r="G1295" s="65"/>
      <c r="H1295" s="65"/>
      <c r="I1295" s="65"/>
      <c r="J1295" s="65"/>
      <c r="K1295" s="65" t="str">
        <f>IFERROR(__xludf.DUMMYFUNCTION("""COMPUTED_VALUE"""),"PENDIENTE CONFIRMACION")</f>
        <v>PENDIENTE CONFIRMACION</v>
      </c>
      <c r="L1295" s="65" t="str">
        <f>IFERROR(__xludf.DUMMYFUNCTION("""COMPUTED_VALUE"""),"CON RECAUDO")</f>
        <v>CON RECAUDO</v>
      </c>
      <c r="M1295" s="65" t="str">
        <f>IFERROR(__xludf.DUMMYFUNCTION("""COMPUTED_VALUE"""),"SANTO DOMINGO DE LOS TSACHILAS")</f>
        <v>SANTO DOMINGO DE LOS TSACHILAS</v>
      </c>
      <c r="N1295" s="65" t="str">
        <f>IFERROR(__xludf.DUMMYFUNCTION("""COMPUTED_VALUE"""),"SANTO DOMINGO")</f>
        <v>SANTO DOMINGO</v>
      </c>
      <c r="O1295" s="65" t="str">
        <f>IFERROR(__xludf.DUMMYFUNCTION("""COMPUTED_VALUE"""),"Riotoachiyanillovial Riotoachi -")</f>
        <v>Riotoachiyanillovial Riotoachi -</v>
      </c>
      <c r="P1295" s="65"/>
      <c r="Q1295" s="65" t="str">
        <f>IFERROR(__xludf.DUMMYFUNCTION("""COMPUTED_VALUE"""),"GINTRACOM")</f>
        <v>GINTRACOM</v>
      </c>
      <c r="R1295" s="65">
        <f>IFERROR(__xludf.DUMMYFUNCTION("""COMPUTED_VALUE"""),30.0)</f>
        <v>30</v>
      </c>
      <c r="S1295" s="65"/>
      <c r="T1295" s="65">
        <f>IFERROR(__xludf.DUMMYFUNCTION("""COMPUTED_VALUE"""),6.16)</f>
        <v>6.16</v>
      </c>
      <c r="U1295" s="65">
        <f>IFERROR(__xludf.DUMMYFUNCTION("""COMPUTED_VALUE"""),0.0)</f>
        <v>0</v>
      </c>
      <c r="V1295" s="65">
        <f>IFERROR(__xludf.DUMMYFUNCTION("""COMPUTED_VALUE"""),0.0)</f>
        <v>0</v>
      </c>
      <c r="W1295" s="65">
        <f>IFERROR(__xludf.DUMMYFUNCTION("""COMPUTED_VALUE"""),0.0)</f>
        <v>0</v>
      </c>
      <c r="X1295" s="65">
        <f>IFERROR(__xludf.DUMMYFUNCTION("""COMPUTED_VALUE"""),2.35)</f>
        <v>2.35</v>
      </c>
      <c r="Y1295" s="65">
        <f>IFERROR(__xludf.DUMMYFUNCTION("""COMPUTED_VALUE"""),7.05)</f>
        <v>7.05</v>
      </c>
      <c r="Z1295" s="65">
        <f>IFERROR(__xludf.DUMMYFUNCTION("""COMPUTED_VALUE"""),116679.0)</f>
        <v>116679</v>
      </c>
      <c r="AA1295" s="65" t="str">
        <f>IFERROR(__xludf.DUMMYFUNCTION("""COMPUTED_VALUE"""),"AMC-2738")</f>
        <v>AMC-2738</v>
      </c>
      <c r="AB1295" s="65"/>
      <c r="AC1295" s="65" t="str">
        <f>IFERROR(__xludf.DUMMYFUNCTION("""COMPUTED_VALUE"""),"ESPONJA ANTILLUVIA DE PARABRISAS")</f>
        <v>ESPONJA ANTILLUVIA DE PARABRISAS</v>
      </c>
      <c r="AD1295" s="65"/>
      <c r="AE1295" s="65">
        <f>IFERROR(__xludf.DUMMYFUNCTION("""COMPUTED_VALUE"""),3.0)</f>
        <v>3</v>
      </c>
      <c r="AF1295" s="65"/>
      <c r="AG1295" s="65"/>
      <c r="AH1295" s="65"/>
      <c r="AI1295" s="65"/>
      <c r="AJ1295" s="65"/>
      <c r="AK1295" s="65"/>
      <c r="AL1295" s="65"/>
      <c r="AM1295" s="65"/>
      <c r="AN1295" s="65"/>
      <c r="AO1295" s="65"/>
      <c r="AP1295" s="65"/>
      <c r="AQ1295" s="65"/>
      <c r="AR1295" s="65"/>
      <c r="AS1295" s="65"/>
      <c r="AT1295" s="65" t="str">
        <f>IFERROR(__xludf.DUMMYFUNCTION("""COMPUTED_VALUE"""),"SHOPIFY")</f>
        <v>SHOPIFY</v>
      </c>
      <c r="AU1295" s="65" t="str">
        <f>IFERROR(__xludf.DUMMYFUNCTION("""COMPUTED_VALUE"""),"IMPORTEX EC")</f>
        <v>IMPORTEX EC</v>
      </c>
      <c r="AV1295" s="65" t="str">
        <f>IFERROR(__xludf.DUMMYFUNCTION("""COMPUTED_VALUE"""),"6456401526828")</f>
        <v>6456401526828</v>
      </c>
      <c r="AW1295" s="65">
        <f>IFERROR(__xludf.DUMMYFUNCTION("""COMPUTED_VALUE"""),5629.0)</f>
        <v>5629</v>
      </c>
      <c r="AX1295" s="65"/>
      <c r="AY1295" s="65"/>
      <c r="AZ1295" s="65"/>
      <c r="BA1295" s="65"/>
    </row>
    <row r="1296">
      <c r="A1296" s="65" t="str">
        <f>IFERROR(__xludf.DUMMYFUNCTION("""COMPUTED_VALUE"""),"27-03-2026")</f>
        <v>27-03-2026</v>
      </c>
      <c r="B1296" s="65">
        <f>IFERROR(__xludf.DUMMYFUNCTION("""COMPUTED_VALUE"""),4318031.0)</f>
        <v>4318031</v>
      </c>
      <c r="C1296" s="65" t="str">
        <f>IFERROR(__xludf.DUMMYFUNCTION("""COMPUTED_VALUE"""),"09:21")</f>
        <v>09:21</v>
      </c>
      <c r="D1296" s="65" t="str">
        <f>IFERROR(__xludf.DUMMYFUNCTION("""COMPUTED_VALUE"""),"29-01-2026")</f>
        <v>29-01-2026</v>
      </c>
      <c r="E1296" s="65" t="str">
        <f>IFERROR(__xludf.DUMMYFUNCTION("""COMPUTED_VALUE"""),"Johanna Balcazar Sanchez")</f>
        <v>Johanna Balcazar Sanchez</v>
      </c>
      <c r="F1296" s="65" t="str">
        <f>IFERROR(__xludf.DUMMYFUNCTION("""COMPUTED_VALUE"""),"987350811")</f>
        <v>987350811</v>
      </c>
      <c r="G1296" s="65"/>
      <c r="H1296" s="65"/>
      <c r="I1296" s="65"/>
      <c r="J1296" s="65" t="str">
        <f>IFERROR(__xludf.DUMMYFUNCTION("""COMPUTED_VALUE"""),"186548270")</f>
        <v>186548270</v>
      </c>
      <c r="K1296" s="65" t="str">
        <f>IFERROR(__xludf.DUMMYFUNCTION("""COMPUTED_VALUE"""),"ENTREGADO")</f>
        <v>ENTREGADO</v>
      </c>
      <c r="L1296" s="65" t="str">
        <f>IFERROR(__xludf.DUMMYFUNCTION("""COMPUTED_VALUE"""),"CON RECAUDO")</f>
        <v>CON RECAUDO</v>
      </c>
      <c r="M1296" s="65" t="str">
        <f>IFERROR(__xludf.DUMMYFUNCTION("""COMPUTED_VALUE"""),"EL ORO")</f>
        <v>EL ORO</v>
      </c>
      <c r="N1296" s="65" t="str">
        <f>IFERROR(__xludf.DUMMYFUNCTION("""COMPUTED_VALUE"""),"MARCABELI")</f>
        <v>MARCABELI</v>
      </c>
      <c r="O1296" s="65" t="str">
        <f>IFERROR(__xludf.DUMMYFUNCTION("""COMPUTED_VALUE"""),"Centro de Marcabeli - Calle Manuel U. Gallardo  y Calle 30 de Septiembre -Ref. Frigorífico DIVINO NIÑO")</f>
        <v>Centro de Marcabeli - Calle Manuel U. Gallardo  y Calle 30 de Septiembre -Ref. Frigorífico DIVINO NIÑO</v>
      </c>
      <c r="P1296" s="65"/>
      <c r="Q1296" s="65" t="str">
        <f>IFERROR(__xludf.DUMMYFUNCTION("""COMPUTED_VALUE"""),"SERVIENTREGA")</f>
        <v>SERVIENTREGA</v>
      </c>
      <c r="R1296" s="65">
        <f>IFERROR(__xludf.DUMMYFUNCTION("""COMPUTED_VALUE"""),25.0)</f>
        <v>25</v>
      </c>
      <c r="S1296" s="65">
        <f>IFERROR(__xludf.DUMMYFUNCTION("""COMPUTED_VALUE"""),12.55)</f>
        <v>12.55</v>
      </c>
      <c r="T1296" s="65">
        <f>IFERROR(__xludf.DUMMYFUNCTION("""COMPUTED_VALUE"""),7.75)</f>
        <v>7.75</v>
      </c>
      <c r="U1296" s="65">
        <f>IFERROR(__xludf.DUMMYFUNCTION("""COMPUTED_VALUE"""),0.0)</f>
        <v>0</v>
      </c>
      <c r="V1296" s="65">
        <f>IFERROR(__xludf.DUMMYFUNCTION("""COMPUTED_VALUE"""),0.0)</f>
        <v>0</v>
      </c>
      <c r="W1296" s="65">
        <f>IFERROR(__xludf.DUMMYFUNCTION("""COMPUTED_VALUE"""),0.0)</f>
        <v>0</v>
      </c>
      <c r="X1296" s="65">
        <f>IFERROR(__xludf.DUMMYFUNCTION("""COMPUTED_VALUE"""),2.35)</f>
        <v>2.35</v>
      </c>
      <c r="Y1296" s="65">
        <f>IFERROR(__xludf.DUMMYFUNCTION("""COMPUTED_VALUE"""),4.7)</f>
        <v>4.7</v>
      </c>
      <c r="Z1296" s="65">
        <f>IFERROR(__xludf.DUMMYFUNCTION("""COMPUTED_VALUE"""),116679.0)</f>
        <v>116679</v>
      </c>
      <c r="AA1296" s="65" t="str">
        <f>IFERROR(__xludf.DUMMYFUNCTION("""COMPUTED_VALUE"""),"AMC-2738")</f>
        <v>AMC-2738</v>
      </c>
      <c r="AB1296" s="65"/>
      <c r="AC1296" s="65" t="str">
        <f>IFERROR(__xludf.DUMMYFUNCTION("""COMPUTED_VALUE"""),"ESPONJA ANTILLUVIA DE PARABRISAS")</f>
        <v>ESPONJA ANTILLUVIA DE PARABRISAS</v>
      </c>
      <c r="AD1296" s="65"/>
      <c r="AE1296" s="65">
        <f>IFERROR(__xludf.DUMMYFUNCTION("""COMPUTED_VALUE"""),2.0)</f>
        <v>2</v>
      </c>
      <c r="AF1296" s="65"/>
      <c r="AG1296" s="65"/>
      <c r="AH1296" s="65"/>
      <c r="AI1296" s="65"/>
      <c r="AJ1296" s="65"/>
      <c r="AK1296" s="65"/>
      <c r="AL1296" s="65"/>
      <c r="AM1296" s="65"/>
      <c r="AN1296" s="65" t="str">
        <f>IFERROR(__xludf.DUMMYFUNCTION("""COMPUTED_VALUE"""),"11:12")</f>
        <v>11:12</v>
      </c>
      <c r="AO1296" s="65" t="str">
        <f>IFERROR(__xludf.DUMMYFUNCTION("""COMPUTED_VALUE"""),"13-02-2026")</f>
        <v>13-02-2026</v>
      </c>
      <c r="AP1296" s="65" t="str">
        <f>IFERROR(__xludf.DUMMYFUNCTION("""COMPUTED_VALUE"""),"ENTREGA DIGITALIZADA EN CENTRO LOGISTICO")</f>
        <v>ENTREGA DIGITALIZADA EN CENTRO LOGISTICO</v>
      </c>
      <c r="AQ1296" s="65" t="str">
        <f>IFERROR(__xludf.DUMMYFUNCTION("""COMPUTED_VALUE"""),"Magali balcázar (hermana)")</f>
        <v>Magali balcázar (hermana)</v>
      </c>
      <c r="AR1296" s="65"/>
      <c r="AS1296" s="65"/>
      <c r="AT1296" s="65" t="str">
        <f>IFERROR(__xludf.DUMMYFUNCTION("""COMPUTED_VALUE"""),"CHATEA PRO")</f>
        <v>CHATEA PRO</v>
      </c>
      <c r="AU1296" s="65" t="str">
        <f>IFERROR(__xludf.DUMMYFUNCTION("""COMPUTED_VALUE"""),"CHATEA PRO")</f>
        <v>CHATEA PRO</v>
      </c>
      <c r="AV1296" s="65"/>
      <c r="AW1296" s="65"/>
      <c r="AX1296" s="65"/>
      <c r="AY1296" s="65" t="str">
        <f>IFERROR(__xludf.DUMMYFUNCTION("""COMPUTED_VALUE"""),"29/01/2026")</f>
        <v>29/01/2026</v>
      </c>
      <c r="AZ1296" s="65"/>
      <c r="BA1296" s="65"/>
    </row>
    <row r="1297">
      <c r="A1297" s="65" t="str">
        <f>IFERROR(__xludf.DUMMYFUNCTION("""COMPUTED_VALUE"""),"27-03-2026")</f>
        <v>27-03-2026</v>
      </c>
      <c r="B1297" s="65">
        <f>IFERROR(__xludf.DUMMYFUNCTION("""COMPUTED_VALUE"""),4318001.0)</f>
        <v>4318001</v>
      </c>
      <c r="C1297" s="65" t="str">
        <f>IFERROR(__xludf.DUMMYFUNCTION("""COMPUTED_VALUE"""),"09:18")</f>
        <v>09:18</v>
      </c>
      <c r="D1297" s="65" t="str">
        <f>IFERROR(__xludf.DUMMYFUNCTION("""COMPUTED_VALUE"""),"29-01-2026")</f>
        <v>29-01-2026</v>
      </c>
      <c r="E1297" s="65" t="str">
        <f>IFERROR(__xludf.DUMMYFUNCTION("""COMPUTED_VALUE"""),"Carmelo Macías")</f>
        <v>Carmelo Macías</v>
      </c>
      <c r="F1297" s="65" t="str">
        <f>IFERROR(__xludf.DUMMYFUNCTION("""COMPUTED_VALUE"""),"985088129")</f>
        <v>985088129</v>
      </c>
      <c r="G1297" s="65" t="str">
        <f>IFERROR(__xludf.DUMMYFUNCTION("""COMPUTED_VALUE"""),"maciasreinaldo@gmail.com")</f>
        <v>maciasreinaldo@gmail.com</v>
      </c>
      <c r="H1297" s="65"/>
      <c r="I1297" s="65"/>
      <c r="J1297" s="65" t="str">
        <f>IFERROR(__xludf.DUMMYFUNCTION("""COMPUTED_VALUE"""),"D001276282")</f>
        <v>D001276282</v>
      </c>
      <c r="K1297" s="65" t="str">
        <f>IFERROR(__xludf.DUMMYFUNCTION("""COMPUTED_VALUE"""),"DEVOLUCION")</f>
        <v>DEVOLUCION</v>
      </c>
      <c r="L1297" s="65" t="str">
        <f>IFERROR(__xludf.DUMMYFUNCTION("""COMPUTED_VALUE"""),"CON RECAUDO")</f>
        <v>CON RECAUDO</v>
      </c>
      <c r="M1297" s="65" t="str">
        <f>IFERROR(__xludf.DUMMYFUNCTION("""COMPUTED_VALUE"""),"GUAYAS")</f>
        <v>GUAYAS</v>
      </c>
      <c r="N1297" s="65" t="str">
        <f>IFERROR(__xludf.DUMMYFUNCTION("""COMPUTED_VALUE"""),"GUAYAQUIL")</f>
        <v>GUAYAQUIL</v>
      </c>
      <c r="O1297" s="65" t="str">
        <f>IFERROR(__xludf.DUMMYFUNCTION("""COMPUTED_VALUE"""),"Luis Orrantia y Miguel Ángel alcivar Kennedy Norte -")</f>
        <v>Luis Orrantia y Miguel Ángel alcivar Kennedy Norte -</v>
      </c>
      <c r="P1297" s="65"/>
      <c r="Q1297" s="65" t="str">
        <f>IFERROR(__xludf.DUMMYFUNCTION("""COMPUTED_VALUE"""),"GINTRACOM")</f>
        <v>GINTRACOM</v>
      </c>
      <c r="R1297" s="65">
        <f>IFERROR(__xludf.DUMMYFUNCTION("""COMPUTED_VALUE"""),21.99)</f>
        <v>21.99</v>
      </c>
      <c r="S1297" s="65"/>
      <c r="T1297" s="65">
        <f>IFERROR(__xludf.DUMMYFUNCTION("""COMPUTED_VALUE"""),5.84)</f>
        <v>5.84</v>
      </c>
      <c r="U1297" s="65">
        <f>IFERROR(__xludf.DUMMYFUNCTION("""COMPUTED_VALUE"""),0.0)</f>
        <v>0</v>
      </c>
      <c r="V1297" s="65">
        <f>IFERROR(__xludf.DUMMYFUNCTION("""COMPUTED_VALUE"""),0.0)</f>
        <v>0</v>
      </c>
      <c r="W1297" s="65">
        <f>IFERROR(__xludf.DUMMYFUNCTION("""COMPUTED_VALUE"""),0.0)</f>
        <v>0</v>
      </c>
      <c r="X1297" s="65">
        <f>IFERROR(__xludf.DUMMYFUNCTION("""COMPUTED_VALUE"""),5.0)</f>
        <v>5</v>
      </c>
      <c r="Y1297" s="65">
        <f>IFERROR(__xludf.DUMMYFUNCTION("""COMPUTED_VALUE"""),5.0)</f>
        <v>5</v>
      </c>
      <c r="Z1297" s="65">
        <f>IFERROR(__xludf.DUMMYFUNCTION("""COMPUTED_VALUE"""),110064.0)</f>
        <v>110064</v>
      </c>
      <c r="AA1297" s="65" t="str">
        <f>IFERROR(__xludf.DUMMYFUNCTION("""COMPUTED_VALUE"""),"IMX-00001")</f>
        <v>IMX-00001</v>
      </c>
      <c r="AB1297" s="65"/>
      <c r="AC1297" s="65" t="str">
        <f>IFERROR(__xludf.DUMMYFUNCTION("""COMPUTED_VALUE"""),"LLAVE TRINQUETE")</f>
        <v>LLAVE TRINQUETE</v>
      </c>
      <c r="AD1297" s="65"/>
      <c r="AE1297" s="65">
        <f>IFERROR(__xludf.DUMMYFUNCTION("""COMPUTED_VALUE"""),1.0)</f>
        <v>1</v>
      </c>
      <c r="AF1297" s="65" t="str">
        <f>IFERROR(__xludf.DUMMYFUNCTION("""COMPUTED_VALUE"""),"CLIENTE INDICA QUE NO RECIBE SI NO VE PRIMERO EL PRODUCTO")</f>
        <v>CLIENTE INDICA QUE NO RECIBE SI NO VE PRIMERO EL PRODUCTO</v>
      </c>
      <c r="AG1297" s="65" t="str">
        <f>IFERROR(__xludf.DUMMYFUNCTION("""COMPUTED_VALUE"""),"NO")</f>
        <v>NO</v>
      </c>
      <c r="AH1297" s="65" t="str">
        <f>IFERROR(__xludf.DUMMYFUNCTION("""COMPUTED_VALUE"""),"09:52")</f>
        <v>09:52</v>
      </c>
      <c r="AI1297" s="65" t="str">
        <f>IFERROR(__xludf.DUMMYFUNCTION("""COMPUTED_VALUE"""),"02-02-2026")</f>
        <v>02-02-2026</v>
      </c>
      <c r="AJ1297" s="65"/>
      <c r="AK1297" s="65"/>
      <c r="AL1297" s="65"/>
      <c r="AM1297" s="65"/>
      <c r="AN1297" s="65" t="str">
        <f>IFERROR(__xludf.DUMMYFUNCTION("""COMPUTED_VALUE"""),"10:27")</f>
        <v>10:27</v>
      </c>
      <c r="AO1297" s="65" t="str">
        <f>IFERROR(__xludf.DUMMYFUNCTION("""COMPUTED_VALUE"""),"19-02-2026")</f>
        <v>19-02-2026</v>
      </c>
      <c r="AP1297" s="65" t="str">
        <f>IFERROR(__xludf.DUMMYFUNCTION("""COMPUTED_VALUE"""),"DEVOLUCIÓN ENTREGADA A ORIGEN")</f>
        <v>DEVOLUCIÓN ENTREGADA A ORIGEN</v>
      </c>
      <c r="AQ1297" s="65" t="str">
        <f>IFERROR(__xludf.DUMMYFUNCTION("""COMPUTED_VALUE"""),"DEVOLUCIÓN ENTREGADA A ORIGEN")</f>
        <v>DEVOLUCIÓN ENTREGADA A ORIGEN</v>
      </c>
      <c r="AR1297" s="65"/>
      <c r="AS1297" s="65"/>
      <c r="AT1297" s="65" t="str">
        <f>IFERROR(__xludf.DUMMYFUNCTION("""COMPUTED_VALUE"""),"SHOPIFY")</f>
        <v>SHOPIFY</v>
      </c>
      <c r="AU1297" s="65" t="str">
        <f>IFERROR(__xludf.DUMMYFUNCTION("""COMPUTED_VALUE"""),"IMPORTEX EC")</f>
        <v>IMPORTEX EC</v>
      </c>
      <c r="AV1297" s="65" t="str">
        <f>IFERROR(__xludf.DUMMYFUNCTION("""COMPUTED_VALUE"""),"6456538169388")</f>
        <v>6456538169388</v>
      </c>
      <c r="AW1297" s="65">
        <f>IFERROR(__xludf.DUMMYFUNCTION("""COMPUTED_VALUE"""),5631.0)</f>
        <v>5631</v>
      </c>
      <c r="AX1297" s="65"/>
      <c r="AY1297" s="65" t="str">
        <f>IFERROR(__xludf.DUMMYFUNCTION("""COMPUTED_VALUE"""),"30/01/2026")</f>
        <v>30/01/2026</v>
      </c>
      <c r="AZ1297" s="65"/>
      <c r="BA1297" s="65"/>
    </row>
    <row r="1298">
      <c r="A1298" s="65" t="str">
        <f>IFERROR(__xludf.DUMMYFUNCTION("""COMPUTED_VALUE"""),"27-03-2026")</f>
        <v>27-03-2026</v>
      </c>
      <c r="B1298" s="65">
        <f>IFERROR(__xludf.DUMMYFUNCTION("""COMPUTED_VALUE"""),4317828.0)</f>
        <v>4317828</v>
      </c>
      <c r="C1298" s="65" t="str">
        <f>IFERROR(__xludf.DUMMYFUNCTION("""COMPUTED_VALUE"""),"09:04")</f>
        <v>09:04</v>
      </c>
      <c r="D1298" s="65" t="str">
        <f>IFERROR(__xludf.DUMMYFUNCTION("""COMPUTED_VALUE"""),"29-01-2026")</f>
        <v>29-01-2026</v>
      </c>
      <c r="E1298" s="65" t="str">
        <f>IFERROR(__xludf.DUMMYFUNCTION("""COMPUTED_VALUE"""),"Guillermo Acurio")</f>
        <v>Guillermo Acurio</v>
      </c>
      <c r="F1298" s="65" t="str">
        <f>IFERROR(__xludf.DUMMYFUNCTION("""COMPUTED_VALUE"""),"987311782")</f>
        <v>987311782</v>
      </c>
      <c r="G1298" s="65" t="str">
        <f>IFERROR(__xludf.DUMMYFUNCTION("""COMPUTED_VALUE"""),"odontorie@yahoo.com.mx")</f>
        <v>odontorie@yahoo.com.mx</v>
      </c>
      <c r="H1298" s="65"/>
      <c r="I1298" s="65"/>
      <c r="J1298" s="65" t="str">
        <f>IFERROR(__xludf.DUMMYFUNCTION("""COMPUTED_VALUE"""),"D001276285")</f>
        <v>D001276285</v>
      </c>
      <c r="K1298" s="65" t="str">
        <f>IFERROR(__xludf.DUMMYFUNCTION("""COMPUTED_VALUE"""),"ENTREGADO")</f>
        <v>ENTREGADO</v>
      </c>
      <c r="L1298" s="65" t="str">
        <f>IFERROR(__xludf.DUMMYFUNCTION("""COMPUTED_VALUE"""),"CON RECAUDO")</f>
        <v>CON RECAUDO</v>
      </c>
      <c r="M1298" s="65" t="str">
        <f>IFERROR(__xludf.DUMMYFUNCTION("""COMPUTED_VALUE"""),"PICHINCHA")</f>
        <v>PICHINCHA</v>
      </c>
      <c r="N1298" s="65" t="str">
        <f>IFERROR(__xludf.DUMMYFUNCTION("""COMPUTED_VALUE"""),"QUITO")</f>
        <v>QUITO</v>
      </c>
      <c r="O1298" s="65" t="str">
        <f>IFERROR(__xludf.DUMMYFUNCTION("""COMPUTED_VALUE"""),"Selva Alegre Oe3-291 y Av américa. Clínica ODONTORIE las casas -")</f>
        <v>Selva Alegre Oe3-291 y Av américa. Clínica ODONTORIE las casas -</v>
      </c>
      <c r="P1298" s="65"/>
      <c r="Q1298" s="65" t="str">
        <f>IFERROR(__xludf.DUMMYFUNCTION("""COMPUTED_VALUE"""),"GINTRACOM")</f>
        <v>GINTRACOM</v>
      </c>
      <c r="R1298" s="65">
        <f>IFERROR(__xludf.DUMMYFUNCTION("""COMPUTED_VALUE"""),21.99)</f>
        <v>21.99</v>
      </c>
      <c r="S1298" s="65">
        <f>IFERROR(__xludf.DUMMYFUNCTION("""COMPUTED_VALUE"""),12.76)</f>
        <v>12.76</v>
      </c>
      <c r="T1298" s="65">
        <f>IFERROR(__xludf.DUMMYFUNCTION("""COMPUTED_VALUE"""),4.23)</f>
        <v>4.23</v>
      </c>
      <c r="U1298" s="65">
        <f>IFERROR(__xludf.DUMMYFUNCTION("""COMPUTED_VALUE"""),0.0)</f>
        <v>0</v>
      </c>
      <c r="V1298" s="65">
        <f>IFERROR(__xludf.DUMMYFUNCTION("""COMPUTED_VALUE"""),0.0)</f>
        <v>0</v>
      </c>
      <c r="W1298" s="65">
        <f>IFERROR(__xludf.DUMMYFUNCTION("""COMPUTED_VALUE"""),0.0)</f>
        <v>0</v>
      </c>
      <c r="X1298" s="65">
        <f>IFERROR(__xludf.DUMMYFUNCTION("""COMPUTED_VALUE"""),5.0)</f>
        <v>5</v>
      </c>
      <c r="Y1298" s="65">
        <f>IFERROR(__xludf.DUMMYFUNCTION("""COMPUTED_VALUE"""),5.0)</f>
        <v>5</v>
      </c>
      <c r="Z1298" s="65">
        <f>IFERROR(__xludf.DUMMYFUNCTION("""COMPUTED_VALUE"""),110064.0)</f>
        <v>110064</v>
      </c>
      <c r="AA1298" s="65" t="str">
        <f>IFERROR(__xludf.DUMMYFUNCTION("""COMPUTED_VALUE"""),"IMX-00001")</f>
        <v>IMX-00001</v>
      </c>
      <c r="AB1298" s="65"/>
      <c r="AC1298" s="65" t="str">
        <f>IFERROR(__xludf.DUMMYFUNCTION("""COMPUTED_VALUE"""),"LLAVE TRINQUETE")</f>
        <v>LLAVE TRINQUETE</v>
      </c>
      <c r="AD1298" s="65"/>
      <c r="AE1298" s="65">
        <f>IFERROR(__xludf.DUMMYFUNCTION("""COMPUTED_VALUE"""),1.0)</f>
        <v>1</v>
      </c>
      <c r="AF1298" s="65"/>
      <c r="AG1298" s="65"/>
      <c r="AH1298" s="65"/>
      <c r="AI1298" s="65"/>
      <c r="AJ1298" s="65"/>
      <c r="AK1298" s="65"/>
      <c r="AL1298" s="65"/>
      <c r="AM1298" s="65"/>
      <c r="AN1298" s="65"/>
      <c r="AO1298" s="65"/>
      <c r="AP1298" s="65"/>
      <c r="AQ1298" s="65"/>
      <c r="AR1298" s="65"/>
      <c r="AS1298" s="65"/>
      <c r="AT1298" s="65" t="str">
        <f>IFERROR(__xludf.DUMMYFUNCTION("""COMPUTED_VALUE"""),"SHOPIFY")</f>
        <v>SHOPIFY</v>
      </c>
      <c r="AU1298" s="65" t="str">
        <f>IFERROR(__xludf.DUMMYFUNCTION("""COMPUTED_VALUE"""),"IMPORTEX EC")</f>
        <v>IMPORTEX EC</v>
      </c>
      <c r="AV1298" s="65" t="str">
        <f>IFERROR(__xludf.DUMMYFUNCTION("""COMPUTED_VALUE"""),"6456510152748")</f>
        <v>6456510152748</v>
      </c>
      <c r="AW1298" s="65">
        <f>IFERROR(__xludf.DUMMYFUNCTION("""COMPUTED_VALUE"""),5630.0)</f>
        <v>5630</v>
      </c>
      <c r="AX1298" s="65"/>
      <c r="AY1298" s="65" t="str">
        <f>IFERROR(__xludf.DUMMYFUNCTION("""COMPUTED_VALUE"""),"30/01/2026")</f>
        <v>30/01/2026</v>
      </c>
      <c r="AZ1298" s="65"/>
      <c r="BA1298" s="65"/>
    </row>
    <row r="1299">
      <c r="A1299" s="65" t="str">
        <f>IFERROR(__xludf.DUMMYFUNCTION("""COMPUTED_VALUE"""),"27-03-2026")</f>
        <v>27-03-2026</v>
      </c>
      <c r="B1299" s="65">
        <f>IFERROR(__xludf.DUMMYFUNCTION("""COMPUTED_VALUE"""),4316931.0)</f>
        <v>4316931</v>
      </c>
      <c r="C1299" s="65" t="str">
        <f>IFERROR(__xludf.DUMMYFUNCTION("""COMPUTED_VALUE"""),"07:41")</f>
        <v>07:41</v>
      </c>
      <c r="D1299" s="65" t="str">
        <f>IFERROR(__xludf.DUMMYFUNCTION("""COMPUTED_VALUE"""),"29-01-2026")</f>
        <v>29-01-2026</v>
      </c>
      <c r="E1299" s="65" t="str">
        <f>IFERROR(__xludf.DUMMYFUNCTION("""COMPUTED_VALUE"""),"Anibal Urriola")</f>
        <v>Anibal Urriola</v>
      </c>
      <c r="F1299" s="65" t="str">
        <f>IFERROR(__xludf.DUMMYFUNCTION("""COMPUTED_VALUE"""),"992188926")</f>
        <v>992188926</v>
      </c>
      <c r="G1299" s="65" t="str">
        <f>IFERROR(__xludf.DUMMYFUNCTION("""COMPUTED_VALUE"""),"anibalurriola307@gmail.com")</f>
        <v>anibalurriola307@gmail.com</v>
      </c>
      <c r="H1299" s="65"/>
      <c r="I1299" s="65"/>
      <c r="J1299" s="65"/>
      <c r="K1299" s="65" t="str">
        <f>IFERROR(__xludf.DUMMYFUNCTION("""COMPUTED_VALUE"""),"CANCELADO")</f>
        <v>CANCELADO</v>
      </c>
      <c r="L1299" s="65" t="str">
        <f>IFERROR(__xludf.DUMMYFUNCTION("""COMPUTED_VALUE"""),"CON RECAUDO")</f>
        <v>CON RECAUDO</v>
      </c>
      <c r="M1299" s="65" t="str">
        <f>IFERROR(__xludf.DUMMYFUNCTION("""COMPUTED_VALUE"""),"GUAYAS")</f>
        <v>GUAYAS</v>
      </c>
      <c r="N1299" s="65" t="str">
        <f>IFERROR(__xludf.DUMMYFUNCTION("""COMPUTED_VALUE"""),"GUAYAQUIL")</f>
        <v>GUAYAQUIL</v>
      </c>
      <c r="O1299" s="65" t="str">
        <f>IFERROR(__xludf.DUMMYFUNCTION("""COMPUTED_VALUE"""),"Diez de agosto y la novena En toda la esquina STA una cruz azul -")</f>
        <v>Diez de agosto y la novena En toda la esquina STA una cruz azul -</v>
      </c>
      <c r="P1299" s="65"/>
      <c r="Q1299" s="65" t="str">
        <f>IFERROR(__xludf.DUMMYFUNCTION("""COMPUTED_VALUE"""),"GINTRACOM")</f>
        <v>GINTRACOM</v>
      </c>
      <c r="R1299" s="65">
        <f>IFERROR(__xludf.DUMMYFUNCTION("""COMPUTED_VALUE"""),20.0)</f>
        <v>20</v>
      </c>
      <c r="S1299" s="65"/>
      <c r="T1299" s="65">
        <f>IFERROR(__xludf.DUMMYFUNCTION("""COMPUTED_VALUE"""),5.76)</f>
        <v>5.76</v>
      </c>
      <c r="U1299" s="65">
        <f>IFERROR(__xludf.DUMMYFUNCTION("""COMPUTED_VALUE"""),0.0)</f>
        <v>0</v>
      </c>
      <c r="V1299" s="65">
        <f>IFERROR(__xludf.DUMMYFUNCTION("""COMPUTED_VALUE"""),0.0)</f>
        <v>0</v>
      </c>
      <c r="W1299" s="65">
        <f>IFERROR(__xludf.DUMMYFUNCTION("""COMPUTED_VALUE"""),0.0)</f>
        <v>0</v>
      </c>
      <c r="X1299" s="65">
        <f>IFERROR(__xludf.DUMMYFUNCTION("""COMPUTED_VALUE"""),2.35)</f>
        <v>2.35</v>
      </c>
      <c r="Y1299" s="65">
        <f>IFERROR(__xludf.DUMMYFUNCTION("""COMPUTED_VALUE"""),2.35)</f>
        <v>2.35</v>
      </c>
      <c r="Z1299" s="65">
        <f>IFERROR(__xludf.DUMMYFUNCTION("""COMPUTED_VALUE"""),116679.0)</f>
        <v>116679</v>
      </c>
      <c r="AA1299" s="65" t="str">
        <f>IFERROR(__xludf.DUMMYFUNCTION("""COMPUTED_VALUE"""),"AMC-2738")</f>
        <v>AMC-2738</v>
      </c>
      <c r="AB1299" s="65"/>
      <c r="AC1299" s="65" t="str">
        <f>IFERROR(__xludf.DUMMYFUNCTION("""COMPUTED_VALUE"""),"ESPONJA ANTILLUVIA DE PARABRISAS")</f>
        <v>ESPONJA ANTILLUVIA DE PARABRISAS</v>
      </c>
      <c r="AD1299" s="65"/>
      <c r="AE1299" s="65">
        <f>IFERROR(__xludf.DUMMYFUNCTION("""COMPUTED_VALUE"""),1.0)</f>
        <v>1</v>
      </c>
      <c r="AF1299" s="65"/>
      <c r="AG1299" s="65"/>
      <c r="AH1299" s="65"/>
      <c r="AI1299" s="65"/>
      <c r="AJ1299" s="65"/>
      <c r="AK1299" s="65"/>
      <c r="AL1299" s="65"/>
      <c r="AM1299" s="65"/>
      <c r="AN1299" s="65"/>
      <c r="AO1299" s="65"/>
      <c r="AP1299" s="65"/>
      <c r="AQ1299" s="65"/>
      <c r="AR1299" s="65"/>
      <c r="AS1299" s="65"/>
      <c r="AT1299" s="65" t="str">
        <f>IFERROR(__xludf.DUMMYFUNCTION("""COMPUTED_VALUE"""),"SHOPIFY")</f>
        <v>SHOPIFY</v>
      </c>
      <c r="AU1299" s="65" t="str">
        <f>IFERROR(__xludf.DUMMYFUNCTION("""COMPUTED_VALUE"""),"IMPORTEX EC")</f>
        <v>IMPORTEX EC</v>
      </c>
      <c r="AV1299" s="65" t="str">
        <f>IFERROR(__xludf.DUMMYFUNCTION("""COMPUTED_VALUE"""),"6456390156332")</f>
        <v>6456390156332</v>
      </c>
      <c r="AW1299" s="65">
        <f>IFERROR(__xludf.DUMMYFUNCTION("""COMPUTED_VALUE"""),5628.0)</f>
        <v>5628</v>
      </c>
      <c r="AX1299" s="65"/>
      <c r="AY1299" s="65"/>
      <c r="AZ1299" s="65"/>
      <c r="BA1299" s="65"/>
    </row>
    <row r="1300">
      <c r="A1300" s="65" t="str">
        <f>IFERROR(__xludf.DUMMYFUNCTION("""COMPUTED_VALUE"""),"27-03-2026")</f>
        <v>27-03-2026</v>
      </c>
      <c r="B1300" s="65">
        <f>IFERROR(__xludf.DUMMYFUNCTION("""COMPUTED_VALUE"""),4316924.0)</f>
        <v>4316924</v>
      </c>
      <c r="C1300" s="65" t="str">
        <f>IFERROR(__xludf.DUMMYFUNCTION("""COMPUTED_VALUE"""),"07:40")</f>
        <v>07:40</v>
      </c>
      <c r="D1300" s="65" t="str">
        <f>IFERROR(__xludf.DUMMYFUNCTION("""COMPUTED_VALUE"""),"29-01-2026")</f>
        <v>29-01-2026</v>
      </c>
      <c r="E1300" s="65" t="str">
        <f>IFERROR(__xludf.DUMMYFUNCTION("""COMPUTED_VALUE"""),"Peter Vargas")</f>
        <v>Peter Vargas</v>
      </c>
      <c r="F1300" s="65" t="str">
        <f>IFERROR(__xludf.DUMMYFUNCTION("""COMPUTED_VALUE"""),"999614677")</f>
        <v>999614677</v>
      </c>
      <c r="G1300" s="65"/>
      <c r="H1300" s="65"/>
      <c r="I1300" s="65"/>
      <c r="J1300" s="65" t="str">
        <f>IFERROR(__xludf.DUMMYFUNCTION("""COMPUTED_VALUE"""),"D001273552")</f>
        <v>D001273552</v>
      </c>
      <c r="K1300" s="65" t="str">
        <f>IFERROR(__xludf.DUMMYFUNCTION("""COMPUTED_VALUE"""),"ENTREGADO")</f>
        <v>ENTREGADO</v>
      </c>
      <c r="L1300" s="65" t="str">
        <f>IFERROR(__xludf.DUMMYFUNCTION("""COMPUTED_VALUE"""),"CON RECAUDO")</f>
        <v>CON RECAUDO</v>
      </c>
      <c r="M1300" s="65" t="str">
        <f>IFERROR(__xludf.DUMMYFUNCTION("""COMPUTED_VALUE"""),"GUAYAS")</f>
        <v>GUAYAS</v>
      </c>
      <c r="N1300" s="65" t="str">
        <f>IFERROR(__xludf.DUMMYFUNCTION("""COMPUTED_VALUE"""),"GUAYAQUIL")</f>
        <v>GUAYAQUIL</v>
      </c>
      <c r="O1300" s="65" t="str">
        <f>IFERROR(__xludf.DUMMYFUNCTION("""COMPUTED_VALUE"""),"Bálsamos #118 Calle unica - Urdesa edificio semgroup")</f>
        <v>Bálsamos #118 Calle unica - Urdesa edificio semgroup</v>
      </c>
      <c r="P1300" s="65"/>
      <c r="Q1300" s="65" t="str">
        <f>IFERROR(__xludf.DUMMYFUNCTION("""COMPUTED_VALUE"""),"GINTRACOM")</f>
        <v>GINTRACOM</v>
      </c>
      <c r="R1300" s="65">
        <f>IFERROR(__xludf.DUMMYFUNCTION("""COMPUTED_VALUE"""),25.0)</f>
        <v>25</v>
      </c>
      <c r="S1300" s="65">
        <f>IFERROR(__xludf.DUMMYFUNCTION("""COMPUTED_VALUE"""),14.34)</f>
        <v>14.34</v>
      </c>
      <c r="T1300" s="65">
        <f>IFERROR(__xludf.DUMMYFUNCTION("""COMPUTED_VALUE"""),5.96)</f>
        <v>5.96</v>
      </c>
      <c r="U1300" s="65">
        <f>IFERROR(__xludf.DUMMYFUNCTION("""COMPUTED_VALUE"""),0.0)</f>
        <v>0</v>
      </c>
      <c r="V1300" s="65">
        <f>IFERROR(__xludf.DUMMYFUNCTION("""COMPUTED_VALUE"""),0.0)</f>
        <v>0</v>
      </c>
      <c r="W1300" s="65">
        <f>IFERROR(__xludf.DUMMYFUNCTION("""COMPUTED_VALUE"""),0.0)</f>
        <v>0</v>
      </c>
      <c r="X1300" s="65">
        <f>IFERROR(__xludf.DUMMYFUNCTION("""COMPUTED_VALUE"""),2.35)</f>
        <v>2.35</v>
      </c>
      <c r="Y1300" s="65">
        <f>IFERROR(__xludf.DUMMYFUNCTION("""COMPUTED_VALUE"""),4.7)</f>
        <v>4.7</v>
      </c>
      <c r="Z1300" s="65">
        <f>IFERROR(__xludf.DUMMYFUNCTION("""COMPUTED_VALUE"""),116679.0)</f>
        <v>116679</v>
      </c>
      <c r="AA1300" s="65" t="str">
        <f>IFERROR(__xludf.DUMMYFUNCTION("""COMPUTED_VALUE"""),"AMC-2738")</f>
        <v>AMC-2738</v>
      </c>
      <c r="AB1300" s="65"/>
      <c r="AC1300" s="65" t="str">
        <f>IFERROR(__xludf.DUMMYFUNCTION("""COMPUTED_VALUE"""),"ESPONJA ANTILLUVIA DE PARABRISAS")</f>
        <v>ESPONJA ANTILLUVIA DE PARABRISAS</v>
      </c>
      <c r="AD1300" s="65"/>
      <c r="AE1300" s="65">
        <f>IFERROR(__xludf.DUMMYFUNCTION("""COMPUTED_VALUE"""),2.0)</f>
        <v>2</v>
      </c>
      <c r="AF1300" s="65"/>
      <c r="AG1300" s="65"/>
      <c r="AH1300" s="65"/>
      <c r="AI1300" s="65"/>
      <c r="AJ1300" s="65"/>
      <c r="AK1300" s="65"/>
      <c r="AL1300" s="65"/>
      <c r="AM1300" s="65"/>
      <c r="AN1300" s="65"/>
      <c r="AO1300" s="65"/>
      <c r="AP1300" s="65"/>
      <c r="AQ1300" s="65"/>
      <c r="AR1300" s="65"/>
      <c r="AS1300" s="65"/>
      <c r="AT1300" s="65" t="str">
        <f>IFERROR(__xludf.DUMMYFUNCTION("""COMPUTED_VALUE"""),"CHATEA PRO")</f>
        <v>CHATEA PRO</v>
      </c>
      <c r="AU1300" s="65" t="str">
        <f>IFERROR(__xludf.DUMMYFUNCTION("""COMPUTED_VALUE"""),"CHATEA PRO")</f>
        <v>CHATEA PRO</v>
      </c>
      <c r="AV1300" s="65"/>
      <c r="AW1300" s="65"/>
      <c r="AX1300" s="65"/>
      <c r="AY1300" s="65" t="str">
        <f>IFERROR(__xludf.DUMMYFUNCTION("""COMPUTED_VALUE"""),"29/01/2026")</f>
        <v>29/01/2026</v>
      </c>
      <c r="AZ1300" s="65"/>
      <c r="BA1300" s="65"/>
    </row>
    <row r="1301">
      <c r="A1301" s="65" t="str">
        <f>IFERROR(__xludf.DUMMYFUNCTION("""COMPUTED_VALUE"""),"27-03-2026")</f>
        <v>27-03-2026</v>
      </c>
      <c r="B1301" s="65">
        <f>IFERROR(__xludf.DUMMYFUNCTION("""COMPUTED_VALUE"""),4316750.0)</f>
        <v>4316750</v>
      </c>
      <c r="C1301" s="65" t="str">
        <f>IFERROR(__xludf.DUMMYFUNCTION("""COMPUTED_VALUE"""),"07:15")</f>
        <v>07:15</v>
      </c>
      <c r="D1301" s="65" t="str">
        <f>IFERROR(__xludf.DUMMYFUNCTION("""COMPUTED_VALUE"""),"29-01-2026")</f>
        <v>29-01-2026</v>
      </c>
      <c r="E1301" s="65" t="str">
        <f>IFERROR(__xludf.DUMMYFUNCTION("""COMPUTED_VALUE"""),"Diana Velez")</f>
        <v>Diana Velez</v>
      </c>
      <c r="F1301" s="65" t="str">
        <f>IFERROR(__xludf.DUMMYFUNCTION("""COMPUTED_VALUE"""),"998998268")</f>
        <v>998998268</v>
      </c>
      <c r="G1301" s="65" t="str">
        <f>IFERROR(__xludf.DUMMYFUNCTION("""COMPUTED_VALUE"""),"dvelez@saludsa.com.ec")</f>
        <v>dvelez@saludsa.com.ec</v>
      </c>
      <c r="H1301" s="65"/>
      <c r="I1301" s="65"/>
      <c r="J1301" s="65" t="str">
        <f>IFERROR(__xludf.DUMMYFUNCTION("""COMPUTED_VALUE"""),"D001273772")</f>
        <v>D001273772</v>
      </c>
      <c r="K1301" s="65" t="str">
        <f>IFERROR(__xludf.DUMMYFUNCTION("""COMPUTED_VALUE"""),"ENTREGADO")</f>
        <v>ENTREGADO</v>
      </c>
      <c r="L1301" s="65" t="str">
        <f>IFERROR(__xludf.DUMMYFUNCTION("""COMPUTED_VALUE"""),"CON RECAUDO")</f>
        <v>CON RECAUDO</v>
      </c>
      <c r="M1301" s="65" t="str">
        <f>IFERROR(__xludf.DUMMYFUNCTION("""COMPUTED_VALUE"""),"GUAYAS")</f>
        <v>GUAYAS</v>
      </c>
      <c r="N1301" s="65" t="str">
        <f>IFERROR(__xludf.DUMMYFUNCTION("""COMPUTED_VALUE"""),"GUAYAQUIL")</f>
        <v>GUAYAQUIL</v>
      </c>
      <c r="O1301" s="65" t="str">
        <f>IFERROR(__xludf.DUMMYFUNCTION("""COMPUTED_VALUE"""),"Av leon febres cordero rivadeneira km 11,5 urb san antonio mz 22 villa 21 Junto a la iglesia thomas apostol -")</f>
        <v>Av leon febres cordero rivadeneira km 11,5 urb san antonio mz 22 villa 21 Junto a la iglesia thomas apostol -</v>
      </c>
      <c r="P1301" s="65"/>
      <c r="Q1301" s="65" t="str">
        <f>IFERROR(__xludf.DUMMYFUNCTION("""COMPUTED_VALUE"""),"GINTRACOM")</f>
        <v>GINTRACOM</v>
      </c>
      <c r="R1301" s="65">
        <f>IFERROR(__xludf.DUMMYFUNCTION("""COMPUTED_VALUE"""),25.0)</f>
        <v>25</v>
      </c>
      <c r="S1301" s="65">
        <f>IFERROR(__xludf.DUMMYFUNCTION("""COMPUTED_VALUE"""),14.34)</f>
        <v>14.34</v>
      </c>
      <c r="T1301" s="65">
        <f>IFERROR(__xludf.DUMMYFUNCTION("""COMPUTED_VALUE"""),5.96)</f>
        <v>5.96</v>
      </c>
      <c r="U1301" s="65">
        <f>IFERROR(__xludf.DUMMYFUNCTION("""COMPUTED_VALUE"""),0.0)</f>
        <v>0</v>
      </c>
      <c r="V1301" s="65">
        <f>IFERROR(__xludf.DUMMYFUNCTION("""COMPUTED_VALUE"""),0.0)</f>
        <v>0</v>
      </c>
      <c r="W1301" s="65">
        <f>IFERROR(__xludf.DUMMYFUNCTION("""COMPUTED_VALUE"""),0.0)</f>
        <v>0</v>
      </c>
      <c r="X1301" s="65">
        <f>IFERROR(__xludf.DUMMYFUNCTION("""COMPUTED_VALUE"""),2.35)</f>
        <v>2.35</v>
      </c>
      <c r="Y1301" s="65">
        <f>IFERROR(__xludf.DUMMYFUNCTION("""COMPUTED_VALUE"""),4.7)</f>
        <v>4.7</v>
      </c>
      <c r="Z1301" s="65">
        <f>IFERROR(__xludf.DUMMYFUNCTION("""COMPUTED_VALUE"""),116679.0)</f>
        <v>116679</v>
      </c>
      <c r="AA1301" s="65" t="str">
        <f>IFERROR(__xludf.DUMMYFUNCTION("""COMPUTED_VALUE"""),"AMC-2738")</f>
        <v>AMC-2738</v>
      </c>
      <c r="AB1301" s="65"/>
      <c r="AC1301" s="65" t="str">
        <f>IFERROR(__xludf.DUMMYFUNCTION("""COMPUTED_VALUE"""),"ESPONJA ANTILLUVIA DE PARABRISAS")</f>
        <v>ESPONJA ANTILLUVIA DE PARABRISAS</v>
      </c>
      <c r="AD1301" s="65"/>
      <c r="AE1301" s="65">
        <f>IFERROR(__xludf.DUMMYFUNCTION("""COMPUTED_VALUE"""),2.0)</f>
        <v>2</v>
      </c>
      <c r="AF1301" s="65"/>
      <c r="AG1301" s="65"/>
      <c r="AH1301" s="65"/>
      <c r="AI1301" s="65"/>
      <c r="AJ1301" s="65"/>
      <c r="AK1301" s="65"/>
      <c r="AL1301" s="65"/>
      <c r="AM1301" s="65"/>
      <c r="AN1301" s="65"/>
      <c r="AO1301" s="65"/>
      <c r="AP1301" s="65"/>
      <c r="AQ1301" s="65"/>
      <c r="AR1301" s="65"/>
      <c r="AS1301" s="65"/>
      <c r="AT1301" s="65" t="str">
        <f>IFERROR(__xludf.DUMMYFUNCTION("""COMPUTED_VALUE"""),"SHOPIFY")</f>
        <v>SHOPIFY</v>
      </c>
      <c r="AU1301" s="65" t="str">
        <f>IFERROR(__xludf.DUMMYFUNCTION("""COMPUTED_VALUE"""),"IMPORTEX EC")</f>
        <v>IMPORTEX EC</v>
      </c>
      <c r="AV1301" s="65" t="str">
        <f>IFERROR(__xludf.DUMMYFUNCTION("""COMPUTED_VALUE"""),"6456359256108")</f>
        <v>6456359256108</v>
      </c>
      <c r="AW1301" s="65">
        <f>IFERROR(__xludf.DUMMYFUNCTION("""COMPUTED_VALUE"""),5627.0)</f>
        <v>5627</v>
      </c>
      <c r="AX1301" s="65"/>
      <c r="AY1301" s="65" t="str">
        <f>IFERROR(__xludf.DUMMYFUNCTION("""COMPUTED_VALUE"""),"29/01/2026")</f>
        <v>29/01/2026</v>
      </c>
      <c r="AZ1301" s="65"/>
      <c r="BA1301" s="65"/>
    </row>
    <row r="1302">
      <c r="A1302" s="65" t="str">
        <f>IFERROR(__xludf.DUMMYFUNCTION("""COMPUTED_VALUE"""),"27-03-2026")</f>
        <v>27-03-2026</v>
      </c>
      <c r="B1302" s="65">
        <f>IFERROR(__xludf.DUMMYFUNCTION("""COMPUTED_VALUE"""),4316656.0)</f>
        <v>4316656</v>
      </c>
      <c r="C1302" s="65" t="str">
        <f>IFERROR(__xludf.DUMMYFUNCTION("""COMPUTED_VALUE"""),"07:03")</f>
        <v>07:03</v>
      </c>
      <c r="D1302" s="65" t="str">
        <f>IFERROR(__xludf.DUMMYFUNCTION("""COMPUTED_VALUE"""),"29-01-2026")</f>
        <v>29-01-2026</v>
      </c>
      <c r="E1302" s="65" t="str">
        <f>IFERROR(__xludf.DUMMYFUNCTION("""COMPUTED_VALUE"""),"Cristhian Andres Gonzalez Santos")</f>
        <v>Cristhian Andres Gonzalez Santos</v>
      </c>
      <c r="F1302" s="65" t="str">
        <f>IFERROR(__xludf.DUMMYFUNCTION("""COMPUTED_VALUE"""),"978955266")</f>
        <v>978955266</v>
      </c>
      <c r="G1302" s="65" t="str">
        <f>IFERROR(__xludf.DUMMYFUNCTION("""COMPUTED_VALUE"""),"crisgonzalez007@hotmail.com")</f>
        <v>crisgonzalez007@hotmail.com</v>
      </c>
      <c r="H1302" s="65"/>
      <c r="I1302" s="65"/>
      <c r="J1302" s="65" t="str">
        <f>IFERROR(__xludf.DUMMYFUNCTION("""COMPUTED_VALUE"""),"D001273774")</f>
        <v>D001273774</v>
      </c>
      <c r="K1302" s="65" t="str">
        <f>IFERROR(__xludf.DUMMYFUNCTION("""COMPUTED_VALUE"""),"ENTREGADO")</f>
        <v>ENTREGADO</v>
      </c>
      <c r="L1302" s="65" t="str">
        <f>IFERROR(__xludf.DUMMYFUNCTION("""COMPUTED_VALUE"""),"CON RECAUDO")</f>
        <v>CON RECAUDO</v>
      </c>
      <c r="M1302" s="65" t="str">
        <f>IFERROR(__xludf.DUMMYFUNCTION("""COMPUTED_VALUE"""),"ESMERALDAS")</f>
        <v>ESMERALDAS</v>
      </c>
      <c r="N1302" s="65" t="str">
        <f>IFERROR(__xludf.DUMMYFUNCTION("""COMPUTED_VALUE"""),"ESMERALDAS")</f>
        <v>ESMERALDAS</v>
      </c>
      <c r="O1302" s="65" t="str">
        <f>IFERROR(__xludf.DUMMYFUNCTION("""COMPUTED_VALUE"""),"Av. Pedro Vicente Maldonado y Ricaurte Centro, al lado de la Barraca Gasolinera P&amp;S -")</f>
        <v>Av. Pedro Vicente Maldonado y Ricaurte Centro, al lado de la Barraca Gasolinera P&amp;S -</v>
      </c>
      <c r="P1302" s="65"/>
      <c r="Q1302" s="65" t="str">
        <f>IFERROR(__xludf.DUMMYFUNCTION("""COMPUTED_VALUE"""),"GINTRACOM")</f>
        <v>GINTRACOM</v>
      </c>
      <c r="R1302" s="65">
        <f>IFERROR(__xludf.DUMMYFUNCTION("""COMPUTED_VALUE"""),25.0)</f>
        <v>25</v>
      </c>
      <c r="S1302" s="65">
        <f>IFERROR(__xludf.DUMMYFUNCTION("""COMPUTED_VALUE"""),14.34)</f>
        <v>14.34</v>
      </c>
      <c r="T1302" s="65">
        <f>IFERROR(__xludf.DUMMYFUNCTION("""COMPUTED_VALUE"""),5.96)</f>
        <v>5.96</v>
      </c>
      <c r="U1302" s="65">
        <f>IFERROR(__xludf.DUMMYFUNCTION("""COMPUTED_VALUE"""),0.0)</f>
        <v>0</v>
      </c>
      <c r="V1302" s="65">
        <f>IFERROR(__xludf.DUMMYFUNCTION("""COMPUTED_VALUE"""),0.0)</f>
        <v>0</v>
      </c>
      <c r="W1302" s="65">
        <f>IFERROR(__xludf.DUMMYFUNCTION("""COMPUTED_VALUE"""),0.0)</f>
        <v>0</v>
      </c>
      <c r="X1302" s="65">
        <f>IFERROR(__xludf.DUMMYFUNCTION("""COMPUTED_VALUE"""),2.35)</f>
        <v>2.35</v>
      </c>
      <c r="Y1302" s="65">
        <f>IFERROR(__xludf.DUMMYFUNCTION("""COMPUTED_VALUE"""),4.7)</f>
        <v>4.7</v>
      </c>
      <c r="Z1302" s="65">
        <f>IFERROR(__xludf.DUMMYFUNCTION("""COMPUTED_VALUE"""),116679.0)</f>
        <v>116679</v>
      </c>
      <c r="AA1302" s="65" t="str">
        <f>IFERROR(__xludf.DUMMYFUNCTION("""COMPUTED_VALUE"""),"AMC-2738")</f>
        <v>AMC-2738</v>
      </c>
      <c r="AB1302" s="65"/>
      <c r="AC1302" s="65" t="str">
        <f>IFERROR(__xludf.DUMMYFUNCTION("""COMPUTED_VALUE"""),"ESPONJA ANTILLUVIA DE PARABRISAS")</f>
        <v>ESPONJA ANTILLUVIA DE PARABRISAS</v>
      </c>
      <c r="AD1302" s="65"/>
      <c r="AE1302" s="65">
        <f>IFERROR(__xludf.DUMMYFUNCTION("""COMPUTED_VALUE"""),2.0)</f>
        <v>2</v>
      </c>
      <c r="AF1302" s="65"/>
      <c r="AG1302" s="65"/>
      <c r="AH1302" s="65"/>
      <c r="AI1302" s="65"/>
      <c r="AJ1302" s="65"/>
      <c r="AK1302" s="65"/>
      <c r="AL1302" s="65"/>
      <c r="AM1302" s="65"/>
      <c r="AN1302" s="65" t="str">
        <f>IFERROR(__xludf.DUMMYFUNCTION("""COMPUTED_VALUE"""),"09:27")</f>
        <v>09:27</v>
      </c>
      <c r="AO1302" s="65" t="str">
        <f>IFERROR(__xludf.DUMMYFUNCTION("""COMPUTED_VALUE"""),"07-02-2026")</f>
        <v>07-02-2026</v>
      </c>
      <c r="AP1302" s="65" t="str">
        <f>IFERROR(__xludf.DUMMYFUNCTION("""COMPUTED_VALUE"""),"EN REPARTO")</f>
        <v>EN REPARTO</v>
      </c>
      <c r="AQ1302" s="65" t="str">
        <f>IFERROR(__xludf.DUMMYFUNCTION("""COMPUTED_VALUE"""),"EN REPARTO")</f>
        <v>EN REPARTO</v>
      </c>
      <c r="AR1302" s="65"/>
      <c r="AS1302" s="65"/>
      <c r="AT1302" s="65" t="str">
        <f>IFERROR(__xludf.DUMMYFUNCTION("""COMPUTED_VALUE"""),"SHOPIFY")</f>
        <v>SHOPIFY</v>
      </c>
      <c r="AU1302" s="65" t="str">
        <f>IFERROR(__xludf.DUMMYFUNCTION("""COMPUTED_VALUE"""),"IMPORTEX EC")</f>
        <v>IMPORTEX EC</v>
      </c>
      <c r="AV1302" s="65" t="str">
        <f>IFERROR(__xludf.DUMMYFUNCTION("""COMPUTED_VALUE"""),"6456348082220")</f>
        <v>6456348082220</v>
      </c>
      <c r="AW1302" s="65">
        <f>IFERROR(__xludf.DUMMYFUNCTION("""COMPUTED_VALUE"""),5626.0)</f>
        <v>5626</v>
      </c>
      <c r="AX1302" s="65"/>
      <c r="AY1302" s="65" t="str">
        <f>IFERROR(__xludf.DUMMYFUNCTION("""COMPUTED_VALUE"""),"29/01/2026")</f>
        <v>29/01/2026</v>
      </c>
      <c r="AZ1302" s="65"/>
      <c r="BA1302" s="65"/>
    </row>
    <row r="1303">
      <c r="A1303" s="65" t="str">
        <f>IFERROR(__xludf.DUMMYFUNCTION("""COMPUTED_VALUE"""),"27-03-2026")</f>
        <v>27-03-2026</v>
      </c>
      <c r="B1303" s="65">
        <f>IFERROR(__xludf.DUMMYFUNCTION("""COMPUTED_VALUE"""),4316514.0)</f>
        <v>4316514</v>
      </c>
      <c r="C1303" s="65" t="str">
        <f>IFERROR(__xludf.DUMMYFUNCTION("""COMPUTED_VALUE"""),"06:42")</f>
        <v>06:42</v>
      </c>
      <c r="D1303" s="65" t="str">
        <f>IFERROR(__xludf.DUMMYFUNCTION("""COMPUTED_VALUE"""),"29-01-2026")</f>
        <v>29-01-2026</v>
      </c>
      <c r="E1303" s="65" t="str">
        <f>IFERROR(__xludf.DUMMYFUNCTION("""COMPUTED_VALUE"""),"Xavier Hermida")</f>
        <v>Xavier Hermida</v>
      </c>
      <c r="F1303" s="65" t="str">
        <f>IFERROR(__xludf.DUMMYFUNCTION("""COMPUTED_VALUE"""),"995888203")</f>
        <v>995888203</v>
      </c>
      <c r="G1303" s="65" t="str">
        <f>IFERROR(__xludf.DUMMYFUNCTION("""COMPUTED_VALUE"""),"xhermida@gmail.com")</f>
        <v>xhermida@gmail.com</v>
      </c>
      <c r="H1303" s="65"/>
      <c r="I1303" s="65"/>
      <c r="J1303" s="65"/>
      <c r="K1303" s="65" t="str">
        <f>IFERROR(__xludf.DUMMYFUNCTION("""COMPUTED_VALUE"""),"CANCELADO")</f>
        <v>CANCELADO</v>
      </c>
      <c r="L1303" s="65" t="str">
        <f>IFERROR(__xludf.DUMMYFUNCTION("""COMPUTED_VALUE"""),"CON RECAUDO")</f>
        <v>CON RECAUDO</v>
      </c>
      <c r="M1303" s="65" t="str">
        <f>IFERROR(__xludf.DUMMYFUNCTION("""COMPUTED_VALUE"""),"AZUAY")</f>
        <v>AZUAY</v>
      </c>
      <c r="N1303" s="65" t="str">
        <f>IFERROR(__xludf.DUMMYFUNCTION("""COMPUTED_VALUE"""),"CUENCA")</f>
        <v>CUENCA</v>
      </c>
      <c r="O1303" s="65" t="str">
        <f>IFERROR(__xludf.DUMMYFUNCTION("""COMPUTED_VALUE"""),"Ave España 1730 y Turuhuaico Aeropuerto -")</f>
        <v>Ave España 1730 y Turuhuaico Aeropuerto -</v>
      </c>
      <c r="P1303" s="65"/>
      <c r="Q1303" s="65" t="str">
        <f>IFERROR(__xludf.DUMMYFUNCTION("""COMPUTED_VALUE"""),"GINTRACOM")</f>
        <v>GINTRACOM</v>
      </c>
      <c r="R1303" s="65">
        <f>IFERROR(__xludf.DUMMYFUNCTION("""COMPUTED_VALUE"""),30.0)</f>
        <v>30</v>
      </c>
      <c r="S1303" s="65"/>
      <c r="T1303" s="65">
        <f>IFERROR(__xludf.DUMMYFUNCTION("""COMPUTED_VALUE"""),6.16)</f>
        <v>6.16</v>
      </c>
      <c r="U1303" s="65">
        <f>IFERROR(__xludf.DUMMYFUNCTION("""COMPUTED_VALUE"""),0.0)</f>
        <v>0</v>
      </c>
      <c r="V1303" s="65">
        <f>IFERROR(__xludf.DUMMYFUNCTION("""COMPUTED_VALUE"""),0.0)</f>
        <v>0</v>
      </c>
      <c r="W1303" s="65">
        <f>IFERROR(__xludf.DUMMYFUNCTION("""COMPUTED_VALUE"""),0.0)</f>
        <v>0</v>
      </c>
      <c r="X1303" s="65">
        <f>IFERROR(__xludf.DUMMYFUNCTION("""COMPUTED_VALUE"""),2.35)</f>
        <v>2.35</v>
      </c>
      <c r="Y1303" s="65">
        <f>IFERROR(__xludf.DUMMYFUNCTION("""COMPUTED_VALUE"""),7.05)</f>
        <v>7.05</v>
      </c>
      <c r="Z1303" s="65">
        <f>IFERROR(__xludf.DUMMYFUNCTION("""COMPUTED_VALUE"""),116679.0)</f>
        <v>116679</v>
      </c>
      <c r="AA1303" s="65" t="str">
        <f>IFERROR(__xludf.DUMMYFUNCTION("""COMPUTED_VALUE"""),"AMC-2738")</f>
        <v>AMC-2738</v>
      </c>
      <c r="AB1303" s="65"/>
      <c r="AC1303" s="65" t="str">
        <f>IFERROR(__xludf.DUMMYFUNCTION("""COMPUTED_VALUE"""),"ESPONJA ANTILLUVIA DE PARABRISAS")</f>
        <v>ESPONJA ANTILLUVIA DE PARABRISAS</v>
      </c>
      <c r="AD1303" s="65"/>
      <c r="AE1303" s="65">
        <f>IFERROR(__xludf.DUMMYFUNCTION("""COMPUTED_VALUE"""),3.0)</f>
        <v>3</v>
      </c>
      <c r="AF1303" s="65"/>
      <c r="AG1303" s="65"/>
      <c r="AH1303" s="65"/>
      <c r="AI1303" s="65"/>
      <c r="AJ1303" s="65"/>
      <c r="AK1303" s="65"/>
      <c r="AL1303" s="65"/>
      <c r="AM1303" s="65"/>
      <c r="AN1303" s="65"/>
      <c r="AO1303" s="65"/>
      <c r="AP1303" s="65"/>
      <c r="AQ1303" s="65"/>
      <c r="AR1303" s="65"/>
      <c r="AS1303" s="65"/>
      <c r="AT1303" s="65" t="str">
        <f>IFERROR(__xludf.DUMMYFUNCTION("""COMPUTED_VALUE"""),"SHOPIFY")</f>
        <v>SHOPIFY</v>
      </c>
      <c r="AU1303" s="65" t="str">
        <f>IFERROR(__xludf.DUMMYFUNCTION("""COMPUTED_VALUE"""),"IMPORTEX EC")</f>
        <v>IMPORTEX EC</v>
      </c>
      <c r="AV1303" s="65" t="str">
        <f>IFERROR(__xludf.DUMMYFUNCTION("""COMPUTED_VALUE"""),"6456328912940")</f>
        <v>6456328912940</v>
      </c>
      <c r="AW1303" s="65">
        <f>IFERROR(__xludf.DUMMYFUNCTION("""COMPUTED_VALUE"""),5625.0)</f>
        <v>5625</v>
      </c>
      <c r="AX1303" s="65"/>
      <c r="AY1303" s="65"/>
      <c r="AZ1303" s="65"/>
      <c r="BA1303" s="65"/>
    </row>
    <row r="1304">
      <c r="A1304" s="65" t="str">
        <f>IFERROR(__xludf.DUMMYFUNCTION("""COMPUTED_VALUE"""),"27-03-2026")</f>
        <v>27-03-2026</v>
      </c>
      <c r="B1304" s="65">
        <f>IFERROR(__xludf.DUMMYFUNCTION("""COMPUTED_VALUE"""),4316289.0)</f>
        <v>4316289</v>
      </c>
      <c r="C1304" s="65" t="str">
        <f>IFERROR(__xludf.DUMMYFUNCTION("""COMPUTED_VALUE"""),"05:56")</f>
        <v>05:56</v>
      </c>
      <c r="D1304" s="65" t="str">
        <f>IFERROR(__xludf.DUMMYFUNCTION("""COMPUTED_VALUE"""),"29-01-2026")</f>
        <v>29-01-2026</v>
      </c>
      <c r="E1304" s="65" t="str">
        <f>IFERROR(__xludf.DUMMYFUNCTION("""COMPUTED_VALUE"""),"Felix Pichucho")</f>
        <v>Felix Pichucho</v>
      </c>
      <c r="F1304" s="65" t="str">
        <f>IFERROR(__xludf.DUMMYFUNCTION("""COMPUTED_VALUE"""),"958728369")</f>
        <v>958728369</v>
      </c>
      <c r="G1304" s="65" t="str">
        <f>IFERROR(__xludf.DUMMYFUNCTION("""COMPUTED_VALUE"""),"pichuchofelix@yahoo.com")</f>
        <v>pichuchofelix@yahoo.com</v>
      </c>
      <c r="H1304" s="65"/>
      <c r="I1304" s="65"/>
      <c r="J1304" s="65"/>
      <c r="K1304" s="65" t="str">
        <f>IFERROR(__xludf.DUMMYFUNCTION("""COMPUTED_VALUE"""),"CANCELADO")</f>
        <v>CANCELADO</v>
      </c>
      <c r="L1304" s="65" t="str">
        <f>IFERROR(__xludf.DUMMYFUNCTION("""COMPUTED_VALUE"""),"CON RECAUDO")</f>
        <v>CON RECAUDO</v>
      </c>
      <c r="M1304" s="65" t="str">
        <f>IFERROR(__xludf.DUMMYFUNCTION("""COMPUTED_VALUE"""),"CHIMBORAZO")</f>
        <v>CHIMBORAZO</v>
      </c>
      <c r="N1304" s="65" t="str">
        <f>IFERROR(__xludf.DUMMYFUNCTION("""COMPUTED_VALUE"""),"RIOBAMBA")</f>
        <v>RIOBAMBA</v>
      </c>
      <c r="O1304" s="65" t="str">
        <f>IFERROR(__xludf.DUMMYFUNCTION("""COMPUTED_VALUE"""),"Eugenio Espejo y Nueva York -")</f>
        <v>Eugenio Espejo y Nueva York -</v>
      </c>
      <c r="P1304" s="65"/>
      <c r="Q1304" s="65" t="str">
        <f>IFERROR(__xludf.DUMMYFUNCTION("""COMPUTED_VALUE"""),"GINTRACOM")</f>
        <v>GINTRACOM</v>
      </c>
      <c r="R1304" s="65">
        <f>IFERROR(__xludf.DUMMYFUNCTION("""COMPUTED_VALUE"""),25.0)</f>
        <v>25</v>
      </c>
      <c r="S1304" s="65"/>
      <c r="T1304" s="65">
        <f>IFERROR(__xludf.DUMMYFUNCTION("""COMPUTED_VALUE"""),5.96)</f>
        <v>5.96</v>
      </c>
      <c r="U1304" s="65">
        <f>IFERROR(__xludf.DUMMYFUNCTION("""COMPUTED_VALUE"""),0.0)</f>
        <v>0</v>
      </c>
      <c r="V1304" s="65">
        <f>IFERROR(__xludf.DUMMYFUNCTION("""COMPUTED_VALUE"""),0.0)</f>
        <v>0</v>
      </c>
      <c r="W1304" s="65">
        <f>IFERROR(__xludf.DUMMYFUNCTION("""COMPUTED_VALUE"""),0.0)</f>
        <v>0</v>
      </c>
      <c r="X1304" s="65">
        <f>IFERROR(__xludf.DUMMYFUNCTION("""COMPUTED_VALUE"""),2.35)</f>
        <v>2.35</v>
      </c>
      <c r="Y1304" s="65">
        <f>IFERROR(__xludf.DUMMYFUNCTION("""COMPUTED_VALUE"""),4.7)</f>
        <v>4.7</v>
      </c>
      <c r="Z1304" s="65">
        <f>IFERROR(__xludf.DUMMYFUNCTION("""COMPUTED_VALUE"""),116679.0)</f>
        <v>116679</v>
      </c>
      <c r="AA1304" s="65" t="str">
        <f>IFERROR(__xludf.DUMMYFUNCTION("""COMPUTED_VALUE"""),"AMC-2738")</f>
        <v>AMC-2738</v>
      </c>
      <c r="AB1304" s="65"/>
      <c r="AC1304" s="65" t="str">
        <f>IFERROR(__xludf.DUMMYFUNCTION("""COMPUTED_VALUE"""),"ESPONJA ANTILLUVIA DE PARABRISAS")</f>
        <v>ESPONJA ANTILLUVIA DE PARABRISAS</v>
      </c>
      <c r="AD1304" s="65"/>
      <c r="AE1304" s="65">
        <f>IFERROR(__xludf.DUMMYFUNCTION("""COMPUTED_VALUE"""),2.0)</f>
        <v>2</v>
      </c>
      <c r="AF1304" s="65"/>
      <c r="AG1304" s="65"/>
      <c r="AH1304" s="65"/>
      <c r="AI1304" s="65"/>
      <c r="AJ1304" s="65"/>
      <c r="AK1304" s="65"/>
      <c r="AL1304" s="65"/>
      <c r="AM1304" s="65"/>
      <c r="AN1304" s="65"/>
      <c r="AO1304" s="65"/>
      <c r="AP1304" s="65"/>
      <c r="AQ1304" s="65"/>
      <c r="AR1304" s="65"/>
      <c r="AS1304" s="65"/>
      <c r="AT1304" s="65" t="str">
        <f>IFERROR(__xludf.DUMMYFUNCTION("""COMPUTED_VALUE"""),"SHOPIFY")</f>
        <v>SHOPIFY</v>
      </c>
      <c r="AU1304" s="65" t="str">
        <f>IFERROR(__xludf.DUMMYFUNCTION("""COMPUTED_VALUE"""),"IMPORTEX EC")</f>
        <v>IMPORTEX EC</v>
      </c>
      <c r="AV1304" s="65" t="str">
        <f>IFERROR(__xludf.DUMMYFUNCTION("""COMPUTED_VALUE"""),"6456293851180")</f>
        <v>6456293851180</v>
      </c>
      <c r="AW1304" s="65">
        <f>IFERROR(__xludf.DUMMYFUNCTION("""COMPUTED_VALUE"""),5624.0)</f>
        <v>5624</v>
      </c>
      <c r="AX1304" s="65"/>
      <c r="AY1304" s="65"/>
      <c r="AZ1304" s="65"/>
      <c r="BA1304" s="65"/>
    </row>
    <row r="1305">
      <c r="A1305" s="65" t="str">
        <f>IFERROR(__xludf.DUMMYFUNCTION("""COMPUTED_VALUE"""),"27-03-2026")</f>
        <v>27-03-2026</v>
      </c>
      <c r="B1305" s="65">
        <f>IFERROR(__xludf.DUMMYFUNCTION("""COMPUTED_VALUE"""),4315463.0)</f>
        <v>4315463</v>
      </c>
      <c r="C1305" s="65" t="str">
        <f>IFERROR(__xludf.DUMMYFUNCTION("""COMPUTED_VALUE"""),"00:00")</f>
        <v>00:00</v>
      </c>
      <c r="D1305" s="65" t="str">
        <f>IFERROR(__xludf.DUMMYFUNCTION("""COMPUTED_VALUE"""),"29-01-2026")</f>
        <v>29-01-2026</v>
      </c>
      <c r="E1305" s="65" t="str">
        <f>IFERROR(__xludf.DUMMYFUNCTION("""COMPUTED_VALUE"""),"Peter Vargas")</f>
        <v>Peter Vargas</v>
      </c>
      <c r="F1305" s="65" t="str">
        <f>IFERROR(__xludf.DUMMYFUNCTION("""COMPUTED_VALUE"""),"999614677")</f>
        <v>999614677</v>
      </c>
      <c r="G1305" s="65" t="str">
        <f>IFERROR(__xludf.DUMMYFUNCTION("""COMPUTED_VALUE"""),"importsparts@live.com")</f>
        <v>importsparts@live.com</v>
      </c>
      <c r="H1305" s="65"/>
      <c r="I1305" s="65"/>
      <c r="J1305" s="65"/>
      <c r="K1305" s="65" t="str">
        <f>IFERROR(__xludf.DUMMYFUNCTION("""COMPUTED_VALUE"""),"CANCELADO")</f>
        <v>CANCELADO</v>
      </c>
      <c r="L1305" s="65" t="str">
        <f>IFERROR(__xludf.DUMMYFUNCTION("""COMPUTED_VALUE"""),"CON RECAUDO")</f>
        <v>CON RECAUDO</v>
      </c>
      <c r="M1305" s="65" t="str">
        <f>IFERROR(__xludf.DUMMYFUNCTION("""COMPUTED_VALUE"""),"GUAYAS")</f>
        <v>GUAYAS</v>
      </c>
      <c r="N1305" s="65" t="str">
        <f>IFERROR(__xludf.DUMMYFUNCTION("""COMPUTED_VALUE"""),"GUAYAQUIL")</f>
        <v>GUAYAQUIL</v>
      </c>
      <c r="O1305" s="65" t="str">
        <f>IFERROR(__xludf.DUMMYFUNCTION("""COMPUTED_VALUE"""),"Bálsamos #118 Calle unica -")</f>
        <v>Bálsamos #118 Calle unica -</v>
      </c>
      <c r="P1305" s="65"/>
      <c r="Q1305" s="65" t="str">
        <f>IFERROR(__xludf.DUMMYFUNCTION("""COMPUTED_VALUE"""),"GINTRACOM")</f>
        <v>GINTRACOM</v>
      </c>
      <c r="R1305" s="65">
        <f>IFERROR(__xludf.DUMMYFUNCTION("""COMPUTED_VALUE"""),25.0)</f>
        <v>25</v>
      </c>
      <c r="S1305" s="65"/>
      <c r="T1305" s="65">
        <f>IFERROR(__xludf.DUMMYFUNCTION("""COMPUTED_VALUE"""),5.96)</f>
        <v>5.96</v>
      </c>
      <c r="U1305" s="65">
        <f>IFERROR(__xludf.DUMMYFUNCTION("""COMPUTED_VALUE"""),0.0)</f>
        <v>0</v>
      </c>
      <c r="V1305" s="65">
        <f>IFERROR(__xludf.DUMMYFUNCTION("""COMPUTED_VALUE"""),0.0)</f>
        <v>0</v>
      </c>
      <c r="W1305" s="65">
        <f>IFERROR(__xludf.DUMMYFUNCTION("""COMPUTED_VALUE"""),0.0)</f>
        <v>0</v>
      </c>
      <c r="X1305" s="65">
        <f>IFERROR(__xludf.DUMMYFUNCTION("""COMPUTED_VALUE"""),2.35)</f>
        <v>2.35</v>
      </c>
      <c r="Y1305" s="65">
        <f>IFERROR(__xludf.DUMMYFUNCTION("""COMPUTED_VALUE"""),4.7)</f>
        <v>4.7</v>
      </c>
      <c r="Z1305" s="65">
        <f>IFERROR(__xludf.DUMMYFUNCTION("""COMPUTED_VALUE"""),116679.0)</f>
        <v>116679</v>
      </c>
      <c r="AA1305" s="65" t="str">
        <f>IFERROR(__xludf.DUMMYFUNCTION("""COMPUTED_VALUE"""),"AMC-2738")</f>
        <v>AMC-2738</v>
      </c>
      <c r="AB1305" s="65"/>
      <c r="AC1305" s="65" t="str">
        <f>IFERROR(__xludf.DUMMYFUNCTION("""COMPUTED_VALUE"""),"ESPONJA ANTILLUVIA DE PARABRISAS")</f>
        <v>ESPONJA ANTILLUVIA DE PARABRISAS</v>
      </c>
      <c r="AD1305" s="65"/>
      <c r="AE1305" s="65">
        <f>IFERROR(__xludf.DUMMYFUNCTION("""COMPUTED_VALUE"""),2.0)</f>
        <v>2</v>
      </c>
      <c r="AF1305" s="65"/>
      <c r="AG1305" s="65"/>
      <c r="AH1305" s="65"/>
      <c r="AI1305" s="65"/>
      <c r="AJ1305" s="65"/>
      <c r="AK1305" s="65"/>
      <c r="AL1305" s="65"/>
      <c r="AM1305" s="65"/>
      <c r="AN1305" s="65"/>
      <c r="AO1305" s="65"/>
      <c r="AP1305" s="65"/>
      <c r="AQ1305" s="65"/>
      <c r="AR1305" s="65"/>
      <c r="AS1305" s="65"/>
      <c r="AT1305" s="65" t="str">
        <f>IFERROR(__xludf.DUMMYFUNCTION("""COMPUTED_VALUE"""),"SHOPIFY")</f>
        <v>SHOPIFY</v>
      </c>
      <c r="AU1305" s="65" t="str">
        <f>IFERROR(__xludf.DUMMYFUNCTION("""COMPUTED_VALUE"""),"IMPORTEX EC")</f>
        <v>IMPORTEX EC</v>
      </c>
      <c r="AV1305" s="65" t="str">
        <f>IFERROR(__xludf.DUMMYFUNCTION("""COMPUTED_VALUE"""),"6455888642092")</f>
        <v>6455888642092</v>
      </c>
      <c r="AW1305" s="65">
        <f>IFERROR(__xludf.DUMMYFUNCTION("""COMPUTED_VALUE"""),5621.0)</f>
        <v>5621</v>
      </c>
      <c r="AX1305" s="65"/>
      <c r="AY1305" s="65"/>
      <c r="AZ1305" s="65"/>
      <c r="BA1305" s="65"/>
    </row>
    <row r="1306">
      <c r="A1306" s="65" t="str">
        <f>IFERROR(__xludf.DUMMYFUNCTION("""COMPUTED_VALUE"""),"27-03-2026")</f>
        <v>27-03-2026</v>
      </c>
      <c r="B1306" s="65">
        <f>IFERROR(__xludf.DUMMYFUNCTION("""COMPUTED_VALUE"""),4314959.0)</f>
        <v>4314959</v>
      </c>
      <c r="C1306" s="65" t="str">
        <f>IFERROR(__xludf.DUMMYFUNCTION("""COMPUTED_VALUE"""),"23:03")</f>
        <v>23:03</v>
      </c>
      <c r="D1306" s="65" t="str">
        <f>IFERROR(__xludf.DUMMYFUNCTION("""COMPUTED_VALUE"""),"28-01-2026")</f>
        <v>28-01-2026</v>
      </c>
      <c r="E1306" s="65" t="str">
        <f>IFERROR(__xludf.DUMMYFUNCTION("""COMPUTED_VALUE"""),"Johanna Balcazar Sanchez")</f>
        <v>Johanna Balcazar Sanchez</v>
      </c>
      <c r="F1306" s="65" t="str">
        <f>IFERROR(__xludf.DUMMYFUNCTION("""COMPUTED_VALUE"""),"987350811")</f>
        <v>987350811</v>
      </c>
      <c r="G1306" s="65" t="str">
        <f>IFERROR(__xludf.DUMMYFUNCTION("""COMPUTED_VALUE"""),"jbalcazarsanchez@yahoo.com")</f>
        <v>jbalcazarsanchez@yahoo.com</v>
      </c>
      <c r="H1306" s="65"/>
      <c r="I1306" s="65"/>
      <c r="J1306" s="65"/>
      <c r="K1306" s="65" t="str">
        <f>IFERROR(__xludf.DUMMYFUNCTION("""COMPUTED_VALUE"""),"CANCELADO")</f>
        <v>CANCELADO</v>
      </c>
      <c r="L1306" s="65" t="str">
        <f>IFERROR(__xludf.DUMMYFUNCTION("""COMPUTED_VALUE"""),"CON RECAUDO")</f>
        <v>CON RECAUDO</v>
      </c>
      <c r="M1306" s="65" t="str">
        <f>IFERROR(__xludf.DUMMYFUNCTION("""COMPUTED_VALUE"""),"EL ORO")</f>
        <v>EL ORO</v>
      </c>
      <c r="N1306" s="65" t="str">
        <f>IFERROR(__xludf.DUMMYFUNCTION("""COMPUTED_VALUE"""),"MARCABELI")</f>
        <v>MARCABELI</v>
      </c>
      <c r="O1306" s="65" t="str">
        <f>IFERROR(__xludf.DUMMYFUNCTION("""COMPUTED_VALUE"""),"Manuel U gallardo  y 30 de septiembre Frigorífico DIVINO NIÑO -")</f>
        <v>Manuel U gallardo  y 30 de septiembre Frigorífico DIVINO NIÑO -</v>
      </c>
      <c r="P1306" s="65"/>
      <c r="Q1306" s="65" t="str">
        <f>IFERROR(__xludf.DUMMYFUNCTION("""COMPUTED_VALUE"""),"SERVIENTREGA")</f>
        <v>SERVIENTREGA</v>
      </c>
      <c r="R1306" s="65">
        <f>IFERROR(__xludf.DUMMYFUNCTION("""COMPUTED_VALUE"""),25.0)</f>
        <v>25</v>
      </c>
      <c r="S1306" s="65"/>
      <c r="T1306" s="65">
        <f>IFERROR(__xludf.DUMMYFUNCTION("""COMPUTED_VALUE"""),7.75)</f>
        <v>7.75</v>
      </c>
      <c r="U1306" s="65">
        <f>IFERROR(__xludf.DUMMYFUNCTION("""COMPUTED_VALUE"""),0.0)</f>
        <v>0</v>
      </c>
      <c r="V1306" s="65">
        <f>IFERROR(__xludf.DUMMYFUNCTION("""COMPUTED_VALUE"""),0.0)</f>
        <v>0</v>
      </c>
      <c r="W1306" s="65">
        <f>IFERROR(__xludf.DUMMYFUNCTION("""COMPUTED_VALUE"""),0.0)</f>
        <v>0</v>
      </c>
      <c r="X1306" s="65">
        <f>IFERROR(__xludf.DUMMYFUNCTION("""COMPUTED_VALUE"""),2.35)</f>
        <v>2.35</v>
      </c>
      <c r="Y1306" s="65">
        <f>IFERROR(__xludf.DUMMYFUNCTION("""COMPUTED_VALUE"""),4.7)</f>
        <v>4.7</v>
      </c>
      <c r="Z1306" s="65">
        <f>IFERROR(__xludf.DUMMYFUNCTION("""COMPUTED_VALUE"""),116679.0)</f>
        <v>116679</v>
      </c>
      <c r="AA1306" s="65" t="str">
        <f>IFERROR(__xludf.DUMMYFUNCTION("""COMPUTED_VALUE"""),"AMC-2738")</f>
        <v>AMC-2738</v>
      </c>
      <c r="AB1306" s="65"/>
      <c r="AC1306" s="65" t="str">
        <f>IFERROR(__xludf.DUMMYFUNCTION("""COMPUTED_VALUE"""),"ESPONJA ANTILLUVIA DE PARABRISAS")</f>
        <v>ESPONJA ANTILLUVIA DE PARABRISAS</v>
      </c>
      <c r="AD1306" s="65"/>
      <c r="AE1306" s="65">
        <f>IFERROR(__xludf.DUMMYFUNCTION("""COMPUTED_VALUE"""),2.0)</f>
        <v>2</v>
      </c>
      <c r="AF1306" s="65"/>
      <c r="AG1306" s="65"/>
      <c r="AH1306" s="65"/>
      <c r="AI1306" s="65"/>
      <c r="AJ1306" s="65"/>
      <c r="AK1306" s="65"/>
      <c r="AL1306" s="65"/>
      <c r="AM1306" s="65"/>
      <c r="AN1306" s="65"/>
      <c r="AO1306" s="65"/>
      <c r="AP1306" s="65"/>
      <c r="AQ1306" s="65"/>
      <c r="AR1306" s="65"/>
      <c r="AS1306" s="65"/>
      <c r="AT1306" s="65" t="str">
        <f>IFERROR(__xludf.DUMMYFUNCTION("""COMPUTED_VALUE"""),"SHOPIFY")</f>
        <v>SHOPIFY</v>
      </c>
      <c r="AU1306" s="65" t="str">
        <f>IFERROR(__xludf.DUMMYFUNCTION("""COMPUTED_VALUE"""),"IMPORTEX EC")</f>
        <v>IMPORTEX EC</v>
      </c>
      <c r="AV1306" s="65" t="str">
        <f>IFERROR(__xludf.DUMMYFUNCTION("""COMPUTED_VALUE"""),"6455778902060")</f>
        <v>6455778902060</v>
      </c>
      <c r="AW1306" s="65">
        <f>IFERROR(__xludf.DUMMYFUNCTION("""COMPUTED_VALUE"""),5620.0)</f>
        <v>5620</v>
      </c>
      <c r="AX1306" s="65"/>
      <c r="AY1306" s="65"/>
      <c r="AZ1306" s="65"/>
      <c r="BA1306" s="65"/>
    </row>
    <row r="1307">
      <c r="A1307" s="65" t="str">
        <f>IFERROR(__xludf.DUMMYFUNCTION("""COMPUTED_VALUE"""),"27-03-2026")</f>
        <v>27-03-2026</v>
      </c>
      <c r="B1307" s="65">
        <f>IFERROR(__xludf.DUMMYFUNCTION("""COMPUTED_VALUE"""),4314721.0)</f>
        <v>4314721</v>
      </c>
      <c r="C1307" s="65" t="str">
        <f>IFERROR(__xludf.DUMMYFUNCTION("""COMPUTED_VALUE"""),"22:41")</f>
        <v>22:41</v>
      </c>
      <c r="D1307" s="65" t="str">
        <f>IFERROR(__xludf.DUMMYFUNCTION("""COMPUTED_VALUE"""),"28-01-2026")</f>
        <v>28-01-2026</v>
      </c>
      <c r="E1307" s="65" t="str">
        <f>IFERROR(__xludf.DUMMYFUNCTION("""COMPUTED_VALUE"""),"Stalin Bolivar Rios")</f>
        <v>Stalin Bolivar Rios</v>
      </c>
      <c r="F1307" s="65" t="str">
        <f>IFERROR(__xludf.DUMMYFUNCTION("""COMPUTED_VALUE"""),"967777246")</f>
        <v>967777246</v>
      </c>
      <c r="G1307" s="65" t="str">
        <f>IFERROR(__xludf.DUMMYFUNCTION("""COMPUTED_VALUE"""),"sbra22@hotmail.com")</f>
        <v>sbra22@hotmail.com</v>
      </c>
      <c r="H1307" s="65"/>
      <c r="I1307" s="65"/>
      <c r="J1307" s="65"/>
      <c r="K1307" s="65" t="str">
        <f>IFERROR(__xludf.DUMMYFUNCTION("""COMPUTED_VALUE"""),"CANCELADO")</f>
        <v>CANCELADO</v>
      </c>
      <c r="L1307" s="65" t="str">
        <f>IFERROR(__xludf.DUMMYFUNCTION("""COMPUTED_VALUE"""),"CON RECAUDO")</f>
        <v>CON RECAUDO</v>
      </c>
      <c r="M1307" s="65" t="str">
        <f>IFERROR(__xludf.DUMMYFUNCTION("""COMPUTED_VALUE"""),"LOJA")</f>
        <v>LOJA</v>
      </c>
      <c r="N1307" s="65" t="str">
        <f>IFERROR(__xludf.DUMMYFUNCTION("""COMPUTED_VALUE"""),"LOJA")</f>
        <v>LOJA</v>
      </c>
      <c r="O1307" s="65" t="str">
        <f>IFERROR(__xludf.DUMMYFUNCTION("""COMPUTED_VALUE"""),"De Noviembre Celica Y Gonzanama 18 Los molinos ( suco's encebollados) -")</f>
        <v>De Noviembre Celica Y Gonzanama 18 Los molinos ( suco's encebollados) -</v>
      </c>
      <c r="P1307" s="65"/>
      <c r="Q1307" s="65" t="str">
        <f>IFERROR(__xludf.DUMMYFUNCTION("""COMPUTED_VALUE"""),"GINTRACOM")</f>
        <v>GINTRACOM</v>
      </c>
      <c r="R1307" s="65">
        <f>IFERROR(__xludf.DUMMYFUNCTION("""COMPUTED_VALUE"""),30.0)</f>
        <v>30</v>
      </c>
      <c r="S1307" s="65"/>
      <c r="T1307" s="65">
        <f>IFERROR(__xludf.DUMMYFUNCTION("""COMPUTED_VALUE"""),6.16)</f>
        <v>6.16</v>
      </c>
      <c r="U1307" s="65">
        <f>IFERROR(__xludf.DUMMYFUNCTION("""COMPUTED_VALUE"""),0.0)</f>
        <v>0</v>
      </c>
      <c r="V1307" s="65">
        <f>IFERROR(__xludf.DUMMYFUNCTION("""COMPUTED_VALUE"""),0.0)</f>
        <v>0</v>
      </c>
      <c r="W1307" s="65">
        <f>IFERROR(__xludf.DUMMYFUNCTION("""COMPUTED_VALUE"""),0.0)</f>
        <v>0</v>
      </c>
      <c r="X1307" s="65">
        <f>IFERROR(__xludf.DUMMYFUNCTION("""COMPUTED_VALUE"""),2.35)</f>
        <v>2.35</v>
      </c>
      <c r="Y1307" s="65">
        <f>IFERROR(__xludf.DUMMYFUNCTION("""COMPUTED_VALUE"""),7.05)</f>
        <v>7.05</v>
      </c>
      <c r="Z1307" s="65">
        <f>IFERROR(__xludf.DUMMYFUNCTION("""COMPUTED_VALUE"""),116679.0)</f>
        <v>116679</v>
      </c>
      <c r="AA1307" s="65" t="str">
        <f>IFERROR(__xludf.DUMMYFUNCTION("""COMPUTED_VALUE"""),"AMC-2738")</f>
        <v>AMC-2738</v>
      </c>
      <c r="AB1307" s="65"/>
      <c r="AC1307" s="65" t="str">
        <f>IFERROR(__xludf.DUMMYFUNCTION("""COMPUTED_VALUE"""),"ESPONJA ANTILLUVIA DE PARABRISAS")</f>
        <v>ESPONJA ANTILLUVIA DE PARABRISAS</v>
      </c>
      <c r="AD1307" s="65"/>
      <c r="AE1307" s="65">
        <f>IFERROR(__xludf.DUMMYFUNCTION("""COMPUTED_VALUE"""),3.0)</f>
        <v>3</v>
      </c>
      <c r="AF1307" s="65"/>
      <c r="AG1307" s="65"/>
      <c r="AH1307" s="65"/>
      <c r="AI1307" s="65"/>
      <c r="AJ1307" s="65"/>
      <c r="AK1307" s="65"/>
      <c r="AL1307" s="65"/>
      <c r="AM1307" s="65"/>
      <c r="AN1307" s="65"/>
      <c r="AO1307" s="65"/>
      <c r="AP1307" s="65"/>
      <c r="AQ1307" s="65"/>
      <c r="AR1307" s="65"/>
      <c r="AS1307" s="65"/>
      <c r="AT1307" s="65" t="str">
        <f>IFERROR(__xludf.DUMMYFUNCTION("""COMPUTED_VALUE"""),"SHOPIFY")</f>
        <v>SHOPIFY</v>
      </c>
      <c r="AU1307" s="65" t="str">
        <f>IFERROR(__xludf.DUMMYFUNCTION("""COMPUTED_VALUE"""),"IMPORTEX EC")</f>
        <v>IMPORTEX EC</v>
      </c>
      <c r="AV1307" s="65" t="str">
        <f>IFERROR(__xludf.DUMMYFUNCTION("""COMPUTED_VALUE"""),"6455733452844")</f>
        <v>6455733452844</v>
      </c>
      <c r="AW1307" s="65">
        <f>IFERROR(__xludf.DUMMYFUNCTION("""COMPUTED_VALUE"""),5619.0)</f>
        <v>5619</v>
      </c>
      <c r="AX1307" s="65"/>
      <c r="AY1307" s="65"/>
      <c r="AZ1307" s="65"/>
      <c r="BA1307" s="65"/>
    </row>
    <row r="1308">
      <c r="A1308" s="65" t="str">
        <f>IFERROR(__xludf.DUMMYFUNCTION("""COMPUTED_VALUE"""),"27-03-2026")</f>
        <v>27-03-2026</v>
      </c>
      <c r="B1308" s="65">
        <f>IFERROR(__xludf.DUMMYFUNCTION("""COMPUTED_VALUE"""),4314370.0)</f>
        <v>4314370</v>
      </c>
      <c r="C1308" s="65" t="str">
        <f>IFERROR(__xludf.DUMMYFUNCTION("""COMPUTED_VALUE"""),"22:13")</f>
        <v>22:13</v>
      </c>
      <c r="D1308" s="65" t="str">
        <f>IFERROR(__xludf.DUMMYFUNCTION("""COMPUTED_VALUE"""),"28-01-2026")</f>
        <v>28-01-2026</v>
      </c>
      <c r="E1308" s="65" t="str">
        <f>IFERROR(__xludf.DUMMYFUNCTION("""COMPUTED_VALUE"""),"Fernando Miño")</f>
        <v>Fernando Miño</v>
      </c>
      <c r="F1308" s="65" t="str">
        <f>IFERROR(__xludf.DUMMYFUNCTION("""COMPUTED_VALUE"""),"991980142")</f>
        <v>991980142</v>
      </c>
      <c r="G1308" s="65" t="str">
        <f>IFERROR(__xludf.DUMMYFUNCTION("""COMPUTED_VALUE"""),"fermino_1005@hotmail.com")</f>
        <v>fermino_1005@hotmail.com</v>
      </c>
      <c r="H1308" s="65"/>
      <c r="I1308" s="65"/>
      <c r="J1308" s="65"/>
      <c r="K1308" s="65" t="str">
        <f>IFERROR(__xludf.DUMMYFUNCTION("""COMPUTED_VALUE"""),"PENDIENTE CONFIRMACION")</f>
        <v>PENDIENTE CONFIRMACION</v>
      </c>
      <c r="L1308" s="65" t="str">
        <f>IFERROR(__xludf.DUMMYFUNCTION("""COMPUTED_VALUE"""),"CON RECAUDO")</f>
        <v>CON RECAUDO</v>
      </c>
      <c r="M1308" s="65" t="str">
        <f>IFERROR(__xludf.DUMMYFUNCTION("""COMPUTED_VALUE"""),"PICHINCHA")</f>
        <v>PICHINCHA</v>
      </c>
      <c r="N1308" s="65" t="str">
        <f>IFERROR(__xludf.DUMMYFUNCTION("""COMPUTED_VALUE"""),"QUITO")</f>
        <v>QUITO</v>
      </c>
      <c r="O1308" s="65" t="str">
        <f>IFERROR(__xludf.DUMMYFUNCTION("""COMPUTED_VALUE"""),"Calle portoviejo y pasaje isabela Tumbaco -")</f>
        <v>Calle portoviejo y pasaje isabela Tumbaco -</v>
      </c>
      <c r="P1308" s="65"/>
      <c r="Q1308" s="65" t="str">
        <f>IFERROR(__xludf.DUMMYFUNCTION("""COMPUTED_VALUE"""),"GINTRACOM")</f>
        <v>GINTRACOM</v>
      </c>
      <c r="R1308" s="65">
        <f>IFERROR(__xludf.DUMMYFUNCTION("""COMPUTED_VALUE"""),30.0)</f>
        <v>30</v>
      </c>
      <c r="S1308" s="65"/>
      <c r="T1308" s="65">
        <f>IFERROR(__xludf.DUMMYFUNCTION("""COMPUTED_VALUE"""),4.55)</f>
        <v>4.55</v>
      </c>
      <c r="U1308" s="65">
        <f>IFERROR(__xludf.DUMMYFUNCTION("""COMPUTED_VALUE"""),0.0)</f>
        <v>0</v>
      </c>
      <c r="V1308" s="65">
        <f>IFERROR(__xludf.DUMMYFUNCTION("""COMPUTED_VALUE"""),0.0)</f>
        <v>0</v>
      </c>
      <c r="W1308" s="65">
        <f>IFERROR(__xludf.DUMMYFUNCTION("""COMPUTED_VALUE"""),0.0)</f>
        <v>0</v>
      </c>
      <c r="X1308" s="65">
        <f>IFERROR(__xludf.DUMMYFUNCTION("""COMPUTED_VALUE"""),2.35)</f>
        <v>2.35</v>
      </c>
      <c r="Y1308" s="65">
        <f>IFERROR(__xludf.DUMMYFUNCTION("""COMPUTED_VALUE"""),7.05)</f>
        <v>7.05</v>
      </c>
      <c r="Z1308" s="65">
        <f>IFERROR(__xludf.DUMMYFUNCTION("""COMPUTED_VALUE"""),116679.0)</f>
        <v>116679</v>
      </c>
      <c r="AA1308" s="65" t="str">
        <f>IFERROR(__xludf.DUMMYFUNCTION("""COMPUTED_VALUE"""),"AMC-2738")</f>
        <v>AMC-2738</v>
      </c>
      <c r="AB1308" s="65"/>
      <c r="AC1308" s="65" t="str">
        <f>IFERROR(__xludf.DUMMYFUNCTION("""COMPUTED_VALUE"""),"ESPONJA ANTILLUVIA DE PARABRISAS")</f>
        <v>ESPONJA ANTILLUVIA DE PARABRISAS</v>
      </c>
      <c r="AD1308" s="65"/>
      <c r="AE1308" s="65">
        <f>IFERROR(__xludf.DUMMYFUNCTION("""COMPUTED_VALUE"""),3.0)</f>
        <v>3</v>
      </c>
      <c r="AF1308" s="65"/>
      <c r="AG1308" s="65"/>
      <c r="AH1308" s="65"/>
      <c r="AI1308" s="65"/>
      <c r="AJ1308" s="65"/>
      <c r="AK1308" s="65"/>
      <c r="AL1308" s="65"/>
      <c r="AM1308" s="65"/>
      <c r="AN1308" s="65"/>
      <c r="AO1308" s="65"/>
      <c r="AP1308" s="65"/>
      <c r="AQ1308" s="65"/>
      <c r="AR1308" s="65"/>
      <c r="AS1308" s="65"/>
      <c r="AT1308" s="65" t="str">
        <f>IFERROR(__xludf.DUMMYFUNCTION("""COMPUTED_VALUE"""),"SHOPIFY")</f>
        <v>SHOPIFY</v>
      </c>
      <c r="AU1308" s="65" t="str">
        <f>IFERROR(__xludf.DUMMYFUNCTION("""COMPUTED_VALUE"""),"IMPORTEX EC")</f>
        <v>IMPORTEX EC</v>
      </c>
      <c r="AV1308" s="65" t="str">
        <f>IFERROR(__xludf.DUMMYFUNCTION("""COMPUTED_VALUE"""),"6455668801580")</f>
        <v>6455668801580</v>
      </c>
      <c r="AW1308" s="65">
        <f>IFERROR(__xludf.DUMMYFUNCTION("""COMPUTED_VALUE"""),5618.0)</f>
        <v>5618</v>
      </c>
      <c r="AX1308" s="65"/>
      <c r="AY1308" s="65"/>
      <c r="AZ1308" s="65"/>
      <c r="BA1308" s="65"/>
    </row>
    <row r="1309">
      <c r="A1309" s="65" t="str">
        <f>IFERROR(__xludf.DUMMYFUNCTION("""COMPUTED_VALUE"""),"27-03-2026")</f>
        <v>27-03-2026</v>
      </c>
      <c r="B1309" s="65">
        <f>IFERROR(__xludf.DUMMYFUNCTION("""COMPUTED_VALUE"""),4313316.0)</f>
        <v>4313316</v>
      </c>
      <c r="C1309" s="65" t="str">
        <f>IFERROR(__xludf.DUMMYFUNCTION("""COMPUTED_VALUE"""),"20:37")</f>
        <v>20:37</v>
      </c>
      <c r="D1309" s="65" t="str">
        <f>IFERROR(__xludf.DUMMYFUNCTION("""COMPUTED_VALUE"""),"28-01-2026")</f>
        <v>28-01-2026</v>
      </c>
      <c r="E1309" s="65" t="str">
        <f>IFERROR(__xludf.DUMMYFUNCTION("""COMPUTED_VALUE"""),"Francisco Ponton Pontón")</f>
        <v>Francisco Ponton Pontón</v>
      </c>
      <c r="F1309" s="65" t="str">
        <f>IFERROR(__xludf.DUMMYFUNCTION("""COMPUTED_VALUE"""),"988893391")</f>
        <v>988893391</v>
      </c>
      <c r="G1309" s="65" t="str">
        <f>IFERROR(__xludf.DUMMYFUNCTION("""COMPUTED_VALUE"""),"franponlon@hotmail.com")</f>
        <v>franponlon@hotmail.com</v>
      </c>
      <c r="H1309" s="65"/>
      <c r="I1309" s="65"/>
      <c r="J1309" s="65"/>
      <c r="K1309" s="65" t="str">
        <f>IFERROR(__xludf.DUMMYFUNCTION("""COMPUTED_VALUE"""),"PENDIENTE CONFIRMACION")</f>
        <v>PENDIENTE CONFIRMACION</v>
      </c>
      <c r="L1309" s="65" t="str">
        <f>IFERROR(__xludf.DUMMYFUNCTION("""COMPUTED_VALUE"""),"CON RECAUDO")</f>
        <v>CON RECAUDO</v>
      </c>
      <c r="M1309" s="65" t="str">
        <f>IFERROR(__xludf.DUMMYFUNCTION("""COMPUTED_VALUE"""),"SANTA ELENA")</f>
        <v>SANTA ELENA</v>
      </c>
      <c r="N1309" s="65" t="str">
        <f>IFERROR(__xludf.DUMMYFUNCTION("""COMPUTED_VALUE"""),"SANTA ELENA")</f>
        <v>SANTA ELENA</v>
      </c>
      <c r="O1309" s="65" t="str">
        <f>IFERROR(__xludf.DUMMYFUNCTION("""COMPUTED_VALUE"""),"-santa Elena. via Ancón los girasoles y -")</f>
        <v>-santa Elena. via Ancón los girasoles y -</v>
      </c>
      <c r="P1309" s="65"/>
      <c r="Q1309" s="65" t="str">
        <f>IFERROR(__xludf.DUMMYFUNCTION("""COMPUTED_VALUE"""),"GINTRACOM")</f>
        <v>GINTRACOM</v>
      </c>
      <c r="R1309" s="65">
        <f>IFERROR(__xludf.DUMMYFUNCTION("""COMPUTED_VALUE"""),20.0)</f>
        <v>20</v>
      </c>
      <c r="S1309" s="65"/>
      <c r="T1309" s="65">
        <f>IFERROR(__xludf.DUMMYFUNCTION("""COMPUTED_VALUE"""),5.76)</f>
        <v>5.76</v>
      </c>
      <c r="U1309" s="65">
        <f>IFERROR(__xludf.DUMMYFUNCTION("""COMPUTED_VALUE"""),0.0)</f>
        <v>0</v>
      </c>
      <c r="V1309" s="65">
        <f>IFERROR(__xludf.DUMMYFUNCTION("""COMPUTED_VALUE"""),0.0)</f>
        <v>0</v>
      </c>
      <c r="W1309" s="65">
        <f>IFERROR(__xludf.DUMMYFUNCTION("""COMPUTED_VALUE"""),0.0)</f>
        <v>0</v>
      </c>
      <c r="X1309" s="65">
        <f>IFERROR(__xludf.DUMMYFUNCTION("""COMPUTED_VALUE"""),2.35)</f>
        <v>2.35</v>
      </c>
      <c r="Y1309" s="65">
        <f>IFERROR(__xludf.DUMMYFUNCTION("""COMPUTED_VALUE"""),2.35)</f>
        <v>2.35</v>
      </c>
      <c r="Z1309" s="65">
        <f>IFERROR(__xludf.DUMMYFUNCTION("""COMPUTED_VALUE"""),116679.0)</f>
        <v>116679</v>
      </c>
      <c r="AA1309" s="65" t="str">
        <f>IFERROR(__xludf.DUMMYFUNCTION("""COMPUTED_VALUE"""),"AMC-2738")</f>
        <v>AMC-2738</v>
      </c>
      <c r="AB1309" s="65"/>
      <c r="AC1309" s="65" t="str">
        <f>IFERROR(__xludf.DUMMYFUNCTION("""COMPUTED_VALUE"""),"ESPONJA ANTILLUVIA DE PARABRISAS")</f>
        <v>ESPONJA ANTILLUVIA DE PARABRISAS</v>
      </c>
      <c r="AD1309" s="65"/>
      <c r="AE1309" s="65">
        <f>IFERROR(__xludf.DUMMYFUNCTION("""COMPUTED_VALUE"""),1.0)</f>
        <v>1</v>
      </c>
      <c r="AF1309" s="65"/>
      <c r="AG1309" s="65"/>
      <c r="AH1309" s="65"/>
      <c r="AI1309" s="65"/>
      <c r="AJ1309" s="65"/>
      <c r="AK1309" s="65"/>
      <c r="AL1309" s="65"/>
      <c r="AM1309" s="65"/>
      <c r="AN1309" s="65"/>
      <c r="AO1309" s="65"/>
      <c r="AP1309" s="65"/>
      <c r="AQ1309" s="65"/>
      <c r="AR1309" s="65"/>
      <c r="AS1309" s="65"/>
      <c r="AT1309" s="65" t="str">
        <f>IFERROR(__xludf.DUMMYFUNCTION("""COMPUTED_VALUE"""),"SHOPIFY")</f>
        <v>SHOPIFY</v>
      </c>
      <c r="AU1309" s="65" t="str">
        <f>IFERROR(__xludf.DUMMYFUNCTION("""COMPUTED_VALUE"""),"IMPORTEX EC")</f>
        <v>IMPORTEX EC</v>
      </c>
      <c r="AV1309" s="65" t="str">
        <f>IFERROR(__xludf.DUMMYFUNCTION("""COMPUTED_VALUE"""),"6455426580524")</f>
        <v>6455426580524</v>
      </c>
      <c r="AW1309" s="65">
        <f>IFERROR(__xludf.DUMMYFUNCTION("""COMPUTED_VALUE"""),5616.0)</f>
        <v>5616</v>
      </c>
      <c r="AX1309" s="65"/>
      <c r="AY1309" s="65"/>
      <c r="AZ1309" s="65"/>
      <c r="BA1309" s="65"/>
    </row>
    <row r="1310">
      <c r="A1310" s="65" t="str">
        <f>IFERROR(__xludf.DUMMYFUNCTION("""COMPUTED_VALUE"""),"27-03-2026")</f>
        <v>27-03-2026</v>
      </c>
      <c r="B1310" s="65">
        <f>IFERROR(__xludf.DUMMYFUNCTION("""COMPUTED_VALUE"""),4313157.0)</f>
        <v>4313157</v>
      </c>
      <c r="C1310" s="65" t="str">
        <f>IFERROR(__xludf.DUMMYFUNCTION("""COMPUTED_VALUE"""),"20:20")</f>
        <v>20:20</v>
      </c>
      <c r="D1310" s="65" t="str">
        <f>IFERROR(__xludf.DUMMYFUNCTION("""COMPUTED_VALUE"""),"28-01-2026")</f>
        <v>28-01-2026</v>
      </c>
      <c r="E1310" s="65" t="str">
        <f>IFERROR(__xludf.DUMMYFUNCTION("""COMPUTED_VALUE"""),"Juan Diego Palacios Ordóñez")</f>
        <v>Juan Diego Palacios Ordóñez</v>
      </c>
      <c r="F1310" s="65" t="str">
        <f>IFERROR(__xludf.DUMMYFUNCTION("""COMPUTED_VALUE"""),"992720088")</f>
        <v>992720088</v>
      </c>
      <c r="G1310" s="65" t="str">
        <f>IFERROR(__xludf.DUMMYFUNCTION("""COMPUTED_VALUE"""),"juandiegopalacios@hotmail.com")</f>
        <v>juandiegopalacios@hotmail.com</v>
      </c>
      <c r="H1310" s="65"/>
      <c r="I1310" s="65"/>
      <c r="J1310" s="65"/>
      <c r="K1310" s="65" t="str">
        <f>IFERROR(__xludf.DUMMYFUNCTION("""COMPUTED_VALUE"""),"CANCELADO")</f>
        <v>CANCELADO</v>
      </c>
      <c r="L1310" s="65" t="str">
        <f>IFERROR(__xludf.DUMMYFUNCTION("""COMPUTED_VALUE"""),"CON RECAUDO")</f>
        <v>CON RECAUDO</v>
      </c>
      <c r="M1310" s="65" t="str">
        <f>IFERROR(__xludf.DUMMYFUNCTION("""COMPUTED_VALUE"""),"PICHINCHA")</f>
        <v>PICHINCHA</v>
      </c>
      <c r="N1310" s="65" t="str">
        <f>IFERROR(__xludf.DUMMYFUNCTION("""COMPUTED_VALUE"""),"TUMBACO")</f>
        <v>TUMBACO</v>
      </c>
      <c r="O1310" s="65" t="str">
        <f>IFERROR(__xludf.DUMMYFUNCTION("""COMPUTED_VALUE"""),"S/N José María Egas la morita -")</f>
        <v>S/N José María Egas la morita -</v>
      </c>
      <c r="P1310" s="65"/>
      <c r="Q1310" s="65" t="str">
        <f>IFERROR(__xludf.DUMMYFUNCTION("""COMPUTED_VALUE"""),"GINTRACOM")</f>
        <v>GINTRACOM</v>
      </c>
      <c r="R1310" s="65">
        <f>IFERROR(__xludf.DUMMYFUNCTION("""COMPUTED_VALUE"""),30.0)</f>
        <v>30</v>
      </c>
      <c r="S1310" s="65"/>
      <c r="T1310" s="65">
        <f>IFERROR(__xludf.DUMMYFUNCTION("""COMPUTED_VALUE"""),5.12)</f>
        <v>5.12</v>
      </c>
      <c r="U1310" s="65">
        <f>IFERROR(__xludf.DUMMYFUNCTION("""COMPUTED_VALUE"""),0.0)</f>
        <v>0</v>
      </c>
      <c r="V1310" s="65">
        <f>IFERROR(__xludf.DUMMYFUNCTION("""COMPUTED_VALUE"""),0.0)</f>
        <v>0</v>
      </c>
      <c r="W1310" s="65">
        <f>IFERROR(__xludf.DUMMYFUNCTION("""COMPUTED_VALUE"""),0.0)</f>
        <v>0</v>
      </c>
      <c r="X1310" s="65">
        <f>IFERROR(__xludf.DUMMYFUNCTION("""COMPUTED_VALUE"""),2.35)</f>
        <v>2.35</v>
      </c>
      <c r="Y1310" s="65">
        <f>IFERROR(__xludf.DUMMYFUNCTION("""COMPUTED_VALUE"""),7.05)</f>
        <v>7.05</v>
      </c>
      <c r="Z1310" s="65">
        <f>IFERROR(__xludf.DUMMYFUNCTION("""COMPUTED_VALUE"""),116679.0)</f>
        <v>116679</v>
      </c>
      <c r="AA1310" s="65" t="str">
        <f>IFERROR(__xludf.DUMMYFUNCTION("""COMPUTED_VALUE"""),"AMC-2738")</f>
        <v>AMC-2738</v>
      </c>
      <c r="AB1310" s="65"/>
      <c r="AC1310" s="65" t="str">
        <f>IFERROR(__xludf.DUMMYFUNCTION("""COMPUTED_VALUE"""),"ESPONJA ANTILLUVIA DE PARABRISAS")</f>
        <v>ESPONJA ANTILLUVIA DE PARABRISAS</v>
      </c>
      <c r="AD1310" s="65"/>
      <c r="AE1310" s="65">
        <f>IFERROR(__xludf.DUMMYFUNCTION("""COMPUTED_VALUE"""),3.0)</f>
        <v>3</v>
      </c>
      <c r="AF1310" s="65"/>
      <c r="AG1310" s="65"/>
      <c r="AH1310" s="65"/>
      <c r="AI1310" s="65"/>
      <c r="AJ1310" s="65"/>
      <c r="AK1310" s="65"/>
      <c r="AL1310" s="65"/>
      <c r="AM1310" s="65"/>
      <c r="AN1310" s="65"/>
      <c r="AO1310" s="65"/>
      <c r="AP1310" s="65"/>
      <c r="AQ1310" s="65"/>
      <c r="AR1310" s="65"/>
      <c r="AS1310" s="65"/>
      <c r="AT1310" s="65" t="str">
        <f>IFERROR(__xludf.DUMMYFUNCTION("""COMPUTED_VALUE"""),"SHOPIFY")</f>
        <v>SHOPIFY</v>
      </c>
      <c r="AU1310" s="65" t="str">
        <f>IFERROR(__xludf.DUMMYFUNCTION("""COMPUTED_VALUE"""),"IMPORTEX EC")</f>
        <v>IMPORTEX EC</v>
      </c>
      <c r="AV1310" s="65" t="str">
        <f>IFERROR(__xludf.DUMMYFUNCTION("""COMPUTED_VALUE"""),"6455390273580")</f>
        <v>6455390273580</v>
      </c>
      <c r="AW1310" s="65">
        <f>IFERROR(__xludf.DUMMYFUNCTION("""COMPUTED_VALUE"""),5615.0)</f>
        <v>5615</v>
      </c>
      <c r="AX1310" s="65"/>
      <c r="AY1310" s="65"/>
      <c r="AZ1310" s="65"/>
      <c r="BA1310" s="65"/>
    </row>
    <row r="1311">
      <c r="A1311" s="65" t="str">
        <f>IFERROR(__xludf.DUMMYFUNCTION("""COMPUTED_VALUE"""),"27-03-2026")</f>
        <v>27-03-2026</v>
      </c>
      <c r="B1311" s="65">
        <f>IFERROR(__xludf.DUMMYFUNCTION("""COMPUTED_VALUE"""),4312438.0)</f>
        <v>4312438</v>
      </c>
      <c r="C1311" s="65" t="str">
        <f>IFERROR(__xludf.DUMMYFUNCTION("""COMPUTED_VALUE"""),"18:54")</f>
        <v>18:54</v>
      </c>
      <c r="D1311" s="65" t="str">
        <f>IFERROR(__xludf.DUMMYFUNCTION("""COMPUTED_VALUE"""),"28-01-2026")</f>
        <v>28-01-2026</v>
      </c>
      <c r="E1311" s="65" t="str">
        <f>IFERROR(__xludf.DUMMYFUNCTION("""COMPUTED_VALUE"""),"Fabian pita")</f>
        <v>Fabian pita</v>
      </c>
      <c r="F1311" s="65" t="str">
        <f>IFERROR(__xludf.DUMMYFUNCTION("""COMPUTED_VALUE"""),"994579595")</f>
        <v>994579595</v>
      </c>
      <c r="G1311" s="65" t="str">
        <f>IFERROR(__xludf.DUMMYFUNCTION("""COMPUTED_VALUE"""),"fabianpita@outlook.es")</f>
        <v>fabianpita@outlook.es</v>
      </c>
      <c r="H1311" s="65"/>
      <c r="I1311" s="65"/>
      <c r="J1311" s="65"/>
      <c r="K1311" s="65" t="str">
        <f>IFERROR(__xludf.DUMMYFUNCTION("""COMPUTED_VALUE"""),"CANCELADO")</f>
        <v>CANCELADO</v>
      </c>
      <c r="L1311" s="65" t="str">
        <f>IFERROR(__xludf.DUMMYFUNCTION("""COMPUTED_VALUE"""),"CON RECAUDO")</f>
        <v>CON RECAUDO</v>
      </c>
      <c r="M1311" s="65" t="str">
        <f>IFERROR(__xludf.DUMMYFUNCTION("""COMPUTED_VALUE"""),"MANABI")</f>
        <v>MANABI</v>
      </c>
      <c r="N1311" s="65" t="str">
        <f>IFERROR(__xludf.DUMMYFUNCTION("""COMPUTED_VALUE"""),"MANTA")</f>
        <v>MANTA</v>
      </c>
      <c r="O1311" s="65" t="str">
        <f>IFERROR(__xludf.DUMMYFUNCTION("""COMPUTED_VALUE"""),"Avenida 113 Av los laureles -")</f>
        <v>Avenida 113 Av los laureles -</v>
      </c>
      <c r="P1311" s="65"/>
      <c r="Q1311" s="65" t="str">
        <f>IFERROR(__xludf.DUMMYFUNCTION("""COMPUTED_VALUE"""),"GINTRACOM")</f>
        <v>GINTRACOM</v>
      </c>
      <c r="R1311" s="65">
        <f>IFERROR(__xludf.DUMMYFUNCTION("""COMPUTED_VALUE"""),25.0)</f>
        <v>25</v>
      </c>
      <c r="S1311" s="65"/>
      <c r="T1311" s="65">
        <f>IFERROR(__xludf.DUMMYFUNCTION("""COMPUTED_VALUE"""),5.96)</f>
        <v>5.96</v>
      </c>
      <c r="U1311" s="65">
        <f>IFERROR(__xludf.DUMMYFUNCTION("""COMPUTED_VALUE"""),0.0)</f>
        <v>0</v>
      </c>
      <c r="V1311" s="65">
        <f>IFERROR(__xludf.DUMMYFUNCTION("""COMPUTED_VALUE"""),0.0)</f>
        <v>0</v>
      </c>
      <c r="W1311" s="65">
        <f>IFERROR(__xludf.DUMMYFUNCTION("""COMPUTED_VALUE"""),0.0)</f>
        <v>0</v>
      </c>
      <c r="X1311" s="65">
        <f>IFERROR(__xludf.DUMMYFUNCTION("""COMPUTED_VALUE"""),2.35)</f>
        <v>2.35</v>
      </c>
      <c r="Y1311" s="65">
        <f>IFERROR(__xludf.DUMMYFUNCTION("""COMPUTED_VALUE"""),4.7)</f>
        <v>4.7</v>
      </c>
      <c r="Z1311" s="65">
        <f>IFERROR(__xludf.DUMMYFUNCTION("""COMPUTED_VALUE"""),116679.0)</f>
        <v>116679</v>
      </c>
      <c r="AA1311" s="65" t="str">
        <f>IFERROR(__xludf.DUMMYFUNCTION("""COMPUTED_VALUE"""),"AMC-2738")</f>
        <v>AMC-2738</v>
      </c>
      <c r="AB1311" s="65"/>
      <c r="AC1311" s="65" t="str">
        <f>IFERROR(__xludf.DUMMYFUNCTION("""COMPUTED_VALUE"""),"ESPONJA ANTILLUVIA DE PARABRISAS")</f>
        <v>ESPONJA ANTILLUVIA DE PARABRISAS</v>
      </c>
      <c r="AD1311" s="65"/>
      <c r="AE1311" s="65">
        <f>IFERROR(__xludf.DUMMYFUNCTION("""COMPUTED_VALUE"""),2.0)</f>
        <v>2</v>
      </c>
      <c r="AF1311" s="65"/>
      <c r="AG1311" s="65"/>
      <c r="AH1311" s="65"/>
      <c r="AI1311" s="65"/>
      <c r="AJ1311" s="65"/>
      <c r="AK1311" s="65"/>
      <c r="AL1311" s="65"/>
      <c r="AM1311" s="65"/>
      <c r="AN1311" s="65"/>
      <c r="AO1311" s="65"/>
      <c r="AP1311" s="65"/>
      <c r="AQ1311" s="65"/>
      <c r="AR1311" s="65"/>
      <c r="AS1311" s="65"/>
      <c r="AT1311" s="65" t="str">
        <f>IFERROR(__xludf.DUMMYFUNCTION("""COMPUTED_VALUE"""),"SHOPIFY")</f>
        <v>SHOPIFY</v>
      </c>
      <c r="AU1311" s="65" t="str">
        <f>IFERROR(__xludf.DUMMYFUNCTION("""COMPUTED_VALUE"""),"IMPORTEX EC")</f>
        <v>IMPORTEX EC</v>
      </c>
      <c r="AV1311" s="65" t="str">
        <f>IFERROR(__xludf.DUMMYFUNCTION("""COMPUTED_VALUE"""),"6455169777708")</f>
        <v>6455169777708</v>
      </c>
      <c r="AW1311" s="65">
        <f>IFERROR(__xludf.DUMMYFUNCTION("""COMPUTED_VALUE"""),5614.0)</f>
        <v>5614</v>
      </c>
      <c r="AX1311" s="65"/>
      <c r="AY1311" s="65"/>
      <c r="AZ1311" s="65"/>
      <c r="BA1311" s="65"/>
    </row>
    <row r="1312">
      <c r="A1312" s="65" t="str">
        <f>IFERROR(__xludf.DUMMYFUNCTION("""COMPUTED_VALUE"""),"27-03-2026")</f>
        <v>27-03-2026</v>
      </c>
      <c r="B1312" s="65">
        <f>IFERROR(__xludf.DUMMYFUNCTION("""COMPUTED_VALUE"""),4311520.0)</f>
        <v>4311520</v>
      </c>
      <c r="C1312" s="65" t="str">
        <f>IFERROR(__xludf.DUMMYFUNCTION("""COMPUTED_VALUE"""),"17:12")</f>
        <v>17:12</v>
      </c>
      <c r="D1312" s="65" t="str">
        <f>IFERROR(__xludf.DUMMYFUNCTION("""COMPUTED_VALUE"""),"28-01-2026")</f>
        <v>28-01-2026</v>
      </c>
      <c r="E1312" s="65" t="str">
        <f>IFERROR(__xludf.DUMMYFUNCTION("""COMPUTED_VALUE"""),"Ehuri Moreira")</f>
        <v>Ehuri Moreira</v>
      </c>
      <c r="F1312" s="65" t="str">
        <f>IFERROR(__xludf.DUMMYFUNCTION("""COMPUTED_VALUE"""),"991831768")</f>
        <v>991831768</v>
      </c>
      <c r="G1312" s="65" t="str">
        <f>IFERROR(__xludf.DUMMYFUNCTION("""COMPUTED_VALUE"""),"smoreiraroldan1974@hotmail.com")</f>
        <v>smoreiraroldan1974@hotmail.com</v>
      </c>
      <c r="H1312" s="65"/>
      <c r="I1312" s="65"/>
      <c r="J1312" s="65"/>
      <c r="K1312" s="65" t="str">
        <f>IFERROR(__xludf.DUMMYFUNCTION("""COMPUTED_VALUE"""),"CANCELADO")</f>
        <v>CANCELADO</v>
      </c>
      <c r="L1312" s="65" t="str">
        <f>IFERROR(__xludf.DUMMYFUNCTION("""COMPUTED_VALUE"""),"CON RECAUDO")</f>
        <v>CON RECAUDO</v>
      </c>
      <c r="M1312" s="65" t="str">
        <f>IFERROR(__xludf.DUMMYFUNCTION("""COMPUTED_VALUE"""),"MANABI")</f>
        <v>MANABI</v>
      </c>
      <c r="N1312" s="65" t="str">
        <f>IFERROR(__xludf.DUMMYFUNCTION("""COMPUTED_VALUE"""),"PORTOVIEJO")</f>
        <v>PORTOVIEJO</v>
      </c>
      <c r="O1312" s="65" t="str">
        <f>IFERROR(__xludf.DUMMYFUNCTION("""COMPUTED_VALUE"""),"Calle 26 de septiembre Seminario san pedro -")</f>
        <v>Calle 26 de septiembre Seminario san pedro -</v>
      </c>
      <c r="P1312" s="65"/>
      <c r="Q1312" s="65" t="str">
        <f>IFERROR(__xludf.DUMMYFUNCTION("""COMPUTED_VALUE"""),"GINTRACOM")</f>
        <v>GINTRACOM</v>
      </c>
      <c r="R1312" s="65">
        <f>IFERROR(__xludf.DUMMYFUNCTION("""COMPUTED_VALUE"""),25.0)</f>
        <v>25</v>
      </c>
      <c r="S1312" s="65"/>
      <c r="T1312" s="65">
        <f>IFERROR(__xludf.DUMMYFUNCTION("""COMPUTED_VALUE"""),5.96)</f>
        <v>5.96</v>
      </c>
      <c r="U1312" s="65">
        <f>IFERROR(__xludf.DUMMYFUNCTION("""COMPUTED_VALUE"""),0.0)</f>
        <v>0</v>
      </c>
      <c r="V1312" s="65">
        <f>IFERROR(__xludf.DUMMYFUNCTION("""COMPUTED_VALUE"""),0.0)</f>
        <v>0</v>
      </c>
      <c r="W1312" s="65">
        <f>IFERROR(__xludf.DUMMYFUNCTION("""COMPUTED_VALUE"""),0.0)</f>
        <v>0</v>
      </c>
      <c r="X1312" s="65">
        <f>IFERROR(__xludf.DUMMYFUNCTION("""COMPUTED_VALUE"""),2.35)</f>
        <v>2.35</v>
      </c>
      <c r="Y1312" s="65">
        <f>IFERROR(__xludf.DUMMYFUNCTION("""COMPUTED_VALUE"""),4.7)</f>
        <v>4.7</v>
      </c>
      <c r="Z1312" s="65">
        <f>IFERROR(__xludf.DUMMYFUNCTION("""COMPUTED_VALUE"""),116679.0)</f>
        <v>116679</v>
      </c>
      <c r="AA1312" s="65" t="str">
        <f>IFERROR(__xludf.DUMMYFUNCTION("""COMPUTED_VALUE"""),"AMC-2738")</f>
        <v>AMC-2738</v>
      </c>
      <c r="AB1312" s="65"/>
      <c r="AC1312" s="65" t="str">
        <f>IFERROR(__xludf.DUMMYFUNCTION("""COMPUTED_VALUE"""),"ESPONJA ANTILLUVIA DE PARABRISAS")</f>
        <v>ESPONJA ANTILLUVIA DE PARABRISAS</v>
      </c>
      <c r="AD1312" s="65"/>
      <c r="AE1312" s="65">
        <f>IFERROR(__xludf.DUMMYFUNCTION("""COMPUTED_VALUE"""),2.0)</f>
        <v>2</v>
      </c>
      <c r="AF1312" s="65"/>
      <c r="AG1312" s="65"/>
      <c r="AH1312" s="65"/>
      <c r="AI1312" s="65"/>
      <c r="AJ1312" s="65"/>
      <c r="AK1312" s="65"/>
      <c r="AL1312" s="65"/>
      <c r="AM1312" s="65"/>
      <c r="AN1312" s="65"/>
      <c r="AO1312" s="65"/>
      <c r="AP1312" s="65"/>
      <c r="AQ1312" s="65"/>
      <c r="AR1312" s="65"/>
      <c r="AS1312" s="65"/>
      <c r="AT1312" s="65" t="str">
        <f>IFERROR(__xludf.DUMMYFUNCTION("""COMPUTED_VALUE"""),"SHOPIFY")</f>
        <v>SHOPIFY</v>
      </c>
      <c r="AU1312" s="65" t="str">
        <f>IFERROR(__xludf.DUMMYFUNCTION("""COMPUTED_VALUE"""),"IMPORTEX EC")</f>
        <v>IMPORTEX EC</v>
      </c>
      <c r="AV1312" s="65" t="str">
        <f>IFERROR(__xludf.DUMMYFUNCTION("""COMPUTED_VALUE"""),"6454936502316")</f>
        <v>6454936502316</v>
      </c>
      <c r="AW1312" s="65">
        <f>IFERROR(__xludf.DUMMYFUNCTION("""COMPUTED_VALUE"""),5611.0)</f>
        <v>5611</v>
      </c>
      <c r="AX1312" s="65"/>
      <c r="AY1312" s="65"/>
      <c r="AZ1312" s="65"/>
      <c r="BA1312" s="65"/>
    </row>
    <row r="1313">
      <c r="A1313" s="65" t="str">
        <f>IFERROR(__xludf.DUMMYFUNCTION("""COMPUTED_VALUE"""),"27-03-2026")</f>
        <v>27-03-2026</v>
      </c>
      <c r="B1313" s="65">
        <f>IFERROR(__xludf.DUMMYFUNCTION("""COMPUTED_VALUE"""),4310123.0)</f>
        <v>4310123</v>
      </c>
      <c r="C1313" s="65" t="str">
        <f>IFERROR(__xludf.DUMMYFUNCTION("""COMPUTED_VALUE"""),"15:17")</f>
        <v>15:17</v>
      </c>
      <c r="D1313" s="65" t="str">
        <f>IFERROR(__xludf.DUMMYFUNCTION("""COMPUTED_VALUE"""),"28-01-2026")</f>
        <v>28-01-2026</v>
      </c>
      <c r="E1313" s="65" t="str">
        <f>IFERROR(__xludf.DUMMYFUNCTION("""COMPUTED_VALUE"""),"Cristian Mañay")</f>
        <v>Cristian Mañay</v>
      </c>
      <c r="F1313" s="65" t="str">
        <f>IFERROR(__xludf.DUMMYFUNCTION("""COMPUTED_VALUE"""),"939500011")</f>
        <v>939500011</v>
      </c>
      <c r="G1313" s="65" t="str">
        <f>IFERROR(__xludf.DUMMYFUNCTION("""COMPUTED_VALUE"""),"crismaym@hotmail.com")</f>
        <v>crismaym@hotmail.com</v>
      </c>
      <c r="H1313" s="65"/>
      <c r="I1313" s="65"/>
      <c r="J1313" s="65"/>
      <c r="K1313" s="65" t="str">
        <f>IFERROR(__xludf.DUMMYFUNCTION("""COMPUTED_VALUE"""),"CANCELADO")</f>
        <v>CANCELADO</v>
      </c>
      <c r="L1313" s="65" t="str">
        <f>IFERROR(__xludf.DUMMYFUNCTION("""COMPUTED_VALUE"""),"CON RECAUDO")</f>
        <v>CON RECAUDO</v>
      </c>
      <c r="M1313" s="65" t="str">
        <f>IFERROR(__xludf.DUMMYFUNCTION("""COMPUTED_VALUE"""),"TUNGURAHUA")</f>
        <v>TUNGURAHUA</v>
      </c>
      <c r="N1313" s="65" t="str">
        <f>IFERROR(__xludf.DUMMYFUNCTION("""COMPUTED_VALUE"""),"AMBATO")</f>
        <v>AMBATO</v>
      </c>
      <c r="O1313" s="65" t="str">
        <f>IFERROR(__xludf.DUMMYFUNCTION("""COMPUTED_VALUE"""),"Segunda constituyente El mayorista -")</f>
        <v>Segunda constituyente El mayorista -</v>
      </c>
      <c r="P1313" s="65"/>
      <c r="Q1313" s="65" t="str">
        <f>IFERROR(__xludf.DUMMYFUNCTION("""COMPUTED_VALUE"""),"GINTRACOM")</f>
        <v>GINTRACOM</v>
      </c>
      <c r="R1313" s="65">
        <f>IFERROR(__xludf.DUMMYFUNCTION("""COMPUTED_VALUE"""),25.0)</f>
        <v>25</v>
      </c>
      <c r="S1313" s="65"/>
      <c r="T1313" s="65">
        <f>IFERROR(__xludf.DUMMYFUNCTION("""COMPUTED_VALUE"""),5.96)</f>
        <v>5.96</v>
      </c>
      <c r="U1313" s="65">
        <f>IFERROR(__xludf.DUMMYFUNCTION("""COMPUTED_VALUE"""),0.0)</f>
        <v>0</v>
      </c>
      <c r="V1313" s="65">
        <f>IFERROR(__xludf.DUMMYFUNCTION("""COMPUTED_VALUE"""),0.0)</f>
        <v>0</v>
      </c>
      <c r="W1313" s="65">
        <f>IFERROR(__xludf.DUMMYFUNCTION("""COMPUTED_VALUE"""),0.0)</f>
        <v>0</v>
      </c>
      <c r="X1313" s="65">
        <f>IFERROR(__xludf.DUMMYFUNCTION("""COMPUTED_VALUE"""),2.35)</f>
        <v>2.35</v>
      </c>
      <c r="Y1313" s="65">
        <f>IFERROR(__xludf.DUMMYFUNCTION("""COMPUTED_VALUE"""),4.7)</f>
        <v>4.7</v>
      </c>
      <c r="Z1313" s="65">
        <f>IFERROR(__xludf.DUMMYFUNCTION("""COMPUTED_VALUE"""),116679.0)</f>
        <v>116679</v>
      </c>
      <c r="AA1313" s="65" t="str">
        <f>IFERROR(__xludf.DUMMYFUNCTION("""COMPUTED_VALUE"""),"AMC-2738")</f>
        <v>AMC-2738</v>
      </c>
      <c r="AB1313" s="65"/>
      <c r="AC1313" s="65" t="str">
        <f>IFERROR(__xludf.DUMMYFUNCTION("""COMPUTED_VALUE"""),"ESPONJA ANTILLUVIA DE PARABRISAS")</f>
        <v>ESPONJA ANTILLUVIA DE PARABRISAS</v>
      </c>
      <c r="AD1313" s="65"/>
      <c r="AE1313" s="65">
        <f>IFERROR(__xludf.DUMMYFUNCTION("""COMPUTED_VALUE"""),2.0)</f>
        <v>2</v>
      </c>
      <c r="AF1313" s="65"/>
      <c r="AG1313" s="65"/>
      <c r="AH1313" s="65"/>
      <c r="AI1313" s="65"/>
      <c r="AJ1313" s="65"/>
      <c r="AK1313" s="65"/>
      <c r="AL1313" s="65"/>
      <c r="AM1313" s="65"/>
      <c r="AN1313" s="65"/>
      <c r="AO1313" s="65"/>
      <c r="AP1313" s="65"/>
      <c r="AQ1313" s="65"/>
      <c r="AR1313" s="65"/>
      <c r="AS1313" s="65"/>
      <c r="AT1313" s="65" t="str">
        <f>IFERROR(__xludf.DUMMYFUNCTION("""COMPUTED_VALUE"""),"SHOPIFY")</f>
        <v>SHOPIFY</v>
      </c>
      <c r="AU1313" s="65" t="str">
        <f>IFERROR(__xludf.DUMMYFUNCTION("""COMPUTED_VALUE"""),"IMPORTEX EC")</f>
        <v>IMPORTEX EC</v>
      </c>
      <c r="AV1313" s="65" t="str">
        <f>IFERROR(__xludf.DUMMYFUNCTION("""COMPUTED_VALUE"""),"6454574645292")</f>
        <v>6454574645292</v>
      </c>
      <c r="AW1313" s="65">
        <f>IFERROR(__xludf.DUMMYFUNCTION("""COMPUTED_VALUE"""),5609.0)</f>
        <v>5609</v>
      </c>
      <c r="AX1313" s="65"/>
      <c r="AY1313" s="65"/>
      <c r="AZ1313" s="65"/>
      <c r="BA1313" s="65"/>
    </row>
    <row r="1314">
      <c r="A1314" s="65" t="str">
        <f>IFERROR(__xludf.DUMMYFUNCTION("""COMPUTED_VALUE"""),"27-03-2026")</f>
        <v>27-03-2026</v>
      </c>
      <c r="B1314" s="65">
        <f>IFERROR(__xludf.DUMMYFUNCTION("""COMPUTED_VALUE"""),4308635.0)</f>
        <v>4308635</v>
      </c>
      <c r="C1314" s="65" t="str">
        <f>IFERROR(__xludf.DUMMYFUNCTION("""COMPUTED_VALUE"""),"12:43")</f>
        <v>12:43</v>
      </c>
      <c r="D1314" s="65" t="str">
        <f>IFERROR(__xludf.DUMMYFUNCTION("""COMPUTED_VALUE"""),"28-01-2026")</f>
        <v>28-01-2026</v>
      </c>
      <c r="E1314" s="65" t="str">
        <f>IFERROR(__xludf.DUMMYFUNCTION("""COMPUTED_VALUE"""),"Giovanni Cisneros")</f>
        <v>Giovanni Cisneros</v>
      </c>
      <c r="F1314" s="65" t="str">
        <f>IFERROR(__xludf.DUMMYFUNCTION("""COMPUTED_VALUE"""),"999876249")</f>
        <v>999876249</v>
      </c>
      <c r="G1314" s="65" t="str">
        <f>IFERROR(__xludf.DUMMYFUNCTION("""COMPUTED_VALUE"""),"jociga@outlook.com")</f>
        <v>jociga@outlook.com</v>
      </c>
      <c r="H1314" s="65"/>
      <c r="I1314" s="65"/>
      <c r="J1314" s="65"/>
      <c r="K1314" s="65" t="str">
        <f>IFERROR(__xludf.DUMMYFUNCTION("""COMPUTED_VALUE"""),"CANCELADO")</f>
        <v>CANCELADO</v>
      </c>
      <c r="L1314" s="65" t="str">
        <f>IFERROR(__xludf.DUMMYFUNCTION("""COMPUTED_VALUE"""),"CON RECAUDO")</f>
        <v>CON RECAUDO</v>
      </c>
      <c r="M1314" s="65" t="str">
        <f>IFERROR(__xludf.DUMMYFUNCTION("""COMPUTED_VALUE"""),"GUAYAS")</f>
        <v>GUAYAS</v>
      </c>
      <c r="N1314" s="65" t="str">
        <f>IFERROR(__xludf.DUMMYFUNCTION("""COMPUTED_VALUE"""),"GUAYAQUIL")</f>
        <v>GUAYAQUIL</v>
      </c>
      <c r="O1314" s="65" t="str">
        <f>IFERROR(__xludf.DUMMYFUNCTION("""COMPUTED_VALUE"""),"Km 19 vía a la costa Urb. Costalmar 2 -")</f>
        <v>Km 19 vía a la costa Urb. Costalmar 2 -</v>
      </c>
      <c r="P1314" s="65"/>
      <c r="Q1314" s="65" t="str">
        <f>IFERROR(__xludf.DUMMYFUNCTION("""COMPUTED_VALUE"""),"GINTRACOM")</f>
        <v>GINTRACOM</v>
      </c>
      <c r="R1314" s="65">
        <f>IFERROR(__xludf.DUMMYFUNCTION("""COMPUTED_VALUE"""),25.0)</f>
        <v>25</v>
      </c>
      <c r="S1314" s="65"/>
      <c r="T1314" s="65">
        <f>IFERROR(__xludf.DUMMYFUNCTION("""COMPUTED_VALUE"""),5.96)</f>
        <v>5.96</v>
      </c>
      <c r="U1314" s="65">
        <f>IFERROR(__xludf.DUMMYFUNCTION("""COMPUTED_VALUE"""),0.0)</f>
        <v>0</v>
      </c>
      <c r="V1314" s="65">
        <f>IFERROR(__xludf.DUMMYFUNCTION("""COMPUTED_VALUE"""),0.0)</f>
        <v>0</v>
      </c>
      <c r="W1314" s="65">
        <f>IFERROR(__xludf.DUMMYFUNCTION("""COMPUTED_VALUE"""),0.0)</f>
        <v>0</v>
      </c>
      <c r="X1314" s="65">
        <f>IFERROR(__xludf.DUMMYFUNCTION("""COMPUTED_VALUE"""),2.35)</f>
        <v>2.35</v>
      </c>
      <c r="Y1314" s="65">
        <f>IFERROR(__xludf.DUMMYFUNCTION("""COMPUTED_VALUE"""),4.7)</f>
        <v>4.7</v>
      </c>
      <c r="Z1314" s="65">
        <f>IFERROR(__xludf.DUMMYFUNCTION("""COMPUTED_VALUE"""),116679.0)</f>
        <v>116679</v>
      </c>
      <c r="AA1314" s="65" t="str">
        <f>IFERROR(__xludf.DUMMYFUNCTION("""COMPUTED_VALUE"""),"AMC-2738")</f>
        <v>AMC-2738</v>
      </c>
      <c r="AB1314" s="65"/>
      <c r="AC1314" s="65" t="str">
        <f>IFERROR(__xludf.DUMMYFUNCTION("""COMPUTED_VALUE"""),"ESPONJA ANTILLUVIA DE PARABRISAS")</f>
        <v>ESPONJA ANTILLUVIA DE PARABRISAS</v>
      </c>
      <c r="AD1314" s="65"/>
      <c r="AE1314" s="65">
        <f>IFERROR(__xludf.DUMMYFUNCTION("""COMPUTED_VALUE"""),2.0)</f>
        <v>2</v>
      </c>
      <c r="AF1314" s="65"/>
      <c r="AG1314" s="65"/>
      <c r="AH1314" s="65"/>
      <c r="AI1314" s="65"/>
      <c r="AJ1314" s="65"/>
      <c r="AK1314" s="65"/>
      <c r="AL1314" s="65"/>
      <c r="AM1314" s="65"/>
      <c r="AN1314" s="65"/>
      <c r="AO1314" s="65"/>
      <c r="AP1314" s="65"/>
      <c r="AQ1314" s="65"/>
      <c r="AR1314" s="65"/>
      <c r="AS1314" s="65"/>
      <c r="AT1314" s="65" t="str">
        <f>IFERROR(__xludf.DUMMYFUNCTION("""COMPUTED_VALUE"""),"SHOPIFY")</f>
        <v>SHOPIFY</v>
      </c>
      <c r="AU1314" s="65" t="str">
        <f>IFERROR(__xludf.DUMMYFUNCTION("""COMPUTED_VALUE"""),"IMPORTEX EC")</f>
        <v>IMPORTEX EC</v>
      </c>
      <c r="AV1314" s="65" t="str">
        <f>IFERROR(__xludf.DUMMYFUNCTION("""COMPUTED_VALUE"""),"6454223274028")</f>
        <v>6454223274028</v>
      </c>
      <c r="AW1314" s="65">
        <f>IFERROR(__xludf.DUMMYFUNCTION("""COMPUTED_VALUE"""),5607.0)</f>
        <v>5607</v>
      </c>
      <c r="AX1314" s="65"/>
      <c r="AY1314" s="65"/>
      <c r="AZ1314" s="65"/>
      <c r="BA1314" s="65"/>
    </row>
    <row r="1315">
      <c r="A1315" s="65" t="str">
        <f>IFERROR(__xludf.DUMMYFUNCTION("""COMPUTED_VALUE"""),"27-03-2026")</f>
        <v>27-03-2026</v>
      </c>
      <c r="B1315" s="65">
        <f>IFERROR(__xludf.DUMMYFUNCTION("""COMPUTED_VALUE"""),4308225.0)</f>
        <v>4308225</v>
      </c>
      <c r="C1315" s="65" t="str">
        <f>IFERROR(__xludf.DUMMYFUNCTION("""COMPUTED_VALUE"""),"12:07")</f>
        <v>12:07</v>
      </c>
      <c r="D1315" s="65" t="str">
        <f>IFERROR(__xludf.DUMMYFUNCTION("""COMPUTED_VALUE"""),"28-01-2026")</f>
        <v>28-01-2026</v>
      </c>
      <c r="E1315" s="65" t="str">
        <f>IFERROR(__xludf.DUMMYFUNCTION("""COMPUTED_VALUE"""),"Freddy Barros Barros")</f>
        <v>Freddy Barros Barros</v>
      </c>
      <c r="F1315" s="65" t="str">
        <f>IFERROR(__xludf.DUMMYFUNCTION("""COMPUTED_VALUE"""),"987069857")</f>
        <v>987069857</v>
      </c>
      <c r="G1315" s="65"/>
      <c r="H1315" s="65"/>
      <c r="I1315" s="65"/>
      <c r="J1315" s="65" t="str">
        <f>IFERROR(__xludf.DUMMYFUNCTION("""COMPUTED_VALUE"""),"D001273616")</f>
        <v>D001273616</v>
      </c>
      <c r="K1315" s="65" t="str">
        <f>IFERROR(__xludf.DUMMYFUNCTION("""COMPUTED_VALUE"""),"ENTREGADO")</f>
        <v>ENTREGADO</v>
      </c>
      <c r="L1315" s="65" t="str">
        <f>IFERROR(__xludf.DUMMYFUNCTION("""COMPUTED_VALUE"""),"CON RECAUDO")</f>
        <v>CON RECAUDO</v>
      </c>
      <c r="M1315" s="65" t="str">
        <f>IFERROR(__xludf.DUMMYFUNCTION("""COMPUTED_VALUE"""),"TUNGURAHUA")</f>
        <v>TUNGURAHUA</v>
      </c>
      <c r="N1315" s="65" t="str">
        <f>IFERROR(__xludf.DUMMYFUNCTION("""COMPUTED_VALUE"""),"AMBATO")</f>
        <v>AMBATO</v>
      </c>
      <c r="O1315" s="65" t="str">
        <f>IFERROR(__xludf.DUMMYFUNCTION("""COMPUTED_VALUE"""),"Av. Cervantes Av. Manuelita Saenz - Complejo judicial de Ambato")</f>
        <v>Av. Cervantes Av. Manuelita Saenz - Complejo judicial de Ambato</v>
      </c>
      <c r="P1315" s="65"/>
      <c r="Q1315" s="65" t="str">
        <f>IFERROR(__xludf.DUMMYFUNCTION("""COMPUTED_VALUE"""),"GINTRACOM")</f>
        <v>GINTRACOM</v>
      </c>
      <c r="R1315" s="65">
        <f>IFERROR(__xludf.DUMMYFUNCTION("""COMPUTED_VALUE"""),20.0)</f>
        <v>20</v>
      </c>
      <c r="S1315" s="65">
        <f>IFERROR(__xludf.DUMMYFUNCTION("""COMPUTED_VALUE"""),11.89)</f>
        <v>11.89</v>
      </c>
      <c r="T1315" s="65">
        <f>IFERROR(__xludf.DUMMYFUNCTION("""COMPUTED_VALUE"""),5.76)</f>
        <v>5.76</v>
      </c>
      <c r="U1315" s="65">
        <f>IFERROR(__xludf.DUMMYFUNCTION("""COMPUTED_VALUE"""),0.0)</f>
        <v>0</v>
      </c>
      <c r="V1315" s="65">
        <f>IFERROR(__xludf.DUMMYFUNCTION("""COMPUTED_VALUE"""),0.0)</f>
        <v>0</v>
      </c>
      <c r="W1315" s="65">
        <f>IFERROR(__xludf.DUMMYFUNCTION("""COMPUTED_VALUE"""),0.0)</f>
        <v>0</v>
      </c>
      <c r="X1315" s="65">
        <f>IFERROR(__xludf.DUMMYFUNCTION("""COMPUTED_VALUE"""),2.35)</f>
        <v>2.35</v>
      </c>
      <c r="Y1315" s="65">
        <f>IFERROR(__xludf.DUMMYFUNCTION("""COMPUTED_VALUE"""),2.35)</f>
        <v>2.35</v>
      </c>
      <c r="Z1315" s="65">
        <f>IFERROR(__xludf.DUMMYFUNCTION("""COMPUTED_VALUE"""),116679.0)</f>
        <v>116679</v>
      </c>
      <c r="AA1315" s="65" t="str">
        <f>IFERROR(__xludf.DUMMYFUNCTION("""COMPUTED_VALUE"""),"AMC-2738")</f>
        <v>AMC-2738</v>
      </c>
      <c r="AB1315" s="65"/>
      <c r="AC1315" s="65" t="str">
        <f>IFERROR(__xludf.DUMMYFUNCTION("""COMPUTED_VALUE"""),"ESPONJA ANTILLUVIA DE PARABRISAS")</f>
        <v>ESPONJA ANTILLUVIA DE PARABRISAS</v>
      </c>
      <c r="AD1315" s="65"/>
      <c r="AE1315" s="65">
        <f>IFERROR(__xludf.DUMMYFUNCTION("""COMPUTED_VALUE"""),1.0)</f>
        <v>1</v>
      </c>
      <c r="AF1315" s="65" t="str">
        <f>IFERROR(__xludf.DUMMYFUNCTION("""COMPUTED_VALUE"""),"DESTINATARIO NO SE ENCUENTRA EN LUGAR DE ENTREGA.")</f>
        <v>DESTINATARIO NO SE ENCUENTRA EN LUGAR DE ENTREGA.</v>
      </c>
      <c r="AG1315" s="65" t="str">
        <f>IFERROR(__xludf.DUMMYFUNCTION("""COMPUTED_VALUE"""),"NO")</f>
        <v>NO</v>
      </c>
      <c r="AH1315" s="65" t="str">
        <f>IFERROR(__xludf.DUMMYFUNCTION("""COMPUTED_VALUE"""),"17:18")</f>
        <v>17:18</v>
      </c>
      <c r="AI1315" s="65" t="str">
        <f>IFERROR(__xludf.DUMMYFUNCTION("""COMPUTED_VALUE"""),"31-01-2026")</f>
        <v>31-01-2026</v>
      </c>
      <c r="AJ1315" s="65"/>
      <c r="AK1315" s="65"/>
      <c r="AL1315" s="65"/>
      <c r="AM1315" s="65"/>
      <c r="AN1315" s="65"/>
      <c r="AO1315" s="65"/>
      <c r="AP1315" s="65"/>
      <c r="AQ1315" s="65"/>
      <c r="AR1315" s="65"/>
      <c r="AS1315" s="65"/>
      <c r="AT1315" s="65" t="str">
        <f>IFERROR(__xludf.DUMMYFUNCTION("""COMPUTED_VALUE"""),"CHATEA PRO")</f>
        <v>CHATEA PRO</v>
      </c>
      <c r="AU1315" s="65" t="str">
        <f>IFERROR(__xludf.DUMMYFUNCTION("""COMPUTED_VALUE"""),"CHATEA PRO")</f>
        <v>CHATEA PRO</v>
      </c>
      <c r="AV1315" s="65"/>
      <c r="AW1315" s="65"/>
      <c r="AX1315" s="65"/>
      <c r="AY1315" s="65" t="str">
        <f>IFERROR(__xludf.DUMMYFUNCTION("""COMPUTED_VALUE"""),"29/01/2026")</f>
        <v>29/01/2026</v>
      </c>
      <c r="AZ1315" s="65"/>
      <c r="BA1315" s="65"/>
    </row>
    <row r="1316">
      <c r="A1316" s="65" t="str">
        <f>IFERROR(__xludf.DUMMYFUNCTION("""COMPUTED_VALUE"""),"27-03-2026")</f>
        <v>27-03-2026</v>
      </c>
      <c r="B1316" s="65">
        <f>IFERROR(__xludf.DUMMYFUNCTION("""COMPUTED_VALUE"""),4308019.0)</f>
        <v>4308019</v>
      </c>
      <c r="C1316" s="65" t="str">
        <f>IFERROR(__xludf.DUMMYFUNCTION("""COMPUTED_VALUE"""),"11:49")</f>
        <v>11:49</v>
      </c>
      <c r="D1316" s="65" t="str">
        <f>IFERROR(__xludf.DUMMYFUNCTION("""COMPUTED_VALUE"""),"28-01-2026")</f>
        <v>28-01-2026</v>
      </c>
      <c r="E1316" s="65" t="str">
        <f>IFERROR(__xludf.DUMMYFUNCTION("""COMPUTED_VALUE"""),"Javier Hualinga")</f>
        <v>Javier Hualinga</v>
      </c>
      <c r="F1316" s="65" t="str">
        <f>IFERROR(__xludf.DUMMYFUNCTION("""COMPUTED_VALUE"""),"991410094")</f>
        <v>991410094</v>
      </c>
      <c r="G1316" s="65" t="str">
        <f>IFERROR(__xludf.DUMMYFUNCTION("""COMPUTED_VALUE"""),"jgualinga@yahoo.com")</f>
        <v>jgualinga@yahoo.com</v>
      </c>
      <c r="H1316" s="65"/>
      <c r="I1316" s="65"/>
      <c r="J1316" s="65" t="str">
        <f>IFERROR(__xludf.DUMMYFUNCTION("""COMPUTED_VALUE"""),"D001273619")</f>
        <v>D001273619</v>
      </c>
      <c r="K1316" s="65" t="str">
        <f>IFERROR(__xludf.DUMMYFUNCTION("""COMPUTED_VALUE"""),"ENTREGADO")</f>
        <v>ENTREGADO</v>
      </c>
      <c r="L1316" s="65" t="str">
        <f>IFERROR(__xludf.DUMMYFUNCTION("""COMPUTED_VALUE"""),"CON RECAUDO")</f>
        <v>CON RECAUDO</v>
      </c>
      <c r="M1316" s="65" t="str">
        <f>IFERROR(__xludf.DUMMYFUNCTION("""COMPUTED_VALUE"""),"PICHINCHA")</f>
        <v>PICHINCHA</v>
      </c>
      <c r="N1316" s="65" t="str">
        <f>IFERROR(__xludf.DUMMYFUNCTION("""COMPUTED_VALUE"""),"QUITO")</f>
        <v>QUITO</v>
      </c>
      <c r="O1316" s="65" t="str">
        <f>IFERROR(__xludf.DUMMYFUNCTION("""COMPUTED_VALUE"""),"Juan León Mera y Medardo Silva San Juan de Cumbaya -")</f>
        <v>Juan León Mera y Medardo Silva San Juan de Cumbaya -</v>
      </c>
      <c r="P1316" s="65"/>
      <c r="Q1316" s="65" t="str">
        <f>IFERROR(__xludf.DUMMYFUNCTION("""COMPUTED_VALUE"""),"GINTRACOM")</f>
        <v>GINTRACOM</v>
      </c>
      <c r="R1316" s="65">
        <f>IFERROR(__xludf.DUMMYFUNCTION("""COMPUTED_VALUE"""),20.0)</f>
        <v>20</v>
      </c>
      <c r="S1316" s="65">
        <f>IFERROR(__xludf.DUMMYFUNCTION("""COMPUTED_VALUE"""),13.5)</f>
        <v>13.5</v>
      </c>
      <c r="T1316" s="65">
        <f>IFERROR(__xludf.DUMMYFUNCTION("""COMPUTED_VALUE"""),4.15)</f>
        <v>4.15</v>
      </c>
      <c r="U1316" s="65">
        <f>IFERROR(__xludf.DUMMYFUNCTION("""COMPUTED_VALUE"""),0.0)</f>
        <v>0</v>
      </c>
      <c r="V1316" s="65">
        <f>IFERROR(__xludf.DUMMYFUNCTION("""COMPUTED_VALUE"""),0.0)</f>
        <v>0</v>
      </c>
      <c r="W1316" s="65">
        <f>IFERROR(__xludf.DUMMYFUNCTION("""COMPUTED_VALUE"""),0.0)</f>
        <v>0</v>
      </c>
      <c r="X1316" s="65">
        <f>IFERROR(__xludf.DUMMYFUNCTION("""COMPUTED_VALUE"""),2.35)</f>
        <v>2.35</v>
      </c>
      <c r="Y1316" s="65">
        <f>IFERROR(__xludf.DUMMYFUNCTION("""COMPUTED_VALUE"""),2.35)</f>
        <v>2.35</v>
      </c>
      <c r="Z1316" s="65">
        <f>IFERROR(__xludf.DUMMYFUNCTION("""COMPUTED_VALUE"""),116679.0)</f>
        <v>116679</v>
      </c>
      <c r="AA1316" s="65" t="str">
        <f>IFERROR(__xludf.DUMMYFUNCTION("""COMPUTED_VALUE"""),"AMC-2738")</f>
        <v>AMC-2738</v>
      </c>
      <c r="AB1316" s="65"/>
      <c r="AC1316" s="65" t="str">
        <f>IFERROR(__xludf.DUMMYFUNCTION("""COMPUTED_VALUE"""),"ESPONJA ANTILLUVIA DE PARABRISAS")</f>
        <v>ESPONJA ANTILLUVIA DE PARABRISAS</v>
      </c>
      <c r="AD1316" s="65"/>
      <c r="AE1316" s="65">
        <f>IFERROR(__xludf.DUMMYFUNCTION("""COMPUTED_VALUE"""),1.0)</f>
        <v>1</v>
      </c>
      <c r="AF1316" s="65"/>
      <c r="AG1316" s="65"/>
      <c r="AH1316" s="65"/>
      <c r="AI1316" s="65"/>
      <c r="AJ1316" s="65"/>
      <c r="AK1316" s="65"/>
      <c r="AL1316" s="65"/>
      <c r="AM1316" s="65"/>
      <c r="AN1316" s="65"/>
      <c r="AO1316" s="65"/>
      <c r="AP1316" s="65"/>
      <c r="AQ1316" s="65"/>
      <c r="AR1316" s="65"/>
      <c r="AS1316" s="65"/>
      <c r="AT1316" s="65" t="str">
        <f>IFERROR(__xludf.DUMMYFUNCTION("""COMPUTED_VALUE"""),"SHOPIFY")</f>
        <v>SHOPIFY</v>
      </c>
      <c r="AU1316" s="65" t="str">
        <f>IFERROR(__xludf.DUMMYFUNCTION("""COMPUTED_VALUE"""),"IMPORTEX EC")</f>
        <v>IMPORTEX EC</v>
      </c>
      <c r="AV1316" s="65" t="str">
        <f>IFERROR(__xludf.DUMMYFUNCTION("""COMPUTED_VALUE"""),"6452863795244")</f>
        <v>6452863795244</v>
      </c>
      <c r="AW1316" s="65">
        <f>IFERROR(__xludf.DUMMYFUNCTION("""COMPUTED_VALUE"""),5587.0)</f>
        <v>5587</v>
      </c>
      <c r="AX1316" s="65"/>
      <c r="AY1316" s="65" t="str">
        <f>IFERROR(__xludf.DUMMYFUNCTION("""COMPUTED_VALUE"""),"29/01/2026")</f>
        <v>29/01/2026</v>
      </c>
      <c r="AZ1316" s="65"/>
      <c r="BA1316" s="65"/>
    </row>
    <row r="1317">
      <c r="A1317" s="65" t="str">
        <f>IFERROR(__xludf.DUMMYFUNCTION("""COMPUTED_VALUE"""),"27-03-2026")</f>
        <v>27-03-2026</v>
      </c>
      <c r="B1317" s="65">
        <f>IFERROR(__xludf.DUMMYFUNCTION("""COMPUTED_VALUE"""),4307785.0)</f>
        <v>4307785</v>
      </c>
      <c r="C1317" s="65" t="str">
        <f>IFERROR(__xludf.DUMMYFUNCTION("""COMPUTED_VALUE"""),"11:31")</f>
        <v>11:31</v>
      </c>
      <c r="D1317" s="65" t="str">
        <f>IFERROR(__xludf.DUMMYFUNCTION("""COMPUTED_VALUE"""),"28-01-2026")</f>
        <v>28-01-2026</v>
      </c>
      <c r="E1317" s="65" t="str">
        <f>IFERROR(__xludf.DUMMYFUNCTION("""COMPUTED_VALUE"""),"Xavier Muñoz")</f>
        <v>Xavier Muñoz</v>
      </c>
      <c r="F1317" s="65" t="str">
        <f>IFERROR(__xludf.DUMMYFUNCTION("""COMPUTED_VALUE"""),"988985865")</f>
        <v>988985865</v>
      </c>
      <c r="G1317" s="65"/>
      <c r="H1317" s="65"/>
      <c r="I1317" s="65"/>
      <c r="J1317" s="65" t="str">
        <f>IFERROR(__xludf.DUMMYFUNCTION("""COMPUTED_VALUE"""),"186548342")</f>
        <v>186548342</v>
      </c>
      <c r="K1317" s="65" t="str">
        <f>IFERROR(__xludf.DUMMYFUNCTION("""COMPUTED_VALUE"""),"DEVOLUCION")</f>
        <v>DEVOLUCION</v>
      </c>
      <c r="L1317" s="65" t="str">
        <f>IFERROR(__xludf.DUMMYFUNCTION("""COMPUTED_VALUE"""),"CON RECAUDO")</f>
        <v>CON RECAUDO</v>
      </c>
      <c r="M1317" s="65" t="str">
        <f>IFERROR(__xludf.DUMMYFUNCTION("""COMPUTED_VALUE"""),"MORONA SANTIAGO")</f>
        <v>MORONA SANTIAGO</v>
      </c>
      <c r="N1317" s="65" t="str">
        <f>IFERROR(__xludf.DUMMYFUNCTION("""COMPUTED_VALUE"""),"SUCUA")</f>
        <v>SUCUA</v>
      </c>
      <c r="O1317" s="65" t="str">
        <f>IFERROR(__xludf.DUMMYFUNCTION("""COMPUTED_VALUE"""),"CS: SUCUA_PRINCIPAL / AV. DOMINGO COMIN S/N Y EFREN ZUÑIGA")</f>
        <v>CS: SUCUA_PRINCIPAL / AV. DOMINGO COMIN S/N Y EFREN ZUÑIGA</v>
      </c>
      <c r="P1317" s="65" t="str">
        <f>IFERROR(__xludf.DUMMYFUNCTION("""COMPUTED_VALUE"""),"(SERVIENTREGA) CS: SUCUA_PRINCIPAL / AV. DOMINGO COMIN S/N Y EFREN ZUÑIGA")</f>
        <v>(SERVIENTREGA) CS: SUCUA_PRINCIPAL / AV. DOMINGO COMIN S/N Y EFREN ZUÑIGA</v>
      </c>
      <c r="Q1317" s="65" t="str">
        <f>IFERROR(__xludf.DUMMYFUNCTION("""COMPUTED_VALUE"""),"SERVIENTREGA")</f>
        <v>SERVIENTREGA</v>
      </c>
      <c r="R1317" s="65">
        <f>IFERROR(__xludf.DUMMYFUNCTION("""COMPUTED_VALUE"""),25.0)</f>
        <v>25</v>
      </c>
      <c r="S1317" s="65"/>
      <c r="T1317" s="65">
        <f>IFERROR(__xludf.DUMMYFUNCTION("""COMPUTED_VALUE"""),7.75)</f>
        <v>7.75</v>
      </c>
      <c r="U1317" s="65">
        <f>IFERROR(__xludf.DUMMYFUNCTION("""COMPUTED_VALUE"""),0.0)</f>
        <v>0</v>
      </c>
      <c r="V1317" s="65">
        <f>IFERROR(__xludf.DUMMYFUNCTION("""COMPUTED_VALUE"""),0.0)</f>
        <v>0</v>
      </c>
      <c r="W1317" s="65">
        <f>IFERROR(__xludf.DUMMYFUNCTION("""COMPUTED_VALUE"""),0.0)</f>
        <v>0</v>
      </c>
      <c r="X1317" s="65">
        <f>IFERROR(__xludf.DUMMYFUNCTION("""COMPUTED_VALUE"""),2.35)</f>
        <v>2.35</v>
      </c>
      <c r="Y1317" s="65">
        <f>IFERROR(__xludf.DUMMYFUNCTION("""COMPUTED_VALUE"""),4.7)</f>
        <v>4.7</v>
      </c>
      <c r="Z1317" s="65">
        <f>IFERROR(__xludf.DUMMYFUNCTION("""COMPUTED_VALUE"""),116679.0)</f>
        <v>116679</v>
      </c>
      <c r="AA1317" s="65" t="str">
        <f>IFERROR(__xludf.DUMMYFUNCTION("""COMPUTED_VALUE"""),"AMC-2738")</f>
        <v>AMC-2738</v>
      </c>
      <c r="AB1317" s="65"/>
      <c r="AC1317" s="65" t="str">
        <f>IFERROR(__xludf.DUMMYFUNCTION("""COMPUTED_VALUE"""),"ESPONJA ANTILLUVIA DE PARABRISAS")</f>
        <v>ESPONJA ANTILLUVIA DE PARABRISAS</v>
      </c>
      <c r="AD1317" s="65"/>
      <c r="AE1317" s="65">
        <f>IFERROR(__xludf.DUMMYFUNCTION("""COMPUTED_VALUE"""),2.0)</f>
        <v>2</v>
      </c>
      <c r="AF1317" s="65"/>
      <c r="AG1317" s="65"/>
      <c r="AH1317" s="65"/>
      <c r="AI1317" s="65"/>
      <c r="AJ1317" s="65"/>
      <c r="AK1317" s="65"/>
      <c r="AL1317" s="65"/>
      <c r="AM1317" s="65"/>
      <c r="AN1317" s="65" t="str">
        <f>IFERROR(__xludf.DUMMYFUNCTION("""COMPUTED_VALUE"""),"01:02")</f>
        <v>01:02</v>
      </c>
      <c r="AO1317" s="65" t="str">
        <f>IFERROR(__xludf.DUMMYFUNCTION("""COMPUTED_VALUE"""),"13-02-2026")</f>
        <v>13-02-2026</v>
      </c>
      <c r="AP1317" s="65" t="str">
        <f>IFERROR(__xludf.DUMMYFUNCTION("""COMPUTED_VALUE"""),"Certificacion Devolucion al Remitente CL QUITO SUR")</f>
        <v>Certificacion Devolucion al Remitente CL QUITO SUR</v>
      </c>
      <c r="AQ1317" s="65" t="str">
        <f>IFERROR(__xludf.DUMMYFUNCTION("""COMPUTED_VALUE"""),"{}")</f>
        <v>{}</v>
      </c>
      <c r="AR1317" s="65"/>
      <c r="AS1317" s="65" t="str">
        <f>IFERROR(__xludf.DUMMYFUNCTION("""COMPUTED_VALUE"""),"Bayron Gomez")</f>
        <v>Bayron Gomez</v>
      </c>
      <c r="AT1317" s="65"/>
      <c r="AU1317" s="65"/>
      <c r="AV1317" s="65"/>
      <c r="AW1317" s="65"/>
      <c r="AX1317" s="65"/>
      <c r="AY1317" s="65" t="str">
        <f>IFERROR(__xludf.DUMMYFUNCTION("""COMPUTED_VALUE"""),"29/01/2026")</f>
        <v>29/01/2026</v>
      </c>
      <c r="AZ1317" s="65"/>
      <c r="BA1317" s="65"/>
    </row>
    <row r="1318">
      <c r="A1318" s="65" t="str">
        <f>IFERROR(__xludf.DUMMYFUNCTION("""COMPUTED_VALUE"""),"27-03-2026")</f>
        <v>27-03-2026</v>
      </c>
      <c r="B1318" s="65">
        <f>IFERROR(__xludf.DUMMYFUNCTION("""COMPUTED_VALUE"""),4307709.0)</f>
        <v>4307709</v>
      </c>
      <c r="C1318" s="65" t="str">
        <f>IFERROR(__xludf.DUMMYFUNCTION("""COMPUTED_VALUE"""),"11:26")</f>
        <v>11:26</v>
      </c>
      <c r="D1318" s="65" t="str">
        <f>IFERROR(__xludf.DUMMYFUNCTION("""COMPUTED_VALUE"""),"28-01-2026")</f>
        <v>28-01-2026</v>
      </c>
      <c r="E1318" s="65" t="str">
        <f>IFERROR(__xludf.DUMMYFUNCTION("""COMPUTED_VALUE"""),"Xavier Muñoz")</f>
        <v>Xavier Muñoz</v>
      </c>
      <c r="F1318" s="65" t="str">
        <f>IFERROR(__xludf.DUMMYFUNCTION("""COMPUTED_VALUE"""),"988985865")</f>
        <v>988985865</v>
      </c>
      <c r="G1318" s="65"/>
      <c r="H1318" s="65"/>
      <c r="I1318" s="65"/>
      <c r="J1318" s="65"/>
      <c r="K1318" s="65" t="str">
        <f>IFERROR(__xludf.DUMMYFUNCTION("""COMPUTED_VALUE"""),"CANCELADO")</f>
        <v>CANCELADO</v>
      </c>
      <c r="L1318" s="65" t="str">
        <f>IFERROR(__xludf.DUMMYFUNCTION("""COMPUTED_VALUE"""),"CON RECAUDO")</f>
        <v>CON RECAUDO</v>
      </c>
      <c r="M1318" s="65" t="str">
        <f>IFERROR(__xludf.DUMMYFUNCTION("""COMPUTED_VALUE"""),"MORONA SANTIAGO")</f>
        <v>MORONA SANTIAGO</v>
      </c>
      <c r="N1318" s="65" t="str">
        <f>IFERROR(__xludf.DUMMYFUNCTION("""COMPUTED_VALUE"""),"SUCUA")</f>
        <v>SUCUA</v>
      </c>
      <c r="O1318" s="65" t="str">
        <f>IFERROR(__xludf.DUMMYFUNCTION("""COMPUTED_VALUE"""),"Edmundo Carvajal y Alcides Vintimilla, diagonal al hospital básico de Sucúa")</f>
        <v>Edmundo Carvajal y Alcides Vintimilla, diagonal al hospital básico de Sucúa</v>
      </c>
      <c r="P1318" s="65"/>
      <c r="Q1318" s="65" t="str">
        <f>IFERROR(__xludf.DUMMYFUNCTION("""COMPUTED_VALUE"""),"SERVIENTREGA")</f>
        <v>SERVIENTREGA</v>
      </c>
      <c r="R1318" s="65">
        <f>IFERROR(__xludf.DUMMYFUNCTION("""COMPUTED_VALUE"""),25.0)</f>
        <v>25</v>
      </c>
      <c r="S1318" s="65"/>
      <c r="T1318" s="65">
        <f>IFERROR(__xludf.DUMMYFUNCTION("""COMPUTED_VALUE"""),7.75)</f>
        <v>7.75</v>
      </c>
      <c r="U1318" s="65">
        <f>IFERROR(__xludf.DUMMYFUNCTION("""COMPUTED_VALUE"""),0.0)</f>
        <v>0</v>
      </c>
      <c r="V1318" s="65">
        <f>IFERROR(__xludf.DUMMYFUNCTION("""COMPUTED_VALUE"""),0.0)</f>
        <v>0</v>
      </c>
      <c r="W1318" s="65">
        <f>IFERROR(__xludf.DUMMYFUNCTION("""COMPUTED_VALUE"""),0.0)</f>
        <v>0</v>
      </c>
      <c r="X1318" s="65">
        <f>IFERROR(__xludf.DUMMYFUNCTION("""COMPUTED_VALUE"""),2.35)</f>
        <v>2.35</v>
      </c>
      <c r="Y1318" s="65">
        <f>IFERROR(__xludf.DUMMYFUNCTION("""COMPUTED_VALUE"""),4.7)</f>
        <v>4.7</v>
      </c>
      <c r="Z1318" s="65">
        <f>IFERROR(__xludf.DUMMYFUNCTION("""COMPUTED_VALUE"""),116679.0)</f>
        <v>116679</v>
      </c>
      <c r="AA1318" s="65" t="str">
        <f>IFERROR(__xludf.DUMMYFUNCTION("""COMPUTED_VALUE"""),"AMC-2738")</f>
        <v>AMC-2738</v>
      </c>
      <c r="AB1318" s="65"/>
      <c r="AC1318" s="65" t="str">
        <f>IFERROR(__xludf.DUMMYFUNCTION("""COMPUTED_VALUE"""),"ESPONJA ANTILLUVIA DE PARABRISAS")</f>
        <v>ESPONJA ANTILLUVIA DE PARABRISAS</v>
      </c>
      <c r="AD1318" s="65"/>
      <c r="AE1318" s="65">
        <f>IFERROR(__xludf.DUMMYFUNCTION("""COMPUTED_VALUE"""),2.0)</f>
        <v>2</v>
      </c>
      <c r="AF1318" s="65"/>
      <c r="AG1318" s="65"/>
      <c r="AH1318" s="65"/>
      <c r="AI1318" s="65"/>
      <c r="AJ1318" s="65"/>
      <c r="AK1318" s="65"/>
      <c r="AL1318" s="65"/>
      <c r="AM1318" s="65"/>
      <c r="AN1318" s="65"/>
      <c r="AO1318" s="65"/>
      <c r="AP1318" s="65"/>
      <c r="AQ1318" s="65"/>
      <c r="AR1318" s="65"/>
      <c r="AS1318" s="65"/>
      <c r="AT1318" s="65" t="str">
        <f>IFERROR(__xludf.DUMMYFUNCTION("""COMPUTED_VALUE"""),"CHATEA PRO")</f>
        <v>CHATEA PRO</v>
      </c>
      <c r="AU1318" s="65" t="str">
        <f>IFERROR(__xludf.DUMMYFUNCTION("""COMPUTED_VALUE"""),"CHATEA PRO")</f>
        <v>CHATEA PRO</v>
      </c>
      <c r="AV1318" s="65"/>
      <c r="AW1318" s="65"/>
      <c r="AX1318" s="65"/>
      <c r="AY1318" s="65"/>
      <c r="AZ1318" s="65"/>
      <c r="BA1318" s="65"/>
    </row>
    <row r="1319">
      <c r="A1319" s="65" t="str">
        <f>IFERROR(__xludf.DUMMYFUNCTION("""COMPUTED_VALUE"""),"27-03-2026")</f>
        <v>27-03-2026</v>
      </c>
      <c r="B1319" s="65">
        <f>IFERROR(__xludf.DUMMYFUNCTION("""COMPUTED_VALUE"""),4307059.0)</f>
        <v>4307059</v>
      </c>
      <c r="C1319" s="65" t="str">
        <f>IFERROR(__xludf.DUMMYFUNCTION("""COMPUTED_VALUE"""),"10:41")</f>
        <v>10:41</v>
      </c>
      <c r="D1319" s="65" t="str">
        <f>IFERROR(__xludf.DUMMYFUNCTION("""COMPUTED_VALUE"""),"28-01-2026")</f>
        <v>28-01-2026</v>
      </c>
      <c r="E1319" s="65" t="str">
        <f>IFERROR(__xludf.DUMMYFUNCTION("""COMPUTED_VALUE"""),"Paola Velin")</f>
        <v>Paola Velin</v>
      </c>
      <c r="F1319" s="65" t="str">
        <f>IFERROR(__xludf.DUMMYFUNCTION("""COMPUTED_VALUE"""),"986579353")</f>
        <v>986579353</v>
      </c>
      <c r="G1319" s="65" t="str">
        <f>IFERROR(__xludf.DUMMYFUNCTION("""COMPUTED_VALUE"""),"paolavc87@gmail.com")</f>
        <v>paolavc87@gmail.com</v>
      </c>
      <c r="H1319" s="65"/>
      <c r="I1319" s="65"/>
      <c r="J1319" s="65" t="str">
        <f>IFERROR(__xludf.DUMMYFUNCTION("""COMPUTED_VALUE"""),"D001277189")</f>
        <v>D001277189</v>
      </c>
      <c r="K1319" s="65" t="str">
        <f>IFERROR(__xludf.DUMMYFUNCTION("""COMPUTED_VALUE"""),"ENTREGADO")</f>
        <v>ENTREGADO</v>
      </c>
      <c r="L1319" s="65" t="str">
        <f>IFERROR(__xludf.DUMMYFUNCTION("""COMPUTED_VALUE"""),"CON RECAUDO")</f>
        <v>CON RECAUDO</v>
      </c>
      <c r="M1319" s="65" t="str">
        <f>IFERROR(__xludf.DUMMYFUNCTION("""COMPUTED_VALUE"""),"MORONA SANTIAGO")</f>
        <v>MORONA SANTIAGO</v>
      </c>
      <c r="N1319" s="65" t="str">
        <f>IFERROR(__xludf.DUMMYFUNCTION("""COMPUTED_VALUE"""),"MACAS")</f>
        <v>MACAS</v>
      </c>
      <c r="O1319" s="65" t="str">
        <f>IFERROR(__xludf.DUMMYFUNCTION("""COMPUTED_VALUE"""),"24 de Mayo y Gabino Rivadeneira Barrio Juan de la Cruz -")</f>
        <v>24 de Mayo y Gabino Rivadeneira Barrio Juan de la Cruz -</v>
      </c>
      <c r="P1319" s="65"/>
      <c r="Q1319" s="65" t="str">
        <f>IFERROR(__xludf.DUMMYFUNCTION("""COMPUTED_VALUE"""),"GINTRACOM")</f>
        <v>GINTRACOM</v>
      </c>
      <c r="R1319" s="65">
        <f>IFERROR(__xludf.DUMMYFUNCTION("""COMPUTED_VALUE"""),20.0)</f>
        <v>20</v>
      </c>
      <c r="S1319" s="65">
        <f>IFERROR(__xludf.DUMMYFUNCTION("""COMPUTED_VALUE"""),11.89)</f>
        <v>11.89</v>
      </c>
      <c r="T1319" s="65">
        <f>IFERROR(__xludf.DUMMYFUNCTION("""COMPUTED_VALUE"""),5.76)</f>
        <v>5.76</v>
      </c>
      <c r="U1319" s="65">
        <f>IFERROR(__xludf.DUMMYFUNCTION("""COMPUTED_VALUE"""),0.0)</f>
        <v>0</v>
      </c>
      <c r="V1319" s="65">
        <f>IFERROR(__xludf.DUMMYFUNCTION("""COMPUTED_VALUE"""),0.0)</f>
        <v>0</v>
      </c>
      <c r="W1319" s="65">
        <f>IFERROR(__xludf.DUMMYFUNCTION("""COMPUTED_VALUE"""),0.0)</f>
        <v>0</v>
      </c>
      <c r="X1319" s="65">
        <f>IFERROR(__xludf.DUMMYFUNCTION("""COMPUTED_VALUE"""),2.35)</f>
        <v>2.35</v>
      </c>
      <c r="Y1319" s="65">
        <f>IFERROR(__xludf.DUMMYFUNCTION("""COMPUTED_VALUE"""),2.35)</f>
        <v>2.35</v>
      </c>
      <c r="Z1319" s="65">
        <f>IFERROR(__xludf.DUMMYFUNCTION("""COMPUTED_VALUE"""),116679.0)</f>
        <v>116679</v>
      </c>
      <c r="AA1319" s="65" t="str">
        <f>IFERROR(__xludf.DUMMYFUNCTION("""COMPUTED_VALUE"""),"AMC-2738")</f>
        <v>AMC-2738</v>
      </c>
      <c r="AB1319" s="65"/>
      <c r="AC1319" s="65" t="str">
        <f>IFERROR(__xludf.DUMMYFUNCTION("""COMPUTED_VALUE"""),"ESPONJA ANTILLUVIA DE PARABRISAS")</f>
        <v>ESPONJA ANTILLUVIA DE PARABRISAS</v>
      </c>
      <c r="AD1319" s="65"/>
      <c r="AE1319" s="65">
        <f>IFERROR(__xludf.DUMMYFUNCTION("""COMPUTED_VALUE"""),1.0)</f>
        <v>1</v>
      </c>
      <c r="AF1319" s="65"/>
      <c r="AG1319" s="65"/>
      <c r="AH1319" s="65"/>
      <c r="AI1319" s="65"/>
      <c r="AJ1319" s="65"/>
      <c r="AK1319" s="65"/>
      <c r="AL1319" s="65"/>
      <c r="AM1319" s="65"/>
      <c r="AN1319" s="65"/>
      <c r="AO1319" s="65"/>
      <c r="AP1319" s="65"/>
      <c r="AQ1319" s="65"/>
      <c r="AR1319" s="65"/>
      <c r="AS1319" s="65"/>
      <c r="AT1319" s="65" t="str">
        <f>IFERROR(__xludf.DUMMYFUNCTION("""COMPUTED_VALUE"""),"SHOPIFY")</f>
        <v>SHOPIFY</v>
      </c>
      <c r="AU1319" s="65" t="str">
        <f>IFERROR(__xludf.DUMMYFUNCTION("""COMPUTED_VALUE"""),"IMPORTEX EC")</f>
        <v>IMPORTEX EC</v>
      </c>
      <c r="AV1319" s="65" t="str">
        <f>IFERROR(__xludf.DUMMYFUNCTION("""COMPUTED_VALUE"""),"6453933637676")</f>
        <v>6453933637676</v>
      </c>
      <c r="AW1319" s="65">
        <f>IFERROR(__xludf.DUMMYFUNCTION("""COMPUTED_VALUE"""),5605.0)</f>
        <v>5605</v>
      </c>
      <c r="AX1319" s="65"/>
      <c r="AY1319" s="65" t="str">
        <f>IFERROR(__xludf.DUMMYFUNCTION("""COMPUTED_VALUE"""),"30/01/2026")</f>
        <v>30/01/2026</v>
      </c>
      <c r="AZ1319" s="65"/>
      <c r="BA1319" s="65"/>
    </row>
    <row r="1320">
      <c r="A1320" s="65" t="str">
        <f>IFERROR(__xludf.DUMMYFUNCTION("""COMPUTED_VALUE"""),"27-03-2026")</f>
        <v>27-03-2026</v>
      </c>
      <c r="B1320" s="65">
        <f>IFERROR(__xludf.DUMMYFUNCTION("""COMPUTED_VALUE"""),4305797.0)</f>
        <v>4305797</v>
      </c>
      <c r="C1320" s="65" t="str">
        <f>IFERROR(__xludf.DUMMYFUNCTION("""COMPUTED_VALUE"""),"09:12")</f>
        <v>09:12</v>
      </c>
      <c r="D1320" s="65" t="str">
        <f>IFERROR(__xludf.DUMMYFUNCTION("""COMPUTED_VALUE"""),"28-01-2026")</f>
        <v>28-01-2026</v>
      </c>
      <c r="E1320" s="65" t="str">
        <f>IFERROR(__xludf.DUMMYFUNCTION("""COMPUTED_VALUE"""),"Fatima Tung San")</f>
        <v>Fatima Tung San</v>
      </c>
      <c r="F1320" s="65" t="str">
        <f>IFERROR(__xludf.DUMMYFUNCTION("""COMPUTED_VALUE"""),"984912363")</f>
        <v>984912363</v>
      </c>
      <c r="G1320" s="65" t="str">
        <f>IFERROR(__xludf.DUMMYFUNCTION("""COMPUTED_VALUE"""),"chinitaf@hotmail.com")</f>
        <v>chinitaf@hotmail.com</v>
      </c>
      <c r="H1320" s="65"/>
      <c r="I1320" s="65"/>
      <c r="J1320" s="65" t="str">
        <f>IFERROR(__xludf.DUMMYFUNCTION("""COMPUTED_VALUE"""),"D001277191")</f>
        <v>D001277191</v>
      </c>
      <c r="K1320" s="65" t="str">
        <f>IFERROR(__xludf.DUMMYFUNCTION("""COMPUTED_VALUE"""),"ENTREGADO")</f>
        <v>ENTREGADO</v>
      </c>
      <c r="L1320" s="65" t="str">
        <f>IFERROR(__xludf.DUMMYFUNCTION("""COMPUTED_VALUE"""),"CON RECAUDO")</f>
        <v>CON RECAUDO</v>
      </c>
      <c r="M1320" s="65" t="str">
        <f>IFERROR(__xludf.DUMMYFUNCTION("""COMPUTED_VALUE"""),"GUAYAS")</f>
        <v>GUAYAS</v>
      </c>
      <c r="N1320" s="65" t="str">
        <f>IFERROR(__xludf.DUMMYFUNCTION("""COMPUTED_VALUE"""),"GUAYAQUIL")</f>
        <v>GUAYAQUIL</v>
      </c>
      <c r="O1320" s="65" t="str">
        <f>IFERROR(__xludf.DUMMYFUNCTION("""COMPUTED_VALUE"""),"Cdla Nueva Kennedy calle 3era #131 y la c Entrando por la clínica estética dr morales, en la peatonal de la curva -")</f>
        <v>Cdla Nueva Kennedy calle 3era #131 y la c Entrando por la clínica estética dr morales, en la peatonal de la curva -</v>
      </c>
      <c r="P1320" s="65"/>
      <c r="Q1320" s="65" t="str">
        <f>IFERROR(__xludf.DUMMYFUNCTION("""COMPUTED_VALUE"""),"GINTRACOM")</f>
        <v>GINTRACOM</v>
      </c>
      <c r="R1320" s="65">
        <f>IFERROR(__xludf.DUMMYFUNCTION("""COMPUTED_VALUE"""),20.0)</f>
        <v>20</v>
      </c>
      <c r="S1320" s="65">
        <f>IFERROR(__xludf.DUMMYFUNCTION("""COMPUTED_VALUE"""),11.89)</f>
        <v>11.89</v>
      </c>
      <c r="T1320" s="65">
        <f>IFERROR(__xludf.DUMMYFUNCTION("""COMPUTED_VALUE"""),5.76)</f>
        <v>5.76</v>
      </c>
      <c r="U1320" s="65">
        <f>IFERROR(__xludf.DUMMYFUNCTION("""COMPUTED_VALUE"""),0.0)</f>
        <v>0</v>
      </c>
      <c r="V1320" s="65">
        <f>IFERROR(__xludf.DUMMYFUNCTION("""COMPUTED_VALUE"""),0.0)</f>
        <v>0</v>
      </c>
      <c r="W1320" s="65">
        <f>IFERROR(__xludf.DUMMYFUNCTION("""COMPUTED_VALUE"""),0.0)</f>
        <v>0</v>
      </c>
      <c r="X1320" s="65">
        <f>IFERROR(__xludf.DUMMYFUNCTION("""COMPUTED_VALUE"""),2.35)</f>
        <v>2.35</v>
      </c>
      <c r="Y1320" s="65">
        <f>IFERROR(__xludf.DUMMYFUNCTION("""COMPUTED_VALUE"""),2.35)</f>
        <v>2.35</v>
      </c>
      <c r="Z1320" s="65">
        <f>IFERROR(__xludf.DUMMYFUNCTION("""COMPUTED_VALUE"""),116679.0)</f>
        <v>116679</v>
      </c>
      <c r="AA1320" s="65" t="str">
        <f>IFERROR(__xludf.DUMMYFUNCTION("""COMPUTED_VALUE"""),"AMC-2738")</f>
        <v>AMC-2738</v>
      </c>
      <c r="AB1320" s="65"/>
      <c r="AC1320" s="65" t="str">
        <f>IFERROR(__xludf.DUMMYFUNCTION("""COMPUTED_VALUE"""),"ESPONJA ANTILLUVIA DE PARABRISAS")</f>
        <v>ESPONJA ANTILLUVIA DE PARABRISAS</v>
      </c>
      <c r="AD1320" s="65"/>
      <c r="AE1320" s="65">
        <f>IFERROR(__xludf.DUMMYFUNCTION("""COMPUTED_VALUE"""),1.0)</f>
        <v>1</v>
      </c>
      <c r="AF1320" s="65"/>
      <c r="AG1320" s="65"/>
      <c r="AH1320" s="65"/>
      <c r="AI1320" s="65"/>
      <c r="AJ1320" s="65"/>
      <c r="AK1320" s="65"/>
      <c r="AL1320" s="65"/>
      <c r="AM1320" s="65"/>
      <c r="AN1320" s="65"/>
      <c r="AO1320" s="65"/>
      <c r="AP1320" s="65"/>
      <c r="AQ1320" s="65"/>
      <c r="AR1320" s="65"/>
      <c r="AS1320" s="65"/>
      <c r="AT1320" s="65" t="str">
        <f>IFERROR(__xludf.DUMMYFUNCTION("""COMPUTED_VALUE"""),"SHOPIFY")</f>
        <v>SHOPIFY</v>
      </c>
      <c r="AU1320" s="65" t="str">
        <f>IFERROR(__xludf.DUMMYFUNCTION("""COMPUTED_VALUE"""),"IMPORTEX EC")</f>
        <v>IMPORTEX EC</v>
      </c>
      <c r="AV1320" s="65" t="str">
        <f>IFERROR(__xludf.DUMMYFUNCTION("""COMPUTED_VALUE"""),"6453782577196")</f>
        <v>6453782577196</v>
      </c>
      <c r="AW1320" s="65">
        <f>IFERROR(__xludf.DUMMYFUNCTION("""COMPUTED_VALUE"""),5604.0)</f>
        <v>5604</v>
      </c>
      <c r="AX1320" s="65"/>
      <c r="AY1320" s="65" t="str">
        <f>IFERROR(__xludf.DUMMYFUNCTION("""COMPUTED_VALUE"""),"30/01/2026")</f>
        <v>30/01/2026</v>
      </c>
      <c r="AZ1320" s="65"/>
      <c r="BA1320" s="65"/>
    </row>
    <row r="1321">
      <c r="A1321" s="65" t="str">
        <f>IFERROR(__xludf.DUMMYFUNCTION("""COMPUTED_VALUE"""),"27-03-2026")</f>
        <v>27-03-2026</v>
      </c>
      <c r="B1321" s="65">
        <f>IFERROR(__xludf.DUMMYFUNCTION("""COMPUTED_VALUE"""),4305176.0)</f>
        <v>4305176</v>
      </c>
      <c r="C1321" s="65" t="str">
        <f>IFERROR(__xludf.DUMMYFUNCTION("""COMPUTED_VALUE"""),"08:30")</f>
        <v>08:30</v>
      </c>
      <c r="D1321" s="65" t="str">
        <f>IFERROR(__xludf.DUMMYFUNCTION("""COMPUTED_VALUE"""),"28-01-2026")</f>
        <v>28-01-2026</v>
      </c>
      <c r="E1321" s="65" t="str">
        <f>IFERROR(__xludf.DUMMYFUNCTION("""COMPUTED_VALUE"""),"Jimmy flores flores")</f>
        <v>Jimmy flores flores</v>
      </c>
      <c r="F1321" s="65" t="str">
        <f>IFERROR(__xludf.DUMMYFUNCTION("""COMPUTED_VALUE"""),"987710084")</f>
        <v>987710084</v>
      </c>
      <c r="G1321" s="65"/>
      <c r="H1321" s="65"/>
      <c r="I1321" s="65"/>
      <c r="J1321" s="65" t="str">
        <f>IFERROR(__xludf.DUMMYFUNCTION("""COMPUTED_VALUE"""),"D001270063")</f>
        <v>D001270063</v>
      </c>
      <c r="K1321" s="65" t="str">
        <f>IFERROR(__xludf.DUMMYFUNCTION("""COMPUTED_VALUE"""),"ENTREGADO")</f>
        <v>ENTREGADO</v>
      </c>
      <c r="L1321" s="65" t="str">
        <f>IFERROR(__xludf.DUMMYFUNCTION("""COMPUTED_VALUE"""),"CON RECAUDO")</f>
        <v>CON RECAUDO</v>
      </c>
      <c r="M1321" s="65" t="str">
        <f>IFERROR(__xludf.DUMMYFUNCTION("""COMPUTED_VALUE"""),"PICHINCHA")</f>
        <v>PICHINCHA</v>
      </c>
      <c r="N1321" s="65" t="str">
        <f>IFERROR(__xludf.DUMMYFUNCTION("""COMPUTED_VALUE"""),"QUITO")</f>
        <v>QUITO</v>
      </c>
      <c r="O1321" s="65" t="str">
        <f>IFERROR(__xludf.DUMMYFUNCTION("""COMPUTED_VALUE"""),"Carcelen Bajo. Calles N92A_ E4A Frente a cancha de voley de tierra")</f>
        <v>Carcelen Bajo. Calles N92A_ E4A Frente a cancha de voley de tierra</v>
      </c>
      <c r="P1321" s="65"/>
      <c r="Q1321" s="65" t="str">
        <f>IFERROR(__xludf.DUMMYFUNCTION("""COMPUTED_VALUE"""),"GINTRACOM")</f>
        <v>GINTRACOM</v>
      </c>
      <c r="R1321" s="65">
        <f>IFERROR(__xludf.DUMMYFUNCTION("""COMPUTED_VALUE"""),20.0)</f>
        <v>20</v>
      </c>
      <c r="S1321" s="65">
        <f>IFERROR(__xludf.DUMMYFUNCTION("""COMPUTED_VALUE"""),13.5)</f>
        <v>13.5</v>
      </c>
      <c r="T1321" s="65">
        <f>IFERROR(__xludf.DUMMYFUNCTION("""COMPUTED_VALUE"""),4.15)</f>
        <v>4.15</v>
      </c>
      <c r="U1321" s="65">
        <f>IFERROR(__xludf.DUMMYFUNCTION("""COMPUTED_VALUE"""),0.0)</f>
        <v>0</v>
      </c>
      <c r="V1321" s="65">
        <f>IFERROR(__xludf.DUMMYFUNCTION("""COMPUTED_VALUE"""),0.0)</f>
        <v>0</v>
      </c>
      <c r="W1321" s="65">
        <f>IFERROR(__xludf.DUMMYFUNCTION("""COMPUTED_VALUE"""),0.0)</f>
        <v>0</v>
      </c>
      <c r="X1321" s="65">
        <f>IFERROR(__xludf.DUMMYFUNCTION("""COMPUTED_VALUE"""),2.35)</f>
        <v>2.35</v>
      </c>
      <c r="Y1321" s="65">
        <f>IFERROR(__xludf.DUMMYFUNCTION("""COMPUTED_VALUE"""),2.35)</f>
        <v>2.35</v>
      </c>
      <c r="Z1321" s="65">
        <f>IFERROR(__xludf.DUMMYFUNCTION("""COMPUTED_VALUE"""),116679.0)</f>
        <v>116679</v>
      </c>
      <c r="AA1321" s="65" t="str">
        <f>IFERROR(__xludf.DUMMYFUNCTION("""COMPUTED_VALUE"""),"AMC-2738")</f>
        <v>AMC-2738</v>
      </c>
      <c r="AB1321" s="65"/>
      <c r="AC1321" s="65" t="str">
        <f>IFERROR(__xludf.DUMMYFUNCTION("""COMPUTED_VALUE"""),"ESPONJA ANTILLUVIA DE PARABRISAS")</f>
        <v>ESPONJA ANTILLUVIA DE PARABRISAS</v>
      </c>
      <c r="AD1321" s="65"/>
      <c r="AE1321" s="65">
        <f>IFERROR(__xludf.DUMMYFUNCTION("""COMPUTED_VALUE"""),1.0)</f>
        <v>1</v>
      </c>
      <c r="AF1321" s="65"/>
      <c r="AG1321" s="65"/>
      <c r="AH1321" s="65"/>
      <c r="AI1321" s="65"/>
      <c r="AJ1321" s="65"/>
      <c r="AK1321" s="65"/>
      <c r="AL1321" s="65"/>
      <c r="AM1321" s="65"/>
      <c r="AN1321" s="65"/>
      <c r="AO1321" s="65"/>
      <c r="AP1321" s="65"/>
      <c r="AQ1321" s="65"/>
      <c r="AR1321" s="65"/>
      <c r="AS1321" s="65"/>
      <c r="AT1321" s="65" t="str">
        <f>IFERROR(__xludf.DUMMYFUNCTION("""COMPUTED_VALUE"""),"CHATEA PRO")</f>
        <v>CHATEA PRO</v>
      </c>
      <c r="AU1321" s="65" t="str">
        <f>IFERROR(__xludf.DUMMYFUNCTION("""COMPUTED_VALUE"""),"CHATEA PRO")</f>
        <v>CHATEA PRO</v>
      </c>
      <c r="AV1321" s="65"/>
      <c r="AW1321" s="65"/>
      <c r="AX1321" s="65"/>
      <c r="AY1321" s="65" t="str">
        <f>IFERROR(__xludf.DUMMYFUNCTION("""COMPUTED_VALUE"""),"28/01/2026")</f>
        <v>28/01/2026</v>
      </c>
      <c r="AZ1321" s="65"/>
      <c r="BA1321" s="65"/>
    </row>
    <row r="1322">
      <c r="A1322" s="65" t="str">
        <f>IFERROR(__xludf.DUMMYFUNCTION("""COMPUTED_VALUE"""),"27-03-2026")</f>
        <v>27-03-2026</v>
      </c>
      <c r="B1322" s="65">
        <f>IFERROR(__xludf.DUMMYFUNCTION("""COMPUTED_VALUE"""),4303920.0)</f>
        <v>4303920</v>
      </c>
      <c r="C1322" s="65" t="str">
        <f>IFERROR(__xludf.DUMMYFUNCTION("""COMPUTED_VALUE"""),"05:52")</f>
        <v>05:52</v>
      </c>
      <c r="D1322" s="65" t="str">
        <f>IFERROR(__xludf.DUMMYFUNCTION("""COMPUTED_VALUE"""),"28-01-2026")</f>
        <v>28-01-2026</v>
      </c>
      <c r="E1322" s="65" t="str">
        <f>IFERROR(__xludf.DUMMYFUNCTION("""COMPUTED_VALUE"""),"Andres Gallegos")</f>
        <v>Andres Gallegos</v>
      </c>
      <c r="F1322" s="65" t="str">
        <f>IFERROR(__xludf.DUMMYFUNCTION("""COMPUTED_VALUE"""),"989409750")</f>
        <v>989409750</v>
      </c>
      <c r="G1322" s="65"/>
      <c r="H1322" s="65"/>
      <c r="I1322" s="65"/>
      <c r="J1322" s="65"/>
      <c r="K1322" s="65" t="str">
        <f>IFERROR(__xludf.DUMMYFUNCTION("""COMPUTED_VALUE"""),"PENDIENTE CONFIRMACION")</f>
        <v>PENDIENTE CONFIRMACION</v>
      </c>
      <c r="L1322" s="65" t="str">
        <f>IFERROR(__xludf.DUMMYFUNCTION("""COMPUTED_VALUE"""),"CON RECAUDO")</f>
        <v>CON RECAUDO</v>
      </c>
      <c r="M1322" s="65" t="str">
        <f>IFERROR(__xludf.DUMMYFUNCTION("""COMPUTED_VALUE"""),"PICHINCHA")</f>
        <v>PICHINCHA</v>
      </c>
      <c r="N1322" s="65" t="str">
        <f>IFERROR(__xludf.DUMMYFUNCTION("""COMPUTED_VALUE"""),"QUITO")</f>
        <v>QUITO</v>
      </c>
      <c r="O1322" s="65" t="str">
        <f>IFERROR(__xludf.DUMMYFUNCTION("""COMPUTED_VALUE"""),"Bolívar Oe9-55 y Chimborazo Sector centro de quito -")</f>
        <v>Bolívar Oe9-55 y Chimborazo Sector centro de quito -</v>
      </c>
      <c r="P1322" s="65"/>
      <c r="Q1322" s="65" t="str">
        <f>IFERROR(__xludf.DUMMYFUNCTION("""COMPUTED_VALUE"""),"GINTRACOM")</f>
        <v>GINTRACOM</v>
      </c>
      <c r="R1322" s="65">
        <f>IFERROR(__xludf.DUMMYFUNCTION("""COMPUTED_VALUE"""),30.0)</f>
        <v>30</v>
      </c>
      <c r="S1322" s="65"/>
      <c r="T1322" s="65">
        <f>IFERROR(__xludf.DUMMYFUNCTION("""COMPUTED_VALUE"""),4.55)</f>
        <v>4.55</v>
      </c>
      <c r="U1322" s="65">
        <f>IFERROR(__xludf.DUMMYFUNCTION("""COMPUTED_VALUE"""),0.0)</f>
        <v>0</v>
      </c>
      <c r="V1322" s="65">
        <f>IFERROR(__xludf.DUMMYFUNCTION("""COMPUTED_VALUE"""),0.0)</f>
        <v>0</v>
      </c>
      <c r="W1322" s="65">
        <f>IFERROR(__xludf.DUMMYFUNCTION("""COMPUTED_VALUE"""),0.0)</f>
        <v>0</v>
      </c>
      <c r="X1322" s="65">
        <f>IFERROR(__xludf.DUMMYFUNCTION("""COMPUTED_VALUE"""),2.35)</f>
        <v>2.35</v>
      </c>
      <c r="Y1322" s="65">
        <f>IFERROR(__xludf.DUMMYFUNCTION("""COMPUTED_VALUE"""),7.05)</f>
        <v>7.05</v>
      </c>
      <c r="Z1322" s="65">
        <f>IFERROR(__xludf.DUMMYFUNCTION("""COMPUTED_VALUE"""),116679.0)</f>
        <v>116679</v>
      </c>
      <c r="AA1322" s="65" t="str">
        <f>IFERROR(__xludf.DUMMYFUNCTION("""COMPUTED_VALUE"""),"AMC-2738")</f>
        <v>AMC-2738</v>
      </c>
      <c r="AB1322" s="65"/>
      <c r="AC1322" s="65" t="str">
        <f>IFERROR(__xludf.DUMMYFUNCTION("""COMPUTED_VALUE"""),"ESPONJA ANTILLUVIA DE PARABRISAS")</f>
        <v>ESPONJA ANTILLUVIA DE PARABRISAS</v>
      </c>
      <c r="AD1322" s="65"/>
      <c r="AE1322" s="65">
        <f>IFERROR(__xludf.DUMMYFUNCTION("""COMPUTED_VALUE"""),3.0)</f>
        <v>3</v>
      </c>
      <c r="AF1322" s="65"/>
      <c r="AG1322" s="65"/>
      <c r="AH1322" s="65"/>
      <c r="AI1322" s="65"/>
      <c r="AJ1322" s="65"/>
      <c r="AK1322" s="65"/>
      <c r="AL1322" s="65"/>
      <c r="AM1322" s="65"/>
      <c r="AN1322" s="65"/>
      <c r="AO1322" s="65"/>
      <c r="AP1322" s="65"/>
      <c r="AQ1322" s="65"/>
      <c r="AR1322" s="65"/>
      <c r="AS1322" s="65"/>
      <c r="AT1322" s="65" t="str">
        <f>IFERROR(__xludf.DUMMYFUNCTION("""COMPUTED_VALUE"""),"SHOPIFY")</f>
        <v>SHOPIFY</v>
      </c>
      <c r="AU1322" s="65" t="str">
        <f>IFERROR(__xludf.DUMMYFUNCTION("""COMPUTED_VALUE"""),"IMPORTEX EC")</f>
        <v>IMPORTEX EC</v>
      </c>
      <c r="AV1322" s="65" t="str">
        <f>IFERROR(__xludf.DUMMYFUNCTION("""COMPUTED_VALUE"""),"6453567029292")</f>
        <v>6453567029292</v>
      </c>
      <c r="AW1322" s="65">
        <f>IFERROR(__xludf.DUMMYFUNCTION("""COMPUTED_VALUE"""),5599.0)</f>
        <v>5599</v>
      </c>
      <c r="AX1322" s="65"/>
      <c r="AY1322" s="65"/>
      <c r="AZ1322" s="65"/>
      <c r="BA1322" s="65"/>
    </row>
    <row r="1323">
      <c r="A1323" s="65" t="str">
        <f>IFERROR(__xludf.DUMMYFUNCTION("""COMPUTED_VALUE"""),"27-03-2026")</f>
        <v>27-03-2026</v>
      </c>
      <c r="B1323" s="65">
        <f>IFERROR(__xludf.DUMMYFUNCTION("""COMPUTED_VALUE"""),4303857.0)</f>
        <v>4303857</v>
      </c>
      <c r="C1323" s="65" t="str">
        <f>IFERROR(__xludf.DUMMYFUNCTION("""COMPUTED_VALUE"""),"05:27")</f>
        <v>05:27</v>
      </c>
      <c r="D1323" s="65" t="str">
        <f>IFERROR(__xludf.DUMMYFUNCTION("""COMPUTED_VALUE"""),"28-01-2026")</f>
        <v>28-01-2026</v>
      </c>
      <c r="E1323" s="65" t="str">
        <f>IFERROR(__xludf.DUMMYFUNCTION("""COMPUTED_VALUE"""),"Johanna Pilco")</f>
        <v>Johanna Pilco</v>
      </c>
      <c r="F1323" s="65" t="str">
        <f>IFERROR(__xludf.DUMMYFUNCTION("""COMPUTED_VALUE"""),"996331316")</f>
        <v>996331316</v>
      </c>
      <c r="G1323" s="65" t="str">
        <f>IFERROR(__xludf.DUMMYFUNCTION("""COMPUTED_VALUE"""),"johialeix@gmail.com")</f>
        <v>johialeix@gmail.com</v>
      </c>
      <c r="H1323" s="65"/>
      <c r="I1323" s="65"/>
      <c r="J1323" s="65" t="str">
        <f>IFERROR(__xludf.DUMMYFUNCTION("""COMPUTED_VALUE"""),"D001277192")</f>
        <v>D001277192</v>
      </c>
      <c r="K1323" s="65" t="str">
        <f>IFERROR(__xludf.DUMMYFUNCTION("""COMPUTED_VALUE"""),"ENTREGADO")</f>
        <v>ENTREGADO</v>
      </c>
      <c r="L1323" s="65" t="str">
        <f>IFERROR(__xludf.DUMMYFUNCTION("""COMPUTED_VALUE"""),"CON RECAUDO")</f>
        <v>CON RECAUDO</v>
      </c>
      <c r="M1323" s="65" t="str">
        <f>IFERROR(__xludf.DUMMYFUNCTION("""COMPUTED_VALUE"""),"PICHINCHA")</f>
        <v>PICHINCHA</v>
      </c>
      <c r="N1323" s="65" t="str">
        <f>IFERROR(__xludf.DUMMYFUNCTION("""COMPUTED_VALUE"""),"QUITO")</f>
        <v>QUITO</v>
      </c>
      <c r="O1323" s="65" t="str">
        <f>IFERROR(__xludf.DUMMYFUNCTION("""COMPUTED_VALUE"""),"Mariana de Jesús y occidental Las casas hospital de la policia -")</f>
        <v>Mariana de Jesús y occidental Las casas hospital de la policia -</v>
      </c>
      <c r="P1323" s="65"/>
      <c r="Q1323" s="65" t="str">
        <f>IFERROR(__xludf.DUMMYFUNCTION("""COMPUTED_VALUE"""),"GINTRACOM")</f>
        <v>GINTRACOM</v>
      </c>
      <c r="R1323" s="65">
        <f>IFERROR(__xludf.DUMMYFUNCTION("""COMPUTED_VALUE"""),30.0)</f>
        <v>30</v>
      </c>
      <c r="S1323" s="65">
        <f>IFERROR(__xludf.DUMMYFUNCTION("""COMPUTED_VALUE"""),18.4)</f>
        <v>18.4</v>
      </c>
      <c r="T1323" s="65">
        <f>IFERROR(__xludf.DUMMYFUNCTION("""COMPUTED_VALUE"""),4.55)</f>
        <v>4.55</v>
      </c>
      <c r="U1323" s="65">
        <f>IFERROR(__xludf.DUMMYFUNCTION("""COMPUTED_VALUE"""),0.0)</f>
        <v>0</v>
      </c>
      <c r="V1323" s="65">
        <f>IFERROR(__xludf.DUMMYFUNCTION("""COMPUTED_VALUE"""),0.0)</f>
        <v>0</v>
      </c>
      <c r="W1323" s="65">
        <f>IFERROR(__xludf.DUMMYFUNCTION("""COMPUTED_VALUE"""),0.0)</f>
        <v>0</v>
      </c>
      <c r="X1323" s="65">
        <f>IFERROR(__xludf.DUMMYFUNCTION("""COMPUTED_VALUE"""),2.35)</f>
        <v>2.35</v>
      </c>
      <c r="Y1323" s="65">
        <f>IFERROR(__xludf.DUMMYFUNCTION("""COMPUTED_VALUE"""),7.05)</f>
        <v>7.05</v>
      </c>
      <c r="Z1323" s="65">
        <f>IFERROR(__xludf.DUMMYFUNCTION("""COMPUTED_VALUE"""),116679.0)</f>
        <v>116679</v>
      </c>
      <c r="AA1323" s="65" t="str">
        <f>IFERROR(__xludf.DUMMYFUNCTION("""COMPUTED_VALUE"""),"AMC-2738")</f>
        <v>AMC-2738</v>
      </c>
      <c r="AB1323" s="65"/>
      <c r="AC1323" s="65" t="str">
        <f>IFERROR(__xludf.DUMMYFUNCTION("""COMPUTED_VALUE"""),"ESPONJA ANTILLUVIA DE PARABRISAS")</f>
        <v>ESPONJA ANTILLUVIA DE PARABRISAS</v>
      </c>
      <c r="AD1323" s="65"/>
      <c r="AE1323" s="65">
        <f>IFERROR(__xludf.DUMMYFUNCTION("""COMPUTED_VALUE"""),3.0)</f>
        <v>3</v>
      </c>
      <c r="AF1323" s="65"/>
      <c r="AG1323" s="65"/>
      <c r="AH1323" s="65"/>
      <c r="AI1323" s="65"/>
      <c r="AJ1323" s="65"/>
      <c r="AK1323" s="65"/>
      <c r="AL1323" s="65"/>
      <c r="AM1323" s="65"/>
      <c r="AN1323" s="65"/>
      <c r="AO1323" s="65"/>
      <c r="AP1323" s="65"/>
      <c r="AQ1323" s="65"/>
      <c r="AR1323" s="65"/>
      <c r="AS1323" s="65"/>
      <c r="AT1323" s="65" t="str">
        <f>IFERROR(__xludf.DUMMYFUNCTION("""COMPUTED_VALUE"""),"SHOPIFY")</f>
        <v>SHOPIFY</v>
      </c>
      <c r="AU1323" s="65" t="str">
        <f>IFERROR(__xludf.DUMMYFUNCTION("""COMPUTED_VALUE"""),"IMPORTEX EC")</f>
        <v>IMPORTEX EC</v>
      </c>
      <c r="AV1323" s="65" t="str">
        <f>IFERROR(__xludf.DUMMYFUNCTION("""COMPUTED_VALUE"""),"6453551431724")</f>
        <v>6453551431724</v>
      </c>
      <c r="AW1323" s="65">
        <f>IFERROR(__xludf.DUMMYFUNCTION("""COMPUTED_VALUE"""),5598.0)</f>
        <v>5598</v>
      </c>
      <c r="AX1323" s="65"/>
      <c r="AY1323" s="65" t="str">
        <f>IFERROR(__xludf.DUMMYFUNCTION("""COMPUTED_VALUE"""),"30/01/2026")</f>
        <v>30/01/2026</v>
      </c>
      <c r="AZ1323" s="65"/>
      <c r="BA1323" s="65"/>
    </row>
    <row r="1324">
      <c r="A1324" s="65" t="str">
        <f>IFERROR(__xludf.DUMMYFUNCTION("""COMPUTED_VALUE"""),"27-03-2026")</f>
        <v>27-03-2026</v>
      </c>
      <c r="B1324" s="65">
        <f>IFERROR(__xludf.DUMMYFUNCTION("""COMPUTED_VALUE"""),4303450.0)</f>
        <v>4303450</v>
      </c>
      <c r="C1324" s="65" t="str">
        <f>IFERROR(__xludf.DUMMYFUNCTION("""COMPUTED_VALUE"""),"01:07")</f>
        <v>01:07</v>
      </c>
      <c r="D1324" s="65" t="str">
        <f>IFERROR(__xludf.DUMMYFUNCTION("""COMPUTED_VALUE"""),"28-01-2026")</f>
        <v>28-01-2026</v>
      </c>
      <c r="E1324" s="65" t="str">
        <f>IFERROR(__xludf.DUMMYFUNCTION("""COMPUTED_VALUE"""),"Stefanania Arias")</f>
        <v>Stefanania Arias</v>
      </c>
      <c r="F1324" s="65" t="str">
        <f>IFERROR(__xludf.DUMMYFUNCTION("""COMPUTED_VALUE"""),"982810390")</f>
        <v>982810390</v>
      </c>
      <c r="G1324" s="65" t="str">
        <f>IFERROR(__xludf.DUMMYFUNCTION("""COMPUTED_VALUE"""),"stefaarias2306@gmail.com")</f>
        <v>stefaarias2306@gmail.com</v>
      </c>
      <c r="H1324" s="65"/>
      <c r="I1324" s="65"/>
      <c r="J1324" s="65" t="str">
        <f>IFERROR(__xludf.DUMMYFUNCTION("""COMPUTED_VALUE"""),"D001277194")</f>
        <v>D001277194</v>
      </c>
      <c r="K1324" s="65" t="str">
        <f>IFERROR(__xludf.DUMMYFUNCTION("""COMPUTED_VALUE"""),"ENTREGADO")</f>
        <v>ENTREGADO</v>
      </c>
      <c r="L1324" s="65" t="str">
        <f>IFERROR(__xludf.DUMMYFUNCTION("""COMPUTED_VALUE"""),"CON RECAUDO")</f>
        <v>CON RECAUDO</v>
      </c>
      <c r="M1324" s="65" t="str">
        <f>IFERROR(__xludf.DUMMYFUNCTION("""COMPUTED_VALUE"""),"GUAYAS")</f>
        <v>GUAYAS</v>
      </c>
      <c r="N1324" s="65" t="str">
        <f>IFERROR(__xludf.DUMMYFUNCTION("""COMPUTED_VALUE"""),"GUAYAQUIL")</f>
        <v>GUAYAQUIL</v>
      </c>
      <c r="O1324" s="65" t="str">
        <f>IFERROR(__xludf.DUMMYFUNCTION("""COMPUTED_VALUE"""),"Vía a daule Hurbanizacion Colinas del sol 2014 villa 8 frente al terminal metro bastión -")</f>
        <v>Vía a daule Hurbanizacion Colinas del sol 2014 villa 8 frente al terminal metro bastión -</v>
      </c>
      <c r="P1324" s="65"/>
      <c r="Q1324" s="65" t="str">
        <f>IFERROR(__xludf.DUMMYFUNCTION("""COMPUTED_VALUE"""),"GINTRACOM")</f>
        <v>GINTRACOM</v>
      </c>
      <c r="R1324" s="65">
        <f>IFERROR(__xludf.DUMMYFUNCTION("""COMPUTED_VALUE"""),20.0)</f>
        <v>20</v>
      </c>
      <c r="S1324" s="65">
        <f>IFERROR(__xludf.DUMMYFUNCTION("""COMPUTED_VALUE"""),11.89)</f>
        <v>11.89</v>
      </c>
      <c r="T1324" s="65">
        <f>IFERROR(__xludf.DUMMYFUNCTION("""COMPUTED_VALUE"""),5.76)</f>
        <v>5.76</v>
      </c>
      <c r="U1324" s="65">
        <f>IFERROR(__xludf.DUMMYFUNCTION("""COMPUTED_VALUE"""),0.0)</f>
        <v>0</v>
      </c>
      <c r="V1324" s="65">
        <f>IFERROR(__xludf.DUMMYFUNCTION("""COMPUTED_VALUE"""),0.0)</f>
        <v>0</v>
      </c>
      <c r="W1324" s="65">
        <f>IFERROR(__xludf.DUMMYFUNCTION("""COMPUTED_VALUE"""),0.0)</f>
        <v>0</v>
      </c>
      <c r="X1324" s="65">
        <f>IFERROR(__xludf.DUMMYFUNCTION("""COMPUTED_VALUE"""),2.35)</f>
        <v>2.35</v>
      </c>
      <c r="Y1324" s="65">
        <f>IFERROR(__xludf.DUMMYFUNCTION("""COMPUTED_VALUE"""),2.35)</f>
        <v>2.35</v>
      </c>
      <c r="Z1324" s="65">
        <f>IFERROR(__xludf.DUMMYFUNCTION("""COMPUTED_VALUE"""),116679.0)</f>
        <v>116679</v>
      </c>
      <c r="AA1324" s="65" t="str">
        <f>IFERROR(__xludf.DUMMYFUNCTION("""COMPUTED_VALUE"""),"AMC-2738")</f>
        <v>AMC-2738</v>
      </c>
      <c r="AB1324" s="65"/>
      <c r="AC1324" s="65" t="str">
        <f>IFERROR(__xludf.DUMMYFUNCTION("""COMPUTED_VALUE"""),"ESPONJA ANTILLUVIA DE PARABRISAS")</f>
        <v>ESPONJA ANTILLUVIA DE PARABRISAS</v>
      </c>
      <c r="AD1324" s="65"/>
      <c r="AE1324" s="65">
        <f>IFERROR(__xludf.DUMMYFUNCTION("""COMPUTED_VALUE"""),1.0)</f>
        <v>1</v>
      </c>
      <c r="AF1324" s="65" t="str">
        <f>IFERROR(__xludf.DUMMYFUNCTION("""COMPUTED_VALUE"""),"DESTINATARIO NO CONTESTA LLAMADAS NI WHATSAPP")</f>
        <v>DESTINATARIO NO CONTESTA LLAMADAS NI WHATSAPP</v>
      </c>
      <c r="AG1324" s="65" t="str">
        <f>IFERROR(__xludf.DUMMYFUNCTION("""COMPUTED_VALUE"""),"SI")</f>
        <v>SI</v>
      </c>
      <c r="AH1324" s="65" t="str">
        <f>IFERROR(__xludf.DUMMYFUNCTION("""COMPUTED_VALUE"""),"09:00")</f>
        <v>09:00</v>
      </c>
      <c r="AI1324" s="65" t="str">
        <f>IFERROR(__xludf.DUMMYFUNCTION("""COMPUTED_VALUE"""),"06-02-2026")</f>
        <v>06-02-2026</v>
      </c>
      <c r="AJ1324" s="65"/>
      <c r="AK1324" s="65"/>
      <c r="AL1324" s="65"/>
      <c r="AM1324" s="65"/>
      <c r="AN1324" s="65" t="str">
        <f>IFERROR(__xludf.DUMMYFUNCTION("""COMPUTED_VALUE"""),"18:23")</f>
        <v>18:23</v>
      </c>
      <c r="AO1324" s="65" t="str">
        <f>IFERROR(__xludf.DUMMYFUNCTION("""COMPUTED_VALUE"""),"10-02-2026")</f>
        <v>10-02-2026</v>
      </c>
      <c r="AP1324" s="65" t="str">
        <f>IFERROR(__xludf.DUMMYFUNCTION("""COMPUTED_VALUE"""),"ENTREGADA GINTRACOM")</f>
        <v>ENTREGADA GINTRACOM</v>
      </c>
      <c r="AQ1324" s="65" t="str">
        <f>IFERROR(__xludf.DUMMYFUNCTION("""COMPUTED_VALUE"""),"ENTREGADA GINTRACOM")</f>
        <v>ENTREGADA GINTRACOM</v>
      </c>
      <c r="AR1324" s="65"/>
      <c r="AS1324" s="65"/>
      <c r="AT1324" s="65" t="str">
        <f>IFERROR(__xludf.DUMMYFUNCTION("""COMPUTED_VALUE"""),"SHOPIFY")</f>
        <v>SHOPIFY</v>
      </c>
      <c r="AU1324" s="65" t="str">
        <f>IFERROR(__xludf.DUMMYFUNCTION("""COMPUTED_VALUE"""),"IMPORTEX EC")</f>
        <v>IMPORTEX EC</v>
      </c>
      <c r="AV1324" s="65" t="str">
        <f>IFERROR(__xludf.DUMMYFUNCTION("""COMPUTED_VALUE"""),"6453279359020")</f>
        <v>6453279359020</v>
      </c>
      <c r="AW1324" s="65">
        <f>IFERROR(__xludf.DUMMYFUNCTION("""COMPUTED_VALUE"""),5597.0)</f>
        <v>5597</v>
      </c>
      <c r="AX1324" s="65"/>
      <c r="AY1324" s="65" t="str">
        <f>IFERROR(__xludf.DUMMYFUNCTION("""COMPUTED_VALUE"""),"30/01/2026")</f>
        <v>30/01/2026</v>
      </c>
      <c r="AZ1324" s="65"/>
      <c r="BA1324" s="65"/>
    </row>
    <row r="1325">
      <c r="A1325" s="65" t="str">
        <f>IFERROR(__xludf.DUMMYFUNCTION("""COMPUTED_VALUE"""),"27-03-2026")</f>
        <v>27-03-2026</v>
      </c>
      <c r="B1325" s="65">
        <f>IFERROR(__xludf.DUMMYFUNCTION("""COMPUTED_VALUE"""),4303289.0)</f>
        <v>4303289</v>
      </c>
      <c r="C1325" s="65" t="str">
        <f>IFERROR(__xludf.DUMMYFUNCTION("""COMPUTED_VALUE"""),"00:29")</f>
        <v>00:29</v>
      </c>
      <c r="D1325" s="65" t="str">
        <f>IFERROR(__xludf.DUMMYFUNCTION("""COMPUTED_VALUE"""),"28-01-2026")</f>
        <v>28-01-2026</v>
      </c>
      <c r="E1325" s="65" t="str">
        <f>IFERROR(__xludf.DUMMYFUNCTION("""COMPUTED_VALUE"""),"Ana valiente")</f>
        <v>Ana valiente</v>
      </c>
      <c r="F1325" s="65" t="str">
        <f>IFERROR(__xludf.DUMMYFUNCTION("""COMPUTED_VALUE"""),"984867887")</f>
        <v>984867887</v>
      </c>
      <c r="G1325" s="65" t="str">
        <f>IFERROR(__xludf.DUMMYFUNCTION("""COMPUTED_VALUE"""),"valientemontea@gmail.com")</f>
        <v>valientemontea@gmail.com</v>
      </c>
      <c r="H1325" s="65"/>
      <c r="I1325" s="65"/>
      <c r="J1325" s="65"/>
      <c r="K1325" s="65" t="str">
        <f>IFERROR(__xludf.DUMMYFUNCTION("""COMPUTED_VALUE"""),"CANCELADO")</f>
        <v>CANCELADO</v>
      </c>
      <c r="L1325" s="65" t="str">
        <f>IFERROR(__xludf.DUMMYFUNCTION("""COMPUTED_VALUE"""),"CON RECAUDO")</f>
        <v>CON RECAUDO</v>
      </c>
      <c r="M1325" s="65" t="str">
        <f>IFERROR(__xludf.DUMMYFUNCTION("""COMPUTED_VALUE"""),"COTOPAXI")</f>
        <v>COTOPAXI</v>
      </c>
      <c r="N1325" s="65" t="str">
        <f>IFERROR(__xludf.DUMMYFUNCTION("""COMPUTED_VALUE"""),"SAQUISILI")</f>
        <v>SAQUISILI</v>
      </c>
      <c r="O1325" s="65" t="str">
        <f>IFERROR(__xludf.DUMMYFUNCTION("""COMPUTED_VALUE"""),"Frente al comercial segovia imbabura y pullupaxi -")</f>
        <v>Frente al comercial segovia imbabura y pullupaxi -</v>
      </c>
      <c r="P1325" s="65"/>
      <c r="Q1325" s="65" t="str">
        <f>IFERROR(__xludf.DUMMYFUNCTION("""COMPUTED_VALUE"""),"GINTRACOM")</f>
        <v>GINTRACOM</v>
      </c>
      <c r="R1325" s="65">
        <f>IFERROR(__xludf.DUMMYFUNCTION("""COMPUTED_VALUE"""),30.0)</f>
        <v>30</v>
      </c>
      <c r="S1325" s="65"/>
      <c r="T1325" s="65">
        <f>IFERROR(__xludf.DUMMYFUNCTION("""COMPUTED_VALUE"""),6.73)</f>
        <v>6.73</v>
      </c>
      <c r="U1325" s="65">
        <f>IFERROR(__xludf.DUMMYFUNCTION("""COMPUTED_VALUE"""),0.0)</f>
        <v>0</v>
      </c>
      <c r="V1325" s="65">
        <f>IFERROR(__xludf.DUMMYFUNCTION("""COMPUTED_VALUE"""),0.0)</f>
        <v>0</v>
      </c>
      <c r="W1325" s="65">
        <f>IFERROR(__xludf.DUMMYFUNCTION("""COMPUTED_VALUE"""),0.0)</f>
        <v>0</v>
      </c>
      <c r="X1325" s="65">
        <f>IFERROR(__xludf.DUMMYFUNCTION("""COMPUTED_VALUE"""),2.35)</f>
        <v>2.35</v>
      </c>
      <c r="Y1325" s="65">
        <f>IFERROR(__xludf.DUMMYFUNCTION("""COMPUTED_VALUE"""),7.05)</f>
        <v>7.05</v>
      </c>
      <c r="Z1325" s="65">
        <f>IFERROR(__xludf.DUMMYFUNCTION("""COMPUTED_VALUE"""),116679.0)</f>
        <v>116679</v>
      </c>
      <c r="AA1325" s="65" t="str">
        <f>IFERROR(__xludf.DUMMYFUNCTION("""COMPUTED_VALUE"""),"AMC-2738")</f>
        <v>AMC-2738</v>
      </c>
      <c r="AB1325" s="65"/>
      <c r="AC1325" s="65" t="str">
        <f>IFERROR(__xludf.DUMMYFUNCTION("""COMPUTED_VALUE"""),"ESPONJA ANTILLUVIA DE PARABRISAS")</f>
        <v>ESPONJA ANTILLUVIA DE PARABRISAS</v>
      </c>
      <c r="AD1325" s="65"/>
      <c r="AE1325" s="65">
        <f>IFERROR(__xludf.DUMMYFUNCTION("""COMPUTED_VALUE"""),3.0)</f>
        <v>3</v>
      </c>
      <c r="AF1325" s="65"/>
      <c r="AG1325" s="65"/>
      <c r="AH1325" s="65"/>
      <c r="AI1325" s="65"/>
      <c r="AJ1325" s="65"/>
      <c r="AK1325" s="65"/>
      <c r="AL1325" s="65"/>
      <c r="AM1325" s="65"/>
      <c r="AN1325" s="65"/>
      <c r="AO1325" s="65"/>
      <c r="AP1325" s="65"/>
      <c r="AQ1325" s="65"/>
      <c r="AR1325" s="65"/>
      <c r="AS1325" s="65"/>
      <c r="AT1325" s="65" t="str">
        <f>IFERROR(__xludf.DUMMYFUNCTION("""COMPUTED_VALUE"""),"SHOPIFY")</f>
        <v>SHOPIFY</v>
      </c>
      <c r="AU1325" s="65" t="str">
        <f>IFERROR(__xludf.DUMMYFUNCTION("""COMPUTED_VALUE"""),"IMPORTEX EC")</f>
        <v>IMPORTEX EC</v>
      </c>
      <c r="AV1325" s="65" t="str">
        <f>IFERROR(__xludf.DUMMYFUNCTION("""COMPUTED_VALUE"""),"6453231943724")</f>
        <v>6453231943724</v>
      </c>
      <c r="AW1325" s="65">
        <f>IFERROR(__xludf.DUMMYFUNCTION("""COMPUTED_VALUE"""),5596.0)</f>
        <v>5596</v>
      </c>
      <c r="AX1325" s="65"/>
      <c r="AY1325" s="65"/>
      <c r="AZ1325" s="65"/>
      <c r="BA1325" s="65"/>
    </row>
    <row r="1326">
      <c r="A1326" s="65" t="str">
        <f>IFERROR(__xludf.DUMMYFUNCTION("""COMPUTED_VALUE"""),"27-03-2026")</f>
        <v>27-03-2026</v>
      </c>
      <c r="B1326" s="65">
        <f>IFERROR(__xludf.DUMMYFUNCTION("""COMPUTED_VALUE"""),4302588.0)</f>
        <v>4302588</v>
      </c>
      <c r="C1326" s="65" t="str">
        <f>IFERROR(__xludf.DUMMYFUNCTION("""COMPUTED_VALUE"""),"23:02")</f>
        <v>23:02</v>
      </c>
      <c r="D1326" s="65" t="str">
        <f>IFERROR(__xludf.DUMMYFUNCTION("""COMPUTED_VALUE"""),"27-01-2026")</f>
        <v>27-01-2026</v>
      </c>
      <c r="E1326" s="65" t="str">
        <f>IFERROR(__xludf.DUMMYFUNCTION("""COMPUTED_VALUE"""),"Jaime Morocho")</f>
        <v>Jaime Morocho</v>
      </c>
      <c r="F1326" s="65" t="str">
        <f>IFERROR(__xludf.DUMMYFUNCTION("""COMPUTED_VALUE"""),"994589254")</f>
        <v>994589254</v>
      </c>
      <c r="G1326" s="65" t="str">
        <f>IFERROR(__xludf.DUMMYFUNCTION("""COMPUTED_VALUE"""),"jfmoroto1980@gmail.com")</f>
        <v>jfmoroto1980@gmail.com</v>
      </c>
      <c r="H1326" s="65"/>
      <c r="I1326" s="65"/>
      <c r="J1326" s="65"/>
      <c r="K1326" s="65" t="str">
        <f>IFERROR(__xludf.DUMMYFUNCTION("""COMPUTED_VALUE"""),"PENDIENTE CONFIRMACION")</f>
        <v>PENDIENTE CONFIRMACION</v>
      </c>
      <c r="L1326" s="65" t="str">
        <f>IFERROR(__xludf.DUMMYFUNCTION("""COMPUTED_VALUE"""),"CON RECAUDO")</f>
        <v>CON RECAUDO</v>
      </c>
      <c r="M1326" s="65" t="str">
        <f>IFERROR(__xludf.DUMMYFUNCTION("""COMPUTED_VALUE"""),"ESMERALDAS")</f>
        <v>ESMERALDAS</v>
      </c>
      <c r="N1326" s="65" t="str">
        <f>IFERROR(__xludf.DUMMYFUNCTION("""COMPUTED_VALUE"""),"QUININDE")</f>
        <v>QUININDE</v>
      </c>
      <c r="O1326" s="65" t="str">
        <f>IFERROR(__xludf.DUMMYFUNCTION("""COMPUTED_VALUE"""),"Avda 6 de diciembre Rosa Zarate -")</f>
        <v>Avda 6 de diciembre Rosa Zarate -</v>
      </c>
      <c r="P1326" s="65"/>
      <c r="Q1326" s="65" t="str">
        <f>IFERROR(__xludf.DUMMYFUNCTION("""COMPUTED_VALUE"""),"GINTRACOM")</f>
        <v>GINTRACOM</v>
      </c>
      <c r="R1326" s="65">
        <f>IFERROR(__xludf.DUMMYFUNCTION("""COMPUTED_VALUE"""),25.0)</f>
        <v>25</v>
      </c>
      <c r="S1326" s="65"/>
      <c r="T1326" s="65">
        <f>IFERROR(__xludf.DUMMYFUNCTION("""COMPUTED_VALUE"""),5.96)</f>
        <v>5.96</v>
      </c>
      <c r="U1326" s="65">
        <f>IFERROR(__xludf.DUMMYFUNCTION("""COMPUTED_VALUE"""),0.0)</f>
        <v>0</v>
      </c>
      <c r="V1326" s="65">
        <f>IFERROR(__xludf.DUMMYFUNCTION("""COMPUTED_VALUE"""),0.0)</f>
        <v>0</v>
      </c>
      <c r="W1326" s="65">
        <f>IFERROR(__xludf.DUMMYFUNCTION("""COMPUTED_VALUE"""),0.0)</f>
        <v>0</v>
      </c>
      <c r="X1326" s="65">
        <f>IFERROR(__xludf.DUMMYFUNCTION("""COMPUTED_VALUE"""),2.35)</f>
        <v>2.35</v>
      </c>
      <c r="Y1326" s="65">
        <f>IFERROR(__xludf.DUMMYFUNCTION("""COMPUTED_VALUE"""),4.7)</f>
        <v>4.7</v>
      </c>
      <c r="Z1326" s="65">
        <f>IFERROR(__xludf.DUMMYFUNCTION("""COMPUTED_VALUE"""),116679.0)</f>
        <v>116679</v>
      </c>
      <c r="AA1326" s="65" t="str">
        <f>IFERROR(__xludf.DUMMYFUNCTION("""COMPUTED_VALUE"""),"AMC-2738")</f>
        <v>AMC-2738</v>
      </c>
      <c r="AB1326" s="65"/>
      <c r="AC1326" s="65" t="str">
        <f>IFERROR(__xludf.DUMMYFUNCTION("""COMPUTED_VALUE"""),"ESPONJA ANTILLUVIA DE PARABRISAS")</f>
        <v>ESPONJA ANTILLUVIA DE PARABRISAS</v>
      </c>
      <c r="AD1326" s="65"/>
      <c r="AE1326" s="65">
        <f>IFERROR(__xludf.DUMMYFUNCTION("""COMPUTED_VALUE"""),2.0)</f>
        <v>2</v>
      </c>
      <c r="AF1326" s="65"/>
      <c r="AG1326" s="65"/>
      <c r="AH1326" s="65"/>
      <c r="AI1326" s="65"/>
      <c r="AJ1326" s="65"/>
      <c r="AK1326" s="65"/>
      <c r="AL1326" s="65"/>
      <c r="AM1326" s="65"/>
      <c r="AN1326" s="65"/>
      <c r="AO1326" s="65"/>
      <c r="AP1326" s="65"/>
      <c r="AQ1326" s="65"/>
      <c r="AR1326" s="65"/>
      <c r="AS1326" s="65"/>
      <c r="AT1326" s="65" t="str">
        <f>IFERROR(__xludf.DUMMYFUNCTION("""COMPUTED_VALUE"""),"SHOPIFY")</f>
        <v>SHOPIFY</v>
      </c>
      <c r="AU1326" s="65" t="str">
        <f>IFERROR(__xludf.DUMMYFUNCTION("""COMPUTED_VALUE"""),"IMPORTEX EC")</f>
        <v>IMPORTEX EC</v>
      </c>
      <c r="AV1326" s="65" t="str">
        <f>IFERROR(__xludf.DUMMYFUNCTION("""COMPUTED_VALUE"""),"6453056077868")</f>
        <v>6453056077868</v>
      </c>
      <c r="AW1326" s="65">
        <f>IFERROR(__xludf.DUMMYFUNCTION("""COMPUTED_VALUE"""),5594.0)</f>
        <v>5594</v>
      </c>
      <c r="AX1326" s="65"/>
      <c r="AY1326" s="65"/>
      <c r="AZ1326" s="65"/>
      <c r="BA1326" s="65"/>
    </row>
    <row r="1327">
      <c r="A1327" s="65" t="str">
        <f>IFERROR(__xludf.DUMMYFUNCTION("""COMPUTED_VALUE"""),"27-03-2026")</f>
        <v>27-03-2026</v>
      </c>
      <c r="B1327" s="65">
        <f>IFERROR(__xludf.DUMMYFUNCTION("""COMPUTED_VALUE"""),4302228.0)</f>
        <v>4302228</v>
      </c>
      <c r="C1327" s="65" t="str">
        <f>IFERROR(__xludf.DUMMYFUNCTION("""COMPUTED_VALUE"""),"22:36")</f>
        <v>22:36</v>
      </c>
      <c r="D1327" s="65" t="str">
        <f>IFERROR(__xludf.DUMMYFUNCTION("""COMPUTED_VALUE"""),"27-01-2026")</f>
        <v>27-01-2026</v>
      </c>
      <c r="E1327" s="65" t="str">
        <f>IFERROR(__xludf.DUMMYFUNCTION("""COMPUTED_VALUE"""),"Aracelly Zambrano Metrópolis 2")</f>
        <v>Aracelly Zambrano Metrópolis 2</v>
      </c>
      <c r="F1327" s="65" t="str">
        <f>IFERROR(__xludf.DUMMYFUNCTION("""COMPUTED_VALUE"""),"985941872")</f>
        <v>985941872</v>
      </c>
      <c r="G1327" s="65" t="str">
        <f>IFERROR(__xludf.DUMMYFUNCTION("""COMPUTED_VALUE"""),"mzambrano@vistony.com")</f>
        <v>mzambrano@vistony.com</v>
      </c>
      <c r="H1327" s="65"/>
      <c r="I1327" s="65"/>
      <c r="J1327" s="65"/>
      <c r="K1327" s="65" t="str">
        <f>IFERROR(__xludf.DUMMYFUNCTION("""COMPUTED_VALUE"""),"PENDIENTE CONFIRMACION")</f>
        <v>PENDIENTE CONFIRMACION</v>
      </c>
      <c r="L1327" s="65" t="str">
        <f>IFERROR(__xludf.DUMMYFUNCTION("""COMPUTED_VALUE"""),"CON RECAUDO")</f>
        <v>CON RECAUDO</v>
      </c>
      <c r="M1327" s="65" t="str">
        <f>IFERROR(__xludf.DUMMYFUNCTION("""COMPUTED_VALUE"""),"GUAYAS")</f>
        <v>GUAYAS</v>
      </c>
      <c r="N1327" s="65" t="str">
        <f>IFERROR(__xludf.DUMMYFUNCTION("""COMPUTED_VALUE"""),"GUAYAQUIL")</f>
        <v>GUAYAQUIL</v>
      </c>
      <c r="O1327" s="65" t="str">
        <f>IFERROR(__xludf.DUMMYFUNCTION("""COMPUTED_VALUE"""),"Metrópolis 2 Etapa e 2 -")</f>
        <v>Metrópolis 2 Etapa e 2 -</v>
      </c>
      <c r="P1327" s="65"/>
      <c r="Q1327" s="65" t="str">
        <f>IFERROR(__xludf.DUMMYFUNCTION("""COMPUTED_VALUE"""),"GINTRACOM")</f>
        <v>GINTRACOM</v>
      </c>
      <c r="R1327" s="65">
        <f>IFERROR(__xludf.DUMMYFUNCTION("""COMPUTED_VALUE"""),20.0)</f>
        <v>20</v>
      </c>
      <c r="S1327" s="65"/>
      <c r="T1327" s="65">
        <f>IFERROR(__xludf.DUMMYFUNCTION("""COMPUTED_VALUE"""),5.76)</f>
        <v>5.76</v>
      </c>
      <c r="U1327" s="65">
        <f>IFERROR(__xludf.DUMMYFUNCTION("""COMPUTED_VALUE"""),0.0)</f>
        <v>0</v>
      </c>
      <c r="V1327" s="65">
        <f>IFERROR(__xludf.DUMMYFUNCTION("""COMPUTED_VALUE"""),0.0)</f>
        <v>0</v>
      </c>
      <c r="W1327" s="65">
        <f>IFERROR(__xludf.DUMMYFUNCTION("""COMPUTED_VALUE"""),0.0)</f>
        <v>0</v>
      </c>
      <c r="X1327" s="65">
        <f>IFERROR(__xludf.DUMMYFUNCTION("""COMPUTED_VALUE"""),3.5)</f>
        <v>3.5</v>
      </c>
      <c r="Y1327" s="65">
        <f>IFERROR(__xludf.DUMMYFUNCTION("""COMPUTED_VALUE"""),3.5)</f>
        <v>3.5</v>
      </c>
      <c r="Z1327" s="65">
        <f>IFERROR(__xludf.DUMMYFUNCTION("""COMPUTED_VALUE"""),124802.0)</f>
        <v>124802</v>
      </c>
      <c r="AA1327" s="65" t="str">
        <f>IFERROR(__xludf.DUMMYFUNCTION("""COMPUTED_VALUE"""),"IMX-00005")</f>
        <v>IMX-00005</v>
      </c>
      <c r="AB1327" s="65"/>
      <c r="AC1327" s="65" t="str">
        <f>IFERROR(__xludf.DUMMYFUNCTION("""COMPUTED_VALUE"""),"GUANTE QUITA PELUSAS")</f>
        <v>GUANTE QUITA PELUSAS</v>
      </c>
      <c r="AD1327" s="65"/>
      <c r="AE1327" s="65">
        <f>IFERROR(__xludf.DUMMYFUNCTION("""COMPUTED_VALUE"""),1.0)</f>
        <v>1</v>
      </c>
      <c r="AF1327" s="65"/>
      <c r="AG1327" s="65"/>
      <c r="AH1327" s="65"/>
      <c r="AI1327" s="65"/>
      <c r="AJ1327" s="65"/>
      <c r="AK1327" s="65"/>
      <c r="AL1327" s="65"/>
      <c r="AM1327" s="65"/>
      <c r="AN1327" s="65"/>
      <c r="AO1327" s="65"/>
      <c r="AP1327" s="65"/>
      <c r="AQ1327" s="65"/>
      <c r="AR1327" s="65"/>
      <c r="AS1327" s="65"/>
      <c r="AT1327" s="65" t="str">
        <f>IFERROR(__xludf.DUMMYFUNCTION("""COMPUTED_VALUE"""),"SHOPIFY")</f>
        <v>SHOPIFY</v>
      </c>
      <c r="AU1327" s="65" t="str">
        <f>IFERROR(__xludf.DUMMYFUNCTION("""COMPUTED_VALUE"""),"IMPORTEX EC")</f>
        <v>IMPORTEX EC</v>
      </c>
      <c r="AV1327" s="65" t="str">
        <f>IFERROR(__xludf.DUMMYFUNCTION("""COMPUTED_VALUE"""),"6453000110124")</f>
        <v>6453000110124</v>
      </c>
      <c r="AW1327" s="65">
        <f>IFERROR(__xludf.DUMMYFUNCTION("""COMPUTED_VALUE"""),5593.0)</f>
        <v>5593</v>
      </c>
      <c r="AX1327" s="65"/>
      <c r="AY1327" s="65"/>
      <c r="AZ1327" s="65"/>
      <c r="BA1327" s="65"/>
    </row>
    <row r="1328">
      <c r="A1328" s="65" t="str">
        <f>IFERROR(__xludf.DUMMYFUNCTION("""COMPUTED_VALUE"""),"27-03-2026")</f>
        <v>27-03-2026</v>
      </c>
      <c r="B1328" s="65">
        <f>IFERROR(__xludf.DUMMYFUNCTION("""COMPUTED_VALUE"""),4302166.0)</f>
        <v>4302166</v>
      </c>
      <c r="C1328" s="65" t="str">
        <f>IFERROR(__xludf.DUMMYFUNCTION("""COMPUTED_VALUE"""),"22:28")</f>
        <v>22:28</v>
      </c>
      <c r="D1328" s="65" t="str">
        <f>IFERROR(__xludf.DUMMYFUNCTION("""COMPUTED_VALUE"""),"27-01-2026")</f>
        <v>27-01-2026</v>
      </c>
      <c r="E1328" s="65" t="str">
        <f>IFERROR(__xludf.DUMMYFUNCTION("""COMPUTED_VALUE"""),"Silvia Anchapaxi")</f>
        <v>Silvia Anchapaxi</v>
      </c>
      <c r="F1328" s="65" t="str">
        <f>IFERROR(__xludf.DUMMYFUNCTION("""COMPUTED_VALUE"""),"992971967")</f>
        <v>992971967</v>
      </c>
      <c r="G1328" s="65" t="str">
        <f>IFERROR(__xludf.DUMMYFUNCTION("""COMPUTED_VALUE"""),"anchapaxisilvia2@gmail.com")</f>
        <v>anchapaxisilvia2@gmail.com</v>
      </c>
      <c r="H1328" s="65"/>
      <c r="I1328" s="65"/>
      <c r="J1328" s="65"/>
      <c r="K1328" s="65" t="str">
        <f>IFERROR(__xludf.DUMMYFUNCTION("""COMPUTED_VALUE"""),"CANCELADO")</f>
        <v>CANCELADO</v>
      </c>
      <c r="L1328" s="65" t="str">
        <f>IFERROR(__xludf.DUMMYFUNCTION("""COMPUTED_VALUE"""),"CON RECAUDO")</f>
        <v>CON RECAUDO</v>
      </c>
      <c r="M1328" s="65" t="str">
        <f>IFERROR(__xludf.DUMMYFUNCTION("""COMPUTED_VALUE"""),"COTOPAXI")</f>
        <v>COTOPAXI</v>
      </c>
      <c r="N1328" s="65" t="str">
        <f>IFERROR(__xludf.DUMMYFUNCTION("""COMPUTED_VALUE"""),"LASSO")</f>
        <v>LASSO</v>
      </c>
      <c r="O1328" s="65" t="str">
        <f>IFERROR(__xludf.DUMMYFUNCTION("""COMPUTED_VALUE"""),"S/N Miño San Antonio -")</f>
        <v>S/N Miño San Antonio -</v>
      </c>
      <c r="P1328" s="65"/>
      <c r="Q1328" s="65" t="str">
        <f>IFERROR(__xludf.DUMMYFUNCTION("""COMPUTED_VALUE"""),"GINTRACOM")</f>
        <v>GINTRACOM</v>
      </c>
      <c r="R1328" s="65">
        <f>IFERROR(__xludf.DUMMYFUNCTION("""COMPUTED_VALUE"""),30.0)</f>
        <v>30</v>
      </c>
      <c r="S1328" s="65"/>
      <c r="T1328" s="65">
        <f>IFERROR(__xludf.DUMMYFUNCTION("""COMPUTED_VALUE"""),6.73)</f>
        <v>6.73</v>
      </c>
      <c r="U1328" s="65">
        <f>IFERROR(__xludf.DUMMYFUNCTION("""COMPUTED_VALUE"""),0.0)</f>
        <v>0</v>
      </c>
      <c r="V1328" s="65">
        <f>IFERROR(__xludf.DUMMYFUNCTION("""COMPUTED_VALUE"""),0.0)</f>
        <v>0</v>
      </c>
      <c r="W1328" s="65">
        <f>IFERROR(__xludf.DUMMYFUNCTION("""COMPUTED_VALUE"""),0.0)</f>
        <v>0</v>
      </c>
      <c r="X1328" s="65">
        <f>IFERROR(__xludf.DUMMYFUNCTION("""COMPUTED_VALUE"""),2.35)</f>
        <v>2.35</v>
      </c>
      <c r="Y1328" s="65">
        <f>IFERROR(__xludf.DUMMYFUNCTION("""COMPUTED_VALUE"""),7.05)</f>
        <v>7.05</v>
      </c>
      <c r="Z1328" s="65">
        <f>IFERROR(__xludf.DUMMYFUNCTION("""COMPUTED_VALUE"""),116679.0)</f>
        <v>116679</v>
      </c>
      <c r="AA1328" s="65" t="str">
        <f>IFERROR(__xludf.DUMMYFUNCTION("""COMPUTED_VALUE"""),"AMC-2738")</f>
        <v>AMC-2738</v>
      </c>
      <c r="AB1328" s="65"/>
      <c r="AC1328" s="65" t="str">
        <f>IFERROR(__xludf.DUMMYFUNCTION("""COMPUTED_VALUE"""),"ESPONJA ANTILLUVIA DE PARABRISAS")</f>
        <v>ESPONJA ANTILLUVIA DE PARABRISAS</v>
      </c>
      <c r="AD1328" s="65"/>
      <c r="AE1328" s="65">
        <f>IFERROR(__xludf.DUMMYFUNCTION("""COMPUTED_VALUE"""),3.0)</f>
        <v>3</v>
      </c>
      <c r="AF1328" s="65"/>
      <c r="AG1328" s="65"/>
      <c r="AH1328" s="65"/>
      <c r="AI1328" s="65"/>
      <c r="AJ1328" s="65"/>
      <c r="AK1328" s="65"/>
      <c r="AL1328" s="65"/>
      <c r="AM1328" s="65"/>
      <c r="AN1328" s="65"/>
      <c r="AO1328" s="65"/>
      <c r="AP1328" s="65"/>
      <c r="AQ1328" s="65"/>
      <c r="AR1328" s="65"/>
      <c r="AS1328" s="65"/>
      <c r="AT1328" s="65" t="str">
        <f>IFERROR(__xludf.DUMMYFUNCTION("""COMPUTED_VALUE"""),"SHOPIFY")</f>
        <v>SHOPIFY</v>
      </c>
      <c r="AU1328" s="65" t="str">
        <f>IFERROR(__xludf.DUMMYFUNCTION("""COMPUTED_VALUE"""),"IMPORTEX EC")</f>
        <v>IMPORTEX EC</v>
      </c>
      <c r="AV1328" s="65" t="str">
        <f>IFERROR(__xludf.DUMMYFUNCTION("""COMPUTED_VALUE"""),"6452995751980")</f>
        <v>6452995751980</v>
      </c>
      <c r="AW1328" s="65">
        <f>IFERROR(__xludf.DUMMYFUNCTION("""COMPUTED_VALUE"""),5592.0)</f>
        <v>5592</v>
      </c>
      <c r="AX1328" s="65"/>
      <c r="AY1328" s="65"/>
      <c r="AZ1328" s="65"/>
      <c r="BA1328" s="65"/>
    </row>
    <row r="1329">
      <c r="A1329" s="65" t="str">
        <f>IFERROR(__xludf.DUMMYFUNCTION("""COMPUTED_VALUE"""),"27-03-2026")</f>
        <v>27-03-2026</v>
      </c>
      <c r="B1329" s="65">
        <f>IFERROR(__xludf.DUMMYFUNCTION("""COMPUTED_VALUE"""),4302006.0)</f>
        <v>4302006</v>
      </c>
      <c r="C1329" s="65" t="str">
        <f>IFERROR(__xludf.DUMMYFUNCTION("""COMPUTED_VALUE"""),"22:19")</f>
        <v>22:19</v>
      </c>
      <c r="D1329" s="65" t="str">
        <f>IFERROR(__xludf.DUMMYFUNCTION("""COMPUTED_VALUE"""),"27-01-2026")</f>
        <v>27-01-2026</v>
      </c>
      <c r="E1329" s="65" t="str">
        <f>IFERROR(__xludf.DUMMYFUNCTION("""COMPUTED_VALUE"""),"Jimmy flores flores")</f>
        <v>Jimmy flores flores</v>
      </c>
      <c r="F1329" s="65" t="str">
        <f>IFERROR(__xludf.DUMMYFUNCTION("""COMPUTED_VALUE"""),"987710084")</f>
        <v>987710084</v>
      </c>
      <c r="G1329" s="65" t="str">
        <f>IFERROR(__xludf.DUMMYFUNCTION("""COMPUTED_VALUE"""),"jjimmy.f2986@hotmail.com")</f>
        <v>jjimmy.f2986@hotmail.com</v>
      </c>
      <c r="H1329" s="65"/>
      <c r="I1329" s="65"/>
      <c r="J1329" s="65"/>
      <c r="K1329" s="65" t="str">
        <f>IFERROR(__xludf.DUMMYFUNCTION("""COMPUTED_VALUE"""),"CANCELADO")</f>
        <v>CANCELADO</v>
      </c>
      <c r="L1329" s="65" t="str">
        <f>IFERROR(__xludf.DUMMYFUNCTION("""COMPUTED_VALUE"""),"CON RECAUDO")</f>
        <v>CON RECAUDO</v>
      </c>
      <c r="M1329" s="65" t="str">
        <f>IFERROR(__xludf.DUMMYFUNCTION("""COMPUTED_VALUE"""),"PICHINCHA")</f>
        <v>PICHINCHA</v>
      </c>
      <c r="N1329" s="65" t="str">
        <f>IFERROR(__xludf.DUMMYFUNCTION("""COMPUTED_VALUE"""),"QUITO")</f>
        <v>QUITO</v>
      </c>
      <c r="O1329" s="65" t="str">
        <f>IFERROR(__xludf.DUMMYFUNCTION("""COMPUTED_VALUE"""),"Carcelen Ponce borja -")</f>
        <v>Carcelen Ponce borja -</v>
      </c>
      <c r="P1329" s="65"/>
      <c r="Q1329" s="65" t="str">
        <f>IFERROR(__xludf.DUMMYFUNCTION("""COMPUTED_VALUE"""),"GINTRACOM")</f>
        <v>GINTRACOM</v>
      </c>
      <c r="R1329" s="65">
        <f>IFERROR(__xludf.DUMMYFUNCTION("""COMPUTED_VALUE"""),20.0)</f>
        <v>20</v>
      </c>
      <c r="S1329" s="65"/>
      <c r="T1329" s="65">
        <f>IFERROR(__xludf.DUMMYFUNCTION("""COMPUTED_VALUE"""),4.15)</f>
        <v>4.15</v>
      </c>
      <c r="U1329" s="65">
        <f>IFERROR(__xludf.DUMMYFUNCTION("""COMPUTED_VALUE"""),0.0)</f>
        <v>0</v>
      </c>
      <c r="V1329" s="65">
        <f>IFERROR(__xludf.DUMMYFUNCTION("""COMPUTED_VALUE"""),0.0)</f>
        <v>0</v>
      </c>
      <c r="W1329" s="65">
        <f>IFERROR(__xludf.DUMMYFUNCTION("""COMPUTED_VALUE"""),0.0)</f>
        <v>0</v>
      </c>
      <c r="X1329" s="65">
        <f>IFERROR(__xludf.DUMMYFUNCTION("""COMPUTED_VALUE"""),2.35)</f>
        <v>2.35</v>
      </c>
      <c r="Y1329" s="65">
        <f>IFERROR(__xludf.DUMMYFUNCTION("""COMPUTED_VALUE"""),2.35)</f>
        <v>2.35</v>
      </c>
      <c r="Z1329" s="65">
        <f>IFERROR(__xludf.DUMMYFUNCTION("""COMPUTED_VALUE"""),116679.0)</f>
        <v>116679</v>
      </c>
      <c r="AA1329" s="65" t="str">
        <f>IFERROR(__xludf.DUMMYFUNCTION("""COMPUTED_VALUE"""),"AMC-2738")</f>
        <v>AMC-2738</v>
      </c>
      <c r="AB1329" s="65"/>
      <c r="AC1329" s="65" t="str">
        <f>IFERROR(__xludf.DUMMYFUNCTION("""COMPUTED_VALUE"""),"ESPONJA ANTILLUVIA DE PARABRISAS")</f>
        <v>ESPONJA ANTILLUVIA DE PARABRISAS</v>
      </c>
      <c r="AD1329" s="65"/>
      <c r="AE1329" s="65">
        <f>IFERROR(__xludf.DUMMYFUNCTION("""COMPUTED_VALUE"""),1.0)</f>
        <v>1</v>
      </c>
      <c r="AF1329" s="65"/>
      <c r="AG1329" s="65"/>
      <c r="AH1329" s="65"/>
      <c r="AI1329" s="65"/>
      <c r="AJ1329" s="65"/>
      <c r="AK1329" s="65"/>
      <c r="AL1329" s="65"/>
      <c r="AM1329" s="65"/>
      <c r="AN1329" s="65"/>
      <c r="AO1329" s="65"/>
      <c r="AP1329" s="65"/>
      <c r="AQ1329" s="65"/>
      <c r="AR1329" s="65"/>
      <c r="AS1329" s="65"/>
      <c r="AT1329" s="65" t="str">
        <f>IFERROR(__xludf.DUMMYFUNCTION("""COMPUTED_VALUE"""),"SHOPIFY")</f>
        <v>SHOPIFY</v>
      </c>
      <c r="AU1329" s="65" t="str">
        <f>IFERROR(__xludf.DUMMYFUNCTION("""COMPUTED_VALUE"""),"IMPORTEX EC")</f>
        <v>IMPORTEX EC</v>
      </c>
      <c r="AV1329" s="65" t="str">
        <f>IFERROR(__xludf.DUMMYFUNCTION("""COMPUTED_VALUE"""),"6452982349868")</f>
        <v>6452982349868</v>
      </c>
      <c r="AW1329" s="65">
        <f>IFERROR(__xludf.DUMMYFUNCTION("""COMPUTED_VALUE"""),5591.0)</f>
        <v>5591</v>
      </c>
      <c r="AX1329" s="65"/>
      <c r="AY1329" s="65"/>
      <c r="AZ1329" s="65"/>
      <c r="BA1329" s="65"/>
    </row>
    <row r="1330">
      <c r="A1330" s="65" t="str">
        <f>IFERROR(__xludf.DUMMYFUNCTION("""COMPUTED_VALUE"""),"27-03-2026")</f>
        <v>27-03-2026</v>
      </c>
      <c r="B1330" s="65">
        <f>IFERROR(__xludf.DUMMYFUNCTION("""COMPUTED_VALUE"""),4301898.0)</f>
        <v>4301898</v>
      </c>
      <c r="C1330" s="65" t="str">
        <f>IFERROR(__xludf.DUMMYFUNCTION("""COMPUTED_VALUE"""),"22:14")</f>
        <v>22:14</v>
      </c>
      <c r="D1330" s="65" t="str">
        <f>IFERROR(__xludf.DUMMYFUNCTION("""COMPUTED_VALUE"""),"27-01-2026")</f>
        <v>27-01-2026</v>
      </c>
      <c r="E1330" s="65" t="str">
        <f>IFERROR(__xludf.DUMMYFUNCTION("""COMPUTED_VALUE"""),"Ricardo Calle")</f>
        <v>Ricardo Calle</v>
      </c>
      <c r="F1330" s="65" t="str">
        <f>IFERROR(__xludf.DUMMYFUNCTION("""COMPUTED_VALUE"""),"980818136")</f>
        <v>980818136</v>
      </c>
      <c r="G1330" s="65" t="str">
        <f>IFERROR(__xludf.DUMMYFUNCTION("""COMPUTED_VALUE"""),"hornopanmateo2021@gmail.com")</f>
        <v>hornopanmateo2021@gmail.com</v>
      </c>
      <c r="H1330" s="65"/>
      <c r="I1330" s="65"/>
      <c r="J1330" s="65"/>
      <c r="K1330" s="65" t="str">
        <f>IFERROR(__xludf.DUMMYFUNCTION("""COMPUTED_VALUE"""),"PENDIENTE CONFIRMACION")</f>
        <v>PENDIENTE CONFIRMACION</v>
      </c>
      <c r="L1330" s="65" t="str">
        <f>IFERROR(__xludf.DUMMYFUNCTION("""COMPUTED_VALUE"""),"CON RECAUDO")</f>
        <v>CON RECAUDO</v>
      </c>
      <c r="M1330" s="65" t="str">
        <f>IFERROR(__xludf.DUMMYFUNCTION("""COMPUTED_VALUE"""),"AZUAY")</f>
        <v>AZUAY</v>
      </c>
      <c r="N1330" s="65" t="str">
        <f>IFERROR(__xludf.DUMMYFUNCTION("""COMPUTED_VALUE"""),"CUENCA")</f>
        <v>CUENCA</v>
      </c>
      <c r="O1330" s="65" t="str">
        <f>IFERROR(__xludf.DUMMYFUNCTION("""COMPUTED_VALUE"""),"Turuhuayco  y enrique  espin Dejar en panaderia. Hornopa  lado de la farmacia popular y al frente.Su Farmacia -")</f>
        <v>Turuhuayco  y enrique  espin Dejar en panaderia. Hornopa  lado de la farmacia popular y al frente.Su Farmacia -</v>
      </c>
      <c r="P1330" s="65"/>
      <c r="Q1330" s="65" t="str">
        <f>IFERROR(__xludf.DUMMYFUNCTION("""COMPUTED_VALUE"""),"GINTRACOM")</f>
        <v>GINTRACOM</v>
      </c>
      <c r="R1330" s="65">
        <f>IFERROR(__xludf.DUMMYFUNCTION("""COMPUTED_VALUE"""),20.0)</f>
        <v>20</v>
      </c>
      <c r="S1330" s="65"/>
      <c r="T1330" s="65">
        <f>IFERROR(__xludf.DUMMYFUNCTION("""COMPUTED_VALUE"""),5.76)</f>
        <v>5.76</v>
      </c>
      <c r="U1330" s="65">
        <f>IFERROR(__xludf.DUMMYFUNCTION("""COMPUTED_VALUE"""),0.0)</f>
        <v>0</v>
      </c>
      <c r="V1330" s="65">
        <f>IFERROR(__xludf.DUMMYFUNCTION("""COMPUTED_VALUE"""),0.0)</f>
        <v>0</v>
      </c>
      <c r="W1330" s="65">
        <f>IFERROR(__xludf.DUMMYFUNCTION("""COMPUTED_VALUE"""),0.0)</f>
        <v>0</v>
      </c>
      <c r="X1330" s="65">
        <f>IFERROR(__xludf.DUMMYFUNCTION("""COMPUTED_VALUE"""),2.35)</f>
        <v>2.35</v>
      </c>
      <c r="Y1330" s="65">
        <f>IFERROR(__xludf.DUMMYFUNCTION("""COMPUTED_VALUE"""),2.35)</f>
        <v>2.35</v>
      </c>
      <c r="Z1330" s="65">
        <f>IFERROR(__xludf.DUMMYFUNCTION("""COMPUTED_VALUE"""),116679.0)</f>
        <v>116679</v>
      </c>
      <c r="AA1330" s="65" t="str">
        <f>IFERROR(__xludf.DUMMYFUNCTION("""COMPUTED_VALUE"""),"AMC-2738")</f>
        <v>AMC-2738</v>
      </c>
      <c r="AB1330" s="65"/>
      <c r="AC1330" s="65" t="str">
        <f>IFERROR(__xludf.DUMMYFUNCTION("""COMPUTED_VALUE"""),"ESPONJA ANTILLUVIA DE PARABRISAS")</f>
        <v>ESPONJA ANTILLUVIA DE PARABRISAS</v>
      </c>
      <c r="AD1330" s="65"/>
      <c r="AE1330" s="65">
        <f>IFERROR(__xludf.DUMMYFUNCTION("""COMPUTED_VALUE"""),1.0)</f>
        <v>1</v>
      </c>
      <c r="AF1330" s="65"/>
      <c r="AG1330" s="65"/>
      <c r="AH1330" s="65"/>
      <c r="AI1330" s="65"/>
      <c r="AJ1330" s="65"/>
      <c r="AK1330" s="65"/>
      <c r="AL1330" s="65"/>
      <c r="AM1330" s="65"/>
      <c r="AN1330" s="65"/>
      <c r="AO1330" s="65"/>
      <c r="AP1330" s="65"/>
      <c r="AQ1330" s="65"/>
      <c r="AR1330" s="65"/>
      <c r="AS1330" s="65"/>
      <c r="AT1330" s="65" t="str">
        <f>IFERROR(__xludf.DUMMYFUNCTION("""COMPUTED_VALUE"""),"SHOPIFY")</f>
        <v>SHOPIFY</v>
      </c>
      <c r="AU1330" s="65" t="str">
        <f>IFERROR(__xludf.DUMMYFUNCTION("""COMPUTED_VALUE"""),"IMPORTEX EC")</f>
        <v>IMPORTEX EC</v>
      </c>
      <c r="AV1330" s="65" t="str">
        <f>IFERROR(__xludf.DUMMYFUNCTION("""COMPUTED_VALUE"""),"6452978024492")</f>
        <v>6452978024492</v>
      </c>
      <c r="AW1330" s="65">
        <f>IFERROR(__xludf.DUMMYFUNCTION("""COMPUTED_VALUE"""),5590.0)</f>
        <v>5590</v>
      </c>
      <c r="AX1330" s="65"/>
      <c r="AY1330" s="65"/>
      <c r="AZ1330" s="65"/>
      <c r="BA1330" s="65"/>
    </row>
    <row r="1331">
      <c r="A1331" s="65" t="str">
        <f>IFERROR(__xludf.DUMMYFUNCTION("""COMPUTED_VALUE"""),"27-03-2026")</f>
        <v>27-03-2026</v>
      </c>
      <c r="B1331" s="65">
        <f>IFERROR(__xludf.DUMMYFUNCTION("""COMPUTED_VALUE"""),4301193.0)</f>
        <v>4301193</v>
      </c>
      <c r="C1331" s="65" t="str">
        <f>IFERROR(__xludf.DUMMYFUNCTION("""COMPUTED_VALUE"""),"21:15")</f>
        <v>21:15</v>
      </c>
      <c r="D1331" s="65" t="str">
        <f>IFERROR(__xludf.DUMMYFUNCTION("""COMPUTED_VALUE"""),"27-01-2026")</f>
        <v>27-01-2026</v>
      </c>
      <c r="E1331" s="65" t="str">
        <f>IFERROR(__xludf.DUMMYFUNCTION("""COMPUTED_VALUE"""),"Xavier Muñoz")</f>
        <v>Xavier Muñoz</v>
      </c>
      <c r="F1331" s="65" t="str">
        <f>IFERROR(__xludf.DUMMYFUNCTION("""COMPUTED_VALUE"""),"988985865")</f>
        <v>988985865</v>
      </c>
      <c r="G1331" s="65" t="str">
        <f>IFERROR(__xludf.DUMMYFUNCTION("""COMPUTED_VALUE"""),"xavicuencano@hotmail.com")</f>
        <v>xavicuencano@hotmail.com</v>
      </c>
      <c r="H1331" s="65"/>
      <c r="I1331" s="65"/>
      <c r="J1331" s="65"/>
      <c r="K1331" s="65" t="str">
        <f>IFERROR(__xludf.DUMMYFUNCTION("""COMPUTED_VALUE"""),"CANCELADO")</f>
        <v>CANCELADO</v>
      </c>
      <c r="L1331" s="65" t="str">
        <f>IFERROR(__xludf.DUMMYFUNCTION("""COMPUTED_VALUE"""),"CON RECAUDO")</f>
        <v>CON RECAUDO</v>
      </c>
      <c r="M1331" s="65" t="str">
        <f>IFERROR(__xludf.DUMMYFUNCTION("""COMPUTED_VALUE"""),"MORONA SANTIAGO")</f>
        <v>MORONA SANTIAGO</v>
      </c>
      <c r="N1331" s="65" t="str">
        <f>IFERROR(__xludf.DUMMYFUNCTION("""COMPUTED_VALUE"""),"SUCUA")</f>
        <v>SUCUA</v>
      </c>
      <c r="O1331" s="65" t="str">
        <f>IFERROR(__xludf.DUMMYFUNCTION("""COMPUTED_VALUE"""),"Edmundo Carvajal y Alcides Vintimilla Hospital se Sucúa -")</f>
        <v>Edmundo Carvajal y Alcides Vintimilla Hospital se Sucúa -</v>
      </c>
      <c r="P1331" s="65"/>
      <c r="Q1331" s="65" t="str">
        <f>IFERROR(__xludf.DUMMYFUNCTION("""COMPUTED_VALUE"""),"SERVIENTREGA")</f>
        <v>SERVIENTREGA</v>
      </c>
      <c r="R1331" s="65">
        <f>IFERROR(__xludf.DUMMYFUNCTION("""COMPUTED_VALUE"""),25.0)</f>
        <v>25</v>
      </c>
      <c r="S1331" s="65"/>
      <c r="T1331" s="65">
        <f>IFERROR(__xludf.DUMMYFUNCTION("""COMPUTED_VALUE"""),7.75)</f>
        <v>7.75</v>
      </c>
      <c r="U1331" s="65">
        <f>IFERROR(__xludf.DUMMYFUNCTION("""COMPUTED_VALUE"""),0.0)</f>
        <v>0</v>
      </c>
      <c r="V1331" s="65">
        <f>IFERROR(__xludf.DUMMYFUNCTION("""COMPUTED_VALUE"""),0.0)</f>
        <v>0</v>
      </c>
      <c r="W1331" s="65">
        <f>IFERROR(__xludf.DUMMYFUNCTION("""COMPUTED_VALUE"""),0.0)</f>
        <v>0</v>
      </c>
      <c r="X1331" s="65">
        <f>IFERROR(__xludf.DUMMYFUNCTION("""COMPUTED_VALUE"""),2.35)</f>
        <v>2.35</v>
      </c>
      <c r="Y1331" s="65">
        <f>IFERROR(__xludf.DUMMYFUNCTION("""COMPUTED_VALUE"""),4.7)</f>
        <v>4.7</v>
      </c>
      <c r="Z1331" s="65">
        <f>IFERROR(__xludf.DUMMYFUNCTION("""COMPUTED_VALUE"""),116679.0)</f>
        <v>116679</v>
      </c>
      <c r="AA1331" s="65" t="str">
        <f>IFERROR(__xludf.DUMMYFUNCTION("""COMPUTED_VALUE"""),"AMC-2738")</f>
        <v>AMC-2738</v>
      </c>
      <c r="AB1331" s="65"/>
      <c r="AC1331" s="65" t="str">
        <f>IFERROR(__xludf.DUMMYFUNCTION("""COMPUTED_VALUE"""),"ESPONJA ANTILLUVIA DE PARABRISAS")</f>
        <v>ESPONJA ANTILLUVIA DE PARABRISAS</v>
      </c>
      <c r="AD1331" s="65"/>
      <c r="AE1331" s="65">
        <f>IFERROR(__xludf.DUMMYFUNCTION("""COMPUTED_VALUE"""),2.0)</f>
        <v>2</v>
      </c>
      <c r="AF1331" s="65"/>
      <c r="AG1331" s="65"/>
      <c r="AH1331" s="65"/>
      <c r="AI1331" s="65"/>
      <c r="AJ1331" s="65"/>
      <c r="AK1331" s="65"/>
      <c r="AL1331" s="65"/>
      <c r="AM1331" s="65"/>
      <c r="AN1331" s="65"/>
      <c r="AO1331" s="65"/>
      <c r="AP1331" s="65"/>
      <c r="AQ1331" s="65"/>
      <c r="AR1331" s="65"/>
      <c r="AS1331" s="65"/>
      <c r="AT1331" s="65" t="str">
        <f>IFERROR(__xludf.DUMMYFUNCTION("""COMPUTED_VALUE"""),"SHOPIFY")</f>
        <v>SHOPIFY</v>
      </c>
      <c r="AU1331" s="65" t="str">
        <f>IFERROR(__xludf.DUMMYFUNCTION("""COMPUTED_VALUE"""),"IMPORTEX EC")</f>
        <v>IMPORTEX EC</v>
      </c>
      <c r="AV1331" s="65" t="str">
        <f>IFERROR(__xludf.DUMMYFUNCTION("""COMPUTED_VALUE"""),"6452868743212")</f>
        <v>6452868743212</v>
      </c>
      <c r="AW1331" s="65">
        <f>IFERROR(__xludf.DUMMYFUNCTION("""COMPUTED_VALUE"""),5588.0)</f>
        <v>5588</v>
      </c>
      <c r="AX1331" s="65"/>
      <c r="AY1331" s="65"/>
      <c r="AZ1331" s="65"/>
      <c r="BA1331" s="65"/>
    </row>
    <row r="1332">
      <c r="A1332" s="65" t="str">
        <f>IFERROR(__xludf.DUMMYFUNCTION("""COMPUTED_VALUE"""),"27-03-2026")</f>
        <v>27-03-2026</v>
      </c>
      <c r="B1332" s="65">
        <f>IFERROR(__xludf.DUMMYFUNCTION("""COMPUTED_VALUE"""),4301115.0)</f>
        <v>4301115</v>
      </c>
      <c r="C1332" s="65" t="str">
        <f>IFERROR(__xludf.DUMMYFUNCTION("""COMPUTED_VALUE"""),"20:25")</f>
        <v>20:25</v>
      </c>
      <c r="D1332" s="65" t="str">
        <f>IFERROR(__xludf.DUMMYFUNCTION("""COMPUTED_VALUE"""),"27-01-2026")</f>
        <v>27-01-2026</v>
      </c>
      <c r="E1332" s="65" t="str">
        <f>IFERROR(__xludf.DUMMYFUNCTION("""COMPUTED_VALUE"""),"VIVIANNA CORTEZ")</f>
        <v>VIVIANNA CORTEZ</v>
      </c>
      <c r="F1332" s="65" t="str">
        <f>IFERROR(__xludf.DUMMYFUNCTION("""COMPUTED_VALUE"""),"986374683")</f>
        <v>986374683</v>
      </c>
      <c r="G1332" s="65" t="str">
        <f>IFERROR(__xludf.DUMMYFUNCTION("""COMPUTED_VALUE"""),"viviannacortezburgos@hotmail.com")</f>
        <v>viviannacortezburgos@hotmail.com</v>
      </c>
      <c r="H1332" s="65"/>
      <c r="I1332" s="65"/>
      <c r="J1332" s="65" t="str">
        <f>IFERROR(__xludf.DUMMYFUNCTION("""COMPUTED_VALUE"""),"D001273687")</f>
        <v>D001273687</v>
      </c>
      <c r="K1332" s="65" t="str">
        <f>IFERROR(__xludf.DUMMYFUNCTION("""COMPUTED_VALUE"""),"ENTREGADO")</f>
        <v>ENTREGADO</v>
      </c>
      <c r="L1332" s="65" t="str">
        <f>IFERROR(__xludf.DUMMYFUNCTION("""COMPUTED_VALUE"""),"CON RECAUDO")</f>
        <v>CON RECAUDO</v>
      </c>
      <c r="M1332" s="65" t="str">
        <f>IFERROR(__xludf.DUMMYFUNCTION("""COMPUTED_VALUE"""),"LOS RIOS")</f>
        <v>LOS RIOS</v>
      </c>
      <c r="N1332" s="65" t="str">
        <f>IFERROR(__xludf.DUMMYFUNCTION("""COMPUTED_VALUE"""),"QUEVEDO")</f>
        <v>QUEVEDO</v>
      </c>
      <c r="O1332" s="65" t="str">
        <f>IFERROR(__xludf.DUMMYFUNCTION("""COMPUTED_VALUE"""),"Avenida José juaquin de olmedo y Brasil Hospital Básico La Cigüeña -")</f>
        <v>Avenida José juaquin de olmedo y Brasil Hospital Básico La Cigüeña -</v>
      </c>
      <c r="P1332" s="65"/>
      <c r="Q1332" s="65" t="str">
        <f>IFERROR(__xludf.DUMMYFUNCTION("""COMPUTED_VALUE"""),"GINTRACOM")</f>
        <v>GINTRACOM</v>
      </c>
      <c r="R1332" s="65">
        <f>IFERROR(__xludf.DUMMYFUNCTION("""COMPUTED_VALUE"""),25.0)</f>
        <v>25</v>
      </c>
      <c r="S1332" s="65">
        <f>IFERROR(__xludf.DUMMYFUNCTION("""COMPUTED_VALUE"""),14.34)</f>
        <v>14.34</v>
      </c>
      <c r="T1332" s="65">
        <f>IFERROR(__xludf.DUMMYFUNCTION("""COMPUTED_VALUE"""),5.96)</f>
        <v>5.96</v>
      </c>
      <c r="U1332" s="65">
        <f>IFERROR(__xludf.DUMMYFUNCTION("""COMPUTED_VALUE"""),0.0)</f>
        <v>0</v>
      </c>
      <c r="V1332" s="65">
        <f>IFERROR(__xludf.DUMMYFUNCTION("""COMPUTED_VALUE"""),0.0)</f>
        <v>0</v>
      </c>
      <c r="W1332" s="65">
        <f>IFERROR(__xludf.DUMMYFUNCTION("""COMPUTED_VALUE"""),0.0)</f>
        <v>0</v>
      </c>
      <c r="X1332" s="65">
        <f>IFERROR(__xludf.DUMMYFUNCTION("""COMPUTED_VALUE"""),2.35)</f>
        <v>2.35</v>
      </c>
      <c r="Y1332" s="65">
        <f>IFERROR(__xludf.DUMMYFUNCTION("""COMPUTED_VALUE"""),4.7)</f>
        <v>4.7</v>
      </c>
      <c r="Z1332" s="65">
        <f>IFERROR(__xludf.DUMMYFUNCTION("""COMPUTED_VALUE"""),116679.0)</f>
        <v>116679</v>
      </c>
      <c r="AA1332" s="65" t="str">
        <f>IFERROR(__xludf.DUMMYFUNCTION("""COMPUTED_VALUE"""),"AMC-2738")</f>
        <v>AMC-2738</v>
      </c>
      <c r="AB1332" s="65"/>
      <c r="AC1332" s="65" t="str">
        <f>IFERROR(__xludf.DUMMYFUNCTION("""COMPUTED_VALUE"""),"ESPONJA ANTILLUVIA DE PARABRISAS")</f>
        <v>ESPONJA ANTILLUVIA DE PARABRISAS</v>
      </c>
      <c r="AD1332" s="65"/>
      <c r="AE1332" s="65">
        <f>IFERROR(__xludf.DUMMYFUNCTION("""COMPUTED_VALUE"""),2.0)</f>
        <v>2</v>
      </c>
      <c r="AF1332" s="65"/>
      <c r="AG1332" s="65"/>
      <c r="AH1332" s="65"/>
      <c r="AI1332" s="65"/>
      <c r="AJ1332" s="65"/>
      <c r="AK1332" s="65"/>
      <c r="AL1332" s="65"/>
      <c r="AM1332" s="65"/>
      <c r="AN1332" s="65"/>
      <c r="AO1332" s="65"/>
      <c r="AP1332" s="65"/>
      <c r="AQ1332" s="65"/>
      <c r="AR1332" s="65"/>
      <c r="AS1332" s="65"/>
      <c r="AT1332" s="65" t="str">
        <f>IFERROR(__xludf.DUMMYFUNCTION("""COMPUTED_VALUE"""),"SHOPIFY")</f>
        <v>SHOPIFY</v>
      </c>
      <c r="AU1332" s="65" t="str">
        <f>IFERROR(__xludf.DUMMYFUNCTION("""COMPUTED_VALUE"""),"IMPORTEX EC")</f>
        <v>IMPORTEX EC</v>
      </c>
      <c r="AV1332" s="65" t="str">
        <f>IFERROR(__xludf.DUMMYFUNCTION("""COMPUTED_VALUE"""),"6452772962348")</f>
        <v>6452772962348</v>
      </c>
      <c r="AW1332" s="65">
        <f>IFERROR(__xludf.DUMMYFUNCTION("""COMPUTED_VALUE"""),5586.0)</f>
        <v>5586</v>
      </c>
      <c r="AX1332" s="65"/>
      <c r="AY1332" s="65" t="str">
        <f>IFERROR(__xludf.DUMMYFUNCTION("""COMPUTED_VALUE"""),"29/01/2026")</f>
        <v>29/01/2026</v>
      </c>
      <c r="AZ1332" s="65"/>
      <c r="BA1332" s="65"/>
    </row>
    <row r="1333">
      <c r="A1333" s="65" t="str">
        <f>IFERROR(__xludf.DUMMYFUNCTION("""COMPUTED_VALUE"""),"27-03-2026")</f>
        <v>27-03-2026</v>
      </c>
      <c r="B1333" s="65">
        <f>IFERROR(__xludf.DUMMYFUNCTION("""COMPUTED_VALUE"""),4300897.0)</f>
        <v>4300897</v>
      </c>
      <c r="C1333" s="65" t="str">
        <f>IFERROR(__xludf.DUMMYFUNCTION("""COMPUTED_VALUE"""),"20:07")</f>
        <v>20:07</v>
      </c>
      <c r="D1333" s="65" t="str">
        <f>IFERROR(__xludf.DUMMYFUNCTION("""COMPUTED_VALUE"""),"27-01-2026")</f>
        <v>27-01-2026</v>
      </c>
      <c r="E1333" s="65" t="str">
        <f>IFERROR(__xludf.DUMMYFUNCTION("""COMPUTED_VALUE"""),"Freddy Barros Barros")</f>
        <v>Freddy Barros Barros</v>
      </c>
      <c r="F1333" s="65" t="str">
        <f>IFERROR(__xludf.DUMMYFUNCTION("""COMPUTED_VALUE"""),"987069857")</f>
        <v>987069857</v>
      </c>
      <c r="G1333" s="65" t="str">
        <f>IFERROR(__xludf.DUMMYFUNCTION("""COMPUTED_VALUE"""),"freddy.barros@hotmail.es")</f>
        <v>freddy.barros@hotmail.es</v>
      </c>
      <c r="H1333" s="65"/>
      <c r="I1333" s="65"/>
      <c r="J1333" s="65"/>
      <c r="K1333" s="65" t="str">
        <f>IFERROR(__xludf.DUMMYFUNCTION("""COMPUTED_VALUE"""),"CANCELADO")</f>
        <v>CANCELADO</v>
      </c>
      <c r="L1333" s="65" t="str">
        <f>IFERROR(__xludf.DUMMYFUNCTION("""COMPUTED_VALUE"""),"CON RECAUDO")</f>
        <v>CON RECAUDO</v>
      </c>
      <c r="M1333" s="65" t="str">
        <f>IFERROR(__xludf.DUMMYFUNCTION("""COMPUTED_VALUE"""),"TUNGURAHUA")</f>
        <v>TUNGURAHUA</v>
      </c>
      <c r="N1333" s="65" t="str">
        <f>IFERROR(__xludf.DUMMYFUNCTION("""COMPUTED_VALUE"""),"AMBATO")</f>
        <v>AMBATO</v>
      </c>
      <c r="O1333" s="65" t="str">
        <f>IFERROR(__xludf.DUMMYFUNCTION("""COMPUTED_VALUE"""),"Av. Cervantes Av. Manuelita Saenz -")</f>
        <v>Av. Cervantes Av. Manuelita Saenz -</v>
      </c>
      <c r="P1333" s="65"/>
      <c r="Q1333" s="65" t="str">
        <f>IFERROR(__xludf.DUMMYFUNCTION("""COMPUTED_VALUE"""),"GINTRACOM")</f>
        <v>GINTRACOM</v>
      </c>
      <c r="R1333" s="65">
        <f>IFERROR(__xludf.DUMMYFUNCTION("""COMPUTED_VALUE"""),20.0)</f>
        <v>20</v>
      </c>
      <c r="S1333" s="65"/>
      <c r="T1333" s="65">
        <f>IFERROR(__xludf.DUMMYFUNCTION("""COMPUTED_VALUE"""),5.76)</f>
        <v>5.76</v>
      </c>
      <c r="U1333" s="65">
        <f>IFERROR(__xludf.DUMMYFUNCTION("""COMPUTED_VALUE"""),0.0)</f>
        <v>0</v>
      </c>
      <c r="V1333" s="65">
        <f>IFERROR(__xludf.DUMMYFUNCTION("""COMPUTED_VALUE"""),0.0)</f>
        <v>0</v>
      </c>
      <c r="W1333" s="65">
        <f>IFERROR(__xludf.DUMMYFUNCTION("""COMPUTED_VALUE"""),0.0)</f>
        <v>0</v>
      </c>
      <c r="X1333" s="65">
        <f>IFERROR(__xludf.DUMMYFUNCTION("""COMPUTED_VALUE"""),2.35)</f>
        <v>2.35</v>
      </c>
      <c r="Y1333" s="65">
        <f>IFERROR(__xludf.DUMMYFUNCTION("""COMPUTED_VALUE"""),2.35)</f>
        <v>2.35</v>
      </c>
      <c r="Z1333" s="65">
        <f>IFERROR(__xludf.DUMMYFUNCTION("""COMPUTED_VALUE"""),116679.0)</f>
        <v>116679</v>
      </c>
      <c r="AA1333" s="65" t="str">
        <f>IFERROR(__xludf.DUMMYFUNCTION("""COMPUTED_VALUE"""),"AMC-2738")</f>
        <v>AMC-2738</v>
      </c>
      <c r="AB1333" s="65"/>
      <c r="AC1333" s="65" t="str">
        <f>IFERROR(__xludf.DUMMYFUNCTION("""COMPUTED_VALUE"""),"ESPONJA ANTILLUVIA DE PARABRISAS")</f>
        <v>ESPONJA ANTILLUVIA DE PARABRISAS</v>
      </c>
      <c r="AD1333" s="65"/>
      <c r="AE1333" s="65">
        <f>IFERROR(__xludf.DUMMYFUNCTION("""COMPUTED_VALUE"""),1.0)</f>
        <v>1</v>
      </c>
      <c r="AF1333" s="65"/>
      <c r="AG1333" s="65"/>
      <c r="AH1333" s="65"/>
      <c r="AI1333" s="65"/>
      <c r="AJ1333" s="65"/>
      <c r="AK1333" s="65"/>
      <c r="AL1333" s="65"/>
      <c r="AM1333" s="65"/>
      <c r="AN1333" s="65"/>
      <c r="AO1333" s="65"/>
      <c r="AP1333" s="65"/>
      <c r="AQ1333" s="65"/>
      <c r="AR1333" s="65"/>
      <c r="AS1333" s="65"/>
      <c r="AT1333" s="65" t="str">
        <f>IFERROR(__xludf.DUMMYFUNCTION("""COMPUTED_VALUE"""),"SHOPIFY")</f>
        <v>SHOPIFY</v>
      </c>
      <c r="AU1333" s="65" t="str">
        <f>IFERROR(__xludf.DUMMYFUNCTION("""COMPUTED_VALUE"""),"IMPORTEX EC")</f>
        <v>IMPORTEX EC</v>
      </c>
      <c r="AV1333" s="65" t="str">
        <f>IFERROR(__xludf.DUMMYFUNCTION("""COMPUTED_VALUE"""),"6452727087148")</f>
        <v>6452727087148</v>
      </c>
      <c r="AW1333" s="65">
        <f>IFERROR(__xludf.DUMMYFUNCTION("""COMPUTED_VALUE"""),5584.0)</f>
        <v>5584</v>
      </c>
      <c r="AX1333" s="65"/>
      <c r="AY1333" s="65"/>
      <c r="AZ1333" s="65"/>
      <c r="BA1333" s="65"/>
    </row>
    <row r="1334">
      <c r="A1334" s="65" t="str">
        <f>IFERROR(__xludf.DUMMYFUNCTION("""COMPUTED_VALUE"""),"27-03-2026")</f>
        <v>27-03-2026</v>
      </c>
      <c r="B1334" s="65">
        <f>IFERROR(__xludf.DUMMYFUNCTION("""COMPUTED_VALUE"""),4300700.0)</f>
        <v>4300700</v>
      </c>
      <c r="C1334" s="65" t="str">
        <f>IFERROR(__xludf.DUMMYFUNCTION("""COMPUTED_VALUE"""),"19:43")</f>
        <v>19:43</v>
      </c>
      <c r="D1334" s="65" t="str">
        <f>IFERROR(__xludf.DUMMYFUNCTION("""COMPUTED_VALUE"""),"27-01-2026")</f>
        <v>27-01-2026</v>
      </c>
      <c r="E1334" s="65" t="str">
        <f>IFERROR(__xludf.DUMMYFUNCTION("""COMPUTED_VALUE"""),"JOSE LUCAS")</f>
        <v>JOSE LUCAS</v>
      </c>
      <c r="F1334" s="65" t="str">
        <f>IFERROR(__xludf.DUMMYFUNCTION("""COMPUTED_VALUE"""),"989703334")</f>
        <v>989703334</v>
      </c>
      <c r="G1334" s="65" t="str">
        <f>IFERROR(__xludf.DUMMYFUNCTION("""COMPUTED_VALUE"""),"lucasholguin-67@hotmail.com")</f>
        <v>lucasholguin-67@hotmail.com</v>
      </c>
      <c r="H1334" s="65"/>
      <c r="I1334" s="65"/>
      <c r="J1334" s="65"/>
      <c r="K1334" s="65" t="str">
        <f>IFERROR(__xludf.DUMMYFUNCTION("""COMPUTED_VALUE"""),"CANCELADO")</f>
        <v>CANCELADO</v>
      </c>
      <c r="L1334" s="65" t="str">
        <f>IFERROR(__xludf.DUMMYFUNCTION("""COMPUTED_VALUE"""),"CON RECAUDO")</f>
        <v>CON RECAUDO</v>
      </c>
      <c r="M1334" s="65" t="str">
        <f>IFERROR(__xludf.DUMMYFUNCTION("""COMPUTED_VALUE"""),"MANABI")</f>
        <v>MANABI</v>
      </c>
      <c r="N1334" s="65" t="str">
        <f>IFERROR(__xludf.DUMMYFUNCTION("""COMPUTED_VALUE"""),"MANTA")</f>
        <v>MANTA</v>
      </c>
      <c r="O1334" s="65" t="str">
        <f>IFERROR(__xludf.DUMMYFUNCTION("""COMPUTED_VALUE"""),"calle 116 av. 109 Barrio san jose casa 220 -")</f>
        <v>calle 116 av. 109 Barrio san jose casa 220 -</v>
      </c>
      <c r="P1334" s="65"/>
      <c r="Q1334" s="65" t="str">
        <f>IFERROR(__xludf.DUMMYFUNCTION("""COMPUTED_VALUE"""),"GINTRACOM")</f>
        <v>GINTRACOM</v>
      </c>
      <c r="R1334" s="65">
        <f>IFERROR(__xludf.DUMMYFUNCTION("""COMPUTED_VALUE"""),20.0)</f>
        <v>20</v>
      </c>
      <c r="S1334" s="65"/>
      <c r="T1334" s="65">
        <f>IFERROR(__xludf.DUMMYFUNCTION("""COMPUTED_VALUE"""),5.76)</f>
        <v>5.76</v>
      </c>
      <c r="U1334" s="65">
        <f>IFERROR(__xludf.DUMMYFUNCTION("""COMPUTED_VALUE"""),0.0)</f>
        <v>0</v>
      </c>
      <c r="V1334" s="65">
        <f>IFERROR(__xludf.DUMMYFUNCTION("""COMPUTED_VALUE"""),0.0)</f>
        <v>0</v>
      </c>
      <c r="W1334" s="65">
        <f>IFERROR(__xludf.DUMMYFUNCTION("""COMPUTED_VALUE"""),0.0)</f>
        <v>0</v>
      </c>
      <c r="X1334" s="65">
        <f>IFERROR(__xludf.DUMMYFUNCTION("""COMPUTED_VALUE"""),2.35)</f>
        <v>2.35</v>
      </c>
      <c r="Y1334" s="65">
        <f>IFERROR(__xludf.DUMMYFUNCTION("""COMPUTED_VALUE"""),2.35)</f>
        <v>2.35</v>
      </c>
      <c r="Z1334" s="65">
        <f>IFERROR(__xludf.DUMMYFUNCTION("""COMPUTED_VALUE"""),116679.0)</f>
        <v>116679</v>
      </c>
      <c r="AA1334" s="65" t="str">
        <f>IFERROR(__xludf.DUMMYFUNCTION("""COMPUTED_VALUE"""),"AMC-2738")</f>
        <v>AMC-2738</v>
      </c>
      <c r="AB1334" s="65"/>
      <c r="AC1334" s="65" t="str">
        <f>IFERROR(__xludf.DUMMYFUNCTION("""COMPUTED_VALUE"""),"ESPONJA ANTILLUVIA DE PARABRISAS")</f>
        <v>ESPONJA ANTILLUVIA DE PARABRISAS</v>
      </c>
      <c r="AD1334" s="65"/>
      <c r="AE1334" s="65">
        <f>IFERROR(__xludf.DUMMYFUNCTION("""COMPUTED_VALUE"""),1.0)</f>
        <v>1</v>
      </c>
      <c r="AF1334" s="65"/>
      <c r="AG1334" s="65"/>
      <c r="AH1334" s="65"/>
      <c r="AI1334" s="65"/>
      <c r="AJ1334" s="65"/>
      <c r="AK1334" s="65"/>
      <c r="AL1334" s="65"/>
      <c r="AM1334" s="65"/>
      <c r="AN1334" s="65"/>
      <c r="AO1334" s="65"/>
      <c r="AP1334" s="65"/>
      <c r="AQ1334" s="65"/>
      <c r="AR1334" s="65"/>
      <c r="AS1334" s="65"/>
      <c r="AT1334" s="65" t="str">
        <f>IFERROR(__xludf.DUMMYFUNCTION("""COMPUTED_VALUE"""),"SHOPIFY")</f>
        <v>SHOPIFY</v>
      </c>
      <c r="AU1334" s="65" t="str">
        <f>IFERROR(__xludf.DUMMYFUNCTION("""COMPUTED_VALUE"""),"IMPORTEX EC")</f>
        <v>IMPORTEX EC</v>
      </c>
      <c r="AV1334" s="65" t="str">
        <f>IFERROR(__xludf.DUMMYFUNCTION("""COMPUTED_VALUE"""),"6452686749740")</f>
        <v>6452686749740</v>
      </c>
      <c r="AW1334" s="65">
        <f>IFERROR(__xludf.DUMMYFUNCTION("""COMPUTED_VALUE"""),5583.0)</f>
        <v>5583</v>
      </c>
      <c r="AX1334" s="65"/>
      <c r="AY1334" s="65"/>
      <c r="AZ1334" s="65"/>
      <c r="BA1334" s="65"/>
    </row>
    <row r="1335">
      <c r="A1335" s="65" t="str">
        <f>IFERROR(__xludf.DUMMYFUNCTION("""COMPUTED_VALUE"""),"27-03-2026")</f>
        <v>27-03-2026</v>
      </c>
      <c r="B1335" s="65">
        <f>IFERROR(__xludf.DUMMYFUNCTION("""COMPUTED_VALUE"""),4300698.0)</f>
        <v>4300698</v>
      </c>
      <c r="C1335" s="65" t="str">
        <f>IFERROR(__xludf.DUMMYFUNCTION("""COMPUTED_VALUE"""),"19:43")</f>
        <v>19:43</v>
      </c>
      <c r="D1335" s="65" t="str">
        <f>IFERROR(__xludf.DUMMYFUNCTION("""COMPUTED_VALUE"""),"27-01-2026")</f>
        <v>27-01-2026</v>
      </c>
      <c r="E1335" s="65" t="str">
        <f>IFERROR(__xludf.DUMMYFUNCTION("""COMPUTED_VALUE"""),"Tania Farinango Farinango")</f>
        <v>Tania Farinango Farinango</v>
      </c>
      <c r="F1335" s="65" t="str">
        <f>IFERROR(__xludf.DUMMYFUNCTION("""COMPUTED_VALUE"""),"989388764")</f>
        <v>989388764</v>
      </c>
      <c r="G1335" s="65" t="str">
        <f>IFERROR(__xludf.DUMMYFUNCTION("""COMPUTED_VALUE"""),"lizzztania@gmail.com")</f>
        <v>lizzztania@gmail.com</v>
      </c>
      <c r="H1335" s="65"/>
      <c r="I1335" s="65"/>
      <c r="J1335" s="65" t="str">
        <f>IFERROR(__xludf.DUMMYFUNCTION("""COMPUTED_VALUE"""),"D001273692")</f>
        <v>D001273692</v>
      </c>
      <c r="K1335" s="65" t="str">
        <f>IFERROR(__xludf.DUMMYFUNCTION("""COMPUTED_VALUE"""),"DEVOLUCION")</f>
        <v>DEVOLUCION</v>
      </c>
      <c r="L1335" s="65" t="str">
        <f>IFERROR(__xludf.DUMMYFUNCTION("""COMPUTED_VALUE"""),"CON RECAUDO")</f>
        <v>CON RECAUDO</v>
      </c>
      <c r="M1335" s="65" t="str">
        <f>IFERROR(__xludf.DUMMYFUNCTION("""COMPUTED_VALUE"""),"PICHINCHA")</f>
        <v>PICHINCHA</v>
      </c>
      <c r="N1335" s="65" t="str">
        <f>IFERROR(__xludf.DUMMYFUNCTION("""COMPUTED_VALUE"""),"CAYAMBE")</f>
        <v>CAYAMBE</v>
      </c>
      <c r="O1335" s="65" t="str">
        <f>IFERROR(__xludf.DUMMYFUNCTION("""COMPUTED_VALUE"""),"Patricio Romero Rumiloma -")</f>
        <v>Patricio Romero Rumiloma -</v>
      </c>
      <c r="P1335" s="65"/>
      <c r="Q1335" s="65" t="str">
        <f>IFERROR(__xludf.DUMMYFUNCTION("""COMPUTED_VALUE"""),"GINTRACOM")</f>
        <v>GINTRACOM</v>
      </c>
      <c r="R1335" s="65">
        <f>IFERROR(__xludf.DUMMYFUNCTION("""COMPUTED_VALUE"""),20.0)</f>
        <v>20</v>
      </c>
      <c r="S1335" s="65"/>
      <c r="T1335" s="65">
        <f>IFERROR(__xludf.DUMMYFUNCTION("""COMPUTED_VALUE"""),5.18)</f>
        <v>5.18</v>
      </c>
      <c r="U1335" s="65">
        <f>IFERROR(__xludf.DUMMYFUNCTION("""COMPUTED_VALUE"""),0.0)</f>
        <v>0</v>
      </c>
      <c r="V1335" s="65">
        <f>IFERROR(__xludf.DUMMYFUNCTION("""COMPUTED_VALUE"""),0.0)</f>
        <v>0</v>
      </c>
      <c r="W1335" s="65">
        <f>IFERROR(__xludf.DUMMYFUNCTION("""COMPUTED_VALUE"""),0.0)</f>
        <v>0</v>
      </c>
      <c r="X1335" s="65">
        <f>IFERROR(__xludf.DUMMYFUNCTION("""COMPUTED_VALUE"""),2.35)</f>
        <v>2.35</v>
      </c>
      <c r="Y1335" s="65">
        <f>IFERROR(__xludf.DUMMYFUNCTION("""COMPUTED_VALUE"""),2.35)</f>
        <v>2.35</v>
      </c>
      <c r="Z1335" s="65">
        <f>IFERROR(__xludf.DUMMYFUNCTION("""COMPUTED_VALUE"""),116679.0)</f>
        <v>116679</v>
      </c>
      <c r="AA1335" s="65" t="str">
        <f>IFERROR(__xludf.DUMMYFUNCTION("""COMPUTED_VALUE"""),"AMC-2738")</f>
        <v>AMC-2738</v>
      </c>
      <c r="AB1335" s="65"/>
      <c r="AC1335" s="65" t="str">
        <f>IFERROR(__xludf.DUMMYFUNCTION("""COMPUTED_VALUE"""),"ESPONJA ANTILLUVIA DE PARABRISAS")</f>
        <v>ESPONJA ANTILLUVIA DE PARABRISAS</v>
      </c>
      <c r="AD1335" s="65"/>
      <c r="AE1335" s="65">
        <f>IFERROR(__xludf.DUMMYFUNCTION("""COMPUTED_VALUE"""),1.0)</f>
        <v>1</v>
      </c>
      <c r="AF1335" s="65" t="str">
        <f>IFERROR(__xludf.DUMMYFUNCTION("""COMPUTED_VALUE"""),"DESTINATARIO NO CONTESTA LLAMADAS NI WHATSAPP")</f>
        <v>DESTINATARIO NO CONTESTA LLAMADAS NI WHATSAPP</v>
      </c>
      <c r="AG1335" s="65" t="str">
        <f>IFERROR(__xludf.DUMMYFUNCTION("""COMPUTED_VALUE"""),"NO")</f>
        <v>NO</v>
      </c>
      <c r="AH1335" s="65" t="str">
        <f>IFERROR(__xludf.DUMMYFUNCTION("""COMPUTED_VALUE"""),"09:00")</f>
        <v>09:00</v>
      </c>
      <c r="AI1335" s="65" t="str">
        <f>IFERROR(__xludf.DUMMYFUNCTION("""COMPUTED_VALUE"""),"08-02-2026")</f>
        <v>08-02-2026</v>
      </c>
      <c r="AJ1335" s="65"/>
      <c r="AK1335" s="65"/>
      <c r="AL1335" s="65"/>
      <c r="AM1335" s="65"/>
      <c r="AN1335" s="65" t="str">
        <f>IFERROR(__xludf.DUMMYFUNCTION("""COMPUTED_VALUE"""),"19:32")</f>
        <v>19:32</v>
      </c>
      <c r="AO1335" s="65" t="str">
        <f>IFERROR(__xludf.DUMMYFUNCTION("""COMPUTED_VALUE"""),"19-02-2026")</f>
        <v>19-02-2026</v>
      </c>
      <c r="AP1335" s="65" t="str">
        <f>IFERROR(__xludf.DUMMYFUNCTION("""COMPUTED_VALUE"""),"DEVOLUCIÓN ENTREGADA A ORIGEN")</f>
        <v>DEVOLUCIÓN ENTREGADA A ORIGEN</v>
      </c>
      <c r="AQ1335" s="65" t="str">
        <f>IFERROR(__xludf.DUMMYFUNCTION("""COMPUTED_VALUE"""),"DEVOLUCIÓN ENTREGADA A ORIGEN")</f>
        <v>DEVOLUCIÓN ENTREGADA A ORIGEN</v>
      </c>
      <c r="AR1335" s="65"/>
      <c r="AS1335" s="65"/>
      <c r="AT1335" s="65" t="str">
        <f>IFERROR(__xludf.DUMMYFUNCTION("""COMPUTED_VALUE"""),"SHOPIFY")</f>
        <v>SHOPIFY</v>
      </c>
      <c r="AU1335" s="65" t="str">
        <f>IFERROR(__xludf.DUMMYFUNCTION("""COMPUTED_VALUE"""),"IMPORTEX EC")</f>
        <v>IMPORTEX EC</v>
      </c>
      <c r="AV1335" s="65" t="str">
        <f>IFERROR(__xludf.DUMMYFUNCTION("""COMPUTED_VALUE"""),"6452685013036")</f>
        <v>6452685013036</v>
      </c>
      <c r="AW1335" s="65">
        <f>IFERROR(__xludf.DUMMYFUNCTION("""COMPUTED_VALUE"""),5582.0)</f>
        <v>5582</v>
      </c>
      <c r="AX1335" s="65"/>
      <c r="AY1335" s="65" t="str">
        <f>IFERROR(__xludf.DUMMYFUNCTION("""COMPUTED_VALUE"""),"29/01/2026")</f>
        <v>29/01/2026</v>
      </c>
      <c r="AZ1335" s="65"/>
      <c r="BA1335" s="65"/>
    </row>
    <row r="1336">
      <c r="A1336" s="65" t="str">
        <f>IFERROR(__xludf.DUMMYFUNCTION("""COMPUTED_VALUE"""),"27-03-2026")</f>
        <v>27-03-2026</v>
      </c>
      <c r="B1336" s="65">
        <f>IFERROR(__xludf.DUMMYFUNCTION("""COMPUTED_VALUE"""),4300697.0)</f>
        <v>4300697</v>
      </c>
      <c r="C1336" s="65" t="str">
        <f>IFERROR(__xludf.DUMMYFUNCTION("""COMPUTED_VALUE"""),"19:43")</f>
        <v>19:43</v>
      </c>
      <c r="D1336" s="65" t="str">
        <f>IFERROR(__xludf.DUMMYFUNCTION("""COMPUTED_VALUE"""),"27-01-2026")</f>
        <v>27-01-2026</v>
      </c>
      <c r="E1336" s="65" t="str">
        <f>IFERROR(__xludf.DUMMYFUNCTION("""COMPUTED_VALUE"""),"Daniel Sanchez")</f>
        <v>Daniel Sanchez</v>
      </c>
      <c r="F1336" s="65" t="str">
        <f>IFERROR(__xludf.DUMMYFUNCTION("""COMPUTED_VALUE"""),"939093506")</f>
        <v>939093506</v>
      </c>
      <c r="G1336" s="65" t="str">
        <f>IFERROR(__xludf.DUMMYFUNCTION("""COMPUTED_VALUE"""),"angeloburgos041@gmail.com")</f>
        <v>angeloburgos041@gmail.com</v>
      </c>
      <c r="H1336" s="65"/>
      <c r="I1336" s="65"/>
      <c r="J1336" s="65"/>
      <c r="K1336" s="65" t="str">
        <f>IFERROR(__xludf.DUMMYFUNCTION("""COMPUTED_VALUE"""),"PENDIENTE CONFIRMACION")</f>
        <v>PENDIENTE CONFIRMACION</v>
      </c>
      <c r="L1336" s="65" t="str">
        <f>IFERROR(__xludf.DUMMYFUNCTION("""COMPUTED_VALUE"""),"CON RECAUDO")</f>
        <v>CON RECAUDO</v>
      </c>
      <c r="M1336" s="65" t="str">
        <f>IFERROR(__xludf.DUMMYFUNCTION("""COMPUTED_VALUE"""),"SANTO DOMINGO DE LOS TSACHILAS")</f>
        <v>SANTO DOMINGO DE LOS TSACHILAS</v>
      </c>
      <c r="N1336" s="65" t="str">
        <f>IFERROR(__xludf.DUMMYFUNCTION("""COMPUTED_VALUE"""),"SANTO DOMINGO")</f>
        <v>SANTO DOMINGO</v>
      </c>
      <c r="O1336" s="65" t="str">
        <f>IFERROR(__xludf.DUMMYFUNCTION("""COMPUTED_VALUE"""),"Santo domingo avenida los colonos Rosita de saron -")</f>
        <v>Santo domingo avenida los colonos Rosita de saron -</v>
      </c>
      <c r="P1336" s="65"/>
      <c r="Q1336" s="65" t="str">
        <f>IFERROR(__xludf.DUMMYFUNCTION("""COMPUTED_VALUE"""),"GINTRACOM")</f>
        <v>GINTRACOM</v>
      </c>
      <c r="R1336" s="65">
        <f>IFERROR(__xludf.DUMMYFUNCTION("""COMPUTED_VALUE"""),20.0)</f>
        <v>20</v>
      </c>
      <c r="S1336" s="65"/>
      <c r="T1336" s="65">
        <f>IFERROR(__xludf.DUMMYFUNCTION("""COMPUTED_VALUE"""),5.76)</f>
        <v>5.76</v>
      </c>
      <c r="U1336" s="65">
        <f>IFERROR(__xludf.DUMMYFUNCTION("""COMPUTED_VALUE"""),0.0)</f>
        <v>0</v>
      </c>
      <c r="V1336" s="65">
        <f>IFERROR(__xludf.DUMMYFUNCTION("""COMPUTED_VALUE"""),0.0)</f>
        <v>0</v>
      </c>
      <c r="W1336" s="65">
        <f>IFERROR(__xludf.DUMMYFUNCTION("""COMPUTED_VALUE"""),0.0)</f>
        <v>0</v>
      </c>
      <c r="X1336" s="65">
        <f>IFERROR(__xludf.DUMMYFUNCTION("""COMPUTED_VALUE"""),2.35)</f>
        <v>2.35</v>
      </c>
      <c r="Y1336" s="65">
        <f>IFERROR(__xludf.DUMMYFUNCTION("""COMPUTED_VALUE"""),2.35)</f>
        <v>2.35</v>
      </c>
      <c r="Z1336" s="65">
        <f>IFERROR(__xludf.DUMMYFUNCTION("""COMPUTED_VALUE"""),116679.0)</f>
        <v>116679</v>
      </c>
      <c r="AA1336" s="65" t="str">
        <f>IFERROR(__xludf.DUMMYFUNCTION("""COMPUTED_VALUE"""),"AMC-2738")</f>
        <v>AMC-2738</v>
      </c>
      <c r="AB1336" s="65"/>
      <c r="AC1336" s="65" t="str">
        <f>IFERROR(__xludf.DUMMYFUNCTION("""COMPUTED_VALUE"""),"ESPONJA ANTILLUVIA DE PARABRISAS")</f>
        <v>ESPONJA ANTILLUVIA DE PARABRISAS</v>
      </c>
      <c r="AD1336" s="65"/>
      <c r="AE1336" s="65">
        <f>IFERROR(__xludf.DUMMYFUNCTION("""COMPUTED_VALUE"""),1.0)</f>
        <v>1</v>
      </c>
      <c r="AF1336" s="65"/>
      <c r="AG1336" s="65"/>
      <c r="AH1336" s="65"/>
      <c r="AI1336" s="65"/>
      <c r="AJ1336" s="65"/>
      <c r="AK1336" s="65"/>
      <c r="AL1336" s="65"/>
      <c r="AM1336" s="65"/>
      <c r="AN1336" s="65"/>
      <c r="AO1336" s="65"/>
      <c r="AP1336" s="65"/>
      <c r="AQ1336" s="65"/>
      <c r="AR1336" s="65"/>
      <c r="AS1336" s="65"/>
      <c r="AT1336" s="65" t="str">
        <f>IFERROR(__xludf.DUMMYFUNCTION("""COMPUTED_VALUE"""),"SHOPIFY")</f>
        <v>SHOPIFY</v>
      </c>
      <c r="AU1336" s="65" t="str">
        <f>IFERROR(__xludf.DUMMYFUNCTION("""COMPUTED_VALUE"""),"IMPORTEX EC")</f>
        <v>IMPORTEX EC</v>
      </c>
      <c r="AV1336" s="65" t="str">
        <f>IFERROR(__xludf.DUMMYFUNCTION("""COMPUTED_VALUE"""),"6450648252460")</f>
        <v>6450648252460</v>
      </c>
      <c r="AW1336" s="65">
        <f>IFERROR(__xludf.DUMMYFUNCTION("""COMPUTED_VALUE"""),5559.0)</f>
        <v>5559</v>
      </c>
      <c r="AX1336" s="65"/>
      <c r="AY1336" s="65"/>
      <c r="AZ1336" s="65"/>
      <c r="BA1336" s="65"/>
    </row>
    <row r="1337">
      <c r="A1337" s="65" t="str">
        <f>IFERROR(__xludf.DUMMYFUNCTION("""COMPUTED_VALUE"""),"27-03-2026")</f>
        <v>27-03-2026</v>
      </c>
      <c r="B1337" s="65">
        <f>IFERROR(__xludf.DUMMYFUNCTION("""COMPUTED_VALUE"""),4300527.0)</f>
        <v>4300527</v>
      </c>
      <c r="C1337" s="65" t="str">
        <f>IFERROR(__xludf.DUMMYFUNCTION("""COMPUTED_VALUE"""),"19:26")</f>
        <v>19:26</v>
      </c>
      <c r="D1337" s="65" t="str">
        <f>IFERROR(__xludf.DUMMYFUNCTION("""COMPUTED_VALUE"""),"27-01-2026")</f>
        <v>27-01-2026</v>
      </c>
      <c r="E1337" s="65" t="str">
        <f>IFERROR(__xludf.DUMMYFUNCTION("""COMPUTED_VALUE"""),"Maydee Tamayo")</f>
        <v>Maydee Tamayo</v>
      </c>
      <c r="F1337" s="65" t="str">
        <f>IFERROR(__xludf.DUMMYFUNCTION("""COMPUTED_VALUE"""),"986680203")</f>
        <v>986680203</v>
      </c>
      <c r="G1337" s="65" t="str">
        <f>IFERROR(__xludf.DUMMYFUNCTION("""COMPUTED_VALUE"""),"maydeetamayo75@gmail.com")</f>
        <v>maydeetamayo75@gmail.com</v>
      </c>
      <c r="H1337" s="65"/>
      <c r="I1337" s="65"/>
      <c r="J1337" s="65" t="str">
        <f>IFERROR(__xludf.DUMMYFUNCTION("""COMPUTED_VALUE"""),"D001276359")</f>
        <v>D001276359</v>
      </c>
      <c r="K1337" s="65" t="str">
        <f>IFERROR(__xludf.DUMMYFUNCTION("""COMPUTED_VALUE"""),"ENTREGADO")</f>
        <v>ENTREGADO</v>
      </c>
      <c r="L1337" s="65" t="str">
        <f>IFERROR(__xludf.DUMMYFUNCTION("""COMPUTED_VALUE"""),"CON RECAUDO")</f>
        <v>CON RECAUDO</v>
      </c>
      <c r="M1337" s="65" t="str">
        <f>IFERROR(__xludf.DUMMYFUNCTION("""COMPUTED_VALUE"""),"AZUAY")</f>
        <v>AZUAY</v>
      </c>
      <c r="N1337" s="65" t="str">
        <f>IFERROR(__xludf.DUMMYFUNCTION("""COMPUTED_VALUE"""),"CUENCA")</f>
        <v>CUENCA</v>
      </c>
      <c r="O1337" s="65" t="str">
        <f>IFERROR(__xludf.DUMMYFUNCTION("""COMPUTED_VALUE"""),"Tomas de Heres 5-21 y Luis Cordero Junto a talleres contreras -")</f>
        <v>Tomas de Heres 5-21 y Luis Cordero Junto a talleres contreras -</v>
      </c>
      <c r="P1337" s="65"/>
      <c r="Q1337" s="65" t="str">
        <f>IFERROR(__xludf.DUMMYFUNCTION("""COMPUTED_VALUE"""),"GINTRACOM")</f>
        <v>GINTRACOM</v>
      </c>
      <c r="R1337" s="65">
        <f>IFERROR(__xludf.DUMMYFUNCTION("""COMPUTED_VALUE"""),20.0)</f>
        <v>20</v>
      </c>
      <c r="S1337" s="65">
        <f>IFERROR(__xludf.DUMMYFUNCTION("""COMPUTED_VALUE"""),10.74)</f>
        <v>10.74</v>
      </c>
      <c r="T1337" s="65">
        <f>IFERROR(__xludf.DUMMYFUNCTION("""COMPUTED_VALUE"""),5.76)</f>
        <v>5.76</v>
      </c>
      <c r="U1337" s="65">
        <f>IFERROR(__xludf.DUMMYFUNCTION("""COMPUTED_VALUE"""),0.0)</f>
        <v>0</v>
      </c>
      <c r="V1337" s="65">
        <f>IFERROR(__xludf.DUMMYFUNCTION("""COMPUTED_VALUE"""),0.0)</f>
        <v>0</v>
      </c>
      <c r="W1337" s="65">
        <f>IFERROR(__xludf.DUMMYFUNCTION("""COMPUTED_VALUE"""),0.0)</f>
        <v>0</v>
      </c>
      <c r="X1337" s="65">
        <f>IFERROR(__xludf.DUMMYFUNCTION("""COMPUTED_VALUE"""),3.5)</f>
        <v>3.5</v>
      </c>
      <c r="Y1337" s="65">
        <f>IFERROR(__xludf.DUMMYFUNCTION("""COMPUTED_VALUE"""),3.5)</f>
        <v>3.5</v>
      </c>
      <c r="Z1337" s="65">
        <f>IFERROR(__xludf.DUMMYFUNCTION("""COMPUTED_VALUE"""),124802.0)</f>
        <v>124802</v>
      </c>
      <c r="AA1337" s="65" t="str">
        <f>IFERROR(__xludf.DUMMYFUNCTION("""COMPUTED_VALUE"""),"IMX-00005")</f>
        <v>IMX-00005</v>
      </c>
      <c r="AB1337" s="65"/>
      <c r="AC1337" s="65" t="str">
        <f>IFERROR(__xludf.DUMMYFUNCTION("""COMPUTED_VALUE"""),"GUANTE QUITA PELUSAS")</f>
        <v>GUANTE QUITA PELUSAS</v>
      </c>
      <c r="AD1337" s="65"/>
      <c r="AE1337" s="65">
        <f>IFERROR(__xludf.DUMMYFUNCTION("""COMPUTED_VALUE"""),1.0)</f>
        <v>1</v>
      </c>
      <c r="AF1337" s="65"/>
      <c r="AG1337" s="65"/>
      <c r="AH1337" s="65"/>
      <c r="AI1337" s="65"/>
      <c r="AJ1337" s="65"/>
      <c r="AK1337" s="65"/>
      <c r="AL1337" s="65"/>
      <c r="AM1337" s="65"/>
      <c r="AN1337" s="65"/>
      <c r="AO1337" s="65"/>
      <c r="AP1337" s="65"/>
      <c r="AQ1337" s="65"/>
      <c r="AR1337" s="65"/>
      <c r="AS1337" s="65"/>
      <c r="AT1337" s="65" t="str">
        <f>IFERROR(__xludf.DUMMYFUNCTION("""COMPUTED_VALUE"""),"SHOPIFY")</f>
        <v>SHOPIFY</v>
      </c>
      <c r="AU1337" s="65" t="str">
        <f>IFERROR(__xludf.DUMMYFUNCTION("""COMPUTED_VALUE"""),"IMPORTEX EC")</f>
        <v>IMPORTEX EC</v>
      </c>
      <c r="AV1337" s="65" t="str">
        <f>IFERROR(__xludf.DUMMYFUNCTION("""COMPUTED_VALUE"""),"6452653752364")</f>
        <v>6452653752364</v>
      </c>
      <c r="AW1337" s="65">
        <f>IFERROR(__xludf.DUMMYFUNCTION("""COMPUTED_VALUE"""),5581.0)</f>
        <v>5581</v>
      </c>
      <c r="AX1337" s="65"/>
      <c r="AY1337" s="65" t="str">
        <f>IFERROR(__xludf.DUMMYFUNCTION("""COMPUTED_VALUE"""),"30/01/2026")</f>
        <v>30/01/2026</v>
      </c>
      <c r="AZ1337" s="65"/>
      <c r="BA1337" s="65"/>
    </row>
    <row r="1338">
      <c r="A1338" s="65" t="str">
        <f>IFERROR(__xludf.DUMMYFUNCTION("""COMPUTED_VALUE"""),"27-03-2026")</f>
        <v>27-03-2026</v>
      </c>
      <c r="B1338" s="65">
        <f>IFERROR(__xludf.DUMMYFUNCTION("""COMPUTED_VALUE"""),4300347.0)</f>
        <v>4300347</v>
      </c>
      <c r="C1338" s="65" t="str">
        <f>IFERROR(__xludf.DUMMYFUNCTION("""COMPUTED_VALUE"""),"19:10")</f>
        <v>19:10</v>
      </c>
      <c r="D1338" s="65" t="str">
        <f>IFERROR(__xludf.DUMMYFUNCTION("""COMPUTED_VALUE"""),"27-01-2026")</f>
        <v>27-01-2026</v>
      </c>
      <c r="E1338" s="65" t="str">
        <f>IFERROR(__xludf.DUMMYFUNCTION("""COMPUTED_VALUE"""),"RAÚL TAFFUR")</f>
        <v>RAÚL TAFFUR</v>
      </c>
      <c r="F1338" s="65" t="str">
        <f>IFERROR(__xludf.DUMMYFUNCTION("""COMPUTED_VALUE"""),"958838313")</f>
        <v>958838313</v>
      </c>
      <c r="G1338" s="65" t="str">
        <f>IFERROR(__xludf.DUMMYFUNCTION("""COMPUTED_VALUE"""),"raultaffur92@gmail.com")</f>
        <v>raultaffur92@gmail.com</v>
      </c>
      <c r="H1338" s="65"/>
      <c r="I1338" s="65"/>
      <c r="J1338" s="65" t="str">
        <f>IFERROR(__xludf.DUMMYFUNCTION("""COMPUTED_VALUE"""),"D001277196")</f>
        <v>D001277196</v>
      </c>
      <c r="K1338" s="65" t="str">
        <f>IFERROR(__xludf.DUMMYFUNCTION("""COMPUTED_VALUE"""),"ENTREGADO")</f>
        <v>ENTREGADO</v>
      </c>
      <c r="L1338" s="65" t="str">
        <f>IFERROR(__xludf.DUMMYFUNCTION("""COMPUTED_VALUE"""),"CON RECAUDO")</f>
        <v>CON RECAUDO</v>
      </c>
      <c r="M1338" s="65" t="str">
        <f>IFERROR(__xludf.DUMMYFUNCTION("""COMPUTED_VALUE"""),"MANABI")</f>
        <v>MANABI</v>
      </c>
      <c r="N1338" s="65" t="str">
        <f>IFERROR(__xludf.DUMMYFUNCTION("""COMPUTED_VALUE"""),"CALCETA")</f>
        <v>CALCETA</v>
      </c>
      <c r="O1338" s="65" t="str">
        <f>IFERROR(__xludf.DUMMYFUNCTION("""COMPUTED_VALUE"""),"Calle salinas Ciudadela de los choferes atras del sindicato de choferes -")</f>
        <v>Calle salinas Ciudadela de los choferes atras del sindicato de choferes -</v>
      </c>
      <c r="P1338" s="65"/>
      <c r="Q1338" s="65" t="str">
        <f>IFERROR(__xludf.DUMMYFUNCTION("""COMPUTED_VALUE"""),"GINTRACOM")</f>
        <v>GINTRACOM</v>
      </c>
      <c r="R1338" s="65">
        <f>IFERROR(__xludf.DUMMYFUNCTION("""COMPUTED_VALUE"""),30.0)</f>
        <v>30</v>
      </c>
      <c r="S1338" s="65">
        <f>IFERROR(__xludf.DUMMYFUNCTION("""COMPUTED_VALUE"""),16.22)</f>
        <v>16.22</v>
      </c>
      <c r="T1338" s="65">
        <f>IFERROR(__xludf.DUMMYFUNCTION("""COMPUTED_VALUE"""),6.73)</f>
        <v>6.73</v>
      </c>
      <c r="U1338" s="65">
        <f>IFERROR(__xludf.DUMMYFUNCTION("""COMPUTED_VALUE"""),0.0)</f>
        <v>0</v>
      </c>
      <c r="V1338" s="65">
        <f>IFERROR(__xludf.DUMMYFUNCTION("""COMPUTED_VALUE"""),0.0)</f>
        <v>0</v>
      </c>
      <c r="W1338" s="65">
        <f>IFERROR(__xludf.DUMMYFUNCTION("""COMPUTED_VALUE"""),0.0)</f>
        <v>0</v>
      </c>
      <c r="X1338" s="65">
        <f>IFERROR(__xludf.DUMMYFUNCTION("""COMPUTED_VALUE"""),2.35)</f>
        <v>2.35</v>
      </c>
      <c r="Y1338" s="65">
        <f>IFERROR(__xludf.DUMMYFUNCTION("""COMPUTED_VALUE"""),7.05)</f>
        <v>7.05</v>
      </c>
      <c r="Z1338" s="65">
        <f>IFERROR(__xludf.DUMMYFUNCTION("""COMPUTED_VALUE"""),116679.0)</f>
        <v>116679</v>
      </c>
      <c r="AA1338" s="65" t="str">
        <f>IFERROR(__xludf.DUMMYFUNCTION("""COMPUTED_VALUE"""),"AMC-2738")</f>
        <v>AMC-2738</v>
      </c>
      <c r="AB1338" s="65"/>
      <c r="AC1338" s="65" t="str">
        <f>IFERROR(__xludf.DUMMYFUNCTION("""COMPUTED_VALUE"""),"ESPONJA ANTILLUVIA DE PARABRISAS")</f>
        <v>ESPONJA ANTILLUVIA DE PARABRISAS</v>
      </c>
      <c r="AD1338" s="65"/>
      <c r="AE1338" s="65">
        <f>IFERROR(__xludf.DUMMYFUNCTION("""COMPUTED_VALUE"""),3.0)</f>
        <v>3</v>
      </c>
      <c r="AF1338" s="65" t="str">
        <f>IFERROR(__xludf.DUMMYFUNCTION("""COMPUTED_VALUE"""),"DESTINATARIO NO CONTESTA LLAMADAS NI WHATSAPP")</f>
        <v>DESTINATARIO NO CONTESTA LLAMADAS NI WHATSAPP</v>
      </c>
      <c r="AG1338" s="65" t="str">
        <f>IFERROR(__xludf.DUMMYFUNCTION("""COMPUTED_VALUE"""),"NO")</f>
        <v>NO</v>
      </c>
      <c r="AH1338" s="65" t="str">
        <f>IFERROR(__xludf.DUMMYFUNCTION("""COMPUTED_VALUE"""),"15:53")</f>
        <v>15:53</v>
      </c>
      <c r="AI1338" s="65" t="str">
        <f>IFERROR(__xludf.DUMMYFUNCTION("""COMPUTED_VALUE"""),"02-02-2026")</f>
        <v>02-02-2026</v>
      </c>
      <c r="AJ1338" s="65"/>
      <c r="AK1338" s="65"/>
      <c r="AL1338" s="65"/>
      <c r="AM1338" s="65"/>
      <c r="AN1338" s="65" t="str">
        <f>IFERROR(__xludf.DUMMYFUNCTION("""COMPUTED_VALUE"""),"16:55")</f>
        <v>16:55</v>
      </c>
      <c r="AO1338" s="65" t="str">
        <f>IFERROR(__xludf.DUMMYFUNCTION("""COMPUTED_VALUE"""),"06-02-2026")</f>
        <v>06-02-2026</v>
      </c>
      <c r="AP1338" s="65" t="str">
        <f>IFERROR(__xludf.DUMMYFUNCTION("""COMPUTED_VALUE"""),"ENTREGADA GINTRACOM")</f>
        <v>ENTREGADA GINTRACOM</v>
      </c>
      <c r="AQ1338" s="65" t="str">
        <f>IFERROR(__xludf.DUMMYFUNCTION("""COMPUTED_VALUE"""),"ENTREGADA GINTRACOM")</f>
        <v>ENTREGADA GINTRACOM</v>
      </c>
      <c r="AR1338" s="65"/>
      <c r="AS1338" s="65"/>
      <c r="AT1338" s="65" t="str">
        <f>IFERROR(__xludf.DUMMYFUNCTION("""COMPUTED_VALUE"""),"SHOPIFY")</f>
        <v>SHOPIFY</v>
      </c>
      <c r="AU1338" s="65" t="str">
        <f>IFERROR(__xludf.DUMMYFUNCTION("""COMPUTED_VALUE"""),"IMPORTEX EC")</f>
        <v>IMPORTEX EC</v>
      </c>
      <c r="AV1338" s="65" t="str">
        <f>IFERROR(__xludf.DUMMYFUNCTION("""COMPUTED_VALUE"""),"6452621869100")</f>
        <v>6452621869100</v>
      </c>
      <c r="AW1338" s="65">
        <f>IFERROR(__xludf.DUMMYFUNCTION("""COMPUTED_VALUE"""),5580.0)</f>
        <v>5580</v>
      </c>
      <c r="AX1338" s="65"/>
      <c r="AY1338" s="65" t="str">
        <f>IFERROR(__xludf.DUMMYFUNCTION("""COMPUTED_VALUE"""),"30/01/2026")</f>
        <v>30/01/2026</v>
      </c>
      <c r="AZ1338" s="65"/>
      <c r="BA1338" s="65"/>
    </row>
    <row r="1339">
      <c r="A1339" s="65" t="str">
        <f>IFERROR(__xludf.DUMMYFUNCTION("""COMPUTED_VALUE"""),"27-03-2026")</f>
        <v>27-03-2026</v>
      </c>
      <c r="B1339" s="65">
        <f>IFERROR(__xludf.DUMMYFUNCTION("""COMPUTED_VALUE"""),4300057.0)</f>
        <v>4300057</v>
      </c>
      <c r="C1339" s="65" t="str">
        <f>IFERROR(__xludf.DUMMYFUNCTION("""COMPUTED_VALUE"""),"18:39")</f>
        <v>18:39</v>
      </c>
      <c r="D1339" s="65" t="str">
        <f>IFERROR(__xludf.DUMMYFUNCTION("""COMPUTED_VALUE"""),"27-01-2026")</f>
        <v>27-01-2026</v>
      </c>
      <c r="E1339" s="65" t="str">
        <f>IFERROR(__xludf.DUMMYFUNCTION("""COMPUTED_VALUE"""),"Yohany Rodas londoño")</f>
        <v>Yohany Rodas londoño</v>
      </c>
      <c r="F1339" s="65" t="str">
        <f>IFERROR(__xludf.DUMMYFUNCTION("""COMPUTED_VALUE"""),"991429351")</f>
        <v>991429351</v>
      </c>
      <c r="G1339" s="65" t="str">
        <f>IFERROR(__xludf.DUMMYFUNCTION("""COMPUTED_VALUE"""),"yohanyflako@gmail.com")</f>
        <v>yohanyflako@gmail.com</v>
      </c>
      <c r="H1339" s="65"/>
      <c r="I1339" s="65"/>
      <c r="J1339" s="65"/>
      <c r="K1339" s="65" t="str">
        <f>IFERROR(__xludf.DUMMYFUNCTION("""COMPUTED_VALUE"""),"CANCELADO")</f>
        <v>CANCELADO</v>
      </c>
      <c r="L1339" s="65" t="str">
        <f>IFERROR(__xludf.DUMMYFUNCTION("""COMPUTED_VALUE"""),"CON RECAUDO")</f>
        <v>CON RECAUDO</v>
      </c>
      <c r="M1339" s="65" t="str">
        <f>IFERROR(__xludf.DUMMYFUNCTION("""COMPUTED_VALUE"""),"MANABI")</f>
        <v>MANABI</v>
      </c>
      <c r="N1339" s="65" t="str">
        <f>IFERROR(__xludf.DUMMYFUNCTION("""COMPUTED_VALUE"""),"PORTOVIEJO")</f>
        <v>PORTOVIEJO</v>
      </c>
      <c r="O1339" s="65" t="str">
        <f>IFERROR(__xludf.DUMMYFUNCTION("""COMPUTED_VALUE"""),"Avenida reales tamarindo Calle eduardo loor -")</f>
        <v>Avenida reales tamarindo Calle eduardo loor -</v>
      </c>
      <c r="P1339" s="65"/>
      <c r="Q1339" s="65" t="str">
        <f>IFERROR(__xludf.DUMMYFUNCTION("""COMPUTED_VALUE"""),"GINTRACOM")</f>
        <v>GINTRACOM</v>
      </c>
      <c r="R1339" s="65">
        <f>IFERROR(__xludf.DUMMYFUNCTION("""COMPUTED_VALUE"""),21.99)</f>
        <v>21.99</v>
      </c>
      <c r="S1339" s="65"/>
      <c r="T1339" s="65">
        <f>IFERROR(__xludf.DUMMYFUNCTION("""COMPUTED_VALUE"""),5.84)</f>
        <v>5.84</v>
      </c>
      <c r="U1339" s="65">
        <f>IFERROR(__xludf.DUMMYFUNCTION("""COMPUTED_VALUE"""),0.0)</f>
        <v>0</v>
      </c>
      <c r="V1339" s="65">
        <f>IFERROR(__xludf.DUMMYFUNCTION("""COMPUTED_VALUE"""),0.0)</f>
        <v>0</v>
      </c>
      <c r="W1339" s="65">
        <f>IFERROR(__xludf.DUMMYFUNCTION("""COMPUTED_VALUE"""),0.0)</f>
        <v>0</v>
      </c>
      <c r="X1339" s="65">
        <f>IFERROR(__xludf.DUMMYFUNCTION("""COMPUTED_VALUE"""),5.0)</f>
        <v>5</v>
      </c>
      <c r="Y1339" s="65">
        <f>IFERROR(__xludf.DUMMYFUNCTION("""COMPUTED_VALUE"""),5.0)</f>
        <v>5</v>
      </c>
      <c r="Z1339" s="65">
        <f>IFERROR(__xludf.DUMMYFUNCTION("""COMPUTED_VALUE"""),110064.0)</f>
        <v>110064</v>
      </c>
      <c r="AA1339" s="65" t="str">
        <f>IFERROR(__xludf.DUMMYFUNCTION("""COMPUTED_VALUE"""),"IMX-00001")</f>
        <v>IMX-00001</v>
      </c>
      <c r="AB1339" s="65"/>
      <c r="AC1339" s="65" t="str">
        <f>IFERROR(__xludf.DUMMYFUNCTION("""COMPUTED_VALUE"""),"LLAVE TRINQUETE")</f>
        <v>LLAVE TRINQUETE</v>
      </c>
      <c r="AD1339" s="65"/>
      <c r="AE1339" s="65">
        <f>IFERROR(__xludf.DUMMYFUNCTION("""COMPUTED_VALUE"""),1.0)</f>
        <v>1</v>
      </c>
      <c r="AF1339" s="65"/>
      <c r="AG1339" s="65"/>
      <c r="AH1339" s="65"/>
      <c r="AI1339" s="65"/>
      <c r="AJ1339" s="65"/>
      <c r="AK1339" s="65"/>
      <c r="AL1339" s="65"/>
      <c r="AM1339" s="65"/>
      <c r="AN1339" s="65"/>
      <c r="AO1339" s="65"/>
      <c r="AP1339" s="65"/>
      <c r="AQ1339" s="65"/>
      <c r="AR1339" s="65"/>
      <c r="AS1339" s="65"/>
      <c r="AT1339" s="65" t="str">
        <f>IFERROR(__xludf.DUMMYFUNCTION("""COMPUTED_VALUE"""),"SHOPIFY")</f>
        <v>SHOPIFY</v>
      </c>
      <c r="AU1339" s="65" t="str">
        <f>IFERROR(__xludf.DUMMYFUNCTION("""COMPUTED_VALUE"""),"IMPORTEX EC")</f>
        <v>IMPORTEX EC</v>
      </c>
      <c r="AV1339" s="65" t="str">
        <f>IFERROR(__xludf.DUMMYFUNCTION("""COMPUTED_VALUE"""),"6452568817708")</f>
        <v>6452568817708</v>
      </c>
      <c r="AW1339" s="65">
        <f>IFERROR(__xludf.DUMMYFUNCTION("""COMPUTED_VALUE"""),5579.0)</f>
        <v>5579</v>
      </c>
      <c r="AX1339" s="65"/>
      <c r="AY1339" s="65"/>
      <c r="AZ1339" s="65"/>
      <c r="BA1339" s="65"/>
    </row>
    <row r="1340">
      <c r="A1340" s="65" t="str">
        <f>IFERROR(__xludf.DUMMYFUNCTION("""COMPUTED_VALUE"""),"27-03-2026")</f>
        <v>27-03-2026</v>
      </c>
      <c r="B1340" s="65">
        <f>IFERROR(__xludf.DUMMYFUNCTION("""COMPUTED_VALUE"""),4299985.0)</f>
        <v>4299985</v>
      </c>
      <c r="C1340" s="65" t="str">
        <f>IFERROR(__xludf.DUMMYFUNCTION("""COMPUTED_VALUE"""),"18:31")</f>
        <v>18:31</v>
      </c>
      <c r="D1340" s="65" t="str">
        <f>IFERROR(__xludf.DUMMYFUNCTION("""COMPUTED_VALUE"""),"27-01-2026")</f>
        <v>27-01-2026</v>
      </c>
      <c r="E1340" s="65" t="str">
        <f>IFERROR(__xludf.DUMMYFUNCTION("""COMPUTED_VALUE"""),"CHUNG CHUNG")</f>
        <v>CHUNG CHUNG</v>
      </c>
      <c r="F1340" s="65" t="str">
        <f>IFERROR(__xludf.DUMMYFUNCTION("""COMPUTED_VALUE"""),"985800112")</f>
        <v>985800112</v>
      </c>
      <c r="G1340" s="65"/>
      <c r="H1340" s="65"/>
      <c r="I1340" s="65"/>
      <c r="J1340" s="65" t="str">
        <f>IFERROR(__xludf.DUMMYFUNCTION("""COMPUTED_VALUE"""),"D001270094")</f>
        <v>D001270094</v>
      </c>
      <c r="K1340" s="65" t="str">
        <f>IFERROR(__xludf.DUMMYFUNCTION("""COMPUTED_VALUE"""),"ENTREGADO")</f>
        <v>ENTREGADO</v>
      </c>
      <c r="L1340" s="65" t="str">
        <f>IFERROR(__xludf.DUMMYFUNCTION("""COMPUTED_VALUE"""),"CON RECAUDO")</f>
        <v>CON RECAUDO</v>
      </c>
      <c r="M1340" s="65" t="str">
        <f>IFERROR(__xludf.DUMMYFUNCTION("""COMPUTED_VALUE"""),"GUAYAS")</f>
        <v>GUAYAS</v>
      </c>
      <c r="N1340" s="65" t="str">
        <f>IFERROR(__xludf.DUMMYFUNCTION("""COMPUTED_VALUE"""),"GUAYAQUIL")</f>
        <v>GUAYAQUIL</v>
      </c>
      <c r="O1340" s="65" t="str">
        <f>IFERROR(__xludf.DUMMYFUNCTION("""COMPUTED_VALUE"""),"Florida norte Coop nueva luz mz 400 sl 25")</f>
        <v>Florida norte Coop nueva luz mz 400 sl 25</v>
      </c>
      <c r="P1340" s="65"/>
      <c r="Q1340" s="65" t="str">
        <f>IFERROR(__xludf.DUMMYFUNCTION("""COMPUTED_VALUE"""),"GINTRACOM")</f>
        <v>GINTRACOM</v>
      </c>
      <c r="R1340" s="65">
        <f>IFERROR(__xludf.DUMMYFUNCTION("""COMPUTED_VALUE"""),25.0)</f>
        <v>25</v>
      </c>
      <c r="S1340" s="65">
        <f>IFERROR(__xludf.DUMMYFUNCTION("""COMPUTED_VALUE"""),14.34)</f>
        <v>14.34</v>
      </c>
      <c r="T1340" s="65">
        <f>IFERROR(__xludf.DUMMYFUNCTION("""COMPUTED_VALUE"""),5.96)</f>
        <v>5.96</v>
      </c>
      <c r="U1340" s="65">
        <f>IFERROR(__xludf.DUMMYFUNCTION("""COMPUTED_VALUE"""),0.0)</f>
        <v>0</v>
      </c>
      <c r="V1340" s="65">
        <f>IFERROR(__xludf.DUMMYFUNCTION("""COMPUTED_VALUE"""),0.0)</f>
        <v>0</v>
      </c>
      <c r="W1340" s="65">
        <f>IFERROR(__xludf.DUMMYFUNCTION("""COMPUTED_VALUE"""),0.0)</f>
        <v>0</v>
      </c>
      <c r="X1340" s="65">
        <f>IFERROR(__xludf.DUMMYFUNCTION("""COMPUTED_VALUE"""),2.35)</f>
        <v>2.35</v>
      </c>
      <c r="Y1340" s="65">
        <f>IFERROR(__xludf.DUMMYFUNCTION("""COMPUTED_VALUE"""),4.7)</f>
        <v>4.7</v>
      </c>
      <c r="Z1340" s="65">
        <f>IFERROR(__xludf.DUMMYFUNCTION("""COMPUTED_VALUE"""),116679.0)</f>
        <v>116679</v>
      </c>
      <c r="AA1340" s="65" t="str">
        <f>IFERROR(__xludf.DUMMYFUNCTION("""COMPUTED_VALUE"""),"AMC-2738")</f>
        <v>AMC-2738</v>
      </c>
      <c r="AB1340" s="65"/>
      <c r="AC1340" s="65" t="str">
        <f>IFERROR(__xludf.DUMMYFUNCTION("""COMPUTED_VALUE"""),"ESPONJA ANTILLUVIA DE PARABRISAS")</f>
        <v>ESPONJA ANTILLUVIA DE PARABRISAS</v>
      </c>
      <c r="AD1340" s="65"/>
      <c r="AE1340" s="65">
        <f>IFERROR(__xludf.DUMMYFUNCTION("""COMPUTED_VALUE"""),2.0)</f>
        <v>2</v>
      </c>
      <c r="AF1340" s="65"/>
      <c r="AG1340" s="65"/>
      <c r="AH1340" s="65"/>
      <c r="AI1340" s="65"/>
      <c r="AJ1340" s="65"/>
      <c r="AK1340" s="65"/>
      <c r="AL1340" s="65"/>
      <c r="AM1340" s="65"/>
      <c r="AN1340" s="65"/>
      <c r="AO1340" s="65"/>
      <c r="AP1340" s="65"/>
      <c r="AQ1340" s="65"/>
      <c r="AR1340" s="65"/>
      <c r="AS1340" s="65"/>
      <c r="AT1340" s="65" t="str">
        <f>IFERROR(__xludf.DUMMYFUNCTION("""COMPUTED_VALUE"""),"CHATEA PRO")</f>
        <v>CHATEA PRO</v>
      </c>
      <c r="AU1340" s="65" t="str">
        <f>IFERROR(__xludf.DUMMYFUNCTION("""COMPUTED_VALUE"""),"CHATEA PRO")</f>
        <v>CHATEA PRO</v>
      </c>
      <c r="AV1340" s="65"/>
      <c r="AW1340" s="65"/>
      <c r="AX1340" s="65"/>
      <c r="AY1340" s="65" t="str">
        <f>IFERROR(__xludf.DUMMYFUNCTION("""COMPUTED_VALUE"""),"28/01/2026")</f>
        <v>28/01/2026</v>
      </c>
      <c r="AZ1340" s="65"/>
      <c r="BA1340" s="65"/>
    </row>
    <row r="1341">
      <c r="A1341" s="65" t="str">
        <f>IFERROR(__xludf.DUMMYFUNCTION("""COMPUTED_VALUE"""),"27-03-2026")</f>
        <v>27-03-2026</v>
      </c>
      <c r="B1341" s="65">
        <f>IFERROR(__xludf.DUMMYFUNCTION("""COMPUTED_VALUE"""),4299779.0)</f>
        <v>4299779</v>
      </c>
      <c r="C1341" s="65" t="str">
        <f>IFERROR(__xludf.DUMMYFUNCTION("""COMPUTED_VALUE"""),"18:11")</f>
        <v>18:11</v>
      </c>
      <c r="D1341" s="65" t="str">
        <f>IFERROR(__xludf.DUMMYFUNCTION("""COMPUTED_VALUE"""),"27-01-2026")</f>
        <v>27-01-2026</v>
      </c>
      <c r="E1341" s="65" t="str">
        <f>IFERROR(__xludf.DUMMYFUNCTION("""COMPUTED_VALUE"""),"Nelson Valladarez")</f>
        <v>Nelson Valladarez</v>
      </c>
      <c r="F1341" s="65" t="str">
        <f>IFERROR(__xludf.DUMMYFUNCTION("""COMPUTED_VALUE"""),"981005145")</f>
        <v>981005145</v>
      </c>
      <c r="G1341" s="65"/>
      <c r="H1341" s="65"/>
      <c r="I1341" s="65"/>
      <c r="J1341" s="65" t="str">
        <f>IFERROR(__xludf.DUMMYFUNCTION("""COMPUTED_VALUE"""),"D001269816")</f>
        <v>D001269816</v>
      </c>
      <c r="K1341" s="65" t="str">
        <f>IFERROR(__xludf.DUMMYFUNCTION("""COMPUTED_VALUE"""),"ENTREGADO")</f>
        <v>ENTREGADO</v>
      </c>
      <c r="L1341" s="65" t="str">
        <f>IFERROR(__xludf.DUMMYFUNCTION("""COMPUTED_VALUE"""),"CON RECAUDO")</f>
        <v>CON RECAUDO</v>
      </c>
      <c r="M1341" s="65" t="str">
        <f>IFERROR(__xludf.DUMMYFUNCTION("""COMPUTED_VALUE"""),"LOS RIOS")</f>
        <v>LOS RIOS</v>
      </c>
      <c r="N1341" s="65" t="str">
        <f>IFERROR(__xludf.DUMMYFUNCTION("""COMPUTED_VALUE"""),"VENTANAS")</f>
        <v>VENTANAS</v>
      </c>
      <c r="O1341" s="65" t="str">
        <f>IFERROR(__xludf.DUMMYFUNCTION("""COMPUTED_VALUE"""),"Papelería Rubi, A lado de la Escuela 10 de Noviembre, Diagonal Terminal Terrestre.")</f>
        <v>Papelería Rubi, A lado de la Escuela 10 de Noviembre, Diagonal Terminal Terrestre.</v>
      </c>
      <c r="P1341" s="65"/>
      <c r="Q1341" s="65" t="str">
        <f>IFERROR(__xludf.DUMMYFUNCTION("""COMPUTED_VALUE"""),"GINTRACOM")</f>
        <v>GINTRACOM</v>
      </c>
      <c r="R1341" s="65">
        <f>IFERROR(__xludf.DUMMYFUNCTION("""COMPUTED_VALUE"""),21.99)</f>
        <v>21.99</v>
      </c>
      <c r="S1341" s="65">
        <f>IFERROR(__xludf.DUMMYFUNCTION("""COMPUTED_VALUE"""),11.15)</f>
        <v>11.15</v>
      </c>
      <c r="T1341" s="65">
        <f>IFERROR(__xludf.DUMMYFUNCTION("""COMPUTED_VALUE"""),5.84)</f>
        <v>5.84</v>
      </c>
      <c r="U1341" s="65">
        <f>IFERROR(__xludf.DUMMYFUNCTION("""COMPUTED_VALUE"""),0.0)</f>
        <v>0</v>
      </c>
      <c r="V1341" s="65">
        <f>IFERROR(__xludf.DUMMYFUNCTION("""COMPUTED_VALUE"""),0.0)</f>
        <v>0</v>
      </c>
      <c r="W1341" s="65">
        <f>IFERROR(__xludf.DUMMYFUNCTION("""COMPUTED_VALUE"""),0.0)</f>
        <v>0</v>
      </c>
      <c r="X1341" s="65">
        <f>IFERROR(__xludf.DUMMYFUNCTION("""COMPUTED_VALUE"""),5.0)</f>
        <v>5</v>
      </c>
      <c r="Y1341" s="65">
        <f>IFERROR(__xludf.DUMMYFUNCTION("""COMPUTED_VALUE"""),5.0)</f>
        <v>5</v>
      </c>
      <c r="Z1341" s="65">
        <f>IFERROR(__xludf.DUMMYFUNCTION("""COMPUTED_VALUE"""),110064.0)</f>
        <v>110064</v>
      </c>
      <c r="AA1341" s="65" t="str">
        <f>IFERROR(__xludf.DUMMYFUNCTION("""COMPUTED_VALUE"""),"IMX-00001")</f>
        <v>IMX-00001</v>
      </c>
      <c r="AB1341" s="65"/>
      <c r="AC1341" s="65" t="str">
        <f>IFERROR(__xludf.DUMMYFUNCTION("""COMPUTED_VALUE"""),"LLAVE TRINQUETE")</f>
        <v>LLAVE TRINQUETE</v>
      </c>
      <c r="AD1341" s="65"/>
      <c r="AE1341" s="65">
        <f>IFERROR(__xludf.DUMMYFUNCTION("""COMPUTED_VALUE"""),1.0)</f>
        <v>1</v>
      </c>
      <c r="AF1341" s="65"/>
      <c r="AG1341" s="65"/>
      <c r="AH1341" s="65"/>
      <c r="AI1341" s="65"/>
      <c r="AJ1341" s="65"/>
      <c r="AK1341" s="65"/>
      <c r="AL1341" s="65"/>
      <c r="AM1341" s="65"/>
      <c r="AN1341" s="65"/>
      <c r="AO1341" s="65"/>
      <c r="AP1341" s="65"/>
      <c r="AQ1341" s="65"/>
      <c r="AR1341" s="65"/>
      <c r="AS1341" s="65"/>
      <c r="AT1341" s="65" t="str">
        <f>IFERROR(__xludf.DUMMYFUNCTION("""COMPUTED_VALUE"""),"CHATEA PRO")</f>
        <v>CHATEA PRO</v>
      </c>
      <c r="AU1341" s="65" t="str">
        <f>IFERROR(__xludf.DUMMYFUNCTION("""COMPUTED_VALUE"""),"CHATEA PRO")</f>
        <v>CHATEA PRO</v>
      </c>
      <c r="AV1341" s="65"/>
      <c r="AW1341" s="65"/>
      <c r="AX1341" s="65"/>
      <c r="AY1341" s="65" t="str">
        <f>IFERROR(__xludf.DUMMYFUNCTION("""COMPUTED_VALUE"""),"28/01/2026")</f>
        <v>28/01/2026</v>
      </c>
      <c r="AZ1341" s="65"/>
      <c r="BA1341" s="65"/>
    </row>
    <row r="1342">
      <c r="A1342" s="65" t="str">
        <f>IFERROR(__xludf.DUMMYFUNCTION("""COMPUTED_VALUE"""),"27-03-2026")</f>
        <v>27-03-2026</v>
      </c>
      <c r="B1342" s="65">
        <f>IFERROR(__xludf.DUMMYFUNCTION("""COMPUTED_VALUE"""),4299624.0)</f>
        <v>4299624</v>
      </c>
      <c r="C1342" s="65" t="str">
        <f>IFERROR(__xludf.DUMMYFUNCTION("""COMPUTED_VALUE"""),"17:54")</f>
        <v>17:54</v>
      </c>
      <c r="D1342" s="65" t="str">
        <f>IFERROR(__xludf.DUMMYFUNCTION("""COMPUTED_VALUE"""),"27-01-2026")</f>
        <v>27-01-2026</v>
      </c>
      <c r="E1342" s="65" t="str">
        <f>IFERROR(__xludf.DUMMYFUNCTION("""COMPUTED_VALUE"""),"Freddy Cueva")</f>
        <v>Freddy Cueva</v>
      </c>
      <c r="F1342" s="65" t="str">
        <f>IFERROR(__xludf.DUMMYFUNCTION("""COMPUTED_VALUE"""),"989128985")</f>
        <v>989128985</v>
      </c>
      <c r="G1342" s="65"/>
      <c r="H1342" s="65"/>
      <c r="I1342" s="65"/>
      <c r="J1342" s="65" t="str">
        <f>IFERROR(__xludf.DUMMYFUNCTION("""COMPUTED_VALUE"""),"D001270097")</f>
        <v>D001270097</v>
      </c>
      <c r="K1342" s="65" t="str">
        <f>IFERROR(__xludf.DUMMYFUNCTION("""COMPUTED_VALUE"""),"ENTREGADO")</f>
        <v>ENTREGADO</v>
      </c>
      <c r="L1342" s="65" t="str">
        <f>IFERROR(__xludf.DUMMYFUNCTION("""COMPUTED_VALUE"""),"CON RECAUDO")</f>
        <v>CON RECAUDO</v>
      </c>
      <c r="M1342" s="65" t="str">
        <f>IFERROR(__xludf.DUMMYFUNCTION("""COMPUTED_VALUE"""),"TUNGURAHUA")</f>
        <v>TUNGURAHUA</v>
      </c>
      <c r="N1342" s="65" t="str">
        <f>IFERROR(__xludf.DUMMYFUNCTION("""COMPUTED_VALUE"""),"PELILEO")</f>
        <v>PELILEO</v>
      </c>
      <c r="O1342" s="65" t="str">
        <f>IFERROR(__xludf.DUMMYFUNCTION("""COMPUTED_VALUE"""),"22dejulio y eloy alfaro Barrio dario guevara - Frente a la cruz roja Pelileo")</f>
        <v>22dejulio y eloy alfaro Barrio dario guevara - Frente a la cruz roja Pelileo</v>
      </c>
      <c r="P1342" s="65"/>
      <c r="Q1342" s="65" t="str">
        <f>IFERROR(__xludf.DUMMYFUNCTION("""COMPUTED_VALUE"""),"GINTRACOM")</f>
        <v>GINTRACOM</v>
      </c>
      <c r="R1342" s="65">
        <f>IFERROR(__xludf.DUMMYFUNCTION("""COMPUTED_VALUE"""),20.0)</f>
        <v>20</v>
      </c>
      <c r="S1342" s="65">
        <f>IFERROR(__xludf.DUMMYFUNCTION("""COMPUTED_VALUE"""),11.32)</f>
        <v>11.32</v>
      </c>
      <c r="T1342" s="65">
        <f>IFERROR(__xludf.DUMMYFUNCTION("""COMPUTED_VALUE"""),6.33)</f>
        <v>6.33</v>
      </c>
      <c r="U1342" s="65">
        <f>IFERROR(__xludf.DUMMYFUNCTION("""COMPUTED_VALUE"""),0.0)</f>
        <v>0</v>
      </c>
      <c r="V1342" s="65">
        <f>IFERROR(__xludf.DUMMYFUNCTION("""COMPUTED_VALUE"""),0.0)</f>
        <v>0</v>
      </c>
      <c r="W1342" s="65">
        <f>IFERROR(__xludf.DUMMYFUNCTION("""COMPUTED_VALUE"""),0.0)</f>
        <v>0</v>
      </c>
      <c r="X1342" s="65">
        <f>IFERROR(__xludf.DUMMYFUNCTION("""COMPUTED_VALUE"""),2.35)</f>
        <v>2.35</v>
      </c>
      <c r="Y1342" s="65">
        <f>IFERROR(__xludf.DUMMYFUNCTION("""COMPUTED_VALUE"""),2.35)</f>
        <v>2.35</v>
      </c>
      <c r="Z1342" s="65">
        <f>IFERROR(__xludf.DUMMYFUNCTION("""COMPUTED_VALUE"""),116679.0)</f>
        <v>116679</v>
      </c>
      <c r="AA1342" s="65" t="str">
        <f>IFERROR(__xludf.DUMMYFUNCTION("""COMPUTED_VALUE"""),"AMC-2738")</f>
        <v>AMC-2738</v>
      </c>
      <c r="AB1342" s="65"/>
      <c r="AC1342" s="65" t="str">
        <f>IFERROR(__xludf.DUMMYFUNCTION("""COMPUTED_VALUE"""),"ESPONJA ANTILLUVIA DE PARABRISAS")</f>
        <v>ESPONJA ANTILLUVIA DE PARABRISAS</v>
      </c>
      <c r="AD1342" s="65"/>
      <c r="AE1342" s="65">
        <f>IFERROR(__xludf.DUMMYFUNCTION("""COMPUTED_VALUE"""),1.0)</f>
        <v>1</v>
      </c>
      <c r="AF1342" s="65"/>
      <c r="AG1342" s="65"/>
      <c r="AH1342" s="65"/>
      <c r="AI1342" s="65"/>
      <c r="AJ1342" s="65"/>
      <c r="AK1342" s="65"/>
      <c r="AL1342" s="65"/>
      <c r="AM1342" s="65"/>
      <c r="AN1342" s="65"/>
      <c r="AO1342" s="65"/>
      <c r="AP1342" s="65"/>
      <c r="AQ1342" s="65"/>
      <c r="AR1342" s="65"/>
      <c r="AS1342" s="65"/>
      <c r="AT1342" s="65" t="str">
        <f>IFERROR(__xludf.DUMMYFUNCTION("""COMPUTED_VALUE"""),"CHATEA PRO")</f>
        <v>CHATEA PRO</v>
      </c>
      <c r="AU1342" s="65" t="str">
        <f>IFERROR(__xludf.DUMMYFUNCTION("""COMPUTED_VALUE"""),"CHATEA PRO")</f>
        <v>CHATEA PRO</v>
      </c>
      <c r="AV1342" s="65"/>
      <c r="AW1342" s="65"/>
      <c r="AX1342" s="65"/>
      <c r="AY1342" s="65" t="str">
        <f>IFERROR(__xludf.DUMMYFUNCTION("""COMPUTED_VALUE"""),"28/01/2026")</f>
        <v>28/01/2026</v>
      </c>
      <c r="AZ1342" s="65"/>
      <c r="BA1342" s="65"/>
    </row>
    <row r="1343">
      <c r="A1343" s="65" t="str">
        <f>IFERROR(__xludf.DUMMYFUNCTION("""COMPUTED_VALUE"""),"27-03-2026")</f>
        <v>27-03-2026</v>
      </c>
      <c r="B1343" s="65">
        <f>IFERROR(__xludf.DUMMYFUNCTION("""COMPUTED_VALUE"""),4299478.0)</f>
        <v>4299478</v>
      </c>
      <c r="C1343" s="65" t="str">
        <f>IFERROR(__xludf.DUMMYFUNCTION("""COMPUTED_VALUE"""),"17:38")</f>
        <v>17:38</v>
      </c>
      <c r="D1343" s="65" t="str">
        <f>IFERROR(__xludf.DUMMYFUNCTION("""COMPUTED_VALUE"""),"27-01-2026")</f>
        <v>27-01-2026</v>
      </c>
      <c r="E1343" s="65" t="str">
        <f>IFERROR(__xludf.DUMMYFUNCTION("""COMPUTED_VALUE"""),"Johnny Mendoza")</f>
        <v>Johnny Mendoza</v>
      </c>
      <c r="F1343" s="65" t="str">
        <f>IFERROR(__xludf.DUMMYFUNCTION("""COMPUTED_VALUE"""),"968771270")</f>
        <v>968771270</v>
      </c>
      <c r="G1343" s="65"/>
      <c r="H1343" s="65"/>
      <c r="I1343" s="65"/>
      <c r="J1343" s="65" t="str">
        <f>IFERROR(__xludf.DUMMYFUNCTION("""COMPUTED_VALUE"""),"186542742")</f>
        <v>186542742</v>
      </c>
      <c r="K1343" s="65" t="str">
        <f>IFERROR(__xludf.DUMMYFUNCTION("""COMPUTED_VALUE"""),"ENTREGADO")</f>
        <v>ENTREGADO</v>
      </c>
      <c r="L1343" s="65" t="str">
        <f>IFERROR(__xludf.DUMMYFUNCTION("""COMPUTED_VALUE"""),"CON RECAUDO")</f>
        <v>CON RECAUDO</v>
      </c>
      <c r="M1343" s="65" t="str">
        <f>IFERROR(__xludf.DUMMYFUNCTION("""COMPUTED_VALUE"""),"LOS RIOS")</f>
        <v>LOS RIOS</v>
      </c>
      <c r="N1343" s="65" t="str">
        <f>IFERROR(__xludf.DUMMYFUNCTION("""COMPUTED_VALUE"""),"QUINSALOMA")</f>
        <v>QUINSALOMA</v>
      </c>
      <c r="O1343" s="65" t="str">
        <f>IFERROR(__xludf.DUMMYFUNCTION("""COMPUTED_VALUE"""),"CS: QUINSALOMA_SIMON BOLIVAR / CALLE 3 DE MAYO S/N Y SIMON BOLIVAR")</f>
        <v>CS: QUINSALOMA_SIMON BOLIVAR / CALLE 3 DE MAYO S/N Y SIMON BOLIVAR</v>
      </c>
      <c r="P1343" s="65" t="str">
        <f>IFERROR(__xludf.DUMMYFUNCTION("""COMPUTED_VALUE"""),"(SERVIENTREGA) CS: QUINSALOMA_SIMON BOLIVAR / CALLE 3 DE MAYO S/N Y SIMON BOLIVAR")</f>
        <v>(SERVIENTREGA) CS: QUINSALOMA_SIMON BOLIVAR / CALLE 3 DE MAYO S/N Y SIMON BOLIVAR</v>
      </c>
      <c r="Q1343" s="65" t="str">
        <f>IFERROR(__xludf.DUMMYFUNCTION("""COMPUTED_VALUE"""),"SERVIENTREGA")</f>
        <v>SERVIENTREGA</v>
      </c>
      <c r="R1343" s="65">
        <f>IFERROR(__xludf.DUMMYFUNCTION("""COMPUTED_VALUE"""),20.0)</f>
        <v>20</v>
      </c>
      <c r="S1343" s="65">
        <f>IFERROR(__xludf.DUMMYFUNCTION("""COMPUTED_VALUE"""),9.98)</f>
        <v>9.98</v>
      </c>
      <c r="T1343" s="65">
        <f>IFERROR(__xludf.DUMMYFUNCTION("""COMPUTED_VALUE"""),7.67)</f>
        <v>7.67</v>
      </c>
      <c r="U1343" s="65">
        <f>IFERROR(__xludf.DUMMYFUNCTION("""COMPUTED_VALUE"""),0.0)</f>
        <v>0</v>
      </c>
      <c r="V1343" s="65">
        <f>IFERROR(__xludf.DUMMYFUNCTION("""COMPUTED_VALUE"""),0.0)</f>
        <v>0</v>
      </c>
      <c r="W1343" s="65">
        <f>IFERROR(__xludf.DUMMYFUNCTION("""COMPUTED_VALUE"""),0.0)</f>
        <v>0</v>
      </c>
      <c r="X1343" s="65">
        <f>IFERROR(__xludf.DUMMYFUNCTION("""COMPUTED_VALUE"""),2.35)</f>
        <v>2.35</v>
      </c>
      <c r="Y1343" s="65">
        <f>IFERROR(__xludf.DUMMYFUNCTION("""COMPUTED_VALUE"""),2.35)</f>
        <v>2.35</v>
      </c>
      <c r="Z1343" s="65">
        <f>IFERROR(__xludf.DUMMYFUNCTION("""COMPUTED_VALUE"""),116679.0)</f>
        <v>116679</v>
      </c>
      <c r="AA1343" s="65" t="str">
        <f>IFERROR(__xludf.DUMMYFUNCTION("""COMPUTED_VALUE"""),"AMC-2738")</f>
        <v>AMC-2738</v>
      </c>
      <c r="AB1343" s="65"/>
      <c r="AC1343" s="65" t="str">
        <f>IFERROR(__xludf.DUMMYFUNCTION("""COMPUTED_VALUE"""),"ESPONJA ANTILLUVIA DE PARABRISAS")</f>
        <v>ESPONJA ANTILLUVIA DE PARABRISAS</v>
      </c>
      <c r="AD1343" s="65"/>
      <c r="AE1343" s="65">
        <f>IFERROR(__xludf.DUMMYFUNCTION("""COMPUTED_VALUE"""),1.0)</f>
        <v>1</v>
      </c>
      <c r="AF1343" s="65"/>
      <c r="AG1343" s="65"/>
      <c r="AH1343" s="65"/>
      <c r="AI1343" s="65"/>
      <c r="AJ1343" s="65"/>
      <c r="AK1343" s="65"/>
      <c r="AL1343" s="65"/>
      <c r="AM1343" s="65"/>
      <c r="AN1343" s="65" t="str">
        <f>IFERROR(__xludf.DUMMYFUNCTION("""COMPUTED_VALUE"""),"18:22")</f>
        <v>18:22</v>
      </c>
      <c r="AO1343" s="65" t="str">
        <f>IFERROR(__xludf.DUMMYFUNCTION("""COMPUTED_VALUE"""),"03-02-2026")</f>
        <v>03-02-2026</v>
      </c>
      <c r="AP1343" s="65" t="str">
        <f>IFERROR(__xludf.DUMMYFUNCTION("""COMPUTED_VALUE"""),"REPORTADO ENTREGADO EN AGENCIA")</f>
        <v>REPORTADO ENTREGADO EN AGENCIA</v>
      </c>
      <c r="AQ1343" s="65" t="str">
        <f>IFERROR(__xludf.DUMMYFUNCTION("""COMPUTED_VALUE"""),"JHONY MENDOZA")</f>
        <v>JHONY MENDOZA</v>
      </c>
      <c r="AR1343" s="65"/>
      <c r="AS1343" s="65" t="str">
        <f>IFERROR(__xludf.DUMMYFUNCTION("""COMPUTED_VALUE"""),"Bayron Gomez")</f>
        <v>Bayron Gomez</v>
      </c>
      <c r="AT1343" s="65"/>
      <c r="AU1343" s="65"/>
      <c r="AV1343" s="65"/>
      <c r="AW1343" s="65"/>
      <c r="AX1343" s="65"/>
      <c r="AY1343" s="65" t="str">
        <f>IFERROR(__xludf.DUMMYFUNCTION("""COMPUTED_VALUE"""),"28/01/2026")</f>
        <v>28/01/2026</v>
      </c>
      <c r="AZ1343" s="65"/>
      <c r="BA1343" s="65"/>
    </row>
    <row r="1344">
      <c r="A1344" s="65" t="str">
        <f>IFERROR(__xludf.DUMMYFUNCTION("""COMPUTED_VALUE"""),"27-03-2026")</f>
        <v>27-03-2026</v>
      </c>
      <c r="B1344" s="65">
        <f>IFERROR(__xludf.DUMMYFUNCTION("""COMPUTED_VALUE"""),4299434.0)</f>
        <v>4299434</v>
      </c>
      <c r="C1344" s="65" t="str">
        <f>IFERROR(__xludf.DUMMYFUNCTION("""COMPUTED_VALUE"""),"17:34")</f>
        <v>17:34</v>
      </c>
      <c r="D1344" s="65" t="str">
        <f>IFERROR(__xludf.DUMMYFUNCTION("""COMPUTED_VALUE"""),"27-01-2026")</f>
        <v>27-01-2026</v>
      </c>
      <c r="E1344" s="65" t="str">
        <f>IFERROR(__xludf.DUMMYFUNCTION("""COMPUTED_VALUE"""),"Johnny Mendoza")</f>
        <v>Johnny Mendoza</v>
      </c>
      <c r="F1344" s="65" t="str">
        <f>IFERROR(__xludf.DUMMYFUNCTION("""COMPUTED_VALUE"""),"968771270")</f>
        <v>968771270</v>
      </c>
      <c r="G1344" s="65"/>
      <c r="H1344" s="65"/>
      <c r="I1344" s="65"/>
      <c r="J1344" s="65"/>
      <c r="K1344" s="65" t="str">
        <f>IFERROR(__xludf.DUMMYFUNCTION("""COMPUTED_VALUE"""),"CANCELADO")</f>
        <v>CANCELADO</v>
      </c>
      <c r="L1344" s="65" t="str">
        <f>IFERROR(__xludf.DUMMYFUNCTION("""COMPUTED_VALUE"""),"CON RECAUDO")</f>
        <v>CON RECAUDO</v>
      </c>
      <c r="M1344" s="65" t="str">
        <f>IFERROR(__xludf.DUMMYFUNCTION("""COMPUTED_VALUE"""),"LOS RIOS")</f>
        <v>LOS RIOS</v>
      </c>
      <c r="N1344" s="65" t="str">
        <f>IFERROR(__xludf.DUMMYFUNCTION("""COMPUTED_VALUE"""),"QUINSALOMA")</f>
        <v>QUINSALOMA</v>
      </c>
      <c r="O1344" s="65" t="str">
        <f>IFERROR(__xludf.DUMMYFUNCTION("""COMPUTED_VALUE"""),"Quinsaloma Alado del tía local de celular -")</f>
        <v>Quinsaloma Alado del tía local de celular -</v>
      </c>
      <c r="P1344" s="65"/>
      <c r="Q1344" s="65" t="str">
        <f>IFERROR(__xludf.DUMMYFUNCTION("""COMPUTED_VALUE"""),"SERVIENTREGA")</f>
        <v>SERVIENTREGA</v>
      </c>
      <c r="R1344" s="65">
        <f>IFERROR(__xludf.DUMMYFUNCTION("""COMPUTED_VALUE"""),20.0)</f>
        <v>20</v>
      </c>
      <c r="S1344" s="65"/>
      <c r="T1344" s="65">
        <f>IFERROR(__xludf.DUMMYFUNCTION("""COMPUTED_VALUE"""),7.67)</f>
        <v>7.67</v>
      </c>
      <c r="U1344" s="65">
        <f>IFERROR(__xludf.DUMMYFUNCTION("""COMPUTED_VALUE"""),0.0)</f>
        <v>0</v>
      </c>
      <c r="V1344" s="65">
        <f>IFERROR(__xludf.DUMMYFUNCTION("""COMPUTED_VALUE"""),0.0)</f>
        <v>0</v>
      </c>
      <c r="W1344" s="65">
        <f>IFERROR(__xludf.DUMMYFUNCTION("""COMPUTED_VALUE"""),0.0)</f>
        <v>0</v>
      </c>
      <c r="X1344" s="65">
        <f>IFERROR(__xludf.DUMMYFUNCTION("""COMPUTED_VALUE"""),2.35)</f>
        <v>2.35</v>
      </c>
      <c r="Y1344" s="65">
        <f>IFERROR(__xludf.DUMMYFUNCTION("""COMPUTED_VALUE"""),2.35)</f>
        <v>2.35</v>
      </c>
      <c r="Z1344" s="65">
        <f>IFERROR(__xludf.DUMMYFUNCTION("""COMPUTED_VALUE"""),116679.0)</f>
        <v>116679</v>
      </c>
      <c r="AA1344" s="65" t="str">
        <f>IFERROR(__xludf.DUMMYFUNCTION("""COMPUTED_VALUE"""),"AMC-2738")</f>
        <v>AMC-2738</v>
      </c>
      <c r="AB1344" s="65"/>
      <c r="AC1344" s="65" t="str">
        <f>IFERROR(__xludf.DUMMYFUNCTION("""COMPUTED_VALUE"""),"ESPONJA ANTILLUVIA DE PARABRISAS")</f>
        <v>ESPONJA ANTILLUVIA DE PARABRISAS</v>
      </c>
      <c r="AD1344" s="65"/>
      <c r="AE1344" s="65">
        <f>IFERROR(__xludf.DUMMYFUNCTION("""COMPUTED_VALUE"""),1.0)</f>
        <v>1</v>
      </c>
      <c r="AF1344" s="65"/>
      <c r="AG1344" s="65"/>
      <c r="AH1344" s="65"/>
      <c r="AI1344" s="65"/>
      <c r="AJ1344" s="65"/>
      <c r="AK1344" s="65"/>
      <c r="AL1344" s="65"/>
      <c r="AM1344" s="65"/>
      <c r="AN1344" s="65"/>
      <c r="AO1344" s="65"/>
      <c r="AP1344" s="65"/>
      <c r="AQ1344" s="65"/>
      <c r="AR1344" s="65"/>
      <c r="AS1344" s="65"/>
      <c r="AT1344" s="65" t="str">
        <f>IFERROR(__xludf.DUMMYFUNCTION("""COMPUTED_VALUE"""),"CHATEA PRO")</f>
        <v>CHATEA PRO</v>
      </c>
      <c r="AU1344" s="65" t="str">
        <f>IFERROR(__xludf.DUMMYFUNCTION("""COMPUTED_VALUE"""),"CHATEA PRO")</f>
        <v>CHATEA PRO</v>
      </c>
      <c r="AV1344" s="65"/>
      <c r="AW1344" s="65"/>
      <c r="AX1344" s="65"/>
      <c r="AY1344" s="65"/>
      <c r="AZ1344" s="65"/>
      <c r="BA1344" s="65"/>
    </row>
    <row r="1345">
      <c r="A1345" s="65" t="str">
        <f>IFERROR(__xludf.DUMMYFUNCTION("""COMPUTED_VALUE"""),"27-03-2026")</f>
        <v>27-03-2026</v>
      </c>
      <c r="B1345" s="65">
        <f>IFERROR(__xludf.DUMMYFUNCTION("""COMPUTED_VALUE"""),4299365.0)</f>
        <v>4299365</v>
      </c>
      <c r="C1345" s="65" t="str">
        <f>IFERROR(__xludf.DUMMYFUNCTION("""COMPUTED_VALUE"""),"17:25")</f>
        <v>17:25</v>
      </c>
      <c r="D1345" s="65" t="str">
        <f>IFERROR(__xludf.DUMMYFUNCTION("""COMPUTED_VALUE"""),"27-01-2026")</f>
        <v>27-01-2026</v>
      </c>
      <c r="E1345" s="65" t="str">
        <f>IFERROR(__xludf.DUMMYFUNCTION("""COMPUTED_VALUE"""),"Iván Trujillo")</f>
        <v>Iván Trujillo</v>
      </c>
      <c r="F1345" s="65" t="str">
        <f>IFERROR(__xludf.DUMMYFUNCTION("""COMPUTED_VALUE"""),"963815248")</f>
        <v>963815248</v>
      </c>
      <c r="G1345" s="65"/>
      <c r="H1345" s="65"/>
      <c r="I1345" s="65"/>
      <c r="J1345" s="65" t="str">
        <f>IFERROR(__xludf.DUMMYFUNCTION("""COMPUTED_VALUE"""),"D001269817")</f>
        <v>D001269817</v>
      </c>
      <c r="K1345" s="65" t="str">
        <f>IFERROR(__xludf.DUMMYFUNCTION("""COMPUTED_VALUE"""),"ENTREGADO")</f>
        <v>ENTREGADO</v>
      </c>
      <c r="L1345" s="65" t="str">
        <f>IFERROR(__xludf.DUMMYFUNCTION("""COMPUTED_VALUE"""),"CON RECAUDO")</f>
        <v>CON RECAUDO</v>
      </c>
      <c r="M1345" s="65" t="str">
        <f>IFERROR(__xludf.DUMMYFUNCTION("""COMPUTED_VALUE"""),"PICHINCHA")</f>
        <v>PICHINCHA</v>
      </c>
      <c r="N1345" s="65" t="str">
        <f>IFERROR(__xludf.DUMMYFUNCTION("""COMPUTED_VALUE"""),"QUITO")</f>
        <v>QUITO</v>
      </c>
      <c r="O1345" s="65" t="str">
        <f>IFERROR(__xludf.DUMMYFUNCTION("""COMPUTED_VALUE"""),"Avenida del maestro y Sebastián Buara junto a la iglesia sagrada familia")</f>
        <v>Avenida del maestro y Sebastián Buara junto a la iglesia sagrada familia</v>
      </c>
      <c r="P1345" s="65"/>
      <c r="Q1345" s="65" t="str">
        <f>IFERROR(__xludf.DUMMYFUNCTION("""COMPUTED_VALUE"""),"GINTRACOM")</f>
        <v>GINTRACOM</v>
      </c>
      <c r="R1345" s="65">
        <f>IFERROR(__xludf.DUMMYFUNCTION("""COMPUTED_VALUE"""),21.99)</f>
        <v>21.99</v>
      </c>
      <c r="S1345" s="65">
        <f>IFERROR(__xludf.DUMMYFUNCTION("""COMPUTED_VALUE"""),12.76)</f>
        <v>12.76</v>
      </c>
      <c r="T1345" s="65">
        <f>IFERROR(__xludf.DUMMYFUNCTION("""COMPUTED_VALUE"""),4.23)</f>
        <v>4.23</v>
      </c>
      <c r="U1345" s="65">
        <f>IFERROR(__xludf.DUMMYFUNCTION("""COMPUTED_VALUE"""),0.0)</f>
        <v>0</v>
      </c>
      <c r="V1345" s="65">
        <f>IFERROR(__xludf.DUMMYFUNCTION("""COMPUTED_VALUE"""),0.0)</f>
        <v>0</v>
      </c>
      <c r="W1345" s="65">
        <f>IFERROR(__xludf.DUMMYFUNCTION("""COMPUTED_VALUE"""),0.0)</f>
        <v>0</v>
      </c>
      <c r="X1345" s="65">
        <f>IFERROR(__xludf.DUMMYFUNCTION("""COMPUTED_VALUE"""),5.0)</f>
        <v>5</v>
      </c>
      <c r="Y1345" s="65">
        <f>IFERROR(__xludf.DUMMYFUNCTION("""COMPUTED_VALUE"""),5.0)</f>
        <v>5</v>
      </c>
      <c r="Z1345" s="65">
        <f>IFERROR(__xludf.DUMMYFUNCTION("""COMPUTED_VALUE"""),110064.0)</f>
        <v>110064</v>
      </c>
      <c r="AA1345" s="65" t="str">
        <f>IFERROR(__xludf.DUMMYFUNCTION("""COMPUTED_VALUE"""),"IMX-00001")</f>
        <v>IMX-00001</v>
      </c>
      <c r="AB1345" s="65"/>
      <c r="AC1345" s="65" t="str">
        <f>IFERROR(__xludf.DUMMYFUNCTION("""COMPUTED_VALUE"""),"LLAVE TRINQUETE")</f>
        <v>LLAVE TRINQUETE</v>
      </c>
      <c r="AD1345" s="65"/>
      <c r="AE1345" s="65">
        <f>IFERROR(__xludf.DUMMYFUNCTION("""COMPUTED_VALUE"""),1.0)</f>
        <v>1</v>
      </c>
      <c r="AF1345" s="65"/>
      <c r="AG1345" s="65"/>
      <c r="AH1345" s="65"/>
      <c r="AI1345" s="65"/>
      <c r="AJ1345" s="65"/>
      <c r="AK1345" s="65"/>
      <c r="AL1345" s="65"/>
      <c r="AM1345" s="65"/>
      <c r="AN1345" s="65"/>
      <c r="AO1345" s="65"/>
      <c r="AP1345" s="65"/>
      <c r="AQ1345" s="65"/>
      <c r="AR1345" s="65"/>
      <c r="AS1345" s="65"/>
      <c r="AT1345" s="65" t="str">
        <f>IFERROR(__xludf.DUMMYFUNCTION("""COMPUTED_VALUE"""),"CHATEA PRO")</f>
        <v>CHATEA PRO</v>
      </c>
      <c r="AU1345" s="65" t="str">
        <f>IFERROR(__xludf.DUMMYFUNCTION("""COMPUTED_VALUE"""),"CHATEA PRO")</f>
        <v>CHATEA PRO</v>
      </c>
      <c r="AV1345" s="65"/>
      <c r="AW1345" s="65"/>
      <c r="AX1345" s="65"/>
      <c r="AY1345" s="65" t="str">
        <f>IFERROR(__xludf.DUMMYFUNCTION("""COMPUTED_VALUE"""),"28/01/2026")</f>
        <v>28/01/2026</v>
      </c>
      <c r="AZ1345" s="65"/>
      <c r="BA1345" s="65"/>
    </row>
    <row r="1346">
      <c r="A1346" s="65" t="str">
        <f>IFERROR(__xludf.DUMMYFUNCTION("""COMPUTED_VALUE"""),"27-03-2026")</f>
        <v>27-03-2026</v>
      </c>
      <c r="B1346" s="65">
        <f>IFERROR(__xludf.DUMMYFUNCTION("""COMPUTED_VALUE"""),4299008.0)</f>
        <v>4299008</v>
      </c>
      <c r="C1346" s="65" t="str">
        <f>IFERROR(__xludf.DUMMYFUNCTION("""COMPUTED_VALUE"""),"16:47")</f>
        <v>16:47</v>
      </c>
      <c r="D1346" s="65" t="str">
        <f>IFERROR(__xludf.DUMMYFUNCTION("""COMPUTED_VALUE"""),"27-01-2026")</f>
        <v>27-01-2026</v>
      </c>
      <c r="E1346" s="65" t="str">
        <f>IFERROR(__xludf.DUMMYFUNCTION("""COMPUTED_VALUE"""),"Freddy Cueva")</f>
        <v>Freddy Cueva</v>
      </c>
      <c r="F1346" s="65" t="str">
        <f>IFERROR(__xludf.DUMMYFUNCTION("""COMPUTED_VALUE"""),"989128985")</f>
        <v>989128985</v>
      </c>
      <c r="G1346" s="65" t="str">
        <f>IFERROR(__xludf.DUMMYFUNCTION("""COMPUTED_VALUE"""),"freddys@hotmail.es")</f>
        <v>freddys@hotmail.es</v>
      </c>
      <c r="H1346" s="65"/>
      <c r="I1346" s="65"/>
      <c r="J1346" s="65"/>
      <c r="K1346" s="65" t="str">
        <f>IFERROR(__xludf.DUMMYFUNCTION("""COMPUTED_VALUE"""),"CANCELADO")</f>
        <v>CANCELADO</v>
      </c>
      <c r="L1346" s="65" t="str">
        <f>IFERROR(__xludf.DUMMYFUNCTION("""COMPUTED_VALUE"""),"CON RECAUDO")</f>
        <v>CON RECAUDO</v>
      </c>
      <c r="M1346" s="65" t="str">
        <f>IFERROR(__xludf.DUMMYFUNCTION("""COMPUTED_VALUE"""),"TUNGURAHUA")</f>
        <v>TUNGURAHUA</v>
      </c>
      <c r="N1346" s="65" t="str">
        <f>IFERROR(__xludf.DUMMYFUNCTION("""COMPUTED_VALUE"""),"PELILEO")</f>
        <v>PELILEO</v>
      </c>
      <c r="O1346" s="65" t="str">
        <f>IFERROR(__xludf.DUMMYFUNCTION("""COMPUTED_VALUE"""),"22dejulio y eloy alfaro Barrio dario guevara -")</f>
        <v>22dejulio y eloy alfaro Barrio dario guevara -</v>
      </c>
      <c r="P1346" s="65"/>
      <c r="Q1346" s="65" t="str">
        <f>IFERROR(__xludf.DUMMYFUNCTION("""COMPUTED_VALUE"""),"GINTRACOM")</f>
        <v>GINTRACOM</v>
      </c>
      <c r="R1346" s="65">
        <f>IFERROR(__xludf.DUMMYFUNCTION("""COMPUTED_VALUE"""),20.0)</f>
        <v>20</v>
      </c>
      <c r="S1346" s="65"/>
      <c r="T1346" s="65">
        <f>IFERROR(__xludf.DUMMYFUNCTION("""COMPUTED_VALUE"""),6.33)</f>
        <v>6.33</v>
      </c>
      <c r="U1346" s="65">
        <f>IFERROR(__xludf.DUMMYFUNCTION("""COMPUTED_VALUE"""),0.0)</f>
        <v>0</v>
      </c>
      <c r="V1346" s="65">
        <f>IFERROR(__xludf.DUMMYFUNCTION("""COMPUTED_VALUE"""),0.0)</f>
        <v>0</v>
      </c>
      <c r="W1346" s="65">
        <f>IFERROR(__xludf.DUMMYFUNCTION("""COMPUTED_VALUE"""),0.0)</f>
        <v>0</v>
      </c>
      <c r="X1346" s="65">
        <f>IFERROR(__xludf.DUMMYFUNCTION("""COMPUTED_VALUE"""),2.35)</f>
        <v>2.35</v>
      </c>
      <c r="Y1346" s="65">
        <f>IFERROR(__xludf.DUMMYFUNCTION("""COMPUTED_VALUE"""),2.35)</f>
        <v>2.35</v>
      </c>
      <c r="Z1346" s="65">
        <f>IFERROR(__xludf.DUMMYFUNCTION("""COMPUTED_VALUE"""),116679.0)</f>
        <v>116679</v>
      </c>
      <c r="AA1346" s="65" t="str">
        <f>IFERROR(__xludf.DUMMYFUNCTION("""COMPUTED_VALUE"""),"AMC-2738")</f>
        <v>AMC-2738</v>
      </c>
      <c r="AB1346" s="65"/>
      <c r="AC1346" s="65" t="str">
        <f>IFERROR(__xludf.DUMMYFUNCTION("""COMPUTED_VALUE"""),"ESPONJA ANTILLUVIA DE PARABRISAS")</f>
        <v>ESPONJA ANTILLUVIA DE PARABRISAS</v>
      </c>
      <c r="AD1346" s="65"/>
      <c r="AE1346" s="65">
        <f>IFERROR(__xludf.DUMMYFUNCTION("""COMPUTED_VALUE"""),1.0)</f>
        <v>1</v>
      </c>
      <c r="AF1346" s="65"/>
      <c r="AG1346" s="65"/>
      <c r="AH1346" s="65"/>
      <c r="AI1346" s="65"/>
      <c r="AJ1346" s="65"/>
      <c r="AK1346" s="65"/>
      <c r="AL1346" s="65"/>
      <c r="AM1346" s="65"/>
      <c r="AN1346" s="65"/>
      <c r="AO1346" s="65"/>
      <c r="AP1346" s="65"/>
      <c r="AQ1346" s="65"/>
      <c r="AR1346" s="65"/>
      <c r="AS1346" s="65"/>
      <c r="AT1346" s="65" t="str">
        <f>IFERROR(__xludf.DUMMYFUNCTION("""COMPUTED_VALUE"""),"SHOPIFY")</f>
        <v>SHOPIFY</v>
      </c>
      <c r="AU1346" s="65" t="str">
        <f>IFERROR(__xludf.DUMMYFUNCTION("""COMPUTED_VALUE"""),"IMPORTEX EC")</f>
        <v>IMPORTEX EC</v>
      </c>
      <c r="AV1346" s="65" t="str">
        <f>IFERROR(__xludf.DUMMYFUNCTION("""COMPUTED_VALUE"""),"6452359528492")</f>
        <v>6452359528492</v>
      </c>
      <c r="AW1346" s="65">
        <f>IFERROR(__xludf.DUMMYFUNCTION("""COMPUTED_VALUE"""),5578.0)</f>
        <v>5578</v>
      </c>
      <c r="AX1346" s="65"/>
      <c r="AY1346" s="65"/>
      <c r="AZ1346" s="65"/>
      <c r="BA1346" s="65"/>
    </row>
    <row r="1347">
      <c r="A1347" s="65" t="str">
        <f>IFERROR(__xludf.DUMMYFUNCTION("""COMPUTED_VALUE"""),"27-03-2026")</f>
        <v>27-03-2026</v>
      </c>
      <c r="B1347" s="65">
        <f>IFERROR(__xludf.DUMMYFUNCTION("""COMPUTED_VALUE"""),4298767.0)</f>
        <v>4298767</v>
      </c>
      <c r="C1347" s="65" t="str">
        <f>IFERROR(__xludf.DUMMYFUNCTION("""COMPUTED_VALUE"""),"16:27")</f>
        <v>16:27</v>
      </c>
      <c r="D1347" s="65" t="str">
        <f>IFERROR(__xludf.DUMMYFUNCTION("""COMPUTED_VALUE"""),"27-01-2026")</f>
        <v>27-01-2026</v>
      </c>
      <c r="E1347" s="65" t="str">
        <f>IFERROR(__xludf.DUMMYFUNCTION("""COMPUTED_VALUE"""),"Nelson Valladarez")</f>
        <v>Nelson Valladarez</v>
      </c>
      <c r="F1347" s="65" t="str">
        <f>IFERROR(__xludf.DUMMYFUNCTION("""COMPUTED_VALUE"""),"981005145")</f>
        <v>981005145</v>
      </c>
      <c r="G1347" s="65" t="str">
        <f>IFERROR(__xludf.DUMMYFUNCTION("""COMPUTED_VALUE"""),"nelsonremivalladarez@hotmail.com")</f>
        <v>nelsonremivalladarez@hotmail.com</v>
      </c>
      <c r="H1347" s="65"/>
      <c r="I1347" s="65"/>
      <c r="J1347" s="65"/>
      <c r="K1347" s="65" t="str">
        <f>IFERROR(__xludf.DUMMYFUNCTION("""COMPUTED_VALUE"""),"CANCELADO")</f>
        <v>CANCELADO</v>
      </c>
      <c r="L1347" s="65" t="str">
        <f>IFERROR(__xludf.DUMMYFUNCTION("""COMPUTED_VALUE"""),"CON RECAUDO")</f>
        <v>CON RECAUDO</v>
      </c>
      <c r="M1347" s="65" t="str">
        <f>IFERROR(__xludf.DUMMYFUNCTION("""COMPUTED_VALUE"""),"LOS RIOS")</f>
        <v>LOS RIOS</v>
      </c>
      <c r="N1347" s="65" t="str">
        <f>IFERROR(__xludf.DUMMYFUNCTION("""COMPUTED_VALUE"""),"VENTANAS")</f>
        <v>VENTANAS</v>
      </c>
      <c r="O1347" s="65" t="str">
        <f>IFERROR(__xludf.DUMMYFUNCTION("""COMPUTED_VALUE"""),"PapelerÍa Rubi A Lado De La Escuela 10 De Noviembre Diagonal Terminal Terrestre Diagonal a la terminal terrestre de ventanas -")</f>
        <v>PapelerÍa Rubi A Lado De La Escuela 10 De Noviembre Diagonal Terminal Terrestre Diagonal a la terminal terrestre de ventanas -</v>
      </c>
      <c r="P1347" s="65"/>
      <c r="Q1347" s="65" t="str">
        <f>IFERROR(__xludf.DUMMYFUNCTION("""COMPUTED_VALUE"""),"GINTRACOM")</f>
        <v>GINTRACOM</v>
      </c>
      <c r="R1347" s="65">
        <f>IFERROR(__xludf.DUMMYFUNCTION("""COMPUTED_VALUE"""),21.99)</f>
        <v>21.99</v>
      </c>
      <c r="S1347" s="65"/>
      <c r="T1347" s="65">
        <f>IFERROR(__xludf.DUMMYFUNCTION("""COMPUTED_VALUE"""),5.84)</f>
        <v>5.84</v>
      </c>
      <c r="U1347" s="65">
        <f>IFERROR(__xludf.DUMMYFUNCTION("""COMPUTED_VALUE"""),0.0)</f>
        <v>0</v>
      </c>
      <c r="V1347" s="65">
        <f>IFERROR(__xludf.DUMMYFUNCTION("""COMPUTED_VALUE"""),0.0)</f>
        <v>0</v>
      </c>
      <c r="W1347" s="65">
        <f>IFERROR(__xludf.DUMMYFUNCTION("""COMPUTED_VALUE"""),0.0)</f>
        <v>0</v>
      </c>
      <c r="X1347" s="65">
        <f>IFERROR(__xludf.DUMMYFUNCTION("""COMPUTED_VALUE"""),5.0)</f>
        <v>5</v>
      </c>
      <c r="Y1347" s="65">
        <f>IFERROR(__xludf.DUMMYFUNCTION("""COMPUTED_VALUE"""),5.0)</f>
        <v>5</v>
      </c>
      <c r="Z1347" s="65">
        <f>IFERROR(__xludf.DUMMYFUNCTION("""COMPUTED_VALUE"""),110064.0)</f>
        <v>110064</v>
      </c>
      <c r="AA1347" s="65" t="str">
        <f>IFERROR(__xludf.DUMMYFUNCTION("""COMPUTED_VALUE"""),"IMX-00001")</f>
        <v>IMX-00001</v>
      </c>
      <c r="AB1347" s="65"/>
      <c r="AC1347" s="65" t="str">
        <f>IFERROR(__xludf.DUMMYFUNCTION("""COMPUTED_VALUE"""),"LLAVE TRINQUETE")</f>
        <v>LLAVE TRINQUETE</v>
      </c>
      <c r="AD1347" s="65"/>
      <c r="AE1347" s="65">
        <f>IFERROR(__xludf.DUMMYFUNCTION("""COMPUTED_VALUE"""),1.0)</f>
        <v>1</v>
      </c>
      <c r="AF1347" s="65"/>
      <c r="AG1347" s="65"/>
      <c r="AH1347" s="65"/>
      <c r="AI1347" s="65"/>
      <c r="AJ1347" s="65"/>
      <c r="AK1347" s="65"/>
      <c r="AL1347" s="65"/>
      <c r="AM1347" s="65"/>
      <c r="AN1347" s="65"/>
      <c r="AO1347" s="65"/>
      <c r="AP1347" s="65"/>
      <c r="AQ1347" s="65"/>
      <c r="AR1347" s="65"/>
      <c r="AS1347" s="65"/>
      <c r="AT1347" s="65" t="str">
        <f>IFERROR(__xludf.DUMMYFUNCTION("""COMPUTED_VALUE"""),"SHOPIFY")</f>
        <v>SHOPIFY</v>
      </c>
      <c r="AU1347" s="65" t="str">
        <f>IFERROR(__xludf.DUMMYFUNCTION("""COMPUTED_VALUE"""),"IMPORTEX EC")</f>
        <v>IMPORTEX EC</v>
      </c>
      <c r="AV1347" s="65" t="str">
        <f>IFERROR(__xludf.DUMMYFUNCTION("""COMPUTED_VALUE"""),"6452315881516")</f>
        <v>6452315881516</v>
      </c>
      <c r="AW1347" s="65">
        <f>IFERROR(__xludf.DUMMYFUNCTION("""COMPUTED_VALUE"""),5577.0)</f>
        <v>5577</v>
      </c>
      <c r="AX1347" s="65"/>
      <c r="AY1347" s="65"/>
      <c r="AZ1347" s="65"/>
      <c r="BA1347" s="65"/>
    </row>
    <row r="1348">
      <c r="A1348" s="65" t="str">
        <f>IFERROR(__xludf.DUMMYFUNCTION("""COMPUTED_VALUE"""),"27-03-2026")</f>
        <v>27-03-2026</v>
      </c>
      <c r="B1348" s="65">
        <f>IFERROR(__xludf.DUMMYFUNCTION("""COMPUTED_VALUE"""),4298137.0)</f>
        <v>4298137</v>
      </c>
      <c r="C1348" s="65" t="str">
        <f>IFERROR(__xludf.DUMMYFUNCTION("""COMPUTED_VALUE"""),"15:33")</f>
        <v>15:33</v>
      </c>
      <c r="D1348" s="65" t="str">
        <f>IFERROR(__xludf.DUMMYFUNCTION("""COMPUTED_VALUE"""),"27-01-2026")</f>
        <v>27-01-2026</v>
      </c>
      <c r="E1348" s="65" t="str">
        <f>IFERROR(__xludf.DUMMYFUNCTION("""COMPUTED_VALUE"""),"Joege luis Torres Guayanay")</f>
        <v>Joege luis Torres Guayanay</v>
      </c>
      <c r="F1348" s="65" t="str">
        <f>IFERROR(__xludf.DUMMYFUNCTION("""COMPUTED_VALUE"""),"980335537")</f>
        <v>980335537</v>
      </c>
      <c r="G1348" s="65" t="str">
        <f>IFERROR(__xludf.DUMMYFUNCTION("""COMPUTED_VALUE"""),"maykel2019t@gmail.com")</f>
        <v>maykel2019t@gmail.com</v>
      </c>
      <c r="H1348" s="65"/>
      <c r="I1348" s="65"/>
      <c r="J1348" s="65" t="str">
        <f>IFERROR(__xludf.DUMMYFUNCTION("""COMPUTED_VALUE"""),"LC52732467")</f>
        <v>LC52732467</v>
      </c>
      <c r="K1348" s="65" t="str">
        <f>IFERROR(__xludf.DUMMYFUNCTION("""COMPUTED_VALUE"""),"DEVOLUCION")</f>
        <v>DEVOLUCION</v>
      </c>
      <c r="L1348" s="65" t="str">
        <f>IFERROR(__xludf.DUMMYFUNCTION("""COMPUTED_VALUE"""),"CON RECAUDO")</f>
        <v>CON RECAUDO</v>
      </c>
      <c r="M1348" s="65" t="str">
        <f>IFERROR(__xludf.DUMMYFUNCTION("""COMPUTED_VALUE"""),"EL ORO")</f>
        <v>EL ORO</v>
      </c>
      <c r="N1348" s="65" t="str">
        <f>IFERROR(__xludf.DUMMYFUNCTION("""COMPUTED_VALUE"""),"LA PEAÑA")</f>
        <v>LA PEAÑA</v>
      </c>
      <c r="O1348" s="65" t="str">
        <f>IFERROR(__xludf.DUMMYFUNCTION("""COMPUTED_VALUE"""),"calle santa Rosilla Erederos Chaula Diogonal comercial Sunba -")</f>
        <v>calle santa Rosilla Erederos Chaula Diogonal comercial Sunba -</v>
      </c>
      <c r="P1348" s="65"/>
      <c r="Q1348" s="65" t="str">
        <f>IFERROR(__xludf.DUMMYFUNCTION("""COMPUTED_VALUE"""),"LAARCOURIER")</f>
        <v>LAARCOURIER</v>
      </c>
      <c r="R1348" s="65">
        <f>IFERROR(__xludf.DUMMYFUNCTION("""COMPUTED_VALUE"""),25.0)</f>
        <v>25</v>
      </c>
      <c r="S1348" s="65"/>
      <c r="T1348" s="65">
        <f>IFERROR(__xludf.DUMMYFUNCTION("""COMPUTED_VALUE"""),9.57)</f>
        <v>9.57</v>
      </c>
      <c r="U1348" s="65">
        <f>IFERROR(__xludf.DUMMYFUNCTION("""COMPUTED_VALUE"""),0.0)</f>
        <v>0</v>
      </c>
      <c r="V1348" s="65">
        <f>IFERROR(__xludf.DUMMYFUNCTION("""COMPUTED_VALUE"""),0.0)</f>
        <v>0</v>
      </c>
      <c r="W1348" s="65">
        <f>IFERROR(__xludf.DUMMYFUNCTION("""COMPUTED_VALUE"""),0.0)</f>
        <v>0</v>
      </c>
      <c r="X1348" s="65">
        <f>IFERROR(__xludf.DUMMYFUNCTION("""COMPUTED_VALUE"""),2.35)</f>
        <v>2.35</v>
      </c>
      <c r="Y1348" s="65">
        <f>IFERROR(__xludf.DUMMYFUNCTION("""COMPUTED_VALUE"""),4.7)</f>
        <v>4.7</v>
      </c>
      <c r="Z1348" s="65">
        <f>IFERROR(__xludf.DUMMYFUNCTION("""COMPUTED_VALUE"""),116679.0)</f>
        <v>116679</v>
      </c>
      <c r="AA1348" s="65" t="str">
        <f>IFERROR(__xludf.DUMMYFUNCTION("""COMPUTED_VALUE"""),"AMC-2738")</f>
        <v>AMC-2738</v>
      </c>
      <c r="AB1348" s="65"/>
      <c r="AC1348" s="65" t="str">
        <f>IFERROR(__xludf.DUMMYFUNCTION("""COMPUTED_VALUE"""),"ESPONJA ANTILLUVIA DE PARABRISAS")</f>
        <v>ESPONJA ANTILLUVIA DE PARABRISAS</v>
      </c>
      <c r="AD1348" s="65"/>
      <c r="AE1348" s="65">
        <f>IFERROR(__xludf.DUMMYFUNCTION("""COMPUTED_VALUE"""),2.0)</f>
        <v>2</v>
      </c>
      <c r="AF1348" s="65" t="str">
        <f>IFERROR(__xludf.DUMMYFUNCTION("""COMPUTED_VALUE"""),"DIRECCIÓN INCORRECTA/INSUFICIENTE")</f>
        <v>DIRECCIÓN INCORRECTA/INSUFICIENTE</v>
      </c>
      <c r="AG1348" s="65" t="str">
        <f>IFERROR(__xludf.DUMMYFUNCTION("""COMPUTED_VALUE"""),"NO")</f>
        <v>NO</v>
      </c>
      <c r="AH1348" s="65" t="str">
        <f>IFERROR(__xludf.DUMMYFUNCTION("""COMPUTED_VALUE"""),"17:49")</f>
        <v>17:49</v>
      </c>
      <c r="AI1348" s="65" t="str">
        <f>IFERROR(__xludf.DUMMYFUNCTION("""COMPUTED_VALUE"""),"02-02-2026")</f>
        <v>02-02-2026</v>
      </c>
      <c r="AJ1348" s="65"/>
      <c r="AK1348" s="65"/>
      <c r="AL1348" s="65"/>
      <c r="AM1348" s="65"/>
      <c r="AN1348" s="65" t="str">
        <f>IFERROR(__xludf.DUMMYFUNCTION("""COMPUTED_VALUE"""),"14:06")</f>
        <v>14:06</v>
      </c>
      <c r="AO1348" s="65" t="str">
        <f>IFERROR(__xludf.DUMMYFUNCTION("""COMPUTED_VALUE"""),"06-02-2026")</f>
        <v>06-02-2026</v>
      </c>
      <c r="AP1348" s="65" t="str">
        <f>IFERROR(__xludf.DUMMYFUNCTION("""COMPUTED_VALUE"""),"DEVOLUCIÓN / ENTREGA")</f>
        <v>DEVOLUCIÓN / ENTREGA</v>
      </c>
      <c r="AQ1348" s="65" t="str">
        <f>IFERROR(__xludf.DUMMYFUNCTION("""COMPUTED_VALUE"""),"DEVOLUCIÓN / ENTREGA")</f>
        <v>DEVOLUCIÓN / ENTREGA</v>
      </c>
      <c r="AR1348" s="65"/>
      <c r="AS1348" s="65"/>
      <c r="AT1348" s="65" t="str">
        <f>IFERROR(__xludf.DUMMYFUNCTION("""COMPUTED_VALUE"""),"SHOPIFY")</f>
        <v>SHOPIFY</v>
      </c>
      <c r="AU1348" s="65" t="str">
        <f>IFERROR(__xludf.DUMMYFUNCTION("""COMPUTED_VALUE"""),"IMPORTEX EC")</f>
        <v>IMPORTEX EC</v>
      </c>
      <c r="AV1348" s="65" t="str">
        <f>IFERROR(__xludf.DUMMYFUNCTION("""COMPUTED_VALUE"""),"6452202045484")</f>
        <v>6452202045484</v>
      </c>
      <c r="AW1348" s="65">
        <f>IFERROR(__xludf.DUMMYFUNCTION("""COMPUTED_VALUE"""),5575.0)</f>
        <v>5575</v>
      </c>
      <c r="AX1348" s="65"/>
      <c r="AY1348" s="65" t="str">
        <f>IFERROR(__xludf.DUMMYFUNCTION("""COMPUTED_VALUE"""),"28/01/2026")</f>
        <v>28/01/2026</v>
      </c>
      <c r="AZ1348" s="65"/>
      <c r="BA1348" s="65"/>
    </row>
    <row r="1349">
      <c r="A1349" s="65" t="str">
        <f>IFERROR(__xludf.DUMMYFUNCTION("""COMPUTED_VALUE"""),"27-03-2026")</f>
        <v>27-03-2026</v>
      </c>
      <c r="B1349" s="65">
        <f>IFERROR(__xludf.DUMMYFUNCTION("""COMPUTED_VALUE"""),4297921.0)</f>
        <v>4297921</v>
      </c>
      <c r="C1349" s="65" t="str">
        <f>IFERROR(__xludf.DUMMYFUNCTION("""COMPUTED_VALUE"""),"15:14")</f>
        <v>15:14</v>
      </c>
      <c r="D1349" s="65" t="str">
        <f>IFERROR(__xludf.DUMMYFUNCTION("""COMPUTED_VALUE"""),"27-01-2026")</f>
        <v>27-01-2026</v>
      </c>
      <c r="E1349" s="65" t="str">
        <f>IFERROR(__xludf.DUMMYFUNCTION("""COMPUTED_VALUE"""),"CHUNG CHUNG")</f>
        <v>CHUNG CHUNG</v>
      </c>
      <c r="F1349" s="65" t="str">
        <f>IFERROR(__xludf.DUMMYFUNCTION("""COMPUTED_VALUE"""),"985800112")</f>
        <v>985800112</v>
      </c>
      <c r="G1349" s="65" t="str">
        <f>IFERROR(__xludf.DUMMYFUNCTION("""COMPUTED_VALUE"""),"kattya199716@hotmail.com")</f>
        <v>kattya199716@hotmail.com</v>
      </c>
      <c r="H1349" s="65"/>
      <c r="I1349" s="65"/>
      <c r="J1349" s="65"/>
      <c r="K1349" s="65" t="str">
        <f>IFERROR(__xludf.DUMMYFUNCTION("""COMPUTED_VALUE"""),"CANCELADO")</f>
        <v>CANCELADO</v>
      </c>
      <c r="L1349" s="65" t="str">
        <f>IFERROR(__xludf.DUMMYFUNCTION("""COMPUTED_VALUE"""),"CON RECAUDO")</f>
        <v>CON RECAUDO</v>
      </c>
      <c r="M1349" s="65" t="str">
        <f>IFERROR(__xludf.DUMMYFUNCTION("""COMPUTED_VALUE"""),"GUAYAS")</f>
        <v>GUAYAS</v>
      </c>
      <c r="N1349" s="65" t="str">
        <f>IFERROR(__xludf.DUMMYFUNCTION("""COMPUTED_VALUE"""),"GUAYAQUIL")</f>
        <v>GUAYAQUIL</v>
      </c>
      <c r="O1349" s="65" t="str">
        <f>IFERROR(__xludf.DUMMYFUNCTION("""COMPUTED_VALUE"""),"Florida norte Coop nueva luz mz 400 sl 15 -")</f>
        <v>Florida norte Coop nueva luz mz 400 sl 15 -</v>
      </c>
      <c r="P1349" s="65"/>
      <c r="Q1349" s="65" t="str">
        <f>IFERROR(__xludf.DUMMYFUNCTION("""COMPUTED_VALUE"""),"GINTRACOM")</f>
        <v>GINTRACOM</v>
      </c>
      <c r="R1349" s="65">
        <f>IFERROR(__xludf.DUMMYFUNCTION("""COMPUTED_VALUE"""),25.0)</f>
        <v>25</v>
      </c>
      <c r="S1349" s="65"/>
      <c r="T1349" s="65">
        <f>IFERROR(__xludf.DUMMYFUNCTION("""COMPUTED_VALUE"""),5.96)</f>
        <v>5.96</v>
      </c>
      <c r="U1349" s="65">
        <f>IFERROR(__xludf.DUMMYFUNCTION("""COMPUTED_VALUE"""),0.0)</f>
        <v>0</v>
      </c>
      <c r="V1349" s="65">
        <f>IFERROR(__xludf.DUMMYFUNCTION("""COMPUTED_VALUE"""),0.0)</f>
        <v>0</v>
      </c>
      <c r="W1349" s="65">
        <f>IFERROR(__xludf.DUMMYFUNCTION("""COMPUTED_VALUE"""),0.0)</f>
        <v>0</v>
      </c>
      <c r="X1349" s="65">
        <f>IFERROR(__xludf.DUMMYFUNCTION("""COMPUTED_VALUE"""),2.35)</f>
        <v>2.35</v>
      </c>
      <c r="Y1349" s="65">
        <f>IFERROR(__xludf.DUMMYFUNCTION("""COMPUTED_VALUE"""),4.7)</f>
        <v>4.7</v>
      </c>
      <c r="Z1349" s="65">
        <f>IFERROR(__xludf.DUMMYFUNCTION("""COMPUTED_VALUE"""),116679.0)</f>
        <v>116679</v>
      </c>
      <c r="AA1349" s="65" t="str">
        <f>IFERROR(__xludf.DUMMYFUNCTION("""COMPUTED_VALUE"""),"AMC-2738")</f>
        <v>AMC-2738</v>
      </c>
      <c r="AB1349" s="65"/>
      <c r="AC1349" s="65" t="str">
        <f>IFERROR(__xludf.DUMMYFUNCTION("""COMPUTED_VALUE"""),"ESPONJA ANTILLUVIA DE PARABRISAS")</f>
        <v>ESPONJA ANTILLUVIA DE PARABRISAS</v>
      </c>
      <c r="AD1349" s="65"/>
      <c r="AE1349" s="65">
        <f>IFERROR(__xludf.DUMMYFUNCTION("""COMPUTED_VALUE"""),2.0)</f>
        <v>2</v>
      </c>
      <c r="AF1349" s="65"/>
      <c r="AG1349" s="65"/>
      <c r="AH1349" s="65"/>
      <c r="AI1349" s="65"/>
      <c r="AJ1349" s="65"/>
      <c r="AK1349" s="65"/>
      <c r="AL1349" s="65"/>
      <c r="AM1349" s="65"/>
      <c r="AN1349" s="65"/>
      <c r="AO1349" s="65"/>
      <c r="AP1349" s="65"/>
      <c r="AQ1349" s="65"/>
      <c r="AR1349" s="65"/>
      <c r="AS1349" s="65"/>
      <c r="AT1349" s="65" t="str">
        <f>IFERROR(__xludf.DUMMYFUNCTION("""COMPUTED_VALUE"""),"SHOPIFY")</f>
        <v>SHOPIFY</v>
      </c>
      <c r="AU1349" s="65" t="str">
        <f>IFERROR(__xludf.DUMMYFUNCTION("""COMPUTED_VALUE"""),"IMPORTEX EC")</f>
        <v>IMPORTEX EC</v>
      </c>
      <c r="AV1349" s="65" t="str">
        <f>IFERROR(__xludf.DUMMYFUNCTION("""COMPUTED_VALUE"""),"6452166819884")</f>
        <v>6452166819884</v>
      </c>
      <c r="AW1349" s="65">
        <f>IFERROR(__xludf.DUMMYFUNCTION("""COMPUTED_VALUE"""),5574.0)</f>
        <v>5574</v>
      </c>
      <c r="AX1349" s="65"/>
      <c r="AY1349" s="65"/>
      <c r="AZ1349" s="65"/>
      <c r="BA1349" s="65"/>
    </row>
    <row r="1350">
      <c r="A1350" s="65" t="str">
        <f>IFERROR(__xludf.DUMMYFUNCTION("""COMPUTED_VALUE"""),"27-03-2026")</f>
        <v>27-03-2026</v>
      </c>
      <c r="B1350" s="65">
        <f>IFERROR(__xludf.DUMMYFUNCTION("""COMPUTED_VALUE"""),4297531.0)</f>
        <v>4297531</v>
      </c>
      <c r="C1350" s="65" t="str">
        <f>IFERROR(__xludf.DUMMYFUNCTION("""COMPUTED_VALUE"""),"14:37")</f>
        <v>14:37</v>
      </c>
      <c r="D1350" s="65" t="str">
        <f>IFERROR(__xludf.DUMMYFUNCTION("""COMPUTED_VALUE"""),"27-01-2026")</f>
        <v>27-01-2026</v>
      </c>
      <c r="E1350" s="65" t="str">
        <f>IFERROR(__xludf.DUMMYFUNCTION("""COMPUTED_VALUE"""),"Luis Ortiz")</f>
        <v>Luis Ortiz</v>
      </c>
      <c r="F1350" s="65" t="str">
        <f>IFERROR(__xludf.DUMMYFUNCTION("""COMPUTED_VALUE"""),"985682165")</f>
        <v>985682165</v>
      </c>
      <c r="G1350" s="65" t="str">
        <f>IFERROR(__xludf.DUMMYFUNCTION("""COMPUTED_VALUE"""),"luisortiz197235@yahoo.es")</f>
        <v>luisortiz197235@yahoo.es</v>
      </c>
      <c r="H1350" s="65"/>
      <c r="I1350" s="65"/>
      <c r="J1350" s="65" t="str">
        <f>IFERROR(__xludf.DUMMYFUNCTION("""COMPUTED_VALUE"""),"D001269818")</f>
        <v>D001269818</v>
      </c>
      <c r="K1350" s="65" t="str">
        <f>IFERROR(__xludf.DUMMYFUNCTION("""COMPUTED_VALUE"""),"ENTREGADO")</f>
        <v>ENTREGADO</v>
      </c>
      <c r="L1350" s="65" t="str">
        <f>IFERROR(__xludf.DUMMYFUNCTION("""COMPUTED_VALUE"""),"CON RECAUDO")</f>
        <v>CON RECAUDO</v>
      </c>
      <c r="M1350" s="65" t="str">
        <f>IFERROR(__xludf.DUMMYFUNCTION("""COMPUTED_VALUE"""),"PICHINCHA")</f>
        <v>PICHINCHA</v>
      </c>
      <c r="N1350" s="65" t="str">
        <f>IFERROR(__xludf.DUMMYFUNCTION("""COMPUTED_VALUE"""),"CALDERON")</f>
        <v>CALDERON</v>
      </c>
      <c r="O1350" s="65" t="str">
        <f>IFERROR(__xludf.DUMMYFUNCTION("""COMPUTED_VALUE"""),"José Mejía Lequerica y Manuela Espejo Ciudad Bicentenario frente a Pomasqui -")</f>
        <v>José Mejía Lequerica y Manuela Espejo Ciudad Bicentenario frente a Pomasqui -</v>
      </c>
      <c r="P1350" s="65"/>
      <c r="Q1350" s="65" t="str">
        <f>IFERROR(__xludf.DUMMYFUNCTION("""COMPUTED_VALUE"""),"GINTRACOM")</f>
        <v>GINTRACOM</v>
      </c>
      <c r="R1350" s="65">
        <f>IFERROR(__xludf.DUMMYFUNCTION("""COMPUTED_VALUE"""),21.99)</f>
        <v>21.99</v>
      </c>
      <c r="S1350" s="65">
        <f>IFERROR(__xludf.DUMMYFUNCTION("""COMPUTED_VALUE"""),12.19)</f>
        <v>12.19</v>
      </c>
      <c r="T1350" s="65">
        <f>IFERROR(__xludf.DUMMYFUNCTION("""COMPUTED_VALUE"""),4.8)</f>
        <v>4.8</v>
      </c>
      <c r="U1350" s="65">
        <f>IFERROR(__xludf.DUMMYFUNCTION("""COMPUTED_VALUE"""),0.0)</f>
        <v>0</v>
      </c>
      <c r="V1350" s="65">
        <f>IFERROR(__xludf.DUMMYFUNCTION("""COMPUTED_VALUE"""),0.0)</f>
        <v>0</v>
      </c>
      <c r="W1350" s="65">
        <f>IFERROR(__xludf.DUMMYFUNCTION("""COMPUTED_VALUE"""),0.0)</f>
        <v>0</v>
      </c>
      <c r="X1350" s="65">
        <f>IFERROR(__xludf.DUMMYFUNCTION("""COMPUTED_VALUE"""),5.0)</f>
        <v>5</v>
      </c>
      <c r="Y1350" s="65">
        <f>IFERROR(__xludf.DUMMYFUNCTION("""COMPUTED_VALUE"""),5.0)</f>
        <v>5</v>
      </c>
      <c r="Z1350" s="65">
        <f>IFERROR(__xludf.DUMMYFUNCTION("""COMPUTED_VALUE"""),110064.0)</f>
        <v>110064</v>
      </c>
      <c r="AA1350" s="65" t="str">
        <f>IFERROR(__xludf.DUMMYFUNCTION("""COMPUTED_VALUE"""),"IMX-00001")</f>
        <v>IMX-00001</v>
      </c>
      <c r="AB1350" s="65"/>
      <c r="AC1350" s="65" t="str">
        <f>IFERROR(__xludf.DUMMYFUNCTION("""COMPUTED_VALUE"""),"LLAVE TRINQUETE")</f>
        <v>LLAVE TRINQUETE</v>
      </c>
      <c r="AD1350" s="65"/>
      <c r="AE1350" s="65">
        <f>IFERROR(__xludf.DUMMYFUNCTION("""COMPUTED_VALUE"""),1.0)</f>
        <v>1</v>
      </c>
      <c r="AF1350" s="65"/>
      <c r="AG1350" s="65"/>
      <c r="AH1350" s="65"/>
      <c r="AI1350" s="65"/>
      <c r="AJ1350" s="65"/>
      <c r="AK1350" s="65"/>
      <c r="AL1350" s="65"/>
      <c r="AM1350" s="65"/>
      <c r="AN1350" s="65"/>
      <c r="AO1350" s="65"/>
      <c r="AP1350" s="65"/>
      <c r="AQ1350" s="65"/>
      <c r="AR1350" s="65"/>
      <c r="AS1350" s="65"/>
      <c r="AT1350" s="65" t="str">
        <f>IFERROR(__xludf.DUMMYFUNCTION("""COMPUTED_VALUE"""),"SHOPIFY")</f>
        <v>SHOPIFY</v>
      </c>
      <c r="AU1350" s="65" t="str">
        <f>IFERROR(__xludf.DUMMYFUNCTION("""COMPUTED_VALUE"""),"IMPORTEX EC")</f>
        <v>IMPORTEX EC</v>
      </c>
      <c r="AV1350" s="65" t="str">
        <f>IFERROR(__xludf.DUMMYFUNCTION("""COMPUTED_VALUE"""),"6452087849004")</f>
        <v>6452087849004</v>
      </c>
      <c r="AW1350" s="65">
        <f>IFERROR(__xludf.DUMMYFUNCTION("""COMPUTED_VALUE"""),5573.0)</f>
        <v>5573</v>
      </c>
      <c r="AX1350" s="65"/>
      <c r="AY1350" s="65" t="str">
        <f>IFERROR(__xludf.DUMMYFUNCTION("""COMPUTED_VALUE"""),"28/01/2026")</f>
        <v>28/01/2026</v>
      </c>
      <c r="AZ1350" s="65"/>
      <c r="BA1350" s="65"/>
    </row>
    <row r="1351">
      <c r="A1351" s="65" t="str">
        <f>IFERROR(__xludf.DUMMYFUNCTION("""COMPUTED_VALUE"""),"27-03-2026")</f>
        <v>27-03-2026</v>
      </c>
      <c r="B1351" s="65">
        <f>IFERROR(__xludf.DUMMYFUNCTION("""COMPUTED_VALUE"""),4297453.0)</f>
        <v>4297453</v>
      </c>
      <c r="C1351" s="65" t="str">
        <f>IFERROR(__xludf.DUMMYFUNCTION("""COMPUTED_VALUE"""),"14:32")</f>
        <v>14:32</v>
      </c>
      <c r="D1351" s="65" t="str">
        <f>IFERROR(__xludf.DUMMYFUNCTION("""COMPUTED_VALUE"""),"27-01-2026")</f>
        <v>27-01-2026</v>
      </c>
      <c r="E1351" s="65" t="str">
        <f>IFERROR(__xludf.DUMMYFUNCTION("""COMPUTED_VALUE"""),"Natalia Lozano Aguilar")</f>
        <v>Natalia Lozano Aguilar</v>
      </c>
      <c r="F1351" s="65" t="str">
        <f>IFERROR(__xludf.DUMMYFUNCTION("""COMPUTED_VALUE"""),"959633932")</f>
        <v>959633932</v>
      </c>
      <c r="G1351" s="65" t="str">
        <f>IFERROR(__xludf.DUMMYFUNCTION("""COMPUTED_VALUE"""),"nathylozano2711@gmail.com")</f>
        <v>nathylozano2711@gmail.com</v>
      </c>
      <c r="H1351" s="65"/>
      <c r="I1351" s="65"/>
      <c r="J1351" s="65" t="str">
        <f>IFERROR(__xludf.DUMMYFUNCTION("""COMPUTED_VALUE"""),"D001269819")</f>
        <v>D001269819</v>
      </c>
      <c r="K1351" s="65" t="str">
        <f>IFERROR(__xludf.DUMMYFUNCTION("""COMPUTED_VALUE"""),"ENTREGADO")</f>
        <v>ENTREGADO</v>
      </c>
      <c r="L1351" s="65" t="str">
        <f>IFERROR(__xludf.DUMMYFUNCTION("""COMPUTED_VALUE"""),"CON RECAUDO")</f>
        <v>CON RECAUDO</v>
      </c>
      <c r="M1351" s="65" t="str">
        <f>IFERROR(__xludf.DUMMYFUNCTION("""COMPUTED_VALUE"""),"PICHINCHA")</f>
        <v>PICHINCHA</v>
      </c>
      <c r="N1351" s="65" t="str">
        <f>IFERROR(__xludf.DUMMYFUNCTION("""COMPUTED_VALUE"""),"QUITO")</f>
        <v>QUITO</v>
      </c>
      <c r="O1351" s="65" t="str">
        <f>IFERROR(__xludf.DUMMYFUNCTION("""COMPUTED_VALUE"""),"Av. Real Audiencia N67-69 entre Francisco Dalmau y De los Ciruelos Edif. Torre lomas Ponceano Alto -")</f>
        <v>Av. Real Audiencia N67-69 entre Francisco Dalmau y De los Ciruelos Edif. Torre lomas Ponceano Alto -</v>
      </c>
      <c r="P1351" s="65"/>
      <c r="Q1351" s="65" t="str">
        <f>IFERROR(__xludf.DUMMYFUNCTION("""COMPUTED_VALUE"""),"GINTRACOM")</f>
        <v>GINTRACOM</v>
      </c>
      <c r="R1351" s="65">
        <f>IFERROR(__xludf.DUMMYFUNCTION("""COMPUTED_VALUE"""),19.99)</f>
        <v>19.99</v>
      </c>
      <c r="S1351" s="65">
        <f>IFERROR(__xludf.DUMMYFUNCTION("""COMPUTED_VALUE"""),12.35)</f>
        <v>12.35</v>
      </c>
      <c r="T1351" s="65">
        <f>IFERROR(__xludf.DUMMYFUNCTION("""COMPUTED_VALUE"""),4.14)</f>
        <v>4.14</v>
      </c>
      <c r="U1351" s="65">
        <f>IFERROR(__xludf.DUMMYFUNCTION("""COMPUTED_VALUE"""),0.0)</f>
        <v>0</v>
      </c>
      <c r="V1351" s="65">
        <f>IFERROR(__xludf.DUMMYFUNCTION("""COMPUTED_VALUE"""),0.0)</f>
        <v>0</v>
      </c>
      <c r="W1351" s="65">
        <f>IFERROR(__xludf.DUMMYFUNCTION("""COMPUTED_VALUE"""),0.0)</f>
        <v>0</v>
      </c>
      <c r="X1351" s="65">
        <f>IFERROR(__xludf.DUMMYFUNCTION("""COMPUTED_VALUE"""),3.5)</f>
        <v>3.5</v>
      </c>
      <c r="Y1351" s="65">
        <f>IFERROR(__xludf.DUMMYFUNCTION("""COMPUTED_VALUE"""),3.5)</f>
        <v>3.5</v>
      </c>
      <c r="Z1351" s="65">
        <f>IFERROR(__xludf.DUMMYFUNCTION("""COMPUTED_VALUE"""),124802.0)</f>
        <v>124802</v>
      </c>
      <c r="AA1351" s="65" t="str">
        <f>IFERROR(__xludf.DUMMYFUNCTION("""COMPUTED_VALUE"""),"IMX-00005")</f>
        <v>IMX-00005</v>
      </c>
      <c r="AB1351" s="65"/>
      <c r="AC1351" s="65" t="str">
        <f>IFERROR(__xludf.DUMMYFUNCTION("""COMPUTED_VALUE"""),"GUANTE QUITA PELUSAS")</f>
        <v>GUANTE QUITA PELUSAS</v>
      </c>
      <c r="AD1351" s="65"/>
      <c r="AE1351" s="65">
        <f>IFERROR(__xludf.DUMMYFUNCTION("""COMPUTED_VALUE"""),1.0)</f>
        <v>1</v>
      </c>
      <c r="AF1351" s="65"/>
      <c r="AG1351" s="65"/>
      <c r="AH1351" s="65"/>
      <c r="AI1351" s="65"/>
      <c r="AJ1351" s="65"/>
      <c r="AK1351" s="65"/>
      <c r="AL1351" s="65"/>
      <c r="AM1351" s="65"/>
      <c r="AN1351" s="65"/>
      <c r="AO1351" s="65"/>
      <c r="AP1351" s="65"/>
      <c r="AQ1351" s="65"/>
      <c r="AR1351" s="65"/>
      <c r="AS1351" s="65"/>
      <c r="AT1351" s="65" t="str">
        <f>IFERROR(__xludf.DUMMYFUNCTION("""COMPUTED_VALUE"""),"SHOPIFY")</f>
        <v>SHOPIFY</v>
      </c>
      <c r="AU1351" s="65" t="str">
        <f>IFERROR(__xludf.DUMMYFUNCTION("""COMPUTED_VALUE"""),"IMPORTEX EC")</f>
        <v>IMPORTEX EC</v>
      </c>
      <c r="AV1351" s="65" t="str">
        <f>IFERROR(__xludf.DUMMYFUNCTION("""COMPUTED_VALUE"""),"6440379875372")</f>
        <v>6440379875372</v>
      </c>
      <c r="AW1351" s="65">
        <f>IFERROR(__xludf.DUMMYFUNCTION("""COMPUTED_VALUE"""),5441.0)</f>
        <v>5441</v>
      </c>
      <c r="AX1351" s="65"/>
      <c r="AY1351" s="65" t="str">
        <f>IFERROR(__xludf.DUMMYFUNCTION("""COMPUTED_VALUE"""),"28/01/2026")</f>
        <v>28/01/2026</v>
      </c>
      <c r="AZ1351" s="65"/>
      <c r="BA1351" s="65"/>
    </row>
    <row r="1352">
      <c r="A1352" s="65" t="str">
        <f>IFERROR(__xludf.DUMMYFUNCTION("""COMPUTED_VALUE"""),"27-03-2026")</f>
        <v>27-03-2026</v>
      </c>
      <c r="B1352" s="65">
        <f>IFERROR(__xludf.DUMMYFUNCTION("""COMPUTED_VALUE"""),4297103.0)</f>
        <v>4297103</v>
      </c>
      <c r="C1352" s="65" t="str">
        <f>IFERROR(__xludf.DUMMYFUNCTION("""COMPUTED_VALUE"""),"13:55")</f>
        <v>13:55</v>
      </c>
      <c r="D1352" s="65" t="str">
        <f>IFERROR(__xludf.DUMMYFUNCTION("""COMPUTED_VALUE"""),"27-01-2026")</f>
        <v>27-01-2026</v>
      </c>
      <c r="E1352" s="65" t="str">
        <f>IFERROR(__xludf.DUMMYFUNCTION("""COMPUTED_VALUE"""),"Vicente Leon")</f>
        <v>Vicente Leon</v>
      </c>
      <c r="F1352" s="65" t="str">
        <f>IFERROR(__xludf.DUMMYFUNCTION("""COMPUTED_VALUE"""),"988896730")</f>
        <v>988896730</v>
      </c>
      <c r="G1352" s="65" t="str">
        <f>IFERROR(__xludf.DUMMYFUNCTION("""COMPUTED_VALUE"""),"vicent_pino.leon@hotmail.com")</f>
        <v>vicent_pino.leon@hotmail.com</v>
      </c>
      <c r="H1352" s="65"/>
      <c r="I1352" s="65"/>
      <c r="J1352" s="65"/>
      <c r="K1352" s="65" t="str">
        <f>IFERROR(__xludf.DUMMYFUNCTION("""COMPUTED_VALUE"""),"PENDIENTE CONFIRMACION")</f>
        <v>PENDIENTE CONFIRMACION</v>
      </c>
      <c r="L1352" s="65" t="str">
        <f>IFERROR(__xludf.DUMMYFUNCTION("""COMPUTED_VALUE"""),"CON RECAUDO")</f>
        <v>CON RECAUDO</v>
      </c>
      <c r="M1352" s="65" t="str">
        <f>IFERROR(__xludf.DUMMYFUNCTION("""COMPUTED_VALUE"""),"GUAYAS")</f>
        <v>GUAYAS</v>
      </c>
      <c r="N1352" s="65" t="str">
        <f>IFERROR(__xludf.DUMMYFUNCTION("""COMPUTED_VALUE"""),"GUAYAQUIL")</f>
        <v>GUAYAQUIL</v>
      </c>
      <c r="O1352" s="65" t="str">
        <f>IFERROR(__xludf.DUMMYFUNCTION("""COMPUTED_VALUE"""),"Servientrega calle 25 de julio")</f>
        <v>Servientrega calle 25 de julio</v>
      </c>
      <c r="P1352" s="65" t="str">
        <f>IFERROR(__xludf.DUMMYFUNCTION("""COMPUTED_VALUE"""),"LLAVE TRINQUETE: Default Title ***")</f>
        <v>LLAVE TRINQUETE: Default Title ***</v>
      </c>
      <c r="Q1352" s="65" t="str">
        <f>IFERROR(__xludf.DUMMYFUNCTION("""COMPUTED_VALUE"""),"GINTRACOM")</f>
        <v>GINTRACOM</v>
      </c>
      <c r="R1352" s="65">
        <f>IFERROR(__xludf.DUMMYFUNCTION("""COMPUTED_VALUE"""),21.99)</f>
        <v>21.99</v>
      </c>
      <c r="S1352" s="65"/>
      <c r="T1352" s="65">
        <f>IFERROR(__xludf.DUMMYFUNCTION("""COMPUTED_VALUE"""),5.84)</f>
        <v>5.84</v>
      </c>
      <c r="U1352" s="65">
        <f>IFERROR(__xludf.DUMMYFUNCTION("""COMPUTED_VALUE"""),0.0)</f>
        <v>0</v>
      </c>
      <c r="V1352" s="65">
        <f>IFERROR(__xludf.DUMMYFUNCTION("""COMPUTED_VALUE"""),0.0)</f>
        <v>0</v>
      </c>
      <c r="W1352" s="65">
        <f>IFERROR(__xludf.DUMMYFUNCTION("""COMPUTED_VALUE"""),0.0)</f>
        <v>0</v>
      </c>
      <c r="X1352" s="65">
        <f>IFERROR(__xludf.DUMMYFUNCTION("""COMPUTED_VALUE"""),5.0)</f>
        <v>5</v>
      </c>
      <c r="Y1352" s="65">
        <f>IFERROR(__xludf.DUMMYFUNCTION("""COMPUTED_VALUE"""),5.0)</f>
        <v>5</v>
      </c>
      <c r="Z1352" s="65">
        <f>IFERROR(__xludf.DUMMYFUNCTION("""COMPUTED_VALUE"""),110064.0)</f>
        <v>110064</v>
      </c>
      <c r="AA1352" s="65" t="str">
        <f>IFERROR(__xludf.DUMMYFUNCTION("""COMPUTED_VALUE"""),"IMX-00001")</f>
        <v>IMX-00001</v>
      </c>
      <c r="AB1352" s="65"/>
      <c r="AC1352" s="65" t="str">
        <f>IFERROR(__xludf.DUMMYFUNCTION("""COMPUTED_VALUE"""),"LLAVE TRINQUETE")</f>
        <v>LLAVE TRINQUETE</v>
      </c>
      <c r="AD1352" s="65"/>
      <c r="AE1352" s="65">
        <f>IFERROR(__xludf.DUMMYFUNCTION("""COMPUTED_VALUE"""),1.0)</f>
        <v>1</v>
      </c>
      <c r="AF1352" s="65"/>
      <c r="AG1352" s="65"/>
      <c r="AH1352" s="65"/>
      <c r="AI1352" s="65"/>
      <c r="AJ1352" s="65"/>
      <c r="AK1352" s="65"/>
      <c r="AL1352" s="65"/>
      <c r="AM1352" s="65"/>
      <c r="AN1352" s="65"/>
      <c r="AO1352" s="65"/>
      <c r="AP1352" s="65"/>
      <c r="AQ1352" s="65"/>
      <c r="AR1352" s="65"/>
      <c r="AS1352" s="65"/>
      <c r="AT1352" s="65" t="str">
        <f>IFERROR(__xludf.DUMMYFUNCTION("""COMPUTED_VALUE"""),"SHOPIFY")</f>
        <v>SHOPIFY</v>
      </c>
      <c r="AU1352" s="65" t="str">
        <f>IFERROR(__xludf.DUMMYFUNCTION("""COMPUTED_VALUE"""),"IMPORTEX EC")</f>
        <v>IMPORTEX EC</v>
      </c>
      <c r="AV1352" s="65" t="str">
        <f>IFERROR(__xludf.DUMMYFUNCTION("""COMPUTED_VALUE"""),"6451991248940")</f>
        <v>6451991248940</v>
      </c>
      <c r="AW1352" s="65">
        <f>IFERROR(__xludf.DUMMYFUNCTION("""COMPUTED_VALUE"""),5572.0)</f>
        <v>5572</v>
      </c>
      <c r="AX1352" s="65"/>
      <c r="AY1352" s="65"/>
      <c r="AZ1352" s="65"/>
      <c r="BA1352" s="65"/>
    </row>
    <row r="1353">
      <c r="A1353" s="65" t="str">
        <f>IFERROR(__xludf.DUMMYFUNCTION("""COMPUTED_VALUE"""),"27-03-2026")</f>
        <v>27-03-2026</v>
      </c>
      <c r="B1353" s="65">
        <f>IFERROR(__xludf.DUMMYFUNCTION("""COMPUTED_VALUE"""),4297081.0)</f>
        <v>4297081</v>
      </c>
      <c r="C1353" s="65" t="str">
        <f>IFERROR(__xludf.DUMMYFUNCTION("""COMPUTED_VALUE"""),"13:53")</f>
        <v>13:53</v>
      </c>
      <c r="D1353" s="65" t="str">
        <f>IFERROR(__xludf.DUMMYFUNCTION("""COMPUTED_VALUE"""),"27-01-2026")</f>
        <v>27-01-2026</v>
      </c>
      <c r="E1353" s="65" t="str">
        <f>IFERROR(__xludf.DUMMYFUNCTION("""COMPUTED_VALUE"""),"Sandra Vanessa Girón Camacho")</f>
        <v>Sandra Vanessa Girón Camacho</v>
      </c>
      <c r="F1353" s="65" t="str">
        <f>IFERROR(__xludf.DUMMYFUNCTION("""COMPUTED_VALUE"""),"986981417")</f>
        <v>986981417</v>
      </c>
      <c r="G1353" s="65" t="str">
        <f>IFERROR(__xludf.DUMMYFUNCTION("""COMPUTED_VALUE"""),"sandragironc88@gmail.com")</f>
        <v>sandragironc88@gmail.com</v>
      </c>
      <c r="H1353" s="65"/>
      <c r="I1353" s="65"/>
      <c r="J1353" s="65" t="str">
        <f>IFERROR(__xludf.DUMMYFUNCTION("""COMPUTED_VALUE"""),"D001276361")</f>
        <v>D001276361</v>
      </c>
      <c r="K1353" s="65" t="str">
        <f>IFERROR(__xludf.DUMMYFUNCTION("""COMPUTED_VALUE"""),"RECHAZADO")</f>
        <v>RECHAZADO</v>
      </c>
      <c r="L1353" s="65" t="str">
        <f>IFERROR(__xludf.DUMMYFUNCTION("""COMPUTED_VALUE"""),"CON RECAUDO")</f>
        <v>CON RECAUDO</v>
      </c>
      <c r="M1353" s="65" t="str">
        <f>IFERROR(__xludf.DUMMYFUNCTION("""COMPUTED_VALUE"""),"LOJA")</f>
        <v>LOJA</v>
      </c>
      <c r="N1353" s="65" t="str">
        <f>IFERROR(__xludf.DUMMYFUNCTION("""COMPUTED_VALUE"""),"LOJA")</f>
        <v>LOJA</v>
      </c>
      <c r="O1353" s="65" t="str">
        <f>IFERROR(__xludf.DUMMYFUNCTION("""COMPUTED_VALUE"""),"Parque central Parque central -")</f>
        <v>Parque central Parque central -</v>
      </c>
      <c r="P1353" s="65"/>
      <c r="Q1353" s="65" t="str">
        <f>IFERROR(__xludf.DUMMYFUNCTION("""COMPUTED_VALUE"""),"GINTRACOM")</f>
        <v>GINTRACOM</v>
      </c>
      <c r="R1353" s="65">
        <f>IFERROR(__xludf.DUMMYFUNCTION("""COMPUTED_VALUE"""),21.99)</f>
        <v>21.99</v>
      </c>
      <c r="S1353" s="65"/>
      <c r="T1353" s="65">
        <f>IFERROR(__xludf.DUMMYFUNCTION("""COMPUTED_VALUE"""),5.84)</f>
        <v>5.84</v>
      </c>
      <c r="U1353" s="65">
        <f>IFERROR(__xludf.DUMMYFUNCTION("""COMPUTED_VALUE"""),0.0)</f>
        <v>0</v>
      </c>
      <c r="V1353" s="65">
        <f>IFERROR(__xludf.DUMMYFUNCTION("""COMPUTED_VALUE"""),0.0)</f>
        <v>0</v>
      </c>
      <c r="W1353" s="65">
        <f>IFERROR(__xludf.DUMMYFUNCTION("""COMPUTED_VALUE"""),0.0)</f>
        <v>0</v>
      </c>
      <c r="X1353" s="65">
        <f>IFERROR(__xludf.DUMMYFUNCTION("""COMPUTED_VALUE"""),5.0)</f>
        <v>5</v>
      </c>
      <c r="Y1353" s="65">
        <f>IFERROR(__xludf.DUMMYFUNCTION("""COMPUTED_VALUE"""),5.0)</f>
        <v>5</v>
      </c>
      <c r="Z1353" s="65">
        <f>IFERROR(__xludf.DUMMYFUNCTION("""COMPUTED_VALUE"""),110064.0)</f>
        <v>110064</v>
      </c>
      <c r="AA1353" s="65" t="str">
        <f>IFERROR(__xludf.DUMMYFUNCTION("""COMPUTED_VALUE"""),"IMX-00001")</f>
        <v>IMX-00001</v>
      </c>
      <c r="AB1353" s="65"/>
      <c r="AC1353" s="65" t="str">
        <f>IFERROR(__xludf.DUMMYFUNCTION("""COMPUTED_VALUE"""),"LLAVE TRINQUETE")</f>
        <v>LLAVE TRINQUETE</v>
      </c>
      <c r="AD1353" s="65"/>
      <c r="AE1353" s="65">
        <f>IFERROR(__xludf.DUMMYFUNCTION("""COMPUTED_VALUE"""),1.0)</f>
        <v>1</v>
      </c>
      <c r="AF1353" s="65"/>
      <c r="AG1353" s="65"/>
      <c r="AH1353" s="65"/>
      <c r="AI1353" s="65"/>
      <c r="AJ1353" s="65"/>
      <c r="AK1353" s="65"/>
      <c r="AL1353" s="65"/>
      <c r="AM1353" s="65"/>
      <c r="AN1353" s="65"/>
      <c r="AO1353" s="65"/>
      <c r="AP1353" s="65"/>
      <c r="AQ1353" s="65"/>
      <c r="AR1353" s="65"/>
      <c r="AS1353" s="65"/>
      <c r="AT1353" s="65" t="str">
        <f>IFERROR(__xludf.DUMMYFUNCTION("""COMPUTED_VALUE"""),"SHOPIFY")</f>
        <v>SHOPIFY</v>
      </c>
      <c r="AU1353" s="65" t="str">
        <f>IFERROR(__xludf.DUMMYFUNCTION("""COMPUTED_VALUE"""),"IMPORTEX EC")</f>
        <v>IMPORTEX EC</v>
      </c>
      <c r="AV1353" s="65" t="str">
        <f>IFERROR(__xludf.DUMMYFUNCTION("""COMPUTED_VALUE"""),"6451986104364")</f>
        <v>6451986104364</v>
      </c>
      <c r="AW1353" s="65">
        <f>IFERROR(__xludf.DUMMYFUNCTION("""COMPUTED_VALUE"""),5571.0)</f>
        <v>5571</v>
      </c>
      <c r="AX1353" s="65"/>
      <c r="AY1353" s="65" t="str">
        <f>IFERROR(__xludf.DUMMYFUNCTION("""COMPUTED_VALUE"""),"30/01/2026")</f>
        <v>30/01/2026</v>
      </c>
      <c r="AZ1353" s="65"/>
      <c r="BA1353" s="65"/>
    </row>
    <row r="1354">
      <c r="A1354" s="65" t="str">
        <f>IFERROR(__xludf.DUMMYFUNCTION("""COMPUTED_VALUE"""),"27-03-2026")</f>
        <v>27-03-2026</v>
      </c>
      <c r="B1354" s="65">
        <f>IFERROR(__xludf.DUMMYFUNCTION("""COMPUTED_VALUE"""),4295947.0)</f>
        <v>4295947</v>
      </c>
      <c r="C1354" s="65" t="str">
        <f>IFERROR(__xludf.DUMMYFUNCTION("""COMPUTED_VALUE"""),"12:16")</f>
        <v>12:16</v>
      </c>
      <c r="D1354" s="65" t="str">
        <f>IFERROR(__xludf.DUMMYFUNCTION("""COMPUTED_VALUE"""),"27-01-2026")</f>
        <v>27-01-2026</v>
      </c>
      <c r="E1354" s="65" t="str">
        <f>IFERROR(__xludf.DUMMYFUNCTION("""COMPUTED_VALUE"""),"Fernando Gomez")</f>
        <v>Fernando Gomez</v>
      </c>
      <c r="F1354" s="65" t="str">
        <f>IFERROR(__xludf.DUMMYFUNCTION("""COMPUTED_VALUE"""),"984227258")</f>
        <v>984227258</v>
      </c>
      <c r="G1354" s="65" t="str">
        <f>IFERROR(__xludf.DUMMYFUNCTION("""COMPUTED_VALUE"""),"fergomez0157@hotmail.com")</f>
        <v>fergomez0157@hotmail.com</v>
      </c>
      <c r="H1354" s="65"/>
      <c r="I1354" s="65"/>
      <c r="J1354" s="65" t="str">
        <f>IFERROR(__xludf.DUMMYFUNCTION("""COMPUTED_VALUE"""),"D001276362")</f>
        <v>D001276362</v>
      </c>
      <c r="K1354" s="65" t="str">
        <f>IFERROR(__xludf.DUMMYFUNCTION("""COMPUTED_VALUE"""),"ENTREGADO")</f>
        <v>ENTREGADO</v>
      </c>
      <c r="L1354" s="65" t="str">
        <f>IFERROR(__xludf.DUMMYFUNCTION("""COMPUTED_VALUE"""),"CON RECAUDO")</f>
        <v>CON RECAUDO</v>
      </c>
      <c r="M1354" s="65" t="str">
        <f>IFERROR(__xludf.DUMMYFUNCTION("""COMPUTED_VALUE"""),"NAPO")</f>
        <v>NAPO</v>
      </c>
      <c r="N1354" s="65" t="str">
        <f>IFERROR(__xludf.DUMMYFUNCTION("""COMPUTED_VALUE"""),"TENA")</f>
        <v>TENA</v>
      </c>
      <c r="O1354" s="65" t="str">
        <f>IFERROR(__xludf.DUMMYFUNCTION("""COMPUTED_VALUE"""),"Barrio gil ramitez davalos y av 15 de noviembre y calle tena -")</f>
        <v>Barrio gil ramitez davalos y av 15 de noviembre y calle tena -</v>
      </c>
      <c r="P1354" s="65"/>
      <c r="Q1354" s="65" t="str">
        <f>IFERROR(__xludf.DUMMYFUNCTION("""COMPUTED_VALUE"""),"GINTRACOM")</f>
        <v>GINTRACOM</v>
      </c>
      <c r="R1354" s="65">
        <f>IFERROR(__xludf.DUMMYFUNCTION("""COMPUTED_VALUE"""),32.0)</f>
        <v>32</v>
      </c>
      <c r="S1354" s="65">
        <f>IFERROR(__xludf.DUMMYFUNCTION("""COMPUTED_VALUE"""),15.76)</f>
        <v>15.76</v>
      </c>
      <c r="T1354" s="65">
        <f>IFERROR(__xludf.DUMMYFUNCTION("""COMPUTED_VALUE"""),6.24)</f>
        <v>6.24</v>
      </c>
      <c r="U1354" s="65">
        <f>IFERROR(__xludf.DUMMYFUNCTION("""COMPUTED_VALUE"""),0.0)</f>
        <v>0</v>
      </c>
      <c r="V1354" s="65">
        <f>IFERROR(__xludf.DUMMYFUNCTION("""COMPUTED_VALUE"""),0.0)</f>
        <v>0</v>
      </c>
      <c r="W1354" s="65">
        <f>IFERROR(__xludf.DUMMYFUNCTION("""COMPUTED_VALUE"""),0.0)</f>
        <v>0</v>
      </c>
      <c r="X1354" s="65">
        <f>IFERROR(__xludf.DUMMYFUNCTION("""COMPUTED_VALUE"""),5.0)</f>
        <v>5</v>
      </c>
      <c r="Y1354" s="65">
        <f>IFERROR(__xludf.DUMMYFUNCTION("""COMPUTED_VALUE"""),10.0)</f>
        <v>10</v>
      </c>
      <c r="Z1354" s="65">
        <f>IFERROR(__xludf.DUMMYFUNCTION("""COMPUTED_VALUE"""),110064.0)</f>
        <v>110064</v>
      </c>
      <c r="AA1354" s="65" t="str">
        <f>IFERROR(__xludf.DUMMYFUNCTION("""COMPUTED_VALUE"""),"IMX-00001")</f>
        <v>IMX-00001</v>
      </c>
      <c r="AB1354" s="65"/>
      <c r="AC1354" s="65" t="str">
        <f>IFERROR(__xludf.DUMMYFUNCTION("""COMPUTED_VALUE"""),"LLAVE TRINQUETE")</f>
        <v>LLAVE TRINQUETE</v>
      </c>
      <c r="AD1354" s="65"/>
      <c r="AE1354" s="65">
        <f>IFERROR(__xludf.DUMMYFUNCTION("""COMPUTED_VALUE"""),2.0)</f>
        <v>2</v>
      </c>
      <c r="AF1354" s="65" t="str">
        <f>IFERROR(__xludf.DUMMYFUNCTION("""COMPUTED_VALUE"""),"DESTINATARIO NO CONTESTA LLAMADAS NI WHATSAPP")</f>
        <v>DESTINATARIO NO CONTESTA LLAMADAS NI WHATSAPP</v>
      </c>
      <c r="AG1354" s="65" t="str">
        <f>IFERROR(__xludf.DUMMYFUNCTION("""COMPUTED_VALUE"""),"NO")</f>
        <v>NO</v>
      </c>
      <c r="AH1354" s="65" t="str">
        <f>IFERROR(__xludf.DUMMYFUNCTION("""COMPUTED_VALUE"""),"15:48")</f>
        <v>15:48</v>
      </c>
      <c r="AI1354" s="65" t="str">
        <f>IFERROR(__xludf.DUMMYFUNCTION("""COMPUTED_VALUE"""),"31-01-2026")</f>
        <v>31-01-2026</v>
      </c>
      <c r="AJ1354" s="65"/>
      <c r="AK1354" s="65"/>
      <c r="AL1354" s="65"/>
      <c r="AM1354" s="65"/>
      <c r="AN1354" s="65"/>
      <c r="AO1354" s="65"/>
      <c r="AP1354" s="65"/>
      <c r="AQ1354" s="65"/>
      <c r="AR1354" s="65"/>
      <c r="AS1354" s="65"/>
      <c r="AT1354" s="65" t="str">
        <f>IFERROR(__xludf.DUMMYFUNCTION("""COMPUTED_VALUE"""),"SHOPIFY")</f>
        <v>SHOPIFY</v>
      </c>
      <c r="AU1354" s="65" t="str">
        <f>IFERROR(__xludf.DUMMYFUNCTION("""COMPUTED_VALUE"""),"IMPORTEX EC")</f>
        <v>IMPORTEX EC</v>
      </c>
      <c r="AV1354" s="65" t="str">
        <f>IFERROR(__xludf.DUMMYFUNCTION("""COMPUTED_VALUE"""),"6451759546412")</f>
        <v>6451759546412</v>
      </c>
      <c r="AW1354" s="65">
        <f>IFERROR(__xludf.DUMMYFUNCTION("""COMPUTED_VALUE"""),5570.0)</f>
        <v>5570</v>
      </c>
      <c r="AX1354" s="65"/>
      <c r="AY1354" s="65" t="str">
        <f>IFERROR(__xludf.DUMMYFUNCTION("""COMPUTED_VALUE"""),"30/01/2026")</f>
        <v>30/01/2026</v>
      </c>
      <c r="AZ1354" s="65"/>
      <c r="BA1354" s="65"/>
    </row>
    <row r="1355">
      <c r="A1355" s="65" t="str">
        <f>IFERROR(__xludf.DUMMYFUNCTION("""COMPUTED_VALUE"""),"27-03-2026")</f>
        <v>27-03-2026</v>
      </c>
      <c r="B1355" s="65">
        <f>IFERROR(__xludf.DUMMYFUNCTION("""COMPUTED_VALUE"""),4294997.0)</f>
        <v>4294997</v>
      </c>
      <c r="C1355" s="65" t="str">
        <f>IFERROR(__xludf.DUMMYFUNCTION("""COMPUTED_VALUE"""),"11:00")</f>
        <v>11:00</v>
      </c>
      <c r="D1355" s="65" t="str">
        <f>IFERROR(__xludf.DUMMYFUNCTION("""COMPUTED_VALUE"""),"27-01-2026")</f>
        <v>27-01-2026</v>
      </c>
      <c r="E1355" s="65" t="str">
        <f>IFERROR(__xludf.DUMMYFUNCTION("""COMPUTED_VALUE"""),"Marcos Ochoa")</f>
        <v>Marcos Ochoa</v>
      </c>
      <c r="F1355" s="65" t="str">
        <f>IFERROR(__xludf.DUMMYFUNCTION("""COMPUTED_VALUE"""),"994971216")</f>
        <v>994971216</v>
      </c>
      <c r="G1355" s="65" t="str">
        <f>IFERROR(__xludf.DUMMYFUNCTION("""COMPUTED_VALUE"""),"mochoasoto@yahoo.es")</f>
        <v>mochoasoto@yahoo.es</v>
      </c>
      <c r="H1355" s="65"/>
      <c r="I1355" s="65"/>
      <c r="J1355" s="65" t="str">
        <f>IFERROR(__xludf.DUMMYFUNCTION("""COMPUTED_VALUE"""),"D001269820")</f>
        <v>D001269820</v>
      </c>
      <c r="K1355" s="65" t="str">
        <f>IFERROR(__xludf.DUMMYFUNCTION("""COMPUTED_VALUE"""),"ENTREGADO")</f>
        <v>ENTREGADO</v>
      </c>
      <c r="L1355" s="65" t="str">
        <f>IFERROR(__xludf.DUMMYFUNCTION("""COMPUTED_VALUE"""),"CON RECAUDO")</f>
        <v>CON RECAUDO</v>
      </c>
      <c r="M1355" s="65" t="str">
        <f>IFERROR(__xludf.DUMMYFUNCTION("""COMPUTED_VALUE"""),"IMBABURA")</f>
        <v>IMBABURA</v>
      </c>
      <c r="N1355" s="65" t="str">
        <f>IFERROR(__xludf.DUMMYFUNCTION("""COMPUTED_VALUE"""),"IBARRA")</f>
        <v>IBARRA</v>
      </c>
      <c r="O1355" s="65" t="str">
        <f>IFERROR(__xludf.DUMMYFUNCTION("""COMPUTED_VALUE"""),"Av.El Retorno 8-41 Frente al Tuti Ciudadela Los Ceibos -")</f>
        <v>Av.El Retorno 8-41 Frente al Tuti Ciudadela Los Ceibos -</v>
      </c>
      <c r="P1355" s="65"/>
      <c r="Q1355" s="65" t="str">
        <f>IFERROR(__xludf.DUMMYFUNCTION("""COMPUTED_VALUE"""),"GINTRACOM")</f>
        <v>GINTRACOM</v>
      </c>
      <c r="R1355" s="65">
        <f>IFERROR(__xludf.DUMMYFUNCTION("""COMPUTED_VALUE"""),21.99)</f>
        <v>21.99</v>
      </c>
      <c r="S1355" s="65">
        <f>IFERROR(__xludf.DUMMYFUNCTION("""COMPUTED_VALUE"""),11.15)</f>
        <v>11.15</v>
      </c>
      <c r="T1355" s="65">
        <f>IFERROR(__xludf.DUMMYFUNCTION("""COMPUTED_VALUE"""),5.84)</f>
        <v>5.84</v>
      </c>
      <c r="U1355" s="65">
        <f>IFERROR(__xludf.DUMMYFUNCTION("""COMPUTED_VALUE"""),0.0)</f>
        <v>0</v>
      </c>
      <c r="V1355" s="65">
        <f>IFERROR(__xludf.DUMMYFUNCTION("""COMPUTED_VALUE"""),0.0)</f>
        <v>0</v>
      </c>
      <c r="W1355" s="65">
        <f>IFERROR(__xludf.DUMMYFUNCTION("""COMPUTED_VALUE"""),0.0)</f>
        <v>0</v>
      </c>
      <c r="X1355" s="65">
        <f>IFERROR(__xludf.DUMMYFUNCTION("""COMPUTED_VALUE"""),5.0)</f>
        <v>5</v>
      </c>
      <c r="Y1355" s="65">
        <f>IFERROR(__xludf.DUMMYFUNCTION("""COMPUTED_VALUE"""),5.0)</f>
        <v>5</v>
      </c>
      <c r="Z1355" s="65">
        <f>IFERROR(__xludf.DUMMYFUNCTION("""COMPUTED_VALUE"""),110064.0)</f>
        <v>110064</v>
      </c>
      <c r="AA1355" s="65" t="str">
        <f>IFERROR(__xludf.DUMMYFUNCTION("""COMPUTED_VALUE"""),"IMX-00001")</f>
        <v>IMX-00001</v>
      </c>
      <c r="AB1355" s="65"/>
      <c r="AC1355" s="65" t="str">
        <f>IFERROR(__xludf.DUMMYFUNCTION("""COMPUTED_VALUE"""),"LLAVE TRINQUETE")</f>
        <v>LLAVE TRINQUETE</v>
      </c>
      <c r="AD1355" s="65"/>
      <c r="AE1355" s="65">
        <f>IFERROR(__xludf.DUMMYFUNCTION("""COMPUTED_VALUE"""),1.0)</f>
        <v>1</v>
      </c>
      <c r="AF1355" s="65"/>
      <c r="AG1355" s="65"/>
      <c r="AH1355" s="65"/>
      <c r="AI1355" s="65"/>
      <c r="AJ1355" s="65"/>
      <c r="AK1355" s="65"/>
      <c r="AL1355" s="65"/>
      <c r="AM1355" s="65"/>
      <c r="AN1355" s="65"/>
      <c r="AO1355" s="65"/>
      <c r="AP1355" s="65"/>
      <c r="AQ1355" s="65"/>
      <c r="AR1355" s="65"/>
      <c r="AS1355" s="65"/>
      <c r="AT1355" s="65" t="str">
        <f>IFERROR(__xludf.DUMMYFUNCTION("""COMPUTED_VALUE"""),"SHOPIFY")</f>
        <v>SHOPIFY</v>
      </c>
      <c r="AU1355" s="65" t="str">
        <f>IFERROR(__xludf.DUMMYFUNCTION("""COMPUTED_VALUE"""),"IMPORTEX EC")</f>
        <v>IMPORTEX EC</v>
      </c>
      <c r="AV1355" s="65" t="str">
        <f>IFERROR(__xludf.DUMMYFUNCTION("""COMPUTED_VALUE"""),"6451595706412")</f>
        <v>6451595706412</v>
      </c>
      <c r="AW1355" s="65">
        <f>IFERROR(__xludf.DUMMYFUNCTION("""COMPUTED_VALUE"""),5569.0)</f>
        <v>5569</v>
      </c>
      <c r="AX1355" s="65"/>
      <c r="AY1355" s="65" t="str">
        <f>IFERROR(__xludf.DUMMYFUNCTION("""COMPUTED_VALUE"""),"28/01/2026")</f>
        <v>28/01/2026</v>
      </c>
      <c r="AZ1355" s="65"/>
      <c r="BA1355" s="65"/>
    </row>
    <row r="1356">
      <c r="A1356" s="65" t="str">
        <f>IFERROR(__xludf.DUMMYFUNCTION("""COMPUTED_VALUE"""),"27-03-2026")</f>
        <v>27-03-2026</v>
      </c>
      <c r="B1356" s="65">
        <f>IFERROR(__xludf.DUMMYFUNCTION("""COMPUTED_VALUE"""),4294360.0)</f>
        <v>4294360</v>
      </c>
      <c r="C1356" s="65" t="str">
        <f>IFERROR(__xludf.DUMMYFUNCTION("""COMPUTED_VALUE"""),"10:12")</f>
        <v>10:12</v>
      </c>
      <c r="D1356" s="65" t="str">
        <f>IFERROR(__xludf.DUMMYFUNCTION("""COMPUTED_VALUE"""),"27-01-2026")</f>
        <v>27-01-2026</v>
      </c>
      <c r="E1356" s="65" t="str">
        <f>IFERROR(__xludf.DUMMYFUNCTION("""COMPUTED_VALUE"""),"Carlos Zúñiga Zuñiga")</f>
        <v>Carlos Zúñiga Zuñiga</v>
      </c>
      <c r="F1356" s="65" t="str">
        <f>IFERROR(__xludf.DUMMYFUNCTION("""COMPUTED_VALUE"""),"995023410")</f>
        <v>995023410</v>
      </c>
      <c r="G1356" s="65"/>
      <c r="H1356" s="65"/>
      <c r="I1356" s="65"/>
      <c r="J1356" s="65" t="str">
        <f>IFERROR(__xludf.DUMMYFUNCTION("""COMPUTED_VALUE"""),"D001270128")</f>
        <v>D001270128</v>
      </c>
      <c r="K1356" s="65" t="str">
        <f>IFERROR(__xludf.DUMMYFUNCTION("""COMPUTED_VALUE"""),"DEVOLUCION")</f>
        <v>DEVOLUCION</v>
      </c>
      <c r="L1356" s="65" t="str">
        <f>IFERROR(__xludf.DUMMYFUNCTION("""COMPUTED_VALUE"""),"CON RECAUDO")</f>
        <v>CON RECAUDO</v>
      </c>
      <c r="M1356" s="65" t="str">
        <f>IFERROR(__xludf.DUMMYFUNCTION("""COMPUTED_VALUE"""),"MANABI")</f>
        <v>MANABI</v>
      </c>
      <c r="N1356" s="65" t="str">
        <f>IFERROR(__xludf.DUMMYFUNCTION("""COMPUTED_VALUE"""),"MANTA")</f>
        <v>MANTA</v>
      </c>
      <c r="O1356" s="65" t="str">
        <f>IFERROR(__xludf.DUMMYFUNCTION("""COMPUTED_VALUE"""),"Barrio Jocay - Calle J3 y Calle J14")</f>
        <v>Barrio Jocay - Calle J3 y Calle J14</v>
      </c>
      <c r="P1356" s="65"/>
      <c r="Q1356" s="65" t="str">
        <f>IFERROR(__xludf.DUMMYFUNCTION("""COMPUTED_VALUE"""),"GINTRACOM")</f>
        <v>GINTRACOM</v>
      </c>
      <c r="R1356" s="65">
        <f>IFERROR(__xludf.DUMMYFUNCTION("""COMPUTED_VALUE"""),20.0)</f>
        <v>20</v>
      </c>
      <c r="S1356" s="65"/>
      <c r="T1356" s="65">
        <f>IFERROR(__xludf.DUMMYFUNCTION("""COMPUTED_VALUE"""),5.76)</f>
        <v>5.76</v>
      </c>
      <c r="U1356" s="65">
        <f>IFERROR(__xludf.DUMMYFUNCTION("""COMPUTED_VALUE"""),0.0)</f>
        <v>0</v>
      </c>
      <c r="V1356" s="65">
        <f>IFERROR(__xludf.DUMMYFUNCTION("""COMPUTED_VALUE"""),0.0)</f>
        <v>0</v>
      </c>
      <c r="W1356" s="65">
        <f>IFERROR(__xludf.DUMMYFUNCTION("""COMPUTED_VALUE"""),0.0)</f>
        <v>0</v>
      </c>
      <c r="X1356" s="65">
        <f>IFERROR(__xludf.DUMMYFUNCTION("""COMPUTED_VALUE"""),2.35)</f>
        <v>2.35</v>
      </c>
      <c r="Y1356" s="65">
        <f>IFERROR(__xludf.DUMMYFUNCTION("""COMPUTED_VALUE"""),2.35)</f>
        <v>2.35</v>
      </c>
      <c r="Z1356" s="65">
        <f>IFERROR(__xludf.DUMMYFUNCTION("""COMPUTED_VALUE"""),116679.0)</f>
        <v>116679</v>
      </c>
      <c r="AA1356" s="65" t="str">
        <f>IFERROR(__xludf.DUMMYFUNCTION("""COMPUTED_VALUE"""),"AMC-2738")</f>
        <v>AMC-2738</v>
      </c>
      <c r="AB1356" s="65"/>
      <c r="AC1356" s="65" t="str">
        <f>IFERROR(__xludf.DUMMYFUNCTION("""COMPUTED_VALUE"""),"ESPONJA ANTILLUVIA DE PARABRISAS")</f>
        <v>ESPONJA ANTILLUVIA DE PARABRISAS</v>
      </c>
      <c r="AD1356" s="65"/>
      <c r="AE1356" s="65">
        <f>IFERROR(__xludf.DUMMYFUNCTION("""COMPUTED_VALUE"""),1.0)</f>
        <v>1</v>
      </c>
      <c r="AF1356" s="65" t="str">
        <f>IFERROR(__xludf.DUMMYFUNCTION("""COMPUTED_VALUE"""),"DESTINATARIO NO CONTESTA LLAMADAS NI WHATSAPP")</f>
        <v>DESTINATARIO NO CONTESTA LLAMADAS NI WHATSAPP</v>
      </c>
      <c r="AG1356" s="65" t="str">
        <f>IFERROR(__xludf.DUMMYFUNCTION("""COMPUTED_VALUE"""),"NO")</f>
        <v>NO</v>
      </c>
      <c r="AH1356" s="65" t="str">
        <f>IFERROR(__xludf.DUMMYFUNCTION("""COMPUTED_VALUE"""),"09:00")</f>
        <v>09:00</v>
      </c>
      <c r="AI1356" s="65" t="str">
        <f>IFERROR(__xludf.DUMMYFUNCTION("""COMPUTED_VALUE"""),"07-02-2026")</f>
        <v>07-02-2026</v>
      </c>
      <c r="AJ1356" s="65"/>
      <c r="AK1356" s="65"/>
      <c r="AL1356" s="65"/>
      <c r="AM1356" s="65"/>
      <c r="AN1356" s="65" t="str">
        <f>IFERROR(__xludf.DUMMYFUNCTION("""COMPUTED_VALUE"""),"15:47")</f>
        <v>15:47</v>
      </c>
      <c r="AO1356" s="65" t="str">
        <f>IFERROR(__xludf.DUMMYFUNCTION("""COMPUTED_VALUE"""),"02-03-2026")</f>
        <v>02-03-2026</v>
      </c>
      <c r="AP1356" s="65" t="str">
        <f>IFERROR(__xludf.DUMMYFUNCTION("""COMPUTED_VALUE"""),"DEVOLUCIÓN ENTREGADA A ORIGEN")</f>
        <v>DEVOLUCIÓN ENTREGADA A ORIGEN</v>
      </c>
      <c r="AQ1356" s="65" t="str">
        <f>IFERROR(__xludf.DUMMYFUNCTION("""COMPUTED_VALUE"""),"DEVOLUCIÓN ENTREGADA A ORIGEN")</f>
        <v>DEVOLUCIÓN ENTREGADA A ORIGEN</v>
      </c>
      <c r="AR1356" s="65"/>
      <c r="AS1356" s="65"/>
      <c r="AT1356" s="65" t="str">
        <f>IFERROR(__xludf.DUMMYFUNCTION("""COMPUTED_VALUE"""),"CHATEA PRO")</f>
        <v>CHATEA PRO</v>
      </c>
      <c r="AU1356" s="65" t="str">
        <f>IFERROR(__xludf.DUMMYFUNCTION("""COMPUTED_VALUE"""),"CHATEA PRO")</f>
        <v>CHATEA PRO</v>
      </c>
      <c r="AV1356" s="65"/>
      <c r="AW1356" s="65"/>
      <c r="AX1356" s="65"/>
      <c r="AY1356" s="65" t="str">
        <f>IFERROR(__xludf.DUMMYFUNCTION("""COMPUTED_VALUE"""),"28/01/2026")</f>
        <v>28/01/2026</v>
      </c>
      <c r="AZ1356" s="65"/>
      <c r="BA1356" s="65"/>
    </row>
    <row r="1357">
      <c r="A1357" s="65" t="str">
        <f>IFERROR(__xludf.DUMMYFUNCTION("""COMPUTED_VALUE"""),"27-03-2026")</f>
        <v>27-03-2026</v>
      </c>
      <c r="B1357" s="65">
        <f>IFERROR(__xludf.DUMMYFUNCTION("""COMPUTED_VALUE"""),4294228.0)</f>
        <v>4294228</v>
      </c>
      <c r="C1357" s="65" t="str">
        <f>IFERROR(__xludf.DUMMYFUNCTION("""COMPUTED_VALUE"""),"10:02")</f>
        <v>10:02</v>
      </c>
      <c r="D1357" s="65" t="str">
        <f>IFERROR(__xludf.DUMMYFUNCTION("""COMPUTED_VALUE"""),"27-01-2026")</f>
        <v>27-01-2026</v>
      </c>
      <c r="E1357" s="65" t="str">
        <f>IFERROR(__xludf.DUMMYFUNCTION("""COMPUTED_VALUE"""),"Andres Collaguazo")</f>
        <v>Andres Collaguazo</v>
      </c>
      <c r="F1357" s="65" t="str">
        <f>IFERROR(__xludf.DUMMYFUNCTION("""COMPUTED_VALUE"""),"988065581")</f>
        <v>988065581</v>
      </c>
      <c r="G1357" s="65" t="str">
        <f>IFERROR(__xludf.DUMMYFUNCTION("""COMPUTED_VALUE"""),"andrescolly11@gmail.com")</f>
        <v>andrescolly11@gmail.com</v>
      </c>
      <c r="H1357" s="65"/>
      <c r="I1357" s="65"/>
      <c r="J1357" s="65"/>
      <c r="K1357" s="65" t="str">
        <f>IFERROR(__xludf.DUMMYFUNCTION("""COMPUTED_VALUE"""),"PENDIENTE CONFIRMACION")</f>
        <v>PENDIENTE CONFIRMACION</v>
      </c>
      <c r="L1357" s="65" t="str">
        <f>IFERROR(__xludf.DUMMYFUNCTION("""COMPUTED_VALUE"""),"CON RECAUDO")</f>
        <v>CON RECAUDO</v>
      </c>
      <c r="M1357" s="65" t="str">
        <f>IFERROR(__xludf.DUMMYFUNCTION("""COMPUTED_VALUE"""),"PICHINCHA")</f>
        <v>PICHINCHA</v>
      </c>
      <c r="N1357" s="65" t="str">
        <f>IFERROR(__xludf.DUMMYFUNCTION("""COMPUTED_VALUE"""),"QUITO")</f>
        <v>QUITO</v>
      </c>
      <c r="O1357" s="65" t="str">
        <f>IFERROR(__xludf.DUMMYFUNCTION("""COMPUTED_VALUE"""),"La Pulida Oe9B N54-26 y Jorge Piedra COCHAPAMBA - Sector La Pulida junto al Tuti -")</f>
        <v>La Pulida Oe9B N54-26 y Jorge Piedra COCHAPAMBA - Sector La Pulida junto al Tuti -</v>
      </c>
      <c r="P1357" s="65"/>
      <c r="Q1357" s="65" t="str">
        <f>IFERROR(__xludf.DUMMYFUNCTION("""COMPUTED_VALUE"""),"GINTRACOM")</f>
        <v>GINTRACOM</v>
      </c>
      <c r="R1357" s="65">
        <f>IFERROR(__xludf.DUMMYFUNCTION("""COMPUTED_VALUE"""),30.0)</f>
        <v>30</v>
      </c>
      <c r="S1357" s="65"/>
      <c r="T1357" s="65">
        <f>IFERROR(__xludf.DUMMYFUNCTION("""COMPUTED_VALUE"""),4.55)</f>
        <v>4.55</v>
      </c>
      <c r="U1357" s="65">
        <f>IFERROR(__xludf.DUMMYFUNCTION("""COMPUTED_VALUE"""),0.0)</f>
        <v>0</v>
      </c>
      <c r="V1357" s="65">
        <f>IFERROR(__xludf.DUMMYFUNCTION("""COMPUTED_VALUE"""),0.0)</f>
        <v>0</v>
      </c>
      <c r="W1357" s="65">
        <f>IFERROR(__xludf.DUMMYFUNCTION("""COMPUTED_VALUE"""),0.0)</f>
        <v>0</v>
      </c>
      <c r="X1357" s="65">
        <f>IFERROR(__xludf.DUMMYFUNCTION("""COMPUTED_VALUE"""),2.35)</f>
        <v>2.35</v>
      </c>
      <c r="Y1357" s="65">
        <f>IFERROR(__xludf.DUMMYFUNCTION("""COMPUTED_VALUE"""),7.05)</f>
        <v>7.05</v>
      </c>
      <c r="Z1357" s="65">
        <f>IFERROR(__xludf.DUMMYFUNCTION("""COMPUTED_VALUE"""),116679.0)</f>
        <v>116679</v>
      </c>
      <c r="AA1357" s="65" t="str">
        <f>IFERROR(__xludf.DUMMYFUNCTION("""COMPUTED_VALUE"""),"AMC-2738")</f>
        <v>AMC-2738</v>
      </c>
      <c r="AB1357" s="65"/>
      <c r="AC1357" s="65" t="str">
        <f>IFERROR(__xludf.DUMMYFUNCTION("""COMPUTED_VALUE"""),"ESPONJA ANTILLUVIA DE PARABRISAS")</f>
        <v>ESPONJA ANTILLUVIA DE PARABRISAS</v>
      </c>
      <c r="AD1357" s="65"/>
      <c r="AE1357" s="65">
        <f>IFERROR(__xludf.DUMMYFUNCTION("""COMPUTED_VALUE"""),3.0)</f>
        <v>3</v>
      </c>
      <c r="AF1357" s="65"/>
      <c r="AG1357" s="65"/>
      <c r="AH1357" s="65"/>
      <c r="AI1357" s="65"/>
      <c r="AJ1357" s="65"/>
      <c r="AK1357" s="65"/>
      <c r="AL1357" s="65"/>
      <c r="AM1357" s="65"/>
      <c r="AN1357" s="65"/>
      <c r="AO1357" s="65"/>
      <c r="AP1357" s="65"/>
      <c r="AQ1357" s="65"/>
      <c r="AR1357" s="65"/>
      <c r="AS1357" s="65"/>
      <c r="AT1357" s="65" t="str">
        <f>IFERROR(__xludf.DUMMYFUNCTION("""COMPUTED_VALUE"""),"SHOPIFY")</f>
        <v>SHOPIFY</v>
      </c>
      <c r="AU1357" s="65" t="str">
        <f>IFERROR(__xludf.DUMMYFUNCTION("""COMPUTED_VALUE"""),"IMPORTEX EC")</f>
        <v>IMPORTEX EC</v>
      </c>
      <c r="AV1357" s="65" t="str">
        <f>IFERROR(__xludf.DUMMYFUNCTION("""COMPUTED_VALUE"""),"6445954007084")</f>
        <v>6445954007084</v>
      </c>
      <c r="AW1357" s="65">
        <f>IFERROR(__xludf.DUMMYFUNCTION("""COMPUTED_VALUE"""),5496.0)</f>
        <v>5496</v>
      </c>
      <c r="AX1357" s="65"/>
      <c r="AY1357" s="65"/>
      <c r="AZ1357" s="65"/>
      <c r="BA1357" s="65"/>
    </row>
    <row r="1358">
      <c r="A1358" s="65" t="str">
        <f>IFERROR(__xludf.DUMMYFUNCTION("""COMPUTED_VALUE"""),"27-03-2026")</f>
        <v>27-03-2026</v>
      </c>
      <c r="B1358" s="65">
        <f>IFERROR(__xludf.DUMMYFUNCTION("""COMPUTED_VALUE"""),4294182.0)</f>
        <v>4294182</v>
      </c>
      <c r="C1358" s="65" t="str">
        <f>IFERROR(__xludf.DUMMYFUNCTION("""COMPUTED_VALUE"""),"09:59")</f>
        <v>09:59</v>
      </c>
      <c r="D1358" s="65" t="str">
        <f>IFERROR(__xludf.DUMMYFUNCTION("""COMPUTED_VALUE"""),"27-01-2026")</f>
        <v>27-01-2026</v>
      </c>
      <c r="E1358" s="65" t="str">
        <f>IFERROR(__xludf.DUMMYFUNCTION("""COMPUTED_VALUE"""),"Sandra Farfán")</f>
        <v>Sandra Farfán</v>
      </c>
      <c r="F1358" s="65" t="str">
        <f>IFERROR(__xludf.DUMMYFUNCTION("""COMPUTED_VALUE"""),"960522736")</f>
        <v>960522736</v>
      </c>
      <c r="G1358" s="65"/>
      <c r="H1358" s="65"/>
      <c r="I1358" s="65"/>
      <c r="J1358" s="65" t="str">
        <f>IFERROR(__xludf.DUMMYFUNCTION("""COMPUTED_VALUE"""),"D001270129")</f>
        <v>D001270129</v>
      </c>
      <c r="K1358" s="65" t="str">
        <f>IFERROR(__xludf.DUMMYFUNCTION("""COMPUTED_VALUE"""),"ENTREGADO")</f>
        <v>ENTREGADO</v>
      </c>
      <c r="L1358" s="65" t="str">
        <f>IFERROR(__xludf.DUMMYFUNCTION("""COMPUTED_VALUE"""),"CON RECAUDO")</f>
        <v>CON RECAUDO</v>
      </c>
      <c r="M1358" s="65" t="str">
        <f>IFERROR(__xludf.DUMMYFUNCTION("""COMPUTED_VALUE"""),"GUAYAS")</f>
        <v>GUAYAS</v>
      </c>
      <c r="N1358" s="65" t="str">
        <f>IFERROR(__xludf.DUMMYFUNCTION("""COMPUTED_VALUE"""),"DAULE")</f>
        <v>DAULE</v>
      </c>
      <c r="O1358" s="65" t="str">
        <f>IFERROR(__xludf.DUMMYFUNCTION("""COMPUTED_VALUE"""),"Av principal Villaclub y Floresmilo Vargas Etapa Jupiter mz 11 villa 22")</f>
        <v>Av principal Villaclub y Floresmilo Vargas Etapa Jupiter mz 11 villa 22</v>
      </c>
      <c r="P1358" s="65"/>
      <c r="Q1358" s="65" t="str">
        <f>IFERROR(__xludf.DUMMYFUNCTION("""COMPUTED_VALUE"""),"GINTRACOM")</f>
        <v>GINTRACOM</v>
      </c>
      <c r="R1358" s="65">
        <f>IFERROR(__xludf.DUMMYFUNCTION("""COMPUTED_VALUE"""),25.0)</f>
        <v>25</v>
      </c>
      <c r="S1358" s="65">
        <f>IFERROR(__xludf.DUMMYFUNCTION("""COMPUTED_VALUE"""),14.34)</f>
        <v>14.34</v>
      </c>
      <c r="T1358" s="65">
        <f>IFERROR(__xludf.DUMMYFUNCTION("""COMPUTED_VALUE"""),5.96)</f>
        <v>5.96</v>
      </c>
      <c r="U1358" s="65">
        <f>IFERROR(__xludf.DUMMYFUNCTION("""COMPUTED_VALUE"""),0.0)</f>
        <v>0</v>
      </c>
      <c r="V1358" s="65">
        <f>IFERROR(__xludf.DUMMYFUNCTION("""COMPUTED_VALUE"""),0.0)</f>
        <v>0</v>
      </c>
      <c r="W1358" s="65">
        <f>IFERROR(__xludf.DUMMYFUNCTION("""COMPUTED_VALUE"""),0.0)</f>
        <v>0</v>
      </c>
      <c r="X1358" s="65">
        <f>IFERROR(__xludf.DUMMYFUNCTION("""COMPUTED_VALUE"""),2.35)</f>
        <v>2.35</v>
      </c>
      <c r="Y1358" s="65">
        <f>IFERROR(__xludf.DUMMYFUNCTION("""COMPUTED_VALUE"""),4.7)</f>
        <v>4.7</v>
      </c>
      <c r="Z1358" s="65">
        <f>IFERROR(__xludf.DUMMYFUNCTION("""COMPUTED_VALUE"""),116679.0)</f>
        <v>116679</v>
      </c>
      <c r="AA1358" s="65" t="str">
        <f>IFERROR(__xludf.DUMMYFUNCTION("""COMPUTED_VALUE"""),"AMC-2738")</f>
        <v>AMC-2738</v>
      </c>
      <c r="AB1358" s="65"/>
      <c r="AC1358" s="65" t="str">
        <f>IFERROR(__xludf.DUMMYFUNCTION("""COMPUTED_VALUE"""),"ESPONJA ANTILLUVIA DE PARABRISAS")</f>
        <v>ESPONJA ANTILLUVIA DE PARABRISAS</v>
      </c>
      <c r="AD1358" s="65"/>
      <c r="AE1358" s="65">
        <f>IFERROR(__xludf.DUMMYFUNCTION("""COMPUTED_VALUE"""),2.0)</f>
        <v>2</v>
      </c>
      <c r="AF1358" s="65"/>
      <c r="AG1358" s="65"/>
      <c r="AH1358" s="65"/>
      <c r="AI1358" s="65"/>
      <c r="AJ1358" s="65"/>
      <c r="AK1358" s="65"/>
      <c r="AL1358" s="65"/>
      <c r="AM1358" s="65"/>
      <c r="AN1358" s="65"/>
      <c r="AO1358" s="65"/>
      <c r="AP1358" s="65"/>
      <c r="AQ1358" s="65"/>
      <c r="AR1358" s="65"/>
      <c r="AS1358" s="65"/>
      <c r="AT1358" s="65" t="str">
        <f>IFERROR(__xludf.DUMMYFUNCTION("""COMPUTED_VALUE"""),"CHATEA PRO")</f>
        <v>CHATEA PRO</v>
      </c>
      <c r="AU1358" s="65" t="str">
        <f>IFERROR(__xludf.DUMMYFUNCTION("""COMPUTED_VALUE"""),"CHATEA PRO")</f>
        <v>CHATEA PRO</v>
      </c>
      <c r="AV1358" s="65"/>
      <c r="AW1358" s="65"/>
      <c r="AX1358" s="65"/>
      <c r="AY1358" s="65" t="str">
        <f>IFERROR(__xludf.DUMMYFUNCTION("""COMPUTED_VALUE"""),"28/01/2026")</f>
        <v>28/01/2026</v>
      </c>
      <c r="AZ1358" s="65"/>
      <c r="BA1358" s="65"/>
    </row>
    <row r="1359">
      <c r="A1359" s="65" t="str">
        <f>IFERROR(__xludf.DUMMYFUNCTION("""COMPUTED_VALUE"""),"27-03-2026")</f>
        <v>27-03-2026</v>
      </c>
      <c r="B1359" s="65">
        <f>IFERROR(__xludf.DUMMYFUNCTION("""COMPUTED_VALUE"""),4294153.0)</f>
        <v>4294153</v>
      </c>
      <c r="C1359" s="65" t="str">
        <f>IFERROR(__xludf.DUMMYFUNCTION("""COMPUTED_VALUE"""),"09:56")</f>
        <v>09:56</v>
      </c>
      <c r="D1359" s="65" t="str">
        <f>IFERROR(__xludf.DUMMYFUNCTION("""COMPUTED_VALUE"""),"27-01-2026")</f>
        <v>27-01-2026</v>
      </c>
      <c r="E1359" s="65" t="str">
        <f>IFERROR(__xludf.DUMMYFUNCTION("""COMPUTED_VALUE"""),"Cristian Flores")</f>
        <v>Cristian Flores</v>
      </c>
      <c r="F1359" s="65" t="str">
        <f>IFERROR(__xludf.DUMMYFUNCTION("""COMPUTED_VALUE"""),"984490070")</f>
        <v>984490070</v>
      </c>
      <c r="G1359" s="65"/>
      <c r="H1359" s="65"/>
      <c r="I1359" s="65"/>
      <c r="J1359" s="65" t="str">
        <f>IFERROR(__xludf.DUMMYFUNCTION("""COMPUTED_VALUE"""),"D001270130")</f>
        <v>D001270130</v>
      </c>
      <c r="K1359" s="65" t="str">
        <f>IFERROR(__xludf.DUMMYFUNCTION("""COMPUTED_VALUE"""),"DEVOLUCION")</f>
        <v>DEVOLUCION</v>
      </c>
      <c r="L1359" s="65" t="str">
        <f>IFERROR(__xludf.DUMMYFUNCTION("""COMPUTED_VALUE"""),"CON RECAUDO")</f>
        <v>CON RECAUDO</v>
      </c>
      <c r="M1359" s="65" t="str">
        <f>IFERROR(__xludf.DUMMYFUNCTION("""COMPUTED_VALUE"""),"PICHINCHA")</f>
        <v>PICHINCHA</v>
      </c>
      <c r="N1359" s="65" t="str">
        <f>IFERROR(__xludf.DUMMYFUNCTION("""COMPUTED_VALUE"""),"QUITO")</f>
        <v>QUITO</v>
      </c>
      <c r="O1359" s="65" t="str">
        <f>IFERROR(__xludf.DUMMYFUNCTION("""COMPUTED_VALUE"""),"García moreno y las almas Perucho - Parroquia Perucho")</f>
        <v>García moreno y las almas Perucho - Parroquia Perucho</v>
      </c>
      <c r="P1359" s="65"/>
      <c r="Q1359" s="65" t="str">
        <f>IFERROR(__xludf.DUMMYFUNCTION("""COMPUTED_VALUE"""),"GINTRACOM")</f>
        <v>GINTRACOM</v>
      </c>
      <c r="R1359" s="65">
        <f>IFERROR(__xludf.DUMMYFUNCTION("""COMPUTED_VALUE"""),30.0)</f>
        <v>30</v>
      </c>
      <c r="S1359" s="65"/>
      <c r="T1359" s="65">
        <f>IFERROR(__xludf.DUMMYFUNCTION("""COMPUTED_VALUE"""),4.55)</f>
        <v>4.55</v>
      </c>
      <c r="U1359" s="65">
        <f>IFERROR(__xludf.DUMMYFUNCTION("""COMPUTED_VALUE"""),0.0)</f>
        <v>0</v>
      </c>
      <c r="V1359" s="65">
        <f>IFERROR(__xludf.DUMMYFUNCTION("""COMPUTED_VALUE"""),0.0)</f>
        <v>0</v>
      </c>
      <c r="W1359" s="65">
        <f>IFERROR(__xludf.DUMMYFUNCTION("""COMPUTED_VALUE"""),0.0)</f>
        <v>0</v>
      </c>
      <c r="X1359" s="65">
        <f>IFERROR(__xludf.DUMMYFUNCTION("""COMPUTED_VALUE"""),2.35)</f>
        <v>2.35</v>
      </c>
      <c r="Y1359" s="65">
        <f>IFERROR(__xludf.DUMMYFUNCTION("""COMPUTED_VALUE"""),7.05)</f>
        <v>7.05</v>
      </c>
      <c r="Z1359" s="65">
        <f>IFERROR(__xludf.DUMMYFUNCTION("""COMPUTED_VALUE"""),116679.0)</f>
        <v>116679</v>
      </c>
      <c r="AA1359" s="65" t="str">
        <f>IFERROR(__xludf.DUMMYFUNCTION("""COMPUTED_VALUE"""),"AMC-2738")</f>
        <v>AMC-2738</v>
      </c>
      <c r="AB1359" s="65"/>
      <c r="AC1359" s="65" t="str">
        <f>IFERROR(__xludf.DUMMYFUNCTION("""COMPUTED_VALUE"""),"ESPONJA ANTILLUVIA DE PARABRISAS")</f>
        <v>ESPONJA ANTILLUVIA DE PARABRISAS</v>
      </c>
      <c r="AD1359" s="65"/>
      <c r="AE1359" s="65">
        <f>IFERROR(__xludf.DUMMYFUNCTION("""COMPUTED_VALUE"""),3.0)</f>
        <v>3</v>
      </c>
      <c r="AF1359" s="65"/>
      <c r="AG1359" s="65"/>
      <c r="AH1359" s="65"/>
      <c r="AI1359" s="65"/>
      <c r="AJ1359" s="65"/>
      <c r="AK1359" s="65"/>
      <c r="AL1359" s="65"/>
      <c r="AM1359" s="65"/>
      <c r="AN1359" s="65" t="str">
        <f>IFERROR(__xludf.DUMMYFUNCTION("""COMPUTED_VALUE"""),"16:27")</f>
        <v>16:27</v>
      </c>
      <c r="AO1359" s="65" t="str">
        <f>IFERROR(__xludf.DUMMYFUNCTION("""COMPUTED_VALUE"""),"10-02-2026")</f>
        <v>10-02-2026</v>
      </c>
      <c r="AP1359" s="65" t="str">
        <f>IFERROR(__xludf.DUMMYFUNCTION("""COMPUTED_VALUE"""),"DEVOLUCIÓN ENTREGADA A ORIGEN")</f>
        <v>DEVOLUCIÓN ENTREGADA A ORIGEN</v>
      </c>
      <c r="AQ1359" s="65" t="str">
        <f>IFERROR(__xludf.DUMMYFUNCTION("""COMPUTED_VALUE"""),"DEVOLUCIÓN ENTREGADA A ORIGEN")</f>
        <v>DEVOLUCIÓN ENTREGADA A ORIGEN</v>
      </c>
      <c r="AR1359" s="65"/>
      <c r="AS1359" s="65"/>
      <c r="AT1359" s="65" t="str">
        <f>IFERROR(__xludf.DUMMYFUNCTION("""COMPUTED_VALUE"""),"CHATEA PRO")</f>
        <v>CHATEA PRO</v>
      </c>
      <c r="AU1359" s="65" t="str">
        <f>IFERROR(__xludf.DUMMYFUNCTION("""COMPUTED_VALUE"""),"CHATEA PRO")</f>
        <v>CHATEA PRO</v>
      </c>
      <c r="AV1359" s="65"/>
      <c r="AW1359" s="65"/>
      <c r="AX1359" s="65"/>
      <c r="AY1359" s="65" t="str">
        <f>IFERROR(__xludf.DUMMYFUNCTION("""COMPUTED_VALUE"""),"28/01/2026")</f>
        <v>28/01/2026</v>
      </c>
      <c r="AZ1359" s="65"/>
      <c r="BA1359" s="65"/>
    </row>
    <row r="1360">
      <c r="A1360" s="65" t="str">
        <f>IFERROR(__xludf.DUMMYFUNCTION("""COMPUTED_VALUE"""),"27-03-2026")</f>
        <v>27-03-2026</v>
      </c>
      <c r="B1360" s="65">
        <f>IFERROR(__xludf.DUMMYFUNCTION("""COMPUTED_VALUE"""),4294046.0)</f>
        <v>4294046</v>
      </c>
      <c r="C1360" s="65" t="str">
        <f>IFERROR(__xludf.DUMMYFUNCTION("""COMPUTED_VALUE"""),"09:50")</f>
        <v>09:50</v>
      </c>
      <c r="D1360" s="65" t="str">
        <f>IFERROR(__xludf.DUMMYFUNCTION("""COMPUTED_VALUE"""),"27-01-2026")</f>
        <v>27-01-2026</v>
      </c>
      <c r="E1360" s="65" t="str">
        <f>IFERROR(__xludf.DUMMYFUNCTION("""COMPUTED_VALUE"""),"Fausto Bazantes")</f>
        <v>Fausto Bazantes</v>
      </c>
      <c r="F1360" s="65" t="str">
        <f>IFERROR(__xludf.DUMMYFUNCTION("""COMPUTED_VALUE"""),"990605240")</f>
        <v>990605240</v>
      </c>
      <c r="G1360" s="65" t="str">
        <f>IFERROR(__xludf.DUMMYFUNCTION("""COMPUTED_VALUE"""),"reineriobaz@gmail.com")</f>
        <v>reineriobaz@gmail.com</v>
      </c>
      <c r="H1360" s="65"/>
      <c r="I1360" s="65"/>
      <c r="J1360" s="65" t="str">
        <f>IFERROR(__xludf.DUMMYFUNCTION("""COMPUTED_VALUE"""),"D001276379")</f>
        <v>D001276379</v>
      </c>
      <c r="K1360" s="65" t="str">
        <f>IFERROR(__xludf.DUMMYFUNCTION("""COMPUTED_VALUE"""),"DEVOLUCION")</f>
        <v>DEVOLUCION</v>
      </c>
      <c r="L1360" s="65" t="str">
        <f>IFERROR(__xludf.DUMMYFUNCTION("""COMPUTED_VALUE"""),"CON RECAUDO")</f>
        <v>CON RECAUDO</v>
      </c>
      <c r="M1360" s="65" t="str">
        <f>IFERROR(__xludf.DUMMYFUNCTION("""COMPUTED_VALUE"""),"PICHINCHA")</f>
        <v>PICHINCHA</v>
      </c>
      <c r="N1360" s="65" t="str">
        <f>IFERROR(__xludf.DUMMYFUNCTION("""COMPUTED_VALUE"""),"SANGOLQUI")</f>
        <v>SANGOLQUI</v>
      </c>
      <c r="O1360" s="65" t="str">
        <f>IFERROR(__xludf.DUMMYFUNCTION("""COMPUTED_VALUE"""),"Urbanización la Colina Loja 192 y Cotopaxi Sector la ESPE -")</f>
        <v>Urbanización la Colina Loja 192 y Cotopaxi Sector la ESPE -</v>
      </c>
      <c r="P1360" s="65"/>
      <c r="Q1360" s="65" t="str">
        <f>IFERROR(__xludf.DUMMYFUNCTION("""COMPUTED_VALUE"""),"GINTRACOM")</f>
        <v>GINTRACOM</v>
      </c>
      <c r="R1360" s="65">
        <f>IFERROR(__xludf.DUMMYFUNCTION("""COMPUTED_VALUE"""),21.99)</f>
        <v>21.99</v>
      </c>
      <c r="S1360" s="65"/>
      <c r="T1360" s="65">
        <f>IFERROR(__xludf.DUMMYFUNCTION("""COMPUTED_VALUE"""),4.8)</f>
        <v>4.8</v>
      </c>
      <c r="U1360" s="65">
        <f>IFERROR(__xludf.DUMMYFUNCTION("""COMPUTED_VALUE"""),0.0)</f>
        <v>0</v>
      </c>
      <c r="V1360" s="65">
        <f>IFERROR(__xludf.DUMMYFUNCTION("""COMPUTED_VALUE"""),0.0)</f>
        <v>0</v>
      </c>
      <c r="W1360" s="65">
        <f>IFERROR(__xludf.DUMMYFUNCTION("""COMPUTED_VALUE"""),0.0)</f>
        <v>0</v>
      </c>
      <c r="X1360" s="65">
        <f>IFERROR(__xludf.DUMMYFUNCTION("""COMPUTED_VALUE"""),5.0)</f>
        <v>5</v>
      </c>
      <c r="Y1360" s="65">
        <f>IFERROR(__xludf.DUMMYFUNCTION("""COMPUTED_VALUE"""),5.0)</f>
        <v>5</v>
      </c>
      <c r="Z1360" s="65">
        <f>IFERROR(__xludf.DUMMYFUNCTION("""COMPUTED_VALUE"""),110064.0)</f>
        <v>110064</v>
      </c>
      <c r="AA1360" s="65" t="str">
        <f>IFERROR(__xludf.DUMMYFUNCTION("""COMPUTED_VALUE"""),"IMX-00001")</f>
        <v>IMX-00001</v>
      </c>
      <c r="AB1360" s="65"/>
      <c r="AC1360" s="65" t="str">
        <f>IFERROR(__xludf.DUMMYFUNCTION("""COMPUTED_VALUE"""),"LLAVE TRINQUETE")</f>
        <v>LLAVE TRINQUETE</v>
      </c>
      <c r="AD1360" s="65"/>
      <c r="AE1360" s="65">
        <f>IFERROR(__xludf.DUMMYFUNCTION("""COMPUTED_VALUE"""),1.0)</f>
        <v>1</v>
      </c>
      <c r="AF1360" s="65" t="str">
        <f>IFERROR(__xludf.DUMMYFUNCTION("""COMPUTED_VALUE"""),"DESTINATARIO INDICA QUE YA NO DESEA EL PRODUCTO")</f>
        <v>DESTINATARIO INDICA QUE YA NO DESEA EL PRODUCTO</v>
      </c>
      <c r="AG1360" s="65" t="str">
        <f>IFERROR(__xludf.DUMMYFUNCTION("""COMPUTED_VALUE"""),"NO")</f>
        <v>NO</v>
      </c>
      <c r="AH1360" s="65" t="str">
        <f>IFERROR(__xludf.DUMMYFUNCTION("""COMPUTED_VALUE"""),"12:48")</f>
        <v>12:48</v>
      </c>
      <c r="AI1360" s="65" t="str">
        <f>IFERROR(__xludf.DUMMYFUNCTION("""COMPUTED_VALUE"""),"30-01-2026")</f>
        <v>30-01-2026</v>
      </c>
      <c r="AJ1360" s="65"/>
      <c r="AK1360" s="65"/>
      <c r="AL1360" s="65"/>
      <c r="AM1360" s="65"/>
      <c r="AN1360" s="65" t="str">
        <f>IFERROR(__xludf.DUMMYFUNCTION("""COMPUTED_VALUE"""),"11:56")</f>
        <v>11:56</v>
      </c>
      <c r="AO1360" s="65" t="str">
        <f>IFERROR(__xludf.DUMMYFUNCTION("""COMPUTED_VALUE"""),"19-02-2026")</f>
        <v>19-02-2026</v>
      </c>
      <c r="AP1360" s="65" t="str">
        <f>IFERROR(__xludf.DUMMYFUNCTION("""COMPUTED_VALUE"""),"DEVOLUCIÓN ENTREGADA A ORIGEN")</f>
        <v>DEVOLUCIÓN ENTREGADA A ORIGEN</v>
      </c>
      <c r="AQ1360" s="65" t="str">
        <f>IFERROR(__xludf.DUMMYFUNCTION("""COMPUTED_VALUE"""),"DEVOLUCIÓN ENTREGADA A ORIGEN")</f>
        <v>DEVOLUCIÓN ENTREGADA A ORIGEN</v>
      </c>
      <c r="AR1360" s="65"/>
      <c r="AS1360" s="65"/>
      <c r="AT1360" s="65" t="str">
        <f>IFERROR(__xludf.DUMMYFUNCTION("""COMPUTED_VALUE"""),"SHOPIFY")</f>
        <v>SHOPIFY</v>
      </c>
      <c r="AU1360" s="65" t="str">
        <f>IFERROR(__xludf.DUMMYFUNCTION("""COMPUTED_VALUE"""),"IMPORTEX EC")</f>
        <v>IMPORTEX EC</v>
      </c>
      <c r="AV1360" s="65" t="str">
        <f>IFERROR(__xludf.DUMMYFUNCTION("""COMPUTED_VALUE"""),"6451463159852")</f>
        <v>6451463159852</v>
      </c>
      <c r="AW1360" s="65">
        <f>IFERROR(__xludf.DUMMYFUNCTION("""COMPUTED_VALUE"""),5568.0)</f>
        <v>5568</v>
      </c>
      <c r="AX1360" s="65"/>
      <c r="AY1360" s="65" t="str">
        <f>IFERROR(__xludf.DUMMYFUNCTION("""COMPUTED_VALUE"""),"30/01/2026")</f>
        <v>30/01/2026</v>
      </c>
      <c r="AZ1360" s="65"/>
      <c r="BA1360" s="65"/>
    </row>
    <row r="1361">
      <c r="A1361" s="65" t="str">
        <f>IFERROR(__xludf.DUMMYFUNCTION("""COMPUTED_VALUE"""),"27-03-2026")</f>
        <v>27-03-2026</v>
      </c>
      <c r="B1361" s="65">
        <f>IFERROR(__xludf.DUMMYFUNCTION("""COMPUTED_VALUE"""),4294029.0)</f>
        <v>4294029</v>
      </c>
      <c r="C1361" s="65" t="str">
        <f>IFERROR(__xludf.DUMMYFUNCTION("""COMPUTED_VALUE"""),"09:48")</f>
        <v>09:48</v>
      </c>
      <c r="D1361" s="65" t="str">
        <f>IFERROR(__xludf.DUMMYFUNCTION("""COMPUTED_VALUE"""),"27-01-2026")</f>
        <v>27-01-2026</v>
      </c>
      <c r="E1361" s="65" t="str">
        <f>IFERROR(__xludf.DUMMYFUNCTION("""COMPUTED_VALUE"""),"Fredy Naranjo")</f>
        <v>Fredy Naranjo</v>
      </c>
      <c r="F1361" s="65" t="str">
        <f>IFERROR(__xludf.DUMMYFUNCTION("""COMPUTED_VALUE"""),"979419258")</f>
        <v>979419258</v>
      </c>
      <c r="G1361" s="65"/>
      <c r="H1361" s="65"/>
      <c r="I1361" s="65"/>
      <c r="J1361" s="65" t="str">
        <f>IFERROR(__xludf.DUMMYFUNCTION("""COMPUTED_VALUE"""),"D001270132")</f>
        <v>D001270132</v>
      </c>
      <c r="K1361" s="65" t="str">
        <f>IFERROR(__xludf.DUMMYFUNCTION("""COMPUTED_VALUE"""),"ENTREGADO")</f>
        <v>ENTREGADO</v>
      </c>
      <c r="L1361" s="65" t="str">
        <f>IFERROR(__xludf.DUMMYFUNCTION("""COMPUTED_VALUE"""),"CON RECAUDO")</f>
        <v>CON RECAUDO</v>
      </c>
      <c r="M1361" s="65" t="str">
        <f>IFERROR(__xludf.DUMMYFUNCTION("""COMPUTED_VALUE"""),"IMBABURA")</f>
        <v>IMBABURA</v>
      </c>
      <c r="N1361" s="65" t="str">
        <f>IFERROR(__xludf.DUMMYFUNCTION("""COMPUTED_VALUE"""),"IBARRA")</f>
        <v>IBARRA</v>
      </c>
      <c r="O1361" s="65" t="str">
        <f>IFERROR(__xludf.DUMMYFUNCTION("""COMPUTED_VALUE"""),"avda Atahualpa 37-03 y pasaje A. Conjunto Sierra Imperial. A dos cuadras del Polideportivo de Bellavista de Caranqui")</f>
        <v>avda Atahualpa 37-03 y pasaje A. Conjunto Sierra Imperial. A dos cuadras del Polideportivo de Bellavista de Caranqui</v>
      </c>
      <c r="P1361" s="65"/>
      <c r="Q1361" s="65" t="str">
        <f>IFERROR(__xludf.DUMMYFUNCTION("""COMPUTED_VALUE"""),"GINTRACOM")</f>
        <v>GINTRACOM</v>
      </c>
      <c r="R1361" s="65">
        <f>IFERROR(__xludf.DUMMYFUNCTION("""COMPUTED_VALUE"""),25.0)</f>
        <v>25</v>
      </c>
      <c r="S1361" s="65">
        <f>IFERROR(__xludf.DUMMYFUNCTION("""COMPUTED_VALUE"""),14.34)</f>
        <v>14.34</v>
      </c>
      <c r="T1361" s="65">
        <f>IFERROR(__xludf.DUMMYFUNCTION("""COMPUTED_VALUE"""),5.96)</f>
        <v>5.96</v>
      </c>
      <c r="U1361" s="65">
        <f>IFERROR(__xludf.DUMMYFUNCTION("""COMPUTED_VALUE"""),0.0)</f>
        <v>0</v>
      </c>
      <c r="V1361" s="65">
        <f>IFERROR(__xludf.DUMMYFUNCTION("""COMPUTED_VALUE"""),0.0)</f>
        <v>0</v>
      </c>
      <c r="W1361" s="65">
        <f>IFERROR(__xludf.DUMMYFUNCTION("""COMPUTED_VALUE"""),0.0)</f>
        <v>0</v>
      </c>
      <c r="X1361" s="65">
        <f>IFERROR(__xludf.DUMMYFUNCTION("""COMPUTED_VALUE"""),2.35)</f>
        <v>2.35</v>
      </c>
      <c r="Y1361" s="65">
        <f>IFERROR(__xludf.DUMMYFUNCTION("""COMPUTED_VALUE"""),4.7)</f>
        <v>4.7</v>
      </c>
      <c r="Z1361" s="65">
        <f>IFERROR(__xludf.DUMMYFUNCTION("""COMPUTED_VALUE"""),116679.0)</f>
        <v>116679</v>
      </c>
      <c r="AA1361" s="65" t="str">
        <f>IFERROR(__xludf.DUMMYFUNCTION("""COMPUTED_VALUE"""),"AMC-2738")</f>
        <v>AMC-2738</v>
      </c>
      <c r="AB1361" s="65"/>
      <c r="AC1361" s="65" t="str">
        <f>IFERROR(__xludf.DUMMYFUNCTION("""COMPUTED_VALUE"""),"ESPONJA ANTILLUVIA DE PARABRISAS")</f>
        <v>ESPONJA ANTILLUVIA DE PARABRISAS</v>
      </c>
      <c r="AD1361" s="65"/>
      <c r="AE1361" s="65">
        <f>IFERROR(__xludf.DUMMYFUNCTION("""COMPUTED_VALUE"""),2.0)</f>
        <v>2</v>
      </c>
      <c r="AF1361" s="65"/>
      <c r="AG1361" s="65"/>
      <c r="AH1361" s="65"/>
      <c r="AI1361" s="65"/>
      <c r="AJ1361" s="65"/>
      <c r="AK1361" s="65"/>
      <c r="AL1361" s="65"/>
      <c r="AM1361" s="65"/>
      <c r="AN1361" s="65"/>
      <c r="AO1361" s="65"/>
      <c r="AP1361" s="65"/>
      <c r="AQ1361" s="65"/>
      <c r="AR1361" s="65"/>
      <c r="AS1361" s="65"/>
      <c r="AT1361" s="65" t="str">
        <f>IFERROR(__xludf.DUMMYFUNCTION("""COMPUTED_VALUE"""),"CHATEA PRO")</f>
        <v>CHATEA PRO</v>
      </c>
      <c r="AU1361" s="65" t="str">
        <f>IFERROR(__xludf.DUMMYFUNCTION("""COMPUTED_VALUE"""),"CHATEA PRO")</f>
        <v>CHATEA PRO</v>
      </c>
      <c r="AV1361" s="65"/>
      <c r="AW1361" s="65"/>
      <c r="AX1361" s="65"/>
      <c r="AY1361" s="65" t="str">
        <f>IFERROR(__xludf.DUMMYFUNCTION("""COMPUTED_VALUE"""),"28/01/2026")</f>
        <v>28/01/2026</v>
      </c>
      <c r="AZ1361" s="65"/>
      <c r="BA1361" s="65"/>
    </row>
    <row r="1362">
      <c r="A1362" s="65" t="str">
        <f>IFERROR(__xludf.DUMMYFUNCTION("""COMPUTED_VALUE"""),"27-03-2026")</f>
        <v>27-03-2026</v>
      </c>
      <c r="B1362" s="65">
        <f>IFERROR(__xludf.DUMMYFUNCTION("""COMPUTED_VALUE"""),4293980.0)</f>
        <v>4293980</v>
      </c>
      <c r="C1362" s="65" t="str">
        <f>IFERROR(__xludf.DUMMYFUNCTION("""COMPUTED_VALUE"""),"09:45")</f>
        <v>09:45</v>
      </c>
      <c r="D1362" s="65" t="str">
        <f>IFERROR(__xludf.DUMMYFUNCTION("""COMPUTED_VALUE"""),"27-01-2026")</f>
        <v>27-01-2026</v>
      </c>
      <c r="E1362" s="65" t="str">
        <f>IFERROR(__xludf.DUMMYFUNCTION("""COMPUTED_VALUE"""),"Wilson Murillo")</f>
        <v>Wilson Murillo</v>
      </c>
      <c r="F1362" s="65" t="str">
        <f>IFERROR(__xludf.DUMMYFUNCTION("""COMPUTED_VALUE"""),"991715793")</f>
        <v>991715793</v>
      </c>
      <c r="G1362" s="65"/>
      <c r="H1362" s="65"/>
      <c r="I1362" s="65"/>
      <c r="J1362" s="65"/>
      <c r="K1362" s="65" t="str">
        <f>IFERROR(__xludf.DUMMYFUNCTION("""COMPUTED_VALUE"""),"PENDIENTE CONFIRMACION")</f>
        <v>PENDIENTE CONFIRMACION</v>
      </c>
      <c r="L1362" s="65" t="str">
        <f>IFERROR(__xludf.DUMMYFUNCTION("""COMPUTED_VALUE"""),"CON RECAUDO")</f>
        <v>CON RECAUDO</v>
      </c>
      <c r="M1362" s="65" t="str">
        <f>IFERROR(__xludf.DUMMYFUNCTION("""COMPUTED_VALUE"""),"GUAYAS")</f>
        <v>GUAYAS</v>
      </c>
      <c r="N1362" s="65" t="str">
        <f>IFERROR(__xludf.DUMMYFUNCTION("""COMPUTED_VALUE"""),"SIMON BOLIVAR")</f>
        <v>SIMON BOLIVAR</v>
      </c>
      <c r="O1362" s="65" t="str">
        <f>IFERROR(__xludf.DUMMYFUNCTION("""COMPUTED_VALUE"""),"CS: GUAYAQUIL_AV SIMON BOLIVAR PALACIOS N 2002 Y CALLE JOSE MEJIA LEQUERICA REF FRENTE A LA SEGUNDA PUERTA DEL MALECON 2000")</f>
        <v>CS: GUAYAQUIL_AV SIMON BOLIVAR PALACIOS N 2002 Y CALLE JOSE MEJIA LEQUERICA REF FRENTE A LA SEGUNDA PUERTA DEL MALECON 2000</v>
      </c>
      <c r="P1362" s="65" t="str">
        <f>IFERROR(__xludf.DUMMYFUNCTION("""COMPUTED_VALUE"""),"(SERVIENTREGA) CS: GUAYAQUIL_AV SIMON BOLIVAR PALACIOS N 2002 Y CALLE JOSE MEJIA LEQUERICA REF FRENTE A LA SEGUNDA PUERTA DEL MALECON 2000")</f>
        <v>(SERVIENTREGA) CS: GUAYAQUIL_AV SIMON BOLIVAR PALACIOS N 2002 Y CALLE JOSE MEJIA LEQUERICA REF FRENTE A LA SEGUNDA PUERTA DEL MALECON 2000</v>
      </c>
      <c r="Q1362" s="65" t="str">
        <f>IFERROR(__xludf.DUMMYFUNCTION("""COMPUTED_VALUE"""),"SERVIENTREGA")</f>
        <v>SERVIENTREGA</v>
      </c>
      <c r="R1362" s="65">
        <f>IFERROR(__xludf.DUMMYFUNCTION("""COMPUTED_VALUE"""),25.0)</f>
        <v>25</v>
      </c>
      <c r="S1362" s="65"/>
      <c r="T1362" s="65">
        <f>IFERROR(__xludf.DUMMYFUNCTION("""COMPUTED_VALUE"""),7.75)</f>
        <v>7.75</v>
      </c>
      <c r="U1362" s="65">
        <f>IFERROR(__xludf.DUMMYFUNCTION("""COMPUTED_VALUE"""),0.0)</f>
        <v>0</v>
      </c>
      <c r="V1362" s="65">
        <f>IFERROR(__xludf.DUMMYFUNCTION("""COMPUTED_VALUE"""),0.0)</f>
        <v>0</v>
      </c>
      <c r="W1362" s="65">
        <f>IFERROR(__xludf.DUMMYFUNCTION("""COMPUTED_VALUE"""),0.0)</f>
        <v>0</v>
      </c>
      <c r="X1362" s="65">
        <f>IFERROR(__xludf.DUMMYFUNCTION("""COMPUTED_VALUE"""),2.35)</f>
        <v>2.35</v>
      </c>
      <c r="Y1362" s="65">
        <f>IFERROR(__xludf.DUMMYFUNCTION("""COMPUTED_VALUE"""),4.7)</f>
        <v>4.7</v>
      </c>
      <c r="Z1362" s="65">
        <f>IFERROR(__xludf.DUMMYFUNCTION("""COMPUTED_VALUE"""),116679.0)</f>
        <v>116679</v>
      </c>
      <c r="AA1362" s="65" t="str">
        <f>IFERROR(__xludf.DUMMYFUNCTION("""COMPUTED_VALUE"""),"AMC-2738")</f>
        <v>AMC-2738</v>
      </c>
      <c r="AB1362" s="65"/>
      <c r="AC1362" s="65" t="str">
        <f>IFERROR(__xludf.DUMMYFUNCTION("""COMPUTED_VALUE"""),"ESPONJA ANTILLUVIA DE PARABRISAS")</f>
        <v>ESPONJA ANTILLUVIA DE PARABRISAS</v>
      </c>
      <c r="AD1362" s="65"/>
      <c r="AE1362" s="65">
        <f>IFERROR(__xludf.DUMMYFUNCTION("""COMPUTED_VALUE"""),2.0)</f>
        <v>2</v>
      </c>
      <c r="AF1362" s="65"/>
      <c r="AG1362" s="65"/>
      <c r="AH1362" s="65"/>
      <c r="AI1362" s="65"/>
      <c r="AJ1362" s="65"/>
      <c r="AK1362" s="65"/>
      <c r="AL1362" s="65"/>
      <c r="AM1362" s="65"/>
      <c r="AN1362" s="65"/>
      <c r="AO1362" s="65"/>
      <c r="AP1362" s="65"/>
      <c r="AQ1362" s="65"/>
      <c r="AR1362" s="65"/>
      <c r="AS1362" s="65" t="str">
        <f>IFERROR(__xludf.DUMMYFUNCTION("""COMPUTED_VALUE"""),"Bayron Gomez")</f>
        <v>Bayron Gomez</v>
      </c>
      <c r="AT1362" s="65"/>
      <c r="AU1362" s="65"/>
      <c r="AV1362" s="65"/>
      <c r="AW1362" s="65"/>
      <c r="AX1362" s="65"/>
      <c r="AY1362" s="65"/>
      <c r="AZ1362" s="65"/>
      <c r="BA1362" s="65"/>
    </row>
    <row r="1363">
      <c r="A1363" s="65" t="str">
        <f>IFERROR(__xludf.DUMMYFUNCTION("""COMPUTED_VALUE"""),"27-03-2026")</f>
        <v>27-03-2026</v>
      </c>
      <c r="B1363" s="65">
        <f>IFERROR(__xludf.DUMMYFUNCTION("""COMPUTED_VALUE"""),4293933.0)</f>
        <v>4293933</v>
      </c>
      <c r="C1363" s="65" t="str">
        <f>IFERROR(__xludf.DUMMYFUNCTION("""COMPUTED_VALUE"""),"09:40")</f>
        <v>09:40</v>
      </c>
      <c r="D1363" s="65" t="str">
        <f>IFERROR(__xludf.DUMMYFUNCTION("""COMPUTED_VALUE"""),"27-01-2026")</f>
        <v>27-01-2026</v>
      </c>
      <c r="E1363" s="65" t="str">
        <f>IFERROR(__xludf.DUMMYFUNCTION("""COMPUTED_VALUE"""),"Wilson murillo Murillo")</f>
        <v>Wilson murillo Murillo</v>
      </c>
      <c r="F1363" s="65" t="str">
        <f>IFERROR(__xludf.DUMMYFUNCTION("""COMPUTED_VALUE"""),"991715793")</f>
        <v>991715793</v>
      </c>
      <c r="G1363" s="65"/>
      <c r="H1363" s="65"/>
      <c r="I1363" s="65"/>
      <c r="J1363" s="65" t="str">
        <f>IFERROR(__xludf.DUMMYFUNCTION("""COMPUTED_VALUE"""),"186536960")</f>
        <v>186536960</v>
      </c>
      <c r="K1363" s="65" t="str">
        <f>IFERROR(__xludf.DUMMYFUNCTION("""COMPUTED_VALUE"""),"ENTREGADO")</f>
        <v>ENTREGADO</v>
      </c>
      <c r="L1363" s="65" t="str">
        <f>IFERROR(__xludf.DUMMYFUNCTION("""COMPUTED_VALUE"""),"CON RECAUDO")</f>
        <v>CON RECAUDO</v>
      </c>
      <c r="M1363" s="65" t="str">
        <f>IFERROR(__xludf.DUMMYFUNCTION("""COMPUTED_VALUE"""),"GUAYAS")</f>
        <v>GUAYAS</v>
      </c>
      <c r="N1363" s="65" t="str">
        <f>IFERROR(__xludf.DUMMYFUNCTION("""COMPUTED_VALUE"""),"SIMON BOLIVAR")</f>
        <v>SIMON BOLIVAR</v>
      </c>
      <c r="O1363" s="65" t="str">
        <f>IFERROR(__xludf.DUMMYFUNCTION("""COMPUTED_VALUE"""),"Oficina de Servi Entrega al Canton Simon Bolivar provincia del Guayas")</f>
        <v>Oficina de Servi Entrega al Canton Simon Bolivar provincia del Guayas</v>
      </c>
      <c r="P1363" s="65" t="str">
        <f>IFERROR(__xludf.DUMMYFUNCTION("""COMPUTED_VALUE"""),"CS: GUAYAQUIL_AV SIMON BOLIVAR PALACIOS N 2002 Y CALLE JOSE MEJIA LEQUERICA REF FRENTE A LA SEGUNDA PUERTA DEL MALECON 2000 (SERVIENTREGA)")</f>
        <v>CS: GUAYAQUIL_AV SIMON BOLIVAR PALACIOS N 2002 Y CALLE JOSE MEJIA LEQUERICA REF FRENTE A LA SEGUNDA PUERTA DEL MALECON 2000 (SERVIENTREGA)</v>
      </c>
      <c r="Q1363" s="65" t="str">
        <f>IFERROR(__xludf.DUMMYFUNCTION("""COMPUTED_VALUE"""),"SERVIENTREGA")</f>
        <v>SERVIENTREGA</v>
      </c>
      <c r="R1363" s="65">
        <f>IFERROR(__xludf.DUMMYFUNCTION("""COMPUTED_VALUE"""),25.0)</f>
        <v>25</v>
      </c>
      <c r="S1363" s="65">
        <f>IFERROR(__xludf.DUMMYFUNCTION("""COMPUTED_VALUE"""),12.55)</f>
        <v>12.55</v>
      </c>
      <c r="T1363" s="65">
        <f>IFERROR(__xludf.DUMMYFUNCTION("""COMPUTED_VALUE"""),7.75)</f>
        <v>7.75</v>
      </c>
      <c r="U1363" s="65">
        <f>IFERROR(__xludf.DUMMYFUNCTION("""COMPUTED_VALUE"""),0.0)</f>
        <v>0</v>
      </c>
      <c r="V1363" s="65">
        <f>IFERROR(__xludf.DUMMYFUNCTION("""COMPUTED_VALUE"""),0.0)</f>
        <v>0</v>
      </c>
      <c r="W1363" s="65">
        <f>IFERROR(__xludf.DUMMYFUNCTION("""COMPUTED_VALUE"""),0.0)</f>
        <v>0</v>
      </c>
      <c r="X1363" s="65">
        <f>IFERROR(__xludf.DUMMYFUNCTION("""COMPUTED_VALUE"""),2.35)</f>
        <v>2.35</v>
      </c>
      <c r="Y1363" s="65">
        <f>IFERROR(__xludf.DUMMYFUNCTION("""COMPUTED_VALUE"""),4.7)</f>
        <v>4.7</v>
      </c>
      <c r="Z1363" s="65">
        <f>IFERROR(__xludf.DUMMYFUNCTION("""COMPUTED_VALUE"""),116679.0)</f>
        <v>116679</v>
      </c>
      <c r="AA1363" s="65" t="str">
        <f>IFERROR(__xludf.DUMMYFUNCTION("""COMPUTED_VALUE"""),"AMC-2738")</f>
        <v>AMC-2738</v>
      </c>
      <c r="AB1363" s="65"/>
      <c r="AC1363" s="65" t="str">
        <f>IFERROR(__xludf.DUMMYFUNCTION("""COMPUTED_VALUE"""),"ESPONJA ANTILLUVIA DE PARABRISAS")</f>
        <v>ESPONJA ANTILLUVIA DE PARABRISAS</v>
      </c>
      <c r="AD1363" s="65"/>
      <c r="AE1363" s="65">
        <f>IFERROR(__xludf.DUMMYFUNCTION("""COMPUTED_VALUE"""),2.0)</f>
        <v>2</v>
      </c>
      <c r="AF1363" s="65"/>
      <c r="AG1363" s="65"/>
      <c r="AH1363" s="65"/>
      <c r="AI1363" s="65"/>
      <c r="AJ1363" s="65"/>
      <c r="AK1363" s="65"/>
      <c r="AL1363" s="65"/>
      <c r="AM1363" s="65"/>
      <c r="AN1363" s="65" t="str">
        <f>IFERROR(__xludf.DUMMYFUNCTION("""COMPUTED_VALUE"""),"10:02")</f>
        <v>10:02</v>
      </c>
      <c r="AO1363" s="65" t="str">
        <f>IFERROR(__xludf.DUMMYFUNCTION("""COMPUTED_VALUE"""),"12-02-2026")</f>
        <v>12-02-2026</v>
      </c>
      <c r="AP1363" s="65" t="str">
        <f>IFERROR(__xludf.DUMMYFUNCTION("""COMPUTED_VALUE"""),"ENTREGA DIGITALIZADA EN CENTRO LOGISTICO")</f>
        <v>ENTREGA DIGITALIZADA EN CENTRO LOGISTICO</v>
      </c>
      <c r="AQ1363" s="65" t="str">
        <f>IFERROR(__xludf.DUMMYFUNCTION("""COMPUTED_VALUE"""),"WILSON MURILLO MURIL")</f>
        <v>WILSON MURILLO MURIL</v>
      </c>
      <c r="AR1363" s="65"/>
      <c r="AS1363" s="65"/>
      <c r="AT1363" s="65" t="str">
        <f>IFERROR(__xludf.DUMMYFUNCTION("""COMPUTED_VALUE"""),"CHATEA PRO")</f>
        <v>CHATEA PRO</v>
      </c>
      <c r="AU1363" s="65" t="str">
        <f>IFERROR(__xludf.DUMMYFUNCTION("""COMPUTED_VALUE"""),"CHATEA PRO")</f>
        <v>CHATEA PRO</v>
      </c>
      <c r="AV1363" s="65"/>
      <c r="AW1363" s="65"/>
      <c r="AX1363" s="65"/>
      <c r="AY1363" s="65" t="str">
        <f>IFERROR(__xludf.DUMMYFUNCTION("""COMPUTED_VALUE"""),"27/01/2026")</f>
        <v>27/01/2026</v>
      </c>
      <c r="AZ1363" s="65"/>
      <c r="BA1363" s="65"/>
    </row>
    <row r="1364">
      <c r="A1364" s="65" t="str">
        <f>IFERROR(__xludf.DUMMYFUNCTION("""COMPUTED_VALUE"""),"27-03-2026")</f>
        <v>27-03-2026</v>
      </c>
      <c r="B1364" s="65">
        <f>IFERROR(__xludf.DUMMYFUNCTION("""COMPUTED_VALUE"""),4293210.0)</f>
        <v>4293210</v>
      </c>
      <c r="C1364" s="65" t="str">
        <f>IFERROR(__xludf.DUMMYFUNCTION("""COMPUTED_VALUE"""),"08:45")</f>
        <v>08:45</v>
      </c>
      <c r="D1364" s="65" t="str">
        <f>IFERROR(__xludf.DUMMYFUNCTION("""COMPUTED_VALUE"""),"27-01-2026")</f>
        <v>27-01-2026</v>
      </c>
      <c r="E1364" s="65" t="str">
        <f>IFERROR(__xludf.DUMMYFUNCTION("""COMPUTED_VALUE"""),"Santos mosquera Marcos Gonzalo")</f>
        <v>Santos mosquera Marcos Gonzalo</v>
      </c>
      <c r="F1364" s="65" t="str">
        <f>IFERROR(__xludf.DUMMYFUNCTION("""COMPUTED_VALUE"""),"982988993")</f>
        <v>982988993</v>
      </c>
      <c r="G1364" s="65" t="str">
        <f>IFERROR(__xludf.DUMMYFUNCTION("""COMPUTED_VALUE"""),"gonzalosantos780@gmail.com")</f>
        <v>gonzalosantos780@gmail.com</v>
      </c>
      <c r="H1364" s="65"/>
      <c r="I1364" s="65"/>
      <c r="J1364" s="65" t="str">
        <f>IFERROR(__xludf.DUMMYFUNCTION("""COMPUTED_VALUE"""),"D001266418")</f>
        <v>D001266418</v>
      </c>
      <c r="K1364" s="65" t="str">
        <f>IFERROR(__xludf.DUMMYFUNCTION("""COMPUTED_VALUE"""),"DEVOLUCION")</f>
        <v>DEVOLUCION</v>
      </c>
      <c r="L1364" s="65" t="str">
        <f>IFERROR(__xludf.DUMMYFUNCTION("""COMPUTED_VALUE"""),"CON RECAUDO")</f>
        <v>CON RECAUDO</v>
      </c>
      <c r="M1364" s="65" t="str">
        <f>IFERROR(__xludf.DUMMYFUNCTION("""COMPUTED_VALUE"""),"SANTO DOMINGO DE LOS TSACHILAS")</f>
        <v>SANTO DOMINGO DE LOS TSACHILAS</v>
      </c>
      <c r="N1364" s="65" t="str">
        <f>IFERROR(__xludf.DUMMYFUNCTION("""COMPUTED_VALUE"""),"SANTO DOMINGO")</f>
        <v>SANTO DOMINGO</v>
      </c>
      <c r="O1364" s="65" t="str">
        <f>IFERROR(__xludf.DUMMYFUNCTION("""COMPUTED_VALUE"""),"Avenida Simón Plata Torres -y -diagonal a la empresa eléctrica calle principal -")</f>
        <v>Avenida Simón Plata Torres -y -diagonal a la empresa eléctrica calle principal -</v>
      </c>
      <c r="P1364" s="65"/>
      <c r="Q1364" s="65" t="str">
        <f>IFERROR(__xludf.DUMMYFUNCTION("""COMPUTED_VALUE"""),"GINTRACOM")</f>
        <v>GINTRACOM</v>
      </c>
      <c r="R1364" s="65">
        <f>IFERROR(__xludf.DUMMYFUNCTION("""COMPUTED_VALUE"""),32.0)</f>
        <v>32</v>
      </c>
      <c r="S1364" s="65"/>
      <c r="T1364" s="65">
        <f>IFERROR(__xludf.DUMMYFUNCTION("""COMPUTED_VALUE"""),6.24)</f>
        <v>6.24</v>
      </c>
      <c r="U1364" s="65">
        <f>IFERROR(__xludf.DUMMYFUNCTION("""COMPUTED_VALUE"""),0.0)</f>
        <v>0</v>
      </c>
      <c r="V1364" s="65">
        <f>IFERROR(__xludf.DUMMYFUNCTION("""COMPUTED_VALUE"""),0.0)</f>
        <v>0</v>
      </c>
      <c r="W1364" s="65">
        <f>IFERROR(__xludf.DUMMYFUNCTION("""COMPUTED_VALUE"""),0.0)</f>
        <v>0</v>
      </c>
      <c r="X1364" s="65">
        <f>IFERROR(__xludf.DUMMYFUNCTION("""COMPUTED_VALUE"""),5.0)</f>
        <v>5</v>
      </c>
      <c r="Y1364" s="65">
        <f>IFERROR(__xludf.DUMMYFUNCTION("""COMPUTED_VALUE"""),10.0)</f>
        <v>10</v>
      </c>
      <c r="Z1364" s="65">
        <f>IFERROR(__xludf.DUMMYFUNCTION("""COMPUTED_VALUE"""),110064.0)</f>
        <v>110064</v>
      </c>
      <c r="AA1364" s="65" t="str">
        <f>IFERROR(__xludf.DUMMYFUNCTION("""COMPUTED_VALUE"""),"IMX-00001")</f>
        <v>IMX-00001</v>
      </c>
      <c r="AB1364" s="65"/>
      <c r="AC1364" s="65" t="str">
        <f>IFERROR(__xludf.DUMMYFUNCTION("""COMPUTED_VALUE"""),"LLAVE TRINQUETE")</f>
        <v>LLAVE TRINQUETE</v>
      </c>
      <c r="AD1364" s="65"/>
      <c r="AE1364" s="65">
        <f>IFERROR(__xludf.DUMMYFUNCTION("""COMPUTED_VALUE"""),2.0)</f>
        <v>2</v>
      </c>
      <c r="AF1364" s="65" t="str">
        <f>IFERROR(__xludf.DUMMYFUNCTION("""COMPUTED_VALUE"""),"DESTINATARIO NO CONTESTA LLAMADAS NI WHATSAPP")</f>
        <v>DESTINATARIO NO CONTESTA LLAMADAS NI WHATSAPP</v>
      </c>
      <c r="AG1364" s="65" t="str">
        <f>IFERROR(__xludf.DUMMYFUNCTION("""COMPUTED_VALUE"""),"NO")</f>
        <v>NO</v>
      </c>
      <c r="AH1364" s="65" t="str">
        <f>IFERROR(__xludf.DUMMYFUNCTION("""COMPUTED_VALUE"""),"09:00")</f>
        <v>09:00</v>
      </c>
      <c r="AI1364" s="65" t="str">
        <f>IFERROR(__xludf.DUMMYFUNCTION("""COMPUTED_VALUE"""),"05-02-2026")</f>
        <v>05-02-2026</v>
      </c>
      <c r="AJ1364" s="65"/>
      <c r="AK1364" s="65"/>
      <c r="AL1364" s="65"/>
      <c r="AM1364" s="65"/>
      <c r="AN1364" s="65" t="str">
        <f>IFERROR(__xludf.DUMMYFUNCTION("""COMPUTED_VALUE"""),"14:37")</f>
        <v>14:37</v>
      </c>
      <c r="AO1364" s="65" t="str">
        <f>IFERROR(__xludf.DUMMYFUNCTION("""COMPUTED_VALUE"""),"24-02-2026")</f>
        <v>24-02-2026</v>
      </c>
      <c r="AP1364" s="65" t="str">
        <f>IFERROR(__xludf.DUMMYFUNCTION("""COMPUTED_VALUE"""),"DEVOLUCIÓN ENTREGADA A ORIGEN")</f>
        <v>DEVOLUCIÓN ENTREGADA A ORIGEN</v>
      </c>
      <c r="AQ1364" s="65" t="str">
        <f>IFERROR(__xludf.DUMMYFUNCTION("""COMPUTED_VALUE"""),"DEVOLUCIÓN ENTREGADA A ORIGEN")</f>
        <v>DEVOLUCIÓN ENTREGADA A ORIGEN</v>
      </c>
      <c r="AR1364" s="65"/>
      <c r="AS1364" s="65"/>
      <c r="AT1364" s="65" t="str">
        <f>IFERROR(__xludf.DUMMYFUNCTION("""COMPUTED_VALUE"""),"SHOPIFY")</f>
        <v>SHOPIFY</v>
      </c>
      <c r="AU1364" s="65" t="str">
        <f>IFERROR(__xludf.DUMMYFUNCTION("""COMPUTED_VALUE"""),"IMPORTEX EC")</f>
        <v>IMPORTEX EC</v>
      </c>
      <c r="AV1364" s="65" t="str">
        <f>IFERROR(__xludf.DUMMYFUNCTION("""COMPUTED_VALUE"""),"6447529263148")</f>
        <v>6447529263148</v>
      </c>
      <c r="AW1364" s="65">
        <f>IFERROR(__xludf.DUMMYFUNCTION("""COMPUTED_VALUE"""),5525.0)</f>
        <v>5525</v>
      </c>
      <c r="AX1364" s="65"/>
      <c r="AY1364" s="65" t="str">
        <f>IFERROR(__xludf.DUMMYFUNCTION("""COMPUTED_VALUE"""),"27/01/2026")</f>
        <v>27/01/2026</v>
      </c>
      <c r="AZ1364" s="65"/>
      <c r="BA1364" s="65"/>
    </row>
    <row r="1365">
      <c r="A1365" s="65" t="str">
        <f>IFERROR(__xludf.DUMMYFUNCTION("""COMPUTED_VALUE"""),"27-03-2026")</f>
        <v>27-03-2026</v>
      </c>
      <c r="B1365" s="65">
        <f>IFERROR(__xludf.DUMMYFUNCTION("""COMPUTED_VALUE"""),4292726.0)</f>
        <v>4292726</v>
      </c>
      <c r="C1365" s="65" t="str">
        <f>IFERROR(__xludf.DUMMYFUNCTION("""COMPUTED_VALUE"""),"08:03")</f>
        <v>08:03</v>
      </c>
      <c r="D1365" s="65" t="str">
        <f>IFERROR(__xludf.DUMMYFUNCTION("""COMPUTED_VALUE"""),"27-01-2026")</f>
        <v>27-01-2026</v>
      </c>
      <c r="E1365" s="65" t="str">
        <f>IFERROR(__xludf.DUMMYFUNCTION("""COMPUTED_VALUE"""),"Mario ORTIZ")</f>
        <v>Mario ORTIZ</v>
      </c>
      <c r="F1365" s="65" t="str">
        <f>IFERROR(__xludf.DUMMYFUNCTION("""COMPUTED_VALUE"""),"959694999")</f>
        <v>959694999</v>
      </c>
      <c r="G1365" s="65"/>
      <c r="H1365" s="65"/>
      <c r="I1365" s="65"/>
      <c r="J1365" s="65"/>
      <c r="K1365" s="65" t="str">
        <f>IFERROR(__xludf.DUMMYFUNCTION("""COMPUTED_VALUE"""),"PENDIENTE CONFIRMACION")</f>
        <v>PENDIENTE CONFIRMACION</v>
      </c>
      <c r="L1365" s="65" t="str">
        <f>IFERROR(__xludf.DUMMYFUNCTION("""COMPUTED_VALUE"""),"CON RECAUDO")</f>
        <v>CON RECAUDO</v>
      </c>
      <c r="M1365" s="65" t="str">
        <f>IFERROR(__xludf.DUMMYFUNCTION("""COMPUTED_VALUE"""),"GUAYAS")</f>
        <v>GUAYAS</v>
      </c>
      <c r="N1365" s="65" t="str">
        <f>IFERROR(__xludf.DUMMYFUNCTION("""COMPUTED_VALUE"""),"GUAYAQUIL")</f>
        <v>GUAYAQUIL</v>
      </c>
      <c r="O1365" s="65" t="str">
        <f>IFERROR(__xludf.DUMMYFUNCTION("""COMPUTED_VALUE"""),"GARZOTA MZ 48 Cnel -")</f>
        <v>GARZOTA MZ 48 Cnel -</v>
      </c>
      <c r="P1365" s="65"/>
      <c r="Q1365" s="65" t="str">
        <f>IFERROR(__xludf.DUMMYFUNCTION("""COMPUTED_VALUE"""),"GINTRACOM")</f>
        <v>GINTRACOM</v>
      </c>
      <c r="R1365" s="65">
        <f>IFERROR(__xludf.DUMMYFUNCTION("""COMPUTED_VALUE"""),21.99)</f>
        <v>21.99</v>
      </c>
      <c r="S1365" s="65"/>
      <c r="T1365" s="65">
        <f>IFERROR(__xludf.DUMMYFUNCTION("""COMPUTED_VALUE"""),5.84)</f>
        <v>5.84</v>
      </c>
      <c r="U1365" s="65">
        <f>IFERROR(__xludf.DUMMYFUNCTION("""COMPUTED_VALUE"""),0.0)</f>
        <v>0</v>
      </c>
      <c r="V1365" s="65">
        <f>IFERROR(__xludf.DUMMYFUNCTION("""COMPUTED_VALUE"""),0.0)</f>
        <v>0</v>
      </c>
      <c r="W1365" s="65">
        <f>IFERROR(__xludf.DUMMYFUNCTION("""COMPUTED_VALUE"""),0.0)</f>
        <v>0</v>
      </c>
      <c r="X1365" s="65">
        <f>IFERROR(__xludf.DUMMYFUNCTION("""COMPUTED_VALUE"""),5.0)</f>
        <v>5</v>
      </c>
      <c r="Y1365" s="65">
        <f>IFERROR(__xludf.DUMMYFUNCTION("""COMPUTED_VALUE"""),5.0)</f>
        <v>5</v>
      </c>
      <c r="Z1365" s="65">
        <f>IFERROR(__xludf.DUMMYFUNCTION("""COMPUTED_VALUE"""),110064.0)</f>
        <v>110064</v>
      </c>
      <c r="AA1365" s="65" t="str">
        <f>IFERROR(__xludf.DUMMYFUNCTION("""COMPUTED_VALUE"""),"IMX-00001")</f>
        <v>IMX-00001</v>
      </c>
      <c r="AB1365" s="65"/>
      <c r="AC1365" s="65" t="str">
        <f>IFERROR(__xludf.DUMMYFUNCTION("""COMPUTED_VALUE"""),"LLAVE TRINQUETE")</f>
        <v>LLAVE TRINQUETE</v>
      </c>
      <c r="AD1365" s="65"/>
      <c r="AE1365" s="65">
        <f>IFERROR(__xludf.DUMMYFUNCTION("""COMPUTED_VALUE"""),1.0)</f>
        <v>1</v>
      </c>
      <c r="AF1365" s="65"/>
      <c r="AG1365" s="65"/>
      <c r="AH1365" s="65"/>
      <c r="AI1365" s="65"/>
      <c r="AJ1365" s="65"/>
      <c r="AK1365" s="65"/>
      <c r="AL1365" s="65"/>
      <c r="AM1365" s="65"/>
      <c r="AN1365" s="65"/>
      <c r="AO1365" s="65"/>
      <c r="AP1365" s="65"/>
      <c r="AQ1365" s="65"/>
      <c r="AR1365" s="65"/>
      <c r="AS1365" s="65"/>
      <c r="AT1365" s="65" t="str">
        <f>IFERROR(__xludf.DUMMYFUNCTION("""COMPUTED_VALUE"""),"SHOPIFY")</f>
        <v>SHOPIFY</v>
      </c>
      <c r="AU1365" s="65" t="str">
        <f>IFERROR(__xludf.DUMMYFUNCTION("""COMPUTED_VALUE"""),"IMPORTEX EC")</f>
        <v>IMPORTEX EC</v>
      </c>
      <c r="AV1365" s="65" t="str">
        <f>IFERROR(__xludf.DUMMYFUNCTION("""COMPUTED_VALUE"""),"6451313180716")</f>
        <v>6451313180716</v>
      </c>
      <c r="AW1365" s="65">
        <f>IFERROR(__xludf.DUMMYFUNCTION("""COMPUTED_VALUE"""),5567.0)</f>
        <v>5567</v>
      </c>
      <c r="AX1365" s="65"/>
      <c r="AY1365" s="65"/>
      <c r="AZ1365" s="65"/>
      <c r="BA1365" s="65"/>
    </row>
    <row r="1366">
      <c r="A1366" s="65" t="str">
        <f>IFERROR(__xludf.DUMMYFUNCTION("""COMPUTED_VALUE"""),"27-03-2026")</f>
        <v>27-03-2026</v>
      </c>
      <c r="B1366" s="65">
        <f>IFERROR(__xludf.DUMMYFUNCTION("""COMPUTED_VALUE"""),4292594.0)</f>
        <v>4292594</v>
      </c>
      <c r="C1366" s="65" t="str">
        <f>IFERROR(__xludf.DUMMYFUNCTION("""COMPUTED_VALUE"""),"07:47")</f>
        <v>07:47</v>
      </c>
      <c r="D1366" s="65" t="str">
        <f>IFERROR(__xludf.DUMMYFUNCTION("""COMPUTED_VALUE"""),"27-01-2026")</f>
        <v>27-01-2026</v>
      </c>
      <c r="E1366" s="65" t="str">
        <f>IFERROR(__xludf.DUMMYFUNCTION("""COMPUTED_VALUE"""),"Victor Hugo Nupia Macias")</f>
        <v>Victor Hugo Nupia Macias</v>
      </c>
      <c r="F1366" s="65" t="str">
        <f>IFERROR(__xludf.DUMMYFUNCTION("""COMPUTED_VALUE"""),"968733724")</f>
        <v>968733724</v>
      </c>
      <c r="G1366" s="65"/>
      <c r="H1366" s="65"/>
      <c r="I1366" s="65"/>
      <c r="J1366" s="65" t="str">
        <f>IFERROR(__xludf.DUMMYFUNCTION("""COMPUTED_VALUE"""),"D001266097")</f>
        <v>D001266097</v>
      </c>
      <c r="K1366" s="65" t="str">
        <f>IFERROR(__xludf.DUMMYFUNCTION("""COMPUTED_VALUE"""),"ENTREGADO")</f>
        <v>ENTREGADO</v>
      </c>
      <c r="L1366" s="65" t="str">
        <f>IFERROR(__xludf.DUMMYFUNCTION("""COMPUTED_VALUE"""),"CON RECAUDO")</f>
        <v>CON RECAUDO</v>
      </c>
      <c r="M1366" s="65" t="str">
        <f>IFERROR(__xludf.DUMMYFUNCTION("""COMPUTED_VALUE"""),"LOS RIOS")</f>
        <v>LOS RIOS</v>
      </c>
      <c r="N1366" s="65" t="str">
        <f>IFERROR(__xludf.DUMMYFUNCTION("""COMPUTED_VALUE"""),"QUEVEDO")</f>
        <v>QUEVEDO</v>
      </c>
      <c r="O1366" s="65" t="str">
        <f>IFERROR(__xludf.DUMMYFUNCTION("""COMPUTED_VALUE"""),"Calle sin nombre sólar 5, lotización san Jorge, referencia: Asadero pescadito junto a tienda mary")</f>
        <v>Calle sin nombre sólar 5, lotización san Jorge, referencia: Asadero pescadito junto a tienda mary</v>
      </c>
      <c r="P1366" s="65"/>
      <c r="Q1366" s="65" t="str">
        <f>IFERROR(__xludf.DUMMYFUNCTION("""COMPUTED_VALUE"""),"GINTRACOM")</f>
        <v>GINTRACOM</v>
      </c>
      <c r="R1366" s="65">
        <f>IFERROR(__xludf.DUMMYFUNCTION("""COMPUTED_VALUE"""),21.99)</f>
        <v>21.99</v>
      </c>
      <c r="S1366" s="65">
        <f>IFERROR(__xludf.DUMMYFUNCTION("""COMPUTED_VALUE"""),11.15)</f>
        <v>11.15</v>
      </c>
      <c r="T1366" s="65">
        <f>IFERROR(__xludf.DUMMYFUNCTION("""COMPUTED_VALUE"""),5.84)</f>
        <v>5.84</v>
      </c>
      <c r="U1366" s="65">
        <f>IFERROR(__xludf.DUMMYFUNCTION("""COMPUTED_VALUE"""),0.0)</f>
        <v>0</v>
      </c>
      <c r="V1366" s="65">
        <f>IFERROR(__xludf.DUMMYFUNCTION("""COMPUTED_VALUE"""),0.0)</f>
        <v>0</v>
      </c>
      <c r="W1366" s="65">
        <f>IFERROR(__xludf.DUMMYFUNCTION("""COMPUTED_VALUE"""),0.0)</f>
        <v>0</v>
      </c>
      <c r="X1366" s="65">
        <f>IFERROR(__xludf.DUMMYFUNCTION("""COMPUTED_VALUE"""),5.0)</f>
        <v>5</v>
      </c>
      <c r="Y1366" s="65">
        <f>IFERROR(__xludf.DUMMYFUNCTION("""COMPUTED_VALUE"""),5.0)</f>
        <v>5</v>
      </c>
      <c r="Z1366" s="65">
        <f>IFERROR(__xludf.DUMMYFUNCTION("""COMPUTED_VALUE"""),110064.0)</f>
        <v>110064</v>
      </c>
      <c r="AA1366" s="65" t="str">
        <f>IFERROR(__xludf.DUMMYFUNCTION("""COMPUTED_VALUE"""),"IMX-00001")</f>
        <v>IMX-00001</v>
      </c>
      <c r="AB1366" s="65"/>
      <c r="AC1366" s="65" t="str">
        <f>IFERROR(__xludf.DUMMYFUNCTION("""COMPUTED_VALUE"""),"LLAVE TRINQUETE")</f>
        <v>LLAVE TRINQUETE</v>
      </c>
      <c r="AD1366" s="65"/>
      <c r="AE1366" s="65">
        <f>IFERROR(__xludf.DUMMYFUNCTION("""COMPUTED_VALUE"""),1.0)</f>
        <v>1</v>
      </c>
      <c r="AF1366" s="65"/>
      <c r="AG1366" s="65"/>
      <c r="AH1366" s="65"/>
      <c r="AI1366" s="65"/>
      <c r="AJ1366" s="65"/>
      <c r="AK1366" s="65"/>
      <c r="AL1366" s="65"/>
      <c r="AM1366" s="65"/>
      <c r="AN1366" s="65"/>
      <c r="AO1366" s="65"/>
      <c r="AP1366" s="65"/>
      <c r="AQ1366" s="65"/>
      <c r="AR1366" s="65"/>
      <c r="AS1366" s="65"/>
      <c r="AT1366" s="65" t="str">
        <f>IFERROR(__xludf.DUMMYFUNCTION("""COMPUTED_VALUE"""),"CHATEA PRO")</f>
        <v>CHATEA PRO</v>
      </c>
      <c r="AU1366" s="65" t="str">
        <f>IFERROR(__xludf.DUMMYFUNCTION("""COMPUTED_VALUE"""),"CHATEA PRO")</f>
        <v>CHATEA PRO</v>
      </c>
      <c r="AV1366" s="65"/>
      <c r="AW1366" s="65"/>
      <c r="AX1366" s="65"/>
      <c r="AY1366" s="65" t="str">
        <f>IFERROR(__xludf.DUMMYFUNCTION("""COMPUTED_VALUE"""),"27/01/2026")</f>
        <v>27/01/2026</v>
      </c>
      <c r="AZ1366" s="65"/>
      <c r="BA1366" s="65"/>
    </row>
    <row r="1367">
      <c r="A1367" s="65" t="str">
        <f>IFERROR(__xludf.DUMMYFUNCTION("""COMPUTED_VALUE"""),"27-03-2026")</f>
        <v>27-03-2026</v>
      </c>
      <c r="B1367" s="65">
        <f>IFERROR(__xludf.DUMMYFUNCTION("""COMPUTED_VALUE"""),4292529.0)</f>
        <v>4292529</v>
      </c>
      <c r="C1367" s="65" t="str">
        <f>IFERROR(__xludf.DUMMYFUNCTION("""COMPUTED_VALUE"""),"07:41")</f>
        <v>07:41</v>
      </c>
      <c r="D1367" s="65" t="str">
        <f>IFERROR(__xludf.DUMMYFUNCTION("""COMPUTED_VALUE"""),"27-01-2026")</f>
        <v>27-01-2026</v>
      </c>
      <c r="E1367" s="65" t="str">
        <f>IFERROR(__xludf.DUMMYFUNCTION("""COMPUTED_VALUE"""),"Alex Vergara")</f>
        <v>Alex Vergara</v>
      </c>
      <c r="F1367" s="65" t="str">
        <f>IFERROR(__xludf.DUMMYFUNCTION("""COMPUTED_VALUE"""),"986110785")</f>
        <v>986110785</v>
      </c>
      <c r="G1367" s="65"/>
      <c r="H1367" s="65"/>
      <c r="I1367" s="65"/>
      <c r="J1367" s="65" t="str">
        <f>IFERROR(__xludf.DUMMYFUNCTION("""COMPUTED_VALUE"""),"D001266098")</f>
        <v>D001266098</v>
      </c>
      <c r="K1367" s="65" t="str">
        <f>IFERROR(__xludf.DUMMYFUNCTION("""COMPUTED_VALUE"""),"ENTREGADO")</f>
        <v>ENTREGADO</v>
      </c>
      <c r="L1367" s="65" t="str">
        <f>IFERROR(__xludf.DUMMYFUNCTION("""COMPUTED_VALUE"""),"CON RECAUDO")</f>
        <v>CON RECAUDO</v>
      </c>
      <c r="M1367" s="65" t="str">
        <f>IFERROR(__xludf.DUMMYFUNCTION("""COMPUTED_VALUE"""),"CHIMBORAZO")</f>
        <v>CHIMBORAZO</v>
      </c>
      <c r="N1367" s="65" t="str">
        <f>IFERROR(__xludf.DUMMYFUNCTION("""COMPUTED_VALUE"""),"LICAN")</f>
        <v>LICAN</v>
      </c>
      <c r="O1367" s="65" t="str">
        <f>IFERROR(__xludf.DUMMYFUNCTION("""COMPUTED_VALUE"""),"Lican Barrio vista hermosa cerramiento de sin - Alado de una casa en construcción")</f>
        <v>Lican Barrio vista hermosa cerramiento de sin - Alado de una casa en construcción</v>
      </c>
      <c r="P1367" s="65"/>
      <c r="Q1367" s="65" t="str">
        <f>IFERROR(__xludf.DUMMYFUNCTION("""COMPUTED_VALUE"""),"GINTRACOM")</f>
        <v>GINTRACOM</v>
      </c>
      <c r="R1367" s="65">
        <f>IFERROR(__xludf.DUMMYFUNCTION("""COMPUTED_VALUE"""),21.99)</f>
        <v>21.99</v>
      </c>
      <c r="S1367" s="65">
        <f>IFERROR(__xludf.DUMMYFUNCTION("""COMPUTED_VALUE"""),10.58)</f>
        <v>10.58</v>
      </c>
      <c r="T1367" s="65">
        <f>IFERROR(__xludf.DUMMYFUNCTION("""COMPUTED_VALUE"""),6.41)</f>
        <v>6.41</v>
      </c>
      <c r="U1367" s="65">
        <f>IFERROR(__xludf.DUMMYFUNCTION("""COMPUTED_VALUE"""),0.0)</f>
        <v>0</v>
      </c>
      <c r="V1367" s="65">
        <f>IFERROR(__xludf.DUMMYFUNCTION("""COMPUTED_VALUE"""),0.0)</f>
        <v>0</v>
      </c>
      <c r="W1367" s="65">
        <f>IFERROR(__xludf.DUMMYFUNCTION("""COMPUTED_VALUE"""),0.0)</f>
        <v>0</v>
      </c>
      <c r="X1367" s="65">
        <f>IFERROR(__xludf.DUMMYFUNCTION("""COMPUTED_VALUE"""),5.0)</f>
        <v>5</v>
      </c>
      <c r="Y1367" s="65">
        <f>IFERROR(__xludf.DUMMYFUNCTION("""COMPUTED_VALUE"""),5.0)</f>
        <v>5</v>
      </c>
      <c r="Z1367" s="65">
        <f>IFERROR(__xludf.DUMMYFUNCTION("""COMPUTED_VALUE"""),110064.0)</f>
        <v>110064</v>
      </c>
      <c r="AA1367" s="65" t="str">
        <f>IFERROR(__xludf.DUMMYFUNCTION("""COMPUTED_VALUE"""),"IMX-00001")</f>
        <v>IMX-00001</v>
      </c>
      <c r="AB1367" s="65"/>
      <c r="AC1367" s="65" t="str">
        <f>IFERROR(__xludf.DUMMYFUNCTION("""COMPUTED_VALUE"""),"LLAVE TRINQUETE")</f>
        <v>LLAVE TRINQUETE</v>
      </c>
      <c r="AD1367" s="65"/>
      <c r="AE1367" s="65">
        <f>IFERROR(__xludf.DUMMYFUNCTION("""COMPUTED_VALUE"""),1.0)</f>
        <v>1</v>
      </c>
      <c r="AF1367" s="65"/>
      <c r="AG1367" s="65"/>
      <c r="AH1367" s="65"/>
      <c r="AI1367" s="65"/>
      <c r="AJ1367" s="65"/>
      <c r="AK1367" s="65"/>
      <c r="AL1367" s="65"/>
      <c r="AM1367" s="65"/>
      <c r="AN1367" s="65"/>
      <c r="AO1367" s="65"/>
      <c r="AP1367" s="65"/>
      <c r="AQ1367" s="65"/>
      <c r="AR1367" s="65"/>
      <c r="AS1367" s="65"/>
      <c r="AT1367" s="65" t="str">
        <f>IFERROR(__xludf.DUMMYFUNCTION("""COMPUTED_VALUE"""),"CHATEA PRO")</f>
        <v>CHATEA PRO</v>
      </c>
      <c r="AU1367" s="65" t="str">
        <f>IFERROR(__xludf.DUMMYFUNCTION("""COMPUTED_VALUE"""),"CHATEA PRO")</f>
        <v>CHATEA PRO</v>
      </c>
      <c r="AV1367" s="65"/>
      <c r="AW1367" s="65"/>
      <c r="AX1367" s="65"/>
      <c r="AY1367" s="65" t="str">
        <f>IFERROR(__xludf.DUMMYFUNCTION("""COMPUTED_VALUE"""),"27/01/2026")</f>
        <v>27/01/2026</v>
      </c>
      <c r="AZ1367" s="65"/>
      <c r="BA1367" s="65"/>
    </row>
    <row r="1368">
      <c r="A1368" s="65" t="str">
        <f>IFERROR(__xludf.DUMMYFUNCTION("""COMPUTED_VALUE"""),"27-03-2026")</f>
        <v>27-03-2026</v>
      </c>
      <c r="B1368" s="65">
        <f>IFERROR(__xludf.DUMMYFUNCTION("""COMPUTED_VALUE"""),4292499.0)</f>
        <v>4292499</v>
      </c>
      <c r="C1368" s="65" t="str">
        <f>IFERROR(__xludf.DUMMYFUNCTION("""COMPUTED_VALUE"""),"07:38")</f>
        <v>07:38</v>
      </c>
      <c r="D1368" s="65" t="str">
        <f>IFERROR(__xludf.DUMMYFUNCTION("""COMPUTED_VALUE"""),"27-01-2026")</f>
        <v>27-01-2026</v>
      </c>
      <c r="E1368" s="65" t="str">
        <f>IFERROR(__xludf.DUMMYFUNCTION("""COMPUTED_VALUE"""),"Santiago Garrido")</f>
        <v>Santiago Garrido</v>
      </c>
      <c r="F1368" s="65" t="str">
        <f>IFERROR(__xludf.DUMMYFUNCTION("""COMPUTED_VALUE"""),"988958344")</f>
        <v>988958344</v>
      </c>
      <c r="G1368" s="65" t="str">
        <f>IFERROR(__xludf.DUMMYFUNCTION("""COMPUTED_VALUE"""),"fitzgarrido@gmail.com")</f>
        <v>fitzgarrido@gmail.com</v>
      </c>
      <c r="H1368" s="65"/>
      <c r="I1368" s="65"/>
      <c r="J1368" s="65" t="str">
        <f>IFERROR(__xludf.DUMMYFUNCTION("""COMPUTED_VALUE"""),"D001266099")</f>
        <v>D001266099</v>
      </c>
      <c r="K1368" s="65" t="str">
        <f>IFERROR(__xludf.DUMMYFUNCTION("""COMPUTED_VALUE"""),"ENTREGADO")</f>
        <v>ENTREGADO</v>
      </c>
      <c r="L1368" s="65" t="str">
        <f>IFERROR(__xludf.DUMMYFUNCTION("""COMPUTED_VALUE"""),"CON RECAUDO")</f>
        <v>CON RECAUDO</v>
      </c>
      <c r="M1368" s="65" t="str">
        <f>IFERROR(__xludf.DUMMYFUNCTION("""COMPUTED_VALUE"""),"SANTO DOMINGO DE LOS TSACHILAS")</f>
        <v>SANTO DOMINGO DE LOS TSACHILAS</v>
      </c>
      <c r="N1368" s="65" t="str">
        <f>IFERROR(__xludf.DUMMYFUNCTION("""COMPUTED_VALUE"""),"SANTO DOMINGO")</f>
        <v>SANTO DOMINGO</v>
      </c>
      <c r="O1368" s="65" t="str">
        <f>IFERROR(__xludf.DUMMYFUNCTION("""COMPUTED_VALUE"""),"Calle Riobamba y Calle Galápagos -")</f>
        <v>Calle Riobamba y Calle Galápagos -</v>
      </c>
      <c r="P1368" s="65"/>
      <c r="Q1368" s="65" t="str">
        <f>IFERROR(__xludf.DUMMYFUNCTION("""COMPUTED_VALUE"""),"GINTRACOM")</f>
        <v>GINTRACOM</v>
      </c>
      <c r="R1368" s="65">
        <f>IFERROR(__xludf.DUMMYFUNCTION("""COMPUTED_VALUE"""),21.99)</f>
        <v>21.99</v>
      </c>
      <c r="S1368" s="65">
        <f>IFERROR(__xludf.DUMMYFUNCTION("""COMPUTED_VALUE"""),11.15)</f>
        <v>11.15</v>
      </c>
      <c r="T1368" s="65">
        <f>IFERROR(__xludf.DUMMYFUNCTION("""COMPUTED_VALUE"""),5.84)</f>
        <v>5.84</v>
      </c>
      <c r="U1368" s="65">
        <f>IFERROR(__xludf.DUMMYFUNCTION("""COMPUTED_VALUE"""),0.0)</f>
        <v>0</v>
      </c>
      <c r="V1368" s="65">
        <f>IFERROR(__xludf.DUMMYFUNCTION("""COMPUTED_VALUE"""),0.0)</f>
        <v>0</v>
      </c>
      <c r="W1368" s="65">
        <f>IFERROR(__xludf.DUMMYFUNCTION("""COMPUTED_VALUE"""),0.0)</f>
        <v>0</v>
      </c>
      <c r="X1368" s="65">
        <f>IFERROR(__xludf.DUMMYFUNCTION("""COMPUTED_VALUE"""),5.0)</f>
        <v>5</v>
      </c>
      <c r="Y1368" s="65">
        <f>IFERROR(__xludf.DUMMYFUNCTION("""COMPUTED_VALUE"""),5.0)</f>
        <v>5</v>
      </c>
      <c r="Z1368" s="65">
        <f>IFERROR(__xludf.DUMMYFUNCTION("""COMPUTED_VALUE"""),110064.0)</f>
        <v>110064</v>
      </c>
      <c r="AA1368" s="65" t="str">
        <f>IFERROR(__xludf.DUMMYFUNCTION("""COMPUTED_VALUE"""),"IMX-00001")</f>
        <v>IMX-00001</v>
      </c>
      <c r="AB1368" s="65"/>
      <c r="AC1368" s="65" t="str">
        <f>IFERROR(__xludf.DUMMYFUNCTION("""COMPUTED_VALUE"""),"LLAVE TRINQUETE")</f>
        <v>LLAVE TRINQUETE</v>
      </c>
      <c r="AD1368" s="65"/>
      <c r="AE1368" s="65">
        <f>IFERROR(__xludf.DUMMYFUNCTION("""COMPUTED_VALUE"""),1.0)</f>
        <v>1</v>
      </c>
      <c r="AF1368" s="65"/>
      <c r="AG1368" s="65"/>
      <c r="AH1368" s="65"/>
      <c r="AI1368" s="65"/>
      <c r="AJ1368" s="65"/>
      <c r="AK1368" s="65"/>
      <c r="AL1368" s="65"/>
      <c r="AM1368" s="65"/>
      <c r="AN1368" s="65"/>
      <c r="AO1368" s="65"/>
      <c r="AP1368" s="65"/>
      <c r="AQ1368" s="65"/>
      <c r="AR1368" s="65"/>
      <c r="AS1368" s="65"/>
      <c r="AT1368" s="65" t="str">
        <f>IFERROR(__xludf.DUMMYFUNCTION("""COMPUTED_VALUE"""),"SHOPIFY")</f>
        <v>SHOPIFY</v>
      </c>
      <c r="AU1368" s="65" t="str">
        <f>IFERROR(__xludf.DUMMYFUNCTION("""COMPUTED_VALUE"""),"IMPORTEX EC")</f>
        <v>IMPORTEX EC</v>
      </c>
      <c r="AV1368" s="65" t="str">
        <f>IFERROR(__xludf.DUMMYFUNCTION("""COMPUTED_VALUE"""),"6450254348332")</f>
        <v>6450254348332</v>
      </c>
      <c r="AW1368" s="65">
        <f>IFERROR(__xludf.DUMMYFUNCTION("""COMPUTED_VALUE"""),5554.0)</f>
        <v>5554</v>
      </c>
      <c r="AX1368" s="65"/>
      <c r="AY1368" s="65" t="str">
        <f>IFERROR(__xludf.DUMMYFUNCTION("""COMPUTED_VALUE"""),"27/01/2026")</f>
        <v>27/01/2026</v>
      </c>
      <c r="AZ1368" s="65"/>
      <c r="BA1368" s="65"/>
    </row>
    <row r="1369">
      <c r="A1369" s="65" t="str">
        <f>IFERROR(__xludf.DUMMYFUNCTION("""COMPUTED_VALUE"""),"27-03-2026")</f>
        <v>27-03-2026</v>
      </c>
      <c r="B1369" s="65">
        <f>IFERROR(__xludf.DUMMYFUNCTION("""COMPUTED_VALUE"""),4292453.0)</f>
        <v>4292453</v>
      </c>
      <c r="C1369" s="65" t="str">
        <f>IFERROR(__xludf.DUMMYFUNCTION("""COMPUTED_VALUE"""),"07:33")</f>
        <v>07:33</v>
      </c>
      <c r="D1369" s="65" t="str">
        <f>IFERROR(__xludf.DUMMYFUNCTION("""COMPUTED_VALUE"""),"27-01-2026")</f>
        <v>27-01-2026</v>
      </c>
      <c r="E1369" s="65" t="str">
        <f>IFERROR(__xludf.DUMMYFUNCTION("""COMPUTED_VALUE"""),"Roberto Cadena Cabrera")</f>
        <v>Roberto Cadena Cabrera</v>
      </c>
      <c r="F1369" s="65" t="str">
        <f>IFERROR(__xludf.DUMMYFUNCTION("""COMPUTED_VALUE"""),"982565305")</f>
        <v>982565305</v>
      </c>
      <c r="G1369" s="65" t="str">
        <f>IFERROR(__xludf.DUMMYFUNCTION("""COMPUTED_VALUE"""),"rccquito@hotmail.com")</f>
        <v>rccquito@hotmail.com</v>
      </c>
      <c r="H1369" s="65"/>
      <c r="I1369" s="65"/>
      <c r="J1369" s="65" t="str">
        <f>IFERROR(__xludf.DUMMYFUNCTION("""COMPUTED_VALUE"""),"D001266100")</f>
        <v>D001266100</v>
      </c>
      <c r="K1369" s="65" t="str">
        <f>IFERROR(__xludf.DUMMYFUNCTION("""COMPUTED_VALUE"""),"DEVOLUCION")</f>
        <v>DEVOLUCION</v>
      </c>
      <c r="L1369" s="65" t="str">
        <f>IFERROR(__xludf.DUMMYFUNCTION("""COMPUTED_VALUE"""),"CON RECAUDO")</f>
        <v>CON RECAUDO</v>
      </c>
      <c r="M1369" s="65" t="str">
        <f>IFERROR(__xludf.DUMMYFUNCTION("""COMPUTED_VALUE"""),"SANTO DOMINGO DE LOS TSACHILAS")</f>
        <v>SANTO DOMINGO DE LOS TSACHILAS</v>
      </c>
      <c r="N1369" s="65" t="str">
        <f>IFERROR(__xludf.DUMMYFUNCTION("""COMPUTED_VALUE"""),"SANTO DOMINGO")</f>
        <v>SANTO DOMINGO</v>
      </c>
      <c r="O1369" s="65" t="str">
        <f>IFERROR(__xludf.DUMMYFUNCTION("""COMPUTED_VALUE"""),"Calle Rio Zamora y Rio Upano Urb. UCOM 1 Tras de la Tribuna de los desfiles -")</f>
        <v>Calle Rio Zamora y Rio Upano Urb. UCOM 1 Tras de la Tribuna de los desfiles -</v>
      </c>
      <c r="P1369" s="65"/>
      <c r="Q1369" s="65" t="str">
        <f>IFERROR(__xludf.DUMMYFUNCTION("""COMPUTED_VALUE"""),"GINTRACOM")</f>
        <v>GINTRACOM</v>
      </c>
      <c r="R1369" s="65">
        <f>IFERROR(__xludf.DUMMYFUNCTION("""COMPUTED_VALUE"""),21.99)</f>
        <v>21.99</v>
      </c>
      <c r="S1369" s="65"/>
      <c r="T1369" s="65">
        <f>IFERROR(__xludf.DUMMYFUNCTION("""COMPUTED_VALUE"""),5.84)</f>
        <v>5.84</v>
      </c>
      <c r="U1369" s="65">
        <f>IFERROR(__xludf.DUMMYFUNCTION("""COMPUTED_VALUE"""),0.0)</f>
        <v>0</v>
      </c>
      <c r="V1369" s="65">
        <f>IFERROR(__xludf.DUMMYFUNCTION("""COMPUTED_VALUE"""),0.0)</f>
        <v>0</v>
      </c>
      <c r="W1369" s="65">
        <f>IFERROR(__xludf.DUMMYFUNCTION("""COMPUTED_VALUE"""),0.0)</f>
        <v>0</v>
      </c>
      <c r="X1369" s="65">
        <f>IFERROR(__xludf.DUMMYFUNCTION("""COMPUTED_VALUE"""),5.0)</f>
        <v>5</v>
      </c>
      <c r="Y1369" s="65">
        <f>IFERROR(__xludf.DUMMYFUNCTION("""COMPUTED_VALUE"""),5.0)</f>
        <v>5</v>
      </c>
      <c r="Z1369" s="65">
        <f>IFERROR(__xludf.DUMMYFUNCTION("""COMPUTED_VALUE"""),110064.0)</f>
        <v>110064</v>
      </c>
      <c r="AA1369" s="65" t="str">
        <f>IFERROR(__xludf.DUMMYFUNCTION("""COMPUTED_VALUE"""),"IMX-00001")</f>
        <v>IMX-00001</v>
      </c>
      <c r="AB1369" s="65"/>
      <c r="AC1369" s="65" t="str">
        <f>IFERROR(__xludf.DUMMYFUNCTION("""COMPUTED_VALUE"""),"LLAVE TRINQUETE")</f>
        <v>LLAVE TRINQUETE</v>
      </c>
      <c r="AD1369" s="65"/>
      <c r="AE1369" s="65">
        <f>IFERROR(__xludf.DUMMYFUNCTION("""COMPUTED_VALUE"""),1.0)</f>
        <v>1</v>
      </c>
      <c r="AF1369" s="65" t="str">
        <f>IFERROR(__xludf.DUMMYFUNCTION("""COMPUTED_VALUE"""),"DESTINATARIO NO CONTESTA LLAMADAS NI WHATSAPP")</f>
        <v>DESTINATARIO NO CONTESTA LLAMADAS NI WHATSAPP</v>
      </c>
      <c r="AG1369" s="65" t="str">
        <f>IFERROR(__xludf.DUMMYFUNCTION("""COMPUTED_VALUE"""),"NO")</f>
        <v>NO</v>
      </c>
      <c r="AH1369" s="65" t="str">
        <f>IFERROR(__xludf.DUMMYFUNCTION("""COMPUTED_VALUE"""),"09:00")</f>
        <v>09:00</v>
      </c>
      <c r="AI1369" s="65" t="str">
        <f>IFERROR(__xludf.DUMMYFUNCTION("""COMPUTED_VALUE"""),"06-02-2026")</f>
        <v>06-02-2026</v>
      </c>
      <c r="AJ1369" s="65"/>
      <c r="AK1369" s="65"/>
      <c r="AL1369" s="65"/>
      <c r="AM1369" s="65"/>
      <c r="AN1369" s="65" t="str">
        <f>IFERROR(__xludf.DUMMYFUNCTION("""COMPUTED_VALUE"""),"14:37")</f>
        <v>14:37</v>
      </c>
      <c r="AO1369" s="65" t="str">
        <f>IFERROR(__xludf.DUMMYFUNCTION("""COMPUTED_VALUE"""),"24-02-2026")</f>
        <v>24-02-2026</v>
      </c>
      <c r="AP1369" s="65" t="str">
        <f>IFERROR(__xludf.DUMMYFUNCTION("""COMPUTED_VALUE"""),"DEVOLUCIÓN ENTREGADA A ORIGEN")</f>
        <v>DEVOLUCIÓN ENTREGADA A ORIGEN</v>
      </c>
      <c r="AQ1369" s="65" t="str">
        <f>IFERROR(__xludf.DUMMYFUNCTION("""COMPUTED_VALUE"""),"DEVOLUCIÓN ENTREGADA A ORIGEN")</f>
        <v>DEVOLUCIÓN ENTREGADA A ORIGEN</v>
      </c>
      <c r="AR1369" s="65"/>
      <c r="AS1369" s="65"/>
      <c r="AT1369" s="65" t="str">
        <f>IFERROR(__xludf.DUMMYFUNCTION("""COMPUTED_VALUE"""),"SHOPIFY")</f>
        <v>SHOPIFY</v>
      </c>
      <c r="AU1369" s="65" t="str">
        <f>IFERROR(__xludf.DUMMYFUNCTION("""COMPUTED_VALUE"""),"IMPORTEX EC")</f>
        <v>IMPORTEX EC</v>
      </c>
      <c r="AV1369" s="65" t="str">
        <f>IFERROR(__xludf.DUMMYFUNCTION("""COMPUTED_VALUE"""),"6451225526316")</f>
        <v>6451225526316</v>
      </c>
      <c r="AW1369" s="65">
        <f>IFERROR(__xludf.DUMMYFUNCTION("""COMPUTED_VALUE"""),5563.0)</f>
        <v>5563</v>
      </c>
      <c r="AX1369" s="65"/>
      <c r="AY1369" s="65" t="str">
        <f>IFERROR(__xludf.DUMMYFUNCTION("""COMPUTED_VALUE"""),"27/01/2026")</f>
        <v>27/01/2026</v>
      </c>
      <c r="AZ1369" s="65"/>
      <c r="BA1369" s="65"/>
    </row>
    <row r="1370">
      <c r="A1370" s="65" t="str">
        <f>IFERROR(__xludf.DUMMYFUNCTION("""COMPUTED_VALUE"""),"27-03-2026")</f>
        <v>27-03-2026</v>
      </c>
      <c r="B1370" s="65">
        <f>IFERROR(__xludf.DUMMYFUNCTION("""COMPUTED_VALUE"""),4292400.0)</f>
        <v>4292400</v>
      </c>
      <c r="C1370" s="65" t="str">
        <f>IFERROR(__xludf.DUMMYFUNCTION("""COMPUTED_VALUE"""),"07:28")</f>
        <v>07:28</v>
      </c>
      <c r="D1370" s="65" t="str">
        <f>IFERROR(__xludf.DUMMYFUNCTION("""COMPUTED_VALUE"""),"27-01-2026")</f>
        <v>27-01-2026</v>
      </c>
      <c r="E1370" s="65" t="str">
        <f>IFERROR(__xludf.DUMMYFUNCTION("""COMPUTED_VALUE"""),"Iván Trujillo")</f>
        <v>Iván Trujillo</v>
      </c>
      <c r="F1370" s="65" t="str">
        <f>IFERROR(__xludf.DUMMYFUNCTION("""COMPUTED_VALUE"""),"963815248")</f>
        <v>963815248</v>
      </c>
      <c r="G1370" s="65" t="str">
        <f>IFERROR(__xludf.DUMMYFUNCTION("""COMPUTED_VALUE"""),"it720627@gmail.com")</f>
        <v>it720627@gmail.com</v>
      </c>
      <c r="H1370" s="65"/>
      <c r="I1370" s="65"/>
      <c r="J1370" s="65"/>
      <c r="K1370" s="65" t="str">
        <f>IFERROR(__xludf.DUMMYFUNCTION("""COMPUTED_VALUE"""),"CANCELADO")</f>
        <v>CANCELADO</v>
      </c>
      <c r="L1370" s="65" t="str">
        <f>IFERROR(__xludf.DUMMYFUNCTION("""COMPUTED_VALUE"""),"CON RECAUDO")</f>
        <v>CON RECAUDO</v>
      </c>
      <c r="M1370" s="65" t="str">
        <f>IFERROR(__xludf.DUMMYFUNCTION("""COMPUTED_VALUE"""),"PICHINCHA")</f>
        <v>PICHINCHA</v>
      </c>
      <c r="N1370" s="65" t="str">
        <f>IFERROR(__xludf.DUMMYFUNCTION("""COMPUTED_VALUE"""),"QUITO")</f>
        <v>QUITO</v>
      </c>
      <c r="O1370" s="65" t="str">
        <f>IFERROR(__xludf.DUMMYFUNCTION("""COMPUTED_VALUE"""),"Avenida del maestro y Sebastiá Avenida del maestro y Sebastiá -")</f>
        <v>Avenida del maestro y Sebastiá Avenida del maestro y Sebastiá -</v>
      </c>
      <c r="P1370" s="65"/>
      <c r="Q1370" s="65" t="str">
        <f>IFERROR(__xludf.DUMMYFUNCTION("""COMPUTED_VALUE"""),"GINTRACOM")</f>
        <v>GINTRACOM</v>
      </c>
      <c r="R1370" s="65">
        <f>IFERROR(__xludf.DUMMYFUNCTION("""COMPUTED_VALUE"""),21.99)</f>
        <v>21.99</v>
      </c>
      <c r="S1370" s="65"/>
      <c r="T1370" s="65">
        <f>IFERROR(__xludf.DUMMYFUNCTION("""COMPUTED_VALUE"""),4.23)</f>
        <v>4.23</v>
      </c>
      <c r="U1370" s="65">
        <f>IFERROR(__xludf.DUMMYFUNCTION("""COMPUTED_VALUE"""),0.0)</f>
        <v>0</v>
      </c>
      <c r="V1370" s="65">
        <f>IFERROR(__xludf.DUMMYFUNCTION("""COMPUTED_VALUE"""),0.0)</f>
        <v>0</v>
      </c>
      <c r="W1370" s="65">
        <f>IFERROR(__xludf.DUMMYFUNCTION("""COMPUTED_VALUE"""),0.0)</f>
        <v>0</v>
      </c>
      <c r="X1370" s="65">
        <f>IFERROR(__xludf.DUMMYFUNCTION("""COMPUTED_VALUE"""),5.0)</f>
        <v>5</v>
      </c>
      <c r="Y1370" s="65">
        <f>IFERROR(__xludf.DUMMYFUNCTION("""COMPUTED_VALUE"""),5.0)</f>
        <v>5</v>
      </c>
      <c r="Z1370" s="65">
        <f>IFERROR(__xludf.DUMMYFUNCTION("""COMPUTED_VALUE"""),110064.0)</f>
        <v>110064</v>
      </c>
      <c r="AA1370" s="65" t="str">
        <f>IFERROR(__xludf.DUMMYFUNCTION("""COMPUTED_VALUE"""),"IMX-00001")</f>
        <v>IMX-00001</v>
      </c>
      <c r="AB1370" s="65"/>
      <c r="AC1370" s="65" t="str">
        <f>IFERROR(__xludf.DUMMYFUNCTION("""COMPUTED_VALUE"""),"LLAVE TRINQUETE")</f>
        <v>LLAVE TRINQUETE</v>
      </c>
      <c r="AD1370" s="65"/>
      <c r="AE1370" s="65">
        <f>IFERROR(__xludf.DUMMYFUNCTION("""COMPUTED_VALUE"""),1.0)</f>
        <v>1</v>
      </c>
      <c r="AF1370" s="65"/>
      <c r="AG1370" s="65"/>
      <c r="AH1370" s="65"/>
      <c r="AI1370" s="65"/>
      <c r="AJ1370" s="65"/>
      <c r="AK1370" s="65"/>
      <c r="AL1370" s="65"/>
      <c r="AM1370" s="65"/>
      <c r="AN1370" s="65"/>
      <c r="AO1370" s="65"/>
      <c r="AP1370" s="65"/>
      <c r="AQ1370" s="65"/>
      <c r="AR1370" s="65"/>
      <c r="AS1370" s="65"/>
      <c r="AT1370" s="65" t="str">
        <f>IFERROR(__xludf.DUMMYFUNCTION("""COMPUTED_VALUE"""),"SHOPIFY")</f>
        <v>SHOPIFY</v>
      </c>
      <c r="AU1370" s="65" t="str">
        <f>IFERROR(__xludf.DUMMYFUNCTION("""COMPUTED_VALUE"""),"IMPORTEX EC")</f>
        <v>IMPORTEX EC</v>
      </c>
      <c r="AV1370" s="65" t="str">
        <f>IFERROR(__xludf.DUMMYFUNCTION("""COMPUTED_VALUE"""),"6451276382252")</f>
        <v>6451276382252</v>
      </c>
      <c r="AW1370" s="65">
        <f>IFERROR(__xludf.DUMMYFUNCTION("""COMPUTED_VALUE"""),5566.0)</f>
        <v>5566</v>
      </c>
      <c r="AX1370" s="65"/>
      <c r="AY1370" s="65"/>
      <c r="AZ1370" s="65"/>
      <c r="BA1370" s="65"/>
    </row>
    <row r="1371">
      <c r="A1371" s="65" t="str">
        <f>IFERROR(__xludf.DUMMYFUNCTION("""COMPUTED_VALUE"""),"27-03-2026")</f>
        <v>27-03-2026</v>
      </c>
      <c r="B1371" s="65">
        <f>IFERROR(__xludf.DUMMYFUNCTION("""COMPUTED_VALUE"""),4292379.0)</f>
        <v>4292379</v>
      </c>
      <c r="C1371" s="65" t="str">
        <f>IFERROR(__xludf.DUMMYFUNCTION("""COMPUTED_VALUE"""),"07:26")</f>
        <v>07:26</v>
      </c>
      <c r="D1371" s="65" t="str">
        <f>IFERROR(__xludf.DUMMYFUNCTION("""COMPUTED_VALUE"""),"27-01-2026")</f>
        <v>27-01-2026</v>
      </c>
      <c r="E1371" s="65" t="str">
        <f>IFERROR(__xludf.DUMMYFUNCTION("""COMPUTED_VALUE"""),"Franklin Alberto Ruiz Cordova")</f>
        <v>Franklin Alberto Ruiz Cordova</v>
      </c>
      <c r="F1371" s="65" t="str">
        <f>IFERROR(__xludf.DUMMYFUNCTION("""COMPUTED_VALUE"""),"993390103")</f>
        <v>993390103</v>
      </c>
      <c r="G1371" s="65"/>
      <c r="H1371" s="65"/>
      <c r="I1371" s="65"/>
      <c r="J1371" s="65" t="str">
        <f>IFERROR(__xludf.DUMMYFUNCTION("""COMPUTED_VALUE"""),"D001266101")</f>
        <v>D001266101</v>
      </c>
      <c r="K1371" s="65" t="str">
        <f>IFERROR(__xludf.DUMMYFUNCTION("""COMPUTED_VALUE"""),"ENTREGADO")</f>
        <v>ENTREGADO</v>
      </c>
      <c r="L1371" s="65" t="str">
        <f>IFERROR(__xludf.DUMMYFUNCTION("""COMPUTED_VALUE"""),"CON RECAUDO")</f>
        <v>CON RECAUDO</v>
      </c>
      <c r="M1371" s="65" t="str">
        <f>IFERROR(__xludf.DUMMYFUNCTION("""COMPUTED_VALUE"""),"MANABI")</f>
        <v>MANABI</v>
      </c>
      <c r="N1371" s="65" t="str">
        <f>IFERROR(__xludf.DUMMYFUNCTION("""COMPUTED_VALUE"""),"PORTOVIEJO")</f>
        <v>PORTOVIEJO</v>
      </c>
      <c r="O1371" s="65" t="str">
        <f>IFERROR(__xludf.DUMMYFUNCTION("""COMPUTED_VALUE"""),"Diagonal al hopital Verdi Cevallos 12de Marzoy Rocafuerte (diagonal al hospital Verdi Cevallos -frente al laboratorio Salud Amiga) -")</f>
        <v>Diagonal al hopital Verdi Cevallos 12de Marzoy Rocafuerte (diagonal al hospital Verdi Cevallos -frente al laboratorio Salud Amiga) -</v>
      </c>
      <c r="P1371" s="65"/>
      <c r="Q1371" s="65" t="str">
        <f>IFERROR(__xludf.DUMMYFUNCTION("""COMPUTED_VALUE"""),"GINTRACOM")</f>
        <v>GINTRACOM</v>
      </c>
      <c r="R1371" s="65">
        <f>IFERROR(__xludf.DUMMYFUNCTION("""COMPUTED_VALUE"""),21.99)</f>
        <v>21.99</v>
      </c>
      <c r="S1371" s="65">
        <f>IFERROR(__xludf.DUMMYFUNCTION("""COMPUTED_VALUE"""),11.15)</f>
        <v>11.15</v>
      </c>
      <c r="T1371" s="65">
        <f>IFERROR(__xludf.DUMMYFUNCTION("""COMPUTED_VALUE"""),5.84)</f>
        <v>5.84</v>
      </c>
      <c r="U1371" s="65">
        <f>IFERROR(__xludf.DUMMYFUNCTION("""COMPUTED_VALUE"""),0.0)</f>
        <v>0</v>
      </c>
      <c r="V1371" s="65">
        <f>IFERROR(__xludf.DUMMYFUNCTION("""COMPUTED_VALUE"""),0.0)</f>
        <v>0</v>
      </c>
      <c r="W1371" s="65">
        <f>IFERROR(__xludf.DUMMYFUNCTION("""COMPUTED_VALUE"""),0.0)</f>
        <v>0</v>
      </c>
      <c r="X1371" s="65">
        <f>IFERROR(__xludf.DUMMYFUNCTION("""COMPUTED_VALUE"""),5.0)</f>
        <v>5</v>
      </c>
      <c r="Y1371" s="65">
        <f>IFERROR(__xludf.DUMMYFUNCTION("""COMPUTED_VALUE"""),5.0)</f>
        <v>5</v>
      </c>
      <c r="Z1371" s="65">
        <f>IFERROR(__xludf.DUMMYFUNCTION("""COMPUTED_VALUE"""),110064.0)</f>
        <v>110064</v>
      </c>
      <c r="AA1371" s="65" t="str">
        <f>IFERROR(__xludf.DUMMYFUNCTION("""COMPUTED_VALUE"""),"IMX-00001")</f>
        <v>IMX-00001</v>
      </c>
      <c r="AB1371" s="65"/>
      <c r="AC1371" s="65" t="str">
        <f>IFERROR(__xludf.DUMMYFUNCTION("""COMPUTED_VALUE"""),"LLAVE TRINQUETE")</f>
        <v>LLAVE TRINQUETE</v>
      </c>
      <c r="AD1371" s="65"/>
      <c r="AE1371" s="65">
        <f>IFERROR(__xludf.DUMMYFUNCTION("""COMPUTED_VALUE"""),1.0)</f>
        <v>1</v>
      </c>
      <c r="AF1371" s="65"/>
      <c r="AG1371" s="65"/>
      <c r="AH1371" s="65"/>
      <c r="AI1371" s="65"/>
      <c r="AJ1371" s="65"/>
      <c r="AK1371" s="65"/>
      <c r="AL1371" s="65"/>
      <c r="AM1371" s="65"/>
      <c r="AN1371" s="65"/>
      <c r="AO1371" s="65"/>
      <c r="AP1371" s="65"/>
      <c r="AQ1371" s="65"/>
      <c r="AR1371" s="65"/>
      <c r="AS1371" s="65"/>
      <c r="AT1371" s="65" t="str">
        <f>IFERROR(__xludf.DUMMYFUNCTION("""COMPUTED_VALUE"""),"SHOPIFY")</f>
        <v>SHOPIFY</v>
      </c>
      <c r="AU1371" s="65" t="str">
        <f>IFERROR(__xludf.DUMMYFUNCTION("""COMPUTED_VALUE"""),"IMPORTEX EC")</f>
        <v>IMPORTEX EC</v>
      </c>
      <c r="AV1371" s="65" t="str">
        <f>IFERROR(__xludf.DUMMYFUNCTION("""COMPUTED_VALUE"""),"6451164250156")</f>
        <v>6451164250156</v>
      </c>
      <c r="AW1371" s="65">
        <f>IFERROR(__xludf.DUMMYFUNCTION("""COMPUTED_VALUE"""),5561.0)</f>
        <v>5561</v>
      </c>
      <c r="AX1371" s="65"/>
      <c r="AY1371" s="65" t="str">
        <f>IFERROR(__xludf.DUMMYFUNCTION("""COMPUTED_VALUE"""),"27/01/2026")</f>
        <v>27/01/2026</v>
      </c>
      <c r="AZ1371" s="65"/>
      <c r="BA1371" s="65"/>
    </row>
    <row r="1372">
      <c r="A1372" s="65" t="str">
        <f>IFERROR(__xludf.DUMMYFUNCTION("""COMPUTED_VALUE"""),"27-03-2026")</f>
        <v>27-03-2026</v>
      </c>
      <c r="B1372" s="65">
        <f>IFERROR(__xludf.DUMMYFUNCTION("""COMPUTED_VALUE"""),4292285.0)</f>
        <v>4292285</v>
      </c>
      <c r="C1372" s="65" t="str">
        <f>IFERROR(__xludf.DUMMYFUNCTION("""COMPUTED_VALUE"""),"07:20")</f>
        <v>07:20</v>
      </c>
      <c r="D1372" s="65" t="str">
        <f>IFERROR(__xludf.DUMMYFUNCTION("""COMPUTED_VALUE"""),"27-01-2026")</f>
        <v>27-01-2026</v>
      </c>
      <c r="E1372" s="65" t="str">
        <f>IFERROR(__xludf.DUMMYFUNCTION("""COMPUTED_VALUE"""),"Roberto Ugalde")</f>
        <v>Roberto Ugalde</v>
      </c>
      <c r="F1372" s="65" t="str">
        <f>IFERROR(__xludf.DUMMYFUNCTION("""COMPUTED_VALUE"""),"999503851")</f>
        <v>999503851</v>
      </c>
      <c r="G1372" s="65"/>
      <c r="H1372" s="65"/>
      <c r="I1372" s="65"/>
      <c r="J1372" s="65" t="str">
        <f>IFERROR(__xludf.DUMMYFUNCTION("""COMPUTED_VALUE"""),"D001266102")</f>
        <v>D001266102</v>
      </c>
      <c r="K1372" s="65" t="str">
        <f>IFERROR(__xludf.DUMMYFUNCTION("""COMPUTED_VALUE"""),"ENTREGADO")</f>
        <v>ENTREGADO</v>
      </c>
      <c r="L1372" s="65" t="str">
        <f>IFERROR(__xludf.DUMMYFUNCTION("""COMPUTED_VALUE"""),"CON RECAUDO")</f>
        <v>CON RECAUDO</v>
      </c>
      <c r="M1372" s="65" t="str">
        <f>IFERROR(__xludf.DUMMYFUNCTION("""COMPUTED_VALUE"""),"AZUAY")</f>
        <v>AZUAY</v>
      </c>
      <c r="N1372" s="65" t="str">
        <f>IFERROR(__xludf.DUMMYFUNCTION("""COMPUTED_VALUE"""),"CUENCA")</f>
        <v>CUENCA</v>
      </c>
      <c r="O1372" s="65" t="str">
        <f>IFERROR(__xludf.DUMMYFUNCTION("""COMPUTED_VALUE"""),"Los Álamos 2-32 Av. Ordóñez Lasso")</f>
        <v>Los Álamos 2-32 Av. Ordóñez Lasso</v>
      </c>
      <c r="P1372" s="65"/>
      <c r="Q1372" s="65" t="str">
        <f>IFERROR(__xludf.DUMMYFUNCTION("""COMPUTED_VALUE"""),"GINTRACOM")</f>
        <v>GINTRACOM</v>
      </c>
      <c r="R1372" s="65">
        <f>IFERROR(__xludf.DUMMYFUNCTION("""COMPUTED_VALUE"""),21.99)</f>
        <v>21.99</v>
      </c>
      <c r="S1372" s="65">
        <f>IFERROR(__xludf.DUMMYFUNCTION("""COMPUTED_VALUE"""),11.15)</f>
        <v>11.15</v>
      </c>
      <c r="T1372" s="65">
        <f>IFERROR(__xludf.DUMMYFUNCTION("""COMPUTED_VALUE"""),5.84)</f>
        <v>5.84</v>
      </c>
      <c r="U1372" s="65">
        <f>IFERROR(__xludf.DUMMYFUNCTION("""COMPUTED_VALUE"""),0.0)</f>
        <v>0</v>
      </c>
      <c r="V1372" s="65">
        <f>IFERROR(__xludf.DUMMYFUNCTION("""COMPUTED_VALUE"""),0.0)</f>
        <v>0</v>
      </c>
      <c r="W1372" s="65">
        <f>IFERROR(__xludf.DUMMYFUNCTION("""COMPUTED_VALUE"""),0.0)</f>
        <v>0</v>
      </c>
      <c r="X1372" s="65">
        <f>IFERROR(__xludf.DUMMYFUNCTION("""COMPUTED_VALUE"""),5.0)</f>
        <v>5</v>
      </c>
      <c r="Y1372" s="65">
        <f>IFERROR(__xludf.DUMMYFUNCTION("""COMPUTED_VALUE"""),5.0)</f>
        <v>5</v>
      </c>
      <c r="Z1372" s="65">
        <f>IFERROR(__xludf.DUMMYFUNCTION("""COMPUTED_VALUE"""),110064.0)</f>
        <v>110064</v>
      </c>
      <c r="AA1372" s="65" t="str">
        <f>IFERROR(__xludf.DUMMYFUNCTION("""COMPUTED_VALUE"""),"IMX-00001")</f>
        <v>IMX-00001</v>
      </c>
      <c r="AB1372" s="65"/>
      <c r="AC1372" s="65" t="str">
        <f>IFERROR(__xludf.DUMMYFUNCTION("""COMPUTED_VALUE"""),"LLAVE TRINQUETE")</f>
        <v>LLAVE TRINQUETE</v>
      </c>
      <c r="AD1372" s="65"/>
      <c r="AE1372" s="65">
        <f>IFERROR(__xludf.DUMMYFUNCTION("""COMPUTED_VALUE"""),1.0)</f>
        <v>1</v>
      </c>
      <c r="AF1372" s="65"/>
      <c r="AG1372" s="65"/>
      <c r="AH1372" s="65"/>
      <c r="AI1372" s="65"/>
      <c r="AJ1372" s="65"/>
      <c r="AK1372" s="65"/>
      <c r="AL1372" s="65"/>
      <c r="AM1372" s="65"/>
      <c r="AN1372" s="65"/>
      <c r="AO1372" s="65"/>
      <c r="AP1372" s="65"/>
      <c r="AQ1372" s="65"/>
      <c r="AR1372" s="65"/>
      <c r="AS1372" s="65"/>
      <c r="AT1372" s="65" t="str">
        <f>IFERROR(__xludf.DUMMYFUNCTION("""COMPUTED_VALUE"""),"CHATEA PRO")</f>
        <v>CHATEA PRO</v>
      </c>
      <c r="AU1372" s="65" t="str">
        <f>IFERROR(__xludf.DUMMYFUNCTION("""COMPUTED_VALUE"""),"CHATEA PRO")</f>
        <v>CHATEA PRO</v>
      </c>
      <c r="AV1372" s="65"/>
      <c r="AW1372" s="65"/>
      <c r="AX1372" s="65"/>
      <c r="AY1372" s="65" t="str">
        <f>IFERROR(__xludf.DUMMYFUNCTION("""COMPUTED_VALUE"""),"27/01/2026")</f>
        <v>27/01/2026</v>
      </c>
      <c r="AZ1372" s="65"/>
      <c r="BA1372" s="65"/>
    </row>
    <row r="1373">
      <c r="A1373" s="65" t="str">
        <f>IFERROR(__xludf.DUMMYFUNCTION("""COMPUTED_VALUE"""),"27-03-2026")</f>
        <v>27-03-2026</v>
      </c>
      <c r="B1373" s="65">
        <f>IFERROR(__xludf.DUMMYFUNCTION("""COMPUTED_VALUE"""),4292261.0)</f>
        <v>4292261</v>
      </c>
      <c r="C1373" s="65" t="str">
        <f>IFERROR(__xludf.DUMMYFUNCTION("""COMPUTED_VALUE"""),"07:17")</f>
        <v>07:17</v>
      </c>
      <c r="D1373" s="65" t="str">
        <f>IFERROR(__xludf.DUMMYFUNCTION("""COMPUTED_VALUE"""),"27-01-2026")</f>
        <v>27-01-2026</v>
      </c>
      <c r="E1373" s="65" t="str">
        <f>IFERROR(__xludf.DUMMYFUNCTION("""COMPUTED_VALUE"""),"Fernando Jarrin")</f>
        <v>Fernando Jarrin</v>
      </c>
      <c r="F1373" s="65" t="str">
        <f>IFERROR(__xludf.DUMMYFUNCTION("""COMPUTED_VALUE"""),"987000336")</f>
        <v>987000336</v>
      </c>
      <c r="G1373" s="65"/>
      <c r="H1373" s="65"/>
      <c r="I1373" s="65"/>
      <c r="J1373" s="65" t="str">
        <f>IFERROR(__xludf.DUMMYFUNCTION("""COMPUTED_VALUE"""),"D001266103")</f>
        <v>D001266103</v>
      </c>
      <c r="K1373" s="65" t="str">
        <f>IFERROR(__xludf.DUMMYFUNCTION("""COMPUTED_VALUE"""),"ENTREGADO")</f>
        <v>ENTREGADO</v>
      </c>
      <c r="L1373" s="65" t="str">
        <f>IFERROR(__xludf.DUMMYFUNCTION("""COMPUTED_VALUE"""),"CON RECAUDO")</f>
        <v>CON RECAUDO</v>
      </c>
      <c r="M1373" s="65" t="str">
        <f>IFERROR(__xludf.DUMMYFUNCTION("""COMPUTED_VALUE"""),"PICHINCHA")</f>
        <v>PICHINCHA</v>
      </c>
      <c r="N1373" s="65" t="str">
        <f>IFERROR(__xludf.DUMMYFUNCTION("""COMPUTED_VALUE"""),"QUITO")</f>
        <v>QUITO</v>
      </c>
      <c r="O1373" s="65" t="str">
        <f>IFERROR(__xludf.DUMMYFUNCTION("""COMPUTED_VALUE"""),"Ciudadela El Pinar Bajo , calle Miguel Burbano  N48 - 283 y  calle Manuel Chaleco")</f>
        <v>Ciudadela El Pinar Bajo , calle Miguel Burbano  N48 - 283 y  calle Manuel Chaleco</v>
      </c>
      <c r="P1373" s="65"/>
      <c r="Q1373" s="65" t="str">
        <f>IFERROR(__xludf.DUMMYFUNCTION("""COMPUTED_VALUE"""),"GINTRACOM")</f>
        <v>GINTRACOM</v>
      </c>
      <c r="R1373" s="65">
        <f>IFERROR(__xludf.DUMMYFUNCTION("""COMPUTED_VALUE"""),21.99)</f>
        <v>21.99</v>
      </c>
      <c r="S1373" s="65">
        <f>IFERROR(__xludf.DUMMYFUNCTION("""COMPUTED_VALUE"""),12.76)</f>
        <v>12.76</v>
      </c>
      <c r="T1373" s="65">
        <f>IFERROR(__xludf.DUMMYFUNCTION("""COMPUTED_VALUE"""),4.23)</f>
        <v>4.23</v>
      </c>
      <c r="U1373" s="65">
        <f>IFERROR(__xludf.DUMMYFUNCTION("""COMPUTED_VALUE"""),0.0)</f>
        <v>0</v>
      </c>
      <c r="V1373" s="65">
        <f>IFERROR(__xludf.DUMMYFUNCTION("""COMPUTED_VALUE"""),0.0)</f>
        <v>0</v>
      </c>
      <c r="W1373" s="65">
        <f>IFERROR(__xludf.DUMMYFUNCTION("""COMPUTED_VALUE"""),0.0)</f>
        <v>0</v>
      </c>
      <c r="X1373" s="65">
        <f>IFERROR(__xludf.DUMMYFUNCTION("""COMPUTED_VALUE"""),5.0)</f>
        <v>5</v>
      </c>
      <c r="Y1373" s="65">
        <f>IFERROR(__xludf.DUMMYFUNCTION("""COMPUTED_VALUE"""),5.0)</f>
        <v>5</v>
      </c>
      <c r="Z1373" s="65">
        <f>IFERROR(__xludf.DUMMYFUNCTION("""COMPUTED_VALUE"""),110064.0)</f>
        <v>110064</v>
      </c>
      <c r="AA1373" s="65" t="str">
        <f>IFERROR(__xludf.DUMMYFUNCTION("""COMPUTED_VALUE"""),"IMX-00001")</f>
        <v>IMX-00001</v>
      </c>
      <c r="AB1373" s="65"/>
      <c r="AC1373" s="65" t="str">
        <f>IFERROR(__xludf.DUMMYFUNCTION("""COMPUTED_VALUE"""),"LLAVE TRINQUETE")</f>
        <v>LLAVE TRINQUETE</v>
      </c>
      <c r="AD1373" s="65"/>
      <c r="AE1373" s="65">
        <f>IFERROR(__xludf.DUMMYFUNCTION("""COMPUTED_VALUE"""),1.0)</f>
        <v>1</v>
      </c>
      <c r="AF1373" s="65"/>
      <c r="AG1373" s="65"/>
      <c r="AH1373" s="65"/>
      <c r="AI1373" s="65"/>
      <c r="AJ1373" s="65"/>
      <c r="AK1373" s="65"/>
      <c r="AL1373" s="65"/>
      <c r="AM1373" s="65"/>
      <c r="AN1373" s="65"/>
      <c r="AO1373" s="65"/>
      <c r="AP1373" s="65"/>
      <c r="AQ1373" s="65"/>
      <c r="AR1373" s="65"/>
      <c r="AS1373" s="65"/>
      <c r="AT1373" s="65" t="str">
        <f>IFERROR(__xludf.DUMMYFUNCTION("""COMPUTED_VALUE"""),"CHATEA PRO")</f>
        <v>CHATEA PRO</v>
      </c>
      <c r="AU1373" s="65" t="str">
        <f>IFERROR(__xludf.DUMMYFUNCTION("""COMPUTED_VALUE"""),"CHATEA PRO")</f>
        <v>CHATEA PRO</v>
      </c>
      <c r="AV1373" s="65"/>
      <c r="AW1373" s="65"/>
      <c r="AX1373" s="65"/>
      <c r="AY1373" s="65" t="str">
        <f>IFERROR(__xludf.DUMMYFUNCTION("""COMPUTED_VALUE"""),"27/01/2026")</f>
        <v>27/01/2026</v>
      </c>
      <c r="AZ1373" s="65"/>
      <c r="BA1373" s="65"/>
    </row>
    <row r="1374">
      <c r="A1374" s="65" t="str">
        <f>IFERROR(__xludf.DUMMYFUNCTION("""COMPUTED_VALUE"""),"27-03-2026")</f>
        <v>27-03-2026</v>
      </c>
      <c r="B1374" s="65">
        <f>IFERROR(__xludf.DUMMYFUNCTION("""COMPUTED_VALUE"""),4292212.0)</f>
        <v>4292212</v>
      </c>
      <c r="C1374" s="65" t="str">
        <f>IFERROR(__xludf.DUMMYFUNCTION("""COMPUTED_VALUE"""),"07:12")</f>
        <v>07:12</v>
      </c>
      <c r="D1374" s="65" t="str">
        <f>IFERROR(__xludf.DUMMYFUNCTION("""COMPUTED_VALUE"""),"27-01-2026")</f>
        <v>27-01-2026</v>
      </c>
      <c r="E1374" s="65" t="str">
        <f>IFERROR(__xludf.DUMMYFUNCTION("""COMPUTED_VALUE"""),"Victor  Hugo Cúsme Anzules")</f>
        <v>Victor  Hugo Cúsme Anzules</v>
      </c>
      <c r="F1374" s="65" t="str">
        <f>IFERROR(__xludf.DUMMYFUNCTION("""COMPUTED_VALUE"""),"994967249")</f>
        <v>994967249</v>
      </c>
      <c r="G1374" s="65"/>
      <c r="H1374" s="65"/>
      <c r="I1374" s="65"/>
      <c r="J1374" s="65" t="str">
        <f>IFERROR(__xludf.DUMMYFUNCTION("""COMPUTED_VALUE"""),"D001266104")</f>
        <v>D001266104</v>
      </c>
      <c r="K1374" s="65" t="str">
        <f>IFERROR(__xludf.DUMMYFUNCTION("""COMPUTED_VALUE"""),"ENTREGADO")</f>
        <v>ENTREGADO</v>
      </c>
      <c r="L1374" s="65" t="str">
        <f>IFERROR(__xludf.DUMMYFUNCTION("""COMPUTED_VALUE"""),"CON RECAUDO")</f>
        <v>CON RECAUDO</v>
      </c>
      <c r="M1374" s="65" t="str">
        <f>IFERROR(__xludf.DUMMYFUNCTION("""COMPUTED_VALUE"""),"MANABI")</f>
        <v>MANABI</v>
      </c>
      <c r="N1374" s="65" t="str">
        <f>IFERROR(__xludf.DUMMYFUNCTION("""COMPUTED_VALUE"""),"CHONE")</f>
        <v>CHONE</v>
      </c>
      <c r="O1374" s="65" t="str">
        <f>IFERROR(__xludf.DUMMYFUNCTION("""COMPUTED_VALUE"""),"Calle wilfrido Vitery, entre Ray Mundo Abeiga y Manuel de Jesús Álvarez Casa con serramiento - Chone, ciudadela Aray")</f>
        <v>Calle wilfrido Vitery, entre Ray Mundo Abeiga y Manuel de Jesús Álvarez Casa con serramiento - Chone, ciudadela Aray</v>
      </c>
      <c r="P1374" s="65"/>
      <c r="Q1374" s="65" t="str">
        <f>IFERROR(__xludf.DUMMYFUNCTION("""COMPUTED_VALUE"""),"GINTRACOM")</f>
        <v>GINTRACOM</v>
      </c>
      <c r="R1374" s="65">
        <f>IFERROR(__xludf.DUMMYFUNCTION("""COMPUTED_VALUE"""),21.99)</f>
        <v>21.99</v>
      </c>
      <c r="S1374" s="65">
        <f>IFERROR(__xludf.DUMMYFUNCTION("""COMPUTED_VALUE"""),11.15)</f>
        <v>11.15</v>
      </c>
      <c r="T1374" s="65">
        <f>IFERROR(__xludf.DUMMYFUNCTION("""COMPUTED_VALUE"""),5.84)</f>
        <v>5.84</v>
      </c>
      <c r="U1374" s="65">
        <f>IFERROR(__xludf.DUMMYFUNCTION("""COMPUTED_VALUE"""),0.0)</f>
        <v>0</v>
      </c>
      <c r="V1374" s="65">
        <f>IFERROR(__xludf.DUMMYFUNCTION("""COMPUTED_VALUE"""),0.0)</f>
        <v>0</v>
      </c>
      <c r="W1374" s="65">
        <f>IFERROR(__xludf.DUMMYFUNCTION("""COMPUTED_VALUE"""),0.0)</f>
        <v>0</v>
      </c>
      <c r="X1374" s="65">
        <f>IFERROR(__xludf.DUMMYFUNCTION("""COMPUTED_VALUE"""),5.0)</f>
        <v>5</v>
      </c>
      <c r="Y1374" s="65">
        <f>IFERROR(__xludf.DUMMYFUNCTION("""COMPUTED_VALUE"""),5.0)</f>
        <v>5</v>
      </c>
      <c r="Z1374" s="65">
        <f>IFERROR(__xludf.DUMMYFUNCTION("""COMPUTED_VALUE"""),110064.0)</f>
        <v>110064</v>
      </c>
      <c r="AA1374" s="65" t="str">
        <f>IFERROR(__xludf.DUMMYFUNCTION("""COMPUTED_VALUE"""),"IMX-00001")</f>
        <v>IMX-00001</v>
      </c>
      <c r="AB1374" s="65"/>
      <c r="AC1374" s="65" t="str">
        <f>IFERROR(__xludf.DUMMYFUNCTION("""COMPUTED_VALUE"""),"LLAVE TRINQUETE")</f>
        <v>LLAVE TRINQUETE</v>
      </c>
      <c r="AD1374" s="65"/>
      <c r="AE1374" s="65">
        <f>IFERROR(__xludf.DUMMYFUNCTION("""COMPUTED_VALUE"""),1.0)</f>
        <v>1</v>
      </c>
      <c r="AF1374" s="65"/>
      <c r="AG1374" s="65"/>
      <c r="AH1374" s="65"/>
      <c r="AI1374" s="65"/>
      <c r="AJ1374" s="65"/>
      <c r="AK1374" s="65"/>
      <c r="AL1374" s="65"/>
      <c r="AM1374" s="65"/>
      <c r="AN1374" s="65"/>
      <c r="AO1374" s="65"/>
      <c r="AP1374" s="65"/>
      <c r="AQ1374" s="65"/>
      <c r="AR1374" s="65"/>
      <c r="AS1374" s="65"/>
      <c r="AT1374" s="65" t="str">
        <f>IFERROR(__xludf.DUMMYFUNCTION("""COMPUTED_VALUE"""),"CHATEA PRO")</f>
        <v>CHATEA PRO</v>
      </c>
      <c r="AU1374" s="65" t="str">
        <f>IFERROR(__xludf.DUMMYFUNCTION("""COMPUTED_VALUE"""),"CHATEA PRO")</f>
        <v>CHATEA PRO</v>
      </c>
      <c r="AV1374" s="65"/>
      <c r="AW1374" s="65"/>
      <c r="AX1374" s="65"/>
      <c r="AY1374" s="65" t="str">
        <f>IFERROR(__xludf.DUMMYFUNCTION("""COMPUTED_VALUE"""),"27/01/2026")</f>
        <v>27/01/2026</v>
      </c>
      <c r="AZ1374" s="65"/>
      <c r="BA1374" s="65"/>
    </row>
    <row r="1375">
      <c r="A1375" s="65" t="str">
        <f>IFERROR(__xludf.DUMMYFUNCTION("""COMPUTED_VALUE"""),"27-03-2026")</f>
        <v>27-03-2026</v>
      </c>
      <c r="B1375" s="65">
        <f>IFERROR(__xludf.DUMMYFUNCTION("""COMPUTED_VALUE"""),4292190.0)</f>
        <v>4292190</v>
      </c>
      <c r="C1375" s="65" t="str">
        <f>IFERROR(__xludf.DUMMYFUNCTION("""COMPUTED_VALUE"""),"07:08")</f>
        <v>07:08</v>
      </c>
      <c r="D1375" s="65" t="str">
        <f>IFERROR(__xludf.DUMMYFUNCTION("""COMPUTED_VALUE"""),"27-01-2026")</f>
        <v>27-01-2026</v>
      </c>
      <c r="E1375" s="65" t="str">
        <f>IFERROR(__xludf.DUMMYFUNCTION("""COMPUTED_VALUE"""),"Juan Orozco")</f>
        <v>Juan Orozco</v>
      </c>
      <c r="F1375" s="65" t="str">
        <f>IFERROR(__xludf.DUMMYFUNCTION("""COMPUTED_VALUE"""),"985351177")</f>
        <v>985351177</v>
      </c>
      <c r="G1375" s="65" t="str">
        <f>IFERROR(__xludf.DUMMYFUNCTION("""COMPUTED_VALUE"""),"juanfob31@gmail.com")</f>
        <v>juanfob31@gmail.com</v>
      </c>
      <c r="H1375" s="65"/>
      <c r="I1375" s="65"/>
      <c r="J1375" s="65" t="str">
        <f>IFERROR(__xludf.DUMMYFUNCTION("""COMPUTED_VALUE"""),"D001266420")</f>
        <v>D001266420</v>
      </c>
      <c r="K1375" s="65" t="str">
        <f>IFERROR(__xludf.DUMMYFUNCTION("""COMPUTED_VALUE"""),"ENTREGADO")</f>
        <v>ENTREGADO</v>
      </c>
      <c r="L1375" s="65" t="str">
        <f>IFERROR(__xludf.DUMMYFUNCTION("""COMPUTED_VALUE"""),"CON RECAUDO")</f>
        <v>CON RECAUDO</v>
      </c>
      <c r="M1375" s="65" t="str">
        <f>IFERROR(__xludf.DUMMYFUNCTION("""COMPUTED_VALUE"""),"PICHINCHA")</f>
        <v>PICHINCHA</v>
      </c>
      <c r="N1375" s="65" t="str">
        <f>IFERROR(__xludf.DUMMYFUNCTION("""COMPUTED_VALUE"""),"QUITO")</f>
        <v>QUITO</v>
      </c>
      <c r="O1375" s="65" t="str">
        <f>IFERROR(__xludf.DUMMYFUNCTION("""COMPUTED_VALUE"""),"CENTRO HISTORICO - Exposición S4-71 Benigno Vela Estacion La Recolecta , Comando Conjunto de las FFAA -")</f>
        <v>CENTRO HISTORICO - Exposición S4-71 Benigno Vela Estacion La Recolecta , Comando Conjunto de las FFAA -</v>
      </c>
      <c r="P1375" s="65"/>
      <c r="Q1375" s="65" t="str">
        <f>IFERROR(__xludf.DUMMYFUNCTION("""COMPUTED_VALUE"""),"GINTRACOM")</f>
        <v>GINTRACOM</v>
      </c>
      <c r="R1375" s="65">
        <f>IFERROR(__xludf.DUMMYFUNCTION("""COMPUTED_VALUE"""),21.99)</f>
        <v>21.99</v>
      </c>
      <c r="S1375" s="65">
        <f>IFERROR(__xludf.DUMMYFUNCTION("""COMPUTED_VALUE"""),12.76)</f>
        <v>12.76</v>
      </c>
      <c r="T1375" s="65">
        <f>IFERROR(__xludf.DUMMYFUNCTION("""COMPUTED_VALUE"""),4.23)</f>
        <v>4.23</v>
      </c>
      <c r="U1375" s="65">
        <f>IFERROR(__xludf.DUMMYFUNCTION("""COMPUTED_VALUE"""),0.0)</f>
        <v>0</v>
      </c>
      <c r="V1375" s="65">
        <f>IFERROR(__xludf.DUMMYFUNCTION("""COMPUTED_VALUE"""),0.0)</f>
        <v>0</v>
      </c>
      <c r="W1375" s="65">
        <f>IFERROR(__xludf.DUMMYFUNCTION("""COMPUTED_VALUE"""),0.0)</f>
        <v>0</v>
      </c>
      <c r="X1375" s="65">
        <f>IFERROR(__xludf.DUMMYFUNCTION("""COMPUTED_VALUE"""),5.0)</f>
        <v>5</v>
      </c>
      <c r="Y1375" s="65">
        <f>IFERROR(__xludf.DUMMYFUNCTION("""COMPUTED_VALUE"""),5.0)</f>
        <v>5</v>
      </c>
      <c r="Z1375" s="65">
        <f>IFERROR(__xludf.DUMMYFUNCTION("""COMPUTED_VALUE"""),110064.0)</f>
        <v>110064</v>
      </c>
      <c r="AA1375" s="65" t="str">
        <f>IFERROR(__xludf.DUMMYFUNCTION("""COMPUTED_VALUE"""),"IMX-00001")</f>
        <v>IMX-00001</v>
      </c>
      <c r="AB1375" s="65"/>
      <c r="AC1375" s="65" t="str">
        <f>IFERROR(__xludf.DUMMYFUNCTION("""COMPUTED_VALUE"""),"LLAVE TRINQUETE")</f>
        <v>LLAVE TRINQUETE</v>
      </c>
      <c r="AD1375" s="65"/>
      <c r="AE1375" s="65">
        <f>IFERROR(__xludf.DUMMYFUNCTION("""COMPUTED_VALUE"""),1.0)</f>
        <v>1</v>
      </c>
      <c r="AF1375" s="65"/>
      <c r="AG1375" s="65"/>
      <c r="AH1375" s="65"/>
      <c r="AI1375" s="65"/>
      <c r="AJ1375" s="65"/>
      <c r="AK1375" s="65"/>
      <c r="AL1375" s="65"/>
      <c r="AM1375" s="65"/>
      <c r="AN1375" s="65"/>
      <c r="AO1375" s="65"/>
      <c r="AP1375" s="65"/>
      <c r="AQ1375" s="65"/>
      <c r="AR1375" s="65"/>
      <c r="AS1375" s="65"/>
      <c r="AT1375" s="65" t="str">
        <f>IFERROR(__xludf.DUMMYFUNCTION("""COMPUTED_VALUE"""),"SHOPIFY")</f>
        <v>SHOPIFY</v>
      </c>
      <c r="AU1375" s="65" t="str">
        <f>IFERROR(__xludf.DUMMYFUNCTION("""COMPUTED_VALUE"""),"IMPORTEX EC")</f>
        <v>IMPORTEX EC</v>
      </c>
      <c r="AV1375" s="65" t="str">
        <f>IFERROR(__xludf.DUMMYFUNCTION("""COMPUTED_VALUE"""),"6446543274028")</f>
        <v>6446543274028</v>
      </c>
      <c r="AW1375" s="65">
        <f>IFERROR(__xludf.DUMMYFUNCTION("""COMPUTED_VALUE"""),5510.0)</f>
        <v>5510</v>
      </c>
      <c r="AX1375" s="65"/>
      <c r="AY1375" s="65" t="str">
        <f>IFERROR(__xludf.DUMMYFUNCTION("""COMPUTED_VALUE"""),"27/01/2026")</f>
        <v>27/01/2026</v>
      </c>
      <c r="AZ1375" s="65"/>
      <c r="BA1375" s="65"/>
    </row>
    <row r="1376">
      <c r="A1376" s="65" t="str">
        <f>IFERROR(__xludf.DUMMYFUNCTION("""COMPUTED_VALUE"""),"27-03-2026")</f>
        <v>27-03-2026</v>
      </c>
      <c r="B1376" s="65">
        <f>IFERROR(__xludf.DUMMYFUNCTION("""COMPUTED_VALUE"""),4292155.0)</f>
        <v>4292155</v>
      </c>
      <c r="C1376" s="65" t="str">
        <f>IFERROR(__xludf.DUMMYFUNCTION("""COMPUTED_VALUE"""),"07:04")</f>
        <v>07:04</v>
      </c>
      <c r="D1376" s="65" t="str">
        <f>IFERROR(__xludf.DUMMYFUNCTION("""COMPUTED_VALUE"""),"27-01-2026")</f>
        <v>27-01-2026</v>
      </c>
      <c r="E1376" s="65" t="str">
        <f>IFERROR(__xludf.DUMMYFUNCTION("""COMPUTED_VALUE"""),"Xavier Estrada")</f>
        <v>Xavier Estrada</v>
      </c>
      <c r="F1376" s="65" t="str">
        <f>IFERROR(__xludf.DUMMYFUNCTION("""COMPUTED_VALUE"""),"996756974")</f>
        <v>996756974</v>
      </c>
      <c r="G1376" s="65"/>
      <c r="H1376" s="65"/>
      <c r="I1376" s="65"/>
      <c r="J1376" s="65" t="str">
        <f>IFERROR(__xludf.DUMMYFUNCTION("""COMPUTED_VALUE"""),"D001266105")</f>
        <v>D001266105</v>
      </c>
      <c r="K1376" s="65" t="str">
        <f>IFERROR(__xludf.DUMMYFUNCTION("""COMPUTED_VALUE"""),"ENTREGADO")</f>
        <v>ENTREGADO</v>
      </c>
      <c r="L1376" s="65" t="str">
        <f>IFERROR(__xludf.DUMMYFUNCTION("""COMPUTED_VALUE"""),"CON RECAUDO")</f>
        <v>CON RECAUDO</v>
      </c>
      <c r="M1376" s="65" t="str">
        <f>IFERROR(__xludf.DUMMYFUNCTION("""COMPUTED_VALUE"""),"TUNGURAHUA")</f>
        <v>TUNGURAHUA</v>
      </c>
      <c r="N1376" s="65" t="str">
        <f>IFERROR(__xludf.DUMMYFUNCTION("""COMPUTED_VALUE"""),"AMBATO")</f>
        <v>AMBATO</v>
      </c>
      <c r="O1376" s="65" t="str">
        <f>IFERROR(__xludf.DUMMYFUNCTION("""COMPUTED_VALUE"""),"Chanul y enebro Parroquia martinez barrio centro - Atrás de la iglesia parroquial, hay una empresa de internet")</f>
        <v>Chanul y enebro Parroquia martinez barrio centro - Atrás de la iglesia parroquial, hay una empresa de internet</v>
      </c>
      <c r="P1376" s="65"/>
      <c r="Q1376" s="65" t="str">
        <f>IFERROR(__xludf.DUMMYFUNCTION("""COMPUTED_VALUE"""),"GINTRACOM")</f>
        <v>GINTRACOM</v>
      </c>
      <c r="R1376" s="65">
        <f>IFERROR(__xludf.DUMMYFUNCTION("""COMPUTED_VALUE"""),32.0)</f>
        <v>32</v>
      </c>
      <c r="S1376" s="65">
        <f>IFERROR(__xludf.DUMMYFUNCTION("""COMPUTED_VALUE"""),15.76)</f>
        <v>15.76</v>
      </c>
      <c r="T1376" s="65">
        <f>IFERROR(__xludf.DUMMYFUNCTION("""COMPUTED_VALUE"""),6.24)</f>
        <v>6.24</v>
      </c>
      <c r="U1376" s="65">
        <f>IFERROR(__xludf.DUMMYFUNCTION("""COMPUTED_VALUE"""),0.0)</f>
        <v>0</v>
      </c>
      <c r="V1376" s="65">
        <f>IFERROR(__xludf.DUMMYFUNCTION("""COMPUTED_VALUE"""),0.0)</f>
        <v>0</v>
      </c>
      <c r="W1376" s="65">
        <f>IFERROR(__xludf.DUMMYFUNCTION("""COMPUTED_VALUE"""),0.0)</f>
        <v>0</v>
      </c>
      <c r="X1376" s="65">
        <f>IFERROR(__xludf.DUMMYFUNCTION("""COMPUTED_VALUE"""),5.0)</f>
        <v>5</v>
      </c>
      <c r="Y1376" s="65">
        <f>IFERROR(__xludf.DUMMYFUNCTION("""COMPUTED_VALUE"""),10.0)</f>
        <v>10</v>
      </c>
      <c r="Z1376" s="65">
        <f>IFERROR(__xludf.DUMMYFUNCTION("""COMPUTED_VALUE"""),110064.0)</f>
        <v>110064</v>
      </c>
      <c r="AA1376" s="65" t="str">
        <f>IFERROR(__xludf.DUMMYFUNCTION("""COMPUTED_VALUE"""),"IMX-00001")</f>
        <v>IMX-00001</v>
      </c>
      <c r="AB1376" s="65"/>
      <c r="AC1376" s="65" t="str">
        <f>IFERROR(__xludf.DUMMYFUNCTION("""COMPUTED_VALUE"""),"LLAVE TRINQUETE")</f>
        <v>LLAVE TRINQUETE</v>
      </c>
      <c r="AD1376" s="65"/>
      <c r="AE1376" s="65">
        <f>IFERROR(__xludf.DUMMYFUNCTION("""COMPUTED_VALUE"""),2.0)</f>
        <v>2</v>
      </c>
      <c r="AF1376" s="65"/>
      <c r="AG1376" s="65"/>
      <c r="AH1376" s="65"/>
      <c r="AI1376" s="65"/>
      <c r="AJ1376" s="65"/>
      <c r="AK1376" s="65"/>
      <c r="AL1376" s="65"/>
      <c r="AM1376" s="65"/>
      <c r="AN1376" s="65"/>
      <c r="AO1376" s="65"/>
      <c r="AP1376" s="65"/>
      <c r="AQ1376" s="65"/>
      <c r="AR1376" s="65"/>
      <c r="AS1376" s="65"/>
      <c r="AT1376" s="65" t="str">
        <f>IFERROR(__xludf.DUMMYFUNCTION("""COMPUTED_VALUE"""),"CHATEA PRO")</f>
        <v>CHATEA PRO</v>
      </c>
      <c r="AU1376" s="65" t="str">
        <f>IFERROR(__xludf.DUMMYFUNCTION("""COMPUTED_VALUE"""),"CHATEA PRO")</f>
        <v>CHATEA PRO</v>
      </c>
      <c r="AV1376" s="65"/>
      <c r="AW1376" s="65"/>
      <c r="AX1376" s="65"/>
      <c r="AY1376" s="65" t="str">
        <f>IFERROR(__xludf.DUMMYFUNCTION("""COMPUTED_VALUE"""),"27/01/2026")</f>
        <v>27/01/2026</v>
      </c>
      <c r="AZ1376" s="65"/>
      <c r="BA1376" s="65"/>
    </row>
    <row r="1377">
      <c r="A1377" s="65" t="str">
        <f>IFERROR(__xludf.DUMMYFUNCTION("""COMPUTED_VALUE"""),"27-03-2026")</f>
        <v>27-03-2026</v>
      </c>
      <c r="B1377" s="65">
        <f>IFERROR(__xludf.DUMMYFUNCTION("""COMPUTED_VALUE"""),4292091.0)</f>
        <v>4292091</v>
      </c>
      <c r="C1377" s="65" t="str">
        <f>IFERROR(__xludf.DUMMYFUNCTION("""COMPUTED_VALUE"""),"06:53")</f>
        <v>06:53</v>
      </c>
      <c r="D1377" s="65" t="str">
        <f>IFERROR(__xludf.DUMMYFUNCTION("""COMPUTED_VALUE"""),"27-01-2026")</f>
        <v>27-01-2026</v>
      </c>
      <c r="E1377" s="65" t="str">
        <f>IFERROR(__xludf.DUMMYFUNCTION("""COMPUTED_VALUE"""),"Roberto Ugalde")</f>
        <v>Roberto Ugalde</v>
      </c>
      <c r="F1377" s="65" t="str">
        <f>IFERROR(__xludf.DUMMYFUNCTION("""COMPUTED_VALUE"""),"999503851")</f>
        <v>999503851</v>
      </c>
      <c r="G1377" s="65" t="str">
        <f>IFERROR(__xludf.DUMMYFUNCTION("""COMPUTED_VALUE"""),"fusilugalde@gmail.com")</f>
        <v>fusilugalde@gmail.com</v>
      </c>
      <c r="H1377" s="65"/>
      <c r="I1377" s="65"/>
      <c r="J1377" s="65"/>
      <c r="K1377" s="65" t="str">
        <f>IFERROR(__xludf.DUMMYFUNCTION("""COMPUTED_VALUE"""),"CANCELADO")</f>
        <v>CANCELADO</v>
      </c>
      <c r="L1377" s="65" t="str">
        <f>IFERROR(__xludf.DUMMYFUNCTION("""COMPUTED_VALUE"""),"CON RECAUDO")</f>
        <v>CON RECAUDO</v>
      </c>
      <c r="M1377" s="65" t="str">
        <f>IFERROR(__xludf.DUMMYFUNCTION("""COMPUTED_VALUE"""),"AZUAY")</f>
        <v>AZUAY</v>
      </c>
      <c r="N1377" s="65" t="str">
        <f>IFERROR(__xludf.DUMMYFUNCTION("""COMPUTED_VALUE"""),"CUENCA")</f>
        <v>CUENCA</v>
      </c>
      <c r="O1377" s="65" t="str">
        <f>IFERROR(__xludf.DUMMYFUNCTION("""COMPUTED_VALUE"""),"Los Álamos 2-32 Av. Ordóñez Lasso -")</f>
        <v>Los Álamos 2-32 Av. Ordóñez Lasso -</v>
      </c>
      <c r="P1377" s="65"/>
      <c r="Q1377" s="65" t="str">
        <f>IFERROR(__xludf.DUMMYFUNCTION("""COMPUTED_VALUE"""),"GINTRACOM")</f>
        <v>GINTRACOM</v>
      </c>
      <c r="R1377" s="65">
        <f>IFERROR(__xludf.DUMMYFUNCTION("""COMPUTED_VALUE"""),21.99)</f>
        <v>21.99</v>
      </c>
      <c r="S1377" s="65"/>
      <c r="T1377" s="65">
        <f>IFERROR(__xludf.DUMMYFUNCTION("""COMPUTED_VALUE"""),5.84)</f>
        <v>5.84</v>
      </c>
      <c r="U1377" s="65">
        <f>IFERROR(__xludf.DUMMYFUNCTION("""COMPUTED_VALUE"""),0.0)</f>
        <v>0</v>
      </c>
      <c r="V1377" s="65">
        <f>IFERROR(__xludf.DUMMYFUNCTION("""COMPUTED_VALUE"""),0.0)</f>
        <v>0</v>
      </c>
      <c r="W1377" s="65">
        <f>IFERROR(__xludf.DUMMYFUNCTION("""COMPUTED_VALUE"""),0.0)</f>
        <v>0</v>
      </c>
      <c r="X1377" s="65">
        <f>IFERROR(__xludf.DUMMYFUNCTION("""COMPUTED_VALUE"""),5.0)</f>
        <v>5</v>
      </c>
      <c r="Y1377" s="65">
        <f>IFERROR(__xludf.DUMMYFUNCTION("""COMPUTED_VALUE"""),5.0)</f>
        <v>5</v>
      </c>
      <c r="Z1377" s="65">
        <f>IFERROR(__xludf.DUMMYFUNCTION("""COMPUTED_VALUE"""),110064.0)</f>
        <v>110064</v>
      </c>
      <c r="AA1377" s="65" t="str">
        <f>IFERROR(__xludf.DUMMYFUNCTION("""COMPUTED_VALUE"""),"IMX-00001")</f>
        <v>IMX-00001</v>
      </c>
      <c r="AB1377" s="65"/>
      <c r="AC1377" s="65" t="str">
        <f>IFERROR(__xludf.DUMMYFUNCTION("""COMPUTED_VALUE"""),"LLAVE TRINQUETE")</f>
        <v>LLAVE TRINQUETE</v>
      </c>
      <c r="AD1377" s="65"/>
      <c r="AE1377" s="65">
        <f>IFERROR(__xludf.DUMMYFUNCTION("""COMPUTED_VALUE"""),1.0)</f>
        <v>1</v>
      </c>
      <c r="AF1377" s="65"/>
      <c r="AG1377" s="65"/>
      <c r="AH1377" s="65"/>
      <c r="AI1377" s="65"/>
      <c r="AJ1377" s="65"/>
      <c r="AK1377" s="65"/>
      <c r="AL1377" s="65"/>
      <c r="AM1377" s="65"/>
      <c r="AN1377" s="65"/>
      <c r="AO1377" s="65"/>
      <c r="AP1377" s="65"/>
      <c r="AQ1377" s="65"/>
      <c r="AR1377" s="65"/>
      <c r="AS1377" s="65"/>
      <c r="AT1377" s="65" t="str">
        <f>IFERROR(__xludf.DUMMYFUNCTION("""COMPUTED_VALUE"""),"SHOPIFY")</f>
        <v>SHOPIFY</v>
      </c>
      <c r="AU1377" s="65" t="str">
        <f>IFERROR(__xludf.DUMMYFUNCTION("""COMPUTED_VALUE"""),"IMPORTEX EC")</f>
        <v>IMPORTEX EC</v>
      </c>
      <c r="AV1377" s="65" t="str">
        <f>IFERROR(__xludf.DUMMYFUNCTION("""COMPUTED_VALUE"""),"6451242958892")</f>
        <v>6451242958892</v>
      </c>
      <c r="AW1377" s="65">
        <f>IFERROR(__xludf.DUMMYFUNCTION("""COMPUTED_VALUE"""),5564.0)</f>
        <v>5564</v>
      </c>
      <c r="AX1377" s="65"/>
      <c r="AY1377" s="65"/>
      <c r="AZ1377" s="65"/>
      <c r="BA1377" s="65"/>
    </row>
    <row r="1378">
      <c r="A1378" s="65" t="str">
        <f>IFERROR(__xludf.DUMMYFUNCTION("""COMPUTED_VALUE"""),"27-03-2026")</f>
        <v>27-03-2026</v>
      </c>
      <c r="B1378" s="65">
        <f>IFERROR(__xludf.DUMMYFUNCTION("""COMPUTED_VALUE"""),4291947.0)</f>
        <v>4291947</v>
      </c>
      <c r="C1378" s="65" t="str">
        <f>IFERROR(__xludf.DUMMYFUNCTION("""COMPUTED_VALUE"""),"06:31")</f>
        <v>06:31</v>
      </c>
      <c r="D1378" s="65" t="str">
        <f>IFERROR(__xludf.DUMMYFUNCTION("""COMPUTED_VALUE"""),"27-01-2026")</f>
        <v>27-01-2026</v>
      </c>
      <c r="E1378" s="65" t="str">
        <f>IFERROR(__xludf.DUMMYFUNCTION("""COMPUTED_VALUE"""),"Rodrigo Tobar")</f>
        <v>Rodrigo Tobar</v>
      </c>
      <c r="F1378" s="65" t="str">
        <f>IFERROR(__xludf.DUMMYFUNCTION("""COMPUTED_VALUE"""),"993980027")</f>
        <v>993980027</v>
      </c>
      <c r="G1378" s="65"/>
      <c r="H1378" s="65"/>
      <c r="I1378" s="65"/>
      <c r="J1378" s="65" t="str">
        <f>IFERROR(__xludf.DUMMYFUNCTION("""COMPUTED_VALUE"""),"D001266115")</f>
        <v>D001266115</v>
      </c>
      <c r="K1378" s="65" t="str">
        <f>IFERROR(__xludf.DUMMYFUNCTION("""COMPUTED_VALUE"""),"ENTREGADO")</f>
        <v>ENTREGADO</v>
      </c>
      <c r="L1378" s="65" t="str">
        <f>IFERROR(__xludf.DUMMYFUNCTION("""COMPUTED_VALUE"""),"CON RECAUDO")</f>
        <v>CON RECAUDO</v>
      </c>
      <c r="M1378" s="65" t="str">
        <f>IFERROR(__xludf.DUMMYFUNCTION("""COMPUTED_VALUE"""),"PICHINCHA")</f>
        <v>PICHINCHA</v>
      </c>
      <c r="N1378" s="65" t="str">
        <f>IFERROR(__xludf.DUMMYFUNCTION("""COMPUTED_VALUE"""),"QUITO")</f>
        <v>QUITO</v>
      </c>
      <c r="O1378" s="65" t="str">
        <f>IFERROR(__xludf.DUMMYFUNCTION("""COMPUTED_VALUE"""),"Plataforma Gubernamental Social del Sur Amaruñan y Quitumbe Ñan Sector Quitumbe")</f>
        <v>Plataforma Gubernamental Social del Sur Amaruñan y Quitumbe Ñan Sector Quitumbe</v>
      </c>
      <c r="P1378" s="65"/>
      <c r="Q1378" s="65" t="str">
        <f>IFERROR(__xludf.DUMMYFUNCTION("""COMPUTED_VALUE"""),"GINTRACOM")</f>
        <v>GINTRACOM</v>
      </c>
      <c r="R1378" s="65">
        <f>IFERROR(__xludf.DUMMYFUNCTION("""COMPUTED_VALUE"""),21.99)</f>
        <v>21.99</v>
      </c>
      <c r="S1378" s="65">
        <f>IFERROR(__xludf.DUMMYFUNCTION("""COMPUTED_VALUE"""),12.76)</f>
        <v>12.76</v>
      </c>
      <c r="T1378" s="65">
        <f>IFERROR(__xludf.DUMMYFUNCTION("""COMPUTED_VALUE"""),4.23)</f>
        <v>4.23</v>
      </c>
      <c r="U1378" s="65">
        <f>IFERROR(__xludf.DUMMYFUNCTION("""COMPUTED_VALUE"""),0.0)</f>
        <v>0</v>
      </c>
      <c r="V1378" s="65">
        <f>IFERROR(__xludf.DUMMYFUNCTION("""COMPUTED_VALUE"""),0.0)</f>
        <v>0</v>
      </c>
      <c r="W1378" s="65">
        <f>IFERROR(__xludf.DUMMYFUNCTION("""COMPUTED_VALUE"""),0.0)</f>
        <v>0</v>
      </c>
      <c r="X1378" s="65">
        <f>IFERROR(__xludf.DUMMYFUNCTION("""COMPUTED_VALUE"""),5.0)</f>
        <v>5</v>
      </c>
      <c r="Y1378" s="65">
        <f>IFERROR(__xludf.DUMMYFUNCTION("""COMPUTED_VALUE"""),5.0)</f>
        <v>5</v>
      </c>
      <c r="Z1378" s="65">
        <f>IFERROR(__xludf.DUMMYFUNCTION("""COMPUTED_VALUE"""),110064.0)</f>
        <v>110064</v>
      </c>
      <c r="AA1378" s="65" t="str">
        <f>IFERROR(__xludf.DUMMYFUNCTION("""COMPUTED_VALUE"""),"IMX-00001")</f>
        <v>IMX-00001</v>
      </c>
      <c r="AB1378" s="65"/>
      <c r="AC1378" s="65" t="str">
        <f>IFERROR(__xludf.DUMMYFUNCTION("""COMPUTED_VALUE"""),"LLAVE TRINQUETE")</f>
        <v>LLAVE TRINQUETE</v>
      </c>
      <c r="AD1378" s="65"/>
      <c r="AE1378" s="65">
        <f>IFERROR(__xludf.DUMMYFUNCTION("""COMPUTED_VALUE"""),1.0)</f>
        <v>1</v>
      </c>
      <c r="AF1378" s="65"/>
      <c r="AG1378" s="65"/>
      <c r="AH1378" s="65"/>
      <c r="AI1378" s="65"/>
      <c r="AJ1378" s="65"/>
      <c r="AK1378" s="65"/>
      <c r="AL1378" s="65"/>
      <c r="AM1378" s="65"/>
      <c r="AN1378" s="65"/>
      <c r="AO1378" s="65"/>
      <c r="AP1378" s="65"/>
      <c r="AQ1378" s="65"/>
      <c r="AR1378" s="65"/>
      <c r="AS1378" s="65"/>
      <c r="AT1378" s="65" t="str">
        <f>IFERROR(__xludf.DUMMYFUNCTION("""COMPUTED_VALUE"""),"CHATEA PRO")</f>
        <v>CHATEA PRO</v>
      </c>
      <c r="AU1378" s="65" t="str">
        <f>IFERROR(__xludf.DUMMYFUNCTION("""COMPUTED_VALUE"""),"CHATEA PRO")</f>
        <v>CHATEA PRO</v>
      </c>
      <c r="AV1378" s="65"/>
      <c r="AW1378" s="65"/>
      <c r="AX1378" s="65"/>
      <c r="AY1378" s="65" t="str">
        <f>IFERROR(__xludf.DUMMYFUNCTION("""COMPUTED_VALUE"""),"27/01/2026")</f>
        <v>27/01/2026</v>
      </c>
      <c r="AZ1378" s="65"/>
      <c r="BA1378" s="65"/>
    </row>
    <row r="1379">
      <c r="A1379" s="65" t="str">
        <f>IFERROR(__xludf.DUMMYFUNCTION("""COMPUTED_VALUE"""),"27-03-2026")</f>
        <v>27-03-2026</v>
      </c>
      <c r="B1379" s="65">
        <f>IFERROR(__xludf.DUMMYFUNCTION("""COMPUTED_VALUE"""),4290784.0)</f>
        <v>4290784</v>
      </c>
      <c r="C1379" s="65" t="str">
        <f>IFERROR(__xludf.DUMMYFUNCTION("""COMPUTED_VALUE"""),"22:51")</f>
        <v>22:51</v>
      </c>
      <c r="D1379" s="65" t="str">
        <f>IFERROR(__xludf.DUMMYFUNCTION("""COMPUTED_VALUE"""),"26-01-2026")</f>
        <v>26-01-2026</v>
      </c>
      <c r="E1379" s="65" t="str">
        <f>IFERROR(__xludf.DUMMYFUNCTION("""COMPUTED_VALUE"""),"Daniela Sigcha")</f>
        <v>Daniela Sigcha</v>
      </c>
      <c r="F1379" s="65" t="str">
        <f>IFERROR(__xludf.DUMMYFUNCTION("""COMPUTED_VALUE"""),"987072311")</f>
        <v>987072311</v>
      </c>
      <c r="G1379" s="65" t="str">
        <f>IFERROR(__xludf.DUMMYFUNCTION("""COMPUTED_VALUE"""),"alejms994@gmail.com")</f>
        <v>alejms994@gmail.com</v>
      </c>
      <c r="H1379" s="65"/>
      <c r="I1379" s="65"/>
      <c r="J1379" s="65" t="str">
        <f>IFERROR(__xludf.DUMMYFUNCTION("""COMPUTED_VALUE"""),"D001270140")</f>
        <v>D001270140</v>
      </c>
      <c r="K1379" s="65" t="str">
        <f>IFERROR(__xludf.DUMMYFUNCTION("""COMPUTED_VALUE"""),"ENTREGADO")</f>
        <v>ENTREGADO</v>
      </c>
      <c r="L1379" s="65" t="str">
        <f>IFERROR(__xludf.DUMMYFUNCTION("""COMPUTED_VALUE"""),"CON RECAUDO")</f>
        <v>CON RECAUDO</v>
      </c>
      <c r="M1379" s="65" t="str">
        <f>IFERROR(__xludf.DUMMYFUNCTION("""COMPUTED_VALUE"""),"PICHINCHA")</f>
        <v>PICHINCHA</v>
      </c>
      <c r="N1379" s="65" t="str">
        <f>IFERROR(__xludf.DUMMYFUNCTION("""COMPUTED_VALUE"""),"QUITO")</f>
        <v>QUITO</v>
      </c>
      <c r="O1379" s="65" t="str">
        <f>IFERROR(__xludf.DUMMYFUNCTION("""COMPUTED_VALUE"""),"Calle Joaquín Lalama Conjunto piemonte -")</f>
        <v>Calle Joaquín Lalama Conjunto piemonte -</v>
      </c>
      <c r="P1379" s="65"/>
      <c r="Q1379" s="65" t="str">
        <f>IFERROR(__xludf.DUMMYFUNCTION("""COMPUTED_VALUE"""),"GINTRACOM")</f>
        <v>GINTRACOM</v>
      </c>
      <c r="R1379" s="65">
        <f>IFERROR(__xludf.DUMMYFUNCTION("""COMPUTED_VALUE"""),30.0)</f>
        <v>30</v>
      </c>
      <c r="S1379" s="65">
        <f>IFERROR(__xludf.DUMMYFUNCTION("""COMPUTED_VALUE"""),18.4)</f>
        <v>18.4</v>
      </c>
      <c r="T1379" s="65">
        <f>IFERROR(__xludf.DUMMYFUNCTION("""COMPUTED_VALUE"""),4.55)</f>
        <v>4.55</v>
      </c>
      <c r="U1379" s="65">
        <f>IFERROR(__xludf.DUMMYFUNCTION("""COMPUTED_VALUE"""),0.0)</f>
        <v>0</v>
      </c>
      <c r="V1379" s="65">
        <f>IFERROR(__xludf.DUMMYFUNCTION("""COMPUTED_VALUE"""),0.0)</f>
        <v>0</v>
      </c>
      <c r="W1379" s="65">
        <f>IFERROR(__xludf.DUMMYFUNCTION("""COMPUTED_VALUE"""),0.0)</f>
        <v>0</v>
      </c>
      <c r="X1379" s="65">
        <f>IFERROR(__xludf.DUMMYFUNCTION("""COMPUTED_VALUE"""),2.35)</f>
        <v>2.35</v>
      </c>
      <c r="Y1379" s="65">
        <f>IFERROR(__xludf.DUMMYFUNCTION("""COMPUTED_VALUE"""),7.05)</f>
        <v>7.05</v>
      </c>
      <c r="Z1379" s="65">
        <f>IFERROR(__xludf.DUMMYFUNCTION("""COMPUTED_VALUE"""),116679.0)</f>
        <v>116679</v>
      </c>
      <c r="AA1379" s="65" t="str">
        <f>IFERROR(__xludf.DUMMYFUNCTION("""COMPUTED_VALUE"""),"AMC-2738")</f>
        <v>AMC-2738</v>
      </c>
      <c r="AB1379" s="65"/>
      <c r="AC1379" s="65" t="str">
        <f>IFERROR(__xludf.DUMMYFUNCTION("""COMPUTED_VALUE"""),"ESPONJA ANTILLUVIA DE PARABRISAS")</f>
        <v>ESPONJA ANTILLUVIA DE PARABRISAS</v>
      </c>
      <c r="AD1379" s="65"/>
      <c r="AE1379" s="65">
        <f>IFERROR(__xludf.DUMMYFUNCTION("""COMPUTED_VALUE"""),3.0)</f>
        <v>3</v>
      </c>
      <c r="AF1379" s="65"/>
      <c r="AG1379" s="65"/>
      <c r="AH1379" s="65"/>
      <c r="AI1379" s="65"/>
      <c r="AJ1379" s="65"/>
      <c r="AK1379" s="65"/>
      <c r="AL1379" s="65"/>
      <c r="AM1379" s="65"/>
      <c r="AN1379" s="65"/>
      <c r="AO1379" s="65"/>
      <c r="AP1379" s="65"/>
      <c r="AQ1379" s="65"/>
      <c r="AR1379" s="65"/>
      <c r="AS1379" s="65"/>
      <c r="AT1379" s="65" t="str">
        <f>IFERROR(__xludf.DUMMYFUNCTION("""COMPUTED_VALUE"""),"SHOPIFY")</f>
        <v>SHOPIFY</v>
      </c>
      <c r="AU1379" s="65" t="str">
        <f>IFERROR(__xludf.DUMMYFUNCTION("""COMPUTED_VALUE"""),"IMPORTEX EC")</f>
        <v>IMPORTEX EC</v>
      </c>
      <c r="AV1379" s="65" t="str">
        <f>IFERROR(__xludf.DUMMYFUNCTION("""COMPUTED_VALUE"""),"6450651365420")</f>
        <v>6450651365420</v>
      </c>
      <c r="AW1379" s="65">
        <f>IFERROR(__xludf.DUMMYFUNCTION("""COMPUTED_VALUE"""),5560.0)</f>
        <v>5560</v>
      </c>
      <c r="AX1379" s="65"/>
      <c r="AY1379" s="65" t="str">
        <f>IFERROR(__xludf.DUMMYFUNCTION("""COMPUTED_VALUE"""),"28/01/2026")</f>
        <v>28/01/2026</v>
      </c>
      <c r="AZ1379" s="65"/>
      <c r="BA1379" s="65"/>
    </row>
    <row r="1380">
      <c r="A1380" s="65" t="str">
        <f>IFERROR(__xludf.DUMMYFUNCTION("""COMPUTED_VALUE"""),"27-03-2026")</f>
        <v>27-03-2026</v>
      </c>
      <c r="B1380" s="65">
        <f>IFERROR(__xludf.DUMMYFUNCTION("""COMPUTED_VALUE"""),4290570.0)</f>
        <v>4290570</v>
      </c>
      <c r="C1380" s="65" t="str">
        <f>IFERROR(__xludf.DUMMYFUNCTION("""COMPUTED_VALUE"""),"22:35")</f>
        <v>22:35</v>
      </c>
      <c r="D1380" s="65" t="str">
        <f>IFERROR(__xludf.DUMMYFUNCTION("""COMPUTED_VALUE"""),"26-01-2026")</f>
        <v>26-01-2026</v>
      </c>
      <c r="E1380" s="65" t="str">
        <f>IFERROR(__xludf.DUMMYFUNCTION("""COMPUTED_VALUE"""),"Nubia Azucena Arce peralta")</f>
        <v>Nubia Azucena Arce peralta</v>
      </c>
      <c r="F1380" s="65" t="str">
        <f>IFERROR(__xludf.DUMMYFUNCTION("""COMPUTED_VALUE"""),"997727117")</f>
        <v>997727117</v>
      </c>
      <c r="G1380" s="65"/>
      <c r="H1380" s="65"/>
      <c r="I1380" s="65"/>
      <c r="J1380" s="65"/>
      <c r="K1380" s="65" t="str">
        <f>IFERROR(__xludf.DUMMYFUNCTION("""COMPUTED_VALUE"""),"CANCELADO")</f>
        <v>CANCELADO</v>
      </c>
      <c r="L1380" s="65" t="str">
        <f>IFERROR(__xludf.DUMMYFUNCTION("""COMPUTED_VALUE"""),"CON RECAUDO")</f>
        <v>CON RECAUDO</v>
      </c>
      <c r="M1380" s="65" t="str">
        <f>IFERROR(__xludf.DUMMYFUNCTION("""COMPUTED_VALUE"""),"LOS RIOS")</f>
        <v>LOS RIOS</v>
      </c>
      <c r="N1380" s="65" t="str">
        <f>IFERROR(__xludf.DUMMYFUNCTION("""COMPUTED_VALUE"""),"BABAHOYO")</f>
        <v>BABAHOYO</v>
      </c>
      <c r="O1380" s="65" t="str">
        <f>IFERROR(__xludf.DUMMYFUNCTION("""COMPUTED_VALUE"""),"La union de clementina Juan Montalvo transversal 5 -")</f>
        <v>La union de clementina Juan Montalvo transversal 5 -</v>
      </c>
      <c r="P1380" s="65"/>
      <c r="Q1380" s="65" t="str">
        <f>IFERROR(__xludf.DUMMYFUNCTION("""COMPUTED_VALUE"""),"GINTRACOM")</f>
        <v>GINTRACOM</v>
      </c>
      <c r="R1380" s="65">
        <f>IFERROR(__xludf.DUMMYFUNCTION("""COMPUTED_VALUE"""),20.0)</f>
        <v>20</v>
      </c>
      <c r="S1380" s="65"/>
      <c r="T1380" s="65">
        <f>IFERROR(__xludf.DUMMYFUNCTION("""COMPUTED_VALUE"""),5.76)</f>
        <v>5.76</v>
      </c>
      <c r="U1380" s="65">
        <f>IFERROR(__xludf.DUMMYFUNCTION("""COMPUTED_VALUE"""),0.0)</f>
        <v>0</v>
      </c>
      <c r="V1380" s="65">
        <f>IFERROR(__xludf.DUMMYFUNCTION("""COMPUTED_VALUE"""),0.0)</f>
        <v>0</v>
      </c>
      <c r="W1380" s="65">
        <f>IFERROR(__xludf.DUMMYFUNCTION("""COMPUTED_VALUE"""),0.0)</f>
        <v>0</v>
      </c>
      <c r="X1380" s="65">
        <f>IFERROR(__xludf.DUMMYFUNCTION("""COMPUTED_VALUE"""),2.35)</f>
        <v>2.35</v>
      </c>
      <c r="Y1380" s="65">
        <f>IFERROR(__xludf.DUMMYFUNCTION("""COMPUTED_VALUE"""),2.35)</f>
        <v>2.35</v>
      </c>
      <c r="Z1380" s="65">
        <f>IFERROR(__xludf.DUMMYFUNCTION("""COMPUTED_VALUE"""),116679.0)</f>
        <v>116679</v>
      </c>
      <c r="AA1380" s="65" t="str">
        <f>IFERROR(__xludf.DUMMYFUNCTION("""COMPUTED_VALUE"""),"AMC-2738")</f>
        <v>AMC-2738</v>
      </c>
      <c r="AB1380" s="65"/>
      <c r="AC1380" s="65" t="str">
        <f>IFERROR(__xludf.DUMMYFUNCTION("""COMPUTED_VALUE"""),"ESPONJA ANTILLUVIA DE PARABRISAS")</f>
        <v>ESPONJA ANTILLUVIA DE PARABRISAS</v>
      </c>
      <c r="AD1380" s="65"/>
      <c r="AE1380" s="65">
        <f>IFERROR(__xludf.DUMMYFUNCTION("""COMPUTED_VALUE"""),1.0)</f>
        <v>1</v>
      </c>
      <c r="AF1380" s="65"/>
      <c r="AG1380" s="65"/>
      <c r="AH1380" s="65"/>
      <c r="AI1380" s="65"/>
      <c r="AJ1380" s="65"/>
      <c r="AK1380" s="65"/>
      <c r="AL1380" s="65"/>
      <c r="AM1380" s="65"/>
      <c r="AN1380" s="65"/>
      <c r="AO1380" s="65"/>
      <c r="AP1380" s="65"/>
      <c r="AQ1380" s="65"/>
      <c r="AR1380" s="65"/>
      <c r="AS1380" s="65"/>
      <c r="AT1380" s="65" t="str">
        <f>IFERROR(__xludf.DUMMYFUNCTION("""COMPUTED_VALUE"""),"SHOPIFY")</f>
        <v>SHOPIFY</v>
      </c>
      <c r="AU1380" s="65" t="str">
        <f>IFERROR(__xludf.DUMMYFUNCTION("""COMPUTED_VALUE"""),"IMPORTEX EC")</f>
        <v>IMPORTEX EC</v>
      </c>
      <c r="AV1380" s="65" t="str">
        <f>IFERROR(__xludf.DUMMYFUNCTION("""COMPUTED_VALUE"""),"6450616827948")</f>
        <v>6450616827948</v>
      </c>
      <c r="AW1380" s="65">
        <f>IFERROR(__xludf.DUMMYFUNCTION("""COMPUTED_VALUE"""),5558.0)</f>
        <v>5558</v>
      </c>
      <c r="AX1380" s="65"/>
      <c r="AY1380" s="65"/>
      <c r="AZ1380" s="65"/>
      <c r="BA1380" s="65"/>
    </row>
    <row r="1381">
      <c r="A1381" s="65" t="str">
        <f>IFERROR(__xludf.DUMMYFUNCTION("""COMPUTED_VALUE"""),"27-03-2026")</f>
        <v>27-03-2026</v>
      </c>
      <c r="B1381" s="65">
        <f>IFERROR(__xludf.DUMMYFUNCTION("""COMPUTED_VALUE"""),4289649.0)</f>
        <v>4289649</v>
      </c>
      <c r="C1381" s="65" t="str">
        <f>IFERROR(__xludf.DUMMYFUNCTION("""COMPUTED_VALUE"""),"21:18")</f>
        <v>21:18</v>
      </c>
      <c r="D1381" s="65" t="str">
        <f>IFERROR(__xludf.DUMMYFUNCTION("""COMPUTED_VALUE"""),"26-01-2026")</f>
        <v>26-01-2026</v>
      </c>
      <c r="E1381" s="65" t="str">
        <f>IFERROR(__xludf.DUMMYFUNCTION("""COMPUTED_VALUE"""),"Pamela Onofre")</f>
        <v>Pamela Onofre</v>
      </c>
      <c r="F1381" s="65" t="str">
        <f>IFERROR(__xludf.DUMMYFUNCTION("""COMPUTED_VALUE"""),"939580188")</f>
        <v>939580188</v>
      </c>
      <c r="G1381" s="65" t="str">
        <f>IFERROR(__xludf.DUMMYFUNCTION("""COMPUTED_VALUE"""),"dpotamayo@gmail.com")</f>
        <v>dpotamayo@gmail.com</v>
      </c>
      <c r="H1381" s="65"/>
      <c r="I1381" s="65"/>
      <c r="J1381" s="65"/>
      <c r="K1381" s="65" t="str">
        <f>IFERROR(__xludf.DUMMYFUNCTION("""COMPUTED_VALUE"""),"PENDIENTE CONFIRMACION")</f>
        <v>PENDIENTE CONFIRMACION</v>
      </c>
      <c r="L1381" s="65" t="str">
        <f>IFERROR(__xludf.DUMMYFUNCTION("""COMPUTED_VALUE"""),"CON RECAUDO")</f>
        <v>CON RECAUDO</v>
      </c>
      <c r="M1381" s="65" t="str">
        <f>IFERROR(__xludf.DUMMYFUNCTION("""COMPUTED_VALUE"""),"GUAYAS")</f>
        <v>GUAYAS</v>
      </c>
      <c r="N1381" s="65" t="str">
        <f>IFERROR(__xludf.DUMMYFUNCTION("""COMPUTED_VALUE"""),"SAMBORONDON")</f>
        <v>SAMBORONDON</v>
      </c>
      <c r="O1381" s="65" t="str">
        <f>IFERROR(__xludf.DUMMYFUNCTION("""COMPUTED_VALUE"""),"Villa club etapa boreal Atras de supermaxi de villa club -")</f>
        <v>Villa club etapa boreal Atras de supermaxi de villa club -</v>
      </c>
      <c r="P1381" s="65"/>
      <c r="Q1381" s="65" t="str">
        <f>IFERROR(__xludf.DUMMYFUNCTION("""COMPUTED_VALUE"""),"GINTRACOM")</f>
        <v>GINTRACOM</v>
      </c>
      <c r="R1381" s="65">
        <f>IFERROR(__xludf.DUMMYFUNCTION("""COMPUTED_VALUE"""),30.0)</f>
        <v>30</v>
      </c>
      <c r="S1381" s="65"/>
      <c r="T1381" s="65">
        <f>IFERROR(__xludf.DUMMYFUNCTION("""COMPUTED_VALUE"""),6.16)</f>
        <v>6.16</v>
      </c>
      <c r="U1381" s="65">
        <f>IFERROR(__xludf.DUMMYFUNCTION("""COMPUTED_VALUE"""),0.0)</f>
        <v>0</v>
      </c>
      <c r="V1381" s="65">
        <f>IFERROR(__xludf.DUMMYFUNCTION("""COMPUTED_VALUE"""),0.0)</f>
        <v>0</v>
      </c>
      <c r="W1381" s="65">
        <f>IFERROR(__xludf.DUMMYFUNCTION("""COMPUTED_VALUE"""),0.0)</f>
        <v>0</v>
      </c>
      <c r="X1381" s="65">
        <f>IFERROR(__xludf.DUMMYFUNCTION("""COMPUTED_VALUE"""),2.35)</f>
        <v>2.35</v>
      </c>
      <c r="Y1381" s="65">
        <f>IFERROR(__xludf.DUMMYFUNCTION("""COMPUTED_VALUE"""),7.05)</f>
        <v>7.05</v>
      </c>
      <c r="Z1381" s="65">
        <f>IFERROR(__xludf.DUMMYFUNCTION("""COMPUTED_VALUE"""),116679.0)</f>
        <v>116679</v>
      </c>
      <c r="AA1381" s="65" t="str">
        <f>IFERROR(__xludf.DUMMYFUNCTION("""COMPUTED_VALUE"""),"AMC-2738")</f>
        <v>AMC-2738</v>
      </c>
      <c r="AB1381" s="65"/>
      <c r="AC1381" s="65" t="str">
        <f>IFERROR(__xludf.DUMMYFUNCTION("""COMPUTED_VALUE"""),"ESPONJA ANTILLUVIA DE PARABRISAS")</f>
        <v>ESPONJA ANTILLUVIA DE PARABRISAS</v>
      </c>
      <c r="AD1381" s="65"/>
      <c r="AE1381" s="65">
        <f>IFERROR(__xludf.DUMMYFUNCTION("""COMPUTED_VALUE"""),3.0)</f>
        <v>3</v>
      </c>
      <c r="AF1381" s="65"/>
      <c r="AG1381" s="65"/>
      <c r="AH1381" s="65"/>
      <c r="AI1381" s="65"/>
      <c r="AJ1381" s="65"/>
      <c r="AK1381" s="65"/>
      <c r="AL1381" s="65"/>
      <c r="AM1381" s="65"/>
      <c r="AN1381" s="65"/>
      <c r="AO1381" s="65"/>
      <c r="AP1381" s="65"/>
      <c r="AQ1381" s="65"/>
      <c r="AR1381" s="65"/>
      <c r="AS1381" s="65"/>
      <c r="AT1381" s="65" t="str">
        <f>IFERROR(__xludf.DUMMYFUNCTION("""COMPUTED_VALUE"""),"SHOPIFY")</f>
        <v>SHOPIFY</v>
      </c>
      <c r="AU1381" s="65" t="str">
        <f>IFERROR(__xludf.DUMMYFUNCTION("""COMPUTED_VALUE"""),"IMPORTEX EC")</f>
        <v>IMPORTEX EC</v>
      </c>
      <c r="AV1381" s="65" t="str">
        <f>IFERROR(__xludf.DUMMYFUNCTION("""COMPUTED_VALUE"""),"6450455085100")</f>
        <v>6450455085100</v>
      </c>
      <c r="AW1381" s="65">
        <f>IFERROR(__xludf.DUMMYFUNCTION("""COMPUTED_VALUE"""),5557.0)</f>
        <v>5557</v>
      </c>
      <c r="AX1381" s="65"/>
      <c r="AY1381" s="65"/>
      <c r="AZ1381" s="65"/>
      <c r="BA1381" s="65"/>
    </row>
    <row r="1382">
      <c r="A1382" s="65" t="str">
        <f>IFERROR(__xludf.DUMMYFUNCTION("""COMPUTED_VALUE"""),"27-03-2026")</f>
        <v>27-03-2026</v>
      </c>
      <c r="B1382" s="65">
        <f>IFERROR(__xludf.DUMMYFUNCTION("""COMPUTED_VALUE"""),4289528.0)</f>
        <v>4289528</v>
      </c>
      <c r="C1382" s="65" t="str">
        <f>IFERROR(__xludf.DUMMYFUNCTION("""COMPUTED_VALUE"""),"21:06")</f>
        <v>21:06</v>
      </c>
      <c r="D1382" s="65" t="str">
        <f>IFERROR(__xludf.DUMMYFUNCTION("""COMPUTED_VALUE"""),"26-01-2026")</f>
        <v>26-01-2026</v>
      </c>
      <c r="E1382" s="65" t="str">
        <f>IFERROR(__xludf.DUMMYFUNCTION("""COMPUTED_VALUE"""),"Ricardo Millán")</f>
        <v>Ricardo Millán</v>
      </c>
      <c r="F1382" s="65" t="str">
        <f>IFERROR(__xludf.DUMMYFUNCTION("""COMPUTED_VALUE"""),"983511957")</f>
        <v>983511957</v>
      </c>
      <c r="G1382" s="65" t="str">
        <f>IFERROR(__xludf.DUMMYFUNCTION("""COMPUTED_VALUE"""),"ricardomillan@cenfol.org")</f>
        <v>ricardomillan@cenfol.org</v>
      </c>
      <c r="H1382" s="65"/>
      <c r="I1382" s="65"/>
      <c r="J1382" s="65" t="str">
        <f>IFERROR(__xludf.DUMMYFUNCTION("""COMPUTED_VALUE"""),"D001270143")</f>
        <v>D001270143</v>
      </c>
      <c r="K1382" s="65" t="str">
        <f>IFERROR(__xludf.DUMMYFUNCTION("""COMPUTED_VALUE"""),"DEVOLUCION")</f>
        <v>DEVOLUCION</v>
      </c>
      <c r="L1382" s="65" t="str">
        <f>IFERROR(__xludf.DUMMYFUNCTION("""COMPUTED_VALUE"""),"CON RECAUDO")</f>
        <v>CON RECAUDO</v>
      </c>
      <c r="M1382" s="65" t="str">
        <f>IFERROR(__xludf.DUMMYFUNCTION("""COMPUTED_VALUE"""),"PICHINCHA")</f>
        <v>PICHINCHA</v>
      </c>
      <c r="N1382" s="65" t="str">
        <f>IFERROR(__xludf.DUMMYFUNCTION("""COMPUTED_VALUE"""),"QUITO")</f>
        <v>QUITO</v>
      </c>
      <c r="O1382" s="65" t="str">
        <f>IFERROR(__xludf.DUMMYFUNCTION("""COMPUTED_VALUE"""),"Alangasi calle Antonio José de Sucre Oe2-81 y Edmundo Batallas, Conjunto Fortaleza, torre B departamento 201B Alangasi centro -")</f>
        <v>Alangasi calle Antonio José de Sucre Oe2-81 y Edmundo Batallas, Conjunto Fortaleza, torre B departamento 201B Alangasi centro -</v>
      </c>
      <c r="P1382" s="65"/>
      <c r="Q1382" s="65" t="str">
        <f>IFERROR(__xludf.DUMMYFUNCTION("""COMPUTED_VALUE"""),"GINTRACOM")</f>
        <v>GINTRACOM</v>
      </c>
      <c r="R1382" s="65">
        <f>IFERROR(__xludf.DUMMYFUNCTION("""COMPUTED_VALUE"""),30.0)</f>
        <v>30</v>
      </c>
      <c r="S1382" s="65"/>
      <c r="T1382" s="65">
        <f>IFERROR(__xludf.DUMMYFUNCTION("""COMPUTED_VALUE"""),4.55)</f>
        <v>4.55</v>
      </c>
      <c r="U1382" s="65">
        <f>IFERROR(__xludf.DUMMYFUNCTION("""COMPUTED_VALUE"""),0.0)</f>
        <v>0</v>
      </c>
      <c r="V1382" s="65">
        <f>IFERROR(__xludf.DUMMYFUNCTION("""COMPUTED_VALUE"""),0.0)</f>
        <v>0</v>
      </c>
      <c r="W1382" s="65">
        <f>IFERROR(__xludf.DUMMYFUNCTION("""COMPUTED_VALUE"""),0.0)</f>
        <v>0</v>
      </c>
      <c r="X1382" s="65">
        <f>IFERROR(__xludf.DUMMYFUNCTION("""COMPUTED_VALUE"""),2.35)</f>
        <v>2.35</v>
      </c>
      <c r="Y1382" s="65">
        <f>IFERROR(__xludf.DUMMYFUNCTION("""COMPUTED_VALUE"""),7.05)</f>
        <v>7.05</v>
      </c>
      <c r="Z1382" s="65">
        <f>IFERROR(__xludf.DUMMYFUNCTION("""COMPUTED_VALUE"""),116679.0)</f>
        <v>116679</v>
      </c>
      <c r="AA1382" s="65" t="str">
        <f>IFERROR(__xludf.DUMMYFUNCTION("""COMPUTED_VALUE"""),"AMC-2738")</f>
        <v>AMC-2738</v>
      </c>
      <c r="AB1382" s="65"/>
      <c r="AC1382" s="65" t="str">
        <f>IFERROR(__xludf.DUMMYFUNCTION("""COMPUTED_VALUE"""),"ESPONJA ANTILLUVIA DE PARABRISAS")</f>
        <v>ESPONJA ANTILLUVIA DE PARABRISAS</v>
      </c>
      <c r="AD1382" s="65"/>
      <c r="AE1382" s="65">
        <f>IFERROR(__xludf.DUMMYFUNCTION("""COMPUTED_VALUE"""),3.0)</f>
        <v>3</v>
      </c>
      <c r="AF1382" s="65" t="str">
        <f>IFERROR(__xludf.DUMMYFUNCTION("""COMPUTED_VALUE"""),"DESTINATARIO NO CONTESTA LLAMADAS NI WHATSAPP")</f>
        <v>DESTINATARIO NO CONTESTA LLAMADAS NI WHATSAPP</v>
      </c>
      <c r="AG1382" s="65" t="str">
        <f>IFERROR(__xludf.DUMMYFUNCTION("""COMPUTED_VALUE"""),"NO")</f>
        <v>NO</v>
      </c>
      <c r="AH1382" s="65" t="str">
        <f>IFERROR(__xludf.DUMMYFUNCTION("""COMPUTED_VALUE"""),"09:00")</f>
        <v>09:00</v>
      </c>
      <c r="AI1382" s="65" t="str">
        <f>IFERROR(__xludf.DUMMYFUNCTION("""COMPUTED_VALUE"""),"06-02-2026")</f>
        <v>06-02-2026</v>
      </c>
      <c r="AJ1382" s="65"/>
      <c r="AK1382" s="65"/>
      <c r="AL1382" s="65"/>
      <c r="AM1382" s="65"/>
      <c r="AN1382" s="65" t="str">
        <f>IFERROR(__xludf.DUMMYFUNCTION("""COMPUTED_VALUE"""),"13:18")</f>
        <v>13:18</v>
      </c>
      <c r="AO1382" s="65" t="str">
        <f>IFERROR(__xludf.DUMMYFUNCTION("""COMPUTED_VALUE"""),"17-02-2026")</f>
        <v>17-02-2026</v>
      </c>
      <c r="AP1382" s="65" t="str">
        <f>IFERROR(__xludf.DUMMYFUNCTION("""COMPUTED_VALUE"""),"DEVOLUCIÓN ENTREGADA A ORIGEN")</f>
        <v>DEVOLUCIÓN ENTREGADA A ORIGEN</v>
      </c>
      <c r="AQ1382" s="65" t="str">
        <f>IFERROR(__xludf.DUMMYFUNCTION("""COMPUTED_VALUE"""),"DEVOLUCIÓN ENTREGADA A ORIGEN")</f>
        <v>DEVOLUCIÓN ENTREGADA A ORIGEN</v>
      </c>
      <c r="AR1382" s="65"/>
      <c r="AS1382" s="65"/>
      <c r="AT1382" s="65" t="str">
        <f>IFERROR(__xludf.DUMMYFUNCTION("""COMPUTED_VALUE"""),"SHOPIFY")</f>
        <v>SHOPIFY</v>
      </c>
      <c r="AU1382" s="65" t="str">
        <f>IFERROR(__xludf.DUMMYFUNCTION("""COMPUTED_VALUE"""),"IMPORTEX EC")</f>
        <v>IMPORTEX EC</v>
      </c>
      <c r="AV1382" s="65" t="str">
        <f>IFERROR(__xludf.DUMMYFUNCTION("""COMPUTED_VALUE"""),"6450426314796")</f>
        <v>6450426314796</v>
      </c>
      <c r="AW1382" s="65">
        <f>IFERROR(__xludf.DUMMYFUNCTION("""COMPUTED_VALUE"""),5556.0)</f>
        <v>5556</v>
      </c>
      <c r="AX1382" s="65"/>
      <c r="AY1382" s="65" t="str">
        <f>IFERROR(__xludf.DUMMYFUNCTION("""COMPUTED_VALUE"""),"28/01/2026")</f>
        <v>28/01/2026</v>
      </c>
      <c r="AZ1382" s="65"/>
      <c r="BA1382" s="65"/>
    </row>
    <row r="1383">
      <c r="A1383" s="65" t="str">
        <f>IFERROR(__xludf.DUMMYFUNCTION("""COMPUTED_VALUE"""),"27-03-2026")</f>
        <v>27-03-2026</v>
      </c>
      <c r="B1383" s="65">
        <f>IFERROR(__xludf.DUMMYFUNCTION("""COMPUTED_VALUE"""),4289167.0)</f>
        <v>4289167</v>
      </c>
      <c r="C1383" s="65" t="str">
        <f>IFERROR(__xludf.DUMMYFUNCTION("""COMPUTED_VALUE"""),"20:25")</f>
        <v>20:25</v>
      </c>
      <c r="D1383" s="65" t="str">
        <f>IFERROR(__xludf.DUMMYFUNCTION("""COMPUTED_VALUE"""),"26-01-2026")</f>
        <v>26-01-2026</v>
      </c>
      <c r="E1383" s="65" t="str">
        <f>IFERROR(__xludf.DUMMYFUNCTION("""COMPUTED_VALUE"""),"José García")</f>
        <v>José García</v>
      </c>
      <c r="F1383" s="65" t="str">
        <f>IFERROR(__xludf.DUMMYFUNCTION("""COMPUTED_VALUE"""),"998030712")</f>
        <v>998030712</v>
      </c>
      <c r="G1383" s="65" t="str">
        <f>IFERROR(__xludf.DUMMYFUNCTION("""COMPUTED_VALUE"""),"joselga@hotmail.com")</f>
        <v>joselga@hotmail.com</v>
      </c>
      <c r="H1383" s="65"/>
      <c r="I1383" s="65"/>
      <c r="J1383" s="65"/>
      <c r="K1383" s="65" t="str">
        <f>IFERROR(__xludf.DUMMYFUNCTION("""COMPUTED_VALUE"""),"CANCELADO")</f>
        <v>CANCELADO</v>
      </c>
      <c r="L1383" s="65" t="str">
        <f>IFERROR(__xludf.DUMMYFUNCTION("""COMPUTED_VALUE"""),"CON RECAUDO")</f>
        <v>CON RECAUDO</v>
      </c>
      <c r="M1383" s="65" t="str">
        <f>IFERROR(__xludf.DUMMYFUNCTION("""COMPUTED_VALUE"""),"PICHINCHA")</f>
        <v>PICHINCHA</v>
      </c>
      <c r="N1383" s="65" t="str">
        <f>IFERROR(__xludf.DUMMYFUNCTION("""COMPUTED_VALUE"""),"QUITO")</f>
        <v>QUITO</v>
      </c>
      <c r="O1383" s="65" t="str">
        <f>IFERROR(__xludf.DUMMYFUNCTION("""COMPUTED_VALUE"""),"Destacamento Casacay n6425 y Nazacota puento La Ofelia -")</f>
        <v>Destacamento Casacay n6425 y Nazacota puento La Ofelia -</v>
      </c>
      <c r="P1383" s="65"/>
      <c r="Q1383" s="65" t="str">
        <f>IFERROR(__xludf.DUMMYFUNCTION("""COMPUTED_VALUE"""),"GINTRACOM")</f>
        <v>GINTRACOM</v>
      </c>
      <c r="R1383" s="65">
        <f>IFERROR(__xludf.DUMMYFUNCTION("""COMPUTED_VALUE"""),25.0)</f>
        <v>25</v>
      </c>
      <c r="S1383" s="65"/>
      <c r="T1383" s="65">
        <f>IFERROR(__xludf.DUMMYFUNCTION("""COMPUTED_VALUE"""),4.35)</f>
        <v>4.35</v>
      </c>
      <c r="U1383" s="65">
        <f>IFERROR(__xludf.DUMMYFUNCTION("""COMPUTED_VALUE"""),0.0)</f>
        <v>0</v>
      </c>
      <c r="V1383" s="65">
        <f>IFERROR(__xludf.DUMMYFUNCTION("""COMPUTED_VALUE"""),0.0)</f>
        <v>0</v>
      </c>
      <c r="W1383" s="65">
        <f>IFERROR(__xludf.DUMMYFUNCTION("""COMPUTED_VALUE"""),0.0)</f>
        <v>0</v>
      </c>
      <c r="X1383" s="65">
        <f>IFERROR(__xludf.DUMMYFUNCTION("""COMPUTED_VALUE"""),2.35)</f>
        <v>2.35</v>
      </c>
      <c r="Y1383" s="65">
        <f>IFERROR(__xludf.DUMMYFUNCTION("""COMPUTED_VALUE"""),4.7)</f>
        <v>4.7</v>
      </c>
      <c r="Z1383" s="65">
        <f>IFERROR(__xludf.DUMMYFUNCTION("""COMPUTED_VALUE"""),116679.0)</f>
        <v>116679</v>
      </c>
      <c r="AA1383" s="65" t="str">
        <f>IFERROR(__xludf.DUMMYFUNCTION("""COMPUTED_VALUE"""),"AMC-2738")</f>
        <v>AMC-2738</v>
      </c>
      <c r="AB1383" s="65"/>
      <c r="AC1383" s="65" t="str">
        <f>IFERROR(__xludf.DUMMYFUNCTION("""COMPUTED_VALUE"""),"ESPONJA ANTILLUVIA DE PARABRISAS")</f>
        <v>ESPONJA ANTILLUVIA DE PARABRISAS</v>
      </c>
      <c r="AD1383" s="65"/>
      <c r="AE1383" s="65">
        <f>IFERROR(__xludf.DUMMYFUNCTION("""COMPUTED_VALUE"""),2.0)</f>
        <v>2</v>
      </c>
      <c r="AF1383" s="65"/>
      <c r="AG1383" s="65"/>
      <c r="AH1383" s="65"/>
      <c r="AI1383" s="65"/>
      <c r="AJ1383" s="65"/>
      <c r="AK1383" s="65"/>
      <c r="AL1383" s="65"/>
      <c r="AM1383" s="65"/>
      <c r="AN1383" s="65"/>
      <c r="AO1383" s="65"/>
      <c r="AP1383" s="65"/>
      <c r="AQ1383" s="65"/>
      <c r="AR1383" s="65"/>
      <c r="AS1383" s="65"/>
      <c r="AT1383" s="65" t="str">
        <f>IFERROR(__xludf.DUMMYFUNCTION("""COMPUTED_VALUE"""),"SHOPIFY")</f>
        <v>SHOPIFY</v>
      </c>
      <c r="AU1383" s="65" t="str">
        <f>IFERROR(__xludf.DUMMYFUNCTION("""COMPUTED_VALUE"""),"IMPORTEX EC")</f>
        <v>IMPORTEX EC</v>
      </c>
      <c r="AV1383" s="65" t="str">
        <f>IFERROR(__xludf.DUMMYFUNCTION("""COMPUTED_VALUE"""),"6450340659244")</f>
        <v>6450340659244</v>
      </c>
      <c r="AW1383" s="65">
        <f>IFERROR(__xludf.DUMMYFUNCTION("""COMPUTED_VALUE"""),5555.0)</f>
        <v>5555</v>
      </c>
      <c r="AX1383" s="65"/>
      <c r="AY1383" s="65"/>
      <c r="AZ1383" s="65"/>
      <c r="BA1383" s="65"/>
    </row>
    <row r="1384">
      <c r="A1384" s="65" t="str">
        <f>IFERROR(__xludf.DUMMYFUNCTION("""COMPUTED_VALUE"""),"27-03-2026")</f>
        <v>27-03-2026</v>
      </c>
      <c r="B1384" s="65">
        <f>IFERROR(__xludf.DUMMYFUNCTION("""COMPUTED_VALUE"""),4288761.0)</f>
        <v>4288761</v>
      </c>
      <c r="C1384" s="65" t="str">
        <f>IFERROR(__xludf.DUMMYFUNCTION("""COMPUTED_VALUE"""),"19:45")</f>
        <v>19:45</v>
      </c>
      <c r="D1384" s="65" t="str">
        <f>IFERROR(__xludf.DUMMYFUNCTION("""COMPUTED_VALUE"""),"26-01-2026")</f>
        <v>26-01-2026</v>
      </c>
      <c r="E1384" s="65" t="str">
        <f>IFERROR(__xludf.DUMMYFUNCTION("""COMPUTED_VALUE"""),"Johnny Mendoza")</f>
        <v>Johnny Mendoza</v>
      </c>
      <c r="F1384" s="65" t="str">
        <f>IFERROR(__xludf.DUMMYFUNCTION("""COMPUTED_VALUE"""),"968771270")</f>
        <v>968771270</v>
      </c>
      <c r="G1384" s="65" t="str">
        <f>IFERROR(__xludf.DUMMYFUNCTION("""COMPUTED_VALUE"""),"johnny-4321@hotmail.com")</f>
        <v>johnny-4321@hotmail.com</v>
      </c>
      <c r="H1384" s="65"/>
      <c r="I1384" s="65"/>
      <c r="J1384" s="65"/>
      <c r="K1384" s="65" t="str">
        <f>IFERROR(__xludf.DUMMYFUNCTION("""COMPUTED_VALUE"""),"CANCELADO")</f>
        <v>CANCELADO</v>
      </c>
      <c r="L1384" s="65" t="str">
        <f>IFERROR(__xludf.DUMMYFUNCTION("""COMPUTED_VALUE"""),"CON RECAUDO")</f>
        <v>CON RECAUDO</v>
      </c>
      <c r="M1384" s="65" t="str">
        <f>IFERROR(__xludf.DUMMYFUNCTION("""COMPUTED_VALUE"""),"LOS RIOS")</f>
        <v>LOS RIOS</v>
      </c>
      <c r="N1384" s="65" t="str">
        <f>IFERROR(__xludf.DUMMYFUNCTION("""COMPUTED_VALUE"""),"QUINSALOMA")</f>
        <v>QUINSALOMA</v>
      </c>
      <c r="O1384" s="65" t="str">
        <f>IFERROR(__xludf.DUMMYFUNCTION("""COMPUTED_VALUE"""),"Quinsaloma Alado del tua local de celular -")</f>
        <v>Quinsaloma Alado del tua local de celular -</v>
      </c>
      <c r="P1384" s="65"/>
      <c r="Q1384" s="65" t="str">
        <f>IFERROR(__xludf.DUMMYFUNCTION("""COMPUTED_VALUE"""),"SERVIENTREGA")</f>
        <v>SERVIENTREGA</v>
      </c>
      <c r="R1384" s="65">
        <f>IFERROR(__xludf.DUMMYFUNCTION("""COMPUTED_VALUE"""),20.0)</f>
        <v>20</v>
      </c>
      <c r="S1384" s="65"/>
      <c r="T1384" s="65">
        <f>IFERROR(__xludf.DUMMYFUNCTION("""COMPUTED_VALUE"""),7.67)</f>
        <v>7.67</v>
      </c>
      <c r="U1384" s="65">
        <f>IFERROR(__xludf.DUMMYFUNCTION("""COMPUTED_VALUE"""),0.0)</f>
        <v>0</v>
      </c>
      <c r="V1384" s="65">
        <f>IFERROR(__xludf.DUMMYFUNCTION("""COMPUTED_VALUE"""),0.0)</f>
        <v>0</v>
      </c>
      <c r="W1384" s="65">
        <f>IFERROR(__xludf.DUMMYFUNCTION("""COMPUTED_VALUE"""),0.0)</f>
        <v>0</v>
      </c>
      <c r="X1384" s="65">
        <f>IFERROR(__xludf.DUMMYFUNCTION("""COMPUTED_VALUE"""),2.35)</f>
        <v>2.35</v>
      </c>
      <c r="Y1384" s="65">
        <f>IFERROR(__xludf.DUMMYFUNCTION("""COMPUTED_VALUE"""),2.35)</f>
        <v>2.35</v>
      </c>
      <c r="Z1384" s="65">
        <f>IFERROR(__xludf.DUMMYFUNCTION("""COMPUTED_VALUE"""),116679.0)</f>
        <v>116679</v>
      </c>
      <c r="AA1384" s="65" t="str">
        <f>IFERROR(__xludf.DUMMYFUNCTION("""COMPUTED_VALUE"""),"AMC-2738")</f>
        <v>AMC-2738</v>
      </c>
      <c r="AB1384" s="65"/>
      <c r="AC1384" s="65" t="str">
        <f>IFERROR(__xludf.DUMMYFUNCTION("""COMPUTED_VALUE"""),"ESPONJA ANTILLUVIA DE PARABRISAS")</f>
        <v>ESPONJA ANTILLUVIA DE PARABRISAS</v>
      </c>
      <c r="AD1384" s="65"/>
      <c r="AE1384" s="65">
        <f>IFERROR(__xludf.DUMMYFUNCTION("""COMPUTED_VALUE"""),1.0)</f>
        <v>1</v>
      </c>
      <c r="AF1384" s="65"/>
      <c r="AG1384" s="65"/>
      <c r="AH1384" s="65"/>
      <c r="AI1384" s="65"/>
      <c r="AJ1384" s="65"/>
      <c r="AK1384" s="65"/>
      <c r="AL1384" s="65"/>
      <c r="AM1384" s="65"/>
      <c r="AN1384" s="65"/>
      <c r="AO1384" s="65"/>
      <c r="AP1384" s="65"/>
      <c r="AQ1384" s="65"/>
      <c r="AR1384" s="65"/>
      <c r="AS1384" s="65"/>
      <c r="AT1384" s="65" t="str">
        <f>IFERROR(__xludf.DUMMYFUNCTION("""COMPUTED_VALUE"""),"SHOPIFY")</f>
        <v>SHOPIFY</v>
      </c>
      <c r="AU1384" s="65" t="str">
        <f>IFERROR(__xludf.DUMMYFUNCTION("""COMPUTED_VALUE"""),"IMPORTEX EC")</f>
        <v>IMPORTEX EC</v>
      </c>
      <c r="AV1384" s="65" t="str">
        <f>IFERROR(__xludf.DUMMYFUNCTION("""COMPUTED_VALUE"""),"6450232852524")</f>
        <v>6450232852524</v>
      </c>
      <c r="AW1384" s="65">
        <f>IFERROR(__xludf.DUMMYFUNCTION("""COMPUTED_VALUE"""),5553.0)</f>
        <v>5553</v>
      </c>
      <c r="AX1384" s="65"/>
      <c r="AY1384" s="65"/>
      <c r="AZ1384" s="65"/>
      <c r="BA1384" s="65"/>
    </row>
    <row r="1385">
      <c r="A1385" s="65" t="str">
        <f>IFERROR(__xludf.DUMMYFUNCTION("""COMPUTED_VALUE"""),"27-03-2026")</f>
        <v>27-03-2026</v>
      </c>
      <c r="B1385" s="65">
        <f>IFERROR(__xludf.DUMMYFUNCTION("""COMPUTED_VALUE"""),4288484.0)</f>
        <v>4288484</v>
      </c>
      <c r="C1385" s="65" t="str">
        <f>IFERROR(__xludf.DUMMYFUNCTION("""COMPUTED_VALUE"""),"19:17")</f>
        <v>19:17</v>
      </c>
      <c r="D1385" s="65" t="str">
        <f>IFERROR(__xludf.DUMMYFUNCTION("""COMPUTED_VALUE"""),"26-01-2026")</f>
        <v>26-01-2026</v>
      </c>
      <c r="E1385" s="65" t="str">
        <f>IFERROR(__xludf.DUMMYFUNCTION("""COMPUTED_VALUE"""),"Alex Vergara")</f>
        <v>Alex Vergara</v>
      </c>
      <c r="F1385" s="65" t="str">
        <f>IFERROR(__xludf.DUMMYFUNCTION("""COMPUTED_VALUE"""),"986110785")</f>
        <v>986110785</v>
      </c>
      <c r="G1385" s="65" t="str">
        <f>IFERROR(__xludf.DUMMYFUNCTION("""COMPUTED_VALUE"""),"alexvergara9495@gmail.com")</f>
        <v>alexvergara9495@gmail.com</v>
      </c>
      <c r="H1385" s="65"/>
      <c r="I1385" s="65"/>
      <c r="J1385" s="65"/>
      <c r="K1385" s="65" t="str">
        <f>IFERROR(__xludf.DUMMYFUNCTION("""COMPUTED_VALUE"""),"CANCELADO")</f>
        <v>CANCELADO</v>
      </c>
      <c r="L1385" s="65" t="str">
        <f>IFERROR(__xludf.DUMMYFUNCTION("""COMPUTED_VALUE"""),"CON RECAUDO")</f>
        <v>CON RECAUDO</v>
      </c>
      <c r="M1385" s="65" t="str">
        <f>IFERROR(__xludf.DUMMYFUNCTION("""COMPUTED_VALUE"""),"CHIMBORAZO")</f>
        <v>CHIMBORAZO</v>
      </c>
      <c r="N1385" s="65" t="str">
        <f>IFERROR(__xludf.DUMMYFUNCTION("""COMPUTED_VALUE"""),"LICAN")</f>
        <v>LICAN</v>
      </c>
      <c r="O1385" s="65" t="str">
        <f>IFERROR(__xludf.DUMMYFUNCTION("""COMPUTED_VALUE"""),"Lican Barrio vista hermosa cerramiento de sin -")</f>
        <v>Lican Barrio vista hermosa cerramiento de sin -</v>
      </c>
      <c r="P1385" s="65"/>
      <c r="Q1385" s="65" t="str">
        <f>IFERROR(__xludf.DUMMYFUNCTION("""COMPUTED_VALUE"""),"GINTRACOM")</f>
        <v>GINTRACOM</v>
      </c>
      <c r="R1385" s="65">
        <f>IFERROR(__xludf.DUMMYFUNCTION("""COMPUTED_VALUE"""),21.99)</f>
        <v>21.99</v>
      </c>
      <c r="S1385" s="65"/>
      <c r="T1385" s="65">
        <f>IFERROR(__xludf.DUMMYFUNCTION("""COMPUTED_VALUE"""),6.41)</f>
        <v>6.41</v>
      </c>
      <c r="U1385" s="65">
        <f>IFERROR(__xludf.DUMMYFUNCTION("""COMPUTED_VALUE"""),0.0)</f>
        <v>0</v>
      </c>
      <c r="V1385" s="65">
        <f>IFERROR(__xludf.DUMMYFUNCTION("""COMPUTED_VALUE"""),0.0)</f>
        <v>0</v>
      </c>
      <c r="W1385" s="65">
        <f>IFERROR(__xludf.DUMMYFUNCTION("""COMPUTED_VALUE"""),0.0)</f>
        <v>0</v>
      </c>
      <c r="X1385" s="65">
        <f>IFERROR(__xludf.DUMMYFUNCTION("""COMPUTED_VALUE"""),5.0)</f>
        <v>5</v>
      </c>
      <c r="Y1385" s="65">
        <f>IFERROR(__xludf.DUMMYFUNCTION("""COMPUTED_VALUE"""),5.0)</f>
        <v>5</v>
      </c>
      <c r="Z1385" s="65">
        <f>IFERROR(__xludf.DUMMYFUNCTION("""COMPUTED_VALUE"""),110064.0)</f>
        <v>110064</v>
      </c>
      <c r="AA1385" s="65" t="str">
        <f>IFERROR(__xludf.DUMMYFUNCTION("""COMPUTED_VALUE"""),"IMX-00001")</f>
        <v>IMX-00001</v>
      </c>
      <c r="AB1385" s="65"/>
      <c r="AC1385" s="65" t="str">
        <f>IFERROR(__xludf.DUMMYFUNCTION("""COMPUTED_VALUE"""),"LLAVE TRINQUETE")</f>
        <v>LLAVE TRINQUETE</v>
      </c>
      <c r="AD1385" s="65"/>
      <c r="AE1385" s="65">
        <f>IFERROR(__xludf.DUMMYFUNCTION("""COMPUTED_VALUE"""),1.0)</f>
        <v>1</v>
      </c>
      <c r="AF1385" s="65"/>
      <c r="AG1385" s="65"/>
      <c r="AH1385" s="65"/>
      <c r="AI1385" s="65"/>
      <c r="AJ1385" s="65"/>
      <c r="AK1385" s="65"/>
      <c r="AL1385" s="65"/>
      <c r="AM1385" s="65"/>
      <c r="AN1385" s="65"/>
      <c r="AO1385" s="65"/>
      <c r="AP1385" s="65"/>
      <c r="AQ1385" s="65"/>
      <c r="AR1385" s="65"/>
      <c r="AS1385" s="65"/>
      <c r="AT1385" s="65" t="str">
        <f>IFERROR(__xludf.DUMMYFUNCTION("""COMPUTED_VALUE"""),"SHOPIFY")</f>
        <v>SHOPIFY</v>
      </c>
      <c r="AU1385" s="65" t="str">
        <f>IFERROR(__xludf.DUMMYFUNCTION("""COMPUTED_VALUE"""),"IMPORTEX EC")</f>
        <v>IMPORTEX EC</v>
      </c>
      <c r="AV1385" s="65" t="str">
        <f>IFERROR(__xludf.DUMMYFUNCTION("""COMPUTED_VALUE"""),"6450171150380")</f>
        <v>6450171150380</v>
      </c>
      <c r="AW1385" s="65">
        <f>IFERROR(__xludf.DUMMYFUNCTION("""COMPUTED_VALUE"""),5552.0)</f>
        <v>5552</v>
      </c>
      <c r="AX1385" s="65"/>
      <c r="AY1385" s="65"/>
      <c r="AZ1385" s="65"/>
      <c r="BA1385" s="65"/>
    </row>
    <row r="1386">
      <c r="A1386" s="65" t="str">
        <f>IFERROR(__xludf.DUMMYFUNCTION("""COMPUTED_VALUE"""),"27-03-2026")</f>
        <v>27-03-2026</v>
      </c>
      <c r="B1386" s="65">
        <f>IFERROR(__xludf.DUMMYFUNCTION("""COMPUTED_VALUE"""),4287032.0)</f>
        <v>4287032</v>
      </c>
      <c r="C1386" s="65" t="str">
        <f>IFERROR(__xludf.DUMMYFUNCTION("""COMPUTED_VALUE"""),"16:44")</f>
        <v>16:44</v>
      </c>
      <c r="D1386" s="65" t="str">
        <f>IFERROR(__xludf.DUMMYFUNCTION("""COMPUTED_VALUE"""),"26-01-2026")</f>
        <v>26-01-2026</v>
      </c>
      <c r="E1386" s="65" t="str">
        <f>IFERROR(__xludf.DUMMYFUNCTION("""COMPUTED_VALUE"""),"LUIS VINICIO CABEZAS LUNA")</f>
        <v>LUIS VINICIO CABEZAS LUNA</v>
      </c>
      <c r="F1386" s="65" t="str">
        <f>IFERROR(__xludf.DUMMYFUNCTION("""COMPUTED_VALUE"""),"983163246")</f>
        <v>983163246</v>
      </c>
      <c r="G1386" s="65"/>
      <c r="H1386" s="65"/>
      <c r="I1386" s="65"/>
      <c r="J1386" s="65" t="str">
        <f>IFERROR(__xludf.DUMMYFUNCTION("""COMPUTED_VALUE"""),"186537056")</f>
        <v>186537056</v>
      </c>
      <c r="K1386" s="65" t="str">
        <f>IFERROR(__xludf.DUMMYFUNCTION("""COMPUTED_VALUE"""),"DEVOLUCION")</f>
        <v>DEVOLUCION</v>
      </c>
      <c r="L1386" s="65" t="str">
        <f>IFERROR(__xludf.DUMMYFUNCTION("""COMPUTED_VALUE"""),"CON RECAUDO")</f>
        <v>CON RECAUDO</v>
      </c>
      <c r="M1386" s="65" t="str">
        <f>IFERROR(__xludf.DUMMYFUNCTION("""COMPUTED_VALUE"""),"CHIMBORAZO")</f>
        <v>CHIMBORAZO</v>
      </c>
      <c r="N1386" s="65" t="str">
        <f>IFERROR(__xludf.DUMMYFUNCTION("""COMPUTED_VALUE"""),"CHUNCHI")</f>
        <v>CHUNCHI</v>
      </c>
      <c r="O1386" s="65" t="str">
        <f>IFERROR(__xludf.DUMMYFUNCTION("""COMPUTED_VALUE"""),"CS: CHUNCHI_PRINCIPAL / CAPITAN RICAURTE 332 Y QUITO")</f>
        <v>CS: CHUNCHI_PRINCIPAL / CAPITAN RICAURTE 332 Y QUITO</v>
      </c>
      <c r="P1386" s="65" t="str">
        <f>IFERROR(__xludf.DUMMYFUNCTION("""COMPUTED_VALUE"""),"CS: CHUNCHI_PRINCIPAL / CAPITAN RICAURTE 332 Y QUITO (SERVIENTREGA)")</f>
        <v>CS: CHUNCHI_PRINCIPAL / CAPITAN RICAURTE 332 Y QUITO (SERVIENTREGA)</v>
      </c>
      <c r="Q1386" s="65" t="str">
        <f>IFERROR(__xludf.DUMMYFUNCTION("""COMPUTED_VALUE"""),"SERVIENTREGA")</f>
        <v>SERVIENTREGA</v>
      </c>
      <c r="R1386" s="65">
        <f>IFERROR(__xludf.DUMMYFUNCTION("""COMPUTED_VALUE"""),20.0)</f>
        <v>20</v>
      </c>
      <c r="S1386" s="65"/>
      <c r="T1386" s="65">
        <f>IFERROR(__xludf.DUMMYFUNCTION("""COMPUTED_VALUE"""),7.67)</f>
        <v>7.67</v>
      </c>
      <c r="U1386" s="65">
        <f>IFERROR(__xludf.DUMMYFUNCTION("""COMPUTED_VALUE"""),0.0)</f>
        <v>0</v>
      </c>
      <c r="V1386" s="65">
        <f>IFERROR(__xludf.DUMMYFUNCTION("""COMPUTED_VALUE"""),0.0)</f>
        <v>0</v>
      </c>
      <c r="W1386" s="65">
        <f>IFERROR(__xludf.DUMMYFUNCTION("""COMPUTED_VALUE"""),0.0)</f>
        <v>0</v>
      </c>
      <c r="X1386" s="65">
        <f>IFERROR(__xludf.DUMMYFUNCTION("""COMPUTED_VALUE"""),2.35)</f>
        <v>2.35</v>
      </c>
      <c r="Y1386" s="65">
        <f>IFERROR(__xludf.DUMMYFUNCTION("""COMPUTED_VALUE"""),2.35)</f>
        <v>2.35</v>
      </c>
      <c r="Z1386" s="65">
        <f>IFERROR(__xludf.DUMMYFUNCTION("""COMPUTED_VALUE"""),116679.0)</f>
        <v>116679</v>
      </c>
      <c r="AA1386" s="65" t="str">
        <f>IFERROR(__xludf.DUMMYFUNCTION("""COMPUTED_VALUE"""),"AMC-2738")</f>
        <v>AMC-2738</v>
      </c>
      <c r="AB1386" s="65"/>
      <c r="AC1386" s="65" t="str">
        <f>IFERROR(__xludf.DUMMYFUNCTION("""COMPUTED_VALUE"""),"ESPONJA ANTILLUVIA DE PARABRISAS")</f>
        <v>ESPONJA ANTILLUVIA DE PARABRISAS</v>
      </c>
      <c r="AD1386" s="65"/>
      <c r="AE1386" s="65">
        <f>IFERROR(__xludf.DUMMYFUNCTION("""COMPUTED_VALUE"""),1.0)</f>
        <v>1</v>
      </c>
      <c r="AF1386" s="65" t="str">
        <f>IFERROR(__xludf.DUMMYFUNCTION("""COMPUTED_VALUE"""),"DEVOLUCION AL REMITENTE")</f>
        <v>DEVOLUCION AL REMITENTE</v>
      </c>
      <c r="AG1386" s="65" t="str">
        <f>IFERROR(__xludf.DUMMYFUNCTION("""COMPUTED_VALUE"""),"NO")</f>
        <v>NO</v>
      </c>
      <c r="AH1386" s="65" t="str">
        <f>IFERROR(__xludf.DUMMYFUNCTION("""COMPUTED_VALUE"""),"17:17")</f>
        <v>17:17</v>
      </c>
      <c r="AI1386" s="65" t="str">
        <f>IFERROR(__xludf.DUMMYFUNCTION("""COMPUTED_VALUE"""),"12-02-2026")</f>
        <v>12-02-2026</v>
      </c>
      <c r="AJ1386" s="65"/>
      <c r="AK1386" s="65"/>
      <c r="AL1386" s="65"/>
      <c r="AM1386" s="65"/>
      <c r="AN1386" s="65" t="str">
        <f>IFERROR(__xludf.DUMMYFUNCTION("""COMPUTED_VALUE"""),"01:01")</f>
        <v>01:01</v>
      </c>
      <c r="AO1386" s="65" t="str">
        <f>IFERROR(__xludf.DUMMYFUNCTION("""COMPUTED_VALUE"""),"14-02-2026")</f>
        <v>14-02-2026</v>
      </c>
      <c r="AP1386" s="65" t="str">
        <f>IFERROR(__xludf.DUMMYFUNCTION("""COMPUTED_VALUE"""),"Certificacion Devolucion al Remitente CL QUITO SUR")</f>
        <v>Certificacion Devolucion al Remitente CL QUITO SUR</v>
      </c>
      <c r="AQ1386" s="65" t="str">
        <f>IFERROR(__xludf.DUMMYFUNCTION("""COMPUTED_VALUE"""),"{}")</f>
        <v>{}</v>
      </c>
      <c r="AR1386" s="65"/>
      <c r="AS1386" s="65" t="str">
        <f>IFERROR(__xludf.DUMMYFUNCTION("""COMPUTED_VALUE"""),"Bayron Gomez")</f>
        <v>Bayron Gomez</v>
      </c>
      <c r="AT1386" s="65"/>
      <c r="AU1386" s="65"/>
      <c r="AV1386" s="65"/>
      <c r="AW1386" s="65"/>
      <c r="AX1386" s="65"/>
      <c r="AY1386" s="65" t="str">
        <f>IFERROR(__xludf.DUMMYFUNCTION("""COMPUTED_VALUE"""),"27/01/2026")</f>
        <v>27/01/2026</v>
      </c>
      <c r="AZ1386" s="65"/>
      <c r="BA1386" s="65"/>
    </row>
    <row r="1387">
      <c r="A1387" s="65" t="str">
        <f>IFERROR(__xludf.DUMMYFUNCTION("""COMPUTED_VALUE"""),"27-03-2026")</f>
        <v>27-03-2026</v>
      </c>
      <c r="B1387" s="65">
        <f>IFERROR(__xludf.DUMMYFUNCTION("""COMPUTED_VALUE"""),4286954.0)</f>
        <v>4286954</v>
      </c>
      <c r="C1387" s="65" t="str">
        <f>IFERROR(__xludf.DUMMYFUNCTION("""COMPUTED_VALUE"""),"16:38")</f>
        <v>16:38</v>
      </c>
      <c r="D1387" s="65" t="str">
        <f>IFERROR(__xludf.DUMMYFUNCTION("""COMPUTED_VALUE"""),"26-01-2026")</f>
        <v>26-01-2026</v>
      </c>
      <c r="E1387" s="65" t="str">
        <f>IFERROR(__xludf.DUMMYFUNCTION("""COMPUTED_VALUE"""),"Mirian Fajardo")</f>
        <v>Mirian Fajardo</v>
      </c>
      <c r="F1387" s="65" t="str">
        <f>IFERROR(__xludf.DUMMYFUNCTION("""COMPUTED_VALUE"""),"997331326")</f>
        <v>997331326</v>
      </c>
      <c r="G1387" s="65"/>
      <c r="H1387" s="65"/>
      <c r="I1387" s="65"/>
      <c r="J1387" s="65"/>
      <c r="K1387" s="65" t="str">
        <f>IFERROR(__xludf.DUMMYFUNCTION("""COMPUTED_VALUE"""),"CANCELADO")</f>
        <v>CANCELADO</v>
      </c>
      <c r="L1387" s="65" t="str">
        <f>IFERROR(__xludf.DUMMYFUNCTION("""COMPUTED_VALUE"""),"CON RECAUDO")</f>
        <v>CON RECAUDO</v>
      </c>
      <c r="M1387" s="65" t="str">
        <f>IFERROR(__xludf.DUMMYFUNCTION("""COMPUTED_VALUE"""),"AZUAY")</f>
        <v>AZUAY</v>
      </c>
      <c r="N1387" s="65" t="str">
        <f>IFERROR(__xludf.DUMMYFUNCTION("""COMPUTED_VALUE"""),"CUENCA")</f>
        <v>CUENCA</v>
      </c>
      <c r="O1387" s="65" t="str">
        <f>IFERROR(__xludf.DUMMYFUNCTION("""COMPUTED_VALUE"""),"Gonzales Zuares y Pancho Villa Monay -")</f>
        <v>Gonzales Zuares y Pancho Villa Monay -</v>
      </c>
      <c r="P1387" s="65"/>
      <c r="Q1387" s="65" t="str">
        <f>IFERROR(__xludf.DUMMYFUNCTION("""COMPUTED_VALUE"""),"GINTRACOM")</f>
        <v>GINTRACOM</v>
      </c>
      <c r="R1387" s="65">
        <f>IFERROR(__xludf.DUMMYFUNCTION("""COMPUTED_VALUE"""),25.0)</f>
        <v>25</v>
      </c>
      <c r="S1387" s="65"/>
      <c r="T1387" s="65">
        <f>IFERROR(__xludf.DUMMYFUNCTION("""COMPUTED_VALUE"""),5.96)</f>
        <v>5.96</v>
      </c>
      <c r="U1387" s="65">
        <f>IFERROR(__xludf.DUMMYFUNCTION("""COMPUTED_VALUE"""),0.0)</f>
        <v>0</v>
      </c>
      <c r="V1387" s="65">
        <f>IFERROR(__xludf.DUMMYFUNCTION("""COMPUTED_VALUE"""),0.0)</f>
        <v>0</v>
      </c>
      <c r="W1387" s="65">
        <f>IFERROR(__xludf.DUMMYFUNCTION("""COMPUTED_VALUE"""),0.0)</f>
        <v>0</v>
      </c>
      <c r="X1387" s="65">
        <f>IFERROR(__xludf.DUMMYFUNCTION("""COMPUTED_VALUE"""),2.35)</f>
        <v>2.35</v>
      </c>
      <c r="Y1387" s="65">
        <f>IFERROR(__xludf.DUMMYFUNCTION("""COMPUTED_VALUE"""),4.7)</f>
        <v>4.7</v>
      </c>
      <c r="Z1387" s="65">
        <f>IFERROR(__xludf.DUMMYFUNCTION("""COMPUTED_VALUE"""),116679.0)</f>
        <v>116679</v>
      </c>
      <c r="AA1387" s="65" t="str">
        <f>IFERROR(__xludf.DUMMYFUNCTION("""COMPUTED_VALUE"""),"AMC-2738")</f>
        <v>AMC-2738</v>
      </c>
      <c r="AB1387" s="65"/>
      <c r="AC1387" s="65" t="str">
        <f>IFERROR(__xludf.DUMMYFUNCTION("""COMPUTED_VALUE"""),"ESPONJA ANTILLUVIA DE PARABRISAS")</f>
        <v>ESPONJA ANTILLUVIA DE PARABRISAS</v>
      </c>
      <c r="AD1387" s="65"/>
      <c r="AE1387" s="65">
        <f>IFERROR(__xludf.DUMMYFUNCTION("""COMPUTED_VALUE"""),2.0)</f>
        <v>2</v>
      </c>
      <c r="AF1387" s="65"/>
      <c r="AG1387" s="65"/>
      <c r="AH1387" s="65"/>
      <c r="AI1387" s="65"/>
      <c r="AJ1387" s="65"/>
      <c r="AK1387" s="65"/>
      <c r="AL1387" s="65"/>
      <c r="AM1387" s="65"/>
      <c r="AN1387" s="65"/>
      <c r="AO1387" s="65"/>
      <c r="AP1387" s="65"/>
      <c r="AQ1387" s="65"/>
      <c r="AR1387" s="65"/>
      <c r="AS1387" s="65"/>
      <c r="AT1387" s="65" t="str">
        <f>IFERROR(__xludf.DUMMYFUNCTION("""COMPUTED_VALUE"""),"SHOPIFY")</f>
        <v>SHOPIFY</v>
      </c>
      <c r="AU1387" s="65" t="str">
        <f>IFERROR(__xludf.DUMMYFUNCTION("""COMPUTED_VALUE"""),"IMPORTEX EC")</f>
        <v>IMPORTEX EC</v>
      </c>
      <c r="AV1387" s="65" t="str">
        <f>IFERROR(__xludf.DUMMYFUNCTION("""COMPUTED_VALUE"""),"6449809129516")</f>
        <v>6449809129516</v>
      </c>
      <c r="AW1387" s="65">
        <f>IFERROR(__xludf.DUMMYFUNCTION("""COMPUTED_VALUE"""),5551.0)</f>
        <v>5551</v>
      </c>
      <c r="AX1387" s="65"/>
      <c r="AY1387" s="65"/>
      <c r="AZ1387" s="65"/>
      <c r="BA1387" s="65"/>
    </row>
    <row r="1388">
      <c r="A1388" s="65" t="str">
        <f>IFERROR(__xludf.DUMMYFUNCTION("""COMPUTED_VALUE"""),"27-03-2026")</f>
        <v>27-03-2026</v>
      </c>
      <c r="B1388" s="65">
        <f>IFERROR(__xludf.DUMMYFUNCTION("""COMPUTED_VALUE"""),4286631.0)</f>
        <v>4286631</v>
      </c>
      <c r="C1388" s="65" t="str">
        <f>IFERROR(__xludf.DUMMYFUNCTION("""COMPUTED_VALUE"""),"16:12")</f>
        <v>16:12</v>
      </c>
      <c r="D1388" s="65" t="str">
        <f>IFERROR(__xludf.DUMMYFUNCTION("""COMPUTED_VALUE"""),"26-01-2026")</f>
        <v>26-01-2026</v>
      </c>
      <c r="E1388" s="65" t="str">
        <f>IFERROR(__xludf.DUMMYFUNCTION("""COMPUTED_VALUE"""),"Alexandra Valarezo 0960508513")</f>
        <v>Alexandra Valarezo 0960508513</v>
      </c>
      <c r="F1388" s="65" t="str">
        <f>IFERROR(__xludf.DUMMYFUNCTION("""COMPUTED_VALUE"""),"960508513")</f>
        <v>960508513</v>
      </c>
      <c r="G1388" s="65" t="str">
        <f>IFERROR(__xludf.DUMMYFUNCTION("""COMPUTED_VALUE"""),"isabelvalarezo10c@hotmail.com")</f>
        <v>isabelvalarezo10c@hotmail.com</v>
      </c>
      <c r="H1388" s="65"/>
      <c r="I1388" s="65"/>
      <c r="J1388" s="65"/>
      <c r="K1388" s="65" t="str">
        <f>IFERROR(__xludf.DUMMYFUNCTION("""COMPUTED_VALUE"""),"CANCELADO")</f>
        <v>CANCELADO</v>
      </c>
      <c r="L1388" s="65" t="str">
        <f>IFERROR(__xludf.DUMMYFUNCTION("""COMPUTED_VALUE"""),"CON RECAUDO")</f>
        <v>CON RECAUDO</v>
      </c>
      <c r="M1388" s="65" t="str">
        <f>IFERROR(__xludf.DUMMYFUNCTION("""COMPUTED_VALUE"""),"LOJA")</f>
        <v>LOJA</v>
      </c>
      <c r="N1388" s="65" t="str">
        <f>IFERROR(__xludf.DUMMYFUNCTION("""COMPUTED_VALUE"""),"LOJA")</f>
        <v>LOJA</v>
      </c>
      <c r="O1388" s="65" t="str">
        <f>IFERROR(__xludf.DUMMYFUNCTION("""COMPUTED_VALUE"""),"Restaurante FRIJOL DISH frente al semaforo de la z 24 de mayo y zoilo rodrigues sector la pileta -")</f>
        <v>Restaurante FRIJOL DISH frente al semaforo de la z 24 de mayo y zoilo rodrigues sector la pileta -</v>
      </c>
      <c r="P1388" s="65"/>
      <c r="Q1388" s="65" t="str">
        <f>IFERROR(__xludf.DUMMYFUNCTION("""COMPUTED_VALUE"""),"GINTRACOM")</f>
        <v>GINTRACOM</v>
      </c>
      <c r="R1388" s="65">
        <f>IFERROR(__xludf.DUMMYFUNCTION("""COMPUTED_VALUE"""),20.0)</f>
        <v>20</v>
      </c>
      <c r="S1388" s="65"/>
      <c r="T1388" s="65">
        <f>IFERROR(__xludf.DUMMYFUNCTION("""COMPUTED_VALUE"""),5.76)</f>
        <v>5.76</v>
      </c>
      <c r="U1388" s="65">
        <f>IFERROR(__xludf.DUMMYFUNCTION("""COMPUTED_VALUE"""),0.0)</f>
        <v>0</v>
      </c>
      <c r="V1388" s="65">
        <f>IFERROR(__xludf.DUMMYFUNCTION("""COMPUTED_VALUE"""),0.0)</f>
        <v>0</v>
      </c>
      <c r="W1388" s="65">
        <f>IFERROR(__xludf.DUMMYFUNCTION("""COMPUTED_VALUE"""),0.0)</f>
        <v>0</v>
      </c>
      <c r="X1388" s="65">
        <f>IFERROR(__xludf.DUMMYFUNCTION("""COMPUTED_VALUE"""),2.35)</f>
        <v>2.35</v>
      </c>
      <c r="Y1388" s="65">
        <f>IFERROR(__xludf.DUMMYFUNCTION("""COMPUTED_VALUE"""),2.35)</f>
        <v>2.35</v>
      </c>
      <c r="Z1388" s="65">
        <f>IFERROR(__xludf.DUMMYFUNCTION("""COMPUTED_VALUE"""),116679.0)</f>
        <v>116679</v>
      </c>
      <c r="AA1388" s="65" t="str">
        <f>IFERROR(__xludf.DUMMYFUNCTION("""COMPUTED_VALUE"""),"AMC-2738")</f>
        <v>AMC-2738</v>
      </c>
      <c r="AB1388" s="65"/>
      <c r="AC1388" s="65" t="str">
        <f>IFERROR(__xludf.DUMMYFUNCTION("""COMPUTED_VALUE"""),"ESPONJA ANTILLUVIA DE PARABRISAS")</f>
        <v>ESPONJA ANTILLUVIA DE PARABRISAS</v>
      </c>
      <c r="AD1388" s="65"/>
      <c r="AE1388" s="65">
        <f>IFERROR(__xludf.DUMMYFUNCTION("""COMPUTED_VALUE"""),1.0)</f>
        <v>1</v>
      </c>
      <c r="AF1388" s="65"/>
      <c r="AG1388" s="65"/>
      <c r="AH1388" s="65"/>
      <c r="AI1388" s="65"/>
      <c r="AJ1388" s="65"/>
      <c r="AK1388" s="65"/>
      <c r="AL1388" s="65"/>
      <c r="AM1388" s="65"/>
      <c r="AN1388" s="65"/>
      <c r="AO1388" s="65"/>
      <c r="AP1388" s="65"/>
      <c r="AQ1388" s="65"/>
      <c r="AR1388" s="65"/>
      <c r="AS1388" s="65"/>
      <c r="AT1388" s="65" t="str">
        <f>IFERROR(__xludf.DUMMYFUNCTION("""COMPUTED_VALUE"""),"SHOPIFY")</f>
        <v>SHOPIFY</v>
      </c>
      <c r="AU1388" s="65" t="str">
        <f>IFERROR(__xludf.DUMMYFUNCTION("""COMPUTED_VALUE"""),"IMPORTEX EC")</f>
        <v>IMPORTEX EC</v>
      </c>
      <c r="AV1388" s="65" t="str">
        <f>IFERROR(__xludf.DUMMYFUNCTION("""COMPUTED_VALUE"""),"6449747886124")</f>
        <v>6449747886124</v>
      </c>
      <c r="AW1388" s="65">
        <f>IFERROR(__xludf.DUMMYFUNCTION("""COMPUTED_VALUE"""),5550.0)</f>
        <v>5550</v>
      </c>
      <c r="AX1388" s="65"/>
      <c r="AY1388" s="65"/>
      <c r="AZ1388" s="65"/>
      <c r="BA1388" s="65"/>
    </row>
    <row r="1389">
      <c r="A1389" s="65" t="str">
        <f>IFERROR(__xludf.DUMMYFUNCTION("""COMPUTED_VALUE"""),"27-03-2026")</f>
        <v>27-03-2026</v>
      </c>
      <c r="B1389" s="65">
        <f>IFERROR(__xludf.DUMMYFUNCTION("""COMPUTED_VALUE"""),4285680.0)</f>
        <v>4285680</v>
      </c>
      <c r="C1389" s="65" t="str">
        <f>IFERROR(__xludf.DUMMYFUNCTION("""COMPUTED_VALUE"""),"14:53")</f>
        <v>14:53</v>
      </c>
      <c r="D1389" s="65" t="str">
        <f>IFERROR(__xludf.DUMMYFUNCTION("""COMPUTED_VALUE"""),"26-01-2026")</f>
        <v>26-01-2026</v>
      </c>
      <c r="E1389" s="65" t="str">
        <f>IFERROR(__xludf.DUMMYFUNCTION("""COMPUTED_VALUE"""),"Cyndi Villacis")</f>
        <v>Cyndi Villacis</v>
      </c>
      <c r="F1389" s="65" t="str">
        <f>IFERROR(__xludf.DUMMYFUNCTION("""COMPUTED_VALUE"""),"980675658")</f>
        <v>980675658</v>
      </c>
      <c r="G1389" s="65" t="str">
        <f>IFERROR(__xludf.DUMMYFUNCTION("""COMPUTED_VALUE"""),"johag_20@hotmail.com")</f>
        <v>johag_20@hotmail.com</v>
      </c>
      <c r="H1389" s="65"/>
      <c r="I1389" s="65"/>
      <c r="J1389" s="65"/>
      <c r="K1389" s="65" t="str">
        <f>IFERROR(__xludf.DUMMYFUNCTION("""COMPUTED_VALUE"""),"CANCELADO")</f>
        <v>CANCELADO</v>
      </c>
      <c r="L1389" s="65" t="str">
        <f>IFERROR(__xludf.DUMMYFUNCTION("""COMPUTED_VALUE"""),"CON RECAUDO")</f>
        <v>CON RECAUDO</v>
      </c>
      <c r="M1389" s="65" t="str">
        <f>IFERROR(__xludf.DUMMYFUNCTION("""COMPUTED_VALUE"""),"SUCUMBIOS")</f>
        <v>SUCUMBIOS</v>
      </c>
      <c r="N1389" s="65" t="str">
        <f>IFERROR(__xludf.DUMMYFUNCTION("""COMPUTED_VALUE"""),"LAGO AGRIO")</f>
        <v>LAGO AGRIO</v>
      </c>
      <c r="O1389" s="65" t="str">
        <f>IFERROR(__xludf.DUMMYFUNCTION("""COMPUTED_VALUE"""),"Av. Quito y Pasaje Gonzanama -")</f>
        <v>Av. Quito y Pasaje Gonzanama -</v>
      </c>
      <c r="P1389" s="65"/>
      <c r="Q1389" s="65" t="str">
        <f>IFERROR(__xludf.DUMMYFUNCTION("""COMPUTED_VALUE"""),"GINTRACOM")</f>
        <v>GINTRACOM</v>
      </c>
      <c r="R1389" s="65">
        <f>IFERROR(__xludf.DUMMYFUNCTION("""COMPUTED_VALUE"""),20.0)</f>
        <v>20</v>
      </c>
      <c r="S1389" s="65"/>
      <c r="T1389" s="65">
        <f>IFERROR(__xludf.DUMMYFUNCTION("""COMPUTED_VALUE"""),5.76)</f>
        <v>5.76</v>
      </c>
      <c r="U1389" s="65">
        <f>IFERROR(__xludf.DUMMYFUNCTION("""COMPUTED_VALUE"""),0.0)</f>
        <v>0</v>
      </c>
      <c r="V1389" s="65">
        <f>IFERROR(__xludf.DUMMYFUNCTION("""COMPUTED_VALUE"""),0.0)</f>
        <v>0</v>
      </c>
      <c r="W1389" s="65">
        <f>IFERROR(__xludf.DUMMYFUNCTION("""COMPUTED_VALUE"""),0.0)</f>
        <v>0</v>
      </c>
      <c r="X1389" s="65">
        <f>IFERROR(__xludf.DUMMYFUNCTION("""COMPUTED_VALUE"""),2.35)</f>
        <v>2.35</v>
      </c>
      <c r="Y1389" s="65">
        <f>IFERROR(__xludf.DUMMYFUNCTION("""COMPUTED_VALUE"""),2.35)</f>
        <v>2.35</v>
      </c>
      <c r="Z1389" s="65">
        <f>IFERROR(__xludf.DUMMYFUNCTION("""COMPUTED_VALUE"""),116679.0)</f>
        <v>116679</v>
      </c>
      <c r="AA1389" s="65" t="str">
        <f>IFERROR(__xludf.DUMMYFUNCTION("""COMPUTED_VALUE"""),"AMC-2738")</f>
        <v>AMC-2738</v>
      </c>
      <c r="AB1389" s="65"/>
      <c r="AC1389" s="65" t="str">
        <f>IFERROR(__xludf.DUMMYFUNCTION("""COMPUTED_VALUE"""),"ESPONJA ANTILLUVIA DE PARABRISAS")</f>
        <v>ESPONJA ANTILLUVIA DE PARABRISAS</v>
      </c>
      <c r="AD1389" s="65"/>
      <c r="AE1389" s="65">
        <f>IFERROR(__xludf.DUMMYFUNCTION("""COMPUTED_VALUE"""),1.0)</f>
        <v>1</v>
      </c>
      <c r="AF1389" s="65"/>
      <c r="AG1389" s="65"/>
      <c r="AH1389" s="65"/>
      <c r="AI1389" s="65"/>
      <c r="AJ1389" s="65"/>
      <c r="AK1389" s="65"/>
      <c r="AL1389" s="65"/>
      <c r="AM1389" s="65"/>
      <c r="AN1389" s="65"/>
      <c r="AO1389" s="65"/>
      <c r="AP1389" s="65"/>
      <c r="AQ1389" s="65"/>
      <c r="AR1389" s="65"/>
      <c r="AS1389" s="65"/>
      <c r="AT1389" s="65" t="str">
        <f>IFERROR(__xludf.DUMMYFUNCTION("""COMPUTED_VALUE"""),"SHOPIFY")</f>
        <v>SHOPIFY</v>
      </c>
      <c r="AU1389" s="65" t="str">
        <f>IFERROR(__xludf.DUMMYFUNCTION("""COMPUTED_VALUE"""),"IMPORTEX EC")</f>
        <v>IMPORTEX EC</v>
      </c>
      <c r="AV1389" s="65" t="str">
        <f>IFERROR(__xludf.DUMMYFUNCTION("""COMPUTED_VALUE"""),"6449563566124")</f>
        <v>6449563566124</v>
      </c>
      <c r="AW1389" s="65">
        <f>IFERROR(__xludf.DUMMYFUNCTION("""COMPUTED_VALUE"""),5549.0)</f>
        <v>5549</v>
      </c>
      <c r="AX1389" s="65"/>
      <c r="AY1389" s="65"/>
      <c r="AZ1389" s="65"/>
      <c r="BA1389" s="65"/>
    </row>
    <row r="1390">
      <c r="A1390" s="65" t="str">
        <f>IFERROR(__xludf.DUMMYFUNCTION("""COMPUTED_VALUE"""),"27-03-2026")</f>
        <v>27-03-2026</v>
      </c>
      <c r="B1390" s="65">
        <f>IFERROR(__xludf.DUMMYFUNCTION("""COMPUTED_VALUE"""),4285585.0)</f>
        <v>4285585</v>
      </c>
      <c r="C1390" s="65" t="str">
        <f>IFERROR(__xludf.DUMMYFUNCTION("""COMPUTED_VALUE"""),"14:46")</f>
        <v>14:46</v>
      </c>
      <c r="D1390" s="65" t="str">
        <f>IFERROR(__xludf.DUMMYFUNCTION("""COMPUTED_VALUE"""),"26-01-2026")</f>
        <v>26-01-2026</v>
      </c>
      <c r="E1390" s="65" t="str">
        <f>IFERROR(__xludf.DUMMYFUNCTION("""COMPUTED_VALUE"""),"Victor Hugo Nupia Macias")</f>
        <v>Victor Hugo Nupia Macias</v>
      </c>
      <c r="F1390" s="65" t="str">
        <f>IFERROR(__xludf.DUMMYFUNCTION("""COMPUTED_VALUE"""),"968733724")</f>
        <v>968733724</v>
      </c>
      <c r="G1390" s="65"/>
      <c r="H1390" s="65"/>
      <c r="I1390" s="65"/>
      <c r="J1390" s="65"/>
      <c r="K1390" s="65" t="str">
        <f>IFERROR(__xludf.DUMMYFUNCTION("""COMPUTED_VALUE"""),"CANCELADO")</f>
        <v>CANCELADO</v>
      </c>
      <c r="L1390" s="65" t="str">
        <f>IFERROR(__xludf.DUMMYFUNCTION("""COMPUTED_VALUE"""),"CON RECAUDO")</f>
        <v>CON RECAUDO</v>
      </c>
      <c r="M1390" s="65" t="str">
        <f>IFERROR(__xludf.DUMMYFUNCTION("""COMPUTED_VALUE"""),"LOS RIOS")</f>
        <v>LOS RIOS</v>
      </c>
      <c r="N1390" s="65" t="str">
        <f>IFERROR(__xludf.DUMMYFUNCTION("""COMPUTED_VALUE"""),"QUEVEDO")</f>
        <v>QUEVEDO</v>
      </c>
      <c r="O1390" s="65" t="str">
        <f>IFERROR(__xludf.DUMMYFUNCTION("""COMPUTED_VALUE"""),"Calle sin nombre sólar 5 Cotización san Jorge Quevedo -")</f>
        <v>Calle sin nombre sólar 5 Cotización san Jorge Quevedo -</v>
      </c>
      <c r="P1390" s="65"/>
      <c r="Q1390" s="65" t="str">
        <f>IFERROR(__xludf.DUMMYFUNCTION("""COMPUTED_VALUE"""),"GINTRACOM")</f>
        <v>GINTRACOM</v>
      </c>
      <c r="R1390" s="65">
        <f>IFERROR(__xludf.DUMMYFUNCTION("""COMPUTED_VALUE"""),21.99)</f>
        <v>21.99</v>
      </c>
      <c r="S1390" s="65"/>
      <c r="T1390" s="65">
        <f>IFERROR(__xludf.DUMMYFUNCTION("""COMPUTED_VALUE"""),5.84)</f>
        <v>5.84</v>
      </c>
      <c r="U1390" s="65">
        <f>IFERROR(__xludf.DUMMYFUNCTION("""COMPUTED_VALUE"""),0.0)</f>
        <v>0</v>
      </c>
      <c r="V1390" s="65">
        <f>IFERROR(__xludf.DUMMYFUNCTION("""COMPUTED_VALUE"""),0.0)</f>
        <v>0</v>
      </c>
      <c r="W1390" s="65">
        <f>IFERROR(__xludf.DUMMYFUNCTION("""COMPUTED_VALUE"""),0.0)</f>
        <v>0</v>
      </c>
      <c r="X1390" s="65">
        <f>IFERROR(__xludf.DUMMYFUNCTION("""COMPUTED_VALUE"""),5.0)</f>
        <v>5</v>
      </c>
      <c r="Y1390" s="65">
        <f>IFERROR(__xludf.DUMMYFUNCTION("""COMPUTED_VALUE"""),5.0)</f>
        <v>5</v>
      </c>
      <c r="Z1390" s="65">
        <f>IFERROR(__xludf.DUMMYFUNCTION("""COMPUTED_VALUE"""),110064.0)</f>
        <v>110064</v>
      </c>
      <c r="AA1390" s="65" t="str">
        <f>IFERROR(__xludf.DUMMYFUNCTION("""COMPUTED_VALUE"""),"IMX-00001")</f>
        <v>IMX-00001</v>
      </c>
      <c r="AB1390" s="65"/>
      <c r="AC1390" s="65" t="str">
        <f>IFERROR(__xludf.DUMMYFUNCTION("""COMPUTED_VALUE"""),"LLAVE TRINQUETE")</f>
        <v>LLAVE TRINQUETE</v>
      </c>
      <c r="AD1390" s="65"/>
      <c r="AE1390" s="65">
        <f>IFERROR(__xludf.DUMMYFUNCTION("""COMPUTED_VALUE"""),1.0)</f>
        <v>1</v>
      </c>
      <c r="AF1390" s="65"/>
      <c r="AG1390" s="65"/>
      <c r="AH1390" s="65"/>
      <c r="AI1390" s="65"/>
      <c r="AJ1390" s="65"/>
      <c r="AK1390" s="65"/>
      <c r="AL1390" s="65"/>
      <c r="AM1390" s="65"/>
      <c r="AN1390" s="65"/>
      <c r="AO1390" s="65"/>
      <c r="AP1390" s="65"/>
      <c r="AQ1390" s="65"/>
      <c r="AR1390" s="65"/>
      <c r="AS1390" s="65"/>
      <c r="AT1390" s="65" t="str">
        <f>IFERROR(__xludf.DUMMYFUNCTION("""COMPUTED_VALUE"""),"SHOPIFY")</f>
        <v>SHOPIFY</v>
      </c>
      <c r="AU1390" s="65" t="str">
        <f>IFERROR(__xludf.DUMMYFUNCTION("""COMPUTED_VALUE"""),"IMPORTEX EC")</f>
        <v>IMPORTEX EC</v>
      </c>
      <c r="AV1390" s="65" t="str">
        <f>IFERROR(__xludf.DUMMYFUNCTION("""COMPUTED_VALUE"""),"6449547673644")</f>
        <v>6449547673644</v>
      </c>
      <c r="AW1390" s="65">
        <f>IFERROR(__xludf.DUMMYFUNCTION("""COMPUTED_VALUE"""),5548.0)</f>
        <v>5548</v>
      </c>
      <c r="AX1390" s="65"/>
      <c r="AY1390" s="65"/>
      <c r="AZ1390" s="65"/>
      <c r="BA1390" s="65"/>
    </row>
    <row r="1391">
      <c r="A1391" s="65" t="str">
        <f>IFERROR(__xludf.DUMMYFUNCTION("""COMPUTED_VALUE"""),"27-03-2026")</f>
        <v>27-03-2026</v>
      </c>
      <c r="B1391" s="65">
        <f>IFERROR(__xludf.DUMMYFUNCTION("""COMPUTED_VALUE"""),4285261.0)</f>
        <v>4285261</v>
      </c>
      <c r="C1391" s="65" t="str">
        <f>IFERROR(__xludf.DUMMYFUNCTION("""COMPUTED_VALUE"""),"14:15")</f>
        <v>14:15</v>
      </c>
      <c r="D1391" s="65" t="str">
        <f>IFERROR(__xludf.DUMMYFUNCTION("""COMPUTED_VALUE"""),"26-01-2026")</f>
        <v>26-01-2026</v>
      </c>
      <c r="E1391" s="65" t="str">
        <f>IFERROR(__xludf.DUMMYFUNCTION("""COMPUTED_VALUE"""),"Franklin Espinoza")</f>
        <v>Franklin Espinoza</v>
      </c>
      <c r="F1391" s="65" t="str">
        <f>IFERROR(__xludf.DUMMYFUNCTION("""COMPUTED_VALUE"""),"980506282")</f>
        <v>980506282</v>
      </c>
      <c r="G1391" s="65" t="str">
        <f>IFERROR(__xludf.DUMMYFUNCTION("""COMPUTED_VALUE"""),"espinozafranklin673@gmail.com")</f>
        <v>espinozafranklin673@gmail.com</v>
      </c>
      <c r="H1391" s="65"/>
      <c r="I1391" s="65"/>
      <c r="J1391" s="65"/>
      <c r="K1391" s="65" t="str">
        <f>IFERROR(__xludf.DUMMYFUNCTION("""COMPUTED_VALUE"""),"CANCELADO")</f>
        <v>CANCELADO</v>
      </c>
      <c r="L1391" s="65" t="str">
        <f>IFERROR(__xludf.DUMMYFUNCTION("""COMPUTED_VALUE"""),"CON RECAUDO")</f>
        <v>CON RECAUDO</v>
      </c>
      <c r="M1391" s="65" t="str">
        <f>IFERROR(__xludf.DUMMYFUNCTION("""COMPUTED_VALUE"""),"LOS RIOS")</f>
        <v>LOS RIOS</v>
      </c>
      <c r="N1391" s="65" t="str">
        <f>IFERROR(__xludf.DUMMYFUNCTION("""COMPUTED_VALUE"""),"BUENA FE")</f>
        <v>BUENA FE</v>
      </c>
      <c r="O1391" s="65" t="str">
        <f>IFERROR(__xludf.DUMMYFUNCTION("""COMPUTED_VALUE"""),"Lucia gilses Felipe alvarez -")</f>
        <v>Lucia gilses Felipe alvarez -</v>
      </c>
      <c r="P1391" s="65"/>
      <c r="Q1391" s="65" t="str">
        <f>IFERROR(__xludf.DUMMYFUNCTION("""COMPUTED_VALUE"""),"GINTRACOM")</f>
        <v>GINTRACOM</v>
      </c>
      <c r="R1391" s="65">
        <f>IFERROR(__xludf.DUMMYFUNCTION("""COMPUTED_VALUE"""),21.99)</f>
        <v>21.99</v>
      </c>
      <c r="S1391" s="65"/>
      <c r="T1391" s="65">
        <f>IFERROR(__xludf.DUMMYFUNCTION("""COMPUTED_VALUE"""),6.41)</f>
        <v>6.41</v>
      </c>
      <c r="U1391" s="65">
        <f>IFERROR(__xludf.DUMMYFUNCTION("""COMPUTED_VALUE"""),0.0)</f>
        <v>0</v>
      </c>
      <c r="V1391" s="65">
        <f>IFERROR(__xludf.DUMMYFUNCTION("""COMPUTED_VALUE"""),0.0)</f>
        <v>0</v>
      </c>
      <c r="W1391" s="65">
        <f>IFERROR(__xludf.DUMMYFUNCTION("""COMPUTED_VALUE"""),0.0)</f>
        <v>0</v>
      </c>
      <c r="X1391" s="65">
        <f>IFERROR(__xludf.DUMMYFUNCTION("""COMPUTED_VALUE"""),5.0)</f>
        <v>5</v>
      </c>
      <c r="Y1391" s="65">
        <f>IFERROR(__xludf.DUMMYFUNCTION("""COMPUTED_VALUE"""),5.0)</f>
        <v>5</v>
      </c>
      <c r="Z1391" s="65">
        <f>IFERROR(__xludf.DUMMYFUNCTION("""COMPUTED_VALUE"""),110064.0)</f>
        <v>110064</v>
      </c>
      <c r="AA1391" s="65" t="str">
        <f>IFERROR(__xludf.DUMMYFUNCTION("""COMPUTED_VALUE"""),"IMX-00001")</f>
        <v>IMX-00001</v>
      </c>
      <c r="AB1391" s="65"/>
      <c r="AC1391" s="65" t="str">
        <f>IFERROR(__xludf.DUMMYFUNCTION("""COMPUTED_VALUE"""),"LLAVE TRINQUETE")</f>
        <v>LLAVE TRINQUETE</v>
      </c>
      <c r="AD1391" s="65"/>
      <c r="AE1391" s="65">
        <f>IFERROR(__xludf.DUMMYFUNCTION("""COMPUTED_VALUE"""),1.0)</f>
        <v>1</v>
      </c>
      <c r="AF1391" s="65"/>
      <c r="AG1391" s="65"/>
      <c r="AH1391" s="65"/>
      <c r="AI1391" s="65"/>
      <c r="AJ1391" s="65"/>
      <c r="AK1391" s="65"/>
      <c r="AL1391" s="65"/>
      <c r="AM1391" s="65"/>
      <c r="AN1391" s="65"/>
      <c r="AO1391" s="65"/>
      <c r="AP1391" s="65"/>
      <c r="AQ1391" s="65"/>
      <c r="AR1391" s="65"/>
      <c r="AS1391" s="65"/>
      <c r="AT1391" s="65" t="str">
        <f>IFERROR(__xludf.DUMMYFUNCTION("""COMPUTED_VALUE"""),"SHOPIFY")</f>
        <v>SHOPIFY</v>
      </c>
      <c r="AU1391" s="65" t="str">
        <f>IFERROR(__xludf.DUMMYFUNCTION("""COMPUTED_VALUE"""),"IMPORTEX EC")</f>
        <v>IMPORTEX EC</v>
      </c>
      <c r="AV1391" s="65" t="str">
        <f>IFERROR(__xludf.DUMMYFUNCTION("""COMPUTED_VALUE"""),"6449475092524")</f>
        <v>6449475092524</v>
      </c>
      <c r="AW1391" s="65">
        <f>IFERROR(__xludf.DUMMYFUNCTION("""COMPUTED_VALUE"""),5547.0)</f>
        <v>5547</v>
      </c>
      <c r="AX1391" s="65"/>
      <c r="AY1391" s="65"/>
      <c r="AZ1391" s="65"/>
      <c r="BA1391" s="65"/>
    </row>
    <row r="1392">
      <c r="A1392" s="65" t="str">
        <f>IFERROR(__xludf.DUMMYFUNCTION("""COMPUTED_VALUE"""),"27-03-2026")</f>
        <v>27-03-2026</v>
      </c>
      <c r="B1392" s="65">
        <f>IFERROR(__xludf.DUMMYFUNCTION("""COMPUTED_VALUE"""),4285171.0)</f>
        <v>4285171</v>
      </c>
      <c r="C1392" s="65" t="str">
        <f>IFERROR(__xludf.DUMMYFUNCTION("""COMPUTED_VALUE"""),"14:05")</f>
        <v>14:05</v>
      </c>
      <c r="D1392" s="65" t="str">
        <f>IFERROR(__xludf.DUMMYFUNCTION("""COMPUTED_VALUE"""),"26-01-2026")</f>
        <v>26-01-2026</v>
      </c>
      <c r="E1392" s="65" t="str">
        <f>IFERROR(__xludf.DUMMYFUNCTION("""COMPUTED_VALUE"""),"Angel Palacios")</f>
        <v>Angel Palacios</v>
      </c>
      <c r="F1392" s="65" t="str">
        <f>IFERROR(__xludf.DUMMYFUNCTION("""COMPUTED_VALUE"""),"999119504")</f>
        <v>999119504</v>
      </c>
      <c r="G1392" s="65"/>
      <c r="H1392" s="65"/>
      <c r="I1392" s="65"/>
      <c r="J1392" s="65" t="str">
        <f>IFERROR(__xludf.DUMMYFUNCTION("""COMPUTED_VALUE"""),"LC52720104")</f>
        <v>LC52720104</v>
      </c>
      <c r="K1392" s="65" t="str">
        <f>IFERROR(__xludf.DUMMYFUNCTION("""COMPUTED_VALUE"""),"DEVOLUCION")</f>
        <v>DEVOLUCION</v>
      </c>
      <c r="L1392" s="65" t="str">
        <f>IFERROR(__xludf.DUMMYFUNCTION("""COMPUTED_VALUE"""),"CON RECAUDO")</f>
        <v>CON RECAUDO</v>
      </c>
      <c r="M1392" s="65" t="str">
        <f>IFERROR(__xludf.DUMMYFUNCTION("""COMPUTED_VALUE"""),"MANABI")</f>
        <v>MANABI</v>
      </c>
      <c r="N1392" s="65" t="str">
        <f>IFERROR(__xludf.DUMMYFUNCTION("""COMPUTED_VALUE"""),"PICHINCHA MANABI")</f>
        <v>PICHINCHA MANABI</v>
      </c>
      <c r="O1392" s="65" t="str">
        <f>IFERROR(__xludf.DUMMYFUNCTION("""COMPUTED_VALUE"""),"CS: PICHINCHA_SECTOR LA CADENA VIA MANTA QUEVEDO")</f>
        <v>CS: PICHINCHA_SECTOR LA CADENA VIA MANTA QUEVEDO</v>
      </c>
      <c r="P1392" s="65" t="str">
        <f>IFERROR(__xludf.DUMMYFUNCTION("""COMPUTED_VALUE"""),"(SERVIENTREGA) CS: PICHINCHA_SECTOR LA CADENA VIA MANTA QUEVEDO")</f>
        <v>(SERVIENTREGA) CS: PICHINCHA_SECTOR LA CADENA VIA MANTA QUEVEDO</v>
      </c>
      <c r="Q1392" s="65" t="str">
        <f>IFERROR(__xludf.DUMMYFUNCTION("""COMPUTED_VALUE"""),"LAARCOURIER")</f>
        <v>LAARCOURIER</v>
      </c>
      <c r="R1392" s="65">
        <f>IFERROR(__xludf.DUMMYFUNCTION("""COMPUTED_VALUE"""),20.0)</f>
        <v>20</v>
      </c>
      <c r="S1392" s="65"/>
      <c r="T1392" s="65">
        <f>IFERROR(__xludf.DUMMYFUNCTION("""COMPUTED_VALUE"""),9.57)</f>
        <v>9.57</v>
      </c>
      <c r="U1392" s="65">
        <f>IFERROR(__xludf.DUMMYFUNCTION("""COMPUTED_VALUE"""),0.0)</f>
        <v>0</v>
      </c>
      <c r="V1392" s="65">
        <f>IFERROR(__xludf.DUMMYFUNCTION("""COMPUTED_VALUE"""),0.0)</f>
        <v>0</v>
      </c>
      <c r="W1392" s="65">
        <f>IFERROR(__xludf.DUMMYFUNCTION("""COMPUTED_VALUE"""),0.0)</f>
        <v>0</v>
      </c>
      <c r="X1392" s="65">
        <f>IFERROR(__xludf.DUMMYFUNCTION("""COMPUTED_VALUE"""),2.35)</f>
        <v>2.35</v>
      </c>
      <c r="Y1392" s="65">
        <f>IFERROR(__xludf.DUMMYFUNCTION("""COMPUTED_VALUE"""),2.35)</f>
        <v>2.35</v>
      </c>
      <c r="Z1392" s="65">
        <f>IFERROR(__xludf.DUMMYFUNCTION("""COMPUTED_VALUE"""),116679.0)</f>
        <v>116679</v>
      </c>
      <c r="AA1392" s="65" t="str">
        <f>IFERROR(__xludf.DUMMYFUNCTION("""COMPUTED_VALUE"""),"AMC-2738")</f>
        <v>AMC-2738</v>
      </c>
      <c r="AB1392" s="65"/>
      <c r="AC1392" s="65" t="str">
        <f>IFERROR(__xludf.DUMMYFUNCTION("""COMPUTED_VALUE"""),"ESPONJA ANTILLUVIA DE PARABRISAS")</f>
        <v>ESPONJA ANTILLUVIA DE PARABRISAS</v>
      </c>
      <c r="AD1392" s="65"/>
      <c r="AE1392" s="65">
        <f>IFERROR(__xludf.DUMMYFUNCTION("""COMPUTED_VALUE"""),1.0)</f>
        <v>1</v>
      </c>
      <c r="AF1392" s="65" t="str">
        <f>IFERROR(__xludf.DUMMYFUNCTION("""COMPUTED_VALUE"""),"NO HAY QUIÉN RECIBA")</f>
        <v>NO HAY QUIÉN RECIBA</v>
      </c>
      <c r="AG1392" s="65" t="str">
        <f>IFERROR(__xludf.DUMMYFUNCTION("""COMPUTED_VALUE"""),"NO")</f>
        <v>NO</v>
      </c>
      <c r="AH1392" s="65" t="str">
        <f>IFERROR(__xludf.DUMMYFUNCTION("""COMPUTED_VALUE"""),"12:55")</f>
        <v>12:55</v>
      </c>
      <c r="AI1392" s="65" t="str">
        <f>IFERROR(__xludf.DUMMYFUNCTION("""COMPUTED_VALUE"""),"04-02-2026")</f>
        <v>04-02-2026</v>
      </c>
      <c r="AJ1392" s="65"/>
      <c r="AK1392" s="65"/>
      <c r="AL1392" s="65"/>
      <c r="AM1392" s="65"/>
      <c r="AN1392" s="65" t="str">
        <f>IFERROR(__xludf.DUMMYFUNCTION("""COMPUTED_VALUE"""),"15:10")</f>
        <v>15:10</v>
      </c>
      <c r="AO1392" s="65" t="str">
        <f>IFERROR(__xludf.DUMMYFUNCTION("""COMPUTED_VALUE"""),"11-02-2026")</f>
        <v>11-02-2026</v>
      </c>
      <c r="AP1392" s="65" t="str">
        <f>IFERROR(__xludf.DUMMYFUNCTION("""COMPUTED_VALUE"""),"DEVOLUCIÓN / ENTREGA")</f>
        <v>DEVOLUCIÓN / ENTREGA</v>
      </c>
      <c r="AQ1392" s="65" t="str">
        <f>IFERROR(__xludf.DUMMYFUNCTION("""COMPUTED_VALUE"""),"DEVOLUCIÓN / ENTREGA")</f>
        <v>DEVOLUCIÓN / ENTREGA</v>
      </c>
      <c r="AR1392" s="65"/>
      <c r="AS1392" s="65" t="str">
        <f>IFERROR(__xludf.DUMMYFUNCTION("""COMPUTED_VALUE"""),"Bayron Gomez")</f>
        <v>Bayron Gomez</v>
      </c>
      <c r="AT1392" s="65"/>
      <c r="AU1392" s="65"/>
      <c r="AV1392" s="65"/>
      <c r="AW1392" s="65"/>
      <c r="AX1392" s="65"/>
      <c r="AY1392" s="65" t="str">
        <f>IFERROR(__xludf.DUMMYFUNCTION("""COMPUTED_VALUE"""),"27/01/2026")</f>
        <v>27/01/2026</v>
      </c>
      <c r="AZ1392" s="65"/>
      <c r="BA1392" s="65"/>
    </row>
    <row r="1393">
      <c r="A1393" s="65" t="str">
        <f>IFERROR(__xludf.DUMMYFUNCTION("""COMPUTED_VALUE"""),"27-03-2026")</f>
        <v>27-03-2026</v>
      </c>
      <c r="B1393" s="65">
        <f>IFERROR(__xludf.DUMMYFUNCTION("""COMPUTED_VALUE"""),4284551.0)</f>
        <v>4284551</v>
      </c>
      <c r="C1393" s="65" t="str">
        <f>IFERROR(__xludf.DUMMYFUNCTION("""COMPUTED_VALUE"""),"13:07")</f>
        <v>13:07</v>
      </c>
      <c r="D1393" s="65" t="str">
        <f>IFERROR(__xludf.DUMMYFUNCTION("""COMPUTED_VALUE"""),"26-01-2026")</f>
        <v>26-01-2026</v>
      </c>
      <c r="E1393" s="65" t="str">
        <f>IFERROR(__xludf.DUMMYFUNCTION("""COMPUTED_VALUE"""),"Leonardo Loor")</f>
        <v>Leonardo Loor</v>
      </c>
      <c r="F1393" s="65" t="str">
        <f>IFERROR(__xludf.DUMMYFUNCTION("""COMPUTED_VALUE"""),"981454641")</f>
        <v>981454641</v>
      </c>
      <c r="G1393" s="65" t="str">
        <f>IFERROR(__xludf.DUMMYFUNCTION("""COMPUTED_VALUE"""),"leo_loor11@hotmail.com")</f>
        <v>leo_loor11@hotmail.com</v>
      </c>
      <c r="H1393" s="65"/>
      <c r="I1393" s="65"/>
      <c r="J1393" s="65" t="str">
        <f>IFERROR(__xludf.DUMMYFUNCTION("""COMPUTED_VALUE"""),"D001266116")</f>
        <v>D001266116</v>
      </c>
      <c r="K1393" s="65" t="str">
        <f>IFERROR(__xludf.DUMMYFUNCTION("""COMPUTED_VALUE"""),"ENTREGADO")</f>
        <v>ENTREGADO</v>
      </c>
      <c r="L1393" s="65" t="str">
        <f>IFERROR(__xludf.DUMMYFUNCTION("""COMPUTED_VALUE"""),"CON RECAUDO")</f>
        <v>CON RECAUDO</v>
      </c>
      <c r="M1393" s="65" t="str">
        <f>IFERROR(__xludf.DUMMYFUNCTION("""COMPUTED_VALUE"""),"MANABI")</f>
        <v>MANABI</v>
      </c>
      <c r="N1393" s="65" t="str">
        <f>IFERROR(__xludf.DUMMYFUNCTION("""COMPUTED_VALUE"""),"MONTECRISTI")</f>
        <v>MONTECRISTI</v>
      </c>
      <c r="O1393" s="65" t="str">
        <f>IFERROR(__xludf.DUMMYFUNCTION("""COMPUTED_VALUE"""),"Los Bajos pechiche Atrás de la plaza civica -")</f>
        <v>Los Bajos pechiche Atrás de la plaza civica -</v>
      </c>
      <c r="P1393" s="65"/>
      <c r="Q1393" s="65" t="str">
        <f>IFERROR(__xludf.DUMMYFUNCTION("""COMPUTED_VALUE"""),"GINTRACOM")</f>
        <v>GINTRACOM</v>
      </c>
      <c r="R1393" s="65">
        <f>IFERROR(__xludf.DUMMYFUNCTION("""COMPUTED_VALUE"""),21.99)</f>
        <v>21.99</v>
      </c>
      <c r="S1393" s="65">
        <f>IFERROR(__xludf.DUMMYFUNCTION("""COMPUTED_VALUE"""),10.58)</f>
        <v>10.58</v>
      </c>
      <c r="T1393" s="65">
        <f>IFERROR(__xludf.DUMMYFUNCTION("""COMPUTED_VALUE"""),6.41)</f>
        <v>6.41</v>
      </c>
      <c r="U1393" s="65">
        <f>IFERROR(__xludf.DUMMYFUNCTION("""COMPUTED_VALUE"""),0.0)</f>
        <v>0</v>
      </c>
      <c r="V1393" s="65">
        <f>IFERROR(__xludf.DUMMYFUNCTION("""COMPUTED_VALUE"""),0.0)</f>
        <v>0</v>
      </c>
      <c r="W1393" s="65">
        <f>IFERROR(__xludf.DUMMYFUNCTION("""COMPUTED_VALUE"""),0.0)</f>
        <v>0</v>
      </c>
      <c r="X1393" s="65">
        <f>IFERROR(__xludf.DUMMYFUNCTION("""COMPUTED_VALUE"""),5.0)</f>
        <v>5</v>
      </c>
      <c r="Y1393" s="65">
        <f>IFERROR(__xludf.DUMMYFUNCTION("""COMPUTED_VALUE"""),5.0)</f>
        <v>5</v>
      </c>
      <c r="Z1393" s="65">
        <f>IFERROR(__xludf.DUMMYFUNCTION("""COMPUTED_VALUE"""),110064.0)</f>
        <v>110064</v>
      </c>
      <c r="AA1393" s="65" t="str">
        <f>IFERROR(__xludf.DUMMYFUNCTION("""COMPUTED_VALUE"""),"IMX-00001")</f>
        <v>IMX-00001</v>
      </c>
      <c r="AB1393" s="65"/>
      <c r="AC1393" s="65" t="str">
        <f>IFERROR(__xludf.DUMMYFUNCTION("""COMPUTED_VALUE"""),"LLAVE TRINQUETE")</f>
        <v>LLAVE TRINQUETE</v>
      </c>
      <c r="AD1393" s="65"/>
      <c r="AE1393" s="65">
        <f>IFERROR(__xludf.DUMMYFUNCTION("""COMPUTED_VALUE"""),1.0)</f>
        <v>1</v>
      </c>
      <c r="AF1393" s="65"/>
      <c r="AG1393" s="65"/>
      <c r="AH1393" s="65"/>
      <c r="AI1393" s="65"/>
      <c r="AJ1393" s="65"/>
      <c r="AK1393" s="65"/>
      <c r="AL1393" s="65"/>
      <c r="AM1393" s="65"/>
      <c r="AN1393" s="65"/>
      <c r="AO1393" s="65"/>
      <c r="AP1393" s="65"/>
      <c r="AQ1393" s="65"/>
      <c r="AR1393" s="65"/>
      <c r="AS1393" s="65"/>
      <c r="AT1393" s="65" t="str">
        <f>IFERROR(__xludf.DUMMYFUNCTION("""COMPUTED_VALUE"""),"SHOPIFY")</f>
        <v>SHOPIFY</v>
      </c>
      <c r="AU1393" s="65" t="str">
        <f>IFERROR(__xludf.DUMMYFUNCTION("""COMPUTED_VALUE"""),"IMPORTEX EC")</f>
        <v>IMPORTEX EC</v>
      </c>
      <c r="AV1393" s="65" t="str">
        <f>IFERROR(__xludf.DUMMYFUNCTION("""COMPUTED_VALUE"""),"6449285169196")</f>
        <v>6449285169196</v>
      </c>
      <c r="AW1393" s="65">
        <f>IFERROR(__xludf.DUMMYFUNCTION("""COMPUTED_VALUE"""),5546.0)</f>
        <v>5546</v>
      </c>
      <c r="AX1393" s="65"/>
      <c r="AY1393" s="65" t="str">
        <f>IFERROR(__xludf.DUMMYFUNCTION("""COMPUTED_VALUE"""),"27/01/2026")</f>
        <v>27/01/2026</v>
      </c>
      <c r="AZ1393" s="65"/>
      <c r="BA1393" s="65"/>
    </row>
    <row r="1394">
      <c r="A1394" s="65" t="str">
        <f>IFERROR(__xludf.DUMMYFUNCTION("""COMPUTED_VALUE"""),"27-03-2026")</f>
        <v>27-03-2026</v>
      </c>
      <c r="B1394" s="65">
        <f>IFERROR(__xludf.DUMMYFUNCTION("""COMPUTED_VALUE"""),4284072.0)</f>
        <v>4284072</v>
      </c>
      <c r="C1394" s="65" t="str">
        <f>IFERROR(__xludf.DUMMYFUNCTION("""COMPUTED_VALUE"""),"12:27")</f>
        <v>12:27</v>
      </c>
      <c r="D1394" s="65" t="str">
        <f>IFERROR(__xludf.DUMMYFUNCTION("""COMPUTED_VALUE"""),"26-01-2026")</f>
        <v>26-01-2026</v>
      </c>
      <c r="E1394" s="65" t="str">
        <f>IFERROR(__xludf.DUMMYFUNCTION("""COMPUTED_VALUE"""),"Jhonny López López")</f>
        <v>Jhonny López López</v>
      </c>
      <c r="F1394" s="65" t="str">
        <f>IFERROR(__xludf.DUMMYFUNCTION("""COMPUTED_VALUE"""),"981564258")</f>
        <v>981564258</v>
      </c>
      <c r="G1394" s="65" t="str">
        <f>IFERROR(__xludf.DUMMYFUNCTION("""COMPUTED_VALUE"""),"jhonnylp200@gmail.com")</f>
        <v>jhonnylp200@gmail.com</v>
      </c>
      <c r="H1394" s="65"/>
      <c r="I1394" s="65"/>
      <c r="J1394" s="65"/>
      <c r="K1394" s="65" t="str">
        <f>IFERROR(__xludf.DUMMYFUNCTION("""COMPUTED_VALUE"""),"CANCELADO")</f>
        <v>CANCELADO</v>
      </c>
      <c r="L1394" s="65" t="str">
        <f>IFERROR(__xludf.DUMMYFUNCTION("""COMPUTED_VALUE"""),"CON RECAUDO")</f>
        <v>CON RECAUDO</v>
      </c>
      <c r="M1394" s="65" t="str">
        <f>IFERROR(__xludf.DUMMYFUNCTION("""COMPUTED_VALUE"""),"ZAMORA CHINCHIPE")</f>
        <v>ZAMORA CHINCHIPE</v>
      </c>
      <c r="N1394" s="65" t="str">
        <f>IFERROR(__xludf.DUMMYFUNCTION("""COMPUTED_VALUE"""),"EL PANGUI")</f>
        <v>EL PANGUI</v>
      </c>
      <c r="O1394" s="65" t="str">
        <f>IFERROR(__xludf.DUMMYFUNCTION("""COMPUTED_VALUE"""),"A.V. ivan riofrio Frente al colegio ecuador amaz -")</f>
        <v>A.V. ivan riofrio Frente al colegio ecuador amaz -</v>
      </c>
      <c r="P1394" s="65"/>
      <c r="Q1394" s="65" t="str">
        <f>IFERROR(__xludf.DUMMYFUNCTION("""COMPUTED_VALUE"""),"SERVIENTREGA")</f>
        <v>SERVIENTREGA</v>
      </c>
      <c r="R1394" s="65">
        <f>IFERROR(__xludf.DUMMYFUNCTION("""COMPUTED_VALUE"""),25.0)</f>
        <v>25</v>
      </c>
      <c r="S1394" s="65"/>
      <c r="T1394" s="65">
        <f>IFERROR(__xludf.DUMMYFUNCTION("""COMPUTED_VALUE"""),7.75)</f>
        <v>7.75</v>
      </c>
      <c r="U1394" s="65">
        <f>IFERROR(__xludf.DUMMYFUNCTION("""COMPUTED_VALUE"""),0.0)</f>
        <v>0</v>
      </c>
      <c r="V1394" s="65">
        <f>IFERROR(__xludf.DUMMYFUNCTION("""COMPUTED_VALUE"""),0.0)</f>
        <v>0</v>
      </c>
      <c r="W1394" s="65">
        <f>IFERROR(__xludf.DUMMYFUNCTION("""COMPUTED_VALUE"""),0.0)</f>
        <v>0</v>
      </c>
      <c r="X1394" s="65">
        <f>IFERROR(__xludf.DUMMYFUNCTION("""COMPUTED_VALUE"""),2.35)</f>
        <v>2.35</v>
      </c>
      <c r="Y1394" s="65">
        <f>IFERROR(__xludf.DUMMYFUNCTION("""COMPUTED_VALUE"""),4.7)</f>
        <v>4.7</v>
      </c>
      <c r="Z1394" s="65">
        <f>IFERROR(__xludf.DUMMYFUNCTION("""COMPUTED_VALUE"""),116679.0)</f>
        <v>116679</v>
      </c>
      <c r="AA1394" s="65" t="str">
        <f>IFERROR(__xludf.DUMMYFUNCTION("""COMPUTED_VALUE"""),"AMC-2738")</f>
        <v>AMC-2738</v>
      </c>
      <c r="AB1394" s="65"/>
      <c r="AC1394" s="65" t="str">
        <f>IFERROR(__xludf.DUMMYFUNCTION("""COMPUTED_VALUE"""),"ESPONJA ANTILLUVIA DE PARABRISAS")</f>
        <v>ESPONJA ANTILLUVIA DE PARABRISAS</v>
      </c>
      <c r="AD1394" s="65"/>
      <c r="AE1394" s="65">
        <f>IFERROR(__xludf.DUMMYFUNCTION("""COMPUTED_VALUE"""),2.0)</f>
        <v>2</v>
      </c>
      <c r="AF1394" s="65"/>
      <c r="AG1394" s="65"/>
      <c r="AH1394" s="65"/>
      <c r="AI1394" s="65"/>
      <c r="AJ1394" s="65"/>
      <c r="AK1394" s="65"/>
      <c r="AL1394" s="65"/>
      <c r="AM1394" s="65"/>
      <c r="AN1394" s="65"/>
      <c r="AO1394" s="65"/>
      <c r="AP1394" s="65"/>
      <c r="AQ1394" s="65"/>
      <c r="AR1394" s="65"/>
      <c r="AS1394" s="65"/>
      <c r="AT1394" s="65" t="str">
        <f>IFERROR(__xludf.DUMMYFUNCTION("""COMPUTED_VALUE"""),"SHOPIFY")</f>
        <v>SHOPIFY</v>
      </c>
      <c r="AU1394" s="65" t="str">
        <f>IFERROR(__xludf.DUMMYFUNCTION("""COMPUTED_VALUE"""),"IMPORTEX EC")</f>
        <v>IMPORTEX EC</v>
      </c>
      <c r="AV1394" s="65" t="str">
        <f>IFERROR(__xludf.DUMMYFUNCTION("""COMPUTED_VALUE"""),"6449188405292")</f>
        <v>6449188405292</v>
      </c>
      <c r="AW1394" s="65">
        <f>IFERROR(__xludf.DUMMYFUNCTION("""COMPUTED_VALUE"""),5545.0)</f>
        <v>5545</v>
      </c>
      <c r="AX1394" s="65"/>
      <c r="AY1394" s="65"/>
      <c r="AZ1394" s="65"/>
      <c r="BA1394" s="65"/>
    </row>
    <row r="1395">
      <c r="A1395" s="65" t="str">
        <f>IFERROR(__xludf.DUMMYFUNCTION("""COMPUTED_VALUE"""),"27-03-2026")</f>
        <v>27-03-2026</v>
      </c>
      <c r="B1395" s="65">
        <f>IFERROR(__xludf.DUMMYFUNCTION("""COMPUTED_VALUE"""),4283134.0)</f>
        <v>4283134</v>
      </c>
      <c r="C1395" s="65" t="str">
        <f>IFERROR(__xludf.DUMMYFUNCTION("""COMPUTED_VALUE"""),"11:21")</f>
        <v>11:21</v>
      </c>
      <c r="D1395" s="65" t="str">
        <f>IFERROR(__xludf.DUMMYFUNCTION("""COMPUTED_VALUE"""),"26-01-2026")</f>
        <v>26-01-2026</v>
      </c>
      <c r="E1395" s="65" t="str">
        <f>IFERROR(__xludf.DUMMYFUNCTION("""COMPUTED_VALUE"""),"Vicente Castelo")</f>
        <v>Vicente Castelo</v>
      </c>
      <c r="F1395" s="65" t="str">
        <f>IFERROR(__xludf.DUMMYFUNCTION("""COMPUTED_VALUE"""),"963157791")</f>
        <v>963157791</v>
      </c>
      <c r="G1395" s="65" t="str">
        <f>IFERROR(__xludf.DUMMYFUNCTION("""COMPUTED_VALUE"""),"castelo.vladimir@gmail.com")</f>
        <v>castelo.vladimir@gmail.com</v>
      </c>
      <c r="H1395" s="65"/>
      <c r="I1395" s="65"/>
      <c r="J1395" s="65" t="str">
        <f>IFERROR(__xludf.DUMMYFUNCTION("""COMPUTED_VALUE"""),"D001266118")</f>
        <v>D001266118</v>
      </c>
      <c r="K1395" s="65" t="str">
        <f>IFERROR(__xludf.DUMMYFUNCTION("""COMPUTED_VALUE"""),"ENTREGADO")</f>
        <v>ENTREGADO</v>
      </c>
      <c r="L1395" s="65" t="str">
        <f>IFERROR(__xludf.DUMMYFUNCTION("""COMPUTED_VALUE"""),"CON RECAUDO")</f>
        <v>CON RECAUDO</v>
      </c>
      <c r="M1395" s="65" t="str">
        <f>IFERROR(__xludf.DUMMYFUNCTION("""COMPUTED_VALUE"""),"PICHINCHA")</f>
        <v>PICHINCHA</v>
      </c>
      <c r="N1395" s="65" t="str">
        <f>IFERROR(__xludf.DUMMYFUNCTION("""COMPUTED_VALUE"""),"QUITO")</f>
        <v>QUITO</v>
      </c>
      <c r="O1395" s="65" t="str">
        <f>IFERROR(__xludf.DUMMYFUNCTION("""COMPUTED_VALUE"""),"Edmundo Chiriboga N46-86 y Gregorio Bermejo Sector parque bicentenario -")</f>
        <v>Edmundo Chiriboga N46-86 y Gregorio Bermejo Sector parque bicentenario -</v>
      </c>
      <c r="P1395" s="65"/>
      <c r="Q1395" s="65" t="str">
        <f>IFERROR(__xludf.DUMMYFUNCTION("""COMPUTED_VALUE"""),"GINTRACOM")</f>
        <v>GINTRACOM</v>
      </c>
      <c r="R1395" s="65">
        <f>IFERROR(__xludf.DUMMYFUNCTION("""COMPUTED_VALUE"""),21.99)</f>
        <v>21.99</v>
      </c>
      <c r="S1395" s="65">
        <f>IFERROR(__xludf.DUMMYFUNCTION("""COMPUTED_VALUE"""),12.76)</f>
        <v>12.76</v>
      </c>
      <c r="T1395" s="65">
        <f>IFERROR(__xludf.DUMMYFUNCTION("""COMPUTED_VALUE"""),4.23)</f>
        <v>4.23</v>
      </c>
      <c r="U1395" s="65">
        <f>IFERROR(__xludf.DUMMYFUNCTION("""COMPUTED_VALUE"""),0.0)</f>
        <v>0</v>
      </c>
      <c r="V1395" s="65">
        <f>IFERROR(__xludf.DUMMYFUNCTION("""COMPUTED_VALUE"""),0.0)</f>
        <v>0</v>
      </c>
      <c r="W1395" s="65">
        <f>IFERROR(__xludf.DUMMYFUNCTION("""COMPUTED_VALUE"""),0.0)</f>
        <v>0</v>
      </c>
      <c r="X1395" s="65">
        <f>IFERROR(__xludf.DUMMYFUNCTION("""COMPUTED_VALUE"""),5.0)</f>
        <v>5</v>
      </c>
      <c r="Y1395" s="65">
        <f>IFERROR(__xludf.DUMMYFUNCTION("""COMPUTED_VALUE"""),5.0)</f>
        <v>5</v>
      </c>
      <c r="Z1395" s="65">
        <f>IFERROR(__xludf.DUMMYFUNCTION("""COMPUTED_VALUE"""),110064.0)</f>
        <v>110064</v>
      </c>
      <c r="AA1395" s="65" t="str">
        <f>IFERROR(__xludf.DUMMYFUNCTION("""COMPUTED_VALUE"""),"IMX-00001")</f>
        <v>IMX-00001</v>
      </c>
      <c r="AB1395" s="65"/>
      <c r="AC1395" s="65" t="str">
        <f>IFERROR(__xludf.DUMMYFUNCTION("""COMPUTED_VALUE"""),"LLAVE TRINQUETE")</f>
        <v>LLAVE TRINQUETE</v>
      </c>
      <c r="AD1395" s="65"/>
      <c r="AE1395" s="65">
        <f>IFERROR(__xludf.DUMMYFUNCTION("""COMPUTED_VALUE"""),1.0)</f>
        <v>1</v>
      </c>
      <c r="AF1395" s="65" t="str">
        <f>IFERROR(__xludf.DUMMYFUNCTION("""COMPUTED_VALUE"""),"DESTINATARIO NO CONTESTA LLAMADAS NI WHATSAPP")</f>
        <v>DESTINATARIO NO CONTESTA LLAMADAS NI WHATSAPP</v>
      </c>
      <c r="AG1395" s="65" t="str">
        <f>IFERROR(__xludf.DUMMYFUNCTION("""COMPUTED_VALUE"""),"NO")</f>
        <v>NO</v>
      </c>
      <c r="AH1395" s="65" t="str">
        <f>IFERROR(__xludf.DUMMYFUNCTION("""COMPUTED_VALUE"""),"09:00")</f>
        <v>09:00</v>
      </c>
      <c r="AI1395" s="65" t="str">
        <f>IFERROR(__xludf.DUMMYFUNCTION("""COMPUTED_VALUE"""),"03-02-2026")</f>
        <v>03-02-2026</v>
      </c>
      <c r="AJ1395" s="65"/>
      <c r="AK1395" s="65"/>
      <c r="AL1395" s="65"/>
      <c r="AM1395" s="65"/>
      <c r="AN1395" s="65" t="str">
        <f>IFERROR(__xludf.DUMMYFUNCTION("""COMPUTED_VALUE"""),"17:46")</f>
        <v>17:46</v>
      </c>
      <c r="AO1395" s="65" t="str">
        <f>IFERROR(__xludf.DUMMYFUNCTION("""COMPUTED_VALUE"""),"06-02-2026")</f>
        <v>06-02-2026</v>
      </c>
      <c r="AP1395" s="65" t="str">
        <f>IFERROR(__xludf.DUMMYFUNCTION("""COMPUTED_VALUE"""),"DESTINATARIO SOLICITA CAMBIO DE DIRECCIÓN")</f>
        <v>DESTINATARIO SOLICITA CAMBIO DE DIRECCIÓN</v>
      </c>
      <c r="AQ1395" s="65" t="str">
        <f>IFERROR(__xludf.DUMMYFUNCTION("""COMPUTED_VALUE"""),"DESTINATARIO SOLICITA CAMBIO DE DIRECCIÓN")</f>
        <v>DESTINATARIO SOLICITA CAMBIO DE DIRECCIÓN</v>
      </c>
      <c r="AR1395" s="65"/>
      <c r="AS1395" s="65"/>
      <c r="AT1395" s="65" t="str">
        <f>IFERROR(__xludf.DUMMYFUNCTION("""COMPUTED_VALUE"""),"SHOPIFY")</f>
        <v>SHOPIFY</v>
      </c>
      <c r="AU1395" s="65" t="str">
        <f>IFERROR(__xludf.DUMMYFUNCTION("""COMPUTED_VALUE"""),"IMPORTEX EC")</f>
        <v>IMPORTEX EC</v>
      </c>
      <c r="AV1395" s="65" t="str">
        <f>IFERROR(__xludf.DUMMYFUNCTION("""COMPUTED_VALUE"""),"6449028235308")</f>
        <v>6449028235308</v>
      </c>
      <c r="AW1395" s="65">
        <f>IFERROR(__xludf.DUMMYFUNCTION("""COMPUTED_VALUE"""),5544.0)</f>
        <v>5544</v>
      </c>
      <c r="AX1395" s="65"/>
      <c r="AY1395" s="65" t="str">
        <f>IFERROR(__xludf.DUMMYFUNCTION("""COMPUTED_VALUE"""),"27/01/2026")</f>
        <v>27/01/2026</v>
      </c>
      <c r="AZ1395" s="65"/>
      <c r="BA1395" s="65"/>
    </row>
    <row r="1396">
      <c r="A1396" s="65" t="str">
        <f>IFERROR(__xludf.DUMMYFUNCTION("""COMPUTED_VALUE"""),"27-03-2026")</f>
        <v>27-03-2026</v>
      </c>
      <c r="B1396" s="65">
        <f>IFERROR(__xludf.DUMMYFUNCTION("""COMPUTED_VALUE"""),4283109.0)</f>
        <v>4283109</v>
      </c>
      <c r="C1396" s="65" t="str">
        <f>IFERROR(__xludf.DUMMYFUNCTION("""COMPUTED_VALUE"""),"11:19")</f>
        <v>11:19</v>
      </c>
      <c r="D1396" s="65" t="str">
        <f>IFERROR(__xludf.DUMMYFUNCTION("""COMPUTED_VALUE"""),"26-01-2026")</f>
        <v>26-01-2026</v>
      </c>
      <c r="E1396" s="65" t="str">
        <f>IFERROR(__xludf.DUMMYFUNCTION("""COMPUTED_VALUE"""),"Pedro Orellana")</f>
        <v>Pedro Orellana</v>
      </c>
      <c r="F1396" s="65" t="str">
        <f>IFERROR(__xludf.DUMMYFUNCTION("""COMPUTED_VALUE"""),"987765098")</f>
        <v>987765098</v>
      </c>
      <c r="G1396" s="65" t="str">
        <f>IFERROR(__xludf.DUMMYFUNCTION("""COMPUTED_VALUE"""),"javierore@outlook.com")</f>
        <v>javierore@outlook.com</v>
      </c>
      <c r="H1396" s="65"/>
      <c r="I1396" s="65"/>
      <c r="J1396" s="65"/>
      <c r="K1396" s="65" t="str">
        <f>IFERROR(__xludf.DUMMYFUNCTION("""COMPUTED_VALUE"""),"PENDIENTE CONFIRMACION")</f>
        <v>PENDIENTE CONFIRMACION</v>
      </c>
      <c r="L1396" s="65" t="str">
        <f>IFERROR(__xludf.DUMMYFUNCTION("""COMPUTED_VALUE"""),"CON RECAUDO")</f>
        <v>CON RECAUDO</v>
      </c>
      <c r="M1396" s="65" t="str">
        <f>IFERROR(__xludf.DUMMYFUNCTION("""COMPUTED_VALUE"""),"PICHINCHA")</f>
        <v>PICHINCHA</v>
      </c>
      <c r="N1396" s="65" t="str">
        <f>IFERROR(__xludf.DUMMYFUNCTION("""COMPUTED_VALUE"""),"QUITO")</f>
        <v>QUITO</v>
      </c>
      <c r="O1396" s="65" t="str">
        <f>IFERROR(__xludf.DUMMYFUNCTION("""COMPUTED_VALUE"""),"Divino niño entrada principal carpa verde GUAMANI - El troje. -")</f>
        <v>Divino niño entrada principal carpa verde GUAMANI - El troje. -</v>
      </c>
      <c r="P1396" s="65"/>
      <c r="Q1396" s="65" t="str">
        <f>IFERROR(__xludf.DUMMYFUNCTION("""COMPUTED_VALUE"""),"GINTRACOM")</f>
        <v>GINTRACOM</v>
      </c>
      <c r="R1396" s="65">
        <f>IFERROR(__xludf.DUMMYFUNCTION("""COMPUTED_VALUE"""),25.0)</f>
        <v>25</v>
      </c>
      <c r="S1396" s="65"/>
      <c r="T1396" s="65">
        <f>IFERROR(__xludf.DUMMYFUNCTION("""COMPUTED_VALUE"""),4.35)</f>
        <v>4.35</v>
      </c>
      <c r="U1396" s="65">
        <f>IFERROR(__xludf.DUMMYFUNCTION("""COMPUTED_VALUE"""),0.0)</f>
        <v>0</v>
      </c>
      <c r="V1396" s="65">
        <f>IFERROR(__xludf.DUMMYFUNCTION("""COMPUTED_VALUE"""),0.0)</f>
        <v>0</v>
      </c>
      <c r="W1396" s="65">
        <f>IFERROR(__xludf.DUMMYFUNCTION("""COMPUTED_VALUE"""),0.0)</f>
        <v>0</v>
      </c>
      <c r="X1396" s="65">
        <f>IFERROR(__xludf.DUMMYFUNCTION("""COMPUTED_VALUE"""),2.35)</f>
        <v>2.35</v>
      </c>
      <c r="Y1396" s="65">
        <f>IFERROR(__xludf.DUMMYFUNCTION("""COMPUTED_VALUE"""),4.7)</f>
        <v>4.7</v>
      </c>
      <c r="Z1396" s="65">
        <f>IFERROR(__xludf.DUMMYFUNCTION("""COMPUTED_VALUE"""),116679.0)</f>
        <v>116679</v>
      </c>
      <c r="AA1396" s="65" t="str">
        <f>IFERROR(__xludf.DUMMYFUNCTION("""COMPUTED_VALUE"""),"AMC-2738")</f>
        <v>AMC-2738</v>
      </c>
      <c r="AB1396" s="65"/>
      <c r="AC1396" s="65" t="str">
        <f>IFERROR(__xludf.DUMMYFUNCTION("""COMPUTED_VALUE"""),"ESPONJA ANTILLUVIA DE PARABRISAS")</f>
        <v>ESPONJA ANTILLUVIA DE PARABRISAS</v>
      </c>
      <c r="AD1396" s="65"/>
      <c r="AE1396" s="65">
        <f>IFERROR(__xludf.DUMMYFUNCTION("""COMPUTED_VALUE"""),2.0)</f>
        <v>2</v>
      </c>
      <c r="AF1396" s="65"/>
      <c r="AG1396" s="65"/>
      <c r="AH1396" s="65"/>
      <c r="AI1396" s="65"/>
      <c r="AJ1396" s="65"/>
      <c r="AK1396" s="65"/>
      <c r="AL1396" s="65"/>
      <c r="AM1396" s="65"/>
      <c r="AN1396" s="65"/>
      <c r="AO1396" s="65"/>
      <c r="AP1396" s="65"/>
      <c r="AQ1396" s="65"/>
      <c r="AR1396" s="65"/>
      <c r="AS1396" s="65"/>
      <c r="AT1396" s="65" t="str">
        <f>IFERROR(__xludf.DUMMYFUNCTION("""COMPUTED_VALUE"""),"SHOPIFY")</f>
        <v>SHOPIFY</v>
      </c>
      <c r="AU1396" s="65" t="str">
        <f>IFERROR(__xludf.DUMMYFUNCTION("""COMPUTED_VALUE"""),"IMPORTEX EC")</f>
        <v>IMPORTEX EC</v>
      </c>
      <c r="AV1396" s="65" t="str">
        <f>IFERROR(__xludf.DUMMYFUNCTION("""COMPUTED_VALUE"""),"6443729682476")</f>
        <v>6443729682476</v>
      </c>
      <c r="AW1396" s="65">
        <f>IFERROR(__xludf.DUMMYFUNCTION("""COMPUTED_VALUE"""),5464.0)</f>
        <v>5464</v>
      </c>
      <c r="AX1396" s="65"/>
      <c r="AY1396" s="65"/>
      <c r="AZ1396" s="65"/>
      <c r="BA1396" s="65"/>
    </row>
    <row r="1397">
      <c r="A1397" s="65" t="str">
        <f>IFERROR(__xludf.DUMMYFUNCTION("""COMPUTED_VALUE"""),"27-03-2026")</f>
        <v>27-03-2026</v>
      </c>
      <c r="B1397" s="65">
        <f>IFERROR(__xludf.DUMMYFUNCTION("""COMPUTED_VALUE"""),4283071.0)</f>
        <v>4283071</v>
      </c>
      <c r="C1397" s="65" t="str">
        <f>IFERROR(__xludf.DUMMYFUNCTION("""COMPUTED_VALUE"""),"11:17")</f>
        <v>11:17</v>
      </c>
      <c r="D1397" s="65" t="str">
        <f>IFERROR(__xludf.DUMMYFUNCTION("""COMPUTED_VALUE"""),"26-01-2026")</f>
        <v>26-01-2026</v>
      </c>
      <c r="E1397" s="65" t="str">
        <f>IFERROR(__xludf.DUMMYFUNCTION("""COMPUTED_VALUE"""),"ronald roldan")</f>
        <v>ronald roldan</v>
      </c>
      <c r="F1397" s="65" t="str">
        <f>IFERROR(__xludf.DUMMYFUNCTION("""COMPUTED_VALUE"""),"994472795")</f>
        <v>994472795</v>
      </c>
      <c r="G1397" s="65" t="str">
        <f>IFERROR(__xludf.DUMMYFUNCTION("""COMPUTED_VALUE"""),"rroldan10@hotmail.com")</f>
        <v>rroldan10@hotmail.com</v>
      </c>
      <c r="H1397" s="65"/>
      <c r="I1397" s="65"/>
      <c r="J1397" s="65" t="str">
        <f>IFERROR(__xludf.DUMMYFUNCTION("""COMPUTED_VALUE"""),"D001277206")</f>
        <v>D001277206</v>
      </c>
      <c r="K1397" s="65" t="str">
        <f>IFERROR(__xludf.DUMMYFUNCTION("""COMPUTED_VALUE"""),"ENTREGADO")</f>
        <v>ENTREGADO</v>
      </c>
      <c r="L1397" s="65" t="str">
        <f>IFERROR(__xludf.DUMMYFUNCTION("""COMPUTED_VALUE"""),"CON RECAUDO")</f>
        <v>CON RECAUDO</v>
      </c>
      <c r="M1397" s="65" t="str">
        <f>IFERROR(__xludf.DUMMYFUNCTION("""COMPUTED_VALUE"""),"GUAYAS")</f>
        <v>GUAYAS</v>
      </c>
      <c r="N1397" s="65" t="str">
        <f>IFERROR(__xludf.DUMMYFUNCTION("""COMPUTED_VALUE"""),"DURAN")</f>
        <v>DURAN</v>
      </c>
      <c r="O1397" s="65" t="str">
        <f>IFERROR(__xludf.DUMMYFUNCTION("""COMPUTED_VALUE"""),"Cdla Panorama Condominio 4 pisos, diagonal a asadero centavito Frente a panaderia -")</f>
        <v>Cdla Panorama Condominio 4 pisos, diagonal a asadero centavito Frente a panaderia -</v>
      </c>
      <c r="P1397" s="65"/>
      <c r="Q1397" s="65" t="str">
        <f>IFERROR(__xludf.DUMMYFUNCTION("""COMPUTED_VALUE"""),"GINTRACOM")</f>
        <v>GINTRACOM</v>
      </c>
      <c r="R1397" s="65">
        <f>IFERROR(__xludf.DUMMYFUNCTION("""COMPUTED_VALUE"""),25.0)</f>
        <v>25</v>
      </c>
      <c r="S1397" s="65">
        <f>IFERROR(__xludf.DUMMYFUNCTION("""COMPUTED_VALUE"""),14.34)</f>
        <v>14.34</v>
      </c>
      <c r="T1397" s="65">
        <f>IFERROR(__xludf.DUMMYFUNCTION("""COMPUTED_VALUE"""),5.96)</f>
        <v>5.96</v>
      </c>
      <c r="U1397" s="65">
        <f>IFERROR(__xludf.DUMMYFUNCTION("""COMPUTED_VALUE"""),0.0)</f>
        <v>0</v>
      </c>
      <c r="V1397" s="65">
        <f>IFERROR(__xludf.DUMMYFUNCTION("""COMPUTED_VALUE"""),0.0)</f>
        <v>0</v>
      </c>
      <c r="W1397" s="65">
        <f>IFERROR(__xludf.DUMMYFUNCTION("""COMPUTED_VALUE"""),0.0)</f>
        <v>0</v>
      </c>
      <c r="X1397" s="65">
        <f>IFERROR(__xludf.DUMMYFUNCTION("""COMPUTED_VALUE"""),2.35)</f>
        <v>2.35</v>
      </c>
      <c r="Y1397" s="65">
        <f>IFERROR(__xludf.DUMMYFUNCTION("""COMPUTED_VALUE"""),4.7)</f>
        <v>4.7</v>
      </c>
      <c r="Z1397" s="65">
        <f>IFERROR(__xludf.DUMMYFUNCTION("""COMPUTED_VALUE"""),116679.0)</f>
        <v>116679</v>
      </c>
      <c r="AA1397" s="65" t="str">
        <f>IFERROR(__xludf.DUMMYFUNCTION("""COMPUTED_VALUE"""),"AMC-2738")</f>
        <v>AMC-2738</v>
      </c>
      <c r="AB1397" s="65"/>
      <c r="AC1397" s="65" t="str">
        <f>IFERROR(__xludf.DUMMYFUNCTION("""COMPUTED_VALUE"""),"ESPONJA ANTILLUVIA DE PARABRISAS")</f>
        <v>ESPONJA ANTILLUVIA DE PARABRISAS</v>
      </c>
      <c r="AD1397" s="65"/>
      <c r="AE1397" s="65">
        <f>IFERROR(__xludf.DUMMYFUNCTION("""COMPUTED_VALUE"""),2.0)</f>
        <v>2</v>
      </c>
      <c r="AF1397" s="65"/>
      <c r="AG1397" s="65"/>
      <c r="AH1397" s="65"/>
      <c r="AI1397" s="65"/>
      <c r="AJ1397" s="65"/>
      <c r="AK1397" s="65"/>
      <c r="AL1397" s="65"/>
      <c r="AM1397" s="65"/>
      <c r="AN1397" s="65"/>
      <c r="AO1397" s="65"/>
      <c r="AP1397" s="65"/>
      <c r="AQ1397" s="65"/>
      <c r="AR1397" s="65"/>
      <c r="AS1397" s="65"/>
      <c r="AT1397" s="65" t="str">
        <f>IFERROR(__xludf.DUMMYFUNCTION("""COMPUTED_VALUE"""),"SHOPIFY")</f>
        <v>SHOPIFY</v>
      </c>
      <c r="AU1397" s="65" t="str">
        <f>IFERROR(__xludf.DUMMYFUNCTION("""COMPUTED_VALUE"""),"IMPORTEX EC")</f>
        <v>IMPORTEX EC</v>
      </c>
      <c r="AV1397" s="65" t="str">
        <f>IFERROR(__xludf.DUMMYFUNCTION("""COMPUTED_VALUE"""),"6449022828588")</f>
        <v>6449022828588</v>
      </c>
      <c r="AW1397" s="65">
        <f>IFERROR(__xludf.DUMMYFUNCTION("""COMPUTED_VALUE"""),5543.0)</f>
        <v>5543</v>
      </c>
      <c r="AX1397" s="65"/>
      <c r="AY1397" s="65" t="str">
        <f>IFERROR(__xludf.DUMMYFUNCTION("""COMPUTED_VALUE"""),"30/01/2026")</f>
        <v>30/01/2026</v>
      </c>
      <c r="AZ1397" s="65"/>
      <c r="BA1397" s="65"/>
    </row>
    <row r="1398">
      <c r="A1398" s="65" t="str">
        <f>IFERROR(__xludf.DUMMYFUNCTION("""COMPUTED_VALUE"""),"27-03-2026")</f>
        <v>27-03-2026</v>
      </c>
      <c r="B1398" s="65">
        <f>IFERROR(__xludf.DUMMYFUNCTION("""COMPUTED_VALUE"""),4282612.0)</f>
        <v>4282612</v>
      </c>
      <c r="C1398" s="65" t="str">
        <f>IFERROR(__xludf.DUMMYFUNCTION("""COMPUTED_VALUE"""),"10:53")</f>
        <v>10:53</v>
      </c>
      <c r="D1398" s="65" t="str">
        <f>IFERROR(__xludf.DUMMYFUNCTION("""COMPUTED_VALUE"""),"26-01-2026")</f>
        <v>26-01-2026</v>
      </c>
      <c r="E1398" s="65" t="str">
        <f>IFERROR(__xludf.DUMMYFUNCTION("""COMPUTED_VALUE"""),"Eduardo Cueva")</f>
        <v>Eduardo Cueva</v>
      </c>
      <c r="F1398" s="65" t="str">
        <f>IFERROR(__xludf.DUMMYFUNCTION("""COMPUTED_VALUE"""),"969170174")</f>
        <v>969170174</v>
      </c>
      <c r="G1398" s="65" t="str">
        <f>IFERROR(__xludf.DUMMYFUNCTION("""COMPUTED_VALUE"""),"dcueva27121983@gmail.com")</f>
        <v>dcueva27121983@gmail.com</v>
      </c>
      <c r="H1398" s="65"/>
      <c r="I1398" s="65"/>
      <c r="J1398" s="65"/>
      <c r="K1398" s="65" t="str">
        <f>IFERROR(__xludf.DUMMYFUNCTION("""COMPUTED_VALUE"""),"PENDIENTE CONFIRMACION")</f>
        <v>PENDIENTE CONFIRMACION</v>
      </c>
      <c r="L1398" s="65" t="str">
        <f>IFERROR(__xludf.DUMMYFUNCTION("""COMPUTED_VALUE"""),"CON RECAUDO")</f>
        <v>CON RECAUDO</v>
      </c>
      <c r="M1398" s="65" t="str">
        <f>IFERROR(__xludf.DUMMYFUNCTION("""COMPUTED_VALUE"""),"SANTO DOMINGO DE LOS TSACHILAS")</f>
        <v>SANTO DOMINGO DE LOS TSACHILAS</v>
      </c>
      <c r="N1398" s="65" t="str">
        <f>IFERROR(__xludf.DUMMYFUNCTION("""COMPUTED_VALUE"""),"SANTO DOMINGO")</f>
        <v>SANTO DOMINGO</v>
      </c>
      <c r="O1398" s="65" t="str">
        <f>IFERROR(__xludf.DUMMYFUNCTION("""COMPUTED_VALUE"""),"La Concordia- Santo Dgo SECTOR 5 nva- Concordia- Barrio Emanuel -")</f>
        <v>La Concordia- Santo Dgo SECTOR 5 nva- Concordia- Barrio Emanuel -</v>
      </c>
      <c r="P1398" s="65"/>
      <c r="Q1398" s="65" t="str">
        <f>IFERROR(__xludf.DUMMYFUNCTION("""COMPUTED_VALUE"""),"GINTRACOM")</f>
        <v>GINTRACOM</v>
      </c>
      <c r="R1398" s="65">
        <f>IFERROR(__xludf.DUMMYFUNCTION("""COMPUTED_VALUE"""),20.0)</f>
        <v>20</v>
      </c>
      <c r="S1398" s="65"/>
      <c r="T1398" s="65">
        <f>IFERROR(__xludf.DUMMYFUNCTION("""COMPUTED_VALUE"""),5.76)</f>
        <v>5.76</v>
      </c>
      <c r="U1398" s="65">
        <f>IFERROR(__xludf.DUMMYFUNCTION("""COMPUTED_VALUE"""),0.0)</f>
        <v>0</v>
      </c>
      <c r="V1398" s="65">
        <f>IFERROR(__xludf.DUMMYFUNCTION("""COMPUTED_VALUE"""),0.0)</f>
        <v>0</v>
      </c>
      <c r="W1398" s="65">
        <f>IFERROR(__xludf.DUMMYFUNCTION("""COMPUTED_VALUE"""),0.0)</f>
        <v>0</v>
      </c>
      <c r="X1398" s="65">
        <f>IFERROR(__xludf.DUMMYFUNCTION("""COMPUTED_VALUE"""),2.35)</f>
        <v>2.35</v>
      </c>
      <c r="Y1398" s="65">
        <f>IFERROR(__xludf.DUMMYFUNCTION("""COMPUTED_VALUE"""),2.35)</f>
        <v>2.35</v>
      </c>
      <c r="Z1398" s="65">
        <f>IFERROR(__xludf.DUMMYFUNCTION("""COMPUTED_VALUE"""),116679.0)</f>
        <v>116679</v>
      </c>
      <c r="AA1398" s="65" t="str">
        <f>IFERROR(__xludf.DUMMYFUNCTION("""COMPUTED_VALUE"""),"AMC-2738")</f>
        <v>AMC-2738</v>
      </c>
      <c r="AB1398" s="65"/>
      <c r="AC1398" s="65" t="str">
        <f>IFERROR(__xludf.DUMMYFUNCTION("""COMPUTED_VALUE"""),"ESPONJA ANTILLUVIA DE PARABRISAS")</f>
        <v>ESPONJA ANTILLUVIA DE PARABRISAS</v>
      </c>
      <c r="AD1398" s="65"/>
      <c r="AE1398" s="65">
        <f>IFERROR(__xludf.DUMMYFUNCTION("""COMPUTED_VALUE"""),1.0)</f>
        <v>1</v>
      </c>
      <c r="AF1398" s="65"/>
      <c r="AG1398" s="65"/>
      <c r="AH1398" s="65"/>
      <c r="AI1398" s="65"/>
      <c r="AJ1398" s="65"/>
      <c r="AK1398" s="65"/>
      <c r="AL1398" s="65"/>
      <c r="AM1398" s="65"/>
      <c r="AN1398" s="65"/>
      <c r="AO1398" s="65"/>
      <c r="AP1398" s="65"/>
      <c r="AQ1398" s="65"/>
      <c r="AR1398" s="65"/>
      <c r="AS1398" s="65"/>
      <c r="AT1398" s="65" t="str">
        <f>IFERROR(__xludf.DUMMYFUNCTION("""COMPUTED_VALUE"""),"SHOPIFY")</f>
        <v>SHOPIFY</v>
      </c>
      <c r="AU1398" s="65" t="str">
        <f>IFERROR(__xludf.DUMMYFUNCTION("""COMPUTED_VALUE"""),"IMPORTEX EC")</f>
        <v>IMPORTEX EC</v>
      </c>
      <c r="AV1398" s="65" t="str">
        <f>IFERROR(__xludf.DUMMYFUNCTION("""COMPUTED_VALUE"""),"6443005378604")</f>
        <v>6443005378604</v>
      </c>
      <c r="AW1398" s="65">
        <f>IFERROR(__xludf.DUMMYFUNCTION("""COMPUTED_VALUE"""),5451.0)</f>
        <v>5451</v>
      </c>
      <c r="AX1398" s="65"/>
      <c r="AY1398" s="65"/>
      <c r="AZ1398" s="65"/>
      <c r="BA1398" s="65"/>
    </row>
    <row r="1399">
      <c r="A1399" s="65" t="str">
        <f>IFERROR(__xludf.DUMMYFUNCTION("""COMPUTED_VALUE"""),"27-03-2026")</f>
        <v>27-03-2026</v>
      </c>
      <c r="B1399" s="65">
        <f>IFERROR(__xludf.DUMMYFUNCTION("""COMPUTED_VALUE"""),4281888.0)</f>
        <v>4281888</v>
      </c>
      <c r="C1399" s="65" t="str">
        <f>IFERROR(__xludf.DUMMYFUNCTION("""COMPUTED_VALUE"""),"10:11")</f>
        <v>10:11</v>
      </c>
      <c r="D1399" s="65" t="str">
        <f>IFERROR(__xludf.DUMMYFUNCTION("""COMPUTED_VALUE"""),"26-01-2026")</f>
        <v>26-01-2026</v>
      </c>
      <c r="E1399" s="65" t="str">
        <f>IFERROR(__xludf.DUMMYFUNCTION("""COMPUTED_VALUE"""),"Juan Carlos Pianda Cobeña")</f>
        <v>Juan Carlos Pianda Cobeña</v>
      </c>
      <c r="F1399" s="65" t="str">
        <f>IFERROR(__xludf.DUMMYFUNCTION("""COMPUTED_VALUE"""),"985671098")</f>
        <v>985671098</v>
      </c>
      <c r="G1399" s="65"/>
      <c r="H1399" s="65"/>
      <c r="I1399" s="65"/>
      <c r="J1399" s="65" t="str">
        <f>IFERROR(__xludf.DUMMYFUNCTION("""COMPUTED_VALUE"""),"186530043")</f>
        <v>186530043</v>
      </c>
      <c r="K1399" s="65" t="str">
        <f>IFERROR(__xludf.DUMMYFUNCTION("""COMPUTED_VALUE"""),"ENTREGADO")</f>
        <v>ENTREGADO</v>
      </c>
      <c r="L1399" s="65" t="str">
        <f>IFERROR(__xludf.DUMMYFUNCTION("""COMPUTED_VALUE"""),"CON RECAUDO")</f>
        <v>CON RECAUDO</v>
      </c>
      <c r="M1399" s="65" t="str">
        <f>IFERROR(__xludf.DUMMYFUNCTION("""COMPUTED_VALUE"""),"GUAYAS")</f>
        <v>GUAYAS</v>
      </c>
      <c r="N1399" s="65" t="str">
        <f>IFERROR(__xludf.DUMMYFUNCTION("""COMPUTED_VALUE"""),"LOMAS DE SARGENTILLO")</f>
        <v>LOMAS DE SARGENTILLO</v>
      </c>
      <c r="O1399" s="65" t="str">
        <f>IFERROR(__xludf.DUMMYFUNCTION("""COMPUTED_VALUE"""),"CS: LOMAS DE SARGENTILLO_EL TELEGRAFO Y VEIZIMO GONZALES")</f>
        <v>CS: LOMAS DE SARGENTILLO_EL TELEGRAFO Y VEIZIMO GONZALES</v>
      </c>
      <c r="P1399" s="65" t="str">
        <f>IFERROR(__xludf.DUMMYFUNCTION("""COMPUTED_VALUE"""),"(SERVIENTREGA) CS: LOMAS DE SARGENTILLO_EL TELEGRAFO Y VEIZIMO GONZALES")</f>
        <v>(SERVIENTREGA) CS: LOMAS DE SARGENTILLO_EL TELEGRAFO Y VEIZIMO GONZALES</v>
      </c>
      <c r="Q1399" s="65" t="str">
        <f>IFERROR(__xludf.DUMMYFUNCTION("""COMPUTED_VALUE"""),"SERVIENTREGA")</f>
        <v>SERVIENTREGA</v>
      </c>
      <c r="R1399" s="65">
        <f>IFERROR(__xludf.DUMMYFUNCTION("""COMPUTED_VALUE"""),25.0)</f>
        <v>25</v>
      </c>
      <c r="S1399" s="65">
        <f>IFERROR(__xludf.DUMMYFUNCTION("""COMPUTED_VALUE"""),12.55)</f>
        <v>12.55</v>
      </c>
      <c r="T1399" s="65">
        <f>IFERROR(__xludf.DUMMYFUNCTION("""COMPUTED_VALUE"""),7.75)</f>
        <v>7.75</v>
      </c>
      <c r="U1399" s="65">
        <f>IFERROR(__xludf.DUMMYFUNCTION("""COMPUTED_VALUE"""),0.0)</f>
        <v>0</v>
      </c>
      <c r="V1399" s="65">
        <f>IFERROR(__xludf.DUMMYFUNCTION("""COMPUTED_VALUE"""),0.0)</f>
        <v>0</v>
      </c>
      <c r="W1399" s="65">
        <f>IFERROR(__xludf.DUMMYFUNCTION("""COMPUTED_VALUE"""),0.0)</f>
        <v>0</v>
      </c>
      <c r="X1399" s="65">
        <f>IFERROR(__xludf.DUMMYFUNCTION("""COMPUTED_VALUE"""),2.35)</f>
        <v>2.35</v>
      </c>
      <c r="Y1399" s="65">
        <f>IFERROR(__xludf.DUMMYFUNCTION("""COMPUTED_VALUE"""),4.7)</f>
        <v>4.7</v>
      </c>
      <c r="Z1399" s="65">
        <f>IFERROR(__xludf.DUMMYFUNCTION("""COMPUTED_VALUE"""),116679.0)</f>
        <v>116679</v>
      </c>
      <c r="AA1399" s="65" t="str">
        <f>IFERROR(__xludf.DUMMYFUNCTION("""COMPUTED_VALUE"""),"AMC-2738")</f>
        <v>AMC-2738</v>
      </c>
      <c r="AB1399" s="65"/>
      <c r="AC1399" s="65" t="str">
        <f>IFERROR(__xludf.DUMMYFUNCTION("""COMPUTED_VALUE"""),"ESPONJA ANTILLUVIA DE PARABRISAS")</f>
        <v>ESPONJA ANTILLUVIA DE PARABRISAS</v>
      </c>
      <c r="AD1399" s="65"/>
      <c r="AE1399" s="65">
        <f>IFERROR(__xludf.DUMMYFUNCTION("""COMPUTED_VALUE"""),2.0)</f>
        <v>2</v>
      </c>
      <c r="AF1399" s="65"/>
      <c r="AG1399" s="65"/>
      <c r="AH1399" s="65"/>
      <c r="AI1399" s="65"/>
      <c r="AJ1399" s="65"/>
      <c r="AK1399" s="65"/>
      <c r="AL1399" s="65"/>
      <c r="AM1399" s="65"/>
      <c r="AN1399" s="65" t="str">
        <f>IFERROR(__xludf.DUMMYFUNCTION("""COMPUTED_VALUE"""),"14:22")</f>
        <v>14:22</v>
      </c>
      <c r="AO1399" s="65" t="str">
        <f>IFERROR(__xludf.DUMMYFUNCTION("""COMPUTED_VALUE"""),"13-02-2026")</f>
        <v>13-02-2026</v>
      </c>
      <c r="AP1399" s="65" t="str">
        <f>IFERROR(__xludf.DUMMYFUNCTION("""COMPUTED_VALUE"""),"ENTREGA DIGITALIZADA EN CENTRO LOGISTICO")</f>
        <v>ENTREGA DIGITALIZADA EN CENTRO LOGISTICO</v>
      </c>
      <c r="AQ1399" s="65" t="str">
        <f>IFERROR(__xludf.DUMMYFUNCTION("""COMPUTED_VALUE"""),"JUAN CARLOS PIANDA")</f>
        <v>JUAN CARLOS PIANDA</v>
      </c>
      <c r="AR1399" s="65"/>
      <c r="AS1399" s="65" t="str">
        <f>IFERROR(__xludf.DUMMYFUNCTION("""COMPUTED_VALUE"""),"Bayron Gomez")</f>
        <v>Bayron Gomez</v>
      </c>
      <c r="AT1399" s="65"/>
      <c r="AU1399" s="65"/>
      <c r="AV1399" s="65"/>
      <c r="AW1399" s="65"/>
      <c r="AX1399" s="65"/>
      <c r="AY1399" s="65" t="str">
        <f>IFERROR(__xludf.DUMMYFUNCTION("""COMPUTED_VALUE"""),"26/01/2026")</f>
        <v>26/01/2026</v>
      </c>
      <c r="AZ1399" s="65"/>
      <c r="BA1399" s="65"/>
    </row>
    <row r="1400">
      <c r="A1400" s="65" t="str">
        <f>IFERROR(__xludf.DUMMYFUNCTION("""COMPUTED_VALUE"""),"27-03-2026")</f>
        <v>27-03-2026</v>
      </c>
      <c r="B1400" s="65">
        <f>IFERROR(__xludf.DUMMYFUNCTION("""COMPUTED_VALUE"""),4281463.0)</f>
        <v>4281463</v>
      </c>
      <c r="C1400" s="65" t="str">
        <f>IFERROR(__xludf.DUMMYFUNCTION("""COMPUTED_VALUE"""),"09:41")</f>
        <v>09:41</v>
      </c>
      <c r="D1400" s="65" t="str">
        <f>IFERROR(__xludf.DUMMYFUNCTION("""COMPUTED_VALUE"""),"26-01-2026")</f>
        <v>26-01-2026</v>
      </c>
      <c r="E1400" s="65" t="str">
        <f>IFERROR(__xludf.DUMMYFUNCTION("""COMPUTED_VALUE"""),"Santiago Angulo")</f>
        <v>Santiago Angulo</v>
      </c>
      <c r="F1400" s="65" t="str">
        <f>IFERROR(__xludf.DUMMYFUNCTION("""COMPUTED_VALUE"""),"969062192")</f>
        <v>969062192</v>
      </c>
      <c r="G1400" s="65" t="str">
        <f>IFERROR(__xludf.DUMMYFUNCTION("""COMPUTED_VALUE"""),"koryrobinzonvalencia12@gmail.com")</f>
        <v>koryrobinzonvalencia12@gmail.com</v>
      </c>
      <c r="H1400" s="65"/>
      <c r="I1400" s="65"/>
      <c r="J1400" s="65"/>
      <c r="K1400" s="65" t="str">
        <f>IFERROR(__xludf.DUMMYFUNCTION("""COMPUTED_VALUE"""),"PENDIENTE CONFIRMACION")</f>
        <v>PENDIENTE CONFIRMACION</v>
      </c>
      <c r="L1400" s="65" t="str">
        <f>IFERROR(__xludf.DUMMYFUNCTION("""COMPUTED_VALUE"""),"CON RECAUDO")</f>
        <v>CON RECAUDO</v>
      </c>
      <c r="M1400" s="65" t="str">
        <f>IFERROR(__xludf.DUMMYFUNCTION("""COMPUTED_VALUE"""),"PICHINCHA")</f>
        <v>PICHINCHA</v>
      </c>
      <c r="N1400" s="65" t="str">
        <f>IFERROR(__xludf.DUMMYFUNCTION("""COMPUTED_VALUE"""),"QUITO")</f>
        <v>QUITO</v>
      </c>
      <c r="O1400" s="65" t="str">
        <f>IFERROR(__xludf.DUMMYFUNCTION("""COMPUTED_VALUE"""),"Calle Mariano Hinojosa y Línea Ferrea Monjas -")</f>
        <v>Calle Mariano Hinojosa y Línea Ferrea Monjas -</v>
      </c>
      <c r="P1400" s="65"/>
      <c r="Q1400" s="65" t="str">
        <f>IFERROR(__xludf.DUMMYFUNCTION("""COMPUTED_VALUE"""),"GINTRACOM")</f>
        <v>GINTRACOM</v>
      </c>
      <c r="R1400" s="65">
        <f>IFERROR(__xludf.DUMMYFUNCTION("""COMPUTED_VALUE"""),19.99)</f>
        <v>19.99</v>
      </c>
      <c r="S1400" s="65"/>
      <c r="T1400" s="65">
        <f>IFERROR(__xludf.DUMMYFUNCTION("""COMPUTED_VALUE"""),4.14)</f>
        <v>4.14</v>
      </c>
      <c r="U1400" s="65">
        <f>IFERROR(__xludf.DUMMYFUNCTION("""COMPUTED_VALUE"""),0.0)</f>
        <v>0</v>
      </c>
      <c r="V1400" s="65">
        <f>IFERROR(__xludf.DUMMYFUNCTION("""COMPUTED_VALUE"""),0.0)</f>
        <v>0</v>
      </c>
      <c r="W1400" s="65">
        <f>IFERROR(__xludf.DUMMYFUNCTION("""COMPUTED_VALUE"""),0.0)</f>
        <v>0</v>
      </c>
      <c r="X1400" s="65">
        <f>IFERROR(__xludf.DUMMYFUNCTION("""COMPUTED_VALUE"""),3.5)</f>
        <v>3.5</v>
      </c>
      <c r="Y1400" s="65">
        <f>IFERROR(__xludf.DUMMYFUNCTION("""COMPUTED_VALUE"""),3.5)</f>
        <v>3.5</v>
      </c>
      <c r="Z1400" s="65">
        <f>IFERROR(__xludf.DUMMYFUNCTION("""COMPUTED_VALUE"""),124802.0)</f>
        <v>124802</v>
      </c>
      <c r="AA1400" s="65" t="str">
        <f>IFERROR(__xludf.DUMMYFUNCTION("""COMPUTED_VALUE"""),"IMX-00005")</f>
        <v>IMX-00005</v>
      </c>
      <c r="AB1400" s="65"/>
      <c r="AC1400" s="65" t="str">
        <f>IFERROR(__xludf.DUMMYFUNCTION("""COMPUTED_VALUE"""),"GUANTE QUITA PELUSAS")</f>
        <v>GUANTE QUITA PELUSAS</v>
      </c>
      <c r="AD1400" s="65"/>
      <c r="AE1400" s="65">
        <f>IFERROR(__xludf.DUMMYFUNCTION("""COMPUTED_VALUE"""),1.0)</f>
        <v>1</v>
      </c>
      <c r="AF1400" s="65"/>
      <c r="AG1400" s="65"/>
      <c r="AH1400" s="65"/>
      <c r="AI1400" s="65"/>
      <c r="AJ1400" s="65"/>
      <c r="AK1400" s="65"/>
      <c r="AL1400" s="65"/>
      <c r="AM1400" s="65"/>
      <c r="AN1400" s="65"/>
      <c r="AO1400" s="65"/>
      <c r="AP1400" s="65"/>
      <c r="AQ1400" s="65"/>
      <c r="AR1400" s="65"/>
      <c r="AS1400" s="65"/>
      <c r="AT1400" s="65" t="str">
        <f>IFERROR(__xludf.DUMMYFUNCTION("""COMPUTED_VALUE"""),"SHOPIFY")</f>
        <v>SHOPIFY</v>
      </c>
      <c r="AU1400" s="65" t="str">
        <f>IFERROR(__xludf.DUMMYFUNCTION("""COMPUTED_VALUE"""),"IMPORTEX EC")</f>
        <v>IMPORTEX EC</v>
      </c>
      <c r="AV1400" s="65" t="str">
        <f>IFERROR(__xludf.DUMMYFUNCTION("""COMPUTED_VALUE"""),"6440206467116")</f>
        <v>6440206467116</v>
      </c>
      <c r="AW1400" s="65">
        <f>IFERROR(__xludf.DUMMYFUNCTION("""COMPUTED_VALUE"""),5439.0)</f>
        <v>5439</v>
      </c>
      <c r="AX1400" s="65"/>
      <c r="AY1400" s="65"/>
      <c r="AZ1400" s="65"/>
      <c r="BA1400" s="65"/>
    </row>
    <row r="1401">
      <c r="A1401" s="65" t="str">
        <f>IFERROR(__xludf.DUMMYFUNCTION("""COMPUTED_VALUE"""),"27-03-2026")</f>
        <v>27-03-2026</v>
      </c>
      <c r="B1401" s="65">
        <f>IFERROR(__xludf.DUMMYFUNCTION("""COMPUTED_VALUE"""),4281032.0)</f>
        <v>4281032</v>
      </c>
      <c r="C1401" s="65" t="str">
        <f>IFERROR(__xludf.DUMMYFUNCTION("""COMPUTED_VALUE"""),"09:12")</f>
        <v>09:12</v>
      </c>
      <c r="D1401" s="65" t="str">
        <f>IFERROR(__xludf.DUMMYFUNCTION("""COMPUTED_VALUE"""),"26-01-2026")</f>
        <v>26-01-2026</v>
      </c>
      <c r="E1401" s="65" t="str">
        <f>IFERROR(__xludf.DUMMYFUNCTION("""COMPUTED_VALUE"""),"Víctor Arias")</f>
        <v>Víctor Arias</v>
      </c>
      <c r="F1401" s="65" t="str">
        <f>IFERROR(__xludf.DUMMYFUNCTION("""COMPUTED_VALUE"""),"994761513")</f>
        <v>994761513</v>
      </c>
      <c r="G1401" s="65"/>
      <c r="H1401" s="65"/>
      <c r="I1401" s="65"/>
      <c r="J1401" s="65" t="str">
        <f>IFERROR(__xludf.DUMMYFUNCTION("""COMPUTED_VALUE"""),"186535592")</f>
        <v>186535592</v>
      </c>
      <c r="K1401" s="65" t="str">
        <f>IFERROR(__xludf.DUMMYFUNCTION("""COMPUTED_VALUE"""),"DEVOLUCION")</f>
        <v>DEVOLUCION</v>
      </c>
      <c r="L1401" s="65" t="str">
        <f>IFERROR(__xludf.DUMMYFUNCTION("""COMPUTED_VALUE"""),"CON RECAUDO")</f>
        <v>CON RECAUDO</v>
      </c>
      <c r="M1401" s="65" t="str">
        <f>IFERROR(__xludf.DUMMYFUNCTION("""COMPUTED_VALUE"""),"PICHINCHA")</f>
        <v>PICHINCHA</v>
      </c>
      <c r="N1401" s="65" t="str">
        <f>IFERROR(__xludf.DUMMYFUNCTION("""COMPUTED_VALUE"""),"ALOAG")</f>
        <v>ALOAG</v>
      </c>
      <c r="O1401" s="65" t="str">
        <f>IFERROR(__xludf.DUMMYFUNCTION("""COMPUTED_VALUE"""),"CS: ALOAG_PRINCIPAL / FERNANDO CASTRO S/N Y BAHIA DE CARAQUEZ")</f>
        <v>CS: ALOAG_PRINCIPAL / FERNANDO CASTRO S/N Y BAHIA DE CARAQUEZ</v>
      </c>
      <c r="P1401" s="65" t="str">
        <f>IFERROR(__xludf.DUMMYFUNCTION("""COMPUTED_VALUE"""),"CS: ALOAG_PRINCIPAL / FERNANDO CASTRO S/N Y BAHIA DE CARAQUEZ (SERVIENTREGA).")</f>
        <v>CS: ALOAG_PRINCIPAL / FERNANDO CASTRO S/N Y BAHIA DE CARAQUEZ (SERVIENTREGA).</v>
      </c>
      <c r="Q1401" s="65" t="str">
        <f>IFERROR(__xludf.DUMMYFUNCTION("""COMPUTED_VALUE"""),"SERVIENTREGA")</f>
        <v>SERVIENTREGA</v>
      </c>
      <c r="R1401" s="65">
        <f>IFERROR(__xludf.DUMMYFUNCTION("""COMPUTED_VALUE"""),22.0)</f>
        <v>22</v>
      </c>
      <c r="S1401" s="65"/>
      <c r="T1401" s="65">
        <f>IFERROR(__xludf.DUMMYFUNCTION("""COMPUTED_VALUE"""),7.7)</f>
        <v>7.7</v>
      </c>
      <c r="U1401" s="65">
        <f>IFERROR(__xludf.DUMMYFUNCTION("""COMPUTED_VALUE"""),0.0)</f>
        <v>0</v>
      </c>
      <c r="V1401" s="65">
        <f>IFERROR(__xludf.DUMMYFUNCTION("""COMPUTED_VALUE"""),0.0)</f>
        <v>0</v>
      </c>
      <c r="W1401" s="65">
        <f>IFERROR(__xludf.DUMMYFUNCTION("""COMPUTED_VALUE"""),0.0)</f>
        <v>0</v>
      </c>
      <c r="X1401" s="65">
        <f>IFERROR(__xludf.DUMMYFUNCTION("""COMPUTED_VALUE"""),5.0)</f>
        <v>5</v>
      </c>
      <c r="Y1401" s="65">
        <f>IFERROR(__xludf.DUMMYFUNCTION("""COMPUTED_VALUE"""),5.0)</f>
        <v>5</v>
      </c>
      <c r="Z1401" s="65">
        <f>IFERROR(__xludf.DUMMYFUNCTION("""COMPUTED_VALUE"""),110064.0)</f>
        <v>110064</v>
      </c>
      <c r="AA1401" s="65" t="str">
        <f>IFERROR(__xludf.DUMMYFUNCTION("""COMPUTED_VALUE"""),"IMX-00001")</f>
        <v>IMX-00001</v>
      </c>
      <c r="AB1401" s="65"/>
      <c r="AC1401" s="65" t="str">
        <f>IFERROR(__xludf.DUMMYFUNCTION("""COMPUTED_VALUE"""),"LLAVE TRINQUETE")</f>
        <v>LLAVE TRINQUETE</v>
      </c>
      <c r="AD1401" s="65"/>
      <c r="AE1401" s="65">
        <f>IFERROR(__xludf.DUMMYFUNCTION("""COMPUTED_VALUE"""),1.0)</f>
        <v>1</v>
      </c>
      <c r="AF1401" s="65" t="str">
        <f>IFERROR(__xludf.DUMMYFUNCTION("""COMPUTED_VALUE"""),"DEVOLUCION AL REMITENTE")</f>
        <v>DEVOLUCION AL REMITENTE</v>
      </c>
      <c r="AG1401" s="65" t="str">
        <f>IFERROR(__xludf.DUMMYFUNCTION("""COMPUTED_VALUE"""),"NO")</f>
        <v>NO</v>
      </c>
      <c r="AH1401" s="65" t="str">
        <f>IFERROR(__xludf.DUMMYFUNCTION("""COMPUTED_VALUE"""),"14:27")</f>
        <v>14:27</v>
      </c>
      <c r="AI1401" s="65" t="str">
        <f>IFERROR(__xludf.DUMMYFUNCTION("""COMPUTED_VALUE"""),"06-02-2026")</f>
        <v>06-02-2026</v>
      </c>
      <c r="AJ1401" s="65"/>
      <c r="AK1401" s="65"/>
      <c r="AL1401" s="65"/>
      <c r="AM1401" s="65"/>
      <c r="AN1401" s="65" t="str">
        <f>IFERROR(__xludf.DUMMYFUNCTION("""COMPUTED_VALUE"""),"01:01")</f>
        <v>01:01</v>
      </c>
      <c r="AO1401" s="65" t="str">
        <f>IFERROR(__xludf.DUMMYFUNCTION("""COMPUTED_VALUE"""),"08-02-2026")</f>
        <v>08-02-2026</v>
      </c>
      <c r="AP1401" s="65" t="str">
        <f>IFERROR(__xludf.DUMMYFUNCTION("""COMPUTED_VALUE"""),"Certificacion Devolucion al Remitente CL QUITO")</f>
        <v>Certificacion Devolucion al Remitente CL QUITO</v>
      </c>
      <c r="AQ1401" s="65" t="str">
        <f>IFERROR(__xludf.DUMMYFUNCTION("""COMPUTED_VALUE"""),"{}")</f>
        <v>{}</v>
      </c>
      <c r="AR1401" s="65"/>
      <c r="AS1401" s="65" t="str">
        <f>IFERROR(__xludf.DUMMYFUNCTION("""COMPUTED_VALUE"""),"Bayron Gomez")</f>
        <v>Bayron Gomez</v>
      </c>
      <c r="AT1401" s="65"/>
      <c r="AU1401" s="65"/>
      <c r="AV1401" s="65"/>
      <c r="AW1401" s="65"/>
      <c r="AX1401" s="65"/>
      <c r="AY1401" s="65" t="str">
        <f>IFERROR(__xludf.DUMMYFUNCTION("""COMPUTED_VALUE"""),"27/01/2026")</f>
        <v>27/01/2026</v>
      </c>
      <c r="AZ1401" s="65"/>
      <c r="BA1401" s="65"/>
    </row>
    <row r="1402">
      <c r="A1402" s="65" t="str">
        <f>IFERROR(__xludf.DUMMYFUNCTION("""COMPUTED_VALUE"""),"27-03-2026")</f>
        <v>27-03-2026</v>
      </c>
      <c r="B1402" s="65">
        <f>IFERROR(__xludf.DUMMYFUNCTION("""COMPUTED_VALUE"""),4280620.0)</f>
        <v>4280620</v>
      </c>
      <c r="C1402" s="65" t="str">
        <f>IFERROR(__xludf.DUMMYFUNCTION("""COMPUTED_VALUE"""),"08:50")</f>
        <v>08:50</v>
      </c>
      <c r="D1402" s="65" t="str">
        <f>IFERROR(__xludf.DUMMYFUNCTION("""COMPUTED_VALUE"""),"26-01-2026")</f>
        <v>26-01-2026</v>
      </c>
      <c r="E1402" s="65" t="str">
        <f>IFERROR(__xludf.DUMMYFUNCTION("""COMPUTED_VALUE"""),"Roberto Cadena")</f>
        <v>Roberto Cadena</v>
      </c>
      <c r="F1402" s="65" t="str">
        <f>IFERROR(__xludf.DUMMYFUNCTION("""COMPUTED_VALUE"""),"982565305")</f>
        <v>982565305</v>
      </c>
      <c r="G1402" s="65" t="str">
        <f>IFERROR(__xludf.DUMMYFUNCTION("""COMPUTED_VALUE"""),"rccquito@hotmail.com")</f>
        <v>rccquito@hotmail.com</v>
      </c>
      <c r="H1402" s="65"/>
      <c r="I1402" s="65"/>
      <c r="J1402" s="65" t="str">
        <f>IFERROR(__xludf.DUMMYFUNCTION("""COMPUTED_VALUE"""),"D001266119")</f>
        <v>D001266119</v>
      </c>
      <c r="K1402" s="65" t="str">
        <f>IFERROR(__xludf.DUMMYFUNCTION("""COMPUTED_VALUE"""),"ENTREGADO")</f>
        <v>ENTREGADO</v>
      </c>
      <c r="L1402" s="65" t="str">
        <f>IFERROR(__xludf.DUMMYFUNCTION("""COMPUTED_VALUE"""),"CON RECAUDO")</f>
        <v>CON RECAUDO</v>
      </c>
      <c r="M1402" s="65" t="str">
        <f>IFERROR(__xludf.DUMMYFUNCTION("""COMPUTED_VALUE"""),"SANTO DOMINGO DE LOS TSACHILAS")</f>
        <v>SANTO DOMINGO DE LOS TSACHILAS</v>
      </c>
      <c r="N1402" s="65" t="str">
        <f>IFERROR(__xludf.DUMMYFUNCTION("""COMPUTED_VALUE"""),"SANTO DOMINGO")</f>
        <v>SANTO DOMINGO</v>
      </c>
      <c r="O1402" s="65" t="str">
        <f>IFERROR(__xludf.DUMMYFUNCTION("""COMPUTED_VALUE"""),"Sector Centro STD - Calle Rio Zamora y Calle Rio Upano - Ref. La Tribuna")</f>
        <v>Sector Centro STD - Calle Rio Zamora y Calle Rio Upano - Ref. La Tribuna</v>
      </c>
      <c r="P1402" s="65"/>
      <c r="Q1402" s="65" t="str">
        <f>IFERROR(__xludf.DUMMYFUNCTION("""COMPUTED_VALUE"""),"GINTRACOM")</f>
        <v>GINTRACOM</v>
      </c>
      <c r="R1402" s="65">
        <f>IFERROR(__xludf.DUMMYFUNCTION("""COMPUTED_VALUE"""),21.99)</f>
        <v>21.99</v>
      </c>
      <c r="S1402" s="65">
        <f>IFERROR(__xludf.DUMMYFUNCTION("""COMPUTED_VALUE"""),11.15)</f>
        <v>11.15</v>
      </c>
      <c r="T1402" s="65">
        <f>IFERROR(__xludf.DUMMYFUNCTION("""COMPUTED_VALUE"""),5.84)</f>
        <v>5.84</v>
      </c>
      <c r="U1402" s="65">
        <f>IFERROR(__xludf.DUMMYFUNCTION("""COMPUTED_VALUE"""),0.0)</f>
        <v>0</v>
      </c>
      <c r="V1402" s="65">
        <f>IFERROR(__xludf.DUMMYFUNCTION("""COMPUTED_VALUE"""),0.0)</f>
        <v>0</v>
      </c>
      <c r="W1402" s="65">
        <f>IFERROR(__xludf.DUMMYFUNCTION("""COMPUTED_VALUE"""),0.0)</f>
        <v>0</v>
      </c>
      <c r="X1402" s="65">
        <f>IFERROR(__xludf.DUMMYFUNCTION("""COMPUTED_VALUE"""),5.0)</f>
        <v>5</v>
      </c>
      <c r="Y1402" s="65">
        <f>IFERROR(__xludf.DUMMYFUNCTION("""COMPUTED_VALUE"""),5.0)</f>
        <v>5</v>
      </c>
      <c r="Z1402" s="65">
        <f>IFERROR(__xludf.DUMMYFUNCTION("""COMPUTED_VALUE"""),110064.0)</f>
        <v>110064</v>
      </c>
      <c r="AA1402" s="65" t="str">
        <f>IFERROR(__xludf.DUMMYFUNCTION("""COMPUTED_VALUE"""),"IMX-00001")</f>
        <v>IMX-00001</v>
      </c>
      <c r="AB1402" s="65"/>
      <c r="AC1402" s="65" t="str">
        <f>IFERROR(__xludf.DUMMYFUNCTION("""COMPUTED_VALUE"""),"LLAVE TRINQUETE")</f>
        <v>LLAVE TRINQUETE</v>
      </c>
      <c r="AD1402" s="65"/>
      <c r="AE1402" s="65">
        <f>IFERROR(__xludf.DUMMYFUNCTION("""COMPUTED_VALUE"""),1.0)</f>
        <v>1</v>
      </c>
      <c r="AF1402" s="65"/>
      <c r="AG1402" s="65"/>
      <c r="AH1402" s="65"/>
      <c r="AI1402" s="65"/>
      <c r="AJ1402" s="65"/>
      <c r="AK1402" s="65"/>
      <c r="AL1402" s="65"/>
      <c r="AM1402" s="65"/>
      <c r="AN1402" s="65"/>
      <c r="AO1402" s="65"/>
      <c r="AP1402" s="65"/>
      <c r="AQ1402" s="65"/>
      <c r="AR1402" s="65"/>
      <c r="AS1402" s="65"/>
      <c r="AT1402" s="65" t="str">
        <f>IFERROR(__xludf.DUMMYFUNCTION("""COMPUTED_VALUE"""),"SHOPIFY")</f>
        <v>SHOPIFY</v>
      </c>
      <c r="AU1402" s="65" t="str">
        <f>IFERROR(__xludf.DUMMYFUNCTION("""COMPUTED_VALUE"""),"IMPORTEX EC")</f>
        <v>IMPORTEX EC</v>
      </c>
      <c r="AV1402" s="65" t="str">
        <f>IFERROR(__xludf.DUMMYFUNCTION("""COMPUTED_VALUE"""),"6447094988844")</f>
        <v>6447094988844</v>
      </c>
      <c r="AW1402" s="65">
        <f>IFERROR(__xludf.DUMMYFUNCTION("""COMPUTED_VALUE"""),5518.0)</f>
        <v>5518</v>
      </c>
      <c r="AX1402" s="65"/>
      <c r="AY1402" s="65" t="str">
        <f>IFERROR(__xludf.DUMMYFUNCTION("""COMPUTED_VALUE"""),"27/01/2026")</f>
        <v>27/01/2026</v>
      </c>
      <c r="AZ1402" s="65"/>
      <c r="BA1402" s="65"/>
    </row>
    <row r="1403">
      <c r="A1403" s="65" t="str">
        <f>IFERROR(__xludf.DUMMYFUNCTION("""COMPUTED_VALUE"""),"27-03-2026")</f>
        <v>27-03-2026</v>
      </c>
      <c r="B1403" s="65">
        <f>IFERROR(__xludf.DUMMYFUNCTION("""COMPUTED_VALUE"""),4280071.0)</f>
        <v>4280071</v>
      </c>
      <c r="C1403" s="65" t="str">
        <f>IFERROR(__xludf.DUMMYFUNCTION("""COMPUTED_VALUE"""),"08:10")</f>
        <v>08:10</v>
      </c>
      <c r="D1403" s="65" t="str">
        <f>IFERROR(__xludf.DUMMYFUNCTION("""COMPUTED_VALUE"""),"26-01-2026")</f>
        <v>26-01-2026</v>
      </c>
      <c r="E1403" s="65" t="str">
        <f>IFERROR(__xludf.DUMMYFUNCTION("""COMPUTED_VALUE"""),"Víctor Aymara")</f>
        <v>Víctor Aymara</v>
      </c>
      <c r="F1403" s="65" t="str">
        <f>IFERROR(__xludf.DUMMYFUNCTION("""COMPUTED_VALUE"""),"982632462")</f>
        <v>982632462</v>
      </c>
      <c r="G1403" s="65" t="str">
        <f>IFERROR(__xludf.DUMMYFUNCTION("""COMPUTED_VALUE"""),"hugos20aymara@gmail.com")</f>
        <v>hugos20aymara@gmail.com</v>
      </c>
      <c r="H1403" s="65"/>
      <c r="I1403" s="65"/>
      <c r="J1403" s="65" t="str">
        <f>IFERROR(__xludf.DUMMYFUNCTION("""COMPUTED_VALUE"""),"186535569")</f>
        <v>186535569</v>
      </c>
      <c r="K1403" s="65" t="str">
        <f>IFERROR(__xludf.DUMMYFUNCTION("""COMPUTED_VALUE"""),"ENTREGADO")</f>
        <v>ENTREGADO</v>
      </c>
      <c r="L1403" s="65" t="str">
        <f>IFERROR(__xludf.DUMMYFUNCTION("""COMPUTED_VALUE"""),"CON RECAUDO")</f>
        <v>CON RECAUDO</v>
      </c>
      <c r="M1403" s="65" t="str">
        <f>IFERROR(__xludf.DUMMYFUNCTION("""COMPUTED_VALUE"""),"PICHINCHA")</f>
        <v>PICHINCHA</v>
      </c>
      <c r="N1403" s="65" t="str">
        <f>IFERROR(__xludf.DUMMYFUNCTION("""COMPUTED_VALUE"""),"MEJIA")</f>
        <v>MEJIA</v>
      </c>
      <c r="O1403" s="65" t="str">
        <f>IFERROR(__xludf.DUMMYFUNCTION("""COMPUTED_VALUE"""),"Antonio Benítez y Gran Colombia -")</f>
        <v>Antonio Benítez y Gran Colombia -</v>
      </c>
      <c r="P1403" s="65"/>
      <c r="Q1403" s="65" t="str">
        <f>IFERROR(__xludf.DUMMYFUNCTION("""COMPUTED_VALUE"""),"SERVIENTREGA")</f>
        <v>SERVIENTREGA</v>
      </c>
      <c r="R1403" s="65">
        <f>IFERROR(__xludf.DUMMYFUNCTION("""COMPUTED_VALUE"""),21.99)</f>
        <v>21.99</v>
      </c>
      <c r="S1403" s="65">
        <f>IFERROR(__xludf.DUMMYFUNCTION("""COMPUTED_VALUE"""),9.29)</f>
        <v>9.29</v>
      </c>
      <c r="T1403" s="65">
        <f>IFERROR(__xludf.DUMMYFUNCTION("""COMPUTED_VALUE"""),7.7)</f>
        <v>7.7</v>
      </c>
      <c r="U1403" s="65">
        <f>IFERROR(__xludf.DUMMYFUNCTION("""COMPUTED_VALUE"""),0.0)</f>
        <v>0</v>
      </c>
      <c r="V1403" s="65">
        <f>IFERROR(__xludf.DUMMYFUNCTION("""COMPUTED_VALUE"""),0.0)</f>
        <v>0</v>
      </c>
      <c r="W1403" s="65">
        <f>IFERROR(__xludf.DUMMYFUNCTION("""COMPUTED_VALUE"""),0.0)</f>
        <v>0</v>
      </c>
      <c r="X1403" s="65">
        <f>IFERROR(__xludf.DUMMYFUNCTION("""COMPUTED_VALUE"""),5.0)</f>
        <v>5</v>
      </c>
      <c r="Y1403" s="65">
        <f>IFERROR(__xludf.DUMMYFUNCTION("""COMPUTED_VALUE"""),5.0)</f>
        <v>5</v>
      </c>
      <c r="Z1403" s="65">
        <f>IFERROR(__xludf.DUMMYFUNCTION("""COMPUTED_VALUE"""),110064.0)</f>
        <v>110064</v>
      </c>
      <c r="AA1403" s="65" t="str">
        <f>IFERROR(__xludf.DUMMYFUNCTION("""COMPUTED_VALUE"""),"IMX-00001")</f>
        <v>IMX-00001</v>
      </c>
      <c r="AB1403" s="65"/>
      <c r="AC1403" s="65" t="str">
        <f>IFERROR(__xludf.DUMMYFUNCTION("""COMPUTED_VALUE"""),"LLAVE TRINQUETE")</f>
        <v>LLAVE TRINQUETE</v>
      </c>
      <c r="AD1403" s="65"/>
      <c r="AE1403" s="65">
        <f>IFERROR(__xludf.DUMMYFUNCTION("""COMPUTED_VALUE"""),1.0)</f>
        <v>1</v>
      </c>
      <c r="AF1403" s="65"/>
      <c r="AG1403" s="65"/>
      <c r="AH1403" s="65"/>
      <c r="AI1403" s="65"/>
      <c r="AJ1403" s="65"/>
      <c r="AK1403" s="65"/>
      <c r="AL1403" s="65"/>
      <c r="AM1403" s="65"/>
      <c r="AN1403" s="65" t="str">
        <f>IFERROR(__xludf.DUMMYFUNCTION("""COMPUTED_VALUE"""),"16:52")</f>
        <v>16:52</v>
      </c>
      <c r="AO1403" s="65" t="str">
        <f>IFERROR(__xludf.DUMMYFUNCTION("""COMPUTED_VALUE"""),"13-02-2026")</f>
        <v>13-02-2026</v>
      </c>
      <c r="AP1403" s="65" t="str">
        <f>IFERROR(__xludf.DUMMYFUNCTION("""COMPUTED_VALUE"""),"ENTREGA DIGITALIZADA EN CENTRO LOGISTICO")</f>
        <v>ENTREGA DIGITALIZADA EN CENTRO LOGISTICO</v>
      </c>
      <c r="AQ1403" s="65" t="str">
        <f>IFERROR(__xludf.DUMMYFUNCTION("""COMPUTED_VALUE"""),"VICTOR AYMARA")</f>
        <v>VICTOR AYMARA</v>
      </c>
      <c r="AR1403" s="65"/>
      <c r="AS1403" s="65"/>
      <c r="AT1403" s="65" t="str">
        <f>IFERROR(__xludf.DUMMYFUNCTION("""COMPUTED_VALUE"""),"SHOPIFY")</f>
        <v>SHOPIFY</v>
      </c>
      <c r="AU1403" s="65" t="str">
        <f>IFERROR(__xludf.DUMMYFUNCTION("""COMPUTED_VALUE"""),"IMPORTEX EC")</f>
        <v>IMPORTEX EC</v>
      </c>
      <c r="AV1403" s="65" t="str">
        <f>IFERROR(__xludf.DUMMYFUNCTION("""COMPUTED_VALUE"""),"6448716677164")</f>
        <v>6448716677164</v>
      </c>
      <c r="AW1403" s="65">
        <f>IFERROR(__xludf.DUMMYFUNCTION("""COMPUTED_VALUE"""),5542.0)</f>
        <v>5542</v>
      </c>
      <c r="AX1403" s="65"/>
      <c r="AY1403" s="65" t="str">
        <f>IFERROR(__xludf.DUMMYFUNCTION("""COMPUTED_VALUE"""),"27/01/2026")</f>
        <v>27/01/2026</v>
      </c>
      <c r="AZ1403" s="65"/>
      <c r="BA1403" s="65"/>
    </row>
    <row r="1404">
      <c r="A1404" s="65" t="str">
        <f>IFERROR(__xludf.DUMMYFUNCTION("""COMPUTED_VALUE"""),"27-03-2026")</f>
        <v>27-03-2026</v>
      </c>
      <c r="B1404" s="65">
        <f>IFERROR(__xludf.DUMMYFUNCTION("""COMPUTED_VALUE"""),4279668.0)</f>
        <v>4279668</v>
      </c>
      <c r="C1404" s="65" t="str">
        <f>IFERROR(__xludf.DUMMYFUNCTION("""COMPUTED_VALUE"""),"07:32")</f>
        <v>07:32</v>
      </c>
      <c r="D1404" s="65" t="str">
        <f>IFERROR(__xludf.DUMMYFUNCTION("""COMPUTED_VALUE"""),"26-01-2026")</f>
        <v>26-01-2026</v>
      </c>
      <c r="E1404" s="65" t="str">
        <f>IFERROR(__xludf.DUMMYFUNCTION("""COMPUTED_VALUE"""),"Sebastián Morales")</f>
        <v>Sebastián Morales</v>
      </c>
      <c r="F1404" s="65" t="str">
        <f>IFERROR(__xludf.DUMMYFUNCTION("""COMPUTED_VALUE"""),"995979544")</f>
        <v>995979544</v>
      </c>
      <c r="G1404" s="65"/>
      <c r="H1404" s="65"/>
      <c r="I1404" s="65"/>
      <c r="J1404" s="65"/>
      <c r="K1404" s="65" t="str">
        <f>IFERROR(__xludf.DUMMYFUNCTION("""COMPUTED_VALUE"""),"CANCELADO")</f>
        <v>CANCELADO</v>
      </c>
      <c r="L1404" s="65" t="str">
        <f>IFERROR(__xludf.DUMMYFUNCTION("""COMPUTED_VALUE"""),"CON RECAUDO")</f>
        <v>CON RECAUDO</v>
      </c>
      <c r="M1404" s="65" t="str">
        <f>IFERROR(__xludf.DUMMYFUNCTION("""COMPUTED_VALUE"""),"PICHINCHA")</f>
        <v>PICHINCHA</v>
      </c>
      <c r="N1404" s="65" t="str">
        <f>IFERROR(__xludf.DUMMYFUNCTION("""COMPUTED_VALUE"""),"TUMBACO")</f>
        <v>TUMBACO</v>
      </c>
      <c r="O1404" s="65" t="str">
        <f>IFERROR(__xludf.DUMMYFUNCTION("""COMPUTED_VALUE"""),"San José de collaqui Mas arriba de la iglesia de collaqui -")</f>
        <v>San José de collaqui Mas arriba de la iglesia de collaqui -</v>
      </c>
      <c r="P1404" s="65"/>
      <c r="Q1404" s="65" t="str">
        <f>IFERROR(__xludf.DUMMYFUNCTION("""COMPUTED_VALUE"""),"GINTRACOM")</f>
        <v>GINTRACOM</v>
      </c>
      <c r="R1404" s="65">
        <f>IFERROR(__xludf.DUMMYFUNCTION("""COMPUTED_VALUE"""),30.0)</f>
        <v>30</v>
      </c>
      <c r="S1404" s="65"/>
      <c r="T1404" s="65">
        <f>IFERROR(__xludf.DUMMYFUNCTION("""COMPUTED_VALUE"""),5.12)</f>
        <v>5.12</v>
      </c>
      <c r="U1404" s="65">
        <f>IFERROR(__xludf.DUMMYFUNCTION("""COMPUTED_VALUE"""),0.0)</f>
        <v>0</v>
      </c>
      <c r="V1404" s="65">
        <f>IFERROR(__xludf.DUMMYFUNCTION("""COMPUTED_VALUE"""),0.0)</f>
        <v>0</v>
      </c>
      <c r="W1404" s="65">
        <f>IFERROR(__xludf.DUMMYFUNCTION("""COMPUTED_VALUE"""),0.0)</f>
        <v>0</v>
      </c>
      <c r="X1404" s="65">
        <f>IFERROR(__xludf.DUMMYFUNCTION("""COMPUTED_VALUE"""),2.35)</f>
        <v>2.35</v>
      </c>
      <c r="Y1404" s="65">
        <f>IFERROR(__xludf.DUMMYFUNCTION("""COMPUTED_VALUE"""),7.05)</f>
        <v>7.05</v>
      </c>
      <c r="Z1404" s="65">
        <f>IFERROR(__xludf.DUMMYFUNCTION("""COMPUTED_VALUE"""),116679.0)</f>
        <v>116679</v>
      </c>
      <c r="AA1404" s="65" t="str">
        <f>IFERROR(__xludf.DUMMYFUNCTION("""COMPUTED_VALUE"""),"AMC-2738")</f>
        <v>AMC-2738</v>
      </c>
      <c r="AB1404" s="65"/>
      <c r="AC1404" s="65" t="str">
        <f>IFERROR(__xludf.DUMMYFUNCTION("""COMPUTED_VALUE"""),"ESPONJA ANTILLUVIA DE PARABRISAS")</f>
        <v>ESPONJA ANTILLUVIA DE PARABRISAS</v>
      </c>
      <c r="AD1404" s="65"/>
      <c r="AE1404" s="65">
        <f>IFERROR(__xludf.DUMMYFUNCTION("""COMPUTED_VALUE"""),3.0)</f>
        <v>3</v>
      </c>
      <c r="AF1404" s="65"/>
      <c r="AG1404" s="65"/>
      <c r="AH1404" s="65"/>
      <c r="AI1404" s="65"/>
      <c r="AJ1404" s="65"/>
      <c r="AK1404" s="65"/>
      <c r="AL1404" s="65"/>
      <c r="AM1404" s="65"/>
      <c r="AN1404" s="65"/>
      <c r="AO1404" s="65"/>
      <c r="AP1404" s="65"/>
      <c r="AQ1404" s="65"/>
      <c r="AR1404" s="65"/>
      <c r="AS1404" s="65"/>
      <c r="AT1404" s="65" t="str">
        <f>IFERROR(__xludf.DUMMYFUNCTION("""COMPUTED_VALUE"""),"SHOPIFY")</f>
        <v>SHOPIFY</v>
      </c>
      <c r="AU1404" s="65" t="str">
        <f>IFERROR(__xludf.DUMMYFUNCTION("""COMPUTED_VALUE"""),"IMPORTEX EC")</f>
        <v>IMPORTEX EC</v>
      </c>
      <c r="AV1404" s="65" t="str">
        <f>IFERROR(__xludf.DUMMYFUNCTION("""COMPUTED_VALUE"""),"6448668508204")</f>
        <v>6448668508204</v>
      </c>
      <c r="AW1404" s="65">
        <f>IFERROR(__xludf.DUMMYFUNCTION("""COMPUTED_VALUE"""),5541.0)</f>
        <v>5541</v>
      </c>
      <c r="AX1404" s="65"/>
      <c r="AY1404" s="65"/>
      <c r="AZ1404" s="65"/>
      <c r="BA1404" s="65"/>
    </row>
    <row r="1405">
      <c r="A1405" s="65" t="str">
        <f>IFERROR(__xludf.DUMMYFUNCTION("""COMPUTED_VALUE"""),"27-03-2026")</f>
        <v>27-03-2026</v>
      </c>
      <c r="B1405" s="65">
        <f>IFERROR(__xludf.DUMMYFUNCTION("""COMPUTED_VALUE"""),4279440.0)</f>
        <v>4279440</v>
      </c>
      <c r="C1405" s="65" t="str">
        <f>IFERROR(__xludf.DUMMYFUNCTION("""COMPUTED_VALUE"""),"07:10")</f>
        <v>07:10</v>
      </c>
      <c r="D1405" s="65" t="str">
        <f>IFERROR(__xludf.DUMMYFUNCTION("""COMPUTED_VALUE"""),"26-01-2026")</f>
        <v>26-01-2026</v>
      </c>
      <c r="E1405" s="65" t="str">
        <f>IFERROR(__xludf.DUMMYFUNCTION("""COMPUTED_VALUE"""),"Fernando Jarrin")</f>
        <v>Fernando Jarrin</v>
      </c>
      <c r="F1405" s="65" t="str">
        <f>IFERROR(__xludf.DUMMYFUNCTION("""COMPUTED_VALUE"""),"987000336")</f>
        <v>987000336</v>
      </c>
      <c r="G1405" s="65" t="str">
        <f>IFERROR(__xludf.DUMMYFUNCTION("""COMPUTED_VALUE"""),"fjarrin@gmail.com")</f>
        <v>fjarrin@gmail.com</v>
      </c>
      <c r="H1405" s="65"/>
      <c r="I1405" s="65"/>
      <c r="J1405" s="65"/>
      <c r="K1405" s="65" t="str">
        <f>IFERROR(__xludf.DUMMYFUNCTION("""COMPUTED_VALUE"""),"CANCELADO")</f>
        <v>CANCELADO</v>
      </c>
      <c r="L1405" s="65" t="str">
        <f>IFERROR(__xludf.DUMMYFUNCTION("""COMPUTED_VALUE"""),"CON RECAUDO")</f>
        <v>CON RECAUDO</v>
      </c>
      <c r="M1405" s="65" t="str">
        <f>IFERROR(__xludf.DUMMYFUNCTION("""COMPUTED_VALUE"""),"PICHINCHA")</f>
        <v>PICHINCHA</v>
      </c>
      <c r="N1405" s="65" t="str">
        <f>IFERROR(__xludf.DUMMYFUNCTION("""COMPUTED_VALUE"""),"QUITO")</f>
        <v>QUITO</v>
      </c>
      <c r="O1405" s="65" t="str">
        <f>IFERROR(__xludf.DUMMYFUNCTION("""COMPUTED_VALUE"""),"Ciudadela Pinar bajo Calle Miguel Burbano N48- 283 y Manuel Chaleco cerca del colegio ecuatoriano suizo Ciudadela Pinar bajo Calle Miguel Burbano N48- 283 y Manuel Chaleco cerca del colegio ecuatoriano suizo -")</f>
        <v>Ciudadela Pinar bajo Calle Miguel Burbano N48- 283 y Manuel Chaleco cerca del colegio ecuatoriano suizo Ciudadela Pinar bajo Calle Miguel Burbano N48- 283 y Manuel Chaleco cerca del colegio ecuatoriano suizo -</v>
      </c>
      <c r="P1405" s="65"/>
      <c r="Q1405" s="65" t="str">
        <f>IFERROR(__xludf.DUMMYFUNCTION("""COMPUTED_VALUE"""),"GINTRACOM")</f>
        <v>GINTRACOM</v>
      </c>
      <c r="R1405" s="65">
        <f>IFERROR(__xludf.DUMMYFUNCTION("""COMPUTED_VALUE"""),21.99)</f>
        <v>21.99</v>
      </c>
      <c r="S1405" s="65"/>
      <c r="T1405" s="65">
        <f>IFERROR(__xludf.DUMMYFUNCTION("""COMPUTED_VALUE"""),4.23)</f>
        <v>4.23</v>
      </c>
      <c r="U1405" s="65">
        <f>IFERROR(__xludf.DUMMYFUNCTION("""COMPUTED_VALUE"""),0.0)</f>
        <v>0</v>
      </c>
      <c r="V1405" s="65">
        <f>IFERROR(__xludf.DUMMYFUNCTION("""COMPUTED_VALUE"""),0.0)</f>
        <v>0</v>
      </c>
      <c r="W1405" s="65">
        <f>IFERROR(__xludf.DUMMYFUNCTION("""COMPUTED_VALUE"""),0.0)</f>
        <v>0</v>
      </c>
      <c r="X1405" s="65">
        <f>IFERROR(__xludf.DUMMYFUNCTION("""COMPUTED_VALUE"""),5.0)</f>
        <v>5</v>
      </c>
      <c r="Y1405" s="65">
        <f>IFERROR(__xludf.DUMMYFUNCTION("""COMPUTED_VALUE"""),5.0)</f>
        <v>5</v>
      </c>
      <c r="Z1405" s="65">
        <f>IFERROR(__xludf.DUMMYFUNCTION("""COMPUTED_VALUE"""),110064.0)</f>
        <v>110064</v>
      </c>
      <c r="AA1405" s="65" t="str">
        <f>IFERROR(__xludf.DUMMYFUNCTION("""COMPUTED_VALUE"""),"IMX-00001")</f>
        <v>IMX-00001</v>
      </c>
      <c r="AB1405" s="65"/>
      <c r="AC1405" s="65" t="str">
        <f>IFERROR(__xludf.DUMMYFUNCTION("""COMPUTED_VALUE"""),"LLAVE TRINQUETE")</f>
        <v>LLAVE TRINQUETE</v>
      </c>
      <c r="AD1405" s="65"/>
      <c r="AE1405" s="65">
        <f>IFERROR(__xludf.DUMMYFUNCTION("""COMPUTED_VALUE"""),1.0)</f>
        <v>1</v>
      </c>
      <c r="AF1405" s="65"/>
      <c r="AG1405" s="65"/>
      <c r="AH1405" s="65"/>
      <c r="AI1405" s="65"/>
      <c r="AJ1405" s="65"/>
      <c r="AK1405" s="65"/>
      <c r="AL1405" s="65"/>
      <c r="AM1405" s="65"/>
      <c r="AN1405" s="65"/>
      <c r="AO1405" s="65"/>
      <c r="AP1405" s="65"/>
      <c r="AQ1405" s="65"/>
      <c r="AR1405" s="65"/>
      <c r="AS1405" s="65"/>
      <c r="AT1405" s="65" t="str">
        <f>IFERROR(__xludf.DUMMYFUNCTION("""COMPUTED_VALUE"""),"SHOPIFY")</f>
        <v>SHOPIFY</v>
      </c>
      <c r="AU1405" s="65" t="str">
        <f>IFERROR(__xludf.DUMMYFUNCTION("""COMPUTED_VALUE"""),"IMPORTEX EC")</f>
        <v>IMPORTEX EC</v>
      </c>
      <c r="AV1405" s="65" t="str">
        <f>IFERROR(__xludf.DUMMYFUNCTION("""COMPUTED_VALUE"""),"6448650321964")</f>
        <v>6448650321964</v>
      </c>
      <c r="AW1405" s="65">
        <f>IFERROR(__xludf.DUMMYFUNCTION("""COMPUTED_VALUE"""),5540.0)</f>
        <v>5540</v>
      </c>
      <c r="AX1405" s="65"/>
      <c r="AY1405" s="65"/>
      <c r="AZ1405" s="65"/>
      <c r="BA1405" s="65"/>
    </row>
    <row r="1406">
      <c r="A1406" s="65" t="str">
        <f>IFERROR(__xludf.DUMMYFUNCTION("""COMPUTED_VALUE"""),"27-03-2026")</f>
        <v>27-03-2026</v>
      </c>
      <c r="B1406" s="65">
        <f>IFERROR(__xludf.DUMMYFUNCTION("""COMPUTED_VALUE"""),4279424.0)</f>
        <v>4279424</v>
      </c>
      <c r="C1406" s="65" t="str">
        <f>IFERROR(__xludf.DUMMYFUNCTION("""COMPUTED_VALUE"""),"07:08")</f>
        <v>07:08</v>
      </c>
      <c r="D1406" s="65" t="str">
        <f>IFERROR(__xludf.DUMMYFUNCTION("""COMPUTED_VALUE"""),"26-01-2026")</f>
        <v>26-01-2026</v>
      </c>
      <c r="E1406" s="65" t="str">
        <f>IFERROR(__xludf.DUMMYFUNCTION("""COMPUTED_VALUE"""),"Ruth Ivanna Abril López")</f>
        <v>Ruth Ivanna Abril López</v>
      </c>
      <c r="F1406" s="65" t="str">
        <f>IFERROR(__xludf.DUMMYFUNCTION("""COMPUTED_VALUE"""),"983539049")</f>
        <v>983539049</v>
      </c>
      <c r="G1406" s="65" t="str">
        <f>IFERROR(__xludf.DUMMYFUNCTION("""COMPUTED_VALUE"""),"ruthabril13@gmail.com")</f>
        <v>ruthabril13@gmail.com</v>
      </c>
      <c r="H1406" s="65"/>
      <c r="I1406" s="65"/>
      <c r="J1406" s="65"/>
      <c r="K1406" s="65" t="str">
        <f>IFERROR(__xludf.DUMMYFUNCTION("""COMPUTED_VALUE"""),"CANCELADO")</f>
        <v>CANCELADO</v>
      </c>
      <c r="L1406" s="65" t="str">
        <f>IFERROR(__xludf.DUMMYFUNCTION("""COMPUTED_VALUE"""),"CON RECAUDO")</f>
        <v>CON RECAUDO</v>
      </c>
      <c r="M1406" s="65" t="str">
        <f>IFERROR(__xludf.DUMMYFUNCTION("""COMPUTED_VALUE"""),"GUAYAS")</f>
        <v>GUAYAS</v>
      </c>
      <c r="N1406" s="65" t="str">
        <f>IFERROR(__xludf.DUMMYFUNCTION("""COMPUTED_VALUE"""),"MILAGRO")</f>
        <v>MILAGRO</v>
      </c>
      <c r="O1406" s="65" t="str">
        <f>IFERROR(__xludf.DUMMYFUNCTION("""COMPUTED_VALUE"""),"Urbanización  milagro Vía naranjito -")</f>
        <v>Urbanización  milagro Vía naranjito -</v>
      </c>
      <c r="P1406" s="65"/>
      <c r="Q1406" s="65" t="str">
        <f>IFERROR(__xludf.DUMMYFUNCTION("""COMPUTED_VALUE"""),"GINTRACOM")</f>
        <v>GINTRACOM</v>
      </c>
      <c r="R1406" s="65">
        <f>IFERROR(__xludf.DUMMYFUNCTION("""COMPUTED_VALUE"""),20.0)</f>
        <v>20</v>
      </c>
      <c r="S1406" s="65"/>
      <c r="T1406" s="65">
        <f>IFERROR(__xludf.DUMMYFUNCTION("""COMPUTED_VALUE"""),5.76)</f>
        <v>5.76</v>
      </c>
      <c r="U1406" s="65">
        <f>IFERROR(__xludf.DUMMYFUNCTION("""COMPUTED_VALUE"""),0.0)</f>
        <v>0</v>
      </c>
      <c r="V1406" s="65">
        <f>IFERROR(__xludf.DUMMYFUNCTION("""COMPUTED_VALUE"""),0.0)</f>
        <v>0</v>
      </c>
      <c r="W1406" s="65">
        <f>IFERROR(__xludf.DUMMYFUNCTION("""COMPUTED_VALUE"""),0.0)</f>
        <v>0</v>
      </c>
      <c r="X1406" s="65">
        <f>IFERROR(__xludf.DUMMYFUNCTION("""COMPUTED_VALUE"""),2.35)</f>
        <v>2.35</v>
      </c>
      <c r="Y1406" s="65">
        <f>IFERROR(__xludf.DUMMYFUNCTION("""COMPUTED_VALUE"""),2.35)</f>
        <v>2.35</v>
      </c>
      <c r="Z1406" s="65">
        <f>IFERROR(__xludf.DUMMYFUNCTION("""COMPUTED_VALUE"""),116679.0)</f>
        <v>116679</v>
      </c>
      <c r="AA1406" s="65" t="str">
        <f>IFERROR(__xludf.DUMMYFUNCTION("""COMPUTED_VALUE"""),"AMC-2738")</f>
        <v>AMC-2738</v>
      </c>
      <c r="AB1406" s="65"/>
      <c r="AC1406" s="65" t="str">
        <f>IFERROR(__xludf.DUMMYFUNCTION("""COMPUTED_VALUE"""),"ESPONJA ANTILLUVIA DE PARABRISAS")</f>
        <v>ESPONJA ANTILLUVIA DE PARABRISAS</v>
      </c>
      <c r="AD1406" s="65"/>
      <c r="AE1406" s="65">
        <f>IFERROR(__xludf.DUMMYFUNCTION("""COMPUTED_VALUE"""),1.0)</f>
        <v>1</v>
      </c>
      <c r="AF1406" s="65"/>
      <c r="AG1406" s="65"/>
      <c r="AH1406" s="65"/>
      <c r="AI1406" s="65"/>
      <c r="AJ1406" s="65"/>
      <c r="AK1406" s="65"/>
      <c r="AL1406" s="65"/>
      <c r="AM1406" s="65"/>
      <c r="AN1406" s="65"/>
      <c r="AO1406" s="65"/>
      <c r="AP1406" s="65"/>
      <c r="AQ1406" s="65"/>
      <c r="AR1406" s="65"/>
      <c r="AS1406" s="65"/>
      <c r="AT1406" s="65" t="str">
        <f>IFERROR(__xludf.DUMMYFUNCTION("""COMPUTED_VALUE"""),"SHOPIFY")</f>
        <v>SHOPIFY</v>
      </c>
      <c r="AU1406" s="65" t="str">
        <f>IFERROR(__xludf.DUMMYFUNCTION("""COMPUTED_VALUE"""),"IMPORTEX EC")</f>
        <v>IMPORTEX EC</v>
      </c>
      <c r="AV1406" s="65" t="str">
        <f>IFERROR(__xludf.DUMMYFUNCTION("""COMPUTED_VALUE"""),"6448648323116")</f>
        <v>6448648323116</v>
      </c>
      <c r="AW1406" s="65">
        <f>IFERROR(__xludf.DUMMYFUNCTION("""COMPUTED_VALUE"""),5539.0)</f>
        <v>5539</v>
      </c>
      <c r="AX1406" s="65"/>
      <c r="AY1406" s="65"/>
      <c r="AZ1406" s="65"/>
      <c r="BA1406" s="65"/>
    </row>
    <row r="1407">
      <c r="A1407" s="65" t="str">
        <f>IFERROR(__xludf.DUMMYFUNCTION("""COMPUTED_VALUE"""),"27-03-2026")</f>
        <v>27-03-2026</v>
      </c>
      <c r="B1407" s="65">
        <f>IFERROR(__xludf.DUMMYFUNCTION("""COMPUTED_VALUE"""),4279241.0)</f>
        <v>4279241</v>
      </c>
      <c r="C1407" s="65" t="str">
        <f>IFERROR(__xludf.DUMMYFUNCTION("""COMPUTED_VALUE"""),"06:33")</f>
        <v>06:33</v>
      </c>
      <c r="D1407" s="65" t="str">
        <f>IFERROR(__xludf.DUMMYFUNCTION("""COMPUTED_VALUE"""),"26-01-2026")</f>
        <v>26-01-2026</v>
      </c>
      <c r="E1407" s="65" t="str">
        <f>IFERROR(__xludf.DUMMYFUNCTION("""COMPUTED_VALUE"""),"Gabriela Estefanía Robalino Morales")</f>
        <v>Gabriela Estefanía Robalino Morales</v>
      </c>
      <c r="F1407" s="65" t="str">
        <f>IFERROR(__xludf.DUMMYFUNCTION("""COMPUTED_VALUE"""),"995398875")</f>
        <v>995398875</v>
      </c>
      <c r="G1407" s="65" t="str">
        <f>IFERROR(__xludf.DUMMYFUNCTION("""COMPUTED_VALUE"""),"gaby_estefa72@hotmail.com")</f>
        <v>gaby_estefa72@hotmail.com</v>
      </c>
      <c r="H1407" s="65"/>
      <c r="I1407" s="65"/>
      <c r="J1407" s="65"/>
      <c r="K1407" s="65" t="str">
        <f>IFERROR(__xludf.DUMMYFUNCTION("""COMPUTED_VALUE"""),"CANCELADO")</f>
        <v>CANCELADO</v>
      </c>
      <c r="L1407" s="65" t="str">
        <f>IFERROR(__xludf.DUMMYFUNCTION("""COMPUTED_VALUE"""),"CON RECAUDO")</f>
        <v>CON RECAUDO</v>
      </c>
      <c r="M1407" s="65" t="str">
        <f>IFERROR(__xludf.DUMMYFUNCTION("""COMPUTED_VALUE"""),"TUNGURAHUA")</f>
        <v>TUNGURAHUA</v>
      </c>
      <c r="N1407" s="65" t="str">
        <f>IFERROR(__xludf.DUMMYFUNCTION("""COMPUTED_VALUE"""),"AMBATO")</f>
        <v>AMBATO</v>
      </c>
      <c r="O1407" s="65" t="str">
        <f>IFERROR(__xludf.DUMMYFUNCTION("""COMPUTED_VALUE"""),"Ambato, calle lalama y rocafuerte sector medalla milagrosa Instituto Tecnológico España -")</f>
        <v>Ambato, calle lalama y rocafuerte sector medalla milagrosa Instituto Tecnológico España -</v>
      </c>
      <c r="P1407" s="65"/>
      <c r="Q1407" s="65" t="str">
        <f>IFERROR(__xludf.DUMMYFUNCTION("""COMPUTED_VALUE"""),"GINTRACOM")</f>
        <v>GINTRACOM</v>
      </c>
      <c r="R1407" s="65">
        <f>IFERROR(__xludf.DUMMYFUNCTION("""COMPUTED_VALUE"""),30.0)</f>
        <v>30</v>
      </c>
      <c r="S1407" s="65"/>
      <c r="T1407" s="65">
        <f>IFERROR(__xludf.DUMMYFUNCTION("""COMPUTED_VALUE"""),6.16)</f>
        <v>6.16</v>
      </c>
      <c r="U1407" s="65">
        <f>IFERROR(__xludf.DUMMYFUNCTION("""COMPUTED_VALUE"""),0.0)</f>
        <v>0</v>
      </c>
      <c r="V1407" s="65">
        <f>IFERROR(__xludf.DUMMYFUNCTION("""COMPUTED_VALUE"""),0.0)</f>
        <v>0</v>
      </c>
      <c r="W1407" s="65">
        <f>IFERROR(__xludf.DUMMYFUNCTION("""COMPUTED_VALUE"""),0.0)</f>
        <v>0</v>
      </c>
      <c r="X1407" s="65">
        <f>IFERROR(__xludf.DUMMYFUNCTION("""COMPUTED_VALUE"""),2.35)</f>
        <v>2.35</v>
      </c>
      <c r="Y1407" s="65">
        <f>IFERROR(__xludf.DUMMYFUNCTION("""COMPUTED_VALUE"""),7.05)</f>
        <v>7.05</v>
      </c>
      <c r="Z1407" s="65">
        <f>IFERROR(__xludf.DUMMYFUNCTION("""COMPUTED_VALUE"""),116679.0)</f>
        <v>116679</v>
      </c>
      <c r="AA1407" s="65" t="str">
        <f>IFERROR(__xludf.DUMMYFUNCTION("""COMPUTED_VALUE"""),"AMC-2738")</f>
        <v>AMC-2738</v>
      </c>
      <c r="AB1407" s="65"/>
      <c r="AC1407" s="65" t="str">
        <f>IFERROR(__xludf.DUMMYFUNCTION("""COMPUTED_VALUE"""),"ESPONJA ANTILLUVIA DE PARABRISAS")</f>
        <v>ESPONJA ANTILLUVIA DE PARABRISAS</v>
      </c>
      <c r="AD1407" s="65"/>
      <c r="AE1407" s="65">
        <f>IFERROR(__xludf.DUMMYFUNCTION("""COMPUTED_VALUE"""),3.0)</f>
        <v>3</v>
      </c>
      <c r="AF1407" s="65"/>
      <c r="AG1407" s="65"/>
      <c r="AH1407" s="65"/>
      <c r="AI1407" s="65"/>
      <c r="AJ1407" s="65"/>
      <c r="AK1407" s="65"/>
      <c r="AL1407" s="65"/>
      <c r="AM1407" s="65"/>
      <c r="AN1407" s="65"/>
      <c r="AO1407" s="65"/>
      <c r="AP1407" s="65"/>
      <c r="AQ1407" s="65"/>
      <c r="AR1407" s="65"/>
      <c r="AS1407" s="65"/>
      <c r="AT1407" s="65" t="str">
        <f>IFERROR(__xludf.DUMMYFUNCTION("""COMPUTED_VALUE"""),"SHOPIFY")</f>
        <v>SHOPIFY</v>
      </c>
      <c r="AU1407" s="65" t="str">
        <f>IFERROR(__xludf.DUMMYFUNCTION("""COMPUTED_VALUE"""),"IMPORTEX EC")</f>
        <v>IMPORTEX EC</v>
      </c>
      <c r="AV1407" s="65" t="str">
        <f>IFERROR(__xludf.DUMMYFUNCTION("""COMPUTED_VALUE"""),"6448605495340")</f>
        <v>6448605495340</v>
      </c>
      <c r="AW1407" s="65">
        <f>IFERROR(__xludf.DUMMYFUNCTION("""COMPUTED_VALUE"""),5538.0)</f>
        <v>5538</v>
      </c>
      <c r="AX1407" s="65"/>
      <c r="AY1407" s="65"/>
      <c r="AZ1407" s="65"/>
      <c r="BA1407" s="65"/>
    </row>
    <row r="1408">
      <c r="A1408" s="65" t="str">
        <f>IFERROR(__xludf.DUMMYFUNCTION("""COMPUTED_VALUE"""),"27-03-2026")</f>
        <v>27-03-2026</v>
      </c>
      <c r="B1408" s="65">
        <f>IFERROR(__xludf.DUMMYFUNCTION("""COMPUTED_VALUE"""),4278975.0)</f>
        <v>4278975</v>
      </c>
      <c r="C1408" s="65" t="str">
        <f>IFERROR(__xludf.DUMMYFUNCTION("""COMPUTED_VALUE"""),"04:52")</f>
        <v>04:52</v>
      </c>
      <c r="D1408" s="65" t="str">
        <f>IFERROR(__xludf.DUMMYFUNCTION("""COMPUTED_VALUE"""),"26-01-2026")</f>
        <v>26-01-2026</v>
      </c>
      <c r="E1408" s="65" t="str">
        <f>IFERROR(__xludf.DUMMYFUNCTION("""COMPUTED_VALUE"""),"VICTOR INTRIAGO")</f>
        <v>VICTOR INTRIAGO</v>
      </c>
      <c r="F1408" s="65" t="str">
        <f>IFERROR(__xludf.DUMMYFUNCTION("""COMPUTED_VALUE"""),"995454661")</f>
        <v>995454661</v>
      </c>
      <c r="G1408" s="65" t="str">
        <f>IFERROR(__xludf.DUMMYFUNCTION("""COMPUTED_VALUE"""),"drvictor_intriago87@hotmail.com")</f>
        <v>drvictor_intriago87@hotmail.com</v>
      </c>
      <c r="H1408" s="65"/>
      <c r="I1408" s="65"/>
      <c r="J1408" s="65"/>
      <c r="K1408" s="65" t="str">
        <f>IFERROR(__xludf.DUMMYFUNCTION("""COMPUTED_VALUE"""),"CANCELADO")</f>
        <v>CANCELADO</v>
      </c>
      <c r="L1408" s="65" t="str">
        <f>IFERROR(__xludf.DUMMYFUNCTION("""COMPUTED_VALUE"""),"CON RECAUDO")</f>
        <v>CON RECAUDO</v>
      </c>
      <c r="M1408" s="65" t="str">
        <f>IFERROR(__xludf.DUMMYFUNCTION("""COMPUTED_VALUE"""),"MANABI")</f>
        <v>MANABI</v>
      </c>
      <c r="N1408" s="65" t="str">
        <f>IFERROR(__xludf.DUMMYFUNCTION("""COMPUTED_VALUE"""),"PORTOVIEJO")</f>
        <v>PORTOVIEJO</v>
      </c>
      <c r="O1408" s="65" t="str">
        <f>IFERROR(__xludf.DUMMYFUNCTION("""COMPUTED_VALUE"""),"Jipijapa y segunda Transversal Ciudadela comercio , Clínica San Antonio de Padua -")</f>
        <v>Jipijapa y segunda Transversal Ciudadela comercio , Clínica San Antonio de Padua -</v>
      </c>
      <c r="P1408" s="65"/>
      <c r="Q1408" s="65" t="str">
        <f>IFERROR(__xludf.DUMMYFUNCTION("""COMPUTED_VALUE"""),"GINTRACOM")</f>
        <v>GINTRACOM</v>
      </c>
      <c r="R1408" s="65">
        <f>IFERROR(__xludf.DUMMYFUNCTION("""COMPUTED_VALUE"""),25.0)</f>
        <v>25</v>
      </c>
      <c r="S1408" s="65"/>
      <c r="T1408" s="65">
        <f>IFERROR(__xludf.DUMMYFUNCTION("""COMPUTED_VALUE"""),5.96)</f>
        <v>5.96</v>
      </c>
      <c r="U1408" s="65">
        <f>IFERROR(__xludf.DUMMYFUNCTION("""COMPUTED_VALUE"""),0.0)</f>
        <v>0</v>
      </c>
      <c r="V1408" s="65">
        <f>IFERROR(__xludf.DUMMYFUNCTION("""COMPUTED_VALUE"""),0.0)</f>
        <v>0</v>
      </c>
      <c r="W1408" s="65">
        <f>IFERROR(__xludf.DUMMYFUNCTION("""COMPUTED_VALUE"""),0.0)</f>
        <v>0</v>
      </c>
      <c r="X1408" s="65">
        <f>IFERROR(__xludf.DUMMYFUNCTION("""COMPUTED_VALUE"""),2.35)</f>
        <v>2.35</v>
      </c>
      <c r="Y1408" s="65">
        <f>IFERROR(__xludf.DUMMYFUNCTION("""COMPUTED_VALUE"""),4.7)</f>
        <v>4.7</v>
      </c>
      <c r="Z1408" s="65">
        <f>IFERROR(__xludf.DUMMYFUNCTION("""COMPUTED_VALUE"""),116679.0)</f>
        <v>116679</v>
      </c>
      <c r="AA1408" s="65" t="str">
        <f>IFERROR(__xludf.DUMMYFUNCTION("""COMPUTED_VALUE"""),"AMC-2738")</f>
        <v>AMC-2738</v>
      </c>
      <c r="AB1408" s="65"/>
      <c r="AC1408" s="65" t="str">
        <f>IFERROR(__xludf.DUMMYFUNCTION("""COMPUTED_VALUE"""),"ESPONJA ANTILLUVIA DE PARABRISAS")</f>
        <v>ESPONJA ANTILLUVIA DE PARABRISAS</v>
      </c>
      <c r="AD1408" s="65"/>
      <c r="AE1408" s="65">
        <f>IFERROR(__xludf.DUMMYFUNCTION("""COMPUTED_VALUE"""),2.0)</f>
        <v>2</v>
      </c>
      <c r="AF1408" s="65"/>
      <c r="AG1408" s="65"/>
      <c r="AH1408" s="65"/>
      <c r="AI1408" s="65"/>
      <c r="AJ1408" s="65"/>
      <c r="AK1408" s="65"/>
      <c r="AL1408" s="65"/>
      <c r="AM1408" s="65"/>
      <c r="AN1408" s="65"/>
      <c r="AO1408" s="65"/>
      <c r="AP1408" s="65"/>
      <c r="AQ1408" s="65"/>
      <c r="AR1408" s="65"/>
      <c r="AS1408" s="65"/>
      <c r="AT1408" s="65" t="str">
        <f>IFERROR(__xludf.DUMMYFUNCTION("""COMPUTED_VALUE"""),"SHOPIFY")</f>
        <v>SHOPIFY</v>
      </c>
      <c r="AU1408" s="65" t="str">
        <f>IFERROR(__xludf.DUMMYFUNCTION("""COMPUTED_VALUE"""),"IMPORTEX EC")</f>
        <v>IMPORTEX EC</v>
      </c>
      <c r="AV1408" s="65" t="str">
        <f>IFERROR(__xludf.DUMMYFUNCTION("""COMPUTED_VALUE"""),"6448540876844")</f>
        <v>6448540876844</v>
      </c>
      <c r="AW1408" s="65">
        <f>IFERROR(__xludf.DUMMYFUNCTION("""COMPUTED_VALUE"""),5537.0)</f>
        <v>5537</v>
      </c>
      <c r="AX1408" s="65"/>
      <c r="AY1408" s="65"/>
      <c r="AZ1408" s="65"/>
      <c r="BA1408" s="65"/>
    </row>
    <row r="1409">
      <c r="A1409" s="65" t="str">
        <f>IFERROR(__xludf.DUMMYFUNCTION("""COMPUTED_VALUE"""),"27-03-2026")</f>
        <v>27-03-2026</v>
      </c>
      <c r="B1409" s="65">
        <f>IFERROR(__xludf.DUMMYFUNCTION("""COMPUTED_VALUE"""),4278962.0)</f>
        <v>4278962</v>
      </c>
      <c r="C1409" s="65" t="str">
        <f>IFERROR(__xludf.DUMMYFUNCTION("""COMPUTED_VALUE"""),"04:46")</f>
        <v>04:46</v>
      </c>
      <c r="D1409" s="65" t="str">
        <f>IFERROR(__xludf.DUMMYFUNCTION("""COMPUTED_VALUE"""),"26-01-2026")</f>
        <v>26-01-2026</v>
      </c>
      <c r="E1409" s="65" t="str">
        <f>IFERROR(__xludf.DUMMYFUNCTION("""COMPUTED_VALUE"""),"Fausto Medina")</f>
        <v>Fausto Medina</v>
      </c>
      <c r="F1409" s="65" t="str">
        <f>IFERROR(__xludf.DUMMYFUNCTION("""COMPUTED_VALUE"""),"993000775")</f>
        <v>993000775</v>
      </c>
      <c r="G1409" s="65" t="str">
        <f>IFERROR(__xludf.DUMMYFUNCTION("""COMPUTED_VALUE"""),"famedinaj@hotmail.com")</f>
        <v>famedinaj@hotmail.com</v>
      </c>
      <c r="H1409" s="65"/>
      <c r="I1409" s="65"/>
      <c r="J1409" s="65"/>
      <c r="K1409" s="65" t="str">
        <f>IFERROR(__xludf.DUMMYFUNCTION("""COMPUTED_VALUE"""),"CANCELADO")</f>
        <v>CANCELADO</v>
      </c>
      <c r="L1409" s="65" t="str">
        <f>IFERROR(__xludf.DUMMYFUNCTION("""COMPUTED_VALUE"""),"CON RECAUDO")</f>
        <v>CON RECAUDO</v>
      </c>
      <c r="M1409" s="65" t="str">
        <f>IFERROR(__xludf.DUMMYFUNCTION("""COMPUTED_VALUE"""),"LOJA")</f>
        <v>LOJA</v>
      </c>
      <c r="N1409" s="65" t="str">
        <f>IFERROR(__xludf.DUMMYFUNCTION("""COMPUTED_VALUE"""),"LOJA")</f>
        <v>LOJA</v>
      </c>
      <c r="O1409" s="65" t="str">
        <f>IFERROR(__xludf.DUMMYFUNCTION("""COMPUTED_VALUE"""),"Juan Montalvo y Antonio Nariño Ciudadela Unión Lojana -")</f>
        <v>Juan Montalvo y Antonio Nariño Ciudadela Unión Lojana -</v>
      </c>
      <c r="P1409" s="65"/>
      <c r="Q1409" s="65" t="str">
        <f>IFERROR(__xludf.DUMMYFUNCTION("""COMPUTED_VALUE"""),"GINTRACOM")</f>
        <v>GINTRACOM</v>
      </c>
      <c r="R1409" s="65">
        <f>IFERROR(__xludf.DUMMYFUNCTION("""COMPUTED_VALUE"""),32.0)</f>
        <v>32</v>
      </c>
      <c r="S1409" s="65"/>
      <c r="T1409" s="65">
        <f>IFERROR(__xludf.DUMMYFUNCTION("""COMPUTED_VALUE"""),6.24)</f>
        <v>6.24</v>
      </c>
      <c r="U1409" s="65">
        <f>IFERROR(__xludf.DUMMYFUNCTION("""COMPUTED_VALUE"""),0.0)</f>
        <v>0</v>
      </c>
      <c r="V1409" s="65">
        <f>IFERROR(__xludf.DUMMYFUNCTION("""COMPUTED_VALUE"""),0.0)</f>
        <v>0</v>
      </c>
      <c r="W1409" s="65">
        <f>IFERROR(__xludf.DUMMYFUNCTION("""COMPUTED_VALUE"""),0.0)</f>
        <v>0</v>
      </c>
      <c r="X1409" s="65">
        <f>IFERROR(__xludf.DUMMYFUNCTION("""COMPUTED_VALUE"""),5.0)</f>
        <v>5</v>
      </c>
      <c r="Y1409" s="65">
        <f>IFERROR(__xludf.DUMMYFUNCTION("""COMPUTED_VALUE"""),10.0)</f>
        <v>10</v>
      </c>
      <c r="Z1409" s="65">
        <f>IFERROR(__xludf.DUMMYFUNCTION("""COMPUTED_VALUE"""),110064.0)</f>
        <v>110064</v>
      </c>
      <c r="AA1409" s="65" t="str">
        <f>IFERROR(__xludf.DUMMYFUNCTION("""COMPUTED_VALUE"""),"IMX-00001")</f>
        <v>IMX-00001</v>
      </c>
      <c r="AB1409" s="65"/>
      <c r="AC1409" s="65" t="str">
        <f>IFERROR(__xludf.DUMMYFUNCTION("""COMPUTED_VALUE"""),"LLAVE TRINQUETE")</f>
        <v>LLAVE TRINQUETE</v>
      </c>
      <c r="AD1409" s="65"/>
      <c r="AE1409" s="65">
        <f>IFERROR(__xludf.DUMMYFUNCTION("""COMPUTED_VALUE"""),2.0)</f>
        <v>2</v>
      </c>
      <c r="AF1409" s="65"/>
      <c r="AG1409" s="65"/>
      <c r="AH1409" s="65"/>
      <c r="AI1409" s="65"/>
      <c r="AJ1409" s="65"/>
      <c r="AK1409" s="65"/>
      <c r="AL1409" s="65"/>
      <c r="AM1409" s="65"/>
      <c r="AN1409" s="65"/>
      <c r="AO1409" s="65"/>
      <c r="AP1409" s="65"/>
      <c r="AQ1409" s="65"/>
      <c r="AR1409" s="65"/>
      <c r="AS1409" s="65"/>
      <c r="AT1409" s="65" t="str">
        <f>IFERROR(__xludf.DUMMYFUNCTION("""COMPUTED_VALUE"""),"SHOPIFY")</f>
        <v>SHOPIFY</v>
      </c>
      <c r="AU1409" s="65" t="str">
        <f>IFERROR(__xludf.DUMMYFUNCTION("""COMPUTED_VALUE"""),"IMPORTEX EC")</f>
        <v>IMPORTEX EC</v>
      </c>
      <c r="AV1409" s="65" t="str">
        <f>IFERROR(__xludf.DUMMYFUNCTION("""COMPUTED_VALUE"""),"6448537731116")</f>
        <v>6448537731116</v>
      </c>
      <c r="AW1409" s="65">
        <f>IFERROR(__xludf.DUMMYFUNCTION("""COMPUTED_VALUE"""),5536.0)</f>
        <v>5536</v>
      </c>
      <c r="AX1409" s="65"/>
      <c r="AY1409" s="65"/>
      <c r="AZ1409" s="65"/>
      <c r="BA1409" s="65"/>
    </row>
    <row r="1410">
      <c r="A1410" s="65" t="str">
        <f>IFERROR(__xludf.DUMMYFUNCTION("""COMPUTED_VALUE"""),"27-03-2026")</f>
        <v>27-03-2026</v>
      </c>
      <c r="B1410" s="65">
        <f>IFERROR(__xludf.DUMMYFUNCTION("""COMPUTED_VALUE"""),4278529.0)</f>
        <v>4278529</v>
      </c>
      <c r="C1410" s="65" t="str">
        <f>IFERROR(__xludf.DUMMYFUNCTION("""COMPUTED_VALUE"""),"00:33")</f>
        <v>00:33</v>
      </c>
      <c r="D1410" s="65" t="str">
        <f>IFERROR(__xludf.DUMMYFUNCTION("""COMPUTED_VALUE"""),"26-01-2026")</f>
        <v>26-01-2026</v>
      </c>
      <c r="E1410" s="65" t="str">
        <f>IFERROR(__xludf.DUMMYFUNCTION("""COMPUTED_VALUE"""),"José Fernando Guerrero Burneo")</f>
        <v>José Fernando Guerrero Burneo</v>
      </c>
      <c r="F1410" s="65" t="str">
        <f>IFERROR(__xludf.DUMMYFUNCTION("""COMPUTED_VALUE"""),"998025250")</f>
        <v>998025250</v>
      </c>
      <c r="G1410" s="65" t="str">
        <f>IFERROR(__xludf.DUMMYFUNCTION("""COMPUTED_VALUE"""),"joseguerrero1974@hotmail.es")</f>
        <v>joseguerrero1974@hotmail.es</v>
      </c>
      <c r="H1410" s="65"/>
      <c r="I1410" s="65"/>
      <c r="J1410" s="65" t="str">
        <f>IFERROR(__xludf.DUMMYFUNCTION("""COMPUTED_VALUE"""),"D001266120")</f>
        <v>D001266120</v>
      </c>
      <c r="K1410" s="65" t="str">
        <f>IFERROR(__xludf.DUMMYFUNCTION("""COMPUTED_VALUE"""),"ENTREGADO")</f>
        <v>ENTREGADO</v>
      </c>
      <c r="L1410" s="65" t="str">
        <f>IFERROR(__xludf.DUMMYFUNCTION("""COMPUTED_VALUE"""),"CON RECAUDO")</f>
        <v>CON RECAUDO</v>
      </c>
      <c r="M1410" s="65" t="str">
        <f>IFERROR(__xludf.DUMMYFUNCTION("""COMPUTED_VALUE"""),"TUNGURAHUA")</f>
        <v>TUNGURAHUA</v>
      </c>
      <c r="N1410" s="65" t="str">
        <f>IFERROR(__xludf.DUMMYFUNCTION("""COMPUTED_VALUE"""),"AMBATO")</f>
        <v>AMBATO</v>
      </c>
      <c r="O1410" s="65" t="str">
        <f>IFERROR(__xludf.DUMMYFUNCTION("""COMPUTED_VALUE"""),"SURINAM Y AV.PAUSTER CASA #27 El vergel -")</f>
        <v>SURINAM Y AV.PAUSTER CASA #27 El vergel -</v>
      </c>
      <c r="P1410" s="65"/>
      <c r="Q1410" s="65" t="str">
        <f>IFERROR(__xludf.DUMMYFUNCTION("""COMPUTED_VALUE"""),"GINTRACOM")</f>
        <v>GINTRACOM</v>
      </c>
      <c r="R1410" s="65">
        <f>IFERROR(__xludf.DUMMYFUNCTION("""COMPUTED_VALUE"""),32.0)</f>
        <v>32</v>
      </c>
      <c r="S1410" s="65">
        <f>IFERROR(__xludf.DUMMYFUNCTION("""COMPUTED_VALUE"""),15.76)</f>
        <v>15.76</v>
      </c>
      <c r="T1410" s="65">
        <f>IFERROR(__xludf.DUMMYFUNCTION("""COMPUTED_VALUE"""),6.24)</f>
        <v>6.24</v>
      </c>
      <c r="U1410" s="65">
        <f>IFERROR(__xludf.DUMMYFUNCTION("""COMPUTED_VALUE"""),0.0)</f>
        <v>0</v>
      </c>
      <c r="V1410" s="65">
        <f>IFERROR(__xludf.DUMMYFUNCTION("""COMPUTED_VALUE"""),0.0)</f>
        <v>0</v>
      </c>
      <c r="W1410" s="65">
        <f>IFERROR(__xludf.DUMMYFUNCTION("""COMPUTED_VALUE"""),0.0)</f>
        <v>0</v>
      </c>
      <c r="X1410" s="65">
        <f>IFERROR(__xludf.DUMMYFUNCTION("""COMPUTED_VALUE"""),5.0)</f>
        <v>5</v>
      </c>
      <c r="Y1410" s="65">
        <f>IFERROR(__xludf.DUMMYFUNCTION("""COMPUTED_VALUE"""),10.0)</f>
        <v>10</v>
      </c>
      <c r="Z1410" s="65">
        <f>IFERROR(__xludf.DUMMYFUNCTION("""COMPUTED_VALUE"""),110064.0)</f>
        <v>110064</v>
      </c>
      <c r="AA1410" s="65" t="str">
        <f>IFERROR(__xludf.DUMMYFUNCTION("""COMPUTED_VALUE"""),"IMX-00001")</f>
        <v>IMX-00001</v>
      </c>
      <c r="AB1410" s="65"/>
      <c r="AC1410" s="65" t="str">
        <f>IFERROR(__xludf.DUMMYFUNCTION("""COMPUTED_VALUE"""),"LLAVE TRINQUETE")</f>
        <v>LLAVE TRINQUETE</v>
      </c>
      <c r="AD1410" s="65"/>
      <c r="AE1410" s="65">
        <f>IFERROR(__xludf.DUMMYFUNCTION("""COMPUTED_VALUE"""),2.0)</f>
        <v>2</v>
      </c>
      <c r="AF1410" s="65"/>
      <c r="AG1410" s="65"/>
      <c r="AH1410" s="65"/>
      <c r="AI1410" s="65"/>
      <c r="AJ1410" s="65"/>
      <c r="AK1410" s="65"/>
      <c r="AL1410" s="65"/>
      <c r="AM1410" s="65"/>
      <c r="AN1410" s="65"/>
      <c r="AO1410" s="65"/>
      <c r="AP1410" s="65"/>
      <c r="AQ1410" s="65"/>
      <c r="AR1410" s="65"/>
      <c r="AS1410" s="65"/>
      <c r="AT1410" s="65" t="str">
        <f>IFERROR(__xludf.DUMMYFUNCTION("""COMPUTED_VALUE"""),"SHOPIFY")</f>
        <v>SHOPIFY</v>
      </c>
      <c r="AU1410" s="65" t="str">
        <f>IFERROR(__xludf.DUMMYFUNCTION("""COMPUTED_VALUE"""),"IMPORTEX EC")</f>
        <v>IMPORTEX EC</v>
      </c>
      <c r="AV1410" s="65" t="str">
        <f>IFERROR(__xludf.DUMMYFUNCTION("""COMPUTED_VALUE"""),"6448238854188")</f>
        <v>6448238854188</v>
      </c>
      <c r="AW1410" s="65">
        <f>IFERROR(__xludf.DUMMYFUNCTION("""COMPUTED_VALUE"""),5535.0)</f>
        <v>5535</v>
      </c>
      <c r="AX1410" s="65"/>
      <c r="AY1410" s="65" t="str">
        <f>IFERROR(__xludf.DUMMYFUNCTION("""COMPUTED_VALUE"""),"27/01/2026")</f>
        <v>27/01/2026</v>
      </c>
      <c r="AZ1410" s="65"/>
      <c r="BA1410" s="65"/>
    </row>
    <row r="1411">
      <c r="A1411" s="65" t="str">
        <f>IFERROR(__xludf.DUMMYFUNCTION("""COMPUTED_VALUE"""),"27-03-2026")</f>
        <v>27-03-2026</v>
      </c>
      <c r="B1411" s="65">
        <f>IFERROR(__xludf.DUMMYFUNCTION("""COMPUTED_VALUE"""),4278148.0)</f>
        <v>4278148</v>
      </c>
      <c r="C1411" s="65" t="str">
        <f>IFERROR(__xludf.DUMMYFUNCTION("""COMPUTED_VALUE"""),"23:32")</f>
        <v>23:32</v>
      </c>
      <c r="D1411" s="65" t="str">
        <f>IFERROR(__xludf.DUMMYFUNCTION("""COMPUTED_VALUE"""),"25-01-2026")</f>
        <v>25-01-2026</v>
      </c>
      <c r="E1411" s="65" t="str">
        <f>IFERROR(__xludf.DUMMYFUNCTION("""COMPUTED_VALUE"""),"Vanessa Alexandra Alava Moreira")</f>
        <v>Vanessa Alexandra Alava Moreira</v>
      </c>
      <c r="F1411" s="65" t="str">
        <f>IFERROR(__xludf.DUMMYFUNCTION("""COMPUTED_VALUE"""),"982991244")</f>
        <v>982991244</v>
      </c>
      <c r="G1411" s="65" t="str">
        <f>IFERROR(__xludf.DUMMYFUNCTION("""COMPUTED_VALUE"""),"alexitatqm1@hotmail.com")</f>
        <v>alexitatqm1@hotmail.com</v>
      </c>
      <c r="H1411" s="65"/>
      <c r="I1411" s="65"/>
      <c r="J1411" s="65"/>
      <c r="K1411" s="65" t="str">
        <f>IFERROR(__xludf.DUMMYFUNCTION("""COMPUTED_VALUE"""),"CANCELADO")</f>
        <v>CANCELADO</v>
      </c>
      <c r="L1411" s="65" t="str">
        <f>IFERROR(__xludf.DUMMYFUNCTION("""COMPUTED_VALUE"""),"CON RECAUDO")</f>
        <v>CON RECAUDO</v>
      </c>
      <c r="M1411" s="65" t="str">
        <f>IFERROR(__xludf.DUMMYFUNCTION("""COMPUTED_VALUE"""),"MANABI")</f>
        <v>MANABI</v>
      </c>
      <c r="N1411" s="65" t="str">
        <f>IFERROR(__xludf.DUMMYFUNCTION("""COMPUTED_VALUE"""),"PORTOVIEJO")</f>
        <v>PORTOVIEJO</v>
      </c>
      <c r="O1411" s="65" t="str">
        <f>IFERROR(__xludf.DUMMYFUNCTION("""COMPUTED_VALUE"""),"Hospital de especialidades portoviejo Av 15 de abril sector las tres marias -")</f>
        <v>Hospital de especialidades portoviejo Av 15 de abril sector las tres marias -</v>
      </c>
      <c r="P1411" s="65"/>
      <c r="Q1411" s="65" t="str">
        <f>IFERROR(__xludf.DUMMYFUNCTION("""COMPUTED_VALUE"""),"GINTRACOM")</f>
        <v>GINTRACOM</v>
      </c>
      <c r="R1411" s="65">
        <f>IFERROR(__xludf.DUMMYFUNCTION("""COMPUTED_VALUE"""),25.0)</f>
        <v>25</v>
      </c>
      <c r="S1411" s="65"/>
      <c r="T1411" s="65">
        <f>IFERROR(__xludf.DUMMYFUNCTION("""COMPUTED_VALUE"""),5.96)</f>
        <v>5.96</v>
      </c>
      <c r="U1411" s="65">
        <f>IFERROR(__xludf.DUMMYFUNCTION("""COMPUTED_VALUE"""),0.0)</f>
        <v>0</v>
      </c>
      <c r="V1411" s="65">
        <f>IFERROR(__xludf.DUMMYFUNCTION("""COMPUTED_VALUE"""),0.0)</f>
        <v>0</v>
      </c>
      <c r="W1411" s="65">
        <f>IFERROR(__xludf.DUMMYFUNCTION("""COMPUTED_VALUE"""),0.0)</f>
        <v>0</v>
      </c>
      <c r="X1411" s="65">
        <f>IFERROR(__xludf.DUMMYFUNCTION("""COMPUTED_VALUE"""),2.35)</f>
        <v>2.35</v>
      </c>
      <c r="Y1411" s="65">
        <f>IFERROR(__xludf.DUMMYFUNCTION("""COMPUTED_VALUE"""),4.7)</f>
        <v>4.7</v>
      </c>
      <c r="Z1411" s="65">
        <f>IFERROR(__xludf.DUMMYFUNCTION("""COMPUTED_VALUE"""),116679.0)</f>
        <v>116679</v>
      </c>
      <c r="AA1411" s="65" t="str">
        <f>IFERROR(__xludf.DUMMYFUNCTION("""COMPUTED_VALUE"""),"AMC-2738")</f>
        <v>AMC-2738</v>
      </c>
      <c r="AB1411" s="65"/>
      <c r="AC1411" s="65" t="str">
        <f>IFERROR(__xludf.DUMMYFUNCTION("""COMPUTED_VALUE"""),"ESPONJA ANTILLUVIA DE PARABRISAS")</f>
        <v>ESPONJA ANTILLUVIA DE PARABRISAS</v>
      </c>
      <c r="AD1411" s="65"/>
      <c r="AE1411" s="65">
        <f>IFERROR(__xludf.DUMMYFUNCTION("""COMPUTED_VALUE"""),2.0)</f>
        <v>2</v>
      </c>
      <c r="AF1411" s="65"/>
      <c r="AG1411" s="65"/>
      <c r="AH1411" s="65"/>
      <c r="AI1411" s="65"/>
      <c r="AJ1411" s="65"/>
      <c r="AK1411" s="65"/>
      <c r="AL1411" s="65"/>
      <c r="AM1411" s="65"/>
      <c r="AN1411" s="65"/>
      <c r="AO1411" s="65"/>
      <c r="AP1411" s="65"/>
      <c r="AQ1411" s="65"/>
      <c r="AR1411" s="65"/>
      <c r="AS1411" s="65"/>
      <c r="AT1411" s="65" t="str">
        <f>IFERROR(__xludf.DUMMYFUNCTION("""COMPUTED_VALUE"""),"SHOPIFY")</f>
        <v>SHOPIFY</v>
      </c>
      <c r="AU1411" s="65" t="str">
        <f>IFERROR(__xludf.DUMMYFUNCTION("""COMPUTED_VALUE"""),"IMPORTEX EC")</f>
        <v>IMPORTEX EC</v>
      </c>
      <c r="AV1411" s="65" t="str">
        <f>IFERROR(__xludf.DUMMYFUNCTION("""COMPUTED_VALUE"""),"6448134127660")</f>
        <v>6448134127660</v>
      </c>
      <c r="AW1411" s="65">
        <f>IFERROR(__xludf.DUMMYFUNCTION("""COMPUTED_VALUE"""),5534.0)</f>
        <v>5534</v>
      </c>
      <c r="AX1411" s="65"/>
      <c r="AY1411" s="65"/>
      <c r="AZ1411" s="65"/>
      <c r="BA1411" s="65"/>
    </row>
    <row r="1412">
      <c r="A1412" s="65" t="str">
        <f>IFERROR(__xludf.DUMMYFUNCTION("""COMPUTED_VALUE"""),"27-03-2026")</f>
        <v>27-03-2026</v>
      </c>
      <c r="B1412" s="65">
        <f>IFERROR(__xludf.DUMMYFUNCTION("""COMPUTED_VALUE"""),4277489.0)</f>
        <v>4277489</v>
      </c>
      <c r="C1412" s="65" t="str">
        <f>IFERROR(__xludf.DUMMYFUNCTION("""COMPUTED_VALUE"""),"22:37")</f>
        <v>22:37</v>
      </c>
      <c r="D1412" s="65" t="str">
        <f>IFERROR(__xludf.DUMMYFUNCTION("""COMPUTED_VALUE"""),"25-01-2026")</f>
        <v>25-01-2026</v>
      </c>
      <c r="E1412" s="65" t="str">
        <f>IFERROR(__xludf.DUMMYFUNCTION("""COMPUTED_VALUE"""),"DIANA López")</f>
        <v>DIANA López</v>
      </c>
      <c r="F1412" s="65" t="str">
        <f>IFERROR(__xludf.DUMMYFUNCTION("""COMPUTED_VALUE"""),"986645452")</f>
        <v>986645452</v>
      </c>
      <c r="G1412" s="65" t="str">
        <f>IFERROR(__xludf.DUMMYFUNCTION("""COMPUTED_VALUE"""),"dianalopezholguin@gmail.com")</f>
        <v>dianalopezholguin@gmail.com</v>
      </c>
      <c r="H1412" s="65"/>
      <c r="I1412" s="65"/>
      <c r="J1412" s="65"/>
      <c r="K1412" s="65" t="str">
        <f>IFERROR(__xludf.DUMMYFUNCTION("""COMPUTED_VALUE"""),"CANCELADO")</f>
        <v>CANCELADO</v>
      </c>
      <c r="L1412" s="65" t="str">
        <f>IFERROR(__xludf.DUMMYFUNCTION("""COMPUTED_VALUE"""),"CON RECAUDO")</f>
        <v>CON RECAUDO</v>
      </c>
      <c r="M1412" s="65" t="str">
        <f>IFERROR(__xludf.DUMMYFUNCTION("""COMPUTED_VALUE"""),"MANABI")</f>
        <v>MANABI</v>
      </c>
      <c r="N1412" s="65" t="str">
        <f>IFERROR(__xludf.DUMMYFUNCTION("""COMPUTED_VALUE"""),"PORTOVIEJO")</f>
        <v>PORTOVIEJO</v>
      </c>
      <c r="O1412" s="65" t="str">
        <f>IFERROR(__xludf.DUMMYFUNCTION("""COMPUTED_VALUE"""),"Parroquia Alajuela bajo grande Vía manta Quevedo frente al mercado -")</f>
        <v>Parroquia Alajuela bajo grande Vía manta Quevedo frente al mercado -</v>
      </c>
      <c r="P1412" s="65"/>
      <c r="Q1412" s="65" t="str">
        <f>IFERROR(__xludf.DUMMYFUNCTION("""COMPUTED_VALUE"""),"GINTRACOM")</f>
        <v>GINTRACOM</v>
      </c>
      <c r="R1412" s="65">
        <f>IFERROR(__xludf.DUMMYFUNCTION("""COMPUTED_VALUE"""),25.0)</f>
        <v>25</v>
      </c>
      <c r="S1412" s="65"/>
      <c r="T1412" s="65">
        <f>IFERROR(__xludf.DUMMYFUNCTION("""COMPUTED_VALUE"""),5.96)</f>
        <v>5.96</v>
      </c>
      <c r="U1412" s="65">
        <f>IFERROR(__xludf.DUMMYFUNCTION("""COMPUTED_VALUE"""),0.0)</f>
        <v>0</v>
      </c>
      <c r="V1412" s="65">
        <f>IFERROR(__xludf.DUMMYFUNCTION("""COMPUTED_VALUE"""),0.0)</f>
        <v>0</v>
      </c>
      <c r="W1412" s="65">
        <f>IFERROR(__xludf.DUMMYFUNCTION("""COMPUTED_VALUE"""),0.0)</f>
        <v>0</v>
      </c>
      <c r="X1412" s="65">
        <f>IFERROR(__xludf.DUMMYFUNCTION("""COMPUTED_VALUE"""),2.35)</f>
        <v>2.35</v>
      </c>
      <c r="Y1412" s="65">
        <f>IFERROR(__xludf.DUMMYFUNCTION("""COMPUTED_VALUE"""),4.7)</f>
        <v>4.7</v>
      </c>
      <c r="Z1412" s="65">
        <f>IFERROR(__xludf.DUMMYFUNCTION("""COMPUTED_VALUE"""),116679.0)</f>
        <v>116679</v>
      </c>
      <c r="AA1412" s="65" t="str">
        <f>IFERROR(__xludf.DUMMYFUNCTION("""COMPUTED_VALUE"""),"AMC-2738")</f>
        <v>AMC-2738</v>
      </c>
      <c r="AB1412" s="65"/>
      <c r="AC1412" s="65" t="str">
        <f>IFERROR(__xludf.DUMMYFUNCTION("""COMPUTED_VALUE"""),"ESPONJA ANTILLUVIA DE PARABRISAS")</f>
        <v>ESPONJA ANTILLUVIA DE PARABRISAS</v>
      </c>
      <c r="AD1412" s="65"/>
      <c r="AE1412" s="65">
        <f>IFERROR(__xludf.DUMMYFUNCTION("""COMPUTED_VALUE"""),2.0)</f>
        <v>2</v>
      </c>
      <c r="AF1412" s="65"/>
      <c r="AG1412" s="65"/>
      <c r="AH1412" s="65"/>
      <c r="AI1412" s="65"/>
      <c r="AJ1412" s="65"/>
      <c r="AK1412" s="65"/>
      <c r="AL1412" s="65"/>
      <c r="AM1412" s="65"/>
      <c r="AN1412" s="65"/>
      <c r="AO1412" s="65"/>
      <c r="AP1412" s="65"/>
      <c r="AQ1412" s="65"/>
      <c r="AR1412" s="65"/>
      <c r="AS1412" s="65"/>
      <c r="AT1412" s="65" t="str">
        <f>IFERROR(__xludf.DUMMYFUNCTION("""COMPUTED_VALUE"""),"SHOPIFY")</f>
        <v>SHOPIFY</v>
      </c>
      <c r="AU1412" s="65" t="str">
        <f>IFERROR(__xludf.DUMMYFUNCTION("""COMPUTED_VALUE"""),"IMPORTEX EC")</f>
        <v>IMPORTEX EC</v>
      </c>
      <c r="AV1412" s="65" t="str">
        <f>IFERROR(__xludf.DUMMYFUNCTION("""COMPUTED_VALUE"""),"6448030482476")</f>
        <v>6448030482476</v>
      </c>
      <c r="AW1412" s="65">
        <f>IFERROR(__xludf.DUMMYFUNCTION("""COMPUTED_VALUE"""),5533.0)</f>
        <v>5533</v>
      </c>
      <c r="AX1412" s="65"/>
      <c r="AY1412" s="65"/>
      <c r="AZ1412" s="65"/>
      <c r="BA1412" s="65"/>
    </row>
    <row r="1413">
      <c r="A1413" s="65" t="str">
        <f>IFERROR(__xludf.DUMMYFUNCTION("""COMPUTED_VALUE"""),"27-03-2026")</f>
        <v>27-03-2026</v>
      </c>
      <c r="B1413" s="65">
        <f>IFERROR(__xludf.DUMMYFUNCTION("""COMPUTED_VALUE"""),4277071.0)</f>
        <v>4277071</v>
      </c>
      <c r="C1413" s="65" t="str">
        <f>IFERROR(__xludf.DUMMYFUNCTION("""COMPUTED_VALUE"""),"22:09")</f>
        <v>22:09</v>
      </c>
      <c r="D1413" s="65" t="str">
        <f>IFERROR(__xludf.DUMMYFUNCTION("""COMPUTED_VALUE"""),"25-01-2026")</f>
        <v>25-01-2026</v>
      </c>
      <c r="E1413" s="65" t="str">
        <f>IFERROR(__xludf.DUMMYFUNCTION("""COMPUTED_VALUE"""),"Wendy Cacao")</f>
        <v>Wendy Cacao</v>
      </c>
      <c r="F1413" s="65" t="str">
        <f>IFERROR(__xludf.DUMMYFUNCTION("""COMPUTED_VALUE"""),"997266600")</f>
        <v>997266600</v>
      </c>
      <c r="G1413" s="65" t="str">
        <f>IFERROR(__xludf.DUMMYFUNCTION("""COMPUTED_VALUE"""),"wendycacao24@gmail.com")</f>
        <v>wendycacao24@gmail.com</v>
      </c>
      <c r="H1413" s="65"/>
      <c r="I1413" s="65"/>
      <c r="J1413" s="65" t="str">
        <f>IFERROR(__xludf.DUMMYFUNCTION("""COMPUTED_VALUE"""),"186553307")</f>
        <v>186553307</v>
      </c>
      <c r="K1413" s="65" t="str">
        <f>IFERROR(__xludf.DUMMYFUNCTION("""COMPUTED_VALUE"""),"ENTREGADO")</f>
        <v>ENTREGADO</v>
      </c>
      <c r="L1413" s="65" t="str">
        <f>IFERROR(__xludf.DUMMYFUNCTION("""COMPUTED_VALUE"""),"CON RECAUDO")</f>
        <v>CON RECAUDO</v>
      </c>
      <c r="M1413" s="65" t="str">
        <f>IFERROR(__xludf.DUMMYFUNCTION("""COMPUTED_VALUE"""),"GUAYAS")</f>
        <v>GUAYAS</v>
      </c>
      <c r="N1413" s="65" t="str">
        <f>IFERROR(__xludf.DUMMYFUNCTION("""COMPUTED_VALUE"""),"PEDRO CARBO")</f>
        <v>PEDRO CARBO</v>
      </c>
      <c r="O1413" s="65" t="str">
        <f>IFERROR(__xludf.DUMMYFUNCTION("""COMPUTED_VALUE"""),"9 octubre y chile Centro -")</f>
        <v>9 octubre y chile Centro -</v>
      </c>
      <c r="P1413" s="65"/>
      <c r="Q1413" s="65" t="str">
        <f>IFERROR(__xludf.DUMMYFUNCTION("""COMPUTED_VALUE"""),"SERVIENTREGA")</f>
        <v>SERVIENTREGA</v>
      </c>
      <c r="R1413" s="65">
        <f>IFERROR(__xludf.DUMMYFUNCTION("""COMPUTED_VALUE"""),25.0)</f>
        <v>25</v>
      </c>
      <c r="S1413" s="65">
        <f>IFERROR(__xludf.DUMMYFUNCTION("""COMPUTED_VALUE"""),12.55)</f>
        <v>12.55</v>
      </c>
      <c r="T1413" s="65">
        <f>IFERROR(__xludf.DUMMYFUNCTION("""COMPUTED_VALUE"""),7.75)</f>
        <v>7.75</v>
      </c>
      <c r="U1413" s="65">
        <f>IFERROR(__xludf.DUMMYFUNCTION("""COMPUTED_VALUE"""),0.0)</f>
        <v>0</v>
      </c>
      <c r="V1413" s="65">
        <f>IFERROR(__xludf.DUMMYFUNCTION("""COMPUTED_VALUE"""),0.0)</f>
        <v>0</v>
      </c>
      <c r="W1413" s="65">
        <f>IFERROR(__xludf.DUMMYFUNCTION("""COMPUTED_VALUE"""),0.0)</f>
        <v>0</v>
      </c>
      <c r="X1413" s="65">
        <f>IFERROR(__xludf.DUMMYFUNCTION("""COMPUTED_VALUE"""),2.35)</f>
        <v>2.35</v>
      </c>
      <c r="Y1413" s="65">
        <f>IFERROR(__xludf.DUMMYFUNCTION("""COMPUTED_VALUE"""),4.7)</f>
        <v>4.7</v>
      </c>
      <c r="Z1413" s="65">
        <f>IFERROR(__xludf.DUMMYFUNCTION("""COMPUTED_VALUE"""),116679.0)</f>
        <v>116679</v>
      </c>
      <c r="AA1413" s="65" t="str">
        <f>IFERROR(__xludf.DUMMYFUNCTION("""COMPUTED_VALUE"""),"AMC-2738")</f>
        <v>AMC-2738</v>
      </c>
      <c r="AB1413" s="65"/>
      <c r="AC1413" s="65" t="str">
        <f>IFERROR(__xludf.DUMMYFUNCTION("""COMPUTED_VALUE"""),"ESPONJA ANTILLUVIA DE PARABRISAS")</f>
        <v>ESPONJA ANTILLUVIA DE PARABRISAS</v>
      </c>
      <c r="AD1413" s="65"/>
      <c r="AE1413" s="65">
        <f>IFERROR(__xludf.DUMMYFUNCTION("""COMPUTED_VALUE"""),2.0)</f>
        <v>2</v>
      </c>
      <c r="AF1413" s="65"/>
      <c r="AG1413" s="65"/>
      <c r="AH1413" s="65"/>
      <c r="AI1413" s="65"/>
      <c r="AJ1413" s="65"/>
      <c r="AK1413" s="65"/>
      <c r="AL1413" s="65"/>
      <c r="AM1413" s="65"/>
      <c r="AN1413" s="65" t="str">
        <f>IFERROR(__xludf.DUMMYFUNCTION("""COMPUTED_VALUE"""),"23:31")</f>
        <v>23:31</v>
      </c>
      <c r="AO1413" s="65" t="str">
        <f>IFERROR(__xludf.DUMMYFUNCTION("""COMPUTED_VALUE"""),"09-02-2026")</f>
        <v>09-02-2026</v>
      </c>
      <c r="AP1413" s="65" t="str">
        <f>IFERROR(__xludf.DUMMYFUNCTION("""COMPUTED_VALUE"""),"REPORTADO ENTREGADO EN APP")</f>
        <v>REPORTADO ENTREGADO EN APP</v>
      </c>
      <c r="AQ1413" s="65" t="str">
        <f>IFERROR(__xludf.DUMMYFUNCTION("""COMPUTED_VALUE"""),"Wendy Cacao")</f>
        <v>Wendy Cacao</v>
      </c>
      <c r="AR1413" s="65"/>
      <c r="AS1413" s="65"/>
      <c r="AT1413" s="65" t="str">
        <f>IFERROR(__xludf.DUMMYFUNCTION("""COMPUTED_VALUE"""),"SHOPIFY")</f>
        <v>SHOPIFY</v>
      </c>
      <c r="AU1413" s="65" t="str">
        <f>IFERROR(__xludf.DUMMYFUNCTION("""COMPUTED_VALUE"""),"IMPORTEX EC")</f>
        <v>IMPORTEX EC</v>
      </c>
      <c r="AV1413" s="65" t="str">
        <f>IFERROR(__xludf.DUMMYFUNCTION("""COMPUTED_VALUE"""),"6447964291116")</f>
        <v>6447964291116</v>
      </c>
      <c r="AW1413" s="65">
        <f>IFERROR(__xludf.DUMMYFUNCTION("""COMPUTED_VALUE"""),5532.0)</f>
        <v>5532</v>
      </c>
      <c r="AX1413" s="65"/>
      <c r="AY1413" s="65" t="str">
        <f>IFERROR(__xludf.DUMMYFUNCTION("""COMPUTED_VALUE"""),"30/01/2026")</f>
        <v>30/01/2026</v>
      </c>
      <c r="AZ1413" s="65"/>
      <c r="BA1413" s="65"/>
    </row>
    <row r="1414">
      <c r="A1414" s="65" t="str">
        <f>IFERROR(__xludf.DUMMYFUNCTION("""COMPUTED_VALUE"""),"27-03-2026")</f>
        <v>27-03-2026</v>
      </c>
      <c r="B1414" s="65">
        <f>IFERROR(__xludf.DUMMYFUNCTION("""COMPUTED_VALUE"""),4276736.0)</f>
        <v>4276736</v>
      </c>
      <c r="C1414" s="65" t="str">
        <f>IFERROR(__xludf.DUMMYFUNCTION("""COMPUTED_VALUE"""),"21:49")</f>
        <v>21:49</v>
      </c>
      <c r="D1414" s="65" t="str">
        <f>IFERROR(__xludf.DUMMYFUNCTION("""COMPUTED_VALUE"""),"25-01-2026")</f>
        <v>25-01-2026</v>
      </c>
      <c r="E1414" s="65" t="str">
        <f>IFERROR(__xludf.DUMMYFUNCTION("""COMPUTED_VALUE"""),"Victor  Hugo Cúsme Anzules")</f>
        <v>Victor  Hugo Cúsme Anzules</v>
      </c>
      <c r="F1414" s="65" t="str">
        <f>IFERROR(__xludf.DUMMYFUNCTION("""COMPUTED_VALUE"""),"994967249")</f>
        <v>994967249</v>
      </c>
      <c r="G1414" s="65" t="str">
        <f>IFERROR(__xludf.DUMMYFUNCTION("""COMPUTED_VALUE"""),"victorcusme@hotmail.es")</f>
        <v>victorcusme@hotmail.es</v>
      </c>
      <c r="H1414" s="65"/>
      <c r="I1414" s="65"/>
      <c r="J1414" s="65"/>
      <c r="K1414" s="65" t="str">
        <f>IFERROR(__xludf.DUMMYFUNCTION("""COMPUTED_VALUE"""),"CANCELADO")</f>
        <v>CANCELADO</v>
      </c>
      <c r="L1414" s="65" t="str">
        <f>IFERROR(__xludf.DUMMYFUNCTION("""COMPUTED_VALUE"""),"CON RECAUDO")</f>
        <v>CON RECAUDO</v>
      </c>
      <c r="M1414" s="65" t="str">
        <f>IFERROR(__xludf.DUMMYFUNCTION("""COMPUTED_VALUE"""),"MANABI")</f>
        <v>MANABI</v>
      </c>
      <c r="N1414" s="65" t="str">
        <f>IFERROR(__xludf.DUMMYFUNCTION("""COMPUTED_VALUE"""),"CHONE")</f>
        <v>CHONE</v>
      </c>
      <c r="O1414" s="65" t="str">
        <f>IFERROR(__xludf.DUMMYFUNCTION("""COMPUTED_VALUE"""),"Calle wilfrido Vitery, entre Ray Mundo Abeiga y Manuel de Jesús Álvarez Casa con serramiento -")</f>
        <v>Calle wilfrido Vitery, entre Ray Mundo Abeiga y Manuel de Jesús Álvarez Casa con serramiento -</v>
      </c>
      <c r="P1414" s="65"/>
      <c r="Q1414" s="65" t="str">
        <f>IFERROR(__xludf.DUMMYFUNCTION("""COMPUTED_VALUE"""),"GINTRACOM")</f>
        <v>GINTRACOM</v>
      </c>
      <c r="R1414" s="65">
        <f>IFERROR(__xludf.DUMMYFUNCTION("""COMPUTED_VALUE"""),21.99)</f>
        <v>21.99</v>
      </c>
      <c r="S1414" s="65"/>
      <c r="T1414" s="65">
        <f>IFERROR(__xludf.DUMMYFUNCTION("""COMPUTED_VALUE"""),5.84)</f>
        <v>5.84</v>
      </c>
      <c r="U1414" s="65">
        <f>IFERROR(__xludf.DUMMYFUNCTION("""COMPUTED_VALUE"""),0.0)</f>
        <v>0</v>
      </c>
      <c r="V1414" s="65">
        <f>IFERROR(__xludf.DUMMYFUNCTION("""COMPUTED_VALUE"""),0.0)</f>
        <v>0</v>
      </c>
      <c r="W1414" s="65">
        <f>IFERROR(__xludf.DUMMYFUNCTION("""COMPUTED_VALUE"""),0.0)</f>
        <v>0</v>
      </c>
      <c r="X1414" s="65">
        <f>IFERROR(__xludf.DUMMYFUNCTION("""COMPUTED_VALUE"""),5.0)</f>
        <v>5</v>
      </c>
      <c r="Y1414" s="65">
        <f>IFERROR(__xludf.DUMMYFUNCTION("""COMPUTED_VALUE"""),5.0)</f>
        <v>5</v>
      </c>
      <c r="Z1414" s="65">
        <f>IFERROR(__xludf.DUMMYFUNCTION("""COMPUTED_VALUE"""),110064.0)</f>
        <v>110064</v>
      </c>
      <c r="AA1414" s="65" t="str">
        <f>IFERROR(__xludf.DUMMYFUNCTION("""COMPUTED_VALUE"""),"IMX-00001")</f>
        <v>IMX-00001</v>
      </c>
      <c r="AB1414" s="65"/>
      <c r="AC1414" s="65" t="str">
        <f>IFERROR(__xludf.DUMMYFUNCTION("""COMPUTED_VALUE"""),"LLAVE TRINQUETE")</f>
        <v>LLAVE TRINQUETE</v>
      </c>
      <c r="AD1414" s="65"/>
      <c r="AE1414" s="65">
        <f>IFERROR(__xludf.DUMMYFUNCTION("""COMPUTED_VALUE"""),1.0)</f>
        <v>1</v>
      </c>
      <c r="AF1414" s="65"/>
      <c r="AG1414" s="65"/>
      <c r="AH1414" s="65"/>
      <c r="AI1414" s="65"/>
      <c r="AJ1414" s="65"/>
      <c r="AK1414" s="65"/>
      <c r="AL1414" s="65"/>
      <c r="AM1414" s="65"/>
      <c r="AN1414" s="65"/>
      <c r="AO1414" s="65"/>
      <c r="AP1414" s="65"/>
      <c r="AQ1414" s="65"/>
      <c r="AR1414" s="65"/>
      <c r="AS1414" s="65"/>
      <c r="AT1414" s="65" t="str">
        <f>IFERROR(__xludf.DUMMYFUNCTION("""COMPUTED_VALUE"""),"SHOPIFY")</f>
        <v>SHOPIFY</v>
      </c>
      <c r="AU1414" s="65" t="str">
        <f>IFERROR(__xludf.DUMMYFUNCTION("""COMPUTED_VALUE"""),"IMPORTEX EC")</f>
        <v>IMPORTEX EC</v>
      </c>
      <c r="AV1414" s="65" t="str">
        <f>IFERROR(__xludf.DUMMYFUNCTION("""COMPUTED_VALUE"""),"6447914057772")</f>
        <v>6447914057772</v>
      </c>
      <c r="AW1414" s="65">
        <f>IFERROR(__xludf.DUMMYFUNCTION("""COMPUTED_VALUE"""),5531.0)</f>
        <v>5531</v>
      </c>
      <c r="AX1414" s="65"/>
      <c r="AY1414" s="65"/>
      <c r="AZ1414" s="65"/>
      <c r="BA1414" s="65"/>
    </row>
    <row r="1415">
      <c r="A1415" s="65" t="str">
        <f>IFERROR(__xludf.DUMMYFUNCTION("""COMPUTED_VALUE"""),"27-03-2026")</f>
        <v>27-03-2026</v>
      </c>
      <c r="B1415" s="65">
        <f>IFERROR(__xludf.DUMMYFUNCTION("""COMPUTED_VALUE"""),4275694.0)</f>
        <v>4275694</v>
      </c>
      <c r="C1415" s="65" t="str">
        <f>IFERROR(__xludf.DUMMYFUNCTION("""COMPUTED_VALUE"""),"20:41")</f>
        <v>20:41</v>
      </c>
      <c r="D1415" s="65" t="str">
        <f>IFERROR(__xludf.DUMMYFUNCTION("""COMPUTED_VALUE"""),"25-01-2026")</f>
        <v>25-01-2026</v>
      </c>
      <c r="E1415" s="65" t="str">
        <f>IFERROR(__xludf.DUMMYFUNCTION("""COMPUTED_VALUE"""),"patricio lema")</f>
        <v>patricio lema</v>
      </c>
      <c r="F1415" s="65" t="str">
        <f>IFERROR(__xludf.DUMMYFUNCTION("""COMPUTED_VALUE"""),"992727750")</f>
        <v>992727750</v>
      </c>
      <c r="G1415" s="65" t="str">
        <f>IFERROR(__xludf.DUMMYFUNCTION("""COMPUTED_VALUE"""),"patolema@57omael.con")</f>
        <v>patolema@57omael.con</v>
      </c>
      <c r="H1415" s="65"/>
      <c r="I1415" s="65"/>
      <c r="J1415" s="65"/>
      <c r="K1415" s="65" t="str">
        <f>IFERROR(__xludf.DUMMYFUNCTION("""COMPUTED_VALUE"""),"CANCELADO")</f>
        <v>CANCELADO</v>
      </c>
      <c r="L1415" s="65" t="str">
        <f>IFERROR(__xludf.DUMMYFUNCTION("""COMPUTED_VALUE"""),"CON RECAUDO")</f>
        <v>CON RECAUDO</v>
      </c>
      <c r="M1415" s="65" t="str">
        <f>IFERROR(__xludf.DUMMYFUNCTION("""COMPUTED_VALUE"""),"PICHINCHA")</f>
        <v>PICHINCHA</v>
      </c>
      <c r="N1415" s="65" t="str">
        <f>IFERROR(__xludf.DUMMYFUNCTION("""COMPUTED_VALUE"""),"SANGOLQUI")</f>
        <v>SANGOLQUI</v>
      </c>
      <c r="O1415" s="65" t="str">
        <f>IFERROR(__xludf.DUMMYFUNCTION("""COMPUTED_VALUE"""),"espejo y eloy alfaro en el munisipio de sangolqui puerta prinsipal sentro -")</f>
        <v>espejo y eloy alfaro en el munisipio de sangolqui puerta prinsipal sentro -</v>
      </c>
      <c r="P1415" s="65"/>
      <c r="Q1415" s="65" t="str">
        <f>IFERROR(__xludf.DUMMYFUNCTION("""COMPUTED_VALUE"""),"GINTRACOM")</f>
        <v>GINTRACOM</v>
      </c>
      <c r="R1415" s="65">
        <f>IFERROR(__xludf.DUMMYFUNCTION("""COMPUTED_VALUE"""),32.0)</f>
        <v>32</v>
      </c>
      <c r="S1415" s="65"/>
      <c r="T1415" s="65">
        <f>IFERROR(__xludf.DUMMYFUNCTION("""COMPUTED_VALUE"""),5.2)</f>
        <v>5.2</v>
      </c>
      <c r="U1415" s="65">
        <f>IFERROR(__xludf.DUMMYFUNCTION("""COMPUTED_VALUE"""),0.0)</f>
        <v>0</v>
      </c>
      <c r="V1415" s="65">
        <f>IFERROR(__xludf.DUMMYFUNCTION("""COMPUTED_VALUE"""),0.0)</f>
        <v>0</v>
      </c>
      <c r="W1415" s="65">
        <f>IFERROR(__xludf.DUMMYFUNCTION("""COMPUTED_VALUE"""),0.0)</f>
        <v>0</v>
      </c>
      <c r="X1415" s="65">
        <f>IFERROR(__xludf.DUMMYFUNCTION("""COMPUTED_VALUE"""),5.0)</f>
        <v>5</v>
      </c>
      <c r="Y1415" s="65">
        <f>IFERROR(__xludf.DUMMYFUNCTION("""COMPUTED_VALUE"""),10.0)</f>
        <v>10</v>
      </c>
      <c r="Z1415" s="65">
        <f>IFERROR(__xludf.DUMMYFUNCTION("""COMPUTED_VALUE"""),110064.0)</f>
        <v>110064</v>
      </c>
      <c r="AA1415" s="65" t="str">
        <f>IFERROR(__xludf.DUMMYFUNCTION("""COMPUTED_VALUE"""),"IMX-00001")</f>
        <v>IMX-00001</v>
      </c>
      <c r="AB1415" s="65"/>
      <c r="AC1415" s="65" t="str">
        <f>IFERROR(__xludf.DUMMYFUNCTION("""COMPUTED_VALUE"""),"LLAVE TRINQUETE")</f>
        <v>LLAVE TRINQUETE</v>
      </c>
      <c r="AD1415" s="65"/>
      <c r="AE1415" s="65">
        <f>IFERROR(__xludf.DUMMYFUNCTION("""COMPUTED_VALUE"""),2.0)</f>
        <v>2</v>
      </c>
      <c r="AF1415" s="65"/>
      <c r="AG1415" s="65"/>
      <c r="AH1415" s="65"/>
      <c r="AI1415" s="65"/>
      <c r="AJ1415" s="65"/>
      <c r="AK1415" s="65"/>
      <c r="AL1415" s="65"/>
      <c r="AM1415" s="65"/>
      <c r="AN1415" s="65"/>
      <c r="AO1415" s="65"/>
      <c r="AP1415" s="65"/>
      <c r="AQ1415" s="65"/>
      <c r="AR1415" s="65"/>
      <c r="AS1415" s="65"/>
      <c r="AT1415" s="65" t="str">
        <f>IFERROR(__xludf.DUMMYFUNCTION("""COMPUTED_VALUE"""),"SHOPIFY")</f>
        <v>SHOPIFY</v>
      </c>
      <c r="AU1415" s="65" t="str">
        <f>IFERROR(__xludf.DUMMYFUNCTION("""COMPUTED_VALUE"""),"IMPORTEX EC")</f>
        <v>IMPORTEX EC</v>
      </c>
      <c r="AV1415" s="65" t="str">
        <f>IFERROR(__xludf.DUMMYFUNCTION("""COMPUTED_VALUE"""),"6447742877740")</f>
        <v>6447742877740</v>
      </c>
      <c r="AW1415" s="65">
        <f>IFERROR(__xludf.DUMMYFUNCTION("""COMPUTED_VALUE"""),5530.0)</f>
        <v>5530</v>
      </c>
      <c r="AX1415" s="65"/>
      <c r="AY1415" s="65"/>
      <c r="AZ1415" s="65"/>
      <c r="BA1415" s="65"/>
    </row>
    <row r="1416">
      <c r="A1416" s="65" t="str">
        <f>IFERROR(__xludf.DUMMYFUNCTION("""COMPUTED_VALUE"""),"27-03-2026")</f>
        <v>27-03-2026</v>
      </c>
      <c r="B1416" s="65">
        <f>IFERROR(__xludf.DUMMYFUNCTION("""COMPUTED_VALUE"""),4275565.0)</f>
        <v>4275565</v>
      </c>
      <c r="C1416" s="65" t="str">
        <f>IFERROR(__xludf.DUMMYFUNCTION("""COMPUTED_VALUE"""),"20:31")</f>
        <v>20:31</v>
      </c>
      <c r="D1416" s="65" t="str">
        <f>IFERROR(__xludf.DUMMYFUNCTION("""COMPUTED_VALUE"""),"25-01-2026")</f>
        <v>25-01-2026</v>
      </c>
      <c r="E1416" s="65" t="str">
        <f>IFERROR(__xludf.DUMMYFUNCTION("""COMPUTED_VALUE"""),"Pablo Uquillas Uquillas")</f>
        <v>Pablo Uquillas Uquillas</v>
      </c>
      <c r="F1416" s="65" t="str">
        <f>IFERROR(__xludf.DUMMYFUNCTION("""COMPUTED_VALUE"""),"998205936")</f>
        <v>998205936</v>
      </c>
      <c r="G1416" s="65" t="str">
        <f>IFERROR(__xludf.DUMMYFUNCTION("""COMPUTED_VALUE"""),"pace55@hotmail.com")</f>
        <v>pace55@hotmail.com</v>
      </c>
      <c r="H1416" s="65"/>
      <c r="I1416" s="65"/>
      <c r="J1416" s="65"/>
      <c r="K1416" s="65" t="str">
        <f>IFERROR(__xludf.DUMMYFUNCTION("""COMPUTED_VALUE"""),"PENDIENTE CONFIRMACION")</f>
        <v>PENDIENTE CONFIRMACION</v>
      </c>
      <c r="L1416" s="65" t="str">
        <f>IFERROR(__xludf.DUMMYFUNCTION("""COMPUTED_VALUE"""),"CON RECAUDO")</f>
        <v>CON RECAUDO</v>
      </c>
      <c r="M1416" s="65" t="str">
        <f>IFERROR(__xludf.DUMMYFUNCTION("""COMPUTED_VALUE"""),"GUAYAS")</f>
        <v>GUAYAS</v>
      </c>
      <c r="N1416" s="65" t="str">
        <f>IFERROR(__xludf.DUMMYFUNCTION("""COMPUTED_VALUE"""),"GUAYAQUIL")</f>
        <v>GUAYAQUIL</v>
      </c>
      <c r="O1416" s="65" t="str">
        <f>IFERROR(__xludf.DUMMYFUNCTION("""COMPUTED_VALUE"""),"Vía a la costa Terranostra -")</f>
        <v>Vía a la costa Terranostra -</v>
      </c>
      <c r="P1416" s="65"/>
      <c r="Q1416" s="65" t="str">
        <f>IFERROR(__xludf.DUMMYFUNCTION("""COMPUTED_VALUE"""),"GINTRACOM")</f>
        <v>GINTRACOM</v>
      </c>
      <c r="R1416" s="65">
        <f>IFERROR(__xludf.DUMMYFUNCTION("""COMPUTED_VALUE"""),20.0)</f>
        <v>20</v>
      </c>
      <c r="S1416" s="65"/>
      <c r="T1416" s="65">
        <f>IFERROR(__xludf.DUMMYFUNCTION("""COMPUTED_VALUE"""),5.76)</f>
        <v>5.76</v>
      </c>
      <c r="U1416" s="65">
        <f>IFERROR(__xludf.DUMMYFUNCTION("""COMPUTED_VALUE"""),0.0)</f>
        <v>0</v>
      </c>
      <c r="V1416" s="65">
        <f>IFERROR(__xludf.DUMMYFUNCTION("""COMPUTED_VALUE"""),0.0)</f>
        <v>0</v>
      </c>
      <c r="W1416" s="65">
        <f>IFERROR(__xludf.DUMMYFUNCTION("""COMPUTED_VALUE"""),0.0)</f>
        <v>0</v>
      </c>
      <c r="X1416" s="65">
        <f>IFERROR(__xludf.DUMMYFUNCTION("""COMPUTED_VALUE"""),2.35)</f>
        <v>2.35</v>
      </c>
      <c r="Y1416" s="65">
        <f>IFERROR(__xludf.DUMMYFUNCTION("""COMPUTED_VALUE"""),2.35)</f>
        <v>2.35</v>
      </c>
      <c r="Z1416" s="65">
        <f>IFERROR(__xludf.DUMMYFUNCTION("""COMPUTED_VALUE"""),116679.0)</f>
        <v>116679</v>
      </c>
      <c r="AA1416" s="65" t="str">
        <f>IFERROR(__xludf.DUMMYFUNCTION("""COMPUTED_VALUE"""),"AMC-2738")</f>
        <v>AMC-2738</v>
      </c>
      <c r="AB1416" s="65"/>
      <c r="AC1416" s="65" t="str">
        <f>IFERROR(__xludf.DUMMYFUNCTION("""COMPUTED_VALUE"""),"ESPONJA ANTILLUVIA DE PARABRISAS")</f>
        <v>ESPONJA ANTILLUVIA DE PARABRISAS</v>
      </c>
      <c r="AD1416" s="65"/>
      <c r="AE1416" s="65">
        <f>IFERROR(__xludf.DUMMYFUNCTION("""COMPUTED_VALUE"""),1.0)</f>
        <v>1</v>
      </c>
      <c r="AF1416" s="65"/>
      <c r="AG1416" s="65"/>
      <c r="AH1416" s="65"/>
      <c r="AI1416" s="65"/>
      <c r="AJ1416" s="65"/>
      <c r="AK1416" s="65"/>
      <c r="AL1416" s="65"/>
      <c r="AM1416" s="65"/>
      <c r="AN1416" s="65"/>
      <c r="AO1416" s="65"/>
      <c r="AP1416" s="65"/>
      <c r="AQ1416" s="65"/>
      <c r="AR1416" s="65"/>
      <c r="AS1416" s="65"/>
      <c r="AT1416" s="65" t="str">
        <f>IFERROR(__xludf.DUMMYFUNCTION("""COMPUTED_VALUE"""),"SHOPIFY")</f>
        <v>SHOPIFY</v>
      </c>
      <c r="AU1416" s="65" t="str">
        <f>IFERROR(__xludf.DUMMYFUNCTION("""COMPUTED_VALUE"""),"IMPORTEX EC")</f>
        <v>IMPORTEX EC</v>
      </c>
      <c r="AV1416" s="65" t="str">
        <f>IFERROR(__xludf.DUMMYFUNCTION("""COMPUTED_VALUE"""),"6447722659884")</f>
        <v>6447722659884</v>
      </c>
      <c r="AW1416" s="65">
        <f>IFERROR(__xludf.DUMMYFUNCTION("""COMPUTED_VALUE"""),5529.0)</f>
        <v>5529</v>
      </c>
      <c r="AX1416" s="65"/>
      <c r="AY1416" s="65"/>
      <c r="AZ1416" s="65"/>
      <c r="BA1416" s="65"/>
    </row>
    <row r="1417">
      <c r="A1417" s="65" t="str">
        <f>IFERROR(__xludf.DUMMYFUNCTION("""COMPUTED_VALUE"""),"27-03-2026")</f>
        <v>27-03-2026</v>
      </c>
      <c r="B1417" s="65">
        <f>IFERROR(__xludf.DUMMYFUNCTION("""COMPUTED_VALUE"""),4275524.0)</f>
        <v>4275524</v>
      </c>
      <c r="C1417" s="65" t="str">
        <f>IFERROR(__xludf.DUMMYFUNCTION("""COMPUTED_VALUE"""),"20:28")</f>
        <v>20:28</v>
      </c>
      <c r="D1417" s="65" t="str">
        <f>IFERROR(__xludf.DUMMYFUNCTION("""COMPUTED_VALUE"""),"25-01-2026")</f>
        <v>25-01-2026</v>
      </c>
      <c r="E1417" s="65" t="str">
        <f>IFERROR(__xludf.DUMMYFUNCTION("""COMPUTED_VALUE"""),"Carlos bravo")</f>
        <v>Carlos bravo</v>
      </c>
      <c r="F1417" s="65" t="str">
        <f>IFERROR(__xludf.DUMMYFUNCTION("""COMPUTED_VALUE"""),"988307687")</f>
        <v>988307687</v>
      </c>
      <c r="G1417" s="65" t="str">
        <f>IFERROR(__xludf.DUMMYFUNCTION("""COMPUTED_VALUE"""),"carlosbravo181980@gmail.com")</f>
        <v>carlosbravo181980@gmail.com</v>
      </c>
      <c r="H1417" s="65"/>
      <c r="I1417" s="65"/>
      <c r="J1417" s="65"/>
      <c r="K1417" s="65" t="str">
        <f>IFERROR(__xludf.DUMMYFUNCTION("""COMPUTED_VALUE"""),"PENDIENTE CONFIRMACION")</f>
        <v>PENDIENTE CONFIRMACION</v>
      </c>
      <c r="L1417" s="65" t="str">
        <f>IFERROR(__xludf.DUMMYFUNCTION("""COMPUTED_VALUE"""),"CON RECAUDO")</f>
        <v>CON RECAUDO</v>
      </c>
      <c r="M1417" s="65" t="str">
        <f>IFERROR(__xludf.DUMMYFUNCTION("""COMPUTED_VALUE"""),"MANABI")</f>
        <v>MANABI</v>
      </c>
      <c r="N1417" s="65" t="str">
        <f>IFERROR(__xludf.DUMMYFUNCTION("""COMPUTED_VALUE"""),"MANTA")</f>
        <v>MANTA</v>
      </c>
      <c r="O1417" s="65" t="str">
        <f>IFERROR(__xludf.DUMMYFUNCTION("""COMPUTED_VALUE"""),"Frente de electro movil y frio Calle 10 avenida 10 -")</f>
        <v>Frente de electro movil y frio Calle 10 avenida 10 -</v>
      </c>
      <c r="P1417" s="65"/>
      <c r="Q1417" s="65" t="str">
        <f>IFERROR(__xludf.DUMMYFUNCTION("""COMPUTED_VALUE"""),"GINTRACOM")</f>
        <v>GINTRACOM</v>
      </c>
      <c r="R1417" s="65">
        <f>IFERROR(__xludf.DUMMYFUNCTION("""COMPUTED_VALUE"""),30.0)</f>
        <v>30</v>
      </c>
      <c r="S1417" s="65"/>
      <c r="T1417" s="65">
        <f>IFERROR(__xludf.DUMMYFUNCTION("""COMPUTED_VALUE"""),6.16)</f>
        <v>6.16</v>
      </c>
      <c r="U1417" s="65">
        <f>IFERROR(__xludf.DUMMYFUNCTION("""COMPUTED_VALUE"""),0.0)</f>
        <v>0</v>
      </c>
      <c r="V1417" s="65">
        <f>IFERROR(__xludf.DUMMYFUNCTION("""COMPUTED_VALUE"""),0.0)</f>
        <v>0</v>
      </c>
      <c r="W1417" s="65">
        <f>IFERROR(__xludf.DUMMYFUNCTION("""COMPUTED_VALUE"""),0.0)</f>
        <v>0</v>
      </c>
      <c r="X1417" s="65">
        <f>IFERROR(__xludf.DUMMYFUNCTION("""COMPUTED_VALUE"""),2.35)</f>
        <v>2.35</v>
      </c>
      <c r="Y1417" s="65">
        <f>IFERROR(__xludf.DUMMYFUNCTION("""COMPUTED_VALUE"""),7.05)</f>
        <v>7.05</v>
      </c>
      <c r="Z1417" s="65">
        <f>IFERROR(__xludf.DUMMYFUNCTION("""COMPUTED_VALUE"""),116679.0)</f>
        <v>116679</v>
      </c>
      <c r="AA1417" s="65" t="str">
        <f>IFERROR(__xludf.DUMMYFUNCTION("""COMPUTED_VALUE"""),"AMC-2738")</f>
        <v>AMC-2738</v>
      </c>
      <c r="AB1417" s="65"/>
      <c r="AC1417" s="65" t="str">
        <f>IFERROR(__xludf.DUMMYFUNCTION("""COMPUTED_VALUE"""),"ESPONJA ANTILLUVIA DE PARABRISAS")</f>
        <v>ESPONJA ANTILLUVIA DE PARABRISAS</v>
      </c>
      <c r="AD1417" s="65"/>
      <c r="AE1417" s="65">
        <f>IFERROR(__xludf.DUMMYFUNCTION("""COMPUTED_VALUE"""),3.0)</f>
        <v>3</v>
      </c>
      <c r="AF1417" s="65"/>
      <c r="AG1417" s="65"/>
      <c r="AH1417" s="65"/>
      <c r="AI1417" s="65"/>
      <c r="AJ1417" s="65"/>
      <c r="AK1417" s="65"/>
      <c r="AL1417" s="65"/>
      <c r="AM1417" s="65"/>
      <c r="AN1417" s="65"/>
      <c r="AO1417" s="65"/>
      <c r="AP1417" s="65"/>
      <c r="AQ1417" s="65"/>
      <c r="AR1417" s="65"/>
      <c r="AS1417" s="65"/>
      <c r="AT1417" s="65" t="str">
        <f>IFERROR(__xludf.DUMMYFUNCTION("""COMPUTED_VALUE"""),"SHOPIFY")</f>
        <v>SHOPIFY</v>
      </c>
      <c r="AU1417" s="65" t="str">
        <f>IFERROR(__xludf.DUMMYFUNCTION("""COMPUTED_VALUE"""),"IMPORTEX EC")</f>
        <v>IMPORTEX EC</v>
      </c>
      <c r="AV1417" s="65" t="str">
        <f>IFERROR(__xludf.DUMMYFUNCTION("""COMPUTED_VALUE"""),"6447713550380")</f>
        <v>6447713550380</v>
      </c>
      <c r="AW1417" s="65">
        <f>IFERROR(__xludf.DUMMYFUNCTION("""COMPUTED_VALUE"""),5528.0)</f>
        <v>5528</v>
      </c>
      <c r="AX1417" s="65"/>
      <c r="AY1417" s="65"/>
      <c r="AZ1417" s="65"/>
      <c r="BA1417" s="65"/>
    </row>
    <row r="1418">
      <c r="A1418" s="65" t="str">
        <f>IFERROR(__xludf.DUMMYFUNCTION("""COMPUTED_VALUE"""),"27-03-2026")</f>
        <v>27-03-2026</v>
      </c>
      <c r="B1418" s="65">
        <f>IFERROR(__xludf.DUMMYFUNCTION("""COMPUTED_VALUE"""),4274981.0)</f>
        <v>4274981</v>
      </c>
      <c r="C1418" s="65" t="str">
        <f>IFERROR(__xludf.DUMMYFUNCTION("""COMPUTED_VALUE"""),"19:36")</f>
        <v>19:36</v>
      </c>
      <c r="D1418" s="65" t="str">
        <f>IFERROR(__xludf.DUMMYFUNCTION("""COMPUTED_VALUE"""),"25-01-2026")</f>
        <v>25-01-2026</v>
      </c>
      <c r="E1418" s="65" t="str">
        <f>IFERROR(__xludf.DUMMYFUNCTION("""COMPUTED_VALUE"""),"Orlando Cueva")</f>
        <v>Orlando Cueva</v>
      </c>
      <c r="F1418" s="65" t="str">
        <f>IFERROR(__xludf.DUMMYFUNCTION("""COMPUTED_VALUE"""),"999175020")</f>
        <v>999175020</v>
      </c>
      <c r="G1418" s="65" t="str">
        <f>IFERROR(__xludf.DUMMYFUNCTION("""COMPUTED_VALUE"""),"orlandocueva@gmail.com")</f>
        <v>orlandocueva@gmail.com</v>
      </c>
      <c r="H1418" s="65"/>
      <c r="I1418" s="65"/>
      <c r="J1418" s="65" t="str">
        <f>IFERROR(__xludf.DUMMYFUNCTION("""COMPUTED_VALUE"""),"D001266121")</f>
        <v>D001266121</v>
      </c>
      <c r="K1418" s="65" t="str">
        <f>IFERROR(__xludf.DUMMYFUNCTION("""COMPUTED_VALUE"""),"ENTREGADO")</f>
        <v>ENTREGADO</v>
      </c>
      <c r="L1418" s="65" t="str">
        <f>IFERROR(__xludf.DUMMYFUNCTION("""COMPUTED_VALUE"""),"CON RECAUDO")</f>
        <v>CON RECAUDO</v>
      </c>
      <c r="M1418" s="65" t="str">
        <f>IFERROR(__xludf.DUMMYFUNCTION("""COMPUTED_VALUE"""),"GUAYAS")</f>
        <v>GUAYAS</v>
      </c>
      <c r="N1418" s="65" t="str">
        <f>IFERROR(__xludf.DUMMYFUNCTION("""COMPUTED_VALUE"""),"GUAYAQUIL")</f>
        <v>GUAYAQUIL</v>
      </c>
      <c r="O1418" s="65" t="str">
        <f>IFERROR(__xludf.DUMMYFUNCTION("""COMPUTED_VALUE"""),"-NorteUr Villa Italia mz 2 Villa1 Frente A Pascuales -")</f>
        <v>-NorteUr Villa Italia mz 2 Villa1 Frente A Pascuales -</v>
      </c>
      <c r="P1418" s="65"/>
      <c r="Q1418" s="65" t="str">
        <f>IFERROR(__xludf.DUMMYFUNCTION("""COMPUTED_VALUE"""),"GINTRACOM")</f>
        <v>GINTRACOM</v>
      </c>
      <c r="R1418" s="65">
        <f>IFERROR(__xludf.DUMMYFUNCTION("""COMPUTED_VALUE"""),21.99)</f>
        <v>21.99</v>
      </c>
      <c r="S1418" s="65">
        <f>IFERROR(__xludf.DUMMYFUNCTION("""COMPUTED_VALUE"""),11.15)</f>
        <v>11.15</v>
      </c>
      <c r="T1418" s="65">
        <f>IFERROR(__xludf.DUMMYFUNCTION("""COMPUTED_VALUE"""),5.84)</f>
        <v>5.84</v>
      </c>
      <c r="U1418" s="65">
        <f>IFERROR(__xludf.DUMMYFUNCTION("""COMPUTED_VALUE"""),0.0)</f>
        <v>0</v>
      </c>
      <c r="V1418" s="65">
        <f>IFERROR(__xludf.DUMMYFUNCTION("""COMPUTED_VALUE"""),0.0)</f>
        <v>0</v>
      </c>
      <c r="W1418" s="65">
        <f>IFERROR(__xludf.DUMMYFUNCTION("""COMPUTED_VALUE"""),0.0)</f>
        <v>0</v>
      </c>
      <c r="X1418" s="65">
        <f>IFERROR(__xludf.DUMMYFUNCTION("""COMPUTED_VALUE"""),5.0)</f>
        <v>5</v>
      </c>
      <c r="Y1418" s="65">
        <f>IFERROR(__xludf.DUMMYFUNCTION("""COMPUTED_VALUE"""),5.0)</f>
        <v>5</v>
      </c>
      <c r="Z1418" s="65">
        <f>IFERROR(__xludf.DUMMYFUNCTION("""COMPUTED_VALUE"""),110064.0)</f>
        <v>110064</v>
      </c>
      <c r="AA1418" s="65" t="str">
        <f>IFERROR(__xludf.DUMMYFUNCTION("""COMPUTED_VALUE"""),"IMX-00001")</f>
        <v>IMX-00001</v>
      </c>
      <c r="AB1418" s="65"/>
      <c r="AC1418" s="65" t="str">
        <f>IFERROR(__xludf.DUMMYFUNCTION("""COMPUTED_VALUE"""),"LLAVE TRINQUETE")</f>
        <v>LLAVE TRINQUETE</v>
      </c>
      <c r="AD1418" s="65"/>
      <c r="AE1418" s="65">
        <f>IFERROR(__xludf.DUMMYFUNCTION("""COMPUTED_VALUE"""),1.0)</f>
        <v>1</v>
      </c>
      <c r="AF1418" s="65"/>
      <c r="AG1418" s="65"/>
      <c r="AH1418" s="65"/>
      <c r="AI1418" s="65"/>
      <c r="AJ1418" s="65"/>
      <c r="AK1418" s="65"/>
      <c r="AL1418" s="65"/>
      <c r="AM1418" s="65"/>
      <c r="AN1418" s="65"/>
      <c r="AO1418" s="65"/>
      <c r="AP1418" s="65"/>
      <c r="AQ1418" s="65"/>
      <c r="AR1418" s="65"/>
      <c r="AS1418" s="65"/>
      <c r="AT1418" s="65" t="str">
        <f>IFERROR(__xludf.DUMMYFUNCTION("""COMPUTED_VALUE"""),"SHOPIFY")</f>
        <v>SHOPIFY</v>
      </c>
      <c r="AU1418" s="65" t="str">
        <f>IFERROR(__xludf.DUMMYFUNCTION("""COMPUTED_VALUE"""),"IMPORTEX EC")</f>
        <v>IMPORTEX EC</v>
      </c>
      <c r="AV1418" s="65" t="str">
        <f>IFERROR(__xludf.DUMMYFUNCTION("""COMPUTED_VALUE"""),"6447582609452")</f>
        <v>6447582609452</v>
      </c>
      <c r="AW1418" s="65">
        <f>IFERROR(__xludf.DUMMYFUNCTION("""COMPUTED_VALUE"""),5527.0)</f>
        <v>5527</v>
      </c>
      <c r="AX1418" s="65"/>
      <c r="AY1418" s="65" t="str">
        <f>IFERROR(__xludf.DUMMYFUNCTION("""COMPUTED_VALUE"""),"27/01/2026")</f>
        <v>27/01/2026</v>
      </c>
      <c r="AZ1418" s="65"/>
      <c r="BA1418" s="65"/>
    </row>
    <row r="1419">
      <c r="A1419" s="65" t="str">
        <f>IFERROR(__xludf.DUMMYFUNCTION("""COMPUTED_VALUE"""),"27-03-2026")</f>
        <v>27-03-2026</v>
      </c>
      <c r="B1419" s="65">
        <f>IFERROR(__xludf.DUMMYFUNCTION("""COMPUTED_VALUE"""),4274848.0)</f>
        <v>4274848</v>
      </c>
      <c r="C1419" s="65" t="str">
        <f>IFERROR(__xludf.DUMMYFUNCTION("""COMPUTED_VALUE"""),"19:22")</f>
        <v>19:22</v>
      </c>
      <c r="D1419" s="65" t="str">
        <f>IFERROR(__xludf.DUMMYFUNCTION("""COMPUTED_VALUE"""),"25-01-2026")</f>
        <v>25-01-2026</v>
      </c>
      <c r="E1419" s="65" t="str">
        <f>IFERROR(__xludf.DUMMYFUNCTION("""COMPUTED_VALUE"""),"Francisco Sánchez")</f>
        <v>Francisco Sánchez</v>
      </c>
      <c r="F1419" s="65" t="str">
        <f>IFERROR(__xludf.DUMMYFUNCTION("""COMPUTED_VALUE"""),"995645035")</f>
        <v>995645035</v>
      </c>
      <c r="G1419" s="65" t="str">
        <f>IFERROR(__xludf.DUMMYFUNCTION("""COMPUTED_VALUE"""),"panchokit88@gmail.com")</f>
        <v>panchokit88@gmail.com</v>
      </c>
      <c r="H1419" s="65"/>
      <c r="I1419" s="65"/>
      <c r="J1419" s="65"/>
      <c r="K1419" s="65" t="str">
        <f>IFERROR(__xludf.DUMMYFUNCTION("""COMPUTED_VALUE"""),"PENDIENTE CONFIRMACION")</f>
        <v>PENDIENTE CONFIRMACION</v>
      </c>
      <c r="L1419" s="65" t="str">
        <f>IFERROR(__xludf.DUMMYFUNCTION("""COMPUTED_VALUE"""),"CON RECAUDO")</f>
        <v>CON RECAUDO</v>
      </c>
      <c r="M1419" s="65" t="str">
        <f>IFERROR(__xludf.DUMMYFUNCTION("""COMPUTED_VALUE"""),"TUNGURAHUA")</f>
        <v>TUNGURAHUA</v>
      </c>
      <c r="N1419" s="65" t="str">
        <f>IFERROR(__xludf.DUMMYFUNCTION("""COMPUTED_VALUE"""),"AMBATO")</f>
        <v>AMBATO</v>
      </c>
      <c r="O1419" s="65" t="str">
        <f>IFERROR(__xludf.DUMMYFUNCTION("""COMPUTED_VALUE"""),"Enrique Albornoz y Pablo Arturo Suárez Casa de 3 pisos -")</f>
        <v>Enrique Albornoz y Pablo Arturo Suárez Casa de 3 pisos -</v>
      </c>
      <c r="P1419" s="65"/>
      <c r="Q1419" s="65" t="str">
        <f>IFERROR(__xludf.DUMMYFUNCTION("""COMPUTED_VALUE"""),"GINTRACOM")</f>
        <v>GINTRACOM</v>
      </c>
      <c r="R1419" s="65">
        <f>IFERROR(__xludf.DUMMYFUNCTION("""COMPUTED_VALUE"""),25.0)</f>
        <v>25</v>
      </c>
      <c r="S1419" s="65"/>
      <c r="T1419" s="65">
        <f>IFERROR(__xludf.DUMMYFUNCTION("""COMPUTED_VALUE"""),5.96)</f>
        <v>5.96</v>
      </c>
      <c r="U1419" s="65">
        <f>IFERROR(__xludf.DUMMYFUNCTION("""COMPUTED_VALUE"""),0.0)</f>
        <v>0</v>
      </c>
      <c r="V1419" s="65">
        <f>IFERROR(__xludf.DUMMYFUNCTION("""COMPUTED_VALUE"""),0.0)</f>
        <v>0</v>
      </c>
      <c r="W1419" s="65">
        <f>IFERROR(__xludf.DUMMYFUNCTION("""COMPUTED_VALUE"""),0.0)</f>
        <v>0</v>
      </c>
      <c r="X1419" s="65">
        <f>IFERROR(__xludf.DUMMYFUNCTION("""COMPUTED_VALUE"""),2.35)</f>
        <v>2.35</v>
      </c>
      <c r="Y1419" s="65">
        <f>IFERROR(__xludf.DUMMYFUNCTION("""COMPUTED_VALUE"""),4.7)</f>
        <v>4.7</v>
      </c>
      <c r="Z1419" s="65">
        <f>IFERROR(__xludf.DUMMYFUNCTION("""COMPUTED_VALUE"""),116679.0)</f>
        <v>116679</v>
      </c>
      <c r="AA1419" s="65" t="str">
        <f>IFERROR(__xludf.DUMMYFUNCTION("""COMPUTED_VALUE"""),"AMC-2738")</f>
        <v>AMC-2738</v>
      </c>
      <c r="AB1419" s="65"/>
      <c r="AC1419" s="65" t="str">
        <f>IFERROR(__xludf.DUMMYFUNCTION("""COMPUTED_VALUE"""),"ESPONJA ANTILLUVIA DE PARABRISAS")</f>
        <v>ESPONJA ANTILLUVIA DE PARABRISAS</v>
      </c>
      <c r="AD1419" s="65"/>
      <c r="AE1419" s="65">
        <f>IFERROR(__xludf.DUMMYFUNCTION("""COMPUTED_VALUE"""),2.0)</f>
        <v>2</v>
      </c>
      <c r="AF1419" s="65"/>
      <c r="AG1419" s="65"/>
      <c r="AH1419" s="65"/>
      <c r="AI1419" s="65"/>
      <c r="AJ1419" s="65"/>
      <c r="AK1419" s="65"/>
      <c r="AL1419" s="65"/>
      <c r="AM1419" s="65"/>
      <c r="AN1419" s="65"/>
      <c r="AO1419" s="65"/>
      <c r="AP1419" s="65"/>
      <c r="AQ1419" s="65"/>
      <c r="AR1419" s="65"/>
      <c r="AS1419" s="65"/>
      <c r="AT1419" s="65" t="str">
        <f>IFERROR(__xludf.DUMMYFUNCTION("""COMPUTED_VALUE"""),"SHOPIFY")</f>
        <v>SHOPIFY</v>
      </c>
      <c r="AU1419" s="65" t="str">
        <f>IFERROR(__xludf.DUMMYFUNCTION("""COMPUTED_VALUE"""),"IMPORTEX EC")</f>
        <v>IMPORTEX EC</v>
      </c>
      <c r="AV1419" s="65" t="str">
        <f>IFERROR(__xludf.DUMMYFUNCTION("""COMPUTED_VALUE"""),"6447531819052")</f>
        <v>6447531819052</v>
      </c>
      <c r="AW1419" s="65">
        <f>IFERROR(__xludf.DUMMYFUNCTION("""COMPUTED_VALUE"""),5526.0)</f>
        <v>5526</v>
      </c>
      <c r="AX1419" s="65"/>
      <c r="AY1419" s="65"/>
      <c r="AZ1419" s="65"/>
      <c r="BA1419" s="65"/>
    </row>
    <row r="1420">
      <c r="A1420" s="65" t="str">
        <f>IFERROR(__xludf.DUMMYFUNCTION("""COMPUTED_VALUE"""),"27-03-2026")</f>
        <v>27-03-2026</v>
      </c>
      <c r="B1420" s="65">
        <f>IFERROR(__xludf.DUMMYFUNCTION("""COMPUTED_VALUE"""),4274708.0)</f>
        <v>4274708</v>
      </c>
      <c r="C1420" s="65" t="str">
        <f>IFERROR(__xludf.DUMMYFUNCTION("""COMPUTED_VALUE"""),"19:06")</f>
        <v>19:06</v>
      </c>
      <c r="D1420" s="65" t="str">
        <f>IFERROR(__xludf.DUMMYFUNCTION("""COMPUTED_VALUE"""),"25-01-2026")</f>
        <v>25-01-2026</v>
      </c>
      <c r="E1420" s="65" t="str">
        <f>IFERROR(__xludf.DUMMYFUNCTION("""COMPUTED_VALUE"""),"Edison Harman Carrion Ordóñez")</f>
        <v>Edison Harman Carrion Ordóñez</v>
      </c>
      <c r="F1420" s="65" t="str">
        <f>IFERROR(__xludf.DUMMYFUNCTION("""COMPUTED_VALUE"""),"983852974")</f>
        <v>983852974</v>
      </c>
      <c r="G1420" s="65" t="str">
        <f>IFERROR(__xludf.DUMMYFUNCTION("""COMPUTED_VALUE"""),"harmancarrion71@gmail.com")</f>
        <v>harmancarrion71@gmail.com</v>
      </c>
      <c r="H1420" s="65"/>
      <c r="I1420" s="65"/>
      <c r="J1420" s="65" t="str">
        <f>IFERROR(__xludf.DUMMYFUNCTION("""COMPUTED_VALUE"""),"D001266122")</f>
        <v>D001266122</v>
      </c>
      <c r="K1420" s="65" t="str">
        <f>IFERROR(__xludf.DUMMYFUNCTION("""COMPUTED_VALUE"""),"ENTREGADO")</f>
        <v>ENTREGADO</v>
      </c>
      <c r="L1420" s="65" t="str">
        <f>IFERROR(__xludf.DUMMYFUNCTION("""COMPUTED_VALUE"""),"CON RECAUDO")</f>
        <v>CON RECAUDO</v>
      </c>
      <c r="M1420" s="65" t="str">
        <f>IFERROR(__xludf.DUMMYFUNCTION("""COMPUTED_VALUE"""),"AZUAY")</f>
        <v>AZUAY</v>
      </c>
      <c r="N1420" s="65" t="str">
        <f>IFERROR(__xludf.DUMMYFUNCTION("""COMPUTED_VALUE"""),"CUENCA")</f>
        <v>CUENCA</v>
      </c>
      <c r="O1420" s="65" t="str">
        <f>IFERROR(__xludf.DUMMYFUNCTION("""COMPUTED_VALUE"""),"Av américas y medio ejido Av américas ector parque dragó -")</f>
        <v>Av américas y medio ejido Av américas ector parque dragó -</v>
      </c>
      <c r="P1420" s="65"/>
      <c r="Q1420" s="65" t="str">
        <f>IFERROR(__xludf.DUMMYFUNCTION("""COMPUTED_VALUE"""),"GINTRACOM")</f>
        <v>GINTRACOM</v>
      </c>
      <c r="R1420" s="65">
        <f>IFERROR(__xludf.DUMMYFUNCTION("""COMPUTED_VALUE"""),32.0)</f>
        <v>32</v>
      </c>
      <c r="S1420" s="65">
        <f>IFERROR(__xludf.DUMMYFUNCTION("""COMPUTED_VALUE"""),15.76)</f>
        <v>15.76</v>
      </c>
      <c r="T1420" s="65">
        <f>IFERROR(__xludf.DUMMYFUNCTION("""COMPUTED_VALUE"""),6.24)</f>
        <v>6.24</v>
      </c>
      <c r="U1420" s="65">
        <f>IFERROR(__xludf.DUMMYFUNCTION("""COMPUTED_VALUE"""),0.0)</f>
        <v>0</v>
      </c>
      <c r="V1420" s="65">
        <f>IFERROR(__xludf.DUMMYFUNCTION("""COMPUTED_VALUE"""),0.0)</f>
        <v>0</v>
      </c>
      <c r="W1420" s="65">
        <f>IFERROR(__xludf.DUMMYFUNCTION("""COMPUTED_VALUE"""),0.0)</f>
        <v>0</v>
      </c>
      <c r="X1420" s="65">
        <f>IFERROR(__xludf.DUMMYFUNCTION("""COMPUTED_VALUE"""),5.0)</f>
        <v>5</v>
      </c>
      <c r="Y1420" s="65">
        <f>IFERROR(__xludf.DUMMYFUNCTION("""COMPUTED_VALUE"""),10.0)</f>
        <v>10</v>
      </c>
      <c r="Z1420" s="65">
        <f>IFERROR(__xludf.DUMMYFUNCTION("""COMPUTED_VALUE"""),110064.0)</f>
        <v>110064</v>
      </c>
      <c r="AA1420" s="65" t="str">
        <f>IFERROR(__xludf.DUMMYFUNCTION("""COMPUTED_VALUE"""),"IMX-00001")</f>
        <v>IMX-00001</v>
      </c>
      <c r="AB1420" s="65"/>
      <c r="AC1420" s="65" t="str">
        <f>IFERROR(__xludf.DUMMYFUNCTION("""COMPUTED_VALUE"""),"LLAVE TRINQUETE")</f>
        <v>LLAVE TRINQUETE</v>
      </c>
      <c r="AD1420" s="65"/>
      <c r="AE1420" s="65">
        <f>IFERROR(__xludf.DUMMYFUNCTION("""COMPUTED_VALUE"""),2.0)</f>
        <v>2</v>
      </c>
      <c r="AF1420" s="65"/>
      <c r="AG1420" s="65"/>
      <c r="AH1420" s="65"/>
      <c r="AI1420" s="65"/>
      <c r="AJ1420" s="65"/>
      <c r="AK1420" s="65"/>
      <c r="AL1420" s="65"/>
      <c r="AM1420" s="65"/>
      <c r="AN1420" s="65"/>
      <c r="AO1420" s="65"/>
      <c r="AP1420" s="65"/>
      <c r="AQ1420" s="65"/>
      <c r="AR1420" s="65"/>
      <c r="AS1420" s="65"/>
      <c r="AT1420" s="65" t="str">
        <f>IFERROR(__xludf.DUMMYFUNCTION("""COMPUTED_VALUE"""),"SHOPIFY")</f>
        <v>SHOPIFY</v>
      </c>
      <c r="AU1420" s="65" t="str">
        <f>IFERROR(__xludf.DUMMYFUNCTION("""COMPUTED_VALUE"""),"IMPORTEX EC")</f>
        <v>IMPORTEX EC</v>
      </c>
      <c r="AV1420" s="65" t="str">
        <f>IFERROR(__xludf.DUMMYFUNCTION("""COMPUTED_VALUE"""),"6447486861356")</f>
        <v>6447486861356</v>
      </c>
      <c r="AW1420" s="65">
        <f>IFERROR(__xludf.DUMMYFUNCTION("""COMPUTED_VALUE"""),5524.0)</f>
        <v>5524</v>
      </c>
      <c r="AX1420" s="65"/>
      <c r="AY1420" s="65" t="str">
        <f>IFERROR(__xludf.DUMMYFUNCTION("""COMPUTED_VALUE"""),"27/01/2026")</f>
        <v>27/01/2026</v>
      </c>
      <c r="AZ1420" s="65"/>
      <c r="BA1420" s="65"/>
    </row>
    <row r="1421">
      <c r="A1421" s="65" t="str">
        <f>IFERROR(__xludf.DUMMYFUNCTION("""COMPUTED_VALUE"""),"27-03-2026")</f>
        <v>27-03-2026</v>
      </c>
      <c r="B1421" s="65">
        <f>IFERROR(__xludf.DUMMYFUNCTION("""COMPUTED_VALUE"""),4274146.0)</f>
        <v>4274146</v>
      </c>
      <c r="C1421" s="65" t="str">
        <f>IFERROR(__xludf.DUMMYFUNCTION("""COMPUTED_VALUE"""),"17:54")</f>
        <v>17:54</v>
      </c>
      <c r="D1421" s="65" t="str">
        <f>IFERROR(__xludf.DUMMYFUNCTION("""COMPUTED_VALUE"""),"25-01-2026")</f>
        <v>25-01-2026</v>
      </c>
      <c r="E1421" s="65" t="str">
        <f>IFERROR(__xludf.DUMMYFUNCTION("""COMPUTED_VALUE"""),"Victor Orlando Vicente Aguilar")</f>
        <v>Victor Orlando Vicente Aguilar</v>
      </c>
      <c r="F1421" s="65" t="str">
        <f>IFERROR(__xludf.DUMMYFUNCTION("""COMPUTED_VALUE"""),"980136218")</f>
        <v>980136218</v>
      </c>
      <c r="G1421" s="65" t="str">
        <f>IFERROR(__xludf.DUMMYFUNCTION("""COMPUTED_VALUE"""),"victororlando11@outlook.com")</f>
        <v>victororlando11@outlook.com</v>
      </c>
      <c r="H1421" s="65"/>
      <c r="I1421" s="65"/>
      <c r="J1421" s="65" t="str">
        <f>IFERROR(__xludf.DUMMYFUNCTION("""COMPUTED_VALUE"""),"WYB166112265")</f>
        <v>WYB166112265</v>
      </c>
      <c r="K1421" s="65" t="str">
        <f>IFERROR(__xludf.DUMMYFUNCTION("""COMPUTED_VALUE"""),"DEVOLUCION")</f>
        <v>DEVOLUCION</v>
      </c>
      <c r="L1421" s="65" t="str">
        <f>IFERROR(__xludf.DUMMYFUNCTION("""COMPUTED_VALUE"""),"CON RECAUDO")</f>
        <v>CON RECAUDO</v>
      </c>
      <c r="M1421" s="65" t="str">
        <f>IFERROR(__xludf.DUMMYFUNCTION("""COMPUTED_VALUE"""),"EL ORO")</f>
        <v>EL ORO</v>
      </c>
      <c r="N1421" s="65" t="str">
        <f>IFERROR(__xludf.DUMMYFUNCTION("""COMPUTED_VALUE"""),"PIÑAS")</f>
        <v>PIÑAS</v>
      </c>
      <c r="O1421" s="65" t="str">
        <f>IFERROR(__xludf.DUMMYFUNCTION("""COMPUTED_VALUE"""),"-la Tigrera - calle zaruma -")</f>
        <v>-la Tigrera - calle zaruma -</v>
      </c>
      <c r="P1421" s="65"/>
      <c r="Q1421" s="65" t="str">
        <f>IFERROR(__xludf.DUMMYFUNCTION("""COMPUTED_VALUE"""),"URBANO")</f>
        <v>URBANO</v>
      </c>
      <c r="R1421" s="65">
        <f>IFERROR(__xludf.DUMMYFUNCTION("""COMPUTED_VALUE"""),32.0)</f>
        <v>32</v>
      </c>
      <c r="S1421" s="65"/>
      <c r="T1421" s="65">
        <f>IFERROR(__xludf.DUMMYFUNCTION("""COMPUTED_VALUE"""),5.89)</f>
        <v>5.89</v>
      </c>
      <c r="U1421" s="65">
        <f>IFERROR(__xludf.DUMMYFUNCTION("""COMPUTED_VALUE"""),0.0)</f>
        <v>0</v>
      </c>
      <c r="V1421" s="65">
        <f>IFERROR(__xludf.DUMMYFUNCTION("""COMPUTED_VALUE"""),0.0)</f>
        <v>0</v>
      </c>
      <c r="W1421" s="65">
        <f>IFERROR(__xludf.DUMMYFUNCTION("""COMPUTED_VALUE"""),0.0)</f>
        <v>0</v>
      </c>
      <c r="X1421" s="65">
        <f>IFERROR(__xludf.DUMMYFUNCTION("""COMPUTED_VALUE"""),5.0)</f>
        <v>5</v>
      </c>
      <c r="Y1421" s="65">
        <f>IFERROR(__xludf.DUMMYFUNCTION("""COMPUTED_VALUE"""),10.0)</f>
        <v>10</v>
      </c>
      <c r="Z1421" s="65">
        <f>IFERROR(__xludf.DUMMYFUNCTION("""COMPUTED_VALUE"""),110064.0)</f>
        <v>110064</v>
      </c>
      <c r="AA1421" s="65" t="str">
        <f>IFERROR(__xludf.DUMMYFUNCTION("""COMPUTED_VALUE"""),"IMX-00001")</f>
        <v>IMX-00001</v>
      </c>
      <c r="AB1421" s="65"/>
      <c r="AC1421" s="65" t="str">
        <f>IFERROR(__xludf.DUMMYFUNCTION("""COMPUTED_VALUE"""),"LLAVE TRINQUETE")</f>
        <v>LLAVE TRINQUETE</v>
      </c>
      <c r="AD1421" s="65"/>
      <c r="AE1421" s="65">
        <f>IFERROR(__xludf.DUMMYFUNCTION("""COMPUTED_VALUE"""),2.0)</f>
        <v>2</v>
      </c>
      <c r="AF1421" s="65" t="str">
        <f>IFERROR(__xludf.DUMMYFUNCTION("""COMPUTED_VALUE"""),"DIRECCION INSUFICIENTE")</f>
        <v>DIRECCION INSUFICIENTE</v>
      </c>
      <c r="AG1421" s="65" t="str">
        <f>IFERROR(__xludf.DUMMYFUNCTION("""COMPUTED_VALUE"""),"NO")</f>
        <v>NO</v>
      </c>
      <c r="AH1421" s="65" t="str">
        <f>IFERROR(__xludf.DUMMYFUNCTION("""COMPUTED_VALUE"""),"02:05")</f>
        <v>02:05</v>
      </c>
      <c r="AI1421" s="65" t="str">
        <f>IFERROR(__xludf.DUMMYFUNCTION("""COMPUTED_VALUE"""),"09-02-2026")</f>
        <v>09-02-2026</v>
      </c>
      <c r="AJ1421" s="65"/>
      <c r="AK1421" s="65"/>
      <c r="AL1421" s="65"/>
      <c r="AM1421" s="65"/>
      <c r="AN1421" s="65"/>
      <c r="AO1421" s="65"/>
      <c r="AP1421" s="65"/>
      <c r="AQ1421" s="65"/>
      <c r="AR1421" s="65"/>
      <c r="AS1421" s="65"/>
      <c r="AT1421" s="65" t="str">
        <f>IFERROR(__xludf.DUMMYFUNCTION("""COMPUTED_VALUE"""),"SHOPIFY")</f>
        <v>SHOPIFY</v>
      </c>
      <c r="AU1421" s="65" t="str">
        <f>IFERROR(__xludf.DUMMYFUNCTION("""COMPUTED_VALUE"""),"IMPORTEX EC")</f>
        <v>IMPORTEX EC</v>
      </c>
      <c r="AV1421" s="65" t="str">
        <f>IFERROR(__xludf.DUMMYFUNCTION("""COMPUTED_VALUE"""),"6447333900332")</f>
        <v>6447333900332</v>
      </c>
      <c r="AW1421" s="65">
        <f>IFERROR(__xludf.DUMMYFUNCTION("""COMPUTED_VALUE"""),5523.0)</f>
        <v>5523</v>
      </c>
      <c r="AX1421" s="65"/>
      <c r="AY1421" s="65" t="str">
        <f>IFERROR(__xludf.DUMMYFUNCTION("""COMPUTED_VALUE"""),"27/01/2026")</f>
        <v>27/01/2026</v>
      </c>
      <c r="AZ1421" s="65"/>
      <c r="BA1421" s="65"/>
    </row>
    <row r="1422">
      <c r="A1422" s="65" t="str">
        <f>IFERROR(__xludf.DUMMYFUNCTION("""COMPUTED_VALUE"""),"27-03-2026")</f>
        <v>27-03-2026</v>
      </c>
      <c r="B1422" s="65">
        <f>IFERROR(__xludf.DUMMYFUNCTION("""COMPUTED_VALUE"""),4273980.0)</f>
        <v>4273980</v>
      </c>
      <c r="C1422" s="65" t="str">
        <f>IFERROR(__xludf.DUMMYFUNCTION("""COMPUTED_VALUE"""),"17:37")</f>
        <v>17:37</v>
      </c>
      <c r="D1422" s="65" t="str">
        <f>IFERROR(__xludf.DUMMYFUNCTION("""COMPUTED_VALUE"""),"25-01-2026")</f>
        <v>25-01-2026</v>
      </c>
      <c r="E1422" s="65" t="str">
        <f>IFERROR(__xludf.DUMMYFUNCTION("""COMPUTED_VALUE"""),"Rodrigo Tobar")</f>
        <v>Rodrigo Tobar</v>
      </c>
      <c r="F1422" s="65" t="str">
        <f>IFERROR(__xludf.DUMMYFUNCTION("""COMPUTED_VALUE"""),"993980027")</f>
        <v>993980027</v>
      </c>
      <c r="G1422" s="65" t="str">
        <f>IFERROR(__xludf.DUMMYFUNCTION("""COMPUTED_VALUE"""),"rtobat_99@yahoo.com")</f>
        <v>rtobat_99@yahoo.com</v>
      </c>
      <c r="H1422" s="65"/>
      <c r="I1422" s="65"/>
      <c r="J1422" s="65"/>
      <c r="K1422" s="65" t="str">
        <f>IFERROR(__xludf.DUMMYFUNCTION("""COMPUTED_VALUE"""),"CANCELADO")</f>
        <v>CANCELADO</v>
      </c>
      <c r="L1422" s="65" t="str">
        <f>IFERROR(__xludf.DUMMYFUNCTION("""COMPUTED_VALUE"""),"CON RECAUDO")</f>
        <v>CON RECAUDO</v>
      </c>
      <c r="M1422" s="65" t="str">
        <f>IFERROR(__xludf.DUMMYFUNCTION("""COMPUTED_VALUE"""),"PICHINCHA")</f>
        <v>PICHINCHA</v>
      </c>
      <c r="N1422" s="65" t="str">
        <f>IFERROR(__xludf.DUMMYFUNCTION("""COMPUTED_VALUE"""),"QUITO")</f>
        <v>QUITO</v>
      </c>
      <c r="O1422" s="65" t="str">
        <f>IFERROR(__xludf.DUMMYFUNCTION("""COMPUTED_VALUE"""),"Plataforma social del Sur Quitumbe -")</f>
        <v>Plataforma social del Sur Quitumbe -</v>
      </c>
      <c r="P1422" s="65"/>
      <c r="Q1422" s="65" t="str">
        <f>IFERROR(__xludf.DUMMYFUNCTION("""COMPUTED_VALUE"""),"GINTRACOM")</f>
        <v>GINTRACOM</v>
      </c>
      <c r="R1422" s="65">
        <f>IFERROR(__xludf.DUMMYFUNCTION("""COMPUTED_VALUE"""),21.99)</f>
        <v>21.99</v>
      </c>
      <c r="S1422" s="65"/>
      <c r="T1422" s="65">
        <f>IFERROR(__xludf.DUMMYFUNCTION("""COMPUTED_VALUE"""),4.23)</f>
        <v>4.23</v>
      </c>
      <c r="U1422" s="65">
        <f>IFERROR(__xludf.DUMMYFUNCTION("""COMPUTED_VALUE"""),0.0)</f>
        <v>0</v>
      </c>
      <c r="V1422" s="65">
        <f>IFERROR(__xludf.DUMMYFUNCTION("""COMPUTED_VALUE"""),0.0)</f>
        <v>0</v>
      </c>
      <c r="W1422" s="65">
        <f>IFERROR(__xludf.DUMMYFUNCTION("""COMPUTED_VALUE"""),0.0)</f>
        <v>0</v>
      </c>
      <c r="X1422" s="65">
        <f>IFERROR(__xludf.DUMMYFUNCTION("""COMPUTED_VALUE"""),5.0)</f>
        <v>5</v>
      </c>
      <c r="Y1422" s="65">
        <f>IFERROR(__xludf.DUMMYFUNCTION("""COMPUTED_VALUE"""),5.0)</f>
        <v>5</v>
      </c>
      <c r="Z1422" s="65">
        <f>IFERROR(__xludf.DUMMYFUNCTION("""COMPUTED_VALUE"""),110064.0)</f>
        <v>110064</v>
      </c>
      <c r="AA1422" s="65" t="str">
        <f>IFERROR(__xludf.DUMMYFUNCTION("""COMPUTED_VALUE"""),"IMX-00001")</f>
        <v>IMX-00001</v>
      </c>
      <c r="AB1422" s="65"/>
      <c r="AC1422" s="65" t="str">
        <f>IFERROR(__xludf.DUMMYFUNCTION("""COMPUTED_VALUE"""),"LLAVE TRINQUETE")</f>
        <v>LLAVE TRINQUETE</v>
      </c>
      <c r="AD1422" s="65"/>
      <c r="AE1422" s="65">
        <f>IFERROR(__xludf.DUMMYFUNCTION("""COMPUTED_VALUE"""),1.0)</f>
        <v>1</v>
      </c>
      <c r="AF1422" s="65"/>
      <c r="AG1422" s="65"/>
      <c r="AH1422" s="65"/>
      <c r="AI1422" s="65"/>
      <c r="AJ1422" s="65"/>
      <c r="AK1422" s="65"/>
      <c r="AL1422" s="65"/>
      <c r="AM1422" s="65"/>
      <c r="AN1422" s="65"/>
      <c r="AO1422" s="65"/>
      <c r="AP1422" s="65"/>
      <c r="AQ1422" s="65"/>
      <c r="AR1422" s="65"/>
      <c r="AS1422" s="65"/>
      <c r="AT1422" s="65" t="str">
        <f>IFERROR(__xludf.DUMMYFUNCTION("""COMPUTED_VALUE"""),"SHOPIFY")</f>
        <v>SHOPIFY</v>
      </c>
      <c r="AU1422" s="65" t="str">
        <f>IFERROR(__xludf.DUMMYFUNCTION("""COMPUTED_VALUE"""),"IMPORTEX EC")</f>
        <v>IMPORTEX EC</v>
      </c>
      <c r="AV1422" s="65" t="str">
        <f>IFERROR(__xludf.DUMMYFUNCTION("""COMPUTED_VALUE"""),"6447288254508")</f>
        <v>6447288254508</v>
      </c>
      <c r="AW1422" s="65">
        <f>IFERROR(__xludf.DUMMYFUNCTION("""COMPUTED_VALUE"""),5522.0)</f>
        <v>5522</v>
      </c>
      <c r="AX1422" s="65"/>
      <c r="AY1422" s="65"/>
      <c r="AZ1422" s="65"/>
      <c r="BA1422" s="65"/>
    </row>
    <row r="1423">
      <c r="A1423" s="65" t="str">
        <f>IFERROR(__xludf.DUMMYFUNCTION("""COMPUTED_VALUE"""),"27-03-2026")</f>
        <v>27-03-2026</v>
      </c>
      <c r="B1423" s="65">
        <f>IFERROR(__xludf.DUMMYFUNCTION("""COMPUTED_VALUE"""),4273673.0)</f>
        <v>4273673</v>
      </c>
      <c r="C1423" s="65" t="str">
        <f>IFERROR(__xludf.DUMMYFUNCTION("""COMPUTED_VALUE"""),"16:52")</f>
        <v>16:52</v>
      </c>
      <c r="D1423" s="65" t="str">
        <f>IFERROR(__xludf.DUMMYFUNCTION("""COMPUTED_VALUE"""),"25-01-2026")</f>
        <v>25-01-2026</v>
      </c>
      <c r="E1423" s="65" t="str">
        <f>IFERROR(__xludf.DUMMYFUNCTION("""COMPUTED_VALUE"""),"Ricardo Rosero")</f>
        <v>Ricardo Rosero</v>
      </c>
      <c r="F1423" s="65" t="str">
        <f>IFERROR(__xludf.DUMMYFUNCTION("""COMPUTED_VALUE"""),"999954302")</f>
        <v>999954302</v>
      </c>
      <c r="G1423" s="65" t="str">
        <f>IFERROR(__xludf.DUMMYFUNCTION("""COMPUTED_VALUE"""),"rrosero1167@gmail.com")</f>
        <v>rrosero1167@gmail.com</v>
      </c>
      <c r="H1423" s="65"/>
      <c r="I1423" s="65"/>
      <c r="J1423" s="65"/>
      <c r="K1423" s="65" t="str">
        <f>IFERROR(__xludf.DUMMYFUNCTION("""COMPUTED_VALUE"""),"PENDIENTE CONFIRMACION")</f>
        <v>PENDIENTE CONFIRMACION</v>
      </c>
      <c r="L1423" s="65" t="str">
        <f>IFERROR(__xludf.DUMMYFUNCTION("""COMPUTED_VALUE"""),"CON RECAUDO")</f>
        <v>CON RECAUDO</v>
      </c>
      <c r="M1423" s="65" t="str">
        <f>IFERROR(__xludf.DUMMYFUNCTION("""COMPUTED_VALUE"""),"CARCHI")</f>
        <v>CARCHI</v>
      </c>
      <c r="N1423" s="65" t="str">
        <f>IFERROR(__xludf.DUMMYFUNCTION("""COMPUTED_VALUE"""),"TULCAN")</f>
        <v>TULCAN</v>
      </c>
      <c r="O1423" s="65" t="str">
        <f>IFERROR(__xludf.DUMMYFUNCTION("""COMPUTED_VALUE"""),"Av centenario Y pasaje A66 -")</f>
        <v>Av centenario Y pasaje A66 -</v>
      </c>
      <c r="P1423" s="65"/>
      <c r="Q1423" s="65" t="str">
        <f>IFERROR(__xludf.DUMMYFUNCTION("""COMPUTED_VALUE"""),"GINTRACOM")</f>
        <v>GINTRACOM</v>
      </c>
      <c r="R1423" s="65">
        <f>IFERROR(__xludf.DUMMYFUNCTION("""COMPUTED_VALUE"""),21.99)</f>
        <v>21.99</v>
      </c>
      <c r="S1423" s="65"/>
      <c r="T1423" s="65">
        <f>IFERROR(__xludf.DUMMYFUNCTION("""COMPUTED_VALUE"""),5.84)</f>
        <v>5.84</v>
      </c>
      <c r="U1423" s="65">
        <f>IFERROR(__xludf.DUMMYFUNCTION("""COMPUTED_VALUE"""),0.0)</f>
        <v>0</v>
      </c>
      <c r="V1423" s="65">
        <f>IFERROR(__xludf.DUMMYFUNCTION("""COMPUTED_VALUE"""),0.0)</f>
        <v>0</v>
      </c>
      <c r="W1423" s="65">
        <f>IFERROR(__xludf.DUMMYFUNCTION("""COMPUTED_VALUE"""),0.0)</f>
        <v>0</v>
      </c>
      <c r="X1423" s="65">
        <f>IFERROR(__xludf.DUMMYFUNCTION("""COMPUTED_VALUE"""),5.0)</f>
        <v>5</v>
      </c>
      <c r="Y1423" s="65">
        <f>IFERROR(__xludf.DUMMYFUNCTION("""COMPUTED_VALUE"""),5.0)</f>
        <v>5</v>
      </c>
      <c r="Z1423" s="65">
        <f>IFERROR(__xludf.DUMMYFUNCTION("""COMPUTED_VALUE"""),110064.0)</f>
        <v>110064</v>
      </c>
      <c r="AA1423" s="65" t="str">
        <f>IFERROR(__xludf.DUMMYFUNCTION("""COMPUTED_VALUE"""),"IMX-00001")</f>
        <v>IMX-00001</v>
      </c>
      <c r="AB1423" s="65"/>
      <c r="AC1423" s="65" t="str">
        <f>IFERROR(__xludf.DUMMYFUNCTION("""COMPUTED_VALUE"""),"LLAVE TRINQUETE")</f>
        <v>LLAVE TRINQUETE</v>
      </c>
      <c r="AD1423" s="65"/>
      <c r="AE1423" s="65">
        <f>IFERROR(__xludf.DUMMYFUNCTION("""COMPUTED_VALUE"""),1.0)</f>
        <v>1</v>
      </c>
      <c r="AF1423" s="65"/>
      <c r="AG1423" s="65"/>
      <c r="AH1423" s="65"/>
      <c r="AI1423" s="65"/>
      <c r="AJ1423" s="65"/>
      <c r="AK1423" s="65"/>
      <c r="AL1423" s="65"/>
      <c r="AM1423" s="65"/>
      <c r="AN1423" s="65"/>
      <c r="AO1423" s="65"/>
      <c r="AP1423" s="65"/>
      <c r="AQ1423" s="65"/>
      <c r="AR1423" s="65"/>
      <c r="AS1423" s="65"/>
      <c r="AT1423" s="65" t="str">
        <f>IFERROR(__xludf.DUMMYFUNCTION("""COMPUTED_VALUE"""),"SHOPIFY")</f>
        <v>SHOPIFY</v>
      </c>
      <c r="AU1423" s="65" t="str">
        <f>IFERROR(__xludf.DUMMYFUNCTION("""COMPUTED_VALUE"""),"IMPORTEX EC")</f>
        <v>IMPORTEX EC</v>
      </c>
      <c r="AV1423" s="65" t="str">
        <f>IFERROR(__xludf.DUMMYFUNCTION("""COMPUTED_VALUE"""),"6447187591212")</f>
        <v>6447187591212</v>
      </c>
      <c r="AW1423" s="65">
        <f>IFERROR(__xludf.DUMMYFUNCTION("""COMPUTED_VALUE"""),5521.0)</f>
        <v>5521</v>
      </c>
      <c r="AX1423" s="65"/>
      <c r="AY1423" s="65"/>
      <c r="AZ1423" s="65"/>
      <c r="BA1423" s="65"/>
    </row>
    <row r="1424">
      <c r="A1424" s="65" t="str">
        <f>IFERROR(__xludf.DUMMYFUNCTION("""COMPUTED_VALUE"""),"27-03-2026")</f>
        <v>27-03-2026</v>
      </c>
      <c r="B1424" s="65">
        <f>IFERROR(__xludf.DUMMYFUNCTION("""COMPUTED_VALUE"""),4273650.0)</f>
        <v>4273650</v>
      </c>
      <c r="C1424" s="65" t="str">
        <f>IFERROR(__xludf.DUMMYFUNCTION("""COMPUTED_VALUE"""),"16:47")</f>
        <v>16:47</v>
      </c>
      <c r="D1424" s="65" t="str">
        <f>IFERROR(__xludf.DUMMYFUNCTION("""COMPUTED_VALUE"""),"25-01-2026")</f>
        <v>25-01-2026</v>
      </c>
      <c r="E1424" s="65" t="str">
        <f>IFERROR(__xludf.DUMMYFUNCTION("""COMPUTED_VALUE"""),"Víctor Arias")</f>
        <v>Víctor Arias</v>
      </c>
      <c r="F1424" s="65" t="str">
        <f>IFERROR(__xludf.DUMMYFUNCTION("""COMPUTED_VALUE"""),"994761513")</f>
        <v>994761513</v>
      </c>
      <c r="G1424" s="65" t="str">
        <f>IFERROR(__xludf.DUMMYFUNCTION("""COMPUTED_VALUE"""),"hu_arias@hotmail.com")</f>
        <v>hu_arias@hotmail.com</v>
      </c>
      <c r="H1424" s="65"/>
      <c r="I1424" s="65"/>
      <c r="J1424" s="65"/>
      <c r="K1424" s="65" t="str">
        <f>IFERROR(__xludf.DUMMYFUNCTION("""COMPUTED_VALUE"""),"CANCELADO")</f>
        <v>CANCELADO</v>
      </c>
      <c r="L1424" s="65" t="str">
        <f>IFERROR(__xludf.DUMMYFUNCTION("""COMPUTED_VALUE"""),"CON RECAUDO")</f>
        <v>CON RECAUDO</v>
      </c>
      <c r="M1424" s="65" t="str">
        <f>IFERROR(__xludf.DUMMYFUNCTION("""COMPUTED_VALUE"""),"PICHINCHA")</f>
        <v>PICHINCHA</v>
      </c>
      <c r="N1424" s="65" t="str">
        <f>IFERROR(__xludf.DUMMYFUNCTION("""COMPUTED_VALUE"""),"ALOAG")</f>
        <v>ALOAG</v>
      </c>
      <c r="O1424" s="65" t="str">
        <f>IFERROR(__xludf.DUMMYFUNCTION("""COMPUTED_VALUE"""),"Bahia de Caraquez Norte Aloag -")</f>
        <v>Bahia de Caraquez Norte Aloag -</v>
      </c>
      <c r="P1424" s="65" t="str">
        <f>IFERROR(__xludf.DUMMYFUNCTION("""COMPUTED_VALUE"""),"(SERVIENTREGA) CS: ALOAG_PRINCIPAL / FERNANDO CASTRO S/N Y BAHIA DE CARAQUEZ")</f>
        <v>(SERVIENTREGA) CS: ALOAG_PRINCIPAL / FERNANDO CASTRO S/N Y BAHIA DE CARAQUEZ</v>
      </c>
      <c r="Q1424" s="65" t="str">
        <f>IFERROR(__xludf.DUMMYFUNCTION("""COMPUTED_VALUE"""),"SERVIENTREGA")</f>
        <v>SERVIENTREGA</v>
      </c>
      <c r="R1424" s="65">
        <f>IFERROR(__xludf.DUMMYFUNCTION("""COMPUTED_VALUE"""),21.99)</f>
        <v>21.99</v>
      </c>
      <c r="S1424" s="65"/>
      <c r="T1424" s="65">
        <f>IFERROR(__xludf.DUMMYFUNCTION("""COMPUTED_VALUE"""),7.7)</f>
        <v>7.7</v>
      </c>
      <c r="U1424" s="65">
        <f>IFERROR(__xludf.DUMMYFUNCTION("""COMPUTED_VALUE"""),0.0)</f>
        <v>0</v>
      </c>
      <c r="V1424" s="65">
        <f>IFERROR(__xludf.DUMMYFUNCTION("""COMPUTED_VALUE"""),0.0)</f>
        <v>0</v>
      </c>
      <c r="W1424" s="65">
        <f>IFERROR(__xludf.DUMMYFUNCTION("""COMPUTED_VALUE"""),0.0)</f>
        <v>0</v>
      </c>
      <c r="X1424" s="65">
        <f>IFERROR(__xludf.DUMMYFUNCTION("""COMPUTED_VALUE"""),5.0)</f>
        <v>5</v>
      </c>
      <c r="Y1424" s="65">
        <f>IFERROR(__xludf.DUMMYFUNCTION("""COMPUTED_VALUE"""),5.0)</f>
        <v>5</v>
      </c>
      <c r="Z1424" s="65">
        <f>IFERROR(__xludf.DUMMYFUNCTION("""COMPUTED_VALUE"""),110064.0)</f>
        <v>110064</v>
      </c>
      <c r="AA1424" s="65" t="str">
        <f>IFERROR(__xludf.DUMMYFUNCTION("""COMPUTED_VALUE"""),"IMX-00001")</f>
        <v>IMX-00001</v>
      </c>
      <c r="AB1424" s="65"/>
      <c r="AC1424" s="65" t="str">
        <f>IFERROR(__xludf.DUMMYFUNCTION("""COMPUTED_VALUE"""),"LLAVE TRINQUETE")</f>
        <v>LLAVE TRINQUETE</v>
      </c>
      <c r="AD1424" s="65"/>
      <c r="AE1424" s="65">
        <f>IFERROR(__xludf.DUMMYFUNCTION("""COMPUTED_VALUE"""),1.0)</f>
        <v>1</v>
      </c>
      <c r="AF1424" s="65"/>
      <c r="AG1424" s="65"/>
      <c r="AH1424" s="65"/>
      <c r="AI1424" s="65"/>
      <c r="AJ1424" s="65"/>
      <c r="AK1424" s="65"/>
      <c r="AL1424" s="65"/>
      <c r="AM1424" s="65"/>
      <c r="AN1424" s="65"/>
      <c r="AO1424" s="65"/>
      <c r="AP1424" s="65"/>
      <c r="AQ1424" s="65"/>
      <c r="AR1424" s="65"/>
      <c r="AS1424" s="65"/>
      <c r="AT1424" s="65" t="str">
        <f>IFERROR(__xludf.DUMMYFUNCTION("""COMPUTED_VALUE"""),"SHOPIFY")</f>
        <v>SHOPIFY</v>
      </c>
      <c r="AU1424" s="65" t="str">
        <f>IFERROR(__xludf.DUMMYFUNCTION("""COMPUTED_VALUE"""),"IMPORTEX EC")</f>
        <v>IMPORTEX EC</v>
      </c>
      <c r="AV1424" s="65" t="str">
        <f>IFERROR(__xludf.DUMMYFUNCTION("""COMPUTED_VALUE"""),"6447178514476")</f>
        <v>6447178514476</v>
      </c>
      <c r="AW1424" s="65">
        <f>IFERROR(__xludf.DUMMYFUNCTION("""COMPUTED_VALUE"""),5520.0)</f>
        <v>5520</v>
      </c>
      <c r="AX1424" s="65"/>
      <c r="AY1424" s="65"/>
      <c r="AZ1424" s="65"/>
      <c r="BA1424" s="65"/>
    </row>
    <row r="1425">
      <c r="A1425" s="65" t="str">
        <f>IFERROR(__xludf.DUMMYFUNCTION("""COMPUTED_VALUE"""),"27-03-2026")</f>
        <v>27-03-2026</v>
      </c>
      <c r="B1425" s="65">
        <f>IFERROR(__xludf.DUMMYFUNCTION("""COMPUTED_VALUE"""),4273607.0)</f>
        <v>4273607</v>
      </c>
      <c r="C1425" s="65" t="str">
        <f>IFERROR(__xludf.DUMMYFUNCTION("""COMPUTED_VALUE"""),"16:40")</f>
        <v>16:40</v>
      </c>
      <c r="D1425" s="65" t="str">
        <f>IFERROR(__xludf.DUMMYFUNCTION("""COMPUTED_VALUE"""),"25-01-2026")</f>
        <v>25-01-2026</v>
      </c>
      <c r="E1425" s="65" t="str">
        <f>IFERROR(__xludf.DUMMYFUNCTION("""COMPUTED_VALUE"""),"JUAN RAMÍREZ")</f>
        <v>JUAN RAMÍREZ</v>
      </c>
      <c r="F1425" s="65" t="str">
        <f>IFERROR(__xludf.DUMMYFUNCTION("""COMPUTED_VALUE"""),"990162317")</f>
        <v>990162317</v>
      </c>
      <c r="G1425" s="65" t="str">
        <f>IFERROR(__xludf.DUMMYFUNCTION("""COMPUTED_VALUE"""),"chiramirez070@gmail.com")</f>
        <v>chiramirez070@gmail.com</v>
      </c>
      <c r="H1425" s="65"/>
      <c r="I1425" s="65"/>
      <c r="J1425" s="65" t="str">
        <f>IFERROR(__xludf.DUMMYFUNCTION("""COMPUTED_VALUE"""),"WYB166112273")</f>
        <v>WYB166112273</v>
      </c>
      <c r="K1425" s="65" t="str">
        <f>IFERROR(__xludf.DUMMYFUNCTION("""COMPUTED_VALUE"""),"ENTREGADO")</f>
        <v>ENTREGADO</v>
      </c>
      <c r="L1425" s="65" t="str">
        <f>IFERROR(__xludf.DUMMYFUNCTION("""COMPUTED_VALUE"""),"CON RECAUDO")</f>
        <v>CON RECAUDO</v>
      </c>
      <c r="M1425" s="65" t="str">
        <f>IFERROR(__xludf.DUMMYFUNCTION("""COMPUTED_VALUE"""),"EL ORO")</f>
        <v>EL ORO</v>
      </c>
      <c r="N1425" s="65" t="str">
        <f>IFERROR(__xludf.DUMMYFUNCTION("""COMPUTED_VALUE"""),"PIÑAS")</f>
        <v>PIÑAS</v>
      </c>
      <c r="O1425" s="65" t="str">
        <f>IFERROR(__xludf.DUMMYFUNCTION("""COMPUTED_VALUE"""),"ABDON CALDERON Y JUAN LEON MERA DIAGONAL AL MERCADO CENTRAL -")</f>
        <v>ABDON CALDERON Y JUAN LEON MERA DIAGONAL AL MERCADO CENTRAL -</v>
      </c>
      <c r="P1425" s="65" t="str">
        <f>IFERROR(__xludf.DUMMYFUNCTION("""COMPUTED_VALUE"""),"ENVIE PRONTO PORQUE ME VOY A GUAYAQUIL EL JUEVES")</f>
        <v>ENVIE PRONTO PORQUE ME VOY A GUAYAQUIL EL JUEVES</v>
      </c>
      <c r="Q1425" s="65" t="str">
        <f>IFERROR(__xludf.DUMMYFUNCTION("""COMPUTED_VALUE"""),"URBANO")</f>
        <v>URBANO</v>
      </c>
      <c r="R1425" s="65">
        <f>IFERROR(__xludf.DUMMYFUNCTION("""COMPUTED_VALUE"""),32.0)</f>
        <v>32</v>
      </c>
      <c r="S1425" s="65">
        <f>IFERROR(__xludf.DUMMYFUNCTION("""COMPUTED_VALUE"""),16.11)</f>
        <v>16.11</v>
      </c>
      <c r="T1425" s="65">
        <f>IFERROR(__xludf.DUMMYFUNCTION("""COMPUTED_VALUE"""),5.89)</f>
        <v>5.89</v>
      </c>
      <c r="U1425" s="65">
        <f>IFERROR(__xludf.DUMMYFUNCTION("""COMPUTED_VALUE"""),0.0)</f>
        <v>0</v>
      </c>
      <c r="V1425" s="65">
        <f>IFERROR(__xludf.DUMMYFUNCTION("""COMPUTED_VALUE"""),0.0)</f>
        <v>0</v>
      </c>
      <c r="W1425" s="65">
        <f>IFERROR(__xludf.DUMMYFUNCTION("""COMPUTED_VALUE"""),0.0)</f>
        <v>0</v>
      </c>
      <c r="X1425" s="65">
        <f>IFERROR(__xludf.DUMMYFUNCTION("""COMPUTED_VALUE"""),5.0)</f>
        <v>5</v>
      </c>
      <c r="Y1425" s="65">
        <f>IFERROR(__xludf.DUMMYFUNCTION("""COMPUTED_VALUE"""),10.0)</f>
        <v>10</v>
      </c>
      <c r="Z1425" s="65">
        <f>IFERROR(__xludf.DUMMYFUNCTION("""COMPUTED_VALUE"""),110064.0)</f>
        <v>110064</v>
      </c>
      <c r="AA1425" s="65" t="str">
        <f>IFERROR(__xludf.DUMMYFUNCTION("""COMPUTED_VALUE"""),"IMX-00001")</f>
        <v>IMX-00001</v>
      </c>
      <c r="AB1425" s="65"/>
      <c r="AC1425" s="65" t="str">
        <f>IFERROR(__xludf.DUMMYFUNCTION("""COMPUTED_VALUE"""),"LLAVE TRINQUETE")</f>
        <v>LLAVE TRINQUETE</v>
      </c>
      <c r="AD1425" s="65"/>
      <c r="AE1425" s="65">
        <f>IFERROR(__xludf.DUMMYFUNCTION("""COMPUTED_VALUE"""),2.0)</f>
        <v>2</v>
      </c>
      <c r="AF1425" s="65" t="str">
        <f>IFERROR(__xludf.DUMMYFUNCTION("""COMPUTED_VALUE"""),"DESCONOCIDO EN EL LUGAR")</f>
        <v>DESCONOCIDO EN EL LUGAR</v>
      </c>
      <c r="AG1425" s="65" t="str">
        <f>IFERROR(__xludf.DUMMYFUNCTION("""COMPUTED_VALUE"""),"NO")</f>
        <v>NO</v>
      </c>
      <c r="AH1425" s="65" t="str">
        <f>IFERROR(__xludf.DUMMYFUNCTION("""COMPUTED_VALUE"""),"02:01")</f>
        <v>02:01</v>
      </c>
      <c r="AI1425" s="65" t="str">
        <f>IFERROR(__xludf.DUMMYFUNCTION("""COMPUTED_VALUE"""),"29-01-2026")</f>
        <v>29-01-2026</v>
      </c>
      <c r="AJ1425" s="65"/>
      <c r="AK1425" s="65"/>
      <c r="AL1425" s="65"/>
      <c r="AM1425" s="65"/>
      <c r="AN1425" s="65"/>
      <c r="AO1425" s="65"/>
      <c r="AP1425" s="65"/>
      <c r="AQ1425" s="65"/>
      <c r="AR1425" s="65"/>
      <c r="AS1425" s="65"/>
      <c r="AT1425" s="65" t="str">
        <f>IFERROR(__xludf.DUMMYFUNCTION("""COMPUTED_VALUE"""),"SHOPIFY")</f>
        <v>SHOPIFY</v>
      </c>
      <c r="AU1425" s="65" t="str">
        <f>IFERROR(__xludf.DUMMYFUNCTION("""COMPUTED_VALUE"""),"IMPORTEX EC")</f>
        <v>IMPORTEX EC</v>
      </c>
      <c r="AV1425" s="65" t="str">
        <f>IFERROR(__xludf.DUMMYFUNCTION("""COMPUTED_VALUE"""),"6447165898796")</f>
        <v>6447165898796</v>
      </c>
      <c r="AW1425" s="65">
        <f>IFERROR(__xludf.DUMMYFUNCTION("""COMPUTED_VALUE"""),5519.0)</f>
        <v>5519</v>
      </c>
      <c r="AX1425" s="65"/>
      <c r="AY1425" s="65" t="str">
        <f>IFERROR(__xludf.DUMMYFUNCTION("""COMPUTED_VALUE"""),"27/01/2026")</f>
        <v>27/01/2026</v>
      </c>
      <c r="AZ1425" s="65"/>
      <c r="BA1425" s="65"/>
    </row>
    <row r="1426">
      <c r="A1426" s="65" t="str">
        <f>IFERROR(__xludf.DUMMYFUNCTION("""COMPUTED_VALUE"""),"27-03-2026")</f>
        <v>27-03-2026</v>
      </c>
      <c r="B1426" s="65">
        <f>IFERROR(__xludf.DUMMYFUNCTION("""COMPUTED_VALUE"""),4273036.0)</f>
        <v>4273036</v>
      </c>
      <c r="C1426" s="65" t="str">
        <f>IFERROR(__xludf.DUMMYFUNCTION("""COMPUTED_VALUE"""),"15:25")</f>
        <v>15:25</v>
      </c>
      <c r="D1426" s="65" t="str">
        <f>IFERROR(__xludf.DUMMYFUNCTION("""COMPUTED_VALUE"""),"25-01-2026")</f>
        <v>25-01-2026</v>
      </c>
      <c r="E1426" s="65" t="str">
        <f>IFERROR(__xludf.DUMMYFUNCTION("""COMPUTED_VALUE"""),"Gerardo Vaca")</f>
        <v>Gerardo Vaca</v>
      </c>
      <c r="F1426" s="65" t="str">
        <f>IFERROR(__xludf.DUMMYFUNCTION("""COMPUTED_VALUE"""),"997387048")</f>
        <v>997387048</v>
      </c>
      <c r="G1426" s="65" t="str">
        <f>IFERROR(__xludf.DUMMYFUNCTION("""COMPUTED_VALUE"""),"agropecuarianapo36@gmail.com")</f>
        <v>agropecuarianapo36@gmail.com</v>
      </c>
      <c r="H1426" s="65"/>
      <c r="I1426" s="65"/>
      <c r="J1426" s="65" t="str">
        <f>IFERROR(__xludf.DUMMYFUNCTION("""COMPUTED_VALUE"""),"D001266128")</f>
        <v>D001266128</v>
      </c>
      <c r="K1426" s="65" t="str">
        <f>IFERROR(__xludf.DUMMYFUNCTION("""COMPUTED_VALUE"""),"DEVOLUCION")</f>
        <v>DEVOLUCION</v>
      </c>
      <c r="L1426" s="65" t="str">
        <f>IFERROR(__xludf.DUMMYFUNCTION("""COMPUTED_VALUE"""),"CON RECAUDO")</f>
        <v>CON RECAUDO</v>
      </c>
      <c r="M1426" s="65" t="str">
        <f>IFERROR(__xludf.DUMMYFUNCTION("""COMPUTED_VALUE"""),"NAPO")</f>
        <v>NAPO</v>
      </c>
      <c r="N1426" s="65" t="str">
        <f>IFERROR(__xludf.DUMMYFUNCTION("""COMPUTED_VALUE"""),"ARCHIDONA")</f>
        <v>ARCHIDONA</v>
      </c>
      <c r="O1426" s="65" t="str">
        <f>IFERROR(__xludf.DUMMYFUNCTION("""COMPUTED_VALUE"""),"Archidona Av. Napo y Jondachi Archidona junto al Tia -")</f>
        <v>Archidona Av. Napo y Jondachi Archidona junto al Tia -</v>
      </c>
      <c r="P1426" s="65"/>
      <c r="Q1426" s="65" t="str">
        <f>IFERROR(__xludf.DUMMYFUNCTION("""COMPUTED_VALUE"""),"GINTRACOM")</f>
        <v>GINTRACOM</v>
      </c>
      <c r="R1426" s="65">
        <f>IFERROR(__xludf.DUMMYFUNCTION("""COMPUTED_VALUE"""),21.99)</f>
        <v>21.99</v>
      </c>
      <c r="S1426" s="65"/>
      <c r="T1426" s="65">
        <f>IFERROR(__xludf.DUMMYFUNCTION("""COMPUTED_VALUE"""),6.41)</f>
        <v>6.41</v>
      </c>
      <c r="U1426" s="65">
        <f>IFERROR(__xludf.DUMMYFUNCTION("""COMPUTED_VALUE"""),0.0)</f>
        <v>0</v>
      </c>
      <c r="V1426" s="65">
        <f>IFERROR(__xludf.DUMMYFUNCTION("""COMPUTED_VALUE"""),0.0)</f>
        <v>0</v>
      </c>
      <c r="W1426" s="65">
        <f>IFERROR(__xludf.DUMMYFUNCTION("""COMPUTED_VALUE"""),0.0)</f>
        <v>0</v>
      </c>
      <c r="X1426" s="65">
        <f>IFERROR(__xludf.DUMMYFUNCTION("""COMPUTED_VALUE"""),5.0)</f>
        <v>5</v>
      </c>
      <c r="Y1426" s="65">
        <f>IFERROR(__xludf.DUMMYFUNCTION("""COMPUTED_VALUE"""),5.0)</f>
        <v>5</v>
      </c>
      <c r="Z1426" s="65">
        <f>IFERROR(__xludf.DUMMYFUNCTION("""COMPUTED_VALUE"""),110064.0)</f>
        <v>110064</v>
      </c>
      <c r="AA1426" s="65" t="str">
        <f>IFERROR(__xludf.DUMMYFUNCTION("""COMPUTED_VALUE"""),"IMX-00001")</f>
        <v>IMX-00001</v>
      </c>
      <c r="AB1426" s="65"/>
      <c r="AC1426" s="65" t="str">
        <f>IFERROR(__xludf.DUMMYFUNCTION("""COMPUTED_VALUE"""),"LLAVE TRINQUETE")</f>
        <v>LLAVE TRINQUETE</v>
      </c>
      <c r="AD1426" s="65"/>
      <c r="AE1426" s="65">
        <f>IFERROR(__xludf.DUMMYFUNCTION("""COMPUTED_VALUE"""),1.0)</f>
        <v>1</v>
      </c>
      <c r="AF1426" s="65" t="str">
        <f>IFERROR(__xludf.DUMMYFUNCTION("""COMPUTED_VALUE"""),"DESTINATARIO INDICA QUE ESTÁ INCONFORME CON EL PRODUCTO. (NO RECIBE)")</f>
        <v>DESTINATARIO INDICA QUE ESTÁ INCONFORME CON EL PRODUCTO. (NO RECIBE)</v>
      </c>
      <c r="AG1426" s="65" t="str">
        <f>IFERROR(__xludf.DUMMYFUNCTION("""COMPUTED_VALUE"""),"NO")</f>
        <v>NO</v>
      </c>
      <c r="AH1426" s="65" t="str">
        <f>IFERROR(__xludf.DUMMYFUNCTION("""COMPUTED_VALUE"""),"16:58")</f>
        <v>16:58</v>
      </c>
      <c r="AI1426" s="65" t="str">
        <f>IFERROR(__xludf.DUMMYFUNCTION("""COMPUTED_VALUE"""),"29-01-2026")</f>
        <v>29-01-2026</v>
      </c>
      <c r="AJ1426" s="65"/>
      <c r="AK1426" s="65"/>
      <c r="AL1426" s="65"/>
      <c r="AM1426" s="65"/>
      <c r="AN1426" s="65" t="str">
        <f>IFERROR(__xludf.DUMMYFUNCTION("""COMPUTED_VALUE"""),"14:37")</f>
        <v>14:37</v>
      </c>
      <c r="AO1426" s="65" t="str">
        <f>IFERROR(__xludf.DUMMYFUNCTION("""COMPUTED_VALUE"""),"24-02-2026")</f>
        <v>24-02-2026</v>
      </c>
      <c r="AP1426" s="65" t="str">
        <f>IFERROR(__xludf.DUMMYFUNCTION("""COMPUTED_VALUE"""),"DEVOLUCIÓN ENTREGADA A ORIGEN")</f>
        <v>DEVOLUCIÓN ENTREGADA A ORIGEN</v>
      </c>
      <c r="AQ1426" s="65" t="str">
        <f>IFERROR(__xludf.DUMMYFUNCTION("""COMPUTED_VALUE"""),"DEVOLUCIÓN ENTREGADA A ORIGEN")</f>
        <v>DEVOLUCIÓN ENTREGADA A ORIGEN</v>
      </c>
      <c r="AR1426" s="65"/>
      <c r="AS1426" s="65"/>
      <c r="AT1426" s="65" t="str">
        <f>IFERROR(__xludf.DUMMYFUNCTION("""COMPUTED_VALUE"""),"SHOPIFY")</f>
        <v>SHOPIFY</v>
      </c>
      <c r="AU1426" s="65" t="str">
        <f>IFERROR(__xludf.DUMMYFUNCTION("""COMPUTED_VALUE"""),"IMPORTEX EC")</f>
        <v>IMPORTEX EC</v>
      </c>
      <c r="AV1426" s="65" t="str">
        <f>IFERROR(__xludf.DUMMYFUNCTION("""COMPUTED_VALUE"""),"6446985216044")</f>
        <v>6446985216044</v>
      </c>
      <c r="AW1426" s="65">
        <f>IFERROR(__xludf.DUMMYFUNCTION("""COMPUTED_VALUE"""),5517.0)</f>
        <v>5517</v>
      </c>
      <c r="AX1426" s="65"/>
      <c r="AY1426" s="65" t="str">
        <f>IFERROR(__xludf.DUMMYFUNCTION("""COMPUTED_VALUE"""),"27/01/2026")</f>
        <v>27/01/2026</v>
      </c>
      <c r="AZ1426" s="65"/>
      <c r="BA1426" s="65"/>
    </row>
    <row r="1427">
      <c r="A1427" s="65" t="str">
        <f>IFERROR(__xludf.DUMMYFUNCTION("""COMPUTED_VALUE"""),"27-03-2026")</f>
        <v>27-03-2026</v>
      </c>
      <c r="B1427" s="65">
        <f>IFERROR(__xludf.DUMMYFUNCTION("""COMPUTED_VALUE"""),4273026.0)</f>
        <v>4273026</v>
      </c>
      <c r="C1427" s="65" t="str">
        <f>IFERROR(__xludf.DUMMYFUNCTION("""COMPUTED_VALUE"""),"15:24")</f>
        <v>15:24</v>
      </c>
      <c r="D1427" s="65" t="str">
        <f>IFERROR(__xludf.DUMMYFUNCTION("""COMPUTED_VALUE"""),"25-01-2026")</f>
        <v>25-01-2026</v>
      </c>
      <c r="E1427" s="65" t="str">
        <f>IFERROR(__xludf.DUMMYFUNCTION("""COMPUTED_VALUE"""),"Estalin Calderón")</f>
        <v>Estalin Calderón</v>
      </c>
      <c r="F1427" s="65" t="str">
        <f>IFERROR(__xludf.DUMMYFUNCTION("""COMPUTED_VALUE"""),"980798666")</f>
        <v>980798666</v>
      </c>
      <c r="G1427" s="65" t="str">
        <f>IFERROR(__xludf.DUMMYFUNCTION("""COMPUTED_VALUE"""),"abdoncalderon781@gmail.com")</f>
        <v>abdoncalderon781@gmail.com</v>
      </c>
      <c r="H1427" s="65"/>
      <c r="I1427" s="65"/>
      <c r="J1427" s="65" t="str">
        <f>IFERROR(__xludf.DUMMYFUNCTION("""COMPUTED_VALUE"""),"D001266129")</f>
        <v>D001266129</v>
      </c>
      <c r="K1427" s="65" t="str">
        <f>IFERROR(__xludf.DUMMYFUNCTION("""COMPUTED_VALUE"""),"DEVOLUCION")</f>
        <v>DEVOLUCION</v>
      </c>
      <c r="L1427" s="65" t="str">
        <f>IFERROR(__xludf.DUMMYFUNCTION("""COMPUTED_VALUE"""),"CON RECAUDO")</f>
        <v>CON RECAUDO</v>
      </c>
      <c r="M1427" s="65" t="str">
        <f>IFERROR(__xludf.DUMMYFUNCTION("""COMPUTED_VALUE"""),"GUAYAS")</f>
        <v>GUAYAS</v>
      </c>
      <c r="N1427" s="65" t="str">
        <f>IFERROR(__xludf.DUMMYFUNCTION("""COMPUTED_VALUE"""),"GUAYAQUIL")</f>
        <v>GUAYAQUIL</v>
      </c>
      <c r="O1427" s="65" t="str">
        <f>IFERROR(__xludf.DUMMYFUNCTION("""COMPUTED_VALUE"""),"Prosperina Cooperativa 29de octubre -")</f>
        <v>Prosperina Cooperativa 29de octubre -</v>
      </c>
      <c r="P1427" s="65"/>
      <c r="Q1427" s="65" t="str">
        <f>IFERROR(__xludf.DUMMYFUNCTION("""COMPUTED_VALUE"""),"GINTRACOM")</f>
        <v>GINTRACOM</v>
      </c>
      <c r="R1427" s="65">
        <f>IFERROR(__xludf.DUMMYFUNCTION("""COMPUTED_VALUE"""),21.99)</f>
        <v>21.99</v>
      </c>
      <c r="S1427" s="65"/>
      <c r="T1427" s="65">
        <f>IFERROR(__xludf.DUMMYFUNCTION("""COMPUTED_VALUE"""),5.84)</f>
        <v>5.84</v>
      </c>
      <c r="U1427" s="65">
        <f>IFERROR(__xludf.DUMMYFUNCTION("""COMPUTED_VALUE"""),0.0)</f>
        <v>0</v>
      </c>
      <c r="V1427" s="65">
        <f>IFERROR(__xludf.DUMMYFUNCTION("""COMPUTED_VALUE"""),0.0)</f>
        <v>0</v>
      </c>
      <c r="W1427" s="65">
        <f>IFERROR(__xludf.DUMMYFUNCTION("""COMPUTED_VALUE"""),0.0)</f>
        <v>0</v>
      </c>
      <c r="X1427" s="65">
        <f>IFERROR(__xludf.DUMMYFUNCTION("""COMPUTED_VALUE"""),5.0)</f>
        <v>5</v>
      </c>
      <c r="Y1427" s="65">
        <f>IFERROR(__xludf.DUMMYFUNCTION("""COMPUTED_VALUE"""),5.0)</f>
        <v>5</v>
      </c>
      <c r="Z1427" s="65">
        <f>IFERROR(__xludf.DUMMYFUNCTION("""COMPUTED_VALUE"""),110064.0)</f>
        <v>110064</v>
      </c>
      <c r="AA1427" s="65" t="str">
        <f>IFERROR(__xludf.DUMMYFUNCTION("""COMPUTED_VALUE"""),"IMX-00001")</f>
        <v>IMX-00001</v>
      </c>
      <c r="AB1427" s="65"/>
      <c r="AC1427" s="65" t="str">
        <f>IFERROR(__xludf.DUMMYFUNCTION("""COMPUTED_VALUE"""),"LLAVE TRINQUETE")</f>
        <v>LLAVE TRINQUETE</v>
      </c>
      <c r="AD1427" s="65"/>
      <c r="AE1427" s="65">
        <f>IFERROR(__xludf.DUMMYFUNCTION("""COMPUTED_VALUE"""),1.0)</f>
        <v>1</v>
      </c>
      <c r="AF1427" s="65" t="str">
        <f>IFERROR(__xludf.DUMMYFUNCTION("""COMPUTED_VALUE"""),"DESTINATARIO NO CONTESTA LLAMADAS NI WHATSAPP")</f>
        <v>DESTINATARIO NO CONTESTA LLAMADAS NI WHATSAPP</v>
      </c>
      <c r="AG1427" s="65" t="str">
        <f>IFERROR(__xludf.DUMMYFUNCTION("""COMPUTED_VALUE"""),"NO")</f>
        <v>NO</v>
      </c>
      <c r="AH1427" s="65" t="str">
        <f>IFERROR(__xludf.DUMMYFUNCTION("""COMPUTED_VALUE"""),"09:00")</f>
        <v>09:00</v>
      </c>
      <c r="AI1427" s="65" t="str">
        <f>IFERROR(__xludf.DUMMYFUNCTION("""COMPUTED_VALUE"""),"06-02-2026")</f>
        <v>06-02-2026</v>
      </c>
      <c r="AJ1427" s="65"/>
      <c r="AK1427" s="65"/>
      <c r="AL1427" s="65"/>
      <c r="AM1427" s="65"/>
      <c r="AN1427" s="65" t="str">
        <f>IFERROR(__xludf.DUMMYFUNCTION("""COMPUTED_VALUE"""),"10:27")</f>
        <v>10:27</v>
      </c>
      <c r="AO1427" s="65" t="str">
        <f>IFERROR(__xludf.DUMMYFUNCTION("""COMPUTED_VALUE"""),"19-02-2026")</f>
        <v>19-02-2026</v>
      </c>
      <c r="AP1427" s="65" t="str">
        <f>IFERROR(__xludf.DUMMYFUNCTION("""COMPUTED_VALUE"""),"DEVOLUCIÓN ENTREGADA A ORIGEN")</f>
        <v>DEVOLUCIÓN ENTREGADA A ORIGEN</v>
      </c>
      <c r="AQ1427" s="65" t="str">
        <f>IFERROR(__xludf.DUMMYFUNCTION("""COMPUTED_VALUE"""),"DEVOLUCIÓN ENTREGADA A ORIGEN")</f>
        <v>DEVOLUCIÓN ENTREGADA A ORIGEN</v>
      </c>
      <c r="AR1427" s="65"/>
      <c r="AS1427" s="65"/>
      <c r="AT1427" s="65" t="str">
        <f>IFERROR(__xludf.DUMMYFUNCTION("""COMPUTED_VALUE"""),"SHOPIFY")</f>
        <v>SHOPIFY</v>
      </c>
      <c r="AU1427" s="65" t="str">
        <f>IFERROR(__xludf.DUMMYFUNCTION("""COMPUTED_VALUE"""),"IMPORTEX EC")</f>
        <v>IMPORTEX EC</v>
      </c>
      <c r="AV1427" s="65" t="str">
        <f>IFERROR(__xludf.DUMMYFUNCTION("""COMPUTED_VALUE"""),"6446981578796")</f>
        <v>6446981578796</v>
      </c>
      <c r="AW1427" s="65">
        <f>IFERROR(__xludf.DUMMYFUNCTION("""COMPUTED_VALUE"""),5516.0)</f>
        <v>5516</v>
      </c>
      <c r="AX1427" s="65"/>
      <c r="AY1427" s="65" t="str">
        <f>IFERROR(__xludf.DUMMYFUNCTION("""COMPUTED_VALUE"""),"27/01/2026")</f>
        <v>27/01/2026</v>
      </c>
      <c r="AZ1427" s="65"/>
      <c r="BA1427" s="65"/>
    </row>
    <row r="1428">
      <c r="A1428" s="65" t="str">
        <f>IFERROR(__xludf.DUMMYFUNCTION("""COMPUTED_VALUE"""),"27-03-2026")</f>
        <v>27-03-2026</v>
      </c>
      <c r="B1428" s="65">
        <f>IFERROR(__xludf.DUMMYFUNCTION("""COMPUTED_VALUE"""),4273008.0)</f>
        <v>4273008</v>
      </c>
      <c r="C1428" s="65" t="str">
        <f>IFERROR(__xludf.DUMMYFUNCTION("""COMPUTED_VALUE"""),"15:23")</f>
        <v>15:23</v>
      </c>
      <c r="D1428" s="65" t="str">
        <f>IFERROR(__xludf.DUMMYFUNCTION("""COMPUTED_VALUE"""),"25-01-2026")</f>
        <v>25-01-2026</v>
      </c>
      <c r="E1428" s="65" t="str">
        <f>IFERROR(__xludf.DUMMYFUNCTION("""COMPUTED_VALUE"""),"patricio lema")</f>
        <v>patricio lema</v>
      </c>
      <c r="F1428" s="65" t="str">
        <f>IFERROR(__xludf.DUMMYFUNCTION("""COMPUTED_VALUE"""),"992727750")</f>
        <v>992727750</v>
      </c>
      <c r="G1428" s="65" t="str">
        <f>IFERROR(__xludf.DUMMYFUNCTION("""COMPUTED_VALUE"""),"patolema@57omael.con")</f>
        <v>patolema@57omael.con</v>
      </c>
      <c r="H1428" s="65"/>
      <c r="I1428" s="65"/>
      <c r="J1428" s="65" t="str">
        <f>IFERROR(__xludf.DUMMYFUNCTION("""COMPUTED_VALUE"""),"D001266130")</f>
        <v>D001266130</v>
      </c>
      <c r="K1428" s="65" t="str">
        <f>IFERROR(__xludf.DUMMYFUNCTION("""COMPUTED_VALUE"""),"ENTREGADO")</f>
        <v>ENTREGADO</v>
      </c>
      <c r="L1428" s="65" t="str">
        <f>IFERROR(__xludf.DUMMYFUNCTION("""COMPUTED_VALUE"""),"CON RECAUDO")</f>
        <v>CON RECAUDO</v>
      </c>
      <c r="M1428" s="65" t="str">
        <f>IFERROR(__xludf.DUMMYFUNCTION("""COMPUTED_VALUE"""),"PICHINCHA")</f>
        <v>PICHINCHA</v>
      </c>
      <c r="N1428" s="65" t="str">
        <f>IFERROR(__xludf.DUMMYFUNCTION("""COMPUTED_VALUE"""),"SANGOLQUI")</f>
        <v>SANGOLQUI</v>
      </c>
      <c r="O1428" s="65" t="str">
        <f>IFERROR(__xludf.DUMMYFUNCTION("""COMPUTED_VALUE"""),"espejo y eloy alfaro en el munisipio de sangolqui puerta prinsipal sentro -")</f>
        <v>espejo y eloy alfaro en el munisipio de sangolqui puerta prinsipal sentro -</v>
      </c>
      <c r="P1428" s="65"/>
      <c r="Q1428" s="65" t="str">
        <f>IFERROR(__xludf.DUMMYFUNCTION("""COMPUTED_VALUE"""),"GINTRACOM")</f>
        <v>GINTRACOM</v>
      </c>
      <c r="R1428" s="65">
        <f>IFERROR(__xludf.DUMMYFUNCTION("""COMPUTED_VALUE"""),32.0)</f>
        <v>32</v>
      </c>
      <c r="S1428" s="65">
        <f>IFERROR(__xludf.DUMMYFUNCTION("""COMPUTED_VALUE"""),16.8)</f>
        <v>16.8</v>
      </c>
      <c r="T1428" s="65">
        <f>IFERROR(__xludf.DUMMYFUNCTION("""COMPUTED_VALUE"""),5.2)</f>
        <v>5.2</v>
      </c>
      <c r="U1428" s="65">
        <f>IFERROR(__xludf.DUMMYFUNCTION("""COMPUTED_VALUE"""),0.0)</f>
        <v>0</v>
      </c>
      <c r="V1428" s="65">
        <f>IFERROR(__xludf.DUMMYFUNCTION("""COMPUTED_VALUE"""),0.0)</f>
        <v>0</v>
      </c>
      <c r="W1428" s="65">
        <f>IFERROR(__xludf.DUMMYFUNCTION("""COMPUTED_VALUE"""),0.0)</f>
        <v>0</v>
      </c>
      <c r="X1428" s="65">
        <f>IFERROR(__xludf.DUMMYFUNCTION("""COMPUTED_VALUE"""),5.0)</f>
        <v>5</v>
      </c>
      <c r="Y1428" s="65">
        <f>IFERROR(__xludf.DUMMYFUNCTION("""COMPUTED_VALUE"""),10.0)</f>
        <v>10</v>
      </c>
      <c r="Z1428" s="65">
        <f>IFERROR(__xludf.DUMMYFUNCTION("""COMPUTED_VALUE"""),110064.0)</f>
        <v>110064</v>
      </c>
      <c r="AA1428" s="65" t="str">
        <f>IFERROR(__xludf.DUMMYFUNCTION("""COMPUTED_VALUE"""),"IMX-00001")</f>
        <v>IMX-00001</v>
      </c>
      <c r="AB1428" s="65"/>
      <c r="AC1428" s="65" t="str">
        <f>IFERROR(__xludf.DUMMYFUNCTION("""COMPUTED_VALUE"""),"LLAVE TRINQUETE")</f>
        <v>LLAVE TRINQUETE</v>
      </c>
      <c r="AD1428" s="65"/>
      <c r="AE1428" s="65">
        <f>IFERROR(__xludf.DUMMYFUNCTION("""COMPUTED_VALUE"""),2.0)</f>
        <v>2</v>
      </c>
      <c r="AF1428" s="65"/>
      <c r="AG1428" s="65"/>
      <c r="AH1428" s="65"/>
      <c r="AI1428" s="65"/>
      <c r="AJ1428" s="65"/>
      <c r="AK1428" s="65"/>
      <c r="AL1428" s="65"/>
      <c r="AM1428" s="65"/>
      <c r="AN1428" s="65"/>
      <c r="AO1428" s="65"/>
      <c r="AP1428" s="65"/>
      <c r="AQ1428" s="65"/>
      <c r="AR1428" s="65"/>
      <c r="AS1428" s="65"/>
      <c r="AT1428" s="65" t="str">
        <f>IFERROR(__xludf.DUMMYFUNCTION("""COMPUTED_VALUE"""),"SHOPIFY")</f>
        <v>SHOPIFY</v>
      </c>
      <c r="AU1428" s="65" t="str">
        <f>IFERROR(__xludf.DUMMYFUNCTION("""COMPUTED_VALUE"""),"IMPORTEX EC")</f>
        <v>IMPORTEX EC</v>
      </c>
      <c r="AV1428" s="65" t="str">
        <f>IFERROR(__xludf.DUMMYFUNCTION("""COMPUTED_VALUE"""),"6446976368684")</f>
        <v>6446976368684</v>
      </c>
      <c r="AW1428" s="65">
        <f>IFERROR(__xludf.DUMMYFUNCTION("""COMPUTED_VALUE"""),5515.0)</f>
        <v>5515</v>
      </c>
      <c r="AX1428" s="65"/>
      <c r="AY1428" s="65" t="str">
        <f>IFERROR(__xludf.DUMMYFUNCTION("""COMPUTED_VALUE"""),"27/01/2026")</f>
        <v>27/01/2026</v>
      </c>
      <c r="AZ1428" s="65"/>
      <c r="BA1428" s="65"/>
    </row>
    <row r="1429">
      <c r="A1429" s="65" t="str">
        <f>IFERROR(__xludf.DUMMYFUNCTION("""COMPUTED_VALUE"""),"27-03-2026")</f>
        <v>27-03-2026</v>
      </c>
      <c r="B1429" s="65">
        <f>IFERROR(__xludf.DUMMYFUNCTION("""COMPUTED_VALUE"""),4272799.0)</f>
        <v>4272799</v>
      </c>
      <c r="C1429" s="65" t="str">
        <f>IFERROR(__xludf.DUMMYFUNCTION("""COMPUTED_VALUE"""),"14:56")</f>
        <v>14:56</v>
      </c>
      <c r="D1429" s="65" t="str">
        <f>IFERROR(__xludf.DUMMYFUNCTION("""COMPUTED_VALUE"""),"25-01-2026")</f>
        <v>25-01-2026</v>
      </c>
      <c r="E1429" s="65" t="str">
        <f>IFERROR(__xludf.DUMMYFUNCTION("""COMPUTED_VALUE"""),"Danny Villacis")</f>
        <v>Danny Villacis</v>
      </c>
      <c r="F1429" s="65" t="str">
        <f>IFERROR(__xludf.DUMMYFUNCTION("""COMPUTED_VALUE"""),"999784284")</f>
        <v>999784284</v>
      </c>
      <c r="G1429" s="65" t="str">
        <f>IFERROR(__xludf.DUMMYFUNCTION("""COMPUTED_VALUE"""),"danny.villacis.rob@gmail.com")</f>
        <v>danny.villacis.rob@gmail.com</v>
      </c>
      <c r="H1429" s="65"/>
      <c r="I1429" s="65"/>
      <c r="J1429" s="65"/>
      <c r="K1429" s="65" t="str">
        <f>IFERROR(__xludf.DUMMYFUNCTION("""COMPUTED_VALUE"""),"PENDIENTE CONFIRMACION")</f>
        <v>PENDIENTE CONFIRMACION</v>
      </c>
      <c r="L1429" s="65" t="str">
        <f>IFERROR(__xludf.DUMMYFUNCTION("""COMPUTED_VALUE"""),"CON RECAUDO")</f>
        <v>CON RECAUDO</v>
      </c>
      <c r="M1429" s="65" t="str">
        <f>IFERROR(__xludf.DUMMYFUNCTION("""COMPUTED_VALUE"""),"TUNGURAHUA")</f>
        <v>TUNGURAHUA</v>
      </c>
      <c r="N1429" s="65" t="str">
        <f>IFERROR(__xludf.DUMMYFUNCTION("""COMPUTED_VALUE"""),"AMBATO")</f>
        <v>AMBATO</v>
      </c>
      <c r="O1429" s="65" t="str">
        <f>IFERROR(__xludf.DUMMYFUNCTION("""COMPUTED_VALUE"""),"Emilio Prados La Cantera -")</f>
        <v>Emilio Prados La Cantera -</v>
      </c>
      <c r="P1429" s="65"/>
      <c r="Q1429" s="65" t="str">
        <f>IFERROR(__xludf.DUMMYFUNCTION("""COMPUTED_VALUE"""),"GINTRACOM")</f>
        <v>GINTRACOM</v>
      </c>
      <c r="R1429" s="65">
        <f>IFERROR(__xludf.DUMMYFUNCTION("""COMPUTED_VALUE"""),30.0)</f>
        <v>30</v>
      </c>
      <c r="S1429" s="65"/>
      <c r="T1429" s="65">
        <f>IFERROR(__xludf.DUMMYFUNCTION("""COMPUTED_VALUE"""),6.16)</f>
        <v>6.16</v>
      </c>
      <c r="U1429" s="65">
        <f>IFERROR(__xludf.DUMMYFUNCTION("""COMPUTED_VALUE"""),0.0)</f>
        <v>0</v>
      </c>
      <c r="V1429" s="65">
        <f>IFERROR(__xludf.DUMMYFUNCTION("""COMPUTED_VALUE"""),0.0)</f>
        <v>0</v>
      </c>
      <c r="W1429" s="65">
        <f>IFERROR(__xludf.DUMMYFUNCTION("""COMPUTED_VALUE"""),0.0)</f>
        <v>0</v>
      </c>
      <c r="X1429" s="65">
        <f>IFERROR(__xludf.DUMMYFUNCTION("""COMPUTED_VALUE"""),2.35)</f>
        <v>2.35</v>
      </c>
      <c r="Y1429" s="65">
        <f>IFERROR(__xludf.DUMMYFUNCTION("""COMPUTED_VALUE"""),7.05)</f>
        <v>7.05</v>
      </c>
      <c r="Z1429" s="65">
        <f>IFERROR(__xludf.DUMMYFUNCTION("""COMPUTED_VALUE"""),116679.0)</f>
        <v>116679</v>
      </c>
      <c r="AA1429" s="65" t="str">
        <f>IFERROR(__xludf.DUMMYFUNCTION("""COMPUTED_VALUE"""),"AMC-2738")</f>
        <v>AMC-2738</v>
      </c>
      <c r="AB1429" s="65"/>
      <c r="AC1429" s="65" t="str">
        <f>IFERROR(__xludf.DUMMYFUNCTION("""COMPUTED_VALUE"""),"ESPONJA ANTILLUVIA DE PARABRISAS")</f>
        <v>ESPONJA ANTILLUVIA DE PARABRISAS</v>
      </c>
      <c r="AD1429" s="65"/>
      <c r="AE1429" s="65">
        <f>IFERROR(__xludf.DUMMYFUNCTION("""COMPUTED_VALUE"""),3.0)</f>
        <v>3</v>
      </c>
      <c r="AF1429" s="65"/>
      <c r="AG1429" s="65"/>
      <c r="AH1429" s="65"/>
      <c r="AI1429" s="65"/>
      <c r="AJ1429" s="65"/>
      <c r="AK1429" s="65"/>
      <c r="AL1429" s="65"/>
      <c r="AM1429" s="65"/>
      <c r="AN1429" s="65"/>
      <c r="AO1429" s="65"/>
      <c r="AP1429" s="65"/>
      <c r="AQ1429" s="65"/>
      <c r="AR1429" s="65"/>
      <c r="AS1429" s="65"/>
      <c r="AT1429" s="65" t="str">
        <f>IFERROR(__xludf.DUMMYFUNCTION("""COMPUTED_VALUE"""),"SHOPIFY")</f>
        <v>SHOPIFY</v>
      </c>
      <c r="AU1429" s="65" t="str">
        <f>IFERROR(__xludf.DUMMYFUNCTION("""COMPUTED_VALUE"""),"IMPORTEX EC")</f>
        <v>IMPORTEX EC</v>
      </c>
      <c r="AV1429" s="65" t="str">
        <f>IFERROR(__xludf.DUMMYFUNCTION("""COMPUTED_VALUE"""),"6446903558188")</f>
        <v>6446903558188</v>
      </c>
      <c r="AW1429" s="65">
        <f>IFERROR(__xludf.DUMMYFUNCTION("""COMPUTED_VALUE"""),5514.0)</f>
        <v>5514</v>
      </c>
      <c r="AX1429" s="65"/>
      <c r="AY1429" s="65"/>
      <c r="AZ1429" s="65"/>
      <c r="BA1429" s="65"/>
    </row>
    <row r="1430">
      <c r="A1430" s="65" t="str">
        <f>IFERROR(__xludf.DUMMYFUNCTION("""COMPUTED_VALUE"""),"27-03-2026")</f>
        <v>27-03-2026</v>
      </c>
      <c r="B1430" s="65">
        <f>IFERROR(__xludf.DUMMYFUNCTION("""COMPUTED_VALUE"""),4272696.0)</f>
        <v>4272696</v>
      </c>
      <c r="C1430" s="65" t="str">
        <f>IFERROR(__xludf.DUMMYFUNCTION("""COMPUTED_VALUE"""),"14:41")</f>
        <v>14:41</v>
      </c>
      <c r="D1430" s="65" t="str">
        <f>IFERROR(__xludf.DUMMYFUNCTION("""COMPUTED_VALUE"""),"25-01-2026")</f>
        <v>25-01-2026</v>
      </c>
      <c r="E1430" s="65" t="str">
        <f>IFERROR(__xludf.DUMMYFUNCTION("""COMPUTED_VALUE"""),"Aldair Ignacio Muñoz Barreiro")</f>
        <v>Aldair Ignacio Muñoz Barreiro</v>
      </c>
      <c r="F1430" s="65" t="str">
        <f>IFERROR(__xludf.DUMMYFUNCTION("""COMPUTED_VALUE"""),"939780070")</f>
        <v>939780070</v>
      </c>
      <c r="G1430" s="65" t="str">
        <f>IFERROR(__xludf.DUMMYFUNCTION("""COMPUTED_VALUE"""),"aldamuba95@gmail.com")</f>
        <v>aldamuba95@gmail.com</v>
      </c>
      <c r="H1430" s="65"/>
      <c r="I1430" s="65"/>
      <c r="J1430" s="65"/>
      <c r="K1430" s="65" t="str">
        <f>IFERROR(__xludf.DUMMYFUNCTION("""COMPUTED_VALUE"""),"PENDIENTE CONFIRMACION")</f>
        <v>PENDIENTE CONFIRMACION</v>
      </c>
      <c r="L1430" s="65" t="str">
        <f>IFERROR(__xludf.DUMMYFUNCTION("""COMPUTED_VALUE"""),"CON RECAUDO")</f>
        <v>CON RECAUDO</v>
      </c>
      <c r="M1430" s="65" t="str">
        <f>IFERROR(__xludf.DUMMYFUNCTION("""COMPUTED_VALUE"""),"MANABI")</f>
        <v>MANABI</v>
      </c>
      <c r="N1430" s="65" t="str">
        <f>IFERROR(__xludf.DUMMYFUNCTION("""COMPUTED_VALUE"""),"PORTOVIEJO")</f>
        <v>PORTOVIEJO</v>
      </c>
      <c r="O1430" s="65" t="str">
        <f>IFERROR(__xludf.DUMMYFUNCTION("""COMPUTED_VALUE"""),"Av. Ramos Hiduarte y Calle Olmedo Almacen Centro Agroveterinario (centro) -")</f>
        <v>Av. Ramos Hiduarte y Calle Olmedo Almacen Centro Agroveterinario (centro) -</v>
      </c>
      <c r="P1430" s="65"/>
      <c r="Q1430" s="65" t="str">
        <f>IFERROR(__xludf.DUMMYFUNCTION("""COMPUTED_VALUE"""),"GINTRACOM")</f>
        <v>GINTRACOM</v>
      </c>
      <c r="R1430" s="65">
        <f>IFERROR(__xludf.DUMMYFUNCTION("""COMPUTED_VALUE"""),30.0)</f>
        <v>30</v>
      </c>
      <c r="S1430" s="65"/>
      <c r="T1430" s="65">
        <f>IFERROR(__xludf.DUMMYFUNCTION("""COMPUTED_VALUE"""),6.16)</f>
        <v>6.16</v>
      </c>
      <c r="U1430" s="65">
        <f>IFERROR(__xludf.DUMMYFUNCTION("""COMPUTED_VALUE"""),0.0)</f>
        <v>0</v>
      </c>
      <c r="V1430" s="65">
        <f>IFERROR(__xludf.DUMMYFUNCTION("""COMPUTED_VALUE"""),0.0)</f>
        <v>0</v>
      </c>
      <c r="W1430" s="65">
        <f>IFERROR(__xludf.DUMMYFUNCTION("""COMPUTED_VALUE"""),0.0)</f>
        <v>0</v>
      </c>
      <c r="X1430" s="65">
        <f>IFERROR(__xludf.DUMMYFUNCTION("""COMPUTED_VALUE"""),2.35)</f>
        <v>2.35</v>
      </c>
      <c r="Y1430" s="65">
        <f>IFERROR(__xludf.DUMMYFUNCTION("""COMPUTED_VALUE"""),7.05)</f>
        <v>7.05</v>
      </c>
      <c r="Z1430" s="65">
        <f>IFERROR(__xludf.DUMMYFUNCTION("""COMPUTED_VALUE"""),116679.0)</f>
        <v>116679</v>
      </c>
      <c r="AA1430" s="65" t="str">
        <f>IFERROR(__xludf.DUMMYFUNCTION("""COMPUTED_VALUE"""),"AMC-2738")</f>
        <v>AMC-2738</v>
      </c>
      <c r="AB1430" s="65"/>
      <c r="AC1430" s="65" t="str">
        <f>IFERROR(__xludf.DUMMYFUNCTION("""COMPUTED_VALUE"""),"ESPONJA ANTILLUVIA DE PARABRISAS")</f>
        <v>ESPONJA ANTILLUVIA DE PARABRISAS</v>
      </c>
      <c r="AD1430" s="65"/>
      <c r="AE1430" s="65">
        <f>IFERROR(__xludf.DUMMYFUNCTION("""COMPUTED_VALUE"""),3.0)</f>
        <v>3</v>
      </c>
      <c r="AF1430" s="65"/>
      <c r="AG1430" s="65"/>
      <c r="AH1430" s="65"/>
      <c r="AI1430" s="65"/>
      <c r="AJ1430" s="65"/>
      <c r="AK1430" s="65"/>
      <c r="AL1430" s="65"/>
      <c r="AM1430" s="65"/>
      <c r="AN1430" s="65"/>
      <c r="AO1430" s="65"/>
      <c r="AP1430" s="65"/>
      <c r="AQ1430" s="65"/>
      <c r="AR1430" s="65"/>
      <c r="AS1430" s="65"/>
      <c r="AT1430" s="65" t="str">
        <f>IFERROR(__xludf.DUMMYFUNCTION("""COMPUTED_VALUE"""),"SHOPIFY")</f>
        <v>SHOPIFY</v>
      </c>
      <c r="AU1430" s="65" t="str">
        <f>IFERROR(__xludf.DUMMYFUNCTION("""COMPUTED_VALUE"""),"IMPORTEX EC")</f>
        <v>IMPORTEX EC</v>
      </c>
      <c r="AV1430" s="65" t="str">
        <f>IFERROR(__xludf.DUMMYFUNCTION("""COMPUTED_VALUE"""),"6446871117868")</f>
        <v>6446871117868</v>
      </c>
      <c r="AW1430" s="65">
        <f>IFERROR(__xludf.DUMMYFUNCTION("""COMPUTED_VALUE"""),5513.0)</f>
        <v>5513</v>
      </c>
      <c r="AX1430" s="65"/>
      <c r="AY1430" s="65"/>
      <c r="AZ1430" s="65"/>
      <c r="BA1430" s="65"/>
    </row>
    <row r="1431">
      <c r="A1431" s="65" t="str">
        <f>IFERROR(__xludf.DUMMYFUNCTION("""COMPUTED_VALUE"""),"27-03-2026")</f>
        <v>27-03-2026</v>
      </c>
      <c r="B1431" s="65">
        <f>IFERROR(__xludf.DUMMYFUNCTION("""COMPUTED_VALUE"""),4272172.0)</f>
        <v>4272172</v>
      </c>
      <c r="C1431" s="65" t="str">
        <f>IFERROR(__xludf.DUMMYFUNCTION("""COMPUTED_VALUE"""),"13:33")</f>
        <v>13:33</v>
      </c>
      <c r="D1431" s="65" t="str">
        <f>IFERROR(__xludf.DUMMYFUNCTION("""COMPUTED_VALUE"""),"25-01-2026")</f>
        <v>25-01-2026</v>
      </c>
      <c r="E1431" s="65" t="str">
        <f>IFERROR(__xludf.DUMMYFUNCTION("""COMPUTED_VALUE"""),"Gustavo Eduardo Moreira Vera")</f>
        <v>Gustavo Eduardo Moreira Vera</v>
      </c>
      <c r="F1431" s="65" t="str">
        <f>IFERROR(__xludf.DUMMYFUNCTION("""COMPUTED_VALUE"""),"994593758")</f>
        <v>994593758</v>
      </c>
      <c r="G1431" s="65" t="str">
        <f>IFERROR(__xludf.DUMMYFUNCTION("""COMPUTED_VALUE"""),"gusedu60@hotmail.com")</f>
        <v>gusedu60@hotmail.com</v>
      </c>
      <c r="H1431" s="65"/>
      <c r="I1431" s="65"/>
      <c r="J1431" s="65"/>
      <c r="K1431" s="65" t="str">
        <f>IFERROR(__xludf.DUMMYFUNCTION("""COMPUTED_VALUE"""),"PENDIENTE CONFIRMACION")</f>
        <v>PENDIENTE CONFIRMACION</v>
      </c>
      <c r="L1431" s="65" t="str">
        <f>IFERROR(__xludf.DUMMYFUNCTION("""COMPUTED_VALUE"""),"CON RECAUDO")</f>
        <v>CON RECAUDO</v>
      </c>
      <c r="M1431" s="65" t="str">
        <f>IFERROR(__xludf.DUMMYFUNCTION("""COMPUTED_VALUE"""),"MANABI")</f>
        <v>MANABI</v>
      </c>
      <c r="N1431" s="65" t="str">
        <f>IFERROR(__xludf.DUMMYFUNCTION("""COMPUTED_VALUE"""),"EL CARMEN")</f>
        <v>EL CARMEN</v>
      </c>
      <c r="O1431" s="65" t="str">
        <f>IFERROR(__xludf.DUMMYFUNCTION("""COMPUTED_VALUE"""),"Av Chone Km 36")</f>
        <v>Av Chone Km 36</v>
      </c>
      <c r="P1431" s="65" t="str">
        <f>IFERROR(__xludf.DUMMYFUNCTION("""COMPUTED_VALUE"""),"LLAVE TRINQUETE: Default Title ***")</f>
        <v>LLAVE TRINQUETE: Default Title ***</v>
      </c>
      <c r="Q1431" s="65" t="str">
        <f>IFERROR(__xludf.DUMMYFUNCTION("""COMPUTED_VALUE"""),"GINTRACOM")</f>
        <v>GINTRACOM</v>
      </c>
      <c r="R1431" s="65">
        <f>IFERROR(__xludf.DUMMYFUNCTION("""COMPUTED_VALUE"""),21.99)</f>
        <v>21.99</v>
      </c>
      <c r="S1431" s="65"/>
      <c r="T1431" s="65">
        <f>IFERROR(__xludf.DUMMYFUNCTION("""COMPUTED_VALUE"""),5.84)</f>
        <v>5.84</v>
      </c>
      <c r="U1431" s="65">
        <f>IFERROR(__xludf.DUMMYFUNCTION("""COMPUTED_VALUE"""),0.0)</f>
        <v>0</v>
      </c>
      <c r="V1431" s="65">
        <f>IFERROR(__xludf.DUMMYFUNCTION("""COMPUTED_VALUE"""),0.0)</f>
        <v>0</v>
      </c>
      <c r="W1431" s="65">
        <f>IFERROR(__xludf.DUMMYFUNCTION("""COMPUTED_VALUE"""),0.0)</f>
        <v>0</v>
      </c>
      <c r="X1431" s="65">
        <f>IFERROR(__xludf.DUMMYFUNCTION("""COMPUTED_VALUE"""),5.0)</f>
        <v>5</v>
      </c>
      <c r="Y1431" s="65">
        <f>IFERROR(__xludf.DUMMYFUNCTION("""COMPUTED_VALUE"""),5.0)</f>
        <v>5</v>
      </c>
      <c r="Z1431" s="65">
        <f>IFERROR(__xludf.DUMMYFUNCTION("""COMPUTED_VALUE"""),110064.0)</f>
        <v>110064</v>
      </c>
      <c r="AA1431" s="65" t="str">
        <f>IFERROR(__xludf.DUMMYFUNCTION("""COMPUTED_VALUE"""),"IMX-00001")</f>
        <v>IMX-00001</v>
      </c>
      <c r="AB1431" s="65"/>
      <c r="AC1431" s="65" t="str">
        <f>IFERROR(__xludf.DUMMYFUNCTION("""COMPUTED_VALUE"""),"LLAVE TRINQUETE")</f>
        <v>LLAVE TRINQUETE</v>
      </c>
      <c r="AD1431" s="65"/>
      <c r="AE1431" s="65">
        <f>IFERROR(__xludf.DUMMYFUNCTION("""COMPUTED_VALUE"""),1.0)</f>
        <v>1</v>
      </c>
      <c r="AF1431" s="65"/>
      <c r="AG1431" s="65"/>
      <c r="AH1431" s="65"/>
      <c r="AI1431" s="65"/>
      <c r="AJ1431" s="65"/>
      <c r="AK1431" s="65"/>
      <c r="AL1431" s="65"/>
      <c r="AM1431" s="65"/>
      <c r="AN1431" s="65"/>
      <c r="AO1431" s="65"/>
      <c r="AP1431" s="65"/>
      <c r="AQ1431" s="65"/>
      <c r="AR1431" s="65"/>
      <c r="AS1431" s="65"/>
      <c r="AT1431" s="65" t="str">
        <f>IFERROR(__xludf.DUMMYFUNCTION("""COMPUTED_VALUE"""),"SHOPIFY")</f>
        <v>SHOPIFY</v>
      </c>
      <c r="AU1431" s="65" t="str">
        <f>IFERROR(__xludf.DUMMYFUNCTION("""COMPUTED_VALUE"""),"IMPORTEX EC")</f>
        <v>IMPORTEX EC</v>
      </c>
      <c r="AV1431" s="65" t="str">
        <f>IFERROR(__xludf.DUMMYFUNCTION("""COMPUTED_VALUE"""),"6446696529964")</f>
        <v>6446696529964</v>
      </c>
      <c r="AW1431" s="65">
        <f>IFERROR(__xludf.DUMMYFUNCTION("""COMPUTED_VALUE"""),5512.0)</f>
        <v>5512</v>
      </c>
      <c r="AX1431" s="65"/>
      <c r="AY1431" s="65"/>
      <c r="AZ1431" s="65"/>
      <c r="BA1431" s="65"/>
    </row>
    <row r="1432">
      <c r="A1432" s="65" t="str">
        <f>IFERROR(__xludf.DUMMYFUNCTION("""COMPUTED_VALUE"""),"27-03-2026")</f>
        <v>27-03-2026</v>
      </c>
      <c r="B1432" s="65">
        <f>IFERROR(__xludf.DUMMYFUNCTION("""COMPUTED_VALUE"""),4272109.0)</f>
        <v>4272109</v>
      </c>
      <c r="C1432" s="65" t="str">
        <f>IFERROR(__xludf.DUMMYFUNCTION("""COMPUTED_VALUE"""),"13:25")</f>
        <v>13:25</v>
      </c>
      <c r="D1432" s="65" t="str">
        <f>IFERROR(__xludf.DUMMYFUNCTION("""COMPUTED_VALUE"""),"25-01-2026")</f>
        <v>25-01-2026</v>
      </c>
      <c r="E1432" s="65" t="str">
        <f>IFERROR(__xludf.DUMMYFUNCTION("""COMPUTED_VALUE"""),"JUAN RAMÍREZ")</f>
        <v>JUAN RAMÍREZ</v>
      </c>
      <c r="F1432" s="65" t="str">
        <f>IFERROR(__xludf.DUMMYFUNCTION("""COMPUTED_VALUE"""),"990162317")</f>
        <v>990162317</v>
      </c>
      <c r="G1432" s="65" t="str">
        <f>IFERROR(__xludf.DUMMYFUNCTION("""COMPUTED_VALUE"""),"chiramirez070@gmail.com")</f>
        <v>chiramirez070@gmail.com</v>
      </c>
      <c r="H1432" s="65"/>
      <c r="I1432" s="65"/>
      <c r="J1432" s="65"/>
      <c r="K1432" s="65" t="str">
        <f>IFERROR(__xludf.DUMMYFUNCTION("""COMPUTED_VALUE"""),"CANCELADO")</f>
        <v>CANCELADO</v>
      </c>
      <c r="L1432" s="65" t="str">
        <f>IFERROR(__xludf.DUMMYFUNCTION("""COMPUTED_VALUE"""),"CON RECAUDO")</f>
        <v>CON RECAUDO</v>
      </c>
      <c r="M1432" s="65" t="str">
        <f>IFERROR(__xludf.DUMMYFUNCTION("""COMPUTED_VALUE"""),"EL ORO")</f>
        <v>EL ORO</v>
      </c>
      <c r="N1432" s="65" t="str">
        <f>IFERROR(__xludf.DUMMYFUNCTION("""COMPUTED_VALUE"""),"PIÑAS")</f>
        <v>PIÑAS</v>
      </c>
      <c r="O1432" s="65" t="str">
        <f>IFERROR(__xludf.DUMMYFUNCTION("""COMPUTED_VALUE"""),"ABDON CALDERON Y JUAN LEON MERA DIAGONAL MERCADO CENTRAL -")</f>
        <v>ABDON CALDERON Y JUAN LEON MERA DIAGONAL MERCADO CENTRAL -</v>
      </c>
      <c r="P1432" s="65" t="str">
        <f>IFERROR(__xludf.DUMMYFUNCTION("""COMPUTED_VALUE"""),"ENVIE PRONTO PORQUE ME VOY A GUAYAQUIL EL JUEVES")</f>
        <v>ENVIE PRONTO PORQUE ME VOY A GUAYAQUIL EL JUEVES</v>
      </c>
      <c r="Q1432" s="65" t="str">
        <f>IFERROR(__xludf.DUMMYFUNCTION("""COMPUTED_VALUE"""),"URBANO")</f>
        <v>URBANO</v>
      </c>
      <c r="R1432" s="65">
        <f>IFERROR(__xludf.DUMMYFUNCTION("""COMPUTED_VALUE"""),32.0)</f>
        <v>32</v>
      </c>
      <c r="S1432" s="65"/>
      <c r="T1432" s="65">
        <f>IFERROR(__xludf.DUMMYFUNCTION("""COMPUTED_VALUE"""),5.89)</f>
        <v>5.89</v>
      </c>
      <c r="U1432" s="65">
        <f>IFERROR(__xludf.DUMMYFUNCTION("""COMPUTED_VALUE"""),0.0)</f>
        <v>0</v>
      </c>
      <c r="V1432" s="65">
        <f>IFERROR(__xludf.DUMMYFUNCTION("""COMPUTED_VALUE"""),0.0)</f>
        <v>0</v>
      </c>
      <c r="W1432" s="65">
        <f>IFERROR(__xludf.DUMMYFUNCTION("""COMPUTED_VALUE"""),0.0)</f>
        <v>0</v>
      </c>
      <c r="X1432" s="65">
        <f>IFERROR(__xludf.DUMMYFUNCTION("""COMPUTED_VALUE"""),5.0)</f>
        <v>5</v>
      </c>
      <c r="Y1432" s="65">
        <f>IFERROR(__xludf.DUMMYFUNCTION("""COMPUTED_VALUE"""),10.0)</f>
        <v>10</v>
      </c>
      <c r="Z1432" s="65">
        <f>IFERROR(__xludf.DUMMYFUNCTION("""COMPUTED_VALUE"""),110064.0)</f>
        <v>110064</v>
      </c>
      <c r="AA1432" s="65" t="str">
        <f>IFERROR(__xludf.DUMMYFUNCTION("""COMPUTED_VALUE"""),"IMX-00001")</f>
        <v>IMX-00001</v>
      </c>
      <c r="AB1432" s="65"/>
      <c r="AC1432" s="65" t="str">
        <f>IFERROR(__xludf.DUMMYFUNCTION("""COMPUTED_VALUE"""),"LLAVE TRINQUETE")</f>
        <v>LLAVE TRINQUETE</v>
      </c>
      <c r="AD1432" s="65"/>
      <c r="AE1432" s="65">
        <f>IFERROR(__xludf.DUMMYFUNCTION("""COMPUTED_VALUE"""),2.0)</f>
        <v>2</v>
      </c>
      <c r="AF1432" s="65"/>
      <c r="AG1432" s="65"/>
      <c r="AH1432" s="65"/>
      <c r="AI1432" s="65"/>
      <c r="AJ1432" s="65"/>
      <c r="AK1432" s="65"/>
      <c r="AL1432" s="65"/>
      <c r="AM1432" s="65"/>
      <c r="AN1432" s="65"/>
      <c r="AO1432" s="65"/>
      <c r="AP1432" s="65"/>
      <c r="AQ1432" s="65"/>
      <c r="AR1432" s="65"/>
      <c r="AS1432" s="65"/>
      <c r="AT1432" s="65" t="str">
        <f>IFERROR(__xludf.DUMMYFUNCTION("""COMPUTED_VALUE"""),"SHOPIFY")</f>
        <v>SHOPIFY</v>
      </c>
      <c r="AU1432" s="65" t="str">
        <f>IFERROR(__xludf.DUMMYFUNCTION("""COMPUTED_VALUE"""),"IMPORTEX EC")</f>
        <v>IMPORTEX EC</v>
      </c>
      <c r="AV1432" s="65" t="str">
        <f>IFERROR(__xludf.DUMMYFUNCTION("""COMPUTED_VALUE"""),"6446674608172")</f>
        <v>6446674608172</v>
      </c>
      <c r="AW1432" s="65">
        <f>IFERROR(__xludf.DUMMYFUNCTION("""COMPUTED_VALUE"""),5511.0)</f>
        <v>5511</v>
      </c>
      <c r="AX1432" s="65"/>
      <c r="AY1432" s="65"/>
      <c r="AZ1432" s="65"/>
      <c r="BA1432" s="65"/>
    </row>
    <row r="1433">
      <c r="A1433" s="65" t="str">
        <f>IFERROR(__xludf.DUMMYFUNCTION("""COMPUTED_VALUE"""),"27-03-2026")</f>
        <v>27-03-2026</v>
      </c>
      <c r="B1433" s="65">
        <f>IFERROR(__xludf.DUMMYFUNCTION("""COMPUTED_VALUE"""),4271809.0)</f>
        <v>4271809</v>
      </c>
      <c r="C1433" s="65" t="str">
        <f>IFERROR(__xludf.DUMMYFUNCTION("""COMPUTED_VALUE"""),"12:41")</f>
        <v>12:41</v>
      </c>
      <c r="D1433" s="65" t="str">
        <f>IFERROR(__xludf.DUMMYFUNCTION("""COMPUTED_VALUE"""),"25-01-2026")</f>
        <v>25-01-2026</v>
      </c>
      <c r="E1433" s="65" t="str">
        <f>IFERROR(__xludf.DUMMYFUNCTION("""COMPUTED_VALUE"""),"Ángel mendoza")</f>
        <v>Ángel mendoza</v>
      </c>
      <c r="F1433" s="65" t="str">
        <f>IFERROR(__xludf.DUMMYFUNCTION("""COMPUTED_VALUE"""),"985275281")</f>
        <v>985275281</v>
      </c>
      <c r="G1433" s="65" t="str">
        <f>IFERROR(__xludf.DUMMYFUNCTION("""COMPUTED_VALUE"""),"mendozarodriguezangel@gmail.com")</f>
        <v>mendozarodriguezangel@gmail.com</v>
      </c>
      <c r="H1433" s="65"/>
      <c r="I1433" s="65"/>
      <c r="J1433" s="65"/>
      <c r="K1433" s="65" t="str">
        <f>IFERROR(__xludf.DUMMYFUNCTION("""COMPUTED_VALUE"""),"PENDIENTE CONFIRMACION")</f>
        <v>PENDIENTE CONFIRMACION</v>
      </c>
      <c r="L1433" s="65" t="str">
        <f>IFERROR(__xludf.DUMMYFUNCTION("""COMPUTED_VALUE"""),"CON RECAUDO")</f>
        <v>CON RECAUDO</v>
      </c>
      <c r="M1433" s="65" t="str">
        <f>IFERROR(__xludf.DUMMYFUNCTION("""COMPUTED_VALUE"""),"GUAYAS")</f>
        <v>GUAYAS</v>
      </c>
      <c r="N1433" s="65" t="str">
        <f>IFERROR(__xludf.DUMMYFUNCTION("""COMPUTED_VALUE"""),"DURAN")</f>
        <v>DURAN</v>
      </c>
      <c r="O1433" s="65" t="str">
        <f>IFERROR(__xludf.DUMMYFUNCTION("""COMPUTED_VALUE"""),"duran. Oramas gonzalez mz 13 al. 15 atrás de colegio carmody -")</f>
        <v>duran. Oramas gonzalez mz 13 al. 15 atrás de colegio carmody -</v>
      </c>
      <c r="P1433" s="65"/>
      <c r="Q1433" s="65" t="str">
        <f>IFERROR(__xludf.DUMMYFUNCTION("""COMPUTED_VALUE"""),"GINTRACOM")</f>
        <v>GINTRACOM</v>
      </c>
      <c r="R1433" s="65">
        <f>IFERROR(__xludf.DUMMYFUNCTION("""COMPUTED_VALUE"""),21.99)</f>
        <v>21.99</v>
      </c>
      <c r="S1433" s="65"/>
      <c r="T1433" s="65">
        <f>IFERROR(__xludf.DUMMYFUNCTION("""COMPUTED_VALUE"""),5.84)</f>
        <v>5.84</v>
      </c>
      <c r="U1433" s="65">
        <f>IFERROR(__xludf.DUMMYFUNCTION("""COMPUTED_VALUE"""),0.0)</f>
        <v>0</v>
      </c>
      <c r="V1433" s="65">
        <f>IFERROR(__xludf.DUMMYFUNCTION("""COMPUTED_VALUE"""),0.0)</f>
        <v>0</v>
      </c>
      <c r="W1433" s="65">
        <f>IFERROR(__xludf.DUMMYFUNCTION("""COMPUTED_VALUE"""),0.0)</f>
        <v>0</v>
      </c>
      <c r="X1433" s="65">
        <f>IFERROR(__xludf.DUMMYFUNCTION("""COMPUTED_VALUE"""),5.0)</f>
        <v>5</v>
      </c>
      <c r="Y1433" s="65">
        <f>IFERROR(__xludf.DUMMYFUNCTION("""COMPUTED_VALUE"""),5.0)</f>
        <v>5</v>
      </c>
      <c r="Z1433" s="65">
        <f>IFERROR(__xludf.DUMMYFUNCTION("""COMPUTED_VALUE"""),110064.0)</f>
        <v>110064</v>
      </c>
      <c r="AA1433" s="65" t="str">
        <f>IFERROR(__xludf.DUMMYFUNCTION("""COMPUTED_VALUE"""),"IMX-00001")</f>
        <v>IMX-00001</v>
      </c>
      <c r="AB1433" s="65"/>
      <c r="AC1433" s="65" t="str">
        <f>IFERROR(__xludf.DUMMYFUNCTION("""COMPUTED_VALUE"""),"LLAVE TRINQUETE")</f>
        <v>LLAVE TRINQUETE</v>
      </c>
      <c r="AD1433" s="65"/>
      <c r="AE1433" s="65">
        <f>IFERROR(__xludf.DUMMYFUNCTION("""COMPUTED_VALUE"""),1.0)</f>
        <v>1</v>
      </c>
      <c r="AF1433" s="65"/>
      <c r="AG1433" s="65"/>
      <c r="AH1433" s="65"/>
      <c r="AI1433" s="65"/>
      <c r="AJ1433" s="65"/>
      <c r="AK1433" s="65"/>
      <c r="AL1433" s="65"/>
      <c r="AM1433" s="65"/>
      <c r="AN1433" s="65"/>
      <c r="AO1433" s="65"/>
      <c r="AP1433" s="65"/>
      <c r="AQ1433" s="65"/>
      <c r="AR1433" s="65"/>
      <c r="AS1433" s="65"/>
      <c r="AT1433" s="65" t="str">
        <f>IFERROR(__xludf.DUMMYFUNCTION("""COMPUTED_VALUE"""),"SHOPIFY")</f>
        <v>SHOPIFY</v>
      </c>
      <c r="AU1433" s="65" t="str">
        <f>IFERROR(__xludf.DUMMYFUNCTION("""COMPUTED_VALUE"""),"IMPORTEX EC")</f>
        <v>IMPORTEX EC</v>
      </c>
      <c r="AV1433" s="65" t="str">
        <f>IFERROR(__xludf.DUMMYFUNCTION("""COMPUTED_VALUE"""),"6446526267436")</f>
        <v>6446526267436</v>
      </c>
      <c r="AW1433" s="65">
        <f>IFERROR(__xludf.DUMMYFUNCTION("""COMPUTED_VALUE"""),5509.0)</f>
        <v>5509</v>
      </c>
      <c r="AX1433" s="65"/>
      <c r="AY1433" s="65"/>
      <c r="AZ1433" s="65"/>
      <c r="BA1433" s="65"/>
    </row>
    <row r="1434">
      <c r="A1434" s="65" t="str">
        <f>IFERROR(__xludf.DUMMYFUNCTION("""COMPUTED_VALUE"""),"27-03-2026")</f>
        <v>27-03-2026</v>
      </c>
      <c r="B1434" s="65">
        <f>IFERROR(__xludf.DUMMYFUNCTION("""COMPUTED_VALUE"""),4271778.0)</f>
        <v>4271778</v>
      </c>
      <c r="C1434" s="65" t="str">
        <f>IFERROR(__xludf.DUMMYFUNCTION("""COMPUTED_VALUE"""),"12:35")</f>
        <v>12:35</v>
      </c>
      <c r="D1434" s="65" t="str">
        <f>IFERROR(__xludf.DUMMYFUNCTION("""COMPUTED_VALUE"""),"25-01-2026")</f>
        <v>25-01-2026</v>
      </c>
      <c r="E1434" s="65" t="str">
        <f>IFERROR(__xludf.DUMMYFUNCTION("""COMPUTED_VALUE"""),"Xavier Estrada")</f>
        <v>Xavier Estrada</v>
      </c>
      <c r="F1434" s="65" t="str">
        <f>IFERROR(__xludf.DUMMYFUNCTION("""COMPUTED_VALUE"""),"996756974")</f>
        <v>996756974</v>
      </c>
      <c r="G1434" s="65" t="str">
        <f>IFERROR(__xludf.DUMMYFUNCTION("""COMPUTED_VALUE"""),"darwinxavi8098@gmail.com")</f>
        <v>darwinxavi8098@gmail.com</v>
      </c>
      <c r="H1434" s="65"/>
      <c r="I1434" s="65"/>
      <c r="J1434" s="65"/>
      <c r="K1434" s="65" t="str">
        <f>IFERROR(__xludf.DUMMYFUNCTION("""COMPUTED_VALUE"""),"CANCELADO")</f>
        <v>CANCELADO</v>
      </c>
      <c r="L1434" s="65" t="str">
        <f>IFERROR(__xludf.DUMMYFUNCTION("""COMPUTED_VALUE"""),"CON RECAUDO")</f>
        <v>CON RECAUDO</v>
      </c>
      <c r="M1434" s="65" t="str">
        <f>IFERROR(__xludf.DUMMYFUNCTION("""COMPUTED_VALUE"""),"TUNGURAHUA")</f>
        <v>TUNGURAHUA</v>
      </c>
      <c r="N1434" s="65" t="str">
        <f>IFERROR(__xludf.DUMMYFUNCTION("""COMPUTED_VALUE"""),"AMBATO")</f>
        <v>AMBATO</v>
      </c>
      <c r="O1434" s="65" t="str">
        <f>IFERROR(__xludf.DUMMYFUNCTION("""COMPUTED_VALUE"""),"Chanul y enebro Parroquia martinez barrio centro -")</f>
        <v>Chanul y enebro Parroquia martinez barrio centro -</v>
      </c>
      <c r="P1434" s="65"/>
      <c r="Q1434" s="65" t="str">
        <f>IFERROR(__xludf.DUMMYFUNCTION("""COMPUTED_VALUE"""),"GINTRACOM")</f>
        <v>GINTRACOM</v>
      </c>
      <c r="R1434" s="65">
        <f>IFERROR(__xludf.DUMMYFUNCTION("""COMPUTED_VALUE"""),32.0)</f>
        <v>32</v>
      </c>
      <c r="S1434" s="65"/>
      <c r="T1434" s="65">
        <f>IFERROR(__xludf.DUMMYFUNCTION("""COMPUTED_VALUE"""),6.24)</f>
        <v>6.24</v>
      </c>
      <c r="U1434" s="65">
        <f>IFERROR(__xludf.DUMMYFUNCTION("""COMPUTED_VALUE"""),0.0)</f>
        <v>0</v>
      </c>
      <c r="V1434" s="65">
        <f>IFERROR(__xludf.DUMMYFUNCTION("""COMPUTED_VALUE"""),0.0)</f>
        <v>0</v>
      </c>
      <c r="W1434" s="65">
        <f>IFERROR(__xludf.DUMMYFUNCTION("""COMPUTED_VALUE"""),0.0)</f>
        <v>0</v>
      </c>
      <c r="X1434" s="65">
        <f>IFERROR(__xludf.DUMMYFUNCTION("""COMPUTED_VALUE"""),5.0)</f>
        <v>5</v>
      </c>
      <c r="Y1434" s="65">
        <f>IFERROR(__xludf.DUMMYFUNCTION("""COMPUTED_VALUE"""),10.0)</f>
        <v>10</v>
      </c>
      <c r="Z1434" s="65">
        <f>IFERROR(__xludf.DUMMYFUNCTION("""COMPUTED_VALUE"""),110064.0)</f>
        <v>110064</v>
      </c>
      <c r="AA1434" s="65" t="str">
        <f>IFERROR(__xludf.DUMMYFUNCTION("""COMPUTED_VALUE"""),"IMX-00001")</f>
        <v>IMX-00001</v>
      </c>
      <c r="AB1434" s="65"/>
      <c r="AC1434" s="65" t="str">
        <f>IFERROR(__xludf.DUMMYFUNCTION("""COMPUTED_VALUE"""),"LLAVE TRINQUETE")</f>
        <v>LLAVE TRINQUETE</v>
      </c>
      <c r="AD1434" s="65"/>
      <c r="AE1434" s="65">
        <f>IFERROR(__xludf.DUMMYFUNCTION("""COMPUTED_VALUE"""),2.0)</f>
        <v>2</v>
      </c>
      <c r="AF1434" s="65"/>
      <c r="AG1434" s="65"/>
      <c r="AH1434" s="65"/>
      <c r="AI1434" s="65"/>
      <c r="AJ1434" s="65"/>
      <c r="AK1434" s="65"/>
      <c r="AL1434" s="65"/>
      <c r="AM1434" s="65"/>
      <c r="AN1434" s="65"/>
      <c r="AO1434" s="65"/>
      <c r="AP1434" s="65"/>
      <c r="AQ1434" s="65"/>
      <c r="AR1434" s="65"/>
      <c r="AS1434" s="65"/>
      <c r="AT1434" s="65" t="str">
        <f>IFERROR(__xludf.DUMMYFUNCTION("""COMPUTED_VALUE"""),"SHOPIFY")</f>
        <v>SHOPIFY</v>
      </c>
      <c r="AU1434" s="65" t="str">
        <f>IFERROR(__xludf.DUMMYFUNCTION("""COMPUTED_VALUE"""),"IMPORTEX EC")</f>
        <v>IMPORTEX EC</v>
      </c>
      <c r="AV1434" s="65" t="str">
        <f>IFERROR(__xludf.DUMMYFUNCTION("""COMPUTED_VALUE"""),"6446515650604")</f>
        <v>6446515650604</v>
      </c>
      <c r="AW1434" s="65">
        <f>IFERROR(__xludf.DUMMYFUNCTION("""COMPUTED_VALUE"""),5508.0)</f>
        <v>5508</v>
      </c>
      <c r="AX1434" s="65"/>
      <c r="AY1434" s="65"/>
      <c r="AZ1434" s="65"/>
      <c r="BA1434" s="65"/>
    </row>
    <row r="1435">
      <c r="A1435" s="65" t="str">
        <f>IFERROR(__xludf.DUMMYFUNCTION("""COMPUTED_VALUE"""),"27-03-2026")</f>
        <v>27-03-2026</v>
      </c>
      <c r="B1435" s="65">
        <f>IFERROR(__xludf.DUMMYFUNCTION("""COMPUTED_VALUE"""),4271070.0)</f>
        <v>4271070</v>
      </c>
      <c r="C1435" s="65" t="str">
        <f>IFERROR(__xludf.DUMMYFUNCTION("""COMPUTED_VALUE"""),"11:17")</f>
        <v>11:17</v>
      </c>
      <c r="D1435" s="65" t="str">
        <f>IFERROR(__xludf.DUMMYFUNCTION("""COMPUTED_VALUE"""),"25-01-2026")</f>
        <v>25-01-2026</v>
      </c>
      <c r="E1435" s="65" t="str">
        <f>IFERROR(__xludf.DUMMYFUNCTION("""COMPUTED_VALUE"""),"Pablo Lita")</f>
        <v>Pablo Lita</v>
      </c>
      <c r="F1435" s="65" t="str">
        <f>IFERROR(__xludf.DUMMYFUNCTION("""COMPUTED_VALUE"""),"984897240")</f>
        <v>984897240</v>
      </c>
      <c r="G1435" s="65" t="str">
        <f>IFERROR(__xludf.DUMMYFUNCTION("""COMPUTED_VALUE"""),"pablolita609@gmail.com")</f>
        <v>pablolita609@gmail.com</v>
      </c>
      <c r="H1435" s="65"/>
      <c r="I1435" s="65"/>
      <c r="J1435" s="65"/>
      <c r="K1435" s="65" t="str">
        <f>IFERROR(__xludf.DUMMYFUNCTION("""COMPUTED_VALUE"""),"PENDIENTE CONFIRMACION")</f>
        <v>PENDIENTE CONFIRMACION</v>
      </c>
      <c r="L1435" s="65" t="str">
        <f>IFERROR(__xludf.DUMMYFUNCTION("""COMPUTED_VALUE"""),"CON RECAUDO")</f>
        <v>CON RECAUDO</v>
      </c>
      <c r="M1435" s="65" t="str">
        <f>IFERROR(__xludf.DUMMYFUNCTION("""COMPUTED_VALUE"""),"PICHINCHA")</f>
        <v>PICHINCHA</v>
      </c>
      <c r="N1435" s="65" t="str">
        <f>IFERROR(__xludf.DUMMYFUNCTION("""COMPUTED_VALUE"""),"LLANO CHICO")</f>
        <v>LLANO CHICO</v>
      </c>
      <c r="O1435" s="65" t="str">
        <f>IFERROR(__xludf.DUMMYFUNCTION("""COMPUTED_VALUE"""),"García moreno y 19 de marzo Llano chico, Gualo sector cocotog -")</f>
        <v>García moreno y 19 de marzo Llano chico, Gualo sector cocotog -</v>
      </c>
      <c r="P1435" s="65"/>
      <c r="Q1435" s="65" t="str">
        <f>IFERROR(__xludf.DUMMYFUNCTION("""COMPUTED_VALUE"""),"GINTRACOM")</f>
        <v>GINTRACOM</v>
      </c>
      <c r="R1435" s="65">
        <f>IFERROR(__xludf.DUMMYFUNCTION("""COMPUTED_VALUE"""),25.0)</f>
        <v>25</v>
      </c>
      <c r="S1435" s="65"/>
      <c r="T1435" s="65">
        <f>IFERROR(__xludf.DUMMYFUNCTION("""COMPUTED_VALUE"""),4.92)</f>
        <v>4.92</v>
      </c>
      <c r="U1435" s="65">
        <f>IFERROR(__xludf.DUMMYFUNCTION("""COMPUTED_VALUE"""),0.0)</f>
        <v>0</v>
      </c>
      <c r="V1435" s="65">
        <f>IFERROR(__xludf.DUMMYFUNCTION("""COMPUTED_VALUE"""),0.0)</f>
        <v>0</v>
      </c>
      <c r="W1435" s="65">
        <f>IFERROR(__xludf.DUMMYFUNCTION("""COMPUTED_VALUE"""),0.0)</f>
        <v>0</v>
      </c>
      <c r="X1435" s="65">
        <f>IFERROR(__xludf.DUMMYFUNCTION("""COMPUTED_VALUE"""),2.35)</f>
        <v>2.35</v>
      </c>
      <c r="Y1435" s="65">
        <f>IFERROR(__xludf.DUMMYFUNCTION("""COMPUTED_VALUE"""),4.7)</f>
        <v>4.7</v>
      </c>
      <c r="Z1435" s="65">
        <f>IFERROR(__xludf.DUMMYFUNCTION("""COMPUTED_VALUE"""),116679.0)</f>
        <v>116679</v>
      </c>
      <c r="AA1435" s="65" t="str">
        <f>IFERROR(__xludf.DUMMYFUNCTION("""COMPUTED_VALUE"""),"AMC-2738")</f>
        <v>AMC-2738</v>
      </c>
      <c r="AB1435" s="65"/>
      <c r="AC1435" s="65" t="str">
        <f>IFERROR(__xludf.DUMMYFUNCTION("""COMPUTED_VALUE"""),"ESPONJA ANTILLUVIA DE PARABRISAS")</f>
        <v>ESPONJA ANTILLUVIA DE PARABRISAS</v>
      </c>
      <c r="AD1435" s="65"/>
      <c r="AE1435" s="65">
        <f>IFERROR(__xludf.DUMMYFUNCTION("""COMPUTED_VALUE"""),2.0)</f>
        <v>2</v>
      </c>
      <c r="AF1435" s="65"/>
      <c r="AG1435" s="65"/>
      <c r="AH1435" s="65"/>
      <c r="AI1435" s="65"/>
      <c r="AJ1435" s="65"/>
      <c r="AK1435" s="65"/>
      <c r="AL1435" s="65"/>
      <c r="AM1435" s="65"/>
      <c r="AN1435" s="65"/>
      <c r="AO1435" s="65"/>
      <c r="AP1435" s="65"/>
      <c r="AQ1435" s="65"/>
      <c r="AR1435" s="65"/>
      <c r="AS1435" s="65"/>
      <c r="AT1435" s="65" t="str">
        <f>IFERROR(__xludf.DUMMYFUNCTION("""COMPUTED_VALUE"""),"SHOPIFY")</f>
        <v>SHOPIFY</v>
      </c>
      <c r="AU1435" s="65" t="str">
        <f>IFERROR(__xludf.DUMMYFUNCTION("""COMPUTED_VALUE"""),"IMPORTEX EC")</f>
        <v>IMPORTEX EC</v>
      </c>
      <c r="AV1435" s="65" t="str">
        <f>IFERROR(__xludf.DUMMYFUNCTION("""COMPUTED_VALUE"""),"6446305673260")</f>
        <v>6446305673260</v>
      </c>
      <c r="AW1435" s="65">
        <f>IFERROR(__xludf.DUMMYFUNCTION("""COMPUTED_VALUE"""),5506.0)</f>
        <v>5506</v>
      </c>
      <c r="AX1435" s="65"/>
      <c r="AY1435" s="65"/>
      <c r="AZ1435" s="65"/>
      <c r="BA1435" s="65"/>
    </row>
    <row r="1436">
      <c r="A1436" s="65" t="str">
        <f>IFERROR(__xludf.DUMMYFUNCTION("""COMPUTED_VALUE"""),"27-03-2026")</f>
        <v>27-03-2026</v>
      </c>
      <c r="B1436" s="65">
        <f>IFERROR(__xludf.DUMMYFUNCTION("""COMPUTED_VALUE"""),4270832.0)</f>
        <v>4270832</v>
      </c>
      <c r="C1436" s="65" t="str">
        <f>IFERROR(__xludf.DUMMYFUNCTION("""COMPUTED_VALUE"""),"10:52")</f>
        <v>10:52</v>
      </c>
      <c r="D1436" s="65" t="str">
        <f>IFERROR(__xludf.DUMMYFUNCTION("""COMPUTED_VALUE"""),"25-01-2026")</f>
        <v>25-01-2026</v>
      </c>
      <c r="E1436" s="65" t="str">
        <f>IFERROR(__xludf.DUMMYFUNCTION("""COMPUTED_VALUE"""),"Monica Miño")</f>
        <v>Monica Miño</v>
      </c>
      <c r="F1436" s="65" t="str">
        <f>IFERROR(__xludf.DUMMYFUNCTION("""COMPUTED_VALUE"""),"998090023")</f>
        <v>998090023</v>
      </c>
      <c r="G1436" s="65" t="str">
        <f>IFERROR(__xludf.DUMMYFUNCTION("""COMPUTED_VALUE"""),"ventas1@tmgfabricantes.com")</f>
        <v>ventas1@tmgfabricantes.com</v>
      </c>
      <c r="H1436" s="65"/>
      <c r="I1436" s="65"/>
      <c r="J1436" s="65"/>
      <c r="K1436" s="65" t="str">
        <f>IFERROR(__xludf.DUMMYFUNCTION("""COMPUTED_VALUE"""),"PENDIENTE CONFIRMACION")</f>
        <v>PENDIENTE CONFIRMACION</v>
      </c>
      <c r="L1436" s="65" t="str">
        <f>IFERROR(__xludf.DUMMYFUNCTION("""COMPUTED_VALUE"""),"CON RECAUDO")</f>
        <v>CON RECAUDO</v>
      </c>
      <c r="M1436" s="65" t="str">
        <f>IFERROR(__xludf.DUMMYFUNCTION("""COMPUTED_VALUE"""),"PICHINCHA")</f>
        <v>PICHINCHA</v>
      </c>
      <c r="N1436" s="65" t="str">
        <f>IFERROR(__xludf.DUMMYFUNCTION("""COMPUTED_VALUE"""),"QUITO")</f>
        <v>QUITO</v>
      </c>
      <c r="O1436" s="65" t="str">
        <f>IFERROR(__xludf.DUMMYFUNCTION("""COMPUTED_VALUE"""),"Calle Quitus  Oe2 392 y princesa Toa -sector sur la Magdalena casa verde esquineta -")</f>
        <v>Calle Quitus  Oe2 392 y princesa Toa -sector sur la Magdalena casa verde esquineta -</v>
      </c>
      <c r="P1436" s="65"/>
      <c r="Q1436" s="65" t="str">
        <f>IFERROR(__xludf.DUMMYFUNCTION("""COMPUTED_VALUE"""),"GINTRACOM")</f>
        <v>GINTRACOM</v>
      </c>
      <c r="R1436" s="65">
        <f>IFERROR(__xludf.DUMMYFUNCTION("""COMPUTED_VALUE"""),20.0)</f>
        <v>20</v>
      </c>
      <c r="S1436" s="65"/>
      <c r="T1436" s="65">
        <f>IFERROR(__xludf.DUMMYFUNCTION("""COMPUTED_VALUE"""),4.15)</f>
        <v>4.15</v>
      </c>
      <c r="U1436" s="65">
        <f>IFERROR(__xludf.DUMMYFUNCTION("""COMPUTED_VALUE"""),0.0)</f>
        <v>0</v>
      </c>
      <c r="V1436" s="65">
        <f>IFERROR(__xludf.DUMMYFUNCTION("""COMPUTED_VALUE"""),0.0)</f>
        <v>0</v>
      </c>
      <c r="W1436" s="65">
        <f>IFERROR(__xludf.DUMMYFUNCTION("""COMPUTED_VALUE"""),0.0)</f>
        <v>0</v>
      </c>
      <c r="X1436" s="65">
        <f>IFERROR(__xludf.DUMMYFUNCTION("""COMPUTED_VALUE"""),2.35)</f>
        <v>2.35</v>
      </c>
      <c r="Y1436" s="65">
        <f>IFERROR(__xludf.DUMMYFUNCTION("""COMPUTED_VALUE"""),2.35)</f>
        <v>2.35</v>
      </c>
      <c r="Z1436" s="65">
        <f>IFERROR(__xludf.DUMMYFUNCTION("""COMPUTED_VALUE"""),116679.0)</f>
        <v>116679</v>
      </c>
      <c r="AA1436" s="65" t="str">
        <f>IFERROR(__xludf.DUMMYFUNCTION("""COMPUTED_VALUE"""),"AMC-2738")</f>
        <v>AMC-2738</v>
      </c>
      <c r="AB1436" s="65"/>
      <c r="AC1436" s="65" t="str">
        <f>IFERROR(__xludf.DUMMYFUNCTION("""COMPUTED_VALUE"""),"ESPONJA ANTILLUVIA DE PARABRISAS")</f>
        <v>ESPONJA ANTILLUVIA DE PARABRISAS</v>
      </c>
      <c r="AD1436" s="65"/>
      <c r="AE1436" s="65">
        <f>IFERROR(__xludf.DUMMYFUNCTION("""COMPUTED_VALUE"""),1.0)</f>
        <v>1</v>
      </c>
      <c r="AF1436" s="65"/>
      <c r="AG1436" s="65"/>
      <c r="AH1436" s="65"/>
      <c r="AI1436" s="65"/>
      <c r="AJ1436" s="65"/>
      <c r="AK1436" s="65"/>
      <c r="AL1436" s="65"/>
      <c r="AM1436" s="65"/>
      <c r="AN1436" s="65"/>
      <c r="AO1436" s="65"/>
      <c r="AP1436" s="65"/>
      <c r="AQ1436" s="65"/>
      <c r="AR1436" s="65"/>
      <c r="AS1436" s="65"/>
      <c r="AT1436" s="65" t="str">
        <f>IFERROR(__xludf.DUMMYFUNCTION("""COMPUTED_VALUE"""),"SHOPIFY")</f>
        <v>SHOPIFY</v>
      </c>
      <c r="AU1436" s="65" t="str">
        <f>IFERROR(__xludf.DUMMYFUNCTION("""COMPUTED_VALUE"""),"IMPORTEX EC")</f>
        <v>IMPORTEX EC</v>
      </c>
      <c r="AV1436" s="65" t="str">
        <f>IFERROR(__xludf.DUMMYFUNCTION("""COMPUTED_VALUE"""),"6446253408300")</f>
        <v>6446253408300</v>
      </c>
      <c r="AW1436" s="65">
        <f>IFERROR(__xludf.DUMMYFUNCTION("""COMPUTED_VALUE"""),5505.0)</f>
        <v>5505</v>
      </c>
      <c r="AX1436" s="65"/>
      <c r="AY1436" s="65"/>
      <c r="AZ1436" s="65"/>
      <c r="BA1436" s="65"/>
    </row>
    <row r="1437">
      <c r="A1437" s="65" t="str">
        <f>IFERROR(__xludf.DUMMYFUNCTION("""COMPUTED_VALUE"""),"27-03-2026")</f>
        <v>27-03-2026</v>
      </c>
      <c r="B1437" s="65">
        <f>IFERROR(__xludf.DUMMYFUNCTION("""COMPUTED_VALUE"""),4270825.0)</f>
        <v>4270825</v>
      </c>
      <c r="C1437" s="65" t="str">
        <f>IFERROR(__xludf.DUMMYFUNCTION("""COMPUTED_VALUE"""),"10:52")</f>
        <v>10:52</v>
      </c>
      <c r="D1437" s="65" t="str">
        <f>IFERROR(__xludf.DUMMYFUNCTION("""COMPUTED_VALUE"""),"25-01-2026")</f>
        <v>25-01-2026</v>
      </c>
      <c r="E1437" s="65" t="str">
        <f>IFERROR(__xludf.DUMMYFUNCTION("""COMPUTED_VALUE"""),"Karina Noboa")</f>
        <v>Karina Noboa</v>
      </c>
      <c r="F1437" s="65" t="str">
        <f>IFERROR(__xludf.DUMMYFUNCTION("""COMPUTED_VALUE"""),"998523346")</f>
        <v>998523346</v>
      </c>
      <c r="G1437" s="65" t="str">
        <f>IFERROR(__xludf.DUMMYFUNCTION("""COMPUTED_VALUE"""),"zambitan@hotmail.com")</f>
        <v>zambitan@hotmail.com</v>
      </c>
      <c r="H1437" s="65"/>
      <c r="I1437" s="65"/>
      <c r="J1437" s="65"/>
      <c r="K1437" s="65" t="str">
        <f>IFERROR(__xludf.DUMMYFUNCTION("""COMPUTED_VALUE"""),"PENDIENTE CONFIRMACION")</f>
        <v>PENDIENTE CONFIRMACION</v>
      </c>
      <c r="L1437" s="65" t="str">
        <f>IFERROR(__xludf.DUMMYFUNCTION("""COMPUTED_VALUE"""),"CON RECAUDO")</f>
        <v>CON RECAUDO</v>
      </c>
      <c r="M1437" s="65" t="str">
        <f>IFERROR(__xludf.DUMMYFUNCTION("""COMPUTED_VALUE"""),"PICHINCHA")</f>
        <v>PICHINCHA</v>
      </c>
      <c r="N1437" s="65" t="str">
        <f>IFERROR(__xludf.DUMMYFUNCTION("""COMPUTED_VALUE"""),"QUITO")</f>
        <v>QUITO</v>
      </c>
      <c r="O1437" s="65" t="str">
        <f>IFERROR(__xludf.DUMMYFUNCTION("""COMPUTED_VALUE"""),"Atahualpa Oe1-109 y 10 de agosto edificio BDE oficinas de la Unidad del Registro Social Sector de la UTE -")</f>
        <v>Atahualpa Oe1-109 y 10 de agosto edificio BDE oficinas de la Unidad del Registro Social Sector de la UTE -</v>
      </c>
      <c r="P1437" s="65"/>
      <c r="Q1437" s="65" t="str">
        <f>IFERROR(__xludf.DUMMYFUNCTION("""COMPUTED_VALUE"""),"GINTRACOM")</f>
        <v>GINTRACOM</v>
      </c>
      <c r="R1437" s="65">
        <f>IFERROR(__xludf.DUMMYFUNCTION("""COMPUTED_VALUE"""),30.0)</f>
        <v>30</v>
      </c>
      <c r="S1437" s="65"/>
      <c r="T1437" s="65">
        <f>IFERROR(__xludf.DUMMYFUNCTION("""COMPUTED_VALUE"""),4.55)</f>
        <v>4.55</v>
      </c>
      <c r="U1437" s="65">
        <f>IFERROR(__xludf.DUMMYFUNCTION("""COMPUTED_VALUE"""),0.0)</f>
        <v>0</v>
      </c>
      <c r="V1437" s="65">
        <f>IFERROR(__xludf.DUMMYFUNCTION("""COMPUTED_VALUE"""),0.0)</f>
        <v>0</v>
      </c>
      <c r="W1437" s="65">
        <f>IFERROR(__xludf.DUMMYFUNCTION("""COMPUTED_VALUE"""),0.0)</f>
        <v>0</v>
      </c>
      <c r="X1437" s="65">
        <f>IFERROR(__xludf.DUMMYFUNCTION("""COMPUTED_VALUE"""),2.35)</f>
        <v>2.35</v>
      </c>
      <c r="Y1437" s="65">
        <f>IFERROR(__xludf.DUMMYFUNCTION("""COMPUTED_VALUE"""),7.05)</f>
        <v>7.05</v>
      </c>
      <c r="Z1437" s="65">
        <f>IFERROR(__xludf.DUMMYFUNCTION("""COMPUTED_VALUE"""),116679.0)</f>
        <v>116679</v>
      </c>
      <c r="AA1437" s="65" t="str">
        <f>IFERROR(__xludf.DUMMYFUNCTION("""COMPUTED_VALUE"""),"AMC-2738")</f>
        <v>AMC-2738</v>
      </c>
      <c r="AB1437" s="65"/>
      <c r="AC1437" s="65" t="str">
        <f>IFERROR(__xludf.DUMMYFUNCTION("""COMPUTED_VALUE"""),"ESPONJA ANTILLUVIA DE PARABRISAS")</f>
        <v>ESPONJA ANTILLUVIA DE PARABRISAS</v>
      </c>
      <c r="AD1437" s="65"/>
      <c r="AE1437" s="65">
        <f>IFERROR(__xludf.DUMMYFUNCTION("""COMPUTED_VALUE"""),3.0)</f>
        <v>3</v>
      </c>
      <c r="AF1437" s="65"/>
      <c r="AG1437" s="65"/>
      <c r="AH1437" s="65"/>
      <c r="AI1437" s="65"/>
      <c r="AJ1437" s="65"/>
      <c r="AK1437" s="65"/>
      <c r="AL1437" s="65"/>
      <c r="AM1437" s="65"/>
      <c r="AN1437" s="65"/>
      <c r="AO1437" s="65"/>
      <c r="AP1437" s="65"/>
      <c r="AQ1437" s="65"/>
      <c r="AR1437" s="65"/>
      <c r="AS1437" s="65"/>
      <c r="AT1437" s="65" t="str">
        <f>IFERROR(__xludf.DUMMYFUNCTION("""COMPUTED_VALUE"""),"SHOPIFY")</f>
        <v>SHOPIFY</v>
      </c>
      <c r="AU1437" s="65" t="str">
        <f>IFERROR(__xludf.DUMMYFUNCTION("""COMPUTED_VALUE"""),"IMPORTEX EC")</f>
        <v>IMPORTEX EC</v>
      </c>
      <c r="AV1437" s="65" t="str">
        <f>IFERROR(__xludf.DUMMYFUNCTION("""COMPUTED_VALUE"""),"6446251278380")</f>
        <v>6446251278380</v>
      </c>
      <c r="AW1437" s="65">
        <f>IFERROR(__xludf.DUMMYFUNCTION("""COMPUTED_VALUE"""),5504.0)</f>
        <v>5504</v>
      </c>
      <c r="AX1437" s="65"/>
      <c r="AY1437" s="65"/>
      <c r="AZ1437" s="65"/>
      <c r="BA1437" s="65"/>
    </row>
    <row r="1438">
      <c r="A1438" s="65" t="str">
        <f>IFERROR(__xludf.DUMMYFUNCTION("""COMPUTED_VALUE"""),"27-03-2026")</f>
        <v>27-03-2026</v>
      </c>
      <c r="B1438" s="65">
        <f>IFERROR(__xludf.DUMMYFUNCTION("""COMPUTED_VALUE"""),4270065.0)</f>
        <v>4270065</v>
      </c>
      <c r="C1438" s="65" t="str">
        <f>IFERROR(__xludf.DUMMYFUNCTION("""COMPUTED_VALUE"""),"09:16")</f>
        <v>09:16</v>
      </c>
      <c r="D1438" s="65" t="str">
        <f>IFERROR(__xludf.DUMMYFUNCTION("""COMPUTED_VALUE"""),"25-01-2026")</f>
        <v>25-01-2026</v>
      </c>
      <c r="E1438" s="65" t="str">
        <f>IFERROR(__xludf.DUMMYFUNCTION("""COMPUTED_VALUE"""),"Glenda Cuenca Cuenca")</f>
        <v>Glenda Cuenca Cuenca</v>
      </c>
      <c r="F1438" s="65" t="str">
        <f>IFERROR(__xludf.DUMMYFUNCTION("""COMPUTED_VALUE"""),"993802359")</f>
        <v>993802359</v>
      </c>
      <c r="G1438" s="65" t="str">
        <f>IFERROR(__xludf.DUMMYFUNCTION("""COMPUTED_VALUE"""),"marygarfl@hotmail.com")</f>
        <v>marygarfl@hotmail.com</v>
      </c>
      <c r="H1438" s="65"/>
      <c r="I1438" s="65"/>
      <c r="J1438" s="65"/>
      <c r="K1438" s="65" t="str">
        <f>IFERROR(__xludf.DUMMYFUNCTION("""COMPUTED_VALUE"""),"PENDIENTE CONFIRMACION")</f>
        <v>PENDIENTE CONFIRMACION</v>
      </c>
      <c r="L1438" s="65" t="str">
        <f>IFERROR(__xludf.DUMMYFUNCTION("""COMPUTED_VALUE"""),"CON RECAUDO")</f>
        <v>CON RECAUDO</v>
      </c>
      <c r="M1438" s="65" t="str">
        <f>IFERROR(__xludf.DUMMYFUNCTION("""COMPUTED_VALUE"""),"LOJA")</f>
        <v>LOJA</v>
      </c>
      <c r="N1438" s="65" t="str">
        <f>IFERROR(__xludf.DUMMYFUNCTION("""COMPUTED_VALUE"""),"LOJA")</f>
        <v>LOJA</v>
      </c>
      <c r="O1438" s="65" t="str">
        <f>IFERROR(__xludf.DUMMYFUNCTION("""COMPUTED_VALUE"""),"Av. Eugenio Espejo / el dorado -")</f>
        <v>Av. Eugenio Espejo / el dorado -</v>
      </c>
      <c r="P1438" s="65"/>
      <c r="Q1438" s="65" t="str">
        <f>IFERROR(__xludf.DUMMYFUNCTION("""COMPUTED_VALUE"""),"GINTRACOM")</f>
        <v>GINTRACOM</v>
      </c>
      <c r="R1438" s="65">
        <f>IFERROR(__xludf.DUMMYFUNCTION("""COMPUTED_VALUE"""),20.0)</f>
        <v>20</v>
      </c>
      <c r="S1438" s="65"/>
      <c r="T1438" s="65">
        <f>IFERROR(__xludf.DUMMYFUNCTION("""COMPUTED_VALUE"""),5.76)</f>
        <v>5.76</v>
      </c>
      <c r="U1438" s="65">
        <f>IFERROR(__xludf.DUMMYFUNCTION("""COMPUTED_VALUE"""),0.0)</f>
        <v>0</v>
      </c>
      <c r="V1438" s="65">
        <f>IFERROR(__xludf.DUMMYFUNCTION("""COMPUTED_VALUE"""),0.0)</f>
        <v>0</v>
      </c>
      <c r="W1438" s="65">
        <f>IFERROR(__xludf.DUMMYFUNCTION("""COMPUTED_VALUE"""),0.0)</f>
        <v>0</v>
      </c>
      <c r="X1438" s="65">
        <f>IFERROR(__xludf.DUMMYFUNCTION("""COMPUTED_VALUE"""),2.35)</f>
        <v>2.35</v>
      </c>
      <c r="Y1438" s="65">
        <f>IFERROR(__xludf.DUMMYFUNCTION("""COMPUTED_VALUE"""),2.35)</f>
        <v>2.35</v>
      </c>
      <c r="Z1438" s="65">
        <f>IFERROR(__xludf.DUMMYFUNCTION("""COMPUTED_VALUE"""),116679.0)</f>
        <v>116679</v>
      </c>
      <c r="AA1438" s="65" t="str">
        <f>IFERROR(__xludf.DUMMYFUNCTION("""COMPUTED_VALUE"""),"AMC-2738")</f>
        <v>AMC-2738</v>
      </c>
      <c r="AB1438" s="65"/>
      <c r="AC1438" s="65" t="str">
        <f>IFERROR(__xludf.DUMMYFUNCTION("""COMPUTED_VALUE"""),"ESPONJA ANTILLUVIA DE PARABRISAS")</f>
        <v>ESPONJA ANTILLUVIA DE PARABRISAS</v>
      </c>
      <c r="AD1438" s="65"/>
      <c r="AE1438" s="65">
        <f>IFERROR(__xludf.DUMMYFUNCTION("""COMPUTED_VALUE"""),1.0)</f>
        <v>1</v>
      </c>
      <c r="AF1438" s="65"/>
      <c r="AG1438" s="65"/>
      <c r="AH1438" s="65"/>
      <c r="AI1438" s="65"/>
      <c r="AJ1438" s="65"/>
      <c r="AK1438" s="65"/>
      <c r="AL1438" s="65"/>
      <c r="AM1438" s="65"/>
      <c r="AN1438" s="65"/>
      <c r="AO1438" s="65"/>
      <c r="AP1438" s="65"/>
      <c r="AQ1438" s="65"/>
      <c r="AR1438" s="65"/>
      <c r="AS1438" s="65"/>
      <c r="AT1438" s="65" t="str">
        <f>IFERROR(__xludf.DUMMYFUNCTION("""COMPUTED_VALUE"""),"SHOPIFY")</f>
        <v>SHOPIFY</v>
      </c>
      <c r="AU1438" s="65" t="str">
        <f>IFERROR(__xludf.DUMMYFUNCTION("""COMPUTED_VALUE"""),"IMPORTEX EC")</f>
        <v>IMPORTEX EC</v>
      </c>
      <c r="AV1438" s="65" t="str">
        <f>IFERROR(__xludf.DUMMYFUNCTION("""COMPUTED_VALUE"""),"6446068400172")</f>
        <v>6446068400172</v>
      </c>
      <c r="AW1438" s="65">
        <f>IFERROR(__xludf.DUMMYFUNCTION("""COMPUTED_VALUE"""),5503.0)</f>
        <v>5503</v>
      </c>
      <c r="AX1438" s="65"/>
      <c r="AY1438" s="65"/>
      <c r="AZ1438" s="65"/>
      <c r="BA1438" s="65"/>
    </row>
    <row r="1439">
      <c r="A1439" s="65" t="str">
        <f>IFERROR(__xludf.DUMMYFUNCTION("""COMPUTED_VALUE"""),"27-03-2026")</f>
        <v>27-03-2026</v>
      </c>
      <c r="B1439" s="65">
        <f>IFERROR(__xludf.DUMMYFUNCTION("""COMPUTED_VALUE"""),4269768.0)</f>
        <v>4269768</v>
      </c>
      <c r="C1439" s="65" t="str">
        <f>IFERROR(__xludf.DUMMYFUNCTION("""COMPUTED_VALUE"""),"08:40")</f>
        <v>08:40</v>
      </c>
      <c r="D1439" s="65" t="str">
        <f>IFERROR(__xludf.DUMMYFUNCTION("""COMPUTED_VALUE"""),"25-01-2026")</f>
        <v>25-01-2026</v>
      </c>
      <c r="E1439" s="65" t="str">
        <f>IFERROR(__xludf.DUMMYFUNCTION("""COMPUTED_VALUE"""),"Ismael Ayovi")</f>
        <v>Ismael Ayovi</v>
      </c>
      <c r="F1439" s="65" t="str">
        <f>IFERROR(__xludf.DUMMYFUNCTION("""COMPUTED_VALUE"""),"969551434")</f>
        <v>969551434</v>
      </c>
      <c r="G1439" s="65"/>
      <c r="H1439" s="65"/>
      <c r="I1439" s="65"/>
      <c r="J1439" s="65"/>
      <c r="K1439" s="65" t="str">
        <f>IFERROR(__xludf.DUMMYFUNCTION("""COMPUTED_VALUE"""),"PENDIENTE CONFIRMACION")</f>
        <v>PENDIENTE CONFIRMACION</v>
      </c>
      <c r="L1439" s="65" t="str">
        <f>IFERROR(__xludf.DUMMYFUNCTION("""COMPUTED_VALUE"""),"CON RECAUDO")</f>
        <v>CON RECAUDO</v>
      </c>
      <c r="M1439" s="65" t="str">
        <f>IFERROR(__xludf.DUMMYFUNCTION("""COMPUTED_VALUE"""),"EL ORO")</f>
        <v>EL ORO</v>
      </c>
      <c r="N1439" s="65" t="str">
        <f>IFERROR(__xludf.DUMMYFUNCTION("""COMPUTED_VALUE"""),"MACHALA")</f>
        <v>MACHALA</v>
      </c>
      <c r="O1439" s="65" t="str">
        <f>IFERROR(__xludf.DUMMYFUNCTION("""COMPUTED_VALUE"""),"12ava c norte y Tarqui Nueva rosita -")</f>
        <v>12ava c norte y Tarqui Nueva rosita -</v>
      </c>
      <c r="P1439" s="65"/>
      <c r="Q1439" s="65" t="str">
        <f>IFERROR(__xludf.DUMMYFUNCTION("""COMPUTED_VALUE"""),"GINTRACOM")</f>
        <v>GINTRACOM</v>
      </c>
      <c r="R1439" s="65">
        <f>IFERROR(__xludf.DUMMYFUNCTION("""COMPUTED_VALUE"""),20.0)</f>
        <v>20</v>
      </c>
      <c r="S1439" s="65"/>
      <c r="T1439" s="65">
        <f>IFERROR(__xludf.DUMMYFUNCTION("""COMPUTED_VALUE"""),5.76)</f>
        <v>5.76</v>
      </c>
      <c r="U1439" s="65">
        <f>IFERROR(__xludf.DUMMYFUNCTION("""COMPUTED_VALUE"""),0.0)</f>
        <v>0</v>
      </c>
      <c r="V1439" s="65">
        <f>IFERROR(__xludf.DUMMYFUNCTION("""COMPUTED_VALUE"""),0.0)</f>
        <v>0</v>
      </c>
      <c r="W1439" s="65">
        <f>IFERROR(__xludf.DUMMYFUNCTION("""COMPUTED_VALUE"""),0.0)</f>
        <v>0</v>
      </c>
      <c r="X1439" s="65">
        <f>IFERROR(__xludf.DUMMYFUNCTION("""COMPUTED_VALUE"""),2.35)</f>
        <v>2.35</v>
      </c>
      <c r="Y1439" s="65">
        <f>IFERROR(__xludf.DUMMYFUNCTION("""COMPUTED_VALUE"""),2.35)</f>
        <v>2.35</v>
      </c>
      <c r="Z1439" s="65">
        <f>IFERROR(__xludf.DUMMYFUNCTION("""COMPUTED_VALUE"""),116679.0)</f>
        <v>116679</v>
      </c>
      <c r="AA1439" s="65" t="str">
        <f>IFERROR(__xludf.DUMMYFUNCTION("""COMPUTED_VALUE"""),"AMC-2738")</f>
        <v>AMC-2738</v>
      </c>
      <c r="AB1439" s="65"/>
      <c r="AC1439" s="65" t="str">
        <f>IFERROR(__xludf.DUMMYFUNCTION("""COMPUTED_VALUE"""),"ESPONJA ANTILLUVIA DE PARABRISAS")</f>
        <v>ESPONJA ANTILLUVIA DE PARABRISAS</v>
      </c>
      <c r="AD1439" s="65"/>
      <c r="AE1439" s="65">
        <f>IFERROR(__xludf.DUMMYFUNCTION("""COMPUTED_VALUE"""),1.0)</f>
        <v>1</v>
      </c>
      <c r="AF1439" s="65"/>
      <c r="AG1439" s="65"/>
      <c r="AH1439" s="65"/>
      <c r="AI1439" s="65"/>
      <c r="AJ1439" s="65"/>
      <c r="AK1439" s="65"/>
      <c r="AL1439" s="65"/>
      <c r="AM1439" s="65"/>
      <c r="AN1439" s="65"/>
      <c r="AO1439" s="65"/>
      <c r="AP1439" s="65"/>
      <c r="AQ1439" s="65"/>
      <c r="AR1439" s="65"/>
      <c r="AS1439" s="65"/>
      <c r="AT1439" s="65" t="str">
        <f>IFERROR(__xludf.DUMMYFUNCTION("""COMPUTED_VALUE"""),"SHOPIFY")</f>
        <v>SHOPIFY</v>
      </c>
      <c r="AU1439" s="65" t="str">
        <f>IFERROR(__xludf.DUMMYFUNCTION("""COMPUTED_VALUE"""),"IMPORTEX EC")</f>
        <v>IMPORTEX EC</v>
      </c>
      <c r="AV1439" s="65" t="str">
        <f>IFERROR(__xludf.DUMMYFUNCTION("""COMPUTED_VALUE"""),"6446025375788")</f>
        <v>6446025375788</v>
      </c>
      <c r="AW1439" s="65">
        <f>IFERROR(__xludf.DUMMYFUNCTION("""COMPUTED_VALUE"""),5502.0)</f>
        <v>5502</v>
      </c>
      <c r="AX1439" s="65"/>
      <c r="AY1439" s="65"/>
      <c r="AZ1439" s="65"/>
      <c r="BA1439" s="65"/>
    </row>
    <row r="1440">
      <c r="A1440" s="65" t="str">
        <f>IFERROR(__xludf.DUMMYFUNCTION("""COMPUTED_VALUE"""),"27-03-2026")</f>
        <v>27-03-2026</v>
      </c>
      <c r="B1440" s="65">
        <f>IFERROR(__xludf.DUMMYFUNCTION("""COMPUTED_VALUE"""),4269738.0)</f>
        <v>4269738</v>
      </c>
      <c r="C1440" s="65" t="str">
        <f>IFERROR(__xludf.DUMMYFUNCTION("""COMPUTED_VALUE"""),"08:37")</f>
        <v>08:37</v>
      </c>
      <c r="D1440" s="65" t="str">
        <f>IFERROR(__xludf.DUMMYFUNCTION("""COMPUTED_VALUE"""),"25-01-2026")</f>
        <v>25-01-2026</v>
      </c>
      <c r="E1440" s="65" t="str">
        <f>IFERROR(__xludf.DUMMYFUNCTION("""COMPUTED_VALUE"""),"Viviana Tipan")</f>
        <v>Viviana Tipan</v>
      </c>
      <c r="F1440" s="65" t="str">
        <f>IFERROR(__xludf.DUMMYFUNCTION("""COMPUTED_VALUE"""),"993401208")</f>
        <v>993401208</v>
      </c>
      <c r="G1440" s="65"/>
      <c r="H1440" s="65"/>
      <c r="I1440" s="65"/>
      <c r="J1440" s="65"/>
      <c r="K1440" s="65" t="str">
        <f>IFERROR(__xludf.DUMMYFUNCTION("""COMPUTED_VALUE"""),"PENDIENTE CONFIRMACION")</f>
        <v>PENDIENTE CONFIRMACION</v>
      </c>
      <c r="L1440" s="65" t="str">
        <f>IFERROR(__xludf.DUMMYFUNCTION("""COMPUTED_VALUE"""),"CON RECAUDO")</f>
        <v>CON RECAUDO</v>
      </c>
      <c r="M1440" s="65" t="str">
        <f>IFERROR(__xludf.DUMMYFUNCTION("""COMPUTED_VALUE"""),"ORELLANA")</f>
        <v>ORELLANA</v>
      </c>
      <c r="N1440" s="65" t="str">
        <f>IFERROR(__xludf.DUMMYFUNCTION("""COMPUTED_VALUE"""),"EL COCA")</f>
        <v>EL COCA</v>
      </c>
      <c r="O1440" s="65" t="str">
        <f>IFERROR(__xludf.DUMMYFUNCTION("""COMPUTED_VALUE"""),"9de Octubre y  calle I Guadalupe larriva -")</f>
        <v>9de Octubre y  calle I Guadalupe larriva -</v>
      </c>
      <c r="P1440" s="65"/>
      <c r="Q1440" s="65" t="str">
        <f>IFERROR(__xludf.DUMMYFUNCTION("""COMPUTED_VALUE"""),"GINTRACOM")</f>
        <v>GINTRACOM</v>
      </c>
      <c r="R1440" s="65">
        <f>IFERROR(__xludf.DUMMYFUNCTION("""COMPUTED_VALUE"""),25.0)</f>
        <v>25</v>
      </c>
      <c r="S1440" s="65"/>
      <c r="T1440" s="65">
        <f>IFERROR(__xludf.DUMMYFUNCTION("""COMPUTED_VALUE"""),5.96)</f>
        <v>5.96</v>
      </c>
      <c r="U1440" s="65">
        <f>IFERROR(__xludf.DUMMYFUNCTION("""COMPUTED_VALUE"""),0.0)</f>
        <v>0</v>
      </c>
      <c r="V1440" s="65">
        <f>IFERROR(__xludf.DUMMYFUNCTION("""COMPUTED_VALUE"""),0.0)</f>
        <v>0</v>
      </c>
      <c r="W1440" s="65">
        <f>IFERROR(__xludf.DUMMYFUNCTION("""COMPUTED_VALUE"""),0.0)</f>
        <v>0</v>
      </c>
      <c r="X1440" s="65">
        <f>IFERROR(__xludf.DUMMYFUNCTION("""COMPUTED_VALUE"""),2.35)</f>
        <v>2.35</v>
      </c>
      <c r="Y1440" s="65">
        <f>IFERROR(__xludf.DUMMYFUNCTION("""COMPUTED_VALUE"""),4.7)</f>
        <v>4.7</v>
      </c>
      <c r="Z1440" s="65">
        <f>IFERROR(__xludf.DUMMYFUNCTION("""COMPUTED_VALUE"""),116679.0)</f>
        <v>116679</v>
      </c>
      <c r="AA1440" s="65" t="str">
        <f>IFERROR(__xludf.DUMMYFUNCTION("""COMPUTED_VALUE"""),"AMC-2738")</f>
        <v>AMC-2738</v>
      </c>
      <c r="AB1440" s="65"/>
      <c r="AC1440" s="65" t="str">
        <f>IFERROR(__xludf.DUMMYFUNCTION("""COMPUTED_VALUE"""),"ESPONJA ANTILLUVIA DE PARABRISAS")</f>
        <v>ESPONJA ANTILLUVIA DE PARABRISAS</v>
      </c>
      <c r="AD1440" s="65"/>
      <c r="AE1440" s="65">
        <f>IFERROR(__xludf.DUMMYFUNCTION("""COMPUTED_VALUE"""),2.0)</f>
        <v>2</v>
      </c>
      <c r="AF1440" s="65"/>
      <c r="AG1440" s="65"/>
      <c r="AH1440" s="65"/>
      <c r="AI1440" s="65"/>
      <c r="AJ1440" s="65"/>
      <c r="AK1440" s="65"/>
      <c r="AL1440" s="65"/>
      <c r="AM1440" s="65"/>
      <c r="AN1440" s="65"/>
      <c r="AO1440" s="65"/>
      <c r="AP1440" s="65"/>
      <c r="AQ1440" s="65"/>
      <c r="AR1440" s="65"/>
      <c r="AS1440" s="65"/>
      <c r="AT1440" s="65" t="str">
        <f>IFERROR(__xludf.DUMMYFUNCTION("""COMPUTED_VALUE"""),"SHOPIFY")</f>
        <v>SHOPIFY</v>
      </c>
      <c r="AU1440" s="65" t="str">
        <f>IFERROR(__xludf.DUMMYFUNCTION("""COMPUTED_VALUE"""),"IMPORTEX EC")</f>
        <v>IMPORTEX EC</v>
      </c>
      <c r="AV1440" s="65" t="str">
        <f>IFERROR(__xludf.DUMMYFUNCTION("""COMPUTED_VALUE"""),"6446020624428")</f>
        <v>6446020624428</v>
      </c>
      <c r="AW1440" s="65">
        <f>IFERROR(__xludf.DUMMYFUNCTION("""COMPUTED_VALUE"""),5501.0)</f>
        <v>5501</v>
      </c>
      <c r="AX1440" s="65"/>
      <c r="AY1440" s="65"/>
      <c r="AZ1440" s="65"/>
      <c r="BA1440" s="65"/>
    </row>
    <row r="1441">
      <c r="A1441" s="65" t="str">
        <f>IFERROR(__xludf.DUMMYFUNCTION("""COMPUTED_VALUE"""),"27-03-2026")</f>
        <v>27-03-2026</v>
      </c>
      <c r="B1441" s="65">
        <f>IFERROR(__xludf.DUMMYFUNCTION("""COMPUTED_VALUE"""),4269644.0)</f>
        <v>4269644</v>
      </c>
      <c r="C1441" s="65" t="str">
        <f>IFERROR(__xludf.DUMMYFUNCTION("""COMPUTED_VALUE"""),"08:26")</f>
        <v>08:26</v>
      </c>
      <c r="D1441" s="65" t="str">
        <f>IFERROR(__xludf.DUMMYFUNCTION("""COMPUTED_VALUE"""),"25-01-2026")</f>
        <v>25-01-2026</v>
      </c>
      <c r="E1441" s="65" t="str">
        <f>IFERROR(__xludf.DUMMYFUNCTION("""COMPUTED_VALUE"""),"Stefan moran Aviles")</f>
        <v>Stefan moran Aviles</v>
      </c>
      <c r="F1441" s="65" t="str">
        <f>IFERROR(__xludf.DUMMYFUNCTION("""COMPUTED_VALUE"""),"984644127")</f>
        <v>984644127</v>
      </c>
      <c r="G1441" s="65" t="str">
        <f>IFERROR(__xludf.DUMMYFUNCTION("""COMPUTED_VALUE"""),"cm6668140@gmail.com")</f>
        <v>cm6668140@gmail.com</v>
      </c>
      <c r="H1441" s="65"/>
      <c r="I1441" s="65"/>
      <c r="J1441" s="65"/>
      <c r="K1441" s="65" t="str">
        <f>IFERROR(__xludf.DUMMYFUNCTION("""COMPUTED_VALUE"""),"PENDIENTE CONFIRMACION")</f>
        <v>PENDIENTE CONFIRMACION</v>
      </c>
      <c r="L1441" s="65" t="str">
        <f>IFERROR(__xludf.DUMMYFUNCTION("""COMPUTED_VALUE"""),"CON RECAUDO")</f>
        <v>CON RECAUDO</v>
      </c>
      <c r="M1441" s="65" t="str">
        <f>IFERROR(__xludf.DUMMYFUNCTION("""COMPUTED_VALUE"""),"GUAYAS")</f>
        <v>GUAYAS</v>
      </c>
      <c r="N1441" s="65" t="str">
        <f>IFERROR(__xludf.DUMMYFUNCTION("""COMPUTED_VALUE"""),"GUAYAQUIL")</f>
        <v>GUAYAQUIL</v>
      </c>
      <c r="O1441" s="65" t="str">
        <f>IFERROR(__xludf.DUMMYFUNCTION("""COMPUTED_VALUE"""),"Pancho jacome y  Mz227 -")</f>
        <v>Pancho jacome y  Mz227 -</v>
      </c>
      <c r="P1441" s="65"/>
      <c r="Q1441" s="65" t="str">
        <f>IFERROR(__xludf.DUMMYFUNCTION("""COMPUTED_VALUE"""),"GINTRACOM")</f>
        <v>GINTRACOM</v>
      </c>
      <c r="R1441" s="65">
        <f>IFERROR(__xludf.DUMMYFUNCTION("""COMPUTED_VALUE"""),30.0)</f>
        <v>30</v>
      </c>
      <c r="S1441" s="65"/>
      <c r="T1441" s="65">
        <f>IFERROR(__xludf.DUMMYFUNCTION("""COMPUTED_VALUE"""),6.16)</f>
        <v>6.16</v>
      </c>
      <c r="U1441" s="65">
        <f>IFERROR(__xludf.DUMMYFUNCTION("""COMPUTED_VALUE"""),0.0)</f>
        <v>0</v>
      </c>
      <c r="V1441" s="65">
        <f>IFERROR(__xludf.DUMMYFUNCTION("""COMPUTED_VALUE"""),0.0)</f>
        <v>0</v>
      </c>
      <c r="W1441" s="65">
        <f>IFERROR(__xludf.DUMMYFUNCTION("""COMPUTED_VALUE"""),0.0)</f>
        <v>0</v>
      </c>
      <c r="X1441" s="65">
        <f>IFERROR(__xludf.DUMMYFUNCTION("""COMPUTED_VALUE"""),2.35)</f>
        <v>2.35</v>
      </c>
      <c r="Y1441" s="65">
        <f>IFERROR(__xludf.DUMMYFUNCTION("""COMPUTED_VALUE"""),7.05)</f>
        <v>7.05</v>
      </c>
      <c r="Z1441" s="65">
        <f>IFERROR(__xludf.DUMMYFUNCTION("""COMPUTED_VALUE"""),116679.0)</f>
        <v>116679</v>
      </c>
      <c r="AA1441" s="65" t="str">
        <f>IFERROR(__xludf.DUMMYFUNCTION("""COMPUTED_VALUE"""),"AMC-2738")</f>
        <v>AMC-2738</v>
      </c>
      <c r="AB1441" s="65"/>
      <c r="AC1441" s="65" t="str">
        <f>IFERROR(__xludf.DUMMYFUNCTION("""COMPUTED_VALUE"""),"ESPONJA ANTILLUVIA DE PARABRISAS")</f>
        <v>ESPONJA ANTILLUVIA DE PARABRISAS</v>
      </c>
      <c r="AD1441" s="65"/>
      <c r="AE1441" s="65">
        <f>IFERROR(__xludf.DUMMYFUNCTION("""COMPUTED_VALUE"""),3.0)</f>
        <v>3</v>
      </c>
      <c r="AF1441" s="65"/>
      <c r="AG1441" s="65"/>
      <c r="AH1441" s="65"/>
      <c r="AI1441" s="65"/>
      <c r="AJ1441" s="65"/>
      <c r="AK1441" s="65"/>
      <c r="AL1441" s="65"/>
      <c r="AM1441" s="65"/>
      <c r="AN1441" s="65"/>
      <c r="AO1441" s="65"/>
      <c r="AP1441" s="65"/>
      <c r="AQ1441" s="65"/>
      <c r="AR1441" s="65"/>
      <c r="AS1441" s="65"/>
      <c r="AT1441" s="65" t="str">
        <f>IFERROR(__xludf.DUMMYFUNCTION("""COMPUTED_VALUE"""),"SHOPIFY")</f>
        <v>SHOPIFY</v>
      </c>
      <c r="AU1441" s="65" t="str">
        <f>IFERROR(__xludf.DUMMYFUNCTION("""COMPUTED_VALUE"""),"IMPORTEX EC")</f>
        <v>IMPORTEX EC</v>
      </c>
      <c r="AV1441" s="65" t="str">
        <f>IFERROR(__xludf.DUMMYFUNCTION("""COMPUTED_VALUE"""),"6446007517228")</f>
        <v>6446007517228</v>
      </c>
      <c r="AW1441" s="65">
        <f>IFERROR(__xludf.DUMMYFUNCTION("""COMPUTED_VALUE"""),5500.0)</f>
        <v>5500</v>
      </c>
      <c r="AX1441" s="65"/>
      <c r="AY1441" s="65"/>
      <c r="AZ1441" s="65"/>
      <c r="BA1441" s="65"/>
    </row>
    <row r="1442">
      <c r="A1442" s="65" t="str">
        <f>IFERROR(__xludf.DUMMYFUNCTION("""COMPUTED_VALUE"""),"27-03-2026")</f>
        <v>27-03-2026</v>
      </c>
      <c r="B1442" s="65">
        <f>IFERROR(__xludf.DUMMYFUNCTION("""COMPUTED_VALUE"""),4269533.0)</f>
        <v>4269533</v>
      </c>
      <c r="C1442" s="65" t="str">
        <f>IFERROR(__xludf.DUMMYFUNCTION("""COMPUTED_VALUE"""),"08:12")</f>
        <v>08:12</v>
      </c>
      <c r="D1442" s="65" t="str">
        <f>IFERROR(__xludf.DUMMYFUNCTION("""COMPUTED_VALUE"""),"25-01-2026")</f>
        <v>25-01-2026</v>
      </c>
      <c r="E1442" s="65" t="str">
        <f>IFERROR(__xludf.DUMMYFUNCTION("""COMPUTED_VALUE"""),"Carlos Zúñiga Zuñiga")</f>
        <v>Carlos Zúñiga Zuñiga</v>
      </c>
      <c r="F1442" s="65" t="str">
        <f>IFERROR(__xludf.DUMMYFUNCTION("""COMPUTED_VALUE"""),"995023410")</f>
        <v>995023410</v>
      </c>
      <c r="G1442" s="65" t="str">
        <f>IFERROR(__xludf.DUMMYFUNCTION("""COMPUTED_VALUE"""),"carlangas7865@hotmail.com")</f>
        <v>carlangas7865@hotmail.com</v>
      </c>
      <c r="H1442" s="65"/>
      <c r="I1442" s="65"/>
      <c r="J1442" s="65"/>
      <c r="K1442" s="65" t="str">
        <f>IFERROR(__xludf.DUMMYFUNCTION("""COMPUTED_VALUE"""),"CANCELADO")</f>
        <v>CANCELADO</v>
      </c>
      <c r="L1442" s="65" t="str">
        <f>IFERROR(__xludf.DUMMYFUNCTION("""COMPUTED_VALUE"""),"CON RECAUDO")</f>
        <v>CON RECAUDO</v>
      </c>
      <c r="M1442" s="65" t="str">
        <f>IFERROR(__xludf.DUMMYFUNCTION("""COMPUTED_VALUE"""),"MANABI")</f>
        <v>MANABI</v>
      </c>
      <c r="N1442" s="65" t="str">
        <f>IFERROR(__xludf.DUMMYFUNCTION("""COMPUTED_VALUE"""),"MANTA")</f>
        <v>MANTA</v>
      </c>
      <c r="O1442" s="65" t="str">
        <f>IFERROR(__xludf.DUMMYFUNCTION("""COMPUTED_VALUE"""),"MANTA - Barrio Jocay - Calle J3 y Calle J14")</f>
        <v>MANTA - Barrio Jocay - Calle J3 y Calle J14</v>
      </c>
      <c r="P1442" s="65"/>
      <c r="Q1442" s="65" t="str">
        <f>IFERROR(__xludf.DUMMYFUNCTION("""COMPUTED_VALUE"""),"GINTRACOM")</f>
        <v>GINTRACOM</v>
      </c>
      <c r="R1442" s="65">
        <f>IFERROR(__xludf.DUMMYFUNCTION("""COMPUTED_VALUE"""),20.0)</f>
        <v>20</v>
      </c>
      <c r="S1442" s="65"/>
      <c r="T1442" s="65">
        <f>IFERROR(__xludf.DUMMYFUNCTION("""COMPUTED_VALUE"""),5.76)</f>
        <v>5.76</v>
      </c>
      <c r="U1442" s="65">
        <f>IFERROR(__xludf.DUMMYFUNCTION("""COMPUTED_VALUE"""),0.0)</f>
        <v>0</v>
      </c>
      <c r="V1442" s="65">
        <f>IFERROR(__xludf.DUMMYFUNCTION("""COMPUTED_VALUE"""),0.0)</f>
        <v>0</v>
      </c>
      <c r="W1442" s="65">
        <f>IFERROR(__xludf.DUMMYFUNCTION("""COMPUTED_VALUE"""),0.0)</f>
        <v>0</v>
      </c>
      <c r="X1442" s="65">
        <f>IFERROR(__xludf.DUMMYFUNCTION("""COMPUTED_VALUE"""),2.35)</f>
        <v>2.35</v>
      </c>
      <c r="Y1442" s="65">
        <f>IFERROR(__xludf.DUMMYFUNCTION("""COMPUTED_VALUE"""),2.35)</f>
        <v>2.35</v>
      </c>
      <c r="Z1442" s="65">
        <f>IFERROR(__xludf.DUMMYFUNCTION("""COMPUTED_VALUE"""),116679.0)</f>
        <v>116679</v>
      </c>
      <c r="AA1442" s="65" t="str">
        <f>IFERROR(__xludf.DUMMYFUNCTION("""COMPUTED_VALUE"""),"AMC-2738")</f>
        <v>AMC-2738</v>
      </c>
      <c r="AB1442" s="65"/>
      <c r="AC1442" s="65" t="str">
        <f>IFERROR(__xludf.DUMMYFUNCTION("""COMPUTED_VALUE"""),"ESPONJA ANTILLUVIA DE PARABRISAS")</f>
        <v>ESPONJA ANTILLUVIA DE PARABRISAS</v>
      </c>
      <c r="AD1442" s="65"/>
      <c r="AE1442" s="65">
        <f>IFERROR(__xludf.DUMMYFUNCTION("""COMPUTED_VALUE"""),1.0)</f>
        <v>1</v>
      </c>
      <c r="AF1442" s="65"/>
      <c r="AG1442" s="65"/>
      <c r="AH1442" s="65"/>
      <c r="AI1442" s="65"/>
      <c r="AJ1442" s="65"/>
      <c r="AK1442" s="65"/>
      <c r="AL1442" s="65"/>
      <c r="AM1442" s="65"/>
      <c r="AN1442" s="65"/>
      <c r="AO1442" s="65"/>
      <c r="AP1442" s="65"/>
      <c r="AQ1442" s="65"/>
      <c r="AR1442" s="65"/>
      <c r="AS1442" s="65"/>
      <c r="AT1442" s="65" t="str">
        <f>IFERROR(__xludf.DUMMYFUNCTION("""COMPUTED_VALUE"""),"SHOPIFY")</f>
        <v>SHOPIFY</v>
      </c>
      <c r="AU1442" s="65" t="str">
        <f>IFERROR(__xludf.DUMMYFUNCTION("""COMPUTED_VALUE"""),"IMPORTEX EC")</f>
        <v>IMPORTEX EC</v>
      </c>
      <c r="AV1442" s="65" t="str">
        <f>IFERROR(__xludf.DUMMYFUNCTION("""COMPUTED_VALUE"""),"6445989593132")</f>
        <v>6445989593132</v>
      </c>
      <c r="AW1442" s="65">
        <f>IFERROR(__xludf.DUMMYFUNCTION("""COMPUTED_VALUE"""),5499.0)</f>
        <v>5499</v>
      </c>
      <c r="AX1442" s="65"/>
      <c r="AY1442" s="65"/>
      <c r="AZ1442" s="65"/>
      <c r="BA1442" s="65"/>
    </row>
    <row r="1443">
      <c r="A1443" s="65" t="str">
        <f>IFERROR(__xludf.DUMMYFUNCTION("""COMPUTED_VALUE"""),"27-03-2026")</f>
        <v>27-03-2026</v>
      </c>
      <c r="B1443" s="65">
        <f>IFERROR(__xludf.DUMMYFUNCTION("""COMPUTED_VALUE"""),4269531.0)</f>
        <v>4269531</v>
      </c>
      <c r="C1443" s="65" t="str">
        <f>IFERROR(__xludf.DUMMYFUNCTION("""COMPUTED_VALUE"""),"08:11")</f>
        <v>08:11</v>
      </c>
      <c r="D1443" s="65" t="str">
        <f>IFERROR(__xludf.DUMMYFUNCTION("""COMPUTED_VALUE"""),"25-01-2026")</f>
        <v>25-01-2026</v>
      </c>
      <c r="E1443" s="65" t="str">
        <f>IFERROR(__xludf.DUMMYFUNCTION("""COMPUTED_VALUE"""),"Veronika Acosta")</f>
        <v>Veronika Acosta</v>
      </c>
      <c r="F1443" s="65" t="str">
        <f>IFERROR(__xludf.DUMMYFUNCTION("""COMPUTED_VALUE"""),"963607421")</f>
        <v>963607421</v>
      </c>
      <c r="G1443" s="65" t="str">
        <f>IFERROR(__xludf.DUMMYFUNCTION("""COMPUTED_VALUE"""),"acostaveronika883@gmail.com")</f>
        <v>acostaveronika883@gmail.com</v>
      </c>
      <c r="H1443" s="65"/>
      <c r="I1443" s="65"/>
      <c r="J1443" s="65"/>
      <c r="K1443" s="65" t="str">
        <f>IFERROR(__xludf.DUMMYFUNCTION("""COMPUTED_VALUE"""),"PENDIENTE CONFIRMACION")</f>
        <v>PENDIENTE CONFIRMACION</v>
      </c>
      <c r="L1443" s="65" t="str">
        <f>IFERROR(__xludf.DUMMYFUNCTION("""COMPUTED_VALUE"""),"CON RECAUDO")</f>
        <v>CON RECAUDO</v>
      </c>
      <c r="M1443" s="65" t="str">
        <f>IFERROR(__xludf.DUMMYFUNCTION("""COMPUTED_VALUE"""),"TUNGURAHUA")</f>
        <v>TUNGURAHUA</v>
      </c>
      <c r="N1443" s="65" t="str">
        <f>IFERROR(__xludf.DUMMYFUNCTION("""COMPUTED_VALUE"""),"AMBATO")</f>
        <v>AMBATO</v>
      </c>
      <c r="O1443" s="65" t="str">
        <f>IFERROR(__xludf.DUMMYFUNCTION("""COMPUTED_VALUE"""),"German Chacon Y Acosta Solis y Acosta solis -")</f>
        <v>German Chacon Y Acosta Solis y Acosta solis -</v>
      </c>
      <c r="P1443" s="65"/>
      <c r="Q1443" s="65" t="str">
        <f>IFERROR(__xludf.DUMMYFUNCTION("""COMPUTED_VALUE"""),"GINTRACOM")</f>
        <v>GINTRACOM</v>
      </c>
      <c r="R1443" s="65">
        <f>IFERROR(__xludf.DUMMYFUNCTION("""COMPUTED_VALUE"""),25.0)</f>
        <v>25</v>
      </c>
      <c r="S1443" s="65"/>
      <c r="T1443" s="65">
        <f>IFERROR(__xludf.DUMMYFUNCTION("""COMPUTED_VALUE"""),5.96)</f>
        <v>5.96</v>
      </c>
      <c r="U1443" s="65">
        <f>IFERROR(__xludf.DUMMYFUNCTION("""COMPUTED_VALUE"""),0.0)</f>
        <v>0</v>
      </c>
      <c r="V1443" s="65">
        <f>IFERROR(__xludf.DUMMYFUNCTION("""COMPUTED_VALUE"""),0.0)</f>
        <v>0</v>
      </c>
      <c r="W1443" s="65">
        <f>IFERROR(__xludf.DUMMYFUNCTION("""COMPUTED_VALUE"""),0.0)</f>
        <v>0</v>
      </c>
      <c r="X1443" s="65">
        <f>IFERROR(__xludf.DUMMYFUNCTION("""COMPUTED_VALUE"""),2.35)</f>
        <v>2.35</v>
      </c>
      <c r="Y1443" s="65">
        <f>IFERROR(__xludf.DUMMYFUNCTION("""COMPUTED_VALUE"""),4.7)</f>
        <v>4.7</v>
      </c>
      <c r="Z1443" s="65">
        <f>IFERROR(__xludf.DUMMYFUNCTION("""COMPUTED_VALUE"""),116679.0)</f>
        <v>116679</v>
      </c>
      <c r="AA1443" s="65" t="str">
        <f>IFERROR(__xludf.DUMMYFUNCTION("""COMPUTED_VALUE"""),"AMC-2738")</f>
        <v>AMC-2738</v>
      </c>
      <c r="AB1443" s="65"/>
      <c r="AC1443" s="65" t="str">
        <f>IFERROR(__xludf.DUMMYFUNCTION("""COMPUTED_VALUE"""),"ESPONJA ANTILLUVIA DE PARABRISAS")</f>
        <v>ESPONJA ANTILLUVIA DE PARABRISAS</v>
      </c>
      <c r="AD1443" s="65"/>
      <c r="AE1443" s="65">
        <f>IFERROR(__xludf.DUMMYFUNCTION("""COMPUTED_VALUE"""),2.0)</f>
        <v>2</v>
      </c>
      <c r="AF1443" s="65"/>
      <c r="AG1443" s="65"/>
      <c r="AH1443" s="65"/>
      <c r="AI1443" s="65"/>
      <c r="AJ1443" s="65"/>
      <c r="AK1443" s="65"/>
      <c r="AL1443" s="65"/>
      <c r="AM1443" s="65"/>
      <c r="AN1443" s="65"/>
      <c r="AO1443" s="65"/>
      <c r="AP1443" s="65"/>
      <c r="AQ1443" s="65"/>
      <c r="AR1443" s="65"/>
      <c r="AS1443" s="65"/>
      <c r="AT1443" s="65" t="str">
        <f>IFERROR(__xludf.DUMMYFUNCTION("""COMPUTED_VALUE"""),"SHOPIFY")</f>
        <v>SHOPIFY</v>
      </c>
      <c r="AU1443" s="65" t="str">
        <f>IFERROR(__xludf.DUMMYFUNCTION("""COMPUTED_VALUE"""),"IMPORTEX EC")</f>
        <v>IMPORTEX EC</v>
      </c>
      <c r="AV1443" s="65" t="str">
        <f>IFERROR(__xludf.DUMMYFUNCTION("""COMPUTED_VALUE"""),"6445988806700")</f>
        <v>6445988806700</v>
      </c>
      <c r="AW1443" s="65">
        <f>IFERROR(__xludf.DUMMYFUNCTION("""COMPUTED_VALUE"""),5498.0)</f>
        <v>5498</v>
      </c>
      <c r="AX1443" s="65"/>
      <c r="AY1443" s="65"/>
      <c r="AZ1443" s="65"/>
      <c r="BA1443" s="65"/>
    </row>
    <row r="1444">
      <c r="A1444" s="65" t="str">
        <f>IFERROR(__xludf.DUMMYFUNCTION("""COMPUTED_VALUE"""),"27-03-2026")</f>
        <v>27-03-2026</v>
      </c>
      <c r="B1444" s="65">
        <f>IFERROR(__xludf.DUMMYFUNCTION("""COMPUTED_VALUE"""),4269409.0)</f>
        <v>4269409</v>
      </c>
      <c r="C1444" s="65" t="str">
        <f>IFERROR(__xludf.DUMMYFUNCTION("""COMPUTED_VALUE"""),"07:53")</f>
        <v>07:53</v>
      </c>
      <c r="D1444" s="65" t="str">
        <f>IFERROR(__xludf.DUMMYFUNCTION("""COMPUTED_VALUE"""),"25-01-2026")</f>
        <v>25-01-2026</v>
      </c>
      <c r="E1444" s="65" t="str">
        <f>IFERROR(__xludf.DUMMYFUNCTION("""COMPUTED_VALUE"""),"cristian arce")</f>
        <v>cristian arce</v>
      </c>
      <c r="F1444" s="65" t="str">
        <f>IFERROR(__xludf.DUMMYFUNCTION("""COMPUTED_VALUE"""),"987572368")</f>
        <v>987572368</v>
      </c>
      <c r="G1444" s="65" t="str">
        <f>IFERROR(__xludf.DUMMYFUNCTION("""COMPUTED_VALUE"""),"cristian_ar86@hotmail.com")</f>
        <v>cristian_ar86@hotmail.com</v>
      </c>
      <c r="H1444" s="65"/>
      <c r="I1444" s="65"/>
      <c r="J1444" s="65"/>
      <c r="K1444" s="65" t="str">
        <f>IFERROR(__xludf.DUMMYFUNCTION("""COMPUTED_VALUE"""),"CANCELADO")</f>
        <v>CANCELADO</v>
      </c>
      <c r="L1444" s="65" t="str">
        <f>IFERROR(__xludf.DUMMYFUNCTION("""COMPUTED_VALUE"""),"CON RECAUDO")</f>
        <v>CON RECAUDO</v>
      </c>
      <c r="M1444" s="65" t="str">
        <f>IFERROR(__xludf.DUMMYFUNCTION("""COMPUTED_VALUE"""),"AZUAY")</f>
        <v>AZUAY</v>
      </c>
      <c r="N1444" s="65" t="str">
        <f>IFERROR(__xludf.DUMMYFUNCTION("""COMPUTED_VALUE"""),"CUENCA")</f>
        <v>CUENCA</v>
      </c>
      <c r="O1444" s="65" t="str">
        <f>IFERROR(__xludf.DUMMYFUNCTION("""COMPUTED_VALUE"""),"Vinicio Jauregui y Edmundo gra Cdla de los médicos -")</f>
        <v>Vinicio Jauregui y Edmundo gra Cdla de los médicos -</v>
      </c>
      <c r="P1444" s="65"/>
      <c r="Q1444" s="65" t="str">
        <f>IFERROR(__xludf.DUMMYFUNCTION("""COMPUTED_VALUE"""),"GINTRACOM")</f>
        <v>GINTRACOM</v>
      </c>
      <c r="R1444" s="65">
        <f>IFERROR(__xludf.DUMMYFUNCTION("""COMPUTED_VALUE"""),25.0)</f>
        <v>25</v>
      </c>
      <c r="S1444" s="65"/>
      <c r="T1444" s="65">
        <f>IFERROR(__xludf.DUMMYFUNCTION("""COMPUTED_VALUE"""),5.96)</f>
        <v>5.96</v>
      </c>
      <c r="U1444" s="65">
        <f>IFERROR(__xludf.DUMMYFUNCTION("""COMPUTED_VALUE"""),0.0)</f>
        <v>0</v>
      </c>
      <c r="V1444" s="65">
        <f>IFERROR(__xludf.DUMMYFUNCTION("""COMPUTED_VALUE"""),0.0)</f>
        <v>0</v>
      </c>
      <c r="W1444" s="65">
        <f>IFERROR(__xludf.DUMMYFUNCTION("""COMPUTED_VALUE"""),0.0)</f>
        <v>0</v>
      </c>
      <c r="X1444" s="65">
        <f>IFERROR(__xludf.DUMMYFUNCTION("""COMPUTED_VALUE"""),2.35)</f>
        <v>2.35</v>
      </c>
      <c r="Y1444" s="65">
        <f>IFERROR(__xludf.DUMMYFUNCTION("""COMPUTED_VALUE"""),4.7)</f>
        <v>4.7</v>
      </c>
      <c r="Z1444" s="65">
        <f>IFERROR(__xludf.DUMMYFUNCTION("""COMPUTED_VALUE"""),116679.0)</f>
        <v>116679</v>
      </c>
      <c r="AA1444" s="65" t="str">
        <f>IFERROR(__xludf.DUMMYFUNCTION("""COMPUTED_VALUE"""),"AMC-2738")</f>
        <v>AMC-2738</v>
      </c>
      <c r="AB1444" s="65"/>
      <c r="AC1444" s="65" t="str">
        <f>IFERROR(__xludf.DUMMYFUNCTION("""COMPUTED_VALUE"""),"ESPONJA ANTILLUVIA DE PARABRISAS")</f>
        <v>ESPONJA ANTILLUVIA DE PARABRISAS</v>
      </c>
      <c r="AD1444" s="65"/>
      <c r="AE1444" s="65">
        <f>IFERROR(__xludf.DUMMYFUNCTION("""COMPUTED_VALUE"""),2.0)</f>
        <v>2</v>
      </c>
      <c r="AF1444" s="65"/>
      <c r="AG1444" s="65"/>
      <c r="AH1444" s="65"/>
      <c r="AI1444" s="65"/>
      <c r="AJ1444" s="65"/>
      <c r="AK1444" s="65"/>
      <c r="AL1444" s="65"/>
      <c r="AM1444" s="65"/>
      <c r="AN1444" s="65"/>
      <c r="AO1444" s="65"/>
      <c r="AP1444" s="65"/>
      <c r="AQ1444" s="65"/>
      <c r="AR1444" s="65"/>
      <c r="AS1444" s="65"/>
      <c r="AT1444" s="65" t="str">
        <f>IFERROR(__xludf.DUMMYFUNCTION("""COMPUTED_VALUE"""),"SHOPIFY")</f>
        <v>SHOPIFY</v>
      </c>
      <c r="AU1444" s="65" t="str">
        <f>IFERROR(__xludf.DUMMYFUNCTION("""COMPUTED_VALUE"""),"IMPORTEX EC")</f>
        <v>IMPORTEX EC</v>
      </c>
      <c r="AV1444" s="65" t="str">
        <f>IFERROR(__xludf.DUMMYFUNCTION("""COMPUTED_VALUE"""),"6445972389932")</f>
        <v>6445972389932</v>
      </c>
      <c r="AW1444" s="65">
        <f>IFERROR(__xludf.DUMMYFUNCTION("""COMPUTED_VALUE"""),5497.0)</f>
        <v>5497</v>
      </c>
      <c r="AX1444" s="65"/>
      <c r="AY1444" s="65"/>
      <c r="AZ1444" s="65"/>
      <c r="BA1444" s="65"/>
    </row>
    <row r="1445">
      <c r="A1445" s="65" t="str">
        <f>IFERROR(__xludf.DUMMYFUNCTION("""COMPUTED_VALUE"""),"27-03-2026")</f>
        <v>27-03-2026</v>
      </c>
      <c r="B1445" s="65">
        <f>IFERROR(__xludf.DUMMYFUNCTION("""COMPUTED_VALUE"""),4269185.0)</f>
        <v>4269185</v>
      </c>
      <c r="C1445" s="65" t="str">
        <f>IFERROR(__xludf.DUMMYFUNCTION("""COMPUTED_VALUE"""),"07:13")</f>
        <v>07:13</v>
      </c>
      <c r="D1445" s="65" t="str">
        <f>IFERROR(__xludf.DUMMYFUNCTION("""COMPUTED_VALUE"""),"25-01-2026")</f>
        <v>25-01-2026</v>
      </c>
      <c r="E1445" s="65" t="str">
        <f>IFERROR(__xludf.DUMMYFUNCTION("""COMPUTED_VALUE"""),"Sandra Farfán")</f>
        <v>Sandra Farfán</v>
      </c>
      <c r="F1445" s="65" t="str">
        <f>IFERROR(__xludf.DUMMYFUNCTION("""COMPUTED_VALUE"""),"960522736")</f>
        <v>960522736</v>
      </c>
      <c r="G1445" s="65" t="str">
        <f>IFERROR(__xludf.DUMMYFUNCTION("""COMPUTED_VALUE"""),"sandra_isabel1973@hotmail.com")</f>
        <v>sandra_isabel1973@hotmail.com</v>
      </c>
      <c r="H1445" s="65"/>
      <c r="I1445" s="65"/>
      <c r="J1445" s="65"/>
      <c r="K1445" s="65" t="str">
        <f>IFERROR(__xludf.DUMMYFUNCTION("""COMPUTED_VALUE"""),"CANCELADO")</f>
        <v>CANCELADO</v>
      </c>
      <c r="L1445" s="65" t="str">
        <f>IFERROR(__xludf.DUMMYFUNCTION("""COMPUTED_VALUE"""),"CON RECAUDO")</f>
        <v>CON RECAUDO</v>
      </c>
      <c r="M1445" s="65" t="str">
        <f>IFERROR(__xludf.DUMMYFUNCTION("""COMPUTED_VALUE"""),"GUAYAS")</f>
        <v>GUAYAS</v>
      </c>
      <c r="N1445" s="65" t="str">
        <f>IFERROR(__xludf.DUMMYFUNCTION("""COMPUTED_VALUE"""),"DAULE")</f>
        <v>DAULE</v>
      </c>
      <c r="O1445" s="65" t="str">
        <f>IFERROR(__xludf.DUMMYFUNCTION("""COMPUTED_VALUE"""),"Av principal Villaclub y Floresmilo Vargas Etapa Jupiter mz 11 v 22 -")</f>
        <v>Av principal Villaclub y Floresmilo Vargas Etapa Jupiter mz 11 v 22 -</v>
      </c>
      <c r="P1445" s="65"/>
      <c r="Q1445" s="65" t="str">
        <f>IFERROR(__xludf.DUMMYFUNCTION("""COMPUTED_VALUE"""),"GINTRACOM")</f>
        <v>GINTRACOM</v>
      </c>
      <c r="R1445" s="65">
        <f>IFERROR(__xludf.DUMMYFUNCTION("""COMPUTED_VALUE"""),25.0)</f>
        <v>25</v>
      </c>
      <c r="S1445" s="65"/>
      <c r="T1445" s="65">
        <f>IFERROR(__xludf.DUMMYFUNCTION("""COMPUTED_VALUE"""),5.96)</f>
        <v>5.96</v>
      </c>
      <c r="U1445" s="65">
        <f>IFERROR(__xludf.DUMMYFUNCTION("""COMPUTED_VALUE"""),0.0)</f>
        <v>0</v>
      </c>
      <c r="V1445" s="65">
        <f>IFERROR(__xludf.DUMMYFUNCTION("""COMPUTED_VALUE"""),0.0)</f>
        <v>0</v>
      </c>
      <c r="W1445" s="65">
        <f>IFERROR(__xludf.DUMMYFUNCTION("""COMPUTED_VALUE"""),0.0)</f>
        <v>0</v>
      </c>
      <c r="X1445" s="65">
        <f>IFERROR(__xludf.DUMMYFUNCTION("""COMPUTED_VALUE"""),2.35)</f>
        <v>2.35</v>
      </c>
      <c r="Y1445" s="65">
        <f>IFERROR(__xludf.DUMMYFUNCTION("""COMPUTED_VALUE"""),4.7)</f>
        <v>4.7</v>
      </c>
      <c r="Z1445" s="65">
        <f>IFERROR(__xludf.DUMMYFUNCTION("""COMPUTED_VALUE"""),116679.0)</f>
        <v>116679</v>
      </c>
      <c r="AA1445" s="65" t="str">
        <f>IFERROR(__xludf.DUMMYFUNCTION("""COMPUTED_VALUE"""),"AMC-2738")</f>
        <v>AMC-2738</v>
      </c>
      <c r="AB1445" s="65"/>
      <c r="AC1445" s="65" t="str">
        <f>IFERROR(__xludf.DUMMYFUNCTION("""COMPUTED_VALUE"""),"ESPONJA ANTILLUVIA DE PARABRISAS")</f>
        <v>ESPONJA ANTILLUVIA DE PARABRISAS</v>
      </c>
      <c r="AD1445" s="65"/>
      <c r="AE1445" s="65">
        <f>IFERROR(__xludf.DUMMYFUNCTION("""COMPUTED_VALUE"""),2.0)</f>
        <v>2</v>
      </c>
      <c r="AF1445" s="65"/>
      <c r="AG1445" s="65"/>
      <c r="AH1445" s="65"/>
      <c r="AI1445" s="65"/>
      <c r="AJ1445" s="65"/>
      <c r="AK1445" s="65"/>
      <c r="AL1445" s="65"/>
      <c r="AM1445" s="65"/>
      <c r="AN1445" s="65"/>
      <c r="AO1445" s="65"/>
      <c r="AP1445" s="65"/>
      <c r="AQ1445" s="65"/>
      <c r="AR1445" s="65"/>
      <c r="AS1445" s="65"/>
      <c r="AT1445" s="65" t="str">
        <f>IFERROR(__xludf.DUMMYFUNCTION("""COMPUTED_VALUE"""),"SHOPIFY")</f>
        <v>SHOPIFY</v>
      </c>
      <c r="AU1445" s="65" t="str">
        <f>IFERROR(__xludf.DUMMYFUNCTION("""COMPUTED_VALUE"""),"IMPORTEX EC")</f>
        <v>IMPORTEX EC</v>
      </c>
      <c r="AV1445" s="65" t="str">
        <f>IFERROR(__xludf.DUMMYFUNCTION("""COMPUTED_VALUE"""),"6445942702124")</f>
        <v>6445942702124</v>
      </c>
      <c r="AW1445" s="65">
        <f>IFERROR(__xludf.DUMMYFUNCTION("""COMPUTED_VALUE"""),5495.0)</f>
        <v>5495</v>
      </c>
      <c r="AX1445" s="65"/>
      <c r="AY1445" s="65"/>
      <c r="AZ1445" s="65"/>
      <c r="BA1445" s="65"/>
    </row>
    <row r="1446">
      <c r="A1446" s="65" t="str">
        <f>IFERROR(__xludf.DUMMYFUNCTION("""COMPUTED_VALUE"""),"27-03-2026")</f>
        <v>27-03-2026</v>
      </c>
      <c r="B1446" s="65">
        <f>IFERROR(__xludf.DUMMYFUNCTION("""COMPUTED_VALUE"""),4268491.0)</f>
        <v>4268491</v>
      </c>
      <c r="C1446" s="65" t="str">
        <f>IFERROR(__xludf.DUMMYFUNCTION("""COMPUTED_VALUE"""),"00:55")</f>
        <v>00:55</v>
      </c>
      <c r="D1446" s="65" t="str">
        <f>IFERROR(__xludf.DUMMYFUNCTION("""COMPUTED_VALUE"""),"25-01-2026")</f>
        <v>25-01-2026</v>
      </c>
      <c r="E1446" s="65" t="str">
        <f>IFERROR(__xludf.DUMMYFUNCTION("""COMPUTED_VALUE"""),"Edison Ludeña")</f>
        <v>Edison Ludeña</v>
      </c>
      <c r="F1446" s="65" t="str">
        <f>IFERROR(__xludf.DUMMYFUNCTION("""COMPUTED_VALUE"""),"993495098")</f>
        <v>993495098</v>
      </c>
      <c r="G1446" s="65" t="str">
        <f>IFERROR(__xludf.DUMMYFUNCTION("""COMPUTED_VALUE"""),"ediskypde93@gmail.com")</f>
        <v>ediskypde93@gmail.com</v>
      </c>
      <c r="H1446" s="65"/>
      <c r="I1446" s="65"/>
      <c r="J1446" s="65"/>
      <c r="K1446" s="65" t="str">
        <f>IFERROR(__xludf.DUMMYFUNCTION("""COMPUTED_VALUE"""),"PENDIENTE CONFIRMACION")</f>
        <v>PENDIENTE CONFIRMACION</v>
      </c>
      <c r="L1446" s="65" t="str">
        <f>IFERROR(__xludf.DUMMYFUNCTION("""COMPUTED_VALUE"""),"CON RECAUDO")</f>
        <v>CON RECAUDO</v>
      </c>
      <c r="M1446" s="65" t="str">
        <f>IFERROR(__xludf.DUMMYFUNCTION("""COMPUTED_VALUE"""),"ESMERALDAS")</f>
        <v>ESMERALDAS</v>
      </c>
      <c r="N1446" s="65" t="str">
        <f>IFERROR(__xludf.DUMMYFUNCTION("""COMPUTED_VALUE"""),"QUININDE")</f>
        <v>QUININDE</v>
      </c>
      <c r="O1446" s="65" t="str">
        <f>IFERROR(__xludf.DUMMYFUNCTION("""COMPUTED_VALUE"""),"Portilla, km 3 y medio Oficinas Quininde -")</f>
        <v>Portilla, km 3 y medio Oficinas Quininde -</v>
      </c>
      <c r="P1446" s="65"/>
      <c r="Q1446" s="65" t="str">
        <f>IFERROR(__xludf.DUMMYFUNCTION("""COMPUTED_VALUE"""),"GINTRACOM")</f>
        <v>GINTRACOM</v>
      </c>
      <c r="R1446" s="65">
        <f>IFERROR(__xludf.DUMMYFUNCTION("""COMPUTED_VALUE"""),25.0)</f>
        <v>25</v>
      </c>
      <c r="S1446" s="65"/>
      <c r="T1446" s="65">
        <f>IFERROR(__xludf.DUMMYFUNCTION("""COMPUTED_VALUE"""),5.96)</f>
        <v>5.96</v>
      </c>
      <c r="U1446" s="65">
        <f>IFERROR(__xludf.DUMMYFUNCTION("""COMPUTED_VALUE"""),0.0)</f>
        <v>0</v>
      </c>
      <c r="V1446" s="65">
        <f>IFERROR(__xludf.DUMMYFUNCTION("""COMPUTED_VALUE"""),0.0)</f>
        <v>0</v>
      </c>
      <c r="W1446" s="65">
        <f>IFERROR(__xludf.DUMMYFUNCTION("""COMPUTED_VALUE"""),0.0)</f>
        <v>0</v>
      </c>
      <c r="X1446" s="65">
        <f>IFERROR(__xludf.DUMMYFUNCTION("""COMPUTED_VALUE"""),2.35)</f>
        <v>2.35</v>
      </c>
      <c r="Y1446" s="65">
        <f>IFERROR(__xludf.DUMMYFUNCTION("""COMPUTED_VALUE"""),4.7)</f>
        <v>4.7</v>
      </c>
      <c r="Z1446" s="65">
        <f>IFERROR(__xludf.DUMMYFUNCTION("""COMPUTED_VALUE"""),116679.0)</f>
        <v>116679</v>
      </c>
      <c r="AA1446" s="65" t="str">
        <f>IFERROR(__xludf.DUMMYFUNCTION("""COMPUTED_VALUE"""),"AMC-2738")</f>
        <v>AMC-2738</v>
      </c>
      <c r="AB1446" s="65"/>
      <c r="AC1446" s="65" t="str">
        <f>IFERROR(__xludf.DUMMYFUNCTION("""COMPUTED_VALUE"""),"ESPONJA ANTILLUVIA DE PARABRISAS")</f>
        <v>ESPONJA ANTILLUVIA DE PARABRISAS</v>
      </c>
      <c r="AD1446" s="65"/>
      <c r="AE1446" s="65">
        <f>IFERROR(__xludf.DUMMYFUNCTION("""COMPUTED_VALUE"""),2.0)</f>
        <v>2</v>
      </c>
      <c r="AF1446" s="65"/>
      <c r="AG1446" s="65"/>
      <c r="AH1446" s="65"/>
      <c r="AI1446" s="65"/>
      <c r="AJ1446" s="65"/>
      <c r="AK1446" s="65"/>
      <c r="AL1446" s="65"/>
      <c r="AM1446" s="65"/>
      <c r="AN1446" s="65"/>
      <c r="AO1446" s="65"/>
      <c r="AP1446" s="65"/>
      <c r="AQ1446" s="65"/>
      <c r="AR1446" s="65"/>
      <c r="AS1446" s="65"/>
      <c r="AT1446" s="65" t="str">
        <f>IFERROR(__xludf.DUMMYFUNCTION("""COMPUTED_VALUE"""),"SHOPIFY")</f>
        <v>SHOPIFY</v>
      </c>
      <c r="AU1446" s="65" t="str">
        <f>IFERROR(__xludf.DUMMYFUNCTION("""COMPUTED_VALUE"""),"IMPORTEX EC")</f>
        <v>IMPORTEX EC</v>
      </c>
      <c r="AV1446" s="65" t="str">
        <f>IFERROR(__xludf.DUMMYFUNCTION("""COMPUTED_VALUE"""),"6445566591020")</f>
        <v>6445566591020</v>
      </c>
      <c r="AW1446" s="65">
        <f>IFERROR(__xludf.DUMMYFUNCTION("""COMPUTED_VALUE"""),5494.0)</f>
        <v>5494</v>
      </c>
      <c r="AX1446" s="65"/>
      <c r="AY1446" s="65"/>
      <c r="AZ1446" s="65"/>
      <c r="BA1446" s="65"/>
    </row>
    <row r="1447">
      <c r="A1447" s="65" t="str">
        <f>IFERROR(__xludf.DUMMYFUNCTION("""COMPUTED_VALUE"""),"27-03-2026")</f>
        <v>27-03-2026</v>
      </c>
      <c r="B1447" s="65">
        <f>IFERROR(__xludf.DUMMYFUNCTION("""COMPUTED_VALUE"""),4268487.0)</f>
        <v>4268487</v>
      </c>
      <c r="C1447" s="65" t="str">
        <f>IFERROR(__xludf.DUMMYFUNCTION("""COMPUTED_VALUE"""),"00:51")</f>
        <v>00:51</v>
      </c>
      <c r="D1447" s="65" t="str">
        <f>IFERROR(__xludf.DUMMYFUNCTION("""COMPUTED_VALUE"""),"25-01-2026")</f>
        <v>25-01-2026</v>
      </c>
      <c r="E1447" s="65" t="str">
        <f>IFERROR(__xludf.DUMMYFUNCTION("""COMPUTED_VALUE"""),"Cristian Flores")</f>
        <v>Cristian Flores</v>
      </c>
      <c r="F1447" s="65" t="str">
        <f>IFERROR(__xludf.DUMMYFUNCTION("""COMPUTED_VALUE"""),"984490070")</f>
        <v>984490070</v>
      </c>
      <c r="G1447" s="65" t="str">
        <f>IFERROR(__xludf.DUMMYFUNCTION("""COMPUTED_VALUE"""),"geovannycris89@gmail.com")</f>
        <v>geovannycris89@gmail.com</v>
      </c>
      <c r="H1447" s="65"/>
      <c r="I1447" s="65"/>
      <c r="J1447" s="65"/>
      <c r="K1447" s="65" t="str">
        <f>IFERROR(__xludf.DUMMYFUNCTION("""COMPUTED_VALUE"""),"CANCELADO")</f>
        <v>CANCELADO</v>
      </c>
      <c r="L1447" s="65" t="str">
        <f>IFERROR(__xludf.DUMMYFUNCTION("""COMPUTED_VALUE"""),"CON RECAUDO")</f>
        <v>CON RECAUDO</v>
      </c>
      <c r="M1447" s="65" t="str">
        <f>IFERROR(__xludf.DUMMYFUNCTION("""COMPUTED_VALUE"""),"PICHINCHA")</f>
        <v>PICHINCHA</v>
      </c>
      <c r="N1447" s="65" t="str">
        <f>IFERROR(__xludf.DUMMYFUNCTION("""COMPUTED_VALUE"""),"QUITO")</f>
        <v>QUITO</v>
      </c>
      <c r="O1447" s="65" t="str">
        <f>IFERROR(__xludf.DUMMYFUNCTION("""COMPUTED_VALUE"""),"García moreno y las almas Perucho -")</f>
        <v>García moreno y las almas Perucho -</v>
      </c>
      <c r="P1447" s="65"/>
      <c r="Q1447" s="65" t="str">
        <f>IFERROR(__xludf.DUMMYFUNCTION("""COMPUTED_VALUE"""),"GINTRACOM")</f>
        <v>GINTRACOM</v>
      </c>
      <c r="R1447" s="65">
        <f>IFERROR(__xludf.DUMMYFUNCTION("""COMPUTED_VALUE"""),30.0)</f>
        <v>30</v>
      </c>
      <c r="S1447" s="65"/>
      <c r="T1447" s="65">
        <f>IFERROR(__xludf.DUMMYFUNCTION("""COMPUTED_VALUE"""),4.55)</f>
        <v>4.55</v>
      </c>
      <c r="U1447" s="65">
        <f>IFERROR(__xludf.DUMMYFUNCTION("""COMPUTED_VALUE"""),0.0)</f>
        <v>0</v>
      </c>
      <c r="V1447" s="65">
        <f>IFERROR(__xludf.DUMMYFUNCTION("""COMPUTED_VALUE"""),0.0)</f>
        <v>0</v>
      </c>
      <c r="W1447" s="65">
        <f>IFERROR(__xludf.DUMMYFUNCTION("""COMPUTED_VALUE"""),0.0)</f>
        <v>0</v>
      </c>
      <c r="X1447" s="65">
        <f>IFERROR(__xludf.DUMMYFUNCTION("""COMPUTED_VALUE"""),2.35)</f>
        <v>2.35</v>
      </c>
      <c r="Y1447" s="65">
        <f>IFERROR(__xludf.DUMMYFUNCTION("""COMPUTED_VALUE"""),7.05)</f>
        <v>7.05</v>
      </c>
      <c r="Z1447" s="65">
        <f>IFERROR(__xludf.DUMMYFUNCTION("""COMPUTED_VALUE"""),116679.0)</f>
        <v>116679</v>
      </c>
      <c r="AA1447" s="65" t="str">
        <f>IFERROR(__xludf.DUMMYFUNCTION("""COMPUTED_VALUE"""),"AMC-2738")</f>
        <v>AMC-2738</v>
      </c>
      <c r="AB1447" s="65"/>
      <c r="AC1447" s="65" t="str">
        <f>IFERROR(__xludf.DUMMYFUNCTION("""COMPUTED_VALUE"""),"ESPONJA ANTILLUVIA DE PARABRISAS")</f>
        <v>ESPONJA ANTILLUVIA DE PARABRISAS</v>
      </c>
      <c r="AD1447" s="65"/>
      <c r="AE1447" s="65">
        <f>IFERROR(__xludf.DUMMYFUNCTION("""COMPUTED_VALUE"""),3.0)</f>
        <v>3</v>
      </c>
      <c r="AF1447" s="65"/>
      <c r="AG1447" s="65"/>
      <c r="AH1447" s="65"/>
      <c r="AI1447" s="65"/>
      <c r="AJ1447" s="65"/>
      <c r="AK1447" s="65"/>
      <c r="AL1447" s="65"/>
      <c r="AM1447" s="65"/>
      <c r="AN1447" s="65"/>
      <c r="AO1447" s="65"/>
      <c r="AP1447" s="65"/>
      <c r="AQ1447" s="65"/>
      <c r="AR1447" s="65"/>
      <c r="AS1447" s="65"/>
      <c r="AT1447" s="65" t="str">
        <f>IFERROR(__xludf.DUMMYFUNCTION("""COMPUTED_VALUE"""),"SHOPIFY")</f>
        <v>SHOPIFY</v>
      </c>
      <c r="AU1447" s="65" t="str">
        <f>IFERROR(__xludf.DUMMYFUNCTION("""COMPUTED_VALUE"""),"IMPORTEX EC")</f>
        <v>IMPORTEX EC</v>
      </c>
      <c r="AV1447" s="65" t="str">
        <f>IFERROR(__xludf.DUMMYFUNCTION("""COMPUTED_VALUE"""),"6445561184300")</f>
        <v>6445561184300</v>
      </c>
      <c r="AW1447" s="65">
        <f>IFERROR(__xludf.DUMMYFUNCTION("""COMPUTED_VALUE"""),5493.0)</f>
        <v>5493</v>
      </c>
      <c r="AX1447" s="65"/>
      <c r="AY1447" s="65"/>
      <c r="AZ1447" s="65"/>
      <c r="BA1447" s="65"/>
    </row>
    <row r="1448">
      <c r="A1448" s="65" t="str">
        <f>IFERROR(__xludf.DUMMYFUNCTION("""COMPUTED_VALUE"""),"27-03-2026")</f>
        <v>27-03-2026</v>
      </c>
      <c r="B1448" s="65">
        <f>IFERROR(__xludf.DUMMYFUNCTION("""COMPUTED_VALUE"""),4268468.0)</f>
        <v>4268468</v>
      </c>
      <c r="C1448" s="65" t="str">
        <f>IFERROR(__xludf.DUMMYFUNCTION("""COMPUTED_VALUE"""),"00:44")</f>
        <v>00:44</v>
      </c>
      <c r="D1448" s="65" t="str">
        <f>IFERROR(__xludf.DUMMYFUNCTION("""COMPUTED_VALUE"""),"25-01-2026")</f>
        <v>25-01-2026</v>
      </c>
      <c r="E1448" s="65" t="str">
        <f>IFERROR(__xludf.DUMMYFUNCTION("""COMPUTED_VALUE"""),"Mercedes Andrango 0968569988")</f>
        <v>Mercedes Andrango 0968569988</v>
      </c>
      <c r="F1448" s="65" t="str">
        <f>IFERROR(__xludf.DUMMYFUNCTION("""COMPUTED_VALUE"""),"968569988")</f>
        <v>968569988</v>
      </c>
      <c r="G1448" s="65" t="str">
        <f>IFERROR(__xludf.DUMMYFUNCTION("""COMPUTED_VALUE"""),"angelchimarro@gmail.com")</f>
        <v>angelchimarro@gmail.com</v>
      </c>
      <c r="H1448" s="65"/>
      <c r="I1448" s="65"/>
      <c r="J1448" s="65" t="str">
        <f>IFERROR(__xludf.DUMMYFUNCTION("""COMPUTED_VALUE"""),"D001270156")</f>
        <v>D001270156</v>
      </c>
      <c r="K1448" s="65" t="str">
        <f>IFERROR(__xludf.DUMMYFUNCTION("""COMPUTED_VALUE"""),"ENTREGADO")</f>
        <v>ENTREGADO</v>
      </c>
      <c r="L1448" s="65" t="str">
        <f>IFERROR(__xludf.DUMMYFUNCTION("""COMPUTED_VALUE"""),"CON RECAUDO")</f>
        <v>CON RECAUDO</v>
      </c>
      <c r="M1448" s="65" t="str">
        <f>IFERROR(__xludf.DUMMYFUNCTION("""COMPUTED_VALUE"""),"PICHINCHA")</f>
        <v>PICHINCHA</v>
      </c>
      <c r="N1448" s="65" t="str">
        <f>IFERROR(__xludf.DUMMYFUNCTION("""COMPUTED_VALUE"""),"CAYAMBE")</f>
        <v>CAYAMBE</v>
      </c>
      <c r="O1448" s="65" t="str">
        <f>IFERROR(__xludf.DUMMYFUNCTION("""COMPUTED_VALUE"""),"Cayambe - Calle Rocafuerte y Calle Marchena - Ref. A media cuadra del camal municipal")</f>
        <v>Cayambe - Calle Rocafuerte y Calle Marchena - Ref. A media cuadra del camal municipal</v>
      </c>
      <c r="P1448" s="65"/>
      <c r="Q1448" s="65" t="str">
        <f>IFERROR(__xludf.DUMMYFUNCTION("""COMPUTED_VALUE"""),"GINTRACOM")</f>
        <v>GINTRACOM</v>
      </c>
      <c r="R1448" s="65">
        <f>IFERROR(__xludf.DUMMYFUNCTION("""COMPUTED_VALUE"""),25.0)</f>
        <v>25</v>
      </c>
      <c r="S1448" s="65">
        <f>IFERROR(__xludf.DUMMYFUNCTION("""COMPUTED_VALUE"""),14.92)</f>
        <v>14.92</v>
      </c>
      <c r="T1448" s="65">
        <f>IFERROR(__xludf.DUMMYFUNCTION("""COMPUTED_VALUE"""),5.38)</f>
        <v>5.38</v>
      </c>
      <c r="U1448" s="65">
        <f>IFERROR(__xludf.DUMMYFUNCTION("""COMPUTED_VALUE"""),0.0)</f>
        <v>0</v>
      </c>
      <c r="V1448" s="65">
        <f>IFERROR(__xludf.DUMMYFUNCTION("""COMPUTED_VALUE"""),0.0)</f>
        <v>0</v>
      </c>
      <c r="W1448" s="65">
        <f>IFERROR(__xludf.DUMMYFUNCTION("""COMPUTED_VALUE"""),0.0)</f>
        <v>0</v>
      </c>
      <c r="X1448" s="65">
        <f>IFERROR(__xludf.DUMMYFUNCTION("""COMPUTED_VALUE"""),2.35)</f>
        <v>2.35</v>
      </c>
      <c r="Y1448" s="65">
        <f>IFERROR(__xludf.DUMMYFUNCTION("""COMPUTED_VALUE"""),4.7)</f>
        <v>4.7</v>
      </c>
      <c r="Z1448" s="65">
        <f>IFERROR(__xludf.DUMMYFUNCTION("""COMPUTED_VALUE"""),116679.0)</f>
        <v>116679</v>
      </c>
      <c r="AA1448" s="65" t="str">
        <f>IFERROR(__xludf.DUMMYFUNCTION("""COMPUTED_VALUE"""),"AMC-2738")</f>
        <v>AMC-2738</v>
      </c>
      <c r="AB1448" s="65"/>
      <c r="AC1448" s="65" t="str">
        <f>IFERROR(__xludf.DUMMYFUNCTION("""COMPUTED_VALUE"""),"ESPONJA ANTILLUVIA DE PARABRISAS")</f>
        <v>ESPONJA ANTILLUVIA DE PARABRISAS</v>
      </c>
      <c r="AD1448" s="65"/>
      <c r="AE1448" s="65">
        <f>IFERROR(__xludf.DUMMYFUNCTION("""COMPUTED_VALUE"""),2.0)</f>
        <v>2</v>
      </c>
      <c r="AF1448" s="65"/>
      <c r="AG1448" s="65"/>
      <c r="AH1448" s="65"/>
      <c r="AI1448" s="65"/>
      <c r="AJ1448" s="65"/>
      <c r="AK1448" s="65"/>
      <c r="AL1448" s="65"/>
      <c r="AM1448" s="65"/>
      <c r="AN1448" s="65"/>
      <c r="AO1448" s="65"/>
      <c r="AP1448" s="65"/>
      <c r="AQ1448" s="65"/>
      <c r="AR1448" s="65"/>
      <c r="AS1448" s="65"/>
      <c r="AT1448" s="65" t="str">
        <f>IFERROR(__xludf.DUMMYFUNCTION("""COMPUTED_VALUE"""),"SHOPIFY")</f>
        <v>SHOPIFY</v>
      </c>
      <c r="AU1448" s="65" t="str">
        <f>IFERROR(__xludf.DUMMYFUNCTION("""COMPUTED_VALUE"""),"IMPORTEX EC")</f>
        <v>IMPORTEX EC</v>
      </c>
      <c r="AV1448" s="65" t="str">
        <f>IFERROR(__xludf.DUMMYFUNCTION("""COMPUTED_VALUE"""),"6445552926764")</f>
        <v>6445552926764</v>
      </c>
      <c r="AW1448" s="65">
        <f>IFERROR(__xludf.DUMMYFUNCTION("""COMPUTED_VALUE"""),5492.0)</f>
        <v>5492</v>
      </c>
      <c r="AX1448" s="65"/>
      <c r="AY1448" s="65" t="str">
        <f>IFERROR(__xludf.DUMMYFUNCTION("""COMPUTED_VALUE"""),"28/01/2026")</f>
        <v>28/01/2026</v>
      </c>
      <c r="AZ1448" s="65"/>
      <c r="BA1448" s="65"/>
    </row>
    <row r="1449">
      <c r="A1449" s="65" t="str">
        <f>IFERROR(__xludf.DUMMYFUNCTION("""COMPUTED_VALUE"""),"27-03-2026")</f>
        <v>27-03-2026</v>
      </c>
      <c r="B1449" s="65">
        <f>IFERROR(__xludf.DUMMYFUNCTION("""COMPUTED_VALUE"""),4268391.0)</f>
        <v>4268391</v>
      </c>
      <c r="C1449" s="65" t="str">
        <f>IFERROR(__xludf.DUMMYFUNCTION("""COMPUTED_VALUE"""),"00:18")</f>
        <v>00:18</v>
      </c>
      <c r="D1449" s="65" t="str">
        <f>IFERROR(__xludf.DUMMYFUNCTION("""COMPUTED_VALUE"""),"25-01-2026")</f>
        <v>25-01-2026</v>
      </c>
      <c r="E1449" s="65" t="str">
        <f>IFERROR(__xludf.DUMMYFUNCTION("""COMPUTED_VALUE"""),"Cinthya Mejia")</f>
        <v>Cinthya Mejia</v>
      </c>
      <c r="F1449" s="65" t="str">
        <f>IFERROR(__xludf.DUMMYFUNCTION("""COMPUTED_VALUE"""),"992350985")</f>
        <v>992350985</v>
      </c>
      <c r="G1449" s="65" t="str">
        <f>IFERROR(__xludf.DUMMYFUNCTION("""COMPUTED_VALUE"""),"construc.jm937@gmail.com")</f>
        <v>construc.jm937@gmail.com</v>
      </c>
      <c r="H1449" s="65"/>
      <c r="I1449" s="65"/>
      <c r="J1449" s="65" t="str">
        <f>IFERROR(__xludf.DUMMYFUNCTION("""COMPUTED_VALUE"""),"D001266729")</f>
        <v>D001266729</v>
      </c>
      <c r="K1449" s="65" t="str">
        <f>IFERROR(__xludf.DUMMYFUNCTION("""COMPUTED_VALUE"""),"DEVOLUCION")</f>
        <v>DEVOLUCION</v>
      </c>
      <c r="L1449" s="65" t="str">
        <f>IFERROR(__xludf.DUMMYFUNCTION("""COMPUTED_VALUE"""),"CON RECAUDO")</f>
        <v>CON RECAUDO</v>
      </c>
      <c r="M1449" s="65" t="str">
        <f>IFERROR(__xludf.DUMMYFUNCTION("""COMPUTED_VALUE"""),"GUAYAS")</f>
        <v>GUAYAS</v>
      </c>
      <c r="N1449" s="65" t="str">
        <f>IFERROR(__xludf.DUMMYFUNCTION("""COMPUTED_VALUE"""),"DURAN")</f>
        <v>DURAN</v>
      </c>
      <c r="O1449" s="65" t="str">
        <f>IFERROR(__xludf.DUMMYFUNCTION("""COMPUTED_VALUE"""),"Av. Abel Gilbert Pontón y Av. Jaime Nebot - 1 Mz 55 v 2")</f>
        <v>Av. Abel Gilbert Pontón y Av. Jaime Nebot - 1 Mz 55 v 2</v>
      </c>
      <c r="P1449" s="65"/>
      <c r="Q1449" s="65" t="str">
        <f>IFERROR(__xludf.DUMMYFUNCTION("""COMPUTED_VALUE"""),"GINTRACOM")</f>
        <v>GINTRACOM</v>
      </c>
      <c r="R1449" s="65">
        <f>IFERROR(__xludf.DUMMYFUNCTION("""COMPUTED_VALUE"""),30.0)</f>
        <v>30</v>
      </c>
      <c r="S1449" s="65"/>
      <c r="T1449" s="65">
        <f>IFERROR(__xludf.DUMMYFUNCTION("""COMPUTED_VALUE"""),6.16)</f>
        <v>6.16</v>
      </c>
      <c r="U1449" s="65">
        <f>IFERROR(__xludf.DUMMYFUNCTION("""COMPUTED_VALUE"""),0.0)</f>
        <v>0</v>
      </c>
      <c r="V1449" s="65">
        <f>IFERROR(__xludf.DUMMYFUNCTION("""COMPUTED_VALUE"""),0.0)</f>
        <v>0</v>
      </c>
      <c r="W1449" s="65">
        <f>IFERROR(__xludf.DUMMYFUNCTION("""COMPUTED_VALUE"""),0.0)</f>
        <v>0</v>
      </c>
      <c r="X1449" s="65">
        <f>IFERROR(__xludf.DUMMYFUNCTION("""COMPUTED_VALUE"""),2.35)</f>
        <v>2.35</v>
      </c>
      <c r="Y1449" s="65">
        <f>IFERROR(__xludf.DUMMYFUNCTION("""COMPUTED_VALUE"""),7.05)</f>
        <v>7.05</v>
      </c>
      <c r="Z1449" s="65">
        <f>IFERROR(__xludf.DUMMYFUNCTION("""COMPUTED_VALUE"""),116679.0)</f>
        <v>116679</v>
      </c>
      <c r="AA1449" s="65" t="str">
        <f>IFERROR(__xludf.DUMMYFUNCTION("""COMPUTED_VALUE"""),"AMC-2738")</f>
        <v>AMC-2738</v>
      </c>
      <c r="AB1449" s="65"/>
      <c r="AC1449" s="65" t="str">
        <f>IFERROR(__xludf.DUMMYFUNCTION("""COMPUTED_VALUE"""),"ESPONJA ANTILLUVIA DE PARABRISAS")</f>
        <v>ESPONJA ANTILLUVIA DE PARABRISAS</v>
      </c>
      <c r="AD1449" s="65"/>
      <c r="AE1449" s="65">
        <f>IFERROR(__xludf.DUMMYFUNCTION("""COMPUTED_VALUE"""),3.0)</f>
        <v>3</v>
      </c>
      <c r="AF1449" s="65" t="str">
        <f>IFERROR(__xludf.DUMMYFUNCTION("""COMPUTED_VALUE"""),"DESTINATARIO INDICA QUE YA NO DESEA EL PRODUCTO")</f>
        <v>DESTINATARIO INDICA QUE YA NO DESEA EL PRODUCTO</v>
      </c>
      <c r="AG1449" s="65" t="str">
        <f>IFERROR(__xludf.DUMMYFUNCTION("""COMPUTED_VALUE"""),"NO")</f>
        <v>NO</v>
      </c>
      <c r="AH1449" s="65" t="str">
        <f>IFERROR(__xludf.DUMMYFUNCTION("""COMPUTED_VALUE"""),"07:33")</f>
        <v>07:33</v>
      </c>
      <c r="AI1449" s="65" t="str">
        <f>IFERROR(__xludf.DUMMYFUNCTION("""COMPUTED_VALUE"""),"28-01-2026")</f>
        <v>28-01-2026</v>
      </c>
      <c r="AJ1449" s="65"/>
      <c r="AK1449" s="65"/>
      <c r="AL1449" s="65"/>
      <c r="AM1449" s="65"/>
      <c r="AN1449" s="65" t="str">
        <f>IFERROR(__xludf.DUMMYFUNCTION("""COMPUTED_VALUE"""),"13:18")</f>
        <v>13:18</v>
      </c>
      <c r="AO1449" s="65" t="str">
        <f>IFERROR(__xludf.DUMMYFUNCTION("""COMPUTED_VALUE"""),"17-02-2026")</f>
        <v>17-02-2026</v>
      </c>
      <c r="AP1449" s="65" t="str">
        <f>IFERROR(__xludf.DUMMYFUNCTION("""COMPUTED_VALUE"""),"DEVOLUCIÓN ENTREGADA A ORIGEN")</f>
        <v>DEVOLUCIÓN ENTREGADA A ORIGEN</v>
      </c>
      <c r="AQ1449" s="65" t="str">
        <f>IFERROR(__xludf.DUMMYFUNCTION("""COMPUTED_VALUE"""),"DEVOLUCIÓN ENTREGADA A ORIGEN")</f>
        <v>DEVOLUCIÓN ENTREGADA A ORIGEN</v>
      </c>
      <c r="AR1449" s="65"/>
      <c r="AS1449" s="65"/>
      <c r="AT1449" s="65" t="str">
        <f>IFERROR(__xludf.DUMMYFUNCTION("""COMPUTED_VALUE"""),"SHOPIFY")</f>
        <v>SHOPIFY</v>
      </c>
      <c r="AU1449" s="65" t="str">
        <f>IFERROR(__xludf.DUMMYFUNCTION("""COMPUTED_VALUE"""),"IMPORTEX EC")</f>
        <v>IMPORTEX EC</v>
      </c>
      <c r="AV1449" s="65" t="str">
        <f>IFERROR(__xludf.DUMMYFUNCTION("""COMPUTED_VALUE"""),"6445505675308")</f>
        <v>6445505675308</v>
      </c>
      <c r="AW1449" s="65">
        <f>IFERROR(__xludf.DUMMYFUNCTION("""COMPUTED_VALUE"""),5491.0)</f>
        <v>5491</v>
      </c>
      <c r="AX1449" s="65"/>
      <c r="AY1449" s="65" t="str">
        <f>IFERROR(__xludf.DUMMYFUNCTION("""COMPUTED_VALUE"""),"27/01/2026")</f>
        <v>27/01/2026</v>
      </c>
      <c r="AZ1449" s="65"/>
      <c r="BA1449" s="65"/>
    </row>
    <row r="1450">
      <c r="A1450" s="65" t="str">
        <f>IFERROR(__xludf.DUMMYFUNCTION("""COMPUTED_VALUE"""),"27-03-2026")</f>
        <v>27-03-2026</v>
      </c>
      <c r="B1450" s="65">
        <f>IFERROR(__xludf.DUMMYFUNCTION("""COMPUTED_VALUE"""),4268355.0)</f>
        <v>4268355</v>
      </c>
      <c r="C1450" s="65" t="str">
        <f>IFERROR(__xludf.DUMMYFUNCTION("""COMPUTED_VALUE"""),"00:07")</f>
        <v>00:07</v>
      </c>
      <c r="D1450" s="65" t="str">
        <f>IFERROR(__xludf.DUMMYFUNCTION("""COMPUTED_VALUE"""),"25-01-2026")</f>
        <v>25-01-2026</v>
      </c>
      <c r="E1450" s="65" t="str">
        <f>IFERROR(__xludf.DUMMYFUNCTION("""COMPUTED_VALUE"""),"Pablo Mora")</f>
        <v>Pablo Mora</v>
      </c>
      <c r="F1450" s="65" t="str">
        <f>IFERROR(__xludf.DUMMYFUNCTION("""COMPUTED_VALUE"""),"991767241")</f>
        <v>991767241</v>
      </c>
      <c r="G1450" s="65" t="str">
        <f>IFERROR(__xludf.DUMMYFUNCTION("""COMPUTED_VALUE"""),"pable_ins@hotmail.com")</f>
        <v>pable_ins@hotmail.com</v>
      </c>
      <c r="H1450" s="65"/>
      <c r="I1450" s="65"/>
      <c r="J1450" s="65"/>
      <c r="K1450" s="65" t="str">
        <f>IFERROR(__xludf.DUMMYFUNCTION("""COMPUTED_VALUE"""),"PENDIENTE CONFIRMACION")</f>
        <v>PENDIENTE CONFIRMACION</v>
      </c>
      <c r="L1450" s="65" t="str">
        <f>IFERROR(__xludf.DUMMYFUNCTION("""COMPUTED_VALUE"""),"CON RECAUDO")</f>
        <v>CON RECAUDO</v>
      </c>
      <c r="M1450" s="65" t="str">
        <f>IFERROR(__xludf.DUMMYFUNCTION("""COMPUTED_VALUE"""),"IMBABURA")</f>
        <v>IMBABURA</v>
      </c>
      <c r="N1450" s="65" t="str">
        <f>IFERROR(__xludf.DUMMYFUNCTION("""COMPUTED_VALUE"""),"CARANQUI")</f>
        <v>CARANQUI</v>
      </c>
      <c r="O1450" s="65" t="str">
        <f>IFERROR(__xludf.DUMMYFUNCTION("""COMPUTED_VALUE"""),"Avenida Atahualpa/Quijos y cañaris 24B Diagonal a la bomba de agua Emapa -")</f>
        <v>Avenida Atahualpa/Quijos y cañaris 24B Diagonal a la bomba de agua Emapa -</v>
      </c>
      <c r="P1450" s="65"/>
      <c r="Q1450" s="65" t="str">
        <f>IFERROR(__xludf.DUMMYFUNCTION("""COMPUTED_VALUE"""),"SERVIENTREGA")</f>
        <v>SERVIENTREGA</v>
      </c>
      <c r="R1450" s="65">
        <f>IFERROR(__xludf.DUMMYFUNCTION("""COMPUTED_VALUE"""),20.0)</f>
        <v>20</v>
      </c>
      <c r="S1450" s="65"/>
      <c r="T1450" s="65">
        <f>IFERROR(__xludf.DUMMYFUNCTION("""COMPUTED_VALUE"""),7.67)</f>
        <v>7.67</v>
      </c>
      <c r="U1450" s="65">
        <f>IFERROR(__xludf.DUMMYFUNCTION("""COMPUTED_VALUE"""),0.0)</f>
        <v>0</v>
      </c>
      <c r="V1450" s="65">
        <f>IFERROR(__xludf.DUMMYFUNCTION("""COMPUTED_VALUE"""),0.0)</f>
        <v>0</v>
      </c>
      <c r="W1450" s="65">
        <f>IFERROR(__xludf.DUMMYFUNCTION("""COMPUTED_VALUE"""),0.0)</f>
        <v>0</v>
      </c>
      <c r="X1450" s="65">
        <f>IFERROR(__xludf.DUMMYFUNCTION("""COMPUTED_VALUE"""),2.35)</f>
        <v>2.35</v>
      </c>
      <c r="Y1450" s="65">
        <f>IFERROR(__xludf.DUMMYFUNCTION("""COMPUTED_VALUE"""),2.35)</f>
        <v>2.35</v>
      </c>
      <c r="Z1450" s="65">
        <f>IFERROR(__xludf.DUMMYFUNCTION("""COMPUTED_VALUE"""),116679.0)</f>
        <v>116679</v>
      </c>
      <c r="AA1450" s="65" t="str">
        <f>IFERROR(__xludf.DUMMYFUNCTION("""COMPUTED_VALUE"""),"AMC-2738")</f>
        <v>AMC-2738</v>
      </c>
      <c r="AB1450" s="65"/>
      <c r="AC1450" s="65" t="str">
        <f>IFERROR(__xludf.DUMMYFUNCTION("""COMPUTED_VALUE"""),"ESPONJA ANTILLUVIA DE PARABRISAS")</f>
        <v>ESPONJA ANTILLUVIA DE PARABRISAS</v>
      </c>
      <c r="AD1450" s="65"/>
      <c r="AE1450" s="65">
        <f>IFERROR(__xludf.DUMMYFUNCTION("""COMPUTED_VALUE"""),1.0)</f>
        <v>1</v>
      </c>
      <c r="AF1450" s="65"/>
      <c r="AG1450" s="65"/>
      <c r="AH1450" s="65"/>
      <c r="AI1450" s="65"/>
      <c r="AJ1450" s="65"/>
      <c r="AK1450" s="65"/>
      <c r="AL1450" s="65"/>
      <c r="AM1450" s="65"/>
      <c r="AN1450" s="65"/>
      <c r="AO1450" s="65"/>
      <c r="AP1450" s="65"/>
      <c r="AQ1450" s="65"/>
      <c r="AR1450" s="65"/>
      <c r="AS1450" s="65"/>
      <c r="AT1450" s="65" t="str">
        <f>IFERROR(__xludf.DUMMYFUNCTION("""COMPUTED_VALUE"""),"SHOPIFY")</f>
        <v>SHOPIFY</v>
      </c>
      <c r="AU1450" s="65" t="str">
        <f>IFERROR(__xludf.DUMMYFUNCTION("""COMPUTED_VALUE"""),"IMPORTEX EC")</f>
        <v>IMPORTEX EC</v>
      </c>
      <c r="AV1450" s="65" t="str">
        <f>IFERROR(__xludf.DUMMYFUNCTION("""COMPUTED_VALUE"""),"6445486014508")</f>
        <v>6445486014508</v>
      </c>
      <c r="AW1450" s="65">
        <f>IFERROR(__xludf.DUMMYFUNCTION("""COMPUTED_VALUE"""),5490.0)</f>
        <v>5490</v>
      </c>
      <c r="AX1450" s="65"/>
      <c r="AY1450" s="65"/>
      <c r="AZ1450" s="65"/>
      <c r="BA1450" s="65"/>
    </row>
    <row r="1451">
      <c r="A1451" s="65" t="str">
        <f>IFERROR(__xludf.DUMMYFUNCTION("""COMPUTED_VALUE"""),"27-03-2026")</f>
        <v>27-03-2026</v>
      </c>
      <c r="B1451" s="65">
        <f>IFERROR(__xludf.DUMMYFUNCTION("""COMPUTED_VALUE"""),4268146.0)</f>
        <v>4268146</v>
      </c>
      <c r="C1451" s="65" t="str">
        <f>IFERROR(__xludf.DUMMYFUNCTION("""COMPUTED_VALUE"""),"23:18")</f>
        <v>23:18</v>
      </c>
      <c r="D1451" s="65" t="str">
        <f>IFERROR(__xludf.DUMMYFUNCTION("""COMPUTED_VALUE"""),"24-01-2026")</f>
        <v>24-01-2026</v>
      </c>
      <c r="E1451" s="65" t="str">
        <f>IFERROR(__xludf.DUMMYFUNCTION("""COMPUTED_VALUE"""),"Alexander Córdova")</f>
        <v>Alexander Córdova</v>
      </c>
      <c r="F1451" s="65" t="str">
        <f>IFERROR(__xludf.DUMMYFUNCTION("""COMPUTED_VALUE"""),"995757585")</f>
        <v>995757585</v>
      </c>
      <c r="G1451" s="65" t="str">
        <f>IFERROR(__xludf.DUMMYFUNCTION("""COMPUTED_VALUE"""),"lenincordova280@gmail.com")</f>
        <v>lenincordova280@gmail.com</v>
      </c>
      <c r="H1451" s="65"/>
      <c r="I1451" s="65"/>
      <c r="J1451" s="65" t="str">
        <f>IFERROR(__xludf.DUMMYFUNCTION("""COMPUTED_VALUE"""),"D001270157")</f>
        <v>D001270157</v>
      </c>
      <c r="K1451" s="65" t="str">
        <f>IFERROR(__xludf.DUMMYFUNCTION("""COMPUTED_VALUE"""),"ENTREGADO")</f>
        <v>ENTREGADO</v>
      </c>
      <c r="L1451" s="65" t="str">
        <f>IFERROR(__xludf.DUMMYFUNCTION("""COMPUTED_VALUE"""),"CON RECAUDO")</f>
        <v>CON RECAUDO</v>
      </c>
      <c r="M1451" s="65" t="str">
        <f>IFERROR(__xludf.DUMMYFUNCTION("""COMPUTED_VALUE"""),"PICHINCHA")</f>
        <v>PICHINCHA</v>
      </c>
      <c r="N1451" s="65" t="str">
        <f>IFERROR(__xludf.DUMMYFUNCTION("""COMPUTED_VALUE"""),"QUITO")</f>
        <v>QUITO</v>
      </c>
      <c r="O1451" s="65" t="str">
        <f>IFERROR(__xludf.DUMMYFUNCTION("""COMPUTED_VALUE"""),"José María Velasco Ibarra Oe10-223 y Jaime Roldós Aguilera Carapungo 4ta etapa -")</f>
        <v>José María Velasco Ibarra Oe10-223 y Jaime Roldós Aguilera Carapungo 4ta etapa -</v>
      </c>
      <c r="P1451" s="65"/>
      <c r="Q1451" s="65" t="str">
        <f>IFERROR(__xludf.DUMMYFUNCTION("""COMPUTED_VALUE"""),"GINTRACOM")</f>
        <v>GINTRACOM</v>
      </c>
      <c r="R1451" s="65">
        <f>IFERROR(__xludf.DUMMYFUNCTION("""COMPUTED_VALUE"""),20.0)</f>
        <v>20</v>
      </c>
      <c r="S1451" s="65">
        <f>IFERROR(__xludf.DUMMYFUNCTION("""COMPUTED_VALUE"""),13.5)</f>
        <v>13.5</v>
      </c>
      <c r="T1451" s="65">
        <f>IFERROR(__xludf.DUMMYFUNCTION("""COMPUTED_VALUE"""),4.15)</f>
        <v>4.15</v>
      </c>
      <c r="U1451" s="65">
        <f>IFERROR(__xludf.DUMMYFUNCTION("""COMPUTED_VALUE"""),0.0)</f>
        <v>0</v>
      </c>
      <c r="V1451" s="65">
        <f>IFERROR(__xludf.DUMMYFUNCTION("""COMPUTED_VALUE"""),0.0)</f>
        <v>0</v>
      </c>
      <c r="W1451" s="65">
        <f>IFERROR(__xludf.DUMMYFUNCTION("""COMPUTED_VALUE"""),0.0)</f>
        <v>0</v>
      </c>
      <c r="X1451" s="65">
        <f>IFERROR(__xludf.DUMMYFUNCTION("""COMPUTED_VALUE"""),2.35)</f>
        <v>2.35</v>
      </c>
      <c r="Y1451" s="65">
        <f>IFERROR(__xludf.DUMMYFUNCTION("""COMPUTED_VALUE"""),2.35)</f>
        <v>2.35</v>
      </c>
      <c r="Z1451" s="65">
        <f>IFERROR(__xludf.DUMMYFUNCTION("""COMPUTED_VALUE"""),116679.0)</f>
        <v>116679</v>
      </c>
      <c r="AA1451" s="65" t="str">
        <f>IFERROR(__xludf.DUMMYFUNCTION("""COMPUTED_VALUE"""),"AMC-2738")</f>
        <v>AMC-2738</v>
      </c>
      <c r="AB1451" s="65"/>
      <c r="AC1451" s="65" t="str">
        <f>IFERROR(__xludf.DUMMYFUNCTION("""COMPUTED_VALUE"""),"ESPONJA ANTILLUVIA DE PARABRISAS")</f>
        <v>ESPONJA ANTILLUVIA DE PARABRISAS</v>
      </c>
      <c r="AD1451" s="65"/>
      <c r="AE1451" s="65">
        <f>IFERROR(__xludf.DUMMYFUNCTION("""COMPUTED_VALUE"""),1.0)</f>
        <v>1</v>
      </c>
      <c r="AF1451" s="65"/>
      <c r="AG1451" s="65"/>
      <c r="AH1451" s="65"/>
      <c r="AI1451" s="65"/>
      <c r="AJ1451" s="65"/>
      <c r="AK1451" s="65"/>
      <c r="AL1451" s="65"/>
      <c r="AM1451" s="65"/>
      <c r="AN1451" s="65"/>
      <c r="AO1451" s="65"/>
      <c r="AP1451" s="65"/>
      <c r="AQ1451" s="65"/>
      <c r="AR1451" s="65"/>
      <c r="AS1451" s="65"/>
      <c r="AT1451" s="65" t="str">
        <f>IFERROR(__xludf.DUMMYFUNCTION("""COMPUTED_VALUE"""),"SHOPIFY")</f>
        <v>SHOPIFY</v>
      </c>
      <c r="AU1451" s="65" t="str">
        <f>IFERROR(__xludf.DUMMYFUNCTION("""COMPUTED_VALUE"""),"IMPORTEX EC")</f>
        <v>IMPORTEX EC</v>
      </c>
      <c r="AV1451" s="65" t="str">
        <f>IFERROR(__xludf.DUMMYFUNCTION("""COMPUTED_VALUE"""),"6445405470764")</f>
        <v>6445405470764</v>
      </c>
      <c r="AW1451" s="65">
        <f>IFERROR(__xludf.DUMMYFUNCTION("""COMPUTED_VALUE"""),5489.0)</f>
        <v>5489</v>
      </c>
      <c r="AX1451" s="65"/>
      <c r="AY1451" s="65" t="str">
        <f>IFERROR(__xludf.DUMMYFUNCTION("""COMPUTED_VALUE"""),"28/01/2026")</f>
        <v>28/01/2026</v>
      </c>
      <c r="AZ1451" s="65"/>
      <c r="BA1451" s="65"/>
    </row>
    <row r="1452">
      <c r="A1452" s="65" t="str">
        <f>IFERROR(__xludf.DUMMYFUNCTION("""COMPUTED_VALUE"""),"27-03-2026")</f>
        <v>27-03-2026</v>
      </c>
      <c r="B1452" s="65">
        <f>IFERROR(__xludf.DUMMYFUNCTION("""COMPUTED_VALUE"""),4267950.0)</f>
        <v>4267950</v>
      </c>
      <c r="C1452" s="65" t="str">
        <f>IFERROR(__xludf.DUMMYFUNCTION("""COMPUTED_VALUE"""),"22:47")</f>
        <v>22:47</v>
      </c>
      <c r="D1452" s="65" t="str">
        <f>IFERROR(__xludf.DUMMYFUNCTION("""COMPUTED_VALUE"""),"24-01-2026")</f>
        <v>24-01-2026</v>
      </c>
      <c r="E1452" s="65" t="str">
        <f>IFERROR(__xludf.DUMMYFUNCTION("""COMPUTED_VALUE"""),"Jair González")</f>
        <v>Jair González</v>
      </c>
      <c r="F1452" s="65" t="str">
        <f>IFERROR(__xludf.DUMMYFUNCTION("""COMPUTED_VALUE"""),"981424854")</f>
        <v>981424854</v>
      </c>
      <c r="G1452" s="65"/>
      <c r="H1452" s="65"/>
      <c r="I1452" s="65"/>
      <c r="J1452" s="65"/>
      <c r="K1452" s="65" t="str">
        <f>IFERROR(__xludf.DUMMYFUNCTION("""COMPUTED_VALUE"""),"PENDIENTE CONFIRMACION")</f>
        <v>PENDIENTE CONFIRMACION</v>
      </c>
      <c r="L1452" s="65" t="str">
        <f>IFERROR(__xludf.DUMMYFUNCTION("""COMPUTED_VALUE"""),"CON RECAUDO")</f>
        <v>CON RECAUDO</v>
      </c>
      <c r="M1452" s="65" t="str">
        <f>IFERROR(__xludf.DUMMYFUNCTION("""COMPUTED_VALUE"""),"SANTO DOMINGO DE LOS TSACHILAS")</f>
        <v>SANTO DOMINGO DE LOS TSACHILAS</v>
      </c>
      <c r="N1452" s="65" t="str">
        <f>IFERROR(__xludf.DUMMYFUNCTION("""COMPUTED_VALUE"""),"SANTO DOMINGO")</f>
        <v>SANTO DOMINGO</v>
      </c>
      <c r="O1452" s="65" t="str">
        <f>IFERROR(__xludf.DUMMYFUNCTION("""COMPUTED_VALUE"""),"Avenida Maracaibo con calle Cali")</f>
        <v>Avenida Maracaibo con calle Cali</v>
      </c>
      <c r="P1452" s="65" t="str">
        <f>IFERROR(__xludf.DUMMYFUNCTION("""COMPUTED_VALUE"""),"ESPONJA ANTILLUVIA DE PARABRISAS: Default Title ***")</f>
        <v>ESPONJA ANTILLUVIA DE PARABRISAS: Default Title ***</v>
      </c>
      <c r="Q1452" s="65" t="str">
        <f>IFERROR(__xludf.DUMMYFUNCTION("""COMPUTED_VALUE"""),"GINTRACOM")</f>
        <v>GINTRACOM</v>
      </c>
      <c r="R1452" s="65">
        <f>IFERROR(__xludf.DUMMYFUNCTION("""COMPUTED_VALUE"""),20.0)</f>
        <v>20</v>
      </c>
      <c r="S1452" s="65"/>
      <c r="T1452" s="65">
        <f>IFERROR(__xludf.DUMMYFUNCTION("""COMPUTED_VALUE"""),5.76)</f>
        <v>5.76</v>
      </c>
      <c r="U1452" s="65">
        <f>IFERROR(__xludf.DUMMYFUNCTION("""COMPUTED_VALUE"""),0.0)</f>
        <v>0</v>
      </c>
      <c r="V1452" s="65">
        <f>IFERROR(__xludf.DUMMYFUNCTION("""COMPUTED_VALUE"""),0.0)</f>
        <v>0</v>
      </c>
      <c r="W1452" s="65">
        <f>IFERROR(__xludf.DUMMYFUNCTION("""COMPUTED_VALUE"""),0.0)</f>
        <v>0</v>
      </c>
      <c r="X1452" s="65">
        <f>IFERROR(__xludf.DUMMYFUNCTION("""COMPUTED_VALUE"""),2.35)</f>
        <v>2.35</v>
      </c>
      <c r="Y1452" s="65">
        <f>IFERROR(__xludf.DUMMYFUNCTION("""COMPUTED_VALUE"""),2.35)</f>
        <v>2.35</v>
      </c>
      <c r="Z1452" s="65">
        <f>IFERROR(__xludf.DUMMYFUNCTION("""COMPUTED_VALUE"""),116679.0)</f>
        <v>116679</v>
      </c>
      <c r="AA1452" s="65" t="str">
        <f>IFERROR(__xludf.DUMMYFUNCTION("""COMPUTED_VALUE"""),"AMC-2738")</f>
        <v>AMC-2738</v>
      </c>
      <c r="AB1452" s="65"/>
      <c r="AC1452" s="65" t="str">
        <f>IFERROR(__xludf.DUMMYFUNCTION("""COMPUTED_VALUE"""),"ESPONJA ANTILLUVIA DE PARABRISAS")</f>
        <v>ESPONJA ANTILLUVIA DE PARABRISAS</v>
      </c>
      <c r="AD1452" s="65"/>
      <c r="AE1452" s="65">
        <f>IFERROR(__xludf.DUMMYFUNCTION("""COMPUTED_VALUE"""),1.0)</f>
        <v>1</v>
      </c>
      <c r="AF1452" s="65"/>
      <c r="AG1452" s="65"/>
      <c r="AH1452" s="65"/>
      <c r="AI1452" s="65"/>
      <c r="AJ1452" s="65"/>
      <c r="AK1452" s="65"/>
      <c r="AL1452" s="65"/>
      <c r="AM1452" s="65"/>
      <c r="AN1452" s="65"/>
      <c r="AO1452" s="65"/>
      <c r="AP1452" s="65"/>
      <c r="AQ1452" s="65"/>
      <c r="AR1452" s="65"/>
      <c r="AS1452" s="65"/>
      <c r="AT1452" s="65" t="str">
        <f>IFERROR(__xludf.DUMMYFUNCTION("""COMPUTED_VALUE"""),"SHOPIFY")</f>
        <v>SHOPIFY</v>
      </c>
      <c r="AU1452" s="65" t="str">
        <f>IFERROR(__xludf.DUMMYFUNCTION("""COMPUTED_VALUE"""),"IMPORTEX EC")</f>
        <v>IMPORTEX EC</v>
      </c>
      <c r="AV1452" s="65" t="str">
        <f>IFERROR(__xludf.DUMMYFUNCTION("""COMPUTED_VALUE"""),"6445340295212")</f>
        <v>6445340295212</v>
      </c>
      <c r="AW1452" s="65">
        <f>IFERROR(__xludf.DUMMYFUNCTION("""COMPUTED_VALUE"""),5488.0)</f>
        <v>5488</v>
      </c>
      <c r="AX1452" s="65"/>
      <c r="AY1452" s="65"/>
      <c r="AZ1452" s="65"/>
      <c r="BA1452" s="65"/>
    </row>
    <row r="1453">
      <c r="A1453" s="65" t="str">
        <f>IFERROR(__xludf.DUMMYFUNCTION("""COMPUTED_VALUE"""),"27-03-2026")</f>
        <v>27-03-2026</v>
      </c>
      <c r="B1453" s="65">
        <f>IFERROR(__xludf.DUMMYFUNCTION("""COMPUTED_VALUE"""),4267566.0)</f>
        <v>4267566</v>
      </c>
      <c r="C1453" s="65" t="str">
        <f>IFERROR(__xludf.DUMMYFUNCTION("""COMPUTED_VALUE"""),"22:02")</f>
        <v>22:02</v>
      </c>
      <c r="D1453" s="65" t="str">
        <f>IFERROR(__xludf.DUMMYFUNCTION("""COMPUTED_VALUE"""),"24-01-2026")</f>
        <v>24-01-2026</v>
      </c>
      <c r="E1453" s="65" t="str">
        <f>IFERROR(__xludf.DUMMYFUNCTION("""COMPUTED_VALUE"""),"Fredy Naranjo")</f>
        <v>Fredy Naranjo</v>
      </c>
      <c r="F1453" s="65" t="str">
        <f>IFERROR(__xludf.DUMMYFUNCTION("""COMPUTED_VALUE"""),"979419258")</f>
        <v>979419258</v>
      </c>
      <c r="G1453" s="65" t="str">
        <f>IFERROR(__xludf.DUMMYFUNCTION("""COMPUTED_VALUE"""),"naranjofredys@gmail.com")</f>
        <v>naranjofredys@gmail.com</v>
      </c>
      <c r="H1453" s="65"/>
      <c r="I1453" s="65"/>
      <c r="J1453" s="65"/>
      <c r="K1453" s="65" t="str">
        <f>IFERROR(__xludf.DUMMYFUNCTION("""COMPUTED_VALUE"""),"CANCELADO")</f>
        <v>CANCELADO</v>
      </c>
      <c r="L1453" s="65" t="str">
        <f>IFERROR(__xludf.DUMMYFUNCTION("""COMPUTED_VALUE"""),"CON RECAUDO")</f>
        <v>CON RECAUDO</v>
      </c>
      <c r="M1453" s="65" t="str">
        <f>IFERROR(__xludf.DUMMYFUNCTION("""COMPUTED_VALUE"""),"IMBABURA")</f>
        <v>IMBABURA</v>
      </c>
      <c r="N1453" s="65" t="str">
        <f>IFERROR(__xludf.DUMMYFUNCTION("""COMPUTED_VALUE"""),"IBARRA")</f>
        <v>IBARRA</v>
      </c>
      <c r="O1453" s="65" t="str">
        <f>IFERROR(__xludf.DUMMYFUNCTION("""COMPUTED_VALUE"""),"Avda. Atahualpa 37-03 y Pasaje A Bellavista de Caranqui -")</f>
        <v>Avda. Atahualpa 37-03 y Pasaje A Bellavista de Caranqui -</v>
      </c>
      <c r="P1453" s="65"/>
      <c r="Q1453" s="65" t="str">
        <f>IFERROR(__xludf.DUMMYFUNCTION("""COMPUTED_VALUE"""),"GINTRACOM")</f>
        <v>GINTRACOM</v>
      </c>
      <c r="R1453" s="65">
        <f>IFERROR(__xludf.DUMMYFUNCTION("""COMPUTED_VALUE"""),25.0)</f>
        <v>25</v>
      </c>
      <c r="S1453" s="65"/>
      <c r="T1453" s="65">
        <f>IFERROR(__xludf.DUMMYFUNCTION("""COMPUTED_VALUE"""),5.96)</f>
        <v>5.96</v>
      </c>
      <c r="U1453" s="65">
        <f>IFERROR(__xludf.DUMMYFUNCTION("""COMPUTED_VALUE"""),0.0)</f>
        <v>0</v>
      </c>
      <c r="V1453" s="65">
        <f>IFERROR(__xludf.DUMMYFUNCTION("""COMPUTED_VALUE"""),0.0)</f>
        <v>0</v>
      </c>
      <c r="W1453" s="65">
        <f>IFERROR(__xludf.DUMMYFUNCTION("""COMPUTED_VALUE"""),0.0)</f>
        <v>0</v>
      </c>
      <c r="X1453" s="65">
        <f>IFERROR(__xludf.DUMMYFUNCTION("""COMPUTED_VALUE"""),2.35)</f>
        <v>2.35</v>
      </c>
      <c r="Y1453" s="65">
        <f>IFERROR(__xludf.DUMMYFUNCTION("""COMPUTED_VALUE"""),4.7)</f>
        <v>4.7</v>
      </c>
      <c r="Z1453" s="65">
        <f>IFERROR(__xludf.DUMMYFUNCTION("""COMPUTED_VALUE"""),116679.0)</f>
        <v>116679</v>
      </c>
      <c r="AA1453" s="65" t="str">
        <f>IFERROR(__xludf.DUMMYFUNCTION("""COMPUTED_VALUE"""),"AMC-2738")</f>
        <v>AMC-2738</v>
      </c>
      <c r="AB1453" s="65"/>
      <c r="AC1453" s="65" t="str">
        <f>IFERROR(__xludf.DUMMYFUNCTION("""COMPUTED_VALUE"""),"ESPONJA ANTILLUVIA DE PARABRISAS")</f>
        <v>ESPONJA ANTILLUVIA DE PARABRISAS</v>
      </c>
      <c r="AD1453" s="65"/>
      <c r="AE1453" s="65">
        <f>IFERROR(__xludf.DUMMYFUNCTION("""COMPUTED_VALUE"""),2.0)</f>
        <v>2</v>
      </c>
      <c r="AF1453" s="65"/>
      <c r="AG1453" s="65"/>
      <c r="AH1453" s="65"/>
      <c r="AI1453" s="65"/>
      <c r="AJ1453" s="65"/>
      <c r="AK1453" s="65"/>
      <c r="AL1453" s="65"/>
      <c r="AM1453" s="65"/>
      <c r="AN1453" s="65"/>
      <c r="AO1453" s="65"/>
      <c r="AP1453" s="65"/>
      <c r="AQ1453" s="65"/>
      <c r="AR1453" s="65"/>
      <c r="AS1453" s="65"/>
      <c r="AT1453" s="65" t="str">
        <f>IFERROR(__xludf.DUMMYFUNCTION("""COMPUTED_VALUE"""),"SHOPIFY")</f>
        <v>SHOPIFY</v>
      </c>
      <c r="AU1453" s="65" t="str">
        <f>IFERROR(__xludf.DUMMYFUNCTION("""COMPUTED_VALUE"""),"IMPORTEX EC")</f>
        <v>IMPORTEX EC</v>
      </c>
      <c r="AV1453" s="65" t="str">
        <f>IFERROR(__xludf.DUMMYFUNCTION("""COMPUTED_VALUE"""),"6445244776492")</f>
        <v>6445244776492</v>
      </c>
      <c r="AW1453" s="65">
        <f>IFERROR(__xludf.DUMMYFUNCTION("""COMPUTED_VALUE"""),5487.0)</f>
        <v>5487</v>
      </c>
      <c r="AX1453" s="65"/>
      <c r="AY1453" s="65"/>
      <c r="AZ1453" s="65"/>
      <c r="BA1453" s="65"/>
    </row>
    <row r="1454">
      <c r="A1454" s="65" t="str">
        <f>IFERROR(__xludf.DUMMYFUNCTION("""COMPUTED_VALUE"""),"27-03-2026")</f>
        <v>27-03-2026</v>
      </c>
      <c r="B1454" s="65">
        <f>IFERROR(__xludf.DUMMYFUNCTION("""COMPUTED_VALUE"""),4267391.0)</f>
        <v>4267391</v>
      </c>
      <c r="C1454" s="65" t="str">
        <f>IFERROR(__xludf.DUMMYFUNCTION("""COMPUTED_VALUE"""),"21:41")</f>
        <v>21:41</v>
      </c>
      <c r="D1454" s="65" t="str">
        <f>IFERROR(__xludf.DUMMYFUNCTION("""COMPUTED_VALUE"""),"24-01-2026")</f>
        <v>24-01-2026</v>
      </c>
      <c r="E1454" s="65" t="str">
        <f>IFERROR(__xludf.DUMMYFUNCTION("""COMPUTED_VALUE"""),"Mario Narváez Narvaez")</f>
        <v>Mario Narváez Narvaez</v>
      </c>
      <c r="F1454" s="65" t="str">
        <f>IFERROR(__xludf.DUMMYFUNCTION("""COMPUTED_VALUE"""),"995769500")</f>
        <v>995769500</v>
      </c>
      <c r="G1454" s="65" t="str">
        <f>IFERROR(__xludf.DUMMYFUNCTION("""COMPUTED_VALUE"""),"mario@jimeil.com")</f>
        <v>mario@jimeil.com</v>
      </c>
      <c r="H1454" s="65"/>
      <c r="I1454" s="65"/>
      <c r="J1454" s="65"/>
      <c r="K1454" s="65" t="str">
        <f>IFERROR(__xludf.DUMMYFUNCTION("""COMPUTED_VALUE"""),"PENDIENTE CONFIRMACION")</f>
        <v>PENDIENTE CONFIRMACION</v>
      </c>
      <c r="L1454" s="65" t="str">
        <f>IFERROR(__xludf.DUMMYFUNCTION("""COMPUTED_VALUE"""),"CON RECAUDO")</f>
        <v>CON RECAUDO</v>
      </c>
      <c r="M1454" s="65" t="str">
        <f>IFERROR(__xludf.DUMMYFUNCTION("""COMPUTED_VALUE"""),"PICHINCHA")</f>
        <v>PICHINCHA</v>
      </c>
      <c r="N1454" s="65" t="str">
        <f>IFERROR(__xludf.DUMMYFUNCTION("""COMPUTED_VALUE"""),"GUAYLLABAMBA")</f>
        <v>GUAYLLABAMBA</v>
      </c>
      <c r="O1454" s="65" t="str">
        <f>IFERROR(__xludf.DUMMYFUNCTION("""COMPUTED_VALUE"""),"Av Simón Bolivar y 29 de Mayo Junto hostería el cano -")</f>
        <v>Av Simón Bolivar y 29 de Mayo Junto hostería el cano -</v>
      </c>
      <c r="P1454" s="65"/>
      <c r="Q1454" s="65" t="str">
        <f>IFERROR(__xludf.DUMMYFUNCTION("""COMPUTED_VALUE"""),"SERVIENTREGA")</f>
        <v>SERVIENTREGA</v>
      </c>
      <c r="R1454" s="65">
        <f>IFERROR(__xludf.DUMMYFUNCTION("""COMPUTED_VALUE"""),25.0)</f>
        <v>25</v>
      </c>
      <c r="S1454" s="65"/>
      <c r="T1454" s="65">
        <f>IFERROR(__xludf.DUMMYFUNCTION("""COMPUTED_VALUE"""),7.75)</f>
        <v>7.75</v>
      </c>
      <c r="U1454" s="65">
        <f>IFERROR(__xludf.DUMMYFUNCTION("""COMPUTED_VALUE"""),0.0)</f>
        <v>0</v>
      </c>
      <c r="V1454" s="65">
        <f>IFERROR(__xludf.DUMMYFUNCTION("""COMPUTED_VALUE"""),0.0)</f>
        <v>0</v>
      </c>
      <c r="W1454" s="65">
        <f>IFERROR(__xludf.DUMMYFUNCTION("""COMPUTED_VALUE"""),0.0)</f>
        <v>0</v>
      </c>
      <c r="X1454" s="65">
        <f>IFERROR(__xludf.DUMMYFUNCTION("""COMPUTED_VALUE"""),2.35)</f>
        <v>2.35</v>
      </c>
      <c r="Y1454" s="65">
        <f>IFERROR(__xludf.DUMMYFUNCTION("""COMPUTED_VALUE"""),4.7)</f>
        <v>4.7</v>
      </c>
      <c r="Z1454" s="65">
        <f>IFERROR(__xludf.DUMMYFUNCTION("""COMPUTED_VALUE"""),116679.0)</f>
        <v>116679</v>
      </c>
      <c r="AA1454" s="65" t="str">
        <f>IFERROR(__xludf.DUMMYFUNCTION("""COMPUTED_VALUE"""),"AMC-2738")</f>
        <v>AMC-2738</v>
      </c>
      <c r="AB1454" s="65"/>
      <c r="AC1454" s="65" t="str">
        <f>IFERROR(__xludf.DUMMYFUNCTION("""COMPUTED_VALUE"""),"ESPONJA ANTILLUVIA DE PARABRISAS")</f>
        <v>ESPONJA ANTILLUVIA DE PARABRISAS</v>
      </c>
      <c r="AD1454" s="65"/>
      <c r="AE1454" s="65">
        <f>IFERROR(__xludf.DUMMYFUNCTION("""COMPUTED_VALUE"""),2.0)</f>
        <v>2</v>
      </c>
      <c r="AF1454" s="65"/>
      <c r="AG1454" s="65"/>
      <c r="AH1454" s="65"/>
      <c r="AI1454" s="65"/>
      <c r="AJ1454" s="65"/>
      <c r="AK1454" s="65"/>
      <c r="AL1454" s="65"/>
      <c r="AM1454" s="65"/>
      <c r="AN1454" s="65"/>
      <c r="AO1454" s="65"/>
      <c r="AP1454" s="65"/>
      <c r="AQ1454" s="65"/>
      <c r="AR1454" s="65"/>
      <c r="AS1454" s="65"/>
      <c r="AT1454" s="65" t="str">
        <f>IFERROR(__xludf.DUMMYFUNCTION("""COMPUTED_VALUE"""),"SHOPIFY")</f>
        <v>SHOPIFY</v>
      </c>
      <c r="AU1454" s="65" t="str">
        <f>IFERROR(__xludf.DUMMYFUNCTION("""COMPUTED_VALUE"""),"IMPORTEX EC")</f>
        <v>IMPORTEX EC</v>
      </c>
      <c r="AV1454" s="65" t="str">
        <f>IFERROR(__xludf.DUMMYFUNCTION("""COMPUTED_VALUE"""),"6445198835756")</f>
        <v>6445198835756</v>
      </c>
      <c r="AW1454" s="65">
        <f>IFERROR(__xludf.DUMMYFUNCTION("""COMPUTED_VALUE"""),5486.0)</f>
        <v>5486</v>
      </c>
      <c r="AX1454" s="65"/>
      <c r="AY1454" s="65"/>
      <c r="AZ1454" s="65"/>
      <c r="BA1454" s="65"/>
    </row>
    <row r="1455">
      <c r="A1455" s="65" t="str">
        <f>IFERROR(__xludf.DUMMYFUNCTION("""COMPUTED_VALUE"""),"27-03-2026")</f>
        <v>27-03-2026</v>
      </c>
      <c r="B1455" s="65">
        <f>IFERROR(__xludf.DUMMYFUNCTION("""COMPUTED_VALUE"""),4267132.0)</f>
        <v>4267132</v>
      </c>
      <c r="C1455" s="65" t="str">
        <f>IFERROR(__xludf.DUMMYFUNCTION("""COMPUTED_VALUE"""),"21:13")</f>
        <v>21:13</v>
      </c>
      <c r="D1455" s="65" t="str">
        <f>IFERROR(__xludf.DUMMYFUNCTION("""COMPUTED_VALUE"""),"24-01-2026")</f>
        <v>24-01-2026</v>
      </c>
      <c r="E1455" s="65" t="str">
        <f>IFERROR(__xludf.DUMMYFUNCTION("""COMPUTED_VALUE"""),"Wilson murillo Murillo")</f>
        <v>Wilson murillo Murillo</v>
      </c>
      <c r="F1455" s="65" t="str">
        <f>IFERROR(__xludf.DUMMYFUNCTION("""COMPUTED_VALUE"""),"991715793")</f>
        <v>991715793</v>
      </c>
      <c r="G1455" s="65" t="str">
        <f>IFERROR(__xludf.DUMMYFUNCTION("""COMPUTED_VALUE"""),"wilsonicanormurillo81@gmail.com")</f>
        <v>wilsonicanormurillo81@gmail.com</v>
      </c>
      <c r="H1455" s="65"/>
      <c r="I1455" s="65"/>
      <c r="J1455" s="65"/>
      <c r="K1455" s="65" t="str">
        <f>IFERROR(__xludf.DUMMYFUNCTION("""COMPUTED_VALUE"""),"CANCELADO")</f>
        <v>CANCELADO</v>
      </c>
      <c r="L1455" s="65" t="str">
        <f>IFERROR(__xludf.DUMMYFUNCTION("""COMPUTED_VALUE"""),"CON RECAUDO")</f>
        <v>CON RECAUDO</v>
      </c>
      <c r="M1455" s="65" t="str">
        <f>IFERROR(__xludf.DUMMYFUNCTION("""COMPUTED_VALUE"""),"GUAYAS")</f>
        <v>GUAYAS</v>
      </c>
      <c r="N1455" s="65" t="str">
        <f>IFERROR(__xludf.DUMMYFUNCTION("""COMPUTED_VALUE"""),"SIMON BOLIVAR")</f>
        <v>SIMON BOLIVAR</v>
      </c>
      <c r="O1455" s="65" t="str">
        <f>IFERROR(__xludf.DUMMYFUNCTION("""COMPUTED_VALUE"""),"Simon bolivar oficina de Servi Entrega Simon  Bolivar -")</f>
        <v>Simon bolivar oficina de Servi Entrega Simon  Bolivar -</v>
      </c>
      <c r="P1455" s="65"/>
      <c r="Q1455" s="65" t="str">
        <f>IFERROR(__xludf.DUMMYFUNCTION("""COMPUTED_VALUE"""),"SERVIENTREGA")</f>
        <v>SERVIENTREGA</v>
      </c>
      <c r="R1455" s="65">
        <f>IFERROR(__xludf.DUMMYFUNCTION("""COMPUTED_VALUE"""),25.0)</f>
        <v>25</v>
      </c>
      <c r="S1455" s="65"/>
      <c r="T1455" s="65">
        <f>IFERROR(__xludf.DUMMYFUNCTION("""COMPUTED_VALUE"""),7.75)</f>
        <v>7.75</v>
      </c>
      <c r="U1455" s="65">
        <f>IFERROR(__xludf.DUMMYFUNCTION("""COMPUTED_VALUE"""),0.0)</f>
        <v>0</v>
      </c>
      <c r="V1455" s="65">
        <f>IFERROR(__xludf.DUMMYFUNCTION("""COMPUTED_VALUE"""),0.0)</f>
        <v>0</v>
      </c>
      <c r="W1455" s="65">
        <f>IFERROR(__xludf.DUMMYFUNCTION("""COMPUTED_VALUE"""),0.0)</f>
        <v>0</v>
      </c>
      <c r="X1455" s="65">
        <f>IFERROR(__xludf.DUMMYFUNCTION("""COMPUTED_VALUE"""),2.35)</f>
        <v>2.35</v>
      </c>
      <c r="Y1455" s="65">
        <f>IFERROR(__xludf.DUMMYFUNCTION("""COMPUTED_VALUE"""),4.7)</f>
        <v>4.7</v>
      </c>
      <c r="Z1455" s="65">
        <f>IFERROR(__xludf.DUMMYFUNCTION("""COMPUTED_VALUE"""),116679.0)</f>
        <v>116679</v>
      </c>
      <c r="AA1455" s="65" t="str">
        <f>IFERROR(__xludf.DUMMYFUNCTION("""COMPUTED_VALUE"""),"AMC-2738")</f>
        <v>AMC-2738</v>
      </c>
      <c r="AB1455" s="65"/>
      <c r="AC1455" s="65" t="str">
        <f>IFERROR(__xludf.DUMMYFUNCTION("""COMPUTED_VALUE"""),"ESPONJA ANTILLUVIA DE PARABRISAS")</f>
        <v>ESPONJA ANTILLUVIA DE PARABRISAS</v>
      </c>
      <c r="AD1455" s="65"/>
      <c r="AE1455" s="65">
        <f>IFERROR(__xludf.DUMMYFUNCTION("""COMPUTED_VALUE"""),2.0)</f>
        <v>2</v>
      </c>
      <c r="AF1455" s="65"/>
      <c r="AG1455" s="65"/>
      <c r="AH1455" s="65"/>
      <c r="AI1455" s="65"/>
      <c r="AJ1455" s="65"/>
      <c r="AK1455" s="65"/>
      <c r="AL1455" s="65"/>
      <c r="AM1455" s="65"/>
      <c r="AN1455" s="65"/>
      <c r="AO1455" s="65"/>
      <c r="AP1455" s="65"/>
      <c r="AQ1455" s="65"/>
      <c r="AR1455" s="65"/>
      <c r="AS1455" s="65"/>
      <c r="AT1455" s="65" t="str">
        <f>IFERROR(__xludf.DUMMYFUNCTION("""COMPUTED_VALUE"""),"SHOPIFY")</f>
        <v>SHOPIFY</v>
      </c>
      <c r="AU1455" s="65" t="str">
        <f>IFERROR(__xludf.DUMMYFUNCTION("""COMPUTED_VALUE"""),"IMPORTEX EC")</f>
        <v>IMPORTEX EC</v>
      </c>
      <c r="AV1455" s="65" t="str">
        <f>IFERROR(__xludf.DUMMYFUNCTION("""COMPUTED_VALUE"""),"6445137985580")</f>
        <v>6445137985580</v>
      </c>
      <c r="AW1455" s="65">
        <f>IFERROR(__xludf.DUMMYFUNCTION("""COMPUTED_VALUE"""),5485.0)</f>
        <v>5485</v>
      </c>
      <c r="AX1455" s="65"/>
      <c r="AY1455" s="65"/>
      <c r="AZ1455" s="65"/>
      <c r="BA1455" s="65"/>
    </row>
    <row r="1456">
      <c r="A1456" s="65" t="str">
        <f>IFERROR(__xludf.DUMMYFUNCTION("""COMPUTED_VALUE"""),"27-03-2026")</f>
        <v>27-03-2026</v>
      </c>
      <c r="B1456" s="65">
        <f>IFERROR(__xludf.DUMMYFUNCTION("""COMPUTED_VALUE"""),4266641.0)</f>
        <v>4266641</v>
      </c>
      <c r="C1456" s="65" t="str">
        <f>IFERROR(__xludf.DUMMYFUNCTION("""COMPUTED_VALUE"""),"20:17")</f>
        <v>20:17</v>
      </c>
      <c r="D1456" s="65" t="str">
        <f>IFERROR(__xludf.DUMMYFUNCTION("""COMPUTED_VALUE"""),"24-01-2026")</f>
        <v>24-01-2026</v>
      </c>
      <c r="E1456" s="65" t="str">
        <f>IFERROR(__xludf.DUMMYFUNCTION("""COMPUTED_VALUE"""),"Romel Abalco")</f>
        <v>Romel Abalco</v>
      </c>
      <c r="F1456" s="65" t="str">
        <f>IFERROR(__xludf.DUMMYFUNCTION("""COMPUTED_VALUE"""),"990328801")</f>
        <v>990328801</v>
      </c>
      <c r="G1456" s="65" t="str">
        <f>IFERROR(__xludf.DUMMYFUNCTION("""COMPUTED_VALUE"""),"romel.abalco.abalco@gmail.com")</f>
        <v>romel.abalco.abalco@gmail.com</v>
      </c>
      <c r="H1456" s="65"/>
      <c r="I1456" s="65"/>
      <c r="J1456" s="65" t="str">
        <f>IFERROR(__xludf.DUMMYFUNCTION("""COMPUTED_VALUE"""),"186537100")</f>
        <v>186537100</v>
      </c>
      <c r="K1456" s="65" t="str">
        <f>IFERROR(__xludf.DUMMYFUNCTION("""COMPUTED_VALUE"""),"DEVOLUCION")</f>
        <v>DEVOLUCION</v>
      </c>
      <c r="L1456" s="65" t="str">
        <f>IFERROR(__xludf.DUMMYFUNCTION("""COMPUTED_VALUE"""),"CON RECAUDO")</f>
        <v>CON RECAUDO</v>
      </c>
      <c r="M1456" s="65" t="str">
        <f>IFERROR(__xludf.DUMMYFUNCTION("""COMPUTED_VALUE"""),"PICHINCHA")</f>
        <v>PICHINCHA</v>
      </c>
      <c r="N1456" s="65" t="str">
        <f>IFERROR(__xludf.DUMMYFUNCTION("""COMPUTED_VALUE"""),"JUAN MONTALVO")</f>
        <v>JUAN MONTALVO</v>
      </c>
      <c r="O1456" s="65" t="str">
        <f>IFERROR(__xludf.DUMMYFUNCTION("""COMPUTED_VALUE"""),"CAYAMBE - Juan Montalvo - Calle 13 de Abril S1-09 y Calle 1 de Mayo - Ref. A 1 ½ de la Escuela Nasacota Puento -")</f>
        <v>CAYAMBE - Juan Montalvo - Calle 13 de Abril S1-09 y Calle 1 de Mayo - Ref. A 1 ½ de la Escuela Nasacota Puento -</v>
      </c>
      <c r="P1456" s="65"/>
      <c r="Q1456" s="65" t="str">
        <f>IFERROR(__xludf.DUMMYFUNCTION("""COMPUTED_VALUE"""),"SERVIENTREGA")</f>
        <v>SERVIENTREGA</v>
      </c>
      <c r="R1456" s="65">
        <f>IFERROR(__xludf.DUMMYFUNCTION("""COMPUTED_VALUE"""),30.0)</f>
        <v>30</v>
      </c>
      <c r="S1456" s="65"/>
      <c r="T1456" s="65">
        <f>IFERROR(__xludf.DUMMYFUNCTION("""COMPUTED_VALUE"""),7.82)</f>
        <v>7.82</v>
      </c>
      <c r="U1456" s="65">
        <f>IFERROR(__xludf.DUMMYFUNCTION("""COMPUTED_VALUE"""),0.0)</f>
        <v>0</v>
      </c>
      <c r="V1456" s="65">
        <f>IFERROR(__xludf.DUMMYFUNCTION("""COMPUTED_VALUE"""),0.0)</f>
        <v>0</v>
      </c>
      <c r="W1456" s="65">
        <f>IFERROR(__xludf.DUMMYFUNCTION("""COMPUTED_VALUE"""),0.0)</f>
        <v>0</v>
      </c>
      <c r="X1456" s="65">
        <f>IFERROR(__xludf.DUMMYFUNCTION("""COMPUTED_VALUE"""),2.35)</f>
        <v>2.35</v>
      </c>
      <c r="Y1456" s="65">
        <f>IFERROR(__xludf.DUMMYFUNCTION("""COMPUTED_VALUE"""),7.05)</f>
        <v>7.05</v>
      </c>
      <c r="Z1456" s="65">
        <f>IFERROR(__xludf.DUMMYFUNCTION("""COMPUTED_VALUE"""),116679.0)</f>
        <v>116679</v>
      </c>
      <c r="AA1456" s="65" t="str">
        <f>IFERROR(__xludf.DUMMYFUNCTION("""COMPUTED_VALUE"""),"AMC-2738")</f>
        <v>AMC-2738</v>
      </c>
      <c r="AB1456" s="65"/>
      <c r="AC1456" s="65" t="str">
        <f>IFERROR(__xludf.DUMMYFUNCTION("""COMPUTED_VALUE"""),"ESPONJA ANTILLUVIA DE PARABRISAS")</f>
        <v>ESPONJA ANTILLUVIA DE PARABRISAS</v>
      </c>
      <c r="AD1456" s="65"/>
      <c r="AE1456" s="65">
        <f>IFERROR(__xludf.DUMMYFUNCTION("""COMPUTED_VALUE"""),3.0)</f>
        <v>3</v>
      </c>
      <c r="AF1456" s="65" t="str">
        <f>IFERROR(__xludf.DUMMYFUNCTION("""COMPUTED_VALUE"""),"DEVOLUCION AL REMITENTE")</f>
        <v>DEVOLUCION AL REMITENTE</v>
      </c>
      <c r="AG1456" s="65" t="str">
        <f>IFERROR(__xludf.DUMMYFUNCTION("""COMPUTED_VALUE"""),"NO")</f>
        <v>NO</v>
      </c>
      <c r="AH1456" s="65" t="str">
        <f>IFERROR(__xludf.DUMMYFUNCTION("""COMPUTED_VALUE"""),"22:25")</f>
        <v>22:25</v>
      </c>
      <c r="AI1456" s="65" t="str">
        <f>IFERROR(__xludf.DUMMYFUNCTION("""COMPUTED_VALUE"""),"10-02-2026")</f>
        <v>10-02-2026</v>
      </c>
      <c r="AJ1456" s="65"/>
      <c r="AK1456" s="65"/>
      <c r="AL1456" s="65"/>
      <c r="AM1456" s="65"/>
      <c r="AN1456" s="65" t="str">
        <f>IFERROR(__xludf.DUMMYFUNCTION("""COMPUTED_VALUE"""),"22:31")</f>
        <v>22:31</v>
      </c>
      <c r="AO1456" s="65" t="str">
        <f>IFERROR(__xludf.DUMMYFUNCTION("""COMPUTED_VALUE"""),"10-02-2026")</f>
        <v>10-02-2026</v>
      </c>
      <c r="AP1456" s="65" t="str">
        <f>IFERROR(__xludf.DUMMYFUNCTION("""COMPUTED_VALUE"""),"DEVOLUCION AL REMITENTE")</f>
        <v>DEVOLUCION AL REMITENTE</v>
      </c>
      <c r="AQ1456" s="65" t="str">
        <f>IFERROR(__xludf.DUMMYFUNCTION("""COMPUTED_VALUE"""),"devolución al remitente Jefferson Proao")</f>
        <v>devolución al remitente Jefferson Proao</v>
      </c>
      <c r="AR1456" s="65"/>
      <c r="AS1456" s="65"/>
      <c r="AT1456" s="65" t="str">
        <f>IFERROR(__xludf.DUMMYFUNCTION("""COMPUTED_VALUE"""),"SHOPIFY")</f>
        <v>SHOPIFY</v>
      </c>
      <c r="AU1456" s="65" t="str">
        <f>IFERROR(__xludf.DUMMYFUNCTION("""COMPUTED_VALUE"""),"IMPORTEX EC")</f>
        <v>IMPORTEX EC</v>
      </c>
      <c r="AV1456" s="65" t="str">
        <f>IFERROR(__xludf.DUMMYFUNCTION("""COMPUTED_VALUE"""),"6445010321452")</f>
        <v>6445010321452</v>
      </c>
      <c r="AW1456" s="65">
        <f>IFERROR(__xludf.DUMMYFUNCTION("""COMPUTED_VALUE"""),5484.0)</f>
        <v>5484</v>
      </c>
      <c r="AX1456" s="65"/>
      <c r="AY1456" s="65" t="str">
        <f>IFERROR(__xludf.DUMMYFUNCTION("""COMPUTED_VALUE"""),"27/01/2026")</f>
        <v>27/01/2026</v>
      </c>
      <c r="AZ1456" s="65"/>
      <c r="BA1456" s="65"/>
    </row>
    <row r="1457">
      <c r="A1457" s="65" t="str">
        <f>IFERROR(__xludf.DUMMYFUNCTION("""COMPUTED_VALUE"""),"27-03-2026")</f>
        <v>27-03-2026</v>
      </c>
      <c r="B1457" s="65">
        <f>IFERROR(__xludf.DUMMYFUNCTION("""COMPUTED_VALUE"""),4266556.0)</f>
        <v>4266556</v>
      </c>
      <c r="C1457" s="65" t="str">
        <f>IFERROR(__xludf.DUMMYFUNCTION("""COMPUTED_VALUE"""),"20:08")</f>
        <v>20:08</v>
      </c>
      <c r="D1457" s="65" t="str">
        <f>IFERROR(__xludf.DUMMYFUNCTION("""COMPUTED_VALUE"""),"24-01-2026")</f>
        <v>24-01-2026</v>
      </c>
      <c r="E1457" s="65" t="str">
        <f>IFERROR(__xludf.DUMMYFUNCTION("""COMPUTED_VALUE"""),"Félix Xavier Vinueza Tutivem")</f>
        <v>Félix Xavier Vinueza Tutivem</v>
      </c>
      <c r="F1457" s="65" t="str">
        <f>IFERROR(__xludf.DUMMYFUNCTION("""COMPUTED_VALUE"""),"985028903")</f>
        <v>985028903</v>
      </c>
      <c r="G1457" s="65" t="str">
        <f>IFERROR(__xludf.DUMMYFUNCTION("""COMPUTED_VALUE"""),"chanchosurf2012@hotmail.com")</f>
        <v>chanchosurf2012@hotmail.com</v>
      </c>
      <c r="H1457" s="65"/>
      <c r="I1457" s="65"/>
      <c r="J1457" s="65" t="str">
        <f>IFERROR(__xludf.DUMMYFUNCTION("""COMPUTED_VALUE"""),"D001266731")</f>
        <v>D001266731</v>
      </c>
      <c r="K1457" s="65" t="str">
        <f>IFERROR(__xludf.DUMMYFUNCTION("""COMPUTED_VALUE"""),"ENTREGADO")</f>
        <v>ENTREGADO</v>
      </c>
      <c r="L1457" s="65" t="str">
        <f>IFERROR(__xludf.DUMMYFUNCTION("""COMPUTED_VALUE"""),"CON RECAUDO")</f>
        <v>CON RECAUDO</v>
      </c>
      <c r="M1457" s="65" t="str">
        <f>IFERROR(__xludf.DUMMYFUNCTION("""COMPUTED_VALUE"""),"GUAYAS")</f>
        <v>GUAYAS</v>
      </c>
      <c r="N1457" s="65" t="str">
        <f>IFERROR(__xludf.DUMMYFUNCTION("""COMPUTED_VALUE"""),"GUAYAQUIL")</f>
        <v>GUAYAQUIL</v>
      </c>
      <c r="O1457" s="65" t="str">
        <f>IFERROR(__xludf.DUMMYFUNCTION("""COMPUTED_VALUE"""),"Vía a la Costa Kilómetro 24 y CALLE Jaime Nebot Saadi - Junto al Peaje -")</f>
        <v>Vía a la Costa Kilómetro 24 y CALLE Jaime Nebot Saadi - Junto al Peaje -</v>
      </c>
      <c r="P1457" s="65"/>
      <c r="Q1457" s="65" t="str">
        <f>IFERROR(__xludf.DUMMYFUNCTION("""COMPUTED_VALUE"""),"GINTRACOM")</f>
        <v>GINTRACOM</v>
      </c>
      <c r="R1457" s="65">
        <f>IFERROR(__xludf.DUMMYFUNCTION("""COMPUTED_VALUE"""),25.0)</f>
        <v>25</v>
      </c>
      <c r="S1457" s="65">
        <f>IFERROR(__xludf.DUMMYFUNCTION("""COMPUTED_VALUE"""),14.34)</f>
        <v>14.34</v>
      </c>
      <c r="T1457" s="65">
        <f>IFERROR(__xludf.DUMMYFUNCTION("""COMPUTED_VALUE"""),5.96)</f>
        <v>5.96</v>
      </c>
      <c r="U1457" s="65">
        <f>IFERROR(__xludf.DUMMYFUNCTION("""COMPUTED_VALUE"""),0.0)</f>
        <v>0</v>
      </c>
      <c r="V1457" s="65">
        <f>IFERROR(__xludf.DUMMYFUNCTION("""COMPUTED_VALUE"""),0.0)</f>
        <v>0</v>
      </c>
      <c r="W1457" s="65">
        <f>IFERROR(__xludf.DUMMYFUNCTION("""COMPUTED_VALUE"""),0.0)</f>
        <v>0</v>
      </c>
      <c r="X1457" s="65">
        <f>IFERROR(__xludf.DUMMYFUNCTION("""COMPUTED_VALUE"""),2.35)</f>
        <v>2.35</v>
      </c>
      <c r="Y1457" s="65">
        <f>IFERROR(__xludf.DUMMYFUNCTION("""COMPUTED_VALUE"""),4.7)</f>
        <v>4.7</v>
      </c>
      <c r="Z1457" s="65">
        <f>IFERROR(__xludf.DUMMYFUNCTION("""COMPUTED_VALUE"""),116679.0)</f>
        <v>116679</v>
      </c>
      <c r="AA1457" s="65" t="str">
        <f>IFERROR(__xludf.DUMMYFUNCTION("""COMPUTED_VALUE"""),"AMC-2738")</f>
        <v>AMC-2738</v>
      </c>
      <c r="AB1457" s="65"/>
      <c r="AC1457" s="65" t="str">
        <f>IFERROR(__xludf.DUMMYFUNCTION("""COMPUTED_VALUE"""),"ESPONJA ANTILLUVIA DE PARABRISAS")</f>
        <v>ESPONJA ANTILLUVIA DE PARABRISAS</v>
      </c>
      <c r="AD1457" s="65"/>
      <c r="AE1457" s="65">
        <f>IFERROR(__xludf.DUMMYFUNCTION("""COMPUTED_VALUE"""),2.0)</f>
        <v>2</v>
      </c>
      <c r="AF1457" s="65"/>
      <c r="AG1457" s="65"/>
      <c r="AH1457" s="65"/>
      <c r="AI1457" s="65"/>
      <c r="AJ1457" s="65"/>
      <c r="AK1457" s="65"/>
      <c r="AL1457" s="65"/>
      <c r="AM1457" s="65"/>
      <c r="AN1457" s="65" t="str">
        <f>IFERROR(__xludf.DUMMYFUNCTION("""COMPUTED_VALUE"""),"17:19")</f>
        <v>17:19</v>
      </c>
      <c r="AO1457" s="65" t="str">
        <f>IFERROR(__xludf.DUMMYFUNCTION("""COMPUTED_VALUE"""),"27-01-2026")</f>
        <v>27-01-2026</v>
      </c>
      <c r="AP1457" s="65" t="str">
        <f>IFERROR(__xludf.DUMMYFUNCTION("""COMPUTED_VALUE"""),"EN TRÁNSITO")</f>
        <v>EN TRÁNSITO</v>
      </c>
      <c r="AQ1457" s="65" t="str">
        <f>IFERROR(__xludf.DUMMYFUNCTION("""COMPUTED_VALUE"""),"EN TRÁNSITO")</f>
        <v>EN TRÁNSITO</v>
      </c>
      <c r="AR1457" s="65"/>
      <c r="AS1457" s="65"/>
      <c r="AT1457" s="65" t="str">
        <f>IFERROR(__xludf.DUMMYFUNCTION("""COMPUTED_VALUE"""),"SHOPIFY")</f>
        <v>SHOPIFY</v>
      </c>
      <c r="AU1457" s="65" t="str">
        <f>IFERROR(__xludf.DUMMYFUNCTION("""COMPUTED_VALUE"""),"IMPORTEX EC")</f>
        <v>IMPORTEX EC</v>
      </c>
      <c r="AV1457" s="65" t="str">
        <f>IFERROR(__xludf.DUMMYFUNCTION("""COMPUTED_VALUE"""),"6444981944364")</f>
        <v>6444981944364</v>
      </c>
      <c r="AW1457" s="65">
        <f>IFERROR(__xludf.DUMMYFUNCTION("""COMPUTED_VALUE"""),5483.0)</f>
        <v>5483</v>
      </c>
      <c r="AX1457" s="65"/>
      <c r="AY1457" s="65" t="str">
        <f>IFERROR(__xludf.DUMMYFUNCTION("""COMPUTED_VALUE"""),"27/01/2026")</f>
        <v>27/01/2026</v>
      </c>
      <c r="AZ1457" s="65"/>
      <c r="BA1457" s="65"/>
    </row>
    <row r="1458">
      <c r="A1458" s="65" t="str">
        <f>IFERROR(__xludf.DUMMYFUNCTION("""COMPUTED_VALUE"""),"27-03-2026")</f>
        <v>27-03-2026</v>
      </c>
      <c r="B1458" s="65">
        <f>IFERROR(__xludf.DUMMYFUNCTION("""COMPUTED_VALUE"""),4266542.0)</f>
        <v>4266542</v>
      </c>
      <c r="C1458" s="65" t="str">
        <f>IFERROR(__xludf.DUMMYFUNCTION("""COMPUTED_VALUE"""),"20:07")</f>
        <v>20:07</v>
      </c>
      <c r="D1458" s="65" t="str">
        <f>IFERROR(__xludf.DUMMYFUNCTION("""COMPUTED_VALUE"""),"24-01-2026")</f>
        <v>24-01-2026</v>
      </c>
      <c r="E1458" s="65" t="str">
        <f>IFERROR(__xludf.DUMMYFUNCTION("""COMPUTED_VALUE"""),"Eduardo Maldonado")</f>
        <v>Eduardo Maldonado</v>
      </c>
      <c r="F1458" s="65" t="str">
        <f>IFERROR(__xludf.DUMMYFUNCTION("""COMPUTED_VALUE"""),"988456528")</f>
        <v>988456528</v>
      </c>
      <c r="G1458" s="65"/>
      <c r="H1458" s="65"/>
      <c r="I1458" s="65"/>
      <c r="J1458" s="65" t="str">
        <f>IFERROR(__xludf.DUMMYFUNCTION("""COMPUTED_VALUE"""),"D001266732")</f>
        <v>D001266732</v>
      </c>
      <c r="K1458" s="65" t="str">
        <f>IFERROR(__xludf.DUMMYFUNCTION("""COMPUTED_VALUE"""),"ENTREGADO")</f>
        <v>ENTREGADO</v>
      </c>
      <c r="L1458" s="65" t="str">
        <f>IFERROR(__xludf.DUMMYFUNCTION("""COMPUTED_VALUE"""),"CON RECAUDO")</f>
        <v>CON RECAUDO</v>
      </c>
      <c r="M1458" s="65" t="str">
        <f>IFERROR(__xludf.DUMMYFUNCTION("""COMPUTED_VALUE"""),"EL ORO")</f>
        <v>EL ORO</v>
      </c>
      <c r="N1458" s="65" t="str">
        <f>IFERROR(__xludf.DUMMYFUNCTION("""COMPUTED_VALUE"""),"MACHALA")</f>
        <v>MACHALA</v>
      </c>
      <c r="O1458" s="65" t="str">
        <f>IFERROR(__xludf.DUMMYFUNCTION("""COMPUTED_VALUE"""),"España y calicuchima Rayito de luz a la esquina del tuti")</f>
        <v>España y calicuchima Rayito de luz a la esquina del tuti</v>
      </c>
      <c r="P1458" s="65"/>
      <c r="Q1458" s="65" t="str">
        <f>IFERROR(__xludf.DUMMYFUNCTION("""COMPUTED_VALUE"""),"GINTRACOM")</f>
        <v>GINTRACOM</v>
      </c>
      <c r="R1458" s="65">
        <f>IFERROR(__xludf.DUMMYFUNCTION("""COMPUTED_VALUE"""),25.0)</f>
        <v>25</v>
      </c>
      <c r="S1458" s="65">
        <f>IFERROR(__xludf.DUMMYFUNCTION("""COMPUTED_VALUE"""),14.34)</f>
        <v>14.34</v>
      </c>
      <c r="T1458" s="65">
        <f>IFERROR(__xludf.DUMMYFUNCTION("""COMPUTED_VALUE"""),5.96)</f>
        <v>5.96</v>
      </c>
      <c r="U1458" s="65">
        <f>IFERROR(__xludf.DUMMYFUNCTION("""COMPUTED_VALUE"""),0.0)</f>
        <v>0</v>
      </c>
      <c r="V1458" s="65">
        <f>IFERROR(__xludf.DUMMYFUNCTION("""COMPUTED_VALUE"""),0.0)</f>
        <v>0</v>
      </c>
      <c r="W1458" s="65">
        <f>IFERROR(__xludf.DUMMYFUNCTION("""COMPUTED_VALUE"""),0.0)</f>
        <v>0</v>
      </c>
      <c r="X1458" s="65">
        <f>IFERROR(__xludf.DUMMYFUNCTION("""COMPUTED_VALUE"""),2.35)</f>
        <v>2.35</v>
      </c>
      <c r="Y1458" s="65">
        <f>IFERROR(__xludf.DUMMYFUNCTION("""COMPUTED_VALUE"""),4.7)</f>
        <v>4.7</v>
      </c>
      <c r="Z1458" s="65">
        <f>IFERROR(__xludf.DUMMYFUNCTION("""COMPUTED_VALUE"""),116679.0)</f>
        <v>116679</v>
      </c>
      <c r="AA1458" s="65" t="str">
        <f>IFERROR(__xludf.DUMMYFUNCTION("""COMPUTED_VALUE"""),"AMC-2738")</f>
        <v>AMC-2738</v>
      </c>
      <c r="AB1458" s="65"/>
      <c r="AC1458" s="65" t="str">
        <f>IFERROR(__xludf.DUMMYFUNCTION("""COMPUTED_VALUE"""),"ESPONJA ANTILLUVIA DE PARABRISAS")</f>
        <v>ESPONJA ANTILLUVIA DE PARABRISAS</v>
      </c>
      <c r="AD1458" s="65"/>
      <c r="AE1458" s="65">
        <f>IFERROR(__xludf.DUMMYFUNCTION("""COMPUTED_VALUE"""),2.0)</f>
        <v>2</v>
      </c>
      <c r="AF1458" s="65" t="str">
        <f>IFERROR(__xludf.DUMMYFUNCTION("""COMPUTED_VALUE"""),"DESTINATARIO NO CONTESTA LLAMADAS NI WHATSAPP")</f>
        <v>DESTINATARIO NO CONTESTA LLAMADAS NI WHATSAPP</v>
      </c>
      <c r="AG1458" s="65" t="str">
        <f>IFERROR(__xludf.DUMMYFUNCTION("""COMPUTED_VALUE"""),"NO")</f>
        <v>NO</v>
      </c>
      <c r="AH1458" s="65" t="str">
        <f>IFERROR(__xludf.DUMMYFUNCTION("""COMPUTED_VALUE"""),"09:00")</f>
        <v>09:00</v>
      </c>
      <c r="AI1458" s="65" t="str">
        <f>IFERROR(__xludf.DUMMYFUNCTION("""COMPUTED_VALUE"""),"03-02-2026")</f>
        <v>03-02-2026</v>
      </c>
      <c r="AJ1458" s="65"/>
      <c r="AK1458" s="65"/>
      <c r="AL1458" s="65"/>
      <c r="AM1458" s="65"/>
      <c r="AN1458" s="65" t="str">
        <f>IFERROR(__xludf.DUMMYFUNCTION("""COMPUTED_VALUE"""),"17:15")</f>
        <v>17:15</v>
      </c>
      <c r="AO1458" s="65" t="str">
        <f>IFERROR(__xludf.DUMMYFUNCTION("""COMPUTED_VALUE"""),"06-02-2026")</f>
        <v>06-02-2026</v>
      </c>
      <c r="AP1458" s="65" t="str">
        <f>IFERROR(__xludf.DUMMYFUNCTION("""COMPUTED_VALUE"""),"ENTREGADA GINTRACOM")</f>
        <v>ENTREGADA GINTRACOM</v>
      </c>
      <c r="AQ1458" s="65" t="str">
        <f>IFERROR(__xludf.DUMMYFUNCTION("""COMPUTED_VALUE"""),"ENTREGADA GINTRACOM")</f>
        <v>ENTREGADA GINTRACOM</v>
      </c>
      <c r="AR1458" s="65"/>
      <c r="AS1458" s="65"/>
      <c r="AT1458" s="65" t="str">
        <f>IFERROR(__xludf.DUMMYFUNCTION("""COMPUTED_VALUE"""),"SHOPIFY")</f>
        <v>SHOPIFY</v>
      </c>
      <c r="AU1458" s="65" t="str">
        <f>IFERROR(__xludf.DUMMYFUNCTION("""COMPUTED_VALUE"""),"IMPORTEX EC")</f>
        <v>IMPORTEX EC</v>
      </c>
      <c r="AV1458" s="65" t="str">
        <f>IFERROR(__xludf.DUMMYFUNCTION("""COMPUTED_VALUE"""),"6444978503724")</f>
        <v>6444978503724</v>
      </c>
      <c r="AW1458" s="65">
        <f>IFERROR(__xludf.DUMMYFUNCTION("""COMPUTED_VALUE"""),5482.0)</f>
        <v>5482</v>
      </c>
      <c r="AX1458" s="65"/>
      <c r="AY1458" s="65" t="str">
        <f>IFERROR(__xludf.DUMMYFUNCTION("""COMPUTED_VALUE"""),"27/01/2026")</f>
        <v>27/01/2026</v>
      </c>
      <c r="AZ1458" s="65"/>
      <c r="BA1458" s="65"/>
    </row>
    <row r="1459">
      <c r="A1459" s="65" t="str">
        <f>IFERROR(__xludf.DUMMYFUNCTION("""COMPUTED_VALUE"""),"27-03-2026")</f>
        <v>27-03-2026</v>
      </c>
      <c r="B1459" s="65">
        <f>IFERROR(__xludf.DUMMYFUNCTION("""COMPUTED_VALUE"""),4266245.0)</f>
        <v>4266245</v>
      </c>
      <c r="C1459" s="65" t="str">
        <f>IFERROR(__xludf.DUMMYFUNCTION("""COMPUTED_VALUE"""),"19:30")</f>
        <v>19:30</v>
      </c>
      <c r="D1459" s="65" t="str">
        <f>IFERROR(__xludf.DUMMYFUNCTION("""COMPUTED_VALUE"""),"24-01-2026")</f>
        <v>24-01-2026</v>
      </c>
      <c r="E1459" s="65" t="str">
        <f>IFERROR(__xludf.DUMMYFUNCTION("""COMPUTED_VALUE"""),"Leo Cedeño")</f>
        <v>Leo Cedeño</v>
      </c>
      <c r="F1459" s="65" t="str">
        <f>IFERROR(__xludf.DUMMYFUNCTION("""COMPUTED_VALUE"""),"993094670")</f>
        <v>993094670</v>
      </c>
      <c r="G1459" s="65" t="str">
        <f>IFERROR(__xludf.DUMMYFUNCTION("""COMPUTED_VALUE"""),"lescedlhcoa@gmail.com")</f>
        <v>lescedlhcoa@gmail.com</v>
      </c>
      <c r="H1459" s="65"/>
      <c r="I1459" s="65"/>
      <c r="J1459" s="65" t="str">
        <f>IFERROR(__xludf.DUMMYFUNCTION("""COMPUTED_VALUE"""),"D001266733")</f>
        <v>D001266733</v>
      </c>
      <c r="K1459" s="65" t="str">
        <f>IFERROR(__xludf.DUMMYFUNCTION("""COMPUTED_VALUE"""),"ENTREGADO")</f>
        <v>ENTREGADO</v>
      </c>
      <c r="L1459" s="65" t="str">
        <f>IFERROR(__xludf.DUMMYFUNCTION("""COMPUTED_VALUE"""),"CON RECAUDO")</f>
        <v>CON RECAUDO</v>
      </c>
      <c r="M1459" s="65" t="str">
        <f>IFERROR(__xludf.DUMMYFUNCTION("""COMPUTED_VALUE"""),"PICHINCHA")</f>
        <v>PICHINCHA</v>
      </c>
      <c r="N1459" s="65" t="str">
        <f>IFERROR(__xludf.DUMMYFUNCTION("""COMPUTED_VALUE"""),"QUITO")</f>
        <v>QUITO</v>
      </c>
      <c r="O1459" s="65" t="str">
        <f>IFERROR(__xludf.DUMMYFUNCTION("""COMPUTED_VALUE"""),"Tomas Roseau 15-90 y Gonzalo Escudero Monjas Orquídeas -")</f>
        <v>Tomas Roseau 15-90 y Gonzalo Escudero Monjas Orquídeas -</v>
      </c>
      <c r="P1459" s="65"/>
      <c r="Q1459" s="65" t="str">
        <f>IFERROR(__xludf.DUMMYFUNCTION("""COMPUTED_VALUE"""),"GINTRACOM")</f>
        <v>GINTRACOM</v>
      </c>
      <c r="R1459" s="65">
        <f>IFERROR(__xludf.DUMMYFUNCTION("""COMPUTED_VALUE"""),25.0)</f>
        <v>25</v>
      </c>
      <c r="S1459" s="65">
        <f>IFERROR(__xludf.DUMMYFUNCTION("""COMPUTED_VALUE"""),15.95)</f>
        <v>15.95</v>
      </c>
      <c r="T1459" s="65">
        <f>IFERROR(__xludf.DUMMYFUNCTION("""COMPUTED_VALUE"""),4.35)</f>
        <v>4.35</v>
      </c>
      <c r="U1459" s="65">
        <f>IFERROR(__xludf.DUMMYFUNCTION("""COMPUTED_VALUE"""),0.0)</f>
        <v>0</v>
      </c>
      <c r="V1459" s="65">
        <f>IFERROR(__xludf.DUMMYFUNCTION("""COMPUTED_VALUE"""),0.0)</f>
        <v>0</v>
      </c>
      <c r="W1459" s="65">
        <f>IFERROR(__xludf.DUMMYFUNCTION("""COMPUTED_VALUE"""),0.0)</f>
        <v>0</v>
      </c>
      <c r="X1459" s="65">
        <f>IFERROR(__xludf.DUMMYFUNCTION("""COMPUTED_VALUE"""),2.35)</f>
        <v>2.35</v>
      </c>
      <c r="Y1459" s="65">
        <f>IFERROR(__xludf.DUMMYFUNCTION("""COMPUTED_VALUE"""),4.7)</f>
        <v>4.7</v>
      </c>
      <c r="Z1459" s="65">
        <f>IFERROR(__xludf.DUMMYFUNCTION("""COMPUTED_VALUE"""),116679.0)</f>
        <v>116679</v>
      </c>
      <c r="AA1459" s="65" t="str">
        <f>IFERROR(__xludf.DUMMYFUNCTION("""COMPUTED_VALUE"""),"AMC-2738")</f>
        <v>AMC-2738</v>
      </c>
      <c r="AB1459" s="65"/>
      <c r="AC1459" s="65" t="str">
        <f>IFERROR(__xludf.DUMMYFUNCTION("""COMPUTED_VALUE"""),"ESPONJA ANTILLUVIA DE PARABRISAS")</f>
        <v>ESPONJA ANTILLUVIA DE PARABRISAS</v>
      </c>
      <c r="AD1459" s="65"/>
      <c r="AE1459" s="65">
        <f>IFERROR(__xludf.DUMMYFUNCTION("""COMPUTED_VALUE"""),2.0)</f>
        <v>2</v>
      </c>
      <c r="AF1459" s="65"/>
      <c r="AG1459" s="65"/>
      <c r="AH1459" s="65"/>
      <c r="AI1459" s="65"/>
      <c r="AJ1459" s="65"/>
      <c r="AK1459" s="65"/>
      <c r="AL1459" s="65"/>
      <c r="AM1459" s="65"/>
      <c r="AN1459" s="65" t="str">
        <f>IFERROR(__xludf.DUMMYFUNCTION("""COMPUTED_VALUE"""),"11:33")</f>
        <v>11:33</v>
      </c>
      <c r="AO1459" s="65" t="str">
        <f>IFERROR(__xludf.DUMMYFUNCTION("""COMPUTED_VALUE"""),"28-01-2026")</f>
        <v>28-01-2026</v>
      </c>
      <c r="AP1459" s="65" t="str">
        <f>IFERROR(__xludf.DUMMYFUNCTION("""COMPUTED_VALUE"""),"ENTREGADA GINTRACOM")</f>
        <v>ENTREGADA GINTRACOM</v>
      </c>
      <c r="AQ1459" s="65" t="str">
        <f>IFERROR(__xludf.DUMMYFUNCTION("""COMPUTED_VALUE"""),"ENTREGADA GINTRACOM")</f>
        <v>ENTREGADA GINTRACOM</v>
      </c>
      <c r="AR1459" s="65"/>
      <c r="AS1459" s="65"/>
      <c r="AT1459" s="65" t="str">
        <f>IFERROR(__xludf.DUMMYFUNCTION("""COMPUTED_VALUE"""),"SHOPIFY")</f>
        <v>SHOPIFY</v>
      </c>
      <c r="AU1459" s="65" t="str">
        <f>IFERROR(__xludf.DUMMYFUNCTION("""COMPUTED_VALUE"""),"IMPORTEX EC")</f>
        <v>IMPORTEX EC</v>
      </c>
      <c r="AV1459" s="65" t="str">
        <f>IFERROR(__xludf.DUMMYFUNCTION("""COMPUTED_VALUE"""),"6444896813100")</f>
        <v>6444896813100</v>
      </c>
      <c r="AW1459" s="65">
        <f>IFERROR(__xludf.DUMMYFUNCTION("""COMPUTED_VALUE"""),5481.0)</f>
        <v>5481</v>
      </c>
      <c r="AX1459" s="65"/>
      <c r="AY1459" s="65" t="str">
        <f>IFERROR(__xludf.DUMMYFUNCTION("""COMPUTED_VALUE"""),"27/01/2026")</f>
        <v>27/01/2026</v>
      </c>
      <c r="AZ1459" s="65"/>
      <c r="BA1459" s="65"/>
    </row>
    <row r="1460">
      <c r="A1460" s="65" t="str">
        <f>IFERROR(__xludf.DUMMYFUNCTION("""COMPUTED_VALUE"""),"27-03-2026")</f>
        <v>27-03-2026</v>
      </c>
      <c r="B1460" s="65">
        <f>IFERROR(__xludf.DUMMYFUNCTION("""COMPUTED_VALUE"""),4266159.0)</f>
        <v>4266159</v>
      </c>
      <c r="C1460" s="65" t="str">
        <f>IFERROR(__xludf.DUMMYFUNCTION("""COMPUTED_VALUE"""),"19:17")</f>
        <v>19:17</v>
      </c>
      <c r="D1460" s="65" t="str">
        <f>IFERROR(__xludf.DUMMYFUNCTION("""COMPUTED_VALUE"""),"24-01-2026")</f>
        <v>24-01-2026</v>
      </c>
      <c r="E1460" s="65" t="str">
        <f>IFERROR(__xludf.DUMMYFUNCTION("""COMPUTED_VALUE"""),"Edison Escobar")</f>
        <v>Edison Escobar</v>
      </c>
      <c r="F1460" s="65" t="str">
        <f>IFERROR(__xludf.DUMMYFUNCTION("""COMPUTED_VALUE"""),"980150167")</f>
        <v>980150167</v>
      </c>
      <c r="G1460" s="65" t="str">
        <f>IFERROR(__xludf.DUMMYFUNCTION("""COMPUTED_VALUE"""),"edyloboo@hotmail.com")</f>
        <v>edyloboo@hotmail.com</v>
      </c>
      <c r="H1460" s="65"/>
      <c r="I1460" s="65"/>
      <c r="J1460" s="65" t="str">
        <f>IFERROR(__xludf.DUMMYFUNCTION("""COMPUTED_VALUE"""),"D001266735")</f>
        <v>D001266735</v>
      </c>
      <c r="K1460" s="65" t="str">
        <f>IFERROR(__xludf.DUMMYFUNCTION("""COMPUTED_VALUE"""),"DEVOLUCION")</f>
        <v>DEVOLUCION</v>
      </c>
      <c r="L1460" s="65" t="str">
        <f>IFERROR(__xludf.DUMMYFUNCTION("""COMPUTED_VALUE"""),"CON RECAUDO")</f>
        <v>CON RECAUDO</v>
      </c>
      <c r="M1460" s="65" t="str">
        <f>IFERROR(__xludf.DUMMYFUNCTION("""COMPUTED_VALUE"""),"PICHINCHA")</f>
        <v>PICHINCHA</v>
      </c>
      <c r="N1460" s="65" t="str">
        <f>IFERROR(__xludf.DUMMYFUNCTION("""COMPUTED_VALUE"""),"QUITO")</f>
        <v>QUITO</v>
      </c>
      <c r="O1460" s="65" t="str">
        <f>IFERROR(__xludf.DUMMYFUNCTION("""COMPUTED_VALUE"""),"Sector Chaguarquingo - Calle S7E y Calle Francisco Olmos - Ref. Tras el estadio")</f>
        <v>Sector Chaguarquingo - Calle S7E y Calle Francisco Olmos - Ref. Tras el estadio</v>
      </c>
      <c r="P1460" s="65"/>
      <c r="Q1460" s="65" t="str">
        <f>IFERROR(__xludf.DUMMYFUNCTION("""COMPUTED_VALUE"""),"GINTRACOM")</f>
        <v>GINTRACOM</v>
      </c>
      <c r="R1460" s="65">
        <f>IFERROR(__xludf.DUMMYFUNCTION("""COMPUTED_VALUE"""),30.0)</f>
        <v>30</v>
      </c>
      <c r="S1460" s="65"/>
      <c r="T1460" s="65">
        <f>IFERROR(__xludf.DUMMYFUNCTION("""COMPUTED_VALUE"""),4.55)</f>
        <v>4.55</v>
      </c>
      <c r="U1460" s="65">
        <f>IFERROR(__xludf.DUMMYFUNCTION("""COMPUTED_VALUE"""),0.0)</f>
        <v>0</v>
      </c>
      <c r="V1460" s="65">
        <f>IFERROR(__xludf.DUMMYFUNCTION("""COMPUTED_VALUE"""),0.0)</f>
        <v>0</v>
      </c>
      <c r="W1460" s="65">
        <f>IFERROR(__xludf.DUMMYFUNCTION("""COMPUTED_VALUE"""),0.0)</f>
        <v>0</v>
      </c>
      <c r="X1460" s="65">
        <f>IFERROR(__xludf.DUMMYFUNCTION("""COMPUTED_VALUE"""),2.35)</f>
        <v>2.35</v>
      </c>
      <c r="Y1460" s="65">
        <f>IFERROR(__xludf.DUMMYFUNCTION("""COMPUTED_VALUE"""),7.05)</f>
        <v>7.05</v>
      </c>
      <c r="Z1460" s="65">
        <f>IFERROR(__xludf.DUMMYFUNCTION("""COMPUTED_VALUE"""),116679.0)</f>
        <v>116679</v>
      </c>
      <c r="AA1460" s="65" t="str">
        <f>IFERROR(__xludf.DUMMYFUNCTION("""COMPUTED_VALUE"""),"AMC-2738")</f>
        <v>AMC-2738</v>
      </c>
      <c r="AB1460" s="65"/>
      <c r="AC1460" s="65" t="str">
        <f>IFERROR(__xludf.DUMMYFUNCTION("""COMPUTED_VALUE"""),"ESPONJA ANTILLUVIA DE PARABRISAS")</f>
        <v>ESPONJA ANTILLUVIA DE PARABRISAS</v>
      </c>
      <c r="AD1460" s="65"/>
      <c r="AE1460" s="65">
        <f>IFERROR(__xludf.DUMMYFUNCTION("""COMPUTED_VALUE"""),3.0)</f>
        <v>3</v>
      </c>
      <c r="AF1460" s="65" t="str">
        <f>IFERROR(__xludf.DUMMYFUNCTION("""COMPUTED_VALUE"""),"DESTINATARIO NO CONTESTA LLAMADAS NI WHATSAPP")</f>
        <v>DESTINATARIO NO CONTESTA LLAMADAS NI WHATSAPP</v>
      </c>
      <c r="AG1460" s="65" t="str">
        <f>IFERROR(__xludf.DUMMYFUNCTION("""COMPUTED_VALUE"""),"NO")</f>
        <v>NO</v>
      </c>
      <c r="AH1460" s="65" t="str">
        <f>IFERROR(__xludf.DUMMYFUNCTION("""COMPUTED_VALUE"""),"09:00")</f>
        <v>09:00</v>
      </c>
      <c r="AI1460" s="65" t="str">
        <f>IFERROR(__xludf.DUMMYFUNCTION("""COMPUTED_VALUE"""),"05-02-2026")</f>
        <v>05-02-2026</v>
      </c>
      <c r="AJ1460" s="65"/>
      <c r="AK1460" s="65"/>
      <c r="AL1460" s="65"/>
      <c r="AM1460" s="65"/>
      <c r="AN1460" s="65" t="str">
        <f>IFERROR(__xludf.DUMMYFUNCTION("""COMPUTED_VALUE"""),"13:18")</f>
        <v>13:18</v>
      </c>
      <c r="AO1460" s="65" t="str">
        <f>IFERROR(__xludf.DUMMYFUNCTION("""COMPUTED_VALUE"""),"17-02-2026")</f>
        <v>17-02-2026</v>
      </c>
      <c r="AP1460" s="65" t="str">
        <f>IFERROR(__xludf.DUMMYFUNCTION("""COMPUTED_VALUE"""),"DEVOLUCIÓN ENTREGADA A ORIGEN")</f>
        <v>DEVOLUCIÓN ENTREGADA A ORIGEN</v>
      </c>
      <c r="AQ1460" s="65" t="str">
        <f>IFERROR(__xludf.DUMMYFUNCTION("""COMPUTED_VALUE"""),"DEVOLUCIÓN ENTREGADA A ORIGEN")</f>
        <v>DEVOLUCIÓN ENTREGADA A ORIGEN</v>
      </c>
      <c r="AR1460" s="65"/>
      <c r="AS1460" s="65"/>
      <c r="AT1460" s="65" t="str">
        <f>IFERROR(__xludf.DUMMYFUNCTION("""COMPUTED_VALUE"""),"SHOPIFY")</f>
        <v>SHOPIFY</v>
      </c>
      <c r="AU1460" s="65" t="str">
        <f>IFERROR(__xludf.DUMMYFUNCTION("""COMPUTED_VALUE"""),"IMPORTEX EC")</f>
        <v>IMPORTEX EC</v>
      </c>
      <c r="AV1460" s="65" t="str">
        <f>IFERROR(__xludf.DUMMYFUNCTION("""COMPUTED_VALUE"""),"6444870336556")</f>
        <v>6444870336556</v>
      </c>
      <c r="AW1460" s="65">
        <f>IFERROR(__xludf.DUMMYFUNCTION("""COMPUTED_VALUE"""),5480.0)</f>
        <v>5480</v>
      </c>
      <c r="AX1460" s="65"/>
      <c r="AY1460" s="65" t="str">
        <f>IFERROR(__xludf.DUMMYFUNCTION("""COMPUTED_VALUE"""),"27/01/2026")</f>
        <v>27/01/2026</v>
      </c>
      <c r="AZ1460" s="65"/>
      <c r="BA1460" s="65"/>
    </row>
    <row r="1461">
      <c r="A1461" s="65" t="str">
        <f>IFERROR(__xludf.DUMMYFUNCTION("""COMPUTED_VALUE"""),"27-03-2026")</f>
        <v>27-03-2026</v>
      </c>
      <c r="B1461" s="65">
        <f>IFERROR(__xludf.DUMMYFUNCTION("""COMPUTED_VALUE"""),4266069.0)</f>
        <v>4266069</v>
      </c>
      <c r="C1461" s="65" t="str">
        <f>IFERROR(__xludf.DUMMYFUNCTION("""COMPUTED_VALUE"""),"19:05")</f>
        <v>19:05</v>
      </c>
      <c r="D1461" s="65" t="str">
        <f>IFERROR(__xludf.DUMMYFUNCTION("""COMPUTED_VALUE"""),"24-01-2026")</f>
        <v>24-01-2026</v>
      </c>
      <c r="E1461" s="65" t="str">
        <f>IFERROR(__xludf.DUMMYFUNCTION("""COMPUTED_VALUE"""),"Luís Vinicio Cabezas Luna")</f>
        <v>Luís Vinicio Cabezas Luna</v>
      </c>
      <c r="F1461" s="65" t="str">
        <f>IFERROR(__xludf.DUMMYFUNCTION("""COMPUTED_VALUE"""),"983163246")</f>
        <v>983163246</v>
      </c>
      <c r="G1461" s="65" t="str">
        <f>IFERROR(__xludf.DUMMYFUNCTION("""COMPUTED_VALUE"""),"cvinicio2025@yahoo.com")</f>
        <v>cvinicio2025@yahoo.com</v>
      </c>
      <c r="H1461" s="65"/>
      <c r="I1461" s="65"/>
      <c r="J1461" s="65"/>
      <c r="K1461" s="65" t="str">
        <f>IFERROR(__xludf.DUMMYFUNCTION("""COMPUTED_VALUE"""),"CANCELADO")</f>
        <v>CANCELADO</v>
      </c>
      <c r="L1461" s="65" t="str">
        <f>IFERROR(__xludf.DUMMYFUNCTION("""COMPUTED_VALUE"""),"CON RECAUDO")</f>
        <v>CON RECAUDO</v>
      </c>
      <c r="M1461" s="65" t="str">
        <f>IFERROR(__xludf.DUMMYFUNCTION("""COMPUTED_VALUE"""),"CHIMBORAZO")</f>
        <v>CHIMBORAZO</v>
      </c>
      <c r="N1461" s="65" t="str">
        <f>IFERROR(__xludf.DUMMYFUNCTION("""COMPUTED_VALUE"""),"CHUNCHI")</f>
        <v>CHUNCHI</v>
      </c>
      <c r="O1461" s="65" t="str">
        <f>IFERROR(__xludf.DUMMYFUNCTION("""COMPUTED_VALUE"""),"CHUNCHI Frente parque santo domingo -")</f>
        <v>CHUNCHI Frente parque santo domingo -</v>
      </c>
      <c r="P1461" s="65"/>
      <c r="Q1461" s="65" t="str">
        <f>IFERROR(__xludf.DUMMYFUNCTION("""COMPUTED_VALUE"""),"SERVIENTREGA")</f>
        <v>SERVIENTREGA</v>
      </c>
      <c r="R1461" s="65">
        <f>IFERROR(__xludf.DUMMYFUNCTION("""COMPUTED_VALUE"""),20.0)</f>
        <v>20</v>
      </c>
      <c r="S1461" s="65"/>
      <c r="T1461" s="65">
        <f>IFERROR(__xludf.DUMMYFUNCTION("""COMPUTED_VALUE"""),7.67)</f>
        <v>7.67</v>
      </c>
      <c r="U1461" s="65">
        <f>IFERROR(__xludf.DUMMYFUNCTION("""COMPUTED_VALUE"""),0.0)</f>
        <v>0</v>
      </c>
      <c r="V1461" s="65">
        <f>IFERROR(__xludf.DUMMYFUNCTION("""COMPUTED_VALUE"""),0.0)</f>
        <v>0</v>
      </c>
      <c r="W1461" s="65">
        <f>IFERROR(__xludf.DUMMYFUNCTION("""COMPUTED_VALUE"""),0.0)</f>
        <v>0</v>
      </c>
      <c r="X1461" s="65">
        <f>IFERROR(__xludf.DUMMYFUNCTION("""COMPUTED_VALUE"""),2.35)</f>
        <v>2.35</v>
      </c>
      <c r="Y1461" s="65">
        <f>IFERROR(__xludf.DUMMYFUNCTION("""COMPUTED_VALUE"""),2.35)</f>
        <v>2.35</v>
      </c>
      <c r="Z1461" s="65">
        <f>IFERROR(__xludf.DUMMYFUNCTION("""COMPUTED_VALUE"""),116679.0)</f>
        <v>116679</v>
      </c>
      <c r="AA1461" s="65" t="str">
        <f>IFERROR(__xludf.DUMMYFUNCTION("""COMPUTED_VALUE"""),"AMC-2738")</f>
        <v>AMC-2738</v>
      </c>
      <c r="AB1461" s="65"/>
      <c r="AC1461" s="65" t="str">
        <f>IFERROR(__xludf.DUMMYFUNCTION("""COMPUTED_VALUE"""),"ESPONJA ANTILLUVIA DE PARABRISAS")</f>
        <v>ESPONJA ANTILLUVIA DE PARABRISAS</v>
      </c>
      <c r="AD1461" s="65"/>
      <c r="AE1461" s="65">
        <f>IFERROR(__xludf.DUMMYFUNCTION("""COMPUTED_VALUE"""),1.0)</f>
        <v>1</v>
      </c>
      <c r="AF1461" s="65"/>
      <c r="AG1461" s="65"/>
      <c r="AH1461" s="65"/>
      <c r="AI1461" s="65"/>
      <c r="AJ1461" s="65"/>
      <c r="AK1461" s="65"/>
      <c r="AL1461" s="65"/>
      <c r="AM1461" s="65"/>
      <c r="AN1461" s="65"/>
      <c r="AO1461" s="65"/>
      <c r="AP1461" s="65"/>
      <c r="AQ1461" s="65"/>
      <c r="AR1461" s="65"/>
      <c r="AS1461" s="65"/>
      <c r="AT1461" s="65" t="str">
        <f>IFERROR(__xludf.DUMMYFUNCTION("""COMPUTED_VALUE"""),"SHOPIFY")</f>
        <v>SHOPIFY</v>
      </c>
      <c r="AU1461" s="65" t="str">
        <f>IFERROR(__xludf.DUMMYFUNCTION("""COMPUTED_VALUE"""),"IMPORTEX EC")</f>
        <v>IMPORTEX EC</v>
      </c>
      <c r="AV1461" s="65" t="str">
        <f>IFERROR(__xludf.DUMMYFUNCTION("""COMPUTED_VALUE"""),"6444847104044")</f>
        <v>6444847104044</v>
      </c>
      <c r="AW1461" s="65">
        <f>IFERROR(__xludf.DUMMYFUNCTION("""COMPUTED_VALUE"""),5479.0)</f>
        <v>5479</v>
      </c>
      <c r="AX1461" s="65"/>
      <c r="AY1461" s="65"/>
      <c r="AZ1461" s="65"/>
      <c r="BA1461" s="65"/>
    </row>
    <row r="1462">
      <c r="A1462" s="65" t="str">
        <f>IFERROR(__xludf.DUMMYFUNCTION("""COMPUTED_VALUE"""),"27-03-2026")</f>
        <v>27-03-2026</v>
      </c>
      <c r="B1462" s="65">
        <f>IFERROR(__xludf.DUMMYFUNCTION("""COMPUTED_VALUE"""),4265752.0)</f>
        <v>4265752</v>
      </c>
      <c r="C1462" s="65" t="str">
        <f>IFERROR(__xludf.DUMMYFUNCTION("""COMPUTED_VALUE"""),"18:24")</f>
        <v>18:24</v>
      </c>
      <c r="D1462" s="65" t="str">
        <f>IFERROR(__xludf.DUMMYFUNCTION("""COMPUTED_VALUE"""),"24-01-2026")</f>
        <v>24-01-2026</v>
      </c>
      <c r="E1462" s="65" t="str">
        <f>IFERROR(__xludf.DUMMYFUNCTION("""COMPUTED_VALUE"""),"Klever Guerrero")</f>
        <v>Klever Guerrero</v>
      </c>
      <c r="F1462" s="65" t="str">
        <f>IFERROR(__xludf.DUMMYFUNCTION("""COMPUTED_VALUE"""),"999844564")</f>
        <v>999844564</v>
      </c>
      <c r="G1462" s="65" t="str">
        <f>IFERROR(__xludf.DUMMYFUNCTION("""COMPUTED_VALUE"""),"kleverguerrero1@gmail.com")</f>
        <v>kleverguerrero1@gmail.com</v>
      </c>
      <c r="H1462" s="65"/>
      <c r="I1462" s="65"/>
      <c r="J1462" s="65" t="str">
        <f>IFERROR(__xludf.DUMMYFUNCTION("""COMPUTED_VALUE"""),"D001266736")</f>
        <v>D001266736</v>
      </c>
      <c r="K1462" s="65" t="str">
        <f>IFERROR(__xludf.DUMMYFUNCTION("""COMPUTED_VALUE"""),"DEVOLUCION")</f>
        <v>DEVOLUCION</v>
      </c>
      <c r="L1462" s="65" t="str">
        <f>IFERROR(__xludf.DUMMYFUNCTION("""COMPUTED_VALUE"""),"CON RECAUDO")</f>
        <v>CON RECAUDO</v>
      </c>
      <c r="M1462" s="65" t="str">
        <f>IFERROR(__xludf.DUMMYFUNCTION("""COMPUTED_VALUE"""),"PICHINCHA")</f>
        <v>PICHINCHA</v>
      </c>
      <c r="N1462" s="65" t="str">
        <f>IFERROR(__xludf.DUMMYFUNCTION("""COMPUTED_VALUE"""),"SANGOLQUI")</f>
        <v>SANGOLQUI</v>
      </c>
      <c r="O1462" s="65" t="str">
        <f>IFERROR(__xludf.DUMMYFUNCTION("""COMPUTED_VALUE"""),"Calle R y calle M Sector el Rancho Sangolquí -")</f>
        <v>Calle R y calle M Sector el Rancho Sangolquí -</v>
      </c>
      <c r="P1462" s="65"/>
      <c r="Q1462" s="65" t="str">
        <f>IFERROR(__xludf.DUMMYFUNCTION("""COMPUTED_VALUE"""),"GINTRACOM")</f>
        <v>GINTRACOM</v>
      </c>
      <c r="R1462" s="65">
        <f>IFERROR(__xludf.DUMMYFUNCTION("""COMPUTED_VALUE"""),20.0)</f>
        <v>20</v>
      </c>
      <c r="S1462" s="65"/>
      <c r="T1462" s="65">
        <f>IFERROR(__xludf.DUMMYFUNCTION("""COMPUTED_VALUE"""),4.72)</f>
        <v>4.72</v>
      </c>
      <c r="U1462" s="65">
        <f>IFERROR(__xludf.DUMMYFUNCTION("""COMPUTED_VALUE"""),0.0)</f>
        <v>0</v>
      </c>
      <c r="V1462" s="65">
        <f>IFERROR(__xludf.DUMMYFUNCTION("""COMPUTED_VALUE"""),0.0)</f>
        <v>0</v>
      </c>
      <c r="W1462" s="65">
        <f>IFERROR(__xludf.DUMMYFUNCTION("""COMPUTED_VALUE"""),0.0)</f>
        <v>0</v>
      </c>
      <c r="X1462" s="65">
        <f>IFERROR(__xludf.DUMMYFUNCTION("""COMPUTED_VALUE"""),2.35)</f>
        <v>2.35</v>
      </c>
      <c r="Y1462" s="65">
        <f>IFERROR(__xludf.DUMMYFUNCTION("""COMPUTED_VALUE"""),2.35)</f>
        <v>2.35</v>
      </c>
      <c r="Z1462" s="65">
        <f>IFERROR(__xludf.DUMMYFUNCTION("""COMPUTED_VALUE"""),116679.0)</f>
        <v>116679</v>
      </c>
      <c r="AA1462" s="65" t="str">
        <f>IFERROR(__xludf.DUMMYFUNCTION("""COMPUTED_VALUE"""),"AMC-2738")</f>
        <v>AMC-2738</v>
      </c>
      <c r="AB1462" s="65"/>
      <c r="AC1462" s="65" t="str">
        <f>IFERROR(__xludf.DUMMYFUNCTION("""COMPUTED_VALUE"""),"ESPONJA ANTILLUVIA DE PARABRISAS")</f>
        <v>ESPONJA ANTILLUVIA DE PARABRISAS</v>
      </c>
      <c r="AD1462" s="65"/>
      <c r="AE1462" s="65">
        <f>IFERROR(__xludf.DUMMYFUNCTION("""COMPUTED_VALUE"""),1.0)</f>
        <v>1</v>
      </c>
      <c r="AF1462" s="65" t="str">
        <f>IFERROR(__xludf.DUMMYFUNCTION("""COMPUTED_VALUE"""),"DESTINATARIO INDICA QUE YA NO DESEA EL PRODUCTO")</f>
        <v>DESTINATARIO INDICA QUE YA NO DESEA EL PRODUCTO</v>
      </c>
      <c r="AG1462" s="65" t="str">
        <f>IFERROR(__xludf.DUMMYFUNCTION("""COMPUTED_VALUE"""),"NO")</f>
        <v>NO</v>
      </c>
      <c r="AH1462" s="65" t="str">
        <f>IFERROR(__xludf.DUMMYFUNCTION("""COMPUTED_VALUE"""),"09:48")</f>
        <v>09:48</v>
      </c>
      <c r="AI1462" s="65" t="str">
        <f>IFERROR(__xludf.DUMMYFUNCTION("""COMPUTED_VALUE"""),"02-02-2026")</f>
        <v>02-02-2026</v>
      </c>
      <c r="AJ1462" s="65"/>
      <c r="AK1462" s="65"/>
      <c r="AL1462" s="65"/>
      <c r="AM1462" s="65"/>
      <c r="AN1462" s="65" t="str">
        <f>IFERROR(__xludf.DUMMYFUNCTION("""COMPUTED_VALUE"""),"13:18")</f>
        <v>13:18</v>
      </c>
      <c r="AO1462" s="65" t="str">
        <f>IFERROR(__xludf.DUMMYFUNCTION("""COMPUTED_VALUE"""),"17-02-2026")</f>
        <v>17-02-2026</v>
      </c>
      <c r="AP1462" s="65" t="str">
        <f>IFERROR(__xludf.DUMMYFUNCTION("""COMPUTED_VALUE"""),"DEVOLUCIÓN ENTREGADA A ORIGEN")</f>
        <v>DEVOLUCIÓN ENTREGADA A ORIGEN</v>
      </c>
      <c r="AQ1462" s="65" t="str">
        <f>IFERROR(__xludf.DUMMYFUNCTION("""COMPUTED_VALUE"""),"DEVOLUCIÓN ENTREGADA A ORIGEN")</f>
        <v>DEVOLUCIÓN ENTREGADA A ORIGEN</v>
      </c>
      <c r="AR1462" s="65"/>
      <c r="AS1462" s="65"/>
      <c r="AT1462" s="65" t="str">
        <f>IFERROR(__xludf.DUMMYFUNCTION("""COMPUTED_VALUE"""),"SHOPIFY")</f>
        <v>SHOPIFY</v>
      </c>
      <c r="AU1462" s="65" t="str">
        <f>IFERROR(__xludf.DUMMYFUNCTION("""COMPUTED_VALUE"""),"IMPORTEX EC")</f>
        <v>IMPORTEX EC</v>
      </c>
      <c r="AV1462" s="65" t="str">
        <f>IFERROR(__xludf.DUMMYFUNCTION("""COMPUTED_VALUE"""),"6444749389868")</f>
        <v>6444749389868</v>
      </c>
      <c r="AW1462" s="65">
        <f>IFERROR(__xludf.DUMMYFUNCTION("""COMPUTED_VALUE"""),5478.0)</f>
        <v>5478</v>
      </c>
      <c r="AX1462" s="65"/>
      <c r="AY1462" s="65" t="str">
        <f>IFERROR(__xludf.DUMMYFUNCTION("""COMPUTED_VALUE"""),"27/01/2026")</f>
        <v>27/01/2026</v>
      </c>
      <c r="AZ1462" s="65"/>
      <c r="BA1462" s="65"/>
    </row>
    <row r="1463">
      <c r="A1463" s="65" t="str">
        <f>IFERROR(__xludf.DUMMYFUNCTION("""COMPUTED_VALUE"""),"27-03-2026")</f>
        <v>27-03-2026</v>
      </c>
      <c r="B1463" s="65">
        <f>IFERROR(__xludf.DUMMYFUNCTION("""COMPUTED_VALUE"""),4265681.0)</f>
        <v>4265681</v>
      </c>
      <c r="C1463" s="65" t="str">
        <f>IFERROR(__xludf.DUMMYFUNCTION("""COMPUTED_VALUE"""),"18:12")</f>
        <v>18:12</v>
      </c>
      <c r="D1463" s="65" t="str">
        <f>IFERROR(__xludf.DUMMYFUNCTION("""COMPUTED_VALUE"""),"24-01-2026")</f>
        <v>24-01-2026</v>
      </c>
      <c r="E1463" s="65" t="str">
        <f>IFERROR(__xludf.DUMMYFUNCTION("""COMPUTED_VALUE"""),"Milton Antonio parrales anchundia")</f>
        <v>Milton Antonio parrales anchundia</v>
      </c>
      <c r="F1463" s="65" t="str">
        <f>IFERROR(__xludf.DUMMYFUNCTION("""COMPUTED_VALUE"""),"995007105")</f>
        <v>995007105</v>
      </c>
      <c r="G1463" s="65" t="str">
        <f>IFERROR(__xludf.DUMMYFUNCTION("""COMPUTED_VALUE"""),"mltnparrales@gmail.com")</f>
        <v>mltnparrales@gmail.com</v>
      </c>
      <c r="H1463" s="65"/>
      <c r="I1463" s="65"/>
      <c r="J1463" s="65" t="str">
        <f>IFERROR(__xludf.DUMMYFUNCTION("""COMPUTED_VALUE"""),"D001266738")</f>
        <v>D001266738</v>
      </c>
      <c r="K1463" s="65" t="str">
        <f>IFERROR(__xludf.DUMMYFUNCTION("""COMPUTED_VALUE"""),"ENTREGADO")</f>
        <v>ENTREGADO</v>
      </c>
      <c r="L1463" s="65" t="str">
        <f>IFERROR(__xludf.DUMMYFUNCTION("""COMPUTED_VALUE"""),"CON RECAUDO")</f>
        <v>CON RECAUDO</v>
      </c>
      <c r="M1463" s="65" t="str">
        <f>IFERROR(__xludf.DUMMYFUNCTION("""COMPUTED_VALUE"""),"MANABI")</f>
        <v>MANABI</v>
      </c>
      <c r="N1463" s="65" t="str">
        <f>IFERROR(__xludf.DUMMYFUNCTION("""COMPUTED_VALUE"""),"MANTA")</f>
        <v>MANTA</v>
      </c>
      <c r="O1463" s="65" t="str">
        <f>IFERROR(__xludf.DUMMYFUNCTION("""COMPUTED_VALUE"""),"C38 Cdla Villamarina calle V17 y Av V7")</f>
        <v>C38 Cdla Villamarina calle V17 y Av V7</v>
      </c>
      <c r="P1463" s="65"/>
      <c r="Q1463" s="65" t="str">
        <f>IFERROR(__xludf.DUMMYFUNCTION("""COMPUTED_VALUE"""),"GINTRACOM")</f>
        <v>GINTRACOM</v>
      </c>
      <c r="R1463" s="65">
        <f>IFERROR(__xludf.DUMMYFUNCTION("""COMPUTED_VALUE"""),30.0)</f>
        <v>30</v>
      </c>
      <c r="S1463" s="65">
        <f>IFERROR(__xludf.DUMMYFUNCTION("""COMPUTED_VALUE"""),16.79)</f>
        <v>16.79</v>
      </c>
      <c r="T1463" s="65">
        <f>IFERROR(__xludf.DUMMYFUNCTION("""COMPUTED_VALUE"""),6.16)</f>
        <v>6.16</v>
      </c>
      <c r="U1463" s="65">
        <f>IFERROR(__xludf.DUMMYFUNCTION("""COMPUTED_VALUE"""),0.0)</f>
        <v>0</v>
      </c>
      <c r="V1463" s="65">
        <f>IFERROR(__xludf.DUMMYFUNCTION("""COMPUTED_VALUE"""),0.0)</f>
        <v>0</v>
      </c>
      <c r="W1463" s="65">
        <f>IFERROR(__xludf.DUMMYFUNCTION("""COMPUTED_VALUE"""),0.0)</f>
        <v>0</v>
      </c>
      <c r="X1463" s="65">
        <f>IFERROR(__xludf.DUMMYFUNCTION("""COMPUTED_VALUE"""),2.35)</f>
        <v>2.35</v>
      </c>
      <c r="Y1463" s="65">
        <f>IFERROR(__xludf.DUMMYFUNCTION("""COMPUTED_VALUE"""),7.05)</f>
        <v>7.05</v>
      </c>
      <c r="Z1463" s="65">
        <f>IFERROR(__xludf.DUMMYFUNCTION("""COMPUTED_VALUE"""),116679.0)</f>
        <v>116679</v>
      </c>
      <c r="AA1463" s="65" t="str">
        <f>IFERROR(__xludf.DUMMYFUNCTION("""COMPUTED_VALUE"""),"AMC-2738")</f>
        <v>AMC-2738</v>
      </c>
      <c r="AB1463" s="65"/>
      <c r="AC1463" s="65" t="str">
        <f>IFERROR(__xludf.DUMMYFUNCTION("""COMPUTED_VALUE"""),"ESPONJA ANTILLUVIA DE PARABRISAS")</f>
        <v>ESPONJA ANTILLUVIA DE PARABRISAS</v>
      </c>
      <c r="AD1463" s="65"/>
      <c r="AE1463" s="65">
        <f>IFERROR(__xludf.DUMMYFUNCTION("""COMPUTED_VALUE"""),3.0)</f>
        <v>3</v>
      </c>
      <c r="AF1463" s="65"/>
      <c r="AG1463" s="65"/>
      <c r="AH1463" s="65"/>
      <c r="AI1463" s="65"/>
      <c r="AJ1463" s="65"/>
      <c r="AK1463" s="65"/>
      <c r="AL1463" s="65"/>
      <c r="AM1463" s="65"/>
      <c r="AN1463" s="65" t="str">
        <f>IFERROR(__xludf.DUMMYFUNCTION("""COMPUTED_VALUE"""),"17:19")</f>
        <v>17:19</v>
      </c>
      <c r="AO1463" s="65" t="str">
        <f>IFERROR(__xludf.DUMMYFUNCTION("""COMPUTED_VALUE"""),"27-01-2026")</f>
        <v>27-01-2026</v>
      </c>
      <c r="AP1463" s="65" t="str">
        <f>IFERROR(__xludf.DUMMYFUNCTION("""COMPUTED_VALUE"""),"EN TRÁNSITO")</f>
        <v>EN TRÁNSITO</v>
      </c>
      <c r="AQ1463" s="65" t="str">
        <f>IFERROR(__xludf.DUMMYFUNCTION("""COMPUTED_VALUE"""),"EN TRÁNSITO")</f>
        <v>EN TRÁNSITO</v>
      </c>
      <c r="AR1463" s="65"/>
      <c r="AS1463" s="65"/>
      <c r="AT1463" s="65" t="str">
        <f>IFERROR(__xludf.DUMMYFUNCTION("""COMPUTED_VALUE"""),"SHOPIFY")</f>
        <v>SHOPIFY</v>
      </c>
      <c r="AU1463" s="65" t="str">
        <f>IFERROR(__xludf.DUMMYFUNCTION("""COMPUTED_VALUE"""),"IMPORTEX EC")</f>
        <v>IMPORTEX EC</v>
      </c>
      <c r="AV1463" s="65" t="str">
        <f>IFERROR(__xludf.DUMMYFUNCTION("""COMPUTED_VALUE"""),"6444724125740")</f>
        <v>6444724125740</v>
      </c>
      <c r="AW1463" s="65">
        <f>IFERROR(__xludf.DUMMYFUNCTION("""COMPUTED_VALUE"""),5477.0)</f>
        <v>5477</v>
      </c>
      <c r="AX1463" s="65"/>
      <c r="AY1463" s="65" t="str">
        <f>IFERROR(__xludf.DUMMYFUNCTION("""COMPUTED_VALUE"""),"27/01/2026")</f>
        <v>27/01/2026</v>
      </c>
      <c r="AZ1463" s="65"/>
      <c r="BA1463" s="65"/>
    </row>
    <row r="1464">
      <c r="A1464" s="65" t="str">
        <f>IFERROR(__xludf.DUMMYFUNCTION("""COMPUTED_VALUE"""),"27-03-2026")</f>
        <v>27-03-2026</v>
      </c>
      <c r="B1464" s="65">
        <f>IFERROR(__xludf.DUMMYFUNCTION("""COMPUTED_VALUE"""),4264663.0)</f>
        <v>4264663</v>
      </c>
      <c r="C1464" s="65" t="str">
        <f>IFERROR(__xludf.DUMMYFUNCTION("""COMPUTED_VALUE"""),"16:02")</f>
        <v>16:02</v>
      </c>
      <c r="D1464" s="65" t="str">
        <f>IFERROR(__xludf.DUMMYFUNCTION("""COMPUTED_VALUE"""),"24-01-2026")</f>
        <v>24-01-2026</v>
      </c>
      <c r="E1464" s="65" t="str">
        <f>IFERROR(__xludf.DUMMYFUNCTION("""COMPUTED_VALUE"""),"Luis Olaya")</f>
        <v>Luis Olaya</v>
      </c>
      <c r="F1464" s="65" t="str">
        <f>IFERROR(__xludf.DUMMYFUNCTION("""COMPUTED_VALUE"""),"963963587")</f>
        <v>963963587</v>
      </c>
      <c r="G1464" s="65" t="str">
        <f>IFERROR(__xludf.DUMMYFUNCTION("""COMPUTED_VALUE"""),"laoh40@hotmail.com")</f>
        <v>laoh40@hotmail.com</v>
      </c>
      <c r="H1464" s="65"/>
      <c r="I1464" s="65"/>
      <c r="J1464" s="65" t="str">
        <f>IFERROR(__xludf.DUMMYFUNCTION("""COMPUTED_VALUE"""),"D001266739")</f>
        <v>D001266739</v>
      </c>
      <c r="K1464" s="65" t="str">
        <f>IFERROR(__xludf.DUMMYFUNCTION("""COMPUTED_VALUE"""),"ENTREGADO")</f>
        <v>ENTREGADO</v>
      </c>
      <c r="L1464" s="65" t="str">
        <f>IFERROR(__xludf.DUMMYFUNCTION("""COMPUTED_VALUE"""),"CON RECAUDO")</f>
        <v>CON RECAUDO</v>
      </c>
      <c r="M1464" s="65" t="str">
        <f>IFERROR(__xludf.DUMMYFUNCTION("""COMPUTED_VALUE"""),"GUAYAS")</f>
        <v>GUAYAS</v>
      </c>
      <c r="N1464" s="65" t="str">
        <f>IFERROR(__xludf.DUMMYFUNCTION("""COMPUTED_VALUE"""),"GUAYAQUIL")</f>
        <v>GUAYAQUIL</v>
      </c>
      <c r="O1464" s="65" t="str">
        <f>IFERROR(__xludf.DUMMYFUNCTION("""COMPUTED_VALUE"""),"Calicuchima # 5704 y la 36 ava. P. Febres Cordero, casa de 3 piso color amarillo con reja -")</f>
        <v>Calicuchima # 5704 y la 36 ava. P. Febres Cordero, casa de 3 piso color amarillo con reja -</v>
      </c>
      <c r="P1464" s="65"/>
      <c r="Q1464" s="65" t="str">
        <f>IFERROR(__xludf.DUMMYFUNCTION("""COMPUTED_VALUE"""),"GINTRACOM")</f>
        <v>GINTRACOM</v>
      </c>
      <c r="R1464" s="65">
        <f>IFERROR(__xludf.DUMMYFUNCTION("""COMPUTED_VALUE"""),30.0)</f>
        <v>30</v>
      </c>
      <c r="S1464" s="65">
        <f>IFERROR(__xludf.DUMMYFUNCTION("""COMPUTED_VALUE"""),16.79)</f>
        <v>16.79</v>
      </c>
      <c r="T1464" s="65">
        <f>IFERROR(__xludf.DUMMYFUNCTION("""COMPUTED_VALUE"""),6.16)</f>
        <v>6.16</v>
      </c>
      <c r="U1464" s="65">
        <f>IFERROR(__xludf.DUMMYFUNCTION("""COMPUTED_VALUE"""),0.0)</f>
        <v>0</v>
      </c>
      <c r="V1464" s="65">
        <f>IFERROR(__xludf.DUMMYFUNCTION("""COMPUTED_VALUE"""),0.0)</f>
        <v>0</v>
      </c>
      <c r="W1464" s="65">
        <f>IFERROR(__xludf.DUMMYFUNCTION("""COMPUTED_VALUE"""),0.0)</f>
        <v>0</v>
      </c>
      <c r="X1464" s="65">
        <f>IFERROR(__xludf.DUMMYFUNCTION("""COMPUTED_VALUE"""),2.35)</f>
        <v>2.35</v>
      </c>
      <c r="Y1464" s="65">
        <f>IFERROR(__xludf.DUMMYFUNCTION("""COMPUTED_VALUE"""),7.05)</f>
        <v>7.05</v>
      </c>
      <c r="Z1464" s="65">
        <f>IFERROR(__xludf.DUMMYFUNCTION("""COMPUTED_VALUE"""),116679.0)</f>
        <v>116679</v>
      </c>
      <c r="AA1464" s="65" t="str">
        <f>IFERROR(__xludf.DUMMYFUNCTION("""COMPUTED_VALUE"""),"AMC-2738")</f>
        <v>AMC-2738</v>
      </c>
      <c r="AB1464" s="65"/>
      <c r="AC1464" s="65" t="str">
        <f>IFERROR(__xludf.DUMMYFUNCTION("""COMPUTED_VALUE"""),"ESPONJA ANTILLUVIA DE PARABRISAS")</f>
        <v>ESPONJA ANTILLUVIA DE PARABRISAS</v>
      </c>
      <c r="AD1464" s="65"/>
      <c r="AE1464" s="65">
        <f>IFERROR(__xludf.DUMMYFUNCTION("""COMPUTED_VALUE"""),3.0)</f>
        <v>3</v>
      </c>
      <c r="AF1464" s="65" t="str">
        <f>IFERROR(__xludf.DUMMYFUNCTION("""COMPUTED_VALUE"""),"DESTINATARIO NO CONTESTA LLAMADAS NI WHATSAPP")</f>
        <v>DESTINATARIO NO CONTESTA LLAMADAS NI WHATSAPP</v>
      </c>
      <c r="AG1464" s="65" t="str">
        <f>IFERROR(__xludf.DUMMYFUNCTION("""COMPUTED_VALUE"""),"NO")</f>
        <v>NO</v>
      </c>
      <c r="AH1464" s="65" t="str">
        <f>IFERROR(__xludf.DUMMYFUNCTION("""COMPUTED_VALUE"""),"14:09")</f>
        <v>14:09</v>
      </c>
      <c r="AI1464" s="65" t="str">
        <f>IFERROR(__xludf.DUMMYFUNCTION("""COMPUTED_VALUE"""),"31-01-2026")</f>
        <v>31-01-2026</v>
      </c>
      <c r="AJ1464" s="65"/>
      <c r="AK1464" s="65"/>
      <c r="AL1464" s="65"/>
      <c r="AM1464" s="65"/>
      <c r="AN1464" s="65" t="str">
        <f>IFERROR(__xludf.DUMMYFUNCTION("""COMPUTED_VALUE"""),"17:19")</f>
        <v>17:19</v>
      </c>
      <c r="AO1464" s="65" t="str">
        <f>IFERROR(__xludf.DUMMYFUNCTION("""COMPUTED_VALUE"""),"27-01-2026")</f>
        <v>27-01-2026</v>
      </c>
      <c r="AP1464" s="65" t="str">
        <f>IFERROR(__xludf.DUMMYFUNCTION("""COMPUTED_VALUE"""),"EN TRÁNSITO")</f>
        <v>EN TRÁNSITO</v>
      </c>
      <c r="AQ1464" s="65" t="str">
        <f>IFERROR(__xludf.DUMMYFUNCTION("""COMPUTED_VALUE"""),"EN TRÁNSITO")</f>
        <v>EN TRÁNSITO</v>
      </c>
      <c r="AR1464" s="65"/>
      <c r="AS1464" s="65"/>
      <c r="AT1464" s="65" t="str">
        <f>IFERROR(__xludf.DUMMYFUNCTION("""COMPUTED_VALUE"""),"SHOPIFY")</f>
        <v>SHOPIFY</v>
      </c>
      <c r="AU1464" s="65" t="str">
        <f>IFERROR(__xludf.DUMMYFUNCTION("""COMPUTED_VALUE"""),"IMPORTEX EC")</f>
        <v>IMPORTEX EC</v>
      </c>
      <c r="AV1464" s="65" t="str">
        <f>IFERROR(__xludf.DUMMYFUNCTION("""COMPUTED_VALUE"""),"6444388319276")</f>
        <v>6444388319276</v>
      </c>
      <c r="AW1464" s="65">
        <f>IFERROR(__xludf.DUMMYFUNCTION("""COMPUTED_VALUE"""),5476.0)</f>
        <v>5476</v>
      </c>
      <c r="AX1464" s="65"/>
      <c r="AY1464" s="65" t="str">
        <f>IFERROR(__xludf.DUMMYFUNCTION("""COMPUTED_VALUE"""),"27/01/2026")</f>
        <v>27/01/2026</v>
      </c>
      <c r="AZ1464" s="65"/>
      <c r="BA1464" s="65"/>
    </row>
    <row r="1465">
      <c r="A1465" s="65" t="str">
        <f>IFERROR(__xludf.DUMMYFUNCTION("""COMPUTED_VALUE"""),"27-03-2026")</f>
        <v>27-03-2026</v>
      </c>
      <c r="B1465" s="65">
        <f>IFERROR(__xludf.DUMMYFUNCTION("""COMPUTED_VALUE"""),4264601.0)</f>
        <v>4264601</v>
      </c>
      <c r="C1465" s="65" t="str">
        <f>IFERROR(__xludf.DUMMYFUNCTION("""COMPUTED_VALUE"""),"15:55")</f>
        <v>15:55</v>
      </c>
      <c r="D1465" s="65" t="str">
        <f>IFERROR(__xludf.DUMMYFUNCTION("""COMPUTED_VALUE"""),"24-01-2026")</f>
        <v>24-01-2026</v>
      </c>
      <c r="E1465" s="65" t="str">
        <f>IFERROR(__xludf.DUMMYFUNCTION("""COMPUTED_VALUE"""),"Byron Barragan")</f>
        <v>Byron Barragan</v>
      </c>
      <c r="F1465" s="65" t="str">
        <f>IFERROR(__xludf.DUMMYFUNCTION("""COMPUTED_VALUE"""),"988188807")</f>
        <v>988188807</v>
      </c>
      <c r="G1465" s="65" t="str">
        <f>IFERROR(__xludf.DUMMYFUNCTION("""COMPUTED_VALUE"""),"barrabar2@gmail.com")</f>
        <v>barrabar2@gmail.com</v>
      </c>
      <c r="H1465" s="65"/>
      <c r="I1465" s="65"/>
      <c r="J1465" s="65" t="str">
        <f>IFERROR(__xludf.DUMMYFUNCTION("""COMPUTED_VALUE"""),"D001266741")</f>
        <v>D001266741</v>
      </c>
      <c r="K1465" s="65" t="str">
        <f>IFERROR(__xludf.DUMMYFUNCTION("""COMPUTED_VALUE"""),"ENTREGADO")</f>
        <v>ENTREGADO</v>
      </c>
      <c r="L1465" s="65" t="str">
        <f>IFERROR(__xludf.DUMMYFUNCTION("""COMPUTED_VALUE"""),"CON RECAUDO")</f>
        <v>CON RECAUDO</v>
      </c>
      <c r="M1465" s="65" t="str">
        <f>IFERROR(__xludf.DUMMYFUNCTION("""COMPUTED_VALUE"""),"EL ORO")</f>
        <v>EL ORO</v>
      </c>
      <c r="N1465" s="65" t="str">
        <f>IFERROR(__xludf.DUMMYFUNCTION("""COMPUTED_VALUE"""),"PASAJE")</f>
        <v>PASAJE</v>
      </c>
      <c r="O1465" s="65" t="str">
        <f>IFERROR(__xludf.DUMMYFUNCTION("""COMPUTED_VALUE"""),"Urb Las Gaviotas Av. Principal sin número Sector Juana de Oro entrada a Pasaje -")</f>
        <v>Urb Las Gaviotas Av. Principal sin número Sector Juana de Oro entrada a Pasaje -</v>
      </c>
      <c r="P1465" s="65"/>
      <c r="Q1465" s="65" t="str">
        <f>IFERROR(__xludf.DUMMYFUNCTION("""COMPUTED_VALUE"""),"GINTRACOM")</f>
        <v>GINTRACOM</v>
      </c>
      <c r="R1465" s="65">
        <f>IFERROR(__xludf.DUMMYFUNCTION("""COMPUTED_VALUE"""),20.0)</f>
        <v>20</v>
      </c>
      <c r="S1465" s="65">
        <f>IFERROR(__xludf.DUMMYFUNCTION("""COMPUTED_VALUE"""),11.89)</f>
        <v>11.89</v>
      </c>
      <c r="T1465" s="65">
        <f>IFERROR(__xludf.DUMMYFUNCTION("""COMPUTED_VALUE"""),5.76)</f>
        <v>5.76</v>
      </c>
      <c r="U1465" s="65">
        <f>IFERROR(__xludf.DUMMYFUNCTION("""COMPUTED_VALUE"""),0.0)</f>
        <v>0</v>
      </c>
      <c r="V1465" s="65">
        <f>IFERROR(__xludf.DUMMYFUNCTION("""COMPUTED_VALUE"""),0.0)</f>
        <v>0</v>
      </c>
      <c r="W1465" s="65">
        <f>IFERROR(__xludf.DUMMYFUNCTION("""COMPUTED_VALUE"""),0.0)</f>
        <v>0</v>
      </c>
      <c r="X1465" s="65">
        <f>IFERROR(__xludf.DUMMYFUNCTION("""COMPUTED_VALUE"""),2.35)</f>
        <v>2.35</v>
      </c>
      <c r="Y1465" s="65">
        <f>IFERROR(__xludf.DUMMYFUNCTION("""COMPUTED_VALUE"""),2.35)</f>
        <v>2.35</v>
      </c>
      <c r="Z1465" s="65">
        <f>IFERROR(__xludf.DUMMYFUNCTION("""COMPUTED_VALUE"""),116679.0)</f>
        <v>116679</v>
      </c>
      <c r="AA1465" s="65" t="str">
        <f>IFERROR(__xludf.DUMMYFUNCTION("""COMPUTED_VALUE"""),"AMC-2738")</f>
        <v>AMC-2738</v>
      </c>
      <c r="AB1465" s="65"/>
      <c r="AC1465" s="65" t="str">
        <f>IFERROR(__xludf.DUMMYFUNCTION("""COMPUTED_VALUE"""),"ESPONJA ANTILLUVIA DE PARABRISAS")</f>
        <v>ESPONJA ANTILLUVIA DE PARABRISAS</v>
      </c>
      <c r="AD1465" s="65"/>
      <c r="AE1465" s="65">
        <f>IFERROR(__xludf.DUMMYFUNCTION("""COMPUTED_VALUE"""),1.0)</f>
        <v>1</v>
      </c>
      <c r="AF1465" s="65"/>
      <c r="AG1465" s="65"/>
      <c r="AH1465" s="65"/>
      <c r="AI1465" s="65"/>
      <c r="AJ1465" s="65"/>
      <c r="AK1465" s="65"/>
      <c r="AL1465" s="65"/>
      <c r="AM1465" s="65"/>
      <c r="AN1465" s="65" t="str">
        <f>IFERROR(__xludf.DUMMYFUNCTION("""COMPUTED_VALUE"""),"17:19")</f>
        <v>17:19</v>
      </c>
      <c r="AO1465" s="65" t="str">
        <f>IFERROR(__xludf.DUMMYFUNCTION("""COMPUTED_VALUE"""),"27-01-2026")</f>
        <v>27-01-2026</v>
      </c>
      <c r="AP1465" s="65" t="str">
        <f>IFERROR(__xludf.DUMMYFUNCTION("""COMPUTED_VALUE"""),"EN TRÁNSITO")</f>
        <v>EN TRÁNSITO</v>
      </c>
      <c r="AQ1465" s="65" t="str">
        <f>IFERROR(__xludf.DUMMYFUNCTION("""COMPUTED_VALUE"""),"EN TRÁNSITO")</f>
        <v>EN TRÁNSITO</v>
      </c>
      <c r="AR1465" s="65"/>
      <c r="AS1465" s="65"/>
      <c r="AT1465" s="65" t="str">
        <f>IFERROR(__xludf.DUMMYFUNCTION("""COMPUTED_VALUE"""),"SHOPIFY")</f>
        <v>SHOPIFY</v>
      </c>
      <c r="AU1465" s="65" t="str">
        <f>IFERROR(__xludf.DUMMYFUNCTION("""COMPUTED_VALUE"""),"IMPORTEX EC")</f>
        <v>IMPORTEX EC</v>
      </c>
      <c r="AV1465" s="65" t="str">
        <f>IFERROR(__xludf.DUMMYFUNCTION("""COMPUTED_VALUE"""),"6444368691244")</f>
        <v>6444368691244</v>
      </c>
      <c r="AW1465" s="65">
        <f>IFERROR(__xludf.DUMMYFUNCTION("""COMPUTED_VALUE"""),5474.0)</f>
        <v>5474</v>
      </c>
      <c r="AX1465" s="65"/>
      <c r="AY1465" s="65" t="str">
        <f>IFERROR(__xludf.DUMMYFUNCTION("""COMPUTED_VALUE"""),"27/01/2026")</f>
        <v>27/01/2026</v>
      </c>
      <c r="AZ1465" s="65"/>
      <c r="BA1465" s="65"/>
    </row>
    <row r="1466">
      <c r="A1466" s="65" t="str">
        <f>IFERROR(__xludf.DUMMYFUNCTION("""COMPUTED_VALUE"""),"27-03-2026")</f>
        <v>27-03-2026</v>
      </c>
      <c r="B1466" s="65">
        <f>IFERROR(__xludf.DUMMYFUNCTION("""COMPUTED_VALUE"""),4264561.0)</f>
        <v>4264561</v>
      </c>
      <c r="C1466" s="65" t="str">
        <f>IFERROR(__xludf.DUMMYFUNCTION("""COMPUTED_VALUE"""),"15:49")</f>
        <v>15:49</v>
      </c>
      <c r="D1466" s="65" t="str">
        <f>IFERROR(__xludf.DUMMYFUNCTION("""COMPUTED_VALUE"""),"24-01-2026")</f>
        <v>24-01-2026</v>
      </c>
      <c r="E1466" s="65" t="str">
        <f>IFERROR(__xludf.DUMMYFUNCTION("""COMPUTED_VALUE"""),"Juan Fuentes")</f>
        <v>Juan Fuentes</v>
      </c>
      <c r="F1466" s="65" t="str">
        <f>IFERROR(__xludf.DUMMYFUNCTION("""COMPUTED_VALUE"""),"999424041")</f>
        <v>999424041</v>
      </c>
      <c r="G1466" s="65" t="str">
        <f>IFERROR(__xludf.DUMMYFUNCTION("""COMPUTED_VALUE"""),"fupi69jj@gmail.com")</f>
        <v>fupi69jj@gmail.com</v>
      </c>
      <c r="H1466" s="65"/>
      <c r="I1466" s="65"/>
      <c r="J1466" s="65"/>
      <c r="K1466" s="65" t="str">
        <f>IFERROR(__xludf.DUMMYFUNCTION("""COMPUTED_VALUE"""),"PENDIENTE CONFIRMACION")</f>
        <v>PENDIENTE CONFIRMACION</v>
      </c>
      <c r="L1466" s="65" t="str">
        <f>IFERROR(__xludf.DUMMYFUNCTION("""COMPUTED_VALUE"""),"CON RECAUDO")</f>
        <v>CON RECAUDO</v>
      </c>
      <c r="M1466" s="65" t="str">
        <f>IFERROR(__xludf.DUMMYFUNCTION("""COMPUTED_VALUE"""),"LOS RIOS")</f>
        <v>LOS RIOS</v>
      </c>
      <c r="N1466" s="65" t="str">
        <f>IFERROR(__xludf.DUMMYFUNCTION("""COMPUTED_VALUE"""),"BABAHOYO")</f>
        <v>BABAHOYO</v>
      </c>
      <c r="O1466" s="65" t="str">
        <f>IFERROR(__xludf.DUMMYFUNCTION("""COMPUTED_VALUE"""),"Abdon  Calderon La Union -")</f>
        <v>Abdon  Calderon La Union -</v>
      </c>
      <c r="P1466" s="65"/>
      <c r="Q1466" s="65" t="str">
        <f>IFERROR(__xludf.DUMMYFUNCTION("""COMPUTED_VALUE"""),"GINTRACOM")</f>
        <v>GINTRACOM</v>
      </c>
      <c r="R1466" s="65">
        <f>IFERROR(__xludf.DUMMYFUNCTION("""COMPUTED_VALUE"""),30.0)</f>
        <v>30</v>
      </c>
      <c r="S1466" s="65"/>
      <c r="T1466" s="65">
        <f>IFERROR(__xludf.DUMMYFUNCTION("""COMPUTED_VALUE"""),6.16)</f>
        <v>6.16</v>
      </c>
      <c r="U1466" s="65">
        <f>IFERROR(__xludf.DUMMYFUNCTION("""COMPUTED_VALUE"""),0.0)</f>
        <v>0</v>
      </c>
      <c r="V1466" s="65">
        <f>IFERROR(__xludf.DUMMYFUNCTION("""COMPUTED_VALUE"""),0.0)</f>
        <v>0</v>
      </c>
      <c r="W1466" s="65">
        <f>IFERROR(__xludf.DUMMYFUNCTION("""COMPUTED_VALUE"""),0.0)</f>
        <v>0</v>
      </c>
      <c r="X1466" s="65">
        <f>IFERROR(__xludf.DUMMYFUNCTION("""COMPUTED_VALUE"""),2.35)</f>
        <v>2.35</v>
      </c>
      <c r="Y1466" s="65">
        <f>IFERROR(__xludf.DUMMYFUNCTION("""COMPUTED_VALUE"""),7.05)</f>
        <v>7.05</v>
      </c>
      <c r="Z1466" s="65">
        <f>IFERROR(__xludf.DUMMYFUNCTION("""COMPUTED_VALUE"""),116679.0)</f>
        <v>116679</v>
      </c>
      <c r="AA1466" s="65" t="str">
        <f>IFERROR(__xludf.DUMMYFUNCTION("""COMPUTED_VALUE"""),"AMC-2738")</f>
        <v>AMC-2738</v>
      </c>
      <c r="AB1466" s="65"/>
      <c r="AC1466" s="65" t="str">
        <f>IFERROR(__xludf.DUMMYFUNCTION("""COMPUTED_VALUE"""),"ESPONJA ANTILLUVIA DE PARABRISAS")</f>
        <v>ESPONJA ANTILLUVIA DE PARABRISAS</v>
      </c>
      <c r="AD1466" s="65"/>
      <c r="AE1466" s="65">
        <f>IFERROR(__xludf.DUMMYFUNCTION("""COMPUTED_VALUE"""),3.0)</f>
        <v>3</v>
      </c>
      <c r="AF1466" s="65"/>
      <c r="AG1466" s="65"/>
      <c r="AH1466" s="65"/>
      <c r="AI1466" s="65"/>
      <c r="AJ1466" s="65"/>
      <c r="AK1466" s="65"/>
      <c r="AL1466" s="65"/>
      <c r="AM1466" s="65"/>
      <c r="AN1466" s="65"/>
      <c r="AO1466" s="65"/>
      <c r="AP1466" s="65"/>
      <c r="AQ1466" s="65"/>
      <c r="AR1466" s="65"/>
      <c r="AS1466" s="65"/>
      <c r="AT1466" s="65" t="str">
        <f>IFERROR(__xludf.DUMMYFUNCTION("""COMPUTED_VALUE"""),"SHOPIFY")</f>
        <v>SHOPIFY</v>
      </c>
      <c r="AU1466" s="65" t="str">
        <f>IFERROR(__xludf.DUMMYFUNCTION("""COMPUTED_VALUE"""),"IMPORTEX EC")</f>
        <v>IMPORTEX EC</v>
      </c>
      <c r="AV1466" s="65" t="str">
        <f>IFERROR(__xludf.DUMMYFUNCTION("""COMPUTED_VALUE"""),"6444353519660")</f>
        <v>6444353519660</v>
      </c>
      <c r="AW1466" s="65">
        <f>IFERROR(__xludf.DUMMYFUNCTION("""COMPUTED_VALUE"""),5473.0)</f>
        <v>5473</v>
      </c>
      <c r="AX1466" s="65"/>
      <c r="AY1466" s="65"/>
      <c r="AZ1466" s="65"/>
      <c r="BA1466" s="65"/>
    </row>
    <row r="1467">
      <c r="A1467" s="65" t="str">
        <f>IFERROR(__xludf.DUMMYFUNCTION("""COMPUTED_VALUE"""),"27-03-2026")</f>
        <v>27-03-2026</v>
      </c>
      <c r="B1467" s="65">
        <f>IFERROR(__xludf.DUMMYFUNCTION("""COMPUTED_VALUE"""),4264203.0)</f>
        <v>4264203</v>
      </c>
      <c r="C1467" s="65" t="str">
        <f>IFERROR(__xludf.DUMMYFUNCTION("""COMPUTED_VALUE"""),"15:05")</f>
        <v>15:05</v>
      </c>
      <c r="D1467" s="65" t="str">
        <f>IFERROR(__xludf.DUMMYFUNCTION("""COMPUTED_VALUE"""),"24-01-2026")</f>
        <v>24-01-2026</v>
      </c>
      <c r="E1467" s="65" t="str">
        <f>IFERROR(__xludf.DUMMYFUNCTION("""COMPUTED_VALUE"""),"Karla Jamileth Vaca Ocampo 1207349901")</f>
        <v>Karla Jamileth Vaca Ocampo 1207349901</v>
      </c>
      <c r="F1467" s="65" t="str">
        <f>IFERROR(__xludf.DUMMYFUNCTION("""COMPUTED_VALUE"""),"996842058")</f>
        <v>996842058</v>
      </c>
      <c r="G1467" s="65" t="str">
        <f>IFERROR(__xludf.DUMMYFUNCTION("""COMPUTED_VALUE"""),"jamiivaca@gmail.com")</f>
        <v>jamiivaca@gmail.com</v>
      </c>
      <c r="H1467" s="65"/>
      <c r="I1467" s="65"/>
      <c r="J1467" s="65" t="str">
        <f>IFERROR(__xludf.DUMMYFUNCTION("""COMPUTED_VALUE"""),"186537102")</f>
        <v>186537102</v>
      </c>
      <c r="K1467" s="65" t="str">
        <f>IFERROR(__xludf.DUMMYFUNCTION("""COMPUTED_VALUE"""),"ENTREGADO")</f>
        <v>ENTREGADO</v>
      </c>
      <c r="L1467" s="65" t="str">
        <f>IFERROR(__xludf.DUMMYFUNCTION("""COMPUTED_VALUE"""),"CON RECAUDO")</f>
        <v>CON RECAUDO</v>
      </c>
      <c r="M1467" s="65" t="str">
        <f>IFERROR(__xludf.DUMMYFUNCTION("""COMPUTED_VALUE"""),"BOLIVAR")</f>
        <v>BOLIVAR</v>
      </c>
      <c r="N1467" s="65" t="str">
        <f>IFERROR(__xludf.DUMMYFUNCTION("""COMPUTED_VALUE"""),"ECHEANDIA")</f>
        <v>ECHEANDIA</v>
      </c>
      <c r="O1467" s="65" t="str">
        <f>IFERROR(__xludf.DUMMYFUNCTION("""COMPUTED_VALUE"""),"Simón Bolívar y Esequiel Torres referencia Comercial Vaca")</f>
        <v>Simón Bolívar y Esequiel Torres referencia Comercial Vaca</v>
      </c>
      <c r="P1467" s="65"/>
      <c r="Q1467" s="65" t="str">
        <f>IFERROR(__xludf.DUMMYFUNCTION("""COMPUTED_VALUE"""),"SERVIENTREGA")</f>
        <v>SERVIENTREGA</v>
      </c>
      <c r="R1467" s="65">
        <f>IFERROR(__xludf.DUMMYFUNCTION("""COMPUTED_VALUE"""),30.0)</f>
        <v>30</v>
      </c>
      <c r="S1467" s="65">
        <f>IFERROR(__xludf.DUMMYFUNCTION("""COMPUTED_VALUE"""),15.13)</f>
        <v>15.13</v>
      </c>
      <c r="T1467" s="65">
        <f>IFERROR(__xludf.DUMMYFUNCTION("""COMPUTED_VALUE"""),7.82)</f>
        <v>7.82</v>
      </c>
      <c r="U1467" s="65">
        <f>IFERROR(__xludf.DUMMYFUNCTION("""COMPUTED_VALUE"""),0.0)</f>
        <v>0</v>
      </c>
      <c r="V1467" s="65">
        <f>IFERROR(__xludf.DUMMYFUNCTION("""COMPUTED_VALUE"""),0.0)</f>
        <v>0</v>
      </c>
      <c r="W1467" s="65">
        <f>IFERROR(__xludf.DUMMYFUNCTION("""COMPUTED_VALUE"""),0.0)</f>
        <v>0</v>
      </c>
      <c r="X1467" s="65">
        <f>IFERROR(__xludf.DUMMYFUNCTION("""COMPUTED_VALUE"""),2.35)</f>
        <v>2.35</v>
      </c>
      <c r="Y1467" s="65">
        <f>IFERROR(__xludf.DUMMYFUNCTION("""COMPUTED_VALUE"""),7.05)</f>
        <v>7.05</v>
      </c>
      <c r="Z1467" s="65">
        <f>IFERROR(__xludf.DUMMYFUNCTION("""COMPUTED_VALUE"""),116679.0)</f>
        <v>116679</v>
      </c>
      <c r="AA1467" s="65" t="str">
        <f>IFERROR(__xludf.DUMMYFUNCTION("""COMPUTED_VALUE"""),"AMC-2738")</f>
        <v>AMC-2738</v>
      </c>
      <c r="AB1467" s="65"/>
      <c r="AC1467" s="65" t="str">
        <f>IFERROR(__xludf.DUMMYFUNCTION("""COMPUTED_VALUE"""),"ESPONJA ANTILLUVIA DE PARABRISAS")</f>
        <v>ESPONJA ANTILLUVIA DE PARABRISAS</v>
      </c>
      <c r="AD1467" s="65"/>
      <c r="AE1467" s="65">
        <f>IFERROR(__xludf.DUMMYFUNCTION("""COMPUTED_VALUE"""),3.0)</f>
        <v>3</v>
      </c>
      <c r="AF1467" s="65"/>
      <c r="AG1467" s="65"/>
      <c r="AH1467" s="65"/>
      <c r="AI1467" s="65"/>
      <c r="AJ1467" s="65"/>
      <c r="AK1467" s="65"/>
      <c r="AL1467" s="65"/>
      <c r="AM1467" s="65"/>
      <c r="AN1467" s="65" t="str">
        <f>IFERROR(__xludf.DUMMYFUNCTION("""COMPUTED_VALUE"""),"08:26")</f>
        <v>08:26</v>
      </c>
      <c r="AO1467" s="65" t="str">
        <f>IFERROR(__xludf.DUMMYFUNCTION("""COMPUTED_VALUE"""),"25-02-2026")</f>
        <v>25-02-2026</v>
      </c>
      <c r="AP1467" s="65" t="str">
        <f>IFERROR(__xludf.DUMMYFUNCTION("""COMPUTED_VALUE"""),"ENTREGA DIGITALIZADA EN CENTRO LOGISTICO")</f>
        <v>ENTREGA DIGITALIZADA EN CENTRO LOGISTICO</v>
      </c>
      <c r="AQ1467" s="65" t="str">
        <f>IFERROR(__xludf.DUMMYFUNCTION("""COMPUTED_VALUE"""),"Karla vaca")</f>
        <v>Karla vaca</v>
      </c>
      <c r="AR1467" s="65"/>
      <c r="AS1467" s="65"/>
      <c r="AT1467" s="65" t="str">
        <f>IFERROR(__xludf.DUMMYFUNCTION("""COMPUTED_VALUE"""),"SHOPIFY")</f>
        <v>SHOPIFY</v>
      </c>
      <c r="AU1467" s="65" t="str">
        <f>IFERROR(__xludf.DUMMYFUNCTION("""COMPUTED_VALUE"""),"IMPORTEX EC")</f>
        <v>IMPORTEX EC</v>
      </c>
      <c r="AV1467" s="65" t="str">
        <f>IFERROR(__xludf.DUMMYFUNCTION("""COMPUTED_VALUE"""),"6444225921068")</f>
        <v>6444225921068</v>
      </c>
      <c r="AW1467" s="65">
        <f>IFERROR(__xludf.DUMMYFUNCTION("""COMPUTED_VALUE"""),5472.0)</f>
        <v>5472</v>
      </c>
      <c r="AX1467" s="65"/>
      <c r="AY1467" s="65" t="str">
        <f>IFERROR(__xludf.DUMMYFUNCTION("""COMPUTED_VALUE"""),"27/01/2026")</f>
        <v>27/01/2026</v>
      </c>
      <c r="AZ1467" s="65"/>
      <c r="BA1467" s="65"/>
    </row>
    <row r="1468">
      <c r="A1468" s="65" t="str">
        <f>IFERROR(__xludf.DUMMYFUNCTION("""COMPUTED_VALUE"""),"27-03-2026")</f>
        <v>27-03-2026</v>
      </c>
      <c r="B1468" s="65">
        <f>IFERROR(__xludf.DUMMYFUNCTION("""COMPUTED_VALUE"""),4264064.0)</f>
        <v>4264064</v>
      </c>
      <c r="C1468" s="65" t="str">
        <f>IFERROR(__xludf.DUMMYFUNCTION("""COMPUTED_VALUE"""),"14:47")</f>
        <v>14:47</v>
      </c>
      <c r="D1468" s="65" t="str">
        <f>IFERROR(__xludf.DUMMYFUNCTION("""COMPUTED_VALUE"""),"24-01-2026")</f>
        <v>24-01-2026</v>
      </c>
      <c r="E1468" s="65" t="str">
        <f>IFERROR(__xludf.DUMMYFUNCTION("""COMPUTED_VALUE"""),"Diego Murillo")</f>
        <v>Diego Murillo</v>
      </c>
      <c r="F1468" s="65" t="str">
        <f>IFERROR(__xludf.DUMMYFUNCTION("""COMPUTED_VALUE"""),"962636821")</f>
        <v>962636821</v>
      </c>
      <c r="G1468" s="65" t="str">
        <f>IFERROR(__xludf.DUMMYFUNCTION("""COMPUTED_VALUE"""),"diego1007murillo@gmail.com")</f>
        <v>diego1007murillo@gmail.com</v>
      </c>
      <c r="H1468" s="65"/>
      <c r="I1468" s="65"/>
      <c r="J1468" s="65" t="str">
        <f>IFERROR(__xludf.DUMMYFUNCTION("""COMPUTED_VALUE"""),"D001266743")</f>
        <v>D001266743</v>
      </c>
      <c r="K1468" s="65" t="str">
        <f>IFERROR(__xludf.DUMMYFUNCTION("""COMPUTED_VALUE"""),"ENTREGADO")</f>
        <v>ENTREGADO</v>
      </c>
      <c r="L1468" s="65" t="str">
        <f>IFERROR(__xludf.DUMMYFUNCTION("""COMPUTED_VALUE"""),"CON RECAUDO")</f>
        <v>CON RECAUDO</v>
      </c>
      <c r="M1468" s="65" t="str">
        <f>IFERROR(__xludf.DUMMYFUNCTION("""COMPUTED_VALUE"""),"GUAYAS")</f>
        <v>GUAYAS</v>
      </c>
      <c r="N1468" s="65" t="str">
        <f>IFERROR(__xludf.DUMMYFUNCTION("""COMPUTED_VALUE"""),"GUAYAQUIL")</f>
        <v>GUAYAQUIL</v>
      </c>
      <c r="O1468" s="65" t="str">
        <f>IFERROR(__xludf.DUMMYFUNCTION("""COMPUTED_VALUE"""),"Febres cordero Y La 20 - La Chozita")</f>
        <v>Febres cordero Y La 20 - La Chozita</v>
      </c>
      <c r="P1468" s="65"/>
      <c r="Q1468" s="65" t="str">
        <f>IFERROR(__xludf.DUMMYFUNCTION("""COMPUTED_VALUE"""),"GINTRACOM")</f>
        <v>GINTRACOM</v>
      </c>
      <c r="R1468" s="65">
        <f>IFERROR(__xludf.DUMMYFUNCTION("""COMPUTED_VALUE"""),20.0)</f>
        <v>20</v>
      </c>
      <c r="S1468" s="65">
        <f>IFERROR(__xludf.DUMMYFUNCTION("""COMPUTED_VALUE"""),11.89)</f>
        <v>11.89</v>
      </c>
      <c r="T1468" s="65">
        <f>IFERROR(__xludf.DUMMYFUNCTION("""COMPUTED_VALUE"""),5.76)</f>
        <v>5.76</v>
      </c>
      <c r="U1468" s="65">
        <f>IFERROR(__xludf.DUMMYFUNCTION("""COMPUTED_VALUE"""),0.0)</f>
        <v>0</v>
      </c>
      <c r="V1468" s="65">
        <f>IFERROR(__xludf.DUMMYFUNCTION("""COMPUTED_VALUE"""),0.0)</f>
        <v>0</v>
      </c>
      <c r="W1468" s="65">
        <f>IFERROR(__xludf.DUMMYFUNCTION("""COMPUTED_VALUE"""),0.0)</f>
        <v>0</v>
      </c>
      <c r="X1468" s="65">
        <f>IFERROR(__xludf.DUMMYFUNCTION("""COMPUTED_VALUE"""),2.35)</f>
        <v>2.35</v>
      </c>
      <c r="Y1468" s="65">
        <f>IFERROR(__xludf.DUMMYFUNCTION("""COMPUTED_VALUE"""),2.35)</f>
        <v>2.35</v>
      </c>
      <c r="Z1468" s="65">
        <f>IFERROR(__xludf.DUMMYFUNCTION("""COMPUTED_VALUE"""),116679.0)</f>
        <v>116679</v>
      </c>
      <c r="AA1468" s="65" t="str">
        <f>IFERROR(__xludf.DUMMYFUNCTION("""COMPUTED_VALUE"""),"AMC-2738")</f>
        <v>AMC-2738</v>
      </c>
      <c r="AB1468" s="65"/>
      <c r="AC1468" s="65" t="str">
        <f>IFERROR(__xludf.DUMMYFUNCTION("""COMPUTED_VALUE"""),"ESPONJA ANTILLUVIA DE PARABRISAS")</f>
        <v>ESPONJA ANTILLUVIA DE PARABRISAS</v>
      </c>
      <c r="AD1468" s="65"/>
      <c r="AE1468" s="65">
        <f>IFERROR(__xludf.DUMMYFUNCTION("""COMPUTED_VALUE"""),1.0)</f>
        <v>1</v>
      </c>
      <c r="AF1468" s="65" t="str">
        <f>IFERROR(__xludf.DUMMYFUNCTION("""COMPUTED_VALUE"""),"DESTINATARIO NO CONTESTA LLAMADAS NI WHATSAPP")</f>
        <v>DESTINATARIO NO CONTESTA LLAMADAS NI WHATSAPP</v>
      </c>
      <c r="AG1468" s="65" t="str">
        <f>IFERROR(__xludf.DUMMYFUNCTION("""COMPUTED_VALUE"""),"NO")</f>
        <v>NO</v>
      </c>
      <c r="AH1468" s="65" t="str">
        <f>IFERROR(__xludf.DUMMYFUNCTION("""COMPUTED_VALUE"""),"10:43")</f>
        <v>10:43</v>
      </c>
      <c r="AI1468" s="65" t="str">
        <f>IFERROR(__xludf.DUMMYFUNCTION("""COMPUTED_VALUE"""),"03-02-2026")</f>
        <v>03-02-2026</v>
      </c>
      <c r="AJ1468" s="65"/>
      <c r="AK1468" s="65"/>
      <c r="AL1468" s="65"/>
      <c r="AM1468" s="65"/>
      <c r="AN1468" s="65" t="str">
        <f>IFERROR(__xludf.DUMMYFUNCTION("""COMPUTED_VALUE"""),"12:18")</f>
        <v>12:18</v>
      </c>
      <c r="AO1468" s="65" t="str">
        <f>IFERROR(__xludf.DUMMYFUNCTION("""COMPUTED_VALUE"""),"07-02-2026")</f>
        <v>07-02-2026</v>
      </c>
      <c r="AP1468" s="65" t="str">
        <f>IFERROR(__xludf.DUMMYFUNCTION("""COMPUTED_VALUE"""),"ENTREGADA GINTRACOM")</f>
        <v>ENTREGADA GINTRACOM</v>
      </c>
      <c r="AQ1468" s="65" t="str">
        <f>IFERROR(__xludf.DUMMYFUNCTION("""COMPUTED_VALUE"""),"ENTREGADA GINTRACOM")</f>
        <v>ENTREGADA GINTRACOM</v>
      </c>
      <c r="AR1468" s="65"/>
      <c r="AS1468" s="65"/>
      <c r="AT1468" s="65" t="str">
        <f>IFERROR(__xludf.DUMMYFUNCTION("""COMPUTED_VALUE"""),"SHOPIFY")</f>
        <v>SHOPIFY</v>
      </c>
      <c r="AU1468" s="65" t="str">
        <f>IFERROR(__xludf.DUMMYFUNCTION("""COMPUTED_VALUE"""),"IMPORTEX EC")</f>
        <v>IMPORTEX EC</v>
      </c>
      <c r="AV1468" s="65" t="str">
        <f>IFERROR(__xludf.DUMMYFUNCTION("""COMPUTED_VALUE"""),"6444168839212")</f>
        <v>6444168839212</v>
      </c>
      <c r="AW1468" s="65">
        <f>IFERROR(__xludf.DUMMYFUNCTION("""COMPUTED_VALUE"""),5471.0)</f>
        <v>5471</v>
      </c>
      <c r="AX1468" s="65"/>
      <c r="AY1468" s="65" t="str">
        <f>IFERROR(__xludf.DUMMYFUNCTION("""COMPUTED_VALUE"""),"27/01/2026")</f>
        <v>27/01/2026</v>
      </c>
      <c r="AZ1468" s="65"/>
      <c r="BA1468" s="65"/>
    </row>
    <row r="1469">
      <c r="A1469" s="65" t="str">
        <f>IFERROR(__xludf.DUMMYFUNCTION("""COMPUTED_VALUE"""),"27-03-2026")</f>
        <v>27-03-2026</v>
      </c>
      <c r="B1469" s="65">
        <f>IFERROR(__xludf.DUMMYFUNCTION("""COMPUTED_VALUE"""),4263768.0)</f>
        <v>4263768</v>
      </c>
      <c r="C1469" s="65" t="str">
        <f>IFERROR(__xludf.DUMMYFUNCTION("""COMPUTED_VALUE"""),"14:04")</f>
        <v>14:04</v>
      </c>
      <c r="D1469" s="65" t="str">
        <f>IFERROR(__xludf.DUMMYFUNCTION("""COMPUTED_VALUE"""),"24-01-2026")</f>
        <v>24-01-2026</v>
      </c>
      <c r="E1469" s="65" t="str">
        <f>IFERROR(__xludf.DUMMYFUNCTION("""COMPUTED_VALUE"""),"edwingarciar123233@gmail.com Garcia")</f>
        <v>edwingarciar123233@gmail.com Garcia</v>
      </c>
      <c r="F1469" s="65" t="str">
        <f>IFERROR(__xludf.DUMMYFUNCTION("""COMPUTED_VALUE"""),"962919035")</f>
        <v>962919035</v>
      </c>
      <c r="G1469" s="65" t="str">
        <f>IFERROR(__xludf.DUMMYFUNCTION("""COMPUTED_VALUE"""),"edwingarciar123233@gmail.com")</f>
        <v>edwingarciar123233@gmail.com</v>
      </c>
      <c r="H1469" s="65"/>
      <c r="I1469" s="65"/>
      <c r="J1469" s="65" t="str">
        <f>IFERROR(__xludf.DUMMYFUNCTION("""COMPUTED_VALUE"""),"D001266745")</f>
        <v>D001266745</v>
      </c>
      <c r="K1469" s="65" t="str">
        <f>IFERROR(__xludf.DUMMYFUNCTION("""COMPUTED_VALUE"""),"ENTREGADO")</f>
        <v>ENTREGADO</v>
      </c>
      <c r="L1469" s="65" t="str">
        <f>IFERROR(__xludf.DUMMYFUNCTION("""COMPUTED_VALUE"""),"CON RECAUDO")</f>
        <v>CON RECAUDO</v>
      </c>
      <c r="M1469" s="65" t="str">
        <f>IFERROR(__xludf.DUMMYFUNCTION("""COMPUTED_VALUE"""),"AZUAY")</f>
        <v>AZUAY</v>
      </c>
      <c r="N1469" s="65" t="str">
        <f>IFERROR(__xludf.DUMMYFUNCTION("""COMPUTED_VALUE"""),"CUENCA")</f>
        <v>CUENCA</v>
      </c>
      <c r="O1469" s="65" t="str">
        <f>IFERROR(__xludf.DUMMYFUNCTION("""COMPUTED_VALUE"""),"Calle del CanCan y Pumayunga Sector Ucubamba  frente a las  lagunas de oxigenación  en la entrada a Nulty . Pacha. -")</f>
        <v>Calle del CanCan y Pumayunga Sector Ucubamba  frente a las  lagunas de oxigenación  en la entrada a Nulty . Pacha. -</v>
      </c>
      <c r="P1469" s="65"/>
      <c r="Q1469" s="65" t="str">
        <f>IFERROR(__xludf.DUMMYFUNCTION("""COMPUTED_VALUE"""),"GINTRACOM")</f>
        <v>GINTRACOM</v>
      </c>
      <c r="R1469" s="65">
        <f>IFERROR(__xludf.DUMMYFUNCTION("""COMPUTED_VALUE"""),30.0)</f>
        <v>30</v>
      </c>
      <c r="S1469" s="65">
        <f>IFERROR(__xludf.DUMMYFUNCTION("""COMPUTED_VALUE"""),16.79)</f>
        <v>16.79</v>
      </c>
      <c r="T1469" s="65">
        <f>IFERROR(__xludf.DUMMYFUNCTION("""COMPUTED_VALUE"""),6.16)</f>
        <v>6.16</v>
      </c>
      <c r="U1469" s="65">
        <f>IFERROR(__xludf.DUMMYFUNCTION("""COMPUTED_VALUE"""),0.0)</f>
        <v>0</v>
      </c>
      <c r="V1469" s="65">
        <f>IFERROR(__xludf.DUMMYFUNCTION("""COMPUTED_VALUE"""),0.0)</f>
        <v>0</v>
      </c>
      <c r="W1469" s="65">
        <f>IFERROR(__xludf.DUMMYFUNCTION("""COMPUTED_VALUE"""),0.0)</f>
        <v>0</v>
      </c>
      <c r="X1469" s="65">
        <f>IFERROR(__xludf.DUMMYFUNCTION("""COMPUTED_VALUE"""),2.35)</f>
        <v>2.35</v>
      </c>
      <c r="Y1469" s="65">
        <f>IFERROR(__xludf.DUMMYFUNCTION("""COMPUTED_VALUE"""),7.05)</f>
        <v>7.05</v>
      </c>
      <c r="Z1469" s="65">
        <f>IFERROR(__xludf.DUMMYFUNCTION("""COMPUTED_VALUE"""),116679.0)</f>
        <v>116679</v>
      </c>
      <c r="AA1469" s="65" t="str">
        <f>IFERROR(__xludf.DUMMYFUNCTION("""COMPUTED_VALUE"""),"AMC-2738")</f>
        <v>AMC-2738</v>
      </c>
      <c r="AB1469" s="65"/>
      <c r="AC1469" s="65" t="str">
        <f>IFERROR(__xludf.DUMMYFUNCTION("""COMPUTED_VALUE"""),"ESPONJA ANTILLUVIA DE PARABRISAS")</f>
        <v>ESPONJA ANTILLUVIA DE PARABRISAS</v>
      </c>
      <c r="AD1469" s="65"/>
      <c r="AE1469" s="65">
        <f>IFERROR(__xludf.DUMMYFUNCTION("""COMPUTED_VALUE"""),3.0)</f>
        <v>3</v>
      </c>
      <c r="AF1469" s="65"/>
      <c r="AG1469" s="65"/>
      <c r="AH1469" s="65"/>
      <c r="AI1469" s="65"/>
      <c r="AJ1469" s="65"/>
      <c r="AK1469" s="65"/>
      <c r="AL1469" s="65"/>
      <c r="AM1469" s="65"/>
      <c r="AN1469" s="65" t="str">
        <f>IFERROR(__xludf.DUMMYFUNCTION("""COMPUTED_VALUE"""),"17:19")</f>
        <v>17:19</v>
      </c>
      <c r="AO1469" s="65" t="str">
        <f>IFERROR(__xludf.DUMMYFUNCTION("""COMPUTED_VALUE"""),"27-01-2026")</f>
        <v>27-01-2026</v>
      </c>
      <c r="AP1469" s="65" t="str">
        <f>IFERROR(__xludf.DUMMYFUNCTION("""COMPUTED_VALUE"""),"EN TRÁNSITO")</f>
        <v>EN TRÁNSITO</v>
      </c>
      <c r="AQ1469" s="65" t="str">
        <f>IFERROR(__xludf.DUMMYFUNCTION("""COMPUTED_VALUE"""),"EN TRÁNSITO")</f>
        <v>EN TRÁNSITO</v>
      </c>
      <c r="AR1469" s="65"/>
      <c r="AS1469" s="65"/>
      <c r="AT1469" s="65" t="str">
        <f>IFERROR(__xludf.DUMMYFUNCTION("""COMPUTED_VALUE"""),"SHOPIFY")</f>
        <v>SHOPIFY</v>
      </c>
      <c r="AU1469" s="65" t="str">
        <f>IFERROR(__xludf.DUMMYFUNCTION("""COMPUTED_VALUE"""),"IMPORTEX EC")</f>
        <v>IMPORTEX EC</v>
      </c>
      <c r="AV1469" s="65" t="str">
        <f>IFERROR(__xludf.DUMMYFUNCTION("""COMPUTED_VALUE"""),"6444035538988")</f>
        <v>6444035538988</v>
      </c>
      <c r="AW1469" s="65">
        <f>IFERROR(__xludf.DUMMYFUNCTION("""COMPUTED_VALUE"""),5470.0)</f>
        <v>5470</v>
      </c>
      <c r="AX1469" s="65"/>
      <c r="AY1469" s="65" t="str">
        <f>IFERROR(__xludf.DUMMYFUNCTION("""COMPUTED_VALUE"""),"27/01/2026")</f>
        <v>27/01/2026</v>
      </c>
      <c r="AZ1469" s="65"/>
      <c r="BA1469" s="65"/>
    </row>
    <row r="1470">
      <c r="A1470" s="65" t="str">
        <f>IFERROR(__xludf.DUMMYFUNCTION("""COMPUTED_VALUE"""),"27-03-2026")</f>
        <v>27-03-2026</v>
      </c>
      <c r="B1470" s="65">
        <f>IFERROR(__xludf.DUMMYFUNCTION("""COMPUTED_VALUE"""),4263579.0)</f>
        <v>4263579</v>
      </c>
      <c r="C1470" s="65" t="str">
        <f>IFERROR(__xludf.DUMMYFUNCTION("""COMPUTED_VALUE"""),"13:37")</f>
        <v>13:37</v>
      </c>
      <c r="D1470" s="65" t="str">
        <f>IFERROR(__xludf.DUMMYFUNCTION("""COMPUTED_VALUE"""),"24-01-2026")</f>
        <v>24-01-2026</v>
      </c>
      <c r="E1470" s="65" t="str">
        <f>IFERROR(__xludf.DUMMYFUNCTION("""COMPUTED_VALUE"""),"Cesar Bravo")</f>
        <v>Cesar Bravo</v>
      </c>
      <c r="F1470" s="65" t="str">
        <f>IFERROR(__xludf.DUMMYFUNCTION("""COMPUTED_VALUE"""),"992709077")</f>
        <v>992709077</v>
      </c>
      <c r="G1470" s="65" t="str">
        <f>IFERROR(__xludf.DUMMYFUNCTION("""COMPUTED_VALUE"""),"cesaragusto1bravo@yahoo.es")</f>
        <v>cesaragusto1bravo@yahoo.es</v>
      </c>
      <c r="H1470" s="65"/>
      <c r="I1470" s="65"/>
      <c r="J1470" s="65" t="str">
        <f>IFERROR(__xludf.DUMMYFUNCTION("""COMPUTED_VALUE"""),"D001266746")</f>
        <v>D001266746</v>
      </c>
      <c r="K1470" s="65" t="str">
        <f>IFERROR(__xludf.DUMMYFUNCTION("""COMPUTED_VALUE"""),"ENTREGADO")</f>
        <v>ENTREGADO</v>
      </c>
      <c r="L1470" s="65" t="str">
        <f>IFERROR(__xludf.DUMMYFUNCTION("""COMPUTED_VALUE"""),"CON RECAUDO")</f>
        <v>CON RECAUDO</v>
      </c>
      <c r="M1470" s="65" t="str">
        <f>IFERROR(__xludf.DUMMYFUNCTION("""COMPUTED_VALUE"""),"PICHINCHA")</f>
        <v>PICHINCHA</v>
      </c>
      <c r="N1470" s="65" t="str">
        <f>IFERROR(__xludf.DUMMYFUNCTION("""COMPUTED_VALUE"""),"QUITO")</f>
        <v>QUITO</v>
      </c>
      <c r="O1470" s="65" t="str">
        <f>IFERROR(__xludf.DUMMYFUNCTION("""COMPUTED_VALUE"""),"Calle Alejandro Cardenas #S4 148 y Edison Mendoza Barrio Eden del valle sector 3 -")</f>
        <v>Calle Alejandro Cardenas #S4 148 y Edison Mendoza Barrio Eden del valle sector 3 -</v>
      </c>
      <c r="P1470" s="65"/>
      <c r="Q1470" s="65" t="str">
        <f>IFERROR(__xludf.DUMMYFUNCTION("""COMPUTED_VALUE"""),"GINTRACOM")</f>
        <v>GINTRACOM</v>
      </c>
      <c r="R1470" s="65">
        <f>IFERROR(__xludf.DUMMYFUNCTION("""COMPUTED_VALUE"""),25.0)</f>
        <v>25</v>
      </c>
      <c r="S1470" s="65">
        <f>IFERROR(__xludf.DUMMYFUNCTION("""COMPUTED_VALUE"""),15.95)</f>
        <v>15.95</v>
      </c>
      <c r="T1470" s="65">
        <f>IFERROR(__xludf.DUMMYFUNCTION("""COMPUTED_VALUE"""),4.35)</f>
        <v>4.35</v>
      </c>
      <c r="U1470" s="65">
        <f>IFERROR(__xludf.DUMMYFUNCTION("""COMPUTED_VALUE"""),0.0)</f>
        <v>0</v>
      </c>
      <c r="V1470" s="65">
        <f>IFERROR(__xludf.DUMMYFUNCTION("""COMPUTED_VALUE"""),0.0)</f>
        <v>0</v>
      </c>
      <c r="W1470" s="65">
        <f>IFERROR(__xludf.DUMMYFUNCTION("""COMPUTED_VALUE"""),0.0)</f>
        <v>0</v>
      </c>
      <c r="X1470" s="65">
        <f>IFERROR(__xludf.DUMMYFUNCTION("""COMPUTED_VALUE"""),2.35)</f>
        <v>2.35</v>
      </c>
      <c r="Y1470" s="65">
        <f>IFERROR(__xludf.DUMMYFUNCTION("""COMPUTED_VALUE"""),4.7)</f>
        <v>4.7</v>
      </c>
      <c r="Z1470" s="65">
        <f>IFERROR(__xludf.DUMMYFUNCTION("""COMPUTED_VALUE"""),116679.0)</f>
        <v>116679</v>
      </c>
      <c r="AA1470" s="65" t="str">
        <f>IFERROR(__xludf.DUMMYFUNCTION("""COMPUTED_VALUE"""),"AMC-2738")</f>
        <v>AMC-2738</v>
      </c>
      <c r="AB1470" s="65"/>
      <c r="AC1470" s="65" t="str">
        <f>IFERROR(__xludf.DUMMYFUNCTION("""COMPUTED_VALUE"""),"ESPONJA ANTILLUVIA DE PARABRISAS")</f>
        <v>ESPONJA ANTILLUVIA DE PARABRISAS</v>
      </c>
      <c r="AD1470" s="65"/>
      <c r="AE1470" s="65">
        <f>IFERROR(__xludf.DUMMYFUNCTION("""COMPUTED_VALUE"""),2.0)</f>
        <v>2</v>
      </c>
      <c r="AF1470" s="65"/>
      <c r="AG1470" s="65"/>
      <c r="AH1470" s="65"/>
      <c r="AI1470" s="65"/>
      <c r="AJ1470" s="65"/>
      <c r="AK1470" s="65"/>
      <c r="AL1470" s="65"/>
      <c r="AM1470" s="65"/>
      <c r="AN1470" s="65" t="str">
        <f>IFERROR(__xludf.DUMMYFUNCTION("""COMPUTED_VALUE"""),"09:17")</f>
        <v>09:17</v>
      </c>
      <c r="AO1470" s="65" t="str">
        <f>IFERROR(__xludf.DUMMYFUNCTION("""COMPUTED_VALUE"""),"28-01-2026")</f>
        <v>28-01-2026</v>
      </c>
      <c r="AP1470" s="65" t="str">
        <f>IFERROR(__xludf.DUMMYFUNCTION("""COMPUTED_VALUE"""),"EN REPARTO")</f>
        <v>EN REPARTO</v>
      </c>
      <c r="AQ1470" s="65" t="str">
        <f>IFERROR(__xludf.DUMMYFUNCTION("""COMPUTED_VALUE"""),"EN REPARTO")</f>
        <v>EN REPARTO</v>
      </c>
      <c r="AR1470" s="65"/>
      <c r="AS1470" s="65"/>
      <c r="AT1470" s="65" t="str">
        <f>IFERROR(__xludf.DUMMYFUNCTION("""COMPUTED_VALUE"""),"SHOPIFY")</f>
        <v>SHOPIFY</v>
      </c>
      <c r="AU1470" s="65" t="str">
        <f>IFERROR(__xludf.DUMMYFUNCTION("""COMPUTED_VALUE"""),"IMPORTEX EC")</f>
        <v>IMPORTEX EC</v>
      </c>
      <c r="AV1470" s="65" t="str">
        <f>IFERROR(__xludf.DUMMYFUNCTION("""COMPUTED_VALUE"""),"6443953487916")</f>
        <v>6443953487916</v>
      </c>
      <c r="AW1470" s="65">
        <f>IFERROR(__xludf.DUMMYFUNCTION("""COMPUTED_VALUE"""),5469.0)</f>
        <v>5469</v>
      </c>
      <c r="AX1470" s="65"/>
      <c r="AY1470" s="65" t="str">
        <f>IFERROR(__xludf.DUMMYFUNCTION("""COMPUTED_VALUE"""),"27/01/2026")</f>
        <v>27/01/2026</v>
      </c>
      <c r="AZ1470" s="65"/>
      <c r="BA1470" s="65"/>
    </row>
    <row r="1471">
      <c r="A1471" s="65" t="str">
        <f>IFERROR(__xludf.DUMMYFUNCTION("""COMPUTED_VALUE"""),"27-03-2026")</f>
        <v>27-03-2026</v>
      </c>
      <c r="B1471" s="65">
        <f>IFERROR(__xludf.DUMMYFUNCTION("""COMPUTED_VALUE"""),4263397.0)</f>
        <v>4263397</v>
      </c>
      <c r="C1471" s="65" t="str">
        <f>IFERROR(__xludf.DUMMYFUNCTION("""COMPUTED_VALUE"""),"13:08")</f>
        <v>13:08</v>
      </c>
      <c r="D1471" s="65" t="str">
        <f>IFERROR(__xludf.DUMMYFUNCTION("""COMPUTED_VALUE"""),"24-01-2026")</f>
        <v>24-01-2026</v>
      </c>
      <c r="E1471" s="65" t="str">
        <f>IFERROR(__xludf.DUMMYFUNCTION("""COMPUTED_VALUE"""),"Angel Palacios")</f>
        <v>Angel Palacios</v>
      </c>
      <c r="F1471" s="65" t="str">
        <f>IFERROR(__xludf.DUMMYFUNCTION("""COMPUTED_VALUE"""),"999119504")</f>
        <v>999119504</v>
      </c>
      <c r="G1471" s="65" t="str">
        <f>IFERROR(__xludf.DUMMYFUNCTION("""COMPUTED_VALUE"""),"franciscopalacios380@gmail.com")</f>
        <v>franciscopalacios380@gmail.com</v>
      </c>
      <c r="H1471" s="65"/>
      <c r="I1471" s="65"/>
      <c r="J1471" s="65"/>
      <c r="K1471" s="65" t="str">
        <f>IFERROR(__xludf.DUMMYFUNCTION("""COMPUTED_VALUE"""),"PENDIENTE CONFIRMACION")</f>
        <v>PENDIENTE CONFIRMACION</v>
      </c>
      <c r="L1471" s="65" t="str">
        <f>IFERROR(__xludf.DUMMYFUNCTION("""COMPUTED_VALUE"""),"CON RECAUDO")</f>
        <v>CON RECAUDO</v>
      </c>
      <c r="M1471" s="65" t="str">
        <f>IFERROR(__xludf.DUMMYFUNCTION("""COMPUTED_VALUE"""),"MANABI")</f>
        <v>MANABI</v>
      </c>
      <c r="N1471" s="65" t="str">
        <f>IFERROR(__xludf.DUMMYFUNCTION("""COMPUTED_VALUE"""),"PICHINCHA")</f>
        <v>PICHINCHA</v>
      </c>
      <c r="O1471" s="65" t="str">
        <f>IFERROR(__xludf.DUMMYFUNCTION("""COMPUTED_VALUE"""),"Pichincha Manabí La cadena -")</f>
        <v>Pichincha Manabí La cadena -</v>
      </c>
      <c r="P1471" s="65"/>
      <c r="Q1471" s="65" t="str">
        <f>IFERROR(__xludf.DUMMYFUNCTION("""COMPUTED_VALUE"""),"SERVIENTREGA")</f>
        <v>SERVIENTREGA</v>
      </c>
      <c r="R1471" s="65">
        <f>IFERROR(__xludf.DUMMYFUNCTION("""COMPUTED_VALUE"""),20.0)</f>
        <v>20</v>
      </c>
      <c r="S1471" s="65"/>
      <c r="T1471" s="65">
        <f>IFERROR(__xludf.DUMMYFUNCTION("""COMPUTED_VALUE"""),7.67)</f>
        <v>7.67</v>
      </c>
      <c r="U1471" s="65">
        <f>IFERROR(__xludf.DUMMYFUNCTION("""COMPUTED_VALUE"""),0.0)</f>
        <v>0</v>
      </c>
      <c r="V1471" s="65">
        <f>IFERROR(__xludf.DUMMYFUNCTION("""COMPUTED_VALUE"""),0.0)</f>
        <v>0</v>
      </c>
      <c r="W1471" s="65">
        <f>IFERROR(__xludf.DUMMYFUNCTION("""COMPUTED_VALUE"""),0.0)</f>
        <v>0</v>
      </c>
      <c r="X1471" s="65">
        <f>IFERROR(__xludf.DUMMYFUNCTION("""COMPUTED_VALUE"""),2.35)</f>
        <v>2.35</v>
      </c>
      <c r="Y1471" s="65">
        <f>IFERROR(__xludf.DUMMYFUNCTION("""COMPUTED_VALUE"""),2.35)</f>
        <v>2.35</v>
      </c>
      <c r="Z1471" s="65">
        <f>IFERROR(__xludf.DUMMYFUNCTION("""COMPUTED_VALUE"""),116679.0)</f>
        <v>116679</v>
      </c>
      <c r="AA1471" s="65" t="str">
        <f>IFERROR(__xludf.DUMMYFUNCTION("""COMPUTED_VALUE"""),"AMC-2738")</f>
        <v>AMC-2738</v>
      </c>
      <c r="AB1471" s="65"/>
      <c r="AC1471" s="65" t="str">
        <f>IFERROR(__xludf.DUMMYFUNCTION("""COMPUTED_VALUE"""),"ESPONJA ANTILLUVIA DE PARABRISAS")</f>
        <v>ESPONJA ANTILLUVIA DE PARABRISAS</v>
      </c>
      <c r="AD1471" s="65"/>
      <c r="AE1471" s="65">
        <f>IFERROR(__xludf.DUMMYFUNCTION("""COMPUTED_VALUE"""),1.0)</f>
        <v>1</v>
      </c>
      <c r="AF1471" s="65"/>
      <c r="AG1471" s="65"/>
      <c r="AH1471" s="65"/>
      <c r="AI1471" s="65"/>
      <c r="AJ1471" s="65"/>
      <c r="AK1471" s="65"/>
      <c r="AL1471" s="65"/>
      <c r="AM1471" s="65"/>
      <c r="AN1471" s="65"/>
      <c r="AO1471" s="65"/>
      <c r="AP1471" s="65"/>
      <c r="AQ1471" s="65"/>
      <c r="AR1471" s="65"/>
      <c r="AS1471" s="65"/>
      <c r="AT1471" s="65" t="str">
        <f>IFERROR(__xludf.DUMMYFUNCTION("""COMPUTED_VALUE"""),"SHOPIFY")</f>
        <v>SHOPIFY</v>
      </c>
      <c r="AU1471" s="65" t="str">
        <f>IFERROR(__xludf.DUMMYFUNCTION("""COMPUTED_VALUE"""),"IMPORTEX EC")</f>
        <v>IMPORTEX EC</v>
      </c>
      <c r="AV1471" s="65" t="str">
        <f>IFERROR(__xludf.DUMMYFUNCTION("""COMPUTED_VALUE"""),"6443864031276")</f>
        <v>6443864031276</v>
      </c>
      <c r="AW1471" s="65">
        <f>IFERROR(__xludf.DUMMYFUNCTION("""COMPUTED_VALUE"""),5468.0)</f>
        <v>5468</v>
      </c>
      <c r="AX1471" s="65"/>
      <c r="AY1471" s="65"/>
      <c r="AZ1471" s="65"/>
      <c r="BA1471" s="65"/>
    </row>
    <row r="1472">
      <c r="A1472" s="65" t="str">
        <f>IFERROR(__xludf.DUMMYFUNCTION("""COMPUTED_VALUE"""),"27-03-2026")</f>
        <v>27-03-2026</v>
      </c>
      <c r="B1472" s="65">
        <f>IFERROR(__xludf.DUMMYFUNCTION("""COMPUTED_VALUE"""),4263340.0)</f>
        <v>4263340</v>
      </c>
      <c r="C1472" s="65" t="str">
        <f>IFERROR(__xludf.DUMMYFUNCTION("""COMPUTED_VALUE"""),"13:01")</f>
        <v>13:01</v>
      </c>
      <c r="D1472" s="65" t="str">
        <f>IFERROR(__xludf.DUMMYFUNCTION("""COMPUTED_VALUE"""),"24-01-2026")</f>
        <v>24-01-2026</v>
      </c>
      <c r="E1472" s="65" t="str">
        <f>IFERROR(__xludf.DUMMYFUNCTION("""COMPUTED_VALUE"""),"Romulo Lopez")</f>
        <v>Romulo Lopez</v>
      </c>
      <c r="F1472" s="65" t="str">
        <f>IFERROR(__xludf.DUMMYFUNCTION("""COMPUTED_VALUE"""),"995120196")</f>
        <v>995120196</v>
      </c>
      <c r="G1472" s="65"/>
      <c r="H1472" s="65"/>
      <c r="I1472" s="65"/>
      <c r="J1472" s="65" t="str">
        <f>IFERROR(__xludf.DUMMYFUNCTION("""COMPUTED_VALUE"""),"D001266747")</f>
        <v>D001266747</v>
      </c>
      <c r="K1472" s="65" t="str">
        <f>IFERROR(__xludf.DUMMYFUNCTION("""COMPUTED_VALUE"""),"DEVOLUCION")</f>
        <v>DEVOLUCION</v>
      </c>
      <c r="L1472" s="65" t="str">
        <f>IFERROR(__xludf.DUMMYFUNCTION("""COMPUTED_VALUE"""),"CON RECAUDO")</f>
        <v>CON RECAUDO</v>
      </c>
      <c r="M1472" s="65" t="str">
        <f>IFERROR(__xludf.DUMMYFUNCTION("""COMPUTED_VALUE"""),"TUNGURAHUA")</f>
        <v>TUNGURAHUA</v>
      </c>
      <c r="N1472" s="65" t="str">
        <f>IFERROR(__xludf.DUMMYFUNCTION("""COMPUTED_VALUE"""),"AMBATO")</f>
        <v>AMBATO</v>
      </c>
      <c r="O1472" s="65" t="str">
        <f>IFERROR(__xludf.DUMMYFUNCTION("""COMPUTED_VALUE"""),"Ambatillo Barrio el rosario calle la floriana -")</f>
        <v>Ambatillo Barrio el rosario calle la floriana -</v>
      </c>
      <c r="P1472" s="65"/>
      <c r="Q1472" s="65" t="str">
        <f>IFERROR(__xludf.DUMMYFUNCTION("""COMPUTED_VALUE"""),"GINTRACOM")</f>
        <v>GINTRACOM</v>
      </c>
      <c r="R1472" s="65">
        <f>IFERROR(__xludf.DUMMYFUNCTION("""COMPUTED_VALUE"""),25.0)</f>
        <v>25</v>
      </c>
      <c r="S1472" s="65"/>
      <c r="T1472" s="65">
        <f>IFERROR(__xludf.DUMMYFUNCTION("""COMPUTED_VALUE"""),5.96)</f>
        <v>5.96</v>
      </c>
      <c r="U1472" s="65">
        <f>IFERROR(__xludf.DUMMYFUNCTION("""COMPUTED_VALUE"""),0.0)</f>
        <v>0</v>
      </c>
      <c r="V1472" s="65">
        <f>IFERROR(__xludf.DUMMYFUNCTION("""COMPUTED_VALUE"""),0.0)</f>
        <v>0</v>
      </c>
      <c r="W1472" s="65">
        <f>IFERROR(__xludf.DUMMYFUNCTION("""COMPUTED_VALUE"""),0.0)</f>
        <v>0</v>
      </c>
      <c r="X1472" s="65">
        <f>IFERROR(__xludf.DUMMYFUNCTION("""COMPUTED_VALUE"""),2.35)</f>
        <v>2.35</v>
      </c>
      <c r="Y1472" s="65">
        <f>IFERROR(__xludf.DUMMYFUNCTION("""COMPUTED_VALUE"""),4.7)</f>
        <v>4.7</v>
      </c>
      <c r="Z1472" s="65">
        <f>IFERROR(__xludf.DUMMYFUNCTION("""COMPUTED_VALUE"""),116679.0)</f>
        <v>116679</v>
      </c>
      <c r="AA1472" s="65" t="str">
        <f>IFERROR(__xludf.DUMMYFUNCTION("""COMPUTED_VALUE"""),"AMC-2738")</f>
        <v>AMC-2738</v>
      </c>
      <c r="AB1472" s="65"/>
      <c r="AC1472" s="65" t="str">
        <f>IFERROR(__xludf.DUMMYFUNCTION("""COMPUTED_VALUE"""),"ESPONJA ANTILLUVIA DE PARABRISAS")</f>
        <v>ESPONJA ANTILLUVIA DE PARABRISAS</v>
      </c>
      <c r="AD1472" s="65"/>
      <c r="AE1472" s="65">
        <f>IFERROR(__xludf.DUMMYFUNCTION("""COMPUTED_VALUE"""),2.0)</f>
        <v>2</v>
      </c>
      <c r="AF1472" s="65" t="str">
        <f>IFERROR(__xludf.DUMMYFUNCTION("""COMPUTED_VALUE"""),"DESTINATARIO NO CONTESTA LLAMADAS NI WHATSAPP")</f>
        <v>DESTINATARIO NO CONTESTA LLAMADAS NI WHATSAPP</v>
      </c>
      <c r="AG1472" s="65" t="str">
        <f>IFERROR(__xludf.DUMMYFUNCTION("""COMPUTED_VALUE"""),"NO")</f>
        <v>NO</v>
      </c>
      <c r="AH1472" s="65" t="str">
        <f>IFERROR(__xludf.DUMMYFUNCTION("""COMPUTED_VALUE"""),"09:00")</f>
        <v>09:00</v>
      </c>
      <c r="AI1472" s="65" t="str">
        <f>IFERROR(__xludf.DUMMYFUNCTION("""COMPUTED_VALUE"""),"05-02-2026")</f>
        <v>05-02-2026</v>
      </c>
      <c r="AJ1472" s="65"/>
      <c r="AK1472" s="65"/>
      <c r="AL1472" s="65"/>
      <c r="AM1472" s="65"/>
      <c r="AN1472" s="65" t="str">
        <f>IFERROR(__xludf.DUMMYFUNCTION("""COMPUTED_VALUE"""),"23:56")</f>
        <v>23:56</v>
      </c>
      <c r="AO1472" s="65" t="str">
        <f>IFERROR(__xludf.DUMMYFUNCTION("""COMPUTED_VALUE"""),"25-02-2026")</f>
        <v>25-02-2026</v>
      </c>
      <c r="AP1472" s="65" t="str">
        <f>IFERROR(__xludf.DUMMYFUNCTION("""COMPUTED_VALUE"""),"DEVOLUCIÓN ENTREGADA A ORIGEN")</f>
        <v>DEVOLUCIÓN ENTREGADA A ORIGEN</v>
      </c>
      <c r="AQ1472" s="65" t="str">
        <f>IFERROR(__xludf.DUMMYFUNCTION("""COMPUTED_VALUE"""),"DEVOLUCIÓN ENTREGADA A ORIGEN")</f>
        <v>DEVOLUCIÓN ENTREGADA A ORIGEN</v>
      </c>
      <c r="AR1472" s="65"/>
      <c r="AS1472" s="65"/>
      <c r="AT1472" s="65" t="str">
        <f>IFERROR(__xludf.DUMMYFUNCTION("""COMPUTED_VALUE"""),"SHOPIFY")</f>
        <v>SHOPIFY</v>
      </c>
      <c r="AU1472" s="65" t="str">
        <f>IFERROR(__xludf.DUMMYFUNCTION("""COMPUTED_VALUE"""),"IMPORTEX EC")</f>
        <v>IMPORTEX EC</v>
      </c>
      <c r="AV1472" s="65" t="str">
        <f>IFERROR(__xludf.DUMMYFUNCTION("""COMPUTED_VALUE"""),"6443840569388")</f>
        <v>6443840569388</v>
      </c>
      <c r="AW1472" s="65">
        <f>IFERROR(__xludf.DUMMYFUNCTION("""COMPUTED_VALUE"""),5467.0)</f>
        <v>5467</v>
      </c>
      <c r="AX1472" s="65"/>
      <c r="AY1472" s="65" t="str">
        <f>IFERROR(__xludf.DUMMYFUNCTION("""COMPUTED_VALUE"""),"27/01/2026")</f>
        <v>27/01/2026</v>
      </c>
      <c r="AZ1472" s="65"/>
      <c r="BA1472" s="65"/>
    </row>
    <row r="1473">
      <c r="A1473" s="65" t="str">
        <f>IFERROR(__xludf.DUMMYFUNCTION("""COMPUTED_VALUE"""),"27-03-2026")</f>
        <v>27-03-2026</v>
      </c>
      <c r="B1473" s="65">
        <f>IFERROR(__xludf.DUMMYFUNCTION("""COMPUTED_VALUE"""),4263247.0)</f>
        <v>4263247</v>
      </c>
      <c r="C1473" s="65" t="str">
        <f>IFERROR(__xludf.DUMMYFUNCTION("""COMPUTED_VALUE"""),"12:51")</f>
        <v>12:51</v>
      </c>
      <c r="D1473" s="65" t="str">
        <f>IFERROR(__xludf.DUMMYFUNCTION("""COMPUTED_VALUE"""),"24-01-2026")</f>
        <v>24-01-2026</v>
      </c>
      <c r="E1473" s="65" t="str">
        <f>IFERROR(__xludf.DUMMYFUNCTION("""COMPUTED_VALUE"""),"Rony Zuñiga")</f>
        <v>Rony Zuñiga</v>
      </c>
      <c r="F1473" s="65" t="str">
        <f>IFERROR(__xludf.DUMMYFUNCTION("""COMPUTED_VALUE"""),"980012197")</f>
        <v>980012197</v>
      </c>
      <c r="G1473" s="65" t="str">
        <f>IFERROR(__xludf.DUMMYFUNCTION("""COMPUTED_VALUE"""),"ronyz24@hotmail.com")</f>
        <v>ronyz24@hotmail.com</v>
      </c>
      <c r="H1473" s="65"/>
      <c r="I1473" s="65"/>
      <c r="J1473" s="65"/>
      <c r="K1473" s="65" t="str">
        <f>IFERROR(__xludf.DUMMYFUNCTION("""COMPUTED_VALUE"""),"CANCELADO")</f>
        <v>CANCELADO</v>
      </c>
      <c r="L1473" s="65" t="str">
        <f>IFERROR(__xludf.DUMMYFUNCTION("""COMPUTED_VALUE"""),"CON RECAUDO")</f>
        <v>CON RECAUDO</v>
      </c>
      <c r="M1473" s="65" t="str">
        <f>IFERROR(__xludf.DUMMYFUNCTION("""COMPUTED_VALUE"""),"ESMERALDAS")</f>
        <v>ESMERALDAS</v>
      </c>
      <c r="N1473" s="65" t="str">
        <f>IFERROR(__xludf.DUMMYFUNCTION("""COMPUTED_VALUE"""),"QUININDE")</f>
        <v>QUININDE</v>
      </c>
      <c r="O1473" s="65" t="str">
        <f>IFERROR(__xludf.DUMMYFUNCTION("""COMPUTED_VALUE"""),"av. Chiriboja nuevo quininde Unidad Educativa Alejandro otoya briones -")</f>
        <v>av. Chiriboja nuevo quininde Unidad Educativa Alejandro otoya briones -</v>
      </c>
      <c r="P1473" s="65"/>
      <c r="Q1473" s="65" t="str">
        <f>IFERROR(__xludf.DUMMYFUNCTION("""COMPUTED_VALUE"""),"GINTRACOM")</f>
        <v>GINTRACOM</v>
      </c>
      <c r="R1473" s="65">
        <f>IFERROR(__xludf.DUMMYFUNCTION("""COMPUTED_VALUE"""),25.0)</f>
        <v>25</v>
      </c>
      <c r="S1473" s="65"/>
      <c r="T1473" s="65">
        <f>IFERROR(__xludf.DUMMYFUNCTION("""COMPUTED_VALUE"""),5.96)</f>
        <v>5.96</v>
      </c>
      <c r="U1473" s="65">
        <f>IFERROR(__xludf.DUMMYFUNCTION("""COMPUTED_VALUE"""),0.0)</f>
        <v>0</v>
      </c>
      <c r="V1473" s="65">
        <f>IFERROR(__xludf.DUMMYFUNCTION("""COMPUTED_VALUE"""),0.0)</f>
        <v>0</v>
      </c>
      <c r="W1473" s="65">
        <f>IFERROR(__xludf.DUMMYFUNCTION("""COMPUTED_VALUE"""),0.0)</f>
        <v>0</v>
      </c>
      <c r="X1473" s="65">
        <f>IFERROR(__xludf.DUMMYFUNCTION("""COMPUTED_VALUE"""),2.35)</f>
        <v>2.35</v>
      </c>
      <c r="Y1473" s="65">
        <f>IFERROR(__xludf.DUMMYFUNCTION("""COMPUTED_VALUE"""),4.7)</f>
        <v>4.7</v>
      </c>
      <c r="Z1473" s="65">
        <f>IFERROR(__xludf.DUMMYFUNCTION("""COMPUTED_VALUE"""),116679.0)</f>
        <v>116679</v>
      </c>
      <c r="AA1473" s="65" t="str">
        <f>IFERROR(__xludf.DUMMYFUNCTION("""COMPUTED_VALUE"""),"AMC-2738")</f>
        <v>AMC-2738</v>
      </c>
      <c r="AB1473" s="65"/>
      <c r="AC1473" s="65" t="str">
        <f>IFERROR(__xludf.DUMMYFUNCTION("""COMPUTED_VALUE"""),"ESPONJA ANTILLUVIA DE PARABRISAS")</f>
        <v>ESPONJA ANTILLUVIA DE PARABRISAS</v>
      </c>
      <c r="AD1473" s="65"/>
      <c r="AE1473" s="65">
        <f>IFERROR(__xludf.DUMMYFUNCTION("""COMPUTED_VALUE"""),2.0)</f>
        <v>2</v>
      </c>
      <c r="AF1473" s="65"/>
      <c r="AG1473" s="65"/>
      <c r="AH1473" s="65"/>
      <c r="AI1473" s="65"/>
      <c r="AJ1473" s="65"/>
      <c r="AK1473" s="65"/>
      <c r="AL1473" s="65"/>
      <c r="AM1473" s="65"/>
      <c r="AN1473" s="65"/>
      <c r="AO1473" s="65"/>
      <c r="AP1473" s="65"/>
      <c r="AQ1473" s="65"/>
      <c r="AR1473" s="65"/>
      <c r="AS1473" s="65"/>
      <c r="AT1473" s="65" t="str">
        <f>IFERROR(__xludf.DUMMYFUNCTION("""COMPUTED_VALUE"""),"SHOPIFY")</f>
        <v>SHOPIFY</v>
      </c>
      <c r="AU1473" s="65" t="str">
        <f>IFERROR(__xludf.DUMMYFUNCTION("""COMPUTED_VALUE"""),"IMPORTEX EC")</f>
        <v>IMPORTEX EC</v>
      </c>
      <c r="AV1473" s="65" t="str">
        <f>IFERROR(__xludf.DUMMYFUNCTION("""COMPUTED_VALUE"""),"6443806720044")</f>
        <v>6443806720044</v>
      </c>
      <c r="AW1473" s="65">
        <f>IFERROR(__xludf.DUMMYFUNCTION("""COMPUTED_VALUE"""),5466.0)</f>
        <v>5466</v>
      </c>
      <c r="AX1473" s="65"/>
      <c r="AY1473" s="65"/>
      <c r="AZ1473" s="65"/>
      <c r="BA1473" s="65"/>
    </row>
    <row r="1474">
      <c r="A1474" s="65" t="str">
        <f>IFERROR(__xludf.DUMMYFUNCTION("""COMPUTED_VALUE"""),"27-03-2026")</f>
        <v>27-03-2026</v>
      </c>
      <c r="B1474" s="65">
        <f>IFERROR(__xludf.DUMMYFUNCTION("""COMPUTED_VALUE"""),4263204.0)</f>
        <v>4263204</v>
      </c>
      <c r="C1474" s="65" t="str">
        <f>IFERROR(__xludf.DUMMYFUNCTION("""COMPUTED_VALUE"""),"12:45")</f>
        <v>12:45</v>
      </c>
      <c r="D1474" s="65" t="str">
        <f>IFERROR(__xludf.DUMMYFUNCTION("""COMPUTED_VALUE"""),"24-01-2026")</f>
        <v>24-01-2026</v>
      </c>
      <c r="E1474" s="65" t="str">
        <f>IFERROR(__xludf.DUMMYFUNCTION("""COMPUTED_VALUE"""),"Veronica Basantes")</f>
        <v>Veronica Basantes</v>
      </c>
      <c r="F1474" s="65" t="str">
        <f>IFERROR(__xludf.DUMMYFUNCTION("""COMPUTED_VALUE"""),"983388640")</f>
        <v>983388640</v>
      </c>
      <c r="G1474" s="65" t="str">
        <f>IFERROR(__xludf.DUMMYFUNCTION("""COMPUTED_VALUE"""),"verabasantes@gmail.com")</f>
        <v>verabasantes@gmail.com</v>
      </c>
      <c r="H1474" s="65"/>
      <c r="I1474" s="65"/>
      <c r="J1474" s="65" t="str">
        <f>IFERROR(__xludf.DUMMYFUNCTION("""COMPUTED_VALUE"""),"D001266749")</f>
        <v>D001266749</v>
      </c>
      <c r="K1474" s="65" t="str">
        <f>IFERROR(__xludf.DUMMYFUNCTION("""COMPUTED_VALUE"""),"ENTREGADO")</f>
        <v>ENTREGADO</v>
      </c>
      <c r="L1474" s="65" t="str">
        <f>IFERROR(__xludf.DUMMYFUNCTION("""COMPUTED_VALUE"""),"CON RECAUDO")</f>
        <v>CON RECAUDO</v>
      </c>
      <c r="M1474" s="65" t="str">
        <f>IFERROR(__xludf.DUMMYFUNCTION("""COMPUTED_VALUE"""),"GUAYAS")</f>
        <v>GUAYAS</v>
      </c>
      <c r="N1474" s="65" t="str">
        <f>IFERROR(__xludf.DUMMYFUNCTION("""COMPUTED_VALUE"""),"SAMBORONDON")</f>
        <v>SAMBORONDON</v>
      </c>
      <c r="O1474" s="65" t="str">
        <f>IFERROR(__xludf.DUMMYFUNCTION("""COMPUTED_VALUE"""),"Isla Mocoli. Urbanizacion Monaco Solar 46B Samborondon -")</f>
        <v>Isla Mocoli. Urbanizacion Monaco Solar 46B Samborondon -</v>
      </c>
      <c r="P1474" s="65"/>
      <c r="Q1474" s="65" t="str">
        <f>IFERROR(__xludf.DUMMYFUNCTION("""COMPUTED_VALUE"""),"GINTRACOM")</f>
        <v>GINTRACOM</v>
      </c>
      <c r="R1474" s="65">
        <f>IFERROR(__xludf.DUMMYFUNCTION("""COMPUTED_VALUE"""),25.0)</f>
        <v>25</v>
      </c>
      <c r="S1474" s="65">
        <f>IFERROR(__xludf.DUMMYFUNCTION("""COMPUTED_VALUE"""),14.34)</f>
        <v>14.34</v>
      </c>
      <c r="T1474" s="65">
        <f>IFERROR(__xludf.DUMMYFUNCTION("""COMPUTED_VALUE"""),5.96)</f>
        <v>5.96</v>
      </c>
      <c r="U1474" s="65">
        <f>IFERROR(__xludf.DUMMYFUNCTION("""COMPUTED_VALUE"""),0.0)</f>
        <v>0</v>
      </c>
      <c r="V1474" s="65">
        <f>IFERROR(__xludf.DUMMYFUNCTION("""COMPUTED_VALUE"""),0.0)</f>
        <v>0</v>
      </c>
      <c r="W1474" s="65">
        <f>IFERROR(__xludf.DUMMYFUNCTION("""COMPUTED_VALUE"""),0.0)</f>
        <v>0</v>
      </c>
      <c r="X1474" s="65">
        <f>IFERROR(__xludf.DUMMYFUNCTION("""COMPUTED_VALUE"""),2.35)</f>
        <v>2.35</v>
      </c>
      <c r="Y1474" s="65">
        <f>IFERROR(__xludf.DUMMYFUNCTION("""COMPUTED_VALUE"""),4.7)</f>
        <v>4.7</v>
      </c>
      <c r="Z1474" s="65">
        <f>IFERROR(__xludf.DUMMYFUNCTION("""COMPUTED_VALUE"""),116679.0)</f>
        <v>116679</v>
      </c>
      <c r="AA1474" s="65" t="str">
        <f>IFERROR(__xludf.DUMMYFUNCTION("""COMPUTED_VALUE"""),"AMC-2738")</f>
        <v>AMC-2738</v>
      </c>
      <c r="AB1474" s="65"/>
      <c r="AC1474" s="65" t="str">
        <f>IFERROR(__xludf.DUMMYFUNCTION("""COMPUTED_VALUE"""),"ESPONJA ANTILLUVIA DE PARABRISAS")</f>
        <v>ESPONJA ANTILLUVIA DE PARABRISAS</v>
      </c>
      <c r="AD1474" s="65"/>
      <c r="AE1474" s="65">
        <f>IFERROR(__xludf.DUMMYFUNCTION("""COMPUTED_VALUE"""),2.0)</f>
        <v>2</v>
      </c>
      <c r="AF1474" s="65"/>
      <c r="AG1474" s="65"/>
      <c r="AH1474" s="65"/>
      <c r="AI1474" s="65"/>
      <c r="AJ1474" s="65"/>
      <c r="AK1474" s="65"/>
      <c r="AL1474" s="65"/>
      <c r="AM1474" s="65"/>
      <c r="AN1474" s="65" t="str">
        <f>IFERROR(__xludf.DUMMYFUNCTION("""COMPUTED_VALUE"""),"17:19")</f>
        <v>17:19</v>
      </c>
      <c r="AO1474" s="65" t="str">
        <f>IFERROR(__xludf.DUMMYFUNCTION("""COMPUTED_VALUE"""),"27-01-2026")</f>
        <v>27-01-2026</v>
      </c>
      <c r="AP1474" s="65" t="str">
        <f>IFERROR(__xludf.DUMMYFUNCTION("""COMPUTED_VALUE"""),"EN TRÁNSITO")</f>
        <v>EN TRÁNSITO</v>
      </c>
      <c r="AQ1474" s="65" t="str">
        <f>IFERROR(__xludf.DUMMYFUNCTION("""COMPUTED_VALUE"""),"EN TRÁNSITO")</f>
        <v>EN TRÁNSITO</v>
      </c>
      <c r="AR1474" s="65"/>
      <c r="AS1474" s="65"/>
      <c r="AT1474" s="65" t="str">
        <f>IFERROR(__xludf.DUMMYFUNCTION("""COMPUTED_VALUE"""),"SHOPIFY")</f>
        <v>SHOPIFY</v>
      </c>
      <c r="AU1474" s="65" t="str">
        <f>IFERROR(__xludf.DUMMYFUNCTION("""COMPUTED_VALUE"""),"IMPORTEX EC")</f>
        <v>IMPORTEX EC</v>
      </c>
      <c r="AV1474" s="65" t="str">
        <f>IFERROR(__xludf.DUMMYFUNCTION("""COMPUTED_VALUE"""),"6443792400428")</f>
        <v>6443792400428</v>
      </c>
      <c r="AW1474" s="65">
        <f>IFERROR(__xludf.DUMMYFUNCTION("""COMPUTED_VALUE"""),5465.0)</f>
        <v>5465</v>
      </c>
      <c r="AX1474" s="65"/>
      <c r="AY1474" s="65" t="str">
        <f>IFERROR(__xludf.DUMMYFUNCTION("""COMPUTED_VALUE"""),"27/01/2026")</f>
        <v>27/01/2026</v>
      </c>
      <c r="AZ1474" s="65"/>
      <c r="BA1474" s="65"/>
    </row>
    <row r="1475">
      <c r="A1475" s="65" t="str">
        <f>IFERROR(__xludf.DUMMYFUNCTION("""COMPUTED_VALUE"""),"27-03-2026")</f>
        <v>27-03-2026</v>
      </c>
      <c r="B1475" s="65">
        <f>IFERROR(__xludf.DUMMYFUNCTION("""COMPUTED_VALUE"""),4263010.0)</f>
        <v>4263010</v>
      </c>
      <c r="C1475" s="65" t="str">
        <f>IFERROR(__xludf.DUMMYFUNCTION("""COMPUTED_VALUE"""),"12:22")</f>
        <v>12:22</v>
      </c>
      <c r="D1475" s="65" t="str">
        <f>IFERROR(__xludf.DUMMYFUNCTION("""COMPUTED_VALUE"""),"24-01-2026")</f>
        <v>24-01-2026</v>
      </c>
      <c r="E1475" s="65" t="str">
        <f>IFERROR(__xludf.DUMMYFUNCTION("""COMPUTED_VALUE"""),"DARWIN MICHAEL Mendoza")</f>
        <v>DARWIN MICHAEL Mendoza</v>
      </c>
      <c r="F1475" s="65" t="str">
        <f>IFERROR(__xludf.DUMMYFUNCTION("""COMPUTED_VALUE"""),"992276285")</f>
        <v>992276285</v>
      </c>
      <c r="G1475" s="65" t="str">
        <f>IFERROR(__xludf.DUMMYFUNCTION("""COMPUTED_VALUE"""),"michael-darwin2@hotmail.es")</f>
        <v>michael-darwin2@hotmail.es</v>
      </c>
      <c r="H1475" s="65"/>
      <c r="I1475" s="65"/>
      <c r="J1475" s="65"/>
      <c r="K1475" s="65" t="str">
        <f>IFERROR(__xludf.DUMMYFUNCTION("""COMPUTED_VALUE"""),"CANCELADO")</f>
        <v>CANCELADO</v>
      </c>
      <c r="L1475" s="65" t="str">
        <f>IFERROR(__xludf.DUMMYFUNCTION("""COMPUTED_VALUE"""),"CON RECAUDO")</f>
        <v>CON RECAUDO</v>
      </c>
      <c r="M1475" s="65" t="str">
        <f>IFERROR(__xludf.DUMMYFUNCTION("""COMPUTED_VALUE"""),"LOS RIOS")</f>
        <v>LOS RIOS</v>
      </c>
      <c r="N1475" s="65" t="str">
        <f>IFERROR(__xludf.DUMMYFUNCTION("""COMPUTED_VALUE"""),"QUEVEDO")</f>
        <v>QUEVEDO</v>
      </c>
      <c r="O1475" s="65" t="str">
        <f>IFERROR(__xludf.DUMMYFUNCTION("""COMPUTED_VALUE"""),"Los Ríos 24 mayo y la florida -")</f>
        <v>Los Ríos 24 mayo y la florida -</v>
      </c>
      <c r="P1475" s="65"/>
      <c r="Q1475" s="65" t="str">
        <f>IFERROR(__xludf.DUMMYFUNCTION("""COMPUTED_VALUE"""),"GINTRACOM")</f>
        <v>GINTRACOM</v>
      </c>
      <c r="R1475" s="65">
        <f>IFERROR(__xludf.DUMMYFUNCTION("""COMPUTED_VALUE"""),20.0)</f>
        <v>20</v>
      </c>
      <c r="S1475" s="65"/>
      <c r="T1475" s="65">
        <f>IFERROR(__xludf.DUMMYFUNCTION("""COMPUTED_VALUE"""),5.76)</f>
        <v>5.76</v>
      </c>
      <c r="U1475" s="65">
        <f>IFERROR(__xludf.DUMMYFUNCTION("""COMPUTED_VALUE"""),0.0)</f>
        <v>0</v>
      </c>
      <c r="V1475" s="65">
        <f>IFERROR(__xludf.DUMMYFUNCTION("""COMPUTED_VALUE"""),0.0)</f>
        <v>0</v>
      </c>
      <c r="W1475" s="65">
        <f>IFERROR(__xludf.DUMMYFUNCTION("""COMPUTED_VALUE"""),0.0)</f>
        <v>0</v>
      </c>
      <c r="X1475" s="65">
        <f>IFERROR(__xludf.DUMMYFUNCTION("""COMPUTED_VALUE"""),2.35)</f>
        <v>2.35</v>
      </c>
      <c r="Y1475" s="65">
        <f>IFERROR(__xludf.DUMMYFUNCTION("""COMPUTED_VALUE"""),2.35)</f>
        <v>2.35</v>
      </c>
      <c r="Z1475" s="65">
        <f>IFERROR(__xludf.DUMMYFUNCTION("""COMPUTED_VALUE"""),116679.0)</f>
        <v>116679</v>
      </c>
      <c r="AA1475" s="65" t="str">
        <f>IFERROR(__xludf.DUMMYFUNCTION("""COMPUTED_VALUE"""),"AMC-2738")</f>
        <v>AMC-2738</v>
      </c>
      <c r="AB1475" s="65"/>
      <c r="AC1475" s="65" t="str">
        <f>IFERROR(__xludf.DUMMYFUNCTION("""COMPUTED_VALUE"""),"ESPONJA ANTILLUVIA DE PARABRISAS")</f>
        <v>ESPONJA ANTILLUVIA DE PARABRISAS</v>
      </c>
      <c r="AD1475" s="65"/>
      <c r="AE1475" s="65">
        <f>IFERROR(__xludf.DUMMYFUNCTION("""COMPUTED_VALUE"""),1.0)</f>
        <v>1</v>
      </c>
      <c r="AF1475" s="65"/>
      <c r="AG1475" s="65"/>
      <c r="AH1475" s="65"/>
      <c r="AI1475" s="65"/>
      <c r="AJ1475" s="65"/>
      <c r="AK1475" s="65"/>
      <c r="AL1475" s="65"/>
      <c r="AM1475" s="65"/>
      <c r="AN1475" s="65"/>
      <c r="AO1475" s="65"/>
      <c r="AP1475" s="65"/>
      <c r="AQ1475" s="65"/>
      <c r="AR1475" s="65"/>
      <c r="AS1475" s="65"/>
      <c r="AT1475" s="65" t="str">
        <f>IFERROR(__xludf.DUMMYFUNCTION("""COMPUTED_VALUE"""),"SHOPIFY")</f>
        <v>SHOPIFY</v>
      </c>
      <c r="AU1475" s="65" t="str">
        <f>IFERROR(__xludf.DUMMYFUNCTION("""COMPUTED_VALUE"""),"IMPORTEX EC")</f>
        <v>IMPORTEX EC</v>
      </c>
      <c r="AV1475" s="65" t="str">
        <f>IFERROR(__xludf.DUMMYFUNCTION("""COMPUTED_VALUE"""),"6443714478124")</f>
        <v>6443714478124</v>
      </c>
      <c r="AW1475" s="65">
        <f>IFERROR(__xludf.DUMMYFUNCTION("""COMPUTED_VALUE"""),5463.0)</f>
        <v>5463</v>
      </c>
      <c r="AX1475" s="65"/>
      <c r="AY1475" s="65"/>
      <c r="AZ1475" s="65"/>
      <c r="BA1475" s="65"/>
    </row>
    <row r="1476">
      <c r="A1476" s="65" t="str">
        <f>IFERROR(__xludf.DUMMYFUNCTION("""COMPUTED_VALUE"""),"27-03-2026")</f>
        <v>27-03-2026</v>
      </c>
      <c r="B1476" s="65">
        <f>IFERROR(__xludf.DUMMYFUNCTION("""COMPUTED_VALUE"""),4262407.0)</f>
        <v>4262407</v>
      </c>
      <c r="C1476" s="65" t="str">
        <f>IFERROR(__xludf.DUMMYFUNCTION("""COMPUTED_VALUE"""),"11:19")</f>
        <v>11:19</v>
      </c>
      <c r="D1476" s="65" t="str">
        <f>IFERROR(__xludf.DUMMYFUNCTION("""COMPUTED_VALUE"""),"24-01-2026")</f>
        <v>24-01-2026</v>
      </c>
      <c r="E1476" s="65" t="str">
        <f>IFERROR(__xludf.DUMMYFUNCTION("""COMPUTED_VALUE"""),"David Parra")</f>
        <v>David Parra</v>
      </c>
      <c r="F1476" s="65" t="str">
        <f>IFERROR(__xludf.DUMMYFUNCTION("""COMPUTED_VALUE"""),"989350511")</f>
        <v>989350511</v>
      </c>
      <c r="G1476" s="65" t="str">
        <f>IFERROR(__xludf.DUMMYFUNCTION("""COMPUTED_VALUE"""),"chrisbellary@gmail.com")</f>
        <v>chrisbellary@gmail.com</v>
      </c>
      <c r="H1476" s="65"/>
      <c r="I1476" s="65"/>
      <c r="J1476" s="65" t="str">
        <f>IFERROR(__xludf.DUMMYFUNCTION("""COMPUTED_VALUE"""),"D001266750")</f>
        <v>D001266750</v>
      </c>
      <c r="K1476" s="65" t="str">
        <f>IFERROR(__xludf.DUMMYFUNCTION("""COMPUTED_VALUE"""),"DEVOLUCION")</f>
        <v>DEVOLUCION</v>
      </c>
      <c r="L1476" s="65" t="str">
        <f>IFERROR(__xludf.DUMMYFUNCTION("""COMPUTED_VALUE"""),"CON RECAUDO")</f>
        <v>CON RECAUDO</v>
      </c>
      <c r="M1476" s="65" t="str">
        <f>IFERROR(__xludf.DUMMYFUNCTION("""COMPUTED_VALUE"""),"PICHINCHA")</f>
        <v>PICHINCHA</v>
      </c>
      <c r="N1476" s="65" t="str">
        <f>IFERROR(__xludf.DUMMYFUNCTION("""COMPUTED_VALUE"""),"CALDERON")</f>
        <v>CALDERON</v>
      </c>
      <c r="O1476" s="65" t="str">
        <f>IFERROR(__xludf.DUMMYFUNCTION("""COMPUTED_VALUE"""),"Calderon calle el arenal Casa 45")</f>
        <v>Calderon calle el arenal Casa 45</v>
      </c>
      <c r="P1476" s="65"/>
      <c r="Q1476" s="65" t="str">
        <f>IFERROR(__xludf.DUMMYFUNCTION("""COMPUTED_VALUE"""),"GINTRACOM")</f>
        <v>GINTRACOM</v>
      </c>
      <c r="R1476" s="65">
        <f>IFERROR(__xludf.DUMMYFUNCTION("""COMPUTED_VALUE"""),20.0)</f>
        <v>20</v>
      </c>
      <c r="S1476" s="65"/>
      <c r="T1476" s="65">
        <f>IFERROR(__xludf.DUMMYFUNCTION("""COMPUTED_VALUE"""),4.72)</f>
        <v>4.72</v>
      </c>
      <c r="U1476" s="65">
        <f>IFERROR(__xludf.DUMMYFUNCTION("""COMPUTED_VALUE"""),0.0)</f>
        <v>0</v>
      </c>
      <c r="V1476" s="65">
        <f>IFERROR(__xludf.DUMMYFUNCTION("""COMPUTED_VALUE"""),0.0)</f>
        <v>0</v>
      </c>
      <c r="W1476" s="65">
        <f>IFERROR(__xludf.DUMMYFUNCTION("""COMPUTED_VALUE"""),0.0)</f>
        <v>0</v>
      </c>
      <c r="X1476" s="65">
        <f>IFERROR(__xludf.DUMMYFUNCTION("""COMPUTED_VALUE"""),2.35)</f>
        <v>2.35</v>
      </c>
      <c r="Y1476" s="65">
        <f>IFERROR(__xludf.DUMMYFUNCTION("""COMPUTED_VALUE"""),2.35)</f>
        <v>2.35</v>
      </c>
      <c r="Z1476" s="65">
        <f>IFERROR(__xludf.DUMMYFUNCTION("""COMPUTED_VALUE"""),116679.0)</f>
        <v>116679</v>
      </c>
      <c r="AA1476" s="65" t="str">
        <f>IFERROR(__xludf.DUMMYFUNCTION("""COMPUTED_VALUE"""),"AMC-2738")</f>
        <v>AMC-2738</v>
      </c>
      <c r="AB1476" s="65"/>
      <c r="AC1476" s="65" t="str">
        <f>IFERROR(__xludf.DUMMYFUNCTION("""COMPUTED_VALUE"""),"ESPONJA ANTILLUVIA DE PARABRISAS")</f>
        <v>ESPONJA ANTILLUVIA DE PARABRISAS</v>
      </c>
      <c r="AD1476" s="65"/>
      <c r="AE1476" s="65">
        <f>IFERROR(__xludf.DUMMYFUNCTION("""COMPUTED_VALUE"""),1.0)</f>
        <v>1</v>
      </c>
      <c r="AF1476" s="65" t="str">
        <f>IFERROR(__xludf.DUMMYFUNCTION("""COMPUTED_VALUE"""),"DESTINATARIO NO CONTESTA LLAMADAS NI WHATSAPP")</f>
        <v>DESTINATARIO NO CONTESTA LLAMADAS NI WHATSAPP</v>
      </c>
      <c r="AG1476" s="65" t="str">
        <f>IFERROR(__xludf.DUMMYFUNCTION("""COMPUTED_VALUE"""),"NO")</f>
        <v>NO</v>
      </c>
      <c r="AH1476" s="65" t="str">
        <f>IFERROR(__xludf.DUMMYFUNCTION("""COMPUTED_VALUE"""),"09:00")</f>
        <v>09:00</v>
      </c>
      <c r="AI1476" s="65" t="str">
        <f>IFERROR(__xludf.DUMMYFUNCTION("""COMPUTED_VALUE"""),"06-02-2026")</f>
        <v>06-02-2026</v>
      </c>
      <c r="AJ1476" s="65"/>
      <c r="AK1476" s="65"/>
      <c r="AL1476" s="65"/>
      <c r="AM1476" s="65"/>
      <c r="AN1476" s="65" t="str">
        <f>IFERROR(__xludf.DUMMYFUNCTION("""COMPUTED_VALUE"""),"16:27")</f>
        <v>16:27</v>
      </c>
      <c r="AO1476" s="65" t="str">
        <f>IFERROR(__xludf.DUMMYFUNCTION("""COMPUTED_VALUE"""),"10-02-2026")</f>
        <v>10-02-2026</v>
      </c>
      <c r="AP1476" s="65" t="str">
        <f>IFERROR(__xludf.DUMMYFUNCTION("""COMPUTED_VALUE"""),"DEVOLUCIÓN ENTREGADA A ORIGEN")</f>
        <v>DEVOLUCIÓN ENTREGADA A ORIGEN</v>
      </c>
      <c r="AQ1476" s="65" t="str">
        <f>IFERROR(__xludf.DUMMYFUNCTION("""COMPUTED_VALUE"""),"DEVOLUCIÓN ENTREGADA A ORIGEN")</f>
        <v>DEVOLUCIÓN ENTREGADA A ORIGEN</v>
      </c>
      <c r="AR1476" s="65"/>
      <c r="AS1476" s="65"/>
      <c r="AT1476" s="65" t="str">
        <f>IFERROR(__xludf.DUMMYFUNCTION("""COMPUTED_VALUE"""),"SHOPIFY")</f>
        <v>SHOPIFY</v>
      </c>
      <c r="AU1476" s="65" t="str">
        <f>IFERROR(__xludf.DUMMYFUNCTION("""COMPUTED_VALUE"""),"IMPORTEX EC")</f>
        <v>IMPORTEX EC</v>
      </c>
      <c r="AV1476" s="65" t="str">
        <f>IFERROR(__xludf.DUMMYFUNCTION("""COMPUTED_VALUE"""),"6443519836204")</f>
        <v>6443519836204</v>
      </c>
      <c r="AW1476" s="65">
        <f>IFERROR(__xludf.DUMMYFUNCTION("""COMPUTED_VALUE"""),5462.0)</f>
        <v>5462</v>
      </c>
      <c r="AX1476" s="65"/>
      <c r="AY1476" s="65" t="str">
        <f>IFERROR(__xludf.DUMMYFUNCTION("""COMPUTED_VALUE"""),"27/01/2026")</f>
        <v>27/01/2026</v>
      </c>
      <c r="AZ1476" s="65"/>
      <c r="BA1476" s="65"/>
    </row>
    <row r="1477">
      <c r="A1477" s="65" t="str">
        <f>IFERROR(__xludf.DUMMYFUNCTION("""COMPUTED_VALUE"""),"27-03-2026")</f>
        <v>27-03-2026</v>
      </c>
      <c r="B1477" s="65">
        <f>IFERROR(__xludf.DUMMYFUNCTION("""COMPUTED_VALUE"""),4262404.0)</f>
        <v>4262404</v>
      </c>
      <c r="C1477" s="65" t="str">
        <f>IFERROR(__xludf.DUMMYFUNCTION("""COMPUTED_VALUE"""),"11:18")</f>
        <v>11:18</v>
      </c>
      <c r="D1477" s="65" t="str">
        <f>IFERROR(__xludf.DUMMYFUNCTION("""COMPUTED_VALUE"""),"24-01-2026")</f>
        <v>24-01-2026</v>
      </c>
      <c r="E1477" s="65" t="str">
        <f>IFERROR(__xludf.DUMMYFUNCTION("""COMPUTED_VALUE"""),"Martha Esperanza Ramos Muñoz")</f>
        <v>Martha Esperanza Ramos Muñoz</v>
      </c>
      <c r="F1477" s="65" t="str">
        <f>IFERROR(__xludf.DUMMYFUNCTION("""COMPUTED_VALUE"""),"994721550")</f>
        <v>994721550</v>
      </c>
      <c r="G1477" s="65" t="str">
        <f>IFERROR(__xludf.DUMMYFUNCTION("""COMPUTED_VALUE"""),"lacanita2016@hotmail.com")</f>
        <v>lacanita2016@hotmail.com</v>
      </c>
      <c r="H1477" s="65"/>
      <c r="I1477" s="65"/>
      <c r="J1477" s="65" t="str">
        <f>IFERROR(__xludf.DUMMYFUNCTION("""COMPUTED_VALUE"""),"D001266752")</f>
        <v>D001266752</v>
      </c>
      <c r="K1477" s="65" t="str">
        <f>IFERROR(__xludf.DUMMYFUNCTION("""COMPUTED_VALUE"""),"ENTREGADO")</f>
        <v>ENTREGADO</v>
      </c>
      <c r="L1477" s="65" t="str">
        <f>IFERROR(__xludf.DUMMYFUNCTION("""COMPUTED_VALUE"""),"CON RECAUDO")</f>
        <v>CON RECAUDO</v>
      </c>
      <c r="M1477" s="65" t="str">
        <f>IFERROR(__xludf.DUMMYFUNCTION("""COMPUTED_VALUE"""),"SUCUMBIOS")</f>
        <v>SUCUMBIOS</v>
      </c>
      <c r="N1477" s="65" t="str">
        <f>IFERROR(__xludf.DUMMYFUNCTION("""COMPUTED_VALUE"""),"LAGO AGRIO")</f>
        <v>LAGO AGRIO</v>
      </c>
      <c r="O1477" s="65" t="str">
        <f>IFERROR(__xludf.DUMMYFUNCTION("""COMPUTED_VALUE"""),"Via Quito y Eugenio Espejo esquina, Junto a la gasolinera Petro Ecuador")</f>
        <v>Via Quito y Eugenio Espejo esquina, Junto a la gasolinera Petro Ecuador</v>
      </c>
      <c r="P1477" s="65"/>
      <c r="Q1477" s="65" t="str">
        <f>IFERROR(__xludf.DUMMYFUNCTION("""COMPUTED_VALUE"""),"GINTRACOM")</f>
        <v>GINTRACOM</v>
      </c>
      <c r="R1477" s="65">
        <f>IFERROR(__xludf.DUMMYFUNCTION("""COMPUTED_VALUE"""),25.0)</f>
        <v>25</v>
      </c>
      <c r="S1477" s="65">
        <f>IFERROR(__xludf.DUMMYFUNCTION("""COMPUTED_VALUE"""),14.34)</f>
        <v>14.34</v>
      </c>
      <c r="T1477" s="65">
        <f>IFERROR(__xludf.DUMMYFUNCTION("""COMPUTED_VALUE"""),5.96)</f>
        <v>5.96</v>
      </c>
      <c r="U1477" s="65">
        <f>IFERROR(__xludf.DUMMYFUNCTION("""COMPUTED_VALUE"""),0.0)</f>
        <v>0</v>
      </c>
      <c r="V1477" s="65">
        <f>IFERROR(__xludf.DUMMYFUNCTION("""COMPUTED_VALUE"""),0.0)</f>
        <v>0</v>
      </c>
      <c r="W1477" s="65">
        <f>IFERROR(__xludf.DUMMYFUNCTION("""COMPUTED_VALUE"""),0.0)</f>
        <v>0</v>
      </c>
      <c r="X1477" s="65">
        <f>IFERROR(__xludf.DUMMYFUNCTION("""COMPUTED_VALUE"""),2.35)</f>
        <v>2.35</v>
      </c>
      <c r="Y1477" s="65">
        <f>IFERROR(__xludf.DUMMYFUNCTION("""COMPUTED_VALUE"""),4.7)</f>
        <v>4.7</v>
      </c>
      <c r="Z1477" s="65">
        <f>IFERROR(__xludf.DUMMYFUNCTION("""COMPUTED_VALUE"""),116679.0)</f>
        <v>116679</v>
      </c>
      <c r="AA1477" s="65" t="str">
        <f>IFERROR(__xludf.DUMMYFUNCTION("""COMPUTED_VALUE"""),"AMC-2738")</f>
        <v>AMC-2738</v>
      </c>
      <c r="AB1477" s="65"/>
      <c r="AC1477" s="65" t="str">
        <f>IFERROR(__xludf.DUMMYFUNCTION("""COMPUTED_VALUE"""),"ESPONJA ANTILLUVIA DE PARABRISAS")</f>
        <v>ESPONJA ANTILLUVIA DE PARABRISAS</v>
      </c>
      <c r="AD1477" s="65"/>
      <c r="AE1477" s="65">
        <f>IFERROR(__xludf.DUMMYFUNCTION("""COMPUTED_VALUE"""),2.0)</f>
        <v>2</v>
      </c>
      <c r="AF1477" s="65"/>
      <c r="AG1477" s="65"/>
      <c r="AH1477" s="65"/>
      <c r="AI1477" s="65"/>
      <c r="AJ1477" s="65"/>
      <c r="AK1477" s="65"/>
      <c r="AL1477" s="65"/>
      <c r="AM1477" s="65"/>
      <c r="AN1477" s="65" t="str">
        <f>IFERROR(__xludf.DUMMYFUNCTION("""COMPUTED_VALUE"""),"17:19")</f>
        <v>17:19</v>
      </c>
      <c r="AO1477" s="65" t="str">
        <f>IFERROR(__xludf.DUMMYFUNCTION("""COMPUTED_VALUE"""),"27-01-2026")</f>
        <v>27-01-2026</v>
      </c>
      <c r="AP1477" s="65" t="str">
        <f>IFERROR(__xludf.DUMMYFUNCTION("""COMPUTED_VALUE"""),"EN TRÁNSITO")</f>
        <v>EN TRÁNSITO</v>
      </c>
      <c r="AQ1477" s="65" t="str">
        <f>IFERROR(__xludf.DUMMYFUNCTION("""COMPUTED_VALUE"""),"EN TRÁNSITO")</f>
        <v>EN TRÁNSITO</v>
      </c>
      <c r="AR1477" s="65"/>
      <c r="AS1477" s="65"/>
      <c r="AT1477" s="65" t="str">
        <f>IFERROR(__xludf.DUMMYFUNCTION("""COMPUTED_VALUE"""),"SHOPIFY")</f>
        <v>SHOPIFY</v>
      </c>
      <c r="AU1477" s="65" t="str">
        <f>IFERROR(__xludf.DUMMYFUNCTION("""COMPUTED_VALUE"""),"IMPORTEX EC")</f>
        <v>IMPORTEX EC</v>
      </c>
      <c r="AV1477" s="65" t="str">
        <f>IFERROR(__xludf.DUMMYFUNCTION("""COMPUTED_VALUE"""),"6443516723244")</f>
        <v>6443516723244</v>
      </c>
      <c r="AW1477" s="65">
        <f>IFERROR(__xludf.DUMMYFUNCTION("""COMPUTED_VALUE"""),5461.0)</f>
        <v>5461</v>
      </c>
      <c r="AX1477" s="65"/>
      <c r="AY1477" s="65" t="str">
        <f>IFERROR(__xludf.DUMMYFUNCTION("""COMPUTED_VALUE"""),"27/01/2026")</f>
        <v>27/01/2026</v>
      </c>
      <c r="AZ1477" s="65"/>
      <c r="BA1477" s="65"/>
    </row>
    <row r="1478">
      <c r="A1478" s="65" t="str">
        <f>IFERROR(__xludf.DUMMYFUNCTION("""COMPUTED_VALUE"""),"27-03-2026")</f>
        <v>27-03-2026</v>
      </c>
      <c r="B1478" s="65">
        <f>IFERROR(__xludf.DUMMYFUNCTION("""COMPUTED_VALUE"""),4262217.0)</f>
        <v>4262217</v>
      </c>
      <c r="C1478" s="65" t="str">
        <f>IFERROR(__xludf.DUMMYFUNCTION("""COMPUTED_VALUE"""),"11:01")</f>
        <v>11:01</v>
      </c>
      <c r="D1478" s="65" t="str">
        <f>IFERROR(__xludf.DUMMYFUNCTION("""COMPUTED_VALUE"""),"24-01-2026")</f>
        <v>24-01-2026</v>
      </c>
      <c r="E1478" s="65" t="str">
        <f>IFERROR(__xludf.DUMMYFUNCTION("""COMPUTED_VALUE"""),"Carlos Siguenza")</f>
        <v>Carlos Siguenza</v>
      </c>
      <c r="F1478" s="65" t="str">
        <f>IFERROR(__xludf.DUMMYFUNCTION("""COMPUTED_VALUE"""),"997027027")</f>
        <v>997027027</v>
      </c>
      <c r="G1478" s="65" t="str">
        <f>IFERROR(__xludf.DUMMYFUNCTION("""COMPUTED_VALUE"""),"oficina_imaginarq@yahoo.com")</f>
        <v>oficina_imaginarq@yahoo.com</v>
      </c>
      <c r="H1478" s="65"/>
      <c r="I1478" s="65"/>
      <c r="J1478" s="65"/>
      <c r="K1478" s="65" t="str">
        <f>IFERROR(__xludf.DUMMYFUNCTION("""COMPUTED_VALUE"""),"CANCELADO")</f>
        <v>CANCELADO</v>
      </c>
      <c r="L1478" s="65" t="str">
        <f>IFERROR(__xludf.DUMMYFUNCTION("""COMPUTED_VALUE"""),"CON RECAUDO")</f>
        <v>CON RECAUDO</v>
      </c>
      <c r="M1478" s="65" t="str">
        <f>IFERROR(__xludf.DUMMYFUNCTION("""COMPUTED_VALUE"""),"AZUAY")</f>
        <v>AZUAY</v>
      </c>
      <c r="N1478" s="65" t="str">
        <f>IFERROR(__xludf.DUMMYFUNCTION("""COMPUTED_VALUE"""),"CUENCA")</f>
        <v>CUENCA</v>
      </c>
      <c r="O1478" s="65" t="str">
        <f>IFERROR(__xludf.DUMMYFUNCTION("""COMPUTED_VALUE"""),"Ernesto Guevara y Av. Gonzáles Suárez Casa de 2 pisos con cerramiento vegetal de buganbilla -")</f>
        <v>Ernesto Guevara y Av. Gonzáles Suárez Casa de 2 pisos con cerramiento vegetal de buganbilla -</v>
      </c>
      <c r="P1478" s="65"/>
      <c r="Q1478" s="65" t="str">
        <f>IFERROR(__xludf.DUMMYFUNCTION("""COMPUTED_VALUE"""),"GINTRACOM")</f>
        <v>GINTRACOM</v>
      </c>
      <c r="R1478" s="65">
        <f>IFERROR(__xludf.DUMMYFUNCTION("""COMPUTED_VALUE"""),30.0)</f>
        <v>30</v>
      </c>
      <c r="S1478" s="65"/>
      <c r="T1478" s="65">
        <f>IFERROR(__xludf.DUMMYFUNCTION("""COMPUTED_VALUE"""),6.16)</f>
        <v>6.16</v>
      </c>
      <c r="U1478" s="65">
        <f>IFERROR(__xludf.DUMMYFUNCTION("""COMPUTED_VALUE"""),0.0)</f>
        <v>0</v>
      </c>
      <c r="V1478" s="65">
        <f>IFERROR(__xludf.DUMMYFUNCTION("""COMPUTED_VALUE"""),0.0)</f>
        <v>0</v>
      </c>
      <c r="W1478" s="65">
        <f>IFERROR(__xludf.DUMMYFUNCTION("""COMPUTED_VALUE"""),0.0)</f>
        <v>0</v>
      </c>
      <c r="X1478" s="65">
        <f>IFERROR(__xludf.DUMMYFUNCTION("""COMPUTED_VALUE"""),2.35)</f>
        <v>2.35</v>
      </c>
      <c r="Y1478" s="65">
        <f>IFERROR(__xludf.DUMMYFUNCTION("""COMPUTED_VALUE"""),7.05)</f>
        <v>7.05</v>
      </c>
      <c r="Z1478" s="65">
        <f>IFERROR(__xludf.DUMMYFUNCTION("""COMPUTED_VALUE"""),116679.0)</f>
        <v>116679</v>
      </c>
      <c r="AA1478" s="65" t="str">
        <f>IFERROR(__xludf.DUMMYFUNCTION("""COMPUTED_VALUE"""),"AMC-2738")</f>
        <v>AMC-2738</v>
      </c>
      <c r="AB1478" s="65"/>
      <c r="AC1478" s="65" t="str">
        <f>IFERROR(__xludf.DUMMYFUNCTION("""COMPUTED_VALUE"""),"ESPONJA ANTILLUVIA DE PARABRISAS")</f>
        <v>ESPONJA ANTILLUVIA DE PARABRISAS</v>
      </c>
      <c r="AD1478" s="65"/>
      <c r="AE1478" s="65">
        <f>IFERROR(__xludf.DUMMYFUNCTION("""COMPUTED_VALUE"""),3.0)</f>
        <v>3</v>
      </c>
      <c r="AF1478" s="65"/>
      <c r="AG1478" s="65"/>
      <c r="AH1478" s="65"/>
      <c r="AI1478" s="65"/>
      <c r="AJ1478" s="65"/>
      <c r="AK1478" s="65"/>
      <c r="AL1478" s="65"/>
      <c r="AM1478" s="65"/>
      <c r="AN1478" s="65"/>
      <c r="AO1478" s="65"/>
      <c r="AP1478" s="65"/>
      <c r="AQ1478" s="65"/>
      <c r="AR1478" s="65"/>
      <c r="AS1478" s="65"/>
      <c r="AT1478" s="65" t="str">
        <f>IFERROR(__xludf.DUMMYFUNCTION("""COMPUTED_VALUE"""),"SHOPIFY")</f>
        <v>SHOPIFY</v>
      </c>
      <c r="AU1478" s="65" t="str">
        <f>IFERROR(__xludf.DUMMYFUNCTION("""COMPUTED_VALUE"""),"IMPORTEX EC")</f>
        <v>IMPORTEX EC</v>
      </c>
      <c r="AV1478" s="65" t="str">
        <f>IFERROR(__xludf.DUMMYFUNCTION("""COMPUTED_VALUE"""),"6443472257068")</f>
        <v>6443472257068</v>
      </c>
      <c r="AW1478" s="65">
        <f>IFERROR(__xludf.DUMMYFUNCTION("""COMPUTED_VALUE"""),5460.0)</f>
        <v>5460</v>
      </c>
      <c r="AX1478" s="65"/>
      <c r="AY1478" s="65"/>
      <c r="AZ1478" s="65"/>
      <c r="BA1478" s="65"/>
    </row>
    <row r="1479">
      <c r="A1479" s="65" t="str">
        <f>IFERROR(__xludf.DUMMYFUNCTION("""COMPUTED_VALUE"""),"27-03-2026")</f>
        <v>27-03-2026</v>
      </c>
      <c r="B1479" s="65">
        <f>IFERROR(__xludf.DUMMYFUNCTION("""COMPUTED_VALUE"""),4261910.0)</f>
        <v>4261910</v>
      </c>
      <c r="C1479" s="65" t="str">
        <f>IFERROR(__xludf.DUMMYFUNCTION("""COMPUTED_VALUE"""),"10:28")</f>
        <v>10:28</v>
      </c>
      <c r="D1479" s="65" t="str">
        <f>IFERROR(__xludf.DUMMYFUNCTION("""COMPUTED_VALUE"""),"24-01-2026")</f>
        <v>24-01-2026</v>
      </c>
      <c r="E1479" s="65" t="str">
        <f>IFERROR(__xludf.DUMMYFUNCTION("""COMPUTED_VALUE"""),"Daniel Salazar")</f>
        <v>Daniel Salazar</v>
      </c>
      <c r="F1479" s="65" t="str">
        <f>IFERROR(__xludf.DUMMYFUNCTION("""COMPUTED_VALUE"""),"992285837")</f>
        <v>992285837</v>
      </c>
      <c r="G1479" s="65" t="str">
        <f>IFERROR(__xludf.DUMMYFUNCTION("""COMPUTED_VALUE"""),"legalsolution.ec@gmail.com")</f>
        <v>legalsolution.ec@gmail.com</v>
      </c>
      <c r="H1479" s="65"/>
      <c r="I1479" s="65"/>
      <c r="J1479" s="65" t="str">
        <f>IFERROR(__xludf.DUMMYFUNCTION("""COMPUTED_VALUE"""),"D001266753")</f>
        <v>D001266753</v>
      </c>
      <c r="K1479" s="65" t="str">
        <f>IFERROR(__xludf.DUMMYFUNCTION("""COMPUTED_VALUE"""),"ENTREGADO")</f>
        <v>ENTREGADO</v>
      </c>
      <c r="L1479" s="65" t="str">
        <f>IFERROR(__xludf.DUMMYFUNCTION("""COMPUTED_VALUE"""),"CON RECAUDO")</f>
        <v>CON RECAUDO</v>
      </c>
      <c r="M1479" s="65" t="str">
        <f>IFERROR(__xludf.DUMMYFUNCTION("""COMPUTED_VALUE"""),"GUAYAS")</f>
        <v>GUAYAS</v>
      </c>
      <c r="N1479" s="65" t="str">
        <f>IFERROR(__xludf.DUMMYFUNCTION("""COMPUTED_VALUE"""),"GUAYAQUIL")</f>
        <v>GUAYAQUIL</v>
      </c>
      <c r="O1479" s="65" t="str">
        <f>IFERROR(__xludf.DUMMYFUNCTION("""COMPUTED_VALUE"""),"Av. Joaquin Orrantia, edificio 100 business plaza, planta baja (recepción), frente al mall del sol junto al hotel sheraton")</f>
        <v>Av. Joaquin Orrantia, edificio 100 business plaza, planta baja (recepción), frente al mall del sol junto al hotel sheraton</v>
      </c>
      <c r="P1479" s="65"/>
      <c r="Q1479" s="65" t="str">
        <f>IFERROR(__xludf.DUMMYFUNCTION("""COMPUTED_VALUE"""),"GINTRACOM")</f>
        <v>GINTRACOM</v>
      </c>
      <c r="R1479" s="65">
        <f>IFERROR(__xludf.DUMMYFUNCTION("""COMPUTED_VALUE"""),25.0)</f>
        <v>25</v>
      </c>
      <c r="S1479" s="65">
        <f>IFERROR(__xludf.DUMMYFUNCTION("""COMPUTED_VALUE"""),14.34)</f>
        <v>14.34</v>
      </c>
      <c r="T1479" s="65">
        <f>IFERROR(__xludf.DUMMYFUNCTION("""COMPUTED_VALUE"""),5.96)</f>
        <v>5.96</v>
      </c>
      <c r="U1479" s="65">
        <f>IFERROR(__xludf.DUMMYFUNCTION("""COMPUTED_VALUE"""),0.0)</f>
        <v>0</v>
      </c>
      <c r="V1479" s="65">
        <f>IFERROR(__xludf.DUMMYFUNCTION("""COMPUTED_VALUE"""),0.0)</f>
        <v>0</v>
      </c>
      <c r="W1479" s="65">
        <f>IFERROR(__xludf.DUMMYFUNCTION("""COMPUTED_VALUE"""),0.0)</f>
        <v>0</v>
      </c>
      <c r="X1479" s="65">
        <f>IFERROR(__xludf.DUMMYFUNCTION("""COMPUTED_VALUE"""),2.35)</f>
        <v>2.35</v>
      </c>
      <c r="Y1479" s="65">
        <f>IFERROR(__xludf.DUMMYFUNCTION("""COMPUTED_VALUE"""),4.7)</f>
        <v>4.7</v>
      </c>
      <c r="Z1479" s="65">
        <f>IFERROR(__xludf.DUMMYFUNCTION("""COMPUTED_VALUE"""),116679.0)</f>
        <v>116679</v>
      </c>
      <c r="AA1479" s="65" t="str">
        <f>IFERROR(__xludf.DUMMYFUNCTION("""COMPUTED_VALUE"""),"AMC-2738")</f>
        <v>AMC-2738</v>
      </c>
      <c r="AB1479" s="65"/>
      <c r="AC1479" s="65" t="str">
        <f>IFERROR(__xludf.DUMMYFUNCTION("""COMPUTED_VALUE"""),"ESPONJA ANTILLUVIA DE PARABRISAS")</f>
        <v>ESPONJA ANTILLUVIA DE PARABRISAS</v>
      </c>
      <c r="AD1479" s="65"/>
      <c r="AE1479" s="65">
        <f>IFERROR(__xludf.DUMMYFUNCTION("""COMPUTED_VALUE"""),2.0)</f>
        <v>2</v>
      </c>
      <c r="AF1479" s="65"/>
      <c r="AG1479" s="65"/>
      <c r="AH1479" s="65"/>
      <c r="AI1479" s="65"/>
      <c r="AJ1479" s="65"/>
      <c r="AK1479" s="65"/>
      <c r="AL1479" s="65"/>
      <c r="AM1479" s="65"/>
      <c r="AN1479" s="65" t="str">
        <f>IFERROR(__xludf.DUMMYFUNCTION("""COMPUTED_VALUE"""),"17:19")</f>
        <v>17:19</v>
      </c>
      <c r="AO1479" s="65" t="str">
        <f>IFERROR(__xludf.DUMMYFUNCTION("""COMPUTED_VALUE"""),"27-01-2026")</f>
        <v>27-01-2026</v>
      </c>
      <c r="AP1479" s="65" t="str">
        <f>IFERROR(__xludf.DUMMYFUNCTION("""COMPUTED_VALUE"""),"EN TRÁNSITO")</f>
        <v>EN TRÁNSITO</v>
      </c>
      <c r="AQ1479" s="65" t="str">
        <f>IFERROR(__xludf.DUMMYFUNCTION("""COMPUTED_VALUE"""),"EN TRÁNSITO")</f>
        <v>EN TRÁNSITO</v>
      </c>
      <c r="AR1479" s="65"/>
      <c r="AS1479" s="65"/>
      <c r="AT1479" s="65" t="str">
        <f>IFERROR(__xludf.DUMMYFUNCTION("""COMPUTED_VALUE"""),"SHOPIFY")</f>
        <v>SHOPIFY</v>
      </c>
      <c r="AU1479" s="65" t="str">
        <f>IFERROR(__xludf.DUMMYFUNCTION("""COMPUTED_VALUE"""),"IMPORTEX EC")</f>
        <v>IMPORTEX EC</v>
      </c>
      <c r="AV1479" s="65" t="str">
        <f>IFERROR(__xludf.DUMMYFUNCTION("""COMPUTED_VALUE"""),"6443389354028")</f>
        <v>6443389354028</v>
      </c>
      <c r="AW1479" s="65">
        <f>IFERROR(__xludf.DUMMYFUNCTION("""COMPUTED_VALUE"""),5459.0)</f>
        <v>5459</v>
      </c>
      <c r="AX1479" s="65"/>
      <c r="AY1479" s="65" t="str">
        <f>IFERROR(__xludf.DUMMYFUNCTION("""COMPUTED_VALUE"""),"27/01/2026")</f>
        <v>27/01/2026</v>
      </c>
      <c r="AZ1479" s="65"/>
      <c r="BA1479" s="65"/>
    </row>
    <row r="1480">
      <c r="A1480" s="65" t="str">
        <f>IFERROR(__xludf.DUMMYFUNCTION("""COMPUTED_VALUE"""),"27-03-2026")</f>
        <v>27-03-2026</v>
      </c>
      <c r="B1480" s="65">
        <f>IFERROR(__xludf.DUMMYFUNCTION("""COMPUTED_VALUE"""),4261890.0)</f>
        <v>4261890</v>
      </c>
      <c r="C1480" s="65" t="str">
        <f>IFERROR(__xludf.DUMMYFUNCTION("""COMPUTED_VALUE"""),"10:27")</f>
        <v>10:27</v>
      </c>
      <c r="D1480" s="65" t="str">
        <f>IFERROR(__xludf.DUMMYFUNCTION("""COMPUTED_VALUE"""),"24-01-2026")</f>
        <v>24-01-2026</v>
      </c>
      <c r="E1480" s="65" t="str">
        <f>IFERROR(__xludf.DUMMYFUNCTION("""COMPUTED_VALUE"""),"Tito Moreano")</f>
        <v>Tito Moreano</v>
      </c>
      <c r="F1480" s="65" t="str">
        <f>IFERROR(__xludf.DUMMYFUNCTION("""COMPUTED_VALUE"""),"989594674")</f>
        <v>989594674</v>
      </c>
      <c r="G1480" s="65" t="str">
        <f>IFERROR(__xludf.DUMMYFUNCTION("""COMPUTED_VALUE"""),"titomoreano87@hotmail.com")</f>
        <v>titomoreano87@hotmail.com</v>
      </c>
      <c r="H1480" s="65"/>
      <c r="I1480" s="65"/>
      <c r="J1480" s="65" t="str">
        <f>IFERROR(__xludf.DUMMYFUNCTION("""COMPUTED_VALUE"""),"D001266755")</f>
        <v>D001266755</v>
      </c>
      <c r="K1480" s="65" t="str">
        <f>IFERROR(__xludf.DUMMYFUNCTION("""COMPUTED_VALUE"""),"ENTREGADO")</f>
        <v>ENTREGADO</v>
      </c>
      <c r="L1480" s="65" t="str">
        <f>IFERROR(__xludf.DUMMYFUNCTION("""COMPUTED_VALUE"""),"CON RECAUDO")</f>
        <v>CON RECAUDO</v>
      </c>
      <c r="M1480" s="65" t="str">
        <f>IFERROR(__xludf.DUMMYFUNCTION("""COMPUTED_VALUE"""),"GUAYAS")</f>
        <v>GUAYAS</v>
      </c>
      <c r="N1480" s="65" t="str">
        <f>IFERROR(__xludf.DUMMYFUNCTION("""COMPUTED_VALUE"""),"GUAYAQUIL")</f>
        <v>GUAYAQUIL</v>
      </c>
      <c r="O1480" s="65" t="str">
        <f>IFERROR(__xludf.DUMMYFUNCTION("""COMPUTED_VALUE"""),"Cdla guayaquil mz 13 solar 11 Diagonal al restaurante casa di carlos -")</f>
        <v>Cdla guayaquil mz 13 solar 11 Diagonal al restaurante casa di carlos -</v>
      </c>
      <c r="P1480" s="65"/>
      <c r="Q1480" s="65" t="str">
        <f>IFERROR(__xludf.DUMMYFUNCTION("""COMPUTED_VALUE"""),"GINTRACOM")</f>
        <v>GINTRACOM</v>
      </c>
      <c r="R1480" s="65">
        <f>IFERROR(__xludf.DUMMYFUNCTION("""COMPUTED_VALUE"""),25.0)</f>
        <v>25</v>
      </c>
      <c r="S1480" s="65">
        <f>IFERROR(__xludf.DUMMYFUNCTION("""COMPUTED_VALUE"""),14.34)</f>
        <v>14.34</v>
      </c>
      <c r="T1480" s="65">
        <f>IFERROR(__xludf.DUMMYFUNCTION("""COMPUTED_VALUE"""),5.96)</f>
        <v>5.96</v>
      </c>
      <c r="U1480" s="65">
        <f>IFERROR(__xludf.DUMMYFUNCTION("""COMPUTED_VALUE"""),0.0)</f>
        <v>0</v>
      </c>
      <c r="V1480" s="65">
        <f>IFERROR(__xludf.DUMMYFUNCTION("""COMPUTED_VALUE"""),0.0)</f>
        <v>0</v>
      </c>
      <c r="W1480" s="65">
        <f>IFERROR(__xludf.DUMMYFUNCTION("""COMPUTED_VALUE"""),0.0)</f>
        <v>0</v>
      </c>
      <c r="X1480" s="65">
        <f>IFERROR(__xludf.DUMMYFUNCTION("""COMPUTED_VALUE"""),2.35)</f>
        <v>2.35</v>
      </c>
      <c r="Y1480" s="65">
        <f>IFERROR(__xludf.DUMMYFUNCTION("""COMPUTED_VALUE"""),4.7)</f>
        <v>4.7</v>
      </c>
      <c r="Z1480" s="65">
        <f>IFERROR(__xludf.DUMMYFUNCTION("""COMPUTED_VALUE"""),116679.0)</f>
        <v>116679</v>
      </c>
      <c r="AA1480" s="65" t="str">
        <f>IFERROR(__xludf.DUMMYFUNCTION("""COMPUTED_VALUE"""),"AMC-2738")</f>
        <v>AMC-2738</v>
      </c>
      <c r="AB1480" s="65"/>
      <c r="AC1480" s="65" t="str">
        <f>IFERROR(__xludf.DUMMYFUNCTION("""COMPUTED_VALUE"""),"ESPONJA ANTILLUVIA DE PARABRISAS")</f>
        <v>ESPONJA ANTILLUVIA DE PARABRISAS</v>
      </c>
      <c r="AD1480" s="65"/>
      <c r="AE1480" s="65">
        <f>IFERROR(__xludf.DUMMYFUNCTION("""COMPUTED_VALUE"""),2.0)</f>
        <v>2</v>
      </c>
      <c r="AF1480" s="65"/>
      <c r="AG1480" s="65"/>
      <c r="AH1480" s="65"/>
      <c r="AI1480" s="65"/>
      <c r="AJ1480" s="65"/>
      <c r="AK1480" s="65"/>
      <c r="AL1480" s="65"/>
      <c r="AM1480" s="65"/>
      <c r="AN1480" s="65" t="str">
        <f>IFERROR(__xludf.DUMMYFUNCTION("""COMPUTED_VALUE"""),"17:19")</f>
        <v>17:19</v>
      </c>
      <c r="AO1480" s="65" t="str">
        <f>IFERROR(__xludf.DUMMYFUNCTION("""COMPUTED_VALUE"""),"27-01-2026")</f>
        <v>27-01-2026</v>
      </c>
      <c r="AP1480" s="65" t="str">
        <f>IFERROR(__xludf.DUMMYFUNCTION("""COMPUTED_VALUE"""),"EN TRÁNSITO")</f>
        <v>EN TRÁNSITO</v>
      </c>
      <c r="AQ1480" s="65" t="str">
        <f>IFERROR(__xludf.DUMMYFUNCTION("""COMPUTED_VALUE"""),"EN TRÁNSITO")</f>
        <v>EN TRÁNSITO</v>
      </c>
      <c r="AR1480" s="65"/>
      <c r="AS1480" s="65"/>
      <c r="AT1480" s="65" t="str">
        <f>IFERROR(__xludf.DUMMYFUNCTION("""COMPUTED_VALUE"""),"SHOPIFY")</f>
        <v>SHOPIFY</v>
      </c>
      <c r="AU1480" s="65" t="str">
        <f>IFERROR(__xludf.DUMMYFUNCTION("""COMPUTED_VALUE"""),"IMPORTEX EC")</f>
        <v>IMPORTEX EC</v>
      </c>
      <c r="AV1480" s="65" t="str">
        <f>IFERROR(__xludf.DUMMYFUNCTION("""COMPUTED_VALUE"""),"6443382964268")</f>
        <v>6443382964268</v>
      </c>
      <c r="AW1480" s="65">
        <f>IFERROR(__xludf.DUMMYFUNCTION("""COMPUTED_VALUE"""),5458.0)</f>
        <v>5458</v>
      </c>
      <c r="AX1480" s="65"/>
      <c r="AY1480" s="65" t="str">
        <f>IFERROR(__xludf.DUMMYFUNCTION("""COMPUTED_VALUE"""),"27/01/2026")</f>
        <v>27/01/2026</v>
      </c>
      <c r="AZ1480" s="65"/>
      <c r="BA1480" s="65"/>
    </row>
    <row r="1481">
      <c r="A1481" s="65" t="str">
        <f>IFERROR(__xludf.DUMMYFUNCTION("""COMPUTED_VALUE"""),"27-03-2026")</f>
        <v>27-03-2026</v>
      </c>
      <c r="B1481" s="65">
        <f>IFERROR(__xludf.DUMMYFUNCTION("""COMPUTED_VALUE"""),4261394.0)</f>
        <v>4261394</v>
      </c>
      <c r="C1481" s="65" t="str">
        <f>IFERROR(__xludf.DUMMYFUNCTION("""COMPUTED_VALUE"""),"09:45")</f>
        <v>09:45</v>
      </c>
      <c r="D1481" s="65" t="str">
        <f>IFERROR(__xludf.DUMMYFUNCTION("""COMPUTED_VALUE"""),"24-01-2026")</f>
        <v>24-01-2026</v>
      </c>
      <c r="E1481" s="65" t="str">
        <f>IFERROR(__xludf.DUMMYFUNCTION("""COMPUTED_VALUE"""),"MARIA Armijos")</f>
        <v>MARIA Armijos</v>
      </c>
      <c r="F1481" s="65" t="str">
        <f>IFERROR(__xludf.DUMMYFUNCTION("""COMPUTED_VALUE"""),"967858122")</f>
        <v>967858122</v>
      </c>
      <c r="G1481" s="65" t="str">
        <f>IFERROR(__xludf.DUMMYFUNCTION("""COMPUTED_VALUE"""),"gabyarmijosj@gmail.com")</f>
        <v>gabyarmijosj@gmail.com</v>
      </c>
      <c r="H1481" s="65"/>
      <c r="I1481" s="65"/>
      <c r="J1481" s="65" t="str">
        <f>IFERROR(__xludf.DUMMYFUNCTION("""COMPUTED_VALUE"""),"D001266756")</f>
        <v>D001266756</v>
      </c>
      <c r="K1481" s="65" t="str">
        <f>IFERROR(__xludf.DUMMYFUNCTION("""COMPUTED_VALUE"""),"ENTREGADO")</f>
        <v>ENTREGADO</v>
      </c>
      <c r="L1481" s="65" t="str">
        <f>IFERROR(__xludf.DUMMYFUNCTION("""COMPUTED_VALUE"""),"CON RECAUDO")</f>
        <v>CON RECAUDO</v>
      </c>
      <c r="M1481" s="65" t="str">
        <f>IFERROR(__xludf.DUMMYFUNCTION("""COMPUTED_VALUE"""),"GUAYAS")</f>
        <v>GUAYAS</v>
      </c>
      <c r="N1481" s="65" t="str">
        <f>IFERROR(__xludf.DUMMYFUNCTION("""COMPUTED_VALUE"""),"SAMBORONDON")</f>
        <v>SAMBORONDON</v>
      </c>
      <c r="O1481" s="65" t="str">
        <f>IFERROR(__xludf.DUMMYFUNCTION("""COMPUTED_VALUE"""),"Vía Samborondón km 1 1/2 - Ciudadela Entre ríos - Mz Q-1 Villa 7")</f>
        <v>Vía Samborondón km 1 1/2 - Ciudadela Entre ríos - Mz Q-1 Villa 7</v>
      </c>
      <c r="P1481" s="65"/>
      <c r="Q1481" s="65" t="str">
        <f>IFERROR(__xludf.DUMMYFUNCTION("""COMPUTED_VALUE"""),"GINTRACOM")</f>
        <v>GINTRACOM</v>
      </c>
      <c r="R1481" s="65">
        <f>IFERROR(__xludf.DUMMYFUNCTION("""COMPUTED_VALUE"""),20.0)</f>
        <v>20</v>
      </c>
      <c r="S1481" s="65">
        <f>IFERROR(__xludf.DUMMYFUNCTION("""COMPUTED_VALUE"""),11.89)</f>
        <v>11.89</v>
      </c>
      <c r="T1481" s="65">
        <f>IFERROR(__xludf.DUMMYFUNCTION("""COMPUTED_VALUE"""),5.76)</f>
        <v>5.76</v>
      </c>
      <c r="U1481" s="65">
        <f>IFERROR(__xludf.DUMMYFUNCTION("""COMPUTED_VALUE"""),0.0)</f>
        <v>0</v>
      </c>
      <c r="V1481" s="65">
        <f>IFERROR(__xludf.DUMMYFUNCTION("""COMPUTED_VALUE"""),0.0)</f>
        <v>0</v>
      </c>
      <c r="W1481" s="65">
        <f>IFERROR(__xludf.DUMMYFUNCTION("""COMPUTED_VALUE"""),0.0)</f>
        <v>0</v>
      </c>
      <c r="X1481" s="65">
        <f>IFERROR(__xludf.DUMMYFUNCTION("""COMPUTED_VALUE"""),2.35)</f>
        <v>2.35</v>
      </c>
      <c r="Y1481" s="65">
        <f>IFERROR(__xludf.DUMMYFUNCTION("""COMPUTED_VALUE"""),2.35)</f>
        <v>2.35</v>
      </c>
      <c r="Z1481" s="65">
        <f>IFERROR(__xludf.DUMMYFUNCTION("""COMPUTED_VALUE"""),116679.0)</f>
        <v>116679</v>
      </c>
      <c r="AA1481" s="65" t="str">
        <f>IFERROR(__xludf.DUMMYFUNCTION("""COMPUTED_VALUE"""),"AMC-2738")</f>
        <v>AMC-2738</v>
      </c>
      <c r="AB1481" s="65"/>
      <c r="AC1481" s="65" t="str">
        <f>IFERROR(__xludf.DUMMYFUNCTION("""COMPUTED_VALUE"""),"ESPONJA ANTILLUVIA DE PARABRISAS")</f>
        <v>ESPONJA ANTILLUVIA DE PARABRISAS</v>
      </c>
      <c r="AD1481" s="65"/>
      <c r="AE1481" s="65">
        <f>IFERROR(__xludf.DUMMYFUNCTION("""COMPUTED_VALUE"""),1.0)</f>
        <v>1</v>
      </c>
      <c r="AF1481" s="65"/>
      <c r="AG1481" s="65"/>
      <c r="AH1481" s="65"/>
      <c r="AI1481" s="65"/>
      <c r="AJ1481" s="65"/>
      <c r="AK1481" s="65"/>
      <c r="AL1481" s="65"/>
      <c r="AM1481" s="65"/>
      <c r="AN1481" s="65" t="str">
        <f>IFERROR(__xludf.DUMMYFUNCTION("""COMPUTED_VALUE"""),"17:19")</f>
        <v>17:19</v>
      </c>
      <c r="AO1481" s="65" t="str">
        <f>IFERROR(__xludf.DUMMYFUNCTION("""COMPUTED_VALUE"""),"27-01-2026")</f>
        <v>27-01-2026</v>
      </c>
      <c r="AP1481" s="65" t="str">
        <f>IFERROR(__xludf.DUMMYFUNCTION("""COMPUTED_VALUE"""),"EN TRÁNSITO")</f>
        <v>EN TRÁNSITO</v>
      </c>
      <c r="AQ1481" s="65" t="str">
        <f>IFERROR(__xludf.DUMMYFUNCTION("""COMPUTED_VALUE"""),"EN TRÁNSITO")</f>
        <v>EN TRÁNSITO</v>
      </c>
      <c r="AR1481" s="65"/>
      <c r="AS1481" s="65"/>
      <c r="AT1481" s="65" t="str">
        <f>IFERROR(__xludf.DUMMYFUNCTION("""COMPUTED_VALUE"""),"SHOPIFY")</f>
        <v>SHOPIFY</v>
      </c>
      <c r="AU1481" s="65" t="str">
        <f>IFERROR(__xludf.DUMMYFUNCTION("""COMPUTED_VALUE"""),"IMPORTEX EC")</f>
        <v>IMPORTEX EC</v>
      </c>
      <c r="AV1481" s="65" t="str">
        <f>IFERROR(__xludf.DUMMYFUNCTION("""COMPUTED_VALUE"""),"6443289641004")</f>
        <v>6443289641004</v>
      </c>
      <c r="AW1481" s="65">
        <f>IFERROR(__xludf.DUMMYFUNCTION("""COMPUTED_VALUE"""),5457.0)</f>
        <v>5457</v>
      </c>
      <c r="AX1481" s="65"/>
      <c r="AY1481" s="65" t="str">
        <f>IFERROR(__xludf.DUMMYFUNCTION("""COMPUTED_VALUE"""),"27/01/2026")</f>
        <v>27/01/2026</v>
      </c>
      <c r="AZ1481" s="65"/>
      <c r="BA1481" s="65"/>
    </row>
    <row r="1482">
      <c r="A1482" s="65" t="str">
        <f>IFERROR(__xludf.DUMMYFUNCTION("""COMPUTED_VALUE"""),"27-03-2026")</f>
        <v>27-03-2026</v>
      </c>
      <c r="B1482" s="65">
        <f>IFERROR(__xludf.DUMMYFUNCTION("""COMPUTED_VALUE"""),4261277.0)</f>
        <v>4261277</v>
      </c>
      <c r="C1482" s="65" t="str">
        <f>IFERROR(__xludf.DUMMYFUNCTION("""COMPUTED_VALUE"""),"09:33")</f>
        <v>09:33</v>
      </c>
      <c r="D1482" s="65" t="str">
        <f>IFERROR(__xludf.DUMMYFUNCTION("""COMPUTED_VALUE"""),"24-01-2026")</f>
        <v>24-01-2026</v>
      </c>
      <c r="E1482" s="65" t="str">
        <f>IFERROR(__xludf.DUMMYFUNCTION("""COMPUTED_VALUE"""),"Manuel enrique Romero Menéndez")</f>
        <v>Manuel enrique Romero Menéndez</v>
      </c>
      <c r="F1482" s="65" t="str">
        <f>IFERROR(__xludf.DUMMYFUNCTION("""COMPUTED_VALUE"""),"959879497")</f>
        <v>959879497</v>
      </c>
      <c r="G1482" s="65"/>
      <c r="H1482" s="65"/>
      <c r="I1482" s="65"/>
      <c r="J1482" s="65" t="str">
        <f>IFERROR(__xludf.DUMMYFUNCTION("""COMPUTED_VALUE"""),"WYB166035341")</f>
        <v>WYB166035341</v>
      </c>
      <c r="K1482" s="65" t="str">
        <f>IFERROR(__xludf.DUMMYFUNCTION("""COMPUTED_VALUE"""),"DEVOLUCION")</f>
        <v>DEVOLUCION</v>
      </c>
      <c r="L1482" s="65" t="str">
        <f>IFERROR(__xludf.DUMMYFUNCTION("""COMPUTED_VALUE"""),"CON RECAUDO")</f>
        <v>CON RECAUDO</v>
      </c>
      <c r="M1482" s="65" t="str">
        <f>IFERROR(__xludf.DUMMYFUNCTION("""COMPUTED_VALUE"""),"EL ORO")</f>
        <v>EL ORO</v>
      </c>
      <c r="N1482" s="65" t="str">
        <f>IFERROR(__xludf.DUMMYFUNCTION("""COMPUTED_VALUE"""),"PIÑAS")</f>
        <v>PIÑAS</v>
      </c>
      <c r="O1482" s="65" t="str">
        <f>IFERROR(__xludf.DUMMYFUNCTION("""COMPUTED_VALUE"""),"Ecuador y Orlando Carrión La susaya - Ala segunda casa mano izquierda pasando el cuerpo de bomberos de la susaya")</f>
        <v>Ecuador y Orlando Carrión La susaya - Ala segunda casa mano izquierda pasando el cuerpo de bomberos de la susaya</v>
      </c>
      <c r="P1482" s="65"/>
      <c r="Q1482" s="65" t="str">
        <f>IFERROR(__xludf.DUMMYFUNCTION("""COMPUTED_VALUE"""),"URBANO")</f>
        <v>URBANO</v>
      </c>
      <c r="R1482" s="65">
        <f>IFERROR(__xludf.DUMMYFUNCTION("""COMPUTED_VALUE"""),25.0)</f>
        <v>25</v>
      </c>
      <c r="S1482" s="65"/>
      <c r="T1482" s="65">
        <f>IFERROR(__xludf.DUMMYFUNCTION("""COMPUTED_VALUE"""),5.61)</f>
        <v>5.61</v>
      </c>
      <c r="U1482" s="65">
        <f>IFERROR(__xludf.DUMMYFUNCTION("""COMPUTED_VALUE"""),0.0)</f>
        <v>0</v>
      </c>
      <c r="V1482" s="65">
        <f>IFERROR(__xludf.DUMMYFUNCTION("""COMPUTED_VALUE"""),0.0)</f>
        <v>0</v>
      </c>
      <c r="W1482" s="65">
        <f>IFERROR(__xludf.DUMMYFUNCTION("""COMPUTED_VALUE"""),0.0)</f>
        <v>0</v>
      </c>
      <c r="X1482" s="65">
        <f>IFERROR(__xludf.DUMMYFUNCTION("""COMPUTED_VALUE"""),2.35)</f>
        <v>2.35</v>
      </c>
      <c r="Y1482" s="65">
        <f>IFERROR(__xludf.DUMMYFUNCTION("""COMPUTED_VALUE"""),4.7)</f>
        <v>4.7</v>
      </c>
      <c r="Z1482" s="65">
        <f>IFERROR(__xludf.DUMMYFUNCTION("""COMPUTED_VALUE"""),116679.0)</f>
        <v>116679</v>
      </c>
      <c r="AA1482" s="65" t="str">
        <f>IFERROR(__xludf.DUMMYFUNCTION("""COMPUTED_VALUE"""),"AMC-2738")</f>
        <v>AMC-2738</v>
      </c>
      <c r="AB1482" s="65"/>
      <c r="AC1482" s="65" t="str">
        <f>IFERROR(__xludf.DUMMYFUNCTION("""COMPUTED_VALUE"""),"ESPONJA ANTILLUVIA DE PARABRISAS")</f>
        <v>ESPONJA ANTILLUVIA DE PARABRISAS</v>
      </c>
      <c r="AD1482" s="65"/>
      <c r="AE1482" s="65">
        <f>IFERROR(__xludf.DUMMYFUNCTION("""COMPUTED_VALUE"""),2.0)</f>
        <v>2</v>
      </c>
      <c r="AF1482" s="65" t="str">
        <f>IFERROR(__xludf.DUMMYFUNCTION("""COMPUTED_VALUE"""),"DESCONOCIDO EN EL LUGAR")</f>
        <v>DESCONOCIDO EN EL LUGAR</v>
      </c>
      <c r="AG1482" s="65" t="str">
        <f>IFERROR(__xludf.DUMMYFUNCTION("""COMPUTED_VALUE"""),"NO")</f>
        <v>NO</v>
      </c>
      <c r="AH1482" s="65" t="str">
        <f>IFERROR(__xludf.DUMMYFUNCTION("""COMPUTED_VALUE"""),"02:03")</f>
        <v>02:03</v>
      </c>
      <c r="AI1482" s="65" t="str">
        <f>IFERROR(__xludf.DUMMYFUNCTION("""COMPUTED_VALUE"""),"10-02-2026")</f>
        <v>10-02-2026</v>
      </c>
      <c r="AJ1482" s="65"/>
      <c r="AK1482" s="65"/>
      <c r="AL1482" s="65"/>
      <c r="AM1482" s="65"/>
      <c r="AN1482" s="65"/>
      <c r="AO1482" s="65"/>
      <c r="AP1482" s="65"/>
      <c r="AQ1482" s="65"/>
      <c r="AR1482" s="65"/>
      <c r="AS1482" s="65"/>
      <c r="AT1482" s="65" t="str">
        <f>IFERROR(__xludf.DUMMYFUNCTION("""COMPUTED_VALUE"""),"SHOPIFY")</f>
        <v>SHOPIFY</v>
      </c>
      <c r="AU1482" s="65" t="str">
        <f>IFERROR(__xludf.DUMMYFUNCTION("""COMPUTED_VALUE"""),"IMPORTEX EC")</f>
        <v>IMPORTEX EC</v>
      </c>
      <c r="AV1482" s="65" t="str">
        <f>IFERROR(__xludf.DUMMYFUNCTION("""COMPUTED_VALUE"""),"6443264081964")</f>
        <v>6443264081964</v>
      </c>
      <c r="AW1482" s="65">
        <f>IFERROR(__xludf.DUMMYFUNCTION("""COMPUTED_VALUE"""),5456.0)</f>
        <v>5456</v>
      </c>
      <c r="AX1482" s="65"/>
      <c r="AY1482" s="65" t="str">
        <f>IFERROR(__xludf.DUMMYFUNCTION("""COMPUTED_VALUE"""),"26/01/2026")</f>
        <v>26/01/2026</v>
      </c>
      <c r="AZ1482" s="65"/>
      <c r="BA1482" s="65"/>
    </row>
    <row r="1483">
      <c r="A1483" s="65" t="str">
        <f>IFERROR(__xludf.DUMMYFUNCTION("""COMPUTED_VALUE"""),"27-03-2026")</f>
        <v>27-03-2026</v>
      </c>
      <c r="B1483" s="65">
        <f>IFERROR(__xludf.DUMMYFUNCTION("""COMPUTED_VALUE"""),4261046.0)</f>
        <v>4261046</v>
      </c>
      <c r="C1483" s="65" t="str">
        <f>IFERROR(__xludf.DUMMYFUNCTION("""COMPUTED_VALUE"""),"09:12")</f>
        <v>09:12</v>
      </c>
      <c r="D1483" s="65" t="str">
        <f>IFERROR(__xludf.DUMMYFUNCTION("""COMPUTED_VALUE"""),"24-01-2026")</f>
        <v>24-01-2026</v>
      </c>
      <c r="E1483" s="65" t="str">
        <f>IFERROR(__xludf.DUMMYFUNCTION("""COMPUTED_VALUE"""),"Paul Cornejo")</f>
        <v>Paul Cornejo</v>
      </c>
      <c r="F1483" s="65" t="str">
        <f>IFERROR(__xludf.DUMMYFUNCTION("""COMPUTED_VALUE"""),"994218658")</f>
        <v>994218658</v>
      </c>
      <c r="G1483" s="65" t="str">
        <f>IFERROR(__xludf.DUMMYFUNCTION("""COMPUTED_VALUE"""),"paul40leo@gmail.com")</f>
        <v>paul40leo@gmail.com</v>
      </c>
      <c r="H1483" s="65"/>
      <c r="I1483" s="65"/>
      <c r="J1483" s="65" t="str">
        <f>IFERROR(__xludf.DUMMYFUNCTION("""COMPUTED_VALUE"""),"D001266758")</f>
        <v>D001266758</v>
      </c>
      <c r="K1483" s="65" t="str">
        <f>IFERROR(__xludf.DUMMYFUNCTION("""COMPUTED_VALUE"""),"ENTREGADO")</f>
        <v>ENTREGADO</v>
      </c>
      <c r="L1483" s="65" t="str">
        <f>IFERROR(__xludf.DUMMYFUNCTION("""COMPUTED_VALUE"""),"CON RECAUDO")</f>
        <v>CON RECAUDO</v>
      </c>
      <c r="M1483" s="65" t="str">
        <f>IFERROR(__xludf.DUMMYFUNCTION("""COMPUTED_VALUE"""),"AZUAY")</f>
        <v>AZUAY</v>
      </c>
      <c r="N1483" s="65" t="str">
        <f>IFERROR(__xludf.DUMMYFUNCTION("""COMPUTED_VALUE"""),"CUENCA")</f>
        <v>CUENCA</v>
      </c>
      <c r="O1483" s="65" t="str">
        <f>IFERROR(__xludf.DUMMYFUNCTION("""COMPUTED_VALUE"""),"Vía al valle, santa plaza, mis mercedes, Parroquia El Valle -")</f>
        <v>Vía al valle, santa plaza, mis mercedes, Parroquia El Valle -</v>
      </c>
      <c r="P1483" s="65"/>
      <c r="Q1483" s="65" t="str">
        <f>IFERROR(__xludf.DUMMYFUNCTION("""COMPUTED_VALUE"""),"GINTRACOM")</f>
        <v>GINTRACOM</v>
      </c>
      <c r="R1483" s="65">
        <f>IFERROR(__xludf.DUMMYFUNCTION("""COMPUTED_VALUE"""),25.0)</f>
        <v>25</v>
      </c>
      <c r="S1483" s="65">
        <f>IFERROR(__xludf.DUMMYFUNCTION("""COMPUTED_VALUE"""),14.34)</f>
        <v>14.34</v>
      </c>
      <c r="T1483" s="65">
        <f>IFERROR(__xludf.DUMMYFUNCTION("""COMPUTED_VALUE"""),5.96)</f>
        <v>5.96</v>
      </c>
      <c r="U1483" s="65">
        <f>IFERROR(__xludf.DUMMYFUNCTION("""COMPUTED_VALUE"""),0.0)</f>
        <v>0</v>
      </c>
      <c r="V1483" s="65">
        <f>IFERROR(__xludf.DUMMYFUNCTION("""COMPUTED_VALUE"""),0.0)</f>
        <v>0</v>
      </c>
      <c r="W1483" s="65">
        <f>IFERROR(__xludf.DUMMYFUNCTION("""COMPUTED_VALUE"""),0.0)</f>
        <v>0</v>
      </c>
      <c r="X1483" s="65">
        <f>IFERROR(__xludf.DUMMYFUNCTION("""COMPUTED_VALUE"""),2.35)</f>
        <v>2.35</v>
      </c>
      <c r="Y1483" s="65">
        <f>IFERROR(__xludf.DUMMYFUNCTION("""COMPUTED_VALUE"""),4.7)</f>
        <v>4.7</v>
      </c>
      <c r="Z1483" s="65">
        <f>IFERROR(__xludf.DUMMYFUNCTION("""COMPUTED_VALUE"""),116679.0)</f>
        <v>116679</v>
      </c>
      <c r="AA1483" s="65" t="str">
        <f>IFERROR(__xludf.DUMMYFUNCTION("""COMPUTED_VALUE"""),"AMC-2738")</f>
        <v>AMC-2738</v>
      </c>
      <c r="AB1483" s="65"/>
      <c r="AC1483" s="65" t="str">
        <f>IFERROR(__xludf.DUMMYFUNCTION("""COMPUTED_VALUE"""),"ESPONJA ANTILLUVIA DE PARABRISAS")</f>
        <v>ESPONJA ANTILLUVIA DE PARABRISAS</v>
      </c>
      <c r="AD1483" s="65"/>
      <c r="AE1483" s="65">
        <f>IFERROR(__xludf.DUMMYFUNCTION("""COMPUTED_VALUE"""),2.0)</f>
        <v>2</v>
      </c>
      <c r="AF1483" s="65"/>
      <c r="AG1483" s="65"/>
      <c r="AH1483" s="65"/>
      <c r="AI1483" s="65"/>
      <c r="AJ1483" s="65"/>
      <c r="AK1483" s="65"/>
      <c r="AL1483" s="65"/>
      <c r="AM1483" s="65"/>
      <c r="AN1483" s="65" t="str">
        <f>IFERROR(__xludf.DUMMYFUNCTION("""COMPUTED_VALUE"""),"17:19")</f>
        <v>17:19</v>
      </c>
      <c r="AO1483" s="65" t="str">
        <f>IFERROR(__xludf.DUMMYFUNCTION("""COMPUTED_VALUE"""),"27-01-2026")</f>
        <v>27-01-2026</v>
      </c>
      <c r="AP1483" s="65" t="str">
        <f>IFERROR(__xludf.DUMMYFUNCTION("""COMPUTED_VALUE"""),"EN TRÁNSITO")</f>
        <v>EN TRÁNSITO</v>
      </c>
      <c r="AQ1483" s="65" t="str">
        <f>IFERROR(__xludf.DUMMYFUNCTION("""COMPUTED_VALUE"""),"EN TRÁNSITO")</f>
        <v>EN TRÁNSITO</v>
      </c>
      <c r="AR1483" s="65"/>
      <c r="AS1483" s="65"/>
      <c r="AT1483" s="65" t="str">
        <f>IFERROR(__xludf.DUMMYFUNCTION("""COMPUTED_VALUE"""),"SHOPIFY")</f>
        <v>SHOPIFY</v>
      </c>
      <c r="AU1483" s="65" t="str">
        <f>IFERROR(__xludf.DUMMYFUNCTION("""COMPUTED_VALUE"""),"IMPORTEX EC")</f>
        <v>IMPORTEX EC</v>
      </c>
      <c r="AV1483" s="65" t="str">
        <f>IFERROR(__xludf.DUMMYFUNCTION("""COMPUTED_VALUE"""),"6443224858668")</f>
        <v>6443224858668</v>
      </c>
      <c r="AW1483" s="65">
        <f>IFERROR(__xludf.DUMMYFUNCTION("""COMPUTED_VALUE"""),5455.0)</f>
        <v>5455</v>
      </c>
      <c r="AX1483" s="65"/>
      <c r="AY1483" s="65" t="str">
        <f>IFERROR(__xludf.DUMMYFUNCTION("""COMPUTED_VALUE"""),"27/01/2026")</f>
        <v>27/01/2026</v>
      </c>
      <c r="AZ1483" s="65"/>
      <c r="BA1483" s="65"/>
    </row>
    <row r="1484">
      <c r="A1484" s="65" t="str">
        <f>IFERROR(__xludf.DUMMYFUNCTION("""COMPUTED_VALUE"""),"27-03-2026")</f>
        <v>27-03-2026</v>
      </c>
      <c r="B1484" s="65">
        <f>IFERROR(__xludf.DUMMYFUNCTION("""COMPUTED_VALUE"""),4260626.0)</f>
        <v>4260626</v>
      </c>
      <c r="C1484" s="65" t="str">
        <f>IFERROR(__xludf.DUMMYFUNCTION("""COMPUTED_VALUE"""),"08:36")</f>
        <v>08:36</v>
      </c>
      <c r="D1484" s="65" t="str">
        <f>IFERROR(__xludf.DUMMYFUNCTION("""COMPUTED_VALUE"""),"24-01-2026")</f>
        <v>24-01-2026</v>
      </c>
      <c r="E1484" s="65" t="str">
        <f>IFERROR(__xludf.DUMMYFUNCTION("""COMPUTED_VALUE"""),"Mauricio Lopez")</f>
        <v>Mauricio Lopez</v>
      </c>
      <c r="F1484" s="65" t="str">
        <f>IFERROR(__xludf.DUMMYFUNCTION("""COMPUTED_VALUE"""),"988169229")</f>
        <v>988169229</v>
      </c>
      <c r="G1484" s="65" t="str">
        <f>IFERROR(__xludf.DUMMYFUNCTION("""COMPUTED_VALUE"""),"maedlovi11@gmail.com")</f>
        <v>maedlovi11@gmail.com</v>
      </c>
      <c r="H1484" s="65"/>
      <c r="I1484" s="65"/>
      <c r="J1484" s="65" t="str">
        <f>IFERROR(__xludf.DUMMYFUNCTION("""COMPUTED_VALUE"""),"D001262356")</f>
        <v>D001262356</v>
      </c>
      <c r="K1484" s="65" t="str">
        <f>IFERROR(__xludf.DUMMYFUNCTION("""COMPUTED_VALUE"""),"DEVOLUCION")</f>
        <v>DEVOLUCION</v>
      </c>
      <c r="L1484" s="65" t="str">
        <f>IFERROR(__xludf.DUMMYFUNCTION("""COMPUTED_VALUE"""),"CON RECAUDO")</f>
        <v>CON RECAUDO</v>
      </c>
      <c r="M1484" s="65" t="str">
        <f>IFERROR(__xludf.DUMMYFUNCTION("""COMPUTED_VALUE"""),"PICHINCHA")</f>
        <v>PICHINCHA</v>
      </c>
      <c r="N1484" s="65" t="str">
        <f>IFERROR(__xludf.DUMMYFUNCTION("""COMPUTED_VALUE"""),"QUITO")</f>
        <v>QUITO</v>
      </c>
      <c r="O1484" s="65" t="str">
        <f>IFERROR(__xludf.DUMMYFUNCTION("""COMPUTED_VALUE"""),"Urbanizacion prados del condado Occidental -")</f>
        <v>Urbanizacion prados del condado Occidental -</v>
      </c>
      <c r="P1484" s="65"/>
      <c r="Q1484" s="65" t="str">
        <f>IFERROR(__xludf.DUMMYFUNCTION("""COMPUTED_VALUE"""),"GINTRACOM")</f>
        <v>GINTRACOM</v>
      </c>
      <c r="R1484" s="65">
        <f>IFERROR(__xludf.DUMMYFUNCTION("""COMPUTED_VALUE"""),25.0)</f>
        <v>25</v>
      </c>
      <c r="S1484" s="65"/>
      <c r="T1484" s="65">
        <f>IFERROR(__xludf.DUMMYFUNCTION("""COMPUTED_VALUE"""),4.35)</f>
        <v>4.35</v>
      </c>
      <c r="U1484" s="65">
        <f>IFERROR(__xludf.DUMMYFUNCTION("""COMPUTED_VALUE"""),0.0)</f>
        <v>0</v>
      </c>
      <c r="V1484" s="65">
        <f>IFERROR(__xludf.DUMMYFUNCTION("""COMPUTED_VALUE"""),0.0)</f>
        <v>0</v>
      </c>
      <c r="W1484" s="65">
        <f>IFERROR(__xludf.DUMMYFUNCTION("""COMPUTED_VALUE"""),0.0)</f>
        <v>0</v>
      </c>
      <c r="X1484" s="65">
        <f>IFERROR(__xludf.DUMMYFUNCTION("""COMPUTED_VALUE"""),2.35)</f>
        <v>2.35</v>
      </c>
      <c r="Y1484" s="65">
        <f>IFERROR(__xludf.DUMMYFUNCTION("""COMPUTED_VALUE"""),4.7)</f>
        <v>4.7</v>
      </c>
      <c r="Z1484" s="65">
        <f>IFERROR(__xludf.DUMMYFUNCTION("""COMPUTED_VALUE"""),116679.0)</f>
        <v>116679</v>
      </c>
      <c r="AA1484" s="65" t="str">
        <f>IFERROR(__xludf.DUMMYFUNCTION("""COMPUTED_VALUE"""),"AMC-2738")</f>
        <v>AMC-2738</v>
      </c>
      <c r="AB1484" s="65"/>
      <c r="AC1484" s="65" t="str">
        <f>IFERROR(__xludf.DUMMYFUNCTION("""COMPUTED_VALUE"""),"ESPONJA ANTILLUVIA DE PARABRISAS")</f>
        <v>ESPONJA ANTILLUVIA DE PARABRISAS</v>
      </c>
      <c r="AD1484" s="65"/>
      <c r="AE1484" s="65">
        <f>IFERROR(__xludf.DUMMYFUNCTION("""COMPUTED_VALUE"""),2.0)</f>
        <v>2</v>
      </c>
      <c r="AF1484" s="65" t="str">
        <f>IFERROR(__xludf.DUMMYFUNCTION("""COMPUTED_VALUE"""),"DESTINATARIO INDICA QUE YA NO DESEA EL PRODUCTO")</f>
        <v>DESTINATARIO INDICA QUE YA NO DESEA EL PRODUCTO</v>
      </c>
      <c r="AG1484" s="65" t="str">
        <f>IFERROR(__xludf.DUMMYFUNCTION("""COMPUTED_VALUE"""),"NO")</f>
        <v>NO</v>
      </c>
      <c r="AH1484" s="65" t="str">
        <f>IFERROR(__xludf.DUMMYFUNCTION("""COMPUTED_VALUE"""),"09:59")</f>
        <v>09:59</v>
      </c>
      <c r="AI1484" s="65" t="str">
        <f>IFERROR(__xludf.DUMMYFUNCTION("""COMPUTED_VALUE"""),"28-01-2026")</f>
        <v>28-01-2026</v>
      </c>
      <c r="AJ1484" s="65"/>
      <c r="AK1484" s="65"/>
      <c r="AL1484" s="65"/>
      <c r="AM1484" s="65"/>
      <c r="AN1484" s="65" t="str">
        <f>IFERROR(__xludf.DUMMYFUNCTION("""COMPUTED_VALUE"""),"16:27")</f>
        <v>16:27</v>
      </c>
      <c r="AO1484" s="65" t="str">
        <f>IFERROR(__xludf.DUMMYFUNCTION("""COMPUTED_VALUE"""),"10-02-2026")</f>
        <v>10-02-2026</v>
      </c>
      <c r="AP1484" s="65" t="str">
        <f>IFERROR(__xludf.DUMMYFUNCTION("""COMPUTED_VALUE"""),"DEVOLUCIÓN ENTREGADA A ORIGEN")</f>
        <v>DEVOLUCIÓN ENTREGADA A ORIGEN</v>
      </c>
      <c r="AQ1484" s="65" t="str">
        <f>IFERROR(__xludf.DUMMYFUNCTION("""COMPUTED_VALUE"""),"DEVOLUCIÓN ENTREGADA A ORIGEN")</f>
        <v>DEVOLUCIÓN ENTREGADA A ORIGEN</v>
      </c>
      <c r="AR1484" s="65"/>
      <c r="AS1484" s="65"/>
      <c r="AT1484" s="65" t="str">
        <f>IFERROR(__xludf.DUMMYFUNCTION("""COMPUTED_VALUE"""),"SHOPIFY")</f>
        <v>SHOPIFY</v>
      </c>
      <c r="AU1484" s="65" t="str">
        <f>IFERROR(__xludf.DUMMYFUNCTION("""COMPUTED_VALUE"""),"IMPORTEX EC")</f>
        <v>IMPORTEX EC</v>
      </c>
      <c r="AV1484" s="65" t="str">
        <f>IFERROR(__xludf.DUMMYFUNCTION("""COMPUTED_VALUE"""),"6443169054764")</f>
        <v>6443169054764</v>
      </c>
      <c r="AW1484" s="65">
        <f>IFERROR(__xludf.DUMMYFUNCTION("""COMPUTED_VALUE"""),5454.0)</f>
        <v>5454</v>
      </c>
      <c r="AX1484" s="65"/>
      <c r="AY1484" s="65" t="str">
        <f>IFERROR(__xludf.DUMMYFUNCTION("""COMPUTED_VALUE"""),"26/01/2026")</f>
        <v>26/01/2026</v>
      </c>
      <c r="AZ1484" s="65"/>
      <c r="BA1484" s="65"/>
    </row>
    <row r="1485">
      <c r="A1485" s="65" t="str">
        <f>IFERROR(__xludf.DUMMYFUNCTION("""COMPUTED_VALUE"""),"27-03-2026")</f>
        <v>27-03-2026</v>
      </c>
      <c r="B1485" s="65">
        <f>IFERROR(__xludf.DUMMYFUNCTION("""COMPUTED_VALUE"""),4260555.0)</f>
        <v>4260555</v>
      </c>
      <c r="C1485" s="65" t="str">
        <f>IFERROR(__xludf.DUMMYFUNCTION("""COMPUTED_VALUE"""),"08:31")</f>
        <v>08:31</v>
      </c>
      <c r="D1485" s="65" t="str">
        <f>IFERROR(__xludf.DUMMYFUNCTION("""COMPUTED_VALUE"""),"24-01-2026")</f>
        <v>24-01-2026</v>
      </c>
      <c r="E1485" s="65" t="str">
        <f>IFERROR(__xludf.DUMMYFUNCTION("""COMPUTED_VALUE"""),"Erika Alexandra Chamba Ronquillo")</f>
        <v>Erika Alexandra Chamba Ronquillo</v>
      </c>
      <c r="F1485" s="65" t="str">
        <f>IFERROR(__xludf.DUMMYFUNCTION("""COMPUTED_VALUE"""),"987613862")</f>
        <v>987613862</v>
      </c>
      <c r="G1485" s="65" t="str">
        <f>IFERROR(__xludf.DUMMYFUNCTION("""COMPUTED_VALUE"""),"eri.alexita@gmail.com")</f>
        <v>eri.alexita@gmail.com</v>
      </c>
      <c r="H1485" s="65"/>
      <c r="I1485" s="65"/>
      <c r="J1485" s="65" t="str">
        <f>IFERROR(__xludf.DUMMYFUNCTION("""COMPUTED_VALUE"""),"D001266760")</f>
        <v>D001266760</v>
      </c>
      <c r="K1485" s="65" t="str">
        <f>IFERROR(__xludf.DUMMYFUNCTION("""COMPUTED_VALUE"""),"ENTREGADO")</f>
        <v>ENTREGADO</v>
      </c>
      <c r="L1485" s="65" t="str">
        <f>IFERROR(__xludf.DUMMYFUNCTION("""COMPUTED_VALUE"""),"CON RECAUDO")</f>
        <v>CON RECAUDO</v>
      </c>
      <c r="M1485" s="65" t="str">
        <f>IFERROR(__xludf.DUMMYFUNCTION("""COMPUTED_VALUE"""),"TUNGURAHUA")</f>
        <v>TUNGURAHUA</v>
      </c>
      <c r="N1485" s="65" t="str">
        <f>IFERROR(__xludf.DUMMYFUNCTION("""COMPUTED_VALUE"""),"AMBATO")</f>
        <v>AMBATO</v>
      </c>
      <c r="O1485" s="65" t="str">
        <f>IFERROR(__xludf.DUMMYFUNCTION("""COMPUTED_VALUE"""),"Izamba, Av. Pedro Vasconez y Porto Alegre, barrio San Juan, frente al colegio Tirso de Molina, en la heladería Alma Lojana")</f>
        <v>Izamba, Av. Pedro Vasconez y Porto Alegre, barrio San Juan, frente al colegio Tirso de Molina, en la heladería Alma Lojana</v>
      </c>
      <c r="P1485" s="65"/>
      <c r="Q1485" s="65" t="str">
        <f>IFERROR(__xludf.DUMMYFUNCTION("""COMPUTED_VALUE"""),"GINTRACOM")</f>
        <v>GINTRACOM</v>
      </c>
      <c r="R1485" s="65">
        <f>IFERROR(__xludf.DUMMYFUNCTION("""COMPUTED_VALUE"""),25.0)</f>
        <v>25</v>
      </c>
      <c r="S1485" s="65">
        <f>IFERROR(__xludf.DUMMYFUNCTION("""COMPUTED_VALUE"""),14.34)</f>
        <v>14.34</v>
      </c>
      <c r="T1485" s="65">
        <f>IFERROR(__xludf.DUMMYFUNCTION("""COMPUTED_VALUE"""),5.96)</f>
        <v>5.96</v>
      </c>
      <c r="U1485" s="65">
        <f>IFERROR(__xludf.DUMMYFUNCTION("""COMPUTED_VALUE"""),0.0)</f>
        <v>0</v>
      </c>
      <c r="V1485" s="65">
        <f>IFERROR(__xludf.DUMMYFUNCTION("""COMPUTED_VALUE"""),0.0)</f>
        <v>0</v>
      </c>
      <c r="W1485" s="65">
        <f>IFERROR(__xludf.DUMMYFUNCTION("""COMPUTED_VALUE"""),0.0)</f>
        <v>0</v>
      </c>
      <c r="X1485" s="65">
        <f>IFERROR(__xludf.DUMMYFUNCTION("""COMPUTED_VALUE"""),2.35)</f>
        <v>2.35</v>
      </c>
      <c r="Y1485" s="65">
        <f>IFERROR(__xludf.DUMMYFUNCTION("""COMPUTED_VALUE"""),4.7)</f>
        <v>4.7</v>
      </c>
      <c r="Z1485" s="65">
        <f>IFERROR(__xludf.DUMMYFUNCTION("""COMPUTED_VALUE"""),116679.0)</f>
        <v>116679</v>
      </c>
      <c r="AA1485" s="65" t="str">
        <f>IFERROR(__xludf.DUMMYFUNCTION("""COMPUTED_VALUE"""),"AMC-2738")</f>
        <v>AMC-2738</v>
      </c>
      <c r="AB1485" s="65"/>
      <c r="AC1485" s="65" t="str">
        <f>IFERROR(__xludf.DUMMYFUNCTION("""COMPUTED_VALUE"""),"ESPONJA ANTILLUVIA DE PARABRISAS")</f>
        <v>ESPONJA ANTILLUVIA DE PARABRISAS</v>
      </c>
      <c r="AD1485" s="65"/>
      <c r="AE1485" s="65">
        <f>IFERROR(__xludf.DUMMYFUNCTION("""COMPUTED_VALUE"""),2.0)</f>
        <v>2</v>
      </c>
      <c r="AF1485" s="65"/>
      <c r="AG1485" s="65"/>
      <c r="AH1485" s="65"/>
      <c r="AI1485" s="65"/>
      <c r="AJ1485" s="65"/>
      <c r="AK1485" s="65"/>
      <c r="AL1485" s="65"/>
      <c r="AM1485" s="65"/>
      <c r="AN1485" s="65" t="str">
        <f>IFERROR(__xludf.DUMMYFUNCTION("""COMPUTED_VALUE"""),"17:19")</f>
        <v>17:19</v>
      </c>
      <c r="AO1485" s="65" t="str">
        <f>IFERROR(__xludf.DUMMYFUNCTION("""COMPUTED_VALUE"""),"27-01-2026")</f>
        <v>27-01-2026</v>
      </c>
      <c r="AP1485" s="65" t="str">
        <f>IFERROR(__xludf.DUMMYFUNCTION("""COMPUTED_VALUE"""),"EN TRÁNSITO")</f>
        <v>EN TRÁNSITO</v>
      </c>
      <c r="AQ1485" s="65" t="str">
        <f>IFERROR(__xludf.DUMMYFUNCTION("""COMPUTED_VALUE"""),"EN TRÁNSITO")</f>
        <v>EN TRÁNSITO</v>
      </c>
      <c r="AR1485" s="65"/>
      <c r="AS1485" s="65"/>
      <c r="AT1485" s="65" t="str">
        <f>IFERROR(__xludf.DUMMYFUNCTION("""COMPUTED_VALUE"""),"SHOPIFY")</f>
        <v>SHOPIFY</v>
      </c>
      <c r="AU1485" s="65" t="str">
        <f>IFERROR(__xludf.DUMMYFUNCTION("""COMPUTED_VALUE"""),"IMPORTEX EC")</f>
        <v>IMPORTEX EC</v>
      </c>
      <c r="AV1485" s="65" t="str">
        <f>IFERROR(__xludf.DUMMYFUNCTION("""COMPUTED_VALUE"""),"6443159814188")</f>
        <v>6443159814188</v>
      </c>
      <c r="AW1485" s="65">
        <f>IFERROR(__xludf.DUMMYFUNCTION("""COMPUTED_VALUE"""),5453.0)</f>
        <v>5453</v>
      </c>
      <c r="AX1485" s="65"/>
      <c r="AY1485" s="65" t="str">
        <f>IFERROR(__xludf.DUMMYFUNCTION("""COMPUTED_VALUE"""),"27/01/2026")</f>
        <v>27/01/2026</v>
      </c>
      <c r="AZ1485" s="65"/>
      <c r="BA1485" s="65"/>
    </row>
    <row r="1486">
      <c r="A1486" s="65" t="str">
        <f>IFERROR(__xludf.DUMMYFUNCTION("""COMPUTED_VALUE"""),"27-03-2026")</f>
        <v>27-03-2026</v>
      </c>
      <c r="B1486" s="65">
        <f>IFERROR(__xludf.DUMMYFUNCTION("""COMPUTED_VALUE"""),4260175.0)</f>
        <v>4260175</v>
      </c>
      <c r="C1486" s="65" t="str">
        <f>IFERROR(__xludf.DUMMYFUNCTION("""COMPUTED_VALUE"""),"07:53")</f>
        <v>07:53</v>
      </c>
      <c r="D1486" s="65" t="str">
        <f>IFERROR(__xludf.DUMMYFUNCTION("""COMPUTED_VALUE"""),"24-01-2026")</f>
        <v>24-01-2026</v>
      </c>
      <c r="E1486" s="65" t="str">
        <f>IFERROR(__xludf.DUMMYFUNCTION("""COMPUTED_VALUE"""),"Fausto Vaca")</f>
        <v>Fausto Vaca</v>
      </c>
      <c r="F1486" s="65" t="str">
        <f>IFERROR(__xludf.DUMMYFUNCTION("""COMPUTED_VALUE"""),"998769484")</f>
        <v>998769484</v>
      </c>
      <c r="G1486" s="65" t="str">
        <f>IFERROR(__xludf.DUMMYFUNCTION("""COMPUTED_VALUE"""),"faustovaca87@gmail.com")</f>
        <v>faustovaca87@gmail.com</v>
      </c>
      <c r="H1486" s="65"/>
      <c r="I1486" s="65"/>
      <c r="J1486" s="65" t="str">
        <f>IFERROR(__xludf.DUMMYFUNCTION("""COMPUTED_VALUE"""),"D001262360")</f>
        <v>D001262360</v>
      </c>
      <c r="K1486" s="65" t="str">
        <f>IFERROR(__xludf.DUMMYFUNCTION("""COMPUTED_VALUE"""),"ENTREGADO")</f>
        <v>ENTREGADO</v>
      </c>
      <c r="L1486" s="65" t="str">
        <f>IFERROR(__xludf.DUMMYFUNCTION("""COMPUTED_VALUE"""),"CON RECAUDO")</f>
        <v>CON RECAUDO</v>
      </c>
      <c r="M1486" s="65" t="str">
        <f>IFERROR(__xludf.DUMMYFUNCTION("""COMPUTED_VALUE"""),"PICHINCHA")</f>
        <v>PICHINCHA</v>
      </c>
      <c r="N1486" s="65" t="str">
        <f>IFERROR(__xludf.DUMMYFUNCTION("""COMPUTED_VALUE"""),"CALDERON")</f>
        <v>CALDERON</v>
      </c>
      <c r="O1486" s="65" t="str">
        <f>IFERROR(__xludf.DUMMYFUNCTION("""COMPUTED_VALUE"""),"José chediak oe6_246 Calderón - Barrio el Cajón, frente a Balcones del Cajón 1")</f>
        <v>José chediak oe6_246 Calderón - Barrio el Cajón, frente a Balcones del Cajón 1</v>
      </c>
      <c r="P1486" s="65"/>
      <c r="Q1486" s="65" t="str">
        <f>IFERROR(__xludf.DUMMYFUNCTION("""COMPUTED_VALUE"""),"GINTRACOM")</f>
        <v>GINTRACOM</v>
      </c>
      <c r="R1486" s="65">
        <f>IFERROR(__xludf.DUMMYFUNCTION("""COMPUTED_VALUE"""),25.0)</f>
        <v>25</v>
      </c>
      <c r="S1486" s="65">
        <f>IFERROR(__xludf.DUMMYFUNCTION("""COMPUTED_VALUE"""),15.38)</f>
        <v>15.38</v>
      </c>
      <c r="T1486" s="65">
        <f>IFERROR(__xludf.DUMMYFUNCTION("""COMPUTED_VALUE"""),4.92)</f>
        <v>4.92</v>
      </c>
      <c r="U1486" s="65">
        <f>IFERROR(__xludf.DUMMYFUNCTION("""COMPUTED_VALUE"""),0.0)</f>
        <v>0</v>
      </c>
      <c r="V1486" s="65">
        <f>IFERROR(__xludf.DUMMYFUNCTION("""COMPUTED_VALUE"""),0.0)</f>
        <v>0</v>
      </c>
      <c r="W1486" s="65">
        <f>IFERROR(__xludf.DUMMYFUNCTION("""COMPUTED_VALUE"""),0.0)</f>
        <v>0</v>
      </c>
      <c r="X1486" s="65">
        <f>IFERROR(__xludf.DUMMYFUNCTION("""COMPUTED_VALUE"""),2.35)</f>
        <v>2.35</v>
      </c>
      <c r="Y1486" s="65">
        <f>IFERROR(__xludf.DUMMYFUNCTION("""COMPUTED_VALUE"""),4.7)</f>
        <v>4.7</v>
      </c>
      <c r="Z1486" s="65">
        <f>IFERROR(__xludf.DUMMYFUNCTION("""COMPUTED_VALUE"""),116679.0)</f>
        <v>116679</v>
      </c>
      <c r="AA1486" s="65" t="str">
        <f>IFERROR(__xludf.DUMMYFUNCTION("""COMPUTED_VALUE"""),"AMC-2738")</f>
        <v>AMC-2738</v>
      </c>
      <c r="AB1486" s="65"/>
      <c r="AC1486" s="65" t="str">
        <f>IFERROR(__xludf.DUMMYFUNCTION("""COMPUTED_VALUE"""),"ESPONJA ANTILLUVIA DE PARABRISAS")</f>
        <v>ESPONJA ANTILLUVIA DE PARABRISAS</v>
      </c>
      <c r="AD1486" s="65"/>
      <c r="AE1486" s="65">
        <f>IFERROR(__xludf.DUMMYFUNCTION("""COMPUTED_VALUE"""),2.0)</f>
        <v>2</v>
      </c>
      <c r="AF1486" s="65"/>
      <c r="AG1486" s="65"/>
      <c r="AH1486" s="65"/>
      <c r="AI1486" s="65"/>
      <c r="AJ1486" s="65"/>
      <c r="AK1486" s="65"/>
      <c r="AL1486" s="65"/>
      <c r="AM1486" s="65"/>
      <c r="AN1486" s="65" t="str">
        <f>IFERROR(__xludf.DUMMYFUNCTION("""COMPUTED_VALUE"""),"12:35")</f>
        <v>12:35</v>
      </c>
      <c r="AO1486" s="65" t="str">
        <f>IFERROR(__xludf.DUMMYFUNCTION("""COMPUTED_VALUE"""),"28-01-2026")</f>
        <v>28-01-2026</v>
      </c>
      <c r="AP1486" s="65" t="str">
        <f>IFERROR(__xludf.DUMMYFUNCTION("""COMPUTED_VALUE"""),"ENTREGADA GINTRACOM")</f>
        <v>ENTREGADA GINTRACOM</v>
      </c>
      <c r="AQ1486" s="65" t="str">
        <f>IFERROR(__xludf.DUMMYFUNCTION("""COMPUTED_VALUE"""),"ENTREGADA GINTRACOM")</f>
        <v>ENTREGADA GINTRACOM</v>
      </c>
      <c r="AR1486" s="65"/>
      <c r="AS1486" s="65"/>
      <c r="AT1486" s="65" t="str">
        <f>IFERROR(__xludf.DUMMYFUNCTION("""COMPUTED_VALUE"""),"SHOPIFY")</f>
        <v>SHOPIFY</v>
      </c>
      <c r="AU1486" s="65" t="str">
        <f>IFERROR(__xludf.DUMMYFUNCTION("""COMPUTED_VALUE"""),"IMPORTEX EC")</f>
        <v>IMPORTEX EC</v>
      </c>
      <c r="AV1486" s="65" t="str">
        <f>IFERROR(__xludf.DUMMYFUNCTION("""COMPUTED_VALUE"""),"6443112824876")</f>
        <v>6443112824876</v>
      </c>
      <c r="AW1486" s="65">
        <f>IFERROR(__xludf.DUMMYFUNCTION("""COMPUTED_VALUE"""),5452.0)</f>
        <v>5452</v>
      </c>
      <c r="AX1486" s="65"/>
      <c r="AY1486" s="65" t="str">
        <f>IFERROR(__xludf.DUMMYFUNCTION("""COMPUTED_VALUE"""),"26/01/2026")</f>
        <v>26/01/2026</v>
      </c>
      <c r="AZ1486" s="65"/>
      <c r="BA1486" s="65"/>
    </row>
    <row r="1487">
      <c r="A1487" s="65" t="str">
        <f>IFERROR(__xludf.DUMMYFUNCTION("""COMPUTED_VALUE"""),"27-03-2026")</f>
        <v>27-03-2026</v>
      </c>
      <c r="B1487" s="65">
        <f>IFERROR(__xludf.DUMMYFUNCTION("""COMPUTED_VALUE"""),4258973.0)</f>
        <v>4258973</v>
      </c>
      <c r="C1487" s="65" t="str">
        <f>IFERROR(__xludf.DUMMYFUNCTION("""COMPUTED_VALUE"""),"01:02")</f>
        <v>01:02</v>
      </c>
      <c r="D1487" s="65" t="str">
        <f>IFERROR(__xludf.DUMMYFUNCTION("""COMPUTED_VALUE"""),"24-01-2026")</f>
        <v>24-01-2026</v>
      </c>
      <c r="E1487" s="65" t="str">
        <f>IFERROR(__xludf.DUMMYFUNCTION("""COMPUTED_VALUE"""),"Miguel Montesdeoca")</f>
        <v>Miguel Montesdeoca</v>
      </c>
      <c r="F1487" s="65" t="str">
        <f>IFERROR(__xludf.DUMMYFUNCTION("""COMPUTED_VALUE"""),"991200456")</f>
        <v>991200456</v>
      </c>
      <c r="G1487" s="65" t="str">
        <f>IFERROR(__xludf.DUMMYFUNCTION("""COMPUTED_VALUE"""),"593somosolimpico@gmail.com")</f>
        <v>593somosolimpico@gmail.com</v>
      </c>
      <c r="H1487" s="65"/>
      <c r="I1487" s="65"/>
      <c r="J1487" s="65" t="str">
        <f>IFERROR(__xludf.DUMMYFUNCTION("""COMPUTED_VALUE"""),"D001266762")</f>
        <v>D001266762</v>
      </c>
      <c r="K1487" s="65" t="str">
        <f>IFERROR(__xludf.DUMMYFUNCTION("""COMPUTED_VALUE"""),"ENTREGADO")</f>
        <v>ENTREGADO</v>
      </c>
      <c r="L1487" s="65" t="str">
        <f>IFERROR(__xludf.DUMMYFUNCTION("""COMPUTED_VALUE"""),"CON RECAUDO")</f>
        <v>CON RECAUDO</v>
      </c>
      <c r="M1487" s="65" t="str">
        <f>IFERROR(__xludf.DUMMYFUNCTION("""COMPUTED_VALUE"""),"GUAYAS")</f>
        <v>GUAYAS</v>
      </c>
      <c r="N1487" s="65" t="str">
        <f>IFERROR(__xludf.DUMMYFUNCTION("""COMPUTED_VALUE"""),"GUAYAQUIL")</f>
        <v>GUAYAQUIL</v>
      </c>
      <c r="O1487" s="65" t="str">
        <f>IFERROR(__xludf.DUMMYFUNCTION("""COMPUTED_VALUE"""),"Av. Rodrigo icaza cornejo y Eduardo kingman riofrio Norte guayacanes mz 220 v 26 -")</f>
        <v>Av. Rodrigo icaza cornejo y Eduardo kingman riofrio Norte guayacanes mz 220 v 26 -</v>
      </c>
      <c r="P1487" s="65"/>
      <c r="Q1487" s="65" t="str">
        <f>IFERROR(__xludf.DUMMYFUNCTION("""COMPUTED_VALUE"""),"GINTRACOM")</f>
        <v>GINTRACOM</v>
      </c>
      <c r="R1487" s="65">
        <f>IFERROR(__xludf.DUMMYFUNCTION("""COMPUTED_VALUE"""),25.0)</f>
        <v>25</v>
      </c>
      <c r="S1487" s="65">
        <f>IFERROR(__xludf.DUMMYFUNCTION("""COMPUTED_VALUE"""),14.34)</f>
        <v>14.34</v>
      </c>
      <c r="T1487" s="65">
        <f>IFERROR(__xludf.DUMMYFUNCTION("""COMPUTED_VALUE"""),5.96)</f>
        <v>5.96</v>
      </c>
      <c r="U1487" s="65">
        <f>IFERROR(__xludf.DUMMYFUNCTION("""COMPUTED_VALUE"""),0.0)</f>
        <v>0</v>
      </c>
      <c r="V1487" s="65">
        <f>IFERROR(__xludf.DUMMYFUNCTION("""COMPUTED_VALUE"""),0.0)</f>
        <v>0</v>
      </c>
      <c r="W1487" s="65">
        <f>IFERROR(__xludf.DUMMYFUNCTION("""COMPUTED_VALUE"""),0.0)</f>
        <v>0</v>
      </c>
      <c r="X1487" s="65">
        <f>IFERROR(__xludf.DUMMYFUNCTION("""COMPUTED_VALUE"""),2.35)</f>
        <v>2.35</v>
      </c>
      <c r="Y1487" s="65">
        <f>IFERROR(__xludf.DUMMYFUNCTION("""COMPUTED_VALUE"""),4.7)</f>
        <v>4.7</v>
      </c>
      <c r="Z1487" s="65">
        <f>IFERROR(__xludf.DUMMYFUNCTION("""COMPUTED_VALUE"""),116679.0)</f>
        <v>116679</v>
      </c>
      <c r="AA1487" s="65" t="str">
        <f>IFERROR(__xludf.DUMMYFUNCTION("""COMPUTED_VALUE"""),"AMC-2738")</f>
        <v>AMC-2738</v>
      </c>
      <c r="AB1487" s="65"/>
      <c r="AC1487" s="65" t="str">
        <f>IFERROR(__xludf.DUMMYFUNCTION("""COMPUTED_VALUE"""),"ESPONJA ANTILLUVIA DE PARABRISAS")</f>
        <v>ESPONJA ANTILLUVIA DE PARABRISAS</v>
      </c>
      <c r="AD1487" s="65"/>
      <c r="AE1487" s="65">
        <f>IFERROR(__xludf.DUMMYFUNCTION("""COMPUTED_VALUE"""),2.0)</f>
        <v>2</v>
      </c>
      <c r="AF1487" s="65" t="str">
        <f>IFERROR(__xludf.DUMMYFUNCTION("""COMPUTED_VALUE"""),"DESTINATARIO NO CONTESTA LLAMADAS NI WHATSAPP")</f>
        <v>DESTINATARIO NO CONTESTA LLAMADAS NI WHATSAPP</v>
      </c>
      <c r="AG1487" s="65" t="str">
        <f>IFERROR(__xludf.DUMMYFUNCTION("""COMPUTED_VALUE"""),"NO")</f>
        <v>NO</v>
      </c>
      <c r="AH1487" s="65" t="str">
        <f>IFERROR(__xludf.DUMMYFUNCTION("""COMPUTED_VALUE"""),"14:00")</f>
        <v>14:00</v>
      </c>
      <c r="AI1487" s="65" t="str">
        <f>IFERROR(__xludf.DUMMYFUNCTION("""COMPUTED_VALUE"""),"29-01-2026")</f>
        <v>29-01-2026</v>
      </c>
      <c r="AJ1487" s="65"/>
      <c r="AK1487" s="65"/>
      <c r="AL1487" s="65"/>
      <c r="AM1487" s="65"/>
      <c r="AN1487" s="65" t="str">
        <f>IFERROR(__xludf.DUMMYFUNCTION("""COMPUTED_VALUE"""),"17:19")</f>
        <v>17:19</v>
      </c>
      <c r="AO1487" s="65" t="str">
        <f>IFERROR(__xludf.DUMMYFUNCTION("""COMPUTED_VALUE"""),"27-01-2026")</f>
        <v>27-01-2026</v>
      </c>
      <c r="AP1487" s="65" t="str">
        <f>IFERROR(__xludf.DUMMYFUNCTION("""COMPUTED_VALUE"""),"EN TRÁNSITO")</f>
        <v>EN TRÁNSITO</v>
      </c>
      <c r="AQ1487" s="65" t="str">
        <f>IFERROR(__xludf.DUMMYFUNCTION("""COMPUTED_VALUE"""),"EN TRÁNSITO")</f>
        <v>EN TRÁNSITO</v>
      </c>
      <c r="AR1487" s="65"/>
      <c r="AS1487" s="65"/>
      <c r="AT1487" s="65" t="str">
        <f>IFERROR(__xludf.DUMMYFUNCTION("""COMPUTED_VALUE"""),"SHOPIFY")</f>
        <v>SHOPIFY</v>
      </c>
      <c r="AU1487" s="65" t="str">
        <f>IFERROR(__xludf.DUMMYFUNCTION("""COMPUTED_VALUE"""),"IMPORTEX EC")</f>
        <v>IMPORTEX EC</v>
      </c>
      <c r="AV1487" s="65" t="str">
        <f>IFERROR(__xludf.DUMMYFUNCTION("""COMPUTED_VALUE"""),"6442724818988")</f>
        <v>6442724818988</v>
      </c>
      <c r="AW1487" s="65">
        <f>IFERROR(__xludf.DUMMYFUNCTION("""COMPUTED_VALUE"""),5450.0)</f>
        <v>5450</v>
      </c>
      <c r="AX1487" s="65"/>
      <c r="AY1487" s="65" t="str">
        <f>IFERROR(__xludf.DUMMYFUNCTION("""COMPUTED_VALUE"""),"27/01/2026")</f>
        <v>27/01/2026</v>
      </c>
      <c r="AZ1487" s="65"/>
      <c r="BA1487" s="65"/>
    </row>
    <row r="1488">
      <c r="A1488" s="65" t="str">
        <f>IFERROR(__xludf.DUMMYFUNCTION("""COMPUTED_VALUE"""),"27-03-2026")</f>
        <v>27-03-2026</v>
      </c>
      <c r="B1488" s="65">
        <f>IFERROR(__xludf.DUMMYFUNCTION("""COMPUTED_VALUE"""),4258179.0)</f>
        <v>4258179</v>
      </c>
      <c r="C1488" s="65" t="str">
        <f>IFERROR(__xludf.DUMMYFUNCTION("""COMPUTED_VALUE"""),"22:38")</f>
        <v>22:38</v>
      </c>
      <c r="D1488" s="65" t="str">
        <f>IFERROR(__xludf.DUMMYFUNCTION("""COMPUTED_VALUE"""),"23-01-2026")</f>
        <v>23-01-2026</v>
      </c>
      <c r="E1488" s="65" t="str">
        <f>IFERROR(__xludf.DUMMYFUNCTION("""COMPUTED_VALUE"""),"Luis Aizaga")</f>
        <v>Luis Aizaga</v>
      </c>
      <c r="F1488" s="65" t="str">
        <f>IFERROR(__xludf.DUMMYFUNCTION("""COMPUTED_VALUE"""),"986729725")</f>
        <v>986729725</v>
      </c>
      <c r="G1488" s="65" t="str">
        <f>IFERROR(__xludf.DUMMYFUNCTION("""COMPUTED_VALUE"""),"gluisalberto18@gmail.com")</f>
        <v>gluisalberto18@gmail.com</v>
      </c>
      <c r="H1488" s="65"/>
      <c r="I1488" s="65"/>
      <c r="J1488" s="65"/>
      <c r="K1488" s="65" t="str">
        <f>IFERROR(__xludf.DUMMYFUNCTION("""COMPUTED_VALUE"""),"CANCELADO")</f>
        <v>CANCELADO</v>
      </c>
      <c r="L1488" s="65" t="str">
        <f>IFERROR(__xludf.DUMMYFUNCTION("""COMPUTED_VALUE"""),"CON RECAUDO")</f>
        <v>CON RECAUDO</v>
      </c>
      <c r="M1488" s="65" t="str">
        <f>IFERROR(__xludf.DUMMYFUNCTION("""COMPUTED_VALUE"""),"GUAYAS")</f>
        <v>GUAYAS</v>
      </c>
      <c r="N1488" s="65" t="str">
        <f>IFERROR(__xludf.DUMMYFUNCTION("""COMPUTED_VALUE"""),"GUAYAQUIL")</f>
        <v>GUAYAQUIL</v>
      </c>
      <c r="O1488" s="65" t="str">
        <f>IFERROR(__xludf.DUMMYFUNCTION("""COMPUTED_VALUE"""),"Guayacanes José Luis tamayo(Guayacanes)Mz 82 v 2 -")</f>
        <v>Guayacanes José Luis tamayo(Guayacanes)Mz 82 v 2 -</v>
      </c>
      <c r="P1488" s="65"/>
      <c r="Q1488" s="65" t="str">
        <f>IFERROR(__xludf.DUMMYFUNCTION("""COMPUTED_VALUE"""),"GINTRACOM")</f>
        <v>GINTRACOM</v>
      </c>
      <c r="R1488" s="65">
        <f>IFERROR(__xludf.DUMMYFUNCTION("""COMPUTED_VALUE"""),30.0)</f>
        <v>30</v>
      </c>
      <c r="S1488" s="65"/>
      <c r="T1488" s="65">
        <f>IFERROR(__xludf.DUMMYFUNCTION("""COMPUTED_VALUE"""),6.16)</f>
        <v>6.16</v>
      </c>
      <c r="U1488" s="65">
        <f>IFERROR(__xludf.DUMMYFUNCTION("""COMPUTED_VALUE"""),0.0)</f>
        <v>0</v>
      </c>
      <c r="V1488" s="65">
        <f>IFERROR(__xludf.DUMMYFUNCTION("""COMPUTED_VALUE"""),0.0)</f>
        <v>0</v>
      </c>
      <c r="W1488" s="65">
        <f>IFERROR(__xludf.DUMMYFUNCTION("""COMPUTED_VALUE"""),0.0)</f>
        <v>0</v>
      </c>
      <c r="X1488" s="65">
        <f>IFERROR(__xludf.DUMMYFUNCTION("""COMPUTED_VALUE"""),2.35)</f>
        <v>2.35</v>
      </c>
      <c r="Y1488" s="65">
        <f>IFERROR(__xludf.DUMMYFUNCTION("""COMPUTED_VALUE"""),7.05)</f>
        <v>7.05</v>
      </c>
      <c r="Z1488" s="65">
        <f>IFERROR(__xludf.DUMMYFUNCTION("""COMPUTED_VALUE"""),116679.0)</f>
        <v>116679</v>
      </c>
      <c r="AA1488" s="65" t="str">
        <f>IFERROR(__xludf.DUMMYFUNCTION("""COMPUTED_VALUE"""),"AMC-2738")</f>
        <v>AMC-2738</v>
      </c>
      <c r="AB1488" s="65"/>
      <c r="AC1488" s="65" t="str">
        <f>IFERROR(__xludf.DUMMYFUNCTION("""COMPUTED_VALUE"""),"ESPONJA ANTILLUVIA DE PARABRISAS")</f>
        <v>ESPONJA ANTILLUVIA DE PARABRISAS</v>
      </c>
      <c r="AD1488" s="65"/>
      <c r="AE1488" s="65">
        <f>IFERROR(__xludf.DUMMYFUNCTION("""COMPUTED_VALUE"""),3.0)</f>
        <v>3</v>
      </c>
      <c r="AF1488" s="65"/>
      <c r="AG1488" s="65"/>
      <c r="AH1488" s="65"/>
      <c r="AI1488" s="65"/>
      <c r="AJ1488" s="65"/>
      <c r="AK1488" s="65"/>
      <c r="AL1488" s="65"/>
      <c r="AM1488" s="65"/>
      <c r="AN1488" s="65"/>
      <c r="AO1488" s="65"/>
      <c r="AP1488" s="65"/>
      <c r="AQ1488" s="65"/>
      <c r="AR1488" s="65"/>
      <c r="AS1488" s="65"/>
      <c r="AT1488" s="65" t="str">
        <f>IFERROR(__xludf.DUMMYFUNCTION("""COMPUTED_VALUE"""),"SHOPIFY")</f>
        <v>SHOPIFY</v>
      </c>
      <c r="AU1488" s="65" t="str">
        <f>IFERROR(__xludf.DUMMYFUNCTION("""COMPUTED_VALUE"""),"IMPORTEX EC")</f>
        <v>IMPORTEX EC</v>
      </c>
      <c r="AV1488" s="65" t="str">
        <f>IFERROR(__xludf.DUMMYFUNCTION("""COMPUTED_VALUE"""),"6442433937452")</f>
        <v>6442433937452</v>
      </c>
      <c r="AW1488" s="65">
        <f>IFERROR(__xludf.DUMMYFUNCTION("""COMPUTED_VALUE"""),5449.0)</f>
        <v>5449</v>
      </c>
      <c r="AX1488" s="65"/>
      <c r="AY1488" s="65"/>
      <c r="AZ1488" s="65"/>
      <c r="BA1488" s="65"/>
    </row>
    <row r="1489">
      <c r="A1489" s="65" t="str">
        <f>IFERROR(__xludf.DUMMYFUNCTION("""COMPUTED_VALUE"""),"27-03-2026")</f>
        <v>27-03-2026</v>
      </c>
      <c r="B1489" s="65">
        <f>IFERROR(__xludf.DUMMYFUNCTION("""COMPUTED_VALUE"""),4256978.0)</f>
        <v>4256978</v>
      </c>
      <c r="C1489" s="65" t="str">
        <f>IFERROR(__xludf.DUMMYFUNCTION("""COMPUTED_VALUE"""),"20:26")</f>
        <v>20:26</v>
      </c>
      <c r="D1489" s="65" t="str">
        <f>IFERROR(__xludf.DUMMYFUNCTION("""COMPUTED_VALUE"""),"23-01-2026")</f>
        <v>23-01-2026</v>
      </c>
      <c r="E1489" s="65" t="str">
        <f>IFERROR(__xludf.DUMMYFUNCTION("""COMPUTED_VALUE"""),"José Luis Macías sacros")</f>
        <v>José Luis Macías sacros</v>
      </c>
      <c r="F1489" s="65" t="str">
        <f>IFERROR(__xludf.DUMMYFUNCTION("""COMPUTED_VALUE"""),"986551064")</f>
        <v>986551064</v>
      </c>
      <c r="G1489" s="65" t="str">
        <f>IFERROR(__xludf.DUMMYFUNCTION("""COMPUTED_VALUE"""),"jose_luis.ms@hotmail.com")</f>
        <v>jose_luis.ms@hotmail.com</v>
      </c>
      <c r="H1489" s="65"/>
      <c r="I1489" s="65"/>
      <c r="J1489" s="65" t="str">
        <f>IFERROR(__xludf.DUMMYFUNCTION("""COMPUTED_VALUE"""),"D001266764")</f>
        <v>D001266764</v>
      </c>
      <c r="K1489" s="65" t="str">
        <f>IFERROR(__xludf.DUMMYFUNCTION("""COMPUTED_VALUE"""),"ENTREGADO")</f>
        <v>ENTREGADO</v>
      </c>
      <c r="L1489" s="65" t="str">
        <f>IFERROR(__xludf.DUMMYFUNCTION("""COMPUTED_VALUE"""),"CON RECAUDO")</f>
        <v>CON RECAUDO</v>
      </c>
      <c r="M1489" s="65" t="str">
        <f>IFERROR(__xludf.DUMMYFUNCTION("""COMPUTED_VALUE"""),"GUAYAS")</f>
        <v>GUAYAS</v>
      </c>
      <c r="N1489" s="65" t="str">
        <f>IFERROR(__xludf.DUMMYFUNCTION("""COMPUTED_VALUE"""),"MILAGRO")</f>
        <v>MILAGRO</v>
      </c>
      <c r="O1489" s="65" t="str">
        <f>IFERROR(__xludf.DUMMYFUNCTION("""COMPUTED_VALUE"""),"Calderón y escobedo Seguro social -")</f>
        <v>Calderón y escobedo Seguro social -</v>
      </c>
      <c r="P1489" s="65"/>
      <c r="Q1489" s="65" t="str">
        <f>IFERROR(__xludf.DUMMYFUNCTION("""COMPUTED_VALUE"""),"GINTRACOM")</f>
        <v>GINTRACOM</v>
      </c>
      <c r="R1489" s="65">
        <f>IFERROR(__xludf.DUMMYFUNCTION("""COMPUTED_VALUE"""),20.0)</f>
        <v>20</v>
      </c>
      <c r="S1489" s="65">
        <f>IFERROR(__xludf.DUMMYFUNCTION("""COMPUTED_VALUE"""),11.89)</f>
        <v>11.89</v>
      </c>
      <c r="T1489" s="65">
        <f>IFERROR(__xludf.DUMMYFUNCTION("""COMPUTED_VALUE"""),5.76)</f>
        <v>5.76</v>
      </c>
      <c r="U1489" s="65">
        <f>IFERROR(__xludf.DUMMYFUNCTION("""COMPUTED_VALUE"""),0.0)</f>
        <v>0</v>
      </c>
      <c r="V1489" s="65">
        <f>IFERROR(__xludf.DUMMYFUNCTION("""COMPUTED_VALUE"""),0.0)</f>
        <v>0</v>
      </c>
      <c r="W1489" s="65">
        <f>IFERROR(__xludf.DUMMYFUNCTION("""COMPUTED_VALUE"""),0.0)</f>
        <v>0</v>
      </c>
      <c r="X1489" s="65">
        <f>IFERROR(__xludf.DUMMYFUNCTION("""COMPUTED_VALUE"""),2.35)</f>
        <v>2.35</v>
      </c>
      <c r="Y1489" s="65">
        <f>IFERROR(__xludf.DUMMYFUNCTION("""COMPUTED_VALUE"""),2.35)</f>
        <v>2.35</v>
      </c>
      <c r="Z1489" s="65">
        <f>IFERROR(__xludf.DUMMYFUNCTION("""COMPUTED_VALUE"""),116679.0)</f>
        <v>116679</v>
      </c>
      <c r="AA1489" s="65" t="str">
        <f>IFERROR(__xludf.DUMMYFUNCTION("""COMPUTED_VALUE"""),"AMC-2738")</f>
        <v>AMC-2738</v>
      </c>
      <c r="AB1489" s="65"/>
      <c r="AC1489" s="65" t="str">
        <f>IFERROR(__xludf.DUMMYFUNCTION("""COMPUTED_VALUE"""),"ESPONJA ANTILLUVIA DE PARABRISAS")</f>
        <v>ESPONJA ANTILLUVIA DE PARABRISAS</v>
      </c>
      <c r="AD1489" s="65"/>
      <c r="AE1489" s="65">
        <f>IFERROR(__xludf.DUMMYFUNCTION("""COMPUTED_VALUE"""),1.0)</f>
        <v>1</v>
      </c>
      <c r="AF1489" s="65"/>
      <c r="AG1489" s="65"/>
      <c r="AH1489" s="65"/>
      <c r="AI1489" s="65"/>
      <c r="AJ1489" s="65"/>
      <c r="AK1489" s="65"/>
      <c r="AL1489" s="65"/>
      <c r="AM1489" s="65"/>
      <c r="AN1489" s="65" t="str">
        <f>IFERROR(__xludf.DUMMYFUNCTION("""COMPUTED_VALUE"""),"17:19")</f>
        <v>17:19</v>
      </c>
      <c r="AO1489" s="65" t="str">
        <f>IFERROR(__xludf.DUMMYFUNCTION("""COMPUTED_VALUE"""),"27-01-2026")</f>
        <v>27-01-2026</v>
      </c>
      <c r="AP1489" s="65" t="str">
        <f>IFERROR(__xludf.DUMMYFUNCTION("""COMPUTED_VALUE"""),"EN TRÁNSITO")</f>
        <v>EN TRÁNSITO</v>
      </c>
      <c r="AQ1489" s="65" t="str">
        <f>IFERROR(__xludf.DUMMYFUNCTION("""COMPUTED_VALUE"""),"EN TRÁNSITO")</f>
        <v>EN TRÁNSITO</v>
      </c>
      <c r="AR1489" s="65"/>
      <c r="AS1489" s="65"/>
      <c r="AT1489" s="65" t="str">
        <f>IFERROR(__xludf.DUMMYFUNCTION("""COMPUTED_VALUE"""),"SHOPIFY")</f>
        <v>SHOPIFY</v>
      </c>
      <c r="AU1489" s="65" t="str">
        <f>IFERROR(__xludf.DUMMYFUNCTION("""COMPUTED_VALUE"""),"IMPORTEX EC")</f>
        <v>IMPORTEX EC</v>
      </c>
      <c r="AV1489" s="65" t="str">
        <f>IFERROR(__xludf.DUMMYFUNCTION("""COMPUTED_VALUE"""),"6442109304876")</f>
        <v>6442109304876</v>
      </c>
      <c r="AW1489" s="65">
        <f>IFERROR(__xludf.DUMMYFUNCTION("""COMPUTED_VALUE"""),5448.0)</f>
        <v>5448</v>
      </c>
      <c r="AX1489" s="65"/>
      <c r="AY1489" s="65" t="str">
        <f>IFERROR(__xludf.DUMMYFUNCTION("""COMPUTED_VALUE"""),"27/01/2026")</f>
        <v>27/01/2026</v>
      </c>
      <c r="AZ1489" s="65"/>
      <c r="BA1489" s="65"/>
    </row>
    <row r="1490">
      <c r="A1490" s="65" t="str">
        <f>IFERROR(__xludf.DUMMYFUNCTION("""COMPUTED_VALUE"""),"27-03-2026")</f>
        <v>27-03-2026</v>
      </c>
      <c r="B1490" s="65">
        <f>IFERROR(__xludf.DUMMYFUNCTION("""COMPUTED_VALUE"""),4256837.0)</f>
        <v>4256837</v>
      </c>
      <c r="C1490" s="65" t="str">
        <f>IFERROR(__xludf.DUMMYFUNCTION("""COMPUTED_VALUE"""),"20:13")</f>
        <v>20:13</v>
      </c>
      <c r="D1490" s="65" t="str">
        <f>IFERROR(__xludf.DUMMYFUNCTION("""COMPUTED_VALUE"""),"23-01-2026")</f>
        <v>23-01-2026</v>
      </c>
      <c r="E1490" s="65" t="str">
        <f>IFERROR(__xludf.DUMMYFUNCTION("""COMPUTED_VALUE"""),"Roberto Sánchez")</f>
        <v>Roberto Sánchez</v>
      </c>
      <c r="F1490" s="65" t="str">
        <f>IFERROR(__xludf.DUMMYFUNCTION("""COMPUTED_VALUE"""),"993838163")</f>
        <v>993838163</v>
      </c>
      <c r="G1490" s="65" t="str">
        <f>IFERROR(__xludf.DUMMYFUNCTION("""COMPUTED_VALUE"""),"rohesanchez67@gmail.com")</f>
        <v>rohesanchez67@gmail.com</v>
      </c>
      <c r="H1490" s="65"/>
      <c r="I1490" s="65"/>
      <c r="J1490" s="65"/>
      <c r="K1490" s="65" t="str">
        <f>IFERROR(__xludf.DUMMYFUNCTION("""COMPUTED_VALUE"""),"CANCELADO")</f>
        <v>CANCELADO</v>
      </c>
      <c r="L1490" s="65" t="str">
        <f>IFERROR(__xludf.DUMMYFUNCTION("""COMPUTED_VALUE"""),"CON RECAUDO")</f>
        <v>CON RECAUDO</v>
      </c>
      <c r="M1490" s="65" t="str">
        <f>IFERROR(__xludf.DUMMYFUNCTION("""COMPUTED_VALUE"""),"GUAYAS")</f>
        <v>GUAYAS</v>
      </c>
      <c r="N1490" s="65" t="str">
        <f>IFERROR(__xludf.DUMMYFUNCTION("""COMPUTED_VALUE"""),"GUAYAQUIL")</f>
        <v>GUAYAQUIL</v>
      </c>
      <c r="O1490" s="65" t="str">
        <f>IFERROR(__xludf.DUMMYFUNCTION("""COMPUTED_VALUE"""),"Aguirre y García Moreno García Moreno -")</f>
        <v>Aguirre y García Moreno García Moreno -</v>
      </c>
      <c r="P1490" s="65"/>
      <c r="Q1490" s="65" t="str">
        <f>IFERROR(__xludf.DUMMYFUNCTION("""COMPUTED_VALUE"""),"GINTRACOM")</f>
        <v>GINTRACOM</v>
      </c>
      <c r="R1490" s="65">
        <f>IFERROR(__xludf.DUMMYFUNCTION("""COMPUTED_VALUE"""),25.0)</f>
        <v>25</v>
      </c>
      <c r="S1490" s="65"/>
      <c r="T1490" s="65">
        <f>IFERROR(__xludf.DUMMYFUNCTION("""COMPUTED_VALUE"""),5.96)</f>
        <v>5.96</v>
      </c>
      <c r="U1490" s="65">
        <f>IFERROR(__xludf.DUMMYFUNCTION("""COMPUTED_VALUE"""),0.0)</f>
        <v>0</v>
      </c>
      <c r="V1490" s="65">
        <f>IFERROR(__xludf.DUMMYFUNCTION("""COMPUTED_VALUE"""),0.0)</f>
        <v>0</v>
      </c>
      <c r="W1490" s="65">
        <f>IFERROR(__xludf.DUMMYFUNCTION("""COMPUTED_VALUE"""),0.0)</f>
        <v>0</v>
      </c>
      <c r="X1490" s="65">
        <f>IFERROR(__xludf.DUMMYFUNCTION("""COMPUTED_VALUE"""),2.35)</f>
        <v>2.35</v>
      </c>
      <c r="Y1490" s="65">
        <f>IFERROR(__xludf.DUMMYFUNCTION("""COMPUTED_VALUE"""),4.7)</f>
        <v>4.7</v>
      </c>
      <c r="Z1490" s="65">
        <f>IFERROR(__xludf.DUMMYFUNCTION("""COMPUTED_VALUE"""),116679.0)</f>
        <v>116679</v>
      </c>
      <c r="AA1490" s="65" t="str">
        <f>IFERROR(__xludf.DUMMYFUNCTION("""COMPUTED_VALUE"""),"AMC-2738")</f>
        <v>AMC-2738</v>
      </c>
      <c r="AB1490" s="65"/>
      <c r="AC1490" s="65" t="str">
        <f>IFERROR(__xludf.DUMMYFUNCTION("""COMPUTED_VALUE"""),"ESPONJA ANTILLUVIA DE PARABRISAS")</f>
        <v>ESPONJA ANTILLUVIA DE PARABRISAS</v>
      </c>
      <c r="AD1490" s="65"/>
      <c r="AE1490" s="65">
        <f>IFERROR(__xludf.DUMMYFUNCTION("""COMPUTED_VALUE"""),2.0)</f>
        <v>2</v>
      </c>
      <c r="AF1490" s="65"/>
      <c r="AG1490" s="65"/>
      <c r="AH1490" s="65"/>
      <c r="AI1490" s="65"/>
      <c r="AJ1490" s="65"/>
      <c r="AK1490" s="65"/>
      <c r="AL1490" s="65"/>
      <c r="AM1490" s="65"/>
      <c r="AN1490" s="65"/>
      <c r="AO1490" s="65"/>
      <c r="AP1490" s="65"/>
      <c r="AQ1490" s="65"/>
      <c r="AR1490" s="65"/>
      <c r="AS1490" s="65"/>
      <c r="AT1490" s="65" t="str">
        <f>IFERROR(__xludf.DUMMYFUNCTION("""COMPUTED_VALUE"""),"SHOPIFY")</f>
        <v>SHOPIFY</v>
      </c>
      <c r="AU1490" s="65" t="str">
        <f>IFERROR(__xludf.DUMMYFUNCTION("""COMPUTED_VALUE"""),"IMPORTEX EC")</f>
        <v>IMPORTEX EC</v>
      </c>
      <c r="AV1490" s="65" t="str">
        <f>IFERROR(__xludf.DUMMYFUNCTION("""COMPUTED_VALUE"""),"6442076864556")</f>
        <v>6442076864556</v>
      </c>
      <c r="AW1490" s="65">
        <f>IFERROR(__xludf.DUMMYFUNCTION("""COMPUTED_VALUE"""),5447.0)</f>
        <v>5447</v>
      </c>
      <c r="AX1490" s="65"/>
      <c r="AY1490" s="65"/>
      <c r="AZ1490" s="65"/>
      <c r="BA1490" s="65"/>
    </row>
    <row r="1491">
      <c r="A1491" s="65" t="str">
        <f>IFERROR(__xludf.DUMMYFUNCTION("""COMPUTED_VALUE"""),"27-03-2026")</f>
        <v>27-03-2026</v>
      </c>
      <c r="B1491" s="65">
        <f>IFERROR(__xludf.DUMMYFUNCTION("""COMPUTED_VALUE"""),4253935.0)</f>
        <v>4253935</v>
      </c>
      <c r="C1491" s="65" t="str">
        <f>IFERROR(__xludf.DUMMYFUNCTION("""COMPUTED_VALUE"""),"15:06")</f>
        <v>15:06</v>
      </c>
      <c r="D1491" s="65" t="str">
        <f>IFERROR(__xludf.DUMMYFUNCTION("""COMPUTED_VALUE"""),"23-01-2026")</f>
        <v>23-01-2026</v>
      </c>
      <c r="E1491" s="65" t="str">
        <f>IFERROR(__xludf.DUMMYFUNCTION("""COMPUTED_VALUE"""),"Ricardo Cruz")</f>
        <v>Ricardo Cruz</v>
      </c>
      <c r="F1491" s="65" t="str">
        <f>IFERROR(__xludf.DUMMYFUNCTION("""COMPUTED_VALUE"""),"995344704")</f>
        <v>995344704</v>
      </c>
      <c r="G1491" s="65" t="str">
        <f>IFERROR(__xludf.DUMMYFUNCTION("""COMPUTED_VALUE"""),"ricardocruz1973@hotmail.com")</f>
        <v>ricardocruz1973@hotmail.com</v>
      </c>
      <c r="H1491" s="65"/>
      <c r="I1491" s="65"/>
      <c r="J1491" s="65"/>
      <c r="K1491" s="65" t="str">
        <f>IFERROR(__xludf.DUMMYFUNCTION("""COMPUTED_VALUE"""),"PENDIENTE CONFIRMACION")</f>
        <v>PENDIENTE CONFIRMACION</v>
      </c>
      <c r="L1491" s="65" t="str">
        <f>IFERROR(__xludf.DUMMYFUNCTION("""COMPUTED_VALUE"""),"CON RECAUDO")</f>
        <v>CON RECAUDO</v>
      </c>
      <c r="M1491" s="65" t="str">
        <f>IFERROR(__xludf.DUMMYFUNCTION("""COMPUTED_VALUE"""),"PICHINCHA")</f>
        <v>PICHINCHA</v>
      </c>
      <c r="N1491" s="65" t="str">
        <f>IFERROR(__xludf.DUMMYFUNCTION("""COMPUTED_VALUE"""),"MEJIA")</f>
        <v>MEJIA</v>
      </c>
      <c r="O1491" s="65" t="str">
        <f>IFERROR(__xludf.DUMMYFUNCTION("""COMPUTED_VALUE"""),"Calle Atacazo #20 y Panamericana Sur Cutuglagua Barrio Central -")</f>
        <v>Calle Atacazo #20 y Panamericana Sur Cutuglagua Barrio Central -</v>
      </c>
      <c r="P1491" s="65"/>
      <c r="Q1491" s="65" t="str">
        <f>IFERROR(__xludf.DUMMYFUNCTION("""COMPUTED_VALUE"""),"SERVIENTREGA")</f>
        <v>SERVIENTREGA</v>
      </c>
      <c r="R1491" s="65">
        <f>IFERROR(__xludf.DUMMYFUNCTION("""COMPUTED_VALUE"""),25.0)</f>
        <v>25</v>
      </c>
      <c r="S1491" s="65"/>
      <c r="T1491" s="65">
        <f>IFERROR(__xludf.DUMMYFUNCTION("""COMPUTED_VALUE"""),7.75)</f>
        <v>7.75</v>
      </c>
      <c r="U1491" s="65">
        <f>IFERROR(__xludf.DUMMYFUNCTION("""COMPUTED_VALUE"""),0.0)</f>
        <v>0</v>
      </c>
      <c r="V1491" s="65">
        <f>IFERROR(__xludf.DUMMYFUNCTION("""COMPUTED_VALUE"""),0.0)</f>
        <v>0</v>
      </c>
      <c r="W1491" s="65">
        <f>IFERROR(__xludf.DUMMYFUNCTION("""COMPUTED_VALUE"""),0.0)</f>
        <v>0</v>
      </c>
      <c r="X1491" s="65">
        <f>IFERROR(__xludf.DUMMYFUNCTION("""COMPUTED_VALUE"""),2.35)</f>
        <v>2.35</v>
      </c>
      <c r="Y1491" s="65">
        <f>IFERROR(__xludf.DUMMYFUNCTION("""COMPUTED_VALUE"""),4.7)</f>
        <v>4.7</v>
      </c>
      <c r="Z1491" s="65">
        <f>IFERROR(__xludf.DUMMYFUNCTION("""COMPUTED_VALUE"""),116679.0)</f>
        <v>116679</v>
      </c>
      <c r="AA1491" s="65" t="str">
        <f>IFERROR(__xludf.DUMMYFUNCTION("""COMPUTED_VALUE"""),"AMC-2738")</f>
        <v>AMC-2738</v>
      </c>
      <c r="AB1491" s="65"/>
      <c r="AC1491" s="65" t="str">
        <f>IFERROR(__xludf.DUMMYFUNCTION("""COMPUTED_VALUE"""),"ESPONJA ANTILLUVIA DE PARABRISAS")</f>
        <v>ESPONJA ANTILLUVIA DE PARABRISAS</v>
      </c>
      <c r="AD1491" s="65"/>
      <c r="AE1491" s="65">
        <f>IFERROR(__xludf.DUMMYFUNCTION("""COMPUTED_VALUE"""),2.0)</f>
        <v>2</v>
      </c>
      <c r="AF1491" s="65"/>
      <c r="AG1491" s="65"/>
      <c r="AH1491" s="65"/>
      <c r="AI1491" s="65"/>
      <c r="AJ1491" s="65"/>
      <c r="AK1491" s="65"/>
      <c r="AL1491" s="65"/>
      <c r="AM1491" s="65"/>
      <c r="AN1491" s="65"/>
      <c r="AO1491" s="65"/>
      <c r="AP1491" s="65"/>
      <c r="AQ1491" s="65"/>
      <c r="AR1491" s="65"/>
      <c r="AS1491" s="65"/>
      <c r="AT1491" s="65" t="str">
        <f>IFERROR(__xludf.DUMMYFUNCTION("""COMPUTED_VALUE"""),"SHOPIFY")</f>
        <v>SHOPIFY</v>
      </c>
      <c r="AU1491" s="65" t="str">
        <f>IFERROR(__xludf.DUMMYFUNCTION("""COMPUTED_VALUE"""),"IMPORTEX EC")</f>
        <v>IMPORTEX EC</v>
      </c>
      <c r="AV1491" s="65" t="str">
        <f>IFERROR(__xludf.DUMMYFUNCTION("""COMPUTED_VALUE"""),"6441238691884")</f>
        <v>6441238691884</v>
      </c>
      <c r="AW1491" s="65">
        <f>IFERROR(__xludf.DUMMYFUNCTION("""COMPUTED_VALUE"""),5446.0)</f>
        <v>5446</v>
      </c>
      <c r="AX1491" s="65"/>
      <c r="AY1491" s="65"/>
      <c r="AZ1491" s="65"/>
      <c r="BA1491" s="65"/>
    </row>
    <row r="1492">
      <c r="A1492" s="65" t="str">
        <f>IFERROR(__xludf.DUMMYFUNCTION("""COMPUTED_VALUE"""),"27-03-2026")</f>
        <v>27-03-2026</v>
      </c>
      <c r="B1492" s="65">
        <f>IFERROR(__xludf.DUMMYFUNCTION("""COMPUTED_VALUE"""),4253928.0)</f>
        <v>4253928</v>
      </c>
      <c r="C1492" s="65" t="str">
        <f>IFERROR(__xludf.DUMMYFUNCTION("""COMPUTED_VALUE"""),"15:06")</f>
        <v>15:06</v>
      </c>
      <c r="D1492" s="65" t="str">
        <f>IFERROR(__xludf.DUMMYFUNCTION("""COMPUTED_VALUE"""),"23-01-2026")</f>
        <v>23-01-2026</v>
      </c>
      <c r="E1492" s="65" t="str">
        <f>IFERROR(__xludf.DUMMYFUNCTION("""COMPUTED_VALUE"""),"Juan Carlos Pianda Cobeña")</f>
        <v>Juan Carlos Pianda Cobeña</v>
      </c>
      <c r="F1492" s="65" t="str">
        <f>IFERROR(__xludf.DUMMYFUNCTION("""COMPUTED_VALUE"""),"985671098")</f>
        <v>985671098</v>
      </c>
      <c r="G1492" s="65" t="str">
        <f>IFERROR(__xludf.DUMMYFUNCTION("""COMPUTED_VALUE"""),"Pianda0723@gmail.com")</f>
        <v>Pianda0723@gmail.com</v>
      </c>
      <c r="H1492" s="65"/>
      <c r="I1492" s="65"/>
      <c r="J1492" s="65"/>
      <c r="K1492" s="65" t="str">
        <f>IFERROR(__xludf.DUMMYFUNCTION("""COMPUTED_VALUE"""),"CANCELADO")</f>
        <v>CANCELADO</v>
      </c>
      <c r="L1492" s="65" t="str">
        <f>IFERROR(__xludf.DUMMYFUNCTION("""COMPUTED_VALUE"""),"CON RECAUDO")</f>
        <v>CON RECAUDO</v>
      </c>
      <c r="M1492" s="65" t="str">
        <f>IFERROR(__xludf.DUMMYFUNCTION("""COMPUTED_VALUE"""),"GUAYAS")</f>
        <v>GUAYAS</v>
      </c>
      <c r="N1492" s="65" t="str">
        <f>IFERROR(__xludf.DUMMYFUNCTION("""COMPUTED_VALUE"""),"LOMAS DE SARGENTILLO")</f>
        <v>LOMAS DE SARGENTILLO</v>
      </c>
      <c r="O1492" s="65" t="str">
        <f>IFERROR(__xludf.DUMMYFUNCTION("""COMPUTED_VALUE"""),"Via pedro carbo Lomas de sargentillo -")</f>
        <v>Via pedro carbo Lomas de sargentillo -</v>
      </c>
      <c r="P1492" s="65"/>
      <c r="Q1492" s="65" t="str">
        <f>IFERROR(__xludf.DUMMYFUNCTION("""COMPUTED_VALUE"""),"SERVIENTREGA")</f>
        <v>SERVIENTREGA</v>
      </c>
      <c r="R1492" s="65">
        <f>IFERROR(__xludf.DUMMYFUNCTION("""COMPUTED_VALUE"""),25.0)</f>
        <v>25</v>
      </c>
      <c r="S1492" s="65"/>
      <c r="T1492" s="65">
        <f>IFERROR(__xludf.DUMMYFUNCTION("""COMPUTED_VALUE"""),7.75)</f>
        <v>7.75</v>
      </c>
      <c r="U1492" s="65">
        <f>IFERROR(__xludf.DUMMYFUNCTION("""COMPUTED_VALUE"""),0.0)</f>
        <v>0</v>
      </c>
      <c r="V1492" s="65">
        <f>IFERROR(__xludf.DUMMYFUNCTION("""COMPUTED_VALUE"""),0.0)</f>
        <v>0</v>
      </c>
      <c r="W1492" s="65">
        <f>IFERROR(__xludf.DUMMYFUNCTION("""COMPUTED_VALUE"""),0.0)</f>
        <v>0</v>
      </c>
      <c r="X1492" s="65">
        <f>IFERROR(__xludf.DUMMYFUNCTION("""COMPUTED_VALUE"""),2.35)</f>
        <v>2.35</v>
      </c>
      <c r="Y1492" s="65">
        <f>IFERROR(__xludf.DUMMYFUNCTION("""COMPUTED_VALUE"""),4.7)</f>
        <v>4.7</v>
      </c>
      <c r="Z1492" s="65">
        <f>IFERROR(__xludf.DUMMYFUNCTION("""COMPUTED_VALUE"""),116679.0)</f>
        <v>116679</v>
      </c>
      <c r="AA1492" s="65" t="str">
        <f>IFERROR(__xludf.DUMMYFUNCTION("""COMPUTED_VALUE"""),"AMC-2738")</f>
        <v>AMC-2738</v>
      </c>
      <c r="AB1492" s="65"/>
      <c r="AC1492" s="65" t="str">
        <f>IFERROR(__xludf.DUMMYFUNCTION("""COMPUTED_VALUE"""),"ESPONJA ANTILLUVIA DE PARABRISAS")</f>
        <v>ESPONJA ANTILLUVIA DE PARABRISAS</v>
      </c>
      <c r="AD1492" s="65"/>
      <c r="AE1492" s="65">
        <f>IFERROR(__xludf.DUMMYFUNCTION("""COMPUTED_VALUE"""),2.0)</f>
        <v>2</v>
      </c>
      <c r="AF1492" s="65"/>
      <c r="AG1492" s="65"/>
      <c r="AH1492" s="65"/>
      <c r="AI1492" s="65"/>
      <c r="AJ1492" s="65"/>
      <c r="AK1492" s="65"/>
      <c r="AL1492" s="65"/>
      <c r="AM1492" s="65"/>
      <c r="AN1492" s="65"/>
      <c r="AO1492" s="65"/>
      <c r="AP1492" s="65"/>
      <c r="AQ1492" s="65"/>
      <c r="AR1492" s="65"/>
      <c r="AS1492" s="65"/>
      <c r="AT1492" s="65" t="str">
        <f>IFERROR(__xludf.DUMMYFUNCTION("""COMPUTED_VALUE"""),"SHOPIFY")</f>
        <v>SHOPIFY</v>
      </c>
      <c r="AU1492" s="65" t="str">
        <f>IFERROR(__xludf.DUMMYFUNCTION("""COMPUTED_VALUE"""),"IMPORTEX EC")</f>
        <v>IMPORTEX EC</v>
      </c>
      <c r="AV1492" s="65" t="str">
        <f>IFERROR(__xludf.DUMMYFUNCTION("""COMPUTED_VALUE"""),"6441235316780")</f>
        <v>6441235316780</v>
      </c>
      <c r="AW1492" s="65">
        <f>IFERROR(__xludf.DUMMYFUNCTION("""COMPUTED_VALUE"""),5445.0)</f>
        <v>5445</v>
      </c>
      <c r="AX1492" s="65"/>
      <c r="AY1492" s="65"/>
      <c r="AZ1492" s="65"/>
      <c r="BA1492" s="65"/>
    </row>
    <row r="1493">
      <c r="A1493" s="65" t="str">
        <f>IFERROR(__xludf.DUMMYFUNCTION("""COMPUTED_VALUE"""),"27-03-2026")</f>
        <v>27-03-2026</v>
      </c>
      <c r="B1493" s="65">
        <f>IFERROR(__xludf.DUMMYFUNCTION("""COMPUTED_VALUE"""),4250753.0)</f>
        <v>4250753</v>
      </c>
      <c r="C1493" s="65" t="str">
        <f>IFERROR(__xludf.DUMMYFUNCTION("""COMPUTED_VALUE"""),"10:12")</f>
        <v>10:12</v>
      </c>
      <c r="D1493" s="65" t="str">
        <f>IFERROR(__xludf.DUMMYFUNCTION("""COMPUTED_VALUE"""),"23-01-2026")</f>
        <v>23-01-2026</v>
      </c>
      <c r="E1493" s="65" t="str">
        <f>IFERROR(__xludf.DUMMYFUNCTION("""COMPUTED_VALUE"""),"Roberto Caregua")</f>
        <v>Roberto Caregua</v>
      </c>
      <c r="F1493" s="65" t="str">
        <f>IFERROR(__xludf.DUMMYFUNCTION("""COMPUTED_VALUE"""),"939254703")</f>
        <v>939254703</v>
      </c>
      <c r="G1493" s="65" t="str">
        <f>IFERROR(__xludf.DUMMYFUNCTION("""COMPUTED_VALUE"""),"careguavillegas@gmail.com")</f>
        <v>careguavillegas@gmail.com</v>
      </c>
      <c r="H1493" s="65"/>
      <c r="I1493" s="65"/>
      <c r="J1493" s="65" t="str">
        <f>IFERROR(__xludf.DUMMYFUNCTION("""COMPUTED_VALUE"""),"186530283")</f>
        <v>186530283</v>
      </c>
      <c r="K1493" s="65" t="str">
        <f>IFERROR(__xludf.DUMMYFUNCTION("""COMPUTED_VALUE"""),"ENTREGADO")</f>
        <v>ENTREGADO</v>
      </c>
      <c r="L1493" s="65" t="str">
        <f>IFERROR(__xludf.DUMMYFUNCTION("""COMPUTED_VALUE"""),"CON RECAUDO")</f>
        <v>CON RECAUDO</v>
      </c>
      <c r="M1493" s="65" t="str">
        <f>IFERROR(__xludf.DUMMYFUNCTION("""COMPUTED_VALUE"""),"GUAYAS")</f>
        <v>GUAYAS</v>
      </c>
      <c r="N1493" s="65" t="str">
        <f>IFERROR(__xludf.DUMMYFUNCTION("""COMPUTED_VALUE"""),"POSORJA")</f>
        <v>POSORJA</v>
      </c>
      <c r="O1493" s="65" t="str">
        <f>IFERROR(__xludf.DUMMYFUNCTION("""COMPUTED_VALUE"""),"Av. Carlos Julio Carvajal. Via a NIRSA Via la real -")</f>
        <v>Av. Carlos Julio Carvajal. Via a NIRSA Via la real -</v>
      </c>
      <c r="P1493" s="65"/>
      <c r="Q1493" s="65" t="str">
        <f>IFERROR(__xludf.DUMMYFUNCTION("""COMPUTED_VALUE"""),"SERVIENTREGA")</f>
        <v>SERVIENTREGA</v>
      </c>
      <c r="R1493" s="65">
        <f>IFERROR(__xludf.DUMMYFUNCTION("""COMPUTED_VALUE"""),30.0)</f>
        <v>30</v>
      </c>
      <c r="S1493" s="65">
        <f>IFERROR(__xludf.DUMMYFUNCTION("""COMPUTED_VALUE"""),15.13)</f>
        <v>15.13</v>
      </c>
      <c r="T1493" s="65">
        <f>IFERROR(__xludf.DUMMYFUNCTION("""COMPUTED_VALUE"""),7.82)</f>
        <v>7.82</v>
      </c>
      <c r="U1493" s="65">
        <f>IFERROR(__xludf.DUMMYFUNCTION("""COMPUTED_VALUE"""),0.0)</f>
        <v>0</v>
      </c>
      <c r="V1493" s="65">
        <f>IFERROR(__xludf.DUMMYFUNCTION("""COMPUTED_VALUE"""),0.0)</f>
        <v>0</v>
      </c>
      <c r="W1493" s="65">
        <f>IFERROR(__xludf.DUMMYFUNCTION("""COMPUTED_VALUE"""),0.0)</f>
        <v>0</v>
      </c>
      <c r="X1493" s="65">
        <f>IFERROR(__xludf.DUMMYFUNCTION("""COMPUTED_VALUE"""),2.35)</f>
        <v>2.35</v>
      </c>
      <c r="Y1493" s="65">
        <f>IFERROR(__xludf.DUMMYFUNCTION("""COMPUTED_VALUE"""),7.05)</f>
        <v>7.05</v>
      </c>
      <c r="Z1493" s="65">
        <f>IFERROR(__xludf.DUMMYFUNCTION("""COMPUTED_VALUE"""),116679.0)</f>
        <v>116679</v>
      </c>
      <c r="AA1493" s="65" t="str">
        <f>IFERROR(__xludf.DUMMYFUNCTION("""COMPUTED_VALUE"""),"AMC-2738")</f>
        <v>AMC-2738</v>
      </c>
      <c r="AB1493" s="65"/>
      <c r="AC1493" s="65" t="str">
        <f>IFERROR(__xludf.DUMMYFUNCTION("""COMPUTED_VALUE"""),"ESPONJA ANTILLUVIA DE PARABRISAS")</f>
        <v>ESPONJA ANTILLUVIA DE PARABRISAS</v>
      </c>
      <c r="AD1493" s="65"/>
      <c r="AE1493" s="65">
        <f>IFERROR(__xludf.DUMMYFUNCTION("""COMPUTED_VALUE"""),3.0)</f>
        <v>3</v>
      </c>
      <c r="AF1493" s="65" t="str">
        <f>IFERROR(__xludf.DUMMYFUNCTION("""COMPUTED_VALUE"""),"DIRECCION INCORRECTA")</f>
        <v>DIRECCION INCORRECTA</v>
      </c>
      <c r="AG1493" s="65" t="str">
        <f>IFERROR(__xludf.DUMMYFUNCTION("""COMPUTED_VALUE"""),"NO")</f>
        <v>NO</v>
      </c>
      <c r="AH1493" s="65" t="str">
        <f>IFERROR(__xludf.DUMMYFUNCTION("""COMPUTED_VALUE"""),"17:26")</f>
        <v>17:26</v>
      </c>
      <c r="AI1493" s="65" t="str">
        <f>IFERROR(__xludf.DUMMYFUNCTION("""COMPUTED_VALUE"""),"27-01-2026")</f>
        <v>27-01-2026</v>
      </c>
      <c r="AJ1493" s="65"/>
      <c r="AK1493" s="65"/>
      <c r="AL1493" s="65"/>
      <c r="AM1493" s="65"/>
      <c r="AN1493" s="65" t="str">
        <f>IFERROR(__xludf.DUMMYFUNCTION("""COMPUTED_VALUE"""),"11:58")</f>
        <v>11:58</v>
      </c>
      <c r="AO1493" s="65" t="str">
        <f>IFERROR(__xludf.DUMMYFUNCTION("""COMPUTED_VALUE"""),"28-01-2026")</f>
        <v>28-01-2026</v>
      </c>
      <c r="AP1493" s="65" t="str">
        <f>IFERROR(__xludf.DUMMYFUNCTION("""COMPUTED_VALUE"""),"REPORTADO ENTREGADO EN APP")</f>
        <v>REPORTADO ENTREGADO EN APP</v>
      </c>
      <c r="AQ1493" s="65" t="str">
        <f>IFERROR(__xludf.DUMMYFUNCTION("""COMPUTED_VALUE"""),"Roberto")</f>
        <v>Roberto</v>
      </c>
      <c r="AR1493" s="65"/>
      <c r="AS1493" s="65"/>
      <c r="AT1493" s="65" t="str">
        <f>IFERROR(__xludf.DUMMYFUNCTION("""COMPUTED_VALUE"""),"SHOPIFY")</f>
        <v>SHOPIFY</v>
      </c>
      <c r="AU1493" s="65" t="str">
        <f>IFERROR(__xludf.DUMMYFUNCTION("""COMPUTED_VALUE"""),"IMPORTEX EC")</f>
        <v>IMPORTEX EC</v>
      </c>
      <c r="AV1493" s="65" t="str">
        <f>IFERROR(__xludf.DUMMYFUNCTION("""COMPUTED_VALUE"""),"6440473231404")</f>
        <v>6440473231404</v>
      </c>
      <c r="AW1493" s="65">
        <f>IFERROR(__xludf.DUMMYFUNCTION("""COMPUTED_VALUE"""),5444.0)</f>
        <v>5444</v>
      </c>
      <c r="AX1493" s="65"/>
      <c r="AY1493" s="65" t="str">
        <f>IFERROR(__xludf.DUMMYFUNCTION("""COMPUTED_VALUE"""),"26/01/2026")</f>
        <v>26/01/2026</v>
      </c>
      <c r="AZ1493" s="65"/>
      <c r="BA1493" s="65"/>
    </row>
    <row r="1494">
      <c r="A1494" s="65" t="str">
        <f>IFERROR(__xludf.DUMMYFUNCTION("""COMPUTED_VALUE"""),"27-03-2026")</f>
        <v>27-03-2026</v>
      </c>
      <c r="B1494" s="65">
        <f>IFERROR(__xludf.DUMMYFUNCTION("""COMPUTED_VALUE"""),4250682.0)</f>
        <v>4250682</v>
      </c>
      <c r="C1494" s="65" t="str">
        <f>IFERROR(__xludf.DUMMYFUNCTION("""COMPUTED_VALUE"""),"10:06")</f>
        <v>10:06</v>
      </c>
      <c r="D1494" s="65" t="str">
        <f>IFERROR(__xludf.DUMMYFUNCTION("""COMPUTED_VALUE"""),"23-01-2026")</f>
        <v>23-01-2026</v>
      </c>
      <c r="E1494" s="65" t="str">
        <f>IFERROR(__xludf.DUMMYFUNCTION("""COMPUTED_VALUE"""),"Freddy Jhoan Peralta Rivera")</f>
        <v>Freddy Jhoan Peralta Rivera</v>
      </c>
      <c r="F1494" s="65" t="str">
        <f>IFERROR(__xludf.DUMMYFUNCTION("""COMPUTED_VALUE"""),"968896378")</f>
        <v>968896378</v>
      </c>
      <c r="G1494" s="65"/>
      <c r="H1494" s="65"/>
      <c r="I1494" s="65"/>
      <c r="J1494" s="65" t="str">
        <f>IFERROR(__xludf.DUMMYFUNCTION("""COMPUTED_VALUE"""),"D001262626")</f>
        <v>D001262626</v>
      </c>
      <c r="K1494" s="65" t="str">
        <f>IFERROR(__xludf.DUMMYFUNCTION("""COMPUTED_VALUE"""),"ENTREGADO")</f>
        <v>ENTREGADO</v>
      </c>
      <c r="L1494" s="65" t="str">
        <f>IFERROR(__xludf.DUMMYFUNCTION("""COMPUTED_VALUE"""),"CON RECAUDO")</f>
        <v>CON RECAUDO</v>
      </c>
      <c r="M1494" s="65" t="str">
        <f>IFERROR(__xludf.DUMMYFUNCTION("""COMPUTED_VALUE"""),"LOS RIOS")</f>
        <v>LOS RIOS</v>
      </c>
      <c r="N1494" s="65" t="str">
        <f>IFERROR(__xludf.DUMMYFUNCTION("""COMPUTED_VALUE"""),"BUENA FE")</f>
        <v>BUENA FE</v>
      </c>
      <c r="O1494" s="65" t="str">
        <f>IFERROR(__xludf.DUMMYFUNCTION("""COMPUTED_VALUE"""),"Av 7 de agosto y victor juez Notaria primera -")</f>
        <v>Av 7 de agosto y victor juez Notaria primera -</v>
      </c>
      <c r="P1494" s="65"/>
      <c r="Q1494" s="65" t="str">
        <f>IFERROR(__xludf.DUMMYFUNCTION("""COMPUTED_VALUE"""),"GINTRACOM")</f>
        <v>GINTRACOM</v>
      </c>
      <c r="R1494" s="65">
        <f>IFERROR(__xludf.DUMMYFUNCTION("""COMPUTED_VALUE"""),30.0)</f>
        <v>30</v>
      </c>
      <c r="S1494" s="65">
        <f>IFERROR(__xludf.DUMMYFUNCTION("""COMPUTED_VALUE"""),16.22)</f>
        <v>16.22</v>
      </c>
      <c r="T1494" s="65">
        <f>IFERROR(__xludf.DUMMYFUNCTION("""COMPUTED_VALUE"""),6.73)</f>
        <v>6.73</v>
      </c>
      <c r="U1494" s="65">
        <f>IFERROR(__xludf.DUMMYFUNCTION("""COMPUTED_VALUE"""),0.0)</f>
        <v>0</v>
      </c>
      <c r="V1494" s="65">
        <f>IFERROR(__xludf.DUMMYFUNCTION("""COMPUTED_VALUE"""),0.0)</f>
        <v>0</v>
      </c>
      <c r="W1494" s="65">
        <f>IFERROR(__xludf.DUMMYFUNCTION("""COMPUTED_VALUE"""),0.0)</f>
        <v>0</v>
      </c>
      <c r="X1494" s="65">
        <f>IFERROR(__xludf.DUMMYFUNCTION("""COMPUTED_VALUE"""),2.35)</f>
        <v>2.35</v>
      </c>
      <c r="Y1494" s="65">
        <f>IFERROR(__xludf.DUMMYFUNCTION("""COMPUTED_VALUE"""),7.05)</f>
        <v>7.05</v>
      </c>
      <c r="Z1494" s="65">
        <f>IFERROR(__xludf.DUMMYFUNCTION("""COMPUTED_VALUE"""),116679.0)</f>
        <v>116679</v>
      </c>
      <c r="AA1494" s="65" t="str">
        <f>IFERROR(__xludf.DUMMYFUNCTION("""COMPUTED_VALUE"""),"AMC-2738")</f>
        <v>AMC-2738</v>
      </c>
      <c r="AB1494" s="65"/>
      <c r="AC1494" s="65" t="str">
        <f>IFERROR(__xludf.DUMMYFUNCTION("""COMPUTED_VALUE"""),"ESPONJA ANTILLUVIA DE PARABRISAS")</f>
        <v>ESPONJA ANTILLUVIA DE PARABRISAS</v>
      </c>
      <c r="AD1494" s="65"/>
      <c r="AE1494" s="65">
        <f>IFERROR(__xludf.DUMMYFUNCTION("""COMPUTED_VALUE"""),3.0)</f>
        <v>3</v>
      </c>
      <c r="AF1494" s="65"/>
      <c r="AG1494" s="65"/>
      <c r="AH1494" s="65"/>
      <c r="AI1494" s="65"/>
      <c r="AJ1494" s="65"/>
      <c r="AK1494" s="65"/>
      <c r="AL1494" s="65"/>
      <c r="AM1494" s="65"/>
      <c r="AN1494" s="65" t="str">
        <f>IFERROR(__xludf.DUMMYFUNCTION("""COMPUTED_VALUE"""),"08:12")</f>
        <v>08:12</v>
      </c>
      <c r="AO1494" s="65" t="str">
        <f>IFERROR(__xludf.DUMMYFUNCTION("""COMPUTED_VALUE"""),"28-01-2026")</f>
        <v>28-01-2026</v>
      </c>
      <c r="AP1494" s="65" t="str">
        <f>IFERROR(__xludf.DUMMYFUNCTION("""COMPUTED_VALUE"""),"EN REPARTO")</f>
        <v>EN REPARTO</v>
      </c>
      <c r="AQ1494" s="65" t="str">
        <f>IFERROR(__xludf.DUMMYFUNCTION("""COMPUTED_VALUE"""),"EN REPARTO")</f>
        <v>EN REPARTO</v>
      </c>
      <c r="AR1494" s="65"/>
      <c r="AS1494" s="65"/>
      <c r="AT1494" s="65" t="str">
        <f>IFERROR(__xludf.DUMMYFUNCTION("""COMPUTED_VALUE"""),"SHOPIFY")</f>
        <v>SHOPIFY</v>
      </c>
      <c r="AU1494" s="65" t="str">
        <f>IFERROR(__xludf.DUMMYFUNCTION("""COMPUTED_VALUE"""),"IMPORTEX EC")</f>
        <v>IMPORTEX EC</v>
      </c>
      <c r="AV1494" s="65" t="str">
        <f>IFERROR(__xludf.DUMMYFUNCTION("""COMPUTED_VALUE"""),"6440460484652")</f>
        <v>6440460484652</v>
      </c>
      <c r="AW1494" s="65">
        <f>IFERROR(__xludf.DUMMYFUNCTION("""COMPUTED_VALUE"""),5443.0)</f>
        <v>5443</v>
      </c>
      <c r="AX1494" s="65"/>
      <c r="AY1494" s="65" t="str">
        <f>IFERROR(__xludf.DUMMYFUNCTION("""COMPUTED_VALUE"""),"26/01/2026")</f>
        <v>26/01/2026</v>
      </c>
      <c r="AZ1494" s="65"/>
      <c r="BA1494" s="65"/>
    </row>
    <row r="1495">
      <c r="A1495" s="65" t="str">
        <f>IFERROR(__xludf.DUMMYFUNCTION("""COMPUTED_VALUE"""),"27-03-2026")</f>
        <v>27-03-2026</v>
      </c>
      <c r="B1495" s="65">
        <f>IFERROR(__xludf.DUMMYFUNCTION("""COMPUTED_VALUE"""),4250198.0)</f>
        <v>4250198</v>
      </c>
      <c r="C1495" s="65" t="str">
        <f>IFERROR(__xludf.DUMMYFUNCTION("""COMPUTED_VALUE"""),"09:27")</f>
        <v>09:27</v>
      </c>
      <c r="D1495" s="65" t="str">
        <f>IFERROR(__xludf.DUMMYFUNCTION("""COMPUTED_VALUE"""),"23-01-2026")</f>
        <v>23-01-2026</v>
      </c>
      <c r="E1495" s="65" t="str">
        <f>IFERROR(__xludf.DUMMYFUNCTION("""COMPUTED_VALUE"""),"Gabriel Delgado")</f>
        <v>Gabriel Delgado</v>
      </c>
      <c r="F1495" s="65" t="str">
        <f>IFERROR(__xludf.DUMMYFUNCTION("""COMPUTED_VALUE"""),"996391479")</f>
        <v>996391479</v>
      </c>
      <c r="G1495" s="65" t="str">
        <f>IFERROR(__xludf.DUMMYFUNCTION("""COMPUTED_VALUE"""),"Gadegue5@gmail.com")</f>
        <v>Gadegue5@gmail.com</v>
      </c>
      <c r="H1495" s="65"/>
      <c r="I1495" s="65"/>
      <c r="J1495" s="65" t="str">
        <f>IFERROR(__xludf.DUMMYFUNCTION("""COMPUTED_VALUE"""),"186523163")</f>
        <v>186523163</v>
      </c>
      <c r="K1495" s="65" t="str">
        <f>IFERROR(__xludf.DUMMYFUNCTION("""COMPUTED_VALUE"""),"DEVOLUCION")</f>
        <v>DEVOLUCION</v>
      </c>
      <c r="L1495" s="65" t="str">
        <f>IFERROR(__xludf.DUMMYFUNCTION("""COMPUTED_VALUE"""),"CON RECAUDO")</f>
        <v>CON RECAUDO</v>
      </c>
      <c r="M1495" s="65" t="str">
        <f>IFERROR(__xludf.DUMMYFUNCTION("""COMPUTED_VALUE"""),"MANABI")</f>
        <v>MANABI</v>
      </c>
      <c r="N1495" s="65" t="str">
        <f>IFERROR(__xludf.DUMMYFUNCTION("""COMPUTED_VALUE"""),"SANTA ANA (MANABI)")</f>
        <v>SANTA ANA (MANABI)</v>
      </c>
      <c r="O1495" s="65" t="str">
        <f>IFERROR(__xludf.DUMMYFUNCTION("""COMPUTED_VALUE"""),"Calle angel rafael alava La potable -")</f>
        <v>Calle angel rafael alava La potable -</v>
      </c>
      <c r="P1495" s="65"/>
      <c r="Q1495" s="65" t="str">
        <f>IFERROR(__xludf.DUMMYFUNCTION("""COMPUTED_VALUE"""),"SERVIENTREGA")</f>
        <v>SERVIENTREGA</v>
      </c>
      <c r="R1495" s="65">
        <f>IFERROR(__xludf.DUMMYFUNCTION("""COMPUTED_VALUE"""),20.0)</f>
        <v>20</v>
      </c>
      <c r="S1495" s="65"/>
      <c r="T1495" s="65">
        <f>IFERROR(__xludf.DUMMYFUNCTION("""COMPUTED_VALUE"""),7.67)</f>
        <v>7.67</v>
      </c>
      <c r="U1495" s="65">
        <f>IFERROR(__xludf.DUMMYFUNCTION("""COMPUTED_VALUE"""),0.0)</f>
        <v>0</v>
      </c>
      <c r="V1495" s="65">
        <f>IFERROR(__xludf.DUMMYFUNCTION("""COMPUTED_VALUE"""),0.0)</f>
        <v>0</v>
      </c>
      <c r="W1495" s="65">
        <f>IFERROR(__xludf.DUMMYFUNCTION("""COMPUTED_VALUE"""),0.0)</f>
        <v>0</v>
      </c>
      <c r="X1495" s="65">
        <f>IFERROR(__xludf.DUMMYFUNCTION("""COMPUTED_VALUE"""),2.35)</f>
        <v>2.35</v>
      </c>
      <c r="Y1495" s="65">
        <f>IFERROR(__xludf.DUMMYFUNCTION("""COMPUTED_VALUE"""),2.35)</f>
        <v>2.35</v>
      </c>
      <c r="Z1495" s="65">
        <f>IFERROR(__xludf.DUMMYFUNCTION("""COMPUTED_VALUE"""),116679.0)</f>
        <v>116679</v>
      </c>
      <c r="AA1495" s="65" t="str">
        <f>IFERROR(__xludf.DUMMYFUNCTION("""COMPUTED_VALUE"""),"AMC-2738")</f>
        <v>AMC-2738</v>
      </c>
      <c r="AB1495" s="65"/>
      <c r="AC1495" s="65" t="str">
        <f>IFERROR(__xludf.DUMMYFUNCTION("""COMPUTED_VALUE"""),"ESPONJA ANTILLUVIA DE PARABRISAS")</f>
        <v>ESPONJA ANTILLUVIA DE PARABRISAS</v>
      </c>
      <c r="AD1495" s="65"/>
      <c r="AE1495" s="65">
        <f>IFERROR(__xludf.DUMMYFUNCTION("""COMPUTED_VALUE"""),1.0)</f>
        <v>1</v>
      </c>
      <c r="AF1495" s="65" t="str">
        <f>IFERROR(__xludf.DUMMYFUNCTION("""COMPUTED_VALUE"""),"DEVOLUCION AL REMITENTE")</f>
        <v>DEVOLUCION AL REMITENTE</v>
      </c>
      <c r="AG1495" s="65" t="str">
        <f>IFERROR(__xludf.DUMMYFUNCTION("""COMPUTED_VALUE"""),"NO")</f>
        <v>NO</v>
      </c>
      <c r="AH1495" s="65" t="str">
        <f>IFERROR(__xludf.DUMMYFUNCTION("""COMPUTED_VALUE"""),"12:35")</f>
        <v>12:35</v>
      </c>
      <c r="AI1495" s="65" t="str">
        <f>IFERROR(__xludf.DUMMYFUNCTION("""COMPUTED_VALUE"""),"24-02-2026")</f>
        <v>24-02-2026</v>
      </c>
      <c r="AJ1495" s="65"/>
      <c r="AK1495" s="65"/>
      <c r="AL1495" s="65"/>
      <c r="AM1495" s="65"/>
      <c r="AN1495" s="65" t="str">
        <f>IFERROR(__xludf.DUMMYFUNCTION("""COMPUTED_VALUE"""),"01:03")</f>
        <v>01:03</v>
      </c>
      <c r="AO1495" s="65" t="str">
        <f>IFERROR(__xludf.DUMMYFUNCTION("""COMPUTED_VALUE"""),"26-02-2026")</f>
        <v>26-02-2026</v>
      </c>
      <c r="AP1495" s="65" t="str">
        <f>IFERROR(__xludf.DUMMYFUNCTION("""COMPUTED_VALUE"""),"Certificacion Devolucion al Remitente CL QUITO SUR")</f>
        <v>Certificacion Devolucion al Remitente CL QUITO SUR</v>
      </c>
      <c r="AQ1495" s="65" t="str">
        <f>IFERROR(__xludf.DUMMYFUNCTION("""COMPUTED_VALUE"""),"{}")</f>
        <v>{}</v>
      </c>
      <c r="AR1495" s="65"/>
      <c r="AS1495" s="65"/>
      <c r="AT1495" s="65" t="str">
        <f>IFERROR(__xludf.DUMMYFUNCTION("""COMPUTED_VALUE"""),"SHOPIFY")</f>
        <v>SHOPIFY</v>
      </c>
      <c r="AU1495" s="65" t="str">
        <f>IFERROR(__xludf.DUMMYFUNCTION("""COMPUTED_VALUE"""),"IMPORTEX EC")</f>
        <v>IMPORTEX EC</v>
      </c>
      <c r="AV1495" s="65" t="str">
        <f>IFERROR(__xludf.DUMMYFUNCTION("""COMPUTED_VALUE"""),"6440394620972")</f>
        <v>6440394620972</v>
      </c>
      <c r="AW1495" s="65">
        <f>IFERROR(__xludf.DUMMYFUNCTION("""COMPUTED_VALUE"""),5442.0)</f>
        <v>5442</v>
      </c>
      <c r="AX1495" s="65"/>
      <c r="AY1495" s="65" t="str">
        <f>IFERROR(__xludf.DUMMYFUNCTION("""COMPUTED_VALUE"""),"24/01/2026")</f>
        <v>24/01/2026</v>
      </c>
      <c r="AZ1495" s="65"/>
      <c r="BA1495" s="65"/>
    </row>
    <row r="1496">
      <c r="A1496" s="65" t="str">
        <f>IFERROR(__xludf.DUMMYFUNCTION("""COMPUTED_VALUE"""),"27-03-2026")</f>
        <v>27-03-2026</v>
      </c>
      <c r="B1496" s="65">
        <f>IFERROR(__xludf.DUMMYFUNCTION("""COMPUTED_VALUE"""),4250074.0)</f>
        <v>4250074</v>
      </c>
      <c r="C1496" s="65" t="str">
        <f>IFERROR(__xludf.DUMMYFUNCTION("""COMPUTED_VALUE"""),"09:16")</f>
        <v>09:16</v>
      </c>
      <c r="D1496" s="65" t="str">
        <f>IFERROR(__xludf.DUMMYFUNCTION("""COMPUTED_VALUE"""),"23-01-2026")</f>
        <v>23-01-2026</v>
      </c>
      <c r="E1496" s="65" t="str">
        <f>IFERROR(__xludf.DUMMYFUNCTION("""COMPUTED_VALUE"""),"Jorge Arias")</f>
        <v>Jorge Arias</v>
      </c>
      <c r="F1496" s="65" t="str">
        <f>IFERROR(__xludf.DUMMYFUNCTION("""COMPUTED_VALUE"""),"989028764")</f>
        <v>989028764</v>
      </c>
      <c r="G1496" s="65" t="str">
        <f>IFERROR(__xludf.DUMMYFUNCTION("""COMPUTED_VALUE"""),"jorgearias9574@gmail.com")</f>
        <v>jorgearias9574@gmail.com</v>
      </c>
      <c r="H1496" s="65"/>
      <c r="I1496" s="65"/>
      <c r="J1496" s="65" t="str">
        <f>IFERROR(__xludf.DUMMYFUNCTION("""COMPUTED_VALUE"""),"D001257535")</f>
        <v>D001257535</v>
      </c>
      <c r="K1496" s="65" t="str">
        <f>IFERROR(__xludf.DUMMYFUNCTION("""COMPUTED_VALUE"""),"ENTREGADO")</f>
        <v>ENTREGADO</v>
      </c>
      <c r="L1496" s="65" t="str">
        <f>IFERROR(__xludf.DUMMYFUNCTION("""COMPUTED_VALUE"""),"CON RECAUDO")</f>
        <v>CON RECAUDO</v>
      </c>
      <c r="M1496" s="65" t="str">
        <f>IFERROR(__xludf.DUMMYFUNCTION("""COMPUTED_VALUE"""),"PICHINCHA")</f>
        <v>PICHINCHA</v>
      </c>
      <c r="N1496" s="65" t="str">
        <f>IFERROR(__xludf.DUMMYFUNCTION("""COMPUTED_VALUE"""),"EL QUINCHE")</f>
        <v>EL QUINCHE</v>
      </c>
      <c r="O1496" s="65" t="str">
        <f>IFERROR(__xludf.DUMMYFUNCTION("""COMPUTED_VALUE"""),"calle Manabí y Ambato referencia la esquina de los billares")</f>
        <v>calle Manabí y Ambato referencia la esquina de los billares</v>
      </c>
      <c r="P1496" s="65"/>
      <c r="Q1496" s="65" t="str">
        <f>IFERROR(__xludf.DUMMYFUNCTION("""COMPUTED_VALUE"""),"GINTRACOM")</f>
        <v>GINTRACOM</v>
      </c>
      <c r="R1496" s="65">
        <f>IFERROR(__xludf.DUMMYFUNCTION("""COMPUTED_VALUE"""),30.0)</f>
        <v>30</v>
      </c>
      <c r="S1496" s="65">
        <f>IFERROR(__xludf.DUMMYFUNCTION("""COMPUTED_VALUE"""),16.79)</f>
        <v>16.79</v>
      </c>
      <c r="T1496" s="65">
        <f>IFERROR(__xludf.DUMMYFUNCTION("""COMPUTED_VALUE"""),6.16)</f>
        <v>6.16</v>
      </c>
      <c r="U1496" s="65">
        <f>IFERROR(__xludf.DUMMYFUNCTION("""COMPUTED_VALUE"""),0.0)</f>
        <v>0</v>
      </c>
      <c r="V1496" s="65">
        <f>IFERROR(__xludf.DUMMYFUNCTION("""COMPUTED_VALUE"""),0.0)</f>
        <v>0</v>
      </c>
      <c r="W1496" s="65">
        <f>IFERROR(__xludf.DUMMYFUNCTION("""COMPUTED_VALUE"""),0.0)</f>
        <v>0</v>
      </c>
      <c r="X1496" s="65">
        <f>IFERROR(__xludf.DUMMYFUNCTION("""COMPUTED_VALUE"""),2.35)</f>
        <v>2.35</v>
      </c>
      <c r="Y1496" s="65">
        <f>IFERROR(__xludf.DUMMYFUNCTION("""COMPUTED_VALUE"""),7.05)</f>
        <v>7.05</v>
      </c>
      <c r="Z1496" s="65">
        <f>IFERROR(__xludf.DUMMYFUNCTION("""COMPUTED_VALUE"""),116679.0)</f>
        <v>116679</v>
      </c>
      <c r="AA1496" s="65" t="str">
        <f>IFERROR(__xludf.DUMMYFUNCTION("""COMPUTED_VALUE"""),"AMC-2738")</f>
        <v>AMC-2738</v>
      </c>
      <c r="AB1496" s="65"/>
      <c r="AC1496" s="65" t="str">
        <f>IFERROR(__xludf.DUMMYFUNCTION("""COMPUTED_VALUE"""),"ESPONJA ANTILLUVIA DE PARABRISAS")</f>
        <v>ESPONJA ANTILLUVIA DE PARABRISAS</v>
      </c>
      <c r="AD1496" s="65"/>
      <c r="AE1496" s="65">
        <f>IFERROR(__xludf.DUMMYFUNCTION("""COMPUTED_VALUE"""),3.0)</f>
        <v>3</v>
      </c>
      <c r="AF1496" s="65"/>
      <c r="AG1496" s="65"/>
      <c r="AH1496" s="65"/>
      <c r="AI1496" s="65"/>
      <c r="AJ1496" s="65"/>
      <c r="AK1496" s="65"/>
      <c r="AL1496" s="65"/>
      <c r="AM1496" s="65"/>
      <c r="AN1496" s="65" t="str">
        <f>IFERROR(__xludf.DUMMYFUNCTION("""COMPUTED_VALUE"""),"10:07")</f>
        <v>10:07</v>
      </c>
      <c r="AO1496" s="65" t="str">
        <f>IFERROR(__xludf.DUMMYFUNCTION("""COMPUTED_VALUE"""),"26-01-2026")</f>
        <v>26-01-2026</v>
      </c>
      <c r="AP1496" s="65" t="str">
        <f>IFERROR(__xludf.DUMMYFUNCTION("""COMPUTED_VALUE"""),"EN REPARTO")</f>
        <v>EN REPARTO</v>
      </c>
      <c r="AQ1496" s="65" t="str">
        <f>IFERROR(__xludf.DUMMYFUNCTION("""COMPUTED_VALUE"""),"EN REPARTO")</f>
        <v>EN REPARTO</v>
      </c>
      <c r="AR1496" s="65"/>
      <c r="AS1496" s="65"/>
      <c r="AT1496" s="65" t="str">
        <f>IFERROR(__xludf.DUMMYFUNCTION("""COMPUTED_VALUE"""),"SHOPIFY")</f>
        <v>SHOPIFY</v>
      </c>
      <c r="AU1496" s="65" t="str">
        <f>IFERROR(__xludf.DUMMYFUNCTION("""COMPUTED_VALUE"""),"IMPORTEX EC")</f>
        <v>IMPORTEX EC</v>
      </c>
      <c r="AV1496" s="65" t="str">
        <f>IFERROR(__xludf.DUMMYFUNCTION("""COMPUTED_VALUE"""),"6440369881132")</f>
        <v>6440369881132</v>
      </c>
      <c r="AW1496" s="65">
        <f>IFERROR(__xludf.DUMMYFUNCTION("""COMPUTED_VALUE"""),5440.0)</f>
        <v>5440</v>
      </c>
      <c r="AX1496" s="65"/>
      <c r="AY1496" s="65" t="str">
        <f>IFERROR(__xludf.DUMMYFUNCTION("""COMPUTED_VALUE"""),"24/01/2026")</f>
        <v>24/01/2026</v>
      </c>
      <c r="AZ1496" s="65"/>
      <c r="BA1496" s="65"/>
    </row>
    <row r="1497">
      <c r="A1497" s="65" t="str">
        <f>IFERROR(__xludf.DUMMYFUNCTION("""COMPUTED_VALUE"""),"27-03-2026")</f>
        <v>27-03-2026</v>
      </c>
      <c r="B1497" s="65">
        <f>IFERROR(__xludf.DUMMYFUNCTION("""COMPUTED_VALUE"""),4248733.0)</f>
        <v>4248733</v>
      </c>
      <c r="C1497" s="65" t="str">
        <f>IFERROR(__xludf.DUMMYFUNCTION("""COMPUTED_VALUE"""),"07:01")</f>
        <v>07:01</v>
      </c>
      <c r="D1497" s="65" t="str">
        <f>IFERROR(__xludf.DUMMYFUNCTION("""COMPUTED_VALUE"""),"23-01-2026")</f>
        <v>23-01-2026</v>
      </c>
      <c r="E1497" s="65" t="str">
        <f>IFERROR(__xludf.DUMMYFUNCTION("""COMPUTED_VALUE"""),"Julio Aimacaña")</f>
        <v>Julio Aimacaña</v>
      </c>
      <c r="F1497" s="65" t="str">
        <f>IFERROR(__xludf.DUMMYFUNCTION("""COMPUTED_VALUE"""),"994654615")</f>
        <v>994654615</v>
      </c>
      <c r="G1497" s="65"/>
      <c r="H1497" s="65"/>
      <c r="I1497" s="65"/>
      <c r="J1497" s="65" t="str">
        <f>IFERROR(__xludf.DUMMYFUNCTION("""COMPUTED_VALUE"""),"D001254646")</f>
        <v>D001254646</v>
      </c>
      <c r="K1497" s="65" t="str">
        <f>IFERROR(__xludf.DUMMYFUNCTION("""COMPUTED_VALUE"""),"DEVOLUCION")</f>
        <v>DEVOLUCION</v>
      </c>
      <c r="L1497" s="65" t="str">
        <f>IFERROR(__xludf.DUMMYFUNCTION("""COMPUTED_VALUE"""),"CON RECAUDO")</f>
        <v>CON RECAUDO</v>
      </c>
      <c r="M1497" s="65" t="str">
        <f>IFERROR(__xludf.DUMMYFUNCTION("""COMPUTED_VALUE"""),"COTOPAXI")</f>
        <v>COTOPAXI</v>
      </c>
      <c r="N1497" s="65" t="str">
        <f>IFERROR(__xludf.DUMMYFUNCTION("""COMPUTED_VALUE"""),"LATACUNGA")</f>
        <v>LATACUNGA</v>
      </c>
      <c r="O1497" s="65" t="str">
        <f>IFERROR(__xludf.DUMMYFUNCTION("""COMPUTED_VALUE"""),"LA MANA Centro -")</f>
        <v>LA MANA Centro -</v>
      </c>
      <c r="P1497" s="65"/>
      <c r="Q1497" s="65" t="str">
        <f>IFERROR(__xludf.DUMMYFUNCTION("""COMPUTED_VALUE"""),"GINTRACOM")</f>
        <v>GINTRACOM</v>
      </c>
      <c r="R1497" s="65">
        <f>IFERROR(__xludf.DUMMYFUNCTION("""COMPUTED_VALUE"""),30.0)</f>
        <v>30</v>
      </c>
      <c r="S1497" s="65"/>
      <c r="T1497" s="65">
        <f>IFERROR(__xludf.DUMMYFUNCTION("""COMPUTED_VALUE"""),6.16)</f>
        <v>6.16</v>
      </c>
      <c r="U1497" s="65">
        <f>IFERROR(__xludf.DUMMYFUNCTION("""COMPUTED_VALUE"""),0.0)</f>
        <v>0</v>
      </c>
      <c r="V1497" s="65">
        <f>IFERROR(__xludf.DUMMYFUNCTION("""COMPUTED_VALUE"""),0.0)</f>
        <v>0</v>
      </c>
      <c r="W1497" s="65">
        <f>IFERROR(__xludf.DUMMYFUNCTION("""COMPUTED_VALUE"""),0.0)</f>
        <v>0</v>
      </c>
      <c r="X1497" s="65">
        <f>IFERROR(__xludf.DUMMYFUNCTION("""COMPUTED_VALUE"""),2.35)</f>
        <v>2.35</v>
      </c>
      <c r="Y1497" s="65">
        <f>IFERROR(__xludf.DUMMYFUNCTION("""COMPUTED_VALUE"""),7.05)</f>
        <v>7.05</v>
      </c>
      <c r="Z1497" s="65">
        <f>IFERROR(__xludf.DUMMYFUNCTION("""COMPUTED_VALUE"""),116679.0)</f>
        <v>116679</v>
      </c>
      <c r="AA1497" s="65" t="str">
        <f>IFERROR(__xludf.DUMMYFUNCTION("""COMPUTED_VALUE"""),"AMC-2738")</f>
        <v>AMC-2738</v>
      </c>
      <c r="AB1497" s="65"/>
      <c r="AC1497" s="65" t="str">
        <f>IFERROR(__xludf.DUMMYFUNCTION("""COMPUTED_VALUE"""),"ESPONJA ANTILLUVIA DE PARABRISAS")</f>
        <v>ESPONJA ANTILLUVIA DE PARABRISAS</v>
      </c>
      <c r="AD1497" s="65"/>
      <c r="AE1497" s="65">
        <f>IFERROR(__xludf.DUMMYFUNCTION("""COMPUTED_VALUE"""),3.0)</f>
        <v>3</v>
      </c>
      <c r="AF1497" s="65"/>
      <c r="AG1497" s="65"/>
      <c r="AH1497" s="65"/>
      <c r="AI1497" s="65"/>
      <c r="AJ1497" s="65"/>
      <c r="AK1497" s="65"/>
      <c r="AL1497" s="65"/>
      <c r="AM1497" s="65"/>
      <c r="AN1497" s="65" t="str">
        <f>IFERROR(__xludf.DUMMYFUNCTION("""COMPUTED_VALUE"""),"08:59")</f>
        <v>08:59</v>
      </c>
      <c r="AO1497" s="65" t="str">
        <f>IFERROR(__xludf.DUMMYFUNCTION("""COMPUTED_VALUE"""),"09-02-2026")</f>
        <v>09-02-2026</v>
      </c>
      <c r="AP1497" s="65" t="str">
        <f>IFERROR(__xludf.DUMMYFUNCTION("""COMPUTED_VALUE"""),"DEVOLUCIÓN ENTREGADA A ORIGEN")</f>
        <v>DEVOLUCIÓN ENTREGADA A ORIGEN</v>
      </c>
      <c r="AQ1497" s="65" t="str">
        <f>IFERROR(__xludf.DUMMYFUNCTION("""COMPUTED_VALUE"""),"DEVOLUCIÓN ENTREGADA A ORIGEN")</f>
        <v>DEVOLUCIÓN ENTREGADA A ORIGEN</v>
      </c>
      <c r="AR1497" s="65"/>
      <c r="AS1497" s="65"/>
      <c r="AT1497" s="65" t="str">
        <f>IFERROR(__xludf.DUMMYFUNCTION("""COMPUTED_VALUE"""),"SHOPIFY")</f>
        <v>SHOPIFY</v>
      </c>
      <c r="AU1497" s="65" t="str">
        <f>IFERROR(__xludf.DUMMYFUNCTION("""COMPUTED_VALUE"""),"IMPORTEX EC")</f>
        <v>IMPORTEX EC</v>
      </c>
      <c r="AV1497" s="65" t="str">
        <f>IFERROR(__xludf.DUMMYFUNCTION("""COMPUTED_VALUE"""),"6440194834476")</f>
        <v>6440194834476</v>
      </c>
      <c r="AW1497" s="65">
        <f>IFERROR(__xludf.DUMMYFUNCTION("""COMPUTED_VALUE"""),5438.0)</f>
        <v>5438</v>
      </c>
      <c r="AX1497" s="65"/>
      <c r="AY1497" s="65" t="str">
        <f>IFERROR(__xludf.DUMMYFUNCTION("""COMPUTED_VALUE"""),"23/01/2026")</f>
        <v>23/01/2026</v>
      </c>
      <c r="AZ1497" s="65"/>
      <c r="BA1497" s="65"/>
    </row>
    <row r="1498">
      <c r="A1498" s="65" t="str">
        <f>IFERROR(__xludf.DUMMYFUNCTION("""COMPUTED_VALUE"""),"27-03-2026")</f>
        <v>27-03-2026</v>
      </c>
      <c r="B1498" s="65">
        <f>IFERROR(__xludf.DUMMYFUNCTION("""COMPUTED_VALUE"""),4247184.0)</f>
        <v>4247184</v>
      </c>
      <c r="C1498" s="65" t="str">
        <f>IFERROR(__xludf.DUMMYFUNCTION("""COMPUTED_VALUE"""),"22:53")</f>
        <v>22:53</v>
      </c>
      <c r="D1498" s="65" t="str">
        <f>IFERROR(__xludf.DUMMYFUNCTION("""COMPUTED_VALUE"""),"22-01-2026")</f>
        <v>22-01-2026</v>
      </c>
      <c r="E1498" s="65" t="str">
        <f>IFERROR(__xludf.DUMMYFUNCTION("""COMPUTED_VALUE"""),"Javier Lino")</f>
        <v>Javier Lino</v>
      </c>
      <c r="F1498" s="65" t="str">
        <f>IFERROR(__xludf.DUMMYFUNCTION("""COMPUTED_VALUE"""),"963692666")</f>
        <v>963692666</v>
      </c>
      <c r="G1498" s="65" t="str">
        <f>IFERROR(__xludf.DUMMYFUNCTION("""COMPUTED_VALUE"""),"javier_linoalvarado@hotmail.com")</f>
        <v>javier_linoalvarado@hotmail.com</v>
      </c>
      <c r="H1498" s="65"/>
      <c r="I1498" s="65"/>
      <c r="J1498" s="65"/>
      <c r="K1498" s="65" t="str">
        <f>IFERROR(__xludf.DUMMYFUNCTION("""COMPUTED_VALUE"""),"PENDIENTE CONFIRMACION")</f>
        <v>PENDIENTE CONFIRMACION</v>
      </c>
      <c r="L1498" s="65" t="str">
        <f>IFERROR(__xludf.DUMMYFUNCTION("""COMPUTED_VALUE"""),"CON RECAUDO")</f>
        <v>CON RECAUDO</v>
      </c>
      <c r="M1498" s="65" t="str">
        <f>IFERROR(__xludf.DUMMYFUNCTION("""COMPUTED_VALUE"""),"GUAYAS")</f>
        <v>GUAYAS</v>
      </c>
      <c r="N1498" s="65" t="str">
        <f>IFERROR(__xludf.DUMMYFUNCTION("""COMPUTED_VALUE"""),"GUAYAQUIL")</f>
        <v>GUAYAQUIL</v>
      </c>
      <c r="O1498" s="65" t="str">
        <f>IFERROR(__xludf.DUMMYFUNCTION("""COMPUTED_VALUE"""),"3°pasaje 37A - 5°pasaje 37A Mapasingue este frente a la mz 308 de la Martha de roldos -")</f>
        <v>3°pasaje 37A - 5°pasaje 37A Mapasingue este frente a la mz 308 de la Martha de roldos -</v>
      </c>
      <c r="P1498" s="65"/>
      <c r="Q1498" s="65" t="str">
        <f>IFERROR(__xludf.DUMMYFUNCTION("""COMPUTED_VALUE"""),"GINTRACOM")</f>
        <v>GINTRACOM</v>
      </c>
      <c r="R1498" s="65">
        <f>IFERROR(__xludf.DUMMYFUNCTION("""COMPUTED_VALUE"""),25.0)</f>
        <v>25</v>
      </c>
      <c r="S1498" s="65"/>
      <c r="T1498" s="65">
        <f>IFERROR(__xludf.DUMMYFUNCTION("""COMPUTED_VALUE"""),5.96)</f>
        <v>5.96</v>
      </c>
      <c r="U1498" s="65">
        <f>IFERROR(__xludf.DUMMYFUNCTION("""COMPUTED_VALUE"""),0.0)</f>
        <v>0</v>
      </c>
      <c r="V1498" s="65">
        <f>IFERROR(__xludf.DUMMYFUNCTION("""COMPUTED_VALUE"""),0.0)</f>
        <v>0</v>
      </c>
      <c r="W1498" s="65">
        <f>IFERROR(__xludf.DUMMYFUNCTION("""COMPUTED_VALUE"""),0.0)</f>
        <v>0</v>
      </c>
      <c r="X1498" s="65">
        <f>IFERROR(__xludf.DUMMYFUNCTION("""COMPUTED_VALUE"""),2.35)</f>
        <v>2.35</v>
      </c>
      <c r="Y1498" s="65">
        <f>IFERROR(__xludf.DUMMYFUNCTION("""COMPUTED_VALUE"""),4.7)</f>
        <v>4.7</v>
      </c>
      <c r="Z1498" s="65">
        <f>IFERROR(__xludf.DUMMYFUNCTION("""COMPUTED_VALUE"""),116679.0)</f>
        <v>116679</v>
      </c>
      <c r="AA1498" s="65" t="str">
        <f>IFERROR(__xludf.DUMMYFUNCTION("""COMPUTED_VALUE"""),"AMC-2738")</f>
        <v>AMC-2738</v>
      </c>
      <c r="AB1498" s="65"/>
      <c r="AC1498" s="65" t="str">
        <f>IFERROR(__xludf.DUMMYFUNCTION("""COMPUTED_VALUE"""),"ESPONJA ANTILLUVIA DE PARABRISAS")</f>
        <v>ESPONJA ANTILLUVIA DE PARABRISAS</v>
      </c>
      <c r="AD1498" s="65"/>
      <c r="AE1498" s="65">
        <f>IFERROR(__xludf.DUMMYFUNCTION("""COMPUTED_VALUE"""),2.0)</f>
        <v>2</v>
      </c>
      <c r="AF1498" s="65"/>
      <c r="AG1498" s="65"/>
      <c r="AH1498" s="65"/>
      <c r="AI1498" s="65"/>
      <c r="AJ1498" s="65"/>
      <c r="AK1498" s="65"/>
      <c r="AL1498" s="65"/>
      <c r="AM1498" s="65"/>
      <c r="AN1498" s="65"/>
      <c r="AO1498" s="65"/>
      <c r="AP1498" s="65"/>
      <c r="AQ1498" s="65"/>
      <c r="AR1498" s="65"/>
      <c r="AS1498" s="65"/>
      <c r="AT1498" s="65" t="str">
        <f>IFERROR(__xludf.DUMMYFUNCTION("""COMPUTED_VALUE"""),"SHOPIFY")</f>
        <v>SHOPIFY</v>
      </c>
      <c r="AU1498" s="65" t="str">
        <f>IFERROR(__xludf.DUMMYFUNCTION("""COMPUTED_VALUE"""),"IMPORTEX EC")</f>
        <v>IMPORTEX EC</v>
      </c>
      <c r="AV1498" s="65" t="str">
        <f>IFERROR(__xludf.DUMMYFUNCTION("""COMPUTED_VALUE"""),"6439625785388")</f>
        <v>6439625785388</v>
      </c>
      <c r="AW1498" s="65">
        <f>IFERROR(__xludf.DUMMYFUNCTION("""COMPUTED_VALUE"""),5437.0)</f>
        <v>5437</v>
      </c>
      <c r="AX1498" s="65"/>
      <c r="AY1498" s="65"/>
      <c r="AZ1498" s="65"/>
      <c r="BA1498" s="65"/>
    </row>
    <row r="1499">
      <c r="A1499" s="65" t="str">
        <f>IFERROR(__xludf.DUMMYFUNCTION("""COMPUTED_VALUE"""),"27-03-2026")</f>
        <v>27-03-2026</v>
      </c>
      <c r="B1499" s="65">
        <f>IFERROR(__xludf.DUMMYFUNCTION("""COMPUTED_VALUE"""),4246908.0)</f>
        <v>4246908</v>
      </c>
      <c r="C1499" s="65" t="str">
        <f>IFERROR(__xludf.DUMMYFUNCTION("""COMPUTED_VALUE"""),"22:29")</f>
        <v>22:29</v>
      </c>
      <c r="D1499" s="65" t="str">
        <f>IFERROR(__xludf.DUMMYFUNCTION("""COMPUTED_VALUE"""),"22-01-2026")</f>
        <v>22-01-2026</v>
      </c>
      <c r="E1499" s="65" t="str">
        <f>IFERROR(__xludf.DUMMYFUNCTION("""COMPUTED_VALUE"""),"José Taday")</f>
        <v>José Taday</v>
      </c>
      <c r="F1499" s="65" t="str">
        <f>IFERROR(__xludf.DUMMYFUNCTION("""COMPUTED_VALUE"""),"985162328")</f>
        <v>985162328</v>
      </c>
      <c r="G1499" s="65" t="str">
        <f>IFERROR(__xludf.DUMMYFUNCTION("""COMPUTED_VALUE"""),"btaday4@gmail.com")</f>
        <v>btaday4@gmail.com</v>
      </c>
      <c r="H1499" s="65"/>
      <c r="I1499" s="65"/>
      <c r="J1499" s="65" t="str">
        <f>IFERROR(__xludf.DUMMYFUNCTION("""COMPUTED_VALUE"""),"D001254542")</f>
        <v>D001254542</v>
      </c>
      <c r="K1499" s="65" t="str">
        <f>IFERROR(__xludf.DUMMYFUNCTION("""COMPUTED_VALUE"""),"DEVOLUCION")</f>
        <v>DEVOLUCION</v>
      </c>
      <c r="L1499" s="65" t="str">
        <f>IFERROR(__xludf.DUMMYFUNCTION("""COMPUTED_VALUE"""),"CON RECAUDO")</f>
        <v>CON RECAUDO</v>
      </c>
      <c r="M1499" s="65" t="str">
        <f>IFERROR(__xludf.DUMMYFUNCTION("""COMPUTED_VALUE"""),"GUAYAS")</f>
        <v>GUAYAS</v>
      </c>
      <c r="N1499" s="65" t="str">
        <f>IFERROR(__xludf.DUMMYFUNCTION("""COMPUTED_VALUE"""),"DURAN")</f>
        <v>DURAN</v>
      </c>
      <c r="O1499" s="65" t="str">
        <f>IFERROR(__xludf.DUMMYFUNCTION("""COMPUTED_VALUE"""),"Mz 76 sl 19 28 de agosto -")</f>
        <v>Mz 76 sl 19 28 de agosto -</v>
      </c>
      <c r="P1499" s="65"/>
      <c r="Q1499" s="65" t="str">
        <f>IFERROR(__xludf.DUMMYFUNCTION("""COMPUTED_VALUE"""),"GINTRACOM")</f>
        <v>GINTRACOM</v>
      </c>
      <c r="R1499" s="65">
        <f>IFERROR(__xludf.DUMMYFUNCTION("""COMPUTED_VALUE"""),20.0)</f>
        <v>20</v>
      </c>
      <c r="S1499" s="65"/>
      <c r="T1499" s="65">
        <f>IFERROR(__xludf.DUMMYFUNCTION("""COMPUTED_VALUE"""),5.76)</f>
        <v>5.76</v>
      </c>
      <c r="U1499" s="65">
        <f>IFERROR(__xludf.DUMMYFUNCTION("""COMPUTED_VALUE"""),0.0)</f>
        <v>0</v>
      </c>
      <c r="V1499" s="65">
        <f>IFERROR(__xludf.DUMMYFUNCTION("""COMPUTED_VALUE"""),0.0)</f>
        <v>0</v>
      </c>
      <c r="W1499" s="65">
        <f>IFERROR(__xludf.DUMMYFUNCTION("""COMPUTED_VALUE"""),0.0)</f>
        <v>0</v>
      </c>
      <c r="X1499" s="65">
        <f>IFERROR(__xludf.DUMMYFUNCTION("""COMPUTED_VALUE"""),2.35)</f>
        <v>2.35</v>
      </c>
      <c r="Y1499" s="65">
        <f>IFERROR(__xludf.DUMMYFUNCTION("""COMPUTED_VALUE"""),2.35)</f>
        <v>2.35</v>
      </c>
      <c r="Z1499" s="65">
        <f>IFERROR(__xludf.DUMMYFUNCTION("""COMPUTED_VALUE"""),116679.0)</f>
        <v>116679</v>
      </c>
      <c r="AA1499" s="65" t="str">
        <f>IFERROR(__xludf.DUMMYFUNCTION("""COMPUTED_VALUE"""),"AMC-2738")</f>
        <v>AMC-2738</v>
      </c>
      <c r="AB1499" s="65"/>
      <c r="AC1499" s="65" t="str">
        <f>IFERROR(__xludf.DUMMYFUNCTION("""COMPUTED_VALUE"""),"ESPONJA ANTILLUVIA DE PARABRISAS")</f>
        <v>ESPONJA ANTILLUVIA DE PARABRISAS</v>
      </c>
      <c r="AD1499" s="65"/>
      <c r="AE1499" s="65">
        <f>IFERROR(__xludf.DUMMYFUNCTION("""COMPUTED_VALUE"""),1.0)</f>
        <v>1</v>
      </c>
      <c r="AF1499" s="65" t="str">
        <f>IFERROR(__xludf.DUMMYFUNCTION("""COMPUTED_VALUE"""),"DESTINATARIO NO CONTESTA LLAMADAS NI WHATSAPP")</f>
        <v>DESTINATARIO NO CONTESTA LLAMADAS NI WHATSAPP</v>
      </c>
      <c r="AG1499" s="65" t="str">
        <f>IFERROR(__xludf.DUMMYFUNCTION("""COMPUTED_VALUE"""),"NO")</f>
        <v>NO</v>
      </c>
      <c r="AH1499" s="65" t="str">
        <f>IFERROR(__xludf.DUMMYFUNCTION("""COMPUTED_VALUE"""),"09:00")</f>
        <v>09:00</v>
      </c>
      <c r="AI1499" s="65" t="str">
        <f>IFERROR(__xludf.DUMMYFUNCTION("""COMPUTED_VALUE"""),"03-02-2026")</f>
        <v>03-02-2026</v>
      </c>
      <c r="AJ1499" s="65"/>
      <c r="AK1499" s="65"/>
      <c r="AL1499" s="65"/>
      <c r="AM1499" s="65"/>
      <c r="AN1499" s="65" t="str">
        <f>IFERROR(__xludf.DUMMYFUNCTION("""COMPUTED_VALUE"""),"20:53")</f>
        <v>20:53</v>
      </c>
      <c r="AO1499" s="65" t="str">
        <f>IFERROR(__xludf.DUMMYFUNCTION("""COMPUTED_VALUE"""),"13-02-2026")</f>
        <v>13-02-2026</v>
      </c>
      <c r="AP1499" s="65" t="str">
        <f>IFERROR(__xludf.DUMMYFUNCTION("""COMPUTED_VALUE"""),"DEVOLUCIÓN ENTREGADA A ORIGEN")</f>
        <v>DEVOLUCIÓN ENTREGADA A ORIGEN</v>
      </c>
      <c r="AQ1499" s="65" t="str">
        <f>IFERROR(__xludf.DUMMYFUNCTION("""COMPUTED_VALUE"""),"DEVOLUCIÓN ENTREGADA A ORIGEN")</f>
        <v>DEVOLUCIÓN ENTREGADA A ORIGEN</v>
      </c>
      <c r="AR1499" s="65"/>
      <c r="AS1499" s="65"/>
      <c r="AT1499" s="65" t="str">
        <f>IFERROR(__xludf.DUMMYFUNCTION("""COMPUTED_VALUE"""),"SHOPIFY")</f>
        <v>SHOPIFY</v>
      </c>
      <c r="AU1499" s="65" t="str">
        <f>IFERROR(__xludf.DUMMYFUNCTION("""COMPUTED_VALUE"""),"IMPORTEX EC")</f>
        <v>IMPORTEX EC</v>
      </c>
      <c r="AV1499" s="65" t="str">
        <f>IFERROR(__xludf.DUMMYFUNCTION("""COMPUTED_VALUE"""),"6439577223212")</f>
        <v>6439577223212</v>
      </c>
      <c r="AW1499" s="65">
        <f>IFERROR(__xludf.DUMMYFUNCTION("""COMPUTED_VALUE"""),5436.0)</f>
        <v>5436</v>
      </c>
      <c r="AX1499" s="65"/>
      <c r="AY1499" s="65" t="str">
        <f>IFERROR(__xludf.DUMMYFUNCTION("""COMPUTED_VALUE"""),"23/01/2026")</f>
        <v>23/01/2026</v>
      </c>
      <c r="AZ1499" s="65"/>
      <c r="BA1499" s="65"/>
    </row>
    <row r="1500">
      <c r="A1500" s="65" t="str">
        <f>IFERROR(__xludf.DUMMYFUNCTION("""COMPUTED_VALUE"""),"27-03-2026")</f>
        <v>27-03-2026</v>
      </c>
      <c r="B1500" s="65">
        <f>IFERROR(__xludf.DUMMYFUNCTION("""COMPUTED_VALUE"""),4246793.0)</f>
        <v>4246793</v>
      </c>
      <c r="C1500" s="65" t="str">
        <f>IFERROR(__xludf.DUMMYFUNCTION("""COMPUTED_VALUE"""),"22:18")</f>
        <v>22:18</v>
      </c>
      <c r="D1500" s="65" t="str">
        <f>IFERROR(__xludf.DUMMYFUNCTION("""COMPUTED_VALUE"""),"22-01-2026")</f>
        <v>22-01-2026</v>
      </c>
      <c r="E1500" s="65" t="str">
        <f>IFERROR(__xludf.DUMMYFUNCTION("""COMPUTED_VALUE"""),"Jorge Ganan")</f>
        <v>Jorge Ganan</v>
      </c>
      <c r="F1500" s="65" t="str">
        <f>IFERROR(__xludf.DUMMYFUNCTION("""COMPUTED_VALUE"""),"998519912")</f>
        <v>998519912</v>
      </c>
      <c r="G1500" s="65" t="str">
        <f>IFERROR(__xludf.DUMMYFUNCTION("""COMPUTED_VALUE"""),"jordyg96@gmail.com")</f>
        <v>jordyg96@gmail.com</v>
      </c>
      <c r="H1500" s="65"/>
      <c r="I1500" s="65"/>
      <c r="J1500" s="65" t="str">
        <f>IFERROR(__xludf.DUMMYFUNCTION("""COMPUTED_VALUE"""),"D001254544")</f>
        <v>D001254544</v>
      </c>
      <c r="K1500" s="65" t="str">
        <f>IFERROR(__xludf.DUMMYFUNCTION("""COMPUTED_VALUE"""),"DEVOLUCION")</f>
        <v>DEVOLUCION</v>
      </c>
      <c r="L1500" s="65" t="str">
        <f>IFERROR(__xludf.DUMMYFUNCTION("""COMPUTED_VALUE"""),"CON RECAUDO")</f>
        <v>CON RECAUDO</v>
      </c>
      <c r="M1500" s="65" t="str">
        <f>IFERROR(__xludf.DUMMYFUNCTION("""COMPUTED_VALUE"""),"TUNGURAHUA")</f>
        <v>TUNGURAHUA</v>
      </c>
      <c r="N1500" s="65" t="str">
        <f>IFERROR(__xludf.DUMMYFUNCTION("""COMPUTED_VALUE"""),"AMBATO")</f>
        <v>AMBATO</v>
      </c>
      <c r="O1500" s="65" t="str">
        <f>IFERROR(__xludf.DUMMYFUNCTION("""COMPUTED_VALUE"""),"Gustavo Egüés Y Aparicio Rivadeneira Ciudadela la floresta -")</f>
        <v>Gustavo Egüés Y Aparicio Rivadeneira Ciudadela la floresta -</v>
      </c>
      <c r="P1500" s="65"/>
      <c r="Q1500" s="65" t="str">
        <f>IFERROR(__xludf.DUMMYFUNCTION("""COMPUTED_VALUE"""),"GINTRACOM")</f>
        <v>GINTRACOM</v>
      </c>
      <c r="R1500" s="65">
        <f>IFERROR(__xludf.DUMMYFUNCTION("""COMPUTED_VALUE"""),30.0)</f>
        <v>30</v>
      </c>
      <c r="S1500" s="65"/>
      <c r="T1500" s="65">
        <f>IFERROR(__xludf.DUMMYFUNCTION("""COMPUTED_VALUE"""),6.16)</f>
        <v>6.16</v>
      </c>
      <c r="U1500" s="65">
        <f>IFERROR(__xludf.DUMMYFUNCTION("""COMPUTED_VALUE"""),0.0)</f>
        <v>0</v>
      </c>
      <c r="V1500" s="65">
        <f>IFERROR(__xludf.DUMMYFUNCTION("""COMPUTED_VALUE"""),0.0)</f>
        <v>0</v>
      </c>
      <c r="W1500" s="65">
        <f>IFERROR(__xludf.DUMMYFUNCTION("""COMPUTED_VALUE"""),0.0)</f>
        <v>0</v>
      </c>
      <c r="X1500" s="65">
        <f>IFERROR(__xludf.DUMMYFUNCTION("""COMPUTED_VALUE"""),2.35)</f>
        <v>2.35</v>
      </c>
      <c r="Y1500" s="65">
        <f>IFERROR(__xludf.DUMMYFUNCTION("""COMPUTED_VALUE"""),7.05)</f>
        <v>7.05</v>
      </c>
      <c r="Z1500" s="65">
        <f>IFERROR(__xludf.DUMMYFUNCTION("""COMPUTED_VALUE"""),116679.0)</f>
        <v>116679</v>
      </c>
      <c r="AA1500" s="65" t="str">
        <f>IFERROR(__xludf.DUMMYFUNCTION("""COMPUTED_VALUE"""),"AMC-2738")</f>
        <v>AMC-2738</v>
      </c>
      <c r="AB1500" s="65"/>
      <c r="AC1500" s="65" t="str">
        <f>IFERROR(__xludf.DUMMYFUNCTION("""COMPUTED_VALUE"""),"ESPONJA ANTILLUVIA DE PARABRISAS")</f>
        <v>ESPONJA ANTILLUVIA DE PARABRISAS</v>
      </c>
      <c r="AD1500" s="65"/>
      <c r="AE1500" s="65">
        <f>IFERROR(__xludf.DUMMYFUNCTION("""COMPUTED_VALUE"""),3.0)</f>
        <v>3</v>
      </c>
      <c r="AF1500" s="65" t="str">
        <f>IFERROR(__xludf.DUMMYFUNCTION("""COMPUTED_VALUE"""),"DESTINATARIO NO CONTESTA LLAMADAS NI WHATSAPP")</f>
        <v>DESTINATARIO NO CONTESTA LLAMADAS NI WHATSAPP</v>
      </c>
      <c r="AG1500" s="65" t="str">
        <f>IFERROR(__xludf.DUMMYFUNCTION("""COMPUTED_VALUE"""),"NO")</f>
        <v>NO</v>
      </c>
      <c r="AH1500" s="65" t="str">
        <f>IFERROR(__xludf.DUMMYFUNCTION("""COMPUTED_VALUE"""),"09:00")</f>
        <v>09:00</v>
      </c>
      <c r="AI1500" s="65" t="str">
        <f>IFERROR(__xludf.DUMMYFUNCTION("""COMPUTED_VALUE"""),"03-02-2026")</f>
        <v>03-02-2026</v>
      </c>
      <c r="AJ1500" s="65"/>
      <c r="AK1500" s="65"/>
      <c r="AL1500" s="65"/>
      <c r="AM1500" s="65"/>
      <c r="AN1500" s="65" t="str">
        <f>IFERROR(__xludf.DUMMYFUNCTION("""COMPUTED_VALUE"""),"13:18")</f>
        <v>13:18</v>
      </c>
      <c r="AO1500" s="65" t="str">
        <f>IFERROR(__xludf.DUMMYFUNCTION("""COMPUTED_VALUE"""),"17-02-2026")</f>
        <v>17-02-2026</v>
      </c>
      <c r="AP1500" s="65" t="str">
        <f>IFERROR(__xludf.DUMMYFUNCTION("""COMPUTED_VALUE"""),"DEVOLUCIÓN ENTREGADA A ORIGEN")</f>
        <v>DEVOLUCIÓN ENTREGADA A ORIGEN</v>
      </c>
      <c r="AQ1500" s="65" t="str">
        <f>IFERROR(__xludf.DUMMYFUNCTION("""COMPUTED_VALUE"""),"DEVOLUCIÓN ENTREGADA A ORIGEN")</f>
        <v>DEVOLUCIÓN ENTREGADA A ORIGEN</v>
      </c>
      <c r="AR1500" s="65"/>
      <c r="AS1500" s="65"/>
      <c r="AT1500" s="65" t="str">
        <f>IFERROR(__xludf.DUMMYFUNCTION("""COMPUTED_VALUE"""),"SHOPIFY")</f>
        <v>SHOPIFY</v>
      </c>
      <c r="AU1500" s="65" t="str">
        <f>IFERROR(__xludf.DUMMYFUNCTION("""COMPUTED_VALUE"""),"IMPORTEX EC")</f>
        <v>IMPORTEX EC</v>
      </c>
      <c r="AV1500" s="65" t="str">
        <f>IFERROR(__xludf.DUMMYFUNCTION("""COMPUTED_VALUE"""),"6439555858476")</f>
        <v>6439555858476</v>
      </c>
      <c r="AW1500" s="65">
        <f>IFERROR(__xludf.DUMMYFUNCTION("""COMPUTED_VALUE"""),5435.0)</f>
        <v>5435</v>
      </c>
      <c r="AX1500" s="65"/>
      <c r="AY1500" s="65" t="str">
        <f>IFERROR(__xludf.DUMMYFUNCTION("""COMPUTED_VALUE"""),"23/01/2026")</f>
        <v>23/01/2026</v>
      </c>
      <c r="AZ1500" s="65"/>
      <c r="BA1500" s="65"/>
    </row>
    <row r="1501">
      <c r="A1501" s="65" t="str">
        <f>IFERROR(__xludf.DUMMYFUNCTION("""COMPUTED_VALUE"""),"27-03-2026")</f>
        <v>27-03-2026</v>
      </c>
      <c r="B1501" s="65">
        <f>IFERROR(__xludf.DUMMYFUNCTION("""COMPUTED_VALUE"""),4246346.0)</f>
        <v>4246346</v>
      </c>
      <c r="C1501" s="65" t="str">
        <f>IFERROR(__xludf.DUMMYFUNCTION("""COMPUTED_VALUE"""),"21:46")</f>
        <v>21:46</v>
      </c>
      <c r="D1501" s="65" t="str">
        <f>IFERROR(__xludf.DUMMYFUNCTION("""COMPUTED_VALUE"""),"22-01-2026")</f>
        <v>22-01-2026</v>
      </c>
      <c r="E1501" s="65" t="str">
        <f>IFERROR(__xludf.DUMMYFUNCTION("""COMPUTED_VALUE"""),"Emidio Wilfrido Sacoto Mendoza")</f>
        <v>Emidio Wilfrido Sacoto Mendoza</v>
      </c>
      <c r="F1501" s="65" t="str">
        <f>IFERROR(__xludf.DUMMYFUNCTION("""COMPUTED_VALUE"""),"0993184455")</f>
        <v>0993184455</v>
      </c>
      <c r="G1501" s="65" t="str">
        <f>IFERROR(__xludf.DUMMYFUNCTION("""COMPUTED_VALUE"""),"emidiowilfrido@gmail.com")</f>
        <v>emidiowilfrido@gmail.com</v>
      </c>
      <c r="H1501" s="65"/>
      <c r="I1501" s="65"/>
      <c r="J1501" s="65" t="str">
        <f>IFERROR(__xludf.DUMMYFUNCTION("""COMPUTED_VALUE"""),"D001254545")</f>
        <v>D001254545</v>
      </c>
      <c r="K1501" s="65" t="str">
        <f>IFERROR(__xludf.DUMMYFUNCTION("""COMPUTED_VALUE"""),"DEVOLUCION")</f>
        <v>DEVOLUCION</v>
      </c>
      <c r="L1501" s="65" t="str">
        <f>IFERROR(__xludf.DUMMYFUNCTION("""COMPUTED_VALUE"""),"CON RECAUDO")</f>
        <v>CON RECAUDO</v>
      </c>
      <c r="M1501" s="65" t="str">
        <f>IFERROR(__xludf.DUMMYFUNCTION("""COMPUTED_VALUE"""),"MANABI")</f>
        <v>MANABI</v>
      </c>
      <c r="N1501" s="65" t="str">
        <f>IFERROR(__xludf.DUMMYFUNCTION("""COMPUTED_VALUE"""),"ROCAFUERTE")</f>
        <v>ROCAFUERTE</v>
      </c>
      <c r="O1501" s="65" t="str">
        <f>IFERROR(__xludf.DUMMYFUNCTION("""COMPUTED_VALUE"""),"Vicente Rocafuerte de san Eloy de Rocafuerte")</f>
        <v>Vicente Rocafuerte de san Eloy de Rocafuerte</v>
      </c>
      <c r="P1501" s="65" t="str">
        <f>IFERROR(__xludf.DUMMYFUNCTION("""COMPUTED_VALUE"""),"ESPONJA ANTILLUVIA DE PARABRISAS: Default Title ***")</f>
        <v>ESPONJA ANTILLUVIA DE PARABRISAS: Default Title ***</v>
      </c>
      <c r="Q1501" s="65" t="str">
        <f>IFERROR(__xludf.DUMMYFUNCTION("""COMPUTED_VALUE"""),"GINTRACOM")</f>
        <v>GINTRACOM</v>
      </c>
      <c r="R1501" s="65">
        <f>IFERROR(__xludf.DUMMYFUNCTION("""COMPUTED_VALUE"""),20.0)</f>
        <v>20</v>
      </c>
      <c r="S1501" s="65"/>
      <c r="T1501" s="65">
        <f>IFERROR(__xludf.DUMMYFUNCTION("""COMPUTED_VALUE"""),6.33)</f>
        <v>6.33</v>
      </c>
      <c r="U1501" s="65">
        <f>IFERROR(__xludf.DUMMYFUNCTION("""COMPUTED_VALUE"""),0.0)</f>
        <v>0</v>
      </c>
      <c r="V1501" s="65">
        <f>IFERROR(__xludf.DUMMYFUNCTION("""COMPUTED_VALUE"""),0.0)</f>
        <v>0</v>
      </c>
      <c r="W1501" s="65">
        <f>IFERROR(__xludf.DUMMYFUNCTION("""COMPUTED_VALUE"""),0.0)</f>
        <v>0</v>
      </c>
      <c r="X1501" s="65">
        <f>IFERROR(__xludf.DUMMYFUNCTION("""COMPUTED_VALUE"""),2.35)</f>
        <v>2.35</v>
      </c>
      <c r="Y1501" s="65">
        <f>IFERROR(__xludf.DUMMYFUNCTION("""COMPUTED_VALUE"""),2.35)</f>
        <v>2.35</v>
      </c>
      <c r="Z1501" s="65">
        <f>IFERROR(__xludf.DUMMYFUNCTION("""COMPUTED_VALUE"""),116679.0)</f>
        <v>116679</v>
      </c>
      <c r="AA1501" s="65" t="str">
        <f>IFERROR(__xludf.DUMMYFUNCTION("""COMPUTED_VALUE"""),"AMC-2738")</f>
        <v>AMC-2738</v>
      </c>
      <c r="AB1501" s="65"/>
      <c r="AC1501" s="65" t="str">
        <f>IFERROR(__xludf.DUMMYFUNCTION("""COMPUTED_VALUE"""),"ESPONJA ANTILLUVIA DE PARABRISAS")</f>
        <v>ESPONJA ANTILLUVIA DE PARABRISAS</v>
      </c>
      <c r="AD1501" s="65"/>
      <c r="AE1501" s="65">
        <f>IFERROR(__xludf.DUMMYFUNCTION("""COMPUTED_VALUE"""),1.0)</f>
        <v>1</v>
      </c>
      <c r="AF1501" s="65" t="str">
        <f>IFERROR(__xludf.DUMMYFUNCTION("""COMPUTED_VALUE"""),"DESTINATARIO NO CONTESTA LLAMADAS NI WHATSAPP")</f>
        <v>DESTINATARIO NO CONTESTA LLAMADAS NI WHATSAPP</v>
      </c>
      <c r="AG1501" s="65" t="str">
        <f>IFERROR(__xludf.DUMMYFUNCTION("""COMPUTED_VALUE"""),"NO")</f>
        <v>NO</v>
      </c>
      <c r="AH1501" s="65" t="str">
        <f>IFERROR(__xludf.DUMMYFUNCTION("""COMPUTED_VALUE"""),"15:47")</f>
        <v>15:47</v>
      </c>
      <c r="AI1501" s="65" t="str">
        <f>IFERROR(__xludf.DUMMYFUNCTION("""COMPUTED_VALUE"""),"03-02-2026")</f>
        <v>03-02-2026</v>
      </c>
      <c r="AJ1501" s="65"/>
      <c r="AK1501" s="65"/>
      <c r="AL1501" s="65"/>
      <c r="AM1501" s="65"/>
      <c r="AN1501" s="65" t="str">
        <f>IFERROR(__xludf.DUMMYFUNCTION("""COMPUTED_VALUE"""),"16:27")</f>
        <v>16:27</v>
      </c>
      <c r="AO1501" s="65" t="str">
        <f>IFERROR(__xludf.DUMMYFUNCTION("""COMPUTED_VALUE"""),"10-02-2026")</f>
        <v>10-02-2026</v>
      </c>
      <c r="AP1501" s="65" t="str">
        <f>IFERROR(__xludf.DUMMYFUNCTION("""COMPUTED_VALUE"""),"DEVOLUCIÓN ENTREGADA A ORIGEN")</f>
        <v>DEVOLUCIÓN ENTREGADA A ORIGEN</v>
      </c>
      <c r="AQ1501" s="65" t="str">
        <f>IFERROR(__xludf.DUMMYFUNCTION("""COMPUTED_VALUE"""),"DEVOLUCIÓN ENTREGADA A ORIGEN")</f>
        <v>DEVOLUCIÓN ENTREGADA A ORIGEN</v>
      </c>
      <c r="AR1501" s="65"/>
      <c r="AS1501" s="65"/>
      <c r="AT1501" s="65" t="str">
        <f>IFERROR(__xludf.DUMMYFUNCTION("""COMPUTED_VALUE"""),"SHOPIFY")</f>
        <v>SHOPIFY</v>
      </c>
      <c r="AU1501" s="65" t="str">
        <f>IFERROR(__xludf.DUMMYFUNCTION("""COMPUTED_VALUE"""),"IMPORTEX EC")</f>
        <v>IMPORTEX EC</v>
      </c>
      <c r="AV1501" s="65" t="str">
        <f>IFERROR(__xludf.DUMMYFUNCTION("""COMPUTED_VALUE"""),"6439474790444")</f>
        <v>6439474790444</v>
      </c>
      <c r="AW1501" s="65">
        <f>IFERROR(__xludf.DUMMYFUNCTION("""COMPUTED_VALUE"""),5434.0)</f>
        <v>5434</v>
      </c>
      <c r="AX1501" s="65"/>
      <c r="AY1501" s="65" t="str">
        <f>IFERROR(__xludf.DUMMYFUNCTION("""COMPUTED_VALUE"""),"23/01/2026")</f>
        <v>23/01/2026</v>
      </c>
      <c r="AZ1501" s="65"/>
      <c r="BA1501" s="65"/>
    </row>
    <row r="1502">
      <c r="A1502" s="65" t="str">
        <f>IFERROR(__xludf.DUMMYFUNCTION("""COMPUTED_VALUE"""),"27-03-2026")</f>
        <v>27-03-2026</v>
      </c>
      <c r="B1502" s="65">
        <f>IFERROR(__xludf.DUMMYFUNCTION("""COMPUTED_VALUE"""),4245744.0)</f>
        <v>4245744</v>
      </c>
      <c r="C1502" s="65" t="str">
        <f>IFERROR(__xludf.DUMMYFUNCTION("""COMPUTED_VALUE"""),"20:58")</f>
        <v>20:58</v>
      </c>
      <c r="D1502" s="65" t="str">
        <f>IFERROR(__xludf.DUMMYFUNCTION("""COMPUTED_VALUE"""),"22-01-2026")</f>
        <v>22-01-2026</v>
      </c>
      <c r="E1502" s="65" t="str">
        <f>IFERROR(__xludf.DUMMYFUNCTION("""COMPUTED_VALUE"""),"Danny Buñay")</f>
        <v>Danny Buñay</v>
      </c>
      <c r="F1502" s="65" t="str">
        <f>IFERROR(__xludf.DUMMYFUNCTION("""COMPUTED_VALUE"""),"986635718")</f>
        <v>986635718</v>
      </c>
      <c r="G1502" s="65"/>
      <c r="H1502" s="65"/>
      <c r="I1502" s="65"/>
      <c r="J1502" s="65" t="str">
        <f>IFERROR(__xludf.DUMMYFUNCTION("""COMPUTED_VALUE"""),"186518364")</f>
        <v>186518364</v>
      </c>
      <c r="K1502" s="65" t="str">
        <f>IFERROR(__xludf.DUMMYFUNCTION("""COMPUTED_VALUE"""),"ENTREGADO")</f>
        <v>ENTREGADO</v>
      </c>
      <c r="L1502" s="65" t="str">
        <f>IFERROR(__xludf.DUMMYFUNCTION("""COMPUTED_VALUE"""),"CON RECAUDO")</f>
        <v>CON RECAUDO</v>
      </c>
      <c r="M1502" s="65" t="str">
        <f>IFERROR(__xludf.DUMMYFUNCTION("""COMPUTED_VALUE"""),"ESMERALDAS")</f>
        <v>ESMERALDAS</v>
      </c>
      <c r="N1502" s="65" t="str">
        <f>IFERROR(__xludf.DUMMYFUNCTION("""COMPUTED_VALUE"""),"BORBON")</f>
        <v>BORBON</v>
      </c>
      <c r="O1502" s="65" t="str">
        <f>IFERROR(__xludf.DUMMYFUNCTION("""COMPUTED_VALUE"""),"CS: BORBON_PRINCIPAL / HUMBERTO OBANDO SOLAR 17 Y RIO VERDE")</f>
        <v>CS: BORBON_PRINCIPAL / HUMBERTO OBANDO SOLAR 17 Y RIO VERDE</v>
      </c>
      <c r="P1502" s="65" t="str">
        <f>IFERROR(__xludf.DUMMYFUNCTION("""COMPUTED_VALUE"""),"(SERVIENTREGA) CS: BORBON_PRINCIPAL / HUMBERTO OBANDO SOLAR 17 Y RIO VERDE")</f>
        <v>(SERVIENTREGA) CS: BORBON_PRINCIPAL / HUMBERTO OBANDO SOLAR 17 Y RIO VERDE</v>
      </c>
      <c r="Q1502" s="65" t="str">
        <f>IFERROR(__xludf.DUMMYFUNCTION("""COMPUTED_VALUE"""),"SERVIENTREGA")</f>
        <v>SERVIENTREGA</v>
      </c>
      <c r="R1502" s="65">
        <f>IFERROR(__xludf.DUMMYFUNCTION("""COMPUTED_VALUE"""),20.0)</f>
        <v>20</v>
      </c>
      <c r="S1502" s="65">
        <f>IFERROR(__xludf.DUMMYFUNCTION("""COMPUTED_VALUE"""),9.98)</f>
        <v>9.98</v>
      </c>
      <c r="T1502" s="65">
        <f>IFERROR(__xludf.DUMMYFUNCTION("""COMPUTED_VALUE"""),7.67)</f>
        <v>7.67</v>
      </c>
      <c r="U1502" s="65">
        <f>IFERROR(__xludf.DUMMYFUNCTION("""COMPUTED_VALUE"""),0.0)</f>
        <v>0</v>
      </c>
      <c r="V1502" s="65">
        <f>IFERROR(__xludf.DUMMYFUNCTION("""COMPUTED_VALUE"""),0.0)</f>
        <v>0</v>
      </c>
      <c r="W1502" s="65">
        <f>IFERROR(__xludf.DUMMYFUNCTION("""COMPUTED_VALUE"""),0.0)</f>
        <v>0</v>
      </c>
      <c r="X1502" s="65">
        <f>IFERROR(__xludf.DUMMYFUNCTION("""COMPUTED_VALUE"""),2.35)</f>
        <v>2.35</v>
      </c>
      <c r="Y1502" s="65">
        <f>IFERROR(__xludf.DUMMYFUNCTION("""COMPUTED_VALUE"""),2.35)</f>
        <v>2.35</v>
      </c>
      <c r="Z1502" s="65">
        <f>IFERROR(__xludf.DUMMYFUNCTION("""COMPUTED_VALUE"""),116679.0)</f>
        <v>116679</v>
      </c>
      <c r="AA1502" s="65" t="str">
        <f>IFERROR(__xludf.DUMMYFUNCTION("""COMPUTED_VALUE"""),"AMC-2738")</f>
        <v>AMC-2738</v>
      </c>
      <c r="AB1502" s="65"/>
      <c r="AC1502" s="65" t="str">
        <f>IFERROR(__xludf.DUMMYFUNCTION("""COMPUTED_VALUE"""),"ESPONJA ANTILLUVIA DE PARABRISAS")</f>
        <v>ESPONJA ANTILLUVIA DE PARABRISAS</v>
      </c>
      <c r="AD1502" s="65"/>
      <c r="AE1502" s="65">
        <f>IFERROR(__xludf.DUMMYFUNCTION("""COMPUTED_VALUE"""),1.0)</f>
        <v>1</v>
      </c>
      <c r="AF1502" s="65"/>
      <c r="AG1502" s="65"/>
      <c r="AH1502" s="65"/>
      <c r="AI1502" s="65"/>
      <c r="AJ1502" s="65"/>
      <c r="AK1502" s="65"/>
      <c r="AL1502" s="65"/>
      <c r="AM1502" s="65"/>
      <c r="AN1502" s="65" t="str">
        <f>IFERROR(__xludf.DUMMYFUNCTION("""COMPUTED_VALUE"""),"10:21")</f>
        <v>10:21</v>
      </c>
      <c r="AO1502" s="65" t="str">
        <f>IFERROR(__xludf.DUMMYFUNCTION("""COMPUTED_VALUE"""),"31-01-2026")</f>
        <v>31-01-2026</v>
      </c>
      <c r="AP1502" s="65" t="str">
        <f>IFERROR(__xludf.DUMMYFUNCTION("""COMPUTED_VALUE"""),"REPORTADO ENTREGADO EN AGENCIA")</f>
        <v>REPORTADO ENTREGADO EN AGENCIA</v>
      </c>
      <c r="AQ1502" s="65" t="str">
        <f>IFERROR(__xludf.DUMMYFUNCTION("""COMPUTED_VALUE"""),"DANNY BUNAY")</f>
        <v>DANNY BUNAY</v>
      </c>
      <c r="AR1502" s="65"/>
      <c r="AS1502" s="65" t="str">
        <f>IFERROR(__xludf.DUMMYFUNCTION("""COMPUTED_VALUE"""),"Bayron Gomez")</f>
        <v>Bayron Gomez</v>
      </c>
      <c r="AT1502" s="65"/>
      <c r="AU1502" s="65"/>
      <c r="AV1502" s="65"/>
      <c r="AW1502" s="65"/>
      <c r="AX1502" s="65"/>
      <c r="AY1502" s="65" t="str">
        <f>IFERROR(__xludf.DUMMYFUNCTION("""COMPUTED_VALUE"""),"23/01/2026")</f>
        <v>23/01/2026</v>
      </c>
      <c r="AZ1502" s="65"/>
      <c r="BA1502" s="65"/>
    </row>
    <row r="1503">
      <c r="A1503" s="65" t="str">
        <f>IFERROR(__xludf.DUMMYFUNCTION("""COMPUTED_VALUE"""),"27-03-2026")</f>
        <v>27-03-2026</v>
      </c>
      <c r="B1503" s="65">
        <f>IFERROR(__xludf.DUMMYFUNCTION("""COMPUTED_VALUE"""),4245664.0)</f>
        <v>4245664</v>
      </c>
      <c r="C1503" s="65" t="str">
        <f>IFERROR(__xludf.DUMMYFUNCTION("""COMPUTED_VALUE"""),"20:51")</f>
        <v>20:51</v>
      </c>
      <c r="D1503" s="65" t="str">
        <f>IFERROR(__xludf.DUMMYFUNCTION("""COMPUTED_VALUE"""),"22-01-2026")</f>
        <v>22-01-2026</v>
      </c>
      <c r="E1503" s="65" t="str">
        <f>IFERROR(__xludf.DUMMYFUNCTION("""COMPUTED_VALUE"""),"Darwin Castro")</f>
        <v>Darwin Castro</v>
      </c>
      <c r="F1503" s="65" t="str">
        <f>IFERROR(__xludf.DUMMYFUNCTION("""COMPUTED_VALUE"""),"997979786")</f>
        <v>997979786</v>
      </c>
      <c r="G1503" s="65" t="str">
        <f>IFERROR(__xludf.DUMMYFUNCTION("""COMPUTED_VALUE"""),"drenece@gmail.com")</f>
        <v>drenece@gmail.com</v>
      </c>
      <c r="H1503" s="65"/>
      <c r="I1503" s="65"/>
      <c r="J1503" s="65" t="str">
        <f>IFERROR(__xludf.DUMMYFUNCTION("""COMPUTED_VALUE"""),"D001254547")</f>
        <v>D001254547</v>
      </c>
      <c r="K1503" s="65" t="str">
        <f>IFERROR(__xludf.DUMMYFUNCTION("""COMPUTED_VALUE"""),"ENTREGADO")</f>
        <v>ENTREGADO</v>
      </c>
      <c r="L1503" s="65" t="str">
        <f>IFERROR(__xludf.DUMMYFUNCTION("""COMPUTED_VALUE"""),"CON RECAUDO")</f>
        <v>CON RECAUDO</v>
      </c>
      <c r="M1503" s="65" t="str">
        <f>IFERROR(__xludf.DUMMYFUNCTION("""COMPUTED_VALUE"""),"IMBABURA")</f>
        <v>IMBABURA</v>
      </c>
      <c r="N1503" s="65" t="str">
        <f>IFERROR(__xludf.DUMMYFUNCTION("""COMPUTED_VALUE"""),"OTAVALO")</f>
        <v>OTAVALO</v>
      </c>
      <c r="O1503" s="65" t="str">
        <f>IFERROR(__xludf.DUMMYFUNCTION("""COMPUTED_VALUE"""),"Calle Guayaquil 407 entre García Moreno y Juan Montalvo Barrio Copacabana -")</f>
        <v>Calle Guayaquil 407 entre García Moreno y Juan Montalvo Barrio Copacabana -</v>
      </c>
      <c r="P1503" s="65"/>
      <c r="Q1503" s="65" t="str">
        <f>IFERROR(__xludf.DUMMYFUNCTION("""COMPUTED_VALUE"""),"GINTRACOM")</f>
        <v>GINTRACOM</v>
      </c>
      <c r="R1503" s="65">
        <f>IFERROR(__xludf.DUMMYFUNCTION("""COMPUTED_VALUE"""),30.0)</f>
        <v>30</v>
      </c>
      <c r="S1503" s="65">
        <f>IFERROR(__xludf.DUMMYFUNCTION("""COMPUTED_VALUE"""),16.79)</f>
        <v>16.79</v>
      </c>
      <c r="T1503" s="65">
        <f>IFERROR(__xludf.DUMMYFUNCTION("""COMPUTED_VALUE"""),6.16)</f>
        <v>6.16</v>
      </c>
      <c r="U1503" s="65">
        <f>IFERROR(__xludf.DUMMYFUNCTION("""COMPUTED_VALUE"""),0.0)</f>
        <v>0</v>
      </c>
      <c r="V1503" s="65">
        <f>IFERROR(__xludf.DUMMYFUNCTION("""COMPUTED_VALUE"""),0.0)</f>
        <v>0</v>
      </c>
      <c r="W1503" s="65">
        <f>IFERROR(__xludf.DUMMYFUNCTION("""COMPUTED_VALUE"""),0.0)</f>
        <v>0</v>
      </c>
      <c r="X1503" s="65">
        <f>IFERROR(__xludf.DUMMYFUNCTION("""COMPUTED_VALUE"""),2.35)</f>
        <v>2.35</v>
      </c>
      <c r="Y1503" s="65">
        <f>IFERROR(__xludf.DUMMYFUNCTION("""COMPUTED_VALUE"""),7.05)</f>
        <v>7.05</v>
      </c>
      <c r="Z1503" s="65">
        <f>IFERROR(__xludf.DUMMYFUNCTION("""COMPUTED_VALUE"""),116679.0)</f>
        <v>116679</v>
      </c>
      <c r="AA1503" s="65" t="str">
        <f>IFERROR(__xludf.DUMMYFUNCTION("""COMPUTED_VALUE"""),"AMC-2738")</f>
        <v>AMC-2738</v>
      </c>
      <c r="AB1503" s="65"/>
      <c r="AC1503" s="65" t="str">
        <f>IFERROR(__xludf.DUMMYFUNCTION("""COMPUTED_VALUE"""),"ESPONJA ANTILLUVIA DE PARABRISAS")</f>
        <v>ESPONJA ANTILLUVIA DE PARABRISAS</v>
      </c>
      <c r="AD1503" s="65"/>
      <c r="AE1503" s="65">
        <f>IFERROR(__xludf.DUMMYFUNCTION("""COMPUTED_VALUE"""),3.0)</f>
        <v>3</v>
      </c>
      <c r="AF1503" s="65"/>
      <c r="AG1503" s="65"/>
      <c r="AH1503" s="65"/>
      <c r="AI1503" s="65"/>
      <c r="AJ1503" s="65"/>
      <c r="AK1503" s="65"/>
      <c r="AL1503" s="65"/>
      <c r="AM1503" s="65"/>
      <c r="AN1503" s="65" t="str">
        <f>IFERROR(__xludf.DUMMYFUNCTION("""COMPUTED_VALUE"""),"10:14")</f>
        <v>10:14</v>
      </c>
      <c r="AO1503" s="65" t="str">
        <f>IFERROR(__xludf.DUMMYFUNCTION("""COMPUTED_VALUE"""),"26-01-2026")</f>
        <v>26-01-2026</v>
      </c>
      <c r="AP1503" s="65" t="str">
        <f>IFERROR(__xludf.DUMMYFUNCTION("""COMPUTED_VALUE"""),"EN REPARTO")</f>
        <v>EN REPARTO</v>
      </c>
      <c r="AQ1503" s="65" t="str">
        <f>IFERROR(__xludf.DUMMYFUNCTION("""COMPUTED_VALUE"""),"EN REPARTO")</f>
        <v>EN REPARTO</v>
      </c>
      <c r="AR1503" s="65"/>
      <c r="AS1503" s="65"/>
      <c r="AT1503" s="65" t="str">
        <f>IFERROR(__xludf.DUMMYFUNCTION("""COMPUTED_VALUE"""),"SHOPIFY")</f>
        <v>SHOPIFY</v>
      </c>
      <c r="AU1503" s="65" t="str">
        <f>IFERROR(__xludf.DUMMYFUNCTION("""COMPUTED_VALUE"""),"IMPORTEX EC")</f>
        <v>IMPORTEX EC</v>
      </c>
      <c r="AV1503" s="65" t="str">
        <f>IFERROR(__xludf.DUMMYFUNCTION("""COMPUTED_VALUE"""),"6439362101292")</f>
        <v>6439362101292</v>
      </c>
      <c r="AW1503" s="65">
        <f>IFERROR(__xludf.DUMMYFUNCTION("""COMPUTED_VALUE"""),5432.0)</f>
        <v>5432</v>
      </c>
      <c r="AX1503" s="65"/>
      <c r="AY1503" s="65" t="str">
        <f>IFERROR(__xludf.DUMMYFUNCTION("""COMPUTED_VALUE"""),"23/01/2026")</f>
        <v>23/01/2026</v>
      </c>
      <c r="AZ1503" s="65"/>
      <c r="BA1503" s="65"/>
    </row>
    <row r="1504">
      <c r="A1504" s="65" t="str">
        <f>IFERROR(__xludf.DUMMYFUNCTION("""COMPUTED_VALUE"""),"27-03-2026")</f>
        <v>27-03-2026</v>
      </c>
      <c r="B1504" s="65">
        <f>IFERROR(__xludf.DUMMYFUNCTION("""COMPUTED_VALUE"""),4245136.0)</f>
        <v>4245136</v>
      </c>
      <c r="C1504" s="65" t="str">
        <f>IFERROR(__xludf.DUMMYFUNCTION("""COMPUTED_VALUE"""),"20:06")</f>
        <v>20:06</v>
      </c>
      <c r="D1504" s="65" t="str">
        <f>IFERROR(__xludf.DUMMYFUNCTION("""COMPUTED_VALUE"""),"22-01-2026")</f>
        <v>22-01-2026</v>
      </c>
      <c r="E1504" s="65" t="str">
        <f>IFERROR(__xludf.DUMMYFUNCTION("""COMPUTED_VALUE"""),"Richard Tenezaca")</f>
        <v>Richard Tenezaca</v>
      </c>
      <c r="F1504" s="65" t="str">
        <f>IFERROR(__xludf.DUMMYFUNCTION("""COMPUTED_VALUE"""),"980334840")</f>
        <v>980334840</v>
      </c>
      <c r="G1504" s="65" t="str">
        <f>IFERROR(__xludf.DUMMYFUNCTION("""COMPUTED_VALUE"""),"tenezacarichard67@gmail.com")</f>
        <v>tenezacarichard67@gmail.com</v>
      </c>
      <c r="H1504" s="65"/>
      <c r="I1504" s="65"/>
      <c r="J1504" s="65" t="str">
        <f>IFERROR(__xludf.DUMMYFUNCTION("""COMPUTED_VALUE"""),"D001254549")</f>
        <v>D001254549</v>
      </c>
      <c r="K1504" s="65" t="str">
        <f>IFERROR(__xludf.DUMMYFUNCTION("""COMPUTED_VALUE"""),"ENTREGADO")</f>
        <v>ENTREGADO</v>
      </c>
      <c r="L1504" s="65" t="str">
        <f>IFERROR(__xludf.DUMMYFUNCTION("""COMPUTED_VALUE"""),"CON RECAUDO")</f>
        <v>CON RECAUDO</v>
      </c>
      <c r="M1504" s="65" t="str">
        <f>IFERROR(__xludf.DUMMYFUNCTION("""COMPUTED_VALUE"""),"AZUAY")</f>
        <v>AZUAY</v>
      </c>
      <c r="N1504" s="65" t="str">
        <f>IFERROR(__xludf.DUMMYFUNCTION("""COMPUTED_VALUE"""),"CUENCA")</f>
        <v>CUENCA</v>
      </c>
      <c r="O1504" s="65" t="str">
        <f>IFERROR(__xludf.DUMMYFUNCTION("""COMPUTED_VALUE"""),"Mariscal Lamar y Luis Cordero 9 de octubre -")</f>
        <v>Mariscal Lamar y Luis Cordero 9 de octubre -</v>
      </c>
      <c r="P1504" s="65"/>
      <c r="Q1504" s="65" t="str">
        <f>IFERROR(__xludf.DUMMYFUNCTION("""COMPUTED_VALUE"""),"GINTRACOM")</f>
        <v>GINTRACOM</v>
      </c>
      <c r="R1504" s="65">
        <f>IFERROR(__xludf.DUMMYFUNCTION("""COMPUTED_VALUE"""),25.0)</f>
        <v>25</v>
      </c>
      <c r="S1504" s="65">
        <f>IFERROR(__xludf.DUMMYFUNCTION("""COMPUTED_VALUE"""),14.34)</f>
        <v>14.34</v>
      </c>
      <c r="T1504" s="65">
        <f>IFERROR(__xludf.DUMMYFUNCTION("""COMPUTED_VALUE"""),5.96)</f>
        <v>5.96</v>
      </c>
      <c r="U1504" s="65">
        <f>IFERROR(__xludf.DUMMYFUNCTION("""COMPUTED_VALUE"""),0.0)</f>
        <v>0</v>
      </c>
      <c r="V1504" s="65">
        <f>IFERROR(__xludf.DUMMYFUNCTION("""COMPUTED_VALUE"""),0.0)</f>
        <v>0</v>
      </c>
      <c r="W1504" s="65">
        <f>IFERROR(__xludf.DUMMYFUNCTION("""COMPUTED_VALUE"""),0.0)</f>
        <v>0</v>
      </c>
      <c r="X1504" s="65">
        <f>IFERROR(__xludf.DUMMYFUNCTION("""COMPUTED_VALUE"""),2.35)</f>
        <v>2.35</v>
      </c>
      <c r="Y1504" s="65">
        <f>IFERROR(__xludf.DUMMYFUNCTION("""COMPUTED_VALUE"""),4.7)</f>
        <v>4.7</v>
      </c>
      <c r="Z1504" s="65">
        <f>IFERROR(__xludf.DUMMYFUNCTION("""COMPUTED_VALUE"""),116679.0)</f>
        <v>116679</v>
      </c>
      <c r="AA1504" s="65" t="str">
        <f>IFERROR(__xludf.DUMMYFUNCTION("""COMPUTED_VALUE"""),"AMC-2738")</f>
        <v>AMC-2738</v>
      </c>
      <c r="AB1504" s="65"/>
      <c r="AC1504" s="65" t="str">
        <f>IFERROR(__xludf.DUMMYFUNCTION("""COMPUTED_VALUE"""),"ESPONJA ANTILLUVIA DE PARABRISAS")</f>
        <v>ESPONJA ANTILLUVIA DE PARABRISAS</v>
      </c>
      <c r="AD1504" s="65"/>
      <c r="AE1504" s="65">
        <f>IFERROR(__xludf.DUMMYFUNCTION("""COMPUTED_VALUE"""),2.0)</f>
        <v>2</v>
      </c>
      <c r="AF1504" s="65"/>
      <c r="AG1504" s="65"/>
      <c r="AH1504" s="65"/>
      <c r="AI1504" s="65"/>
      <c r="AJ1504" s="65"/>
      <c r="AK1504" s="65"/>
      <c r="AL1504" s="65"/>
      <c r="AM1504" s="65"/>
      <c r="AN1504" s="65" t="str">
        <f>IFERROR(__xludf.DUMMYFUNCTION("""COMPUTED_VALUE"""),"12:28")</f>
        <v>12:28</v>
      </c>
      <c r="AO1504" s="65" t="str">
        <f>IFERROR(__xludf.DUMMYFUNCTION("""COMPUTED_VALUE"""),"26-01-2026")</f>
        <v>26-01-2026</v>
      </c>
      <c r="AP1504" s="65" t="str">
        <f>IFERROR(__xludf.DUMMYFUNCTION("""COMPUTED_VALUE"""),"ENTREGADA GINTRACOM")</f>
        <v>ENTREGADA GINTRACOM</v>
      </c>
      <c r="AQ1504" s="65" t="str">
        <f>IFERROR(__xludf.DUMMYFUNCTION("""COMPUTED_VALUE"""),"ENTREGADA GINTRACOM")</f>
        <v>ENTREGADA GINTRACOM</v>
      </c>
      <c r="AR1504" s="65"/>
      <c r="AS1504" s="65"/>
      <c r="AT1504" s="65" t="str">
        <f>IFERROR(__xludf.DUMMYFUNCTION("""COMPUTED_VALUE"""),"SHOPIFY")</f>
        <v>SHOPIFY</v>
      </c>
      <c r="AU1504" s="65" t="str">
        <f>IFERROR(__xludf.DUMMYFUNCTION("""COMPUTED_VALUE"""),"IMPORTEX EC")</f>
        <v>IMPORTEX EC</v>
      </c>
      <c r="AV1504" s="65" t="str">
        <f>IFERROR(__xludf.DUMMYFUNCTION("""COMPUTED_VALUE"""),"6439259209772")</f>
        <v>6439259209772</v>
      </c>
      <c r="AW1504" s="65">
        <f>IFERROR(__xludf.DUMMYFUNCTION("""COMPUTED_VALUE"""),5431.0)</f>
        <v>5431</v>
      </c>
      <c r="AX1504" s="65"/>
      <c r="AY1504" s="65" t="str">
        <f>IFERROR(__xludf.DUMMYFUNCTION("""COMPUTED_VALUE"""),"23/01/2026")</f>
        <v>23/01/2026</v>
      </c>
      <c r="AZ1504" s="65"/>
      <c r="BA1504" s="65"/>
    </row>
    <row r="1505">
      <c r="A1505" s="65" t="str">
        <f>IFERROR(__xludf.DUMMYFUNCTION("""COMPUTED_VALUE"""),"27-03-2026")</f>
        <v>27-03-2026</v>
      </c>
      <c r="B1505" s="65">
        <f>IFERROR(__xludf.DUMMYFUNCTION("""COMPUTED_VALUE"""),4244935.0)</f>
        <v>4244935</v>
      </c>
      <c r="C1505" s="65" t="str">
        <f>IFERROR(__xludf.DUMMYFUNCTION("""COMPUTED_VALUE"""),"19:47")</f>
        <v>19:47</v>
      </c>
      <c r="D1505" s="65" t="str">
        <f>IFERROR(__xludf.DUMMYFUNCTION("""COMPUTED_VALUE"""),"22-01-2026")</f>
        <v>22-01-2026</v>
      </c>
      <c r="E1505" s="65" t="str">
        <f>IFERROR(__xludf.DUMMYFUNCTION("""COMPUTED_VALUE"""),"Juan Acan")</f>
        <v>Juan Acan</v>
      </c>
      <c r="F1505" s="65" t="str">
        <f>IFERROR(__xludf.DUMMYFUNCTION("""COMPUTED_VALUE"""),"959780880")</f>
        <v>959780880</v>
      </c>
      <c r="G1505" s="65"/>
      <c r="H1505" s="65"/>
      <c r="I1505" s="65"/>
      <c r="J1505" s="65"/>
      <c r="K1505" s="65" t="str">
        <f>IFERROR(__xludf.DUMMYFUNCTION("""COMPUTED_VALUE"""),"CANCELADO")</f>
        <v>CANCELADO</v>
      </c>
      <c r="L1505" s="65" t="str">
        <f>IFERROR(__xludf.DUMMYFUNCTION("""COMPUTED_VALUE"""),"CON RECAUDO")</f>
        <v>CON RECAUDO</v>
      </c>
      <c r="M1505" s="65" t="str">
        <f>IFERROR(__xludf.DUMMYFUNCTION("""COMPUTED_VALUE"""),"SANTA ELENA")</f>
        <v>SANTA ELENA</v>
      </c>
      <c r="N1505" s="65" t="str">
        <f>IFERROR(__xludf.DUMMYFUNCTION("""COMPUTED_VALUE"""),"LA LIBERTAD")</f>
        <v>LA LIBERTAD</v>
      </c>
      <c r="O1505" s="65" t="str">
        <f>IFERROR(__xludf.DUMMYFUNCTION("""COMPUTED_VALUE"""),"Ecuador Libertad -")</f>
        <v>Ecuador Libertad -</v>
      </c>
      <c r="P1505" s="65"/>
      <c r="Q1505" s="65" t="str">
        <f>IFERROR(__xludf.DUMMYFUNCTION("""COMPUTED_VALUE"""),"GINTRACOM")</f>
        <v>GINTRACOM</v>
      </c>
      <c r="R1505" s="65">
        <f>IFERROR(__xludf.DUMMYFUNCTION("""COMPUTED_VALUE"""),25.0)</f>
        <v>25</v>
      </c>
      <c r="S1505" s="65"/>
      <c r="T1505" s="65">
        <f>IFERROR(__xludf.DUMMYFUNCTION("""COMPUTED_VALUE"""),5.96)</f>
        <v>5.96</v>
      </c>
      <c r="U1505" s="65">
        <f>IFERROR(__xludf.DUMMYFUNCTION("""COMPUTED_VALUE"""),0.0)</f>
        <v>0</v>
      </c>
      <c r="V1505" s="65">
        <f>IFERROR(__xludf.DUMMYFUNCTION("""COMPUTED_VALUE"""),0.0)</f>
        <v>0</v>
      </c>
      <c r="W1505" s="65">
        <f>IFERROR(__xludf.DUMMYFUNCTION("""COMPUTED_VALUE"""),0.0)</f>
        <v>0</v>
      </c>
      <c r="X1505" s="65">
        <f>IFERROR(__xludf.DUMMYFUNCTION("""COMPUTED_VALUE"""),2.35)</f>
        <v>2.35</v>
      </c>
      <c r="Y1505" s="65">
        <f>IFERROR(__xludf.DUMMYFUNCTION("""COMPUTED_VALUE"""),4.7)</f>
        <v>4.7</v>
      </c>
      <c r="Z1505" s="65">
        <f>IFERROR(__xludf.DUMMYFUNCTION("""COMPUTED_VALUE"""),116679.0)</f>
        <v>116679</v>
      </c>
      <c r="AA1505" s="65" t="str">
        <f>IFERROR(__xludf.DUMMYFUNCTION("""COMPUTED_VALUE"""),"AMC-2738")</f>
        <v>AMC-2738</v>
      </c>
      <c r="AB1505" s="65"/>
      <c r="AC1505" s="65" t="str">
        <f>IFERROR(__xludf.DUMMYFUNCTION("""COMPUTED_VALUE"""),"ESPONJA ANTILLUVIA DE PARABRISAS")</f>
        <v>ESPONJA ANTILLUVIA DE PARABRISAS</v>
      </c>
      <c r="AD1505" s="65"/>
      <c r="AE1505" s="65">
        <f>IFERROR(__xludf.DUMMYFUNCTION("""COMPUTED_VALUE"""),2.0)</f>
        <v>2</v>
      </c>
      <c r="AF1505" s="65"/>
      <c r="AG1505" s="65"/>
      <c r="AH1505" s="65"/>
      <c r="AI1505" s="65"/>
      <c r="AJ1505" s="65"/>
      <c r="AK1505" s="65"/>
      <c r="AL1505" s="65"/>
      <c r="AM1505" s="65"/>
      <c r="AN1505" s="65"/>
      <c r="AO1505" s="65"/>
      <c r="AP1505" s="65"/>
      <c r="AQ1505" s="65"/>
      <c r="AR1505" s="65"/>
      <c r="AS1505" s="65"/>
      <c r="AT1505" s="65" t="str">
        <f>IFERROR(__xludf.DUMMYFUNCTION("""COMPUTED_VALUE"""),"SHOPIFY")</f>
        <v>SHOPIFY</v>
      </c>
      <c r="AU1505" s="65" t="str">
        <f>IFERROR(__xludf.DUMMYFUNCTION("""COMPUTED_VALUE"""),"IMPORTEX EC")</f>
        <v>IMPORTEX EC</v>
      </c>
      <c r="AV1505" s="65" t="str">
        <f>IFERROR(__xludf.DUMMYFUNCTION("""COMPUTED_VALUE"""),"6439222345772")</f>
        <v>6439222345772</v>
      </c>
      <c r="AW1505" s="65">
        <f>IFERROR(__xludf.DUMMYFUNCTION("""COMPUTED_VALUE"""),5430.0)</f>
        <v>5430</v>
      </c>
      <c r="AX1505" s="65"/>
      <c r="AY1505" s="65"/>
      <c r="AZ1505" s="65"/>
      <c r="BA1505" s="65"/>
    </row>
    <row r="1506">
      <c r="A1506" s="65" t="str">
        <f>IFERROR(__xludf.DUMMYFUNCTION("""COMPUTED_VALUE"""),"27-03-2026")</f>
        <v>27-03-2026</v>
      </c>
      <c r="B1506" s="65">
        <f>IFERROR(__xludf.DUMMYFUNCTION("""COMPUTED_VALUE"""),4244800.0)</f>
        <v>4244800</v>
      </c>
      <c r="C1506" s="65" t="str">
        <f>IFERROR(__xludf.DUMMYFUNCTION("""COMPUTED_VALUE"""),"19:33")</f>
        <v>19:33</v>
      </c>
      <c r="D1506" s="65" t="str">
        <f>IFERROR(__xludf.DUMMYFUNCTION("""COMPUTED_VALUE"""),"22-01-2026")</f>
        <v>22-01-2026</v>
      </c>
      <c r="E1506" s="65" t="str">
        <f>IFERROR(__xludf.DUMMYFUNCTION("""COMPUTED_VALUE"""),"German Vallejo")</f>
        <v>German Vallejo</v>
      </c>
      <c r="F1506" s="65" t="str">
        <f>IFERROR(__xludf.DUMMYFUNCTION("""COMPUTED_VALUE"""),"996322491")</f>
        <v>996322491</v>
      </c>
      <c r="G1506" s="65" t="str">
        <f>IFERROR(__xludf.DUMMYFUNCTION("""COMPUTED_VALUE"""),"vallejoeric1980@gmail.com")</f>
        <v>vallejoeric1980@gmail.com</v>
      </c>
      <c r="H1506" s="65"/>
      <c r="I1506" s="65"/>
      <c r="J1506" s="65"/>
      <c r="K1506" s="65" t="str">
        <f>IFERROR(__xludf.DUMMYFUNCTION("""COMPUTED_VALUE"""),"PENDIENTE CONFIRMACION")</f>
        <v>PENDIENTE CONFIRMACION</v>
      </c>
      <c r="L1506" s="65" t="str">
        <f>IFERROR(__xludf.DUMMYFUNCTION("""COMPUTED_VALUE"""),"CON RECAUDO")</f>
        <v>CON RECAUDO</v>
      </c>
      <c r="M1506" s="65" t="str">
        <f>IFERROR(__xludf.DUMMYFUNCTION("""COMPUTED_VALUE"""),"LOJA")</f>
        <v>LOJA</v>
      </c>
      <c r="N1506" s="65" t="str">
        <f>IFERROR(__xludf.DUMMYFUNCTION("""COMPUTED_VALUE"""),"LOJA")</f>
        <v>LOJA</v>
      </c>
      <c r="O1506" s="65" t="str">
        <f>IFERROR(__xludf.DUMMYFUNCTION("""COMPUTED_VALUE"""),"Loja - Sector Ciudadela Celi Román - Calle Benjamín Ruiz 211-60 y Calle Pereira - Ref. Junto al Edificio Alta Vista  -")</f>
        <v>Loja - Sector Ciudadela Celi Román - Calle Benjamín Ruiz 211-60 y Calle Pereira - Ref. Junto al Edificio Alta Vista  -</v>
      </c>
      <c r="P1506" s="65" t="str">
        <f>IFERROR(__xludf.DUMMYFUNCTION("""COMPUTED_VALUE"""),"ESPONJA ANTILLUVIA DE PARABRISAS: Default Title ***")</f>
        <v>ESPONJA ANTILLUVIA DE PARABRISAS: Default Title ***</v>
      </c>
      <c r="Q1506" s="65" t="str">
        <f>IFERROR(__xludf.DUMMYFUNCTION("""COMPUTED_VALUE"""),"GINTRACOM")</f>
        <v>GINTRACOM</v>
      </c>
      <c r="R1506" s="65">
        <f>IFERROR(__xludf.DUMMYFUNCTION("""COMPUTED_VALUE"""),20.0)</f>
        <v>20</v>
      </c>
      <c r="S1506" s="65"/>
      <c r="T1506" s="65">
        <f>IFERROR(__xludf.DUMMYFUNCTION("""COMPUTED_VALUE"""),5.76)</f>
        <v>5.76</v>
      </c>
      <c r="U1506" s="65">
        <f>IFERROR(__xludf.DUMMYFUNCTION("""COMPUTED_VALUE"""),0.0)</f>
        <v>0</v>
      </c>
      <c r="V1506" s="65">
        <f>IFERROR(__xludf.DUMMYFUNCTION("""COMPUTED_VALUE"""),0.0)</f>
        <v>0</v>
      </c>
      <c r="W1506" s="65">
        <f>IFERROR(__xludf.DUMMYFUNCTION("""COMPUTED_VALUE"""),0.0)</f>
        <v>0</v>
      </c>
      <c r="X1506" s="65">
        <f>IFERROR(__xludf.DUMMYFUNCTION("""COMPUTED_VALUE"""),2.35)</f>
        <v>2.35</v>
      </c>
      <c r="Y1506" s="65">
        <f>IFERROR(__xludf.DUMMYFUNCTION("""COMPUTED_VALUE"""),2.35)</f>
        <v>2.35</v>
      </c>
      <c r="Z1506" s="65">
        <f>IFERROR(__xludf.DUMMYFUNCTION("""COMPUTED_VALUE"""),116679.0)</f>
        <v>116679</v>
      </c>
      <c r="AA1506" s="65" t="str">
        <f>IFERROR(__xludf.DUMMYFUNCTION("""COMPUTED_VALUE"""),"AMC-2738")</f>
        <v>AMC-2738</v>
      </c>
      <c r="AB1506" s="65"/>
      <c r="AC1506" s="65" t="str">
        <f>IFERROR(__xludf.DUMMYFUNCTION("""COMPUTED_VALUE"""),"ESPONJA ANTILLUVIA DE PARABRISAS")</f>
        <v>ESPONJA ANTILLUVIA DE PARABRISAS</v>
      </c>
      <c r="AD1506" s="65"/>
      <c r="AE1506" s="65">
        <f>IFERROR(__xludf.DUMMYFUNCTION("""COMPUTED_VALUE"""),1.0)</f>
        <v>1</v>
      </c>
      <c r="AF1506" s="65"/>
      <c r="AG1506" s="65"/>
      <c r="AH1506" s="65"/>
      <c r="AI1506" s="65"/>
      <c r="AJ1506" s="65"/>
      <c r="AK1506" s="65"/>
      <c r="AL1506" s="65"/>
      <c r="AM1506" s="65"/>
      <c r="AN1506" s="65"/>
      <c r="AO1506" s="65"/>
      <c r="AP1506" s="65"/>
      <c r="AQ1506" s="65"/>
      <c r="AR1506" s="65"/>
      <c r="AS1506" s="65"/>
      <c r="AT1506" s="65" t="str">
        <f>IFERROR(__xludf.DUMMYFUNCTION("""COMPUTED_VALUE"""),"SHOPIFY")</f>
        <v>SHOPIFY</v>
      </c>
      <c r="AU1506" s="65" t="str">
        <f>IFERROR(__xludf.DUMMYFUNCTION("""COMPUTED_VALUE"""),"IMPORTEX EC")</f>
        <v>IMPORTEX EC</v>
      </c>
      <c r="AV1506" s="65" t="str">
        <f>IFERROR(__xludf.DUMMYFUNCTION("""COMPUTED_VALUE"""),"6439192461356")</f>
        <v>6439192461356</v>
      </c>
      <c r="AW1506" s="65">
        <f>IFERROR(__xludf.DUMMYFUNCTION("""COMPUTED_VALUE"""),5429.0)</f>
        <v>5429</v>
      </c>
      <c r="AX1506" s="65"/>
      <c r="AY1506" s="65"/>
      <c r="AZ1506" s="65"/>
      <c r="BA1506" s="65"/>
    </row>
    <row r="1507">
      <c r="A1507" s="65" t="str">
        <f>IFERROR(__xludf.DUMMYFUNCTION("""COMPUTED_VALUE"""),"27-03-2026")</f>
        <v>27-03-2026</v>
      </c>
      <c r="B1507" s="65">
        <f>IFERROR(__xludf.DUMMYFUNCTION("""COMPUTED_VALUE"""),4244555.0)</f>
        <v>4244555</v>
      </c>
      <c r="C1507" s="65" t="str">
        <f>IFERROR(__xludf.DUMMYFUNCTION("""COMPUTED_VALUE"""),"19:06")</f>
        <v>19:06</v>
      </c>
      <c r="D1507" s="65" t="str">
        <f>IFERROR(__xludf.DUMMYFUNCTION("""COMPUTED_VALUE"""),"22-01-2026")</f>
        <v>22-01-2026</v>
      </c>
      <c r="E1507" s="65" t="str">
        <f>IFERROR(__xludf.DUMMYFUNCTION("""COMPUTED_VALUE"""),"Danny Buñay")</f>
        <v>Danny Buñay</v>
      </c>
      <c r="F1507" s="65" t="str">
        <f>IFERROR(__xludf.DUMMYFUNCTION("""COMPUTED_VALUE"""),"986635718")</f>
        <v>986635718</v>
      </c>
      <c r="G1507" s="65"/>
      <c r="H1507" s="65"/>
      <c r="I1507" s="65"/>
      <c r="J1507" s="65"/>
      <c r="K1507" s="65" t="str">
        <f>IFERROR(__xludf.DUMMYFUNCTION("""COMPUTED_VALUE"""),"CANCELADO")</f>
        <v>CANCELADO</v>
      </c>
      <c r="L1507" s="65" t="str">
        <f>IFERROR(__xludf.DUMMYFUNCTION("""COMPUTED_VALUE"""),"CON RECAUDO")</f>
        <v>CON RECAUDO</v>
      </c>
      <c r="M1507" s="65" t="str">
        <f>IFERROR(__xludf.DUMMYFUNCTION("""COMPUTED_VALUE"""),"ESMERALDAS")</f>
        <v>ESMERALDAS</v>
      </c>
      <c r="N1507" s="65" t="str">
        <f>IFERROR(__xludf.DUMMYFUNCTION("""COMPUTED_VALUE"""),"BORBON")</f>
        <v>BORBON</v>
      </c>
      <c r="O1507" s="65" t="str">
        <f>IFERROR(__xludf.DUMMYFUNCTION("""COMPUTED_VALUE"""),"Calle Río Verde y Concepción Humberto Ovando - Solar diecisiete")</f>
        <v>Calle Río Verde y Concepción Humberto Ovando - Solar diecisiete</v>
      </c>
      <c r="P1507" s="65" t="str">
        <f>IFERROR(__xludf.DUMMYFUNCTION("""COMPUTED_VALUE"""),"(SERVIENTREGA) CS: BORBON_PRINCIPAL / HUMBERTO OBANDO SOLAR 17 Y RIO VERDE")</f>
        <v>(SERVIENTREGA) CS: BORBON_PRINCIPAL / HUMBERTO OBANDO SOLAR 17 Y RIO VERDE</v>
      </c>
      <c r="Q1507" s="65" t="str">
        <f>IFERROR(__xludf.DUMMYFUNCTION("""COMPUTED_VALUE"""),"SERVIENTREGA")</f>
        <v>SERVIENTREGA</v>
      </c>
      <c r="R1507" s="65">
        <f>IFERROR(__xludf.DUMMYFUNCTION("""COMPUTED_VALUE"""),20.0)</f>
        <v>20</v>
      </c>
      <c r="S1507" s="65"/>
      <c r="T1507" s="65">
        <f>IFERROR(__xludf.DUMMYFUNCTION("""COMPUTED_VALUE"""),7.67)</f>
        <v>7.67</v>
      </c>
      <c r="U1507" s="65">
        <f>IFERROR(__xludf.DUMMYFUNCTION("""COMPUTED_VALUE"""),0.0)</f>
        <v>0</v>
      </c>
      <c r="V1507" s="65">
        <f>IFERROR(__xludf.DUMMYFUNCTION("""COMPUTED_VALUE"""),0.0)</f>
        <v>0</v>
      </c>
      <c r="W1507" s="65">
        <f>IFERROR(__xludf.DUMMYFUNCTION("""COMPUTED_VALUE"""),0.0)</f>
        <v>0</v>
      </c>
      <c r="X1507" s="65">
        <f>IFERROR(__xludf.DUMMYFUNCTION("""COMPUTED_VALUE"""),2.35)</f>
        <v>2.35</v>
      </c>
      <c r="Y1507" s="65">
        <f>IFERROR(__xludf.DUMMYFUNCTION("""COMPUTED_VALUE"""),2.35)</f>
        <v>2.35</v>
      </c>
      <c r="Z1507" s="65">
        <f>IFERROR(__xludf.DUMMYFUNCTION("""COMPUTED_VALUE"""),116679.0)</f>
        <v>116679</v>
      </c>
      <c r="AA1507" s="65" t="str">
        <f>IFERROR(__xludf.DUMMYFUNCTION("""COMPUTED_VALUE"""),"AMC-2738")</f>
        <v>AMC-2738</v>
      </c>
      <c r="AB1507" s="65"/>
      <c r="AC1507" s="65" t="str">
        <f>IFERROR(__xludf.DUMMYFUNCTION("""COMPUTED_VALUE"""),"ESPONJA ANTILLUVIA DE PARABRISAS")</f>
        <v>ESPONJA ANTILLUVIA DE PARABRISAS</v>
      </c>
      <c r="AD1507" s="65"/>
      <c r="AE1507" s="65">
        <f>IFERROR(__xludf.DUMMYFUNCTION("""COMPUTED_VALUE"""),1.0)</f>
        <v>1</v>
      </c>
      <c r="AF1507" s="65"/>
      <c r="AG1507" s="65"/>
      <c r="AH1507" s="65"/>
      <c r="AI1507" s="65"/>
      <c r="AJ1507" s="65"/>
      <c r="AK1507" s="65"/>
      <c r="AL1507" s="65"/>
      <c r="AM1507" s="65"/>
      <c r="AN1507" s="65"/>
      <c r="AO1507" s="65"/>
      <c r="AP1507" s="65"/>
      <c r="AQ1507" s="65"/>
      <c r="AR1507" s="65"/>
      <c r="AS1507" s="65"/>
      <c r="AT1507" s="65" t="str">
        <f>IFERROR(__xludf.DUMMYFUNCTION("""COMPUTED_VALUE"""),"SHOPIFY")</f>
        <v>SHOPIFY</v>
      </c>
      <c r="AU1507" s="65" t="str">
        <f>IFERROR(__xludf.DUMMYFUNCTION("""COMPUTED_VALUE"""),"IMPORTEX EC")</f>
        <v>IMPORTEX EC</v>
      </c>
      <c r="AV1507" s="65" t="str">
        <f>IFERROR(__xludf.DUMMYFUNCTION("""COMPUTED_VALUE"""),"6439140130860")</f>
        <v>6439140130860</v>
      </c>
      <c r="AW1507" s="65">
        <f>IFERROR(__xludf.DUMMYFUNCTION("""COMPUTED_VALUE"""),5428.0)</f>
        <v>5428</v>
      </c>
      <c r="AX1507" s="65"/>
      <c r="AY1507" s="65"/>
      <c r="AZ1507" s="65"/>
      <c r="BA1507" s="65"/>
    </row>
    <row r="1508">
      <c r="A1508" s="65" t="str">
        <f>IFERROR(__xludf.DUMMYFUNCTION("""COMPUTED_VALUE"""),"27-03-2026")</f>
        <v>27-03-2026</v>
      </c>
      <c r="B1508" s="65">
        <f>IFERROR(__xludf.DUMMYFUNCTION("""COMPUTED_VALUE"""),4244542.0)</f>
        <v>4244542</v>
      </c>
      <c r="C1508" s="65" t="str">
        <f>IFERROR(__xludf.DUMMYFUNCTION("""COMPUTED_VALUE"""),"19:05")</f>
        <v>19:05</v>
      </c>
      <c r="D1508" s="65" t="str">
        <f>IFERROR(__xludf.DUMMYFUNCTION("""COMPUTED_VALUE"""),"22-01-2026")</f>
        <v>22-01-2026</v>
      </c>
      <c r="E1508" s="65" t="str">
        <f>IFERROR(__xludf.DUMMYFUNCTION("""COMPUTED_VALUE"""),"Alex Fernando Rodriguez Felix")</f>
        <v>Alex Fernando Rodriguez Felix</v>
      </c>
      <c r="F1508" s="65" t="str">
        <f>IFERROR(__xludf.DUMMYFUNCTION("""COMPUTED_VALUE"""),"999043922")</f>
        <v>999043922</v>
      </c>
      <c r="G1508" s="65" t="str">
        <f>IFERROR(__xludf.DUMMYFUNCTION("""COMPUTED_VALUE"""),"alex.rodriguez45@hotmin.con")</f>
        <v>alex.rodriguez45@hotmin.con</v>
      </c>
      <c r="H1508" s="65"/>
      <c r="I1508" s="65"/>
      <c r="J1508" s="65" t="str">
        <f>IFERROR(__xludf.DUMMYFUNCTION("""COMPUTED_VALUE"""),"D001254550")</f>
        <v>D001254550</v>
      </c>
      <c r="K1508" s="65" t="str">
        <f>IFERROR(__xludf.DUMMYFUNCTION("""COMPUTED_VALUE"""),"DEVOLUCION")</f>
        <v>DEVOLUCION</v>
      </c>
      <c r="L1508" s="65" t="str">
        <f>IFERROR(__xludf.DUMMYFUNCTION("""COMPUTED_VALUE"""),"CON RECAUDO")</f>
        <v>CON RECAUDO</v>
      </c>
      <c r="M1508" s="65" t="str">
        <f>IFERROR(__xludf.DUMMYFUNCTION("""COMPUTED_VALUE"""),"TUNGURAHUA")</f>
        <v>TUNGURAHUA</v>
      </c>
      <c r="N1508" s="65" t="str">
        <f>IFERROR(__xludf.DUMMYFUNCTION("""COMPUTED_VALUE"""),"AMBATO")</f>
        <v>AMBATO</v>
      </c>
      <c r="O1508" s="65" t="str">
        <f>IFERROR(__xludf.DUMMYFUNCTION("""COMPUTED_VALUE"""),"Inbabura y Maynaloa Peluquería canina -")</f>
        <v>Inbabura y Maynaloa Peluquería canina -</v>
      </c>
      <c r="P1508" s="65"/>
      <c r="Q1508" s="65" t="str">
        <f>IFERROR(__xludf.DUMMYFUNCTION("""COMPUTED_VALUE"""),"GINTRACOM")</f>
        <v>GINTRACOM</v>
      </c>
      <c r="R1508" s="65">
        <f>IFERROR(__xludf.DUMMYFUNCTION("""COMPUTED_VALUE"""),25.0)</f>
        <v>25</v>
      </c>
      <c r="S1508" s="65"/>
      <c r="T1508" s="65">
        <f>IFERROR(__xludf.DUMMYFUNCTION("""COMPUTED_VALUE"""),5.96)</f>
        <v>5.96</v>
      </c>
      <c r="U1508" s="65">
        <f>IFERROR(__xludf.DUMMYFUNCTION("""COMPUTED_VALUE"""),0.0)</f>
        <v>0</v>
      </c>
      <c r="V1508" s="65">
        <f>IFERROR(__xludf.DUMMYFUNCTION("""COMPUTED_VALUE"""),0.0)</f>
        <v>0</v>
      </c>
      <c r="W1508" s="65">
        <f>IFERROR(__xludf.DUMMYFUNCTION("""COMPUTED_VALUE"""),0.0)</f>
        <v>0</v>
      </c>
      <c r="X1508" s="65">
        <f>IFERROR(__xludf.DUMMYFUNCTION("""COMPUTED_VALUE"""),2.35)</f>
        <v>2.35</v>
      </c>
      <c r="Y1508" s="65">
        <f>IFERROR(__xludf.DUMMYFUNCTION("""COMPUTED_VALUE"""),4.7)</f>
        <v>4.7</v>
      </c>
      <c r="Z1508" s="65">
        <f>IFERROR(__xludf.DUMMYFUNCTION("""COMPUTED_VALUE"""),116679.0)</f>
        <v>116679</v>
      </c>
      <c r="AA1508" s="65" t="str">
        <f>IFERROR(__xludf.DUMMYFUNCTION("""COMPUTED_VALUE"""),"AMC-2738")</f>
        <v>AMC-2738</v>
      </c>
      <c r="AB1508" s="65"/>
      <c r="AC1508" s="65" t="str">
        <f>IFERROR(__xludf.DUMMYFUNCTION("""COMPUTED_VALUE"""),"ESPONJA ANTILLUVIA DE PARABRISAS")</f>
        <v>ESPONJA ANTILLUVIA DE PARABRISAS</v>
      </c>
      <c r="AD1508" s="65"/>
      <c r="AE1508" s="65">
        <f>IFERROR(__xludf.DUMMYFUNCTION("""COMPUTED_VALUE"""),2.0)</f>
        <v>2</v>
      </c>
      <c r="AF1508" s="65" t="str">
        <f>IFERROR(__xludf.DUMMYFUNCTION("""COMPUTED_VALUE"""),"DESTINATARIO NO CONTESTA LLAMADAS NI WHATSAPP")</f>
        <v>DESTINATARIO NO CONTESTA LLAMADAS NI WHATSAPP</v>
      </c>
      <c r="AG1508" s="65" t="str">
        <f>IFERROR(__xludf.DUMMYFUNCTION("""COMPUTED_VALUE"""),"NO")</f>
        <v>NO</v>
      </c>
      <c r="AH1508" s="65" t="str">
        <f>IFERROR(__xludf.DUMMYFUNCTION("""COMPUTED_VALUE"""),"18:21")</f>
        <v>18:21</v>
      </c>
      <c r="AI1508" s="65" t="str">
        <f>IFERROR(__xludf.DUMMYFUNCTION("""COMPUTED_VALUE"""),"02-02-2026")</f>
        <v>02-02-2026</v>
      </c>
      <c r="AJ1508" s="65"/>
      <c r="AK1508" s="65"/>
      <c r="AL1508" s="65"/>
      <c r="AM1508" s="65"/>
      <c r="AN1508" s="65" t="str">
        <f>IFERROR(__xludf.DUMMYFUNCTION("""COMPUTED_VALUE"""),"15:47")</f>
        <v>15:47</v>
      </c>
      <c r="AO1508" s="65" t="str">
        <f>IFERROR(__xludf.DUMMYFUNCTION("""COMPUTED_VALUE"""),"02-03-2026")</f>
        <v>02-03-2026</v>
      </c>
      <c r="AP1508" s="65" t="str">
        <f>IFERROR(__xludf.DUMMYFUNCTION("""COMPUTED_VALUE"""),"DEVOLUCIÓN ENTREGADA A ORIGEN")</f>
        <v>DEVOLUCIÓN ENTREGADA A ORIGEN</v>
      </c>
      <c r="AQ1508" s="65" t="str">
        <f>IFERROR(__xludf.DUMMYFUNCTION("""COMPUTED_VALUE"""),"DEVOLUCIÓN ENTREGADA A ORIGEN")</f>
        <v>DEVOLUCIÓN ENTREGADA A ORIGEN</v>
      </c>
      <c r="AR1508" s="65"/>
      <c r="AS1508" s="65"/>
      <c r="AT1508" s="65" t="str">
        <f>IFERROR(__xludf.DUMMYFUNCTION("""COMPUTED_VALUE"""),"SHOPIFY")</f>
        <v>SHOPIFY</v>
      </c>
      <c r="AU1508" s="65" t="str">
        <f>IFERROR(__xludf.DUMMYFUNCTION("""COMPUTED_VALUE"""),"IMPORTEX EC")</f>
        <v>IMPORTEX EC</v>
      </c>
      <c r="AV1508" s="65" t="str">
        <f>IFERROR(__xludf.DUMMYFUNCTION("""COMPUTED_VALUE"""),"6439137083436")</f>
        <v>6439137083436</v>
      </c>
      <c r="AW1508" s="65">
        <f>IFERROR(__xludf.DUMMYFUNCTION("""COMPUTED_VALUE"""),5427.0)</f>
        <v>5427</v>
      </c>
      <c r="AX1508" s="65"/>
      <c r="AY1508" s="65" t="str">
        <f>IFERROR(__xludf.DUMMYFUNCTION("""COMPUTED_VALUE"""),"23/01/2026")</f>
        <v>23/01/2026</v>
      </c>
      <c r="AZ1508" s="65"/>
      <c r="BA1508" s="65"/>
    </row>
    <row r="1509">
      <c r="A1509" s="65" t="str">
        <f>IFERROR(__xludf.DUMMYFUNCTION("""COMPUTED_VALUE"""),"27-03-2026")</f>
        <v>27-03-2026</v>
      </c>
      <c r="B1509" s="65">
        <f>IFERROR(__xludf.DUMMYFUNCTION("""COMPUTED_VALUE"""),4242970.0)</f>
        <v>4242970</v>
      </c>
      <c r="C1509" s="65" t="str">
        <f>IFERROR(__xludf.DUMMYFUNCTION("""COMPUTED_VALUE"""),"16:29")</f>
        <v>16:29</v>
      </c>
      <c r="D1509" s="65" t="str">
        <f>IFERROR(__xludf.DUMMYFUNCTION("""COMPUTED_VALUE"""),"22-01-2026")</f>
        <v>22-01-2026</v>
      </c>
      <c r="E1509" s="65" t="str">
        <f>IFERROR(__xludf.DUMMYFUNCTION("""COMPUTED_VALUE"""),"Edison Andrade")</f>
        <v>Edison Andrade</v>
      </c>
      <c r="F1509" s="65" t="str">
        <f>IFERROR(__xludf.DUMMYFUNCTION("""COMPUTED_VALUE"""),"997940967")</f>
        <v>997940967</v>
      </c>
      <c r="G1509" s="65" t="str">
        <f>IFERROR(__xludf.DUMMYFUNCTION("""COMPUTED_VALUE"""),"edisonandrade73@hotmail.com")</f>
        <v>edisonandrade73@hotmail.com</v>
      </c>
      <c r="H1509" s="65"/>
      <c r="I1509" s="65"/>
      <c r="J1509" s="65" t="str">
        <f>IFERROR(__xludf.DUMMYFUNCTION("""COMPUTED_VALUE"""),"D001254647")</f>
        <v>D001254647</v>
      </c>
      <c r="K1509" s="65" t="str">
        <f>IFERROR(__xludf.DUMMYFUNCTION("""COMPUTED_VALUE"""),"ENTREGADO")</f>
        <v>ENTREGADO</v>
      </c>
      <c r="L1509" s="65" t="str">
        <f>IFERROR(__xludf.DUMMYFUNCTION("""COMPUTED_VALUE"""),"CON RECAUDO")</f>
        <v>CON RECAUDO</v>
      </c>
      <c r="M1509" s="65" t="str">
        <f>IFERROR(__xludf.DUMMYFUNCTION("""COMPUTED_VALUE"""),"CAÑAR")</f>
        <v>CAÑAR</v>
      </c>
      <c r="N1509" s="65" t="str">
        <f>IFERROR(__xludf.DUMMYFUNCTION("""COMPUTED_VALUE"""),"LA TRONCAL")</f>
        <v>LA TRONCAL</v>
      </c>
      <c r="O1509" s="65" t="str">
        <f>IFERROR(__xludf.DUMMYFUNCTION("""COMPUTED_VALUE"""),"Av 25 de Agosto Cooperativa LUZ de América Frente bloquera fernandez -")</f>
        <v>Av 25 de Agosto Cooperativa LUZ de América Frente bloquera fernandez -</v>
      </c>
      <c r="P1509" s="65"/>
      <c r="Q1509" s="65" t="str">
        <f>IFERROR(__xludf.DUMMYFUNCTION("""COMPUTED_VALUE"""),"GINTRACOM")</f>
        <v>GINTRACOM</v>
      </c>
      <c r="R1509" s="65">
        <f>IFERROR(__xludf.DUMMYFUNCTION("""COMPUTED_VALUE"""),20.0)</f>
        <v>20</v>
      </c>
      <c r="S1509" s="65">
        <f>IFERROR(__xludf.DUMMYFUNCTION("""COMPUTED_VALUE"""),11.89)</f>
        <v>11.89</v>
      </c>
      <c r="T1509" s="65">
        <f>IFERROR(__xludf.DUMMYFUNCTION("""COMPUTED_VALUE"""),5.76)</f>
        <v>5.76</v>
      </c>
      <c r="U1509" s="65">
        <f>IFERROR(__xludf.DUMMYFUNCTION("""COMPUTED_VALUE"""),0.0)</f>
        <v>0</v>
      </c>
      <c r="V1509" s="65">
        <f>IFERROR(__xludf.DUMMYFUNCTION("""COMPUTED_VALUE"""),0.0)</f>
        <v>0</v>
      </c>
      <c r="W1509" s="65">
        <f>IFERROR(__xludf.DUMMYFUNCTION("""COMPUTED_VALUE"""),0.0)</f>
        <v>0</v>
      </c>
      <c r="X1509" s="65">
        <f>IFERROR(__xludf.DUMMYFUNCTION("""COMPUTED_VALUE"""),2.35)</f>
        <v>2.35</v>
      </c>
      <c r="Y1509" s="65">
        <f>IFERROR(__xludf.DUMMYFUNCTION("""COMPUTED_VALUE"""),2.35)</f>
        <v>2.35</v>
      </c>
      <c r="Z1509" s="65">
        <f>IFERROR(__xludf.DUMMYFUNCTION("""COMPUTED_VALUE"""),116679.0)</f>
        <v>116679</v>
      </c>
      <c r="AA1509" s="65" t="str">
        <f>IFERROR(__xludf.DUMMYFUNCTION("""COMPUTED_VALUE"""),"AMC-2738")</f>
        <v>AMC-2738</v>
      </c>
      <c r="AB1509" s="65"/>
      <c r="AC1509" s="65" t="str">
        <f>IFERROR(__xludf.DUMMYFUNCTION("""COMPUTED_VALUE"""),"ESPONJA ANTILLUVIA DE PARABRISAS")</f>
        <v>ESPONJA ANTILLUVIA DE PARABRISAS</v>
      </c>
      <c r="AD1509" s="65"/>
      <c r="AE1509" s="65">
        <f>IFERROR(__xludf.DUMMYFUNCTION("""COMPUTED_VALUE"""),1.0)</f>
        <v>1</v>
      </c>
      <c r="AF1509" s="65"/>
      <c r="AG1509" s="65"/>
      <c r="AH1509" s="65"/>
      <c r="AI1509" s="65"/>
      <c r="AJ1509" s="65"/>
      <c r="AK1509" s="65"/>
      <c r="AL1509" s="65"/>
      <c r="AM1509" s="65"/>
      <c r="AN1509" s="65" t="str">
        <f>IFERROR(__xludf.DUMMYFUNCTION("""COMPUTED_VALUE"""),"16:53")</f>
        <v>16:53</v>
      </c>
      <c r="AO1509" s="65" t="str">
        <f>IFERROR(__xludf.DUMMYFUNCTION("""COMPUTED_VALUE"""),"26-01-2026")</f>
        <v>26-01-2026</v>
      </c>
      <c r="AP1509" s="65" t="str">
        <f>IFERROR(__xludf.DUMMYFUNCTION("""COMPUTED_VALUE"""),"ENTREGADA GINTRACOM")</f>
        <v>ENTREGADA GINTRACOM</v>
      </c>
      <c r="AQ1509" s="65" t="str">
        <f>IFERROR(__xludf.DUMMYFUNCTION("""COMPUTED_VALUE"""),"ENTREGADA GINTRACOM")</f>
        <v>ENTREGADA GINTRACOM</v>
      </c>
      <c r="AR1509" s="65"/>
      <c r="AS1509" s="65"/>
      <c r="AT1509" s="65" t="str">
        <f>IFERROR(__xludf.DUMMYFUNCTION("""COMPUTED_VALUE"""),"SHOPIFY")</f>
        <v>SHOPIFY</v>
      </c>
      <c r="AU1509" s="65" t="str">
        <f>IFERROR(__xludf.DUMMYFUNCTION("""COMPUTED_VALUE"""),"IMPORTEX EC")</f>
        <v>IMPORTEX EC</v>
      </c>
      <c r="AV1509" s="65" t="str">
        <f>IFERROR(__xludf.DUMMYFUNCTION("""COMPUTED_VALUE"""),"6438811435052")</f>
        <v>6438811435052</v>
      </c>
      <c r="AW1509" s="65">
        <f>IFERROR(__xludf.DUMMYFUNCTION("""COMPUTED_VALUE"""),5426.0)</f>
        <v>5426</v>
      </c>
      <c r="AX1509" s="65"/>
      <c r="AY1509" s="65" t="str">
        <f>IFERROR(__xludf.DUMMYFUNCTION("""COMPUTED_VALUE"""),"23/01/2026")</f>
        <v>23/01/2026</v>
      </c>
      <c r="AZ1509" s="65"/>
      <c r="BA1509" s="65"/>
    </row>
    <row r="1510">
      <c r="A1510" s="65" t="str">
        <f>IFERROR(__xludf.DUMMYFUNCTION("""COMPUTED_VALUE"""),"27-03-2026")</f>
        <v>27-03-2026</v>
      </c>
      <c r="B1510" s="65">
        <f>IFERROR(__xludf.DUMMYFUNCTION("""COMPUTED_VALUE"""),4242796.0)</f>
        <v>4242796</v>
      </c>
      <c r="C1510" s="65" t="str">
        <f>IFERROR(__xludf.DUMMYFUNCTION("""COMPUTED_VALUE"""),"16:12")</f>
        <v>16:12</v>
      </c>
      <c r="D1510" s="65" t="str">
        <f>IFERROR(__xludf.DUMMYFUNCTION("""COMPUTED_VALUE"""),"22-01-2026")</f>
        <v>22-01-2026</v>
      </c>
      <c r="E1510" s="65" t="str">
        <f>IFERROR(__xludf.DUMMYFUNCTION("""COMPUTED_VALUE"""),"Félix Roberts")</f>
        <v>Félix Roberts</v>
      </c>
      <c r="F1510" s="65" t="str">
        <f>IFERROR(__xludf.DUMMYFUNCTION("""COMPUTED_VALUE"""),"985961683")</f>
        <v>985961683</v>
      </c>
      <c r="G1510" s="65"/>
      <c r="H1510" s="65"/>
      <c r="I1510" s="65"/>
      <c r="J1510" s="65"/>
      <c r="K1510" s="65" t="str">
        <f>IFERROR(__xludf.DUMMYFUNCTION("""COMPUTED_VALUE"""),"CANCELADO")</f>
        <v>CANCELADO</v>
      </c>
      <c r="L1510" s="65" t="str">
        <f>IFERROR(__xludf.DUMMYFUNCTION("""COMPUTED_VALUE"""),"CON RECAUDO")</f>
        <v>CON RECAUDO</v>
      </c>
      <c r="M1510" s="65" t="str">
        <f>IFERROR(__xludf.DUMMYFUNCTION("""COMPUTED_VALUE"""),"LOS RIOS")</f>
        <v>LOS RIOS</v>
      </c>
      <c r="N1510" s="65" t="str">
        <f>IFERROR(__xludf.DUMMYFUNCTION("""COMPUTED_VALUE"""),"VENTANAS")</f>
        <v>VENTANAS</v>
      </c>
      <c r="O1510" s="65" t="str">
        <f>IFERROR(__xludf.DUMMYFUNCTION("""COMPUTED_VALUE"""),"Sector 20 de noviembre, calle alba bermeo alarcon y demetrio aguilera")</f>
        <v>Sector 20 de noviembre, calle alba bermeo alarcon y demetrio aguilera</v>
      </c>
      <c r="P1510" s="65"/>
      <c r="Q1510" s="65" t="str">
        <f>IFERROR(__xludf.DUMMYFUNCTION("""COMPUTED_VALUE"""),"GINTRACOM")</f>
        <v>GINTRACOM</v>
      </c>
      <c r="R1510" s="65">
        <f>IFERROR(__xludf.DUMMYFUNCTION("""COMPUTED_VALUE"""),70.0)</f>
        <v>70</v>
      </c>
      <c r="S1510" s="65"/>
      <c r="T1510" s="65">
        <f>IFERROR(__xludf.DUMMYFUNCTION("""COMPUTED_VALUE"""),7.77)</f>
        <v>7.77</v>
      </c>
      <c r="U1510" s="65">
        <f>IFERROR(__xludf.DUMMYFUNCTION("""COMPUTED_VALUE"""),0.0)</f>
        <v>0</v>
      </c>
      <c r="V1510" s="65">
        <f>IFERROR(__xludf.DUMMYFUNCTION("""COMPUTED_VALUE"""),0.0)</f>
        <v>0</v>
      </c>
      <c r="W1510" s="65">
        <f>IFERROR(__xludf.DUMMYFUNCTION("""COMPUTED_VALUE"""),0.0)</f>
        <v>0</v>
      </c>
      <c r="X1510" s="65">
        <f>IFERROR(__xludf.DUMMYFUNCTION("""COMPUTED_VALUE"""),37.0)</f>
        <v>37</v>
      </c>
      <c r="Y1510" s="65">
        <f>IFERROR(__xludf.DUMMYFUNCTION("""COMPUTED_VALUE"""),37.0)</f>
        <v>37</v>
      </c>
      <c r="Z1510" s="65">
        <f>IFERROR(__xludf.DUMMYFUNCTION("""COMPUTED_VALUE"""),118147.0)</f>
        <v>118147</v>
      </c>
      <c r="AA1510" s="65" t="str">
        <f>IFERROR(__xludf.DUMMYFUNCTION("""COMPUTED_VALUE"""),"1000000000")</f>
        <v>1000000000</v>
      </c>
      <c r="AB1510" s="65"/>
      <c r="AC1510" s="65" t="str">
        <f>IFERROR(__xludf.DUMMYFUNCTION("""COMPUTED_VALUE"""),"PARLANTE BOOMBOX3")</f>
        <v>PARLANTE BOOMBOX3</v>
      </c>
      <c r="AD1510" s="65"/>
      <c r="AE1510" s="65">
        <f>IFERROR(__xludf.DUMMYFUNCTION("""COMPUTED_VALUE"""),1.0)</f>
        <v>1</v>
      </c>
      <c r="AF1510" s="65"/>
      <c r="AG1510" s="65"/>
      <c r="AH1510" s="65"/>
      <c r="AI1510" s="65"/>
      <c r="AJ1510" s="65"/>
      <c r="AK1510" s="65"/>
      <c r="AL1510" s="65"/>
      <c r="AM1510" s="65"/>
      <c r="AN1510" s="65"/>
      <c r="AO1510" s="65"/>
      <c r="AP1510" s="65"/>
      <c r="AQ1510" s="65"/>
      <c r="AR1510" s="65"/>
      <c r="AS1510" s="65"/>
      <c r="AT1510" s="65"/>
      <c r="AU1510" s="65"/>
      <c r="AV1510" s="65"/>
      <c r="AW1510" s="65"/>
      <c r="AX1510" s="65"/>
      <c r="AY1510" s="65"/>
      <c r="AZ1510" s="65"/>
      <c r="BA1510" s="65"/>
    </row>
    <row r="1511">
      <c r="A1511" s="65" t="str">
        <f>IFERROR(__xludf.DUMMYFUNCTION("""COMPUTED_VALUE"""),"27-03-2026")</f>
        <v>27-03-2026</v>
      </c>
      <c r="B1511" s="65">
        <f>IFERROR(__xludf.DUMMYFUNCTION("""COMPUTED_VALUE"""),4242335.0)</f>
        <v>4242335</v>
      </c>
      <c r="C1511" s="65" t="str">
        <f>IFERROR(__xludf.DUMMYFUNCTION("""COMPUTED_VALUE"""),"15:38")</f>
        <v>15:38</v>
      </c>
      <c r="D1511" s="65" t="str">
        <f>IFERROR(__xludf.DUMMYFUNCTION("""COMPUTED_VALUE"""),"22-01-2026")</f>
        <v>22-01-2026</v>
      </c>
      <c r="E1511" s="65" t="str">
        <f>IFERROR(__xludf.DUMMYFUNCTION("""COMPUTED_VALUE"""),"José Román")</f>
        <v>José Román</v>
      </c>
      <c r="F1511" s="65" t="str">
        <f>IFERROR(__xludf.DUMMYFUNCTION("""COMPUTED_VALUE"""),"985712924")</f>
        <v>985712924</v>
      </c>
      <c r="G1511" s="65" t="str">
        <f>IFERROR(__xludf.DUMMYFUNCTION("""COMPUTED_VALUE"""),"pepe_roman18@hotmail.com")</f>
        <v>pepe_roman18@hotmail.com</v>
      </c>
      <c r="H1511" s="65"/>
      <c r="I1511" s="65"/>
      <c r="J1511" s="65" t="str">
        <f>IFERROR(__xludf.DUMMYFUNCTION("""COMPUTED_VALUE"""),"D001254648")</f>
        <v>D001254648</v>
      </c>
      <c r="K1511" s="65" t="str">
        <f>IFERROR(__xludf.DUMMYFUNCTION("""COMPUTED_VALUE"""),"DEVOLUCION")</f>
        <v>DEVOLUCION</v>
      </c>
      <c r="L1511" s="65" t="str">
        <f>IFERROR(__xludf.DUMMYFUNCTION("""COMPUTED_VALUE"""),"CON RECAUDO")</f>
        <v>CON RECAUDO</v>
      </c>
      <c r="M1511" s="65" t="str">
        <f>IFERROR(__xludf.DUMMYFUNCTION("""COMPUTED_VALUE"""),"MANABI")</f>
        <v>MANABI</v>
      </c>
      <c r="N1511" s="65" t="str">
        <f>IFERROR(__xludf.DUMMYFUNCTION("""COMPUTED_VALUE"""),"PORTOVIEJO")</f>
        <v>PORTOVIEJO</v>
      </c>
      <c r="O1511" s="65" t="str">
        <f>IFERROR(__xludf.DUMMYFUNCTION("""COMPUTED_VALUE"""),"Cesar Villavicencio (callejón de los Pájaros Rojos) y Calle Chile, casi a los lados del centro educativo Gabriela Mistral")</f>
        <v>Cesar Villavicencio (callejón de los Pájaros Rojos) y Calle Chile, casi a los lados del centro educativo Gabriela Mistral</v>
      </c>
      <c r="P1511" s="65"/>
      <c r="Q1511" s="65" t="str">
        <f>IFERROR(__xludf.DUMMYFUNCTION("""COMPUTED_VALUE"""),"GINTRACOM")</f>
        <v>GINTRACOM</v>
      </c>
      <c r="R1511" s="65">
        <f>IFERROR(__xludf.DUMMYFUNCTION("""COMPUTED_VALUE"""),20.0)</f>
        <v>20</v>
      </c>
      <c r="S1511" s="65"/>
      <c r="T1511" s="65">
        <f>IFERROR(__xludf.DUMMYFUNCTION("""COMPUTED_VALUE"""),5.76)</f>
        <v>5.76</v>
      </c>
      <c r="U1511" s="65">
        <f>IFERROR(__xludf.DUMMYFUNCTION("""COMPUTED_VALUE"""),0.0)</f>
        <v>0</v>
      </c>
      <c r="V1511" s="65">
        <f>IFERROR(__xludf.DUMMYFUNCTION("""COMPUTED_VALUE"""),0.0)</f>
        <v>0</v>
      </c>
      <c r="W1511" s="65">
        <f>IFERROR(__xludf.DUMMYFUNCTION("""COMPUTED_VALUE"""),0.0)</f>
        <v>0</v>
      </c>
      <c r="X1511" s="65">
        <f>IFERROR(__xludf.DUMMYFUNCTION("""COMPUTED_VALUE"""),2.35)</f>
        <v>2.35</v>
      </c>
      <c r="Y1511" s="65">
        <f>IFERROR(__xludf.DUMMYFUNCTION("""COMPUTED_VALUE"""),2.35)</f>
        <v>2.35</v>
      </c>
      <c r="Z1511" s="65">
        <f>IFERROR(__xludf.DUMMYFUNCTION("""COMPUTED_VALUE"""),116679.0)</f>
        <v>116679</v>
      </c>
      <c r="AA1511" s="65" t="str">
        <f>IFERROR(__xludf.DUMMYFUNCTION("""COMPUTED_VALUE"""),"AMC-2738")</f>
        <v>AMC-2738</v>
      </c>
      <c r="AB1511" s="65"/>
      <c r="AC1511" s="65" t="str">
        <f>IFERROR(__xludf.DUMMYFUNCTION("""COMPUTED_VALUE"""),"ESPONJA ANTILLUVIA DE PARABRISAS")</f>
        <v>ESPONJA ANTILLUVIA DE PARABRISAS</v>
      </c>
      <c r="AD1511" s="65"/>
      <c r="AE1511" s="65">
        <f>IFERROR(__xludf.DUMMYFUNCTION("""COMPUTED_VALUE"""),1.0)</f>
        <v>1</v>
      </c>
      <c r="AF1511" s="65" t="str">
        <f>IFERROR(__xludf.DUMMYFUNCTION("""COMPUTED_VALUE"""),"DESTINATARIO NO CONTESTA LLAMADAS NI WHATSAPP")</f>
        <v>DESTINATARIO NO CONTESTA LLAMADAS NI WHATSAPP</v>
      </c>
      <c r="AG1511" s="65" t="str">
        <f>IFERROR(__xludf.DUMMYFUNCTION("""COMPUTED_VALUE"""),"NO")</f>
        <v>NO</v>
      </c>
      <c r="AH1511" s="65" t="str">
        <f>IFERROR(__xludf.DUMMYFUNCTION("""COMPUTED_VALUE"""),"09:00")</f>
        <v>09:00</v>
      </c>
      <c r="AI1511" s="65" t="str">
        <f>IFERROR(__xludf.DUMMYFUNCTION("""COMPUTED_VALUE"""),"03-02-2026")</f>
        <v>03-02-2026</v>
      </c>
      <c r="AJ1511" s="65"/>
      <c r="AK1511" s="65"/>
      <c r="AL1511" s="65"/>
      <c r="AM1511" s="65"/>
      <c r="AN1511" s="65" t="str">
        <f>IFERROR(__xludf.DUMMYFUNCTION("""COMPUTED_VALUE"""),"20:50")</f>
        <v>20:50</v>
      </c>
      <c r="AO1511" s="65" t="str">
        <f>IFERROR(__xludf.DUMMYFUNCTION("""COMPUTED_VALUE"""),"13-02-2026")</f>
        <v>13-02-2026</v>
      </c>
      <c r="AP1511" s="65" t="str">
        <f>IFERROR(__xludf.DUMMYFUNCTION("""COMPUTED_VALUE"""),"DEVOLUCIÓN ENTREGADA A ORIGEN")</f>
        <v>DEVOLUCIÓN ENTREGADA A ORIGEN</v>
      </c>
      <c r="AQ1511" s="65" t="str">
        <f>IFERROR(__xludf.DUMMYFUNCTION("""COMPUTED_VALUE"""),"DEVOLUCIÓN ENTREGADA A ORIGEN")</f>
        <v>DEVOLUCIÓN ENTREGADA A ORIGEN</v>
      </c>
      <c r="AR1511" s="65"/>
      <c r="AS1511" s="65"/>
      <c r="AT1511" s="65" t="str">
        <f>IFERROR(__xludf.DUMMYFUNCTION("""COMPUTED_VALUE"""),"SHOPIFY")</f>
        <v>SHOPIFY</v>
      </c>
      <c r="AU1511" s="65" t="str">
        <f>IFERROR(__xludf.DUMMYFUNCTION("""COMPUTED_VALUE"""),"IMPORTEX EC")</f>
        <v>IMPORTEX EC</v>
      </c>
      <c r="AV1511" s="65" t="str">
        <f>IFERROR(__xludf.DUMMYFUNCTION("""COMPUTED_VALUE"""),"6438701432876")</f>
        <v>6438701432876</v>
      </c>
      <c r="AW1511" s="65">
        <f>IFERROR(__xludf.DUMMYFUNCTION("""COMPUTED_VALUE"""),5425.0)</f>
        <v>5425</v>
      </c>
      <c r="AX1511" s="65"/>
      <c r="AY1511" s="65" t="str">
        <f>IFERROR(__xludf.DUMMYFUNCTION("""COMPUTED_VALUE"""),"23/01/2026")</f>
        <v>23/01/2026</v>
      </c>
      <c r="AZ1511" s="65"/>
      <c r="BA1511" s="65"/>
    </row>
    <row r="1512">
      <c r="A1512" s="65" t="str">
        <f>IFERROR(__xludf.DUMMYFUNCTION("""COMPUTED_VALUE"""),"27-03-2026")</f>
        <v>27-03-2026</v>
      </c>
      <c r="B1512" s="65">
        <f>IFERROR(__xludf.DUMMYFUNCTION("""COMPUTED_VALUE"""),4241553.0)</f>
        <v>4241553</v>
      </c>
      <c r="C1512" s="65" t="str">
        <f>IFERROR(__xludf.DUMMYFUNCTION("""COMPUTED_VALUE"""),"14:28")</f>
        <v>14:28</v>
      </c>
      <c r="D1512" s="65" t="str">
        <f>IFERROR(__xludf.DUMMYFUNCTION("""COMPUTED_VALUE"""),"22-01-2026")</f>
        <v>22-01-2026</v>
      </c>
      <c r="E1512" s="65" t="str">
        <f>IFERROR(__xludf.DUMMYFUNCTION("""COMPUTED_VALUE"""),"Juan zenon Mera sosa")</f>
        <v>Juan zenon Mera sosa</v>
      </c>
      <c r="F1512" s="65" t="str">
        <f>IFERROR(__xludf.DUMMYFUNCTION("""COMPUTED_VALUE"""),"984206878")</f>
        <v>984206878</v>
      </c>
      <c r="G1512" s="65" t="str">
        <f>IFERROR(__xludf.DUMMYFUNCTION("""COMPUTED_VALUE"""),"Zenonmera1974@gmail.com")</f>
        <v>Zenonmera1974@gmail.com</v>
      </c>
      <c r="H1512" s="65"/>
      <c r="I1512" s="65"/>
      <c r="J1512" s="65" t="str">
        <f>IFERROR(__xludf.DUMMYFUNCTION("""COMPUTED_VALUE"""),"D001254650")</f>
        <v>D001254650</v>
      </c>
      <c r="K1512" s="65" t="str">
        <f>IFERROR(__xludf.DUMMYFUNCTION("""COMPUTED_VALUE"""),"ENTREGADO")</f>
        <v>ENTREGADO</v>
      </c>
      <c r="L1512" s="65" t="str">
        <f>IFERROR(__xludf.DUMMYFUNCTION("""COMPUTED_VALUE"""),"CON RECAUDO")</f>
        <v>CON RECAUDO</v>
      </c>
      <c r="M1512" s="65" t="str">
        <f>IFERROR(__xludf.DUMMYFUNCTION("""COMPUTED_VALUE"""),"ESMERALDAS")</f>
        <v>ESMERALDAS</v>
      </c>
      <c r="N1512" s="65" t="str">
        <f>IFERROR(__xludf.DUMMYFUNCTION("""COMPUTED_VALUE"""),"ATACAMES")</f>
        <v>ATACAMES</v>
      </c>
      <c r="O1512" s="65" t="str">
        <f>IFERROR(__xludf.DUMMYFUNCTION("""COMPUTED_VALUE"""),"Atacames parroquia (sua), calle al único subcentro de la parroquia diagonal a la derecha a dos cuadras del mismo")</f>
        <v>Atacames parroquia (sua), calle al único subcentro de la parroquia diagonal a la derecha a dos cuadras del mismo</v>
      </c>
      <c r="P1512" s="65"/>
      <c r="Q1512" s="65" t="str">
        <f>IFERROR(__xludf.DUMMYFUNCTION("""COMPUTED_VALUE"""),"GINTRACOM")</f>
        <v>GINTRACOM</v>
      </c>
      <c r="R1512" s="65">
        <f>IFERROR(__xludf.DUMMYFUNCTION("""COMPUTED_VALUE"""),30.0)</f>
        <v>30</v>
      </c>
      <c r="S1512" s="65">
        <f>IFERROR(__xludf.DUMMYFUNCTION("""COMPUTED_VALUE"""),16.22)</f>
        <v>16.22</v>
      </c>
      <c r="T1512" s="65">
        <f>IFERROR(__xludf.DUMMYFUNCTION("""COMPUTED_VALUE"""),6.73)</f>
        <v>6.73</v>
      </c>
      <c r="U1512" s="65">
        <f>IFERROR(__xludf.DUMMYFUNCTION("""COMPUTED_VALUE"""),0.0)</f>
        <v>0</v>
      </c>
      <c r="V1512" s="65">
        <f>IFERROR(__xludf.DUMMYFUNCTION("""COMPUTED_VALUE"""),0.0)</f>
        <v>0</v>
      </c>
      <c r="W1512" s="65">
        <f>IFERROR(__xludf.DUMMYFUNCTION("""COMPUTED_VALUE"""),0.0)</f>
        <v>0</v>
      </c>
      <c r="X1512" s="65">
        <f>IFERROR(__xludf.DUMMYFUNCTION("""COMPUTED_VALUE"""),2.35)</f>
        <v>2.35</v>
      </c>
      <c r="Y1512" s="65">
        <f>IFERROR(__xludf.DUMMYFUNCTION("""COMPUTED_VALUE"""),7.05)</f>
        <v>7.05</v>
      </c>
      <c r="Z1512" s="65">
        <f>IFERROR(__xludf.DUMMYFUNCTION("""COMPUTED_VALUE"""),116679.0)</f>
        <v>116679</v>
      </c>
      <c r="AA1512" s="65" t="str">
        <f>IFERROR(__xludf.DUMMYFUNCTION("""COMPUTED_VALUE"""),"AMC-2738")</f>
        <v>AMC-2738</v>
      </c>
      <c r="AB1512" s="65"/>
      <c r="AC1512" s="65" t="str">
        <f>IFERROR(__xludf.DUMMYFUNCTION("""COMPUTED_VALUE"""),"ESPONJA ANTILLUVIA DE PARABRISAS")</f>
        <v>ESPONJA ANTILLUVIA DE PARABRISAS</v>
      </c>
      <c r="AD1512" s="65"/>
      <c r="AE1512" s="65">
        <f>IFERROR(__xludf.DUMMYFUNCTION("""COMPUTED_VALUE"""),3.0)</f>
        <v>3</v>
      </c>
      <c r="AF1512" s="65"/>
      <c r="AG1512" s="65"/>
      <c r="AH1512" s="65"/>
      <c r="AI1512" s="65"/>
      <c r="AJ1512" s="65"/>
      <c r="AK1512" s="65"/>
      <c r="AL1512" s="65"/>
      <c r="AM1512" s="65"/>
      <c r="AN1512" s="65" t="str">
        <f>IFERROR(__xludf.DUMMYFUNCTION("""COMPUTED_VALUE"""),"10:30")</f>
        <v>10:30</v>
      </c>
      <c r="AO1512" s="65" t="str">
        <f>IFERROR(__xludf.DUMMYFUNCTION("""COMPUTED_VALUE"""),"27-01-2026")</f>
        <v>27-01-2026</v>
      </c>
      <c r="AP1512" s="65" t="str">
        <f>IFERROR(__xludf.DUMMYFUNCTION("""COMPUTED_VALUE"""),"ENTREGADA GINTRACOM")</f>
        <v>ENTREGADA GINTRACOM</v>
      </c>
      <c r="AQ1512" s="65" t="str">
        <f>IFERROR(__xludf.DUMMYFUNCTION("""COMPUTED_VALUE"""),"ENTREGADA GINTRACOM")</f>
        <v>ENTREGADA GINTRACOM</v>
      </c>
      <c r="AR1512" s="65"/>
      <c r="AS1512" s="65"/>
      <c r="AT1512" s="65" t="str">
        <f>IFERROR(__xludf.DUMMYFUNCTION("""COMPUTED_VALUE"""),"SHOPIFY")</f>
        <v>SHOPIFY</v>
      </c>
      <c r="AU1512" s="65" t="str">
        <f>IFERROR(__xludf.DUMMYFUNCTION("""COMPUTED_VALUE"""),"IMPORTEX EC")</f>
        <v>IMPORTEX EC</v>
      </c>
      <c r="AV1512" s="65" t="str">
        <f>IFERROR(__xludf.DUMMYFUNCTION("""COMPUTED_VALUE"""),"6438532743212")</f>
        <v>6438532743212</v>
      </c>
      <c r="AW1512" s="65">
        <f>IFERROR(__xludf.DUMMYFUNCTION("""COMPUTED_VALUE"""),5424.0)</f>
        <v>5424</v>
      </c>
      <c r="AX1512" s="65"/>
      <c r="AY1512" s="65" t="str">
        <f>IFERROR(__xludf.DUMMYFUNCTION("""COMPUTED_VALUE"""),"23/01/2026")</f>
        <v>23/01/2026</v>
      </c>
      <c r="AZ1512" s="65"/>
      <c r="BA1512" s="65"/>
    </row>
    <row r="1513">
      <c r="A1513" s="65" t="str">
        <f>IFERROR(__xludf.DUMMYFUNCTION("""COMPUTED_VALUE"""),"27-03-2026")</f>
        <v>27-03-2026</v>
      </c>
      <c r="B1513" s="65">
        <f>IFERROR(__xludf.DUMMYFUNCTION("""COMPUTED_VALUE"""),4241362.0)</f>
        <v>4241362</v>
      </c>
      <c r="C1513" s="65" t="str">
        <f>IFERROR(__xludf.DUMMYFUNCTION("""COMPUTED_VALUE"""),"14:06")</f>
        <v>14:06</v>
      </c>
      <c r="D1513" s="65" t="str">
        <f>IFERROR(__xludf.DUMMYFUNCTION("""COMPUTED_VALUE"""),"22-01-2026")</f>
        <v>22-01-2026</v>
      </c>
      <c r="E1513" s="65" t="str">
        <f>IFERROR(__xludf.DUMMYFUNCTION("""COMPUTED_VALUE"""),"Walter Chonillo")</f>
        <v>Walter Chonillo</v>
      </c>
      <c r="F1513" s="65" t="str">
        <f>IFERROR(__xludf.DUMMYFUNCTION("""COMPUTED_VALUE"""),"990023262")</f>
        <v>990023262</v>
      </c>
      <c r="G1513" s="65" t="str">
        <f>IFERROR(__xludf.DUMMYFUNCTION("""COMPUTED_VALUE"""),"dianacarolinazumbagainza@gmail.co.com")</f>
        <v>dianacarolinazumbagainza@gmail.co.com</v>
      </c>
      <c r="H1513" s="65"/>
      <c r="I1513" s="65"/>
      <c r="J1513" s="65" t="str">
        <f>IFERROR(__xludf.DUMMYFUNCTION("""COMPUTED_VALUE"""),"D001254651")</f>
        <v>D001254651</v>
      </c>
      <c r="K1513" s="65" t="str">
        <f>IFERROR(__xludf.DUMMYFUNCTION("""COMPUTED_VALUE"""),"DEVOLUCION")</f>
        <v>DEVOLUCION</v>
      </c>
      <c r="L1513" s="65" t="str">
        <f>IFERROR(__xludf.DUMMYFUNCTION("""COMPUTED_VALUE"""),"CON RECAUDO")</f>
        <v>CON RECAUDO</v>
      </c>
      <c r="M1513" s="65" t="str">
        <f>IFERROR(__xludf.DUMMYFUNCTION("""COMPUTED_VALUE"""),"GUAYAS")</f>
        <v>GUAYAS</v>
      </c>
      <c r="N1513" s="65" t="str">
        <f>IFERROR(__xludf.DUMMYFUNCTION("""COMPUTED_VALUE"""),"NARANJAL")</f>
        <v>NARANJAL</v>
      </c>
      <c r="O1513" s="65" t="str">
        <f>IFERROR(__xludf.DUMMYFUNCTION("""COMPUTED_VALUE"""),"Churute via panamericana frente de una ganaderia Churute - Taura, EC")</f>
        <v>Churute via panamericana frente de una ganaderia Churute - Taura, EC</v>
      </c>
      <c r="P1513" s="65"/>
      <c r="Q1513" s="65" t="str">
        <f>IFERROR(__xludf.DUMMYFUNCTION("""COMPUTED_VALUE"""),"GINTRACOM")</f>
        <v>GINTRACOM</v>
      </c>
      <c r="R1513" s="65">
        <f>IFERROR(__xludf.DUMMYFUNCTION("""COMPUTED_VALUE"""),20.0)</f>
        <v>20</v>
      </c>
      <c r="S1513" s="65"/>
      <c r="T1513" s="65">
        <f>IFERROR(__xludf.DUMMYFUNCTION("""COMPUTED_VALUE"""),5.76)</f>
        <v>5.76</v>
      </c>
      <c r="U1513" s="65">
        <f>IFERROR(__xludf.DUMMYFUNCTION("""COMPUTED_VALUE"""),0.0)</f>
        <v>0</v>
      </c>
      <c r="V1513" s="65">
        <f>IFERROR(__xludf.DUMMYFUNCTION("""COMPUTED_VALUE"""),0.0)</f>
        <v>0</v>
      </c>
      <c r="W1513" s="65">
        <f>IFERROR(__xludf.DUMMYFUNCTION("""COMPUTED_VALUE"""),0.0)</f>
        <v>0</v>
      </c>
      <c r="X1513" s="65">
        <f>IFERROR(__xludf.DUMMYFUNCTION("""COMPUTED_VALUE"""),2.35)</f>
        <v>2.35</v>
      </c>
      <c r="Y1513" s="65">
        <f>IFERROR(__xludf.DUMMYFUNCTION("""COMPUTED_VALUE"""),2.35)</f>
        <v>2.35</v>
      </c>
      <c r="Z1513" s="65">
        <f>IFERROR(__xludf.DUMMYFUNCTION("""COMPUTED_VALUE"""),116679.0)</f>
        <v>116679</v>
      </c>
      <c r="AA1513" s="65" t="str">
        <f>IFERROR(__xludf.DUMMYFUNCTION("""COMPUTED_VALUE"""),"AMC-2738")</f>
        <v>AMC-2738</v>
      </c>
      <c r="AB1513" s="65"/>
      <c r="AC1513" s="65" t="str">
        <f>IFERROR(__xludf.DUMMYFUNCTION("""COMPUTED_VALUE"""),"ESPONJA ANTILLUVIA DE PARABRISAS")</f>
        <v>ESPONJA ANTILLUVIA DE PARABRISAS</v>
      </c>
      <c r="AD1513" s="65"/>
      <c r="AE1513" s="65">
        <f>IFERROR(__xludf.DUMMYFUNCTION("""COMPUTED_VALUE"""),1.0)</f>
        <v>1</v>
      </c>
      <c r="AF1513" s="65" t="str">
        <f>IFERROR(__xludf.DUMMYFUNCTION("""COMPUTED_VALUE"""),"DESTINATARIO NO CONTESTA LLAMADAS NI WHATSAPP")</f>
        <v>DESTINATARIO NO CONTESTA LLAMADAS NI WHATSAPP</v>
      </c>
      <c r="AG1513" s="65" t="str">
        <f>IFERROR(__xludf.DUMMYFUNCTION("""COMPUTED_VALUE"""),"NO")</f>
        <v>NO</v>
      </c>
      <c r="AH1513" s="65" t="str">
        <f>IFERROR(__xludf.DUMMYFUNCTION("""COMPUTED_VALUE"""),"09:00")</f>
        <v>09:00</v>
      </c>
      <c r="AI1513" s="65" t="str">
        <f>IFERROR(__xludf.DUMMYFUNCTION("""COMPUTED_VALUE"""),"03-02-2026")</f>
        <v>03-02-2026</v>
      </c>
      <c r="AJ1513" s="65"/>
      <c r="AK1513" s="65"/>
      <c r="AL1513" s="65"/>
      <c r="AM1513" s="65"/>
      <c r="AN1513" s="65" t="str">
        <f>IFERROR(__xludf.DUMMYFUNCTION("""COMPUTED_VALUE"""),"20:53")</f>
        <v>20:53</v>
      </c>
      <c r="AO1513" s="65" t="str">
        <f>IFERROR(__xludf.DUMMYFUNCTION("""COMPUTED_VALUE"""),"13-02-2026")</f>
        <v>13-02-2026</v>
      </c>
      <c r="AP1513" s="65" t="str">
        <f>IFERROR(__xludf.DUMMYFUNCTION("""COMPUTED_VALUE"""),"DEVOLUCIÓN ENTREGADA A ORIGEN")</f>
        <v>DEVOLUCIÓN ENTREGADA A ORIGEN</v>
      </c>
      <c r="AQ1513" s="65" t="str">
        <f>IFERROR(__xludf.DUMMYFUNCTION("""COMPUTED_VALUE"""),"DEVOLUCIÓN ENTREGADA A ORIGEN")</f>
        <v>DEVOLUCIÓN ENTREGADA A ORIGEN</v>
      </c>
      <c r="AR1513" s="65"/>
      <c r="AS1513" s="65"/>
      <c r="AT1513" s="65" t="str">
        <f>IFERROR(__xludf.DUMMYFUNCTION("""COMPUTED_VALUE"""),"SHOPIFY")</f>
        <v>SHOPIFY</v>
      </c>
      <c r="AU1513" s="65" t="str">
        <f>IFERROR(__xludf.DUMMYFUNCTION("""COMPUTED_VALUE"""),"IMPORTEX EC")</f>
        <v>IMPORTEX EC</v>
      </c>
      <c r="AV1513" s="65" t="str">
        <f>IFERROR(__xludf.DUMMYFUNCTION("""COMPUTED_VALUE"""),"6438486802476")</f>
        <v>6438486802476</v>
      </c>
      <c r="AW1513" s="65">
        <f>IFERROR(__xludf.DUMMYFUNCTION("""COMPUTED_VALUE"""),5423.0)</f>
        <v>5423</v>
      </c>
      <c r="AX1513" s="65"/>
      <c r="AY1513" s="65" t="str">
        <f>IFERROR(__xludf.DUMMYFUNCTION("""COMPUTED_VALUE"""),"23/01/2026")</f>
        <v>23/01/2026</v>
      </c>
      <c r="AZ1513" s="65"/>
      <c r="BA1513" s="65"/>
    </row>
    <row r="1514">
      <c r="A1514" s="65" t="str">
        <f>IFERROR(__xludf.DUMMYFUNCTION("""COMPUTED_VALUE"""),"27-03-2026")</f>
        <v>27-03-2026</v>
      </c>
      <c r="B1514" s="65">
        <f>IFERROR(__xludf.DUMMYFUNCTION("""COMPUTED_VALUE"""),4240895.0)</f>
        <v>4240895</v>
      </c>
      <c r="C1514" s="65" t="str">
        <f>IFERROR(__xludf.DUMMYFUNCTION("""COMPUTED_VALUE"""),"13:28")</f>
        <v>13:28</v>
      </c>
      <c r="D1514" s="65" t="str">
        <f>IFERROR(__xludf.DUMMYFUNCTION("""COMPUTED_VALUE"""),"22-01-2026")</f>
        <v>22-01-2026</v>
      </c>
      <c r="E1514" s="65" t="str">
        <f>IFERROR(__xludf.DUMMYFUNCTION("""COMPUTED_VALUE"""),"William yepez")</f>
        <v>William yepez</v>
      </c>
      <c r="F1514" s="65" t="str">
        <f>IFERROR(__xludf.DUMMYFUNCTION("""COMPUTED_VALUE"""),"963774030")</f>
        <v>963774030</v>
      </c>
      <c r="G1514" s="65" t="str">
        <f>IFERROR(__xludf.DUMMYFUNCTION("""COMPUTED_VALUE"""),"willyepez2015@gmail.com")</f>
        <v>willyepez2015@gmail.com</v>
      </c>
      <c r="H1514" s="65"/>
      <c r="I1514" s="65"/>
      <c r="J1514" s="65" t="str">
        <f>IFERROR(__xludf.DUMMYFUNCTION("""COMPUTED_VALUE"""),"D001254661")</f>
        <v>D001254661</v>
      </c>
      <c r="K1514" s="65" t="str">
        <f>IFERROR(__xludf.DUMMYFUNCTION("""COMPUTED_VALUE"""),"ENTREGADO")</f>
        <v>ENTREGADO</v>
      </c>
      <c r="L1514" s="65" t="str">
        <f>IFERROR(__xludf.DUMMYFUNCTION("""COMPUTED_VALUE"""),"CON RECAUDO")</f>
        <v>CON RECAUDO</v>
      </c>
      <c r="M1514" s="65" t="str">
        <f>IFERROR(__xludf.DUMMYFUNCTION("""COMPUTED_VALUE"""),"PICHINCHA")</f>
        <v>PICHINCHA</v>
      </c>
      <c r="N1514" s="65" t="str">
        <f>IFERROR(__xludf.DUMMYFUNCTION("""COMPUTED_VALUE"""),"QUITO")</f>
        <v>QUITO</v>
      </c>
      <c r="O1514" s="65" t="str">
        <f>IFERROR(__xludf.DUMMYFUNCTION("""COMPUTED_VALUE"""),"Pasaje Salomón Cárdenas S8-165 y Chasqui")</f>
        <v>Pasaje Salomón Cárdenas S8-165 y Chasqui</v>
      </c>
      <c r="P1514" s="65"/>
      <c r="Q1514" s="65" t="str">
        <f>IFERROR(__xludf.DUMMYFUNCTION("""COMPUTED_VALUE"""),"GINTRACOM")</f>
        <v>GINTRACOM</v>
      </c>
      <c r="R1514" s="65">
        <f>IFERROR(__xludf.DUMMYFUNCTION("""COMPUTED_VALUE"""),25.0)</f>
        <v>25</v>
      </c>
      <c r="S1514" s="65">
        <f>IFERROR(__xludf.DUMMYFUNCTION("""COMPUTED_VALUE"""),15.95)</f>
        <v>15.95</v>
      </c>
      <c r="T1514" s="65">
        <f>IFERROR(__xludf.DUMMYFUNCTION("""COMPUTED_VALUE"""),4.35)</f>
        <v>4.35</v>
      </c>
      <c r="U1514" s="65">
        <f>IFERROR(__xludf.DUMMYFUNCTION("""COMPUTED_VALUE"""),0.0)</f>
        <v>0</v>
      </c>
      <c r="V1514" s="65">
        <f>IFERROR(__xludf.DUMMYFUNCTION("""COMPUTED_VALUE"""),0.0)</f>
        <v>0</v>
      </c>
      <c r="W1514" s="65">
        <f>IFERROR(__xludf.DUMMYFUNCTION("""COMPUTED_VALUE"""),0.0)</f>
        <v>0</v>
      </c>
      <c r="X1514" s="65">
        <f>IFERROR(__xludf.DUMMYFUNCTION("""COMPUTED_VALUE"""),2.35)</f>
        <v>2.35</v>
      </c>
      <c r="Y1514" s="65">
        <f>IFERROR(__xludf.DUMMYFUNCTION("""COMPUTED_VALUE"""),4.7)</f>
        <v>4.7</v>
      </c>
      <c r="Z1514" s="65">
        <f>IFERROR(__xludf.DUMMYFUNCTION("""COMPUTED_VALUE"""),116679.0)</f>
        <v>116679</v>
      </c>
      <c r="AA1514" s="65" t="str">
        <f>IFERROR(__xludf.DUMMYFUNCTION("""COMPUTED_VALUE"""),"AMC-2738")</f>
        <v>AMC-2738</v>
      </c>
      <c r="AB1514" s="65"/>
      <c r="AC1514" s="65" t="str">
        <f>IFERROR(__xludf.DUMMYFUNCTION("""COMPUTED_VALUE"""),"ESPONJA ANTILLUVIA DE PARABRISAS")</f>
        <v>ESPONJA ANTILLUVIA DE PARABRISAS</v>
      </c>
      <c r="AD1514" s="65"/>
      <c r="AE1514" s="65">
        <f>IFERROR(__xludf.DUMMYFUNCTION("""COMPUTED_VALUE"""),2.0)</f>
        <v>2</v>
      </c>
      <c r="AF1514" s="65"/>
      <c r="AG1514" s="65"/>
      <c r="AH1514" s="65"/>
      <c r="AI1514" s="65"/>
      <c r="AJ1514" s="65"/>
      <c r="AK1514" s="65"/>
      <c r="AL1514" s="65"/>
      <c r="AM1514" s="65"/>
      <c r="AN1514" s="65" t="str">
        <f>IFERROR(__xludf.DUMMYFUNCTION("""COMPUTED_VALUE"""),"14:28")</f>
        <v>14:28</v>
      </c>
      <c r="AO1514" s="65" t="str">
        <f>IFERROR(__xludf.DUMMYFUNCTION("""COMPUTED_VALUE"""),"26-01-2026")</f>
        <v>26-01-2026</v>
      </c>
      <c r="AP1514" s="65" t="str">
        <f>IFERROR(__xludf.DUMMYFUNCTION("""COMPUTED_VALUE"""),"ENTREGADA GINTRACOM")</f>
        <v>ENTREGADA GINTRACOM</v>
      </c>
      <c r="AQ1514" s="65" t="str">
        <f>IFERROR(__xludf.DUMMYFUNCTION("""COMPUTED_VALUE"""),"ENTREGADA GINTRACOM")</f>
        <v>ENTREGADA GINTRACOM</v>
      </c>
      <c r="AR1514" s="65"/>
      <c r="AS1514" s="65"/>
      <c r="AT1514" s="65" t="str">
        <f>IFERROR(__xludf.DUMMYFUNCTION("""COMPUTED_VALUE"""),"SHOPIFY")</f>
        <v>SHOPIFY</v>
      </c>
      <c r="AU1514" s="65" t="str">
        <f>IFERROR(__xludf.DUMMYFUNCTION("""COMPUTED_VALUE"""),"IMPORTEX EC")</f>
        <v>IMPORTEX EC</v>
      </c>
      <c r="AV1514" s="65" t="str">
        <f>IFERROR(__xludf.DUMMYFUNCTION("""COMPUTED_VALUE"""),"6438393446444")</f>
        <v>6438393446444</v>
      </c>
      <c r="AW1514" s="65">
        <f>IFERROR(__xludf.DUMMYFUNCTION("""COMPUTED_VALUE"""),5422.0)</f>
        <v>5422</v>
      </c>
      <c r="AX1514" s="65"/>
      <c r="AY1514" s="65" t="str">
        <f>IFERROR(__xludf.DUMMYFUNCTION("""COMPUTED_VALUE"""),"23/01/2026")</f>
        <v>23/01/2026</v>
      </c>
      <c r="AZ1514" s="65"/>
      <c r="BA1514" s="65"/>
    </row>
    <row r="1515">
      <c r="A1515" s="65" t="str">
        <f>IFERROR(__xludf.DUMMYFUNCTION("""COMPUTED_VALUE"""),"27-03-2026")</f>
        <v>27-03-2026</v>
      </c>
      <c r="B1515" s="65">
        <f>IFERROR(__xludf.DUMMYFUNCTION("""COMPUTED_VALUE"""),4240094.0)</f>
        <v>4240094</v>
      </c>
      <c r="C1515" s="65" t="str">
        <f>IFERROR(__xludf.DUMMYFUNCTION("""COMPUTED_VALUE"""),"12:20")</f>
        <v>12:20</v>
      </c>
      <c r="D1515" s="65" t="str">
        <f>IFERROR(__xludf.DUMMYFUNCTION("""COMPUTED_VALUE"""),"22-01-2026")</f>
        <v>22-01-2026</v>
      </c>
      <c r="E1515" s="65" t="str">
        <f>IFERROR(__xludf.DUMMYFUNCTION("""COMPUTED_VALUE"""),"Néstor David Moncayo López")</f>
        <v>Néstor David Moncayo López</v>
      </c>
      <c r="F1515" s="65" t="str">
        <f>IFERROR(__xludf.DUMMYFUNCTION("""COMPUTED_VALUE"""),"992272881")</f>
        <v>992272881</v>
      </c>
      <c r="G1515" s="65"/>
      <c r="H1515" s="65"/>
      <c r="I1515" s="65"/>
      <c r="J1515" s="65"/>
      <c r="K1515" s="65" t="str">
        <f>IFERROR(__xludf.DUMMYFUNCTION("""COMPUTED_VALUE"""),"PENDIENTE CONFIRMACION")</f>
        <v>PENDIENTE CONFIRMACION</v>
      </c>
      <c r="L1515" s="65" t="str">
        <f>IFERROR(__xludf.DUMMYFUNCTION("""COMPUTED_VALUE"""),"CON RECAUDO")</f>
        <v>CON RECAUDO</v>
      </c>
      <c r="M1515" s="65" t="str">
        <f>IFERROR(__xludf.DUMMYFUNCTION("""COMPUTED_VALUE"""),"LOJA")</f>
        <v>LOJA</v>
      </c>
      <c r="N1515" s="65" t="str">
        <f>IFERROR(__xludf.DUMMYFUNCTION("""COMPUTED_VALUE"""),"LOJA")</f>
        <v>LOJA</v>
      </c>
      <c r="O1515" s="65" t="str">
        <f>IFERROR(__xludf.DUMMYFUNCTION("""COMPUTED_VALUE"""),"Calle Cuba entre Pío Jaramillo y chile frente a muro de llantas")</f>
        <v>Calle Cuba entre Pío Jaramillo y chile frente a muro de llantas</v>
      </c>
      <c r="P1515" s="65" t="str">
        <f>IFERROR(__xludf.DUMMYFUNCTION("""COMPUTED_VALUE"""),"ESPONJA ANTILLUVIA DE PARABRISAS: Default Title ***")</f>
        <v>ESPONJA ANTILLUVIA DE PARABRISAS: Default Title ***</v>
      </c>
      <c r="Q1515" s="65" t="str">
        <f>IFERROR(__xludf.DUMMYFUNCTION("""COMPUTED_VALUE"""),"GINTRACOM")</f>
        <v>GINTRACOM</v>
      </c>
      <c r="R1515" s="65">
        <f>IFERROR(__xludf.DUMMYFUNCTION("""COMPUTED_VALUE"""),20.0)</f>
        <v>20</v>
      </c>
      <c r="S1515" s="65"/>
      <c r="T1515" s="65">
        <f>IFERROR(__xludf.DUMMYFUNCTION("""COMPUTED_VALUE"""),5.76)</f>
        <v>5.76</v>
      </c>
      <c r="U1515" s="65">
        <f>IFERROR(__xludf.DUMMYFUNCTION("""COMPUTED_VALUE"""),0.0)</f>
        <v>0</v>
      </c>
      <c r="V1515" s="65">
        <f>IFERROR(__xludf.DUMMYFUNCTION("""COMPUTED_VALUE"""),0.0)</f>
        <v>0</v>
      </c>
      <c r="W1515" s="65">
        <f>IFERROR(__xludf.DUMMYFUNCTION("""COMPUTED_VALUE"""),0.0)</f>
        <v>0</v>
      </c>
      <c r="X1515" s="65">
        <f>IFERROR(__xludf.DUMMYFUNCTION("""COMPUTED_VALUE"""),2.35)</f>
        <v>2.35</v>
      </c>
      <c r="Y1515" s="65">
        <f>IFERROR(__xludf.DUMMYFUNCTION("""COMPUTED_VALUE"""),2.35)</f>
        <v>2.35</v>
      </c>
      <c r="Z1515" s="65">
        <f>IFERROR(__xludf.DUMMYFUNCTION("""COMPUTED_VALUE"""),116679.0)</f>
        <v>116679</v>
      </c>
      <c r="AA1515" s="65" t="str">
        <f>IFERROR(__xludf.DUMMYFUNCTION("""COMPUTED_VALUE"""),"AMC-2738")</f>
        <v>AMC-2738</v>
      </c>
      <c r="AB1515" s="65"/>
      <c r="AC1515" s="65" t="str">
        <f>IFERROR(__xludf.DUMMYFUNCTION("""COMPUTED_VALUE"""),"ESPONJA ANTILLUVIA DE PARABRISAS")</f>
        <v>ESPONJA ANTILLUVIA DE PARABRISAS</v>
      </c>
      <c r="AD1515" s="65"/>
      <c r="AE1515" s="65">
        <f>IFERROR(__xludf.DUMMYFUNCTION("""COMPUTED_VALUE"""),1.0)</f>
        <v>1</v>
      </c>
      <c r="AF1515" s="65"/>
      <c r="AG1515" s="65"/>
      <c r="AH1515" s="65"/>
      <c r="AI1515" s="65"/>
      <c r="AJ1515" s="65"/>
      <c r="AK1515" s="65"/>
      <c r="AL1515" s="65"/>
      <c r="AM1515" s="65"/>
      <c r="AN1515" s="65"/>
      <c r="AO1515" s="65"/>
      <c r="AP1515" s="65"/>
      <c r="AQ1515" s="65"/>
      <c r="AR1515" s="65"/>
      <c r="AS1515" s="65"/>
      <c r="AT1515" s="65" t="str">
        <f>IFERROR(__xludf.DUMMYFUNCTION("""COMPUTED_VALUE"""),"SHOPIFY")</f>
        <v>SHOPIFY</v>
      </c>
      <c r="AU1515" s="65" t="str">
        <f>IFERROR(__xludf.DUMMYFUNCTION("""COMPUTED_VALUE"""),"IMPORTEX EC")</f>
        <v>IMPORTEX EC</v>
      </c>
      <c r="AV1515" s="65" t="str">
        <f>IFERROR(__xludf.DUMMYFUNCTION("""COMPUTED_VALUE"""),"6438234882092")</f>
        <v>6438234882092</v>
      </c>
      <c r="AW1515" s="65">
        <f>IFERROR(__xludf.DUMMYFUNCTION("""COMPUTED_VALUE"""),5421.0)</f>
        <v>5421</v>
      </c>
      <c r="AX1515" s="65"/>
      <c r="AY1515" s="65"/>
      <c r="AZ1515" s="65"/>
      <c r="BA1515" s="65"/>
    </row>
    <row r="1516">
      <c r="A1516" s="65" t="str">
        <f>IFERROR(__xludf.DUMMYFUNCTION("""COMPUTED_VALUE"""),"27-03-2026")</f>
        <v>27-03-2026</v>
      </c>
      <c r="B1516" s="65">
        <f>IFERROR(__xludf.DUMMYFUNCTION("""COMPUTED_VALUE"""),4239610.0)</f>
        <v>4239610</v>
      </c>
      <c r="C1516" s="65" t="str">
        <f>IFERROR(__xludf.DUMMYFUNCTION("""COMPUTED_VALUE"""),"11:46")</f>
        <v>11:46</v>
      </c>
      <c r="D1516" s="65" t="str">
        <f>IFERROR(__xludf.DUMMYFUNCTION("""COMPUTED_VALUE"""),"22-01-2026")</f>
        <v>22-01-2026</v>
      </c>
      <c r="E1516" s="65" t="str">
        <f>IFERROR(__xludf.DUMMYFUNCTION("""COMPUTED_VALUE"""),"Miguel maridueña Barreto")</f>
        <v>Miguel maridueña Barreto</v>
      </c>
      <c r="F1516" s="65" t="str">
        <f>IFERROR(__xludf.DUMMYFUNCTION("""COMPUTED_VALUE"""),"964099385")</f>
        <v>964099385</v>
      </c>
      <c r="G1516" s="65" t="str">
        <f>IFERROR(__xludf.DUMMYFUNCTION("""COMPUTED_VALUE"""),"miguelmariduena1@gmail.com")</f>
        <v>miguelmariduena1@gmail.com</v>
      </c>
      <c r="H1516" s="65"/>
      <c r="I1516" s="65"/>
      <c r="J1516" s="65" t="str">
        <f>IFERROR(__xludf.DUMMYFUNCTION("""COMPUTED_VALUE"""),"D001254663")</f>
        <v>D001254663</v>
      </c>
      <c r="K1516" s="65" t="str">
        <f>IFERROR(__xludf.DUMMYFUNCTION("""COMPUTED_VALUE"""),"DEVOLUCION")</f>
        <v>DEVOLUCION</v>
      </c>
      <c r="L1516" s="65" t="str">
        <f>IFERROR(__xludf.DUMMYFUNCTION("""COMPUTED_VALUE"""),"CON RECAUDO")</f>
        <v>CON RECAUDO</v>
      </c>
      <c r="M1516" s="65" t="str">
        <f>IFERROR(__xludf.DUMMYFUNCTION("""COMPUTED_VALUE"""),"GUAYAS")</f>
        <v>GUAYAS</v>
      </c>
      <c r="N1516" s="65" t="str">
        <f>IFERROR(__xludf.DUMMYFUNCTION("""COMPUTED_VALUE"""),"GUAYAQUIL")</f>
        <v>GUAYAQUIL</v>
      </c>
      <c r="O1516" s="65" t="str">
        <f>IFERROR(__xludf.DUMMYFUNCTION("""COMPUTED_VALUE"""),"Coop Juan Montalvo Pastor vera -")</f>
        <v>Coop Juan Montalvo Pastor vera -</v>
      </c>
      <c r="P1516" s="65"/>
      <c r="Q1516" s="65" t="str">
        <f>IFERROR(__xludf.DUMMYFUNCTION("""COMPUTED_VALUE"""),"GINTRACOM")</f>
        <v>GINTRACOM</v>
      </c>
      <c r="R1516" s="65">
        <f>IFERROR(__xludf.DUMMYFUNCTION("""COMPUTED_VALUE"""),20.0)</f>
        <v>20</v>
      </c>
      <c r="S1516" s="65"/>
      <c r="T1516" s="65">
        <f>IFERROR(__xludf.DUMMYFUNCTION("""COMPUTED_VALUE"""),5.76)</f>
        <v>5.76</v>
      </c>
      <c r="U1516" s="65">
        <f>IFERROR(__xludf.DUMMYFUNCTION("""COMPUTED_VALUE"""),0.0)</f>
        <v>0</v>
      </c>
      <c r="V1516" s="65">
        <f>IFERROR(__xludf.DUMMYFUNCTION("""COMPUTED_VALUE"""),0.0)</f>
        <v>0</v>
      </c>
      <c r="W1516" s="65">
        <f>IFERROR(__xludf.DUMMYFUNCTION("""COMPUTED_VALUE"""),0.0)</f>
        <v>0</v>
      </c>
      <c r="X1516" s="65">
        <f>IFERROR(__xludf.DUMMYFUNCTION("""COMPUTED_VALUE"""),2.35)</f>
        <v>2.35</v>
      </c>
      <c r="Y1516" s="65">
        <f>IFERROR(__xludf.DUMMYFUNCTION("""COMPUTED_VALUE"""),2.35)</f>
        <v>2.35</v>
      </c>
      <c r="Z1516" s="65">
        <f>IFERROR(__xludf.DUMMYFUNCTION("""COMPUTED_VALUE"""),116679.0)</f>
        <v>116679</v>
      </c>
      <c r="AA1516" s="65" t="str">
        <f>IFERROR(__xludf.DUMMYFUNCTION("""COMPUTED_VALUE"""),"AMC-2738")</f>
        <v>AMC-2738</v>
      </c>
      <c r="AB1516" s="65"/>
      <c r="AC1516" s="65" t="str">
        <f>IFERROR(__xludf.DUMMYFUNCTION("""COMPUTED_VALUE"""),"ESPONJA ANTILLUVIA DE PARABRISAS")</f>
        <v>ESPONJA ANTILLUVIA DE PARABRISAS</v>
      </c>
      <c r="AD1516" s="65"/>
      <c r="AE1516" s="65">
        <f>IFERROR(__xludf.DUMMYFUNCTION("""COMPUTED_VALUE"""),1.0)</f>
        <v>1</v>
      </c>
      <c r="AF1516" s="65" t="str">
        <f>IFERROR(__xludf.DUMMYFUNCTION("""COMPUTED_VALUE"""),"DESTINATARIO INDICA QUE NO HA COMPRADO NINGÚN PRODUCTO")</f>
        <v>DESTINATARIO INDICA QUE NO HA COMPRADO NINGÚN PRODUCTO</v>
      </c>
      <c r="AG1516" s="65" t="str">
        <f>IFERROR(__xludf.DUMMYFUNCTION("""COMPUTED_VALUE"""),"NO")</f>
        <v>NO</v>
      </c>
      <c r="AH1516" s="65" t="str">
        <f>IFERROR(__xludf.DUMMYFUNCTION("""COMPUTED_VALUE"""),"09:06")</f>
        <v>09:06</v>
      </c>
      <c r="AI1516" s="65" t="str">
        <f>IFERROR(__xludf.DUMMYFUNCTION("""COMPUTED_VALUE"""),"26-01-2026")</f>
        <v>26-01-2026</v>
      </c>
      <c r="AJ1516" s="65"/>
      <c r="AK1516" s="65"/>
      <c r="AL1516" s="65"/>
      <c r="AM1516" s="65"/>
      <c r="AN1516" s="65" t="str">
        <f>IFERROR(__xludf.DUMMYFUNCTION("""COMPUTED_VALUE"""),"20:53")</f>
        <v>20:53</v>
      </c>
      <c r="AO1516" s="65" t="str">
        <f>IFERROR(__xludf.DUMMYFUNCTION("""COMPUTED_VALUE"""),"13-02-2026")</f>
        <v>13-02-2026</v>
      </c>
      <c r="AP1516" s="65" t="str">
        <f>IFERROR(__xludf.DUMMYFUNCTION("""COMPUTED_VALUE"""),"DEVOLUCIÓN ENTREGADA A ORIGEN")</f>
        <v>DEVOLUCIÓN ENTREGADA A ORIGEN</v>
      </c>
      <c r="AQ1516" s="65" t="str">
        <f>IFERROR(__xludf.DUMMYFUNCTION("""COMPUTED_VALUE"""),"DEVOLUCIÓN ENTREGADA A ORIGEN")</f>
        <v>DEVOLUCIÓN ENTREGADA A ORIGEN</v>
      </c>
      <c r="AR1516" s="65"/>
      <c r="AS1516" s="65"/>
      <c r="AT1516" s="65" t="str">
        <f>IFERROR(__xludf.DUMMYFUNCTION("""COMPUTED_VALUE"""),"SHOPIFY")</f>
        <v>SHOPIFY</v>
      </c>
      <c r="AU1516" s="65" t="str">
        <f>IFERROR(__xludf.DUMMYFUNCTION("""COMPUTED_VALUE"""),"IMPORTEX EC")</f>
        <v>IMPORTEX EC</v>
      </c>
      <c r="AV1516" s="65" t="str">
        <f>IFERROR(__xludf.DUMMYFUNCTION("""COMPUTED_VALUE"""),"6438151585836")</f>
        <v>6438151585836</v>
      </c>
      <c r="AW1516" s="65">
        <f>IFERROR(__xludf.DUMMYFUNCTION("""COMPUTED_VALUE"""),5420.0)</f>
        <v>5420</v>
      </c>
      <c r="AX1516" s="65"/>
      <c r="AY1516" s="65" t="str">
        <f>IFERROR(__xludf.DUMMYFUNCTION("""COMPUTED_VALUE"""),"23/01/2026")</f>
        <v>23/01/2026</v>
      </c>
      <c r="AZ1516" s="65"/>
      <c r="BA1516" s="65"/>
    </row>
    <row r="1517">
      <c r="A1517" s="65" t="str">
        <f>IFERROR(__xludf.DUMMYFUNCTION("""COMPUTED_VALUE"""),"27-03-2026")</f>
        <v>27-03-2026</v>
      </c>
      <c r="B1517" s="65">
        <f>IFERROR(__xludf.DUMMYFUNCTION("""COMPUTED_VALUE"""),4238545.0)</f>
        <v>4238545</v>
      </c>
      <c r="C1517" s="65" t="str">
        <f>IFERROR(__xludf.DUMMYFUNCTION("""COMPUTED_VALUE"""),"10:24")</f>
        <v>10:24</v>
      </c>
      <c r="D1517" s="65" t="str">
        <f>IFERROR(__xludf.DUMMYFUNCTION("""COMPUTED_VALUE"""),"22-01-2026")</f>
        <v>22-01-2026</v>
      </c>
      <c r="E1517" s="65" t="str">
        <f>IFERROR(__xludf.DUMMYFUNCTION("""COMPUTED_VALUE"""),"Freddy Lasso")</f>
        <v>Freddy Lasso</v>
      </c>
      <c r="F1517" s="65" t="str">
        <f>IFERROR(__xludf.DUMMYFUNCTION("""COMPUTED_VALUE"""),"995511934")</f>
        <v>995511934</v>
      </c>
      <c r="G1517" s="65" t="str">
        <f>IFERROR(__xludf.DUMMYFUNCTION("""COMPUTED_VALUE"""),"freddy_lasso@yahoo.com")</f>
        <v>freddy_lasso@yahoo.com</v>
      </c>
      <c r="H1517" s="65"/>
      <c r="I1517" s="65"/>
      <c r="J1517" s="65" t="str">
        <f>IFERROR(__xludf.DUMMYFUNCTION("""COMPUTED_VALUE"""),"D001254666")</f>
        <v>D001254666</v>
      </c>
      <c r="K1517" s="65" t="str">
        <f>IFERROR(__xludf.DUMMYFUNCTION("""COMPUTED_VALUE"""),"ENTREGADO")</f>
        <v>ENTREGADO</v>
      </c>
      <c r="L1517" s="65" t="str">
        <f>IFERROR(__xludf.DUMMYFUNCTION("""COMPUTED_VALUE"""),"CON RECAUDO")</f>
        <v>CON RECAUDO</v>
      </c>
      <c r="M1517" s="65" t="str">
        <f>IFERROR(__xludf.DUMMYFUNCTION("""COMPUTED_VALUE"""),"PICHINCHA")</f>
        <v>PICHINCHA</v>
      </c>
      <c r="N1517" s="65" t="str">
        <f>IFERROR(__xludf.DUMMYFUNCTION("""COMPUTED_VALUE"""),"QUITO")</f>
        <v>QUITO</v>
      </c>
      <c r="O1517" s="65" t="str">
        <f>IFERROR(__xludf.DUMMYFUNCTION("""COMPUTED_VALUE"""),"Calle José de antepara Oe3-318 y Rafael Cuervo Pomadqui - Pomasqui")</f>
        <v>Calle José de antepara Oe3-318 y Rafael Cuervo Pomadqui - Pomasqui</v>
      </c>
      <c r="P1517" s="65"/>
      <c r="Q1517" s="65" t="str">
        <f>IFERROR(__xludf.DUMMYFUNCTION("""COMPUTED_VALUE"""),"GINTRACOM")</f>
        <v>GINTRACOM</v>
      </c>
      <c r="R1517" s="65">
        <f>IFERROR(__xludf.DUMMYFUNCTION("""COMPUTED_VALUE"""),20.0)</f>
        <v>20</v>
      </c>
      <c r="S1517" s="65">
        <f>IFERROR(__xludf.DUMMYFUNCTION("""COMPUTED_VALUE"""),13.5)</f>
        <v>13.5</v>
      </c>
      <c r="T1517" s="65">
        <f>IFERROR(__xludf.DUMMYFUNCTION("""COMPUTED_VALUE"""),4.15)</f>
        <v>4.15</v>
      </c>
      <c r="U1517" s="65">
        <f>IFERROR(__xludf.DUMMYFUNCTION("""COMPUTED_VALUE"""),0.0)</f>
        <v>0</v>
      </c>
      <c r="V1517" s="65">
        <f>IFERROR(__xludf.DUMMYFUNCTION("""COMPUTED_VALUE"""),0.0)</f>
        <v>0</v>
      </c>
      <c r="W1517" s="65">
        <f>IFERROR(__xludf.DUMMYFUNCTION("""COMPUTED_VALUE"""),0.0)</f>
        <v>0</v>
      </c>
      <c r="X1517" s="65">
        <f>IFERROR(__xludf.DUMMYFUNCTION("""COMPUTED_VALUE"""),2.35)</f>
        <v>2.35</v>
      </c>
      <c r="Y1517" s="65">
        <f>IFERROR(__xludf.DUMMYFUNCTION("""COMPUTED_VALUE"""),2.35)</f>
        <v>2.35</v>
      </c>
      <c r="Z1517" s="65">
        <f>IFERROR(__xludf.DUMMYFUNCTION("""COMPUTED_VALUE"""),116679.0)</f>
        <v>116679</v>
      </c>
      <c r="AA1517" s="65" t="str">
        <f>IFERROR(__xludf.DUMMYFUNCTION("""COMPUTED_VALUE"""),"AMC-2738")</f>
        <v>AMC-2738</v>
      </c>
      <c r="AB1517" s="65"/>
      <c r="AC1517" s="65" t="str">
        <f>IFERROR(__xludf.DUMMYFUNCTION("""COMPUTED_VALUE"""),"ESPONJA ANTILLUVIA DE PARABRISAS")</f>
        <v>ESPONJA ANTILLUVIA DE PARABRISAS</v>
      </c>
      <c r="AD1517" s="65"/>
      <c r="AE1517" s="65">
        <f>IFERROR(__xludf.DUMMYFUNCTION("""COMPUTED_VALUE"""),1.0)</f>
        <v>1</v>
      </c>
      <c r="AF1517" s="65"/>
      <c r="AG1517" s="65"/>
      <c r="AH1517" s="65"/>
      <c r="AI1517" s="65"/>
      <c r="AJ1517" s="65"/>
      <c r="AK1517" s="65"/>
      <c r="AL1517" s="65"/>
      <c r="AM1517" s="65"/>
      <c r="AN1517" s="65" t="str">
        <f>IFERROR(__xludf.DUMMYFUNCTION("""COMPUTED_VALUE"""),"17:31")</f>
        <v>17:31</v>
      </c>
      <c r="AO1517" s="65" t="str">
        <f>IFERROR(__xludf.DUMMYFUNCTION("""COMPUTED_VALUE"""),"26-01-2026")</f>
        <v>26-01-2026</v>
      </c>
      <c r="AP1517" s="65" t="str">
        <f>IFERROR(__xludf.DUMMYFUNCTION("""COMPUTED_VALUE"""),"ENTREGADA GINTRACOM")</f>
        <v>ENTREGADA GINTRACOM</v>
      </c>
      <c r="AQ1517" s="65" t="str">
        <f>IFERROR(__xludf.DUMMYFUNCTION("""COMPUTED_VALUE"""),"ENTREGADA GINTRACOM")</f>
        <v>ENTREGADA GINTRACOM</v>
      </c>
      <c r="AR1517" s="65"/>
      <c r="AS1517" s="65"/>
      <c r="AT1517" s="65" t="str">
        <f>IFERROR(__xludf.DUMMYFUNCTION("""COMPUTED_VALUE"""),"SHOPIFY")</f>
        <v>SHOPIFY</v>
      </c>
      <c r="AU1517" s="65" t="str">
        <f>IFERROR(__xludf.DUMMYFUNCTION("""COMPUTED_VALUE"""),"IMPORTEX EC")</f>
        <v>IMPORTEX EC</v>
      </c>
      <c r="AV1517" s="65" t="str">
        <f>IFERROR(__xludf.DUMMYFUNCTION("""COMPUTED_VALUE"""),"6437951045676")</f>
        <v>6437951045676</v>
      </c>
      <c r="AW1517" s="65">
        <f>IFERROR(__xludf.DUMMYFUNCTION("""COMPUTED_VALUE"""),5419.0)</f>
        <v>5419</v>
      </c>
      <c r="AX1517" s="65"/>
      <c r="AY1517" s="65" t="str">
        <f>IFERROR(__xludf.DUMMYFUNCTION("""COMPUTED_VALUE"""),"23/01/2026")</f>
        <v>23/01/2026</v>
      </c>
      <c r="AZ1517" s="65"/>
      <c r="BA1517" s="65"/>
    </row>
    <row r="1518">
      <c r="A1518" s="65" t="str">
        <f>IFERROR(__xludf.DUMMYFUNCTION("""COMPUTED_VALUE"""),"27-03-2026")</f>
        <v>27-03-2026</v>
      </c>
      <c r="B1518" s="65">
        <f>IFERROR(__xludf.DUMMYFUNCTION("""COMPUTED_VALUE"""),4238225.0)</f>
        <v>4238225</v>
      </c>
      <c r="C1518" s="65" t="str">
        <f>IFERROR(__xludf.DUMMYFUNCTION("""COMPUTED_VALUE"""),"10:01")</f>
        <v>10:01</v>
      </c>
      <c r="D1518" s="65" t="str">
        <f>IFERROR(__xludf.DUMMYFUNCTION("""COMPUTED_VALUE"""),"22-01-2026")</f>
        <v>22-01-2026</v>
      </c>
      <c r="E1518" s="65" t="str">
        <f>IFERROR(__xludf.DUMMYFUNCTION("""COMPUTED_VALUE"""),"German Vallejo")</f>
        <v>German Vallejo</v>
      </c>
      <c r="F1518" s="65" t="str">
        <f>IFERROR(__xludf.DUMMYFUNCTION("""COMPUTED_VALUE"""),"996322491")</f>
        <v>996322491</v>
      </c>
      <c r="G1518" s="65" t="str">
        <f>IFERROR(__xludf.DUMMYFUNCTION("""COMPUTED_VALUE"""),"vallejoeric1980@gmail.com")</f>
        <v>vallejoeric1980@gmail.com</v>
      </c>
      <c r="H1518" s="65"/>
      <c r="I1518" s="65"/>
      <c r="J1518" s="65"/>
      <c r="K1518" s="65" t="str">
        <f>IFERROR(__xludf.DUMMYFUNCTION("""COMPUTED_VALUE"""),"PENDIENTE CONFIRMACION")</f>
        <v>PENDIENTE CONFIRMACION</v>
      </c>
      <c r="L1518" s="65" t="str">
        <f>IFERROR(__xludf.DUMMYFUNCTION("""COMPUTED_VALUE"""),"CON RECAUDO")</f>
        <v>CON RECAUDO</v>
      </c>
      <c r="M1518" s="65" t="str">
        <f>IFERROR(__xludf.DUMMYFUNCTION("""COMPUTED_VALUE"""),"LOJA")</f>
        <v>LOJA</v>
      </c>
      <c r="N1518" s="65" t="str">
        <f>IFERROR(__xludf.DUMMYFUNCTION("""COMPUTED_VALUE"""),"LOJA")</f>
        <v>LOJA</v>
      </c>
      <c r="O1518" s="65" t="str">
        <f>IFERROR(__xludf.DUMMYFUNCTION("""COMPUTED_VALUE"""),"Benjamin Ruiz 211-60 y pereira Celi Román -")</f>
        <v>Benjamin Ruiz 211-60 y pereira Celi Román -</v>
      </c>
      <c r="P1518" s="65"/>
      <c r="Q1518" s="65" t="str">
        <f>IFERROR(__xludf.DUMMYFUNCTION("""COMPUTED_VALUE"""),"GINTRACOM")</f>
        <v>GINTRACOM</v>
      </c>
      <c r="R1518" s="65">
        <f>IFERROR(__xludf.DUMMYFUNCTION("""COMPUTED_VALUE"""),20.0)</f>
        <v>20</v>
      </c>
      <c r="S1518" s="65"/>
      <c r="T1518" s="65">
        <f>IFERROR(__xludf.DUMMYFUNCTION("""COMPUTED_VALUE"""),5.76)</f>
        <v>5.76</v>
      </c>
      <c r="U1518" s="65">
        <f>IFERROR(__xludf.DUMMYFUNCTION("""COMPUTED_VALUE"""),0.0)</f>
        <v>0</v>
      </c>
      <c r="V1518" s="65">
        <f>IFERROR(__xludf.DUMMYFUNCTION("""COMPUTED_VALUE"""),0.0)</f>
        <v>0</v>
      </c>
      <c r="W1518" s="65">
        <f>IFERROR(__xludf.DUMMYFUNCTION("""COMPUTED_VALUE"""),0.0)</f>
        <v>0</v>
      </c>
      <c r="X1518" s="65">
        <f>IFERROR(__xludf.DUMMYFUNCTION("""COMPUTED_VALUE"""),2.35)</f>
        <v>2.35</v>
      </c>
      <c r="Y1518" s="65">
        <f>IFERROR(__xludf.DUMMYFUNCTION("""COMPUTED_VALUE"""),2.35)</f>
        <v>2.35</v>
      </c>
      <c r="Z1518" s="65">
        <f>IFERROR(__xludf.DUMMYFUNCTION("""COMPUTED_VALUE"""),116679.0)</f>
        <v>116679</v>
      </c>
      <c r="AA1518" s="65" t="str">
        <f>IFERROR(__xludf.DUMMYFUNCTION("""COMPUTED_VALUE"""),"AMC-2738")</f>
        <v>AMC-2738</v>
      </c>
      <c r="AB1518" s="65"/>
      <c r="AC1518" s="65" t="str">
        <f>IFERROR(__xludf.DUMMYFUNCTION("""COMPUTED_VALUE"""),"ESPONJA ANTILLUVIA DE PARABRISAS")</f>
        <v>ESPONJA ANTILLUVIA DE PARABRISAS</v>
      </c>
      <c r="AD1518" s="65"/>
      <c r="AE1518" s="65">
        <f>IFERROR(__xludf.DUMMYFUNCTION("""COMPUTED_VALUE"""),1.0)</f>
        <v>1</v>
      </c>
      <c r="AF1518" s="65"/>
      <c r="AG1518" s="65"/>
      <c r="AH1518" s="65"/>
      <c r="AI1518" s="65"/>
      <c r="AJ1518" s="65"/>
      <c r="AK1518" s="65"/>
      <c r="AL1518" s="65"/>
      <c r="AM1518" s="65"/>
      <c r="AN1518" s="65"/>
      <c r="AO1518" s="65"/>
      <c r="AP1518" s="65"/>
      <c r="AQ1518" s="65"/>
      <c r="AR1518" s="65"/>
      <c r="AS1518" s="65"/>
      <c r="AT1518" s="65" t="str">
        <f>IFERROR(__xludf.DUMMYFUNCTION("""COMPUTED_VALUE"""),"SHOPIFY")</f>
        <v>SHOPIFY</v>
      </c>
      <c r="AU1518" s="65" t="str">
        <f>IFERROR(__xludf.DUMMYFUNCTION("""COMPUTED_VALUE"""),"IMPORTEX EC")</f>
        <v>IMPORTEX EC</v>
      </c>
      <c r="AV1518" s="65" t="str">
        <f>IFERROR(__xludf.DUMMYFUNCTION("""COMPUTED_VALUE"""),"6437906153516")</f>
        <v>6437906153516</v>
      </c>
      <c r="AW1518" s="65">
        <f>IFERROR(__xludf.DUMMYFUNCTION("""COMPUTED_VALUE"""),5418.0)</f>
        <v>5418</v>
      </c>
      <c r="AX1518" s="65"/>
      <c r="AY1518" s="65"/>
      <c r="AZ1518" s="65"/>
      <c r="BA1518" s="65"/>
    </row>
    <row r="1519">
      <c r="A1519" s="65" t="str">
        <f>IFERROR(__xludf.DUMMYFUNCTION("""COMPUTED_VALUE"""),"27-03-2026")</f>
        <v>27-03-2026</v>
      </c>
      <c r="B1519" s="65">
        <f>IFERROR(__xludf.DUMMYFUNCTION("""COMPUTED_VALUE"""),4238109.0)</f>
        <v>4238109</v>
      </c>
      <c r="C1519" s="65" t="str">
        <f>IFERROR(__xludf.DUMMYFUNCTION("""COMPUTED_VALUE"""),"09:52")</f>
        <v>09:52</v>
      </c>
      <c r="D1519" s="65" t="str">
        <f>IFERROR(__xludf.DUMMYFUNCTION("""COMPUTED_VALUE"""),"22-01-2026")</f>
        <v>22-01-2026</v>
      </c>
      <c r="E1519" s="65" t="str">
        <f>IFERROR(__xludf.DUMMYFUNCTION("""COMPUTED_VALUE"""),"Christian Chango")</f>
        <v>Christian Chango</v>
      </c>
      <c r="F1519" s="65" t="str">
        <f>IFERROR(__xludf.DUMMYFUNCTION("""COMPUTED_VALUE"""),"969093983")</f>
        <v>969093983</v>
      </c>
      <c r="G1519" s="65"/>
      <c r="H1519" s="65"/>
      <c r="I1519" s="65"/>
      <c r="J1519" s="65" t="str">
        <f>IFERROR(__xludf.DUMMYFUNCTION("""COMPUTED_VALUE"""),"D001254667")</f>
        <v>D001254667</v>
      </c>
      <c r="K1519" s="65" t="str">
        <f>IFERROR(__xludf.DUMMYFUNCTION("""COMPUTED_VALUE"""),"DEVOLUCION")</f>
        <v>DEVOLUCION</v>
      </c>
      <c r="L1519" s="65" t="str">
        <f>IFERROR(__xludf.DUMMYFUNCTION("""COMPUTED_VALUE"""),"CON RECAUDO")</f>
        <v>CON RECAUDO</v>
      </c>
      <c r="M1519" s="65" t="str">
        <f>IFERROR(__xludf.DUMMYFUNCTION("""COMPUTED_VALUE"""),"PICHINCHA")</f>
        <v>PICHINCHA</v>
      </c>
      <c r="N1519" s="65" t="str">
        <f>IFERROR(__xludf.DUMMYFUNCTION("""COMPUTED_VALUE"""),"CONOCOTO")</f>
        <v>CONOCOTO</v>
      </c>
      <c r="O1519" s="65" t="str">
        <f>IFERROR(__xludf.DUMMYFUNCTION("""COMPUTED_VALUE"""),"CONOCOTO Av.Ilalo -")</f>
        <v>CONOCOTO Av.Ilalo -</v>
      </c>
      <c r="P1519" s="65"/>
      <c r="Q1519" s="65" t="str">
        <f>IFERROR(__xludf.DUMMYFUNCTION("""COMPUTED_VALUE"""),"GINTRACOM")</f>
        <v>GINTRACOM</v>
      </c>
      <c r="R1519" s="65">
        <f>IFERROR(__xludf.DUMMYFUNCTION("""COMPUTED_VALUE"""),30.0)</f>
        <v>30</v>
      </c>
      <c r="S1519" s="65"/>
      <c r="T1519" s="65">
        <f>IFERROR(__xludf.DUMMYFUNCTION("""COMPUTED_VALUE"""),5.12)</f>
        <v>5.12</v>
      </c>
      <c r="U1519" s="65">
        <f>IFERROR(__xludf.DUMMYFUNCTION("""COMPUTED_VALUE"""),0.0)</f>
        <v>0</v>
      </c>
      <c r="V1519" s="65">
        <f>IFERROR(__xludf.DUMMYFUNCTION("""COMPUTED_VALUE"""),0.0)</f>
        <v>0</v>
      </c>
      <c r="W1519" s="65">
        <f>IFERROR(__xludf.DUMMYFUNCTION("""COMPUTED_VALUE"""),0.0)</f>
        <v>0</v>
      </c>
      <c r="X1519" s="65">
        <f>IFERROR(__xludf.DUMMYFUNCTION("""COMPUTED_VALUE"""),2.35)</f>
        <v>2.35</v>
      </c>
      <c r="Y1519" s="65">
        <f>IFERROR(__xludf.DUMMYFUNCTION("""COMPUTED_VALUE"""),7.05)</f>
        <v>7.05</v>
      </c>
      <c r="Z1519" s="65">
        <f>IFERROR(__xludf.DUMMYFUNCTION("""COMPUTED_VALUE"""),116679.0)</f>
        <v>116679</v>
      </c>
      <c r="AA1519" s="65" t="str">
        <f>IFERROR(__xludf.DUMMYFUNCTION("""COMPUTED_VALUE"""),"AMC-2738")</f>
        <v>AMC-2738</v>
      </c>
      <c r="AB1519" s="65"/>
      <c r="AC1519" s="65" t="str">
        <f>IFERROR(__xludf.DUMMYFUNCTION("""COMPUTED_VALUE"""),"ESPONJA ANTILLUVIA DE PARABRISAS")</f>
        <v>ESPONJA ANTILLUVIA DE PARABRISAS</v>
      </c>
      <c r="AD1519" s="65"/>
      <c r="AE1519" s="65">
        <f>IFERROR(__xludf.DUMMYFUNCTION("""COMPUTED_VALUE"""),3.0)</f>
        <v>3</v>
      </c>
      <c r="AF1519" s="65" t="str">
        <f>IFERROR(__xludf.DUMMYFUNCTION("""COMPUTED_VALUE"""),"DESTINATARIO NO CONTESTA LLAMADAS NI WHATSAPP")</f>
        <v>DESTINATARIO NO CONTESTA LLAMADAS NI WHATSAPP</v>
      </c>
      <c r="AG1519" s="65" t="str">
        <f>IFERROR(__xludf.DUMMYFUNCTION("""COMPUTED_VALUE"""),"NO")</f>
        <v>NO</v>
      </c>
      <c r="AH1519" s="65" t="str">
        <f>IFERROR(__xludf.DUMMYFUNCTION("""COMPUTED_VALUE"""),"09:00")</f>
        <v>09:00</v>
      </c>
      <c r="AI1519" s="65" t="str">
        <f>IFERROR(__xludf.DUMMYFUNCTION("""COMPUTED_VALUE"""),"03-02-2026")</f>
        <v>03-02-2026</v>
      </c>
      <c r="AJ1519" s="65"/>
      <c r="AK1519" s="65"/>
      <c r="AL1519" s="65"/>
      <c r="AM1519" s="65"/>
      <c r="AN1519" s="65" t="str">
        <f>IFERROR(__xludf.DUMMYFUNCTION("""COMPUTED_VALUE"""),"16:27")</f>
        <v>16:27</v>
      </c>
      <c r="AO1519" s="65" t="str">
        <f>IFERROR(__xludf.DUMMYFUNCTION("""COMPUTED_VALUE"""),"10-02-2026")</f>
        <v>10-02-2026</v>
      </c>
      <c r="AP1519" s="65" t="str">
        <f>IFERROR(__xludf.DUMMYFUNCTION("""COMPUTED_VALUE"""),"DEVOLUCIÓN ENTREGADA A ORIGEN")</f>
        <v>DEVOLUCIÓN ENTREGADA A ORIGEN</v>
      </c>
      <c r="AQ1519" s="65" t="str">
        <f>IFERROR(__xludf.DUMMYFUNCTION("""COMPUTED_VALUE"""),"DEVOLUCIÓN ENTREGADA A ORIGEN")</f>
        <v>DEVOLUCIÓN ENTREGADA A ORIGEN</v>
      </c>
      <c r="AR1519" s="65"/>
      <c r="AS1519" s="65"/>
      <c r="AT1519" s="65" t="str">
        <f>IFERROR(__xludf.DUMMYFUNCTION("""COMPUTED_VALUE"""),"SHOPIFY")</f>
        <v>SHOPIFY</v>
      </c>
      <c r="AU1519" s="65" t="str">
        <f>IFERROR(__xludf.DUMMYFUNCTION("""COMPUTED_VALUE"""),"IMPORTEX EC")</f>
        <v>IMPORTEX EC</v>
      </c>
      <c r="AV1519" s="65" t="str">
        <f>IFERROR(__xludf.DUMMYFUNCTION("""COMPUTED_VALUE"""),"6437888294956")</f>
        <v>6437888294956</v>
      </c>
      <c r="AW1519" s="65">
        <f>IFERROR(__xludf.DUMMYFUNCTION("""COMPUTED_VALUE"""),5417.0)</f>
        <v>5417</v>
      </c>
      <c r="AX1519" s="65"/>
      <c r="AY1519" s="65" t="str">
        <f>IFERROR(__xludf.DUMMYFUNCTION("""COMPUTED_VALUE"""),"23/01/2026")</f>
        <v>23/01/2026</v>
      </c>
      <c r="AZ1519" s="65"/>
      <c r="BA1519" s="65"/>
    </row>
    <row r="1520">
      <c r="A1520" s="65" t="str">
        <f>IFERROR(__xludf.DUMMYFUNCTION("""COMPUTED_VALUE"""),"27-03-2026")</f>
        <v>27-03-2026</v>
      </c>
      <c r="B1520" s="65">
        <f>IFERROR(__xludf.DUMMYFUNCTION("""COMPUTED_VALUE"""),4236432.0)</f>
        <v>4236432</v>
      </c>
      <c r="C1520" s="65" t="str">
        <f>IFERROR(__xludf.DUMMYFUNCTION("""COMPUTED_VALUE"""),"07:29")</f>
        <v>07:29</v>
      </c>
      <c r="D1520" s="65" t="str">
        <f>IFERROR(__xludf.DUMMYFUNCTION("""COMPUTED_VALUE"""),"22-01-2026")</f>
        <v>22-01-2026</v>
      </c>
      <c r="E1520" s="65" t="str">
        <f>IFERROR(__xludf.DUMMYFUNCTION("""COMPUTED_VALUE"""),"Manuel de Jesús Medina lafebre")</f>
        <v>Manuel de Jesús Medina lafebre</v>
      </c>
      <c r="F1520" s="65" t="str">
        <f>IFERROR(__xludf.DUMMYFUNCTION("""COMPUTED_VALUE"""),"980884522")</f>
        <v>980884522</v>
      </c>
      <c r="G1520" s="65" t="str">
        <f>IFERROR(__xludf.DUMMYFUNCTION("""COMPUTED_VALUE"""),"manueldejesusmedinalafebre@gmail.com")</f>
        <v>manueldejesusmedinalafebre@gmail.com</v>
      </c>
      <c r="H1520" s="65"/>
      <c r="I1520" s="65"/>
      <c r="J1520" s="65" t="str">
        <f>IFERROR(__xludf.DUMMYFUNCTION("""COMPUTED_VALUE"""),"186518393")</f>
        <v>186518393</v>
      </c>
      <c r="K1520" s="65" t="str">
        <f>IFERROR(__xludf.DUMMYFUNCTION("""COMPUTED_VALUE"""),"ENTREGADO")</f>
        <v>ENTREGADO</v>
      </c>
      <c r="L1520" s="65" t="str">
        <f>IFERROR(__xludf.DUMMYFUNCTION("""COMPUTED_VALUE"""),"CON RECAUDO")</f>
        <v>CON RECAUDO</v>
      </c>
      <c r="M1520" s="65" t="str">
        <f>IFERROR(__xludf.DUMMYFUNCTION("""COMPUTED_VALUE"""),"ZAMORA CHINCHIPE")</f>
        <v>ZAMORA CHINCHIPE</v>
      </c>
      <c r="N1520" s="65" t="str">
        <f>IFERROR(__xludf.DUMMYFUNCTION("""COMPUTED_VALUE"""),"YANTZAZA")</f>
        <v>YANTZAZA</v>
      </c>
      <c r="O1520" s="65" t="str">
        <f>IFERROR(__xludf.DUMMYFUNCTION("""COMPUTED_VALUE"""),"Barrio sur, junto a la entrada posterior del colegio Martha bucaram")</f>
        <v>Barrio sur, junto a la entrada posterior del colegio Martha bucaram</v>
      </c>
      <c r="P1520" s="65"/>
      <c r="Q1520" s="65" t="str">
        <f>IFERROR(__xludf.DUMMYFUNCTION("""COMPUTED_VALUE"""),"SERVIENTREGA")</f>
        <v>SERVIENTREGA</v>
      </c>
      <c r="R1520" s="65">
        <f>IFERROR(__xludf.DUMMYFUNCTION("""COMPUTED_VALUE"""),20.0)</f>
        <v>20</v>
      </c>
      <c r="S1520" s="65">
        <f>IFERROR(__xludf.DUMMYFUNCTION("""COMPUTED_VALUE"""),9.98)</f>
        <v>9.98</v>
      </c>
      <c r="T1520" s="65">
        <f>IFERROR(__xludf.DUMMYFUNCTION("""COMPUTED_VALUE"""),7.67)</f>
        <v>7.67</v>
      </c>
      <c r="U1520" s="65">
        <f>IFERROR(__xludf.DUMMYFUNCTION("""COMPUTED_VALUE"""),0.0)</f>
        <v>0</v>
      </c>
      <c r="V1520" s="65">
        <f>IFERROR(__xludf.DUMMYFUNCTION("""COMPUTED_VALUE"""),0.0)</f>
        <v>0</v>
      </c>
      <c r="W1520" s="65">
        <f>IFERROR(__xludf.DUMMYFUNCTION("""COMPUTED_VALUE"""),0.0)</f>
        <v>0</v>
      </c>
      <c r="X1520" s="65">
        <f>IFERROR(__xludf.DUMMYFUNCTION("""COMPUTED_VALUE"""),2.35)</f>
        <v>2.35</v>
      </c>
      <c r="Y1520" s="65">
        <f>IFERROR(__xludf.DUMMYFUNCTION("""COMPUTED_VALUE"""),2.35)</f>
        <v>2.35</v>
      </c>
      <c r="Z1520" s="65">
        <f>IFERROR(__xludf.DUMMYFUNCTION("""COMPUTED_VALUE"""),116679.0)</f>
        <v>116679</v>
      </c>
      <c r="AA1520" s="65" t="str">
        <f>IFERROR(__xludf.DUMMYFUNCTION("""COMPUTED_VALUE"""),"AMC-2738")</f>
        <v>AMC-2738</v>
      </c>
      <c r="AB1520" s="65"/>
      <c r="AC1520" s="65" t="str">
        <f>IFERROR(__xludf.DUMMYFUNCTION("""COMPUTED_VALUE"""),"ESPONJA ANTILLUVIA DE PARABRISAS")</f>
        <v>ESPONJA ANTILLUVIA DE PARABRISAS</v>
      </c>
      <c r="AD1520" s="65"/>
      <c r="AE1520" s="65">
        <f>IFERROR(__xludf.DUMMYFUNCTION("""COMPUTED_VALUE"""),1.0)</f>
        <v>1</v>
      </c>
      <c r="AF1520" s="65"/>
      <c r="AG1520" s="65"/>
      <c r="AH1520" s="65"/>
      <c r="AI1520" s="65"/>
      <c r="AJ1520" s="65"/>
      <c r="AK1520" s="65"/>
      <c r="AL1520" s="65"/>
      <c r="AM1520" s="65"/>
      <c r="AN1520" s="65" t="str">
        <f>IFERROR(__xludf.DUMMYFUNCTION("""COMPUTED_VALUE"""),"14:47")</f>
        <v>14:47</v>
      </c>
      <c r="AO1520" s="65" t="str">
        <f>IFERROR(__xludf.DUMMYFUNCTION("""COMPUTED_VALUE"""),"06-02-2026")</f>
        <v>06-02-2026</v>
      </c>
      <c r="AP1520" s="65" t="str">
        <f>IFERROR(__xludf.DUMMYFUNCTION("""COMPUTED_VALUE"""),"ENTREGA DIGITALIZADA EN CENTRO LOGISTICO")</f>
        <v>ENTREGA DIGITALIZADA EN CENTRO LOGISTICO</v>
      </c>
      <c r="AQ1520" s="65" t="str">
        <f>IFERROR(__xludf.DUMMYFUNCTION("""COMPUTED_VALUE"""),"manuel")</f>
        <v>manuel</v>
      </c>
      <c r="AR1520" s="65"/>
      <c r="AS1520" s="65"/>
      <c r="AT1520" s="65" t="str">
        <f>IFERROR(__xludf.DUMMYFUNCTION("""COMPUTED_VALUE"""),"SHOPIFY")</f>
        <v>SHOPIFY</v>
      </c>
      <c r="AU1520" s="65" t="str">
        <f>IFERROR(__xludf.DUMMYFUNCTION("""COMPUTED_VALUE"""),"IMPORTEX EC")</f>
        <v>IMPORTEX EC</v>
      </c>
      <c r="AV1520" s="65" t="str">
        <f>IFERROR(__xludf.DUMMYFUNCTION("""COMPUTED_VALUE"""),"6437672976428")</f>
        <v>6437672976428</v>
      </c>
      <c r="AW1520" s="65">
        <f>IFERROR(__xludf.DUMMYFUNCTION("""COMPUTED_VALUE"""),5416.0)</f>
        <v>5416</v>
      </c>
      <c r="AX1520" s="65"/>
      <c r="AY1520" s="65" t="str">
        <f>IFERROR(__xludf.DUMMYFUNCTION("""COMPUTED_VALUE"""),"23/01/2026")</f>
        <v>23/01/2026</v>
      </c>
      <c r="AZ1520" s="65"/>
      <c r="BA1520" s="65"/>
    </row>
    <row r="1521">
      <c r="A1521" s="65" t="str">
        <f>IFERROR(__xludf.DUMMYFUNCTION("""COMPUTED_VALUE"""),"27-03-2026")</f>
        <v>27-03-2026</v>
      </c>
      <c r="B1521" s="65">
        <f>IFERROR(__xludf.DUMMYFUNCTION("""COMPUTED_VALUE"""),4236370.0)</f>
        <v>4236370</v>
      </c>
      <c r="C1521" s="65" t="str">
        <f>IFERROR(__xludf.DUMMYFUNCTION("""COMPUTED_VALUE"""),"07:23")</f>
        <v>07:23</v>
      </c>
      <c r="D1521" s="65" t="str">
        <f>IFERROR(__xludf.DUMMYFUNCTION("""COMPUTED_VALUE"""),"22-01-2026")</f>
        <v>22-01-2026</v>
      </c>
      <c r="E1521" s="65" t="str">
        <f>IFERROR(__xludf.DUMMYFUNCTION("""COMPUTED_VALUE"""),"Luis Miguel Hurtado")</f>
        <v>Luis Miguel Hurtado</v>
      </c>
      <c r="F1521" s="65" t="str">
        <f>IFERROR(__xludf.DUMMYFUNCTION("""COMPUTED_VALUE"""),"979192287")</f>
        <v>979192287</v>
      </c>
      <c r="G1521" s="65" t="str">
        <f>IFERROR(__xludf.DUMMYFUNCTION("""COMPUTED_VALUE"""),"luismihs4@hotmail.com")</f>
        <v>luismihs4@hotmail.com</v>
      </c>
      <c r="H1521" s="65"/>
      <c r="I1521" s="65"/>
      <c r="J1521" s="65" t="str">
        <f>IFERROR(__xludf.DUMMYFUNCTION("""COMPUTED_VALUE"""),"D001254671")</f>
        <v>D001254671</v>
      </c>
      <c r="K1521" s="65" t="str">
        <f>IFERROR(__xludf.DUMMYFUNCTION("""COMPUTED_VALUE"""),"ENTREGADO")</f>
        <v>ENTREGADO</v>
      </c>
      <c r="L1521" s="65" t="str">
        <f>IFERROR(__xludf.DUMMYFUNCTION("""COMPUTED_VALUE"""),"CON RECAUDO")</f>
        <v>CON RECAUDO</v>
      </c>
      <c r="M1521" s="65" t="str">
        <f>IFERROR(__xludf.DUMMYFUNCTION("""COMPUTED_VALUE"""),"PICHINCHA")</f>
        <v>PICHINCHA</v>
      </c>
      <c r="N1521" s="65" t="str">
        <f>IFERROR(__xludf.DUMMYFUNCTION("""COMPUTED_VALUE"""),"TABABELA")</f>
        <v>TABABELA</v>
      </c>
      <c r="O1521" s="65" t="str">
        <f>IFERROR(__xludf.DUMMYFUNCTION("""COMPUTED_VALUE"""),"Nicolás Baquero n17 y 29 de abril Fresh logistics -")</f>
        <v>Nicolás Baquero n17 y 29 de abril Fresh logistics -</v>
      </c>
      <c r="P1521" s="65"/>
      <c r="Q1521" s="65" t="str">
        <f>IFERROR(__xludf.DUMMYFUNCTION("""COMPUTED_VALUE"""),"GINTRACOM")</f>
        <v>GINTRACOM</v>
      </c>
      <c r="R1521" s="65">
        <f>IFERROR(__xludf.DUMMYFUNCTION("""COMPUTED_VALUE"""),30.0)</f>
        <v>30</v>
      </c>
      <c r="S1521" s="65">
        <f>IFERROR(__xludf.DUMMYFUNCTION("""COMPUTED_VALUE"""),17.83)</f>
        <v>17.83</v>
      </c>
      <c r="T1521" s="65">
        <f>IFERROR(__xludf.DUMMYFUNCTION("""COMPUTED_VALUE"""),5.12)</f>
        <v>5.12</v>
      </c>
      <c r="U1521" s="65">
        <f>IFERROR(__xludf.DUMMYFUNCTION("""COMPUTED_VALUE"""),0.0)</f>
        <v>0</v>
      </c>
      <c r="V1521" s="65">
        <f>IFERROR(__xludf.DUMMYFUNCTION("""COMPUTED_VALUE"""),0.0)</f>
        <v>0</v>
      </c>
      <c r="W1521" s="65">
        <f>IFERROR(__xludf.DUMMYFUNCTION("""COMPUTED_VALUE"""),0.0)</f>
        <v>0</v>
      </c>
      <c r="X1521" s="65">
        <f>IFERROR(__xludf.DUMMYFUNCTION("""COMPUTED_VALUE"""),2.35)</f>
        <v>2.35</v>
      </c>
      <c r="Y1521" s="65">
        <f>IFERROR(__xludf.DUMMYFUNCTION("""COMPUTED_VALUE"""),7.05)</f>
        <v>7.05</v>
      </c>
      <c r="Z1521" s="65">
        <f>IFERROR(__xludf.DUMMYFUNCTION("""COMPUTED_VALUE"""),116679.0)</f>
        <v>116679</v>
      </c>
      <c r="AA1521" s="65" t="str">
        <f>IFERROR(__xludf.DUMMYFUNCTION("""COMPUTED_VALUE"""),"AMC-2738")</f>
        <v>AMC-2738</v>
      </c>
      <c r="AB1521" s="65"/>
      <c r="AC1521" s="65" t="str">
        <f>IFERROR(__xludf.DUMMYFUNCTION("""COMPUTED_VALUE"""),"ESPONJA ANTILLUVIA DE PARABRISAS")</f>
        <v>ESPONJA ANTILLUVIA DE PARABRISAS</v>
      </c>
      <c r="AD1521" s="65"/>
      <c r="AE1521" s="65">
        <f>IFERROR(__xludf.DUMMYFUNCTION("""COMPUTED_VALUE"""),3.0)</f>
        <v>3</v>
      </c>
      <c r="AF1521" s="65"/>
      <c r="AG1521" s="65"/>
      <c r="AH1521" s="65"/>
      <c r="AI1521" s="65"/>
      <c r="AJ1521" s="65"/>
      <c r="AK1521" s="65"/>
      <c r="AL1521" s="65"/>
      <c r="AM1521" s="65"/>
      <c r="AN1521" s="65" t="str">
        <f>IFERROR(__xludf.DUMMYFUNCTION("""COMPUTED_VALUE"""),"21:27")</f>
        <v>21:27</v>
      </c>
      <c r="AO1521" s="65" t="str">
        <f>IFERROR(__xludf.DUMMYFUNCTION("""COMPUTED_VALUE"""),"26-01-2026")</f>
        <v>26-01-2026</v>
      </c>
      <c r="AP1521" s="65" t="str">
        <f>IFERROR(__xludf.DUMMYFUNCTION("""COMPUTED_VALUE"""),"ENTREGADA GINTRACOM")</f>
        <v>ENTREGADA GINTRACOM</v>
      </c>
      <c r="AQ1521" s="65" t="str">
        <f>IFERROR(__xludf.DUMMYFUNCTION("""COMPUTED_VALUE"""),"ENTREGADA GINTRACOM")</f>
        <v>ENTREGADA GINTRACOM</v>
      </c>
      <c r="AR1521" s="65"/>
      <c r="AS1521" s="65"/>
      <c r="AT1521" s="65" t="str">
        <f>IFERROR(__xludf.DUMMYFUNCTION("""COMPUTED_VALUE"""),"SHOPIFY")</f>
        <v>SHOPIFY</v>
      </c>
      <c r="AU1521" s="65" t="str">
        <f>IFERROR(__xludf.DUMMYFUNCTION("""COMPUTED_VALUE"""),"IMPORTEX EC")</f>
        <v>IMPORTEX EC</v>
      </c>
      <c r="AV1521" s="65" t="str">
        <f>IFERROR(__xludf.DUMMYFUNCTION("""COMPUTED_VALUE"""),"6437665701932")</f>
        <v>6437665701932</v>
      </c>
      <c r="AW1521" s="65">
        <f>IFERROR(__xludf.DUMMYFUNCTION("""COMPUTED_VALUE"""),5415.0)</f>
        <v>5415</v>
      </c>
      <c r="AX1521" s="65"/>
      <c r="AY1521" s="65" t="str">
        <f>IFERROR(__xludf.DUMMYFUNCTION("""COMPUTED_VALUE"""),"23/01/2026")</f>
        <v>23/01/2026</v>
      </c>
      <c r="AZ1521" s="65"/>
      <c r="BA1521" s="65"/>
    </row>
    <row r="1522">
      <c r="A1522" s="65" t="str">
        <f>IFERROR(__xludf.DUMMYFUNCTION("""COMPUTED_VALUE"""),"27-03-2026")</f>
        <v>27-03-2026</v>
      </c>
      <c r="B1522" s="65">
        <f>IFERROR(__xludf.DUMMYFUNCTION("""COMPUTED_VALUE"""),4236364.0)</f>
        <v>4236364</v>
      </c>
      <c r="C1522" s="65" t="str">
        <f>IFERROR(__xludf.DUMMYFUNCTION("""COMPUTED_VALUE"""),"07:22")</f>
        <v>07:22</v>
      </c>
      <c r="D1522" s="65" t="str">
        <f>IFERROR(__xludf.DUMMYFUNCTION("""COMPUTED_VALUE"""),"22-01-2026")</f>
        <v>22-01-2026</v>
      </c>
      <c r="E1522" s="65" t="str">
        <f>IFERROR(__xludf.DUMMYFUNCTION("""COMPUTED_VALUE"""),"Andres Davalos")</f>
        <v>Andres Davalos</v>
      </c>
      <c r="F1522" s="65" t="str">
        <f>IFERROR(__xludf.DUMMYFUNCTION("""COMPUTED_VALUE"""),"999009799")</f>
        <v>999009799</v>
      </c>
      <c r="G1522" s="65" t="str">
        <f>IFERROR(__xludf.DUMMYFUNCTION("""COMPUTED_VALUE"""),"andresdavalos2@hotmail.com")</f>
        <v>andresdavalos2@hotmail.com</v>
      </c>
      <c r="H1522" s="65"/>
      <c r="I1522" s="65"/>
      <c r="J1522" s="65" t="str">
        <f>IFERROR(__xludf.DUMMYFUNCTION("""COMPUTED_VALUE"""),"D001254672")</f>
        <v>D001254672</v>
      </c>
      <c r="K1522" s="65" t="str">
        <f>IFERROR(__xludf.DUMMYFUNCTION("""COMPUTED_VALUE"""),"ENTREGADO")</f>
        <v>ENTREGADO</v>
      </c>
      <c r="L1522" s="65" t="str">
        <f>IFERROR(__xludf.DUMMYFUNCTION("""COMPUTED_VALUE"""),"CON RECAUDO")</f>
        <v>CON RECAUDO</v>
      </c>
      <c r="M1522" s="65" t="str">
        <f>IFERROR(__xludf.DUMMYFUNCTION("""COMPUTED_VALUE"""),"PICHINCHA")</f>
        <v>PICHINCHA</v>
      </c>
      <c r="N1522" s="65" t="str">
        <f>IFERROR(__xludf.DUMMYFUNCTION("""COMPUTED_VALUE"""),"TUMBACO")</f>
        <v>TUMBACO</v>
      </c>
      <c r="O1522" s="65" t="str">
        <f>IFERROR(__xludf.DUMMYFUNCTION("""COMPUTED_VALUE"""),"Francisco de Orellana Oe3-192 puerta Rejas verde")</f>
        <v>Francisco de Orellana Oe3-192 puerta Rejas verde</v>
      </c>
      <c r="P1522" s="65"/>
      <c r="Q1522" s="65" t="str">
        <f>IFERROR(__xludf.DUMMYFUNCTION("""COMPUTED_VALUE"""),"GINTRACOM")</f>
        <v>GINTRACOM</v>
      </c>
      <c r="R1522" s="65">
        <f>IFERROR(__xludf.DUMMYFUNCTION("""COMPUTED_VALUE"""),30.0)</f>
        <v>30</v>
      </c>
      <c r="S1522" s="65">
        <f>IFERROR(__xludf.DUMMYFUNCTION("""COMPUTED_VALUE"""),17.83)</f>
        <v>17.83</v>
      </c>
      <c r="T1522" s="65">
        <f>IFERROR(__xludf.DUMMYFUNCTION("""COMPUTED_VALUE"""),5.12)</f>
        <v>5.12</v>
      </c>
      <c r="U1522" s="65">
        <f>IFERROR(__xludf.DUMMYFUNCTION("""COMPUTED_VALUE"""),0.0)</f>
        <v>0</v>
      </c>
      <c r="V1522" s="65">
        <f>IFERROR(__xludf.DUMMYFUNCTION("""COMPUTED_VALUE"""),0.0)</f>
        <v>0</v>
      </c>
      <c r="W1522" s="65">
        <f>IFERROR(__xludf.DUMMYFUNCTION("""COMPUTED_VALUE"""),0.0)</f>
        <v>0</v>
      </c>
      <c r="X1522" s="65">
        <f>IFERROR(__xludf.DUMMYFUNCTION("""COMPUTED_VALUE"""),2.35)</f>
        <v>2.35</v>
      </c>
      <c r="Y1522" s="65">
        <f>IFERROR(__xludf.DUMMYFUNCTION("""COMPUTED_VALUE"""),7.05)</f>
        <v>7.05</v>
      </c>
      <c r="Z1522" s="65">
        <f>IFERROR(__xludf.DUMMYFUNCTION("""COMPUTED_VALUE"""),116679.0)</f>
        <v>116679</v>
      </c>
      <c r="AA1522" s="65" t="str">
        <f>IFERROR(__xludf.DUMMYFUNCTION("""COMPUTED_VALUE"""),"AMC-2738")</f>
        <v>AMC-2738</v>
      </c>
      <c r="AB1522" s="65"/>
      <c r="AC1522" s="65" t="str">
        <f>IFERROR(__xludf.DUMMYFUNCTION("""COMPUTED_VALUE"""),"ESPONJA ANTILLUVIA DE PARABRISAS")</f>
        <v>ESPONJA ANTILLUVIA DE PARABRISAS</v>
      </c>
      <c r="AD1522" s="65"/>
      <c r="AE1522" s="65">
        <f>IFERROR(__xludf.DUMMYFUNCTION("""COMPUTED_VALUE"""),3.0)</f>
        <v>3</v>
      </c>
      <c r="AF1522" s="65"/>
      <c r="AG1522" s="65"/>
      <c r="AH1522" s="65"/>
      <c r="AI1522" s="65"/>
      <c r="AJ1522" s="65"/>
      <c r="AK1522" s="65"/>
      <c r="AL1522" s="65"/>
      <c r="AM1522" s="65"/>
      <c r="AN1522" s="65" t="str">
        <f>IFERROR(__xludf.DUMMYFUNCTION("""COMPUTED_VALUE"""),"10:13")</f>
        <v>10:13</v>
      </c>
      <c r="AO1522" s="65" t="str">
        <f>IFERROR(__xludf.DUMMYFUNCTION("""COMPUTED_VALUE"""),"26-01-2026")</f>
        <v>26-01-2026</v>
      </c>
      <c r="AP1522" s="65" t="str">
        <f>IFERROR(__xludf.DUMMYFUNCTION("""COMPUTED_VALUE"""),"ENTREGADA GINTRACOM")</f>
        <v>ENTREGADA GINTRACOM</v>
      </c>
      <c r="AQ1522" s="65" t="str">
        <f>IFERROR(__xludf.DUMMYFUNCTION("""COMPUTED_VALUE"""),"ENTREGADA GINTRACOM")</f>
        <v>ENTREGADA GINTRACOM</v>
      </c>
      <c r="AR1522" s="65"/>
      <c r="AS1522" s="65"/>
      <c r="AT1522" s="65" t="str">
        <f>IFERROR(__xludf.DUMMYFUNCTION("""COMPUTED_VALUE"""),"SHOPIFY")</f>
        <v>SHOPIFY</v>
      </c>
      <c r="AU1522" s="65" t="str">
        <f>IFERROR(__xludf.DUMMYFUNCTION("""COMPUTED_VALUE"""),"IMPORTEX EC")</f>
        <v>IMPORTEX EC</v>
      </c>
      <c r="AV1522" s="65" t="str">
        <f>IFERROR(__xludf.DUMMYFUNCTION("""COMPUTED_VALUE"""),"6437665046572")</f>
        <v>6437665046572</v>
      </c>
      <c r="AW1522" s="65">
        <f>IFERROR(__xludf.DUMMYFUNCTION("""COMPUTED_VALUE"""),5414.0)</f>
        <v>5414</v>
      </c>
      <c r="AX1522" s="65"/>
      <c r="AY1522" s="65" t="str">
        <f>IFERROR(__xludf.DUMMYFUNCTION("""COMPUTED_VALUE"""),"23/01/2026")</f>
        <v>23/01/2026</v>
      </c>
      <c r="AZ1522" s="65"/>
      <c r="BA1522" s="65"/>
    </row>
    <row r="1523">
      <c r="A1523" s="65" t="str">
        <f>IFERROR(__xludf.DUMMYFUNCTION("""COMPUTED_VALUE"""),"27-03-2026")</f>
        <v>27-03-2026</v>
      </c>
      <c r="B1523" s="65">
        <f>IFERROR(__xludf.DUMMYFUNCTION("""COMPUTED_VALUE"""),4236286.0)</f>
        <v>4236286</v>
      </c>
      <c r="C1523" s="65" t="str">
        <f>IFERROR(__xludf.DUMMYFUNCTION("""COMPUTED_VALUE"""),"07:15")</f>
        <v>07:15</v>
      </c>
      <c r="D1523" s="65" t="str">
        <f>IFERROR(__xludf.DUMMYFUNCTION("""COMPUTED_VALUE"""),"22-01-2026")</f>
        <v>22-01-2026</v>
      </c>
      <c r="E1523" s="65" t="str">
        <f>IFERROR(__xludf.DUMMYFUNCTION("""COMPUTED_VALUE"""),"Ruth Quinto")</f>
        <v>Ruth Quinto</v>
      </c>
      <c r="F1523" s="65" t="str">
        <f>IFERROR(__xludf.DUMMYFUNCTION("""COMPUTED_VALUE"""),"963730916")</f>
        <v>963730916</v>
      </c>
      <c r="G1523" s="65" t="str">
        <f>IFERROR(__xludf.DUMMYFUNCTION("""COMPUTED_VALUE"""),"rquinto_14@hotmail.com")</f>
        <v>rquinto_14@hotmail.com</v>
      </c>
      <c r="H1523" s="65"/>
      <c r="I1523" s="65"/>
      <c r="J1523" s="65" t="str">
        <f>IFERROR(__xludf.DUMMYFUNCTION("""COMPUTED_VALUE"""),"D001254673")</f>
        <v>D001254673</v>
      </c>
      <c r="K1523" s="65" t="str">
        <f>IFERROR(__xludf.DUMMYFUNCTION("""COMPUTED_VALUE"""),"ENTREGADO")</f>
        <v>ENTREGADO</v>
      </c>
      <c r="L1523" s="65" t="str">
        <f>IFERROR(__xludf.DUMMYFUNCTION("""COMPUTED_VALUE"""),"CON RECAUDO")</f>
        <v>CON RECAUDO</v>
      </c>
      <c r="M1523" s="65" t="str">
        <f>IFERROR(__xludf.DUMMYFUNCTION("""COMPUTED_VALUE"""),"LOS RIOS")</f>
        <v>LOS RIOS</v>
      </c>
      <c r="N1523" s="65" t="str">
        <f>IFERROR(__xludf.DUMMYFUNCTION("""COMPUTED_VALUE"""),"BABAHOYO")</f>
        <v>BABAHOYO</v>
      </c>
      <c r="O1523" s="65" t="str">
        <f>IFERROR(__xludf.DUMMYFUNCTION("""COMPUTED_VALUE"""),"Calles Martín Icaza entre 10 de agosto y 5 de junio Centro, Local Centro Optico Visión frente al Restaurante Marisquería La Pesca -")</f>
        <v>Calles Martín Icaza entre 10 de agosto y 5 de junio Centro, Local Centro Optico Visión frente al Restaurante Marisquería La Pesca -</v>
      </c>
      <c r="P1523" s="65"/>
      <c r="Q1523" s="65" t="str">
        <f>IFERROR(__xludf.DUMMYFUNCTION("""COMPUTED_VALUE"""),"GINTRACOM")</f>
        <v>GINTRACOM</v>
      </c>
      <c r="R1523" s="65">
        <f>IFERROR(__xludf.DUMMYFUNCTION("""COMPUTED_VALUE"""),25.0)</f>
        <v>25</v>
      </c>
      <c r="S1523" s="65">
        <f>IFERROR(__xludf.DUMMYFUNCTION("""COMPUTED_VALUE"""),14.34)</f>
        <v>14.34</v>
      </c>
      <c r="T1523" s="65">
        <f>IFERROR(__xludf.DUMMYFUNCTION("""COMPUTED_VALUE"""),5.96)</f>
        <v>5.96</v>
      </c>
      <c r="U1523" s="65">
        <f>IFERROR(__xludf.DUMMYFUNCTION("""COMPUTED_VALUE"""),0.0)</f>
        <v>0</v>
      </c>
      <c r="V1523" s="65">
        <f>IFERROR(__xludf.DUMMYFUNCTION("""COMPUTED_VALUE"""),0.0)</f>
        <v>0</v>
      </c>
      <c r="W1523" s="65">
        <f>IFERROR(__xludf.DUMMYFUNCTION("""COMPUTED_VALUE"""),0.0)</f>
        <v>0</v>
      </c>
      <c r="X1523" s="65">
        <f>IFERROR(__xludf.DUMMYFUNCTION("""COMPUTED_VALUE"""),2.35)</f>
        <v>2.35</v>
      </c>
      <c r="Y1523" s="65">
        <f>IFERROR(__xludf.DUMMYFUNCTION("""COMPUTED_VALUE"""),4.7)</f>
        <v>4.7</v>
      </c>
      <c r="Z1523" s="65">
        <f>IFERROR(__xludf.DUMMYFUNCTION("""COMPUTED_VALUE"""),116679.0)</f>
        <v>116679</v>
      </c>
      <c r="AA1523" s="65" t="str">
        <f>IFERROR(__xludf.DUMMYFUNCTION("""COMPUTED_VALUE"""),"AMC-2738")</f>
        <v>AMC-2738</v>
      </c>
      <c r="AB1523" s="65"/>
      <c r="AC1523" s="65" t="str">
        <f>IFERROR(__xludf.DUMMYFUNCTION("""COMPUTED_VALUE"""),"ESPONJA ANTILLUVIA DE PARABRISAS")</f>
        <v>ESPONJA ANTILLUVIA DE PARABRISAS</v>
      </c>
      <c r="AD1523" s="65"/>
      <c r="AE1523" s="65">
        <f>IFERROR(__xludf.DUMMYFUNCTION("""COMPUTED_VALUE"""),2.0)</f>
        <v>2</v>
      </c>
      <c r="AF1523" s="65"/>
      <c r="AG1523" s="65"/>
      <c r="AH1523" s="65"/>
      <c r="AI1523" s="65"/>
      <c r="AJ1523" s="65"/>
      <c r="AK1523" s="65"/>
      <c r="AL1523" s="65"/>
      <c r="AM1523" s="65"/>
      <c r="AN1523" s="65" t="str">
        <f>IFERROR(__xludf.DUMMYFUNCTION("""COMPUTED_VALUE"""),"15:56")</f>
        <v>15:56</v>
      </c>
      <c r="AO1523" s="65" t="str">
        <f>IFERROR(__xludf.DUMMYFUNCTION("""COMPUTED_VALUE"""),"26-01-2026")</f>
        <v>26-01-2026</v>
      </c>
      <c r="AP1523" s="65" t="str">
        <f>IFERROR(__xludf.DUMMYFUNCTION("""COMPUTED_VALUE"""),"ENTREGADA GINTRACOM")</f>
        <v>ENTREGADA GINTRACOM</v>
      </c>
      <c r="AQ1523" s="65" t="str">
        <f>IFERROR(__xludf.DUMMYFUNCTION("""COMPUTED_VALUE"""),"ENTREGADA GINTRACOM")</f>
        <v>ENTREGADA GINTRACOM</v>
      </c>
      <c r="AR1523" s="65"/>
      <c r="AS1523" s="65"/>
      <c r="AT1523" s="65" t="str">
        <f>IFERROR(__xludf.DUMMYFUNCTION("""COMPUTED_VALUE"""),"SHOPIFY")</f>
        <v>SHOPIFY</v>
      </c>
      <c r="AU1523" s="65" t="str">
        <f>IFERROR(__xludf.DUMMYFUNCTION("""COMPUTED_VALUE"""),"IMPORTEX EC")</f>
        <v>IMPORTEX EC</v>
      </c>
      <c r="AV1523" s="65" t="str">
        <f>IFERROR(__xludf.DUMMYFUNCTION("""COMPUTED_VALUE"""),"6437656887340")</f>
        <v>6437656887340</v>
      </c>
      <c r="AW1523" s="65">
        <f>IFERROR(__xludf.DUMMYFUNCTION("""COMPUTED_VALUE"""),5413.0)</f>
        <v>5413</v>
      </c>
      <c r="AX1523" s="65"/>
      <c r="AY1523" s="65" t="str">
        <f>IFERROR(__xludf.DUMMYFUNCTION("""COMPUTED_VALUE"""),"23/01/2026")</f>
        <v>23/01/2026</v>
      </c>
      <c r="AZ1523" s="65"/>
      <c r="BA1523" s="65"/>
    </row>
    <row r="1524">
      <c r="A1524" s="65" t="str">
        <f>IFERROR(__xludf.DUMMYFUNCTION("""COMPUTED_VALUE"""),"27-03-2026")</f>
        <v>27-03-2026</v>
      </c>
      <c r="B1524" s="65">
        <f>IFERROR(__xludf.DUMMYFUNCTION("""COMPUTED_VALUE"""),4236237.0)</f>
        <v>4236237</v>
      </c>
      <c r="C1524" s="65" t="str">
        <f>IFERROR(__xludf.DUMMYFUNCTION("""COMPUTED_VALUE"""),"07:08")</f>
        <v>07:08</v>
      </c>
      <c r="D1524" s="65" t="str">
        <f>IFERROR(__xludf.DUMMYFUNCTION("""COMPUTED_VALUE"""),"22-01-2026")</f>
        <v>22-01-2026</v>
      </c>
      <c r="E1524" s="65" t="str">
        <f>IFERROR(__xludf.DUMMYFUNCTION("""COMPUTED_VALUE"""),"David Amores")</f>
        <v>David Amores</v>
      </c>
      <c r="F1524" s="65" t="str">
        <f>IFERROR(__xludf.DUMMYFUNCTION("""COMPUTED_VALUE"""),"998000391")</f>
        <v>998000391</v>
      </c>
      <c r="G1524" s="65" t="str">
        <f>IFERROR(__xludf.DUMMYFUNCTION("""COMPUTED_VALUE"""),"amodav@me.com")</f>
        <v>amodav@me.com</v>
      </c>
      <c r="H1524" s="65"/>
      <c r="I1524" s="65"/>
      <c r="J1524" s="65" t="str">
        <f>IFERROR(__xludf.DUMMYFUNCTION("""COMPUTED_VALUE"""),"D001254675")</f>
        <v>D001254675</v>
      </c>
      <c r="K1524" s="65" t="str">
        <f>IFERROR(__xludf.DUMMYFUNCTION("""COMPUTED_VALUE"""),"DEVOLUCION")</f>
        <v>DEVOLUCION</v>
      </c>
      <c r="L1524" s="65" t="str">
        <f>IFERROR(__xludf.DUMMYFUNCTION("""COMPUTED_VALUE"""),"CON RECAUDO")</f>
        <v>CON RECAUDO</v>
      </c>
      <c r="M1524" s="65" t="str">
        <f>IFERROR(__xludf.DUMMYFUNCTION("""COMPUTED_VALUE"""),"PICHINCHA")</f>
        <v>PICHINCHA</v>
      </c>
      <c r="N1524" s="65" t="str">
        <f>IFERROR(__xludf.DUMMYFUNCTION("""COMPUTED_VALUE"""),"QUITO")</f>
        <v>QUITO</v>
      </c>
      <c r="O1524" s="65" t="str">
        <f>IFERROR(__xludf.DUMMYFUNCTION("""COMPUTED_VALUE"""),"Av Ruta viva e intervalles Cumbaya - Edificio Aurora. Torre 3. Departamento 314")</f>
        <v>Av Ruta viva e intervalles Cumbaya - Edificio Aurora. Torre 3. Departamento 314</v>
      </c>
      <c r="P1524" s="65"/>
      <c r="Q1524" s="65" t="str">
        <f>IFERROR(__xludf.DUMMYFUNCTION("""COMPUTED_VALUE"""),"GINTRACOM")</f>
        <v>GINTRACOM</v>
      </c>
      <c r="R1524" s="65">
        <f>IFERROR(__xludf.DUMMYFUNCTION("""COMPUTED_VALUE"""),25.0)</f>
        <v>25</v>
      </c>
      <c r="S1524" s="65"/>
      <c r="T1524" s="65">
        <f>IFERROR(__xludf.DUMMYFUNCTION("""COMPUTED_VALUE"""),4.35)</f>
        <v>4.35</v>
      </c>
      <c r="U1524" s="65">
        <f>IFERROR(__xludf.DUMMYFUNCTION("""COMPUTED_VALUE"""),0.0)</f>
        <v>0</v>
      </c>
      <c r="V1524" s="65">
        <f>IFERROR(__xludf.DUMMYFUNCTION("""COMPUTED_VALUE"""),0.0)</f>
        <v>0</v>
      </c>
      <c r="W1524" s="65">
        <f>IFERROR(__xludf.DUMMYFUNCTION("""COMPUTED_VALUE"""),0.0)</f>
        <v>0</v>
      </c>
      <c r="X1524" s="65">
        <f>IFERROR(__xludf.DUMMYFUNCTION("""COMPUTED_VALUE"""),2.35)</f>
        <v>2.35</v>
      </c>
      <c r="Y1524" s="65">
        <f>IFERROR(__xludf.DUMMYFUNCTION("""COMPUTED_VALUE"""),4.7)</f>
        <v>4.7</v>
      </c>
      <c r="Z1524" s="65">
        <f>IFERROR(__xludf.DUMMYFUNCTION("""COMPUTED_VALUE"""),116679.0)</f>
        <v>116679</v>
      </c>
      <c r="AA1524" s="65" t="str">
        <f>IFERROR(__xludf.DUMMYFUNCTION("""COMPUTED_VALUE"""),"AMC-2738")</f>
        <v>AMC-2738</v>
      </c>
      <c r="AB1524" s="65"/>
      <c r="AC1524" s="65" t="str">
        <f>IFERROR(__xludf.DUMMYFUNCTION("""COMPUTED_VALUE"""),"ESPONJA ANTILLUVIA DE PARABRISAS")</f>
        <v>ESPONJA ANTILLUVIA DE PARABRISAS</v>
      </c>
      <c r="AD1524" s="65"/>
      <c r="AE1524" s="65">
        <f>IFERROR(__xludf.DUMMYFUNCTION("""COMPUTED_VALUE"""),2.0)</f>
        <v>2</v>
      </c>
      <c r="AF1524" s="65" t="str">
        <f>IFERROR(__xludf.DUMMYFUNCTION("""COMPUTED_VALUE"""),"DESTINATARIO NO CONTESTA LLAMADAS NI WHATSAPP")</f>
        <v>DESTINATARIO NO CONTESTA LLAMADAS NI WHATSAPP</v>
      </c>
      <c r="AG1524" s="65" t="str">
        <f>IFERROR(__xludf.DUMMYFUNCTION("""COMPUTED_VALUE"""),"NO")</f>
        <v>NO</v>
      </c>
      <c r="AH1524" s="65" t="str">
        <f>IFERROR(__xludf.DUMMYFUNCTION("""COMPUTED_VALUE"""),"09:00")</f>
        <v>09:00</v>
      </c>
      <c r="AI1524" s="65" t="str">
        <f>IFERROR(__xludf.DUMMYFUNCTION("""COMPUTED_VALUE"""),"03-02-2026")</f>
        <v>03-02-2026</v>
      </c>
      <c r="AJ1524" s="65"/>
      <c r="AK1524" s="65"/>
      <c r="AL1524" s="65"/>
      <c r="AM1524" s="65"/>
      <c r="AN1524" s="65" t="str">
        <f>IFERROR(__xludf.DUMMYFUNCTION("""COMPUTED_VALUE"""),"20:50")</f>
        <v>20:50</v>
      </c>
      <c r="AO1524" s="65" t="str">
        <f>IFERROR(__xludf.DUMMYFUNCTION("""COMPUTED_VALUE"""),"13-02-2026")</f>
        <v>13-02-2026</v>
      </c>
      <c r="AP1524" s="65" t="str">
        <f>IFERROR(__xludf.DUMMYFUNCTION("""COMPUTED_VALUE"""),"DEVOLUCIÓN ENTREGADA A ORIGEN")</f>
        <v>DEVOLUCIÓN ENTREGADA A ORIGEN</v>
      </c>
      <c r="AQ1524" s="65" t="str">
        <f>IFERROR(__xludf.DUMMYFUNCTION("""COMPUTED_VALUE"""),"DEVOLUCIÓN ENTREGADA A ORIGEN")</f>
        <v>DEVOLUCIÓN ENTREGADA A ORIGEN</v>
      </c>
      <c r="AR1524" s="65"/>
      <c r="AS1524" s="65"/>
      <c r="AT1524" s="65" t="str">
        <f>IFERROR(__xludf.DUMMYFUNCTION("""COMPUTED_VALUE"""),"SHOPIFY")</f>
        <v>SHOPIFY</v>
      </c>
      <c r="AU1524" s="65" t="str">
        <f>IFERROR(__xludf.DUMMYFUNCTION("""COMPUTED_VALUE"""),"IMPORTEX EC")</f>
        <v>IMPORTEX EC</v>
      </c>
      <c r="AV1524" s="65" t="str">
        <f>IFERROR(__xludf.DUMMYFUNCTION("""COMPUTED_VALUE"""),"6437650038828")</f>
        <v>6437650038828</v>
      </c>
      <c r="AW1524" s="65">
        <f>IFERROR(__xludf.DUMMYFUNCTION("""COMPUTED_VALUE"""),5412.0)</f>
        <v>5412</v>
      </c>
      <c r="AX1524" s="65"/>
      <c r="AY1524" s="65" t="str">
        <f>IFERROR(__xludf.DUMMYFUNCTION("""COMPUTED_VALUE"""),"23/01/2026")</f>
        <v>23/01/2026</v>
      </c>
      <c r="AZ1524" s="65"/>
      <c r="BA1524" s="65"/>
    </row>
    <row r="1525">
      <c r="A1525" s="65" t="str">
        <f>IFERROR(__xludf.DUMMYFUNCTION("""COMPUTED_VALUE"""),"27-03-2026")</f>
        <v>27-03-2026</v>
      </c>
      <c r="B1525" s="65">
        <f>IFERROR(__xludf.DUMMYFUNCTION("""COMPUTED_VALUE"""),4236228.0)</f>
        <v>4236228</v>
      </c>
      <c r="C1525" s="65" t="str">
        <f>IFERROR(__xludf.DUMMYFUNCTION("""COMPUTED_VALUE"""),"07:07")</f>
        <v>07:07</v>
      </c>
      <c r="D1525" s="65" t="str">
        <f>IFERROR(__xludf.DUMMYFUNCTION("""COMPUTED_VALUE"""),"22-01-2026")</f>
        <v>22-01-2026</v>
      </c>
      <c r="E1525" s="65" t="str">
        <f>IFERROR(__xludf.DUMMYFUNCTION("""COMPUTED_VALUE"""),"JOSE LUIS GONZALEZ BOLAÑOS")</f>
        <v>JOSE LUIS GONZALEZ BOLAÑOS</v>
      </c>
      <c r="F1525" s="65" t="str">
        <f>IFERROR(__xludf.DUMMYFUNCTION("""COMPUTED_VALUE"""),"984252902")</f>
        <v>984252902</v>
      </c>
      <c r="G1525" s="65" t="str">
        <f>IFERROR(__xludf.DUMMYFUNCTION("""COMPUTED_VALUE"""),"jlgonzalezb11@gmail.com")</f>
        <v>jlgonzalezb11@gmail.com</v>
      </c>
      <c r="H1525" s="65"/>
      <c r="I1525" s="65"/>
      <c r="J1525" s="65" t="str">
        <f>IFERROR(__xludf.DUMMYFUNCTION("""COMPUTED_VALUE"""),"D001254676")</f>
        <v>D001254676</v>
      </c>
      <c r="K1525" s="65" t="str">
        <f>IFERROR(__xludf.DUMMYFUNCTION("""COMPUTED_VALUE"""),"DEVOLUCION")</f>
        <v>DEVOLUCION</v>
      </c>
      <c r="L1525" s="65" t="str">
        <f>IFERROR(__xludf.DUMMYFUNCTION("""COMPUTED_VALUE"""),"CON RECAUDO")</f>
        <v>CON RECAUDO</v>
      </c>
      <c r="M1525" s="65" t="str">
        <f>IFERROR(__xludf.DUMMYFUNCTION("""COMPUTED_VALUE"""),"PICHINCHA")</f>
        <v>PICHINCHA</v>
      </c>
      <c r="N1525" s="65" t="str">
        <f>IFERROR(__xludf.DUMMYFUNCTION("""COMPUTED_VALUE"""),"PUEMBO")</f>
        <v>PUEMBO</v>
      </c>
      <c r="O1525" s="65" t="str">
        <f>IFERROR(__xludf.DUMMYFUNCTION("""COMPUTED_VALUE"""),"Vía Arrayanes urb villa fontana casa 12B Puembo -")</f>
        <v>Vía Arrayanes urb villa fontana casa 12B Puembo -</v>
      </c>
      <c r="P1525" s="65"/>
      <c r="Q1525" s="65" t="str">
        <f>IFERROR(__xludf.DUMMYFUNCTION("""COMPUTED_VALUE"""),"GINTRACOM")</f>
        <v>GINTRACOM</v>
      </c>
      <c r="R1525" s="65">
        <f>IFERROR(__xludf.DUMMYFUNCTION("""COMPUTED_VALUE"""),30.0)</f>
        <v>30</v>
      </c>
      <c r="S1525" s="65"/>
      <c r="T1525" s="65">
        <f>IFERROR(__xludf.DUMMYFUNCTION("""COMPUTED_VALUE"""),5.12)</f>
        <v>5.12</v>
      </c>
      <c r="U1525" s="65">
        <f>IFERROR(__xludf.DUMMYFUNCTION("""COMPUTED_VALUE"""),0.0)</f>
        <v>0</v>
      </c>
      <c r="V1525" s="65">
        <f>IFERROR(__xludf.DUMMYFUNCTION("""COMPUTED_VALUE"""),0.0)</f>
        <v>0</v>
      </c>
      <c r="W1525" s="65">
        <f>IFERROR(__xludf.DUMMYFUNCTION("""COMPUTED_VALUE"""),0.0)</f>
        <v>0</v>
      </c>
      <c r="X1525" s="65">
        <f>IFERROR(__xludf.DUMMYFUNCTION("""COMPUTED_VALUE"""),2.35)</f>
        <v>2.35</v>
      </c>
      <c r="Y1525" s="65">
        <f>IFERROR(__xludf.DUMMYFUNCTION("""COMPUTED_VALUE"""),7.05)</f>
        <v>7.05</v>
      </c>
      <c r="Z1525" s="65">
        <f>IFERROR(__xludf.DUMMYFUNCTION("""COMPUTED_VALUE"""),116679.0)</f>
        <v>116679</v>
      </c>
      <c r="AA1525" s="65" t="str">
        <f>IFERROR(__xludf.DUMMYFUNCTION("""COMPUTED_VALUE"""),"AMC-2738")</f>
        <v>AMC-2738</v>
      </c>
      <c r="AB1525" s="65"/>
      <c r="AC1525" s="65" t="str">
        <f>IFERROR(__xludf.DUMMYFUNCTION("""COMPUTED_VALUE"""),"ESPONJA ANTILLUVIA DE PARABRISAS")</f>
        <v>ESPONJA ANTILLUVIA DE PARABRISAS</v>
      </c>
      <c r="AD1525" s="65"/>
      <c r="AE1525" s="65">
        <f>IFERROR(__xludf.DUMMYFUNCTION("""COMPUTED_VALUE"""),3.0)</f>
        <v>3</v>
      </c>
      <c r="AF1525" s="65" t="str">
        <f>IFERROR(__xludf.DUMMYFUNCTION("""COMPUTED_VALUE"""),"DESTINATARIO INDICA QUE YA NO DESEA EL PRODUCTO")</f>
        <v>DESTINATARIO INDICA QUE YA NO DESEA EL PRODUCTO</v>
      </c>
      <c r="AG1525" s="65" t="str">
        <f>IFERROR(__xludf.DUMMYFUNCTION("""COMPUTED_VALUE"""),"NO")</f>
        <v>NO</v>
      </c>
      <c r="AH1525" s="65" t="str">
        <f>IFERROR(__xludf.DUMMYFUNCTION("""COMPUTED_VALUE"""),"21:23")</f>
        <v>21:23</v>
      </c>
      <c r="AI1525" s="65" t="str">
        <f>IFERROR(__xludf.DUMMYFUNCTION("""COMPUTED_VALUE"""),"30-01-2026")</f>
        <v>30-01-2026</v>
      </c>
      <c r="AJ1525" s="65"/>
      <c r="AK1525" s="65"/>
      <c r="AL1525" s="65"/>
      <c r="AM1525" s="65"/>
      <c r="AN1525" s="65" t="str">
        <f>IFERROR(__xludf.DUMMYFUNCTION("""COMPUTED_VALUE"""),"16:27")</f>
        <v>16:27</v>
      </c>
      <c r="AO1525" s="65" t="str">
        <f>IFERROR(__xludf.DUMMYFUNCTION("""COMPUTED_VALUE"""),"10-02-2026")</f>
        <v>10-02-2026</v>
      </c>
      <c r="AP1525" s="65" t="str">
        <f>IFERROR(__xludf.DUMMYFUNCTION("""COMPUTED_VALUE"""),"DEVOLUCIÓN ENTREGADA A ORIGEN")</f>
        <v>DEVOLUCIÓN ENTREGADA A ORIGEN</v>
      </c>
      <c r="AQ1525" s="65" t="str">
        <f>IFERROR(__xludf.DUMMYFUNCTION("""COMPUTED_VALUE"""),"DEVOLUCIÓN ENTREGADA A ORIGEN")</f>
        <v>DEVOLUCIÓN ENTREGADA A ORIGEN</v>
      </c>
      <c r="AR1525" s="65"/>
      <c r="AS1525" s="65"/>
      <c r="AT1525" s="65" t="str">
        <f>IFERROR(__xludf.DUMMYFUNCTION("""COMPUTED_VALUE"""),"SHOPIFY")</f>
        <v>SHOPIFY</v>
      </c>
      <c r="AU1525" s="65" t="str">
        <f>IFERROR(__xludf.DUMMYFUNCTION("""COMPUTED_VALUE"""),"IMPORTEX EC")</f>
        <v>IMPORTEX EC</v>
      </c>
      <c r="AV1525" s="65" t="str">
        <f>IFERROR(__xludf.DUMMYFUNCTION("""COMPUTED_VALUE"""),"6437649154092")</f>
        <v>6437649154092</v>
      </c>
      <c r="AW1525" s="65">
        <f>IFERROR(__xludf.DUMMYFUNCTION("""COMPUTED_VALUE"""),5411.0)</f>
        <v>5411</v>
      </c>
      <c r="AX1525" s="65"/>
      <c r="AY1525" s="65" t="str">
        <f>IFERROR(__xludf.DUMMYFUNCTION("""COMPUTED_VALUE"""),"23/01/2026")</f>
        <v>23/01/2026</v>
      </c>
      <c r="AZ1525" s="65"/>
      <c r="BA1525" s="65"/>
    </row>
    <row r="1526">
      <c r="A1526" s="65" t="str">
        <f>IFERROR(__xludf.DUMMYFUNCTION("""COMPUTED_VALUE"""),"27-03-2026")</f>
        <v>27-03-2026</v>
      </c>
      <c r="B1526" s="65">
        <f>IFERROR(__xludf.DUMMYFUNCTION("""COMPUTED_VALUE"""),4236207.0)</f>
        <v>4236207</v>
      </c>
      <c r="C1526" s="65" t="str">
        <f>IFERROR(__xludf.DUMMYFUNCTION("""COMPUTED_VALUE"""),"07:04")</f>
        <v>07:04</v>
      </c>
      <c r="D1526" s="65" t="str">
        <f>IFERROR(__xludf.DUMMYFUNCTION("""COMPUTED_VALUE"""),"22-01-2026")</f>
        <v>22-01-2026</v>
      </c>
      <c r="E1526" s="65" t="str">
        <f>IFERROR(__xludf.DUMMYFUNCTION("""COMPUTED_VALUE"""),"Jhon Velasco")</f>
        <v>Jhon Velasco</v>
      </c>
      <c r="F1526" s="65" t="str">
        <f>IFERROR(__xludf.DUMMYFUNCTION("""COMPUTED_VALUE"""),"987059800")</f>
        <v>987059800</v>
      </c>
      <c r="G1526" s="65" t="str">
        <f>IFERROR(__xludf.DUMMYFUNCTION("""COMPUTED_VALUE"""),"jhonhotelmanager@gmail.com")</f>
        <v>jhonhotelmanager@gmail.com</v>
      </c>
      <c r="H1526" s="65"/>
      <c r="I1526" s="65"/>
      <c r="J1526" s="65" t="str">
        <f>IFERROR(__xludf.DUMMYFUNCTION("""COMPUTED_VALUE"""),"D001254690")</f>
        <v>D001254690</v>
      </c>
      <c r="K1526" s="65" t="str">
        <f>IFERROR(__xludf.DUMMYFUNCTION("""COMPUTED_VALUE"""),"ENTREGADO")</f>
        <v>ENTREGADO</v>
      </c>
      <c r="L1526" s="65" t="str">
        <f>IFERROR(__xludf.DUMMYFUNCTION("""COMPUTED_VALUE"""),"CON RECAUDO")</f>
        <v>CON RECAUDO</v>
      </c>
      <c r="M1526" s="65" t="str">
        <f>IFERROR(__xludf.DUMMYFUNCTION("""COMPUTED_VALUE"""),"GUAYAS")</f>
        <v>GUAYAS</v>
      </c>
      <c r="N1526" s="65" t="str">
        <f>IFERROR(__xludf.DUMMYFUNCTION("""COMPUTED_VALUE"""),"DAULE")</f>
        <v>DAULE</v>
      </c>
      <c r="O1526" s="65" t="str">
        <f>IFERROR(__xludf.DUMMYFUNCTION("""COMPUTED_VALUE"""),"Villa Club Cosmos Mz 9v24 Frente A Colegio Educamundo - 24")</f>
        <v>Villa Club Cosmos Mz 9v24 Frente A Colegio Educamundo - 24</v>
      </c>
      <c r="P1526" s="65"/>
      <c r="Q1526" s="65" t="str">
        <f>IFERROR(__xludf.DUMMYFUNCTION("""COMPUTED_VALUE"""),"GINTRACOM")</f>
        <v>GINTRACOM</v>
      </c>
      <c r="R1526" s="65">
        <f>IFERROR(__xludf.DUMMYFUNCTION("""COMPUTED_VALUE"""),30.0)</f>
        <v>30</v>
      </c>
      <c r="S1526" s="65">
        <f>IFERROR(__xludf.DUMMYFUNCTION("""COMPUTED_VALUE"""),16.79)</f>
        <v>16.79</v>
      </c>
      <c r="T1526" s="65">
        <f>IFERROR(__xludf.DUMMYFUNCTION("""COMPUTED_VALUE"""),6.16)</f>
        <v>6.16</v>
      </c>
      <c r="U1526" s="65">
        <f>IFERROR(__xludf.DUMMYFUNCTION("""COMPUTED_VALUE"""),0.0)</f>
        <v>0</v>
      </c>
      <c r="V1526" s="65">
        <f>IFERROR(__xludf.DUMMYFUNCTION("""COMPUTED_VALUE"""),0.0)</f>
        <v>0</v>
      </c>
      <c r="W1526" s="65">
        <f>IFERROR(__xludf.DUMMYFUNCTION("""COMPUTED_VALUE"""),0.0)</f>
        <v>0</v>
      </c>
      <c r="X1526" s="65">
        <f>IFERROR(__xludf.DUMMYFUNCTION("""COMPUTED_VALUE"""),2.35)</f>
        <v>2.35</v>
      </c>
      <c r="Y1526" s="65">
        <f>IFERROR(__xludf.DUMMYFUNCTION("""COMPUTED_VALUE"""),7.05)</f>
        <v>7.05</v>
      </c>
      <c r="Z1526" s="65">
        <f>IFERROR(__xludf.DUMMYFUNCTION("""COMPUTED_VALUE"""),116679.0)</f>
        <v>116679</v>
      </c>
      <c r="AA1526" s="65" t="str">
        <f>IFERROR(__xludf.DUMMYFUNCTION("""COMPUTED_VALUE"""),"AMC-2738")</f>
        <v>AMC-2738</v>
      </c>
      <c r="AB1526" s="65"/>
      <c r="AC1526" s="65" t="str">
        <f>IFERROR(__xludf.DUMMYFUNCTION("""COMPUTED_VALUE"""),"ESPONJA ANTILLUVIA DE PARABRISAS")</f>
        <v>ESPONJA ANTILLUVIA DE PARABRISAS</v>
      </c>
      <c r="AD1526" s="65"/>
      <c r="AE1526" s="65">
        <f>IFERROR(__xludf.DUMMYFUNCTION("""COMPUTED_VALUE"""),3.0)</f>
        <v>3</v>
      </c>
      <c r="AF1526" s="65"/>
      <c r="AG1526" s="65"/>
      <c r="AH1526" s="65"/>
      <c r="AI1526" s="65"/>
      <c r="AJ1526" s="65"/>
      <c r="AK1526" s="65"/>
      <c r="AL1526" s="65"/>
      <c r="AM1526" s="65"/>
      <c r="AN1526" s="65" t="str">
        <f>IFERROR(__xludf.DUMMYFUNCTION("""COMPUTED_VALUE"""),"13:55")</f>
        <v>13:55</v>
      </c>
      <c r="AO1526" s="65" t="str">
        <f>IFERROR(__xludf.DUMMYFUNCTION("""COMPUTED_VALUE"""),"27-01-2026")</f>
        <v>27-01-2026</v>
      </c>
      <c r="AP1526" s="65" t="str">
        <f>IFERROR(__xludf.DUMMYFUNCTION("""COMPUTED_VALUE"""),"ENTREGADA GINTRACOM")</f>
        <v>ENTREGADA GINTRACOM</v>
      </c>
      <c r="AQ1526" s="65" t="str">
        <f>IFERROR(__xludf.DUMMYFUNCTION("""COMPUTED_VALUE"""),"ENTREGADA GINTRACOM")</f>
        <v>ENTREGADA GINTRACOM</v>
      </c>
      <c r="AR1526" s="65"/>
      <c r="AS1526" s="65"/>
      <c r="AT1526" s="65" t="str">
        <f>IFERROR(__xludf.DUMMYFUNCTION("""COMPUTED_VALUE"""),"SHOPIFY")</f>
        <v>SHOPIFY</v>
      </c>
      <c r="AU1526" s="65" t="str">
        <f>IFERROR(__xludf.DUMMYFUNCTION("""COMPUTED_VALUE"""),"IMPORTEX EC")</f>
        <v>IMPORTEX EC</v>
      </c>
      <c r="AV1526" s="65" t="str">
        <f>IFERROR(__xludf.DUMMYFUNCTION("""COMPUTED_VALUE"""),"6437645353004")</f>
        <v>6437645353004</v>
      </c>
      <c r="AW1526" s="65">
        <f>IFERROR(__xludf.DUMMYFUNCTION("""COMPUTED_VALUE"""),5410.0)</f>
        <v>5410</v>
      </c>
      <c r="AX1526" s="65"/>
      <c r="AY1526" s="65" t="str">
        <f>IFERROR(__xludf.DUMMYFUNCTION("""COMPUTED_VALUE"""),"23/01/2026")</f>
        <v>23/01/2026</v>
      </c>
      <c r="AZ1526" s="65"/>
      <c r="BA1526" s="65"/>
    </row>
    <row r="1527">
      <c r="A1527" s="65" t="str">
        <f>IFERROR(__xludf.DUMMYFUNCTION("""COMPUTED_VALUE"""),"27-03-2026")</f>
        <v>27-03-2026</v>
      </c>
      <c r="B1527" s="65">
        <f>IFERROR(__xludf.DUMMYFUNCTION("""COMPUTED_VALUE"""),4236204.0)</f>
        <v>4236204</v>
      </c>
      <c r="C1527" s="65" t="str">
        <f>IFERROR(__xludf.DUMMYFUNCTION("""COMPUTED_VALUE"""),"07:03")</f>
        <v>07:03</v>
      </c>
      <c r="D1527" s="65" t="str">
        <f>IFERROR(__xludf.DUMMYFUNCTION("""COMPUTED_VALUE"""),"22-01-2026")</f>
        <v>22-01-2026</v>
      </c>
      <c r="E1527" s="65" t="str">
        <f>IFERROR(__xludf.DUMMYFUNCTION("""COMPUTED_VALUE"""),"Jairo Fabricio Manzano González")</f>
        <v>Jairo Fabricio Manzano González</v>
      </c>
      <c r="F1527" s="65" t="str">
        <f>IFERROR(__xludf.DUMMYFUNCTION("""COMPUTED_VALUE"""),"980379496")</f>
        <v>980379496</v>
      </c>
      <c r="G1527" s="65" t="str">
        <f>IFERROR(__xludf.DUMMYFUNCTION("""COMPUTED_VALUE"""),"jairex81@gmail.com")</f>
        <v>jairex81@gmail.com</v>
      </c>
      <c r="H1527" s="65"/>
      <c r="I1527" s="65"/>
      <c r="J1527" s="65" t="str">
        <f>IFERROR(__xludf.DUMMYFUNCTION("""COMPUTED_VALUE"""),"D001254691")</f>
        <v>D001254691</v>
      </c>
      <c r="K1527" s="65" t="str">
        <f>IFERROR(__xludf.DUMMYFUNCTION("""COMPUTED_VALUE"""),"ENTREGADO")</f>
        <v>ENTREGADO</v>
      </c>
      <c r="L1527" s="65" t="str">
        <f>IFERROR(__xludf.DUMMYFUNCTION("""COMPUTED_VALUE"""),"CON RECAUDO")</f>
        <v>CON RECAUDO</v>
      </c>
      <c r="M1527" s="65" t="str">
        <f>IFERROR(__xludf.DUMMYFUNCTION("""COMPUTED_VALUE"""),"GUAYAS")</f>
        <v>GUAYAS</v>
      </c>
      <c r="N1527" s="65" t="str">
        <f>IFERROR(__xludf.DUMMYFUNCTION("""COMPUTED_VALUE"""),"DAULE")</f>
        <v>DAULE</v>
      </c>
      <c r="O1527" s="65" t="str">
        <f>IFERROR(__xludf.DUMMYFUNCTION("""COMPUTED_VALUE"""),"Via salitre urbanizacion la Delicia Pasando el Coral de lq via salitre -")</f>
        <v>Via salitre urbanizacion la Delicia Pasando el Coral de lq via salitre -</v>
      </c>
      <c r="P1527" s="65"/>
      <c r="Q1527" s="65" t="str">
        <f>IFERROR(__xludf.DUMMYFUNCTION("""COMPUTED_VALUE"""),"GINTRACOM")</f>
        <v>GINTRACOM</v>
      </c>
      <c r="R1527" s="65">
        <f>IFERROR(__xludf.DUMMYFUNCTION("""COMPUTED_VALUE"""),30.0)</f>
        <v>30</v>
      </c>
      <c r="S1527" s="65">
        <f>IFERROR(__xludf.DUMMYFUNCTION("""COMPUTED_VALUE"""),16.79)</f>
        <v>16.79</v>
      </c>
      <c r="T1527" s="65">
        <f>IFERROR(__xludf.DUMMYFUNCTION("""COMPUTED_VALUE"""),6.16)</f>
        <v>6.16</v>
      </c>
      <c r="U1527" s="65">
        <f>IFERROR(__xludf.DUMMYFUNCTION("""COMPUTED_VALUE"""),0.0)</f>
        <v>0</v>
      </c>
      <c r="V1527" s="65">
        <f>IFERROR(__xludf.DUMMYFUNCTION("""COMPUTED_VALUE"""),0.0)</f>
        <v>0</v>
      </c>
      <c r="W1527" s="65">
        <f>IFERROR(__xludf.DUMMYFUNCTION("""COMPUTED_VALUE"""),0.0)</f>
        <v>0</v>
      </c>
      <c r="X1527" s="65">
        <f>IFERROR(__xludf.DUMMYFUNCTION("""COMPUTED_VALUE"""),2.35)</f>
        <v>2.35</v>
      </c>
      <c r="Y1527" s="65">
        <f>IFERROR(__xludf.DUMMYFUNCTION("""COMPUTED_VALUE"""),7.05)</f>
        <v>7.05</v>
      </c>
      <c r="Z1527" s="65">
        <f>IFERROR(__xludf.DUMMYFUNCTION("""COMPUTED_VALUE"""),116679.0)</f>
        <v>116679</v>
      </c>
      <c r="AA1527" s="65" t="str">
        <f>IFERROR(__xludf.DUMMYFUNCTION("""COMPUTED_VALUE"""),"AMC-2738")</f>
        <v>AMC-2738</v>
      </c>
      <c r="AB1527" s="65"/>
      <c r="AC1527" s="65" t="str">
        <f>IFERROR(__xludf.DUMMYFUNCTION("""COMPUTED_VALUE"""),"ESPONJA ANTILLUVIA DE PARABRISAS")</f>
        <v>ESPONJA ANTILLUVIA DE PARABRISAS</v>
      </c>
      <c r="AD1527" s="65"/>
      <c r="AE1527" s="65">
        <f>IFERROR(__xludf.DUMMYFUNCTION("""COMPUTED_VALUE"""),3.0)</f>
        <v>3</v>
      </c>
      <c r="AF1527" s="65"/>
      <c r="AG1527" s="65"/>
      <c r="AH1527" s="65"/>
      <c r="AI1527" s="65"/>
      <c r="AJ1527" s="65"/>
      <c r="AK1527" s="65"/>
      <c r="AL1527" s="65"/>
      <c r="AM1527" s="65"/>
      <c r="AN1527" s="65" t="str">
        <f>IFERROR(__xludf.DUMMYFUNCTION("""COMPUTED_VALUE"""),"09:37")</f>
        <v>09:37</v>
      </c>
      <c r="AO1527" s="65" t="str">
        <f>IFERROR(__xludf.DUMMYFUNCTION("""COMPUTED_VALUE"""),"27-01-2026")</f>
        <v>27-01-2026</v>
      </c>
      <c r="AP1527" s="65" t="str">
        <f>IFERROR(__xludf.DUMMYFUNCTION("""COMPUTED_VALUE"""),"EN REPARTO")</f>
        <v>EN REPARTO</v>
      </c>
      <c r="AQ1527" s="65" t="str">
        <f>IFERROR(__xludf.DUMMYFUNCTION("""COMPUTED_VALUE"""),"EN REPARTO")</f>
        <v>EN REPARTO</v>
      </c>
      <c r="AR1527" s="65"/>
      <c r="AS1527" s="65"/>
      <c r="AT1527" s="65" t="str">
        <f>IFERROR(__xludf.DUMMYFUNCTION("""COMPUTED_VALUE"""),"SHOPIFY")</f>
        <v>SHOPIFY</v>
      </c>
      <c r="AU1527" s="65" t="str">
        <f>IFERROR(__xludf.DUMMYFUNCTION("""COMPUTED_VALUE"""),"IMPORTEX EC")</f>
        <v>IMPORTEX EC</v>
      </c>
      <c r="AV1527" s="65" t="str">
        <f>IFERROR(__xludf.DUMMYFUNCTION("""COMPUTED_VALUE"""),"6437644861484")</f>
        <v>6437644861484</v>
      </c>
      <c r="AW1527" s="65">
        <f>IFERROR(__xludf.DUMMYFUNCTION("""COMPUTED_VALUE"""),5409.0)</f>
        <v>5409</v>
      </c>
      <c r="AX1527" s="65"/>
      <c r="AY1527" s="65" t="str">
        <f>IFERROR(__xludf.DUMMYFUNCTION("""COMPUTED_VALUE"""),"23/01/2026")</f>
        <v>23/01/2026</v>
      </c>
      <c r="AZ1527" s="65"/>
      <c r="BA1527" s="65"/>
    </row>
    <row r="1528">
      <c r="A1528" s="65" t="str">
        <f>IFERROR(__xludf.DUMMYFUNCTION("""COMPUTED_VALUE"""),"27-03-2026")</f>
        <v>27-03-2026</v>
      </c>
      <c r="B1528" s="65">
        <f>IFERROR(__xludf.DUMMYFUNCTION("""COMPUTED_VALUE"""),4236198.0)</f>
        <v>4236198</v>
      </c>
      <c r="C1528" s="65" t="str">
        <f>IFERROR(__xludf.DUMMYFUNCTION("""COMPUTED_VALUE"""),"07:02")</f>
        <v>07:02</v>
      </c>
      <c r="D1528" s="65" t="str">
        <f>IFERROR(__xludf.DUMMYFUNCTION("""COMPUTED_VALUE"""),"22-01-2026")</f>
        <v>22-01-2026</v>
      </c>
      <c r="E1528" s="65" t="str">
        <f>IFERROR(__xludf.DUMMYFUNCTION("""COMPUTED_VALUE"""),"Elizabeth Ramos")</f>
        <v>Elizabeth Ramos</v>
      </c>
      <c r="F1528" s="65" t="str">
        <f>IFERROR(__xludf.DUMMYFUNCTION("""COMPUTED_VALUE"""),"984209030")</f>
        <v>984209030</v>
      </c>
      <c r="G1528" s="65" t="str">
        <f>IFERROR(__xludf.DUMMYFUNCTION("""COMPUTED_VALUE"""),"elizabeth.ramosguaman@gmail.com")</f>
        <v>elizabeth.ramosguaman@gmail.com</v>
      </c>
      <c r="H1528" s="65"/>
      <c r="I1528" s="65"/>
      <c r="J1528" s="65" t="str">
        <f>IFERROR(__xludf.DUMMYFUNCTION("""COMPUTED_VALUE"""),"D001254692")</f>
        <v>D001254692</v>
      </c>
      <c r="K1528" s="65" t="str">
        <f>IFERROR(__xludf.DUMMYFUNCTION("""COMPUTED_VALUE"""),"ENTREGADO")</f>
        <v>ENTREGADO</v>
      </c>
      <c r="L1528" s="65" t="str">
        <f>IFERROR(__xludf.DUMMYFUNCTION("""COMPUTED_VALUE"""),"CON RECAUDO")</f>
        <v>CON RECAUDO</v>
      </c>
      <c r="M1528" s="65" t="str">
        <f>IFERROR(__xludf.DUMMYFUNCTION("""COMPUTED_VALUE"""),"GUAYAS")</f>
        <v>GUAYAS</v>
      </c>
      <c r="N1528" s="65" t="str">
        <f>IFERROR(__xludf.DUMMYFUNCTION("""COMPUTED_VALUE"""),"GUAYAQUIL")</f>
        <v>GUAYAQUIL</v>
      </c>
      <c r="O1528" s="65" t="str">
        <f>IFERROR(__xludf.DUMMYFUNCTION("""COMPUTED_VALUE"""),"Guasmo Sur Guasmo sur cooperativa mariuxi febres cordero -")</f>
        <v>Guasmo Sur Guasmo sur cooperativa mariuxi febres cordero -</v>
      </c>
      <c r="P1528" s="65"/>
      <c r="Q1528" s="65" t="str">
        <f>IFERROR(__xludf.DUMMYFUNCTION("""COMPUTED_VALUE"""),"GINTRACOM")</f>
        <v>GINTRACOM</v>
      </c>
      <c r="R1528" s="65">
        <f>IFERROR(__xludf.DUMMYFUNCTION("""COMPUTED_VALUE"""),25.0)</f>
        <v>25</v>
      </c>
      <c r="S1528" s="65">
        <f>IFERROR(__xludf.DUMMYFUNCTION("""COMPUTED_VALUE"""),14.34)</f>
        <v>14.34</v>
      </c>
      <c r="T1528" s="65">
        <f>IFERROR(__xludf.DUMMYFUNCTION("""COMPUTED_VALUE"""),5.96)</f>
        <v>5.96</v>
      </c>
      <c r="U1528" s="65">
        <f>IFERROR(__xludf.DUMMYFUNCTION("""COMPUTED_VALUE"""),0.0)</f>
        <v>0</v>
      </c>
      <c r="V1528" s="65">
        <f>IFERROR(__xludf.DUMMYFUNCTION("""COMPUTED_VALUE"""),0.0)</f>
        <v>0</v>
      </c>
      <c r="W1528" s="65">
        <f>IFERROR(__xludf.DUMMYFUNCTION("""COMPUTED_VALUE"""),0.0)</f>
        <v>0</v>
      </c>
      <c r="X1528" s="65">
        <f>IFERROR(__xludf.DUMMYFUNCTION("""COMPUTED_VALUE"""),2.35)</f>
        <v>2.35</v>
      </c>
      <c r="Y1528" s="65">
        <f>IFERROR(__xludf.DUMMYFUNCTION("""COMPUTED_VALUE"""),4.7)</f>
        <v>4.7</v>
      </c>
      <c r="Z1528" s="65">
        <f>IFERROR(__xludf.DUMMYFUNCTION("""COMPUTED_VALUE"""),116679.0)</f>
        <v>116679</v>
      </c>
      <c r="AA1528" s="65" t="str">
        <f>IFERROR(__xludf.DUMMYFUNCTION("""COMPUTED_VALUE"""),"AMC-2738")</f>
        <v>AMC-2738</v>
      </c>
      <c r="AB1528" s="65"/>
      <c r="AC1528" s="65" t="str">
        <f>IFERROR(__xludf.DUMMYFUNCTION("""COMPUTED_VALUE"""),"ESPONJA ANTILLUVIA DE PARABRISAS")</f>
        <v>ESPONJA ANTILLUVIA DE PARABRISAS</v>
      </c>
      <c r="AD1528" s="65"/>
      <c r="AE1528" s="65">
        <f>IFERROR(__xludf.DUMMYFUNCTION("""COMPUTED_VALUE"""),2.0)</f>
        <v>2</v>
      </c>
      <c r="AF1528" s="65" t="str">
        <f>IFERROR(__xludf.DUMMYFUNCTION("""COMPUTED_VALUE"""),"DESTINATARIO NO CONTESTA LLAMADAS NI WHATSAPP")</f>
        <v>DESTINATARIO NO CONTESTA LLAMADAS NI WHATSAPP</v>
      </c>
      <c r="AG1528" s="65" t="str">
        <f>IFERROR(__xludf.DUMMYFUNCTION("""COMPUTED_VALUE"""),"NO")</f>
        <v>NO</v>
      </c>
      <c r="AH1528" s="65" t="str">
        <f>IFERROR(__xludf.DUMMYFUNCTION("""COMPUTED_VALUE"""),"17:21")</f>
        <v>17:21</v>
      </c>
      <c r="AI1528" s="65" t="str">
        <f>IFERROR(__xludf.DUMMYFUNCTION("""COMPUTED_VALUE"""),"27-01-2026")</f>
        <v>27-01-2026</v>
      </c>
      <c r="AJ1528" s="65"/>
      <c r="AK1528" s="65"/>
      <c r="AL1528" s="65"/>
      <c r="AM1528" s="65"/>
      <c r="AN1528" s="65" t="str">
        <f>IFERROR(__xludf.DUMMYFUNCTION("""COMPUTED_VALUE"""),"17:21")</f>
        <v>17:21</v>
      </c>
      <c r="AO1528" s="65" t="str">
        <f>IFERROR(__xludf.DUMMYFUNCTION("""COMPUTED_VALUE"""),"27-01-2026")</f>
        <v>27-01-2026</v>
      </c>
      <c r="AP1528" s="65" t="str">
        <f>IFERROR(__xludf.DUMMYFUNCTION("""COMPUTED_VALUE"""),"DESTINATARIO NO CONTESTA LLAMADAS NI WHATSAPP")</f>
        <v>DESTINATARIO NO CONTESTA LLAMADAS NI WHATSAPP</v>
      </c>
      <c r="AQ1528" s="65" t="str">
        <f>IFERROR(__xludf.DUMMYFUNCTION("""COMPUTED_VALUE"""),"DESTINATARIO NO CONTESTA LLAMADAS NI WHATSAPP")</f>
        <v>DESTINATARIO NO CONTESTA LLAMADAS NI WHATSAPP</v>
      </c>
      <c r="AR1528" s="65"/>
      <c r="AS1528" s="65"/>
      <c r="AT1528" s="65" t="str">
        <f>IFERROR(__xludf.DUMMYFUNCTION("""COMPUTED_VALUE"""),"SHOPIFY")</f>
        <v>SHOPIFY</v>
      </c>
      <c r="AU1528" s="65" t="str">
        <f>IFERROR(__xludf.DUMMYFUNCTION("""COMPUTED_VALUE"""),"IMPORTEX EC")</f>
        <v>IMPORTEX EC</v>
      </c>
      <c r="AV1528" s="65" t="str">
        <f>IFERROR(__xludf.DUMMYFUNCTION("""COMPUTED_VALUE"""),"6437643550764")</f>
        <v>6437643550764</v>
      </c>
      <c r="AW1528" s="65">
        <f>IFERROR(__xludf.DUMMYFUNCTION("""COMPUTED_VALUE"""),5408.0)</f>
        <v>5408</v>
      </c>
      <c r="AX1528" s="65"/>
      <c r="AY1528" s="65" t="str">
        <f>IFERROR(__xludf.DUMMYFUNCTION("""COMPUTED_VALUE"""),"23/01/2026")</f>
        <v>23/01/2026</v>
      </c>
      <c r="AZ1528" s="65"/>
      <c r="BA1528" s="65"/>
    </row>
    <row r="1529">
      <c r="A1529" s="65" t="str">
        <f>IFERROR(__xludf.DUMMYFUNCTION("""COMPUTED_VALUE"""),"27-03-2026")</f>
        <v>27-03-2026</v>
      </c>
      <c r="B1529" s="65">
        <f>IFERROR(__xludf.DUMMYFUNCTION("""COMPUTED_VALUE"""),4236197.0)</f>
        <v>4236197</v>
      </c>
      <c r="C1529" s="65" t="str">
        <f>IFERROR(__xludf.DUMMYFUNCTION("""COMPUTED_VALUE"""),"07:02")</f>
        <v>07:02</v>
      </c>
      <c r="D1529" s="65" t="str">
        <f>IFERROR(__xludf.DUMMYFUNCTION("""COMPUTED_VALUE"""),"22-01-2026")</f>
        <v>22-01-2026</v>
      </c>
      <c r="E1529" s="65" t="str">
        <f>IFERROR(__xludf.DUMMYFUNCTION("""COMPUTED_VALUE"""),"Willan augusto Pachar")</f>
        <v>Willan augusto Pachar</v>
      </c>
      <c r="F1529" s="65" t="str">
        <f>IFERROR(__xludf.DUMMYFUNCTION("""COMPUTED_VALUE"""),"981246540")</f>
        <v>981246540</v>
      </c>
      <c r="G1529" s="65" t="str">
        <f>IFERROR(__xludf.DUMMYFUNCTION("""COMPUTED_VALUE"""),"agucho_21p@hotmail.com")</f>
        <v>agucho_21p@hotmail.com</v>
      </c>
      <c r="H1529" s="65"/>
      <c r="I1529" s="65"/>
      <c r="J1529" s="65" t="str">
        <f>IFERROR(__xludf.DUMMYFUNCTION("""COMPUTED_VALUE"""),"D001254693")</f>
        <v>D001254693</v>
      </c>
      <c r="K1529" s="65" t="str">
        <f>IFERROR(__xludf.DUMMYFUNCTION("""COMPUTED_VALUE"""),"DEVOLUCION")</f>
        <v>DEVOLUCION</v>
      </c>
      <c r="L1529" s="65" t="str">
        <f>IFERROR(__xludf.DUMMYFUNCTION("""COMPUTED_VALUE"""),"CON RECAUDO")</f>
        <v>CON RECAUDO</v>
      </c>
      <c r="M1529" s="65" t="str">
        <f>IFERROR(__xludf.DUMMYFUNCTION("""COMPUTED_VALUE"""),"LOJA")</f>
        <v>LOJA</v>
      </c>
      <c r="N1529" s="65" t="str">
        <f>IFERROR(__xludf.DUMMYFUNCTION("""COMPUTED_VALUE"""),"LOJA")</f>
        <v>LOJA</v>
      </c>
      <c r="O1529" s="65" t="str">
        <f>IFERROR(__xludf.DUMMYFUNCTION("""COMPUTED_VALUE"""),"Calle Loja y Fray Cristóbal Zambrano, frente a la escuela Fray Cristóbal Sambrado")</f>
        <v>Calle Loja y Fray Cristóbal Zambrano, frente a la escuela Fray Cristóbal Sambrado</v>
      </c>
      <c r="P1529" s="65"/>
      <c r="Q1529" s="65" t="str">
        <f>IFERROR(__xludf.DUMMYFUNCTION("""COMPUTED_VALUE"""),"GINTRACOM")</f>
        <v>GINTRACOM</v>
      </c>
      <c r="R1529" s="65">
        <f>IFERROR(__xludf.DUMMYFUNCTION("""COMPUTED_VALUE"""),20.0)</f>
        <v>20</v>
      </c>
      <c r="S1529" s="65"/>
      <c r="T1529" s="65">
        <f>IFERROR(__xludf.DUMMYFUNCTION("""COMPUTED_VALUE"""),5.76)</f>
        <v>5.76</v>
      </c>
      <c r="U1529" s="65">
        <f>IFERROR(__xludf.DUMMYFUNCTION("""COMPUTED_VALUE"""),0.0)</f>
        <v>0</v>
      </c>
      <c r="V1529" s="65">
        <f>IFERROR(__xludf.DUMMYFUNCTION("""COMPUTED_VALUE"""),0.0)</f>
        <v>0</v>
      </c>
      <c r="W1529" s="65">
        <f>IFERROR(__xludf.DUMMYFUNCTION("""COMPUTED_VALUE"""),0.0)</f>
        <v>0</v>
      </c>
      <c r="X1529" s="65">
        <f>IFERROR(__xludf.DUMMYFUNCTION("""COMPUTED_VALUE"""),2.35)</f>
        <v>2.35</v>
      </c>
      <c r="Y1529" s="65">
        <f>IFERROR(__xludf.DUMMYFUNCTION("""COMPUTED_VALUE"""),2.35)</f>
        <v>2.35</v>
      </c>
      <c r="Z1529" s="65">
        <f>IFERROR(__xludf.DUMMYFUNCTION("""COMPUTED_VALUE"""),116679.0)</f>
        <v>116679</v>
      </c>
      <c r="AA1529" s="65" t="str">
        <f>IFERROR(__xludf.DUMMYFUNCTION("""COMPUTED_VALUE"""),"AMC-2738")</f>
        <v>AMC-2738</v>
      </c>
      <c r="AB1529" s="65"/>
      <c r="AC1529" s="65" t="str">
        <f>IFERROR(__xludf.DUMMYFUNCTION("""COMPUTED_VALUE"""),"ESPONJA ANTILLUVIA DE PARABRISAS")</f>
        <v>ESPONJA ANTILLUVIA DE PARABRISAS</v>
      </c>
      <c r="AD1529" s="65"/>
      <c r="AE1529" s="65">
        <f>IFERROR(__xludf.DUMMYFUNCTION("""COMPUTED_VALUE"""),1.0)</f>
        <v>1</v>
      </c>
      <c r="AF1529" s="65"/>
      <c r="AG1529" s="65"/>
      <c r="AH1529" s="65"/>
      <c r="AI1529" s="65"/>
      <c r="AJ1529" s="65"/>
      <c r="AK1529" s="65"/>
      <c r="AL1529" s="65"/>
      <c r="AM1529" s="65"/>
      <c r="AN1529" s="65" t="str">
        <f>IFERROR(__xludf.DUMMYFUNCTION("""COMPUTED_VALUE"""),"13:18")</f>
        <v>13:18</v>
      </c>
      <c r="AO1529" s="65" t="str">
        <f>IFERROR(__xludf.DUMMYFUNCTION("""COMPUTED_VALUE"""),"17-02-2026")</f>
        <v>17-02-2026</v>
      </c>
      <c r="AP1529" s="65" t="str">
        <f>IFERROR(__xludf.DUMMYFUNCTION("""COMPUTED_VALUE"""),"DEVOLUCIÓN ENTREGADA A ORIGEN")</f>
        <v>DEVOLUCIÓN ENTREGADA A ORIGEN</v>
      </c>
      <c r="AQ1529" s="65" t="str">
        <f>IFERROR(__xludf.DUMMYFUNCTION("""COMPUTED_VALUE"""),"DEVOLUCIÓN ENTREGADA A ORIGEN")</f>
        <v>DEVOLUCIÓN ENTREGADA A ORIGEN</v>
      </c>
      <c r="AR1529" s="65"/>
      <c r="AS1529" s="65"/>
      <c r="AT1529" s="65" t="str">
        <f>IFERROR(__xludf.DUMMYFUNCTION("""COMPUTED_VALUE"""),"SHOPIFY")</f>
        <v>SHOPIFY</v>
      </c>
      <c r="AU1529" s="65" t="str">
        <f>IFERROR(__xludf.DUMMYFUNCTION("""COMPUTED_VALUE"""),"IMPORTEX EC")</f>
        <v>IMPORTEX EC</v>
      </c>
      <c r="AV1529" s="65" t="str">
        <f>IFERROR(__xludf.DUMMYFUNCTION("""COMPUTED_VALUE"""),"6437643092012")</f>
        <v>6437643092012</v>
      </c>
      <c r="AW1529" s="65">
        <f>IFERROR(__xludf.DUMMYFUNCTION("""COMPUTED_VALUE"""),5407.0)</f>
        <v>5407</v>
      </c>
      <c r="AX1529" s="65"/>
      <c r="AY1529" s="65" t="str">
        <f>IFERROR(__xludf.DUMMYFUNCTION("""COMPUTED_VALUE"""),"23/01/2026")</f>
        <v>23/01/2026</v>
      </c>
      <c r="AZ1529" s="65"/>
      <c r="BA1529" s="65"/>
    </row>
    <row r="1530">
      <c r="A1530" s="65" t="str">
        <f>IFERROR(__xludf.DUMMYFUNCTION("""COMPUTED_VALUE"""),"27-03-2026")</f>
        <v>27-03-2026</v>
      </c>
      <c r="B1530" s="65">
        <f>IFERROR(__xludf.DUMMYFUNCTION("""COMPUTED_VALUE"""),4236123.0)</f>
        <v>4236123</v>
      </c>
      <c r="C1530" s="65" t="str">
        <f>IFERROR(__xludf.DUMMYFUNCTION("""COMPUTED_VALUE"""),"06:53")</f>
        <v>06:53</v>
      </c>
      <c r="D1530" s="65" t="str">
        <f>IFERROR(__xludf.DUMMYFUNCTION("""COMPUTED_VALUE"""),"22-01-2026")</f>
        <v>22-01-2026</v>
      </c>
      <c r="E1530" s="65" t="str">
        <f>IFERROR(__xludf.DUMMYFUNCTION("""COMPUTED_VALUE"""),"Karina Garcia Estrada")</f>
        <v>Karina Garcia Estrada</v>
      </c>
      <c r="F1530" s="65" t="str">
        <f>IFERROR(__xludf.DUMMYFUNCTION("""COMPUTED_VALUE"""),"984430689")</f>
        <v>984430689</v>
      </c>
      <c r="G1530" s="65" t="str">
        <f>IFERROR(__xludf.DUMMYFUNCTION("""COMPUTED_VALUE"""),"karinagarcia84@gmail.com")</f>
        <v>karinagarcia84@gmail.com</v>
      </c>
      <c r="H1530" s="65"/>
      <c r="I1530" s="65"/>
      <c r="J1530" s="65" t="str">
        <f>IFERROR(__xludf.DUMMYFUNCTION("""COMPUTED_VALUE"""),"D001254694")</f>
        <v>D001254694</v>
      </c>
      <c r="K1530" s="65" t="str">
        <f>IFERROR(__xludf.DUMMYFUNCTION("""COMPUTED_VALUE"""),"ENTREGADO")</f>
        <v>ENTREGADO</v>
      </c>
      <c r="L1530" s="65" t="str">
        <f>IFERROR(__xludf.DUMMYFUNCTION("""COMPUTED_VALUE"""),"CON RECAUDO")</f>
        <v>CON RECAUDO</v>
      </c>
      <c r="M1530" s="65" t="str">
        <f>IFERROR(__xludf.DUMMYFUNCTION("""COMPUTED_VALUE"""),"PICHINCHA")</f>
        <v>PICHINCHA</v>
      </c>
      <c r="N1530" s="65" t="str">
        <f>IFERROR(__xludf.DUMMYFUNCTION("""COMPUTED_VALUE"""),"QUITO")</f>
        <v>QUITO</v>
      </c>
      <c r="O1530" s="65" t="str">
        <f>IFERROR(__xludf.DUMMYFUNCTION("""COMPUTED_VALUE"""),"Matias Grancas N46-69, Barrio Unión Nacional, referencia a Marcos Jofre")</f>
        <v>Matias Grancas N46-69, Barrio Unión Nacional, referencia a Marcos Jofre</v>
      </c>
      <c r="P1530" s="65"/>
      <c r="Q1530" s="65" t="str">
        <f>IFERROR(__xludf.DUMMYFUNCTION("""COMPUTED_VALUE"""),"GINTRACOM")</f>
        <v>GINTRACOM</v>
      </c>
      <c r="R1530" s="65">
        <f>IFERROR(__xludf.DUMMYFUNCTION("""COMPUTED_VALUE"""),20.0)</f>
        <v>20</v>
      </c>
      <c r="S1530" s="65">
        <f>IFERROR(__xludf.DUMMYFUNCTION("""COMPUTED_VALUE"""),13.5)</f>
        <v>13.5</v>
      </c>
      <c r="T1530" s="65">
        <f>IFERROR(__xludf.DUMMYFUNCTION("""COMPUTED_VALUE"""),4.15)</f>
        <v>4.15</v>
      </c>
      <c r="U1530" s="65">
        <f>IFERROR(__xludf.DUMMYFUNCTION("""COMPUTED_VALUE"""),0.0)</f>
        <v>0</v>
      </c>
      <c r="V1530" s="65">
        <f>IFERROR(__xludf.DUMMYFUNCTION("""COMPUTED_VALUE"""),0.0)</f>
        <v>0</v>
      </c>
      <c r="W1530" s="65">
        <f>IFERROR(__xludf.DUMMYFUNCTION("""COMPUTED_VALUE"""),0.0)</f>
        <v>0</v>
      </c>
      <c r="X1530" s="65">
        <f>IFERROR(__xludf.DUMMYFUNCTION("""COMPUTED_VALUE"""),2.35)</f>
        <v>2.35</v>
      </c>
      <c r="Y1530" s="65">
        <f>IFERROR(__xludf.DUMMYFUNCTION("""COMPUTED_VALUE"""),2.35)</f>
        <v>2.35</v>
      </c>
      <c r="Z1530" s="65">
        <f>IFERROR(__xludf.DUMMYFUNCTION("""COMPUTED_VALUE"""),116679.0)</f>
        <v>116679</v>
      </c>
      <c r="AA1530" s="65" t="str">
        <f>IFERROR(__xludf.DUMMYFUNCTION("""COMPUTED_VALUE"""),"AMC-2738")</f>
        <v>AMC-2738</v>
      </c>
      <c r="AB1530" s="65"/>
      <c r="AC1530" s="65" t="str">
        <f>IFERROR(__xludf.DUMMYFUNCTION("""COMPUTED_VALUE"""),"ESPONJA ANTILLUVIA DE PARABRISAS")</f>
        <v>ESPONJA ANTILLUVIA DE PARABRISAS</v>
      </c>
      <c r="AD1530" s="65"/>
      <c r="AE1530" s="65">
        <f>IFERROR(__xludf.DUMMYFUNCTION("""COMPUTED_VALUE"""),1.0)</f>
        <v>1</v>
      </c>
      <c r="AF1530" s="65"/>
      <c r="AG1530" s="65"/>
      <c r="AH1530" s="65"/>
      <c r="AI1530" s="65"/>
      <c r="AJ1530" s="65"/>
      <c r="AK1530" s="65"/>
      <c r="AL1530" s="65"/>
      <c r="AM1530" s="65"/>
      <c r="AN1530" s="65" t="str">
        <f>IFERROR(__xludf.DUMMYFUNCTION("""COMPUTED_VALUE"""),"12:46")</f>
        <v>12:46</v>
      </c>
      <c r="AO1530" s="65" t="str">
        <f>IFERROR(__xludf.DUMMYFUNCTION("""COMPUTED_VALUE"""),"26-01-2026")</f>
        <v>26-01-2026</v>
      </c>
      <c r="AP1530" s="65" t="str">
        <f>IFERROR(__xludf.DUMMYFUNCTION("""COMPUTED_VALUE"""),"ENTREGADA GINTRACOM")</f>
        <v>ENTREGADA GINTRACOM</v>
      </c>
      <c r="AQ1530" s="65" t="str">
        <f>IFERROR(__xludf.DUMMYFUNCTION("""COMPUTED_VALUE"""),"ENTREGADA GINTRACOM")</f>
        <v>ENTREGADA GINTRACOM</v>
      </c>
      <c r="AR1530" s="65"/>
      <c r="AS1530" s="65"/>
      <c r="AT1530" s="65" t="str">
        <f>IFERROR(__xludf.DUMMYFUNCTION("""COMPUTED_VALUE"""),"SHOPIFY")</f>
        <v>SHOPIFY</v>
      </c>
      <c r="AU1530" s="65" t="str">
        <f>IFERROR(__xludf.DUMMYFUNCTION("""COMPUTED_VALUE"""),"IMPORTEX EC")</f>
        <v>IMPORTEX EC</v>
      </c>
      <c r="AV1530" s="65" t="str">
        <f>IFERROR(__xludf.DUMMYFUNCTION("""COMPUTED_VALUE"""),"6437634670636")</f>
        <v>6437634670636</v>
      </c>
      <c r="AW1530" s="65">
        <f>IFERROR(__xludf.DUMMYFUNCTION("""COMPUTED_VALUE"""),5406.0)</f>
        <v>5406</v>
      </c>
      <c r="AX1530" s="65"/>
      <c r="AY1530" s="65" t="str">
        <f>IFERROR(__xludf.DUMMYFUNCTION("""COMPUTED_VALUE"""),"23/01/2026")</f>
        <v>23/01/2026</v>
      </c>
      <c r="AZ1530" s="65"/>
      <c r="BA1530" s="65"/>
    </row>
    <row r="1531">
      <c r="A1531" s="65" t="str">
        <f>IFERROR(__xludf.DUMMYFUNCTION("""COMPUTED_VALUE"""),"27-03-2026")</f>
        <v>27-03-2026</v>
      </c>
      <c r="B1531" s="65">
        <f>IFERROR(__xludf.DUMMYFUNCTION("""COMPUTED_VALUE"""),4236117.0)</f>
        <v>4236117</v>
      </c>
      <c r="C1531" s="65" t="str">
        <f>IFERROR(__xludf.DUMMYFUNCTION("""COMPUTED_VALUE"""),"06:53")</f>
        <v>06:53</v>
      </c>
      <c r="D1531" s="65" t="str">
        <f>IFERROR(__xludf.DUMMYFUNCTION("""COMPUTED_VALUE"""),"22-01-2026")</f>
        <v>22-01-2026</v>
      </c>
      <c r="E1531" s="65" t="str">
        <f>IFERROR(__xludf.DUMMYFUNCTION("""COMPUTED_VALUE"""),"David Carpio")</f>
        <v>David Carpio</v>
      </c>
      <c r="F1531" s="65" t="str">
        <f>IFERROR(__xludf.DUMMYFUNCTION("""COMPUTED_VALUE"""),"979964787")</f>
        <v>979964787</v>
      </c>
      <c r="G1531" s="65" t="str">
        <f>IFERROR(__xludf.DUMMYFUNCTION("""COMPUTED_VALUE"""),"dvdcarpior@outlook.com")</f>
        <v>dvdcarpior@outlook.com</v>
      </c>
      <c r="H1531" s="65"/>
      <c r="I1531" s="65"/>
      <c r="J1531" s="65" t="str">
        <f>IFERROR(__xludf.DUMMYFUNCTION("""COMPUTED_VALUE"""),"D001254695")</f>
        <v>D001254695</v>
      </c>
      <c r="K1531" s="65" t="str">
        <f>IFERROR(__xludf.DUMMYFUNCTION("""COMPUTED_VALUE"""),"ENTREGADO")</f>
        <v>ENTREGADO</v>
      </c>
      <c r="L1531" s="65" t="str">
        <f>IFERROR(__xludf.DUMMYFUNCTION("""COMPUTED_VALUE"""),"CON RECAUDO")</f>
        <v>CON RECAUDO</v>
      </c>
      <c r="M1531" s="65" t="str">
        <f>IFERROR(__xludf.DUMMYFUNCTION("""COMPUTED_VALUE"""),"ESMERALDAS")</f>
        <v>ESMERALDAS</v>
      </c>
      <c r="N1531" s="65" t="str">
        <f>IFERROR(__xludf.DUMMYFUNCTION("""COMPUTED_VALUE"""),"QUININDE")</f>
        <v>QUININDE</v>
      </c>
      <c r="O1531" s="65" t="str">
        <f>IFERROR(__xludf.DUMMYFUNCTION("""COMPUTED_VALUE"""),"Ave. Nueva Jerusalen y via palcien Nuevos horizontes bajo, frente a farmacia económicas 4 -")</f>
        <v>Ave. Nueva Jerusalen y via palcien Nuevos horizontes bajo, frente a farmacia económicas 4 -</v>
      </c>
      <c r="P1531" s="65"/>
      <c r="Q1531" s="65" t="str">
        <f>IFERROR(__xludf.DUMMYFUNCTION("""COMPUTED_VALUE"""),"GINTRACOM")</f>
        <v>GINTRACOM</v>
      </c>
      <c r="R1531" s="65">
        <f>IFERROR(__xludf.DUMMYFUNCTION("""COMPUTED_VALUE"""),30.0)</f>
        <v>30</v>
      </c>
      <c r="S1531" s="65">
        <f>IFERROR(__xludf.DUMMYFUNCTION("""COMPUTED_VALUE"""),16.79)</f>
        <v>16.79</v>
      </c>
      <c r="T1531" s="65">
        <f>IFERROR(__xludf.DUMMYFUNCTION("""COMPUTED_VALUE"""),6.16)</f>
        <v>6.16</v>
      </c>
      <c r="U1531" s="65">
        <f>IFERROR(__xludf.DUMMYFUNCTION("""COMPUTED_VALUE"""),0.0)</f>
        <v>0</v>
      </c>
      <c r="V1531" s="65">
        <f>IFERROR(__xludf.DUMMYFUNCTION("""COMPUTED_VALUE"""),0.0)</f>
        <v>0</v>
      </c>
      <c r="W1531" s="65">
        <f>IFERROR(__xludf.DUMMYFUNCTION("""COMPUTED_VALUE"""),0.0)</f>
        <v>0</v>
      </c>
      <c r="X1531" s="65">
        <f>IFERROR(__xludf.DUMMYFUNCTION("""COMPUTED_VALUE"""),2.35)</f>
        <v>2.35</v>
      </c>
      <c r="Y1531" s="65">
        <f>IFERROR(__xludf.DUMMYFUNCTION("""COMPUTED_VALUE"""),7.05)</f>
        <v>7.05</v>
      </c>
      <c r="Z1531" s="65">
        <f>IFERROR(__xludf.DUMMYFUNCTION("""COMPUTED_VALUE"""),116679.0)</f>
        <v>116679</v>
      </c>
      <c r="AA1531" s="65" t="str">
        <f>IFERROR(__xludf.DUMMYFUNCTION("""COMPUTED_VALUE"""),"AMC-2738")</f>
        <v>AMC-2738</v>
      </c>
      <c r="AB1531" s="65"/>
      <c r="AC1531" s="65" t="str">
        <f>IFERROR(__xludf.DUMMYFUNCTION("""COMPUTED_VALUE"""),"ESPONJA ANTILLUVIA DE PARABRISAS")</f>
        <v>ESPONJA ANTILLUVIA DE PARABRISAS</v>
      </c>
      <c r="AD1531" s="65"/>
      <c r="AE1531" s="65">
        <f>IFERROR(__xludf.DUMMYFUNCTION("""COMPUTED_VALUE"""),3.0)</f>
        <v>3</v>
      </c>
      <c r="AF1531" s="65"/>
      <c r="AG1531" s="65"/>
      <c r="AH1531" s="65"/>
      <c r="AI1531" s="65"/>
      <c r="AJ1531" s="65"/>
      <c r="AK1531" s="65"/>
      <c r="AL1531" s="65"/>
      <c r="AM1531" s="65"/>
      <c r="AN1531" s="65" t="str">
        <f>IFERROR(__xludf.DUMMYFUNCTION("""COMPUTED_VALUE"""),"10:24")</f>
        <v>10:24</v>
      </c>
      <c r="AO1531" s="65" t="str">
        <f>IFERROR(__xludf.DUMMYFUNCTION("""COMPUTED_VALUE"""),"26-01-2026")</f>
        <v>26-01-2026</v>
      </c>
      <c r="AP1531" s="65" t="str">
        <f>IFERROR(__xludf.DUMMYFUNCTION("""COMPUTED_VALUE"""),"EN REPARTO")</f>
        <v>EN REPARTO</v>
      </c>
      <c r="AQ1531" s="65" t="str">
        <f>IFERROR(__xludf.DUMMYFUNCTION("""COMPUTED_VALUE"""),"EN REPARTO")</f>
        <v>EN REPARTO</v>
      </c>
      <c r="AR1531" s="65"/>
      <c r="AS1531" s="65"/>
      <c r="AT1531" s="65" t="str">
        <f>IFERROR(__xludf.DUMMYFUNCTION("""COMPUTED_VALUE"""),"SHOPIFY")</f>
        <v>SHOPIFY</v>
      </c>
      <c r="AU1531" s="65" t="str">
        <f>IFERROR(__xludf.DUMMYFUNCTION("""COMPUTED_VALUE"""),"IMPORTEX EC")</f>
        <v>IMPORTEX EC</v>
      </c>
      <c r="AV1531" s="65" t="str">
        <f>IFERROR(__xludf.DUMMYFUNCTION("""COMPUTED_VALUE"""),"6437634015276")</f>
        <v>6437634015276</v>
      </c>
      <c r="AW1531" s="65">
        <f>IFERROR(__xludf.DUMMYFUNCTION("""COMPUTED_VALUE"""),5405.0)</f>
        <v>5405</v>
      </c>
      <c r="AX1531" s="65"/>
      <c r="AY1531" s="65" t="str">
        <f>IFERROR(__xludf.DUMMYFUNCTION("""COMPUTED_VALUE"""),"23/01/2026")</f>
        <v>23/01/2026</v>
      </c>
      <c r="AZ1531" s="65"/>
      <c r="BA1531" s="65"/>
    </row>
    <row r="1532">
      <c r="A1532" s="65" t="str">
        <f>IFERROR(__xludf.DUMMYFUNCTION("""COMPUTED_VALUE"""),"27-03-2026")</f>
        <v>27-03-2026</v>
      </c>
      <c r="B1532" s="65">
        <f>IFERROR(__xludf.DUMMYFUNCTION("""COMPUTED_VALUE"""),4232226.0)</f>
        <v>4232226</v>
      </c>
      <c r="C1532" s="65" t="str">
        <f>IFERROR(__xludf.DUMMYFUNCTION("""COMPUTED_VALUE"""),"20:06")</f>
        <v>20:06</v>
      </c>
      <c r="D1532" s="65" t="str">
        <f>IFERROR(__xludf.DUMMYFUNCTION("""COMPUTED_VALUE"""),"21-01-2026")</f>
        <v>21-01-2026</v>
      </c>
      <c r="E1532" s="65" t="str">
        <f>IFERROR(__xludf.DUMMYFUNCTION("""COMPUTED_VALUE"""),"Oswaldo Klever Alarcon ordoñez")</f>
        <v>Oswaldo Klever Alarcon ordoñez</v>
      </c>
      <c r="F1532" s="65" t="str">
        <f>IFERROR(__xludf.DUMMYFUNCTION("""COMPUTED_VALUE"""),"991616346")</f>
        <v>991616346</v>
      </c>
      <c r="G1532" s="65"/>
      <c r="H1532" s="65"/>
      <c r="I1532" s="65"/>
      <c r="J1532" s="65" t="str">
        <f>IFERROR(__xludf.DUMMYFUNCTION("""COMPUTED_VALUE"""),"186513155")</f>
        <v>186513155</v>
      </c>
      <c r="K1532" s="65" t="str">
        <f>IFERROR(__xludf.DUMMYFUNCTION("""COMPUTED_VALUE"""),"DEVOLUCION")</f>
        <v>DEVOLUCION</v>
      </c>
      <c r="L1532" s="65" t="str">
        <f>IFERROR(__xludf.DUMMYFUNCTION("""COMPUTED_VALUE"""),"CON RECAUDO")</f>
        <v>CON RECAUDO</v>
      </c>
      <c r="M1532" s="65" t="str">
        <f>IFERROR(__xludf.DUMMYFUNCTION("""COMPUTED_VALUE"""),"CAÑAR")</f>
        <v>CAÑAR</v>
      </c>
      <c r="N1532" s="65" t="str">
        <f>IFERROR(__xludf.DUMMYFUNCTION("""COMPUTED_VALUE"""),"LA TRONCAL")</f>
        <v>LA TRONCAL</v>
      </c>
      <c r="O1532" s="65" t="str">
        <f>IFERROR(__xludf.DUMMYFUNCTION("""COMPUTED_VALUE"""),"CS: LA TRONCAL_AV. 24 DE MAYO # 308 Y ELOY ALFARO")</f>
        <v>CS: LA TRONCAL_AV. 24 DE MAYO # 308 Y ELOY ALFARO</v>
      </c>
      <c r="P1532" s="65" t="str">
        <f>IFERROR(__xludf.DUMMYFUNCTION("""COMPUTED_VALUE"""),"(SERVIENTREGA) CS: LA TRONCAL_AV. 24 DE MAYO # 308 Y ELOY ALFARO")</f>
        <v>(SERVIENTREGA) CS: LA TRONCAL_AV. 24 DE MAYO # 308 Y ELOY ALFARO</v>
      </c>
      <c r="Q1532" s="65" t="str">
        <f>IFERROR(__xludf.DUMMYFUNCTION("""COMPUTED_VALUE"""),"SERVIENTREGA")</f>
        <v>SERVIENTREGA</v>
      </c>
      <c r="R1532" s="65">
        <f>IFERROR(__xludf.DUMMYFUNCTION("""COMPUTED_VALUE"""),25.0)</f>
        <v>25</v>
      </c>
      <c r="S1532" s="65"/>
      <c r="T1532" s="65">
        <f>IFERROR(__xludf.DUMMYFUNCTION("""COMPUTED_VALUE"""),7.75)</f>
        <v>7.75</v>
      </c>
      <c r="U1532" s="65">
        <f>IFERROR(__xludf.DUMMYFUNCTION("""COMPUTED_VALUE"""),0.0)</f>
        <v>0</v>
      </c>
      <c r="V1532" s="65">
        <f>IFERROR(__xludf.DUMMYFUNCTION("""COMPUTED_VALUE"""),0.0)</f>
        <v>0</v>
      </c>
      <c r="W1532" s="65">
        <f>IFERROR(__xludf.DUMMYFUNCTION("""COMPUTED_VALUE"""),0.0)</f>
        <v>0</v>
      </c>
      <c r="X1532" s="65">
        <f>IFERROR(__xludf.DUMMYFUNCTION("""COMPUTED_VALUE"""),2.35)</f>
        <v>2.35</v>
      </c>
      <c r="Y1532" s="65">
        <f>IFERROR(__xludf.DUMMYFUNCTION("""COMPUTED_VALUE"""),4.7)</f>
        <v>4.7</v>
      </c>
      <c r="Z1532" s="65">
        <f>IFERROR(__xludf.DUMMYFUNCTION("""COMPUTED_VALUE"""),116679.0)</f>
        <v>116679</v>
      </c>
      <c r="AA1532" s="65" t="str">
        <f>IFERROR(__xludf.DUMMYFUNCTION("""COMPUTED_VALUE"""),"AMC-2738")</f>
        <v>AMC-2738</v>
      </c>
      <c r="AB1532" s="65"/>
      <c r="AC1532" s="65" t="str">
        <f>IFERROR(__xludf.DUMMYFUNCTION("""COMPUTED_VALUE"""),"ESPONJA ANTILLUVIA DE PARABRISAS")</f>
        <v>ESPONJA ANTILLUVIA DE PARABRISAS</v>
      </c>
      <c r="AD1532" s="65"/>
      <c r="AE1532" s="65">
        <f>IFERROR(__xludf.DUMMYFUNCTION("""COMPUTED_VALUE"""),2.0)</f>
        <v>2</v>
      </c>
      <c r="AF1532" s="65" t="str">
        <f>IFERROR(__xludf.DUMMYFUNCTION("""COMPUTED_VALUE"""),"DEVOLUCION AL REMITENTE")</f>
        <v>DEVOLUCION AL REMITENTE</v>
      </c>
      <c r="AG1532" s="65" t="str">
        <f>IFERROR(__xludf.DUMMYFUNCTION("""COMPUTED_VALUE"""),"NO")</f>
        <v>NO</v>
      </c>
      <c r="AH1532" s="65" t="str">
        <f>IFERROR(__xludf.DUMMYFUNCTION("""COMPUTED_VALUE"""),"23:11")</f>
        <v>23:11</v>
      </c>
      <c r="AI1532" s="65" t="str">
        <f>IFERROR(__xludf.DUMMYFUNCTION("""COMPUTED_VALUE"""),"10-02-2026")</f>
        <v>10-02-2026</v>
      </c>
      <c r="AJ1532" s="65"/>
      <c r="AK1532" s="65"/>
      <c r="AL1532" s="65"/>
      <c r="AM1532" s="65"/>
      <c r="AN1532" s="65" t="str">
        <f>IFERROR(__xludf.DUMMYFUNCTION("""COMPUTED_VALUE"""),"11:42")</f>
        <v>11:42</v>
      </c>
      <c r="AO1532" s="65" t="str">
        <f>IFERROR(__xludf.DUMMYFUNCTION("""COMPUTED_VALUE"""),"11-02-2026")</f>
        <v>11-02-2026</v>
      </c>
      <c r="AP1532" s="65" t="str">
        <f>IFERROR(__xludf.DUMMYFUNCTION("""COMPUTED_VALUE"""),"DEVOLUCION AL REMITENTE")</f>
        <v>DEVOLUCION AL REMITENTE</v>
      </c>
      <c r="AQ1532" s="65" t="str">
        <f>IFERROR(__xludf.DUMMYFUNCTION("""COMPUTED_VALUE"""),"{}")</f>
        <v>{}</v>
      </c>
      <c r="AR1532" s="65"/>
      <c r="AS1532" s="65" t="str">
        <f>IFERROR(__xludf.DUMMYFUNCTION("""COMPUTED_VALUE"""),"Bayron Gomez")</f>
        <v>Bayron Gomez</v>
      </c>
      <c r="AT1532" s="65"/>
      <c r="AU1532" s="65"/>
      <c r="AV1532" s="65"/>
      <c r="AW1532" s="65"/>
      <c r="AX1532" s="65"/>
      <c r="AY1532" s="65" t="str">
        <f>IFERROR(__xludf.DUMMYFUNCTION("""COMPUTED_VALUE"""),"22/01/2026")</f>
        <v>22/01/2026</v>
      </c>
      <c r="AZ1532" s="65"/>
      <c r="BA1532" s="65"/>
    </row>
    <row r="1533">
      <c r="A1533" s="65" t="str">
        <f>IFERROR(__xludf.DUMMYFUNCTION("""COMPUTED_VALUE"""),"27-03-2026")</f>
        <v>27-03-2026</v>
      </c>
      <c r="B1533" s="65">
        <f>IFERROR(__xludf.DUMMYFUNCTION("""COMPUTED_VALUE"""),4230606.0)</f>
        <v>4230606</v>
      </c>
      <c r="C1533" s="65" t="str">
        <f>IFERROR(__xludf.DUMMYFUNCTION("""COMPUTED_VALUE"""),"17:15")</f>
        <v>17:15</v>
      </c>
      <c r="D1533" s="65" t="str">
        <f>IFERROR(__xludf.DUMMYFUNCTION("""COMPUTED_VALUE"""),"21-01-2026")</f>
        <v>21-01-2026</v>
      </c>
      <c r="E1533" s="65" t="str">
        <f>IFERROR(__xludf.DUMMYFUNCTION("""COMPUTED_VALUE"""),"Lenin Fernando Gómez Moreira")</f>
        <v>Lenin Fernando Gómez Moreira</v>
      </c>
      <c r="F1533" s="65" t="str">
        <f>IFERROR(__xludf.DUMMYFUNCTION("""COMPUTED_VALUE"""),"959820769")</f>
        <v>959820769</v>
      </c>
      <c r="G1533" s="65" t="str">
        <f>IFERROR(__xludf.DUMMYFUNCTION("""COMPUTED_VALUE"""),"lenin_g2907@hotmail.com")</f>
        <v>lenin_g2907@hotmail.com</v>
      </c>
      <c r="H1533" s="65"/>
      <c r="I1533" s="65"/>
      <c r="J1533" s="65" t="str">
        <f>IFERROR(__xludf.DUMMYFUNCTION("""COMPUTED_VALUE"""),"D001250917")</f>
        <v>D001250917</v>
      </c>
      <c r="K1533" s="65" t="str">
        <f>IFERROR(__xludf.DUMMYFUNCTION("""COMPUTED_VALUE"""),"DEVOLUCION")</f>
        <v>DEVOLUCION</v>
      </c>
      <c r="L1533" s="65" t="str">
        <f>IFERROR(__xludf.DUMMYFUNCTION("""COMPUTED_VALUE"""),"CON RECAUDO")</f>
        <v>CON RECAUDO</v>
      </c>
      <c r="M1533" s="65" t="str">
        <f>IFERROR(__xludf.DUMMYFUNCTION("""COMPUTED_VALUE"""),"MANABI")</f>
        <v>MANABI</v>
      </c>
      <c r="N1533" s="65" t="str">
        <f>IFERROR(__xludf.DUMMYFUNCTION("""COMPUTED_VALUE"""),"PORTOVIEJO")</f>
        <v>PORTOVIEJO</v>
      </c>
      <c r="O1533" s="65" t="str">
        <f>IFERROR(__xludf.DUMMYFUNCTION("""COMPUTED_VALUE"""),"Portoviejo, floron #5 avenida el estudiante y calle Medardo Cevallos A 100 metros de la escuela Pablo Hannibal Vela por la cancha sintética AFU -")</f>
        <v>Portoviejo, floron #5 avenida el estudiante y calle Medardo Cevallos A 100 metros de la escuela Pablo Hannibal Vela por la cancha sintética AFU -</v>
      </c>
      <c r="P1533" s="65"/>
      <c r="Q1533" s="65" t="str">
        <f>IFERROR(__xludf.DUMMYFUNCTION("""COMPUTED_VALUE"""),"GINTRACOM")</f>
        <v>GINTRACOM</v>
      </c>
      <c r="R1533" s="65">
        <f>IFERROR(__xludf.DUMMYFUNCTION("""COMPUTED_VALUE"""),30.0)</f>
        <v>30</v>
      </c>
      <c r="S1533" s="65"/>
      <c r="T1533" s="65">
        <f>IFERROR(__xludf.DUMMYFUNCTION("""COMPUTED_VALUE"""),6.16)</f>
        <v>6.16</v>
      </c>
      <c r="U1533" s="65">
        <f>IFERROR(__xludf.DUMMYFUNCTION("""COMPUTED_VALUE"""),0.0)</f>
        <v>0</v>
      </c>
      <c r="V1533" s="65">
        <f>IFERROR(__xludf.DUMMYFUNCTION("""COMPUTED_VALUE"""),0.0)</f>
        <v>0</v>
      </c>
      <c r="W1533" s="65">
        <f>IFERROR(__xludf.DUMMYFUNCTION("""COMPUTED_VALUE"""),0.0)</f>
        <v>0</v>
      </c>
      <c r="X1533" s="65">
        <f>IFERROR(__xludf.DUMMYFUNCTION("""COMPUTED_VALUE"""),2.35)</f>
        <v>2.35</v>
      </c>
      <c r="Y1533" s="65">
        <f>IFERROR(__xludf.DUMMYFUNCTION("""COMPUTED_VALUE"""),7.05)</f>
        <v>7.05</v>
      </c>
      <c r="Z1533" s="65">
        <f>IFERROR(__xludf.DUMMYFUNCTION("""COMPUTED_VALUE"""),116679.0)</f>
        <v>116679</v>
      </c>
      <c r="AA1533" s="65" t="str">
        <f>IFERROR(__xludf.DUMMYFUNCTION("""COMPUTED_VALUE"""),"AMC-2738")</f>
        <v>AMC-2738</v>
      </c>
      <c r="AB1533" s="65"/>
      <c r="AC1533" s="65" t="str">
        <f>IFERROR(__xludf.DUMMYFUNCTION("""COMPUTED_VALUE"""),"ESPONJA ANTILLUVIA DE PARABRISAS")</f>
        <v>ESPONJA ANTILLUVIA DE PARABRISAS</v>
      </c>
      <c r="AD1533" s="65"/>
      <c r="AE1533" s="65">
        <f>IFERROR(__xludf.DUMMYFUNCTION("""COMPUTED_VALUE"""),3.0)</f>
        <v>3</v>
      </c>
      <c r="AF1533" s="65" t="str">
        <f>IFERROR(__xludf.DUMMYFUNCTION("""COMPUTED_VALUE"""),"DESTINATARIO NO CONTESTA LLAMADAS NI WHATSAPP")</f>
        <v>DESTINATARIO NO CONTESTA LLAMADAS NI WHATSAPP</v>
      </c>
      <c r="AG1533" s="65" t="str">
        <f>IFERROR(__xludf.DUMMYFUNCTION("""COMPUTED_VALUE"""),"NO")</f>
        <v>NO</v>
      </c>
      <c r="AH1533" s="65" t="str">
        <f>IFERROR(__xludf.DUMMYFUNCTION("""COMPUTED_VALUE"""),"09:00")</f>
        <v>09:00</v>
      </c>
      <c r="AI1533" s="65" t="str">
        <f>IFERROR(__xludf.DUMMYFUNCTION("""COMPUTED_VALUE"""),"03-02-2026")</f>
        <v>03-02-2026</v>
      </c>
      <c r="AJ1533" s="65"/>
      <c r="AK1533" s="65"/>
      <c r="AL1533" s="65"/>
      <c r="AM1533" s="65"/>
      <c r="AN1533" s="65" t="str">
        <f>IFERROR(__xludf.DUMMYFUNCTION("""COMPUTED_VALUE"""),"20:50")</f>
        <v>20:50</v>
      </c>
      <c r="AO1533" s="65" t="str">
        <f>IFERROR(__xludf.DUMMYFUNCTION("""COMPUTED_VALUE"""),"13-02-2026")</f>
        <v>13-02-2026</v>
      </c>
      <c r="AP1533" s="65" t="str">
        <f>IFERROR(__xludf.DUMMYFUNCTION("""COMPUTED_VALUE"""),"DEVOLUCIÓN ENTREGADA A ORIGEN")</f>
        <v>DEVOLUCIÓN ENTREGADA A ORIGEN</v>
      </c>
      <c r="AQ1533" s="65" t="str">
        <f>IFERROR(__xludf.DUMMYFUNCTION("""COMPUTED_VALUE"""),"DEVOLUCIÓN ENTREGADA A ORIGEN")</f>
        <v>DEVOLUCIÓN ENTREGADA A ORIGEN</v>
      </c>
      <c r="AR1533" s="65"/>
      <c r="AS1533" s="65"/>
      <c r="AT1533" s="65" t="str">
        <f>IFERROR(__xludf.DUMMYFUNCTION("""COMPUTED_VALUE"""),"SHOPIFY")</f>
        <v>SHOPIFY</v>
      </c>
      <c r="AU1533" s="65" t="str">
        <f>IFERROR(__xludf.DUMMYFUNCTION("""COMPUTED_VALUE"""),"IMPORTEX EC")</f>
        <v>IMPORTEX EC</v>
      </c>
      <c r="AV1533" s="65" t="str">
        <f>IFERROR(__xludf.DUMMYFUNCTION("""COMPUTED_VALUE"""),"6421610594348")</f>
        <v>6421610594348</v>
      </c>
      <c r="AW1533" s="65">
        <f>IFERROR(__xludf.DUMMYFUNCTION("""COMPUTED_VALUE"""),5347.0)</f>
        <v>5347</v>
      </c>
      <c r="AX1533" s="65"/>
      <c r="AY1533" s="65" t="str">
        <f>IFERROR(__xludf.DUMMYFUNCTION("""COMPUTED_VALUE"""),"22/01/2026")</f>
        <v>22/01/2026</v>
      </c>
      <c r="AZ1533" s="65"/>
      <c r="BA1533" s="65"/>
    </row>
    <row r="1534">
      <c r="A1534" s="65" t="str">
        <f>IFERROR(__xludf.DUMMYFUNCTION("""COMPUTED_VALUE"""),"27-03-2026")</f>
        <v>27-03-2026</v>
      </c>
      <c r="B1534" s="65">
        <f>IFERROR(__xludf.DUMMYFUNCTION("""COMPUTED_VALUE"""),4221972.0)</f>
        <v>4221972</v>
      </c>
      <c r="C1534" s="65" t="str">
        <f>IFERROR(__xludf.DUMMYFUNCTION("""COMPUTED_VALUE"""),"23:27")</f>
        <v>23:27</v>
      </c>
      <c r="D1534" s="65" t="str">
        <f>IFERROR(__xludf.DUMMYFUNCTION("""COMPUTED_VALUE"""),"20-01-2026")</f>
        <v>20-01-2026</v>
      </c>
      <c r="E1534" s="65" t="str">
        <f>IFERROR(__xludf.DUMMYFUNCTION("""COMPUTED_VALUE"""),"David Polit")</f>
        <v>David Polit</v>
      </c>
      <c r="F1534" s="65" t="str">
        <f>IFERROR(__xludf.DUMMYFUNCTION("""COMPUTED_VALUE"""),"987216836")</f>
        <v>987216836</v>
      </c>
      <c r="G1534" s="65" t="str">
        <f>IFERROR(__xludf.DUMMYFUNCTION("""COMPUTED_VALUE"""),"gdpolit@gmail.com")</f>
        <v>gdpolit@gmail.com</v>
      </c>
      <c r="H1534" s="65"/>
      <c r="I1534" s="65"/>
      <c r="J1534" s="65" t="str">
        <f>IFERROR(__xludf.DUMMYFUNCTION("""COMPUTED_VALUE"""),"D001254703")</f>
        <v>D001254703</v>
      </c>
      <c r="K1534" s="65" t="str">
        <f>IFERROR(__xludf.DUMMYFUNCTION("""COMPUTED_VALUE"""),"ENTREGADO")</f>
        <v>ENTREGADO</v>
      </c>
      <c r="L1534" s="65" t="str">
        <f>IFERROR(__xludf.DUMMYFUNCTION("""COMPUTED_VALUE"""),"CON RECAUDO")</f>
        <v>CON RECAUDO</v>
      </c>
      <c r="M1534" s="65" t="str">
        <f>IFERROR(__xludf.DUMMYFUNCTION("""COMPUTED_VALUE"""),"SANTO DOMINGO DE LOS TSACHILAS")</f>
        <v>SANTO DOMINGO DE LOS TSACHILAS</v>
      </c>
      <c r="N1534" s="65" t="str">
        <f>IFERROR(__xludf.DUMMYFUNCTION("""COMPUTED_VALUE"""),"SANTO DOMINGO")</f>
        <v>SANTO DOMINGO</v>
      </c>
      <c r="O1534" s="65" t="str">
        <f>IFERROR(__xludf.DUMMYFUNCTION("""COMPUTED_VALUE"""),"Av vengala y jaime andrade marin Casa 185 conjunto valle bomboli -")</f>
        <v>Av vengala y jaime andrade marin Casa 185 conjunto valle bomboli -</v>
      </c>
      <c r="P1534" s="65"/>
      <c r="Q1534" s="65" t="str">
        <f>IFERROR(__xludf.DUMMYFUNCTION("""COMPUTED_VALUE"""),"GINTRACOM")</f>
        <v>GINTRACOM</v>
      </c>
      <c r="R1534" s="65">
        <f>IFERROR(__xludf.DUMMYFUNCTION("""COMPUTED_VALUE"""),25.0)</f>
        <v>25</v>
      </c>
      <c r="S1534" s="65">
        <f>IFERROR(__xludf.DUMMYFUNCTION("""COMPUTED_VALUE"""),14.34)</f>
        <v>14.34</v>
      </c>
      <c r="T1534" s="65">
        <f>IFERROR(__xludf.DUMMYFUNCTION("""COMPUTED_VALUE"""),5.96)</f>
        <v>5.96</v>
      </c>
      <c r="U1534" s="65">
        <f>IFERROR(__xludf.DUMMYFUNCTION("""COMPUTED_VALUE"""),0.0)</f>
        <v>0</v>
      </c>
      <c r="V1534" s="65">
        <f>IFERROR(__xludf.DUMMYFUNCTION("""COMPUTED_VALUE"""),0.0)</f>
        <v>0</v>
      </c>
      <c r="W1534" s="65">
        <f>IFERROR(__xludf.DUMMYFUNCTION("""COMPUTED_VALUE"""),0.0)</f>
        <v>0</v>
      </c>
      <c r="X1534" s="65">
        <f>IFERROR(__xludf.DUMMYFUNCTION("""COMPUTED_VALUE"""),2.35)</f>
        <v>2.35</v>
      </c>
      <c r="Y1534" s="65">
        <f>IFERROR(__xludf.DUMMYFUNCTION("""COMPUTED_VALUE"""),4.7)</f>
        <v>4.7</v>
      </c>
      <c r="Z1534" s="65">
        <f>IFERROR(__xludf.DUMMYFUNCTION("""COMPUTED_VALUE"""),116679.0)</f>
        <v>116679</v>
      </c>
      <c r="AA1534" s="65" t="str">
        <f>IFERROR(__xludf.DUMMYFUNCTION("""COMPUTED_VALUE"""),"AMC-2738")</f>
        <v>AMC-2738</v>
      </c>
      <c r="AB1534" s="65"/>
      <c r="AC1534" s="65" t="str">
        <f>IFERROR(__xludf.DUMMYFUNCTION("""COMPUTED_VALUE"""),"ESPONJA ANTILLUVIA DE PARABRISAS")</f>
        <v>ESPONJA ANTILLUVIA DE PARABRISAS</v>
      </c>
      <c r="AD1534" s="65"/>
      <c r="AE1534" s="65">
        <f>IFERROR(__xludf.DUMMYFUNCTION("""COMPUTED_VALUE"""),2.0)</f>
        <v>2</v>
      </c>
      <c r="AF1534" s="65" t="str">
        <f>IFERROR(__xludf.DUMMYFUNCTION("""COMPUTED_VALUE"""),"DESTINATARIO NO CONTESTA LLAMADAS NI WHATSAPP")</f>
        <v>DESTINATARIO NO CONTESTA LLAMADAS NI WHATSAPP</v>
      </c>
      <c r="AG1534" s="65" t="str">
        <f>IFERROR(__xludf.DUMMYFUNCTION("""COMPUTED_VALUE"""),"NO")</f>
        <v>NO</v>
      </c>
      <c r="AH1534" s="65" t="str">
        <f>IFERROR(__xludf.DUMMYFUNCTION("""COMPUTED_VALUE"""),"19:25")</f>
        <v>19:25</v>
      </c>
      <c r="AI1534" s="65" t="str">
        <f>IFERROR(__xludf.DUMMYFUNCTION("""COMPUTED_VALUE"""),"26-01-2026")</f>
        <v>26-01-2026</v>
      </c>
      <c r="AJ1534" s="65"/>
      <c r="AK1534" s="65"/>
      <c r="AL1534" s="65"/>
      <c r="AM1534" s="65"/>
      <c r="AN1534" s="65" t="str">
        <f>IFERROR(__xludf.DUMMYFUNCTION("""COMPUTED_VALUE"""),"19:25")</f>
        <v>19:25</v>
      </c>
      <c r="AO1534" s="65" t="str">
        <f>IFERROR(__xludf.DUMMYFUNCTION("""COMPUTED_VALUE"""),"26-01-2026")</f>
        <v>26-01-2026</v>
      </c>
      <c r="AP1534" s="65" t="str">
        <f>IFERROR(__xludf.DUMMYFUNCTION("""COMPUTED_VALUE"""),"DESTINATARIO NO CONTESTA LLAMADAS NI WHATSAPP")</f>
        <v>DESTINATARIO NO CONTESTA LLAMADAS NI WHATSAPP</v>
      </c>
      <c r="AQ1534" s="65" t="str">
        <f>IFERROR(__xludf.DUMMYFUNCTION("""COMPUTED_VALUE"""),"DESTINATARIO NO CONTESTA LLAMADAS NI WHATSAPP")</f>
        <v>DESTINATARIO NO CONTESTA LLAMADAS NI WHATSAPP</v>
      </c>
      <c r="AR1534" s="65"/>
      <c r="AS1534" s="65"/>
      <c r="AT1534" s="65" t="str">
        <f>IFERROR(__xludf.DUMMYFUNCTION("""COMPUTED_VALUE"""),"SHOPIFY")</f>
        <v>SHOPIFY</v>
      </c>
      <c r="AU1534" s="65" t="str">
        <f>IFERROR(__xludf.DUMMYFUNCTION("""COMPUTED_VALUE"""),"IMPORTEX EC")</f>
        <v>IMPORTEX EC</v>
      </c>
      <c r="AV1534" s="65" t="str">
        <f>IFERROR(__xludf.DUMMYFUNCTION("""COMPUTED_VALUE"""),"6426117832748")</f>
        <v>6426117832748</v>
      </c>
      <c r="AW1534" s="65">
        <f>IFERROR(__xludf.DUMMYFUNCTION("""COMPUTED_VALUE"""),5397.0)</f>
        <v>5397</v>
      </c>
      <c r="AX1534" s="65"/>
      <c r="AY1534" s="65" t="str">
        <f>IFERROR(__xludf.DUMMYFUNCTION("""COMPUTED_VALUE"""),"23/01/2026")</f>
        <v>23/01/2026</v>
      </c>
      <c r="AZ1534" s="65"/>
      <c r="BA1534" s="65"/>
    </row>
    <row r="1535">
      <c r="A1535" s="65" t="str">
        <f>IFERROR(__xludf.DUMMYFUNCTION("""COMPUTED_VALUE"""),"27-03-2026")</f>
        <v>27-03-2026</v>
      </c>
      <c r="B1535" s="65">
        <f>IFERROR(__xludf.DUMMYFUNCTION("""COMPUTED_VALUE"""),4221900.0)</f>
        <v>4221900</v>
      </c>
      <c r="C1535" s="65" t="str">
        <f>IFERROR(__xludf.DUMMYFUNCTION("""COMPUTED_VALUE"""),"23:21")</f>
        <v>23:21</v>
      </c>
      <c r="D1535" s="65" t="str">
        <f>IFERROR(__xludf.DUMMYFUNCTION("""COMPUTED_VALUE"""),"20-01-2026")</f>
        <v>20-01-2026</v>
      </c>
      <c r="E1535" s="65" t="str">
        <f>IFERROR(__xludf.DUMMYFUNCTION("""COMPUTED_VALUE"""),"Washington Raza")</f>
        <v>Washington Raza</v>
      </c>
      <c r="F1535" s="65" t="str">
        <f>IFERROR(__xludf.DUMMYFUNCTION("""COMPUTED_VALUE"""),"984174453")</f>
        <v>984174453</v>
      </c>
      <c r="G1535" s="65" t="str">
        <f>IFERROR(__xludf.DUMMYFUNCTION("""COMPUTED_VALUE"""),"washoraza@yahoo.es")</f>
        <v>washoraza@yahoo.es</v>
      </c>
      <c r="H1535" s="65"/>
      <c r="I1535" s="65"/>
      <c r="J1535" s="65" t="str">
        <f>IFERROR(__xludf.DUMMYFUNCTION("""COMPUTED_VALUE"""),"D001254704")</f>
        <v>D001254704</v>
      </c>
      <c r="K1535" s="65" t="str">
        <f>IFERROR(__xludf.DUMMYFUNCTION("""COMPUTED_VALUE"""),"DEVOLUCION")</f>
        <v>DEVOLUCION</v>
      </c>
      <c r="L1535" s="65" t="str">
        <f>IFERROR(__xludf.DUMMYFUNCTION("""COMPUTED_VALUE"""),"CON RECAUDO")</f>
        <v>CON RECAUDO</v>
      </c>
      <c r="M1535" s="65" t="str">
        <f>IFERROR(__xludf.DUMMYFUNCTION("""COMPUTED_VALUE"""),"PICHINCHA")</f>
        <v>PICHINCHA</v>
      </c>
      <c r="N1535" s="65" t="str">
        <f>IFERROR(__xludf.DUMMYFUNCTION("""COMPUTED_VALUE"""),"QUITO")</f>
        <v>QUITO</v>
      </c>
      <c r="O1535" s="65" t="str">
        <f>IFERROR(__xludf.DUMMYFUNCTION("""COMPUTED_VALUE"""),"Ferroviaria sector el obelisco Roberto Thompson E7-38 -")</f>
        <v>Ferroviaria sector el obelisco Roberto Thompson E7-38 -</v>
      </c>
      <c r="P1535" s="65"/>
      <c r="Q1535" s="65" t="str">
        <f>IFERROR(__xludf.DUMMYFUNCTION("""COMPUTED_VALUE"""),"GINTRACOM")</f>
        <v>GINTRACOM</v>
      </c>
      <c r="R1535" s="65">
        <f>IFERROR(__xludf.DUMMYFUNCTION("""COMPUTED_VALUE"""),30.0)</f>
        <v>30</v>
      </c>
      <c r="S1535" s="65"/>
      <c r="T1535" s="65">
        <f>IFERROR(__xludf.DUMMYFUNCTION("""COMPUTED_VALUE"""),4.55)</f>
        <v>4.55</v>
      </c>
      <c r="U1535" s="65">
        <f>IFERROR(__xludf.DUMMYFUNCTION("""COMPUTED_VALUE"""),0.0)</f>
        <v>0</v>
      </c>
      <c r="V1535" s="65">
        <f>IFERROR(__xludf.DUMMYFUNCTION("""COMPUTED_VALUE"""),0.0)</f>
        <v>0</v>
      </c>
      <c r="W1535" s="65">
        <f>IFERROR(__xludf.DUMMYFUNCTION("""COMPUTED_VALUE"""),0.0)</f>
        <v>0</v>
      </c>
      <c r="X1535" s="65">
        <f>IFERROR(__xludf.DUMMYFUNCTION("""COMPUTED_VALUE"""),2.35)</f>
        <v>2.35</v>
      </c>
      <c r="Y1535" s="65">
        <f>IFERROR(__xludf.DUMMYFUNCTION("""COMPUTED_VALUE"""),7.05)</f>
        <v>7.05</v>
      </c>
      <c r="Z1535" s="65">
        <f>IFERROR(__xludf.DUMMYFUNCTION("""COMPUTED_VALUE"""),116679.0)</f>
        <v>116679</v>
      </c>
      <c r="AA1535" s="65" t="str">
        <f>IFERROR(__xludf.DUMMYFUNCTION("""COMPUTED_VALUE"""),"AMC-2738")</f>
        <v>AMC-2738</v>
      </c>
      <c r="AB1535" s="65"/>
      <c r="AC1535" s="65" t="str">
        <f>IFERROR(__xludf.DUMMYFUNCTION("""COMPUTED_VALUE"""),"ESPONJA ANTILLUVIA DE PARABRISAS")</f>
        <v>ESPONJA ANTILLUVIA DE PARABRISAS</v>
      </c>
      <c r="AD1535" s="65"/>
      <c r="AE1535" s="65">
        <f>IFERROR(__xludf.DUMMYFUNCTION("""COMPUTED_VALUE"""),3.0)</f>
        <v>3</v>
      </c>
      <c r="AF1535" s="65" t="str">
        <f>IFERROR(__xludf.DUMMYFUNCTION("""COMPUTED_VALUE"""),"DESTINATARIO NO CONTESTA LLAMADAS NI WHATSAPP")</f>
        <v>DESTINATARIO NO CONTESTA LLAMADAS NI WHATSAPP</v>
      </c>
      <c r="AG1535" s="65" t="str">
        <f>IFERROR(__xludf.DUMMYFUNCTION("""COMPUTED_VALUE"""),"NO")</f>
        <v>NO</v>
      </c>
      <c r="AH1535" s="65" t="str">
        <f>IFERROR(__xludf.DUMMYFUNCTION("""COMPUTED_VALUE"""),"09:00")</f>
        <v>09:00</v>
      </c>
      <c r="AI1535" s="65" t="str">
        <f>IFERROR(__xludf.DUMMYFUNCTION("""COMPUTED_VALUE"""),"03-02-2026")</f>
        <v>03-02-2026</v>
      </c>
      <c r="AJ1535" s="65"/>
      <c r="AK1535" s="65"/>
      <c r="AL1535" s="65"/>
      <c r="AM1535" s="65"/>
      <c r="AN1535" s="65" t="str">
        <f>IFERROR(__xludf.DUMMYFUNCTION("""COMPUTED_VALUE"""),"20:50")</f>
        <v>20:50</v>
      </c>
      <c r="AO1535" s="65" t="str">
        <f>IFERROR(__xludf.DUMMYFUNCTION("""COMPUTED_VALUE"""),"13-02-2026")</f>
        <v>13-02-2026</v>
      </c>
      <c r="AP1535" s="65" t="str">
        <f>IFERROR(__xludf.DUMMYFUNCTION("""COMPUTED_VALUE"""),"DEVOLUCIÓN ENTREGADA A ORIGEN")</f>
        <v>DEVOLUCIÓN ENTREGADA A ORIGEN</v>
      </c>
      <c r="AQ1535" s="65" t="str">
        <f>IFERROR(__xludf.DUMMYFUNCTION("""COMPUTED_VALUE"""),"DEVOLUCIÓN ENTREGADA A ORIGEN")</f>
        <v>DEVOLUCIÓN ENTREGADA A ORIGEN</v>
      </c>
      <c r="AR1535" s="65"/>
      <c r="AS1535" s="65"/>
      <c r="AT1535" s="65" t="str">
        <f>IFERROR(__xludf.DUMMYFUNCTION("""COMPUTED_VALUE"""),"SHOPIFY")</f>
        <v>SHOPIFY</v>
      </c>
      <c r="AU1535" s="65" t="str">
        <f>IFERROR(__xludf.DUMMYFUNCTION("""COMPUTED_VALUE"""),"IMPORTEX EC")</f>
        <v>IMPORTEX EC</v>
      </c>
      <c r="AV1535" s="65" t="str">
        <f>IFERROR(__xludf.DUMMYFUNCTION("""COMPUTED_VALUE"""),"6425793855532")</f>
        <v>6425793855532</v>
      </c>
      <c r="AW1535" s="65">
        <f>IFERROR(__xludf.DUMMYFUNCTION("""COMPUTED_VALUE"""),5394.0)</f>
        <v>5394</v>
      </c>
      <c r="AX1535" s="65"/>
      <c r="AY1535" s="65" t="str">
        <f>IFERROR(__xludf.DUMMYFUNCTION("""COMPUTED_VALUE"""),"23/01/2026")</f>
        <v>23/01/2026</v>
      </c>
      <c r="AZ1535" s="65"/>
      <c r="BA1535" s="65"/>
    </row>
    <row r="1536">
      <c r="A1536" s="65" t="str">
        <f>IFERROR(__xludf.DUMMYFUNCTION("""COMPUTED_VALUE"""),"27-03-2026")</f>
        <v>27-03-2026</v>
      </c>
      <c r="B1536" s="65">
        <f>IFERROR(__xludf.DUMMYFUNCTION("""COMPUTED_VALUE"""),4221213.0)</f>
        <v>4221213</v>
      </c>
      <c r="C1536" s="65" t="str">
        <f>IFERROR(__xludf.DUMMYFUNCTION("""COMPUTED_VALUE"""),"22:28")</f>
        <v>22:28</v>
      </c>
      <c r="D1536" s="65" t="str">
        <f>IFERROR(__xludf.DUMMYFUNCTION("""COMPUTED_VALUE"""),"20-01-2026")</f>
        <v>20-01-2026</v>
      </c>
      <c r="E1536" s="65" t="str">
        <f>IFERROR(__xludf.DUMMYFUNCTION("""COMPUTED_VALUE"""),"Misael Uquiña")</f>
        <v>Misael Uquiña</v>
      </c>
      <c r="F1536" s="65" t="str">
        <f>IFERROR(__xludf.DUMMYFUNCTION("""COMPUTED_VALUE"""),"980021039")</f>
        <v>980021039</v>
      </c>
      <c r="G1536" s="65"/>
      <c r="H1536" s="65"/>
      <c r="I1536" s="65"/>
      <c r="J1536" s="65"/>
      <c r="K1536" s="65" t="str">
        <f>IFERROR(__xludf.DUMMYFUNCTION("""COMPUTED_VALUE"""),"PENDIENTE CONFIRMACION")</f>
        <v>PENDIENTE CONFIRMACION</v>
      </c>
      <c r="L1536" s="65" t="str">
        <f>IFERROR(__xludf.DUMMYFUNCTION("""COMPUTED_VALUE"""),"CON RECAUDO")</f>
        <v>CON RECAUDO</v>
      </c>
      <c r="M1536" s="65" t="str">
        <f>IFERROR(__xludf.DUMMYFUNCTION("""COMPUTED_VALUE"""),"ORELLANA")</f>
        <v>ORELLANA</v>
      </c>
      <c r="N1536" s="65" t="str">
        <f>IFERROR(__xludf.DUMMYFUNCTION("""COMPUTED_VALUE"""),"EL COCA")</f>
        <v>EL COCA</v>
      </c>
      <c r="O1536" s="65" t="str">
        <f>IFERROR(__xludf.DUMMYFUNCTION("""COMPUTED_VALUE"""),"CS: EL COCA_CENTRO / AV 9 DE OCTUBRE S/N Y RIO TIPUTINI")</f>
        <v>CS: EL COCA_CENTRO / AV 9 DE OCTUBRE S/N Y RIO TIPUTINI</v>
      </c>
      <c r="P1536" s="65"/>
      <c r="Q1536" s="65" t="str">
        <f>IFERROR(__xludf.DUMMYFUNCTION("""COMPUTED_VALUE"""),"SERVIENTREGA")</f>
        <v>SERVIENTREGA</v>
      </c>
      <c r="R1536" s="65">
        <f>IFERROR(__xludf.DUMMYFUNCTION("""COMPUTED_VALUE"""),25.0)</f>
        <v>25</v>
      </c>
      <c r="S1536" s="65"/>
      <c r="T1536" s="65">
        <f>IFERROR(__xludf.DUMMYFUNCTION("""COMPUTED_VALUE"""),7.75)</f>
        <v>7.75</v>
      </c>
      <c r="U1536" s="65">
        <f>IFERROR(__xludf.DUMMYFUNCTION("""COMPUTED_VALUE"""),0.0)</f>
        <v>0</v>
      </c>
      <c r="V1536" s="65">
        <f>IFERROR(__xludf.DUMMYFUNCTION("""COMPUTED_VALUE"""),0.0)</f>
        <v>0</v>
      </c>
      <c r="W1536" s="65">
        <f>IFERROR(__xludf.DUMMYFUNCTION("""COMPUTED_VALUE"""),0.0)</f>
        <v>0</v>
      </c>
      <c r="X1536" s="65">
        <f>IFERROR(__xludf.DUMMYFUNCTION("""COMPUTED_VALUE"""),2.35)</f>
        <v>2.35</v>
      </c>
      <c r="Y1536" s="65">
        <f>IFERROR(__xludf.DUMMYFUNCTION("""COMPUTED_VALUE"""),4.7)</f>
        <v>4.7</v>
      </c>
      <c r="Z1536" s="65">
        <f>IFERROR(__xludf.DUMMYFUNCTION("""COMPUTED_VALUE"""),116679.0)</f>
        <v>116679</v>
      </c>
      <c r="AA1536" s="65" t="str">
        <f>IFERROR(__xludf.DUMMYFUNCTION("""COMPUTED_VALUE"""),"AMC-2738")</f>
        <v>AMC-2738</v>
      </c>
      <c r="AB1536" s="65"/>
      <c r="AC1536" s="65" t="str">
        <f>IFERROR(__xludf.DUMMYFUNCTION("""COMPUTED_VALUE"""),"ESPONJA ANTILLUVIA DE PARABRISAS")</f>
        <v>ESPONJA ANTILLUVIA DE PARABRISAS</v>
      </c>
      <c r="AD1536" s="65"/>
      <c r="AE1536" s="65">
        <f>IFERROR(__xludf.DUMMYFUNCTION("""COMPUTED_VALUE"""),2.0)</f>
        <v>2</v>
      </c>
      <c r="AF1536" s="65"/>
      <c r="AG1536" s="65"/>
      <c r="AH1536" s="65"/>
      <c r="AI1536" s="65"/>
      <c r="AJ1536" s="65"/>
      <c r="AK1536" s="65"/>
      <c r="AL1536" s="65"/>
      <c r="AM1536" s="65"/>
      <c r="AN1536" s="65"/>
      <c r="AO1536" s="65"/>
      <c r="AP1536" s="65"/>
      <c r="AQ1536" s="65"/>
      <c r="AR1536" s="65"/>
      <c r="AS1536" s="65" t="str">
        <f>IFERROR(__xludf.DUMMYFUNCTION("""COMPUTED_VALUE"""),"Bayron Gomez")</f>
        <v>Bayron Gomez</v>
      </c>
      <c r="AT1536" s="65"/>
      <c r="AU1536" s="65"/>
      <c r="AV1536" s="65"/>
      <c r="AW1536" s="65"/>
      <c r="AX1536" s="65"/>
      <c r="AY1536" s="65"/>
      <c r="AZ1536" s="65"/>
      <c r="BA1536" s="65"/>
    </row>
    <row r="1537">
      <c r="A1537" s="65" t="str">
        <f>IFERROR(__xludf.DUMMYFUNCTION("""COMPUTED_VALUE"""),"27-03-2026")</f>
        <v>27-03-2026</v>
      </c>
      <c r="B1537" s="65">
        <f>IFERROR(__xludf.DUMMYFUNCTION("""COMPUTED_VALUE"""),4201335.0)</f>
        <v>4201335</v>
      </c>
      <c r="C1537" s="65" t="str">
        <f>IFERROR(__xludf.DUMMYFUNCTION("""COMPUTED_VALUE"""),"10:25")</f>
        <v>10:25</v>
      </c>
      <c r="D1537" s="65" t="str">
        <f>IFERROR(__xludf.DUMMYFUNCTION("""COMPUTED_VALUE"""),"19-01-2026")</f>
        <v>19-01-2026</v>
      </c>
      <c r="E1537" s="65" t="str">
        <f>IFERROR(__xludf.DUMMYFUNCTION("""COMPUTED_VALUE"""),"Nidson Cecilio Peña Anchundia")</f>
        <v>Nidson Cecilio Peña Anchundia</v>
      </c>
      <c r="F1537" s="65" t="str">
        <f>IFERROR(__xludf.DUMMYFUNCTION("""COMPUTED_VALUE"""),"969851057")</f>
        <v>969851057</v>
      </c>
      <c r="G1537" s="65"/>
      <c r="H1537" s="65"/>
      <c r="I1537" s="65"/>
      <c r="J1537" s="65"/>
      <c r="K1537" s="65" t="str">
        <f>IFERROR(__xludf.DUMMYFUNCTION("""COMPUTED_VALUE"""),"PENDIENTE CONFIRMACION")</f>
        <v>PENDIENTE CONFIRMACION</v>
      </c>
      <c r="L1537" s="65" t="str">
        <f>IFERROR(__xludf.DUMMYFUNCTION("""COMPUTED_VALUE"""),"CON RECAUDO")</f>
        <v>CON RECAUDO</v>
      </c>
      <c r="M1537" s="65" t="str">
        <f>IFERROR(__xludf.DUMMYFUNCTION("""COMPUTED_VALUE"""),"PICHINCHA")</f>
        <v>PICHINCHA</v>
      </c>
      <c r="N1537" s="65" t="str">
        <f>IFERROR(__xludf.DUMMYFUNCTION("""COMPUTED_VALUE"""),"PUERTO QUITO")</f>
        <v>PUERTO QUITO</v>
      </c>
      <c r="O1537" s="65" t="str">
        <f>IFERROR(__xludf.DUMMYFUNCTION("""COMPUTED_VALUE"""),"(SERVIENTREGA) CS: PUERTO QUITO_PRINCIPAL / UNIDAD NACIONAL 8L Y LOJA")</f>
        <v>(SERVIENTREGA) CS: PUERTO QUITO_PRINCIPAL / UNIDAD NACIONAL 8L Y LOJA</v>
      </c>
      <c r="P1537" s="65"/>
      <c r="Q1537" s="65" t="str">
        <f>IFERROR(__xludf.DUMMYFUNCTION("""COMPUTED_VALUE"""),"SERVIENTREGA")</f>
        <v>SERVIENTREGA</v>
      </c>
      <c r="R1537" s="65">
        <f>IFERROR(__xludf.DUMMYFUNCTION("""COMPUTED_VALUE"""),22.0)</f>
        <v>22</v>
      </c>
      <c r="S1537" s="65"/>
      <c r="T1537" s="65">
        <f>IFERROR(__xludf.DUMMYFUNCTION("""COMPUTED_VALUE"""),7.7)</f>
        <v>7.7</v>
      </c>
      <c r="U1537" s="65">
        <f>IFERROR(__xludf.DUMMYFUNCTION("""COMPUTED_VALUE"""),0.0)</f>
        <v>0</v>
      </c>
      <c r="V1537" s="65">
        <f>IFERROR(__xludf.DUMMYFUNCTION("""COMPUTED_VALUE"""),0.0)</f>
        <v>0</v>
      </c>
      <c r="W1537" s="65">
        <f>IFERROR(__xludf.DUMMYFUNCTION("""COMPUTED_VALUE"""),0.0)</f>
        <v>0</v>
      </c>
      <c r="X1537" s="65">
        <f>IFERROR(__xludf.DUMMYFUNCTION("""COMPUTED_VALUE"""),2.6)</f>
        <v>2.6</v>
      </c>
      <c r="Y1537" s="65">
        <f>IFERROR(__xludf.DUMMYFUNCTION("""COMPUTED_VALUE"""),5.2)</f>
        <v>5.2</v>
      </c>
      <c r="Z1537" s="65">
        <f>IFERROR(__xludf.DUMMYFUNCTION("""COMPUTED_VALUE"""),121983.0)</f>
        <v>121983</v>
      </c>
      <c r="AA1537" s="65" t="str">
        <f>IFERROR(__xludf.DUMMYFUNCTION("""COMPUTED_VALUE"""),"PROV-CHLLCF")</f>
        <v>PROV-CHLLCF</v>
      </c>
      <c r="AB1537" s="65"/>
      <c r="AC1537" s="65" t="str">
        <f>IFERROR(__xludf.DUMMYFUNCTION("""COMPUTED_VALUE"""),"CUCHILLO PARA CHEF")</f>
        <v>CUCHILLO PARA CHEF</v>
      </c>
      <c r="AD1537" s="65"/>
      <c r="AE1537" s="65">
        <f>IFERROR(__xludf.DUMMYFUNCTION("""COMPUTED_VALUE"""),2.0)</f>
        <v>2</v>
      </c>
      <c r="AF1537" s="65"/>
      <c r="AG1537" s="65"/>
      <c r="AH1537" s="65"/>
      <c r="AI1537" s="65"/>
      <c r="AJ1537" s="65"/>
      <c r="AK1537" s="65"/>
      <c r="AL1537" s="65"/>
      <c r="AM1537" s="65"/>
      <c r="AN1537" s="65"/>
      <c r="AO1537" s="65"/>
      <c r="AP1537" s="65"/>
      <c r="AQ1537" s="65"/>
      <c r="AR1537" s="65"/>
      <c r="AS1537" s="65" t="str">
        <f>IFERROR(__xludf.DUMMYFUNCTION("""COMPUTED_VALUE"""),"Bayron Gomez")</f>
        <v>Bayron Gomez</v>
      </c>
      <c r="AT1537" s="65"/>
      <c r="AU1537" s="65"/>
      <c r="AV1537" s="65"/>
      <c r="AW1537" s="65"/>
      <c r="AX1537" s="65"/>
      <c r="AY1537" s="65"/>
      <c r="AZ1537" s="65"/>
      <c r="BA1537" s="65"/>
    </row>
    <row r="1538">
      <c r="A1538" s="65" t="str">
        <f>IFERROR(__xludf.DUMMYFUNCTION("""COMPUTED_VALUE"""),"27-03-2026")</f>
        <v>27-03-2026</v>
      </c>
      <c r="B1538" s="65">
        <f>IFERROR(__xludf.DUMMYFUNCTION("""COMPUTED_VALUE"""),4190595.0)</f>
        <v>4190595</v>
      </c>
      <c r="C1538" s="65" t="str">
        <f>IFERROR(__xludf.DUMMYFUNCTION("""COMPUTED_VALUE"""),"13:47")</f>
        <v>13:47</v>
      </c>
      <c r="D1538" s="65" t="str">
        <f>IFERROR(__xludf.DUMMYFUNCTION("""COMPUTED_VALUE"""),"18-01-2026")</f>
        <v>18-01-2026</v>
      </c>
      <c r="E1538" s="65" t="str">
        <f>IFERROR(__xludf.DUMMYFUNCTION("""COMPUTED_VALUE"""),"Carlina Toledo")</f>
        <v>Carlina Toledo</v>
      </c>
      <c r="F1538" s="65" t="str">
        <f>IFERROR(__xludf.DUMMYFUNCTION("""COMPUTED_VALUE"""),"980784125")</f>
        <v>980784125</v>
      </c>
      <c r="G1538" s="65" t="str">
        <f>IFERROR(__xludf.DUMMYFUNCTION("""COMPUTED_VALUE"""),"angelaloretamendozamendez@gmail.com")</f>
        <v>angelaloretamendozamendez@gmail.com</v>
      </c>
      <c r="H1538" s="65"/>
      <c r="I1538" s="65"/>
      <c r="J1538" s="65" t="str">
        <f>IFERROR(__xludf.DUMMYFUNCTION("""COMPUTED_VALUE"""),"D001247130")</f>
        <v>D001247130</v>
      </c>
      <c r="K1538" s="65" t="str">
        <f>IFERROR(__xludf.DUMMYFUNCTION("""COMPUTED_VALUE"""),"ENTREGADO")</f>
        <v>ENTREGADO</v>
      </c>
      <c r="L1538" s="65" t="str">
        <f>IFERROR(__xludf.DUMMYFUNCTION("""COMPUTED_VALUE"""),"CON RECAUDO")</f>
        <v>CON RECAUDO</v>
      </c>
      <c r="M1538" s="65" t="str">
        <f>IFERROR(__xludf.DUMMYFUNCTION("""COMPUTED_VALUE"""),"LOS RIOS")</f>
        <v>LOS RIOS</v>
      </c>
      <c r="N1538" s="65" t="str">
        <f>IFERROR(__xludf.DUMMYFUNCTION("""COMPUTED_VALUE"""),"QUEVEDO")</f>
        <v>QUEVEDO</v>
      </c>
      <c r="O1538" s="65" t="str">
        <f>IFERROR(__xludf.DUMMYFUNCTION("""COMPUTED_VALUE"""),"Ave Guayacanes entre primera y la H # 103 Loma de San Pedro -")</f>
        <v>Ave Guayacanes entre primera y la H # 103 Loma de San Pedro -</v>
      </c>
      <c r="P1538" s="65"/>
      <c r="Q1538" s="65" t="str">
        <f>IFERROR(__xludf.DUMMYFUNCTION("""COMPUTED_VALUE"""),"GINTRACOM")</f>
        <v>GINTRACOM</v>
      </c>
      <c r="R1538" s="65">
        <f>IFERROR(__xludf.DUMMYFUNCTION("""COMPUTED_VALUE"""),27.0)</f>
        <v>27</v>
      </c>
      <c r="S1538" s="65">
        <f>IFERROR(__xludf.DUMMYFUNCTION("""COMPUTED_VALUE"""),13.17)</f>
        <v>13.17</v>
      </c>
      <c r="T1538" s="65">
        <f>IFERROR(__xludf.DUMMYFUNCTION("""COMPUTED_VALUE"""),6.03)</f>
        <v>6.03</v>
      </c>
      <c r="U1538" s="65">
        <f>IFERROR(__xludf.DUMMYFUNCTION("""COMPUTED_VALUE"""),0.0)</f>
        <v>0</v>
      </c>
      <c r="V1538" s="65">
        <f>IFERROR(__xludf.DUMMYFUNCTION("""COMPUTED_VALUE"""),0.0)</f>
        <v>0</v>
      </c>
      <c r="W1538" s="65">
        <f>IFERROR(__xludf.DUMMYFUNCTION("""COMPUTED_VALUE"""),0.0)</f>
        <v>0</v>
      </c>
      <c r="X1538" s="65">
        <f>IFERROR(__xludf.DUMMYFUNCTION("""COMPUTED_VALUE"""),2.6)</f>
        <v>2.6</v>
      </c>
      <c r="Y1538" s="65">
        <f>IFERROR(__xludf.DUMMYFUNCTION("""COMPUTED_VALUE"""),7.8)</f>
        <v>7.8</v>
      </c>
      <c r="Z1538" s="65">
        <f>IFERROR(__xludf.DUMMYFUNCTION("""COMPUTED_VALUE"""),121983.0)</f>
        <v>121983</v>
      </c>
      <c r="AA1538" s="65" t="str">
        <f>IFERROR(__xludf.DUMMYFUNCTION("""COMPUTED_VALUE"""),"PROV-CHLLCF")</f>
        <v>PROV-CHLLCF</v>
      </c>
      <c r="AB1538" s="65"/>
      <c r="AC1538" s="65" t="str">
        <f>IFERROR(__xludf.DUMMYFUNCTION("""COMPUTED_VALUE"""),"CUCHILLO PARA CHEF")</f>
        <v>CUCHILLO PARA CHEF</v>
      </c>
      <c r="AD1538" s="65"/>
      <c r="AE1538" s="65">
        <f>IFERROR(__xludf.DUMMYFUNCTION("""COMPUTED_VALUE"""),3.0)</f>
        <v>3</v>
      </c>
      <c r="AF1538" s="65"/>
      <c r="AG1538" s="65"/>
      <c r="AH1538" s="65"/>
      <c r="AI1538" s="65"/>
      <c r="AJ1538" s="65"/>
      <c r="AK1538" s="65"/>
      <c r="AL1538" s="65"/>
      <c r="AM1538" s="65"/>
      <c r="AN1538" s="65" t="str">
        <f>IFERROR(__xludf.DUMMYFUNCTION("""COMPUTED_VALUE"""),"17:44")</f>
        <v>17:44</v>
      </c>
      <c r="AO1538" s="65" t="str">
        <f>IFERROR(__xludf.DUMMYFUNCTION("""COMPUTED_VALUE"""),"23-01-2026")</f>
        <v>23-01-2026</v>
      </c>
      <c r="AP1538" s="65" t="str">
        <f>IFERROR(__xludf.DUMMYFUNCTION("""COMPUTED_VALUE"""),"ENTREGADA GINTRACOM")</f>
        <v>ENTREGADA GINTRACOM</v>
      </c>
      <c r="AQ1538" s="65" t="str">
        <f>IFERROR(__xludf.DUMMYFUNCTION("""COMPUTED_VALUE"""),"ENTREGADA GINTRACOM")</f>
        <v>ENTREGADA GINTRACOM</v>
      </c>
      <c r="AR1538" s="65"/>
      <c r="AS1538" s="65"/>
      <c r="AT1538" s="65" t="str">
        <f>IFERROR(__xludf.DUMMYFUNCTION("""COMPUTED_VALUE"""),"SHOPIFY")</f>
        <v>SHOPIFY</v>
      </c>
      <c r="AU1538" s="65" t="str">
        <f>IFERROR(__xludf.DUMMYFUNCTION("""COMPUTED_VALUE"""),"IMPORTEX EC")</f>
        <v>IMPORTEX EC</v>
      </c>
      <c r="AV1538" s="65" t="str">
        <f>IFERROR(__xludf.DUMMYFUNCTION("""COMPUTED_VALUE"""),"6426815004716")</f>
        <v>6426815004716</v>
      </c>
      <c r="AW1538" s="65">
        <f>IFERROR(__xludf.DUMMYFUNCTION("""COMPUTED_VALUE"""),5404.0)</f>
        <v>5404</v>
      </c>
      <c r="AX1538" s="65"/>
      <c r="AY1538" s="65" t="str">
        <f>IFERROR(__xludf.DUMMYFUNCTION("""COMPUTED_VALUE"""),"21/01/2026")</f>
        <v>21/01/2026</v>
      </c>
      <c r="AZ1538" s="65"/>
      <c r="BA1538" s="65"/>
    </row>
    <row r="1539">
      <c r="A1539" s="65" t="str">
        <f>IFERROR(__xludf.DUMMYFUNCTION("""COMPUTED_VALUE"""),"27-03-2026")</f>
        <v>27-03-2026</v>
      </c>
      <c r="B1539" s="65">
        <f>IFERROR(__xludf.DUMMYFUNCTION("""COMPUTED_VALUE"""),4187558.0)</f>
        <v>4187558</v>
      </c>
      <c r="C1539" s="65" t="str">
        <f>IFERROR(__xludf.DUMMYFUNCTION("""COMPUTED_VALUE"""),"08:08")</f>
        <v>08:08</v>
      </c>
      <c r="D1539" s="65" t="str">
        <f>IFERROR(__xludf.DUMMYFUNCTION("""COMPUTED_VALUE"""),"18-01-2026")</f>
        <v>18-01-2026</v>
      </c>
      <c r="E1539" s="65" t="str">
        <f>IFERROR(__xludf.DUMMYFUNCTION("""COMPUTED_VALUE"""),"Ninoska Farías")</f>
        <v>Ninoska Farías</v>
      </c>
      <c r="F1539" s="65" t="str">
        <f>IFERROR(__xludf.DUMMYFUNCTION("""COMPUTED_VALUE"""),"983000948")</f>
        <v>983000948</v>
      </c>
      <c r="G1539" s="65" t="str">
        <f>IFERROR(__xludf.DUMMYFUNCTION("""COMPUTED_VALUE"""),"ninosk_farias@hotmail.com")</f>
        <v>ninosk_farias@hotmail.com</v>
      </c>
      <c r="H1539" s="65"/>
      <c r="I1539" s="65"/>
      <c r="J1539" s="65" t="str">
        <f>IFERROR(__xludf.DUMMYFUNCTION("""COMPUTED_VALUE"""),"186507656")</f>
        <v>186507656</v>
      </c>
      <c r="K1539" s="65" t="str">
        <f>IFERROR(__xludf.DUMMYFUNCTION("""COMPUTED_VALUE"""),"DEVOLUCION")</f>
        <v>DEVOLUCION</v>
      </c>
      <c r="L1539" s="65" t="str">
        <f>IFERROR(__xludf.DUMMYFUNCTION("""COMPUTED_VALUE"""),"CON RECAUDO")</f>
        <v>CON RECAUDO</v>
      </c>
      <c r="M1539" s="65" t="str">
        <f>IFERROR(__xludf.DUMMYFUNCTION("""COMPUTED_VALUE"""),"PICHINCHA")</f>
        <v>PICHINCHA</v>
      </c>
      <c r="N1539" s="65" t="str">
        <f>IFERROR(__xludf.DUMMYFUNCTION("""COMPUTED_VALUE"""),"GUAYLLABAMBA")</f>
        <v>GUAYLLABAMBA</v>
      </c>
      <c r="O1539" s="65" t="str">
        <f>IFERROR(__xludf.DUMMYFUNCTION("""COMPUTED_VALUE"""),"Guayllabamba calle 10 de agosto Barrio san Lorenzo en la plazuela Casa de dos pisos beige única - frente a la casa comunal del barrio San Lorenzo")</f>
        <v>Guayllabamba calle 10 de agosto Barrio san Lorenzo en la plazuela Casa de dos pisos beige única - frente a la casa comunal del barrio San Lorenzo</v>
      </c>
      <c r="P1539" s="65"/>
      <c r="Q1539" s="65" t="str">
        <f>IFERROR(__xludf.DUMMYFUNCTION("""COMPUTED_VALUE"""),"SERVIENTREGA")</f>
        <v>SERVIENTREGA</v>
      </c>
      <c r="R1539" s="65">
        <f>IFERROR(__xludf.DUMMYFUNCTION("""COMPUTED_VALUE"""),30.0)</f>
        <v>30</v>
      </c>
      <c r="S1539" s="65"/>
      <c r="T1539" s="65">
        <f>IFERROR(__xludf.DUMMYFUNCTION("""COMPUTED_VALUE"""),7.82)</f>
        <v>7.82</v>
      </c>
      <c r="U1539" s="65">
        <f>IFERROR(__xludf.DUMMYFUNCTION("""COMPUTED_VALUE"""),0.0)</f>
        <v>0</v>
      </c>
      <c r="V1539" s="65">
        <f>IFERROR(__xludf.DUMMYFUNCTION("""COMPUTED_VALUE"""),0.0)</f>
        <v>0</v>
      </c>
      <c r="W1539" s="65">
        <f>IFERROR(__xludf.DUMMYFUNCTION("""COMPUTED_VALUE"""),0.0)</f>
        <v>0</v>
      </c>
      <c r="X1539" s="65">
        <f>IFERROR(__xludf.DUMMYFUNCTION("""COMPUTED_VALUE"""),2.35)</f>
        <v>2.35</v>
      </c>
      <c r="Y1539" s="65">
        <f>IFERROR(__xludf.DUMMYFUNCTION("""COMPUTED_VALUE"""),7.05)</f>
        <v>7.05</v>
      </c>
      <c r="Z1539" s="65">
        <f>IFERROR(__xludf.DUMMYFUNCTION("""COMPUTED_VALUE"""),116679.0)</f>
        <v>116679</v>
      </c>
      <c r="AA1539" s="65" t="str">
        <f>IFERROR(__xludf.DUMMYFUNCTION("""COMPUTED_VALUE"""),"AMC-2738")</f>
        <v>AMC-2738</v>
      </c>
      <c r="AB1539" s="65"/>
      <c r="AC1539" s="65" t="str">
        <f>IFERROR(__xludf.DUMMYFUNCTION("""COMPUTED_VALUE"""),"ESPONJA ANTILLUVIA DE PARABRISAS")</f>
        <v>ESPONJA ANTILLUVIA DE PARABRISAS</v>
      </c>
      <c r="AD1539" s="65"/>
      <c r="AE1539" s="65">
        <f>IFERROR(__xludf.DUMMYFUNCTION("""COMPUTED_VALUE"""),3.0)</f>
        <v>3</v>
      </c>
      <c r="AF1539" s="65" t="str">
        <f>IFERROR(__xludf.DUMMYFUNCTION("""COMPUTED_VALUE"""),"DEVOLUCION AL REMITENTE")</f>
        <v>DEVOLUCION AL REMITENTE</v>
      </c>
      <c r="AG1539" s="65" t="str">
        <f>IFERROR(__xludf.DUMMYFUNCTION("""COMPUTED_VALUE"""),"NO")</f>
        <v>NO</v>
      </c>
      <c r="AH1539" s="65" t="str">
        <f>IFERROR(__xludf.DUMMYFUNCTION("""COMPUTED_VALUE"""),"16:50")</f>
        <v>16:50</v>
      </c>
      <c r="AI1539" s="65" t="str">
        <f>IFERROR(__xludf.DUMMYFUNCTION("""COMPUTED_VALUE"""),"12-02-2026")</f>
        <v>12-02-2026</v>
      </c>
      <c r="AJ1539" s="65"/>
      <c r="AK1539" s="65"/>
      <c r="AL1539" s="65"/>
      <c r="AM1539" s="65"/>
      <c r="AN1539" s="65" t="str">
        <f>IFERROR(__xludf.DUMMYFUNCTION("""COMPUTED_VALUE"""),"01:01")</f>
        <v>01:01</v>
      </c>
      <c r="AO1539" s="65" t="str">
        <f>IFERROR(__xludf.DUMMYFUNCTION("""COMPUTED_VALUE"""),"14-02-2026")</f>
        <v>14-02-2026</v>
      </c>
      <c r="AP1539" s="65" t="str">
        <f>IFERROR(__xludf.DUMMYFUNCTION("""COMPUTED_VALUE"""),"Certificacion Devolucion al Remitente CL QUITO SUR")</f>
        <v>Certificacion Devolucion al Remitente CL QUITO SUR</v>
      </c>
      <c r="AQ1539" s="65" t="str">
        <f>IFERROR(__xludf.DUMMYFUNCTION("""COMPUTED_VALUE"""),"{}")</f>
        <v>{}</v>
      </c>
      <c r="AR1539" s="65"/>
      <c r="AS1539" s="65"/>
      <c r="AT1539" s="65" t="str">
        <f>IFERROR(__xludf.DUMMYFUNCTION("""COMPUTED_VALUE"""),"SHOPIFY")</f>
        <v>SHOPIFY</v>
      </c>
      <c r="AU1539" s="65" t="str">
        <f>IFERROR(__xludf.DUMMYFUNCTION("""COMPUTED_VALUE"""),"IMPORTEX EC")</f>
        <v>IMPORTEX EC</v>
      </c>
      <c r="AV1539" s="65" t="str">
        <f>IFERROR(__xludf.DUMMYFUNCTION("""COMPUTED_VALUE"""),"6426188841004")</f>
        <v>6426188841004</v>
      </c>
      <c r="AW1539" s="65">
        <f>IFERROR(__xludf.DUMMYFUNCTION("""COMPUTED_VALUE"""),5403.0)</f>
        <v>5403</v>
      </c>
      <c r="AX1539" s="65"/>
      <c r="AY1539" s="65" t="str">
        <f>IFERROR(__xludf.DUMMYFUNCTION("""COMPUTED_VALUE"""),"21/01/2026")</f>
        <v>21/01/2026</v>
      </c>
      <c r="AZ1539" s="65"/>
      <c r="BA1539" s="65"/>
    </row>
    <row r="1540">
      <c r="A1540" s="65" t="str">
        <f>IFERROR(__xludf.DUMMYFUNCTION("""COMPUTED_VALUE"""),"27-03-2026")</f>
        <v>27-03-2026</v>
      </c>
      <c r="B1540" s="65">
        <f>IFERROR(__xludf.DUMMYFUNCTION("""COMPUTED_VALUE"""),4187269.0)</f>
        <v>4187269</v>
      </c>
      <c r="C1540" s="65" t="str">
        <f>IFERROR(__xludf.DUMMYFUNCTION("""COMPUTED_VALUE"""),"07:24")</f>
        <v>07:24</v>
      </c>
      <c r="D1540" s="65" t="str">
        <f>IFERROR(__xludf.DUMMYFUNCTION("""COMPUTED_VALUE"""),"18-01-2026")</f>
        <v>18-01-2026</v>
      </c>
      <c r="E1540" s="65" t="str">
        <f>IFERROR(__xludf.DUMMYFUNCTION("""COMPUTED_VALUE"""),"Susana Changoluisa Changoluisa")</f>
        <v>Susana Changoluisa Changoluisa</v>
      </c>
      <c r="F1540" s="65" t="str">
        <f>IFERROR(__xludf.DUMMYFUNCTION("""COMPUTED_VALUE"""),"987093371")</f>
        <v>987093371</v>
      </c>
      <c r="G1540" s="65" t="str">
        <f>IFERROR(__xludf.DUMMYFUNCTION("""COMPUTED_VALUE"""),"surich27@hotmail.com")</f>
        <v>surich27@hotmail.com</v>
      </c>
      <c r="H1540" s="65"/>
      <c r="I1540" s="65"/>
      <c r="J1540" s="65"/>
      <c r="K1540" s="65" t="str">
        <f>IFERROR(__xludf.DUMMYFUNCTION("""COMPUTED_VALUE"""),"PENDIENTE CONFIRMACION")</f>
        <v>PENDIENTE CONFIRMACION</v>
      </c>
      <c r="L1540" s="65" t="str">
        <f>IFERROR(__xludf.DUMMYFUNCTION("""COMPUTED_VALUE"""),"CON RECAUDO")</f>
        <v>CON RECAUDO</v>
      </c>
      <c r="M1540" s="65" t="str">
        <f>IFERROR(__xludf.DUMMYFUNCTION("""COMPUTED_VALUE"""),"PICHINCHA")</f>
        <v>PICHINCHA</v>
      </c>
      <c r="N1540" s="65" t="str">
        <f>IFERROR(__xludf.DUMMYFUNCTION("""COMPUTED_VALUE"""),"QUITO")</f>
        <v>QUITO</v>
      </c>
      <c r="O1540" s="65" t="str">
        <f>IFERROR(__xludf.DUMMYFUNCTION("""COMPUTED_VALUE"""),"Virgen del Monserrat y Pucara Calderon -")</f>
        <v>Virgen del Monserrat y Pucara Calderon -</v>
      </c>
      <c r="P1540" s="65"/>
      <c r="Q1540" s="65" t="str">
        <f>IFERROR(__xludf.DUMMYFUNCTION("""COMPUTED_VALUE"""),"GINTRACOM")</f>
        <v>GINTRACOM</v>
      </c>
      <c r="R1540" s="65">
        <f>IFERROR(__xludf.DUMMYFUNCTION("""COMPUTED_VALUE"""),20.0)</f>
        <v>20</v>
      </c>
      <c r="S1540" s="65"/>
      <c r="T1540" s="65">
        <f>IFERROR(__xludf.DUMMYFUNCTION("""COMPUTED_VALUE"""),4.15)</f>
        <v>4.15</v>
      </c>
      <c r="U1540" s="65">
        <f>IFERROR(__xludf.DUMMYFUNCTION("""COMPUTED_VALUE"""),0.0)</f>
        <v>0</v>
      </c>
      <c r="V1540" s="65">
        <f>IFERROR(__xludf.DUMMYFUNCTION("""COMPUTED_VALUE"""),0.0)</f>
        <v>0</v>
      </c>
      <c r="W1540" s="65">
        <f>IFERROR(__xludf.DUMMYFUNCTION("""COMPUTED_VALUE"""),0.0)</f>
        <v>0</v>
      </c>
      <c r="X1540" s="65">
        <f>IFERROR(__xludf.DUMMYFUNCTION("""COMPUTED_VALUE"""),2.35)</f>
        <v>2.35</v>
      </c>
      <c r="Y1540" s="65">
        <f>IFERROR(__xludf.DUMMYFUNCTION("""COMPUTED_VALUE"""),2.35)</f>
        <v>2.35</v>
      </c>
      <c r="Z1540" s="65">
        <f>IFERROR(__xludf.DUMMYFUNCTION("""COMPUTED_VALUE"""),116679.0)</f>
        <v>116679</v>
      </c>
      <c r="AA1540" s="65" t="str">
        <f>IFERROR(__xludf.DUMMYFUNCTION("""COMPUTED_VALUE"""),"AMC-2738")</f>
        <v>AMC-2738</v>
      </c>
      <c r="AB1540" s="65"/>
      <c r="AC1540" s="65" t="str">
        <f>IFERROR(__xludf.DUMMYFUNCTION("""COMPUTED_VALUE"""),"ESPONJA ANTILLUVIA DE PARABRISAS")</f>
        <v>ESPONJA ANTILLUVIA DE PARABRISAS</v>
      </c>
      <c r="AD1540" s="65"/>
      <c r="AE1540" s="65">
        <f>IFERROR(__xludf.DUMMYFUNCTION("""COMPUTED_VALUE"""),1.0)</f>
        <v>1</v>
      </c>
      <c r="AF1540" s="65"/>
      <c r="AG1540" s="65"/>
      <c r="AH1540" s="65"/>
      <c r="AI1540" s="65"/>
      <c r="AJ1540" s="65"/>
      <c r="AK1540" s="65"/>
      <c r="AL1540" s="65"/>
      <c r="AM1540" s="65"/>
      <c r="AN1540" s="65"/>
      <c r="AO1540" s="65"/>
      <c r="AP1540" s="65"/>
      <c r="AQ1540" s="65"/>
      <c r="AR1540" s="65"/>
      <c r="AS1540" s="65"/>
      <c r="AT1540" s="65" t="str">
        <f>IFERROR(__xludf.DUMMYFUNCTION("""COMPUTED_VALUE"""),"SHOPIFY")</f>
        <v>SHOPIFY</v>
      </c>
      <c r="AU1540" s="65" t="str">
        <f>IFERROR(__xludf.DUMMYFUNCTION("""COMPUTED_VALUE"""),"IMPORTEX EC")</f>
        <v>IMPORTEX EC</v>
      </c>
      <c r="AV1540" s="65" t="str">
        <f>IFERROR(__xludf.DUMMYFUNCTION("""COMPUTED_VALUE"""),"6426155122732")</f>
        <v>6426155122732</v>
      </c>
      <c r="AW1540" s="65">
        <f>IFERROR(__xludf.DUMMYFUNCTION("""COMPUTED_VALUE"""),5402.0)</f>
        <v>5402</v>
      </c>
      <c r="AX1540" s="65"/>
      <c r="AY1540" s="65"/>
      <c r="AZ1540" s="65"/>
      <c r="BA1540" s="65"/>
    </row>
    <row r="1541">
      <c r="A1541" s="65" t="str">
        <f>IFERROR(__xludf.DUMMYFUNCTION("""COMPUTED_VALUE"""),"27-03-2026")</f>
        <v>27-03-2026</v>
      </c>
      <c r="B1541" s="65">
        <f>IFERROR(__xludf.DUMMYFUNCTION("""COMPUTED_VALUE"""),4187207.0)</f>
        <v>4187207</v>
      </c>
      <c r="C1541" s="65" t="str">
        <f>IFERROR(__xludf.DUMMYFUNCTION("""COMPUTED_VALUE"""),"07:15")</f>
        <v>07:15</v>
      </c>
      <c r="D1541" s="65" t="str">
        <f>IFERROR(__xludf.DUMMYFUNCTION("""COMPUTED_VALUE"""),"18-01-2026")</f>
        <v>18-01-2026</v>
      </c>
      <c r="E1541" s="65" t="str">
        <f>IFERROR(__xludf.DUMMYFUNCTION("""COMPUTED_VALUE"""),"Patricio Guanoluisa Guaman")</f>
        <v>Patricio Guanoluisa Guaman</v>
      </c>
      <c r="F1541" s="65" t="str">
        <f>IFERROR(__xludf.DUMMYFUNCTION("""COMPUTED_VALUE"""),"991911866")</f>
        <v>991911866</v>
      </c>
      <c r="G1541" s="65" t="str">
        <f>IFERROR(__xludf.DUMMYFUNCTION("""COMPUTED_VALUE"""),"janemales78@gmail.com")</f>
        <v>janemales78@gmail.com</v>
      </c>
      <c r="H1541" s="65"/>
      <c r="I1541" s="65"/>
      <c r="J1541" s="65" t="str">
        <f>IFERROR(__xludf.DUMMYFUNCTION("""COMPUTED_VALUE"""),"D001247723")</f>
        <v>D001247723</v>
      </c>
      <c r="K1541" s="65" t="str">
        <f>IFERROR(__xludf.DUMMYFUNCTION("""COMPUTED_VALUE"""),"ENTREGADO")</f>
        <v>ENTREGADO</v>
      </c>
      <c r="L1541" s="65" t="str">
        <f>IFERROR(__xludf.DUMMYFUNCTION("""COMPUTED_VALUE"""),"CON RECAUDO")</f>
        <v>CON RECAUDO</v>
      </c>
      <c r="M1541" s="65" t="str">
        <f>IFERROR(__xludf.DUMMYFUNCTION("""COMPUTED_VALUE"""),"PICHINCHA")</f>
        <v>PICHINCHA</v>
      </c>
      <c r="N1541" s="65" t="str">
        <f>IFERROR(__xludf.DUMMYFUNCTION("""COMPUTED_VALUE"""),"SANGOLQUI")</f>
        <v>SANGOLQUI</v>
      </c>
      <c r="O1541" s="65" t="str">
        <f>IFERROR(__xludf.DUMMYFUNCTION("""COMPUTED_VALUE"""),"Mirador Del ColibrÍ Lote 71 calle B y calle 3, parroquia Sangolquí")</f>
        <v>Mirador Del ColibrÍ Lote 71 calle B y calle 3, parroquia Sangolquí</v>
      </c>
      <c r="P1541" s="65"/>
      <c r="Q1541" s="65" t="str">
        <f>IFERROR(__xludf.DUMMYFUNCTION("""COMPUTED_VALUE"""),"GINTRACOM")</f>
        <v>GINTRACOM</v>
      </c>
      <c r="R1541" s="65">
        <f>IFERROR(__xludf.DUMMYFUNCTION("""COMPUTED_VALUE"""),25.0)</f>
        <v>25</v>
      </c>
      <c r="S1541" s="65">
        <f>IFERROR(__xludf.DUMMYFUNCTION("""COMPUTED_VALUE"""),15.38)</f>
        <v>15.38</v>
      </c>
      <c r="T1541" s="65">
        <f>IFERROR(__xludf.DUMMYFUNCTION("""COMPUTED_VALUE"""),4.92)</f>
        <v>4.92</v>
      </c>
      <c r="U1541" s="65">
        <f>IFERROR(__xludf.DUMMYFUNCTION("""COMPUTED_VALUE"""),0.0)</f>
        <v>0</v>
      </c>
      <c r="V1541" s="65">
        <f>IFERROR(__xludf.DUMMYFUNCTION("""COMPUTED_VALUE"""),0.0)</f>
        <v>0</v>
      </c>
      <c r="W1541" s="65">
        <f>IFERROR(__xludf.DUMMYFUNCTION("""COMPUTED_VALUE"""),0.0)</f>
        <v>0</v>
      </c>
      <c r="X1541" s="65">
        <f>IFERROR(__xludf.DUMMYFUNCTION("""COMPUTED_VALUE"""),2.35)</f>
        <v>2.35</v>
      </c>
      <c r="Y1541" s="65">
        <f>IFERROR(__xludf.DUMMYFUNCTION("""COMPUTED_VALUE"""),4.7)</f>
        <v>4.7</v>
      </c>
      <c r="Z1541" s="65">
        <f>IFERROR(__xludf.DUMMYFUNCTION("""COMPUTED_VALUE"""),116679.0)</f>
        <v>116679</v>
      </c>
      <c r="AA1541" s="65" t="str">
        <f>IFERROR(__xludf.DUMMYFUNCTION("""COMPUTED_VALUE"""),"AMC-2738")</f>
        <v>AMC-2738</v>
      </c>
      <c r="AB1541" s="65"/>
      <c r="AC1541" s="65" t="str">
        <f>IFERROR(__xludf.DUMMYFUNCTION("""COMPUTED_VALUE"""),"ESPONJA ANTILLUVIA DE PARABRISAS")</f>
        <v>ESPONJA ANTILLUVIA DE PARABRISAS</v>
      </c>
      <c r="AD1541" s="65"/>
      <c r="AE1541" s="65">
        <f>IFERROR(__xludf.DUMMYFUNCTION("""COMPUTED_VALUE"""),2.0)</f>
        <v>2</v>
      </c>
      <c r="AF1541" s="65" t="str">
        <f>IFERROR(__xludf.DUMMYFUNCTION("""COMPUTED_VALUE"""),"DESTINATARIO NO SE ENCUENTRA EN LUGAR DE ENTREGA.")</f>
        <v>DESTINATARIO NO SE ENCUENTRA EN LUGAR DE ENTREGA.</v>
      </c>
      <c r="AG1541" s="65" t="str">
        <f>IFERROR(__xludf.DUMMYFUNCTION("""COMPUTED_VALUE"""),"SI")</f>
        <v>SI</v>
      </c>
      <c r="AH1541" s="65" t="str">
        <f>IFERROR(__xludf.DUMMYFUNCTION("""COMPUTED_VALUE"""),"13:44")</f>
        <v>13:44</v>
      </c>
      <c r="AI1541" s="65" t="str">
        <f>IFERROR(__xludf.DUMMYFUNCTION("""COMPUTED_VALUE"""),"24-01-2026")</f>
        <v>24-01-2026</v>
      </c>
      <c r="AJ1541" s="65"/>
      <c r="AK1541" s="65"/>
      <c r="AL1541" s="65"/>
      <c r="AM1541" s="65"/>
      <c r="AN1541" s="65" t="str">
        <f>IFERROR(__xludf.DUMMYFUNCTION("""COMPUTED_VALUE"""),"08:23")</f>
        <v>08:23</v>
      </c>
      <c r="AO1541" s="65" t="str">
        <f>IFERROR(__xludf.DUMMYFUNCTION("""COMPUTED_VALUE"""),"27-01-2026")</f>
        <v>27-01-2026</v>
      </c>
      <c r="AP1541" s="65" t="str">
        <f>IFERROR(__xludf.DUMMYFUNCTION("""COMPUTED_VALUE"""),"DESTINATARIO RE-PROGRAMA FECHA DE ENTREGA")</f>
        <v>DESTINATARIO RE-PROGRAMA FECHA DE ENTREGA</v>
      </c>
      <c r="AQ1541" s="65" t="str">
        <f>IFERROR(__xludf.DUMMYFUNCTION("""COMPUTED_VALUE"""),"DESTINATARIO RE-PROGRAMA FECHA DE ENTREGA")</f>
        <v>DESTINATARIO RE-PROGRAMA FECHA DE ENTREGA</v>
      </c>
      <c r="AR1541" s="65"/>
      <c r="AS1541" s="65"/>
      <c r="AT1541" s="65" t="str">
        <f>IFERROR(__xludf.DUMMYFUNCTION("""COMPUTED_VALUE"""),"SHOPIFY")</f>
        <v>SHOPIFY</v>
      </c>
      <c r="AU1541" s="65" t="str">
        <f>IFERROR(__xludf.DUMMYFUNCTION("""COMPUTED_VALUE"""),"IMPORTEX EC")</f>
        <v>IMPORTEX EC</v>
      </c>
      <c r="AV1541" s="65" t="str">
        <f>IFERROR(__xludf.DUMMYFUNCTION("""COMPUTED_VALUE"""),"6426147684396")</f>
        <v>6426147684396</v>
      </c>
      <c r="AW1541" s="65">
        <f>IFERROR(__xludf.DUMMYFUNCTION("""COMPUTED_VALUE"""),5401.0)</f>
        <v>5401</v>
      </c>
      <c r="AX1541" s="65"/>
      <c r="AY1541" s="65" t="str">
        <f>IFERROR(__xludf.DUMMYFUNCTION("""COMPUTED_VALUE"""),"21/01/2026")</f>
        <v>21/01/2026</v>
      </c>
      <c r="AZ1541" s="65"/>
      <c r="BA1541" s="65"/>
    </row>
    <row r="1542">
      <c r="A1542" s="65" t="str">
        <f>IFERROR(__xludf.DUMMYFUNCTION("""COMPUTED_VALUE"""),"27-03-2026")</f>
        <v>27-03-2026</v>
      </c>
      <c r="B1542" s="65">
        <f>IFERROR(__xludf.DUMMYFUNCTION("""COMPUTED_VALUE"""),4187094.0)</f>
        <v>4187094</v>
      </c>
      <c r="C1542" s="65" t="str">
        <f>IFERROR(__xludf.DUMMYFUNCTION("""COMPUTED_VALUE"""),"07:00")</f>
        <v>07:00</v>
      </c>
      <c r="D1542" s="65" t="str">
        <f>IFERROR(__xludf.DUMMYFUNCTION("""COMPUTED_VALUE"""),"18-01-2026")</f>
        <v>18-01-2026</v>
      </c>
      <c r="E1542" s="65" t="str">
        <f>IFERROR(__xludf.DUMMYFUNCTION("""COMPUTED_VALUE"""),"Danny Tomala")</f>
        <v>Danny Tomala</v>
      </c>
      <c r="F1542" s="65" t="str">
        <f>IFERROR(__xludf.DUMMYFUNCTION("""COMPUTED_VALUE"""),"981298034")</f>
        <v>981298034</v>
      </c>
      <c r="G1542" s="65" t="str">
        <f>IFERROR(__xludf.DUMMYFUNCTION("""COMPUTED_VALUE"""),"dtomala03@hotmail.com")</f>
        <v>dtomala03@hotmail.com</v>
      </c>
      <c r="H1542" s="65"/>
      <c r="I1542" s="65"/>
      <c r="J1542" s="65" t="str">
        <f>IFERROR(__xludf.DUMMYFUNCTION("""COMPUTED_VALUE"""),"D001247724")</f>
        <v>D001247724</v>
      </c>
      <c r="K1542" s="65" t="str">
        <f>IFERROR(__xludf.DUMMYFUNCTION("""COMPUTED_VALUE"""),"DEVOLUCION")</f>
        <v>DEVOLUCION</v>
      </c>
      <c r="L1542" s="65" t="str">
        <f>IFERROR(__xludf.DUMMYFUNCTION("""COMPUTED_VALUE"""),"CON RECAUDO")</f>
        <v>CON RECAUDO</v>
      </c>
      <c r="M1542" s="65" t="str">
        <f>IFERROR(__xludf.DUMMYFUNCTION("""COMPUTED_VALUE"""),"GUAYAS")</f>
        <v>GUAYAS</v>
      </c>
      <c r="N1542" s="65" t="str">
        <f>IFERROR(__xludf.DUMMYFUNCTION("""COMPUTED_VALUE"""),"GUAYAQUIL")</f>
        <v>GUAYAQUIL</v>
      </c>
      <c r="O1542" s="65" t="str">
        <f>IFERROR(__xludf.DUMMYFUNCTION("""COMPUTED_VALUE"""),"Av plaza Dañin 903 Kennedy -")</f>
        <v>Av plaza Dañin 903 Kennedy -</v>
      </c>
      <c r="P1542" s="65"/>
      <c r="Q1542" s="65" t="str">
        <f>IFERROR(__xludf.DUMMYFUNCTION("""COMPUTED_VALUE"""),"GINTRACOM")</f>
        <v>GINTRACOM</v>
      </c>
      <c r="R1542" s="65">
        <f>IFERROR(__xludf.DUMMYFUNCTION("""COMPUTED_VALUE"""),25.0)</f>
        <v>25</v>
      </c>
      <c r="S1542" s="65"/>
      <c r="T1542" s="65">
        <f>IFERROR(__xludf.DUMMYFUNCTION("""COMPUTED_VALUE"""),5.96)</f>
        <v>5.96</v>
      </c>
      <c r="U1542" s="65">
        <f>IFERROR(__xludf.DUMMYFUNCTION("""COMPUTED_VALUE"""),0.0)</f>
        <v>0</v>
      </c>
      <c r="V1542" s="65">
        <f>IFERROR(__xludf.DUMMYFUNCTION("""COMPUTED_VALUE"""),0.0)</f>
        <v>0</v>
      </c>
      <c r="W1542" s="65">
        <f>IFERROR(__xludf.DUMMYFUNCTION("""COMPUTED_VALUE"""),0.0)</f>
        <v>0</v>
      </c>
      <c r="X1542" s="65">
        <f>IFERROR(__xludf.DUMMYFUNCTION("""COMPUTED_VALUE"""),2.35)</f>
        <v>2.35</v>
      </c>
      <c r="Y1542" s="65">
        <f>IFERROR(__xludf.DUMMYFUNCTION("""COMPUTED_VALUE"""),4.7)</f>
        <v>4.7</v>
      </c>
      <c r="Z1542" s="65">
        <f>IFERROR(__xludf.DUMMYFUNCTION("""COMPUTED_VALUE"""),116679.0)</f>
        <v>116679</v>
      </c>
      <c r="AA1542" s="65" t="str">
        <f>IFERROR(__xludf.DUMMYFUNCTION("""COMPUTED_VALUE"""),"AMC-2738")</f>
        <v>AMC-2738</v>
      </c>
      <c r="AB1542" s="65"/>
      <c r="AC1542" s="65" t="str">
        <f>IFERROR(__xludf.DUMMYFUNCTION("""COMPUTED_VALUE"""),"ESPONJA ANTILLUVIA DE PARABRISAS")</f>
        <v>ESPONJA ANTILLUVIA DE PARABRISAS</v>
      </c>
      <c r="AD1542" s="65"/>
      <c r="AE1542" s="65">
        <f>IFERROR(__xludf.DUMMYFUNCTION("""COMPUTED_VALUE"""),2.0)</f>
        <v>2</v>
      </c>
      <c r="AF1542" s="65" t="str">
        <f>IFERROR(__xludf.DUMMYFUNCTION("""COMPUTED_VALUE"""),"DESTINATARIO NO CONTESTA LLAMADAS NI WHATSAPP")</f>
        <v>DESTINATARIO NO CONTESTA LLAMADAS NI WHATSAPP</v>
      </c>
      <c r="AG1542" s="65" t="str">
        <f>IFERROR(__xludf.DUMMYFUNCTION("""COMPUTED_VALUE"""),"NO")</f>
        <v>NO</v>
      </c>
      <c r="AH1542" s="65" t="str">
        <f>IFERROR(__xludf.DUMMYFUNCTION("""COMPUTED_VALUE"""),"14:30")</f>
        <v>14:30</v>
      </c>
      <c r="AI1542" s="65" t="str">
        <f>IFERROR(__xludf.DUMMYFUNCTION("""COMPUTED_VALUE"""),"31-01-2026")</f>
        <v>31-01-2026</v>
      </c>
      <c r="AJ1542" s="65"/>
      <c r="AK1542" s="65"/>
      <c r="AL1542" s="65"/>
      <c r="AM1542" s="65"/>
      <c r="AN1542" s="65" t="str">
        <f>IFERROR(__xludf.DUMMYFUNCTION("""COMPUTED_VALUE"""),"10:53")</f>
        <v>10:53</v>
      </c>
      <c r="AO1542" s="65" t="str">
        <f>IFERROR(__xludf.DUMMYFUNCTION("""COMPUTED_VALUE"""),"10-02-2026")</f>
        <v>10-02-2026</v>
      </c>
      <c r="AP1542" s="65" t="str">
        <f>IFERROR(__xludf.DUMMYFUNCTION("""COMPUTED_VALUE"""),"DEVOLUCIÓN ENTREGADA A ORIGEN")</f>
        <v>DEVOLUCIÓN ENTREGADA A ORIGEN</v>
      </c>
      <c r="AQ1542" s="65" t="str">
        <f>IFERROR(__xludf.DUMMYFUNCTION("""COMPUTED_VALUE"""),"DEVOLUCIÓN ENTREGADA A ORIGEN")</f>
        <v>DEVOLUCIÓN ENTREGADA A ORIGEN</v>
      </c>
      <c r="AR1542" s="65"/>
      <c r="AS1542" s="65"/>
      <c r="AT1542" s="65" t="str">
        <f>IFERROR(__xludf.DUMMYFUNCTION("""COMPUTED_VALUE"""),"SHOPIFY")</f>
        <v>SHOPIFY</v>
      </c>
      <c r="AU1542" s="65" t="str">
        <f>IFERROR(__xludf.DUMMYFUNCTION("""COMPUTED_VALUE"""),"IMPORTEX EC")</f>
        <v>IMPORTEX EC</v>
      </c>
      <c r="AV1542" s="65" t="str">
        <f>IFERROR(__xludf.DUMMYFUNCTION("""COMPUTED_VALUE"""),"6426136150060")</f>
        <v>6426136150060</v>
      </c>
      <c r="AW1542" s="65">
        <f>IFERROR(__xludf.DUMMYFUNCTION("""COMPUTED_VALUE"""),5400.0)</f>
        <v>5400</v>
      </c>
      <c r="AX1542" s="65"/>
      <c r="AY1542" s="65" t="str">
        <f>IFERROR(__xludf.DUMMYFUNCTION("""COMPUTED_VALUE"""),"21/01/2026")</f>
        <v>21/01/2026</v>
      </c>
      <c r="AZ1542" s="65"/>
      <c r="BA1542" s="65"/>
    </row>
    <row r="1543">
      <c r="A1543" s="65" t="str">
        <f>IFERROR(__xludf.DUMMYFUNCTION("""COMPUTED_VALUE"""),"27-03-2026")</f>
        <v>27-03-2026</v>
      </c>
      <c r="B1543" s="65">
        <f>IFERROR(__xludf.DUMMYFUNCTION("""COMPUTED_VALUE"""),4187076.0)</f>
        <v>4187076</v>
      </c>
      <c r="C1543" s="65" t="str">
        <f>IFERROR(__xludf.DUMMYFUNCTION("""COMPUTED_VALUE"""),"06:56")</f>
        <v>06:56</v>
      </c>
      <c r="D1543" s="65" t="str">
        <f>IFERROR(__xludf.DUMMYFUNCTION("""COMPUTED_VALUE"""),"18-01-2026")</f>
        <v>18-01-2026</v>
      </c>
      <c r="E1543" s="65" t="str">
        <f>IFERROR(__xludf.DUMMYFUNCTION("""COMPUTED_VALUE"""),"Julio Venancio Rodriguez Nogales")</f>
        <v>Julio Venancio Rodriguez Nogales</v>
      </c>
      <c r="F1543" s="65" t="str">
        <f>IFERROR(__xludf.DUMMYFUNCTION("""COMPUTED_VALUE"""),"994592451")</f>
        <v>994592451</v>
      </c>
      <c r="G1543" s="65"/>
      <c r="H1543" s="65"/>
      <c r="I1543" s="65"/>
      <c r="J1543" s="65"/>
      <c r="K1543" s="65" t="str">
        <f>IFERROR(__xludf.DUMMYFUNCTION("""COMPUTED_VALUE"""),"CANCELADO")</f>
        <v>CANCELADO</v>
      </c>
      <c r="L1543" s="65" t="str">
        <f>IFERROR(__xludf.DUMMYFUNCTION("""COMPUTED_VALUE"""),"CON RECAUDO")</f>
        <v>CON RECAUDO</v>
      </c>
      <c r="M1543" s="65" t="str">
        <f>IFERROR(__xludf.DUMMYFUNCTION("""COMPUTED_VALUE"""),"LOS RIOS")</f>
        <v>LOS RIOS</v>
      </c>
      <c r="N1543" s="65" t="str">
        <f>IFERROR(__xludf.DUMMYFUNCTION("""COMPUTED_VALUE"""),"BUENA FE")</f>
        <v>BUENA FE</v>
      </c>
      <c r="O1543" s="65" t="str">
        <f>IFERROR(__xludf.DUMMYFUNCTION("""COMPUTED_VALUE"""),"Km 26 Vía Quevedo Sto Domingo. Calle principal -")</f>
        <v>Km 26 Vía Quevedo Sto Domingo. Calle principal -</v>
      </c>
      <c r="P1543" s="65"/>
      <c r="Q1543" s="65" t="str">
        <f>IFERROR(__xludf.DUMMYFUNCTION("""COMPUTED_VALUE"""),"GINTRACOM")</f>
        <v>GINTRACOM</v>
      </c>
      <c r="R1543" s="65">
        <f>IFERROR(__xludf.DUMMYFUNCTION("""COMPUTED_VALUE"""),25.0)</f>
        <v>25</v>
      </c>
      <c r="S1543" s="65"/>
      <c r="T1543" s="65">
        <f>IFERROR(__xludf.DUMMYFUNCTION("""COMPUTED_VALUE"""),6.53)</f>
        <v>6.53</v>
      </c>
      <c r="U1543" s="65">
        <f>IFERROR(__xludf.DUMMYFUNCTION("""COMPUTED_VALUE"""),0.0)</f>
        <v>0</v>
      </c>
      <c r="V1543" s="65">
        <f>IFERROR(__xludf.DUMMYFUNCTION("""COMPUTED_VALUE"""),0.0)</f>
        <v>0</v>
      </c>
      <c r="W1543" s="65">
        <f>IFERROR(__xludf.DUMMYFUNCTION("""COMPUTED_VALUE"""),0.0)</f>
        <v>0</v>
      </c>
      <c r="X1543" s="65">
        <f>IFERROR(__xludf.DUMMYFUNCTION("""COMPUTED_VALUE"""),2.35)</f>
        <v>2.35</v>
      </c>
      <c r="Y1543" s="65">
        <f>IFERROR(__xludf.DUMMYFUNCTION("""COMPUTED_VALUE"""),4.7)</f>
        <v>4.7</v>
      </c>
      <c r="Z1543" s="65">
        <f>IFERROR(__xludf.DUMMYFUNCTION("""COMPUTED_VALUE"""),116679.0)</f>
        <v>116679</v>
      </c>
      <c r="AA1543" s="65" t="str">
        <f>IFERROR(__xludf.DUMMYFUNCTION("""COMPUTED_VALUE"""),"AMC-2738")</f>
        <v>AMC-2738</v>
      </c>
      <c r="AB1543" s="65"/>
      <c r="AC1543" s="65" t="str">
        <f>IFERROR(__xludf.DUMMYFUNCTION("""COMPUTED_VALUE"""),"ESPONJA ANTILLUVIA DE PARABRISAS")</f>
        <v>ESPONJA ANTILLUVIA DE PARABRISAS</v>
      </c>
      <c r="AD1543" s="65"/>
      <c r="AE1543" s="65">
        <f>IFERROR(__xludf.DUMMYFUNCTION("""COMPUTED_VALUE"""),2.0)</f>
        <v>2</v>
      </c>
      <c r="AF1543" s="65"/>
      <c r="AG1543" s="65"/>
      <c r="AH1543" s="65"/>
      <c r="AI1543" s="65"/>
      <c r="AJ1543" s="65"/>
      <c r="AK1543" s="65"/>
      <c r="AL1543" s="65"/>
      <c r="AM1543" s="65"/>
      <c r="AN1543" s="65"/>
      <c r="AO1543" s="65"/>
      <c r="AP1543" s="65"/>
      <c r="AQ1543" s="65"/>
      <c r="AR1543" s="65"/>
      <c r="AS1543" s="65"/>
      <c r="AT1543" s="65" t="str">
        <f>IFERROR(__xludf.DUMMYFUNCTION("""COMPUTED_VALUE"""),"SHOPIFY")</f>
        <v>SHOPIFY</v>
      </c>
      <c r="AU1543" s="65" t="str">
        <f>IFERROR(__xludf.DUMMYFUNCTION("""COMPUTED_VALUE"""),"IMPORTEX EC")</f>
        <v>IMPORTEX EC</v>
      </c>
      <c r="AV1543" s="65" t="str">
        <f>IFERROR(__xludf.DUMMYFUNCTION("""COMPUTED_VALUE"""),"6426133856300")</f>
        <v>6426133856300</v>
      </c>
      <c r="AW1543" s="65">
        <f>IFERROR(__xludf.DUMMYFUNCTION("""COMPUTED_VALUE"""),5399.0)</f>
        <v>5399</v>
      </c>
      <c r="AX1543" s="65"/>
      <c r="AY1543" s="65"/>
      <c r="AZ1543" s="65"/>
      <c r="BA1543" s="65"/>
    </row>
    <row r="1544">
      <c r="A1544" s="65" t="str">
        <f>IFERROR(__xludf.DUMMYFUNCTION("""COMPUTED_VALUE"""),"27-03-2026")</f>
        <v>27-03-2026</v>
      </c>
      <c r="B1544" s="65">
        <f>IFERROR(__xludf.DUMMYFUNCTION("""COMPUTED_VALUE"""),4186998.0)</f>
        <v>4186998</v>
      </c>
      <c r="C1544" s="65" t="str">
        <f>IFERROR(__xludf.DUMMYFUNCTION("""COMPUTED_VALUE"""),"06:44")</f>
        <v>06:44</v>
      </c>
      <c r="D1544" s="65" t="str">
        <f>IFERROR(__xludf.DUMMYFUNCTION("""COMPUTED_VALUE"""),"18-01-2026")</f>
        <v>18-01-2026</v>
      </c>
      <c r="E1544" s="65" t="str">
        <f>IFERROR(__xludf.DUMMYFUNCTION("""COMPUTED_VALUE"""),"Diego Fernando Salas Murillo")</f>
        <v>Diego Fernando Salas Murillo</v>
      </c>
      <c r="F1544" s="65" t="str">
        <f>IFERROR(__xludf.DUMMYFUNCTION("""COMPUTED_VALUE"""),"986523335")</f>
        <v>986523335</v>
      </c>
      <c r="G1544" s="65" t="str">
        <f>IFERROR(__xludf.DUMMYFUNCTION("""COMPUTED_VALUE"""),"diegodiegosalassalas2020@gmail.com")</f>
        <v>diegodiegosalassalas2020@gmail.com</v>
      </c>
      <c r="H1544" s="65"/>
      <c r="I1544" s="65"/>
      <c r="J1544" s="65"/>
      <c r="K1544" s="65" t="str">
        <f>IFERROR(__xludf.DUMMYFUNCTION("""COMPUTED_VALUE"""),"CANCELADO")</f>
        <v>CANCELADO</v>
      </c>
      <c r="L1544" s="65" t="str">
        <f>IFERROR(__xludf.DUMMYFUNCTION("""COMPUTED_VALUE"""),"CON RECAUDO")</f>
        <v>CON RECAUDO</v>
      </c>
      <c r="M1544" s="65" t="str">
        <f>IFERROR(__xludf.DUMMYFUNCTION("""COMPUTED_VALUE"""),"IMBABURA")</f>
        <v>IMBABURA</v>
      </c>
      <c r="N1544" s="65" t="str">
        <f>IFERROR(__xludf.DUMMYFUNCTION("""COMPUTED_VALUE"""),"ANDRADE MARIN")</f>
        <v>ANDRADE MARIN</v>
      </c>
      <c r="O1544" s="65" t="str">
        <f>IFERROR(__xludf.DUMMYFUNCTION("""COMPUTED_VALUE"""),"Abdon Calderón he imbabura Imprenta Salas frente a la unidad educativa Antonio ante -")</f>
        <v>Abdon Calderón he imbabura Imprenta Salas frente a la unidad educativa Antonio ante -</v>
      </c>
      <c r="P1544" s="65"/>
      <c r="Q1544" s="65" t="str">
        <f>IFERROR(__xludf.DUMMYFUNCTION("""COMPUTED_VALUE"""),"SERVIENTREGA")</f>
        <v>SERVIENTREGA</v>
      </c>
      <c r="R1544" s="65">
        <f>IFERROR(__xludf.DUMMYFUNCTION("""COMPUTED_VALUE"""),30.0)</f>
        <v>30</v>
      </c>
      <c r="S1544" s="65"/>
      <c r="T1544" s="65">
        <f>IFERROR(__xludf.DUMMYFUNCTION("""COMPUTED_VALUE"""),7.82)</f>
        <v>7.82</v>
      </c>
      <c r="U1544" s="65">
        <f>IFERROR(__xludf.DUMMYFUNCTION("""COMPUTED_VALUE"""),0.0)</f>
        <v>0</v>
      </c>
      <c r="V1544" s="65">
        <f>IFERROR(__xludf.DUMMYFUNCTION("""COMPUTED_VALUE"""),0.0)</f>
        <v>0</v>
      </c>
      <c r="W1544" s="65">
        <f>IFERROR(__xludf.DUMMYFUNCTION("""COMPUTED_VALUE"""),0.0)</f>
        <v>0</v>
      </c>
      <c r="X1544" s="65">
        <f>IFERROR(__xludf.DUMMYFUNCTION("""COMPUTED_VALUE"""),2.35)</f>
        <v>2.35</v>
      </c>
      <c r="Y1544" s="65">
        <f>IFERROR(__xludf.DUMMYFUNCTION("""COMPUTED_VALUE"""),7.05)</f>
        <v>7.05</v>
      </c>
      <c r="Z1544" s="65">
        <f>IFERROR(__xludf.DUMMYFUNCTION("""COMPUTED_VALUE"""),116679.0)</f>
        <v>116679</v>
      </c>
      <c r="AA1544" s="65" t="str">
        <f>IFERROR(__xludf.DUMMYFUNCTION("""COMPUTED_VALUE"""),"AMC-2738")</f>
        <v>AMC-2738</v>
      </c>
      <c r="AB1544" s="65"/>
      <c r="AC1544" s="65" t="str">
        <f>IFERROR(__xludf.DUMMYFUNCTION("""COMPUTED_VALUE"""),"ESPONJA ANTILLUVIA DE PARABRISAS")</f>
        <v>ESPONJA ANTILLUVIA DE PARABRISAS</v>
      </c>
      <c r="AD1544" s="65"/>
      <c r="AE1544" s="65">
        <f>IFERROR(__xludf.DUMMYFUNCTION("""COMPUTED_VALUE"""),3.0)</f>
        <v>3</v>
      </c>
      <c r="AF1544" s="65"/>
      <c r="AG1544" s="65"/>
      <c r="AH1544" s="65"/>
      <c r="AI1544" s="65"/>
      <c r="AJ1544" s="65"/>
      <c r="AK1544" s="65"/>
      <c r="AL1544" s="65"/>
      <c r="AM1544" s="65"/>
      <c r="AN1544" s="65"/>
      <c r="AO1544" s="65"/>
      <c r="AP1544" s="65"/>
      <c r="AQ1544" s="65"/>
      <c r="AR1544" s="65"/>
      <c r="AS1544" s="65"/>
      <c r="AT1544" s="65" t="str">
        <f>IFERROR(__xludf.DUMMYFUNCTION("""COMPUTED_VALUE"""),"SHOPIFY")</f>
        <v>SHOPIFY</v>
      </c>
      <c r="AU1544" s="65" t="str">
        <f>IFERROR(__xludf.DUMMYFUNCTION("""COMPUTED_VALUE"""),"IMPORTEX EC")</f>
        <v>IMPORTEX EC</v>
      </c>
      <c r="AV1544" s="65" t="str">
        <f>IFERROR(__xludf.DUMMYFUNCTION("""COMPUTED_VALUE"""),"6426126024748")</f>
        <v>6426126024748</v>
      </c>
      <c r="AW1544" s="65">
        <f>IFERROR(__xludf.DUMMYFUNCTION("""COMPUTED_VALUE"""),5398.0)</f>
        <v>5398</v>
      </c>
      <c r="AX1544" s="65"/>
      <c r="AY1544" s="65"/>
      <c r="AZ1544" s="65"/>
      <c r="BA1544" s="65"/>
    </row>
    <row r="1545">
      <c r="A1545" s="65" t="str">
        <f>IFERROR(__xludf.DUMMYFUNCTION("""COMPUTED_VALUE"""),"27-03-2026")</f>
        <v>27-03-2026</v>
      </c>
      <c r="B1545" s="65">
        <f>IFERROR(__xludf.DUMMYFUNCTION("""COMPUTED_VALUE"""),4186821.0)</f>
        <v>4186821</v>
      </c>
      <c r="C1545" s="65" t="str">
        <f>IFERROR(__xludf.DUMMYFUNCTION("""COMPUTED_VALUE"""),"05:55")</f>
        <v>05:55</v>
      </c>
      <c r="D1545" s="65" t="str">
        <f>IFERROR(__xludf.DUMMYFUNCTION("""COMPUTED_VALUE"""),"18-01-2026")</f>
        <v>18-01-2026</v>
      </c>
      <c r="E1545" s="65" t="str">
        <f>IFERROR(__xludf.DUMMYFUNCTION("""COMPUTED_VALUE"""),"Víctor Changoluisa")</f>
        <v>Víctor Changoluisa</v>
      </c>
      <c r="F1545" s="65" t="str">
        <f>IFERROR(__xludf.DUMMYFUNCTION("""COMPUTED_VALUE"""),"991478890")</f>
        <v>991478890</v>
      </c>
      <c r="G1545" s="65"/>
      <c r="H1545" s="65"/>
      <c r="I1545" s="65"/>
      <c r="J1545" s="65" t="str">
        <f>IFERROR(__xludf.DUMMYFUNCTION("""COMPUTED_VALUE"""),"186507657")</f>
        <v>186507657</v>
      </c>
      <c r="K1545" s="65" t="str">
        <f>IFERROR(__xludf.DUMMYFUNCTION("""COMPUTED_VALUE"""),"DEVOLUCION")</f>
        <v>DEVOLUCION</v>
      </c>
      <c r="L1545" s="65" t="str">
        <f>IFERROR(__xludf.DUMMYFUNCTION("""COMPUTED_VALUE"""),"CON RECAUDO")</f>
        <v>CON RECAUDO</v>
      </c>
      <c r="M1545" s="65" t="str">
        <f>IFERROR(__xludf.DUMMYFUNCTION("""COMPUTED_VALUE"""),"PICHINCHA")</f>
        <v>PICHINCHA</v>
      </c>
      <c r="N1545" s="65" t="str">
        <f>IFERROR(__xludf.DUMMYFUNCTION("""COMPUTED_VALUE"""),"MACHACHI")</f>
        <v>MACHACHI</v>
      </c>
      <c r="O1545" s="65" t="str">
        <f>IFERROR(__xludf.DUMMYFUNCTION("""COMPUTED_VALUE"""),"García Moreno y Rumiñahui, Lote 2, S/N")</f>
        <v>García Moreno y Rumiñahui, Lote 2, S/N</v>
      </c>
      <c r="P1545" s="65"/>
      <c r="Q1545" s="65" t="str">
        <f>IFERROR(__xludf.DUMMYFUNCTION("""COMPUTED_VALUE"""),"SERVIENTREGA")</f>
        <v>SERVIENTREGA</v>
      </c>
      <c r="R1545" s="65">
        <f>IFERROR(__xludf.DUMMYFUNCTION("""COMPUTED_VALUE"""),25.0)</f>
        <v>25</v>
      </c>
      <c r="S1545" s="65"/>
      <c r="T1545" s="65">
        <f>IFERROR(__xludf.DUMMYFUNCTION("""COMPUTED_VALUE"""),5.71)</f>
        <v>5.71</v>
      </c>
      <c r="U1545" s="65">
        <f>IFERROR(__xludf.DUMMYFUNCTION("""COMPUTED_VALUE"""),0.0)</f>
        <v>0</v>
      </c>
      <c r="V1545" s="65">
        <f>IFERROR(__xludf.DUMMYFUNCTION("""COMPUTED_VALUE"""),0.0)</f>
        <v>0</v>
      </c>
      <c r="W1545" s="65">
        <f>IFERROR(__xludf.DUMMYFUNCTION("""COMPUTED_VALUE"""),0.0)</f>
        <v>0</v>
      </c>
      <c r="X1545" s="65">
        <f>IFERROR(__xludf.DUMMYFUNCTION("""COMPUTED_VALUE"""),2.35)</f>
        <v>2.35</v>
      </c>
      <c r="Y1545" s="65">
        <f>IFERROR(__xludf.DUMMYFUNCTION("""COMPUTED_VALUE"""),4.7)</f>
        <v>4.7</v>
      </c>
      <c r="Z1545" s="65">
        <f>IFERROR(__xludf.DUMMYFUNCTION("""COMPUTED_VALUE"""),116679.0)</f>
        <v>116679</v>
      </c>
      <c r="AA1545" s="65" t="str">
        <f>IFERROR(__xludf.DUMMYFUNCTION("""COMPUTED_VALUE"""),"AMC-2738")</f>
        <v>AMC-2738</v>
      </c>
      <c r="AB1545" s="65"/>
      <c r="AC1545" s="65" t="str">
        <f>IFERROR(__xludf.DUMMYFUNCTION("""COMPUTED_VALUE"""),"ESPONJA ANTILLUVIA DE PARABRISAS")</f>
        <v>ESPONJA ANTILLUVIA DE PARABRISAS</v>
      </c>
      <c r="AD1545" s="65"/>
      <c r="AE1545" s="65">
        <f>IFERROR(__xludf.DUMMYFUNCTION("""COMPUTED_VALUE"""),2.0)</f>
        <v>2</v>
      </c>
      <c r="AF1545" s="65" t="str">
        <f>IFERROR(__xludf.DUMMYFUNCTION("""COMPUTED_VALUE"""),"DEVOLUCION AL REMITENTE")</f>
        <v>DEVOLUCION AL REMITENTE</v>
      </c>
      <c r="AG1545" s="65" t="str">
        <f>IFERROR(__xludf.DUMMYFUNCTION("""COMPUTED_VALUE"""),"NO")</f>
        <v>NO</v>
      </c>
      <c r="AH1545" s="65" t="str">
        <f>IFERROR(__xludf.DUMMYFUNCTION("""COMPUTED_VALUE"""),"17:26")</f>
        <v>17:26</v>
      </c>
      <c r="AI1545" s="65" t="str">
        <f>IFERROR(__xludf.DUMMYFUNCTION("""COMPUTED_VALUE"""),"29-01-2026")</f>
        <v>29-01-2026</v>
      </c>
      <c r="AJ1545" s="65"/>
      <c r="AK1545" s="65"/>
      <c r="AL1545" s="65"/>
      <c r="AM1545" s="65"/>
      <c r="AN1545" s="65" t="str">
        <f>IFERROR(__xludf.DUMMYFUNCTION("""COMPUTED_VALUE"""),"17:27")</f>
        <v>17:27</v>
      </c>
      <c r="AO1545" s="65" t="str">
        <f>IFERROR(__xludf.DUMMYFUNCTION("""COMPUTED_VALUE"""),"29-01-2026")</f>
        <v>29-01-2026</v>
      </c>
      <c r="AP1545" s="65" t="str">
        <f>IFERROR(__xludf.DUMMYFUNCTION("""COMPUTED_VALUE"""),"DEVOLUCION AL REMITENTE")</f>
        <v>DEVOLUCION AL REMITENTE</v>
      </c>
      <c r="AQ1545" s="65" t="str">
        <f>IFERROR(__xludf.DUMMYFUNCTION("""COMPUTED_VALUE"""),".")</f>
        <v>.</v>
      </c>
      <c r="AR1545" s="65"/>
      <c r="AS1545" s="65"/>
      <c r="AT1545" s="65" t="str">
        <f>IFERROR(__xludf.DUMMYFUNCTION("""COMPUTED_VALUE"""),"SHOPIFY")</f>
        <v>SHOPIFY</v>
      </c>
      <c r="AU1545" s="65" t="str">
        <f>IFERROR(__xludf.DUMMYFUNCTION("""COMPUTED_VALUE"""),"IMPORTEX EC")</f>
        <v>IMPORTEX EC</v>
      </c>
      <c r="AV1545" s="65" t="str">
        <f>IFERROR(__xludf.DUMMYFUNCTION("""COMPUTED_VALUE"""),"6426097221676")</f>
        <v>6426097221676</v>
      </c>
      <c r="AW1545" s="65">
        <f>IFERROR(__xludf.DUMMYFUNCTION("""COMPUTED_VALUE"""),5396.0)</f>
        <v>5396</v>
      </c>
      <c r="AX1545" s="65"/>
      <c r="AY1545" s="65" t="str">
        <f>IFERROR(__xludf.DUMMYFUNCTION("""COMPUTED_VALUE"""),"21/01/2026")</f>
        <v>21/01/2026</v>
      </c>
      <c r="AZ1545" s="65"/>
      <c r="BA1545" s="65"/>
    </row>
    <row r="1546">
      <c r="A1546" s="65" t="str">
        <f>IFERROR(__xludf.DUMMYFUNCTION("""COMPUTED_VALUE"""),"27-03-2026")</f>
        <v>27-03-2026</v>
      </c>
      <c r="B1546" s="65">
        <f>IFERROR(__xludf.DUMMYFUNCTION("""COMPUTED_VALUE"""),4186716.0)</f>
        <v>4186716</v>
      </c>
      <c r="C1546" s="65" t="str">
        <f>IFERROR(__xludf.DUMMYFUNCTION("""COMPUTED_VALUE"""),"04:37")</f>
        <v>04:37</v>
      </c>
      <c r="D1546" s="65" t="str">
        <f>IFERROR(__xludf.DUMMYFUNCTION("""COMPUTED_VALUE"""),"18-01-2026")</f>
        <v>18-01-2026</v>
      </c>
      <c r="E1546" s="65" t="str">
        <f>IFERROR(__xludf.DUMMYFUNCTION("""COMPUTED_VALUE"""),"Nilsen Pineda")</f>
        <v>Nilsen Pineda</v>
      </c>
      <c r="F1546" s="65" t="str">
        <f>IFERROR(__xludf.DUMMYFUNCTION("""COMPUTED_VALUE"""),"985152227")</f>
        <v>985152227</v>
      </c>
      <c r="G1546" s="65" t="str">
        <f>IFERROR(__xludf.DUMMYFUNCTION("""COMPUTED_VALUE"""),"colombiaallstar@hotmail.com")</f>
        <v>colombiaallstar@hotmail.com</v>
      </c>
      <c r="H1546" s="65"/>
      <c r="I1546" s="65"/>
      <c r="J1546" s="65" t="str">
        <f>IFERROR(__xludf.DUMMYFUNCTION("""COMPUTED_VALUE"""),"D001247726")</f>
        <v>D001247726</v>
      </c>
      <c r="K1546" s="65" t="str">
        <f>IFERROR(__xludf.DUMMYFUNCTION("""COMPUTED_VALUE"""),"ENTREGADO")</f>
        <v>ENTREGADO</v>
      </c>
      <c r="L1546" s="65" t="str">
        <f>IFERROR(__xludf.DUMMYFUNCTION("""COMPUTED_VALUE"""),"CON RECAUDO")</f>
        <v>CON RECAUDO</v>
      </c>
      <c r="M1546" s="65" t="str">
        <f>IFERROR(__xludf.DUMMYFUNCTION("""COMPUTED_VALUE"""),"GUAYAS")</f>
        <v>GUAYAS</v>
      </c>
      <c r="N1546" s="65" t="str">
        <f>IFERROR(__xludf.DUMMYFUNCTION("""COMPUTED_VALUE"""),"GUAYAQUIL")</f>
        <v>GUAYAQUIL</v>
      </c>
      <c r="O1546" s="65" t="str">
        <f>IFERROR(__xludf.DUMMYFUNCTION("""COMPUTED_VALUE"""),"Mucho lote 1 manzana 2577 villa 33 Frente al parque lineal casa naranja portón blanco -")</f>
        <v>Mucho lote 1 manzana 2577 villa 33 Frente al parque lineal casa naranja portón blanco -</v>
      </c>
      <c r="P1546" s="65"/>
      <c r="Q1546" s="65" t="str">
        <f>IFERROR(__xludf.DUMMYFUNCTION("""COMPUTED_VALUE"""),"GINTRACOM")</f>
        <v>GINTRACOM</v>
      </c>
      <c r="R1546" s="65">
        <f>IFERROR(__xludf.DUMMYFUNCTION("""COMPUTED_VALUE"""),25.0)</f>
        <v>25</v>
      </c>
      <c r="S1546" s="65">
        <f>IFERROR(__xludf.DUMMYFUNCTION("""COMPUTED_VALUE"""),14.34)</f>
        <v>14.34</v>
      </c>
      <c r="T1546" s="65">
        <f>IFERROR(__xludf.DUMMYFUNCTION("""COMPUTED_VALUE"""),5.96)</f>
        <v>5.96</v>
      </c>
      <c r="U1546" s="65">
        <f>IFERROR(__xludf.DUMMYFUNCTION("""COMPUTED_VALUE"""),0.0)</f>
        <v>0</v>
      </c>
      <c r="V1546" s="65">
        <f>IFERROR(__xludf.DUMMYFUNCTION("""COMPUTED_VALUE"""),0.0)</f>
        <v>0</v>
      </c>
      <c r="W1546" s="65">
        <f>IFERROR(__xludf.DUMMYFUNCTION("""COMPUTED_VALUE"""),0.0)</f>
        <v>0</v>
      </c>
      <c r="X1546" s="65">
        <f>IFERROR(__xludf.DUMMYFUNCTION("""COMPUTED_VALUE"""),2.35)</f>
        <v>2.35</v>
      </c>
      <c r="Y1546" s="65">
        <f>IFERROR(__xludf.DUMMYFUNCTION("""COMPUTED_VALUE"""),4.7)</f>
        <v>4.7</v>
      </c>
      <c r="Z1546" s="65">
        <f>IFERROR(__xludf.DUMMYFUNCTION("""COMPUTED_VALUE"""),116679.0)</f>
        <v>116679</v>
      </c>
      <c r="AA1546" s="65" t="str">
        <f>IFERROR(__xludf.DUMMYFUNCTION("""COMPUTED_VALUE"""),"AMC-2738")</f>
        <v>AMC-2738</v>
      </c>
      <c r="AB1546" s="65"/>
      <c r="AC1546" s="65" t="str">
        <f>IFERROR(__xludf.DUMMYFUNCTION("""COMPUTED_VALUE"""),"ESPONJA ANTILLUVIA DE PARABRISAS")</f>
        <v>ESPONJA ANTILLUVIA DE PARABRISAS</v>
      </c>
      <c r="AD1546" s="65"/>
      <c r="AE1546" s="65">
        <f>IFERROR(__xludf.DUMMYFUNCTION("""COMPUTED_VALUE"""),2.0)</f>
        <v>2</v>
      </c>
      <c r="AF1546" s="65"/>
      <c r="AG1546" s="65"/>
      <c r="AH1546" s="65"/>
      <c r="AI1546" s="65"/>
      <c r="AJ1546" s="65"/>
      <c r="AK1546" s="65"/>
      <c r="AL1546" s="65"/>
      <c r="AM1546" s="65"/>
      <c r="AN1546" s="65" t="str">
        <f>IFERROR(__xludf.DUMMYFUNCTION("""COMPUTED_VALUE"""),"14:41")</f>
        <v>14:41</v>
      </c>
      <c r="AO1546" s="65" t="str">
        <f>IFERROR(__xludf.DUMMYFUNCTION("""COMPUTED_VALUE"""),"24-01-2026")</f>
        <v>24-01-2026</v>
      </c>
      <c r="AP1546" s="65" t="str">
        <f>IFERROR(__xludf.DUMMYFUNCTION("""COMPUTED_VALUE"""),"ENTREGADA GINTRACOM")</f>
        <v>ENTREGADA GINTRACOM</v>
      </c>
      <c r="AQ1546" s="65" t="str">
        <f>IFERROR(__xludf.DUMMYFUNCTION("""COMPUTED_VALUE"""),"ENTREGADA GINTRACOM")</f>
        <v>ENTREGADA GINTRACOM</v>
      </c>
      <c r="AR1546" s="65"/>
      <c r="AS1546" s="65"/>
      <c r="AT1546" s="65" t="str">
        <f>IFERROR(__xludf.DUMMYFUNCTION("""COMPUTED_VALUE"""),"SHOPIFY")</f>
        <v>SHOPIFY</v>
      </c>
      <c r="AU1546" s="65" t="str">
        <f>IFERROR(__xludf.DUMMYFUNCTION("""COMPUTED_VALUE"""),"IMPORTEX EC")</f>
        <v>IMPORTEX EC</v>
      </c>
      <c r="AV1546" s="65" t="str">
        <f>IFERROR(__xludf.DUMMYFUNCTION("""COMPUTED_VALUE"""),"6426056261676")</f>
        <v>6426056261676</v>
      </c>
      <c r="AW1546" s="65">
        <f>IFERROR(__xludf.DUMMYFUNCTION("""COMPUTED_VALUE"""),5395.0)</f>
        <v>5395</v>
      </c>
      <c r="AX1546" s="65"/>
      <c r="AY1546" s="65" t="str">
        <f>IFERROR(__xludf.DUMMYFUNCTION("""COMPUTED_VALUE"""),"21/01/2026")</f>
        <v>21/01/2026</v>
      </c>
      <c r="AZ1546" s="65"/>
      <c r="BA1546" s="65"/>
    </row>
    <row r="1547">
      <c r="A1547" s="65" t="str">
        <f>IFERROR(__xludf.DUMMYFUNCTION("""COMPUTED_VALUE"""),"27-03-2026")</f>
        <v>27-03-2026</v>
      </c>
      <c r="B1547" s="65">
        <f>IFERROR(__xludf.DUMMYFUNCTION("""COMPUTED_VALUE"""),4186515.0)</f>
        <v>4186515</v>
      </c>
      <c r="C1547" s="65" t="str">
        <f>IFERROR(__xludf.DUMMYFUNCTION("""COMPUTED_VALUE"""),"01:33")</f>
        <v>01:33</v>
      </c>
      <c r="D1547" s="65" t="str">
        <f>IFERROR(__xludf.DUMMYFUNCTION("""COMPUTED_VALUE"""),"18-01-2026")</f>
        <v>18-01-2026</v>
      </c>
      <c r="E1547" s="65" t="str">
        <f>IFERROR(__xludf.DUMMYFUNCTION("""COMPUTED_VALUE"""),"Sonnia María Sicouret")</f>
        <v>Sonnia María Sicouret</v>
      </c>
      <c r="F1547" s="65" t="str">
        <f>IFERROR(__xludf.DUMMYFUNCTION("""COMPUTED_VALUE"""),"988855800")</f>
        <v>988855800</v>
      </c>
      <c r="G1547" s="65" t="str">
        <f>IFERROR(__xludf.DUMMYFUNCTION("""COMPUTED_VALUE"""),"sonniamaria1966@gmail.com")</f>
        <v>sonniamaria1966@gmail.com</v>
      </c>
      <c r="H1547" s="65"/>
      <c r="I1547" s="65"/>
      <c r="J1547" s="65" t="str">
        <f>IFERROR(__xludf.DUMMYFUNCTION("""COMPUTED_VALUE"""),"D001247727")</f>
        <v>D001247727</v>
      </c>
      <c r="K1547" s="65" t="str">
        <f>IFERROR(__xludf.DUMMYFUNCTION("""COMPUTED_VALUE"""),"DEVOLUCION")</f>
        <v>DEVOLUCION</v>
      </c>
      <c r="L1547" s="65" t="str">
        <f>IFERROR(__xludf.DUMMYFUNCTION("""COMPUTED_VALUE"""),"CON RECAUDO")</f>
        <v>CON RECAUDO</v>
      </c>
      <c r="M1547" s="65" t="str">
        <f>IFERROR(__xludf.DUMMYFUNCTION("""COMPUTED_VALUE"""),"GUAYAS")</f>
        <v>GUAYAS</v>
      </c>
      <c r="N1547" s="65" t="str">
        <f>IFERROR(__xludf.DUMMYFUNCTION("""COMPUTED_VALUE"""),"GUAYAQUIL")</f>
        <v>GUAYAQUIL</v>
      </c>
      <c r="O1547" s="65" t="str">
        <f>IFERROR(__xludf.DUMMYFUNCTION("""COMPUTED_VALUE"""),"Avenida Leopoldo Carrera # 100, Edificio 100 Olivos Parc Torre B, 7mo piso, Dpto 01, Ref: Frente al Colegio Alemán Humbolt")</f>
        <v>Avenida Leopoldo Carrera # 100, Edificio 100 Olivos Parc Torre B, 7mo piso, Dpto 01, Ref: Frente al Colegio Alemán Humbolt</v>
      </c>
      <c r="P1547" s="65"/>
      <c r="Q1547" s="65" t="str">
        <f>IFERROR(__xludf.DUMMYFUNCTION("""COMPUTED_VALUE"""),"GINTRACOM")</f>
        <v>GINTRACOM</v>
      </c>
      <c r="R1547" s="65">
        <f>IFERROR(__xludf.DUMMYFUNCTION("""COMPUTED_VALUE"""),20.0)</f>
        <v>20</v>
      </c>
      <c r="S1547" s="65"/>
      <c r="T1547" s="65">
        <f>IFERROR(__xludf.DUMMYFUNCTION("""COMPUTED_VALUE"""),5.76)</f>
        <v>5.76</v>
      </c>
      <c r="U1547" s="65">
        <f>IFERROR(__xludf.DUMMYFUNCTION("""COMPUTED_VALUE"""),0.0)</f>
        <v>0</v>
      </c>
      <c r="V1547" s="65">
        <f>IFERROR(__xludf.DUMMYFUNCTION("""COMPUTED_VALUE"""),0.0)</f>
        <v>0</v>
      </c>
      <c r="W1547" s="65">
        <f>IFERROR(__xludf.DUMMYFUNCTION("""COMPUTED_VALUE"""),0.0)</f>
        <v>0</v>
      </c>
      <c r="X1547" s="65">
        <f>IFERROR(__xludf.DUMMYFUNCTION("""COMPUTED_VALUE"""),2.35)</f>
        <v>2.35</v>
      </c>
      <c r="Y1547" s="65">
        <f>IFERROR(__xludf.DUMMYFUNCTION("""COMPUTED_VALUE"""),2.35)</f>
        <v>2.35</v>
      </c>
      <c r="Z1547" s="65">
        <f>IFERROR(__xludf.DUMMYFUNCTION("""COMPUTED_VALUE"""),116679.0)</f>
        <v>116679</v>
      </c>
      <c r="AA1547" s="65" t="str">
        <f>IFERROR(__xludf.DUMMYFUNCTION("""COMPUTED_VALUE"""),"AMC-2738")</f>
        <v>AMC-2738</v>
      </c>
      <c r="AB1547" s="65"/>
      <c r="AC1547" s="65" t="str">
        <f>IFERROR(__xludf.DUMMYFUNCTION("""COMPUTED_VALUE"""),"ESPONJA ANTILLUVIA DE PARABRISAS")</f>
        <v>ESPONJA ANTILLUVIA DE PARABRISAS</v>
      </c>
      <c r="AD1547" s="65"/>
      <c r="AE1547" s="65">
        <f>IFERROR(__xludf.DUMMYFUNCTION("""COMPUTED_VALUE"""),1.0)</f>
        <v>1</v>
      </c>
      <c r="AF1547" s="65" t="str">
        <f>IFERROR(__xludf.DUMMYFUNCTION("""COMPUTED_VALUE"""),"DESTINATARIO INDICA QUE NO HA COMPRADO NINGÚN PRODUCTO")</f>
        <v>DESTINATARIO INDICA QUE NO HA COMPRADO NINGÚN PRODUCTO</v>
      </c>
      <c r="AG1547" s="65" t="str">
        <f>IFERROR(__xludf.DUMMYFUNCTION("""COMPUTED_VALUE"""),"NO")</f>
        <v>NO</v>
      </c>
      <c r="AH1547" s="65" t="str">
        <f>IFERROR(__xludf.DUMMYFUNCTION("""COMPUTED_VALUE"""),"10:54")</f>
        <v>10:54</v>
      </c>
      <c r="AI1547" s="65" t="str">
        <f>IFERROR(__xludf.DUMMYFUNCTION("""COMPUTED_VALUE"""),"26-01-2026")</f>
        <v>26-01-2026</v>
      </c>
      <c r="AJ1547" s="65"/>
      <c r="AK1547" s="65"/>
      <c r="AL1547" s="65"/>
      <c r="AM1547" s="65"/>
      <c r="AN1547" s="65" t="str">
        <f>IFERROR(__xludf.DUMMYFUNCTION("""COMPUTED_VALUE"""),"10:53")</f>
        <v>10:53</v>
      </c>
      <c r="AO1547" s="65" t="str">
        <f>IFERROR(__xludf.DUMMYFUNCTION("""COMPUTED_VALUE"""),"10-02-2026")</f>
        <v>10-02-2026</v>
      </c>
      <c r="AP1547" s="65" t="str">
        <f>IFERROR(__xludf.DUMMYFUNCTION("""COMPUTED_VALUE"""),"DEVOLUCIÓN ENTREGADA A ORIGEN")</f>
        <v>DEVOLUCIÓN ENTREGADA A ORIGEN</v>
      </c>
      <c r="AQ1547" s="65" t="str">
        <f>IFERROR(__xludf.DUMMYFUNCTION("""COMPUTED_VALUE"""),"DEVOLUCIÓN ENTREGADA A ORIGEN")</f>
        <v>DEVOLUCIÓN ENTREGADA A ORIGEN</v>
      </c>
      <c r="AR1547" s="65"/>
      <c r="AS1547" s="65"/>
      <c r="AT1547" s="65" t="str">
        <f>IFERROR(__xludf.DUMMYFUNCTION("""COMPUTED_VALUE"""),"SHOPIFY")</f>
        <v>SHOPIFY</v>
      </c>
      <c r="AU1547" s="65" t="str">
        <f>IFERROR(__xludf.DUMMYFUNCTION("""COMPUTED_VALUE"""),"IMPORTEX EC")</f>
        <v>IMPORTEX EC</v>
      </c>
      <c r="AV1547" s="65" t="str">
        <f>IFERROR(__xludf.DUMMYFUNCTION("""COMPUTED_VALUE"""),"6425783533612")</f>
        <v>6425783533612</v>
      </c>
      <c r="AW1547" s="65">
        <f>IFERROR(__xludf.DUMMYFUNCTION("""COMPUTED_VALUE"""),5393.0)</f>
        <v>5393</v>
      </c>
      <c r="AX1547" s="65"/>
      <c r="AY1547" s="65" t="str">
        <f>IFERROR(__xludf.DUMMYFUNCTION("""COMPUTED_VALUE"""),"21/01/2026")</f>
        <v>21/01/2026</v>
      </c>
      <c r="AZ1547" s="65"/>
      <c r="BA1547" s="65"/>
    </row>
    <row r="1548">
      <c r="A1548" s="65" t="str">
        <f>IFERROR(__xludf.DUMMYFUNCTION("""COMPUTED_VALUE"""),"27-03-2026")</f>
        <v>27-03-2026</v>
      </c>
      <c r="B1548" s="65">
        <f>IFERROR(__xludf.DUMMYFUNCTION("""COMPUTED_VALUE"""),4186470.0)</f>
        <v>4186470</v>
      </c>
      <c r="C1548" s="65" t="str">
        <f>IFERROR(__xludf.DUMMYFUNCTION("""COMPUTED_VALUE"""),"01:13")</f>
        <v>01:13</v>
      </c>
      <c r="D1548" s="65" t="str">
        <f>IFERROR(__xludf.DUMMYFUNCTION("""COMPUTED_VALUE"""),"18-01-2026")</f>
        <v>18-01-2026</v>
      </c>
      <c r="E1548" s="65" t="str">
        <f>IFERROR(__xludf.DUMMYFUNCTION("""COMPUTED_VALUE"""),"Jorge Baque")</f>
        <v>Jorge Baque</v>
      </c>
      <c r="F1548" s="65" t="str">
        <f>IFERROR(__xludf.DUMMYFUNCTION("""COMPUTED_VALUE"""),"997001610")</f>
        <v>997001610</v>
      </c>
      <c r="G1548" s="65" t="str">
        <f>IFERROR(__xludf.DUMMYFUNCTION("""COMPUTED_VALUE"""),"baquerealj@gmail.com.com")</f>
        <v>baquerealj@gmail.com.com</v>
      </c>
      <c r="H1548" s="65"/>
      <c r="I1548" s="65"/>
      <c r="J1548" s="65" t="str">
        <f>IFERROR(__xludf.DUMMYFUNCTION("""COMPUTED_VALUE"""),"D001247728")</f>
        <v>D001247728</v>
      </c>
      <c r="K1548" s="65" t="str">
        <f>IFERROR(__xludf.DUMMYFUNCTION("""COMPUTED_VALUE"""),"ENTREGADO")</f>
        <v>ENTREGADO</v>
      </c>
      <c r="L1548" s="65" t="str">
        <f>IFERROR(__xludf.DUMMYFUNCTION("""COMPUTED_VALUE"""),"CON RECAUDO")</f>
        <v>CON RECAUDO</v>
      </c>
      <c r="M1548" s="65" t="str">
        <f>IFERROR(__xludf.DUMMYFUNCTION("""COMPUTED_VALUE"""),"GUAYAS")</f>
        <v>GUAYAS</v>
      </c>
      <c r="N1548" s="65" t="str">
        <f>IFERROR(__xludf.DUMMYFUNCTION("""COMPUTED_VALUE"""),"GUAYAQUIL")</f>
        <v>GUAYAQUIL</v>
      </c>
      <c r="O1548" s="65" t="str">
        <f>IFERROR(__xludf.DUMMYFUNCTION("""COMPUTED_VALUE"""),"Cdla la Garzota II atras de la Atrás de la avilocola fernande -")</f>
        <v>Cdla la Garzota II atras de la Atrás de la avilocola fernande -</v>
      </c>
      <c r="P1548" s="65"/>
      <c r="Q1548" s="65" t="str">
        <f>IFERROR(__xludf.DUMMYFUNCTION("""COMPUTED_VALUE"""),"GINTRACOM")</f>
        <v>GINTRACOM</v>
      </c>
      <c r="R1548" s="65">
        <f>IFERROR(__xludf.DUMMYFUNCTION("""COMPUTED_VALUE"""),20.0)</f>
        <v>20</v>
      </c>
      <c r="S1548" s="65">
        <f>IFERROR(__xludf.DUMMYFUNCTION("""COMPUTED_VALUE"""),11.89)</f>
        <v>11.89</v>
      </c>
      <c r="T1548" s="65">
        <f>IFERROR(__xludf.DUMMYFUNCTION("""COMPUTED_VALUE"""),5.76)</f>
        <v>5.76</v>
      </c>
      <c r="U1548" s="65">
        <f>IFERROR(__xludf.DUMMYFUNCTION("""COMPUTED_VALUE"""),0.0)</f>
        <v>0</v>
      </c>
      <c r="V1548" s="65">
        <f>IFERROR(__xludf.DUMMYFUNCTION("""COMPUTED_VALUE"""),0.0)</f>
        <v>0</v>
      </c>
      <c r="W1548" s="65">
        <f>IFERROR(__xludf.DUMMYFUNCTION("""COMPUTED_VALUE"""),0.0)</f>
        <v>0</v>
      </c>
      <c r="X1548" s="65">
        <f>IFERROR(__xludf.DUMMYFUNCTION("""COMPUTED_VALUE"""),2.35)</f>
        <v>2.35</v>
      </c>
      <c r="Y1548" s="65">
        <f>IFERROR(__xludf.DUMMYFUNCTION("""COMPUTED_VALUE"""),2.35)</f>
        <v>2.35</v>
      </c>
      <c r="Z1548" s="65">
        <f>IFERROR(__xludf.DUMMYFUNCTION("""COMPUTED_VALUE"""),116679.0)</f>
        <v>116679</v>
      </c>
      <c r="AA1548" s="65" t="str">
        <f>IFERROR(__xludf.DUMMYFUNCTION("""COMPUTED_VALUE"""),"AMC-2738")</f>
        <v>AMC-2738</v>
      </c>
      <c r="AB1548" s="65"/>
      <c r="AC1548" s="65" t="str">
        <f>IFERROR(__xludf.DUMMYFUNCTION("""COMPUTED_VALUE"""),"ESPONJA ANTILLUVIA DE PARABRISAS")</f>
        <v>ESPONJA ANTILLUVIA DE PARABRISAS</v>
      </c>
      <c r="AD1548" s="65"/>
      <c r="AE1548" s="65">
        <f>IFERROR(__xludf.DUMMYFUNCTION("""COMPUTED_VALUE"""),1.0)</f>
        <v>1</v>
      </c>
      <c r="AF1548" s="65"/>
      <c r="AG1548" s="65"/>
      <c r="AH1548" s="65"/>
      <c r="AI1548" s="65"/>
      <c r="AJ1548" s="65"/>
      <c r="AK1548" s="65"/>
      <c r="AL1548" s="65"/>
      <c r="AM1548" s="65"/>
      <c r="AN1548" s="65" t="str">
        <f>IFERROR(__xludf.DUMMYFUNCTION("""COMPUTED_VALUE"""),"08:19")</f>
        <v>08:19</v>
      </c>
      <c r="AO1548" s="65" t="str">
        <f>IFERROR(__xludf.DUMMYFUNCTION("""COMPUTED_VALUE"""),"28-01-2026")</f>
        <v>28-01-2026</v>
      </c>
      <c r="AP1548" s="65" t="str">
        <f>IFERROR(__xludf.DUMMYFUNCTION("""COMPUTED_VALUE"""),"EN REPARTO")</f>
        <v>EN REPARTO</v>
      </c>
      <c r="AQ1548" s="65" t="str">
        <f>IFERROR(__xludf.DUMMYFUNCTION("""COMPUTED_VALUE"""),"EN REPARTO")</f>
        <v>EN REPARTO</v>
      </c>
      <c r="AR1548" s="65"/>
      <c r="AS1548" s="65"/>
      <c r="AT1548" s="65" t="str">
        <f>IFERROR(__xludf.DUMMYFUNCTION("""COMPUTED_VALUE"""),"SHOPIFY")</f>
        <v>SHOPIFY</v>
      </c>
      <c r="AU1548" s="65" t="str">
        <f>IFERROR(__xludf.DUMMYFUNCTION("""COMPUTED_VALUE"""),"IMPORTEX EC")</f>
        <v>IMPORTEX EC</v>
      </c>
      <c r="AV1548" s="65" t="str">
        <f>IFERROR(__xludf.DUMMYFUNCTION("""COMPUTED_VALUE"""),"6425762693164")</f>
        <v>6425762693164</v>
      </c>
      <c r="AW1548" s="65">
        <f>IFERROR(__xludf.DUMMYFUNCTION("""COMPUTED_VALUE"""),5392.0)</f>
        <v>5392</v>
      </c>
      <c r="AX1548" s="65"/>
      <c r="AY1548" s="65" t="str">
        <f>IFERROR(__xludf.DUMMYFUNCTION("""COMPUTED_VALUE"""),"21/01/2026")</f>
        <v>21/01/2026</v>
      </c>
      <c r="AZ1548" s="65"/>
      <c r="BA1548" s="65"/>
    </row>
    <row r="1549">
      <c r="A1549" s="65" t="str">
        <f>IFERROR(__xludf.DUMMYFUNCTION("""COMPUTED_VALUE"""),"27-03-2026")</f>
        <v>27-03-2026</v>
      </c>
      <c r="B1549" s="65">
        <f>IFERROR(__xludf.DUMMYFUNCTION("""COMPUTED_VALUE"""),4185466.0)</f>
        <v>4185466</v>
      </c>
      <c r="C1549" s="65" t="str">
        <f>IFERROR(__xludf.DUMMYFUNCTION("""COMPUTED_VALUE"""),"21:52")</f>
        <v>21:52</v>
      </c>
      <c r="D1549" s="65" t="str">
        <f>IFERROR(__xludf.DUMMYFUNCTION("""COMPUTED_VALUE"""),"17-01-2026")</f>
        <v>17-01-2026</v>
      </c>
      <c r="E1549" s="65" t="str">
        <f>IFERROR(__xludf.DUMMYFUNCTION("""COMPUTED_VALUE"""),"Alex Gordon")</f>
        <v>Alex Gordon</v>
      </c>
      <c r="F1549" s="65" t="str">
        <f>IFERROR(__xludf.DUMMYFUNCTION("""COMPUTED_VALUE"""),"939965944")</f>
        <v>939965944</v>
      </c>
      <c r="G1549" s="65"/>
      <c r="H1549" s="65"/>
      <c r="I1549" s="65"/>
      <c r="J1549" s="65" t="str">
        <f>IFERROR(__xludf.DUMMYFUNCTION("""COMPUTED_VALUE"""),"D001247729")</f>
        <v>D001247729</v>
      </c>
      <c r="K1549" s="65" t="str">
        <f>IFERROR(__xludf.DUMMYFUNCTION("""COMPUTED_VALUE"""),"DEVOLUCION")</f>
        <v>DEVOLUCION</v>
      </c>
      <c r="L1549" s="65" t="str">
        <f>IFERROR(__xludf.DUMMYFUNCTION("""COMPUTED_VALUE"""),"CON RECAUDO")</f>
        <v>CON RECAUDO</v>
      </c>
      <c r="M1549" s="65" t="str">
        <f>IFERROR(__xludf.DUMMYFUNCTION("""COMPUTED_VALUE"""),"PICHINCHA")</f>
        <v>PICHINCHA</v>
      </c>
      <c r="N1549" s="65" t="str">
        <f>IFERROR(__xludf.DUMMYFUNCTION("""COMPUTED_VALUE"""),"QUITO")</f>
        <v>QUITO</v>
      </c>
      <c r="O1549" s="65" t="str">
        <f>IFERROR(__xludf.DUMMYFUNCTION("""COMPUTED_VALUE"""),"Sector Carapungo - Av. Simón Bolívar - Ref. Conjunto Port Bount")</f>
        <v>Sector Carapungo - Av. Simón Bolívar - Ref. Conjunto Port Bount</v>
      </c>
      <c r="P1549" s="65"/>
      <c r="Q1549" s="65" t="str">
        <f>IFERROR(__xludf.DUMMYFUNCTION("""COMPUTED_VALUE"""),"GINTRACOM")</f>
        <v>GINTRACOM</v>
      </c>
      <c r="R1549" s="65">
        <f>IFERROR(__xludf.DUMMYFUNCTION("""COMPUTED_VALUE"""),30.0)</f>
        <v>30</v>
      </c>
      <c r="S1549" s="65"/>
      <c r="T1549" s="65">
        <f>IFERROR(__xludf.DUMMYFUNCTION("""COMPUTED_VALUE"""),4.55)</f>
        <v>4.55</v>
      </c>
      <c r="U1549" s="65">
        <f>IFERROR(__xludf.DUMMYFUNCTION("""COMPUTED_VALUE"""),0.0)</f>
        <v>0</v>
      </c>
      <c r="V1549" s="65">
        <f>IFERROR(__xludf.DUMMYFUNCTION("""COMPUTED_VALUE"""),0.0)</f>
        <v>0</v>
      </c>
      <c r="W1549" s="65">
        <f>IFERROR(__xludf.DUMMYFUNCTION("""COMPUTED_VALUE"""),0.0)</f>
        <v>0</v>
      </c>
      <c r="X1549" s="65">
        <f>IFERROR(__xludf.DUMMYFUNCTION("""COMPUTED_VALUE"""),2.35)</f>
        <v>2.35</v>
      </c>
      <c r="Y1549" s="65">
        <f>IFERROR(__xludf.DUMMYFUNCTION("""COMPUTED_VALUE"""),7.05)</f>
        <v>7.05</v>
      </c>
      <c r="Z1549" s="65">
        <f>IFERROR(__xludf.DUMMYFUNCTION("""COMPUTED_VALUE"""),116679.0)</f>
        <v>116679</v>
      </c>
      <c r="AA1549" s="65" t="str">
        <f>IFERROR(__xludf.DUMMYFUNCTION("""COMPUTED_VALUE"""),"AMC-2738")</f>
        <v>AMC-2738</v>
      </c>
      <c r="AB1549" s="65"/>
      <c r="AC1549" s="65" t="str">
        <f>IFERROR(__xludf.DUMMYFUNCTION("""COMPUTED_VALUE"""),"ESPONJA ANTILLUVIA DE PARABRISAS")</f>
        <v>ESPONJA ANTILLUVIA DE PARABRISAS</v>
      </c>
      <c r="AD1549" s="65"/>
      <c r="AE1549" s="65">
        <f>IFERROR(__xludf.DUMMYFUNCTION("""COMPUTED_VALUE"""),3.0)</f>
        <v>3</v>
      </c>
      <c r="AF1549" s="65" t="str">
        <f>IFERROR(__xludf.DUMMYFUNCTION("""COMPUTED_VALUE"""),"DESTINATARIO NO CONTESTA LLAMADAS NI WHATSAPP")</f>
        <v>DESTINATARIO NO CONTESTA LLAMADAS NI WHATSAPP</v>
      </c>
      <c r="AG1549" s="65" t="str">
        <f>IFERROR(__xludf.DUMMYFUNCTION("""COMPUTED_VALUE"""),"NO")</f>
        <v>NO</v>
      </c>
      <c r="AH1549" s="65" t="str">
        <f>IFERROR(__xludf.DUMMYFUNCTION("""COMPUTED_VALUE"""),"09:00")</f>
        <v>09:00</v>
      </c>
      <c r="AI1549" s="65" t="str">
        <f>IFERROR(__xludf.DUMMYFUNCTION("""COMPUTED_VALUE"""),"31-01-2026")</f>
        <v>31-01-2026</v>
      </c>
      <c r="AJ1549" s="65"/>
      <c r="AK1549" s="65"/>
      <c r="AL1549" s="65"/>
      <c r="AM1549" s="65"/>
      <c r="AN1549" s="65" t="str">
        <f>IFERROR(__xludf.DUMMYFUNCTION("""COMPUTED_VALUE"""),"17:13")</f>
        <v>17:13</v>
      </c>
      <c r="AO1549" s="65" t="str">
        <f>IFERROR(__xludf.DUMMYFUNCTION("""COMPUTED_VALUE"""),"06-02-2026")</f>
        <v>06-02-2026</v>
      </c>
      <c r="AP1549" s="65" t="str">
        <f>IFERROR(__xludf.DUMMYFUNCTION("""COMPUTED_VALUE"""),"DEVOLUCIÓN ENTREGADA A ORIGEN")</f>
        <v>DEVOLUCIÓN ENTREGADA A ORIGEN</v>
      </c>
      <c r="AQ1549" s="65" t="str">
        <f>IFERROR(__xludf.DUMMYFUNCTION("""COMPUTED_VALUE"""),"DEVOLUCIÓN ENTREGADA A ORIGEN")</f>
        <v>DEVOLUCIÓN ENTREGADA A ORIGEN</v>
      </c>
      <c r="AR1549" s="65"/>
      <c r="AS1549" s="65"/>
      <c r="AT1549" s="65" t="str">
        <f>IFERROR(__xludf.DUMMYFUNCTION("""COMPUTED_VALUE"""),"SHOPIFY")</f>
        <v>SHOPIFY</v>
      </c>
      <c r="AU1549" s="65" t="str">
        <f>IFERROR(__xludf.DUMMYFUNCTION("""COMPUTED_VALUE"""),"IMPORTEX EC")</f>
        <v>IMPORTEX EC</v>
      </c>
      <c r="AV1549" s="65" t="str">
        <f>IFERROR(__xludf.DUMMYFUNCTION("""COMPUTED_VALUE"""),"6425437863980")</f>
        <v>6425437863980</v>
      </c>
      <c r="AW1549" s="65">
        <f>IFERROR(__xludf.DUMMYFUNCTION("""COMPUTED_VALUE"""),5391.0)</f>
        <v>5391</v>
      </c>
      <c r="AX1549" s="65"/>
      <c r="AY1549" s="65" t="str">
        <f>IFERROR(__xludf.DUMMYFUNCTION("""COMPUTED_VALUE"""),"21/01/2026")</f>
        <v>21/01/2026</v>
      </c>
      <c r="AZ1549" s="65"/>
      <c r="BA1549" s="65"/>
    </row>
    <row r="1550">
      <c r="A1550" s="65" t="str">
        <f>IFERROR(__xludf.DUMMYFUNCTION("""COMPUTED_VALUE"""),"27-03-2026")</f>
        <v>27-03-2026</v>
      </c>
      <c r="B1550" s="65">
        <f>IFERROR(__xludf.DUMMYFUNCTION("""COMPUTED_VALUE"""),4185404.0)</f>
        <v>4185404</v>
      </c>
      <c r="C1550" s="65" t="str">
        <f>IFERROR(__xludf.DUMMYFUNCTION("""COMPUTED_VALUE"""),"21:44")</f>
        <v>21:44</v>
      </c>
      <c r="D1550" s="65" t="str">
        <f>IFERROR(__xludf.DUMMYFUNCTION("""COMPUTED_VALUE"""),"17-01-2026")</f>
        <v>17-01-2026</v>
      </c>
      <c r="E1550" s="65" t="str">
        <f>IFERROR(__xludf.DUMMYFUNCTION("""COMPUTED_VALUE"""),"Mauricio Castellanos")</f>
        <v>Mauricio Castellanos</v>
      </c>
      <c r="F1550" s="65" t="str">
        <f>IFERROR(__xludf.DUMMYFUNCTION("""COMPUTED_VALUE"""),"959505345")</f>
        <v>959505345</v>
      </c>
      <c r="G1550" s="65" t="str">
        <f>IFERROR(__xludf.DUMMYFUNCTION("""COMPUTED_VALUE"""),"mauriciocastellanos211@gmail.com")</f>
        <v>mauriciocastellanos211@gmail.com</v>
      </c>
      <c r="H1550" s="65"/>
      <c r="I1550" s="65"/>
      <c r="J1550" s="65" t="str">
        <f>IFERROR(__xludf.DUMMYFUNCTION("""COMPUTED_VALUE"""),"D001247731")</f>
        <v>D001247731</v>
      </c>
      <c r="K1550" s="65" t="str">
        <f>IFERROR(__xludf.DUMMYFUNCTION("""COMPUTED_VALUE"""),"DEVOLUCION")</f>
        <v>DEVOLUCION</v>
      </c>
      <c r="L1550" s="65" t="str">
        <f>IFERROR(__xludf.DUMMYFUNCTION("""COMPUTED_VALUE"""),"CON RECAUDO")</f>
        <v>CON RECAUDO</v>
      </c>
      <c r="M1550" s="65" t="str">
        <f>IFERROR(__xludf.DUMMYFUNCTION("""COMPUTED_VALUE"""),"PICHINCHA")</f>
        <v>PICHINCHA</v>
      </c>
      <c r="N1550" s="65" t="str">
        <f>IFERROR(__xludf.DUMMYFUNCTION("""COMPUTED_VALUE"""),"QUITO")</f>
        <v>QUITO</v>
      </c>
      <c r="O1550" s="65" t="str">
        <f>IFERROR(__xludf.DUMMYFUNCTION("""COMPUTED_VALUE"""),"Gualberto Pérez Andrés perez -")</f>
        <v>Gualberto Pérez Andrés perez -</v>
      </c>
      <c r="P1550" s="65"/>
      <c r="Q1550" s="65" t="str">
        <f>IFERROR(__xludf.DUMMYFUNCTION("""COMPUTED_VALUE"""),"GINTRACOM")</f>
        <v>GINTRACOM</v>
      </c>
      <c r="R1550" s="65">
        <f>IFERROR(__xludf.DUMMYFUNCTION("""COMPUTED_VALUE"""),25.0)</f>
        <v>25</v>
      </c>
      <c r="S1550" s="65"/>
      <c r="T1550" s="65">
        <f>IFERROR(__xludf.DUMMYFUNCTION("""COMPUTED_VALUE"""),4.35)</f>
        <v>4.35</v>
      </c>
      <c r="U1550" s="65">
        <f>IFERROR(__xludf.DUMMYFUNCTION("""COMPUTED_VALUE"""),0.0)</f>
        <v>0</v>
      </c>
      <c r="V1550" s="65">
        <f>IFERROR(__xludf.DUMMYFUNCTION("""COMPUTED_VALUE"""),0.0)</f>
        <v>0</v>
      </c>
      <c r="W1550" s="65">
        <f>IFERROR(__xludf.DUMMYFUNCTION("""COMPUTED_VALUE"""),0.0)</f>
        <v>0</v>
      </c>
      <c r="X1550" s="65">
        <f>IFERROR(__xludf.DUMMYFUNCTION("""COMPUTED_VALUE"""),2.35)</f>
        <v>2.35</v>
      </c>
      <c r="Y1550" s="65">
        <f>IFERROR(__xludf.DUMMYFUNCTION("""COMPUTED_VALUE"""),4.7)</f>
        <v>4.7</v>
      </c>
      <c r="Z1550" s="65">
        <f>IFERROR(__xludf.DUMMYFUNCTION("""COMPUTED_VALUE"""),116679.0)</f>
        <v>116679</v>
      </c>
      <c r="AA1550" s="65" t="str">
        <f>IFERROR(__xludf.DUMMYFUNCTION("""COMPUTED_VALUE"""),"AMC-2738")</f>
        <v>AMC-2738</v>
      </c>
      <c r="AB1550" s="65"/>
      <c r="AC1550" s="65" t="str">
        <f>IFERROR(__xludf.DUMMYFUNCTION("""COMPUTED_VALUE"""),"ESPONJA ANTILLUVIA DE PARABRISAS")</f>
        <v>ESPONJA ANTILLUVIA DE PARABRISAS</v>
      </c>
      <c r="AD1550" s="65"/>
      <c r="AE1550" s="65">
        <f>IFERROR(__xludf.DUMMYFUNCTION("""COMPUTED_VALUE"""),2.0)</f>
        <v>2</v>
      </c>
      <c r="AF1550" s="65" t="str">
        <f>IFERROR(__xludf.DUMMYFUNCTION("""COMPUTED_VALUE"""),"DESTINATARIO NO CONTESTA LLAMADAS NI WHATSAPP")</f>
        <v>DESTINATARIO NO CONTESTA LLAMADAS NI WHATSAPP</v>
      </c>
      <c r="AG1550" s="65" t="str">
        <f>IFERROR(__xludf.DUMMYFUNCTION("""COMPUTED_VALUE"""),"NO")</f>
        <v>NO</v>
      </c>
      <c r="AH1550" s="65" t="str">
        <f>IFERROR(__xludf.DUMMYFUNCTION("""COMPUTED_VALUE"""),"09:00")</f>
        <v>09:00</v>
      </c>
      <c r="AI1550" s="65" t="str">
        <f>IFERROR(__xludf.DUMMYFUNCTION("""COMPUTED_VALUE"""),"31-01-2026")</f>
        <v>31-01-2026</v>
      </c>
      <c r="AJ1550" s="65"/>
      <c r="AK1550" s="65"/>
      <c r="AL1550" s="65"/>
      <c r="AM1550" s="65"/>
      <c r="AN1550" s="65" t="str">
        <f>IFERROR(__xludf.DUMMYFUNCTION("""COMPUTED_VALUE"""),"17:13")</f>
        <v>17:13</v>
      </c>
      <c r="AO1550" s="65" t="str">
        <f>IFERROR(__xludf.DUMMYFUNCTION("""COMPUTED_VALUE"""),"06-02-2026")</f>
        <v>06-02-2026</v>
      </c>
      <c r="AP1550" s="65" t="str">
        <f>IFERROR(__xludf.DUMMYFUNCTION("""COMPUTED_VALUE"""),"DEVOLUCIÓN ENTREGADA A ORIGEN")</f>
        <v>DEVOLUCIÓN ENTREGADA A ORIGEN</v>
      </c>
      <c r="AQ1550" s="65" t="str">
        <f>IFERROR(__xludf.DUMMYFUNCTION("""COMPUTED_VALUE"""),"DEVOLUCIÓN ENTREGADA A ORIGEN")</f>
        <v>DEVOLUCIÓN ENTREGADA A ORIGEN</v>
      </c>
      <c r="AR1550" s="65"/>
      <c r="AS1550" s="65"/>
      <c r="AT1550" s="65" t="str">
        <f>IFERROR(__xludf.DUMMYFUNCTION("""COMPUTED_VALUE"""),"SHOPIFY")</f>
        <v>SHOPIFY</v>
      </c>
      <c r="AU1550" s="65" t="str">
        <f>IFERROR(__xludf.DUMMYFUNCTION("""COMPUTED_VALUE"""),"IMPORTEX EC")</f>
        <v>IMPORTEX EC</v>
      </c>
      <c r="AV1550" s="65" t="str">
        <f>IFERROR(__xludf.DUMMYFUNCTION("""COMPUTED_VALUE"""),"6425419350060")</f>
        <v>6425419350060</v>
      </c>
      <c r="AW1550" s="65">
        <f>IFERROR(__xludf.DUMMYFUNCTION("""COMPUTED_VALUE"""),5390.0)</f>
        <v>5390</v>
      </c>
      <c r="AX1550" s="65"/>
      <c r="AY1550" s="65" t="str">
        <f>IFERROR(__xludf.DUMMYFUNCTION("""COMPUTED_VALUE"""),"21/01/2026")</f>
        <v>21/01/2026</v>
      </c>
      <c r="AZ1550" s="65"/>
      <c r="BA1550" s="65"/>
    </row>
    <row r="1551">
      <c r="A1551" s="65" t="str">
        <f>IFERROR(__xludf.DUMMYFUNCTION("""COMPUTED_VALUE"""),"27-03-2026")</f>
        <v>27-03-2026</v>
      </c>
      <c r="B1551" s="65">
        <f>IFERROR(__xludf.DUMMYFUNCTION("""COMPUTED_VALUE"""),4185201.0)</f>
        <v>4185201</v>
      </c>
      <c r="C1551" s="65" t="str">
        <f>IFERROR(__xludf.DUMMYFUNCTION("""COMPUTED_VALUE"""),"21:20")</f>
        <v>21:20</v>
      </c>
      <c r="D1551" s="65" t="str">
        <f>IFERROR(__xludf.DUMMYFUNCTION("""COMPUTED_VALUE"""),"17-01-2026")</f>
        <v>17-01-2026</v>
      </c>
      <c r="E1551" s="65" t="str">
        <f>IFERROR(__xludf.DUMMYFUNCTION("""COMPUTED_VALUE"""),"Milton Roberto Pucha Pilco")</f>
        <v>Milton Roberto Pucha Pilco</v>
      </c>
      <c r="F1551" s="65" t="str">
        <f>IFERROR(__xludf.DUMMYFUNCTION("""COMPUTED_VALUE"""),"967592598")</f>
        <v>967592598</v>
      </c>
      <c r="G1551" s="65" t="str">
        <f>IFERROR(__xludf.DUMMYFUNCTION("""COMPUTED_VALUE"""),"miltonpuchap@gmail.com")</f>
        <v>miltonpuchap@gmail.com</v>
      </c>
      <c r="H1551" s="65"/>
      <c r="I1551" s="65"/>
      <c r="J1551" s="65" t="str">
        <f>IFERROR(__xludf.DUMMYFUNCTION("""COMPUTED_VALUE"""),"D001247733")</f>
        <v>D001247733</v>
      </c>
      <c r="K1551" s="65" t="str">
        <f>IFERROR(__xludf.DUMMYFUNCTION("""COMPUTED_VALUE"""),"ENTREGADO")</f>
        <v>ENTREGADO</v>
      </c>
      <c r="L1551" s="65" t="str">
        <f>IFERROR(__xludf.DUMMYFUNCTION("""COMPUTED_VALUE"""),"CON RECAUDO")</f>
        <v>CON RECAUDO</v>
      </c>
      <c r="M1551" s="65" t="str">
        <f>IFERROR(__xludf.DUMMYFUNCTION("""COMPUTED_VALUE"""),"LOS RIOS")</f>
        <v>LOS RIOS</v>
      </c>
      <c r="N1551" s="65" t="str">
        <f>IFERROR(__xludf.DUMMYFUNCTION("""COMPUTED_VALUE"""),"QUEVEDO")</f>
        <v>QUEVEDO</v>
      </c>
      <c r="O1551" s="65" t="str">
        <f>IFERROR(__xludf.DUMMYFUNCTION("""COMPUTED_VALUE"""),"Avenida guayacanes y calle A Clínica Muñoz planta baja área de ecografia -")</f>
        <v>Avenida guayacanes y calle A Clínica Muñoz planta baja área de ecografia -</v>
      </c>
      <c r="P1551" s="65"/>
      <c r="Q1551" s="65" t="str">
        <f>IFERROR(__xludf.DUMMYFUNCTION("""COMPUTED_VALUE"""),"GINTRACOM")</f>
        <v>GINTRACOM</v>
      </c>
      <c r="R1551" s="65">
        <f>IFERROR(__xludf.DUMMYFUNCTION("""COMPUTED_VALUE"""),25.0)</f>
        <v>25</v>
      </c>
      <c r="S1551" s="65">
        <f>IFERROR(__xludf.DUMMYFUNCTION("""COMPUTED_VALUE"""),14.34)</f>
        <v>14.34</v>
      </c>
      <c r="T1551" s="65">
        <f>IFERROR(__xludf.DUMMYFUNCTION("""COMPUTED_VALUE"""),5.96)</f>
        <v>5.96</v>
      </c>
      <c r="U1551" s="65">
        <f>IFERROR(__xludf.DUMMYFUNCTION("""COMPUTED_VALUE"""),0.0)</f>
        <v>0</v>
      </c>
      <c r="V1551" s="65">
        <f>IFERROR(__xludf.DUMMYFUNCTION("""COMPUTED_VALUE"""),0.0)</f>
        <v>0</v>
      </c>
      <c r="W1551" s="65">
        <f>IFERROR(__xludf.DUMMYFUNCTION("""COMPUTED_VALUE"""),0.0)</f>
        <v>0</v>
      </c>
      <c r="X1551" s="65">
        <f>IFERROR(__xludf.DUMMYFUNCTION("""COMPUTED_VALUE"""),2.35)</f>
        <v>2.35</v>
      </c>
      <c r="Y1551" s="65">
        <f>IFERROR(__xludf.DUMMYFUNCTION("""COMPUTED_VALUE"""),4.7)</f>
        <v>4.7</v>
      </c>
      <c r="Z1551" s="65">
        <f>IFERROR(__xludf.DUMMYFUNCTION("""COMPUTED_VALUE"""),116679.0)</f>
        <v>116679</v>
      </c>
      <c r="AA1551" s="65" t="str">
        <f>IFERROR(__xludf.DUMMYFUNCTION("""COMPUTED_VALUE"""),"AMC-2738")</f>
        <v>AMC-2738</v>
      </c>
      <c r="AB1551" s="65"/>
      <c r="AC1551" s="65" t="str">
        <f>IFERROR(__xludf.DUMMYFUNCTION("""COMPUTED_VALUE"""),"ESPONJA ANTILLUVIA DE PARABRISAS")</f>
        <v>ESPONJA ANTILLUVIA DE PARABRISAS</v>
      </c>
      <c r="AD1551" s="65"/>
      <c r="AE1551" s="65">
        <f>IFERROR(__xludf.DUMMYFUNCTION("""COMPUTED_VALUE"""),2.0)</f>
        <v>2</v>
      </c>
      <c r="AF1551" s="65"/>
      <c r="AG1551" s="65"/>
      <c r="AH1551" s="65"/>
      <c r="AI1551" s="65"/>
      <c r="AJ1551" s="65"/>
      <c r="AK1551" s="65"/>
      <c r="AL1551" s="65"/>
      <c r="AM1551" s="65"/>
      <c r="AN1551" s="65" t="str">
        <f>IFERROR(__xludf.DUMMYFUNCTION("""COMPUTED_VALUE"""),"01:30")</f>
        <v>01:30</v>
      </c>
      <c r="AO1551" s="65" t="str">
        <f>IFERROR(__xludf.DUMMYFUNCTION("""COMPUTED_VALUE"""),"24-01-2026")</f>
        <v>24-01-2026</v>
      </c>
      <c r="AP1551" s="65" t="str">
        <f>IFERROR(__xludf.DUMMYFUNCTION("""COMPUTED_VALUE"""),"EN TRÁNSITO")</f>
        <v>EN TRÁNSITO</v>
      </c>
      <c r="AQ1551" s="65" t="str">
        <f>IFERROR(__xludf.DUMMYFUNCTION("""COMPUTED_VALUE"""),"EN TRÁNSITO")</f>
        <v>EN TRÁNSITO</v>
      </c>
      <c r="AR1551" s="65"/>
      <c r="AS1551" s="65"/>
      <c r="AT1551" s="65" t="str">
        <f>IFERROR(__xludf.DUMMYFUNCTION("""COMPUTED_VALUE"""),"SHOPIFY")</f>
        <v>SHOPIFY</v>
      </c>
      <c r="AU1551" s="65" t="str">
        <f>IFERROR(__xludf.DUMMYFUNCTION("""COMPUTED_VALUE"""),"IMPORTEX EC")</f>
        <v>IMPORTEX EC</v>
      </c>
      <c r="AV1551" s="65" t="str">
        <f>IFERROR(__xludf.DUMMYFUNCTION("""COMPUTED_VALUE"""),"6425372491820")</f>
        <v>6425372491820</v>
      </c>
      <c r="AW1551" s="65">
        <f>IFERROR(__xludf.DUMMYFUNCTION("""COMPUTED_VALUE"""),5389.0)</f>
        <v>5389</v>
      </c>
      <c r="AX1551" s="65"/>
      <c r="AY1551" s="65" t="str">
        <f>IFERROR(__xludf.DUMMYFUNCTION("""COMPUTED_VALUE"""),"21/01/2026")</f>
        <v>21/01/2026</v>
      </c>
      <c r="AZ1551" s="65"/>
      <c r="BA1551" s="65"/>
    </row>
    <row r="1552">
      <c r="A1552" s="65" t="str">
        <f>IFERROR(__xludf.DUMMYFUNCTION("""COMPUTED_VALUE"""),"27-03-2026")</f>
        <v>27-03-2026</v>
      </c>
      <c r="B1552" s="65">
        <f>IFERROR(__xludf.DUMMYFUNCTION("""COMPUTED_VALUE"""),4185126.0)</f>
        <v>4185126</v>
      </c>
      <c r="C1552" s="65" t="str">
        <f>IFERROR(__xludf.DUMMYFUNCTION("""COMPUTED_VALUE"""),"21:13")</f>
        <v>21:13</v>
      </c>
      <c r="D1552" s="65" t="str">
        <f>IFERROR(__xludf.DUMMYFUNCTION("""COMPUTED_VALUE"""),"17-01-2026")</f>
        <v>17-01-2026</v>
      </c>
      <c r="E1552" s="65" t="str">
        <f>IFERROR(__xludf.DUMMYFUNCTION("""COMPUTED_VALUE"""),"Ángela Leon Leon")</f>
        <v>Ángela Leon Leon</v>
      </c>
      <c r="F1552" s="65" t="str">
        <f>IFERROR(__xludf.DUMMYFUNCTION("""COMPUTED_VALUE"""),"986703916")</f>
        <v>986703916</v>
      </c>
      <c r="G1552" s="65" t="str">
        <f>IFERROR(__xludf.DUMMYFUNCTION("""COMPUTED_VALUE"""),"angelaleonr@gmail.com")</f>
        <v>angelaleonr@gmail.com</v>
      </c>
      <c r="H1552" s="65"/>
      <c r="I1552" s="65"/>
      <c r="J1552" s="65"/>
      <c r="K1552" s="65" t="str">
        <f>IFERROR(__xludf.DUMMYFUNCTION("""COMPUTED_VALUE"""),"CANCELADO")</f>
        <v>CANCELADO</v>
      </c>
      <c r="L1552" s="65" t="str">
        <f>IFERROR(__xludf.DUMMYFUNCTION("""COMPUTED_VALUE"""),"CON RECAUDO")</f>
        <v>CON RECAUDO</v>
      </c>
      <c r="M1552" s="65" t="str">
        <f>IFERROR(__xludf.DUMMYFUNCTION("""COMPUTED_VALUE"""),"GUAYAS")</f>
        <v>GUAYAS</v>
      </c>
      <c r="N1552" s="65" t="str">
        <f>IFERROR(__xludf.DUMMYFUNCTION("""COMPUTED_VALUE"""),"SAMBORONDON")</f>
        <v>SAMBORONDON</v>
      </c>
      <c r="O1552" s="65" t="str">
        <f>IFERROR(__xludf.DUMMYFUNCTION("""COMPUTED_VALUE"""),"Ciudad celeste etapa la brisa Mz 2 villa 23 -")</f>
        <v>Ciudad celeste etapa la brisa Mz 2 villa 23 -</v>
      </c>
      <c r="P1552" s="65"/>
      <c r="Q1552" s="65" t="str">
        <f>IFERROR(__xludf.DUMMYFUNCTION("""COMPUTED_VALUE"""),"GINTRACOM")</f>
        <v>GINTRACOM</v>
      </c>
      <c r="R1552" s="65">
        <f>IFERROR(__xludf.DUMMYFUNCTION("""COMPUTED_VALUE"""),20.0)</f>
        <v>20</v>
      </c>
      <c r="S1552" s="65"/>
      <c r="T1552" s="65">
        <f>IFERROR(__xludf.DUMMYFUNCTION("""COMPUTED_VALUE"""),5.76)</f>
        <v>5.76</v>
      </c>
      <c r="U1552" s="65">
        <f>IFERROR(__xludf.DUMMYFUNCTION("""COMPUTED_VALUE"""),0.0)</f>
        <v>0</v>
      </c>
      <c r="V1552" s="65">
        <f>IFERROR(__xludf.DUMMYFUNCTION("""COMPUTED_VALUE"""),0.0)</f>
        <v>0</v>
      </c>
      <c r="W1552" s="65">
        <f>IFERROR(__xludf.DUMMYFUNCTION("""COMPUTED_VALUE"""),0.0)</f>
        <v>0</v>
      </c>
      <c r="X1552" s="65">
        <f>IFERROR(__xludf.DUMMYFUNCTION("""COMPUTED_VALUE"""),2.35)</f>
        <v>2.35</v>
      </c>
      <c r="Y1552" s="65">
        <f>IFERROR(__xludf.DUMMYFUNCTION("""COMPUTED_VALUE"""),2.35)</f>
        <v>2.35</v>
      </c>
      <c r="Z1552" s="65">
        <f>IFERROR(__xludf.DUMMYFUNCTION("""COMPUTED_VALUE"""),116679.0)</f>
        <v>116679</v>
      </c>
      <c r="AA1552" s="65" t="str">
        <f>IFERROR(__xludf.DUMMYFUNCTION("""COMPUTED_VALUE"""),"AMC-2738")</f>
        <v>AMC-2738</v>
      </c>
      <c r="AB1552" s="65"/>
      <c r="AC1552" s="65" t="str">
        <f>IFERROR(__xludf.DUMMYFUNCTION("""COMPUTED_VALUE"""),"ESPONJA ANTILLUVIA DE PARABRISAS")</f>
        <v>ESPONJA ANTILLUVIA DE PARABRISAS</v>
      </c>
      <c r="AD1552" s="65"/>
      <c r="AE1552" s="65">
        <f>IFERROR(__xludf.DUMMYFUNCTION("""COMPUTED_VALUE"""),1.0)</f>
        <v>1</v>
      </c>
      <c r="AF1552" s="65"/>
      <c r="AG1552" s="65"/>
      <c r="AH1552" s="65"/>
      <c r="AI1552" s="65"/>
      <c r="AJ1552" s="65"/>
      <c r="AK1552" s="65"/>
      <c r="AL1552" s="65"/>
      <c r="AM1552" s="65"/>
      <c r="AN1552" s="65"/>
      <c r="AO1552" s="65"/>
      <c r="AP1552" s="65"/>
      <c r="AQ1552" s="65"/>
      <c r="AR1552" s="65"/>
      <c r="AS1552" s="65"/>
      <c r="AT1552" s="65" t="str">
        <f>IFERROR(__xludf.DUMMYFUNCTION("""COMPUTED_VALUE"""),"SHOPIFY")</f>
        <v>SHOPIFY</v>
      </c>
      <c r="AU1552" s="65" t="str">
        <f>IFERROR(__xludf.DUMMYFUNCTION("""COMPUTED_VALUE"""),"IMPORTEX EC")</f>
        <v>IMPORTEX EC</v>
      </c>
      <c r="AV1552" s="65" t="str">
        <f>IFERROR(__xludf.DUMMYFUNCTION("""COMPUTED_VALUE"""),"6425358073900")</f>
        <v>6425358073900</v>
      </c>
      <c r="AW1552" s="65">
        <f>IFERROR(__xludf.DUMMYFUNCTION("""COMPUTED_VALUE"""),5388.0)</f>
        <v>5388</v>
      </c>
      <c r="AX1552" s="65"/>
      <c r="AY1552" s="65"/>
      <c r="AZ1552" s="65"/>
      <c r="BA1552" s="65"/>
    </row>
    <row r="1553">
      <c r="A1553" s="65" t="str">
        <f>IFERROR(__xludf.DUMMYFUNCTION("""COMPUTED_VALUE"""),"27-03-2026")</f>
        <v>27-03-2026</v>
      </c>
      <c r="B1553" s="65">
        <f>IFERROR(__xludf.DUMMYFUNCTION("""COMPUTED_VALUE"""),4184994.0)</f>
        <v>4184994</v>
      </c>
      <c r="C1553" s="65" t="str">
        <f>IFERROR(__xludf.DUMMYFUNCTION("""COMPUTED_VALUE"""),"20:57")</f>
        <v>20:57</v>
      </c>
      <c r="D1553" s="65" t="str">
        <f>IFERROR(__xludf.DUMMYFUNCTION("""COMPUTED_VALUE"""),"17-01-2026")</f>
        <v>17-01-2026</v>
      </c>
      <c r="E1553" s="65" t="str">
        <f>IFERROR(__xludf.DUMMYFUNCTION("""COMPUTED_VALUE"""),"Alberto Jami")</f>
        <v>Alberto Jami</v>
      </c>
      <c r="F1553" s="65" t="str">
        <f>IFERROR(__xludf.DUMMYFUNCTION("""COMPUTED_VALUE"""),"997788849")</f>
        <v>997788849</v>
      </c>
      <c r="G1553" s="65" t="str">
        <f>IFERROR(__xludf.DUMMYFUNCTION("""COMPUTED_VALUE"""),"jamicrist@hotmail.com")</f>
        <v>jamicrist@hotmail.com</v>
      </c>
      <c r="H1553" s="65"/>
      <c r="I1553" s="65"/>
      <c r="J1553" s="65"/>
      <c r="K1553" s="65" t="str">
        <f>IFERROR(__xludf.DUMMYFUNCTION("""COMPUTED_VALUE"""),"CANCELADO")</f>
        <v>CANCELADO</v>
      </c>
      <c r="L1553" s="65" t="str">
        <f>IFERROR(__xludf.DUMMYFUNCTION("""COMPUTED_VALUE"""),"CON RECAUDO")</f>
        <v>CON RECAUDO</v>
      </c>
      <c r="M1553" s="65" t="str">
        <f>IFERROR(__xludf.DUMMYFUNCTION("""COMPUTED_VALUE"""),"PICHINCHA")</f>
        <v>PICHINCHA</v>
      </c>
      <c r="N1553" s="65" t="str">
        <f>IFERROR(__xludf.DUMMYFUNCTION("""COMPUTED_VALUE"""),"QUITO")</f>
        <v>QUITO</v>
      </c>
      <c r="O1553" s="65" t="str">
        <f>IFERROR(__xludf.DUMMYFUNCTION("""COMPUTED_VALUE"""),"Río de Janeiro  oe3_195 y Río de Janeiro Colegio mejia -")</f>
        <v>Río de Janeiro  oe3_195 y Río de Janeiro Colegio mejia -</v>
      </c>
      <c r="P1553" s="65"/>
      <c r="Q1553" s="65" t="str">
        <f>IFERROR(__xludf.DUMMYFUNCTION("""COMPUTED_VALUE"""),"GINTRACOM")</f>
        <v>GINTRACOM</v>
      </c>
      <c r="R1553" s="65">
        <f>IFERROR(__xludf.DUMMYFUNCTION("""COMPUTED_VALUE"""),30.0)</f>
        <v>30</v>
      </c>
      <c r="S1553" s="65"/>
      <c r="T1553" s="65">
        <f>IFERROR(__xludf.DUMMYFUNCTION("""COMPUTED_VALUE"""),4.55)</f>
        <v>4.55</v>
      </c>
      <c r="U1553" s="65">
        <f>IFERROR(__xludf.DUMMYFUNCTION("""COMPUTED_VALUE"""),0.0)</f>
        <v>0</v>
      </c>
      <c r="V1553" s="65">
        <f>IFERROR(__xludf.DUMMYFUNCTION("""COMPUTED_VALUE"""),0.0)</f>
        <v>0</v>
      </c>
      <c r="W1553" s="65">
        <f>IFERROR(__xludf.DUMMYFUNCTION("""COMPUTED_VALUE"""),0.0)</f>
        <v>0</v>
      </c>
      <c r="X1553" s="65">
        <f>IFERROR(__xludf.DUMMYFUNCTION("""COMPUTED_VALUE"""),2.35)</f>
        <v>2.35</v>
      </c>
      <c r="Y1553" s="65">
        <f>IFERROR(__xludf.DUMMYFUNCTION("""COMPUTED_VALUE"""),7.05)</f>
        <v>7.05</v>
      </c>
      <c r="Z1553" s="65">
        <f>IFERROR(__xludf.DUMMYFUNCTION("""COMPUTED_VALUE"""),116679.0)</f>
        <v>116679</v>
      </c>
      <c r="AA1553" s="65" t="str">
        <f>IFERROR(__xludf.DUMMYFUNCTION("""COMPUTED_VALUE"""),"AMC-2738")</f>
        <v>AMC-2738</v>
      </c>
      <c r="AB1553" s="65"/>
      <c r="AC1553" s="65" t="str">
        <f>IFERROR(__xludf.DUMMYFUNCTION("""COMPUTED_VALUE"""),"ESPONJA ANTILLUVIA DE PARABRISAS")</f>
        <v>ESPONJA ANTILLUVIA DE PARABRISAS</v>
      </c>
      <c r="AD1553" s="65"/>
      <c r="AE1553" s="65">
        <f>IFERROR(__xludf.DUMMYFUNCTION("""COMPUTED_VALUE"""),3.0)</f>
        <v>3</v>
      </c>
      <c r="AF1553" s="65"/>
      <c r="AG1553" s="65"/>
      <c r="AH1553" s="65"/>
      <c r="AI1553" s="65"/>
      <c r="AJ1553" s="65"/>
      <c r="AK1553" s="65"/>
      <c r="AL1553" s="65"/>
      <c r="AM1553" s="65"/>
      <c r="AN1553" s="65"/>
      <c r="AO1553" s="65"/>
      <c r="AP1553" s="65"/>
      <c r="AQ1553" s="65"/>
      <c r="AR1553" s="65"/>
      <c r="AS1553" s="65"/>
      <c r="AT1553" s="65" t="str">
        <f>IFERROR(__xludf.DUMMYFUNCTION("""COMPUTED_VALUE"""),"SHOPIFY")</f>
        <v>SHOPIFY</v>
      </c>
      <c r="AU1553" s="65" t="str">
        <f>IFERROR(__xludf.DUMMYFUNCTION("""COMPUTED_VALUE"""),"IMPORTEX EC")</f>
        <v>IMPORTEX EC</v>
      </c>
      <c r="AV1553" s="65" t="str">
        <f>IFERROR(__xludf.DUMMYFUNCTION("""COMPUTED_VALUE"""),"6425325142060")</f>
        <v>6425325142060</v>
      </c>
      <c r="AW1553" s="65">
        <f>IFERROR(__xludf.DUMMYFUNCTION("""COMPUTED_VALUE"""),5387.0)</f>
        <v>5387</v>
      </c>
      <c r="AX1553" s="65"/>
      <c r="AY1553" s="65"/>
      <c r="AZ1553" s="65"/>
      <c r="BA1553" s="65"/>
    </row>
    <row r="1554">
      <c r="A1554" s="65" t="str">
        <f>IFERROR(__xludf.DUMMYFUNCTION("""COMPUTED_VALUE"""),"27-03-2026")</f>
        <v>27-03-2026</v>
      </c>
      <c r="B1554" s="65">
        <f>IFERROR(__xludf.DUMMYFUNCTION("""COMPUTED_VALUE"""),4184954.0)</f>
        <v>4184954</v>
      </c>
      <c r="C1554" s="65" t="str">
        <f>IFERROR(__xludf.DUMMYFUNCTION("""COMPUTED_VALUE"""),"20:50")</f>
        <v>20:50</v>
      </c>
      <c r="D1554" s="65" t="str">
        <f>IFERROR(__xludf.DUMMYFUNCTION("""COMPUTED_VALUE"""),"17-01-2026")</f>
        <v>17-01-2026</v>
      </c>
      <c r="E1554" s="65" t="str">
        <f>IFERROR(__xludf.DUMMYFUNCTION("""COMPUTED_VALUE"""),"Geovanny Chasipanta")</f>
        <v>Geovanny Chasipanta</v>
      </c>
      <c r="F1554" s="65" t="str">
        <f>IFERROR(__xludf.DUMMYFUNCTION("""COMPUTED_VALUE"""),"987524332")</f>
        <v>987524332</v>
      </c>
      <c r="G1554" s="65" t="str">
        <f>IFERROR(__xludf.DUMMYFUNCTION("""COMPUTED_VALUE"""),"geova302009@hotmail.com")</f>
        <v>geova302009@hotmail.com</v>
      </c>
      <c r="H1554" s="65"/>
      <c r="I1554" s="65"/>
      <c r="J1554" s="65"/>
      <c r="K1554" s="65" t="str">
        <f>IFERROR(__xludf.DUMMYFUNCTION("""COMPUTED_VALUE"""),"PENDIENTE CONFIRMACION")</f>
        <v>PENDIENTE CONFIRMACION</v>
      </c>
      <c r="L1554" s="65" t="str">
        <f>IFERROR(__xludf.DUMMYFUNCTION("""COMPUTED_VALUE"""),"CON RECAUDO")</f>
        <v>CON RECAUDO</v>
      </c>
      <c r="M1554" s="65" t="str">
        <f>IFERROR(__xludf.DUMMYFUNCTION("""COMPUTED_VALUE"""),"PICHINCHA")</f>
        <v>PICHINCHA</v>
      </c>
      <c r="N1554" s="65" t="str">
        <f>IFERROR(__xludf.DUMMYFUNCTION("""COMPUTED_VALUE"""),"QUITO")</f>
        <v>QUITO</v>
      </c>
      <c r="O1554" s="65" t="str">
        <f>IFERROR(__xludf.DUMMYFUNCTION("""COMPUTED_VALUE"""),"san juan de la Armenia y la persevrancia -")</f>
        <v>san juan de la Armenia y la persevrancia -</v>
      </c>
      <c r="P1554" s="65"/>
      <c r="Q1554" s="65" t="str">
        <f>IFERROR(__xludf.DUMMYFUNCTION("""COMPUTED_VALUE"""),"GINTRACOM")</f>
        <v>GINTRACOM</v>
      </c>
      <c r="R1554" s="65">
        <f>IFERROR(__xludf.DUMMYFUNCTION("""COMPUTED_VALUE"""),25.0)</f>
        <v>25</v>
      </c>
      <c r="S1554" s="65"/>
      <c r="T1554" s="65">
        <f>IFERROR(__xludf.DUMMYFUNCTION("""COMPUTED_VALUE"""),4.35)</f>
        <v>4.35</v>
      </c>
      <c r="U1554" s="65">
        <f>IFERROR(__xludf.DUMMYFUNCTION("""COMPUTED_VALUE"""),0.0)</f>
        <v>0</v>
      </c>
      <c r="V1554" s="65">
        <f>IFERROR(__xludf.DUMMYFUNCTION("""COMPUTED_VALUE"""),0.0)</f>
        <v>0</v>
      </c>
      <c r="W1554" s="65">
        <f>IFERROR(__xludf.DUMMYFUNCTION("""COMPUTED_VALUE"""),0.0)</f>
        <v>0</v>
      </c>
      <c r="X1554" s="65">
        <f>IFERROR(__xludf.DUMMYFUNCTION("""COMPUTED_VALUE"""),2.35)</f>
        <v>2.35</v>
      </c>
      <c r="Y1554" s="65">
        <f>IFERROR(__xludf.DUMMYFUNCTION("""COMPUTED_VALUE"""),4.7)</f>
        <v>4.7</v>
      </c>
      <c r="Z1554" s="65">
        <f>IFERROR(__xludf.DUMMYFUNCTION("""COMPUTED_VALUE"""),116679.0)</f>
        <v>116679</v>
      </c>
      <c r="AA1554" s="65" t="str">
        <f>IFERROR(__xludf.DUMMYFUNCTION("""COMPUTED_VALUE"""),"AMC-2738")</f>
        <v>AMC-2738</v>
      </c>
      <c r="AB1554" s="65"/>
      <c r="AC1554" s="65" t="str">
        <f>IFERROR(__xludf.DUMMYFUNCTION("""COMPUTED_VALUE"""),"ESPONJA ANTILLUVIA DE PARABRISAS")</f>
        <v>ESPONJA ANTILLUVIA DE PARABRISAS</v>
      </c>
      <c r="AD1554" s="65"/>
      <c r="AE1554" s="65">
        <f>IFERROR(__xludf.DUMMYFUNCTION("""COMPUTED_VALUE"""),2.0)</f>
        <v>2</v>
      </c>
      <c r="AF1554" s="65"/>
      <c r="AG1554" s="65"/>
      <c r="AH1554" s="65"/>
      <c r="AI1554" s="65"/>
      <c r="AJ1554" s="65"/>
      <c r="AK1554" s="65"/>
      <c r="AL1554" s="65"/>
      <c r="AM1554" s="65"/>
      <c r="AN1554" s="65"/>
      <c r="AO1554" s="65"/>
      <c r="AP1554" s="65"/>
      <c r="AQ1554" s="65"/>
      <c r="AR1554" s="65"/>
      <c r="AS1554" s="65"/>
      <c r="AT1554" s="65" t="str">
        <f>IFERROR(__xludf.DUMMYFUNCTION("""COMPUTED_VALUE"""),"SHOPIFY")</f>
        <v>SHOPIFY</v>
      </c>
      <c r="AU1554" s="65" t="str">
        <f>IFERROR(__xludf.DUMMYFUNCTION("""COMPUTED_VALUE"""),"IMPORTEX EC")</f>
        <v>IMPORTEX EC</v>
      </c>
      <c r="AV1554" s="65" t="str">
        <f>IFERROR(__xludf.DUMMYFUNCTION("""COMPUTED_VALUE"""),"6425315409964")</f>
        <v>6425315409964</v>
      </c>
      <c r="AW1554" s="65">
        <f>IFERROR(__xludf.DUMMYFUNCTION("""COMPUTED_VALUE"""),5386.0)</f>
        <v>5386</v>
      </c>
      <c r="AX1554" s="65"/>
      <c r="AY1554" s="65"/>
      <c r="AZ1554" s="65"/>
      <c r="BA1554" s="65"/>
    </row>
    <row r="1555">
      <c r="A1555" s="65" t="str">
        <f>IFERROR(__xludf.DUMMYFUNCTION("""COMPUTED_VALUE"""),"27-03-2026")</f>
        <v>27-03-2026</v>
      </c>
      <c r="B1555" s="65">
        <f>IFERROR(__xludf.DUMMYFUNCTION("""COMPUTED_VALUE"""),4184898.0)</f>
        <v>4184898</v>
      </c>
      <c r="C1555" s="65" t="str">
        <f>IFERROR(__xludf.DUMMYFUNCTION("""COMPUTED_VALUE"""),"20:46")</f>
        <v>20:46</v>
      </c>
      <c r="D1555" s="65" t="str">
        <f>IFERROR(__xludf.DUMMYFUNCTION("""COMPUTED_VALUE"""),"17-01-2026")</f>
        <v>17-01-2026</v>
      </c>
      <c r="E1555" s="65" t="str">
        <f>IFERROR(__xludf.DUMMYFUNCTION("""COMPUTED_VALUE"""),"Vicente González")</f>
        <v>Vicente González</v>
      </c>
      <c r="F1555" s="65" t="str">
        <f>IFERROR(__xludf.DUMMYFUNCTION("""COMPUTED_VALUE"""),"984808054")</f>
        <v>984808054</v>
      </c>
      <c r="G1555" s="65" t="str">
        <f>IFERROR(__xludf.DUMMYFUNCTION("""COMPUTED_VALUE"""),"rocioendaram@gmail.com")</f>
        <v>rocioendaram@gmail.com</v>
      </c>
      <c r="H1555" s="65"/>
      <c r="I1555" s="65"/>
      <c r="J1555" s="65" t="str">
        <f>IFERROR(__xludf.DUMMYFUNCTION("""COMPUTED_VALUE"""),"D001247734")</f>
        <v>D001247734</v>
      </c>
      <c r="K1555" s="65" t="str">
        <f>IFERROR(__xludf.DUMMYFUNCTION("""COMPUTED_VALUE"""),"ENTREGADO")</f>
        <v>ENTREGADO</v>
      </c>
      <c r="L1555" s="65" t="str">
        <f>IFERROR(__xludf.DUMMYFUNCTION("""COMPUTED_VALUE"""),"CON RECAUDO")</f>
        <v>CON RECAUDO</v>
      </c>
      <c r="M1555" s="65" t="str">
        <f>IFERROR(__xludf.DUMMYFUNCTION("""COMPUTED_VALUE"""),"PICHINCHA")</f>
        <v>PICHINCHA</v>
      </c>
      <c r="N1555" s="65" t="str">
        <f>IFERROR(__xludf.DUMMYFUNCTION("""COMPUTED_VALUE"""),"POMASQUI")</f>
        <v>POMASQUI</v>
      </c>
      <c r="O1555" s="65" t="str">
        <f>IFERROR(__xludf.DUMMYFUNCTION("""COMPUTED_VALUE"""),"García Moreno S2-257 y 24 de mayo diagonal a casa somos Pomasqui justo detrás de la bomba de gasolina Petroecuador")</f>
        <v>García Moreno S2-257 y 24 de mayo diagonal a casa somos Pomasqui justo detrás de la bomba de gasolina Petroecuador</v>
      </c>
      <c r="P1555" s="65"/>
      <c r="Q1555" s="65" t="str">
        <f>IFERROR(__xludf.DUMMYFUNCTION("""COMPUTED_VALUE"""),"GINTRACOM")</f>
        <v>GINTRACOM</v>
      </c>
      <c r="R1555" s="65">
        <f>IFERROR(__xludf.DUMMYFUNCTION("""COMPUTED_VALUE"""),30.0)</f>
        <v>30</v>
      </c>
      <c r="S1555" s="65">
        <f>IFERROR(__xludf.DUMMYFUNCTION("""COMPUTED_VALUE"""),17.83)</f>
        <v>17.83</v>
      </c>
      <c r="T1555" s="65">
        <f>IFERROR(__xludf.DUMMYFUNCTION("""COMPUTED_VALUE"""),5.12)</f>
        <v>5.12</v>
      </c>
      <c r="U1555" s="65">
        <f>IFERROR(__xludf.DUMMYFUNCTION("""COMPUTED_VALUE"""),0.0)</f>
        <v>0</v>
      </c>
      <c r="V1555" s="65">
        <f>IFERROR(__xludf.DUMMYFUNCTION("""COMPUTED_VALUE"""),0.0)</f>
        <v>0</v>
      </c>
      <c r="W1555" s="65">
        <f>IFERROR(__xludf.DUMMYFUNCTION("""COMPUTED_VALUE"""),0.0)</f>
        <v>0</v>
      </c>
      <c r="X1555" s="65">
        <f>IFERROR(__xludf.DUMMYFUNCTION("""COMPUTED_VALUE"""),2.35)</f>
        <v>2.35</v>
      </c>
      <c r="Y1555" s="65">
        <f>IFERROR(__xludf.DUMMYFUNCTION("""COMPUTED_VALUE"""),7.05)</f>
        <v>7.05</v>
      </c>
      <c r="Z1555" s="65">
        <f>IFERROR(__xludf.DUMMYFUNCTION("""COMPUTED_VALUE"""),116679.0)</f>
        <v>116679</v>
      </c>
      <c r="AA1555" s="65" t="str">
        <f>IFERROR(__xludf.DUMMYFUNCTION("""COMPUTED_VALUE"""),"AMC-2738")</f>
        <v>AMC-2738</v>
      </c>
      <c r="AB1555" s="65"/>
      <c r="AC1555" s="65" t="str">
        <f>IFERROR(__xludf.DUMMYFUNCTION("""COMPUTED_VALUE"""),"ESPONJA ANTILLUVIA DE PARABRISAS")</f>
        <v>ESPONJA ANTILLUVIA DE PARABRISAS</v>
      </c>
      <c r="AD1555" s="65"/>
      <c r="AE1555" s="65">
        <f>IFERROR(__xludf.DUMMYFUNCTION("""COMPUTED_VALUE"""),3.0)</f>
        <v>3</v>
      </c>
      <c r="AF1555" s="65" t="str">
        <f>IFERROR(__xludf.DUMMYFUNCTION("""COMPUTED_VALUE"""),"DESTINATARIO NO CONTESTA LLAMADAS NI WHATSAPP")</f>
        <v>DESTINATARIO NO CONTESTA LLAMADAS NI WHATSAPP</v>
      </c>
      <c r="AG1555" s="65" t="str">
        <f>IFERROR(__xludf.DUMMYFUNCTION("""COMPUTED_VALUE"""),"NO")</f>
        <v>NO</v>
      </c>
      <c r="AH1555" s="65" t="str">
        <f>IFERROR(__xludf.DUMMYFUNCTION("""COMPUTED_VALUE"""),"14:41")</f>
        <v>14:41</v>
      </c>
      <c r="AI1555" s="65" t="str">
        <f>IFERROR(__xludf.DUMMYFUNCTION("""COMPUTED_VALUE"""),"23-01-2026")</f>
        <v>23-01-2026</v>
      </c>
      <c r="AJ1555" s="65"/>
      <c r="AK1555" s="65"/>
      <c r="AL1555" s="65"/>
      <c r="AM1555" s="65"/>
      <c r="AN1555" s="65" t="str">
        <f>IFERROR(__xludf.DUMMYFUNCTION("""COMPUTED_VALUE"""),"14:41")</f>
        <v>14:41</v>
      </c>
      <c r="AO1555" s="65" t="str">
        <f>IFERROR(__xludf.DUMMYFUNCTION("""COMPUTED_VALUE"""),"23-01-2026")</f>
        <v>23-01-2026</v>
      </c>
      <c r="AP1555" s="65" t="str">
        <f>IFERROR(__xludf.DUMMYFUNCTION("""COMPUTED_VALUE"""),"DESTINATARIO NO CONTESTA LLAMADAS NI WHATSAPP")</f>
        <v>DESTINATARIO NO CONTESTA LLAMADAS NI WHATSAPP</v>
      </c>
      <c r="AQ1555" s="65" t="str">
        <f>IFERROR(__xludf.DUMMYFUNCTION("""COMPUTED_VALUE"""),"DESTINATARIO NO CONTESTA LLAMADAS NI WHATSAPP")</f>
        <v>DESTINATARIO NO CONTESTA LLAMADAS NI WHATSAPP</v>
      </c>
      <c r="AR1555" s="65"/>
      <c r="AS1555" s="65"/>
      <c r="AT1555" s="65" t="str">
        <f>IFERROR(__xludf.DUMMYFUNCTION("""COMPUTED_VALUE"""),"SHOPIFY")</f>
        <v>SHOPIFY</v>
      </c>
      <c r="AU1555" s="65" t="str">
        <f>IFERROR(__xludf.DUMMYFUNCTION("""COMPUTED_VALUE"""),"IMPORTEX EC")</f>
        <v>IMPORTEX EC</v>
      </c>
      <c r="AV1555" s="65" t="str">
        <f>IFERROR(__xludf.DUMMYFUNCTION("""COMPUTED_VALUE"""),"6425300434988")</f>
        <v>6425300434988</v>
      </c>
      <c r="AW1555" s="65">
        <f>IFERROR(__xludf.DUMMYFUNCTION("""COMPUTED_VALUE"""),5385.0)</f>
        <v>5385</v>
      </c>
      <c r="AX1555" s="65"/>
      <c r="AY1555" s="65" t="str">
        <f>IFERROR(__xludf.DUMMYFUNCTION("""COMPUTED_VALUE"""),"21/01/2026")</f>
        <v>21/01/2026</v>
      </c>
      <c r="AZ1555" s="65"/>
      <c r="BA1555" s="65"/>
    </row>
    <row r="1556">
      <c r="A1556" s="65" t="str">
        <f>IFERROR(__xludf.DUMMYFUNCTION("""COMPUTED_VALUE"""),"27-03-2026")</f>
        <v>27-03-2026</v>
      </c>
      <c r="B1556" s="65">
        <f>IFERROR(__xludf.DUMMYFUNCTION("""COMPUTED_VALUE"""),4184786.0)</f>
        <v>4184786</v>
      </c>
      <c r="C1556" s="65" t="str">
        <f>IFERROR(__xludf.DUMMYFUNCTION("""COMPUTED_VALUE"""),"20:29")</f>
        <v>20:29</v>
      </c>
      <c r="D1556" s="65" t="str">
        <f>IFERROR(__xludf.DUMMYFUNCTION("""COMPUTED_VALUE"""),"17-01-2026")</f>
        <v>17-01-2026</v>
      </c>
      <c r="E1556" s="65" t="str">
        <f>IFERROR(__xludf.DUMMYFUNCTION("""COMPUTED_VALUE"""),"Patricio Pazmiño")</f>
        <v>Patricio Pazmiño</v>
      </c>
      <c r="F1556" s="65" t="str">
        <f>IFERROR(__xludf.DUMMYFUNCTION("""COMPUTED_VALUE"""),"991343247")</f>
        <v>991343247</v>
      </c>
      <c r="G1556" s="65" t="str">
        <f>IFERROR(__xludf.DUMMYFUNCTION("""COMPUTED_VALUE"""),"patricio_akd@yahoo.com")</f>
        <v>patricio_akd@yahoo.com</v>
      </c>
      <c r="H1556" s="65"/>
      <c r="I1556" s="65"/>
      <c r="J1556" s="65"/>
      <c r="K1556" s="65" t="str">
        <f>IFERROR(__xludf.DUMMYFUNCTION("""COMPUTED_VALUE"""),"CANCELADO")</f>
        <v>CANCELADO</v>
      </c>
      <c r="L1556" s="65" t="str">
        <f>IFERROR(__xludf.DUMMYFUNCTION("""COMPUTED_VALUE"""),"CON RECAUDO")</f>
        <v>CON RECAUDO</v>
      </c>
      <c r="M1556" s="65" t="str">
        <f>IFERROR(__xludf.DUMMYFUNCTION("""COMPUTED_VALUE"""),"PICHINCHA")</f>
        <v>PICHINCHA</v>
      </c>
      <c r="N1556" s="65" t="str">
        <f>IFERROR(__xludf.DUMMYFUNCTION("""COMPUTED_VALUE"""),"JUAN MONTALVO")</f>
        <v>JUAN MONTALVO</v>
      </c>
      <c r="O1556" s="65" t="str">
        <f>IFERROR(__xludf.DUMMYFUNCTION("""COMPUTED_VALUE"""),"Italia N30 56 y Eloy Alfaro 2do piso Juan Montalvo la Carolina -")</f>
        <v>Italia N30 56 y Eloy Alfaro 2do piso Juan Montalvo la Carolina -</v>
      </c>
      <c r="P1556" s="65"/>
      <c r="Q1556" s="65" t="str">
        <f>IFERROR(__xludf.DUMMYFUNCTION("""COMPUTED_VALUE"""),"SERVIENTREGA")</f>
        <v>SERVIENTREGA</v>
      </c>
      <c r="R1556" s="65">
        <f>IFERROR(__xludf.DUMMYFUNCTION("""COMPUTED_VALUE"""),20.0)</f>
        <v>20</v>
      </c>
      <c r="S1556" s="65"/>
      <c r="T1556" s="65">
        <f>IFERROR(__xludf.DUMMYFUNCTION("""COMPUTED_VALUE"""),7.67)</f>
        <v>7.67</v>
      </c>
      <c r="U1556" s="65">
        <f>IFERROR(__xludf.DUMMYFUNCTION("""COMPUTED_VALUE"""),0.0)</f>
        <v>0</v>
      </c>
      <c r="V1556" s="65">
        <f>IFERROR(__xludf.DUMMYFUNCTION("""COMPUTED_VALUE"""),0.0)</f>
        <v>0</v>
      </c>
      <c r="W1556" s="65">
        <f>IFERROR(__xludf.DUMMYFUNCTION("""COMPUTED_VALUE"""),0.0)</f>
        <v>0</v>
      </c>
      <c r="X1556" s="65">
        <f>IFERROR(__xludf.DUMMYFUNCTION("""COMPUTED_VALUE"""),2.35)</f>
        <v>2.35</v>
      </c>
      <c r="Y1556" s="65">
        <f>IFERROR(__xludf.DUMMYFUNCTION("""COMPUTED_VALUE"""),2.35)</f>
        <v>2.35</v>
      </c>
      <c r="Z1556" s="65">
        <f>IFERROR(__xludf.DUMMYFUNCTION("""COMPUTED_VALUE"""),116679.0)</f>
        <v>116679</v>
      </c>
      <c r="AA1556" s="65" t="str">
        <f>IFERROR(__xludf.DUMMYFUNCTION("""COMPUTED_VALUE"""),"AMC-2738")</f>
        <v>AMC-2738</v>
      </c>
      <c r="AB1556" s="65"/>
      <c r="AC1556" s="65" t="str">
        <f>IFERROR(__xludf.DUMMYFUNCTION("""COMPUTED_VALUE"""),"ESPONJA ANTILLUVIA DE PARABRISAS")</f>
        <v>ESPONJA ANTILLUVIA DE PARABRISAS</v>
      </c>
      <c r="AD1556" s="65"/>
      <c r="AE1556" s="65">
        <f>IFERROR(__xludf.DUMMYFUNCTION("""COMPUTED_VALUE"""),1.0)</f>
        <v>1</v>
      </c>
      <c r="AF1556" s="65"/>
      <c r="AG1556" s="65"/>
      <c r="AH1556" s="65"/>
      <c r="AI1556" s="65"/>
      <c r="AJ1556" s="65"/>
      <c r="AK1556" s="65"/>
      <c r="AL1556" s="65"/>
      <c r="AM1556" s="65"/>
      <c r="AN1556" s="65"/>
      <c r="AO1556" s="65"/>
      <c r="AP1556" s="65"/>
      <c r="AQ1556" s="65"/>
      <c r="AR1556" s="65"/>
      <c r="AS1556" s="65"/>
      <c r="AT1556" s="65" t="str">
        <f>IFERROR(__xludf.DUMMYFUNCTION("""COMPUTED_VALUE"""),"SHOPIFY")</f>
        <v>SHOPIFY</v>
      </c>
      <c r="AU1556" s="65" t="str">
        <f>IFERROR(__xludf.DUMMYFUNCTION("""COMPUTED_VALUE"""),"IMPORTEX EC")</f>
        <v>IMPORTEX EC</v>
      </c>
      <c r="AV1556" s="65" t="str">
        <f>IFERROR(__xludf.DUMMYFUNCTION("""COMPUTED_VALUE"""),"6425268584492")</f>
        <v>6425268584492</v>
      </c>
      <c r="AW1556" s="65">
        <f>IFERROR(__xludf.DUMMYFUNCTION("""COMPUTED_VALUE"""),5384.0)</f>
        <v>5384</v>
      </c>
      <c r="AX1556" s="65"/>
      <c r="AY1556" s="65"/>
      <c r="AZ1556" s="65"/>
      <c r="BA1556" s="65"/>
    </row>
    <row r="1557">
      <c r="A1557" s="65" t="str">
        <f>IFERROR(__xludf.DUMMYFUNCTION("""COMPUTED_VALUE"""),"27-03-2026")</f>
        <v>27-03-2026</v>
      </c>
      <c r="B1557" s="65">
        <f>IFERROR(__xludf.DUMMYFUNCTION("""COMPUTED_VALUE"""),4184660.0)</f>
        <v>4184660</v>
      </c>
      <c r="C1557" s="65" t="str">
        <f>IFERROR(__xludf.DUMMYFUNCTION("""COMPUTED_VALUE"""),"20:12")</f>
        <v>20:12</v>
      </c>
      <c r="D1557" s="65" t="str">
        <f>IFERROR(__xludf.DUMMYFUNCTION("""COMPUTED_VALUE"""),"17-01-2026")</f>
        <v>17-01-2026</v>
      </c>
      <c r="E1557" s="65" t="str">
        <f>IFERROR(__xludf.DUMMYFUNCTION("""COMPUTED_VALUE"""),"Henry Geovanny Hurtado Loja")</f>
        <v>Henry Geovanny Hurtado Loja</v>
      </c>
      <c r="F1557" s="65" t="str">
        <f>IFERROR(__xludf.DUMMYFUNCTION("""COMPUTED_VALUE"""),"995981039")</f>
        <v>995981039</v>
      </c>
      <c r="G1557" s="65" t="str">
        <f>IFERROR(__xludf.DUMMYFUNCTION("""COMPUTED_VALUE"""),"geo_99_12@icloud.com")</f>
        <v>geo_99_12@icloud.com</v>
      </c>
      <c r="H1557" s="65"/>
      <c r="I1557" s="65"/>
      <c r="J1557" s="65" t="str">
        <f>IFERROR(__xludf.DUMMYFUNCTION("""COMPUTED_VALUE"""),"186507658")</f>
        <v>186507658</v>
      </c>
      <c r="K1557" s="65" t="str">
        <f>IFERROR(__xludf.DUMMYFUNCTION("""COMPUTED_VALUE"""),"DEVOLUCION")</f>
        <v>DEVOLUCION</v>
      </c>
      <c r="L1557" s="65" t="str">
        <f>IFERROR(__xludf.DUMMYFUNCTION("""COMPUTED_VALUE"""),"CON RECAUDO")</f>
        <v>CON RECAUDO</v>
      </c>
      <c r="M1557" s="65" t="str">
        <f>IFERROR(__xludf.DUMMYFUNCTION("""COMPUTED_VALUE"""),"AZUAY")</f>
        <v>AZUAY</v>
      </c>
      <c r="N1557" s="65" t="str">
        <f>IFERROR(__xludf.DUMMYFUNCTION("""COMPUTED_VALUE"""),"GUALACEO")</f>
        <v>GUALACEO</v>
      </c>
      <c r="O1557" s="65" t="str">
        <f>IFERROR(__xludf.DUMMYFUNCTION("""COMPUTED_VALUE"""),"Avenida Los CaÑaris Y davila Chica -")</f>
        <v>Avenida Los CaÑaris Y davila Chica -</v>
      </c>
      <c r="P1557" s="65"/>
      <c r="Q1557" s="65" t="str">
        <f>IFERROR(__xludf.DUMMYFUNCTION("""COMPUTED_VALUE"""),"SERVIENTREGA")</f>
        <v>SERVIENTREGA</v>
      </c>
      <c r="R1557" s="65">
        <f>IFERROR(__xludf.DUMMYFUNCTION("""COMPUTED_VALUE"""),20.0)</f>
        <v>20</v>
      </c>
      <c r="S1557" s="65"/>
      <c r="T1557" s="65">
        <f>IFERROR(__xludf.DUMMYFUNCTION("""COMPUTED_VALUE"""),6.24)</f>
        <v>6.24</v>
      </c>
      <c r="U1557" s="65">
        <f>IFERROR(__xludf.DUMMYFUNCTION("""COMPUTED_VALUE"""),0.0)</f>
        <v>0</v>
      </c>
      <c r="V1557" s="65">
        <f>IFERROR(__xludf.DUMMYFUNCTION("""COMPUTED_VALUE"""),0.0)</f>
        <v>0</v>
      </c>
      <c r="W1557" s="65">
        <f>IFERROR(__xludf.DUMMYFUNCTION("""COMPUTED_VALUE"""),0.0)</f>
        <v>0</v>
      </c>
      <c r="X1557" s="65">
        <f>IFERROR(__xludf.DUMMYFUNCTION("""COMPUTED_VALUE"""),2.35)</f>
        <v>2.35</v>
      </c>
      <c r="Y1557" s="65">
        <f>IFERROR(__xludf.DUMMYFUNCTION("""COMPUTED_VALUE"""),2.35)</f>
        <v>2.35</v>
      </c>
      <c r="Z1557" s="65">
        <f>IFERROR(__xludf.DUMMYFUNCTION("""COMPUTED_VALUE"""),116679.0)</f>
        <v>116679</v>
      </c>
      <c r="AA1557" s="65" t="str">
        <f>IFERROR(__xludf.DUMMYFUNCTION("""COMPUTED_VALUE"""),"AMC-2738")</f>
        <v>AMC-2738</v>
      </c>
      <c r="AB1557" s="65"/>
      <c r="AC1557" s="65" t="str">
        <f>IFERROR(__xludf.DUMMYFUNCTION("""COMPUTED_VALUE"""),"ESPONJA ANTILLUVIA DE PARABRISAS")</f>
        <v>ESPONJA ANTILLUVIA DE PARABRISAS</v>
      </c>
      <c r="AD1557" s="65"/>
      <c r="AE1557" s="65">
        <f>IFERROR(__xludf.DUMMYFUNCTION("""COMPUTED_VALUE"""),1.0)</f>
        <v>1</v>
      </c>
      <c r="AF1557" s="65" t="str">
        <f>IFERROR(__xludf.DUMMYFUNCTION("""COMPUTED_VALUE"""),"DEVOLUCION AL REMITENTE")</f>
        <v>DEVOLUCION AL REMITENTE</v>
      </c>
      <c r="AG1557" s="65" t="str">
        <f>IFERROR(__xludf.DUMMYFUNCTION("""COMPUTED_VALUE"""),"NO")</f>
        <v>NO</v>
      </c>
      <c r="AH1557" s="65" t="str">
        <f>IFERROR(__xludf.DUMMYFUNCTION("""COMPUTED_VALUE"""),"23:00")</f>
        <v>23:00</v>
      </c>
      <c r="AI1557" s="65" t="str">
        <f>IFERROR(__xludf.DUMMYFUNCTION("""COMPUTED_VALUE"""),"10-02-2026")</f>
        <v>10-02-2026</v>
      </c>
      <c r="AJ1557" s="65"/>
      <c r="AK1557" s="65"/>
      <c r="AL1557" s="65"/>
      <c r="AM1557" s="65"/>
      <c r="AN1557" s="65" t="str">
        <f>IFERROR(__xludf.DUMMYFUNCTION("""COMPUTED_VALUE"""),"01:00")</f>
        <v>01:00</v>
      </c>
      <c r="AO1557" s="65" t="str">
        <f>IFERROR(__xludf.DUMMYFUNCTION("""COMPUTED_VALUE"""),"12-02-2026")</f>
        <v>12-02-2026</v>
      </c>
      <c r="AP1557" s="65" t="str">
        <f>IFERROR(__xludf.DUMMYFUNCTION("""COMPUTED_VALUE"""),"DEVOLUCION AL REMITENTE")</f>
        <v>DEVOLUCION AL REMITENTE</v>
      </c>
      <c r="AQ1557" s="65" t="str">
        <f>IFERROR(__xludf.DUMMYFUNCTION("""COMPUTED_VALUE"""),"{}")</f>
        <v>{}</v>
      </c>
      <c r="AR1557" s="65"/>
      <c r="AS1557" s="65"/>
      <c r="AT1557" s="65" t="str">
        <f>IFERROR(__xludf.DUMMYFUNCTION("""COMPUTED_VALUE"""),"SHOPIFY")</f>
        <v>SHOPIFY</v>
      </c>
      <c r="AU1557" s="65" t="str">
        <f>IFERROR(__xludf.DUMMYFUNCTION("""COMPUTED_VALUE"""),"IMPORTEX EC")</f>
        <v>IMPORTEX EC</v>
      </c>
      <c r="AV1557" s="65" t="str">
        <f>IFERROR(__xludf.DUMMYFUNCTION("""COMPUTED_VALUE"""),"6425237618732")</f>
        <v>6425237618732</v>
      </c>
      <c r="AW1557" s="65">
        <f>IFERROR(__xludf.DUMMYFUNCTION("""COMPUTED_VALUE"""),5383.0)</f>
        <v>5383</v>
      </c>
      <c r="AX1557" s="65"/>
      <c r="AY1557" s="65" t="str">
        <f>IFERROR(__xludf.DUMMYFUNCTION("""COMPUTED_VALUE"""),"21/01/2026")</f>
        <v>21/01/2026</v>
      </c>
      <c r="AZ1557" s="65"/>
      <c r="BA1557" s="65"/>
    </row>
    <row r="1558">
      <c r="A1558" s="65" t="str">
        <f>IFERROR(__xludf.DUMMYFUNCTION("""COMPUTED_VALUE"""),"27-03-2026")</f>
        <v>27-03-2026</v>
      </c>
      <c r="B1558" s="65">
        <f>IFERROR(__xludf.DUMMYFUNCTION("""COMPUTED_VALUE"""),4184477.0)</f>
        <v>4184477</v>
      </c>
      <c r="C1558" s="65" t="str">
        <f>IFERROR(__xludf.DUMMYFUNCTION("""COMPUTED_VALUE"""),"19:47")</f>
        <v>19:47</v>
      </c>
      <c r="D1558" s="65" t="str">
        <f>IFERROR(__xludf.DUMMYFUNCTION("""COMPUTED_VALUE"""),"17-01-2026")</f>
        <v>17-01-2026</v>
      </c>
      <c r="E1558" s="65" t="str">
        <f>IFERROR(__xludf.DUMMYFUNCTION("""COMPUTED_VALUE"""),"Manuel Alcivar")</f>
        <v>Manuel Alcivar</v>
      </c>
      <c r="F1558" s="65" t="str">
        <f>IFERROR(__xludf.DUMMYFUNCTION("""COMPUTED_VALUE"""),"998941869")</f>
        <v>998941869</v>
      </c>
      <c r="G1558" s="65" t="str">
        <f>IFERROR(__xludf.DUMMYFUNCTION("""COMPUTED_VALUE"""),"manuelalcivar79@gmail.com")</f>
        <v>manuelalcivar79@gmail.com</v>
      </c>
      <c r="H1558" s="65"/>
      <c r="I1558" s="65"/>
      <c r="J1558" s="65" t="str">
        <f>IFERROR(__xludf.DUMMYFUNCTION("""COMPUTED_VALUE"""),"D001247735")</f>
        <v>D001247735</v>
      </c>
      <c r="K1558" s="65" t="str">
        <f>IFERROR(__xludf.DUMMYFUNCTION("""COMPUTED_VALUE"""),"DEVOLUCION")</f>
        <v>DEVOLUCION</v>
      </c>
      <c r="L1558" s="65" t="str">
        <f>IFERROR(__xludf.DUMMYFUNCTION("""COMPUTED_VALUE"""),"CON RECAUDO")</f>
        <v>CON RECAUDO</v>
      </c>
      <c r="M1558" s="65" t="str">
        <f>IFERROR(__xludf.DUMMYFUNCTION("""COMPUTED_VALUE"""),"MANABI")</f>
        <v>MANABI</v>
      </c>
      <c r="N1558" s="65" t="str">
        <f>IFERROR(__xludf.DUMMYFUNCTION("""COMPUTED_VALUE"""),"EL CARMEN")</f>
        <v>EL CARMEN</v>
      </c>
      <c r="O1558" s="65" t="str">
        <f>IFERROR(__xludf.DUMMYFUNCTION("""COMPUTED_VALUE"""),"Av Chone Calle Simón Bolívar - Casa de 3 planta Rosada")</f>
        <v>Av Chone Calle Simón Bolívar - Casa de 3 planta Rosada</v>
      </c>
      <c r="P1558" s="65"/>
      <c r="Q1558" s="65" t="str">
        <f>IFERROR(__xludf.DUMMYFUNCTION("""COMPUTED_VALUE"""),"GINTRACOM")</f>
        <v>GINTRACOM</v>
      </c>
      <c r="R1558" s="65">
        <f>IFERROR(__xludf.DUMMYFUNCTION("""COMPUTED_VALUE"""),30.0)</f>
        <v>30</v>
      </c>
      <c r="S1558" s="65"/>
      <c r="T1558" s="65">
        <f>IFERROR(__xludf.DUMMYFUNCTION("""COMPUTED_VALUE"""),6.16)</f>
        <v>6.16</v>
      </c>
      <c r="U1558" s="65">
        <f>IFERROR(__xludf.DUMMYFUNCTION("""COMPUTED_VALUE"""),0.0)</f>
        <v>0</v>
      </c>
      <c r="V1558" s="65">
        <f>IFERROR(__xludf.DUMMYFUNCTION("""COMPUTED_VALUE"""),0.0)</f>
        <v>0</v>
      </c>
      <c r="W1558" s="65">
        <f>IFERROR(__xludf.DUMMYFUNCTION("""COMPUTED_VALUE"""),0.0)</f>
        <v>0</v>
      </c>
      <c r="X1558" s="65">
        <f>IFERROR(__xludf.DUMMYFUNCTION("""COMPUTED_VALUE"""),2.35)</f>
        <v>2.35</v>
      </c>
      <c r="Y1558" s="65">
        <f>IFERROR(__xludf.DUMMYFUNCTION("""COMPUTED_VALUE"""),7.05)</f>
        <v>7.05</v>
      </c>
      <c r="Z1558" s="65">
        <f>IFERROR(__xludf.DUMMYFUNCTION("""COMPUTED_VALUE"""),116679.0)</f>
        <v>116679</v>
      </c>
      <c r="AA1558" s="65" t="str">
        <f>IFERROR(__xludf.DUMMYFUNCTION("""COMPUTED_VALUE"""),"AMC-2738")</f>
        <v>AMC-2738</v>
      </c>
      <c r="AB1558" s="65"/>
      <c r="AC1558" s="65" t="str">
        <f>IFERROR(__xludf.DUMMYFUNCTION("""COMPUTED_VALUE"""),"ESPONJA ANTILLUVIA DE PARABRISAS")</f>
        <v>ESPONJA ANTILLUVIA DE PARABRISAS</v>
      </c>
      <c r="AD1558" s="65"/>
      <c r="AE1558" s="65">
        <f>IFERROR(__xludf.DUMMYFUNCTION("""COMPUTED_VALUE"""),3.0)</f>
        <v>3</v>
      </c>
      <c r="AF1558" s="65" t="str">
        <f>IFERROR(__xludf.DUMMYFUNCTION("""COMPUTED_VALUE"""),"DESTINATARIO NO CONTESTA LLAMADAS NI WHATSAPP")</f>
        <v>DESTINATARIO NO CONTESTA LLAMADAS NI WHATSAPP</v>
      </c>
      <c r="AG1558" s="65" t="str">
        <f>IFERROR(__xludf.DUMMYFUNCTION("""COMPUTED_VALUE"""),"NO")</f>
        <v>NO</v>
      </c>
      <c r="AH1558" s="65" t="str">
        <f>IFERROR(__xludf.DUMMYFUNCTION("""COMPUTED_VALUE"""),"09:00")</f>
        <v>09:00</v>
      </c>
      <c r="AI1558" s="65" t="str">
        <f>IFERROR(__xludf.DUMMYFUNCTION("""COMPUTED_VALUE"""),"01-02-2026")</f>
        <v>01-02-2026</v>
      </c>
      <c r="AJ1558" s="65"/>
      <c r="AK1558" s="65"/>
      <c r="AL1558" s="65"/>
      <c r="AM1558" s="65"/>
      <c r="AN1558" s="65" t="str">
        <f>IFERROR(__xludf.DUMMYFUNCTION("""COMPUTED_VALUE"""),"08:59")</f>
        <v>08:59</v>
      </c>
      <c r="AO1558" s="65" t="str">
        <f>IFERROR(__xludf.DUMMYFUNCTION("""COMPUTED_VALUE"""),"09-02-2026")</f>
        <v>09-02-2026</v>
      </c>
      <c r="AP1558" s="65" t="str">
        <f>IFERROR(__xludf.DUMMYFUNCTION("""COMPUTED_VALUE"""),"DEVOLUCIÓN ENTREGADA A ORIGEN")</f>
        <v>DEVOLUCIÓN ENTREGADA A ORIGEN</v>
      </c>
      <c r="AQ1558" s="65" t="str">
        <f>IFERROR(__xludf.DUMMYFUNCTION("""COMPUTED_VALUE"""),"DEVOLUCIÓN ENTREGADA A ORIGEN")</f>
        <v>DEVOLUCIÓN ENTREGADA A ORIGEN</v>
      </c>
      <c r="AR1558" s="65"/>
      <c r="AS1558" s="65"/>
      <c r="AT1558" s="65" t="str">
        <f>IFERROR(__xludf.DUMMYFUNCTION("""COMPUTED_VALUE"""),"SHOPIFY")</f>
        <v>SHOPIFY</v>
      </c>
      <c r="AU1558" s="65" t="str">
        <f>IFERROR(__xludf.DUMMYFUNCTION("""COMPUTED_VALUE"""),"IMPORTEX EC")</f>
        <v>IMPORTEX EC</v>
      </c>
      <c r="AV1558" s="65" t="str">
        <f>IFERROR(__xludf.DUMMYFUNCTION("""COMPUTED_VALUE"""),"6425191481388")</f>
        <v>6425191481388</v>
      </c>
      <c r="AW1558" s="65">
        <f>IFERROR(__xludf.DUMMYFUNCTION("""COMPUTED_VALUE"""),5382.0)</f>
        <v>5382</v>
      </c>
      <c r="AX1558" s="65"/>
      <c r="AY1558" s="65" t="str">
        <f>IFERROR(__xludf.DUMMYFUNCTION("""COMPUTED_VALUE"""),"21/01/2026")</f>
        <v>21/01/2026</v>
      </c>
      <c r="AZ1558" s="65"/>
      <c r="BA1558" s="65"/>
    </row>
    <row r="1559">
      <c r="A1559" s="65" t="str">
        <f>IFERROR(__xludf.DUMMYFUNCTION("""COMPUTED_VALUE"""),"27-03-2026")</f>
        <v>27-03-2026</v>
      </c>
      <c r="B1559" s="65">
        <f>IFERROR(__xludf.DUMMYFUNCTION("""COMPUTED_VALUE"""),4184448.0)</f>
        <v>4184448</v>
      </c>
      <c r="C1559" s="65" t="str">
        <f>IFERROR(__xludf.DUMMYFUNCTION("""COMPUTED_VALUE"""),"19:41")</f>
        <v>19:41</v>
      </c>
      <c r="D1559" s="65" t="str">
        <f>IFERROR(__xludf.DUMMYFUNCTION("""COMPUTED_VALUE"""),"17-01-2026")</f>
        <v>17-01-2026</v>
      </c>
      <c r="E1559" s="65" t="str">
        <f>IFERROR(__xludf.DUMMYFUNCTION("""COMPUTED_VALUE"""),"Danny Guaman")</f>
        <v>Danny Guaman</v>
      </c>
      <c r="F1559" s="65" t="str">
        <f>IFERROR(__xludf.DUMMYFUNCTION("""COMPUTED_VALUE"""),"990993126")</f>
        <v>990993126</v>
      </c>
      <c r="G1559" s="65" t="str">
        <f>IFERROR(__xludf.DUMMYFUNCTION("""COMPUTED_VALUE"""),"daniloguaaman@gmail.com")</f>
        <v>daniloguaaman@gmail.com</v>
      </c>
      <c r="H1559" s="65"/>
      <c r="I1559" s="65"/>
      <c r="J1559" s="65"/>
      <c r="K1559" s="65" t="str">
        <f>IFERROR(__xludf.DUMMYFUNCTION("""COMPUTED_VALUE"""),"CANCELADO")</f>
        <v>CANCELADO</v>
      </c>
      <c r="L1559" s="65" t="str">
        <f>IFERROR(__xludf.DUMMYFUNCTION("""COMPUTED_VALUE"""),"CON RECAUDO")</f>
        <v>CON RECAUDO</v>
      </c>
      <c r="M1559" s="65" t="str">
        <f>IFERROR(__xludf.DUMMYFUNCTION("""COMPUTED_VALUE"""),"MORONA SANTIAGO")</f>
        <v>MORONA SANTIAGO</v>
      </c>
      <c r="N1559" s="65" t="str">
        <f>IFERROR(__xludf.DUMMYFUNCTION("""COMPUTED_VALUE"""),"MACAS")</f>
        <v>MACAS</v>
      </c>
      <c r="O1559" s="65" t="str">
        <f>IFERROR(__xludf.DUMMYFUNCTION("""COMPUTED_VALUE"""),"24 de mayo y Juan de salinas A lado del dr. Ramones -")</f>
        <v>24 de mayo y Juan de salinas A lado del dr. Ramones -</v>
      </c>
      <c r="P1559" s="65"/>
      <c r="Q1559" s="65" t="str">
        <f>IFERROR(__xludf.DUMMYFUNCTION("""COMPUTED_VALUE"""),"GINTRACOM")</f>
        <v>GINTRACOM</v>
      </c>
      <c r="R1559" s="65">
        <f>IFERROR(__xludf.DUMMYFUNCTION("""COMPUTED_VALUE"""),25.0)</f>
        <v>25</v>
      </c>
      <c r="S1559" s="65"/>
      <c r="T1559" s="65">
        <f>IFERROR(__xludf.DUMMYFUNCTION("""COMPUTED_VALUE"""),5.96)</f>
        <v>5.96</v>
      </c>
      <c r="U1559" s="65">
        <f>IFERROR(__xludf.DUMMYFUNCTION("""COMPUTED_VALUE"""),0.0)</f>
        <v>0</v>
      </c>
      <c r="V1559" s="65">
        <f>IFERROR(__xludf.DUMMYFUNCTION("""COMPUTED_VALUE"""),0.0)</f>
        <v>0</v>
      </c>
      <c r="W1559" s="65">
        <f>IFERROR(__xludf.DUMMYFUNCTION("""COMPUTED_VALUE"""),0.0)</f>
        <v>0</v>
      </c>
      <c r="X1559" s="65">
        <f>IFERROR(__xludf.DUMMYFUNCTION("""COMPUTED_VALUE"""),2.35)</f>
        <v>2.35</v>
      </c>
      <c r="Y1559" s="65">
        <f>IFERROR(__xludf.DUMMYFUNCTION("""COMPUTED_VALUE"""),4.7)</f>
        <v>4.7</v>
      </c>
      <c r="Z1559" s="65">
        <f>IFERROR(__xludf.DUMMYFUNCTION("""COMPUTED_VALUE"""),116679.0)</f>
        <v>116679</v>
      </c>
      <c r="AA1559" s="65" t="str">
        <f>IFERROR(__xludf.DUMMYFUNCTION("""COMPUTED_VALUE"""),"AMC-2738")</f>
        <v>AMC-2738</v>
      </c>
      <c r="AB1559" s="65"/>
      <c r="AC1559" s="65" t="str">
        <f>IFERROR(__xludf.DUMMYFUNCTION("""COMPUTED_VALUE"""),"ESPONJA ANTILLUVIA DE PARABRISAS")</f>
        <v>ESPONJA ANTILLUVIA DE PARABRISAS</v>
      </c>
      <c r="AD1559" s="65"/>
      <c r="AE1559" s="65">
        <f>IFERROR(__xludf.DUMMYFUNCTION("""COMPUTED_VALUE"""),2.0)</f>
        <v>2</v>
      </c>
      <c r="AF1559" s="65"/>
      <c r="AG1559" s="65"/>
      <c r="AH1559" s="65"/>
      <c r="AI1559" s="65"/>
      <c r="AJ1559" s="65"/>
      <c r="AK1559" s="65"/>
      <c r="AL1559" s="65"/>
      <c r="AM1559" s="65"/>
      <c r="AN1559" s="65"/>
      <c r="AO1559" s="65"/>
      <c r="AP1559" s="65"/>
      <c r="AQ1559" s="65"/>
      <c r="AR1559" s="65"/>
      <c r="AS1559" s="65"/>
      <c r="AT1559" s="65" t="str">
        <f>IFERROR(__xludf.DUMMYFUNCTION("""COMPUTED_VALUE"""),"SHOPIFY")</f>
        <v>SHOPIFY</v>
      </c>
      <c r="AU1559" s="65" t="str">
        <f>IFERROR(__xludf.DUMMYFUNCTION("""COMPUTED_VALUE"""),"IMPORTEX EC")</f>
        <v>IMPORTEX EC</v>
      </c>
      <c r="AV1559" s="65" t="str">
        <f>IFERROR(__xludf.DUMMYFUNCTION("""COMPUTED_VALUE"""),"6425183485996")</f>
        <v>6425183485996</v>
      </c>
      <c r="AW1559" s="65">
        <f>IFERROR(__xludf.DUMMYFUNCTION("""COMPUTED_VALUE"""),5381.0)</f>
        <v>5381</v>
      </c>
      <c r="AX1559" s="65"/>
      <c r="AY1559" s="65"/>
      <c r="AZ1559" s="65"/>
      <c r="BA1559" s="65"/>
    </row>
    <row r="1560">
      <c r="A1560" s="65" t="str">
        <f>IFERROR(__xludf.DUMMYFUNCTION("""COMPUTED_VALUE"""),"27-03-2026")</f>
        <v>27-03-2026</v>
      </c>
      <c r="B1560" s="65">
        <f>IFERROR(__xludf.DUMMYFUNCTION("""COMPUTED_VALUE"""),4184291.0)</f>
        <v>4184291</v>
      </c>
      <c r="C1560" s="65" t="str">
        <f>IFERROR(__xludf.DUMMYFUNCTION("""COMPUTED_VALUE"""),"19:23")</f>
        <v>19:23</v>
      </c>
      <c r="D1560" s="65" t="str">
        <f>IFERROR(__xludf.DUMMYFUNCTION("""COMPUTED_VALUE"""),"17-01-2026")</f>
        <v>17-01-2026</v>
      </c>
      <c r="E1560" s="65" t="str">
        <f>IFERROR(__xludf.DUMMYFUNCTION("""COMPUTED_VALUE"""),"Christian Mantilla")</f>
        <v>Christian Mantilla</v>
      </c>
      <c r="F1560" s="65" t="str">
        <f>IFERROR(__xludf.DUMMYFUNCTION("""COMPUTED_VALUE"""),"996867999")</f>
        <v>996867999</v>
      </c>
      <c r="G1560" s="65" t="str">
        <f>IFERROR(__xludf.DUMMYFUNCTION("""COMPUTED_VALUE"""),"Crixmantilla@gmail.com")</f>
        <v>Crixmantilla@gmail.com</v>
      </c>
      <c r="H1560" s="65"/>
      <c r="I1560" s="65"/>
      <c r="J1560" s="65" t="str">
        <f>IFERROR(__xludf.DUMMYFUNCTION("""COMPUTED_VALUE"""),"D001247736")</f>
        <v>D001247736</v>
      </c>
      <c r="K1560" s="65" t="str">
        <f>IFERROR(__xludf.DUMMYFUNCTION("""COMPUTED_VALUE"""),"DEVOLUCION")</f>
        <v>DEVOLUCION</v>
      </c>
      <c r="L1560" s="65" t="str">
        <f>IFERROR(__xludf.DUMMYFUNCTION("""COMPUTED_VALUE"""),"CON RECAUDO")</f>
        <v>CON RECAUDO</v>
      </c>
      <c r="M1560" s="65" t="str">
        <f>IFERROR(__xludf.DUMMYFUNCTION("""COMPUTED_VALUE"""),"TUNGURAHUA")</f>
        <v>TUNGURAHUA</v>
      </c>
      <c r="N1560" s="65" t="str">
        <f>IFERROR(__xludf.DUMMYFUNCTION("""COMPUTED_VALUE"""),"AMBATO")</f>
        <v>AMBATO</v>
      </c>
      <c r="O1560" s="65" t="str">
        <f>IFERROR(__xludf.DUMMYFUNCTION("""COMPUTED_VALUE"""),"Pasaje Moscoso y Av. Atahualpa La Policía - Sector redondel de la Policía")</f>
        <v>Pasaje Moscoso y Av. Atahualpa La Policía - Sector redondel de la Policía</v>
      </c>
      <c r="P1560" s="65"/>
      <c r="Q1560" s="65" t="str">
        <f>IFERROR(__xludf.DUMMYFUNCTION("""COMPUTED_VALUE"""),"GINTRACOM")</f>
        <v>GINTRACOM</v>
      </c>
      <c r="R1560" s="65">
        <f>IFERROR(__xludf.DUMMYFUNCTION("""COMPUTED_VALUE"""),20.0)</f>
        <v>20</v>
      </c>
      <c r="S1560" s="65"/>
      <c r="T1560" s="65">
        <f>IFERROR(__xludf.DUMMYFUNCTION("""COMPUTED_VALUE"""),5.76)</f>
        <v>5.76</v>
      </c>
      <c r="U1560" s="65">
        <f>IFERROR(__xludf.DUMMYFUNCTION("""COMPUTED_VALUE"""),0.0)</f>
        <v>0</v>
      </c>
      <c r="V1560" s="65">
        <f>IFERROR(__xludf.DUMMYFUNCTION("""COMPUTED_VALUE"""),0.0)</f>
        <v>0</v>
      </c>
      <c r="W1560" s="65">
        <f>IFERROR(__xludf.DUMMYFUNCTION("""COMPUTED_VALUE"""),0.0)</f>
        <v>0</v>
      </c>
      <c r="X1560" s="65">
        <f>IFERROR(__xludf.DUMMYFUNCTION("""COMPUTED_VALUE"""),2.35)</f>
        <v>2.35</v>
      </c>
      <c r="Y1560" s="65">
        <f>IFERROR(__xludf.DUMMYFUNCTION("""COMPUTED_VALUE"""),2.35)</f>
        <v>2.35</v>
      </c>
      <c r="Z1560" s="65">
        <f>IFERROR(__xludf.DUMMYFUNCTION("""COMPUTED_VALUE"""),116679.0)</f>
        <v>116679</v>
      </c>
      <c r="AA1560" s="65" t="str">
        <f>IFERROR(__xludf.DUMMYFUNCTION("""COMPUTED_VALUE"""),"AMC-2738")</f>
        <v>AMC-2738</v>
      </c>
      <c r="AB1560" s="65"/>
      <c r="AC1560" s="65" t="str">
        <f>IFERROR(__xludf.DUMMYFUNCTION("""COMPUTED_VALUE"""),"ESPONJA ANTILLUVIA DE PARABRISAS")</f>
        <v>ESPONJA ANTILLUVIA DE PARABRISAS</v>
      </c>
      <c r="AD1560" s="65"/>
      <c r="AE1560" s="65">
        <f>IFERROR(__xludf.DUMMYFUNCTION("""COMPUTED_VALUE"""),1.0)</f>
        <v>1</v>
      </c>
      <c r="AF1560" s="65" t="str">
        <f>IFERROR(__xludf.DUMMYFUNCTION("""COMPUTED_VALUE"""),"DESTINATARIO NO CONTESTA LLAMADAS NI WHATSAPP")</f>
        <v>DESTINATARIO NO CONTESTA LLAMADAS NI WHATSAPP</v>
      </c>
      <c r="AG1560" s="65" t="str">
        <f>IFERROR(__xludf.DUMMYFUNCTION("""COMPUTED_VALUE"""),"NO")</f>
        <v>NO</v>
      </c>
      <c r="AH1560" s="65" t="str">
        <f>IFERROR(__xludf.DUMMYFUNCTION("""COMPUTED_VALUE"""),"09:00")</f>
        <v>09:00</v>
      </c>
      <c r="AI1560" s="65" t="str">
        <f>IFERROR(__xludf.DUMMYFUNCTION("""COMPUTED_VALUE"""),"01-02-2026")</f>
        <v>01-02-2026</v>
      </c>
      <c r="AJ1560" s="65"/>
      <c r="AK1560" s="65"/>
      <c r="AL1560" s="65"/>
      <c r="AM1560" s="65"/>
      <c r="AN1560" s="65" t="str">
        <f>IFERROR(__xludf.DUMMYFUNCTION("""COMPUTED_VALUE"""),"16:27")</f>
        <v>16:27</v>
      </c>
      <c r="AO1560" s="65" t="str">
        <f>IFERROR(__xludf.DUMMYFUNCTION("""COMPUTED_VALUE"""),"10-02-2026")</f>
        <v>10-02-2026</v>
      </c>
      <c r="AP1560" s="65" t="str">
        <f>IFERROR(__xludf.DUMMYFUNCTION("""COMPUTED_VALUE"""),"DEVOLUCIÓN ENTREGADA A ORIGEN")</f>
        <v>DEVOLUCIÓN ENTREGADA A ORIGEN</v>
      </c>
      <c r="AQ1560" s="65" t="str">
        <f>IFERROR(__xludf.DUMMYFUNCTION("""COMPUTED_VALUE"""),"DEVOLUCIÓN ENTREGADA A ORIGEN")</f>
        <v>DEVOLUCIÓN ENTREGADA A ORIGEN</v>
      </c>
      <c r="AR1560" s="65"/>
      <c r="AS1560" s="65"/>
      <c r="AT1560" s="65" t="str">
        <f>IFERROR(__xludf.DUMMYFUNCTION("""COMPUTED_VALUE"""),"SHOPIFY")</f>
        <v>SHOPIFY</v>
      </c>
      <c r="AU1560" s="65" t="str">
        <f>IFERROR(__xludf.DUMMYFUNCTION("""COMPUTED_VALUE"""),"IMPORTEX EC")</f>
        <v>IMPORTEX EC</v>
      </c>
      <c r="AV1560" s="65" t="str">
        <f>IFERROR(__xludf.DUMMYFUNCTION("""COMPUTED_VALUE"""),"6425145212972")</f>
        <v>6425145212972</v>
      </c>
      <c r="AW1560" s="65">
        <f>IFERROR(__xludf.DUMMYFUNCTION("""COMPUTED_VALUE"""),5380.0)</f>
        <v>5380</v>
      </c>
      <c r="AX1560" s="65"/>
      <c r="AY1560" s="65" t="str">
        <f>IFERROR(__xludf.DUMMYFUNCTION("""COMPUTED_VALUE"""),"21/01/2026")</f>
        <v>21/01/2026</v>
      </c>
      <c r="AZ1560" s="65"/>
      <c r="BA1560" s="65"/>
    </row>
    <row r="1561">
      <c r="A1561" s="65" t="str">
        <f>IFERROR(__xludf.DUMMYFUNCTION("""COMPUTED_VALUE"""),"27-03-2026")</f>
        <v>27-03-2026</v>
      </c>
      <c r="B1561" s="65">
        <f>IFERROR(__xludf.DUMMYFUNCTION("""COMPUTED_VALUE"""),4184141.0)</f>
        <v>4184141</v>
      </c>
      <c r="C1561" s="65" t="str">
        <f>IFERROR(__xludf.DUMMYFUNCTION("""COMPUTED_VALUE"""),"19:04")</f>
        <v>19:04</v>
      </c>
      <c r="D1561" s="65" t="str">
        <f>IFERROR(__xludf.DUMMYFUNCTION("""COMPUTED_VALUE"""),"17-01-2026")</f>
        <v>17-01-2026</v>
      </c>
      <c r="E1561" s="65" t="str">
        <f>IFERROR(__xludf.DUMMYFUNCTION("""COMPUTED_VALUE"""),"Santiago Trujillo Mullo")</f>
        <v>Santiago Trujillo Mullo</v>
      </c>
      <c r="F1561" s="65" t="str">
        <f>IFERROR(__xludf.DUMMYFUNCTION("""COMPUTED_VALUE"""),"984687987")</f>
        <v>984687987</v>
      </c>
      <c r="G1561" s="65" t="str">
        <f>IFERROR(__xludf.DUMMYFUNCTION("""COMPUTED_VALUE"""),"santi.trujillo.mullo@gmail.com")</f>
        <v>santi.trujillo.mullo@gmail.com</v>
      </c>
      <c r="H1561" s="65"/>
      <c r="I1561" s="65"/>
      <c r="J1561" s="65" t="str">
        <f>IFERROR(__xludf.DUMMYFUNCTION("""COMPUTED_VALUE"""),"D001247738")</f>
        <v>D001247738</v>
      </c>
      <c r="K1561" s="65" t="str">
        <f>IFERROR(__xludf.DUMMYFUNCTION("""COMPUTED_VALUE"""),"ENTREGADO")</f>
        <v>ENTREGADO</v>
      </c>
      <c r="L1561" s="65" t="str">
        <f>IFERROR(__xludf.DUMMYFUNCTION("""COMPUTED_VALUE"""),"CON RECAUDO")</f>
        <v>CON RECAUDO</v>
      </c>
      <c r="M1561" s="65" t="str">
        <f>IFERROR(__xludf.DUMMYFUNCTION("""COMPUTED_VALUE"""),"PICHINCHA")</f>
        <v>PICHINCHA</v>
      </c>
      <c r="N1561" s="65" t="str">
        <f>IFERROR(__xludf.DUMMYFUNCTION("""COMPUTED_VALUE"""),"QUITO")</f>
        <v>QUITO</v>
      </c>
      <c r="O1561" s="65" t="str">
        <f>IFERROR(__xludf.DUMMYFUNCTION("""COMPUTED_VALUE"""),"Avigiras E13-140 y de los Guayacanes Atras de la Embajada de USA - Conjunto Jardines de Amagasi, edificio 24 departamento 2")</f>
        <v>Avigiras E13-140 y de los Guayacanes Atras de la Embajada de USA - Conjunto Jardines de Amagasi, edificio 24 departamento 2</v>
      </c>
      <c r="P1561" s="65"/>
      <c r="Q1561" s="65" t="str">
        <f>IFERROR(__xludf.DUMMYFUNCTION("""COMPUTED_VALUE"""),"GINTRACOM")</f>
        <v>GINTRACOM</v>
      </c>
      <c r="R1561" s="65">
        <f>IFERROR(__xludf.DUMMYFUNCTION("""COMPUTED_VALUE"""),20.0)</f>
        <v>20</v>
      </c>
      <c r="S1561" s="65">
        <f>IFERROR(__xludf.DUMMYFUNCTION("""COMPUTED_VALUE"""),13.5)</f>
        <v>13.5</v>
      </c>
      <c r="T1561" s="65">
        <f>IFERROR(__xludf.DUMMYFUNCTION("""COMPUTED_VALUE"""),4.15)</f>
        <v>4.15</v>
      </c>
      <c r="U1561" s="65">
        <f>IFERROR(__xludf.DUMMYFUNCTION("""COMPUTED_VALUE"""),0.0)</f>
        <v>0</v>
      </c>
      <c r="V1561" s="65">
        <f>IFERROR(__xludf.DUMMYFUNCTION("""COMPUTED_VALUE"""),0.0)</f>
        <v>0</v>
      </c>
      <c r="W1561" s="65">
        <f>IFERROR(__xludf.DUMMYFUNCTION("""COMPUTED_VALUE"""),0.0)</f>
        <v>0</v>
      </c>
      <c r="X1561" s="65">
        <f>IFERROR(__xludf.DUMMYFUNCTION("""COMPUTED_VALUE"""),2.35)</f>
        <v>2.35</v>
      </c>
      <c r="Y1561" s="65">
        <f>IFERROR(__xludf.DUMMYFUNCTION("""COMPUTED_VALUE"""),2.35)</f>
        <v>2.35</v>
      </c>
      <c r="Z1561" s="65">
        <f>IFERROR(__xludf.DUMMYFUNCTION("""COMPUTED_VALUE"""),116679.0)</f>
        <v>116679</v>
      </c>
      <c r="AA1561" s="65" t="str">
        <f>IFERROR(__xludf.DUMMYFUNCTION("""COMPUTED_VALUE"""),"AMC-2738")</f>
        <v>AMC-2738</v>
      </c>
      <c r="AB1561" s="65"/>
      <c r="AC1561" s="65" t="str">
        <f>IFERROR(__xludf.DUMMYFUNCTION("""COMPUTED_VALUE"""),"ESPONJA ANTILLUVIA DE PARABRISAS")</f>
        <v>ESPONJA ANTILLUVIA DE PARABRISAS</v>
      </c>
      <c r="AD1561" s="65"/>
      <c r="AE1561" s="65">
        <f>IFERROR(__xludf.DUMMYFUNCTION("""COMPUTED_VALUE"""),1.0)</f>
        <v>1</v>
      </c>
      <c r="AF1561" s="65"/>
      <c r="AG1561" s="65"/>
      <c r="AH1561" s="65"/>
      <c r="AI1561" s="65"/>
      <c r="AJ1561" s="65"/>
      <c r="AK1561" s="65"/>
      <c r="AL1561" s="65"/>
      <c r="AM1561" s="65"/>
      <c r="AN1561" s="65" t="str">
        <f>IFERROR(__xludf.DUMMYFUNCTION("""COMPUTED_VALUE"""),"12:09")</f>
        <v>12:09</v>
      </c>
      <c r="AO1561" s="65" t="str">
        <f>IFERROR(__xludf.DUMMYFUNCTION("""COMPUTED_VALUE"""),"26-01-2026")</f>
        <v>26-01-2026</v>
      </c>
      <c r="AP1561" s="65" t="str">
        <f>IFERROR(__xludf.DUMMYFUNCTION("""COMPUTED_VALUE"""),"ENTREGADA GINTRACOM")</f>
        <v>ENTREGADA GINTRACOM</v>
      </c>
      <c r="AQ1561" s="65" t="str">
        <f>IFERROR(__xludf.DUMMYFUNCTION("""COMPUTED_VALUE"""),"ENTREGADA GINTRACOM")</f>
        <v>ENTREGADA GINTRACOM</v>
      </c>
      <c r="AR1561" s="65"/>
      <c r="AS1561" s="65"/>
      <c r="AT1561" s="65" t="str">
        <f>IFERROR(__xludf.DUMMYFUNCTION("""COMPUTED_VALUE"""),"SHOPIFY")</f>
        <v>SHOPIFY</v>
      </c>
      <c r="AU1561" s="65" t="str">
        <f>IFERROR(__xludf.DUMMYFUNCTION("""COMPUTED_VALUE"""),"IMPORTEX EC")</f>
        <v>IMPORTEX EC</v>
      </c>
      <c r="AV1561" s="65" t="str">
        <f>IFERROR(__xludf.DUMMYFUNCTION("""COMPUTED_VALUE"""),"6425107300396")</f>
        <v>6425107300396</v>
      </c>
      <c r="AW1561" s="65">
        <f>IFERROR(__xludf.DUMMYFUNCTION("""COMPUTED_VALUE"""),5379.0)</f>
        <v>5379</v>
      </c>
      <c r="AX1561" s="65"/>
      <c r="AY1561" s="65" t="str">
        <f>IFERROR(__xludf.DUMMYFUNCTION("""COMPUTED_VALUE"""),"21/01/2026")</f>
        <v>21/01/2026</v>
      </c>
      <c r="AZ1561" s="65"/>
      <c r="BA1561" s="65"/>
    </row>
    <row r="1562">
      <c r="A1562" s="65" t="str">
        <f>IFERROR(__xludf.DUMMYFUNCTION("""COMPUTED_VALUE"""),"27-03-2026")</f>
        <v>27-03-2026</v>
      </c>
      <c r="B1562" s="65">
        <f>IFERROR(__xludf.DUMMYFUNCTION("""COMPUTED_VALUE"""),4183822.0)</f>
        <v>4183822</v>
      </c>
      <c r="C1562" s="65" t="str">
        <f>IFERROR(__xludf.DUMMYFUNCTION("""COMPUTED_VALUE"""),"18:26")</f>
        <v>18:26</v>
      </c>
      <c r="D1562" s="65" t="str">
        <f>IFERROR(__xludf.DUMMYFUNCTION("""COMPUTED_VALUE"""),"17-01-2026")</f>
        <v>17-01-2026</v>
      </c>
      <c r="E1562" s="65" t="str">
        <f>IFERROR(__xludf.DUMMYFUNCTION("""COMPUTED_VALUE"""),"Alex Cevallos Rodriguez")</f>
        <v>Alex Cevallos Rodriguez</v>
      </c>
      <c r="F1562" s="65" t="str">
        <f>IFERROR(__xludf.DUMMYFUNCTION("""COMPUTED_VALUE"""),"990190601")</f>
        <v>990190601</v>
      </c>
      <c r="G1562" s="65" t="str">
        <f>IFERROR(__xludf.DUMMYFUNCTION("""COMPUTED_VALUE"""),"alexcevallosr@gmail.com")</f>
        <v>alexcevallosr@gmail.com</v>
      </c>
      <c r="H1562" s="65"/>
      <c r="I1562" s="65"/>
      <c r="J1562" s="65" t="str">
        <f>IFERROR(__xludf.DUMMYFUNCTION("""COMPUTED_VALUE"""),"186507659")</f>
        <v>186507659</v>
      </c>
      <c r="K1562" s="65" t="str">
        <f>IFERROR(__xludf.DUMMYFUNCTION("""COMPUTED_VALUE"""),"DEVOLUCION")</f>
        <v>DEVOLUCION</v>
      </c>
      <c r="L1562" s="65" t="str">
        <f>IFERROR(__xludf.DUMMYFUNCTION("""COMPUTED_VALUE"""),"CON RECAUDO")</f>
        <v>CON RECAUDO</v>
      </c>
      <c r="M1562" s="65" t="str">
        <f>IFERROR(__xludf.DUMMYFUNCTION("""COMPUTED_VALUE"""),"MANABI")</f>
        <v>MANABI</v>
      </c>
      <c r="N1562" s="65" t="str">
        <f>IFERROR(__xludf.DUMMYFUNCTION("""COMPUTED_VALUE"""),"BAHIA DE CARAQUEZ")</f>
        <v>BAHIA DE CARAQUEZ</v>
      </c>
      <c r="O1562" s="65" t="str">
        <f>IFERROR(__xludf.DUMMYFUNCTION("""COMPUTED_VALUE"""),"Av. 3 de Noviembre y Peña Casa Americana, Registro de la Propiedad -")</f>
        <v>Av. 3 de Noviembre y Peña Casa Americana, Registro de la Propiedad -</v>
      </c>
      <c r="P1562" s="65"/>
      <c r="Q1562" s="65" t="str">
        <f>IFERROR(__xludf.DUMMYFUNCTION("""COMPUTED_VALUE"""),"SERVIENTREGA")</f>
        <v>SERVIENTREGA</v>
      </c>
      <c r="R1562" s="65">
        <f>IFERROR(__xludf.DUMMYFUNCTION("""COMPUTED_VALUE"""),30.0)</f>
        <v>30</v>
      </c>
      <c r="S1562" s="65"/>
      <c r="T1562" s="65">
        <f>IFERROR(__xludf.DUMMYFUNCTION("""COMPUTED_VALUE"""),6.38)</f>
        <v>6.38</v>
      </c>
      <c r="U1562" s="65">
        <f>IFERROR(__xludf.DUMMYFUNCTION("""COMPUTED_VALUE"""),0.0)</f>
        <v>0</v>
      </c>
      <c r="V1562" s="65">
        <f>IFERROR(__xludf.DUMMYFUNCTION("""COMPUTED_VALUE"""),0.0)</f>
        <v>0</v>
      </c>
      <c r="W1562" s="65">
        <f>IFERROR(__xludf.DUMMYFUNCTION("""COMPUTED_VALUE"""),0.0)</f>
        <v>0</v>
      </c>
      <c r="X1562" s="65">
        <f>IFERROR(__xludf.DUMMYFUNCTION("""COMPUTED_VALUE"""),2.35)</f>
        <v>2.35</v>
      </c>
      <c r="Y1562" s="65">
        <f>IFERROR(__xludf.DUMMYFUNCTION("""COMPUTED_VALUE"""),7.05)</f>
        <v>7.05</v>
      </c>
      <c r="Z1562" s="65">
        <f>IFERROR(__xludf.DUMMYFUNCTION("""COMPUTED_VALUE"""),116679.0)</f>
        <v>116679</v>
      </c>
      <c r="AA1562" s="65" t="str">
        <f>IFERROR(__xludf.DUMMYFUNCTION("""COMPUTED_VALUE"""),"AMC-2738")</f>
        <v>AMC-2738</v>
      </c>
      <c r="AB1562" s="65"/>
      <c r="AC1562" s="65" t="str">
        <f>IFERROR(__xludf.DUMMYFUNCTION("""COMPUTED_VALUE"""),"ESPONJA ANTILLUVIA DE PARABRISAS")</f>
        <v>ESPONJA ANTILLUVIA DE PARABRISAS</v>
      </c>
      <c r="AD1562" s="65"/>
      <c r="AE1562" s="65">
        <f>IFERROR(__xludf.DUMMYFUNCTION("""COMPUTED_VALUE"""),3.0)</f>
        <v>3</v>
      </c>
      <c r="AF1562" s="65" t="str">
        <f>IFERROR(__xludf.DUMMYFUNCTION("""COMPUTED_VALUE"""),"DEVOLUCION AL REMITENTE")</f>
        <v>DEVOLUCION AL REMITENTE</v>
      </c>
      <c r="AG1562" s="65" t="str">
        <f>IFERROR(__xludf.DUMMYFUNCTION("""COMPUTED_VALUE"""),"NO")</f>
        <v>NO</v>
      </c>
      <c r="AH1562" s="65" t="str">
        <f>IFERROR(__xludf.DUMMYFUNCTION("""COMPUTED_VALUE"""),"22:53")</f>
        <v>22:53</v>
      </c>
      <c r="AI1562" s="65" t="str">
        <f>IFERROR(__xludf.DUMMYFUNCTION("""COMPUTED_VALUE"""),"02-02-2026")</f>
        <v>02-02-2026</v>
      </c>
      <c r="AJ1562" s="65"/>
      <c r="AK1562" s="65"/>
      <c r="AL1562" s="65"/>
      <c r="AM1562" s="65"/>
      <c r="AN1562" s="65" t="str">
        <f>IFERROR(__xludf.DUMMYFUNCTION("""COMPUTED_VALUE"""),"23:01")</f>
        <v>23:01</v>
      </c>
      <c r="AO1562" s="65" t="str">
        <f>IFERROR(__xludf.DUMMYFUNCTION("""COMPUTED_VALUE"""),"02-02-2026")</f>
        <v>02-02-2026</v>
      </c>
      <c r="AP1562" s="65" t="str">
        <f>IFERROR(__xludf.DUMMYFUNCTION("""COMPUTED_VALUE"""),"DEVOLUCION AL REMITENTE")</f>
        <v>DEVOLUCION AL REMITENTE</v>
      </c>
      <c r="AQ1562" s="65" t="str">
        <f>IFERROR(__xludf.DUMMYFUNCTION("""COMPUTED_VALUE"""),"ANDY CALERO")</f>
        <v>ANDY CALERO</v>
      </c>
      <c r="AR1562" s="65"/>
      <c r="AS1562" s="65"/>
      <c r="AT1562" s="65" t="str">
        <f>IFERROR(__xludf.DUMMYFUNCTION("""COMPUTED_VALUE"""),"SHOPIFY")</f>
        <v>SHOPIFY</v>
      </c>
      <c r="AU1562" s="65" t="str">
        <f>IFERROR(__xludf.DUMMYFUNCTION("""COMPUTED_VALUE"""),"IMPORTEX EC")</f>
        <v>IMPORTEX EC</v>
      </c>
      <c r="AV1562" s="65" t="str">
        <f>IFERROR(__xludf.DUMMYFUNCTION("""COMPUTED_VALUE"""),"6425035112492")</f>
        <v>6425035112492</v>
      </c>
      <c r="AW1562" s="65">
        <f>IFERROR(__xludf.DUMMYFUNCTION("""COMPUTED_VALUE"""),5377.0)</f>
        <v>5377</v>
      </c>
      <c r="AX1562" s="65"/>
      <c r="AY1562" s="65" t="str">
        <f>IFERROR(__xludf.DUMMYFUNCTION("""COMPUTED_VALUE"""),"21/01/2026")</f>
        <v>21/01/2026</v>
      </c>
      <c r="AZ1562" s="65"/>
      <c r="BA1562" s="65"/>
    </row>
    <row r="1563">
      <c r="A1563" s="65" t="str">
        <f>IFERROR(__xludf.DUMMYFUNCTION("""COMPUTED_VALUE"""),"27-03-2026")</f>
        <v>27-03-2026</v>
      </c>
      <c r="B1563" s="65">
        <f>IFERROR(__xludf.DUMMYFUNCTION("""COMPUTED_VALUE"""),4177784.0)</f>
        <v>4177784</v>
      </c>
      <c r="C1563" s="65" t="str">
        <f>IFERROR(__xludf.DUMMYFUNCTION("""COMPUTED_VALUE"""),"07:39")</f>
        <v>07:39</v>
      </c>
      <c r="D1563" s="65" t="str">
        <f>IFERROR(__xludf.DUMMYFUNCTION("""COMPUTED_VALUE"""),"17-01-2026")</f>
        <v>17-01-2026</v>
      </c>
      <c r="E1563" s="65" t="str">
        <f>IFERROR(__xludf.DUMMYFUNCTION("""COMPUTED_VALUE"""),"Jessica Quelal")</f>
        <v>Jessica Quelal</v>
      </c>
      <c r="F1563" s="65" t="str">
        <f>IFERROR(__xludf.DUMMYFUNCTION("""COMPUTED_VALUE"""),"991207341")</f>
        <v>991207341</v>
      </c>
      <c r="G1563" s="65" t="str">
        <f>IFERROR(__xludf.DUMMYFUNCTION("""COMPUTED_VALUE"""),"jquelalb@gmail.com")</f>
        <v>jquelalb@gmail.com</v>
      </c>
      <c r="H1563" s="65"/>
      <c r="I1563" s="65"/>
      <c r="J1563" s="65" t="str">
        <f>IFERROR(__xludf.DUMMYFUNCTION("""COMPUTED_VALUE"""),"D001247742")</f>
        <v>D001247742</v>
      </c>
      <c r="K1563" s="65" t="str">
        <f>IFERROR(__xludf.DUMMYFUNCTION("""COMPUTED_VALUE"""),"ENTREGADO")</f>
        <v>ENTREGADO</v>
      </c>
      <c r="L1563" s="65" t="str">
        <f>IFERROR(__xludf.DUMMYFUNCTION("""COMPUTED_VALUE"""),"CON RECAUDO")</f>
        <v>CON RECAUDO</v>
      </c>
      <c r="M1563" s="65" t="str">
        <f>IFERROR(__xludf.DUMMYFUNCTION("""COMPUTED_VALUE"""),"GUAYAS")</f>
        <v>GUAYAS</v>
      </c>
      <c r="N1563" s="65" t="str">
        <f>IFERROR(__xludf.DUMMYFUNCTION("""COMPUTED_VALUE"""),"GUAYAQUIL")</f>
        <v>GUAYAQUIL</v>
      </c>
      <c r="O1563" s="65" t="str">
        <f>IFERROR(__xludf.DUMMYFUNCTION("""COMPUTED_VALUE"""),"Urbanor mz 156 villa 3, pasando supermarket Carreño, casa esquinera 3 pisos color celeste Entrar por muebleria el bosque de av de las aguas -")</f>
        <v>Urbanor mz 156 villa 3, pasando supermarket Carreño, casa esquinera 3 pisos color celeste Entrar por muebleria el bosque de av de las aguas -</v>
      </c>
      <c r="P1563" s="65"/>
      <c r="Q1563" s="65" t="str">
        <f>IFERROR(__xludf.DUMMYFUNCTION("""COMPUTED_VALUE"""),"GINTRACOM")</f>
        <v>GINTRACOM</v>
      </c>
      <c r="R1563" s="65">
        <f>IFERROR(__xludf.DUMMYFUNCTION("""COMPUTED_VALUE"""),30.0)</f>
        <v>30</v>
      </c>
      <c r="S1563" s="65">
        <f>IFERROR(__xludf.DUMMYFUNCTION("""COMPUTED_VALUE"""),16.79)</f>
        <v>16.79</v>
      </c>
      <c r="T1563" s="65">
        <f>IFERROR(__xludf.DUMMYFUNCTION("""COMPUTED_VALUE"""),6.16)</f>
        <v>6.16</v>
      </c>
      <c r="U1563" s="65">
        <f>IFERROR(__xludf.DUMMYFUNCTION("""COMPUTED_VALUE"""),0.0)</f>
        <v>0</v>
      </c>
      <c r="V1563" s="65">
        <f>IFERROR(__xludf.DUMMYFUNCTION("""COMPUTED_VALUE"""),0.0)</f>
        <v>0</v>
      </c>
      <c r="W1563" s="65">
        <f>IFERROR(__xludf.DUMMYFUNCTION("""COMPUTED_VALUE"""),0.0)</f>
        <v>0</v>
      </c>
      <c r="X1563" s="65">
        <f>IFERROR(__xludf.DUMMYFUNCTION("""COMPUTED_VALUE"""),2.35)</f>
        <v>2.35</v>
      </c>
      <c r="Y1563" s="65">
        <f>IFERROR(__xludf.DUMMYFUNCTION("""COMPUTED_VALUE"""),7.05)</f>
        <v>7.05</v>
      </c>
      <c r="Z1563" s="65">
        <f>IFERROR(__xludf.DUMMYFUNCTION("""COMPUTED_VALUE"""),116679.0)</f>
        <v>116679</v>
      </c>
      <c r="AA1563" s="65" t="str">
        <f>IFERROR(__xludf.DUMMYFUNCTION("""COMPUTED_VALUE"""),"AMC-2738")</f>
        <v>AMC-2738</v>
      </c>
      <c r="AB1563" s="65"/>
      <c r="AC1563" s="65" t="str">
        <f>IFERROR(__xludf.DUMMYFUNCTION("""COMPUTED_VALUE"""),"ESPONJA ANTILLUVIA DE PARABRISAS")</f>
        <v>ESPONJA ANTILLUVIA DE PARABRISAS</v>
      </c>
      <c r="AD1563" s="65"/>
      <c r="AE1563" s="65">
        <f>IFERROR(__xludf.DUMMYFUNCTION("""COMPUTED_VALUE"""),3.0)</f>
        <v>3</v>
      </c>
      <c r="AF1563" s="65"/>
      <c r="AG1563" s="65"/>
      <c r="AH1563" s="65"/>
      <c r="AI1563" s="65"/>
      <c r="AJ1563" s="65"/>
      <c r="AK1563" s="65"/>
      <c r="AL1563" s="65"/>
      <c r="AM1563" s="65"/>
      <c r="AN1563" s="65" t="str">
        <f>IFERROR(__xludf.DUMMYFUNCTION("""COMPUTED_VALUE"""),"10:16")</f>
        <v>10:16</v>
      </c>
      <c r="AO1563" s="65" t="str">
        <f>IFERROR(__xludf.DUMMYFUNCTION("""COMPUTED_VALUE"""),"24-01-2026")</f>
        <v>24-01-2026</v>
      </c>
      <c r="AP1563" s="65" t="str">
        <f>IFERROR(__xludf.DUMMYFUNCTION("""COMPUTED_VALUE"""),"ENTREGADA GINTRACOM")</f>
        <v>ENTREGADA GINTRACOM</v>
      </c>
      <c r="AQ1563" s="65" t="str">
        <f>IFERROR(__xludf.DUMMYFUNCTION("""COMPUTED_VALUE"""),"ENTREGADA GINTRACOM")</f>
        <v>ENTREGADA GINTRACOM</v>
      </c>
      <c r="AR1563" s="65"/>
      <c r="AS1563" s="65"/>
      <c r="AT1563" s="65" t="str">
        <f>IFERROR(__xludf.DUMMYFUNCTION("""COMPUTED_VALUE"""),"SHOPIFY")</f>
        <v>SHOPIFY</v>
      </c>
      <c r="AU1563" s="65" t="str">
        <f>IFERROR(__xludf.DUMMYFUNCTION("""COMPUTED_VALUE"""),"IMPORTEX EC")</f>
        <v>IMPORTEX EC</v>
      </c>
      <c r="AV1563" s="65" t="str">
        <f>IFERROR(__xludf.DUMMYFUNCTION("""COMPUTED_VALUE"""),"6423445438508")</f>
        <v>6423445438508</v>
      </c>
      <c r="AW1563" s="65">
        <f>IFERROR(__xludf.DUMMYFUNCTION("""COMPUTED_VALUE"""),5376.0)</f>
        <v>5376</v>
      </c>
      <c r="AX1563" s="65"/>
      <c r="AY1563" s="65" t="str">
        <f>IFERROR(__xludf.DUMMYFUNCTION("""COMPUTED_VALUE"""),"21/01/2026")</f>
        <v>21/01/2026</v>
      </c>
      <c r="AZ1563" s="65"/>
      <c r="BA1563" s="65"/>
    </row>
    <row r="1564">
      <c r="A1564" s="65" t="str">
        <f>IFERROR(__xludf.DUMMYFUNCTION("""COMPUTED_VALUE"""),"27-03-2026")</f>
        <v>27-03-2026</v>
      </c>
      <c r="B1564" s="65">
        <f>IFERROR(__xludf.DUMMYFUNCTION("""COMPUTED_VALUE"""),4177568.0)</f>
        <v>4177568</v>
      </c>
      <c r="C1564" s="65" t="str">
        <f>IFERROR(__xludf.DUMMYFUNCTION("""COMPUTED_VALUE"""),"07:19")</f>
        <v>07:19</v>
      </c>
      <c r="D1564" s="65" t="str">
        <f>IFERROR(__xludf.DUMMYFUNCTION("""COMPUTED_VALUE"""),"17-01-2026")</f>
        <v>17-01-2026</v>
      </c>
      <c r="E1564" s="65" t="str">
        <f>IFERROR(__xludf.DUMMYFUNCTION("""COMPUTED_VALUE"""),"Miguel Orlando Guatemal Pupiales")</f>
        <v>Miguel Orlando Guatemal Pupiales</v>
      </c>
      <c r="F1564" s="65" t="str">
        <f>IFERROR(__xludf.DUMMYFUNCTION("""COMPUTED_VALUE"""),"988506049")</f>
        <v>988506049</v>
      </c>
      <c r="G1564" s="65" t="str">
        <f>IFERROR(__xludf.DUMMYFUNCTION("""COMPUTED_VALUE"""),"pupialesmg@gmail.com")</f>
        <v>pupialesmg@gmail.com</v>
      </c>
      <c r="H1564" s="65"/>
      <c r="I1564" s="65"/>
      <c r="J1564" s="65" t="str">
        <f>IFERROR(__xludf.DUMMYFUNCTION("""COMPUTED_VALUE"""),"D001247746")</f>
        <v>D001247746</v>
      </c>
      <c r="K1564" s="65" t="str">
        <f>IFERROR(__xludf.DUMMYFUNCTION("""COMPUTED_VALUE"""),"ENTREGADO")</f>
        <v>ENTREGADO</v>
      </c>
      <c r="L1564" s="65" t="str">
        <f>IFERROR(__xludf.DUMMYFUNCTION("""COMPUTED_VALUE"""),"CON RECAUDO")</f>
        <v>CON RECAUDO</v>
      </c>
      <c r="M1564" s="65" t="str">
        <f>IFERROR(__xludf.DUMMYFUNCTION("""COMPUTED_VALUE"""),"PICHINCHA")</f>
        <v>PICHINCHA</v>
      </c>
      <c r="N1564" s="65" t="str">
        <f>IFERROR(__xludf.DUMMYFUNCTION("""COMPUTED_VALUE"""),"QUITO")</f>
        <v>QUITO</v>
      </c>
      <c r="O1564" s="65" t="str">
        <f>IFERROR(__xludf.DUMMYFUNCTION("""COMPUTED_VALUE"""),"Calle G y c Y praga -")</f>
        <v>Calle G y c Y praga -</v>
      </c>
      <c r="P1564" s="65"/>
      <c r="Q1564" s="65" t="str">
        <f>IFERROR(__xludf.DUMMYFUNCTION("""COMPUTED_VALUE"""),"GINTRACOM")</f>
        <v>GINTRACOM</v>
      </c>
      <c r="R1564" s="65">
        <f>IFERROR(__xludf.DUMMYFUNCTION("""COMPUTED_VALUE"""),30.0)</f>
        <v>30</v>
      </c>
      <c r="S1564" s="65">
        <f>IFERROR(__xludf.DUMMYFUNCTION("""COMPUTED_VALUE"""),18.4)</f>
        <v>18.4</v>
      </c>
      <c r="T1564" s="65">
        <f>IFERROR(__xludf.DUMMYFUNCTION("""COMPUTED_VALUE"""),4.55)</f>
        <v>4.55</v>
      </c>
      <c r="U1564" s="65">
        <f>IFERROR(__xludf.DUMMYFUNCTION("""COMPUTED_VALUE"""),0.0)</f>
        <v>0</v>
      </c>
      <c r="V1564" s="65">
        <f>IFERROR(__xludf.DUMMYFUNCTION("""COMPUTED_VALUE"""),0.0)</f>
        <v>0</v>
      </c>
      <c r="W1564" s="65">
        <f>IFERROR(__xludf.DUMMYFUNCTION("""COMPUTED_VALUE"""),0.0)</f>
        <v>0</v>
      </c>
      <c r="X1564" s="65">
        <f>IFERROR(__xludf.DUMMYFUNCTION("""COMPUTED_VALUE"""),2.35)</f>
        <v>2.35</v>
      </c>
      <c r="Y1564" s="65">
        <f>IFERROR(__xludf.DUMMYFUNCTION("""COMPUTED_VALUE"""),7.05)</f>
        <v>7.05</v>
      </c>
      <c r="Z1564" s="65">
        <f>IFERROR(__xludf.DUMMYFUNCTION("""COMPUTED_VALUE"""),116679.0)</f>
        <v>116679</v>
      </c>
      <c r="AA1564" s="65" t="str">
        <f>IFERROR(__xludf.DUMMYFUNCTION("""COMPUTED_VALUE"""),"AMC-2738")</f>
        <v>AMC-2738</v>
      </c>
      <c r="AB1564" s="65"/>
      <c r="AC1564" s="65" t="str">
        <f>IFERROR(__xludf.DUMMYFUNCTION("""COMPUTED_VALUE"""),"ESPONJA ANTILLUVIA DE PARABRISAS")</f>
        <v>ESPONJA ANTILLUVIA DE PARABRISAS</v>
      </c>
      <c r="AD1564" s="65"/>
      <c r="AE1564" s="65">
        <f>IFERROR(__xludf.DUMMYFUNCTION("""COMPUTED_VALUE"""),3.0)</f>
        <v>3</v>
      </c>
      <c r="AF1564" s="65" t="str">
        <f>IFERROR(__xludf.DUMMYFUNCTION("""COMPUTED_VALUE"""),"DESTINATARIO NO SE ENCUENTRA EN LUGAR DE ENTREGA.")</f>
        <v>DESTINATARIO NO SE ENCUENTRA EN LUGAR DE ENTREGA.</v>
      </c>
      <c r="AG1564" s="65" t="str">
        <f>IFERROR(__xludf.DUMMYFUNCTION("""COMPUTED_VALUE"""),"NO")</f>
        <v>NO</v>
      </c>
      <c r="AH1564" s="65" t="str">
        <f>IFERROR(__xludf.DUMMYFUNCTION("""COMPUTED_VALUE"""),"09:34")</f>
        <v>09:34</v>
      </c>
      <c r="AI1564" s="65" t="str">
        <f>IFERROR(__xludf.DUMMYFUNCTION("""COMPUTED_VALUE"""),"24-01-2026")</f>
        <v>24-01-2026</v>
      </c>
      <c r="AJ1564" s="65"/>
      <c r="AK1564" s="65"/>
      <c r="AL1564" s="65"/>
      <c r="AM1564" s="65"/>
      <c r="AN1564" s="65" t="str">
        <f>IFERROR(__xludf.DUMMYFUNCTION("""COMPUTED_VALUE"""),"09:52")</f>
        <v>09:52</v>
      </c>
      <c r="AO1564" s="65" t="str">
        <f>IFERROR(__xludf.DUMMYFUNCTION("""COMPUTED_VALUE"""),"24-01-2026")</f>
        <v>24-01-2026</v>
      </c>
      <c r="AP1564" s="65" t="str">
        <f>IFERROR(__xludf.DUMMYFUNCTION("""COMPUTED_VALUE"""),"ENTREGADA GINTRACOM")</f>
        <v>ENTREGADA GINTRACOM</v>
      </c>
      <c r="AQ1564" s="65" t="str">
        <f>IFERROR(__xludf.DUMMYFUNCTION("""COMPUTED_VALUE"""),"ENTREGADA GINTRACOM")</f>
        <v>ENTREGADA GINTRACOM</v>
      </c>
      <c r="AR1564" s="65"/>
      <c r="AS1564" s="65"/>
      <c r="AT1564" s="65" t="str">
        <f>IFERROR(__xludf.DUMMYFUNCTION("""COMPUTED_VALUE"""),"SHOPIFY")</f>
        <v>SHOPIFY</v>
      </c>
      <c r="AU1564" s="65" t="str">
        <f>IFERROR(__xludf.DUMMYFUNCTION("""COMPUTED_VALUE"""),"IMPORTEX EC")</f>
        <v>IMPORTEX EC</v>
      </c>
      <c r="AV1564" s="65" t="str">
        <f>IFERROR(__xludf.DUMMYFUNCTION("""COMPUTED_VALUE"""),"6423429546028")</f>
        <v>6423429546028</v>
      </c>
      <c r="AW1564" s="65">
        <f>IFERROR(__xludf.DUMMYFUNCTION("""COMPUTED_VALUE"""),5375.0)</f>
        <v>5375</v>
      </c>
      <c r="AX1564" s="65"/>
      <c r="AY1564" s="65" t="str">
        <f>IFERROR(__xludf.DUMMYFUNCTION("""COMPUTED_VALUE"""),"21/01/2026")</f>
        <v>21/01/2026</v>
      </c>
      <c r="AZ1564" s="65"/>
      <c r="BA1564" s="65"/>
    </row>
    <row r="1565">
      <c r="A1565" s="65" t="str">
        <f>IFERROR(__xludf.DUMMYFUNCTION("""COMPUTED_VALUE"""),"27-03-2026")</f>
        <v>27-03-2026</v>
      </c>
      <c r="B1565" s="65">
        <f>IFERROR(__xludf.DUMMYFUNCTION("""COMPUTED_VALUE"""),4177369.0)</f>
        <v>4177369</v>
      </c>
      <c r="C1565" s="65" t="str">
        <f>IFERROR(__xludf.DUMMYFUNCTION("""COMPUTED_VALUE"""),"06:54")</f>
        <v>06:54</v>
      </c>
      <c r="D1565" s="65" t="str">
        <f>IFERROR(__xludf.DUMMYFUNCTION("""COMPUTED_VALUE"""),"17-01-2026")</f>
        <v>17-01-2026</v>
      </c>
      <c r="E1565" s="65" t="str">
        <f>IFERROR(__xludf.DUMMYFUNCTION("""COMPUTED_VALUE"""),"Gabriela Hurtado Hurtado")</f>
        <v>Gabriela Hurtado Hurtado</v>
      </c>
      <c r="F1565" s="65" t="str">
        <f>IFERROR(__xludf.DUMMYFUNCTION("""COMPUTED_VALUE"""),"985704781")</f>
        <v>985704781</v>
      </c>
      <c r="G1565" s="65" t="str">
        <f>IFERROR(__xludf.DUMMYFUNCTION("""COMPUTED_VALUE"""),"anilugaby@gmail.com")</f>
        <v>anilugaby@gmail.com</v>
      </c>
      <c r="H1565" s="65"/>
      <c r="I1565" s="65"/>
      <c r="J1565" s="65" t="str">
        <f>IFERROR(__xludf.DUMMYFUNCTION("""COMPUTED_VALUE"""),"D001247747")</f>
        <v>D001247747</v>
      </c>
      <c r="K1565" s="65" t="str">
        <f>IFERROR(__xludf.DUMMYFUNCTION("""COMPUTED_VALUE"""),"ENTREGADO")</f>
        <v>ENTREGADO</v>
      </c>
      <c r="L1565" s="65" t="str">
        <f>IFERROR(__xludf.DUMMYFUNCTION("""COMPUTED_VALUE"""),"CON RECAUDO")</f>
        <v>CON RECAUDO</v>
      </c>
      <c r="M1565" s="65" t="str">
        <f>IFERROR(__xludf.DUMMYFUNCTION("""COMPUTED_VALUE"""),"IMBABURA")</f>
        <v>IMBABURA</v>
      </c>
      <c r="N1565" s="65" t="str">
        <f>IFERROR(__xludf.DUMMYFUNCTION("""COMPUTED_VALUE"""),"IBARRA")</f>
        <v>IBARRA</v>
      </c>
      <c r="O1565" s="65" t="str">
        <f>IFERROR(__xludf.DUMMYFUNCTION("""COMPUTED_VALUE"""),"Los Galeanos y pje sin nombre diagonal a la. Mecánica el gato Los galeanos 1 cuadras antes de conjunto san jorge 2 - esquina")</f>
        <v>Los Galeanos y pje sin nombre diagonal a la. Mecánica el gato Los galeanos 1 cuadras antes de conjunto san jorge 2 - esquina</v>
      </c>
      <c r="P1565" s="65"/>
      <c r="Q1565" s="65" t="str">
        <f>IFERROR(__xludf.DUMMYFUNCTION("""COMPUTED_VALUE"""),"GINTRACOM")</f>
        <v>GINTRACOM</v>
      </c>
      <c r="R1565" s="65">
        <f>IFERROR(__xludf.DUMMYFUNCTION("""COMPUTED_VALUE"""),25.0)</f>
        <v>25</v>
      </c>
      <c r="S1565" s="65">
        <f>IFERROR(__xludf.DUMMYFUNCTION("""COMPUTED_VALUE"""),14.34)</f>
        <v>14.34</v>
      </c>
      <c r="T1565" s="65">
        <f>IFERROR(__xludf.DUMMYFUNCTION("""COMPUTED_VALUE"""),5.96)</f>
        <v>5.96</v>
      </c>
      <c r="U1565" s="65">
        <f>IFERROR(__xludf.DUMMYFUNCTION("""COMPUTED_VALUE"""),0.0)</f>
        <v>0</v>
      </c>
      <c r="V1565" s="65">
        <f>IFERROR(__xludf.DUMMYFUNCTION("""COMPUTED_VALUE"""),0.0)</f>
        <v>0</v>
      </c>
      <c r="W1565" s="65">
        <f>IFERROR(__xludf.DUMMYFUNCTION("""COMPUTED_VALUE"""),0.0)</f>
        <v>0</v>
      </c>
      <c r="X1565" s="65">
        <f>IFERROR(__xludf.DUMMYFUNCTION("""COMPUTED_VALUE"""),2.35)</f>
        <v>2.35</v>
      </c>
      <c r="Y1565" s="65">
        <f>IFERROR(__xludf.DUMMYFUNCTION("""COMPUTED_VALUE"""),4.7)</f>
        <v>4.7</v>
      </c>
      <c r="Z1565" s="65">
        <f>IFERROR(__xludf.DUMMYFUNCTION("""COMPUTED_VALUE"""),116679.0)</f>
        <v>116679</v>
      </c>
      <c r="AA1565" s="65" t="str">
        <f>IFERROR(__xludf.DUMMYFUNCTION("""COMPUTED_VALUE"""),"AMC-2738")</f>
        <v>AMC-2738</v>
      </c>
      <c r="AB1565" s="65"/>
      <c r="AC1565" s="65" t="str">
        <f>IFERROR(__xludf.DUMMYFUNCTION("""COMPUTED_VALUE"""),"ESPONJA ANTILLUVIA DE PARABRISAS")</f>
        <v>ESPONJA ANTILLUVIA DE PARABRISAS</v>
      </c>
      <c r="AD1565" s="65"/>
      <c r="AE1565" s="65">
        <f>IFERROR(__xludf.DUMMYFUNCTION("""COMPUTED_VALUE"""),2.0)</f>
        <v>2</v>
      </c>
      <c r="AF1565" s="65"/>
      <c r="AG1565" s="65"/>
      <c r="AH1565" s="65"/>
      <c r="AI1565" s="65"/>
      <c r="AJ1565" s="65"/>
      <c r="AK1565" s="65"/>
      <c r="AL1565" s="65"/>
      <c r="AM1565" s="65"/>
      <c r="AN1565" s="65" t="str">
        <f>IFERROR(__xludf.DUMMYFUNCTION("""COMPUTED_VALUE"""),"15:39")</f>
        <v>15:39</v>
      </c>
      <c r="AO1565" s="65" t="str">
        <f>IFERROR(__xludf.DUMMYFUNCTION("""COMPUTED_VALUE"""),"26-01-2026")</f>
        <v>26-01-2026</v>
      </c>
      <c r="AP1565" s="65" t="str">
        <f>IFERROR(__xludf.DUMMYFUNCTION("""COMPUTED_VALUE"""),"ENTREGADA GINTRACOM")</f>
        <v>ENTREGADA GINTRACOM</v>
      </c>
      <c r="AQ1565" s="65" t="str">
        <f>IFERROR(__xludf.DUMMYFUNCTION("""COMPUTED_VALUE"""),"ENTREGADA GINTRACOM")</f>
        <v>ENTREGADA GINTRACOM</v>
      </c>
      <c r="AR1565" s="65"/>
      <c r="AS1565" s="65"/>
      <c r="AT1565" s="65" t="str">
        <f>IFERROR(__xludf.DUMMYFUNCTION("""COMPUTED_VALUE"""),"SHOPIFY")</f>
        <v>SHOPIFY</v>
      </c>
      <c r="AU1565" s="65" t="str">
        <f>IFERROR(__xludf.DUMMYFUNCTION("""COMPUTED_VALUE"""),"IMPORTEX EC")</f>
        <v>IMPORTEX EC</v>
      </c>
      <c r="AV1565" s="65" t="str">
        <f>IFERROR(__xludf.DUMMYFUNCTION("""COMPUTED_VALUE"""),"6423383015468")</f>
        <v>6423383015468</v>
      </c>
      <c r="AW1565" s="65">
        <f>IFERROR(__xludf.DUMMYFUNCTION("""COMPUTED_VALUE"""),5374.0)</f>
        <v>5374</v>
      </c>
      <c r="AX1565" s="65"/>
      <c r="AY1565" s="65" t="str">
        <f>IFERROR(__xludf.DUMMYFUNCTION("""COMPUTED_VALUE"""),"21/01/2026")</f>
        <v>21/01/2026</v>
      </c>
      <c r="AZ1565" s="65"/>
      <c r="BA1565" s="65"/>
    </row>
    <row r="1566">
      <c r="A1566" s="65" t="str">
        <f>IFERROR(__xludf.DUMMYFUNCTION("""COMPUTED_VALUE"""),"27-03-2026")</f>
        <v>27-03-2026</v>
      </c>
      <c r="B1566" s="65">
        <f>IFERROR(__xludf.DUMMYFUNCTION("""COMPUTED_VALUE"""),4177149.0)</f>
        <v>4177149</v>
      </c>
      <c r="C1566" s="65" t="str">
        <f>IFERROR(__xludf.DUMMYFUNCTION("""COMPUTED_VALUE"""),"06:15")</f>
        <v>06:15</v>
      </c>
      <c r="D1566" s="65" t="str">
        <f>IFERROR(__xludf.DUMMYFUNCTION("""COMPUTED_VALUE"""),"17-01-2026")</f>
        <v>17-01-2026</v>
      </c>
      <c r="E1566" s="65" t="str">
        <f>IFERROR(__xludf.DUMMYFUNCTION("""COMPUTED_VALUE"""),"José López Arreaga")</f>
        <v>José López Arreaga</v>
      </c>
      <c r="F1566" s="65" t="str">
        <f>IFERROR(__xludf.DUMMYFUNCTION("""COMPUTED_VALUE"""),"980713072")</f>
        <v>980713072</v>
      </c>
      <c r="G1566" s="65" t="str">
        <f>IFERROR(__xludf.DUMMYFUNCTION("""COMPUTED_VALUE"""),"joselopezalfredo6876@gmail.com")</f>
        <v>joselopezalfredo6876@gmail.com</v>
      </c>
      <c r="H1566" s="65"/>
      <c r="I1566" s="65"/>
      <c r="J1566" s="65" t="str">
        <f>IFERROR(__xludf.DUMMYFUNCTION("""COMPUTED_VALUE"""),"186507662")</f>
        <v>186507662</v>
      </c>
      <c r="K1566" s="65" t="str">
        <f>IFERROR(__xludf.DUMMYFUNCTION("""COMPUTED_VALUE"""),"ENTREGADO")</f>
        <v>ENTREGADO</v>
      </c>
      <c r="L1566" s="65" t="str">
        <f>IFERROR(__xludf.DUMMYFUNCTION("""COMPUTED_VALUE"""),"CON RECAUDO")</f>
        <v>CON RECAUDO</v>
      </c>
      <c r="M1566" s="65" t="str">
        <f>IFERROR(__xludf.DUMMYFUNCTION("""COMPUTED_VALUE"""),"GUAYAS")</f>
        <v>GUAYAS</v>
      </c>
      <c r="N1566" s="65" t="str">
        <f>IFERROR(__xludf.DUMMYFUNCTION("""COMPUTED_VALUE"""),"SANTA LUCIA")</f>
        <v>SANTA LUCIA</v>
      </c>
      <c r="O1566" s="65" t="str">
        <f>IFERROR(__xludf.DUMMYFUNCTION("""COMPUTED_VALUE"""),"Elias Defaz Bernardo Ruff - frente al hospital del ministerio de salud pública, al lado del laboratorio san gregorio del doctor Saltos")</f>
        <v>Elias Defaz Bernardo Ruff - frente al hospital del ministerio de salud pública, al lado del laboratorio san gregorio del doctor Saltos</v>
      </c>
      <c r="P1566" s="65"/>
      <c r="Q1566" s="65" t="str">
        <f>IFERROR(__xludf.DUMMYFUNCTION("""COMPUTED_VALUE"""),"SERVIENTREGA")</f>
        <v>SERVIENTREGA</v>
      </c>
      <c r="R1566" s="65">
        <f>IFERROR(__xludf.DUMMYFUNCTION("""COMPUTED_VALUE"""),25.0)</f>
        <v>25</v>
      </c>
      <c r="S1566" s="65">
        <f>IFERROR(__xludf.DUMMYFUNCTION("""COMPUTED_VALUE"""),12.55)</f>
        <v>12.55</v>
      </c>
      <c r="T1566" s="65">
        <f>IFERROR(__xludf.DUMMYFUNCTION("""COMPUTED_VALUE"""),7.75)</f>
        <v>7.75</v>
      </c>
      <c r="U1566" s="65">
        <f>IFERROR(__xludf.DUMMYFUNCTION("""COMPUTED_VALUE"""),0.0)</f>
        <v>0</v>
      </c>
      <c r="V1566" s="65">
        <f>IFERROR(__xludf.DUMMYFUNCTION("""COMPUTED_VALUE"""),0.0)</f>
        <v>0</v>
      </c>
      <c r="W1566" s="65">
        <f>IFERROR(__xludf.DUMMYFUNCTION("""COMPUTED_VALUE"""),0.0)</f>
        <v>0</v>
      </c>
      <c r="X1566" s="65">
        <f>IFERROR(__xludf.DUMMYFUNCTION("""COMPUTED_VALUE"""),2.35)</f>
        <v>2.35</v>
      </c>
      <c r="Y1566" s="65">
        <f>IFERROR(__xludf.DUMMYFUNCTION("""COMPUTED_VALUE"""),4.7)</f>
        <v>4.7</v>
      </c>
      <c r="Z1566" s="65">
        <f>IFERROR(__xludf.DUMMYFUNCTION("""COMPUTED_VALUE"""),116679.0)</f>
        <v>116679</v>
      </c>
      <c r="AA1566" s="65" t="str">
        <f>IFERROR(__xludf.DUMMYFUNCTION("""COMPUTED_VALUE"""),"AMC-2738")</f>
        <v>AMC-2738</v>
      </c>
      <c r="AB1566" s="65"/>
      <c r="AC1566" s="65" t="str">
        <f>IFERROR(__xludf.DUMMYFUNCTION("""COMPUTED_VALUE"""),"ESPONJA ANTILLUVIA DE PARABRISAS")</f>
        <v>ESPONJA ANTILLUVIA DE PARABRISAS</v>
      </c>
      <c r="AD1566" s="65"/>
      <c r="AE1566" s="65">
        <f>IFERROR(__xludf.DUMMYFUNCTION("""COMPUTED_VALUE"""),2.0)</f>
        <v>2</v>
      </c>
      <c r="AF1566" s="65" t="str">
        <f>IFERROR(__xludf.DUMMYFUNCTION("""COMPUTED_VALUE"""),"CERRADO")</f>
        <v>CERRADO</v>
      </c>
      <c r="AG1566" s="65" t="str">
        <f>IFERROR(__xludf.DUMMYFUNCTION("""COMPUTED_VALUE"""),"NO")</f>
        <v>NO</v>
      </c>
      <c r="AH1566" s="65" t="str">
        <f>IFERROR(__xludf.DUMMYFUNCTION("""COMPUTED_VALUE"""),"16:27")</f>
        <v>16:27</v>
      </c>
      <c r="AI1566" s="65" t="str">
        <f>IFERROR(__xludf.DUMMYFUNCTION("""COMPUTED_VALUE"""),"23-01-2026")</f>
        <v>23-01-2026</v>
      </c>
      <c r="AJ1566" s="65"/>
      <c r="AK1566" s="65"/>
      <c r="AL1566" s="65"/>
      <c r="AM1566" s="65"/>
      <c r="AN1566" s="65" t="str">
        <f>IFERROR(__xludf.DUMMYFUNCTION("""COMPUTED_VALUE"""),"09:53")</f>
        <v>09:53</v>
      </c>
      <c r="AO1566" s="65" t="str">
        <f>IFERROR(__xludf.DUMMYFUNCTION("""COMPUTED_VALUE"""),"10-02-2026")</f>
        <v>10-02-2026</v>
      </c>
      <c r="AP1566" s="65" t="str">
        <f>IFERROR(__xludf.DUMMYFUNCTION("""COMPUTED_VALUE"""),"ENTREGA DIGITALIZADA EN CENTRO LOGISTICO")</f>
        <v>ENTREGA DIGITALIZADA EN CENTRO LOGISTICO</v>
      </c>
      <c r="AQ1566" s="65" t="str">
        <f>IFERROR(__xludf.DUMMYFUNCTION("""COMPUTED_VALUE"""),"jose lopez")</f>
        <v>jose lopez</v>
      </c>
      <c r="AR1566" s="65"/>
      <c r="AS1566" s="65"/>
      <c r="AT1566" s="65" t="str">
        <f>IFERROR(__xludf.DUMMYFUNCTION("""COMPUTED_VALUE"""),"SHOPIFY")</f>
        <v>SHOPIFY</v>
      </c>
      <c r="AU1566" s="65" t="str">
        <f>IFERROR(__xludf.DUMMYFUNCTION("""COMPUTED_VALUE"""),"IMPORTEX EC")</f>
        <v>IMPORTEX EC</v>
      </c>
      <c r="AV1566" s="65" t="str">
        <f>IFERROR(__xludf.DUMMYFUNCTION("""COMPUTED_VALUE"""),"6423358144556")</f>
        <v>6423358144556</v>
      </c>
      <c r="AW1566" s="65">
        <f>IFERROR(__xludf.DUMMYFUNCTION("""COMPUTED_VALUE"""),5373.0)</f>
        <v>5373</v>
      </c>
      <c r="AX1566" s="65"/>
      <c r="AY1566" s="65" t="str">
        <f>IFERROR(__xludf.DUMMYFUNCTION("""COMPUTED_VALUE"""),"21/01/2026")</f>
        <v>21/01/2026</v>
      </c>
      <c r="AZ1566" s="65"/>
      <c r="BA1566" s="65"/>
    </row>
    <row r="1567">
      <c r="A1567" s="65" t="str">
        <f>IFERROR(__xludf.DUMMYFUNCTION("""COMPUTED_VALUE"""),"27-03-2026")</f>
        <v>27-03-2026</v>
      </c>
      <c r="B1567" s="65">
        <f>IFERROR(__xludf.DUMMYFUNCTION("""COMPUTED_VALUE"""),4177059.0)</f>
        <v>4177059</v>
      </c>
      <c r="C1567" s="65" t="str">
        <f>IFERROR(__xludf.DUMMYFUNCTION("""COMPUTED_VALUE"""),"05:48")</f>
        <v>05:48</v>
      </c>
      <c r="D1567" s="65" t="str">
        <f>IFERROR(__xludf.DUMMYFUNCTION("""COMPUTED_VALUE"""),"17-01-2026")</f>
        <v>17-01-2026</v>
      </c>
      <c r="E1567" s="65" t="str">
        <f>IFERROR(__xludf.DUMMYFUNCTION("""COMPUTED_VALUE"""),"Misael Uquiña")</f>
        <v>Misael Uquiña</v>
      </c>
      <c r="F1567" s="65" t="str">
        <f>IFERROR(__xludf.DUMMYFUNCTION("""COMPUTED_VALUE"""),"980021039")</f>
        <v>980021039</v>
      </c>
      <c r="G1567" s="65" t="str">
        <f>IFERROR(__xludf.DUMMYFUNCTION("""COMPUTED_VALUE"""),"misaelnestor-@hotmail.com")</f>
        <v>misaelnestor-@hotmail.com</v>
      </c>
      <c r="H1567" s="65"/>
      <c r="I1567" s="65"/>
      <c r="J1567" s="65"/>
      <c r="K1567" s="65" t="str">
        <f>IFERROR(__xludf.DUMMYFUNCTION("""COMPUTED_VALUE"""),"PENDIENTE CONFIRMACION")</f>
        <v>PENDIENTE CONFIRMACION</v>
      </c>
      <c r="L1567" s="65" t="str">
        <f>IFERROR(__xludf.DUMMYFUNCTION("""COMPUTED_VALUE"""),"CON RECAUDO")</f>
        <v>CON RECAUDO</v>
      </c>
      <c r="M1567" s="65" t="str">
        <f>IFERROR(__xludf.DUMMYFUNCTION("""COMPUTED_VALUE"""),"ORELLANA")</f>
        <v>ORELLANA</v>
      </c>
      <c r="N1567" s="65" t="str">
        <f>IFERROR(__xludf.DUMMYFUNCTION("""COMPUTED_VALUE"""),"EL COCA")</f>
        <v>EL COCA</v>
      </c>
      <c r="O1567" s="65" t="str">
        <f>IFERROR(__xludf.DUMMYFUNCTION("""COMPUTED_VALUE"""),"Av 9 de octubre A tía -")</f>
        <v>Av 9 de octubre A tía -</v>
      </c>
      <c r="P1567" s="65"/>
      <c r="Q1567" s="65" t="str">
        <f>IFERROR(__xludf.DUMMYFUNCTION("""COMPUTED_VALUE"""),"GINTRACOM")</f>
        <v>GINTRACOM</v>
      </c>
      <c r="R1567" s="65">
        <f>IFERROR(__xludf.DUMMYFUNCTION("""COMPUTED_VALUE"""),25.0)</f>
        <v>25</v>
      </c>
      <c r="S1567" s="65"/>
      <c r="T1567" s="65">
        <f>IFERROR(__xludf.DUMMYFUNCTION("""COMPUTED_VALUE"""),5.96)</f>
        <v>5.96</v>
      </c>
      <c r="U1567" s="65">
        <f>IFERROR(__xludf.DUMMYFUNCTION("""COMPUTED_VALUE"""),0.0)</f>
        <v>0</v>
      </c>
      <c r="V1567" s="65">
        <f>IFERROR(__xludf.DUMMYFUNCTION("""COMPUTED_VALUE"""),0.0)</f>
        <v>0</v>
      </c>
      <c r="W1567" s="65">
        <f>IFERROR(__xludf.DUMMYFUNCTION("""COMPUTED_VALUE"""),0.0)</f>
        <v>0</v>
      </c>
      <c r="X1567" s="65">
        <f>IFERROR(__xludf.DUMMYFUNCTION("""COMPUTED_VALUE"""),2.35)</f>
        <v>2.35</v>
      </c>
      <c r="Y1567" s="65">
        <f>IFERROR(__xludf.DUMMYFUNCTION("""COMPUTED_VALUE"""),4.7)</f>
        <v>4.7</v>
      </c>
      <c r="Z1567" s="65">
        <f>IFERROR(__xludf.DUMMYFUNCTION("""COMPUTED_VALUE"""),116679.0)</f>
        <v>116679</v>
      </c>
      <c r="AA1567" s="65" t="str">
        <f>IFERROR(__xludf.DUMMYFUNCTION("""COMPUTED_VALUE"""),"AMC-2738")</f>
        <v>AMC-2738</v>
      </c>
      <c r="AB1567" s="65"/>
      <c r="AC1567" s="65" t="str">
        <f>IFERROR(__xludf.DUMMYFUNCTION("""COMPUTED_VALUE"""),"ESPONJA ANTILLUVIA DE PARABRISAS")</f>
        <v>ESPONJA ANTILLUVIA DE PARABRISAS</v>
      </c>
      <c r="AD1567" s="65"/>
      <c r="AE1567" s="65">
        <f>IFERROR(__xludf.DUMMYFUNCTION("""COMPUTED_VALUE"""),2.0)</f>
        <v>2</v>
      </c>
      <c r="AF1567" s="65"/>
      <c r="AG1567" s="65"/>
      <c r="AH1567" s="65"/>
      <c r="AI1567" s="65"/>
      <c r="AJ1567" s="65"/>
      <c r="AK1567" s="65"/>
      <c r="AL1567" s="65"/>
      <c r="AM1567" s="65"/>
      <c r="AN1567" s="65"/>
      <c r="AO1567" s="65"/>
      <c r="AP1567" s="65"/>
      <c r="AQ1567" s="65"/>
      <c r="AR1567" s="65"/>
      <c r="AS1567" s="65"/>
      <c r="AT1567" s="65" t="str">
        <f>IFERROR(__xludf.DUMMYFUNCTION("""COMPUTED_VALUE"""),"SHOPIFY")</f>
        <v>SHOPIFY</v>
      </c>
      <c r="AU1567" s="65" t="str">
        <f>IFERROR(__xludf.DUMMYFUNCTION("""COMPUTED_VALUE"""),"IMPORTEX EC")</f>
        <v>IMPORTEX EC</v>
      </c>
      <c r="AV1567" s="65" t="str">
        <f>IFERROR(__xludf.DUMMYFUNCTION("""COMPUTED_VALUE"""),"6423341236268")</f>
        <v>6423341236268</v>
      </c>
      <c r="AW1567" s="65">
        <f>IFERROR(__xludf.DUMMYFUNCTION("""COMPUTED_VALUE"""),5372.0)</f>
        <v>5372</v>
      </c>
      <c r="AX1567" s="65"/>
      <c r="AY1567" s="65"/>
      <c r="AZ1567" s="65"/>
      <c r="BA1567" s="65"/>
    </row>
    <row r="1568">
      <c r="A1568" s="65" t="str">
        <f>IFERROR(__xludf.DUMMYFUNCTION("""COMPUTED_VALUE"""),"27-03-2026")</f>
        <v>27-03-2026</v>
      </c>
      <c r="B1568" s="65">
        <f>IFERROR(__xludf.DUMMYFUNCTION("""COMPUTED_VALUE"""),4177020.0)</f>
        <v>4177020</v>
      </c>
      <c r="C1568" s="65" t="str">
        <f>IFERROR(__xludf.DUMMYFUNCTION("""COMPUTED_VALUE"""),"05:34")</f>
        <v>05:34</v>
      </c>
      <c r="D1568" s="65" t="str">
        <f>IFERROR(__xludf.DUMMYFUNCTION("""COMPUTED_VALUE"""),"17-01-2026")</f>
        <v>17-01-2026</v>
      </c>
      <c r="E1568" s="65" t="str">
        <f>IFERROR(__xludf.DUMMYFUNCTION("""COMPUTED_VALUE"""),"Vicente Goya")</f>
        <v>Vicente Goya</v>
      </c>
      <c r="F1568" s="65" t="str">
        <f>IFERROR(__xludf.DUMMYFUNCTION("""COMPUTED_VALUE"""),"959156951")</f>
        <v>959156951</v>
      </c>
      <c r="G1568" s="65" t="str">
        <f>IFERROR(__xludf.DUMMYFUNCTION("""COMPUTED_VALUE"""),"ggoya2010@gmail.com")</f>
        <v>ggoya2010@gmail.com</v>
      </c>
      <c r="H1568" s="65"/>
      <c r="I1568" s="65"/>
      <c r="J1568" s="65" t="str">
        <f>IFERROR(__xludf.DUMMYFUNCTION("""COMPUTED_VALUE"""),"186507663")</f>
        <v>186507663</v>
      </c>
      <c r="K1568" s="65" t="str">
        <f>IFERROR(__xludf.DUMMYFUNCTION("""COMPUTED_VALUE"""),"DEVOLUCION")</f>
        <v>DEVOLUCION</v>
      </c>
      <c r="L1568" s="65" t="str">
        <f>IFERROR(__xludf.DUMMYFUNCTION("""COMPUTED_VALUE"""),"CON RECAUDO")</f>
        <v>CON RECAUDO</v>
      </c>
      <c r="M1568" s="65" t="str">
        <f>IFERROR(__xludf.DUMMYFUNCTION("""COMPUTED_VALUE"""),"GUAYAS")</f>
        <v>GUAYAS</v>
      </c>
      <c r="N1568" s="65" t="str">
        <f>IFERROR(__xludf.DUMMYFUNCTION("""COMPUTED_VALUE"""),"JUJAN")</f>
        <v>JUJAN</v>
      </c>
      <c r="O1568" s="65" t="str">
        <f>IFERROR(__xludf.DUMMYFUNCTION("""COMPUTED_VALUE"""),"Km 48 vía jujan Guayaquil recinto convento villa sin pintar con puerta dorada frente al puente")</f>
        <v>Km 48 vía jujan Guayaquil recinto convento villa sin pintar con puerta dorada frente al puente</v>
      </c>
      <c r="P1568" s="65"/>
      <c r="Q1568" s="65" t="str">
        <f>IFERROR(__xludf.DUMMYFUNCTION("""COMPUTED_VALUE"""),"SERVIENTREGA")</f>
        <v>SERVIENTREGA</v>
      </c>
      <c r="R1568" s="65">
        <f>IFERROR(__xludf.DUMMYFUNCTION("""COMPUTED_VALUE"""),25.0)</f>
        <v>25</v>
      </c>
      <c r="S1568" s="65"/>
      <c r="T1568" s="65">
        <f>IFERROR(__xludf.DUMMYFUNCTION("""COMPUTED_VALUE"""),7.75)</f>
        <v>7.75</v>
      </c>
      <c r="U1568" s="65">
        <f>IFERROR(__xludf.DUMMYFUNCTION("""COMPUTED_VALUE"""),0.0)</f>
        <v>0</v>
      </c>
      <c r="V1568" s="65">
        <f>IFERROR(__xludf.DUMMYFUNCTION("""COMPUTED_VALUE"""),0.0)</f>
        <v>0</v>
      </c>
      <c r="W1568" s="65">
        <f>IFERROR(__xludf.DUMMYFUNCTION("""COMPUTED_VALUE"""),0.0)</f>
        <v>0</v>
      </c>
      <c r="X1568" s="65">
        <f>IFERROR(__xludf.DUMMYFUNCTION("""COMPUTED_VALUE"""),2.35)</f>
        <v>2.35</v>
      </c>
      <c r="Y1568" s="65">
        <f>IFERROR(__xludf.DUMMYFUNCTION("""COMPUTED_VALUE"""),4.7)</f>
        <v>4.7</v>
      </c>
      <c r="Z1568" s="65">
        <f>IFERROR(__xludf.DUMMYFUNCTION("""COMPUTED_VALUE"""),116679.0)</f>
        <v>116679</v>
      </c>
      <c r="AA1568" s="65" t="str">
        <f>IFERROR(__xludf.DUMMYFUNCTION("""COMPUTED_VALUE"""),"AMC-2738")</f>
        <v>AMC-2738</v>
      </c>
      <c r="AB1568" s="65"/>
      <c r="AC1568" s="65" t="str">
        <f>IFERROR(__xludf.DUMMYFUNCTION("""COMPUTED_VALUE"""),"ESPONJA ANTILLUVIA DE PARABRISAS")</f>
        <v>ESPONJA ANTILLUVIA DE PARABRISAS</v>
      </c>
      <c r="AD1568" s="65"/>
      <c r="AE1568" s="65">
        <f>IFERROR(__xludf.DUMMYFUNCTION("""COMPUTED_VALUE"""),2.0)</f>
        <v>2</v>
      </c>
      <c r="AF1568" s="65" t="str">
        <f>IFERROR(__xludf.DUMMYFUNCTION("""COMPUTED_VALUE"""),"DEVOLUCION AL REMITENTE")</f>
        <v>DEVOLUCION AL REMITENTE</v>
      </c>
      <c r="AG1568" s="65" t="str">
        <f>IFERROR(__xludf.DUMMYFUNCTION("""COMPUTED_VALUE"""),"SI")</f>
        <v>SI</v>
      </c>
      <c r="AH1568" s="65" t="str">
        <f>IFERROR(__xludf.DUMMYFUNCTION("""COMPUTED_VALUE"""),"23:06")</f>
        <v>23:06</v>
      </c>
      <c r="AI1568" s="65" t="str">
        <f>IFERROR(__xludf.DUMMYFUNCTION("""COMPUTED_VALUE"""),"10-02-2026")</f>
        <v>10-02-2026</v>
      </c>
      <c r="AJ1568" s="65" t="str">
        <f>IFERROR(__xludf.DUMMYFUNCTION("""COMPUTED_VALUE"""),"CLIENTE S OLICITA LA ENTREGA DE SU PEDIDO")</f>
        <v>CLIENTE S OLICITA LA ENTREGA DE SU PEDIDO</v>
      </c>
      <c r="AK1568" s="65" t="str">
        <f>IFERROR(__xludf.DUMMYFUNCTION("""COMPUTED_VALUE"""),"11:46")</f>
        <v>11:46</v>
      </c>
      <c r="AL1568" s="65" t="str">
        <f>IFERROR(__xludf.DUMMYFUNCTION("""COMPUTED_VALUE"""),"11-02-2026")</f>
        <v>11-02-2026</v>
      </c>
      <c r="AM1568" s="65"/>
      <c r="AN1568" s="65" t="str">
        <f>IFERROR(__xludf.DUMMYFUNCTION("""COMPUTED_VALUE"""),"01:03")</f>
        <v>01:03</v>
      </c>
      <c r="AO1568" s="65" t="str">
        <f>IFERROR(__xludf.DUMMYFUNCTION("""COMPUTED_VALUE"""),"13-02-2026")</f>
        <v>13-02-2026</v>
      </c>
      <c r="AP1568" s="65" t="str">
        <f>IFERROR(__xludf.DUMMYFUNCTION("""COMPUTED_VALUE"""),"Respuesta Remitente")</f>
        <v>Respuesta Remitente</v>
      </c>
      <c r="AQ1568" s="65" t="str">
        <f>IFERROR(__xludf.DUMMYFUNCTION("""COMPUTED_VALUE"""),"{}")</f>
        <v>{}</v>
      </c>
      <c r="AR1568" s="65"/>
      <c r="AS1568" s="65"/>
      <c r="AT1568" s="65" t="str">
        <f>IFERROR(__xludf.DUMMYFUNCTION("""COMPUTED_VALUE"""),"SHOPIFY")</f>
        <v>SHOPIFY</v>
      </c>
      <c r="AU1568" s="65" t="str">
        <f>IFERROR(__xludf.DUMMYFUNCTION("""COMPUTED_VALUE"""),"IMPORTEX EC")</f>
        <v>IMPORTEX EC</v>
      </c>
      <c r="AV1568" s="65" t="str">
        <f>IFERROR(__xludf.DUMMYFUNCTION("""COMPUTED_VALUE"""),"6423333765164")</f>
        <v>6423333765164</v>
      </c>
      <c r="AW1568" s="65">
        <f>IFERROR(__xludf.DUMMYFUNCTION("""COMPUTED_VALUE"""),5371.0)</f>
        <v>5371</v>
      </c>
      <c r="AX1568" s="65"/>
      <c r="AY1568" s="65" t="str">
        <f>IFERROR(__xludf.DUMMYFUNCTION("""COMPUTED_VALUE"""),"21/01/2026")</f>
        <v>21/01/2026</v>
      </c>
      <c r="AZ1568" s="65"/>
      <c r="BA1568" s="65"/>
    </row>
    <row r="1569">
      <c r="A1569" s="65" t="str">
        <f>IFERROR(__xludf.DUMMYFUNCTION("""COMPUTED_VALUE"""),"27-03-2026")</f>
        <v>27-03-2026</v>
      </c>
      <c r="B1569" s="65">
        <f>IFERROR(__xludf.DUMMYFUNCTION("""COMPUTED_VALUE"""),4176975.0)</f>
        <v>4176975</v>
      </c>
      <c r="C1569" s="65" t="str">
        <f>IFERROR(__xludf.DUMMYFUNCTION("""COMPUTED_VALUE"""),"05:15")</f>
        <v>05:15</v>
      </c>
      <c r="D1569" s="65" t="str">
        <f>IFERROR(__xludf.DUMMYFUNCTION("""COMPUTED_VALUE"""),"17-01-2026")</f>
        <v>17-01-2026</v>
      </c>
      <c r="E1569" s="65" t="str">
        <f>IFERROR(__xludf.DUMMYFUNCTION("""COMPUTED_VALUE"""),"Angel Caicedo")</f>
        <v>Angel Caicedo</v>
      </c>
      <c r="F1569" s="65" t="str">
        <f>IFERROR(__xludf.DUMMYFUNCTION("""COMPUTED_VALUE"""),"999765227")</f>
        <v>999765227</v>
      </c>
      <c r="G1569" s="65" t="str">
        <f>IFERROR(__xludf.DUMMYFUNCTION("""COMPUTED_VALUE"""),"elenacaicedo@hotmail.com")</f>
        <v>elenacaicedo@hotmail.com</v>
      </c>
      <c r="H1569" s="65"/>
      <c r="I1569" s="65"/>
      <c r="J1569" s="65" t="str">
        <f>IFERROR(__xludf.DUMMYFUNCTION("""COMPUTED_VALUE"""),"186507664")</f>
        <v>186507664</v>
      </c>
      <c r="K1569" s="65" t="str">
        <f>IFERROR(__xludf.DUMMYFUNCTION("""COMPUTED_VALUE"""),"ENTREGADO")</f>
        <v>ENTREGADO</v>
      </c>
      <c r="L1569" s="65" t="str">
        <f>IFERROR(__xludf.DUMMYFUNCTION("""COMPUTED_VALUE"""),"CON RECAUDO")</f>
        <v>CON RECAUDO</v>
      </c>
      <c r="M1569" s="65" t="str">
        <f>IFERROR(__xludf.DUMMYFUNCTION("""COMPUTED_VALUE"""),"GUAYAS")</f>
        <v>GUAYAS</v>
      </c>
      <c r="N1569" s="65" t="str">
        <f>IFERROR(__xludf.DUMMYFUNCTION("""COMPUTED_VALUE"""),"LA PUNTILLA")</f>
        <v>LA PUNTILLA</v>
      </c>
      <c r="O1569" s="65" t="str">
        <f>IFERROR(__xludf.DUMMYFUNCTION("""COMPUTED_VALUE"""),"Km 1, 5 Vía Samborondón Urb Parques Del Río Villa 74a Ave Abelardo García Arrieta -")</f>
        <v>Km 1, 5 Vía Samborondón Urb Parques Del Río Villa 74a Ave Abelardo García Arrieta -</v>
      </c>
      <c r="P1569" s="65"/>
      <c r="Q1569" s="65" t="str">
        <f>IFERROR(__xludf.DUMMYFUNCTION("""COMPUTED_VALUE"""),"SERVIENTREGA")</f>
        <v>SERVIENTREGA</v>
      </c>
      <c r="R1569" s="65">
        <f>IFERROR(__xludf.DUMMYFUNCTION("""COMPUTED_VALUE"""),30.0)</f>
        <v>30</v>
      </c>
      <c r="S1569" s="65">
        <f>IFERROR(__xludf.DUMMYFUNCTION("""COMPUTED_VALUE"""),16.57)</f>
        <v>16.57</v>
      </c>
      <c r="T1569" s="65">
        <f>IFERROR(__xludf.DUMMYFUNCTION("""COMPUTED_VALUE"""),6.38)</f>
        <v>6.38</v>
      </c>
      <c r="U1569" s="65">
        <f>IFERROR(__xludf.DUMMYFUNCTION("""COMPUTED_VALUE"""),0.0)</f>
        <v>0</v>
      </c>
      <c r="V1569" s="65">
        <f>IFERROR(__xludf.DUMMYFUNCTION("""COMPUTED_VALUE"""),0.0)</f>
        <v>0</v>
      </c>
      <c r="W1569" s="65">
        <f>IFERROR(__xludf.DUMMYFUNCTION("""COMPUTED_VALUE"""),0.0)</f>
        <v>0</v>
      </c>
      <c r="X1569" s="65">
        <f>IFERROR(__xludf.DUMMYFUNCTION("""COMPUTED_VALUE"""),2.35)</f>
        <v>2.35</v>
      </c>
      <c r="Y1569" s="65">
        <f>IFERROR(__xludf.DUMMYFUNCTION("""COMPUTED_VALUE"""),7.05)</f>
        <v>7.05</v>
      </c>
      <c r="Z1569" s="65">
        <f>IFERROR(__xludf.DUMMYFUNCTION("""COMPUTED_VALUE"""),116679.0)</f>
        <v>116679</v>
      </c>
      <c r="AA1569" s="65" t="str">
        <f>IFERROR(__xludf.DUMMYFUNCTION("""COMPUTED_VALUE"""),"AMC-2738")</f>
        <v>AMC-2738</v>
      </c>
      <c r="AB1569" s="65"/>
      <c r="AC1569" s="65" t="str">
        <f>IFERROR(__xludf.DUMMYFUNCTION("""COMPUTED_VALUE"""),"ESPONJA ANTILLUVIA DE PARABRISAS")</f>
        <v>ESPONJA ANTILLUVIA DE PARABRISAS</v>
      </c>
      <c r="AD1569" s="65"/>
      <c r="AE1569" s="65">
        <f>IFERROR(__xludf.DUMMYFUNCTION("""COMPUTED_VALUE"""),3.0)</f>
        <v>3</v>
      </c>
      <c r="AF1569" s="65"/>
      <c r="AG1569" s="65"/>
      <c r="AH1569" s="65"/>
      <c r="AI1569" s="65"/>
      <c r="AJ1569" s="65"/>
      <c r="AK1569" s="65"/>
      <c r="AL1569" s="65"/>
      <c r="AM1569" s="65"/>
      <c r="AN1569" s="65" t="str">
        <f>IFERROR(__xludf.DUMMYFUNCTION("""COMPUTED_VALUE"""),"15:09")</f>
        <v>15:09</v>
      </c>
      <c r="AO1569" s="65" t="str">
        <f>IFERROR(__xludf.DUMMYFUNCTION("""COMPUTED_VALUE"""),"23-01-2026")</f>
        <v>23-01-2026</v>
      </c>
      <c r="AP1569" s="65" t="str">
        <f>IFERROR(__xludf.DUMMYFUNCTION("""COMPUTED_VALUE"""),"REPORTADO ENTREGADO EN APP")</f>
        <v>REPORTADO ENTREGADO EN APP</v>
      </c>
      <c r="AQ1569" s="65" t="str">
        <f>IFERROR(__xludf.DUMMYFUNCTION("""COMPUTED_VALUE"""),"pagado")</f>
        <v>pagado</v>
      </c>
      <c r="AR1569" s="65"/>
      <c r="AS1569" s="65"/>
      <c r="AT1569" s="65" t="str">
        <f>IFERROR(__xludf.DUMMYFUNCTION("""COMPUTED_VALUE"""),"SHOPIFY")</f>
        <v>SHOPIFY</v>
      </c>
      <c r="AU1569" s="65" t="str">
        <f>IFERROR(__xludf.DUMMYFUNCTION("""COMPUTED_VALUE"""),"IMPORTEX EC")</f>
        <v>IMPORTEX EC</v>
      </c>
      <c r="AV1569" s="65" t="str">
        <f>IFERROR(__xludf.DUMMYFUNCTION("""COMPUTED_VALUE"""),"6423321870380")</f>
        <v>6423321870380</v>
      </c>
      <c r="AW1569" s="65">
        <f>IFERROR(__xludf.DUMMYFUNCTION("""COMPUTED_VALUE"""),5370.0)</f>
        <v>5370</v>
      </c>
      <c r="AX1569" s="65"/>
      <c r="AY1569" s="65" t="str">
        <f>IFERROR(__xludf.DUMMYFUNCTION("""COMPUTED_VALUE"""),"21/01/2026")</f>
        <v>21/01/2026</v>
      </c>
      <c r="AZ1569" s="65"/>
      <c r="BA1569" s="65"/>
    </row>
    <row r="1570">
      <c r="A1570" s="65" t="str">
        <f>IFERROR(__xludf.DUMMYFUNCTION("""COMPUTED_VALUE"""),"27-03-2026")</f>
        <v>27-03-2026</v>
      </c>
      <c r="B1570" s="65">
        <f>IFERROR(__xludf.DUMMYFUNCTION("""COMPUTED_VALUE"""),4176964.0)</f>
        <v>4176964</v>
      </c>
      <c r="C1570" s="65" t="str">
        <f>IFERROR(__xludf.DUMMYFUNCTION("""COMPUTED_VALUE"""),"05:09")</f>
        <v>05:09</v>
      </c>
      <c r="D1570" s="65" t="str">
        <f>IFERROR(__xludf.DUMMYFUNCTION("""COMPUTED_VALUE"""),"17-01-2026")</f>
        <v>17-01-2026</v>
      </c>
      <c r="E1570" s="65" t="str">
        <f>IFERROR(__xludf.DUMMYFUNCTION("""COMPUTED_VALUE"""),"Lenin Montesdeoca")</f>
        <v>Lenin Montesdeoca</v>
      </c>
      <c r="F1570" s="65" t="str">
        <f>IFERROR(__xludf.DUMMYFUNCTION("""COMPUTED_VALUE"""),"997467245")</f>
        <v>997467245</v>
      </c>
      <c r="G1570" s="65" t="str">
        <f>IFERROR(__xludf.DUMMYFUNCTION("""COMPUTED_VALUE"""),"lenin_lmms@hotmail.com")</f>
        <v>lenin_lmms@hotmail.com</v>
      </c>
      <c r="H1570" s="65"/>
      <c r="I1570" s="65"/>
      <c r="J1570" s="65" t="str">
        <f>IFERROR(__xludf.DUMMYFUNCTION("""COMPUTED_VALUE"""),"D001247748")</f>
        <v>D001247748</v>
      </c>
      <c r="K1570" s="65" t="str">
        <f>IFERROR(__xludf.DUMMYFUNCTION("""COMPUTED_VALUE"""),"DEVOLUCION")</f>
        <v>DEVOLUCION</v>
      </c>
      <c r="L1570" s="65" t="str">
        <f>IFERROR(__xludf.DUMMYFUNCTION("""COMPUTED_VALUE"""),"CON RECAUDO")</f>
        <v>CON RECAUDO</v>
      </c>
      <c r="M1570" s="65" t="str">
        <f>IFERROR(__xludf.DUMMYFUNCTION("""COMPUTED_VALUE"""),"EL ORO")</f>
        <v>EL ORO</v>
      </c>
      <c r="N1570" s="65" t="str">
        <f>IFERROR(__xludf.DUMMYFUNCTION("""COMPUTED_VALUE"""),"MACHALA")</f>
        <v>MACHALA</v>
      </c>
      <c r="O1570" s="65" t="str">
        <f>IFERROR(__xludf.DUMMYFUNCTION("""COMPUTED_VALUE"""),"Urbanizacion celessia Las crucitas -")</f>
        <v>Urbanizacion celessia Las crucitas -</v>
      </c>
      <c r="P1570" s="65"/>
      <c r="Q1570" s="65" t="str">
        <f>IFERROR(__xludf.DUMMYFUNCTION("""COMPUTED_VALUE"""),"GINTRACOM")</f>
        <v>GINTRACOM</v>
      </c>
      <c r="R1570" s="65">
        <f>IFERROR(__xludf.DUMMYFUNCTION("""COMPUTED_VALUE"""),30.0)</f>
        <v>30</v>
      </c>
      <c r="S1570" s="65"/>
      <c r="T1570" s="65">
        <f>IFERROR(__xludf.DUMMYFUNCTION("""COMPUTED_VALUE"""),6.16)</f>
        <v>6.16</v>
      </c>
      <c r="U1570" s="65">
        <f>IFERROR(__xludf.DUMMYFUNCTION("""COMPUTED_VALUE"""),0.0)</f>
        <v>0</v>
      </c>
      <c r="V1570" s="65">
        <f>IFERROR(__xludf.DUMMYFUNCTION("""COMPUTED_VALUE"""),0.0)</f>
        <v>0</v>
      </c>
      <c r="W1570" s="65">
        <f>IFERROR(__xludf.DUMMYFUNCTION("""COMPUTED_VALUE"""),0.0)</f>
        <v>0</v>
      </c>
      <c r="X1570" s="65">
        <f>IFERROR(__xludf.DUMMYFUNCTION("""COMPUTED_VALUE"""),2.35)</f>
        <v>2.35</v>
      </c>
      <c r="Y1570" s="65">
        <f>IFERROR(__xludf.DUMMYFUNCTION("""COMPUTED_VALUE"""),7.05)</f>
        <v>7.05</v>
      </c>
      <c r="Z1570" s="65">
        <f>IFERROR(__xludf.DUMMYFUNCTION("""COMPUTED_VALUE"""),116679.0)</f>
        <v>116679</v>
      </c>
      <c r="AA1570" s="65" t="str">
        <f>IFERROR(__xludf.DUMMYFUNCTION("""COMPUTED_VALUE"""),"AMC-2738")</f>
        <v>AMC-2738</v>
      </c>
      <c r="AB1570" s="65"/>
      <c r="AC1570" s="65" t="str">
        <f>IFERROR(__xludf.DUMMYFUNCTION("""COMPUTED_VALUE"""),"ESPONJA ANTILLUVIA DE PARABRISAS")</f>
        <v>ESPONJA ANTILLUVIA DE PARABRISAS</v>
      </c>
      <c r="AD1570" s="65"/>
      <c r="AE1570" s="65">
        <f>IFERROR(__xludf.DUMMYFUNCTION("""COMPUTED_VALUE"""),3.0)</f>
        <v>3</v>
      </c>
      <c r="AF1570" s="65" t="str">
        <f>IFERROR(__xludf.DUMMYFUNCTION("""COMPUTED_VALUE"""),"DESTINATARIO NO CONTESTA LLAMADAS NI WHATSAPP")</f>
        <v>DESTINATARIO NO CONTESTA LLAMADAS NI WHATSAPP</v>
      </c>
      <c r="AG1570" s="65" t="str">
        <f>IFERROR(__xludf.DUMMYFUNCTION("""COMPUTED_VALUE"""),"NO")</f>
        <v>NO</v>
      </c>
      <c r="AH1570" s="65" t="str">
        <f>IFERROR(__xludf.DUMMYFUNCTION("""COMPUTED_VALUE"""),"09:00")</f>
        <v>09:00</v>
      </c>
      <c r="AI1570" s="65" t="str">
        <f>IFERROR(__xludf.DUMMYFUNCTION("""COMPUTED_VALUE"""),"01-02-2026")</f>
        <v>01-02-2026</v>
      </c>
      <c r="AJ1570" s="65"/>
      <c r="AK1570" s="65"/>
      <c r="AL1570" s="65"/>
      <c r="AM1570" s="65"/>
      <c r="AN1570" s="65" t="str">
        <f>IFERROR(__xludf.DUMMYFUNCTION("""COMPUTED_VALUE"""),"13:18")</f>
        <v>13:18</v>
      </c>
      <c r="AO1570" s="65" t="str">
        <f>IFERROR(__xludf.DUMMYFUNCTION("""COMPUTED_VALUE"""),"17-02-2026")</f>
        <v>17-02-2026</v>
      </c>
      <c r="AP1570" s="65" t="str">
        <f>IFERROR(__xludf.DUMMYFUNCTION("""COMPUTED_VALUE"""),"DEVOLUCIÓN ENTREGADA A ORIGEN")</f>
        <v>DEVOLUCIÓN ENTREGADA A ORIGEN</v>
      </c>
      <c r="AQ1570" s="65" t="str">
        <f>IFERROR(__xludf.DUMMYFUNCTION("""COMPUTED_VALUE"""),"DEVOLUCIÓN ENTREGADA A ORIGEN")</f>
        <v>DEVOLUCIÓN ENTREGADA A ORIGEN</v>
      </c>
      <c r="AR1570" s="65"/>
      <c r="AS1570" s="65"/>
      <c r="AT1570" s="65" t="str">
        <f>IFERROR(__xludf.DUMMYFUNCTION("""COMPUTED_VALUE"""),"SHOPIFY")</f>
        <v>SHOPIFY</v>
      </c>
      <c r="AU1570" s="65" t="str">
        <f>IFERROR(__xludf.DUMMYFUNCTION("""COMPUTED_VALUE"""),"IMPORTEX EC")</f>
        <v>IMPORTEX EC</v>
      </c>
      <c r="AV1570" s="65" t="str">
        <f>IFERROR(__xludf.DUMMYFUNCTION("""COMPUTED_VALUE"""),"6423318986796")</f>
        <v>6423318986796</v>
      </c>
      <c r="AW1570" s="65">
        <f>IFERROR(__xludf.DUMMYFUNCTION("""COMPUTED_VALUE"""),5369.0)</f>
        <v>5369</v>
      </c>
      <c r="AX1570" s="65"/>
      <c r="AY1570" s="65" t="str">
        <f>IFERROR(__xludf.DUMMYFUNCTION("""COMPUTED_VALUE"""),"21/01/2026")</f>
        <v>21/01/2026</v>
      </c>
      <c r="AZ1570" s="65"/>
      <c r="BA1570" s="65"/>
    </row>
    <row r="1571">
      <c r="A1571" s="65" t="str">
        <f>IFERROR(__xludf.DUMMYFUNCTION("""COMPUTED_VALUE"""),"27-03-2026")</f>
        <v>27-03-2026</v>
      </c>
      <c r="B1571" s="65">
        <f>IFERROR(__xludf.DUMMYFUNCTION("""COMPUTED_VALUE"""),4176961.0)</f>
        <v>4176961</v>
      </c>
      <c r="C1571" s="65" t="str">
        <f>IFERROR(__xludf.DUMMYFUNCTION("""COMPUTED_VALUE"""),"05:08")</f>
        <v>05:08</v>
      </c>
      <c r="D1571" s="65" t="str">
        <f>IFERROR(__xludf.DUMMYFUNCTION("""COMPUTED_VALUE"""),"17-01-2026")</f>
        <v>17-01-2026</v>
      </c>
      <c r="E1571" s="65" t="str">
        <f>IFERROR(__xludf.DUMMYFUNCTION("""COMPUTED_VALUE"""),"Gabriel Quinchiguango")</f>
        <v>Gabriel Quinchiguango</v>
      </c>
      <c r="F1571" s="65" t="str">
        <f>IFERROR(__xludf.DUMMYFUNCTION("""COMPUTED_VALUE"""),"981975140")</f>
        <v>981975140</v>
      </c>
      <c r="G1571" s="65" t="str">
        <f>IFERROR(__xludf.DUMMYFUNCTION("""COMPUTED_VALUE"""),"gabrielquinchiguango96@gmail.com")</f>
        <v>gabrielquinchiguango96@gmail.com</v>
      </c>
      <c r="H1571" s="65"/>
      <c r="I1571" s="65"/>
      <c r="J1571" s="65" t="str">
        <f>IFERROR(__xludf.DUMMYFUNCTION("""COMPUTED_VALUE"""),"D001247749")</f>
        <v>D001247749</v>
      </c>
      <c r="K1571" s="65" t="str">
        <f>IFERROR(__xludf.DUMMYFUNCTION("""COMPUTED_VALUE"""),"DEVOLUCION")</f>
        <v>DEVOLUCION</v>
      </c>
      <c r="L1571" s="65" t="str">
        <f>IFERROR(__xludf.DUMMYFUNCTION("""COMPUTED_VALUE"""),"CON RECAUDO")</f>
        <v>CON RECAUDO</v>
      </c>
      <c r="M1571" s="65" t="str">
        <f>IFERROR(__xludf.DUMMYFUNCTION("""COMPUTED_VALUE"""),"IMBABURA")</f>
        <v>IMBABURA</v>
      </c>
      <c r="N1571" s="65" t="str">
        <f>IFERROR(__xludf.DUMMYFUNCTION("""COMPUTED_VALUE"""),"SAN ROQUE")</f>
        <v>SAN ROQUE</v>
      </c>
      <c r="O1571" s="65" t="str">
        <f>IFERROR(__xludf.DUMMYFUNCTION("""COMPUTED_VALUE"""),"Entrada A Agualongo De Paredes Y entrada al estadio sector el -")</f>
        <v>Entrada A Agualongo De Paredes Y entrada al estadio sector el -</v>
      </c>
      <c r="P1571" s="65"/>
      <c r="Q1571" s="65" t="str">
        <f>IFERROR(__xludf.DUMMYFUNCTION("""COMPUTED_VALUE"""),"GINTRACOM")</f>
        <v>GINTRACOM</v>
      </c>
      <c r="R1571" s="65">
        <f>IFERROR(__xludf.DUMMYFUNCTION("""COMPUTED_VALUE"""),25.0)</f>
        <v>25</v>
      </c>
      <c r="S1571" s="65"/>
      <c r="T1571" s="65">
        <f>IFERROR(__xludf.DUMMYFUNCTION("""COMPUTED_VALUE"""),6.53)</f>
        <v>6.53</v>
      </c>
      <c r="U1571" s="65">
        <f>IFERROR(__xludf.DUMMYFUNCTION("""COMPUTED_VALUE"""),0.0)</f>
        <v>0</v>
      </c>
      <c r="V1571" s="65">
        <f>IFERROR(__xludf.DUMMYFUNCTION("""COMPUTED_VALUE"""),0.0)</f>
        <v>0</v>
      </c>
      <c r="W1571" s="65">
        <f>IFERROR(__xludf.DUMMYFUNCTION("""COMPUTED_VALUE"""),0.0)</f>
        <v>0</v>
      </c>
      <c r="X1571" s="65">
        <f>IFERROR(__xludf.DUMMYFUNCTION("""COMPUTED_VALUE"""),2.35)</f>
        <v>2.35</v>
      </c>
      <c r="Y1571" s="65">
        <f>IFERROR(__xludf.DUMMYFUNCTION("""COMPUTED_VALUE"""),4.7)</f>
        <v>4.7</v>
      </c>
      <c r="Z1571" s="65">
        <f>IFERROR(__xludf.DUMMYFUNCTION("""COMPUTED_VALUE"""),116679.0)</f>
        <v>116679</v>
      </c>
      <c r="AA1571" s="65" t="str">
        <f>IFERROR(__xludf.DUMMYFUNCTION("""COMPUTED_VALUE"""),"AMC-2738")</f>
        <v>AMC-2738</v>
      </c>
      <c r="AB1571" s="65"/>
      <c r="AC1571" s="65" t="str">
        <f>IFERROR(__xludf.DUMMYFUNCTION("""COMPUTED_VALUE"""),"ESPONJA ANTILLUVIA DE PARABRISAS")</f>
        <v>ESPONJA ANTILLUVIA DE PARABRISAS</v>
      </c>
      <c r="AD1571" s="65"/>
      <c r="AE1571" s="65">
        <f>IFERROR(__xludf.DUMMYFUNCTION("""COMPUTED_VALUE"""),2.0)</f>
        <v>2</v>
      </c>
      <c r="AF1571" s="65" t="str">
        <f>IFERROR(__xludf.DUMMYFUNCTION("""COMPUTED_VALUE"""),"DESTINATARIO NO CONTESTA LLAMADAS NI WHATSAPP")</f>
        <v>DESTINATARIO NO CONTESTA LLAMADAS NI WHATSAPP</v>
      </c>
      <c r="AG1571" s="65" t="str">
        <f>IFERROR(__xludf.DUMMYFUNCTION("""COMPUTED_VALUE"""),"NO")</f>
        <v>NO</v>
      </c>
      <c r="AH1571" s="65" t="str">
        <f>IFERROR(__xludf.DUMMYFUNCTION("""COMPUTED_VALUE"""),"09:00")</f>
        <v>09:00</v>
      </c>
      <c r="AI1571" s="65" t="str">
        <f>IFERROR(__xludf.DUMMYFUNCTION("""COMPUTED_VALUE"""),"01-02-2026")</f>
        <v>01-02-2026</v>
      </c>
      <c r="AJ1571" s="65"/>
      <c r="AK1571" s="65"/>
      <c r="AL1571" s="65"/>
      <c r="AM1571" s="65"/>
      <c r="AN1571" s="65" t="str">
        <f>IFERROR(__xludf.DUMMYFUNCTION("""COMPUTED_VALUE"""),"16:27")</f>
        <v>16:27</v>
      </c>
      <c r="AO1571" s="65" t="str">
        <f>IFERROR(__xludf.DUMMYFUNCTION("""COMPUTED_VALUE"""),"10-02-2026")</f>
        <v>10-02-2026</v>
      </c>
      <c r="AP1571" s="65" t="str">
        <f>IFERROR(__xludf.DUMMYFUNCTION("""COMPUTED_VALUE"""),"DEVOLUCIÓN ENTREGADA A ORIGEN")</f>
        <v>DEVOLUCIÓN ENTREGADA A ORIGEN</v>
      </c>
      <c r="AQ1571" s="65" t="str">
        <f>IFERROR(__xludf.DUMMYFUNCTION("""COMPUTED_VALUE"""),"DEVOLUCIÓN ENTREGADA A ORIGEN")</f>
        <v>DEVOLUCIÓN ENTREGADA A ORIGEN</v>
      </c>
      <c r="AR1571" s="65"/>
      <c r="AS1571" s="65"/>
      <c r="AT1571" s="65" t="str">
        <f>IFERROR(__xludf.DUMMYFUNCTION("""COMPUTED_VALUE"""),"SHOPIFY")</f>
        <v>SHOPIFY</v>
      </c>
      <c r="AU1571" s="65" t="str">
        <f>IFERROR(__xludf.DUMMYFUNCTION("""COMPUTED_VALUE"""),"IMPORTEX EC")</f>
        <v>IMPORTEX EC</v>
      </c>
      <c r="AV1571" s="65" t="str">
        <f>IFERROR(__xludf.DUMMYFUNCTION("""COMPUTED_VALUE"""),"6423317938220")</f>
        <v>6423317938220</v>
      </c>
      <c r="AW1571" s="65">
        <f>IFERROR(__xludf.DUMMYFUNCTION("""COMPUTED_VALUE"""),5368.0)</f>
        <v>5368</v>
      </c>
      <c r="AX1571" s="65"/>
      <c r="AY1571" s="65" t="str">
        <f>IFERROR(__xludf.DUMMYFUNCTION("""COMPUTED_VALUE"""),"21/01/2026")</f>
        <v>21/01/2026</v>
      </c>
      <c r="AZ1571" s="65"/>
      <c r="BA1571" s="65"/>
    </row>
    <row r="1572">
      <c r="A1572" s="65" t="str">
        <f>IFERROR(__xludf.DUMMYFUNCTION("""COMPUTED_VALUE"""),"27-03-2026")</f>
        <v>27-03-2026</v>
      </c>
      <c r="B1572" s="65">
        <f>IFERROR(__xludf.DUMMYFUNCTION("""COMPUTED_VALUE"""),4176880.0)</f>
        <v>4176880</v>
      </c>
      <c r="C1572" s="65" t="str">
        <f>IFERROR(__xludf.DUMMYFUNCTION("""COMPUTED_VALUE"""),"04:20")</f>
        <v>04:20</v>
      </c>
      <c r="D1572" s="65" t="str">
        <f>IFERROR(__xludf.DUMMYFUNCTION("""COMPUTED_VALUE"""),"17-01-2026")</f>
        <v>17-01-2026</v>
      </c>
      <c r="E1572" s="65" t="str">
        <f>IFERROR(__xludf.DUMMYFUNCTION("""COMPUTED_VALUE"""),"Walter Siza")</f>
        <v>Walter Siza</v>
      </c>
      <c r="F1572" s="65" t="str">
        <f>IFERROR(__xludf.DUMMYFUNCTION("""COMPUTED_VALUE"""),"998397116")</f>
        <v>998397116</v>
      </c>
      <c r="G1572" s="65" t="str">
        <f>IFERROR(__xludf.DUMMYFUNCTION("""COMPUTED_VALUE"""),"walterinsiza@hotmail.com")</f>
        <v>walterinsiza@hotmail.com</v>
      </c>
      <c r="H1572" s="65"/>
      <c r="I1572" s="65"/>
      <c r="J1572" s="65" t="str">
        <f>IFERROR(__xludf.DUMMYFUNCTION("""COMPUTED_VALUE"""),"D001244017")</f>
        <v>D001244017</v>
      </c>
      <c r="K1572" s="65" t="str">
        <f>IFERROR(__xludf.DUMMYFUNCTION("""COMPUTED_VALUE"""),"ENTREGADO")</f>
        <v>ENTREGADO</v>
      </c>
      <c r="L1572" s="65" t="str">
        <f>IFERROR(__xludf.DUMMYFUNCTION("""COMPUTED_VALUE"""),"CON RECAUDO")</f>
        <v>CON RECAUDO</v>
      </c>
      <c r="M1572" s="65" t="str">
        <f>IFERROR(__xludf.DUMMYFUNCTION("""COMPUTED_VALUE"""),"PICHINCHA")</f>
        <v>PICHINCHA</v>
      </c>
      <c r="N1572" s="65" t="str">
        <f>IFERROR(__xludf.DUMMYFUNCTION("""COMPUTED_VALUE"""),"QUITO")</f>
        <v>QUITO</v>
      </c>
      <c r="O1572" s="65" t="str">
        <f>IFERROR(__xludf.DUMMYFUNCTION("""COMPUTED_VALUE"""),"-alemania y eloy alfaro. Edf centro t Alemania 3 piso La carolina -")</f>
        <v>-alemania y eloy alfaro. Edf centro t Alemania 3 piso La carolina -</v>
      </c>
      <c r="P1572" s="65"/>
      <c r="Q1572" s="65" t="str">
        <f>IFERROR(__xludf.DUMMYFUNCTION("""COMPUTED_VALUE"""),"GINTRACOM")</f>
        <v>GINTRACOM</v>
      </c>
      <c r="R1572" s="65">
        <f>IFERROR(__xludf.DUMMYFUNCTION("""COMPUTED_VALUE"""),30.0)</f>
        <v>30</v>
      </c>
      <c r="S1572" s="65">
        <f>IFERROR(__xludf.DUMMYFUNCTION("""COMPUTED_VALUE"""),18.4)</f>
        <v>18.4</v>
      </c>
      <c r="T1572" s="65">
        <f>IFERROR(__xludf.DUMMYFUNCTION("""COMPUTED_VALUE"""),4.55)</f>
        <v>4.55</v>
      </c>
      <c r="U1572" s="65">
        <f>IFERROR(__xludf.DUMMYFUNCTION("""COMPUTED_VALUE"""),0.0)</f>
        <v>0</v>
      </c>
      <c r="V1572" s="65">
        <f>IFERROR(__xludf.DUMMYFUNCTION("""COMPUTED_VALUE"""),0.0)</f>
        <v>0</v>
      </c>
      <c r="W1572" s="65">
        <f>IFERROR(__xludf.DUMMYFUNCTION("""COMPUTED_VALUE"""),0.0)</f>
        <v>0</v>
      </c>
      <c r="X1572" s="65">
        <f>IFERROR(__xludf.DUMMYFUNCTION("""COMPUTED_VALUE"""),2.35)</f>
        <v>2.35</v>
      </c>
      <c r="Y1572" s="65">
        <f>IFERROR(__xludf.DUMMYFUNCTION("""COMPUTED_VALUE"""),7.05)</f>
        <v>7.05</v>
      </c>
      <c r="Z1572" s="65">
        <f>IFERROR(__xludf.DUMMYFUNCTION("""COMPUTED_VALUE"""),116679.0)</f>
        <v>116679</v>
      </c>
      <c r="AA1572" s="65" t="str">
        <f>IFERROR(__xludf.DUMMYFUNCTION("""COMPUTED_VALUE"""),"AMC-2738")</f>
        <v>AMC-2738</v>
      </c>
      <c r="AB1572" s="65"/>
      <c r="AC1572" s="65" t="str">
        <f>IFERROR(__xludf.DUMMYFUNCTION("""COMPUTED_VALUE"""),"ESPONJA ANTILLUVIA DE PARABRISAS")</f>
        <v>ESPONJA ANTILLUVIA DE PARABRISAS</v>
      </c>
      <c r="AD1572" s="65"/>
      <c r="AE1572" s="65">
        <f>IFERROR(__xludf.DUMMYFUNCTION("""COMPUTED_VALUE"""),3.0)</f>
        <v>3</v>
      </c>
      <c r="AF1572" s="65" t="str">
        <f>IFERROR(__xludf.DUMMYFUNCTION("""COMPUTED_VALUE"""),"DESTINATARIO INDICA QUE DESEA MAS INFORMACIÓN DEL PRODUCTO PARA RECIBIRLO")</f>
        <v>DESTINATARIO INDICA QUE DESEA MAS INFORMACIÓN DEL PRODUCTO PARA RECIBIRLO</v>
      </c>
      <c r="AG1572" s="65" t="str">
        <f>IFERROR(__xludf.DUMMYFUNCTION("""COMPUTED_VALUE"""),"SI")</f>
        <v>SI</v>
      </c>
      <c r="AH1572" s="65" t="str">
        <f>IFERROR(__xludf.DUMMYFUNCTION("""COMPUTED_VALUE"""),"17:47")</f>
        <v>17:47</v>
      </c>
      <c r="AI1572" s="65" t="str">
        <f>IFERROR(__xludf.DUMMYFUNCTION("""COMPUTED_VALUE"""),"21-01-2026")</f>
        <v>21-01-2026</v>
      </c>
      <c r="AJ1572" s="65"/>
      <c r="AK1572" s="65"/>
      <c r="AL1572" s="65"/>
      <c r="AM1572" s="65"/>
      <c r="AN1572" s="65" t="str">
        <f>IFERROR(__xludf.DUMMYFUNCTION("""COMPUTED_VALUE"""),"19:44")</f>
        <v>19:44</v>
      </c>
      <c r="AO1572" s="65" t="str">
        <f>IFERROR(__xludf.DUMMYFUNCTION("""COMPUTED_VALUE"""),"22-01-2026")</f>
        <v>22-01-2026</v>
      </c>
      <c r="AP1572" s="65" t="str">
        <f>IFERROR(__xludf.DUMMYFUNCTION("""COMPUTED_VALUE"""),"ENTREGADA GINTRACOM")</f>
        <v>ENTREGADA GINTRACOM</v>
      </c>
      <c r="AQ1572" s="65" t="str">
        <f>IFERROR(__xludf.DUMMYFUNCTION("""COMPUTED_VALUE"""),"ENTREGADA GINTRACOM")</f>
        <v>ENTREGADA GINTRACOM</v>
      </c>
      <c r="AR1572" s="65"/>
      <c r="AS1572" s="65"/>
      <c r="AT1572" s="65" t="str">
        <f>IFERROR(__xludf.DUMMYFUNCTION("""COMPUTED_VALUE"""),"SHOPIFY")</f>
        <v>SHOPIFY</v>
      </c>
      <c r="AU1572" s="65" t="str">
        <f>IFERROR(__xludf.DUMMYFUNCTION("""COMPUTED_VALUE"""),"IMPORTEX EC")</f>
        <v>IMPORTEX EC</v>
      </c>
      <c r="AV1572" s="65" t="str">
        <f>IFERROR(__xludf.DUMMYFUNCTION("""COMPUTED_VALUE"""),"6423291658284")</f>
        <v>6423291658284</v>
      </c>
      <c r="AW1572" s="65">
        <f>IFERROR(__xludf.DUMMYFUNCTION("""COMPUTED_VALUE"""),5367.0)</f>
        <v>5367</v>
      </c>
      <c r="AX1572" s="65"/>
      <c r="AY1572" s="65" t="str">
        <f>IFERROR(__xludf.DUMMYFUNCTION("""COMPUTED_VALUE"""),"20/01/2026")</f>
        <v>20/01/2026</v>
      </c>
      <c r="AZ1572" s="65"/>
      <c r="BA1572" s="65"/>
    </row>
    <row r="1573">
      <c r="A1573" s="65" t="str">
        <f>IFERROR(__xludf.DUMMYFUNCTION("""COMPUTED_VALUE"""),"27-03-2026")</f>
        <v>27-03-2026</v>
      </c>
      <c r="B1573" s="65">
        <f>IFERROR(__xludf.DUMMYFUNCTION("""COMPUTED_VALUE"""),4176664.0)</f>
        <v>4176664</v>
      </c>
      <c r="C1573" s="65" t="str">
        <f>IFERROR(__xludf.DUMMYFUNCTION("""COMPUTED_VALUE"""),"01:50")</f>
        <v>01:50</v>
      </c>
      <c r="D1573" s="65" t="str">
        <f>IFERROR(__xludf.DUMMYFUNCTION("""COMPUTED_VALUE"""),"17-01-2026")</f>
        <v>17-01-2026</v>
      </c>
      <c r="E1573" s="65" t="str">
        <f>IFERROR(__xludf.DUMMYFUNCTION("""COMPUTED_VALUE"""),"MERCY Elizabeth AILLA CHACHA")</f>
        <v>MERCY Elizabeth AILLA CHACHA</v>
      </c>
      <c r="F1573" s="65" t="str">
        <f>IFERROR(__xludf.DUMMYFUNCTION("""COMPUTED_VALUE"""),"996559464")</f>
        <v>996559464</v>
      </c>
      <c r="G1573" s="65" t="str">
        <f>IFERROR(__xludf.DUMMYFUNCTION("""COMPUTED_VALUE"""),"mercyailla1@gmail.com")</f>
        <v>mercyailla1@gmail.com</v>
      </c>
      <c r="H1573" s="65"/>
      <c r="I1573" s="65"/>
      <c r="J1573" s="65" t="str">
        <f>IFERROR(__xludf.DUMMYFUNCTION("""COMPUTED_VALUE"""),"D001244018")</f>
        <v>D001244018</v>
      </c>
      <c r="K1573" s="65" t="str">
        <f>IFERROR(__xludf.DUMMYFUNCTION("""COMPUTED_VALUE"""),"DEVOLUCION")</f>
        <v>DEVOLUCION</v>
      </c>
      <c r="L1573" s="65" t="str">
        <f>IFERROR(__xludf.DUMMYFUNCTION("""COMPUTED_VALUE"""),"CON RECAUDO")</f>
        <v>CON RECAUDO</v>
      </c>
      <c r="M1573" s="65" t="str">
        <f>IFERROR(__xludf.DUMMYFUNCTION("""COMPUTED_VALUE"""),"SUCUMBIOS")</f>
        <v>SUCUMBIOS</v>
      </c>
      <c r="N1573" s="65" t="str">
        <f>IFERROR(__xludf.DUMMYFUNCTION("""COMPUTED_VALUE"""),"SHUSHUFINDI")</f>
        <v>SHUSHUFINDI</v>
      </c>
      <c r="O1573" s="65" t="str">
        <f>IFERROR(__xludf.DUMMYFUNCTION("""COMPUTED_VALUE"""),"Vía río Doch pozo 43 y Río Doch, Calle principal Río Doch, frente de Dissensa, una casa color celeste de madera, abajo hay un tipo bar color negro.")</f>
        <v>Vía río Doch pozo 43 y Río Doch, Calle principal Río Doch, frente de Dissensa, una casa color celeste de madera, abajo hay un tipo bar color negro.</v>
      </c>
      <c r="P1573" s="65"/>
      <c r="Q1573" s="65" t="str">
        <f>IFERROR(__xludf.DUMMYFUNCTION("""COMPUTED_VALUE"""),"GINTRACOM")</f>
        <v>GINTRACOM</v>
      </c>
      <c r="R1573" s="65">
        <f>IFERROR(__xludf.DUMMYFUNCTION("""COMPUTED_VALUE"""),20.0)</f>
        <v>20</v>
      </c>
      <c r="S1573" s="65"/>
      <c r="T1573" s="65">
        <f>IFERROR(__xludf.DUMMYFUNCTION("""COMPUTED_VALUE"""),5.76)</f>
        <v>5.76</v>
      </c>
      <c r="U1573" s="65">
        <f>IFERROR(__xludf.DUMMYFUNCTION("""COMPUTED_VALUE"""),0.0)</f>
        <v>0</v>
      </c>
      <c r="V1573" s="65">
        <f>IFERROR(__xludf.DUMMYFUNCTION("""COMPUTED_VALUE"""),0.0)</f>
        <v>0</v>
      </c>
      <c r="W1573" s="65">
        <f>IFERROR(__xludf.DUMMYFUNCTION("""COMPUTED_VALUE"""),0.0)</f>
        <v>0</v>
      </c>
      <c r="X1573" s="65">
        <f>IFERROR(__xludf.DUMMYFUNCTION("""COMPUTED_VALUE"""),2.35)</f>
        <v>2.35</v>
      </c>
      <c r="Y1573" s="65">
        <f>IFERROR(__xludf.DUMMYFUNCTION("""COMPUTED_VALUE"""),2.35)</f>
        <v>2.35</v>
      </c>
      <c r="Z1573" s="65">
        <f>IFERROR(__xludf.DUMMYFUNCTION("""COMPUTED_VALUE"""),116679.0)</f>
        <v>116679</v>
      </c>
      <c r="AA1573" s="65" t="str">
        <f>IFERROR(__xludf.DUMMYFUNCTION("""COMPUTED_VALUE"""),"AMC-2738")</f>
        <v>AMC-2738</v>
      </c>
      <c r="AB1573" s="65"/>
      <c r="AC1573" s="65" t="str">
        <f>IFERROR(__xludf.DUMMYFUNCTION("""COMPUTED_VALUE"""),"ESPONJA ANTILLUVIA DE PARABRISAS")</f>
        <v>ESPONJA ANTILLUVIA DE PARABRISAS</v>
      </c>
      <c r="AD1573" s="65"/>
      <c r="AE1573" s="65">
        <f>IFERROR(__xludf.DUMMYFUNCTION("""COMPUTED_VALUE"""),1.0)</f>
        <v>1</v>
      </c>
      <c r="AF1573" s="65" t="str">
        <f>IFERROR(__xludf.DUMMYFUNCTION("""COMPUTED_VALUE"""),"DESTINATARIO NO CONTESTA LLAMADAS NI WHATSAPP")</f>
        <v>DESTINATARIO NO CONTESTA LLAMADAS NI WHATSAPP</v>
      </c>
      <c r="AG1573" s="65" t="str">
        <f>IFERROR(__xludf.DUMMYFUNCTION("""COMPUTED_VALUE"""),"NO")</f>
        <v>NO</v>
      </c>
      <c r="AH1573" s="65" t="str">
        <f>IFERROR(__xludf.DUMMYFUNCTION("""COMPUTED_VALUE"""),"09:00")</f>
        <v>09:00</v>
      </c>
      <c r="AI1573" s="65" t="str">
        <f>IFERROR(__xludf.DUMMYFUNCTION("""COMPUTED_VALUE"""),"31-01-2026")</f>
        <v>31-01-2026</v>
      </c>
      <c r="AJ1573" s="65"/>
      <c r="AK1573" s="65"/>
      <c r="AL1573" s="65"/>
      <c r="AM1573" s="65"/>
      <c r="AN1573" s="65" t="str">
        <f>IFERROR(__xludf.DUMMYFUNCTION("""COMPUTED_VALUE"""),"08:59")</f>
        <v>08:59</v>
      </c>
      <c r="AO1573" s="65" t="str">
        <f>IFERROR(__xludf.DUMMYFUNCTION("""COMPUTED_VALUE"""),"09-02-2026")</f>
        <v>09-02-2026</v>
      </c>
      <c r="AP1573" s="65" t="str">
        <f>IFERROR(__xludf.DUMMYFUNCTION("""COMPUTED_VALUE"""),"DEVOLUCIÓN ENTREGADA A ORIGEN")</f>
        <v>DEVOLUCIÓN ENTREGADA A ORIGEN</v>
      </c>
      <c r="AQ1573" s="65" t="str">
        <f>IFERROR(__xludf.DUMMYFUNCTION("""COMPUTED_VALUE"""),"DEVOLUCIÓN ENTREGADA A ORIGEN")</f>
        <v>DEVOLUCIÓN ENTREGADA A ORIGEN</v>
      </c>
      <c r="AR1573" s="65"/>
      <c r="AS1573" s="65"/>
      <c r="AT1573" s="65" t="str">
        <f>IFERROR(__xludf.DUMMYFUNCTION("""COMPUTED_VALUE"""),"SHOPIFY")</f>
        <v>SHOPIFY</v>
      </c>
      <c r="AU1573" s="65" t="str">
        <f>IFERROR(__xludf.DUMMYFUNCTION("""COMPUTED_VALUE"""),"IMPORTEX EC")</f>
        <v>IMPORTEX EC</v>
      </c>
      <c r="AV1573" s="65" t="str">
        <f>IFERROR(__xludf.DUMMYFUNCTION("""COMPUTED_VALUE"""),"6423116939308")</f>
        <v>6423116939308</v>
      </c>
      <c r="AW1573" s="65">
        <f>IFERROR(__xludf.DUMMYFUNCTION("""COMPUTED_VALUE"""),5366.0)</f>
        <v>5366</v>
      </c>
      <c r="AX1573" s="65"/>
      <c r="AY1573" s="65" t="str">
        <f>IFERROR(__xludf.DUMMYFUNCTION("""COMPUTED_VALUE"""),"20/01/2026")</f>
        <v>20/01/2026</v>
      </c>
      <c r="AZ1573" s="65"/>
      <c r="BA1573" s="65"/>
    </row>
    <row r="1574">
      <c r="A1574" s="65" t="str">
        <f>IFERROR(__xludf.DUMMYFUNCTION("""COMPUTED_VALUE"""),"27-03-2026")</f>
        <v>27-03-2026</v>
      </c>
      <c r="B1574" s="65">
        <f>IFERROR(__xludf.DUMMYFUNCTION("""COMPUTED_VALUE"""),4176522.0)</f>
        <v>4176522</v>
      </c>
      <c r="C1574" s="65" t="str">
        <f>IFERROR(__xludf.DUMMYFUNCTION("""COMPUTED_VALUE"""),"00:45")</f>
        <v>00:45</v>
      </c>
      <c r="D1574" s="65" t="str">
        <f>IFERROR(__xludf.DUMMYFUNCTION("""COMPUTED_VALUE"""),"17-01-2026")</f>
        <v>17-01-2026</v>
      </c>
      <c r="E1574" s="65" t="str">
        <f>IFERROR(__xludf.DUMMYFUNCTION("""COMPUTED_VALUE"""),"Jackson David Palacios ZUÑA")</f>
        <v>Jackson David Palacios ZUÑA</v>
      </c>
      <c r="F1574" s="65" t="str">
        <f>IFERROR(__xludf.DUMMYFUNCTION("""COMPUTED_VALUE"""),"980387677")</f>
        <v>980387677</v>
      </c>
      <c r="G1574" s="65" t="str">
        <f>IFERROR(__xludf.DUMMYFUNCTION("""COMPUTED_VALUE"""),"letreartegp92@gmail.com")</f>
        <v>letreartegp92@gmail.com</v>
      </c>
      <c r="H1574" s="65"/>
      <c r="I1574" s="65"/>
      <c r="J1574" s="65" t="str">
        <f>IFERROR(__xludf.DUMMYFUNCTION("""COMPUTED_VALUE"""),"D001244019")</f>
        <v>D001244019</v>
      </c>
      <c r="K1574" s="65" t="str">
        <f>IFERROR(__xludf.DUMMYFUNCTION("""COMPUTED_VALUE"""),"ENTREGADO")</f>
        <v>ENTREGADO</v>
      </c>
      <c r="L1574" s="65" t="str">
        <f>IFERROR(__xludf.DUMMYFUNCTION("""COMPUTED_VALUE"""),"CON RECAUDO")</f>
        <v>CON RECAUDO</v>
      </c>
      <c r="M1574" s="65" t="str">
        <f>IFERROR(__xludf.DUMMYFUNCTION("""COMPUTED_VALUE"""),"PASTAZA")</f>
        <v>PASTAZA</v>
      </c>
      <c r="N1574" s="65" t="str">
        <f>IFERROR(__xludf.DUMMYFUNCTION("""COMPUTED_VALUE"""),"PUYO")</f>
        <v>PUYO</v>
      </c>
      <c r="O1574" s="65" t="str">
        <f>IFERROR(__xludf.DUMMYFUNCTION("""COMPUTED_VALUE"""),"Lucíndo Ortega y General Villamil, Barrio México, frente al banco del Austro, local de gigantografías")</f>
        <v>Lucíndo Ortega y General Villamil, Barrio México, frente al banco del Austro, local de gigantografías</v>
      </c>
      <c r="P1574" s="65"/>
      <c r="Q1574" s="65" t="str">
        <f>IFERROR(__xludf.DUMMYFUNCTION("""COMPUTED_VALUE"""),"GINTRACOM")</f>
        <v>GINTRACOM</v>
      </c>
      <c r="R1574" s="65">
        <f>IFERROR(__xludf.DUMMYFUNCTION("""COMPUTED_VALUE"""),20.0)</f>
        <v>20</v>
      </c>
      <c r="S1574" s="65">
        <f>IFERROR(__xludf.DUMMYFUNCTION("""COMPUTED_VALUE"""),11.89)</f>
        <v>11.89</v>
      </c>
      <c r="T1574" s="65">
        <f>IFERROR(__xludf.DUMMYFUNCTION("""COMPUTED_VALUE"""),5.76)</f>
        <v>5.76</v>
      </c>
      <c r="U1574" s="65">
        <f>IFERROR(__xludf.DUMMYFUNCTION("""COMPUTED_VALUE"""),0.0)</f>
        <v>0</v>
      </c>
      <c r="V1574" s="65">
        <f>IFERROR(__xludf.DUMMYFUNCTION("""COMPUTED_VALUE"""),0.0)</f>
        <v>0</v>
      </c>
      <c r="W1574" s="65">
        <f>IFERROR(__xludf.DUMMYFUNCTION("""COMPUTED_VALUE"""),0.0)</f>
        <v>0</v>
      </c>
      <c r="X1574" s="65">
        <f>IFERROR(__xludf.DUMMYFUNCTION("""COMPUTED_VALUE"""),2.35)</f>
        <v>2.35</v>
      </c>
      <c r="Y1574" s="65">
        <f>IFERROR(__xludf.DUMMYFUNCTION("""COMPUTED_VALUE"""),2.35)</f>
        <v>2.35</v>
      </c>
      <c r="Z1574" s="65">
        <f>IFERROR(__xludf.DUMMYFUNCTION("""COMPUTED_VALUE"""),116679.0)</f>
        <v>116679</v>
      </c>
      <c r="AA1574" s="65" t="str">
        <f>IFERROR(__xludf.DUMMYFUNCTION("""COMPUTED_VALUE"""),"AMC-2738")</f>
        <v>AMC-2738</v>
      </c>
      <c r="AB1574" s="65"/>
      <c r="AC1574" s="65" t="str">
        <f>IFERROR(__xludf.DUMMYFUNCTION("""COMPUTED_VALUE"""),"ESPONJA ANTILLUVIA DE PARABRISAS")</f>
        <v>ESPONJA ANTILLUVIA DE PARABRISAS</v>
      </c>
      <c r="AD1574" s="65"/>
      <c r="AE1574" s="65">
        <f>IFERROR(__xludf.DUMMYFUNCTION("""COMPUTED_VALUE"""),1.0)</f>
        <v>1</v>
      </c>
      <c r="AF1574" s="65"/>
      <c r="AG1574" s="65"/>
      <c r="AH1574" s="65"/>
      <c r="AI1574" s="65"/>
      <c r="AJ1574" s="65"/>
      <c r="AK1574" s="65"/>
      <c r="AL1574" s="65"/>
      <c r="AM1574" s="65"/>
      <c r="AN1574" s="65" t="str">
        <f>IFERROR(__xludf.DUMMYFUNCTION("""COMPUTED_VALUE"""),"13:26")</f>
        <v>13:26</v>
      </c>
      <c r="AO1574" s="65" t="str">
        <f>IFERROR(__xludf.DUMMYFUNCTION("""COMPUTED_VALUE"""),"22-02-2026")</f>
        <v>22-02-2026</v>
      </c>
      <c r="AP1574" s="65" t="str">
        <f>IFERROR(__xludf.DUMMYFUNCTION("""COMPUTED_VALUE"""),"ENTREGADA GINTRACOM")</f>
        <v>ENTREGADA GINTRACOM</v>
      </c>
      <c r="AQ1574" s="65" t="str">
        <f>IFERROR(__xludf.DUMMYFUNCTION("""COMPUTED_VALUE"""),"ENTREGADA GINTRACOM")</f>
        <v>ENTREGADA GINTRACOM</v>
      </c>
      <c r="AR1574" s="65"/>
      <c r="AS1574" s="65"/>
      <c r="AT1574" s="65" t="str">
        <f>IFERROR(__xludf.DUMMYFUNCTION("""COMPUTED_VALUE"""),"SHOPIFY")</f>
        <v>SHOPIFY</v>
      </c>
      <c r="AU1574" s="65" t="str">
        <f>IFERROR(__xludf.DUMMYFUNCTION("""COMPUTED_VALUE"""),"IMPORTEX EC")</f>
        <v>IMPORTEX EC</v>
      </c>
      <c r="AV1574" s="65" t="str">
        <f>IFERROR(__xludf.DUMMYFUNCTION("""COMPUTED_VALUE"""),"6423049797676")</f>
        <v>6423049797676</v>
      </c>
      <c r="AW1574" s="65">
        <f>IFERROR(__xludf.DUMMYFUNCTION("""COMPUTED_VALUE"""),5365.0)</f>
        <v>5365</v>
      </c>
      <c r="AX1574" s="65"/>
      <c r="AY1574" s="65" t="str">
        <f>IFERROR(__xludf.DUMMYFUNCTION("""COMPUTED_VALUE"""),"20/01/2026")</f>
        <v>20/01/2026</v>
      </c>
      <c r="AZ1574" s="65"/>
      <c r="BA1574" s="65"/>
    </row>
    <row r="1575">
      <c r="A1575" s="65" t="str">
        <f>IFERROR(__xludf.DUMMYFUNCTION("""COMPUTED_VALUE"""),"27-03-2026")</f>
        <v>27-03-2026</v>
      </c>
      <c r="B1575" s="65">
        <f>IFERROR(__xludf.DUMMYFUNCTION("""COMPUTED_VALUE"""),4175796.0)</f>
        <v>4175796</v>
      </c>
      <c r="C1575" s="65" t="str">
        <f>IFERROR(__xludf.DUMMYFUNCTION("""COMPUTED_VALUE"""),"22:37")</f>
        <v>22:37</v>
      </c>
      <c r="D1575" s="65" t="str">
        <f>IFERROR(__xludf.DUMMYFUNCTION("""COMPUTED_VALUE"""),"16-01-2026")</f>
        <v>16-01-2026</v>
      </c>
      <c r="E1575" s="65" t="str">
        <f>IFERROR(__xludf.DUMMYFUNCTION("""COMPUTED_VALUE"""),"Darwin Añazco")</f>
        <v>Darwin Añazco</v>
      </c>
      <c r="F1575" s="65" t="str">
        <f>IFERROR(__xludf.DUMMYFUNCTION("""COMPUTED_VALUE"""),"987241724")</f>
        <v>987241724</v>
      </c>
      <c r="G1575" s="65" t="str">
        <f>IFERROR(__xludf.DUMMYFUNCTION("""COMPUTED_VALUE"""),"darwin.os@hotmail.com")</f>
        <v>darwin.os@hotmail.com</v>
      </c>
      <c r="H1575" s="65"/>
      <c r="I1575" s="65"/>
      <c r="J1575" s="65" t="str">
        <f>IFERROR(__xludf.DUMMYFUNCTION("""COMPUTED_VALUE"""),"D001244020")</f>
        <v>D001244020</v>
      </c>
      <c r="K1575" s="65" t="str">
        <f>IFERROR(__xludf.DUMMYFUNCTION("""COMPUTED_VALUE"""),"ENTREGADO")</f>
        <v>ENTREGADO</v>
      </c>
      <c r="L1575" s="65" t="str">
        <f>IFERROR(__xludf.DUMMYFUNCTION("""COMPUTED_VALUE"""),"CON RECAUDO")</f>
        <v>CON RECAUDO</v>
      </c>
      <c r="M1575" s="65" t="str">
        <f>IFERROR(__xludf.DUMMYFUNCTION("""COMPUTED_VALUE"""),"EL ORO")</f>
        <v>EL ORO</v>
      </c>
      <c r="N1575" s="65" t="str">
        <f>IFERROR(__xludf.DUMMYFUNCTION("""COMPUTED_VALUE"""),"MACHALA")</f>
        <v>MACHALA</v>
      </c>
      <c r="O1575" s="65" t="str">
        <f>IFERROR(__xludf.DUMMYFUNCTION("""COMPUTED_VALUE"""),"Avenida 25 de Junio kilómetro 4,5 vía a pasaje. Lugar de Trabajo INCARPALM S. A., SECTOR EL CAMBIO FRENTE A AGRIPAC")</f>
        <v>Avenida 25 de Junio kilómetro 4,5 vía a pasaje. Lugar de Trabajo INCARPALM S. A., SECTOR EL CAMBIO FRENTE A AGRIPAC</v>
      </c>
      <c r="P1575" s="65"/>
      <c r="Q1575" s="65" t="str">
        <f>IFERROR(__xludf.DUMMYFUNCTION("""COMPUTED_VALUE"""),"GINTRACOM")</f>
        <v>GINTRACOM</v>
      </c>
      <c r="R1575" s="65">
        <f>IFERROR(__xludf.DUMMYFUNCTION("""COMPUTED_VALUE"""),25.0)</f>
        <v>25</v>
      </c>
      <c r="S1575" s="65">
        <f>IFERROR(__xludf.DUMMYFUNCTION("""COMPUTED_VALUE"""),14.34)</f>
        <v>14.34</v>
      </c>
      <c r="T1575" s="65">
        <f>IFERROR(__xludf.DUMMYFUNCTION("""COMPUTED_VALUE"""),5.96)</f>
        <v>5.96</v>
      </c>
      <c r="U1575" s="65">
        <f>IFERROR(__xludf.DUMMYFUNCTION("""COMPUTED_VALUE"""),0.0)</f>
        <v>0</v>
      </c>
      <c r="V1575" s="65">
        <f>IFERROR(__xludf.DUMMYFUNCTION("""COMPUTED_VALUE"""),0.0)</f>
        <v>0</v>
      </c>
      <c r="W1575" s="65">
        <f>IFERROR(__xludf.DUMMYFUNCTION("""COMPUTED_VALUE"""),0.0)</f>
        <v>0</v>
      </c>
      <c r="X1575" s="65">
        <f>IFERROR(__xludf.DUMMYFUNCTION("""COMPUTED_VALUE"""),2.35)</f>
        <v>2.35</v>
      </c>
      <c r="Y1575" s="65">
        <f>IFERROR(__xludf.DUMMYFUNCTION("""COMPUTED_VALUE"""),4.7)</f>
        <v>4.7</v>
      </c>
      <c r="Z1575" s="65">
        <f>IFERROR(__xludf.DUMMYFUNCTION("""COMPUTED_VALUE"""),116679.0)</f>
        <v>116679</v>
      </c>
      <c r="AA1575" s="65" t="str">
        <f>IFERROR(__xludf.DUMMYFUNCTION("""COMPUTED_VALUE"""),"AMC-2738")</f>
        <v>AMC-2738</v>
      </c>
      <c r="AB1575" s="65"/>
      <c r="AC1575" s="65" t="str">
        <f>IFERROR(__xludf.DUMMYFUNCTION("""COMPUTED_VALUE"""),"ESPONJA ANTILLUVIA DE PARABRISAS")</f>
        <v>ESPONJA ANTILLUVIA DE PARABRISAS</v>
      </c>
      <c r="AD1575" s="65"/>
      <c r="AE1575" s="65">
        <f>IFERROR(__xludf.DUMMYFUNCTION("""COMPUTED_VALUE"""),2.0)</f>
        <v>2</v>
      </c>
      <c r="AF1575" s="65"/>
      <c r="AG1575" s="65"/>
      <c r="AH1575" s="65"/>
      <c r="AI1575" s="65"/>
      <c r="AJ1575" s="65"/>
      <c r="AK1575" s="65"/>
      <c r="AL1575" s="65"/>
      <c r="AM1575" s="65"/>
      <c r="AN1575" s="65" t="str">
        <f>IFERROR(__xludf.DUMMYFUNCTION("""COMPUTED_VALUE"""),"09:17")</f>
        <v>09:17</v>
      </c>
      <c r="AO1575" s="65" t="str">
        <f>IFERROR(__xludf.DUMMYFUNCTION("""COMPUTED_VALUE"""),"23-01-2026")</f>
        <v>23-01-2026</v>
      </c>
      <c r="AP1575" s="65" t="str">
        <f>IFERROR(__xludf.DUMMYFUNCTION("""COMPUTED_VALUE"""),"ENTREGADA GINTRACOM")</f>
        <v>ENTREGADA GINTRACOM</v>
      </c>
      <c r="AQ1575" s="65" t="str">
        <f>IFERROR(__xludf.DUMMYFUNCTION("""COMPUTED_VALUE"""),"ENTREGADA GINTRACOM")</f>
        <v>ENTREGADA GINTRACOM</v>
      </c>
      <c r="AR1575" s="65"/>
      <c r="AS1575" s="65"/>
      <c r="AT1575" s="65" t="str">
        <f>IFERROR(__xludf.DUMMYFUNCTION("""COMPUTED_VALUE"""),"SHOPIFY")</f>
        <v>SHOPIFY</v>
      </c>
      <c r="AU1575" s="65" t="str">
        <f>IFERROR(__xludf.DUMMYFUNCTION("""COMPUTED_VALUE"""),"IMPORTEX EC")</f>
        <v>IMPORTEX EC</v>
      </c>
      <c r="AV1575" s="65" t="str">
        <f>IFERROR(__xludf.DUMMYFUNCTION("""COMPUTED_VALUE"""),"6422837100588")</f>
        <v>6422837100588</v>
      </c>
      <c r="AW1575" s="65">
        <f>IFERROR(__xludf.DUMMYFUNCTION("""COMPUTED_VALUE"""),5364.0)</f>
        <v>5364</v>
      </c>
      <c r="AX1575" s="65"/>
      <c r="AY1575" s="65" t="str">
        <f>IFERROR(__xludf.DUMMYFUNCTION("""COMPUTED_VALUE"""),"20/01/2026")</f>
        <v>20/01/2026</v>
      </c>
      <c r="AZ1575" s="65"/>
      <c r="BA1575" s="65"/>
    </row>
    <row r="1576">
      <c r="A1576" s="65" t="str">
        <f>IFERROR(__xludf.DUMMYFUNCTION("""COMPUTED_VALUE"""),"27-03-2026")</f>
        <v>27-03-2026</v>
      </c>
      <c r="B1576" s="65">
        <f>IFERROR(__xludf.DUMMYFUNCTION("""COMPUTED_VALUE"""),4175758.0)</f>
        <v>4175758</v>
      </c>
      <c r="C1576" s="65" t="str">
        <f>IFERROR(__xludf.DUMMYFUNCTION("""COMPUTED_VALUE"""),"22:34")</f>
        <v>22:34</v>
      </c>
      <c r="D1576" s="65" t="str">
        <f>IFERROR(__xludf.DUMMYFUNCTION("""COMPUTED_VALUE"""),"16-01-2026")</f>
        <v>16-01-2026</v>
      </c>
      <c r="E1576" s="65" t="str">
        <f>IFERROR(__xludf.DUMMYFUNCTION("""COMPUTED_VALUE"""),"Andrés Moreira Briones")</f>
        <v>Andrés Moreira Briones</v>
      </c>
      <c r="F1576" s="65" t="str">
        <f>IFERROR(__xludf.DUMMYFUNCTION("""COMPUTED_VALUE"""),"983184229")</f>
        <v>983184229</v>
      </c>
      <c r="G1576" s="65"/>
      <c r="H1576" s="65"/>
      <c r="I1576" s="65"/>
      <c r="J1576" s="65" t="str">
        <f>IFERROR(__xludf.DUMMYFUNCTION("""COMPUTED_VALUE"""),"186487381")</f>
        <v>186487381</v>
      </c>
      <c r="K1576" s="65" t="str">
        <f>IFERROR(__xludf.DUMMYFUNCTION("""COMPUTED_VALUE"""),"DEVOLUCION")</f>
        <v>DEVOLUCION</v>
      </c>
      <c r="L1576" s="65" t="str">
        <f>IFERROR(__xludf.DUMMYFUNCTION("""COMPUTED_VALUE"""),"CON RECAUDO")</f>
        <v>CON RECAUDO</v>
      </c>
      <c r="M1576" s="65" t="str">
        <f>IFERROR(__xludf.DUMMYFUNCTION("""COMPUTED_VALUE"""),"MANABI")</f>
        <v>MANABI</v>
      </c>
      <c r="N1576" s="65" t="str">
        <f>IFERROR(__xludf.DUMMYFUNCTION("""COMPUTED_VALUE"""),"PORTOVIEJO")</f>
        <v>PORTOVIEJO</v>
      </c>
      <c r="O1576" s="65" t="str">
        <f>IFERROR(__xludf.DUMMYFUNCTION("""COMPUTED_VALUE"""),"CS: PORTOVIEJO_AV BOLIVARIANA (SERVIENTREGA)")</f>
        <v>CS: PORTOVIEJO_AV BOLIVARIANA (SERVIENTREGA)</v>
      </c>
      <c r="P1576" s="65" t="str">
        <f>IFERROR(__xludf.DUMMYFUNCTION("""COMPUTED_VALUE"""),"CS: PORTOVIEJO_AV BOLIVARIANA (SERVIENTREGA)")</f>
        <v>CS: PORTOVIEJO_AV BOLIVARIANA (SERVIENTREGA)</v>
      </c>
      <c r="Q1576" s="65" t="str">
        <f>IFERROR(__xludf.DUMMYFUNCTION("""COMPUTED_VALUE"""),"SERVIENTREGA")</f>
        <v>SERVIENTREGA</v>
      </c>
      <c r="R1576" s="65">
        <f>IFERROR(__xludf.DUMMYFUNCTION("""COMPUTED_VALUE"""),25.0)</f>
        <v>25</v>
      </c>
      <c r="S1576" s="65"/>
      <c r="T1576" s="65">
        <f>IFERROR(__xludf.DUMMYFUNCTION("""COMPUTED_VALUE"""),6.31)</f>
        <v>6.31</v>
      </c>
      <c r="U1576" s="65">
        <f>IFERROR(__xludf.DUMMYFUNCTION("""COMPUTED_VALUE"""),0.0)</f>
        <v>0</v>
      </c>
      <c r="V1576" s="65">
        <f>IFERROR(__xludf.DUMMYFUNCTION("""COMPUTED_VALUE"""),0.0)</f>
        <v>0</v>
      </c>
      <c r="W1576" s="65">
        <f>IFERROR(__xludf.DUMMYFUNCTION("""COMPUTED_VALUE"""),0.0)</f>
        <v>0</v>
      </c>
      <c r="X1576" s="65">
        <f>IFERROR(__xludf.DUMMYFUNCTION("""COMPUTED_VALUE"""),2.35)</f>
        <v>2.35</v>
      </c>
      <c r="Y1576" s="65">
        <f>IFERROR(__xludf.DUMMYFUNCTION("""COMPUTED_VALUE"""),4.7)</f>
        <v>4.7</v>
      </c>
      <c r="Z1576" s="65">
        <f>IFERROR(__xludf.DUMMYFUNCTION("""COMPUTED_VALUE"""),116679.0)</f>
        <v>116679</v>
      </c>
      <c r="AA1576" s="65" t="str">
        <f>IFERROR(__xludf.DUMMYFUNCTION("""COMPUTED_VALUE"""),"AMC-2738")</f>
        <v>AMC-2738</v>
      </c>
      <c r="AB1576" s="65"/>
      <c r="AC1576" s="65" t="str">
        <f>IFERROR(__xludf.DUMMYFUNCTION("""COMPUTED_VALUE"""),"ESPONJA ANTILLUVIA DE PARABRISAS")</f>
        <v>ESPONJA ANTILLUVIA DE PARABRISAS</v>
      </c>
      <c r="AD1576" s="65"/>
      <c r="AE1576" s="65">
        <f>IFERROR(__xludf.DUMMYFUNCTION("""COMPUTED_VALUE"""),2.0)</f>
        <v>2</v>
      </c>
      <c r="AF1576" s="65" t="str">
        <f>IFERROR(__xludf.DUMMYFUNCTION("""COMPUTED_VALUE"""),"DEVOLUCION AL REMITENTE")</f>
        <v>DEVOLUCION AL REMITENTE</v>
      </c>
      <c r="AG1576" s="65" t="str">
        <f>IFERROR(__xludf.DUMMYFUNCTION("""COMPUTED_VALUE"""),"NO")</f>
        <v>NO</v>
      </c>
      <c r="AH1576" s="65" t="str">
        <f>IFERROR(__xludf.DUMMYFUNCTION("""COMPUTED_VALUE"""),"17:29")</f>
        <v>17:29</v>
      </c>
      <c r="AI1576" s="65" t="str">
        <f>IFERROR(__xludf.DUMMYFUNCTION("""COMPUTED_VALUE"""),"03-02-2026")</f>
        <v>03-02-2026</v>
      </c>
      <c r="AJ1576" s="65"/>
      <c r="AK1576" s="65"/>
      <c r="AL1576" s="65"/>
      <c r="AM1576" s="65"/>
      <c r="AN1576" s="65" t="str">
        <f>IFERROR(__xludf.DUMMYFUNCTION("""COMPUTED_VALUE"""),"04:51")</f>
        <v>04:51</v>
      </c>
      <c r="AO1576" s="65" t="str">
        <f>IFERROR(__xludf.DUMMYFUNCTION("""COMPUTED_VALUE"""),"03-02-2026")</f>
        <v>03-02-2026</v>
      </c>
      <c r="AP1576" s="65" t="str">
        <f>IFERROR(__xludf.DUMMYFUNCTION("""COMPUTED_VALUE"""),"INGRESANDO OPERATIVO A")</f>
        <v>INGRESANDO OPERATIVO A</v>
      </c>
      <c r="AQ1576" s="65" t="str">
        <f>IFERROR(__xludf.DUMMYFUNCTION("""COMPUTED_VALUE"""),".")</f>
        <v>.</v>
      </c>
      <c r="AR1576" s="65"/>
      <c r="AS1576" s="65" t="str">
        <f>IFERROR(__xludf.DUMMYFUNCTION("""COMPUTED_VALUE"""),"Bayron Gomez")</f>
        <v>Bayron Gomez</v>
      </c>
      <c r="AT1576" s="65"/>
      <c r="AU1576" s="65"/>
      <c r="AV1576" s="65"/>
      <c r="AW1576" s="65"/>
      <c r="AX1576" s="65"/>
      <c r="AY1576" s="65" t="str">
        <f>IFERROR(__xludf.DUMMYFUNCTION("""COMPUTED_VALUE"""),"17/01/2026")</f>
        <v>17/01/2026</v>
      </c>
      <c r="AZ1576" s="65"/>
      <c r="BA1576" s="65"/>
    </row>
    <row r="1577">
      <c r="A1577" s="65" t="str">
        <f>IFERROR(__xludf.DUMMYFUNCTION("""COMPUTED_VALUE"""),"27-03-2026")</f>
        <v>27-03-2026</v>
      </c>
      <c r="B1577" s="65">
        <f>IFERROR(__xludf.DUMMYFUNCTION("""COMPUTED_VALUE"""),4175757.0)</f>
        <v>4175757</v>
      </c>
      <c r="C1577" s="65" t="str">
        <f>IFERROR(__xludf.DUMMYFUNCTION("""COMPUTED_VALUE"""),"22:33")</f>
        <v>22:33</v>
      </c>
      <c r="D1577" s="65" t="str">
        <f>IFERROR(__xludf.DUMMYFUNCTION("""COMPUTED_VALUE"""),"16-01-2026")</f>
        <v>16-01-2026</v>
      </c>
      <c r="E1577" s="65" t="str">
        <f>IFERROR(__xludf.DUMMYFUNCTION("""COMPUTED_VALUE"""),"Ana Padilla")</f>
        <v>Ana Padilla</v>
      </c>
      <c r="F1577" s="65" t="str">
        <f>IFERROR(__xludf.DUMMYFUNCTION("""COMPUTED_VALUE"""),"997881963")</f>
        <v>997881963</v>
      </c>
      <c r="G1577" s="65" t="str">
        <f>IFERROR(__xludf.DUMMYFUNCTION("""COMPUTED_VALUE"""),"anilu23padilla@hotmail.com")</f>
        <v>anilu23padilla@hotmail.com</v>
      </c>
      <c r="H1577" s="65"/>
      <c r="I1577" s="65"/>
      <c r="J1577" s="65" t="str">
        <f>IFERROR(__xludf.DUMMYFUNCTION("""COMPUTED_VALUE"""),"D001243998")</f>
        <v>D001243998</v>
      </c>
      <c r="K1577" s="65" t="str">
        <f>IFERROR(__xludf.DUMMYFUNCTION("""COMPUTED_VALUE"""),"ENTREGADO")</f>
        <v>ENTREGADO</v>
      </c>
      <c r="L1577" s="65" t="str">
        <f>IFERROR(__xludf.DUMMYFUNCTION("""COMPUTED_VALUE"""),"CON RECAUDO")</f>
        <v>CON RECAUDO</v>
      </c>
      <c r="M1577" s="65" t="str">
        <f>IFERROR(__xludf.DUMMYFUNCTION("""COMPUTED_VALUE"""),"ORELLANA")</f>
        <v>ORELLANA</v>
      </c>
      <c r="N1577" s="65" t="str">
        <f>IFERROR(__xludf.DUMMYFUNCTION("""COMPUTED_VALUE"""),"EL COCA")</f>
        <v>EL COCA</v>
      </c>
      <c r="O1577" s="65" t="str">
        <f>IFERROR(__xludf.DUMMYFUNCTION("""COMPUTED_VALUE"""),"Av. Alejandro Labaka Entre Brasil Y Caribe Av Alejandro Labaka - casa detrás de la jefatura de tránsito casa veig con protección en la puerta de entrada")</f>
        <v>Av. Alejandro Labaka Entre Brasil Y Caribe Av Alejandro Labaka - casa detrás de la jefatura de tránsito casa veig con protección en la puerta de entrada</v>
      </c>
      <c r="P1577" s="65"/>
      <c r="Q1577" s="65" t="str">
        <f>IFERROR(__xludf.DUMMYFUNCTION("""COMPUTED_VALUE"""),"GINTRACOM")</f>
        <v>GINTRACOM</v>
      </c>
      <c r="R1577" s="65">
        <f>IFERROR(__xludf.DUMMYFUNCTION("""COMPUTED_VALUE"""),25.0)</f>
        <v>25</v>
      </c>
      <c r="S1577" s="65">
        <f>IFERROR(__xludf.DUMMYFUNCTION("""COMPUTED_VALUE"""),14.34)</f>
        <v>14.34</v>
      </c>
      <c r="T1577" s="65">
        <f>IFERROR(__xludf.DUMMYFUNCTION("""COMPUTED_VALUE"""),5.96)</f>
        <v>5.96</v>
      </c>
      <c r="U1577" s="65">
        <f>IFERROR(__xludf.DUMMYFUNCTION("""COMPUTED_VALUE"""),0.0)</f>
        <v>0</v>
      </c>
      <c r="V1577" s="65">
        <f>IFERROR(__xludf.DUMMYFUNCTION("""COMPUTED_VALUE"""),0.0)</f>
        <v>0</v>
      </c>
      <c r="W1577" s="65">
        <f>IFERROR(__xludf.DUMMYFUNCTION("""COMPUTED_VALUE"""),0.0)</f>
        <v>0</v>
      </c>
      <c r="X1577" s="65">
        <f>IFERROR(__xludf.DUMMYFUNCTION("""COMPUTED_VALUE"""),2.35)</f>
        <v>2.35</v>
      </c>
      <c r="Y1577" s="65">
        <f>IFERROR(__xludf.DUMMYFUNCTION("""COMPUTED_VALUE"""),4.7)</f>
        <v>4.7</v>
      </c>
      <c r="Z1577" s="65">
        <f>IFERROR(__xludf.DUMMYFUNCTION("""COMPUTED_VALUE"""),116679.0)</f>
        <v>116679</v>
      </c>
      <c r="AA1577" s="65" t="str">
        <f>IFERROR(__xludf.DUMMYFUNCTION("""COMPUTED_VALUE"""),"AMC-2738")</f>
        <v>AMC-2738</v>
      </c>
      <c r="AB1577" s="65"/>
      <c r="AC1577" s="65" t="str">
        <f>IFERROR(__xludf.DUMMYFUNCTION("""COMPUTED_VALUE"""),"ESPONJA ANTILLUVIA DE PARABRISAS")</f>
        <v>ESPONJA ANTILLUVIA DE PARABRISAS</v>
      </c>
      <c r="AD1577" s="65"/>
      <c r="AE1577" s="65">
        <f>IFERROR(__xludf.DUMMYFUNCTION("""COMPUTED_VALUE"""),2.0)</f>
        <v>2</v>
      </c>
      <c r="AF1577" s="65"/>
      <c r="AG1577" s="65"/>
      <c r="AH1577" s="65"/>
      <c r="AI1577" s="65"/>
      <c r="AJ1577" s="65"/>
      <c r="AK1577" s="65"/>
      <c r="AL1577" s="65"/>
      <c r="AM1577" s="65"/>
      <c r="AN1577" s="65" t="str">
        <f>IFERROR(__xludf.DUMMYFUNCTION("""COMPUTED_VALUE"""),"10:02")</f>
        <v>10:02</v>
      </c>
      <c r="AO1577" s="65" t="str">
        <f>IFERROR(__xludf.DUMMYFUNCTION("""COMPUTED_VALUE"""),"23-01-2026")</f>
        <v>23-01-2026</v>
      </c>
      <c r="AP1577" s="65" t="str">
        <f>IFERROR(__xludf.DUMMYFUNCTION("""COMPUTED_VALUE"""),"EN REPARTO")</f>
        <v>EN REPARTO</v>
      </c>
      <c r="AQ1577" s="65" t="str">
        <f>IFERROR(__xludf.DUMMYFUNCTION("""COMPUTED_VALUE"""),"EN REPARTO")</f>
        <v>EN REPARTO</v>
      </c>
      <c r="AR1577" s="65"/>
      <c r="AS1577" s="65"/>
      <c r="AT1577" s="65" t="str">
        <f>IFERROR(__xludf.DUMMYFUNCTION("""COMPUTED_VALUE"""),"SHOPIFY")</f>
        <v>SHOPIFY</v>
      </c>
      <c r="AU1577" s="65" t="str">
        <f>IFERROR(__xludf.DUMMYFUNCTION("""COMPUTED_VALUE"""),"IMPORTEX EC")</f>
        <v>IMPORTEX EC</v>
      </c>
      <c r="AV1577" s="65" t="str">
        <f>IFERROR(__xludf.DUMMYFUNCTION("""COMPUTED_VALUE"""),"6422827860012")</f>
        <v>6422827860012</v>
      </c>
      <c r="AW1577" s="65">
        <f>IFERROR(__xludf.DUMMYFUNCTION("""COMPUTED_VALUE"""),5363.0)</f>
        <v>5363</v>
      </c>
      <c r="AX1577" s="65"/>
      <c r="AY1577" s="65" t="str">
        <f>IFERROR(__xludf.DUMMYFUNCTION("""COMPUTED_VALUE"""),"20/01/2026")</f>
        <v>20/01/2026</v>
      </c>
      <c r="AZ1577" s="65"/>
      <c r="BA1577" s="65"/>
    </row>
    <row r="1578">
      <c r="A1578" s="65" t="str">
        <f>IFERROR(__xludf.DUMMYFUNCTION("""COMPUTED_VALUE"""),"27-03-2026")</f>
        <v>27-03-2026</v>
      </c>
      <c r="B1578" s="65">
        <f>IFERROR(__xludf.DUMMYFUNCTION("""COMPUTED_VALUE"""),4175406.0)</f>
        <v>4175406</v>
      </c>
      <c r="C1578" s="65" t="str">
        <f>IFERROR(__xludf.DUMMYFUNCTION("""COMPUTED_VALUE"""),"21:54")</f>
        <v>21:54</v>
      </c>
      <c r="D1578" s="65" t="str">
        <f>IFERROR(__xludf.DUMMYFUNCTION("""COMPUTED_VALUE"""),"16-01-2026")</f>
        <v>16-01-2026</v>
      </c>
      <c r="E1578" s="65" t="str">
        <f>IFERROR(__xludf.DUMMYFUNCTION("""COMPUTED_VALUE"""),"Tomas Muentes")</f>
        <v>Tomas Muentes</v>
      </c>
      <c r="F1578" s="65" t="str">
        <f>IFERROR(__xludf.DUMMYFUNCTION("""COMPUTED_VALUE"""),"983302379")</f>
        <v>983302379</v>
      </c>
      <c r="G1578" s="65" t="str">
        <f>IFERROR(__xludf.DUMMYFUNCTION("""COMPUTED_VALUE"""),"tomasmuentes67@hotmail.es")</f>
        <v>tomasmuentes67@hotmail.es</v>
      </c>
      <c r="H1578" s="65"/>
      <c r="I1578" s="65"/>
      <c r="J1578" s="65"/>
      <c r="K1578" s="65" t="str">
        <f>IFERROR(__xludf.DUMMYFUNCTION("""COMPUTED_VALUE"""),"CANCELADO")</f>
        <v>CANCELADO</v>
      </c>
      <c r="L1578" s="65" t="str">
        <f>IFERROR(__xludf.DUMMYFUNCTION("""COMPUTED_VALUE"""),"CON RECAUDO")</f>
        <v>CON RECAUDO</v>
      </c>
      <c r="M1578" s="65" t="str">
        <f>IFERROR(__xludf.DUMMYFUNCTION("""COMPUTED_VALUE"""),"ESMERALDAS")</f>
        <v>ESMERALDAS</v>
      </c>
      <c r="N1578" s="65" t="str">
        <f>IFERROR(__xludf.DUMMYFUNCTION("""COMPUTED_VALUE"""),"ESMERALDAS")</f>
        <v>ESMERALDAS</v>
      </c>
      <c r="O1578" s="65" t="str">
        <f>IFERROR(__xludf.DUMMYFUNCTION("""COMPUTED_VALUE"""),"Calle Luis Vargas Torres Calle Luis Vargas Torres -")</f>
        <v>Calle Luis Vargas Torres Calle Luis Vargas Torres -</v>
      </c>
      <c r="P1578" s="65"/>
      <c r="Q1578" s="65" t="str">
        <f>IFERROR(__xludf.DUMMYFUNCTION("""COMPUTED_VALUE"""),"GINTRACOM")</f>
        <v>GINTRACOM</v>
      </c>
      <c r="R1578" s="65">
        <f>IFERROR(__xludf.DUMMYFUNCTION("""COMPUTED_VALUE"""),25.0)</f>
        <v>25</v>
      </c>
      <c r="S1578" s="65"/>
      <c r="T1578" s="65">
        <f>IFERROR(__xludf.DUMMYFUNCTION("""COMPUTED_VALUE"""),5.96)</f>
        <v>5.96</v>
      </c>
      <c r="U1578" s="65">
        <f>IFERROR(__xludf.DUMMYFUNCTION("""COMPUTED_VALUE"""),0.0)</f>
        <v>0</v>
      </c>
      <c r="V1578" s="65">
        <f>IFERROR(__xludf.DUMMYFUNCTION("""COMPUTED_VALUE"""),0.0)</f>
        <v>0</v>
      </c>
      <c r="W1578" s="65">
        <f>IFERROR(__xludf.DUMMYFUNCTION("""COMPUTED_VALUE"""),0.0)</f>
        <v>0</v>
      </c>
      <c r="X1578" s="65">
        <f>IFERROR(__xludf.DUMMYFUNCTION("""COMPUTED_VALUE"""),2.35)</f>
        <v>2.35</v>
      </c>
      <c r="Y1578" s="65">
        <f>IFERROR(__xludf.DUMMYFUNCTION("""COMPUTED_VALUE"""),4.7)</f>
        <v>4.7</v>
      </c>
      <c r="Z1578" s="65">
        <f>IFERROR(__xludf.DUMMYFUNCTION("""COMPUTED_VALUE"""),116679.0)</f>
        <v>116679</v>
      </c>
      <c r="AA1578" s="65" t="str">
        <f>IFERROR(__xludf.DUMMYFUNCTION("""COMPUTED_VALUE"""),"AMC-2738")</f>
        <v>AMC-2738</v>
      </c>
      <c r="AB1578" s="65"/>
      <c r="AC1578" s="65" t="str">
        <f>IFERROR(__xludf.DUMMYFUNCTION("""COMPUTED_VALUE"""),"ESPONJA ANTILLUVIA DE PARABRISAS")</f>
        <v>ESPONJA ANTILLUVIA DE PARABRISAS</v>
      </c>
      <c r="AD1578" s="65"/>
      <c r="AE1578" s="65">
        <f>IFERROR(__xludf.DUMMYFUNCTION("""COMPUTED_VALUE"""),2.0)</f>
        <v>2</v>
      </c>
      <c r="AF1578" s="65"/>
      <c r="AG1578" s="65"/>
      <c r="AH1578" s="65"/>
      <c r="AI1578" s="65"/>
      <c r="AJ1578" s="65"/>
      <c r="AK1578" s="65"/>
      <c r="AL1578" s="65"/>
      <c r="AM1578" s="65"/>
      <c r="AN1578" s="65"/>
      <c r="AO1578" s="65"/>
      <c r="AP1578" s="65"/>
      <c r="AQ1578" s="65"/>
      <c r="AR1578" s="65"/>
      <c r="AS1578" s="65"/>
      <c r="AT1578" s="65" t="str">
        <f>IFERROR(__xludf.DUMMYFUNCTION("""COMPUTED_VALUE"""),"SHOPIFY")</f>
        <v>SHOPIFY</v>
      </c>
      <c r="AU1578" s="65" t="str">
        <f>IFERROR(__xludf.DUMMYFUNCTION("""COMPUTED_VALUE"""),"IMPORTEX EC")</f>
        <v>IMPORTEX EC</v>
      </c>
      <c r="AV1578" s="65" t="str">
        <f>IFERROR(__xludf.DUMMYFUNCTION("""COMPUTED_VALUE"""),"6422751313964")</f>
        <v>6422751313964</v>
      </c>
      <c r="AW1578" s="65">
        <f>IFERROR(__xludf.DUMMYFUNCTION("""COMPUTED_VALUE"""),5362.0)</f>
        <v>5362</v>
      </c>
      <c r="AX1578" s="65"/>
      <c r="AY1578" s="65"/>
      <c r="AZ1578" s="65"/>
      <c r="BA1578" s="65"/>
    </row>
    <row r="1579">
      <c r="A1579" s="65" t="str">
        <f>IFERROR(__xludf.DUMMYFUNCTION("""COMPUTED_VALUE"""),"27-03-2026")</f>
        <v>27-03-2026</v>
      </c>
      <c r="B1579" s="65">
        <f>IFERROR(__xludf.DUMMYFUNCTION("""COMPUTED_VALUE"""),4175342.0)</f>
        <v>4175342</v>
      </c>
      <c r="C1579" s="65" t="str">
        <f>IFERROR(__xludf.DUMMYFUNCTION("""COMPUTED_VALUE"""),"21:49")</f>
        <v>21:49</v>
      </c>
      <c r="D1579" s="65" t="str">
        <f>IFERROR(__xludf.DUMMYFUNCTION("""COMPUTED_VALUE"""),"16-01-2026")</f>
        <v>16-01-2026</v>
      </c>
      <c r="E1579" s="65" t="str">
        <f>IFERROR(__xludf.DUMMYFUNCTION("""COMPUTED_VALUE"""),"Azucena Arias Arias")</f>
        <v>Azucena Arias Arias</v>
      </c>
      <c r="F1579" s="65" t="str">
        <f>IFERROR(__xludf.DUMMYFUNCTION("""COMPUTED_VALUE"""),"980122924")</f>
        <v>980122924</v>
      </c>
      <c r="G1579" s="65" t="str">
        <f>IFERROR(__xludf.DUMMYFUNCTION("""COMPUTED_VALUE"""),"azuarias78@gmail.com")</f>
        <v>azuarias78@gmail.com</v>
      </c>
      <c r="H1579" s="65"/>
      <c r="I1579" s="65"/>
      <c r="J1579" s="65" t="str">
        <f>IFERROR(__xludf.DUMMYFUNCTION("""COMPUTED_VALUE"""),"D001243999")</f>
        <v>D001243999</v>
      </c>
      <c r="K1579" s="65" t="str">
        <f>IFERROR(__xludf.DUMMYFUNCTION("""COMPUTED_VALUE"""),"DEVOLUCION")</f>
        <v>DEVOLUCION</v>
      </c>
      <c r="L1579" s="65" t="str">
        <f>IFERROR(__xludf.DUMMYFUNCTION("""COMPUTED_VALUE"""),"CON RECAUDO")</f>
        <v>CON RECAUDO</v>
      </c>
      <c r="M1579" s="65" t="str">
        <f>IFERROR(__xludf.DUMMYFUNCTION("""COMPUTED_VALUE"""),"GUAYAS")</f>
        <v>GUAYAS</v>
      </c>
      <c r="N1579" s="65" t="str">
        <f>IFERROR(__xludf.DUMMYFUNCTION("""COMPUTED_VALUE"""),"GUAYAQUIL")</f>
        <v>GUAYAQUIL</v>
      </c>
      <c r="O1579" s="65" t="str">
        <f>IFERROR(__xludf.DUMMYFUNCTION("""COMPUTED_VALUE"""),"Luis Urdaneta 708, entre Riobamba y Rumichaca, frente al Hotel Imperial, Guayaquil")</f>
        <v>Luis Urdaneta 708, entre Riobamba y Rumichaca, frente al Hotel Imperial, Guayaquil</v>
      </c>
      <c r="P1579" s="65"/>
      <c r="Q1579" s="65" t="str">
        <f>IFERROR(__xludf.DUMMYFUNCTION("""COMPUTED_VALUE"""),"GINTRACOM")</f>
        <v>GINTRACOM</v>
      </c>
      <c r="R1579" s="65">
        <f>IFERROR(__xludf.DUMMYFUNCTION("""COMPUTED_VALUE"""),25.0)</f>
        <v>25</v>
      </c>
      <c r="S1579" s="65"/>
      <c r="T1579" s="65">
        <f>IFERROR(__xludf.DUMMYFUNCTION("""COMPUTED_VALUE"""),5.96)</f>
        <v>5.96</v>
      </c>
      <c r="U1579" s="65">
        <f>IFERROR(__xludf.DUMMYFUNCTION("""COMPUTED_VALUE"""),0.0)</f>
        <v>0</v>
      </c>
      <c r="V1579" s="65">
        <f>IFERROR(__xludf.DUMMYFUNCTION("""COMPUTED_VALUE"""),0.0)</f>
        <v>0</v>
      </c>
      <c r="W1579" s="65">
        <f>IFERROR(__xludf.DUMMYFUNCTION("""COMPUTED_VALUE"""),0.0)</f>
        <v>0</v>
      </c>
      <c r="X1579" s="65">
        <f>IFERROR(__xludf.DUMMYFUNCTION("""COMPUTED_VALUE"""),2.35)</f>
        <v>2.35</v>
      </c>
      <c r="Y1579" s="65">
        <f>IFERROR(__xludf.DUMMYFUNCTION("""COMPUTED_VALUE"""),4.7)</f>
        <v>4.7</v>
      </c>
      <c r="Z1579" s="65">
        <f>IFERROR(__xludf.DUMMYFUNCTION("""COMPUTED_VALUE"""),116679.0)</f>
        <v>116679</v>
      </c>
      <c r="AA1579" s="65" t="str">
        <f>IFERROR(__xludf.DUMMYFUNCTION("""COMPUTED_VALUE"""),"AMC-2738")</f>
        <v>AMC-2738</v>
      </c>
      <c r="AB1579" s="65"/>
      <c r="AC1579" s="65" t="str">
        <f>IFERROR(__xludf.DUMMYFUNCTION("""COMPUTED_VALUE"""),"ESPONJA ANTILLUVIA DE PARABRISAS")</f>
        <v>ESPONJA ANTILLUVIA DE PARABRISAS</v>
      </c>
      <c r="AD1579" s="65"/>
      <c r="AE1579" s="65">
        <f>IFERROR(__xludf.DUMMYFUNCTION("""COMPUTED_VALUE"""),2.0)</f>
        <v>2</v>
      </c>
      <c r="AF1579" s="65" t="str">
        <f>IFERROR(__xludf.DUMMYFUNCTION("""COMPUTED_VALUE"""),"DESTINATARIO INDICA QUE YA RECIBIÓ EL PRODUCTO")</f>
        <v>DESTINATARIO INDICA QUE YA RECIBIÓ EL PRODUCTO</v>
      </c>
      <c r="AG1579" s="65" t="str">
        <f>IFERROR(__xludf.DUMMYFUNCTION("""COMPUTED_VALUE"""),"NO")</f>
        <v>NO</v>
      </c>
      <c r="AH1579" s="65" t="str">
        <f>IFERROR(__xludf.DUMMYFUNCTION("""COMPUTED_VALUE"""),"11:44")</f>
        <v>11:44</v>
      </c>
      <c r="AI1579" s="65" t="str">
        <f>IFERROR(__xludf.DUMMYFUNCTION("""COMPUTED_VALUE"""),"23-01-2026")</f>
        <v>23-01-2026</v>
      </c>
      <c r="AJ1579" s="65"/>
      <c r="AK1579" s="65"/>
      <c r="AL1579" s="65"/>
      <c r="AM1579" s="65"/>
      <c r="AN1579" s="65" t="str">
        <f>IFERROR(__xludf.DUMMYFUNCTION("""COMPUTED_VALUE"""),"10:53")</f>
        <v>10:53</v>
      </c>
      <c r="AO1579" s="65" t="str">
        <f>IFERROR(__xludf.DUMMYFUNCTION("""COMPUTED_VALUE"""),"10-02-2026")</f>
        <v>10-02-2026</v>
      </c>
      <c r="AP1579" s="65" t="str">
        <f>IFERROR(__xludf.DUMMYFUNCTION("""COMPUTED_VALUE"""),"DEVOLUCIÓN ENTREGADA A ORIGEN")</f>
        <v>DEVOLUCIÓN ENTREGADA A ORIGEN</v>
      </c>
      <c r="AQ1579" s="65" t="str">
        <f>IFERROR(__xludf.DUMMYFUNCTION("""COMPUTED_VALUE"""),"DEVOLUCIÓN ENTREGADA A ORIGEN")</f>
        <v>DEVOLUCIÓN ENTREGADA A ORIGEN</v>
      </c>
      <c r="AR1579" s="65"/>
      <c r="AS1579" s="65"/>
      <c r="AT1579" s="65" t="str">
        <f>IFERROR(__xludf.DUMMYFUNCTION("""COMPUTED_VALUE"""),"SHOPIFY")</f>
        <v>SHOPIFY</v>
      </c>
      <c r="AU1579" s="65" t="str">
        <f>IFERROR(__xludf.DUMMYFUNCTION("""COMPUTED_VALUE"""),"IMPORTEX EC")</f>
        <v>IMPORTEX EC</v>
      </c>
      <c r="AV1579" s="65" t="str">
        <f>IFERROR(__xludf.DUMMYFUNCTION("""COMPUTED_VALUE"""),"6422736502828")</f>
        <v>6422736502828</v>
      </c>
      <c r="AW1579" s="65">
        <f>IFERROR(__xludf.DUMMYFUNCTION("""COMPUTED_VALUE"""),5361.0)</f>
        <v>5361</v>
      </c>
      <c r="AX1579" s="65"/>
      <c r="AY1579" s="65" t="str">
        <f>IFERROR(__xludf.DUMMYFUNCTION("""COMPUTED_VALUE"""),"20/01/2026")</f>
        <v>20/01/2026</v>
      </c>
      <c r="AZ1579" s="65"/>
      <c r="BA1579" s="65"/>
    </row>
    <row r="1580">
      <c r="A1580" s="65" t="str">
        <f>IFERROR(__xludf.DUMMYFUNCTION("""COMPUTED_VALUE"""),"27-03-2026")</f>
        <v>27-03-2026</v>
      </c>
      <c r="B1580" s="65">
        <f>IFERROR(__xludf.DUMMYFUNCTION("""COMPUTED_VALUE"""),4175305.0)</f>
        <v>4175305</v>
      </c>
      <c r="C1580" s="65" t="str">
        <f>IFERROR(__xludf.DUMMYFUNCTION("""COMPUTED_VALUE"""),"21:44")</f>
        <v>21:44</v>
      </c>
      <c r="D1580" s="65" t="str">
        <f>IFERROR(__xludf.DUMMYFUNCTION("""COMPUTED_VALUE"""),"16-01-2026")</f>
        <v>16-01-2026</v>
      </c>
      <c r="E1580" s="65" t="str">
        <f>IFERROR(__xludf.DUMMYFUNCTION("""COMPUTED_VALUE"""),"Wilmer Avilez")</f>
        <v>Wilmer Avilez</v>
      </c>
      <c r="F1580" s="65" t="str">
        <f>IFERROR(__xludf.DUMMYFUNCTION("""COMPUTED_VALUE"""),"993054684")</f>
        <v>993054684</v>
      </c>
      <c r="G1580" s="65" t="str">
        <f>IFERROR(__xludf.DUMMYFUNCTION("""COMPUTED_VALUE"""),"wilmeravilez610@gmail.com")</f>
        <v>wilmeravilez610@gmail.com</v>
      </c>
      <c r="H1580" s="65"/>
      <c r="I1580" s="65"/>
      <c r="J1580" s="65" t="str">
        <f>IFERROR(__xludf.DUMMYFUNCTION("""COMPUTED_VALUE"""),"D001244000")</f>
        <v>D001244000</v>
      </c>
      <c r="K1580" s="65" t="str">
        <f>IFERROR(__xludf.DUMMYFUNCTION("""COMPUTED_VALUE"""),"DEVOLUCION")</f>
        <v>DEVOLUCION</v>
      </c>
      <c r="L1580" s="65" t="str">
        <f>IFERROR(__xludf.DUMMYFUNCTION("""COMPUTED_VALUE"""),"CON RECAUDO")</f>
        <v>CON RECAUDO</v>
      </c>
      <c r="M1580" s="65" t="str">
        <f>IFERROR(__xludf.DUMMYFUNCTION("""COMPUTED_VALUE"""),"GUAYAS")</f>
        <v>GUAYAS</v>
      </c>
      <c r="N1580" s="65" t="str">
        <f>IFERROR(__xludf.DUMMYFUNCTION("""COMPUTED_VALUE"""),"GUAYAQUIL")</f>
        <v>GUAYAQUIL</v>
      </c>
      <c r="O1580" s="65" t="str">
        <f>IFERROR(__xludf.DUMMYFUNCTION("""COMPUTED_VALUE"""),"Prosperina calle quinta Alado del mercado de la prosperina -")</f>
        <v>Prosperina calle quinta Alado del mercado de la prosperina -</v>
      </c>
      <c r="P1580" s="65"/>
      <c r="Q1580" s="65" t="str">
        <f>IFERROR(__xludf.DUMMYFUNCTION("""COMPUTED_VALUE"""),"GINTRACOM")</f>
        <v>GINTRACOM</v>
      </c>
      <c r="R1580" s="65">
        <f>IFERROR(__xludf.DUMMYFUNCTION("""COMPUTED_VALUE"""),20.0)</f>
        <v>20</v>
      </c>
      <c r="S1580" s="65"/>
      <c r="T1580" s="65">
        <f>IFERROR(__xludf.DUMMYFUNCTION("""COMPUTED_VALUE"""),5.76)</f>
        <v>5.76</v>
      </c>
      <c r="U1580" s="65">
        <f>IFERROR(__xludf.DUMMYFUNCTION("""COMPUTED_VALUE"""),0.0)</f>
        <v>0</v>
      </c>
      <c r="V1580" s="65">
        <f>IFERROR(__xludf.DUMMYFUNCTION("""COMPUTED_VALUE"""),0.0)</f>
        <v>0</v>
      </c>
      <c r="W1580" s="65">
        <f>IFERROR(__xludf.DUMMYFUNCTION("""COMPUTED_VALUE"""),0.0)</f>
        <v>0</v>
      </c>
      <c r="X1580" s="65">
        <f>IFERROR(__xludf.DUMMYFUNCTION("""COMPUTED_VALUE"""),2.35)</f>
        <v>2.35</v>
      </c>
      <c r="Y1580" s="65">
        <f>IFERROR(__xludf.DUMMYFUNCTION("""COMPUTED_VALUE"""),2.35)</f>
        <v>2.35</v>
      </c>
      <c r="Z1580" s="65">
        <f>IFERROR(__xludf.DUMMYFUNCTION("""COMPUTED_VALUE"""),116679.0)</f>
        <v>116679</v>
      </c>
      <c r="AA1580" s="65" t="str">
        <f>IFERROR(__xludf.DUMMYFUNCTION("""COMPUTED_VALUE"""),"AMC-2738")</f>
        <v>AMC-2738</v>
      </c>
      <c r="AB1580" s="65"/>
      <c r="AC1580" s="65" t="str">
        <f>IFERROR(__xludf.DUMMYFUNCTION("""COMPUTED_VALUE"""),"ESPONJA ANTILLUVIA DE PARABRISAS")</f>
        <v>ESPONJA ANTILLUVIA DE PARABRISAS</v>
      </c>
      <c r="AD1580" s="65"/>
      <c r="AE1580" s="65">
        <f>IFERROR(__xludf.DUMMYFUNCTION("""COMPUTED_VALUE"""),1.0)</f>
        <v>1</v>
      </c>
      <c r="AF1580" s="65" t="str">
        <f>IFERROR(__xludf.DUMMYFUNCTION("""COMPUTED_VALUE"""),"DESTINATARIO NO CONTESTA LLAMADAS NI WHATSAPP")</f>
        <v>DESTINATARIO NO CONTESTA LLAMADAS NI WHATSAPP</v>
      </c>
      <c r="AG1580" s="65" t="str">
        <f>IFERROR(__xludf.DUMMYFUNCTION("""COMPUTED_VALUE"""),"NO")</f>
        <v>NO</v>
      </c>
      <c r="AH1580" s="65" t="str">
        <f>IFERROR(__xludf.DUMMYFUNCTION("""COMPUTED_VALUE"""),"09:00")</f>
        <v>09:00</v>
      </c>
      <c r="AI1580" s="65" t="str">
        <f>IFERROR(__xludf.DUMMYFUNCTION("""COMPUTED_VALUE"""),"31-01-2026")</f>
        <v>31-01-2026</v>
      </c>
      <c r="AJ1580" s="65"/>
      <c r="AK1580" s="65"/>
      <c r="AL1580" s="65"/>
      <c r="AM1580" s="65"/>
      <c r="AN1580" s="65" t="str">
        <f>IFERROR(__xludf.DUMMYFUNCTION("""COMPUTED_VALUE"""),"10:53")</f>
        <v>10:53</v>
      </c>
      <c r="AO1580" s="65" t="str">
        <f>IFERROR(__xludf.DUMMYFUNCTION("""COMPUTED_VALUE"""),"10-02-2026")</f>
        <v>10-02-2026</v>
      </c>
      <c r="AP1580" s="65" t="str">
        <f>IFERROR(__xludf.DUMMYFUNCTION("""COMPUTED_VALUE"""),"DEVOLUCIÓN ENTREGADA A ORIGEN")</f>
        <v>DEVOLUCIÓN ENTREGADA A ORIGEN</v>
      </c>
      <c r="AQ1580" s="65" t="str">
        <f>IFERROR(__xludf.DUMMYFUNCTION("""COMPUTED_VALUE"""),"DEVOLUCIÓN ENTREGADA A ORIGEN")</f>
        <v>DEVOLUCIÓN ENTREGADA A ORIGEN</v>
      </c>
      <c r="AR1580" s="65"/>
      <c r="AS1580" s="65"/>
      <c r="AT1580" s="65" t="str">
        <f>IFERROR(__xludf.DUMMYFUNCTION("""COMPUTED_VALUE"""),"SHOPIFY")</f>
        <v>SHOPIFY</v>
      </c>
      <c r="AU1580" s="65" t="str">
        <f>IFERROR(__xludf.DUMMYFUNCTION("""COMPUTED_VALUE"""),"IMPORTEX EC")</f>
        <v>IMPORTEX EC</v>
      </c>
      <c r="AV1580" s="65" t="str">
        <f>IFERROR(__xludf.DUMMYFUNCTION("""COMPUTED_VALUE"""),"6422731259948")</f>
        <v>6422731259948</v>
      </c>
      <c r="AW1580" s="65">
        <f>IFERROR(__xludf.DUMMYFUNCTION("""COMPUTED_VALUE"""),5360.0)</f>
        <v>5360</v>
      </c>
      <c r="AX1580" s="65"/>
      <c r="AY1580" s="65" t="str">
        <f>IFERROR(__xludf.DUMMYFUNCTION("""COMPUTED_VALUE"""),"20/01/2026")</f>
        <v>20/01/2026</v>
      </c>
      <c r="AZ1580" s="65"/>
      <c r="BA1580" s="65"/>
    </row>
    <row r="1581">
      <c r="A1581" s="65" t="str">
        <f>IFERROR(__xludf.DUMMYFUNCTION("""COMPUTED_VALUE"""),"27-03-2026")</f>
        <v>27-03-2026</v>
      </c>
      <c r="B1581" s="65">
        <f>IFERROR(__xludf.DUMMYFUNCTION("""COMPUTED_VALUE"""),4175299.0)</f>
        <v>4175299</v>
      </c>
      <c r="C1581" s="65" t="str">
        <f>IFERROR(__xludf.DUMMYFUNCTION("""COMPUTED_VALUE"""),"21:44")</f>
        <v>21:44</v>
      </c>
      <c r="D1581" s="65" t="str">
        <f>IFERROR(__xludf.DUMMYFUNCTION("""COMPUTED_VALUE"""),"16-01-2026")</f>
        <v>16-01-2026</v>
      </c>
      <c r="E1581" s="65" t="str">
        <f>IFERROR(__xludf.DUMMYFUNCTION("""COMPUTED_VALUE"""),"Álvaro Amaguaña")</f>
        <v>Álvaro Amaguaña</v>
      </c>
      <c r="F1581" s="65" t="str">
        <f>IFERROR(__xludf.DUMMYFUNCTION("""COMPUTED_VALUE"""),"998320158")</f>
        <v>998320158</v>
      </c>
      <c r="G1581" s="65"/>
      <c r="H1581" s="65"/>
      <c r="I1581" s="65"/>
      <c r="J1581" s="65" t="str">
        <f>IFERROR(__xludf.DUMMYFUNCTION("""COMPUTED_VALUE"""),"D001251019")</f>
        <v>D001251019</v>
      </c>
      <c r="K1581" s="65" t="str">
        <f>IFERROR(__xludf.DUMMYFUNCTION("""COMPUTED_VALUE"""),"DEVOLUCION")</f>
        <v>DEVOLUCION</v>
      </c>
      <c r="L1581" s="65" t="str">
        <f>IFERROR(__xludf.DUMMYFUNCTION("""COMPUTED_VALUE"""),"CON RECAUDO")</f>
        <v>CON RECAUDO</v>
      </c>
      <c r="M1581" s="65" t="str">
        <f>IFERROR(__xludf.DUMMYFUNCTION("""COMPUTED_VALUE"""),"PICHINCHA")</f>
        <v>PICHINCHA</v>
      </c>
      <c r="N1581" s="65" t="str">
        <f>IFERROR(__xludf.DUMMYFUNCTION("""COMPUTED_VALUE"""),"QUITO")</f>
        <v>QUITO</v>
      </c>
      <c r="O1581" s="65" t="str">
        <f>IFERROR(__xludf.DUMMYFUNCTION("""COMPUTED_VALUE"""),"El Condo Piedras Negras -")</f>
        <v>El Condo Piedras Negras -</v>
      </c>
      <c r="P1581" s="65"/>
      <c r="Q1581" s="65" t="str">
        <f>IFERROR(__xludf.DUMMYFUNCTION("""COMPUTED_VALUE"""),"GINTRACOM")</f>
        <v>GINTRACOM</v>
      </c>
      <c r="R1581" s="65">
        <f>IFERROR(__xludf.DUMMYFUNCTION("""COMPUTED_VALUE"""),25.0)</f>
        <v>25</v>
      </c>
      <c r="S1581" s="65"/>
      <c r="T1581" s="65">
        <f>IFERROR(__xludf.DUMMYFUNCTION("""COMPUTED_VALUE"""),4.35)</f>
        <v>4.35</v>
      </c>
      <c r="U1581" s="65">
        <f>IFERROR(__xludf.DUMMYFUNCTION("""COMPUTED_VALUE"""),0.0)</f>
        <v>0</v>
      </c>
      <c r="V1581" s="65">
        <f>IFERROR(__xludf.DUMMYFUNCTION("""COMPUTED_VALUE"""),0.0)</f>
        <v>0</v>
      </c>
      <c r="W1581" s="65">
        <f>IFERROR(__xludf.DUMMYFUNCTION("""COMPUTED_VALUE"""),0.0)</f>
        <v>0</v>
      </c>
      <c r="X1581" s="65">
        <f>IFERROR(__xludf.DUMMYFUNCTION("""COMPUTED_VALUE"""),2.35)</f>
        <v>2.35</v>
      </c>
      <c r="Y1581" s="65">
        <f>IFERROR(__xludf.DUMMYFUNCTION("""COMPUTED_VALUE"""),4.7)</f>
        <v>4.7</v>
      </c>
      <c r="Z1581" s="65">
        <f>IFERROR(__xludf.DUMMYFUNCTION("""COMPUTED_VALUE"""),116679.0)</f>
        <v>116679</v>
      </c>
      <c r="AA1581" s="65" t="str">
        <f>IFERROR(__xludf.DUMMYFUNCTION("""COMPUTED_VALUE"""),"AMC-2738")</f>
        <v>AMC-2738</v>
      </c>
      <c r="AB1581" s="65"/>
      <c r="AC1581" s="65" t="str">
        <f>IFERROR(__xludf.DUMMYFUNCTION("""COMPUTED_VALUE"""),"ESPONJA ANTILLUVIA DE PARABRISAS")</f>
        <v>ESPONJA ANTILLUVIA DE PARABRISAS</v>
      </c>
      <c r="AD1581" s="65"/>
      <c r="AE1581" s="65">
        <f>IFERROR(__xludf.DUMMYFUNCTION("""COMPUTED_VALUE"""),2.0)</f>
        <v>2</v>
      </c>
      <c r="AF1581" s="65" t="str">
        <f>IFERROR(__xludf.DUMMYFUNCTION("""COMPUTED_VALUE"""),"DESTINATARIO NO CONTESTA LLAMADAS NI WHATSAPP")</f>
        <v>DESTINATARIO NO CONTESTA LLAMADAS NI WHATSAPP</v>
      </c>
      <c r="AG1581" s="65" t="str">
        <f>IFERROR(__xludf.DUMMYFUNCTION("""COMPUTED_VALUE"""),"NO")</f>
        <v>NO</v>
      </c>
      <c r="AH1581" s="65" t="str">
        <f>IFERROR(__xludf.DUMMYFUNCTION("""COMPUTED_VALUE"""),"09:00")</f>
        <v>09:00</v>
      </c>
      <c r="AI1581" s="65" t="str">
        <f>IFERROR(__xludf.DUMMYFUNCTION("""COMPUTED_VALUE"""),"01-02-2026")</f>
        <v>01-02-2026</v>
      </c>
      <c r="AJ1581" s="65"/>
      <c r="AK1581" s="65"/>
      <c r="AL1581" s="65"/>
      <c r="AM1581" s="65"/>
      <c r="AN1581" s="65" t="str">
        <f>IFERROR(__xludf.DUMMYFUNCTION("""COMPUTED_VALUE"""),"17:13")</f>
        <v>17:13</v>
      </c>
      <c r="AO1581" s="65" t="str">
        <f>IFERROR(__xludf.DUMMYFUNCTION("""COMPUTED_VALUE"""),"06-02-2026")</f>
        <v>06-02-2026</v>
      </c>
      <c r="AP1581" s="65" t="str">
        <f>IFERROR(__xludf.DUMMYFUNCTION("""COMPUTED_VALUE"""),"DEVOLUCIÓN ENTREGADA A ORIGEN")</f>
        <v>DEVOLUCIÓN ENTREGADA A ORIGEN</v>
      </c>
      <c r="AQ1581" s="65" t="str">
        <f>IFERROR(__xludf.DUMMYFUNCTION("""COMPUTED_VALUE"""),"DEVOLUCIÓN ENTREGADA A ORIGEN")</f>
        <v>DEVOLUCIÓN ENTREGADA A ORIGEN</v>
      </c>
      <c r="AR1581" s="65"/>
      <c r="AS1581" s="65"/>
      <c r="AT1581" s="65" t="str">
        <f>IFERROR(__xludf.DUMMYFUNCTION("""COMPUTED_VALUE"""),"SHOPIFY")</f>
        <v>SHOPIFY</v>
      </c>
      <c r="AU1581" s="65" t="str">
        <f>IFERROR(__xludf.DUMMYFUNCTION("""COMPUTED_VALUE"""),"IMPORTEX EC")</f>
        <v>IMPORTEX EC</v>
      </c>
      <c r="AV1581" s="65" t="str">
        <f>IFERROR(__xludf.DUMMYFUNCTION("""COMPUTED_VALUE"""),"6422730309676")</f>
        <v>6422730309676</v>
      </c>
      <c r="AW1581" s="65">
        <f>IFERROR(__xludf.DUMMYFUNCTION("""COMPUTED_VALUE"""),5359.0)</f>
        <v>5359</v>
      </c>
      <c r="AX1581" s="65"/>
      <c r="AY1581" s="65" t="str">
        <f>IFERROR(__xludf.DUMMYFUNCTION("""COMPUTED_VALUE"""),"22/01/2026")</f>
        <v>22/01/2026</v>
      </c>
      <c r="AZ1581" s="65"/>
      <c r="BA1581" s="65"/>
    </row>
    <row r="1582">
      <c r="A1582" s="65" t="str">
        <f>IFERROR(__xludf.DUMMYFUNCTION("""COMPUTED_VALUE"""),"27-03-2026")</f>
        <v>27-03-2026</v>
      </c>
      <c r="B1582" s="65">
        <f>IFERROR(__xludf.DUMMYFUNCTION("""COMPUTED_VALUE"""),4175229.0)</f>
        <v>4175229</v>
      </c>
      <c r="C1582" s="65" t="str">
        <f>IFERROR(__xludf.DUMMYFUNCTION("""COMPUTED_VALUE"""),"21:39")</f>
        <v>21:39</v>
      </c>
      <c r="D1582" s="65" t="str">
        <f>IFERROR(__xludf.DUMMYFUNCTION("""COMPUTED_VALUE"""),"16-01-2026")</f>
        <v>16-01-2026</v>
      </c>
      <c r="E1582" s="65" t="str">
        <f>IFERROR(__xludf.DUMMYFUNCTION("""COMPUTED_VALUE"""),"WILSON ZEA Hola  me gusta el produto")</f>
        <v>WILSON ZEA Hola  me gusta el produto</v>
      </c>
      <c r="F1582" s="65" t="str">
        <f>IFERROR(__xludf.DUMMYFUNCTION("""COMPUTED_VALUE"""),"998270519")</f>
        <v>998270519</v>
      </c>
      <c r="G1582" s="65" t="str">
        <f>IFERROR(__xludf.DUMMYFUNCTION("""COMPUTED_VALUE"""),"wilsonzea19932@gmail.com")</f>
        <v>wilsonzea19932@gmail.com</v>
      </c>
      <c r="H1582" s="65"/>
      <c r="I1582" s="65"/>
      <c r="J1582" s="65"/>
      <c r="K1582" s="65" t="str">
        <f>IFERROR(__xludf.DUMMYFUNCTION("""COMPUTED_VALUE"""),"PENDIENTE CONFIRMACION")</f>
        <v>PENDIENTE CONFIRMACION</v>
      </c>
      <c r="L1582" s="65" t="str">
        <f>IFERROR(__xludf.DUMMYFUNCTION("""COMPUTED_VALUE"""),"CON RECAUDO")</f>
        <v>CON RECAUDO</v>
      </c>
      <c r="M1582" s="65" t="str">
        <f>IFERROR(__xludf.DUMMYFUNCTION("""COMPUTED_VALUE"""),"NAPO")</f>
        <v>NAPO</v>
      </c>
      <c r="N1582" s="65" t="str">
        <f>IFERROR(__xludf.DUMMYFUNCTION("""COMPUTED_VALUE"""),"TENA")</f>
        <v>TENA</v>
      </c>
      <c r="O1582" s="65" t="str">
        <f>IFERROR(__xludf.DUMMYFUNCTION("""COMPUTED_VALUE"""),"Gabriel Espinoza y Ruiz Barahon Taller de aires acondicionado automotriz zea -")</f>
        <v>Gabriel Espinoza y Ruiz Barahon Taller de aires acondicionado automotriz zea -</v>
      </c>
      <c r="P1582" s="65"/>
      <c r="Q1582" s="65" t="str">
        <f>IFERROR(__xludf.DUMMYFUNCTION("""COMPUTED_VALUE"""),"GINTRACOM")</f>
        <v>GINTRACOM</v>
      </c>
      <c r="R1582" s="65">
        <f>IFERROR(__xludf.DUMMYFUNCTION("""COMPUTED_VALUE"""),20.0)</f>
        <v>20</v>
      </c>
      <c r="S1582" s="65"/>
      <c r="T1582" s="65">
        <f>IFERROR(__xludf.DUMMYFUNCTION("""COMPUTED_VALUE"""),5.76)</f>
        <v>5.76</v>
      </c>
      <c r="U1582" s="65">
        <f>IFERROR(__xludf.DUMMYFUNCTION("""COMPUTED_VALUE"""),0.0)</f>
        <v>0</v>
      </c>
      <c r="V1582" s="65">
        <f>IFERROR(__xludf.DUMMYFUNCTION("""COMPUTED_VALUE"""),0.0)</f>
        <v>0</v>
      </c>
      <c r="W1582" s="65">
        <f>IFERROR(__xludf.DUMMYFUNCTION("""COMPUTED_VALUE"""),0.0)</f>
        <v>0</v>
      </c>
      <c r="X1582" s="65">
        <f>IFERROR(__xludf.DUMMYFUNCTION("""COMPUTED_VALUE"""),2.35)</f>
        <v>2.35</v>
      </c>
      <c r="Y1582" s="65">
        <f>IFERROR(__xludf.DUMMYFUNCTION("""COMPUTED_VALUE"""),2.35)</f>
        <v>2.35</v>
      </c>
      <c r="Z1582" s="65">
        <f>IFERROR(__xludf.DUMMYFUNCTION("""COMPUTED_VALUE"""),116679.0)</f>
        <v>116679</v>
      </c>
      <c r="AA1582" s="65" t="str">
        <f>IFERROR(__xludf.DUMMYFUNCTION("""COMPUTED_VALUE"""),"AMC-2738")</f>
        <v>AMC-2738</v>
      </c>
      <c r="AB1582" s="65"/>
      <c r="AC1582" s="65" t="str">
        <f>IFERROR(__xludf.DUMMYFUNCTION("""COMPUTED_VALUE"""),"ESPONJA ANTILLUVIA DE PARABRISAS")</f>
        <v>ESPONJA ANTILLUVIA DE PARABRISAS</v>
      </c>
      <c r="AD1582" s="65"/>
      <c r="AE1582" s="65">
        <f>IFERROR(__xludf.DUMMYFUNCTION("""COMPUTED_VALUE"""),1.0)</f>
        <v>1</v>
      </c>
      <c r="AF1582" s="65"/>
      <c r="AG1582" s="65"/>
      <c r="AH1582" s="65"/>
      <c r="AI1582" s="65"/>
      <c r="AJ1582" s="65"/>
      <c r="AK1582" s="65"/>
      <c r="AL1582" s="65"/>
      <c r="AM1582" s="65"/>
      <c r="AN1582" s="65"/>
      <c r="AO1582" s="65"/>
      <c r="AP1582" s="65"/>
      <c r="AQ1582" s="65"/>
      <c r="AR1582" s="65"/>
      <c r="AS1582" s="65"/>
      <c r="AT1582" s="65" t="str">
        <f>IFERROR(__xludf.DUMMYFUNCTION("""COMPUTED_VALUE"""),"SHOPIFY")</f>
        <v>SHOPIFY</v>
      </c>
      <c r="AU1582" s="65" t="str">
        <f>IFERROR(__xludf.DUMMYFUNCTION("""COMPUTED_VALUE"""),"IMPORTEX EC")</f>
        <v>IMPORTEX EC</v>
      </c>
      <c r="AV1582" s="65" t="str">
        <f>IFERROR(__xludf.DUMMYFUNCTION("""COMPUTED_VALUE"""),"6422713434156")</f>
        <v>6422713434156</v>
      </c>
      <c r="AW1582" s="65">
        <f>IFERROR(__xludf.DUMMYFUNCTION("""COMPUTED_VALUE"""),5358.0)</f>
        <v>5358</v>
      </c>
      <c r="AX1582" s="65"/>
      <c r="AY1582" s="65"/>
      <c r="AZ1582" s="65"/>
      <c r="BA1582" s="65"/>
    </row>
    <row r="1583">
      <c r="A1583" s="65" t="str">
        <f>IFERROR(__xludf.DUMMYFUNCTION("""COMPUTED_VALUE"""),"27-03-2026")</f>
        <v>27-03-2026</v>
      </c>
      <c r="B1583" s="65">
        <f>IFERROR(__xludf.DUMMYFUNCTION("""COMPUTED_VALUE"""),4175168.0)</f>
        <v>4175168</v>
      </c>
      <c r="C1583" s="65" t="str">
        <f>IFERROR(__xludf.DUMMYFUNCTION("""COMPUTED_VALUE"""),"21:32")</f>
        <v>21:32</v>
      </c>
      <c r="D1583" s="65" t="str">
        <f>IFERROR(__xludf.DUMMYFUNCTION("""COMPUTED_VALUE"""),"16-01-2026")</f>
        <v>16-01-2026</v>
      </c>
      <c r="E1583" s="65" t="str">
        <f>IFERROR(__xludf.DUMMYFUNCTION("""COMPUTED_VALUE"""),"Winston Muñoz")</f>
        <v>Winston Muñoz</v>
      </c>
      <c r="F1583" s="65" t="str">
        <f>IFERROR(__xludf.DUMMYFUNCTION("""COMPUTED_VALUE"""),"987404150")</f>
        <v>987404150</v>
      </c>
      <c r="G1583" s="65" t="str">
        <f>IFERROR(__xludf.DUMMYFUNCTION("""COMPUTED_VALUE"""),"munozwinston793@gmail.com")</f>
        <v>munozwinston793@gmail.com</v>
      </c>
      <c r="H1583" s="65"/>
      <c r="I1583" s="65"/>
      <c r="J1583" s="65" t="str">
        <f>IFERROR(__xludf.DUMMYFUNCTION("""COMPUTED_VALUE"""),"D001244002")</f>
        <v>D001244002</v>
      </c>
      <c r="K1583" s="65" t="str">
        <f>IFERROR(__xludf.DUMMYFUNCTION("""COMPUTED_VALUE"""),"ENTREGADO")</f>
        <v>ENTREGADO</v>
      </c>
      <c r="L1583" s="65" t="str">
        <f>IFERROR(__xludf.DUMMYFUNCTION("""COMPUTED_VALUE"""),"CON RECAUDO")</f>
        <v>CON RECAUDO</v>
      </c>
      <c r="M1583" s="65" t="str">
        <f>IFERROR(__xludf.DUMMYFUNCTION("""COMPUTED_VALUE"""),"MANABI")</f>
        <v>MANABI</v>
      </c>
      <c r="N1583" s="65" t="str">
        <f>IFERROR(__xludf.DUMMYFUNCTION("""COMPUTED_VALUE"""),"CHONE")</f>
        <v>CHONE</v>
      </c>
      <c r="O1583" s="65" t="str">
        <f>IFERROR(__xludf.DUMMYFUNCTION("""COMPUTED_VALUE"""),"Agencia bypass Chone, Manabí")</f>
        <v>Agencia bypass Chone, Manabí</v>
      </c>
      <c r="P1583" s="65"/>
      <c r="Q1583" s="65" t="str">
        <f>IFERROR(__xludf.DUMMYFUNCTION("""COMPUTED_VALUE"""),"GINTRACOM")</f>
        <v>GINTRACOM</v>
      </c>
      <c r="R1583" s="65">
        <f>IFERROR(__xludf.DUMMYFUNCTION("""COMPUTED_VALUE"""),20.0)</f>
        <v>20</v>
      </c>
      <c r="S1583" s="65">
        <f>IFERROR(__xludf.DUMMYFUNCTION("""COMPUTED_VALUE"""),11.89)</f>
        <v>11.89</v>
      </c>
      <c r="T1583" s="65">
        <f>IFERROR(__xludf.DUMMYFUNCTION("""COMPUTED_VALUE"""),5.76)</f>
        <v>5.76</v>
      </c>
      <c r="U1583" s="65">
        <f>IFERROR(__xludf.DUMMYFUNCTION("""COMPUTED_VALUE"""),0.0)</f>
        <v>0</v>
      </c>
      <c r="V1583" s="65">
        <f>IFERROR(__xludf.DUMMYFUNCTION("""COMPUTED_VALUE"""),0.0)</f>
        <v>0</v>
      </c>
      <c r="W1583" s="65">
        <f>IFERROR(__xludf.DUMMYFUNCTION("""COMPUTED_VALUE"""),0.0)</f>
        <v>0</v>
      </c>
      <c r="X1583" s="65">
        <f>IFERROR(__xludf.DUMMYFUNCTION("""COMPUTED_VALUE"""),2.35)</f>
        <v>2.35</v>
      </c>
      <c r="Y1583" s="65">
        <f>IFERROR(__xludf.DUMMYFUNCTION("""COMPUTED_VALUE"""),2.35)</f>
        <v>2.35</v>
      </c>
      <c r="Z1583" s="65">
        <f>IFERROR(__xludf.DUMMYFUNCTION("""COMPUTED_VALUE"""),116679.0)</f>
        <v>116679</v>
      </c>
      <c r="AA1583" s="65" t="str">
        <f>IFERROR(__xludf.DUMMYFUNCTION("""COMPUTED_VALUE"""),"AMC-2738")</f>
        <v>AMC-2738</v>
      </c>
      <c r="AB1583" s="65"/>
      <c r="AC1583" s="65" t="str">
        <f>IFERROR(__xludf.DUMMYFUNCTION("""COMPUTED_VALUE"""),"ESPONJA ANTILLUVIA DE PARABRISAS")</f>
        <v>ESPONJA ANTILLUVIA DE PARABRISAS</v>
      </c>
      <c r="AD1583" s="65"/>
      <c r="AE1583" s="65">
        <f>IFERROR(__xludf.DUMMYFUNCTION("""COMPUTED_VALUE"""),1.0)</f>
        <v>1</v>
      </c>
      <c r="AF1583" s="65" t="str">
        <f>IFERROR(__xludf.DUMMYFUNCTION("""COMPUTED_VALUE"""),"DESTINATARIO INDICA QUE SE ENCUENTRA FUERA DE LA CIUDAD")</f>
        <v>DESTINATARIO INDICA QUE SE ENCUENTRA FUERA DE LA CIUDAD</v>
      </c>
      <c r="AG1583" s="65" t="str">
        <f>IFERROR(__xludf.DUMMYFUNCTION("""COMPUTED_VALUE"""),"SI")</f>
        <v>SI</v>
      </c>
      <c r="AH1583" s="65" t="str">
        <f>IFERROR(__xludf.DUMMYFUNCTION("""COMPUTED_VALUE"""),"10:11")</f>
        <v>10:11</v>
      </c>
      <c r="AI1583" s="65" t="str">
        <f>IFERROR(__xludf.DUMMYFUNCTION("""COMPUTED_VALUE"""),"22-01-2026")</f>
        <v>22-01-2026</v>
      </c>
      <c r="AJ1583" s="65"/>
      <c r="AK1583" s="65"/>
      <c r="AL1583" s="65"/>
      <c r="AM1583" s="65"/>
      <c r="AN1583" s="65" t="str">
        <f>IFERROR(__xludf.DUMMYFUNCTION("""COMPUTED_VALUE"""),"13:31")</f>
        <v>13:31</v>
      </c>
      <c r="AO1583" s="65" t="str">
        <f>IFERROR(__xludf.DUMMYFUNCTION("""COMPUTED_VALUE"""),"22-02-2026")</f>
        <v>22-02-2026</v>
      </c>
      <c r="AP1583" s="65" t="str">
        <f>IFERROR(__xludf.DUMMYFUNCTION("""COMPUTED_VALUE"""),"ENTREGADA GINTRACOM")</f>
        <v>ENTREGADA GINTRACOM</v>
      </c>
      <c r="AQ1583" s="65" t="str">
        <f>IFERROR(__xludf.DUMMYFUNCTION("""COMPUTED_VALUE"""),"ENTREGADA GINTRACOM")</f>
        <v>ENTREGADA GINTRACOM</v>
      </c>
      <c r="AR1583" s="65"/>
      <c r="AS1583" s="65"/>
      <c r="AT1583" s="65" t="str">
        <f>IFERROR(__xludf.DUMMYFUNCTION("""COMPUTED_VALUE"""),"SHOPIFY")</f>
        <v>SHOPIFY</v>
      </c>
      <c r="AU1583" s="65" t="str">
        <f>IFERROR(__xludf.DUMMYFUNCTION("""COMPUTED_VALUE"""),"IMPORTEX EC")</f>
        <v>IMPORTEX EC</v>
      </c>
      <c r="AV1583" s="65" t="str">
        <f>IFERROR(__xludf.DUMMYFUNCTION("""COMPUTED_VALUE"""),"6422701604908")</f>
        <v>6422701604908</v>
      </c>
      <c r="AW1583" s="65">
        <f>IFERROR(__xludf.DUMMYFUNCTION("""COMPUTED_VALUE"""),5357.0)</f>
        <v>5357</v>
      </c>
      <c r="AX1583" s="65"/>
      <c r="AY1583" s="65" t="str">
        <f>IFERROR(__xludf.DUMMYFUNCTION("""COMPUTED_VALUE"""),"20/01/2026")</f>
        <v>20/01/2026</v>
      </c>
      <c r="AZ1583" s="65"/>
      <c r="BA1583" s="65"/>
    </row>
    <row r="1584">
      <c r="A1584" s="65" t="str">
        <f>IFERROR(__xludf.DUMMYFUNCTION("""COMPUTED_VALUE"""),"27-03-2026")</f>
        <v>27-03-2026</v>
      </c>
      <c r="B1584" s="65">
        <f>IFERROR(__xludf.DUMMYFUNCTION("""COMPUTED_VALUE"""),4175037.0)</f>
        <v>4175037</v>
      </c>
      <c r="C1584" s="65" t="str">
        <f>IFERROR(__xludf.DUMMYFUNCTION("""COMPUTED_VALUE"""),"21:18")</f>
        <v>21:18</v>
      </c>
      <c r="D1584" s="65" t="str">
        <f>IFERROR(__xludf.DUMMYFUNCTION("""COMPUTED_VALUE"""),"16-01-2026")</f>
        <v>16-01-2026</v>
      </c>
      <c r="E1584" s="65" t="str">
        <f>IFERROR(__xludf.DUMMYFUNCTION("""COMPUTED_VALUE"""),"José luis Quiroz pin")</f>
        <v>José luis Quiroz pin</v>
      </c>
      <c r="F1584" s="65" t="str">
        <f>IFERROR(__xludf.DUMMYFUNCTION("""COMPUTED_VALUE"""),"985505321")</f>
        <v>985505321</v>
      </c>
      <c r="G1584" s="65" t="str">
        <f>IFERROR(__xludf.DUMMYFUNCTION("""COMPUTED_VALUE"""),"jluis06quiroz@hotmail.com")</f>
        <v>jluis06quiroz@hotmail.com</v>
      </c>
      <c r="H1584" s="65"/>
      <c r="I1584" s="65"/>
      <c r="J1584" s="65"/>
      <c r="K1584" s="65" t="str">
        <f>IFERROR(__xludf.DUMMYFUNCTION("""COMPUTED_VALUE"""),"PENDIENTE CONFIRMACION")</f>
        <v>PENDIENTE CONFIRMACION</v>
      </c>
      <c r="L1584" s="65" t="str">
        <f>IFERROR(__xludf.DUMMYFUNCTION("""COMPUTED_VALUE"""),"CON RECAUDO")</f>
        <v>CON RECAUDO</v>
      </c>
      <c r="M1584" s="65" t="str">
        <f>IFERROR(__xludf.DUMMYFUNCTION("""COMPUTED_VALUE"""),"MANABI")</f>
        <v>MANABI</v>
      </c>
      <c r="N1584" s="65" t="str">
        <f>IFERROR(__xludf.DUMMYFUNCTION("""COMPUTED_VALUE"""),"MANTA")</f>
        <v>MANTA</v>
      </c>
      <c r="O1584" s="65" t="str">
        <f>IFERROR(__xludf.DUMMYFUNCTION("""COMPUTED_VALUE"""),"Parroquia Eloy Alfaro Cubacalle 322 avenida 220 -")</f>
        <v>Parroquia Eloy Alfaro Cubacalle 322 avenida 220 -</v>
      </c>
      <c r="P1584" s="65"/>
      <c r="Q1584" s="65" t="str">
        <f>IFERROR(__xludf.DUMMYFUNCTION("""COMPUTED_VALUE"""),"GINTRACOM")</f>
        <v>GINTRACOM</v>
      </c>
      <c r="R1584" s="65">
        <f>IFERROR(__xludf.DUMMYFUNCTION("""COMPUTED_VALUE"""),20.0)</f>
        <v>20</v>
      </c>
      <c r="S1584" s="65"/>
      <c r="T1584" s="65">
        <f>IFERROR(__xludf.DUMMYFUNCTION("""COMPUTED_VALUE"""),5.76)</f>
        <v>5.76</v>
      </c>
      <c r="U1584" s="65">
        <f>IFERROR(__xludf.DUMMYFUNCTION("""COMPUTED_VALUE"""),0.0)</f>
        <v>0</v>
      </c>
      <c r="V1584" s="65">
        <f>IFERROR(__xludf.DUMMYFUNCTION("""COMPUTED_VALUE"""),0.0)</f>
        <v>0</v>
      </c>
      <c r="W1584" s="65">
        <f>IFERROR(__xludf.DUMMYFUNCTION("""COMPUTED_VALUE"""),0.0)</f>
        <v>0</v>
      </c>
      <c r="X1584" s="65">
        <f>IFERROR(__xludf.DUMMYFUNCTION("""COMPUTED_VALUE"""),2.35)</f>
        <v>2.35</v>
      </c>
      <c r="Y1584" s="65">
        <f>IFERROR(__xludf.DUMMYFUNCTION("""COMPUTED_VALUE"""),2.35)</f>
        <v>2.35</v>
      </c>
      <c r="Z1584" s="65">
        <f>IFERROR(__xludf.DUMMYFUNCTION("""COMPUTED_VALUE"""),116679.0)</f>
        <v>116679</v>
      </c>
      <c r="AA1584" s="65" t="str">
        <f>IFERROR(__xludf.DUMMYFUNCTION("""COMPUTED_VALUE"""),"AMC-2738")</f>
        <v>AMC-2738</v>
      </c>
      <c r="AB1584" s="65"/>
      <c r="AC1584" s="65" t="str">
        <f>IFERROR(__xludf.DUMMYFUNCTION("""COMPUTED_VALUE"""),"ESPONJA ANTILLUVIA DE PARABRISAS")</f>
        <v>ESPONJA ANTILLUVIA DE PARABRISAS</v>
      </c>
      <c r="AD1584" s="65"/>
      <c r="AE1584" s="65">
        <f>IFERROR(__xludf.DUMMYFUNCTION("""COMPUTED_VALUE"""),1.0)</f>
        <v>1</v>
      </c>
      <c r="AF1584" s="65"/>
      <c r="AG1584" s="65"/>
      <c r="AH1584" s="65"/>
      <c r="AI1584" s="65"/>
      <c r="AJ1584" s="65"/>
      <c r="AK1584" s="65"/>
      <c r="AL1584" s="65"/>
      <c r="AM1584" s="65"/>
      <c r="AN1584" s="65"/>
      <c r="AO1584" s="65"/>
      <c r="AP1584" s="65"/>
      <c r="AQ1584" s="65"/>
      <c r="AR1584" s="65"/>
      <c r="AS1584" s="65"/>
      <c r="AT1584" s="65" t="str">
        <f>IFERROR(__xludf.DUMMYFUNCTION("""COMPUTED_VALUE"""),"SHOPIFY")</f>
        <v>SHOPIFY</v>
      </c>
      <c r="AU1584" s="65" t="str">
        <f>IFERROR(__xludf.DUMMYFUNCTION("""COMPUTED_VALUE"""),"IMPORTEX EC")</f>
        <v>IMPORTEX EC</v>
      </c>
      <c r="AV1584" s="65" t="str">
        <f>IFERROR(__xludf.DUMMYFUNCTION("""COMPUTED_VALUE"""),"6422673227820")</f>
        <v>6422673227820</v>
      </c>
      <c r="AW1584" s="65">
        <f>IFERROR(__xludf.DUMMYFUNCTION("""COMPUTED_VALUE"""),5356.0)</f>
        <v>5356</v>
      </c>
      <c r="AX1584" s="65"/>
      <c r="AY1584" s="65"/>
      <c r="AZ1584" s="65"/>
      <c r="BA1584" s="65"/>
    </row>
    <row r="1585">
      <c r="A1585" s="65" t="str">
        <f>IFERROR(__xludf.DUMMYFUNCTION("""COMPUTED_VALUE"""),"27-03-2026")</f>
        <v>27-03-2026</v>
      </c>
      <c r="B1585" s="65">
        <f>IFERROR(__xludf.DUMMYFUNCTION("""COMPUTED_VALUE"""),4174977.0)</f>
        <v>4174977</v>
      </c>
      <c r="C1585" s="65" t="str">
        <f>IFERROR(__xludf.DUMMYFUNCTION("""COMPUTED_VALUE"""),"21:11")</f>
        <v>21:11</v>
      </c>
      <c r="D1585" s="65" t="str">
        <f>IFERROR(__xludf.DUMMYFUNCTION("""COMPUTED_VALUE"""),"16-01-2026")</f>
        <v>16-01-2026</v>
      </c>
      <c r="E1585" s="65" t="str">
        <f>IFERROR(__xludf.DUMMYFUNCTION("""COMPUTED_VALUE"""),"Blanca Navas Navas")</f>
        <v>Blanca Navas Navas</v>
      </c>
      <c r="F1585" s="65" t="str">
        <f>IFERROR(__xludf.DUMMYFUNCTION("""COMPUTED_VALUE"""),"988741380")</f>
        <v>988741380</v>
      </c>
      <c r="G1585" s="65" t="str">
        <f>IFERROR(__xludf.DUMMYFUNCTION("""COMPUTED_VALUE"""),"blanquinavas@hotmail.com")</f>
        <v>blanquinavas@hotmail.com</v>
      </c>
      <c r="H1585" s="65"/>
      <c r="I1585" s="65"/>
      <c r="J1585" s="65" t="str">
        <f>IFERROR(__xludf.DUMMYFUNCTION("""COMPUTED_VALUE"""),"D001244003")</f>
        <v>D001244003</v>
      </c>
      <c r="K1585" s="65" t="str">
        <f>IFERROR(__xludf.DUMMYFUNCTION("""COMPUTED_VALUE"""),"DEVOLUCION")</f>
        <v>DEVOLUCION</v>
      </c>
      <c r="L1585" s="65" t="str">
        <f>IFERROR(__xludf.DUMMYFUNCTION("""COMPUTED_VALUE"""),"CON RECAUDO")</f>
        <v>CON RECAUDO</v>
      </c>
      <c r="M1585" s="65" t="str">
        <f>IFERROR(__xludf.DUMMYFUNCTION("""COMPUTED_VALUE"""),"GUAYAS")</f>
        <v>GUAYAS</v>
      </c>
      <c r="N1585" s="65" t="str">
        <f>IFERROR(__xludf.DUMMYFUNCTION("""COMPUTED_VALUE"""),"GUAYAQUIL")</f>
        <v>GUAYAQUIL</v>
      </c>
      <c r="O1585" s="65" t="str">
        <f>IFERROR(__xludf.DUMMYFUNCTION("""COMPUTED_VALUE"""),"Avenida Rodriguez Bonin Urbanizacion girasol mz.106 villa 5 -")</f>
        <v>Avenida Rodriguez Bonin Urbanizacion girasol mz.106 villa 5 -</v>
      </c>
      <c r="P1585" s="65"/>
      <c r="Q1585" s="65" t="str">
        <f>IFERROR(__xludf.DUMMYFUNCTION("""COMPUTED_VALUE"""),"GINTRACOM")</f>
        <v>GINTRACOM</v>
      </c>
      <c r="R1585" s="65">
        <f>IFERROR(__xludf.DUMMYFUNCTION("""COMPUTED_VALUE"""),20.0)</f>
        <v>20</v>
      </c>
      <c r="S1585" s="65"/>
      <c r="T1585" s="65">
        <f>IFERROR(__xludf.DUMMYFUNCTION("""COMPUTED_VALUE"""),5.76)</f>
        <v>5.76</v>
      </c>
      <c r="U1585" s="65">
        <f>IFERROR(__xludf.DUMMYFUNCTION("""COMPUTED_VALUE"""),0.0)</f>
        <v>0</v>
      </c>
      <c r="V1585" s="65">
        <f>IFERROR(__xludf.DUMMYFUNCTION("""COMPUTED_VALUE"""),0.0)</f>
        <v>0</v>
      </c>
      <c r="W1585" s="65">
        <f>IFERROR(__xludf.DUMMYFUNCTION("""COMPUTED_VALUE"""),0.0)</f>
        <v>0</v>
      </c>
      <c r="X1585" s="65">
        <f>IFERROR(__xludf.DUMMYFUNCTION("""COMPUTED_VALUE"""),2.35)</f>
        <v>2.35</v>
      </c>
      <c r="Y1585" s="65">
        <f>IFERROR(__xludf.DUMMYFUNCTION("""COMPUTED_VALUE"""),2.35)</f>
        <v>2.35</v>
      </c>
      <c r="Z1585" s="65">
        <f>IFERROR(__xludf.DUMMYFUNCTION("""COMPUTED_VALUE"""),116679.0)</f>
        <v>116679</v>
      </c>
      <c r="AA1585" s="65" t="str">
        <f>IFERROR(__xludf.DUMMYFUNCTION("""COMPUTED_VALUE"""),"AMC-2738")</f>
        <v>AMC-2738</v>
      </c>
      <c r="AB1585" s="65"/>
      <c r="AC1585" s="65" t="str">
        <f>IFERROR(__xludf.DUMMYFUNCTION("""COMPUTED_VALUE"""),"ESPONJA ANTILLUVIA DE PARABRISAS")</f>
        <v>ESPONJA ANTILLUVIA DE PARABRISAS</v>
      </c>
      <c r="AD1585" s="65"/>
      <c r="AE1585" s="65">
        <f>IFERROR(__xludf.DUMMYFUNCTION("""COMPUTED_VALUE"""),1.0)</f>
        <v>1</v>
      </c>
      <c r="AF1585" s="65" t="str">
        <f>IFERROR(__xludf.DUMMYFUNCTION("""COMPUTED_VALUE"""),"DESTINATARIO NO CONTESTA LLAMADAS NI WHATSAPP")</f>
        <v>DESTINATARIO NO CONTESTA LLAMADAS NI WHATSAPP</v>
      </c>
      <c r="AG1585" s="65" t="str">
        <f>IFERROR(__xludf.DUMMYFUNCTION("""COMPUTED_VALUE"""),"NO")</f>
        <v>NO</v>
      </c>
      <c r="AH1585" s="65" t="str">
        <f>IFERROR(__xludf.DUMMYFUNCTION("""COMPUTED_VALUE"""),"09:00")</f>
        <v>09:00</v>
      </c>
      <c r="AI1585" s="65" t="str">
        <f>IFERROR(__xludf.DUMMYFUNCTION("""COMPUTED_VALUE"""),"31-01-2026")</f>
        <v>31-01-2026</v>
      </c>
      <c r="AJ1585" s="65"/>
      <c r="AK1585" s="65"/>
      <c r="AL1585" s="65"/>
      <c r="AM1585" s="65"/>
      <c r="AN1585" s="65" t="str">
        <f>IFERROR(__xludf.DUMMYFUNCTION("""COMPUTED_VALUE"""),"10:53")</f>
        <v>10:53</v>
      </c>
      <c r="AO1585" s="65" t="str">
        <f>IFERROR(__xludf.DUMMYFUNCTION("""COMPUTED_VALUE"""),"10-02-2026")</f>
        <v>10-02-2026</v>
      </c>
      <c r="AP1585" s="65" t="str">
        <f>IFERROR(__xludf.DUMMYFUNCTION("""COMPUTED_VALUE"""),"DEVOLUCIÓN ENTREGADA A ORIGEN")</f>
        <v>DEVOLUCIÓN ENTREGADA A ORIGEN</v>
      </c>
      <c r="AQ1585" s="65" t="str">
        <f>IFERROR(__xludf.DUMMYFUNCTION("""COMPUTED_VALUE"""),"DEVOLUCIÓN ENTREGADA A ORIGEN")</f>
        <v>DEVOLUCIÓN ENTREGADA A ORIGEN</v>
      </c>
      <c r="AR1585" s="65"/>
      <c r="AS1585" s="65"/>
      <c r="AT1585" s="65" t="str">
        <f>IFERROR(__xludf.DUMMYFUNCTION("""COMPUTED_VALUE"""),"SHOPIFY")</f>
        <v>SHOPIFY</v>
      </c>
      <c r="AU1585" s="65" t="str">
        <f>IFERROR(__xludf.DUMMYFUNCTION("""COMPUTED_VALUE"""),"IMPORTEX EC")</f>
        <v>IMPORTEX EC</v>
      </c>
      <c r="AV1585" s="65" t="str">
        <f>IFERROR(__xludf.DUMMYFUNCTION("""COMPUTED_VALUE"""),"6422658580524")</f>
        <v>6422658580524</v>
      </c>
      <c r="AW1585" s="65">
        <f>IFERROR(__xludf.DUMMYFUNCTION("""COMPUTED_VALUE"""),5355.0)</f>
        <v>5355</v>
      </c>
      <c r="AX1585" s="65"/>
      <c r="AY1585" s="65" t="str">
        <f>IFERROR(__xludf.DUMMYFUNCTION("""COMPUTED_VALUE"""),"20/01/2026")</f>
        <v>20/01/2026</v>
      </c>
      <c r="AZ1585" s="65"/>
      <c r="BA1585" s="65"/>
    </row>
    <row r="1586">
      <c r="A1586" s="65" t="str">
        <f>IFERROR(__xludf.DUMMYFUNCTION("""COMPUTED_VALUE"""),"27-03-2026")</f>
        <v>27-03-2026</v>
      </c>
      <c r="B1586" s="65">
        <f>IFERROR(__xludf.DUMMYFUNCTION("""COMPUTED_VALUE"""),4174878.0)</f>
        <v>4174878</v>
      </c>
      <c r="C1586" s="65" t="str">
        <f>IFERROR(__xludf.DUMMYFUNCTION("""COMPUTED_VALUE"""),"20:59")</f>
        <v>20:59</v>
      </c>
      <c r="D1586" s="65" t="str">
        <f>IFERROR(__xludf.DUMMYFUNCTION("""COMPUTED_VALUE"""),"16-01-2026")</f>
        <v>16-01-2026</v>
      </c>
      <c r="E1586" s="65" t="str">
        <f>IFERROR(__xludf.DUMMYFUNCTION("""COMPUTED_VALUE"""),"Johe Calva")</f>
        <v>Johe Calva</v>
      </c>
      <c r="F1586" s="65" t="str">
        <f>IFERROR(__xludf.DUMMYFUNCTION("""COMPUTED_VALUE"""),"968088110")</f>
        <v>968088110</v>
      </c>
      <c r="G1586" s="65" t="str">
        <f>IFERROR(__xludf.DUMMYFUNCTION("""COMPUTED_VALUE"""),"johecalva915@gmail.com")</f>
        <v>johecalva915@gmail.com</v>
      </c>
      <c r="H1586" s="65"/>
      <c r="I1586" s="65"/>
      <c r="J1586" s="65"/>
      <c r="K1586" s="65" t="str">
        <f>IFERROR(__xludf.DUMMYFUNCTION("""COMPUTED_VALUE"""),"CANCELADO")</f>
        <v>CANCELADO</v>
      </c>
      <c r="L1586" s="65" t="str">
        <f>IFERROR(__xludf.DUMMYFUNCTION("""COMPUTED_VALUE"""),"CON RECAUDO")</f>
        <v>CON RECAUDO</v>
      </c>
      <c r="M1586" s="65" t="str">
        <f>IFERROR(__xludf.DUMMYFUNCTION("""COMPUTED_VALUE"""),"EL ORO")</f>
        <v>EL ORO</v>
      </c>
      <c r="N1586" s="65" t="str">
        <f>IFERROR(__xludf.DUMMYFUNCTION("""COMPUTED_VALUE"""),"HUAQUILLAS")</f>
        <v>HUAQUILLAS</v>
      </c>
      <c r="O1586" s="65" t="str">
        <f>IFERROR(__xludf.DUMMYFUNCTION("""COMPUTED_VALUE"""),"Los shiris y quinta norte Casa de 3 pisos rejas blancas -")</f>
        <v>Los shiris y quinta norte Casa de 3 pisos rejas blancas -</v>
      </c>
      <c r="P1586" s="65"/>
      <c r="Q1586" s="65" t="str">
        <f>IFERROR(__xludf.DUMMYFUNCTION("""COMPUTED_VALUE"""),"GINTRACOM")</f>
        <v>GINTRACOM</v>
      </c>
      <c r="R1586" s="65">
        <f>IFERROR(__xludf.DUMMYFUNCTION("""COMPUTED_VALUE"""),30.0)</f>
        <v>30</v>
      </c>
      <c r="S1586" s="65"/>
      <c r="T1586" s="65">
        <f>IFERROR(__xludf.DUMMYFUNCTION("""COMPUTED_VALUE"""),6.16)</f>
        <v>6.16</v>
      </c>
      <c r="U1586" s="65">
        <f>IFERROR(__xludf.DUMMYFUNCTION("""COMPUTED_VALUE"""),0.0)</f>
        <v>0</v>
      </c>
      <c r="V1586" s="65">
        <f>IFERROR(__xludf.DUMMYFUNCTION("""COMPUTED_VALUE"""),0.0)</f>
        <v>0</v>
      </c>
      <c r="W1586" s="65">
        <f>IFERROR(__xludf.DUMMYFUNCTION("""COMPUTED_VALUE"""),0.0)</f>
        <v>0</v>
      </c>
      <c r="X1586" s="65">
        <f>IFERROR(__xludf.DUMMYFUNCTION("""COMPUTED_VALUE"""),2.35)</f>
        <v>2.35</v>
      </c>
      <c r="Y1586" s="65">
        <f>IFERROR(__xludf.DUMMYFUNCTION("""COMPUTED_VALUE"""),7.05)</f>
        <v>7.05</v>
      </c>
      <c r="Z1586" s="65">
        <f>IFERROR(__xludf.DUMMYFUNCTION("""COMPUTED_VALUE"""),116679.0)</f>
        <v>116679</v>
      </c>
      <c r="AA1586" s="65" t="str">
        <f>IFERROR(__xludf.DUMMYFUNCTION("""COMPUTED_VALUE"""),"AMC-2738")</f>
        <v>AMC-2738</v>
      </c>
      <c r="AB1586" s="65"/>
      <c r="AC1586" s="65" t="str">
        <f>IFERROR(__xludf.DUMMYFUNCTION("""COMPUTED_VALUE"""),"ESPONJA ANTILLUVIA DE PARABRISAS")</f>
        <v>ESPONJA ANTILLUVIA DE PARABRISAS</v>
      </c>
      <c r="AD1586" s="65"/>
      <c r="AE1586" s="65">
        <f>IFERROR(__xludf.DUMMYFUNCTION("""COMPUTED_VALUE"""),3.0)</f>
        <v>3</v>
      </c>
      <c r="AF1586" s="65"/>
      <c r="AG1586" s="65"/>
      <c r="AH1586" s="65"/>
      <c r="AI1586" s="65"/>
      <c r="AJ1586" s="65"/>
      <c r="AK1586" s="65"/>
      <c r="AL1586" s="65"/>
      <c r="AM1586" s="65"/>
      <c r="AN1586" s="65"/>
      <c r="AO1586" s="65"/>
      <c r="AP1586" s="65"/>
      <c r="AQ1586" s="65"/>
      <c r="AR1586" s="65"/>
      <c r="AS1586" s="65"/>
      <c r="AT1586" s="65" t="str">
        <f>IFERROR(__xludf.DUMMYFUNCTION("""COMPUTED_VALUE"""),"SHOPIFY")</f>
        <v>SHOPIFY</v>
      </c>
      <c r="AU1586" s="65" t="str">
        <f>IFERROR(__xludf.DUMMYFUNCTION("""COMPUTED_VALUE"""),"IMPORTEX EC")</f>
        <v>IMPORTEX EC</v>
      </c>
      <c r="AV1586" s="65" t="str">
        <f>IFERROR(__xludf.DUMMYFUNCTION("""COMPUTED_VALUE"""),"6422633644076")</f>
        <v>6422633644076</v>
      </c>
      <c r="AW1586" s="65">
        <f>IFERROR(__xludf.DUMMYFUNCTION("""COMPUTED_VALUE"""),5354.0)</f>
        <v>5354</v>
      </c>
      <c r="AX1586" s="65"/>
      <c r="AY1586" s="65"/>
      <c r="AZ1586" s="65"/>
      <c r="BA1586" s="65"/>
    </row>
    <row r="1587">
      <c r="A1587" s="65" t="str">
        <f>IFERROR(__xludf.DUMMYFUNCTION("""COMPUTED_VALUE"""),"27-03-2026")</f>
        <v>27-03-2026</v>
      </c>
      <c r="B1587" s="65">
        <f>IFERROR(__xludf.DUMMYFUNCTION("""COMPUTED_VALUE"""),4174821.0)</f>
        <v>4174821</v>
      </c>
      <c r="C1587" s="65" t="str">
        <f>IFERROR(__xludf.DUMMYFUNCTION("""COMPUTED_VALUE"""),"20:52")</f>
        <v>20:52</v>
      </c>
      <c r="D1587" s="65" t="str">
        <f>IFERROR(__xludf.DUMMYFUNCTION("""COMPUTED_VALUE"""),"16-01-2026")</f>
        <v>16-01-2026</v>
      </c>
      <c r="E1587" s="65" t="str">
        <f>IFERROR(__xludf.DUMMYFUNCTION("""COMPUTED_VALUE"""),"Juan Soriano")</f>
        <v>Juan Soriano</v>
      </c>
      <c r="F1587" s="65" t="str">
        <f>IFERROR(__xludf.DUMMYFUNCTION("""COMPUTED_VALUE"""),"995130670")</f>
        <v>995130670</v>
      </c>
      <c r="G1587" s="65" t="str">
        <f>IFERROR(__xludf.DUMMYFUNCTION("""COMPUTED_VALUE"""),"fissoluciones508@gmail.com")</f>
        <v>fissoluciones508@gmail.com</v>
      </c>
      <c r="H1587" s="65"/>
      <c r="I1587" s="65"/>
      <c r="J1587" s="65"/>
      <c r="K1587" s="65" t="str">
        <f>IFERROR(__xludf.DUMMYFUNCTION("""COMPUTED_VALUE"""),"PENDIENTE CONFIRMACION")</f>
        <v>PENDIENTE CONFIRMACION</v>
      </c>
      <c r="L1587" s="65" t="str">
        <f>IFERROR(__xludf.DUMMYFUNCTION("""COMPUTED_VALUE"""),"CON RECAUDO")</f>
        <v>CON RECAUDO</v>
      </c>
      <c r="M1587" s="65" t="str">
        <f>IFERROR(__xludf.DUMMYFUNCTION("""COMPUTED_VALUE"""),"GUAYAS")</f>
        <v>GUAYAS</v>
      </c>
      <c r="N1587" s="65" t="str">
        <f>IFERROR(__xludf.DUMMYFUNCTION("""COMPUTED_VALUE"""),"GUAYAQUIL")</f>
        <v>GUAYAQUIL</v>
      </c>
      <c r="O1587" s="65" t="str">
        <f>IFERROR(__xludf.DUMMYFUNCTION("""COMPUTED_VALUE"""),"47 Ava y Chambers")</f>
        <v>47 Ava y Chambers</v>
      </c>
      <c r="P1587" s="65" t="str">
        <f>IFERROR(__xludf.DUMMYFUNCTION("""COMPUTED_VALUE"""),"ESPONJA ANTILLUVIA DE PARABRISAS: Default Title ***")</f>
        <v>ESPONJA ANTILLUVIA DE PARABRISAS: Default Title ***</v>
      </c>
      <c r="Q1587" s="65" t="str">
        <f>IFERROR(__xludf.DUMMYFUNCTION("""COMPUTED_VALUE"""),"GINTRACOM")</f>
        <v>GINTRACOM</v>
      </c>
      <c r="R1587" s="65">
        <f>IFERROR(__xludf.DUMMYFUNCTION("""COMPUTED_VALUE"""),20.0)</f>
        <v>20</v>
      </c>
      <c r="S1587" s="65"/>
      <c r="T1587" s="65">
        <f>IFERROR(__xludf.DUMMYFUNCTION("""COMPUTED_VALUE"""),5.76)</f>
        <v>5.76</v>
      </c>
      <c r="U1587" s="65">
        <f>IFERROR(__xludf.DUMMYFUNCTION("""COMPUTED_VALUE"""),0.0)</f>
        <v>0</v>
      </c>
      <c r="V1587" s="65">
        <f>IFERROR(__xludf.DUMMYFUNCTION("""COMPUTED_VALUE"""),0.0)</f>
        <v>0</v>
      </c>
      <c r="W1587" s="65">
        <f>IFERROR(__xludf.DUMMYFUNCTION("""COMPUTED_VALUE"""),0.0)</f>
        <v>0</v>
      </c>
      <c r="X1587" s="65">
        <f>IFERROR(__xludf.DUMMYFUNCTION("""COMPUTED_VALUE"""),2.35)</f>
        <v>2.35</v>
      </c>
      <c r="Y1587" s="65">
        <f>IFERROR(__xludf.DUMMYFUNCTION("""COMPUTED_VALUE"""),2.35)</f>
        <v>2.35</v>
      </c>
      <c r="Z1587" s="65">
        <f>IFERROR(__xludf.DUMMYFUNCTION("""COMPUTED_VALUE"""),116679.0)</f>
        <v>116679</v>
      </c>
      <c r="AA1587" s="65" t="str">
        <f>IFERROR(__xludf.DUMMYFUNCTION("""COMPUTED_VALUE"""),"AMC-2738")</f>
        <v>AMC-2738</v>
      </c>
      <c r="AB1587" s="65"/>
      <c r="AC1587" s="65" t="str">
        <f>IFERROR(__xludf.DUMMYFUNCTION("""COMPUTED_VALUE"""),"ESPONJA ANTILLUVIA DE PARABRISAS")</f>
        <v>ESPONJA ANTILLUVIA DE PARABRISAS</v>
      </c>
      <c r="AD1587" s="65"/>
      <c r="AE1587" s="65">
        <f>IFERROR(__xludf.DUMMYFUNCTION("""COMPUTED_VALUE"""),1.0)</f>
        <v>1</v>
      </c>
      <c r="AF1587" s="65"/>
      <c r="AG1587" s="65"/>
      <c r="AH1587" s="65"/>
      <c r="AI1587" s="65"/>
      <c r="AJ1587" s="65"/>
      <c r="AK1587" s="65"/>
      <c r="AL1587" s="65"/>
      <c r="AM1587" s="65"/>
      <c r="AN1587" s="65"/>
      <c r="AO1587" s="65"/>
      <c r="AP1587" s="65"/>
      <c r="AQ1587" s="65"/>
      <c r="AR1587" s="65"/>
      <c r="AS1587" s="65"/>
      <c r="AT1587" s="65" t="str">
        <f>IFERROR(__xludf.DUMMYFUNCTION("""COMPUTED_VALUE"""),"SHOPIFY")</f>
        <v>SHOPIFY</v>
      </c>
      <c r="AU1587" s="65" t="str">
        <f>IFERROR(__xludf.DUMMYFUNCTION("""COMPUTED_VALUE"""),"IMPORTEX EC")</f>
        <v>IMPORTEX EC</v>
      </c>
      <c r="AV1587" s="65" t="str">
        <f>IFERROR(__xludf.DUMMYFUNCTION("""COMPUTED_VALUE"""),"6422616866860")</f>
        <v>6422616866860</v>
      </c>
      <c r="AW1587" s="65">
        <f>IFERROR(__xludf.DUMMYFUNCTION("""COMPUTED_VALUE"""),5353.0)</f>
        <v>5353</v>
      </c>
      <c r="AX1587" s="65"/>
      <c r="AY1587" s="65"/>
      <c r="AZ1587" s="65"/>
      <c r="BA1587" s="65"/>
    </row>
    <row r="1588">
      <c r="A1588" s="65" t="str">
        <f>IFERROR(__xludf.DUMMYFUNCTION("""COMPUTED_VALUE"""),"27-03-2026")</f>
        <v>27-03-2026</v>
      </c>
      <c r="B1588" s="65">
        <f>IFERROR(__xludf.DUMMYFUNCTION("""COMPUTED_VALUE"""),4174706.0)</f>
        <v>4174706</v>
      </c>
      <c r="C1588" s="65" t="str">
        <f>IFERROR(__xludf.DUMMYFUNCTION("""COMPUTED_VALUE"""),"20:36")</f>
        <v>20:36</v>
      </c>
      <c r="D1588" s="65" t="str">
        <f>IFERROR(__xludf.DUMMYFUNCTION("""COMPUTED_VALUE"""),"16-01-2026")</f>
        <v>16-01-2026</v>
      </c>
      <c r="E1588" s="65" t="str">
        <f>IFERROR(__xludf.DUMMYFUNCTION("""COMPUTED_VALUE"""),"Margarita Rojas")</f>
        <v>Margarita Rojas</v>
      </c>
      <c r="F1588" s="65" t="str">
        <f>IFERROR(__xludf.DUMMYFUNCTION("""COMPUTED_VALUE"""),"978824087")</f>
        <v>978824087</v>
      </c>
      <c r="G1588" s="65"/>
      <c r="H1588" s="65"/>
      <c r="I1588" s="65"/>
      <c r="J1588" s="65" t="str">
        <f>IFERROR(__xludf.DUMMYFUNCTION("""COMPUTED_VALUE"""),"186988654")</f>
        <v>186988654</v>
      </c>
      <c r="K1588" s="65" t="str">
        <f>IFERROR(__xludf.DUMMYFUNCTION("""COMPUTED_VALUE"""),"ENTREGADO")</f>
        <v>ENTREGADO</v>
      </c>
      <c r="L1588" s="65" t="str">
        <f>IFERROR(__xludf.DUMMYFUNCTION("""COMPUTED_VALUE"""),"CON RECAUDO")</f>
        <v>CON RECAUDO</v>
      </c>
      <c r="M1588" s="65" t="str">
        <f>IFERROR(__xludf.DUMMYFUNCTION("""COMPUTED_VALUE"""),"BOLIVAR")</f>
        <v>BOLIVAR</v>
      </c>
      <c r="N1588" s="65" t="str">
        <f>IFERROR(__xludf.DUMMYFUNCTION("""COMPUTED_VALUE"""),"SAN MIGUEL DE BOLIVAR")</f>
        <v>SAN MIGUEL DE BOLIVAR</v>
      </c>
      <c r="O1588" s="65" t="str">
        <f>IFERROR(__xludf.DUMMYFUNCTION("""COMPUTED_VALUE"""),"CS: GUARANDA_CDLA UNIVERSITARIA / AV. ERNESTO CHE GUEVARA S/N ENTRE LUIS B ARRE Y GABRIELA IGNACIO VEINTIMILLA")</f>
        <v>CS: GUARANDA_CDLA UNIVERSITARIA / AV. ERNESTO CHE GUEVARA S/N ENTRE LUIS B ARRE Y GABRIELA IGNACIO VEINTIMILLA</v>
      </c>
      <c r="P1588" s="65" t="str">
        <f>IFERROR(__xludf.DUMMYFUNCTION("""COMPUTED_VALUE"""),"CS: GUARANDA_CDLA UNIVERSITARIA / AV. ERNESTO CHE GUEVARA S/N ENTRE LUIS B ARRE Y GABRIELA IGNACIO VEINTIMILLA")</f>
        <v>CS: GUARANDA_CDLA UNIVERSITARIA / AV. ERNESTO CHE GUEVARA S/N ENTRE LUIS B ARRE Y GABRIELA IGNACIO VEINTIMILLA</v>
      </c>
      <c r="Q1588" s="65" t="str">
        <f>IFERROR(__xludf.DUMMYFUNCTION("""COMPUTED_VALUE"""),"SERVIENTREGA")</f>
        <v>SERVIENTREGA</v>
      </c>
      <c r="R1588" s="65">
        <f>IFERROR(__xludf.DUMMYFUNCTION("""COMPUTED_VALUE"""),27.0)</f>
        <v>27</v>
      </c>
      <c r="S1588" s="65">
        <f>IFERROR(__xludf.DUMMYFUNCTION("""COMPUTED_VALUE"""),11.43)</f>
        <v>11.43</v>
      </c>
      <c r="T1588" s="65">
        <f>IFERROR(__xludf.DUMMYFUNCTION("""COMPUTED_VALUE"""),7.77)</f>
        <v>7.77</v>
      </c>
      <c r="U1588" s="65">
        <f>IFERROR(__xludf.DUMMYFUNCTION("""COMPUTED_VALUE"""),0.0)</f>
        <v>0</v>
      </c>
      <c r="V1588" s="65">
        <f>IFERROR(__xludf.DUMMYFUNCTION("""COMPUTED_VALUE"""),0.0)</f>
        <v>0</v>
      </c>
      <c r="W1588" s="65">
        <f>IFERROR(__xludf.DUMMYFUNCTION("""COMPUTED_VALUE"""),0.0)</f>
        <v>0</v>
      </c>
      <c r="X1588" s="65">
        <f>IFERROR(__xludf.DUMMYFUNCTION("""COMPUTED_VALUE"""),2.6)</f>
        <v>2.6</v>
      </c>
      <c r="Y1588" s="65">
        <f>IFERROR(__xludf.DUMMYFUNCTION("""COMPUTED_VALUE"""),7.8)</f>
        <v>7.8</v>
      </c>
      <c r="Z1588" s="65">
        <f>IFERROR(__xludf.DUMMYFUNCTION("""COMPUTED_VALUE"""),121983.0)</f>
        <v>121983</v>
      </c>
      <c r="AA1588" s="65" t="str">
        <f>IFERROR(__xludf.DUMMYFUNCTION("""COMPUTED_VALUE"""),"PROV-CHLLCF")</f>
        <v>PROV-CHLLCF</v>
      </c>
      <c r="AB1588" s="65"/>
      <c r="AC1588" s="65" t="str">
        <f>IFERROR(__xludf.DUMMYFUNCTION("""COMPUTED_VALUE"""),"CUCHILLO PARA CHEF")</f>
        <v>CUCHILLO PARA CHEF</v>
      </c>
      <c r="AD1588" s="65"/>
      <c r="AE1588" s="65">
        <f>IFERROR(__xludf.DUMMYFUNCTION("""COMPUTED_VALUE"""),3.0)</f>
        <v>3</v>
      </c>
      <c r="AF1588" s="65"/>
      <c r="AG1588" s="65"/>
      <c r="AH1588" s="65"/>
      <c r="AI1588" s="65"/>
      <c r="AJ1588" s="65"/>
      <c r="AK1588" s="65"/>
      <c r="AL1588" s="65"/>
      <c r="AM1588" s="65"/>
      <c r="AN1588" s="65" t="str">
        <f>IFERROR(__xludf.DUMMYFUNCTION("""COMPUTED_VALUE"""),"11:57")</f>
        <v>11:57</v>
      </c>
      <c r="AO1588" s="65" t="str">
        <f>IFERROR(__xludf.DUMMYFUNCTION("""COMPUTED_VALUE"""),"26-01-2026")</f>
        <v>26-01-2026</v>
      </c>
      <c r="AP1588" s="65" t="str">
        <f>IFERROR(__xludf.DUMMYFUNCTION("""COMPUTED_VALUE"""),"REPORTADO ENTREGADO EN AGENCIA")</f>
        <v>REPORTADO ENTREGADO EN AGENCIA</v>
      </c>
      <c r="AQ1588" s="65" t="str">
        <f>IFERROR(__xludf.DUMMYFUNCTION("""COMPUTED_VALUE"""),"MARGARITA ROJAS")</f>
        <v>MARGARITA ROJAS</v>
      </c>
      <c r="AR1588" s="65"/>
      <c r="AS1588" s="65" t="str">
        <f>IFERROR(__xludf.DUMMYFUNCTION("""COMPUTED_VALUE"""),"Bayron Gomez")</f>
        <v>Bayron Gomez</v>
      </c>
      <c r="AT1588" s="65"/>
      <c r="AU1588" s="65"/>
      <c r="AV1588" s="65"/>
      <c r="AW1588" s="65"/>
      <c r="AX1588" s="65"/>
      <c r="AY1588" s="65" t="str">
        <f>IFERROR(__xludf.DUMMYFUNCTION("""COMPUTED_VALUE"""),"17/01/2026")</f>
        <v>17/01/2026</v>
      </c>
      <c r="AZ1588" s="65"/>
      <c r="BA1588" s="65"/>
    </row>
    <row r="1589">
      <c r="A1589" s="65" t="str">
        <f>IFERROR(__xludf.DUMMYFUNCTION("""COMPUTED_VALUE"""),"27-03-2026")</f>
        <v>27-03-2026</v>
      </c>
      <c r="B1589" s="65">
        <f>IFERROR(__xludf.DUMMYFUNCTION("""COMPUTED_VALUE"""),4174414.0)</f>
        <v>4174414</v>
      </c>
      <c r="C1589" s="65" t="str">
        <f>IFERROR(__xludf.DUMMYFUNCTION("""COMPUTED_VALUE"""),"19:58")</f>
        <v>19:58</v>
      </c>
      <c r="D1589" s="65" t="str">
        <f>IFERROR(__xludf.DUMMYFUNCTION("""COMPUTED_VALUE"""),"16-01-2026")</f>
        <v>16-01-2026</v>
      </c>
      <c r="E1589" s="65" t="str">
        <f>IFERROR(__xludf.DUMMYFUNCTION("""COMPUTED_VALUE"""),"Gabriel Gimeno")</f>
        <v>Gabriel Gimeno</v>
      </c>
      <c r="F1589" s="65" t="str">
        <f>IFERROR(__xludf.DUMMYFUNCTION("""COMPUTED_VALUE"""),"987629635")</f>
        <v>987629635</v>
      </c>
      <c r="G1589" s="65" t="str">
        <f>IFERROR(__xludf.DUMMYFUNCTION("""COMPUTED_VALUE"""),"gabriel_gimeno6@hotmail.com")</f>
        <v>gabriel_gimeno6@hotmail.com</v>
      </c>
      <c r="H1589" s="65"/>
      <c r="I1589" s="65"/>
      <c r="J1589" s="65"/>
      <c r="K1589" s="65" t="str">
        <f>IFERROR(__xludf.DUMMYFUNCTION("""COMPUTED_VALUE"""),"PENDIENTE CONFIRMACION")</f>
        <v>PENDIENTE CONFIRMACION</v>
      </c>
      <c r="L1589" s="65" t="str">
        <f>IFERROR(__xludf.DUMMYFUNCTION("""COMPUTED_VALUE"""),"CON RECAUDO")</f>
        <v>CON RECAUDO</v>
      </c>
      <c r="M1589" s="65" t="str">
        <f>IFERROR(__xludf.DUMMYFUNCTION("""COMPUTED_VALUE"""),"GUAYAS")</f>
        <v>GUAYAS</v>
      </c>
      <c r="N1589" s="65" t="str">
        <f>IFERROR(__xludf.DUMMYFUNCTION("""COMPUTED_VALUE"""),"GUAYAQUIL")</f>
        <v>GUAYAQUIL</v>
      </c>
      <c r="O1589" s="65" t="str">
        <f>IFERROR(__xludf.DUMMYFUNCTION("""COMPUTED_VALUE"""),"Calle olmos principal y calle panorama, condominio panorama Lomas de urdesa -")</f>
        <v>Calle olmos principal y calle panorama, condominio panorama Lomas de urdesa -</v>
      </c>
      <c r="P1589" s="65"/>
      <c r="Q1589" s="65" t="str">
        <f>IFERROR(__xludf.DUMMYFUNCTION("""COMPUTED_VALUE"""),"GINTRACOM")</f>
        <v>GINTRACOM</v>
      </c>
      <c r="R1589" s="65">
        <f>IFERROR(__xludf.DUMMYFUNCTION("""COMPUTED_VALUE"""),20.0)</f>
        <v>20</v>
      </c>
      <c r="S1589" s="65"/>
      <c r="T1589" s="65">
        <f>IFERROR(__xludf.DUMMYFUNCTION("""COMPUTED_VALUE"""),5.76)</f>
        <v>5.76</v>
      </c>
      <c r="U1589" s="65">
        <f>IFERROR(__xludf.DUMMYFUNCTION("""COMPUTED_VALUE"""),0.0)</f>
        <v>0</v>
      </c>
      <c r="V1589" s="65">
        <f>IFERROR(__xludf.DUMMYFUNCTION("""COMPUTED_VALUE"""),0.0)</f>
        <v>0</v>
      </c>
      <c r="W1589" s="65">
        <f>IFERROR(__xludf.DUMMYFUNCTION("""COMPUTED_VALUE"""),0.0)</f>
        <v>0</v>
      </c>
      <c r="X1589" s="65">
        <f>IFERROR(__xludf.DUMMYFUNCTION("""COMPUTED_VALUE"""),2.35)</f>
        <v>2.35</v>
      </c>
      <c r="Y1589" s="65">
        <f>IFERROR(__xludf.DUMMYFUNCTION("""COMPUTED_VALUE"""),2.35)</f>
        <v>2.35</v>
      </c>
      <c r="Z1589" s="65">
        <f>IFERROR(__xludf.DUMMYFUNCTION("""COMPUTED_VALUE"""),116679.0)</f>
        <v>116679</v>
      </c>
      <c r="AA1589" s="65" t="str">
        <f>IFERROR(__xludf.DUMMYFUNCTION("""COMPUTED_VALUE"""),"AMC-2738")</f>
        <v>AMC-2738</v>
      </c>
      <c r="AB1589" s="65"/>
      <c r="AC1589" s="65" t="str">
        <f>IFERROR(__xludf.DUMMYFUNCTION("""COMPUTED_VALUE"""),"ESPONJA ANTILLUVIA DE PARABRISAS")</f>
        <v>ESPONJA ANTILLUVIA DE PARABRISAS</v>
      </c>
      <c r="AD1589" s="65"/>
      <c r="AE1589" s="65">
        <f>IFERROR(__xludf.DUMMYFUNCTION("""COMPUTED_VALUE"""),1.0)</f>
        <v>1</v>
      </c>
      <c r="AF1589" s="65"/>
      <c r="AG1589" s="65"/>
      <c r="AH1589" s="65"/>
      <c r="AI1589" s="65"/>
      <c r="AJ1589" s="65"/>
      <c r="AK1589" s="65"/>
      <c r="AL1589" s="65"/>
      <c r="AM1589" s="65"/>
      <c r="AN1589" s="65"/>
      <c r="AO1589" s="65"/>
      <c r="AP1589" s="65"/>
      <c r="AQ1589" s="65"/>
      <c r="AR1589" s="65"/>
      <c r="AS1589" s="65"/>
      <c r="AT1589" s="65" t="str">
        <f>IFERROR(__xludf.DUMMYFUNCTION("""COMPUTED_VALUE"""),"SHOPIFY")</f>
        <v>SHOPIFY</v>
      </c>
      <c r="AU1589" s="65" t="str">
        <f>IFERROR(__xludf.DUMMYFUNCTION("""COMPUTED_VALUE"""),"IMPORTEX EC")</f>
        <v>IMPORTEX EC</v>
      </c>
      <c r="AV1589" s="65" t="str">
        <f>IFERROR(__xludf.DUMMYFUNCTION("""COMPUTED_VALUE"""),"6422506471468")</f>
        <v>6422506471468</v>
      </c>
      <c r="AW1589" s="65">
        <f>IFERROR(__xludf.DUMMYFUNCTION("""COMPUTED_VALUE"""),5352.0)</f>
        <v>5352</v>
      </c>
      <c r="AX1589" s="65"/>
      <c r="AY1589" s="65"/>
      <c r="AZ1589" s="65"/>
      <c r="BA1589" s="65"/>
    </row>
    <row r="1590">
      <c r="A1590" s="65" t="str">
        <f>IFERROR(__xludf.DUMMYFUNCTION("""COMPUTED_VALUE"""),"27-03-2026")</f>
        <v>27-03-2026</v>
      </c>
      <c r="B1590" s="65">
        <f>IFERROR(__xludf.DUMMYFUNCTION("""COMPUTED_VALUE"""),4174209.0)</f>
        <v>4174209</v>
      </c>
      <c r="C1590" s="65" t="str">
        <f>IFERROR(__xludf.DUMMYFUNCTION("""COMPUTED_VALUE"""),"19:32")</f>
        <v>19:32</v>
      </c>
      <c r="D1590" s="65" t="str">
        <f>IFERROR(__xludf.DUMMYFUNCTION("""COMPUTED_VALUE"""),"16-01-2026")</f>
        <v>16-01-2026</v>
      </c>
      <c r="E1590" s="65" t="str">
        <f>IFERROR(__xludf.DUMMYFUNCTION("""COMPUTED_VALUE"""),"Leandro Briones")</f>
        <v>Leandro Briones</v>
      </c>
      <c r="F1590" s="65" t="str">
        <f>IFERROR(__xludf.DUMMYFUNCTION("""COMPUTED_VALUE"""),"981734481")</f>
        <v>981734481</v>
      </c>
      <c r="G1590" s="65"/>
      <c r="H1590" s="65"/>
      <c r="I1590" s="65"/>
      <c r="J1590" s="65" t="str">
        <f>IFERROR(__xludf.DUMMYFUNCTION("""COMPUTED_VALUE"""),"186988775")</f>
        <v>186988775</v>
      </c>
      <c r="K1590" s="65" t="str">
        <f>IFERROR(__xludf.DUMMYFUNCTION("""COMPUTED_VALUE"""),"DEVOLUCION")</f>
        <v>DEVOLUCION</v>
      </c>
      <c r="L1590" s="65" t="str">
        <f>IFERROR(__xludf.DUMMYFUNCTION("""COMPUTED_VALUE"""),"CON RECAUDO")</f>
        <v>CON RECAUDO</v>
      </c>
      <c r="M1590" s="65" t="str">
        <f>IFERROR(__xludf.DUMMYFUNCTION("""COMPUTED_VALUE"""),"LOS RIOS")</f>
        <v>LOS RIOS</v>
      </c>
      <c r="N1590" s="65" t="str">
        <f>IFERROR(__xludf.DUMMYFUNCTION("""COMPUTED_VALUE"""),"MATA DE CACAO")</f>
        <v>MATA DE CACAO</v>
      </c>
      <c r="O1590" s="65" t="str">
        <f>IFERROR(__xludf.DUMMYFUNCTION("""COMPUTED_VALUE"""),"RETIRA EN CS : MATA DE CACAO_MERCADO MUNICIPAL , AV LOS RIOS Y 24 DE MAYO")</f>
        <v>RETIRA EN CS : MATA DE CACAO_MERCADO MUNICIPAL , AV LOS RIOS Y 24 DE MAYO</v>
      </c>
      <c r="P1590" s="65"/>
      <c r="Q1590" s="65" t="str">
        <f>IFERROR(__xludf.DUMMYFUNCTION("""COMPUTED_VALUE"""),"SERVIENTREGA")</f>
        <v>SERVIENTREGA</v>
      </c>
      <c r="R1590" s="65">
        <f>IFERROR(__xludf.DUMMYFUNCTION("""COMPUTED_VALUE"""),22.0)</f>
        <v>22</v>
      </c>
      <c r="S1590" s="65"/>
      <c r="T1590" s="65">
        <f>IFERROR(__xludf.DUMMYFUNCTION("""COMPUTED_VALUE"""),7.7)</f>
        <v>7.7</v>
      </c>
      <c r="U1590" s="65">
        <f>IFERROR(__xludf.DUMMYFUNCTION("""COMPUTED_VALUE"""),0.0)</f>
        <v>0</v>
      </c>
      <c r="V1590" s="65">
        <f>IFERROR(__xludf.DUMMYFUNCTION("""COMPUTED_VALUE"""),0.0)</f>
        <v>0</v>
      </c>
      <c r="W1590" s="65">
        <f>IFERROR(__xludf.DUMMYFUNCTION("""COMPUTED_VALUE"""),0.0)</f>
        <v>0</v>
      </c>
      <c r="X1590" s="65">
        <f>IFERROR(__xludf.DUMMYFUNCTION("""COMPUTED_VALUE"""),2.6)</f>
        <v>2.6</v>
      </c>
      <c r="Y1590" s="65">
        <f>IFERROR(__xludf.DUMMYFUNCTION("""COMPUTED_VALUE"""),5.2)</f>
        <v>5.2</v>
      </c>
      <c r="Z1590" s="65">
        <f>IFERROR(__xludf.DUMMYFUNCTION("""COMPUTED_VALUE"""),121983.0)</f>
        <v>121983</v>
      </c>
      <c r="AA1590" s="65" t="str">
        <f>IFERROR(__xludf.DUMMYFUNCTION("""COMPUTED_VALUE"""),"PROV-CHLLCF")</f>
        <v>PROV-CHLLCF</v>
      </c>
      <c r="AB1590" s="65"/>
      <c r="AC1590" s="65" t="str">
        <f>IFERROR(__xludf.DUMMYFUNCTION("""COMPUTED_VALUE"""),"CUCHILLO PARA CHEF")</f>
        <v>CUCHILLO PARA CHEF</v>
      </c>
      <c r="AD1590" s="65"/>
      <c r="AE1590" s="65">
        <f>IFERROR(__xludf.DUMMYFUNCTION("""COMPUTED_VALUE"""),2.0)</f>
        <v>2</v>
      </c>
      <c r="AF1590" s="65"/>
      <c r="AG1590" s="65"/>
      <c r="AH1590" s="65"/>
      <c r="AI1590" s="65"/>
      <c r="AJ1590" s="65"/>
      <c r="AK1590" s="65"/>
      <c r="AL1590" s="65"/>
      <c r="AM1590" s="65"/>
      <c r="AN1590" s="65" t="str">
        <f>IFERROR(__xludf.DUMMYFUNCTION("""COMPUTED_VALUE"""),"05:13")</f>
        <v>05:13</v>
      </c>
      <c r="AO1590" s="65" t="str">
        <f>IFERROR(__xludf.DUMMYFUNCTION("""COMPUTED_VALUE"""),"28-01-2026")</f>
        <v>28-01-2026</v>
      </c>
      <c r="AP1590" s="65" t="str">
        <f>IFERROR(__xludf.DUMMYFUNCTION("""COMPUTED_VALUE"""),"INGRESANDO OPERATIVO A")</f>
        <v>INGRESANDO OPERATIVO A</v>
      </c>
      <c r="AQ1590" s="65" t="str">
        <f>IFERROR(__xludf.DUMMYFUNCTION("""COMPUTED_VALUE"""),".")</f>
        <v>.</v>
      </c>
      <c r="AR1590" s="65"/>
      <c r="AS1590" s="65"/>
      <c r="AT1590" s="65"/>
      <c r="AU1590" s="65"/>
      <c r="AV1590" s="65"/>
      <c r="AW1590" s="65"/>
      <c r="AX1590" s="65"/>
      <c r="AY1590" s="65" t="str">
        <f>IFERROR(__xludf.DUMMYFUNCTION("""COMPUTED_VALUE"""),"17/01/2026")</f>
        <v>17/01/2026</v>
      </c>
      <c r="AZ1590" s="65"/>
      <c r="BA1590" s="65"/>
    </row>
    <row r="1591">
      <c r="A1591" s="65" t="str">
        <f>IFERROR(__xludf.DUMMYFUNCTION("""COMPUTED_VALUE"""),"27-03-2026")</f>
        <v>27-03-2026</v>
      </c>
      <c r="B1591" s="65">
        <f>IFERROR(__xludf.DUMMYFUNCTION("""COMPUTED_VALUE"""),4174116.0)</f>
        <v>4174116</v>
      </c>
      <c r="C1591" s="65" t="str">
        <f>IFERROR(__xludf.DUMMYFUNCTION("""COMPUTED_VALUE"""),"19:21")</f>
        <v>19:21</v>
      </c>
      <c r="D1591" s="65" t="str">
        <f>IFERROR(__xludf.DUMMYFUNCTION("""COMPUTED_VALUE"""),"16-01-2026")</f>
        <v>16-01-2026</v>
      </c>
      <c r="E1591" s="65" t="str">
        <f>IFERROR(__xludf.DUMMYFUNCTION("""COMPUTED_VALUE"""),"Mario Torres Velasquez")</f>
        <v>Mario Torres Velasquez</v>
      </c>
      <c r="F1591" s="65" t="str">
        <f>IFERROR(__xludf.DUMMYFUNCTION("""COMPUTED_VALUE"""),"958785511")</f>
        <v>958785511</v>
      </c>
      <c r="G1591" s="65"/>
      <c r="H1591" s="65"/>
      <c r="I1591" s="65"/>
      <c r="J1591" s="65" t="str">
        <f>IFERROR(__xludf.DUMMYFUNCTION("""COMPUTED_VALUE"""),"186988426")</f>
        <v>186988426</v>
      </c>
      <c r="K1591" s="65" t="str">
        <f>IFERROR(__xludf.DUMMYFUNCTION("""COMPUTED_VALUE"""),"ENTREGADO")</f>
        <v>ENTREGADO</v>
      </c>
      <c r="L1591" s="65" t="str">
        <f>IFERROR(__xludf.DUMMYFUNCTION("""COMPUTED_VALUE"""),"CON RECAUDO")</f>
        <v>CON RECAUDO</v>
      </c>
      <c r="M1591" s="65" t="str">
        <f>IFERROR(__xludf.DUMMYFUNCTION("""COMPUTED_VALUE"""),"GUAYAS")</f>
        <v>GUAYAS</v>
      </c>
      <c r="N1591" s="65" t="str">
        <f>IFERROR(__xludf.DUMMYFUNCTION("""COMPUTED_VALUE"""),"GUAYAQUIL")</f>
        <v>GUAYAQUIL</v>
      </c>
      <c r="O1591" s="65" t="str">
        <f>IFERROR(__xludf.DUMMYFUNCTION("""COMPUTED_VALUE"""),"RETIRA EN CS : GUAYAQUIL_PLAZA DANIN 106 , AV C. L. PLAZA DANIN 106 Y AV SAN JORGE")</f>
        <v>RETIRA EN CS : GUAYAQUIL_PLAZA DANIN 106 , AV C. L. PLAZA DANIN 106 Y AV SAN JORGE</v>
      </c>
      <c r="P1591" s="65"/>
      <c r="Q1591" s="65" t="str">
        <f>IFERROR(__xludf.DUMMYFUNCTION("""COMPUTED_VALUE"""),"SERVIENTREGA")</f>
        <v>SERVIENTREGA</v>
      </c>
      <c r="R1591" s="65">
        <f>IFERROR(__xludf.DUMMYFUNCTION("""COMPUTED_VALUE"""),22.0)</f>
        <v>22</v>
      </c>
      <c r="S1591" s="65">
        <f>IFERROR(__xludf.DUMMYFUNCTION("""COMPUTED_VALUE"""),12.43)</f>
        <v>12.43</v>
      </c>
      <c r="T1591" s="65">
        <f>IFERROR(__xludf.DUMMYFUNCTION("""COMPUTED_VALUE"""),4.77)</f>
        <v>4.77</v>
      </c>
      <c r="U1591" s="65">
        <f>IFERROR(__xludf.DUMMYFUNCTION("""COMPUTED_VALUE"""),0.0)</f>
        <v>0</v>
      </c>
      <c r="V1591" s="65">
        <f>IFERROR(__xludf.DUMMYFUNCTION("""COMPUTED_VALUE"""),0.0)</f>
        <v>0</v>
      </c>
      <c r="W1591" s="65">
        <f>IFERROR(__xludf.DUMMYFUNCTION("""COMPUTED_VALUE"""),0.0)</f>
        <v>0</v>
      </c>
      <c r="X1591" s="65">
        <f>IFERROR(__xludf.DUMMYFUNCTION("""COMPUTED_VALUE"""),2.4)</f>
        <v>2.4</v>
      </c>
      <c r="Y1591" s="65">
        <f>IFERROR(__xludf.DUMMYFUNCTION("""COMPUTED_VALUE"""),4.8)</f>
        <v>4.8</v>
      </c>
      <c r="Z1591" s="65">
        <f>IFERROR(__xludf.DUMMYFUNCTION("""COMPUTED_VALUE"""),78401.0)</f>
        <v>78401</v>
      </c>
      <c r="AA1591" s="65" t="str">
        <f>IFERROR(__xludf.DUMMYFUNCTION("""COMPUTED_VALUE"""),"CUCHILLOCORTEPROFESIONAL")</f>
        <v>CUCHILLOCORTEPROFESIONAL</v>
      </c>
      <c r="AB1591" s="65"/>
      <c r="AC1591" s="65" t="str">
        <f>IFERROR(__xludf.DUMMYFUNCTION("""COMPUTED_VALUE"""),"CUCHILLO DE CORTE PROFESIONAL")</f>
        <v>CUCHILLO DE CORTE PROFESIONAL</v>
      </c>
      <c r="AD1591" s="65"/>
      <c r="AE1591" s="65">
        <f>IFERROR(__xludf.DUMMYFUNCTION("""COMPUTED_VALUE"""),2.0)</f>
        <v>2</v>
      </c>
      <c r="AF1591" s="65"/>
      <c r="AG1591" s="65"/>
      <c r="AH1591" s="65"/>
      <c r="AI1591" s="65"/>
      <c r="AJ1591" s="65"/>
      <c r="AK1591" s="65"/>
      <c r="AL1591" s="65"/>
      <c r="AM1591" s="65"/>
      <c r="AN1591" s="65" t="str">
        <f>IFERROR(__xludf.DUMMYFUNCTION("""COMPUTED_VALUE"""),"22:22")</f>
        <v>22:22</v>
      </c>
      <c r="AO1591" s="65" t="str">
        <f>IFERROR(__xludf.DUMMYFUNCTION("""COMPUTED_VALUE"""),"29-01-2026")</f>
        <v>29-01-2026</v>
      </c>
      <c r="AP1591" s="65" t="str">
        <f>IFERROR(__xludf.DUMMYFUNCTION("""COMPUTED_VALUE"""),"ENTREGA DIGITALIZADA EN CENTRO LOGISTICO")</f>
        <v>ENTREGA DIGITALIZADA EN CENTRO LOGISTICO</v>
      </c>
      <c r="AQ1591" s="65" t="str">
        <f>IFERROR(__xludf.DUMMYFUNCTION("""COMPUTED_VALUE"""),"VERONICA PROANO")</f>
        <v>VERONICA PROANO</v>
      </c>
      <c r="AR1591" s="65"/>
      <c r="AS1591" s="65"/>
      <c r="AT1591" s="65"/>
      <c r="AU1591" s="65"/>
      <c r="AV1591" s="65"/>
      <c r="AW1591" s="65"/>
      <c r="AX1591" s="65"/>
      <c r="AY1591" s="65" t="str">
        <f>IFERROR(__xludf.DUMMYFUNCTION("""COMPUTED_VALUE"""),"17/01/2026")</f>
        <v>17/01/2026</v>
      </c>
      <c r="AZ1591" s="65"/>
      <c r="BA1591" s="65"/>
    </row>
    <row r="1592">
      <c r="A1592" s="65" t="str">
        <f>IFERROR(__xludf.DUMMYFUNCTION("""COMPUTED_VALUE"""),"27-03-2026")</f>
        <v>27-03-2026</v>
      </c>
      <c r="B1592" s="65">
        <f>IFERROR(__xludf.DUMMYFUNCTION("""COMPUTED_VALUE"""),4174082.0)</f>
        <v>4174082</v>
      </c>
      <c r="C1592" s="65" t="str">
        <f>IFERROR(__xludf.DUMMYFUNCTION("""COMPUTED_VALUE"""),"19:16")</f>
        <v>19:16</v>
      </c>
      <c r="D1592" s="65" t="str">
        <f>IFERROR(__xludf.DUMMYFUNCTION("""COMPUTED_VALUE"""),"16-01-2026")</f>
        <v>16-01-2026</v>
      </c>
      <c r="E1592" s="65" t="str">
        <f>IFERROR(__xludf.DUMMYFUNCTION("""COMPUTED_VALUE"""),"Ruben Toro")</f>
        <v>Ruben Toro</v>
      </c>
      <c r="F1592" s="65" t="str">
        <f>IFERROR(__xludf.DUMMYFUNCTION("""COMPUTED_VALUE"""),"980542308")</f>
        <v>980542308</v>
      </c>
      <c r="G1592" s="65"/>
      <c r="H1592" s="65"/>
      <c r="I1592" s="65"/>
      <c r="J1592" s="65" t="str">
        <f>IFERROR(__xludf.DUMMYFUNCTION("""COMPUTED_VALUE"""),"186487391")</f>
        <v>186487391</v>
      </c>
      <c r="K1592" s="65" t="str">
        <f>IFERROR(__xludf.DUMMYFUNCTION("""COMPUTED_VALUE"""),"ENTREGADO")</f>
        <v>ENTREGADO</v>
      </c>
      <c r="L1592" s="65" t="str">
        <f>IFERROR(__xludf.DUMMYFUNCTION("""COMPUTED_VALUE"""),"CON RECAUDO")</f>
        <v>CON RECAUDO</v>
      </c>
      <c r="M1592" s="65" t="str">
        <f>IFERROR(__xludf.DUMMYFUNCTION("""COMPUTED_VALUE"""),"EL ORO")</f>
        <v>EL ORO</v>
      </c>
      <c r="N1592" s="65" t="str">
        <f>IFERROR(__xludf.DUMMYFUNCTION("""COMPUTED_VALUE"""),"PINAS")</f>
        <v>PINAS</v>
      </c>
      <c r="O1592" s="65" t="str">
        <f>IFERROR(__xludf.DUMMYFUNCTION("""COMPUTED_VALUE"""),"Frente A Esclusividades Vicmar calle Jose de Olmedo y Sucre Barrio central ( ubicacion en notas ),")</f>
        <v>Frente A Esclusividades Vicmar calle Jose de Olmedo y Sucre Barrio central ( ubicacion en notas ),</v>
      </c>
      <c r="P1592" s="68" t="str">
        <f>IFERROR(__xludf.DUMMYFUNCTION("""COMPUTED_VALUE"""),"https://www.google.com/maps/place/Exclusividades+VICMAR/@-3.6809786,-79.6835818,869m/data=!3m2!1e3!4b1!4m6!3m5!1s0x90335f6256088059:0xff1a1fb8fa207107!8m2!3d-3.6809786!4d-79.6810069!16s%2Fg%2F11cmsf2n_k?entry=ttu&amp;g_ep=EgoyMDI2MDExMy4wIKXMDSoASAFQAw%3D%3D")</f>
        <v>https://www.google.com/maps/place/Exclusividades+VICMAR/@-3.6809786,-79.6835818,869m/data=!3m2!1e3!4b1!4m6!3m5!1s0x90335f6256088059:0xff1a1fb8fa207107!8m2!3d-3.6809786!4d-79.6810069!16s%2Fg%2F11cmsf2n_k?entry=ttu&amp;g_ep=EgoyMDI2MDExMy4wIKXMDSoASAFQAw%3D%3D</v>
      </c>
      <c r="Q1592" s="65" t="str">
        <f>IFERROR(__xludf.DUMMYFUNCTION("""COMPUTED_VALUE"""),"SERVIENTREGA")</f>
        <v>SERVIENTREGA</v>
      </c>
      <c r="R1592" s="65">
        <f>IFERROR(__xludf.DUMMYFUNCTION("""COMPUTED_VALUE"""),25.0)</f>
        <v>25</v>
      </c>
      <c r="S1592" s="65">
        <f>IFERROR(__xludf.DUMMYFUNCTION("""COMPUTED_VALUE"""),12.55)</f>
        <v>12.55</v>
      </c>
      <c r="T1592" s="65">
        <f>IFERROR(__xludf.DUMMYFUNCTION("""COMPUTED_VALUE"""),7.75)</f>
        <v>7.75</v>
      </c>
      <c r="U1592" s="65">
        <f>IFERROR(__xludf.DUMMYFUNCTION("""COMPUTED_VALUE"""),0.0)</f>
        <v>0</v>
      </c>
      <c r="V1592" s="65">
        <f>IFERROR(__xludf.DUMMYFUNCTION("""COMPUTED_VALUE"""),0.0)</f>
        <v>0</v>
      </c>
      <c r="W1592" s="65">
        <f>IFERROR(__xludf.DUMMYFUNCTION("""COMPUTED_VALUE"""),0.0)</f>
        <v>0</v>
      </c>
      <c r="X1592" s="65">
        <f>IFERROR(__xludf.DUMMYFUNCTION("""COMPUTED_VALUE"""),2.35)</f>
        <v>2.35</v>
      </c>
      <c r="Y1592" s="65">
        <f>IFERROR(__xludf.DUMMYFUNCTION("""COMPUTED_VALUE"""),4.7)</f>
        <v>4.7</v>
      </c>
      <c r="Z1592" s="65">
        <f>IFERROR(__xludf.DUMMYFUNCTION("""COMPUTED_VALUE"""),116679.0)</f>
        <v>116679</v>
      </c>
      <c r="AA1592" s="65" t="str">
        <f>IFERROR(__xludf.DUMMYFUNCTION("""COMPUTED_VALUE"""),"AMC-2738")</f>
        <v>AMC-2738</v>
      </c>
      <c r="AB1592" s="65"/>
      <c r="AC1592" s="65" t="str">
        <f>IFERROR(__xludf.DUMMYFUNCTION("""COMPUTED_VALUE"""),"ESPONJA ANTILLUVIA DE PARABRISAS")</f>
        <v>ESPONJA ANTILLUVIA DE PARABRISAS</v>
      </c>
      <c r="AD1592" s="65"/>
      <c r="AE1592" s="65">
        <f>IFERROR(__xludf.DUMMYFUNCTION("""COMPUTED_VALUE"""),2.0)</f>
        <v>2</v>
      </c>
      <c r="AF1592" s="65" t="str">
        <f>IFERROR(__xludf.DUMMYFUNCTION("""COMPUTED_VALUE"""),"CERRADO")</f>
        <v>CERRADO</v>
      </c>
      <c r="AG1592" s="65" t="str">
        <f>IFERROR(__xludf.DUMMYFUNCTION("""COMPUTED_VALUE"""),"NO")</f>
        <v>NO</v>
      </c>
      <c r="AH1592" s="65" t="str">
        <f>IFERROR(__xludf.DUMMYFUNCTION("""COMPUTED_VALUE"""),"16:51")</f>
        <v>16:51</v>
      </c>
      <c r="AI1592" s="65" t="str">
        <f>IFERROR(__xludf.DUMMYFUNCTION("""COMPUTED_VALUE"""),"20-01-2026")</f>
        <v>20-01-2026</v>
      </c>
      <c r="AJ1592" s="65"/>
      <c r="AK1592" s="65"/>
      <c r="AL1592" s="65"/>
      <c r="AM1592" s="65"/>
      <c r="AN1592" s="65" t="str">
        <f>IFERROR(__xludf.DUMMYFUNCTION("""COMPUTED_VALUE"""),"12:03")</f>
        <v>12:03</v>
      </c>
      <c r="AO1592" s="65" t="str">
        <f>IFERROR(__xludf.DUMMYFUNCTION("""COMPUTED_VALUE"""),"21-01-2026")</f>
        <v>21-01-2026</v>
      </c>
      <c r="AP1592" s="65" t="str">
        <f>IFERROR(__xludf.DUMMYFUNCTION("""COMPUTED_VALUE"""),"INGRESANDO EN AGENCIA")</f>
        <v>INGRESANDO EN AGENCIA</v>
      </c>
      <c r="AQ1592" s="65" t="str">
        <f>IFERROR(__xludf.DUMMYFUNCTION("""COMPUTED_VALUE"""),".")</f>
        <v>.</v>
      </c>
      <c r="AR1592" s="65"/>
      <c r="AS1592" s="65"/>
      <c r="AT1592" s="65"/>
      <c r="AU1592" s="65"/>
      <c r="AV1592" s="65"/>
      <c r="AW1592" s="65"/>
      <c r="AX1592" s="65"/>
      <c r="AY1592" s="65" t="str">
        <f>IFERROR(__xludf.DUMMYFUNCTION("""COMPUTED_VALUE"""),"17/01/2026")</f>
        <v>17/01/2026</v>
      </c>
      <c r="AZ1592" s="65"/>
      <c r="BA1592" s="65"/>
    </row>
    <row r="1593">
      <c r="A1593" s="65" t="str">
        <f>IFERROR(__xludf.DUMMYFUNCTION("""COMPUTED_VALUE"""),"27-03-2026")</f>
        <v>27-03-2026</v>
      </c>
      <c r="B1593" s="65">
        <f>IFERROR(__xludf.DUMMYFUNCTION("""COMPUTED_VALUE"""),4173557.0)</f>
        <v>4173557</v>
      </c>
      <c r="C1593" s="65" t="str">
        <f>IFERROR(__xludf.DUMMYFUNCTION("""COMPUTED_VALUE"""),"18:20")</f>
        <v>18:20</v>
      </c>
      <c r="D1593" s="65" t="str">
        <f>IFERROR(__xludf.DUMMYFUNCTION("""COMPUTED_VALUE"""),"16-01-2026")</f>
        <v>16-01-2026</v>
      </c>
      <c r="E1593" s="65" t="str">
        <f>IFERROR(__xludf.DUMMYFUNCTION("""COMPUTED_VALUE"""),"Blanca Pilaluisa")</f>
        <v>Blanca Pilaluisa</v>
      </c>
      <c r="F1593" s="65" t="str">
        <f>IFERROR(__xludf.DUMMYFUNCTION("""COMPUTED_VALUE"""),"984854113")</f>
        <v>984854113</v>
      </c>
      <c r="G1593" s="65" t="str">
        <f>IFERROR(__xludf.DUMMYFUNCTION("""COMPUTED_VALUE"""),"blanquitapilaluisa@gmail.com")</f>
        <v>blanquitapilaluisa@gmail.com</v>
      </c>
      <c r="H1593" s="65"/>
      <c r="I1593" s="65"/>
      <c r="J1593" s="65" t="str">
        <f>IFERROR(__xludf.DUMMYFUNCTION("""COMPUTED_VALUE"""),"D001244012")</f>
        <v>D001244012</v>
      </c>
      <c r="K1593" s="65" t="str">
        <f>IFERROR(__xludf.DUMMYFUNCTION("""COMPUTED_VALUE"""),"ENTREGADO")</f>
        <v>ENTREGADO</v>
      </c>
      <c r="L1593" s="65" t="str">
        <f>IFERROR(__xludf.DUMMYFUNCTION("""COMPUTED_VALUE"""),"CON RECAUDO")</f>
        <v>CON RECAUDO</v>
      </c>
      <c r="M1593" s="65" t="str">
        <f>IFERROR(__xludf.DUMMYFUNCTION("""COMPUTED_VALUE"""),"PICHINCHA")</f>
        <v>PICHINCHA</v>
      </c>
      <c r="N1593" s="65" t="str">
        <f>IFERROR(__xludf.DUMMYFUNCTION("""COMPUTED_VALUE"""),"QUITO")</f>
        <v>QUITO</v>
      </c>
      <c r="O1593" s="65" t="str">
        <f>IFERROR(__xludf.DUMMYFUNCTION("""COMPUTED_VALUE"""),"Calle Juan de Villa N7-29 y martindel valle Toctiuco alto - Barrio Toctiuco alto (Queda junto a casa somos Toctiuco)")</f>
        <v>Calle Juan de Villa N7-29 y martindel valle Toctiuco alto - Barrio Toctiuco alto (Queda junto a casa somos Toctiuco)</v>
      </c>
      <c r="P1593" s="65"/>
      <c r="Q1593" s="65" t="str">
        <f>IFERROR(__xludf.DUMMYFUNCTION("""COMPUTED_VALUE"""),"GINTRACOM")</f>
        <v>GINTRACOM</v>
      </c>
      <c r="R1593" s="65">
        <f>IFERROR(__xludf.DUMMYFUNCTION("""COMPUTED_VALUE"""),25.0)</f>
        <v>25</v>
      </c>
      <c r="S1593" s="65">
        <f>IFERROR(__xludf.DUMMYFUNCTION("""COMPUTED_VALUE"""),15.95)</f>
        <v>15.95</v>
      </c>
      <c r="T1593" s="65">
        <f>IFERROR(__xludf.DUMMYFUNCTION("""COMPUTED_VALUE"""),4.35)</f>
        <v>4.35</v>
      </c>
      <c r="U1593" s="65">
        <f>IFERROR(__xludf.DUMMYFUNCTION("""COMPUTED_VALUE"""),0.0)</f>
        <v>0</v>
      </c>
      <c r="V1593" s="65">
        <f>IFERROR(__xludf.DUMMYFUNCTION("""COMPUTED_VALUE"""),0.0)</f>
        <v>0</v>
      </c>
      <c r="W1593" s="65">
        <f>IFERROR(__xludf.DUMMYFUNCTION("""COMPUTED_VALUE"""),0.0)</f>
        <v>0</v>
      </c>
      <c r="X1593" s="65">
        <f>IFERROR(__xludf.DUMMYFUNCTION("""COMPUTED_VALUE"""),2.35)</f>
        <v>2.35</v>
      </c>
      <c r="Y1593" s="65">
        <f>IFERROR(__xludf.DUMMYFUNCTION("""COMPUTED_VALUE"""),4.7)</f>
        <v>4.7</v>
      </c>
      <c r="Z1593" s="65">
        <f>IFERROR(__xludf.DUMMYFUNCTION("""COMPUTED_VALUE"""),116679.0)</f>
        <v>116679</v>
      </c>
      <c r="AA1593" s="65" t="str">
        <f>IFERROR(__xludf.DUMMYFUNCTION("""COMPUTED_VALUE"""),"AMC-2738")</f>
        <v>AMC-2738</v>
      </c>
      <c r="AB1593" s="65"/>
      <c r="AC1593" s="65" t="str">
        <f>IFERROR(__xludf.DUMMYFUNCTION("""COMPUTED_VALUE"""),"ESPONJA ANTILLUVIA DE PARABRISAS")</f>
        <v>ESPONJA ANTILLUVIA DE PARABRISAS</v>
      </c>
      <c r="AD1593" s="65"/>
      <c r="AE1593" s="65">
        <f>IFERROR(__xludf.DUMMYFUNCTION("""COMPUTED_VALUE"""),2.0)</f>
        <v>2</v>
      </c>
      <c r="AF1593" s="65"/>
      <c r="AG1593" s="65"/>
      <c r="AH1593" s="65"/>
      <c r="AI1593" s="65"/>
      <c r="AJ1593" s="65"/>
      <c r="AK1593" s="65"/>
      <c r="AL1593" s="65"/>
      <c r="AM1593" s="65"/>
      <c r="AN1593" s="65" t="str">
        <f>IFERROR(__xludf.DUMMYFUNCTION("""COMPUTED_VALUE"""),"13:34")</f>
        <v>13:34</v>
      </c>
      <c r="AO1593" s="65" t="str">
        <f>IFERROR(__xludf.DUMMYFUNCTION("""COMPUTED_VALUE"""),"22-02-2026")</f>
        <v>22-02-2026</v>
      </c>
      <c r="AP1593" s="65" t="str">
        <f>IFERROR(__xludf.DUMMYFUNCTION("""COMPUTED_VALUE"""),"ENTREGADA GINTRACOM")</f>
        <v>ENTREGADA GINTRACOM</v>
      </c>
      <c r="AQ1593" s="65" t="str">
        <f>IFERROR(__xludf.DUMMYFUNCTION("""COMPUTED_VALUE"""),"ENTREGADA GINTRACOM")</f>
        <v>ENTREGADA GINTRACOM</v>
      </c>
      <c r="AR1593" s="65"/>
      <c r="AS1593" s="65"/>
      <c r="AT1593" s="65" t="str">
        <f>IFERROR(__xludf.DUMMYFUNCTION("""COMPUTED_VALUE"""),"SHOPIFY")</f>
        <v>SHOPIFY</v>
      </c>
      <c r="AU1593" s="65" t="str">
        <f>IFERROR(__xludf.DUMMYFUNCTION("""COMPUTED_VALUE"""),"IMPORTEX EC")</f>
        <v>IMPORTEX EC</v>
      </c>
      <c r="AV1593" s="65" t="str">
        <f>IFERROR(__xludf.DUMMYFUNCTION("""COMPUTED_VALUE"""),"6422297542700")</f>
        <v>6422297542700</v>
      </c>
      <c r="AW1593" s="65">
        <f>IFERROR(__xludf.DUMMYFUNCTION("""COMPUTED_VALUE"""),5351.0)</f>
        <v>5351</v>
      </c>
      <c r="AX1593" s="65"/>
      <c r="AY1593" s="65" t="str">
        <f>IFERROR(__xludf.DUMMYFUNCTION("""COMPUTED_VALUE"""),"20/01/2026")</f>
        <v>20/01/2026</v>
      </c>
      <c r="AZ1593" s="65"/>
      <c r="BA1593" s="65"/>
    </row>
    <row r="1594">
      <c r="A1594" s="65" t="str">
        <f>IFERROR(__xludf.DUMMYFUNCTION("""COMPUTED_VALUE"""),"27-03-2026")</f>
        <v>27-03-2026</v>
      </c>
      <c r="B1594" s="65">
        <f>IFERROR(__xludf.DUMMYFUNCTION("""COMPUTED_VALUE"""),4173400.0)</f>
        <v>4173400</v>
      </c>
      <c r="C1594" s="65" t="str">
        <f>IFERROR(__xludf.DUMMYFUNCTION("""COMPUTED_VALUE"""),"18:00")</f>
        <v>18:00</v>
      </c>
      <c r="D1594" s="65" t="str">
        <f>IFERROR(__xludf.DUMMYFUNCTION("""COMPUTED_VALUE"""),"16-01-2026")</f>
        <v>16-01-2026</v>
      </c>
      <c r="E1594" s="65" t="str">
        <f>IFERROR(__xludf.DUMMYFUNCTION("""COMPUTED_VALUE"""),"Dario Zares")</f>
        <v>Dario Zares</v>
      </c>
      <c r="F1594" s="65" t="str">
        <f>IFERROR(__xludf.DUMMYFUNCTION("""COMPUTED_VALUE"""),"998953704")</f>
        <v>998953704</v>
      </c>
      <c r="G1594" s="65"/>
      <c r="H1594" s="65"/>
      <c r="I1594" s="65"/>
      <c r="J1594" s="65"/>
      <c r="K1594" s="65" t="str">
        <f>IFERROR(__xludf.DUMMYFUNCTION("""COMPUTED_VALUE"""),"PENDIENTE CONFIRMACION")</f>
        <v>PENDIENTE CONFIRMACION</v>
      </c>
      <c r="L1594" s="65" t="str">
        <f>IFERROR(__xludf.DUMMYFUNCTION("""COMPUTED_VALUE"""),"CON RECAUDO")</f>
        <v>CON RECAUDO</v>
      </c>
      <c r="M1594" s="65" t="str">
        <f>IFERROR(__xludf.DUMMYFUNCTION("""COMPUTED_VALUE"""),"EL ORO")</f>
        <v>EL ORO</v>
      </c>
      <c r="N1594" s="65" t="str">
        <f>IFERROR(__xludf.DUMMYFUNCTION("""COMPUTED_VALUE"""),"MACHALA")</f>
        <v>MACHALA</v>
      </c>
      <c r="O1594" s="65" t="str">
        <f>IFERROR(__xludf.DUMMYFUNCTION("""COMPUTED_VALUE"""),"Retira en CS: AV LA PALMERAS  Y MARCEL LANEADO")</f>
        <v>Retira en CS: AV LA PALMERAS  Y MARCEL LANEADO</v>
      </c>
      <c r="P1594" s="65"/>
      <c r="Q1594" s="65" t="str">
        <f>IFERROR(__xludf.DUMMYFUNCTION("""COMPUTED_VALUE"""),"SERVIENTREGA")</f>
        <v>SERVIENTREGA</v>
      </c>
      <c r="R1594" s="65">
        <f>IFERROR(__xludf.DUMMYFUNCTION("""COMPUTED_VALUE"""),30.0)</f>
        <v>30</v>
      </c>
      <c r="S1594" s="65"/>
      <c r="T1594" s="65">
        <f>IFERROR(__xludf.DUMMYFUNCTION("""COMPUTED_VALUE"""),6.38)</f>
        <v>6.38</v>
      </c>
      <c r="U1594" s="65">
        <f>IFERROR(__xludf.DUMMYFUNCTION("""COMPUTED_VALUE"""),0.0)</f>
        <v>0</v>
      </c>
      <c r="V1594" s="65">
        <f>IFERROR(__xludf.DUMMYFUNCTION("""COMPUTED_VALUE"""),0.0)</f>
        <v>0</v>
      </c>
      <c r="W1594" s="65">
        <f>IFERROR(__xludf.DUMMYFUNCTION("""COMPUTED_VALUE"""),0.0)</f>
        <v>0</v>
      </c>
      <c r="X1594" s="65">
        <f>IFERROR(__xludf.DUMMYFUNCTION("""COMPUTED_VALUE"""),2.35)</f>
        <v>2.35</v>
      </c>
      <c r="Y1594" s="65">
        <f>IFERROR(__xludf.DUMMYFUNCTION("""COMPUTED_VALUE"""),7.05)</f>
        <v>7.05</v>
      </c>
      <c r="Z1594" s="65">
        <f>IFERROR(__xludf.DUMMYFUNCTION("""COMPUTED_VALUE"""),116679.0)</f>
        <v>116679</v>
      </c>
      <c r="AA1594" s="65" t="str">
        <f>IFERROR(__xludf.DUMMYFUNCTION("""COMPUTED_VALUE"""),"AMC-2738")</f>
        <v>AMC-2738</v>
      </c>
      <c r="AB1594" s="65"/>
      <c r="AC1594" s="65" t="str">
        <f>IFERROR(__xludf.DUMMYFUNCTION("""COMPUTED_VALUE"""),"ESPONJA ANTILLUVIA DE PARABRISAS")</f>
        <v>ESPONJA ANTILLUVIA DE PARABRISAS</v>
      </c>
      <c r="AD1594" s="65"/>
      <c r="AE1594" s="65">
        <f>IFERROR(__xludf.DUMMYFUNCTION("""COMPUTED_VALUE"""),3.0)</f>
        <v>3</v>
      </c>
      <c r="AF1594" s="65"/>
      <c r="AG1594" s="65"/>
      <c r="AH1594" s="65"/>
      <c r="AI1594" s="65"/>
      <c r="AJ1594" s="65"/>
      <c r="AK1594" s="65"/>
      <c r="AL1594" s="65"/>
      <c r="AM1594" s="65"/>
      <c r="AN1594" s="65"/>
      <c r="AO1594" s="65"/>
      <c r="AP1594" s="65"/>
      <c r="AQ1594" s="65"/>
      <c r="AR1594" s="65"/>
      <c r="AS1594" s="65" t="str">
        <f>IFERROR(__xludf.DUMMYFUNCTION("""COMPUTED_VALUE"""),"PAUL BORJA")</f>
        <v>PAUL BORJA</v>
      </c>
      <c r="AT1594" s="65"/>
      <c r="AU1594" s="65"/>
      <c r="AV1594" s="65"/>
      <c r="AW1594" s="65"/>
      <c r="AX1594" s="65"/>
      <c r="AY1594" s="65"/>
      <c r="AZ1594" s="65"/>
      <c r="BA1594" s="65"/>
    </row>
    <row r="1595">
      <c r="A1595" s="65" t="str">
        <f>IFERROR(__xludf.DUMMYFUNCTION("""COMPUTED_VALUE"""),"27-03-2026")</f>
        <v>27-03-2026</v>
      </c>
      <c r="B1595" s="65">
        <f>IFERROR(__xludf.DUMMYFUNCTION("""COMPUTED_VALUE"""),4172400.0)</f>
        <v>4172400</v>
      </c>
      <c r="C1595" s="65" t="str">
        <f>IFERROR(__xludf.DUMMYFUNCTION("""COMPUTED_VALUE"""),"16:22")</f>
        <v>16:22</v>
      </c>
      <c r="D1595" s="65" t="str">
        <f>IFERROR(__xludf.DUMMYFUNCTION("""COMPUTED_VALUE"""),"16-01-2026")</f>
        <v>16-01-2026</v>
      </c>
      <c r="E1595" s="65" t="str">
        <f>IFERROR(__xludf.DUMMYFUNCTION("""COMPUTED_VALUE"""),"Elizabeth Párraga")</f>
        <v>Elizabeth Párraga</v>
      </c>
      <c r="F1595" s="65" t="str">
        <f>IFERROR(__xludf.DUMMYFUNCTION("""COMPUTED_VALUE"""),"996251284")</f>
        <v>996251284</v>
      </c>
      <c r="G1595" s="65" t="str">
        <f>IFERROR(__xludf.DUMMYFUNCTION("""COMPUTED_VALUE"""),"bekyfay1990@hotmail.com")</f>
        <v>bekyfay1990@hotmail.com</v>
      </c>
      <c r="H1595" s="65"/>
      <c r="I1595" s="65"/>
      <c r="J1595" s="65" t="str">
        <f>IFERROR(__xludf.DUMMYFUNCTION("""COMPUTED_VALUE"""),"D001251021")</f>
        <v>D001251021</v>
      </c>
      <c r="K1595" s="65" t="str">
        <f>IFERROR(__xludf.DUMMYFUNCTION("""COMPUTED_VALUE"""),"DEVOLUCION")</f>
        <v>DEVOLUCION</v>
      </c>
      <c r="L1595" s="65" t="str">
        <f>IFERROR(__xludf.DUMMYFUNCTION("""COMPUTED_VALUE"""),"CON RECAUDO")</f>
        <v>CON RECAUDO</v>
      </c>
      <c r="M1595" s="65" t="str">
        <f>IFERROR(__xludf.DUMMYFUNCTION("""COMPUTED_VALUE"""),"PICHINCHA")</f>
        <v>PICHINCHA</v>
      </c>
      <c r="N1595" s="65" t="str">
        <f>IFERROR(__xludf.DUMMYFUNCTION("""COMPUTED_VALUE"""),"QUITO")</f>
        <v>QUITO</v>
      </c>
      <c r="O1595" s="65" t="str">
        <f>IFERROR(__xludf.DUMMYFUNCTION("""COMPUTED_VALUE"""),"E4H, pasaje 39, sector Pueblo Unido bajo Quitumbe -")</f>
        <v>E4H, pasaje 39, sector Pueblo Unido bajo Quitumbe -</v>
      </c>
      <c r="P1595" s="65"/>
      <c r="Q1595" s="65" t="str">
        <f>IFERROR(__xludf.DUMMYFUNCTION("""COMPUTED_VALUE"""),"GINTRACOM")</f>
        <v>GINTRACOM</v>
      </c>
      <c r="R1595" s="65">
        <f>IFERROR(__xludf.DUMMYFUNCTION("""COMPUTED_VALUE"""),20.0)</f>
        <v>20</v>
      </c>
      <c r="S1595" s="65"/>
      <c r="T1595" s="65">
        <f>IFERROR(__xludf.DUMMYFUNCTION("""COMPUTED_VALUE"""),4.15)</f>
        <v>4.15</v>
      </c>
      <c r="U1595" s="65">
        <f>IFERROR(__xludf.DUMMYFUNCTION("""COMPUTED_VALUE"""),0.0)</f>
        <v>0</v>
      </c>
      <c r="V1595" s="65">
        <f>IFERROR(__xludf.DUMMYFUNCTION("""COMPUTED_VALUE"""),0.0)</f>
        <v>0</v>
      </c>
      <c r="W1595" s="65">
        <f>IFERROR(__xludf.DUMMYFUNCTION("""COMPUTED_VALUE"""),0.0)</f>
        <v>0</v>
      </c>
      <c r="X1595" s="65">
        <f>IFERROR(__xludf.DUMMYFUNCTION("""COMPUTED_VALUE"""),2.35)</f>
        <v>2.35</v>
      </c>
      <c r="Y1595" s="65">
        <f>IFERROR(__xludf.DUMMYFUNCTION("""COMPUTED_VALUE"""),2.35)</f>
        <v>2.35</v>
      </c>
      <c r="Z1595" s="65">
        <f>IFERROR(__xludf.DUMMYFUNCTION("""COMPUTED_VALUE"""),116679.0)</f>
        <v>116679</v>
      </c>
      <c r="AA1595" s="65" t="str">
        <f>IFERROR(__xludf.DUMMYFUNCTION("""COMPUTED_VALUE"""),"AMC-2738")</f>
        <v>AMC-2738</v>
      </c>
      <c r="AB1595" s="65"/>
      <c r="AC1595" s="65" t="str">
        <f>IFERROR(__xludf.DUMMYFUNCTION("""COMPUTED_VALUE"""),"ESPONJA ANTILLUVIA DE PARABRISAS")</f>
        <v>ESPONJA ANTILLUVIA DE PARABRISAS</v>
      </c>
      <c r="AD1595" s="65"/>
      <c r="AE1595" s="65">
        <f>IFERROR(__xludf.DUMMYFUNCTION("""COMPUTED_VALUE"""),1.0)</f>
        <v>1</v>
      </c>
      <c r="AF1595" s="65" t="str">
        <f>IFERROR(__xludf.DUMMYFUNCTION("""COMPUTED_VALUE"""),"DESTINATARIO NO CONTESTA LLAMADAS NI WHATSAPP")</f>
        <v>DESTINATARIO NO CONTESTA LLAMADAS NI WHATSAPP</v>
      </c>
      <c r="AG1595" s="65" t="str">
        <f>IFERROR(__xludf.DUMMYFUNCTION("""COMPUTED_VALUE"""),"NO")</f>
        <v>NO</v>
      </c>
      <c r="AH1595" s="65" t="str">
        <f>IFERROR(__xludf.DUMMYFUNCTION("""COMPUTED_VALUE"""),"09:00")</f>
        <v>09:00</v>
      </c>
      <c r="AI1595" s="65" t="str">
        <f>IFERROR(__xludf.DUMMYFUNCTION("""COMPUTED_VALUE"""),"01-02-2026")</f>
        <v>01-02-2026</v>
      </c>
      <c r="AJ1595" s="65"/>
      <c r="AK1595" s="65"/>
      <c r="AL1595" s="65"/>
      <c r="AM1595" s="65"/>
      <c r="AN1595" s="65" t="str">
        <f>IFERROR(__xludf.DUMMYFUNCTION("""COMPUTED_VALUE"""),"17:13")</f>
        <v>17:13</v>
      </c>
      <c r="AO1595" s="65" t="str">
        <f>IFERROR(__xludf.DUMMYFUNCTION("""COMPUTED_VALUE"""),"06-02-2026")</f>
        <v>06-02-2026</v>
      </c>
      <c r="AP1595" s="65" t="str">
        <f>IFERROR(__xludf.DUMMYFUNCTION("""COMPUTED_VALUE"""),"DEVOLUCIÓN ENTREGADA A ORIGEN")</f>
        <v>DEVOLUCIÓN ENTREGADA A ORIGEN</v>
      </c>
      <c r="AQ1595" s="65" t="str">
        <f>IFERROR(__xludf.DUMMYFUNCTION("""COMPUTED_VALUE"""),"DEVOLUCIÓN ENTREGADA A ORIGEN")</f>
        <v>DEVOLUCIÓN ENTREGADA A ORIGEN</v>
      </c>
      <c r="AR1595" s="65"/>
      <c r="AS1595" s="65"/>
      <c r="AT1595" s="65" t="str">
        <f>IFERROR(__xludf.DUMMYFUNCTION("""COMPUTED_VALUE"""),"SHOPIFY")</f>
        <v>SHOPIFY</v>
      </c>
      <c r="AU1595" s="65" t="str">
        <f>IFERROR(__xludf.DUMMYFUNCTION("""COMPUTED_VALUE"""),"IMPORTEX EC")</f>
        <v>IMPORTEX EC</v>
      </c>
      <c r="AV1595" s="65" t="str">
        <f>IFERROR(__xludf.DUMMYFUNCTION("""COMPUTED_VALUE"""),"6422030581804")</f>
        <v>6422030581804</v>
      </c>
      <c r="AW1595" s="65">
        <f>IFERROR(__xludf.DUMMYFUNCTION("""COMPUTED_VALUE"""),5350.0)</f>
        <v>5350</v>
      </c>
      <c r="AX1595" s="65"/>
      <c r="AY1595" s="65" t="str">
        <f>IFERROR(__xludf.DUMMYFUNCTION("""COMPUTED_VALUE"""),"22/01/2026")</f>
        <v>22/01/2026</v>
      </c>
      <c r="AZ1595" s="65"/>
      <c r="BA1595" s="65"/>
    </row>
    <row r="1596">
      <c r="A1596" s="65" t="str">
        <f>IFERROR(__xludf.DUMMYFUNCTION("""COMPUTED_VALUE"""),"27-03-2026")</f>
        <v>27-03-2026</v>
      </c>
      <c r="B1596" s="65">
        <f>IFERROR(__xludf.DUMMYFUNCTION("""COMPUTED_VALUE"""),4172382.0)</f>
        <v>4172382</v>
      </c>
      <c r="C1596" s="65" t="str">
        <f>IFERROR(__xludf.DUMMYFUNCTION("""COMPUTED_VALUE"""),"16:20")</f>
        <v>16:20</v>
      </c>
      <c r="D1596" s="65" t="str">
        <f>IFERROR(__xludf.DUMMYFUNCTION("""COMPUTED_VALUE"""),"16-01-2026")</f>
        <v>16-01-2026</v>
      </c>
      <c r="E1596" s="65" t="str">
        <f>IFERROR(__xludf.DUMMYFUNCTION("""COMPUTED_VALUE"""),"Jorge Ortiz")</f>
        <v>Jorge Ortiz</v>
      </c>
      <c r="F1596" s="65" t="str">
        <f>IFERROR(__xludf.DUMMYFUNCTION("""COMPUTED_VALUE"""),"999020127")</f>
        <v>999020127</v>
      </c>
      <c r="G1596" s="65" t="str">
        <f>IFERROR(__xludf.DUMMYFUNCTION("""COMPUTED_VALUE"""),"direcioncenterdriveltga@gmail.com")</f>
        <v>direcioncenterdriveltga@gmail.com</v>
      </c>
      <c r="H1596" s="65"/>
      <c r="I1596" s="65"/>
      <c r="J1596" s="65" t="str">
        <f>IFERROR(__xludf.DUMMYFUNCTION("""COMPUTED_VALUE"""),"D001244015")</f>
        <v>D001244015</v>
      </c>
      <c r="K1596" s="65" t="str">
        <f>IFERROR(__xludf.DUMMYFUNCTION("""COMPUTED_VALUE"""),"DEVOLUCION")</f>
        <v>DEVOLUCION</v>
      </c>
      <c r="L1596" s="65" t="str">
        <f>IFERROR(__xludf.DUMMYFUNCTION("""COMPUTED_VALUE"""),"CON RECAUDO")</f>
        <v>CON RECAUDO</v>
      </c>
      <c r="M1596" s="65" t="str">
        <f>IFERROR(__xludf.DUMMYFUNCTION("""COMPUTED_VALUE"""),"COTOPAXI")</f>
        <v>COTOPAXI</v>
      </c>
      <c r="N1596" s="65" t="str">
        <f>IFERROR(__xludf.DUMMYFUNCTION("""COMPUTED_VALUE"""),"LATACUNGA")</f>
        <v>LATACUNGA</v>
      </c>
      <c r="O1596" s="65" t="str">
        <f>IFERROR(__xludf.DUMMYFUNCTION("""COMPUTED_VALUE"""),"Av. Atahualpa y calle quito Calle quito - Escuela de conducción center drive latacunga")</f>
        <v>Av. Atahualpa y calle quito Calle quito - Escuela de conducción center drive latacunga</v>
      </c>
      <c r="P1596" s="65"/>
      <c r="Q1596" s="65" t="str">
        <f>IFERROR(__xludf.DUMMYFUNCTION("""COMPUTED_VALUE"""),"GINTRACOM")</f>
        <v>GINTRACOM</v>
      </c>
      <c r="R1596" s="65">
        <f>IFERROR(__xludf.DUMMYFUNCTION("""COMPUTED_VALUE"""),30.0)</f>
        <v>30</v>
      </c>
      <c r="S1596" s="65"/>
      <c r="T1596" s="65">
        <f>IFERROR(__xludf.DUMMYFUNCTION("""COMPUTED_VALUE"""),6.16)</f>
        <v>6.16</v>
      </c>
      <c r="U1596" s="65">
        <f>IFERROR(__xludf.DUMMYFUNCTION("""COMPUTED_VALUE"""),0.0)</f>
        <v>0</v>
      </c>
      <c r="V1596" s="65">
        <f>IFERROR(__xludf.DUMMYFUNCTION("""COMPUTED_VALUE"""),0.0)</f>
        <v>0</v>
      </c>
      <c r="W1596" s="65">
        <f>IFERROR(__xludf.DUMMYFUNCTION("""COMPUTED_VALUE"""),0.0)</f>
        <v>0</v>
      </c>
      <c r="X1596" s="65">
        <f>IFERROR(__xludf.DUMMYFUNCTION("""COMPUTED_VALUE"""),2.35)</f>
        <v>2.35</v>
      </c>
      <c r="Y1596" s="65">
        <f>IFERROR(__xludf.DUMMYFUNCTION("""COMPUTED_VALUE"""),7.05)</f>
        <v>7.05</v>
      </c>
      <c r="Z1596" s="65">
        <f>IFERROR(__xludf.DUMMYFUNCTION("""COMPUTED_VALUE"""),116679.0)</f>
        <v>116679</v>
      </c>
      <c r="AA1596" s="65" t="str">
        <f>IFERROR(__xludf.DUMMYFUNCTION("""COMPUTED_VALUE"""),"AMC-2738")</f>
        <v>AMC-2738</v>
      </c>
      <c r="AB1596" s="65"/>
      <c r="AC1596" s="65" t="str">
        <f>IFERROR(__xludf.DUMMYFUNCTION("""COMPUTED_VALUE"""),"ESPONJA ANTILLUVIA DE PARABRISAS")</f>
        <v>ESPONJA ANTILLUVIA DE PARABRISAS</v>
      </c>
      <c r="AD1596" s="65"/>
      <c r="AE1596" s="65">
        <f>IFERROR(__xludf.DUMMYFUNCTION("""COMPUTED_VALUE"""),3.0)</f>
        <v>3</v>
      </c>
      <c r="AF1596" s="65" t="str">
        <f>IFERROR(__xludf.DUMMYFUNCTION("""COMPUTED_VALUE"""),"DESTINATARIO NO CONTESTA LLAMADAS NI WHATSAPP")</f>
        <v>DESTINATARIO NO CONTESTA LLAMADAS NI WHATSAPP</v>
      </c>
      <c r="AG1596" s="65" t="str">
        <f>IFERROR(__xludf.DUMMYFUNCTION("""COMPUTED_VALUE"""),"NO")</f>
        <v>NO</v>
      </c>
      <c r="AH1596" s="65" t="str">
        <f>IFERROR(__xludf.DUMMYFUNCTION("""COMPUTED_VALUE"""),"09:00")</f>
        <v>09:00</v>
      </c>
      <c r="AI1596" s="65" t="str">
        <f>IFERROR(__xludf.DUMMYFUNCTION("""COMPUTED_VALUE"""),"31-01-2026")</f>
        <v>31-01-2026</v>
      </c>
      <c r="AJ1596" s="65"/>
      <c r="AK1596" s="65"/>
      <c r="AL1596" s="65"/>
      <c r="AM1596" s="65"/>
      <c r="AN1596" s="65" t="str">
        <f>IFERROR(__xludf.DUMMYFUNCTION("""COMPUTED_VALUE"""),"20:50")</f>
        <v>20:50</v>
      </c>
      <c r="AO1596" s="65" t="str">
        <f>IFERROR(__xludf.DUMMYFUNCTION("""COMPUTED_VALUE"""),"13-02-2026")</f>
        <v>13-02-2026</v>
      </c>
      <c r="AP1596" s="65" t="str">
        <f>IFERROR(__xludf.DUMMYFUNCTION("""COMPUTED_VALUE"""),"DEVOLUCIÓN ENTREGADA A ORIGEN")</f>
        <v>DEVOLUCIÓN ENTREGADA A ORIGEN</v>
      </c>
      <c r="AQ1596" s="65" t="str">
        <f>IFERROR(__xludf.DUMMYFUNCTION("""COMPUTED_VALUE"""),"DEVOLUCIÓN ENTREGADA A ORIGEN")</f>
        <v>DEVOLUCIÓN ENTREGADA A ORIGEN</v>
      </c>
      <c r="AR1596" s="65"/>
      <c r="AS1596" s="65"/>
      <c r="AT1596" s="65" t="str">
        <f>IFERROR(__xludf.DUMMYFUNCTION("""COMPUTED_VALUE"""),"SHOPIFY")</f>
        <v>SHOPIFY</v>
      </c>
      <c r="AU1596" s="65" t="str">
        <f>IFERROR(__xludf.DUMMYFUNCTION("""COMPUTED_VALUE"""),"IMPORTEX EC")</f>
        <v>IMPORTEX EC</v>
      </c>
      <c r="AV1596" s="65" t="str">
        <f>IFERROR(__xludf.DUMMYFUNCTION("""COMPUTED_VALUE"""),"6422025011244")</f>
        <v>6422025011244</v>
      </c>
      <c r="AW1596" s="65">
        <f>IFERROR(__xludf.DUMMYFUNCTION("""COMPUTED_VALUE"""),5349.0)</f>
        <v>5349</v>
      </c>
      <c r="AX1596" s="65"/>
      <c r="AY1596" s="65" t="str">
        <f>IFERROR(__xludf.DUMMYFUNCTION("""COMPUTED_VALUE"""),"20/01/2026")</f>
        <v>20/01/2026</v>
      </c>
      <c r="AZ1596" s="65"/>
      <c r="BA1596" s="65"/>
    </row>
    <row r="1597">
      <c r="A1597" s="65" t="str">
        <f>IFERROR(__xludf.DUMMYFUNCTION("""COMPUTED_VALUE"""),"27-03-2026")</f>
        <v>27-03-2026</v>
      </c>
      <c r="B1597" s="65">
        <f>IFERROR(__xludf.DUMMYFUNCTION("""COMPUTED_VALUE"""),4171996.0)</f>
        <v>4171996</v>
      </c>
      <c r="C1597" s="65" t="str">
        <f>IFERROR(__xludf.DUMMYFUNCTION("""COMPUTED_VALUE"""),"15:50")</f>
        <v>15:50</v>
      </c>
      <c r="D1597" s="65" t="str">
        <f>IFERROR(__xludf.DUMMYFUNCTION("""COMPUTED_VALUE"""),"16-01-2026")</f>
        <v>16-01-2026</v>
      </c>
      <c r="E1597" s="65" t="str">
        <f>IFERROR(__xludf.DUMMYFUNCTION("""COMPUTED_VALUE"""),"Telmo Gomez")</f>
        <v>Telmo Gomez</v>
      </c>
      <c r="F1597" s="65" t="str">
        <f>IFERROR(__xludf.DUMMYFUNCTION("""COMPUTED_VALUE"""),"999029521")</f>
        <v>999029521</v>
      </c>
      <c r="G1597" s="65" t="str">
        <f>IFERROR(__xludf.DUMMYFUNCTION("""COMPUTED_VALUE"""),"telmo.primicia@hotmail.com")</f>
        <v>telmo.primicia@hotmail.com</v>
      </c>
      <c r="H1597" s="65"/>
      <c r="I1597" s="65"/>
      <c r="J1597" s="65"/>
      <c r="K1597" s="65" t="str">
        <f>IFERROR(__xludf.DUMMYFUNCTION("""COMPUTED_VALUE"""),"PENDIENTE CONFIRMACION")</f>
        <v>PENDIENTE CONFIRMACION</v>
      </c>
      <c r="L1597" s="65" t="str">
        <f>IFERROR(__xludf.DUMMYFUNCTION("""COMPUTED_VALUE"""),"CON RECAUDO")</f>
        <v>CON RECAUDO</v>
      </c>
      <c r="M1597" s="65" t="str">
        <f>IFERROR(__xludf.DUMMYFUNCTION("""COMPUTED_VALUE"""),"GUAYAS")</f>
        <v>GUAYAS</v>
      </c>
      <c r="N1597" s="65" t="str">
        <f>IFERROR(__xludf.DUMMYFUNCTION("""COMPUTED_VALUE"""),"GUAYAQUIL")</f>
        <v>GUAYAQUIL</v>
      </c>
      <c r="O1597" s="65" t="str">
        <f>IFERROR(__xludf.DUMMYFUNCTION("""COMPUTED_VALUE"""),"Paraiso De La Flor Mz327 Sl14 Bloque 6 Florida norte -")</f>
        <v>Paraiso De La Flor Mz327 Sl14 Bloque 6 Florida norte -</v>
      </c>
      <c r="P1597" s="65"/>
      <c r="Q1597" s="65" t="str">
        <f>IFERROR(__xludf.DUMMYFUNCTION("""COMPUTED_VALUE"""),"GINTRACOM")</f>
        <v>GINTRACOM</v>
      </c>
      <c r="R1597" s="65">
        <f>IFERROR(__xludf.DUMMYFUNCTION("""COMPUTED_VALUE"""),30.0)</f>
        <v>30</v>
      </c>
      <c r="S1597" s="65"/>
      <c r="T1597" s="65">
        <f>IFERROR(__xludf.DUMMYFUNCTION("""COMPUTED_VALUE"""),6.16)</f>
        <v>6.16</v>
      </c>
      <c r="U1597" s="65">
        <f>IFERROR(__xludf.DUMMYFUNCTION("""COMPUTED_VALUE"""),0.0)</f>
        <v>0</v>
      </c>
      <c r="V1597" s="65">
        <f>IFERROR(__xludf.DUMMYFUNCTION("""COMPUTED_VALUE"""),0.0)</f>
        <v>0</v>
      </c>
      <c r="W1597" s="65">
        <f>IFERROR(__xludf.DUMMYFUNCTION("""COMPUTED_VALUE"""),0.0)</f>
        <v>0</v>
      </c>
      <c r="X1597" s="65">
        <f>IFERROR(__xludf.DUMMYFUNCTION("""COMPUTED_VALUE"""),2.35)</f>
        <v>2.35</v>
      </c>
      <c r="Y1597" s="65">
        <f>IFERROR(__xludf.DUMMYFUNCTION("""COMPUTED_VALUE"""),7.05)</f>
        <v>7.05</v>
      </c>
      <c r="Z1597" s="65">
        <f>IFERROR(__xludf.DUMMYFUNCTION("""COMPUTED_VALUE"""),116679.0)</f>
        <v>116679</v>
      </c>
      <c r="AA1597" s="65" t="str">
        <f>IFERROR(__xludf.DUMMYFUNCTION("""COMPUTED_VALUE"""),"AMC-2738")</f>
        <v>AMC-2738</v>
      </c>
      <c r="AB1597" s="65"/>
      <c r="AC1597" s="65" t="str">
        <f>IFERROR(__xludf.DUMMYFUNCTION("""COMPUTED_VALUE"""),"ESPONJA ANTILLUVIA DE PARABRISAS")</f>
        <v>ESPONJA ANTILLUVIA DE PARABRISAS</v>
      </c>
      <c r="AD1597" s="65"/>
      <c r="AE1597" s="65">
        <f>IFERROR(__xludf.DUMMYFUNCTION("""COMPUTED_VALUE"""),3.0)</f>
        <v>3</v>
      </c>
      <c r="AF1597" s="65"/>
      <c r="AG1597" s="65"/>
      <c r="AH1597" s="65"/>
      <c r="AI1597" s="65"/>
      <c r="AJ1597" s="65"/>
      <c r="AK1597" s="65"/>
      <c r="AL1597" s="65"/>
      <c r="AM1597" s="65"/>
      <c r="AN1597" s="65"/>
      <c r="AO1597" s="65"/>
      <c r="AP1597" s="65"/>
      <c r="AQ1597" s="65"/>
      <c r="AR1597" s="65"/>
      <c r="AS1597" s="65"/>
      <c r="AT1597" s="65" t="str">
        <f>IFERROR(__xludf.DUMMYFUNCTION("""COMPUTED_VALUE"""),"SHOPIFY")</f>
        <v>SHOPIFY</v>
      </c>
      <c r="AU1597" s="65" t="str">
        <f>IFERROR(__xludf.DUMMYFUNCTION("""COMPUTED_VALUE"""),"IMPORTEX EC")</f>
        <v>IMPORTEX EC</v>
      </c>
      <c r="AV1597" s="65" t="str">
        <f>IFERROR(__xludf.DUMMYFUNCTION("""COMPUTED_VALUE"""),"6421939191852")</f>
        <v>6421939191852</v>
      </c>
      <c r="AW1597" s="65">
        <f>IFERROR(__xludf.DUMMYFUNCTION("""COMPUTED_VALUE"""),5348.0)</f>
        <v>5348</v>
      </c>
      <c r="AX1597" s="65"/>
      <c r="AY1597" s="65"/>
      <c r="AZ1597" s="65"/>
      <c r="BA1597" s="65"/>
    </row>
    <row r="1598">
      <c r="A1598" s="65" t="str">
        <f>IFERROR(__xludf.DUMMYFUNCTION("""COMPUTED_VALUE"""),"27-03-2026")</f>
        <v>27-03-2026</v>
      </c>
      <c r="B1598" s="65">
        <f>IFERROR(__xludf.DUMMYFUNCTION("""COMPUTED_VALUE"""),4170745.0)</f>
        <v>4170745</v>
      </c>
      <c r="C1598" s="65" t="str">
        <f>IFERROR(__xludf.DUMMYFUNCTION("""COMPUTED_VALUE"""),"13:43")</f>
        <v>13:43</v>
      </c>
      <c r="D1598" s="65" t="str">
        <f>IFERROR(__xludf.DUMMYFUNCTION("""COMPUTED_VALUE"""),"16-01-2026")</f>
        <v>16-01-2026</v>
      </c>
      <c r="E1598" s="65" t="str">
        <f>IFERROR(__xludf.DUMMYFUNCTION("""COMPUTED_VALUE"""),"Fabian Veliz")</f>
        <v>Fabian Veliz</v>
      </c>
      <c r="F1598" s="65" t="str">
        <f>IFERROR(__xludf.DUMMYFUNCTION("""COMPUTED_VALUE"""),"990474484")</f>
        <v>990474484</v>
      </c>
      <c r="G1598" s="65" t="str">
        <f>IFERROR(__xludf.DUMMYFUNCTION("""COMPUTED_VALUE"""),"farovepe@hotmail.com")</f>
        <v>farovepe@hotmail.com</v>
      </c>
      <c r="H1598" s="65"/>
      <c r="I1598" s="65"/>
      <c r="J1598" s="65"/>
      <c r="K1598" s="65" t="str">
        <f>IFERROR(__xludf.DUMMYFUNCTION("""COMPUTED_VALUE"""),"PENDIENTE CONFIRMACION")</f>
        <v>PENDIENTE CONFIRMACION</v>
      </c>
      <c r="L1598" s="65" t="str">
        <f>IFERROR(__xludf.DUMMYFUNCTION("""COMPUTED_VALUE"""),"CON RECAUDO")</f>
        <v>CON RECAUDO</v>
      </c>
      <c r="M1598" s="65" t="str">
        <f>IFERROR(__xludf.DUMMYFUNCTION("""COMPUTED_VALUE"""),"MANABI")</f>
        <v>MANABI</v>
      </c>
      <c r="N1598" s="65" t="str">
        <f>IFERROR(__xludf.DUMMYFUNCTION("""COMPUTED_VALUE"""),"MANTA")</f>
        <v>MANTA</v>
      </c>
      <c r="O1598" s="65" t="str">
        <f>IFERROR(__xludf.DUMMYFUNCTION("""COMPUTED_VALUE"""),"7 17 Casa # 613 -")</f>
        <v>7 17 Casa # 613 -</v>
      </c>
      <c r="P1598" s="65"/>
      <c r="Q1598" s="65" t="str">
        <f>IFERROR(__xludf.DUMMYFUNCTION("""COMPUTED_VALUE"""),"GINTRACOM")</f>
        <v>GINTRACOM</v>
      </c>
      <c r="R1598" s="65">
        <f>IFERROR(__xludf.DUMMYFUNCTION("""COMPUTED_VALUE"""),30.0)</f>
        <v>30</v>
      </c>
      <c r="S1598" s="65"/>
      <c r="T1598" s="65">
        <f>IFERROR(__xludf.DUMMYFUNCTION("""COMPUTED_VALUE"""),6.16)</f>
        <v>6.16</v>
      </c>
      <c r="U1598" s="65">
        <f>IFERROR(__xludf.DUMMYFUNCTION("""COMPUTED_VALUE"""),0.0)</f>
        <v>0</v>
      </c>
      <c r="V1598" s="65">
        <f>IFERROR(__xludf.DUMMYFUNCTION("""COMPUTED_VALUE"""),0.0)</f>
        <v>0</v>
      </c>
      <c r="W1598" s="65">
        <f>IFERROR(__xludf.DUMMYFUNCTION("""COMPUTED_VALUE"""),0.0)</f>
        <v>0</v>
      </c>
      <c r="X1598" s="65">
        <f>IFERROR(__xludf.DUMMYFUNCTION("""COMPUTED_VALUE"""),2.35)</f>
        <v>2.35</v>
      </c>
      <c r="Y1598" s="65">
        <f>IFERROR(__xludf.DUMMYFUNCTION("""COMPUTED_VALUE"""),7.05)</f>
        <v>7.05</v>
      </c>
      <c r="Z1598" s="65">
        <f>IFERROR(__xludf.DUMMYFUNCTION("""COMPUTED_VALUE"""),116679.0)</f>
        <v>116679</v>
      </c>
      <c r="AA1598" s="65" t="str">
        <f>IFERROR(__xludf.DUMMYFUNCTION("""COMPUTED_VALUE"""),"AMC-2738")</f>
        <v>AMC-2738</v>
      </c>
      <c r="AB1598" s="65"/>
      <c r="AC1598" s="65" t="str">
        <f>IFERROR(__xludf.DUMMYFUNCTION("""COMPUTED_VALUE"""),"ESPONJA ANTILLUVIA DE PARABRISAS")</f>
        <v>ESPONJA ANTILLUVIA DE PARABRISAS</v>
      </c>
      <c r="AD1598" s="65"/>
      <c r="AE1598" s="65">
        <f>IFERROR(__xludf.DUMMYFUNCTION("""COMPUTED_VALUE"""),3.0)</f>
        <v>3</v>
      </c>
      <c r="AF1598" s="65"/>
      <c r="AG1598" s="65"/>
      <c r="AH1598" s="65"/>
      <c r="AI1598" s="65"/>
      <c r="AJ1598" s="65"/>
      <c r="AK1598" s="65"/>
      <c r="AL1598" s="65"/>
      <c r="AM1598" s="65"/>
      <c r="AN1598" s="65"/>
      <c r="AO1598" s="65"/>
      <c r="AP1598" s="65"/>
      <c r="AQ1598" s="65"/>
      <c r="AR1598" s="65"/>
      <c r="AS1598" s="65"/>
      <c r="AT1598" s="65" t="str">
        <f>IFERROR(__xludf.DUMMYFUNCTION("""COMPUTED_VALUE"""),"SHOPIFY")</f>
        <v>SHOPIFY</v>
      </c>
      <c r="AU1598" s="65" t="str">
        <f>IFERROR(__xludf.DUMMYFUNCTION("""COMPUTED_VALUE"""),"IMPORTEX EC")</f>
        <v>IMPORTEX EC</v>
      </c>
      <c r="AV1598" s="65" t="str">
        <f>IFERROR(__xludf.DUMMYFUNCTION("""COMPUTED_VALUE"""),"6421599944748")</f>
        <v>6421599944748</v>
      </c>
      <c r="AW1598" s="65">
        <f>IFERROR(__xludf.DUMMYFUNCTION("""COMPUTED_VALUE"""),5346.0)</f>
        <v>5346</v>
      </c>
      <c r="AX1598" s="65"/>
      <c r="AY1598" s="65"/>
      <c r="AZ1598" s="65"/>
      <c r="BA1598" s="65"/>
    </row>
    <row r="1599">
      <c r="A1599" s="65" t="str">
        <f>IFERROR(__xludf.DUMMYFUNCTION("""COMPUTED_VALUE"""),"27-03-2026")</f>
        <v>27-03-2026</v>
      </c>
      <c r="B1599" s="65">
        <f>IFERROR(__xludf.DUMMYFUNCTION("""COMPUTED_VALUE"""),4170484.0)</f>
        <v>4170484</v>
      </c>
      <c r="C1599" s="65" t="str">
        <f>IFERROR(__xludf.DUMMYFUNCTION("""COMPUTED_VALUE"""),"13:07")</f>
        <v>13:07</v>
      </c>
      <c r="D1599" s="65" t="str">
        <f>IFERROR(__xludf.DUMMYFUNCTION("""COMPUTED_VALUE"""),"16-01-2026")</f>
        <v>16-01-2026</v>
      </c>
      <c r="E1599" s="65" t="str">
        <f>IFERROR(__xludf.DUMMYFUNCTION("""COMPUTED_VALUE"""),"Danilo Castillo")</f>
        <v>Danilo Castillo</v>
      </c>
      <c r="F1599" s="65" t="str">
        <f>IFERROR(__xludf.DUMMYFUNCTION("""COMPUTED_VALUE"""),"987309044")</f>
        <v>987309044</v>
      </c>
      <c r="G1599" s="65" t="str">
        <f>IFERROR(__xludf.DUMMYFUNCTION("""COMPUTED_VALUE"""),"mainblue18@gmail.com")</f>
        <v>mainblue18@gmail.com</v>
      </c>
      <c r="H1599" s="65"/>
      <c r="I1599" s="65"/>
      <c r="J1599" s="65"/>
      <c r="K1599" s="65" t="str">
        <f>IFERROR(__xludf.DUMMYFUNCTION("""COMPUTED_VALUE"""),"PENDIENTE CONFIRMACION")</f>
        <v>PENDIENTE CONFIRMACION</v>
      </c>
      <c r="L1599" s="65" t="str">
        <f>IFERROR(__xludf.DUMMYFUNCTION("""COMPUTED_VALUE"""),"CON RECAUDO")</f>
        <v>CON RECAUDO</v>
      </c>
      <c r="M1599" s="65" t="str">
        <f>IFERROR(__xludf.DUMMYFUNCTION("""COMPUTED_VALUE"""),"GUAYAS")</f>
        <v>GUAYAS</v>
      </c>
      <c r="N1599" s="65" t="str">
        <f>IFERROR(__xludf.DUMMYFUNCTION("""COMPUTED_VALUE"""),"GUAYAQUIL")</f>
        <v>GUAYAQUIL</v>
      </c>
      <c r="O1599" s="65" t="str">
        <f>IFERROR(__xludf.DUMMYFUNCTION("""COMPUTED_VALUE"""),"Alborada X Etapa Mz 503 V3 A 205a -")</f>
        <v>Alborada X Etapa Mz 503 V3 A 205a -</v>
      </c>
      <c r="P1599" s="65"/>
      <c r="Q1599" s="65" t="str">
        <f>IFERROR(__xludf.DUMMYFUNCTION("""COMPUTED_VALUE"""),"GINTRACOM")</f>
        <v>GINTRACOM</v>
      </c>
      <c r="R1599" s="65">
        <f>IFERROR(__xludf.DUMMYFUNCTION("""COMPUTED_VALUE"""),25.0)</f>
        <v>25</v>
      </c>
      <c r="S1599" s="65"/>
      <c r="T1599" s="65">
        <f>IFERROR(__xludf.DUMMYFUNCTION("""COMPUTED_VALUE"""),5.96)</f>
        <v>5.96</v>
      </c>
      <c r="U1599" s="65">
        <f>IFERROR(__xludf.DUMMYFUNCTION("""COMPUTED_VALUE"""),0.0)</f>
        <v>0</v>
      </c>
      <c r="V1599" s="65">
        <f>IFERROR(__xludf.DUMMYFUNCTION("""COMPUTED_VALUE"""),0.0)</f>
        <v>0</v>
      </c>
      <c r="W1599" s="65">
        <f>IFERROR(__xludf.DUMMYFUNCTION("""COMPUTED_VALUE"""),0.0)</f>
        <v>0</v>
      </c>
      <c r="X1599" s="65">
        <f>IFERROR(__xludf.DUMMYFUNCTION("""COMPUTED_VALUE"""),2.35)</f>
        <v>2.35</v>
      </c>
      <c r="Y1599" s="65">
        <f>IFERROR(__xludf.DUMMYFUNCTION("""COMPUTED_VALUE"""),4.7)</f>
        <v>4.7</v>
      </c>
      <c r="Z1599" s="65">
        <f>IFERROR(__xludf.DUMMYFUNCTION("""COMPUTED_VALUE"""),116679.0)</f>
        <v>116679</v>
      </c>
      <c r="AA1599" s="65" t="str">
        <f>IFERROR(__xludf.DUMMYFUNCTION("""COMPUTED_VALUE"""),"AMC-2738")</f>
        <v>AMC-2738</v>
      </c>
      <c r="AB1599" s="65"/>
      <c r="AC1599" s="65" t="str">
        <f>IFERROR(__xludf.DUMMYFUNCTION("""COMPUTED_VALUE"""),"ESPONJA ANTILLUVIA DE PARABRISAS")</f>
        <v>ESPONJA ANTILLUVIA DE PARABRISAS</v>
      </c>
      <c r="AD1599" s="65"/>
      <c r="AE1599" s="65">
        <f>IFERROR(__xludf.DUMMYFUNCTION("""COMPUTED_VALUE"""),2.0)</f>
        <v>2</v>
      </c>
      <c r="AF1599" s="65"/>
      <c r="AG1599" s="65"/>
      <c r="AH1599" s="65"/>
      <c r="AI1599" s="65"/>
      <c r="AJ1599" s="65"/>
      <c r="AK1599" s="65"/>
      <c r="AL1599" s="65"/>
      <c r="AM1599" s="65"/>
      <c r="AN1599" s="65"/>
      <c r="AO1599" s="65"/>
      <c r="AP1599" s="65"/>
      <c r="AQ1599" s="65"/>
      <c r="AR1599" s="65"/>
      <c r="AS1599" s="65"/>
      <c r="AT1599" s="65" t="str">
        <f>IFERROR(__xludf.DUMMYFUNCTION("""COMPUTED_VALUE"""),"SHOPIFY")</f>
        <v>SHOPIFY</v>
      </c>
      <c r="AU1599" s="65" t="str">
        <f>IFERROR(__xludf.DUMMYFUNCTION("""COMPUTED_VALUE"""),"IMPORTEX EC")</f>
        <v>IMPORTEX EC</v>
      </c>
      <c r="AV1599" s="65" t="str">
        <f>IFERROR(__xludf.DUMMYFUNCTION("""COMPUTED_VALUE"""),"6421514485804")</f>
        <v>6421514485804</v>
      </c>
      <c r="AW1599" s="65">
        <f>IFERROR(__xludf.DUMMYFUNCTION("""COMPUTED_VALUE"""),5345.0)</f>
        <v>5345</v>
      </c>
      <c r="AX1599" s="65"/>
      <c r="AY1599" s="65"/>
      <c r="AZ1599" s="65"/>
      <c r="BA1599" s="65"/>
    </row>
    <row r="1600">
      <c r="A1600" s="65" t="str">
        <f>IFERROR(__xludf.DUMMYFUNCTION("""COMPUTED_VALUE"""),"27-03-2026")</f>
        <v>27-03-2026</v>
      </c>
      <c r="B1600" s="65">
        <f>IFERROR(__xludf.DUMMYFUNCTION("""COMPUTED_VALUE"""),4170311.0)</f>
        <v>4170311</v>
      </c>
      <c r="C1600" s="65" t="str">
        <f>IFERROR(__xludf.DUMMYFUNCTION("""COMPUTED_VALUE"""),"12:52")</f>
        <v>12:52</v>
      </c>
      <c r="D1600" s="65" t="str">
        <f>IFERROR(__xludf.DUMMYFUNCTION("""COMPUTED_VALUE"""),"16-01-2026")</f>
        <v>16-01-2026</v>
      </c>
      <c r="E1600" s="65" t="str">
        <f>IFERROR(__xludf.DUMMYFUNCTION("""COMPUTED_VALUE"""),"Dayana Romero")</f>
        <v>Dayana Romero</v>
      </c>
      <c r="F1600" s="65" t="str">
        <f>IFERROR(__xludf.DUMMYFUNCTION("""COMPUTED_VALUE"""),"959876141")</f>
        <v>959876141</v>
      </c>
      <c r="G1600" s="65" t="str">
        <f>IFERROR(__xludf.DUMMYFUNCTION("""COMPUTED_VALUE"""),"dayanaromeroj17@hotmail.com")</f>
        <v>dayanaromeroj17@hotmail.com</v>
      </c>
      <c r="H1600" s="65"/>
      <c r="I1600" s="65"/>
      <c r="J1600" s="65"/>
      <c r="K1600" s="65" t="str">
        <f>IFERROR(__xludf.DUMMYFUNCTION("""COMPUTED_VALUE"""),"PENDIENTE CONFIRMACION")</f>
        <v>PENDIENTE CONFIRMACION</v>
      </c>
      <c r="L1600" s="65" t="str">
        <f>IFERROR(__xludf.DUMMYFUNCTION("""COMPUTED_VALUE"""),"CON RECAUDO")</f>
        <v>CON RECAUDO</v>
      </c>
      <c r="M1600" s="65" t="str">
        <f>IFERROR(__xludf.DUMMYFUNCTION("""COMPUTED_VALUE"""),"GUAYAS")</f>
        <v>GUAYAS</v>
      </c>
      <c r="N1600" s="65" t="str">
        <f>IFERROR(__xludf.DUMMYFUNCTION("""COMPUTED_VALUE"""),"GUAYAQUIL")</f>
        <v>GUAYAQUIL</v>
      </c>
      <c r="O1600" s="65" t="str">
        <f>IFERROR(__xludf.DUMMYFUNCTION("""COMPUTED_VALUE"""),"Lomas de Urdesa. Edif Torre de Lomas, solar 6 , Mz 10 Sector Norte urdesa -")</f>
        <v>Lomas de Urdesa. Edif Torre de Lomas, solar 6 , Mz 10 Sector Norte urdesa -</v>
      </c>
      <c r="P1600" s="65"/>
      <c r="Q1600" s="65" t="str">
        <f>IFERROR(__xludf.DUMMYFUNCTION("""COMPUTED_VALUE"""),"GINTRACOM")</f>
        <v>GINTRACOM</v>
      </c>
      <c r="R1600" s="65">
        <f>IFERROR(__xludf.DUMMYFUNCTION("""COMPUTED_VALUE"""),25.0)</f>
        <v>25</v>
      </c>
      <c r="S1600" s="65"/>
      <c r="T1600" s="65">
        <f>IFERROR(__xludf.DUMMYFUNCTION("""COMPUTED_VALUE"""),5.96)</f>
        <v>5.96</v>
      </c>
      <c r="U1600" s="65">
        <f>IFERROR(__xludf.DUMMYFUNCTION("""COMPUTED_VALUE"""),0.0)</f>
        <v>0</v>
      </c>
      <c r="V1600" s="65">
        <f>IFERROR(__xludf.DUMMYFUNCTION("""COMPUTED_VALUE"""),0.0)</f>
        <v>0</v>
      </c>
      <c r="W1600" s="65">
        <f>IFERROR(__xludf.DUMMYFUNCTION("""COMPUTED_VALUE"""),0.0)</f>
        <v>0</v>
      </c>
      <c r="X1600" s="65">
        <f>IFERROR(__xludf.DUMMYFUNCTION("""COMPUTED_VALUE"""),2.35)</f>
        <v>2.35</v>
      </c>
      <c r="Y1600" s="65">
        <f>IFERROR(__xludf.DUMMYFUNCTION("""COMPUTED_VALUE"""),4.7)</f>
        <v>4.7</v>
      </c>
      <c r="Z1600" s="65">
        <f>IFERROR(__xludf.DUMMYFUNCTION("""COMPUTED_VALUE"""),116679.0)</f>
        <v>116679</v>
      </c>
      <c r="AA1600" s="65" t="str">
        <f>IFERROR(__xludf.DUMMYFUNCTION("""COMPUTED_VALUE"""),"AMC-2738")</f>
        <v>AMC-2738</v>
      </c>
      <c r="AB1600" s="65"/>
      <c r="AC1600" s="65" t="str">
        <f>IFERROR(__xludf.DUMMYFUNCTION("""COMPUTED_VALUE"""),"ESPONJA ANTILLUVIA DE PARABRISAS")</f>
        <v>ESPONJA ANTILLUVIA DE PARABRISAS</v>
      </c>
      <c r="AD1600" s="65"/>
      <c r="AE1600" s="65">
        <f>IFERROR(__xludf.DUMMYFUNCTION("""COMPUTED_VALUE"""),2.0)</f>
        <v>2</v>
      </c>
      <c r="AF1600" s="65"/>
      <c r="AG1600" s="65"/>
      <c r="AH1600" s="65"/>
      <c r="AI1600" s="65"/>
      <c r="AJ1600" s="65"/>
      <c r="AK1600" s="65"/>
      <c r="AL1600" s="65"/>
      <c r="AM1600" s="65"/>
      <c r="AN1600" s="65"/>
      <c r="AO1600" s="65"/>
      <c r="AP1600" s="65"/>
      <c r="AQ1600" s="65"/>
      <c r="AR1600" s="65"/>
      <c r="AS1600" s="65"/>
      <c r="AT1600" s="65" t="str">
        <f>IFERROR(__xludf.DUMMYFUNCTION("""COMPUTED_VALUE"""),"SHOPIFY")</f>
        <v>SHOPIFY</v>
      </c>
      <c r="AU1600" s="65" t="str">
        <f>IFERROR(__xludf.DUMMYFUNCTION("""COMPUTED_VALUE"""),"IMPORTEX EC")</f>
        <v>IMPORTEX EC</v>
      </c>
      <c r="AV1600" s="65" t="str">
        <f>IFERROR(__xludf.DUMMYFUNCTION("""COMPUTED_VALUE"""),"6421476442156")</f>
        <v>6421476442156</v>
      </c>
      <c r="AW1600" s="65">
        <f>IFERROR(__xludf.DUMMYFUNCTION("""COMPUTED_VALUE"""),5344.0)</f>
        <v>5344</v>
      </c>
      <c r="AX1600" s="65"/>
      <c r="AY1600" s="65"/>
      <c r="AZ1600" s="65"/>
      <c r="BA1600" s="65"/>
    </row>
    <row r="1601">
      <c r="A1601" s="65" t="str">
        <f>IFERROR(__xludf.DUMMYFUNCTION("""COMPUTED_VALUE"""),"27-03-2026")</f>
        <v>27-03-2026</v>
      </c>
      <c r="B1601" s="65">
        <f>IFERROR(__xludf.DUMMYFUNCTION("""COMPUTED_VALUE"""),4169183.0)</f>
        <v>4169183</v>
      </c>
      <c r="C1601" s="65" t="str">
        <f>IFERROR(__xludf.DUMMYFUNCTION("""COMPUTED_VALUE"""),"11:18")</f>
        <v>11:18</v>
      </c>
      <c r="D1601" s="65" t="str">
        <f>IFERROR(__xludf.DUMMYFUNCTION("""COMPUTED_VALUE"""),"16-01-2026")</f>
        <v>16-01-2026</v>
      </c>
      <c r="E1601" s="65" t="str">
        <f>IFERROR(__xludf.DUMMYFUNCTION("""COMPUTED_VALUE"""),"Margarita Cantu")</f>
        <v>Margarita Cantu</v>
      </c>
      <c r="F1601" s="65" t="str">
        <f>IFERROR(__xludf.DUMMYFUNCTION("""COMPUTED_VALUE"""),"999727687")</f>
        <v>999727687</v>
      </c>
      <c r="G1601" s="65" t="str">
        <f>IFERROR(__xludf.DUMMYFUNCTION("""COMPUTED_VALUE"""),"margarita2493@hotmail.com")</f>
        <v>margarita2493@hotmail.com</v>
      </c>
      <c r="H1601" s="65"/>
      <c r="I1601" s="65"/>
      <c r="J1601" s="65"/>
      <c r="K1601" s="65" t="str">
        <f>IFERROR(__xludf.DUMMYFUNCTION("""COMPUTED_VALUE"""),"PENDIENTE CONFIRMACION")</f>
        <v>PENDIENTE CONFIRMACION</v>
      </c>
      <c r="L1601" s="65" t="str">
        <f>IFERROR(__xludf.DUMMYFUNCTION("""COMPUTED_VALUE"""),"CON RECAUDO")</f>
        <v>CON RECAUDO</v>
      </c>
      <c r="M1601" s="65" t="str">
        <f>IFERROR(__xludf.DUMMYFUNCTION("""COMPUTED_VALUE"""),"PICHINCHA")</f>
        <v>PICHINCHA</v>
      </c>
      <c r="N1601" s="65" t="str">
        <f>IFERROR(__xludf.DUMMYFUNCTION("""COMPUTED_VALUE"""),"QUITO")</f>
        <v>QUITO</v>
      </c>
      <c r="O1601" s="65" t="str">
        <f>IFERROR(__xludf.DUMMYFUNCTION("""COMPUTED_VALUE"""),"Calle V 918 Urbanización el Condado Urbanización el Condado -")</f>
        <v>Calle V 918 Urbanización el Condado Urbanización el Condado -</v>
      </c>
      <c r="P1601" s="65"/>
      <c r="Q1601" s="65" t="str">
        <f>IFERROR(__xludf.DUMMYFUNCTION("""COMPUTED_VALUE"""),"GINTRACOM")</f>
        <v>GINTRACOM</v>
      </c>
      <c r="R1601" s="65">
        <f>IFERROR(__xludf.DUMMYFUNCTION("""COMPUTED_VALUE"""),20.0)</f>
        <v>20</v>
      </c>
      <c r="S1601" s="65"/>
      <c r="T1601" s="65">
        <f>IFERROR(__xludf.DUMMYFUNCTION("""COMPUTED_VALUE"""),4.15)</f>
        <v>4.15</v>
      </c>
      <c r="U1601" s="65">
        <f>IFERROR(__xludf.DUMMYFUNCTION("""COMPUTED_VALUE"""),0.0)</f>
        <v>0</v>
      </c>
      <c r="V1601" s="65">
        <f>IFERROR(__xludf.DUMMYFUNCTION("""COMPUTED_VALUE"""),0.0)</f>
        <v>0</v>
      </c>
      <c r="W1601" s="65">
        <f>IFERROR(__xludf.DUMMYFUNCTION("""COMPUTED_VALUE"""),0.0)</f>
        <v>0</v>
      </c>
      <c r="X1601" s="65">
        <f>IFERROR(__xludf.DUMMYFUNCTION("""COMPUTED_VALUE"""),2.35)</f>
        <v>2.35</v>
      </c>
      <c r="Y1601" s="65">
        <f>IFERROR(__xludf.DUMMYFUNCTION("""COMPUTED_VALUE"""),2.35)</f>
        <v>2.35</v>
      </c>
      <c r="Z1601" s="65">
        <f>IFERROR(__xludf.DUMMYFUNCTION("""COMPUTED_VALUE"""),116679.0)</f>
        <v>116679</v>
      </c>
      <c r="AA1601" s="65" t="str">
        <f>IFERROR(__xludf.DUMMYFUNCTION("""COMPUTED_VALUE"""),"AMC-2738")</f>
        <v>AMC-2738</v>
      </c>
      <c r="AB1601" s="65"/>
      <c r="AC1601" s="65" t="str">
        <f>IFERROR(__xludf.DUMMYFUNCTION("""COMPUTED_VALUE"""),"ESPONJA ANTILLUVIA DE PARABRISAS")</f>
        <v>ESPONJA ANTILLUVIA DE PARABRISAS</v>
      </c>
      <c r="AD1601" s="65"/>
      <c r="AE1601" s="65">
        <f>IFERROR(__xludf.DUMMYFUNCTION("""COMPUTED_VALUE"""),1.0)</f>
        <v>1</v>
      </c>
      <c r="AF1601" s="65"/>
      <c r="AG1601" s="65"/>
      <c r="AH1601" s="65"/>
      <c r="AI1601" s="65"/>
      <c r="AJ1601" s="65"/>
      <c r="AK1601" s="65"/>
      <c r="AL1601" s="65"/>
      <c r="AM1601" s="65"/>
      <c r="AN1601" s="65"/>
      <c r="AO1601" s="65"/>
      <c r="AP1601" s="65"/>
      <c r="AQ1601" s="65"/>
      <c r="AR1601" s="65"/>
      <c r="AS1601" s="65"/>
      <c r="AT1601" s="65" t="str">
        <f>IFERROR(__xludf.DUMMYFUNCTION("""COMPUTED_VALUE"""),"SHOPIFY")</f>
        <v>SHOPIFY</v>
      </c>
      <c r="AU1601" s="65" t="str">
        <f>IFERROR(__xludf.DUMMYFUNCTION("""COMPUTED_VALUE"""),"IMPORTEX EC")</f>
        <v>IMPORTEX EC</v>
      </c>
      <c r="AV1601" s="65" t="str">
        <f>IFERROR(__xludf.DUMMYFUNCTION("""COMPUTED_VALUE"""),"6421226618924")</f>
        <v>6421226618924</v>
      </c>
      <c r="AW1601" s="65">
        <f>IFERROR(__xludf.DUMMYFUNCTION("""COMPUTED_VALUE"""),5343.0)</f>
        <v>5343</v>
      </c>
      <c r="AX1601" s="65"/>
      <c r="AY1601" s="65"/>
      <c r="AZ1601" s="65"/>
      <c r="BA1601" s="65"/>
    </row>
    <row r="1602">
      <c r="A1602" s="65" t="str">
        <f>IFERROR(__xludf.DUMMYFUNCTION("""COMPUTED_VALUE"""),"27-03-2026")</f>
        <v>27-03-2026</v>
      </c>
      <c r="B1602" s="65">
        <f>IFERROR(__xludf.DUMMYFUNCTION("""COMPUTED_VALUE"""),4168924.0)</f>
        <v>4168924</v>
      </c>
      <c r="C1602" s="65" t="str">
        <f>IFERROR(__xludf.DUMMYFUNCTION("""COMPUTED_VALUE"""),"10:58")</f>
        <v>10:58</v>
      </c>
      <c r="D1602" s="65" t="str">
        <f>IFERROR(__xludf.DUMMYFUNCTION("""COMPUTED_VALUE"""),"16-01-2026")</f>
        <v>16-01-2026</v>
      </c>
      <c r="E1602" s="65" t="str">
        <f>IFERROR(__xludf.DUMMYFUNCTION("""COMPUTED_VALUE"""),"Cristian Camacho")</f>
        <v>Cristian Camacho</v>
      </c>
      <c r="F1602" s="65" t="str">
        <f>IFERROR(__xludf.DUMMYFUNCTION("""COMPUTED_VALUE"""),"993781796")</f>
        <v>993781796</v>
      </c>
      <c r="G1602" s="65"/>
      <c r="H1602" s="65"/>
      <c r="I1602" s="65"/>
      <c r="J1602" s="65" t="str">
        <f>IFERROR(__xludf.DUMMYFUNCTION("""COMPUTED_VALUE"""),"186986059")</f>
        <v>186986059</v>
      </c>
      <c r="K1602" s="65" t="str">
        <f>IFERROR(__xludf.DUMMYFUNCTION("""COMPUTED_VALUE"""),"ENTREGADO")</f>
        <v>ENTREGADO</v>
      </c>
      <c r="L1602" s="65" t="str">
        <f>IFERROR(__xludf.DUMMYFUNCTION("""COMPUTED_VALUE"""),"CON RECAUDO")</f>
        <v>CON RECAUDO</v>
      </c>
      <c r="M1602" s="65" t="str">
        <f>IFERROR(__xludf.DUMMYFUNCTION("""COMPUTED_VALUE"""),"GUAYAS")</f>
        <v>GUAYAS</v>
      </c>
      <c r="N1602" s="65" t="str">
        <f>IFERROR(__xludf.DUMMYFUNCTION("""COMPUTED_VALUE"""),"GUAYAQUIL")</f>
        <v>GUAYAQUIL</v>
      </c>
      <c r="O1602" s="65" t="str">
        <f>IFERROR(__xludf.DUMMYFUNCTION("""COMPUTED_VALUE"""),"CS: GUAYAQUIL-C.C. PLAZA LA GARZOTA LOCAL 2 - AGUSTIN FREIRE MZ 2 SOLAR 1-15 - JUNTO A SUPERMAXI")</f>
        <v>CS: GUAYAQUIL-C.C. PLAZA LA GARZOTA LOCAL 2 - AGUSTIN FREIRE MZ 2 SOLAR 1-15 - JUNTO A SUPERMAXI</v>
      </c>
      <c r="P1602" s="65"/>
      <c r="Q1602" s="65" t="str">
        <f>IFERROR(__xludf.DUMMYFUNCTION("""COMPUTED_VALUE"""),"SERVIENTREGA")</f>
        <v>SERVIENTREGA</v>
      </c>
      <c r="R1602" s="65">
        <f>IFERROR(__xludf.DUMMYFUNCTION("""COMPUTED_VALUE"""),30.0)</f>
        <v>30</v>
      </c>
      <c r="S1602" s="65">
        <f>IFERROR(__xludf.DUMMYFUNCTION("""COMPUTED_VALUE"""),16.57)</f>
        <v>16.57</v>
      </c>
      <c r="T1602" s="65">
        <f>IFERROR(__xludf.DUMMYFUNCTION("""COMPUTED_VALUE"""),6.38)</f>
        <v>6.38</v>
      </c>
      <c r="U1602" s="65">
        <f>IFERROR(__xludf.DUMMYFUNCTION("""COMPUTED_VALUE"""),0.0)</f>
        <v>0</v>
      </c>
      <c r="V1602" s="65">
        <f>IFERROR(__xludf.DUMMYFUNCTION("""COMPUTED_VALUE"""),0.0)</f>
        <v>0</v>
      </c>
      <c r="W1602" s="65">
        <f>IFERROR(__xludf.DUMMYFUNCTION("""COMPUTED_VALUE"""),0.0)</f>
        <v>0</v>
      </c>
      <c r="X1602" s="65">
        <f>IFERROR(__xludf.DUMMYFUNCTION("""COMPUTED_VALUE"""),2.35)</f>
        <v>2.35</v>
      </c>
      <c r="Y1602" s="65">
        <f>IFERROR(__xludf.DUMMYFUNCTION("""COMPUTED_VALUE"""),7.05)</f>
        <v>7.05</v>
      </c>
      <c r="Z1602" s="65">
        <f>IFERROR(__xludf.DUMMYFUNCTION("""COMPUTED_VALUE"""),116679.0)</f>
        <v>116679</v>
      </c>
      <c r="AA1602" s="65" t="str">
        <f>IFERROR(__xludf.DUMMYFUNCTION("""COMPUTED_VALUE"""),"AMC-2738")</f>
        <v>AMC-2738</v>
      </c>
      <c r="AB1602" s="65"/>
      <c r="AC1602" s="65" t="str">
        <f>IFERROR(__xludf.DUMMYFUNCTION("""COMPUTED_VALUE"""),"ESPONJA ANTILLUVIA DE PARABRISAS")</f>
        <v>ESPONJA ANTILLUVIA DE PARABRISAS</v>
      </c>
      <c r="AD1602" s="65"/>
      <c r="AE1602" s="65">
        <f>IFERROR(__xludf.DUMMYFUNCTION("""COMPUTED_VALUE"""),3.0)</f>
        <v>3</v>
      </c>
      <c r="AF1602" s="65"/>
      <c r="AG1602" s="65"/>
      <c r="AH1602" s="65"/>
      <c r="AI1602" s="65"/>
      <c r="AJ1602" s="65"/>
      <c r="AK1602" s="65"/>
      <c r="AL1602" s="65"/>
      <c r="AM1602" s="65"/>
      <c r="AN1602" s="65" t="str">
        <f>IFERROR(__xludf.DUMMYFUNCTION("""COMPUTED_VALUE"""),"01:04")</f>
        <v>01:04</v>
      </c>
      <c r="AO1602" s="65" t="str">
        <f>IFERROR(__xludf.DUMMYFUNCTION("""COMPUTED_VALUE"""),"21-01-2026")</f>
        <v>21-01-2026</v>
      </c>
      <c r="AP1602" s="65" t="str">
        <f>IFERROR(__xludf.DUMMYFUNCTION("""COMPUTED_VALUE"""),"Reportado Entregado en Agencia GUAYAQUIL_PLAZA LA GARZOTA")</f>
        <v>Reportado Entregado en Agencia GUAYAQUIL_PLAZA LA GARZOTA</v>
      </c>
      <c r="AQ1602" s="65" t="str">
        <f>IFERROR(__xludf.DUMMYFUNCTION("""COMPUTED_VALUE"""),"{}")</f>
        <v>{}</v>
      </c>
      <c r="AR1602" s="65"/>
      <c r="AS1602" s="65" t="str">
        <f>IFERROR(__xludf.DUMMYFUNCTION("""COMPUTED_VALUE"""),"Bayron Gomez")</f>
        <v>Bayron Gomez</v>
      </c>
      <c r="AT1602" s="65"/>
      <c r="AU1602" s="65"/>
      <c r="AV1602" s="65"/>
      <c r="AW1602" s="65"/>
      <c r="AX1602" s="65"/>
      <c r="AY1602" s="65" t="str">
        <f>IFERROR(__xludf.DUMMYFUNCTION("""COMPUTED_VALUE"""),"16/01/2026")</f>
        <v>16/01/2026</v>
      </c>
      <c r="AZ1602" s="65"/>
      <c r="BA1602" s="65"/>
    </row>
    <row r="1603">
      <c r="A1603" s="65" t="str">
        <f>IFERROR(__xludf.DUMMYFUNCTION("""COMPUTED_VALUE"""),"27-03-2026")</f>
        <v>27-03-2026</v>
      </c>
      <c r="B1603" s="65">
        <f>IFERROR(__xludf.DUMMYFUNCTION("""COMPUTED_VALUE"""),4168635.0)</f>
        <v>4168635</v>
      </c>
      <c r="C1603" s="65" t="str">
        <f>IFERROR(__xludf.DUMMYFUNCTION("""COMPUTED_VALUE"""),"10:35")</f>
        <v>10:35</v>
      </c>
      <c r="D1603" s="65" t="str">
        <f>IFERROR(__xludf.DUMMYFUNCTION("""COMPUTED_VALUE"""),"16-01-2026")</f>
        <v>16-01-2026</v>
      </c>
      <c r="E1603" s="65" t="str">
        <f>IFERROR(__xludf.DUMMYFUNCTION("""COMPUTED_VALUE"""),"Juan Perez")</f>
        <v>Juan Perez</v>
      </c>
      <c r="F1603" s="65" t="str">
        <f>IFERROR(__xludf.DUMMYFUNCTION("""COMPUTED_VALUE"""),"962788888")</f>
        <v>962788888</v>
      </c>
      <c r="G1603" s="65" t="str">
        <f>IFERROR(__xludf.DUMMYFUNCTION("""COMPUTED_VALUE"""),"yoaosong5@gmail.com")</f>
        <v>yoaosong5@gmail.com</v>
      </c>
      <c r="H1603" s="65"/>
      <c r="I1603" s="65"/>
      <c r="J1603" s="65"/>
      <c r="K1603" s="65" t="str">
        <f>IFERROR(__xludf.DUMMYFUNCTION("""COMPUTED_VALUE"""),"PENDIENTE CONFIRMACION")</f>
        <v>PENDIENTE CONFIRMACION</v>
      </c>
      <c r="L1603" s="65" t="str">
        <f>IFERROR(__xludf.DUMMYFUNCTION("""COMPUTED_VALUE"""),"CON RECAUDO")</f>
        <v>CON RECAUDO</v>
      </c>
      <c r="M1603" s="65" t="str">
        <f>IFERROR(__xludf.DUMMYFUNCTION("""COMPUTED_VALUE"""),"PICHINCHA")</f>
        <v>PICHINCHA</v>
      </c>
      <c r="N1603" s="65" t="str">
        <f>IFERROR(__xludf.DUMMYFUNCTION("""COMPUTED_VALUE"""),"QUITO")</f>
        <v>QUITO</v>
      </c>
      <c r="O1603" s="65" t="str">
        <f>IFERROR(__xludf.DUMMYFUNCTION("""COMPUTED_VALUE"""),"Ciudad Bicentenario Manzana 4 -")</f>
        <v>Ciudad Bicentenario Manzana 4 -</v>
      </c>
      <c r="P1603" s="65"/>
      <c r="Q1603" s="65" t="str">
        <f>IFERROR(__xludf.DUMMYFUNCTION("""COMPUTED_VALUE"""),"GINTRACOM")</f>
        <v>GINTRACOM</v>
      </c>
      <c r="R1603" s="65">
        <f>IFERROR(__xludf.DUMMYFUNCTION("""COMPUTED_VALUE"""),20.0)</f>
        <v>20</v>
      </c>
      <c r="S1603" s="65"/>
      <c r="T1603" s="65">
        <f>IFERROR(__xludf.DUMMYFUNCTION("""COMPUTED_VALUE"""),4.15)</f>
        <v>4.15</v>
      </c>
      <c r="U1603" s="65">
        <f>IFERROR(__xludf.DUMMYFUNCTION("""COMPUTED_VALUE"""),0.0)</f>
        <v>0</v>
      </c>
      <c r="V1603" s="65">
        <f>IFERROR(__xludf.DUMMYFUNCTION("""COMPUTED_VALUE"""),0.0)</f>
        <v>0</v>
      </c>
      <c r="W1603" s="65">
        <f>IFERROR(__xludf.DUMMYFUNCTION("""COMPUTED_VALUE"""),0.0)</f>
        <v>0</v>
      </c>
      <c r="X1603" s="65">
        <f>IFERROR(__xludf.DUMMYFUNCTION("""COMPUTED_VALUE"""),2.35)</f>
        <v>2.35</v>
      </c>
      <c r="Y1603" s="65">
        <f>IFERROR(__xludf.DUMMYFUNCTION("""COMPUTED_VALUE"""),2.35)</f>
        <v>2.35</v>
      </c>
      <c r="Z1603" s="65">
        <f>IFERROR(__xludf.DUMMYFUNCTION("""COMPUTED_VALUE"""),116679.0)</f>
        <v>116679</v>
      </c>
      <c r="AA1603" s="65" t="str">
        <f>IFERROR(__xludf.DUMMYFUNCTION("""COMPUTED_VALUE"""),"AMC-2738")</f>
        <v>AMC-2738</v>
      </c>
      <c r="AB1603" s="65"/>
      <c r="AC1603" s="65" t="str">
        <f>IFERROR(__xludf.DUMMYFUNCTION("""COMPUTED_VALUE"""),"ESPONJA ANTILLUVIA DE PARABRISAS")</f>
        <v>ESPONJA ANTILLUVIA DE PARABRISAS</v>
      </c>
      <c r="AD1603" s="65"/>
      <c r="AE1603" s="65">
        <f>IFERROR(__xludf.DUMMYFUNCTION("""COMPUTED_VALUE"""),1.0)</f>
        <v>1</v>
      </c>
      <c r="AF1603" s="65"/>
      <c r="AG1603" s="65"/>
      <c r="AH1603" s="65"/>
      <c r="AI1603" s="65"/>
      <c r="AJ1603" s="65"/>
      <c r="AK1603" s="65"/>
      <c r="AL1603" s="65"/>
      <c r="AM1603" s="65"/>
      <c r="AN1603" s="65"/>
      <c r="AO1603" s="65"/>
      <c r="AP1603" s="65"/>
      <c r="AQ1603" s="65"/>
      <c r="AR1603" s="65"/>
      <c r="AS1603" s="65"/>
      <c r="AT1603" s="65" t="str">
        <f>IFERROR(__xludf.DUMMYFUNCTION("""COMPUTED_VALUE"""),"SHOPIFY")</f>
        <v>SHOPIFY</v>
      </c>
      <c r="AU1603" s="65" t="str">
        <f>IFERROR(__xludf.DUMMYFUNCTION("""COMPUTED_VALUE"""),"IMPORTEX EC")</f>
        <v>IMPORTEX EC</v>
      </c>
      <c r="AV1603" s="65" t="str">
        <f>IFERROR(__xludf.DUMMYFUNCTION("""COMPUTED_VALUE"""),"6421132574764")</f>
        <v>6421132574764</v>
      </c>
      <c r="AW1603" s="65">
        <f>IFERROR(__xludf.DUMMYFUNCTION("""COMPUTED_VALUE"""),5340.0)</f>
        <v>5340</v>
      </c>
      <c r="AX1603" s="65"/>
      <c r="AY1603" s="65"/>
      <c r="AZ1603" s="65"/>
      <c r="BA1603" s="65"/>
    </row>
    <row r="1604">
      <c r="A1604" s="65" t="str">
        <f>IFERROR(__xludf.DUMMYFUNCTION("""COMPUTED_VALUE"""),"27-03-2026")</f>
        <v>27-03-2026</v>
      </c>
      <c r="B1604" s="65">
        <f>IFERROR(__xludf.DUMMYFUNCTION("""COMPUTED_VALUE"""),4168557.0)</f>
        <v>4168557</v>
      </c>
      <c r="C1604" s="65" t="str">
        <f>IFERROR(__xludf.DUMMYFUNCTION("""COMPUTED_VALUE"""),"10:28")</f>
        <v>10:28</v>
      </c>
      <c r="D1604" s="65" t="str">
        <f>IFERROR(__xludf.DUMMYFUNCTION("""COMPUTED_VALUE"""),"16-01-2026")</f>
        <v>16-01-2026</v>
      </c>
      <c r="E1604" s="65" t="str">
        <f>IFERROR(__xludf.DUMMYFUNCTION("""COMPUTED_VALUE"""),"María Andrea Salvador")</f>
        <v>María Andrea Salvador</v>
      </c>
      <c r="F1604" s="65" t="str">
        <f>IFERROR(__xludf.DUMMYFUNCTION("""COMPUTED_VALUE"""),"993046766")</f>
        <v>993046766</v>
      </c>
      <c r="G1604" s="65" t="str">
        <f>IFERROR(__xludf.DUMMYFUNCTION("""COMPUTED_VALUE"""),"masm_andrea@hotmail.com")</f>
        <v>masm_andrea@hotmail.com</v>
      </c>
      <c r="H1604" s="65"/>
      <c r="I1604" s="65"/>
      <c r="J1604" s="65"/>
      <c r="K1604" s="65" t="str">
        <f>IFERROR(__xludf.DUMMYFUNCTION("""COMPUTED_VALUE"""),"PENDIENTE CONFIRMACION")</f>
        <v>PENDIENTE CONFIRMACION</v>
      </c>
      <c r="L1604" s="65" t="str">
        <f>IFERROR(__xludf.DUMMYFUNCTION("""COMPUTED_VALUE"""),"CON RECAUDO")</f>
        <v>CON RECAUDO</v>
      </c>
      <c r="M1604" s="65" t="str">
        <f>IFERROR(__xludf.DUMMYFUNCTION("""COMPUTED_VALUE"""),"GUAYAS")</f>
        <v>GUAYAS</v>
      </c>
      <c r="N1604" s="65" t="str">
        <f>IFERROR(__xludf.DUMMYFUNCTION("""COMPUTED_VALUE"""),"GUAYAQUIL")</f>
        <v>GUAYAQUIL</v>
      </c>
      <c r="O1604" s="65" t="str">
        <f>IFERROR(__xludf.DUMMYFUNCTION("""COMPUTED_VALUE"""),"9na este y calle D #105 condominio las violetas Kennedy Nueva -")</f>
        <v>9na este y calle D #105 condominio las violetas Kennedy Nueva -</v>
      </c>
      <c r="P1604" s="65"/>
      <c r="Q1604" s="65" t="str">
        <f>IFERROR(__xludf.DUMMYFUNCTION("""COMPUTED_VALUE"""),"GINTRACOM")</f>
        <v>GINTRACOM</v>
      </c>
      <c r="R1604" s="65">
        <f>IFERROR(__xludf.DUMMYFUNCTION("""COMPUTED_VALUE"""),30.0)</f>
        <v>30</v>
      </c>
      <c r="S1604" s="65"/>
      <c r="T1604" s="65">
        <f>IFERROR(__xludf.DUMMYFUNCTION("""COMPUTED_VALUE"""),6.16)</f>
        <v>6.16</v>
      </c>
      <c r="U1604" s="65">
        <f>IFERROR(__xludf.DUMMYFUNCTION("""COMPUTED_VALUE"""),0.0)</f>
        <v>0</v>
      </c>
      <c r="V1604" s="65">
        <f>IFERROR(__xludf.DUMMYFUNCTION("""COMPUTED_VALUE"""),0.0)</f>
        <v>0</v>
      </c>
      <c r="W1604" s="65">
        <f>IFERROR(__xludf.DUMMYFUNCTION("""COMPUTED_VALUE"""),0.0)</f>
        <v>0</v>
      </c>
      <c r="X1604" s="65">
        <f>IFERROR(__xludf.DUMMYFUNCTION("""COMPUTED_VALUE"""),2.35)</f>
        <v>2.35</v>
      </c>
      <c r="Y1604" s="65">
        <f>IFERROR(__xludf.DUMMYFUNCTION("""COMPUTED_VALUE"""),7.05)</f>
        <v>7.05</v>
      </c>
      <c r="Z1604" s="65">
        <f>IFERROR(__xludf.DUMMYFUNCTION("""COMPUTED_VALUE"""),116679.0)</f>
        <v>116679</v>
      </c>
      <c r="AA1604" s="65" t="str">
        <f>IFERROR(__xludf.DUMMYFUNCTION("""COMPUTED_VALUE"""),"AMC-2738")</f>
        <v>AMC-2738</v>
      </c>
      <c r="AB1604" s="65"/>
      <c r="AC1604" s="65" t="str">
        <f>IFERROR(__xludf.DUMMYFUNCTION("""COMPUTED_VALUE"""),"ESPONJA ANTILLUVIA DE PARABRISAS")</f>
        <v>ESPONJA ANTILLUVIA DE PARABRISAS</v>
      </c>
      <c r="AD1604" s="65"/>
      <c r="AE1604" s="65">
        <f>IFERROR(__xludf.DUMMYFUNCTION("""COMPUTED_VALUE"""),3.0)</f>
        <v>3</v>
      </c>
      <c r="AF1604" s="65"/>
      <c r="AG1604" s="65"/>
      <c r="AH1604" s="65"/>
      <c r="AI1604" s="65"/>
      <c r="AJ1604" s="65"/>
      <c r="AK1604" s="65"/>
      <c r="AL1604" s="65"/>
      <c r="AM1604" s="65"/>
      <c r="AN1604" s="65"/>
      <c r="AO1604" s="65"/>
      <c r="AP1604" s="65"/>
      <c r="AQ1604" s="65"/>
      <c r="AR1604" s="65"/>
      <c r="AS1604" s="65"/>
      <c r="AT1604" s="65" t="str">
        <f>IFERROR(__xludf.DUMMYFUNCTION("""COMPUTED_VALUE"""),"SHOPIFY")</f>
        <v>SHOPIFY</v>
      </c>
      <c r="AU1604" s="65" t="str">
        <f>IFERROR(__xludf.DUMMYFUNCTION("""COMPUTED_VALUE"""),"IMPORTEX EC")</f>
        <v>IMPORTEX EC</v>
      </c>
      <c r="AV1604" s="65" t="str">
        <f>IFERROR(__xludf.DUMMYFUNCTION("""COMPUTED_VALUE"""),"6421118615596")</f>
        <v>6421118615596</v>
      </c>
      <c r="AW1604" s="65">
        <f>IFERROR(__xludf.DUMMYFUNCTION("""COMPUTED_VALUE"""),5339.0)</f>
        <v>5339</v>
      </c>
      <c r="AX1604" s="65"/>
      <c r="AY1604" s="65"/>
      <c r="AZ1604" s="65"/>
      <c r="BA1604" s="65"/>
    </row>
    <row r="1605">
      <c r="A1605" s="65" t="str">
        <f>IFERROR(__xludf.DUMMYFUNCTION("""COMPUTED_VALUE"""),"27-03-2026")</f>
        <v>27-03-2026</v>
      </c>
      <c r="B1605" s="65">
        <f>IFERROR(__xludf.DUMMYFUNCTION("""COMPUTED_VALUE"""),4168546.0)</f>
        <v>4168546</v>
      </c>
      <c r="C1605" s="65" t="str">
        <f>IFERROR(__xludf.DUMMYFUNCTION("""COMPUTED_VALUE"""),"10:27")</f>
        <v>10:27</v>
      </c>
      <c r="D1605" s="65" t="str">
        <f>IFERROR(__xludf.DUMMYFUNCTION("""COMPUTED_VALUE"""),"16-01-2026")</f>
        <v>16-01-2026</v>
      </c>
      <c r="E1605" s="65" t="str">
        <f>IFERROR(__xludf.DUMMYFUNCTION("""COMPUTED_VALUE"""),"Roddy Davila")</f>
        <v>Roddy Davila</v>
      </c>
      <c r="F1605" s="65" t="str">
        <f>IFERROR(__xludf.DUMMYFUNCTION("""COMPUTED_VALUE"""),"981738452")</f>
        <v>981738452</v>
      </c>
      <c r="G1605" s="65" t="str">
        <f>IFERROR(__xludf.DUMMYFUNCTION("""COMPUTED_VALUE"""),"roddy_davila_h@hotmail.com")</f>
        <v>roddy_davila_h@hotmail.com</v>
      </c>
      <c r="H1605" s="65"/>
      <c r="I1605" s="65"/>
      <c r="J1605" s="65"/>
      <c r="K1605" s="65" t="str">
        <f>IFERROR(__xludf.DUMMYFUNCTION("""COMPUTED_VALUE"""),"PENDIENTE CONFIRMACION")</f>
        <v>PENDIENTE CONFIRMACION</v>
      </c>
      <c r="L1605" s="65" t="str">
        <f>IFERROR(__xludf.DUMMYFUNCTION("""COMPUTED_VALUE"""),"CON RECAUDO")</f>
        <v>CON RECAUDO</v>
      </c>
      <c r="M1605" s="65" t="str">
        <f>IFERROR(__xludf.DUMMYFUNCTION("""COMPUTED_VALUE"""),"GUAYAS")</f>
        <v>GUAYAS</v>
      </c>
      <c r="N1605" s="65" t="str">
        <f>IFERROR(__xludf.DUMMYFUNCTION("""COMPUTED_VALUE"""),"GUAYAQUIL")</f>
        <v>GUAYAQUIL</v>
      </c>
      <c r="O1605" s="65" t="str">
        <f>IFERROR(__xludf.DUMMYFUNCTION("""COMPUTED_VALUE"""),"La cumbre mz 7a villa 11 Los ceibos -")</f>
        <v>La cumbre mz 7a villa 11 Los ceibos -</v>
      </c>
      <c r="P1605" s="65"/>
      <c r="Q1605" s="65" t="str">
        <f>IFERROR(__xludf.DUMMYFUNCTION("""COMPUTED_VALUE"""),"GINTRACOM")</f>
        <v>GINTRACOM</v>
      </c>
      <c r="R1605" s="65">
        <f>IFERROR(__xludf.DUMMYFUNCTION("""COMPUTED_VALUE"""),27.0)</f>
        <v>27</v>
      </c>
      <c r="S1605" s="65"/>
      <c r="T1605" s="65">
        <f>IFERROR(__xludf.DUMMYFUNCTION("""COMPUTED_VALUE"""),4.42)</f>
        <v>4.42</v>
      </c>
      <c r="U1605" s="65">
        <f>IFERROR(__xludf.DUMMYFUNCTION("""COMPUTED_VALUE"""),0.0)</f>
        <v>0</v>
      </c>
      <c r="V1605" s="65">
        <f>IFERROR(__xludf.DUMMYFUNCTION("""COMPUTED_VALUE"""),0.0)</f>
        <v>0</v>
      </c>
      <c r="W1605" s="65">
        <f>IFERROR(__xludf.DUMMYFUNCTION("""COMPUTED_VALUE"""),0.0)</f>
        <v>0</v>
      </c>
      <c r="X1605" s="65">
        <f>IFERROR(__xludf.DUMMYFUNCTION("""COMPUTED_VALUE"""),2.6)</f>
        <v>2.6</v>
      </c>
      <c r="Y1605" s="65">
        <f>IFERROR(__xludf.DUMMYFUNCTION("""COMPUTED_VALUE"""),7.8)</f>
        <v>7.8</v>
      </c>
      <c r="Z1605" s="65">
        <f>IFERROR(__xludf.DUMMYFUNCTION("""COMPUTED_VALUE"""),121983.0)</f>
        <v>121983</v>
      </c>
      <c r="AA1605" s="65" t="str">
        <f>IFERROR(__xludf.DUMMYFUNCTION("""COMPUTED_VALUE"""),"PROV-CHLLCF")</f>
        <v>PROV-CHLLCF</v>
      </c>
      <c r="AB1605" s="65"/>
      <c r="AC1605" s="65" t="str">
        <f>IFERROR(__xludf.DUMMYFUNCTION("""COMPUTED_VALUE"""),"CUCHILLO PARA CHEF")</f>
        <v>CUCHILLO PARA CHEF</v>
      </c>
      <c r="AD1605" s="65"/>
      <c r="AE1605" s="65">
        <f>IFERROR(__xludf.DUMMYFUNCTION("""COMPUTED_VALUE"""),3.0)</f>
        <v>3</v>
      </c>
      <c r="AF1605" s="65"/>
      <c r="AG1605" s="65"/>
      <c r="AH1605" s="65"/>
      <c r="AI1605" s="65"/>
      <c r="AJ1605" s="65"/>
      <c r="AK1605" s="65"/>
      <c r="AL1605" s="65"/>
      <c r="AM1605" s="65"/>
      <c r="AN1605" s="65"/>
      <c r="AO1605" s="65"/>
      <c r="AP1605" s="65"/>
      <c r="AQ1605" s="65"/>
      <c r="AR1605" s="65"/>
      <c r="AS1605" s="65"/>
      <c r="AT1605" s="65" t="str">
        <f>IFERROR(__xludf.DUMMYFUNCTION("""COMPUTED_VALUE"""),"SHOPIFY")</f>
        <v>SHOPIFY</v>
      </c>
      <c r="AU1605" s="65" t="str">
        <f>IFERROR(__xludf.DUMMYFUNCTION("""COMPUTED_VALUE"""),"IMPORTEX EC")</f>
        <v>IMPORTEX EC</v>
      </c>
      <c r="AV1605" s="65" t="str">
        <f>IFERROR(__xludf.DUMMYFUNCTION("""COMPUTED_VALUE"""),"6421115600940")</f>
        <v>6421115600940</v>
      </c>
      <c r="AW1605" s="65">
        <f>IFERROR(__xludf.DUMMYFUNCTION("""COMPUTED_VALUE"""),5338.0)</f>
        <v>5338</v>
      </c>
      <c r="AX1605" s="65"/>
      <c r="AY1605" s="65"/>
      <c r="AZ1605" s="65"/>
      <c r="BA1605" s="65"/>
    </row>
    <row r="1606">
      <c r="A1606" s="65" t="str">
        <f>IFERROR(__xludf.DUMMYFUNCTION("""COMPUTED_VALUE"""),"27-03-2026")</f>
        <v>27-03-2026</v>
      </c>
      <c r="B1606" s="65">
        <f>IFERROR(__xludf.DUMMYFUNCTION("""COMPUTED_VALUE"""),4168503.0)</f>
        <v>4168503</v>
      </c>
      <c r="C1606" s="65" t="str">
        <f>IFERROR(__xludf.DUMMYFUNCTION("""COMPUTED_VALUE"""),"10:24")</f>
        <v>10:24</v>
      </c>
      <c r="D1606" s="65" t="str">
        <f>IFERROR(__xludf.DUMMYFUNCTION("""COMPUTED_VALUE"""),"16-01-2026")</f>
        <v>16-01-2026</v>
      </c>
      <c r="E1606" s="65" t="str">
        <f>IFERROR(__xludf.DUMMYFUNCTION("""COMPUTED_VALUE"""),"Daniel Soria")</f>
        <v>Daniel Soria</v>
      </c>
      <c r="F1606" s="65" t="str">
        <f>IFERROR(__xludf.DUMMYFUNCTION("""COMPUTED_VALUE"""),"992178573")</f>
        <v>992178573</v>
      </c>
      <c r="G1606" s="65" t="str">
        <f>IFERROR(__xludf.DUMMYFUNCTION("""COMPUTED_VALUE"""),"fdaniel.soria@gmail.com")</f>
        <v>fdaniel.soria@gmail.com</v>
      </c>
      <c r="H1606" s="65"/>
      <c r="I1606" s="65"/>
      <c r="J1606" s="65"/>
      <c r="K1606" s="65" t="str">
        <f>IFERROR(__xludf.DUMMYFUNCTION("""COMPUTED_VALUE"""),"PENDIENTE CONFIRMACION")</f>
        <v>PENDIENTE CONFIRMACION</v>
      </c>
      <c r="L1606" s="65" t="str">
        <f>IFERROR(__xludf.DUMMYFUNCTION("""COMPUTED_VALUE"""),"CON RECAUDO")</f>
        <v>CON RECAUDO</v>
      </c>
      <c r="M1606" s="65" t="str">
        <f>IFERROR(__xludf.DUMMYFUNCTION("""COMPUTED_VALUE"""),"GUAYAS")</f>
        <v>GUAYAS</v>
      </c>
      <c r="N1606" s="65" t="str">
        <f>IFERROR(__xludf.DUMMYFUNCTION("""COMPUTED_VALUE"""),"GUAYAQUIL")</f>
        <v>GUAYAQUIL</v>
      </c>
      <c r="O1606" s="65" t="str">
        <f>IFERROR(__xludf.DUMMYFUNCTION("""COMPUTED_VALUE"""),"Kennedy norte mz108 solar 2 Kennedy -")</f>
        <v>Kennedy norte mz108 solar 2 Kennedy -</v>
      </c>
      <c r="P1606" s="65"/>
      <c r="Q1606" s="65" t="str">
        <f>IFERROR(__xludf.DUMMYFUNCTION("""COMPUTED_VALUE"""),"GINTRACOM")</f>
        <v>GINTRACOM</v>
      </c>
      <c r="R1606" s="65">
        <f>IFERROR(__xludf.DUMMYFUNCTION("""COMPUTED_VALUE"""),30.0)</f>
        <v>30</v>
      </c>
      <c r="S1606" s="65"/>
      <c r="T1606" s="65">
        <f>IFERROR(__xludf.DUMMYFUNCTION("""COMPUTED_VALUE"""),6.16)</f>
        <v>6.16</v>
      </c>
      <c r="U1606" s="65">
        <f>IFERROR(__xludf.DUMMYFUNCTION("""COMPUTED_VALUE"""),0.0)</f>
        <v>0</v>
      </c>
      <c r="V1606" s="65">
        <f>IFERROR(__xludf.DUMMYFUNCTION("""COMPUTED_VALUE"""),0.0)</f>
        <v>0</v>
      </c>
      <c r="W1606" s="65">
        <f>IFERROR(__xludf.DUMMYFUNCTION("""COMPUTED_VALUE"""),0.0)</f>
        <v>0</v>
      </c>
      <c r="X1606" s="65">
        <f>IFERROR(__xludf.DUMMYFUNCTION("""COMPUTED_VALUE"""),2.35)</f>
        <v>2.35</v>
      </c>
      <c r="Y1606" s="65">
        <f>IFERROR(__xludf.DUMMYFUNCTION("""COMPUTED_VALUE"""),7.05)</f>
        <v>7.05</v>
      </c>
      <c r="Z1606" s="65">
        <f>IFERROR(__xludf.DUMMYFUNCTION("""COMPUTED_VALUE"""),116679.0)</f>
        <v>116679</v>
      </c>
      <c r="AA1606" s="65" t="str">
        <f>IFERROR(__xludf.DUMMYFUNCTION("""COMPUTED_VALUE"""),"AMC-2738")</f>
        <v>AMC-2738</v>
      </c>
      <c r="AB1606" s="65"/>
      <c r="AC1606" s="65" t="str">
        <f>IFERROR(__xludf.DUMMYFUNCTION("""COMPUTED_VALUE"""),"ESPONJA ANTILLUVIA DE PARABRISAS")</f>
        <v>ESPONJA ANTILLUVIA DE PARABRISAS</v>
      </c>
      <c r="AD1606" s="65"/>
      <c r="AE1606" s="65">
        <f>IFERROR(__xludf.DUMMYFUNCTION("""COMPUTED_VALUE"""),3.0)</f>
        <v>3</v>
      </c>
      <c r="AF1606" s="65"/>
      <c r="AG1606" s="65"/>
      <c r="AH1606" s="65"/>
      <c r="AI1606" s="65"/>
      <c r="AJ1606" s="65"/>
      <c r="AK1606" s="65"/>
      <c r="AL1606" s="65"/>
      <c r="AM1606" s="65"/>
      <c r="AN1606" s="65"/>
      <c r="AO1606" s="65"/>
      <c r="AP1606" s="65"/>
      <c r="AQ1606" s="65"/>
      <c r="AR1606" s="65"/>
      <c r="AS1606" s="65"/>
      <c r="AT1606" s="65" t="str">
        <f>IFERROR(__xludf.DUMMYFUNCTION("""COMPUTED_VALUE"""),"SHOPIFY")</f>
        <v>SHOPIFY</v>
      </c>
      <c r="AU1606" s="65" t="str">
        <f>IFERROR(__xludf.DUMMYFUNCTION("""COMPUTED_VALUE"""),"IMPORTEX EC")</f>
        <v>IMPORTEX EC</v>
      </c>
      <c r="AV1606" s="65" t="str">
        <f>IFERROR(__xludf.DUMMYFUNCTION("""COMPUTED_VALUE"""),"6421106098220")</f>
        <v>6421106098220</v>
      </c>
      <c r="AW1606" s="65">
        <f>IFERROR(__xludf.DUMMYFUNCTION("""COMPUTED_VALUE"""),5337.0)</f>
        <v>5337</v>
      </c>
      <c r="AX1606" s="65"/>
      <c r="AY1606" s="65"/>
      <c r="AZ1606" s="65"/>
      <c r="BA1606" s="65"/>
    </row>
    <row r="1607">
      <c r="A1607" s="65" t="str">
        <f>IFERROR(__xludf.DUMMYFUNCTION("""COMPUTED_VALUE"""),"27-03-2026")</f>
        <v>27-03-2026</v>
      </c>
      <c r="B1607" s="65">
        <f>IFERROR(__xludf.DUMMYFUNCTION("""COMPUTED_VALUE"""),4168304.0)</f>
        <v>4168304</v>
      </c>
      <c r="C1607" s="65" t="str">
        <f>IFERROR(__xludf.DUMMYFUNCTION("""COMPUTED_VALUE"""),"10:09")</f>
        <v>10:09</v>
      </c>
      <c r="D1607" s="65" t="str">
        <f>IFERROR(__xludf.DUMMYFUNCTION("""COMPUTED_VALUE"""),"16-01-2026")</f>
        <v>16-01-2026</v>
      </c>
      <c r="E1607" s="65" t="str">
        <f>IFERROR(__xludf.DUMMYFUNCTION("""COMPUTED_VALUE"""),"Martha Camacho")</f>
        <v>Martha Camacho</v>
      </c>
      <c r="F1607" s="65" t="str">
        <f>IFERROR(__xludf.DUMMYFUNCTION("""COMPUTED_VALUE"""),"996002929")</f>
        <v>996002929</v>
      </c>
      <c r="G1607" s="65" t="str">
        <f>IFERROR(__xludf.DUMMYFUNCTION("""COMPUTED_VALUE"""),"ludacami@hotmail.com")</f>
        <v>ludacami@hotmail.com</v>
      </c>
      <c r="H1607" s="65"/>
      <c r="I1607" s="65"/>
      <c r="J1607" s="65" t="str">
        <f>IFERROR(__xludf.DUMMYFUNCTION("""COMPUTED_VALUE"""),"D001240814")</f>
        <v>D001240814</v>
      </c>
      <c r="K1607" s="65" t="str">
        <f>IFERROR(__xludf.DUMMYFUNCTION("""COMPUTED_VALUE"""),"ENTREGADO")</f>
        <v>ENTREGADO</v>
      </c>
      <c r="L1607" s="65" t="str">
        <f>IFERROR(__xludf.DUMMYFUNCTION("""COMPUTED_VALUE"""),"CON RECAUDO")</f>
        <v>CON RECAUDO</v>
      </c>
      <c r="M1607" s="65" t="str">
        <f>IFERROR(__xludf.DUMMYFUNCTION("""COMPUTED_VALUE"""),"BOLIVAR")</f>
        <v>BOLIVAR</v>
      </c>
      <c r="N1607" s="65" t="str">
        <f>IFERROR(__xludf.DUMMYFUNCTION("""COMPUTED_VALUE"""),"SAN MIGUEL DE BOLIVAR")</f>
        <v>SAN MIGUEL DE BOLIVAR</v>
      </c>
      <c r="O1607" s="65" t="str">
        <f>IFERROR(__xludf.DUMMYFUNCTION("""COMPUTED_VALUE"""),"Pedro Carbo Olmedo -")</f>
        <v>Pedro Carbo Olmedo -</v>
      </c>
      <c r="P1607" s="65"/>
      <c r="Q1607" s="65" t="str">
        <f>IFERROR(__xludf.DUMMYFUNCTION("""COMPUTED_VALUE"""),"GINTRACOM")</f>
        <v>GINTRACOM</v>
      </c>
      <c r="R1607" s="65">
        <f>IFERROR(__xludf.DUMMYFUNCTION("""COMPUTED_VALUE"""),22.0)</f>
        <v>22</v>
      </c>
      <c r="S1607" s="65">
        <f>IFERROR(__xludf.DUMMYFUNCTION("""COMPUTED_VALUE"""),10.39)</f>
        <v>10.39</v>
      </c>
      <c r="T1607" s="65">
        <f>IFERROR(__xludf.DUMMYFUNCTION("""COMPUTED_VALUE"""),6.41)</f>
        <v>6.41</v>
      </c>
      <c r="U1607" s="65">
        <f>IFERROR(__xludf.DUMMYFUNCTION("""COMPUTED_VALUE"""),0.0)</f>
        <v>0</v>
      </c>
      <c r="V1607" s="65">
        <f>IFERROR(__xludf.DUMMYFUNCTION("""COMPUTED_VALUE"""),0.0)</f>
        <v>0</v>
      </c>
      <c r="W1607" s="65">
        <f>IFERROR(__xludf.DUMMYFUNCTION("""COMPUTED_VALUE"""),0.0)</f>
        <v>0</v>
      </c>
      <c r="X1607" s="65">
        <f>IFERROR(__xludf.DUMMYFUNCTION("""COMPUTED_VALUE"""),2.6)</f>
        <v>2.6</v>
      </c>
      <c r="Y1607" s="65">
        <f>IFERROR(__xludf.DUMMYFUNCTION("""COMPUTED_VALUE"""),5.2)</f>
        <v>5.2</v>
      </c>
      <c r="Z1607" s="65">
        <f>IFERROR(__xludf.DUMMYFUNCTION("""COMPUTED_VALUE"""),121983.0)</f>
        <v>121983</v>
      </c>
      <c r="AA1607" s="65" t="str">
        <f>IFERROR(__xludf.DUMMYFUNCTION("""COMPUTED_VALUE"""),"PROV-CHLLCF")</f>
        <v>PROV-CHLLCF</v>
      </c>
      <c r="AB1607" s="65"/>
      <c r="AC1607" s="65" t="str">
        <f>IFERROR(__xludf.DUMMYFUNCTION("""COMPUTED_VALUE"""),"CUCHILLO PARA CHEF")</f>
        <v>CUCHILLO PARA CHEF</v>
      </c>
      <c r="AD1607" s="65"/>
      <c r="AE1607" s="65">
        <f>IFERROR(__xludf.DUMMYFUNCTION("""COMPUTED_VALUE"""),2.0)</f>
        <v>2</v>
      </c>
      <c r="AF1607" s="65"/>
      <c r="AG1607" s="65"/>
      <c r="AH1607" s="65"/>
      <c r="AI1607" s="65"/>
      <c r="AJ1607" s="65"/>
      <c r="AK1607" s="65"/>
      <c r="AL1607" s="65"/>
      <c r="AM1607" s="65"/>
      <c r="AN1607" s="65" t="str">
        <f>IFERROR(__xludf.DUMMYFUNCTION("""COMPUTED_VALUE"""),"14:41")</f>
        <v>14:41</v>
      </c>
      <c r="AO1607" s="65" t="str">
        <f>IFERROR(__xludf.DUMMYFUNCTION("""COMPUTED_VALUE"""),"23-01-2026")</f>
        <v>23-01-2026</v>
      </c>
      <c r="AP1607" s="65" t="str">
        <f>IFERROR(__xludf.DUMMYFUNCTION("""COMPUTED_VALUE"""),"ENTREGADA GINTRACOM")</f>
        <v>ENTREGADA GINTRACOM</v>
      </c>
      <c r="AQ1607" s="65" t="str">
        <f>IFERROR(__xludf.DUMMYFUNCTION("""COMPUTED_VALUE"""),"ENTREGADA GINTRACOM")</f>
        <v>ENTREGADA GINTRACOM</v>
      </c>
      <c r="AR1607" s="65"/>
      <c r="AS1607" s="65"/>
      <c r="AT1607" s="65" t="str">
        <f>IFERROR(__xludf.DUMMYFUNCTION("""COMPUTED_VALUE"""),"SHOPIFY")</f>
        <v>SHOPIFY</v>
      </c>
      <c r="AU1607" s="65" t="str">
        <f>IFERROR(__xludf.DUMMYFUNCTION("""COMPUTED_VALUE"""),"IMPORTEX EC")</f>
        <v>IMPORTEX EC</v>
      </c>
      <c r="AV1607" s="65" t="str">
        <f>IFERROR(__xludf.DUMMYFUNCTION("""COMPUTED_VALUE"""),"6421076246572")</f>
        <v>6421076246572</v>
      </c>
      <c r="AW1607" s="65">
        <f>IFERROR(__xludf.DUMMYFUNCTION("""COMPUTED_VALUE"""),5336.0)</f>
        <v>5336</v>
      </c>
      <c r="AX1607" s="65"/>
      <c r="AY1607" s="65" t="str">
        <f>IFERROR(__xludf.DUMMYFUNCTION("""COMPUTED_VALUE"""),"19/01/2026")</f>
        <v>19/01/2026</v>
      </c>
      <c r="AZ1607" s="65"/>
      <c r="BA1607" s="65"/>
    </row>
    <row r="1608">
      <c r="A1608" s="65" t="str">
        <f>IFERROR(__xludf.DUMMYFUNCTION("""COMPUTED_VALUE"""),"27-03-2026")</f>
        <v>27-03-2026</v>
      </c>
      <c r="B1608" s="65">
        <f>IFERROR(__xludf.DUMMYFUNCTION("""COMPUTED_VALUE"""),4167770.0)</f>
        <v>4167770</v>
      </c>
      <c r="C1608" s="65" t="str">
        <f>IFERROR(__xludf.DUMMYFUNCTION("""COMPUTED_VALUE"""),"09:32")</f>
        <v>09:32</v>
      </c>
      <c r="D1608" s="65" t="str">
        <f>IFERROR(__xludf.DUMMYFUNCTION("""COMPUTED_VALUE"""),"16-01-2026")</f>
        <v>16-01-2026</v>
      </c>
      <c r="E1608" s="65" t="str">
        <f>IFERROR(__xludf.DUMMYFUNCTION("""COMPUTED_VALUE"""),"Fabricio Mayorga")</f>
        <v>Fabricio Mayorga</v>
      </c>
      <c r="F1608" s="65" t="str">
        <f>IFERROR(__xludf.DUMMYFUNCTION("""COMPUTED_VALUE"""),"995023861")</f>
        <v>995023861</v>
      </c>
      <c r="G1608" s="65" t="str">
        <f>IFERROR(__xludf.DUMMYFUNCTION("""COMPUTED_VALUE"""),"favrisio@hotmail.com")</f>
        <v>favrisio@hotmail.com</v>
      </c>
      <c r="H1608" s="65"/>
      <c r="I1608" s="65"/>
      <c r="J1608" s="65" t="str">
        <f>IFERROR(__xludf.DUMMYFUNCTION("""COMPUTED_VALUE"""),"D001240108")</f>
        <v>D001240108</v>
      </c>
      <c r="K1608" s="65" t="str">
        <f>IFERROR(__xludf.DUMMYFUNCTION("""COMPUTED_VALUE"""),"ENTREGADO")</f>
        <v>ENTREGADO</v>
      </c>
      <c r="L1608" s="65" t="str">
        <f>IFERROR(__xludf.DUMMYFUNCTION("""COMPUTED_VALUE"""),"CON RECAUDO")</f>
        <v>CON RECAUDO</v>
      </c>
      <c r="M1608" s="65" t="str">
        <f>IFERROR(__xludf.DUMMYFUNCTION("""COMPUTED_VALUE"""),"PICHINCHA")</f>
        <v>PICHINCHA</v>
      </c>
      <c r="N1608" s="65" t="str">
        <f>IFERROR(__xludf.DUMMYFUNCTION("""COMPUTED_VALUE"""),"QUITO")</f>
        <v>QUITO</v>
      </c>
      <c r="O1608" s="65" t="str">
        <f>IFERROR(__xludf.DUMMYFUNCTION("""COMPUTED_VALUE"""),"Pasaje Julio Moreno y AV.  6 de diciembre sector  El batán  en el  edificio Naia")</f>
        <v>Pasaje Julio Moreno y AV.  6 de diciembre sector  El batán  en el  edificio Naia</v>
      </c>
      <c r="P1608" s="65"/>
      <c r="Q1608" s="65" t="str">
        <f>IFERROR(__xludf.DUMMYFUNCTION("""COMPUTED_VALUE"""),"GINTRACOM")</f>
        <v>GINTRACOM</v>
      </c>
      <c r="R1608" s="65">
        <f>IFERROR(__xludf.DUMMYFUNCTION("""COMPUTED_VALUE"""),30.0)</f>
        <v>30</v>
      </c>
      <c r="S1608" s="65">
        <f>IFERROR(__xludf.DUMMYFUNCTION("""COMPUTED_VALUE"""),18.4)</f>
        <v>18.4</v>
      </c>
      <c r="T1608" s="65">
        <f>IFERROR(__xludf.DUMMYFUNCTION("""COMPUTED_VALUE"""),4.55)</f>
        <v>4.55</v>
      </c>
      <c r="U1608" s="65">
        <f>IFERROR(__xludf.DUMMYFUNCTION("""COMPUTED_VALUE"""),0.0)</f>
        <v>0</v>
      </c>
      <c r="V1608" s="65">
        <f>IFERROR(__xludf.DUMMYFUNCTION("""COMPUTED_VALUE"""),0.0)</f>
        <v>0</v>
      </c>
      <c r="W1608" s="65">
        <f>IFERROR(__xludf.DUMMYFUNCTION("""COMPUTED_VALUE"""),0.0)</f>
        <v>0</v>
      </c>
      <c r="X1608" s="65">
        <f>IFERROR(__xludf.DUMMYFUNCTION("""COMPUTED_VALUE"""),2.35)</f>
        <v>2.35</v>
      </c>
      <c r="Y1608" s="65">
        <f>IFERROR(__xludf.DUMMYFUNCTION("""COMPUTED_VALUE"""),7.05)</f>
        <v>7.05</v>
      </c>
      <c r="Z1608" s="65">
        <f>IFERROR(__xludf.DUMMYFUNCTION("""COMPUTED_VALUE"""),116679.0)</f>
        <v>116679</v>
      </c>
      <c r="AA1608" s="65" t="str">
        <f>IFERROR(__xludf.DUMMYFUNCTION("""COMPUTED_VALUE"""),"AMC-2738")</f>
        <v>AMC-2738</v>
      </c>
      <c r="AB1608" s="65"/>
      <c r="AC1608" s="65" t="str">
        <f>IFERROR(__xludf.DUMMYFUNCTION("""COMPUTED_VALUE"""),"ESPONJA ANTILLUVIA DE PARABRISAS")</f>
        <v>ESPONJA ANTILLUVIA DE PARABRISAS</v>
      </c>
      <c r="AD1608" s="65"/>
      <c r="AE1608" s="65">
        <f>IFERROR(__xludf.DUMMYFUNCTION("""COMPUTED_VALUE"""),3.0)</f>
        <v>3</v>
      </c>
      <c r="AF1608" s="65"/>
      <c r="AG1608" s="65"/>
      <c r="AH1608" s="65"/>
      <c r="AI1608" s="65"/>
      <c r="AJ1608" s="65"/>
      <c r="AK1608" s="65"/>
      <c r="AL1608" s="65"/>
      <c r="AM1608" s="65"/>
      <c r="AN1608" s="65" t="str">
        <f>IFERROR(__xludf.DUMMYFUNCTION("""COMPUTED_VALUE"""),"13:47")</f>
        <v>13:47</v>
      </c>
      <c r="AO1608" s="65" t="str">
        <f>IFERROR(__xludf.DUMMYFUNCTION("""COMPUTED_VALUE"""),"20-02-2026")</f>
        <v>20-02-2026</v>
      </c>
      <c r="AP1608" s="65" t="str">
        <f>IFERROR(__xludf.DUMMYFUNCTION("""COMPUTED_VALUE"""),"ENTREGADA GINTRACOM")</f>
        <v>ENTREGADA GINTRACOM</v>
      </c>
      <c r="AQ1608" s="65" t="str">
        <f>IFERROR(__xludf.DUMMYFUNCTION("""COMPUTED_VALUE"""),"ENTREGADA GINTRACOM")</f>
        <v>ENTREGADA GINTRACOM</v>
      </c>
      <c r="AR1608" s="65"/>
      <c r="AS1608" s="65"/>
      <c r="AT1608" s="65" t="str">
        <f>IFERROR(__xludf.DUMMYFUNCTION("""COMPUTED_VALUE"""),"SHOPIFY")</f>
        <v>SHOPIFY</v>
      </c>
      <c r="AU1608" s="65" t="str">
        <f>IFERROR(__xludf.DUMMYFUNCTION("""COMPUTED_VALUE"""),"IMPORTEX EC")</f>
        <v>IMPORTEX EC</v>
      </c>
      <c r="AV1608" s="65" t="str">
        <f>IFERROR(__xludf.DUMMYFUNCTION("""COMPUTED_VALUE"""),"6420418756652")</f>
        <v>6420418756652</v>
      </c>
      <c r="AW1608" s="65">
        <f>IFERROR(__xludf.DUMMYFUNCTION("""COMPUTED_VALUE"""),5335.0)</f>
        <v>5335</v>
      </c>
      <c r="AX1608" s="65"/>
      <c r="AY1608" s="65" t="str">
        <f>IFERROR(__xludf.DUMMYFUNCTION("""COMPUTED_VALUE"""),"19/01/2026")</f>
        <v>19/01/2026</v>
      </c>
      <c r="AZ1608" s="65"/>
      <c r="BA1608" s="65"/>
    </row>
    <row r="1609">
      <c r="A1609" s="65" t="str">
        <f>IFERROR(__xludf.DUMMYFUNCTION("""COMPUTED_VALUE"""),"27-03-2026")</f>
        <v>27-03-2026</v>
      </c>
      <c r="B1609" s="65">
        <f>IFERROR(__xludf.DUMMYFUNCTION("""COMPUTED_VALUE"""),4167486.0)</f>
        <v>4167486</v>
      </c>
      <c r="C1609" s="65" t="str">
        <f>IFERROR(__xludf.DUMMYFUNCTION("""COMPUTED_VALUE"""),"09:13")</f>
        <v>09:13</v>
      </c>
      <c r="D1609" s="65" t="str">
        <f>IFERROR(__xludf.DUMMYFUNCTION("""COMPUTED_VALUE"""),"16-01-2026")</f>
        <v>16-01-2026</v>
      </c>
      <c r="E1609" s="65" t="str">
        <f>IFERROR(__xludf.DUMMYFUNCTION("""COMPUTED_VALUE"""),"Victor Vera Figueroa")</f>
        <v>Victor Vera Figueroa</v>
      </c>
      <c r="F1609" s="65" t="str">
        <f>IFERROR(__xludf.DUMMYFUNCTION("""COMPUTED_VALUE"""),"998215838")</f>
        <v>998215838</v>
      </c>
      <c r="G1609" s="65" t="str">
        <f>IFERROR(__xludf.DUMMYFUNCTION("""COMPUTED_VALUE"""),"vic1965_@hotmail.com")</f>
        <v>vic1965_@hotmail.com</v>
      </c>
      <c r="H1609" s="65"/>
      <c r="I1609" s="65"/>
      <c r="J1609" s="65" t="str">
        <f>IFERROR(__xludf.DUMMYFUNCTION("""COMPUTED_VALUE"""),"D001238333")</f>
        <v>D001238333</v>
      </c>
      <c r="K1609" s="65" t="str">
        <f>IFERROR(__xludf.DUMMYFUNCTION("""COMPUTED_VALUE"""),"ENTREGADO")</f>
        <v>ENTREGADO</v>
      </c>
      <c r="L1609" s="65" t="str">
        <f>IFERROR(__xludf.DUMMYFUNCTION("""COMPUTED_VALUE"""),"CON RECAUDO")</f>
        <v>CON RECAUDO</v>
      </c>
      <c r="M1609" s="65" t="str">
        <f>IFERROR(__xludf.DUMMYFUNCTION("""COMPUTED_VALUE"""),"MANABI")</f>
        <v>MANABI</v>
      </c>
      <c r="N1609" s="65" t="str">
        <f>IFERROR(__xludf.DUMMYFUNCTION("""COMPUTED_VALUE"""),"MANTA")</f>
        <v>MANTA</v>
      </c>
      <c r="O1609" s="65" t="str">
        <f>IFERROR(__xludf.DUMMYFUNCTION("""COMPUTED_VALUE"""),"Ciudadela Monterrey,  AV.  via Manta Montecristi,  REF: Diagonal a canal oromartv")</f>
        <v>Ciudadela Monterrey,  AV.  via Manta Montecristi,  REF: Diagonal a canal oromartv</v>
      </c>
      <c r="P1609" s="65"/>
      <c r="Q1609" s="65" t="str">
        <f>IFERROR(__xludf.DUMMYFUNCTION("""COMPUTED_VALUE"""),"GINTRACOM")</f>
        <v>GINTRACOM</v>
      </c>
      <c r="R1609" s="65">
        <f>IFERROR(__xludf.DUMMYFUNCTION("""COMPUTED_VALUE"""),22.0)</f>
        <v>22</v>
      </c>
      <c r="S1609" s="65">
        <f>IFERROR(__xludf.DUMMYFUNCTION("""COMPUTED_VALUE"""),10.96)</f>
        <v>10.96</v>
      </c>
      <c r="T1609" s="65">
        <f>IFERROR(__xludf.DUMMYFUNCTION("""COMPUTED_VALUE"""),5.84)</f>
        <v>5.84</v>
      </c>
      <c r="U1609" s="65">
        <f>IFERROR(__xludf.DUMMYFUNCTION("""COMPUTED_VALUE"""),0.0)</f>
        <v>0</v>
      </c>
      <c r="V1609" s="65">
        <f>IFERROR(__xludf.DUMMYFUNCTION("""COMPUTED_VALUE"""),0.0)</f>
        <v>0</v>
      </c>
      <c r="W1609" s="65">
        <f>IFERROR(__xludf.DUMMYFUNCTION("""COMPUTED_VALUE"""),0.0)</f>
        <v>0</v>
      </c>
      <c r="X1609" s="65">
        <f>IFERROR(__xludf.DUMMYFUNCTION("""COMPUTED_VALUE"""),2.6)</f>
        <v>2.6</v>
      </c>
      <c r="Y1609" s="65">
        <f>IFERROR(__xludf.DUMMYFUNCTION("""COMPUTED_VALUE"""),5.2)</f>
        <v>5.2</v>
      </c>
      <c r="Z1609" s="65">
        <f>IFERROR(__xludf.DUMMYFUNCTION("""COMPUTED_VALUE"""),121983.0)</f>
        <v>121983</v>
      </c>
      <c r="AA1609" s="65" t="str">
        <f>IFERROR(__xludf.DUMMYFUNCTION("""COMPUTED_VALUE"""),"PROV-CHLLCF")</f>
        <v>PROV-CHLLCF</v>
      </c>
      <c r="AB1609" s="65"/>
      <c r="AC1609" s="65" t="str">
        <f>IFERROR(__xludf.DUMMYFUNCTION("""COMPUTED_VALUE"""),"CUCHILLO PARA CHEF")</f>
        <v>CUCHILLO PARA CHEF</v>
      </c>
      <c r="AD1609" s="65"/>
      <c r="AE1609" s="65">
        <f>IFERROR(__xludf.DUMMYFUNCTION("""COMPUTED_VALUE"""),2.0)</f>
        <v>2</v>
      </c>
      <c r="AF1609" s="65"/>
      <c r="AG1609" s="65"/>
      <c r="AH1609" s="65"/>
      <c r="AI1609" s="65"/>
      <c r="AJ1609" s="65"/>
      <c r="AK1609" s="65"/>
      <c r="AL1609" s="65"/>
      <c r="AM1609" s="65"/>
      <c r="AN1609" s="65" t="str">
        <f>IFERROR(__xludf.DUMMYFUNCTION("""COMPUTED_VALUE"""),"12:56")</f>
        <v>12:56</v>
      </c>
      <c r="AO1609" s="65" t="str">
        <f>IFERROR(__xludf.DUMMYFUNCTION("""COMPUTED_VALUE"""),"21-01-2026")</f>
        <v>21-01-2026</v>
      </c>
      <c r="AP1609" s="65" t="str">
        <f>IFERROR(__xludf.DUMMYFUNCTION("""COMPUTED_VALUE"""),"ENTREGADA GINTRACOM")</f>
        <v>ENTREGADA GINTRACOM</v>
      </c>
      <c r="AQ1609" s="65" t="str">
        <f>IFERROR(__xludf.DUMMYFUNCTION("""COMPUTED_VALUE"""),"ENTREGADA GINTRACOM")</f>
        <v>ENTREGADA GINTRACOM</v>
      </c>
      <c r="AR1609" s="65"/>
      <c r="AS1609" s="65"/>
      <c r="AT1609" s="65" t="str">
        <f>IFERROR(__xludf.DUMMYFUNCTION("""COMPUTED_VALUE"""),"SHOPIFY")</f>
        <v>SHOPIFY</v>
      </c>
      <c r="AU1609" s="65" t="str">
        <f>IFERROR(__xludf.DUMMYFUNCTION("""COMPUTED_VALUE"""),"IMPORTEX EC")</f>
        <v>IMPORTEX EC</v>
      </c>
      <c r="AV1609" s="65" t="str">
        <f>IFERROR(__xludf.DUMMYFUNCTION("""COMPUTED_VALUE"""),"6419922714668")</f>
        <v>6419922714668</v>
      </c>
      <c r="AW1609" s="65">
        <f>IFERROR(__xludf.DUMMYFUNCTION("""COMPUTED_VALUE"""),5334.0)</f>
        <v>5334</v>
      </c>
      <c r="AX1609" s="65"/>
      <c r="AY1609" s="65" t="str">
        <f>IFERROR(__xludf.DUMMYFUNCTION("""COMPUTED_VALUE"""),"19/01/2026")</f>
        <v>19/01/2026</v>
      </c>
      <c r="AZ1609" s="65"/>
      <c r="BA1609" s="65"/>
    </row>
    <row r="1610">
      <c r="A1610" s="65" t="str">
        <f>IFERROR(__xludf.DUMMYFUNCTION("""COMPUTED_VALUE"""),"27-03-2026")</f>
        <v>27-03-2026</v>
      </c>
      <c r="B1610" s="65">
        <f>IFERROR(__xludf.DUMMYFUNCTION("""COMPUTED_VALUE"""),4167077.0)</f>
        <v>4167077</v>
      </c>
      <c r="C1610" s="65" t="str">
        <f>IFERROR(__xludf.DUMMYFUNCTION("""COMPUTED_VALUE"""),"08:45")</f>
        <v>08:45</v>
      </c>
      <c r="D1610" s="65" t="str">
        <f>IFERROR(__xludf.DUMMYFUNCTION("""COMPUTED_VALUE"""),"16-01-2026")</f>
        <v>16-01-2026</v>
      </c>
      <c r="E1610" s="65" t="str">
        <f>IFERROR(__xludf.DUMMYFUNCTION("""COMPUTED_VALUE"""),"Luis Encalada")</f>
        <v>Luis Encalada</v>
      </c>
      <c r="F1610" s="65" t="str">
        <f>IFERROR(__xludf.DUMMYFUNCTION("""COMPUTED_VALUE"""),"998507428")</f>
        <v>998507428</v>
      </c>
      <c r="G1610" s="65" t="str">
        <f>IFERROR(__xludf.DUMMYFUNCTION("""COMPUTED_VALUE"""),"glencalada@hotmail.com")</f>
        <v>glencalada@hotmail.com</v>
      </c>
      <c r="H1610" s="65"/>
      <c r="I1610" s="65"/>
      <c r="J1610" s="65" t="str">
        <f>IFERROR(__xludf.DUMMYFUNCTION("""COMPUTED_VALUE"""),"D001252177")</f>
        <v>D001252177</v>
      </c>
      <c r="K1610" s="65" t="str">
        <f>IFERROR(__xludf.DUMMYFUNCTION("""COMPUTED_VALUE"""),"ENTREGADO")</f>
        <v>ENTREGADO</v>
      </c>
      <c r="L1610" s="65" t="str">
        <f>IFERROR(__xludf.DUMMYFUNCTION("""COMPUTED_VALUE"""),"CON RECAUDO")</f>
        <v>CON RECAUDO</v>
      </c>
      <c r="M1610" s="65" t="str">
        <f>IFERROR(__xludf.DUMMYFUNCTION("""COMPUTED_VALUE"""),"GUAYAS")</f>
        <v>GUAYAS</v>
      </c>
      <c r="N1610" s="65" t="str">
        <f>IFERROR(__xludf.DUMMYFUNCTION("""COMPUTED_VALUE"""),"DURAN")</f>
        <v>DURAN</v>
      </c>
      <c r="O1610" s="65" t="str">
        <f>IFERROR(__xludf.DUMMYFUNCTION("""COMPUTED_VALUE"""),"Principal Brisas de procarsa -")</f>
        <v>Principal Brisas de procarsa -</v>
      </c>
      <c r="P1610" s="65"/>
      <c r="Q1610" s="65" t="str">
        <f>IFERROR(__xludf.DUMMYFUNCTION("""COMPUTED_VALUE"""),"GINTRACOM")</f>
        <v>GINTRACOM</v>
      </c>
      <c r="R1610" s="65">
        <f>IFERROR(__xludf.DUMMYFUNCTION("""COMPUTED_VALUE"""),32.0)</f>
        <v>32</v>
      </c>
      <c r="S1610" s="65">
        <f>IFERROR(__xludf.DUMMYFUNCTION("""COMPUTED_VALUE"""),15.94)</f>
        <v>15.94</v>
      </c>
      <c r="T1610" s="65">
        <f>IFERROR(__xludf.DUMMYFUNCTION("""COMPUTED_VALUE"""),5.66)</f>
        <v>5.66</v>
      </c>
      <c r="U1610" s="65">
        <f>IFERROR(__xludf.DUMMYFUNCTION("""COMPUTED_VALUE"""),0.0)</f>
        <v>0</v>
      </c>
      <c r="V1610" s="65">
        <f>IFERROR(__xludf.DUMMYFUNCTION("""COMPUTED_VALUE"""),0.0)</f>
        <v>0</v>
      </c>
      <c r="W1610" s="65">
        <f>IFERROR(__xludf.DUMMYFUNCTION("""COMPUTED_VALUE"""),0.0)</f>
        <v>0</v>
      </c>
      <c r="X1610" s="65">
        <f>IFERROR(__xludf.DUMMYFUNCTION("""COMPUTED_VALUE"""),2.6)</f>
        <v>2.6</v>
      </c>
      <c r="Y1610" s="65">
        <f>IFERROR(__xludf.DUMMYFUNCTION("""COMPUTED_VALUE"""),10.4)</f>
        <v>10.4</v>
      </c>
      <c r="Z1610" s="65">
        <f>IFERROR(__xludf.DUMMYFUNCTION("""COMPUTED_VALUE"""),121983.0)</f>
        <v>121983</v>
      </c>
      <c r="AA1610" s="65" t="str">
        <f>IFERROR(__xludf.DUMMYFUNCTION("""COMPUTED_VALUE"""),"PROV-CHLLCF")</f>
        <v>PROV-CHLLCF</v>
      </c>
      <c r="AB1610" s="65"/>
      <c r="AC1610" s="65" t="str">
        <f>IFERROR(__xludf.DUMMYFUNCTION("""COMPUTED_VALUE"""),"CUCHILLO PARA CHEF")</f>
        <v>CUCHILLO PARA CHEF</v>
      </c>
      <c r="AD1610" s="65"/>
      <c r="AE1610" s="65">
        <f>IFERROR(__xludf.DUMMYFUNCTION("""COMPUTED_VALUE"""),4.0)</f>
        <v>4</v>
      </c>
      <c r="AF1610" s="65"/>
      <c r="AG1610" s="65"/>
      <c r="AH1610" s="65"/>
      <c r="AI1610" s="65"/>
      <c r="AJ1610" s="65"/>
      <c r="AK1610" s="65"/>
      <c r="AL1610" s="65"/>
      <c r="AM1610" s="65"/>
      <c r="AN1610" s="65" t="str">
        <f>IFERROR(__xludf.DUMMYFUNCTION("""COMPUTED_VALUE"""),"17:32")</f>
        <v>17:32</v>
      </c>
      <c r="AO1610" s="65" t="str">
        <f>IFERROR(__xludf.DUMMYFUNCTION("""COMPUTED_VALUE"""),"26-01-2026")</f>
        <v>26-01-2026</v>
      </c>
      <c r="AP1610" s="65" t="str">
        <f>IFERROR(__xludf.DUMMYFUNCTION("""COMPUTED_VALUE"""),"ENTREGADA GINTRACOM")</f>
        <v>ENTREGADA GINTRACOM</v>
      </c>
      <c r="AQ1610" s="65" t="str">
        <f>IFERROR(__xludf.DUMMYFUNCTION("""COMPUTED_VALUE"""),"ENTREGADA GINTRACOM")</f>
        <v>ENTREGADA GINTRACOM</v>
      </c>
      <c r="AR1610" s="65"/>
      <c r="AS1610" s="65"/>
      <c r="AT1610" s="65" t="str">
        <f>IFERROR(__xludf.DUMMYFUNCTION("""COMPUTED_VALUE"""),"SHOPIFY")</f>
        <v>SHOPIFY</v>
      </c>
      <c r="AU1610" s="65" t="str">
        <f>IFERROR(__xludf.DUMMYFUNCTION("""COMPUTED_VALUE"""),"IMPORTEX EC")</f>
        <v>IMPORTEX EC</v>
      </c>
      <c r="AV1610" s="65" t="str">
        <f>IFERROR(__xludf.DUMMYFUNCTION("""COMPUTED_VALUE"""),"6419377455148")</f>
        <v>6419377455148</v>
      </c>
      <c r="AW1610" s="65">
        <f>IFERROR(__xludf.DUMMYFUNCTION("""COMPUTED_VALUE"""),5333.0)</f>
        <v>5333</v>
      </c>
      <c r="AX1610" s="65"/>
      <c r="AY1610" s="65" t="str">
        <f>IFERROR(__xludf.DUMMYFUNCTION("""COMPUTED_VALUE"""),"22/01/2026")</f>
        <v>22/01/2026</v>
      </c>
      <c r="AZ1610" s="65"/>
      <c r="BA1610" s="65"/>
    </row>
    <row r="1611">
      <c r="A1611" s="65" t="str">
        <f>IFERROR(__xludf.DUMMYFUNCTION("""COMPUTED_VALUE"""),"27-03-2026")</f>
        <v>27-03-2026</v>
      </c>
      <c r="B1611" s="65">
        <f>IFERROR(__xludf.DUMMYFUNCTION("""COMPUTED_VALUE"""),4167041.0)</f>
        <v>4167041</v>
      </c>
      <c r="C1611" s="65" t="str">
        <f>IFERROR(__xludf.DUMMYFUNCTION("""COMPUTED_VALUE"""),"08:42")</f>
        <v>08:42</v>
      </c>
      <c r="D1611" s="65" t="str">
        <f>IFERROR(__xludf.DUMMYFUNCTION("""COMPUTED_VALUE"""),"16-01-2026")</f>
        <v>16-01-2026</v>
      </c>
      <c r="E1611" s="65" t="str">
        <f>IFERROR(__xludf.DUMMYFUNCTION("""COMPUTED_VALUE"""),"Andres Romero")</f>
        <v>Andres Romero</v>
      </c>
      <c r="F1611" s="65" t="str">
        <f>IFERROR(__xludf.DUMMYFUNCTION("""COMPUTED_VALUE"""),"996465851")</f>
        <v>996465851</v>
      </c>
      <c r="G1611" s="65" t="str">
        <f>IFERROR(__xludf.DUMMYFUNCTION("""COMPUTED_VALUE"""),"romerobryanandres-1995@hotmail.com")</f>
        <v>romerobryanandres-1995@hotmail.com</v>
      </c>
      <c r="H1611" s="65"/>
      <c r="I1611" s="65"/>
      <c r="J1611" s="65"/>
      <c r="K1611" s="65" t="str">
        <f>IFERROR(__xludf.DUMMYFUNCTION("""COMPUTED_VALUE"""),"PENDIENTE CONFIRMACION")</f>
        <v>PENDIENTE CONFIRMACION</v>
      </c>
      <c r="L1611" s="65" t="str">
        <f>IFERROR(__xludf.DUMMYFUNCTION("""COMPUTED_VALUE"""),"CON RECAUDO")</f>
        <v>CON RECAUDO</v>
      </c>
      <c r="M1611" s="65" t="str">
        <f>IFERROR(__xludf.DUMMYFUNCTION("""COMPUTED_VALUE"""),"GUAYAS")</f>
        <v>GUAYAS</v>
      </c>
      <c r="N1611" s="65" t="str">
        <f>IFERROR(__xludf.DUMMYFUNCTION("""COMPUTED_VALUE"""),"GUAYAQUIL")</f>
        <v>GUAYAQUIL</v>
      </c>
      <c r="O1611" s="65" t="str">
        <f>IFERROR(__xludf.DUMMYFUNCTION("""COMPUTED_VALUE"""),"Centro comercial polaris Centro comercial polaris -")</f>
        <v>Centro comercial polaris Centro comercial polaris -</v>
      </c>
      <c r="P1611" s="65"/>
      <c r="Q1611" s="65" t="str">
        <f>IFERROR(__xludf.DUMMYFUNCTION("""COMPUTED_VALUE"""),"GINTRACOM")</f>
        <v>GINTRACOM</v>
      </c>
      <c r="R1611" s="65">
        <f>IFERROR(__xludf.DUMMYFUNCTION("""COMPUTED_VALUE"""),20.0)</f>
        <v>20</v>
      </c>
      <c r="S1611" s="65"/>
      <c r="T1611" s="65">
        <f>IFERROR(__xludf.DUMMYFUNCTION("""COMPUTED_VALUE"""),5.76)</f>
        <v>5.76</v>
      </c>
      <c r="U1611" s="65">
        <f>IFERROR(__xludf.DUMMYFUNCTION("""COMPUTED_VALUE"""),0.0)</f>
        <v>0</v>
      </c>
      <c r="V1611" s="65">
        <f>IFERROR(__xludf.DUMMYFUNCTION("""COMPUTED_VALUE"""),0.0)</f>
        <v>0</v>
      </c>
      <c r="W1611" s="65">
        <f>IFERROR(__xludf.DUMMYFUNCTION("""COMPUTED_VALUE"""),0.0)</f>
        <v>0</v>
      </c>
      <c r="X1611" s="65">
        <f>IFERROR(__xludf.DUMMYFUNCTION("""COMPUTED_VALUE"""),2.35)</f>
        <v>2.35</v>
      </c>
      <c r="Y1611" s="65">
        <f>IFERROR(__xludf.DUMMYFUNCTION("""COMPUTED_VALUE"""),2.35)</f>
        <v>2.35</v>
      </c>
      <c r="Z1611" s="65">
        <f>IFERROR(__xludf.DUMMYFUNCTION("""COMPUTED_VALUE"""),116679.0)</f>
        <v>116679</v>
      </c>
      <c r="AA1611" s="65" t="str">
        <f>IFERROR(__xludf.DUMMYFUNCTION("""COMPUTED_VALUE"""),"AMC-2738")</f>
        <v>AMC-2738</v>
      </c>
      <c r="AB1611" s="65"/>
      <c r="AC1611" s="65" t="str">
        <f>IFERROR(__xludf.DUMMYFUNCTION("""COMPUTED_VALUE"""),"ESPONJA ANTILLUVIA DE PARABRISAS")</f>
        <v>ESPONJA ANTILLUVIA DE PARABRISAS</v>
      </c>
      <c r="AD1611" s="65"/>
      <c r="AE1611" s="65">
        <f>IFERROR(__xludf.DUMMYFUNCTION("""COMPUTED_VALUE"""),1.0)</f>
        <v>1</v>
      </c>
      <c r="AF1611" s="65"/>
      <c r="AG1611" s="65"/>
      <c r="AH1611" s="65"/>
      <c r="AI1611" s="65"/>
      <c r="AJ1611" s="65"/>
      <c r="AK1611" s="65"/>
      <c r="AL1611" s="65"/>
      <c r="AM1611" s="65"/>
      <c r="AN1611" s="65"/>
      <c r="AO1611" s="65"/>
      <c r="AP1611" s="65"/>
      <c r="AQ1611" s="65"/>
      <c r="AR1611" s="65"/>
      <c r="AS1611" s="65"/>
      <c r="AT1611" s="65" t="str">
        <f>IFERROR(__xludf.DUMMYFUNCTION("""COMPUTED_VALUE"""),"SHOPIFY")</f>
        <v>SHOPIFY</v>
      </c>
      <c r="AU1611" s="65" t="str">
        <f>IFERROR(__xludf.DUMMYFUNCTION("""COMPUTED_VALUE"""),"IMPORTEX EC")</f>
        <v>IMPORTEX EC</v>
      </c>
      <c r="AV1611" s="65" t="str">
        <f>IFERROR(__xludf.DUMMYFUNCTION("""COMPUTED_VALUE"""),"6419316736044")</f>
        <v>6419316736044</v>
      </c>
      <c r="AW1611" s="65">
        <f>IFERROR(__xludf.DUMMYFUNCTION("""COMPUTED_VALUE"""),5332.0)</f>
        <v>5332</v>
      </c>
      <c r="AX1611" s="65"/>
      <c r="AY1611" s="65"/>
      <c r="AZ1611" s="65"/>
      <c r="BA1611" s="65"/>
    </row>
    <row r="1612">
      <c r="A1612" s="65" t="str">
        <f>IFERROR(__xludf.DUMMYFUNCTION("""COMPUTED_VALUE"""),"27-03-2026")</f>
        <v>27-03-2026</v>
      </c>
      <c r="B1612" s="65">
        <f>IFERROR(__xludf.DUMMYFUNCTION("""COMPUTED_VALUE"""),4166892.0)</f>
        <v>4166892</v>
      </c>
      <c r="C1612" s="65" t="str">
        <f>IFERROR(__xludf.DUMMYFUNCTION("""COMPUTED_VALUE"""),"08:26")</f>
        <v>08:26</v>
      </c>
      <c r="D1612" s="65" t="str">
        <f>IFERROR(__xludf.DUMMYFUNCTION("""COMPUTED_VALUE"""),"16-01-2026")</f>
        <v>16-01-2026</v>
      </c>
      <c r="E1612" s="65" t="str">
        <f>IFERROR(__xludf.DUMMYFUNCTION("""COMPUTED_VALUE"""),"ANA MARIA Vargas Rosado")</f>
        <v>ANA MARIA Vargas Rosado</v>
      </c>
      <c r="F1612" s="65" t="str">
        <f>IFERROR(__xludf.DUMMYFUNCTION("""COMPUTED_VALUE"""),"994111185")</f>
        <v>994111185</v>
      </c>
      <c r="G1612" s="65" t="str">
        <f>IFERROR(__xludf.DUMMYFUNCTION("""COMPUTED_VALUE"""),"anamariavargasrosado@gmail.com")</f>
        <v>anamariavargasrosado@gmail.com</v>
      </c>
      <c r="H1612" s="65"/>
      <c r="I1612" s="65"/>
      <c r="J1612" s="65"/>
      <c r="K1612" s="65" t="str">
        <f>IFERROR(__xludf.DUMMYFUNCTION("""COMPUTED_VALUE"""),"PENDIENTE CONFIRMACION")</f>
        <v>PENDIENTE CONFIRMACION</v>
      </c>
      <c r="L1612" s="65" t="str">
        <f>IFERROR(__xludf.DUMMYFUNCTION("""COMPUTED_VALUE"""),"CON RECAUDO")</f>
        <v>CON RECAUDO</v>
      </c>
      <c r="M1612" s="65" t="str">
        <f>IFERROR(__xludf.DUMMYFUNCTION("""COMPUTED_VALUE"""),"MANABI")</f>
        <v>MANABI</v>
      </c>
      <c r="N1612" s="65" t="str">
        <f>IFERROR(__xludf.DUMMYFUNCTION("""COMPUTED_VALUE"""),"TOSAGUA")</f>
        <v>TOSAGUA</v>
      </c>
      <c r="O1612" s="65" t="str">
        <f>IFERROR(__xludf.DUMMYFUNCTION("""COMPUTED_VALUE"""),"Monumento a la madre y 24 d mayo Frente al parque de la madre -")</f>
        <v>Monumento a la madre y 24 d mayo Frente al parque de la madre -</v>
      </c>
      <c r="P1612" s="65"/>
      <c r="Q1612" s="65" t="str">
        <f>IFERROR(__xludf.DUMMYFUNCTION("""COMPUTED_VALUE"""),"GINTRACOM")</f>
        <v>GINTRACOM</v>
      </c>
      <c r="R1612" s="65">
        <f>IFERROR(__xludf.DUMMYFUNCTION("""COMPUTED_VALUE"""),30.0)</f>
        <v>30</v>
      </c>
      <c r="S1612" s="65"/>
      <c r="T1612" s="65">
        <f>IFERROR(__xludf.DUMMYFUNCTION("""COMPUTED_VALUE"""),6.73)</f>
        <v>6.73</v>
      </c>
      <c r="U1612" s="65">
        <f>IFERROR(__xludf.DUMMYFUNCTION("""COMPUTED_VALUE"""),0.0)</f>
        <v>0</v>
      </c>
      <c r="V1612" s="65">
        <f>IFERROR(__xludf.DUMMYFUNCTION("""COMPUTED_VALUE"""),0.0)</f>
        <v>0</v>
      </c>
      <c r="W1612" s="65">
        <f>IFERROR(__xludf.DUMMYFUNCTION("""COMPUTED_VALUE"""),0.0)</f>
        <v>0</v>
      </c>
      <c r="X1612" s="65">
        <f>IFERROR(__xludf.DUMMYFUNCTION("""COMPUTED_VALUE"""),2.35)</f>
        <v>2.35</v>
      </c>
      <c r="Y1612" s="65">
        <f>IFERROR(__xludf.DUMMYFUNCTION("""COMPUTED_VALUE"""),7.05)</f>
        <v>7.05</v>
      </c>
      <c r="Z1612" s="65">
        <f>IFERROR(__xludf.DUMMYFUNCTION("""COMPUTED_VALUE"""),116679.0)</f>
        <v>116679</v>
      </c>
      <c r="AA1612" s="65" t="str">
        <f>IFERROR(__xludf.DUMMYFUNCTION("""COMPUTED_VALUE"""),"AMC-2738")</f>
        <v>AMC-2738</v>
      </c>
      <c r="AB1612" s="65"/>
      <c r="AC1612" s="65" t="str">
        <f>IFERROR(__xludf.DUMMYFUNCTION("""COMPUTED_VALUE"""),"ESPONJA ANTILLUVIA DE PARABRISAS")</f>
        <v>ESPONJA ANTILLUVIA DE PARABRISAS</v>
      </c>
      <c r="AD1612" s="65"/>
      <c r="AE1612" s="65">
        <f>IFERROR(__xludf.DUMMYFUNCTION("""COMPUTED_VALUE"""),3.0)</f>
        <v>3</v>
      </c>
      <c r="AF1612" s="65"/>
      <c r="AG1612" s="65"/>
      <c r="AH1612" s="65"/>
      <c r="AI1612" s="65"/>
      <c r="AJ1612" s="65"/>
      <c r="AK1612" s="65"/>
      <c r="AL1612" s="65"/>
      <c r="AM1612" s="65"/>
      <c r="AN1612" s="65"/>
      <c r="AO1612" s="65"/>
      <c r="AP1612" s="65"/>
      <c r="AQ1612" s="65"/>
      <c r="AR1612" s="65"/>
      <c r="AS1612" s="65"/>
      <c r="AT1612" s="65" t="str">
        <f>IFERROR(__xludf.DUMMYFUNCTION("""COMPUTED_VALUE"""),"SHOPIFY")</f>
        <v>SHOPIFY</v>
      </c>
      <c r="AU1612" s="65" t="str">
        <f>IFERROR(__xludf.DUMMYFUNCTION("""COMPUTED_VALUE"""),"IMPORTEX EC")</f>
        <v>IMPORTEX EC</v>
      </c>
      <c r="AV1612" s="65" t="str">
        <f>IFERROR(__xludf.DUMMYFUNCTION("""COMPUTED_VALUE"""),"6419014451244")</f>
        <v>6419014451244</v>
      </c>
      <c r="AW1612" s="65">
        <f>IFERROR(__xludf.DUMMYFUNCTION("""COMPUTED_VALUE"""),5331.0)</f>
        <v>5331</v>
      </c>
      <c r="AX1612" s="65"/>
      <c r="AY1612" s="65"/>
      <c r="AZ1612" s="65"/>
      <c r="BA1612" s="65"/>
    </row>
    <row r="1613">
      <c r="A1613" s="65" t="str">
        <f>IFERROR(__xludf.DUMMYFUNCTION("""COMPUTED_VALUE"""),"27-03-2026")</f>
        <v>27-03-2026</v>
      </c>
      <c r="B1613" s="65">
        <f>IFERROR(__xludf.DUMMYFUNCTION("""COMPUTED_VALUE"""),4166820.0)</f>
        <v>4166820</v>
      </c>
      <c r="C1613" s="65" t="str">
        <f>IFERROR(__xludf.DUMMYFUNCTION("""COMPUTED_VALUE"""),"08:18")</f>
        <v>08:18</v>
      </c>
      <c r="D1613" s="65" t="str">
        <f>IFERROR(__xludf.DUMMYFUNCTION("""COMPUTED_VALUE"""),"16-01-2026")</f>
        <v>16-01-2026</v>
      </c>
      <c r="E1613" s="65" t="str">
        <f>IFERROR(__xludf.DUMMYFUNCTION("""COMPUTED_VALUE"""),"DORYS Cuero")</f>
        <v>DORYS Cuero</v>
      </c>
      <c r="F1613" s="65" t="str">
        <f>IFERROR(__xludf.DUMMYFUNCTION("""COMPUTED_VALUE"""),"993922466")</f>
        <v>993922466</v>
      </c>
      <c r="G1613" s="65"/>
      <c r="H1613" s="65"/>
      <c r="I1613" s="65"/>
      <c r="J1613" s="65" t="str">
        <f>IFERROR(__xludf.DUMMYFUNCTION("""COMPUTED_VALUE"""),"D001240110")</f>
        <v>D001240110</v>
      </c>
      <c r="K1613" s="65" t="str">
        <f>IFERROR(__xludf.DUMMYFUNCTION("""COMPUTED_VALUE"""),"ENTREGADO")</f>
        <v>ENTREGADO</v>
      </c>
      <c r="L1613" s="65" t="str">
        <f>IFERROR(__xludf.DUMMYFUNCTION("""COMPUTED_VALUE"""),"CON RECAUDO")</f>
        <v>CON RECAUDO</v>
      </c>
      <c r="M1613" s="65" t="str">
        <f>IFERROR(__xludf.DUMMYFUNCTION("""COMPUTED_VALUE"""),"GUAYAS")</f>
        <v>GUAYAS</v>
      </c>
      <c r="N1613" s="65" t="str">
        <f>IFERROR(__xludf.DUMMYFUNCTION("""COMPUTED_VALUE"""),"GUAYAQUIL")</f>
        <v>GUAYAQUIL</v>
      </c>
      <c r="O1613" s="65" t="str">
        <f>IFERROR(__xludf.DUMMYFUNCTION("""COMPUTED_VALUE"""),"Ciudadela Adace calle B 303 ,  junto a Armorcar  , REF: Aereopuerto de Gye AV. AMERICAS")</f>
        <v>Ciudadela Adace calle B 303 ,  junto a Armorcar  , REF: Aereopuerto de Gye AV. AMERICAS</v>
      </c>
      <c r="P1613" s="65"/>
      <c r="Q1613" s="65" t="str">
        <f>IFERROR(__xludf.DUMMYFUNCTION("""COMPUTED_VALUE"""),"GINTRACOM")</f>
        <v>GINTRACOM</v>
      </c>
      <c r="R1613" s="65">
        <f>IFERROR(__xludf.DUMMYFUNCTION("""COMPUTED_VALUE"""),30.0)</f>
        <v>30</v>
      </c>
      <c r="S1613" s="65">
        <f>IFERROR(__xludf.DUMMYFUNCTION("""COMPUTED_VALUE"""),16.79)</f>
        <v>16.79</v>
      </c>
      <c r="T1613" s="65">
        <f>IFERROR(__xludf.DUMMYFUNCTION("""COMPUTED_VALUE"""),6.16)</f>
        <v>6.16</v>
      </c>
      <c r="U1613" s="65">
        <f>IFERROR(__xludf.DUMMYFUNCTION("""COMPUTED_VALUE"""),0.0)</f>
        <v>0</v>
      </c>
      <c r="V1613" s="65">
        <f>IFERROR(__xludf.DUMMYFUNCTION("""COMPUTED_VALUE"""),0.0)</f>
        <v>0</v>
      </c>
      <c r="W1613" s="65">
        <f>IFERROR(__xludf.DUMMYFUNCTION("""COMPUTED_VALUE"""),0.0)</f>
        <v>0</v>
      </c>
      <c r="X1613" s="65">
        <f>IFERROR(__xludf.DUMMYFUNCTION("""COMPUTED_VALUE"""),2.35)</f>
        <v>2.35</v>
      </c>
      <c r="Y1613" s="65">
        <f>IFERROR(__xludf.DUMMYFUNCTION("""COMPUTED_VALUE"""),7.05)</f>
        <v>7.05</v>
      </c>
      <c r="Z1613" s="65">
        <f>IFERROR(__xludf.DUMMYFUNCTION("""COMPUTED_VALUE"""),116679.0)</f>
        <v>116679</v>
      </c>
      <c r="AA1613" s="65" t="str">
        <f>IFERROR(__xludf.DUMMYFUNCTION("""COMPUTED_VALUE"""),"AMC-2738")</f>
        <v>AMC-2738</v>
      </c>
      <c r="AB1613" s="65"/>
      <c r="AC1613" s="65" t="str">
        <f>IFERROR(__xludf.DUMMYFUNCTION("""COMPUTED_VALUE"""),"ESPONJA ANTILLUVIA DE PARABRISAS")</f>
        <v>ESPONJA ANTILLUVIA DE PARABRISAS</v>
      </c>
      <c r="AD1613" s="65"/>
      <c r="AE1613" s="65">
        <f>IFERROR(__xludf.DUMMYFUNCTION("""COMPUTED_VALUE"""),3.0)</f>
        <v>3</v>
      </c>
      <c r="AF1613" s="65"/>
      <c r="AG1613" s="65"/>
      <c r="AH1613" s="65"/>
      <c r="AI1613" s="65"/>
      <c r="AJ1613" s="65"/>
      <c r="AK1613" s="65"/>
      <c r="AL1613" s="65"/>
      <c r="AM1613" s="65"/>
      <c r="AN1613" s="65" t="str">
        <f>IFERROR(__xludf.DUMMYFUNCTION("""COMPUTED_VALUE"""),"09:25")</f>
        <v>09:25</v>
      </c>
      <c r="AO1613" s="65" t="str">
        <f>IFERROR(__xludf.DUMMYFUNCTION("""COMPUTED_VALUE"""),"21-01-2026")</f>
        <v>21-01-2026</v>
      </c>
      <c r="AP1613" s="65" t="str">
        <f>IFERROR(__xludf.DUMMYFUNCTION("""COMPUTED_VALUE"""),"EN REPARTO")</f>
        <v>EN REPARTO</v>
      </c>
      <c r="AQ1613" s="65" t="str">
        <f>IFERROR(__xludf.DUMMYFUNCTION("""COMPUTED_VALUE"""),"EN REPARTO")</f>
        <v>EN REPARTO</v>
      </c>
      <c r="AR1613" s="65"/>
      <c r="AS1613" s="65"/>
      <c r="AT1613" s="65" t="str">
        <f>IFERROR(__xludf.DUMMYFUNCTION("""COMPUTED_VALUE"""),"SHOPIFY")</f>
        <v>SHOPIFY</v>
      </c>
      <c r="AU1613" s="65" t="str">
        <f>IFERROR(__xludf.DUMMYFUNCTION("""COMPUTED_VALUE"""),"IMPORTEX EC")</f>
        <v>IMPORTEX EC</v>
      </c>
      <c r="AV1613" s="65" t="str">
        <f>IFERROR(__xludf.DUMMYFUNCTION("""COMPUTED_VALUE"""),"6418901237804")</f>
        <v>6418901237804</v>
      </c>
      <c r="AW1613" s="65">
        <f>IFERROR(__xludf.DUMMYFUNCTION("""COMPUTED_VALUE"""),5330.0)</f>
        <v>5330</v>
      </c>
      <c r="AX1613" s="65"/>
      <c r="AY1613" s="65" t="str">
        <f>IFERROR(__xludf.DUMMYFUNCTION("""COMPUTED_VALUE"""),"19/01/2026")</f>
        <v>19/01/2026</v>
      </c>
      <c r="AZ1613" s="65"/>
      <c r="BA1613" s="65"/>
    </row>
    <row r="1614">
      <c r="A1614" s="65" t="str">
        <f>IFERROR(__xludf.DUMMYFUNCTION("""COMPUTED_VALUE"""),"27-03-2026")</f>
        <v>27-03-2026</v>
      </c>
      <c r="B1614" s="65">
        <f>IFERROR(__xludf.DUMMYFUNCTION("""COMPUTED_VALUE"""),4166804.0)</f>
        <v>4166804</v>
      </c>
      <c r="C1614" s="65" t="str">
        <f>IFERROR(__xludf.DUMMYFUNCTION("""COMPUTED_VALUE"""),"08:17")</f>
        <v>08:17</v>
      </c>
      <c r="D1614" s="65" t="str">
        <f>IFERROR(__xludf.DUMMYFUNCTION("""COMPUTED_VALUE"""),"16-01-2026")</f>
        <v>16-01-2026</v>
      </c>
      <c r="E1614" s="65" t="str">
        <f>IFERROR(__xludf.DUMMYFUNCTION("""COMPUTED_VALUE"""),"Maria Jose Cevallos")</f>
        <v>Maria Jose Cevallos</v>
      </c>
      <c r="F1614" s="65" t="str">
        <f>IFERROR(__xludf.DUMMYFUNCTION("""COMPUTED_VALUE"""),"987307352")</f>
        <v>987307352</v>
      </c>
      <c r="G1614" s="65" t="str">
        <f>IFERROR(__xludf.DUMMYFUNCTION("""COMPUTED_VALUE"""),"cevalloscevallosmariajose7@gmail.com")</f>
        <v>cevalloscevallosmariajose7@gmail.com</v>
      </c>
      <c r="H1614" s="65"/>
      <c r="I1614" s="65"/>
      <c r="J1614" s="65" t="str">
        <f>IFERROR(__xludf.DUMMYFUNCTION("""COMPUTED_VALUE"""),"D001240111")</f>
        <v>D001240111</v>
      </c>
      <c r="K1614" s="65" t="str">
        <f>IFERROR(__xludf.DUMMYFUNCTION("""COMPUTED_VALUE"""),"DEVOLUCION")</f>
        <v>DEVOLUCION</v>
      </c>
      <c r="L1614" s="65" t="str">
        <f>IFERROR(__xludf.DUMMYFUNCTION("""COMPUTED_VALUE"""),"CON RECAUDO")</f>
        <v>CON RECAUDO</v>
      </c>
      <c r="M1614" s="65" t="str">
        <f>IFERROR(__xludf.DUMMYFUNCTION("""COMPUTED_VALUE"""),"PICHINCHA")</f>
        <v>PICHINCHA</v>
      </c>
      <c r="N1614" s="65" t="str">
        <f>IFERROR(__xludf.DUMMYFUNCTION("""COMPUTED_VALUE"""),"QUITO")</f>
        <v>QUITO</v>
      </c>
      <c r="O1614" s="65" t="str">
        <f>IFERROR(__xludf.DUMMYFUNCTION("""COMPUTED_VALUE"""),"Toacazo Oe 5-469 , Casa  color verde 4 pisos REF:  asadero de pollos la llama roja")</f>
        <v>Toacazo Oe 5-469 , Casa  color verde 4 pisos REF:  asadero de pollos la llama roja</v>
      </c>
      <c r="P1614" s="65"/>
      <c r="Q1614" s="65" t="str">
        <f>IFERROR(__xludf.DUMMYFUNCTION("""COMPUTED_VALUE"""),"GINTRACOM")</f>
        <v>GINTRACOM</v>
      </c>
      <c r="R1614" s="65">
        <f>IFERROR(__xludf.DUMMYFUNCTION("""COMPUTED_VALUE"""),25.0)</f>
        <v>25</v>
      </c>
      <c r="S1614" s="65"/>
      <c r="T1614" s="65">
        <f>IFERROR(__xludf.DUMMYFUNCTION("""COMPUTED_VALUE"""),4.35)</f>
        <v>4.35</v>
      </c>
      <c r="U1614" s="65">
        <f>IFERROR(__xludf.DUMMYFUNCTION("""COMPUTED_VALUE"""),0.0)</f>
        <v>0</v>
      </c>
      <c r="V1614" s="65">
        <f>IFERROR(__xludf.DUMMYFUNCTION("""COMPUTED_VALUE"""),0.0)</f>
        <v>0</v>
      </c>
      <c r="W1614" s="65">
        <f>IFERROR(__xludf.DUMMYFUNCTION("""COMPUTED_VALUE"""),0.0)</f>
        <v>0</v>
      </c>
      <c r="X1614" s="65">
        <f>IFERROR(__xludf.DUMMYFUNCTION("""COMPUTED_VALUE"""),2.35)</f>
        <v>2.35</v>
      </c>
      <c r="Y1614" s="65">
        <f>IFERROR(__xludf.DUMMYFUNCTION("""COMPUTED_VALUE"""),4.7)</f>
        <v>4.7</v>
      </c>
      <c r="Z1614" s="65">
        <f>IFERROR(__xludf.DUMMYFUNCTION("""COMPUTED_VALUE"""),116679.0)</f>
        <v>116679</v>
      </c>
      <c r="AA1614" s="65" t="str">
        <f>IFERROR(__xludf.DUMMYFUNCTION("""COMPUTED_VALUE"""),"AMC-2738")</f>
        <v>AMC-2738</v>
      </c>
      <c r="AB1614" s="65"/>
      <c r="AC1614" s="65" t="str">
        <f>IFERROR(__xludf.DUMMYFUNCTION("""COMPUTED_VALUE"""),"ESPONJA ANTILLUVIA DE PARABRISAS")</f>
        <v>ESPONJA ANTILLUVIA DE PARABRISAS</v>
      </c>
      <c r="AD1614" s="65"/>
      <c r="AE1614" s="65">
        <f>IFERROR(__xludf.DUMMYFUNCTION("""COMPUTED_VALUE"""),2.0)</f>
        <v>2</v>
      </c>
      <c r="AF1614" s="65" t="str">
        <f>IFERROR(__xludf.DUMMYFUNCTION("""COMPUTED_VALUE"""),"DESTINATARIO NO CONTESTA LLAMADAS NI WHATSAPP")</f>
        <v>DESTINATARIO NO CONTESTA LLAMADAS NI WHATSAPP</v>
      </c>
      <c r="AG1614" s="65" t="str">
        <f>IFERROR(__xludf.DUMMYFUNCTION("""COMPUTED_VALUE"""),"NO")</f>
        <v>NO</v>
      </c>
      <c r="AH1614" s="65" t="str">
        <f>IFERROR(__xludf.DUMMYFUNCTION("""COMPUTED_VALUE"""),"09:00")</f>
        <v>09:00</v>
      </c>
      <c r="AI1614" s="65" t="str">
        <f>IFERROR(__xludf.DUMMYFUNCTION("""COMPUTED_VALUE"""),"28-01-2026")</f>
        <v>28-01-2026</v>
      </c>
      <c r="AJ1614" s="65"/>
      <c r="AK1614" s="65"/>
      <c r="AL1614" s="65"/>
      <c r="AM1614" s="65"/>
      <c r="AN1614" s="65" t="str">
        <f>IFERROR(__xludf.DUMMYFUNCTION("""COMPUTED_VALUE"""),"17:13")</f>
        <v>17:13</v>
      </c>
      <c r="AO1614" s="65" t="str">
        <f>IFERROR(__xludf.DUMMYFUNCTION("""COMPUTED_VALUE"""),"06-02-2026")</f>
        <v>06-02-2026</v>
      </c>
      <c r="AP1614" s="65" t="str">
        <f>IFERROR(__xludf.DUMMYFUNCTION("""COMPUTED_VALUE"""),"DEVOLUCIÓN ENTREGADA A ORIGEN")</f>
        <v>DEVOLUCIÓN ENTREGADA A ORIGEN</v>
      </c>
      <c r="AQ1614" s="65" t="str">
        <f>IFERROR(__xludf.DUMMYFUNCTION("""COMPUTED_VALUE"""),"DEVOLUCIÓN ENTREGADA A ORIGEN")</f>
        <v>DEVOLUCIÓN ENTREGADA A ORIGEN</v>
      </c>
      <c r="AR1614" s="65"/>
      <c r="AS1614" s="65"/>
      <c r="AT1614" s="65" t="str">
        <f>IFERROR(__xludf.DUMMYFUNCTION("""COMPUTED_VALUE"""),"SHOPIFY")</f>
        <v>SHOPIFY</v>
      </c>
      <c r="AU1614" s="65" t="str">
        <f>IFERROR(__xludf.DUMMYFUNCTION("""COMPUTED_VALUE"""),"IMPORTEX EC")</f>
        <v>IMPORTEX EC</v>
      </c>
      <c r="AV1614" s="65" t="str">
        <f>IFERROR(__xludf.DUMMYFUNCTION("""COMPUTED_VALUE"""),"6418879021100")</f>
        <v>6418879021100</v>
      </c>
      <c r="AW1614" s="65">
        <f>IFERROR(__xludf.DUMMYFUNCTION("""COMPUTED_VALUE"""),5329.0)</f>
        <v>5329</v>
      </c>
      <c r="AX1614" s="65"/>
      <c r="AY1614" s="65" t="str">
        <f>IFERROR(__xludf.DUMMYFUNCTION("""COMPUTED_VALUE"""),"19/01/2026")</f>
        <v>19/01/2026</v>
      </c>
      <c r="AZ1614" s="65"/>
      <c r="BA1614" s="65"/>
    </row>
    <row r="1615">
      <c r="A1615" s="65" t="str">
        <f>IFERROR(__xludf.DUMMYFUNCTION("""COMPUTED_VALUE"""),"27-03-2026")</f>
        <v>27-03-2026</v>
      </c>
      <c r="B1615" s="65">
        <f>IFERROR(__xludf.DUMMYFUNCTION("""COMPUTED_VALUE"""),4166759.0)</f>
        <v>4166759</v>
      </c>
      <c r="C1615" s="65" t="str">
        <f>IFERROR(__xludf.DUMMYFUNCTION("""COMPUTED_VALUE"""),"08:14")</f>
        <v>08:14</v>
      </c>
      <c r="D1615" s="65" t="str">
        <f>IFERROR(__xludf.DUMMYFUNCTION("""COMPUTED_VALUE"""),"16-01-2026")</f>
        <v>16-01-2026</v>
      </c>
      <c r="E1615" s="65" t="str">
        <f>IFERROR(__xludf.DUMMYFUNCTION("""COMPUTED_VALUE"""),"Angie Baena")</f>
        <v>Angie Baena</v>
      </c>
      <c r="F1615" s="65" t="str">
        <f>IFERROR(__xludf.DUMMYFUNCTION("""COMPUTED_VALUE"""),"939077837")</f>
        <v>939077837</v>
      </c>
      <c r="G1615" s="65" t="str">
        <f>IFERROR(__xludf.DUMMYFUNCTION("""COMPUTED_VALUE"""),"gisethbaena@gmail.com")</f>
        <v>gisethbaena@gmail.com</v>
      </c>
      <c r="H1615" s="65"/>
      <c r="I1615" s="65"/>
      <c r="J1615" s="65"/>
      <c r="K1615" s="65" t="str">
        <f>IFERROR(__xludf.DUMMYFUNCTION("""COMPUTED_VALUE"""),"PENDIENTE CONFIRMACION")</f>
        <v>PENDIENTE CONFIRMACION</v>
      </c>
      <c r="L1615" s="65" t="str">
        <f>IFERROR(__xludf.DUMMYFUNCTION("""COMPUTED_VALUE"""),"CON RECAUDO")</f>
        <v>CON RECAUDO</v>
      </c>
      <c r="M1615" s="65" t="str">
        <f>IFERROR(__xludf.DUMMYFUNCTION("""COMPUTED_VALUE"""),"AZUAY")</f>
        <v>AZUAY</v>
      </c>
      <c r="N1615" s="65" t="str">
        <f>IFERROR(__xludf.DUMMYFUNCTION("""COMPUTED_VALUE"""),"CUENCA")</f>
        <v>CUENCA</v>
      </c>
      <c r="O1615" s="65" t="str">
        <f>IFERROR(__xludf.DUMMYFUNCTION("""COMPUTED_VALUE"""),"Luis moreno Mora y Luis Miguel Mora Colegio Salle -")</f>
        <v>Luis moreno Mora y Luis Miguel Mora Colegio Salle -</v>
      </c>
      <c r="P1615" s="65"/>
      <c r="Q1615" s="65" t="str">
        <f>IFERROR(__xludf.DUMMYFUNCTION("""COMPUTED_VALUE"""),"GINTRACOM")</f>
        <v>GINTRACOM</v>
      </c>
      <c r="R1615" s="65">
        <f>IFERROR(__xludf.DUMMYFUNCTION("""COMPUTED_VALUE"""),20.0)</f>
        <v>20</v>
      </c>
      <c r="S1615" s="65"/>
      <c r="T1615" s="65">
        <f>IFERROR(__xludf.DUMMYFUNCTION("""COMPUTED_VALUE"""),5.76)</f>
        <v>5.76</v>
      </c>
      <c r="U1615" s="65">
        <f>IFERROR(__xludf.DUMMYFUNCTION("""COMPUTED_VALUE"""),0.0)</f>
        <v>0</v>
      </c>
      <c r="V1615" s="65">
        <f>IFERROR(__xludf.DUMMYFUNCTION("""COMPUTED_VALUE"""),0.0)</f>
        <v>0</v>
      </c>
      <c r="W1615" s="65">
        <f>IFERROR(__xludf.DUMMYFUNCTION("""COMPUTED_VALUE"""),0.0)</f>
        <v>0</v>
      </c>
      <c r="X1615" s="65">
        <f>IFERROR(__xludf.DUMMYFUNCTION("""COMPUTED_VALUE"""),2.35)</f>
        <v>2.35</v>
      </c>
      <c r="Y1615" s="65">
        <f>IFERROR(__xludf.DUMMYFUNCTION("""COMPUTED_VALUE"""),2.35)</f>
        <v>2.35</v>
      </c>
      <c r="Z1615" s="65">
        <f>IFERROR(__xludf.DUMMYFUNCTION("""COMPUTED_VALUE"""),116679.0)</f>
        <v>116679</v>
      </c>
      <c r="AA1615" s="65" t="str">
        <f>IFERROR(__xludf.DUMMYFUNCTION("""COMPUTED_VALUE"""),"AMC-2738")</f>
        <v>AMC-2738</v>
      </c>
      <c r="AB1615" s="65"/>
      <c r="AC1615" s="65" t="str">
        <f>IFERROR(__xludf.DUMMYFUNCTION("""COMPUTED_VALUE"""),"ESPONJA ANTILLUVIA DE PARABRISAS")</f>
        <v>ESPONJA ANTILLUVIA DE PARABRISAS</v>
      </c>
      <c r="AD1615" s="65"/>
      <c r="AE1615" s="65">
        <f>IFERROR(__xludf.DUMMYFUNCTION("""COMPUTED_VALUE"""),1.0)</f>
        <v>1</v>
      </c>
      <c r="AF1615" s="65"/>
      <c r="AG1615" s="65"/>
      <c r="AH1615" s="65"/>
      <c r="AI1615" s="65"/>
      <c r="AJ1615" s="65"/>
      <c r="AK1615" s="65"/>
      <c r="AL1615" s="65"/>
      <c r="AM1615" s="65"/>
      <c r="AN1615" s="65"/>
      <c r="AO1615" s="65"/>
      <c r="AP1615" s="65"/>
      <c r="AQ1615" s="65"/>
      <c r="AR1615" s="65"/>
      <c r="AS1615" s="65"/>
      <c r="AT1615" s="65" t="str">
        <f>IFERROR(__xludf.DUMMYFUNCTION("""COMPUTED_VALUE"""),"SHOPIFY")</f>
        <v>SHOPIFY</v>
      </c>
      <c r="AU1615" s="65" t="str">
        <f>IFERROR(__xludf.DUMMYFUNCTION("""COMPUTED_VALUE"""),"IMPORTEX EC")</f>
        <v>IMPORTEX EC</v>
      </c>
      <c r="AV1615" s="65" t="str">
        <f>IFERROR(__xludf.DUMMYFUNCTION("""COMPUTED_VALUE"""),"6418803097644")</f>
        <v>6418803097644</v>
      </c>
      <c r="AW1615" s="65">
        <f>IFERROR(__xludf.DUMMYFUNCTION("""COMPUTED_VALUE"""),5328.0)</f>
        <v>5328</v>
      </c>
      <c r="AX1615" s="65"/>
      <c r="AY1615" s="65"/>
      <c r="AZ1615" s="65"/>
      <c r="BA1615" s="65"/>
    </row>
    <row r="1616">
      <c r="A1616" s="65" t="str">
        <f>IFERROR(__xludf.DUMMYFUNCTION("""COMPUTED_VALUE"""),"27-03-2026")</f>
        <v>27-03-2026</v>
      </c>
      <c r="B1616" s="65">
        <f>IFERROR(__xludf.DUMMYFUNCTION("""COMPUTED_VALUE"""),4166626.0)</f>
        <v>4166626</v>
      </c>
      <c r="C1616" s="65" t="str">
        <f>IFERROR(__xludf.DUMMYFUNCTION("""COMPUTED_VALUE"""),"07:59")</f>
        <v>07:59</v>
      </c>
      <c r="D1616" s="65" t="str">
        <f>IFERROR(__xludf.DUMMYFUNCTION("""COMPUTED_VALUE"""),"16-01-2026")</f>
        <v>16-01-2026</v>
      </c>
      <c r="E1616" s="65" t="str">
        <f>IFERROR(__xludf.DUMMYFUNCTION("""COMPUTED_VALUE"""),"Jhonny Calva")</f>
        <v>Jhonny Calva</v>
      </c>
      <c r="F1616" s="65" t="str">
        <f>IFERROR(__xludf.DUMMYFUNCTION("""COMPUTED_VALUE"""),"992150898")</f>
        <v>992150898</v>
      </c>
      <c r="G1616" s="65" t="str">
        <f>IFERROR(__xludf.DUMMYFUNCTION("""COMPUTED_VALUE"""),"jhonnycalva@hotmail.com")</f>
        <v>jhonnycalva@hotmail.com</v>
      </c>
      <c r="H1616" s="65"/>
      <c r="I1616" s="65"/>
      <c r="J1616" s="65"/>
      <c r="K1616" s="65" t="str">
        <f>IFERROR(__xludf.DUMMYFUNCTION("""COMPUTED_VALUE"""),"PENDIENTE CONFIRMACION")</f>
        <v>PENDIENTE CONFIRMACION</v>
      </c>
      <c r="L1616" s="65" t="str">
        <f>IFERROR(__xludf.DUMMYFUNCTION("""COMPUTED_VALUE"""),"CON RECAUDO")</f>
        <v>CON RECAUDO</v>
      </c>
      <c r="M1616" s="65" t="str">
        <f>IFERROR(__xludf.DUMMYFUNCTION("""COMPUTED_VALUE"""),"EL ORO")</f>
        <v>EL ORO</v>
      </c>
      <c r="N1616" s="65" t="str">
        <f>IFERROR(__xludf.DUMMYFUNCTION("""COMPUTED_VALUE"""),"MACHALA")</f>
        <v>MACHALA</v>
      </c>
      <c r="O1616" s="65" t="str">
        <f>IFERROR(__xludf.DUMMYFUNCTION("""COMPUTED_VALUE"""),"Sauces Av. Alejandro Castro Benites -")</f>
        <v>Sauces Av. Alejandro Castro Benites -</v>
      </c>
      <c r="P1616" s="65"/>
      <c r="Q1616" s="65" t="str">
        <f>IFERROR(__xludf.DUMMYFUNCTION("""COMPUTED_VALUE"""),"GINTRACOM")</f>
        <v>GINTRACOM</v>
      </c>
      <c r="R1616" s="65">
        <f>IFERROR(__xludf.DUMMYFUNCTION("""COMPUTED_VALUE"""),30.0)</f>
        <v>30</v>
      </c>
      <c r="S1616" s="65"/>
      <c r="T1616" s="65">
        <f>IFERROR(__xludf.DUMMYFUNCTION("""COMPUTED_VALUE"""),6.16)</f>
        <v>6.16</v>
      </c>
      <c r="U1616" s="65">
        <f>IFERROR(__xludf.DUMMYFUNCTION("""COMPUTED_VALUE"""),0.0)</f>
        <v>0</v>
      </c>
      <c r="V1616" s="65">
        <f>IFERROR(__xludf.DUMMYFUNCTION("""COMPUTED_VALUE"""),0.0)</f>
        <v>0</v>
      </c>
      <c r="W1616" s="65">
        <f>IFERROR(__xludf.DUMMYFUNCTION("""COMPUTED_VALUE"""),0.0)</f>
        <v>0</v>
      </c>
      <c r="X1616" s="65">
        <f>IFERROR(__xludf.DUMMYFUNCTION("""COMPUTED_VALUE"""),2.35)</f>
        <v>2.35</v>
      </c>
      <c r="Y1616" s="65">
        <f>IFERROR(__xludf.DUMMYFUNCTION("""COMPUTED_VALUE"""),7.05)</f>
        <v>7.05</v>
      </c>
      <c r="Z1616" s="65">
        <f>IFERROR(__xludf.DUMMYFUNCTION("""COMPUTED_VALUE"""),116679.0)</f>
        <v>116679</v>
      </c>
      <c r="AA1616" s="65" t="str">
        <f>IFERROR(__xludf.DUMMYFUNCTION("""COMPUTED_VALUE"""),"AMC-2738")</f>
        <v>AMC-2738</v>
      </c>
      <c r="AB1616" s="65"/>
      <c r="AC1616" s="65" t="str">
        <f>IFERROR(__xludf.DUMMYFUNCTION("""COMPUTED_VALUE"""),"ESPONJA ANTILLUVIA DE PARABRISAS")</f>
        <v>ESPONJA ANTILLUVIA DE PARABRISAS</v>
      </c>
      <c r="AD1616" s="65"/>
      <c r="AE1616" s="65">
        <f>IFERROR(__xludf.DUMMYFUNCTION("""COMPUTED_VALUE"""),3.0)</f>
        <v>3</v>
      </c>
      <c r="AF1616" s="65"/>
      <c r="AG1616" s="65"/>
      <c r="AH1616" s="65"/>
      <c r="AI1616" s="65"/>
      <c r="AJ1616" s="65"/>
      <c r="AK1616" s="65"/>
      <c r="AL1616" s="65"/>
      <c r="AM1616" s="65"/>
      <c r="AN1616" s="65"/>
      <c r="AO1616" s="65"/>
      <c r="AP1616" s="65"/>
      <c r="AQ1616" s="65"/>
      <c r="AR1616" s="65"/>
      <c r="AS1616" s="65"/>
      <c r="AT1616" s="65" t="str">
        <f>IFERROR(__xludf.DUMMYFUNCTION("""COMPUTED_VALUE"""),"SHOPIFY")</f>
        <v>SHOPIFY</v>
      </c>
      <c r="AU1616" s="65" t="str">
        <f>IFERROR(__xludf.DUMMYFUNCTION("""COMPUTED_VALUE"""),"IMPORTEX EC")</f>
        <v>IMPORTEX EC</v>
      </c>
      <c r="AV1616" s="65" t="str">
        <f>IFERROR(__xludf.DUMMYFUNCTION("""COMPUTED_VALUE"""),"6418692833324")</f>
        <v>6418692833324</v>
      </c>
      <c r="AW1616" s="65">
        <f>IFERROR(__xludf.DUMMYFUNCTION("""COMPUTED_VALUE"""),5327.0)</f>
        <v>5327</v>
      </c>
      <c r="AX1616" s="65"/>
      <c r="AY1616" s="65"/>
      <c r="AZ1616" s="65"/>
      <c r="BA1616" s="65"/>
    </row>
    <row r="1617">
      <c r="A1617" s="65" t="str">
        <f>IFERROR(__xludf.DUMMYFUNCTION("""COMPUTED_VALUE"""),"27-03-2026")</f>
        <v>27-03-2026</v>
      </c>
      <c r="B1617" s="65">
        <f>IFERROR(__xludf.DUMMYFUNCTION("""COMPUTED_VALUE"""),4166346.0)</f>
        <v>4166346</v>
      </c>
      <c r="C1617" s="65" t="str">
        <f>IFERROR(__xludf.DUMMYFUNCTION("""COMPUTED_VALUE"""),"07:32")</f>
        <v>07:32</v>
      </c>
      <c r="D1617" s="65" t="str">
        <f>IFERROR(__xludf.DUMMYFUNCTION("""COMPUTED_VALUE"""),"16-01-2026")</f>
        <v>16-01-2026</v>
      </c>
      <c r="E1617" s="65" t="str">
        <f>IFERROR(__xludf.DUMMYFUNCTION("""COMPUTED_VALUE"""),"Felipe Jiménez")</f>
        <v>Felipe Jiménez</v>
      </c>
      <c r="F1617" s="65" t="str">
        <f>IFERROR(__xludf.DUMMYFUNCTION("""COMPUTED_VALUE"""),"991128873")</f>
        <v>991128873</v>
      </c>
      <c r="G1617" s="65" t="str">
        <f>IFERROR(__xludf.DUMMYFUNCTION("""COMPUTED_VALUE"""),"jimenfa@hotmail.com")</f>
        <v>jimenfa@hotmail.com</v>
      </c>
      <c r="H1617" s="65"/>
      <c r="I1617" s="65"/>
      <c r="J1617" s="65" t="str">
        <f>IFERROR(__xludf.DUMMYFUNCTION("""COMPUTED_VALUE"""),"D001240112")</f>
        <v>D001240112</v>
      </c>
      <c r="K1617" s="65" t="str">
        <f>IFERROR(__xludf.DUMMYFUNCTION("""COMPUTED_VALUE"""),"ENTREGADO")</f>
        <v>ENTREGADO</v>
      </c>
      <c r="L1617" s="65" t="str">
        <f>IFERROR(__xludf.DUMMYFUNCTION("""COMPUTED_VALUE"""),"CON RECAUDO")</f>
        <v>CON RECAUDO</v>
      </c>
      <c r="M1617" s="65" t="str">
        <f>IFERROR(__xludf.DUMMYFUNCTION("""COMPUTED_VALUE"""),"PICHINCHA")</f>
        <v>PICHINCHA</v>
      </c>
      <c r="N1617" s="65" t="str">
        <f>IFERROR(__xludf.DUMMYFUNCTION("""COMPUTED_VALUE"""),"QUITO")</f>
        <v>QUITO</v>
      </c>
      <c r="O1617" s="65" t="str">
        <f>IFERROR(__xludf.DUMMYFUNCTION("""COMPUTED_VALUE"""),"Manuel Mathew N58-14 y Leonardo Murialdo Dammer norte de Quito -")</f>
        <v>Manuel Mathew N58-14 y Leonardo Murialdo Dammer norte de Quito -</v>
      </c>
      <c r="P1617" s="65"/>
      <c r="Q1617" s="65" t="str">
        <f>IFERROR(__xludf.DUMMYFUNCTION("""COMPUTED_VALUE"""),"GINTRACOM")</f>
        <v>GINTRACOM</v>
      </c>
      <c r="R1617" s="65">
        <f>IFERROR(__xludf.DUMMYFUNCTION("""COMPUTED_VALUE"""),25.0)</f>
        <v>25</v>
      </c>
      <c r="S1617" s="65">
        <f>IFERROR(__xludf.DUMMYFUNCTION("""COMPUTED_VALUE"""),15.95)</f>
        <v>15.95</v>
      </c>
      <c r="T1617" s="65">
        <f>IFERROR(__xludf.DUMMYFUNCTION("""COMPUTED_VALUE"""),4.35)</f>
        <v>4.35</v>
      </c>
      <c r="U1617" s="65">
        <f>IFERROR(__xludf.DUMMYFUNCTION("""COMPUTED_VALUE"""),0.0)</f>
        <v>0</v>
      </c>
      <c r="V1617" s="65">
        <f>IFERROR(__xludf.DUMMYFUNCTION("""COMPUTED_VALUE"""),0.0)</f>
        <v>0</v>
      </c>
      <c r="W1617" s="65">
        <f>IFERROR(__xludf.DUMMYFUNCTION("""COMPUTED_VALUE"""),0.0)</f>
        <v>0</v>
      </c>
      <c r="X1617" s="65">
        <f>IFERROR(__xludf.DUMMYFUNCTION("""COMPUTED_VALUE"""),2.35)</f>
        <v>2.35</v>
      </c>
      <c r="Y1617" s="65">
        <f>IFERROR(__xludf.DUMMYFUNCTION("""COMPUTED_VALUE"""),4.7)</f>
        <v>4.7</v>
      </c>
      <c r="Z1617" s="65">
        <f>IFERROR(__xludf.DUMMYFUNCTION("""COMPUTED_VALUE"""),116679.0)</f>
        <v>116679</v>
      </c>
      <c r="AA1617" s="65" t="str">
        <f>IFERROR(__xludf.DUMMYFUNCTION("""COMPUTED_VALUE"""),"AMC-2738")</f>
        <v>AMC-2738</v>
      </c>
      <c r="AB1617" s="65"/>
      <c r="AC1617" s="65" t="str">
        <f>IFERROR(__xludf.DUMMYFUNCTION("""COMPUTED_VALUE"""),"ESPONJA ANTILLUVIA DE PARABRISAS")</f>
        <v>ESPONJA ANTILLUVIA DE PARABRISAS</v>
      </c>
      <c r="AD1617" s="65"/>
      <c r="AE1617" s="65">
        <f>IFERROR(__xludf.DUMMYFUNCTION("""COMPUTED_VALUE"""),2.0)</f>
        <v>2</v>
      </c>
      <c r="AF1617" s="65"/>
      <c r="AG1617" s="65"/>
      <c r="AH1617" s="65"/>
      <c r="AI1617" s="65"/>
      <c r="AJ1617" s="65"/>
      <c r="AK1617" s="65"/>
      <c r="AL1617" s="65"/>
      <c r="AM1617" s="65"/>
      <c r="AN1617" s="65" t="str">
        <f>IFERROR(__xludf.DUMMYFUNCTION("""COMPUTED_VALUE"""),"13:48")</f>
        <v>13:48</v>
      </c>
      <c r="AO1617" s="65" t="str">
        <f>IFERROR(__xludf.DUMMYFUNCTION("""COMPUTED_VALUE"""),"20-02-2026")</f>
        <v>20-02-2026</v>
      </c>
      <c r="AP1617" s="65" t="str">
        <f>IFERROR(__xludf.DUMMYFUNCTION("""COMPUTED_VALUE"""),"ENTREGADA GINTRACOM")</f>
        <v>ENTREGADA GINTRACOM</v>
      </c>
      <c r="AQ1617" s="65" t="str">
        <f>IFERROR(__xludf.DUMMYFUNCTION("""COMPUTED_VALUE"""),"ENTREGADA GINTRACOM")</f>
        <v>ENTREGADA GINTRACOM</v>
      </c>
      <c r="AR1617" s="65"/>
      <c r="AS1617" s="65"/>
      <c r="AT1617" s="65" t="str">
        <f>IFERROR(__xludf.DUMMYFUNCTION("""COMPUTED_VALUE"""),"SHOPIFY")</f>
        <v>SHOPIFY</v>
      </c>
      <c r="AU1617" s="65" t="str">
        <f>IFERROR(__xludf.DUMMYFUNCTION("""COMPUTED_VALUE"""),"IMPORTEX EC")</f>
        <v>IMPORTEX EC</v>
      </c>
      <c r="AV1617" s="65" t="str">
        <f>IFERROR(__xludf.DUMMYFUNCTION("""COMPUTED_VALUE"""),"6418663440428")</f>
        <v>6418663440428</v>
      </c>
      <c r="AW1617" s="65">
        <f>IFERROR(__xludf.DUMMYFUNCTION("""COMPUTED_VALUE"""),5326.0)</f>
        <v>5326</v>
      </c>
      <c r="AX1617" s="65"/>
      <c r="AY1617" s="65" t="str">
        <f>IFERROR(__xludf.DUMMYFUNCTION("""COMPUTED_VALUE"""),"19/01/2026")</f>
        <v>19/01/2026</v>
      </c>
      <c r="AZ1617" s="65"/>
      <c r="BA1617" s="65"/>
    </row>
    <row r="1618">
      <c r="A1618" s="65" t="str">
        <f>IFERROR(__xludf.DUMMYFUNCTION("""COMPUTED_VALUE"""),"27-03-2026")</f>
        <v>27-03-2026</v>
      </c>
      <c r="B1618" s="65">
        <f>IFERROR(__xludf.DUMMYFUNCTION("""COMPUTED_VALUE"""),4166122.0)</f>
        <v>4166122</v>
      </c>
      <c r="C1618" s="65" t="str">
        <f>IFERROR(__xludf.DUMMYFUNCTION("""COMPUTED_VALUE"""),"07:16")</f>
        <v>07:16</v>
      </c>
      <c r="D1618" s="65" t="str">
        <f>IFERROR(__xludf.DUMMYFUNCTION("""COMPUTED_VALUE"""),"16-01-2026")</f>
        <v>16-01-2026</v>
      </c>
      <c r="E1618" s="65" t="str">
        <f>IFERROR(__xludf.DUMMYFUNCTION("""COMPUTED_VALUE"""),"Carlos Palma")</f>
        <v>Carlos Palma</v>
      </c>
      <c r="F1618" s="65" t="str">
        <f>IFERROR(__xludf.DUMMYFUNCTION("""COMPUTED_VALUE"""),"995021362")</f>
        <v>995021362</v>
      </c>
      <c r="G1618" s="65" t="str">
        <f>IFERROR(__xludf.DUMMYFUNCTION("""COMPUTED_VALUE"""),"sbbjm11@hotmail.com")</f>
        <v>sbbjm11@hotmail.com</v>
      </c>
      <c r="H1618" s="65"/>
      <c r="I1618" s="65"/>
      <c r="J1618" s="65" t="str">
        <f>IFERROR(__xludf.DUMMYFUNCTION("""COMPUTED_VALUE"""),"D001234304")</f>
        <v>D001234304</v>
      </c>
      <c r="K1618" s="65" t="str">
        <f>IFERROR(__xludf.DUMMYFUNCTION("""COMPUTED_VALUE"""),"ENTREGADO")</f>
        <v>ENTREGADO</v>
      </c>
      <c r="L1618" s="65" t="str">
        <f>IFERROR(__xludf.DUMMYFUNCTION("""COMPUTED_VALUE"""),"CON RECAUDO")</f>
        <v>CON RECAUDO</v>
      </c>
      <c r="M1618" s="65" t="str">
        <f>IFERROR(__xludf.DUMMYFUNCTION("""COMPUTED_VALUE"""),"PICHINCHA")</f>
        <v>PICHINCHA</v>
      </c>
      <c r="N1618" s="65" t="str">
        <f>IFERROR(__xludf.DUMMYFUNCTION("""COMPUTED_VALUE"""),"QUITO")</f>
        <v>QUITO</v>
      </c>
      <c r="O1618" s="65" t="str">
        <f>IFERROR(__xludf.DUMMYFUNCTION("""COMPUTED_VALUE"""),"Amazonas N36-69 y Corea Iñaquito, frente al CCI -")</f>
        <v>Amazonas N36-69 y Corea Iñaquito, frente al CCI -</v>
      </c>
      <c r="P1618" s="65"/>
      <c r="Q1618" s="65" t="str">
        <f>IFERROR(__xludf.DUMMYFUNCTION("""COMPUTED_VALUE"""),"GINTRACOM")</f>
        <v>GINTRACOM</v>
      </c>
      <c r="R1618" s="65">
        <f>IFERROR(__xludf.DUMMYFUNCTION("""COMPUTED_VALUE"""),25.0)</f>
        <v>25</v>
      </c>
      <c r="S1618" s="65">
        <f>IFERROR(__xludf.DUMMYFUNCTION("""COMPUTED_VALUE"""),15.95)</f>
        <v>15.95</v>
      </c>
      <c r="T1618" s="65">
        <f>IFERROR(__xludf.DUMMYFUNCTION("""COMPUTED_VALUE"""),4.35)</f>
        <v>4.35</v>
      </c>
      <c r="U1618" s="65">
        <f>IFERROR(__xludf.DUMMYFUNCTION("""COMPUTED_VALUE"""),0.0)</f>
        <v>0</v>
      </c>
      <c r="V1618" s="65">
        <f>IFERROR(__xludf.DUMMYFUNCTION("""COMPUTED_VALUE"""),0.0)</f>
        <v>0</v>
      </c>
      <c r="W1618" s="65">
        <f>IFERROR(__xludf.DUMMYFUNCTION("""COMPUTED_VALUE"""),0.0)</f>
        <v>0</v>
      </c>
      <c r="X1618" s="65">
        <f>IFERROR(__xludf.DUMMYFUNCTION("""COMPUTED_VALUE"""),2.35)</f>
        <v>2.35</v>
      </c>
      <c r="Y1618" s="65">
        <f>IFERROR(__xludf.DUMMYFUNCTION("""COMPUTED_VALUE"""),4.7)</f>
        <v>4.7</v>
      </c>
      <c r="Z1618" s="65">
        <f>IFERROR(__xludf.DUMMYFUNCTION("""COMPUTED_VALUE"""),116679.0)</f>
        <v>116679</v>
      </c>
      <c r="AA1618" s="65" t="str">
        <f>IFERROR(__xludf.DUMMYFUNCTION("""COMPUTED_VALUE"""),"AMC-2738")</f>
        <v>AMC-2738</v>
      </c>
      <c r="AB1618" s="65"/>
      <c r="AC1618" s="65" t="str">
        <f>IFERROR(__xludf.DUMMYFUNCTION("""COMPUTED_VALUE"""),"ESPONJA ANTILLUVIA DE PARABRISAS")</f>
        <v>ESPONJA ANTILLUVIA DE PARABRISAS</v>
      </c>
      <c r="AD1618" s="65"/>
      <c r="AE1618" s="65">
        <f>IFERROR(__xludf.DUMMYFUNCTION("""COMPUTED_VALUE"""),2.0)</f>
        <v>2</v>
      </c>
      <c r="AF1618" s="65"/>
      <c r="AG1618" s="65"/>
      <c r="AH1618" s="65"/>
      <c r="AI1618" s="65"/>
      <c r="AJ1618" s="65"/>
      <c r="AK1618" s="65"/>
      <c r="AL1618" s="65"/>
      <c r="AM1618" s="65"/>
      <c r="AN1618" s="65" t="str">
        <f>IFERROR(__xludf.DUMMYFUNCTION("""COMPUTED_VALUE"""),"11:24")</f>
        <v>11:24</v>
      </c>
      <c r="AO1618" s="65" t="str">
        <f>IFERROR(__xludf.DUMMYFUNCTION("""COMPUTED_VALUE"""),"16-02-2026")</f>
        <v>16-02-2026</v>
      </c>
      <c r="AP1618" s="65" t="str">
        <f>IFERROR(__xludf.DUMMYFUNCTION("""COMPUTED_VALUE"""),"ENTREGADA GINTRACOM")</f>
        <v>ENTREGADA GINTRACOM</v>
      </c>
      <c r="AQ1618" s="65" t="str">
        <f>IFERROR(__xludf.DUMMYFUNCTION("""COMPUTED_VALUE"""),"ENTREGADA GINTRACOM")</f>
        <v>ENTREGADA GINTRACOM</v>
      </c>
      <c r="AR1618" s="65"/>
      <c r="AS1618" s="65"/>
      <c r="AT1618" s="65" t="str">
        <f>IFERROR(__xludf.DUMMYFUNCTION("""COMPUTED_VALUE"""),"SHOPIFY")</f>
        <v>SHOPIFY</v>
      </c>
      <c r="AU1618" s="65" t="str">
        <f>IFERROR(__xludf.DUMMYFUNCTION("""COMPUTED_VALUE"""),"IMPORTEX EC")</f>
        <v>IMPORTEX EC</v>
      </c>
      <c r="AV1618" s="65" t="str">
        <f>IFERROR(__xludf.DUMMYFUNCTION("""COMPUTED_VALUE"""),"6418645614636")</f>
        <v>6418645614636</v>
      </c>
      <c r="AW1618" s="65">
        <f>IFERROR(__xludf.DUMMYFUNCTION("""COMPUTED_VALUE"""),5325.0)</f>
        <v>5325</v>
      </c>
      <c r="AX1618" s="65"/>
      <c r="AY1618" s="65" t="str">
        <f>IFERROR(__xludf.DUMMYFUNCTION("""COMPUTED_VALUE"""),"17/01/2026")</f>
        <v>17/01/2026</v>
      </c>
      <c r="AZ1618" s="65"/>
      <c r="BA1618" s="65"/>
    </row>
    <row r="1619">
      <c r="A1619" s="65" t="str">
        <f>IFERROR(__xludf.DUMMYFUNCTION("""COMPUTED_VALUE"""),"27-03-2026")</f>
        <v>27-03-2026</v>
      </c>
      <c r="B1619" s="65">
        <f>IFERROR(__xludf.DUMMYFUNCTION("""COMPUTED_VALUE"""),4166077.0)</f>
        <v>4166077</v>
      </c>
      <c r="C1619" s="65" t="str">
        <f>IFERROR(__xludf.DUMMYFUNCTION("""COMPUTED_VALUE"""),"07:08")</f>
        <v>07:08</v>
      </c>
      <c r="D1619" s="65" t="str">
        <f>IFERROR(__xludf.DUMMYFUNCTION("""COMPUTED_VALUE"""),"16-01-2026")</f>
        <v>16-01-2026</v>
      </c>
      <c r="E1619" s="65" t="str">
        <f>IFERROR(__xludf.DUMMYFUNCTION("""COMPUTED_VALUE"""),"Segundo Bernabe Gualoto Álvaro")</f>
        <v>Segundo Bernabe Gualoto Álvaro</v>
      </c>
      <c r="F1619" s="65" t="str">
        <f>IFERROR(__xludf.DUMMYFUNCTION("""COMPUTED_VALUE"""),"986842242")</f>
        <v>986842242</v>
      </c>
      <c r="G1619" s="65" t="str">
        <f>IFERROR(__xludf.DUMMYFUNCTION("""COMPUTED_VALUE"""),"segu_72gualo@hotail.com")</f>
        <v>segu_72gualo@hotail.com</v>
      </c>
      <c r="H1619" s="65"/>
      <c r="I1619" s="65"/>
      <c r="J1619" s="65" t="str">
        <f>IFERROR(__xludf.DUMMYFUNCTION("""COMPUTED_VALUE"""),"D001233677")</f>
        <v>D001233677</v>
      </c>
      <c r="K1619" s="65" t="str">
        <f>IFERROR(__xludf.DUMMYFUNCTION("""COMPUTED_VALUE"""),"ENTREGADO")</f>
        <v>ENTREGADO</v>
      </c>
      <c r="L1619" s="65" t="str">
        <f>IFERROR(__xludf.DUMMYFUNCTION("""COMPUTED_VALUE"""),"CON RECAUDO")</f>
        <v>CON RECAUDO</v>
      </c>
      <c r="M1619" s="65" t="str">
        <f>IFERROR(__xludf.DUMMYFUNCTION("""COMPUTED_VALUE"""),"PICHINCHA")</f>
        <v>PICHINCHA</v>
      </c>
      <c r="N1619" s="65" t="str">
        <f>IFERROR(__xludf.DUMMYFUNCTION("""COMPUTED_VALUE"""),"QUITO")</f>
        <v>QUITO</v>
      </c>
      <c r="O1619" s="65" t="str">
        <f>IFERROR(__xludf.DUMMYFUNCTION("""COMPUTED_VALUE"""),"Buenos aires y Gloria Simbaña Cocotog detrás de la Ferretería Alvaro -")</f>
        <v>Buenos aires y Gloria Simbaña Cocotog detrás de la Ferretería Alvaro -</v>
      </c>
      <c r="P1619" s="65"/>
      <c r="Q1619" s="65" t="str">
        <f>IFERROR(__xludf.DUMMYFUNCTION("""COMPUTED_VALUE"""),"GINTRACOM")</f>
        <v>GINTRACOM</v>
      </c>
      <c r="R1619" s="65">
        <f>IFERROR(__xludf.DUMMYFUNCTION("""COMPUTED_VALUE"""),22.0)</f>
        <v>22</v>
      </c>
      <c r="S1619" s="65">
        <f>IFERROR(__xludf.DUMMYFUNCTION("""COMPUTED_VALUE"""),10.96)</f>
        <v>10.96</v>
      </c>
      <c r="T1619" s="65">
        <f>IFERROR(__xludf.DUMMYFUNCTION("""COMPUTED_VALUE"""),5.84)</f>
        <v>5.84</v>
      </c>
      <c r="U1619" s="65">
        <f>IFERROR(__xludf.DUMMYFUNCTION("""COMPUTED_VALUE"""),0.0)</f>
        <v>0</v>
      </c>
      <c r="V1619" s="65">
        <f>IFERROR(__xludf.DUMMYFUNCTION("""COMPUTED_VALUE"""),0.0)</f>
        <v>0</v>
      </c>
      <c r="W1619" s="65">
        <f>IFERROR(__xludf.DUMMYFUNCTION("""COMPUTED_VALUE"""),0.0)</f>
        <v>0</v>
      </c>
      <c r="X1619" s="65">
        <f>IFERROR(__xludf.DUMMYFUNCTION("""COMPUTED_VALUE"""),2.6)</f>
        <v>2.6</v>
      </c>
      <c r="Y1619" s="65">
        <f>IFERROR(__xludf.DUMMYFUNCTION("""COMPUTED_VALUE"""),5.2)</f>
        <v>5.2</v>
      </c>
      <c r="Z1619" s="65">
        <f>IFERROR(__xludf.DUMMYFUNCTION("""COMPUTED_VALUE"""),121983.0)</f>
        <v>121983</v>
      </c>
      <c r="AA1619" s="65" t="str">
        <f>IFERROR(__xludf.DUMMYFUNCTION("""COMPUTED_VALUE"""),"PROV-CHLLCF")</f>
        <v>PROV-CHLLCF</v>
      </c>
      <c r="AB1619" s="65"/>
      <c r="AC1619" s="65" t="str">
        <f>IFERROR(__xludf.DUMMYFUNCTION("""COMPUTED_VALUE"""),"CUCHILLO PARA CHEF")</f>
        <v>CUCHILLO PARA CHEF</v>
      </c>
      <c r="AD1619" s="65"/>
      <c r="AE1619" s="65">
        <f>IFERROR(__xludf.DUMMYFUNCTION("""COMPUTED_VALUE"""),2.0)</f>
        <v>2</v>
      </c>
      <c r="AF1619" s="65" t="str">
        <f>IFERROR(__xludf.DUMMYFUNCTION("""COMPUTED_VALUE"""),"DESTINATARIO NO CONTESTA LLAMADAS NI WHATSAPP")</f>
        <v>DESTINATARIO NO CONTESTA LLAMADAS NI WHATSAPP</v>
      </c>
      <c r="AG1619" s="65" t="str">
        <f>IFERROR(__xludf.DUMMYFUNCTION("""COMPUTED_VALUE"""),"SI")</f>
        <v>SI</v>
      </c>
      <c r="AH1619" s="65" t="str">
        <f>IFERROR(__xludf.DUMMYFUNCTION("""COMPUTED_VALUE"""),"19:40")</f>
        <v>19:40</v>
      </c>
      <c r="AI1619" s="65" t="str">
        <f>IFERROR(__xludf.DUMMYFUNCTION("""COMPUTED_VALUE"""),"19-01-2026")</f>
        <v>19-01-2026</v>
      </c>
      <c r="AJ1619" s="65"/>
      <c r="AK1619" s="65"/>
      <c r="AL1619" s="65"/>
      <c r="AM1619" s="65"/>
      <c r="AN1619" s="65" t="str">
        <f>IFERROR(__xludf.DUMMYFUNCTION("""COMPUTED_VALUE"""),"16:36")</f>
        <v>16:36</v>
      </c>
      <c r="AO1619" s="65" t="str">
        <f>IFERROR(__xludf.DUMMYFUNCTION("""COMPUTED_VALUE"""),"23-01-2026")</f>
        <v>23-01-2026</v>
      </c>
      <c r="AP1619" s="65" t="str">
        <f>IFERROR(__xludf.DUMMYFUNCTION("""COMPUTED_VALUE"""),"ENTREGADA GINTRACOM")</f>
        <v>ENTREGADA GINTRACOM</v>
      </c>
      <c r="AQ1619" s="65" t="str">
        <f>IFERROR(__xludf.DUMMYFUNCTION("""COMPUTED_VALUE"""),"ENTREGADA GINTRACOM")</f>
        <v>ENTREGADA GINTRACOM</v>
      </c>
      <c r="AR1619" s="65"/>
      <c r="AS1619" s="65"/>
      <c r="AT1619" s="65" t="str">
        <f>IFERROR(__xludf.DUMMYFUNCTION("""COMPUTED_VALUE"""),"SHOPIFY")</f>
        <v>SHOPIFY</v>
      </c>
      <c r="AU1619" s="65" t="str">
        <f>IFERROR(__xludf.DUMMYFUNCTION("""COMPUTED_VALUE"""),"IMPORTEX EC")</f>
        <v>IMPORTEX EC</v>
      </c>
      <c r="AV1619" s="65" t="str">
        <f>IFERROR(__xludf.DUMMYFUNCTION("""COMPUTED_VALUE"""),"6418637815852")</f>
        <v>6418637815852</v>
      </c>
      <c r="AW1619" s="65">
        <f>IFERROR(__xludf.DUMMYFUNCTION("""COMPUTED_VALUE"""),5324.0)</f>
        <v>5324</v>
      </c>
      <c r="AX1619" s="65"/>
      <c r="AY1619" s="65" t="str">
        <f>IFERROR(__xludf.DUMMYFUNCTION("""COMPUTED_VALUE"""),"17/01/2026")</f>
        <v>17/01/2026</v>
      </c>
      <c r="AZ1619" s="65"/>
      <c r="BA1619" s="65"/>
    </row>
    <row r="1620">
      <c r="A1620" s="65" t="str">
        <f>IFERROR(__xludf.DUMMYFUNCTION("""COMPUTED_VALUE"""),"27-03-2026")</f>
        <v>27-03-2026</v>
      </c>
      <c r="B1620" s="65">
        <f>IFERROR(__xludf.DUMMYFUNCTION("""COMPUTED_VALUE"""),4166036.0)</f>
        <v>4166036</v>
      </c>
      <c r="C1620" s="65" t="str">
        <f>IFERROR(__xludf.DUMMYFUNCTION("""COMPUTED_VALUE"""),"07:04")</f>
        <v>07:04</v>
      </c>
      <c r="D1620" s="65" t="str">
        <f>IFERROR(__xludf.DUMMYFUNCTION("""COMPUTED_VALUE"""),"16-01-2026")</f>
        <v>16-01-2026</v>
      </c>
      <c r="E1620" s="65" t="str">
        <f>IFERROR(__xludf.DUMMYFUNCTION("""COMPUTED_VALUE"""),"Edgar Bermeo")</f>
        <v>Edgar Bermeo</v>
      </c>
      <c r="F1620" s="65" t="str">
        <f>IFERROR(__xludf.DUMMYFUNCTION("""COMPUTED_VALUE"""),"993339432")</f>
        <v>993339432</v>
      </c>
      <c r="G1620" s="65" t="str">
        <f>IFERROR(__xludf.DUMMYFUNCTION("""COMPUTED_VALUE"""),"ebermeo021@yahoo.com")</f>
        <v>ebermeo021@yahoo.com</v>
      </c>
      <c r="H1620" s="65"/>
      <c r="I1620" s="65"/>
      <c r="J1620" s="65" t="str">
        <f>IFERROR(__xludf.DUMMYFUNCTION("""COMPUTED_VALUE"""),"D001234305")</f>
        <v>D001234305</v>
      </c>
      <c r="K1620" s="65" t="str">
        <f>IFERROR(__xludf.DUMMYFUNCTION("""COMPUTED_VALUE"""),"DEVOLUCION")</f>
        <v>DEVOLUCION</v>
      </c>
      <c r="L1620" s="65" t="str">
        <f>IFERROR(__xludf.DUMMYFUNCTION("""COMPUTED_VALUE"""),"CON RECAUDO")</f>
        <v>CON RECAUDO</v>
      </c>
      <c r="M1620" s="65" t="str">
        <f>IFERROR(__xludf.DUMMYFUNCTION("""COMPUTED_VALUE"""),"PICHINCHA")</f>
        <v>PICHINCHA</v>
      </c>
      <c r="N1620" s="65" t="str">
        <f>IFERROR(__xludf.DUMMYFUNCTION("""COMPUTED_VALUE"""),"QUITO")</f>
        <v>QUITO</v>
      </c>
      <c r="O1620" s="65" t="str">
        <f>IFERROR(__xludf.DUMMYFUNCTION("""COMPUTED_VALUE"""),"Av.mariscal sucre y ulquiñan ns 45 Quitumbe -")</f>
        <v>Av.mariscal sucre y ulquiñan ns 45 Quitumbe -</v>
      </c>
      <c r="P1620" s="65"/>
      <c r="Q1620" s="65" t="str">
        <f>IFERROR(__xludf.DUMMYFUNCTION("""COMPUTED_VALUE"""),"GINTRACOM")</f>
        <v>GINTRACOM</v>
      </c>
      <c r="R1620" s="65">
        <f>IFERROR(__xludf.DUMMYFUNCTION("""COMPUTED_VALUE"""),25.0)</f>
        <v>25</v>
      </c>
      <c r="S1620" s="65"/>
      <c r="T1620" s="65">
        <f>IFERROR(__xludf.DUMMYFUNCTION("""COMPUTED_VALUE"""),4.35)</f>
        <v>4.35</v>
      </c>
      <c r="U1620" s="65">
        <f>IFERROR(__xludf.DUMMYFUNCTION("""COMPUTED_VALUE"""),0.0)</f>
        <v>0</v>
      </c>
      <c r="V1620" s="65">
        <f>IFERROR(__xludf.DUMMYFUNCTION("""COMPUTED_VALUE"""),0.0)</f>
        <v>0</v>
      </c>
      <c r="W1620" s="65">
        <f>IFERROR(__xludf.DUMMYFUNCTION("""COMPUTED_VALUE"""),0.0)</f>
        <v>0</v>
      </c>
      <c r="X1620" s="65">
        <f>IFERROR(__xludf.DUMMYFUNCTION("""COMPUTED_VALUE"""),2.35)</f>
        <v>2.35</v>
      </c>
      <c r="Y1620" s="65">
        <f>IFERROR(__xludf.DUMMYFUNCTION("""COMPUTED_VALUE"""),4.7)</f>
        <v>4.7</v>
      </c>
      <c r="Z1620" s="65">
        <f>IFERROR(__xludf.DUMMYFUNCTION("""COMPUTED_VALUE"""),116679.0)</f>
        <v>116679</v>
      </c>
      <c r="AA1620" s="65" t="str">
        <f>IFERROR(__xludf.DUMMYFUNCTION("""COMPUTED_VALUE"""),"AMC-2738")</f>
        <v>AMC-2738</v>
      </c>
      <c r="AB1620" s="65"/>
      <c r="AC1620" s="65" t="str">
        <f>IFERROR(__xludf.DUMMYFUNCTION("""COMPUTED_VALUE"""),"ESPONJA ANTILLUVIA DE PARABRISAS")</f>
        <v>ESPONJA ANTILLUVIA DE PARABRISAS</v>
      </c>
      <c r="AD1620" s="65"/>
      <c r="AE1620" s="65">
        <f>IFERROR(__xludf.DUMMYFUNCTION("""COMPUTED_VALUE"""),2.0)</f>
        <v>2</v>
      </c>
      <c r="AF1620" s="65" t="str">
        <f>IFERROR(__xludf.DUMMYFUNCTION("""COMPUTED_VALUE"""),"DESTINATARIO NO CONTESTA LLAMADAS NI WHATSAPP")</f>
        <v>DESTINATARIO NO CONTESTA LLAMADAS NI WHATSAPP</v>
      </c>
      <c r="AG1620" s="65" t="str">
        <f>IFERROR(__xludf.DUMMYFUNCTION("""COMPUTED_VALUE"""),"NO")</f>
        <v>NO</v>
      </c>
      <c r="AH1620" s="65" t="str">
        <f>IFERROR(__xludf.DUMMYFUNCTION("""COMPUTED_VALUE"""),"14:15")</f>
        <v>14:15</v>
      </c>
      <c r="AI1620" s="65" t="str">
        <f>IFERROR(__xludf.DUMMYFUNCTION("""COMPUTED_VALUE"""),"28-01-2026")</f>
        <v>28-01-2026</v>
      </c>
      <c r="AJ1620" s="65"/>
      <c r="AK1620" s="65"/>
      <c r="AL1620" s="65"/>
      <c r="AM1620" s="65"/>
      <c r="AN1620" s="65" t="str">
        <f>IFERROR(__xludf.DUMMYFUNCTION("""COMPUTED_VALUE"""),"14:15")</f>
        <v>14:15</v>
      </c>
      <c r="AO1620" s="65" t="str">
        <f>IFERROR(__xludf.DUMMYFUNCTION("""COMPUTED_VALUE"""),"28-01-2026")</f>
        <v>28-01-2026</v>
      </c>
      <c r="AP1620" s="65" t="str">
        <f>IFERROR(__xludf.DUMMYFUNCTION("""COMPUTED_VALUE"""),"DESTINATARIO NO CONTESTA LLAMADAS NI WHATSAPP")</f>
        <v>DESTINATARIO NO CONTESTA LLAMADAS NI WHATSAPP</v>
      </c>
      <c r="AQ1620" s="65" t="str">
        <f>IFERROR(__xludf.DUMMYFUNCTION("""COMPUTED_VALUE"""),"DESTINATARIO NO CONTESTA LLAMADAS NI WHATSAPP")</f>
        <v>DESTINATARIO NO CONTESTA LLAMADAS NI WHATSAPP</v>
      </c>
      <c r="AR1620" s="65"/>
      <c r="AS1620" s="65"/>
      <c r="AT1620" s="65" t="str">
        <f>IFERROR(__xludf.DUMMYFUNCTION("""COMPUTED_VALUE"""),"SHOPIFY")</f>
        <v>SHOPIFY</v>
      </c>
      <c r="AU1620" s="65" t="str">
        <f>IFERROR(__xludf.DUMMYFUNCTION("""COMPUTED_VALUE"""),"IMPORTEX EC")</f>
        <v>IMPORTEX EC</v>
      </c>
      <c r="AV1620" s="65" t="str">
        <f>IFERROR(__xludf.DUMMYFUNCTION("""COMPUTED_VALUE"""),"6418633293868")</f>
        <v>6418633293868</v>
      </c>
      <c r="AW1620" s="65">
        <f>IFERROR(__xludf.DUMMYFUNCTION("""COMPUTED_VALUE"""),5323.0)</f>
        <v>5323</v>
      </c>
      <c r="AX1620" s="65"/>
      <c r="AY1620" s="65" t="str">
        <f>IFERROR(__xludf.DUMMYFUNCTION("""COMPUTED_VALUE"""),"17/01/2026")</f>
        <v>17/01/2026</v>
      </c>
      <c r="AZ1620" s="65"/>
      <c r="BA1620" s="65"/>
    </row>
    <row r="1621">
      <c r="A1621" s="65" t="str">
        <f>IFERROR(__xludf.DUMMYFUNCTION("""COMPUTED_VALUE"""),"27-03-2026")</f>
        <v>27-03-2026</v>
      </c>
      <c r="B1621" s="65">
        <f>IFERROR(__xludf.DUMMYFUNCTION("""COMPUTED_VALUE"""),4165894.0)</f>
        <v>4165894</v>
      </c>
      <c r="C1621" s="65" t="str">
        <f>IFERROR(__xludf.DUMMYFUNCTION("""COMPUTED_VALUE"""),"06:49")</f>
        <v>06:49</v>
      </c>
      <c r="D1621" s="65" t="str">
        <f>IFERROR(__xludf.DUMMYFUNCTION("""COMPUTED_VALUE"""),"16-01-2026")</f>
        <v>16-01-2026</v>
      </c>
      <c r="E1621" s="65" t="str">
        <f>IFERROR(__xludf.DUMMYFUNCTION("""COMPUTED_VALUE"""),"Sixto moran Avilés")</f>
        <v>Sixto moran Avilés</v>
      </c>
      <c r="F1621" s="65" t="str">
        <f>IFERROR(__xludf.DUMMYFUNCTION("""COMPUTED_VALUE"""),"939977797")</f>
        <v>939977797</v>
      </c>
      <c r="G1621" s="65" t="str">
        <f>IFERROR(__xludf.DUMMYFUNCTION("""COMPUTED_VALUE"""),"sixtomoranaviles@gmail.com")</f>
        <v>sixtomoranaviles@gmail.com</v>
      </c>
      <c r="H1621" s="65"/>
      <c r="I1621" s="65"/>
      <c r="J1621" s="65" t="str">
        <f>IFERROR(__xludf.DUMMYFUNCTION("""COMPUTED_VALUE"""),"186487425")</f>
        <v>186487425</v>
      </c>
      <c r="K1621" s="65" t="str">
        <f>IFERROR(__xludf.DUMMYFUNCTION("""COMPUTED_VALUE"""),"ENTREGADO")</f>
        <v>ENTREGADO</v>
      </c>
      <c r="L1621" s="65" t="str">
        <f>IFERROR(__xludf.DUMMYFUNCTION("""COMPUTED_VALUE"""),"CON RECAUDO")</f>
        <v>CON RECAUDO</v>
      </c>
      <c r="M1621" s="65" t="str">
        <f>IFERROR(__xludf.DUMMYFUNCTION("""COMPUTED_VALUE"""),"LOS RIOS")</f>
        <v>LOS RIOS</v>
      </c>
      <c r="N1621" s="65" t="str">
        <f>IFERROR(__xludf.DUMMYFUNCTION("""COMPUTED_VALUE"""),"CATARAMA")</f>
        <v>CATARAMA</v>
      </c>
      <c r="O1621" s="65" t="str">
        <f>IFERROR(__xludf.DUMMYFUNCTION("""COMPUTED_VALUE"""),"Adolfo Carvajal y Antonio Ampuero cantón Urdaneta -")</f>
        <v>Adolfo Carvajal y Antonio Ampuero cantón Urdaneta -</v>
      </c>
      <c r="P1621" s="65"/>
      <c r="Q1621" s="65" t="str">
        <f>IFERROR(__xludf.DUMMYFUNCTION("""COMPUTED_VALUE"""),"SERVIENTREGA")</f>
        <v>SERVIENTREGA</v>
      </c>
      <c r="R1621" s="65">
        <f>IFERROR(__xludf.DUMMYFUNCTION("""COMPUTED_VALUE"""),20.0)</f>
        <v>20</v>
      </c>
      <c r="S1621" s="65">
        <f>IFERROR(__xludf.DUMMYFUNCTION("""COMPUTED_VALUE"""),9.98)</f>
        <v>9.98</v>
      </c>
      <c r="T1621" s="65">
        <f>IFERROR(__xludf.DUMMYFUNCTION("""COMPUTED_VALUE"""),7.67)</f>
        <v>7.67</v>
      </c>
      <c r="U1621" s="65">
        <f>IFERROR(__xludf.DUMMYFUNCTION("""COMPUTED_VALUE"""),0.0)</f>
        <v>0</v>
      </c>
      <c r="V1621" s="65">
        <f>IFERROR(__xludf.DUMMYFUNCTION("""COMPUTED_VALUE"""),0.0)</f>
        <v>0</v>
      </c>
      <c r="W1621" s="65">
        <f>IFERROR(__xludf.DUMMYFUNCTION("""COMPUTED_VALUE"""),0.0)</f>
        <v>0</v>
      </c>
      <c r="X1621" s="65">
        <f>IFERROR(__xludf.DUMMYFUNCTION("""COMPUTED_VALUE"""),2.35)</f>
        <v>2.35</v>
      </c>
      <c r="Y1621" s="65">
        <f>IFERROR(__xludf.DUMMYFUNCTION("""COMPUTED_VALUE"""),2.35)</f>
        <v>2.35</v>
      </c>
      <c r="Z1621" s="65">
        <f>IFERROR(__xludf.DUMMYFUNCTION("""COMPUTED_VALUE"""),116679.0)</f>
        <v>116679</v>
      </c>
      <c r="AA1621" s="65" t="str">
        <f>IFERROR(__xludf.DUMMYFUNCTION("""COMPUTED_VALUE"""),"AMC-2738")</f>
        <v>AMC-2738</v>
      </c>
      <c r="AB1621" s="65"/>
      <c r="AC1621" s="65" t="str">
        <f>IFERROR(__xludf.DUMMYFUNCTION("""COMPUTED_VALUE"""),"ESPONJA ANTILLUVIA DE PARABRISAS")</f>
        <v>ESPONJA ANTILLUVIA DE PARABRISAS</v>
      </c>
      <c r="AD1621" s="65"/>
      <c r="AE1621" s="65">
        <f>IFERROR(__xludf.DUMMYFUNCTION("""COMPUTED_VALUE"""),1.0)</f>
        <v>1</v>
      </c>
      <c r="AF1621" s="65"/>
      <c r="AG1621" s="65"/>
      <c r="AH1621" s="65"/>
      <c r="AI1621" s="65"/>
      <c r="AJ1621" s="65"/>
      <c r="AK1621" s="65"/>
      <c r="AL1621" s="65"/>
      <c r="AM1621" s="65"/>
      <c r="AN1621" s="65" t="str">
        <f>IFERROR(__xludf.DUMMYFUNCTION("""COMPUTED_VALUE"""),"15:12")</f>
        <v>15:12</v>
      </c>
      <c r="AO1621" s="65" t="str">
        <f>IFERROR(__xludf.DUMMYFUNCTION("""COMPUTED_VALUE"""),"20-01-2026")</f>
        <v>20-01-2026</v>
      </c>
      <c r="AP1621" s="65" t="str">
        <f>IFERROR(__xludf.DUMMYFUNCTION("""COMPUTED_VALUE"""),"REPORTADO ENTREGADO EN AGENCIA")</f>
        <v>REPORTADO ENTREGADO EN AGENCIA</v>
      </c>
      <c r="AQ1621" s="65" t="str">
        <f>IFERROR(__xludf.DUMMYFUNCTION("""COMPUTED_VALUE"""),"SIXTO MORAN")</f>
        <v>SIXTO MORAN</v>
      </c>
      <c r="AR1621" s="65"/>
      <c r="AS1621" s="65"/>
      <c r="AT1621" s="65" t="str">
        <f>IFERROR(__xludf.DUMMYFUNCTION("""COMPUTED_VALUE"""),"SHOPIFY")</f>
        <v>SHOPIFY</v>
      </c>
      <c r="AU1621" s="65" t="str">
        <f>IFERROR(__xludf.DUMMYFUNCTION("""COMPUTED_VALUE"""),"IMPORTEX EC")</f>
        <v>IMPORTEX EC</v>
      </c>
      <c r="AV1621" s="65" t="str">
        <f>IFERROR(__xludf.DUMMYFUNCTION("""COMPUTED_VALUE"""),"6418618122284")</f>
        <v>6418618122284</v>
      </c>
      <c r="AW1621" s="65">
        <f>IFERROR(__xludf.DUMMYFUNCTION("""COMPUTED_VALUE"""),5322.0)</f>
        <v>5322</v>
      </c>
      <c r="AX1621" s="65"/>
      <c r="AY1621" s="65" t="str">
        <f>IFERROR(__xludf.DUMMYFUNCTION("""COMPUTED_VALUE"""),"17/01/2026")</f>
        <v>17/01/2026</v>
      </c>
      <c r="AZ1621" s="65"/>
      <c r="BA1621" s="65"/>
    </row>
    <row r="1622">
      <c r="A1622" s="65" t="str">
        <f>IFERROR(__xludf.DUMMYFUNCTION("""COMPUTED_VALUE"""),"27-03-2026")</f>
        <v>27-03-2026</v>
      </c>
      <c r="B1622" s="65">
        <f>IFERROR(__xludf.DUMMYFUNCTION("""COMPUTED_VALUE"""),4165858.0)</f>
        <v>4165858</v>
      </c>
      <c r="C1622" s="65" t="str">
        <f>IFERROR(__xludf.DUMMYFUNCTION("""COMPUTED_VALUE"""),"06:43")</f>
        <v>06:43</v>
      </c>
      <c r="D1622" s="65" t="str">
        <f>IFERROR(__xludf.DUMMYFUNCTION("""COMPUTED_VALUE"""),"16-01-2026")</f>
        <v>16-01-2026</v>
      </c>
      <c r="E1622" s="65" t="str">
        <f>IFERROR(__xludf.DUMMYFUNCTION("""COMPUTED_VALUE"""),"Andrea Estupiñan")</f>
        <v>Andrea Estupiñan</v>
      </c>
      <c r="F1622" s="65" t="str">
        <f>IFERROR(__xludf.DUMMYFUNCTION("""COMPUTED_VALUE"""),"958819414")</f>
        <v>958819414</v>
      </c>
      <c r="G1622" s="65" t="str">
        <f>IFERROR(__xludf.DUMMYFUNCTION("""COMPUTED_VALUE"""),"candemily63@gmail.com")</f>
        <v>candemily63@gmail.com</v>
      </c>
      <c r="H1622" s="65"/>
      <c r="I1622" s="65"/>
      <c r="J1622" s="65" t="str">
        <f>IFERROR(__xludf.DUMMYFUNCTION("""COMPUTED_VALUE"""),"D001233678")</f>
        <v>D001233678</v>
      </c>
      <c r="K1622" s="65" t="str">
        <f>IFERROR(__xludf.DUMMYFUNCTION("""COMPUTED_VALUE"""),"ENTREGADO")</f>
        <v>ENTREGADO</v>
      </c>
      <c r="L1622" s="65" t="str">
        <f>IFERROR(__xludf.DUMMYFUNCTION("""COMPUTED_VALUE"""),"CON RECAUDO")</f>
        <v>CON RECAUDO</v>
      </c>
      <c r="M1622" s="65" t="str">
        <f>IFERROR(__xludf.DUMMYFUNCTION("""COMPUTED_VALUE"""),"PICHINCHA")</f>
        <v>PICHINCHA</v>
      </c>
      <c r="N1622" s="65" t="str">
        <f>IFERROR(__xludf.DUMMYFUNCTION("""COMPUTED_VALUE"""),"QUITO")</f>
        <v>QUITO</v>
      </c>
      <c r="O1622" s="65" t="str">
        <f>IFERROR(__xludf.DUMMYFUNCTION("""COMPUTED_VALUE"""),"Machala Y Pasaje Miguel ángel Canchas Quiton Norte -")</f>
        <v>Machala Y Pasaje Miguel ángel Canchas Quiton Norte -</v>
      </c>
      <c r="P1622" s="65"/>
      <c r="Q1622" s="65" t="str">
        <f>IFERROR(__xludf.DUMMYFUNCTION("""COMPUTED_VALUE"""),"GINTRACOM")</f>
        <v>GINTRACOM</v>
      </c>
      <c r="R1622" s="65">
        <f>IFERROR(__xludf.DUMMYFUNCTION("""COMPUTED_VALUE"""),22.0)</f>
        <v>22</v>
      </c>
      <c r="S1622" s="65">
        <f>IFERROR(__xludf.DUMMYFUNCTION("""COMPUTED_VALUE"""),10.96)</f>
        <v>10.96</v>
      </c>
      <c r="T1622" s="65">
        <f>IFERROR(__xludf.DUMMYFUNCTION("""COMPUTED_VALUE"""),5.84)</f>
        <v>5.84</v>
      </c>
      <c r="U1622" s="65">
        <f>IFERROR(__xludf.DUMMYFUNCTION("""COMPUTED_VALUE"""),0.0)</f>
        <v>0</v>
      </c>
      <c r="V1622" s="65">
        <f>IFERROR(__xludf.DUMMYFUNCTION("""COMPUTED_VALUE"""),0.0)</f>
        <v>0</v>
      </c>
      <c r="W1622" s="65">
        <f>IFERROR(__xludf.DUMMYFUNCTION("""COMPUTED_VALUE"""),0.0)</f>
        <v>0</v>
      </c>
      <c r="X1622" s="65">
        <f>IFERROR(__xludf.DUMMYFUNCTION("""COMPUTED_VALUE"""),2.6)</f>
        <v>2.6</v>
      </c>
      <c r="Y1622" s="65">
        <f>IFERROR(__xludf.DUMMYFUNCTION("""COMPUTED_VALUE"""),5.2)</f>
        <v>5.2</v>
      </c>
      <c r="Z1622" s="65">
        <f>IFERROR(__xludf.DUMMYFUNCTION("""COMPUTED_VALUE"""),121983.0)</f>
        <v>121983</v>
      </c>
      <c r="AA1622" s="65" t="str">
        <f>IFERROR(__xludf.DUMMYFUNCTION("""COMPUTED_VALUE"""),"PROV-CHLLCF")</f>
        <v>PROV-CHLLCF</v>
      </c>
      <c r="AB1622" s="65"/>
      <c r="AC1622" s="65" t="str">
        <f>IFERROR(__xludf.DUMMYFUNCTION("""COMPUTED_VALUE"""),"CUCHILLO PARA CHEF")</f>
        <v>CUCHILLO PARA CHEF</v>
      </c>
      <c r="AD1622" s="65"/>
      <c r="AE1622" s="65">
        <f>IFERROR(__xludf.DUMMYFUNCTION("""COMPUTED_VALUE"""),2.0)</f>
        <v>2</v>
      </c>
      <c r="AF1622" s="65"/>
      <c r="AG1622" s="65"/>
      <c r="AH1622" s="65"/>
      <c r="AI1622" s="65"/>
      <c r="AJ1622" s="65"/>
      <c r="AK1622" s="65"/>
      <c r="AL1622" s="65"/>
      <c r="AM1622" s="65"/>
      <c r="AN1622" s="65" t="str">
        <f>IFERROR(__xludf.DUMMYFUNCTION("""COMPUTED_VALUE"""),"12:48")</f>
        <v>12:48</v>
      </c>
      <c r="AO1622" s="65" t="str">
        <f>IFERROR(__xludf.DUMMYFUNCTION("""COMPUTED_VALUE"""),"19-01-2026")</f>
        <v>19-01-2026</v>
      </c>
      <c r="AP1622" s="65" t="str">
        <f>IFERROR(__xludf.DUMMYFUNCTION("""COMPUTED_VALUE"""),"ENTREGADA GINTRACOM")</f>
        <v>ENTREGADA GINTRACOM</v>
      </c>
      <c r="AQ1622" s="65" t="str">
        <f>IFERROR(__xludf.DUMMYFUNCTION("""COMPUTED_VALUE"""),"ENTREGADA GINTRACOM")</f>
        <v>ENTREGADA GINTRACOM</v>
      </c>
      <c r="AR1622" s="65"/>
      <c r="AS1622" s="65"/>
      <c r="AT1622" s="65" t="str">
        <f>IFERROR(__xludf.DUMMYFUNCTION("""COMPUTED_VALUE"""),"SHOPIFY")</f>
        <v>SHOPIFY</v>
      </c>
      <c r="AU1622" s="65" t="str">
        <f>IFERROR(__xludf.DUMMYFUNCTION("""COMPUTED_VALUE"""),"IMPORTEX EC")</f>
        <v>IMPORTEX EC</v>
      </c>
      <c r="AV1622" s="65" t="str">
        <f>IFERROR(__xludf.DUMMYFUNCTION("""COMPUTED_VALUE"""),"6418613338156")</f>
        <v>6418613338156</v>
      </c>
      <c r="AW1622" s="65">
        <f>IFERROR(__xludf.DUMMYFUNCTION("""COMPUTED_VALUE"""),5321.0)</f>
        <v>5321</v>
      </c>
      <c r="AX1622" s="65"/>
      <c r="AY1622" s="65" t="str">
        <f>IFERROR(__xludf.DUMMYFUNCTION("""COMPUTED_VALUE"""),"17/01/2026")</f>
        <v>17/01/2026</v>
      </c>
      <c r="AZ1622" s="65"/>
      <c r="BA1622" s="65"/>
    </row>
    <row r="1623">
      <c r="A1623" s="65" t="str">
        <f>IFERROR(__xludf.DUMMYFUNCTION("""COMPUTED_VALUE"""),"27-03-2026")</f>
        <v>27-03-2026</v>
      </c>
      <c r="B1623" s="65">
        <f>IFERROR(__xludf.DUMMYFUNCTION("""COMPUTED_VALUE"""),4165797.0)</f>
        <v>4165797</v>
      </c>
      <c r="C1623" s="65" t="str">
        <f>IFERROR(__xludf.DUMMYFUNCTION("""COMPUTED_VALUE"""),"06:32")</f>
        <v>06:32</v>
      </c>
      <c r="D1623" s="65" t="str">
        <f>IFERROR(__xludf.DUMMYFUNCTION("""COMPUTED_VALUE"""),"16-01-2026")</f>
        <v>16-01-2026</v>
      </c>
      <c r="E1623" s="65" t="str">
        <f>IFERROR(__xludf.DUMMYFUNCTION("""COMPUTED_VALUE"""),"Klever Miguel Torres Arcos")</f>
        <v>Klever Miguel Torres Arcos</v>
      </c>
      <c r="F1623" s="65" t="str">
        <f>IFERROR(__xludf.DUMMYFUNCTION("""COMPUTED_VALUE"""),"995206602")</f>
        <v>995206602</v>
      </c>
      <c r="G1623" s="65" t="str">
        <f>IFERROR(__xludf.DUMMYFUNCTION("""COMPUTED_VALUE"""),"octopusautospa79@gmail.com")</f>
        <v>octopusautospa79@gmail.com</v>
      </c>
      <c r="H1623" s="65"/>
      <c r="I1623" s="65"/>
      <c r="J1623" s="65" t="str">
        <f>IFERROR(__xludf.DUMMYFUNCTION("""COMPUTED_VALUE"""),"D001233681")</f>
        <v>D001233681</v>
      </c>
      <c r="K1623" s="65" t="str">
        <f>IFERROR(__xludf.DUMMYFUNCTION("""COMPUTED_VALUE"""),"ENTREGADO")</f>
        <v>ENTREGADO</v>
      </c>
      <c r="L1623" s="65" t="str">
        <f>IFERROR(__xludf.DUMMYFUNCTION("""COMPUTED_VALUE"""),"CON RECAUDO")</f>
        <v>CON RECAUDO</v>
      </c>
      <c r="M1623" s="65" t="str">
        <f>IFERROR(__xludf.DUMMYFUNCTION("""COMPUTED_VALUE"""),"TUNGURAHUA")</f>
        <v>TUNGURAHUA</v>
      </c>
      <c r="N1623" s="65" t="str">
        <f>IFERROR(__xludf.DUMMYFUNCTION("""COMPUTED_VALUE"""),"AMBATO")</f>
        <v>AMBATO</v>
      </c>
      <c r="O1623" s="65" t="str">
        <f>IFERROR(__xludf.DUMMYFUNCTION("""COMPUTED_VALUE"""),"Manuelita saenz y Nebrija esquina Lavadora  de autos Octopus auto spa -")</f>
        <v>Manuelita saenz y Nebrija esquina Lavadora  de autos Octopus auto spa -</v>
      </c>
      <c r="P1623" s="65"/>
      <c r="Q1623" s="65" t="str">
        <f>IFERROR(__xludf.DUMMYFUNCTION("""COMPUTED_VALUE"""),"GINTRACOM")</f>
        <v>GINTRACOM</v>
      </c>
      <c r="R1623" s="65">
        <f>IFERROR(__xludf.DUMMYFUNCTION("""COMPUTED_VALUE"""),22.0)</f>
        <v>22</v>
      </c>
      <c r="S1623" s="65">
        <f>IFERROR(__xludf.DUMMYFUNCTION("""COMPUTED_VALUE"""),10.96)</f>
        <v>10.96</v>
      </c>
      <c r="T1623" s="65">
        <f>IFERROR(__xludf.DUMMYFUNCTION("""COMPUTED_VALUE"""),5.84)</f>
        <v>5.84</v>
      </c>
      <c r="U1623" s="65">
        <f>IFERROR(__xludf.DUMMYFUNCTION("""COMPUTED_VALUE"""),0.0)</f>
        <v>0</v>
      </c>
      <c r="V1623" s="65">
        <f>IFERROR(__xludf.DUMMYFUNCTION("""COMPUTED_VALUE"""),0.0)</f>
        <v>0</v>
      </c>
      <c r="W1623" s="65">
        <f>IFERROR(__xludf.DUMMYFUNCTION("""COMPUTED_VALUE"""),0.0)</f>
        <v>0</v>
      </c>
      <c r="X1623" s="65">
        <f>IFERROR(__xludf.DUMMYFUNCTION("""COMPUTED_VALUE"""),2.6)</f>
        <v>2.6</v>
      </c>
      <c r="Y1623" s="65">
        <f>IFERROR(__xludf.DUMMYFUNCTION("""COMPUTED_VALUE"""),5.2)</f>
        <v>5.2</v>
      </c>
      <c r="Z1623" s="65">
        <f>IFERROR(__xludf.DUMMYFUNCTION("""COMPUTED_VALUE"""),121983.0)</f>
        <v>121983</v>
      </c>
      <c r="AA1623" s="65" t="str">
        <f>IFERROR(__xludf.DUMMYFUNCTION("""COMPUTED_VALUE"""),"PROV-CHLLCF")</f>
        <v>PROV-CHLLCF</v>
      </c>
      <c r="AB1623" s="65"/>
      <c r="AC1623" s="65" t="str">
        <f>IFERROR(__xludf.DUMMYFUNCTION("""COMPUTED_VALUE"""),"CUCHILLO PARA CHEF")</f>
        <v>CUCHILLO PARA CHEF</v>
      </c>
      <c r="AD1623" s="65"/>
      <c r="AE1623" s="65">
        <f>IFERROR(__xludf.DUMMYFUNCTION("""COMPUTED_VALUE"""),2.0)</f>
        <v>2</v>
      </c>
      <c r="AF1623" s="65"/>
      <c r="AG1623" s="65"/>
      <c r="AH1623" s="65"/>
      <c r="AI1623" s="65"/>
      <c r="AJ1623" s="65"/>
      <c r="AK1623" s="65"/>
      <c r="AL1623" s="65"/>
      <c r="AM1623" s="65"/>
      <c r="AN1623" s="65" t="str">
        <f>IFERROR(__xludf.DUMMYFUNCTION("""COMPUTED_VALUE"""),"11:38")</f>
        <v>11:38</v>
      </c>
      <c r="AO1623" s="65" t="str">
        <f>IFERROR(__xludf.DUMMYFUNCTION("""COMPUTED_VALUE"""),"19-01-2026")</f>
        <v>19-01-2026</v>
      </c>
      <c r="AP1623" s="65" t="str">
        <f>IFERROR(__xludf.DUMMYFUNCTION("""COMPUTED_VALUE"""),"ENTREGADA GINTRACOM")</f>
        <v>ENTREGADA GINTRACOM</v>
      </c>
      <c r="AQ1623" s="65" t="str">
        <f>IFERROR(__xludf.DUMMYFUNCTION("""COMPUTED_VALUE"""),"ENTREGADA GINTRACOM")</f>
        <v>ENTREGADA GINTRACOM</v>
      </c>
      <c r="AR1623" s="65"/>
      <c r="AS1623" s="65"/>
      <c r="AT1623" s="65" t="str">
        <f>IFERROR(__xludf.DUMMYFUNCTION("""COMPUTED_VALUE"""),"SHOPIFY")</f>
        <v>SHOPIFY</v>
      </c>
      <c r="AU1623" s="65" t="str">
        <f>IFERROR(__xludf.DUMMYFUNCTION("""COMPUTED_VALUE"""),"IMPORTEX EC")</f>
        <v>IMPORTEX EC</v>
      </c>
      <c r="AV1623" s="65" t="str">
        <f>IFERROR(__xludf.DUMMYFUNCTION("""COMPUTED_VALUE"""),"6418603180076")</f>
        <v>6418603180076</v>
      </c>
      <c r="AW1623" s="65">
        <f>IFERROR(__xludf.DUMMYFUNCTION("""COMPUTED_VALUE"""),5320.0)</f>
        <v>5320</v>
      </c>
      <c r="AX1623" s="65"/>
      <c r="AY1623" s="65" t="str">
        <f>IFERROR(__xludf.DUMMYFUNCTION("""COMPUTED_VALUE"""),"17/01/2026")</f>
        <v>17/01/2026</v>
      </c>
      <c r="AZ1623" s="65"/>
      <c r="BA1623" s="65"/>
    </row>
    <row r="1624">
      <c r="A1624" s="65" t="str">
        <f>IFERROR(__xludf.DUMMYFUNCTION("""COMPUTED_VALUE"""),"27-03-2026")</f>
        <v>27-03-2026</v>
      </c>
      <c r="B1624" s="65">
        <f>IFERROR(__xludf.DUMMYFUNCTION("""COMPUTED_VALUE"""),4165783.0)</f>
        <v>4165783</v>
      </c>
      <c r="C1624" s="65" t="str">
        <f>IFERROR(__xludf.DUMMYFUNCTION("""COMPUTED_VALUE"""),"06:29")</f>
        <v>06:29</v>
      </c>
      <c r="D1624" s="65" t="str">
        <f>IFERROR(__xludf.DUMMYFUNCTION("""COMPUTED_VALUE"""),"16-01-2026")</f>
        <v>16-01-2026</v>
      </c>
      <c r="E1624" s="65" t="str">
        <f>IFERROR(__xludf.DUMMYFUNCTION("""COMPUTED_VALUE"""),"Lenin Quintero")</f>
        <v>Lenin Quintero</v>
      </c>
      <c r="F1624" s="65" t="str">
        <f>IFERROR(__xludf.DUMMYFUNCTION("""COMPUTED_VALUE"""),"979228726")</f>
        <v>979228726</v>
      </c>
      <c r="G1624" s="65" t="str">
        <f>IFERROR(__xludf.DUMMYFUNCTION("""COMPUTED_VALUE"""),"drleninquintero1976@gmail.com")</f>
        <v>drleninquintero1976@gmail.com</v>
      </c>
      <c r="H1624" s="65"/>
      <c r="I1624" s="65"/>
      <c r="J1624" s="65" t="str">
        <f>IFERROR(__xludf.DUMMYFUNCTION("""COMPUTED_VALUE"""),"D001234306")</f>
        <v>D001234306</v>
      </c>
      <c r="K1624" s="65" t="str">
        <f>IFERROR(__xludf.DUMMYFUNCTION("""COMPUTED_VALUE"""),"ENTREGADO")</f>
        <v>ENTREGADO</v>
      </c>
      <c r="L1624" s="65" t="str">
        <f>IFERROR(__xludf.DUMMYFUNCTION("""COMPUTED_VALUE"""),"CON RECAUDO")</f>
        <v>CON RECAUDO</v>
      </c>
      <c r="M1624" s="65" t="str">
        <f>IFERROR(__xludf.DUMMYFUNCTION("""COMPUTED_VALUE"""),"GUAYAS")</f>
        <v>GUAYAS</v>
      </c>
      <c r="N1624" s="65" t="str">
        <f>IFERROR(__xludf.DUMMYFUNCTION("""COMPUTED_VALUE"""),"GUAYAQUIL")</f>
        <v>GUAYAQUIL</v>
      </c>
      <c r="O1624" s="65" t="str">
        <f>IFERROR(__xludf.DUMMYFUNCTION("""COMPUTED_VALUE"""),"Dátiles.. Dátiles y guayacanes 508 -")</f>
        <v>Dátiles.. Dátiles y guayacanes 508 -</v>
      </c>
      <c r="P1624" s="65"/>
      <c r="Q1624" s="65" t="str">
        <f>IFERROR(__xludf.DUMMYFUNCTION("""COMPUTED_VALUE"""),"GINTRACOM")</f>
        <v>GINTRACOM</v>
      </c>
      <c r="R1624" s="65">
        <f>IFERROR(__xludf.DUMMYFUNCTION("""COMPUTED_VALUE"""),25.0)</f>
        <v>25</v>
      </c>
      <c r="S1624" s="65">
        <f>IFERROR(__xludf.DUMMYFUNCTION("""COMPUTED_VALUE"""),14.34)</f>
        <v>14.34</v>
      </c>
      <c r="T1624" s="65">
        <f>IFERROR(__xludf.DUMMYFUNCTION("""COMPUTED_VALUE"""),5.96)</f>
        <v>5.96</v>
      </c>
      <c r="U1624" s="65">
        <f>IFERROR(__xludf.DUMMYFUNCTION("""COMPUTED_VALUE"""),0.0)</f>
        <v>0</v>
      </c>
      <c r="V1624" s="65">
        <f>IFERROR(__xludf.DUMMYFUNCTION("""COMPUTED_VALUE"""),0.0)</f>
        <v>0</v>
      </c>
      <c r="W1624" s="65">
        <f>IFERROR(__xludf.DUMMYFUNCTION("""COMPUTED_VALUE"""),0.0)</f>
        <v>0</v>
      </c>
      <c r="X1624" s="65">
        <f>IFERROR(__xludf.DUMMYFUNCTION("""COMPUTED_VALUE"""),2.35)</f>
        <v>2.35</v>
      </c>
      <c r="Y1624" s="65">
        <f>IFERROR(__xludf.DUMMYFUNCTION("""COMPUTED_VALUE"""),4.7)</f>
        <v>4.7</v>
      </c>
      <c r="Z1624" s="65">
        <f>IFERROR(__xludf.DUMMYFUNCTION("""COMPUTED_VALUE"""),116679.0)</f>
        <v>116679</v>
      </c>
      <c r="AA1624" s="65" t="str">
        <f>IFERROR(__xludf.DUMMYFUNCTION("""COMPUTED_VALUE"""),"AMC-2738")</f>
        <v>AMC-2738</v>
      </c>
      <c r="AB1624" s="65"/>
      <c r="AC1624" s="65" t="str">
        <f>IFERROR(__xludf.DUMMYFUNCTION("""COMPUTED_VALUE"""),"ESPONJA ANTILLUVIA DE PARABRISAS")</f>
        <v>ESPONJA ANTILLUVIA DE PARABRISAS</v>
      </c>
      <c r="AD1624" s="65"/>
      <c r="AE1624" s="65">
        <f>IFERROR(__xludf.DUMMYFUNCTION("""COMPUTED_VALUE"""),2.0)</f>
        <v>2</v>
      </c>
      <c r="AF1624" s="65" t="str">
        <f>IFERROR(__xludf.DUMMYFUNCTION("""COMPUTED_VALUE"""),"DESTINATARIO NO CONTESTA LLAMADAS NI WHATSAPP")</f>
        <v>DESTINATARIO NO CONTESTA LLAMADAS NI WHATSAPP</v>
      </c>
      <c r="AG1624" s="65" t="str">
        <f>IFERROR(__xludf.DUMMYFUNCTION("""COMPUTED_VALUE"""),"SI")</f>
        <v>SI</v>
      </c>
      <c r="AH1624" s="65" t="str">
        <f>IFERROR(__xludf.DUMMYFUNCTION("""COMPUTED_VALUE"""),"15:16")</f>
        <v>15:16</v>
      </c>
      <c r="AI1624" s="65" t="str">
        <f>IFERROR(__xludf.DUMMYFUNCTION("""COMPUTED_VALUE"""),"21-01-2026")</f>
        <v>21-01-2026</v>
      </c>
      <c r="AJ1624" s="65"/>
      <c r="AK1624" s="65"/>
      <c r="AL1624" s="65"/>
      <c r="AM1624" s="65"/>
      <c r="AN1624" s="65" t="str">
        <f>IFERROR(__xludf.DUMMYFUNCTION("""COMPUTED_VALUE"""),"07:52")</f>
        <v>07:52</v>
      </c>
      <c r="AO1624" s="65" t="str">
        <f>IFERROR(__xludf.DUMMYFUNCTION("""COMPUTED_VALUE"""),"22-01-2026")</f>
        <v>22-01-2026</v>
      </c>
      <c r="AP1624" s="65" t="str">
        <f>IFERROR(__xludf.DUMMYFUNCTION("""COMPUTED_VALUE"""),"EN REPARTO")</f>
        <v>EN REPARTO</v>
      </c>
      <c r="AQ1624" s="65" t="str">
        <f>IFERROR(__xludf.DUMMYFUNCTION("""COMPUTED_VALUE"""),"EN REPARTO")</f>
        <v>EN REPARTO</v>
      </c>
      <c r="AR1624" s="65"/>
      <c r="AS1624" s="65"/>
      <c r="AT1624" s="65" t="str">
        <f>IFERROR(__xludf.DUMMYFUNCTION("""COMPUTED_VALUE"""),"SHOPIFY")</f>
        <v>SHOPIFY</v>
      </c>
      <c r="AU1624" s="65" t="str">
        <f>IFERROR(__xludf.DUMMYFUNCTION("""COMPUTED_VALUE"""),"IMPORTEX EC")</f>
        <v>IMPORTEX EC</v>
      </c>
      <c r="AV1624" s="65" t="str">
        <f>IFERROR(__xludf.DUMMYFUNCTION("""COMPUTED_VALUE"""),"6418599673900")</f>
        <v>6418599673900</v>
      </c>
      <c r="AW1624" s="65">
        <f>IFERROR(__xludf.DUMMYFUNCTION("""COMPUTED_VALUE"""),5319.0)</f>
        <v>5319</v>
      </c>
      <c r="AX1624" s="65"/>
      <c r="AY1624" s="65" t="str">
        <f>IFERROR(__xludf.DUMMYFUNCTION("""COMPUTED_VALUE"""),"17/01/2026")</f>
        <v>17/01/2026</v>
      </c>
      <c r="AZ1624" s="65"/>
      <c r="BA1624" s="65"/>
    </row>
    <row r="1625">
      <c r="A1625" s="65" t="str">
        <f>IFERROR(__xludf.DUMMYFUNCTION("""COMPUTED_VALUE"""),"27-03-2026")</f>
        <v>27-03-2026</v>
      </c>
      <c r="B1625" s="65">
        <f>IFERROR(__xludf.DUMMYFUNCTION("""COMPUTED_VALUE"""),4165725.0)</f>
        <v>4165725</v>
      </c>
      <c r="C1625" s="65" t="str">
        <f>IFERROR(__xludf.DUMMYFUNCTION("""COMPUTED_VALUE"""),"06:17")</f>
        <v>06:17</v>
      </c>
      <c r="D1625" s="65" t="str">
        <f>IFERROR(__xludf.DUMMYFUNCTION("""COMPUTED_VALUE"""),"16-01-2026")</f>
        <v>16-01-2026</v>
      </c>
      <c r="E1625" s="65" t="str">
        <f>IFERROR(__xludf.DUMMYFUNCTION("""COMPUTED_VALUE"""),"David Salguero")</f>
        <v>David Salguero</v>
      </c>
      <c r="F1625" s="65" t="str">
        <f>IFERROR(__xludf.DUMMYFUNCTION("""COMPUTED_VALUE"""),"998541848")</f>
        <v>998541848</v>
      </c>
      <c r="G1625" s="65" t="str">
        <f>IFERROR(__xludf.DUMMYFUNCTION("""COMPUTED_VALUE"""),"david_salguero18@hotmail.com")</f>
        <v>david_salguero18@hotmail.com</v>
      </c>
      <c r="H1625" s="65"/>
      <c r="I1625" s="65"/>
      <c r="J1625" s="65"/>
      <c r="K1625" s="65" t="str">
        <f>IFERROR(__xludf.DUMMYFUNCTION("""COMPUTED_VALUE"""),"PENDIENTE CONFIRMACION")</f>
        <v>PENDIENTE CONFIRMACION</v>
      </c>
      <c r="L1625" s="65" t="str">
        <f>IFERROR(__xludf.DUMMYFUNCTION("""COMPUTED_VALUE"""),"CON RECAUDO")</f>
        <v>CON RECAUDO</v>
      </c>
      <c r="M1625" s="65" t="str">
        <f>IFERROR(__xludf.DUMMYFUNCTION("""COMPUTED_VALUE"""),"PICHINCHA")</f>
        <v>PICHINCHA</v>
      </c>
      <c r="N1625" s="65" t="str">
        <f>IFERROR(__xludf.DUMMYFUNCTION("""COMPUTED_VALUE"""),"QUITO")</f>
        <v>QUITO</v>
      </c>
      <c r="O1625" s="65" t="str">
        <f>IFERROR(__xludf.DUMMYFUNCTION("""COMPUTED_VALUE"""),"Av. Occidental y Jose Sanchez ANT - al lado de primax gas -")</f>
        <v>Av. Occidental y Jose Sanchez ANT - al lado de primax gas -</v>
      </c>
      <c r="P1625" s="65"/>
      <c r="Q1625" s="65" t="str">
        <f>IFERROR(__xludf.DUMMYFUNCTION("""COMPUTED_VALUE"""),"GINTRACOM")</f>
        <v>GINTRACOM</v>
      </c>
      <c r="R1625" s="65">
        <f>IFERROR(__xludf.DUMMYFUNCTION("""COMPUTED_VALUE"""),30.0)</f>
        <v>30</v>
      </c>
      <c r="S1625" s="65"/>
      <c r="T1625" s="65">
        <f>IFERROR(__xludf.DUMMYFUNCTION("""COMPUTED_VALUE"""),4.55)</f>
        <v>4.55</v>
      </c>
      <c r="U1625" s="65">
        <f>IFERROR(__xludf.DUMMYFUNCTION("""COMPUTED_VALUE"""),0.0)</f>
        <v>0</v>
      </c>
      <c r="V1625" s="65">
        <f>IFERROR(__xludf.DUMMYFUNCTION("""COMPUTED_VALUE"""),0.0)</f>
        <v>0</v>
      </c>
      <c r="W1625" s="65">
        <f>IFERROR(__xludf.DUMMYFUNCTION("""COMPUTED_VALUE"""),0.0)</f>
        <v>0</v>
      </c>
      <c r="X1625" s="65">
        <f>IFERROR(__xludf.DUMMYFUNCTION("""COMPUTED_VALUE"""),2.35)</f>
        <v>2.35</v>
      </c>
      <c r="Y1625" s="65">
        <f>IFERROR(__xludf.DUMMYFUNCTION("""COMPUTED_VALUE"""),7.05)</f>
        <v>7.05</v>
      </c>
      <c r="Z1625" s="65">
        <f>IFERROR(__xludf.DUMMYFUNCTION("""COMPUTED_VALUE"""),116679.0)</f>
        <v>116679</v>
      </c>
      <c r="AA1625" s="65" t="str">
        <f>IFERROR(__xludf.DUMMYFUNCTION("""COMPUTED_VALUE"""),"AMC-2738")</f>
        <v>AMC-2738</v>
      </c>
      <c r="AB1625" s="65"/>
      <c r="AC1625" s="65" t="str">
        <f>IFERROR(__xludf.DUMMYFUNCTION("""COMPUTED_VALUE"""),"ESPONJA ANTILLUVIA DE PARABRISAS")</f>
        <v>ESPONJA ANTILLUVIA DE PARABRISAS</v>
      </c>
      <c r="AD1625" s="65"/>
      <c r="AE1625" s="65">
        <f>IFERROR(__xludf.DUMMYFUNCTION("""COMPUTED_VALUE"""),3.0)</f>
        <v>3</v>
      </c>
      <c r="AF1625" s="65"/>
      <c r="AG1625" s="65"/>
      <c r="AH1625" s="65"/>
      <c r="AI1625" s="65"/>
      <c r="AJ1625" s="65"/>
      <c r="AK1625" s="65"/>
      <c r="AL1625" s="65"/>
      <c r="AM1625" s="65"/>
      <c r="AN1625" s="65"/>
      <c r="AO1625" s="65"/>
      <c r="AP1625" s="65"/>
      <c r="AQ1625" s="65"/>
      <c r="AR1625" s="65"/>
      <c r="AS1625" s="65"/>
      <c r="AT1625" s="65" t="str">
        <f>IFERROR(__xludf.DUMMYFUNCTION("""COMPUTED_VALUE"""),"SHOPIFY")</f>
        <v>SHOPIFY</v>
      </c>
      <c r="AU1625" s="65" t="str">
        <f>IFERROR(__xludf.DUMMYFUNCTION("""COMPUTED_VALUE"""),"IMPORTEX EC")</f>
        <v>IMPORTEX EC</v>
      </c>
      <c r="AV1625" s="65" t="str">
        <f>IFERROR(__xludf.DUMMYFUNCTION("""COMPUTED_VALUE"""),"6418589679660")</f>
        <v>6418589679660</v>
      </c>
      <c r="AW1625" s="65">
        <f>IFERROR(__xludf.DUMMYFUNCTION("""COMPUTED_VALUE"""),5318.0)</f>
        <v>5318</v>
      </c>
      <c r="AX1625" s="65"/>
      <c r="AY1625" s="65"/>
      <c r="AZ1625" s="65"/>
      <c r="BA1625" s="65"/>
    </row>
    <row r="1626">
      <c r="A1626" s="65" t="str">
        <f>IFERROR(__xludf.DUMMYFUNCTION("""COMPUTED_VALUE"""),"27-03-2026")</f>
        <v>27-03-2026</v>
      </c>
      <c r="B1626" s="65">
        <f>IFERROR(__xludf.DUMMYFUNCTION("""COMPUTED_VALUE"""),4165556.0)</f>
        <v>4165556</v>
      </c>
      <c r="C1626" s="65" t="str">
        <f>IFERROR(__xludf.DUMMYFUNCTION("""COMPUTED_VALUE"""),"05:27")</f>
        <v>05:27</v>
      </c>
      <c r="D1626" s="65" t="str">
        <f>IFERROR(__xludf.DUMMYFUNCTION("""COMPUTED_VALUE"""),"16-01-2026")</f>
        <v>16-01-2026</v>
      </c>
      <c r="E1626" s="65" t="str">
        <f>IFERROR(__xludf.DUMMYFUNCTION("""COMPUTED_VALUE"""),"Felipe Llanos Alarcon")</f>
        <v>Felipe Llanos Alarcon</v>
      </c>
      <c r="F1626" s="65" t="str">
        <f>IFERROR(__xludf.DUMMYFUNCTION("""COMPUTED_VALUE"""),"990818870")</f>
        <v>990818870</v>
      </c>
      <c r="G1626" s="65" t="str">
        <f>IFERROR(__xludf.DUMMYFUNCTION("""COMPUTED_VALUE"""),"fk23232@hotmail.com")</f>
        <v>fk23232@hotmail.com</v>
      </c>
      <c r="H1626" s="65"/>
      <c r="I1626" s="65"/>
      <c r="J1626" s="65" t="str">
        <f>IFERROR(__xludf.DUMMYFUNCTION("""COMPUTED_VALUE"""),"D001234341")</f>
        <v>D001234341</v>
      </c>
      <c r="K1626" s="65" t="str">
        <f>IFERROR(__xludf.DUMMYFUNCTION("""COMPUTED_VALUE"""),"ENTREGADO")</f>
        <v>ENTREGADO</v>
      </c>
      <c r="L1626" s="65" t="str">
        <f>IFERROR(__xludf.DUMMYFUNCTION("""COMPUTED_VALUE"""),"CON RECAUDO")</f>
        <v>CON RECAUDO</v>
      </c>
      <c r="M1626" s="65" t="str">
        <f>IFERROR(__xludf.DUMMYFUNCTION("""COMPUTED_VALUE"""),"GUAYAS")</f>
        <v>GUAYAS</v>
      </c>
      <c r="N1626" s="65" t="str">
        <f>IFERROR(__xludf.DUMMYFUNCTION("""COMPUTED_VALUE"""),"GUAYAQUIL")</f>
        <v>GUAYAQUIL</v>
      </c>
      <c r="O1626" s="65" t="str">
        <f>IFERROR(__xludf.DUMMYFUNCTION("""COMPUTED_VALUE"""),"Av juan tanca marengo Frente al colegio americano hospital día norte tarqui iess -")</f>
        <v>Av juan tanca marengo Frente al colegio americano hospital día norte tarqui iess -</v>
      </c>
      <c r="P1626" s="65"/>
      <c r="Q1626" s="65" t="str">
        <f>IFERROR(__xludf.DUMMYFUNCTION("""COMPUTED_VALUE"""),"GINTRACOM")</f>
        <v>GINTRACOM</v>
      </c>
      <c r="R1626" s="65">
        <f>IFERROR(__xludf.DUMMYFUNCTION("""COMPUTED_VALUE"""),20.0)</f>
        <v>20</v>
      </c>
      <c r="S1626" s="65">
        <f>IFERROR(__xludf.DUMMYFUNCTION("""COMPUTED_VALUE"""),11.89)</f>
        <v>11.89</v>
      </c>
      <c r="T1626" s="65">
        <f>IFERROR(__xludf.DUMMYFUNCTION("""COMPUTED_VALUE"""),5.76)</f>
        <v>5.76</v>
      </c>
      <c r="U1626" s="65">
        <f>IFERROR(__xludf.DUMMYFUNCTION("""COMPUTED_VALUE"""),0.0)</f>
        <v>0</v>
      </c>
      <c r="V1626" s="65">
        <f>IFERROR(__xludf.DUMMYFUNCTION("""COMPUTED_VALUE"""),0.0)</f>
        <v>0</v>
      </c>
      <c r="W1626" s="65">
        <f>IFERROR(__xludf.DUMMYFUNCTION("""COMPUTED_VALUE"""),0.0)</f>
        <v>0</v>
      </c>
      <c r="X1626" s="65">
        <f>IFERROR(__xludf.DUMMYFUNCTION("""COMPUTED_VALUE"""),2.35)</f>
        <v>2.35</v>
      </c>
      <c r="Y1626" s="65">
        <f>IFERROR(__xludf.DUMMYFUNCTION("""COMPUTED_VALUE"""),2.35)</f>
        <v>2.35</v>
      </c>
      <c r="Z1626" s="65">
        <f>IFERROR(__xludf.DUMMYFUNCTION("""COMPUTED_VALUE"""),116679.0)</f>
        <v>116679</v>
      </c>
      <c r="AA1626" s="65" t="str">
        <f>IFERROR(__xludf.DUMMYFUNCTION("""COMPUTED_VALUE"""),"AMC-2738")</f>
        <v>AMC-2738</v>
      </c>
      <c r="AB1626" s="65"/>
      <c r="AC1626" s="65" t="str">
        <f>IFERROR(__xludf.DUMMYFUNCTION("""COMPUTED_VALUE"""),"ESPONJA ANTILLUVIA DE PARABRISAS")</f>
        <v>ESPONJA ANTILLUVIA DE PARABRISAS</v>
      </c>
      <c r="AD1626" s="65"/>
      <c r="AE1626" s="65">
        <f>IFERROR(__xludf.DUMMYFUNCTION("""COMPUTED_VALUE"""),1.0)</f>
        <v>1</v>
      </c>
      <c r="AF1626" s="65" t="str">
        <f>IFERROR(__xludf.DUMMYFUNCTION("""COMPUTED_VALUE"""),"DESTINATARIO NO CONTESTA LLAMADAS NI WHATSAPP")</f>
        <v>DESTINATARIO NO CONTESTA LLAMADAS NI WHATSAPP</v>
      </c>
      <c r="AG1626" s="65" t="str">
        <f>IFERROR(__xludf.DUMMYFUNCTION("""COMPUTED_VALUE"""),"SI")</f>
        <v>SI</v>
      </c>
      <c r="AH1626" s="65" t="str">
        <f>IFERROR(__xludf.DUMMYFUNCTION("""COMPUTED_VALUE"""),"10:55")</f>
        <v>10:55</v>
      </c>
      <c r="AI1626" s="65" t="str">
        <f>IFERROR(__xludf.DUMMYFUNCTION("""COMPUTED_VALUE"""),"21-01-2026")</f>
        <v>21-01-2026</v>
      </c>
      <c r="AJ1626" s="65"/>
      <c r="AK1626" s="65"/>
      <c r="AL1626" s="65"/>
      <c r="AM1626" s="65"/>
      <c r="AN1626" s="65" t="str">
        <f>IFERROR(__xludf.DUMMYFUNCTION("""COMPUTED_VALUE"""),"13:31")</f>
        <v>13:31</v>
      </c>
      <c r="AO1626" s="65" t="str">
        <f>IFERROR(__xludf.DUMMYFUNCTION("""COMPUTED_VALUE"""),"28-01-2026")</f>
        <v>28-01-2026</v>
      </c>
      <c r="AP1626" s="65" t="str">
        <f>IFERROR(__xludf.DUMMYFUNCTION("""COMPUTED_VALUE"""),"ENTREGADA GINTRACOM")</f>
        <v>ENTREGADA GINTRACOM</v>
      </c>
      <c r="AQ1626" s="65" t="str">
        <f>IFERROR(__xludf.DUMMYFUNCTION("""COMPUTED_VALUE"""),"ENTREGADA GINTRACOM")</f>
        <v>ENTREGADA GINTRACOM</v>
      </c>
      <c r="AR1626" s="65"/>
      <c r="AS1626" s="65"/>
      <c r="AT1626" s="65" t="str">
        <f>IFERROR(__xludf.DUMMYFUNCTION("""COMPUTED_VALUE"""),"SHOPIFY")</f>
        <v>SHOPIFY</v>
      </c>
      <c r="AU1626" s="65" t="str">
        <f>IFERROR(__xludf.DUMMYFUNCTION("""COMPUTED_VALUE"""),"IMPORTEX EC")</f>
        <v>IMPORTEX EC</v>
      </c>
      <c r="AV1626" s="65" t="str">
        <f>IFERROR(__xludf.DUMMYFUNCTION("""COMPUTED_VALUE"""),"6418555863084")</f>
        <v>6418555863084</v>
      </c>
      <c r="AW1626" s="65">
        <f>IFERROR(__xludf.DUMMYFUNCTION("""COMPUTED_VALUE"""),5317.0)</f>
        <v>5317</v>
      </c>
      <c r="AX1626" s="65"/>
      <c r="AY1626" s="65" t="str">
        <f>IFERROR(__xludf.DUMMYFUNCTION("""COMPUTED_VALUE"""),"17/01/2026")</f>
        <v>17/01/2026</v>
      </c>
      <c r="AZ1626" s="65"/>
      <c r="BA1626" s="65"/>
    </row>
    <row r="1627">
      <c r="A1627" s="65" t="str">
        <f>IFERROR(__xludf.DUMMYFUNCTION("""COMPUTED_VALUE"""),"27-03-2026")</f>
        <v>27-03-2026</v>
      </c>
      <c r="B1627" s="65">
        <f>IFERROR(__xludf.DUMMYFUNCTION("""COMPUTED_VALUE"""),4165248.0)</f>
        <v>4165248</v>
      </c>
      <c r="C1627" s="65" t="str">
        <f>IFERROR(__xludf.DUMMYFUNCTION("""COMPUTED_VALUE"""),"02:23")</f>
        <v>02:23</v>
      </c>
      <c r="D1627" s="65" t="str">
        <f>IFERROR(__xludf.DUMMYFUNCTION("""COMPUTED_VALUE"""),"16-01-2026")</f>
        <v>16-01-2026</v>
      </c>
      <c r="E1627" s="65" t="str">
        <f>IFERROR(__xludf.DUMMYFUNCTION("""COMPUTED_VALUE"""),"Leandro Briones")</f>
        <v>Leandro Briones</v>
      </c>
      <c r="F1627" s="65" t="str">
        <f>IFERROR(__xludf.DUMMYFUNCTION("""COMPUTED_VALUE"""),"981734481")</f>
        <v>981734481</v>
      </c>
      <c r="G1627" s="65" t="str">
        <f>IFERROR(__xludf.DUMMYFUNCTION("""COMPUTED_VALUE"""),"bejaranodavidstiven@gmail.com")</f>
        <v>bejaranodavidstiven@gmail.com</v>
      </c>
      <c r="H1627" s="65"/>
      <c r="I1627" s="65"/>
      <c r="J1627" s="65"/>
      <c r="K1627" s="65" t="str">
        <f>IFERROR(__xludf.DUMMYFUNCTION("""COMPUTED_VALUE"""),"CANCELADO")</f>
        <v>CANCELADO</v>
      </c>
      <c r="L1627" s="65" t="str">
        <f>IFERROR(__xludf.DUMMYFUNCTION("""COMPUTED_VALUE"""),"CON RECAUDO")</f>
        <v>CON RECAUDO</v>
      </c>
      <c r="M1627" s="65" t="str">
        <f>IFERROR(__xludf.DUMMYFUNCTION("""COMPUTED_VALUE"""),"LOS RIOS")</f>
        <v>LOS RIOS</v>
      </c>
      <c r="N1627" s="65" t="str">
        <f>IFERROR(__xludf.DUMMYFUNCTION("""COMPUTED_VALUE"""),"BABAHOYO")</f>
        <v>BABAHOYO</v>
      </c>
      <c r="O1627" s="65" t="str">
        <f>IFERROR(__xludf.DUMMYFUNCTION("""COMPUTED_VALUE"""),"Mata de cacao serví entrega media Los laure|es -")</f>
        <v>Mata de cacao serví entrega media Los laure|es -</v>
      </c>
      <c r="P1627" s="65"/>
      <c r="Q1627" s="65" t="str">
        <f>IFERROR(__xludf.DUMMYFUNCTION("""COMPUTED_VALUE"""),"GINTRACOM")</f>
        <v>GINTRACOM</v>
      </c>
      <c r="R1627" s="65">
        <f>IFERROR(__xludf.DUMMYFUNCTION("""COMPUTED_VALUE"""),22.0)</f>
        <v>22</v>
      </c>
      <c r="S1627" s="65"/>
      <c r="T1627" s="65">
        <f>IFERROR(__xludf.DUMMYFUNCTION("""COMPUTED_VALUE"""),5.84)</f>
        <v>5.84</v>
      </c>
      <c r="U1627" s="65">
        <f>IFERROR(__xludf.DUMMYFUNCTION("""COMPUTED_VALUE"""),0.0)</f>
        <v>0</v>
      </c>
      <c r="V1627" s="65">
        <f>IFERROR(__xludf.DUMMYFUNCTION("""COMPUTED_VALUE"""),0.0)</f>
        <v>0</v>
      </c>
      <c r="W1627" s="65">
        <f>IFERROR(__xludf.DUMMYFUNCTION("""COMPUTED_VALUE"""),0.0)</f>
        <v>0</v>
      </c>
      <c r="X1627" s="65">
        <f>IFERROR(__xludf.DUMMYFUNCTION("""COMPUTED_VALUE"""),2.6)</f>
        <v>2.6</v>
      </c>
      <c r="Y1627" s="65">
        <f>IFERROR(__xludf.DUMMYFUNCTION("""COMPUTED_VALUE"""),5.2)</f>
        <v>5.2</v>
      </c>
      <c r="Z1627" s="65">
        <f>IFERROR(__xludf.DUMMYFUNCTION("""COMPUTED_VALUE"""),121983.0)</f>
        <v>121983</v>
      </c>
      <c r="AA1627" s="65" t="str">
        <f>IFERROR(__xludf.DUMMYFUNCTION("""COMPUTED_VALUE"""),"PROV-CHLLCF")</f>
        <v>PROV-CHLLCF</v>
      </c>
      <c r="AB1627" s="65"/>
      <c r="AC1627" s="65" t="str">
        <f>IFERROR(__xludf.DUMMYFUNCTION("""COMPUTED_VALUE"""),"CUCHILLO PARA CHEF")</f>
        <v>CUCHILLO PARA CHEF</v>
      </c>
      <c r="AD1627" s="65"/>
      <c r="AE1627" s="65">
        <f>IFERROR(__xludf.DUMMYFUNCTION("""COMPUTED_VALUE"""),2.0)</f>
        <v>2</v>
      </c>
      <c r="AF1627" s="65"/>
      <c r="AG1627" s="65"/>
      <c r="AH1627" s="65"/>
      <c r="AI1627" s="65"/>
      <c r="AJ1627" s="65"/>
      <c r="AK1627" s="65"/>
      <c r="AL1627" s="65"/>
      <c r="AM1627" s="65"/>
      <c r="AN1627" s="65"/>
      <c r="AO1627" s="65"/>
      <c r="AP1627" s="65"/>
      <c r="AQ1627" s="65"/>
      <c r="AR1627" s="65"/>
      <c r="AS1627" s="65"/>
      <c r="AT1627" s="65" t="str">
        <f>IFERROR(__xludf.DUMMYFUNCTION("""COMPUTED_VALUE"""),"SHOPIFY")</f>
        <v>SHOPIFY</v>
      </c>
      <c r="AU1627" s="65" t="str">
        <f>IFERROR(__xludf.DUMMYFUNCTION("""COMPUTED_VALUE"""),"IMPORTEX EC")</f>
        <v>IMPORTEX EC</v>
      </c>
      <c r="AV1627" s="65" t="str">
        <f>IFERROR(__xludf.DUMMYFUNCTION("""COMPUTED_VALUE"""),"6418370265132")</f>
        <v>6418370265132</v>
      </c>
      <c r="AW1627" s="65">
        <f>IFERROR(__xludf.DUMMYFUNCTION("""COMPUTED_VALUE"""),5316.0)</f>
        <v>5316</v>
      </c>
      <c r="AX1627" s="65"/>
      <c r="AY1627" s="65"/>
      <c r="AZ1627" s="65"/>
      <c r="BA1627" s="65"/>
    </row>
    <row r="1628">
      <c r="A1628" s="65" t="str">
        <f>IFERROR(__xludf.DUMMYFUNCTION("""COMPUTED_VALUE"""),"27-03-2026")</f>
        <v>27-03-2026</v>
      </c>
      <c r="B1628" s="65">
        <f>IFERROR(__xludf.DUMMYFUNCTION("""COMPUTED_VALUE"""),4165247.0)</f>
        <v>4165247</v>
      </c>
      <c r="C1628" s="65" t="str">
        <f>IFERROR(__xludf.DUMMYFUNCTION("""COMPUTED_VALUE"""),"02:23")</f>
        <v>02:23</v>
      </c>
      <c r="D1628" s="65" t="str">
        <f>IFERROR(__xludf.DUMMYFUNCTION("""COMPUTED_VALUE"""),"16-01-2026")</f>
        <v>16-01-2026</v>
      </c>
      <c r="E1628" s="65" t="str">
        <f>IFERROR(__xludf.DUMMYFUNCTION("""COMPUTED_VALUE"""),"Alex Eduardo Puga Lascano")</f>
        <v>Alex Eduardo Puga Lascano</v>
      </c>
      <c r="F1628" s="65" t="str">
        <f>IFERROR(__xludf.DUMMYFUNCTION("""COMPUTED_VALUE"""),"997422598")</f>
        <v>997422598</v>
      </c>
      <c r="G1628" s="65" t="str">
        <f>IFERROR(__xludf.DUMMYFUNCTION("""COMPUTED_VALUE"""),"eduardolascano71@gmail.com")</f>
        <v>eduardolascano71@gmail.com</v>
      </c>
      <c r="H1628" s="65"/>
      <c r="I1628" s="65"/>
      <c r="J1628" s="65" t="str">
        <f>IFERROR(__xludf.DUMMYFUNCTION("""COMPUTED_VALUE"""),"186487426")</f>
        <v>186487426</v>
      </c>
      <c r="K1628" s="65" t="str">
        <f>IFERROR(__xludf.DUMMYFUNCTION("""COMPUTED_VALUE"""),"ENTREGADO")</f>
        <v>ENTREGADO</v>
      </c>
      <c r="L1628" s="65" t="str">
        <f>IFERROR(__xludf.DUMMYFUNCTION("""COMPUTED_VALUE"""),"CON RECAUDO")</f>
        <v>CON RECAUDO</v>
      </c>
      <c r="M1628" s="65" t="str">
        <f>IFERROR(__xludf.DUMMYFUNCTION("""COMPUTED_VALUE"""),"LOS RIOS")</f>
        <v>LOS RIOS</v>
      </c>
      <c r="N1628" s="65" t="str">
        <f>IFERROR(__xludf.DUMMYFUNCTION("""COMPUTED_VALUE"""),"PUEBLO NUEVO (LOS RIOS)")</f>
        <v>PUEBLO NUEVO (LOS RIOS)</v>
      </c>
      <c r="O1628" s="65" t="str">
        <f>IFERROR(__xludf.DUMMYFUNCTION("""COMPUTED_VALUE"""),"Abdón Calderón y Humberto Moreira Frente al bazar Rosita -")</f>
        <v>Abdón Calderón y Humberto Moreira Frente al bazar Rosita -</v>
      </c>
      <c r="P1628" s="65"/>
      <c r="Q1628" s="65" t="str">
        <f>IFERROR(__xludf.DUMMYFUNCTION("""COMPUTED_VALUE"""),"SERVIENTREGA")</f>
        <v>SERVIENTREGA</v>
      </c>
      <c r="R1628" s="65">
        <f>IFERROR(__xludf.DUMMYFUNCTION("""COMPUTED_VALUE"""),20.0)</f>
        <v>20</v>
      </c>
      <c r="S1628" s="65">
        <f>IFERROR(__xludf.DUMMYFUNCTION("""COMPUTED_VALUE"""),9.98)</f>
        <v>9.98</v>
      </c>
      <c r="T1628" s="65">
        <f>IFERROR(__xludf.DUMMYFUNCTION("""COMPUTED_VALUE"""),7.67)</f>
        <v>7.67</v>
      </c>
      <c r="U1628" s="65">
        <f>IFERROR(__xludf.DUMMYFUNCTION("""COMPUTED_VALUE"""),0.0)</f>
        <v>0</v>
      </c>
      <c r="V1628" s="65">
        <f>IFERROR(__xludf.DUMMYFUNCTION("""COMPUTED_VALUE"""),0.0)</f>
        <v>0</v>
      </c>
      <c r="W1628" s="65">
        <f>IFERROR(__xludf.DUMMYFUNCTION("""COMPUTED_VALUE"""),0.0)</f>
        <v>0</v>
      </c>
      <c r="X1628" s="65">
        <f>IFERROR(__xludf.DUMMYFUNCTION("""COMPUTED_VALUE"""),2.35)</f>
        <v>2.35</v>
      </c>
      <c r="Y1628" s="65">
        <f>IFERROR(__xludf.DUMMYFUNCTION("""COMPUTED_VALUE"""),2.35)</f>
        <v>2.35</v>
      </c>
      <c r="Z1628" s="65">
        <f>IFERROR(__xludf.DUMMYFUNCTION("""COMPUTED_VALUE"""),116679.0)</f>
        <v>116679</v>
      </c>
      <c r="AA1628" s="65" t="str">
        <f>IFERROR(__xludf.DUMMYFUNCTION("""COMPUTED_VALUE"""),"AMC-2738")</f>
        <v>AMC-2738</v>
      </c>
      <c r="AB1628" s="65"/>
      <c r="AC1628" s="65" t="str">
        <f>IFERROR(__xludf.DUMMYFUNCTION("""COMPUTED_VALUE"""),"ESPONJA ANTILLUVIA DE PARABRISAS")</f>
        <v>ESPONJA ANTILLUVIA DE PARABRISAS</v>
      </c>
      <c r="AD1628" s="65"/>
      <c r="AE1628" s="65">
        <f>IFERROR(__xludf.DUMMYFUNCTION("""COMPUTED_VALUE"""),1.0)</f>
        <v>1</v>
      </c>
      <c r="AF1628" s="65" t="str">
        <f>IFERROR(__xludf.DUMMYFUNCTION("""COMPUTED_VALUE"""),"MAL ZONIFICADO")</f>
        <v>MAL ZONIFICADO</v>
      </c>
      <c r="AG1628" s="65" t="str">
        <f>IFERROR(__xludf.DUMMYFUNCTION("""COMPUTED_VALUE"""),"NO")</f>
        <v>NO</v>
      </c>
      <c r="AH1628" s="65" t="str">
        <f>IFERROR(__xludf.DUMMYFUNCTION("""COMPUTED_VALUE"""),"14:15")</f>
        <v>14:15</v>
      </c>
      <c r="AI1628" s="65" t="str">
        <f>IFERROR(__xludf.DUMMYFUNCTION("""COMPUTED_VALUE"""),"20-01-2026")</f>
        <v>20-01-2026</v>
      </c>
      <c r="AJ1628" s="65"/>
      <c r="AK1628" s="65"/>
      <c r="AL1628" s="65"/>
      <c r="AM1628" s="65"/>
      <c r="AN1628" s="65" t="str">
        <f>IFERROR(__xludf.DUMMYFUNCTION("""COMPUTED_VALUE"""),"17:02")</f>
        <v>17:02</v>
      </c>
      <c r="AO1628" s="65" t="str">
        <f>IFERROR(__xludf.DUMMYFUNCTION("""COMPUTED_VALUE"""),"06-02-2026")</f>
        <v>06-02-2026</v>
      </c>
      <c r="AP1628" s="65" t="str">
        <f>IFERROR(__xludf.DUMMYFUNCTION("""COMPUTED_VALUE"""),"ENTREGA DIGITALIZADA EN CENTRO LOGISTICO")</f>
        <v>ENTREGA DIGITALIZADA EN CENTRO LOGISTICO</v>
      </c>
      <c r="AQ1628" s="65" t="str">
        <f>IFERROR(__xludf.DUMMYFUNCTION("""COMPUTED_VALUE"""),"Alex Puga")</f>
        <v>Alex Puga</v>
      </c>
      <c r="AR1628" s="65"/>
      <c r="AS1628" s="65"/>
      <c r="AT1628" s="65" t="str">
        <f>IFERROR(__xludf.DUMMYFUNCTION("""COMPUTED_VALUE"""),"SHOPIFY")</f>
        <v>SHOPIFY</v>
      </c>
      <c r="AU1628" s="65" t="str">
        <f>IFERROR(__xludf.DUMMYFUNCTION("""COMPUTED_VALUE"""),"IMPORTEX EC")</f>
        <v>IMPORTEX EC</v>
      </c>
      <c r="AV1628" s="65" t="str">
        <f>IFERROR(__xludf.DUMMYFUNCTION("""COMPUTED_VALUE"""),"6418370035756")</f>
        <v>6418370035756</v>
      </c>
      <c r="AW1628" s="65">
        <f>IFERROR(__xludf.DUMMYFUNCTION("""COMPUTED_VALUE"""),5315.0)</f>
        <v>5315</v>
      </c>
      <c r="AX1628" s="65"/>
      <c r="AY1628" s="65" t="str">
        <f>IFERROR(__xludf.DUMMYFUNCTION("""COMPUTED_VALUE"""),"17/01/2026")</f>
        <v>17/01/2026</v>
      </c>
      <c r="AZ1628" s="65"/>
      <c r="BA1628" s="65"/>
    </row>
    <row r="1629">
      <c r="A1629" s="65" t="str">
        <f>IFERROR(__xludf.DUMMYFUNCTION("""COMPUTED_VALUE"""),"27-03-2026")</f>
        <v>27-03-2026</v>
      </c>
      <c r="B1629" s="65">
        <f>IFERROR(__xludf.DUMMYFUNCTION("""COMPUTED_VALUE"""),4165226.0)</f>
        <v>4165226</v>
      </c>
      <c r="C1629" s="65" t="str">
        <f>IFERROR(__xludf.DUMMYFUNCTION("""COMPUTED_VALUE"""),"02:07")</f>
        <v>02:07</v>
      </c>
      <c r="D1629" s="65" t="str">
        <f>IFERROR(__xludf.DUMMYFUNCTION("""COMPUTED_VALUE"""),"16-01-2026")</f>
        <v>16-01-2026</v>
      </c>
      <c r="E1629" s="65" t="str">
        <f>IFERROR(__xludf.DUMMYFUNCTION("""COMPUTED_VALUE"""),"Nestor Naula")</f>
        <v>Nestor Naula</v>
      </c>
      <c r="F1629" s="65" t="str">
        <f>IFERROR(__xludf.DUMMYFUNCTION("""COMPUTED_VALUE"""),"980215702")</f>
        <v>980215702</v>
      </c>
      <c r="G1629" s="65" t="str">
        <f>IFERROR(__xludf.DUMMYFUNCTION("""COMPUTED_VALUE"""),"nestor082294@hotmail.com")</f>
        <v>nestor082294@hotmail.com</v>
      </c>
      <c r="H1629" s="65"/>
      <c r="I1629" s="65"/>
      <c r="J1629" s="65" t="str">
        <f>IFERROR(__xludf.DUMMYFUNCTION("""COMPUTED_VALUE"""),"D001234342")</f>
        <v>D001234342</v>
      </c>
      <c r="K1629" s="65" t="str">
        <f>IFERROR(__xludf.DUMMYFUNCTION("""COMPUTED_VALUE"""),"ENTREGADO")</f>
        <v>ENTREGADO</v>
      </c>
      <c r="L1629" s="65" t="str">
        <f>IFERROR(__xludf.DUMMYFUNCTION("""COMPUTED_VALUE"""),"CON RECAUDO")</f>
        <v>CON RECAUDO</v>
      </c>
      <c r="M1629" s="65" t="str">
        <f>IFERROR(__xludf.DUMMYFUNCTION("""COMPUTED_VALUE"""),"LOJA")</f>
        <v>LOJA</v>
      </c>
      <c r="N1629" s="65" t="str">
        <f>IFERROR(__xludf.DUMMYFUNCTION("""COMPUTED_VALUE"""),"LOJA")</f>
        <v>LOJA</v>
      </c>
      <c r="O1629" s="65" t="str">
        <f>IFERROR(__xludf.DUMMYFUNCTION("""COMPUTED_VALUE"""),"Juan José Peña, 205-24 Miguel Riofrío -")</f>
        <v>Juan José Peña, 205-24 Miguel Riofrío -</v>
      </c>
      <c r="P1629" s="65"/>
      <c r="Q1629" s="65" t="str">
        <f>IFERROR(__xludf.DUMMYFUNCTION("""COMPUTED_VALUE"""),"GINTRACOM")</f>
        <v>GINTRACOM</v>
      </c>
      <c r="R1629" s="65">
        <f>IFERROR(__xludf.DUMMYFUNCTION("""COMPUTED_VALUE"""),25.0)</f>
        <v>25</v>
      </c>
      <c r="S1629" s="65">
        <f>IFERROR(__xludf.DUMMYFUNCTION("""COMPUTED_VALUE"""),14.34)</f>
        <v>14.34</v>
      </c>
      <c r="T1629" s="65">
        <f>IFERROR(__xludf.DUMMYFUNCTION("""COMPUTED_VALUE"""),5.96)</f>
        <v>5.96</v>
      </c>
      <c r="U1629" s="65">
        <f>IFERROR(__xludf.DUMMYFUNCTION("""COMPUTED_VALUE"""),0.0)</f>
        <v>0</v>
      </c>
      <c r="V1629" s="65">
        <f>IFERROR(__xludf.DUMMYFUNCTION("""COMPUTED_VALUE"""),0.0)</f>
        <v>0</v>
      </c>
      <c r="W1629" s="65">
        <f>IFERROR(__xludf.DUMMYFUNCTION("""COMPUTED_VALUE"""),0.0)</f>
        <v>0</v>
      </c>
      <c r="X1629" s="65">
        <f>IFERROR(__xludf.DUMMYFUNCTION("""COMPUTED_VALUE"""),2.35)</f>
        <v>2.35</v>
      </c>
      <c r="Y1629" s="65">
        <f>IFERROR(__xludf.DUMMYFUNCTION("""COMPUTED_VALUE"""),4.7)</f>
        <v>4.7</v>
      </c>
      <c r="Z1629" s="65">
        <f>IFERROR(__xludf.DUMMYFUNCTION("""COMPUTED_VALUE"""),116679.0)</f>
        <v>116679</v>
      </c>
      <c r="AA1629" s="65" t="str">
        <f>IFERROR(__xludf.DUMMYFUNCTION("""COMPUTED_VALUE"""),"AMC-2738")</f>
        <v>AMC-2738</v>
      </c>
      <c r="AB1629" s="65"/>
      <c r="AC1629" s="65" t="str">
        <f>IFERROR(__xludf.DUMMYFUNCTION("""COMPUTED_VALUE"""),"ESPONJA ANTILLUVIA DE PARABRISAS")</f>
        <v>ESPONJA ANTILLUVIA DE PARABRISAS</v>
      </c>
      <c r="AD1629" s="65"/>
      <c r="AE1629" s="65">
        <f>IFERROR(__xludf.DUMMYFUNCTION("""COMPUTED_VALUE"""),2.0)</f>
        <v>2</v>
      </c>
      <c r="AF1629" s="65"/>
      <c r="AG1629" s="65"/>
      <c r="AH1629" s="65"/>
      <c r="AI1629" s="65"/>
      <c r="AJ1629" s="65"/>
      <c r="AK1629" s="65"/>
      <c r="AL1629" s="65"/>
      <c r="AM1629" s="65"/>
      <c r="AN1629" s="65" t="str">
        <f>IFERROR(__xludf.DUMMYFUNCTION("""COMPUTED_VALUE"""),"12:01")</f>
        <v>12:01</v>
      </c>
      <c r="AO1629" s="65" t="str">
        <f>IFERROR(__xludf.DUMMYFUNCTION("""COMPUTED_VALUE"""),"21-01-2026")</f>
        <v>21-01-2026</v>
      </c>
      <c r="AP1629" s="65" t="str">
        <f>IFERROR(__xludf.DUMMYFUNCTION("""COMPUTED_VALUE"""),"ENTREGADA GINTRACOM")</f>
        <v>ENTREGADA GINTRACOM</v>
      </c>
      <c r="AQ1629" s="65" t="str">
        <f>IFERROR(__xludf.DUMMYFUNCTION("""COMPUTED_VALUE"""),"ENTREGADA GINTRACOM")</f>
        <v>ENTREGADA GINTRACOM</v>
      </c>
      <c r="AR1629" s="65"/>
      <c r="AS1629" s="65"/>
      <c r="AT1629" s="65" t="str">
        <f>IFERROR(__xludf.DUMMYFUNCTION("""COMPUTED_VALUE"""),"SHOPIFY")</f>
        <v>SHOPIFY</v>
      </c>
      <c r="AU1629" s="65" t="str">
        <f>IFERROR(__xludf.DUMMYFUNCTION("""COMPUTED_VALUE"""),"IMPORTEX EC")</f>
        <v>IMPORTEX EC</v>
      </c>
      <c r="AV1629" s="65" t="str">
        <f>IFERROR(__xludf.DUMMYFUNCTION("""COMPUTED_VALUE"""),"6418357190700")</f>
        <v>6418357190700</v>
      </c>
      <c r="AW1629" s="65">
        <f>IFERROR(__xludf.DUMMYFUNCTION("""COMPUTED_VALUE"""),5314.0)</f>
        <v>5314</v>
      </c>
      <c r="AX1629" s="65"/>
      <c r="AY1629" s="65" t="str">
        <f>IFERROR(__xludf.DUMMYFUNCTION("""COMPUTED_VALUE"""),"17/01/2026")</f>
        <v>17/01/2026</v>
      </c>
      <c r="AZ1629" s="65"/>
      <c r="BA1629" s="65"/>
    </row>
    <row r="1630">
      <c r="A1630" s="65" t="str">
        <f>IFERROR(__xludf.DUMMYFUNCTION("""COMPUTED_VALUE"""),"27-03-2026")</f>
        <v>27-03-2026</v>
      </c>
      <c r="B1630" s="65">
        <f>IFERROR(__xludf.DUMMYFUNCTION("""COMPUTED_VALUE"""),4165108.0)</f>
        <v>4165108</v>
      </c>
      <c r="C1630" s="65" t="str">
        <f>IFERROR(__xludf.DUMMYFUNCTION("""COMPUTED_VALUE"""),"01:12")</f>
        <v>01:12</v>
      </c>
      <c r="D1630" s="65" t="str">
        <f>IFERROR(__xludf.DUMMYFUNCTION("""COMPUTED_VALUE"""),"16-01-2026")</f>
        <v>16-01-2026</v>
      </c>
      <c r="E1630" s="65" t="str">
        <f>IFERROR(__xludf.DUMMYFUNCTION("""COMPUTED_VALUE"""),"Dario Zares")</f>
        <v>Dario Zares</v>
      </c>
      <c r="F1630" s="65" t="str">
        <f>IFERROR(__xludf.DUMMYFUNCTION("""COMPUTED_VALUE"""),"998953704")</f>
        <v>998953704</v>
      </c>
      <c r="G1630" s="65" t="str">
        <f>IFERROR(__xludf.DUMMYFUNCTION("""COMPUTED_VALUE"""),"zaresdario07@gmail.com")</f>
        <v>zaresdario07@gmail.com</v>
      </c>
      <c r="H1630" s="65"/>
      <c r="I1630" s="65"/>
      <c r="J1630" s="65"/>
      <c r="K1630" s="65" t="str">
        <f>IFERROR(__xludf.DUMMYFUNCTION("""COMPUTED_VALUE"""),"CANCELADO")</f>
        <v>CANCELADO</v>
      </c>
      <c r="L1630" s="65" t="str">
        <f>IFERROR(__xludf.DUMMYFUNCTION("""COMPUTED_VALUE"""),"CON RECAUDO")</f>
        <v>CON RECAUDO</v>
      </c>
      <c r="M1630" s="65" t="str">
        <f>IFERROR(__xludf.DUMMYFUNCTION("""COMPUTED_VALUE"""),"EL ORO")</f>
        <v>EL ORO</v>
      </c>
      <c r="N1630" s="65" t="str">
        <f>IFERROR(__xludf.DUMMYFUNCTION("""COMPUTED_VALUE"""),"MACHALA")</f>
        <v>MACHALA</v>
      </c>
      <c r="O1630" s="65" t="str">
        <f>IFERROR(__xludf.DUMMYFUNCTION("""COMPUTED_VALUE"""),"Calle principal palmeras y Marcel aniado en la vía del súper aky Por el aky -")</f>
        <v>Calle principal palmeras y Marcel aniado en la vía del súper aky Por el aky -</v>
      </c>
      <c r="P1630" s="65"/>
      <c r="Q1630" s="65" t="str">
        <f>IFERROR(__xludf.DUMMYFUNCTION("""COMPUTED_VALUE"""),"GINTRACOM")</f>
        <v>GINTRACOM</v>
      </c>
      <c r="R1630" s="65">
        <f>IFERROR(__xludf.DUMMYFUNCTION("""COMPUTED_VALUE"""),30.0)</f>
        <v>30</v>
      </c>
      <c r="S1630" s="65"/>
      <c r="T1630" s="65">
        <f>IFERROR(__xludf.DUMMYFUNCTION("""COMPUTED_VALUE"""),6.16)</f>
        <v>6.16</v>
      </c>
      <c r="U1630" s="65">
        <f>IFERROR(__xludf.DUMMYFUNCTION("""COMPUTED_VALUE"""),0.0)</f>
        <v>0</v>
      </c>
      <c r="V1630" s="65">
        <f>IFERROR(__xludf.DUMMYFUNCTION("""COMPUTED_VALUE"""),0.0)</f>
        <v>0</v>
      </c>
      <c r="W1630" s="65">
        <f>IFERROR(__xludf.DUMMYFUNCTION("""COMPUTED_VALUE"""),0.0)</f>
        <v>0</v>
      </c>
      <c r="X1630" s="65">
        <f>IFERROR(__xludf.DUMMYFUNCTION("""COMPUTED_VALUE"""),2.35)</f>
        <v>2.35</v>
      </c>
      <c r="Y1630" s="65">
        <f>IFERROR(__xludf.DUMMYFUNCTION("""COMPUTED_VALUE"""),7.05)</f>
        <v>7.05</v>
      </c>
      <c r="Z1630" s="65">
        <f>IFERROR(__xludf.DUMMYFUNCTION("""COMPUTED_VALUE"""),116679.0)</f>
        <v>116679</v>
      </c>
      <c r="AA1630" s="65" t="str">
        <f>IFERROR(__xludf.DUMMYFUNCTION("""COMPUTED_VALUE"""),"AMC-2738")</f>
        <v>AMC-2738</v>
      </c>
      <c r="AB1630" s="65"/>
      <c r="AC1630" s="65" t="str">
        <f>IFERROR(__xludf.DUMMYFUNCTION("""COMPUTED_VALUE"""),"ESPONJA ANTILLUVIA DE PARABRISAS")</f>
        <v>ESPONJA ANTILLUVIA DE PARABRISAS</v>
      </c>
      <c r="AD1630" s="65"/>
      <c r="AE1630" s="65">
        <f>IFERROR(__xludf.DUMMYFUNCTION("""COMPUTED_VALUE"""),3.0)</f>
        <v>3</v>
      </c>
      <c r="AF1630" s="65"/>
      <c r="AG1630" s="65"/>
      <c r="AH1630" s="65"/>
      <c r="AI1630" s="65"/>
      <c r="AJ1630" s="65"/>
      <c r="AK1630" s="65"/>
      <c r="AL1630" s="65"/>
      <c r="AM1630" s="65"/>
      <c r="AN1630" s="65"/>
      <c r="AO1630" s="65"/>
      <c r="AP1630" s="65"/>
      <c r="AQ1630" s="65"/>
      <c r="AR1630" s="65"/>
      <c r="AS1630" s="65"/>
      <c r="AT1630" s="65" t="str">
        <f>IFERROR(__xludf.DUMMYFUNCTION("""COMPUTED_VALUE"""),"SHOPIFY")</f>
        <v>SHOPIFY</v>
      </c>
      <c r="AU1630" s="65" t="str">
        <f>IFERROR(__xludf.DUMMYFUNCTION("""COMPUTED_VALUE"""),"IMPORTEX EC")</f>
        <v>IMPORTEX EC</v>
      </c>
      <c r="AV1630" s="65" t="str">
        <f>IFERROR(__xludf.DUMMYFUNCTION("""COMPUTED_VALUE"""),"6418308169772")</f>
        <v>6418308169772</v>
      </c>
      <c r="AW1630" s="65">
        <f>IFERROR(__xludf.DUMMYFUNCTION("""COMPUTED_VALUE"""),5313.0)</f>
        <v>5313</v>
      </c>
      <c r="AX1630" s="65"/>
      <c r="AY1630" s="65"/>
      <c r="AZ1630" s="65"/>
      <c r="BA1630" s="65"/>
    </row>
    <row r="1631">
      <c r="A1631" s="65" t="str">
        <f>IFERROR(__xludf.DUMMYFUNCTION("""COMPUTED_VALUE"""),"27-03-2026")</f>
        <v>27-03-2026</v>
      </c>
      <c r="B1631" s="65">
        <f>IFERROR(__xludf.DUMMYFUNCTION("""COMPUTED_VALUE"""),4165019.0)</f>
        <v>4165019</v>
      </c>
      <c r="C1631" s="65" t="str">
        <f>IFERROR(__xludf.DUMMYFUNCTION("""COMPUTED_VALUE"""),"00:42")</f>
        <v>00:42</v>
      </c>
      <c r="D1631" s="65" t="str">
        <f>IFERROR(__xludf.DUMMYFUNCTION("""COMPUTED_VALUE"""),"16-01-2026")</f>
        <v>16-01-2026</v>
      </c>
      <c r="E1631" s="65" t="str">
        <f>IFERROR(__xludf.DUMMYFUNCTION("""COMPUTED_VALUE"""),"German Bonilla")</f>
        <v>German Bonilla</v>
      </c>
      <c r="F1631" s="65" t="str">
        <f>IFERROR(__xludf.DUMMYFUNCTION("""COMPUTED_VALUE"""),"987953844")</f>
        <v>987953844</v>
      </c>
      <c r="G1631" s="65" t="str">
        <f>IFERROR(__xludf.DUMMYFUNCTION("""COMPUTED_VALUE"""),"germybo1951@gmail.com")</f>
        <v>germybo1951@gmail.com</v>
      </c>
      <c r="H1631" s="65"/>
      <c r="I1631" s="65"/>
      <c r="J1631" s="65" t="str">
        <f>IFERROR(__xludf.DUMMYFUNCTION("""COMPUTED_VALUE"""),"D001233689")</f>
        <v>D001233689</v>
      </c>
      <c r="K1631" s="65" t="str">
        <f>IFERROR(__xludf.DUMMYFUNCTION("""COMPUTED_VALUE"""),"DEVOLUCION")</f>
        <v>DEVOLUCION</v>
      </c>
      <c r="L1631" s="65" t="str">
        <f>IFERROR(__xludf.DUMMYFUNCTION("""COMPUTED_VALUE"""),"CON RECAUDO")</f>
        <v>CON RECAUDO</v>
      </c>
      <c r="M1631" s="65" t="str">
        <f>IFERROR(__xludf.DUMMYFUNCTION("""COMPUTED_VALUE"""),"PICHINCHA")</f>
        <v>PICHINCHA</v>
      </c>
      <c r="N1631" s="65" t="str">
        <f>IFERROR(__xludf.DUMMYFUNCTION("""COMPUTED_VALUE"""),"TUMBACO")</f>
        <v>TUMBACO</v>
      </c>
      <c r="O1631" s="65" t="str">
        <f>IFERROR(__xludf.DUMMYFUNCTION("""COMPUTED_VALUE"""),"Calle Juan José Matheu E7246 y Av. Oswaldo Guayasamin La Morita Tumbaco -")</f>
        <v>Calle Juan José Matheu E7246 y Av. Oswaldo Guayasamin La Morita Tumbaco -</v>
      </c>
      <c r="P1631" s="65"/>
      <c r="Q1631" s="65" t="str">
        <f>IFERROR(__xludf.DUMMYFUNCTION("""COMPUTED_VALUE"""),"GINTRACOM")</f>
        <v>GINTRACOM</v>
      </c>
      <c r="R1631" s="65">
        <f>IFERROR(__xludf.DUMMYFUNCTION("""COMPUTED_VALUE"""),22.0)</f>
        <v>22</v>
      </c>
      <c r="S1631" s="65"/>
      <c r="T1631" s="65">
        <f>IFERROR(__xludf.DUMMYFUNCTION("""COMPUTED_VALUE"""),5.84)</f>
        <v>5.84</v>
      </c>
      <c r="U1631" s="65">
        <f>IFERROR(__xludf.DUMMYFUNCTION("""COMPUTED_VALUE"""),0.0)</f>
        <v>0</v>
      </c>
      <c r="V1631" s="65">
        <f>IFERROR(__xludf.DUMMYFUNCTION("""COMPUTED_VALUE"""),0.0)</f>
        <v>0</v>
      </c>
      <c r="W1631" s="65">
        <f>IFERROR(__xludf.DUMMYFUNCTION("""COMPUTED_VALUE"""),0.0)</f>
        <v>0</v>
      </c>
      <c r="X1631" s="65">
        <f>IFERROR(__xludf.DUMMYFUNCTION("""COMPUTED_VALUE"""),2.6)</f>
        <v>2.6</v>
      </c>
      <c r="Y1631" s="65">
        <f>IFERROR(__xludf.DUMMYFUNCTION("""COMPUTED_VALUE"""),5.2)</f>
        <v>5.2</v>
      </c>
      <c r="Z1631" s="65">
        <f>IFERROR(__xludf.DUMMYFUNCTION("""COMPUTED_VALUE"""),121983.0)</f>
        <v>121983</v>
      </c>
      <c r="AA1631" s="65" t="str">
        <f>IFERROR(__xludf.DUMMYFUNCTION("""COMPUTED_VALUE"""),"PROV-CHLLCF")</f>
        <v>PROV-CHLLCF</v>
      </c>
      <c r="AB1631" s="65"/>
      <c r="AC1631" s="65" t="str">
        <f>IFERROR(__xludf.DUMMYFUNCTION("""COMPUTED_VALUE"""),"CUCHILLO PARA CHEF")</f>
        <v>CUCHILLO PARA CHEF</v>
      </c>
      <c r="AD1631" s="65"/>
      <c r="AE1631" s="65">
        <f>IFERROR(__xludf.DUMMYFUNCTION("""COMPUTED_VALUE"""),2.0)</f>
        <v>2</v>
      </c>
      <c r="AF1631" s="65" t="str">
        <f>IFERROR(__xludf.DUMMYFUNCTION("""COMPUTED_VALUE"""),"DESTINATARIO INDICA QUE ESTÁ INCONFORME CON EL PRODUCTO. (NO RECIBE)")</f>
        <v>DESTINATARIO INDICA QUE ESTÁ INCONFORME CON EL PRODUCTO. (NO RECIBE)</v>
      </c>
      <c r="AG1631" s="65" t="str">
        <f>IFERROR(__xludf.DUMMYFUNCTION("""COMPUTED_VALUE"""),"SI")</f>
        <v>SI</v>
      </c>
      <c r="AH1631" s="65" t="str">
        <f>IFERROR(__xludf.DUMMYFUNCTION("""COMPUTED_VALUE"""),"11:52")</f>
        <v>11:52</v>
      </c>
      <c r="AI1631" s="65" t="str">
        <f>IFERROR(__xludf.DUMMYFUNCTION("""COMPUTED_VALUE"""),"19-01-2026")</f>
        <v>19-01-2026</v>
      </c>
      <c r="AJ1631" s="65" t="str">
        <f>IFERROR(__xludf.DUMMYFUNCTION("""COMPUTED_VALUE"""),"DEVOLVER AL REMITENTE")</f>
        <v>DEVOLVER AL REMITENTE</v>
      </c>
      <c r="AK1631" s="65" t="str">
        <f>IFERROR(__xludf.DUMMYFUNCTION("""COMPUTED_VALUE"""),"10:11")</f>
        <v>10:11</v>
      </c>
      <c r="AL1631" s="65" t="str">
        <f>IFERROR(__xludf.DUMMYFUNCTION("""COMPUTED_VALUE"""),"23-01-2026")</f>
        <v>23-01-2026</v>
      </c>
      <c r="AM1631" s="65"/>
      <c r="AN1631" s="65" t="str">
        <f>IFERROR(__xludf.DUMMYFUNCTION("""COMPUTED_VALUE"""),"13:49")</f>
        <v>13:49</v>
      </c>
      <c r="AO1631" s="65" t="str">
        <f>IFERROR(__xludf.DUMMYFUNCTION("""COMPUTED_VALUE"""),"05-02-2026")</f>
        <v>05-02-2026</v>
      </c>
      <c r="AP1631" s="65" t="str">
        <f>IFERROR(__xludf.DUMMYFUNCTION("""COMPUTED_VALUE"""),"DEV CONFIRMADA POR BODEGA")</f>
        <v>DEV CONFIRMADA POR BODEGA</v>
      </c>
      <c r="AQ1631" s="65"/>
      <c r="AR1631" s="65" t="str">
        <f>IFERROR(__xludf.DUMMYFUNCTION("""COMPUTED_VALUE"""),"Gestionado por: Moran Daniel, email:danielmorga2005@gmail.com, total de productos en la orden: 1")</f>
        <v>Gestionado por: Moran Daniel, email:danielmorga2005@gmail.com, total de productos en la orden: 1</v>
      </c>
      <c r="AS1631" s="65"/>
      <c r="AT1631" s="65" t="str">
        <f>IFERROR(__xludf.DUMMYFUNCTION("""COMPUTED_VALUE"""),"SHOPIFY")</f>
        <v>SHOPIFY</v>
      </c>
      <c r="AU1631" s="65" t="str">
        <f>IFERROR(__xludf.DUMMYFUNCTION("""COMPUTED_VALUE"""),"IMPORTEX EC")</f>
        <v>IMPORTEX EC</v>
      </c>
      <c r="AV1631" s="65" t="str">
        <f>IFERROR(__xludf.DUMMYFUNCTION("""COMPUTED_VALUE"""),"6418272387116")</f>
        <v>6418272387116</v>
      </c>
      <c r="AW1631" s="65">
        <f>IFERROR(__xludf.DUMMYFUNCTION("""COMPUTED_VALUE"""),5312.0)</f>
        <v>5312</v>
      </c>
      <c r="AX1631" s="65"/>
      <c r="AY1631" s="65" t="str">
        <f>IFERROR(__xludf.DUMMYFUNCTION("""COMPUTED_VALUE"""),"17/01/2026")</f>
        <v>17/01/2026</v>
      </c>
      <c r="AZ1631" s="65"/>
      <c r="BA1631" s="65"/>
    </row>
    <row r="1632">
      <c r="A1632" s="65" t="str">
        <f>IFERROR(__xludf.DUMMYFUNCTION("""COMPUTED_VALUE"""),"27-03-2026")</f>
        <v>27-03-2026</v>
      </c>
      <c r="B1632" s="65">
        <f>IFERROR(__xludf.DUMMYFUNCTION("""COMPUTED_VALUE"""),4164903.0)</f>
        <v>4164903</v>
      </c>
      <c r="C1632" s="65" t="str">
        <f>IFERROR(__xludf.DUMMYFUNCTION("""COMPUTED_VALUE"""),"00:11")</f>
        <v>00:11</v>
      </c>
      <c r="D1632" s="65" t="str">
        <f>IFERROR(__xludf.DUMMYFUNCTION("""COMPUTED_VALUE"""),"16-01-2026")</f>
        <v>16-01-2026</v>
      </c>
      <c r="E1632" s="65" t="str">
        <f>IFERROR(__xludf.DUMMYFUNCTION("""COMPUTED_VALUE"""),"Mario Torres v Torres Velasquez")</f>
        <v>Mario Torres v Torres Velasquez</v>
      </c>
      <c r="F1632" s="65" t="str">
        <f>IFERROR(__xludf.DUMMYFUNCTION("""COMPUTED_VALUE"""),"958785511")</f>
        <v>958785511</v>
      </c>
      <c r="G1632" s="65" t="str">
        <f>IFERROR(__xludf.DUMMYFUNCTION("""COMPUTED_VALUE"""),"mtv.ec@hotmail.com")</f>
        <v>mtv.ec@hotmail.com</v>
      </c>
      <c r="H1632" s="65"/>
      <c r="I1632" s="65"/>
      <c r="J1632" s="65"/>
      <c r="K1632" s="65" t="str">
        <f>IFERROR(__xludf.DUMMYFUNCTION("""COMPUTED_VALUE"""),"CANCELADO")</f>
        <v>CANCELADO</v>
      </c>
      <c r="L1632" s="65" t="str">
        <f>IFERROR(__xludf.DUMMYFUNCTION("""COMPUTED_VALUE"""),"CON RECAUDO")</f>
        <v>CON RECAUDO</v>
      </c>
      <c r="M1632" s="65" t="str">
        <f>IFERROR(__xludf.DUMMYFUNCTION("""COMPUTED_VALUE"""),"GUAYAS")</f>
        <v>GUAYAS</v>
      </c>
      <c r="N1632" s="65" t="str">
        <f>IFERROR(__xludf.DUMMYFUNCTION("""COMPUTED_VALUE"""),"GUAYAQUIL")</f>
        <v>GUAYAQUIL</v>
      </c>
      <c r="O1632" s="65" t="str">
        <f>IFERROR(__xludf.DUMMYFUNCTION("""COMPUTED_VALUE"""),"Cdla Kennedy Vieja calle Francisco arizagay calle 3 era 305 y calle 3 era -")</f>
        <v>Cdla Kennedy Vieja calle Francisco arizagay calle 3 era 305 y calle 3 era -</v>
      </c>
      <c r="P1632" s="65"/>
      <c r="Q1632" s="65" t="str">
        <f>IFERROR(__xludf.DUMMYFUNCTION("""COMPUTED_VALUE"""),"GINTRACOM")</f>
        <v>GINTRACOM</v>
      </c>
      <c r="R1632" s="65">
        <f>IFERROR(__xludf.DUMMYFUNCTION("""COMPUTED_VALUE"""),22.0)</f>
        <v>22</v>
      </c>
      <c r="S1632" s="65"/>
      <c r="T1632" s="65">
        <f>IFERROR(__xludf.DUMMYFUNCTION("""COMPUTED_VALUE"""),4.23)</f>
        <v>4.23</v>
      </c>
      <c r="U1632" s="65">
        <f>IFERROR(__xludf.DUMMYFUNCTION("""COMPUTED_VALUE"""),0.0)</f>
        <v>0</v>
      </c>
      <c r="V1632" s="65">
        <f>IFERROR(__xludf.DUMMYFUNCTION("""COMPUTED_VALUE"""),0.0)</f>
        <v>0</v>
      </c>
      <c r="W1632" s="65">
        <f>IFERROR(__xludf.DUMMYFUNCTION("""COMPUTED_VALUE"""),0.0)</f>
        <v>0</v>
      </c>
      <c r="X1632" s="65">
        <f>IFERROR(__xludf.DUMMYFUNCTION("""COMPUTED_VALUE"""),2.6)</f>
        <v>2.6</v>
      </c>
      <c r="Y1632" s="65">
        <f>IFERROR(__xludf.DUMMYFUNCTION("""COMPUTED_VALUE"""),5.2)</f>
        <v>5.2</v>
      </c>
      <c r="Z1632" s="65">
        <f>IFERROR(__xludf.DUMMYFUNCTION("""COMPUTED_VALUE"""),121983.0)</f>
        <v>121983</v>
      </c>
      <c r="AA1632" s="65" t="str">
        <f>IFERROR(__xludf.DUMMYFUNCTION("""COMPUTED_VALUE"""),"PROV-CHLLCF")</f>
        <v>PROV-CHLLCF</v>
      </c>
      <c r="AB1632" s="65"/>
      <c r="AC1632" s="65" t="str">
        <f>IFERROR(__xludf.DUMMYFUNCTION("""COMPUTED_VALUE"""),"CUCHILLO PARA CHEF")</f>
        <v>CUCHILLO PARA CHEF</v>
      </c>
      <c r="AD1632" s="65"/>
      <c r="AE1632" s="65">
        <f>IFERROR(__xludf.DUMMYFUNCTION("""COMPUTED_VALUE"""),2.0)</f>
        <v>2</v>
      </c>
      <c r="AF1632" s="65"/>
      <c r="AG1632" s="65"/>
      <c r="AH1632" s="65"/>
      <c r="AI1632" s="65"/>
      <c r="AJ1632" s="65"/>
      <c r="AK1632" s="65"/>
      <c r="AL1632" s="65"/>
      <c r="AM1632" s="65"/>
      <c r="AN1632" s="65"/>
      <c r="AO1632" s="65"/>
      <c r="AP1632" s="65"/>
      <c r="AQ1632" s="65"/>
      <c r="AR1632" s="65"/>
      <c r="AS1632" s="65"/>
      <c r="AT1632" s="65" t="str">
        <f>IFERROR(__xludf.DUMMYFUNCTION("""COMPUTED_VALUE"""),"SHOPIFY")</f>
        <v>SHOPIFY</v>
      </c>
      <c r="AU1632" s="65" t="str">
        <f>IFERROR(__xludf.DUMMYFUNCTION("""COMPUTED_VALUE"""),"IMPORTEX EC")</f>
        <v>IMPORTEX EC</v>
      </c>
      <c r="AV1632" s="65" t="str">
        <f>IFERROR(__xludf.DUMMYFUNCTION("""COMPUTED_VALUE"""),"6418211962924")</f>
        <v>6418211962924</v>
      </c>
      <c r="AW1632" s="65">
        <f>IFERROR(__xludf.DUMMYFUNCTION("""COMPUTED_VALUE"""),5311.0)</f>
        <v>5311</v>
      </c>
      <c r="AX1632" s="65"/>
      <c r="AY1632" s="65"/>
      <c r="AZ1632" s="65"/>
      <c r="BA1632" s="65"/>
    </row>
    <row r="1633">
      <c r="A1633" s="65" t="str">
        <f>IFERROR(__xludf.DUMMYFUNCTION("""COMPUTED_VALUE"""),"27-03-2026")</f>
        <v>27-03-2026</v>
      </c>
      <c r="B1633" s="65">
        <f>IFERROR(__xludf.DUMMYFUNCTION("""COMPUTED_VALUE"""),4164675.0)</f>
        <v>4164675</v>
      </c>
      <c r="C1633" s="65" t="str">
        <f>IFERROR(__xludf.DUMMYFUNCTION("""COMPUTED_VALUE"""),"23:38")</f>
        <v>23:38</v>
      </c>
      <c r="D1633" s="65" t="str">
        <f>IFERROR(__xludf.DUMMYFUNCTION("""COMPUTED_VALUE"""),"15-01-2026")</f>
        <v>15-01-2026</v>
      </c>
      <c r="E1633" s="65" t="str">
        <f>IFERROR(__xludf.DUMMYFUNCTION("""COMPUTED_VALUE"""),"Juan Piñuela")</f>
        <v>Juan Piñuela</v>
      </c>
      <c r="F1633" s="65" t="str">
        <f>IFERROR(__xludf.DUMMYFUNCTION("""COMPUTED_VALUE"""),"969599561")</f>
        <v>969599561</v>
      </c>
      <c r="G1633" s="65"/>
      <c r="H1633" s="65"/>
      <c r="I1633" s="65"/>
      <c r="J1633" s="65"/>
      <c r="K1633" s="65" t="str">
        <f>IFERROR(__xludf.DUMMYFUNCTION("""COMPUTED_VALUE"""),"PENDIENTE CONFIRMACION")</f>
        <v>PENDIENTE CONFIRMACION</v>
      </c>
      <c r="L1633" s="65" t="str">
        <f>IFERROR(__xludf.DUMMYFUNCTION("""COMPUTED_VALUE"""),"CON RECAUDO")</f>
        <v>CON RECAUDO</v>
      </c>
      <c r="M1633" s="65" t="str">
        <f>IFERROR(__xludf.DUMMYFUNCTION("""COMPUTED_VALUE"""),"PICHINCHA")</f>
        <v>PICHINCHA</v>
      </c>
      <c r="N1633" s="65" t="str">
        <f>IFERROR(__xludf.DUMMYFUNCTION("""COMPUTED_VALUE"""),"QUITO")</f>
        <v>QUITO</v>
      </c>
      <c r="O1633" s="65" t="str">
        <f>IFERROR(__xludf.DUMMYFUNCTION("""COMPUTED_VALUE"""),"Calle Oe7a, casa N3170")</f>
        <v>Calle Oe7a, casa N3170</v>
      </c>
      <c r="P1633" s="65" t="str">
        <f>IFERROR(__xludf.DUMMYFUNCTION("""COMPUTED_VALUE"""),"ESPONJA ANTILLUVIA DE PARABRISAS: Default Title ***")</f>
        <v>ESPONJA ANTILLUVIA DE PARABRISAS: Default Title ***</v>
      </c>
      <c r="Q1633" s="65" t="str">
        <f>IFERROR(__xludf.DUMMYFUNCTION("""COMPUTED_VALUE"""),"GINTRACOM")</f>
        <v>GINTRACOM</v>
      </c>
      <c r="R1633" s="65">
        <f>IFERROR(__xludf.DUMMYFUNCTION("""COMPUTED_VALUE"""),20.0)</f>
        <v>20</v>
      </c>
      <c r="S1633" s="65"/>
      <c r="T1633" s="65">
        <f>IFERROR(__xludf.DUMMYFUNCTION("""COMPUTED_VALUE"""),4.15)</f>
        <v>4.15</v>
      </c>
      <c r="U1633" s="65">
        <f>IFERROR(__xludf.DUMMYFUNCTION("""COMPUTED_VALUE"""),0.0)</f>
        <v>0</v>
      </c>
      <c r="V1633" s="65">
        <f>IFERROR(__xludf.DUMMYFUNCTION("""COMPUTED_VALUE"""),0.0)</f>
        <v>0</v>
      </c>
      <c r="W1633" s="65">
        <f>IFERROR(__xludf.DUMMYFUNCTION("""COMPUTED_VALUE"""),0.0)</f>
        <v>0</v>
      </c>
      <c r="X1633" s="65">
        <f>IFERROR(__xludf.DUMMYFUNCTION("""COMPUTED_VALUE"""),2.35)</f>
        <v>2.35</v>
      </c>
      <c r="Y1633" s="65">
        <f>IFERROR(__xludf.DUMMYFUNCTION("""COMPUTED_VALUE"""),2.35)</f>
        <v>2.35</v>
      </c>
      <c r="Z1633" s="65">
        <f>IFERROR(__xludf.DUMMYFUNCTION("""COMPUTED_VALUE"""),116679.0)</f>
        <v>116679</v>
      </c>
      <c r="AA1633" s="65" t="str">
        <f>IFERROR(__xludf.DUMMYFUNCTION("""COMPUTED_VALUE"""),"AMC-2738")</f>
        <v>AMC-2738</v>
      </c>
      <c r="AB1633" s="65"/>
      <c r="AC1633" s="65" t="str">
        <f>IFERROR(__xludf.DUMMYFUNCTION("""COMPUTED_VALUE"""),"ESPONJA ANTILLUVIA DE PARABRISAS")</f>
        <v>ESPONJA ANTILLUVIA DE PARABRISAS</v>
      </c>
      <c r="AD1633" s="65"/>
      <c r="AE1633" s="65">
        <f>IFERROR(__xludf.DUMMYFUNCTION("""COMPUTED_VALUE"""),1.0)</f>
        <v>1</v>
      </c>
      <c r="AF1633" s="65"/>
      <c r="AG1633" s="65"/>
      <c r="AH1633" s="65"/>
      <c r="AI1633" s="65"/>
      <c r="AJ1633" s="65"/>
      <c r="AK1633" s="65"/>
      <c r="AL1633" s="65"/>
      <c r="AM1633" s="65"/>
      <c r="AN1633" s="65"/>
      <c r="AO1633" s="65"/>
      <c r="AP1633" s="65"/>
      <c r="AQ1633" s="65"/>
      <c r="AR1633" s="65"/>
      <c r="AS1633" s="65"/>
      <c r="AT1633" s="65" t="str">
        <f>IFERROR(__xludf.DUMMYFUNCTION("""COMPUTED_VALUE"""),"SHOPIFY")</f>
        <v>SHOPIFY</v>
      </c>
      <c r="AU1633" s="65" t="str">
        <f>IFERROR(__xludf.DUMMYFUNCTION("""COMPUTED_VALUE"""),"IMPORTEX EC")</f>
        <v>IMPORTEX EC</v>
      </c>
      <c r="AV1633" s="65" t="str">
        <f>IFERROR(__xludf.DUMMYFUNCTION("""COMPUTED_VALUE"""),"6418156027948")</f>
        <v>6418156027948</v>
      </c>
      <c r="AW1633" s="65">
        <f>IFERROR(__xludf.DUMMYFUNCTION("""COMPUTED_VALUE"""),5309.0)</f>
        <v>5309</v>
      </c>
      <c r="AX1633" s="65"/>
      <c r="AY1633" s="65"/>
      <c r="AZ1633" s="65"/>
      <c r="BA1633" s="65"/>
    </row>
    <row r="1634">
      <c r="A1634" s="65" t="str">
        <f>IFERROR(__xludf.DUMMYFUNCTION("""COMPUTED_VALUE"""),"27-03-2026")</f>
        <v>27-03-2026</v>
      </c>
      <c r="B1634" s="65">
        <f>IFERROR(__xludf.DUMMYFUNCTION("""COMPUTED_VALUE"""),4164664.0)</f>
        <v>4164664</v>
      </c>
      <c r="C1634" s="65" t="str">
        <f>IFERROR(__xludf.DUMMYFUNCTION("""COMPUTED_VALUE"""),"23:36")</f>
        <v>23:36</v>
      </c>
      <c r="D1634" s="65" t="str">
        <f>IFERROR(__xludf.DUMMYFUNCTION("""COMPUTED_VALUE"""),"15-01-2026")</f>
        <v>15-01-2026</v>
      </c>
      <c r="E1634" s="65" t="str">
        <f>IFERROR(__xludf.DUMMYFUNCTION("""COMPUTED_VALUE"""),"Armando Goya")</f>
        <v>Armando Goya</v>
      </c>
      <c r="F1634" s="65" t="str">
        <f>IFERROR(__xludf.DUMMYFUNCTION("""COMPUTED_VALUE"""),"997409333")</f>
        <v>997409333</v>
      </c>
      <c r="G1634" s="65" t="str">
        <f>IFERROR(__xludf.DUMMYFUNCTION("""COMPUTED_VALUE"""),"armandogoyaleon@gmail.com")</f>
        <v>armandogoyaleon@gmail.com</v>
      </c>
      <c r="H1634" s="65"/>
      <c r="I1634" s="65"/>
      <c r="J1634" s="65" t="str">
        <f>IFERROR(__xludf.DUMMYFUNCTION("""COMPUTED_VALUE"""),"D001234343")</f>
        <v>D001234343</v>
      </c>
      <c r="K1634" s="65" t="str">
        <f>IFERROR(__xludf.DUMMYFUNCTION("""COMPUTED_VALUE"""),"DEVOLUCION")</f>
        <v>DEVOLUCION</v>
      </c>
      <c r="L1634" s="65" t="str">
        <f>IFERROR(__xludf.DUMMYFUNCTION("""COMPUTED_VALUE"""),"CON RECAUDO")</f>
        <v>CON RECAUDO</v>
      </c>
      <c r="M1634" s="65" t="str">
        <f>IFERROR(__xludf.DUMMYFUNCTION("""COMPUTED_VALUE"""),"GUAYAS")</f>
        <v>GUAYAS</v>
      </c>
      <c r="N1634" s="65" t="str">
        <f>IFERROR(__xludf.DUMMYFUNCTION("""COMPUTED_VALUE"""),"GUAYAQUIL")</f>
        <v>GUAYAQUIL</v>
      </c>
      <c r="O1634" s="65" t="str">
        <f>IFERROR(__xludf.DUMMYFUNCTION("""COMPUTED_VALUE"""),"4 de noviembre 1232 y Leónidas plaza -")</f>
        <v>4 de noviembre 1232 y Leónidas plaza -</v>
      </c>
      <c r="P1634" s="65"/>
      <c r="Q1634" s="65" t="str">
        <f>IFERROR(__xludf.DUMMYFUNCTION("""COMPUTED_VALUE"""),"GINTRACOM")</f>
        <v>GINTRACOM</v>
      </c>
      <c r="R1634" s="65">
        <f>IFERROR(__xludf.DUMMYFUNCTION("""COMPUTED_VALUE"""),30.0)</f>
        <v>30</v>
      </c>
      <c r="S1634" s="65"/>
      <c r="T1634" s="65">
        <f>IFERROR(__xludf.DUMMYFUNCTION("""COMPUTED_VALUE"""),6.16)</f>
        <v>6.16</v>
      </c>
      <c r="U1634" s="65">
        <f>IFERROR(__xludf.DUMMYFUNCTION("""COMPUTED_VALUE"""),0.0)</f>
        <v>0</v>
      </c>
      <c r="V1634" s="65">
        <f>IFERROR(__xludf.DUMMYFUNCTION("""COMPUTED_VALUE"""),0.0)</f>
        <v>0</v>
      </c>
      <c r="W1634" s="65">
        <f>IFERROR(__xludf.DUMMYFUNCTION("""COMPUTED_VALUE"""),0.0)</f>
        <v>0</v>
      </c>
      <c r="X1634" s="65">
        <f>IFERROR(__xludf.DUMMYFUNCTION("""COMPUTED_VALUE"""),2.35)</f>
        <v>2.35</v>
      </c>
      <c r="Y1634" s="65">
        <f>IFERROR(__xludf.DUMMYFUNCTION("""COMPUTED_VALUE"""),7.05)</f>
        <v>7.05</v>
      </c>
      <c r="Z1634" s="65">
        <f>IFERROR(__xludf.DUMMYFUNCTION("""COMPUTED_VALUE"""),116679.0)</f>
        <v>116679</v>
      </c>
      <c r="AA1634" s="65" t="str">
        <f>IFERROR(__xludf.DUMMYFUNCTION("""COMPUTED_VALUE"""),"AMC-2738")</f>
        <v>AMC-2738</v>
      </c>
      <c r="AB1634" s="65"/>
      <c r="AC1634" s="65" t="str">
        <f>IFERROR(__xludf.DUMMYFUNCTION("""COMPUTED_VALUE"""),"ESPONJA ANTILLUVIA DE PARABRISAS")</f>
        <v>ESPONJA ANTILLUVIA DE PARABRISAS</v>
      </c>
      <c r="AD1634" s="65"/>
      <c r="AE1634" s="65">
        <f>IFERROR(__xludf.DUMMYFUNCTION("""COMPUTED_VALUE"""),3.0)</f>
        <v>3</v>
      </c>
      <c r="AF1634" s="65" t="str">
        <f>IFERROR(__xludf.DUMMYFUNCTION("""COMPUTED_VALUE"""),"DESTINATARIO INDICA QUE YA NO DESEA EL PRODUCTO")</f>
        <v>DESTINATARIO INDICA QUE YA NO DESEA EL PRODUCTO</v>
      </c>
      <c r="AG1634" s="65" t="str">
        <f>IFERROR(__xludf.DUMMYFUNCTION("""COMPUTED_VALUE"""),"NO")</f>
        <v>NO</v>
      </c>
      <c r="AH1634" s="65" t="str">
        <f>IFERROR(__xludf.DUMMYFUNCTION("""COMPUTED_VALUE"""),"12:01")</f>
        <v>12:01</v>
      </c>
      <c r="AI1634" s="65" t="str">
        <f>IFERROR(__xludf.DUMMYFUNCTION("""COMPUTED_VALUE"""),"21-01-2026")</f>
        <v>21-01-2026</v>
      </c>
      <c r="AJ1634" s="65"/>
      <c r="AK1634" s="65"/>
      <c r="AL1634" s="65"/>
      <c r="AM1634" s="65"/>
      <c r="AN1634" s="65" t="str">
        <f>IFERROR(__xludf.DUMMYFUNCTION("""COMPUTED_VALUE"""),"20:53")</f>
        <v>20:53</v>
      </c>
      <c r="AO1634" s="65" t="str">
        <f>IFERROR(__xludf.DUMMYFUNCTION("""COMPUTED_VALUE"""),"13-02-2026")</f>
        <v>13-02-2026</v>
      </c>
      <c r="AP1634" s="65" t="str">
        <f>IFERROR(__xludf.DUMMYFUNCTION("""COMPUTED_VALUE"""),"DEVOLUCIÓN ENTREGADA A ORIGEN")</f>
        <v>DEVOLUCIÓN ENTREGADA A ORIGEN</v>
      </c>
      <c r="AQ1634" s="65" t="str">
        <f>IFERROR(__xludf.DUMMYFUNCTION("""COMPUTED_VALUE"""),"DEVOLUCIÓN ENTREGADA A ORIGEN")</f>
        <v>DEVOLUCIÓN ENTREGADA A ORIGEN</v>
      </c>
      <c r="AR1634" s="65"/>
      <c r="AS1634" s="65"/>
      <c r="AT1634" s="65" t="str">
        <f>IFERROR(__xludf.DUMMYFUNCTION("""COMPUTED_VALUE"""),"SHOPIFY")</f>
        <v>SHOPIFY</v>
      </c>
      <c r="AU1634" s="65" t="str">
        <f>IFERROR(__xludf.DUMMYFUNCTION("""COMPUTED_VALUE"""),"IMPORTEX EC")</f>
        <v>IMPORTEX EC</v>
      </c>
      <c r="AV1634" s="65" t="str">
        <f>IFERROR(__xludf.DUMMYFUNCTION("""COMPUTED_VALUE"""),"6418157371436")</f>
        <v>6418157371436</v>
      </c>
      <c r="AW1634" s="65">
        <f>IFERROR(__xludf.DUMMYFUNCTION("""COMPUTED_VALUE"""),5310.0)</f>
        <v>5310</v>
      </c>
      <c r="AX1634" s="65"/>
      <c r="AY1634" s="65" t="str">
        <f>IFERROR(__xludf.DUMMYFUNCTION("""COMPUTED_VALUE"""),"17/01/2026")</f>
        <v>17/01/2026</v>
      </c>
      <c r="AZ1634" s="65"/>
      <c r="BA1634" s="65"/>
    </row>
    <row r="1635">
      <c r="A1635" s="65" t="str">
        <f>IFERROR(__xludf.DUMMYFUNCTION("""COMPUTED_VALUE"""),"27-03-2026")</f>
        <v>27-03-2026</v>
      </c>
      <c r="B1635" s="65">
        <f>IFERROR(__xludf.DUMMYFUNCTION("""COMPUTED_VALUE"""),4164479.0)</f>
        <v>4164479</v>
      </c>
      <c r="C1635" s="65" t="str">
        <f>IFERROR(__xludf.DUMMYFUNCTION("""COMPUTED_VALUE"""),"23:16")</f>
        <v>23:16</v>
      </c>
      <c r="D1635" s="65" t="str">
        <f>IFERROR(__xludf.DUMMYFUNCTION("""COMPUTED_VALUE"""),"15-01-2026")</f>
        <v>15-01-2026</v>
      </c>
      <c r="E1635" s="65" t="str">
        <f>IFERROR(__xludf.DUMMYFUNCTION("""COMPUTED_VALUE"""),"Christian Stalyn Carrera de la cruz")</f>
        <v>Christian Stalyn Carrera de la cruz</v>
      </c>
      <c r="F1635" s="65" t="str">
        <f>IFERROR(__xludf.DUMMYFUNCTION("""COMPUTED_VALUE"""),"983823193")</f>
        <v>983823193</v>
      </c>
      <c r="G1635" s="65" t="str">
        <f>IFERROR(__xludf.DUMMYFUNCTION("""COMPUTED_VALUE"""),"christiancarreraandre1991@gmail.com")</f>
        <v>christiancarreraandre1991@gmail.com</v>
      </c>
      <c r="H1635" s="65"/>
      <c r="I1635" s="65"/>
      <c r="J1635" s="65" t="str">
        <f>IFERROR(__xludf.DUMMYFUNCTION("""COMPUTED_VALUE"""),"D001233691")</f>
        <v>D001233691</v>
      </c>
      <c r="K1635" s="65" t="str">
        <f>IFERROR(__xludf.DUMMYFUNCTION("""COMPUTED_VALUE"""),"DEVOLUCION")</f>
        <v>DEVOLUCION</v>
      </c>
      <c r="L1635" s="65" t="str">
        <f>IFERROR(__xludf.DUMMYFUNCTION("""COMPUTED_VALUE"""),"CON RECAUDO")</f>
        <v>CON RECAUDO</v>
      </c>
      <c r="M1635" s="65" t="str">
        <f>IFERROR(__xludf.DUMMYFUNCTION("""COMPUTED_VALUE"""),"PICHINCHA")</f>
        <v>PICHINCHA</v>
      </c>
      <c r="N1635" s="65" t="str">
        <f>IFERROR(__xludf.DUMMYFUNCTION("""COMPUTED_VALUE"""),"QUITO")</f>
        <v>QUITO</v>
      </c>
      <c r="O1635" s="65" t="str">
        <f>IFERROR(__xludf.DUMMYFUNCTION("""COMPUTED_VALUE"""),"Calle Maria Barreto - Barrio Cielo Azul  LOTE 25 - Monjas alma lojana - REF: Casa 2 pisos señora  mayra de la Cruz")</f>
        <v>Calle Maria Barreto - Barrio Cielo Azul  LOTE 25 - Monjas alma lojana - REF: Casa 2 pisos señora  mayra de la Cruz</v>
      </c>
      <c r="P1635" s="65"/>
      <c r="Q1635" s="65" t="str">
        <f>IFERROR(__xludf.DUMMYFUNCTION("""COMPUTED_VALUE"""),"GINTRACOM")</f>
        <v>GINTRACOM</v>
      </c>
      <c r="R1635" s="65">
        <f>IFERROR(__xludf.DUMMYFUNCTION("""COMPUTED_VALUE"""),22.0)</f>
        <v>22</v>
      </c>
      <c r="S1635" s="65"/>
      <c r="T1635" s="65">
        <f>IFERROR(__xludf.DUMMYFUNCTION("""COMPUTED_VALUE"""),5.84)</f>
        <v>5.84</v>
      </c>
      <c r="U1635" s="65">
        <f>IFERROR(__xludf.DUMMYFUNCTION("""COMPUTED_VALUE"""),0.0)</f>
        <v>0</v>
      </c>
      <c r="V1635" s="65">
        <f>IFERROR(__xludf.DUMMYFUNCTION("""COMPUTED_VALUE"""),0.0)</f>
        <v>0</v>
      </c>
      <c r="W1635" s="65">
        <f>IFERROR(__xludf.DUMMYFUNCTION("""COMPUTED_VALUE"""),0.0)</f>
        <v>0</v>
      </c>
      <c r="X1635" s="65">
        <f>IFERROR(__xludf.DUMMYFUNCTION("""COMPUTED_VALUE"""),2.6)</f>
        <v>2.6</v>
      </c>
      <c r="Y1635" s="65">
        <f>IFERROR(__xludf.DUMMYFUNCTION("""COMPUTED_VALUE"""),5.2)</f>
        <v>5.2</v>
      </c>
      <c r="Z1635" s="65">
        <f>IFERROR(__xludf.DUMMYFUNCTION("""COMPUTED_VALUE"""),121983.0)</f>
        <v>121983</v>
      </c>
      <c r="AA1635" s="65" t="str">
        <f>IFERROR(__xludf.DUMMYFUNCTION("""COMPUTED_VALUE"""),"PROV-CHLLCF")</f>
        <v>PROV-CHLLCF</v>
      </c>
      <c r="AB1635" s="65"/>
      <c r="AC1635" s="65" t="str">
        <f>IFERROR(__xludf.DUMMYFUNCTION("""COMPUTED_VALUE"""),"CUCHILLO PARA CHEF")</f>
        <v>CUCHILLO PARA CHEF</v>
      </c>
      <c r="AD1635" s="65"/>
      <c r="AE1635" s="65">
        <f>IFERROR(__xludf.DUMMYFUNCTION("""COMPUTED_VALUE"""),2.0)</f>
        <v>2</v>
      </c>
      <c r="AF1635" s="65" t="str">
        <f>IFERROR(__xludf.DUMMYFUNCTION("""COMPUTED_VALUE"""),"DESTINATARIO NO CONTESTA LLAMADAS NI WHATSAPP")</f>
        <v>DESTINATARIO NO CONTESTA LLAMADAS NI WHATSAPP</v>
      </c>
      <c r="AG1635" s="65" t="str">
        <f>IFERROR(__xludf.DUMMYFUNCTION("""COMPUTED_VALUE"""),"NO")</f>
        <v>NO</v>
      </c>
      <c r="AH1635" s="65" t="str">
        <f>IFERROR(__xludf.DUMMYFUNCTION("""COMPUTED_VALUE"""),"09:00")</f>
        <v>09:00</v>
      </c>
      <c r="AI1635" s="65" t="str">
        <f>IFERROR(__xludf.DUMMYFUNCTION("""COMPUTED_VALUE"""),"27-01-2026")</f>
        <v>27-01-2026</v>
      </c>
      <c r="AJ1635" s="65"/>
      <c r="AK1635" s="65"/>
      <c r="AL1635" s="65"/>
      <c r="AM1635" s="65"/>
      <c r="AN1635" s="65" t="str">
        <f>IFERROR(__xludf.DUMMYFUNCTION("""COMPUTED_VALUE"""),"01:40")</f>
        <v>01:40</v>
      </c>
      <c r="AO1635" s="65" t="str">
        <f>IFERROR(__xludf.DUMMYFUNCTION("""COMPUTED_VALUE"""),"06-03-2026")</f>
        <v>06-03-2026</v>
      </c>
      <c r="AP1635" s="65" t="str">
        <f>IFERROR(__xludf.DUMMYFUNCTION("""COMPUTED_VALUE"""),"DEVOLUCIÓN ENTREGADA A ORIGEN")</f>
        <v>DEVOLUCIÓN ENTREGADA A ORIGEN</v>
      </c>
      <c r="AQ1635" s="65" t="str">
        <f>IFERROR(__xludf.DUMMYFUNCTION("""COMPUTED_VALUE"""),"DEVOLUCIÓN ENTREGADA A ORIGEN")</f>
        <v>DEVOLUCIÓN ENTREGADA A ORIGEN</v>
      </c>
      <c r="AR1635" s="65"/>
      <c r="AS1635" s="65"/>
      <c r="AT1635" s="65" t="str">
        <f>IFERROR(__xludf.DUMMYFUNCTION("""COMPUTED_VALUE"""),"SHOPIFY")</f>
        <v>SHOPIFY</v>
      </c>
      <c r="AU1635" s="65" t="str">
        <f>IFERROR(__xludf.DUMMYFUNCTION("""COMPUTED_VALUE"""),"IMPORTEX EC")</f>
        <v>IMPORTEX EC</v>
      </c>
      <c r="AV1635" s="65" t="str">
        <f>IFERROR(__xludf.DUMMYFUNCTION("""COMPUTED_VALUE"""),"6418116706348")</f>
        <v>6418116706348</v>
      </c>
      <c r="AW1635" s="65">
        <f>IFERROR(__xludf.DUMMYFUNCTION("""COMPUTED_VALUE"""),5308.0)</f>
        <v>5308</v>
      </c>
      <c r="AX1635" s="65"/>
      <c r="AY1635" s="65" t="str">
        <f>IFERROR(__xludf.DUMMYFUNCTION("""COMPUTED_VALUE"""),"17/01/2026")</f>
        <v>17/01/2026</v>
      </c>
      <c r="AZ1635" s="65"/>
      <c r="BA1635" s="65"/>
    </row>
    <row r="1636">
      <c r="A1636" s="65" t="str">
        <f>IFERROR(__xludf.DUMMYFUNCTION("""COMPUTED_VALUE"""),"27-03-2026")</f>
        <v>27-03-2026</v>
      </c>
      <c r="B1636" s="65">
        <f>IFERROR(__xludf.DUMMYFUNCTION("""COMPUTED_VALUE"""),4164348.0)</f>
        <v>4164348</v>
      </c>
      <c r="C1636" s="65" t="str">
        <f>IFERROR(__xludf.DUMMYFUNCTION("""COMPUTED_VALUE"""),"23:03")</f>
        <v>23:03</v>
      </c>
      <c r="D1636" s="65" t="str">
        <f>IFERROR(__xludf.DUMMYFUNCTION("""COMPUTED_VALUE"""),"15-01-2026")</f>
        <v>15-01-2026</v>
      </c>
      <c r="E1636" s="65" t="str">
        <f>IFERROR(__xludf.DUMMYFUNCTION("""COMPUTED_VALUE"""),"Ruben Toro")</f>
        <v>Ruben Toro</v>
      </c>
      <c r="F1636" s="65" t="str">
        <f>IFERROR(__xludf.DUMMYFUNCTION("""COMPUTED_VALUE"""),"980542308")</f>
        <v>980542308</v>
      </c>
      <c r="G1636" s="65" t="str">
        <f>IFERROR(__xludf.DUMMYFUNCTION("""COMPUTED_VALUE"""),"rubbencho@hotmail.com")</f>
        <v>rubbencho@hotmail.com</v>
      </c>
      <c r="H1636" s="65"/>
      <c r="I1636" s="65"/>
      <c r="J1636" s="65"/>
      <c r="K1636" s="65" t="str">
        <f>IFERROR(__xludf.DUMMYFUNCTION("""COMPUTED_VALUE"""),"CANCELADO")</f>
        <v>CANCELADO</v>
      </c>
      <c r="L1636" s="65" t="str">
        <f>IFERROR(__xludf.DUMMYFUNCTION("""COMPUTED_VALUE"""),"CON RECAUDO")</f>
        <v>CON RECAUDO</v>
      </c>
      <c r="M1636" s="65" t="str">
        <f>IFERROR(__xludf.DUMMYFUNCTION("""COMPUTED_VALUE"""),"EL ORO")</f>
        <v>EL ORO</v>
      </c>
      <c r="N1636" s="65" t="str">
        <f>IFERROR(__xludf.DUMMYFUNCTION("""COMPUTED_VALUE"""),"PIÑAS")</f>
        <v>PIÑAS</v>
      </c>
      <c r="O1636" s="65" t="str">
        <f>IFERROR(__xludf.DUMMYFUNCTION("""COMPUTED_VALUE"""),"Frente A Esclusividades Vicmar calle Jose de Olmedo y Sucre  Barrio central ( ubicacion en notas )")</f>
        <v>Frente A Esclusividades Vicmar calle Jose de Olmedo y Sucre  Barrio central ( ubicacion en notas )</v>
      </c>
      <c r="P1636" s="68" t="str">
        <f>IFERROR(__xludf.DUMMYFUNCTION("""COMPUTED_VALUE"""),"https://www.google.com/maps/place/Exclusividades+VICMAR/@-3.6808702,-79.6813244,158m/data=!3m1!1e3!4m6!3m5!1s0x90335f6256088059:0xff1a1fb8fa207107!8m2!3d-3.6809786!4d-79.6810069!16s%2Fg%2F11cmsf2n_k?entry=ttu&amp;g_ep=EgoyMDI2MDExMy4wIKXMDSoASAFQAw%3D%3D")</f>
        <v>https://www.google.com/maps/place/Exclusividades+VICMAR/@-3.6808702,-79.6813244,158m/data=!3m1!1e3!4m6!3m5!1s0x90335f6256088059:0xff1a1fb8fa207107!8m2!3d-3.6809786!4d-79.6810069!16s%2Fg%2F11cmsf2n_k?entry=ttu&amp;g_ep=EgoyMDI2MDExMy4wIKXMDSoASAFQAw%3D%3D</v>
      </c>
      <c r="Q1636" s="65" t="str">
        <f>IFERROR(__xludf.DUMMYFUNCTION("""COMPUTED_VALUE"""),"URBANO")</f>
        <v>URBANO</v>
      </c>
      <c r="R1636" s="65">
        <f>IFERROR(__xludf.DUMMYFUNCTION("""COMPUTED_VALUE"""),25.0)</f>
        <v>25</v>
      </c>
      <c r="S1636" s="65"/>
      <c r="T1636" s="65">
        <f>IFERROR(__xludf.DUMMYFUNCTION("""COMPUTED_VALUE"""),5.61)</f>
        <v>5.61</v>
      </c>
      <c r="U1636" s="65">
        <f>IFERROR(__xludf.DUMMYFUNCTION("""COMPUTED_VALUE"""),0.0)</f>
        <v>0</v>
      </c>
      <c r="V1636" s="65">
        <f>IFERROR(__xludf.DUMMYFUNCTION("""COMPUTED_VALUE"""),0.0)</f>
        <v>0</v>
      </c>
      <c r="W1636" s="65">
        <f>IFERROR(__xludf.DUMMYFUNCTION("""COMPUTED_VALUE"""),0.0)</f>
        <v>0</v>
      </c>
      <c r="X1636" s="65">
        <f>IFERROR(__xludf.DUMMYFUNCTION("""COMPUTED_VALUE"""),2.35)</f>
        <v>2.35</v>
      </c>
      <c r="Y1636" s="65">
        <f>IFERROR(__xludf.DUMMYFUNCTION("""COMPUTED_VALUE"""),4.7)</f>
        <v>4.7</v>
      </c>
      <c r="Z1636" s="65">
        <f>IFERROR(__xludf.DUMMYFUNCTION("""COMPUTED_VALUE"""),116679.0)</f>
        <v>116679</v>
      </c>
      <c r="AA1636" s="65" t="str">
        <f>IFERROR(__xludf.DUMMYFUNCTION("""COMPUTED_VALUE"""),"AMC-2738")</f>
        <v>AMC-2738</v>
      </c>
      <c r="AB1636" s="65"/>
      <c r="AC1636" s="65" t="str">
        <f>IFERROR(__xludf.DUMMYFUNCTION("""COMPUTED_VALUE"""),"ESPONJA ANTILLUVIA DE PARABRISAS")</f>
        <v>ESPONJA ANTILLUVIA DE PARABRISAS</v>
      </c>
      <c r="AD1636" s="65"/>
      <c r="AE1636" s="65">
        <f>IFERROR(__xludf.DUMMYFUNCTION("""COMPUTED_VALUE"""),2.0)</f>
        <v>2</v>
      </c>
      <c r="AF1636" s="65"/>
      <c r="AG1636" s="65"/>
      <c r="AH1636" s="65"/>
      <c r="AI1636" s="65"/>
      <c r="AJ1636" s="65"/>
      <c r="AK1636" s="65"/>
      <c r="AL1636" s="65"/>
      <c r="AM1636" s="65"/>
      <c r="AN1636" s="65"/>
      <c r="AO1636" s="65"/>
      <c r="AP1636" s="65"/>
      <c r="AQ1636" s="65"/>
      <c r="AR1636" s="65"/>
      <c r="AS1636" s="65"/>
      <c r="AT1636" s="65" t="str">
        <f>IFERROR(__xludf.DUMMYFUNCTION("""COMPUTED_VALUE"""),"SHOPIFY")</f>
        <v>SHOPIFY</v>
      </c>
      <c r="AU1636" s="65" t="str">
        <f>IFERROR(__xludf.DUMMYFUNCTION("""COMPUTED_VALUE"""),"IMPORTEX EC")</f>
        <v>IMPORTEX EC</v>
      </c>
      <c r="AV1636" s="65" t="str">
        <f>IFERROR(__xludf.DUMMYFUNCTION("""COMPUTED_VALUE"""),"6418093080620")</f>
        <v>6418093080620</v>
      </c>
      <c r="AW1636" s="65">
        <f>IFERROR(__xludf.DUMMYFUNCTION("""COMPUTED_VALUE"""),5307.0)</f>
        <v>5307</v>
      </c>
      <c r="AX1636" s="65"/>
      <c r="AY1636" s="65"/>
      <c r="AZ1636" s="65"/>
      <c r="BA1636" s="65"/>
    </row>
    <row r="1637">
      <c r="A1637" s="65" t="str">
        <f>IFERROR(__xludf.DUMMYFUNCTION("""COMPUTED_VALUE"""),"27-03-2026")</f>
        <v>27-03-2026</v>
      </c>
      <c r="B1637" s="65">
        <f>IFERROR(__xludf.DUMMYFUNCTION("""COMPUTED_VALUE"""),4164324.0)</f>
        <v>4164324</v>
      </c>
      <c r="C1637" s="65" t="str">
        <f>IFERROR(__xludf.DUMMYFUNCTION("""COMPUTED_VALUE"""),"23:01")</f>
        <v>23:01</v>
      </c>
      <c r="D1637" s="65" t="str">
        <f>IFERROR(__xludf.DUMMYFUNCTION("""COMPUTED_VALUE"""),"15-01-2026")</f>
        <v>15-01-2026</v>
      </c>
      <c r="E1637" s="65" t="str">
        <f>IFERROR(__xludf.DUMMYFUNCTION("""COMPUTED_VALUE"""),"Almeida Israel Pichincha")</f>
        <v>Almeida Israel Pichincha</v>
      </c>
      <c r="F1637" s="65" t="str">
        <f>IFERROR(__xludf.DUMMYFUNCTION("""COMPUTED_VALUE"""),"967044228")</f>
        <v>967044228</v>
      </c>
      <c r="G1637" s="65" t="str">
        <f>IFERROR(__xludf.DUMMYFUNCTION("""COMPUTED_VALUE"""),"almeidaroblesisrael1992@gmail.com")</f>
        <v>almeidaroblesisrael1992@gmail.com</v>
      </c>
      <c r="H1637" s="65"/>
      <c r="I1637" s="65"/>
      <c r="J1637" s="65"/>
      <c r="K1637" s="65" t="str">
        <f>IFERROR(__xludf.DUMMYFUNCTION("""COMPUTED_VALUE"""),"PENDIENTE CONFIRMACION")</f>
        <v>PENDIENTE CONFIRMACION</v>
      </c>
      <c r="L1637" s="65" t="str">
        <f>IFERROR(__xludf.DUMMYFUNCTION("""COMPUTED_VALUE"""),"CON RECAUDO")</f>
        <v>CON RECAUDO</v>
      </c>
      <c r="M1637" s="65" t="str">
        <f>IFERROR(__xludf.DUMMYFUNCTION("""COMPUTED_VALUE"""),"PICHINCHA")</f>
        <v>PICHINCHA</v>
      </c>
      <c r="N1637" s="65" t="str">
        <f>IFERROR(__xludf.DUMMYFUNCTION("""COMPUTED_VALUE"""),"CAYAMBE")</f>
        <v>CAYAMBE</v>
      </c>
      <c r="O1637" s="65" t="str">
        <f>IFERROR(__xludf.DUMMYFUNCTION("""COMPUTED_VALUE"""),"Galo plaza y José Gómez Victor cartagena -")</f>
        <v>Galo plaza y José Gómez Victor cartagena -</v>
      </c>
      <c r="P1637" s="65"/>
      <c r="Q1637" s="65" t="str">
        <f>IFERROR(__xludf.DUMMYFUNCTION("""COMPUTED_VALUE"""),"GINTRACOM")</f>
        <v>GINTRACOM</v>
      </c>
      <c r="R1637" s="65">
        <f>IFERROR(__xludf.DUMMYFUNCTION("""COMPUTED_VALUE"""),20.0)</f>
        <v>20</v>
      </c>
      <c r="S1637" s="65"/>
      <c r="T1637" s="65">
        <f>IFERROR(__xludf.DUMMYFUNCTION("""COMPUTED_VALUE"""),5.18)</f>
        <v>5.18</v>
      </c>
      <c r="U1637" s="65">
        <f>IFERROR(__xludf.DUMMYFUNCTION("""COMPUTED_VALUE"""),0.0)</f>
        <v>0</v>
      </c>
      <c r="V1637" s="65">
        <f>IFERROR(__xludf.DUMMYFUNCTION("""COMPUTED_VALUE"""),0.0)</f>
        <v>0</v>
      </c>
      <c r="W1637" s="65">
        <f>IFERROR(__xludf.DUMMYFUNCTION("""COMPUTED_VALUE"""),0.0)</f>
        <v>0</v>
      </c>
      <c r="X1637" s="65">
        <f>IFERROR(__xludf.DUMMYFUNCTION("""COMPUTED_VALUE"""),2.35)</f>
        <v>2.35</v>
      </c>
      <c r="Y1637" s="65">
        <f>IFERROR(__xludf.DUMMYFUNCTION("""COMPUTED_VALUE"""),2.35)</f>
        <v>2.35</v>
      </c>
      <c r="Z1637" s="65">
        <f>IFERROR(__xludf.DUMMYFUNCTION("""COMPUTED_VALUE"""),116679.0)</f>
        <v>116679</v>
      </c>
      <c r="AA1637" s="65" t="str">
        <f>IFERROR(__xludf.DUMMYFUNCTION("""COMPUTED_VALUE"""),"AMC-2738")</f>
        <v>AMC-2738</v>
      </c>
      <c r="AB1637" s="65"/>
      <c r="AC1637" s="65" t="str">
        <f>IFERROR(__xludf.DUMMYFUNCTION("""COMPUTED_VALUE"""),"ESPONJA ANTILLUVIA DE PARABRISAS")</f>
        <v>ESPONJA ANTILLUVIA DE PARABRISAS</v>
      </c>
      <c r="AD1637" s="65"/>
      <c r="AE1637" s="65">
        <f>IFERROR(__xludf.DUMMYFUNCTION("""COMPUTED_VALUE"""),1.0)</f>
        <v>1</v>
      </c>
      <c r="AF1637" s="65"/>
      <c r="AG1637" s="65"/>
      <c r="AH1637" s="65"/>
      <c r="AI1637" s="65"/>
      <c r="AJ1637" s="65"/>
      <c r="AK1637" s="65"/>
      <c r="AL1637" s="65"/>
      <c r="AM1637" s="65"/>
      <c r="AN1637" s="65"/>
      <c r="AO1637" s="65"/>
      <c r="AP1637" s="65"/>
      <c r="AQ1637" s="65"/>
      <c r="AR1637" s="65"/>
      <c r="AS1637" s="65"/>
      <c r="AT1637" s="65" t="str">
        <f>IFERROR(__xludf.DUMMYFUNCTION("""COMPUTED_VALUE"""),"SHOPIFY")</f>
        <v>SHOPIFY</v>
      </c>
      <c r="AU1637" s="65" t="str">
        <f>IFERROR(__xludf.DUMMYFUNCTION("""COMPUTED_VALUE"""),"IMPORTEX EC")</f>
        <v>IMPORTEX EC</v>
      </c>
      <c r="AV1637" s="65" t="str">
        <f>IFERROR(__xludf.DUMMYFUNCTION("""COMPUTED_VALUE"""),"6418088198188")</f>
        <v>6418088198188</v>
      </c>
      <c r="AW1637" s="65">
        <f>IFERROR(__xludf.DUMMYFUNCTION("""COMPUTED_VALUE"""),5306.0)</f>
        <v>5306</v>
      </c>
      <c r="AX1637" s="65"/>
      <c r="AY1637" s="65"/>
      <c r="AZ1637" s="65"/>
      <c r="BA1637" s="65"/>
    </row>
    <row r="1638">
      <c r="A1638" s="65" t="str">
        <f>IFERROR(__xludf.DUMMYFUNCTION("""COMPUTED_VALUE"""),"27-03-2026")</f>
        <v>27-03-2026</v>
      </c>
      <c r="B1638" s="65">
        <f>IFERROR(__xludf.DUMMYFUNCTION("""COMPUTED_VALUE"""),4164323.0)</f>
        <v>4164323</v>
      </c>
      <c r="C1638" s="65" t="str">
        <f>IFERROR(__xludf.DUMMYFUNCTION("""COMPUTED_VALUE"""),"23:01")</f>
        <v>23:01</v>
      </c>
      <c r="D1638" s="65" t="str">
        <f>IFERROR(__xludf.DUMMYFUNCTION("""COMPUTED_VALUE"""),"15-01-2026")</f>
        <v>15-01-2026</v>
      </c>
      <c r="E1638" s="65" t="str">
        <f>IFERROR(__xludf.DUMMYFUNCTION("""COMPUTED_VALUE"""),"Walter Elíasi Solórzano Zambrano")</f>
        <v>Walter Elíasi Solórzano Zambrano</v>
      </c>
      <c r="F1638" s="65" t="str">
        <f>IFERROR(__xludf.DUMMYFUNCTION("""COMPUTED_VALUE"""),"985088468")</f>
        <v>985088468</v>
      </c>
      <c r="G1638" s="65" t="str">
        <f>IFERROR(__xludf.DUMMYFUNCTION("""COMPUTED_VALUE"""),"waltersolorzanoz@hotmail.com")</f>
        <v>waltersolorzanoz@hotmail.com</v>
      </c>
      <c r="H1638" s="65"/>
      <c r="I1638" s="65"/>
      <c r="J1638" s="65"/>
      <c r="K1638" s="65" t="str">
        <f>IFERROR(__xludf.DUMMYFUNCTION("""COMPUTED_VALUE"""),"PENDIENTE CONFIRMACION")</f>
        <v>PENDIENTE CONFIRMACION</v>
      </c>
      <c r="L1638" s="65" t="str">
        <f>IFERROR(__xludf.DUMMYFUNCTION("""COMPUTED_VALUE"""),"CON RECAUDO")</f>
        <v>CON RECAUDO</v>
      </c>
      <c r="M1638" s="65" t="str">
        <f>IFERROR(__xludf.DUMMYFUNCTION("""COMPUTED_VALUE"""),"MANABI")</f>
        <v>MANABI</v>
      </c>
      <c r="N1638" s="65" t="str">
        <f>IFERROR(__xludf.DUMMYFUNCTION("""COMPUTED_VALUE"""),"CHONE")</f>
        <v>CHONE</v>
      </c>
      <c r="O1638" s="65" t="str">
        <f>IFERROR(__xludf.DUMMYFUNCTION("""COMPUTED_VALUE"""),"7 de Agosto Atahualpa -")</f>
        <v>7 de Agosto Atahualpa -</v>
      </c>
      <c r="P1638" s="65"/>
      <c r="Q1638" s="65" t="str">
        <f>IFERROR(__xludf.DUMMYFUNCTION("""COMPUTED_VALUE"""),"GINTRACOM")</f>
        <v>GINTRACOM</v>
      </c>
      <c r="R1638" s="65">
        <f>IFERROR(__xludf.DUMMYFUNCTION("""COMPUTED_VALUE"""),32.0)</f>
        <v>32</v>
      </c>
      <c r="S1638" s="65"/>
      <c r="T1638" s="65">
        <f>IFERROR(__xludf.DUMMYFUNCTION("""COMPUTED_VALUE"""),6.24)</f>
        <v>6.24</v>
      </c>
      <c r="U1638" s="65">
        <f>IFERROR(__xludf.DUMMYFUNCTION("""COMPUTED_VALUE"""),0.0)</f>
        <v>0</v>
      </c>
      <c r="V1638" s="65">
        <f>IFERROR(__xludf.DUMMYFUNCTION("""COMPUTED_VALUE"""),0.0)</f>
        <v>0</v>
      </c>
      <c r="W1638" s="65">
        <f>IFERROR(__xludf.DUMMYFUNCTION("""COMPUTED_VALUE"""),0.0)</f>
        <v>0</v>
      </c>
      <c r="X1638" s="65">
        <f>IFERROR(__xludf.DUMMYFUNCTION("""COMPUTED_VALUE"""),2.6)</f>
        <v>2.6</v>
      </c>
      <c r="Y1638" s="65">
        <f>IFERROR(__xludf.DUMMYFUNCTION("""COMPUTED_VALUE"""),10.4)</f>
        <v>10.4</v>
      </c>
      <c r="Z1638" s="65">
        <f>IFERROR(__xludf.DUMMYFUNCTION("""COMPUTED_VALUE"""),121983.0)</f>
        <v>121983</v>
      </c>
      <c r="AA1638" s="65" t="str">
        <f>IFERROR(__xludf.DUMMYFUNCTION("""COMPUTED_VALUE"""),"PROV-CHLLCF")</f>
        <v>PROV-CHLLCF</v>
      </c>
      <c r="AB1638" s="65"/>
      <c r="AC1638" s="65" t="str">
        <f>IFERROR(__xludf.DUMMYFUNCTION("""COMPUTED_VALUE"""),"CUCHILLO PARA CHEF")</f>
        <v>CUCHILLO PARA CHEF</v>
      </c>
      <c r="AD1638" s="65"/>
      <c r="AE1638" s="65">
        <f>IFERROR(__xludf.DUMMYFUNCTION("""COMPUTED_VALUE"""),4.0)</f>
        <v>4</v>
      </c>
      <c r="AF1638" s="65"/>
      <c r="AG1638" s="65"/>
      <c r="AH1638" s="65"/>
      <c r="AI1638" s="65"/>
      <c r="AJ1638" s="65"/>
      <c r="AK1638" s="65"/>
      <c r="AL1638" s="65"/>
      <c r="AM1638" s="65"/>
      <c r="AN1638" s="65"/>
      <c r="AO1638" s="65"/>
      <c r="AP1638" s="65"/>
      <c r="AQ1638" s="65"/>
      <c r="AR1638" s="65"/>
      <c r="AS1638" s="65"/>
      <c r="AT1638" s="65" t="str">
        <f>IFERROR(__xludf.DUMMYFUNCTION("""COMPUTED_VALUE"""),"SHOPIFY")</f>
        <v>SHOPIFY</v>
      </c>
      <c r="AU1638" s="65" t="str">
        <f>IFERROR(__xludf.DUMMYFUNCTION("""COMPUTED_VALUE"""),"IMPORTEX EC")</f>
        <v>IMPORTEX EC</v>
      </c>
      <c r="AV1638" s="65" t="str">
        <f>IFERROR(__xludf.DUMMYFUNCTION("""COMPUTED_VALUE"""),"6418087903276")</f>
        <v>6418087903276</v>
      </c>
      <c r="AW1638" s="65">
        <f>IFERROR(__xludf.DUMMYFUNCTION("""COMPUTED_VALUE"""),5305.0)</f>
        <v>5305</v>
      </c>
      <c r="AX1638" s="65"/>
      <c r="AY1638" s="65"/>
      <c r="AZ1638" s="65"/>
      <c r="BA1638" s="65"/>
    </row>
    <row r="1639">
      <c r="A1639" s="65" t="str">
        <f>IFERROR(__xludf.DUMMYFUNCTION("""COMPUTED_VALUE"""),"27-03-2026")</f>
        <v>27-03-2026</v>
      </c>
      <c r="B1639" s="65">
        <f>IFERROR(__xludf.DUMMYFUNCTION("""COMPUTED_VALUE"""),4164247.0)</f>
        <v>4164247</v>
      </c>
      <c r="C1639" s="65" t="str">
        <f>IFERROR(__xludf.DUMMYFUNCTION("""COMPUTED_VALUE"""),"22:54")</f>
        <v>22:54</v>
      </c>
      <c r="D1639" s="65" t="str">
        <f>IFERROR(__xludf.DUMMYFUNCTION("""COMPUTED_VALUE"""),"15-01-2026")</f>
        <v>15-01-2026</v>
      </c>
      <c r="E1639" s="65" t="str">
        <f>IFERROR(__xludf.DUMMYFUNCTION("""COMPUTED_VALUE"""),"Juan Carlos Huilcamaigua Lema")</f>
        <v>Juan Carlos Huilcamaigua Lema</v>
      </c>
      <c r="F1639" s="65" t="str">
        <f>IFERROR(__xludf.DUMMYFUNCTION("""COMPUTED_VALUE"""),"984468983")</f>
        <v>984468983</v>
      </c>
      <c r="G1639" s="65" t="str">
        <f>IFERROR(__xludf.DUMMYFUNCTION("""COMPUTED_VALUE"""),"juan_khl@hotmail.com")</f>
        <v>juan_khl@hotmail.com</v>
      </c>
      <c r="H1639" s="65"/>
      <c r="I1639" s="65"/>
      <c r="J1639" s="65" t="str">
        <f>IFERROR(__xludf.DUMMYFUNCTION("""COMPUTED_VALUE"""),"D001234344")</f>
        <v>D001234344</v>
      </c>
      <c r="K1639" s="65" t="str">
        <f>IFERROR(__xludf.DUMMYFUNCTION("""COMPUTED_VALUE"""),"ENTREGADO")</f>
        <v>ENTREGADO</v>
      </c>
      <c r="L1639" s="65" t="str">
        <f>IFERROR(__xludf.DUMMYFUNCTION("""COMPUTED_VALUE"""),"CON RECAUDO")</f>
        <v>CON RECAUDO</v>
      </c>
      <c r="M1639" s="65" t="str">
        <f>IFERROR(__xludf.DUMMYFUNCTION("""COMPUTED_VALUE"""),"COTOPAXI")</f>
        <v>COTOPAXI</v>
      </c>
      <c r="N1639" s="65" t="str">
        <f>IFERROR(__xludf.DUMMYFUNCTION("""COMPUTED_VALUE"""),"LATACUNGA")</f>
        <v>LATACUNGA</v>
      </c>
      <c r="O1639" s="65" t="str">
        <f>IFERROR(__xludf.DUMMYFUNCTION("""COMPUTED_VALUE"""),"Calle Quito y Julio Hidalgo El Loreto, Urbanización El Remanso - Casa D 10")</f>
        <v>Calle Quito y Julio Hidalgo El Loreto, Urbanización El Remanso - Casa D 10</v>
      </c>
      <c r="P1639" s="65"/>
      <c r="Q1639" s="65" t="str">
        <f>IFERROR(__xludf.DUMMYFUNCTION("""COMPUTED_VALUE"""),"GINTRACOM")</f>
        <v>GINTRACOM</v>
      </c>
      <c r="R1639" s="65">
        <f>IFERROR(__xludf.DUMMYFUNCTION("""COMPUTED_VALUE"""),30.0)</f>
        <v>30</v>
      </c>
      <c r="S1639" s="65">
        <f>IFERROR(__xludf.DUMMYFUNCTION("""COMPUTED_VALUE"""),16.79)</f>
        <v>16.79</v>
      </c>
      <c r="T1639" s="65">
        <f>IFERROR(__xludf.DUMMYFUNCTION("""COMPUTED_VALUE"""),6.16)</f>
        <v>6.16</v>
      </c>
      <c r="U1639" s="65">
        <f>IFERROR(__xludf.DUMMYFUNCTION("""COMPUTED_VALUE"""),0.0)</f>
        <v>0</v>
      </c>
      <c r="V1639" s="65">
        <f>IFERROR(__xludf.DUMMYFUNCTION("""COMPUTED_VALUE"""),0.0)</f>
        <v>0</v>
      </c>
      <c r="W1639" s="65">
        <f>IFERROR(__xludf.DUMMYFUNCTION("""COMPUTED_VALUE"""),0.0)</f>
        <v>0</v>
      </c>
      <c r="X1639" s="65">
        <f>IFERROR(__xludf.DUMMYFUNCTION("""COMPUTED_VALUE"""),2.35)</f>
        <v>2.35</v>
      </c>
      <c r="Y1639" s="65">
        <f>IFERROR(__xludf.DUMMYFUNCTION("""COMPUTED_VALUE"""),7.05)</f>
        <v>7.05</v>
      </c>
      <c r="Z1639" s="65">
        <f>IFERROR(__xludf.DUMMYFUNCTION("""COMPUTED_VALUE"""),116679.0)</f>
        <v>116679</v>
      </c>
      <c r="AA1639" s="65" t="str">
        <f>IFERROR(__xludf.DUMMYFUNCTION("""COMPUTED_VALUE"""),"AMC-2738")</f>
        <v>AMC-2738</v>
      </c>
      <c r="AB1639" s="65"/>
      <c r="AC1639" s="65" t="str">
        <f>IFERROR(__xludf.DUMMYFUNCTION("""COMPUTED_VALUE"""),"ESPONJA ANTILLUVIA DE PARABRISAS")</f>
        <v>ESPONJA ANTILLUVIA DE PARABRISAS</v>
      </c>
      <c r="AD1639" s="65"/>
      <c r="AE1639" s="65">
        <f>IFERROR(__xludf.DUMMYFUNCTION("""COMPUTED_VALUE"""),3.0)</f>
        <v>3</v>
      </c>
      <c r="AF1639" s="65"/>
      <c r="AG1639" s="65"/>
      <c r="AH1639" s="65"/>
      <c r="AI1639" s="65"/>
      <c r="AJ1639" s="65"/>
      <c r="AK1639" s="65"/>
      <c r="AL1639" s="65"/>
      <c r="AM1639" s="65"/>
      <c r="AN1639" s="65" t="str">
        <f>IFERROR(__xludf.DUMMYFUNCTION("""COMPUTED_VALUE"""),"11:27")</f>
        <v>11:27</v>
      </c>
      <c r="AO1639" s="65" t="str">
        <f>IFERROR(__xludf.DUMMYFUNCTION("""COMPUTED_VALUE"""),"16-02-2026")</f>
        <v>16-02-2026</v>
      </c>
      <c r="AP1639" s="65" t="str">
        <f>IFERROR(__xludf.DUMMYFUNCTION("""COMPUTED_VALUE"""),"ENTREGADA GINTRACOM")</f>
        <v>ENTREGADA GINTRACOM</v>
      </c>
      <c r="AQ1639" s="65" t="str">
        <f>IFERROR(__xludf.DUMMYFUNCTION("""COMPUTED_VALUE"""),"ENTREGADA GINTRACOM")</f>
        <v>ENTREGADA GINTRACOM</v>
      </c>
      <c r="AR1639" s="65"/>
      <c r="AS1639" s="65"/>
      <c r="AT1639" s="65" t="str">
        <f>IFERROR(__xludf.DUMMYFUNCTION("""COMPUTED_VALUE"""),"SHOPIFY")</f>
        <v>SHOPIFY</v>
      </c>
      <c r="AU1639" s="65" t="str">
        <f>IFERROR(__xludf.DUMMYFUNCTION("""COMPUTED_VALUE"""),"IMPORTEX EC")</f>
        <v>IMPORTEX EC</v>
      </c>
      <c r="AV1639" s="65" t="str">
        <f>IFERROR(__xludf.DUMMYFUNCTION("""COMPUTED_VALUE"""),"6418074763308")</f>
        <v>6418074763308</v>
      </c>
      <c r="AW1639" s="65">
        <f>IFERROR(__xludf.DUMMYFUNCTION("""COMPUTED_VALUE"""),5304.0)</f>
        <v>5304</v>
      </c>
      <c r="AX1639" s="65"/>
      <c r="AY1639" s="65" t="str">
        <f>IFERROR(__xludf.DUMMYFUNCTION("""COMPUTED_VALUE"""),"17/01/2026")</f>
        <v>17/01/2026</v>
      </c>
      <c r="AZ1639" s="65"/>
      <c r="BA1639" s="65"/>
    </row>
    <row r="1640">
      <c r="A1640" s="65" t="str">
        <f>IFERROR(__xludf.DUMMYFUNCTION("""COMPUTED_VALUE"""),"27-03-2026")</f>
        <v>27-03-2026</v>
      </c>
      <c r="B1640" s="65">
        <f>IFERROR(__xludf.DUMMYFUNCTION("""COMPUTED_VALUE"""),4164180.0)</f>
        <v>4164180</v>
      </c>
      <c r="C1640" s="65" t="str">
        <f>IFERROR(__xludf.DUMMYFUNCTION("""COMPUTED_VALUE"""),"22:48")</f>
        <v>22:48</v>
      </c>
      <c r="D1640" s="65" t="str">
        <f>IFERROR(__xludf.DUMMYFUNCTION("""COMPUTED_VALUE"""),"15-01-2026")</f>
        <v>15-01-2026</v>
      </c>
      <c r="E1640" s="65" t="str">
        <f>IFERROR(__xludf.DUMMYFUNCTION("""COMPUTED_VALUE"""),"Tomas Muentes")</f>
        <v>Tomas Muentes</v>
      </c>
      <c r="F1640" s="65" t="str">
        <f>IFERROR(__xludf.DUMMYFUNCTION("""COMPUTED_VALUE"""),"983302379")</f>
        <v>983302379</v>
      </c>
      <c r="G1640" s="65" t="str">
        <f>IFERROR(__xludf.DUMMYFUNCTION("""COMPUTED_VALUE"""),"tomasmuentes67@hotmail.es")</f>
        <v>tomasmuentes67@hotmail.es</v>
      </c>
      <c r="H1640" s="65"/>
      <c r="I1640" s="65"/>
      <c r="J1640" s="65"/>
      <c r="K1640" s="65" t="str">
        <f>IFERROR(__xludf.DUMMYFUNCTION("""COMPUTED_VALUE"""),"PENDIENTE CONFIRMACION")</f>
        <v>PENDIENTE CONFIRMACION</v>
      </c>
      <c r="L1640" s="65" t="str">
        <f>IFERROR(__xludf.DUMMYFUNCTION("""COMPUTED_VALUE"""),"CON RECAUDO")</f>
        <v>CON RECAUDO</v>
      </c>
      <c r="M1640" s="65" t="str">
        <f>IFERROR(__xludf.DUMMYFUNCTION("""COMPUTED_VALUE"""),"ESMERALDAS")</f>
        <v>ESMERALDAS</v>
      </c>
      <c r="N1640" s="65" t="str">
        <f>IFERROR(__xludf.DUMMYFUNCTION("""COMPUTED_VALUE"""),"ESMERALDAS")</f>
        <v>ESMERALDAS</v>
      </c>
      <c r="O1640" s="65" t="str">
        <f>IFERROR(__xludf.DUMMYFUNCTION("""COMPUTED_VALUE"""),"Calle Luis Vargas Torres Calle Luis Vargas Torres -")</f>
        <v>Calle Luis Vargas Torres Calle Luis Vargas Torres -</v>
      </c>
      <c r="P1640" s="65"/>
      <c r="Q1640" s="65" t="str">
        <f>IFERROR(__xludf.DUMMYFUNCTION("""COMPUTED_VALUE"""),"GINTRACOM")</f>
        <v>GINTRACOM</v>
      </c>
      <c r="R1640" s="65">
        <f>IFERROR(__xludf.DUMMYFUNCTION("""COMPUTED_VALUE"""),25.0)</f>
        <v>25</v>
      </c>
      <c r="S1640" s="65"/>
      <c r="T1640" s="65">
        <f>IFERROR(__xludf.DUMMYFUNCTION("""COMPUTED_VALUE"""),5.96)</f>
        <v>5.96</v>
      </c>
      <c r="U1640" s="65">
        <f>IFERROR(__xludf.DUMMYFUNCTION("""COMPUTED_VALUE"""),0.0)</f>
        <v>0</v>
      </c>
      <c r="V1640" s="65">
        <f>IFERROR(__xludf.DUMMYFUNCTION("""COMPUTED_VALUE"""),0.0)</f>
        <v>0</v>
      </c>
      <c r="W1640" s="65">
        <f>IFERROR(__xludf.DUMMYFUNCTION("""COMPUTED_VALUE"""),0.0)</f>
        <v>0</v>
      </c>
      <c r="X1640" s="65">
        <f>IFERROR(__xludf.DUMMYFUNCTION("""COMPUTED_VALUE"""),2.35)</f>
        <v>2.35</v>
      </c>
      <c r="Y1640" s="65">
        <f>IFERROR(__xludf.DUMMYFUNCTION("""COMPUTED_VALUE"""),4.7)</f>
        <v>4.7</v>
      </c>
      <c r="Z1640" s="65">
        <f>IFERROR(__xludf.DUMMYFUNCTION("""COMPUTED_VALUE"""),116679.0)</f>
        <v>116679</v>
      </c>
      <c r="AA1640" s="65" t="str">
        <f>IFERROR(__xludf.DUMMYFUNCTION("""COMPUTED_VALUE"""),"AMC-2738")</f>
        <v>AMC-2738</v>
      </c>
      <c r="AB1640" s="65"/>
      <c r="AC1640" s="65" t="str">
        <f>IFERROR(__xludf.DUMMYFUNCTION("""COMPUTED_VALUE"""),"ESPONJA ANTILLUVIA DE PARABRISAS")</f>
        <v>ESPONJA ANTILLUVIA DE PARABRISAS</v>
      </c>
      <c r="AD1640" s="65"/>
      <c r="AE1640" s="65">
        <f>IFERROR(__xludf.DUMMYFUNCTION("""COMPUTED_VALUE"""),2.0)</f>
        <v>2</v>
      </c>
      <c r="AF1640" s="65"/>
      <c r="AG1640" s="65"/>
      <c r="AH1640" s="65"/>
      <c r="AI1640" s="65"/>
      <c r="AJ1640" s="65"/>
      <c r="AK1640" s="65"/>
      <c r="AL1640" s="65"/>
      <c r="AM1640" s="65"/>
      <c r="AN1640" s="65"/>
      <c r="AO1640" s="65"/>
      <c r="AP1640" s="65"/>
      <c r="AQ1640" s="65"/>
      <c r="AR1640" s="65"/>
      <c r="AS1640" s="65"/>
      <c r="AT1640" s="65" t="str">
        <f>IFERROR(__xludf.DUMMYFUNCTION("""COMPUTED_VALUE"""),"SHOPIFY")</f>
        <v>SHOPIFY</v>
      </c>
      <c r="AU1640" s="65" t="str">
        <f>IFERROR(__xludf.DUMMYFUNCTION("""COMPUTED_VALUE"""),"IMPORTEX EC")</f>
        <v>IMPORTEX EC</v>
      </c>
      <c r="AV1640" s="65" t="str">
        <f>IFERROR(__xludf.DUMMYFUNCTION("""COMPUTED_VALUE"""),"6418062475308")</f>
        <v>6418062475308</v>
      </c>
      <c r="AW1640" s="65">
        <f>IFERROR(__xludf.DUMMYFUNCTION("""COMPUTED_VALUE"""),5303.0)</f>
        <v>5303</v>
      </c>
      <c r="AX1640" s="65"/>
      <c r="AY1640" s="65"/>
      <c r="AZ1640" s="65"/>
      <c r="BA1640" s="65"/>
    </row>
    <row r="1641">
      <c r="A1641" s="65" t="str">
        <f>IFERROR(__xludf.DUMMYFUNCTION("""COMPUTED_VALUE"""),"27-03-2026")</f>
        <v>27-03-2026</v>
      </c>
      <c r="B1641" s="65">
        <f>IFERROR(__xludf.DUMMYFUNCTION("""COMPUTED_VALUE"""),4164106.0)</f>
        <v>4164106</v>
      </c>
      <c r="C1641" s="65" t="str">
        <f>IFERROR(__xludf.DUMMYFUNCTION("""COMPUTED_VALUE"""),"22:44")</f>
        <v>22:44</v>
      </c>
      <c r="D1641" s="65" t="str">
        <f>IFERROR(__xludf.DUMMYFUNCTION("""COMPUTED_VALUE"""),"15-01-2026")</f>
        <v>15-01-2026</v>
      </c>
      <c r="E1641" s="65" t="str">
        <f>IFERROR(__xludf.DUMMYFUNCTION("""COMPUTED_VALUE"""),"WILSON VINCES")</f>
        <v>WILSON VINCES</v>
      </c>
      <c r="F1641" s="65" t="str">
        <f>IFERROR(__xludf.DUMMYFUNCTION("""COMPUTED_VALUE"""),"997005660")</f>
        <v>997005660</v>
      </c>
      <c r="G1641" s="65" t="str">
        <f>IFERROR(__xludf.DUMMYFUNCTION("""COMPUTED_VALUE"""),"wvinces60@hotmail.com")</f>
        <v>wvinces60@hotmail.com</v>
      </c>
      <c r="H1641" s="65"/>
      <c r="I1641" s="65"/>
      <c r="J1641" s="65" t="str">
        <f>IFERROR(__xludf.DUMMYFUNCTION("""COMPUTED_VALUE"""),"D001233693")</f>
        <v>D001233693</v>
      </c>
      <c r="K1641" s="65" t="str">
        <f>IFERROR(__xludf.DUMMYFUNCTION("""COMPUTED_VALUE"""),"ENTREGADO")</f>
        <v>ENTREGADO</v>
      </c>
      <c r="L1641" s="65" t="str">
        <f>IFERROR(__xludf.DUMMYFUNCTION("""COMPUTED_VALUE"""),"CON RECAUDO")</f>
        <v>CON RECAUDO</v>
      </c>
      <c r="M1641" s="65" t="str">
        <f>IFERROR(__xludf.DUMMYFUNCTION("""COMPUTED_VALUE"""),"GUAYAS")</f>
        <v>GUAYAS</v>
      </c>
      <c r="N1641" s="65" t="str">
        <f>IFERROR(__xludf.DUMMYFUNCTION("""COMPUTED_VALUE"""),"GUAYAQUIL")</f>
        <v>GUAYAQUIL</v>
      </c>
      <c r="O1641" s="65" t="str">
        <f>IFERROR(__xludf.DUMMYFUNCTION("""COMPUTED_VALUE"""),"Cdla. Sagrada Familia. Mz 52 solar 10 Nueva Kenedy -")</f>
        <v>Cdla. Sagrada Familia. Mz 52 solar 10 Nueva Kenedy -</v>
      </c>
      <c r="P1641" s="65"/>
      <c r="Q1641" s="65" t="str">
        <f>IFERROR(__xludf.DUMMYFUNCTION("""COMPUTED_VALUE"""),"GINTRACOM")</f>
        <v>GINTRACOM</v>
      </c>
      <c r="R1641" s="65">
        <f>IFERROR(__xludf.DUMMYFUNCTION("""COMPUTED_VALUE"""),22.0)</f>
        <v>22</v>
      </c>
      <c r="S1641" s="65">
        <f>IFERROR(__xludf.DUMMYFUNCTION("""COMPUTED_VALUE"""),12.57)</f>
        <v>12.57</v>
      </c>
      <c r="T1641" s="65">
        <f>IFERROR(__xludf.DUMMYFUNCTION("""COMPUTED_VALUE"""),4.23)</f>
        <v>4.23</v>
      </c>
      <c r="U1641" s="65">
        <f>IFERROR(__xludf.DUMMYFUNCTION("""COMPUTED_VALUE"""),0.0)</f>
        <v>0</v>
      </c>
      <c r="V1641" s="65">
        <f>IFERROR(__xludf.DUMMYFUNCTION("""COMPUTED_VALUE"""),0.0)</f>
        <v>0</v>
      </c>
      <c r="W1641" s="65">
        <f>IFERROR(__xludf.DUMMYFUNCTION("""COMPUTED_VALUE"""),0.0)</f>
        <v>0</v>
      </c>
      <c r="X1641" s="65">
        <f>IFERROR(__xludf.DUMMYFUNCTION("""COMPUTED_VALUE"""),2.6)</f>
        <v>2.6</v>
      </c>
      <c r="Y1641" s="65">
        <f>IFERROR(__xludf.DUMMYFUNCTION("""COMPUTED_VALUE"""),5.2)</f>
        <v>5.2</v>
      </c>
      <c r="Z1641" s="65">
        <f>IFERROR(__xludf.DUMMYFUNCTION("""COMPUTED_VALUE"""),121983.0)</f>
        <v>121983</v>
      </c>
      <c r="AA1641" s="65" t="str">
        <f>IFERROR(__xludf.DUMMYFUNCTION("""COMPUTED_VALUE"""),"PROV-CHLLCF")</f>
        <v>PROV-CHLLCF</v>
      </c>
      <c r="AB1641" s="65"/>
      <c r="AC1641" s="65" t="str">
        <f>IFERROR(__xludf.DUMMYFUNCTION("""COMPUTED_VALUE"""),"CUCHILLO PARA CHEF")</f>
        <v>CUCHILLO PARA CHEF</v>
      </c>
      <c r="AD1641" s="65"/>
      <c r="AE1641" s="65">
        <f>IFERROR(__xludf.DUMMYFUNCTION("""COMPUTED_VALUE"""),2.0)</f>
        <v>2</v>
      </c>
      <c r="AF1641" s="65"/>
      <c r="AG1641" s="65"/>
      <c r="AH1641" s="65"/>
      <c r="AI1641" s="65"/>
      <c r="AJ1641" s="65"/>
      <c r="AK1641" s="65"/>
      <c r="AL1641" s="65"/>
      <c r="AM1641" s="65"/>
      <c r="AN1641" s="65" t="str">
        <f>IFERROR(__xludf.DUMMYFUNCTION("""COMPUTED_VALUE"""),"12:59")</f>
        <v>12:59</v>
      </c>
      <c r="AO1641" s="65" t="str">
        <f>IFERROR(__xludf.DUMMYFUNCTION("""COMPUTED_VALUE"""),"19-01-2026")</f>
        <v>19-01-2026</v>
      </c>
      <c r="AP1641" s="65" t="str">
        <f>IFERROR(__xludf.DUMMYFUNCTION("""COMPUTED_VALUE"""),"ENTREGADA GINTRACOM")</f>
        <v>ENTREGADA GINTRACOM</v>
      </c>
      <c r="AQ1641" s="65" t="str">
        <f>IFERROR(__xludf.DUMMYFUNCTION("""COMPUTED_VALUE"""),"ENTREGADA GINTRACOM")</f>
        <v>ENTREGADA GINTRACOM</v>
      </c>
      <c r="AR1641" s="65"/>
      <c r="AS1641" s="65"/>
      <c r="AT1641" s="65" t="str">
        <f>IFERROR(__xludf.DUMMYFUNCTION("""COMPUTED_VALUE"""),"SHOPIFY")</f>
        <v>SHOPIFY</v>
      </c>
      <c r="AU1641" s="65" t="str">
        <f>IFERROR(__xludf.DUMMYFUNCTION("""COMPUTED_VALUE"""),"IMPORTEX EC")</f>
        <v>IMPORTEX EC</v>
      </c>
      <c r="AV1641" s="65" t="str">
        <f>IFERROR(__xludf.DUMMYFUNCTION("""COMPUTED_VALUE"""),"6418047270956")</f>
        <v>6418047270956</v>
      </c>
      <c r="AW1641" s="65">
        <f>IFERROR(__xludf.DUMMYFUNCTION("""COMPUTED_VALUE"""),5302.0)</f>
        <v>5302</v>
      </c>
      <c r="AX1641" s="65"/>
      <c r="AY1641" s="65" t="str">
        <f>IFERROR(__xludf.DUMMYFUNCTION("""COMPUTED_VALUE"""),"17/01/2026")</f>
        <v>17/01/2026</v>
      </c>
      <c r="AZ1641" s="65"/>
      <c r="BA1641" s="65"/>
    </row>
    <row r="1642">
      <c r="A1642" s="65" t="str">
        <f>IFERROR(__xludf.DUMMYFUNCTION("""COMPUTED_VALUE"""),"27-03-2026")</f>
        <v>27-03-2026</v>
      </c>
      <c r="B1642" s="65">
        <f>IFERROR(__xludf.DUMMYFUNCTION("""COMPUTED_VALUE"""),4164088.0)</f>
        <v>4164088</v>
      </c>
      <c r="C1642" s="65" t="str">
        <f>IFERROR(__xludf.DUMMYFUNCTION("""COMPUTED_VALUE"""),"22:43")</f>
        <v>22:43</v>
      </c>
      <c r="D1642" s="65" t="str">
        <f>IFERROR(__xludf.DUMMYFUNCTION("""COMPUTED_VALUE"""),"15-01-2026")</f>
        <v>15-01-2026</v>
      </c>
      <c r="E1642" s="65" t="str">
        <f>IFERROR(__xludf.DUMMYFUNCTION("""COMPUTED_VALUE"""),"Washington Montenegro")</f>
        <v>Washington Montenegro</v>
      </c>
      <c r="F1642" s="65" t="str">
        <f>IFERROR(__xludf.DUMMYFUNCTION("""COMPUTED_VALUE"""),"998108820")</f>
        <v>998108820</v>
      </c>
      <c r="G1642" s="65" t="str">
        <f>IFERROR(__xludf.DUMMYFUNCTION("""COMPUTED_VALUE"""),"wmontenegro.wmcpa@gmail.com")</f>
        <v>wmontenegro.wmcpa@gmail.com</v>
      </c>
      <c r="H1642" s="65"/>
      <c r="I1642" s="65"/>
      <c r="J1642" s="65" t="str">
        <f>IFERROR(__xludf.DUMMYFUNCTION("""COMPUTED_VALUE"""),"D001233694")</f>
        <v>D001233694</v>
      </c>
      <c r="K1642" s="65" t="str">
        <f>IFERROR(__xludf.DUMMYFUNCTION("""COMPUTED_VALUE"""),"ENTREGADO")</f>
        <v>ENTREGADO</v>
      </c>
      <c r="L1642" s="65" t="str">
        <f>IFERROR(__xludf.DUMMYFUNCTION("""COMPUTED_VALUE"""),"CON RECAUDO")</f>
        <v>CON RECAUDO</v>
      </c>
      <c r="M1642" s="65" t="str">
        <f>IFERROR(__xludf.DUMMYFUNCTION("""COMPUTED_VALUE"""),"PICHINCHA")</f>
        <v>PICHINCHA</v>
      </c>
      <c r="N1642" s="65" t="str">
        <f>IFERROR(__xludf.DUMMYFUNCTION("""COMPUTED_VALUE"""),"QUITO")</f>
        <v>QUITO</v>
      </c>
      <c r="O1642" s="65" t="str">
        <f>IFERROR(__xludf.DUMMYFUNCTION("""COMPUTED_VALUE"""),"Miguel Ángel Ponton OE6-31 y Siux Urbanizacion Santa Anita -")</f>
        <v>Miguel Ángel Ponton OE6-31 y Siux Urbanizacion Santa Anita -</v>
      </c>
      <c r="P1642" s="65"/>
      <c r="Q1642" s="65" t="str">
        <f>IFERROR(__xludf.DUMMYFUNCTION("""COMPUTED_VALUE"""),"GINTRACOM")</f>
        <v>GINTRACOM</v>
      </c>
      <c r="R1642" s="65">
        <f>IFERROR(__xludf.DUMMYFUNCTION("""COMPUTED_VALUE"""),27.0)</f>
        <v>27</v>
      </c>
      <c r="S1642" s="65">
        <f>IFERROR(__xludf.DUMMYFUNCTION("""COMPUTED_VALUE"""),13.17)</f>
        <v>13.17</v>
      </c>
      <c r="T1642" s="65">
        <f>IFERROR(__xludf.DUMMYFUNCTION("""COMPUTED_VALUE"""),6.03)</f>
        <v>6.03</v>
      </c>
      <c r="U1642" s="65">
        <f>IFERROR(__xludf.DUMMYFUNCTION("""COMPUTED_VALUE"""),0.0)</f>
        <v>0</v>
      </c>
      <c r="V1642" s="65">
        <f>IFERROR(__xludf.DUMMYFUNCTION("""COMPUTED_VALUE"""),0.0)</f>
        <v>0</v>
      </c>
      <c r="W1642" s="65">
        <f>IFERROR(__xludf.DUMMYFUNCTION("""COMPUTED_VALUE"""),0.0)</f>
        <v>0</v>
      </c>
      <c r="X1642" s="65">
        <f>IFERROR(__xludf.DUMMYFUNCTION("""COMPUTED_VALUE"""),2.6)</f>
        <v>2.6</v>
      </c>
      <c r="Y1642" s="65">
        <f>IFERROR(__xludf.DUMMYFUNCTION("""COMPUTED_VALUE"""),7.8)</f>
        <v>7.8</v>
      </c>
      <c r="Z1642" s="65">
        <f>IFERROR(__xludf.DUMMYFUNCTION("""COMPUTED_VALUE"""),121983.0)</f>
        <v>121983</v>
      </c>
      <c r="AA1642" s="65" t="str">
        <f>IFERROR(__xludf.DUMMYFUNCTION("""COMPUTED_VALUE"""),"PROV-CHLLCF")</f>
        <v>PROV-CHLLCF</v>
      </c>
      <c r="AB1642" s="65"/>
      <c r="AC1642" s="65" t="str">
        <f>IFERROR(__xludf.DUMMYFUNCTION("""COMPUTED_VALUE"""),"CUCHILLO PARA CHEF")</f>
        <v>CUCHILLO PARA CHEF</v>
      </c>
      <c r="AD1642" s="65"/>
      <c r="AE1642" s="65">
        <f>IFERROR(__xludf.DUMMYFUNCTION("""COMPUTED_VALUE"""),3.0)</f>
        <v>3</v>
      </c>
      <c r="AF1642" s="65" t="str">
        <f>IFERROR(__xludf.DUMMYFUNCTION("""COMPUTED_VALUE"""),"DESTINATARIO NO CONTESTA LLAMADAS NI WHATSAPP")</f>
        <v>DESTINATARIO NO CONTESTA LLAMADAS NI WHATSAPP</v>
      </c>
      <c r="AG1642" s="65" t="str">
        <f>IFERROR(__xludf.DUMMYFUNCTION("""COMPUTED_VALUE"""),"SI")</f>
        <v>SI</v>
      </c>
      <c r="AH1642" s="65" t="str">
        <f>IFERROR(__xludf.DUMMYFUNCTION("""COMPUTED_VALUE"""),"19:42")</f>
        <v>19:42</v>
      </c>
      <c r="AI1642" s="65" t="str">
        <f>IFERROR(__xludf.DUMMYFUNCTION("""COMPUTED_VALUE"""),"19-01-2026")</f>
        <v>19-01-2026</v>
      </c>
      <c r="AJ1642" s="65"/>
      <c r="AK1642" s="65"/>
      <c r="AL1642" s="65"/>
      <c r="AM1642" s="65"/>
      <c r="AN1642" s="65" t="str">
        <f>IFERROR(__xludf.DUMMYFUNCTION("""COMPUTED_VALUE"""),"14:56")</f>
        <v>14:56</v>
      </c>
      <c r="AO1642" s="65" t="str">
        <f>IFERROR(__xludf.DUMMYFUNCTION("""COMPUTED_VALUE"""),"23-01-2026")</f>
        <v>23-01-2026</v>
      </c>
      <c r="AP1642" s="65" t="str">
        <f>IFERROR(__xludf.DUMMYFUNCTION("""COMPUTED_VALUE"""),"ENTREGADA GINTRACOM")</f>
        <v>ENTREGADA GINTRACOM</v>
      </c>
      <c r="AQ1642" s="65" t="str">
        <f>IFERROR(__xludf.DUMMYFUNCTION("""COMPUTED_VALUE"""),"ENTREGADA GINTRACOM")</f>
        <v>ENTREGADA GINTRACOM</v>
      </c>
      <c r="AR1642" s="65"/>
      <c r="AS1642" s="65"/>
      <c r="AT1642" s="65" t="str">
        <f>IFERROR(__xludf.DUMMYFUNCTION("""COMPUTED_VALUE"""),"SHOPIFY")</f>
        <v>SHOPIFY</v>
      </c>
      <c r="AU1642" s="65" t="str">
        <f>IFERROR(__xludf.DUMMYFUNCTION("""COMPUTED_VALUE"""),"IMPORTEX EC")</f>
        <v>IMPORTEX EC</v>
      </c>
      <c r="AV1642" s="65" t="str">
        <f>IFERROR(__xludf.DUMMYFUNCTION("""COMPUTED_VALUE"""),"6418045403180")</f>
        <v>6418045403180</v>
      </c>
      <c r="AW1642" s="65">
        <f>IFERROR(__xludf.DUMMYFUNCTION("""COMPUTED_VALUE"""),5301.0)</f>
        <v>5301</v>
      </c>
      <c r="AX1642" s="65"/>
      <c r="AY1642" s="65" t="str">
        <f>IFERROR(__xludf.DUMMYFUNCTION("""COMPUTED_VALUE"""),"17/01/2026")</f>
        <v>17/01/2026</v>
      </c>
      <c r="AZ1642" s="65"/>
      <c r="BA1642" s="65"/>
    </row>
    <row r="1643">
      <c r="A1643" s="65" t="str">
        <f>IFERROR(__xludf.DUMMYFUNCTION("""COMPUTED_VALUE"""),"27-03-2026")</f>
        <v>27-03-2026</v>
      </c>
      <c r="B1643" s="65">
        <f>IFERROR(__xludf.DUMMYFUNCTION("""COMPUTED_VALUE"""),4164031.0)</f>
        <v>4164031</v>
      </c>
      <c r="C1643" s="65" t="str">
        <f>IFERROR(__xludf.DUMMYFUNCTION("""COMPUTED_VALUE"""),"22:38")</f>
        <v>22:38</v>
      </c>
      <c r="D1643" s="65" t="str">
        <f>IFERROR(__xludf.DUMMYFUNCTION("""COMPUTED_VALUE"""),"15-01-2026")</f>
        <v>15-01-2026</v>
      </c>
      <c r="E1643" s="65" t="str">
        <f>IFERROR(__xludf.DUMMYFUNCTION("""COMPUTED_VALUE"""),"LAURA Gaona")</f>
        <v>LAURA Gaona</v>
      </c>
      <c r="F1643" s="65" t="str">
        <f>IFERROR(__xludf.DUMMYFUNCTION("""COMPUTED_VALUE"""),"988103585")</f>
        <v>988103585</v>
      </c>
      <c r="G1643" s="65" t="str">
        <f>IFERROR(__xludf.DUMMYFUNCTION("""COMPUTED_VALUE"""),"lauragaonaabad1986@gmail.com")</f>
        <v>lauragaonaabad1986@gmail.com</v>
      </c>
      <c r="H1643" s="65"/>
      <c r="I1643" s="65"/>
      <c r="J1643" s="65"/>
      <c r="K1643" s="65" t="str">
        <f>IFERROR(__xludf.DUMMYFUNCTION("""COMPUTED_VALUE"""),"PENDIENTE CONFIRMACION")</f>
        <v>PENDIENTE CONFIRMACION</v>
      </c>
      <c r="L1643" s="65" t="str">
        <f>IFERROR(__xludf.DUMMYFUNCTION("""COMPUTED_VALUE"""),"CON RECAUDO")</f>
        <v>CON RECAUDO</v>
      </c>
      <c r="M1643" s="65" t="str">
        <f>IFERROR(__xludf.DUMMYFUNCTION("""COMPUTED_VALUE"""),"ZAMORA CHINCHIPE")</f>
        <v>ZAMORA CHINCHIPE</v>
      </c>
      <c r="N1643" s="65" t="str">
        <f>IFERROR(__xludf.DUMMYFUNCTION("""COMPUTED_VALUE"""),"ZAMORA")</f>
        <v>ZAMORA</v>
      </c>
      <c r="O1643" s="65" t="str">
        <f>IFERROR(__xludf.DUMMYFUNCTION("""COMPUTED_VALUE"""),"Avenida del Ejército")</f>
        <v>Avenida del Ejército</v>
      </c>
      <c r="P1643" s="65" t="str">
        <f>IFERROR(__xludf.DUMMYFUNCTION("""COMPUTED_VALUE"""),"ESPONJA ANTILLUVIA DE PARABRISAS: Default Title ***")</f>
        <v>ESPONJA ANTILLUVIA DE PARABRISAS: Default Title ***</v>
      </c>
      <c r="Q1643" s="65" t="str">
        <f>IFERROR(__xludf.DUMMYFUNCTION("""COMPUTED_VALUE"""),"GINTRACOM")</f>
        <v>GINTRACOM</v>
      </c>
      <c r="R1643" s="65">
        <f>IFERROR(__xludf.DUMMYFUNCTION("""COMPUTED_VALUE"""),20.0)</f>
        <v>20</v>
      </c>
      <c r="S1643" s="65"/>
      <c r="T1643" s="65">
        <f>IFERROR(__xludf.DUMMYFUNCTION("""COMPUTED_VALUE"""),5.76)</f>
        <v>5.76</v>
      </c>
      <c r="U1643" s="65">
        <f>IFERROR(__xludf.DUMMYFUNCTION("""COMPUTED_VALUE"""),0.0)</f>
        <v>0</v>
      </c>
      <c r="V1643" s="65">
        <f>IFERROR(__xludf.DUMMYFUNCTION("""COMPUTED_VALUE"""),0.0)</f>
        <v>0</v>
      </c>
      <c r="W1643" s="65">
        <f>IFERROR(__xludf.DUMMYFUNCTION("""COMPUTED_VALUE"""),0.0)</f>
        <v>0</v>
      </c>
      <c r="X1643" s="65">
        <f>IFERROR(__xludf.DUMMYFUNCTION("""COMPUTED_VALUE"""),2.35)</f>
        <v>2.35</v>
      </c>
      <c r="Y1643" s="65">
        <f>IFERROR(__xludf.DUMMYFUNCTION("""COMPUTED_VALUE"""),2.35)</f>
        <v>2.35</v>
      </c>
      <c r="Z1643" s="65">
        <f>IFERROR(__xludf.DUMMYFUNCTION("""COMPUTED_VALUE"""),116679.0)</f>
        <v>116679</v>
      </c>
      <c r="AA1643" s="65" t="str">
        <f>IFERROR(__xludf.DUMMYFUNCTION("""COMPUTED_VALUE"""),"AMC-2738")</f>
        <v>AMC-2738</v>
      </c>
      <c r="AB1643" s="65"/>
      <c r="AC1643" s="65" t="str">
        <f>IFERROR(__xludf.DUMMYFUNCTION("""COMPUTED_VALUE"""),"ESPONJA ANTILLUVIA DE PARABRISAS")</f>
        <v>ESPONJA ANTILLUVIA DE PARABRISAS</v>
      </c>
      <c r="AD1643" s="65"/>
      <c r="AE1643" s="65">
        <f>IFERROR(__xludf.DUMMYFUNCTION("""COMPUTED_VALUE"""),1.0)</f>
        <v>1</v>
      </c>
      <c r="AF1643" s="65"/>
      <c r="AG1643" s="65"/>
      <c r="AH1643" s="65"/>
      <c r="AI1643" s="65"/>
      <c r="AJ1643" s="65"/>
      <c r="AK1643" s="65"/>
      <c r="AL1643" s="65"/>
      <c r="AM1643" s="65"/>
      <c r="AN1643" s="65"/>
      <c r="AO1643" s="65"/>
      <c r="AP1643" s="65"/>
      <c r="AQ1643" s="65"/>
      <c r="AR1643" s="65"/>
      <c r="AS1643" s="65"/>
      <c r="AT1643" s="65" t="str">
        <f>IFERROR(__xludf.DUMMYFUNCTION("""COMPUTED_VALUE"""),"SHOPIFY")</f>
        <v>SHOPIFY</v>
      </c>
      <c r="AU1643" s="65" t="str">
        <f>IFERROR(__xludf.DUMMYFUNCTION("""COMPUTED_VALUE"""),"IMPORTEX EC")</f>
        <v>IMPORTEX EC</v>
      </c>
      <c r="AV1643" s="65" t="str">
        <f>IFERROR(__xludf.DUMMYFUNCTION("""COMPUTED_VALUE"""),"6418036588588")</f>
        <v>6418036588588</v>
      </c>
      <c r="AW1643" s="65">
        <f>IFERROR(__xludf.DUMMYFUNCTION("""COMPUTED_VALUE"""),5300.0)</f>
        <v>5300</v>
      </c>
      <c r="AX1643" s="65"/>
      <c r="AY1643" s="65"/>
      <c r="AZ1643" s="65"/>
      <c r="BA1643" s="65"/>
    </row>
    <row r="1644">
      <c r="A1644" s="65" t="str">
        <f>IFERROR(__xludf.DUMMYFUNCTION("""COMPUTED_VALUE"""),"27-03-2026")</f>
        <v>27-03-2026</v>
      </c>
      <c r="B1644" s="65">
        <f>IFERROR(__xludf.DUMMYFUNCTION("""COMPUTED_VALUE"""),4163990.0)</f>
        <v>4163990</v>
      </c>
      <c r="C1644" s="65" t="str">
        <f>IFERROR(__xludf.DUMMYFUNCTION("""COMPUTED_VALUE"""),"22:36")</f>
        <v>22:36</v>
      </c>
      <c r="D1644" s="65" t="str">
        <f>IFERROR(__xludf.DUMMYFUNCTION("""COMPUTED_VALUE"""),"15-01-2026")</f>
        <v>15-01-2026</v>
      </c>
      <c r="E1644" s="65" t="str">
        <f>IFERROR(__xludf.DUMMYFUNCTION("""COMPUTED_VALUE"""),"Nidson Cecilio Peña Anchundia")</f>
        <v>Nidson Cecilio Peña Anchundia</v>
      </c>
      <c r="F1644" s="65" t="str">
        <f>IFERROR(__xludf.DUMMYFUNCTION("""COMPUTED_VALUE"""),"969851057")</f>
        <v>969851057</v>
      </c>
      <c r="G1644" s="65" t="str">
        <f>IFERROR(__xludf.DUMMYFUNCTION("""COMPUTED_VALUE"""),"nidsonpena@gmail.com")</f>
        <v>nidsonpena@gmail.com</v>
      </c>
      <c r="H1644" s="65"/>
      <c r="I1644" s="65"/>
      <c r="J1644" s="65" t="str">
        <f>IFERROR(__xludf.DUMMYFUNCTION("""COMPUTED_VALUE"""),"186495146")</f>
        <v>186495146</v>
      </c>
      <c r="K1644" s="65" t="str">
        <f>IFERROR(__xludf.DUMMYFUNCTION("""COMPUTED_VALUE"""),"ENTREGADO")</f>
        <v>ENTREGADO</v>
      </c>
      <c r="L1644" s="65" t="str">
        <f>IFERROR(__xludf.DUMMYFUNCTION("""COMPUTED_VALUE"""),"CON RECAUDO")</f>
        <v>CON RECAUDO</v>
      </c>
      <c r="M1644" s="65" t="str">
        <f>IFERROR(__xludf.DUMMYFUNCTION("""COMPUTED_VALUE"""),"PICHINCHA")</f>
        <v>PICHINCHA</v>
      </c>
      <c r="N1644" s="65" t="str">
        <f>IFERROR(__xludf.DUMMYFUNCTION("""COMPUTED_VALUE"""),"PUERTO QUITO")</f>
        <v>PUERTO QUITO</v>
      </c>
      <c r="O1644" s="65" t="str">
        <f>IFERROR(__xludf.DUMMYFUNCTION("""COMPUTED_VALUE"""),"Alado de cuerpo de bomberos casa Serví entrega en el Cantón Puerto Quito -")</f>
        <v>Alado de cuerpo de bomberos casa Serví entrega en el Cantón Puerto Quito -</v>
      </c>
      <c r="P1644" s="65"/>
      <c r="Q1644" s="65" t="str">
        <f>IFERROR(__xludf.DUMMYFUNCTION("""COMPUTED_VALUE"""),"SERVIENTREGA")</f>
        <v>SERVIENTREGA</v>
      </c>
      <c r="R1644" s="65">
        <f>IFERROR(__xludf.DUMMYFUNCTION("""COMPUTED_VALUE"""),22.0)</f>
        <v>22</v>
      </c>
      <c r="S1644" s="65">
        <f>IFERROR(__xludf.DUMMYFUNCTION("""COMPUTED_VALUE"""),9.1)</f>
        <v>9.1</v>
      </c>
      <c r="T1644" s="65">
        <f>IFERROR(__xludf.DUMMYFUNCTION("""COMPUTED_VALUE"""),7.7)</f>
        <v>7.7</v>
      </c>
      <c r="U1644" s="65">
        <f>IFERROR(__xludf.DUMMYFUNCTION("""COMPUTED_VALUE"""),0.0)</f>
        <v>0</v>
      </c>
      <c r="V1644" s="65">
        <f>IFERROR(__xludf.DUMMYFUNCTION("""COMPUTED_VALUE"""),0.0)</f>
        <v>0</v>
      </c>
      <c r="W1644" s="65">
        <f>IFERROR(__xludf.DUMMYFUNCTION("""COMPUTED_VALUE"""),0.0)</f>
        <v>0</v>
      </c>
      <c r="X1644" s="65">
        <f>IFERROR(__xludf.DUMMYFUNCTION("""COMPUTED_VALUE"""),2.6)</f>
        <v>2.6</v>
      </c>
      <c r="Y1644" s="65">
        <f>IFERROR(__xludf.DUMMYFUNCTION("""COMPUTED_VALUE"""),5.2)</f>
        <v>5.2</v>
      </c>
      <c r="Z1644" s="65">
        <f>IFERROR(__xludf.DUMMYFUNCTION("""COMPUTED_VALUE"""),121983.0)</f>
        <v>121983</v>
      </c>
      <c r="AA1644" s="65" t="str">
        <f>IFERROR(__xludf.DUMMYFUNCTION("""COMPUTED_VALUE"""),"PROV-CHLLCF")</f>
        <v>PROV-CHLLCF</v>
      </c>
      <c r="AB1644" s="65"/>
      <c r="AC1644" s="65" t="str">
        <f>IFERROR(__xludf.DUMMYFUNCTION("""COMPUTED_VALUE"""),"CUCHILLO PARA CHEF")</f>
        <v>CUCHILLO PARA CHEF</v>
      </c>
      <c r="AD1644" s="65"/>
      <c r="AE1644" s="65">
        <f>IFERROR(__xludf.DUMMYFUNCTION("""COMPUTED_VALUE"""),2.0)</f>
        <v>2</v>
      </c>
      <c r="AF1644" s="65"/>
      <c r="AG1644" s="65"/>
      <c r="AH1644" s="65"/>
      <c r="AI1644" s="65"/>
      <c r="AJ1644" s="65"/>
      <c r="AK1644" s="65"/>
      <c r="AL1644" s="65"/>
      <c r="AM1644" s="65"/>
      <c r="AN1644" s="65" t="str">
        <f>IFERROR(__xludf.DUMMYFUNCTION("""COMPUTED_VALUE"""),"10:51")</f>
        <v>10:51</v>
      </c>
      <c r="AO1644" s="65" t="str">
        <f>IFERROR(__xludf.DUMMYFUNCTION("""COMPUTED_VALUE"""),"12-02-2026")</f>
        <v>12-02-2026</v>
      </c>
      <c r="AP1644" s="65" t="str">
        <f>IFERROR(__xludf.DUMMYFUNCTION("""COMPUTED_VALUE"""),"ENTREGA DIGITALIZADA EN CENTRO LOGISTICO")</f>
        <v>ENTREGA DIGITALIZADA EN CENTRO LOGISTICO</v>
      </c>
      <c r="AQ1644" s="65" t="str">
        <f>IFERROR(__xludf.DUMMYFUNCTION("""COMPUTED_VALUE"""),"NIDSON PENA")</f>
        <v>NIDSON PENA</v>
      </c>
      <c r="AR1644" s="65"/>
      <c r="AS1644" s="65"/>
      <c r="AT1644" s="65" t="str">
        <f>IFERROR(__xludf.DUMMYFUNCTION("""COMPUTED_VALUE"""),"SHOPIFY")</f>
        <v>SHOPIFY</v>
      </c>
      <c r="AU1644" s="65" t="str">
        <f>IFERROR(__xludf.DUMMYFUNCTION("""COMPUTED_VALUE"""),"IMPORTEX EC")</f>
        <v>IMPORTEX EC</v>
      </c>
      <c r="AV1644" s="65" t="str">
        <f>IFERROR(__xludf.DUMMYFUNCTION("""COMPUTED_VALUE"""),"6418030919724")</f>
        <v>6418030919724</v>
      </c>
      <c r="AW1644" s="65">
        <f>IFERROR(__xludf.DUMMYFUNCTION("""COMPUTED_VALUE"""),5299.0)</f>
        <v>5299</v>
      </c>
      <c r="AX1644" s="65"/>
      <c r="AY1644" s="65" t="str">
        <f>IFERROR(__xludf.DUMMYFUNCTION("""COMPUTED_VALUE"""),"19/01/2026")</f>
        <v>19/01/2026</v>
      </c>
      <c r="AZ1644" s="65"/>
      <c r="BA1644" s="65"/>
    </row>
    <row r="1645">
      <c r="A1645" s="65" t="str">
        <f>IFERROR(__xludf.DUMMYFUNCTION("""COMPUTED_VALUE"""),"27-03-2026")</f>
        <v>27-03-2026</v>
      </c>
      <c r="B1645" s="65">
        <f>IFERROR(__xludf.DUMMYFUNCTION("""COMPUTED_VALUE"""),4163833.0)</f>
        <v>4163833</v>
      </c>
      <c r="C1645" s="65" t="str">
        <f>IFERROR(__xludf.DUMMYFUNCTION("""COMPUTED_VALUE"""),"22:24")</f>
        <v>22:24</v>
      </c>
      <c r="D1645" s="65" t="str">
        <f>IFERROR(__xludf.DUMMYFUNCTION("""COMPUTED_VALUE"""),"15-01-2026")</f>
        <v>15-01-2026</v>
      </c>
      <c r="E1645" s="65" t="str">
        <f>IFERROR(__xludf.DUMMYFUNCTION("""COMPUTED_VALUE"""),"Mauricio Vera")</f>
        <v>Mauricio Vera</v>
      </c>
      <c r="F1645" s="65" t="str">
        <f>IFERROR(__xludf.DUMMYFUNCTION("""COMPUTED_VALUE"""),"968959832")</f>
        <v>968959832</v>
      </c>
      <c r="G1645" s="65" t="str">
        <f>IFERROR(__xludf.DUMMYFUNCTION("""COMPUTED_VALUE"""),"mauriciovladimirveracaiser10@gmail.com")</f>
        <v>mauriciovladimirveracaiser10@gmail.com</v>
      </c>
      <c r="H1645" s="65"/>
      <c r="I1645" s="65"/>
      <c r="J1645" s="65" t="str">
        <f>IFERROR(__xludf.DUMMYFUNCTION("""COMPUTED_VALUE"""),"D001240145")</f>
        <v>D001240145</v>
      </c>
      <c r="K1645" s="65" t="str">
        <f>IFERROR(__xludf.DUMMYFUNCTION("""COMPUTED_VALUE"""),"ENTREGADO")</f>
        <v>ENTREGADO</v>
      </c>
      <c r="L1645" s="65" t="str">
        <f>IFERROR(__xludf.DUMMYFUNCTION("""COMPUTED_VALUE"""),"CON RECAUDO")</f>
        <v>CON RECAUDO</v>
      </c>
      <c r="M1645" s="65" t="str">
        <f>IFERROR(__xludf.DUMMYFUNCTION("""COMPUTED_VALUE"""),"GUAYAS")</f>
        <v>GUAYAS</v>
      </c>
      <c r="N1645" s="65" t="str">
        <f>IFERROR(__xludf.DUMMYFUNCTION("""COMPUTED_VALUE"""),"GUAYAQUIL")</f>
        <v>GUAYAQUIL</v>
      </c>
      <c r="O1645" s="65" t="str">
        <f>IFERROR(__xludf.DUMMYFUNCTION("""COMPUTED_VALUE"""),"Avenida las palmas Bastión popular bloq 5 mz 863 sl 14 -")</f>
        <v>Avenida las palmas Bastión popular bloq 5 mz 863 sl 14 -</v>
      </c>
      <c r="P1645" s="65"/>
      <c r="Q1645" s="65" t="str">
        <f>IFERROR(__xludf.DUMMYFUNCTION("""COMPUTED_VALUE"""),"GINTRACOM")</f>
        <v>GINTRACOM</v>
      </c>
      <c r="R1645" s="65">
        <f>IFERROR(__xludf.DUMMYFUNCTION("""COMPUTED_VALUE"""),20.0)</f>
        <v>20</v>
      </c>
      <c r="S1645" s="65">
        <f>IFERROR(__xludf.DUMMYFUNCTION("""COMPUTED_VALUE"""),11.89)</f>
        <v>11.89</v>
      </c>
      <c r="T1645" s="65">
        <f>IFERROR(__xludf.DUMMYFUNCTION("""COMPUTED_VALUE"""),5.76)</f>
        <v>5.76</v>
      </c>
      <c r="U1645" s="65">
        <f>IFERROR(__xludf.DUMMYFUNCTION("""COMPUTED_VALUE"""),0.0)</f>
        <v>0</v>
      </c>
      <c r="V1645" s="65">
        <f>IFERROR(__xludf.DUMMYFUNCTION("""COMPUTED_VALUE"""),0.0)</f>
        <v>0</v>
      </c>
      <c r="W1645" s="65">
        <f>IFERROR(__xludf.DUMMYFUNCTION("""COMPUTED_VALUE"""),0.0)</f>
        <v>0</v>
      </c>
      <c r="X1645" s="65">
        <f>IFERROR(__xludf.DUMMYFUNCTION("""COMPUTED_VALUE"""),2.35)</f>
        <v>2.35</v>
      </c>
      <c r="Y1645" s="65">
        <f>IFERROR(__xludf.DUMMYFUNCTION("""COMPUTED_VALUE"""),2.35)</f>
        <v>2.35</v>
      </c>
      <c r="Z1645" s="65">
        <f>IFERROR(__xludf.DUMMYFUNCTION("""COMPUTED_VALUE"""),116679.0)</f>
        <v>116679</v>
      </c>
      <c r="AA1645" s="65" t="str">
        <f>IFERROR(__xludf.DUMMYFUNCTION("""COMPUTED_VALUE"""),"AMC-2738")</f>
        <v>AMC-2738</v>
      </c>
      <c r="AB1645" s="65"/>
      <c r="AC1645" s="65" t="str">
        <f>IFERROR(__xludf.DUMMYFUNCTION("""COMPUTED_VALUE"""),"ESPONJA ANTILLUVIA DE PARABRISAS")</f>
        <v>ESPONJA ANTILLUVIA DE PARABRISAS</v>
      </c>
      <c r="AD1645" s="65"/>
      <c r="AE1645" s="65">
        <f>IFERROR(__xludf.DUMMYFUNCTION("""COMPUTED_VALUE"""),1.0)</f>
        <v>1</v>
      </c>
      <c r="AF1645" s="65" t="str">
        <f>IFERROR(__xludf.DUMMYFUNCTION("""COMPUTED_VALUE"""),"DESTINATARIO NO CONTESTA LLAMADAS NI WHATSAPP")</f>
        <v>DESTINATARIO NO CONTESTA LLAMADAS NI WHATSAPP</v>
      </c>
      <c r="AG1645" s="65" t="str">
        <f>IFERROR(__xludf.DUMMYFUNCTION("""COMPUTED_VALUE"""),"SI")</f>
        <v>SI</v>
      </c>
      <c r="AH1645" s="65" t="str">
        <f>IFERROR(__xludf.DUMMYFUNCTION("""COMPUTED_VALUE"""),"10:32")</f>
        <v>10:32</v>
      </c>
      <c r="AI1645" s="65" t="str">
        <f>IFERROR(__xludf.DUMMYFUNCTION("""COMPUTED_VALUE"""),"21-01-2026")</f>
        <v>21-01-2026</v>
      </c>
      <c r="AJ1645" s="65"/>
      <c r="AK1645" s="65"/>
      <c r="AL1645" s="65"/>
      <c r="AM1645" s="65"/>
      <c r="AN1645" s="65" t="str">
        <f>IFERROR(__xludf.DUMMYFUNCTION("""COMPUTED_VALUE"""),"18:42")</f>
        <v>18:42</v>
      </c>
      <c r="AO1645" s="65" t="str">
        <f>IFERROR(__xludf.DUMMYFUNCTION("""COMPUTED_VALUE"""),"26-01-2026")</f>
        <v>26-01-2026</v>
      </c>
      <c r="AP1645" s="65" t="str">
        <f>IFERROR(__xludf.DUMMYFUNCTION("""COMPUTED_VALUE"""),"ENTREGADA GINTRACOM")</f>
        <v>ENTREGADA GINTRACOM</v>
      </c>
      <c r="AQ1645" s="65" t="str">
        <f>IFERROR(__xludf.DUMMYFUNCTION("""COMPUTED_VALUE"""),"ENTREGADA GINTRACOM")</f>
        <v>ENTREGADA GINTRACOM</v>
      </c>
      <c r="AR1645" s="65"/>
      <c r="AS1645" s="65"/>
      <c r="AT1645" s="65" t="str">
        <f>IFERROR(__xludf.DUMMYFUNCTION("""COMPUTED_VALUE"""),"SHOPIFY")</f>
        <v>SHOPIFY</v>
      </c>
      <c r="AU1645" s="65" t="str">
        <f>IFERROR(__xludf.DUMMYFUNCTION("""COMPUTED_VALUE"""),"IMPORTEX EC")</f>
        <v>IMPORTEX EC</v>
      </c>
      <c r="AV1645" s="65" t="str">
        <f>IFERROR(__xludf.DUMMYFUNCTION("""COMPUTED_VALUE"""),"6418006081580")</f>
        <v>6418006081580</v>
      </c>
      <c r="AW1645" s="65">
        <f>IFERROR(__xludf.DUMMYFUNCTION("""COMPUTED_VALUE"""),5298.0)</f>
        <v>5298</v>
      </c>
      <c r="AX1645" s="65"/>
      <c r="AY1645" s="65" t="str">
        <f>IFERROR(__xludf.DUMMYFUNCTION("""COMPUTED_VALUE"""),"19/01/2026")</f>
        <v>19/01/2026</v>
      </c>
      <c r="AZ1645" s="65"/>
      <c r="BA1645" s="65"/>
    </row>
    <row r="1646">
      <c r="A1646" s="65" t="str">
        <f>IFERROR(__xludf.DUMMYFUNCTION("""COMPUTED_VALUE"""),"27-03-2026")</f>
        <v>27-03-2026</v>
      </c>
      <c r="B1646" s="65">
        <f>IFERROR(__xludf.DUMMYFUNCTION("""COMPUTED_VALUE"""),4163752.0)</f>
        <v>4163752</v>
      </c>
      <c r="C1646" s="65" t="str">
        <f>IFERROR(__xludf.DUMMYFUNCTION("""COMPUTED_VALUE"""),"22:18")</f>
        <v>22:18</v>
      </c>
      <c r="D1646" s="65" t="str">
        <f>IFERROR(__xludf.DUMMYFUNCTION("""COMPUTED_VALUE"""),"15-01-2026")</f>
        <v>15-01-2026</v>
      </c>
      <c r="E1646" s="65" t="str">
        <f>IFERROR(__xludf.DUMMYFUNCTION("""COMPUTED_VALUE"""),"Ángela Chica")</f>
        <v>Ángela Chica</v>
      </c>
      <c r="F1646" s="65" t="str">
        <f>IFERROR(__xludf.DUMMYFUNCTION("""COMPUTED_VALUE"""),"993521045")</f>
        <v>993521045</v>
      </c>
      <c r="G1646" s="65" t="str">
        <f>IFERROR(__xludf.DUMMYFUNCTION("""COMPUTED_VALUE"""),"angitugatita1963@gmail.com")</f>
        <v>angitugatita1963@gmail.com</v>
      </c>
      <c r="H1646" s="65"/>
      <c r="I1646" s="65"/>
      <c r="J1646" s="65"/>
      <c r="K1646" s="65" t="str">
        <f>IFERROR(__xludf.DUMMYFUNCTION("""COMPUTED_VALUE"""),"CANCELADO")</f>
        <v>CANCELADO</v>
      </c>
      <c r="L1646" s="65" t="str">
        <f>IFERROR(__xludf.DUMMYFUNCTION("""COMPUTED_VALUE"""),"CON RECAUDO")</f>
        <v>CON RECAUDO</v>
      </c>
      <c r="M1646" s="65" t="str">
        <f>IFERROR(__xludf.DUMMYFUNCTION("""COMPUTED_VALUE"""),"MANABI")</f>
        <v>MANABI</v>
      </c>
      <c r="N1646" s="65" t="str">
        <f>IFERROR(__xludf.DUMMYFUNCTION("""COMPUTED_VALUE"""),"MANTA")</f>
        <v>MANTA</v>
      </c>
      <c r="O1646" s="65" t="str">
        <f>IFERROR(__xludf.DUMMYFUNCTION("""COMPUTED_VALUE"""),"Av V 1 lote # 7 Villa Marina -")</f>
        <v>Av V 1 lote # 7 Villa Marina -</v>
      </c>
      <c r="P1646" s="65"/>
      <c r="Q1646" s="65" t="str">
        <f>IFERROR(__xludf.DUMMYFUNCTION("""COMPUTED_VALUE"""),"GINTRACOM")</f>
        <v>GINTRACOM</v>
      </c>
      <c r="R1646" s="65">
        <f>IFERROR(__xludf.DUMMYFUNCTION("""COMPUTED_VALUE"""),22.0)</f>
        <v>22</v>
      </c>
      <c r="S1646" s="65"/>
      <c r="T1646" s="65">
        <f>IFERROR(__xludf.DUMMYFUNCTION("""COMPUTED_VALUE"""),5.84)</f>
        <v>5.84</v>
      </c>
      <c r="U1646" s="65">
        <f>IFERROR(__xludf.DUMMYFUNCTION("""COMPUTED_VALUE"""),0.0)</f>
        <v>0</v>
      </c>
      <c r="V1646" s="65">
        <f>IFERROR(__xludf.DUMMYFUNCTION("""COMPUTED_VALUE"""),0.0)</f>
        <v>0</v>
      </c>
      <c r="W1646" s="65">
        <f>IFERROR(__xludf.DUMMYFUNCTION("""COMPUTED_VALUE"""),0.0)</f>
        <v>0</v>
      </c>
      <c r="X1646" s="65">
        <f>IFERROR(__xludf.DUMMYFUNCTION("""COMPUTED_VALUE"""),2.6)</f>
        <v>2.6</v>
      </c>
      <c r="Y1646" s="65">
        <f>IFERROR(__xludf.DUMMYFUNCTION("""COMPUTED_VALUE"""),5.2)</f>
        <v>5.2</v>
      </c>
      <c r="Z1646" s="65">
        <f>IFERROR(__xludf.DUMMYFUNCTION("""COMPUTED_VALUE"""),121983.0)</f>
        <v>121983</v>
      </c>
      <c r="AA1646" s="65" t="str">
        <f>IFERROR(__xludf.DUMMYFUNCTION("""COMPUTED_VALUE"""),"PROV-CHLLCF")</f>
        <v>PROV-CHLLCF</v>
      </c>
      <c r="AB1646" s="65"/>
      <c r="AC1646" s="65" t="str">
        <f>IFERROR(__xludf.DUMMYFUNCTION("""COMPUTED_VALUE"""),"CUCHILLO PARA CHEF")</f>
        <v>CUCHILLO PARA CHEF</v>
      </c>
      <c r="AD1646" s="65"/>
      <c r="AE1646" s="65">
        <f>IFERROR(__xludf.DUMMYFUNCTION("""COMPUTED_VALUE"""),2.0)</f>
        <v>2</v>
      </c>
      <c r="AF1646" s="65"/>
      <c r="AG1646" s="65"/>
      <c r="AH1646" s="65"/>
      <c r="AI1646" s="65"/>
      <c r="AJ1646" s="65"/>
      <c r="AK1646" s="65"/>
      <c r="AL1646" s="65"/>
      <c r="AM1646" s="65"/>
      <c r="AN1646" s="65"/>
      <c r="AO1646" s="65"/>
      <c r="AP1646" s="65"/>
      <c r="AQ1646" s="65"/>
      <c r="AR1646" s="65"/>
      <c r="AS1646" s="65"/>
      <c r="AT1646" s="65" t="str">
        <f>IFERROR(__xludf.DUMMYFUNCTION("""COMPUTED_VALUE"""),"SHOPIFY")</f>
        <v>SHOPIFY</v>
      </c>
      <c r="AU1646" s="65" t="str">
        <f>IFERROR(__xludf.DUMMYFUNCTION("""COMPUTED_VALUE"""),"IMPORTEX EC")</f>
        <v>IMPORTEX EC</v>
      </c>
      <c r="AV1646" s="65" t="str">
        <f>IFERROR(__xludf.DUMMYFUNCTION("""COMPUTED_VALUE"""),"6417991467052")</f>
        <v>6417991467052</v>
      </c>
      <c r="AW1646" s="65">
        <f>IFERROR(__xludf.DUMMYFUNCTION("""COMPUTED_VALUE"""),5297.0)</f>
        <v>5297</v>
      </c>
      <c r="AX1646" s="65"/>
      <c r="AY1646" s="65"/>
      <c r="AZ1646" s="65"/>
      <c r="BA1646" s="65"/>
    </row>
    <row r="1647">
      <c r="A1647" s="65" t="str">
        <f>IFERROR(__xludf.DUMMYFUNCTION("""COMPUTED_VALUE"""),"27-03-2026")</f>
        <v>27-03-2026</v>
      </c>
      <c r="B1647" s="65">
        <f>IFERROR(__xludf.DUMMYFUNCTION("""COMPUTED_VALUE"""),4163653.0)</f>
        <v>4163653</v>
      </c>
      <c r="C1647" s="65" t="str">
        <f>IFERROR(__xludf.DUMMYFUNCTION("""COMPUTED_VALUE"""),"22:10")</f>
        <v>22:10</v>
      </c>
      <c r="D1647" s="65" t="str">
        <f>IFERROR(__xludf.DUMMYFUNCTION("""COMPUTED_VALUE"""),"15-01-2026")</f>
        <v>15-01-2026</v>
      </c>
      <c r="E1647" s="65" t="str">
        <f>IFERROR(__xludf.DUMMYFUNCTION("""COMPUTED_VALUE"""),"Víctor Antonio Sanchez Espinoza")</f>
        <v>Víctor Antonio Sanchez Espinoza</v>
      </c>
      <c r="F1647" s="65" t="str">
        <f>IFERROR(__xludf.DUMMYFUNCTION("""COMPUTED_VALUE"""),"997875529")</f>
        <v>997875529</v>
      </c>
      <c r="G1647" s="65" t="str">
        <f>IFERROR(__xludf.DUMMYFUNCTION("""COMPUTED_VALUE"""),"vitonosanchez@hotmail.com")</f>
        <v>vitonosanchez@hotmail.com</v>
      </c>
      <c r="H1647" s="65"/>
      <c r="I1647" s="65"/>
      <c r="J1647" s="65" t="str">
        <f>IFERROR(__xludf.DUMMYFUNCTION("""COMPUTED_VALUE"""),"D001240146")</f>
        <v>D001240146</v>
      </c>
      <c r="K1647" s="65" t="str">
        <f>IFERROR(__xludf.DUMMYFUNCTION("""COMPUTED_VALUE"""),"ENTREGADO")</f>
        <v>ENTREGADO</v>
      </c>
      <c r="L1647" s="65" t="str">
        <f>IFERROR(__xludf.DUMMYFUNCTION("""COMPUTED_VALUE"""),"CON RECAUDO")</f>
        <v>CON RECAUDO</v>
      </c>
      <c r="M1647" s="65" t="str">
        <f>IFERROR(__xludf.DUMMYFUNCTION("""COMPUTED_VALUE"""),"LOS RIOS")</f>
        <v>LOS RIOS</v>
      </c>
      <c r="N1647" s="65" t="str">
        <f>IFERROR(__xludf.DUMMYFUNCTION("""COMPUTED_VALUE"""),"QUEVEDO")</f>
        <v>QUEVEDO</v>
      </c>
      <c r="O1647" s="65" t="str">
        <f>IFERROR(__xludf.DUMMYFUNCTION("""COMPUTED_VALUE"""),"C. Unidad Nacional y Paraguay Delia Ibarra -")</f>
        <v>C. Unidad Nacional y Paraguay Delia Ibarra -</v>
      </c>
      <c r="P1647" s="65"/>
      <c r="Q1647" s="65" t="str">
        <f>IFERROR(__xludf.DUMMYFUNCTION("""COMPUTED_VALUE"""),"GINTRACOM")</f>
        <v>GINTRACOM</v>
      </c>
      <c r="R1647" s="65">
        <f>IFERROR(__xludf.DUMMYFUNCTION("""COMPUTED_VALUE"""),30.0)</f>
        <v>30</v>
      </c>
      <c r="S1647" s="65">
        <f>IFERROR(__xludf.DUMMYFUNCTION("""COMPUTED_VALUE"""),16.79)</f>
        <v>16.79</v>
      </c>
      <c r="T1647" s="65">
        <f>IFERROR(__xludf.DUMMYFUNCTION("""COMPUTED_VALUE"""),6.16)</f>
        <v>6.16</v>
      </c>
      <c r="U1647" s="65">
        <f>IFERROR(__xludf.DUMMYFUNCTION("""COMPUTED_VALUE"""),0.0)</f>
        <v>0</v>
      </c>
      <c r="V1647" s="65">
        <f>IFERROR(__xludf.DUMMYFUNCTION("""COMPUTED_VALUE"""),0.0)</f>
        <v>0</v>
      </c>
      <c r="W1647" s="65">
        <f>IFERROR(__xludf.DUMMYFUNCTION("""COMPUTED_VALUE"""),0.0)</f>
        <v>0</v>
      </c>
      <c r="X1647" s="65">
        <f>IFERROR(__xludf.DUMMYFUNCTION("""COMPUTED_VALUE"""),2.35)</f>
        <v>2.35</v>
      </c>
      <c r="Y1647" s="65">
        <f>IFERROR(__xludf.DUMMYFUNCTION("""COMPUTED_VALUE"""),7.05)</f>
        <v>7.05</v>
      </c>
      <c r="Z1647" s="65">
        <f>IFERROR(__xludf.DUMMYFUNCTION("""COMPUTED_VALUE"""),116679.0)</f>
        <v>116679</v>
      </c>
      <c r="AA1647" s="65" t="str">
        <f>IFERROR(__xludf.DUMMYFUNCTION("""COMPUTED_VALUE"""),"AMC-2738")</f>
        <v>AMC-2738</v>
      </c>
      <c r="AB1647" s="65"/>
      <c r="AC1647" s="65" t="str">
        <f>IFERROR(__xludf.DUMMYFUNCTION("""COMPUTED_VALUE"""),"ESPONJA ANTILLUVIA DE PARABRISAS")</f>
        <v>ESPONJA ANTILLUVIA DE PARABRISAS</v>
      </c>
      <c r="AD1647" s="65"/>
      <c r="AE1647" s="65">
        <f>IFERROR(__xludf.DUMMYFUNCTION("""COMPUTED_VALUE"""),3.0)</f>
        <v>3</v>
      </c>
      <c r="AF1647" s="65"/>
      <c r="AG1647" s="65"/>
      <c r="AH1647" s="65"/>
      <c r="AI1647" s="65"/>
      <c r="AJ1647" s="65"/>
      <c r="AK1647" s="65"/>
      <c r="AL1647" s="65"/>
      <c r="AM1647" s="65"/>
      <c r="AN1647" s="65" t="str">
        <f>IFERROR(__xludf.DUMMYFUNCTION("""COMPUTED_VALUE"""),"13:55")</f>
        <v>13:55</v>
      </c>
      <c r="AO1647" s="65" t="str">
        <f>IFERROR(__xludf.DUMMYFUNCTION("""COMPUTED_VALUE"""),"20-02-2026")</f>
        <v>20-02-2026</v>
      </c>
      <c r="AP1647" s="65" t="str">
        <f>IFERROR(__xludf.DUMMYFUNCTION("""COMPUTED_VALUE"""),"ENTREGADA GINTRACOM")</f>
        <v>ENTREGADA GINTRACOM</v>
      </c>
      <c r="AQ1647" s="65" t="str">
        <f>IFERROR(__xludf.DUMMYFUNCTION("""COMPUTED_VALUE"""),"ENTREGADA GINTRACOM")</f>
        <v>ENTREGADA GINTRACOM</v>
      </c>
      <c r="AR1647" s="65"/>
      <c r="AS1647" s="65"/>
      <c r="AT1647" s="65" t="str">
        <f>IFERROR(__xludf.DUMMYFUNCTION("""COMPUTED_VALUE"""),"SHOPIFY")</f>
        <v>SHOPIFY</v>
      </c>
      <c r="AU1647" s="65" t="str">
        <f>IFERROR(__xludf.DUMMYFUNCTION("""COMPUTED_VALUE"""),"IMPORTEX EC")</f>
        <v>IMPORTEX EC</v>
      </c>
      <c r="AV1647" s="65" t="str">
        <f>IFERROR(__xludf.DUMMYFUNCTION("""COMPUTED_VALUE"""),"6417977933868")</f>
        <v>6417977933868</v>
      </c>
      <c r="AW1647" s="65">
        <f>IFERROR(__xludf.DUMMYFUNCTION("""COMPUTED_VALUE"""),5296.0)</f>
        <v>5296</v>
      </c>
      <c r="AX1647" s="65"/>
      <c r="AY1647" s="65" t="str">
        <f>IFERROR(__xludf.DUMMYFUNCTION("""COMPUTED_VALUE"""),"19/01/2026")</f>
        <v>19/01/2026</v>
      </c>
      <c r="AZ1647" s="65"/>
      <c r="BA1647" s="65"/>
    </row>
    <row r="1648">
      <c r="A1648" s="65" t="str">
        <f>IFERROR(__xludf.DUMMYFUNCTION("""COMPUTED_VALUE"""),"27-03-2026")</f>
        <v>27-03-2026</v>
      </c>
      <c r="B1648" s="65">
        <f>IFERROR(__xludf.DUMMYFUNCTION("""COMPUTED_VALUE"""),4163443.0)</f>
        <v>4163443</v>
      </c>
      <c r="C1648" s="65" t="str">
        <f>IFERROR(__xludf.DUMMYFUNCTION("""COMPUTED_VALUE"""),"21:53")</f>
        <v>21:53</v>
      </c>
      <c r="D1648" s="65" t="str">
        <f>IFERROR(__xludf.DUMMYFUNCTION("""COMPUTED_VALUE"""),"15-01-2026")</f>
        <v>15-01-2026</v>
      </c>
      <c r="E1648" s="65" t="str">
        <f>IFERROR(__xludf.DUMMYFUNCTION("""COMPUTED_VALUE"""),"Errol Estupiñan")</f>
        <v>Errol Estupiñan</v>
      </c>
      <c r="F1648" s="65" t="str">
        <f>IFERROR(__xludf.DUMMYFUNCTION("""COMPUTED_VALUE"""),"986384295")</f>
        <v>986384295</v>
      </c>
      <c r="G1648" s="65" t="str">
        <f>IFERROR(__xludf.DUMMYFUNCTION("""COMPUTED_VALUE"""),"errol_saeb@hotmail.com")</f>
        <v>errol_saeb@hotmail.com</v>
      </c>
      <c r="H1648" s="65"/>
      <c r="I1648" s="65"/>
      <c r="J1648" s="65" t="str">
        <f>IFERROR(__xludf.DUMMYFUNCTION("""COMPUTED_VALUE"""),"D001240148")</f>
        <v>D001240148</v>
      </c>
      <c r="K1648" s="65" t="str">
        <f>IFERROR(__xludf.DUMMYFUNCTION("""COMPUTED_VALUE"""),"DEVOLUCION")</f>
        <v>DEVOLUCION</v>
      </c>
      <c r="L1648" s="65" t="str">
        <f>IFERROR(__xludf.DUMMYFUNCTION("""COMPUTED_VALUE"""),"CON RECAUDO")</f>
        <v>CON RECAUDO</v>
      </c>
      <c r="M1648" s="65" t="str">
        <f>IFERROR(__xludf.DUMMYFUNCTION("""COMPUTED_VALUE"""),"ESMERALDAS")</f>
        <v>ESMERALDAS</v>
      </c>
      <c r="N1648" s="65" t="str">
        <f>IFERROR(__xludf.DUMMYFUNCTION("""COMPUTED_VALUE"""),"ESMERALDAS")</f>
        <v>ESMERALDAS</v>
      </c>
      <c r="O1648" s="65" t="str">
        <f>IFERROR(__xludf.DUMMYFUNCTION("""COMPUTED_VALUE"""),"Km 7y 1/2 vía atacames Frente a la refinería de Esmeraldas en termo esmeraldas 2 -")</f>
        <v>Km 7y 1/2 vía atacames Frente a la refinería de Esmeraldas en termo esmeraldas 2 -</v>
      </c>
      <c r="P1648" s="65"/>
      <c r="Q1648" s="65" t="str">
        <f>IFERROR(__xludf.DUMMYFUNCTION("""COMPUTED_VALUE"""),"GINTRACOM")</f>
        <v>GINTRACOM</v>
      </c>
      <c r="R1648" s="65">
        <f>IFERROR(__xludf.DUMMYFUNCTION("""COMPUTED_VALUE"""),30.0)</f>
        <v>30</v>
      </c>
      <c r="S1648" s="65"/>
      <c r="T1648" s="65">
        <f>IFERROR(__xludf.DUMMYFUNCTION("""COMPUTED_VALUE"""),6.16)</f>
        <v>6.16</v>
      </c>
      <c r="U1648" s="65">
        <f>IFERROR(__xludf.DUMMYFUNCTION("""COMPUTED_VALUE"""),0.0)</f>
        <v>0</v>
      </c>
      <c r="V1648" s="65">
        <f>IFERROR(__xludf.DUMMYFUNCTION("""COMPUTED_VALUE"""),0.0)</f>
        <v>0</v>
      </c>
      <c r="W1648" s="65">
        <f>IFERROR(__xludf.DUMMYFUNCTION("""COMPUTED_VALUE"""),0.0)</f>
        <v>0</v>
      </c>
      <c r="X1648" s="65">
        <f>IFERROR(__xludf.DUMMYFUNCTION("""COMPUTED_VALUE"""),2.35)</f>
        <v>2.35</v>
      </c>
      <c r="Y1648" s="65">
        <f>IFERROR(__xludf.DUMMYFUNCTION("""COMPUTED_VALUE"""),7.05)</f>
        <v>7.05</v>
      </c>
      <c r="Z1648" s="65">
        <f>IFERROR(__xludf.DUMMYFUNCTION("""COMPUTED_VALUE"""),116679.0)</f>
        <v>116679</v>
      </c>
      <c r="AA1648" s="65" t="str">
        <f>IFERROR(__xludf.DUMMYFUNCTION("""COMPUTED_VALUE"""),"AMC-2738")</f>
        <v>AMC-2738</v>
      </c>
      <c r="AB1648" s="65"/>
      <c r="AC1648" s="65" t="str">
        <f>IFERROR(__xludf.DUMMYFUNCTION("""COMPUTED_VALUE"""),"ESPONJA ANTILLUVIA DE PARABRISAS")</f>
        <v>ESPONJA ANTILLUVIA DE PARABRISAS</v>
      </c>
      <c r="AD1648" s="65"/>
      <c r="AE1648" s="65">
        <f>IFERROR(__xludf.DUMMYFUNCTION("""COMPUTED_VALUE"""),3.0)</f>
        <v>3</v>
      </c>
      <c r="AF1648" s="65" t="str">
        <f>IFERROR(__xludf.DUMMYFUNCTION("""COMPUTED_VALUE"""),"DESTINATARIO NO CONTESTA LLAMADAS NI WHATSAPP")</f>
        <v>DESTINATARIO NO CONTESTA LLAMADAS NI WHATSAPP</v>
      </c>
      <c r="AG1648" s="65" t="str">
        <f>IFERROR(__xludf.DUMMYFUNCTION("""COMPUTED_VALUE"""),"NO")</f>
        <v>NO</v>
      </c>
      <c r="AH1648" s="65" t="str">
        <f>IFERROR(__xludf.DUMMYFUNCTION("""COMPUTED_VALUE"""),"17:22")</f>
        <v>17:22</v>
      </c>
      <c r="AI1648" s="65" t="str">
        <f>IFERROR(__xludf.DUMMYFUNCTION("""COMPUTED_VALUE"""),"26-01-2026")</f>
        <v>26-01-2026</v>
      </c>
      <c r="AJ1648" s="65"/>
      <c r="AK1648" s="65"/>
      <c r="AL1648" s="65"/>
      <c r="AM1648" s="65"/>
      <c r="AN1648" s="65" t="str">
        <f>IFERROR(__xludf.DUMMYFUNCTION("""COMPUTED_VALUE"""),"14:49")</f>
        <v>14:49</v>
      </c>
      <c r="AO1648" s="65" t="str">
        <f>IFERROR(__xludf.DUMMYFUNCTION("""COMPUTED_VALUE"""),"21-02-2026")</f>
        <v>21-02-2026</v>
      </c>
      <c r="AP1648" s="65" t="str">
        <f>IFERROR(__xludf.DUMMYFUNCTION("""COMPUTED_VALUE"""),"DEVOLUCIÓN ENTREGADA A ORIGEN")</f>
        <v>DEVOLUCIÓN ENTREGADA A ORIGEN</v>
      </c>
      <c r="AQ1648" s="65" t="str">
        <f>IFERROR(__xludf.DUMMYFUNCTION("""COMPUTED_VALUE"""),"DEVOLUCIÓN ENTREGADA A ORIGEN")</f>
        <v>DEVOLUCIÓN ENTREGADA A ORIGEN</v>
      </c>
      <c r="AR1648" s="65"/>
      <c r="AS1648" s="65"/>
      <c r="AT1648" s="65" t="str">
        <f>IFERROR(__xludf.DUMMYFUNCTION("""COMPUTED_VALUE"""),"SHOPIFY")</f>
        <v>SHOPIFY</v>
      </c>
      <c r="AU1648" s="65" t="str">
        <f>IFERROR(__xludf.DUMMYFUNCTION("""COMPUTED_VALUE"""),"IMPORTEX EC")</f>
        <v>IMPORTEX EC</v>
      </c>
      <c r="AV1648" s="65" t="str">
        <f>IFERROR(__xludf.DUMMYFUNCTION("""COMPUTED_VALUE"""),"6417940119596")</f>
        <v>6417940119596</v>
      </c>
      <c r="AW1648" s="65">
        <f>IFERROR(__xludf.DUMMYFUNCTION("""COMPUTED_VALUE"""),5295.0)</f>
        <v>5295</v>
      </c>
      <c r="AX1648" s="65"/>
      <c r="AY1648" s="65" t="str">
        <f>IFERROR(__xludf.DUMMYFUNCTION("""COMPUTED_VALUE"""),"19/01/2026")</f>
        <v>19/01/2026</v>
      </c>
      <c r="AZ1648" s="65"/>
      <c r="BA1648" s="65"/>
    </row>
    <row r="1649">
      <c r="A1649" s="65" t="str">
        <f>IFERROR(__xludf.DUMMYFUNCTION("""COMPUTED_VALUE"""),"27-03-2026")</f>
        <v>27-03-2026</v>
      </c>
      <c r="B1649" s="65">
        <f>IFERROR(__xludf.DUMMYFUNCTION("""COMPUTED_VALUE"""),4163193.0)</f>
        <v>4163193</v>
      </c>
      <c r="C1649" s="65" t="str">
        <f>IFERROR(__xludf.DUMMYFUNCTION("""COMPUTED_VALUE"""),"21:32")</f>
        <v>21:32</v>
      </c>
      <c r="D1649" s="65" t="str">
        <f>IFERROR(__xludf.DUMMYFUNCTION("""COMPUTED_VALUE"""),"15-01-2026")</f>
        <v>15-01-2026</v>
      </c>
      <c r="E1649" s="65" t="str">
        <f>IFERROR(__xludf.DUMMYFUNCTION("""COMPUTED_VALUE"""),"Fabian Valarezo Carpio")</f>
        <v>Fabian Valarezo Carpio</v>
      </c>
      <c r="F1649" s="65" t="str">
        <f>IFERROR(__xludf.DUMMYFUNCTION("""COMPUTED_VALUE"""),"984629368")</f>
        <v>984629368</v>
      </c>
      <c r="G1649" s="65" t="str">
        <f>IFERROR(__xludf.DUMMYFUNCTION("""COMPUTED_VALUE"""),"fabianvalarezoc@hotmail.com")</f>
        <v>fabianvalarezoc@hotmail.com</v>
      </c>
      <c r="H1649" s="65"/>
      <c r="I1649" s="65"/>
      <c r="J1649" s="65" t="str">
        <f>IFERROR(__xludf.DUMMYFUNCTION("""COMPUTED_VALUE"""),"D001240150")</f>
        <v>D001240150</v>
      </c>
      <c r="K1649" s="65" t="str">
        <f>IFERROR(__xludf.DUMMYFUNCTION("""COMPUTED_VALUE"""),"DEVOLUCION")</f>
        <v>DEVOLUCION</v>
      </c>
      <c r="L1649" s="65" t="str">
        <f>IFERROR(__xludf.DUMMYFUNCTION("""COMPUTED_VALUE"""),"CON RECAUDO")</f>
        <v>CON RECAUDO</v>
      </c>
      <c r="M1649" s="65" t="str">
        <f>IFERROR(__xludf.DUMMYFUNCTION("""COMPUTED_VALUE"""),"PICHINCHA")</f>
        <v>PICHINCHA</v>
      </c>
      <c r="N1649" s="65" t="str">
        <f>IFERROR(__xludf.DUMMYFUNCTION("""COMPUTED_VALUE"""),"QUITO")</f>
        <v>QUITO</v>
      </c>
      <c r="O1649" s="65" t="str">
        <f>IFERROR(__xludf.DUMMYFUNCTION("""COMPUTED_VALUE"""),"Manuel Tamayo E14-10 Y Victor Martillo -")</f>
        <v>Manuel Tamayo E14-10 Y Victor Martillo -</v>
      </c>
      <c r="P1649" s="65"/>
      <c r="Q1649" s="65" t="str">
        <f>IFERROR(__xludf.DUMMYFUNCTION("""COMPUTED_VALUE"""),"GINTRACOM")</f>
        <v>GINTRACOM</v>
      </c>
      <c r="R1649" s="65">
        <f>IFERROR(__xludf.DUMMYFUNCTION("""COMPUTED_VALUE"""),30.0)</f>
        <v>30</v>
      </c>
      <c r="S1649" s="65"/>
      <c r="T1649" s="65">
        <f>IFERROR(__xludf.DUMMYFUNCTION("""COMPUTED_VALUE"""),4.55)</f>
        <v>4.55</v>
      </c>
      <c r="U1649" s="65">
        <f>IFERROR(__xludf.DUMMYFUNCTION("""COMPUTED_VALUE"""),0.0)</f>
        <v>0</v>
      </c>
      <c r="V1649" s="65">
        <f>IFERROR(__xludf.DUMMYFUNCTION("""COMPUTED_VALUE"""),0.0)</f>
        <v>0</v>
      </c>
      <c r="W1649" s="65">
        <f>IFERROR(__xludf.DUMMYFUNCTION("""COMPUTED_VALUE"""),0.0)</f>
        <v>0</v>
      </c>
      <c r="X1649" s="65">
        <f>IFERROR(__xludf.DUMMYFUNCTION("""COMPUTED_VALUE"""),2.35)</f>
        <v>2.35</v>
      </c>
      <c r="Y1649" s="65">
        <f>IFERROR(__xludf.DUMMYFUNCTION("""COMPUTED_VALUE"""),7.05)</f>
        <v>7.05</v>
      </c>
      <c r="Z1649" s="65">
        <f>IFERROR(__xludf.DUMMYFUNCTION("""COMPUTED_VALUE"""),116679.0)</f>
        <v>116679</v>
      </c>
      <c r="AA1649" s="65" t="str">
        <f>IFERROR(__xludf.DUMMYFUNCTION("""COMPUTED_VALUE"""),"AMC-2738")</f>
        <v>AMC-2738</v>
      </c>
      <c r="AB1649" s="65"/>
      <c r="AC1649" s="65" t="str">
        <f>IFERROR(__xludf.DUMMYFUNCTION("""COMPUTED_VALUE"""),"ESPONJA ANTILLUVIA DE PARABRISAS")</f>
        <v>ESPONJA ANTILLUVIA DE PARABRISAS</v>
      </c>
      <c r="AD1649" s="65"/>
      <c r="AE1649" s="65">
        <f>IFERROR(__xludf.DUMMYFUNCTION("""COMPUTED_VALUE"""),3.0)</f>
        <v>3</v>
      </c>
      <c r="AF1649" s="65" t="str">
        <f>IFERROR(__xludf.DUMMYFUNCTION("""COMPUTED_VALUE"""),"DESTINATARIO NO CONTESTA LLAMADAS NI WHATSAPP")</f>
        <v>DESTINATARIO NO CONTESTA LLAMADAS NI WHATSAPP</v>
      </c>
      <c r="AG1649" s="65" t="str">
        <f>IFERROR(__xludf.DUMMYFUNCTION("""COMPUTED_VALUE"""),"NO")</f>
        <v>NO</v>
      </c>
      <c r="AH1649" s="65" t="str">
        <f>IFERROR(__xludf.DUMMYFUNCTION("""COMPUTED_VALUE"""),"09:00")</f>
        <v>09:00</v>
      </c>
      <c r="AI1649" s="65" t="str">
        <f>IFERROR(__xludf.DUMMYFUNCTION("""COMPUTED_VALUE"""),"28-01-2026")</f>
        <v>28-01-2026</v>
      </c>
      <c r="AJ1649" s="65"/>
      <c r="AK1649" s="65"/>
      <c r="AL1649" s="65"/>
      <c r="AM1649" s="65"/>
      <c r="AN1649" s="65" t="str">
        <f>IFERROR(__xludf.DUMMYFUNCTION("""COMPUTED_VALUE"""),"17:13")</f>
        <v>17:13</v>
      </c>
      <c r="AO1649" s="65" t="str">
        <f>IFERROR(__xludf.DUMMYFUNCTION("""COMPUTED_VALUE"""),"06-02-2026")</f>
        <v>06-02-2026</v>
      </c>
      <c r="AP1649" s="65" t="str">
        <f>IFERROR(__xludf.DUMMYFUNCTION("""COMPUTED_VALUE"""),"DEVOLUCIÓN ENTREGADA A ORIGEN")</f>
        <v>DEVOLUCIÓN ENTREGADA A ORIGEN</v>
      </c>
      <c r="AQ1649" s="65" t="str">
        <f>IFERROR(__xludf.DUMMYFUNCTION("""COMPUTED_VALUE"""),"DEVOLUCIÓN ENTREGADA A ORIGEN")</f>
        <v>DEVOLUCIÓN ENTREGADA A ORIGEN</v>
      </c>
      <c r="AR1649" s="65"/>
      <c r="AS1649" s="65"/>
      <c r="AT1649" s="65" t="str">
        <f>IFERROR(__xludf.DUMMYFUNCTION("""COMPUTED_VALUE"""),"SHOPIFY")</f>
        <v>SHOPIFY</v>
      </c>
      <c r="AU1649" s="65" t="str">
        <f>IFERROR(__xludf.DUMMYFUNCTION("""COMPUTED_VALUE"""),"IMPORTEX EC")</f>
        <v>IMPORTEX EC</v>
      </c>
      <c r="AV1649" s="65" t="str">
        <f>IFERROR(__xludf.DUMMYFUNCTION("""COMPUTED_VALUE"""),"6417895063596")</f>
        <v>6417895063596</v>
      </c>
      <c r="AW1649" s="65">
        <f>IFERROR(__xludf.DUMMYFUNCTION("""COMPUTED_VALUE"""),5294.0)</f>
        <v>5294</v>
      </c>
      <c r="AX1649" s="65"/>
      <c r="AY1649" s="65" t="str">
        <f>IFERROR(__xludf.DUMMYFUNCTION("""COMPUTED_VALUE"""),"19/01/2026")</f>
        <v>19/01/2026</v>
      </c>
      <c r="AZ1649" s="65"/>
      <c r="BA1649" s="65"/>
    </row>
    <row r="1650">
      <c r="A1650" s="65" t="str">
        <f>IFERROR(__xludf.DUMMYFUNCTION("""COMPUTED_VALUE"""),"27-03-2026")</f>
        <v>27-03-2026</v>
      </c>
      <c r="B1650" s="65">
        <f>IFERROR(__xludf.DUMMYFUNCTION("""COMPUTED_VALUE"""),4163059.0)</f>
        <v>4163059</v>
      </c>
      <c r="C1650" s="65" t="str">
        <f>IFERROR(__xludf.DUMMYFUNCTION("""COMPUTED_VALUE"""),"21:23")</f>
        <v>21:23</v>
      </c>
      <c r="D1650" s="65" t="str">
        <f>IFERROR(__xludf.DUMMYFUNCTION("""COMPUTED_VALUE"""),"15-01-2026")</f>
        <v>15-01-2026</v>
      </c>
      <c r="E1650" s="65" t="str">
        <f>IFERROR(__xludf.DUMMYFUNCTION("""COMPUTED_VALUE"""),"Génesis Benavides Rengifo")</f>
        <v>Génesis Benavides Rengifo</v>
      </c>
      <c r="F1650" s="65" t="str">
        <f>IFERROR(__xludf.DUMMYFUNCTION("""COMPUTED_VALUE"""),"988438035")</f>
        <v>988438035</v>
      </c>
      <c r="G1650" s="65" t="str">
        <f>IFERROR(__xludf.DUMMYFUNCTION("""COMPUTED_VALUE"""),"g.j.b.r_baby@hotmail.com")</f>
        <v>g.j.b.r_baby@hotmail.com</v>
      </c>
      <c r="H1650" s="65"/>
      <c r="I1650" s="65"/>
      <c r="J1650" s="65" t="str">
        <f>IFERROR(__xludf.DUMMYFUNCTION("""COMPUTED_VALUE"""),"D001240152")</f>
        <v>D001240152</v>
      </c>
      <c r="K1650" s="65" t="str">
        <f>IFERROR(__xludf.DUMMYFUNCTION("""COMPUTED_VALUE"""),"DEVOLUCION")</f>
        <v>DEVOLUCION</v>
      </c>
      <c r="L1650" s="65" t="str">
        <f>IFERROR(__xludf.DUMMYFUNCTION("""COMPUTED_VALUE"""),"CON RECAUDO")</f>
        <v>CON RECAUDO</v>
      </c>
      <c r="M1650" s="65" t="str">
        <f>IFERROR(__xludf.DUMMYFUNCTION("""COMPUTED_VALUE"""),"LOS RIOS")</f>
        <v>LOS RIOS</v>
      </c>
      <c r="N1650" s="65" t="str">
        <f>IFERROR(__xludf.DUMMYFUNCTION("""COMPUTED_VALUE"""),"BABAHOYO")</f>
        <v>BABAHOYO</v>
      </c>
      <c r="O1650" s="65" t="str">
        <f>IFERROR(__xludf.DUMMYFUNCTION("""COMPUTED_VALUE"""),"Clemente Baquerizo Calle L Y La Quinta A cuatro casas del taller de radiadores Veloz -")</f>
        <v>Clemente Baquerizo Calle L Y La Quinta A cuatro casas del taller de radiadores Veloz -</v>
      </c>
      <c r="P1650" s="65"/>
      <c r="Q1650" s="65" t="str">
        <f>IFERROR(__xludf.DUMMYFUNCTION("""COMPUTED_VALUE"""),"GINTRACOM")</f>
        <v>GINTRACOM</v>
      </c>
      <c r="R1650" s="65">
        <f>IFERROR(__xludf.DUMMYFUNCTION("""COMPUTED_VALUE"""),25.0)</f>
        <v>25</v>
      </c>
      <c r="S1650" s="65"/>
      <c r="T1650" s="65">
        <f>IFERROR(__xludf.DUMMYFUNCTION("""COMPUTED_VALUE"""),5.96)</f>
        <v>5.96</v>
      </c>
      <c r="U1650" s="65">
        <f>IFERROR(__xludf.DUMMYFUNCTION("""COMPUTED_VALUE"""),0.0)</f>
        <v>0</v>
      </c>
      <c r="V1650" s="65">
        <f>IFERROR(__xludf.DUMMYFUNCTION("""COMPUTED_VALUE"""),0.0)</f>
        <v>0</v>
      </c>
      <c r="W1650" s="65">
        <f>IFERROR(__xludf.DUMMYFUNCTION("""COMPUTED_VALUE"""),0.0)</f>
        <v>0</v>
      </c>
      <c r="X1650" s="65">
        <f>IFERROR(__xludf.DUMMYFUNCTION("""COMPUTED_VALUE"""),2.35)</f>
        <v>2.35</v>
      </c>
      <c r="Y1650" s="65">
        <f>IFERROR(__xludf.DUMMYFUNCTION("""COMPUTED_VALUE"""),4.7)</f>
        <v>4.7</v>
      </c>
      <c r="Z1650" s="65">
        <f>IFERROR(__xludf.DUMMYFUNCTION("""COMPUTED_VALUE"""),116679.0)</f>
        <v>116679</v>
      </c>
      <c r="AA1650" s="65" t="str">
        <f>IFERROR(__xludf.DUMMYFUNCTION("""COMPUTED_VALUE"""),"AMC-2738")</f>
        <v>AMC-2738</v>
      </c>
      <c r="AB1650" s="65"/>
      <c r="AC1650" s="65" t="str">
        <f>IFERROR(__xludf.DUMMYFUNCTION("""COMPUTED_VALUE"""),"ESPONJA ANTILLUVIA DE PARABRISAS")</f>
        <v>ESPONJA ANTILLUVIA DE PARABRISAS</v>
      </c>
      <c r="AD1650" s="65"/>
      <c r="AE1650" s="65">
        <f>IFERROR(__xludf.DUMMYFUNCTION("""COMPUTED_VALUE"""),2.0)</f>
        <v>2</v>
      </c>
      <c r="AF1650" s="65" t="str">
        <f>IFERROR(__xludf.DUMMYFUNCTION("""COMPUTED_VALUE"""),"DESTINATARIO NO CONTESTA LLAMADAS NI WHATSAPP")</f>
        <v>DESTINATARIO NO CONTESTA LLAMADAS NI WHATSAPP</v>
      </c>
      <c r="AG1650" s="65" t="str">
        <f>IFERROR(__xludf.DUMMYFUNCTION("""COMPUTED_VALUE"""),"NO")</f>
        <v>NO</v>
      </c>
      <c r="AH1650" s="65" t="str">
        <f>IFERROR(__xludf.DUMMYFUNCTION("""COMPUTED_VALUE"""),"09:00")</f>
        <v>09:00</v>
      </c>
      <c r="AI1650" s="65" t="str">
        <f>IFERROR(__xludf.DUMMYFUNCTION("""COMPUTED_VALUE"""),"25-01-2026")</f>
        <v>25-01-2026</v>
      </c>
      <c r="AJ1650" s="65"/>
      <c r="AK1650" s="65"/>
      <c r="AL1650" s="65"/>
      <c r="AM1650" s="65"/>
      <c r="AN1650" s="65" t="str">
        <f>IFERROR(__xludf.DUMMYFUNCTION("""COMPUTED_VALUE"""),"20:53")</f>
        <v>20:53</v>
      </c>
      <c r="AO1650" s="65" t="str">
        <f>IFERROR(__xludf.DUMMYFUNCTION("""COMPUTED_VALUE"""),"13-02-2026")</f>
        <v>13-02-2026</v>
      </c>
      <c r="AP1650" s="65" t="str">
        <f>IFERROR(__xludf.DUMMYFUNCTION("""COMPUTED_VALUE"""),"DEVOLUCIÓN ENTREGADA A ORIGEN")</f>
        <v>DEVOLUCIÓN ENTREGADA A ORIGEN</v>
      </c>
      <c r="AQ1650" s="65" t="str">
        <f>IFERROR(__xludf.DUMMYFUNCTION("""COMPUTED_VALUE"""),"DEVOLUCIÓN ENTREGADA A ORIGEN")</f>
        <v>DEVOLUCIÓN ENTREGADA A ORIGEN</v>
      </c>
      <c r="AR1650" s="65"/>
      <c r="AS1650" s="65"/>
      <c r="AT1650" s="65" t="str">
        <f>IFERROR(__xludf.DUMMYFUNCTION("""COMPUTED_VALUE"""),"SHOPIFY")</f>
        <v>SHOPIFY</v>
      </c>
      <c r="AU1650" s="65" t="str">
        <f>IFERROR(__xludf.DUMMYFUNCTION("""COMPUTED_VALUE"""),"IMPORTEX EC")</f>
        <v>IMPORTEX EC</v>
      </c>
      <c r="AV1650" s="65" t="str">
        <f>IFERROR(__xludf.DUMMYFUNCTION("""COMPUTED_VALUE"""),"6417876058156")</f>
        <v>6417876058156</v>
      </c>
      <c r="AW1650" s="65">
        <f>IFERROR(__xludf.DUMMYFUNCTION("""COMPUTED_VALUE"""),5293.0)</f>
        <v>5293</v>
      </c>
      <c r="AX1650" s="65"/>
      <c r="AY1650" s="65" t="str">
        <f>IFERROR(__xludf.DUMMYFUNCTION("""COMPUTED_VALUE"""),"19/01/2026")</f>
        <v>19/01/2026</v>
      </c>
      <c r="AZ1650" s="65"/>
      <c r="BA1650" s="65"/>
    </row>
    <row r="1651">
      <c r="A1651" s="65" t="str">
        <f>IFERROR(__xludf.DUMMYFUNCTION("""COMPUTED_VALUE"""),"27-03-2026")</f>
        <v>27-03-2026</v>
      </c>
      <c r="B1651" s="65">
        <f>IFERROR(__xludf.DUMMYFUNCTION("""COMPUTED_VALUE"""),4163042.0)</f>
        <v>4163042</v>
      </c>
      <c r="C1651" s="65" t="str">
        <f>IFERROR(__xludf.DUMMYFUNCTION("""COMPUTED_VALUE"""),"21:21")</f>
        <v>21:21</v>
      </c>
      <c r="D1651" s="65" t="str">
        <f>IFERROR(__xludf.DUMMYFUNCTION("""COMPUTED_VALUE"""),"15-01-2026")</f>
        <v>15-01-2026</v>
      </c>
      <c r="E1651" s="65" t="str">
        <f>IFERROR(__xludf.DUMMYFUNCTION("""COMPUTED_VALUE"""),"Ricardo Mendez")</f>
        <v>Ricardo Mendez</v>
      </c>
      <c r="F1651" s="65" t="str">
        <f>IFERROR(__xludf.DUMMYFUNCTION("""COMPUTED_VALUE"""),"939886505")</f>
        <v>939886505</v>
      </c>
      <c r="G1651" s="65" t="str">
        <f>IFERROR(__xludf.DUMMYFUNCTION("""COMPUTED_VALUE"""),"frcamisanchez42@gmail.com")</f>
        <v>frcamisanchez42@gmail.com</v>
      </c>
      <c r="H1651" s="65"/>
      <c r="I1651" s="65"/>
      <c r="J1651" s="65" t="str">
        <f>IFERROR(__xludf.DUMMYFUNCTION("""COMPUTED_VALUE"""),"D001240153")</f>
        <v>D001240153</v>
      </c>
      <c r="K1651" s="65" t="str">
        <f>IFERROR(__xludf.DUMMYFUNCTION("""COMPUTED_VALUE"""),"DEVOLUCION")</f>
        <v>DEVOLUCION</v>
      </c>
      <c r="L1651" s="65" t="str">
        <f>IFERROR(__xludf.DUMMYFUNCTION("""COMPUTED_VALUE"""),"CON RECAUDO")</f>
        <v>CON RECAUDO</v>
      </c>
      <c r="M1651" s="65" t="str">
        <f>IFERROR(__xludf.DUMMYFUNCTION("""COMPUTED_VALUE"""),"AZUAY")</f>
        <v>AZUAY</v>
      </c>
      <c r="N1651" s="65" t="str">
        <f>IFERROR(__xludf.DUMMYFUNCTION("""COMPUTED_VALUE"""),"CUENCA")</f>
        <v>CUENCA</v>
      </c>
      <c r="O1651" s="65" t="str">
        <f>IFERROR(__xludf.DUMMYFUNCTION("""COMPUTED_VALUE"""),"Autopista cuenca asoguez Autopista 200 metros con  dirección a cuenca desde la entrada paccha -")</f>
        <v>Autopista cuenca asoguez Autopista 200 metros con  dirección a cuenca desde la entrada paccha -</v>
      </c>
      <c r="P1651" s="65"/>
      <c r="Q1651" s="65" t="str">
        <f>IFERROR(__xludf.DUMMYFUNCTION("""COMPUTED_VALUE"""),"GINTRACOM")</f>
        <v>GINTRACOM</v>
      </c>
      <c r="R1651" s="65">
        <f>IFERROR(__xludf.DUMMYFUNCTION("""COMPUTED_VALUE"""),25.0)</f>
        <v>25</v>
      </c>
      <c r="S1651" s="65"/>
      <c r="T1651" s="65">
        <f>IFERROR(__xludf.DUMMYFUNCTION("""COMPUTED_VALUE"""),5.96)</f>
        <v>5.96</v>
      </c>
      <c r="U1651" s="65">
        <f>IFERROR(__xludf.DUMMYFUNCTION("""COMPUTED_VALUE"""),0.0)</f>
        <v>0</v>
      </c>
      <c r="V1651" s="65">
        <f>IFERROR(__xludf.DUMMYFUNCTION("""COMPUTED_VALUE"""),0.0)</f>
        <v>0</v>
      </c>
      <c r="W1651" s="65">
        <f>IFERROR(__xludf.DUMMYFUNCTION("""COMPUTED_VALUE"""),0.0)</f>
        <v>0</v>
      </c>
      <c r="X1651" s="65">
        <f>IFERROR(__xludf.DUMMYFUNCTION("""COMPUTED_VALUE"""),2.35)</f>
        <v>2.35</v>
      </c>
      <c r="Y1651" s="65">
        <f>IFERROR(__xludf.DUMMYFUNCTION("""COMPUTED_VALUE"""),4.7)</f>
        <v>4.7</v>
      </c>
      <c r="Z1651" s="65">
        <f>IFERROR(__xludf.DUMMYFUNCTION("""COMPUTED_VALUE"""),116679.0)</f>
        <v>116679</v>
      </c>
      <c r="AA1651" s="65" t="str">
        <f>IFERROR(__xludf.DUMMYFUNCTION("""COMPUTED_VALUE"""),"AMC-2738")</f>
        <v>AMC-2738</v>
      </c>
      <c r="AB1651" s="65"/>
      <c r="AC1651" s="65" t="str">
        <f>IFERROR(__xludf.DUMMYFUNCTION("""COMPUTED_VALUE"""),"ESPONJA ANTILLUVIA DE PARABRISAS")</f>
        <v>ESPONJA ANTILLUVIA DE PARABRISAS</v>
      </c>
      <c r="AD1651" s="65"/>
      <c r="AE1651" s="65">
        <f>IFERROR(__xludf.DUMMYFUNCTION("""COMPUTED_VALUE"""),2.0)</f>
        <v>2</v>
      </c>
      <c r="AF1651" s="65" t="str">
        <f>IFERROR(__xludf.DUMMYFUNCTION("""COMPUTED_VALUE"""),"DESTINATARIO NO CONTESTA LLAMADAS NI WHATSAPP")</f>
        <v>DESTINATARIO NO CONTESTA LLAMADAS NI WHATSAPP</v>
      </c>
      <c r="AG1651" s="65" t="str">
        <f>IFERROR(__xludf.DUMMYFUNCTION("""COMPUTED_VALUE"""),"NO")</f>
        <v>NO</v>
      </c>
      <c r="AH1651" s="65" t="str">
        <f>IFERROR(__xludf.DUMMYFUNCTION("""COMPUTED_VALUE"""),"09:00")</f>
        <v>09:00</v>
      </c>
      <c r="AI1651" s="65" t="str">
        <f>IFERROR(__xludf.DUMMYFUNCTION("""COMPUTED_VALUE"""),"25-01-2026")</f>
        <v>25-01-2026</v>
      </c>
      <c r="AJ1651" s="65"/>
      <c r="AK1651" s="65"/>
      <c r="AL1651" s="65"/>
      <c r="AM1651" s="65"/>
      <c r="AN1651" s="65" t="str">
        <f>IFERROR(__xludf.DUMMYFUNCTION("""COMPUTED_VALUE"""),"16:27")</f>
        <v>16:27</v>
      </c>
      <c r="AO1651" s="65" t="str">
        <f>IFERROR(__xludf.DUMMYFUNCTION("""COMPUTED_VALUE"""),"10-02-2026")</f>
        <v>10-02-2026</v>
      </c>
      <c r="AP1651" s="65" t="str">
        <f>IFERROR(__xludf.DUMMYFUNCTION("""COMPUTED_VALUE"""),"DEVOLUCIÓN ENTREGADA A ORIGEN")</f>
        <v>DEVOLUCIÓN ENTREGADA A ORIGEN</v>
      </c>
      <c r="AQ1651" s="65" t="str">
        <f>IFERROR(__xludf.DUMMYFUNCTION("""COMPUTED_VALUE"""),"DEVOLUCIÓN ENTREGADA A ORIGEN")</f>
        <v>DEVOLUCIÓN ENTREGADA A ORIGEN</v>
      </c>
      <c r="AR1651" s="65"/>
      <c r="AS1651" s="65"/>
      <c r="AT1651" s="65" t="str">
        <f>IFERROR(__xludf.DUMMYFUNCTION("""COMPUTED_VALUE"""),"SHOPIFY")</f>
        <v>SHOPIFY</v>
      </c>
      <c r="AU1651" s="65" t="str">
        <f>IFERROR(__xludf.DUMMYFUNCTION("""COMPUTED_VALUE"""),"IMPORTEX EC")</f>
        <v>IMPORTEX EC</v>
      </c>
      <c r="AV1651" s="65" t="str">
        <f>IFERROR(__xludf.DUMMYFUNCTION("""COMPUTED_VALUE"""),"6417871765548")</f>
        <v>6417871765548</v>
      </c>
      <c r="AW1651" s="65">
        <f>IFERROR(__xludf.DUMMYFUNCTION("""COMPUTED_VALUE"""),5292.0)</f>
        <v>5292</v>
      </c>
      <c r="AX1651" s="65"/>
      <c r="AY1651" s="65" t="str">
        <f>IFERROR(__xludf.DUMMYFUNCTION("""COMPUTED_VALUE"""),"19/01/2026")</f>
        <v>19/01/2026</v>
      </c>
      <c r="AZ1651" s="65"/>
      <c r="BA1651" s="65"/>
    </row>
    <row r="1652">
      <c r="A1652" s="65" t="str">
        <f>IFERROR(__xludf.DUMMYFUNCTION("""COMPUTED_VALUE"""),"27-03-2026")</f>
        <v>27-03-2026</v>
      </c>
      <c r="B1652" s="65">
        <f>IFERROR(__xludf.DUMMYFUNCTION("""COMPUTED_VALUE"""),4163040.0)</f>
        <v>4163040</v>
      </c>
      <c r="C1652" s="65" t="str">
        <f>IFERROR(__xludf.DUMMYFUNCTION("""COMPUTED_VALUE"""),"21:21")</f>
        <v>21:21</v>
      </c>
      <c r="D1652" s="65" t="str">
        <f>IFERROR(__xludf.DUMMYFUNCTION("""COMPUTED_VALUE"""),"15-01-2026")</f>
        <v>15-01-2026</v>
      </c>
      <c r="E1652" s="65" t="str">
        <f>IFERROR(__xludf.DUMMYFUNCTION("""COMPUTED_VALUE"""),"fricson Cervantes")</f>
        <v>fricson Cervantes</v>
      </c>
      <c r="F1652" s="65" t="str">
        <f>IFERROR(__xludf.DUMMYFUNCTION("""COMPUTED_VALUE"""),"979844802")</f>
        <v>979844802</v>
      </c>
      <c r="G1652" s="65" t="str">
        <f>IFERROR(__xludf.DUMMYFUNCTION("""COMPUTED_VALUE"""),"fricer1711@msn.com")</f>
        <v>fricer1711@msn.com</v>
      </c>
      <c r="H1652" s="65"/>
      <c r="I1652" s="65"/>
      <c r="J1652" s="65" t="str">
        <f>IFERROR(__xludf.DUMMYFUNCTION("""COMPUTED_VALUE"""),"D001240155")</f>
        <v>D001240155</v>
      </c>
      <c r="K1652" s="65" t="str">
        <f>IFERROR(__xludf.DUMMYFUNCTION("""COMPUTED_VALUE"""),"ENTREGADO")</f>
        <v>ENTREGADO</v>
      </c>
      <c r="L1652" s="65" t="str">
        <f>IFERROR(__xludf.DUMMYFUNCTION("""COMPUTED_VALUE"""),"CON RECAUDO")</f>
        <v>CON RECAUDO</v>
      </c>
      <c r="M1652" s="65" t="str">
        <f>IFERROR(__xludf.DUMMYFUNCTION("""COMPUTED_VALUE"""),"LOS RIOS")</f>
        <v>LOS RIOS</v>
      </c>
      <c r="N1652" s="65" t="str">
        <f>IFERROR(__xludf.DUMMYFUNCTION("""COMPUTED_VALUE"""),"QUEVEDO")</f>
        <v>QUEVEDO</v>
      </c>
      <c r="O1652" s="65" t="str">
        <f>IFERROR(__xludf.DUMMYFUNCTION("""COMPUTED_VALUE"""),"Timoteo Quevedo Vía valencia km 4,5 -")</f>
        <v>Timoteo Quevedo Vía valencia km 4,5 -</v>
      </c>
      <c r="P1652" s="65"/>
      <c r="Q1652" s="65" t="str">
        <f>IFERROR(__xludf.DUMMYFUNCTION("""COMPUTED_VALUE"""),"GINTRACOM")</f>
        <v>GINTRACOM</v>
      </c>
      <c r="R1652" s="65">
        <f>IFERROR(__xludf.DUMMYFUNCTION("""COMPUTED_VALUE"""),25.0)</f>
        <v>25</v>
      </c>
      <c r="S1652" s="65">
        <f>IFERROR(__xludf.DUMMYFUNCTION("""COMPUTED_VALUE"""),14.34)</f>
        <v>14.34</v>
      </c>
      <c r="T1652" s="65">
        <f>IFERROR(__xludf.DUMMYFUNCTION("""COMPUTED_VALUE"""),5.96)</f>
        <v>5.96</v>
      </c>
      <c r="U1652" s="65">
        <f>IFERROR(__xludf.DUMMYFUNCTION("""COMPUTED_VALUE"""),0.0)</f>
        <v>0</v>
      </c>
      <c r="V1652" s="65">
        <f>IFERROR(__xludf.DUMMYFUNCTION("""COMPUTED_VALUE"""),0.0)</f>
        <v>0</v>
      </c>
      <c r="W1652" s="65">
        <f>IFERROR(__xludf.DUMMYFUNCTION("""COMPUTED_VALUE"""),0.0)</f>
        <v>0</v>
      </c>
      <c r="X1652" s="65">
        <f>IFERROR(__xludf.DUMMYFUNCTION("""COMPUTED_VALUE"""),2.35)</f>
        <v>2.35</v>
      </c>
      <c r="Y1652" s="65">
        <f>IFERROR(__xludf.DUMMYFUNCTION("""COMPUTED_VALUE"""),4.7)</f>
        <v>4.7</v>
      </c>
      <c r="Z1652" s="65">
        <f>IFERROR(__xludf.DUMMYFUNCTION("""COMPUTED_VALUE"""),116679.0)</f>
        <v>116679</v>
      </c>
      <c r="AA1652" s="65" t="str">
        <f>IFERROR(__xludf.DUMMYFUNCTION("""COMPUTED_VALUE"""),"AMC-2738")</f>
        <v>AMC-2738</v>
      </c>
      <c r="AB1652" s="65"/>
      <c r="AC1652" s="65" t="str">
        <f>IFERROR(__xludf.DUMMYFUNCTION("""COMPUTED_VALUE"""),"ESPONJA ANTILLUVIA DE PARABRISAS")</f>
        <v>ESPONJA ANTILLUVIA DE PARABRISAS</v>
      </c>
      <c r="AD1652" s="65"/>
      <c r="AE1652" s="65">
        <f>IFERROR(__xludf.DUMMYFUNCTION("""COMPUTED_VALUE"""),2.0)</f>
        <v>2</v>
      </c>
      <c r="AF1652" s="65"/>
      <c r="AG1652" s="65"/>
      <c r="AH1652" s="65"/>
      <c r="AI1652" s="65"/>
      <c r="AJ1652" s="65"/>
      <c r="AK1652" s="65"/>
      <c r="AL1652" s="65"/>
      <c r="AM1652" s="65"/>
      <c r="AN1652" s="65" t="str">
        <f>IFERROR(__xludf.DUMMYFUNCTION("""COMPUTED_VALUE"""),"15:51")</f>
        <v>15:51</v>
      </c>
      <c r="AO1652" s="65" t="str">
        <f>IFERROR(__xludf.DUMMYFUNCTION("""COMPUTED_VALUE"""),"21-01-2026")</f>
        <v>21-01-2026</v>
      </c>
      <c r="AP1652" s="65" t="str">
        <f>IFERROR(__xludf.DUMMYFUNCTION("""COMPUTED_VALUE"""),"ENTREGADA GINTRACOM")</f>
        <v>ENTREGADA GINTRACOM</v>
      </c>
      <c r="AQ1652" s="65" t="str">
        <f>IFERROR(__xludf.DUMMYFUNCTION("""COMPUTED_VALUE"""),"ENTREGADA GINTRACOM")</f>
        <v>ENTREGADA GINTRACOM</v>
      </c>
      <c r="AR1652" s="65"/>
      <c r="AS1652" s="65"/>
      <c r="AT1652" s="65" t="str">
        <f>IFERROR(__xludf.DUMMYFUNCTION("""COMPUTED_VALUE"""),"SHOPIFY")</f>
        <v>SHOPIFY</v>
      </c>
      <c r="AU1652" s="65" t="str">
        <f>IFERROR(__xludf.DUMMYFUNCTION("""COMPUTED_VALUE"""),"IMPORTEX EC")</f>
        <v>IMPORTEX EC</v>
      </c>
      <c r="AV1652" s="65" t="str">
        <f>IFERROR(__xludf.DUMMYFUNCTION("""COMPUTED_VALUE"""),"6417871568940")</f>
        <v>6417871568940</v>
      </c>
      <c r="AW1652" s="65">
        <f>IFERROR(__xludf.DUMMYFUNCTION("""COMPUTED_VALUE"""),5291.0)</f>
        <v>5291</v>
      </c>
      <c r="AX1652" s="65"/>
      <c r="AY1652" s="65" t="str">
        <f>IFERROR(__xludf.DUMMYFUNCTION("""COMPUTED_VALUE"""),"19/01/2026")</f>
        <v>19/01/2026</v>
      </c>
      <c r="AZ1652" s="65"/>
      <c r="BA1652" s="65"/>
    </row>
    <row r="1653">
      <c r="A1653" s="65" t="str">
        <f>IFERROR(__xludf.DUMMYFUNCTION("""COMPUTED_VALUE"""),"27-03-2026")</f>
        <v>27-03-2026</v>
      </c>
      <c r="B1653" s="65">
        <f>IFERROR(__xludf.DUMMYFUNCTION("""COMPUTED_VALUE"""),4162820.0)</f>
        <v>4162820</v>
      </c>
      <c r="C1653" s="65" t="str">
        <f>IFERROR(__xludf.DUMMYFUNCTION("""COMPUTED_VALUE"""),"21:03")</f>
        <v>21:03</v>
      </c>
      <c r="D1653" s="65" t="str">
        <f>IFERROR(__xludf.DUMMYFUNCTION("""COMPUTED_VALUE"""),"15-01-2026")</f>
        <v>15-01-2026</v>
      </c>
      <c r="E1653" s="65" t="str">
        <f>IFERROR(__xludf.DUMMYFUNCTION("""COMPUTED_VALUE"""),"Arturo Tutiven")</f>
        <v>Arturo Tutiven</v>
      </c>
      <c r="F1653" s="65" t="str">
        <f>IFERROR(__xludf.DUMMYFUNCTION("""COMPUTED_VALUE"""),"967108488")</f>
        <v>967108488</v>
      </c>
      <c r="G1653" s="65" t="str">
        <f>IFERROR(__xludf.DUMMYFUNCTION("""COMPUTED_VALUE"""),"arturotutiven@hotmail.com")</f>
        <v>arturotutiven@hotmail.com</v>
      </c>
      <c r="H1653" s="65"/>
      <c r="I1653" s="65"/>
      <c r="J1653" s="65" t="str">
        <f>IFERROR(__xludf.DUMMYFUNCTION("""COMPUTED_VALUE"""),"D001240113")</f>
        <v>D001240113</v>
      </c>
      <c r="K1653" s="65" t="str">
        <f>IFERROR(__xludf.DUMMYFUNCTION("""COMPUTED_VALUE"""),"ENTREGADO")</f>
        <v>ENTREGADO</v>
      </c>
      <c r="L1653" s="65" t="str">
        <f>IFERROR(__xludf.DUMMYFUNCTION("""COMPUTED_VALUE"""),"CON RECAUDO")</f>
        <v>CON RECAUDO</v>
      </c>
      <c r="M1653" s="65" t="str">
        <f>IFERROR(__xludf.DUMMYFUNCTION("""COMPUTED_VALUE"""),"GUAYAS")</f>
        <v>GUAYAS</v>
      </c>
      <c r="N1653" s="65" t="str">
        <f>IFERROR(__xludf.DUMMYFUNCTION("""COMPUTED_VALUE"""),"GUAYAQUIL")</f>
        <v>GUAYAQUIL</v>
      </c>
      <c r="O1653" s="65" t="str">
        <f>IFERROR(__xludf.DUMMYFUNCTION("""COMPUTED_VALUE"""),"Sector Ciudadela Bellavista Baja - Calle Juan León Mera Martínez y Calle C 2B SO - Ref. Frente al parque y diagonal al UPC")</f>
        <v>Sector Ciudadela Bellavista Baja - Calle Juan León Mera Martínez y Calle C 2B SO - Ref. Frente al parque y diagonal al UPC</v>
      </c>
      <c r="P1653" s="65" t="str">
        <f>IFERROR(__xludf.DUMMYFUNCTION("""COMPUTED_VALUE"""),"Por favor, solo en este horario de 9am a 4 pm")</f>
        <v>Por favor, solo en este horario de 9am a 4 pm</v>
      </c>
      <c r="Q1653" s="65" t="str">
        <f>IFERROR(__xludf.DUMMYFUNCTION("""COMPUTED_VALUE"""),"GINTRACOM")</f>
        <v>GINTRACOM</v>
      </c>
      <c r="R1653" s="65">
        <f>IFERROR(__xludf.DUMMYFUNCTION("""COMPUTED_VALUE"""),25.0)</f>
        <v>25</v>
      </c>
      <c r="S1653" s="65">
        <f>IFERROR(__xludf.DUMMYFUNCTION("""COMPUTED_VALUE"""),14.34)</f>
        <v>14.34</v>
      </c>
      <c r="T1653" s="65">
        <f>IFERROR(__xludf.DUMMYFUNCTION("""COMPUTED_VALUE"""),5.96)</f>
        <v>5.96</v>
      </c>
      <c r="U1653" s="65">
        <f>IFERROR(__xludf.DUMMYFUNCTION("""COMPUTED_VALUE"""),0.0)</f>
        <v>0</v>
      </c>
      <c r="V1653" s="65">
        <f>IFERROR(__xludf.DUMMYFUNCTION("""COMPUTED_VALUE"""),0.0)</f>
        <v>0</v>
      </c>
      <c r="W1653" s="65">
        <f>IFERROR(__xludf.DUMMYFUNCTION("""COMPUTED_VALUE"""),0.0)</f>
        <v>0</v>
      </c>
      <c r="X1653" s="65">
        <f>IFERROR(__xludf.DUMMYFUNCTION("""COMPUTED_VALUE"""),2.35)</f>
        <v>2.35</v>
      </c>
      <c r="Y1653" s="65">
        <f>IFERROR(__xludf.DUMMYFUNCTION("""COMPUTED_VALUE"""),4.7)</f>
        <v>4.7</v>
      </c>
      <c r="Z1653" s="65">
        <f>IFERROR(__xludf.DUMMYFUNCTION("""COMPUTED_VALUE"""),116679.0)</f>
        <v>116679</v>
      </c>
      <c r="AA1653" s="65" t="str">
        <f>IFERROR(__xludf.DUMMYFUNCTION("""COMPUTED_VALUE"""),"AMC-2738")</f>
        <v>AMC-2738</v>
      </c>
      <c r="AB1653" s="65"/>
      <c r="AC1653" s="65" t="str">
        <f>IFERROR(__xludf.DUMMYFUNCTION("""COMPUTED_VALUE"""),"ESPONJA ANTILLUVIA DE PARABRISAS")</f>
        <v>ESPONJA ANTILLUVIA DE PARABRISAS</v>
      </c>
      <c r="AD1653" s="65"/>
      <c r="AE1653" s="65">
        <f>IFERROR(__xludf.DUMMYFUNCTION("""COMPUTED_VALUE"""),2.0)</f>
        <v>2</v>
      </c>
      <c r="AF1653" s="65"/>
      <c r="AG1653" s="65"/>
      <c r="AH1653" s="65"/>
      <c r="AI1653" s="65"/>
      <c r="AJ1653" s="65"/>
      <c r="AK1653" s="65"/>
      <c r="AL1653" s="65"/>
      <c r="AM1653" s="65"/>
      <c r="AN1653" s="65" t="str">
        <f>IFERROR(__xludf.DUMMYFUNCTION("""COMPUTED_VALUE"""),"16:27")</f>
        <v>16:27</v>
      </c>
      <c r="AO1653" s="65" t="str">
        <f>IFERROR(__xludf.DUMMYFUNCTION("""COMPUTED_VALUE"""),"21-01-2026")</f>
        <v>21-01-2026</v>
      </c>
      <c r="AP1653" s="65" t="str">
        <f>IFERROR(__xludf.DUMMYFUNCTION("""COMPUTED_VALUE"""),"ENTREGADA GINTRACOM")</f>
        <v>ENTREGADA GINTRACOM</v>
      </c>
      <c r="AQ1653" s="65" t="str">
        <f>IFERROR(__xludf.DUMMYFUNCTION("""COMPUTED_VALUE"""),"ENTREGADA GINTRACOM")</f>
        <v>ENTREGADA GINTRACOM</v>
      </c>
      <c r="AR1653" s="65"/>
      <c r="AS1653" s="65"/>
      <c r="AT1653" s="65" t="str">
        <f>IFERROR(__xludf.DUMMYFUNCTION("""COMPUTED_VALUE"""),"SHOPIFY")</f>
        <v>SHOPIFY</v>
      </c>
      <c r="AU1653" s="65" t="str">
        <f>IFERROR(__xludf.DUMMYFUNCTION("""COMPUTED_VALUE"""),"IMPORTEX EC")</f>
        <v>IMPORTEX EC</v>
      </c>
      <c r="AV1653" s="65" t="str">
        <f>IFERROR(__xludf.DUMMYFUNCTION("""COMPUTED_VALUE"""),"6417827233836")</f>
        <v>6417827233836</v>
      </c>
      <c r="AW1653" s="65">
        <f>IFERROR(__xludf.DUMMYFUNCTION("""COMPUTED_VALUE"""),5290.0)</f>
        <v>5290</v>
      </c>
      <c r="AX1653" s="65"/>
      <c r="AY1653" s="65" t="str">
        <f>IFERROR(__xludf.DUMMYFUNCTION("""COMPUTED_VALUE"""),"19/01/2026")</f>
        <v>19/01/2026</v>
      </c>
      <c r="AZ1653" s="65"/>
      <c r="BA1653" s="65"/>
    </row>
    <row r="1654">
      <c r="A1654" s="65" t="str">
        <f>IFERROR(__xludf.DUMMYFUNCTION("""COMPUTED_VALUE"""),"27-03-2026")</f>
        <v>27-03-2026</v>
      </c>
      <c r="B1654" s="65">
        <f>IFERROR(__xludf.DUMMYFUNCTION("""COMPUTED_VALUE"""),4162745.0)</f>
        <v>4162745</v>
      </c>
      <c r="C1654" s="65" t="str">
        <f>IFERROR(__xludf.DUMMYFUNCTION("""COMPUTED_VALUE"""),"20:55")</f>
        <v>20:55</v>
      </c>
      <c r="D1654" s="65" t="str">
        <f>IFERROR(__xludf.DUMMYFUNCTION("""COMPUTED_VALUE"""),"15-01-2026")</f>
        <v>15-01-2026</v>
      </c>
      <c r="E1654" s="65" t="str">
        <f>IFERROR(__xludf.DUMMYFUNCTION("""COMPUTED_VALUE"""),"Añexander Matecki")</f>
        <v>Añexander Matecki</v>
      </c>
      <c r="F1654" s="65" t="str">
        <f>IFERROR(__xludf.DUMMYFUNCTION("""COMPUTED_VALUE"""),"999617834")</f>
        <v>999617834</v>
      </c>
      <c r="G1654" s="65" t="str">
        <f>IFERROR(__xludf.DUMMYFUNCTION("""COMPUTED_VALUE"""),"almat30@hotmail.com")</f>
        <v>almat30@hotmail.com</v>
      </c>
      <c r="H1654" s="65"/>
      <c r="I1654" s="65"/>
      <c r="J1654" s="65" t="str">
        <f>IFERROR(__xludf.DUMMYFUNCTION("""COMPUTED_VALUE"""),"D001240815")</f>
        <v>D001240815</v>
      </c>
      <c r="K1654" s="65" t="str">
        <f>IFERROR(__xludf.DUMMYFUNCTION("""COMPUTED_VALUE"""),"ENTREGADO")</f>
        <v>ENTREGADO</v>
      </c>
      <c r="L1654" s="65" t="str">
        <f>IFERROR(__xludf.DUMMYFUNCTION("""COMPUTED_VALUE"""),"CON RECAUDO")</f>
        <v>CON RECAUDO</v>
      </c>
      <c r="M1654" s="65" t="str">
        <f>IFERROR(__xludf.DUMMYFUNCTION("""COMPUTED_VALUE"""),"GUAYAS")</f>
        <v>GUAYAS</v>
      </c>
      <c r="N1654" s="65" t="str">
        <f>IFERROR(__xludf.DUMMYFUNCTION("""COMPUTED_VALUE"""),"GUAYAQUIL")</f>
        <v>GUAYAQUIL</v>
      </c>
      <c r="O1654" s="65" t="str">
        <f>IFERROR(__xludf.DUMMYFUNCTION("""COMPUTED_VALUE"""),"Calle tercera numero 401 y avenida principal de miraflores Miraflores -")</f>
        <v>Calle tercera numero 401 y avenida principal de miraflores Miraflores -</v>
      </c>
      <c r="P1654" s="65"/>
      <c r="Q1654" s="65" t="str">
        <f>IFERROR(__xludf.DUMMYFUNCTION("""COMPUTED_VALUE"""),"GINTRACOM")</f>
        <v>GINTRACOM</v>
      </c>
      <c r="R1654" s="65">
        <f>IFERROR(__xludf.DUMMYFUNCTION("""COMPUTED_VALUE"""),22.0)</f>
        <v>22</v>
      </c>
      <c r="S1654" s="65">
        <f>IFERROR(__xludf.DUMMYFUNCTION("""COMPUTED_VALUE"""),12.57)</f>
        <v>12.57</v>
      </c>
      <c r="T1654" s="65">
        <f>IFERROR(__xludf.DUMMYFUNCTION("""COMPUTED_VALUE"""),4.23)</f>
        <v>4.23</v>
      </c>
      <c r="U1654" s="65">
        <f>IFERROR(__xludf.DUMMYFUNCTION("""COMPUTED_VALUE"""),0.0)</f>
        <v>0</v>
      </c>
      <c r="V1654" s="65">
        <f>IFERROR(__xludf.DUMMYFUNCTION("""COMPUTED_VALUE"""),0.0)</f>
        <v>0</v>
      </c>
      <c r="W1654" s="65">
        <f>IFERROR(__xludf.DUMMYFUNCTION("""COMPUTED_VALUE"""),0.0)</f>
        <v>0</v>
      </c>
      <c r="X1654" s="65">
        <f>IFERROR(__xludf.DUMMYFUNCTION("""COMPUTED_VALUE"""),2.6)</f>
        <v>2.6</v>
      </c>
      <c r="Y1654" s="65">
        <f>IFERROR(__xludf.DUMMYFUNCTION("""COMPUTED_VALUE"""),5.2)</f>
        <v>5.2</v>
      </c>
      <c r="Z1654" s="65">
        <f>IFERROR(__xludf.DUMMYFUNCTION("""COMPUTED_VALUE"""),121983.0)</f>
        <v>121983</v>
      </c>
      <c r="AA1654" s="65" t="str">
        <f>IFERROR(__xludf.DUMMYFUNCTION("""COMPUTED_VALUE"""),"PROV-CHLLCF")</f>
        <v>PROV-CHLLCF</v>
      </c>
      <c r="AB1654" s="65"/>
      <c r="AC1654" s="65" t="str">
        <f>IFERROR(__xludf.DUMMYFUNCTION("""COMPUTED_VALUE"""),"CUCHILLO PARA CHEF")</f>
        <v>CUCHILLO PARA CHEF</v>
      </c>
      <c r="AD1654" s="65"/>
      <c r="AE1654" s="65">
        <f>IFERROR(__xludf.DUMMYFUNCTION("""COMPUTED_VALUE"""),2.0)</f>
        <v>2</v>
      </c>
      <c r="AF1654" s="65"/>
      <c r="AG1654" s="65"/>
      <c r="AH1654" s="65"/>
      <c r="AI1654" s="65"/>
      <c r="AJ1654" s="65"/>
      <c r="AK1654" s="65"/>
      <c r="AL1654" s="65"/>
      <c r="AM1654" s="65"/>
      <c r="AN1654" s="65" t="str">
        <f>IFERROR(__xludf.DUMMYFUNCTION("""COMPUTED_VALUE"""),"15:27")</f>
        <v>15:27</v>
      </c>
      <c r="AO1654" s="65" t="str">
        <f>IFERROR(__xludf.DUMMYFUNCTION("""COMPUTED_VALUE"""),"21-01-2026")</f>
        <v>21-01-2026</v>
      </c>
      <c r="AP1654" s="65" t="str">
        <f>IFERROR(__xludf.DUMMYFUNCTION("""COMPUTED_VALUE"""),"ENTREGADA GINTRACOM")</f>
        <v>ENTREGADA GINTRACOM</v>
      </c>
      <c r="AQ1654" s="65" t="str">
        <f>IFERROR(__xludf.DUMMYFUNCTION("""COMPUTED_VALUE"""),"ENTREGADA GINTRACOM")</f>
        <v>ENTREGADA GINTRACOM</v>
      </c>
      <c r="AR1654" s="65"/>
      <c r="AS1654" s="65"/>
      <c r="AT1654" s="65" t="str">
        <f>IFERROR(__xludf.DUMMYFUNCTION("""COMPUTED_VALUE"""),"SHOPIFY")</f>
        <v>SHOPIFY</v>
      </c>
      <c r="AU1654" s="65" t="str">
        <f>IFERROR(__xludf.DUMMYFUNCTION("""COMPUTED_VALUE"""),"IMPORTEX EC")</f>
        <v>IMPORTEX EC</v>
      </c>
      <c r="AV1654" s="65" t="str">
        <f>IFERROR(__xludf.DUMMYFUNCTION("""COMPUTED_VALUE"""),"6417813766188")</f>
        <v>6417813766188</v>
      </c>
      <c r="AW1654" s="65">
        <f>IFERROR(__xludf.DUMMYFUNCTION("""COMPUTED_VALUE"""),5289.0)</f>
        <v>5289</v>
      </c>
      <c r="AX1654" s="65"/>
      <c r="AY1654" s="65" t="str">
        <f>IFERROR(__xludf.DUMMYFUNCTION("""COMPUTED_VALUE"""),"19/01/2026")</f>
        <v>19/01/2026</v>
      </c>
      <c r="AZ1654" s="65"/>
      <c r="BA1654" s="65"/>
    </row>
    <row r="1655">
      <c r="A1655" s="65" t="str">
        <f>IFERROR(__xludf.DUMMYFUNCTION("""COMPUTED_VALUE"""),"27-03-2026")</f>
        <v>27-03-2026</v>
      </c>
      <c r="B1655" s="65">
        <f>IFERROR(__xludf.DUMMYFUNCTION("""COMPUTED_VALUE"""),4162727.0)</f>
        <v>4162727</v>
      </c>
      <c r="C1655" s="65" t="str">
        <f>IFERROR(__xludf.DUMMYFUNCTION("""COMPUTED_VALUE"""),"20:53")</f>
        <v>20:53</v>
      </c>
      <c r="D1655" s="65" t="str">
        <f>IFERROR(__xludf.DUMMYFUNCTION("""COMPUTED_VALUE"""),"15-01-2026")</f>
        <v>15-01-2026</v>
      </c>
      <c r="E1655" s="65" t="str">
        <f>IFERROR(__xludf.DUMMYFUNCTION("""COMPUTED_VALUE"""),"Anita sanches")</f>
        <v>Anita sanches</v>
      </c>
      <c r="F1655" s="65" t="str">
        <f>IFERROR(__xludf.DUMMYFUNCTION("""COMPUTED_VALUE"""),"988239370")</f>
        <v>988239370</v>
      </c>
      <c r="G1655" s="65"/>
      <c r="H1655" s="65"/>
      <c r="I1655" s="65"/>
      <c r="J1655" s="65"/>
      <c r="K1655" s="65" t="str">
        <f>IFERROR(__xludf.DUMMYFUNCTION("""COMPUTED_VALUE"""),"PENDIENTE CONFIRMACION")</f>
        <v>PENDIENTE CONFIRMACION</v>
      </c>
      <c r="L1655" s="65" t="str">
        <f>IFERROR(__xludf.DUMMYFUNCTION("""COMPUTED_VALUE"""),"CON RECAUDO")</f>
        <v>CON RECAUDO</v>
      </c>
      <c r="M1655" s="65" t="str">
        <f>IFERROR(__xludf.DUMMYFUNCTION("""COMPUTED_VALUE"""),"BOLIVAR")</f>
        <v>BOLIVAR</v>
      </c>
      <c r="N1655" s="65" t="str">
        <f>IFERROR(__xludf.DUMMYFUNCTION("""COMPUTED_VALUE"""),"GUARANDA")</f>
        <v>GUARANDA</v>
      </c>
      <c r="O1655" s="65" t="str">
        <f>IFERROR(__xludf.DUMMYFUNCTION("""COMPUTED_VALUE"""),"9 de sbril y garvia moreno A lado del tutil")</f>
        <v>9 de sbril y garvia moreno A lado del tutil</v>
      </c>
      <c r="P1655" s="65" t="str">
        <f>IFERROR(__xludf.DUMMYFUNCTION("""COMPUTED_VALUE"""),"CUCHILLO PARA CHEF: Default Title ***")</f>
        <v>CUCHILLO PARA CHEF: Default Title ***</v>
      </c>
      <c r="Q1655" s="65" t="str">
        <f>IFERROR(__xludf.DUMMYFUNCTION("""COMPUTED_VALUE"""),"GINTRACOM")</f>
        <v>GINTRACOM</v>
      </c>
      <c r="R1655" s="65">
        <f>IFERROR(__xludf.DUMMYFUNCTION("""COMPUTED_VALUE"""),22.0)</f>
        <v>22</v>
      </c>
      <c r="S1655" s="65"/>
      <c r="T1655" s="65">
        <f>IFERROR(__xludf.DUMMYFUNCTION("""COMPUTED_VALUE"""),5.84)</f>
        <v>5.84</v>
      </c>
      <c r="U1655" s="65">
        <f>IFERROR(__xludf.DUMMYFUNCTION("""COMPUTED_VALUE"""),0.0)</f>
        <v>0</v>
      </c>
      <c r="V1655" s="65">
        <f>IFERROR(__xludf.DUMMYFUNCTION("""COMPUTED_VALUE"""),0.0)</f>
        <v>0</v>
      </c>
      <c r="W1655" s="65">
        <f>IFERROR(__xludf.DUMMYFUNCTION("""COMPUTED_VALUE"""),0.0)</f>
        <v>0</v>
      </c>
      <c r="X1655" s="65">
        <f>IFERROR(__xludf.DUMMYFUNCTION("""COMPUTED_VALUE"""),2.6)</f>
        <v>2.6</v>
      </c>
      <c r="Y1655" s="65">
        <f>IFERROR(__xludf.DUMMYFUNCTION("""COMPUTED_VALUE"""),5.2)</f>
        <v>5.2</v>
      </c>
      <c r="Z1655" s="65">
        <f>IFERROR(__xludf.DUMMYFUNCTION("""COMPUTED_VALUE"""),121983.0)</f>
        <v>121983</v>
      </c>
      <c r="AA1655" s="65" t="str">
        <f>IFERROR(__xludf.DUMMYFUNCTION("""COMPUTED_VALUE"""),"PROV-CHLLCF")</f>
        <v>PROV-CHLLCF</v>
      </c>
      <c r="AB1655" s="65"/>
      <c r="AC1655" s="65" t="str">
        <f>IFERROR(__xludf.DUMMYFUNCTION("""COMPUTED_VALUE"""),"CUCHILLO PARA CHEF")</f>
        <v>CUCHILLO PARA CHEF</v>
      </c>
      <c r="AD1655" s="65"/>
      <c r="AE1655" s="65">
        <f>IFERROR(__xludf.DUMMYFUNCTION("""COMPUTED_VALUE"""),2.0)</f>
        <v>2</v>
      </c>
      <c r="AF1655" s="65"/>
      <c r="AG1655" s="65"/>
      <c r="AH1655" s="65"/>
      <c r="AI1655" s="65"/>
      <c r="AJ1655" s="65"/>
      <c r="AK1655" s="65"/>
      <c r="AL1655" s="65"/>
      <c r="AM1655" s="65"/>
      <c r="AN1655" s="65"/>
      <c r="AO1655" s="65"/>
      <c r="AP1655" s="65"/>
      <c r="AQ1655" s="65"/>
      <c r="AR1655" s="65"/>
      <c r="AS1655" s="65"/>
      <c r="AT1655" s="65" t="str">
        <f>IFERROR(__xludf.DUMMYFUNCTION("""COMPUTED_VALUE"""),"SHOPIFY")</f>
        <v>SHOPIFY</v>
      </c>
      <c r="AU1655" s="65" t="str">
        <f>IFERROR(__xludf.DUMMYFUNCTION("""COMPUTED_VALUE"""),"IMPORTEX EC")</f>
        <v>IMPORTEX EC</v>
      </c>
      <c r="AV1655" s="65" t="str">
        <f>IFERROR(__xludf.DUMMYFUNCTION("""COMPUTED_VALUE"""),"6417806131244")</f>
        <v>6417806131244</v>
      </c>
      <c r="AW1655" s="65">
        <f>IFERROR(__xludf.DUMMYFUNCTION("""COMPUTED_VALUE"""),5288.0)</f>
        <v>5288</v>
      </c>
      <c r="AX1655" s="65"/>
      <c r="AY1655" s="65"/>
      <c r="AZ1655" s="65"/>
      <c r="BA1655" s="65"/>
    </row>
    <row r="1656">
      <c r="A1656" s="65" t="str">
        <f>IFERROR(__xludf.DUMMYFUNCTION("""COMPUTED_VALUE"""),"27-03-2026")</f>
        <v>27-03-2026</v>
      </c>
      <c r="B1656" s="65">
        <f>IFERROR(__xludf.DUMMYFUNCTION("""COMPUTED_VALUE"""),4162487.0)</f>
        <v>4162487</v>
      </c>
      <c r="C1656" s="65" t="str">
        <f>IFERROR(__xludf.DUMMYFUNCTION("""COMPUTED_VALUE"""),"20:34")</f>
        <v>20:34</v>
      </c>
      <c r="D1656" s="65" t="str">
        <f>IFERROR(__xludf.DUMMYFUNCTION("""COMPUTED_VALUE"""),"15-01-2026")</f>
        <v>15-01-2026</v>
      </c>
      <c r="E1656" s="65" t="str">
        <f>IFERROR(__xludf.DUMMYFUNCTION("""COMPUTED_VALUE"""),"Manuel Mejia mosquera")</f>
        <v>Manuel Mejia mosquera</v>
      </c>
      <c r="F1656" s="65" t="str">
        <f>IFERROR(__xludf.DUMMYFUNCTION("""COMPUTED_VALUE"""),"982871246")</f>
        <v>982871246</v>
      </c>
      <c r="G1656" s="65" t="str">
        <f>IFERROR(__xludf.DUMMYFUNCTION("""COMPUTED_VALUE"""),"manueleustorgiomejia@gimal.com")</f>
        <v>manueleustorgiomejia@gimal.com</v>
      </c>
      <c r="H1656" s="65"/>
      <c r="I1656" s="65"/>
      <c r="J1656" s="65"/>
      <c r="K1656" s="65" t="str">
        <f>IFERROR(__xludf.DUMMYFUNCTION("""COMPUTED_VALUE"""),"PENDIENTE CONFIRMACION")</f>
        <v>PENDIENTE CONFIRMACION</v>
      </c>
      <c r="L1656" s="65" t="str">
        <f>IFERROR(__xludf.DUMMYFUNCTION("""COMPUTED_VALUE"""),"CON RECAUDO")</f>
        <v>CON RECAUDO</v>
      </c>
      <c r="M1656" s="65" t="str">
        <f>IFERROR(__xludf.DUMMYFUNCTION("""COMPUTED_VALUE"""),"GUAYAS")</f>
        <v>GUAYAS</v>
      </c>
      <c r="N1656" s="65" t="str">
        <f>IFERROR(__xludf.DUMMYFUNCTION("""COMPUTED_VALUE"""),"SAN JACINTO DE YAGUACHI")</f>
        <v>SAN JACINTO DE YAGUACHI</v>
      </c>
      <c r="O1656" s="65" t="str">
        <f>IFERROR(__xludf.DUMMYFUNCTION("""COMPUTED_VALUE"""),"Pedro Jota Montero Barrio")</f>
        <v>Pedro Jota Montero Barrio</v>
      </c>
      <c r="P1656" s="65" t="str">
        <f>IFERROR(__xludf.DUMMYFUNCTION("""COMPUTED_VALUE"""),"CUCHILLO PARA CHEF: Default Title ***")</f>
        <v>CUCHILLO PARA CHEF: Default Title ***</v>
      </c>
      <c r="Q1656" s="65" t="str">
        <f>IFERROR(__xludf.DUMMYFUNCTION("""COMPUTED_VALUE"""),"URBANO")</f>
        <v>URBANO</v>
      </c>
      <c r="R1656" s="65">
        <f>IFERROR(__xludf.DUMMYFUNCTION("""COMPUTED_VALUE"""),21.99)</f>
        <v>21.99</v>
      </c>
      <c r="S1656" s="65"/>
      <c r="T1656" s="65">
        <f>IFERROR(__xludf.DUMMYFUNCTION("""COMPUTED_VALUE"""),4.34)</f>
        <v>4.34</v>
      </c>
      <c r="U1656" s="65">
        <f>IFERROR(__xludf.DUMMYFUNCTION("""COMPUTED_VALUE"""),0.0)</f>
        <v>0</v>
      </c>
      <c r="V1656" s="65">
        <f>IFERROR(__xludf.DUMMYFUNCTION("""COMPUTED_VALUE"""),0.0)</f>
        <v>0</v>
      </c>
      <c r="W1656" s="65">
        <f>IFERROR(__xludf.DUMMYFUNCTION("""COMPUTED_VALUE"""),0.0)</f>
        <v>0</v>
      </c>
      <c r="X1656" s="65">
        <f>IFERROR(__xludf.DUMMYFUNCTION("""COMPUTED_VALUE"""),2.6)</f>
        <v>2.6</v>
      </c>
      <c r="Y1656" s="65">
        <f>IFERROR(__xludf.DUMMYFUNCTION("""COMPUTED_VALUE"""),2.6)</f>
        <v>2.6</v>
      </c>
      <c r="Z1656" s="65">
        <f>IFERROR(__xludf.DUMMYFUNCTION("""COMPUTED_VALUE"""),121983.0)</f>
        <v>121983</v>
      </c>
      <c r="AA1656" s="65" t="str">
        <f>IFERROR(__xludf.DUMMYFUNCTION("""COMPUTED_VALUE"""),"PROV-CHLLCF")</f>
        <v>PROV-CHLLCF</v>
      </c>
      <c r="AB1656" s="65"/>
      <c r="AC1656" s="65" t="str">
        <f>IFERROR(__xludf.DUMMYFUNCTION("""COMPUTED_VALUE"""),"CUCHILLO PARA CHEF")</f>
        <v>CUCHILLO PARA CHEF</v>
      </c>
      <c r="AD1656" s="65"/>
      <c r="AE1656" s="65">
        <f>IFERROR(__xludf.DUMMYFUNCTION("""COMPUTED_VALUE"""),1.0)</f>
        <v>1</v>
      </c>
      <c r="AF1656" s="65"/>
      <c r="AG1656" s="65"/>
      <c r="AH1656" s="65"/>
      <c r="AI1656" s="65"/>
      <c r="AJ1656" s="65"/>
      <c r="AK1656" s="65"/>
      <c r="AL1656" s="65"/>
      <c r="AM1656" s="65"/>
      <c r="AN1656" s="65"/>
      <c r="AO1656" s="65"/>
      <c r="AP1656" s="65"/>
      <c r="AQ1656" s="65"/>
      <c r="AR1656" s="65"/>
      <c r="AS1656" s="65"/>
      <c r="AT1656" s="65" t="str">
        <f>IFERROR(__xludf.DUMMYFUNCTION("""COMPUTED_VALUE"""),"SHOPIFY")</f>
        <v>SHOPIFY</v>
      </c>
      <c r="AU1656" s="65" t="str">
        <f>IFERROR(__xludf.DUMMYFUNCTION("""COMPUTED_VALUE"""),"IMPORTEX EC")</f>
        <v>IMPORTEX EC</v>
      </c>
      <c r="AV1656" s="65" t="str">
        <f>IFERROR(__xludf.DUMMYFUNCTION("""COMPUTED_VALUE"""),"6417772838956")</f>
        <v>6417772838956</v>
      </c>
      <c r="AW1656" s="65">
        <f>IFERROR(__xludf.DUMMYFUNCTION("""COMPUTED_VALUE"""),5287.0)</f>
        <v>5287</v>
      </c>
      <c r="AX1656" s="65"/>
      <c r="AY1656" s="65"/>
      <c r="AZ1656" s="65"/>
      <c r="BA1656" s="65"/>
    </row>
    <row r="1657">
      <c r="A1657" s="65" t="str">
        <f>IFERROR(__xludf.DUMMYFUNCTION("""COMPUTED_VALUE"""),"27-03-2026")</f>
        <v>27-03-2026</v>
      </c>
      <c r="B1657" s="65">
        <f>IFERROR(__xludf.DUMMYFUNCTION("""COMPUTED_VALUE"""),4162316.0)</f>
        <v>4162316</v>
      </c>
      <c r="C1657" s="65" t="str">
        <f>IFERROR(__xludf.DUMMYFUNCTION("""COMPUTED_VALUE"""),"20:19")</f>
        <v>20:19</v>
      </c>
      <c r="D1657" s="65" t="str">
        <f>IFERROR(__xludf.DUMMYFUNCTION("""COMPUTED_VALUE"""),"15-01-2026")</f>
        <v>15-01-2026</v>
      </c>
      <c r="E1657" s="65" t="str">
        <f>IFERROR(__xludf.DUMMYFUNCTION("""COMPUTED_VALUE"""),"Carlos Rodriguez")</f>
        <v>Carlos Rodriguez</v>
      </c>
      <c r="F1657" s="65" t="str">
        <f>IFERROR(__xludf.DUMMYFUNCTION("""COMPUTED_VALUE"""),"997143917")</f>
        <v>997143917</v>
      </c>
      <c r="G1657" s="65" t="str">
        <f>IFERROR(__xludf.DUMMYFUNCTION("""COMPUTED_VALUE"""),"cnr_unapalabrasedios@hotmail.com")</f>
        <v>cnr_unapalabrasedios@hotmail.com</v>
      </c>
      <c r="H1657" s="65"/>
      <c r="I1657" s="65"/>
      <c r="J1657" s="65" t="str">
        <f>IFERROR(__xludf.DUMMYFUNCTION("""COMPUTED_VALUE"""),"D001240817")</f>
        <v>D001240817</v>
      </c>
      <c r="K1657" s="65" t="str">
        <f>IFERROR(__xludf.DUMMYFUNCTION("""COMPUTED_VALUE"""),"ENTREGADO")</f>
        <v>ENTREGADO</v>
      </c>
      <c r="L1657" s="65" t="str">
        <f>IFERROR(__xludf.DUMMYFUNCTION("""COMPUTED_VALUE"""),"CON RECAUDO")</f>
        <v>CON RECAUDO</v>
      </c>
      <c r="M1657" s="65" t="str">
        <f>IFERROR(__xludf.DUMMYFUNCTION("""COMPUTED_VALUE"""),"MANABI")</f>
        <v>MANABI</v>
      </c>
      <c r="N1657" s="65" t="str">
        <f>IFERROR(__xludf.DUMMYFUNCTION("""COMPUTED_VALUE"""),"PORTOVIEJO")</f>
        <v>PORTOVIEJO</v>
      </c>
      <c r="O1657" s="65" t="str">
        <f>IFERROR(__xludf.DUMMYFUNCTION("""COMPUTED_VALUE"""),"Ciudadela Universitaria en la calle Libertad, más conocida como calle nueva y Chile. Por el parque la rotonda. Hay un edificio blanco que dice CNR.")</f>
        <v>Ciudadela Universitaria en la calle Libertad, más conocida como calle nueva y Chile. Por el parque la rotonda. Hay un edificio blanco que dice CNR.</v>
      </c>
      <c r="P1657" s="65"/>
      <c r="Q1657" s="65" t="str">
        <f>IFERROR(__xludf.DUMMYFUNCTION("""COMPUTED_VALUE"""),"GINTRACOM")</f>
        <v>GINTRACOM</v>
      </c>
      <c r="R1657" s="65">
        <f>IFERROR(__xludf.DUMMYFUNCTION("""COMPUTED_VALUE"""),22.0)</f>
        <v>22</v>
      </c>
      <c r="S1657" s="65">
        <f>IFERROR(__xludf.DUMMYFUNCTION("""COMPUTED_VALUE"""),10.96)</f>
        <v>10.96</v>
      </c>
      <c r="T1657" s="65">
        <f>IFERROR(__xludf.DUMMYFUNCTION("""COMPUTED_VALUE"""),5.84)</f>
        <v>5.84</v>
      </c>
      <c r="U1657" s="65">
        <f>IFERROR(__xludf.DUMMYFUNCTION("""COMPUTED_VALUE"""),0.0)</f>
        <v>0</v>
      </c>
      <c r="V1657" s="65">
        <f>IFERROR(__xludf.DUMMYFUNCTION("""COMPUTED_VALUE"""),0.0)</f>
        <v>0</v>
      </c>
      <c r="W1657" s="65">
        <f>IFERROR(__xludf.DUMMYFUNCTION("""COMPUTED_VALUE"""),0.0)</f>
        <v>0</v>
      </c>
      <c r="X1657" s="65">
        <f>IFERROR(__xludf.DUMMYFUNCTION("""COMPUTED_VALUE"""),2.6)</f>
        <v>2.6</v>
      </c>
      <c r="Y1657" s="65">
        <f>IFERROR(__xludf.DUMMYFUNCTION("""COMPUTED_VALUE"""),5.2)</f>
        <v>5.2</v>
      </c>
      <c r="Z1657" s="65">
        <f>IFERROR(__xludf.DUMMYFUNCTION("""COMPUTED_VALUE"""),121983.0)</f>
        <v>121983</v>
      </c>
      <c r="AA1657" s="65" t="str">
        <f>IFERROR(__xludf.DUMMYFUNCTION("""COMPUTED_VALUE"""),"PROV-CHLLCF")</f>
        <v>PROV-CHLLCF</v>
      </c>
      <c r="AB1657" s="65"/>
      <c r="AC1657" s="65" t="str">
        <f>IFERROR(__xludf.DUMMYFUNCTION("""COMPUTED_VALUE"""),"CUCHILLO PARA CHEF")</f>
        <v>CUCHILLO PARA CHEF</v>
      </c>
      <c r="AD1657" s="65"/>
      <c r="AE1657" s="65">
        <f>IFERROR(__xludf.DUMMYFUNCTION("""COMPUTED_VALUE"""),2.0)</f>
        <v>2</v>
      </c>
      <c r="AF1657" s="65"/>
      <c r="AG1657" s="65"/>
      <c r="AH1657" s="65"/>
      <c r="AI1657" s="65"/>
      <c r="AJ1657" s="65"/>
      <c r="AK1657" s="65"/>
      <c r="AL1657" s="65"/>
      <c r="AM1657" s="65"/>
      <c r="AN1657" s="65" t="str">
        <f>IFERROR(__xludf.DUMMYFUNCTION("""COMPUTED_VALUE"""),"18:53")</f>
        <v>18:53</v>
      </c>
      <c r="AO1657" s="65" t="str">
        <f>IFERROR(__xludf.DUMMYFUNCTION("""COMPUTED_VALUE"""),"21-01-2026")</f>
        <v>21-01-2026</v>
      </c>
      <c r="AP1657" s="65" t="str">
        <f>IFERROR(__xludf.DUMMYFUNCTION("""COMPUTED_VALUE"""),"DESTINATARIO RE-PROGRAMA FECHA DE ENTREGA")</f>
        <v>DESTINATARIO RE-PROGRAMA FECHA DE ENTREGA</v>
      </c>
      <c r="AQ1657" s="65" t="str">
        <f>IFERROR(__xludf.DUMMYFUNCTION("""COMPUTED_VALUE"""),"DESTINATARIO RE-PROGRAMA FECHA DE ENTREGA")</f>
        <v>DESTINATARIO RE-PROGRAMA FECHA DE ENTREGA</v>
      </c>
      <c r="AR1657" s="65"/>
      <c r="AS1657" s="65"/>
      <c r="AT1657" s="65" t="str">
        <f>IFERROR(__xludf.DUMMYFUNCTION("""COMPUTED_VALUE"""),"SHOPIFY")</f>
        <v>SHOPIFY</v>
      </c>
      <c r="AU1657" s="65" t="str">
        <f>IFERROR(__xludf.DUMMYFUNCTION("""COMPUTED_VALUE"""),"IMPORTEX EC")</f>
        <v>IMPORTEX EC</v>
      </c>
      <c r="AV1657" s="65" t="str">
        <f>IFERROR(__xludf.DUMMYFUNCTION("""COMPUTED_VALUE"""),"6417740562476")</f>
        <v>6417740562476</v>
      </c>
      <c r="AW1657" s="65">
        <f>IFERROR(__xludf.DUMMYFUNCTION("""COMPUTED_VALUE"""),5286.0)</f>
        <v>5286</v>
      </c>
      <c r="AX1657" s="65"/>
      <c r="AY1657" s="65" t="str">
        <f>IFERROR(__xludf.DUMMYFUNCTION("""COMPUTED_VALUE"""),"19/01/2026")</f>
        <v>19/01/2026</v>
      </c>
      <c r="AZ1657" s="65"/>
      <c r="BA1657" s="65"/>
    </row>
    <row r="1658">
      <c r="A1658" s="65" t="str">
        <f>IFERROR(__xludf.DUMMYFUNCTION("""COMPUTED_VALUE"""),"27-03-2026")</f>
        <v>27-03-2026</v>
      </c>
      <c r="B1658" s="65">
        <f>IFERROR(__xludf.DUMMYFUNCTION("""COMPUTED_VALUE"""),4162282.0)</f>
        <v>4162282</v>
      </c>
      <c r="C1658" s="65" t="str">
        <f>IFERROR(__xludf.DUMMYFUNCTION("""COMPUTED_VALUE"""),"20:17")</f>
        <v>20:17</v>
      </c>
      <c r="D1658" s="65" t="str">
        <f>IFERROR(__xludf.DUMMYFUNCTION("""COMPUTED_VALUE"""),"15-01-2026")</f>
        <v>15-01-2026</v>
      </c>
      <c r="E1658" s="65" t="str">
        <f>IFERROR(__xludf.DUMMYFUNCTION("""COMPUTED_VALUE"""),"Cecilia Belén Carrión Amaya")</f>
        <v>Cecilia Belén Carrión Amaya</v>
      </c>
      <c r="F1658" s="65" t="str">
        <f>IFERROR(__xludf.DUMMYFUNCTION("""COMPUTED_VALUE"""),"997112901")</f>
        <v>997112901</v>
      </c>
      <c r="G1658" s="65" t="str">
        <f>IFERROR(__xludf.DUMMYFUNCTION("""COMPUTED_VALUE"""),"vekytatuamigocha@hotmail.es")</f>
        <v>vekytatuamigocha@hotmail.es</v>
      </c>
      <c r="H1658" s="65"/>
      <c r="I1658" s="65"/>
      <c r="J1658" s="65"/>
      <c r="K1658" s="65" t="str">
        <f>IFERROR(__xludf.DUMMYFUNCTION("""COMPUTED_VALUE"""),"PENDIENTE CONFIRMACION")</f>
        <v>PENDIENTE CONFIRMACION</v>
      </c>
      <c r="L1658" s="65" t="str">
        <f>IFERROR(__xludf.DUMMYFUNCTION("""COMPUTED_VALUE"""),"CON RECAUDO")</f>
        <v>CON RECAUDO</v>
      </c>
      <c r="M1658" s="65" t="str">
        <f>IFERROR(__xludf.DUMMYFUNCTION("""COMPUTED_VALUE"""),"AZUAY")</f>
        <v>AZUAY</v>
      </c>
      <c r="N1658" s="65" t="str">
        <f>IFERROR(__xludf.DUMMYFUNCTION("""COMPUTED_VALUE"""),"CUENCA")</f>
        <v>CUENCA</v>
      </c>
      <c r="O1658" s="65" t="str">
        <f>IFERROR(__xludf.DUMMYFUNCTION("""COMPUTED_VALUE"""),"13 de abril Eduficio -")</f>
        <v>13 de abril Eduficio -</v>
      </c>
      <c r="P1658" s="65"/>
      <c r="Q1658" s="65" t="str">
        <f>IFERROR(__xludf.DUMMYFUNCTION("""COMPUTED_VALUE"""),"GINTRACOM")</f>
        <v>GINTRACOM</v>
      </c>
      <c r="R1658" s="65">
        <f>IFERROR(__xludf.DUMMYFUNCTION("""COMPUTED_VALUE"""),25.0)</f>
        <v>25</v>
      </c>
      <c r="S1658" s="65"/>
      <c r="T1658" s="65">
        <f>IFERROR(__xludf.DUMMYFUNCTION("""COMPUTED_VALUE"""),5.96)</f>
        <v>5.96</v>
      </c>
      <c r="U1658" s="65">
        <f>IFERROR(__xludf.DUMMYFUNCTION("""COMPUTED_VALUE"""),0.0)</f>
        <v>0</v>
      </c>
      <c r="V1658" s="65">
        <f>IFERROR(__xludf.DUMMYFUNCTION("""COMPUTED_VALUE"""),0.0)</f>
        <v>0</v>
      </c>
      <c r="W1658" s="65">
        <f>IFERROR(__xludf.DUMMYFUNCTION("""COMPUTED_VALUE"""),0.0)</f>
        <v>0</v>
      </c>
      <c r="X1658" s="65">
        <f>IFERROR(__xludf.DUMMYFUNCTION("""COMPUTED_VALUE"""),2.35)</f>
        <v>2.35</v>
      </c>
      <c r="Y1658" s="65">
        <f>IFERROR(__xludf.DUMMYFUNCTION("""COMPUTED_VALUE"""),4.7)</f>
        <v>4.7</v>
      </c>
      <c r="Z1658" s="65">
        <f>IFERROR(__xludf.DUMMYFUNCTION("""COMPUTED_VALUE"""),116679.0)</f>
        <v>116679</v>
      </c>
      <c r="AA1658" s="65" t="str">
        <f>IFERROR(__xludf.DUMMYFUNCTION("""COMPUTED_VALUE"""),"AMC-2738")</f>
        <v>AMC-2738</v>
      </c>
      <c r="AB1658" s="65"/>
      <c r="AC1658" s="65" t="str">
        <f>IFERROR(__xludf.DUMMYFUNCTION("""COMPUTED_VALUE"""),"ESPONJA ANTILLUVIA DE PARABRISAS")</f>
        <v>ESPONJA ANTILLUVIA DE PARABRISAS</v>
      </c>
      <c r="AD1658" s="65"/>
      <c r="AE1658" s="65">
        <f>IFERROR(__xludf.DUMMYFUNCTION("""COMPUTED_VALUE"""),2.0)</f>
        <v>2</v>
      </c>
      <c r="AF1658" s="65"/>
      <c r="AG1658" s="65"/>
      <c r="AH1658" s="65"/>
      <c r="AI1658" s="65"/>
      <c r="AJ1658" s="65"/>
      <c r="AK1658" s="65"/>
      <c r="AL1658" s="65"/>
      <c r="AM1658" s="65"/>
      <c r="AN1658" s="65"/>
      <c r="AO1658" s="65"/>
      <c r="AP1658" s="65"/>
      <c r="AQ1658" s="65"/>
      <c r="AR1658" s="65"/>
      <c r="AS1658" s="65"/>
      <c r="AT1658" s="65" t="str">
        <f>IFERROR(__xludf.DUMMYFUNCTION("""COMPUTED_VALUE"""),"SHOPIFY")</f>
        <v>SHOPIFY</v>
      </c>
      <c r="AU1658" s="65" t="str">
        <f>IFERROR(__xludf.DUMMYFUNCTION("""COMPUTED_VALUE"""),"IMPORTEX EC")</f>
        <v>IMPORTEX EC</v>
      </c>
      <c r="AV1658" s="65" t="str">
        <f>IFERROR(__xludf.DUMMYFUNCTION("""COMPUTED_VALUE"""),"6417730764844")</f>
        <v>6417730764844</v>
      </c>
      <c r="AW1658" s="65">
        <f>IFERROR(__xludf.DUMMYFUNCTION("""COMPUTED_VALUE"""),5285.0)</f>
        <v>5285</v>
      </c>
      <c r="AX1658" s="65"/>
      <c r="AY1658" s="65"/>
      <c r="AZ1658" s="65"/>
      <c r="BA1658" s="65"/>
    </row>
    <row r="1659">
      <c r="A1659" s="65" t="str">
        <f>IFERROR(__xludf.DUMMYFUNCTION("""COMPUTED_VALUE"""),"27-03-2026")</f>
        <v>27-03-2026</v>
      </c>
      <c r="B1659" s="65">
        <f>IFERROR(__xludf.DUMMYFUNCTION("""COMPUTED_VALUE"""),4162280.0)</f>
        <v>4162280</v>
      </c>
      <c r="C1659" s="65" t="str">
        <f>IFERROR(__xludf.DUMMYFUNCTION("""COMPUTED_VALUE"""),"20:17")</f>
        <v>20:17</v>
      </c>
      <c r="D1659" s="65" t="str">
        <f>IFERROR(__xludf.DUMMYFUNCTION("""COMPUTED_VALUE"""),"15-01-2026")</f>
        <v>15-01-2026</v>
      </c>
      <c r="E1659" s="65" t="str">
        <f>IFERROR(__xludf.DUMMYFUNCTION("""COMPUTED_VALUE"""),"Bolivar Muñoz")</f>
        <v>Bolivar Muñoz</v>
      </c>
      <c r="F1659" s="65" t="str">
        <f>IFERROR(__xludf.DUMMYFUNCTION("""COMPUTED_VALUE"""),"988244726")</f>
        <v>988244726</v>
      </c>
      <c r="G1659" s="65" t="str">
        <f>IFERROR(__xludf.DUMMYFUNCTION("""COMPUTED_VALUE"""),"bolivarmunoz@hotmail.com")</f>
        <v>bolivarmunoz@hotmail.com</v>
      </c>
      <c r="H1659" s="65"/>
      <c r="I1659" s="65"/>
      <c r="J1659" s="65" t="str">
        <f>IFERROR(__xludf.DUMMYFUNCTION("""COMPUTED_VALUE"""),"D001240819")</f>
        <v>D001240819</v>
      </c>
      <c r="K1659" s="65" t="str">
        <f>IFERROR(__xludf.DUMMYFUNCTION("""COMPUTED_VALUE"""),"DEVOLUCION")</f>
        <v>DEVOLUCION</v>
      </c>
      <c r="L1659" s="65" t="str">
        <f>IFERROR(__xludf.DUMMYFUNCTION("""COMPUTED_VALUE"""),"CON RECAUDO")</f>
        <v>CON RECAUDO</v>
      </c>
      <c r="M1659" s="65" t="str">
        <f>IFERROR(__xludf.DUMMYFUNCTION("""COMPUTED_VALUE"""),"TUNGURAHUA")</f>
        <v>TUNGURAHUA</v>
      </c>
      <c r="N1659" s="65" t="str">
        <f>IFERROR(__xludf.DUMMYFUNCTION("""COMPUTED_VALUE"""),"AMBATO")</f>
        <v>AMBATO</v>
      </c>
      <c r="O1659" s="65" t="str">
        <f>IFERROR(__xludf.DUMMYFUNCTION("""COMPUTED_VALUE"""),"Coca cola Totoras -")</f>
        <v>Coca cola Totoras -</v>
      </c>
      <c r="P1659" s="65"/>
      <c r="Q1659" s="65" t="str">
        <f>IFERROR(__xludf.DUMMYFUNCTION("""COMPUTED_VALUE"""),"GINTRACOM")</f>
        <v>GINTRACOM</v>
      </c>
      <c r="R1659" s="65">
        <f>IFERROR(__xludf.DUMMYFUNCTION("""COMPUTED_VALUE"""),22.0)</f>
        <v>22</v>
      </c>
      <c r="S1659" s="65"/>
      <c r="T1659" s="65">
        <f>IFERROR(__xludf.DUMMYFUNCTION("""COMPUTED_VALUE"""),5.84)</f>
        <v>5.84</v>
      </c>
      <c r="U1659" s="65">
        <f>IFERROR(__xludf.DUMMYFUNCTION("""COMPUTED_VALUE"""),0.0)</f>
        <v>0</v>
      </c>
      <c r="V1659" s="65">
        <f>IFERROR(__xludf.DUMMYFUNCTION("""COMPUTED_VALUE"""),0.0)</f>
        <v>0</v>
      </c>
      <c r="W1659" s="65">
        <f>IFERROR(__xludf.DUMMYFUNCTION("""COMPUTED_VALUE"""),0.0)</f>
        <v>0</v>
      </c>
      <c r="X1659" s="65">
        <f>IFERROR(__xludf.DUMMYFUNCTION("""COMPUTED_VALUE"""),2.6)</f>
        <v>2.6</v>
      </c>
      <c r="Y1659" s="65">
        <f>IFERROR(__xludf.DUMMYFUNCTION("""COMPUTED_VALUE"""),5.2)</f>
        <v>5.2</v>
      </c>
      <c r="Z1659" s="65">
        <f>IFERROR(__xludf.DUMMYFUNCTION("""COMPUTED_VALUE"""),121983.0)</f>
        <v>121983</v>
      </c>
      <c r="AA1659" s="65" t="str">
        <f>IFERROR(__xludf.DUMMYFUNCTION("""COMPUTED_VALUE"""),"PROV-CHLLCF")</f>
        <v>PROV-CHLLCF</v>
      </c>
      <c r="AB1659" s="65"/>
      <c r="AC1659" s="65" t="str">
        <f>IFERROR(__xludf.DUMMYFUNCTION("""COMPUTED_VALUE"""),"CUCHILLO PARA CHEF")</f>
        <v>CUCHILLO PARA CHEF</v>
      </c>
      <c r="AD1659" s="65"/>
      <c r="AE1659" s="65">
        <f>IFERROR(__xludf.DUMMYFUNCTION("""COMPUTED_VALUE"""),2.0)</f>
        <v>2</v>
      </c>
      <c r="AF1659" s="65" t="str">
        <f>IFERROR(__xludf.DUMMYFUNCTION("""COMPUTED_VALUE"""),"DESTINATARIO NO CONTESTA LLAMADAS NI WHATSAPP")</f>
        <v>DESTINATARIO NO CONTESTA LLAMADAS NI WHATSAPP</v>
      </c>
      <c r="AG1659" s="65" t="str">
        <f>IFERROR(__xludf.DUMMYFUNCTION("""COMPUTED_VALUE"""),"NO")</f>
        <v>NO</v>
      </c>
      <c r="AH1659" s="65" t="str">
        <f>IFERROR(__xludf.DUMMYFUNCTION("""COMPUTED_VALUE"""),"18:04")</f>
        <v>18:04</v>
      </c>
      <c r="AI1659" s="65" t="str">
        <f>IFERROR(__xludf.DUMMYFUNCTION("""COMPUTED_VALUE"""),"27-01-2026")</f>
        <v>27-01-2026</v>
      </c>
      <c r="AJ1659" s="65"/>
      <c r="AK1659" s="65"/>
      <c r="AL1659" s="65"/>
      <c r="AM1659" s="65"/>
      <c r="AN1659" s="65" t="str">
        <f>IFERROR(__xludf.DUMMYFUNCTION("""COMPUTED_VALUE"""),"13:33")</f>
        <v>13:33</v>
      </c>
      <c r="AO1659" s="65" t="str">
        <f>IFERROR(__xludf.DUMMYFUNCTION("""COMPUTED_VALUE"""),"19-02-2026")</f>
        <v>19-02-2026</v>
      </c>
      <c r="AP1659" s="65" t="str">
        <f>IFERROR(__xludf.DUMMYFUNCTION("""COMPUTED_VALUE"""),"DEV CONFIRMADA POR BODEGA")</f>
        <v>DEV CONFIRMADA POR BODEGA</v>
      </c>
      <c r="AQ1659" s="65"/>
      <c r="AR1659" s="65" t="str">
        <f>IFERROR(__xludf.DUMMYFUNCTION("""COMPUTED_VALUE"""),"Gestionado por: PROVEDIX DAMIAN, email:enviogratisdirecto@gmail.com, total de productos en la orden: 1")</f>
        <v>Gestionado por: PROVEDIX DAMIAN, email:enviogratisdirecto@gmail.com, total de productos en la orden: 1</v>
      </c>
      <c r="AS1659" s="65"/>
      <c r="AT1659" s="65" t="str">
        <f>IFERROR(__xludf.DUMMYFUNCTION("""COMPUTED_VALUE"""),"SHOPIFY")</f>
        <v>SHOPIFY</v>
      </c>
      <c r="AU1659" s="65" t="str">
        <f>IFERROR(__xludf.DUMMYFUNCTION("""COMPUTED_VALUE"""),"IMPORTEX EC")</f>
        <v>IMPORTEX EC</v>
      </c>
      <c r="AV1659" s="65" t="str">
        <f>IFERROR(__xludf.DUMMYFUNCTION("""COMPUTED_VALUE"""),"6417730306092")</f>
        <v>6417730306092</v>
      </c>
      <c r="AW1659" s="65">
        <f>IFERROR(__xludf.DUMMYFUNCTION("""COMPUTED_VALUE"""),5284.0)</f>
        <v>5284</v>
      </c>
      <c r="AX1659" s="65"/>
      <c r="AY1659" s="65" t="str">
        <f>IFERROR(__xludf.DUMMYFUNCTION("""COMPUTED_VALUE"""),"19/01/2026")</f>
        <v>19/01/2026</v>
      </c>
      <c r="AZ1659" s="65"/>
      <c r="BA1659" s="65"/>
    </row>
    <row r="1660">
      <c r="A1660" s="65" t="str">
        <f>IFERROR(__xludf.DUMMYFUNCTION("""COMPUTED_VALUE"""),"27-03-2026")</f>
        <v>27-03-2026</v>
      </c>
      <c r="B1660" s="65">
        <f>IFERROR(__xludf.DUMMYFUNCTION("""COMPUTED_VALUE"""),4162104.0)</f>
        <v>4162104</v>
      </c>
      <c r="C1660" s="65" t="str">
        <f>IFERROR(__xludf.DUMMYFUNCTION("""COMPUTED_VALUE"""),"19:58")</f>
        <v>19:58</v>
      </c>
      <c r="D1660" s="65" t="str">
        <f>IFERROR(__xludf.DUMMYFUNCTION("""COMPUTED_VALUE"""),"15-01-2026")</f>
        <v>15-01-2026</v>
      </c>
      <c r="E1660" s="65" t="str">
        <f>IFERROR(__xludf.DUMMYFUNCTION("""COMPUTED_VALUE"""),"Wilson Rivera")</f>
        <v>Wilson Rivera</v>
      </c>
      <c r="F1660" s="65" t="str">
        <f>IFERROR(__xludf.DUMMYFUNCTION("""COMPUTED_VALUE"""),"983680198")</f>
        <v>983680198</v>
      </c>
      <c r="G1660" s="65" t="str">
        <f>IFERROR(__xludf.DUMMYFUNCTION("""COMPUTED_VALUE"""),"wilsonriveraarboleda@gmail.com")</f>
        <v>wilsonriveraarboleda@gmail.com</v>
      </c>
      <c r="H1660" s="65"/>
      <c r="I1660" s="65"/>
      <c r="J1660" s="65"/>
      <c r="K1660" s="65" t="str">
        <f>IFERROR(__xludf.DUMMYFUNCTION("""COMPUTED_VALUE"""),"PENDIENTE CONFIRMACION")</f>
        <v>PENDIENTE CONFIRMACION</v>
      </c>
      <c r="L1660" s="65" t="str">
        <f>IFERROR(__xludf.DUMMYFUNCTION("""COMPUTED_VALUE"""),"CON RECAUDO")</f>
        <v>CON RECAUDO</v>
      </c>
      <c r="M1660" s="65" t="str">
        <f>IFERROR(__xludf.DUMMYFUNCTION("""COMPUTED_VALUE"""),"ESMERALDAS")</f>
        <v>ESMERALDAS</v>
      </c>
      <c r="N1660" s="65" t="str">
        <f>IFERROR(__xludf.DUMMYFUNCTION("""COMPUTED_VALUE"""),"SAN LORENZO")</f>
        <v>SAN LORENZO</v>
      </c>
      <c r="O1660" s="65" t="str">
        <f>IFERROR(__xludf.DUMMYFUNCTION("""COMPUTED_VALUE"""),"Recinto la boca casa dos pisos color azul mista Recinto la boca -")</f>
        <v>Recinto la boca casa dos pisos color azul mista Recinto la boca -</v>
      </c>
      <c r="P1660" s="65"/>
      <c r="Q1660" s="65" t="str">
        <f>IFERROR(__xludf.DUMMYFUNCTION("""COMPUTED_VALUE"""),"GINTRACOM")</f>
        <v>GINTRACOM</v>
      </c>
      <c r="R1660" s="65">
        <f>IFERROR(__xludf.DUMMYFUNCTION("""COMPUTED_VALUE"""),22.0)</f>
        <v>22</v>
      </c>
      <c r="S1660" s="65"/>
      <c r="T1660" s="65">
        <f>IFERROR(__xludf.DUMMYFUNCTION("""COMPUTED_VALUE"""),5.84)</f>
        <v>5.84</v>
      </c>
      <c r="U1660" s="65">
        <f>IFERROR(__xludf.DUMMYFUNCTION("""COMPUTED_VALUE"""),0.0)</f>
        <v>0</v>
      </c>
      <c r="V1660" s="65">
        <f>IFERROR(__xludf.DUMMYFUNCTION("""COMPUTED_VALUE"""),0.0)</f>
        <v>0</v>
      </c>
      <c r="W1660" s="65">
        <f>IFERROR(__xludf.DUMMYFUNCTION("""COMPUTED_VALUE"""),0.0)</f>
        <v>0</v>
      </c>
      <c r="X1660" s="65">
        <f>IFERROR(__xludf.DUMMYFUNCTION("""COMPUTED_VALUE"""),2.6)</f>
        <v>2.6</v>
      </c>
      <c r="Y1660" s="65">
        <f>IFERROR(__xludf.DUMMYFUNCTION("""COMPUTED_VALUE"""),5.2)</f>
        <v>5.2</v>
      </c>
      <c r="Z1660" s="65">
        <f>IFERROR(__xludf.DUMMYFUNCTION("""COMPUTED_VALUE"""),121983.0)</f>
        <v>121983</v>
      </c>
      <c r="AA1660" s="65" t="str">
        <f>IFERROR(__xludf.DUMMYFUNCTION("""COMPUTED_VALUE"""),"PROV-CHLLCF")</f>
        <v>PROV-CHLLCF</v>
      </c>
      <c r="AB1660" s="65"/>
      <c r="AC1660" s="65" t="str">
        <f>IFERROR(__xludf.DUMMYFUNCTION("""COMPUTED_VALUE"""),"CUCHILLO PARA CHEF")</f>
        <v>CUCHILLO PARA CHEF</v>
      </c>
      <c r="AD1660" s="65"/>
      <c r="AE1660" s="65">
        <f>IFERROR(__xludf.DUMMYFUNCTION("""COMPUTED_VALUE"""),2.0)</f>
        <v>2</v>
      </c>
      <c r="AF1660" s="65"/>
      <c r="AG1660" s="65"/>
      <c r="AH1660" s="65"/>
      <c r="AI1660" s="65"/>
      <c r="AJ1660" s="65"/>
      <c r="AK1660" s="65"/>
      <c r="AL1660" s="65"/>
      <c r="AM1660" s="65"/>
      <c r="AN1660" s="65"/>
      <c r="AO1660" s="65"/>
      <c r="AP1660" s="65"/>
      <c r="AQ1660" s="65"/>
      <c r="AR1660" s="65"/>
      <c r="AS1660" s="65"/>
      <c r="AT1660" s="65" t="str">
        <f>IFERROR(__xludf.DUMMYFUNCTION("""COMPUTED_VALUE"""),"SHOPIFY")</f>
        <v>SHOPIFY</v>
      </c>
      <c r="AU1660" s="65" t="str">
        <f>IFERROR(__xludf.DUMMYFUNCTION("""COMPUTED_VALUE"""),"IMPORTEX EC")</f>
        <v>IMPORTEX EC</v>
      </c>
      <c r="AV1660" s="65" t="str">
        <f>IFERROR(__xludf.DUMMYFUNCTION("""COMPUTED_VALUE"""),"6417697243180")</f>
        <v>6417697243180</v>
      </c>
      <c r="AW1660" s="65">
        <f>IFERROR(__xludf.DUMMYFUNCTION("""COMPUTED_VALUE"""),5283.0)</f>
        <v>5283</v>
      </c>
      <c r="AX1660" s="65"/>
      <c r="AY1660" s="65"/>
      <c r="AZ1660" s="65"/>
      <c r="BA1660" s="65"/>
    </row>
    <row r="1661">
      <c r="A1661" s="65" t="str">
        <f>IFERROR(__xludf.DUMMYFUNCTION("""COMPUTED_VALUE"""),"27-03-2026")</f>
        <v>27-03-2026</v>
      </c>
      <c r="B1661" s="65">
        <f>IFERROR(__xludf.DUMMYFUNCTION("""COMPUTED_VALUE"""),4162060.0)</f>
        <v>4162060</v>
      </c>
      <c r="C1661" s="65" t="str">
        <f>IFERROR(__xludf.DUMMYFUNCTION("""COMPUTED_VALUE"""),"19:53")</f>
        <v>19:53</v>
      </c>
      <c r="D1661" s="65" t="str">
        <f>IFERROR(__xludf.DUMMYFUNCTION("""COMPUTED_VALUE"""),"15-01-2026")</f>
        <v>15-01-2026</v>
      </c>
      <c r="E1661" s="65" t="str">
        <f>IFERROR(__xludf.DUMMYFUNCTION("""COMPUTED_VALUE"""),"Javier Rolando Morales Moyano")</f>
        <v>Javier Rolando Morales Moyano</v>
      </c>
      <c r="F1661" s="65" t="str">
        <f>IFERROR(__xludf.DUMMYFUNCTION("""COMPUTED_VALUE"""),"992277113")</f>
        <v>992277113</v>
      </c>
      <c r="G1661" s="65" t="str">
        <f>IFERROR(__xludf.DUMMYFUNCTION("""COMPUTED_VALUE"""),"javiermorales05@hotmail.com")</f>
        <v>javiermorales05@hotmail.com</v>
      </c>
      <c r="H1661" s="65"/>
      <c r="I1661" s="65"/>
      <c r="J1661" s="65" t="str">
        <f>IFERROR(__xludf.DUMMYFUNCTION("""COMPUTED_VALUE"""),"D001240114")</f>
        <v>D001240114</v>
      </c>
      <c r="K1661" s="65" t="str">
        <f>IFERROR(__xludf.DUMMYFUNCTION("""COMPUTED_VALUE"""),"ENTREGADO")</f>
        <v>ENTREGADO</v>
      </c>
      <c r="L1661" s="65" t="str">
        <f>IFERROR(__xludf.DUMMYFUNCTION("""COMPUTED_VALUE"""),"CON RECAUDO")</f>
        <v>CON RECAUDO</v>
      </c>
      <c r="M1661" s="65" t="str">
        <f>IFERROR(__xludf.DUMMYFUNCTION("""COMPUTED_VALUE"""),"LOS RIOS")</f>
        <v>LOS RIOS</v>
      </c>
      <c r="N1661" s="65" t="str">
        <f>IFERROR(__xludf.DUMMYFUNCTION("""COMPUTED_VALUE"""),"QUEVEDO")</f>
        <v>QUEVEDO</v>
      </c>
      <c r="O1661" s="65" t="str">
        <f>IFERROR(__xludf.DUMMYFUNCTION("""COMPUTED_VALUE"""),"Calle h y décima cuarta San Camilo los chapulos - frente a la iglesia evangélica El Arrebatamiento")</f>
        <v>Calle h y décima cuarta San Camilo los chapulos - frente a la iglesia evangélica El Arrebatamiento</v>
      </c>
      <c r="P1661" s="65"/>
      <c r="Q1661" s="65" t="str">
        <f>IFERROR(__xludf.DUMMYFUNCTION("""COMPUTED_VALUE"""),"GINTRACOM")</f>
        <v>GINTRACOM</v>
      </c>
      <c r="R1661" s="65">
        <f>IFERROR(__xludf.DUMMYFUNCTION("""COMPUTED_VALUE"""),20.0)</f>
        <v>20</v>
      </c>
      <c r="S1661" s="65">
        <f>IFERROR(__xludf.DUMMYFUNCTION("""COMPUTED_VALUE"""),11.89)</f>
        <v>11.89</v>
      </c>
      <c r="T1661" s="65">
        <f>IFERROR(__xludf.DUMMYFUNCTION("""COMPUTED_VALUE"""),5.76)</f>
        <v>5.76</v>
      </c>
      <c r="U1661" s="65">
        <f>IFERROR(__xludf.DUMMYFUNCTION("""COMPUTED_VALUE"""),0.0)</f>
        <v>0</v>
      </c>
      <c r="V1661" s="65">
        <f>IFERROR(__xludf.DUMMYFUNCTION("""COMPUTED_VALUE"""),0.0)</f>
        <v>0</v>
      </c>
      <c r="W1661" s="65">
        <f>IFERROR(__xludf.DUMMYFUNCTION("""COMPUTED_VALUE"""),0.0)</f>
        <v>0</v>
      </c>
      <c r="X1661" s="65">
        <f>IFERROR(__xludf.DUMMYFUNCTION("""COMPUTED_VALUE"""),2.35)</f>
        <v>2.35</v>
      </c>
      <c r="Y1661" s="65">
        <f>IFERROR(__xludf.DUMMYFUNCTION("""COMPUTED_VALUE"""),2.35)</f>
        <v>2.35</v>
      </c>
      <c r="Z1661" s="65">
        <f>IFERROR(__xludf.DUMMYFUNCTION("""COMPUTED_VALUE"""),116679.0)</f>
        <v>116679</v>
      </c>
      <c r="AA1661" s="65" t="str">
        <f>IFERROR(__xludf.DUMMYFUNCTION("""COMPUTED_VALUE"""),"AMC-2738")</f>
        <v>AMC-2738</v>
      </c>
      <c r="AB1661" s="65"/>
      <c r="AC1661" s="65" t="str">
        <f>IFERROR(__xludf.DUMMYFUNCTION("""COMPUTED_VALUE"""),"ESPONJA ANTILLUVIA DE PARABRISAS")</f>
        <v>ESPONJA ANTILLUVIA DE PARABRISAS</v>
      </c>
      <c r="AD1661" s="65"/>
      <c r="AE1661" s="65">
        <f>IFERROR(__xludf.DUMMYFUNCTION("""COMPUTED_VALUE"""),1.0)</f>
        <v>1</v>
      </c>
      <c r="AF1661" s="65"/>
      <c r="AG1661" s="65"/>
      <c r="AH1661" s="65"/>
      <c r="AI1661" s="65"/>
      <c r="AJ1661" s="65"/>
      <c r="AK1661" s="65"/>
      <c r="AL1661" s="65"/>
      <c r="AM1661" s="65"/>
      <c r="AN1661" s="65" t="str">
        <f>IFERROR(__xludf.DUMMYFUNCTION("""COMPUTED_VALUE"""),"12:56")</f>
        <v>12:56</v>
      </c>
      <c r="AO1661" s="65" t="str">
        <f>IFERROR(__xludf.DUMMYFUNCTION("""COMPUTED_VALUE"""),"24-01-2026")</f>
        <v>24-01-2026</v>
      </c>
      <c r="AP1661" s="65" t="str">
        <f>IFERROR(__xludf.DUMMYFUNCTION("""COMPUTED_VALUE"""),"ENTREGADA GINTRACOM")</f>
        <v>ENTREGADA GINTRACOM</v>
      </c>
      <c r="AQ1661" s="65" t="str">
        <f>IFERROR(__xludf.DUMMYFUNCTION("""COMPUTED_VALUE"""),"ENTREGADA GINTRACOM")</f>
        <v>ENTREGADA GINTRACOM</v>
      </c>
      <c r="AR1661" s="65"/>
      <c r="AS1661" s="65"/>
      <c r="AT1661" s="65" t="str">
        <f>IFERROR(__xludf.DUMMYFUNCTION("""COMPUTED_VALUE"""),"SHOPIFY")</f>
        <v>SHOPIFY</v>
      </c>
      <c r="AU1661" s="65" t="str">
        <f>IFERROR(__xludf.DUMMYFUNCTION("""COMPUTED_VALUE"""),"IMPORTEX EC")</f>
        <v>IMPORTEX EC</v>
      </c>
      <c r="AV1661" s="65" t="str">
        <f>IFERROR(__xludf.DUMMYFUNCTION("""COMPUTED_VALUE"""),"6417691508780")</f>
        <v>6417691508780</v>
      </c>
      <c r="AW1661" s="65">
        <f>IFERROR(__xludf.DUMMYFUNCTION("""COMPUTED_VALUE"""),5282.0)</f>
        <v>5282</v>
      </c>
      <c r="AX1661" s="65"/>
      <c r="AY1661" s="65" t="str">
        <f>IFERROR(__xludf.DUMMYFUNCTION("""COMPUTED_VALUE"""),"19/01/2026")</f>
        <v>19/01/2026</v>
      </c>
      <c r="AZ1661" s="65"/>
      <c r="BA1661" s="65"/>
    </row>
    <row r="1662">
      <c r="A1662" s="65" t="str">
        <f>IFERROR(__xludf.DUMMYFUNCTION("""COMPUTED_VALUE"""),"27-03-2026")</f>
        <v>27-03-2026</v>
      </c>
      <c r="B1662" s="65">
        <f>IFERROR(__xludf.DUMMYFUNCTION("""COMPUTED_VALUE"""),4161945.0)</f>
        <v>4161945</v>
      </c>
      <c r="C1662" s="65" t="str">
        <f>IFERROR(__xludf.DUMMYFUNCTION("""COMPUTED_VALUE"""),"19:43")</f>
        <v>19:43</v>
      </c>
      <c r="D1662" s="65" t="str">
        <f>IFERROR(__xludf.DUMMYFUNCTION("""COMPUTED_VALUE"""),"15-01-2026")</f>
        <v>15-01-2026</v>
      </c>
      <c r="E1662" s="65" t="str">
        <f>IFERROR(__xludf.DUMMYFUNCTION("""COMPUTED_VALUE"""),"Andrea Basurto Basurto")</f>
        <v>Andrea Basurto Basurto</v>
      </c>
      <c r="F1662" s="65" t="str">
        <f>IFERROR(__xludf.DUMMYFUNCTION("""COMPUTED_VALUE"""),"984890534")</f>
        <v>984890534</v>
      </c>
      <c r="G1662" s="65"/>
      <c r="H1662" s="65"/>
      <c r="I1662" s="65"/>
      <c r="J1662" s="65" t="str">
        <f>IFERROR(__xludf.DUMMYFUNCTION("""COMPUTED_VALUE"""),"D001240822")</f>
        <v>D001240822</v>
      </c>
      <c r="K1662" s="65" t="str">
        <f>IFERROR(__xludf.DUMMYFUNCTION("""COMPUTED_VALUE"""),"DEVOLUCION")</f>
        <v>DEVOLUCION</v>
      </c>
      <c r="L1662" s="65" t="str">
        <f>IFERROR(__xludf.DUMMYFUNCTION("""COMPUTED_VALUE"""),"CON RECAUDO")</f>
        <v>CON RECAUDO</v>
      </c>
      <c r="M1662" s="65" t="str">
        <f>IFERROR(__xludf.DUMMYFUNCTION("""COMPUTED_VALUE"""),"PICHINCHA")</f>
        <v>PICHINCHA</v>
      </c>
      <c r="N1662" s="65" t="str">
        <f>IFERROR(__xludf.DUMMYFUNCTION("""COMPUTED_VALUE"""),"QUITO")</f>
        <v>QUITO</v>
      </c>
      <c r="O1662" s="65" t="str">
        <f>IFERROR(__xludf.DUMMYFUNCTION("""COMPUTED_VALUE"""),"Urbanización el condado Calle D, pasaje C1 Cotocollao dentro de la urbanizacion -")</f>
        <v>Urbanización el condado Calle D, pasaje C1 Cotocollao dentro de la urbanizacion -</v>
      </c>
      <c r="P1662" s="65"/>
      <c r="Q1662" s="65" t="str">
        <f>IFERROR(__xludf.DUMMYFUNCTION("""COMPUTED_VALUE"""),"GINTRACOM")</f>
        <v>GINTRACOM</v>
      </c>
      <c r="R1662" s="65">
        <f>IFERROR(__xludf.DUMMYFUNCTION("""COMPUTED_VALUE"""),22.0)</f>
        <v>22</v>
      </c>
      <c r="S1662" s="65"/>
      <c r="T1662" s="65">
        <f>IFERROR(__xludf.DUMMYFUNCTION("""COMPUTED_VALUE"""),5.84)</f>
        <v>5.84</v>
      </c>
      <c r="U1662" s="65">
        <f>IFERROR(__xludf.DUMMYFUNCTION("""COMPUTED_VALUE"""),0.0)</f>
        <v>0</v>
      </c>
      <c r="V1662" s="65">
        <f>IFERROR(__xludf.DUMMYFUNCTION("""COMPUTED_VALUE"""),0.0)</f>
        <v>0</v>
      </c>
      <c r="W1662" s="65">
        <f>IFERROR(__xludf.DUMMYFUNCTION("""COMPUTED_VALUE"""),0.0)</f>
        <v>0</v>
      </c>
      <c r="X1662" s="65">
        <f>IFERROR(__xludf.DUMMYFUNCTION("""COMPUTED_VALUE"""),2.6)</f>
        <v>2.6</v>
      </c>
      <c r="Y1662" s="65">
        <f>IFERROR(__xludf.DUMMYFUNCTION("""COMPUTED_VALUE"""),5.2)</f>
        <v>5.2</v>
      </c>
      <c r="Z1662" s="65">
        <f>IFERROR(__xludf.DUMMYFUNCTION("""COMPUTED_VALUE"""),121983.0)</f>
        <v>121983</v>
      </c>
      <c r="AA1662" s="65" t="str">
        <f>IFERROR(__xludf.DUMMYFUNCTION("""COMPUTED_VALUE"""),"PROV-CHLLCF")</f>
        <v>PROV-CHLLCF</v>
      </c>
      <c r="AB1662" s="65"/>
      <c r="AC1662" s="65" t="str">
        <f>IFERROR(__xludf.DUMMYFUNCTION("""COMPUTED_VALUE"""),"CUCHILLO PARA CHEF")</f>
        <v>CUCHILLO PARA CHEF</v>
      </c>
      <c r="AD1662" s="65"/>
      <c r="AE1662" s="65">
        <f>IFERROR(__xludf.DUMMYFUNCTION("""COMPUTED_VALUE"""),2.0)</f>
        <v>2</v>
      </c>
      <c r="AF1662" s="65" t="str">
        <f>IFERROR(__xludf.DUMMYFUNCTION("""COMPUTED_VALUE"""),"DESTINATARIO INDICA QUE ESTÁ INCONFORME CON EL PRODUCTO. (NO RECIBE)")</f>
        <v>DESTINATARIO INDICA QUE ESTÁ INCONFORME CON EL PRODUCTO. (NO RECIBE)</v>
      </c>
      <c r="AG1662" s="65" t="str">
        <f>IFERROR(__xludf.DUMMYFUNCTION("""COMPUTED_VALUE"""),"NO")</f>
        <v>NO</v>
      </c>
      <c r="AH1662" s="65" t="str">
        <f>IFERROR(__xludf.DUMMYFUNCTION("""COMPUTED_VALUE"""),"12:46")</f>
        <v>12:46</v>
      </c>
      <c r="AI1662" s="65" t="str">
        <f>IFERROR(__xludf.DUMMYFUNCTION("""COMPUTED_VALUE"""),"21-01-2026")</f>
        <v>21-01-2026</v>
      </c>
      <c r="AJ1662" s="65"/>
      <c r="AK1662" s="65"/>
      <c r="AL1662" s="65"/>
      <c r="AM1662" s="65"/>
      <c r="AN1662" s="65" t="str">
        <f>IFERROR(__xludf.DUMMYFUNCTION("""COMPUTED_VALUE"""),"08:44")</f>
        <v>08:44</v>
      </c>
      <c r="AO1662" s="65" t="str">
        <f>IFERROR(__xludf.DUMMYFUNCTION("""COMPUTED_VALUE"""),"10-02-2026")</f>
        <v>10-02-2026</v>
      </c>
      <c r="AP1662" s="65" t="str">
        <f>IFERROR(__xludf.DUMMYFUNCTION("""COMPUTED_VALUE"""),"DEV CONFIRMADA POR BODEGA")</f>
        <v>DEV CONFIRMADA POR BODEGA</v>
      </c>
      <c r="AQ1662" s="65"/>
      <c r="AR1662" s="65" t="str">
        <f>IFERROR(__xludf.DUMMYFUNCTION("""COMPUTED_VALUE"""),"Gestionado por: Moran Daniel, email:danielmorga2005@gmail.com, total de productos en la orden: 1")</f>
        <v>Gestionado por: Moran Daniel, email:danielmorga2005@gmail.com, total de productos en la orden: 1</v>
      </c>
      <c r="AS1662" s="65"/>
      <c r="AT1662" s="65" t="str">
        <f>IFERROR(__xludf.DUMMYFUNCTION("""COMPUTED_VALUE"""),"SHOPIFY")</f>
        <v>SHOPIFY</v>
      </c>
      <c r="AU1662" s="65" t="str">
        <f>IFERROR(__xludf.DUMMYFUNCTION("""COMPUTED_VALUE"""),"IMPORTEX EC")</f>
        <v>IMPORTEX EC</v>
      </c>
      <c r="AV1662" s="65" t="str">
        <f>IFERROR(__xludf.DUMMYFUNCTION("""COMPUTED_VALUE"""),"6417665949740")</f>
        <v>6417665949740</v>
      </c>
      <c r="AW1662" s="65">
        <f>IFERROR(__xludf.DUMMYFUNCTION("""COMPUTED_VALUE"""),5281.0)</f>
        <v>5281</v>
      </c>
      <c r="AX1662" s="65"/>
      <c r="AY1662" s="65" t="str">
        <f>IFERROR(__xludf.DUMMYFUNCTION("""COMPUTED_VALUE"""),"19/01/2026")</f>
        <v>19/01/2026</v>
      </c>
      <c r="AZ1662" s="65"/>
      <c r="BA1662" s="65"/>
    </row>
    <row r="1663">
      <c r="A1663" s="65" t="str">
        <f>IFERROR(__xludf.DUMMYFUNCTION("""COMPUTED_VALUE"""),"27-03-2026")</f>
        <v>27-03-2026</v>
      </c>
      <c r="B1663" s="65">
        <f>IFERROR(__xludf.DUMMYFUNCTION("""COMPUTED_VALUE"""),4161918.0)</f>
        <v>4161918</v>
      </c>
      <c r="C1663" s="65" t="str">
        <f>IFERROR(__xludf.DUMMYFUNCTION("""COMPUTED_VALUE"""),"19:41")</f>
        <v>19:41</v>
      </c>
      <c r="D1663" s="65" t="str">
        <f>IFERROR(__xludf.DUMMYFUNCTION("""COMPUTED_VALUE"""),"15-01-2026")</f>
        <v>15-01-2026</v>
      </c>
      <c r="E1663" s="65" t="str">
        <f>IFERROR(__xludf.DUMMYFUNCTION("""COMPUTED_VALUE"""),"Ignacio Parra")</f>
        <v>Ignacio Parra</v>
      </c>
      <c r="F1663" s="65" t="str">
        <f>IFERROR(__xludf.DUMMYFUNCTION("""COMPUTED_VALUE"""),"958987027")</f>
        <v>958987027</v>
      </c>
      <c r="G1663" s="65" t="str">
        <f>IFERROR(__xludf.DUMMYFUNCTION("""COMPUTED_VALUE"""),"nashitopa@gmail.com")</f>
        <v>nashitopa@gmail.com</v>
      </c>
      <c r="H1663" s="65"/>
      <c r="I1663" s="65"/>
      <c r="J1663" s="65" t="str">
        <f>IFERROR(__xludf.DUMMYFUNCTION("""COMPUTED_VALUE"""),"D001240824")</f>
        <v>D001240824</v>
      </c>
      <c r="K1663" s="65" t="str">
        <f>IFERROR(__xludf.DUMMYFUNCTION("""COMPUTED_VALUE"""),"ENTREGADO")</f>
        <v>ENTREGADO</v>
      </c>
      <c r="L1663" s="65" t="str">
        <f>IFERROR(__xludf.DUMMYFUNCTION("""COMPUTED_VALUE"""),"CON RECAUDO")</f>
        <v>CON RECAUDO</v>
      </c>
      <c r="M1663" s="65" t="str">
        <f>IFERROR(__xludf.DUMMYFUNCTION("""COMPUTED_VALUE"""),"PICHINCHA")</f>
        <v>PICHINCHA</v>
      </c>
      <c r="N1663" s="65" t="str">
        <f>IFERROR(__xludf.DUMMYFUNCTION("""COMPUTED_VALUE"""),"QUITO")</f>
        <v>QUITO</v>
      </c>
      <c r="O1663" s="65" t="str">
        <f>IFERROR(__xludf.DUMMYFUNCTION("""COMPUTED_VALUE"""),"Carlos Freile s34-12 e Isidro Barriga Chillogallo, junto a la fabrica orangine -")</f>
        <v>Carlos Freile s34-12 e Isidro Barriga Chillogallo, junto a la fabrica orangine -</v>
      </c>
      <c r="P1663" s="65"/>
      <c r="Q1663" s="65" t="str">
        <f>IFERROR(__xludf.DUMMYFUNCTION("""COMPUTED_VALUE"""),"GINTRACOM")</f>
        <v>GINTRACOM</v>
      </c>
      <c r="R1663" s="65">
        <f>IFERROR(__xludf.DUMMYFUNCTION("""COMPUTED_VALUE"""),32.0)</f>
        <v>32</v>
      </c>
      <c r="S1663" s="65">
        <f>IFERROR(__xludf.DUMMYFUNCTION("""COMPUTED_VALUE"""),15.36)</f>
        <v>15.36</v>
      </c>
      <c r="T1663" s="65">
        <f>IFERROR(__xludf.DUMMYFUNCTION("""COMPUTED_VALUE"""),6.24)</f>
        <v>6.24</v>
      </c>
      <c r="U1663" s="65">
        <f>IFERROR(__xludf.DUMMYFUNCTION("""COMPUTED_VALUE"""),0.0)</f>
        <v>0</v>
      </c>
      <c r="V1663" s="65">
        <f>IFERROR(__xludf.DUMMYFUNCTION("""COMPUTED_VALUE"""),0.0)</f>
        <v>0</v>
      </c>
      <c r="W1663" s="65">
        <f>IFERROR(__xludf.DUMMYFUNCTION("""COMPUTED_VALUE"""),0.0)</f>
        <v>0</v>
      </c>
      <c r="X1663" s="65">
        <f>IFERROR(__xludf.DUMMYFUNCTION("""COMPUTED_VALUE"""),2.6)</f>
        <v>2.6</v>
      </c>
      <c r="Y1663" s="65">
        <f>IFERROR(__xludf.DUMMYFUNCTION("""COMPUTED_VALUE"""),10.4)</f>
        <v>10.4</v>
      </c>
      <c r="Z1663" s="65">
        <f>IFERROR(__xludf.DUMMYFUNCTION("""COMPUTED_VALUE"""),121983.0)</f>
        <v>121983</v>
      </c>
      <c r="AA1663" s="65" t="str">
        <f>IFERROR(__xludf.DUMMYFUNCTION("""COMPUTED_VALUE"""),"PROV-CHLLCF")</f>
        <v>PROV-CHLLCF</v>
      </c>
      <c r="AB1663" s="65"/>
      <c r="AC1663" s="65" t="str">
        <f>IFERROR(__xludf.DUMMYFUNCTION("""COMPUTED_VALUE"""),"CUCHILLO PARA CHEF")</f>
        <v>CUCHILLO PARA CHEF</v>
      </c>
      <c r="AD1663" s="65"/>
      <c r="AE1663" s="65">
        <f>IFERROR(__xludf.DUMMYFUNCTION("""COMPUTED_VALUE"""),4.0)</f>
        <v>4</v>
      </c>
      <c r="AF1663" s="65"/>
      <c r="AG1663" s="65"/>
      <c r="AH1663" s="65"/>
      <c r="AI1663" s="65"/>
      <c r="AJ1663" s="65"/>
      <c r="AK1663" s="65"/>
      <c r="AL1663" s="65"/>
      <c r="AM1663" s="65"/>
      <c r="AN1663" s="65" t="str">
        <f>IFERROR(__xludf.DUMMYFUNCTION("""COMPUTED_VALUE"""),"14:31")</f>
        <v>14:31</v>
      </c>
      <c r="AO1663" s="65" t="str">
        <f>IFERROR(__xludf.DUMMYFUNCTION("""COMPUTED_VALUE"""),"21-01-2026")</f>
        <v>21-01-2026</v>
      </c>
      <c r="AP1663" s="65" t="str">
        <f>IFERROR(__xludf.DUMMYFUNCTION("""COMPUTED_VALUE"""),"ENTREGADA GINTRACOM")</f>
        <v>ENTREGADA GINTRACOM</v>
      </c>
      <c r="AQ1663" s="65" t="str">
        <f>IFERROR(__xludf.DUMMYFUNCTION("""COMPUTED_VALUE"""),"ENTREGADA GINTRACOM")</f>
        <v>ENTREGADA GINTRACOM</v>
      </c>
      <c r="AR1663" s="65"/>
      <c r="AS1663" s="65"/>
      <c r="AT1663" s="65" t="str">
        <f>IFERROR(__xludf.DUMMYFUNCTION("""COMPUTED_VALUE"""),"SHOPIFY")</f>
        <v>SHOPIFY</v>
      </c>
      <c r="AU1663" s="65" t="str">
        <f>IFERROR(__xludf.DUMMYFUNCTION("""COMPUTED_VALUE"""),"IMPORTEX EC")</f>
        <v>IMPORTEX EC</v>
      </c>
      <c r="AV1663" s="65" t="str">
        <f>IFERROR(__xludf.DUMMYFUNCTION("""COMPUTED_VALUE"""),"6417660084268")</f>
        <v>6417660084268</v>
      </c>
      <c r="AW1663" s="65">
        <f>IFERROR(__xludf.DUMMYFUNCTION("""COMPUTED_VALUE"""),5280.0)</f>
        <v>5280</v>
      </c>
      <c r="AX1663" s="65"/>
      <c r="AY1663" s="65" t="str">
        <f>IFERROR(__xludf.DUMMYFUNCTION("""COMPUTED_VALUE"""),"19/01/2026")</f>
        <v>19/01/2026</v>
      </c>
      <c r="AZ1663" s="65"/>
      <c r="BA1663" s="65"/>
    </row>
    <row r="1664">
      <c r="A1664" s="65" t="str">
        <f>IFERROR(__xludf.DUMMYFUNCTION("""COMPUTED_VALUE"""),"27-03-2026")</f>
        <v>27-03-2026</v>
      </c>
      <c r="B1664" s="65">
        <f>IFERROR(__xludf.DUMMYFUNCTION("""COMPUTED_VALUE"""),4161859.0)</f>
        <v>4161859</v>
      </c>
      <c r="C1664" s="65" t="str">
        <f>IFERROR(__xludf.DUMMYFUNCTION("""COMPUTED_VALUE"""),"19:35")</f>
        <v>19:35</v>
      </c>
      <c r="D1664" s="65" t="str">
        <f>IFERROR(__xludf.DUMMYFUNCTION("""COMPUTED_VALUE"""),"15-01-2026")</f>
        <v>15-01-2026</v>
      </c>
      <c r="E1664" s="65" t="str">
        <f>IFERROR(__xludf.DUMMYFUNCTION("""COMPUTED_VALUE"""),"Nancy Maribel Piña")</f>
        <v>Nancy Maribel Piña</v>
      </c>
      <c r="F1664" s="65" t="str">
        <f>IFERROR(__xludf.DUMMYFUNCTION("""COMPUTED_VALUE"""),"987649172")</f>
        <v>987649172</v>
      </c>
      <c r="G1664" s="65" t="str">
        <f>IFERROR(__xludf.DUMMYFUNCTION("""COMPUTED_VALUE"""),"nancy45pina@gmail.com")</f>
        <v>nancy45pina@gmail.com</v>
      </c>
      <c r="H1664" s="65"/>
      <c r="I1664" s="65"/>
      <c r="J1664" s="65" t="str">
        <f>IFERROR(__xludf.DUMMYFUNCTION("""COMPUTED_VALUE"""),"D001240826")</f>
        <v>D001240826</v>
      </c>
      <c r="K1664" s="65" t="str">
        <f>IFERROR(__xludf.DUMMYFUNCTION("""COMPUTED_VALUE"""),"DEVOLUCION")</f>
        <v>DEVOLUCION</v>
      </c>
      <c r="L1664" s="65" t="str">
        <f>IFERROR(__xludf.DUMMYFUNCTION("""COMPUTED_VALUE"""),"CON RECAUDO")</f>
        <v>CON RECAUDO</v>
      </c>
      <c r="M1664" s="65" t="str">
        <f>IFERROR(__xludf.DUMMYFUNCTION("""COMPUTED_VALUE"""),"AZUAY")</f>
        <v>AZUAY</v>
      </c>
      <c r="N1664" s="65" t="str">
        <f>IFERROR(__xludf.DUMMYFUNCTION("""COMPUTED_VALUE"""),"CUENCA")</f>
        <v>CUENCA</v>
      </c>
      <c r="O1664" s="65" t="str">
        <f>IFERROR(__xludf.DUMMYFUNCTION("""COMPUTED_VALUE"""),"Sangurima 14.80 y coronel talbot Sector mercado tres de noviembre -")</f>
        <v>Sangurima 14.80 y coronel talbot Sector mercado tres de noviembre -</v>
      </c>
      <c r="P1664" s="65"/>
      <c r="Q1664" s="65" t="str">
        <f>IFERROR(__xludf.DUMMYFUNCTION("""COMPUTED_VALUE"""),"GINTRACOM")</f>
        <v>GINTRACOM</v>
      </c>
      <c r="R1664" s="65">
        <f>IFERROR(__xludf.DUMMYFUNCTION("""COMPUTED_VALUE"""),27.0)</f>
        <v>27</v>
      </c>
      <c r="S1664" s="65"/>
      <c r="T1664" s="65">
        <f>IFERROR(__xludf.DUMMYFUNCTION("""COMPUTED_VALUE"""),6.03)</f>
        <v>6.03</v>
      </c>
      <c r="U1664" s="65">
        <f>IFERROR(__xludf.DUMMYFUNCTION("""COMPUTED_VALUE"""),0.0)</f>
        <v>0</v>
      </c>
      <c r="V1664" s="65">
        <f>IFERROR(__xludf.DUMMYFUNCTION("""COMPUTED_VALUE"""),0.0)</f>
        <v>0</v>
      </c>
      <c r="W1664" s="65">
        <f>IFERROR(__xludf.DUMMYFUNCTION("""COMPUTED_VALUE"""),0.0)</f>
        <v>0</v>
      </c>
      <c r="X1664" s="65">
        <f>IFERROR(__xludf.DUMMYFUNCTION("""COMPUTED_VALUE"""),2.6)</f>
        <v>2.6</v>
      </c>
      <c r="Y1664" s="65">
        <f>IFERROR(__xludf.DUMMYFUNCTION("""COMPUTED_VALUE"""),7.8)</f>
        <v>7.8</v>
      </c>
      <c r="Z1664" s="65">
        <f>IFERROR(__xludf.DUMMYFUNCTION("""COMPUTED_VALUE"""),121983.0)</f>
        <v>121983</v>
      </c>
      <c r="AA1664" s="65" t="str">
        <f>IFERROR(__xludf.DUMMYFUNCTION("""COMPUTED_VALUE"""),"PROV-CHLLCF")</f>
        <v>PROV-CHLLCF</v>
      </c>
      <c r="AB1664" s="65"/>
      <c r="AC1664" s="65" t="str">
        <f>IFERROR(__xludf.DUMMYFUNCTION("""COMPUTED_VALUE"""),"CUCHILLO PARA CHEF")</f>
        <v>CUCHILLO PARA CHEF</v>
      </c>
      <c r="AD1664" s="65"/>
      <c r="AE1664" s="65">
        <f>IFERROR(__xludf.DUMMYFUNCTION("""COMPUTED_VALUE"""),3.0)</f>
        <v>3</v>
      </c>
      <c r="AF1664" s="65" t="str">
        <f>IFERROR(__xludf.DUMMYFUNCTION("""COMPUTED_VALUE"""),"DESTINATARIO INDICA QUE ESTÁ INCONFORME CON EL PRODUCTO. (NO RECIBE)")</f>
        <v>DESTINATARIO INDICA QUE ESTÁ INCONFORME CON EL PRODUCTO. (NO RECIBE)</v>
      </c>
      <c r="AG1664" s="65" t="str">
        <f>IFERROR(__xludf.DUMMYFUNCTION("""COMPUTED_VALUE"""),"NO")</f>
        <v>NO</v>
      </c>
      <c r="AH1664" s="65" t="str">
        <f>IFERROR(__xludf.DUMMYFUNCTION("""COMPUTED_VALUE"""),"11:37")</f>
        <v>11:37</v>
      </c>
      <c r="AI1664" s="65" t="str">
        <f>IFERROR(__xludf.DUMMYFUNCTION("""COMPUTED_VALUE"""),"21-01-2026")</f>
        <v>21-01-2026</v>
      </c>
      <c r="AJ1664" s="65"/>
      <c r="AK1664" s="65"/>
      <c r="AL1664" s="65"/>
      <c r="AM1664" s="65"/>
      <c r="AN1664" s="65" t="str">
        <f>IFERROR(__xludf.DUMMYFUNCTION("""COMPUTED_VALUE"""),"16:55")</f>
        <v>16:55</v>
      </c>
      <c r="AO1664" s="65" t="str">
        <f>IFERROR(__xludf.DUMMYFUNCTION("""COMPUTED_VALUE"""),"19-02-2026")</f>
        <v>19-02-2026</v>
      </c>
      <c r="AP1664" s="65" t="str">
        <f>IFERROR(__xludf.DUMMYFUNCTION("""COMPUTED_VALUE"""),"DEV CONFIRMADA POR BODEGA")</f>
        <v>DEV CONFIRMADA POR BODEGA</v>
      </c>
      <c r="AQ1664" s="65"/>
      <c r="AR1664" s="65" t="str">
        <f>IFERROR(__xludf.DUMMYFUNCTION("""COMPUTED_VALUE"""),"Gestionado por: PROVEDIX DAMIAN, email:enviogratisdirecto@gmail.com, total de productos en la orden: 1")</f>
        <v>Gestionado por: PROVEDIX DAMIAN, email:enviogratisdirecto@gmail.com, total de productos en la orden: 1</v>
      </c>
      <c r="AS1664" s="65"/>
      <c r="AT1664" s="65" t="str">
        <f>IFERROR(__xludf.DUMMYFUNCTION("""COMPUTED_VALUE"""),"SHOPIFY")</f>
        <v>SHOPIFY</v>
      </c>
      <c r="AU1664" s="65" t="str">
        <f>IFERROR(__xludf.DUMMYFUNCTION("""COMPUTED_VALUE"""),"IMPORTEX EC")</f>
        <v>IMPORTEX EC</v>
      </c>
      <c r="AV1664" s="65" t="str">
        <f>IFERROR(__xludf.DUMMYFUNCTION("""COMPUTED_VALUE"""),"6417652056108")</f>
        <v>6417652056108</v>
      </c>
      <c r="AW1664" s="65">
        <f>IFERROR(__xludf.DUMMYFUNCTION("""COMPUTED_VALUE"""),5279.0)</f>
        <v>5279</v>
      </c>
      <c r="AX1664" s="65"/>
      <c r="AY1664" s="65" t="str">
        <f>IFERROR(__xludf.DUMMYFUNCTION("""COMPUTED_VALUE"""),"19/01/2026")</f>
        <v>19/01/2026</v>
      </c>
      <c r="AZ1664" s="65"/>
      <c r="BA1664" s="65"/>
    </row>
    <row r="1665">
      <c r="A1665" s="65" t="str">
        <f>IFERROR(__xludf.DUMMYFUNCTION("""COMPUTED_VALUE"""),"27-03-2026")</f>
        <v>27-03-2026</v>
      </c>
      <c r="B1665" s="65">
        <f>IFERROR(__xludf.DUMMYFUNCTION("""COMPUTED_VALUE"""),4161719.0)</f>
        <v>4161719</v>
      </c>
      <c r="C1665" s="65" t="str">
        <f>IFERROR(__xludf.DUMMYFUNCTION("""COMPUTED_VALUE"""),"19:24")</f>
        <v>19:24</v>
      </c>
      <c r="D1665" s="65" t="str">
        <f>IFERROR(__xludf.DUMMYFUNCTION("""COMPUTED_VALUE"""),"15-01-2026")</f>
        <v>15-01-2026</v>
      </c>
      <c r="E1665" s="65" t="str">
        <f>IFERROR(__xludf.DUMMYFUNCTION("""COMPUTED_VALUE"""),"Fernanda Albornoz")</f>
        <v>Fernanda Albornoz</v>
      </c>
      <c r="F1665" s="65" t="str">
        <f>IFERROR(__xludf.DUMMYFUNCTION("""COMPUTED_VALUE"""),"986852367")</f>
        <v>986852367</v>
      </c>
      <c r="G1665" s="65" t="str">
        <f>IFERROR(__xludf.DUMMYFUNCTION("""COMPUTED_VALUE"""),"fher.albornoz@gmail.com")</f>
        <v>fher.albornoz@gmail.com</v>
      </c>
      <c r="H1665" s="65"/>
      <c r="I1665" s="65"/>
      <c r="J1665" s="65" t="str">
        <f>IFERROR(__xludf.DUMMYFUNCTION("""COMPUTED_VALUE"""),"D001238367")</f>
        <v>D001238367</v>
      </c>
      <c r="K1665" s="65" t="str">
        <f>IFERROR(__xludf.DUMMYFUNCTION("""COMPUTED_VALUE"""),"ENTREGADO")</f>
        <v>ENTREGADO</v>
      </c>
      <c r="L1665" s="65" t="str">
        <f>IFERROR(__xludf.DUMMYFUNCTION("""COMPUTED_VALUE"""),"CON RECAUDO")</f>
        <v>CON RECAUDO</v>
      </c>
      <c r="M1665" s="65" t="str">
        <f>IFERROR(__xludf.DUMMYFUNCTION("""COMPUTED_VALUE"""),"PICHINCHA")</f>
        <v>PICHINCHA</v>
      </c>
      <c r="N1665" s="65" t="str">
        <f>IFERROR(__xludf.DUMMYFUNCTION("""COMPUTED_VALUE"""),"TUMBACO")</f>
        <v>TUMBACO</v>
      </c>
      <c r="O1665" s="65" t="str">
        <f>IFERROR(__xludf.DUMMYFUNCTION("""COMPUTED_VALUE"""),"Edificio Nativa dep 103 José Vinueza y Miguel Angel Esquina La Morita La Morita Tumbaco -")</f>
        <v>Edificio Nativa dep 103 José Vinueza y Miguel Angel Esquina La Morita La Morita Tumbaco -</v>
      </c>
      <c r="P1665" s="65"/>
      <c r="Q1665" s="65" t="str">
        <f>IFERROR(__xludf.DUMMYFUNCTION("""COMPUTED_VALUE"""),"GINTRACOM")</f>
        <v>GINTRACOM</v>
      </c>
      <c r="R1665" s="65">
        <f>IFERROR(__xludf.DUMMYFUNCTION("""COMPUTED_VALUE"""),32.0)</f>
        <v>32</v>
      </c>
      <c r="S1665" s="65">
        <f>IFERROR(__xludf.DUMMYFUNCTION("""COMPUTED_VALUE"""),15.36)</f>
        <v>15.36</v>
      </c>
      <c r="T1665" s="65">
        <f>IFERROR(__xludf.DUMMYFUNCTION("""COMPUTED_VALUE"""),6.24)</f>
        <v>6.24</v>
      </c>
      <c r="U1665" s="65">
        <f>IFERROR(__xludf.DUMMYFUNCTION("""COMPUTED_VALUE"""),0.0)</f>
        <v>0</v>
      </c>
      <c r="V1665" s="65">
        <f>IFERROR(__xludf.DUMMYFUNCTION("""COMPUTED_VALUE"""),0.0)</f>
        <v>0</v>
      </c>
      <c r="W1665" s="65">
        <f>IFERROR(__xludf.DUMMYFUNCTION("""COMPUTED_VALUE"""),0.0)</f>
        <v>0</v>
      </c>
      <c r="X1665" s="65">
        <f>IFERROR(__xludf.DUMMYFUNCTION("""COMPUTED_VALUE"""),2.6)</f>
        <v>2.6</v>
      </c>
      <c r="Y1665" s="65">
        <f>IFERROR(__xludf.DUMMYFUNCTION("""COMPUTED_VALUE"""),10.4)</f>
        <v>10.4</v>
      </c>
      <c r="Z1665" s="65">
        <f>IFERROR(__xludf.DUMMYFUNCTION("""COMPUTED_VALUE"""),121983.0)</f>
        <v>121983</v>
      </c>
      <c r="AA1665" s="65" t="str">
        <f>IFERROR(__xludf.DUMMYFUNCTION("""COMPUTED_VALUE"""),"PROV-CHLLCF")</f>
        <v>PROV-CHLLCF</v>
      </c>
      <c r="AB1665" s="65"/>
      <c r="AC1665" s="65" t="str">
        <f>IFERROR(__xludf.DUMMYFUNCTION("""COMPUTED_VALUE"""),"CUCHILLO PARA CHEF")</f>
        <v>CUCHILLO PARA CHEF</v>
      </c>
      <c r="AD1665" s="65"/>
      <c r="AE1665" s="65">
        <f>IFERROR(__xludf.DUMMYFUNCTION("""COMPUTED_VALUE"""),4.0)</f>
        <v>4</v>
      </c>
      <c r="AF1665" s="65"/>
      <c r="AG1665" s="65"/>
      <c r="AH1665" s="65"/>
      <c r="AI1665" s="65"/>
      <c r="AJ1665" s="65"/>
      <c r="AK1665" s="65"/>
      <c r="AL1665" s="65"/>
      <c r="AM1665" s="65"/>
      <c r="AN1665" s="65" t="str">
        <f>IFERROR(__xludf.DUMMYFUNCTION("""COMPUTED_VALUE"""),"13:16")</f>
        <v>13:16</v>
      </c>
      <c r="AO1665" s="65" t="str">
        <f>IFERROR(__xludf.DUMMYFUNCTION("""COMPUTED_VALUE"""),"20-01-2026")</f>
        <v>20-01-2026</v>
      </c>
      <c r="AP1665" s="65" t="str">
        <f>IFERROR(__xludf.DUMMYFUNCTION("""COMPUTED_VALUE"""),"ENTREGADA GINTRACOM")</f>
        <v>ENTREGADA GINTRACOM</v>
      </c>
      <c r="AQ1665" s="65" t="str">
        <f>IFERROR(__xludf.DUMMYFUNCTION("""COMPUTED_VALUE"""),"ENTREGADA GINTRACOM")</f>
        <v>ENTREGADA GINTRACOM</v>
      </c>
      <c r="AR1665" s="65"/>
      <c r="AS1665" s="65"/>
      <c r="AT1665" s="65" t="str">
        <f>IFERROR(__xludf.DUMMYFUNCTION("""COMPUTED_VALUE"""),"SHOPIFY")</f>
        <v>SHOPIFY</v>
      </c>
      <c r="AU1665" s="65" t="str">
        <f>IFERROR(__xludf.DUMMYFUNCTION("""COMPUTED_VALUE"""),"IMPORTEX EC")</f>
        <v>IMPORTEX EC</v>
      </c>
      <c r="AV1665" s="65" t="str">
        <f>IFERROR(__xludf.DUMMYFUNCTION("""COMPUTED_VALUE"""),"6417627217964")</f>
        <v>6417627217964</v>
      </c>
      <c r="AW1665" s="65">
        <f>IFERROR(__xludf.DUMMYFUNCTION("""COMPUTED_VALUE"""),5278.0)</f>
        <v>5278</v>
      </c>
      <c r="AX1665" s="65"/>
      <c r="AY1665" s="65" t="str">
        <f>IFERROR(__xludf.DUMMYFUNCTION("""COMPUTED_VALUE"""),"19/01/2026")</f>
        <v>19/01/2026</v>
      </c>
      <c r="AZ1665" s="65"/>
      <c r="BA1665" s="65"/>
    </row>
    <row r="1666">
      <c r="A1666" s="65" t="str">
        <f>IFERROR(__xludf.DUMMYFUNCTION("""COMPUTED_VALUE"""),"27-03-2026")</f>
        <v>27-03-2026</v>
      </c>
      <c r="B1666" s="65">
        <f>IFERROR(__xludf.DUMMYFUNCTION("""COMPUTED_VALUE"""),4161679.0)</f>
        <v>4161679</v>
      </c>
      <c r="C1666" s="65" t="str">
        <f>IFERROR(__xludf.DUMMYFUNCTION("""COMPUTED_VALUE"""),"19:17")</f>
        <v>19:17</v>
      </c>
      <c r="D1666" s="65" t="str">
        <f>IFERROR(__xludf.DUMMYFUNCTION("""COMPUTED_VALUE"""),"15-01-2026")</f>
        <v>15-01-2026</v>
      </c>
      <c r="E1666" s="65" t="str">
        <f>IFERROR(__xludf.DUMMYFUNCTION("""COMPUTED_VALUE"""),"Hugo caceres")</f>
        <v>Hugo caceres</v>
      </c>
      <c r="F1666" s="65" t="str">
        <f>IFERROR(__xludf.DUMMYFUNCTION("""COMPUTED_VALUE"""),"958604921")</f>
        <v>958604921</v>
      </c>
      <c r="G1666" s="65" t="str">
        <f>IFERROR(__xludf.DUMMYFUNCTION("""COMPUTED_VALUE"""),"fabucv@hotmail.com")</f>
        <v>fabucv@hotmail.com</v>
      </c>
      <c r="H1666" s="65"/>
      <c r="I1666" s="65"/>
      <c r="J1666" s="65" t="str">
        <f>IFERROR(__xludf.DUMMYFUNCTION("""COMPUTED_VALUE"""),"D001238343")</f>
        <v>D001238343</v>
      </c>
      <c r="K1666" s="65" t="str">
        <f>IFERROR(__xludf.DUMMYFUNCTION("""COMPUTED_VALUE"""),"ENTREGADO")</f>
        <v>ENTREGADO</v>
      </c>
      <c r="L1666" s="65" t="str">
        <f>IFERROR(__xludf.DUMMYFUNCTION("""COMPUTED_VALUE"""),"CON RECAUDO")</f>
        <v>CON RECAUDO</v>
      </c>
      <c r="M1666" s="65" t="str">
        <f>IFERROR(__xludf.DUMMYFUNCTION("""COMPUTED_VALUE"""),"CHIMBORAZO")</f>
        <v>CHIMBORAZO</v>
      </c>
      <c r="N1666" s="65" t="str">
        <f>IFERROR(__xludf.DUMMYFUNCTION("""COMPUTED_VALUE"""),"RIOBAMBA")</f>
        <v>RIOBAMBA</v>
      </c>
      <c r="O1666" s="65" t="str">
        <f>IFERROR(__xludf.DUMMYFUNCTION("""COMPUTED_VALUE"""),"Esmeraldas 21y20 y espejo bariio expoliclinico")</f>
        <v>Esmeraldas 21y20 y espejo bariio expoliclinico</v>
      </c>
      <c r="P1666" s="65"/>
      <c r="Q1666" s="65" t="str">
        <f>IFERROR(__xludf.DUMMYFUNCTION("""COMPUTED_VALUE"""),"GINTRACOM")</f>
        <v>GINTRACOM</v>
      </c>
      <c r="R1666" s="65">
        <f>IFERROR(__xludf.DUMMYFUNCTION("""COMPUTED_VALUE"""),22.0)</f>
        <v>22</v>
      </c>
      <c r="S1666" s="65">
        <f>IFERROR(__xludf.DUMMYFUNCTION("""COMPUTED_VALUE"""),10.96)</f>
        <v>10.96</v>
      </c>
      <c r="T1666" s="65">
        <f>IFERROR(__xludf.DUMMYFUNCTION("""COMPUTED_VALUE"""),5.84)</f>
        <v>5.84</v>
      </c>
      <c r="U1666" s="65">
        <f>IFERROR(__xludf.DUMMYFUNCTION("""COMPUTED_VALUE"""),0.0)</f>
        <v>0</v>
      </c>
      <c r="V1666" s="65">
        <f>IFERROR(__xludf.DUMMYFUNCTION("""COMPUTED_VALUE"""),0.0)</f>
        <v>0</v>
      </c>
      <c r="W1666" s="65">
        <f>IFERROR(__xludf.DUMMYFUNCTION("""COMPUTED_VALUE"""),0.0)</f>
        <v>0</v>
      </c>
      <c r="X1666" s="65">
        <f>IFERROR(__xludf.DUMMYFUNCTION("""COMPUTED_VALUE"""),2.6)</f>
        <v>2.6</v>
      </c>
      <c r="Y1666" s="65">
        <f>IFERROR(__xludf.DUMMYFUNCTION("""COMPUTED_VALUE"""),5.2)</f>
        <v>5.2</v>
      </c>
      <c r="Z1666" s="65">
        <f>IFERROR(__xludf.DUMMYFUNCTION("""COMPUTED_VALUE"""),121983.0)</f>
        <v>121983</v>
      </c>
      <c r="AA1666" s="65" t="str">
        <f>IFERROR(__xludf.DUMMYFUNCTION("""COMPUTED_VALUE"""),"PROV-CHLLCF")</f>
        <v>PROV-CHLLCF</v>
      </c>
      <c r="AB1666" s="65"/>
      <c r="AC1666" s="65" t="str">
        <f>IFERROR(__xludf.DUMMYFUNCTION("""COMPUTED_VALUE"""),"CUCHILLO PARA CHEF")</f>
        <v>CUCHILLO PARA CHEF</v>
      </c>
      <c r="AD1666" s="65"/>
      <c r="AE1666" s="65">
        <f>IFERROR(__xludf.DUMMYFUNCTION("""COMPUTED_VALUE"""),2.0)</f>
        <v>2</v>
      </c>
      <c r="AF1666" s="65"/>
      <c r="AG1666" s="65"/>
      <c r="AH1666" s="65"/>
      <c r="AI1666" s="65"/>
      <c r="AJ1666" s="65"/>
      <c r="AK1666" s="65"/>
      <c r="AL1666" s="65"/>
      <c r="AM1666" s="65"/>
      <c r="AN1666" s="65" t="str">
        <f>IFERROR(__xludf.DUMMYFUNCTION("""COMPUTED_VALUE"""),"20:36")</f>
        <v>20:36</v>
      </c>
      <c r="AO1666" s="65" t="str">
        <f>IFERROR(__xludf.DUMMYFUNCTION("""COMPUTED_VALUE"""),"21-01-2026")</f>
        <v>21-01-2026</v>
      </c>
      <c r="AP1666" s="65" t="str">
        <f>IFERROR(__xludf.DUMMYFUNCTION("""COMPUTED_VALUE"""),"ENTREGADA GINTRACOM")</f>
        <v>ENTREGADA GINTRACOM</v>
      </c>
      <c r="AQ1666" s="65" t="str">
        <f>IFERROR(__xludf.DUMMYFUNCTION("""COMPUTED_VALUE"""),"ENTREGADA GINTRACOM")</f>
        <v>ENTREGADA GINTRACOM</v>
      </c>
      <c r="AR1666" s="65"/>
      <c r="AS1666" s="65"/>
      <c r="AT1666" s="65" t="str">
        <f>IFERROR(__xludf.DUMMYFUNCTION("""COMPUTED_VALUE"""),"SHOPIFY")</f>
        <v>SHOPIFY</v>
      </c>
      <c r="AU1666" s="65" t="str">
        <f>IFERROR(__xludf.DUMMYFUNCTION("""COMPUTED_VALUE"""),"IMPORTEX EC")</f>
        <v>IMPORTEX EC</v>
      </c>
      <c r="AV1666" s="65" t="str">
        <f>IFERROR(__xludf.DUMMYFUNCTION("""COMPUTED_VALUE"""),"6417616535596")</f>
        <v>6417616535596</v>
      </c>
      <c r="AW1666" s="65">
        <f>IFERROR(__xludf.DUMMYFUNCTION("""COMPUTED_VALUE"""),5277.0)</f>
        <v>5277</v>
      </c>
      <c r="AX1666" s="65"/>
      <c r="AY1666" s="65" t="str">
        <f>IFERROR(__xludf.DUMMYFUNCTION("""COMPUTED_VALUE"""),"19/01/2026")</f>
        <v>19/01/2026</v>
      </c>
      <c r="AZ1666" s="65"/>
      <c r="BA1666" s="65"/>
    </row>
    <row r="1667">
      <c r="A1667" s="65" t="str">
        <f>IFERROR(__xludf.DUMMYFUNCTION("""COMPUTED_VALUE"""),"27-03-2026")</f>
        <v>27-03-2026</v>
      </c>
      <c r="B1667" s="65">
        <f>IFERROR(__xludf.DUMMYFUNCTION("""COMPUTED_VALUE"""),4161444.0)</f>
        <v>4161444</v>
      </c>
      <c r="C1667" s="65" t="str">
        <f>IFERROR(__xludf.DUMMYFUNCTION("""COMPUTED_VALUE"""),"18:54")</f>
        <v>18:54</v>
      </c>
      <c r="D1667" s="65" t="str">
        <f>IFERROR(__xludf.DUMMYFUNCTION("""COMPUTED_VALUE"""),"15-01-2026")</f>
        <v>15-01-2026</v>
      </c>
      <c r="E1667" s="65" t="str">
        <f>IFERROR(__xludf.DUMMYFUNCTION("""COMPUTED_VALUE"""),"José David no Palma")</f>
        <v>José David no Palma</v>
      </c>
      <c r="F1667" s="65" t="str">
        <f>IFERROR(__xludf.DUMMYFUNCTION("""COMPUTED_VALUE"""),"987437155")</f>
        <v>987437155</v>
      </c>
      <c r="G1667" s="65" t="str">
        <f>IFERROR(__xludf.DUMMYFUNCTION("""COMPUTED_VALUE"""),"jdpalma19@gmail.com")</f>
        <v>jdpalma19@gmail.com</v>
      </c>
      <c r="H1667" s="65"/>
      <c r="I1667" s="65"/>
      <c r="J1667" s="65" t="str">
        <f>IFERROR(__xludf.DUMMYFUNCTION("""COMPUTED_VALUE"""),"D001240115")</f>
        <v>D001240115</v>
      </c>
      <c r="K1667" s="65" t="str">
        <f>IFERROR(__xludf.DUMMYFUNCTION("""COMPUTED_VALUE"""),"ENTREGADO")</f>
        <v>ENTREGADO</v>
      </c>
      <c r="L1667" s="65" t="str">
        <f>IFERROR(__xludf.DUMMYFUNCTION("""COMPUTED_VALUE"""),"CON RECAUDO")</f>
        <v>CON RECAUDO</v>
      </c>
      <c r="M1667" s="65" t="str">
        <f>IFERROR(__xludf.DUMMYFUNCTION("""COMPUTED_VALUE"""),"GUAYAS")</f>
        <v>GUAYAS</v>
      </c>
      <c r="N1667" s="65" t="str">
        <f>IFERROR(__xludf.DUMMYFUNCTION("""COMPUTED_VALUE"""),"GUAYAQUIL")</f>
        <v>GUAYAQUIL</v>
      </c>
      <c r="O1667" s="65" t="str">
        <f>IFERROR(__xludf.DUMMYFUNCTION("""COMPUTED_VALUE"""),"Km 12 via a la costa Ingreso a la cantera -")</f>
        <v>Km 12 via a la costa Ingreso a la cantera -</v>
      </c>
      <c r="P1667" s="65"/>
      <c r="Q1667" s="65" t="str">
        <f>IFERROR(__xludf.DUMMYFUNCTION("""COMPUTED_VALUE"""),"GINTRACOM")</f>
        <v>GINTRACOM</v>
      </c>
      <c r="R1667" s="65">
        <f>IFERROR(__xludf.DUMMYFUNCTION("""COMPUTED_VALUE"""),30.0)</f>
        <v>30</v>
      </c>
      <c r="S1667" s="65">
        <f>IFERROR(__xludf.DUMMYFUNCTION("""COMPUTED_VALUE"""),16.79)</f>
        <v>16.79</v>
      </c>
      <c r="T1667" s="65">
        <f>IFERROR(__xludf.DUMMYFUNCTION("""COMPUTED_VALUE"""),6.16)</f>
        <v>6.16</v>
      </c>
      <c r="U1667" s="65">
        <f>IFERROR(__xludf.DUMMYFUNCTION("""COMPUTED_VALUE"""),0.0)</f>
        <v>0</v>
      </c>
      <c r="V1667" s="65">
        <f>IFERROR(__xludf.DUMMYFUNCTION("""COMPUTED_VALUE"""),0.0)</f>
        <v>0</v>
      </c>
      <c r="W1667" s="65">
        <f>IFERROR(__xludf.DUMMYFUNCTION("""COMPUTED_VALUE"""),0.0)</f>
        <v>0</v>
      </c>
      <c r="X1667" s="65">
        <f>IFERROR(__xludf.DUMMYFUNCTION("""COMPUTED_VALUE"""),2.35)</f>
        <v>2.35</v>
      </c>
      <c r="Y1667" s="65">
        <f>IFERROR(__xludf.DUMMYFUNCTION("""COMPUTED_VALUE"""),7.05)</f>
        <v>7.05</v>
      </c>
      <c r="Z1667" s="65">
        <f>IFERROR(__xludf.DUMMYFUNCTION("""COMPUTED_VALUE"""),116679.0)</f>
        <v>116679</v>
      </c>
      <c r="AA1667" s="65" t="str">
        <f>IFERROR(__xludf.DUMMYFUNCTION("""COMPUTED_VALUE"""),"AMC-2738")</f>
        <v>AMC-2738</v>
      </c>
      <c r="AB1667" s="65"/>
      <c r="AC1667" s="65" t="str">
        <f>IFERROR(__xludf.DUMMYFUNCTION("""COMPUTED_VALUE"""),"ESPONJA ANTILLUVIA DE PARABRISAS")</f>
        <v>ESPONJA ANTILLUVIA DE PARABRISAS</v>
      </c>
      <c r="AD1667" s="65"/>
      <c r="AE1667" s="65">
        <f>IFERROR(__xludf.DUMMYFUNCTION("""COMPUTED_VALUE"""),3.0)</f>
        <v>3</v>
      </c>
      <c r="AF1667" s="65"/>
      <c r="AG1667" s="65"/>
      <c r="AH1667" s="65"/>
      <c r="AI1667" s="65"/>
      <c r="AJ1667" s="65"/>
      <c r="AK1667" s="65"/>
      <c r="AL1667" s="65"/>
      <c r="AM1667" s="65"/>
      <c r="AN1667" s="65" t="str">
        <f>IFERROR(__xludf.DUMMYFUNCTION("""COMPUTED_VALUE"""),"14:53")</f>
        <v>14:53</v>
      </c>
      <c r="AO1667" s="65" t="str">
        <f>IFERROR(__xludf.DUMMYFUNCTION("""COMPUTED_VALUE"""),"21-01-2026")</f>
        <v>21-01-2026</v>
      </c>
      <c r="AP1667" s="65" t="str">
        <f>IFERROR(__xludf.DUMMYFUNCTION("""COMPUTED_VALUE"""),"ENTREGADA GINTRACOM")</f>
        <v>ENTREGADA GINTRACOM</v>
      </c>
      <c r="AQ1667" s="65" t="str">
        <f>IFERROR(__xludf.DUMMYFUNCTION("""COMPUTED_VALUE"""),"ENTREGADA GINTRACOM")</f>
        <v>ENTREGADA GINTRACOM</v>
      </c>
      <c r="AR1667" s="65"/>
      <c r="AS1667" s="65"/>
      <c r="AT1667" s="65" t="str">
        <f>IFERROR(__xludf.DUMMYFUNCTION("""COMPUTED_VALUE"""),"SHOPIFY")</f>
        <v>SHOPIFY</v>
      </c>
      <c r="AU1667" s="65" t="str">
        <f>IFERROR(__xludf.DUMMYFUNCTION("""COMPUTED_VALUE"""),"IMPORTEX EC")</f>
        <v>IMPORTEX EC</v>
      </c>
      <c r="AV1667" s="65" t="str">
        <f>IFERROR(__xludf.DUMMYFUNCTION("""COMPUTED_VALUE"""),"6417571676204")</f>
        <v>6417571676204</v>
      </c>
      <c r="AW1667" s="65">
        <f>IFERROR(__xludf.DUMMYFUNCTION("""COMPUTED_VALUE"""),5275.0)</f>
        <v>5275</v>
      </c>
      <c r="AX1667" s="65"/>
      <c r="AY1667" s="65" t="str">
        <f>IFERROR(__xludf.DUMMYFUNCTION("""COMPUTED_VALUE"""),"19/01/2026")</f>
        <v>19/01/2026</v>
      </c>
      <c r="AZ1667" s="65"/>
      <c r="BA1667" s="65"/>
    </row>
    <row r="1668">
      <c r="A1668" s="65" t="str">
        <f>IFERROR(__xludf.DUMMYFUNCTION("""COMPUTED_VALUE"""),"27-03-2026")</f>
        <v>27-03-2026</v>
      </c>
      <c r="B1668" s="65">
        <f>IFERROR(__xludf.DUMMYFUNCTION("""COMPUTED_VALUE"""),4161387.0)</f>
        <v>4161387</v>
      </c>
      <c r="C1668" s="65" t="str">
        <f>IFERROR(__xludf.DUMMYFUNCTION("""COMPUTED_VALUE"""),"18:50")</f>
        <v>18:50</v>
      </c>
      <c r="D1668" s="65" t="str">
        <f>IFERROR(__xludf.DUMMYFUNCTION("""COMPUTED_VALUE"""),"15-01-2026")</f>
        <v>15-01-2026</v>
      </c>
      <c r="E1668" s="65" t="str">
        <f>IFERROR(__xludf.DUMMYFUNCTION("""COMPUTED_VALUE"""),"Mauro Mauro silva")</f>
        <v>Mauro Mauro silva</v>
      </c>
      <c r="F1668" s="65" t="str">
        <f>IFERROR(__xludf.DUMMYFUNCTION("""COMPUTED_VALUE"""),"986202863")</f>
        <v>986202863</v>
      </c>
      <c r="G1668" s="65" t="str">
        <f>IFERROR(__xludf.DUMMYFUNCTION("""COMPUTED_VALUE"""),"ymaurosm@gmail.com")</f>
        <v>ymaurosm@gmail.com</v>
      </c>
      <c r="H1668" s="65"/>
      <c r="I1668" s="65"/>
      <c r="J1668" s="65"/>
      <c r="K1668" s="65" t="str">
        <f>IFERROR(__xludf.DUMMYFUNCTION("""COMPUTED_VALUE"""),"PENDIENTE CONFIRMACION")</f>
        <v>PENDIENTE CONFIRMACION</v>
      </c>
      <c r="L1668" s="65" t="str">
        <f>IFERROR(__xludf.DUMMYFUNCTION("""COMPUTED_VALUE"""),"CON RECAUDO")</f>
        <v>CON RECAUDO</v>
      </c>
      <c r="M1668" s="65" t="str">
        <f>IFERROR(__xludf.DUMMYFUNCTION("""COMPUTED_VALUE"""),"LOS RIOS")</f>
        <v>LOS RIOS</v>
      </c>
      <c r="N1668" s="65" t="str">
        <f>IFERROR(__xludf.DUMMYFUNCTION("""COMPUTED_VALUE"""),"QUEVEDO")</f>
        <v>QUEVEDO</v>
      </c>
      <c r="O1668" s="65" t="str">
        <f>IFERROR(__xludf.DUMMYFUNCTION("""COMPUTED_VALUE"""),"Calle José Peralta La venus -")</f>
        <v>Calle José Peralta La venus -</v>
      </c>
      <c r="P1668" s="65"/>
      <c r="Q1668" s="65" t="str">
        <f>IFERROR(__xludf.DUMMYFUNCTION("""COMPUTED_VALUE"""),"GINTRACOM")</f>
        <v>GINTRACOM</v>
      </c>
      <c r="R1668" s="65">
        <f>IFERROR(__xludf.DUMMYFUNCTION("""COMPUTED_VALUE"""),22.0)</f>
        <v>22</v>
      </c>
      <c r="S1668" s="65"/>
      <c r="T1668" s="65">
        <f>IFERROR(__xludf.DUMMYFUNCTION("""COMPUTED_VALUE"""),5.84)</f>
        <v>5.84</v>
      </c>
      <c r="U1668" s="65">
        <f>IFERROR(__xludf.DUMMYFUNCTION("""COMPUTED_VALUE"""),0.0)</f>
        <v>0</v>
      </c>
      <c r="V1668" s="65">
        <f>IFERROR(__xludf.DUMMYFUNCTION("""COMPUTED_VALUE"""),0.0)</f>
        <v>0</v>
      </c>
      <c r="W1668" s="65">
        <f>IFERROR(__xludf.DUMMYFUNCTION("""COMPUTED_VALUE"""),0.0)</f>
        <v>0</v>
      </c>
      <c r="X1668" s="65">
        <f>IFERROR(__xludf.DUMMYFUNCTION("""COMPUTED_VALUE"""),2.6)</f>
        <v>2.6</v>
      </c>
      <c r="Y1668" s="65">
        <f>IFERROR(__xludf.DUMMYFUNCTION("""COMPUTED_VALUE"""),5.2)</f>
        <v>5.2</v>
      </c>
      <c r="Z1668" s="65">
        <f>IFERROR(__xludf.DUMMYFUNCTION("""COMPUTED_VALUE"""),121983.0)</f>
        <v>121983</v>
      </c>
      <c r="AA1668" s="65" t="str">
        <f>IFERROR(__xludf.DUMMYFUNCTION("""COMPUTED_VALUE"""),"PROV-CHLLCF")</f>
        <v>PROV-CHLLCF</v>
      </c>
      <c r="AB1668" s="65"/>
      <c r="AC1668" s="65" t="str">
        <f>IFERROR(__xludf.DUMMYFUNCTION("""COMPUTED_VALUE"""),"CUCHILLO PARA CHEF")</f>
        <v>CUCHILLO PARA CHEF</v>
      </c>
      <c r="AD1668" s="65"/>
      <c r="AE1668" s="65">
        <f>IFERROR(__xludf.DUMMYFUNCTION("""COMPUTED_VALUE"""),2.0)</f>
        <v>2</v>
      </c>
      <c r="AF1668" s="65"/>
      <c r="AG1668" s="65"/>
      <c r="AH1668" s="65"/>
      <c r="AI1668" s="65"/>
      <c r="AJ1668" s="65"/>
      <c r="AK1668" s="65"/>
      <c r="AL1668" s="65"/>
      <c r="AM1668" s="65"/>
      <c r="AN1668" s="65"/>
      <c r="AO1668" s="65"/>
      <c r="AP1668" s="65"/>
      <c r="AQ1668" s="65"/>
      <c r="AR1668" s="65"/>
      <c r="AS1668" s="65"/>
      <c r="AT1668" s="65" t="str">
        <f>IFERROR(__xludf.DUMMYFUNCTION("""COMPUTED_VALUE"""),"SHOPIFY")</f>
        <v>SHOPIFY</v>
      </c>
      <c r="AU1668" s="65" t="str">
        <f>IFERROR(__xludf.DUMMYFUNCTION("""COMPUTED_VALUE"""),"IMPORTEX EC")</f>
        <v>IMPORTEX EC</v>
      </c>
      <c r="AV1668" s="65" t="str">
        <f>IFERROR(__xludf.DUMMYFUNCTION("""COMPUTED_VALUE"""),"6417559388204")</f>
        <v>6417559388204</v>
      </c>
      <c r="AW1668" s="65">
        <f>IFERROR(__xludf.DUMMYFUNCTION("""COMPUTED_VALUE"""),5274.0)</f>
        <v>5274</v>
      </c>
      <c r="AX1668" s="65"/>
      <c r="AY1668" s="65"/>
      <c r="AZ1668" s="65"/>
      <c r="BA1668" s="65"/>
    </row>
    <row r="1669">
      <c r="A1669" s="65" t="str">
        <f>IFERROR(__xludf.DUMMYFUNCTION("""COMPUTED_VALUE"""),"27-03-2026")</f>
        <v>27-03-2026</v>
      </c>
      <c r="B1669" s="65">
        <f>IFERROR(__xludf.DUMMYFUNCTION("""COMPUTED_VALUE"""),4160884.0)</f>
        <v>4160884</v>
      </c>
      <c r="C1669" s="65" t="str">
        <f>IFERROR(__xludf.DUMMYFUNCTION("""COMPUTED_VALUE"""),"18:06")</f>
        <v>18:06</v>
      </c>
      <c r="D1669" s="65" t="str">
        <f>IFERROR(__xludf.DUMMYFUNCTION("""COMPUTED_VALUE"""),"15-01-2026")</f>
        <v>15-01-2026</v>
      </c>
      <c r="E1669" s="65" t="str">
        <f>IFERROR(__xludf.DUMMYFUNCTION("""COMPUTED_VALUE"""),"JOHNNY SATAMA")</f>
        <v>JOHNNY SATAMA</v>
      </c>
      <c r="F1669" s="65" t="str">
        <f>IFERROR(__xludf.DUMMYFUNCTION("""COMPUTED_VALUE"""),"987787948")</f>
        <v>987787948</v>
      </c>
      <c r="G1669" s="65" t="str">
        <f>IFERROR(__xludf.DUMMYFUNCTION("""COMPUTED_VALUE"""),"chefjohnny12@outlook.es")</f>
        <v>chefjohnny12@outlook.es</v>
      </c>
      <c r="H1669" s="65"/>
      <c r="I1669" s="65"/>
      <c r="J1669" s="65" t="str">
        <f>IFERROR(__xludf.DUMMYFUNCTION("""COMPUTED_VALUE"""),"D001238345")</f>
        <v>D001238345</v>
      </c>
      <c r="K1669" s="65" t="str">
        <f>IFERROR(__xludf.DUMMYFUNCTION("""COMPUTED_VALUE"""),"DEVOLUCION")</f>
        <v>DEVOLUCION</v>
      </c>
      <c r="L1669" s="65" t="str">
        <f>IFERROR(__xludf.DUMMYFUNCTION("""COMPUTED_VALUE"""),"CON RECAUDO")</f>
        <v>CON RECAUDO</v>
      </c>
      <c r="M1669" s="65" t="str">
        <f>IFERROR(__xludf.DUMMYFUNCTION("""COMPUTED_VALUE"""),"NAPO")</f>
        <v>NAPO</v>
      </c>
      <c r="N1669" s="65" t="str">
        <f>IFERROR(__xludf.DUMMYFUNCTION("""COMPUTED_VALUE"""),"TENA")</f>
        <v>TENA</v>
      </c>
      <c r="O1669" s="65" t="str">
        <f>IFERROR(__xludf.DUMMYFUNCTION("""COMPUTED_VALUE"""),"Francisco de Orellana y Tarqui Barrio Bellavista baja -")</f>
        <v>Francisco de Orellana y Tarqui Barrio Bellavista baja -</v>
      </c>
      <c r="P1669" s="65"/>
      <c r="Q1669" s="65" t="str">
        <f>IFERROR(__xludf.DUMMYFUNCTION("""COMPUTED_VALUE"""),"GINTRACOM")</f>
        <v>GINTRACOM</v>
      </c>
      <c r="R1669" s="65">
        <f>IFERROR(__xludf.DUMMYFUNCTION("""COMPUTED_VALUE"""),22.0)</f>
        <v>22</v>
      </c>
      <c r="S1669" s="65"/>
      <c r="T1669" s="65">
        <f>IFERROR(__xludf.DUMMYFUNCTION("""COMPUTED_VALUE"""),5.84)</f>
        <v>5.84</v>
      </c>
      <c r="U1669" s="65">
        <f>IFERROR(__xludf.DUMMYFUNCTION("""COMPUTED_VALUE"""),0.0)</f>
        <v>0</v>
      </c>
      <c r="V1669" s="65">
        <f>IFERROR(__xludf.DUMMYFUNCTION("""COMPUTED_VALUE"""),0.0)</f>
        <v>0</v>
      </c>
      <c r="W1669" s="65">
        <f>IFERROR(__xludf.DUMMYFUNCTION("""COMPUTED_VALUE"""),0.0)</f>
        <v>0</v>
      </c>
      <c r="X1669" s="65">
        <f>IFERROR(__xludf.DUMMYFUNCTION("""COMPUTED_VALUE"""),2.6)</f>
        <v>2.6</v>
      </c>
      <c r="Y1669" s="65">
        <f>IFERROR(__xludf.DUMMYFUNCTION("""COMPUTED_VALUE"""),5.2)</f>
        <v>5.2</v>
      </c>
      <c r="Z1669" s="65">
        <f>IFERROR(__xludf.DUMMYFUNCTION("""COMPUTED_VALUE"""),121983.0)</f>
        <v>121983</v>
      </c>
      <c r="AA1669" s="65" t="str">
        <f>IFERROR(__xludf.DUMMYFUNCTION("""COMPUTED_VALUE"""),"PROV-CHLLCF")</f>
        <v>PROV-CHLLCF</v>
      </c>
      <c r="AB1669" s="65"/>
      <c r="AC1669" s="65" t="str">
        <f>IFERROR(__xludf.DUMMYFUNCTION("""COMPUTED_VALUE"""),"CUCHILLO PARA CHEF")</f>
        <v>CUCHILLO PARA CHEF</v>
      </c>
      <c r="AD1669" s="65"/>
      <c r="AE1669" s="65">
        <f>IFERROR(__xludf.DUMMYFUNCTION("""COMPUTED_VALUE"""),2.0)</f>
        <v>2</v>
      </c>
      <c r="AF1669" s="65" t="str">
        <f>IFERROR(__xludf.DUMMYFUNCTION("""COMPUTED_VALUE"""),"DESTINATARIO INDICA QUE ESTÁ INCONFORME CON EL PRODUCTO. (NO RECIBE)")</f>
        <v>DESTINATARIO INDICA QUE ESTÁ INCONFORME CON EL PRODUCTO. (NO RECIBE)</v>
      </c>
      <c r="AG1669" s="65" t="str">
        <f>IFERROR(__xludf.DUMMYFUNCTION("""COMPUTED_VALUE"""),"NO")</f>
        <v>NO</v>
      </c>
      <c r="AH1669" s="65" t="str">
        <f>IFERROR(__xludf.DUMMYFUNCTION("""COMPUTED_VALUE"""),"10:28")</f>
        <v>10:28</v>
      </c>
      <c r="AI1669" s="65" t="str">
        <f>IFERROR(__xludf.DUMMYFUNCTION("""COMPUTED_VALUE"""),"22-01-2026")</f>
        <v>22-01-2026</v>
      </c>
      <c r="AJ1669" s="65"/>
      <c r="AK1669" s="65"/>
      <c r="AL1669" s="65"/>
      <c r="AM1669" s="65"/>
      <c r="AN1669" s="65" t="str">
        <f>IFERROR(__xludf.DUMMYFUNCTION("""COMPUTED_VALUE"""),"17:15")</f>
        <v>17:15</v>
      </c>
      <c r="AO1669" s="65" t="str">
        <f>IFERROR(__xludf.DUMMYFUNCTION("""COMPUTED_VALUE"""),"19-02-2026")</f>
        <v>19-02-2026</v>
      </c>
      <c r="AP1669" s="65" t="str">
        <f>IFERROR(__xludf.DUMMYFUNCTION("""COMPUTED_VALUE"""),"DEV CONFIRMADA POR BODEGA")</f>
        <v>DEV CONFIRMADA POR BODEGA</v>
      </c>
      <c r="AQ1669" s="65"/>
      <c r="AR1669" s="65" t="str">
        <f>IFERROR(__xludf.DUMMYFUNCTION("""COMPUTED_VALUE"""),"Gestionado por: PROVEDIX DAMIAN, email:enviogratisdirecto@gmail.com, total de productos en la orden: 1")</f>
        <v>Gestionado por: PROVEDIX DAMIAN, email:enviogratisdirecto@gmail.com, total de productos en la orden: 1</v>
      </c>
      <c r="AS1669" s="65"/>
      <c r="AT1669" s="65" t="str">
        <f>IFERROR(__xludf.DUMMYFUNCTION("""COMPUTED_VALUE"""),"SHOPIFY")</f>
        <v>SHOPIFY</v>
      </c>
      <c r="AU1669" s="65" t="str">
        <f>IFERROR(__xludf.DUMMYFUNCTION("""COMPUTED_VALUE"""),"IMPORTEX EC")</f>
        <v>IMPORTEX EC</v>
      </c>
      <c r="AV1669" s="65" t="str">
        <f>IFERROR(__xludf.DUMMYFUNCTION("""COMPUTED_VALUE"""),"6417476288556")</f>
        <v>6417476288556</v>
      </c>
      <c r="AW1669" s="65">
        <f>IFERROR(__xludf.DUMMYFUNCTION("""COMPUTED_VALUE"""),5273.0)</f>
        <v>5273</v>
      </c>
      <c r="AX1669" s="65"/>
      <c r="AY1669" s="65" t="str">
        <f>IFERROR(__xludf.DUMMYFUNCTION("""COMPUTED_VALUE"""),"19/01/2026")</f>
        <v>19/01/2026</v>
      </c>
      <c r="AZ1669" s="65"/>
      <c r="BA1669" s="65"/>
    </row>
    <row r="1670">
      <c r="A1670" s="65" t="str">
        <f>IFERROR(__xludf.DUMMYFUNCTION("""COMPUTED_VALUE"""),"27-03-2026")</f>
        <v>27-03-2026</v>
      </c>
      <c r="B1670" s="65">
        <f>IFERROR(__xludf.DUMMYFUNCTION("""COMPUTED_VALUE"""),4160806.0)</f>
        <v>4160806</v>
      </c>
      <c r="C1670" s="65" t="str">
        <f>IFERROR(__xludf.DUMMYFUNCTION("""COMPUTED_VALUE"""),"17:58")</f>
        <v>17:58</v>
      </c>
      <c r="D1670" s="65" t="str">
        <f>IFERROR(__xludf.DUMMYFUNCTION("""COMPUTED_VALUE"""),"15-01-2026")</f>
        <v>15-01-2026</v>
      </c>
      <c r="E1670" s="65" t="str">
        <f>IFERROR(__xludf.DUMMYFUNCTION("""COMPUTED_VALUE"""),"Henry agualongo")</f>
        <v>Henry agualongo</v>
      </c>
      <c r="F1670" s="65" t="str">
        <f>IFERROR(__xludf.DUMMYFUNCTION("""COMPUTED_VALUE"""),"985352358")</f>
        <v>985352358</v>
      </c>
      <c r="G1670" s="65" t="str">
        <f>IFERROR(__xludf.DUMMYFUNCTION("""COMPUTED_VALUE"""),"henryagualongo40@gmail.com")</f>
        <v>henryagualongo40@gmail.com</v>
      </c>
      <c r="H1670" s="65"/>
      <c r="I1670" s="65"/>
      <c r="J1670" s="65" t="str">
        <f>IFERROR(__xludf.DUMMYFUNCTION("""COMPUTED_VALUE"""),"D001240116")</f>
        <v>D001240116</v>
      </c>
      <c r="K1670" s="65" t="str">
        <f>IFERROR(__xludf.DUMMYFUNCTION("""COMPUTED_VALUE"""),"ENTREGADO")</f>
        <v>ENTREGADO</v>
      </c>
      <c r="L1670" s="65" t="str">
        <f>IFERROR(__xludf.DUMMYFUNCTION("""COMPUTED_VALUE"""),"CON RECAUDO")</f>
        <v>CON RECAUDO</v>
      </c>
      <c r="M1670" s="65" t="str">
        <f>IFERROR(__xludf.DUMMYFUNCTION("""COMPUTED_VALUE"""),"BOLIVAR")</f>
        <v>BOLIVAR</v>
      </c>
      <c r="N1670" s="65" t="str">
        <f>IFERROR(__xludf.DUMMYFUNCTION("""COMPUTED_VALUE"""),"GUARANDA")</f>
        <v>GUARANDA</v>
      </c>
      <c r="O1670" s="65" t="str">
        <f>IFERROR(__xludf.DUMMYFUNCTION("""COMPUTED_VALUE"""),"Chimborazo y sucumbios Barrio Miraflores - Detrás de la radio Guaranda vía a las antenas")</f>
        <v>Chimborazo y sucumbios Barrio Miraflores - Detrás de la radio Guaranda vía a las antenas</v>
      </c>
      <c r="P1670" s="65"/>
      <c r="Q1670" s="65" t="str">
        <f>IFERROR(__xludf.DUMMYFUNCTION("""COMPUTED_VALUE"""),"GINTRACOM")</f>
        <v>GINTRACOM</v>
      </c>
      <c r="R1670" s="65">
        <f>IFERROR(__xludf.DUMMYFUNCTION("""COMPUTED_VALUE"""),30.0)</f>
        <v>30</v>
      </c>
      <c r="S1670" s="65">
        <f>IFERROR(__xludf.DUMMYFUNCTION("""COMPUTED_VALUE"""),16.79)</f>
        <v>16.79</v>
      </c>
      <c r="T1670" s="65">
        <f>IFERROR(__xludf.DUMMYFUNCTION("""COMPUTED_VALUE"""),6.16)</f>
        <v>6.16</v>
      </c>
      <c r="U1670" s="65">
        <f>IFERROR(__xludf.DUMMYFUNCTION("""COMPUTED_VALUE"""),0.0)</f>
        <v>0</v>
      </c>
      <c r="V1670" s="65">
        <f>IFERROR(__xludf.DUMMYFUNCTION("""COMPUTED_VALUE"""),0.0)</f>
        <v>0</v>
      </c>
      <c r="W1670" s="65">
        <f>IFERROR(__xludf.DUMMYFUNCTION("""COMPUTED_VALUE"""),0.0)</f>
        <v>0</v>
      </c>
      <c r="X1670" s="65">
        <f>IFERROR(__xludf.DUMMYFUNCTION("""COMPUTED_VALUE"""),2.35)</f>
        <v>2.35</v>
      </c>
      <c r="Y1670" s="65">
        <f>IFERROR(__xludf.DUMMYFUNCTION("""COMPUTED_VALUE"""),7.05)</f>
        <v>7.05</v>
      </c>
      <c r="Z1670" s="65">
        <f>IFERROR(__xludf.DUMMYFUNCTION("""COMPUTED_VALUE"""),116679.0)</f>
        <v>116679</v>
      </c>
      <c r="AA1670" s="65" t="str">
        <f>IFERROR(__xludf.DUMMYFUNCTION("""COMPUTED_VALUE"""),"AMC-2738")</f>
        <v>AMC-2738</v>
      </c>
      <c r="AB1670" s="65"/>
      <c r="AC1670" s="65" t="str">
        <f>IFERROR(__xludf.DUMMYFUNCTION("""COMPUTED_VALUE"""),"ESPONJA ANTILLUVIA DE PARABRISAS")</f>
        <v>ESPONJA ANTILLUVIA DE PARABRISAS</v>
      </c>
      <c r="AD1670" s="65"/>
      <c r="AE1670" s="65">
        <f>IFERROR(__xludf.DUMMYFUNCTION("""COMPUTED_VALUE"""),3.0)</f>
        <v>3</v>
      </c>
      <c r="AF1670" s="65"/>
      <c r="AG1670" s="65"/>
      <c r="AH1670" s="65"/>
      <c r="AI1670" s="65"/>
      <c r="AJ1670" s="65"/>
      <c r="AK1670" s="65"/>
      <c r="AL1670" s="65"/>
      <c r="AM1670" s="65"/>
      <c r="AN1670" s="65" t="str">
        <f>IFERROR(__xludf.DUMMYFUNCTION("""COMPUTED_VALUE"""),"13:50")</f>
        <v>13:50</v>
      </c>
      <c r="AO1670" s="65" t="str">
        <f>IFERROR(__xludf.DUMMYFUNCTION("""COMPUTED_VALUE"""),"20-02-2026")</f>
        <v>20-02-2026</v>
      </c>
      <c r="AP1670" s="65" t="str">
        <f>IFERROR(__xludf.DUMMYFUNCTION("""COMPUTED_VALUE"""),"ENTREGADA GINTRACOM")</f>
        <v>ENTREGADA GINTRACOM</v>
      </c>
      <c r="AQ1670" s="65" t="str">
        <f>IFERROR(__xludf.DUMMYFUNCTION("""COMPUTED_VALUE"""),"ENTREGADA GINTRACOM")</f>
        <v>ENTREGADA GINTRACOM</v>
      </c>
      <c r="AR1670" s="65"/>
      <c r="AS1670" s="65"/>
      <c r="AT1670" s="65" t="str">
        <f>IFERROR(__xludf.DUMMYFUNCTION("""COMPUTED_VALUE"""),"SHOPIFY")</f>
        <v>SHOPIFY</v>
      </c>
      <c r="AU1670" s="65" t="str">
        <f>IFERROR(__xludf.DUMMYFUNCTION("""COMPUTED_VALUE"""),"IMPORTEX EC")</f>
        <v>IMPORTEX EC</v>
      </c>
      <c r="AV1670" s="65" t="str">
        <f>IFERROR(__xludf.DUMMYFUNCTION("""COMPUTED_VALUE"""),"6417465737260")</f>
        <v>6417465737260</v>
      </c>
      <c r="AW1670" s="65">
        <f>IFERROR(__xludf.DUMMYFUNCTION("""COMPUTED_VALUE"""),5272.0)</f>
        <v>5272</v>
      </c>
      <c r="AX1670" s="65"/>
      <c r="AY1670" s="65" t="str">
        <f>IFERROR(__xludf.DUMMYFUNCTION("""COMPUTED_VALUE"""),"19/01/2026")</f>
        <v>19/01/2026</v>
      </c>
      <c r="AZ1670" s="65"/>
      <c r="BA1670" s="65"/>
    </row>
    <row r="1671">
      <c r="A1671" s="65" t="str">
        <f>IFERROR(__xludf.DUMMYFUNCTION("""COMPUTED_VALUE"""),"27-03-2026")</f>
        <v>27-03-2026</v>
      </c>
      <c r="B1671" s="65">
        <f>IFERROR(__xludf.DUMMYFUNCTION("""COMPUTED_VALUE"""),4160766.0)</f>
        <v>4160766</v>
      </c>
      <c r="C1671" s="65" t="str">
        <f>IFERROR(__xludf.DUMMYFUNCTION("""COMPUTED_VALUE"""),"17:53")</f>
        <v>17:53</v>
      </c>
      <c r="D1671" s="65" t="str">
        <f>IFERROR(__xludf.DUMMYFUNCTION("""COMPUTED_VALUE"""),"15-01-2026")</f>
        <v>15-01-2026</v>
      </c>
      <c r="E1671" s="65" t="str">
        <f>IFERROR(__xludf.DUMMYFUNCTION("""COMPUTED_VALUE"""),"Pedro Aviles")</f>
        <v>Pedro Aviles</v>
      </c>
      <c r="F1671" s="65" t="str">
        <f>IFERROR(__xludf.DUMMYFUNCTION("""COMPUTED_VALUE"""),"985894311")</f>
        <v>985894311</v>
      </c>
      <c r="G1671" s="65" t="str">
        <f>IFERROR(__xludf.DUMMYFUNCTION("""COMPUTED_VALUE"""),"sgtopedroaviles@gmail.com")</f>
        <v>sgtopedroaviles@gmail.com</v>
      </c>
      <c r="H1671" s="65"/>
      <c r="I1671" s="65"/>
      <c r="J1671" s="65"/>
      <c r="K1671" s="65" t="str">
        <f>IFERROR(__xludf.DUMMYFUNCTION("""COMPUTED_VALUE"""),"CANCELADO")</f>
        <v>CANCELADO</v>
      </c>
      <c r="L1671" s="65" t="str">
        <f>IFERROR(__xludf.DUMMYFUNCTION("""COMPUTED_VALUE"""),"CON RECAUDO")</f>
        <v>CON RECAUDO</v>
      </c>
      <c r="M1671" s="65" t="str">
        <f>IFERROR(__xludf.DUMMYFUNCTION("""COMPUTED_VALUE"""),"MANABI")</f>
        <v>MANABI</v>
      </c>
      <c r="N1671" s="65" t="str">
        <f>IFERROR(__xludf.DUMMYFUNCTION("""COMPUTED_VALUE"""),"MANTA")</f>
        <v>MANTA</v>
      </c>
      <c r="O1671" s="65" t="str">
        <f>IFERROR(__xludf.DUMMYFUNCTION("""COMPUTED_VALUE"""),"Calle 23 avenida 20 Casa -")</f>
        <v>Calle 23 avenida 20 Casa -</v>
      </c>
      <c r="P1671" s="65"/>
      <c r="Q1671" s="65" t="str">
        <f>IFERROR(__xludf.DUMMYFUNCTION("""COMPUTED_VALUE"""),"GINTRACOM")</f>
        <v>GINTRACOM</v>
      </c>
      <c r="R1671" s="65">
        <f>IFERROR(__xludf.DUMMYFUNCTION("""COMPUTED_VALUE"""),20.0)</f>
        <v>20</v>
      </c>
      <c r="S1671" s="65"/>
      <c r="T1671" s="65">
        <f>IFERROR(__xludf.DUMMYFUNCTION("""COMPUTED_VALUE"""),5.76)</f>
        <v>5.76</v>
      </c>
      <c r="U1671" s="65">
        <f>IFERROR(__xludf.DUMMYFUNCTION("""COMPUTED_VALUE"""),0.0)</f>
        <v>0</v>
      </c>
      <c r="V1671" s="65">
        <f>IFERROR(__xludf.DUMMYFUNCTION("""COMPUTED_VALUE"""),0.0)</f>
        <v>0</v>
      </c>
      <c r="W1671" s="65">
        <f>IFERROR(__xludf.DUMMYFUNCTION("""COMPUTED_VALUE"""),0.0)</f>
        <v>0</v>
      </c>
      <c r="X1671" s="65">
        <f>IFERROR(__xludf.DUMMYFUNCTION("""COMPUTED_VALUE"""),2.35)</f>
        <v>2.35</v>
      </c>
      <c r="Y1671" s="65">
        <f>IFERROR(__xludf.DUMMYFUNCTION("""COMPUTED_VALUE"""),2.35)</f>
        <v>2.35</v>
      </c>
      <c r="Z1671" s="65">
        <f>IFERROR(__xludf.DUMMYFUNCTION("""COMPUTED_VALUE"""),116679.0)</f>
        <v>116679</v>
      </c>
      <c r="AA1671" s="65" t="str">
        <f>IFERROR(__xludf.DUMMYFUNCTION("""COMPUTED_VALUE"""),"AMC-2738")</f>
        <v>AMC-2738</v>
      </c>
      <c r="AB1671" s="65"/>
      <c r="AC1671" s="65" t="str">
        <f>IFERROR(__xludf.DUMMYFUNCTION("""COMPUTED_VALUE"""),"ESPONJA ANTILLUVIA DE PARABRISAS")</f>
        <v>ESPONJA ANTILLUVIA DE PARABRISAS</v>
      </c>
      <c r="AD1671" s="65"/>
      <c r="AE1671" s="65">
        <f>IFERROR(__xludf.DUMMYFUNCTION("""COMPUTED_VALUE"""),1.0)</f>
        <v>1</v>
      </c>
      <c r="AF1671" s="65"/>
      <c r="AG1671" s="65"/>
      <c r="AH1671" s="65"/>
      <c r="AI1671" s="65"/>
      <c r="AJ1671" s="65"/>
      <c r="AK1671" s="65"/>
      <c r="AL1671" s="65"/>
      <c r="AM1671" s="65"/>
      <c r="AN1671" s="65"/>
      <c r="AO1671" s="65"/>
      <c r="AP1671" s="65"/>
      <c r="AQ1671" s="65"/>
      <c r="AR1671" s="65"/>
      <c r="AS1671" s="65"/>
      <c r="AT1671" s="65" t="str">
        <f>IFERROR(__xludf.DUMMYFUNCTION("""COMPUTED_VALUE"""),"SHOPIFY")</f>
        <v>SHOPIFY</v>
      </c>
      <c r="AU1671" s="65" t="str">
        <f>IFERROR(__xludf.DUMMYFUNCTION("""COMPUTED_VALUE"""),"IMPORTEX EC")</f>
        <v>IMPORTEX EC</v>
      </c>
      <c r="AV1671" s="65" t="str">
        <f>IFERROR(__xludf.DUMMYFUNCTION("""COMPUTED_VALUE"""),"6417458593836")</f>
        <v>6417458593836</v>
      </c>
      <c r="AW1671" s="65">
        <f>IFERROR(__xludf.DUMMYFUNCTION("""COMPUTED_VALUE"""),5271.0)</f>
        <v>5271</v>
      </c>
      <c r="AX1671" s="65"/>
      <c r="AY1671" s="65"/>
      <c r="AZ1671" s="65"/>
      <c r="BA1671" s="65"/>
    </row>
    <row r="1672">
      <c r="A1672" s="65" t="str">
        <f>IFERROR(__xludf.DUMMYFUNCTION("""COMPUTED_VALUE"""),"27-03-2026")</f>
        <v>27-03-2026</v>
      </c>
      <c r="B1672" s="65">
        <f>IFERROR(__xludf.DUMMYFUNCTION("""COMPUTED_VALUE"""),4160601.0)</f>
        <v>4160601</v>
      </c>
      <c r="C1672" s="65" t="str">
        <f>IFERROR(__xludf.DUMMYFUNCTION("""COMPUTED_VALUE"""),"17:39")</f>
        <v>17:39</v>
      </c>
      <c r="D1672" s="65" t="str">
        <f>IFERROR(__xludf.DUMMYFUNCTION("""COMPUTED_VALUE"""),"15-01-2026")</f>
        <v>15-01-2026</v>
      </c>
      <c r="E1672" s="65" t="str">
        <f>IFERROR(__xludf.DUMMYFUNCTION("""COMPUTED_VALUE"""),"Iván Vera")</f>
        <v>Iván Vera</v>
      </c>
      <c r="F1672" s="65" t="str">
        <f>IFERROR(__xludf.DUMMYFUNCTION("""COMPUTED_VALUE"""),"939733408")</f>
        <v>939733408</v>
      </c>
      <c r="G1672" s="65"/>
      <c r="H1672" s="65"/>
      <c r="I1672" s="65"/>
      <c r="J1672" s="65" t="str">
        <f>IFERROR(__xludf.DUMMYFUNCTION("""COMPUTED_VALUE"""),"186986087")</f>
        <v>186986087</v>
      </c>
      <c r="K1672" s="65" t="str">
        <f>IFERROR(__xludf.DUMMYFUNCTION("""COMPUTED_VALUE"""),"ENTREGADO")</f>
        <v>ENTREGADO</v>
      </c>
      <c r="L1672" s="65" t="str">
        <f>IFERROR(__xludf.DUMMYFUNCTION("""COMPUTED_VALUE"""),"CON RECAUDO")</f>
        <v>CON RECAUDO</v>
      </c>
      <c r="M1672" s="65" t="str">
        <f>IFERROR(__xludf.DUMMYFUNCTION("""COMPUTED_VALUE"""),"MANABI")</f>
        <v>MANABI</v>
      </c>
      <c r="N1672" s="65" t="str">
        <f>IFERROR(__xludf.DUMMYFUNCTION("""COMPUTED_VALUE"""),"PEDERNALES")</f>
        <v>PEDERNALES</v>
      </c>
      <c r="O1672" s="65" t="str">
        <f>IFERROR(__xludf.DUMMYFUNCTION("""COMPUTED_VALUE"""),"CS: PEDERNALES_PRINCIPAL / GARCIA MORENO S/N Y MARIA AUXILIADORA")</f>
        <v>CS: PEDERNALES_PRINCIPAL / GARCIA MORENO S/N Y MARIA AUXILIADORA</v>
      </c>
      <c r="P1672" s="65"/>
      <c r="Q1672" s="65" t="str">
        <f>IFERROR(__xludf.DUMMYFUNCTION("""COMPUTED_VALUE"""),"SERVIENTREGA")</f>
        <v>SERVIENTREGA</v>
      </c>
      <c r="R1672" s="65">
        <f>IFERROR(__xludf.DUMMYFUNCTION("""COMPUTED_VALUE"""),25.0)</f>
        <v>25</v>
      </c>
      <c r="S1672" s="65">
        <f>IFERROR(__xludf.DUMMYFUNCTION("""COMPUTED_VALUE"""),12.55)</f>
        <v>12.55</v>
      </c>
      <c r="T1672" s="65">
        <f>IFERROR(__xludf.DUMMYFUNCTION("""COMPUTED_VALUE"""),7.75)</f>
        <v>7.75</v>
      </c>
      <c r="U1672" s="65">
        <f>IFERROR(__xludf.DUMMYFUNCTION("""COMPUTED_VALUE"""),0.0)</f>
        <v>0</v>
      </c>
      <c r="V1672" s="65">
        <f>IFERROR(__xludf.DUMMYFUNCTION("""COMPUTED_VALUE"""),0.0)</f>
        <v>0</v>
      </c>
      <c r="W1672" s="65">
        <f>IFERROR(__xludf.DUMMYFUNCTION("""COMPUTED_VALUE"""),0.0)</f>
        <v>0</v>
      </c>
      <c r="X1672" s="65">
        <f>IFERROR(__xludf.DUMMYFUNCTION("""COMPUTED_VALUE"""),2.35)</f>
        <v>2.35</v>
      </c>
      <c r="Y1672" s="65">
        <f>IFERROR(__xludf.DUMMYFUNCTION("""COMPUTED_VALUE"""),4.7)</f>
        <v>4.7</v>
      </c>
      <c r="Z1672" s="65">
        <f>IFERROR(__xludf.DUMMYFUNCTION("""COMPUTED_VALUE"""),116679.0)</f>
        <v>116679</v>
      </c>
      <c r="AA1672" s="65" t="str">
        <f>IFERROR(__xludf.DUMMYFUNCTION("""COMPUTED_VALUE"""),"AMC-2738")</f>
        <v>AMC-2738</v>
      </c>
      <c r="AB1672" s="65"/>
      <c r="AC1672" s="65" t="str">
        <f>IFERROR(__xludf.DUMMYFUNCTION("""COMPUTED_VALUE"""),"ESPONJA ANTILLUVIA DE PARABRISAS")</f>
        <v>ESPONJA ANTILLUVIA DE PARABRISAS</v>
      </c>
      <c r="AD1672" s="65"/>
      <c r="AE1672" s="65">
        <f>IFERROR(__xludf.DUMMYFUNCTION("""COMPUTED_VALUE"""),2.0)</f>
        <v>2</v>
      </c>
      <c r="AF1672" s="65"/>
      <c r="AG1672" s="65"/>
      <c r="AH1672" s="65"/>
      <c r="AI1672" s="65"/>
      <c r="AJ1672" s="65"/>
      <c r="AK1672" s="65"/>
      <c r="AL1672" s="65"/>
      <c r="AM1672" s="65"/>
      <c r="AN1672" s="65" t="str">
        <f>IFERROR(__xludf.DUMMYFUNCTION("""COMPUTED_VALUE"""),"10:47")</f>
        <v>10:47</v>
      </c>
      <c r="AO1672" s="65" t="str">
        <f>IFERROR(__xludf.DUMMYFUNCTION("""COMPUTED_VALUE"""),"29-01-2026")</f>
        <v>29-01-2026</v>
      </c>
      <c r="AP1672" s="65" t="str">
        <f>IFERROR(__xludf.DUMMYFUNCTION("""COMPUTED_VALUE"""),"ENTREGA DIGITALIZADA EN CENTRO LOGISTICO")</f>
        <v>ENTREGA DIGITALIZADA EN CENTRO LOGISTICO</v>
      </c>
      <c r="AQ1672" s="65" t="str">
        <f>IFERROR(__xludf.DUMMYFUNCTION("""COMPUTED_VALUE"""),"IVAN VERA")</f>
        <v>IVAN VERA</v>
      </c>
      <c r="AR1672" s="65"/>
      <c r="AS1672" s="65" t="str">
        <f>IFERROR(__xludf.DUMMYFUNCTION("""COMPUTED_VALUE"""),"Bayron Gomez")</f>
        <v>Bayron Gomez</v>
      </c>
      <c r="AT1672" s="65"/>
      <c r="AU1672" s="65"/>
      <c r="AV1672" s="65"/>
      <c r="AW1672" s="65"/>
      <c r="AX1672" s="65"/>
      <c r="AY1672" s="65" t="str">
        <f>IFERROR(__xludf.DUMMYFUNCTION("""COMPUTED_VALUE"""),"16/01/2026")</f>
        <v>16/01/2026</v>
      </c>
      <c r="AZ1672" s="65"/>
      <c r="BA1672" s="65"/>
    </row>
    <row r="1673">
      <c r="A1673" s="65" t="str">
        <f>IFERROR(__xludf.DUMMYFUNCTION("""COMPUTED_VALUE"""),"27-03-2026")</f>
        <v>27-03-2026</v>
      </c>
      <c r="B1673" s="65">
        <f>IFERROR(__xludf.DUMMYFUNCTION("""COMPUTED_VALUE"""),4160532.0)</f>
        <v>4160532</v>
      </c>
      <c r="C1673" s="65" t="str">
        <f>IFERROR(__xludf.DUMMYFUNCTION("""COMPUTED_VALUE"""),"17:35")</f>
        <v>17:35</v>
      </c>
      <c r="D1673" s="65" t="str">
        <f>IFERROR(__xludf.DUMMYFUNCTION("""COMPUTED_VALUE"""),"15-01-2026")</f>
        <v>15-01-2026</v>
      </c>
      <c r="E1673" s="65" t="str">
        <f>IFERROR(__xludf.DUMMYFUNCTION("""COMPUTED_VALUE"""),"pedro jose zamora benavides")</f>
        <v>pedro jose zamora benavides</v>
      </c>
      <c r="F1673" s="65" t="str">
        <f>IFERROR(__xludf.DUMMYFUNCTION("""COMPUTED_VALUE"""),"998662453")</f>
        <v>998662453</v>
      </c>
      <c r="G1673" s="65" t="str">
        <f>IFERROR(__xludf.DUMMYFUNCTION("""COMPUTED_VALUE"""),"zamorapedroj03@gmail.com")</f>
        <v>zamorapedroj03@gmail.com</v>
      </c>
      <c r="H1673" s="65"/>
      <c r="I1673" s="65"/>
      <c r="J1673" s="65" t="str">
        <f>IFERROR(__xludf.DUMMYFUNCTION("""COMPUTED_VALUE"""),"D001233698")</f>
        <v>D001233698</v>
      </c>
      <c r="K1673" s="65" t="str">
        <f>IFERROR(__xludf.DUMMYFUNCTION("""COMPUTED_VALUE"""),"ENTREGADO")</f>
        <v>ENTREGADO</v>
      </c>
      <c r="L1673" s="65" t="str">
        <f>IFERROR(__xludf.DUMMYFUNCTION("""COMPUTED_VALUE"""),"CON RECAUDO")</f>
        <v>CON RECAUDO</v>
      </c>
      <c r="M1673" s="65" t="str">
        <f>IFERROR(__xludf.DUMMYFUNCTION("""COMPUTED_VALUE"""),"MANABI")</f>
        <v>MANABI</v>
      </c>
      <c r="N1673" s="65" t="str">
        <f>IFERROR(__xludf.DUMMYFUNCTION("""COMPUTED_VALUE"""),"EL CARMEN")</f>
        <v>EL CARMEN</v>
      </c>
      <c r="O1673" s="65" t="str">
        <f>IFERROR(__xludf.DUMMYFUNCTION("""COMPUTED_VALUE"""),"VIA chone, Alado de la iglesia, Parque central")</f>
        <v>VIA chone, Alado de la iglesia, Parque central</v>
      </c>
      <c r="P1673" s="65"/>
      <c r="Q1673" s="65" t="str">
        <f>IFERROR(__xludf.DUMMYFUNCTION("""COMPUTED_VALUE"""),"GINTRACOM")</f>
        <v>GINTRACOM</v>
      </c>
      <c r="R1673" s="65">
        <f>IFERROR(__xludf.DUMMYFUNCTION("""COMPUTED_VALUE"""),27.0)</f>
        <v>27</v>
      </c>
      <c r="S1673" s="65">
        <f>IFERROR(__xludf.DUMMYFUNCTION("""COMPUTED_VALUE"""),13.17)</f>
        <v>13.17</v>
      </c>
      <c r="T1673" s="65">
        <f>IFERROR(__xludf.DUMMYFUNCTION("""COMPUTED_VALUE"""),6.03)</f>
        <v>6.03</v>
      </c>
      <c r="U1673" s="65">
        <f>IFERROR(__xludf.DUMMYFUNCTION("""COMPUTED_VALUE"""),0.0)</f>
        <v>0</v>
      </c>
      <c r="V1673" s="65">
        <f>IFERROR(__xludf.DUMMYFUNCTION("""COMPUTED_VALUE"""),0.0)</f>
        <v>0</v>
      </c>
      <c r="W1673" s="65">
        <f>IFERROR(__xludf.DUMMYFUNCTION("""COMPUTED_VALUE"""),0.0)</f>
        <v>0</v>
      </c>
      <c r="X1673" s="65">
        <f>IFERROR(__xludf.DUMMYFUNCTION("""COMPUTED_VALUE"""),2.6)</f>
        <v>2.6</v>
      </c>
      <c r="Y1673" s="65">
        <f>IFERROR(__xludf.DUMMYFUNCTION("""COMPUTED_VALUE"""),7.8)</f>
        <v>7.8</v>
      </c>
      <c r="Z1673" s="65">
        <f>IFERROR(__xludf.DUMMYFUNCTION("""COMPUTED_VALUE"""),121983.0)</f>
        <v>121983</v>
      </c>
      <c r="AA1673" s="65" t="str">
        <f>IFERROR(__xludf.DUMMYFUNCTION("""COMPUTED_VALUE"""),"PROV-CHLLCF")</f>
        <v>PROV-CHLLCF</v>
      </c>
      <c r="AB1673" s="65"/>
      <c r="AC1673" s="65" t="str">
        <f>IFERROR(__xludf.DUMMYFUNCTION("""COMPUTED_VALUE"""),"CUCHILLO PARA CHEF")</f>
        <v>CUCHILLO PARA CHEF</v>
      </c>
      <c r="AD1673" s="65"/>
      <c r="AE1673" s="65">
        <f>IFERROR(__xludf.DUMMYFUNCTION("""COMPUTED_VALUE"""),3.0)</f>
        <v>3</v>
      </c>
      <c r="AF1673" s="65"/>
      <c r="AG1673" s="65"/>
      <c r="AH1673" s="65"/>
      <c r="AI1673" s="65"/>
      <c r="AJ1673" s="65"/>
      <c r="AK1673" s="65"/>
      <c r="AL1673" s="65"/>
      <c r="AM1673" s="65"/>
      <c r="AN1673" s="65" t="str">
        <f>IFERROR(__xludf.DUMMYFUNCTION("""COMPUTED_VALUE"""),"01:31")</f>
        <v>01:31</v>
      </c>
      <c r="AO1673" s="65" t="str">
        <f>IFERROR(__xludf.DUMMYFUNCTION("""COMPUTED_VALUE"""),"21-01-2026")</f>
        <v>21-01-2026</v>
      </c>
      <c r="AP1673" s="65" t="str">
        <f>IFERROR(__xludf.DUMMYFUNCTION("""COMPUTED_VALUE"""),"ENTREGADA GINTRACOM")</f>
        <v>ENTREGADA GINTRACOM</v>
      </c>
      <c r="AQ1673" s="65" t="str">
        <f>IFERROR(__xludf.DUMMYFUNCTION("""COMPUTED_VALUE"""),"ENTREGADA GINTRACOM")</f>
        <v>ENTREGADA GINTRACOM</v>
      </c>
      <c r="AR1673" s="65"/>
      <c r="AS1673" s="65"/>
      <c r="AT1673" s="65" t="str">
        <f>IFERROR(__xludf.DUMMYFUNCTION("""COMPUTED_VALUE"""),"SHOPIFY")</f>
        <v>SHOPIFY</v>
      </c>
      <c r="AU1673" s="65" t="str">
        <f>IFERROR(__xludf.DUMMYFUNCTION("""COMPUTED_VALUE"""),"IMPORTEX EC")</f>
        <v>IMPORTEX EC</v>
      </c>
      <c r="AV1673" s="65" t="str">
        <f>IFERROR(__xludf.DUMMYFUNCTION("""COMPUTED_VALUE"""),"6417419763756")</f>
        <v>6417419763756</v>
      </c>
      <c r="AW1673" s="65">
        <f>IFERROR(__xludf.DUMMYFUNCTION("""COMPUTED_VALUE"""),5270.0)</f>
        <v>5270</v>
      </c>
      <c r="AX1673" s="65"/>
      <c r="AY1673" s="65" t="str">
        <f>IFERROR(__xludf.DUMMYFUNCTION("""COMPUTED_VALUE"""),"17/01/2026")</f>
        <v>17/01/2026</v>
      </c>
      <c r="AZ1673" s="65"/>
      <c r="BA1673" s="65"/>
    </row>
    <row r="1674">
      <c r="A1674" s="65" t="str">
        <f>IFERROR(__xludf.DUMMYFUNCTION("""COMPUTED_VALUE"""),"27-03-2026")</f>
        <v>27-03-2026</v>
      </c>
      <c r="B1674" s="65">
        <f>IFERROR(__xludf.DUMMYFUNCTION("""COMPUTED_VALUE"""),4160037.0)</f>
        <v>4160037</v>
      </c>
      <c r="C1674" s="65" t="str">
        <f>IFERROR(__xludf.DUMMYFUNCTION("""COMPUTED_VALUE"""),"16:54")</f>
        <v>16:54</v>
      </c>
      <c r="D1674" s="65" t="str">
        <f>IFERROR(__xludf.DUMMYFUNCTION("""COMPUTED_VALUE"""),"15-01-2026")</f>
        <v>15-01-2026</v>
      </c>
      <c r="E1674" s="65" t="str">
        <f>IFERROR(__xludf.DUMMYFUNCTION("""COMPUTED_VALUE"""),"Stalin anibal Montes quiñonez")</f>
        <v>Stalin anibal Montes quiñonez</v>
      </c>
      <c r="F1674" s="65" t="str">
        <f>IFERROR(__xludf.DUMMYFUNCTION("""COMPUTED_VALUE"""),"993386426")</f>
        <v>993386426</v>
      </c>
      <c r="G1674" s="65" t="str">
        <f>IFERROR(__xludf.DUMMYFUNCTION("""COMPUTED_VALUE"""),"stalin23montez@gmail.com")</f>
        <v>stalin23montez@gmail.com</v>
      </c>
      <c r="H1674" s="65"/>
      <c r="I1674" s="65"/>
      <c r="J1674" s="65" t="str">
        <f>IFERROR(__xludf.DUMMYFUNCTION("""COMPUTED_VALUE"""),"186487427")</f>
        <v>186487427</v>
      </c>
      <c r="K1674" s="65" t="str">
        <f>IFERROR(__xludf.DUMMYFUNCTION("""COMPUTED_VALUE"""),"DEVOLUCION")</f>
        <v>DEVOLUCION</v>
      </c>
      <c r="L1674" s="65" t="str">
        <f>IFERROR(__xludf.DUMMYFUNCTION("""COMPUTED_VALUE"""),"CON RECAUDO")</f>
        <v>CON RECAUDO</v>
      </c>
      <c r="M1674" s="65" t="str">
        <f>IFERROR(__xludf.DUMMYFUNCTION("""COMPUTED_VALUE"""),"GUAYAS")</f>
        <v>GUAYAS</v>
      </c>
      <c r="N1674" s="65" t="str">
        <f>IFERROR(__xludf.DUMMYFUNCTION("""COMPUTED_VALUE"""),"LORENZO DE GARAICOA")</f>
        <v>LORENZO DE GARAICOA</v>
      </c>
      <c r="O1674" s="65" t="str">
        <f>IFERROR(__xludf.DUMMYFUNCTION("""COMPUTED_VALUE"""),"Calle principal Frente a la iglesia central - Frente de la iglesia central de la parroquia Lorenzo de Graco")</f>
        <v>Calle principal Frente a la iglesia central - Frente de la iglesia central de la parroquia Lorenzo de Graco</v>
      </c>
      <c r="P1674" s="65"/>
      <c r="Q1674" s="65" t="str">
        <f>IFERROR(__xludf.DUMMYFUNCTION("""COMPUTED_VALUE"""),"SERVIENTREGA")</f>
        <v>SERVIENTREGA</v>
      </c>
      <c r="R1674" s="65">
        <f>IFERROR(__xludf.DUMMYFUNCTION("""COMPUTED_VALUE"""),25.0)</f>
        <v>25</v>
      </c>
      <c r="S1674" s="65"/>
      <c r="T1674" s="65">
        <f>IFERROR(__xludf.DUMMYFUNCTION("""COMPUTED_VALUE"""),7.75)</f>
        <v>7.75</v>
      </c>
      <c r="U1674" s="65">
        <f>IFERROR(__xludf.DUMMYFUNCTION("""COMPUTED_VALUE"""),0.0)</f>
        <v>0</v>
      </c>
      <c r="V1674" s="65">
        <f>IFERROR(__xludf.DUMMYFUNCTION("""COMPUTED_VALUE"""),0.0)</f>
        <v>0</v>
      </c>
      <c r="W1674" s="65">
        <f>IFERROR(__xludf.DUMMYFUNCTION("""COMPUTED_VALUE"""),0.0)</f>
        <v>0</v>
      </c>
      <c r="X1674" s="65">
        <f>IFERROR(__xludf.DUMMYFUNCTION("""COMPUTED_VALUE"""),2.35)</f>
        <v>2.35</v>
      </c>
      <c r="Y1674" s="65">
        <f>IFERROR(__xludf.DUMMYFUNCTION("""COMPUTED_VALUE"""),4.7)</f>
        <v>4.7</v>
      </c>
      <c r="Z1674" s="65">
        <f>IFERROR(__xludf.DUMMYFUNCTION("""COMPUTED_VALUE"""),116679.0)</f>
        <v>116679</v>
      </c>
      <c r="AA1674" s="65" t="str">
        <f>IFERROR(__xludf.DUMMYFUNCTION("""COMPUTED_VALUE"""),"AMC-2738")</f>
        <v>AMC-2738</v>
      </c>
      <c r="AB1674" s="65"/>
      <c r="AC1674" s="65" t="str">
        <f>IFERROR(__xludf.DUMMYFUNCTION("""COMPUTED_VALUE"""),"ESPONJA ANTILLUVIA DE PARABRISAS")</f>
        <v>ESPONJA ANTILLUVIA DE PARABRISAS</v>
      </c>
      <c r="AD1674" s="65"/>
      <c r="AE1674" s="65">
        <f>IFERROR(__xludf.DUMMYFUNCTION("""COMPUTED_VALUE"""),2.0)</f>
        <v>2</v>
      </c>
      <c r="AF1674" s="65" t="str">
        <f>IFERROR(__xludf.DUMMYFUNCTION("""COMPUTED_VALUE"""),"DEVOLUCION AL REMITENTE")</f>
        <v>DEVOLUCION AL REMITENTE</v>
      </c>
      <c r="AG1674" s="65" t="str">
        <f>IFERROR(__xludf.DUMMYFUNCTION("""COMPUTED_VALUE"""),"NO")</f>
        <v>NO</v>
      </c>
      <c r="AH1674" s="65" t="str">
        <f>IFERROR(__xludf.DUMMYFUNCTION("""COMPUTED_VALUE"""),"23:10")</f>
        <v>23:10</v>
      </c>
      <c r="AI1674" s="65" t="str">
        <f>IFERROR(__xludf.DUMMYFUNCTION("""COMPUTED_VALUE"""),"02-02-2026")</f>
        <v>02-02-2026</v>
      </c>
      <c r="AJ1674" s="65"/>
      <c r="AK1674" s="65"/>
      <c r="AL1674" s="65"/>
      <c r="AM1674" s="65"/>
      <c r="AN1674" s="65" t="str">
        <f>IFERROR(__xludf.DUMMYFUNCTION("""COMPUTED_VALUE"""),"23:11")</f>
        <v>23:11</v>
      </c>
      <c r="AO1674" s="65" t="str">
        <f>IFERROR(__xludf.DUMMYFUNCTION("""COMPUTED_VALUE"""),"02-02-2026")</f>
        <v>02-02-2026</v>
      </c>
      <c r="AP1674" s="65" t="str">
        <f>IFERROR(__xludf.DUMMYFUNCTION("""COMPUTED_VALUE"""),"DEVOLUCION AL REMITENTE")</f>
        <v>DEVOLUCION AL REMITENTE</v>
      </c>
      <c r="AQ1674" s="65" t="str">
        <f>IFERROR(__xludf.DUMMYFUNCTION("""COMPUTED_VALUE"""),"ANDY CALERO")</f>
        <v>ANDY CALERO</v>
      </c>
      <c r="AR1674" s="65"/>
      <c r="AS1674" s="65"/>
      <c r="AT1674" s="65" t="str">
        <f>IFERROR(__xludf.DUMMYFUNCTION("""COMPUTED_VALUE"""),"SHOPIFY")</f>
        <v>SHOPIFY</v>
      </c>
      <c r="AU1674" s="65" t="str">
        <f>IFERROR(__xludf.DUMMYFUNCTION("""COMPUTED_VALUE"""),"IMPORTEX EC")</f>
        <v>IMPORTEX EC</v>
      </c>
      <c r="AV1674" s="65" t="str">
        <f>IFERROR(__xludf.DUMMYFUNCTION("""COMPUTED_VALUE"""),"6417337647148")</f>
        <v>6417337647148</v>
      </c>
      <c r="AW1674" s="65">
        <f>IFERROR(__xludf.DUMMYFUNCTION("""COMPUTED_VALUE"""),5269.0)</f>
        <v>5269</v>
      </c>
      <c r="AX1674" s="65"/>
      <c r="AY1674" s="65" t="str">
        <f>IFERROR(__xludf.DUMMYFUNCTION("""COMPUTED_VALUE"""),"17/01/2026")</f>
        <v>17/01/2026</v>
      </c>
      <c r="AZ1674" s="65"/>
      <c r="BA1674" s="65"/>
    </row>
    <row r="1675">
      <c r="A1675" s="65" t="str">
        <f>IFERROR(__xludf.DUMMYFUNCTION("""COMPUTED_VALUE"""),"27-03-2026")</f>
        <v>27-03-2026</v>
      </c>
      <c r="B1675" s="65">
        <f>IFERROR(__xludf.DUMMYFUNCTION("""COMPUTED_VALUE"""),4159503.0)</f>
        <v>4159503</v>
      </c>
      <c r="C1675" s="65" t="str">
        <f>IFERROR(__xludf.DUMMYFUNCTION("""COMPUTED_VALUE"""),"15:40")</f>
        <v>15:40</v>
      </c>
      <c r="D1675" s="65" t="str">
        <f>IFERROR(__xludf.DUMMYFUNCTION("""COMPUTED_VALUE"""),"15-01-2026")</f>
        <v>15-01-2026</v>
      </c>
      <c r="E1675" s="65" t="str">
        <f>IFERROR(__xludf.DUMMYFUNCTION("""COMPUTED_VALUE"""),"Carlos Carpio")</f>
        <v>Carlos Carpio</v>
      </c>
      <c r="F1675" s="65" t="str">
        <f>IFERROR(__xludf.DUMMYFUNCTION("""COMPUTED_VALUE"""),"997262886")</f>
        <v>997262886</v>
      </c>
      <c r="G1675" s="65" t="str">
        <f>IFERROR(__xludf.DUMMYFUNCTION("""COMPUTED_VALUE"""),"adanelly79@hotmail.com")</f>
        <v>adanelly79@hotmail.com</v>
      </c>
      <c r="H1675" s="65"/>
      <c r="I1675" s="65"/>
      <c r="J1675" s="65" t="str">
        <f>IFERROR(__xludf.DUMMYFUNCTION("""COMPUTED_VALUE"""),"D001234345")</f>
        <v>D001234345</v>
      </c>
      <c r="K1675" s="65" t="str">
        <f>IFERROR(__xludf.DUMMYFUNCTION("""COMPUTED_VALUE"""),"ENTREGADO")</f>
        <v>ENTREGADO</v>
      </c>
      <c r="L1675" s="65" t="str">
        <f>IFERROR(__xludf.DUMMYFUNCTION("""COMPUTED_VALUE"""),"CON RECAUDO")</f>
        <v>CON RECAUDO</v>
      </c>
      <c r="M1675" s="65" t="str">
        <f>IFERROR(__xludf.DUMMYFUNCTION("""COMPUTED_VALUE"""),"GUAYAS")</f>
        <v>GUAYAS</v>
      </c>
      <c r="N1675" s="65" t="str">
        <f>IFERROR(__xludf.DUMMYFUNCTION("""COMPUTED_VALUE"""),"GUAYAQUIL")</f>
        <v>GUAYAQUIL</v>
      </c>
      <c r="O1675" s="65" t="str">
        <f>IFERROR(__xludf.DUMMYFUNCTION("""COMPUTED_VALUE"""),"2A PJE 25 NO MZ 1059 - 36 Urdenor 2 -")</f>
        <v>2A PJE 25 NO MZ 1059 - 36 Urdenor 2 -</v>
      </c>
      <c r="P1675" s="65"/>
      <c r="Q1675" s="65" t="str">
        <f>IFERROR(__xludf.DUMMYFUNCTION("""COMPUTED_VALUE"""),"GINTRACOM")</f>
        <v>GINTRACOM</v>
      </c>
      <c r="R1675" s="65">
        <f>IFERROR(__xludf.DUMMYFUNCTION("""COMPUTED_VALUE"""),30.0)</f>
        <v>30</v>
      </c>
      <c r="S1675" s="65">
        <f>IFERROR(__xludf.DUMMYFUNCTION("""COMPUTED_VALUE"""),16.79)</f>
        <v>16.79</v>
      </c>
      <c r="T1675" s="65">
        <f>IFERROR(__xludf.DUMMYFUNCTION("""COMPUTED_VALUE"""),6.16)</f>
        <v>6.16</v>
      </c>
      <c r="U1675" s="65">
        <f>IFERROR(__xludf.DUMMYFUNCTION("""COMPUTED_VALUE"""),0.0)</f>
        <v>0</v>
      </c>
      <c r="V1675" s="65">
        <f>IFERROR(__xludf.DUMMYFUNCTION("""COMPUTED_VALUE"""),0.0)</f>
        <v>0</v>
      </c>
      <c r="W1675" s="65">
        <f>IFERROR(__xludf.DUMMYFUNCTION("""COMPUTED_VALUE"""),0.0)</f>
        <v>0</v>
      </c>
      <c r="X1675" s="65">
        <f>IFERROR(__xludf.DUMMYFUNCTION("""COMPUTED_VALUE"""),2.35)</f>
        <v>2.35</v>
      </c>
      <c r="Y1675" s="65">
        <f>IFERROR(__xludf.DUMMYFUNCTION("""COMPUTED_VALUE"""),7.05)</f>
        <v>7.05</v>
      </c>
      <c r="Z1675" s="65">
        <f>IFERROR(__xludf.DUMMYFUNCTION("""COMPUTED_VALUE"""),116679.0)</f>
        <v>116679</v>
      </c>
      <c r="AA1675" s="65" t="str">
        <f>IFERROR(__xludf.DUMMYFUNCTION("""COMPUTED_VALUE"""),"AMC-2738")</f>
        <v>AMC-2738</v>
      </c>
      <c r="AB1675" s="65"/>
      <c r="AC1675" s="65" t="str">
        <f>IFERROR(__xludf.DUMMYFUNCTION("""COMPUTED_VALUE"""),"ESPONJA ANTILLUVIA DE PARABRISAS")</f>
        <v>ESPONJA ANTILLUVIA DE PARABRISAS</v>
      </c>
      <c r="AD1675" s="65"/>
      <c r="AE1675" s="65">
        <f>IFERROR(__xludf.DUMMYFUNCTION("""COMPUTED_VALUE"""),3.0)</f>
        <v>3</v>
      </c>
      <c r="AF1675" s="65"/>
      <c r="AG1675" s="65"/>
      <c r="AH1675" s="65"/>
      <c r="AI1675" s="65"/>
      <c r="AJ1675" s="65"/>
      <c r="AK1675" s="65"/>
      <c r="AL1675" s="65"/>
      <c r="AM1675" s="65"/>
      <c r="AN1675" s="65" t="str">
        <f>IFERROR(__xludf.DUMMYFUNCTION("""COMPUTED_VALUE"""),"11:21")</f>
        <v>11:21</v>
      </c>
      <c r="AO1675" s="65" t="str">
        <f>IFERROR(__xludf.DUMMYFUNCTION("""COMPUTED_VALUE"""),"21-01-2026")</f>
        <v>21-01-2026</v>
      </c>
      <c r="AP1675" s="65" t="str">
        <f>IFERROR(__xludf.DUMMYFUNCTION("""COMPUTED_VALUE"""),"ENTREGADA GINTRACOM")</f>
        <v>ENTREGADA GINTRACOM</v>
      </c>
      <c r="AQ1675" s="65" t="str">
        <f>IFERROR(__xludf.DUMMYFUNCTION("""COMPUTED_VALUE"""),"ENTREGADA GINTRACOM")</f>
        <v>ENTREGADA GINTRACOM</v>
      </c>
      <c r="AR1675" s="65"/>
      <c r="AS1675" s="65"/>
      <c r="AT1675" s="65" t="str">
        <f>IFERROR(__xludf.DUMMYFUNCTION("""COMPUTED_VALUE"""),"SHOPIFY")</f>
        <v>SHOPIFY</v>
      </c>
      <c r="AU1675" s="65" t="str">
        <f>IFERROR(__xludf.DUMMYFUNCTION("""COMPUTED_VALUE"""),"IMPORTEX EC")</f>
        <v>IMPORTEX EC</v>
      </c>
      <c r="AV1675" s="65" t="str">
        <f>IFERROR(__xludf.DUMMYFUNCTION("""COMPUTED_VALUE"""),"6417179213868")</f>
        <v>6417179213868</v>
      </c>
      <c r="AW1675" s="65">
        <f>IFERROR(__xludf.DUMMYFUNCTION("""COMPUTED_VALUE"""),5268.0)</f>
        <v>5268</v>
      </c>
      <c r="AX1675" s="65"/>
      <c r="AY1675" s="65" t="str">
        <f>IFERROR(__xludf.DUMMYFUNCTION("""COMPUTED_VALUE"""),"17/01/2026")</f>
        <v>17/01/2026</v>
      </c>
      <c r="AZ1675" s="65"/>
      <c r="BA1675" s="65"/>
    </row>
    <row r="1676">
      <c r="A1676" s="65" t="str">
        <f>IFERROR(__xludf.DUMMYFUNCTION("""COMPUTED_VALUE"""),"27-03-2026")</f>
        <v>27-03-2026</v>
      </c>
      <c r="B1676" s="65">
        <f>IFERROR(__xludf.DUMMYFUNCTION("""COMPUTED_VALUE"""),4159242.0)</f>
        <v>4159242</v>
      </c>
      <c r="C1676" s="65" t="str">
        <f>IFERROR(__xludf.DUMMYFUNCTION("""COMPUTED_VALUE"""),"15:16")</f>
        <v>15:16</v>
      </c>
      <c r="D1676" s="65" t="str">
        <f>IFERROR(__xludf.DUMMYFUNCTION("""COMPUTED_VALUE"""),"15-01-2026")</f>
        <v>15-01-2026</v>
      </c>
      <c r="E1676" s="65" t="str">
        <f>IFERROR(__xludf.DUMMYFUNCTION("""COMPUTED_VALUE"""),"Tatiana Huerta")</f>
        <v>Tatiana Huerta</v>
      </c>
      <c r="F1676" s="65" t="str">
        <f>IFERROR(__xludf.DUMMYFUNCTION("""COMPUTED_VALUE"""),"985762505")</f>
        <v>985762505</v>
      </c>
      <c r="G1676" s="65" t="str">
        <f>IFERROR(__xludf.DUMMYFUNCTION("""COMPUTED_VALUE"""),"tatis14-099@hotmail.com")</f>
        <v>tatis14-099@hotmail.com</v>
      </c>
      <c r="H1676" s="65"/>
      <c r="I1676" s="65"/>
      <c r="J1676" s="65" t="str">
        <f>IFERROR(__xludf.DUMMYFUNCTION("""COMPUTED_VALUE"""),"D001234346")</f>
        <v>D001234346</v>
      </c>
      <c r="K1676" s="65" t="str">
        <f>IFERROR(__xludf.DUMMYFUNCTION("""COMPUTED_VALUE"""),"ENTREGADO")</f>
        <v>ENTREGADO</v>
      </c>
      <c r="L1676" s="65" t="str">
        <f>IFERROR(__xludf.DUMMYFUNCTION("""COMPUTED_VALUE"""),"CON RECAUDO")</f>
        <v>CON RECAUDO</v>
      </c>
      <c r="M1676" s="65" t="str">
        <f>IFERROR(__xludf.DUMMYFUNCTION("""COMPUTED_VALUE"""),"GUAYAS")</f>
        <v>GUAYAS</v>
      </c>
      <c r="N1676" s="65" t="str">
        <f>IFERROR(__xludf.DUMMYFUNCTION("""COMPUTED_VALUE"""),"GUAYAQUIL")</f>
        <v>GUAYAQUIL</v>
      </c>
      <c r="O1676" s="65" t="str">
        <f>IFERROR(__xludf.DUMMYFUNCTION("""COMPUTED_VALUE"""),"Vía Daule km 10 Imánconsa y Av 42 Pechiches, km 10 y medio, detrás de Shoppin de Daule, bodegas de Arca Continental Coca-Cola, por Papelesa.")</f>
        <v>Vía Daule km 10 Imánconsa y Av 42 Pechiches, km 10 y medio, detrás de Shoppin de Daule, bodegas de Arca Continental Coca-Cola, por Papelesa.</v>
      </c>
      <c r="P1676" s="65"/>
      <c r="Q1676" s="65" t="str">
        <f>IFERROR(__xludf.DUMMYFUNCTION("""COMPUTED_VALUE"""),"GINTRACOM")</f>
        <v>GINTRACOM</v>
      </c>
      <c r="R1676" s="65">
        <f>IFERROR(__xludf.DUMMYFUNCTION("""COMPUTED_VALUE"""),30.0)</f>
        <v>30</v>
      </c>
      <c r="S1676" s="65">
        <f>IFERROR(__xludf.DUMMYFUNCTION("""COMPUTED_VALUE"""),16.79)</f>
        <v>16.79</v>
      </c>
      <c r="T1676" s="65">
        <f>IFERROR(__xludf.DUMMYFUNCTION("""COMPUTED_VALUE"""),6.16)</f>
        <v>6.16</v>
      </c>
      <c r="U1676" s="65">
        <f>IFERROR(__xludf.DUMMYFUNCTION("""COMPUTED_VALUE"""),0.0)</f>
        <v>0</v>
      </c>
      <c r="V1676" s="65">
        <f>IFERROR(__xludf.DUMMYFUNCTION("""COMPUTED_VALUE"""),0.0)</f>
        <v>0</v>
      </c>
      <c r="W1676" s="65">
        <f>IFERROR(__xludf.DUMMYFUNCTION("""COMPUTED_VALUE"""),0.0)</f>
        <v>0</v>
      </c>
      <c r="X1676" s="65">
        <f>IFERROR(__xludf.DUMMYFUNCTION("""COMPUTED_VALUE"""),2.35)</f>
        <v>2.35</v>
      </c>
      <c r="Y1676" s="65">
        <f>IFERROR(__xludf.DUMMYFUNCTION("""COMPUTED_VALUE"""),7.05)</f>
        <v>7.05</v>
      </c>
      <c r="Z1676" s="65">
        <f>IFERROR(__xludf.DUMMYFUNCTION("""COMPUTED_VALUE"""),116679.0)</f>
        <v>116679</v>
      </c>
      <c r="AA1676" s="65" t="str">
        <f>IFERROR(__xludf.DUMMYFUNCTION("""COMPUTED_VALUE"""),"AMC-2738")</f>
        <v>AMC-2738</v>
      </c>
      <c r="AB1676" s="65"/>
      <c r="AC1676" s="65" t="str">
        <f>IFERROR(__xludf.DUMMYFUNCTION("""COMPUTED_VALUE"""),"ESPONJA ANTILLUVIA DE PARABRISAS")</f>
        <v>ESPONJA ANTILLUVIA DE PARABRISAS</v>
      </c>
      <c r="AD1676" s="65"/>
      <c r="AE1676" s="65">
        <f>IFERROR(__xludf.DUMMYFUNCTION("""COMPUTED_VALUE"""),3.0)</f>
        <v>3</v>
      </c>
      <c r="AF1676" s="65"/>
      <c r="AG1676" s="65"/>
      <c r="AH1676" s="65"/>
      <c r="AI1676" s="65"/>
      <c r="AJ1676" s="65"/>
      <c r="AK1676" s="65"/>
      <c r="AL1676" s="65"/>
      <c r="AM1676" s="65"/>
      <c r="AN1676" s="65" t="str">
        <f>IFERROR(__xludf.DUMMYFUNCTION("""COMPUTED_VALUE"""),"12:13")</f>
        <v>12:13</v>
      </c>
      <c r="AO1676" s="65" t="str">
        <f>IFERROR(__xludf.DUMMYFUNCTION("""COMPUTED_VALUE"""),"21-01-2026")</f>
        <v>21-01-2026</v>
      </c>
      <c r="AP1676" s="65" t="str">
        <f>IFERROR(__xludf.DUMMYFUNCTION("""COMPUTED_VALUE"""),"ENTREGADA GINTRACOM")</f>
        <v>ENTREGADA GINTRACOM</v>
      </c>
      <c r="AQ1676" s="65" t="str">
        <f>IFERROR(__xludf.DUMMYFUNCTION("""COMPUTED_VALUE"""),"ENTREGADA GINTRACOM")</f>
        <v>ENTREGADA GINTRACOM</v>
      </c>
      <c r="AR1676" s="65"/>
      <c r="AS1676" s="65"/>
      <c r="AT1676" s="65" t="str">
        <f>IFERROR(__xludf.DUMMYFUNCTION("""COMPUTED_VALUE"""),"SHOPIFY")</f>
        <v>SHOPIFY</v>
      </c>
      <c r="AU1676" s="65" t="str">
        <f>IFERROR(__xludf.DUMMYFUNCTION("""COMPUTED_VALUE"""),"IMPORTEX EC")</f>
        <v>IMPORTEX EC</v>
      </c>
      <c r="AV1676" s="65" t="str">
        <f>IFERROR(__xludf.DUMMYFUNCTION("""COMPUTED_VALUE"""),"6417124884524")</f>
        <v>6417124884524</v>
      </c>
      <c r="AW1676" s="65">
        <f>IFERROR(__xludf.DUMMYFUNCTION("""COMPUTED_VALUE"""),5267.0)</f>
        <v>5267</v>
      </c>
      <c r="AX1676" s="65"/>
      <c r="AY1676" s="65" t="str">
        <f>IFERROR(__xludf.DUMMYFUNCTION("""COMPUTED_VALUE"""),"17/01/2026")</f>
        <v>17/01/2026</v>
      </c>
      <c r="AZ1676" s="65"/>
      <c r="BA1676" s="65"/>
    </row>
    <row r="1677">
      <c r="A1677" s="65" t="str">
        <f>IFERROR(__xludf.DUMMYFUNCTION("""COMPUTED_VALUE"""),"27-03-2026")</f>
        <v>27-03-2026</v>
      </c>
      <c r="B1677" s="65">
        <f>IFERROR(__xludf.DUMMYFUNCTION("""COMPUTED_VALUE"""),4159015.0)</f>
        <v>4159015</v>
      </c>
      <c r="C1677" s="65" t="str">
        <f>IFERROR(__xludf.DUMMYFUNCTION("""COMPUTED_VALUE"""),"14:54")</f>
        <v>14:54</v>
      </c>
      <c r="D1677" s="65" t="str">
        <f>IFERROR(__xludf.DUMMYFUNCTION("""COMPUTED_VALUE"""),"15-01-2026")</f>
        <v>15-01-2026</v>
      </c>
      <c r="E1677" s="65" t="str">
        <f>IFERROR(__xludf.DUMMYFUNCTION("""COMPUTED_VALUE"""),"Jhoan Miramag")</f>
        <v>Jhoan Miramag</v>
      </c>
      <c r="F1677" s="65" t="str">
        <f>IFERROR(__xludf.DUMMYFUNCTION("""COMPUTED_VALUE"""),"993214920")</f>
        <v>993214920</v>
      </c>
      <c r="G1677" s="65" t="str">
        <f>IFERROR(__xludf.DUMMYFUNCTION("""COMPUTED_VALUE"""),"edisonpinchao60@gmail.com")</f>
        <v>edisonpinchao60@gmail.com</v>
      </c>
      <c r="H1677" s="65"/>
      <c r="I1677" s="65"/>
      <c r="J1677" s="65" t="str">
        <f>IFERROR(__xludf.DUMMYFUNCTION("""COMPUTED_VALUE"""),"186487428")</f>
        <v>186487428</v>
      </c>
      <c r="K1677" s="65" t="str">
        <f>IFERROR(__xludf.DUMMYFUNCTION("""COMPUTED_VALUE"""),"DEVOLUCION")</f>
        <v>DEVOLUCION</v>
      </c>
      <c r="L1677" s="65" t="str">
        <f>IFERROR(__xludf.DUMMYFUNCTION("""COMPUTED_VALUE"""),"CON RECAUDO")</f>
        <v>CON RECAUDO</v>
      </c>
      <c r="M1677" s="65" t="str">
        <f>IFERROR(__xludf.DUMMYFUNCTION("""COMPUTED_VALUE"""),"CARCHI")</f>
        <v>CARCHI</v>
      </c>
      <c r="N1677" s="65" t="str">
        <f>IFERROR(__xludf.DUMMYFUNCTION("""COMPUTED_VALUE"""),"SAN GABRIEL")</f>
        <v>SAN GABRIEL</v>
      </c>
      <c r="O1677" s="65" t="str">
        <f>IFERROR(__xludf.DUMMYFUNCTION("""COMPUTED_VALUE"""),"Calle gonsales suares Barrio san ta rosa -")</f>
        <v>Calle gonsales suares Barrio san ta rosa -</v>
      </c>
      <c r="P1677" s="65"/>
      <c r="Q1677" s="65" t="str">
        <f>IFERROR(__xludf.DUMMYFUNCTION("""COMPUTED_VALUE"""),"SERVIENTREGA")</f>
        <v>SERVIENTREGA</v>
      </c>
      <c r="R1677" s="65">
        <f>IFERROR(__xludf.DUMMYFUNCTION("""COMPUTED_VALUE"""),20.0)</f>
        <v>20</v>
      </c>
      <c r="S1677" s="65"/>
      <c r="T1677" s="65">
        <f>IFERROR(__xludf.DUMMYFUNCTION("""COMPUTED_VALUE"""),7.67)</f>
        <v>7.67</v>
      </c>
      <c r="U1677" s="65">
        <f>IFERROR(__xludf.DUMMYFUNCTION("""COMPUTED_VALUE"""),0.0)</f>
        <v>0</v>
      </c>
      <c r="V1677" s="65">
        <f>IFERROR(__xludf.DUMMYFUNCTION("""COMPUTED_VALUE"""),0.0)</f>
        <v>0</v>
      </c>
      <c r="W1677" s="65">
        <f>IFERROR(__xludf.DUMMYFUNCTION("""COMPUTED_VALUE"""),0.0)</f>
        <v>0</v>
      </c>
      <c r="X1677" s="65">
        <f>IFERROR(__xludf.DUMMYFUNCTION("""COMPUTED_VALUE"""),2.35)</f>
        <v>2.35</v>
      </c>
      <c r="Y1677" s="65">
        <f>IFERROR(__xludf.DUMMYFUNCTION("""COMPUTED_VALUE"""),2.35)</f>
        <v>2.35</v>
      </c>
      <c r="Z1677" s="65">
        <f>IFERROR(__xludf.DUMMYFUNCTION("""COMPUTED_VALUE"""),116679.0)</f>
        <v>116679</v>
      </c>
      <c r="AA1677" s="65" t="str">
        <f>IFERROR(__xludf.DUMMYFUNCTION("""COMPUTED_VALUE"""),"AMC-2738")</f>
        <v>AMC-2738</v>
      </c>
      <c r="AB1677" s="65"/>
      <c r="AC1677" s="65" t="str">
        <f>IFERROR(__xludf.DUMMYFUNCTION("""COMPUTED_VALUE"""),"ESPONJA ANTILLUVIA DE PARABRISAS")</f>
        <v>ESPONJA ANTILLUVIA DE PARABRISAS</v>
      </c>
      <c r="AD1677" s="65"/>
      <c r="AE1677" s="65">
        <f>IFERROR(__xludf.DUMMYFUNCTION("""COMPUTED_VALUE"""),1.0)</f>
        <v>1</v>
      </c>
      <c r="AF1677" s="65" t="str">
        <f>IFERROR(__xludf.DUMMYFUNCTION("""COMPUTED_VALUE"""),"DEVOLUCION AL REMITENTE")</f>
        <v>DEVOLUCION AL REMITENTE</v>
      </c>
      <c r="AG1677" s="65" t="str">
        <f>IFERROR(__xludf.DUMMYFUNCTION("""COMPUTED_VALUE"""),"NO")</f>
        <v>NO</v>
      </c>
      <c r="AH1677" s="65" t="str">
        <f>IFERROR(__xludf.DUMMYFUNCTION("""COMPUTED_VALUE"""),"22:49")</f>
        <v>22:49</v>
      </c>
      <c r="AI1677" s="65" t="str">
        <f>IFERROR(__xludf.DUMMYFUNCTION("""COMPUTED_VALUE"""),"02-02-2026")</f>
        <v>02-02-2026</v>
      </c>
      <c r="AJ1677" s="65"/>
      <c r="AK1677" s="65"/>
      <c r="AL1677" s="65"/>
      <c r="AM1677" s="65"/>
      <c r="AN1677" s="65" t="str">
        <f>IFERROR(__xludf.DUMMYFUNCTION("""COMPUTED_VALUE"""),"22:51")</f>
        <v>22:51</v>
      </c>
      <c r="AO1677" s="65" t="str">
        <f>IFERROR(__xludf.DUMMYFUNCTION("""COMPUTED_VALUE"""),"02-02-2026")</f>
        <v>02-02-2026</v>
      </c>
      <c r="AP1677" s="65" t="str">
        <f>IFERROR(__xludf.DUMMYFUNCTION("""COMPUTED_VALUE"""),"DEVOLUCION AL REMITENTE")</f>
        <v>DEVOLUCION AL REMITENTE</v>
      </c>
      <c r="AQ1677" s="65" t="str">
        <f>IFERROR(__xludf.DUMMYFUNCTION("""COMPUTED_VALUE"""),"ANDY CALERO")</f>
        <v>ANDY CALERO</v>
      </c>
      <c r="AR1677" s="65"/>
      <c r="AS1677" s="65"/>
      <c r="AT1677" s="65" t="str">
        <f>IFERROR(__xludf.DUMMYFUNCTION("""COMPUTED_VALUE"""),"SHOPIFY")</f>
        <v>SHOPIFY</v>
      </c>
      <c r="AU1677" s="65" t="str">
        <f>IFERROR(__xludf.DUMMYFUNCTION("""COMPUTED_VALUE"""),"IMPORTEX EC")</f>
        <v>IMPORTEX EC</v>
      </c>
      <c r="AV1677" s="65" t="str">
        <f>IFERROR(__xludf.DUMMYFUNCTION("""COMPUTED_VALUE"""),"6417083170860")</f>
        <v>6417083170860</v>
      </c>
      <c r="AW1677" s="65">
        <f>IFERROR(__xludf.DUMMYFUNCTION("""COMPUTED_VALUE"""),5266.0)</f>
        <v>5266</v>
      </c>
      <c r="AX1677" s="65"/>
      <c r="AY1677" s="65" t="str">
        <f>IFERROR(__xludf.DUMMYFUNCTION("""COMPUTED_VALUE"""),"17/01/2026")</f>
        <v>17/01/2026</v>
      </c>
      <c r="AZ1677" s="65"/>
      <c r="BA1677" s="65"/>
    </row>
    <row r="1678">
      <c r="A1678" s="65" t="str">
        <f>IFERROR(__xludf.DUMMYFUNCTION("""COMPUTED_VALUE"""),"27-03-2026")</f>
        <v>27-03-2026</v>
      </c>
      <c r="B1678" s="65">
        <f>IFERROR(__xludf.DUMMYFUNCTION("""COMPUTED_VALUE"""),4158920.0)</f>
        <v>4158920</v>
      </c>
      <c r="C1678" s="65" t="str">
        <f>IFERROR(__xludf.DUMMYFUNCTION("""COMPUTED_VALUE"""),"14:46")</f>
        <v>14:46</v>
      </c>
      <c r="D1678" s="65" t="str">
        <f>IFERROR(__xludf.DUMMYFUNCTION("""COMPUTED_VALUE"""),"15-01-2026")</f>
        <v>15-01-2026</v>
      </c>
      <c r="E1678" s="65" t="str">
        <f>IFERROR(__xludf.DUMMYFUNCTION("""COMPUTED_VALUE"""),"Carlos Duque")</f>
        <v>Carlos Duque</v>
      </c>
      <c r="F1678" s="65" t="str">
        <f>IFERROR(__xludf.DUMMYFUNCTION("""COMPUTED_VALUE"""),"997631022")</f>
        <v>997631022</v>
      </c>
      <c r="G1678" s="65" t="str">
        <f>IFERROR(__xludf.DUMMYFUNCTION("""COMPUTED_VALUE"""),"carlosduque152@gmail.com")</f>
        <v>carlosduque152@gmail.com</v>
      </c>
      <c r="H1678" s="65"/>
      <c r="I1678" s="65"/>
      <c r="J1678" s="65" t="str">
        <f>IFERROR(__xludf.DUMMYFUNCTION("""COMPUTED_VALUE"""),"D001233702")</f>
        <v>D001233702</v>
      </c>
      <c r="K1678" s="65" t="str">
        <f>IFERROR(__xludf.DUMMYFUNCTION("""COMPUTED_VALUE"""),"DEVOLUCION")</f>
        <v>DEVOLUCION</v>
      </c>
      <c r="L1678" s="65" t="str">
        <f>IFERROR(__xludf.DUMMYFUNCTION("""COMPUTED_VALUE"""),"CON RECAUDO")</f>
        <v>CON RECAUDO</v>
      </c>
      <c r="M1678" s="65" t="str">
        <f>IFERROR(__xludf.DUMMYFUNCTION("""COMPUTED_VALUE"""),"AZUAY")</f>
        <v>AZUAY</v>
      </c>
      <c r="N1678" s="65" t="str">
        <f>IFERROR(__xludf.DUMMYFUNCTION("""COMPUTED_VALUE"""),"CUENCA")</f>
        <v>CUENCA</v>
      </c>
      <c r="O1678" s="65" t="str">
        <f>IFERROR(__xludf.DUMMYFUNCTION("""COMPUTED_VALUE"""),"Via Turi Tarqui, Sector colegio Turi, a 2 cuadras del UPC")</f>
        <v>Via Turi Tarqui, Sector colegio Turi, a 2 cuadras del UPC</v>
      </c>
      <c r="P1678" s="65"/>
      <c r="Q1678" s="65" t="str">
        <f>IFERROR(__xludf.DUMMYFUNCTION("""COMPUTED_VALUE"""),"GINTRACOM")</f>
        <v>GINTRACOM</v>
      </c>
      <c r="R1678" s="65">
        <f>IFERROR(__xludf.DUMMYFUNCTION("""COMPUTED_VALUE"""),22.0)</f>
        <v>22</v>
      </c>
      <c r="S1678" s="65"/>
      <c r="T1678" s="65">
        <f>IFERROR(__xludf.DUMMYFUNCTION("""COMPUTED_VALUE"""),5.84)</f>
        <v>5.84</v>
      </c>
      <c r="U1678" s="65">
        <f>IFERROR(__xludf.DUMMYFUNCTION("""COMPUTED_VALUE"""),0.0)</f>
        <v>0</v>
      </c>
      <c r="V1678" s="65">
        <f>IFERROR(__xludf.DUMMYFUNCTION("""COMPUTED_VALUE"""),0.0)</f>
        <v>0</v>
      </c>
      <c r="W1678" s="65">
        <f>IFERROR(__xludf.DUMMYFUNCTION("""COMPUTED_VALUE"""),0.0)</f>
        <v>0</v>
      </c>
      <c r="X1678" s="65">
        <f>IFERROR(__xludf.DUMMYFUNCTION("""COMPUTED_VALUE"""),2.6)</f>
        <v>2.6</v>
      </c>
      <c r="Y1678" s="65">
        <f>IFERROR(__xludf.DUMMYFUNCTION("""COMPUTED_VALUE"""),5.2)</f>
        <v>5.2</v>
      </c>
      <c r="Z1678" s="65">
        <f>IFERROR(__xludf.DUMMYFUNCTION("""COMPUTED_VALUE"""),121983.0)</f>
        <v>121983</v>
      </c>
      <c r="AA1678" s="65" t="str">
        <f>IFERROR(__xludf.DUMMYFUNCTION("""COMPUTED_VALUE"""),"PROV-CHLLCF")</f>
        <v>PROV-CHLLCF</v>
      </c>
      <c r="AB1678" s="65"/>
      <c r="AC1678" s="65" t="str">
        <f>IFERROR(__xludf.DUMMYFUNCTION("""COMPUTED_VALUE"""),"CUCHILLO PARA CHEF")</f>
        <v>CUCHILLO PARA CHEF</v>
      </c>
      <c r="AD1678" s="65"/>
      <c r="AE1678" s="65">
        <f>IFERROR(__xludf.DUMMYFUNCTION("""COMPUTED_VALUE"""),2.0)</f>
        <v>2</v>
      </c>
      <c r="AF1678" s="65" t="str">
        <f>IFERROR(__xludf.DUMMYFUNCTION("""COMPUTED_VALUE"""),"DESTINATARIO INDICA QUE NO ES EL PRODUCTO QUE SOLICITÓ")</f>
        <v>DESTINATARIO INDICA QUE NO ES EL PRODUCTO QUE SOLICITÓ</v>
      </c>
      <c r="AG1678" s="65" t="str">
        <f>IFERROR(__xludf.DUMMYFUNCTION("""COMPUTED_VALUE"""),"NO")</f>
        <v>NO</v>
      </c>
      <c r="AH1678" s="65" t="str">
        <f>IFERROR(__xludf.DUMMYFUNCTION("""COMPUTED_VALUE"""),"09:41")</f>
        <v>09:41</v>
      </c>
      <c r="AI1678" s="65" t="str">
        <f>IFERROR(__xludf.DUMMYFUNCTION("""COMPUTED_VALUE"""),"20-01-2026")</f>
        <v>20-01-2026</v>
      </c>
      <c r="AJ1678" s="65"/>
      <c r="AK1678" s="65"/>
      <c r="AL1678" s="65"/>
      <c r="AM1678" s="65"/>
      <c r="AN1678" s="65" t="str">
        <f>IFERROR(__xludf.DUMMYFUNCTION("""COMPUTED_VALUE"""),"12:21")</f>
        <v>12:21</v>
      </c>
      <c r="AO1678" s="65" t="str">
        <f>IFERROR(__xludf.DUMMYFUNCTION("""COMPUTED_VALUE"""),"28-02-2026")</f>
        <v>28-02-2026</v>
      </c>
      <c r="AP1678" s="65" t="str">
        <f>IFERROR(__xludf.DUMMYFUNCTION("""COMPUTED_VALUE"""),"DEV CONFIRMADA POR BODEGA")</f>
        <v>DEV CONFIRMADA POR BODEGA</v>
      </c>
      <c r="AQ1678" s="65"/>
      <c r="AR1678" s="65" t="str">
        <f>IFERROR(__xludf.DUMMYFUNCTION("""COMPUTED_VALUE"""),"Gestionado por: PROVEDIX DAMIAN, email:enviogratisdirecto@gmail.com, total de productos en la orden: 1")</f>
        <v>Gestionado por: PROVEDIX DAMIAN, email:enviogratisdirecto@gmail.com, total de productos en la orden: 1</v>
      </c>
      <c r="AS1678" s="65"/>
      <c r="AT1678" s="65" t="str">
        <f>IFERROR(__xludf.DUMMYFUNCTION("""COMPUTED_VALUE"""),"SHOPIFY")</f>
        <v>SHOPIFY</v>
      </c>
      <c r="AU1678" s="65" t="str">
        <f>IFERROR(__xludf.DUMMYFUNCTION("""COMPUTED_VALUE"""),"IMPORTEX EC")</f>
        <v>IMPORTEX EC</v>
      </c>
      <c r="AV1678" s="65" t="str">
        <f>IFERROR(__xludf.DUMMYFUNCTION("""COMPUTED_VALUE"""),"6417064558636")</f>
        <v>6417064558636</v>
      </c>
      <c r="AW1678" s="65">
        <f>IFERROR(__xludf.DUMMYFUNCTION("""COMPUTED_VALUE"""),5265.0)</f>
        <v>5265</v>
      </c>
      <c r="AX1678" s="65"/>
      <c r="AY1678" s="65" t="str">
        <f>IFERROR(__xludf.DUMMYFUNCTION("""COMPUTED_VALUE"""),"17/01/2026")</f>
        <v>17/01/2026</v>
      </c>
      <c r="AZ1678" s="65"/>
      <c r="BA1678" s="65"/>
    </row>
    <row r="1679">
      <c r="A1679" s="65" t="str">
        <f>IFERROR(__xludf.DUMMYFUNCTION("""COMPUTED_VALUE"""),"27-03-2026")</f>
        <v>27-03-2026</v>
      </c>
      <c r="B1679" s="65">
        <f>IFERROR(__xludf.DUMMYFUNCTION("""COMPUTED_VALUE"""),4158913.0)</f>
        <v>4158913</v>
      </c>
      <c r="C1679" s="65" t="str">
        <f>IFERROR(__xludf.DUMMYFUNCTION("""COMPUTED_VALUE"""),"14:46")</f>
        <v>14:46</v>
      </c>
      <c r="D1679" s="65" t="str">
        <f>IFERROR(__xludf.DUMMYFUNCTION("""COMPUTED_VALUE"""),"15-01-2026")</f>
        <v>15-01-2026</v>
      </c>
      <c r="E1679" s="65" t="str">
        <f>IFERROR(__xludf.DUMMYFUNCTION("""COMPUTED_VALUE"""),"Gabriel Arcenio Huertas")</f>
        <v>Gabriel Arcenio Huertas</v>
      </c>
      <c r="F1679" s="65" t="str">
        <f>IFERROR(__xludf.DUMMYFUNCTION("""COMPUTED_VALUE"""),"989254726")</f>
        <v>989254726</v>
      </c>
      <c r="G1679" s="65" t="str">
        <f>IFERROR(__xludf.DUMMYFUNCTION("""COMPUTED_VALUE"""),"gabiarcehueramirez@gmail.com")</f>
        <v>gabiarcehueramirez@gmail.com</v>
      </c>
      <c r="H1679" s="65"/>
      <c r="I1679" s="65"/>
      <c r="J1679" s="65" t="str">
        <f>IFERROR(__xludf.DUMMYFUNCTION("""COMPUTED_VALUE"""),"D001233704")</f>
        <v>D001233704</v>
      </c>
      <c r="K1679" s="65" t="str">
        <f>IFERROR(__xludf.DUMMYFUNCTION("""COMPUTED_VALUE"""),"ENTREGADO")</f>
        <v>ENTREGADO</v>
      </c>
      <c r="L1679" s="65" t="str">
        <f>IFERROR(__xludf.DUMMYFUNCTION("""COMPUTED_VALUE"""),"CON RECAUDO")</f>
        <v>CON RECAUDO</v>
      </c>
      <c r="M1679" s="65" t="str">
        <f>IFERROR(__xludf.DUMMYFUNCTION("""COMPUTED_VALUE"""),"MANABI")</f>
        <v>MANABI</v>
      </c>
      <c r="N1679" s="65" t="str">
        <f>IFERROR(__xludf.DUMMYFUNCTION("""COMPUTED_VALUE"""),"MANTA")</f>
        <v>MANTA</v>
      </c>
      <c r="O1679" s="65" t="str">
        <f>IFERROR(__xludf.DUMMYFUNCTION("""COMPUTED_VALUE"""),"la tienda junto a la lavadora de carros por avenida 11 entre calles 14 y 15")</f>
        <v>la tienda junto a la lavadora de carros por avenida 11 entre calles 14 y 15</v>
      </c>
      <c r="P1679" s="65"/>
      <c r="Q1679" s="65" t="str">
        <f>IFERROR(__xludf.DUMMYFUNCTION("""COMPUTED_VALUE"""),"GINTRACOM")</f>
        <v>GINTRACOM</v>
      </c>
      <c r="R1679" s="65">
        <f>IFERROR(__xludf.DUMMYFUNCTION("""COMPUTED_VALUE"""),22.0)</f>
        <v>22</v>
      </c>
      <c r="S1679" s="65">
        <f>IFERROR(__xludf.DUMMYFUNCTION("""COMPUTED_VALUE"""),10.96)</f>
        <v>10.96</v>
      </c>
      <c r="T1679" s="65">
        <f>IFERROR(__xludf.DUMMYFUNCTION("""COMPUTED_VALUE"""),5.84)</f>
        <v>5.84</v>
      </c>
      <c r="U1679" s="65">
        <f>IFERROR(__xludf.DUMMYFUNCTION("""COMPUTED_VALUE"""),0.0)</f>
        <v>0</v>
      </c>
      <c r="V1679" s="65">
        <f>IFERROR(__xludf.DUMMYFUNCTION("""COMPUTED_VALUE"""),0.0)</f>
        <v>0</v>
      </c>
      <c r="W1679" s="65">
        <f>IFERROR(__xludf.DUMMYFUNCTION("""COMPUTED_VALUE"""),0.0)</f>
        <v>0</v>
      </c>
      <c r="X1679" s="65">
        <f>IFERROR(__xludf.DUMMYFUNCTION("""COMPUTED_VALUE"""),2.6)</f>
        <v>2.6</v>
      </c>
      <c r="Y1679" s="65">
        <f>IFERROR(__xludf.DUMMYFUNCTION("""COMPUTED_VALUE"""),5.2)</f>
        <v>5.2</v>
      </c>
      <c r="Z1679" s="65">
        <f>IFERROR(__xludf.DUMMYFUNCTION("""COMPUTED_VALUE"""),121983.0)</f>
        <v>121983</v>
      </c>
      <c r="AA1679" s="65" t="str">
        <f>IFERROR(__xludf.DUMMYFUNCTION("""COMPUTED_VALUE"""),"PROV-CHLLCF")</f>
        <v>PROV-CHLLCF</v>
      </c>
      <c r="AB1679" s="65"/>
      <c r="AC1679" s="65" t="str">
        <f>IFERROR(__xludf.DUMMYFUNCTION("""COMPUTED_VALUE"""),"CUCHILLO PARA CHEF")</f>
        <v>CUCHILLO PARA CHEF</v>
      </c>
      <c r="AD1679" s="65"/>
      <c r="AE1679" s="65">
        <f>IFERROR(__xludf.DUMMYFUNCTION("""COMPUTED_VALUE"""),2.0)</f>
        <v>2</v>
      </c>
      <c r="AF1679" s="65"/>
      <c r="AG1679" s="65"/>
      <c r="AH1679" s="65"/>
      <c r="AI1679" s="65"/>
      <c r="AJ1679" s="65"/>
      <c r="AK1679" s="65"/>
      <c r="AL1679" s="65"/>
      <c r="AM1679" s="65"/>
      <c r="AN1679" s="65" t="str">
        <f>IFERROR(__xludf.DUMMYFUNCTION("""COMPUTED_VALUE"""),"01:31")</f>
        <v>01:31</v>
      </c>
      <c r="AO1679" s="65" t="str">
        <f>IFERROR(__xludf.DUMMYFUNCTION("""COMPUTED_VALUE"""),"21-01-2026")</f>
        <v>21-01-2026</v>
      </c>
      <c r="AP1679" s="65" t="str">
        <f>IFERROR(__xludf.DUMMYFUNCTION("""COMPUTED_VALUE"""),"ENTREGADA GINTRACOM")</f>
        <v>ENTREGADA GINTRACOM</v>
      </c>
      <c r="AQ1679" s="65" t="str">
        <f>IFERROR(__xludf.DUMMYFUNCTION("""COMPUTED_VALUE"""),"ENTREGADA GINTRACOM")</f>
        <v>ENTREGADA GINTRACOM</v>
      </c>
      <c r="AR1679" s="65"/>
      <c r="AS1679" s="65"/>
      <c r="AT1679" s="65" t="str">
        <f>IFERROR(__xludf.DUMMYFUNCTION("""COMPUTED_VALUE"""),"SHOPIFY")</f>
        <v>SHOPIFY</v>
      </c>
      <c r="AU1679" s="65" t="str">
        <f>IFERROR(__xludf.DUMMYFUNCTION("""COMPUTED_VALUE"""),"IMPORTEX EC")</f>
        <v>IMPORTEX EC</v>
      </c>
      <c r="AV1679" s="65" t="str">
        <f>IFERROR(__xludf.DUMMYFUNCTION("""COMPUTED_VALUE"""),"6417062199340")</f>
        <v>6417062199340</v>
      </c>
      <c r="AW1679" s="65">
        <f>IFERROR(__xludf.DUMMYFUNCTION("""COMPUTED_VALUE"""),5264.0)</f>
        <v>5264</v>
      </c>
      <c r="AX1679" s="65"/>
      <c r="AY1679" s="65" t="str">
        <f>IFERROR(__xludf.DUMMYFUNCTION("""COMPUTED_VALUE"""),"17/01/2026")</f>
        <v>17/01/2026</v>
      </c>
      <c r="AZ1679" s="65"/>
      <c r="BA1679" s="65"/>
    </row>
    <row r="1680">
      <c r="A1680" s="65" t="str">
        <f>IFERROR(__xludf.DUMMYFUNCTION("""COMPUTED_VALUE"""),"27-03-2026")</f>
        <v>27-03-2026</v>
      </c>
      <c r="B1680" s="65">
        <f>IFERROR(__xludf.DUMMYFUNCTION("""COMPUTED_VALUE"""),4158761.0)</f>
        <v>4158761</v>
      </c>
      <c r="C1680" s="65" t="str">
        <f>IFERROR(__xludf.DUMMYFUNCTION("""COMPUTED_VALUE"""),"14:28")</f>
        <v>14:28</v>
      </c>
      <c r="D1680" s="65" t="str">
        <f>IFERROR(__xludf.DUMMYFUNCTION("""COMPUTED_VALUE"""),"15-01-2026")</f>
        <v>15-01-2026</v>
      </c>
      <c r="E1680" s="65" t="str">
        <f>IFERROR(__xludf.DUMMYFUNCTION("""COMPUTED_VALUE"""),"Daniel Dario López Dias")</f>
        <v>Daniel Dario López Dias</v>
      </c>
      <c r="F1680" s="65" t="str">
        <f>IFERROR(__xludf.DUMMYFUNCTION("""COMPUTED_VALUE"""),"994176827")</f>
        <v>994176827</v>
      </c>
      <c r="G1680" s="65" t="str">
        <f>IFERROR(__xludf.DUMMYFUNCTION("""COMPUTED_VALUE"""),"lopezdiazpablocesar721@gmail.com")</f>
        <v>lopezdiazpablocesar721@gmail.com</v>
      </c>
      <c r="H1680" s="65"/>
      <c r="I1680" s="65"/>
      <c r="J1680" s="65" t="str">
        <f>IFERROR(__xludf.DUMMYFUNCTION("""COMPUTED_VALUE"""),"D001233706")</f>
        <v>D001233706</v>
      </c>
      <c r="K1680" s="65" t="str">
        <f>IFERROR(__xludf.DUMMYFUNCTION("""COMPUTED_VALUE"""),"DEVOLUCION")</f>
        <v>DEVOLUCION</v>
      </c>
      <c r="L1680" s="65" t="str">
        <f>IFERROR(__xludf.DUMMYFUNCTION("""COMPUTED_VALUE"""),"CON RECAUDO")</f>
        <v>CON RECAUDO</v>
      </c>
      <c r="M1680" s="65" t="str">
        <f>IFERROR(__xludf.DUMMYFUNCTION("""COMPUTED_VALUE"""),"LOS RIOS")</f>
        <v>LOS RIOS</v>
      </c>
      <c r="N1680" s="65" t="str">
        <f>IFERROR(__xludf.DUMMYFUNCTION("""COMPUTED_VALUE"""),"VENTANAS")</f>
        <v>VENTANAS</v>
      </c>
      <c r="O1680" s="65" t="str">
        <f>IFERROR(__xludf.DUMMYFUNCTION("""COMPUTED_VALUE"""),"Vía echa dia Oro y Esmeralda -")</f>
        <v>Vía echa dia Oro y Esmeralda -</v>
      </c>
      <c r="P1680" s="65"/>
      <c r="Q1680" s="65" t="str">
        <f>IFERROR(__xludf.DUMMYFUNCTION("""COMPUTED_VALUE"""),"GINTRACOM")</f>
        <v>GINTRACOM</v>
      </c>
      <c r="R1680" s="65">
        <f>IFERROR(__xludf.DUMMYFUNCTION("""COMPUTED_VALUE"""),22.0)</f>
        <v>22</v>
      </c>
      <c r="S1680" s="65"/>
      <c r="T1680" s="65">
        <f>IFERROR(__xludf.DUMMYFUNCTION("""COMPUTED_VALUE"""),5.84)</f>
        <v>5.84</v>
      </c>
      <c r="U1680" s="65">
        <f>IFERROR(__xludf.DUMMYFUNCTION("""COMPUTED_VALUE"""),0.0)</f>
        <v>0</v>
      </c>
      <c r="V1680" s="65">
        <f>IFERROR(__xludf.DUMMYFUNCTION("""COMPUTED_VALUE"""),0.0)</f>
        <v>0</v>
      </c>
      <c r="W1680" s="65">
        <f>IFERROR(__xludf.DUMMYFUNCTION("""COMPUTED_VALUE"""),0.0)</f>
        <v>0</v>
      </c>
      <c r="X1680" s="65">
        <f>IFERROR(__xludf.DUMMYFUNCTION("""COMPUTED_VALUE"""),2.6)</f>
        <v>2.6</v>
      </c>
      <c r="Y1680" s="65">
        <f>IFERROR(__xludf.DUMMYFUNCTION("""COMPUTED_VALUE"""),5.2)</f>
        <v>5.2</v>
      </c>
      <c r="Z1680" s="65">
        <f>IFERROR(__xludf.DUMMYFUNCTION("""COMPUTED_VALUE"""),121983.0)</f>
        <v>121983</v>
      </c>
      <c r="AA1680" s="65" t="str">
        <f>IFERROR(__xludf.DUMMYFUNCTION("""COMPUTED_VALUE"""),"PROV-CHLLCF")</f>
        <v>PROV-CHLLCF</v>
      </c>
      <c r="AB1680" s="65"/>
      <c r="AC1680" s="65" t="str">
        <f>IFERROR(__xludf.DUMMYFUNCTION("""COMPUTED_VALUE"""),"CUCHILLO PARA CHEF")</f>
        <v>CUCHILLO PARA CHEF</v>
      </c>
      <c r="AD1680" s="65"/>
      <c r="AE1680" s="65">
        <f>IFERROR(__xludf.DUMMYFUNCTION("""COMPUTED_VALUE"""),2.0)</f>
        <v>2</v>
      </c>
      <c r="AF1680" s="65" t="str">
        <f>IFERROR(__xludf.DUMMYFUNCTION("""COMPUTED_VALUE"""),"DESTINATARIO NO CONTESTA LLAMADAS NI WHATSAPP")</f>
        <v>DESTINATARIO NO CONTESTA LLAMADAS NI WHATSAPP</v>
      </c>
      <c r="AG1680" s="65" t="str">
        <f>IFERROR(__xludf.DUMMYFUNCTION("""COMPUTED_VALUE"""),"NO")</f>
        <v>NO</v>
      </c>
      <c r="AH1680" s="65" t="str">
        <f>IFERROR(__xludf.DUMMYFUNCTION("""COMPUTED_VALUE"""),"09:00")</f>
        <v>09:00</v>
      </c>
      <c r="AI1680" s="65" t="str">
        <f>IFERROR(__xludf.DUMMYFUNCTION("""COMPUTED_VALUE"""),"28-01-2026")</f>
        <v>28-01-2026</v>
      </c>
      <c r="AJ1680" s="65"/>
      <c r="AK1680" s="65"/>
      <c r="AL1680" s="65"/>
      <c r="AM1680" s="65"/>
      <c r="AN1680" s="65" t="str">
        <f>IFERROR(__xludf.DUMMYFUNCTION("""COMPUTED_VALUE"""),"08:48")</f>
        <v>08:48</v>
      </c>
      <c r="AO1680" s="65" t="str">
        <f>IFERROR(__xludf.DUMMYFUNCTION("""COMPUTED_VALUE"""),"10-02-2026")</f>
        <v>10-02-2026</v>
      </c>
      <c r="AP1680" s="65" t="str">
        <f>IFERROR(__xludf.DUMMYFUNCTION("""COMPUTED_VALUE"""),"DEV CONFIRMADA POR BODEGA")</f>
        <v>DEV CONFIRMADA POR BODEGA</v>
      </c>
      <c r="AQ1680" s="65"/>
      <c r="AR1680" s="65" t="str">
        <f>IFERROR(__xludf.DUMMYFUNCTION("""COMPUTED_VALUE"""),"Gestionado por: Moran Daniel, email:danielmorga2005@gmail.com, total de productos en la orden: 1")</f>
        <v>Gestionado por: Moran Daniel, email:danielmorga2005@gmail.com, total de productos en la orden: 1</v>
      </c>
      <c r="AS1680" s="65"/>
      <c r="AT1680" s="65" t="str">
        <f>IFERROR(__xludf.DUMMYFUNCTION("""COMPUTED_VALUE"""),"SHOPIFY")</f>
        <v>SHOPIFY</v>
      </c>
      <c r="AU1680" s="65" t="str">
        <f>IFERROR(__xludf.DUMMYFUNCTION("""COMPUTED_VALUE"""),"IMPORTEX EC")</f>
        <v>IMPORTEX EC</v>
      </c>
      <c r="AV1680" s="65" t="str">
        <f>IFERROR(__xludf.DUMMYFUNCTION("""COMPUTED_VALUE"""),"6417022386220")</f>
        <v>6417022386220</v>
      </c>
      <c r="AW1680" s="65">
        <f>IFERROR(__xludf.DUMMYFUNCTION("""COMPUTED_VALUE"""),5263.0)</f>
        <v>5263</v>
      </c>
      <c r="AX1680" s="65"/>
      <c r="AY1680" s="65" t="str">
        <f>IFERROR(__xludf.DUMMYFUNCTION("""COMPUTED_VALUE"""),"17/01/2026")</f>
        <v>17/01/2026</v>
      </c>
      <c r="AZ1680" s="65"/>
      <c r="BA1680" s="65"/>
    </row>
    <row r="1681">
      <c r="A1681" s="65" t="str">
        <f>IFERROR(__xludf.DUMMYFUNCTION("""COMPUTED_VALUE"""),"27-03-2026")</f>
        <v>27-03-2026</v>
      </c>
      <c r="B1681" s="65">
        <f>IFERROR(__xludf.DUMMYFUNCTION("""COMPUTED_VALUE"""),4158658.0)</f>
        <v>4158658</v>
      </c>
      <c r="C1681" s="65" t="str">
        <f>IFERROR(__xludf.DUMMYFUNCTION("""COMPUTED_VALUE"""),"14:18")</f>
        <v>14:18</v>
      </c>
      <c r="D1681" s="65" t="str">
        <f>IFERROR(__xludf.DUMMYFUNCTION("""COMPUTED_VALUE"""),"15-01-2026")</f>
        <v>15-01-2026</v>
      </c>
      <c r="E1681" s="65" t="str">
        <f>IFERROR(__xludf.DUMMYFUNCTION("""COMPUTED_VALUE"""),"Washington Pazmiño")</f>
        <v>Washington Pazmiño</v>
      </c>
      <c r="F1681" s="65" t="str">
        <f>IFERROR(__xludf.DUMMYFUNCTION("""COMPUTED_VALUE"""),"985703704")</f>
        <v>985703704</v>
      </c>
      <c r="G1681" s="65" t="str">
        <f>IFERROR(__xludf.DUMMYFUNCTION("""COMPUTED_VALUE"""),"washopaz64@gmail.com")</f>
        <v>washopaz64@gmail.com</v>
      </c>
      <c r="H1681" s="65"/>
      <c r="I1681" s="65"/>
      <c r="J1681" s="65" t="str">
        <f>IFERROR(__xludf.DUMMYFUNCTION("""COMPUTED_VALUE"""),"D001233708")</f>
        <v>D001233708</v>
      </c>
      <c r="K1681" s="65" t="str">
        <f>IFERROR(__xludf.DUMMYFUNCTION("""COMPUTED_VALUE"""),"DEVOLUCION")</f>
        <v>DEVOLUCION</v>
      </c>
      <c r="L1681" s="65" t="str">
        <f>IFERROR(__xludf.DUMMYFUNCTION("""COMPUTED_VALUE"""),"CON RECAUDO")</f>
        <v>CON RECAUDO</v>
      </c>
      <c r="M1681" s="65" t="str">
        <f>IFERROR(__xludf.DUMMYFUNCTION("""COMPUTED_VALUE"""),"PICHINCHA")</f>
        <v>PICHINCHA</v>
      </c>
      <c r="N1681" s="65" t="str">
        <f>IFERROR(__xludf.DUMMYFUNCTION("""COMPUTED_VALUE"""),"QUITO")</f>
        <v>QUITO</v>
      </c>
      <c r="O1681" s="65" t="str">
        <f>IFERROR(__xludf.DUMMYFUNCTION("""COMPUTED_VALUE"""),"Chilla e isinlivi Santa ritha...solanda - Conjunto dulce hogar 2 casa 14")</f>
        <v>Chilla e isinlivi Santa ritha...solanda - Conjunto dulce hogar 2 casa 14</v>
      </c>
      <c r="P1681" s="65"/>
      <c r="Q1681" s="65" t="str">
        <f>IFERROR(__xludf.DUMMYFUNCTION("""COMPUTED_VALUE"""),"GINTRACOM")</f>
        <v>GINTRACOM</v>
      </c>
      <c r="R1681" s="65">
        <f>IFERROR(__xludf.DUMMYFUNCTION("""COMPUTED_VALUE"""),22.0)</f>
        <v>22</v>
      </c>
      <c r="S1681" s="65"/>
      <c r="T1681" s="65">
        <f>IFERROR(__xludf.DUMMYFUNCTION("""COMPUTED_VALUE"""),5.84)</f>
        <v>5.84</v>
      </c>
      <c r="U1681" s="65">
        <f>IFERROR(__xludf.DUMMYFUNCTION("""COMPUTED_VALUE"""),0.0)</f>
        <v>0</v>
      </c>
      <c r="V1681" s="65">
        <f>IFERROR(__xludf.DUMMYFUNCTION("""COMPUTED_VALUE"""),0.0)</f>
        <v>0</v>
      </c>
      <c r="W1681" s="65">
        <f>IFERROR(__xludf.DUMMYFUNCTION("""COMPUTED_VALUE"""),0.0)</f>
        <v>0</v>
      </c>
      <c r="X1681" s="65">
        <f>IFERROR(__xludf.DUMMYFUNCTION("""COMPUTED_VALUE"""),2.6)</f>
        <v>2.6</v>
      </c>
      <c r="Y1681" s="65">
        <f>IFERROR(__xludf.DUMMYFUNCTION("""COMPUTED_VALUE"""),5.2)</f>
        <v>5.2</v>
      </c>
      <c r="Z1681" s="65">
        <f>IFERROR(__xludf.DUMMYFUNCTION("""COMPUTED_VALUE"""),121983.0)</f>
        <v>121983</v>
      </c>
      <c r="AA1681" s="65" t="str">
        <f>IFERROR(__xludf.DUMMYFUNCTION("""COMPUTED_VALUE"""),"PROV-CHLLCF")</f>
        <v>PROV-CHLLCF</v>
      </c>
      <c r="AB1681" s="65"/>
      <c r="AC1681" s="65" t="str">
        <f>IFERROR(__xludf.DUMMYFUNCTION("""COMPUTED_VALUE"""),"CUCHILLO PARA CHEF")</f>
        <v>CUCHILLO PARA CHEF</v>
      </c>
      <c r="AD1681" s="65"/>
      <c r="AE1681" s="65">
        <f>IFERROR(__xludf.DUMMYFUNCTION("""COMPUTED_VALUE"""),2.0)</f>
        <v>2</v>
      </c>
      <c r="AF1681" s="65" t="str">
        <f>IFERROR(__xludf.DUMMYFUNCTION("""COMPUTED_VALUE"""),"DESTINATARIO NO CONTESTA LLAMADAS NI WHATSAPP")</f>
        <v>DESTINATARIO NO CONTESTA LLAMADAS NI WHATSAPP</v>
      </c>
      <c r="AG1681" s="65" t="str">
        <f>IFERROR(__xludf.DUMMYFUNCTION("""COMPUTED_VALUE"""),"NO")</f>
        <v>NO</v>
      </c>
      <c r="AH1681" s="65" t="str">
        <f>IFERROR(__xludf.DUMMYFUNCTION("""COMPUTED_VALUE"""),"09:00")</f>
        <v>09:00</v>
      </c>
      <c r="AI1681" s="65" t="str">
        <f>IFERROR(__xludf.DUMMYFUNCTION("""COMPUTED_VALUE"""),"27-01-2026")</f>
        <v>27-01-2026</v>
      </c>
      <c r="AJ1681" s="65"/>
      <c r="AK1681" s="65"/>
      <c r="AL1681" s="65"/>
      <c r="AM1681" s="65"/>
      <c r="AN1681" s="65" t="str">
        <f>IFERROR(__xludf.DUMMYFUNCTION("""COMPUTED_VALUE"""),"08:43")</f>
        <v>08:43</v>
      </c>
      <c r="AO1681" s="65" t="str">
        <f>IFERROR(__xludf.DUMMYFUNCTION("""COMPUTED_VALUE"""),"10-02-2026")</f>
        <v>10-02-2026</v>
      </c>
      <c r="AP1681" s="65" t="str">
        <f>IFERROR(__xludf.DUMMYFUNCTION("""COMPUTED_VALUE"""),"DEV CONFIRMADA POR BODEGA")</f>
        <v>DEV CONFIRMADA POR BODEGA</v>
      </c>
      <c r="AQ1681" s="65"/>
      <c r="AR1681" s="65" t="str">
        <f>IFERROR(__xludf.DUMMYFUNCTION("""COMPUTED_VALUE"""),"Gestionado por: Moran Daniel, email:danielmorga2005@gmail.com, total de productos en la orden: 1")</f>
        <v>Gestionado por: Moran Daniel, email:danielmorga2005@gmail.com, total de productos en la orden: 1</v>
      </c>
      <c r="AS1681" s="65"/>
      <c r="AT1681" s="65" t="str">
        <f>IFERROR(__xludf.DUMMYFUNCTION("""COMPUTED_VALUE"""),"SHOPIFY")</f>
        <v>SHOPIFY</v>
      </c>
      <c r="AU1681" s="65" t="str">
        <f>IFERROR(__xludf.DUMMYFUNCTION("""COMPUTED_VALUE"""),"IMPORTEX EC")</f>
        <v>IMPORTEX EC</v>
      </c>
      <c r="AV1681" s="65" t="str">
        <f>IFERROR(__xludf.DUMMYFUNCTION("""COMPUTED_VALUE"""),"6417000136748")</f>
        <v>6417000136748</v>
      </c>
      <c r="AW1681" s="65">
        <f>IFERROR(__xludf.DUMMYFUNCTION("""COMPUTED_VALUE"""),5262.0)</f>
        <v>5262</v>
      </c>
      <c r="AX1681" s="65"/>
      <c r="AY1681" s="65" t="str">
        <f>IFERROR(__xludf.DUMMYFUNCTION("""COMPUTED_VALUE"""),"17/01/2026")</f>
        <v>17/01/2026</v>
      </c>
      <c r="AZ1681" s="65"/>
      <c r="BA1681" s="65"/>
    </row>
    <row r="1682">
      <c r="A1682" s="65" t="str">
        <f>IFERROR(__xludf.DUMMYFUNCTION("""COMPUTED_VALUE"""),"27-03-2026")</f>
        <v>27-03-2026</v>
      </c>
      <c r="B1682" s="65">
        <f>IFERROR(__xludf.DUMMYFUNCTION("""COMPUTED_VALUE"""),4158470.0)</f>
        <v>4158470</v>
      </c>
      <c r="C1682" s="65" t="str">
        <f>IFERROR(__xludf.DUMMYFUNCTION("""COMPUTED_VALUE"""),"14:00")</f>
        <v>14:00</v>
      </c>
      <c r="D1682" s="65" t="str">
        <f>IFERROR(__xludf.DUMMYFUNCTION("""COMPUTED_VALUE"""),"15-01-2026")</f>
        <v>15-01-2026</v>
      </c>
      <c r="E1682" s="65" t="str">
        <f>IFERROR(__xludf.DUMMYFUNCTION("""COMPUTED_VALUE"""),"Andres Rabascall")</f>
        <v>Andres Rabascall</v>
      </c>
      <c r="F1682" s="65" t="str">
        <f>IFERROR(__xludf.DUMMYFUNCTION("""COMPUTED_VALUE"""),"987666555")</f>
        <v>987666555</v>
      </c>
      <c r="G1682" s="65" t="str">
        <f>IFERROR(__xludf.DUMMYFUNCTION("""COMPUTED_VALUE"""),"arabascall@gmail.com")</f>
        <v>arabascall@gmail.com</v>
      </c>
      <c r="H1682" s="65"/>
      <c r="I1682" s="65"/>
      <c r="J1682" s="65" t="str">
        <f>IFERROR(__xludf.DUMMYFUNCTION("""COMPUTED_VALUE"""),"D001234347")</f>
        <v>D001234347</v>
      </c>
      <c r="K1682" s="65" t="str">
        <f>IFERROR(__xludf.DUMMYFUNCTION("""COMPUTED_VALUE"""),"ENTREGADO")</f>
        <v>ENTREGADO</v>
      </c>
      <c r="L1682" s="65" t="str">
        <f>IFERROR(__xludf.DUMMYFUNCTION("""COMPUTED_VALUE"""),"CON RECAUDO")</f>
        <v>CON RECAUDO</v>
      </c>
      <c r="M1682" s="65" t="str">
        <f>IFERROR(__xludf.DUMMYFUNCTION("""COMPUTED_VALUE"""),"GUAYAS")</f>
        <v>GUAYAS</v>
      </c>
      <c r="N1682" s="65" t="str">
        <f>IFERROR(__xludf.DUMMYFUNCTION("""COMPUTED_VALUE"""),"GUAYAQUIL")</f>
        <v>GUAYAQUIL</v>
      </c>
      <c r="O1682" s="65" t="str">
        <f>IFERROR(__xludf.DUMMYFUNCTION("""COMPUTED_VALUE"""),"Santa Cecilia, garita 4")</f>
        <v>Santa Cecilia, garita 4</v>
      </c>
      <c r="P1682" s="65"/>
      <c r="Q1682" s="65" t="str">
        <f>IFERROR(__xludf.DUMMYFUNCTION("""COMPUTED_VALUE"""),"GINTRACOM")</f>
        <v>GINTRACOM</v>
      </c>
      <c r="R1682" s="65">
        <f>IFERROR(__xludf.DUMMYFUNCTION("""COMPUTED_VALUE"""),25.0)</f>
        <v>25</v>
      </c>
      <c r="S1682" s="65">
        <f>IFERROR(__xludf.DUMMYFUNCTION("""COMPUTED_VALUE"""),14.34)</f>
        <v>14.34</v>
      </c>
      <c r="T1682" s="65">
        <f>IFERROR(__xludf.DUMMYFUNCTION("""COMPUTED_VALUE"""),5.96)</f>
        <v>5.96</v>
      </c>
      <c r="U1682" s="65">
        <f>IFERROR(__xludf.DUMMYFUNCTION("""COMPUTED_VALUE"""),0.0)</f>
        <v>0</v>
      </c>
      <c r="V1682" s="65">
        <f>IFERROR(__xludf.DUMMYFUNCTION("""COMPUTED_VALUE"""),0.0)</f>
        <v>0</v>
      </c>
      <c r="W1682" s="65">
        <f>IFERROR(__xludf.DUMMYFUNCTION("""COMPUTED_VALUE"""),0.0)</f>
        <v>0</v>
      </c>
      <c r="X1682" s="65">
        <f>IFERROR(__xludf.DUMMYFUNCTION("""COMPUTED_VALUE"""),2.35)</f>
        <v>2.35</v>
      </c>
      <c r="Y1682" s="65">
        <f>IFERROR(__xludf.DUMMYFUNCTION("""COMPUTED_VALUE"""),4.7)</f>
        <v>4.7</v>
      </c>
      <c r="Z1682" s="65">
        <f>IFERROR(__xludf.DUMMYFUNCTION("""COMPUTED_VALUE"""),116679.0)</f>
        <v>116679</v>
      </c>
      <c r="AA1682" s="65" t="str">
        <f>IFERROR(__xludf.DUMMYFUNCTION("""COMPUTED_VALUE"""),"AMC-2738")</f>
        <v>AMC-2738</v>
      </c>
      <c r="AB1682" s="65"/>
      <c r="AC1682" s="65" t="str">
        <f>IFERROR(__xludf.DUMMYFUNCTION("""COMPUTED_VALUE"""),"ESPONJA ANTILLUVIA DE PARABRISAS")</f>
        <v>ESPONJA ANTILLUVIA DE PARABRISAS</v>
      </c>
      <c r="AD1682" s="65"/>
      <c r="AE1682" s="65">
        <f>IFERROR(__xludf.DUMMYFUNCTION("""COMPUTED_VALUE"""),2.0)</f>
        <v>2</v>
      </c>
      <c r="AF1682" s="65"/>
      <c r="AG1682" s="65"/>
      <c r="AH1682" s="65"/>
      <c r="AI1682" s="65"/>
      <c r="AJ1682" s="65"/>
      <c r="AK1682" s="65"/>
      <c r="AL1682" s="65"/>
      <c r="AM1682" s="65"/>
      <c r="AN1682" s="65" t="str">
        <f>IFERROR(__xludf.DUMMYFUNCTION("""COMPUTED_VALUE"""),"07:35")</f>
        <v>07:35</v>
      </c>
      <c r="AO1682" s="65" t="str">
        <f>IFERROR(__xludf.DUMMYFUNCTION("""COMPUTED_VALUE"""),"23-01-2026")</f>
        <v>23-01-2026</v>
      </c>
      <c r="AP1682" s="65" t="str">
        <f>IFERROR(__xludf.DUMMYFUNCTION("""COMPUTED_VALUE"""),"EN REPARTO")</f>
        <v>EN REPARTO</v>
      </c>
      <c r="AQ1682" s="65" t="str">
        <f>IFERROR(__xludf.DUMMYFUNCTION("""COMPUTED_VALUE"""),"EN REPARTO")</f>
        <v>EN REPARTO</v>
      </c>
      <c r="AR1682" s="65"/>
      <c r="AS1682" s="65"/>
      <c r="AT1682" s="65" t="str">
        <f>IFERROR(__xludf.DUMMYFUNCTION("""COMPUTED_VALUE"""),"SHOPIFY")</f>
        <v>SHOPIFY</v>
      </c>
      <c r="AU1682" s="65" t="str">
        <f>IFERROR(__xludf.DUMMYFUNCTION("""COMPUTED_VALUE"""),"IMPORTEX EC")</f>
        <v>IMPORTEX EC</v>
      </c>
      <c r="AV1682" s="65" t="str">
        <f>IFERROR(__xludf.DUMMYFUNCTION("""COMPUTED_VALUE"""),"6416960192556")</f>
        <v>6416960192556</v>
      </c>
      <c r="AW1682" s="65">
        <f>IFERROR(__xludf.DUMMYFUNCTION("""COMPUTED_VALUE"""),5261.0)</f>
        <v>5261</v>
      </c>
      <c r="AX1682" s="65"/>
      <c r="AY1682" s="65" t="str">
        <f>IFERROR(__xludf.DUMMYFUNCTION("""COMPUTED_VALUE"""),"17/01/2026")</f>
        <v>17/01/2026</v>
      </c>
      <c r="AZ1682" s="65"/>
      <c r="BA1682" s="65"/>
    </row>
    <row r="1683">
      <c r="A1683" s="65" t="str">
        <f>IFERROR(__xludf.DUMMYFUNCTION("""COMPUTED_VALUE"""),"27-03-2026")</f>
        <v>27-03-2026</v>
      </c>
      <c r="B1683" s="65">
        <f>IFERROR(__xludf.DUMMYFUNCTION("""COMPUTED_VALUE"""),4158301.0)</f>
        <v>4158301</v>
      </c>
      <c r="C1683" s="65" t="str">
        <f>IFERROR(__xludf.DUMMYFUNCTION("""COMPUTED_VALUE"""),"13:46")</f>
        <v>13:46</v>
      </c>
      <c r="D1683" s="65" t="str">
        <f>IFERROR(__xludf.DUMMYFUNCTION("""COMPUTED_VALUE"""),"15-01-2026")</f>
        <v>15-01-2026</v>
      </c>
      <c r="E1683" s="65" t="str">
        <f>IFERROR(__xludf.DUMMYFUNCTION("""COMPUTED_VALUE"""),"Andrés Moreira Briones")</f>
        <v>Andrés Moreira Briones</v>
      </c>
      <c r="F1683" s="65" t="str">
        <f>IFERROR(__xludf.DUMMYFUNCTION("""COMPUTED_VALUE"""),"983184229")</f>
        <v>983184229</v>
      </c>
      <c r="G1683" s="65" t="str">
        <f>IFERROR(__xludf.DUMMYFUNCTION("""COMPUTED_VALUE"""),"andresmoreira123456789@gmail.com")</f>
        <v>andresmoreira123456789@gmail.com</v>
      </c>
      <c r="H1683" s="65"/>
      <c r="I1683" s="65"/>
      <c r="J1683" s="65"/>
      <c r="K1683" s="65" t="str">
        <f>IFERROR(__xludf.DUMMYFUNCTION("""COMPUTED_VALUE"""),"CANCELADO")</f>
        <v>CANCELADO</v>
      </c>
      <c r="L1683" s="65" t="str">
        <f>IFERROR(__xludf.DUMMYFUNCTION("""COMPUTED_VALUE"""),"CON RECAUDO")</f>
        <v>CON RECAUDO</v>
      </c>
      <c r="M1683" s="65" t="str">
        <f>IFERROR(__xludf.DUMMYFUNCTION("""COMPUTED_VALUE"""),"MANABI")</f>
        <v>MANABI</v>
      </c>
      <c r="N1683" s="65" t="str">
        <f>IFERROR(__xludf.DUMMYFUNCTION("""COMPUTED_VALUE"""),"PORTOVIEJO")</f>
        <v>PORTOVIEJO</v>
      </c>
      <c r="O1683" s="65" t="str">
        <f>IFERROR(__xludf.DUMMYFUNCTION("""COMPUTED_VALUE"""),"Ciudadela municipal Y ciudadela municipal -")</f>
        <v>Ciudadela municipal Y ciudadela municipal -</v>
      </c>
      <c r="P1683" s="65"/>
      <c r="Q1683" s="65" t="str">
        <f>IFERROR(__xludf.DUMMYFUNCTION("""COMPUTED_VALUE"""),"GINTRACOM")</f>
        <v>GINTRACOM</v>
      </c>
      <c r="R1683" s="65">
        <f>IFERROR(__xludf.DUMMYFUNCTION("""COMPUTED_VALUE"""),25.0)</f>
        <v>25</v>
      </c>
      <c r="S1683" s="65"/>
      <c r="T1683" s="65">
        <f>IFERROR(__xludf.DUMMYFUNCTION("""COMPUTED_VALUE"""),5.96)</f>
        <v>5.96</v>
      </c>
      <c r="U1683" s="65">
        <f>IFERROR(__xludf.DUMMYFUNCTION("""COMPUTED_VALUE"""),0.0)</f>
        <v>0</v>
      </c>
      <c r="V1683" s="65">
        <f>IFERROR(__xludf.DUMMYFUNCTION("""COMPUTED_VALUE"""),0.0)</f>
        <v>0</v>
      </c>
      <c r="W1683" s="65">
        <f>IFERROR(__xludf.DUMMYFUNCTION("""COMPUTED_VALUE"""),0.0)</f>
        <v>0</v>
      </c>
      <c r="X1683" s="65">
        <f>IFERROR(__xludf.DUMMYFUNCTION("""COMPUTED_VALUE"""),2.35)</f>
        <v>2.35</v>
      </c>
      <c r="Y1683" s="65">
        <f>IFERROR(__xludf.DUMMYFUNCTION("""COMPUTED_VALUE"""),4.7)</f>
        <v>4.7</v>
      </c>
      <c r="Z1683" s="65">
        <f>IFERROR(__xludf.DUMMYFUNCTION("""COMPUTED_VALUE"""),116679.0)</f>
        <v>116679</v>
      </c>
      <c r="AA1683" s="65" t="str">
        <f>IFERROR(__xludf.DUMMYFUNCTION("""COMPUTED_VALUE"""),"AMC-2738")</f>
        <v>AMC-2738</v>
      </c>
      <c r="AB1683" s="65"/>
      <c r="AC1683" s="65" t="str">
        <f>IFERROR(__xludf.DUMMYFUNCTION("""COMPUTED_VALUE"""),"ESPONJA ANTILLUVIA DE PARABRISAS")</f>
        <v>ESPONJA ANTILLUVIA DE PARABRISAS</v>
      </c>
      <c r="AD1683" s="65"/>
      <c r="AE1683" s="65">
        <f>IFERROR(__xludf.DUMMYFUNCTION("""COMPUTED_VALUE"""),2.0)</f>
        <v>2</v>
      </c>
      <c r="AF1683" s="65"/>
      <c r="AG1683" s="65"/>
      <c r="AH1683" s="65"/>
      <c r="AI1683" s="65"/>
      <c r="AJ1683" s="65"/>
      <c r="AK1683" s="65"/>
      <c r="AL1683" s="65"/>
      <c r="AM1683" s="65"/>
      <c r="AN1683" s="65"/>
      <c r="AO1683" s="65"/>
      <c r="AP1683" s="65"/>
      <c r="AQ1683" s="65"/>
      <c r="AR1683" s="65"/>
      <c r="AS1683" s="65"/>
      <c r="AT1683" s="65" t="str">
        <f>IFERROR(__xludf.DUMMYFUNCTION("""COMPUTED_VALUE"""),"SHOPIFY")</f>
        <v>SHOPIFY</v>
      </c>
      <c r="AU1683" s="65" t="str">
        <f>IFERROR(__xludf.DUMMYFUNCTION("""COMPUTED_VALUE"""),"IMPORTEX EC")</f>
        <v>IMPORTEX EC</v>
      </c>
      <c r="AV1683" s="65" t="str">
        <f>IFERROR(__xludf.DUMMYFUNCTION("""COMPUTED_VALUE"""),"6416932470828")</f>
        <v>6416932470828</v>
      </c>
      <c r="AW1683" s="65">
        <f>IFERROR(__xludf.DUMMYFUNCTION("""COMPUTED_VALUE"""),5260.0)</f>
        <v>5260</v>
      </c>
      <c r="AX1683" s="65"/>
      <c r="AY1683" s="65"/>
      <c r="AZ1683" s="65"/>
      <c r="BA1683" s="65"/>
    </row>
    <row r="1684">
      <c r="A1684" s="65" t="str">
        <f>IFERROR(__xludf.DUMMYFUNCTION("""COMPUTED_VALUE"""),"27-03-2026")</f>
        <v>27-03-2026</v>
      </c>
      <c r="B1684" s="65">
        <f>IFERROR(__xludf.DUMMYFUNCTION("""COMPUTED_VALUE"""),4158279.0)</f>
        <v>4158279</v>
      </c>
      <c r="C1684" s="65" t="str">
        <f>IFERROR(__xludf.DUMMYFUNCTION("""COMPUTED_VALUE"""),"13:44")</f>
        <v>13:44</v>
      </c>
      <c r="D1684" s="65" t="str">
        <f>IFERROR(__xludf.DUMMYFUNCTION("""COMPUTED_VALUE"""),"15-01-2026")</f>
        <v>15-01-2026</v>
      </c>
      <c r="E1684" s="65" t="str">
        <f>IFERROR(__xludf.DUMMYFUNCTION("""COMPUTED_VALUE"""),"Santos Vega Narvaez")</f>
        <v>Santos Vega Narvaez</v>
      </c>
      <c r="F1684" s="65" t="str">
        <f>IFERROR(__xludf.DUMMYFUNCTION("""COMPUTED_VALUE"""),"979710059")</f>
        <v>979710059</v>
      </c>
      <c r="G1684" s="65" t="str">
        <f>IFERROR(__xludf.DUMMYFUNCTION("""COMPUTED_VALUE"""),"santosvega@hotmail.es")</f>
        <v>santosvega@hotmail.es</v>
      </c>
      <c r="H1684" s="65"/>
      <c r="I1684" s="65"/>
      <c r="J1684" s="65" t="str">
        <f>IFERROR(__xludf.DUMMYFUNCTION("""COMPUTED_VALUE"""),"D001233709")</f>
        <v>D001233709</v>
      </c>
      <c r="K1684" s="65" t="str">
        <f>IFERROR(__xludf.DUMMYFUNCTION("""COMPUTED_VALUE"""),"ENTREGADO")</f>
        <v>ENTREGADO</v>
      </c>
      <c r="L1684" s="65" t="str">
        <f>IFERROR(__xludf.DUMMYFUNCTION("""COMPUTED_VALUE"""),"CON RECAUDO")</f>
        <v>CON RECAUDO</v>
      </c>
      <c r="M1684" s="65" t="str">
        <f>IFERROR(__xludf.DUMMYFUNCTION("""COMPUTED_VALUE"""),"PICHINCHA")</f>
        <v>PICHINCHA</v>
      </c>
      <c r="N1684" s="65" t="str">
        <f>IFERROR(__xludf.DUMMYFUNCTION("""COMPUTED_VALUE"""),"QUITO")</f>
        <v>QUITO</v>
      </c>
      <c r="O1684" s="65" t="str">
        <f>IFERROR(__xludf.DUMMYFUNCTION("""COMPUTED_VALUE"""),"Tamia y AV. Llira ñan Llira ñan - Conjunto serrado, guardería las 24 horas")</f>
        <v>Tamia y AV. Llira ñan Llira ñan - Conjunto serrado, guardería las 24 horas</v>
      </c>
      <c r="P1684" s="65"/>
      <c r="Q1684" s="65" t="str">
        <f>IFERROR(__xludf.DUMMYFUNCTION("""COMPUTED_VALUE"""),"GINTRACOM")</f>
        <v>GINTRACOM</v>
      </c>
      <c r="R1684" s="65">
        <f>IFERROR(__xludf.DUMMYFUNCTION("""COMPUTED_VALUE"""),32.0)</f>
        <v>32</v>
      </c>
      <c r="S1684" s="65">
        <f>IFERROR(__xludf.DUMMYFUNCTION("""COMPUTED_VALUE"""),15.36)</f>
        <v>15.36</v>
      </c>
      <c r="T1684" s="65">
        <f>IFERROR(__xludf.DUMMYFUNCTION("""COMPUTED_VALUE"""),6.24)</f>
        <v>6.24</v>
      </c>
      <c r="U1684" s="65">
        <f>IFERROR(__xludf.DUMMYFUNCTION("""COMPUTED_VALUE"""),0.0)</f>
        <v>0</v>
      </c>
      <c r="V1684" s="65">
        <f>IFERROR(__xludf.DUMMYFUNCTION("""COMPUTED_VALUE"""),0.0)</f>
        <v>0</v>
      </c>
      <c r="W1684" s="65">
        <f>IFERROR(__xludf.DUMMYFUNCTION("""COMPUTED_VALUE"""),0.0)</f>
        <v>0</v>
      </c>
      <c r="X1684" s="65">
        <f>IFERROR(__xludf.DUMMYFUNCTION("""COMPUTED_VALUE"""),2.6)</f>
        <v>2.6</v>
      </c>
      <c r="Y1684" s="65">
        <f>IFERROR(__xludf.DUMMYFUNCTION("""COMPUTED_VALUE"""),10.4)</f>
        <v>10.4</v>
      </c>
      <c r="Z1684" s="65">
        <f>IFERROR(__xludf.DUMMYFUNCTION("""COMPUTED_VALUE"""),121983.0)</f>
        <v>121983</v>
      </c>
      <c r="AA1684" s="65" t="str">
        <f>IFERROR(__xludf.DUMMYFUNCTION("""COMPUTED_VALUE"""),"PROV-CHLLCF")</f>
        <v>PROV-CHLLCF</v>
      </c>
      <c r="AB1684" s="65"/>
      <c r="AC1684" s="65" t="str">
        <f>IFERROR(__xludf.DUMMYFUNCTION("""COMPUTED_VALUE"""),"CUCHILLO PARA CHEF")</f>
        <v>CUCHILLO PARA CHEF</v>
      </c>
      <c r="AD1684" s="65"/>
      <c r="AE1684" s="65">
        <f>IFERROR(__xludf.DUMMYFUNCTION("""COMPUTED_VALUE"""),4.0)</f>
        <v>4</v>
      </c>
      <c r="AF1684" s="65"/>
      <c r="AG1684" s="65"/>
      <c r="AH1684" s="65"/>
      <c r="AI1684" s="65"/>
      <c r="AJ1684" s="65"/>
      <c r="AK1684" s="65"/>
      <c r="AL1684" s="65"/>
      <c r="AM1684" s="65"/>
      <c r="AN1684" s="65" t="str">
        <f>IFERROR(__xludf.DUMMYFUNCTION("""COMPUTED_VALUE"""),"11:28")</f>
        <v>11:28</v>
      </c>
      <c r="AO1684" s="65" t="str">
        <f>IFERROR(__xludf.DUMMYFUNCTION("""COMPUTED_VALUE"""),"19-01-2026")</f>
        <v>19-01-2026</v>
      </c>
      <c r="AP1684" s="65" t="str">
        <f>IFERROR(__xludf.DUMMYFUNCTION("""COMPUTED_VALUE"""),"ENTREGADA GINTRACOM")</f>
        <v>ENTREGADA GINTRACOM</v>
      </c>
      <c r="AQ1684" s="65" t="str">
        <f>IFERROR(__xludf.DUMMYFUNCTION("""COMPUTED_VALUE"""),"ENTREGADA GINTRACOM")</f>
        <v>ENTREGADA GINTRACOM</v>
      </c>
      <c r="AR1684" s="65"/>
      <c r="AS1684" s="65"/>
      <c r="AT1684" s="65" t="str">
        <f>IFERROR(__xludf.DUMMYFUNCTION("""COMPUTED_VALUE"""),"SHOPIFY")</f>
        <v>SHOPIFY</v>
      </c>
      <c r="AU1684" s="65" t="str">
        <f>IFERROR(__xludf.DUMMYFUNCTION("""COMPUTED_VALUE"""),"IMPORTEX EC")</f>
        <v>IMPORTEX EC</v>
      </c>
      <c r="AV1684" s="65" t="str">
        <f>IFERROR(__xludf.DUMMYFUNCTION("""COMPUTED_VALUE"""),"6416927129644")</f>
        <v>6416927129644</v>
      </c>
      <c r="AW1684" s="65">
        <f>IFERROR(__xludf.DUMMYFUNCTION("""COMPUTED_VALUE"""),5259.0)</f>
        <v>5259</v>
      </c>
      <c r="AX1684" s="65"/>
      <c r="AY1684" s="65" t="str">
        <f>IFERROR(__xludf.DUMMYFUNCTION("""COMPUTED_VALUE"""),"17/01/2026")</f>
        <v>17/01/2026</v>
      </c>
      <c r="AZ1684" s="65"/>
      <c r="BA1684" s="65"/>
    </row>
    <row r="1685">
      <c r="A1685" s="65" t="str">
        <f>IFERROR(__xludf.DUMMYFUNCTION("""COMPUTED_VALUE"""),"27-03-2026")</f>
        <v>27-03-2026</v>
      </c>
      <c r="B1685" s="65">
        <f>IFERROR(__xludf.DUMMYFUNCTION("""COMPUTED_VALUE"""),4157740.0)</f>
        <v>4157740</v>
      </c>
      <c r="C1685" s="65" t="str">
        <f>IFERROR(__xludf.DUMMYFUNCTION("""COMPUTED_VALUE"""),"12:51")</f>
        <v>12:51</v>
      </c>
      <c r="D1685" s="65" t="str">
        <f>IFERROR(__xludf.DUMMYFUNCTION("""COMPUTED_VALUE"""),"15-01-2026")</f>
        <v>15-01-2026</v>
      </c>
      <c r="E1685" s="65" t="str">
        <f>IFERROR(__xludf.DUMMYFUNCTION("""COMPUTED_VALUE"""),"Oscar Mieles")</f>
        <v>Oscar Mieles</v>
      </c>
      <c r="F1685" s="65" t="str">
        <f>IFERROR(__xludf.DUMMYFUNCTION("""COMPUTED_VALUE"""),"988964789")</f>
        <v>988964789</v>
      </c>
      <c r="G1685" s="65"/>
      <c r="H1685" s="65"/>
      <c r="I1685" s="65"/>
      <c r="J1685" s="65" t="str">
        <f>IFERROR(__xludf.DUMMYFUNCTION("""COMPUTED_VALUE"""),"186988720")</f>
        <v>186988720</v>
      </c>
      <c r="K1685" s="65" t="str">
        <f>IFERROR(__xludf.DUMMYFUNCTION("""COMPUTED_VALUE"""),"ENTREGADO")</f>
        <v>ENTREGADO</v>
      </c>
      <c r="L1685" s="65" t="str">
        <f>IFERROR(__xludf.DUMMYFUNCTION("""COMPUTED_VALUE"""),"CON RECAUDO")</f>
        <v>CON RECAUDO</v>
      </c>
      <c r="M1685" s="65" t="str">
        <f>IFERROR(__xludf.DUMMYFUNCTION("""COMPUTED_VALUE"""),"MANABI")</f>
        <v>MANABI</v>
      </c>
      <c r="N1685" s="65" t="str">
        <f>IFERROR(__xludf.DUMMYFUNCTION("""COMPUTED_VALUE"""),"SANTA ANA (MANABI)")</f>
        <v>SANTA ANA (MANABI)</v>
      </c>
      <c r="O1685" s="65" t="str">
        <f>IFERROR(__xludf.DUMMYFUNCTION("""COMPUTED_VALUE"""),"Cdla Vuelta Larga, detrás del cuerpo de bomberos -")</f>
        <v>Cdla Vuelta Larga, detrás del cuerpo de bomberos -</v>
      </c>
      <c r="P1685" s="65"/>
      <c r="Q1685" s="65" t="str">
        <f>IFERROR(__xludf.DUMMYFUNCTION("""COMPUTED_VALUE"""),"SERVIENTREGA")</f>
        <v>SERVIENTREGA</v>
      </c>
      <c r="R1685" s="65">
        <f>IFERROR(__xludf.DUMMYFUNCTION("""COMPUTED_VALUE"""),22.0)</f>
        <v>22</v>
      </c>
      <c r="S1685" s="65">
        <f>IFERROR(__xludf.DUMMYFUNCTION("""COMPUTED_VALUE"""),9.1)</f>
        <v>9.1</v>
      </c>
      <c r="T1685" s="65">
        <f>IFERROR(__xludf.DUMMYFUNCTION("""COMPUTED_VALUE"""),7.7)</f>
        <v>7.7</v>
      </c>
      <c r="U1685" s="65">
        <f>IFERROR(__xludf.DUMMYFUNCTION("""COMPUTED_VALUE"""),0.0)</f>
        <v>0</v>
      </c>
      <c r="V1685" s="65">
        <f>IFERROR(__xludf.DUMMYFUNCTION("""COMPUTED_VALUE"""),0.0)</f>
        <v>0</v>
      </c>
      <c r="W1685" s="65">
        <f>IFERROR(__xludf.DUMMYFUNCTION("""COMPUTED_VALUE"""),0.0)</f>
        <v>0</v>
      </c>
      <c r="X1685" s="65">
        <f>IFERROR(__xludf.DUMMYFUNCTION("""COMPUTED_VALUE"""),2.6)</f>
        <v>2.6</v>
      </c>
      <c r="Y1685" s="65">
        <f>IFERROR(__xludf.DUMMYFUNCTION("""COMPUTED_VALUE"""),5.2)</f>
        <v>5.2</v>
      </c>
      <c r="Z1685" s="65">
        <f>IFERROR(__xludf.DUMMYFUNCTION("""COMPUTED_VALUE"""),121983.0)</f>
        <v>121983</v>
      </c>
      <c r="AA1685" s="65" t="str">
        <f>IFERROR(__xludf.DUMMYFUNCTION("""COMPUTED_VALUE"""),"PROV-CHLLCF")</f>
        <v>PROV-CHLLCF</v>
      </c>
      <c r="AB1685" s="65"/>
      <c r="AC1685" s="65" t="str">
        <f>IFERROR(__xludf.DUMMYFUNCTION("""COMPUTED_VALUE"""),"CUCHILLO PARA CHEF")</f>
        <v>CUCHILLO PARA CHEF</v>
      </c>
      <c r="AD1685" s="65"/>
      <c r="AE1685" s="65">
        <f>IFERROR(__xludf.DUMMYFUNCTION("""COMPUTED_VALUE"""),2.0)</f>
        <v>2</v>
      </c>
      <c r="AF1685" s="65"/>
      <c r="AG1685" s="65"/>
      <c r="AH1685" s="65"/>
      <c r="AI1685" s="65"/>
      <c r="AJ1685" s="65"/>
      <c r="AK1685" s="65"/>
      <c r="AL1685" s="65"/>
      <c r="AM1685" s="65"/>
      <c r="AN1685" s="65" t="str">
        <f>IFERROR(__xludf.DUMMYFUNCTION("""COMPUTED_VALUE"""),"16:17")</f>
        <v>16:17</v>
      </c>
      <c r="AO1685" s="65" t="str">
        <f>IFERROR(__xludf.DUMMYFUNCTION("""COMPUTED_VALUE"""),"26-01-2026")</f>
        <v>26-01-2026</v>
      </c>
      <c r="AP1685" s="65" t="str">
        <f>IFERROR(__xludf.DUMMYFUNCTION("""COMPUTED_VALUE"""),"REPORTADO ENTREGADO EN AGENCIA")</f>
        <v>REPORTADO ENTREGADO EN AGENCIA</v>
      </c>
      <c r="AQ1685" s="65" t="str">
        <f>IFERROR(__xludf.DUMMYFUNCTION("""COMPUTED_VALUE"""),"OSCAR")</f>
        <v>OSCAR</v>
      </c>
      <c r="AR1685" s="65"/>
      <c r="AS1685" s="65"/>
      <c r="AT1685" s="65" t="str">
        <f>IFERROR(__xludf.DUMMYFUNCTION("""COMPUTED_VALUE"""),"SHOPIFY")</f>
        <v>SHOPIFY</v>
      </c>
      <c r="AU1685" s="65" t="str">
        <f>IFERROR(__xludf.DUMMYFUNCTION("""COMPUTED_VALUE"""),"IMPORTEX EC")</f>
        <v>IMPORTEX EC</v>
      </c>
      <c r="AV1685" s="65" t="str">
        <f>IFERROR(__xludf.DUMMYFUNCTION("""COMPUTED_VALUE"""),"6416808214572")</f>
        <v>6416808214572</v>
      </c>
      <c r="AW1685" s="65">
        <f>IFERROR(__xludf.DUMMYFUNCTION("""COMPUTED_VALUE"""),5258.0)</f>
        <v>5258</v>
      </c>
      <c r="AX1685" s="65"/>
      <c r="AY1685" s="65" t="str">
        <f>IFERROR(__xludf.DUMMYFUNCTION("""COMPUTED_VALUE"""),"17/01/2026")</f>
        <v>17/01/2026</v>
      </c>
      <c r="AZ1685" s="65"/>
      <c r="BA1685" s="65"/>
    </row>
    <row r="1686">
      <c r="A1686" s="65" t="str">
        <f>IFERROR(__xludf.DUMMYFUNCTION("""COMPUTED_VALUE"""),"27-03-2026")</f>
        <v>27-03-2026</v>
      </c>
      <c r="B1686" s="65">
        <f>IFERROR(__xludf.DUMMYFUNCTION("""COMPUTED_VALUE"""),4157641.0)</f>
        <v>4157641</v>
      </c>
      <c r="C1686" s="65" t="str">
        <f>IFERROR(__xludf.DUMMYFUNCTION("""COMPUTED_VALUE"""),"12:43")</f>
        <v>12:43</v>
      </c>
      <c r="D1686" s="65" t="str">
        <f>IFERROR(__xludf.DUMMYFUNCTION("""COMPUTED_VALUE"""),"15-01-2026")</f>
        <v>15-01-2026</v>
      </c>
      <c r="E1686" s="65" t="str">
        <f>IFERROR(__xludf.DUMMYFUNCTION("""COMPUTED_VALUE"""),"Erika tatiana Sanchez feijoo")</f>
        <v>Erika tatiana Sanchez feijoo</v>
      </c>
      <c r="F1686" s="65" t="str">
        <f>IFERROR(__xludf.DUMMYFUNCTION("""COMPUTED_VALUE"""),"990092741")</f>
        <v>990092741</v>
      </c>
      <c r="G1686" s="65" t="str">
        <f>IFERROR(__xludf.DUMMYFUNCTION("""COMPUTED_VALUE"""),"erikafeijoo16@gmail.com")</f>
        <v>erikafeijoo16@gmail.com</v>
      </c>
      <c r="H1686" s="65"/>
      <c r="I1686" s="65"/>
      <c r="J1686" s="65" t="str">
        <f>IFERROR(__xludf.DUMMYFUNCTION("""COMPUTED_VALUE"""),"D001234348")</f>
        <v>D001234348</v>
      </c>
      <c r="K1686" s="65" t="str">
        <f>IFERROR(__xludf.DUMMYFUNCTION("""COMPUTED_VALUE"""),"DEVOLUCION")</f>
        <v>DEVOLUCION</v>
      </c>
      <c r="L1686" s="65" t="str">
        <f>IFERROR(__xludf.DUMMYFUNCTION("""COMPUTED_VALUE"""),"CON RECAUDO")</f>
        <v>CON RECAUDO</v>
      </c>
      <c r="M1686" s="65" t="str">
        <f>IFERROR(__xludf.DUMMYFUNCTION("""COMPUTED_VALUE"""),"GUAYAS")</f>
        <v>GUAYAS</v>
      </c>
      <c r="N1686" s="65" t="str">
        <f>IFERROR(__xludf.DUMMYFUNCTION("""COMPUTED_VALUE"""),"NARANJAL")</f>
        <v>NARANJAL</v>
      </c>
      <c r="O1686" s="65" t="str">
        <f>IFERROR(__xludf.DUMMYFUNCTION("""COMPUTED_VALUE"""),"Mercado nuebo Av olmedo e idependencia -")</f>
        <v>Mercado nuebo Av olmedo e idependencia -</v>
      </c>
      <c r="P1686" s="65"/>
      <c r="Q1686" s="65" t="str">
        <f>IFERROR(__xludf.DUMMYFUNCTION("""COMPUTED_VALUE"""),"GINTRACOM")</f>
        <v>GINTRACOM</v>
      </c>
      <c r="R1686" s="65">
        <f>IFERROR(__xludf.DUMMYFUNCTION("""COMPUTED_VALUE"""),25.0)</f>
        <v>25</v>
      </c>
      <c r="S1686" s="65"/>
      <c r="T1686" s="65">
        <f>IFERROR(__xludf.DUMMYFUNCTION("""COMPUTED_VALUE"""),5.96)</f>
        <v>5.96</v>
      </c>
      <c r="U1686" s="65">
        <f>IFERROR(__xludf.DUMMYFUNCTION("""COMPUTED_VALUE"""),0.0)</f>
        <v>0</v>
      </c>
      <c r="V1686" s="65">
        <f>IFERROR(__xludf.DUMMYFUNCTION("""COMPUTED_VALUE"""),0.0)</f>
        <v>0</v>
      </c>
      <c r="W1686" s="65">
        <f>IFERROR(__xludf.DUMMYFUNCTION("""COMPUTED_VALUE"""),0.0)</f>
        <v>0</v>
      </c>
      <c r="X1686" s="65">
        <f>IFERROR(__xludf.DUMMYFUNCTION("""COMPUTED_VALUE"""),2.35)</f>
        <v>2.35</v>
      </c>
      <c r="Y1686" s="65">
        <f>IFERROR(__xludf.DUMMYFUNCTION("""COMPUTED_VALUE"""),4.7)</f>
        <v>4.7</v>
      </c>
      <c r="Z1686" s="65">
        <f>IFERROR(__xludf.DUMMYFUNCTION("""COMPUTED_VALUE"""),116679.0)</f>
        <v>116679</v>
      </c>
      <c r="AA1686" s="65" t="str">
        <f>IFERROR(__xludf.DUMMYFUNCTION("""COMPUTED_VALUE"""),"AMC-2738")</f>
        <v>AMC-2738</v>
      </c>
      <c r="AB1686" s="65"/>
      <c r="AC1686" s="65" t="str">
        <f>IFERROR(__xludf.DUMMYFUNCTION("""COMPUTED_VALUE"""),"ESPONJA ANTILLUVIA DE PARABRISAS")</f>
        <v>ESPONJA ANTILLUVIA DE PARABRISAS</v>
      </c>
      <c r="AD1686" s="65"/>
      <c r="AE1686" s="65">
        <f>IFERROR(__xludf.DUMMYFUNCTION("""COMPUTED_VALUE"""),2.0)</f>
        <v>2</v>
      </c>
      <c r="AF1686" s="65" t="str">
        <f>IFERROR(__xludf.DUMMYFUNCTION("""COMPUTED_VALUE"""),"DESTINATARIO NO CONTESTA LLAMADAS NI WHATSAPP")</f>
        <v>DESTINATARIO NO CONTESTA LLAMADAS NI WHATSAPP</v>
      </c>
      <c r="AG1686" s="65" t="str">
        <f>IFERROR(__xludf.DUMMYFUNCTION("""COMPUTED_VALUE"""),"NO")</f>
        <v>NO</v>
      </c>
      <c r="AH1686" s="65" t="str">
        <f>IFERROR(__xludf.DUMMYFUNCTION("""COMPUTED_VALUE"""),"09:00")</f>
        <v>09:00</v>
      </c>
      <c r="AI1686" s="65" t="str">
        <f>IFERROR(__xludf.DUMMYFUNCTION("""COMPUTED_VALUE"""),"25-01-2026")</f>
        <v>25-01-2026</v>
      </c>
      <c r="AJ1686" s="65"/>
      <c r="AK1686" s="65"/>
      <c r="AL1686" s="65"/>
      <c r="AM1686" s="65"/>
      <c r="AN1686" s="65" t="str">
        <f>IFERROR(__xludf.DUMMYFUNCTION("""COMPUTED_VALUE"""),"10:53")</f>
        <v>10:53</v>
      </c>
      <c r="AO1686" s="65" t="str">
        <f>IFERROR(__xludf.DUMMYFUNCTION("""COMPUTED_VALUE"""),"10-02-2026")</f>
        <v>10-02-2026</v>
      </c>
      <c r="AP1686" s="65" t="str">
        <f>IFERROR(__xludf.DUMMYFUNCTION("""COMPUTED_VALUE"""),"DEVOLUCIÓN ENTREGADA A ORIGEN")</f>
        <v>DEVOLUCIÓN ENTREGADA A ORIGEN</v>
      </c>
      <c r="AQ1686" s="65" t="str">
        <f>IFERROR(__xludf.DUMMYFUNCTION("""COMPUTED_VALUE"""),"DEVOLUCIÓN ENTREGADA A ORIGEN")</f>
        <v>DEVOLUCIÓN ENTREGADA A ORIGEN</v>
      </c>
      <c r="AR1686" s="65"/>
      <c r="AS1686" s="65"/>
      <c r="AT1686" s="65" t="str">
        <f>IFERROR(__xludf.DUMMYFUNCTION("""COMPUTED_VALUE"""),"SHOPIFY")</f>
        <v>SHOPIFY</v>
      </c>
      <c r="AU1686" s="65" t="str">
        <f>IFERROR(__xludf.DUMMYFUNCTION("""COMPUTED_VALUE"""),"IMPORTEX EC")</f>
        <v>IMPORTEX EC</v>
      </c>
      <c r="AV1686" s="65" t="str">
        <f>IFERROR(__xludf.DUMMYFUNCTION("""COMPUTED_VALUE"""),"6416786882604")</f>
        <v>6416786882604</v>
      </c>
      <c r="AW1686" s="65">
        <f>IFERROR(__xludf.DUMMYFUNCTION("""COMPUTED_VALUE"""),5257.0)</f>
        <v>5257</v>
      </c>
      <c r="AX1686" s="65"/>
      <c r="AY1686" s="65" t="str">
        <f>IFERROR(__xludf.DUMMYFUNCTION("""COMPUTED_VALUE"""),"17/01/2026")</f>
        <v>17/01/2026</v>
      </c>
      <c r="AZ1686" s="65"/>
      <c r="BA1686" s="65"/>
    </row>
    <row r="1687">
      <c r="A1687" s="65" t="str">
        <f>IFERROR(__xludf.DUMMYFUNCTION("""COMPUTED_VALUE"""),"27-03-2026")</f>
        <v>27-03-2026</v>
      </c>
      <c r="B1687" s="65">
        <f>IFERROR(__xludf.DUMMYFUNCTION("""COMPUTED_VALUE"""),4157486.0)</f>
        <v>4157486</v>
      </c>
      <c r="C1687" s="65" t="str">
        <f>IFERROR(__xludf.DUMMYFUNCTION("""COMPUTED_VALUE"""),"12:28")</f>
        <v>12:28</v>
      </c>
      <c r="D1687" s="65" t="str">
        <f>IFERROR(__xludf.DUMMYFUNCTION("""COMPUTED_VALUE"""),"15-01-2026")</f>
        <v>15-01-2026</v>
      </c>
      <c r="E1687" s="65" t="str">
        <f>IFERROR(__xludf.DUMMYFUNCTION("""COMPUTED_VALUE"""),"Vinicio Sarmiento")</f>
        <v>Vinicio Sarmiento</v>
      </c>
      <c r="F1687" s="65" t="str">
        <f>IFERROR(__xludf.DUMMYFUNCTION("""COMPUTED_VALUE"""),"995835427")</f>
        <v>995835427</v>
      </c>
      <c r="G1687" s="65" t="str">
        <f>IFERROR(__xludf.DUMMYFUNCTION("""COMPUTED_VALUE"""),"crist.sarmiento05@icloud.com")</f>
        <v>crist.sarmiento05@icloud.com</v>
      </c>
      <c r="H1687" s="65"/>
      <c r="I1687" s="65"/>
      <c r="J1687" s="65" t="str">
        <f>IFERROR(__xludf.DUMMYFUNCTION("""COMPUTED_VALUE"""),"D001234349")</f>
        <v>D001234349</v>
      </c>
      <c r="K1687" s="65" t="str">
        <f>IFERROR(__xludf.DUMMYFUNCTION("""COMPUTED_VALUE"""),"ENTREGADO")</f>
        <v>ENTREGADO</v>
      </c>
      <c r="L1687" s="65" t="str">
        <f>IFERROR(__xludf.DUMMYFUNCTION("""COMPUTED_VALUE"""),"CON RECAUDO")</f>
        <v>CON RECAUDO</v>
      </c>
      <c r="M1687" s="65" t="str">
        <f>IFERROR(__xludf.DUMMYFUNCTION("""COMPUTED_VALUE"""),"AZUAY")</f>
        <v>AZUAY</v>
      </c>
      <c r="N1687" s="65" t="str">
        <f>IFERROR(__xludf.DUMMYFUNCTION("""COMPUTED_VALUE"""),"CUENCA")</f>
        <v>CUENCA</v>
      </c>
      <c r="O1687" s="65" t="str">
        <f>IFERROR(__xludf.DUMMYFUNCTION("""COMPUTED_VALUE"""),"Paseo Tres de noviembre y los cipreces, Ed Las Terrazas")</f>
        <v>Paseo Tres de noviembre y los cipreces, Ed Las Terrazas</v>
      </c>
      <c r="P1687" s="65"/>
      <c r="Q1687" s="65" t="str">
        <f>IFERROR(__xludf.DUMMYFUNCTION("""COMPUTED_VALUE"""),"GINTRACOM")</f>
        <v>GINTRACOM</v>
      </c>
      <c r="R1687" s="65">
        <f>IFERROR(__xludf.DUMMYFUNCTION("""COMPUTED_VALUE"""),25.0)</f>
        <v>25</v>
      </c>
      <c r="S1687" s="65">
        <f>IFERROR(__xludf.DUMMYFUNCTION("""COMPUTED_VALUE"""),14.34)</f>
        <v>14.34</v>
      </c>
      <c r="T1687" s="65">
        <f>IFERROR(__xludf.DUMMYFUNCTION("""COMPUTED_VALUE"""),5.96)</f>
        <v>5.96</v>
      </c>
      <c r="U1687" s="65">
        <f>IFERROR(__xludf.DUMMYFUNCTION("""COMPUTED_VALUE"""),0.0)</f>
        <v>0</v>
      </c>
      <c r="V1687" s="65">
        <f>IFERROR(__xludf.DUMMYFUNCTION("""COMPUTED_VALUE"""),0.0)</f>
        <v>0</v>
      </c>
      <c r="W1687" s="65">
        <f>IFERROR(__xludf.DUMMYFUNCTION("""COMPUTED_VALUE"""),0.0)</f>
        <v>0</v>
      </c>
      <c r="X1687" s="65">
        <f>IFERROR(__xludf.DUMMYFUNCTION("""COMPUTED_VALUE"""),2.35)</f>
        <v>2.35</v>
      </c>
      <c r="Y1687" s="65">
        <f>IFERROR(__xludf.DUMMYFUNCTION("""COMPUTED_VALUE"""),4.7)</f>
        <v>4.7</v>
      </c>
      <c r="Z1687" s="65">
        <f>IFERROR(__xludf.DUMMYFUNCTION("""COMPUTED_VALUE"""),116679.0)</f>
        <v>116679</v>
      </c>
      <c r="AA1687" s="65" t="str">
        <f>IFERROR(__xludf.DUMMYFUNCTION("""COMPUTED_VALUE"""),"AMC-2738")</f>
        <v>AMC-2738</v>
      </c>
      <c r="AB1687" s="65"/>
      <c r="AC1687" s="65" t="str">
        <f>IFERROR(__xludf.DUMMYFUNCTION("""COMPUTED_VALUE"""),"ESPONJA ANTILLUVIA DE PARABRISAS")</f>
        <v>ESPONJA ANTILLUVIA DE PARABRISAS</v>
      </c>
      <c r="AD1687" s="65"/>
      <c r="AE1687" s="65">
        <f>IFERROR(__xludf.DUMMYFUNCTION("""COMPUTED_VALUE"""),2.0)</f>
        <v>2</v>
      </c>
      <c r="AF1687" s="65"/>
      <c r="AG1687" s="65"/>
      <c r="AH1687" s="65"/>
      <c r="AI1687" s="65"/>
      <c r="AJ1687" s="65"/>
      <c r="AK1687" s="65"/>
      <c r="AL1687" s="65"/>
      <c r="AM1687" s="65"/>
      <c r="AN1687" s="65" t="str">
        <f>IFERROR(__xludf.DUMMYFUNCTION("""COMPUTED_VALUE"""),"13:13")</f>
        <v>13:13</v>
      </c>
      <c r="AO1687" s="65" t="str">
        <f>IFERROR(__xludf.DUMMYFUNCTION("""COMPUTED_VALUE"""),"21-01-2026")</f>
        <v>21-01-2026</v>
      </c>
      <c r="AP1687" s="65" t="str">
        <f>IFERROR(__xludf.DUMMYFUNCTION("""COMPUTED_VALUE"""),"ENTREGADA GINTRACOM")</f>
        <v>ENTREGADA GINTRACOM</v>
      </c>
      <c r="AQ1687" s="65" t="str">
        <f>IFERROR(__xludf.DUMMYFUNCTION("""COMPUTED_VALUE"""),"ENTREGADA GINTRACOM")</f>
        <v>ENTREGADA GINTRACOM</v>
      </c>
      <c r="AR1687" s="65"/>
      <c r="AS1687" s="65"/>
      <c r="AT1687" s="65" t="str">
        <f>IFERROR(__xludf.DUMMYFUNCTION("""COMPUTED_VALUE"""),"SHOPIFY")</f>
        <v>SHOPIFY</v>
      </c>
      <c r="AU1687" s="65" t="str">
        <f>IFERROR(__xludf.DUMMYFUNCTION("""COMPUTED_VALUE"""),"IMPORTEX EC")</f>
        <v>IMPORTEX EC</v>
      </c>
      <c r="AV1687" s="65" t="str">
        <f>IFERROR(__xludf.DUMMYFUNCTION("""COMPUTED_VALUE"""),"6416753393708")</f>
        <v>6416753393708</v>
      </c>
      <c r="AW1687" s="65">
        <f>IFERROR(__xludf.DUMMYFUNCTION("""COMPUTED_VALUE"""),5256.0)</f>
        <v>5256</v>
      </c>
      <c r="AX1687" s="65"/>
      <c r="AY1687" s="65" t="str">
        <f>IFERROR(__xludf.DUMMYFUNCTION("""COMPUTED_VALUE"""),"17/01/2026")</f>
        <v>17/01/2026</v>
      </c>
      <c r="AZ1687" s="65"/>
      <c r="BA1687" s="65"/>
    </row>
    <row r="1688">
      <c r="A1688" s="65" t="str">
        <f>IFERROR(__xludf.DUMMYFUNCTION("""COMPUTED_VALUE"""),"27-03-2026")</f>
        <v>27-03-2026</v>
      </c>
      <c r="B1688" s="65">
        <f>IFERROR(__xludf.DUMMYFUNCTION("""COMPUTED_VALUE"""),4157343.0)</f>
        <v>4157343</v>
      </c>
      <c r="C1688" s="65" t="str">
        <f>IFERROR(__xludf.DUMMYFUNCTION("""COMPUTED_VALUE"""),"12:13")</f>
        <v>12:13</v>
      </c>
      <c r="D1688" s="65" t="str">
        <f>IFERROR(__xludf.DUMMYFUNCTION("""COMPUTED_VALUE"""),"15-01-2026")</f>
        <v>15-01-2026</v>
      </c>
      <c r="E1688" s="65" t="str">
        <f>IFERROR(__xludf.DUMMYFUNCTION("""COMPUTED_VALUE"""),"Miguel Durán")</f>
        <v>Miguel Durán</v>
      </c>
      <c r="F1688" s="65" t="str">
        <f>IFERROR(__xludf.DUMMYFUNCTION("""COMPUTED_VALUE"""),"998228760")</f>
        <v>998228760</v>
      </c>
      <c r="G1688" s="65" t="str">
        <f>IFERROR(__xludf.DUMMYFUNCTION("""COMPUTED_VALUE"""),"maicollopez16@hotmail.com")</f>
        <v>maicollopez16@hotmail.com</v>
      </c>
      <c r="H1688" s="65"/>
      <c r="I1688" s="65"/>
      <c r="J1688" s="65" t="str">
        <f>IFERROR(__xludf.DUMMYFUNCTION("""COMPUTED_VALUE"""),"D001234350")</f>
        <v>D001234350</v>
      </c>
      <c r="K1688" s="65" t="str">
        <f>IFERROR(__xludf.DUMMYFUNCTION("""COMPUTED_VALUE"""),"ENTREGADO")</f>
        <v>ENTREGADO</v>
      </c>
      <c r="L1688" s="65" t="str">
        <f>IFERROR(__xludf.DUMMYFUNCTION("""COMPUTED_VALUE"""),"CON RECAUDO")</f>
        <v>CON RECAUDO</v>
      </c>
      <c r="M1688" s="65" t="str">
        <f>IFERROR(__xludf.DUMMYFUNCTION("""COMPUTED_VALUE"""),"GUAYAS")</f>
        <v>GUAYAS</v>
      </c>
      <c r="N1688" s="65" t="str">
        <f>IFERROR(__xludf.DUMMYFUNCTION("""COMPUTED_VALUE"""),"GUAYAQUIL")</f>
        <v>GUAYAQUIL</v>
      </c>
      <c r="O1688" s="65" t="str">
        <f>IFERROR(__xludf.DUMMYFUNCTION("""COMPUTED_VALUE"""),"12 1/2 via daule Frente a la estacion de la metrovia - Colinas del sol")</f>
        <v>12 1/2 via daule Frente a la estacion de la metrovia - Colinas del sol</v>
      </c>
      <c r="P1688" s="65"/>
      <c r="Q1688" s="65" t="str">
        <f>IFERROR(__xludf.DUMMYFUNCTION("""COMPUTED_VALUE"""),"GINTRACOM")</f>
        <v>GINTRACOM</v>
      </c>
      <c r="R1688" s="65">
        <f>IFERROR(__xludf.DUMMYFUNCTION("""COMPUTED_VALUE"""),30.0)</f>
        <v>30</v>
      </c>
      <c r="S1688" s="65">
        <f>IFERROR(__xludf.DUMMYFUNCTION("""COMPUTED_VALUE"""),16.79)</f>
        <v>16.79</v>
      </c>
      <c r="T1688" s="65">
        <f>IFERROR(__xludf.DUMMYFUNCTION("""COMPUTED_VALUE"""),6.16)</f>
        <v>6.16</v>
      </c>
      <c r="U1688" s="65">
        <f>IFERROR(__xludf.DUMMYFUNCTION("""COMPUTED_VALUE"""),0.0)</f>
        <v>0</v>
      </c>
      <c r="V1688" s="65">
        <f>IFERROR(__xludf.DUMMYFUNCTION("""COMPUTED_VALUE"""),0.0)</f>
        <v>0</v>
      </c>
      <c r="W1688" s="65">
        <f>IFERROR(__xludf.DUMMYFUNCTION("""COMPUTED_VALUE"""),0.0)</f>
        <v>0</v>
      </c>
      <c r="X1688" s="65">
        <f>IFERROR(__xludf.DUMMYFUNCTION("""COMPUTED_VALUE"""),2.35)</f>
        <v>2.35</v>
      </c>
      <c r="Y1688" s="65">
        <f>IFERROR(__xludf.DUMMYFUNCTION("""COMPUTED_VALUE"""),7.05)</f>
        <v>7.05</v>
      </c>
      <c r="Z1688" s="65">
        <f>IFERROR(__xludf.DUMMYFUNCTION("""COMPUTED_VALUE"""),116679.0)</f>
        <v>116679</v>
      </c>
      <c r="AA1688" s="65" t="str">
        <f>IFERROR(__xludf.DUMMYFUNCTION("""COMPUTED_VALUE"""),"AMC-2738")</f>
        <v>AMC-2738</v>
      </c>
      <c r="AB1688" s="65"/>
      <c r="AC1688" s="65" t="str">
        <f>IFERROR(__xludf.DUMMYFUNCTION("""COMPUTED_VALUE"""),"ESPONJA ANTILLUVIA DE PARABRISAS")</f>
        <v>ESPONJA ANTILLUVIA DE PARABRISAS</v>
      </c>
      <c r="AD1688" s="65"/>
      <c r="AE1688" s="65">
        <f>IFERROR(__xludf.DUMMYFUNCTION("""COMPUTED_VALUE"""),3.0)</f>
        <v>3</v>
      </c>
      <c r="AF1688" s="65" t="str">
        <f>IFERROR(__xludf.DUMMYFUNCTION("""COMPUTED_VALUE"""),"DESTINATARIO INDICA QUE SE ENCUENTRA FUERA DE LA CIUDAD")</f>
        <v>DESTINATARIO INDICA QUE SE ENCUENTRA FUERA DE LA CIUDAD</v>
      </c>
      <c r="AG1688" s="65" t="str">
        <f>IFERROR(__xludf.DUMMYFUNCTION("""COMPUTED_VALUE"""),"SI")</f>
        <v>SI</v>
      </c>
      <c r="AH1688" s="65" t="str">
        <f>IFERROR(__xludf.DUMMYFUNCTION("""COMPUTED_VALUE"""),"11:01")</f>
        <v>11:01</v>
      </c>
      <c r="AI1688" s="65" t="str">
        <f>IFERROR(__xludf.DUMMYFUNCTION("""COMPUTED_VALUE"""),"21-01-2026")</f>
        <v>21-01-2026</v>
      </c>
      <c r="AJ1688" s="65"/>
      <c r="AK1688" s="65"/>
      <c r="AL1688" s="65"/>
      <c r="AM1688" s="65"/>
      <c r="AN1688" s="65" t="str">
        <f>IFERROR(__xludf.DUMMYFUNCTION("""COMPUTED_VALUE"""),"12:56")</f>
        <v>12:56</v>
      </c>
      <c r="AO1688" s="65" t="str">
        <f>IFERROR(__xludf.DUMMYFUNCTION("""COMPUTED_VALUE"""),"16-02-2026")</f>
        <v>16-02-2026</v>
      </c>
      <c r="AP1688" s="65" t="str">
        <f>IFERROR(__xludf.DUMMYFUNCTION("""COMPUTED_VALUE"""),"ENTREGADA GINTRACOM")</f>
        <v>ENTREGADA GINTRACOM</v>
      </c>
      <c r="AQ1688" s="65" t="str">
        <f>IFERROR(__xludf.DUMMYFUNCTION("""COMPUTED_VALUE"""),"ENTREGADA GINTRACOM")</f>
        <v>ENTREGADA GINTRACOM</v>
      </c>
      <c r="AR1688" s="65"/>
      <c r="AS1688" s="65"/>
      <c r="AT1688" s="65" t="str">
        <f>IFERROR(__xludf.DUMMYFUNCTION("""COMPUTED_VALUE"""),"SHOPIFY")</f>
        <v>SHOPIFY</v>
      </c>
      <c r="AU1688" s="65" t="str">
        <f>IFERROR(__xludf.DUMMYFUNCTION("""COMPUTED_VALUE"""),"IMPORTEX EC")</f>
        <v>IMPORTEX EC</v>
      </c>
      <c r="AV1688" s="65" t="str">
        <f>IFERROR(__xludf.DUMMYFUNCTION("""COMPUTED_VALUE"""),"6416707977260")</f>
        <v>6416707977260</v>
      </c>
      <c r="AW1688" s="65">
        <f>IFERROR(__xludf.DUMMYFUNCTION("""COMPUTED_VALUE"""),5254.0)</f>
        <v>5254</v>
      </c>
      <c r="AX1688" s="65"/>
      <c r="AY1688" s="65" t="str">
        <f>IFERROR(__xludf.DUMMYFUNCTION("""COMPUTED_VALUE"""),"17/01/2026")</f>
        <v>17/01/2026</v>
      </c>
      <c r="AZ1688" s="65"/>
      <c r="BA1688" s="65"/>
    </row>
    <row r="1689">
      <c r="A1689" s="65" t="str">
        <f>IFERROR(__xludf.DUMMYFUNCTION("""COMPUTED_VALUE"""),"27-03-2026")</f>
        <v>27-03-2026</v>
      </c>
      <c r="B1689" s="65">
        <f>IFERROR(__xludf.DUMMYFUNCTION("""COMPUTED_VALUE"""),4157334.0)</f>
        <v>4157334</v>
      </c>
      <c r="C1689" s="65" t="str">
        <f>IFERROR(__xludf.DUMMYFUNCTION("""COMPUTED_VALUE"""),"12:12")</f>
        <v>12:12</v>
      </c>
      <c r="D1689" s="65" t="str">
        <f>IFERROR(__xludf.DUMMYFUNCTION("""COMPUTED_VALUE"""),"15-01-2026")</f>
        <v>15-01-2026</v>
      </c>
      <c r="E1689" s="65" t="str">
        <f>IFERROR(__xludf.DUMMYFUNCTION("""COMPUTED_VALUE"""),"Margarita Rojas")</f>
        <v>Margarita Rojas</v>
      </c>
      <c r="F1689" s="65" t="str">
        <f>IFERROR(__xludf.DUMMYFUNCTION("""COMPUTED_VALUE"""),"978824087")</f>
        <v>978824087</v>
      </c>
      <c r="G1689" s="65" t="str">
        <f>IFERROR(__xludf.DUMMYFUNCTION("""COMPUTED_VALUE"""),"margarita.rojas@yahoo.com")</f>
        <v>margarita.rojas@yahoo.com</v>
      </c>
      <c r="H1689" s="65"/>
      <c r="I1689" s="65"/>
      <c r="J1689" s="65"/>
      <c r="K1689" s="65" t="str">
        <f>IFERROR(__xludf.DUMMYFUNCTION("""COMPUTED_VALUE"""),"CANCELADO")</f>
        <v>CANCELADO</v>
      </c>
      <c r="L1689" s="65" t="str">
        <f>IFERROR(__xludf.DUMMYFUNCTION("""COMPUTED_VALUE"""),"CON RECAUDO")</f>
        <v>CON RECAUDO</v>
      </c>
      <c r="M1689" s="65" t="str">
        <f>IFERROR(__xludf.DUMMYFUNCTION("""COMPUTED_VALUE"""),"BOLIVAR")</f>
        <v>BOLIVAR</v>
      </c>
      <c r="N1689" s="65" t="str">
        <f>IFERROR(__xludf.DUMMYFUNCTION("""COMPUTED_VALUE"""),"GUARANDA")</f>
        <v>GUARANDA</v>
      </c>
      <c r="O1689" s="65" t="str">
        <f>IFERROR(__xludf.DUMMYFUNCTION("""COMPUTED_VALUE"""),"Calle Tirso Poveda y Jaime Roldos Cdla Primero de Mayo, cerca al coliseo de la Primero de Mayo - Villa # 6")</f>
        <v>Calle Tirso Poveda y Jaime Roldos Cdla Primero de Mayo, cerca al coliseo de la Primero de Mayo - Villa # 6</v>
      </c>
      <c r="P1689" s="65" t="str">
        <f>IFERROR(__xludf.DUMMYFUNCTION("""COMPUTED_VALUE"""),"(SERVIENTREGA) CS: GUARANDA_CDLA UNIVERSITARIA / AV. ERNESTO CHE GUEVARA S/N ENTRE LUIS B ARRE Y GABRIELA IGNACIO VEINTIMILLA")</f>
        <v>(SERVIENTREGA) CS: GUARANDA_CDLA UNIVERSITARIA / AV. ERNESTO CHE GUEVARA S/N ENTRE LUIS B ARRE Y GABRIELA IGNACIO VEINTIMILLA</v>
      </c>
      <c r="Q1689" s="65" t="str">
        <f>IFERROR(__xludf.DUMMYFUNCTION("""COMPUTED_VALUE"""),"GINTRACOM")</f>
        <v>GINTRACOM</v>
      </c>
      <c r="R1689" s="65">
        <f>IFERROR(__xludf.DUMMYFUNCTION("""COMPUTED_VALUE"""),27.0)</f>
        <v>27</v>
      </c>
      <c r="S1689" s="65"/>
      <c r="T1689" s="65">
        <f>IFERROR(__xludf.DUMMYFUNCTION("""COMPUTED_VALUE"""),6.03)</f>
        <v>6.03</v>
      </c>
      <c r="U1689" s="65">
        <f>IFERROR(__xludf.DUMMYFUNCTION("""COMPUTED_VALUE"""),0.0)</f>
        <v>0</v>
      </c>
      <c r="V1689" s="65">
        <f>IFERROR(__xludf.DUMMYFUNCTION("""COMPUTED_VALUE"""),0.0)</f>
        <v>0</v>
      </c>
      <c r="W1689" s="65">
        <f>IFERROR(__xludf.DUMMYFUNCTION("""COMPUTED_VALUE"""),0.0)</f>
        <v>0</v>
      </c>
      <c r="X1689" s="65">
        <f>IFERROR(__xludf.DUMMYFUNCTION("""COMPUTED_VALUE"""),2.6)</f>
        <v>2.6</v>
      </c>
      <c r="Y1689" s="65">
        <f>IFERROR(__xludf.DUMMYFUNCTION("""COMPUTED_VALUE"""),7.8)</f>
        <v>7.8</v>
      </c>
      <c r="Z1689" s="65">
        <f>IFERROR(__xludf.DUMMYFUNCTION("""COMPUTED_VALUE"""),121983.0)</f>
        <v>121983</v>
      </c>
      <c r="AA1689" s="65" t="str">
        <f>IFERROR(__xludf.DUMMYFUNCTION("""COMPUTED_VALUE"""),"PROV-CHLLCF")</f>
        <v>PROV-CHLLCF</v>
      </c>
      <c r="AB1689" s="65"/>
      <c r="AC1689" s="65" t="str">
        <f>IFERROR(__xludf.DUMMYFUNCTION("""COMPUTED_VALUE"""),"CUCHILLO PARA CHEF")</f>
        <v>CUCHILLO PARA CHEF</v>
      </c>
      <c r="AD1689" s="65"/>
      <c r="AE1689" s="65">
        <f>IFERROR(__xludf.DUMMYFUNCTION("""COMPUTED_VALUE"""),3.0)</f>
        <v>3</v>
      </c>
      <c r="AF1689" s="65"/>
      <c r="AG1689" s="65"/>
      <c r="AH1689" s="65"/>
      <c r="AI1689" s="65"/>
      <c r="AJ1689" s="65"/>
      <c r="AK1689" s="65"/>
      <c r="AL1689" s="65"/>
      <c r="AM1689" s="65"/>
      <c r="AN1689" s="65"/>
      <c r="AO1689" s="65"/>
      <c r="AP1689" s="65"/>
      <c r="AQ1689" s="65"/>
      <c r="AR1689" s="65"/>
      <c r="AS1689" s="65"/>
      <c r="AT1689" s="65" t="str">
        <f>IFERROR(__xludf.DUMMYFUNCTION("""COMPUTED_VALUE"""),"SHOPIFY")</f>
        <v>SHOPIFY</v>
      </c>
      <c r="AU1689" s="65" t="str">
        <f>IFERROR(__xludf.DUMMYFUNCTION("""COMPUTED_VALUE"""),"IMPORTEX EC")</f>
        <v>IMPORTEX EC</v>
      </c>
      <c r="AV1689" s="65" t="str">
        <f>IFERROR(__xludf.DUMMYFUNCTION("""COMPUTED_VALUE"""),"6416705454124")</f>
        <v>6416705454124</v>
      </c>
      <c r="AW1689" s="65">
        <f>IFERROR(__xludf.DUMMYFUNCTION("""COMPUTED_VALUE"""),5253.0)</f>
        <v>5253</v>
      </c>
      <c r="AX1689" s="65"/>
      <c r="AY1689" s="65"/>
      <c r="AZ1689" s="65"/>
      <c r="BA1689" s="65"/>
    </row>
    <row r="1690">
      <c r="A1690" s="65" t="str">
        <f>IFERROR(__xludf.DUMMYFUNCTION("""COMPUTED_VALUE"""),"27-03-2026")</f>
        <v>27-03-2026</v>
      </c>
      <c r="B1690" s="65">
        <f>IFERROR(__xludf.DUMMYFUNCTION("""COMPUTED_VALUE"""),4157018.0)</f>
        <v>4157018</v>
      </c>
      <c r="C1690" s="65" t="str">
        <f>IFERROR(__xludf.DUMMYFUNCTION("""COMPUTED_VALUE"""),"11:50")</f>
        <v>11:50</v>
      </c>
      <c r="D1690" s="65" t="str">
        <f>IFERROR(__xludf.DUMMYFUNCTION("""COMPUTED_VALUE"""),"15-01-2026")</f>
        <v>15-01-2026</v>
      </c>
      <c r="E1690" s="65" t="str">
        <f>IFERROR(__xludf.DUMMYFUNCTION("""COMPUTED_VALUE"""),"Nelly Sandoval")</f>
        <v>Nelly Sandoval</v>
      </c>
      <c r="F1690" s="65" t="str">
        <f>IFERROR(__xludf.DUMMYFUNCTION("""COMPUTED_VALUE"""),"997728997")</f>
        <v>997728997</v>
      </c>
      <c r="G1690" s="65" t="str">
        <f>IFERROR(__xludf.DUMMYFUNCTION("""COMPUTED_VALUE"""),"nsandovac@hotmail.com")</f>
        <v>nsandovac@hotmail.com</v>
      </c>
      <c r="H1690" s="65"/>
      <c r="I1690" s="65"/>
      <c r="J1690" s="65" t="str">
        <f>IFERROR(__xludf.DUMMYFUNCTION("""COMPUTED_VALUE"""),"D001233713")</f>
        <v>D001233713</v>
      </c>
      <c r="K1690" s="65" t="str">
        <f>IFERROR(__xludf.DUMMYFUNCTION("""COMPUTED_VALUE"""),"ENTREGADO")</f>
        <v>ENTREGADO</v>
      </c>
      <c r="L1690" s="65" t="str">
        <f>IFERROR(__xludf.DUMMYFUNCTION("""COMPUTED_VALUE"""),"CON RECAUDO")</f>
        <v>CON RECAUDO</v>
      </c>
      <c r="M1690" s="65" t="str">
        <f>IFERROR(__xludf.DUMMYFUNCTION("""COMPUTED_VALUE"""),"AZUAY")</f>
        <v>AZUAY</v>
      </c>
      <c r="N1690" s="65" t="str">
        <f>IFERROR(__xludf.DUMMYFUNCTION("""COMPUTED_VALUE"""),"CUENCA")</f>
        <v>CUENCA</v>
      </c>
      <c r="O1690" s="65" t="str">
        <f>IFERROR(__xludf.DUMMYFUNCTION("""COMPUTED_VALUE"""),"Cdla La Cascada Calle Río Bío Bío y Rio Missisipi Alado del Colegio Borja -")</f>
        <v>Cdla La Cascada Calle Río Bío Bío y Rio Missisipi Alado del Colegio Borja -</v>
      </c>
      <c r="P1690" s="65"/>
      <c r="Q1690" s="65" t="str">
        <f>IFERROR(__xludf.DUMMYFUNCTION("""COMPUTED_VALUE"""),"GINTRACOM")</f>
        <v>GINTRACOM</v>
      </c>
      <c r="R1690" s="65">
        <f>IFERROR(__xludf.DUMMYFUNCTION("""COMPUTED_VALUE"""),27.0)</f>
        <v>27</v>
      </c>
      <c r="S1690" s="65">
        <f>IFERROR(__xludf.DUMMYFUNCTION("""COMPUTED_VALUE"""),13.17)</f>
        <v>13.17</v>
      </c>
      <c r="T1690" s="65">
        <f>IFERROR(__xludf.DUMMYFUNCTION("""COMPUTED_VALUE"""),6.03)</f>
        <v>6.03</v>
      </c>
      <c r="U1690" s="65">
        <f>IFERROR(__xludf.DUMMYFUNCTION("""COMPUTED_VALUE"""),0.0)</f>
        <v>0</v>
      </c>
      <c r="V1690" s="65">
        <f>IFERROR(__xludf.DUMMYFUNCTION("""COMPUTED_VALUE"""),0.0)</f>
        <v>0</v>
      </c>
      <c r="W1690" s="65">
        <f>IFERROR(__xludf.DUMMYFUNCTION("""COMPUTED_VALUE"""),0.0)</f>
        <v>0</v>
      </c>
      <c r="X1690" s="65">
        <f>IFERROR(__xludf.DUMMYFUNCTION("""COMPUTED_VALUE"""),2.6)</f>
        <v>2.6</v>
      </c>
      <c r="Y1690" s="65">
        <f>IFERROR(__xludf.DUMMYFUNCTION("""COMPUTED_VALUE"""),7.8)</f>
        <v>7.8</v>
      </c>
      <c r="Z1690" s="65">
        <f>IFERROR(__xludf.DUMMYFUNCTION("""COMPUTED_VALUE"""),121983.0)</f>
        <v>121983</v>
      </c>
      <c r="AA1690" s="65" t="str">
        <f>IFERROR(__xludf.DUMMYFUNCTION("""COMPUTED_VALUE"""),"PROV-CHLLCF")</f>
        <v>PROV-CHLLCF</v>
      </c>
      <c r="AB1690" s="65"/>
      <c r="AC1690" s="65" t="str">
        <f>IFERROR(__xludf.DUMMYFUNCTION("""COMPUTED_VALUE"""),"CUCHILLO PARA CHEF")</f>
        <v>CUCHILLO PARA CHEF</v>
      </c>
      <c r="AD1690" s="65"/>
      <c r="AE1690" s="65">
        <f>IFERROR(__xludf.DUMMYFUNCTION("""COMPUTED_VALUE"""),3.0)</f>
        <v>3</v>
      </c>
      <c r="AF1690" s="65"/>
      <c r="AG1690" s="65"/>
      <c r="AH1690" s="65"/>
      <c r="AI1690" s="65"/>
      <c r="AJ1690" s="65"/>
      <c r="AK1690" s="65"/>
      <c r="AL1690" s="65"/>
      <c r="AM1690" s="65"/>
      <c r="AN1690" s="65" t="str">
        <f>IFERROR(__xludf.DUMMYFUNCTION("""COMPUTED_VALUE"""),"10:31")</f>
        <v>10:31</v>
      </c>
      <c r="AO1690" s="65" t="str">
        <f>IFERROR(__xludf.DUMMYFUNCTION("""COMPUTED_VALUE"""),"19-01-2026")</f>
        <v>19-01-2026</v>
      </c>
      <c r="AP1690" s="65" t="str">
        <f>IFERROR(__xludf.DUMMYFUNCTION("""COMPUTED_VALUE"""),"ENTREGADA GINTRACOM")</f>
        <v>ENTREGADA GINTRACOM</v>
      </c>
      <c r="AQ1690" s="65" t="str">
        <f>IFERROR(__xludf.DUMMYFUNCTION("""COMPUTED_VALUE"""),"ENTREGADA GINTRACOM")</f>
        <v>ENTREGADA GINTRACOM</v>
      </c>
      <c r="AR1690" s="65"/>
      <c r="AS1690" s="65"/>
      <c r="AT1690" s="65" t="str">
        <f>IFERROR(__xludf.DUMMYFUNCTION("""COMPUTED_VALUE"""),"SHOPIFY")</f>
        <v>SHOPIFY</v>
      </c>
      <c r="AU1690" s="65" t="str">
        <f>IFERROR(__xludf.DUMMYFUNCTION("""COMPUTED_VALUE"""),"IMPORTEX EC")</f>
        <v>IMPORTEX EC</v>
      </c>
      <c r="AV1690" s="65" t="str">
        <f>IFERROR(__xludf.DUMMYFUNCTION("""COMPUTED_VALUE"""),"6416650895404")</f>
        <v>6416650895404</v>
      </c>
      <c r="AW1690" s="65">
        <f>IFERROR(__xludf.DUMMYFUNCTION("""COMPUTED_VALUE"""),5252.0)</f>
        <v>5252</v>
      </c>
      <c r="AX1690" s="65"/>
      <c r="AY1690" s="65" t="str">
        <f>IFERROR(__xludf.DUMMYFUNCTION("""COMPUTED_VALUE"""),"17/01/2026")</f>
        <v>17/01/2026</v>
      </c>
      <c r="AZ1690" s="65"/>
      <c r="BA1690" s="65"/>
    </row>
    <row r="1691">
      <c r="A1691" s="65" t="str">
        <f>IFERROR(__xludf.DUMMYFUNCTION("""COMPUTED_VALUE"""),"27-03-2026")</f>
        <v>27-03-2026</v>
      </c>
      <c r="B1691" s="65">
        <f>IFERROR(__xludf.DUMMYFUNCTION("""COMPUTED_VALUE"""),4156928.0)</f>
        <v>4156928</v>
      </c>
      <c r="C1691" s="65" t="str">
        <f>IFERROR(__xludf.DUMMYFUNCTION("""COMPUTED_VALUE"""),"11:42")</f>
        <v>11:42</v>
      </c>
      <c r="D1691" s="65" t="str">
        <f>IFERROR(__xludf.DUMMYFUNCTION("""COMPUTED_VALUE"""),"15-01-2026")</f>
        <v>15-01-2026</v>
      </c>
      <c r="E1691" s="65" t="str">
        <f>IFERROR(__xludf.DUMMYFUNCTION("""COMPUTED_VALUE"""),"Juan Zambrano")</f>
        <v>Juan Zambrano</v>
      </c>
      <c r="F1691" s="65" t="str">
        <f>IFERROR(__xludf.DUMMYFUNCTION("""COMPUTED_VALUE"""),"968611365")</f>
        <v>968611365</v>
      </c>
      <c r="G1691" s="65" t="str">
        <f>IFERROR(__xludf.DUMMYFUNCTION("""COMPUTED_VALUE"""),"juanchozamo@gmail.con")</f>
        <v>juanchozamo@gmail.con</v>
      </c>
      <c r="H1691" s="65"/>
      <c r="I1691" s="65"/>
      <c r="J1691" s="65" t="str">
        <f>IFERROR(__xludf.DUMMYFUNCTION("""COMPUTED_VALUE"""),"186487429")</f>
        <v>186487429</v>
      </c>
      <c r="K1691" s="65" t="str">
        <f>IFERROR(__xludf.DUMMYFUNCTION("""COMPUTED_VALUE"""),"ENTREGADO")</f>
        <v>ENTREGADO</v>
      </c>
      <c r="L1691" s="65" t="str">
        <f>IFERROR(__xludf.DUMMYFUNCTION("""COMPUTED_VALUE"""),"CON RECAUDO")</f>
        <v>CON RECAUDO</v>
      </c>
      <c r="M1691" s="65" t="str">
        <f>IFERROR(__xludf.DUMMYFUNCTION("""COMPUTED_VALUE"""),"MANABI")</f>
        <v>MANABI</v>
      </c>
      <c r="N1691" s="65" t="str">
        <f>IFERROR(__xludf.DUMMYFUNCTION("""COMPUTED_VALUE"""),"COLON")</f>
        <v>COLON</v>
      </c>
      <c r="O1691" s="65" t="str">
        <f>IFERROR(__xludf.DUMMYFUNCTION("""COMPUTED_VALUE"""),"Calle san jose Los ángeles de Colón - Al fondo, De la calle, San jose, 2 casa")</f>
        <v>Calle san jose Los ángeles de Colón - Al fondo, De la calle, San jose, 2 casa</v>
      </c>
      <c r="P1691" s="65"/>
      <c r="Q1691" s="65" t="str">
        <f>IFERROR(__xludf.DUMMYFUNCTION("""COMPUTED_VALUE"""),"SERVIENTREGA")</f>
        <v>SERVIENTREGA</v>
      </c>
      <c r="R1691" s="65">
        <f>IFERROR(__xludf.DUMMYFUNCTION("""COMPUTED_VALUE"""),20.0)</f>
        <v>20</v>
      </c>
      <c r="S1691" s="65">
        <f>IFERROR(__xludf.DUMMYFUNCTION("""COMPUTED_VALUE"""),9.98)</f>
        <v>9.98</v>
      </c>
      <c r="T1691" s="65">
        <f>IFERROR(__xludf.DUMMYFUNCTION("""COMPUTED_VALUE"""),7.67)</f>
        <v>7.67</v>
      </c>
      <c r="U1691" s="65">
        <f>IFERROR(__xludf.DUMMYFUNCTION("""COMPUTED_VALUE"""),0.0)</f>
        <v>0</v>
      </c>
      <c r="V1691" s="65">
        <f>IFERROR(__xludf.DUMMYFUNCTION("""COMPUTED_VALUE"""),0.0)</f>
        <v>0</v>
      </c>
      <c r="W1691" s="65">
        <f>IFERROR(__xludf.DUMMYFUNCTION("""COMPUTED_VALUE"""),0.0)</f>
        <v>0</v>
      </c>
      <c r="X1691" s="65">
        <f>IFERROR(__xludf.DUMMYFUNCTION("""COMPUTED_VALUE"""),2.35)</f>
        <v>2.35</v>
      </c>
      <c r="Y1691" s="65">
        <f>IFERROR(__xludf.DUMMYFUNCTION("""COMPUTED_VALUE"""),2.35)</f>
        <v>2.35</v>
      </c>
      <c r="Z1691" s="65">
        <f>IFERROR(__xludf.DUMMYFUNCTION("""COMPUTED_VALUE"""),116679.0)</f>
        <v>116679</v>
      </c>
      <c r="AA1691" s="65" t="str">
        <f>IFERROR(__xludf.DUMMYFUNCTION("""COMPUTED_VALUE"""),"AMC-2738")</f>
        <v>AMC-2738</v>
      </c>
      <c r="AB1691" s="65"/>
      <c r="AC1691" s="65" t="str">
        <f>IFERROR(__xludf.DUMMYFUNCTION("""COMPUTED_VALUE"""),"ESPONJA ANTILLUVIA DE PARABRISAS")</f>
        <v>ESPONJA ANTILLUVIA DE PARABRISAS</v>
      </c>
      <c r="AD1691" s="65"/>
      <c r="AE1691" s="65">
        <f>IFERROR(__xludf.DUMMYFUNCTION("""COMPUTED_VALUE"""),1.0)</f>
        <v>1</v>
      </c>
      <c r="AF1691" s="65" t="str">
        <f>IFERROR(__xludf.DUMMYFUNCTION("""COMPUTED_VALUE"""),"SOLICITAR CITA PREVIA")</f>
        <v>SOLICITAR CITA PREVIA</v>
      </c>
      <c r="AG1691" s="65" t="str">
        <f>IFERROR(__xludf.DUMMYFUNCTION("""COMPUTED_VALUE"""),"NO")</f>
        <v>NO</v>
      </c>
      <c r="AH1691" s="65" t="str">
        <f>IFERROR(__xludf.DUMMYFUNCTION("""COMPUTED_VALUE"""),"14:57")</f>
        <v>14:57</v>
      </c>
      <c r="AI1691" s="65" t="str">
        <f>IFERROR(__xludf.DUMMYFUNCTION("""COMPUTED_VALUE"""),"20-01-2026")</f>
        <v>20-01-2026</v>
      </c>
      <c r="AJ1691" s="65"/>
      <c r="AK1691" s="65"/>
      <c r="AL1691" s="65"/>
      <c r="AM1691" s="65"/>
      <c r="AN1691" s="65" t="str">
        <f>IFERROR(__xludf.DUMMYFUNCTION("""COMPUTED_VALUE"""),"12:03")</f>
        <v>12:03</v>
      </c>
      <c r="AO1691" s="65" t="str">
        <f>IFERROR(__xludf.DUMMYFUNCTION("""COMPUTED_VALUE"""),"21-01-2026")</f>
        <v>21-01-2026</v>
      </c>
      <c r="AP1691" s="65" t="str">
        <f>IFERROR(__xludf.DUMMYFUNCTION("""COMPUTED_VALUE"""),"REPORTADO ENTREGADO EN APP")</f>
        <v>REPORTADO ENTREGADO EN APP</v>
      </c>
      <c r="AQ1691" s="65" t="str">
        <f>IFERROR(__xludf.DUMMYFUNCTION("""COMPUTED_VALUE"""),"Juan Zambrano")</f>
        <v>Juan Zambrano</v>
      </c>
      <c r="AR1691" s="65"/>
      <c r="AS1691" s="65"/>
      <c r="AT1691" s="65" t="str">
        <f>IFERROR(__xludf.DUMMYFUNCTION("""COMPUTED_VALUE"""),"SHOPIFY")</f>
        <v>SHOPIFY</v>
      </c>
      <c r="AU1691" s="65" t="str">
        <f>IFERROR(__xludf.DUMMYFUNCTION("""COMPUTED_VALUE"""),"IMPORTEX EC")</f>
        <v>IMPORTEX EC</v>
      </c>
      <c r="AV1691" s="65" t="str">
        <f>IFERROR(__xludf.DUMMYFUNCTION("""COMPUTED_VALUE"""),"6416628252716")</f>
        <v>6416628252716</v>
      </c>
      <c r="AW1691" s="65">
        <f>IFERROR(__xludf.DUMMYFUNCTION("""COMPUTED_VALUE"""),5251.0)</f>
        <v>5251</v>
      </c>
      <c r="AX1691" s="65"/>
      <c r="AY1691" s="65" t="str">
        <f>IFERROR(__xludf.DUMMYFUNCTION("""COMPUTED_VALUE"""),"17/01/2026")</f>
        <v>17/01/2026</v>
      </c>
      <c r="AZ1691" s="65"/>
      <c r="BA1691" s="65"/>
    </row>
    <row r="1692">
      <c r="A1692" s="65" t="str">
        <f>IFERROR(__xludf.DUMMYFUNCTION("""COMPUTED_VALUE"""),"27-03-2026")</f>
        <v>27-03-2026</v>
      </c>
      <c r="B1692" s="65">
        <f>IFERROR(__xludf.DUMMYFUNCTION("""COMPUTED_VALUE"""),4156752.0)</f>
        <v>4156752</v>
      </c>
      <c r="C1692" s="65" t="str">
        <f>IFERROR(__xludf.DUMMYFUNCTION("""COMPUTED_VALUE"""),"11:30")</f>
        <v>11:30</v>
      </c>
      <c r="D1692" s="65" t="str">
        <f>IFERROR(__xludf.DUMMYFUNCTION("""COMPUTED_VALUE"""),"15-01-2026")</f>
        <v>15-01-2026</v>
      </c>
      <c r="E1692" s="65" t="str">
        <f>IFERROR(__xludf.DUMMYFUNCTION("""COMPUTED_VALUE"""),"Wilson Valencia")</f>
        <v>Wilson Valencia</v>
      </c>
      <c r="F1692" s="65" t="str">
        <f>IFERROR(__xludf.DUMMYFUNCTION("""COMPUTED_VALUE"""),"964171018")</f>
        <v>964171018</v>
      </c>
      <c r="G1692" s="65" t="str">
        <f>IFERROR(__xludf.DUMMYFUNCTION("""COMPUTED_VALUE"""),"wilson.valencia3463@gmail.com")</f>
        <v>wilson.valencia3463@gmail.com</v>
      </c>
      <c r="H1692" s="65"/>
      <c r="I1692" s="65"/>
      <c r="J1692" s="65" t="str">
        <f>IFERROR(__xludf.DUMMYFUNCTION("""COMPUTED_VALUE"""),"D001234351")</f>
        <v>D001234351</v>
      </c>
      <c r="K1692" s="65" t="str">
        <f>IFERROR(__xludf.DUMMYFUNCTION("""COMPUTED_VALUE"""),"ENTREGADO")</f>
        <v>ENTREGADO</v>
      </c>
      <c r="L1692" s="65" t="str">
        <f>IFERROR(__xludf.DUMMYFUNCTION("""COMPUTED_VALUE"""),"CON RECAUDO")</f>
        <v>CON RECAUDO</v>
      </c>
      <c r="M1692" s="65" t="str">
        <f>IFERROR(__xludf.DUMMYFUNCTION("""COMPUTED_VALUE"""),"GUAYAS")</f>
        <v>GUAYAS</v>
      </c>
      <c r="N1692" s="65" t="str">
        <f>IFERROR(__xludf.DUMMYFUNCTION("""COMPUTED_VALUE"""),"DAULE")</f>
        <v>DAULE</v>
      </c>
      <c r="O1692" s="65" t="str">
        <f>IFERROR(__xludf.DUMMYFUNCTION("""COMPUTED_VALUE"""),"Parroquia Limonal, recinto el Recreo, iglesia evangélica casa de 1 piso con techado")</f>
        <v>Parroquia Limonal, recinto el Recreo, iglesia evangélica casa de 1 piso con techado</v>
      </c>
      <c r="P1692" s="65"/>
      <c r="Q1692" s="65" t="str">
        <f>IFERROR(__xludf.DUMMYFUNCTION("""COMPUTED_VALUE"""),"GINTRACOM")</f>
        <v>GINTRACOM</v>
      </c>
      <c r="R1692" s="65">
        <f>IFERROR(__xludf.DUMMYFUNCTION("""COMPUTED_VALUE"""),20.0)</f>
        <v>20</v>
      </c>
      <c r="S1692" s="65">
        <f>IFERROR(__xludf.DUMMYFUNCTION("""COMPUTED_VALUE"""),11.89)</f>
        <v>11.89</v>
      </c>
      <c r="T1692" s="65">
        <f>IFERROR(__xludf.DUMMYFUNCTION("""COMPUTED_VALUE"""),5.76)</f>
        <v>5.76</v>
      </c>
      <c r="U1692" s="65">
        <f>IFERROR(__xludf.DUMMYFUNCTION("""COMPUTED_VALUE"""),0.0)</f>
        <v>0</v>
      </c>
      <c r="V1692" s="65">
        <f>IFERROR(__xludf.DUMMYFUNCTION("""COMPUTED_VALUE"""),0.0)</f>
        <v>0</v>
      </c>
      <c r="W1692" s="65">
        <f>IFERROR(__xludf.DUMMYFUNCTION("""COMPUTED_VALUE"""),0.0)</f>
        <v>0</v>
      </c>
      <c r="X1692" s="65">
        <f>IFERROR(__xludf.DUMMYFUNCTION("""COMPUTED_VALUE"""),2.35)</f>
        <v>2.35</v>
      </c>
      <c r="Y1692" s="65">
        <f>IFERROR(__xludf.DUMMYFUNCTION("""COMPUTED_VALUE"""),2.35)</f>
        <v>2.35</v>
      </c>
      <c r="Z1692" s="65">
        <f>IFERROR(__xludf.DUMMYFUNCTION("""COMPUTED_VALUE"""),116679.0)</f>
        <v>116679</v>
      </c>
      <c r="AA1692" s="65" t="str">
        <f>IFERROR(__xludf.DUMMYFUNCTION("""COMPUTED_VALUE"""),"AMC-2738")</f>
        <v>AMC-2738</v>
      </c>
      <c r="AB1692" s="65"/>
      <c r="AC1692" s="65" t="str">
        <f>IFERROR(__xludf.DUMMYFUNCTION("""COMPUTED_VALUE"""),"ESPONJA ANTILLUVIA DE PARABRISAS")</f>
        <v>ESPONJA ANTILLUVIA DE PARABRISAS</v>
      </c>
      <c r="AD1692" s="65"/>
      <c r="AE1692" s="65">
        <f>IFERROR(__xludf.DUMMYFUNCTION("""COMPUTED_VALUE"""),1.0)</f>
        <v>1</v>
      </c>
      <c r="AF1692" s="65"/>
      <c r="AG1692" s="65"/>
      <c r="AH1692" s="65"/>
      <c r="AI1692" s="65"/>
      <c r="AJ1692" s="65"/>
      <c r="AK1692" s="65"/>
      <c r="AL1692" s="65"/>
      <c r="AM1692" s="65"/>
      <c r="AN1692" s="65" t="str">
        <f>IFERROR(__xludf.DUMMYFUNCTION("""COMPUTED_VALUE"""),"16:07")</f>
        <v>16:07</v>
      </c>
      <c r="AO1692" s="65" t="str">
        <f>IFERROR(__xludf.DUMMYFUNCTION("""COMPUTED_VALUE"""),"23-01-2026")</f>
        <v>23-01-2026</v>
      </c>
      <c r="AP1692" s="65" t="str">
        <f>IFERROR(__xludf.DUMMYFUNCTION("""COMPUTED_VALUE"""),"ENTREGADA GINTRACOM")</f>
        <v>ENTREGADA GINTRACOM</v>
      </c>
      <c r="AQ1692" s="65" t="str">
        <f>IFERROR(__xludf.DUMMYFUNCTION("""COMPUTED_VALUE"""),"ENTREGADA GINTRACOM")</f>
        <v>ENTREGADA GINTRACOM</v>
      </c>
      <c r="AR1692" s="65"/>
      <c r="AS1692" s="65"/>
      <c r="AT1692" s="65" t="str">
        <f>IFERROR(__xludf.DUMMYFUNCTION("""COMPUTED_VALUE"""),"SHOPIFY")</f>
        <v>SHOPIFY</v>
      </c>
      <c r="AU1692" s="65" t="str">
        <f>IFERROR(__xludf.DUMMYFUNCTION("""COMPUTED_VALUE"""),"IMPORTEX EC")</f>
        <v>IMPORTEX EC</v>
      </c>
      <c r="AV1692" s="65" t="str">
        <f>IFERROR(__xludf.DUMMYFUNCTION("""COMPUTED_VALUE"""),"6416594337836")</f>
        <v>6416594337836</v>
      </c>
      <c r="AW1692" s="65">
        <f>IFERROR(__xludf.DUMMYFUNCTION("""COMPUTED_VALUE"""),5250.0)</f>
        <v>5250</v>
      </c>
      <c r="AX1692" s="65"/>
      <c r="AY1692" s="65" t="str">
        <f>IFERROR(__xludf.DUMMYFUNCTION("""COMPUTED_VALUE"""),"17/01/2026")</f>
        <v>17/01/2026</v>
      </c>
      <c r="AZ1692" s="65"/>
      <c r="BA1692" s="65"/>
    </row>
    <row r="1693">
      <c r="A1693" s="65" t="str">
        <f>IFERROR(__xludf.DUMMYFUNCTION("""COMPUTED_VALUE"""),"27-03-2026")</f>
        <v>27-03-2026</v>
      </c>
      <c r="B1693" s="65">
        <f>IFERROR(__xludf.DUMMYFUNCTION("""COMPUTED_VALUE"""),4156621.0)</f>
        <v>4156621</v>
      </c>
      <c r="C1693" s="65" t="str">
        <f>IFERROR(__xludf.DUMMYFUNCTION("""COMPUTED_VALUE"""),"11:24")</f>
        <v>11:24</v>
      </c>
      <c r="D1693" s="65" t="str">
        <f>IFERROR(__xludf.DUMMYFUNCTION("""COMPUTED_VALUE"""),"15-01-2026")</f>
        <v>15-01-2026</v>
      </c>
      <c r="E1693" s="65" t="str">
        <f>IFERROR(__xludf.DUMMYFUNCTION("""COMPUTED_VALUE"""),"Jimmy carlos Olvera Cordova")</f>
        <v>Jimmy carlos Olvera Cordova</v>
      </c>
      <c r="F1693" s="65" t="str">
        <f>IFERROR(__xludf.DUMMYFUNCTION("""COMPUTED_VALUE"""),"979134639")</f>
        <v>979134639</v>
      </c>
      <c r="G1693" s="65" t="str">
        <f>IFERROR(__xludf.DUMMYFUNCTION("""COMPUTED_VALUE"""),"carlosolveracordova@gmail.com")</f>
        <v>carlosolveracordova@gmail.com</v>
      </c>
      <c r="H1693" s="65"/>
      <c r="I1693" s="65"/>
      <c r="J1693" s="65" t="str">
        <f>IFERROR(__xludf.DUMMYFUNCTION("""COMPUTED_VALUE"""),"186988722")</f>
        <v>186988722</v>
      </c>
      <c r="K1693" s="65" t="str">
        <f>IFERROR(__xludf.DUMMYFUNCTION("""COMPUTED_VALUE"""),"ENTREGADO")</f>
        <v>ENTREGADO</v>
      </c>
      <c r="L1693" s="65" t="str">
        <f>IFERROR(__xludf.DUMMYFUNCTION("""COMPUTED_VALUE"""),"CON RECAUDO")</f>
        <v>CON RECAUDO</v>
      </c>
      <c r="M1693" s="65" t="str">
        <f>IFERROR(__xludf.DUMMYFUNCTION("""COMPUTED_VALUE"""),"ZAMORA CHINCHIPE")</f>
        <v>ZAMORA CHINCHIPE</v>
      </c>
      <c r="N1693" s="65" t="str">
        <f>IFERROR(__xludf.DUMMYFUNCTION("""COMPUTED_VALUE"""),"EL PANGUI")</f>
        <v>EL PANGUI</v>
      </c>
      <c r="O1693" s="65" t="str">
        <f>IFERROR(__xludf.DUMMYFUNCTION("""COMPUTED_VALUE"""),"Barrio la alborada, Junto al recinto ferial del cantón El Pangui, Casa color ladrillo")</f>
        <v>Barrio la alborada, Junto al recinto ferial del cantón El Pangui, Casa color ladrillo</v>
      </c>
      <c r="P1693" s="65"/>
      <c r="Q1693" s="65" t="str">
        <f>IFERROR(__xludf.DUMMYFUNCTION("""COMPUTED_VALUE"""),"SERVIENTREGA")</f>
        <v>SERVIENTREGA</v>
      </c>
      <c r="R1693" s="65">
        <f>IFERROR(__xludf.DUMMYFUNCTION("""COMPUTED_VALUE"""),22.0)</f>
        <v>22</v>
      </c>
      <c r="S1693" s="65">
        <f>IFERROR(__xludf.DUMMYFUNCTION("""COMPUTED_VALUE"""),9.1)</f>
        <v>9.1</v>
      </c>
      <c r="T1693" s="65">
        <f>IFERROR(__xludf.DUMMYFUNCTION("""COMPUTED_VALUE"""),7.7)</f>
        <v>7.7</v>
      </c>
      <c r="U1693" s="65">
        <f>IFERROR(__xludf.DUMMYFUNCTION("""COMPUTED_VALUE"""),0.0)</f>
        <v>0</v>
      </c>
      <c r="V1693" s="65">
        <f>IFERROR(__xludf.DUMMYFUNCTION("""COMPUTED_VALUE"""),0.0)</f>
        <v>0</v>
      </c>
      <c r="W1693" s="65">
        <f>IFERROR(__xludf.DUMMYFUNCTION("""COMPUTED_VALUE"""),0.0)</f>
        <v>0</v>
      </c>
      <c r="X1693" s="65">
        <f>IFERROR(__xludf.DUMMYFUNCTION("""COMPUTED_VALUE"""),2.6)</f>
        <v>2.6</v>
      </c>
      <c r="Y1693" s="65">
        <f>IFERROR(__xludf.DUMMYFUNCTION("""COMPUTED_VALUE"""),5.2)</f>
        <v>5.2</v>
      </c>
      <c r="Z1693" s="65">
        <f>IFERROR(__xludf.DUMMYFUNCTION("""COMPUTED_VALUE"""),121983.0)</f>
        <v>121983</v>
      </c>
      <c r="AA1693" s="65" t="str">
        <f>IFERROR(__xludf.DUMMYFUNCTION("""COMPUTED_VALUE"""),"PROV-CHLLCF")</f>
        <v>PROV-CHLLCF</v>
      </c>
      <c r="AB1693" s="65"/>
      <c r="AC1693" s="65" t="str">
        <f>IFERROR(__xludf.DUMMYFUNCTION("""COMPUTED_VALUE"""),"CUCHILLO PARA CHEF")</f>
        <v>CUCHILLO PARA CHEF</v>
      </c>
      <c r="AD1693" s="65"/>
      <c r="AE1693" s="65">
        <f>IFERROR(__xludf.DUMMYFUNCTION("""COMPUTED_VALUE"""),2.0)</f>
        <v>2</v>
      </c>
      <c r="AF1693" s="65"/>
      <c r="AG1693" s="65"/>
      <c r="AH1693" s="65"/>
      <c r="AI1693" s="65"/>
      <c r="AJ1693" s="65"/>
      <c r="AK1693" s="65"/>
      <c r="AL1693" s="65"/>
      <c r="AM1693" s="65"/>
      <c r="AN1693" s="65" t="str">
        <f>IFERROR(__xludf.DUMMYFUNCTION("""COMPUTED_VALUE"""),"10:28")</f>
        <v>10:28</v>
      </c>
      <c r="AO1693" s="65" t="str">
        <f>IFERROR(__xludf.DUMMYFUNCTION("""COMPUTED_VALUE"""),"05-02-2026")</f>
        <v>05-02-2026</v>
      </c>
      <c r="AP1693" s="65" t="str">
        <f>IFERROR(__xludf.DUMMYFUNCTION("""COMPUTED_VALUE"""),"ENTREGA DIGITALIZADA EN CENTRO LOGISTICO")</f>
        <v>ENTREGA DIGITALIZADA EN CENTRO LOGISTICO</v>
      </c>
      <c r="AQ1693" s="65" t="str">
        <f>IFERROR(__xludf.DUMMYFUNCTION("""COMPUTED_VALUE"""),"Jimmy Olvera")</f>
        <v>Jimmy Olvera</v>
      </c>
      <c r="AR1693" s="65"/>
      <c r="AS1693" s="65"/>
      <c r="AT1693" s="65" t="str">
        <f>IFERROR(__xludf.DUMMYFUNCTION("""COMPUTED_VALUE"""),"SHOPIFY")</f>
        <v>SHOPIFY</v>
      </c>
      <c r="AU1693" s="65" t="str">
        <f>IFERROR(__xludf.DUMMYFUNCTION("""COMPUTED_VALUE"""),"IMPORTEX EC")</f>
        <v>IMPORTEX EC</v>
      </c>
      <c r="AV1693" s="65" t="str">
        <f>IFERROR(__xludf.DUMMYFUNCTION("""COMPUTED_VALUE"""),"6416582606892")</f>
        <v>6416582606892</v>
      </c>
      <c r="AW1693" s="65">
        <f>IFERROR(__xludf.DUMMYFUNCTION("""COMPUTED_VALUE"""),5249.0)</f>
        <v>5249</v>
      </c>
      <c r="AX1693" s="65"/>
      <c r="AY1693" s="65" t="str">
        <f>IFERROR(__xludf.DUMMYFUNCTION("""COMPUTED_VALUE"""),"17/01/2026")</f>
        <v>17/01/2026</v>
      </c>
      <c r="AZ1693" s="65"/>
      <c r="BA1693" s="65"/>
    </row>
    <row r="1694">
      <c r="A1694" s="65" t="str">
        <f>IFERROR(__xludf.DUMMYFUNCTION("""COMPUTED_VALUE"""),"27-03-2026")</f>
        <v>27-03-2026</v>
      </c>
      <c r="B1694" s="65">
        <f>IFERROR(__xludf.DUMMYFUNCTION("""COMPUTED_VALUE"""),4156572.0)</f>
        <v>4156572</v>
      </c>
      <c r="C1694" s="65" t="str">
        <f>IFERROR(__xludf.DUMMYFUNCTION("""COMPUTED_VALUE"""),"11:18")</f>
        <v>11:18</v>
      </c>
      <c r="D1694" s="65" t="str">
        <f>IFERROR(__xludf.DUMMYFUNCTION("""COMPUTED_VALUE"""),"15-01-2026")</f>
        <v>15-01-2026</v>
      </c>
      <c r="E1694" s="65" t="str">
        <f>IFERROR(__xludf.DUMMYFUNCTION("""COMPUTED_VALUE"""),"Javier Danilo Briones Medina")</f>
        <v>Javier Danilo Briones Medina</v>
      </c>
      <c r="F1694" s="65" t="str">
        <f>IFERROR(__xludf.DUMMYFUNCTION("""COMPUTED_VALUE"""),"981781767")</f>
        <v>981781767</v>
      </c>
      <c r="G1694" s="65" t="str">
        <f>IFERROR(__xludf.DUMMYFUNCTION("""COMPUTED_VALUE"""),"javicob0311@gmail.com")</f>
        <v>javicob0311@gmail.com</v>
      </c>
      <c r="H1694" s="65"/>
      <c r="I1694" s="65"/>
      <c r="J1694" s="65"/>
      <c r="K1694" s="65" t="str">
        <f>IFERROR(__xludf.DUMMYFUNCTION("""COMPUTED_VALUE"""),"PENDIENTE CONFIRMACION")</f>
        <v>PENDIENTE CONFIRMACION</v>
      </c>
      <c r="L1694" s="65" t="str">
        <f>IFERROR(__xludf.DUMMYFUNCTION("""COMPUTED_VALUE"""),"CON RECAUDO")</f>
        <v>CON RECAUDO</v>
      </c>
      <c r="M1694" s="65" t="str">
        <f>IFERROR(__xludf.DUMMYFUNCTION("""COMPUTED_VALUE"""),"GUAYAS")</f>
        <v>GUAYAS</v>
      </c>
      <c r="N1694" s="65" t="str">
        <f>IFERROR(__xludf.DUMMYFUNCTION("""COMPUTED_VALUE"""),"SANTA LUCIA")</f>
        <v>SANTA LUCIA</v>
      </c>
      <c r="O1694" s="65" t="str">
        <f>IFERROR(__xludf.DUMMYFUNCTION("""COMPUTED_VALUE"""),"Néstor Rivadeneira y Manuel Defás, 70 mts más adelante de pollos dorado Freddy")</f>
        <v>Néstor Rivadeneira y Manuel Defás, 70 mts más adelante de pollos dorado Freddy</v>
      </c>
      <c r="P1694" s="65" t="str">
        <f>IFERROR(__xludf.DUMMYFUNCTION("""COMPUTED_VALUE"""),"CUCHILLO PARA CHEF: Default Title ***")</f>
        <v>CUCHILLO PARA CHEF: Default Title ***</v>
      </c>
      <c r="Q1694" s="65" t="str">
        <f>IFERROR(__xludf.DUMMYFUNCTION("""COMPUTED_VALUE"""),"SERVIENTREGA")</f>
        <v>SERVIENTREGA</v>
      </c>
      <c r="R1694" s="65">
        <f>IFERROR(__xludf.DUMMYFUNCTION("""COMPUTED_VALUE"""),22.0)</f>
        <v>22</v>
      </c>
      <c r="S1694" s="65"/>
      <c r="T1694" s="65">
        <f>IFERROR(__xludf.DUMMYFUNCTION("""COMPUTED_VALUE"""),7.7)</f>
        <v>7.7</v>
      </c>
      <c r="U1694" s="65">
        <f>IFERROR(__xludf.DUMMYFUNCTION("""COMPUTED_VALUE"""),0.0)</f>
        <v>0</v>
      </c>
      <c r="V1694" s="65">
        <f>IFERROR(__xludf.DUMMYFUNCTION("""COMPUTED_VALUE"""),0.0)</f>
        <v>0</v>
      </c>
      <c r="W1694" s="65">
        <f>IFERROR(__xludf.DUMMYFUNCTION("""COMPUTED_VALUE"""),0.0)</f>
        <v>0</v>
      </c>
      <c r="X1694" s="65">
        <f>IFERROR(__xludf.DUMMYFUNCTION("""COMPUTED_VALUE"""),2.6)</f>
        <v>2.6</v>
      </c>
      <c r="Y1694" s="65">
        <f>IFERROR(__xludf.DUMMYFUNCTION("""COMPUTED_VALUE"""),2.6)</f>
        <v>2.6</v>
      </c>
      <c r="Z1694" s="65">
        <f>IFERROR(__xludf.DUMMYFUNCTION("""COMPUTED_VALUE"""),121983.0)</f>
        <v>121983</v>
      </c>
      <c r="AA1694" s="65" t="str">
        <f>IFERROR(__xludf.DUMMYFUNCTION("""COMPUTED_VALUE"""),"PROV-CHLLCF")</f>
        <v>PROV-CHLLCF</v>
      </c>
      <c r="AB1694" s="65"/>
      <c r="AC1694" s="65" t="str">
        <f>IFERROR(__xludf.DUMMYFUNCTION("""COMPUTED_VALUE"""),"CUCHILLO PARA CHEF")</f>
        <v>CUCHILLO PARA CHEF</v>
      </c>
      <c r="AD1694" s="65"/>
      <c r="AE1694" s="65">
        <f>IFERROR(__xludf.DUMMYFUNCTION("""COMPUTED_VALUE"""),1.0)</f>
        <v>1</v>
      </c>
      <c r="AF1694" s="65"/>
      <c r="AG1694" s="65"/>
      <c r="AH1694" s="65"/>
      <c r="AI1694" s="65"/>
      <c r="AJ1694" s="65"/>
      <c r="AK1694" s="65"/>
      <c r="AL1694" s="65"/>
      <c r="AM1694" s="65"/>
      <c r="AN1694" s="65"/>
      <c r="AO1694" s="65"/>
      <c r="AP1694" s="65"/>
      <c r="AQ1694" s="65"/>
      <c r="AR1694" s="65"/>
      <c r="AS1694" s="65"/>
      <c r="AT1694" s="65" t="str">
        <f>IFERROR(__xludf.DUMMYFUNCTION("""COMPUTED_VALUE"""),"SHOPIFY")</f>
        <v>SHOPIFY</v>
      </c>
      <c r="AU1694" s="65" t="str">
        <f>IFERROR(__xludf.DUMMYFUNCTION("""COMPUTED_VALUE"""),"IMPORTEX EC")</f>
        <v>IMPORTEX EC</v>
      </c>
      <c r="AV1694" s="65" t="str">
        <f>IFERROR(__xludf.DUMMYFUNCTION("""COMPUTED_VALUE"""),"6416570777644")</f>
        <v>6416570777644</v>
      </c>
      <c r="AW1694" s="65">
        <f>IFERROR(__xludf.DUMMYFUNCTION("""COMPUTED_VALUE"""),5247.0)</f>
        <v>5247</v>
      </c>
      <c r="AX1694" s="65"/>
      <c r="AY1694" s="65"/>
      <c r="AZ1694" s="65"/>
      <c r="BA1694" s="65"/>
    </row>
    <row r="1695">
      <c r="A1695" s="65" t="str">
        <f>IFERROR(__xludf.DUMMYFUNCTION("""COMPUTED_VALUE"""),"27-03-2026")</f>
        <v>27-03-2026</v>
      </c>
      <c r="B1695" s="65">
        <f>IFERROR(__xludf.DUMMYFUNCTION("""COMPUTED_VALUE"""),4156566.0)</f>
        <v>4156566</v>
      </c>
      <c r="C1695" s="65" t="str">
        <f>IFERROR(__xludf.DUMMYFUNCTION("""COMPUTED_VALUE"""),"11:18")</f>
        <v>11:18</v>
      </c>
      <c r="D1695" s="65" t="str">
        <f>IFERROR(__xludf.DUMMYFUNCTION("""COMPUTED_VALUE"""),"15-01-2026")</f>
        <v>15-01-2026</v>
      </c>
      <c r="E1695" s="65" t="str">
        <f>IFERROR(__xludf.DUMMYFUNCTION("""COMPUTED_VALUE"""),"Claudio Calderon Calderon")</f>
        <v>Claudio Calderon Calderon</v>
      </c>
      <c r="F1695" s="65" t="str">
        <f>IFERROR(__xludf.DUMMYFUNCTION("""COMPUTED_VALUE"""),"985156172")</f>
        <v>985156172</v>
      </c>
      <c r="G1695" s="65"/>
      <c r="H1695" s="65"/>
      <c r="I1695" s="65"/>
      <c r="J1695" s="65" t="str">
        <f>IFERROR(__xludf.DUMMYFUNCTION("""COMPUTED_VALUE"""),"D001233715")</f>
        <v>D001233715</v>
      </c>
      <c r="K1695" s="65" t="str">
        <f>IFERROR(__xludf.DUMMYFUNCTION("""COMPUTED_VALUE"""),"DEVOLUCION")</f>
        <v>DEVOLUCION</v>
      </c>
      <c r="L1695" s="65" t="str">
        <f>IFERROR(__xludf.DUMMYFUNCTION("""COMPUTED_VALUE"""),"CON RECAUDO")</f>
        <v>CON RECAUDO</v>
      </c>
      <c r="M1695" s="65" t="str">
        <f>IFERROR(__xludf.DUMMYFUNCTION("""COMPUTED_VALUE"""),"AZUAY")</f>
        <v>AZUAY</v>
      </c>
      <c r="N1695" s="65" t="str">
        <f>IFERROR(__xludf.DUMMYFUNCTION("""COMPUTED_VALUE"""),"CUENCA")</f>
        <v>CUENCA</v>
      </c>
      <c r="O1695" s="65" t="str">
        <f>IFERROR(__xludf.DUMMYFUNCTION("""COMPUTED_VALUE"""),"Vil Washington 186 -")</f>
        <v>Vil Washington 186 -</v>
      </c>
      <c r="P1695" s="65"/>
      <c r="Q1695" s="65" t="str">
        <f>IFERROR(__xludf.DUMMYFUNCTION("""COMPUTED_VALUE"""),"GINTRACOM")</f>
        <v>GINTRACOM</v>
      </c>
      <c r="R1695" s="65">
        <f>IFERROR(__xludf.DUMMYFUNCTION("""COMPUTED_VALUE"""),22.0)</f>
        <v>22</v>
      </c>
      <c r="S1695" s="65"/>
      <c r="T1695" s="65">
        <f>IFERROR(__xludf.DUMMYFUNCTION("""COMPUTED_VALUE"""),5.84)</f>
        <v>5.84</v>
      </c>
      <c r="U1695" s="65">
        <f>IFERROR(__xludf.DUMMYFUNCTION("""COMPUTED_VALUE"""),0.0)</f>
        <v>0</v>
      </c>
      <c r="V1695" s="65">
        <f>IFERROR(__xludf.DUMMYFUNCTION("""COMPUTED_VALUE"""),0.0)</f>
        <v>0</v>
      </c>
      <c r="W1695" s="65">
        <f>IFERROR(__xludf.DUMMYFUNCTION("""COMPUTED_VALUE"""),0.0)</f>
        <v>0</v>
      </c>
      <c r="X1695" s="65">
        <f>IFERROR(__xludf.DUMMYFUNCTION("""COMPUTED_VALUE"""),2.6)</f>
        <v>2.6</v>
      </c>
      <c r="Y1695" s="65">
        <f>IFERROR(__xludf.DUMMYFUNCTION("""COMPUTED_VALUE"""),5.2)</f>
        <v>5.2</v>
      </c>
      <c r="Z1695" s="65">
        <f>IFERROR(__xludf.DUMMYFUNCTION("""COMPUTED_VALUE"""),121983.0)</f>
        <v>121983</v>
      </c>
      <c r="AA1695" s="65" t="str">
        <f>IFERROR(__xludf.DUMMYFUNCTION("""COMPUTED_VALUE"""),"PROV-CHLLCF")</f>
        <v>PROV-CHLLCF</v>
      </c>
      <c r="AB1695" s="65"/>
      <c r="AC1695" s="65" t="str">
        <f>IFERROR(__xludf.DUMMYFUNCTION("""COMPUTED_VALUE"""),"CUCHILLO PARA CHEF")</f>
        <v>CUCHILLO PARA CHEF</v>
      </c>
      <c r="AD1695" s="65"/>
      <c r="AE1695" s="65">
        <f>IFERROR(__xludf.DUMMYFUNCTION("""COMPUTED_VALUE"""),2.0)</f>
        <v>2</v>
      </c>
      <c r="AF1695" s="65" t="str">
        <f>IFERROR(__xludf.DUMMYFUNCTION("""COMPUTED_VALUE"""),"DESTINATARIO NO SE ENCUENTRA EN LUGAR DE ENTREGA.")</f>
        <v>DESTINATARIO NO SE ENCUENTRA EN LUGAR DE ENTREGA.</v>
      </c>
      <c r="AG1695" s="65" t="str">
        <f>IFERROR(__xludf.DUMMYFUNCTION("""COMPUTED_VALUE"""),"NO")</f>
        <v>NO</v>
      </c>
      <c r="AH1695" s="65" t="str">
        <f>IFERROR(__xludf.DUMMYFUNCTION("""COMPUTED_VALUE"""),"12:37")</f>
        <v>12:37</v>
      </c>
      <c r="AI1695" s="65" t="str">
        <f>IFERROR(__xludf.DUMMYFUNCTION("""COMPUTED_VALUE"""),"26-01-2026")</f>
        <v>26-01-2026</v>
      </c>
      <c r="AJ1695" s="65"/>
      <c r="AK1695" s="65"/>
      <c r="AL1695" s="65"/>
      <c r="AM1695" s="65"/>
      <c r="AN1695" s="65" t="str">
        <f>IFERROR(__xludf.DUMMYFUNCTION("""COMPUTED_VALUE"""),"13:28")</f>
        <v>13:28</v>
      </c>
      <c r="AO1695" s="65" t="str">
        <f>IFERROR(__xludf.DUMMYFUNCTION("""COMPUTED_VALUE"""),"19-02-2026")</f>
        <v>19-02-2026</v>
      </c>
      <c r="AP1695" s="65" t="str">
        <f>IFERROR(__xludf.DUMMYFUNCTION("""COMPUTED_VALUE"""),"DEV CONFIRMADA POR BODEGA")</f>
        <v>DEV CONFIRMADA POR BODEGA</v>
      </c>
      <c r="AQ1695" s="65"/>
      <c r="AR1695" s="65" t="str">
        <f>IFERROR(__xludf.DUMMYFUNCTION("""COMPUTED_VALUE"""),"Gestionado por: PROVEDIX DAMIAN, email:enviogratisdirecto@gmail.com, total de productos en la orden: 1")</f>
        <v>Gestionado por: PROVEDIX DAMIAN, email:enviogratisdirecto@gmail.com, total de productos en la orden: 1</v>
      </c>
      <c r="AS1695" s="65"/>
      <c r="AT1695" s="65" t="str">
        <f>IFERROR(__xludf.DUMMYFUNCTION("""COMPUTED_VALUE"""),"SHOPIFY")</f>
        <v>SHOPIFY</v>
      </c>
      <c r="AU1695" s="65" t="str">
        <f>IFERROR(__xludf.DUMMYFUNCTION("""COMPUTED_VALUE"""),"IMPORTEX EC")</f>
        <v>IMPORTEX EC</v>
      </c>
      <c r="AV1695" s="65" t="str">
        <f>IFERROR(__xludf.DUMMYFUNCTION("""COMPUTED_VALUE"""),"6416572383276")</f>
        <v>6416572383276</v>
      </c>
      <c r="AW1695" s="65">
        <f>IFERROR(__xludf.DUMMYFUNCTION("""COMPUTED_VALUE"""),5248.0)</f>
        <v>5248</v>
      </c>
      <c r="AX1695" s="65"/>
      <c r="AY1695" s="65" t="str">
        <f>IFERROR(__xludf.DUMMYFUNCTION("""COMPUTED_VALUE"""),"17/01/2026")</f>
        <v>17/01/2026</v>
      </c>
      <c r="AZ1695" s="65"/>
      <c r="BA1695" s="65"/>
    </row>
    <row r="1696">
      <c r="A1696" s="65" t="str">
        <f>IFERROR(__xludf.DUMMYFUNCTION("""COMPUTED_VALUE"""),"27-03-2026")</f>
        <v>27-03-2026</v>
      </c>
      <c r="B1696" s="65">
        <f>IFERROR(__xludf.DUMMYFUNCTION("""COMPUTED_VALUE"""),4156462.0)</f>
        <v>4156462</v>
      </c>
      <c r="C1696" s="65" t="str">
        <f>IFERROR(__xludf.DUMMYFUNCTION("""COMPUTED_VALUE"""),"11:09")</f>
        <v>11:09</v>
      </c>
      <c r="D1696" s="65" t="str">
        <f>IFERROR(__xludf.DUMMYFUNCTION("""COMPUTED_VALUE"""),"15-01-2026")</f>
        <v>15-01-2026</v>
      </c>
      <c r="E1696" s="65" t="str">
        <f>IFERROR(__xludf.DUMMYFUNCTION("""COMPUTED_VALUE"""),"Héctor Milton Acosta")</f>
        <v>Héctor Milton Acosta</v>
      </c>
      <c r="F1696" s="65" t="str">
        <f>IFERROR(__xludf.DUMMYFUNCTION("""COMPUTED_VALUE"""),"987966620")</f>
        <v>987966620</v>
      </c>
      <c r="G1696" s="65" t="str">
        <f>IFERROR(__xludf.DUMMYFUNCTION("""COMPUTED_VALUE"""),"acostahec@yahoo.es")</f>
        <v>acostahec@yahoo.es</v>
      </c>
      <c r="H1696" s="65"/>
      <c r="I1696" s="65"/>
      <c r="J1696" s="65"/>
      <c r="K1696" s="65" t="str">
        <f>IFERROR(__xludf.DUMMYFUNCTION("""COMPUTED_VALUE"""),"CANCELADO")</f>
        <v>CANCELADO</v>
      </c>
      <c r="L1696" s="65" t="str">
        <f>IFERROR(__xludf.DUMMYFUNCTION("""COMPUTED_VALUE"""),"CON RECAUDO")</f>
        <v>CON RECAUDO</v>
      </c>
      <c r="M1696" s="65" t="str">
        <f>IFERROR(__xludf.DUMMYFUNCTION("""COMPUTED_VALUE"""),"PICHINCHA")</f>
        <v>PICHINCHA</v>
      </c>
      <c r="N1696" s="65" t="str">
        <f>IFERROR(__xludf.DUMMYFUNCTION("""COMPUTED_VALUE"""),"QUITO")</f>
        <v>QUITO</v>
      </c>
      <c r="O1696" s="65" t="str">
        <f>IFERROR(__xludf.DUMMYFUNCTION("""COMPUTED_VALUE"""),"Pedro Echeverría S35-165 Victor Valencia -")</f>
        <v>Pedro Echeverría S35-165 Victor Valencia -</v>
      </c>
      <c r="P1696" s="65"/>
      <c r="Q1696" s="65" t="str">
        <f>IFERROR(__xludf.DUMMYFUNCTION("""COMPUTED_VALUE"""),"GINTRACOM")</f>
        <v>GINTRACOM</v>
      </c>
      <c r="R1696" s="65">
        <f>IFERROR(__xludf.DUMMYFUNCTION("""COMPUTED_VALUE"""),30.0)</f>
        <v>30</v>
      </c>
      <c r="S1696" s="65"/>
      <c r="T1696" s="65">
        <f>IFERROR(__xludf.DUMMYFUNCTION("""COMPUTED_VALUE"""),4.55)</f>
        <v>4.55</v>
      </c>
      <c r="U1696" s="65">
        <f>IFERROR(__xludf.DUMMYFUNCTION("""COMPUTED_VALUE"""),0.0)</f>
        <v>0</v>
      </c>
      <c r="V1696" s="65">
        <f>IFERROR(__xludf.DUMMYFUNCTION("""COMPUTED_VALUE"""),0.0)</f>
        <v>0</v>
      </c>
      <c r="W1696" s="65">
        <f>IFERROR(__xludf.DUMMYFUNCTION("""COMPUTED_VALUE"""),0.0)</f>
        <v>0</v>
      </c>
      <c r="X1696" s="65">
        <f>IFERROR(__xludf.DUMMYFUNCTION("""COMPUTED_VALUE"""),2.35)</f>
        <v>2.35</v>
      </c>
      <c r="Y1696" s="65">
        <f>IFERROR(__xludf.DUMMYFUNCTION("""COMPUTED_VALUE"""),7.05)</f>
        <v>7.05</v>
      </c>
      <c r="Z1696" s="65">
        <f>IFERROR(__xludf.DUMMYFUNCTION("""COMPUTED_VALUE"""),116679.0)</f>
        <v>116679</v>
      </c>
      <c r="AA1696" s="65" t="str">
        <f>IFERROR(__xludf.DUMMYFUNCTION("""COMPUTED_VALUE"""),"AMC-2738")</f>
        <v>AMC-2738</v>
      </c>
      <c r="AB1696" s="65"/>
      <c r="AC1696" s="65" t="str">
        <f>IFERROR(__xludf.DUMMYFUNCTION("""COMPUTED_VALUE"""),"ESPONJA ANTILLUVIA DE PARABRISAS")</f>
        <v>ESPONJA ANTILLUVIA DE PARABRISAS</v>
      </c>
      <c r="AD1696" s="65"/>
      <c r="AE1696" s="65">
        <f>IFERROR(__xludf.DUMMYFUNCTION("""COMPUTED_VALUE"""),3.0)</f>
        <v>3</v>
      </c>
      <c r="AF1696" s="65"/>
      <c r="AG1696" s="65"/>
      <c r="AH1696" s="65"/>
      <c r="AI1696" s="65"/>
      <c r="AJ1696" s="65"/>
      <c r="AK1696" s="65"/>
      <c r="AL1696" s="65"/>
      <c r="AM1696" s="65"/>
      <c r="AN1696" s="65"/>
      <c r="AO1696" s="65"/>
      <c r="AP1696" s="65"/>
      <c r="AQ1696" s="65"/>
      <c r="AR1696" s="65"/>
      <c r="AS1696" s="65"/>
      <c r="AT1696" s="65" t="str">
        <f>IFERROR(__xludf.DUMMYFUNCTION("""COMPUTED_VALUE"""),"SHOPIFY")</f>
        <v>SHOPIFY</v>
      </c>
      <c r="AU1696" s="65" t="str">
        <f>IFERROR(__xludf.DUMMYFUNCTION("""COMPUTED_VALUE"""),"IMPORTEX EC")</f>
        <v>IMPORTEX EC</v>
      </c>
      <c r="AV1696" s="65" t="str">
        <f>IFERROR(__xludf.DUMMYFUNCTION("""COMPUTED_VALUE"""),"6416548134956")</f>
        <v>6416548134956</v>
      </c>
      <c r="AW1696" s="65">
        <f>IFERROR(__xludf.DUMMYFUNCTION("""COMPUTED_VALUE"""),5246.0)</f>
        <v>5246</v>
      </c>
      <c r="AX1696" s="65"/>
      <c r="AY1696" s="65"/>
      <c r="AZ1696" s="65"/>
      <c r="BA1696" s="65"/>
    </row>
    <row r="1697">
      <c r="A1697" s="65" t="str">
        <f>IFERROR(__xludf.DUMMYFUNCTION("""COMPUTED_VALUE"""),"27-03-2026")</f>
        <v>27-03-2026</v>
      </c>
      <c r="B1697" s="65">
        <f>IFERROR(__xludf.DUMMYFUNCTION("""COMPUTED_VALUE"""),4156337.0)</f>
        <v>4156337</v>
      </c>
      <c r="C1697" s="65" t="str">
        <f>IFERROR(__xludf.DUMMYFUNCTION("""COMPUTED_VALUE"""),"11:00")</f>
        <v>11:00</v>
      </c>
      <c r="D1697" s="65" t="str">
        <f>IFERROR(__xludf.DUMMYFUNCTION("""COMPUTED_VALUE"""),"15-01-2026")</f>
        <v>15-01-2026</v>
      </c>
      <c r="E1697" s="65" t="str">
        <f>IFERROR(__xludf.DUMMYFUNCTION("""COMPUTED_VALUE"""),"Doris Garzon")</f>
        <v>Doris Garzon</v>
      </c>
      <c r="F1697" s="65" t="str">
        <f>IFERROR(__xludf.DUMMYFUNCTION("""COMPUTED_VALUE"""),"998593594")</f>
        <v>998593594</v>
      </c>
      <c r="G1697" s="65" t="str">
        <f>IFERROR(__xludf.DUMMYFUNCTION("""COMPUTED_VALUE"""),"garzon.doris@hotmail.com")</f>
        <v>garzon.doris@hotmail.com</v>
      </c>
      <c r="H1697" s="65"/>
      <c r="I1697" s="65"/>
      <c r="J1697" s="65" t="str">
        <f>IFERROR(__xludf.DUMMYFUNCTION("""COMPUTED_VALUE"""),"D001233718")</f>
        <v>D001233718</v>
      </c>
      <c r="K1697" s="65" t="str">
        <f>IFERROR(__xludf.DUMMYFUNCTION("""COMPUTED_VALUE"""),"DEVOLUCION")</f>
        <v>DEVOLUCION</v>
      </c>
      <c r="L1697" s="65" t="str">
        <f>IFERROR(__xludf.DUMMYFUNCTION("""COMPUTED_VALUE"""),"CON RECAUDO")</f>
        <v>CON RECAUDO</v>
      </c>
      <c r="M1697" s="65" t="str">
        <f>IFERROR(__xludf.DUMMYFUNCTION("""COMPUTED_VALUE"""),"PICHINCHA")</f>
        <v>PICHINCHA</v>
      </c>
      <c r="N1697" s="65" t="str">
        <f>IFERROR(__xludf.DUMMYFUNCTION("""COMPUTED_VALUE"""),"QUITO")</f>
        <v>QUITO</v>
      </c>
      <c r="O1697" s="65" t="str">
        <f>IFERROR(__xludf.DUMMYFUNCTION("""COMPUTED_VALUE"""),"Humberto Mata y Elisa Mariño Cumvaya -")</f>
        <v>Humberto Mata y Elisa Mariño Cumvaya -</v>
      </c>
      <c r="P1697" s="65"/>
      <c r="Q1697" s="65" t="str">
        <f>IFERROR(__xludf.DUMMYFUNCTION("""COMPUTED_VALUE"""),"GINTRACOM")</f>
        <v>GINTRACOM</v>
      </c>
      <c r="R1697" s="65">
        <f>IFERROR(__xludf.DUMMYFUNCTION("""COMPUTED_VALUE"""),22.0)</f>
        <v>22</v>
      </c>
      <c r="S1697" s="65"/>
      <c r="T1697" s="65">
        <f>IFERROR(__xludf.DUMMYFUNCTION("""COMPUTED_VALUE"""),5.84)</f>
        <v>5.84</v>
      </c>
      <c r="U1697" s="65">
        <f>IFERROR(__xludf.DUMMYFUNCTION("""COMPUTED_VALUE"""),0.0)</f>
        <v>0</v>
      </c>
      <c r="V1697" s="65">
        <f>IFERROR(__xludf.DUMMYFUNCTION("""COMPUTED_VALUE"""),0.0)</f>
        <v>0</v>
      </c>
      <c r="W1697" s="65">
        <f>IFERROR(__xludf.DUMMYFUNCTION("""COMPUTED_VALUE"""),0.0)</f>
        <v>0</v>
      </c>
      <c r="X1697" s="65">
        <f>IFERROR(__xludf.DUMMYFUNCTION("""COMPUTED_VALUE"""),2.6)</f>
        <v>2.6</v>
      </c>
      <c r="Y1697" s="65">
        <f>IFERROR(__xludf.DUMMYFUNCTION("""COMPUTED_VALUE"""),5.2)</f>
        <v>5.2</v>
      </c>
      <c r="Z1697" s="65">
        <f>IFERROR(__xludf.DUMMYFUNCTION("""COMPUTED_VALUE"""),121983.0)</f>
        <v>121983</v>
      </c>
      <c r="AA1697" s="65" t="str">
        <f>IFERROR(__xludf.DUMMYFUNCTION("""COMPUTED_VALUE"""),"PROV-CHLLCF")</f>
        <v>PROV-CHLLCF</v>
      </c>
      <c r="AB1697" s="65"/>
      <c r="AC1697" s="65" t="str">
        <f>IFERROR(__xludf.DUMMYFUNCTION("""COMPUTED_VALUE"""),"CUCHILLO PARA CHEF")</f>
        <v>CUCHILLO PARA CHEF</v>
      </c>
      <c r="AD1697" s="65"/>
      <c r="AE1697" s="65">
        <f>IFERROR(__xludf.DUMMYFUNCTION("""COMPUTED_VALUE"""),2.0)</f>
        <v>2</v>
      </c>
      <c r="AF1697" s="65" t="str">
        <f>IFERROR(__xludf.DUMMYFUNCTION("""COMPUTED_VALUE"""),"DESTINATARIO INDICA QUE NO ES EL PRODUCTO QUE SOLICITÓ")</f>
        <v>DESTINATARIO INDICA QUE NO ES EL PRODUCTO QUE SOLICITÓ</v>
      </c>
      <c r="AG1697" s="65" t="str">
        <f>IFERROR(__xludf.DUMMYFUNCTION("""COMPUTED_VALUE"""),"NO")</f>
        <v>NO</v>
      </c>
      <c r="AH1697" s="65" t="str">
        <f>IFERROR(__xludf.DUMMYFUNCTION("""COMPUTED_VALUE"""),"12:38")</f>
        <v>12:38</v>
      </c>
      <c r="AI1697" s="65" t="str">
        <f>IFERROR(__xludf.DUMMYFUNCTION("""COMPUTED_VALUE"""),"20-01-2026")</f>
        <v>20-01-2026</v>
      </c>
      <c r="AJ1697" s="65"/>
      <c r="AK1697" s="65"/>
      <c r="AL1697" s="65"/>
      <c r="AM1697" s="65"/>
      <c r="AN1697" s="65" t="str">
        <f>IFERROR(__xludf.DUMMYFUNCTION("""COMPUTED_VALUE"""),"08:48")</f>
        <v>08:48</v>
      </c>
      <c r="AO1697" s="65" t="str">
        <f>IFERROR(__xludf.DUMMYFUNCTION("""COMPUTED_VALUE"""),"10-02-2026")</f>
        <v>10-02-2026</v>
      </c>
      <c r="AP1697" s="65" t="str">
        <f>IFERROR(__xludf.DUMMYFUNCTION("""COMPUTED_VALUE"""),"DEV CONFIRMADA POR BODEGA")</f>
        <v>DEV CONFIRMADA POR BODEGA</v>
      </c>
      <c r="AQ1697" s="65"/>
      <c r="AR1697" s="65" t="str">
        <f>IFERROR(__xludf.DUMMYFUNCTION("""COMPUTED_VALUE"""),"Gestionado por: Moran Daniel, email:danielmorga2005@gmail.com, total de productos en la orden: 1")</f>
        <v>Gestionado por: Moran Daniel, email:danielmorga2005@gmail.com, total de productos en la orden: 1</v>
      </c>
      <c r="AS1697" s="65"/>
      <c r="AT1697" s="65" t="str">
        <f>IFERROR(__xludf.DUMMYFUNCTION("""COMPUTED_VALUE"""),"SHOPIFY")</f>
        <v>SHOPIFY</v>
      </c>
      <c r="AU1697" s="65" t="str">
        <f>IFERROR(__xludf.DUMMYFUNCTION("""COMPUTED_VALUE"""),"IMPORTEX EC")</f>
        <v>IMPORTEX EC</v>
      </c>
      <c r="AV1697" s="65" t="str">
        <f>IFERROR(__xludf.DUMMYFUNCTION("""COMPUTED_VALUE"""),"6416526082092")</f>
        <v>6416526082092</v>
      </c>
      <c r="AW1697" s="65">
        <f>IFERROR(__xludf.DUMMYFUNCTION("""COMPUTED_VALUE"""),5245.0)</f>
        <v>5245</v>
      </c>
      <c r="AX1697" s="65"/>
      <c r="AY1697" s="65" t="str">
        <f>IFERROR(__xludf.DUMMYFUNCTION("""COMPUTED_VALUE"""),"17/01/2026")</f>
        <v>17/01/2026</v>
      </c>
      <c r="AZ1697" s="65"/>
      <c r="BA1697" s="65"/>
    </row>
    <row r="1698">
      <c r="A1698" s="65" t="str">
        <f>IFERROR(__xludf.DUMMYFUNCTION("""COMPUTED_VALUE"""),"27-03-2026")</f>
        <v>27-03-2026</v>
      </c>
      <c r="B1698" s="65">
        <f>IFERROR(__xludf.DUMMYFUNCTION("""COMPUTED_VALUE"""),4156297.0)</f>
        <v>4156297</v>
      </c>
      <c r="C1698" s="65" t="str">
        <f>IFERROR(__xludf.DUMMYFUNCTION("""COMPUTED_VALUE"""),"10:57")</f>
        <v>10:57</v>
      </c>
      <c r="D1698" s="65" t="str">
        <f>IFERROR(__xludf.DUMMYFUNCTION("""COMPUTED_VALUE"""),"15-01-2026")</f>
        <v>15-01-2026</v>
      </c>
      <c r="E1698" s="65" t="str">
        <f>IFERROR(__xludf.DUMMYFUNCTION("""COMPUTED_VALUE"""),"Bolívar Molina")</f>
        <v>Bolívar Molina</v>
      </c>
      <c r="F1698" s="65" t="str">
        <f>IFERROR(__xludf.DUMMYFUNCTION("""COMPUTED_VALUE"""),"987498581")</f>
        <v>987498581</v>
      </c>
      <c r="G1698" s="65" t="str">
        <f>IFERROR(__xludf.DUMMYFUNCTION("""COMPUTED_VALUE"""),"serviautogena@hotmail.com")</f>
        <v>serviautogena@hotmail.com</v>
      </c>
      <c r="H1698" s="65"/>
      <c r="I1698" s="65"/>
      <c r="J1698" s="65" t="str">
        <f>IFERROR(__xludf.DUMMYFUNCTION("""COMPUTED_VALUE"""),"D001233719")</f>
        <v>D001233719</v>
      </c>
      <c r="K1698" s="65" t="str">
        <f>IFERROR(__xludf.DUMMYFUNCTION("""COMPUTED_VALUE"""),"ENTREGADO")</f>
        <v>ENTREGADO</v>
      </c>
      <c r="L1698" s="65" t="str">
        <f>IFERROR(__xludf.DUMMYFUNCTION("""COMPUTED_VALUE"""),"CON RECAUDO")</f>
        <v>CON RECAUDO</v>
      </c>
      <c r="M1698" s="65" t="str">
        <f>IFERROR(__xludf.DUMMYFUNCTION("""COMPUTED_VALUE"""),"PICHINCHA")</f>
        <v>PICHINCHA</v>
      </c>
      <c r="N1698" s="65" t="str">
        <f>IFERROR(__xludf.DUMMYFUNCTION("""COMPUTED_VALUE"""),"QUITO")</f>
        <v>QUITO</v>
      </c>
      <c r="O1698" s="65" t="str">
        <f>IFERROR(__xludf.DUMMYFUNCTION("""COMPUTED_VALUE"""),"Manuel Serrano N51-115 y Eustaquio Blanco esquina. Frente a la cancha de la Florida -")</f>
        <v>Manuel Serrano N51-115 y Eustaquio Blanco esquina. Frente a la cancha de la Florida -</v>
      </c>
      <c r="P1698" s="65"/>
      <c r="Q1698" s="65" t="str">
        <f>IFERROR(__xludf.DUMMYFUNCTION("""COMPUTED_VALUE"""),"GINTRACOM")</f>
        <v>GINTRACOM</v>
      </c>
      <c r="R1698" s="65">
        <f>IFERROR(__xludf.DUMMYFUNCTION("""COMPUTED_VALUE"""),22.0)</f>
        <v>22</v>
      </c>
      <c r="S1698" s="65">
        <f>IFERROR(__xludf.DUMMYFUNCTION("""COMPUTED_VALUE"""),10.96)</f>
        <v>10.96</v>
      </c>
      <c r="T1698" s="65">
        <f>IFERROR(__xludf.DUMMYFUNCTION("""COMPUTED_VALUE"""),5.84)</f>
        <v>5.84</v>
      </c>
      <c r="U1698" s="65">
        <f>IFERROR(__xludf.DUMMYFUNCTION("""COMPUTED_VALUE"""),0.0)</f>
        <v>0</v>
      </c>
      <c r="V1698" s="65">
        <f>IFERROR(__xludf.DUMMYFUNCTION("""COMPUTED_VALUE"""),0.0)</f>
        <v>0</v>
      </c>
      <c r="W1698" s="65">
        <f>IFERROR(__xludf.DUMMYFUNCTION("""COMPUTED_VALUE"""),0.0)</f>
        <v>0</v>
      </c>
      <c r="X1698" s="65">
        <f>IFERROR(__xludf.DUMMYFUNCTION("""COMPUTED_VALUE"""),2.6)</f>
        <v>2.6</v>
      </c>
      <c r="Y1698" s="65">
        <f>IFERROR(__xludf.DUMMYFUNCTION("""COMPUTED_VALUE"""),5.2)</f>
        <v>5.2</v>
      </c>
      <c r="Z1698" s="65">
        <f>IFERROR(__xludf.DUMMYFUNCTION("""COMPUTED_VALUE"""),121983.0)</f>
        <v>121983</v>
      </c>
      <c r="AA1698" s="65" t="str">
        <f>IFERROR(__xludf.DUMMYFUNCTION("""COMPUTED_VALUE"""),"PROV-CHLLCF")</f>
        <v>PROV-CHLLCF</v>
      </c>
      <c r="AB1698" s="65"/>
      <c r="AC1698" s="65" t="str">
        <f>IFERROR(__xludf.DUMMYFUNCTION("""COMPUTED_VALUE"""),"CUCHILLO PARA CHEF")</f>
        <v>CUCHILLO PARA CHEF</v>
      </c>
      <c r="AD1698" s="65"/>
      <c r="AE1698" s="65">
        <f>IFERROR(__xludf.DUMMYFUNCTION("""COMPUTED_VALUE"""),2.0)</f>
        <v>2</v>
      </c>
      <c r="AF1698" s="65"/>
      <c r="AG1698" s="65"/>
      <c r="AH1698" s="65"/>
      <c r="AI1698" s="65"/>
      <c r="AJ1698" s="65"/>
      <c r="AK1698" s="65"/>
      <c r="AL1698" s="65"/>
      <c r="AM1698" s="65"/>
      <c r="AN1698" s="65" t="str">
        <f>IFERROR(__xludf.DUMMYFUNCTION("""COMPUTED_VALUE"""),"11:57")</f>
        <v>11:57</v>
      </c>
      <c r="AO1698" s="65" t="str">
        <f>IFERROR(__xludf.DUMMYFUNCTION("""COMPUTED_VALUE"""),"19-01-2026")</f>
        <v>19-01-2026</v>
      </c>
      <c r="AP1698" s="65" t="str">
        <f>IFERROR(__xludf.DUMMYFUNCTION("""COMPUTED_VALUE"""),"ENTREGADA GINTRACOM")</f>
        <v>ENTREGADA GINTRACOM</v>
      </c>
      <c r="AQ1698" s="65" t="str">
        <f>IFERROR(__xludf.DUMMYFUNCTION("""COMPUTED_VALUE"""),"ENTREGADA GINTRACOM")</f>
        <v>ENTREGADA GINTRACOM</v>
      </c>
      <c r="AR1698" s="65"/>
      <c r="AS1698" s="65"/>
      <c r="AT1698" s="65" t="str">
        <f>IFERROR(__xludf.DUMMYFUNCTION("""COMPUTED_VALUE"""),"SHOPIFY")</f>
        <v>SHOPIFY</v>
      </c>
      <c r="AU1698" s="65" t="str">
        <f>IFERROR(__xludf.DUMMYFUNCTION("""COMPUTED_VALUE"""),"IMPORTEX EC")</f>
        <v>IMPORTEX EC</v>
      </c>
      <c r="AV1698" s="65" t="str">
        <f>IFERROR(__xludf.DUMMYFUNCTION("""COMPUTED_VALUE"""),"6416517267500")</f>
        <v>6416517267500</v>
      </c>
      <c r="AW1698" s="65">
        <f>IFERROR(__xludf.DUMMYFUNCTION("""COMPUTED_VALUE"""),5244.0)</f>
        <v>5244</v>
      </c>
      <c r="AX1698" s="65"/>
      <c r="AY1698" s="65" t="str">
        <f>IFERROR(__xludf.DUMMYFUNCTION("""COMPUTED_VALUE"""),"17/01/2026")</f>
        <v>17/01/2026</v>
      </c>
      <c r="AZ1698" s="65"/>
      <c r="BA1698" s="65"/>
    </row>
    <row r="1699">
      <c r="A1699" s="65" t="str">
        <f>IFERROR(__xludf.DUMMYFUNCTION("""COMPUTED_VALUE"""),"27-03-2026")</f>
        <v>27-03-2026</v>
      </c>
      <c r="B1699" s="65">
        <f>IFERROR(__xludf.DUMMYFUNCTION("""COMPUTED_VALUE"""),4156234.0)</f>
        <v>4156234</v>
      </c>
      <c r="C1699" s="65" t="str">
        <f>IFERROR(__xludf.DUMMYFUNCTION("""COMPUTED_VALUE"""),"10:53")</f>
        <v>10:53</v>
      </c>
      <c r="D1699" s="65" t="str">
        <f>IFERROR(__xludf.DUMMYFUNCTION("""COMPUTED_VALUE"""),"15-01-2026")</f>
        <v>15-01-2026</v>
      </c>
      <c r="E1699" s="65" t="str">
        <f>IFERROR(__xludf.DUMMYFUNCTION("""COMPUTED_VALUE"""),"ivan Zapatier")</f>
        <v>ivan Zapatier</v>
      </c>
      <c r="F1699" s="65" t="str">
        <f>IFERROR(__xludf.DUMMYFUNCTION("""COMPUTED_VALUE"""),"999188000")</f>
        <v>999188000</v>
      </c>
      <c r="G1699" s="65" t="str">
        <f>IFERROR(__xludf.DUMMYFUNCTION("""COMPUTED_VALUE"""),"ivanzapatier@hotmail.com")</f>
        <v>ivanzapatier@hotmail.com</v>
      </c>
      <c r="H1699" s="65"/>
      <c r="I1699" s="65"/>
      <c r="J1699" s="65" t="str">
        <f>IFERROR(__xludf.DUMMYFUNCTION("""COMPUTED_VALUE"""),"D001233722")</f>
        <v>D001233722</v>
      </c>
      <c r="K1699" s="65" t="str">
        <f>IFERROR(__xludf.DUMMYFUNCTION("""COMPUTED_VALUE"""),"ENTREGADO")</f>
        <v>ENTREGADO</v>
      </c>
      <c r="L1699" s="65" t="str">
        <f>IFERROR(__xludf.DUMMYFUNCTION("""COMPUTED_VALUE"""),"CON RECAUDO")</f>
        <v>CON RECAUDO</v>
      </c>
      <c r="M1699" s="65" t="str">
        <f>IFERROR(__xludf.DUMMYFUNCTION("""COMPUTED_VALUE"""),"GUAYAS")</f>
        <v>GUAYAS</v>
      </c>
      <c r="N1699" s="65" t="str">
        <f>IFERROR(__xludf.DUMMYFUNCTION("""COMPUTED_VALUE"""),"GUAYAQUIL")</f>
        <v>GUAYAQUIL</v>
      </c>
      <c r="O1699" s="65" t="str">
        <f>IFERROR(__xludf.DUMMYFUNCTION("""COMPUTED_VALUE"""),"Calle 5ta #103, Condominio Cervantes, entre av. Principal y av. Primera")</f>
        <v>Calle 5ta #103, Condominio Cervantes, entre av. Principal y av. Primera</v>
      </c>
      <c r="P1699" s="65"/>
      <c r="Q1699" s="65" t="str">
        <f>IFERROR(__xludf.DUMMYFUNCTION("""COMPUTED_VALUE"""),"GINTRACOM")</f>
        <v>GINTRACOM</v>
      </c>
      <c r="R1699" s="65">
        <f>IFERROR(__xludf.DUMMYFUNCTION("""COMPUTED_VALUE"""),27.0)</f>
        <v>27</v>
      </c>
      <c r="S1699" s="65">
        <f>IFERROR(__xludf.DUMMYFUNCTION("""COMPUTED_VALUE"""),14.78)</f>
        <v>14.78</v>
      </c>
      <c r="T1699" s="65">
        <f>IFERROR(__xludf.DUMMYFUNCTION("""COMPUTED_VALUE"""),4.42)</f>
        <v>4.42</v>
      </c>
      <c r="U1699" s="65">
        <f>IFERROR(__xludf.DUMMYFUNCTION("""COMPUTED_VALUE"""),0.0)</f>
        <v>0</v>
      </c>
      <c r="V1699" s="65">
        <f>IFERROR(__xludf.DUMMYFUNCTION("""COMPUTED_VALUE"""),0.0)</f>
        <v>0</v>
      </c>
      <c r="W1699" s="65">
        <f>IFERROR(__xludf.DUMMYFUNCTION("""COMPUTED_VALUE"""),0.0)</f>
        <v>0</v>
      </c>
      <c r="X1699" s="65">
        <f>IFERROR(__xludf.DUMMYFUNCTION("""COMPUTED_VALUE"""),2.6)</f>
        <v>2.6</v>
      </c>
      <c r="Y1699" s="65">
        <f>IFERROR(__xludf.DUMMYFUNCTION("""COMPUTED_VALUE"""),7.8)</f>
        <v>7.8</v>
      </c>
      <c r="Z1699" s="65">
        <f>IFERROR(__xludf.DUMMYFUNCTION("""COMPUTED_VALUE"""),121983.0)</f>
        <v>121983</v>
      </c>
      <c r="AA1699" s="65" t="str">
        <f>IFERROR(__xludf.DUMMYFUNCTION("""COMPUTED_VALUE"""),"PROV-CHLLCF")</f>
        <v>PROV-CHLLCF</v>
      </c>
      <c r="AB1699" s="65"/>
      <c r="AC1699" s="65" t="str">
        <f>IFERROR(__xludf.DUMMYFUNCTION("""COMPUTED_VALUE"""),"CUCHILLO PARA CHEF")</f>
        <v>CUCHILLO PARA CHEF</v>
      </c>
      <c r="AD1699" s="65"/>
      <c r="AE1699" s="65">
        <f>IFERROR(__xludf.DUMMYFUNCTION("""COMPUTED_VALUE"""),3.0)</f>
        <v>3</v>
      </c>
      <c r="AF1699" s="65"/>
      <c r="AG1699" s="65"/>
      <c r="AH1699" s="65"/>
      <c r="AI1699" s="65"/>
      <c r="AJ1699" s="65"/>
      <c r="AK1699" s="65"/>
      <c r="AL1699" s="65"/>
      <c r="AM1699" s="65"/>
      <c r="AN1699" s="65" t="str">
        <f>IFERROR(__xludf.DUMMYFUNCTION("""COMPUTED_VALUE"""),"09:50")</f>
        <v>09:50</v>
      </c>
      <c r="AO1699" s="65" t="str">
        <f>IFERROR(__xludf.DUMMYFUNCTION("""COMPUTED_VALUE"""),"19-01-2026")</f>
        <v>19-01-2026</v>
      </c>
      <c r="AP1699" s="65" t="str">
        <f>IFERROR(__xludf.DUMMYFUNCTION("""COMPUTED_VALUE"""),"ENTREGADA GINTRACOM")</f>
        <v>ENTREGADA GINTRACOM</v>
      </c>
      <c r="AQ1699" s="65" t="str">
        <f>IFERROR(__xludf.DUMMYFUNCTION("""COMPUTED_VALUE"""),"ENTREGADA GINTRACOM")</f>
        <v>ENTREGADA GINTRACOM</v>
      </c>
      <c r="AR1699" s="65"/>
      <c r="AS1699" s="65"/>
      <c r="AT1699" s="65" t="str">
        <f>IFERROR(__xludf.DUMMYFUNCTION("""COMPUTED_VALUE"""),"SHOPIFY")</f>
        <v>SHOPIFY</v>
      </c>
      <c r="AU1699" s="65" t="str">
        <f>IFERROR(__xludf.DUMMYFUNCTION("""COMPUTED_VALUE"""),"IMPORTEX EC")</f>
        <v>IMPORTEX EC</v>
      </c>
      <c r="AV1699" s="65" t="str">
        <f>IFERROR(__xludf.DUMMYFUNCTION("""COMPUTED_VALUE"""),"6416510058540")</f>
        <v>6416510058540</v>
      </c>
      <c r="AW1699" s="65">
        <f>IFERROR(__xludf.DUMMYFUNCTION("""COMPUTED_VALUE"""),5243.0)</f>
        <v>5243</v>
      </c>
      <c r="AX1699" s="65"/>
      <c r="AY1699" s="65" t="str">
        <f>IFERROR(__xludf.DUMMYFUNCTION("""COMPUTED_VALUE"""),"17/01/2026")</f>
        <v>17/01/2026</v>
      </c>
      <c r="AZ1699" s="65"/>
      <c r="BA1699" s="65"/>
    </row>
    <row r="1700">
      <c r="A1700" s="65" t="str">
        <f>IFERROR(__xludf.DUMMYFUNCTION("""COMPUTED_VALUE"""),"27-03-2026")</f>
        <v>27-03-2026</v>
      </c>
      <c r="B1700" s="65">
        <f>IFERROR(__xludf.DUMMYFUNCTION("""COMPUTED_VALUE"""),4156224.0)</f>
        <v>4156224</v>
      </c>
      <c r="C1700" s="65" t="str">
        <f>IFERROR(__xludf.DUMMYFUNCTION("""COMPUTED_VALUE"""),"10:52")</f>
        <v>10:52</v>
      </c>
      <c r="D1700" s="65" t="str">
        <f>IFERROR(__xludf.DUMMYFUNCTION("""COMPUTED_VALUE"""),"15-01-2026")</f>
        <v>15-01-2026</v>
      </c>
      <c r="E1700" s="65" t="str">
        <f>IFERROR(__xludf.DUMMYFUNCTION("""COMPUTED_VALUE"""),"Sonia Carvajal")</f>
        <v>Sonia Carvajal</v>
      </c>
      <c r="F1700" s="65" t="str">
        <f>IFERROR(__xludf.DUMMYFUNCTION("""COMPUTED_VALUE"""),"999936410")</f>
        <v>999936410</v>
      </c>
      <c r="G1700" s="65" t="str">
        <f>IFERROR(__xludf.DUMMYFUNCTION("""COMPUTED_VALUE"""),"soniacarvajalhtata@gmail.com")</f>
        <v>soniacarvajalhtata@gmail.com</v>
      </c>
      <c r="H1700" s="65"/>
      <c r="I1700" s="65"/>
      <c r="J1700" s="65" t="str">
        <f>IFERROR(__xludf.DUMMYFUNCTION("""COMPUTED_VALUE"""),"D001233724")</f>
        <v>D001233724</v>
      </c>
      <c r="K1700" s="65" t="str">
        <f>IFERROR(__xludf.DUMMYFUNCTION("""COMPUTED_VALUE"""),"DEVOLUCION")</f>
        <v>DEVOLUCION</v>
      </c>
      <c r="L1700" s="65" t="str">
        <f>IFERROR(__xludf.DUMMYFUNCTION("""COMPUTED_VALUE"""),"CON RECAUDO")</f>
        <v>CON RECAUDO</v>
      </c>
      <c r="M1700" s="65" t="str">
        <f>IFERROR(__xludf.DUMMYFUNCTION("""COMPUTED_VALUE"""),"MORONA SANTIAGO")</f>
        <v>MORONA SANTIAGO</v>
      </c>
      <c r="N1700" s="65" t="str">
        <f>IFERROR(__xludf.DUMMYFUNCTION("""COMPUTED_VALUE"""),"MACAS")</f>
        <v>MACAS</v>
      </c>
      <c r="O1700" s="65" t="str">
        <f>IFERROR(__xludf.DUMMYFUNCTION("""COMPUTED_VALUE"""),"Av cumanda 1 de mayo - Palora")</f>
        <v>Av cumanda 1 de mayo - Palora</v>
      </c>
      <c r="P1700" s="65"/>
      <c r="Q1700" s="65" t="str">
        <f>IFERROR(__xludf.DUMMYFUNCTION("""COMPUTED_VALUE"""),"GINTRACOM")</f>
        <v>GINTRACOM</v>
      </c>
      <c r="R1700" s="65">
        <f>IFERROR(__xludf.DUMMYFUNCTION("""COMPUTED_VALUE"""),22.0)</f>
        <v>22</v>
      </c>
      <c r="S1700" s="65"/>
      <c r="T1700" s="65">
        <f>IFERROR(__xludf.DUMMYFUNCTION("""COMPUTED_VALUE"""),5.84)</f>
        <v>5.84</v>
      </c>
      <c r="U1700" s="65">
        <f>IFERROR(__xludf.DUMMYFUNCTION("""COMPUTED_VALUE"""),0.0)</f>
        <v>0</v>
      </c>
      <c r="V1700" s="65">
        <f>IFERROR(__xludf.DUMMYFUNCTION("""COMPUTED_VALUE"""),0.0)</f>
        <v>0</v>
      </c>
      <c r="W1700" s="65">
        <f>IFERROR(__xludf.DUMMYFUNCTION("""COMPUTED_VALUE"""),0.0)</f>
        <v>0</v>
      </c>
      <c r="X1700" s="65">
        <f>IFERROR(__xludf.DUMMYFUNCTION("""COMPUTED_VALUE"""),2.6)</f>
        <v>2.6</v>
      </c>
      <c r="Y1700" s="65">
        <f>IFERROR(__xludf.DUMMYFUNCTION("""COMPUTED_VALUE"""),5.2)</f>
        <v>5.2</v>
      </c>
      <c r="Z1700" s="65">
        <f>IFERROR(__xludf.DUMMYFUNCTION("""COMPUTED_VALUE"""),121983.0)</f>
        <v>121983</v>
      </c>
      <c r="AA1700" s="65" t="str">
        <f>IFERROR(__xludf.DUMMYFUNCTION("""COMPUTED_VALUE"""),"PROV-CHLLCF")</f>
        <v>PROV-CHLLCF</v>
      </c>
      <c r="AB1700" s="65"/>
      <c r="AC1700" s="65" t="str">
        <f>IFERROR(__xludf.DUMMYFUNCTION("""COMPUTED_VALUE"""),"CUCHILLO PARA CHEF")</f>
        <v>CUCHILLO PARA CHEF</v>
      </c>
      <c r="AD1700" s="65"/>
      <c r="AE1700" s="65">
        <f>IFERROR(__xludf.DUMMYFUNCTION("""COMPUTED_VALUE"""),2.0)</f>
        <v>2</v>
      </c>
      <c r="AF1700" s="65" t="str">
        <f>IFERROR(__xludf.DUMMYFUNCTION("""COMPUTED_VALUE"""),"DESTINATARIO INDICA QUE YA NO DESEA EL PRODUCTO")</f>
        <v>DESTINATARIO INDICA QUE YA NO DESEA EL PRODUCTO</v>
      </c>
      <c r="AG1700" s="65" t="str">
        <f>IFERROR(__xludf.DUMMYFUNCTION("""COMPUTED_VALUE"""),"NO")</f>
        <v>NO</v>
      </c>
      <c r="AH1700" s="65" t="str">
        <f>IFERROR(__xludf.DUMMYFUNCTION("""COMPUTED_VALUE"""),"19:13")</f>
        <v>19:13</v>
      </c>
      <c r="AI1700" s="65" t="str">
        <f>IFERROR(__xludf.DUMMYFUNCTION("""COMPUTED_VALUE"""),"20-01-2026")</f>
        <v>20-01-2026</v>
      </c>
      <c r="AJ1700" s="65"/>
      <c r="AK1700" s="65"/>
      <c r="AL1700" s="65"/>
      <c r="AM1700" s="65"/>
      <c r="AN1700" s="65" t="str">
        <f>IFERROR(__xludf.DUMMYFUNCTION("""COMPUTED_VALUE"""),"16:35")</f>
        <v>16:35</v>
      </c>
      <c r="AO1700" s="65" t="str">
        <f>IFERROR(__xludf.DUMMYFUNCTION("""COMPUTED_VALUE"""),"13-02-2026")</f>
        <v>13-02-2026</v>
      </c>
      <c r="AP1700" s="65" t="str">
        <f>IFERROR(__xludf.DUMMYFUNCTION("""COMPUTED_VALUE"""),"DEV CONFIRMADA POR BODEGA")</f>
        <v>DEV CONFIRMADA POR BODEGA</v>
      </c>
      <c r="AQ1700" s="65"/>
      <c r="AR1700" s="65" t="str">
        <f>IFERROR(__xludf.DUMMYFUNCTION("""COMPUTED_VALUE"""),"Gestionado por: PROVEDIX DAMIAN, email:enviogratisdirecto@gmail.com, total de productos en la orden: 1")</f>
        <v>Gestionado por: PROVEDIX DAMIAN, email:enviogratisdirecto@gmail.com, total de productos en la orden: 1</v>
      </c>
      <c r="AS1700" s="65"/>
      <c r="AT1700" s="65" t="str">
        <f>IFERROR(__xludf.DUMMYFUNCTION("""COMPUTED_VALUE"""),"SHOPIFY")</f>
        <v>SHOPIFY</v>
      </c>
      <c r="AU1700" s="65" t="str">
        <f>IFERROR(__xludf.DUMMYFUNCTION("""COMPUTED_VALUE"""),"IMPORTEX EC")</f>
        <v>IMPORTEX EC</v>
      </c>
      <c r="AV1700" s="65" t="str">
        <f>IFERROR(__xludf.DUMMYFUNCTION("""COMPUTED_VALUE"""),"6416508092460")</f>
        <v>6416508092460</v>
      </c>
      <c r="AW1700" s="65">
        <f>IFERROR(__xludf.DUMMYFUNCTION("""COMPUTED_VALUE"""),5242.0)</f>
        <v>5242</v>
      </c>
      <c r="AX1700" s="65"/>
      <c r="AY1700" s="65" t="str">
        <f>IFERROR(__xludf.DUMMYFUNCTION("""COMPUTED_VALUE"""),"17/01/2026")</f>
        <v>17/01/2026</v>
      </c>
      <c r="AZ1700" s="65"/>
      <c r="BA1700" s="65"/>
    </row>
    <row r="1701">
      <c r="A1701" s="65" t="str">
        <f>IFERROR(__xludf.DUMMYFUNCTION("""COMPUTED_VALUE"""),"27-03-2026")</f>
        <v>27-03-2026</v>
      </c>
      <c r="B1701" s="65">
        <f>IFERROR(__xludf.DUMMYFUNCTION("""COMPUTED_VALUE"""),4156194.0)</f>
        <v>4156194</v>
      </c>
      <c r="C1701" s="65" t="str">
        <f>IFERROR(__xludf.DUMMYFUNCTION("""COMPUTED_VALUE"""),"10:50")</f>
        <v>10:50</v>
      </c>
      <c r="D1701" s="65" t="str">
        <f>IFERROR(__xludf.DUMMYFUNCTION("""COMPUTED_VALUE"""),"15-01-2026")</f>
        <v>15-01-2026</v>
      </c>
      <c r="E1701" s="65" t="str">
        <f>IFERROR(__xludf.DUMMYFUNCTION("""COMPUTED_VALUE"""),"Dennis Tatiana Ganchozo Mesias")</f>
        <v>Dennis Tatiana Ganchozo Mesias</v>
      </c>
      <c r="F1701" s="65" t="str">
        <f>IFERROR(__xludf.DUMMYFUNCTION("""COMPUTED_VALUE"""),"988887453")</f>
        <v>988887453</v>
      </c>
      <c r="G1701" s="65" t="str">
        <f>IFERROR(__xludf.DUMMYFUNCTION("""COMPUTED_VALUE"""),"dennisganchozo32@gmail.com")</f>
        <v>dennisganchozo32@gmail.com</v>
      </c>
      <c r="H1701" s="65"/>
      <c r="I1701" s="65"/>
      <c r="J1701" s="65" t="str">
        <f>IFERROR(__xludf.DUMMYFUNCTION("""COMPUTED_VALUE"""),"D001234352")</f>
        <v>D001234352</v>
      </c>
      <c r="K1701" s="65" t="str">
        <f>IFERROR(__xludf.DUMMYFUNCTION("""COMPUTED_VALUE"""),"ENTREGADO")</f>
        <v>ENTREGADO</v>
      </c>
      <c r="L1701" s="65" t="str">
        <f>IFERROR(__xludf.DUMMYFUNCTION("""COMPUTED_VALUE"""),"CON RECAUDO")</f>
        <v>CON RECAUDO</v>
      </c>
      <c r="M1701" s="65" t="str">
        <f>IFERROR(__xludf.DUMMYFUNCTION("""COMPUTED_VALUE"""),"LOS RIOS")</f>
        <v>LOS RIOS</v>
      </c>
      <c r="N1701" s="65" t="str">
        <f>IFERROR(__xludf.DUMMYFUNCTION("""COMPUTED_VALUE"""),"BUENA FE")</f>
        <v>BUENA FE</v>
      </c>
      <c r="O1701" s="65" t="str">
        <f>IFERROR(__xludf.DUMMYFUNCTION("""COMPUTED_VALUE"""),"Buena fe los ríos sector las Vegas calle Lucia gilse y José Suárez, casa esquinera dos pisos abajo queda farmacia virgen del quinche")</f>
        <v>Buena fe los ríos sector las Vegas calle Lucia gilse y José Suárez, casa esquinera dos pisos abajo queda farmacia virgen del quinche</v>
      </c>
      <c r="P1701" s="65"/>
      <c r="Q1701" s="65" t="str">
        <f>IFERROR(__xludf.DUMMYFUNCTION("""COMPUTED_VALUE"""),"GINTRACOM")</f>
        <v>GINTRACOM</v>
      </c>
      <c r="R1701" s="65">
        <f>IFERROR(__xludf.DUMMYFUNCTION("""COMPUTED_VALUE"""),25.0)</f>
        <v>25</v>
      </c>
      <c r="S1701" s="65">
        <f>IFERROR(__xludf.DUMMYFUNCTION("""COMPUTED_VALUE"""),13.77)</f>
        <v>13.77</v>
      </c>
      <c r="T1701" s="65">
        <f>IFERROR(__xludf.DUMMYFUNCTION("""COMPUTED_VALUE"""),6.53)</f>
        <v>6.53</v>
      </c>
      <c r="U1701" s="65">
        <f>IFERROR(__xludf.DUMMYFUNCTION("""COMPUTED_VALUE"""),0.0)</f>
        <v>0</v>
      </c>
      <c r="V1701" s="65">
        <f>IFERROR(__xludf.DUMMYFUNCTION("""COMPUTED_VALUE"""),0.0)</f>
        <v>0</v>
      </c>
      <c r="W1701" s="65">
        <f>IFERROR(__xludf.DUMMYFUNCTION("""COMPUTED_VALUE"""),0.0)</f>
        <v>0</v>
      </c>
      <c r="X1701" s="65">
        <f>IFERROR(__xludf.DUMMYFUNCTION("""COMPUTED_VALUE"""),2.35)</f>
        <v>2.35</v>
      </c>
      <c r="Y1701" s="65">
        <f>IFERROR(__xludf.DUMMYFUNCTION("""COMPUTED_VALUE"""),4.7)</f>
        <v>4.7</v>
      </c>
      <c r="Z1701" s="65">
        <f>IFERROR(__xludf.DUMMYFUNCTION("""COMPUTED_VALUE"""),116679.0)</f>
        <v>116679</v>
      </c>
      <c r="AA1701" s="65" t="str">
        <f>IFERROR(__xludf.DUMMYFUNCTION("""COMPUTED_VALUE"""),"AMC-2738")</f>
        <v>AMC-2738</v>
      </c>
      <c r="AB1701" s="65"/>
      <c r="AC1701" s="65" t="str">
        <f>IFERROR(__xludf.DUMMYFUNCTION("""COMPUTED_VALUE"""),"ESPONJA ANTILLUVIA DE PARABRISAS")</f>
        <v>ESPONJA ANTILLUVIA DE PARABRISAS</v>
      </c>
      <c r="AD1701" s="65"/>
      <c r="AE1701" s="65">
        <f>IFERROR(__xludf.DUMMYFUNCTION("""COMPUTED_VALUE"""),2.0)</f>
        <v>2</v>
      </c>
      <c r="AF1701" s="65"/>
      <c r="AG1701" s="65"/>
      <c r="AH1701" s="65"/>
      <c r="AI1701" s="65"/>
      <c r="AJ1701" s="65"/>
      <c r="AK1701" s="65"/>
      <c r="AL1701" s="65"/>
      <c r="AM1701" s="65"/>
      <c r="AN1701" s="65" t="str">
        <f>IFERROR(__xludf.DUMMYFUNCTION("""COMPUTED_VALUE"""),"14:01")</f>
        <v>14:01</v>
      </c>
      <c r="AO1701" s="65" t="str">
        <f>IFERROR(__xludf.DUMMYFUNCTION("""COMPUTED_VALUE"""),"21-01-2026")</f>
        <v>21-01-2026</v>
      </c>
      <c r="AP1701" s="65" t="str">
        <f>IFERROR(__xludf.DUMMYFUNCTION("""COMPUTED_VALUE"""),"ENTREGADA GINTRACOM")</f>
        <v>ENTREGADA GINTRACOM</v>
      </c>
      <c r="AQ1701" s="65" t="str">
        <f>IFERROR(__xludf.DUMMYFUNCTION("""COMPUTED_VALUE"""),"ENTREGADA GINTRACOM")</f>
        <v>ENTREGADA GINTRACOM</v>
      </c>
      <c r="AR1701" s="65"/>
      <c r="AS1701" s="65"/>
      <c r="AT1701" s="65" t="str">
        <f>IFERROR(__xludf.DUMMYFUNCTION("""COMPUTED_VALUE"""),"SHOPIFY")</f>
        <v>SHOPIFY</v>
      </c>
      <c r="AU1701" s="65" t="str">
        <f>IFERROR(__xludf.DUMMYFUNCTION("""COMPUTED_VALUE"""),"IMPORTEX EC")</f>
        <v>IMPORTEX EC</v>
      </c>
      <c r="AV1701" s="65" t="str">
        <f>IFERROR(__xludf.DUMMYFUNCTION("""COMPUTED_VALUE"""),"6416501506092")</f>
        <v>6416501506092</v>
      </c>
      <c r="AW1701" s="65">
        <f>IFERROR(__xludf.DUMMYFUNCTION("""COMPUTED_VALUE"""),5241.0)</f>
        <v>5241</v>
      </c>
      <c r="AX1701" s="65"/>
      <c r="AY1701" s="65" t="str">
        <f>IFERROR(__xludf.DUMMYFUNCTION("""COMPUTED_VALUE"""),"17/01/2026")</f>
        <v>17/01/2026</v>
      </c>
      <c r="AZ1701" s="65"/>
      <c r="BA1701" s="65"/>
    </row>
    <row r="1702">
      <c r="A1702" s="65" t="str">
        <f>IFERROR(__xludf.DUMMYFUNCTION("""COMPUTED_VALUE"""),"27-03-2026")</f>
        <v>27-03-2026</v>
      </c>
      <c r="B1702" s="65">
        <f>IFERROR(__xludf.DUMMYFUNCTION("""COMPUTED_VALUE"""),4156087.0)</f>
        <v>4156087</v>
      </c>
      <c r="C1702" s="65" t="str">
        <f>IFERROR(__xludf.DUMMYFUNCTION("""COMPUTED_VALUE"""),"10:41")</f>
        <v>10:41</v>
      </c>
      <c r="D1702" s="65" t="str">
        <f>IFERROR(__xludf.DUMMYFUNCTION("""COMPUTED_VALUE"""),"15-01-2026")</f>
        <v>15-01-2026</v>
      </c>
      <c r="E1702" s="65" t="str">
        <f>IFERROR(__xludf.DUMMYFUNCTION("""COMPUTED_VALUE"""),"Jimmy Santander")</f>
        <v>Jimmy Santander</v>
      </c>
      <c r="F1702" s="65" t="str">
        <f>IFERROR(__xludf.DUMMYFUNCTION("""COMPUTED_VALUE"""),"994658939")</f>
        <v>994658939</v>
      </c>
      <c r="G1702" s="65" t="str">
        <f>IFERROR(__xludf.DUMMYFUNCTION("""COMPUTED_VALUE"""),"jimmysantander80@gmail.com")</f>
        <v>jimmysantander80@gmail.com</v>
      </c>
      <c r="H1702" s="65"/>
      <c r="I1702" s="65"/>
      <c r="J1702" s="65"/>
      <c r="K1702" s="65" t="str">
        <f>IFERROR(__xludf.DUMMYFUNCTION("""COMPUTED_VALUE"""),"CANCELADO")</f>
        <v>CANCELADO</v>
      </c>
      <c r="L1702" s="65" t="str">
        <f>IFERROR(__xludf.DUMMYFUNCTION("""COMPUTED_VALUE"""),"CON RECAUDO")</f>
        <v>CON RECAUDO</v>
      </c>
      <c r="M1702" s="65" t="str">
        <f>IFERROR(__xludf.DUMMYFUNCTION("""COMPUTED_VALUE"""),"SANTO DOMINGO DE LOS TSACHILAS")</f>
        <v>SANTO DOMINGO DE LOS TSACHILAS</v>
      </c>
      <c r="N1702" s="65" t="str">
        <f>IFERROR(__xludf.DUMMYFUNCTION("""COMPUTED_VALUE"""),"SANTO DOMINGO")</f>
        <v>SANTO DOMINGO</v>
      </c>
      <c r="O1702" s="65" t="str">
        <f>IFERROR(__xludf.DUMMYFUNCTION("""COMPUTED_VALUE"""),"Fransico ramia Manasteri monjitas carmelitas -")</f>
        <v>Fransico ramia Manasteri monjitas carmelitas -</v>
      </c>
      <c r="P1702" s="65"/>
      <c r="Q1702" s="65" t="str">
        <f>IFERROR(__xludf.DUMMYFUNCTION("""COMPUTED_VALUE"""),"GINTRACOM")</f>
        <v>GINTRACOM</v>
      </c>
      <c r="R1702" s="65">
        <f>IFERROR(__xludf.DUMMYFUNCTION("""COMPUTED_VALUE"""),25.0)</f>
        <v>25</v>
      </c>
      <c r="S1702" s="65"/>
      <c r="T1702" s="65">
        <f>IFERROR(__xludf.DUMMYFUNCTION("""COMPUTED_VALUE"""),5.96)</f>
        <v>5.96</v>
      </c>
      <c r="U1702" s="65">
        <f>IFERROR(__xludf.DUMMYFUNCTION("""COMPUTED_VALUE"""),0.0)</f>
        <v>0</v>
      </c>
      <c r="V1702" s="65">
        <f>IFERROR(__xludf.DUMMYFUNCTION("""COMPUTED_VALUE"""),0.0)</f>
        <v>0</v>
      </c>
      <c r="W1702" s="65">
        <f>IFERROR(__xludf.DUMMYFUNCTION("""COMPUTED_VALUE"""),0.0)</f>
        <v>0</v>
      </c>
      <c r="X1702" s="65">
        <f>IFERROR(__xludf.DUMMYFUNCTION("""COMPUTED_VALUE"""),2.35)</f>
        <v>2.35</v>
      </c>
      <c r="Y1702" s="65">
        <f>IFERROR(__xludf.DUMMYFUNCTION("""COMPUTED_VALUE"""),4.7)</f>
        <v>4.7</v>
      </c>
      <c r="Z1702" s="65">
        <f>IFERROR(__xludf.DUMMYFUNCTION("""COMPUTED_VALUE"""),116679.0)</f>
        <v>116679</v>
      </c>
      <c r="AA1702" s="65" t="str">
        <f>IFERROR(__xludf.DUMMYFUNCTION("""COMPUTED_VALUE"""),"AMC-2738")</f>
        <v>AMC-2738</v>
      </c>
      <c r="AB1702" s="65"/>
      <c r="AC1702" s="65" t="str">
        <f>IFERROR(__xludf.DUMMYFUNCTION("""COMPUTED_VALUE"""),"ESPONJA ANTILLUVIA DE PARABRISAS")</f>
        <v>ESPONJA ANTILLUVIA DE PARABRISAS</v>
      </c>
      <c r="AD1702" s="65"/>
      <c r="AE1702" s="65">
        <f>IFERROR(__xludf.DUMMYFUNCTION("""COMPUTED_VALUE"""),2.0)</f>
        <v>2</v>
      </c>
      <c r="AF1702" s="65"/>
      <c r="AG1702" s="65"/>
      <c r="AH1702" s="65"/>
      <c r="AI1702" s="65"/>
      <c r="AJ1702" s="65"/>
      <c r="AK1702" s="65"/>
      <c r="AL1702" s="65"/>
      <c r="AM1702" s="65"/>
      <c r="AN1702" s="65"/>
      <c r="AO1702" s="65"/>
      <c r="AP1702" s="65"/>
      <c r="AQ1702" s="65"/>
      <c r="AR1702" s="65"/>
      <c r="AS1702" s="65"/>
      <c r="AT1702" s="65" t="str">
        <f>IFERROR(__xludf.DUMMYFUNCTION("""COMPUTED_VALUE"""),"SHOPIFY")</f>
        <v>SHOPIFY</v>
      </c>
      <c r="AU1702" s="65" t="str">
        <f>IFERROR(__xludf.DUMMYFUNCTION("""COMPUTED_VALUE"""),"IMPORTEX EC")</f>
        <v>IMPORTEX EC</v>
      </c>
      <c r="AV1702" s="65" t="str">
        <f>IFERROR(__xludf.DUMMYFUNCTION("""COMPUTED_VALUE"""),"6413612941356")</f>
        <v>6413612941356</v>
      </c>
      <c r="AW1702" s="65">
        <f>IFERROR(__xludf.DUMMYFUNCTION("""COMPUTED_VALUE"""),5155.0)</f>
        <v>5155</v>
      </c>
      <c r="AX1702" s="65"/>
      <c r="AY1702" s="65"/>
      <c r="AZ1702" s="65"/>
      <c r="BA1702" s="65"/>
    </row>
    <row r="1703">
      <c r="A1703" s="65" t="str">
        <f>IFERROR(__xludf.DUMMYFUNCTION("""COMPUTED_VALUE"""),"27-03-2026")</f>
        <v>27-03-2026</v>
      </c>
      <c r="B1703" s="65">
        <f>IFERROR(__xludf.DUMMYFUNCTION("""COMPUTED_VALUE"""),4155975.0)</f>
        <v>4155975</v>
      </c>
      <c r="C1703" s="65" t="str">
        <f>IFERROR(__xludf.DUMMYFUNCTION("""COMPUTED_VALUE"""),"10:29")</f>
        <v>10:29</v>
      </c>
      <c r="D1703" s="65" t="str">
        <f>IFERROR(__xludf.DUMMYFUNCTION("""COMPUTED_VALUE"""),"15-01-2026")</f>
        <v>15-01-2026</v>
      </c>
      <c r="E1703" s="65" t="str">
        <f>IFERROR(__xludf.DUMMYFUNCTION("""COMPUTED_VALUE"""),"Karen Jama")</f>
        <v>Karen Jama</v>
      </c>
      <c r="F1703" s="65" t="str">
        <f>IFERROR(__xludf.DUMMYFUNCTION("""COMPUTED_VALUE"""),"985511326")</f>
        <v>985511326</v>
      </c>
      <c r="G1703" s="65"/>
      <c r="H1703" s="65"/>
      <c r="I1703" s="65"/>
      <c r="J1703" s="65" t="str">
        <f>IFERROR(__xludf.DUMMYFUNCTION("""COMPUTED_VALUE"""),"186487430")</f>
        <v>186487430</v>
      </c>
      <c r="K1703" s="65" t="str">
        <f>IFERROR(__xludf.DUMMYFUNCTION("""COMPUTED_VALUE"""),"ENTREGADO")</f>
        <v>ENTREGADO</v>
      </c>
      <c r="L1703" s="65" t="str">
        <f>IFERROR(__xludf.DUMMYFUNCTION("""COMPUTED_VALUE"""),"CON RECAUDO")</f>
        <v>CON RECAUDO</v>
      </c>
      <c r="M1703" s="65" t="str">
        <f>IFERROR(__xludf.DUMMYFUNCTION("""COMPUTED_VALUE"""),"GUAYAS")</f>
        <v>GUAYAS</v>
      </c>
      <c r="N1703" s="65" t="str">
        <f>IFERROR(__xludf.DUMMYFUNCTION("""COMPUTED_VALUE"""),"PLAYAS")</f>
        <v>PLAYAS</v>
      </c>
      <c r="O1703" s="65" t="str">
        <f>IFERROR(__xludf.DUMMYFUNCTION("""COMPUTED_VALUE"""),"Via a Guayaquil, Playas, a la entrada de Playas, más adelante de la comisión de tránsito, casa esquinera de 3 pisos, portón negro.")</f>
        <v>Via a Guayaquil, Playas, a la entrada de Playas, más adelante de la comisión de tránsito, casa esquinera de 3 pisos, portón negro.</v>
      </c>
      <c r="P1703" s="65"/>
      <c r="Q1703" s="65" t="str">
        <f>IFERROR(__xludf.DUMMYFUNCTION("""COMPUTED_VALUE"""),"SERVIENTREGA")</f>
        <v>SERVIENTREGA</v>
      </c>
      <c r="R1703" s="65">
        <f>IFERROR(__xludf.DUMMYFUNCTION("""COMPUTED_VALUE"""),25.0)</f>
        <v>25</v>
      </c>
      <c r="S1703" s="65">
        <f>IFERROR(__xludf.DUMMYFUNCTION("""COMPUTED_VALUE"""),12.55)</f>
        <v>12.55</v>
      </c>
      <c r="T1703" s="65">
        <f>IFERROR(__xludf.DUMMYFUNCTION("""COMPUTED_VALUE"""),7.75)</f>
        <v>7.75</v>
      </c>
      <c r="U1703" s="65">
        <f>IFERROR(__xludf.DUMMYFUNCTION("""COMPUTED_VALUE"""),0.0)</f>
        <v>0</v>
      </c>
      <c r="V1703" s="65">
        <f>IFERROR(__xludf.DUMMYFUNCTION("""COMPUTED_VALUE"""),0.0)</f>
        <v>0</v>
      </c>
      <c r="W1703" s="65">
        <f>IFERROR(__xludf.DUMMYFUNCTION("""COMPUTED_VALUE"""),0.0)</f>
        <v>0</v>
      </c>
      <c r="X1703" s="65">
        <f>IFERROR(__xludf.DUMMYFUNCTION("""COMPUTED_VALUE"""),2.35)</f>
        <v>2.35</v>
      </c>
      <c r="Y1703" s="65">
        <f>IFERROR(__xludf.DUMMYFUNCTION("""COMPUTED_VALUE"""),4.7)</f>
        <v>4.7</v>
      </c>
      <c r="Z1703" s="65">
        <f>IFERROR(__xludf.DUMMYFUNCTION("""COMPUTED_VALUE"""),116679.0)</f>
        <v>116679</v>
      </c>
      <c r="AA1703" s="65" t="str">
        <f>IFERROR(__xludf.DUMMYFUNCTION("""COMPUTED_VALUE"""),"AMC-2738")</f>
        <v>AMC-2738</v>
      </c>
      <c r="AB1703" s="65"/>
      <c r="AC1703" s="65" t="str">
        <f>IFERROR(__xludf.DUMMYFUNCTION("""COMPUTED_VALUE"""),"ESPONJA ANTILLUVIA DE PARABRISAS")</f>
        <v>ESPONJA ANTILLUVIA DE PARABRISAS</v>
      </c>
      <c r="AD1703" s="65"/>
      <c r="AE1703" s="65">
        <f>IFERROR(__xludf.DUMMYFUNCTION("""COMPUTED_VALUE"""),2.0)</f>
        <v>2</v>
      </c>
      <c r="AF1703" s="65" t="str">
        <f>IFERROR(__xludf.DUMMYFUNCTION("""COMPUTED_VALUE"""),"NO LO CONOCEN")</f>
        <v>NO LO CONOCEN</v>
      </c>
      <c r="AG1703" s="65" t="str">
        <f>IFERROR(__xludf.DUMMYFUNCTION("""COMPUTED_VALUE"""),"NO")</f>
        <v>NO</v>
      </c>
      <c r="AH1703" s="65" t="str">
        <f>IFERROR(__xludf.DUMMYFUNCTION("""COMPUTED_VALUE"""),"16:46")</f>
        <v>16:46</v>
      </c>
      <c r="AI1703" s="65" t="str">
        <f>IFERROR(__xludf.DUMMYFUNCTION("""COMPUTED_VALUE"""),"20-01-2026")</f>
        <v>20-01-2026</v>
      </c>
      <c r="AJ1703" s="65"/>
      <c r="AK1703" s="65"/>
      <c r="AL1703" s="65"/>
      <c r="AM1703" s="65"/>
      <c r="AN1703" s="65" t="str">
        <f>IFERROR(__xludf.DUMMYFUNCTION("""COMPUTED_VALUE"""),"13:46")</f>
        <v>13:46</v>
      </c>
      <c r="AO1703" s="65" t="str">
        <f>IFERROR(__xludf.DUMMYFUNCTION("""COMPUTED_VALUE"""),"05-02-2026")</f>
        <v>05-02-2026</v>
      </c>
      <c r="AP1703" s="65" t="str">
        <f>IFERROR(__xludf.DUMMYFUNCTION("""COMPUTED_VALUE"""),"ENTREGA DIGITALIZADA EN CENTRO LOGISTICO")</f>
        <v>ENTREGA DIGITALIZADA EN CENTRO LOGISTICO</v>
      </c>
      <c r="AQ1703" s="65" t="str">
        <f>IFERROR(__xludf.DUMMYFUNCTION("""COMPUTED_VALUE"""),"Pablo Piedrahita")</f>
        <v>Pablo Piedrahita</v>
      </c>
      <c r="AR1703" s="65"/>
      <c r="AS1703" s="65"/>
      <c r="AT1703" s="65" t="str">
        <f>IFERROR(__xludf.DUMMYFUNCTION("""COMPUTED_VALUE"""),"SHOPIFY")</f>
        <v>SHOPIFY</v>
      </c>
      <c r="AU1703" s="65" t="str">
        <f>IFERROR(__xludf.DUMMYFUNCTION("""COMPUTED_VALUE"""),"IMPORTEX EC")</f>
        <v>IMPORTEX EC</v>
      </c>
      <c r="AV1703" s="65" t="str">
        <f>IFERROR(__xludf.DUMMYFUNCTION("""COMPUTED_VALUE"""),"6416454975532")</f>
        <v>6416454975532</v>
      </c>
      <c r="AW1703" s="65">
        <f>IFERROR(__xludf.DUMMYFUNCTION("""COMPUTED_VALUE"""),5240.0)</f>
        <v>5240</v>
      </c>
      <c r="AX1703" s="65"/>
      <c r="AY1703" s="65" t="str">
        <f>IFERROR(__xludf.DUMMYFUNCTION("""COMPUTED_VALUE"""),"17/01/2026")</f>
        <v>17/01/2026</v>
      </c>
      <c r="AZ1703" s="65"/>
      <c r="BA1703" s="65"/>
    </row>
    <row r="1704">
      <c r="A1704" s="65" t="str">
        <f>IFERROR(__xludf.DUMMYFUNCTION("""COMPUTED_VALUE"""),"27-03-2026")</f>
        <v>27-03-2026</v>
      </c>
      <c r="B1704" s="65">
        <f>IFERROR(__xludf.DUMMYFUNCTION("""COMPUTED_VALUE"""),4155810.0)</f>
        <v>4155810</v>
      </c>
      <c r="C1704" s="65" t="str">
        <f>IFERROR(__xludf.DUMMYFUNCTION("""COMPUTED_VALUE"""),"10:14")</f>
        <v>10:14</v>
      </c>
      <c r="D1704" s="65" t="str">
        <f>IFERROR(__xludf.DUMMYFUNCTION("""COMPUTED_VALUE"""),"15-01-2026")</f>
        <v>15-01-2026</v>
      </c>
      <c r="E1704" s="65" t="str">
        <f>IFERROR(__xludf.DUMMYFUNCTION("""COMPUTED_VALUE"""),"Jhonatan Largo")</f>
        <v>Jhonatan Largo</v>
      </c>
      <c r="F1704" s="65" t="str">
        <f>IFERROR(__xludf.DUMMYFUNCTION("""COMPUTED_VALUE"""),"999529521")</f>
        <v>999529521</v>
      </c>
      <c r="G1704" s="65"/>
      <c r="H1704" s="65"/>
      <c r="I1704" s="65"/>
      <c r="J1704" s="65" t="str">
        <f>IFERROR(__xludf.DUMMYFUNCTION("""COMPUTED_VALUE"""),"186487431")</f>
        <v>186487431</v>
      </c>
      <c r="K1704" s="65" t="str">
        <f>IFERROR(__xludf.DUMMYFUNCTION("""COMPUTED_VALUE"""),"ENTREGADO")</f>
        <v>ENTREGADO</v>
      </c>
      <c r="L1704" s="65" t="str">
        <f>IFERROR(__xludf.DUMMYFUNCTION("""COMPUTED_VALUE"""),"CON RECAUDO")</f>
        <v>CON RECAUDO</v>
      </c>
      <c r="M1704" s="65" t="str">
        <f>IFERROR(__xludf.DUMMYFUNCTION("""COMPUTED_VALUE"""),"ZAMORA CHINCHIPE")</f>
        <v>ZAMORA CHINCHIPE</v>
      </c>
      <c r="N1704" s="65" t="str">
        <f>IFERROR(__xludf.DUMMYFUNCTION("""COMPUTED_VALUE"""),"YANTZAZA")</f>
        <v>YANTZAZA</v>
      </c>
      <c r="O1704" s="65" t="str">
        <f>IFERROR(__xludf.DUMMYFUNCTION("""COMPUTED_VALUE"""),"Ecuador Yantzaza - Parque central")</f>
        <v>Ecuador Yantzaza - Parque central</v>
      </c>
      <c r="P1704" s="65"/>
      <c r="Q1704" s="65" t="str">
        <f>IFERROR(__xludf.DUMMYFUNCTION("""COMPUTED_VALUE"""),"SERVIENTREGA")</f>
        <v>SERVIENTREGA</v>
      </c>
      <c r="R1704" s="65">
        <f>IFERROR(__xludf.DUMMYFUNCTION("""COMPUTED_VALUE"""),20.0)</f>
        <v>20</v>
      </c>
      <c r="S1704" s="65">
        <f>IFERROR(__xludf.DUMMYFUNCTION("""COMPUTED_VALUE"""),9.98)</f>
        <v>9.98</v>
      </c>
      <c r="T1704" s="65">
        <f>IFERROR(__xludf.DUMMYFUNCTION("""COMPUTED_VALUE"""),7.67)</f>
        <v>7.67</v>
      </c>
      <c r="U1704" s="65">
        <f>IFERROR(__xludf.DUMMYFUNCTION("""COMPUTED_VALUE"""),0.0)</f>
        <v>0</v>
      </c>
      <c r="V1704" s="65">
        <f>IFERROR(__xludf.DUMMYFUNCTION("""COMPUTED_VALUE"""),0.0)</f>
        <v>0</v>
      </c>
      <c r="W1704" s="65">
        <f>IFERROR(__xludf.DUMMYFUNCTION("""COMPUTED_VALUE"""),0.0)</f>
        <v>0</v>
      </c>
      <c r="X1704" s="65">
        <f>IFERROR(__xludf.DUMMYFUNCTION("""COMPUTED_VALUE"""),2.35)</f>
        <v>2.35</v>
      </c>
      <c r="Y1704" s="65">
        <f>IFERROR(__xludf.DUMMYFUNCTION("""COMPUTED_VALUE"""),2.35)</f>
        <v>2.35</v>
      </c>
      <c r="Z1704" s="65">
        <f>IFERROR(__xludf.DUMMYFUNCTION("""COMPUTED_VALUE"""),116679.0)</f>
        <v>116679</v>
      </c>
      <c r="AA1704" s="65" t="str">
        <f>IFERROR(__xludf.DUMMYFUNCTION("""COMPUTED_VALUE"""),"AMC-2738")</f>
        <v>AMC-2738</v>
      </c>
      <c r="AB1704" s="65"/>
      <c r="AC1704" s="65" t="str">
        <f>IFERROR(__xludf.DUMMYFUNCTION("""COMPUTED_VALUE"""),"ESPONJA ANTILLUVIA DE PARABRISAS")</f>
        <v>ESPONJA ANTILLUVIA DE PARABRISAS</v>
      </c>
      <c r="AD1704" s="65"/>
      <c r="AE1704" s="65">
        <f>IFERROR(__xludf.DUMMYFUNCTION("""COMPUTED_VALUE"""),1.0)</f>
        <v>1</v>
      </c>
      <c r="AF1704" s="65"/>
      <c r="AG1704" s="65"/>
      <c r="AH1704" s="65"/>
      <c r="AI1704" s="65"/>
      <c r="AJ1704" s="65"/>
      <c r="AK1704" s="65"/>
      <c r="AL1704" s="65"/>
      <c r="AM1704" s="65"/>
      <c r="AN1704" s="65" t="str">
        <f>IFERROR(__xludf.DUMMYFUNCTION("""COMPUTED_VALUE"""),"12:46")</f>
        <v>12:46</v>
      </c>
      <c r="AO1704" s="65" t="str">
        <f>IFERROR(__xludf.DUMMYFUNCTION("""COMPUTED_VALUE"""),"09-02-2026")</f>
        <v>09-02-2026</v>
      </c>
      <c r="AP1704" s="65" t="str">
        <f>IFERROR(__xludf.DUMMYFUNCTION("""COMPUTED_VALUE"""),"ENTREGA DIGITALIZADA EN CENTRO LOGISTICO")</f>
        <v>ENTREGA DIGITALIZADA EN CENTRO LOGISTICO</v>
      </c>
      <c r="AQ1704" s="65" t="str">
        <f>IFERROR(__xludf.DUMMYFUNCTION("""COMPUTED_VALUE"""),"JHONATAN LARGO")</f>
        <v>JHONATAN LARGO</v>
      </c>
      <c r="AR1704" s="65"/>
      <c r="AS1704" s="65"/>
      <c r="AT1704" s="65" t="str">
        <f>IFERROR(__xludf.DUMMYFUNCTION("""COMPUTED_VALUE"""),"SHOPIFY")</f>
        <v>SHOPIFY</v>
      </c>
      <c r="AU1704" s="65" t="str">
        <f>IFERROR(__xludf.DUMMYFUNCTION("""COMPUTED_VALUE"""),"IMPORTEX EC")</f>
        <v>IMPORTEX EC</v>
      </c>
      <c r="AV1704" s="65" t="str">
        <f>IFERROR(__xludf.DUMMYFUNCTION("""COMPUTED_VALUE"""),"6416427155500")</f>
        <v>6416427155500</v>
      </c>
      <c r="AW1704" s="65">
        <f>IFERROR(__xludf.DUMMYFUNCTION("""COMPUTED_VALUE"""),5239.0)</f>
        <v>5239</v>
      </c>
      <c r="AX1704" s="65"/>
      <c r="AY1704" s="65" t="str">
        <f>IFERROR(__xludf.DUMMYFUNCTION("""COMPUTED_VALUE"""),"17/01/2026")</f>
        <v>17/01/2026</v>
      </c>
      <c r="AZ1704" s="65"/>
      <c r="BA1704" s="65"/>
    </row>
    <row r="1705">
      <c r="A1705" s="65" t="str">
        <f>IFERROR(__xludf.DUMMYFUNCTION("""COMPUTED_VALUE"""),"27-03-2026")</f>
        <v>27-03-2026</v>
      </c>
      <c r="B1705" s="65">
        <f>IFERROR(__xludf.DUMMYFUNCTION("""COMPUTED_VALUE"""),4155781.0)</f>
        <v>4155781</v>
      </c>
      <c r="C1705" s="65" t="str">
        <f>IFERROR(__xludf.DUMMYFUNCTION("""COMPUTED_VALUE"""),"10:12")</f>
        <v>10:12</v>
      </c>
      <c r="D1705" s="65" t="str">
        <f>IFERROR(__xludf.DUMMYFUNCTION("""COMPUTED_VALUE"""),"15-01-2026")</f>
        <v>15-01-2026</v>
      </c>
      <c r="E1705" s="65" t="str">
        <f>IFERROR(__xludf.DUMMYFUNCTION("""COMPUTED_VALUE"""),"Christian Moreta")</f>
        <v>Christian Moreta</v>
      </c>
      <c r="F1705" s="65" t="str">
        <f>IFERROR(__xludf.DUMMYFUNCTION("""COMPUTED_VALUE"""),"993272960")</f>
        <v>993272960</v>
      </c>
      <c r="G1705" s="65" t="str">
        <f>IFERROR(__xludf.DUMMYFUNCTION("""COMPUTED_VALUE"""),"christianmoretam@hotmail.com")</f>
        <v>christianmoretam@hotmail.com</v>
      </c>
      <c r="H1705" s="65"/>
      <c r="I1705" s="65"/>
      <c r="J1705" s="65" t="str">
        <f>IFERROR(__xludf.DUMMYFUNCTION("""COMPUTED_VALUE"""),"D001234353")</f>
        <v>D001234353</v>
      </c>
      <c r="K1705" s="65" t="str">
        <f>IFERROR(__xludf.DUMMYFUNCTION("""COMPUTED_VALUE"""),"ENTREGADO")</f>
        <v>ENTREGADO</v>
      </c>
      <c r="L1705" s="65" t="str">
        <f>IFERROR(__xludf.DUMMYFUNCTION("""COMPUTED_VALUE"""),"CON RECAUDO")</f>
        <v>CON RECAUDO</v>
      </c>
      <c r="M1705" s="65" t="str">
        <f>IFERROR(__xludf.DUMMYFUNCTION("""COMPUTED_VALUE"""),"GUAYAS")</f>
        <v>GUAYAS</v>
      </c>
      <c r="N1705" s="65" t="str">
        <f>IFERROR(__xludf.DUMMYFUNCTION("""COMPUTED_VALUE"""),"NARANJAL")</f>
        <v>NARANJAL</v>
      </c>
      <c r="O1705" s="65" t="str">
        <f>IFERROR(__xludf.DUMMYFUNCTION("""COMPUTED_VALUE"""),"Av. Olmedo entre Sucre y Guayaquil A una cuadra del parque central -")</f>
        <v>Av. Olmedo entre Sucre y Guayaquil A una cuadra del parque central -</v>
      </c>
      <c r="P1705" s="65"/>
      <c r="Q1705" s="65" t="str">
        <f>IFERROR(__xludf.DUMMYFUNCTION("""COMPUTED_VALUE"""),"GINTRACOM")</f>
        <v>GINTRACOM</v>
      </c>
      <c r="R1705" s="65">
        <f>IFERROR(__xludf.DUMMYFUNCTION("""COMPUTED_VALUE"""),30.0)</f>
        <v>30</v>
      </c>
      <c r="S1705" s="65">
        <f>IFERROR(__xludf.DUMMYFUNCTION("""COMPUTED_VALUE"""),16.79)</f>
        <v>16.79</v>
      </c>
      <c r="T1705" s="65">
        <f>IFERROR(__xludf.DUMMYFUNCTION("""COMPUTED_VALUE"""),6.16)</f>
        <v>6.16</v>
      </c>
      <c r="U1705" s="65">
        <f>IFERROR(__xludf.DUMMYFUNCTION("""COMPUTED_VALUE"""),0.0)</f>
        <v>0</v>
      </c>
      <c r="V1705" s="65">
        <f>IFERROR(__xludf.DUMMYFUNCTION("""COMPUTED_VALUE"""),0.0)</f>
        <v>0</v>
      </c>
      <c r="W1705" s="65">
        <f>IFERROR(__xludf.DUMMYFUNCTION("""COMPUTED_VALUE"""),0.0)</f>
        <v>0</v>
      </c>
      <c r="X1705" s="65">
        <f>IFERROR(__xludf.DUMMYFUNCTION("""COMPUTED_VALUE"""),2.35)</f>
        <v>2.35</v>
      </c>
      <c r="Y1705" s="65">
        <f>IFERROR(__xludf.DUMMYFUNCTION("""COMPUTED_VALUE"""),7.05)</f>
        <v>7.05</v>
      </c>
      <c r="Z1705" s="65">
        <f>IFERROR(__xludf.DUMMYFUNCTION("""COMPUTED_VALUE"""),116679.0)</f>
        <v>116679</v>
      </c>
      <c r="AA1705" s="65" t="str">
        <f>IFERROR(__xludf.DUMMYFUNCTION("""COMPUTED_VALUE"""),"AMC-2738")</f>
        <v>AMC-2738</v>
      </c>
      <c r="AB1705" s="65"/>
      <c r="AC1705" s="65" t="str">
        <f>IFERROR(__xludf.DUMMYFUNCTION("""COMPUTED_VALUE"""),"ESPONJA ANTILLUVIA DE PARABRISAS")</f>
        <v>ESPONJA ANTILLUVIA DE PARABRISAS</v>
      </c>
      <c r="AD1705" s="65"/>
      <c r="AE1705" s="65">
        <f>IFERROR(__xludf.DUMMYFUNCTION("""COMPUTED_VALUE"""),3.0)</f>
        <v>3</v>
      </c>
      <c r="AF1705" s="65"/>
      <c r="AG1705" s="65"/>
      <c r="AH1705" s="65"/>
      <c r="AI1705" s="65"/>
      <c r="AJ1705" s="65"/>
      <c r="AK1705" s="65"/>
      <c r="AL1705" s="65"/>
      <c r="AM1705" s="65"/>
      <c r="AN1705" s="65" t="str">
        <f>IFERROR(__xludf.DUMMYFUNCTION("""COMPUTED_VALUE"""),"09:30")</f>
        <v>09:30</v>
      </c>
      <c r="AO1705" s="65" t="str">
        <f>IFERROR(__xludf.DUMMYFUNCTION("""COMPUTED_VALUE"""),"21-01-2026")</f>
        <v>21-01-2026</v>
      </c>
      <c r="AP1705" s="65" t="str">
        <f>IFERROR(__xludf.DUMMYFUNCTION("""COMPUTED_VALUE"""),"EN REPARTO")</f>
        <v>EN REPARTO</v>
      </c>
      <c r="AQ1705" s="65" t="str">
        <f>IFERROR(__xludf.DUMMYFUNCTION("""COMPUTED_VALUE"""),"EN REPARTO")</f>
        <v>EN REPARTO</v>
      </c>
      <c r="AR1705" s="65"/>
      <c r="AS1705" s="65"/>
      <c r="AT1705" s="65" t="str">
        <f>IFERROR(__xludf.DUMMYFUNCTION("""COMPUTED_VALUE"""),"SHOPIFY")</f>
        <v>SHOPIFY</v>
      </c>
      <c r="AU1705" s="65" t="str">
        <f>IFERROR(__xludf.DUMMYFUNCTION("""COMPUTED_VALUE"""),"IMPORTEX EC")</f>
        <v>IMPORTEX EC</v>
      </c>
      <c r="AV1705" s="65" t="str">
        <f>IFERROR(__xludf.DUMMYFUNCTION("""COMPUTED_VALUE"""),"6416419979308")</f>
        <v>6416419979308</v>
      </c>
      <c r="AW1705" s="65">
        <f>IFERROR(__xludf.DUMMYFUNCTION("""COMPUTED_VALUE"""),5238.0)</f>
        <v>5238</v>
      </c>
      <c r="AX1705" s="65"/>
      <c r="AY1705" s="65" t="str">
        <f>IFERROR(__xludf.DUMMYFUNCTION("""COMPUTED_VALUE"""),"17/01/2026")</f>
        <v>17/01/2026</v>
      </c>
      <c r="AZ1705" s="65"/>
      <c r="BA1705" s="65"/>
    </row>
    <row r="1706">
      <c r="A1706" s="65" t="str">
        <f>IFERROR(__xludf.DUMMYFUNCTION("""COMPUTED_VALUE"""),"27-03-2026")</f>
        <v>27-03-2026</v>
      </c>
      <c r="B1706" s="65">
        <f>IFERROR(__xludf.DUMMYFUNCTION("""COMPUTED_VALUE"""),4155582.0)</f>
        <v>4155582</v>
      </c>
      <c r="C1706" s="65" t="str">
        <f>IFERROR(__xludf.DUMMYFUNCTION("""COMPUTED_VALUE"""),"09:58")</f>
        <v>09:58</v>
      </c>
      <c r="D1706" s="65" t="str">
        <f>IFERROR(__xludf.DUMMYFUNCTION("""COMPUTED_VALUE"""),"15-01-2026")</f>
        <v>15-01-2026</v>
      </c>
      <c r="E1706" s="65" t="str">
        <f>IFERROR(__xludf.DUMMYFUNCTION("""COMPUTED_VALUE"""),"Daniel Cantos Cantos mejia")</f>
        <v>Daniel Cantos Cantos mejia</v>
      </c>
      <c r="F1706" s="65" t="str">
        <f>IFERROR(__xludf.DUMMYFUNCTION("""COMPUTED_VALUE"""),"995294642")</f>
        <v>995294642</v>
      </c>
      <c r="G1706" s="65" t="str">
        <f>IFERROR(__xludf.DUMMYFUNCTION("""COMPUTED_VALUE"""),"danielcantos094@gmail.com")</f>
        <v>danielcantos094@gmail.com</v>
      </c>
      <c r="H1706" s="65"/>
      <c r="I1706" s="65"/>
      <c r="J1706" s="65"/>
      <c r="K1706" s="65" t="str">
        <f>IFERROR(__xludf.DUMMYFUNCTION("""COMPUTED_VALUE"""),"CANCELADO")</f>
        <v>CANCELADO</v>
      </c>
      <c r="L1706" s="65" t="str">
        <f>IFERROR(__xludf.DUMMYFUNCTION("""COMPUTED_VALUE"""),"CON RECAUDO")</f>
        <v>CON RECAUDO</v>
      </c>
      <c r="M1706" s="65" t="str">
        <f>IFERROR(__xludf.DUMMYFUNCTION("""COMPUTED_VALUE"""),"SANTO DOMINGO DE LOS TSACHILAS")</f>
        <v>SANTO DOMINGO DE LOS TSACHILAS</v>
      </c>
      <c r="N1706" s="65" t="str">
        <f>IFERROR(__xludf.DUMMYFUNCTION("""COMPUTED_VALUE"""),"SANTO DOMINGO")</f>
        <v>SANTO DOMINGO</v>
      </c>
      <c r="O1706" s="65" t="str">
        <f>IFERROR(__xludf.DUMMYFUNCTION("""COMPUTED_VALUE"""),"Sin numer Via Quevedo km4 atrás del tía -")</f>
        <v>Sin numer Via Quevedo km4 atrás del tía -</v>
      </c>
      <c r="P1706" s="65"/>
      <c r="Q1706" s="65" t="str">
        <f>IFERROR(__xludf.DUMMYFUNCTION("""COMPUTED_VALUE"""),"GINTRACOM")</f>
        <v>GINTRACOM</v>
      </c>
      <c r="R1706" s="65">
        <f>IFERROR(__xludf.DUMMYFUNCTION("""COMPUTED_VALUE"""),25.0)</f>
        <v>25</v>
      </c>
      <c r="S1706" s="65"/>
      <c r="T1706" s="65">
        <f>IFERROR(__xludf.DUMMYFUNCTION("""COMPUTED_VALUE"""),5.96)</f>
        <v>5.96</v>
      </c>
      <c r="U1706" s="65">
        <f>IFERROR(__xludf.DUMMYFUNCTION("""COMPUTED_VALUE"""),0.0)</f>
        <v>0</v>
      </c>
      <c r="V1706" s="65">
        <f>IFERROR(__xludf.DUMMYFUNCTION("""COMPUTED_VALUE"""),0.0)</f>
        <v>0</v>
      </c>
      <c r="W1706" s="65">
        <f>IFERROR(__xludf.DUMMYFUNCTION("""COMPUTED_VALUE"""),0.0)</f>
        <v>0</v>
      </c>
      <c r="X1706" s="65">
        <f>IFERROR(__xludf.DUMMYFUNCTION("""COMPUTED_VALUE"""),2.35)</f>
        <v>2.35</v>
      </c>
      <c r="Y1706" s="65">
        <f>IFERROR(__xludf.DUMMYFUNCTION("""COMPUTED_VALUE"""),4.7)</f>
        <v>4.7</v>
      </c>
      <c r="Z1706" s="65">
        <f>IFERROR(__xludf.DUMMYFUNCTION("""COMPUTED_VALUE"""),116679.0)</f>
        <v>116679</v>
      </c>
      <c r="AA1706" s="65" t="str">
        <f>IFERROR(__xludf.DUMMYFUNCTION("""COMPUTED_VALUE"""),"AMC-2738")</f>
        <v>AMC-2738</v>
      </c>
      <c r="AB1706" s="65"/>
      <c r="AC1706" s="65" t="str">
        <f>IFERROR(__xludf.DUMMYFUNCTION("""COMPUTED_VALUE"""),"ESPONJA ANTILLUVIA DE PARABRISAS")</f>
        <v>ESPONJA ANTILLUVIA DE PARABRISAS</v>
      </c>
      <c r="AD1706" s="65"/>
      <c r="AE1706" s="65">
        <f>IFERROR(__xludf.DUMMYFUNCTION("""COMPUTED_VALUE"""),2.0)</f>
        <v>2</v>
      </c>
      <c r="AF1706" s="65"/>
      <c r="AG1706" s="65"/>
      <c r="AH1706" s="65"/>
      <c r="AI1706" s="65"/>
      <c r="AJ1706" s="65"/>
      <c r="AK1706" s="65"/>
      <c r="AL1706" s="65"/>
      <c r="AM1706" s="65"/>
      <c r="AN1706" s="65"/>
      <c r="AO1706" s="65"/>
      <c r="AP1706" s="65"/>
      <c r="AQ1706" s="65"/>
      <c r="AR1706" s="65"/>
      <c r="AS1706" s="65"/>
      <c r="AT1706" s="65" t="str">
        <f>IFERROR(__xludf.DUMMYFUNCTION("""COMPUTED_VALUE"""),"SHOPIFY")</f>
        <v>SHOPIFY</v>
      </c>
      <c r="AU1706" s="65" t="str">
        <f>IFERROR(__xludf.DUMMYFUNCTION("""COMPUTED_VALUE"""),"IMPORTEX EC")</f>
        <v>IMPORTEX EC</v>
      </c>
      <c r="AV1706" s="65" t="str">
        <f>IFERROR(__xludf.DUMMYFUNCTION("""COMPUTED_VALUE"""),"6412851216428")</f>
        <v>6412851216428</v>
      </c>
      <c r="AW1706" s="65">
        <f>IFERROR(__xludf.DUMMYFUNCTION("""COMPUTED_VALUE"""),5147.0)</f>
        <v>5147</v>
      </c>
      <c r="AX1706" s="65"/>
      <c r="AY1706" s="65"/>
      <c r="AZ1706" s="65"/>
      <c r="BA1706" s="65"/>
    </row>
    <row r="1707">
      <c r="A1707" s="65" t="str">
        <f>IFERROR(__xludf.DUMMYFUNCTION("""COMPUTED_VALUE"""),"27-03-2026")</f>
        <v>27-03-2026</v>
      </c>
      <c r="B1707" s="65">
        <f>IFERROR(__xludf.DUMMYFUNCTION("""COMPUTED_VALUE"""),4155536.0)</f>
        <v>4155536</v>
      </c>
      <c r="C1707" s="65" t="str">
        <f>IFERROR(__xludf.DUMMYFUNCTION("""COMPUTED_VALUE"""),"09:56")</f>
        <v>09:56</v>
      </c>
      <c r="D1707" s="65" t="str">
        <f>IFERROR(__xludf.DUMMYFUNCTION("""COMPUTED_VALUE"""),"15-01-2026")</f>
        <v>15-01-2026</v>
      </c>
      <c r="E1707" s="65" t="str">
        <f>IFERROR(__xludf.DUMMYFUNCTION("""COMPUTED_VALUE"""),"Patricia Balón Balon")</f>
        <v>Patricia Balón Balon</v>
      </c>
      <c r="F1707" s="65" t="str">
        <f>IFERROR(__xludf.DUMMYFUNCTION("""COMPUTED_VALUE"""),"992121037")</f>
        <v>992121037</v>
      </c>
      <c r="G1707" s="65" t="str">
        <f>IFERROR(__xludf.DUMMYFUNCTION("""COMPUTED_VALUE"""),"lourdesmartinez578@gmail.com")</f>
        <v>lourdesmartinez578@gmail.com</v>
      </c>
      <c r="H1707" s="65"/>
      <c r="I1707" s="65"/>
      <c r="J1707" s="65"/>
      <c r="K1707" s="65" t="str">
        <f>IFERROR(__xludf.DUMMYFUNCTION("""COMPUTED_VALUE"""),"PENDIENTE CONFIRMACION")</f>
        <v>PENDIENTE CONFIRMACION</v>
      </c>
      <c r="L1707" s="65" t="str">
        <f>IFERROR(__xludf.DUMMYFUNCTION("""COMPUTED_VALUE"""),"CON RECAUDO")</f>
        <v>CON RECAUDO</v>
      </c>
      <c r="M1707" s="65" t="str">
        <f>IFERROR(__xludf.DUMMYFUNCTION("""COMPUTED_VALUE"""),"GUAYAS")</f>
        <v>GUAYAS</v>
      </c>
      <c r="N1707" s="65" t="str">
        <f>IFERROR(__xludf.DUMMYFUNCTION("""COMPUTED_VALUE"""),"GUAYAQUIL")</f>
        <v>GUAYAQUIL</v>
      </c>
      <c r="O1707" s="65" t="str">
        <f>IFERROR(__xludf.DUMMYFUNCTION("""COMPUTED_VALUE"""),"Avenida francisco de orellana dentro del coral mano izquierda local se llama al hilo")</f>
        <v>Avenida francisco de orellana dentro del coral mano izquierda local se llama al hilo</v>
      </c>
      <c r="P1707" s="65" t="str">
        <f>IFERROR(__xludf.DUMMYFUNCTION("""COMPUTED_VALUE"""),"CUCHILLO PARA CHEF: Default Title ***")</f>
        <v>CUCHILLO PARA CHEF: Default Title ***</v>
      </c>
      <c r="Q1707" s="65" t="str">
        <f>IFERROR(__xludf.DUMMYFUNCTION("""COMPUTED_VALUE"""),"GINTRACOM")</f>
        <v>GINTRACOM</v>
      </c>
      <c r="R1707" s="65">
        <f>IFERROR(__xludf.DUMMYFUNCTION("""COMPUTED_VALUE"""),22.0)</f>
        <v>22</v>
      </c>
      <c r="S1707" s="65"/>
      <c r="T1707" s="65">
        <f>IFERROR(__xludf.DUMMYFUNCTION("""COMPUTED_VALUE"""),4.23)</f>
        <v>4.23</v>
      </c>
      <c r="U1707" s="65">
        <f>IFERROR(__xludf.DUMMYFUNCTION("""COMPUTED_VALUE"""),0.0)</f>
        <v>0</v>
      </c>
      <c r="V1707" s="65">
        <f>IFERROR(__xludf.DUMMYFUNCTION("""COMPUTED_VALUE"""),0.0)</f>
        <v>0</v>
      </c>
      <c r="W1707" s="65">
        <f>IFERROR(__xludf.DUMMYFUNCTION("""COMPUTED_VALUE"""),0.0)</f>
        <v>0</v>
      </c>
      <c r="X1707" s="65">
        <f>IFERROR(__xludf.DUMMYFUNCTION("""COMPUTED_VALUE"""),2.6)</f>
        <v>2.6</v>
      </c>
      <c r="Y1707" s="65">
        <f>IFERROR(__xludf.DUMMYFUNCTION("""COMPUTED_VALUE"""),5.2)</f>
        <v>5.2</v>
      </c>
      <c r="Z1707" s="65">
        <f>IFERROR(__xludf.DUMMYFUNCTION("""COMPUTED_VALUE"""),121983.0)</f>
        <v>121983</v>
      </c>
      <c r="AA1707" s="65" t="str">
        <f>IFERROR(__xludf.DUMMYFUNCTION("""COMPUTED_VALUE"""),"PROV-CHLLCF")</f>
        <v>PROV-CHLLCF</v>
      </c>
      <c r="AB1707" s="65"/>
      <c r="AC1707" s="65" t="str">
        <f>IFERROR(__xludf.DUMMYFUNCTION("""COMPUTED_VALUE"""),"CUCHILLO PARA CHEF")</f>
        <v>CUCHILLO PARA CHEF</v>
      </c>
      <c r="AD1707" s="65"/>
      <c r="AE1707" s="65">
        <f>IFERROR(__xludf.DUMMYFUNCTION("""COMPUTED_VALUE"""),2.0)</f>
        <v>2</v>
      </c>
      <c r="AF1707" s="65"/>
      <c r="AG1707" s="65"/>
      <c r="AH1707" s="65"/>
      <c r="AI1707" s="65"/>
      <c r="AJ1707" s="65"/>
      <c r="AK1707" s="65"/>
      <c r="AL1707" s="65"/>
      <c r="AM1707" s="65"/>
      <c r="AN1707" s="65"/>
      <c r="AO1707" s="65"/>
      <c r="AP1707" s="65"/>
      <c r="AQ1707" s="65"/>
      <c r="AR1707" s="65"/>
      <c r="AS1707" s="65"/>
      <c r="AT1707" s="65" t="str">
        <f>IFERROR(__xludf.DUMMYFUNCTION("""COMPUTED_VALUE"""),"SHOPIFY")</f>
        <v>SHOPIFY</v>
      </c>
      <c r="AU1707" s="65" t="str">
        <f>IFERROR(__xludf.DUMMYFUNCTION("""COMPUTED_VALUE"""),"IMPORTEX EC")</f>
        <v>IMPORTEX EC</v>
      </c>
      <c r="AV1707" s="65" t="str">
        <f>IFERROR(__xludf.DUMMYFUNCTION("""COMPUTED_VALUE"""),"6416384032812")</f>
        <v>6416384032812</v>
      </c>
      <c r="AW1707" s="65">
        <f>IFERROR(__xludf.DUMMYFUNCTION("""COMPUTED_VALUE"""),5237.0)</f>
        <v>5237</v>
      </c>
      <c r="AX1707" s="65"/>
      <c r="AY1707" s="65"/>
      <c r="AZ1707" s="65"/>
      <c r="BA1707" s="65"/>
    </row>
    <row r="1708">
      <c r="A1708" s="65" t="str">
        <f>IFERROR(__xludf.DUMMYFUNCTION("""COMPUTED_VALUE"""),"27-03-2026")</f>
        <v>27-03-2026</v>
      </c>
      <c r="B1708" s="65">
        <f>IFERROR(__xludf.DUMMYFUNCTION("""COMPUTED_VALUE"""),4155012.0)</f>
        <v>4155012</v>
      </c>
      <c r="C1708" s="65" t="str">
        <f>IFERROR(__xludf.DUMMYFUNCTION("""COMPUTED_VALUE"""),"09:20")</f>
        <v>09:20</v>
      </c>
      <c r="D1708" s="65" t="str">
        <f>IFERROR(__xludf.DUMMYFUNCTION("""COMPUTED_VALUE"""),"15-01-2026")</f>
        <v>15-01-2026</v>
      </c>
      <c r="E1708" s="65" t="str">
        <f>IFERROR(__xludf.DUMMYFUNCTION("""COMPUTED_VALUE"""),"Carlos Lucas")</f>
        <v>Carlos Lucas</v>
      </c>
      <c r="F1708" s="65" t="str">
        <f>IFERROR(__xludf.DUMMYFUNCTION("""COMPUTED_VALUE"""),"991512767")</f>
        <v>991512767</v>
      </c>
      <c r="G1708" s="65" t="str">
        <f>IFERROR(__xludf.DUMMYFUNCTION("""COMPUTED_VALUE"""),"carlos1963lucas@gmail.com")</f>
        <v>carlos1963lucas@gmail.com</v>
      </c>
      <c r="H1708" s="65"/>
      <c r="I1708" s="65"/>
      <c r="J1708" s="65" t="str">
        <f>IFERROR(__xludf.DUMMYFUNCTION("""COMPUTED_VALUE"""),"D001233726")</f>
        <v>D001233726</v>
      </c>
      <c r="K1708" s="65" t="str">
        <f>IFERROR(__xludf.DUMMYFUNCTION("""COMPUTED_VALUE"""),"ENTREGADO")</f>
        <v>ENTREGADO</v>
      </c>
      <c r="L1708" s="65" t="str">
        <f>IFERROR(__xludf.DUMMYFUNCTION("""COMPUTED_VALUE"""),"CON RECAUDO")</f>
        <v>CON RECAUDO</v>
      </c>
      <c r="M1708" s="65" t="str">
        <f>IFERROR(__xludf.DUMMYFUNCTION("""COMPUTED_VALUE"""),"PICHINCHA")</f>
        <v>PICHINCHA</v>
      </c>
      <c r="N1708" s="65" t="str">
        <f>IFERROR(__xludf.DUMMYFUNCTION("""COMPUTED_VALUE"""),"QUITO")</f>
        <v>QUITO</v>
      </c>
      <c r="O1708" s="65" t="str">
        <f>IFERROR(__xludf.DUMMYFUNCTION("""COMPUTED_VALUE"""),"Pedro Fermín cevalloy manabi Coliseo julio cesar hidalgo -")</f>
        <v>Pedro Fermín cevalloy manabi Coliseo julio cesar hidalgo -</v>
      </c>
      <c r="P1708" s="65"/>
      <c r="Q1708" s="65" t="str">
        <f>IFERROR(__xludf.DUMMYFUNCTION("""COMPUTED_VALUE"""),"GINTRACOM")</f>
        <v>GINTRACOM</v>
      </c>
      <c r="R1708" s="65">
        <f>IFERROR(__xludf.DUMMYFUNCTION("""COMPUTED_VALUE"""),27.0)</f>
        <v>27</v>
      </c>
      <c r="S1708" s="65">
        <f>IFERROR(__xludf.DUMMYFUNCTION("""COMPUTED_VALUE"""),13.17)</f>
        <v>13.17</v>
      </c>
      <c r="T1708" s="65">
        <f>IFERROR(__xludf.DUMMYFUNCTION("""COMPUTED_VALUE"""),6.03)</f>
        <v>6.03</v>
      </c>
      <c r="U1708" s="65">
        <f>IFERROR(__xludf.DUMMYFUNCTION("""COMPUTED_VALUE"""),0.0)</f>
        <v>0</v>
      </c>
      <c r="V1708" s="65">
        <f>IFERROR(__xludf.DUMMYFUNCTION("""COMPUTED_VALUE"""),0.0)</f>
        <v>0</v>
      </c>
      <c r="W1708" s="65">
        <f>IFERROR(__xludf.DUMMYFUNCTION("""COMPUTED_VALUE"""),0.0)</f>
        <v>0</v>
      </c>
      <c r="X1708" s="65">
        <f>IFERROR(__xludf.DUMMYFUNCTION("""COMPUTED_VALUE"""),2.6)</f>
        <v>2.6</v>
      </c>
      <c r="Y1708" s="65">
        <f>IFERROR(__xludf.DUMMYFUNCTION("""COMPUTED_VALUE"""),7.8)</f>
        <v>7.8</v>
      </c>
      <c r="Z1708" s="65">
        <f>IFERROR(__xludf.DUMMYFUNCTION("""COMPUTED_VALUE"""),121983.0)</f>
        <v>121983</v>
      </c>
      <c r="AA1708" s="65" t="str">
        <f>IFERROR(__xludf.DUMMYFUNCTION("""COMPUTED_VALUE"""),"PROV-CHLLCF")</f>
        <v>PROV-CHLLCF</v>
      </c>
      <c r="AB1708" s="65"/>
      <c r="AC1708" s="65" t="str">
        <f>IFERROR(__xludf.DUMMYFUNCTION("""COMPUTED_VALUE"""),"CUCHILLO PARA CHEF")</f>
        <v>CUCHILLO PARA CHEF</v>
      </c>
      <c r="AD1708" s="65"/>
      <c r="AE1708" s="65">
        <f>IFERROR(__xludf.DUMMYFUNCTION("""COMPUTED_VALUE"""),3.0)</f>
        <v>3</v>
      </c>
      <c r="AF1708" s="65"/>
      <c r="AG1708" s="65"/>
      <c r="AH1708" s="65"/>
      <c r="AI1708" s="65"/>
      <c r="AJ1708" s="65"/>
      <c r="AK1708" s="65"/>
      <c r="AL1708" s="65"/>
      <c r="AM1708" s="65"/>
      <c r="AN1708" s="65" t="str">
        <f>IFERROR(__xludf.DUMMYFUNCTION("""COMPUTED_VALUE"""),"01:32")</f>
        <v>01:32</v>
      </c>
      <c r="AO1708" s="65" t="str">
        <f>IFERROR(__xludf.DUMMYFUNCTION("""COMPUTED_VALUE"""),"21-01-2026")</f>
        <v>21-01-2026</v>
      </c>
      <c r="AP1708" s="65" t="str">
        <f>IFERROR(__xludf.DUMMYFUNCTION("""COMPUTED_VALUE"""),"ENTREGADA GINTRACOM")</f>
        <v>ENTREGADA GINTRACOM</v>
      </c>
      <c r="AQ1708" s="65" t="str">
        <f>IFERROR(__xludf.DUMMYFUNCTION("""COMPUTED_VALUE"""),"ENTREGADA GINTRACOM")</f>
        <v>ENTREGADA GINTRACOM</v>
      </c>
      <c r="AR1708" s="65"/>
      <c r="AS1708" s="65"/>
      <c r="AT1708" s="65" t="str">
        <f>IFERROR(__xludf.DUMMYFUNCTION("""COMPUTED_VALUE"""),"SHOPIFY")</f>
        <v>SHOPIFY</v>
      </c>
      <c r="AU1708" s="65" t="str">
        <f>IFERROR(__xludf.DUMMYFUNCTION("""COMPUTED_VALUE"""),"IMPORTEX EC")</f>
        <v>IMPORTEX EC</v>
      </c>
      <c r="AV1708" s="65" t="str">
        <f>IFERROR(__xludf.DUMMYFUNCTION("""COMPUTED_VALUE"""),"6416312598572")</f>
        <v>6416312598572</v>
      </c>
      <c r="AW1708" s="65">
        <f>IFERROR(__xludf.DUMMYFUNCTION("""COMPUTED_VALUE"""),5236.0)</f>
        <v>5236</v>
      </c>
      <c r="AX1708" s="65"/>
      <c r="AY1708" s="65" t="str">
        <f>IFERROR(__xludf.DUMMYFUNCTION("""COMPUTED_VALUE"""),"17/01/2026")</f>
        <v>17/01/2026</v>
      </c>
      <c r="AZ1708" s="65"/>
      <c r="BA1708" s="65"/>
    </row>
    <row r="1709">
      <c r="A1709" s="65" t="str">
        <f>IFERROR(__xludf.DUMMYFUNCTION("""COMPUTED_VALUE"""),"27-03-2026")</f>
        <v>27-03-2026</v>
      </c>
      <c r="B1709" s="65">
        <f>IFERROR(__xludf.DUMMYFUNCTION("""COMPUTED_VALUE"""),4154453.0)</f>
        <v>4154453</v>
      </c>
      <c r="C1709" s="65" t="str">
        <f>IFERROR(__xludf.DUMMYFUNCTION("""COMPUTED_VALUE"""),"08:38")</f>
        <v>08:38</v>
      </c>
      <c r="D1709" s="65" t="str">
        <f>IFERROR(__xludf.DUMMYFUNCTION("""COMPUTED_VALUE"""),"15-01-2026")</f>
        <v>15-01-2026</v>
      </c>
      <c r="E1709" s="65" t="str">
        <f>IFERROR(__xludf.DUMMYFUNCTION("""COMPUTED_VALUE"""),"ESTEBAN ESPIN")</f>
        <v>ESTEBAN ESPIN</v>
      </c>
      <c r="F1709" s="65" t="str">
        <f>IFERROR(__xludf.DUMMYFUNCTION("""COMPUTED_VALUE"""),"993596328")</f>
        <v>993596328</v>
      </c>
      <c r="G1709" s="65" t="str">
        <f>IFERROR(__xludf.DUMMYFUNCTION("""COMPUTED_VALUE"""),"estebanespin@hotmail.com")</f>
        <v>estebanespin@hotmail.com</v>
      </c>
      <c r="H1709" s="65"/>
      <c r="I1709" s="65"/>
      <c r="J1709" s="65" t="str">
        <f>IFERROR(__xludf.DUMMYFUNCTION("""COMPUTED_VALUE"""),"D001251023")</f>
        <v>D001251023</v>
      </c>
      <c r="K1709" s="65" t="str">
        <f>IFERROR(__xludf.DUMMYFUNCTION("""COMPUTED_VALUE"""),"ENTREGADO")</f>
        <v>ENTREGADO</v>
      </c>
      <c r="L1709" s="65" t="str">
        <f>IFERROR(__xludf.DUMMYFUNCTION("""COMPUTED_VALUE"""),"CON RECAUDO")</f>
        <v>CON RECAUDO</v>
      </c>
      <c r="M1709" s="65" t="str">
        <f>IFERROR(__xludf.DUMMYFUNCTION("""COMPUTED_VALUE"""),"PICHINCHA")</f>
        <v>PICHINCHA</v>
      </c>
      <c r="N1709" s="65" t="str">
        <f>IFERROR(__xludf.DUMMYFUNCTION("""COMPUTED_VALUE"""),"QUITO")</f>
        <v>QUITO</v>
      </c>
      <c r="O1709" s="65" t="str">
        <f>IFERROR(__xludf.DUMMYFUNCTION("""COMPUTED_VALUE"""),"QUIJUAR S2-51 Y 21 DE MARZO San antonio de Pichincha -")</f>
        <v>QUIJUAR S2-51 Y 21 DE MARZO San antonio de Pichincha -</v>
      </c>
      <c r="P1709" s="65"/>
      <c r="Q1709" s="65" t="str">
        <f>IFERROR(__xludf.DUMMYFUNCTION("""COMPUTED_VALUE"""),"GINTRACOM")</f>
        <v>GINTRACOM</v>
      </c>
      <c r="R1709" s="65">
        <f>IFERROR(__xludf.DUMMYFUNCTION("""COMPUTED_VALUE"""),30.0)</f>
        <v>30</v>
      </c>
      <c r="S1709" s="65">
        <f>IFERROR(__xludf.DUMMYFUNCTION("""COMPUTED_VALUE"""),18.4)</f>
        <v>18.4</v>
      </c>
      <c r="T1709" s="65">
        <f>IFERROR(__xludf.DUMMYFUNCTION("""COMPUTED_VALUE"""),4.55)</f>
        <v>4.55</v>
      </c>
      <c r="U1709" s="65">
        <f>IFERROR(__xludf.DUMMYFUNCTION("""COMPUTED_VALUE"""),0.0)</f>
        <v>0</v>
      </c>
      <c r="V1709" s="65">
        <f>IFERROR(__xludf.DUMMYFUNCTION("""COMPUTED_VALUE"""),0.0)</f>
        <v>0</v>
      </c>
      <c r="W1709" s="65">
        <f>IFERROR(__xludf.DUMMYFUNCTION("""COMPUTED_VALUE"""),0.0)</f>
        <v>0</v>
      </c>
      <c r="X1709" s="65">
        <f>IFERROR(__xludf.DUMMYFUNCTION("""COMPUTED_VALUE"""),2.35)</f>
        <v>2.35</v>
      </c>
      <c r="Y1709" s="65">
        <f>IFERROR(__xludf.DUMMYFUNCTION("""COMPUTED_VALUE"""),7.05)</f>
        <v>7.05</v>
      </c>
      <c r="Z1709" s="65">
        <f>IFERROR(__xludf.DUMMYFUNCTION("""COMPUTED_VALUE"""),116679.0)</f>
        <v>116679</v>
      </c>
      <c r="AA1709" s="65" t="str">
        <f>IFERROR(__xludf.DUMMYFUNCTION("""COMPUTED_VALUE"""),"AMC-2738")</f>
        <v>AMC-2738</v>
      </c>
      <c r="AB1709" s="65"/>
      <c r="AC1709" s="65" t="str">
        <f>IFERROR(__xludf.DUMMYFUNCTION("""COMPUTED_VALUE"""),"ESPONJA ANTILLUVIA DE PARABRISAS")</f>
        <v>ESPONJA ANTILLUVIA DE PARABRISAS</v>
      </c>
      <c r="AD1709" s="65"/>
      <c r="AE1709" s="65">
        <f>IFERROR(__xludf.DUMMYFUNCTION("""COMPUTED_VALUE"""),3.0)</f>
        <v>3</v>
      </c>
      <c r="AF1709" s="65"/>
      <c r="AG1709" s="65"/>
      <c r="AH1709" s="65"/>
      <c r="AI1709" s="65"/>
      <c r="AJ1709" s="65"/>
      <c r="AK1709" s="65"/>
      <c r="AL1709" s="65"/>
      <c r="AM1709" s="65"/>
      <c r="AN1709" s="65" t="str">
        <f>IFERROR(__xludf.DUMMYFUNCTION("""COMPUTED_VALUE"""),"17:41")</f>
        <v>17:41</v>
      </c>
      <c r="AO1709" s="65" t="str">
        <f>IFERROR(__xludf.DUMMYFUNCTION("""COMPUTED_VALUE"""),"26-01-2026")</f>
        <v>26-01-2026</v>
      </c>
      <c r="AP1709" s="65" t="str">
        <f>IFERROR(__xludf.DUMMYFUNCTION("""COMPUTED_VALUE"""),"ENTREGADA GINTRACOM")</f>
        <v>ENTREGADA GINTRACOM</v>
      </c>
      <c r="AQ1709" s="65" t="str">
        <f>IFERROR(__xludf.DUMMYFUNCTION("""COMPUTED_VALUE"""),"ENTREGADA GINTRACOM")</f>
        <v>ENTREGADA GINTRACOM</v>
      </c>
      <c r="AR1709" s="65"/>
      <c r="AS1709" s="65"/>
      <c r="AT1709" s="65" t="str">
        <f>IFERROR(__xludf.DUMMYFUNCTION("""COMPUTED_VALUE"""),"SHOPIFY")</f>
        <v>SHOPIFY</v>
      </c>
      <c r="AU1709" s="65" t="str">
        <f>IFERROR(__xludf.DUMMYFUNCTION("""COMPUTED_VALUE"""),"IMPORTEX EC")</f>
        <v>IMPORTEX EC</v>
      </c>
      <c r="AV1709" s="65" t="str">
        <f>IFERROR(__xludf.DUMMYFUNCTION("""COMPUTED_VALUE"""),"6412720898092")</f>
        <v>6412720898092</v>
      </c>
      <c r="AW1709" s="65">
        <f>IFERROR(__xludf.DUMMYFUNCTION("""COMPUTED_VALUE"""),5140.0)</f>
        <v>5140</v>
      </c>
      <c r="AX1709" s="65"/>
      <c r="AY1709" s="65" t="str">
        <f>IFERROR(__xludf.DUMMYFUNCTION("""COMPUTED_VALUE"""),"22/01/2026")</f>
        <v>22/01/2026</v>
      </c>
      <c r="AZ1709" s="65"/>
      <c r="BA1709" s="65"/>
    </row>
    <row r="1710">
      <c r="A1710" s="65" t="str">
        <f>IFERROR(__xludf.DUMMYFUNCTION("""COMPUTED_VALUE"""),"27-03-2026")</f>
        <v>27-03-2026</v>
      </c>
      <c r="B1710" s="65">
        <f>IFERROR(__xludf.DUMMYFUNCTION("""COMPUTED_VALUE"""),4154160.0)</f>
        <v>4154160</v>
      </c>
      <c r="C1710" s="65" t="str">
        <f>IFERROR(__xludf.DUMMYFUNCTION("""COMPUTED_VALUE"""),"08:17")</f>
        <v>08:17</v>
      </c>
      <c r="D1710" s="65" t="str">
        <f>IFERROR(__xludf.DUMMYFUNCTION("""COMPUTED_VALUE"""),"15-01-2026")</f>
        <v>15-01-2026</v>
      </c>
      <c r="E1710" s="65" t="str">
        <f>IFERROR(__xludf.DUMMYFUNCTION("""COMPUTED_VALUE"""),"Diego Palacios Mieles")</f>
        <v>Diego Palacios Mieles</v>
      </c>
      <c r="F1710" s="65" t="str">
        <f>IFERROR(__xludf.DUMMYFUNCTION("""COMPUTED_VALUE"""),"981289053")</f>
        <v>981289053</v>
      </c>
      <c r="G1710" s="65" t="str">
        <f>IFERROR(__xludf.DUMMYFUNCTION("""COMPUTED_VALUE"""),"diegomieles83@hotmail.com")</f>
        <v>diegomieles83@hotmail.com</v>
      </c>
      <c r="H1710" s="65"/>
      <c r="I1710" s="65"/>
      <c r="J1710" s="65"/>
      <c r="K1710" s="65" t="str">
        <f>IFERROR(__xludf.DUMMYFUNCTION("""COMPUTED_VALUE"""),"PENDIENTE CONFIRMACION")</f>
        <v>PENDIENTE CONFIRMACION</v>
      </c>
      <c r="L1710" s="65" t="str">
        <f>IFERROR(__xludf.DUMMYFUNCTION("""COMPUTED_VALUE"""),"CON RECAUDO")</f>
        <v>CON RECAUDO</v>
      </c>
      <c r="M1710" s="65" t="str">
        <f>IFERROR(__xludf.DUMMYFUNCTION("""COMPUTED_VALUE"""),"MANABI")</f>
        <v>MANABI</v>
      </c>
      <c r="N1710" s="65" t="str">
        <f>IFERROR(__xludf.DUMMYFUNCTION("""COMPUTED_VALUE"""),"PORTOVIEJO")</f>
        <v>PORTOVIEJO</v>
      </c>
      <c r="O1710" s="65" t="str">
        <f>IFERROR(__xludf.DUMMYFUNCTION("""COMPUTED_VALUE"""),"Reimundo rivas y frutillos Ciudadela San marcos -")</f>
        <v>Reimundo rivas y frutillos Ciudadela San marcos -</v>
      </c>
      <c r="P1710" s="65"/>
      <c r="Q1710" s="65" t="str">
        <f>IFERROR(__xludf.DUMMYFUNCTION("""COMPUTED_VALUE"""),"GINTRACOM")</f>
        <v>GINTRACOM</v>
      </c>
      <c r="R1710" s="65">
        <f>IFERROR(__xludf.DUMMYFUNCTION("""COMPUTED_VALUE"""),22.0)</f>
        <v>22</v>
      </c>
      <c r="S1710" s="65"/>
      <c r="T1710" s="65">
        <f>IFERROR(__xludf.DUMMYFUNCTION("""COMPUTED_VALUE"""),5.84)</f>
        <v>5.84</v>
      </c>
      <c r="U1710" s="65">
        <f>IFERROR(__xludf.DUMMYFUNCTION("""COMPUTED_VALUE"""),0.0)</f>
        <v>0</v>
      </c>
      <c r="V1710" s="65">
        <f>IFERROR(__xludf.DUMMYFUNCTION("""COMPUTED_VALUE"""),0.0)</f>
        <v>0</v>
      </c>
      <c r="W1710" s="65">
        <f>IFERROR(__xludf.DUMMYFUNCTION("""COMPUTED_VALUE"""),0.0)</f>
        <v>0</v>
      </c>
      <c r="X1710" s="65">
        <f>IFERROR(__xludf.DUMMYFUNCTION("""COMPUTED_VALUE"""),2.6)</f>
        <v>2.6</v>
      </c>
      <c r="Y1710" s="65">
        <f>IFERROR(__xludf.DUMMYFUNCTION("""COMPUTED_VALUE"""),5.2)</f>
        <v>5.2</v>
      </c>
      <c r="Z1710" s="65">
        <f>IFERROR(__xludf.DUMMYFUNCTION("""COMPUTED_VALUE"""),121983.0)</f>
        <v>121983</v>
      </c>
      <c r="AA1710" s="65" t="str">
        <f>IFERROR(__xludf.DUMMYFUNCTION("""COMPUTED_VALUE"""),"PROV-CHLLCF")</f>
        <v>PROV-CHLLCF</v>
      </c>
      <c r="AB1710" s="65"/>
      <c r="AC1710" s="65" t="str">
        <f>IFERROR(__xludf.DUMMYFUNCTION("""COMPUTED_VALUE"""),"CUCHILLO PARA CHEF")</f>
        <v>CUCHILLO PARA CHEF</v>
      </c>
      <c r="AD1710" s="65"/>
      <c r="AE1710" s="65">
        <f>IFERROR(__xludf.DUMMYFUNCTION("""COMPUTED_VALUE"""),2.0)</f>
        <v>2</v>
      </c>
      <c r="AF1710" s="65"/>
      <c r="AG1710" s="65"/>
      <c r="AH1710" s="65"/>
      <c r="AI1710" s="65"/>
      <c r="AJ1710" s="65"/>
      <c r="AK1710" s="65"/>
      <c r="AL1710" s="65"/>
      <c r="AM1710" s="65"/>
      <c r="AN1710" s="65"/>
      <c r="AO1710" s="65"/>
      <c r="AP1710" s="65"/>
      <c r="AQ1710" s="65"/>
      <c r="AR1710" s="65"/>
      <c r="AS1710" s="65"/>
      <c r="AT1710" s="65" t="str">
        <f>IFERROR(__xludf.DUMMYFUNCTION("""COMPUTED_VALUE"""),"SHOPIFY")</f>
        <v>SHOPIFY</v>
      </c>
      <c r="AU1710" s="65" t="str">
        <f>IFERROR(__xludf.DUMMYFUNCTION("""COMPUTED_VALUE"""),"IMPORTEX EC")</f>
        <v>IMPORTEX EC</v>
      </c>
      <c r="AV1710" s="65" t="str">
        <f>IFERROR(__xludf.DUMMYFUNCTION("""COMPUTED_VALUE"""),"6416212983852")</f>
        <v>6416212983852</v>
      </c>
      <c r="AW1710" s="65">
        <f>IFERROR(__xludf.DUMMYFUNCTION("""COMPUTED_VALUE"""),5235.0)</f>
        <v>5235</v>
      </c>
      <c r="AX1710" s="65"/>
      <c r="AY1710" s="65"/>
      <c r="AZ1710" s="65"/>
      <c r="BA1710" s="65"/>
    </row>
    <row r="1711">
      <c r="A1711" s="65" t="str">
        <f>IFERROR(__xludf.DUMMYFUNCTION("""COMPUTED_VALUE"""),"27-03-2026")</f>
        <v>27-03-2026</v>
      </c>
      <c r="B1711" s="65">
        <f>IFERROR(__xludf.DUMMYFUNCTION("""COMPUTED_VALUE"""),4154128.0)</f>
        <v>4154128</v>
      </c>
      <c r="C1711" s="65" t="str">
        <f>IFERROR(__xludf.DUMMYFUNCTION("""COMPUTED_VALUE"""),"08:16")</f>
        <v>08:16</v>
      </c>
      <c r="D1711" s="65" t="str">
        <f>IFERROR(__xludf.DUMMYFUNCTION("""COMPUTED_VALUE"""),"15-01-2026")</f>
        <v>15-01-2026</v>
      </c>
      <c r="E1711" s="65" t="str">
        <f>IFERROR(__xludf.DUMMYFUNCTION("""COMPUTED_VALUE"""),"Sixto Flores")</f>
        <v>Sixto Flores</v>
      </c>
      <c r="F1711" s="65" t="str">
        <f>IFERROR(__xludf.DUMMYFUNCTION("""COMPUTED_VALUE"""),"987864645")</f>
        <v>987864645</v>
      </c>
      <c r="G1711" s="65" t="str">
        <f>IFERROR(__xludf.DUMMYFUNCTION("""COMPUTED_VALUE"""),"sixto.flores@createx.ec")</f>
        <v>sixto.flores@createx.ec</v>
      </c>
      <c r="H1711" s="65"/>
      <c r="I1711" s="65"/>
      <c r="J1711" s="65"/>
      <c r="K1711" s="65" t="str">
        <f>IFERROR(__xludf.DUMMYFUNCTION("""COMPUTED_VALUE"""),"PENDIENTE CONFIRMACION")</f>
        <v>PENDIENTE CONFIRMACION</v>
      </c>
      <c r="L1711" s="65" t="str">
        <f>IFERROR(__xludf.DUMMYFUNCTION("""COMPUTED_VALUE"""),"CON RECAUDO")</f>
        <v>CON RECAUDO</v>
      </c>
      <c r="M1711" s="65" t="str">
        <f>IFERROR(__xludf.DUMMYFUNCTION("""COMPUTED_VALUE"""),"PICHINCHA")</f>
        <v>PICHINCHA</v>
      </c>
      <c r="N1711" s="65" t="str">
        <f>IFERROR(__xludf.DUMMYFUNCTION("""COMPUTED_VALUE"""),"QUITO")</f>
        <v>QUITO</v>
      </c>
      <c r="O1711" s="65" t="str">
        <f>IFERROR(__xludf.DUMMYFUNCTION("""COMPUTED_VALUE"""),"El condado, Pichincha, Quito")</f>
        <v>El condado, Pichincha, Quito</v>
      </c>
      <c r="P1711" s="65" t="str">
        <f>IFERROR(__xludf.DUMMYFUNCTION("""COMPUTED_VALUE"""),"ESPONJA ANTILLUVIA DE PARABRISAS: Default Title ***")</f>
        <v>ESPONJA ANTILLUVIA DE PARABRISAS: Default Title ***</v>
      </c>
      <c r="Q1711" s="65" t="str">
        <f>IFERROR(__xludf.DUMMYFUNCTION("""COMPUTED_VALUE"""),"GINTRACOM")</f>
        <v>GINTRACOM</v>
      </c>
      <c r="R1711" s="65">
        <f>IFERROR(__xludf.DUMMYFUNCTION("""COMPUTED_VALUE"""),30.0)</f>
        <v>30</v>
      </c>
      <c r="S1711" s="65"/>
      <c r="T1711" s="65">
        <f>IFERROR(__xludf.DUMMYFUNCTION("""COMPUTED_VALUE"""),4.55)</f>
        <v>4.55</v>
      </c>
      <c r="U1711" s="65">
        <f>IFERROR(__xludf.DUMMYFUNCTION("""COMPUTED_VALUE"""),0.0)</f>
        <v>0</v>
      </c>
      <c r="V1711" s="65">
        <f>IFERROR(__xludf.DUMMYFUNCTION("""COMPUTED_VALUE"""),0.0)</f>
        <v>0</v>
      </c>
      <c r="W1711" s="65">
        <f>IFERROR(__xludf.DUMMYFUNCTION("""COMPUTED_VALUE"""),0.0)</f>
        <v>0</v>
      </c>
      <c r="X1711" s="65">
        <f>IFERROR(__xludf.DUMMYFUNCTION("""COMPUTED_VALUE"""),2.35)</f>
        <v>2.35</v>
      </c>
      <c r="Y1711" s="65">
        <f>IFERROR(__xludf.DUMMYFUNCTION("""COMPUTED_VALUE"""),7.05)</f>
        <v>7.05</v>
      </c>
      <c r="Z1711" s="65">
        <f>IFERROR(__xludf.DUMMYFUNCTION("""COMPUTED_VALUE"""),116679.0)</f>
        <v>116679</v>
      </c>
      <c r="AA1711" s="65" t="str">
        <f>IFERROR(__xludf.DUMMYFUNCTION("""COMPUTED_VALUE"""),"AMC-2738")</f>
        <v>AMC-2738</v>
      </c>
      <c r="AB1711" s="65"/>
      <c r="AC1711" s="65" t="str">
        <f>IFERROR(__xludf.DUMMYFUNCTION("""COMPUTED_VALUE"""),"ESPONJA ANTILLUVIA DE PARABRISAS")</f>
        <v>ESPONJA ANTILLUVIA DE PARABRISAS</v>
      </c>
      <c r="AD1711" s="65"/>
      <c r="AE1711" s="65">
        <f>IFERROR(__xludf.DUMMYFUNCTION("""COMPUTED_VALUE"""),3.0)</f>
        <v>3</v>
      </c>
      <c r="AF1711" s="65"/>
      <c r="AG1711" s="65"/>
      <c r="AH1711" s="65"/>
      <c r="AI1711" s="65"/>
      <c r="AJ1711" s="65"/>
      <c r="AK1711" s="65"/>
      <c r="AL1711" s="65"/>
      <c r="AM1711" s="65"/>
      <c r="AN1711" s="65"/>
      <c r="AO1711" s="65"/>
      <c r="AP1711" s="65"/>
      <c r="AQ1711" s="65"/>
      <c r="AR1711" s="65"/>
      <c r="AS1711" s="65"/>
      <c r="AT1711" s="65" t="str">
        <f>IFERROR(__xludf.DUMMYFUNCTION("""COMPUTED_VALUE"""),"SHOPIFY")</f>
        <v>SHOPIFY</v>
      </c>
      <c r="AU1711" s="65" t="str">
        <f>IFERROR(__xludf.DUMMYFUNCTION("""COMPUTED_VALUE"""),"IMPORTEX EC")</f>
        <v>IMPORTEX EC</v>
      </c>
      <c r="AV1711" s="65" t="str">
        <f>IFERROR(__xludf.DUMMYFUNCTION("""COMPUTED_VALUE"""),"6416207675436")</f>
        <v>6416207675436</v>
      </c>
      <c r="AW1711" s="65">
        <f>IFERROR(__xludf.DUMMYFUNCTION("""COMPUTED_VALUE"""),5234.0)</f>
        <v>5234</v>
      </c>
      <c r="AX1711" s="65"/>
      <c r="AY1711" s="65"/>
      <c r="AZ1711" s="65"/>
      <c r="BA1711" s="65"/>
    </row>
    <row r="1712">
      <c r="A1712" s="65" t="str">
        <f>IFERROR(__xludf.DUMMYFUNCTION("""COMPUTED_VALUE"""),"27-03-2026")</f>
        <v>27-03-2026</v>
      </c>
      <c r="B1712" s="65">
        <f>IFERROR(__xludf.DUMMYFUNCTION("""COMPUTED_VALUE"""),4153876.0)</f>
        <v>4153876</v>
      </c>
      <c r="C1712" s="65" t="str">
        <f>IFERROR(__xludf.DUMMYFUNCTION("""COMPUTED_VALUE"""),"07:56")</f>
        <v>07:56</v>
      </c>
      <c r="D1712" s="65" t="str">
        <f>IFERROR(__xludf.DUMMYFUNCTION("""COMPUTED_VALUE"""),"15-01-2026")</f>
        <v>15-01-2026</v>
      </c>
      <c r="E1712" s="65" t="str">
        <f>IFERROR(__xludf.DUMMYFUNCTION("""COMPUTED_VALUE"""),"Olga Lozano")</f>
        <v>Olga Lozano</v>
      </c>
      <c r="F1712" s="65" t="str">
        <f>IFERROR(__xludf.DUMMYFUNCTION("""COMPUTED_VALUE"""),"992631496")</f>
        <v>992631496</v>
      </c>
      <c r="G1712" s="65" t="str">
        <f>IFERROR(__xludf.DUMMYFUNCTION("""COMPUTED_VALUE"""),"olgalozanpezo@hotmail.com")</f>
        <v>olgalozanpezo@hotmail.com</v>
      </c>
      <c r="H1712" s="65"/>
      <c r="I1712" s="65"/>
      <c r="J1712" s="65" t="str">
        <f>IFERROR(__xludf.DUMMYFUNCTION("""COMPUTED_VALUE"""),"D001234354")</f>
        <v>D001234354</v>
      </c>
      <c r="K1712" s="65" t="str">
        <f>IFERROR(__xludf.DUMMYFUNCTION("""COMPUTED_VALUE"""),"ENTREGADO")</f>
        <v>ENTREGADO</v>
      </c>
      <c r="L1712" s="65" t="str">
        <f>IFERROR(__xludf.DUMMYFUNCTION("""COMPUTED_VALUE"""),"CON RECAUDO")</f>
        <v>CON RECAUDO</v>
      </c>
      <c r="M1712" s="65" t="str">
        <f>IFERROR(__xludf.DUMMYFUNCTION("""COMPUTED_VALUE"""),"GUAYAS")</f>
        <v>GUAYAS</v>
      </c>
      <c r="N1712" s="65" t="str">
        <f>IFERROR(__xludf.DUMMYFUNCTION("""COMPUTED_VALUE"""),"DURAN")</f>
        <v>DURAN</v>
      </c>
      <c r="O1712" s="65" t="str">
        <f>IFERROR(__xludf.DUMMYFUNCTION("""COMPUTED_VALUE"""),"Duran Av Abel Gilbert Los Algarrobos Mz J sl 3 -")</f>
        <v>Duran Av Abel Gilbert Los Algarrobos Mz J sl 3 -</v>
      </c>
      <c r="P1712" s="65"/>
      <c r="Q1712" s="65" t="str">
        <f>IFERROR(__xludf.DUMMYFUNCTION("""COMPUTED_VALUE"""),"GINTRACOM")</f>
        <v>GINTRACOM</v>
      </c>
      <c r="R1712" s="65">
        <f>IFERROR(__xludf.DUMMYFUNCTION("""COMPUTED_VALUE"""),20.0)</f>
        <v>20</v>
      </c>
      <c r="S1712" s="65">
        <f>IFERROR(__xludf.DUMMYFUNCTION("""COMPUTED_VALUE"""),11.89)</f>
        <v>11.89</v>
      </c>
      <c r="T1712" s="65">
        <f>IFERROR(__xludf.DUMMYFUNCTION("""COMPUTED_VALUE"""),5.76)</f>
        <v>5.76</v>
      </c>
      <c r="U1712" s="65">
        <f>IFERROR(__xludf.DUMMYFUNCTION("""COMPUTED_VALUE"""),0.0)</f>
        <v>0</v>
      </c>
      <c r="V1712" s="65">
        <f>IFERROR(__xludf.DUMMYFUNCTION("""COMPUTED_VALUE"""),0.0)</f>
        <v>0</v>
      </c>
      <c r="W1712" s="65">
        <f>IFERROR(__xludf.DUMMYFUNCTION("""COMPUTED_VALUE"""),0.0)</f>
        <v>0</v>
      </c>
      <c r="X1712" s="65">
        <f>IFERROR(__xludf.DUMMYFUNCTION("""COMPUTED_VALUE"""),2.35)</f>
        <v>2.35</v>
      </c>
      <c r="Y1712" s="65">
        <f>IFERROR(__xludf.DUMMYFUNCTION("""COMPUTED_VALUE"""),2.35)</f>
        <v>2.35</v>
      </c>
      <c r="Z1712" s="65">
        <f>IFERROR(__xludf.DUMMYFUNCTION("""COMPUTED_VALUE"""),116679.0)</f>
        <v>116679</v>
      </c>
      <c r="AA1712" s="65" t="str">
        <f>IFERROR(__xludf.DUMMYFUNCTION("""COMPUTED_VALUE"""),"AMC-2738")</f>
        <v>AMC-2738</v>
      </c>
      <c r="AB1712" s="65"/>
      <c r="AC1712" s="65" t="str">
        <f>IFERROR(__xludf.DUMMYFUNCTION("""COMPUTED_VALUE"""),"ESPONJA ANTILLUVIA DE PARABRISAS")</f>
        <v>ESPONJA ANTILLUVIA DE PARABRISAS</v>
      </c>
      <c r="AD1712" s="65"/>
      <c r="AE1712" s="65">
        <f>IFERROR(__xludf.DUMMYFUNCTION("""COMPUTED_VALUE"""),1.0)</f>
        <v>1</v>
      </c>
      <c r="AF1712" s="65"/>
      <c r="AG1712" s="65"/>
      <c r="AH1712" s="65"/>
      <c r="AI1712" s="65"/>
      <c r="AJ1712" s="65"/>
      <c r="AK1712" s="65"/>
      <c r="AL1712" s="65"/>
      <c r="AM1712" s="65"/>
      <c r="AN1712" s="65" t="str">
        <f>IFERROR(__xludf.DUMMYFUNCTION("""COMPUTED_VALUE"""),"09:54")</f>
        <v>09:54</v>
      </c>
      <c r="AO1712" s="65" t="str">
        <f>IFERROR(__xludf.DUMMYFUNCTION("""COMPUTED_VALUE"""),"21-01-2026")</f>
        <v>21-01-2026</v>
      </c>
      <c r="AP1712" s="65" t="str">
        <f>IFERROR(__xludf.DUMMYFUNCTION("""COMPUTED_VALUE"""),"EN REPARTO")</f>
        <v>EN REPARTO</v>
      </c>
      <c r="AQ1712" s="65" t="str">
        <f>IFERROR(__xludf.DUMMYFUNCTION("""COMPUTED_VALUE"""),"EN REPARTO")</f>
        <v>EN REPARTO</v>
      </c>
      <c r="AR1712" s="65"/>
      <c r="AS1712" s="65"/>
      <c r="AT1712" s="65" t="str">
        <f>IFERROR(__xludf.DUMMYFUNCTION("""COMPUTED_VALUE"""),"SHOPIFY")</f>
        <v>SHOPIFY</v>
      </c>
      <c r="AU1712" s="65" t="str">
        <f>IFERROR(__xludf.DUMMYFUNCTION("""COMPUTED_VALUE"""),"IMPORTEX EC")</f>
        <v>IMPORTEX EC</v>
      </c>
      <c r="AV1712" s="65" t="str">
        <f>IFERROR(__xludf.DUMMYFUNCTION("""COMPUTED_VALUE"""),"6416178937900")</f>
        <v>6416178937900</v>
      </c>
      <c r="AW1712" s="65">
        <f>IFERROR(__xludf.DUMMYFUNCTION("""COMPUTED_VALUE"""),5233.0)</f>
        <v>5233</v>
      </c>
      <c r="AX1712" s="65"/>
      <c r="AY1712" s="65" t="str">
        <f>IFERROR(__xludf.DUMMYFUNCTION("""COMPUTED_VALUE"""),"17/01/2026")</f>
        <v>17/01/2026</v>
      </c>
      <c r="AZ1712" s="65"/>
      <c r="BA1712" s="65"/>
    </row>
    <row r="1713">
      <c r="A1713" s="65" t="str">
        <f>IFERROR(__xludf.DUMMYFUNCTION("""COMPUTED_VALUE"""),"27-03-2026")</f>
        <v>27-03-2026</v>
      </c>
      <c r="B1713" s="65">
        <f>IFERROR(__xludf.DUMMYFUNCTION("""COMPUTED_VALUE"""),4153819.0)</f>
        <v>4153819</v>
      </c>
      <c r="C1713" s="65" t="str">
        <f>IFERROR(__xludf.DUMMYFUNCTION("""COMPUTED_VALUE"""),"07:50")</f>
        <v>07:50</v>
      </c>
      <c r="D1713" s="65" t="str">
        <f>IFERROR(__xludf.DUMMYFUNCTION("""COMPUTED_VALUE"""),"15-01-2026")</f>
        <v>15-01-2026</v>
      </c>
      <c r="E1713" s="65" t="str">
        <f>IFERROR(__xludf.DUMMYFUNCTION("""COMPUTED_VALUE"""),"Jimmy Córdova")</f>
        <v>Jimmy Córdova</v>
      </c>
      <c r="F1713" s="65" t="str">
        <f>IFERROR(__xludf.DUMMYFUNCTION("""COMPUTED_VALUE"""),"994272742")</f>
        <v>994272742</v>
      </c>
      <c r="G1713" s="65" t="str">
        <f>IFERROR(__xludf.DUMMYFUNCTION("""COMPUTED_VALUE"""),"cordovalg1515@gmail.com")</f>
        <v>cordovalg1515@gmail.com</v>
      </c>
      <c r="H1713" s="65"/>
      <c r="I1713" s="65"/>
      <c r="J1713" s="65" t="str">
        <f>IFERROR(__xludf.DUMMYFUNCTION("""COMPUTED_VALUE"""),"D001233728")</f>
        <v>D001233728</v>
      </c>
      <c r="K1713" s="65" t="str">
        <f>IFERROR(__xludf.DUMMYFUNCTION("""COMPUTED_VALUE"""),"ENTREGADO")</f>
        <v>ENTREGADO</v>
      </c>
      <c r="L1713" s="65" t="str">
        <f>IFERROR(__xludf.DUMMYFUNCTION("""COMPUTED_VALUE"""),"CON RECAUDO")</f>
        <v>CON RECAUDO</v>
      </c>
      <c r="M1713" s="65" t="str">
        <f>IFERROR(__xludf.DUMMYFUNCTION("""COMPUTED_VALUE"""),"ESMERALDAS")</f>
        <v>ESMERALDAS</v>
      </c>
      <c r="N1713" s="65" t="str">
        <f>IFERROR(__xludf.DUMMYFUNCTION("""COMPUTED_VALUE"""),"QUININDE")</f>
        <v>QUININDE</v>
      </c>
      <c r="O1713" s="65" t="str">
        <f>IFERROR(__xludf.DUMMYFUNCTION("""COMPUTED_VALUE"""),"Parroquia la unión del cantón quininde La unión de Quininde provincia de esmeraldas - La unión. Barrio los Alpes calle principal E20")</f>
        <v>Parroquia la unión del cantón quininde La unión de Quininde provincia de esmeraldas - La unión. Barrio los Alpes calle principal E20</v>
      </c>
      <c r="P1713" s="65"/>
      <c r="Q1713" s="65" t="str">
        <f>IFERROR(__xludf.DUMMYFUNCTION("""COMPUTED_VALUE"""),"GINTRACOM")</f>
        <v>GINTRACOM</v>
      </c>
      <c r="R1713" s="65">
        <f>IFERROR(__xludf.DUMMYFUNCTION("""COMPUTED_VALUE"""),22.0)</f>
        <v>22</v>
      </c>
      <c r="S1713" s="65">
        <f>IFERROR(__xludf.DUMMYFUNCTION("""COMPUTED_VALUE"""),10.96)</f>
        <v>10.96</v>
      </c>
      <c r="T1713" s="65">
        <f>IFERROR(__xludf.DUMMYFUNCTION("""COMPUTED_VALUE"""),5.84)</f>
        <v>5.84</v>
      </c>
      <c r="U1713" s="65">
        <f>IFERROR(__xludf.DUMMYFUNCTION("""COMPUTED_VALUE"""),0.0)</f>
        <v>0</v>
      </c>
      <c r="V1713" s="65">
        <f>IFERROR(__xludf.DUMMYFUNCTION("""COMPUTED_VALUE"""),0.0)</f>
        <v>0</v>
      </c>
      <c r="W1713" s="65">
        <f>IFERROR(__xludf.DUMMYFUNCTION("""COMPUTED_VALUE"""),0.0)</f>
        <v>0</v>
      </c>
      <c r="X1713" s="65">
        <f>IFERROR(__xludf.DUMMYFUNCTION("""COMPUTED_VALUE"""),2.6)</f>
        <v>2.6</v>
      </c>
      <c r="Y1713" s="65">
        <f>IFERROR(__xludf.DUMMYFUNCTION("""COMPUTED_VALUE"""),5.2)</f>
        <v>5.2</v>
      </c>
      <c r="Z1713" s="65">
        <f>IFERROR(__xludf.DUMMYFUNCTION("""COMPUTED_VALUE"""),121983.0)</f>
        <v>121983</v>
      </c>
      <c r="AA1713" s="65" t="str">
        <f>IFERROR(__xludf.DUMMYFUNCTION("""COMPUTED_VALUE"""),"PROV-CHLLCF")</f>
        <v>PROV-CHLLCF</v>
      </c>
      <c r="AB1713" s="65"/>
      <c r="AC1713" s="65" t="str">
        <f>IFERROR(__xludf.DUMMYFUNCTION("""COMPUTED_VALUE"""),"CUCHILLO PARA CHEF")</f>
        <v>CUCHILLO PARA CHEF</v>
      </c>
      <c r="AD1713" s="65"/>
      <c r="AE1713" s="65">
        <f>IFERROR(__xludf.DUMMYFUNCTION("""COMPUTED_VALUE"""),2.0)</f>
        <v>2</v>
      </c>
      <c r="AF1713" s="65"/>
      <c r="AG1713" s="65"/>
      <c r="AH1713" s="65"/>
      <c r="AI1713" s="65"/>
      <c r="AJ1713" s="65"/>
      <c r="AK1713" s="65"/>
      <c r="AL1713" s="65"/>
      <c r="AM1713" s="65"/>
      <c r="AN1713" s="65" t="str">
        <f>IFERROR(__xludf.DUMMYFUNCTION("""COMPUTED_VALUE"""),"15:06")</f>
        <v>15:06</v>
      </c>
      <c r="AO1713" s="65" t="str">
        <f>IFERROR(__xludf.DUMMYFUNCTION("""COMPUTED_VALUE"""),"19-01-2026")</f>
        <v>19-01-2026</v>
      </c>
      <c r="AP1713" s="65" t="str">
        <f>IFERROR(__xludf.DUMMYFUNCTION("""COMPUTED_VALUE"""),"ENTREGADA GINTRACOM")</f>
        <v>ENTREGADA GINTRACOM</v>
      </c>
      <c r="AQ1713" s="65" t="str">
        <f>IFERROR(__xludf.DUMMYFUNCTION("""COMPUTED_VALUE"""),"ENTREGADA GINTRACOM")</f>
        <v>ENTREGADA GINTRACOM</v>
      </c>
      <c r="AR1713" s="65"/>
      <c r="AS1713" s="65"/>
      <c r="AT1713" s="65" t="str">
        <f>IFERROR(__xludf.DUMMYFUNCTION("""COMPUTED_VALUE"""),"SHOPIFY")</f>
        <v>SHOPIFY</v>
      </c>
      <c r="AU1713" s="65" t="str">
        <f>IFERROR(__xludf.DUMMYFUNCTION("""COMPUTED_VALUE"""),"IMPORTEX EC")</f>
        <v>IMPORTEX EC</v>
      </c>
      <c r="AV1713" s="65" t="str">
        <f>IFERROR(__xludf.DUMMYFUNCTION("""COMPUTED_VALUE"""),"6416171532332")</f>
        <v>6416171532332</v>
      </c>
      <c r="AW1713" s="65">
        <f>IFERROR(__xludf.DUMMYFUNCTION("""COMPUTED_VALUE"""),5232.0)</f>
        <v>5232</v>
      </c>
      <c r="AX1713" s="65"/>
      <c r="AY1713" s="65" t="str">
        <f>IFERROR(__xludf.DUMMYFUNCTION("""COMPUTED_VALUE"""),"17/01/2026")</f>
        <v>17/01/2026</v>
      </c>
      <c r="AZ1713" s="65"/>
      <c r="BA1713" s="65"/>
    </row>
    <row r="1714">
      <c r="A1714" s="65" t="str">
        <f>IFERROR(__xludf.DUMMYFUNCTION("""COMPUTED_VALUE"""),"27-03-2026")</f>
        <v>27-03-2026</v>
      </c>
      <c r="B1714" s="65">
        <f>IFERROR(__xludf.DUMMYFUNCTION("""COMPUTED_VALUE"""),4153810.0)</f>
        <v>4153810</v>
      </c>
      <c r="C1714" s="65" t="str">
        <f>IFERROR(__xludf.DUMMYFUNCTION("""COMPUTED_VALUE"""),"07:50")</f>
        <v>07:50</v>
      </c>
      <c r="D1714" s="65" t="str">
        <f>IFERROR(__xludf.DUMMYFUNCTION("""COMPUTED_VALUE"""),"15-01-2026")</f>
        <v>15-01-2026</v>
      </c>
      <c r="E1714" s="65" t="str">
        <f>IFERROR(__xludf.DUMMYFUNCTION("""COMPUTED_VALUE"""),"Victor Zambrano")</f>
        <v>Victor Zambrano</v>
      </c>
      <c r="F1714" s="65" t="str">
        <f>IFERROR(__xludf.DUMMYFUNCTION("""COMPUTED_VALUE"""),"996456837")</f>
        <v>996456837</v>
      </c>
      <c r="G1714" s="65" t="str">
        <f>IFERROR(__xludf.DUMMYFUNCTION("""COMPUTED_VALUE"""),"vzambrano879@gmail.com")</f>
        <v>vzambrano879@gmail.com</v>
      </c>
      <c r="H1714" s="65"/>
      <c r="I1714" s="65"/>
      <c r="J1714" s="65" t="str">
        <f>IFERROR(__xludf.DUMMYFUNCTION("""COMPUTED_VALUE"""),"D001234355")</f>
        <v>D001234355</v>
      </c>
      <c r="K1714" s="65" t="str">
        <f>IFERROR(__xludf.DUMMYFUNCTION("""COMPUTED_VALUE"""),"ENTREGADO")</f>
        <v>ENTREGADO</v>
      </c>
      <c r="L1714" s="65" t="str">
        <f>IFERROR(__xludf.DUMMYFUNCTION("""COMPUTED_VALUE"""),"CON RECAUDO")</f>
        <v>CON RECAUDO</v>
      </c>
      <c r="M1714" s="65" t="str">
        <f>IFERROR(__xludf.DUMMYFUNCTION("""COMPUTED_VALUE"""),"ORELLANA")</f>
        <v>ORELLANA</v>
      </c>
      <c r="N1714" s="65" t="str">
        <f>IFERROR(__xludf.DUMMYFUNCTION("""COMPUTED_VALUE"""),"EL COCA")</f>
        <v>EL COCA</v>
      </c>
      <c r="O1714" s="65" t="str">
        <f>IFERROR(__xludf.DUMMYFUNCTION("""COMPUTED_VALUE"""),"Calle A y calle 3 a una cuandra del Hospital General Francisco de Orellana Sector 2 de Diciembre, Barrio Moretal -")</f>
        <v>Calle A y calle 3 a una cuandra del Hospital General Francisco de Orellana Sector 2 de Diciembre, Barrio Moretal -</v>
      </c>
      <c r="P1714" s="65"/>
      <c r="Q1714" s="65" t="str">
        <f>IFERROR(__xludf.DUMMYFUNCTION("""COMPUTED_VALUE"""),"GINTRACOM")</f>
        <v>GINTRACOM</v>
      </c>
      <c r="R1714" s="65">
        <f>IFERROR(__xludf.DUMMYFUNCTION("""COMPUTED_VALUE"""),30.0)</f>
        <v>30</v>
      </c>
      <c r="S1714" s="65">
        <f>IFERROR(__xludf.DUMMYFUNCTION("""COMPUTED_VALUE"""),16.79)</f>
        <v>16.79</v>
      </c>
      <c r="T1714" s="65">
        <f>IFERROR(__xludf.DUMMYFUNCTION("""COMPUTED_VALUE"""),6.16)</f>
        <v>6.16</v>
      </c>
      <c r="U1714" s="65">
        <f>IFERROR(__xludf.DUMMYFUNCTION("""COMPUTED_VALUE"""),0.0)</f>
        <v>0</v>
      </c>
      <c r="V1714" s="65">
        <f>IFERROR(__xludf.DUMMYFUNCTION("""COMPUTED_VALUE"""),0.0)</f>
        <v>0</v>
      </c>
      <c r="W1714" s="65">
        <f>IFERROR(__xludf.DUMMYFUNCTION("""COMPUTED_VALUE"""),0.0)</f>
        <v>0</v>
      </c>
      <c r="X1714" s="65">
        <f>IFERROR(__xludf.DUMMYFUNCTION("""COMPUTED_VALUE"""),2.35)</f>
        <v>2.35</v>
      </c>
      <c r="Y1714" s="65">
        <f>IFERROR(__xludf.DUMMYFUNCTION("""COMPUTED_VALUE"""),7.05)</f>
        <v>7.05</v>
      </c>
      <c r="Z1714" s="65">
        <f>IFERROR(__xludf.DUMMYFUNCTION("""COMPUTED_VALUE"""),116679.0)</f>
        <v>116679</v>
      </c>
      <c r="AA1714" s="65" t="str">
        <f>IFERROR(__xludf.DUMMYFUNCTION("""COMPUTED_VALUE"""),"AMC-2738")</f>
        <v>AMC-2738</v>
      </c>
      <c r="AB1714" s="65"/>
      <c r="AC1714" s="65" t="str">
        <f>IFERROR(__xludf.DUMMYFUNCTION("""COMPUTED_VALUE"""),"ESPONJA ANTILLUVIA DE PARABRISAS")</f>
        <v>ESPONJA ANTILLUVIA DE PARABRISAS</v>
      </c>
      <c r="AD1714" s="65"/>
      <c r="AE1714" s="65">
        <f>IFERROR(__xludf.DUMMYFUNCTION("""COMPUTED_VALUE"""),3.0)</f>
        <v>3</v>
      </c>
      <c r="AF1714" s="65" t="str">
        <f>IFERROR(__xludf.DUMMYFUNCTION("""COMPUTED_VALUE"""),"DESTINATARIO NO CONTESTA LLAMADAS NI WHATSAPP")</f>
        <v>DESTINATARIO NO CONTESTA LLAMADAS NI WHATSAPP</v>
      </c>
      <c r="AG1714" s="65" t="str">
        <f>IFERROR(__xludf.DUMMYFUNCTION("""COMPUTED_VALUE"""),"NO")</f>
        <v>NO</v>
      </c>
      <c r="AH1714" s="65" t="str">
        <f>IFERROR(__xludf.DUMMYFUNCTION("""COMPUTED_VALUE"""),"16:06")</f>
        <v>16:06</v>
      </c>
      <c r="AI1714" s="65" t="str">
        <f>IFERROR(__xludf.DUMMYFUNCTION("""COMPUTED_VALUE"""),"21-01-2026")</f>
        <v>21-01-2026</v>
      </c>
      <c r="AJ1714" s="65"/>
      <c r="AK1714" s="65"/>
      <c r="AL1714" s="65"/>
      <c r="AM1714" s="65"/>
      <c r="AN1714" s="65" t="str">
        <f>IFERROR(__xludf.DUMMYFUNCTION("""COMPUTED_VALUE"""),"12:38")</f>
        <v>12:38</v>
      </c>
      <c r="AO1714" s="65" t="str">
        <f>IFERROR(__xludf.DUMMYFUNCTION("""COMPUTED_VALUE"""),"23-01-2026")</f>
        <v>23-01-2026</v>
      </c>
      <c r="AP1714" s="65" t="str">
        <f>IFERROR(__xludf.DUMMYFUNCTION("""COMPUTED_VALUE"""),"ENTREGADA GINTRACOM")</f>
        <v>ENTREGADA GINTRACOM</v>
      </c>
      <c r="AQ1714" s="65" t="str">
        <f>IFERROR(__xludf.DUMMYFUNCTION("""COMPUTED_VALUE"""),"ENTREGADA GINTRACOM")</f>
        <v>ENTREGADA GINTRACOM</v>
      </c>
      <c r="AR1714" s="65"/>
      <c r="AS1714" s="65"/>
      <c r="AT1714" s="65" t="str">
        <f>IFERROR(__xludf.DUMMYFUNCTION("""COMPUTED_VALUE"""),"SHOPIFY")</f>
        <v>SHOPIFY</v>
      </c>
      <c r="AU1714" s="65" t="str">
        <f>IFERROR(__xludf.DUMMYFUNCTION("""COMPUTED_VALUE"""),"IMPORTEX EC")</f>
        <v>IMPORTEX EC</v>
      </c>
      <c r="AV1714" s="65" t="str">
        <f>IFERROR(__xludf.DUMMYFUNCTION("""COMPUTED_VALUE"""),"6416170483756")</f>
        <v>6416170483756</v>
      </c>
      <c r="AW1714" s="65">
        <f>IFERROR(__xludf.DUMMYFUNCTION("""COMPUTED_VALUE"""),5231.0)</f>
        <v>5231</v>
      </c>
      <c r="AX1714" s="65"/>
      <c r="AY1714" s="65" t="str">
        <f>IFERROR(__xludf.DUMMYFUNCTION("""COMPUTED_VALUE"""),"17/01/2026")</f>
        <v>17/01/2026</v>
      </c>
      <c r="AZ1714" s="65"/>
      <c r="BA1714" s="65"/>
    </row>
    <row r="1715">
      <c r="A1715" s="65" t="str">
        <f>IFERROR(__xludf.DUMMYFUNCTION("""COMPUTED_VALUE"""),"27-03-2026")</f>
        <v>27-03-2026</v>
      </c>
      <c r="B1715" s="65">
        <f>IFERROR(__xludf.DUMMYFUNCTION("""COMPUTED_VALUE"""),4153426.0)</f>
        <v>4153426</v>
      </c>
      <c r="C1715" s="65" t="str">
        <f>IFERROR(__xludf.DUMMYFUNCTION("""COMPUTED_VALUE"""),"07:08")</f>
        <v>07:08</v>
      </c>
      <c r="D1715" s="65" t="str">
        <f>IFERROR(__xludf.DUMMYFUNCTION("""COMPUTED_VALUE"""),"15-01-2026")</f>
        <v>15-01-2026</v>
      </c>
      <c r="E1715" s="65" t="str">
        <f>IFERROR(__xludf.DUMMYFUNCTION("""COMPUTED_VALUE"""),"Fatima Vera")</f>
        <v>Fatima Vera</v>
      </c>
      <c r="F1715" s="65" t="str">
        <f>IFERROR(__xludf.DUMMYFUNCTION("""COMPUTED_VALUE"""),"994703131")</f>
        <v>994703131</v>
      </c>
      <c r="G1715" s="65" t="str">
        <f>IFERROR(__xludf.DUMMYFUNCTION("""COMPUTED_VALUE"""),"famavera@hotmail.com")</f>
        <v>famavera@hotmail.com</v>
      </c>
      <c r="H1715" s="65"/>
      <c r="I1715" s="65"/>
      <c r="J1715" s="65" t="str">
        <f>IFERROR(__xludf.DUMMYFUNCTION("""COMPUTED_VALUE"""),"D001234356")</f>
        <v>D001234356</v>
      </c>
      <c r="K1715" s="65" t="str">
        <f>IFERROR(__xludf.DUMMYFUNCTION("""COMPUTED_VALUE"""),"ENTREGADO")</f>
        <v>ENTREGADO</v>
      </c>
      <c r="L1715" s="65" t="str">
        <f>IFERROR(__xludf.DUMMYFUNCTION("""COMPUTED_VALUE"""),"CON RECAUDO")</f>
        <v>CON RECAUDO</v>
      </c>
      <c r="M1715" s="65" t="str">
        <f>IFERROR(__xludf.DUMMYFUNCTION("""COMPUTED_VALUE"""),"GUAYAS")</f>
        <v>GUAYAS</v>
      </c>
      <c r="N1715" s="65" t="str">
        <f>IFERROR(__xludf.DUMMYFUNCTION("""COMPUTED_VALUE"""),"GUAYAQUIL")</f>
        <v>GUAYAQUIL</v>
      </c>
      <c r="O1715" s="65" t="str">
        <f>IFERROR(__xludf.DUMMYFUNCTION("""COMPUTED_VALUE"""),"Urb Milán et Ferrara Mz 7 v 8")</f>
        <v>Urb Milán et Ferrara Mz 7 v 8</v>
      </c>
      <c r="P1715" s="65"/>
      <c r="Q1715" s="65" t="str">
        <f>IFERROR(__xludf.DUMMYFUNCTION("""COMPUTED_VALUE"""),"GINTRACOM")</f>
        <v>GINTRACOM</v>
      </c>
      <c r="R1715" s="65">
        <f>IFERROR(__xludf.DUMMYFUNCTION("""COMPUTED_VALUE"""),30.0)</f>
        <v>30</v>
      </c>
      <c r="S1715" s="65">
        <f>IFERROR(__xludf.DUMMYFUNCTION("""COMPUTED_VALUE"""),16.79)</f>
        <v>16.79</v>
      </c>
      <c r="T1715" s="65">
        <f>IFERROR(__xludf.DUMMYFUNCTION("""COMPUTED_VALUE"""),6.16)</f>
        <v>6.16</v>
      </c>
      <c r="U1715" s="65">
        <f>IFERROR(__xludf.DUMMYFUNCTION("""COMPUTED_VALUE"""),0.0)</f>
        <v>0</v>
      </c>
      <c r="V1715" s="65">
        <f>IFERROR(__xludf.DUMMYFUNCTION("""COMPUTED_VALUE"""),0.0)</f>
        <v>0</v>
      </c>
      <c r="W1715" s="65">
        <f>IFERROR(__xludf.DUMMYFUNCTION("""COMPUTED_VALUE"""),0.0)</f>
        <v>0</v>
      </c>
      <c r="X1715" s="65">
        <f>IFERROR(__xludf.DUMMYFUNCTION("""COMPUTED_VALUE"""),2.35)</f>
        <v>2.35</v>
      </c>
      <c r="Y1715" s="65">
        <f>IFERROR(__xludf.DUMMYFUNCTION("""COMPUTED_VALUE"""),7.05)</f>
        <v>7.05</v>
      </c>
      <c r="Z1715" s="65">
        <f>IFERROR(__xludf.DUMMYFUNCTION("""COMPUTED_VALUE"""),116679.0)</f>
        <v>116679</v>
      </c>
      <c r="AA1715" s="65" t="str">
        <f>IFERROR(__xludf.DUMMYFUNCTION("""COMPUTED_VALUE"""),"AMC-2738")</f>
        <v>AMC-2738</v>
      </c>
      <c r="AB1715" s="65"/>
      <c r="AC1715" s="65" t="str">
        <f>IFERROR(__xludf.DUMMYFUNCTION("""COMPUTED_VALUE"""),"ESPONJA ANTILLUVIA DE PARABRISAS")</f>
        <v>ESPONJA ANTILLUVIA DE PARABRISAS</v>
      </c>
      <c r="AD1715" s="65"/>
      <c r="AE1715" s="65">
        <f>IFERROR(__xludf.DUMMYFUNCTION("""COMPUTED_VALUE"""),3.0)</f>
        <v>3</v>
      </c>
      <c r="AF1715" s="65"/>
      <c r="AG1715" s="65"/>
      <c r="AH1715" s="65"/>
      <c r="AI1715" s="65"/>
      <c r="AJ1715" s="65"/>
      <c r="AK1715" s="65"/>
      <c r="AL1715" s="65"/>
      <c r="AM1715" s="65"/>
      <c r="AN1715" s="65" t="str">
        <f>IFERROR(__xludf.DUMMYFUNCTION("""COMPUTED_VALUE"""),"13:29")</f>
        <v>13:29</v>
      </c>
      <c r="AO1715" s="65" t="str">
        <f>IFERROR(__xludf.DUMMYFUNCTION("""COMPUTED_VALUE"""),"21-01-2026")</f>
        <v>21-01-2026</v>
      </c>
      <c r="AP1715" s="65" t="str">
        <f>IFERROR(__xludf.DUMMYFUNCTION("""COMPUTED_VALUE"""),"ENTREGADA GINTRACOM")</f>
        <v>ENTREGADA GINTRACOM</v>
      </c>
      <c r="AQ1715" s="65" t="str">
        <f>IFERROR(__xludf.DUMMYFUNCTION("""COMPUTED_VALUE"""),"ENTREGADA GINTRACOM")</f>
        <v>ENTREGADA GINTRACOM</v>
      </c>
      <c r="AR1715" s="65"/>
      <c r="AS1715" s="65"/>
      <c r="AT1715" s="65" t="str">
        <f>IFERROR(__xludf.DUMMYFUNCTION("""COMPUTED_VALUE"""),"SHOPIFY")</f>
        <v>SHOPIFY</v>
      </c>
      <c r="AU1715" s="65" t="str">
        <f>IFERROR(__xludf.DUMMYFUNCTION("""COMPUTED_VALUE"""),"IMPORTEX EC")</f>
        <v>IMPORTEX EC</v>
      </c>
      <c r="AV1715" s="65" t="str">
        <f>IFERROR(__xludf.DUMMYFUNCTION("""COMPUTED_VALUE"""),"6416125689900")</f>
        <v>6416125689900</v>
      </c>
      <c r="AW1715" s="65">
        <f>IFERROR(__xludf.DUMMYFUNCTION("""COMPUTED_VALUE"""),5230.0)</f>
        <v>5230</v>
      </c>
      <c r="AX1715" s="65"/>
      <c r="AY1715" s="65" t="str">
        <f>IFERROR(__xludf.DUMMYFUNCTION("""COMPUTED_VALUE"""),"17/01/2026")</f>
        <v>17/01/2026</v>
      </c>
      <c r="AZ1715" s="65"/>
      <c r="BA1715" s="65"/>
    </row>
    <row r="1716">
      <c r="A1716" s="65" t="str">
        <f>IFERROR(__xludf.DUMMYFUNCTION("""COMPUTED_VALUE"""),"27-03-2026")</f>
        <v>27-03-2026</v>
      </c>
      <c r="B1716" s="65">
        <f>IFERROR(__xludf.DUMMYFUNCTION("""COMPUTED_VALUE"""),4153253.0)</f>
        <v>4153253</v>
      </c>
      <c r="C1716" s="65" t="str">
        <f>IFERROR(__xludf.DUMMYFUNCTION("""COMPUTED_VALUE"""),"06:52")</f>
        <v>06:52</v>
      </c>
      <c r="D1716" s="65" t="str">
        <f>IFERROR(__xludf.DUMMYFUNCTION("""COMPUTED_VALUE"""),"15-01-2026")</f>
        <v>15-01-2026</v>
      </c>
      <c r="E1716" s="65" t="str">
        <f>IFERROR(__xludf.DUMMYFUNCTION("""COMPUTED_VALUE"""),"MARIELLA VERÓNICA VILLACIS VERA")</f>
        <v>MARIELLA VERÓNICA VILLACIS VERA</v>
      </c>
      <c r="F1716" s="65" t="str">
        <f>IFERROR(__xludf.DUMMYFUNCTION("""COMPUTED_VALUE"""),"993910003")</f>
        <v>993910003</v>
      </c>
      <c r="G1716" s="65" t="str">
        <f>IFERROR(__xludf.DUMMYFUNCTION("""COMPUTED_VALUE"""),"Maryvive78@hotmail.con")</f>
        <v>Maryvive78@hotmail.con</v>
      </c>
      <c r="H1716" s="65"/>
      <c r="I1716" s="65"/>
      <c r="J1716" s="65"/>
      <c r="K1716" s="65" t="str">
        <f>IFERROR(__xludf.DUMMYFUNCTION("""COMPUTED_VALUE"""),"CANCELADO")</f>
        <v>CANCELADO</v>
      </c>
      <c r="L1716" s="65" t="str">
        <f>IFERROR(__xludf.DUMMYFUNCTION("""COMPUTED_VALUE"""),"CON RECAUDO")</f>
        <v>CON RECAUDO</v>
      </c>
      <c r="M1716" s="65" t="str">
        <f>IFERROR(__xludf.DUMMYFUNCTION("""COMPUTED_VALUE"""),"GUAYAS")</f>
        <v>GUAYAS</v>
      </c>
      <c r="N1716" s="65" t="str">
        <f>IFERROR(__xludf.DUMMYFUNCTION("""COMPUTED_VALUE"""),"SIMON BOLIVAR")</f>
        <v>SIMON BOLIVAR</v>
      </c>
      <c r="O1716" s="65" t="str">
        <f>IFERROR(__xludf.DUMMYFUNCTION("""COMPUTED_VALUE"""),"Cuenca y V.Ibarra Cdla 12 de Octubre -")</f>
        <v>Cuenca y V.Ibarra Cdla 12 de Octubre -</v>
      </c>
      <c r="P1716" s="65"/>
      <c r="Q1716" s="65" t="str">
        <f>IFERROR(__xludf.DUMMYFUNCTION("""COMPUTED_VALUE"""),"SERVIENTREGA")</f>
        <v>SERVIENTREGA</v>
      </c>
      <c r="R1716" s="65">
        <f>IFERROR(__xludf.DUMMYFUNCTION("""COMPUTED_VALUE"""),27.0)</f>
        <v>27</v>
      </c>
      <c r="S1716" s="65"/>
      <c r="T1716" s="65">
        <f>IFERROR(__xludf.DUMMYFUNCTION("""COMPUTED_VALUE"""),7.77)</f>
        <v>7.77</v>
      </c>
      <c r="U1716" s="65">
        <f>IFERROR(__xludf.DUMMYFUNCTION("""COMPUTED_VALUE"""),0.0)</f>
        <v>0</v>
      </c>
      <c r="V1716" s="65">
        <f>IFERROR(__xludf.DUMMYFUNCTION("""COMPUTED_VALUE"""),0.0)</f>
        <v>0</v>
      </c>
      <c r="W1716" s="65">
        <f>IFERROR(__xludf.DUMMYFUNCTION("""COMPUTED_VALUE"""),0.0)</f>
        <v>0</v>
      </c>
      <c r="X1716" s="65">
        <f>IFERROR(__xludf.DUMMYFUNCTION("""COMPUTED_VALUE"""),2.6)</f>
        <v>2.6</v>
      </c>
      <c r="Y1716" s="65">
        <f>IFERROR(__xludf.DUMMYFUNCTION("""COMPUTED_VALUE"""),7.8)</f>
        <v>7.8</v>
      </c>
      <c r="Z1716" s="65">
        <f>IFERROR(__xludf.DUMMYFUNCTION("""COMPUTED_VALUE"""),121983.0)</f>
        <v>121983</v>
      </c>
      <c r="AA1716" s="65" t="str">
        <f>IFERROR(__xludf.DUMMYFUNCTION("""COMPUTED_VALUE"""),"PROV-CHLLCF")</f>
        <v>PROV-CHLLCF</v>
      </c>
      <c r="AB1716" s="65"/>
      <c r="AC1716" s="65" t="str">
        <f>IFERROR(__xludf.DUMMYFUNCTION("""COMPUTED_VALUE"""),"CUCHILLO PARA CHEF")</f>
        <v>CUCHILLO PARA CHEF</v>
      </c>
      <c r="AD1716" s="65"/>
      <c r="AE1716" s="65">
        <f>IFERROR(__xludf.DUMMYFUNCTION("""COMPUTED_VALUE"""),3.0)</f>
        <v>3</v>
      </c>
      <c r="AF1716" s="65"/>
      <c r="AG1716" s="65"/>
      <c r="AH1716" s="65"/>
      <c r="AI1716" s="65"/>
      <c r="AJ1716" s="65"/>
      <c r="AK1716" s="65"/>
      <c r="AL1716" s="65"/>
      <c r="AM1716" s="65"/>
      <c r="AN1716" s="65"/>
      <c r="AO1716" s="65"/>
      <c r="AP1716" s="65"/>
      <c r="AQ1716" s="65"/>
      <c r="AR1716" s="65"/>
      <c r="AS1716" s="65"/>
      <c r="AT1716" s="65" t="str">
        <f>IFERROR(__xludf.DUMMYFUNCTION("""COMPUTED_VALUE"""),"SHOPIFY")</f>
        <v>SHOPIFY</v>
      </c>
      <c r="AU1716" s="65" t="str">
        <f>IFERROR(__xludf.DUMMYFUNCTION("""COMPUTED_VALUE"""),"IMPORTEX EC")</f>
        <v>IMPORTEX EC</v>
      </c>
      <c r="AV1716" s="65" t="str">
        <f>IFERROR(__xludf.DUMMYFUNCTION("""COMPUTED_VALUE"""),"6416108290092")</f>
        <v>6416108290092</v>
      </c>
      <c r="AW1716" s="65">
        <f>IFERROR(__xludf.DUMMYFUNCTION("""COMPUTED_VALUE"""),5228.0)</f>
        <v>5228</v>
      </c>
      <c r="AX1716" s="65"/>
      <c r="AY1716" s="65"/>
      <c r="AZ1716" s="65"/>
      <c r="BA1716" s="65"/>
    </row>
    <row r="1717">
      <c r="A1717" s="65" t="str">
        <f>IFERROR(__xludf.DUMMYFUNCTION("""COMPUTED_VALUE"""),"27-03-2026")</f>
        <v>27-03-2026</v>
      </c>
      <c r="B1717" s="65">
        <f>IFERROR(__xludf.DUMMYFUNCTION("""COMPUTED_VALUE"""),4153243.0)</f>
        <v>4153243</v>
      </c>
      <c r="C1717" s="65" t="str">
        <f>IFERROR(__xludf.DUMMYFUNCTION("""COMPUTED_VALUE"""),"06:51")</f>
        <v>06:51</v>
      </c>
      <c r="D1717" s="65" t="str">
        <f>IFERROR(__xludf.DUMMYFUNCTION("""COMPUTED_VALUE"""),"15-01-2026")</f>
        <v>15-01-2026</v>
      </c>
      <c r="E1717" s="65" t="str">
        <f>IFERROR(__xludf.DUMMYFUNCTION("""COMPUTED_VALUE"""),"Jareck Jair Bermudez Pesantez")</f>
        <v>Jareck Jair Bermudez Pesantez</v>
      </c>
      <c r="F1717" s="65" t="str">
        <f>IFERROR(__xludf.DUMMYFUNCTION("""COMPUTED_VALUE"""),"960656813")</f>
        <v>960656813</v>
      </c>
      <c r="G1717" s="65" t="str">
        <f>IFERROR(__xludf.DUMMYFUNCTION("""COMPUTED_VALUE"""),"bermujair@gmail.com")</f>
        <v>bermujair@gmail.com</v>
      </c>
      <c r="H1717" s="65"/>
      <c r="I1717" s="65"/>
      <c r="J1717" s="65" t="str">
        <f>IFERROR(__xludf.DUMMYFUNCTION("""COMPUTED_VALUE"""),"D001234357")</f>
        <v>D001234357</v>
      </c>
      <c r="K1717" s="65" t="str">
        <f>IFERROR(__xludf.DUMMYFUNCTION("""COMPUTED_VALUE"""),"ENTREGADO")</f>
        <v>ENTREGADO</v>
      </c>
      <c r="L1717" s="65" t="str">
        <f>IFERROR(__xludf.DUMMYFUNCTION("""COMPUTED_VALUE"""),"CON RECAUDO")</f>
        <v>CON RECAUDO</v>
      </c>
      <c r="M1717" s="65" t="str">
        <f>IFERROR(__xludf.DUMMYFUNCTION("""COMPUTED_VALUE"""),"GUAYAS")</f>
        <v>GUAYAS</v>
      </c>
      <c r="N1717" s="65" t="str">
        <f>IFERROR(__xludf.DUMMYFUNCTION("""COMPUTED_VALUE"""),"NARANJAL")</f>
        <v>NARANJAL</v>
      </c>
      <c r="O1717" s="65" t="str">
        <f>IFERROR(__xludf.DUMMYFUNCTION("""COMPUTED_VALUE"""),"Calles Eugenio Espejo y Segundo Góngora Cdl. San Felipe -")</f>
        <v>Calles Eugenio Espejo y Segundo Góngora Cdl. San Felipe -</v>
      </c>
      <c r="P1717" s="65"/>
      <c r="Q1717" s="65" t="str">
        <f>IFERROR(__xludf.DUMMYFUNCTION("""COMPUTED_VALUE"""),"GINTRACOM")</f>
        <v>GINTRACOM</v>
      </c>
      <c r="R1717" s="65">
        <f>IFERROR(__xludf.DUMMYFUNCTION("""COMPUTED_VALUE"""),30.0)</f>
        <v>30</v>
      </c>
      <c r="S1717" s="65">
        <f>IFERROR(__xludf.DUMMYFUNCTION("""COMPUTED_VALUE"""),16.79)</f>
        <v>16.79</v>
      </c>
      <c r="T1717" s="65">
        <f>IFERROR(__xludf.DUMMYFUNCTION("""COMPUTED_VALUE"""),6.16)</f>
        <v>6.16</v>
      </c>
      <c r="U1717" s="65">
        <f>IFERROR(__xludf.DUMMYFUNCTION("""COMPUTED_VALUE"""),0.0)</f>
        <v>0</v>
      </c>
      <c r="V1717" s="65">
        <f>IFERROR(__xludf.DUMMYFUNCTION("""COMPUTED_VALUE"""),0.0)</f>
        <v>0</v>
      </c>
      <c r="W1717" s="65">
        <f>IFERROR(__xludf.DUMMYFUNCTION("""COMPUTED_VALUE"""),0.0)</f>
        <v>0</v>
      </c>
      <c r="X1717" s="65">
        <f>IFERROR(__xludf.DUMMYFUNCTION("""COMPUTED_VALUE"""),2.35)</f>
        <v>2.35</v>
      </c>
      <c r="Y1717" s="65">
        <f>IFERROR(__xludf.DUMMYFUNCTION("""COMPUTED_VALUE"""),7.05)</f>
        <v>7.05</v>
      </c>
      <c r="Z1717" s="65">
        <f>IFERROR(__xludf.DUMMYFUNCTION("""COMPUTED_VALUE"""),116679.0)</f>
        <v>116679</v>
      </c>
      <c r="AA1717" s="65" t="str">
        <f>IFERROR(__xludf.DUMMYFUNCTION("""COMPUTED_VALUE"""),"AMC-2738")</f>
        <v>AMC-2738</v>
      </c>
      <c r="AB1717" s="65"/>
      <c r="AC1717" s="65" t="str">
        <f>IFERROR(__xludf.DUMMYFUNCTION("""COMPUTED_VALUE"""),"ESPONJA ANTILLUVIA DE PARABRISAS")</f>
        <v>ESPONJA ANTILLUVIA DE PARABRISAS</v>
      </c>
      <c r="AD1717" s="65"/>
      <c r="AE1717" s="65">
        <f>IFERROR(__xludf.DUMMYFUNCTION("""COMPUTED_VALUE"""),3.0)</f>
        <v>3</v>
      </c>
      <c r="AF1717" s="65"/>
      <c r="AG1717" s="65"/>
      <c r="AH1717" s="65"/>
      <c r="AI1717" s="65"/>
      <c r="AJ1717" s="65"/>
      <c r="AK1717" s="65"/>
      <c r="AL1717" s="65"/>
      <c r="AM1717" s="65"/>
      <c r="AN1717" s="65" t="str">
        <f>IFERROR(__xludf.DUMMYFUNCTION("""COMPUTED_VALUE"""),"14:51")</f>
        <v>14:51</v>
      </c>
      <c r="AO1717" s="65" t="str">
        <f>IFERROR(__xludf.DUMMYFUNCTION("""COMPUTED_VALUE"""),"16-02-2026")</f>
        <v>16-02-2026</v>
      </c>
      <c r="AP1717" s="65" t="str">
        <f>IFERROR(__xludf.DUMMYFUNCTION("""COMPUTED_VALUE"""),"ENTREGADA GINTRACOM")</f>
        <v>ENTREGADA GINTRACOM</v>
      </c>
      <c r="AQ1717" s="65" t="str">
        <f>IFERROR(__xludf.DUMMYFUNCTION("""COMPUTED_VALUE"""),"ENTREGADA GINTRACOM")</f>
        <v>ENTREGADA GINTRACOM</v>
      </c>
      <c r="AR1717" s="65"/>
      <c r="AS1717" s="65"/>
      <c r="AT1717" s="65" t="str">
        <f>IFERROR(__xludf.DUMMYFUNCTION("""COMPUTED_VALUE"""),"SHOPIFY")</f>
        <v>SHOPIFY</v>
      </c>
      <c r="AU1717" s="65" t="str">
        <f>IFERROR(__xludf.DUMMYFUNCTION("""COMPUTED_VALUE"""),"IMPORTEX EC")</f>
        <v>IMPORTEX EC</v>
      </c>
      <c r="AV1717" s="65" t="str">
        <f>IFERROR(__xludf.DUMMYFUNCTION("""COMPUTED_VALUE"""),"6416106291244")</f>
        <v>6416106291244</v>
      </c>
      <c r="AW1717" s="65">
        <f>IFERROR(__xludf.DUMMYFUNCTION("""COMPUTED_VALUE"""),5227.0)</f>
        <v>5227</v>
      </c>
      <c r="AX1717" s="65"/>
      <c r="AY1717" s="65" t="str">
        <f>IFERROR(__xludf.DUMMYFUNCTION("""COMPUTED_VALUE"""),"17/01/2026")</f>
        <v>17/01/2026</v>
      </c>
      <c r="AZ1717" s="65"/>
      <c r="BA1717" s="65"/>
    </row>
    <row r="1718">
      <c r="A1718" s="65" t="str">
        <f>IFERROR(__xludf.DUMMYFUNCTION("""COMPUTED_VALUE"""),"27-03-2026")</f>
        <v>27-03-2026</v>
      </c>
      <c r="B1718" s="65">
        <f>IFERROR(__xludf.DUMMYFUNCTION("""COMPUTED_VALUE"""),4153156.0)</f>
        <v>4153156</v>
      </c>
      <c r="C1718" s="65" t="str">
        <f>IFERROR(__xludf.DUMMYFUNCTION("""COMPUTED_VALUE"""),"06:38")</f>
        <v>06:38</v>
      </c>
      <c r="D1718" s="65" t="str">
        <f>IFERROR(__xludf.DUMMYFUNCTION("""COMPUTED_VALUE"""),"15-01-2026")</f>
        <v>15-01-2026</v>
      </c>
      <c r="E1718" s="65" t="str">
        <f>IFERROR(__xludf.DUMMYFUNCTION("""COMPUTED_VALUE"""),"Pedro Edison Hurtado")</f>
        <v>Pedro Edison Hurtado</v>
      </c>
      <c r="F1718" s="65" t="str">
        <f>IFERROR(__xludf.DUMMYFUNCTION("""COMPUTED_VALUE"""),"999538505")</f>
        <v>999538505</v>
      </c>
      <c r="G1718" s="65" t="str">
        <f>IFERROR(__xludf.DUMMYFUNCTION("""COMPUTED_VALUE"""),"phurtadoherrera@gmail.com")</f>
        <v>phurtadoherrera@gmail.com</v>
      </c>
      <c r="H1718" s="65"/>
      <c r="I1718" s="65"/>
      <c r="J1718" s="65" t="str">
        <f>IFERROR(__xludf.DUMMYFUNCTION("""COMPUTED_VALUE"""),"D001234358")</f>
        <v>D001234358</v>
      </c>
      <c r="K1718" s="65" t="str">
        <f>IFERROR(__xludf.DUMMYFUNCTION("""COMPUTED_VALUE"""),"ENTREGADO")</f>
        <v>ENTREGADO</v>
      </c>
      <c r="L1718" s="65" t="str">
        <f>IFERROR(__xludf.DUMMYFUNCTION("""COMPUTED_VALUE"""),"CON RECAUDO")</f>
        <v>CON RECAUDO</v>
      </c>
      <c r="M1718" s="65" t="str">
        <f>IFERROR(__xludf.DUMMYFUNCTION("""COMPUTED_VALUE"""),"LOJA")</f>
        <v>LOJA</v>
      </c>
      <c r="N1718" s="65" t="str">
        <f>IFERROR(__xludf.DUMMYFUNCTION("""COMPUTED_VALUE"""),"LOJA")</f>
        <v>LOJA</v>
      </c>
      <c r="O1718" s="65" t="str">
        <f>IFERROR(__xludf.DUMMYFUNCTION("""COMPUTED_VALUE"""),"Gonzáles Suárez y olmedo Parque infantil - Casa esquinera tomate de dos pisos frente al retén policial número de casa 1212")</f>
        <v>Gonzáles Suárez y olmedo Parque infantil - Casa esquinera tomate de dos pisos frente al retén policial número de casa 1212</v>
      </c>
      <c r="P1718" s="65"/>
      <c r="Q1718" s="65" t="str">
        <f>IFERROR(__xludf.DUMMYFUNCTION("""COMPUTED_VALUE"""),"GINTRACOM")</f>
        <v>GINTRACOM</v>
      </c>
      <c r="R1718" s="65">
        <f>IFERROR(__xludf.DUMMYFUNCTION("""COMPUTED_VALUE"""),20.0)</f>
        <v>20</v>
      </c>
      <c r="S1718" s="65">
        <f>IFERROR(__xludf.DUMMYFUNCTION("""COMPUTED_VALUE"""),11.89)</f>
        <v>11.89</v>
      </c>
      <c r="T1718" s="65">
        <f>IFERROR(__xludf.DUMMYFUNCTION("""COMPUTED_VALUE"""),5.76)</f>
        <v>5.76</v>
      </c>
      <c r="U1718" s="65">
        <f>IFERROR(__xludf.DUMMYFUNCTION("""COMPUTED_VALUE"""),0.0)</f>
        <v>0</v>
      </c>
      <c r="V1718" s="65">
        <f>IFERROR(__xludf.DUMMYFUNCTION("""COMPUTED_VALUE"""),0.0)</f>
        <v>0</v>
      </c>
      <c r="W1718" s="65">
        <f>IFERROR(__xludf.DUMMYFUNCTION("""COMPUTED_VALUE"""),0.0)</f>
        <v>0</v>
      </c>
      <c r="X1718" s="65">
        <f>IFERROR(__xludf.DUMMYFUNCTION("""COMPUTED_VALUE"""),2.35)</f>
        <v>2.35</v>
      </c>
      <c r="Y1718" s="65">
        <f>IFERROR(__xludf.DUMMYFUNCTION("""COMPUTED_VALUE"""),2.35)</f>
        <v>2.35</v>
      </c>
      <c r="Z1718" s="65">
        <f>IFERROR(__xludf.DUMMYFUNCTION("""COMPUTED_VALUE"""),116679.0)</f>
        <v>116679</v>
      </c>
      <c r="AA1718" s="65" t="str">
        <f>IFERROR(__xludf.DUMMYFUNCTION("""COMPUTED_VALUE"""),"AMC-2738")</f>
        <v>AMC-2738</v>
      </c>
      <c r="AB1718" s="65"/>
      <c r="AC1718" s="65" t="str">
        <f>IFERROR(__xludf.DUMMYFUNCTION("""COMPUTED_VALUE"""),"ESPONJA ANTILLUVIA DE PARABRISAS")</f>
        <v>ESPONJA ANTILLUVIA DE PARABRISAS</v>
      </c>
      <c r="AD1718" s="65"/>
      <c r="AE1718" s="65">
        <f>IFERROR(__xludf.DUMMYFUNCTION("""COMPUTED_VALUE"""),1.0)</f>
        <v>1</v>
      </c>
      <c r="AF1718" s="65"/>
      <c r="AG1718" s="65"/>
      <c r="AH1718" s="65"/>
      <c r="AI1718" s="65"/>
      <c r="AJ1718" s="65"/>
      <c r="AK1718" s="65"/>
      <c r="AL1718" s="65"/>
      <c r="AM1718" s="65"/>
      <c r="AN1718" s="65" t="str">
        <f>IFERROR(__xludf.DUMMYFUNCTION("""COMPUTED_VALUE"""),"11:54")</f>
        <v>11:54</v>
      </c>
      <c r="AO1718" s="65" t="str">
        <f>IFERROR(__xludf.DUMMYFUNCTION("""COMPUTED_VALUE"""),"22-01-2026")</f>
        <v>22-01-2026</v>
      </c>
      <c r="AP1718" s="65" t="str">
        <f>IFERROR(__xludf.DUMMYFUNCTION("""COMPUTED_VALUE"""),"ENTREGADA GINTRACOM")</f>
        <v>ENTREGADA GINTRACOM</v>
      </c>
      <c r="AQ1718" s="65" t="str">
        <f>IFERROR(__xludf.DUMMYFUNCTION("""COMPUTED_VALUE"""),"ENTREGADA GINTRACOM")</f>
        <v>ENTREGADA GINTRACOM</v>
      </c>
      <c r="AR1718" s="65"/>
      <c r="AS1718" s="65"/>
      <c r="AT1718" s="65" t="str">
        <f>IFERROR(__xludf.DUMMYFUNCTION("""COMPUTED_VALUE"""),"SHOPIFY")</f>
        <v>SHOPIFY</v>
      </c>
      <c r="AU1718" s="65" t="str">
        <f>IFERROR(__xludf.DUMMYFUNCTION("""COMPUTED_VALUE"""),"IMPORTEX EC")</f>
        <v>IMPORTEX EC</v>
      </c>
      <c r="AV1718" s="65" t="str">
        <f>IFERROR(__xludf.DUMMYFUNCTION("""COMPUTED_VALUE"""),"6416091676716")</f>
        <v>6416091676716</v>
      </c>
      <c r="AW1718" s="65">
        <f>IFERROR(__xludf.DUMMYFUNCTION("""COMPUTED_VALUE"""),5226.0)</f>
        <v>5226</v>
      </c>
      <c r="AX1718" s="65"/>
      <c r="AY1718" s="65" t="str">
        <f>IFERROR(__xludf.DUMMYFUNCTION("""COMPUTED_VALUE"""),"17/01/2026")</f>
        <v>17/01/2026</v>
      </c>
      <c r="AZ1718" s="65"/>
      <c r="BA1718" s="65"/>
    </row>
    <row r="1719">
      <c r="A1719" s="65" t="str">
        <f>IFERROR(__xludf.DUMMYFUNCTION("""COMPUTED_VALUE"""),"27-03-2026")</f>
        <v>27-03-2026</v>
      </c>
      <c r="B1719" s="65">
        <f>IFERROR(__xludf.DUMMYFUNCTION("""COMPUTED_VALUE"""),4153118.0)</f>
        <v>4153118</v>
      </c>
      <c r="C1719" s="65" t="str">
        <f>IFERROR(__xludf.DUMMYFUNCTION("""COMPUTED_VALUE"""),"06:32")</f>
        <v>06:32</v>
      </c>
      <c r="D1719" s="65" t="str">
        <f>IFERROR(__xludf.DUMMYFUNCTION("""COMPUTED_VALUE"""),"15-01-2026")</f>
        <v>15-01-2026</v>
      </c>
      <c r="E1719" s="65" t="str">
        <f>IFERROR(__xludf.DUMMYFUNCTION("""COMPUTED_VALUE"""),"Rafael Lozano")</f>
        <v>Rafael Lozano</v>
      </c>
      <c r="F1719" s="65" t="str">
        <f>IFERROR(__xludf.DUMMYFUNCTION("""COMPUTED_VALUE"""),"981599777")</f>
        <v>981599777</v>
      </c>
      <c r="G1719" s="65" t="str">
        <f>IFERROR(__xludf.DUMMYFUNCTION("""COMPUTED_VALUE"""),"rafaelvera19831983@gmail.com")</f>
        <v>rafaelvera19831983@gmail.com</v>
      </c>
      <c r="H1719" s="65"/>
      <c r="I1719" s="65"/>
      <c r="J1719" s="65" t="str">
        <f>IFERROR(__xludf.DUMMYFUNCTION("""COMPUTED_VALUE"""),"D001234359")</f>
        <v>D001234359</v>
      </c>
      <c r="K1719" s="65" t="str">
        <f>IFERROR(__xludf.DUMMYFUNCTION("""COMPUTED_VALUE"""),"ENTREGADO")</f>
        <v>ENTREGADO</v>
      </c>
      <c r="L1719" s="65" t="str">
        <f>IFERROR(__xludf.DUMMYFUNCTION("""COMPUTED_VALUE"""),"CON RECAUDO")</f>
        <v>CON RECAUDO</v>
      </c>
      <c r="M1719" s="65" t="str">
        <f>IFERROR(__xludf.DUMMYFUNCTION("""COMPUTED_VALUE"""),"GUAYAS")</f>
        <v>GUAYAS</v>
      </c>
      <c r="N1719" s="65" t="str">
        <f>IFERROR(__xludf.DUMMYFUNCTION("""COMPUTED_VALUE"""),"GUAYAQUIL")</f>
        <v>GUAYAQUIL</v>
      </c>
      <c r="O1719" s="65" t="str">
        <f>IFERROR(__xludf.DUMMYFUNCTION("""COMPUTED_VALUE"""),"Calle principal av perimetral - En el mall del fortín")</f>
        <v>Calle principal av perimetral - En el mall del fortín</v>
      </c>
      <c r="P1719" s="65"/>
      <c r="Q1719" s="65" t="str">
        <f>IFERROR(__xludf.DUMMYFUNCTION("""COMPUTED_VALUE"""),"GINTRACOM")</f>
        <v>GINTRACOM</v>
      </c>
      <c r="R1719" s="65">
        <f>IFERROR(__xludf.DUMMYFUNCTION("""COMPUTED_VALUE"""),25.0)</f>
        <v>25</v>
      </c>
      <c r="S1719" s="65">
        <f>IFERROR(__xludf.DUMMYFUNCTION("""COMPUTED_VALUE"""),14.34)</f>
        <v>14.34</v>
      </c>
      <c r="T1719" s="65">
        <f>IFERROR(__xludf.DUMMYFUNCTION("""COMPUTED_VALUE"""),5.96)</f>
        <v>5.96</v>
      </c>
      <c r="U1719" s="65">
        <f>IFERROR(__xludf.DUMMYFUNCTION("""COMPUTED_VALUE"""),0.0)</f>
        <v>0</v>
      </c>
      <c r="V1719" s="65">
        <f>IFERROR(__xludf.DUMMYFUNCTION("""COMPUTED_VALUE"""),0.0)</f>
        <v>0</v>
      </c>
      <c r="W1719" s="65">
        <f>IFERROR(__xludf.DUMMYFUNCTION("""COMPUTED_VALUE"""),0.0)</f>
        <v>0</v>
      </c>
      <c r="X1719" s="65">
        <f>IFERROR(__xludf.DUMMYFUNCTION("""COMPUTED_VALUE"""),2.35)</f>
        <v>2.35</v>
      </c>
      <c r="Y1719" s="65">
        <f>IFERROR(__xludf.DUMMYFUNCTION("""COMPUTED_VALUE"""),4.7)</f>
        <v>4.7</v>
      </c>
      <c r="Z1719" s="65">
        <f>IFERROR(__xludf.DUMMYFUNCTION("""COMPUTED_VALUE"""),116679.0)</f>
        <v>116679</v>
      </c>
      <c r="AA1719" s="65" t="str">
        <f>IFERROR(__xludf.DUMMYFUNCTION("""COMPUTED_VALUE"""),"AMC-2738")</f>
        <v>AMC-2738</v>
      </c>
      <c r="AB1719" s="65"/>
      <c r="AC1719" s="65" t="str">
        <f>IFERROR(__xludf.DUMMYFUNCTION("""COMPUTED_VALUE"""),"ESPONJA ANTILLUVIA DE PARABRISAS")</f>
        <v>ESPONJA ANTILLUVIA DE PARABRISAS</v>
      </c>
      <c r="AD1719" s="65"/>
      <c r="AE1719" s="65">
        <f>IFERROR(__xludf.DUMMYFUNCTION("""COMPUTED_VALUE"""),2.0)</f>
        <v>2</v>
      </c>
      <c r="AF1719" s="65"/>
      <c r="AG1719" s="65"/>
      <c r="AH1719" s="65"/>
      <c r="AI1719" s="65"/>
      <c r="AJ1719" s="65"/>
      <c r="AK1719" s="65"/>
      <c r="AL1719" s="65"/>
      <c r="AM1719" s="65"/>
      <c r="AN1719" s="65" t="str">
        <f>IFERROR(__xludf.DUMMYFUNCTION("""COMPUTED_VALUE"""),"14:55")</f>
        <v>14:55</v>
      </c>
      <c r="AO1719" s="65" t="str">
        <f>IFERROR(__xludf.DUMMYFUNCTION("""COMPUTED_VALUE"""),"16-02-2026")</f>
        <v>16-02-2026</v>
      </c>
      <c r="AP1719" s="65" t="str">
        <f>IFERROR(__xludf.DUMMYFUNCTION("""COMPUTED_VALUE"""),"ENTREGADA GINTRACOM")</f>
        <v>ENTREGADA GINTRACOM</v>
      </c>
      <c r="AQ1719" s="65" t="str">
        <f>IFERROR(__xludf.DUMMYFUNCTION("""COMPUTED_VALUE"""),"ENTREGADA GINTRACOM")</f>
        <v>ENTREGADA GINTRACOM</v>
      </c>
      <c r="AR1719" s="65"/>
      <c r="AS1719" s="65"/>
      <c r="AT1719" s="65" t="str">
        <f>IFERROR(__xludf.DUMMYFUNCTION("""COMPUTED_VALUE"""),"SHOPIFY")</f>
        <v>SHOPIFY</v>
      </c>
      <c r="AU1719" s="65" t="str">
        <f>IFERROR(__xludf.DUMMYFUNCTION("""COMPUTED_VALUE"""),"IMPORTEX EC")</f>
        <v>IMPORTEX EC</v>
      </c>
      <c r="AV1719" s="65" t="str">
        <f>IFERROR(__xludf.DUMMYFUNCTION("""COMPUTED_VALUE"""),"6416086728748")</f>
        <v>6416086728748</v>
      </c>
      <c r="AW1719" s="65">
        <f>IFERROR(__xludf.DUMMYFUNCTION("""COMPUTED_VALUE"""),5225.0)</f>
        <v>5225</v>
      </c>
      <c r="AX1719" s="65"/>
      <c r="AY1719" s="65" t="str">
        <f>IFERROR(__xludf.DUMMYFUNCTION("""COMPUTED_VALUE"""),"17/01/2026")</f>
        <v>17/01/2026</v>
      </c>
      <c r="AZ1719" s="65"/>
      <c r="BA1719" s="65"/>
    </row>
    <row r="1720">
      <c r="A1720" s="65" t="str">
        <f>IFERROR(__xludf.DUMMYFUNCTION("""COMPUTED_VALUE"""),"27-03-2026")</f>
        <v>27-03-2026</v>
      </c>
      <c r="B1720" s="65">
        <f>IFERROR(__xludf.DUMMYFUNCTION("""COMPUTED_VALUE"""),4153028.0)</f>
        <v>4153028</v>
      </c>
      <c r="C1720" s="65" t="str">
        <f>IFERROR(__xludf.DUMMYFUNCTION("""COMPUTED_VALUE"""),"06:15")</f>
        <v>06:15</v>
      </c>
      <c r="D1720" s="65" t="str">
        <f>IFERROR(__xludf.DUMMYFUNCTION("""COMPUTED_VALUE"""),"15-01-2026")</f>
        <v>15-01-2026</v>
      </c>
      <c r="E1720" s="65" t="str">
        <f>IFERROR(__xludf.DUMMYFUNCTION("""COMPUTED_VALUE"""),"Sergio Mendoza")</f>
        <v>Sergio Mendoza</v>
      </c>
      <c r="F1720" s="65" t="str">
        <f>IFERROR(__xludf.DUMMYFUNCTION("""COMPUTED_VALUE"""),"997013516")</f>
        <v>997013516</v>
      </c>
      <c r="G1720" s="65" t="str">
        <f>IFERROR(__xludf.DUMMYFUNCTION("""COMPUTED_VALUE"""),"sergiomendozagaibor2612@gmail.com")</f>
        <v>sergiomendozagaibor2612@gmail.com</v>
      </c>
      <c r="H1720" s="65"/>
      <c r="I1720" s="65"/>
      <c r="J1720" s="65"/>
      <c r="K1720" s="65" t="str">
        <f>IFERROR(__xludf.DUMMYFUNCTION("""COMPUTED_VALUE"""),"CANCELADO")</f>
        <v>CANCELADO</v>
      </c>
      <c r="L1720" s="65" t="str">
        <f>IFERROR(__xludf.DUMMYFUNCTION("""COMPUTED_VALUE"""),"CON RECAUDO")</f>
        <v>CON RECAUDO</v>
      </c>
      <c r="M1720" s="65" t="str">
        <f>IFERROR(__xludf.DUMMYFUNCTION("""COMPUTED_VALUE"""),"ESMERALDAS")</f>
        <v>ESMERALDAS</v>
      </c>
      <c r="N1720" s="65" t="str">
        <f>IFERROR(__xludf.DUMMYFUNCTION("""COMPUTED_VALUE"""),"LA UNION (QUININDE)")</f>
        <v>LA UNION (QUININDE)</v>
      </c>
      <c r="O1720" s="65" t="str">
        <f>IFERROR(__xludf.DUMMYFUNCTION("""COMPUTED_VALUE"""),"Calle Principal frente a la parada de buses La Unión oficina de Servientrega -")</f>
        <v>Calle Principal frente a la parada de buses La Unión oficina de Servientrega -</v>
      </c>
      <c r="P1720" s="65"/>
      <c r="Q1720" s="65" t="str">
        <f>IFERROR(__xludf.DUMMYFUNCTION("""COMPUTED_VALUE"""),"SERVIENTREGA")</f>
        <v>SERVIENTREGA</v>
      </c>
      <c r="R1720" s="65">
        <f>IFERROR(__xludf.DUMMYFUNCTION("""COMPUTED_VALUE"""),32.0)</f>
        <v>32</v>
      </c>
      <c r="S1720" s="65"/>
      <c r="T1720" s="65">
        <f>IFERROR(__xludf.DUMMYFUNCTION("""COMPUTED_VALUE"""),7.85)</f>
        <v>7.85</v>
      </c>
      <c r="U1720" s="65">
        <f>IFERROR(__xludf.DUMMYFUNCTION("""COMPUTED_VALUE"""),0.0)</f>
        <v>0</v>
      </c>
      <c r="V1720" s="65">
        <f>IFERROR(__xludf.DUMMYFUNCTION("""COMPUTED_VALUE"""),0.0)</f>
        <v>0</v>
      </c>
      <c r="W1720" s="65">
        <f>IFERROR(__xludf.DUMMYFUNCTION("""COMPUTED_VALUE"""),0.0)</f>
        <v>0</v>
      </c>
      <c r="X1720" s="65">
        <f>IFERROR(__xludf.DUMMYFUNCTION("""COMPUTED_VALUE"""),2.6)</f>
        <v>2.6</v>
      </c>
      <c r="Y1720" s="65">
        <f>IFERROR(__xludf.DUMMYFUNCTION("""COMPUTED_VALUE"""),10.4)</f>
        <v>10.4</v>
      </c>
      <c r="Z1720" s="65">
        <f>IFERROR(__xludf.DUMMYFUNCTION("""COMPUTED_VALUE"""),121983.0)</f>
        <v>121983</v>
      </c>
      <c r="AA1720" s="65" t="str">
        <f>IFERROR(__xludf.DUMMYFUNCTION("""COMPUTED_VALUE"""),"PROV-CHLLCF")</f>
        <v>PROV-CHLLCF</v>
      </c>
      <c r="AB1720" s="65"/>
      <c r="AC1720" s="65" t="str">
        <f>IFERROR(__xludf.DUMMYFUNCTION("""COMPUTED_VALUE"""),"CUCHILLO PARA CHEF")</f>
        <v>CUCHILLO PARA CHEF</v>
      </c>
      <c r="AD1720" s="65"/>
      <c r="AE1720" s="65">
        <f>IFERROR(__xludf.DUMMYFUNCTION("""COMPUTED_VALUE"""),4.0)</f>
        <v>4</v>
      </c>
      <c r="AF1720" s="65"/>
      <c r="AG1720" s="65"/>
      <c r="AH1720" s="65"/>
      <c r="AI1720" s="65"/>
      <c r="AJ1720" s="65"/>
      <c r="AK1720" s="65"/>
      <c r="AL1720" s="65"/>
      <c r="AM1720" s="65"/>
      <c r="AN1720" s="65"/>
      <c r="AO1720" s="65"/>
      <c r="AP1720" s="65"/>
      <c r="AQ1720" s="65"/>
      <c r="AR1720" s="65"/>
      <c r="AS1720" s="65"/>
      <c r="AT1720" s="65" t="str">
        <f>IFERROR(__xludf.DUMMYFUNCTION("""COMPUTED_VALUE"""),"SHOPIFY")</f>
        <v>SHOPIFY</v>
      </c>
      <c r="AU1720" s="65" t="str">
        <f>IFERROR(__xludf.DUMMYFUNCTION("""COMPUTED_VALUE"""),"IMPORTEX EC")</f>
        <v>IMPORTEX EC</v>
      </c>
      <c r="AV1720" s="65" t="str">
        <f>IFERROR(__xludf.DUMMYFUNCTION("""COMPUTED_VALUE"""),"6416072441900")</f>
        <v>6416072441900</v>
      </c>
      <c r="AW1720" s="65">
        <f>IFERROR(__xludf.DUMMYFUNCTION("""COMPUTED_VALUE"""),5224.0)</f>
        <v>5224</v>
      </c>
      <c r="AX1720" s="65"/>
      <c r="AY1720" s="65"/>
      <c r="AZ1720" s="65"/>
      <c r="BA1720" s="65"/>
    </row>
    <row r="1721">
      <c r="A1721" s="65" t="str">
        <f>IFERROR(__xludf.DUMMYFUNCTION("""COMPUTED_VALUE"""),"27-03-2026")</f>
        <v>27-03-2026</v>
      </c>
      <c r="B1721" s="65">
        <f>IFERROR(__xludf.DUMMYFUNCTION("""COMPUTED_VALUE"""),4152963.0)</f>
        <v>4152963</v>
      </c>
      <c r="C1721" s="65" t="str">
        <f>IFERROR(__xludf.DUMMYFUNCTION("""COMPUTED_VALUE"""),"06:00")</f>
        <v>06:00</v>
      </c>
      <c r="D1721" s="65" t="str">
        <f>IFERROR(__xludf.DUMMYFUNCTION("""COMPUTED_VALUE"""),"15-01-2026")</f>
        <v>15-01-2026</v>
      </c>
      <c r="E1721" s="65" t="str">
        <f>IFERROR(__xludf.DUMMYFUNCTION("""COMPUTED_VALUE"""),"Cristian Camacho")</f>
        <v>Cristian Camacho</v>
      </c>
      <c r="F1721" s="65" t="str">
        <f>IFERROR(__xludf.DUMMYFUNCTION("""COMPUTED_VALUE"""),"993781796")</f>
        <v>993781796</v>
      </c>
      <c r="G1721" s="65" t="str">
        <f>IFERROR(__xludf.DUMMYFUNCTION("""COMPUTED_VALUE"""),"camachito.tapia@gmail.com")</f>
        <v>camachito.tapia@gmail.com</v>
      </c>
      <c r="H1721" s="65"/>
      <c r="I1721" s="65"/>
      <c r="J1721" s="65"/>
      <c r="K1721" s="65" t="str">
        <f>IFERROR(__xludf.DUMMYFUNCTION("""COMPUTED_VALUE"""),"CANCELADO")</f>
        <v>CANCELADO</v>
      </c>
      <c r="L1721" s="65" t="str">
        <f>IFERROR(__xludf.DUMMYFUNCTION("""COMPUTED_VALUE"""),"CON RECAUDO")</f>
        <v>CON RECAUDO</v>
      </c>
      <c r="M1721" s="65" t="str">
        <f>IFERROR(__xludf.DUMMYFUNCTION("""COMPUTED_VALUE"""),"GUAYAS")</f>
        <v>GUAYAS</v>
      </c>
      <c r="N1721" s="65" t="str">
        <f>IFERROR(__xludf.DUMMYFUNCTION("""COMPUTED_VALUE"""),"GUAYAQUIL")</f>
        <v>GUAYAQUIL</v>
      </c>
      <c r="O1721" s="65" t="str">
        <f>IFERROR(__xludf.DUMMYFUNCTION("""COMPUTED_VALUE"""),"Plaza Garzota junto a Supermaxi local Servientrega Cdla la Garzota -")</f>
        <v>Plaza Garzota junto a Supermaxi local Servientrega Cdla la Garzota -</v>
      </c>
      <c r="P1721" s="65"/>
      <c r="Q1721" s="65" t="str">
        <f>IFERROR(__xludf.DUMMYFUNCTION("""COMPUTED_VALUE"""),"GINTRACOM")</f>
        <v>GINTRACOM</v>
      </c>
      <c r="R1721" s="65">
        <f>IFERROR(__xludf.DUMMYFUNCTION("""COMPUTED_VALUE"""),30.0)</f>
        <v>30</v>
      </c>
      <c r="S1721" s="65"/>
      <c r="T1721" s="65">
        <f>IFERROR(__xludf.DUMMYFUNCTION("""COMPUTED_VALUE"""),6.16)</f>
        <v>6.16</v>
      </c>
      <c r="U1721" s="65">
        <f>IFERROR(__xludf.DUMMYFUNCTION("""COMPUTED_VALUE"""),0.0)</f>
        <v>0</v>
      </c>
      <c r="V1721" s="65">
        <f>IFERROR(__xludf.DUMMYFUNCTION("""COMPUTED_VALUE"""),0.0)</f>
        <v>0</v>
      </c>
      <c r="W1721" s="65">
        <f>IFERROR(__xludf.DUMMYFUNCTION("""COMPUTED_VALUE"""),0.0)</f>
        <v>0</v>
      </c>
      <c r="X1721" s="65">
        <f>IFERROR(__xludf.DUMMYFUNCTION("""COMPUTED_VALUE"""),2.35)</f>
        <v>2.35</v>
      </c>
      <c r="Y1721" s="65">
        <f>IFERROR(__xludf.DUMMYFUNCTION("""COMPUTED_VALUE"""),7.05)</f>
        <v>7.05</v>
      </c>
      <c r="Z1721" s="65">
        <f>IFERROR(__xludf.DUMMYFUNCTION("""COMPUTED_VALUE"""),116679.0)</f>
        <v>116679</v>
      </c>
      <c r="AA1721" s="65" t="str">
        <f>IFERROR(__xludf.DUMMYFUNCTION("""COMPUTED_VALUE"""),"AMC-2738")</f>
        <v>AMC-2738</v>
      </c>
      <c r="AB1721" s="65"/>
      <c r="AC1721" s="65" t="str">
        <f>IFERROR(__xludf.DUMMYFUNCTION("""COMPUTED_VALUE"""),"ESPONJA ANTILLUVIA DE PARABRISAS")</f>
        <v>ESPONJA ANTILLUVIA DE PARABRISAS</v>
      </c>
      <c r="AD1721" s="65"/>
      <c r="AE1721" s="65">
        <f>IFERROR(__xludf.DUMMYFUNCTION("""COMPUTED_VALUE"""),3.0)</f>
        <v>3</v>
      </c>
      <c r="AF1721" s="65"/>
      <c r="AG1721" s="65"/>
      <c r="AH1721" s="65"/>
      <c r="AI1721" s="65"/>
      <c r="AJ1721" s="65"/>
      <c r="AK1721" s="65"/>
      <c r="AL1721" s="65"/>
      <c r="AM1721" s="65"/>
      <c r="AN1721" s="65"/>
      <c r="AO1721" s="65"/>
      <c r="AP1721" s="65"/>
      <c r="AQ1721" s="65"/>
      <c r="AR1721" s="65"/>
      <c r="AS1721" s="65"/>
      <c r="AT1721" s="65" t="str">
        <f>IFERROR(__xludf.DUMMYFUNCTION("""COMPUTED_VALUE"""),"SHOPIFY")</f>
        <v>SHOPIFY</v>
      </c>
      <c r="AU1721" s="65" t="str">
        <f>IFERROR(__xludf.DUMMYFUNCTION("""COMPUTED_VALUE"""),"IMPORTEX EC")</f>
        <v>IMPORTEX EC</v>
      </c>
      <c r="AV1721" s="65" t="str">
        <f>IFERROR(__xludf.DUMMYFUNCTION("""COMPUTED_VALUE"""),"6416060317740")</f>
        <v>6416060317740</v>
      </c>
      <c r="AW1721" s="65">
        <f>IFERROR(__xludf.DUMMYFUNCTION("""COMPUTED_VALUE"""),5223.0)</f>
        <v>5223</v>
      </c>
      <c r="AX1721" s="65"/>
      <c r="AY1721" s="65"/>
      <c r="AZ1721" s="65"/>
      <c r="BA1721" s="65"/>
    </row>
    <row r="1722">
      <c r="A1722" s="65" t="str">
        <f>IFERROR(__xludf.DUMMYFUNCTION("""COMPUTED_VALUE"""),"27-03-2026")</f>
        <v>27-03-2026</v>
      </c>
      <c r="B1722" s="65">
        <f>IFERROR(__xludf.DUMMYFUNCTION("""COMPUTED_VALUE"""),4152907.0)</f>
        <v>4152907</v>
      </c>
      <c r="C1722" s="65" t="str">
        <f>IFERROR(__xludf.DUMMYFUNCTION("""COMPUTED_VALUE"""),"05:47")</f>
        <v>05:47</v>
      </c>
      <c r="D1722" s="65" t="str">
        <f>IFERROR(__xludf.DUMMYFUNCTION("""COMPUTED_VALUE"""),"15-01-2026")</f>
        <v>15-01-2026</v>
      </c>
      <c r="E1722" s="65" t="str">
        <f>IFERROR(__xludf.DUMMYFUNCTION("""COMPUTED_VALUE"""),"DARIO SALDAÑA")</f>
        <v>DARIO SALDAÑA</v>
      </c>
      <c r="F1722" s="65" t="str">
        <f>IFERROR(__xludf.DUMMYFUNCTION("""COMPUTED_VALUE"""),"985457645")</f>
        <v>985457645</v>
      </c>
      <c r="G1722" s="65" t="str">
        <f>IFERROR(__xludf.DUMMYFUNCTION("""COMPUTED_VALUE"""),"steofilodario@yahoo.com")</f>
        <v>steofilodario@yahoo.com</v>
      </c>
      <c r="H1722" s="65"/>
      <c r="I1722" s="65"/>
      <c r="J1722" s="65" t="str">
        <f>IFERROR(__xludf.DUMMYFUNCTION("""COMPUTED_VALUE"""),"D001233730")</f>
        <v>D001233730</v>
      </c>
      <c r="K1722" s="65" t="str">
        <f>IFERROR(__xludf.DUMMYFUNCTION("""COMPUTED_VALUE"""),"DEVOLUCION")</f>
        <v>DEVOLUCION</v>
      </c>
      <c r="L1722" s="65" t="str">
        <f>IFERROR(__xludf.DUMMYFUNCTION("""COMPUTED_VALUE"""),"CON RECAUDO")</f>
        <v>CON RECAUDO</v>
      </c>
      <c r="M1722" s="65" t="str">
        <f>IFERROR(__xludf.DUMMYFUNCTION("""COMPUTED_VALUE"""),"EL ORO")</f>
        <v>EL ORO</v>
      </c>
      <c r="N1722" s="65" t="str">
        <f>IFERROR(__xludf.DUMMYFUNCTION("""COMPUTED_VALUE"""),"MACHALA")</f>
        <v>MACHALA</v>
      </c>
      <c r="O1722" s="65" t="str">
        <f>IFERROR(__xludf.DUMMYFUNCTION("""COMPUTED_VALUE"""),"VOLLA AZUL CON BLANCO 2211")</f>
        <v>VOLLA AZUL CON BLANCO 2211</v>
      </c>
      <c r="P1722" s="65"/>
      <c r="Q1722" s="65" t="str">
        <f>IFERROR(__xludf.DUMMYFUNCTION("""COMPUTED_VALUE"""),"GINTRACOM")</f>
        <v>GINTRACOM</v>
      </c>
      <c r="R1722" s="65">
        <f>IFERROR(__xludf.DUMMYFUNCTION("""COMPUTED_VALUE"""),32.0)</f>
        <v>32</v>
      </c>
      <c r="S1722" s="65"/>
      <c r="T1722" s="65">
        <f>IFERROR(__xludf.DUMMYFUNCTION("""COMPUTED_VALUE"""),6.24)</f>
        <v>6.24</v>
      </c>
      <c r="U1722" s="65">
        <f>IFERROR(__xludf.DUMMYFUNCTION("""COMPUTED_VALUE"""),0.0)</f>
        <v>0</v>
      </c>
      <c r="V1722" s="65">
        <f>IFERROR(__xludf.DUMMYFUNCTION("""COMPUTED_VALUE"""),0.0)</f>
        <v>0</v>
      </c>
      <c r="W1722" s="65">
        <f>IFERROR(__xludf.DUMMYFUNCTION("""COMPUTED_VALUE"""),0.0)</f>
        <v>0</v>
      </c>
      <c r="X1722" s="65">
        <f>IFERROR(__xludf.DUMMYFUNCTION("""COMPUTED_VALUE"""),2.6)</f>
        <v>2.6</v>
      </c>
      <c r="Y1722" s="65">
        <f>IFERROR(__xludf.DUMMYFUNCTION("""COMPUTED_VALUE"""),10.4)</f>
        <v>10.4</v>
      </c>
      <c r="Z1722" s="65">
        <f>IFERROR(__xludf.DUMMYFUNCTION("""COMPUTED_VALUE"""),121983.0)</f>
        <v>121983</v>
      </c>
      <c r="AA1722" s="65" t="str">
        <f>IFERROR(__xludf.DUMMYFUNCTION("""COMPUTED_VALUE"""),"PROV-CHLLCF")</f>
        <v>PROV-CHLLCF</v>
      </c>
      <c r="AB1722" s="65"/>
      <c r="AC1722" s="65" t="str">
        <f>IFERROR(__xludf.DUMMYFUNCTION("""COMPUTED_VALUE"""),"CUCHILLO PARA CHEF")</f>
        <v>CUCHILLO PARA CHEF</v>
      </c>
      <c r="AD1722" s="65"/>
      <c r="AE1722" s="65">
        <f>IFERROR(__xludf.DUMMYFUNCTION("""COMPUTED_VALUE"""),4.0)</f>
        <v>4</v>
      </c>
      <c r="AF1722" s="65" t="str">
        <f>IFERROR(__xludf.DUMMYFUNCTION("""COMPUTED_VALUE"""),"DESTINATARIO NO CONTESTA LLAMADAS NI WHATSAPP")</f>
        <v>DESTINATARIO NO CONTESTA LLAMADAS NI WHATSAPP</v>
      </c>
      <c r="AG1722" s="65" t="str">
        <f>IFERROR(__xludf.DUMMYFUNCTION("""COMPUTED_VALUE"""),"NO")</f>
        <v>NO</v>
      </c>
      <c r="AH1722" s="65" t="str">
        <f>IFERROR(__xludf.DUMMYFUNCTION("""COMPUTED_VALUE"""),"09:00")</f>
        <v>09:00</v>
      </c>
      <c r="AI1722" s="65" t="str">
        <f>IFERROR(__xludf.DUMMYFUNCTION("""COMPUTED_VALUE"""),"27-01-2026")</f>
        <v>27-01-2026</v>
      </c>
      <c r="AJ1722" s="65"/>
      <c r="AK1722" s="65"/>
      <c r="AL1722" s="65"/>
      <c r="AM1722" s="65"/>
      <c r="AN1722" s="65" t="str">
        <f>IFERROR(__xludf.DUMMYFUNCTION("""COMPUTED_VALUE"""),"08:43")</f>
        <v>08:43</v>
      </c>
      <c r="AO1722" s="65" t="str">
        <f>IFERROR(__xludf.DUMMYFUNCTION("""COMPUTED_VALUE"""),"10-02-2026")</f>
        <v>10-02-2026</v>
      </c>
      <c r="AP1722" s="65" t="str">
        <f>IFERROR(__xludf.DUMMYFUNCTION("""COMPUTED_VALUE"""),"DEV CONFIRMADA POR BODEGA")</f>
        <v>DEV CONFIRMADA POR BODEGA</v>
      </c>
      <c r="AQ1722" s="65"/>
      <c r="AR1722" s="65" t="str">
        <f>IFERROR(__xludf.DUMMYFUNCTION("""COMPUTED_VALUE"""),"Gestionado por: Moran Daniel, email:danielmorga2005@gmail.com, total de productos en la orden: 1")</f>
        <v>Gestionado por: Moran Daniel, email:danielmorga2005@gmail.com, total de productos en la orden: 1</v>
      </c>
      <c r="AS1722" s="65"/>
      <c r="AT1722" s="65" t="str">
        <f>IFERROR(__xludf.DUMMYFUNCTION("""COMPUTED_VALUE"""),"SHOPIFY")</f>
        <v>SHOPIFY</v>
      </c>
      <c r="AU1722" s="65" t="str">
        <f>IFERROR(__xludf.DUMMYFUNCTION("""COMPUTED_VALUE"""),"IMPORTEX EC")</f>
        <v>IMPORTEX EC</v>
      </c>
      <c r="AV1722" s="65" t="str">
        <f>IFERROR(__xludf.DUMMYFUNCTION("""COMPUTED_VALUE"""),"6416052387884")</f>
        <v>6416052387884</v>
      </c>
      <c r="AW1722" s="65">
        <f>IFERROR(__xludf.DUMMYFUNCTION("""COMPUTED_VALUE"""),5222.0)</f>
        <v>5222</v>
      </c>
      <c r="AX1722" s="65"/>
      <c r="AY1722" s="65" t="str">
        <f>IFERROR(__xludf.DUMMYFUNCTION("""COMPUTED_VALUE"""),"17/01/2026")</f>
        <v>17/01/2026</v>
      </c>
      <c r="AZ1722" s="65"/>
      <c r="BA1722" s="65"/>
    </row>
    <row r="1723">
      <c r="A1723" s="65" t="str">
        <f>IFERROR(__xludf.DUMMYFUNCTION("""COMPUTED_VALUE"""),"27-03-2026")</f>
        <v>27-03-2026</v>
      </c>
      <c r="B1723" s="65">
        <f>IFERROR(__xludf.DUMMYFUNCTION("""COMPUTED_VALUE"""),4152639.0)</f>
        <v>4152639</v>
      </c>
      <c r="C1723" s="65" t="str">
        <f>IFERROR(__xludf.DUMMYFUNCTION("""COMPUTED_VALUE"""),"03:38")</f>
        <v>03:38</v>
      </c>
      <c r="D1723" s="65" t="str">
        <f>IFERROR(__xludf.DUMMYFUNCTION("""COMPUTED_VALUE"""),"15-01-2026")</f>
        <v>15-01-2026</v>
      </c>
      <c r="E1723" s="65" t="str">
        <f>IFERROR(__xludf.DUMMYFUNCTION("""COMPUTED_VALUE"""),"Xavier Quevedo")</f>
        <v>Xavier Quevedo</v>
      </c>
      <c r="F1723" s="65" t="str">
        <f>IFERROR(__xludf.DUMMYFUNCTION("""COMPUTED_VALUE"""),"993127238")</f>
        <v>993127238</v>
      </c>
      <c r="G1723" s="65" t="str">
        <f>IFERROR(__xludf.DUMMYFUNCTION("""COMPUTED_VALUE"""),"xavierquechi@gmail.com")</f>
        <v>xavierquechi@gmail.com</v>
      </c>
      <c r="H1723" s="65"/>
      <c r="I1723" s="65"/>
      <c r="J1723" s="65" t="str">
        <f>IFERROR(__xludf.DUMMYFUNCTION("""COMPUTED_VALUE"""),"D001234360")</f>
        <v>D001234360</v>
      </c>
      <c r="K1723" s="65" t="str">
        <f>IFERROR(__xludf.DUMMYFUNCTION("""COMPUTED_VALUE"""),"DEVOLUCION")</f>
        <v>DEVOLUCION</v>
      </c>
      <c r="L1723" s="65" t="str">
        <f>IFERROR(__xludf.DUMMYFUNCTION("""COMPUTED_VALUE"""),"CON RECAUDO")</f>
        <v>CON RECAUDO</v>
      </c>
      <c r="M1723" s="65" t="str">
        <f>IFERROR(__xludf.DUMMYFUNCTION("""COMPUTED_VALUE"""),"GUAYAS")</f>
        <v>GUAYAS</v>
      </c>
      <c r="N1723" s="65" t="str">
        <f>IFERROR(__xludf.DUMMYFUNCTION("""COMPUTED_VALUE"""),"GUAYAQUIL")</f>
        <v>GUAYAQUIL</v>
      </c>
      <c r="O1723" s="65" t="str">
        <f>IFERROR(__xludf.DUMMYFUNCTION("""COMPUTED_VALUE"""),"Cdla guayacanes Mz 109 A villa 15 Sector norte de guayaquil ciudalela guayacanes -")</f>
        <v>Cdla guayacanes Mz 109 A villa 15 Sector norte de guayaquil ciudalela guayacanes -</v>
      </c>
      <c r="P1723" s="65"/>
      <c r="Q1723" s="65" t="str">
        <f>IFERROR(__xludf.DUMMYFUNCTION("""COMPUTED_VALUE"""),"GINTRACOM")</f>
        <v>GINTRACOM</v>
      </c>
      <c r="R1723" s="65">
        <f>IFERROR(__xludf.DUMMYFUNCTION("""COMPUTED_VALUE"""),25.0)</f>
        <v>25</v>
      </c>
      <c r="S1723" s="65"/>
      <c r="T1723" s="65">
        <f>IFERROR(__xludf.DUMMYFUNCTION("""COMPUTED_VALUE"""),5.96)</f>
        <v>5.96</v>
      </c>
      <c r="U1723" s="65">
        <f>IFERROR(__xludf.DUMMYFUNCTION("""COMPUTED_VALUE"""),0.0)</f>
        <v>0</v>
      </c>
      <c r="V1723" s="65">
        <f>IFERROR(__xludf.DUMMYFUNCTION("""COMPUTED_VALUE"""),0.0)</f>
        <v>0</v>
      </c>
      <c r="W1723" s="65">
        <f>IFERROR(__xludf.DUMMYFUNCTION("""COMPUTED_VALUE"""),0.0)</f>
        <v>0</v>
      </c>
      <c r="X1723" s="65">
        <f>IFERROR(__xludf.DUMMYFUNCTION("""COMPUTED_VALUE"""),2.35)</f>
        <v>2.35</v>
      </c>
      <c r="Y1723" s="65">
        <f>IFERROR(__xludf.DUMMYFUNCTION("""COMPUTED_VALUE"""),4.7)</f>
        <v>4.7</v>
      </c>
      <c r="Z1723" s="65">
        <f>IFERROR(__xludf.DUMMYFUNCTION("""COMPUTED_VALUE"""),116679.0)</f>
        <v>116679</v>
      </c>
      <c r="AA1723" s="65" t="str">
        <f>IFERROR(__xludf.DUMMYFUNCTION("""COMPUTED_VALUE"""),"AMC-2738")</f>
        <v>AMC-2738</v>
      </c>
      <c r="AB1723" s="65"/>
      <c r="AC1723" s="65" t="str">
        <f>IFERROR(__xludf.DUMMYFUNCTION("""COMPUTED_VALUE"""),"ESPONJA ANTILLUVIA DE PARABRISAS")</f>
        <v>ESPONJA ANTILLUVIA DE PARABRISAS</v>
      </c>
      <c r="AD1723" s="65"/>
      <c r="AE1723" s="65">
        <f>IFERROR(__xludf.DUMMYFUNCTION("""COMPUTED_VALUE"""),2.0)</f>
        <v>2</v>
      </c>
      <c r="AF1723" s="65" t="str">
        <f>IFERROR(__xludf.DUMMYFUNCTION("""COMPUTED_VALUE"""),"DESTINATARIO NO CONTESTA LLAMADAS NI WHATSAPP")</f>
        <v>DESTINATARIO NO CONTESTA LLAMADAS NI WHATSAPP</v>
      </c>
      <c r="AG1723" s="65" t="str">
        <f>IFERROR(__xludf.DUMMYFUNCTION("""COMPUTED_VALUE"""),"NO")</f>
        <v>NO</v>
      </c>
      <c r="AH1723" s="65" t="str">
        <f>IFERROR(__xludf.DUMMYFUNCTION("""COMPUTED_VALUE"""),"09:00")</f>
        <v>09:00</v>
      </c>
      <c r="AI1723" s="65" t="str">
        <f>IFERROR(__xludf.DUMMYFUNCTION("""COMPUTED_VALUE"""),"25-01-2026")</f>
        <v>25-01-2026</v>
      </c>
      <c r="AJ1723" s="65"/>
      <c r="AK1723" s="65"/>
      <c r="AL1723" s="65"/>
      <c r="AM1723" s="65"/>
      <c r="AN1723" s="65" t="str">
        <f>IFERROR(__xludf.DUMMYFUNCTION("""COMPUTED_VALUE"""),"10:53")</f>
        <v>10:53</v>
      </c>
      <c r="AO1723" s="65" t="str">
        <f>IFERROR(__xludf.DUMMYFUNCTION("""COMPUTED_VALUE"""),"10-02-2026")</f>
        <v>10-02-2026</v>
      </c>
      <c r="AP1723" s="65" t="str">
        <f>IFERROR(__xludf.DUMMYFUNCTION("""COMPUTED_VALUE"""),"DEVOLUCIÓN ENTREGADA A ORIGEN")</f>
        <v>DEVOLUCIÓN ENTREGADA A ORIGEN</v>
      </c>
      <c r="AQ1723" s="65" t="str">
        <f>IFERROR(__xludf.DUMMYFUNCTION("""COMPUTED_VALUE"""),"DEVOLUCIÓN ENTREGADA A ORIGEN")</f>
        <v>DEVOLUCIÓN ENTREGADA A ORIGEN</v>
      </c>
      <c r="AR1723" s="65"/>
      <c r="AS1723" s="65"/>
      <c r="AT1723" s="65" t="str">
        <f>IFERROR(__xludf.DUMMYFUNCTION("""COMPUTED_VALUE"""),"SHOPIFY")</f>
        <v>SHOPIFY</v>
      </c>
      <c r="AU1723" s="65" t="str">
        <f>IFERROR(__xludf.DUMMYFUNCTION("""COMPUTED_VALUE"""),"IMPORTEX EC")</f>
        <v>IMPORTEX EC</v>
      </c>
      <c r="AV1723" s="65" t="str">
        <f>IFERROR(__xludf.DUMMYFUNCTION("""COMPUTED_VALUE"""),"6415967060012")</f>
        <v>6415967060012</v>
      </c>
      <c r="AW1723" s="65">
        <f>IFERROR(__xludf.DUMMYFUNCTION("""COMPUTED_VALUE"""),5221.0)</f>
        <v>5221</v>
      </c>
      <c r="AX1723" s="65"/>
      <c r="AY1723" s="65" t="str">
        <f>IFERROR(__xludf.DUMMYFUNCTION("""COMPUTED_VALUE"""),"17/01/2026")</f>
        <v>17/01/2026</v>
      </c>
      <c r="AZ1723" s="65"/>
      <c r="BA1723" s="65"/>
    </row>
    <row r="1724">
      <c r="A1724" s="65" t="str">
        <f>IFERROR(__xludf.DUMMYFUNCTION("""COMPUTED_VALUE"""),"27-03-2026")</f>
        <v>27-03-2026</v>
      </c>
      <c r="B1724" s="65">
        <f>IFERROR(__xludf.DUMMYFUNCTION("""COMPUTED_VALUE"""),4152490.0)</f>
        <v>4152490</v>
      </c>
      <c r="C1724" s="65" t="str">
        <f>IFERROR(__xludf.DUMMYFUNCTION("""COMPUTED_VALUE"""),"01:48")</f>
        <v>01:48</v>
      </c>
      <c r="D1724" s="65" t="str">
        <f>IFERROR(__xludf.DUMMYFUNCTION("""COMPUTED_VALUE"""),"15-01-2026")</f>
        <v>15-01-2026</v>
      </c>
      <c r="E1724" s="65" t="str">
        <f>IFERROR(__xludf.DUMMYFUNCTION("""COMPUTED_VALUE"""),"José Tobar")</f>
        <v>José Tobar</v>
      </c>
      <c r="F1724" s="65" t="str">
        <f>IFERROR(__xludf.DUMMYFUNCTION("""COMPUTED_VALUE"""),"987207980")</f>
        <v>987207980</v>
      </c>
      <c r="G1724" s="65" t="str">
        <f>IFERROR(__xludf.DUMMYFUNCTION("""COMPUTED_VALUE"""),"josetobar1590@gmail.com")</f>
        <v>josetobar1590@gmail.com</v>
      </c>
      <c r="H1724" s="65"/>
      <c r="I1724" s="65"/>
      <c r="J1724" s="65" t="str">
        <f>IFERROR(__xludf.DUMMYFUNCTION("""COMPUTED_VALUE"""),"D001233731")</f>
        <v>D001233731</v>
      </c>
      <c r="K1724" s="65" t="str">
        <f>IFERROR(__xludf.DUMMYFUNCTION("""COMPUTED_VALUE"""),"ENTREGADO")</f>
        <v>ENTREGADO</v>
      </c>
      <c r="L1724" s="65" t="str">
        <f>IFERROR(__xludf.DUMMYFUNCTION("""COMPUTED_VALUE"""),"CON RECAUDO")</f>
        <v>CON RECAUDO</v>
      </c>
      <c r="M1724" s="65" t="str">
        <f>IFERROR(__xludf.DUMMYFUNCTION("""COMPUTED_VALUE"""),"PICHINCHA")</f>
        <v>PICHINCHA</v>
      </c>
      <c r="N1724" s="65" t="str">
        <f>IFERROR(__xludf.DUMMYFUNCTION("""COMPUTED_VALUE"""),"QUITO")</f>
        <v>QUITO</v>
      </c>
      <c r="O1724" s="65" t="str">
        <f>IFERROR(__xludf.DUMMYFUNCTION("""COMPUTED_VALUE"""),"Calle Sabanilla y Calle OE11")</f>
        <v>Calle Sabanilla y Calle OE11</v>
      </c>
      <c r="P1724" s="65"/>
      <c r="Q1724" s="65" t="str">
        <f>IFERROR(__xludf.DUMMYFUNCTION("""COMPUTED_VALUE"""),"GINTRACOM")</f>
        <v>GINTRACOM</v>
      </c>
      <c r="R1724" s="65">
        <f>IFERROR(__xludf.DUMMYFUNCTION("""COMPUTED_VALUE"""),22.0)</f>
        <v>22</v>
      </c>
      <c r="S1724" s="65">
        <f>IFERROR(__xludf.DUMMYFUNCTION("""COMPUTED_VALUE"""),10.96)</f>
        <v>10.96</v>
      </c>
      <c r="T1724" s="65">
        <f>IFERROR(__xludf.DUMMYFUNCTION("""COMPUTED_VALUE"""),5.84)</f>
        <v>5.84</v>
      </c>
      <c r="U1724" s="65">
        <f>IFERROR(__xludf.DUMMYFUNCTION("""COMPUTED_VALUE"""),0.0)</f>
        <v>0</v>
      </c>
      <c r="V1724" s="65">
        <f>IFERROR(__xludf.DUMMYFUNCTION("""COMPUTED_VALUE"""),0.0)</f>
        <v>0</v>
      </c>
      <c r="W1724" s="65">
        <f>IFERROR(__xludf.DUMMYFUNCTION("""COMPUTED_VALUE"""),0.0)</f>
        <v>0</v>
      </c>
      <c r="X1724" s="65">
        <f>IFERROR(__xludf.DUMMYFUNCTION("""COMPUTED_VALUE"""),2.6)</f>
        <v>2.6</v>
      </c>
      <c r="Y1724" s="65">
        <f>IFERROR(__xludf.DUMMYFUNCTION("""COMPUTED_VALUE"""),5.2)</f>
        <v>5.2</v>
      </c>
      <c r="Z1724" s="65">
        <f>IFERROR(__xludf.DUMMYFUNCTION("""COMPUTED_VALUE"""),121983.0)</f>
        <v>121983</v>
      </c>
      <c r="AA1724" s="65" t="str">
        <f>IFERROR(__xludf.DUMMYFUNCTION("""COMPUTED_VALUE"""),"PROV-CHLLCF")</f>
        <v>PROV-CHLLCF</v>
      </c>
      <c r="AB1724" s="65"/>
      <c r="AC1724" s="65" t="str">
        <f>IFERROR(__xludf.DUMMYFUNCTION("""COMPUTED_VALUE"""),"CUCHILLO PARA CHEF")</f>
        <v>CUCHILLO PARA CHEF</v>
      </c>
      <c r="AD1724" s="65"/>
      <c r="AE1724" s="65">
        <f>IFERROR(__xludf.DUMMYFUNCTION("""COMPUTED_VALUE"""),2.0)</f>
        <v>2</v>
      </c>
      <c r="AF1724" s="65"/>
      <c r="AG1724" s="65"/>
      <c r="AH1724" s="65"/>
      <c r="AI1724" s="65"/>
      <c r="AJ1724" s="65"/>
      <c r="AK1724" s="65"/>
      <c r="AL1724" s="65"/>
      <c r="AM1724" s="65"/>
      <c r="AN1724" s="65" t="str">
        <f>IFERROR(__xludf.DUMMYFUNCTION("""COMPUTED_VALUE"""),"14:36")</f>
        <v>14:36</v>
      </c>
      <c r="AO1724" s="65" t="str">
        <f>IFERROR(__xludf.DUMMYFUNCTION("""COMPUTED_VALUE"""),"19-01-2026")</f>
        <v>19-01-2026</v>
      </c>
      <c r="AP1724" s="65" t="str">
        <f>IFERROR(__xludf.DUMMYFUNCTION("""COMPUTED_VALUE"""),"DESTINATARIO RE-PROGRAMA FECHA DE ENTREGA")</f>
        <v>DESTINATARIO RE-PROGRAMA FECHA DE ENTREGA</v>
      </c>
      <c r="AQ1724" s="65" t="str">
        <f>IFERROR(__xludf.DUMMYFUNCTION("""COMPUTED_VALUE"""),"DESTINATARIO RE-PROGRAMA FECHA DE ENTREGA")</f>
        <v>DESTINATARIO RE-PROGRAMA FECHA DE ENTREGA</v>
      </c>
      <c r="AR1724" s="65"/>
      <c r="AS1724" s="65"/>
      <c r="AT1724" s="65" t="str">
        <f>IFERROR(__xludf.DUMMYFUNCTION("""COMPUTED_VALUE"""),"SHOPIFY")</f>
        <v>SHOPIFY</v>
      </c>
      <c r="AU1724" s="65" t="str">
        <f>IFERROR(__xludf.DUMMYFUNCTION("""COMPUTED_VALUE"""),"IMPORTEX EC")</f>
        <v>IMPORTEX EC</v>
      </c>
      <c r="AV1724" s="65" t="str">
        <f>IFERROR(__xludf.DUMMYFUNCTION("""COMPUTED_VALUE"""),"6415821144108")</f>
        <v>6415821144108</v>
      </c>
      <c r="AW1724" s="65">
        <f>IFERROR(__xludf.DUMMYFUNCTION("""COMPUTED_VALUE"""),5220.0)</f>
        <v>5220</v>
      </c>
      <c r="AX1724" s="65"/>
      <c r="AY1724" s="65" t="str">
        <f>IFERROR(__xludf.DUMMYFUNCTION("""COMPUTED_VALUE"""),"17/01/2026")</f>
        <v>17/01/2026</v>
      </c>
      <c r="AZ1724" s="65"/>
      <c r="BA1724" s="65"/>
    </row>
    <row r="1725">
      <c r="A1725" s="65" t="str">
        <f>IFERROR(__xludf.DUMMYFUNCTION("""COMPUTED_VALUE"""),"27-03-2026")</f>
        <v>27-03-2026</v>
      </c>
      <c r="B1725" s="65">
        <f>IFERROR(__xludf.DUMMYFUNCTION("""COMPUTED_VALUE"""),4152312.0)</f>
        <v>4152312</v>
      </c>
      <c r="C1725" s="65" t="str">
        <f>IFERROR(__xludf.DUMMYFUNCTION("""COMPUTED_VALUE"""),"00:50")</f>
        <v>00:50</v>
      </c>
      <c r="D1725" s="65" t="str">
        <f>IFERROR(__xludf.DUMMYFUNCTION("""COMPUTED_VALUE"""),"15-01-2026")</f>
        <v>15-01-2026</v>
      </c>
      <c r="E1725" s="65" t="str">
        <f>IFERROR(__xludf.DUMMYFUNCTION("""COMPUTED_VALUE"""),"Franzua Freire")</f>
        <v>Franzua Freire</v>
      </c>
      <c r="F1725" s="65" t="str">
        <f>IFERROR(__xludf.DUMMYFUNCTION("""COMPUTED_VALUE"""),"983063946")</f>
        <v>983063946</v>
      </c>
      <c r="G1725" s="65" t="str">
        <f>IFERROR(__xludf.DUMMYFUNCTION("""COMPUTED_VALUE"""),"lefranprieto@gmail.com")</f>
        <v>lefranprieto@gmail.com</v>
      </c>
      <c r="H1725" s="65"/>
      <c r="I1725" s="65"/>
      <c r="J1725" s="65" t="str">
        <f>IFERROR(__xludf.DUMMYFUNCTION("""COMPUTED_VALUE"""),"D001233734")</f>
        <v>D001233734</v>
      </c>
      <c r="K1725" s="65" t="str">
        <f>IFERROR(__xludf.DUMMYFUNCTION("""COMPUTED_VALUE"""),"DEVOLUCION")</f>
        <v>DEVOLUCION</v>
      </c>
      <c r="L1725" s="65" t="str">
        <f>IFERROR(__xludf.DUMMYFUNCTION("""COMPUTED_VALUE"""),"CON RECAUDO")</f>
        <v>CON RECAUDO</v>
      </c>
      <c r="M1725" s="65" t="str">
        <f>IFERROR(__xludf.DUMMYFUNCTION("""COMPUTED_VALUE"""),"PASTAZA")</f>
        <v>PASTAZA</v>
      </c>
      <c r="N1725" s="65" t="str">
        <f>IFERROR(__xludf.DUMMYFUNCTION("""COMPUTED_VALUE"""),"PUYO")</f>
        <v>PUYO</v>
      </c>
      <c r="O1725" s="65" t="str">
        <f>IFERROR(__xludf.DUMMYFUNCTION("""COMPUTED_VALUE"""),"Francisco de Orellana y 27 de Febrero Centro de Puyo, Edificio del Gobierno Provincial de Pastaza. Entrega en recepción -")</f>
        <v>Francisco de Orellana y 27 de Febrero Centro de Puyo, Edificio del Gobierno Provincial de Pastaza. Entrega en recepción -</v>
      </c>
      <c r="P1725" s="65"/>
      <c r="Q1725" s="65" t="str">
        <f>IFERROR(__xludf.DUMMYFUNCTION("""COMPUTED_VALUE"""),"GINTRACOM")</f>
        <v>GINTRACOM</v>
      </c>
      <c r="R1725" s="65">
        <f>IFERROR(__xludf.DUMMYFUNCTION("""COMPUTED_VALUE"""),27.0)</f>
        <v>27</v>
      </c>
      <c r="S1725" s="65"/>
      <c r="T1725" s="65">
        <f>IFERROR(__xludf.DUMMYFUNCTION("""COMPUTED_VALUE"""),6.03)</f>
        <v>6.03</v>
      </c>
      <c r="U1725" s="65">
        <f>IFERROR(__xludf.DUMMYFUNCTION("""COMPUTED_VALUE"""),0.0)</f>
        <v>0</v>
      </c>
      <c r="V1725" s="65">
        <f>IFERROR(__xludf.DUMMYFUNCTION("""COMPUTED_VALUE"""),0.0)</f>
        <v>0</v>
      </c>
      <c r="W1725" s="65">
        <f>IFERROR(__xludf.DUMMYFUNCTION("""COMPUTED_VALUE"""),0.0)</f>
        <v>0</v>
      </c>
      <c r="X1725" s="65">
        <f>IFERROR(__xludf.DUMMYFUNCTION("""COMPUTED_VALUE"""),2.6)</f>
        <v>2.6</v>
      </c>
      <c r="Y1725" s="65">
        <f>IFERROR(__xludf.DUMMYFUNCTION("""COMPUTED_VALUE"""),7.8)</f>
        <v>7.8</v>
      </c>
      <c r="Z1725" s="65">
        <f>IFERROR(__xludf.DUMMYFUNCTION("""COMPUTED_VALUE"""),121983.0)</f>
        <v>121983</v>
      </c>
      <c r="AA1725" s="65" t="str">
        <f>IFERROR(__xludf.DUMMYFUNCTION("""COMPUTED_VALUE"""),"PROV-CHLLCF")</f>
        <v>PROV-CHLLCF</v>
      </c>
      <c r="AB1725" s="65"/>
      <c r="AC1725" s="65" t="str">
        <f>IFERROR(__xludf.DUMMYFUNCTION("""COMPUTED_VALUE"""),"CUCHILLO PARA CHEF")</f>
        <v>CUCHILLO PARA CHEF</v>
      </c>
      <c r="AD1725" s="65"/>
      <c r="AE1725" s="65">
        <f>IFERROR(__xludf.DUMMYFUNCTION("""COMPUTED_VALUE"""),3.0)</f>
        <v>3</v>
      </c>
      <c r="AF1725" s="65" t="str">
        <f>IFERROR(__xludf.DUMMYFUNCTION("""COMPUTED_VALUE"""),"DESTINATARIO NO CONTESTA LLAMADAS NI WHATSAPP")</f>
        <v>DESTINATARIO NO CONTESTA LLAMADAS NI WHATSAPP</v>
      </c>
      <c r="AG1725" s="65" t="str">
        <f>IFERROR(__xludf.DUMMYFUNCTION("""COMPUTED_VALUE"""),"NO")</f>
        <v>NO</v>
      </c>
      <c r="AH1725" s="65" t="str">
        <f>IFERROR(__xludf.DUMMYFUNCTION("""COMPUTED_VALUE"""),"09:00")</f>
        <v>09:00</v>
      </c>
      <c r="AI1725" s="65" t="str">
        <f>IFERROR(__xludf.DUMMYFUNCTION("""COMPUTED_VALUE"""),"28-01-2026")</f>
        <v>28-01-2026</v>
      </c>
      <c r="AJ1725" s="65"/>
      <c r="AK1725" s="65"/>
      <c r="AL1725" s="65"/>
      <c r="AM1725" s="65"/>
      <c r="AN1725" s="65" t="str">
        <f>IFERROR(__xludf.DUMMYFUNCTION("""COMPUTED_VALUE"""),"15:11")</f>
        <v>15:11</v>
      </c>
      <c r="AO1725" s="65" t="str">
        <f>IFERROR(__xludf.DUMMYFUNCTION("""COMPUTED_VALUE"""),"10-02-2026")</f>
        <v>10-02-2026</v>
      </c>
      <c r="AP1725" s="65" t="str">
        <f>IFERROR(__xludf.DUMMYFUNCTION("""COMPUTED_VALUE"""),"DEVOLUCIÓN ENTREGADA A ORIGEN")</f>
        <v>DEVOLUCIÓN ENTREGADA A ORIGEN</v>
      </c>
      <c r="AQ1725" s="65" t="str">
        <f>IFERROR(__xludf.DUMMYFUNCTION("""COMPUTED_VALUE"""),"DEVOLUCIÓN ENTREGADA A ORIGEN")</f>
        <v>DEVOLUCIÓN ENTREGADA A ORIGEN</v>
      </c>
      <c r="AR1725" s="65"/>
      <c r="AS1725" s="65"/>
      <c r="AT1725" s="65" t="str">
        <f>IFERROR(__xludf.DUMMYFUNCTION("""COMPUTED_VALUE"""),"SHOPIFY")</f>
        <v>SHOPIFY</v>
      </c>
      <c r="AU1725" s="65" t="str">
        <f>IFERROR(__xludf.DUMMYFUNCTION("""COMPUTED_VALUE"""),"IMPORTEX EC")</f>
        <v>IMPORTEX EC</v>
      </c>
      <c r="AV1725" s="65" t="str">
        <f>IFERROR(__xludf.DUMMYFUNCTION("""COMPUTED_VALUE"""),"6415770648620")</f>
        <v>6415770648620</v>
      </c>
      <c r="AW1725" s="65">
        <f>IFERROR(__xludf.DUMMYFUNCTION("""COMPUTED_VALUE"""),5219.0)</f>
        <v>5219</v>
      </c>
      <c r="AX1725" s="65"/>
      <c r="AY1725" s="65" t="str">
        <f>IFERROR(__xludf.DUMMYFUNCTION("""COMPUTED_VALUE"""),"17/01/2026")</f>
        <v>17/01/2026</v>
      </c>
      <c r="AZ1725" s="65"/>
      <c r="BA1725" s="65"/>
    </row>
    <row r="1726">
      <c r="A1726" s="65" t="str">
        <f>IFERROR(__xludf.DUMMYFUNCTION("""COMPUTED_VALUE"""),"27-03-2026")</f>
        <v>27-03-2026</v>
      </c>
      <c r="B1726" s="65">
        <f>IFERROR(__xludf.DUMMYFUNCTION("""COMPUTED_VALUE"""),4152287.0)</f>
        <v>4152287</v>
      </c>
      <c r="C1726" s="65" t="str">
        <f>IFERROR(__xludf.DUMMYFUNCTION("""COMPUTED_VALUE"""),"00:44")</f>
        <v>00:44</v>
      </c>
      <c r="D1726" s="65" t="str">
        <f>IFERROR(__xludf.DUMMYFUNCTION("""COMPUTED_VALUE"""),"15-01-2026")</f>
        <v>15-01-2026</v>
      </c>
      <c r="E1726" s="65" t="str">
        <f>IFERROR(__xludf.DUMMYFUNCTION("""COMPUTED_VALUE"""),"Francisco mathias Pinos")</f>
        <v>Francisco mathias Pinos</v>
      </c>
      <c r="F1726" s="65" t="str">
        <f>IFERROR(__xludf.DUMMYFUNCTION("""COMPUTED_VALUE"""),"968541553")</f>
        <v>968541553</v>
      </c>
      <c r="G1726" s="65" t="str">
        <f>IFERROR(__xludf.DUMMYFUNCTION("""COMPUTED_VALUE"""),"mathiaspinos@gmail.com")</f>
        <v>mathiaspinos@gmail.com</v>
      </c>
      <c r="H1726" s="65"/>
      <c r="I1726" s="65"/>
      <c r="J1726" s="65" t="str">
        <f>IFERROR(__xludf.DUMMYFUNCTION("""COMPUTED_VALUE"""),"186986103")</f>
        <v>186986103</v>
      </c>
      <c r="K1726" s="65" t="str">
        <f>IFERROR(__xludf.DUMMYFUNCTION("""COMPUTED_VALUE"""),"ENTREGADO")</f>
        <v>ENTREGADO</v>
      </c>
      <c r="L1726" s="65" t="str">
        <f>IFERROR(__xludf.DUMMYFUNCTION("""COMPUTED_VALUE"""),"CON RECAUDO")</f>
        <v>CON RECAUDO</v>
      </c>
      <c r="M1726" s="65" t="str">
        <f>IFERROR(__xludf.DUMMYFUNCTION("""COMPUTED_VALUE"""),"SANTO DOMINGO DE LOS TSACHILAS")</f>
        <v>SANTO DOMINGO DE LOS TSACHILAS</v>
      </c>
      <c r="N1726" s="65" t="str">
        <f>IFERROR(__xludf.DUMMYFUNCTION("""COMPUTED_VALUE"""),"VALLE HERMOSO")</f>
        <v>VALLE HERMOSO</v>
      </c>
      <c r="O1726" s="65" t="str">
        <f>IFERROR(__xludf.DUMMYFUNCTION("""COMPUTED_VALUE"""),"Av simon plata torres y quito Alado del comercial Miori tienda de telefonía")</f>
        <v>Av simon plata torres y quito Alado del comercial Miori tienda de telefonía</v>
      </c>
      <c r="P1726" s="65"/>
      <c r="Q1726" s="65" t="str">
        <f>IFERROR(__xludf.DUMMYFUNCTION("""COMPUTED_VALUE"""),"SERVIENTREGA")</f>
        <v>SERVIENTREGA</v>
      </c>
      <c r="R1726" s="65">
        <f>IFERROR(__xludf.DUMMYFUNCTION("""COMPUTED_VALUE"""),25.0)</f>
        <v>25</v>
      </c>
      <c r="S1726" s="65">
        <f>IFERROR(__xludf.DUMMYFUNCTION("""COMPUTED_VALUE"""),12.55)</f>
        <v>12.55</v>
      </c>
      <c r="T1726" s="65">
        <f>IFERROR(__xludf.DUMMYFUNCTION("""COMPUTED_VALUE"""),7.75)</f>
        <v>7.75</v>
      </c>
      <c r="U1726" s="65">
        <f>IFERROR(__xludf.DUMMYFUNCTION("""COMPUTED_VALUE"""),0.0)</f>
        <v>0</v>
      </c>
      <c r="V1726" s="65">
        <f>IFERROR(__xludf.DUMMYFUNCTION("""COMPUTED_VALUE"""),0.0)</f>
        <v>0</v>
      </c>
      <c r="W1726" s="65">
        <f>IFERROR(__xludf.DUMMYFUNCTION("""COMPUTED_VALUE"""),0.0)</f>
        <v>0</v>
      </c>
      <c r="X1726" s="65">
        <f>IFERROR(__xludf.DUMMYFUNCTION("""COMPUTED_VALUE"""),2.35)</f>
        <v>2.35</v>
      </c>
      <c r="Y1726" s="65">
        <f>IFERROR(__xludf.DUMMYFUNCTION("""COMPUTED_VALUE"""),4.7)</f>
        <v>4.7</v>
      </c>
      <c r="Z1726" s="65">
        <f>IFERROR(__xludf.DUMMYFUNCTION("""COMPUTED_VALUE"""),116679.0)</f>
        <v>116679</v>
      </c>
      <c r="AA1726" s="65" t="str">
        <f>IFERROR(__xludf.DUMMYFUNCTION("""COMPUTED_VALUE"""),"AMC-2738")</f>
        <v>AMC-2738</v>
      </c>
      <c r="AB1726" s="65"/>
      <c r="AC1726" s="65" t="str">
        <f>IFERROR(__xludf.DUMMYFUNCTION("""COMPUTED_VALUE"""),"ESPONJA ANTILLUVIA DE PARABRISAS")</f>
        <v>ESPONJA ANTILLUVIA DE PARABRISAS</v>
      </c>
      <c r="AD1726" s="65"/>
      <c r="AE1726" s="65">
        <f>IFERROR(__xludf.DUMMYFUNCTION("""COMPUTED_VALUE"""),2.0)</f>
        <v>2</v>
      </c>
      <c r="AF1726" s="65"/>
      <c r="AG1726" s="65"/>
      <c r="AH1726" s="65"/>
      <c r="AI1726" s="65"/>
      <c r="AJ1726" s="65"/>
      <c r="AK1726" s="65"/>
      <c r="AL1726" s="65"/>
      <c r="AM1726" s="65"/>
      <c r="AN1726" s="65" t="str">
        <f>IFERROR(__xludf.DUMMYFUNCTION("""COMPUTED_VALUE"""),"10:57")</f>
        <v>10:57</v>
      </c>
      <c r="AO1726" s="65" t="str">
        <f>IFERROR(__xludf.DUMMYFUNCTION("""COMPUTED_VALUE"""),"19-01-2026")</f>
        <v>19-01-2026</v>
      </c>
      <c r="AP1726" s="65" t="str">
        <f>IFERROR(__xludf.DUMMYFUNCTION("""COMPUTED_VALUE"""),"REPORTADO ENTREGADO EN APP")</f>
        <v>REPORTADO ENTREGADO EN APP</v>
      </c>
      <c r="AQ1726" s="65" t="str">
        <f>IFERROR(__xludf.DUMMYFUNCTION("""COMPUTED_VALUE"""),"mathias pinos")</f>
        <v>mathias pinos</v>
      </c>
      <c r="AR1726" s="65"/>
      <c r="AS1726" s="65"/>
      <c r="AT1726" s="65" t="str">
        <f>IFERROR(__xludf.DUMMYFUNCTION("""COMPUTED_VALUE"""),"SHOPIFY")</f>
        <v>SHOPIFY</v>
      </c>
      <c r="AU1726" s="65" t="str">
        <f>IFERROR(__xludf.DUMMYFUNCTION("""COMPUTED_VALUE"""),"IMPORTEX EC")</f>
        <v>IMPORTEX EC</v>
      </c>
      <c r="AV1726" s="65" t="str">
        <f>IFERROR(__xludf.DUMMYFUNCTION("""COMPUTED_VALUE"""),"6415763832876")</f>
        <v>6415763832876</v>
      </c>
      <c r="AW1726" s="65">
        <f>IFERROR(__xludf.DUMMYFUNCTION("""COMPUTED_VALUE"""),5218.0)</f>
        <v>5218</v>
      </c>
      <c r="AX1726" s="65"/>
      <c r="AY1726" s="65" t="str">
        <f>IFERROR(__xludf.DUMMYFUNCTION("""COMPUTED_VALUE"""),"16/01/2026")</f>
        <v>16/01/2026</v>
      </c>
      <c r="AZ1726" s="65"/>
      <c r="BA1726" s="65"/>
    </row>
    <row r="1727">
      <c r="A1727" s="65" t="str">
        <f>IFERROR(__xludf.DUMMYFUNCTION("""COMPUTED_VALUE"""),"27-03-2026")</f>
        <v>27-03-2026</v>
      </c>
      <c r="B1727" s="65">
        <f>IFERROR(__xludf.DUMMYFUNCTION("""COMPUTED_VALUE"""),4152265.0)</f>
        <v>4152265</v>
      </c>
      <c r="C1727" s="65" t="str">
        <f>IFERROR(__xludf.DUMMYFUNCTION("""COMPUTED_VALUE"""),"00:37")</f>
        <v>00:37</v>
      </c>
      <c r="D1727" s="65" t="str">
        <f>IFERROR(__xludf.DUMMYFUNCTION("""COMPUTED_VALUE"""),"15-01-2026")</f>
        <v>15-01-2026</v>
      </c>
      <c r="E1727" s="65" t="str">
        <f>IFERROR(__xludf.DUMMYFUNCTION("""COMPUTED_VALUE"""),"CUENCA ALZAMORA")</f>
        <v>CUENCA ALZAMORA</v>
      </c>
      <c r="F1727" s="65" t="str">
        <f>IFERROR(__xludf.DUMMYFUNCTION("""COMPUTED_VALUE"""),"960995203")</f>
        <v>960995203</v>
      </c>
      <c r="G1727" s="65" t="str">
        <f>IFERROR(__xludf.DUMMYFUNCTION("""COMPUTED_VALUE"""),"joelalbertocuencaalzamora@gmail.com")</f>
        <v>joelalbertocuencaalzamora@gmail.com</v>
      </c>
      <c r="H1727" s="65"/>
      <c r="I1727" s="65"/>
      <c r="J1727" s="65"/>
      <c r="K1727" s="65" t="str">
        <f>IFERROR(__xludf.DUMMYFUNCTION("""COMPUTED_VALUE"""),"PENDIENTE CONFIRMACION")</f>
        <v>PENDIENTE CONFIRMACION</v>
      </c>
      <c r="L1727" s="65" t="str">
        <f>IFERROR(__xludf.DUMMYFUNCTION("""COMPUTED_VALUE"""),"CON RECAUDO")</f>
        <v>CON RECAUDO</v>
      </c>
      <c r="M1727" s="65" t="str">
        <f>IFERROR(__xludf.DUMMYFUNCTION("""COMPUTED_VALUE"""),"GUAYAS")</f>
        <v>GUAYAS</v>
      </c>
      <c r="N1727" s="65" t="str">
        <f>IFERROR(__xludf.DUMMYFUNCTION("""COMPUTED_VALUE"""),"DURAN")</f>
        <v>DURAN</v>
      </c>
      <c r="O1727" s="65" t="str">
        <f>IFERROR(__xludf.DUMMYFUNCTION("""COMPUTED_VALUE"""),"Recreo 2da etapa")</f>
        <v>Recreo 2da etapa</v>
      </c>
      <c r="P1727" s="65" t="str">
        <f>IFERROR(__xludf.DUMMYFUNCTION("""COMPUTED_VALUE"""),"CUCHILLO PARA CHEF: Default Title ***")</f>
        <v>CUCHILLO PARA CHEF: Default Title ***</v>
      </c>
      <c r="Q1727" s="65" t="str">
        <f>IFERROR(__xludf.DUMMYFUNCTION("""COMPUTED_VALUE"""),"GINTRACOM")</f>
        <v>GINTRACOM</v>
      </c>
      <c r="R1727" s="65">
        <f>IFERROR(__xludf.DUMMYFUNCTION("""COMPUTED_VALUE"""),22.0)</f>
        <v>22</v>
      </c>
      <c r="S1727" s="65"/>
      <c r="T1727" s="65">
        <f>IFERROR(__xludf.DUMMYFUNCTION("""COMPUTED_VALUE"""),5.26)</f>
        <v>5.26</v>
      </c>
      <c r="U1727" s="65">
        <f>IFERROR(__xludf.DUMMYFUNCTION("""COMPUTED_VALUE"""),0.0)</f>
        <v>0</v>
      </c>
      <c r="V1727" s="65">
        <f>IFERROR(__xludf.DUMMYFUNCTION("""COMPUTED_VALUE"""),0.0)</f>
        <v>0</v>
      </c>
      <c r="W1727" s="65">
        <f>IFERROR(__xludf.DUMMYFUNCTION("""COMPUTED_VALUE"""),0.0)</f>
        <v>0</v>
      </c>
      <c r="X1727" s="65">
        <f>IFERROR(__xludf.DUMMYFUNCTION("""COMPUTED_VALUE"""),2.6)</f>
        <v>2.6</v>
      </c>
      <c r="Y1727" s="65">
        <f>IFERROR(__xludf.DUMMYFUNCTION("""COMPUTED_VALUE"""),2.6)</f>
        <v>2.6</v>
      </c>
      <c r="Z1727" s="65">
        <f>IFERROR(__xludf.DUMMYFUNCTION("""COMPUTED_VALUE"""),121983.0)</f>
        <v>121983</v>
      </c>
      <c r="AA1727" s="65" t="str">
        <f>IFERROR(__xludf.DUMMYFUNCTION("""COMPUTED_VALUE"""),"PROV-CHLLCF")</f>
        <v>PROV-CHLLCF</v>
      </c>
      <c r="AB1727" s="65"/>
      <c r="AC1727" s="65" t="str">
        <f>IFERROR(__xludf.DUMMYFUNCTION("""COMPUTED_VALUE"""),"CUCHILLO PARA CHEF")</f>
        <v>CUCHILLO PARA CHEF</v>
      </c>
      <c r="AD1727" s="65"/>
      <c r="AE1727" s="65">
        <f>IFERROR(__xludf.DUMMYFUNCTION("""COMPUTED_VALUE"""),1.0)</f>
        <v>1</v>
      </c>
      <c r="AF1727" s="65"/>
      <c r="AG1727" s="65"/>
      <c r="AH1727" s="65"/>
      <c r="AI1727" s="65"/>
      <c r="AJ1727" s="65"/>
      <c r="AK1727" s="65"/>
      <c r="AL1727" s="65"/>
      <c r="AM1727" s="65"/>
      <c r="AN1727" s="65"/>
      <c r="AO1727" s="65"/>
      <c r="AP1727" s="65"/>
      <c r="AQ1727" s="65"/>
      <c r="AR1727" s="65"/>
      <c r="AS1727" s="65"/>
      <c r="AT1727" s="65" t="str">
        <f>IFERROR(__xludf.DUMMYFUNCTION("""COMPUTED_VALUE"""),"SHOPIFY")</f>
        <v>SHOPIFY</v>
      </c>
      <c r="AU1727" s="65" t="str">
        <f>IFERROR(__xludf.DUMMYFUNCTION("""COMPUTED_VALUE"""),"IMPORTEX EC")</f>
        <v>IMPORTEX EC</v>
      </c>
      <c r="AV1727" s="65" t="str">
        <f>IFERROR(__xludf.DUMMYFUNCTION("""COMPUTED_VALUE"""),"6415754723372")</f>
        <v>6415754723372</v>
      </c>
      <c r="AW1727" s="65">
        <f>IFERROR(__xludf.DUMMYFUNCTION("""COMPUTED_VALUE"""),5217.0)</f>
        <v>5217</v>
      </c>
      <c r="AX1727" s="65"/>
      <c r="AY1727" s="65"/>
      <c r="AZ1727" s="65"/>
      <c r="BA1727" s="65"/>
    </row>
    <row r="1728">
      <c r="A1728" s="65" t="str">
        <f>IFERROR(__xludf.DUMMYFUNCTION("""COMPUTED_VALUE"""),"27-03-2026")</f>
        <v>27-03-2026</v>
      </c>
      <c r="B1728" s="65">
        <f>IFERROR(__xludf.DUMMYFUNCTION("""COMPUTED_VALUE"""),4152256.0)</f>
        <v>4152256</v>
      </c>
      <c r="C1728" s="65" t="str">
        <f>IFERROR(__xludf.DUMMYFUNCTION("""COMPUTED_VALUE"""),"00:34")</f>
        <v>00:34</v>
      </c>
      <c r="D1728" s="65" t="str">
        <f>IFERROR(__xludf.DUMMYFUNCTION("""COMPUTED_VALUE"""),"15-01-2026")</f>
        <v>15-01-2026</v>
      </c>
      <c r="E1728" s="65" t="str">
        <f>IFERROR(__xludf.DUMMYFUNCTION("""COMPUTED_VALUE"""),"Lewis Douglas Quevedo prieto")</f>
        <v>Lewis Douglas Quevedo prieto</v>
      </c>
      <c r="F1728" s="65" t="str">
        <f>IFERROR(__xludf.DUMMYFUNCTION("""COMPUTED_VALUE"""),"991287099")</f>
        <v>991287099</v>
      </c>
      <c r="G1728" s="65" t="str">
        <f>IFERROR(__xludf.DUMMYFUNCTION("""COMPUTED_VALUE"""),"lewisquevedo48@gmail.com")</f>
        <v>lewisquevedo48@gmail.com</v>
      </c>
      <c r="H1728" s="65"/>
      <c r="I1728" s="65"/>
      <c r="J1728" s="65" t="str">
        <f>IFERROR(__xludf.DUMMYFUNCTION("""COMPUTED_VALUE"""),"D001233735")</f>
        <v>D001233735</v>
      </c>
      <c r="K1728" s="65" t="str">
        <f>IFERROR(__xludf.DUMMYFUNCTION("""COMPUTED_VALUE"""),"ENTREGADO")</f>
        <v>ENTREGADO</v>
      </c>
      <c r="L1728" s="65" t="str">
        <f>IFERROR(__xludf.DUMMYFUNCTION("""COMPUTED_VALUE"""),"CON RECAUDO")</f>
        <v>CON RECAUDO</v>
      </c>
      <c r="M1728" s="65" t="str">
        <f>IFERROR(__xludf.DUMMYFUNCTION("""COMPUTED_VALUE"""),"EL ORO")</f>
        <v>EL ORO</v>
      </c>
      <c r="N1728" s="65" t="str">
        <f>IFERROR(__xludf.DUMMYFUNCTION("""COMPUTED_VALUE"""),"MACHALA")</f>
        <v>MACHALA</v>
      </c>
      <c r="O1728" s="65" t="str">
        <f>IFERROR(__xludf.DUMMYFUNCTION("""COMPUTED_VALUE"""),"Arízaga y Guayas Centrico -")</f>
        <v>Arízaga y Guayas Centrico -</v>
      </c>
      <c r="P1728" s="65"/>
      <c r="Q1728" s="65" t="str">
        <f>IFERROR(__xludf.DUMMYFUNCTION("""COMPUTED_VALUE"""),"GINTRACOM")</f>
        <v>GINTRACOM</v>
      </c>
      <c r="R1728" s="65">
        <f>IFERROR(__xludf.DUMMYFUNCTION("""COMPUTED_VALUE"""),22.0)</f>
        <v>22</v>
      </c>
      <c r="S1728" s="65">
        <f>IFERROR(__xludf.DUMMYFUNCTION("""COMPUTED_VALUE"""),10.96)</f>
        <v>10.96</v>
      </c>
      <c r="T1728" s="65">
        <f>IFERROR(__xludf.DUMMYFUNCTION("""COMPUTED_VALUE"""),5.84)</f>
        <v>5.84</v>
      </c>
      <c r="U1728" s="65">
        <f>IFERROR(__xludf.DUMMYFUNCTION("""COMPUTED_VALUE"""),0.0)</f>
        <v>0</v>
      </c>
      <c r="V1728" s="65">
        <f>IFERROR(__xludf.DUMMYFUNCTION("""COMPUTED_VALUE"""),0.0)</f>
        <v>0</v>
      </c>
      <c r="W1728" s="65">
        <f>IFERROR(__xludf.DUMMYFUNCTION("""COMPUTED_VALUE"""),0.0)</f>
        <v>0</v>
      </c>
      <c r="X1728" s="65">
        <f>IFERROR(__xludf.DUMMYFUNCTION("""COMPUTED_VALUE"""),2.6)</f>
        <v>2.6</v>
      </c>
      <c r="Y1728" s="65">
        <f>IFERROR(__xludf.DUMMYFUNCTION("""COMPUTED_VALUE"""),5.2)</f>
        <v>5.2</v>
      </c>
      <c r="Z1728" s="65">
        <f>IFERROR(__xludf.DUMMYFUNCTION("""COMPUTED_VALUE"""),121983.0)</f>
        <v>121983</v>
      </c>
      <c r="AA1728" s="65" t="str">
        <f>IFERROR(__xludf.DUMMYFUNCTION("""COMPUTED_VALUE"""),"PROV-CHLLCF")</f>
        <v>PROV-CHLLCF</v>
      </c>
      <c r="AB1728" s="65"/>
      <c r="AC1728" s="65" t="str">
        <f>IFERROR(__xludf.DUMMYFUNCTION("""COMPUTED_VALUE"""),"CUCHILLO PARA CHEF")</f>
        <v>CUCHILLO PARA CHEF</v>
      </c>
      <c r="AD1728" s="65"/>
      <c r="AE1728" s="65">
        <f>IFERROR(__xludf.DUMMYFUNCTION("""COMPUTED_VALUE"""),2.0)</f>
        <v>2</v>
      </c>
      <c r="AF1728" s="65"/>
      <c r="AG1728" s="65"/>
      <c r="AH1728" s="65"/>
      <c r="AI1728" s="65"/>
      <c r="AJ1728" s="65"/>
      <c r="AK1728" s="65"/>
      <c r="AL1728" s="65"/>
      <c r="AM1728" s="65"/>
      <c r="AN1728" s="65" t="str">
        <f>IFERROR(__xludf.DUMMYFUNCTION("""COMPUTED_VALUE"""),"13:52")</f>
        <v>13:52</v>
      </c>
      <c r="AO1728" s="65" t="str">
        <f>IFERROR(__xludf.DUMMYFUNCTION("""COMPUTED_VALUE"""),"20-01-2026")</f>
        <v>20-01-2026</v>
      </c>
      <c r="AP1728" s="65" t="str">
        <f>IFERROR(__xludf.DUMMYFUNCTION("""COMPUTED_VALUE"""),"ENTREGADA GINTRACOM")</f>
        <v>ENTREGADA GINTRACOM</v>
      </c>
      <c r="AQ1728" s="65" t="str">
        <f>IFERROR(__xludf.DUMMYFUNCTION("""COMPUTED_VALUE"""),"ENTREGADA GINTRACOM")</f>
        <v>ENTREGADA GINTRACOM</v>
      </c>
      <c r="AR1728" s="65"/>
      <c r="AS1728" s="65"/>
      <c r="AT1728" s="65" t="str">
        <f>IFERROR(__xludf.DUMMYFUNCTION("""COMPUTED_VALUE"""),"SHOPIFY")</f>
        <v>SHOPIFY</v>
      </c>
      <c r="AU1728" s="65" t="str">
        <f>IFERROR(__xludf.DUMMYFUNCTION("""COMPUTED_VALUE"""),"IMPORTEX EC")</f>
        <v>IMPORTEX EC</v>
      </c>
      <c r="AV1728" s="65" t="str">
        <f>IFERROR(__xludf.DUMMYFUNCTION("""COMPUTED_VALUE"""),"6415753674796")</f>
        <v>6415753674796</v>
      </c>
      <c r="AW1728" s="65">
        <f>IFERROR(__xludf.DUMMYFUNCTION("""COMPUTED_VALUE"""),5216.0)</f>
        <v>5216</v>
      </c>
      <c r="AX1728" s="65"/>
      <c r="AY1728" s="65" t="str">
        <f>IFERROR(__xludf.DUMMYFUNCTION("""COMPUTED_VALUE"""),"17/01/2026")</f>
        <v>17/01/2026</v>
      </c>
      <c r="AZ1728" s="65"/>
      <c r="BA1728" s="65"/>
    </row>
    <row r="1729">
      <c r="A1729" s="65" t="str">
        <f>IFERROR(__xludf.DUMMYFUNCTION("""COMPUTED_VALUE"""),"27-03-2026")</f>
        <v>27-03-2026</v>
      </c>
      <c r="B1729" s="65">
        <f>IFERROR(__xludf.DUMMYFUNCTION("""COMPUTED_VALUE"""),4152246.0)</f>
        <v>4152246</v>
      </c>
      <c r="C1729" s="65" t="str">
        <f>IFERROR(__xludf.DUMMYFUNCTION("""COMPUTED_VALUE"""),"00:31")</f>
        <v>00:31</v>
      </c>
      <c r="D1729" s="65" t="str">
        <f>IFERROR(__xludf.DUMMYFUNCTION("""COMPUTED_VALUE"""),"15-01-2026")</f>
        <v>15-01-2026</v>
      </c>
      <c r="E1729" s="65" t="str">
        <f>IFERROR(__xludf.DUMMYFUNCTION("""COMPUTED_VALUE"""),"Antonio Holguín")</f>
        <v>Antonio Holguín</v>
      </c>
      <c r="F1729" s="65" t="str">
        <f>IFERROR(__xludf.DUMMYFUNCTION("""COMPUTED_VALUE"""),"999560156")</f>
        <v>999560156</v>
      </c>
      <c r="G1729" s="65" t="str">
        <f>IFERROR(__xludf.DUMMYFUNCTION("""COMPUTED_VALUE"""),"pastasholguin@yahoo.com")</f>
        <v>pastasholguin@yahoo.com</v>
      </c>
      <c r="H1729" s="65"/>
      <c r="I1729" s="65"/>
      <c r="J1729" s="65" t="str">
        <f>IFERROR(__xludf.DUMMYFUNCTION("""COMPUTED_VALUE"""),"D001250501")</f>
        <v>D001250501</v>
      </c>
      <c r="K1729" s="65" t="str">
        <f>IFERROR(__xludf.DUMMYFUNCTION("""COMPUTED_VALUE"""),"ENTREGADO")</f>
        <v>ENTREGADO</v>
      </c>
      <c r="L1729" s="65" t="str">
        <f>IFERROR(__xludf.DUMMYFUNCTION("""COMPUTED_VALUE"""),"CON RECAUDO")</f>
        <v>CON RECAUDO</v>
      </c>
      <c r="M1729" s="65" t="str">
        <f>IFERROR(__xludf.DUMMYFUNCTION("""COMPUTED_VALUE"""),"PICHINCHA")</f>
        <v>PICHINCHA</v>
      </c>
      <c r="N1729" s="65" t="str">
        <f>IFERROR(__xludf.DUMMYFUNCTION("""COMPUTED_VALUE"""),"QUITO")</f>
        <v>QUITO</v>
      </c>
      <c r="O1729" s="65" t="str">
        <f>IFERROR(__xludf.DUMMYFUNCTION("""COMPUTED_VALUE"""),"La Playa 45 y San Juan de Dios San Rafael -")</f>
        <v>La Playa 45 y San Juan de Dios San Rafael -</v>
      </c>
      <c r="P1729" s="65"/>
      <c r="Q1729" s="65" t="str">
        <f>IFERROR(__xludf.DUMMYFUNCTION("""COMPUTED_VALUE"""),"GINTRACOM")</f>
        <v>GINTRACOM</v>
      </c>
      <c r="R1729" s="65">
        <f>IFERROR(__xludf.DUMMYFUNCTION("""COMPUTED_VALUE"""),22.0)</f>
        <v>22</v>
      </c>
      <c r="S1729" s="65">
        <f>IFERROR(__xludf.DUMMYFUNCTION("""COMPUTED_VALUE"""),10.96)</f>
        <v>10.96</v>
      </c>
      <c r="T1729" s="65">
        <f>IFERROR(__xludf.DUMMYFUNCTION("""COMPUTED_VALUE"""),5.84)</f>
        <v>5.84</v>
      </c>
      <c r="U1729" s="65">
        <f>IFERROR(__xludf.DUMMYFUNCTION("""COMPUTED_VALUE"""),0.0)</f>
        <v>0</v>
      </c>
      <c r="V1729" s="65">
        <f>IFERROR(__xludf.DUMMYFUNCTION("""COMPUTED_VALUE"""),0.0)</f>
        <v>0</v>
      </c>
      <c r="W1729" s="65">
        <f>IFERROR(__xludf.DUMMYFUNCTION("""COMPUTED_VALUE"""),0.0)</f>
        <v>0</v>
      </c>
      <c r="X1729" s="65">
        <f>IFERROR(__xludf.DUMMYFUNCTION("""COMPUTED_VALUE"""),2.6)</f>
        <v>2.6</v>
      </c>
      <c r="Y1729" s="65">
        <f>IFERROR(__xludf.DUMMYFUNCTION("""COMPUTED_VALUE"""),5.2)</f>
        <v>5.2</v>
      </c>
      <c r="Z1729" s="65">
        <f>IFERROR(__xludf.DUMMYFUNCTION("""COMPUTED_VALUE"""),121983.0)</f>
        <v>121983</v>
      </c>
      <c r="AA1729" s="65" t="str">
        <f>IFERROR(__xludf.DUMMYFUNCTION("""COMPUTED_VALUE"""),"PROV-CHLLCF")</f>
        <v>PROV-CHLLCF</v>
      </c>
      <c r="AB1729" s="65"/>
      <c r="AC1729" s="65" t="str">
        <f>IFERROR(__xludf.DUMMYFUNCTION("""COMPUTED_VALUE"""),"CUCHILLO PARA CHEF")</f>
        <v>CUCHILLO PARA CHEF</v>
      </c>
      <c r="AD1729" s="65"/>
      <c r="AE1729" s="65">
        <f>IFERROR(__xludf.DUMMYFUNCTION("""COMPUTED_VALUE"""),2.0)</f>
        <v>2</v>
      </c>
      <c r="AF1729" s="65"/>
      <c r="AG1729" s="65"/>
      <c r="AH1729" s="65"/>
      <c r="AI1729" s="65"/>
      <c r="AJ1729" s="65"/>
      <c r="AK1729" s="65"/>
      <c r="AL1729" s="65"/>
      <c r="AM1729" s="65"/>
      <c r="AN1729" s="65" t="str">
        <f>IFERROR(__xludf.DUMMYFUNCTION("""COMPUTED_VALUE"""),"10:48")</f>
        <v>10:48</v>
      </c>
      <c r="AO1729" s="65" t="str">
        <f>IFERROR(__xludf.DUMMYFUNCTION("""COMPUTED_VALUE"""),"26-01-2026")</f>
        <v>26-01-2026</v>
      </c>
      <c r="AP1729" s="65" t="str">
        <f>IFERROR(__xludf.DUMMYFUNCTION("""COMPUTED_VALUE"""),"ENTREGADA GINTRACOM")</f>
        <v>ENTREGADA GINTRACOM</v>
      </c>
      <c r="AQ1729" s="65" t="str">
        <f>IFERROR(__xludf.DUMMYFUNCTION("""COMPUTED_VALUE"""),"ENTREGADA GINTRACOM")</f>
        <v>ENTREGADA GINTRACOM</v>
      </c>
      <c r="AR1729" s="65"/>
      <c r="AS1729" s="65"/>
      <c r="AT1729" s="65" t="str">
        <f>IFERROR(__xludf.DUMMYFUNCTION("""COMPUTED_VALUE"""),"SHOPIFY")</f>
        <v>SHOPIFY</v>
      </c>
      <c r="AU1729" s="65" t="str">
        <f>IFERROR(__xludf.DUMMYFUNCTION("""COMPUTED_VALUE"""),"IMPORTEX EC")</f>
        <v>IMPORTEX EC</v>
      </c>
      <c r="AV1729" s="65" t="str">
        <f>IFERROR(__xludf.DUMMYFUNCTION("""COMPUTED_VALUE"""),"6415749808172")</f>
        <v>6415749808172</v>
      </c>
      <c r="AW1729" s="65">
        <f>IFERROR(__xludf.DUMMYFUNCTION("""COMPUTED_VALUE"""),5215.0)</f>
        <v>5215</v>
      </c>
      <c r="AX1729" s="65"/>
      <c r="AY1729" s="65" t="str">
        <f>IFERROR(__xludf.DUMMYFUNCTION("""COMPUTED_VALUE"""),"22/01/2026")</f>
        <v>22/01/2026</v>
      </c>
      <c r="AZ1729" s="65"/>
      <c r="BA1729" s="65"/>
    </row>
    <row r="1730">
      <c r="A1730" s="65" t="str">
        <f>IFERROR(__xludf.DUMMYFUNCTION("""COMPUTED_VALUE"""),"27-03-2026")</f>
        <v>27-03-2026</v>
      </c>
      <c r="B1730" s="65">
        <f>IFERROR(__xludf.DUMMYFUNCTION("""COMPUTED_VALUE"""),4152183.0)</f>
        <v>4152183</v>
      </c>
      <c r="C1730" s="65" t="str">
        <f>IFERROR(__xludf.DUMMYFUNCTION("""COMPUTED_VALUE"""),"00:18")</f>
        <v>00:18</v>
      </c>
      <c r="D1730" s="65" t="str">
        <f>IFERROR(__xludf.DUMMYFUNCTION("""COMPUTED_VALUE"""),"15-01-2026")</f>
        <v>15-01-2026</v>
      </c>
      <c r="E1730" s="65" t="str">
        <f>IFERROR(__xludf.DUMMYFUNCTION("""COMPUTED_VALUE"""),"Milton Geovani Vinocunga Viracucha")</f>
        <v>Milton Geovani Vinocunga Viracucha</v>
      </c>
      <c r="F1730" s="65" t="str">
        <f>IFERROR(__xludf.DUMMYFUNCTION("""COMPUTED_VALUE"""),"980770092")</f>
        <v>980770092</v>
      </c>
      <c r="G1730" s="65" t="str">
        <f>IFERROR(__xludf.DUMMYFUNCTION("""COMPUTED_VALUE"""),"jhonmilton1983@gmail.com")</f>
        <v>jhonmilton1983@gmail.com</v>
      </c>
      <c r="H1730" s="65"/>
      <c r="I1730" s="65"/>
      <c r="J1730" s="65" t="str">
        <f>IFERROR(__xludf.DUMMYFUNCTION("""COMPUTED_VALUE"""),"D001233736")</f>
        <v>D001233736</v>
      </c>
      <c r="K1730" s="65" t="str">
        <f>IFERROR(__xludf.DUMMYFUNCTION("""COMPUTED_VALUE"""),"DEVOLUCION")</f>
        <v>DEVOLUCION</v>
      </c>
      <c r="L1730" s="65" t="str">
        <f>IFERROR(__xludf.DUMMYFUNCTION("""COMPUTED_VALUE"""),"CON RECAUDO")</f>
        <v>CON RECAUDO</v>
      </c>
      <c r="M1730" s="65" t="str">
        <f>IFERROR(__xludf.DUMMYFUNCTION("""COMPUTED_VALUE"""),"COTOPAXI")</f>
        <v>COTOPAXI</v>
      </c>
      <c r="N1730" s="65" t="str">
        <f>IFERROR(__xludf.DUMMYFUNCTION("""COMPUTED_VALUE"""),"SAQUISILI")</f>
        <v>SAQUISILI</v>
      </c>
      <c r="O1730" s="65" t="str">
        <f>IFERROR(__xludf.DUMMYFUNCTION("""COMPUTED_VALUE"""),"Saquisili calle Imbabura Vía a Saquisili - Upc Saquisili")</f>
        <v>Saquisili calle Imbabura Vía a Saquisili - Upc Saquisili</v>
      </c>
      <c r="P1730" s="65"/>
      <c r="Q1730" s="65" t="str">
        <f>IFERROR(__xludf.DUMMYFUNCTION("""COMPUTED_VALUE"""),"GINTRACOM")</f>
        <v>GINTRACOM</v>
      </c>
      <c r="R1730" s="65">
        <f>IFERROR(__xludf.DUMMYFUNCTION("""COMPUTED_VALUE"""),22.0)</f>
        <v>22</v>
      </c>
      <c r="S1730" s="65"/>
      <c r="T1730" s="65">
        <f>IFERROR(__xludf.DUMMYFUNCTION("""COMPUTED_VALUE"""),6.41)</f>
        <v>6.41</v>
      </c>
      <c r="U1730" s="65">
        <f>IFERROR(__xludf.DUMMYFUNCTION("""COMPUTED_VALUE"""),0.0)</f>
        <v>0</v>
      </c>
      <c r="V1730" s="65">
        <f>IFERROR(__xludf.DUMMYFUNCTION("""COMPUTED_VALUE"""),0.0)</f>
        <v>0</v>
      </c>
      <c r="W1730" s="65">
        <f>IFERROR(__xludf.DUMMYFUNCTION("""COMPUTED_VALUE"""),0.0)</f>
        <v>0</v>
      </c>
      <c r="X1730" s="65">
        <f>IFERROR(__xludf.DUMMYFUNCTION("""COMPUTED_VALUE"""),2.6)</f>
        <v>2.6</v>
      </c>
      <c r="Y1730" s="65">
        <f>IFERROR(__xludf.DUMMYFUNCTION("""COMPUTED_VALUE"""),5.2)</f>
        <v>5.2</v>
      </c>
      <c r="Z1730" s="65">
        <f>IFERROR(__xludf.DUMMYFUNCTION("""COMPUTED_VALUE"""),121983.0)</f>
        <v>121983</v>
      </c>
      <c r="AA1730" s="65" t="str">
        <f>IFERROR(__xludf.DUMMYFUNCTION("""COMPUTED_VALUE"""),"PROV-CHLLCF")</f>
        <v>PROV-CHLLCF</v>
      </c>
      <c r="AB1730" s="65"/>
      <c r="AC1730" s="65" t="str">
        <f>IFERROR(__xludf.DUMMYFUNCTION("""COMPUTED_VALUE"""),"CUCHILLO PARA CHEF")</f>
        <v>CUCHILLO PARA CHEF</v>
      </c>
      <c r="AD1730" s="65"/>
      <c r="AE1730" s="65">
        <f>IFERROR(__xludf.DUMMYFUNCTION("""COMPUTED_VALUE"""),2.0)</f>
        <v>2</v>
      </c>
      <c r="AF1730" s="65" t="str">
        <f>IFERROR(__xludf.DUMMYFUNCTION("""COMPUTED_VALUE"""),"DESTINATARIO INDICA QUE SE ENCUENTRA FUERA DE LA CIUDAD")</f>
        <v>DESTINATARIO INDICA QUE SE ENCUENTRA FUERA DE LA CIUDAD</v>
      </c>
      <c r="AG1730" s="65" t="str">
        <f>IFERROR(__xludf.DUMMYFUNCTION("""COMPUTED_VALUE"""),"SI")</f>
        <v>SI</v>
      </c>
      <c r="AH1730" s="65" t="str">
        <f>IFERROR(__xludf.DUMMYFUNCTION("""COMPUTED_VALUE"""),"14:16")</f>
        <v>14:16</v>
      </c>
      <c r="AI1730" s="65" t="str">
        <f>IFERROR(__xludf.DUMMYFUNCTION("""COMPUTED_VALUE"""),"17-01-2026")</f>
        <v>17-01-2026</v>
      </c>
      <c r="AJ1730" s="65"/>
      <c r="AK1730" s="65"/>
      <c r="AL1730" s="65"/>
      <c r="AM1730" s="65"/>
      <c r="AN1730" s="65" t="str">
        <f>IFERROR(__xludf.DUMMYFUNCTION("""COMPUTED_VALUE"""),"10:39")</f>
        <v>10:39</v>
      </c>
      <c r="AO1730" s="65" t="str">
        <f>IFERROR(__xludf.DUMMYFUNCTION("""COMPUTED_VALUE"""),"17-03-2026")</f>
        <v>17-03-2026</v>
      </c>
      <c r="AP1730" s="65" t="str">
        <f>IFERROR(__xludf.DUMMYFUNCTION("""COMPUTED_VALUE"""),"INDEMNIZACIÓN")</f>
        <v>INDEMNIZACIÓN</v>
      </c>
      <c r="AQ1730" s="65" t="str">
        <f>IFERROR(__xludf.DUMMYFUNCTION("""COMPUTED_VALUE"""),"INDEMNIZACIÓN")</f>
        <v>INDEMNIZACIÓN</v>
      </c>
      <c r="AR1730" s="65"/>
      <c r="AS1730" s="65"/>
      <c r="AT1730" s="65" t="str">
        <f>IFERROR(__xludf.DUMMYFUNCTION("""COMPUTED_VALUE"""),"SHOPIFY")</f>
        <v>SHOPIFY</v>
      </c>
      <c r="AU1730" s="65" t="str">
        <f>IFERROR(__xludf.DUMMYFUNCTION("""COMPUTED_VALUE"""),"IMPORTEX EC")</f>
        <v>IMPORTEX EC</v>
      </c>
      <c r="AV1730" s="65" t="str">
        <f>IFERROR(__xludf.DUMMYFUNCTION("""COMPUTED_VALUE"""),"6415719694380")</f>
        <v>6415719694380</v>
      </c>
      <c r="AW1730" s="65">
        <f>IFERROR(__xludf.DUMMYFUNCTION("""COMPUTED_VALUE"""),5214.0)</f>
        <v>5214</v>
      </c>
      <c r="AX1730" s="65"/>
      <c r="AY1730" s="65" t="str">
        <f>IFERROR(__xludf.DUMMYFUNCTION("""COMPUTED_VALUE"""),"17/01/2026")</f>
        <v>17/01/2026</v>
      </c>
      <c r="AZ1730" s="65"/>
      <c r="BA1730" s="65"/>
    </row>
    <row r="1731">
      <c r="A1731" s="65" t="str">
        <f>IFERROR(__xludf.DUMMYFUNCTION("""COMPUTED_VALUE"""),"27-03-2026")</f>
        <v>27-03-2026</v>
      </c>
      <c r="B1731" s="65">
        <f>IFERROR(__xludf.DUMMYFUNCTION("""COMPUTED_VALUE"""),4152179.0)</f>
        <v>4152179</v>
      </c>
      <c r="C1731" s="65" t="str">
        <f>IFERROR(__xludf.DUMMYFUNCTION("""COMPUTED_VALUE"""),"00:17")</f>
        <v>00:17</v>
      </c>
      <c r="D1731" s="65" t="str">
        <f>IFERROR(__xludf.DUMMYFUNCTION("""COMPUTED_VALUE"""),"15-01-2026")</f>
        <v>15-01-2026</v>
      </c>
      <c r="E1731" s="65" t="str">
        <f>IFERROR(__xludf.DUMMYFUNCTION("""COMPUTED_VALUE"""),"Jose Francisco Arreaga Sotomayor")</f>
        <v>Jose Francisco Arreaga Sotomayor</v>
      </c>
      <c r="F1731" s="65" t="str">
        <f>IFERROR(__xludf.DUMMYFUNCTION("""COMPUTED_VALUE"""),"999685780")</f>
        <v>999685780</v>
      </c>
      <c r="G1731" s="65" t="str">
        <f>IFERROR(__xludf.DUMMYFUNCTION("""COMPUTED_VALUE"""),"jfas1958@hotmail.com")</f>
        <v>jfas1958@hotmail.com</v>
      </c>
      <c r="H1731" s="65"/>
      <c r="I1731" s="65"/>
      <c r="J1731" s="65" t="str">
        <f>IFERROR(__xludf.DUMMYFUNCTION("""COMPUTED_VALUE"""),"186988783")</f>
        <v>186988783</v>
      </c>
      <c r="K1731" s="65" t="str">
        <f>IFERROR(__xludf.DUMMYFUNCTION("""COMPUTED_VALUE"""),"ENTREGADO")</f>
        <v>ENTREGADO</v>
      </c>
      <c r="L1731" s="65" t="str">
        <f>IFERROR(__xludf.DUMMYFUNCTION("""COMPUTED_VALUE"""),"CON RECAUDO")</f>
        <v>CON RECAUDO</v>
      </c>
      <c r="M1731" s="65" t="str">
        <f>IFERROR(__xludf.DUMMYFUNCTION("""COMPUTED_VALUE"""),"GUAYAS")</f>
        <v>GUAYAS</v>
      </c>
      <c r="N1731" s="65" t="str">
        <f>IFERROR(__xludf.DUMMYFUNCTION("""COMPUTED_VALUE"""),"LA PUNTILLA")</f>
        <v>LA PUNTILLA</v>
      </c>
      <c r="O1731" s="65" t="str">
        <f>IFERROR(__xludf.DUMMYFUNCTION("""COMPUTED_VALUE"""),"Las Riberas (Frente al CC Entre Ríos) Calle 7ma Mz P2 villa # 20 -")</f>
        <v>Las Riberas (Frente al CC Entre Ríos) Calle 7ma Mz P2 villa # 20 -</v>
      </c>
      <c r="P1731" s="65"/>
      <c r="Q1731" s="65" t="str">
        <f>IFERROR(__xludf.DUMMYFUNCTION("""COMPUTED_VALUE"""),"SERVIENTREGA")</f>
        <v>SERVIENTREGA</v>
      </c>
      <c r="R1731" s="65">
        <f>IFERROR(__xludf.DUMMYFUNCTION("""COMPUTED_VALUE"""),22.0)</f>
        <v>22</v>
      </c>
      <c r="S1731" s="65">
        <f>IFERROR(__xludf.DUMMYFUNCTION("""COMPUTED_VALUE"""),11.13)</f>
        <v>11.13</v>
      </c>
      <c r="T1731" s="65">
        <f>IFERROR(__xludf.DUMMYFUNCTION("""COMPUTED_VALUE"""),5.67)</f>
        <v>5.67</v>
      </c>
      <c r="U1731" s="65">
        <f>IFERROR(__xludf.DUMMYFUNCTION("""COMPUTED_VALUE"""),0.0)</f>
        <v>0</v>
      </c>
      <c r="V1731" s="65">
        <f>IFERROR(__xludf.DUMMYFUNCTION("""COMPUTED_VALUE"""),0.0)</f>
        <v>0</v>
      </c>
      <c r="W1731" s="65">
        <f>IFERROR(__xludf.DUMMYFUNCTION("""COMPUTED_VALUE"""),0.0)</f>
        <v>0</v>
      </c>
      <c r="X1731" s="65">
        <f>IFERROR(__xludf.DUMMYFUNCTION("""COMPUTED_VALUE"""),2.6)</f>
        <v>2.6</v>
      </c>
      <c r="Y1731" s="65">
        <f>IFERROR(__xludf.DUMMYFUNCTION("""COMPUTED_VALUE"""),5.2)</f>
        <v>5.2</v>
      </c>
      <c r="Z1731" s="65">
        <f>IFERROR(__xludf.DUMMYFUNCTION("""COMPUTED_VALUE"""),121983.0)</f>
        <v>121983</v>
      </c>
      <c r="AA1731" s="65" t="str">
        <f>IFERROR(__xludf.DUMMYFUNCTION("""COMPUTED_VALUE"""),"PROV-CHLLCF")</f>
        <v>PROV-CHLLCF</v>
      </c>
      <c r="AB1731" s="65"/>
      <c r="AC1731" s="65" t="str">
        <f>IFERROR(__xludf.DUMMYFUNCTION("""COMPUTED_VALUE"""),"CUCHILLO PARA CHEF")</f>
        <v>CUCHILLO PARA CHEF</v>
      </c>
      <c r="AD1731" s="65"/>
      <c r="AE1731" s="65">
        <f>IFERROR(__xludf.DUMMYFUNCTION("""COMPUTED_VALUE"""),2.0)</f>
        <v>2</v>
      </c>
      <c r="AF1731" s="65"/>
      <c r="AG1731" s="65"/>
      <c r="AH1731" s="65"/>
      <c r="AI1731" s="65"/>
      <c r="AJ1731" s="65"/>
      <c r="AK1731" s="65"/>
      <c r="AL1731" s="65"/>
      <c r="AM1731" s="65"/>
      <c r="AN1731" s="65" t="str">
        <f>IFERROR(__xludf.DUMMYFUNCTION("""COMPUTED_VALUE"""),"09:33")</f>
        <v>09:33</v>
      </c>
      <c r="AO1731" s="65" t="str">
        <f>IFERROR(__xludf.DUMMYFUNCTION("""COMPUTED_VALUE"""),"19-01-2026")</f>
        <v>19-01-2026</v>
      </c>
      <c r="AP1731" s="65" t="str">
        <f>IFERROR(__xludf.DUMMYFUNCTION("""COMPUTED_VALUE"""),"REPORTADO ENTREGADO EN APP")</f>
        <v>REPORTADO ENTREGADO EN APP</v>
      </c>
      <c r="AQ1731" s="65" t="str">
        <f>IFERROR(__xludf.DUMMYFUNCTION("""COMPUTED_VALUE"""),"Jose Arreaga")</f>
        <v>Jose Arreaga</v>
      </c>
      <c r="AR1731" s="65"/>
      <c r="AS1731" s="65"/>
      <c r="AT1731" s="65" t="str">
        <f>IFERROR(__xludf.DUMMYFUNCTION("""COMPUTED_VALUE"""),"SHOPIFY")</f>
        <v>SHOPIFY</v>
      </c>
      <c r="AU1731" s="65" t="str">
        <f>IFERROR(__xludf.DUMMYFUNCTION("""COMPUTED_VALUE"""),"IMPORTEX EC")</f>
        <v>IMPORTEX EC</v>
      </c>
      <c r="AV1731" s="65" t="str">
        <f>IFERROR(__xludf.DUMMYFUNCTION("""COMPUTED_VALUE"""),"6415718154284")</f>
        <v>6415718154284</v>
      </c>
      <c r="AW1731" s="65">
        <f>IFERROR(__xludf.DUMMYFUNCTION("""COMPUTED_VALUE"""),5213.0)</f>
        <v>5213</v>
      </c>
      <c r="AX1731" s="65"/>
      <c r="AY1731" s="65" t="str">
        <f>IFERROR(__xludf.DUMMYFUNCTION("""COMPUTED_VALUE"""),"17/01/2026")</f>
        <v>17/01/2026</v>
      </c>
      <c r="AZ1731" s="65"/>
      <c r="BA1731" s="65"/>
    </row>
    <row r="1732">
      <c r="A1732" s="65" t="str">
        <f>IFERROR(__xludf.DUMMYFUNCTION("""COMPUTED_VALUE"""),"27-03-2026")</f>
        <v>27-03-2026</v>
      </c>
      <c r="B1732" s="65">
        <f>IFERROR(__xludf.DUMMYFUNCTION("""COMPUTED_VALUE"""),4152171.0)</f>
        <v>4152171</v>
      </c>
      <c r="C1732" s="65" t="str">
        <f>IFERROR(__xludf.DUMMYFUNCTION("""COMPUTED_VALUE"""),"00:15")</f>
        <v>00:15</v>
      </c>
      <c r="D1732" s="65" t="str">
        <f>IFERROR(__xludf.DUMMYFUNCTION("""COMPUTED_VALUE"""),"15-01-2026")</f>
        <v>15-01-2026</v>
      </c>
      <c r="E1732" s="65" t="str">
        <f>IFERROR(__xludf.DUMMYFUNCTION("""COMPUTED_VALUE"""),"Sara Molina Cevallos")</f>
        <v>Sara Molina Cevallos</v>
      </c>
      <c r="F1732" s="65" t="str">
        <f>IFERROR(__xludf.DUMMYFUNCTION("""COMPUTED_VALUE"""),"985165151")</f>
        <v>985165151</v>
      </c>
      <c r="G1732" s="65" t="str">
        <f>IFERROR(__xludf.DUMMYFUNCTION("""COMPUTED_VALUE"""),"saramolinamanta@hotmail.com")</f>
        <v>saramolinamanta@hotmail.com</v>
      </c>
      <c r="H1732" s="65"/>
      <c r="I1732" s="65"/>
      <c r="J1732" s="65"/>
      <c r="K1732" s="65" t="str">
        <f>IFERROR(__xludf.DUMMYFUNCTION("""COMPUTED_VALUE"""),"PENDIENTE CONFIRMACION")</f>
        <v>PENDIENTE CONFIRMACION</v>
      </c>
      <c r="L1732" s="65" t="str">
        <f>IFERROR(__xludf.DUMMYFUNCTION("""COMPUTED_VALUE"""),"CON RECAUDO")</f>
        <v>CON RECAUDO</v>
      </c>
      <c r="M1732" s="65" t="str">
        <f>IFERROR(__xludf.DUMMYFUNCTION("""COMPUTED_VALUE"""),"MANABI")</f>
        <v>MANABI</v>
      </c>
      <c r="N1732" s="65" t="str">
        <f>IFERROR(__xludf.DUMMYFUNCTION("""COMPUTED_VALUE"""),"MANTA")</f>
        <v>MANTA</v>
      </c>
      <c r="O1732" s="65" t="str">
        <f>IFERROR(__xludf.DUMMYFUNCTION("""COMPUTED_VALUE"""),"Calle 25 avenida m3 Tras iglesia del perpetuo socorro -")</f>
        <v>Calle 25 avenida m3 Tras iglesia del perpetuo socorro -</v>
      </c>
      <c r="P1732" s="65"/>
      <c r="Q1732" s="65" t="str">
        <f>IFERROR(__xludf.DUMMYFUNCTION("""COMPUTED_VALUE"""),"GINTRACOM")</f>
        <v>GINTRACOM</v>
      </c>
      <c r="R1732" s="65">
        <f>IFERROR(__xludf.DUMMYFUNCTION("""COMPUTED_VALUE"""),22.0)</f>
        <v>22</v>
      </c>
      <c r="S1732" s="65"/>
      <c r="T1732" s="65">
        <f>IFERROR(__xludf.DUMMYFUNCTION("""COMPUTED_VALUE"""),5.84)</f>
        <v>5.84</v>
      </c>
      <c r="U1732" s="65">
        <f>IFERROR(__xludf.DUMMYFUNCTION("""COMPUTED_VALUE"""),0.0)</f>
        <v>0</v>
      </c>
      <c r="V1732" s="65">
        <f>IFERROR(__xludf.DUMMYFUNCTION("""COMPUTED_VALUE"""),0.0)</f>
        <v>0</v>
      </c>
      <c r="W1732" s="65">
        <f>IFERROR(__xludf.DUMMYFUNCTION("""COMPUTED_VALUE"""),0.0)</f>
        <v>0</v>
      </c>
      <c r="X1732" s="65">
        <f>IFERROR(__xludf.DUMMYFUNCTION("""COMPUTED_VALUE"""),2.6)</f>
        <v>2.6</v>
      </c>
      <c r="Y1732" s="65">
        <f>IFERROR(__xludf.DUMMYFUNCTION("""COMPUTED_VALUE"""),5.2)</f>
        <v>5.2</v>
      </c>
      <c r="Z1732" s="65">
        <f>IFERROR(__xludf.DUMMYFUNCTION("""COMPUTED_VALUE"""),121983.0)</f>
        <v>121983</v>
      </c>
      <c r="AA1732" s="65" t="str">
        <f>IFERROR(__xludf.DUMMYFUNCTION("""COMPUTED_VALUE"""),"PROV-CHLLCF")</f>
        <v>PROV-CHLLCF</v>
      </c>
      <c r="AB1732" s="65"/>
      <c r="AC1732" s="65" t="str">
        <f>IFERROR(__xludf.DUMMYFUNCTION("""COMPUTED_VALUE"""),"CUCHILLO PARA CHEF")</f>
        <v>CUCHILLO PARA CHEF</v>
      </c>
      <c r="AD1732" s="65"/>
      <c r="AE1732" s="65">
        <f>IFERROR(__xludf.DUMMYFUNCTION("""COMPUTED_VALUE"""),2.0)</f>
        <v>2</v>
      </c>
      <c r="AF1732" s="65"/>
      <c r="AG1732" s="65"/>
      <c r="AH1732" s="65"/>
      <c r="AI1732" s="65"/>
      <c r="AJ1732" s="65"/>
      <c r="AK1732" s="65"/>
      <c r="AL1732" s="65"/>
      <c r="AM1732" s="65"/>
      <c r="AN1732" s="65"/>
      <c r="AO1732" s="65"/>
      <c r="AP1732" s="65"/>
      <c r="AQ1732" s="65"/>
      <c r="AR1732" s="65"/>
      <c r="AS1732" s="65"/>
      <c r="AT1732" s="65" t="str">
        <f>IFERROR(__xludf.DUMMYFUNCTION("""COMPUTED_VALUE"""),"SHOPIFY")</f>
        <v>SHOPIFY</v>
      </c>
      <c r="AU1732" s="65" t="str">
        <f>IFERROR(__xludf.DUMMYFUNCTION("""COMPUTED_VALUE"""),"IMPORTEX EC")</f>
        <v>IMPORTEX EC</v>
      </c>
      <c r="AV1732" s="65" t="str">
        <f>IFERROR(__xludf.DUMMYFUNCTION("""COMPUTED_VALUE"""),"6415715663916")</f>
        <v>6415715663916</v>
      </c>
      <c r="AW1732" s="65">
        <f>IFERROR(__xludf.DUMMYFUNCTION("""COMPUTED_VALUE"""),5212.0)</f>
        <v>5212</v>
      </c>
      <c r="AX1732" s="65"/>
      <c r="AY1732" s="65"/>
      <c r="AZ1732" s="65"/>
      <c r="BA1732" s="65"/>
    </row>
    <row r="1733">
      <c r="A1733" s="65" t="str">
        <f>IFERROR(__xludf.DUMMYFUNCTION("""COMPUTED_VALUE"""),"27-03-2026")</f>
        <v>27-03-2026</v>
      </c>
      <c r="B1733" s="65">
        <f>IFERROR(__xludf.DUMMYFUNCTION("""COMPUTED_VALUE"""),4152159.0)</f>
        <v>4152159</v>
      </c>
      <c r="C1733" s="65" t="str">
        <f>IFERROR(__xludf.DUMMYFUNCTION("""COMPUTED_VALUE"""),"00:14")</f>
        <v>00:14</v>
      </c>
      <c r="D1733" s="65" t="str">
        <f>IFERROR(__xludf.DUMMYFUNCTION("""COMPUTED_VALUE"""),"15-01-2026")</f>
        <v>15-01-2026</v>
      </c>
      <c r="E1733" s="65" t="str">
        <f>IFERROR(__xludf.DUMMYFUNCTION("""COMPUTED_VALUE"""),"Moises Alvarado")</f>
        <v>Moises Alvarado</v>
      </c>
      <c r="F1733" s="65" t="str">
        <f>IFERROR(__xludf.DUMMYFUNCTION("""COMPUTED_VALUE"""),"992615448")</f>
        <v>992615448</v>
      </c>
      <c r="G1733" s="65" t="str">
        <f>IFERROR(__xludf.DUMMYFUNCTION("""COMPUTED_VALUE"""),"moises2723@gmail.com")</f>
        <v>moises2723@gmail.com</v>
      </c>
      <c r="H1733" s="65"/>
      <c r="I1733" s="65"/>
      <c r="J1733" s="65" t="str">
        <f>IFERROR(__xludf.DUMMYFUNCTION("""COMPUTED_VALUE"""),"D001231771")</f>
        <v>D001231771</v>
      </c>
      <c r="K1733" s="65" t="str">
        <f>IFERROR(__xludf.DUMMYFUNCTION("""COMPUTED_VALUE"""),"ENTREGADO")</f>
        <v>ENTREGADO</v>
      </c>
      <c r="L1733" s="65" t="str">
        <f>IFERROR(__xludf.DUMMYFUNCTION("""COMPUTED_VALUE"""),"CON RECAUDO")</f>
        <v>CON RECAUDO</v>
      </c>
      <c r="M1733" s="65" t="str">
        <f>IFERROR(__xludf.DUMMYFUNCTION("""COMPUTED_VALUE"""),"PICHINCHA")</f>
        <v>PICHINCHA</v>
      </c>
      <c r="N1733" s="65" t="str">
        <f>IFERROR(__xludf.DUMMYFUNCTION("""COMPUTED_VALUE"""),"QUITO")</f>
        <v>QUITO</v>
      </c>
      <c r="O1733" s="65" t="str">
        <f>IFERROR(__xludf.DUMMYFUNCTION("""COMPUTED_VALUE"""),"De las palmeras y de las toronjas El inca conjunto Century plaza - Edificio Century plaza")</f>
        <v>De las palmeras y de las toronjas El inca conjunto Century plaza - Edificio Century plaza</v>
      </c>
      <c r="P1733" s="65"/>
      <c r="Q1733" s="65" t="str">
        <f>IFERROR(__xludf.DUMMYFUNCTION("""COMPUTED_VALUE"""),"GINTRACOM")</f>
        <v>GINTRACOM</v>
      </c>
      <c r="R1733" s="65">
        <f>IFERROR(__xludf.DUMMYFUNCTION("""COMPUTED_VALUE"""),30.0)</f>
        <v>30</v>
      </c>
      <c r="S1733" s="65">
        <f>IFERROR(__xludf.DUMMYFUNCTION("""COMPUTED_VALUE"""),18.4)</f>
        <v>18.4</v>
      </c>
      <c r="T1733" s="65">
        <f>IFERROR(__xludf.DUMMYFUNCTION("""COMPUTED_VALUE"""),4.55)</f>
        <v>4.55</v>
      </c>
      <c r="U1733" s="65">
        <f>IFERROR(__xludf.DUMMYFUNCTION("""COMPUTED_VALUE"""),0.0)</f>
        <v>0</v>
      </c>
      <c r="V1733" s="65">
        <f>IFERROR(__xludf.DUMMYFUNCTION("""COMPUTED_VALUE"""),0.0)</f>
        <v>0</v>
      </c>
      <c r="W1733" s="65">
        <f>IFERROR(__xludf.DUMMYFUNCTION("""COMPUTED_VALUE"""),0.0)</f>
        <v>0</v>
      </c>
      <c r="X1733" s="65">
        <f>IFERROR(__xludf.DUMMYFUNCTION("""COMPUTED_VALUE"""),2.35)</f>
        <v>2.35</v>
      </c>
      <c r="Y1733" s="65">
        <f>IFERROR(__xludf.DUMMYFUNCTION("""COMPUTED_VALUE"""),7.05)</f>
        <v>7.05</v>
      </c>
      <c r="Z1733" s="65">
        <f>IFERROR(__xludf.DUMMYFUNCTION("""COMPUTED_VALUE"""),116679.0)</f>
        <v>116679</v>
      </c>
      <c r="AA1733" s="65" t="str">
        <f>IFERROR(__xludf.DUMMYFUNCTION("""COMPUTED_VALUE"""),"AMC-2738")</f>
        <v>AMC-2738</v>
      </c>
      <c r="AB1733" s="65"/>
      <c r="AC1733" s="65" t="str">
        <f>IFERROR(__xludf.DUMMYFUNCTION("""COMPUTED_VALUE"""),"ESPONJA ANTILLUVIA DE PARABRISAS")</f>
        <v>ESPONJA ANTILLUVIA DE PARABRISAS</v>
      </c>
      <c r="AD1733" s="65"/>
      <c r="AE1733" s="65">
        <f>IFERROR(__xludf.DUMMYFUNCTION("""COMPUTED_VALUE"""),3.0)</f>
        <v>3</v>
      </c>
      <c r="AF1733" s="65"/>
      <c r="AG1733" s="65"/>
      <c r="AH1733" s="65"/>
      <c r="AI1733" s="65"/>
      <c r="AJ1733" s="65"/>
      <c r="AK1733" s="65"/>
      <c r="AL1733" s="65"/>
      <c r="AM1733" s="65"/>
      <c r="AN1733" s="65" t="str">
        <f>IFERROR(__xludf.DUMMYFUNCTION("""COMPUTED_VALUE"""),"01:30")</f>
        <v>01:30</v>
      </c>
      <c r="AO1733" s="65" t="str">
        <f>IFERROR(__xludf.DUMMYFUNCTION("""COMPUTED_VALUE"""),"21-01-2026")</f>
        <v>21-01-2026</v>
      </c>
      <c r="AP1733" s="65" t="str">
        <f>IFERROR(__xludf.DUMMYFUNCTION("""COMPUTED_VALUE"""),"ENTREGADA GINTRACOM")</f>
        <v>ENTREGADA GINTRACOM</v>
      </c>
      <c r="AQ1733" s="65" t="str">
        <f>IFERROR(__xludf.DUMMYFUNCTION("""COMPUTED_VALUE"""),"ENTREGADA GINTRACOM")</f>
        <v>ENTREGADA GINTRACOM</v>
      </c>
      <c r="AR1733" s="65"/>
      <c r="AS1733" s="65"/>
      <c r="AT1733" s="65" t="str">
        <f>IFERROR(__xludf.DUMMYFUNCTION("""COMPUTED_VALUE"""),"SHOPIFY")</f>
        <v>SHOPIFY</v>
      </c>
      <c r="AU1733" s="65" t="str">
        <f>IFERROR(__xludf.DUMMYFUNCTION("""COMPUTED_VALUE"""),"IMPORTEX EC")</f>
        <v>IMPORTEX EC</v>
      </c>
      <c r="AV1733" s="65" t="str">
        <f>IFERROR(__xludf.DUMMYFUNCTION("""COMPUTED_VALUE"""),"6415712419884")</f>
        <v>6415712419884</v>
      </c>
      <c r="AW1733" s="65">
        <f>IFERROR(__xludf.DUMMYFUNCTION("""COMPUTED_VALUE"""),5211.0)</f>
        <v>5211</v>
      </c>
      <c r="AX1733" s="65"/>
      <c r="AY1733" s="65" t="str">
        <f>IFERROR(__xludf.DUMMYFUNCTION("""COMPUTED_VALUE"""),"16/01/2026")</f>
        <v>16/01/2026</v>
      </c>
      <c r="AZ1733" s="65"/>
      <c r="BA1733" s="65"/>
    </row>
    <row r="1734">
      <c r="A1734" s="65" t="str">
        <f>IFERROR(__xludf.DUMMYFUNCTION("""COMPUTED_VALUE"""),"27-03-2026")</f>
        <v>27-03-2026</v>
      </c>
      <c r="B1734" s="65">
        <f>IFERROR(__xludf.DUMMYFUNCTION("""COMPUTED_VALUE"""),4152134.0)</f>
        <v>4152134</v>
      </c>
      <c r="C1734" s="65" t="str">
        <f>IFERROR(__xludf.DUMMYFUNCTION("""COMPUTED_VALUE"""),"00:10")</f>
        <v>00:10</v>
      </c>
      <c r="D1734" s="65" t="str">
        <f>IFERROR(__xludf.DUMMYFUNCTION("""COMPUTED_VALUE"""),"15-01-2026")</f>
        <v>15-01-2026</v>
      </c>
      <c r="E1734" s="65" t="str">
        <f>IFERROR(__xludf.DUMMYFUNCTION("""COMPUTED_VALUE"""),"Byron Cortez")</f>
        <v>Byron Cortez</v>
      </c>
      <c r="F1734" s="65" t="str">
        <f>IFERROR(__xludf.DUMMYFUNCTION("""COMPUTED_VALUE"""),"991970900")</f>
        <v>991970900</v>
      </c>
      <c r="G1734" s="65" t="str">
        <f>IFERROR(__xludf.DUMMYFUNCTION("""COMPUTED_VALUE"""),"byroncortez1406@gmail.com")</f>
        <v>byroncortez1406@gmail.com</v>
      </c>
      <c r="H1734" s="65"/>
      <c r="I1734" s="65"/>
      <c r="J1734" s="65" t="str">
        <f>IFERROR(__xludf.DUMMYFUNCTION("""COMPUTED_VALUE"""),"D001250502")</f>
        <v>D001250502</v>
      </c>
      <c r="K1734" s="65" t="str">
        <f>IFERROR(__xludf.DUMMYFUNCTION("""COMPUTED_VALUE"""),"DEVOLUCION")</f>
        <v>DEVOLUCION</v>
      </c>
      <c r="L1734" s="65" t="str">
        <f>IFERROR(__xludf.DUMMYFUNCTION("""COMPUTED_VALUE"""),"CON RECAUDO")</f>
        <v>CON RECAUDO</v>
      </c>
      <c r="M1734" s="65" t="str">
        <f>IFERROR(__xludf.DUMMYFUNCTION("""COMPUTED_VALUE"""),"PICHINCHA")</f>
        <v>PICHINCHA</v>
      </c>
      <c r="N1734" s="65" t="str">
        <f>IFERROR(__xludf.DUMMYFUNCTION("""COMPUTED_VALUE"""),"QUITO")</f>
        <v>QUITO</v>
      </c>
      <c r="O1734" s="65" t="str">
        <f>IFERROR(__xludf.DUMMYFUNCTION("""COMPUTED_VALUE"""),"S44A y Oe3G Ciudadela del Ejército -")</f>
        <v>S44A y Oe3G Ciudadela del Ejército -</v>
      </c>
      <c r="P1734" s="65"/>
      <c r="Q1734" s="65" t="str">
        <f>IFERROR(__xludf.DUMMYFUNCTION("""COMPUTED_VALUE"""),"GINTRACOM")</f>
        <v>GINTRACOM</v>
      </c>
      <c r="R1734" s="65">
        <f>IFERROR(__xludf.DUMMYFUNCTION("""COMPUTED_VALUE"""),27.0)</f>
        <v>27</v>
      </c>
      <c r="S1734" s="65"/>
      <c r="T1734" s="65">
        <f>IFERROR(__xludf.DUMMYFUNCTION("""COMPUTED_VALUE"""),6.03)</f>
        <v>6.03</v>
      </c>
      <c r="U1734" s="65">
        <f>IFERROR(__xludf.DUMMYFUNCTION("""COMPUTED_VALUE"""),0.0)</f>
        <v>0</v>
      </c>
      <c r="V1734" s="65">
        <f>IFERROR(__xludf.DUMMYFUNCTION("""COMPUTED_VALUE"""),0.0)</f>
        <v>0</v>
      </c>
      <c r="W1734" s="65">
        <f>IFERROR(__xludf.DUMMYFUNCTION("""COMPUTED_VALUE"""),0.0)</f>
        <v>0</v>
      </c>
      <c r="X1734" s="65">
        <f>IFERROR(__xludf.DUMMYFUNCTION("""COMPUTED_VALUE"""),2.6)</f>
        <v>2.6</v>
      </c>
      <c r="Y1734" s="65">
        <f>IFERROR(__xludf.DUMMYFUNCTION("""COMPUTED_VALUE"""),7.8)</f>
        <v>7.8</v>
      </c>
      <c r="Z1734" s="65">
        <f>IFERROR(__xludf.DUMMYFUNCTION("""COMPUTED_VALUE"""),121983.0)</f>
        <v>121983</v>
      </c>
      <c r="AA1734" s="65" t="str">
        <f>IFERROR(__xludf.DUMMYFUNCTION("""COMPUTED_VALUE"""),"PROV-CHLLCF")</f>
        <v>PROV-CHLLCF</v>
      </c>
      <c r="AB1734" s="65"/>
      <c r="AC1734" s="65" t="str">
        <f>IFERROR(__xludf.DUMMYFUNCTION("""COMPUTED_VALUE"""),"CUCHILLO PARA CHEF")</f>
        <v>CUCHILLO PARA CHEF</v>
      </c>
      <c r="AD1734" s="65"/>
      <c r="AE1734" s="65">
        <f>IFERROR(__xludf.DUMMYFUNCTION("""COMPUTED_VALUE"""),3.0)</f>
        <v>3</v>
      </c>
      <c r="AF1734" s="65" t="str">
        <f>IFERROR(__xludf.DUMMYFUNCTION("""COMPUTED_VALUE"""),"DESTINATARIO NO CONTESTA LLAMADAS NI WHATSAPP")</f>
        <v>DESTINATARIO NO CONTESTA LLAMADAS NI WHATSAPP</v>
      </c>
      <c r="AG1734" s="65" t="str">
        <f>IFERROR(__xludf.DUMMYFUNCTION("""COMPUTED_VALUE"""),"NO")</f>
        <v>NO</v>
      </c>
      <c r="AH1734" s="65" t="str">
        <f>IFERROR(__xludf.DUMMYFUNCTION("""COMPUTED_VALUE"""),"09:00")</f>
        <v>09:00</v>
      </c>
      <c r="AI1734" s="65" t="str">
        <f>IFERROR(__xludf.DUMMYFUNCTION("""COMPUTED_VALUE"""),"31-01-2026")</f>
        <v>31-01-2026</v>
      </c>
      <c r="AJ1734" s="65"/>
      <c r="AK1734" s="65"/>
      <c r="AL1734" s="65"/>
      <c r="AM1734" s="65"/>
      <c r="AN1734" s="65" t="str">
        <f>IFERROR(__xludf.DUMMYFUNCTION("""COMPUTED_VALUE"""),"13:30")</f>
        <v>13:30</v>
      </c>
      <c r="AO1734" s="65" t="str">
        <f>IFERROR(__xludf.DUMMYFUNCTION("""COMPUTED_VALUE"""),"19-02-2026")</f>
        <v>19-02-2026</v>
      </c>
      <c r="AP1734" s="65" t="str">
        <f>IFERROR(__xludf.DUMMYFUNCTION("""COMPUTED_VALUE"""),"DEV CONFIRMADA POR BODEGA")</f>
        <v>DEV CONFIRMADA POR BODEGA</v>
      </c>
      <c r="AQ1734" s="65"/>
      <c r="AR1734" s="65" t="str">
        <f>IFERROR(__xludf.DUMMYFUNCTION("""COMPUTED_VALUE"""),"Gestionado por: PROVEDIX DAMIAN, email:enviogratisdirecto@gmail.com, total de productos en la orden: 1")</f>
        <v>Gestionado por: PROVEDIX DAMIAN, email:enviogratisdirecto@gmail.com, total de productos en la orden: 1</v>
      </c>
      <c r="AS1734" s="65"/>
      <c r="AT1734" s="65" t="str">
        <f>IFERROR(__xludf.DUMMYFUNCTION("""COMPUTED_VALUE"""),"SHOPIFY")</f>
        <v>SHOPIFY</v>
      </c>
      <c r="AU1734" s="65" t="str">
        <f>IFERROR(__xludf.DUMMYFUNCTION("""COMPUTED_VALUE"""),"IMPORTEX EC")</f>
        <v>IMPORTEX EC</v>
      </c>
      <c r="AV1734" s="65" t="str">
        <f>IFERROR(__xludf.DUMMYFUNCTION("""COMPUTED_VALUE"""),"6415706259500")</f>
        <v>6415706259500</v>
      </c>
      <c r="AW1734" s="65">
        <f>IFERROR(__xludf.DUMMYFUNCTION("""COMPUTED_VALUE"""),5210.0)</f>
        <v>5210</v>
      </c>
      <c r="AX1734" s="65"/>
      <c r="AY1734" s="65" t="str">
        <f>IFERROR(__xludf.DUMMYFUNCTION("""COMPUTED_VALUE"""),"22/01/2026")</f>
        <v>22/01/2026</v>
      </c>
      <c r="AZ1734" s="65"/>
      <c r="BA1734" s="65"/>
    </row>
    <row r="1735">
      <c r="A1735" s="65" t="str">
        <f>IFERROR(__xludf.DUMMYFUNCTION("""COMPUTED_VALUE"""),"27-03-2026")</f>
        <v>27-03-2026</v>
      </c>
      <c r="B1735" s="65">
        <f>IFERROR(__xludf.DUMMYFUNCTION("""COMPUTED_VALUE"""),4152126.0)</f>
        <v>4152126</v>
      </c>
      <c r="C1735" s="65" t="str">
        <f>IFERROR(__xludf.DUMMYFUNCTION("""COMPUTED_VALUE"""),"00:08")</f>
        <v>00:08</v>
      </c>
      <c r="D1735" s="65" t="str">
        <f>IFERROR(__xludf.DUMMYFUNCTION("""COMPUTED_VALUE"""),"15-01-2026")</f>
        <v>15-01-2026</v>
      </c>
      <c r="E1735" s="65" t="str">
        <f>IFERROR(__xludf.DUMMYFUNCTION("""COMPUTED_VALUE"""),"Brandon Mauricio Almeida cedeño")</f>
        <v>Brandon Mauricio Almeida cedeño</v>
      </c>
      <c r="F1735" s="65" t="str">
        <f>IFERROR(__xludf.DUMMYFUNCTION("""COMPUTED_VALUE"""),"998212794")</f>
        <v>998212794</v>
      </c>
      <c r="G1735" s="65" t="str">
        <f>IFERROR(__xludf.DUMMYFUNCTION("""COMPUTED_VALUE"""),"brandonalmeida1234@gmail.com")</f>
        <v>brandonalmeida1234@gmail.com</v>
      </c>
      <c r="H1735" s="65"/>
      <c r="I1735" s="65"/>
      <c r="J1735" s="65" t="str">
        <f>IFERROR(__xludf.DUMMYFUNCTION("""COMPUTED_VALUE"""),"D001233739")</f>
        <v>D001233739</v>
      </c>
      <c r="K1735" s="65" t="str">
        <f>IFERROR(__xludf.DUMMYFUNCTION("""COMPUTED_VALUE"""),"ENTREGADO")</f>
        <v>ENTREGADO</v>
      </c>
      <c r="L1735" s="65" t="str">
        <f>IFERROR(__xludf.DUMMYFUNCTION("""COMPUTED_VALUE"""),"CON RECAUDO")</f>
        <v>CON RECAUDO</v>
      </c>
      <c r="M1735" s="65" t="str">
        <f>IFERROR(__xludf.DUMMYFUNCTION("""COMPUTED_VALUE"""),"PICHINCHA")</f>
        <v>PICHINCHA</v>
      </c>
      <c r="N1735" s="65" t="str">
        <f>IFERROR(__xludf.DUMMYFUNCTION("""COMPUTED_VALUE"""),"QUITO")</f>
        <v>QUITO</v>
      </c>
      <c r="O1735" s="65" t="str">
        <f>IFERROR(__xludf.DUMMYFUNCTION("""COMPUTED_VALUE"""),"De Las Toronjas Pasaje B Y De Las Fucsias -")</f>
        <v>De Las Toronjas Pasaje B Y De Las Fucsias -</v>
      </c>
      <c r="P1735" s="65"/>
      <c r="Q1735" s="65" t="str">
        <f>IFERROR(__xludf.DUMMYFUNCTION("""COMPUTED_VALUE"""),"GINTRACOM")</f>
        <v>GINTRACOM</v>
      </c>
      <c r="R1735" s="65">
        <f>IFERROR(__xludf.DUMMYFUNCTION("""COMPUTED_VALUE"""),27.0)</f>
        <v>27</v>
      </c>
      <c r="S1735" s="65">
        <f>IFERROR(__xludf.DUMMYFUNCTION("""COMPUTED_VALUE"""),13.17)</f>
        <v>13.17</v>
      </c>
      <c r="T1735" s="65">
        <f>IFERROR(__xludf.DUMMYFUNCTION("""COMPUTED_VALUE"""),6.03)</f>
        <v>6.03</v>
      </c>
      <c r="U1735" s="65">
        <f>IFERROR(__xludf.DUMMYFUNCTION("""COMPUTED_VALUE"""),0.0)</f>
        <v>0</v>
      </c>
      <c r="V1735" s="65">
        <f>IFERROR(__xludf.DUMMYFUNCTION("""COMPUTED_VALUE"""),0.0)</f>
        <v>0</v>
      </c>
      <c r="W1735" s="65">
        <f>IFERROR(__xludf.DUMMYFUNCTION("""COMPUTED_VALUE"""),0.0)</f>
        <v>0</v>
      </c>
      <c r="X1735" s="65">
        <f>IFERROR(__xludf.DUMMYFUNCTION("""COMPUTED_VALUE"""),2.6)</f>
        <v>2.6</v>
      </c>
      <c r="Y1735" s="65">
        <f>IFERROR(__xludf.DUMMYFUNCTION("""COMPUTED_VALUE"""),7.8)</f>
        <v>7.8</v>
      </c>
      <c r="Z1735" s="65">
        <f>IFERROR(__xludf.DUMMYFUNCTION("""COMPUTED_VALUE"""),121983.0)</f>
        <v>121983</v>
      </c>
      <c r="AA1735" s="65" t="str">
        <f>IFERROR(__xludf.DUMMYFUNCTION("""COMPUTED_VALUE"""),"PROV-CHLLCF")</f>
        <v>PROV-CHLLCF</v>
      </c>
      <c r="AB1735" s="65"/>
      <c r="AC1735" s="65" t="str">
        <f>IFERROR(__xludf.DUMMYFUNCTION("""COMPUTED_VALUE"""),"CUCHILLO PARA CHEF")</f>
        <v>CUCHILLO PARA CHEF</v>
      </c>
      <c r="AD1735" s="65"/>
      <c r="AE1735" s="65">
        <f>IFERROR(__xludf.DUMMYFUNCTION("""COMPUTED_VALUE"""),3.0)</f>
        <v>3</v>
      </c>
      <c r="AF1735" s="65" t="str">
        <f>IFERROR(__xludf.DUMMYFUNCTION("""COMPUTED_VALUE"""),"DESTINATARIO AGENDA, FECHA Y HORA DE ENTREGA Y YA NO CONTESTA")</f>
        <v>DESTINATARIO AGENDA, FECHA Y HORA DE ENTREGA Y YA NO CONTESTA</v>
      </c>
      <c r="AG1735" s="65" t="str">
        <f>IFERROR(__xludf.DUMMYFUNCTION("""COMPUTED_VALUE"""),"SI")</f>
        <v>SI</v>
      </c>
      <c r="AH1735" s="65" t="str">
        <f>IFERROR(__xludf.DUMMYFUNCTION("""COMPUTED_VALUE"""),"17:46")</f>
        <v>17:46</v>
      </c>
      <c r="AI1735" s="65" t="str">
        <f>IFERROR(__xludf.DUMMYFUNCTION("""COMPUTED_VALUE"""),"22-01-2026")</f>
        <v>22-01-2026</v>
      </c>
      <c r="AJ1735" s="65"/>
      <c r="AK1735" s="65"/>
      <c r="AL1735" s="65"/>
      <c r="AM1735" s="65"/>
      <c r="AN1735" s="65" t="str">
        <f>IFERROR(__xludf.DUMMYFUNCTION("""COMPUTED_VALUE"""),"14:47")</f>
        <v>14:47</v>
      </c>
      <c r="AO1735" s="65" t="str">
        <f>IFERROR(__xludf.DUMMYFUNCTION("""COMPUTED_VALUE"""),"27-01-2026")</f>
        <v>27-01-2026</v>
      </c>
      <c r="AP1735" s="65" t="str">
        <f>IFERROR(__xludf.DUMMYFUNCTION("""COMPUTED_VALUE"""),"ENTREGADA GINTRACOM")</f>
        <v>ENTREGADA GINTRACOM</v>
      </c>
      <c r="AQ1735" s="65" t="str">
        <f>IFERROR(__xludf.DUMMYFUNCTION("""COMPUTED_VALUE"""),"ENTREGADA GINTRACOM")</f>
        <v>ENTREGADA GINTRACOM</v>
      </c>
      <c r="AR1735" s="65"/>
      <c r="AS1735" s="65"/>
      <c r="AT1735" s="65" t="str">
        <f>IFERROR(__xludf.DUMMYFUNCTION("""COMPUTED_VALUE"""),"SHOPIFY")</f>
        <v>SHOPIFY</v>
      </c>
      <c r="AU1735" s="65" t="str">
        <f>IFERROR(__xludf.DUMMYFUNCTION("""COMPUTED_VALUE"""),"IMPORTEX EC")</f>
        <v>IMPORTEX EC</v>
      </c>
      <c r="AV1735" s="65" t="str">
        <f>IFERROR(__xludf.DUMMYFUNCTION("""COMPUTED_VALUE"""),"6415703605292")</f>
        <v>6415703605292</v>
      </c>
      <c r="AW1735" s="65">
        <f>IFERROR(__xludf.DUMMYFUNCTION("""COMPUTED_VALUE"""),5208.0)</f>
        <v>5208</v>
      </c>
      <c r="AX1735" s="65"/>
      <c r="AY1735" s="65" t="str">
        <f>IFERROR(__xludf.DUMMYFUNCTION("""COMPUTED_VALUE"""),"17/01/2026")</f>
        <v>17/01/2026</v>
      </c>
      <c r="AZ1735" s="65"/>
      <c r="BA1735" s="65"/>
    </row>
    <row r="1736">
      <c r="A1736" s="65" t="str">
        <f>IFERROR(__xludf.DUMMYFUNCTION("""COMPUTED_VALUE"""),"27-03-2026")</f>
        <v>27-03-2026</v>
      </c>
      <c r="B1736" s="65">
        <f>IFERROR(__xludf.DUMMYFUNCTION("""COMPUTED_VALUE"""),4152084.0)</f>
        <v>4152084</v>
      </c>
      <c r="C1736" s="65" t="str">
        <f>IFERROR(__xludf.DUMMYFUNCTION("""COMPUTED_VALUE"""),"00:01")</f>
        <v>00:01</v>
      </c>
      <c r="D1736" s="65" t="str">
        <f>IFERROR(__xludf.DUMMYFUNCTION("""COMPUTED_VALUE"""),"15-01-2026")</f>
        <v>15-01-2026</v>
      </c>
      <c r="E1736" s="65" t="str">
        <f>IFERROR(__xludf.DUMMYFUNCTION("""COMPUTED_VALUE"""),"Elvis Farino")</f>
        <v>Elvis Farino</v>
      </c>
      <c r="F1736" s="65" t="str">
        <f>IFERROR(__xludf.DUMMYFUNCTION("""COMPUTED_VALUE"""),"999891742")</f>
        <v>999891742</v>
      </c>
      <c r="G1736" s="65" t="str">
        <f>IFERROR(__xludf.DUMMYFUNCTION("""COMPUTED_VALUE"""),"efarinoc@hotmail.com")</f>
        <v>efarinoc@hotmail.com</v>
      </c>
      <c r="H1736" s="65"/>
      <c r="I1736" s="65"/>
      <c r="J1736" s="65" t="str">
        <f>IFERROR(__xludf.DUMMYFUNCTION("""COMPUTED_VALUE"""),"D001233741")</f>
        <v>D001233741</v>
      </c>
      <c r="K1736" s="65" t="str">
        <f>IFERROR(__xludf.DUMMYFUNCTION("""COMPUTED_VALUE"""),"ENTREGADO")</f>
        <v>ENTREGADO</v>
      </c>
      <c r="L1736" s="65" t="str">
        <f>IFERROR(__xludf.DUMMYFUNCTION("""COMPUTED_VALUE"""),"CON RECAUDO")</f>
        <v>CON RECAUDO</v>
      </c>
      <c r="M1736" s="65" t="str">
        <f>IFERROR(__xludf.DUMMYFUNCTION("""COMPUTED_VALUE"""),"GUAYAS")</f>
        <v>GUAYAS</v>
      </c>
      <c r="N1736" s="65" t="str">
        <f>IFERROR(__xludf.DUMMYFUNCTION("""COMPUTED_VALUE"""),"GUAYAQUIL")</f>
        <v>GUAYAQUIL</v>
      </c>
      <c r="O1736" s="65" t="str">
        <f>IFERROR(__xludf.DUMMYFUNCTION("""COMPUTED_VALUE"""),"Via Terminal pascuales Km 11.5 Urb.  Horizonte Dorado -")</f>
        <v>Via Terminal pascuales Km 11.5 Urb.  Horizonte Dorado -</v>
      </c>
      <c r="P1736" s="65"/>
      <c r="Q1736" s="65" t="str">
        <f>IFERROR(__xludf.DUMMYFUNCTION("""COMPUTED_VALUE"""),"GINTRACOM")</f>
        <v>GINTRACOM</v>
      </c>
      <c r="R1736" s="65">
        <f>IFERROR(__xludf.DUMMYFUNCTION("""COMPUTED_VALUE"""),22.0)</f>
        <v>22</v>
      </c>
      <c r="S1736" s="65">
        <f>IFERROR(__xludf.DUMMYFUNCTION("""COMPUTED_VALUE"""),12.57)</f>
        <v>12.57</v>
      </c>
      <c r="T1736" s="65">
        <f>IFERROR(__xludf.DUMMYFUNCTION("""COMPUTED_VALUE"""),4.23)</f>
        <v>4.23</v>
      </c>
      <c r="U1736" s="65">
        <f>IFERROR(__xludf.DUMMYFUNCTION("""COMPUTED_VALUE"""),0.0)</f>
        <v>0</v>
      </c>
      <c r="V1736" s="65">
        <f>IFERROR(__xludf.DUMMYFUNCTION("""COMPUTED_VALUE"""),0.0)</f>
        <v>0</v>
      </c>
      <c r="W1736" s="65">
        <f>IFERROR(__xludf.DUMMYFUNCTION("""COMPUTED_VALUE"""),0.0)</f>
        <v>0</v>
      </c>
      <c r="X1736" s="65">
        <f>IFERROR(__xludf.DUMMYFUNCTION("""COMPUTED_VALUE"""),2.6)</f>
        <v>2.6</v>
      </c>
      <c r="Y1736" s="65">
        <f>IFERROR(__xludf.DUMMYFUNCTION("""COMPUTED_VALUE"""),5.2)</f>
        <v>5.2</v>
      </c>
      <c r="Z1736" s="65">
        <f>IFERROR(__xludf.DUMMYFUNCTION("""COMPUTED_VALUE"""),121983.0)</f>
        <v>121983</v>
      </c>
      <c r="AA1736" s="65" t="str">
        <f>IFERROR(__xludf.DUMMYFUNCTION("""COMPUTED_VALUE"""),"PROV-CHLLCF")</f>
        <v>PROV-CHLLCF</v>
      </c>
      <c r="AB1736" s="65"/>
      <c r="AC1736" s="65" t="str">
        <f>IFERROR(__xludf.DUMMYFUNCTION("""COMPUTED_VALUE"""),"CUCHILLO PARA CHEF")</f>
        <v>CUCHILLO PARA CHEF</v>
      </c>
      <c r="AD1736" s="65"/>
      <c r="AE1736" s="65">
        <f>IFERROR(__xludf.DUMMYFUNCTION("""COMPUTED_VALUE"""),2.0)</f>
        <v>2</v>
      </c>
      <c r="AF1736" s="65"/>
      <c r="AG1736" s="65"/>
      <c r="AH1736" s="65"/>
      <c r="AI1736" s="65"/>
      <c r="AJ1736" s="65"/>
      <c r="AK1736" s="65"/>
      <c r="AL1736" s="65"/>
      <c r="AM1736" s="65"/>
      <c r="AN1736" s="65" t="str">
        <f>IFERROR(__xludf.DUMMYFUNCTION("""COMPUTED_VALUE"""),"15:57")</f>
        <v>15:57</v>
      </c>
      <c r="AO1736" s="65" t="str">
        <f>IFERROR(__xludf.DUMMYFUNCTION("""COMPUTED_VALUE"""),"19-01-2026")</f>
        <v>19-01-2026</v>
      </c>
      <c r="AP1736" s="65" t="str">
        <f>IFERROR(__xludf.DUMMYFUNCTION("""COMPUTED_VALUE"""),"ENTREGADA GINTRACOM")</f>
        <v>ENTREGADA GINTRACOM</v>
      </c>
      <c r="AQ1736" s="65" t="str">
        <f>IFERROR(__xludf.DUMMYFUNCTION("""COMPUTED_VALUE"""),"ENTREGADA GINTRACOM")</f>
        <v>ENTREGADA GINTRACOM</v>
      </c>
      <c r="AR1736" s="65"/>
      <c r="AS1736" s="65"/>
      <c r="AT1736" s="65" t="str">
        <f>IFERROR(__xludf.DUMMYFUNCTION("""COMPUTED_VALUE"""),"SHOPIFY")</f>
        <v>SHOPIFY</v>
      </c>
      <c r="AU1736" s="65" t="str">
        <f>IFERROR(__xludf.DUMMYFUNCTION("""COMPUTED_VALUE"""),"IMPORTEX EC")</f>
        <v>IMPORTEX EC</v>
      </c>
      <c r="AV1736" s="65" t="str">
        <f>IFERROR(__xludf.DUMMYFUNCTION("""COMPUTED_VALUE"""),"6415694102572")</f>
        <v>6415694102572</v>
      </c>
      <c r="AW1736" s="65">
        <f>IFERROR(__xludf.DUMMYFUNCTION("""COMPUTED_VALUE"""),5207.0)</f>
        <v>5207</v>
      </c>
      <c r="AX1736" s="65"/>
      <c r="AY1736" s="65" t="str">
        <f>IFERROR(__xludf.DUMMYFUNCTION("""COMPUTED_VALUE"""),"17/01/2026")</f>
        <v>17/01/2026</v>
      </c>
      <c r="AZ1736" s="65"/>
      <c r="BA1736" s="65"/>
    </row>
    <row r="1737">
      <c r="A1737" s="65" t="str">
        <f>IFERROR(__xludf.DUMMYFUNCTION("""COMPUTED_VALUE"""),"27-03-2026")</f>
        <v>27-03-2026</v>
      </c>
      <c r="B1737" s="65">
        <f>IFERROR(__xludf.DUMMYFUNCTION("""COMPUTED_VALUE"""),4152067.0)</f>
        <v>4152067</v>
      </c>
      <c r="C1737" s="65" t="str">
        <f>IFERROR(__xludf.DUMMYFUNCTION("""COMPUTED_VALUE"""),"23:58")</f>
        <v>23:58</v>
      </c>
      <c r="D1737" s="65" t="str">
        <f>IFERROR(__xludf.DUMMYFUNCTION("""COMPUTED_VALUE"""),"14-01-2026")</f>
        <v>14-01-2026</v>
      </c>
      <c r="E1737" s="65" t="str">
        <f>IFERROR(__xludf.DUMMYFUNCTION("""COMPUTED_VALUE"""),"Ariel Rodriguez")</f>
        <v>Ariel Rodriguez</v>
      </c>
      <c r="F1737" s="65" t="str">
        <f>IFERROR(__xludf.DUMMYFUNCTION("""COMPUTED_VALUE"""),"982399219")</f>
        <v>982399219</v>
      </c>
      <c r="G1737" s="65" t="str">
        <f>IFERROR(__xludf.DUMMYFUNCTION("""COMPUTED_VALUE"""),"arielr1996@gmail.com")</f>
        <v>arielr1996@gmail.com</v>
      </c>
      <c r="H1737" s="65"/>
      <c r="I1737" s="65"/>
      <c r="J1737" s="65" t="str">
        <f>IFERROR(__xludf.DUMMYFUNCTION("""COMPUTED_VALUE"""),"D001231772")</f>
        <v>D001231772</v>
      </c>
      <c r="K1737" s="65" t="str">
        <f>IFERROR(__xludf.DUMMYFUNCTION("""COMPUTED_VALUE"""),"DEVOLUCION")</f>
        <v>DEVOLUCION</v>
      </c>
      <c r="L1737" s="65" t="str">
        <f>IFERROR(__xludf.DUMMYFUNCTION("""COMPUTED_VALUE"""),"CON RECAUDO")</f>
        <v>CON RECAUDO</v>
      </c>
      <c r="M1737" s="65" t="str">
        <f>IFERROR(__xludf.DUMMYFUNCTION("""COMPUTED_VALUE"""),"MANABI")</f>
        <v>MANABI</v>
      </c>
      <c r="N1737" s="65" t="str">
        <f>IFERROR(__xludf.DUMMYFUNCTION("""COMPUTED_VALUE"""),"PORTOVIEJO")</f>
        <v>PORTOVIEJO</v>
      </c>
      <c r="O1737" s="65" t="str">
        <f>IFERROR(__xludf.DUMMYFUNCTION("""COMPUTED_VALUE"""),"Via a pachinche Sector santa lucia - Callejón antes de la tapicería, casa color crema")</f>
        <v>Via a pachinche Sector santa lucia - Callejón antes de la tapicería, casa color crema</v>
      </c>
      <c r="P1737" s="65"/>
      <c r="Q1737" s="65" t="str">
        <f>IFERROR(__xludf.DUMMYFUNCTION("""COMPUTED_VALUE"""),"GINTRACOM")</f>
        <v>GINTRACOM</v>
      </c>
      <c r="R1737" s="65">
        <f>IFERROR(__xludf.DUMMYFUNCTION("""COMPUTED_VALUE"""),25.0)</f>
        <v>25</v>
      </c>
      <c r="S1737" s="65"/>
      <c r="T1737" s="65">
        <f>IFERROR(__xludf.DUMMYFUNCTION("""COMPUTED_VALUE"""),5.96)</f>
        <v>5.96</v>
      </c>
      <c r="U1737" s="65">
        <f>IFERROR(__xludf.DUMMYFUNCTION("""COMPUTED_VALUE"""),0.0)</f>
        <v>0</v>
      </c>
      <c r="V1737" s="65">
        <f>IFERROR(__xludf.DUMMYFUNCTION("""COMPUTED_VALUE"""),0.0)</f>
        <v>0</v>
      </c>
      <c r="W1737" s="65">
        <f>IFERROR(__xludf.DUMMYFUNCTION("""COMPUTED_VALUE"""),0.0)</f>
        <v>0</v>
      </c>
      <c r="X1737" s="65">
        <f>IFERROR(__xludf.DUMMYFUNCTION("""COMPUTED_VALUE"""),2.35)</f>
        <v>2.35</v>
      </c>
      <c r="Y1737" s="65">
        <f>IFERROR(__xludf.DUMMYFUNCTION("""COMPUTED_VALUE"""),4.7)</f>
        <v>4.7</v>
      </c>
      <c r="Z1737" s="65">
        <f>IFERROR(__xludf.DUMMYFUNCTION("""COMPUTED_VALUE"""),116679.0)</f>
        <v>116679</v>
      </c>
      <c r="AA1737" s="65" t="str">
        <f>IFERROR(__xludf.DUMMYFUNCTION("""COMPUTED_VALUE"""),"AMC-2738")</f>
        <v>AMC-2738</v>
      </c>
      <c r="AB1737" s="65"/>
      <c r="AC1737" s="65" t="str">
        <f>IFERROR(__xludf.DUMMYFUNCTION("""COMPUTED_VALUE"""),"ESPONJA ANTILLUVIA DE PARABRISAS")</f>
        <v>ESPONJA ANTILLUVIA DE PARABRISAS</v>
      </c>
      <c r="AD1737" s="65"/>
      <c r="AE1737" s="65">
        <f>IFERROR(__xludf.DUMMYFUNCTION("""COMPUTED_VALUE"""),2.0)</f>
        <v>2</v>
      </c>
      <c r="AF1737" s="65" t="str">
        <f>IFERROR(__xludf.DUMMYFUNCTION("""COMPUTED_VALUE"""),"DESTINATARIO NO CONTESTA LLAMADAS NI WHATSAPP")</f>
        <v>DESTINATARIO NO CONTESTA LLAMADAS NI WHATSAPP</v>
      </c>
      <c r="AG1737" s="65" t="str">
        <f>IFERROR(__xludf.DUMMYFUNCTION("""COMPUTED_VALUE"""),"NO")</f>
        <v>NO</v>
      </c>
      <c r="AH1737" s="65" t="str">
        <f>IFERROR(__xludf.DUMMYFUNCTION("""COMPUTED_VALUE"""),"09:00")</f>
        <v>09:00</v>
      </c>
      <c r="AI1737" s="65" t="str">
        <f>IFERROR(__xludf.DUMMYFUNCTION("""COMPUTED_VALUE"""),"27-01-2026")</f>
        <v>27-01-2026</v>
      </c>
      <c r="AJ1737" s="65"/>
      <c r="AK1737" s="65"/>
      <c r="AL1737" s="65"/>
      <c r="AM1737" s="65"/>
      <c r="AN1737" s="65" t="str">
        <f>IFERROR(__xludf.DUMMYFUNCTION("""COMPUTED_VALUE"""),"16:27")</f>
        <v>16:27</v>
      </c>
      <c r="AO1737" s="65" t="str">
        <f>IFERROR(__xludf.DUMMYFUNCTION("""COMPUTED_VALUE"""),"10-02-2026")</f>
        <v>10-02-2026</v>
      </c>
      <c r="AP1737" s="65" t="str">
        <f>IFERROR(__xludf.DUMMYFUNCTION("""COMPUTED_VALUE"""),"DEVOLUCIÓN ENTREGADA A ORIGEN")</f>
        <v>DEVOLUCIÓN ENTREGADA A ORIGEN</v>
      </c>
      <c r="AQ1737" s="65" t="str">
        <f>IFERROR(__xludf.DUMMYFUNCTION("""COMPUTED_VALUE"""),"DEVOLUCIÓN ENTREGADA A ORIGEN")</f>
        <v>DEVOLUCIÓN ENTREGADA A ORIGEN</v>
      </c>
      <c r="AR1737" s="65"/>
      <c r="AS1737" s="65"/>
      <c r="AT1737" s="65" t="str">
        <f>IFERROR(__xludf.DUMMYFUNCTION("""COMPUTED_VALUE"""),"SHOPIFY")</f>
        <v>SHOPIFY</v>
      </c>
      <c r="AU1737" s="65" t="str">
        <f>IFERROR(__xludf.DUMMYFUNCTION("""COMPUTED_VALUE"""),"IMPORTEX EC")</f>
        <v>IMPORTEX EC</v>
      </c>
      <c r="AV1737" s="65" t="str">
        <f>IFERROR(__xludf.DUMMYFUNCTION("""COMPUTED_VALUE"""),"6415688564780")</f>
        <v>6415688564780</v>
      </c>
      <c r="AW1737" s="65">
        <f>IFERROR(__xludf.DUMMYFUNCTION("""COMPUTED_VALUE"""),5206.0)</f>
        <v>5206</v>
      </c>
      <c r="AX1737" s="65"/>
      <c r="AY1737" s="65" t="str">
        <f>IFERROR(__xludf.DUMMYFUNCTION("""COMPUTED_VALUE"""),"16/01/2026")</f>
        <v>16/01/2026</v>
      </c>
      <c r="AZ1737" s="65"/>
      <c r="BA1737" s="65"/>
    </row>
    <row r="1738">
      <c r="A1738" s="65" t="str">
        <f>IFERROR(__xludf.DUMMYFUNCTION("""COMPUTED_VALUE"""),"27-03-2026")</f>
        <v>27-03-2026</v>
      </c>
      <c r="B1738" s="65">
        <f>IFERROR(__xludf.DUMMYFUNCTION("""COMPUTED_VALUE"""),4151939.0)</f>
        <v>4151939</v>
      </c>
      <c r="C1738" s="65" t="str">
        <f>IFERROR(__xludf.DUMMYFUNCTION("""COMPUTED_VALUE"""),"23:40")</f>
        <v>23:40</v>
      </c>
      <c r="D1738" s="65" t="str">
        <f>IFERROR(__xludf.DUMMYFUNCTION("""COMPUTED_VALUE"""),"14-01-2026")</f>
        <v>14-01-2026</v>
      </c>
      <c r="E1738" s="65" t="str">
        <f>IFERROR(__xludf.DUMMYFUNCTION("""COMPUTED_VALUE"""),"Manuel Torres")</f>
        <v>Manuel Torres</v>
      </c>
      <c r="F1738" s="65" t="str">
        <f>IFERROR(__xludf.DUMMYFUNCTION("""COMPUTED_VALUE"""),"987146089")</f>
        <v>987146089</v>
      </c>
      <c r="G1738" s="65" t="str">
        <f>IFERROR(__xludf.DUMMYFUNCTION("""COMPUTED_VALUE"""),"atorres@etapa.net.ec")</f>
        <v>atorres@etapa.net.ec</v>
      </c>
      <c r="H1738" s="65"/>
      <c r="I1738" s="65"/>
      <c r="J1738" s="65" t="str">
        <f>IFERROR(__xludf.DUMMYFUNCTION("""COMPUTED_VALUE"""),"D001233743")</f>
        <v>D001233743</v>
      </c>
      <c r="K1738" s="65" t="str">
        <f>IFERROR(__xludf.DUMMYFUNCTION("""COMPUTED_VALUE"""),"ENTREGADO")</f>
        <v>ENTREGADO</v>
      </c>
      <c r="L1738" s="65" t="str">
        <f>IFERROR(__xludf.DUMMYFUNCTION("""COMPUTED_VALUE"""),"CON RECAUDO")</f>
        <v>CON RECAUDO</v>
      </c>
      <c r="M1738" s="65" t="str">
        <f>IFERROR(__xludf.DUMMYFUNCTION("""COMPUTED_VALUE"""),"AZUAY")</f>
        <v>AZUAY</v>
      </c>
      <c r="N1738" s="65" t="str">
        <f>IFERROR(__xludf.DUMMYFUNCTION("""COMPUTED_VALUE"""),"CUENCA")</f>
        <v>CUENCA</v>
      </c>
      <c r="O1738" s="65" t="str">
        <f>IFERROR(__xludf.DUMMYFUNCTION("""COMPUTED_VALUE"""),"Av 27 de febrero y 10 de agosto Múltiplos gapal -")</f>
        <v>Av 27 de febrero y 10 de agosto Múltiplos gapal -</v>
      </c>
      <c r="P1738" s="65"/>
      <c r="Q1738" s="65" t="str">
        <f>IFERROR(__xludf.DUMMYFUNCTION("""COMPUTED_VALUE"""),"GINTRACOM")</f>
        <v>GINTRACOM</v>
      </c>
      <c r="R1738" s="65">
        <f>IFERROR(__xludf.DUMMYFUNCTION("""COMPUTED_VALUE"""),22.0)</f>
        <v>22</v>
      </c>
      <c r="S1738" s="65">
        <f>IFERROR(__xludf.DUMMYFUNCTION("""COMPUTED_VALUE"""),10.96)</f>
        <v>10.96</v>
      </c>
      <c r="T1738" s="65">
        <f>IFERROR(__xludf.DUMMYFUNCTION("""COMPUTED_VALUE"""),5.84)</f>
        <v>5.84</v>
      </c>
      <c r="U1738" s="65">
        <f>IFERROR(__xludf.DUMMYFUNCTION("""COMPUTED_VALUE"""),0.0)</f>
        <v>0</v>
      </c>
      <c r="V1738" s="65">
        <f>IFERROR(__xludf.DUMMYFUNCTION("""COMPUTED_VALUE"""),0.0)</f>
        <v>0</v>
      </c>
      <c r="W1738" s="65">
        <f>IFERROR(__xludf.DUMMYFUNCTION("""COMPUTED_VALUE"""),0.0)</f>
        <v>0</v>
      </c>
      <c r="X1738" s="65">
        <f>IFERROR(__xludf.DUMMYFUNCTION("""COMPUTED_VALUE"""),2.6)</f>
        <v>2.6</v>
      </c>
      <c r="Y1738" s="65">
        <f>IFERROR(__xludf.DUMMYFUNCTION("""COMPUTED_VALUE"""),5.2)</f>
        <v>5.2</v>
      </c>
      <c r="Z1738" s="65">
        <f>IFERROR(__xludf.DUMMYFUNCTION("""COMPUTED_VALUE"""),121983.0)</f>
        <v>121983</v>
      </c>
      <c r="AA1738" s="65" t="str">
        <f>IFERROR(__xludf.DUMMYFUNCTION("""COMPUTED_VALUE"""),"PROV-CHLLCF")</f>
        <v>PROV-CHLLCF</v>
      </c>
      <c r="AB1738" s="65"/>
      <c r="AC1738" s="65" t="str">
        <f>IFERROR(__xludf.DUMMYFUNCTION("""COMPUTED_VALUE"""),"CUCHILLO PARA CHEF")</f>
        <v>CUCHILLO PARA CHEF</v>
      </c>
      <c r="AD1738" s="65"/>
      <c r="AE1738" s="65">
        <f>IFERROR(__xludf.DUMMYFUNCTION("""COMPUTED_VALUE"""),2.0)</f>
        <v>2</v>
      </c>
      <c r="AF1738" s="65" t="str">
        <f>IFERROR(__xludf.DUMMYFUNCTION("""COMPUTED_VALUE"""),"DESTINATARIO NO SE ENCUENTRA EN LUGAR DE ENTREGA.")</f>
        <v>DESTINATARIO NO SE ENCUENTRA EN LUGAR DE ENTREGA.</v>
      </c>
      <c r="AG1738" s="65" t="str">
        <f>IFERROR(__xludf.DUMMYFUNCTION("""COMPUTED_VALUE"""),"SI")</f>
        <v>SI</v>
      </c>
      <c r="AH1738" s="65" t="str">
        <f>IFERROR(__xludf.DUMMYFUNCTION("""COMPUTED_VALUE"""),"23:49")</f>
        <v>23:49</v>
      </c>
      <c r="AI1738" s="65" t="str">
        <f>IFERROR(__xludf.DUMMYFUNCTION("""COMPUTED_VALUE"""),"19-01-2026")</f>
        <v>19-01-2026</v>
      </c>
      <c r="AJ1738" s="65"/>
      <c r="AK1738" s="65"/>
      <c r="AL1738" s="65"/>
      <c r="AM1738" s="65"/>
      <c r="AN1738" s="65" t="str">
        <f>IFERROR(__xludf.DUMMYFUNCTION("""COMPUTED_VALUE"""),"11:49")</f>
        <v>11:49</v>
      </c>
      <c r="AO1738" s="65" t="str">
        <f>IFERROR(__xludf.DUMMYFUNCTION("""COMPUTED_VALUE"""),"23-01-2026")</f>
        <v>23-01-2026</v>
      </c>
      <c r="AP1738" s="65" t="str">
        <f>IFERROR(__xludf.DUMMYFUNCTION("""COMPUTED_VALUE"""),"ENTREGADA GINTRACOM")</f>
        <v>ENTREGADA GINTRACOM</v>
      </c>
      <c r="AQ1738" s="65" t="str">
        <f>IFERROR(__xludf.DUMMYFUNCTION("""COMPUTED_VALUE"""),"ENTREGADA GINTRACOM")</f>
        <v>ENTREGADA GINTRACOM</v>
      </c>
      <c r="AR1738" s="65"/>
      <c r="AS1738" s="65"/>
      <c r="AT1738" s="65" t="str">
        <f>IFERROR(__xludf.DUMMYFUNCTION("""COMPUTED_VALUE"""),"SHOPIFY")</f>
        <v>SHOPIFY</v>
      </c>
      <c r="AU1738" s="65" t="str">
        <f>IFERROR(__xludf.DUMMYFUNCTION("""COMPUTED_VALUE"""),"IMPORTEX EC")</f>
        <v>IMPORTEX EC</v>
      </c>
      <c r="AV1738" s="65" t="str">
        <f>IFERROR(__xludf.DUMMYFUNCTION("""COMPUTED_VALUE"""),"6415664578604")</f>
        <v>6415664578604</v>
      </c>
      <c r="AW1738" s="65">
        <f>IFERROR(__xludf.DUMMYFUNCTION("""COMPUTED_VALUE"""),5205.0)</f>
        <v>5205</v>
      </c>
      <c r="AX1738" s="65"/>
      <c r="AY1738" s="65" t="str">
        <f>IFERROR(__xludf.DUMMYFUNCTION("""COMPUTED_VALUE"""),"17/01/2026")</f>
        <v>17/01/2026</v>
      </c>
      <c r="AZ1738" s="65"/>
      <c r="BA1738" s="65"/>
    </row>
    <row r="1739">
      <c r="A1739" s="65" t="str">
        <f>IFERROR(__xludf.DUMMYFUNCTION("""COMPUTED_VALUE"""),"27-03-2026")</f>
        <v>27-03-2026</v>
      </c>
      <c r="B1739" s="65">
        <f>IFERROR(__xludf.DUMMYFUNCTION("""COMPUTED_VALUE"""),4151754.0)</f>
        <v>4151754</v>
      </c>
      <c r="C1739" s="65" t="str">
        <f>IFERROR(__xludf.DUMMYFUNCTION("""COMPUTED_VALUE"""),"23:20")</f>
        <v>23:20</v>
      </c>
      <c r="D1739" s="65" t="str">
        <f>IFERROR(__xludf.DUMMYFUNCTION("""COMPUTED_VALUE"""),"14-01-2026")</f>
        <v>14-01-2026</v>
      </c>
      <c r="E1739" s="65" t="str">
        <f>IFERROR(__xludf.DUMMYFUNCTION("""COMPUTED_VALUE"""),"Olga Portilla")</f>
        <v>Olga Portilla</v>
      </c>
      <c r="F1739" s="65" t="str">
        <f>IFERROR(__xludf.DUMMYFUNCTION("""COMPUTED_VALUE"""),"980806012")</f>
        <v>980806012</v>
      </c>
      <c r="G1739" s="65" t="str">
        <f>IFERROR(__xludf.DUMMYFUNCTION("""COMPUTED_VALUE"""),"ventas@solcuero.con.ec")</f>
        <v>ventas@solcuero.con.ec</v>
      </c>
      <c r="H1739" s="65"/>
      <c r="I1739" s="65"/>
      <c r="J1739" s="65" t="str">
        <f>IFERROR(__xludf.DUMMYFUNCTION("""COMPUTED_VALUE"""),"D001233745")</f>
        <v>D001233745</v>
      </c>
      <c r="K1739" s="65" t="str">
        <f>IFERROR(__xludf.DUMMYFUNCTION("""COMPUTED_VALUE"""),"ENTREGADO")</f>
        <v>ENTREGADO</v>
      </c>
      <c r="L1739" s="65" t="str">
        <f>IFERROR(__xludf.DUMMYFUNCTION("""COMPUTED_VALUE"""),"CON RECAUDO")</f>
        <v>CON RECAUDO</v>
      </c>
      <c r="M1739" s="65" t="str">
        <f>IFERROR(__xludf.DUMMYFUNCTION("""COMPUTED_VALUE"""),"AZUAY")</f>
        <v>AZUAY</v>
      </c>
      <c r="N1739" s="65" t="str">
        <f>IFERROR(__xludf.DUMMYFUNCTION("""COMPUTED_VALUE"""),"CUENCA")</f>
        <v>CUENCA</v>
      </c>
      <c r="O1739" s="65" t="str">
        <f>IFERROR(__xludf.DUMMYFUNCTION("""COMPUTED_VALUE"""),"Sucre 11-63 y Tarqui Centró historico -")</f>
        <v>Sucre 11-63 y Tarqui Centró historico -</v>
      </c>
      <c r="P1739" s="65"/>
      <c r="Q1739" s="65" t="str">
        <f>IFERROR(__xludf.DUMMYFUNCTION("""COMPUTED_VALUE"""),"GINTRACOM")</f>
        <v>GINTRACOM</v>
      </c>
      <c r="R1739" s="65">
        <f>IFERROR(__xludf.DUMMYFUNCTION("""COMPUTED_VALUE"""),32.0)</f>
        <v>32</v>
      </c>
      <c r="S1739" s="65">
        <f>IFERROR(__xludf.DUMMYFUNCTION("""COMPUTED_VALUE"""),15.36)</f>
        <v>15.36</v>
      </c>
      <c r="T1739" s="65">
        <f>IFERROR(__xludf.DUMMYFUNCTION("""COMPUTED_VALUE"""),6.24)</f>
        <v>6.24</v>
      </c>
      <c r="U1739" s="65">
        <f>IFERROR(__xludf.DUMMYFUNCTION("""COMPUTED_VALUE"""),0.0)</f>
        <v>0</v>
      </c>
      <c r="V1739" s="65">
        <f>IFERROR(__xludf.DUMMYFUNCTION("""COMPUTED_VALUE"""),0.0)</f>
        <v>0</v>
      </c>
      <c r="W1739" s="65">
        <f>IFERROR(__xludf.DUMMYFUNCTION("""COMPUTED_VALUE"""),0.0)</f>
        <v>0</v>
      </c>
      <c r="X1739" s="65">
        <f>IFERROR(__xludf.DUMMYFUNCTION("""COMPUTED_VALUE"""),2.6)</f>
        <v>2.6</v>
      </c>
      <c r="Y1739" s="65">
        <f>IFERROR(__xludf.DUMMYFUNCTION("""COMPUTED_VALUE"""),10.4)</f>
        <v>10.4</v>
      </c>
      <c r="Z1739" s="65">
        <f>IFERROR(__xludf.DUMMYFUNCTION("""COMPUTED_VALUE"""),121983.0)</f>
        <v>121983</v>
      </c>
      <c r="AA1739" s="65" t="str">
        <f>IFERROR(__xludf.DUMMYFUNCTION("""COMPUTED_VALUE"""),"PROV-CHLLCF")</f>
        <v>PROV-CHLLCF</v>
      </c>
      <c r="AB1739" s="65"/>
      <c r="AC1739" s="65" t="str">
        <f>IFERROR(__xludf.DUMMYFUNCTION("""COMPUTED_VALUE"""),"CUCHILLO PARA CHEF")</f>
        <v>CUCHILLO PARA CHEF</v>
      </c>
      <c r="AD1739" s="65"/>
      <c r="AE1739" s="65">
        <f>IFERROR(__xludf.DUMMYFUNCTION("""COMPUTED_VALUE"""),4.0)</f>
        <v>4</v>
      </c>
      <c r="AF1739" s="65"/>
      <c r="AG1739" s="65"/>
      <c r="AH1739" s="65"/>
      <c r="AI1739" s="65"/>
      <c r="AJ1739" s="65"/>
      <c r="AK1739" s="65"/>
      <c r="AL1739" s="65"/>
      <c r="AM1739" s="65"/>
      <c r="AN1739" s="65" t="str">
        <f>IFERROR(__xludf.DUMMYFUNCTION("""COMPUTED_VALUE"""),"12:54")</f>
        <v>12:54</v>
      </c>
      <c r="AO1739" s="65" t="str">
        <f>IFERROR(__xludf.DUMMYFUNCTION("""COMPUTED_VALUE"""),"19-01-2026")</f>
        <v>19-01-2026</v>
      </c>
      <c r="AP1739" s="65" t="str">
        <f>IFERROR(__xludf.DUMMYFUNCTION("""COMPUTED_VALUE"""),"ENTREGADA GINTRACOM")</f>
        <v>ENTREGADA GINTRACOM</v>
      </c>
      <c r="AQ1739" s="65" t="str">
        <f>IFERROR(__xludf.DUMMYFUNCTION("""COMPUTED_VALUE"""),"ENTREGADA GINTRACOM")</f>
        <v>ENTREGADA GINTRACOM</v>
      </c>
      <c r="AR1739" s="65"/>
      <c r="AS1739" s="65"/>
      <c r="AT1739" s="65" t="str">
        <f>IFERROR(__xludf.DUMMYFUNCTION("""COMPUTED_VALUE"""),"SHOPIFY")</f>
        <v>SHOPIFY</v>
      </c>
      <c r="AU1739" s="65" t="str">
        <f>IFERROR(__xludf.DUMMYFUNCTION("""COMPUTED_VALUE"""),"IMPORTEX EC")</f>
        <v>IMPORTEX EC</v>
      </c>
      <c r="AV1739" s="65" t="str">
        <f>IFERROR(__xludf.DUMMYFUNCTION("""COMPUTED_VALUE"""),"6415631122476")</f>
        <v>6415631122476</v>
      </c>
      <c r="AW1739" s="65">
        <f>IFERROR(__xludf.DUMMYFUNCTION("""COMPUTED_VALUE"""),5204.0)</f>
        <v>5204</v>
      </c>
      <c r="AX1739" s="65"/>
      <c r="AY1739" s="65" t="str">
        <f>IFERROR(__xludf.DUMMYFUNCTION("""COMPUTED_VALUE"""),"17/01/2026")</f>
        <v>17/01/2026</v>
      </c>
      <c r="AZ1739" s="65"/>
      <c r="BA1739" s="65"/>
    </row>
    <row r="1740">
      <c r="A1740" s="65" t="str">
        <f>IFERROR(__xludf.DUMMYFUNCTION("""COMPUTED_VALUE"""),"27-03-2026")</f>
        <v>27-03-2026</v>
      </c>
      <c r="B1740" s="65">
        <f>IFERROR(__xludf.DUMMYFUNCTION("""COMPUTED_VALUE"""),4151680.0)</f>
        <v>4151680</v>
      </c>
      <c r="C1740" s="65" t="str">
        <f>IFERROR(__xludf.DUMMYFUNCTION("""COMPUTED_VALUE"""),"23:11")</f>
        <v>23:11</v>
      </c>
      <c r="D1740" s="65" t="str">
        <f>IFERROR(__xludf.DUMMYFUNCTION("""COMPUTED_VALUE"""),"14-01-2026")</f>
        <v>14-01-2026</v>
      </c>
      <c r="E1740" s="65" t="str">
        <f>IFERROR(__xludf.DUMMYFUNCTION("""COMPUTED_VALUE"""),"Wilson Barreto Reyes")</f>
        <v>Wilson Barreto Reyes</v>
      </c>
      <c r="F1740" s="65" t="str">
        <f>IFERROR(__xludf.DUMMYFUNCTION("""COMPUTED_VALUE"""),"985662005")</f>
        <v>985662005</v>
      </c>
      <c r="G1740" s="65" t="str">
        <f>IFERROR(__xludf.DUMMYFUNCTION("""COMPUTED_VALUE"""),"mykelbachatero.79@hotmail.com")</f>
        <v>mykelbachatero.79@hotmail.com</v>
      </c>
      <c r="H1740" s="65"/>
      <c r="I1740" s="65"/>
      <c r="J1740" s="65"/>
      <c r="K1740" s="65" t="str">
        <f>IFERROR(__xludf.DUMMYFUNCTION("""COMPUTED_VALUE"""),"CANCELADO")</f>
        <v>CANCELADO</v>
      </c>
      <c r="L1740" s="65" t="str">
        <f>IFERROR(__xludf.DUMMYFUNCTION("""COMPUTED_VALUE"""),"CON RECAUDO")</f>
        <v>CON RECAUDO</v>
      </c>
      <c r="M1740" s="65" t="str">
        <f>IFERROR(__xludf.DUMMYFUNCTION("""COMPUTED_VALUE"""),"AZUAY")</f>
        <v>AZUAY</v>
      </c>
      <c r="N1740" s="65" t="str">
        <f>IFERROR(__xludf.DUMMYFUNCTION("""COMPUTED_VALUE"""),"CUENCA")</f>
        <v>CUENCA</v>
      </c>
      <c r="O1740" s="65" t="str">
        <f>IFERROR(__xludf.DUMMYFUNCTION("""COMPUTED_VALUE"""),"Calle Turi Tarqui s/n Plaza central de Turi S/N al lateral de la iglesia -")</f>
        <v>Calle Turi Tarqui s/n Plaza central de Turi S/N al lateral de la iglesia -</v>
      </c>
      <c r="P1740" s="65"/>
      <c r="Q1740" s="65" t="str">
        <f>IFERROR(__xludf.DUMMYFUNCTION("""COMPUTED_VALUE"""),"GINTRACOM")</f>
        <v>GINTRACOM</v>
      </c>
      <c r="R1740" s="65">
        <f>IFERROR(__xludf.DUMMYFUNCTION("""COMPUTED_VALUE"""),32.0)</f>
        <v>32</v>
      </c>
      <c r="S1740" s="65"/>
      <c r="T1740" s="65">
        <f>IFERROR(__xludf.DUMMYFUNCTION("""COMPUTED_VALUE"""),6.24)</f>
        <v>6.24</v>
      </c>
      <c r="U1740" s="65">
        <f>IFERROR(__xludf.DUMMYFUNCTION("""COMPUTED_VALUE"""),0.0)</f>
        <v>0</v>
      </c>
      <c r="V1740" s="65">
        <f>IFERROR(__xludf.DUMMYFUNCTION("""COMPUTED_VALUE"""),0.0)</f>
        <v>0</v>
      </c>
      <c r="W1740" s="65">
        <f>IFERROR(__xludf.DUMMYFUNCTION("""COMPUTED_VALUE"""),0.0)</f>
        <v>0</v>
      </c>
      <c r="X1740" s="65">
        <f>IFERROR(__xludf.DUMMYFUNCTION("""COMPUTED_VALUE"""),2.6)</f>
        <v>2.6</v>
      </c>
      <c r="Y1740" s="65">
        <f>IFERROR(__xludf.DUMMYFUNCTION("""COMPUTED_VALUE"""),10.4)</f>
        <v>10.4</v>
      </c>
      <c r="Z1740" s="65">
        <f>IFERROR(__xludf.DUMMYFUNCTION("""COMPUTED_VALUE"""),121983.0)</f>
        <v>121983</v>
      </c>
      <c r="AA1740" s="65" t="str">
        <f>IFERROR(__xludf.DUMMYFUNCTION("""COMPUTED_VALUE"""),"PROV-CHLLCF")</f>
        <v>PROV-CHLLCF</v>
      </c>
      <c r="AB1740" s="65"/>
      <c r="AC1740" s="65" t="str">
        <f>IFERROR(__xludf.DUMMYFUNCTION("""COMPUTED_VALUE"""),"CUCHILLO PARA CHEF")</f>
        <v>CUCHILLO PARA CHEF</v>
      </c>
      <c r="AD1740" s="65"/>
      <c r="AE1740" s="65">
        <f>IFERROR(__xludf.DUMMYFUNCTION("""COMPUTED_VALUE"""),4.0)</f>
        <v>4</v>
      </c>
      <c r="AF1740" s="65"/>
      <c r="AG1740" s="65"/>
      <c r="AH1740" s="65"/>
      <c r="AI1740" s="65"/>
      <c r="AJ1740" s="65"/>
      <c r="AK1740" s="65"/>
      <c r="AL1740" s="65"/>
      <c r="AM1740" s="65"/>
      <c r="AN1740" s="65"/>
      <c r="AO1740" s="65"/>
      <c r="AP1740" s="65"/>
      <c r="AQ1740" s="65"/>
      <c r="AR1740" s="65"/>
      <c r="AS1740" s="65"/>
      <c r="AT1740" s="65" t="str">
        <f>IFERROR(__xludf.DUMMYFUNCTION("""COMPUTED_VALUE"""),"SHOPIFY")</f>
        <v>SHOPIFY</v>
      </c>
      <c r="AU1740" s="65" t="str">
        <f>IFERROR(__xludf.DUMMYFUNCTION("""COMPUTED_VALUE"""),"IMPORTEX EC")</f>
        <v>IMPORTEX EC</v>
      </c>
      <c r="AV1740" s="65" t="str">
        <f>IFERROR(__xludf.DUMMYFUNCTION("""COMPUTED_VALUE"""),"6415612182572")</f>
        <v>6415612182572</v>
      </c>
      <c r="AW1740" s="65">
        <f>IFERROR(__xludf.DUMMYFUNCTION("""COMPUTED_VALUE"""),5203.0)</f>
        <v>5203</v>
      </c>
      <c r="AX1740" s="65"/>
      <c r="AY1740" s="65"/>
      <c r="AZ1740" s="65"/>
      <c r="BA1740" s="65"/>
    </row>
    <row r="1741">
      <c r="A1741" s="65" t="str">
        <f>IFERROR(__xludf.DUMMYFUNCTION("""COMPUTED_VALUE"""),"27-03-2026")</f>
        <v>27-03-2026</v>
      </c>
      <c r="B1741" s="65">
        <f>IFERROR(__xludf.DUMMYFUNCTION("""COMPUTED_VALUE"""),4151469.0)</f>
        <v>4151469</v>
      </c>
      <c r="C1741" s="65" t="str">
        <f>IFERROR(__xludf.DUMMYFUNCTION("""COMPUTED_VALUE"""),"22:52")</f>
        <v>22:52</v>
      </c>
      <c r="D1741" s="65" t="str">
        <f>IFERROR(__xludf.DUMMYFUNCTION("""COMPUTED_VALUE"""),"14-01-2026")</f>
        <v>14-01-2026</v>
      </c>
      <c r="E1741" s="65" t="str">
        <f>IFERROR(__xludf.DUMMYFUNCTION("""COMPUTED_VALUE"""),"José Ariel Olives Canchingre")</f>
        <v>José Ariel Olives Canchingre</v>
      </c>
      <c r="F1741" s="65" t="str">
        <f>IFERROR(__xludf.DUMMYFUNCTION("""COMPUTED_VALUE"""),"978732800")</f>
        <v>978732800</v>
      </c>
      <c r="G1741" s="65" t="str">
        <f>IFERROR(__xludf.DUMMYFUNCTION("""COMPUTED_VALUE"""),"arielolives618@gmail.com")</f>
        <v>arielolives618@gmail.com</v>
      </c>
      <c r="H1741" s="65"/>
      <c r="I1741" s="65"/>
      <c r="J1741" s="65"/>
      <c r="K1741" s="65" t="str">
        <f>IFERROR(__xludf.DUMMYFUNCTION("""COMPUTED_VALUE"""),"CANCELADO")</f>
        <v>CANCELADO</v>
      </c>
      <c r="L1741" s="65" t="str">
        <f>IFERROR(__xludf.DUMMYFUNCTION("""COMPUTED_VALUE"""),"CON RECAUDO")</f>
        <v>CON RECAUDO</v>
      </c>
      <c r="M1741" s="65" t="str">
        <f>IFERROR(__xludf.DUMMYFUNCTION("""COMPUTED_VALUE"""),"MANABI")</f>
        <v>MANABI</v>
      </c>
      <c r="N1741" s="65" t="str">
        <f>IFERROR(__xludf.DUMMYFUNCTION("""COMPUTED_VALUE"""),"PEDERNALES")</f>
        <v>PEDERNALES</v>
      </c>
      <c r="O1741" s="65" t="str">
        <f>IFERROR(__xludf.DUMMYFUNCTION("""COMPUTED_VALUE"""),"VIA AL CARMEN GERONIMA 5 ETAPA -")</f>
        <v>VIA AL CARMEN GERONIMA 5 ETAPA -</v>
      </c>
      <c r="P1741" s="65"/>
      <c r="Q1741" s="65" t="str">
        <f>IFERROR(__xludf.DUMMYFUNCTION("""COMPUTED_VALUE"""),"SERVIENTREGA")</f>
        <v>SERVIENTREGA</v>
      </c>
      <c r="R1741" s="65">
        <f>IFERROR(__xludf.DUMMYFUNCTION("""COMPUTED_VALUE"""),22.0)</f>
        <v>22</v>
      </c>
      <c r="S1741" s="65"/>
      <c r="T1741" s="65">
        <f>IFERROR(__xludf.DUMMYFUNCTION("""COMPUTED_VALUE"""),7.7)</f>
        <v>7.7</v>
      </c>
      <c r="U1741" s="65">
        <f>IFERROR(__xludf.DUMMYFUNCTION("""COMPUTED_VALUE"""),0.0)</f>
        <v>0</v>
      </c>
      <c r="V1741" s="65">
        <f>IFERROR(__xludf.DUMMYFUNCTION("""COMPUTED_VALUE"""),0.0)</f>
        <v>0</v>
      </c>
      <c r="W1741" s="65">
        <f>IFERROR(__xludf.DUMMYFUNCTION("""COMPUTED_VALUE"""),0.0)</f>
        <v>0</v>
      </c>
      <c r="X1741" s="65">
        <f>IFERROR(__xludf.DUMMYFUNCTION("""COMPUTED_VALUE"""),2.6)</f>
        <v>2.6</v>
      </c>
      <c r="Y1741" s="65">
        <f>IFERROR(__xludf.DUMMYFUNCTION("""COMPUTED_VALUE"""),5.2)</f>
        <v>5.2</v>
      </c>
      <c r="Z1741" s="65">
        <f>IFERROR(__xludf.DUMMYFUNCTION("""COMPUTED_VALUE"""),121983.0)</f>
        <v>121983</v>
      </c>
      <c r="AA1741" s="65" t="str">
        <f>IFERROR(__xludf.DUMMYFUNCTION("""COMPUTED_VALUE"""),"PROV-CHLLCF")</f>
        <v>PROV-CHLLCF</v>
      </c>
      <c r="AB1741" s="65"/>
      <c r="AC1741" s="65" t="str">
        <f>IFERROR(__xludf.DUMMYFUNCTION("""COMPUTED_VALUE"""),"CUCHILLO PARA CHEF")</f>
        <v>CUCHILLO PARA CHEF</v>
      </c>
      <c r="AD1741" s="65"/>
      <c r="AE1741" s="65">
        <f>IFERROR(__xludf.DUMMYFUNCTION("""COMPUTED_VALUE"""),2.0)</f>
        <v>2</v>
      </c>
      <c r="AF1741" s="65"/>
      <c r="AG1741" s="65"/>
      <c r="AH1741" s="65"/>
      <c r="AI1741" s="65"/>
      <c r="AJ1741" s="65"/>
      <c r="AK1741" s="65"/>
      <c r="AL1741" s="65"/>
      <c r="AM1741" s="65"/>
      <c r="AN1741" s="65"/>
      <c r="AO1741" s="65"/>
      <c r="AP1741" s="65"/>
      <c r="AQ1741" s="65"/>
      <c r="AR1741" s="65"/>
      <c r="AS1741" s="65"/>
      <c r="AT1741" s="65" t="str">
        <f>IFERROR(__xludf.DUMMYFUNCTION("""COMPUTED_VALUE"""),"SHOPIFY")</f>
        <v>SHOPIFY</v>
      </c>
      <c r="AU1741" s="65" t="str">
        <f>IFERROR(__xludf.DUMMYFUNCTION("""COMPUTED_VALUE"""),"IMPORTEX EC")</f>
        <v>IMPORTEX EC</v>
      </c>
      <c r="AV1741" s="65" t="str">
        <f>IFERROR(__xludf.DUMMYFUNCTION("""COMPUTED_VALUE"""),"6415581184044")</f>
        <v>6415581184044</v>
      </c>
      <c r="AW1741" s="65">
        <f>IFERROR(__xludf.DUMMYFUNCTION("""COMPUTED_VALUE"""),5201.0)</f>
        <v>5201</v>
      </c>
      <c r="AX1741" s="65"/>
      <c r="AY1741" s="65"/>
      <c r="AZ1741" s="65"/>
      <c r="BA1741" s="65"/>
    </row>
    <row r="1742">
      <c r="A1742" s="65" t="str">
        <f>IFERROR(__xludf.DUMMYFUNCTION("""COMPUTED_VALUE"""),"27-03-2026")</f>
        <v>27-03-2026</v>
      </c>
      <c r="B1742" s="65">
        <f>IFERROR(__xludf.DUMMYFUNCTION("""COMPUTED_VALUE"""),4151375.0)</f>
        <v>4151375</v>
      </c>
      <c r="C1742" s="65" t="str">
        <f>IFERROR(__xludf.DUMMYFUNCTION("""COMPUTED_VALUE"""),"22:45")</f>
        <v>22:45</v>
      </c>
      <c r="D1742" s="65" t="str">
        <f>IFERROR(__xludf.DUMMYFUNCTION("""COMPUTED_VALUE"""),"14-01-2026")</f>
        <v>14-01-2026</v>
      </c>
      <c r="E1742" s="65" t="str">
        <f>IFERROR(__xludf.DUMMYFUNCTION("""COMPUTED_VALUE"""),"Rene Patricio Paneuisa Pilicita")</f>
        <v>Rene Patricio Paneuisa Pilicita</v>
      </c>
      <c r="F1742" s="65" t="str">
        <f>IFERROR(__xludf.DUMMYFUNCTION("""COMPUTED_VALUE"""),"993728044")</f>
        <v>993728044</v>
      </c>
      <c r="G1742" s="65"/>
      <c r="H1742" s="65"/>
      <c r="I1742" s="65"/>
      <c r="J1742" s="65" t="str">
        <f>IFERROR(__xludf.DUMMYFUNCTION("""COMPUTED_VALUE"""),"186988724")</f>
        <v>186988724</v>
      </c>
      <c r="K1742" s="65" t="str">
        <f>IFERROR(__xludf.DUMMYFUNCTION("""COMPUTED_VALUE"""),"ENTREGADO")</f>
        <v>ENTREGADO</v>
      </c>
      <c r="L1742" s="65" t="str">
        <f>IFERROR(__xludf.DUMMYFUNCTION("""COMPUTED_VALUE"""),"CON RECAUDO")</f>
        <v>CON RECAUDO</v>
      </c>
      <c r="M1742" s="65" t="str">
        <f>IFERROR(__xludf.DUMMYFUNCTION("""COMPUTED_VALUE"""),"PICHINCHA")</f>
        <v>PICHINCHA</v>
      </c>
      <c r="N1742" s="65" t="str">
        <f>IFERROR(__xludf.DUMMYFUNCTION("""COMPUTED_VALUE"""),"MEJIA")</f>
        <v>MEJIA</v>
      </c>
      <c r="O1742" s="65" t="str">
        <f>IFERROR(__xludf.DUMMYFUNCTION("""COMPUTED_VALUE"""),"Avenida Pablo Guarderas El Hogar y González Suares -")</f>
        <v>Avenida Pablo Guarderas El Hogar y González Suares -</v>
      </c>
      <c r="P1742" s="65"/>
      <c r="Q1742" s="65" t="str">
        <f>IFERROR(__xludf.DUMMYFUNCTION("""COMPUTED_VALUE"""),"SERVIENTREGA")</f>
        <v>SERVIENTREGA</v>
      </c>
      <c r="R1742" s="65">
        <f>IFERROR(__xludf.DUMMYFUNCTION("""COMPUTED_VALUE"""),27.0)</f>
        <v>27</v>
      </c>
      <c r="S1742" s="65">
        <f>IFERROR(__xludf.DUMMYFUNCTION("""COMPUTED_VALUE"""),11.43)</f>
        <v>11.43</v>
      </c>
      <c r="T1742" s="65">
        <f>IFERROR(__xludf.DUMMYFUNCTION("""COMPUTED_VALUE"""),7.77)</f>
        <v>7.77</v>
      </c>
      <c r="U1742" s="65">
        <f>IFERROR(__xludf.DUMMYFUNCTION("""COMPUTED_VALUE"""),0.0)</f>
        <v>0</v>
      </c>
      <c r="V1742" s="65">
        <f>IFERROR(__xludf.DUMMYFUNCTION("""COMPUTED_VALUE"""),0.0)</f>
        <v>0</v>
      </c>
      <c r="W1742" s="65">
        <f>IFERROR(__xludf.DUMMYFUNCTION("""COMPUTED_VALUE"""),0.0)</f>
        <v>0</v>
      </c>
      <c r="X1742" s="65">
        <f>IFERROR(__xludf.DUMMYFUNCTION("""COMPUTED_VALUE"""),2.6)</f>
        <v>2.6</v>
      </c>
      <c r="Y1742" s="65">
        <f>IFERROR(__xludf.DUMMYFUNCTION("""COMPUTED_VALUE"""),7.8)</f>
        <v>7.8</v>
      </c>
      <c r="Z1742" s="65">
        <f>IFERROR(__xludf.DUMMYFUNCTION("""COMPUTED_VALUE"""),121983.0)</f>
        <v>121983</v>
      </c>
      <c r="AA1742" s="65" t="str">
        <f>IFERROR(__xludf.DUMMYFUNCTION("""COMPUTED_VALUE"""),"PROV-CHLLCF")</f>
        <v>PROV-CHLLCF</v>
      </c>
      <c r="AB1742" s="65"/>
      <c r="AC1742" s="65" t="str">
        <f>IFERROR(__xludf.DUMMYFUNCTION("""COMPUTED_VALUE"""),"CUCHILLO PARA CHEF")</f>
        <v>CUCHILLO PARA CHEF</v>
      </c>
      <c r="AD1742" s="65"/>
      <c r="AE1742" s="65">
        <f>IFERROR(__xludf.DUMMYFUNCTION("""COMPUTED_VALUE"""),3.0)</f>
        <v>3</v>
      </c>
      <c r="AF1742" s="65"/>
      <c r="AG1742" s="65"/>
      <c r="AH1742" s="65"/>
      <c r="AI1742" s="65"/>
      <c r="AJ1742" s="65"/>
      <c r="AK1742" s="65"/>
      <c r="AL1742" s="65"/>
      <c r="AM1742" s="65"/>
      <c r="AN1742" s="65" t="str">
        <f>IFERROR(__xludf.DUMMYFUNCTION("""COMPUTED_VALUE"""),"16:46")</f>
        <v>16:46</v>
      </c>
      <c r="AO1742" s="65" t="str">
        <f>IFERROR(__xludf.DUMMYFUNCTION("""COMPUTED_VALUE"""),"29-01-2026")</f>
        <v>29-01-2026</v>
      </c>
      <c r="AP1742" s="65" t="str">
        <f>IFERROR(__xludf.DUMMYFUNCTION("""COMPUTED_VALUE"""),"ENTREGA DIGITALIZADA EN CENTRO LOGISTICO")</f>
        <v>ENTREGA DIGITALIZADA EN CENTRO LOGISTICO</v>
      </c>
      <c r="AQ1742" s="65" t="str">
        <f>IFERROR(__xludf.DUMMYFUNCTION("""COMPUTED_VALUE"""),"René Paneluisa")</f>
        <v>René Paneluisa</v>
      </c>
      <c r="AR1742" s="65"/>
      <c r="AS1742" s="65"/>
      <c r="AT1742" s="65" t="str">
        <f>IFERROR(__xludf.DUMMYFUNCTION("""COMPUTED_VALUE"""),"SHOPIFY")</f>
        <v>SHOPIFY</v>
      </c>
      <c r="AU1742" s="65" t="str">
        <f>IFERROR(__xludf.DUMMYFUNCTION("""COMPUTED_VALUE"""),"IMPORTEX EC")</f>
        <v>IMPORTEX EC</v>
      </c>
      <c r="AV1742" s="65" t="str">
        <f>IFERROR(__xludf.DUMMYFUNCTION("""COMPUTED_VALUE"""),"6415566274604")</f>
        <v>6415566274604</v>
      </c>
      <c r="AW1742" s="65">
        <f>IFERROR(__xludf.DUMMYFUNCTION("""COMPUTED_VALUE"""),5200.0)</f>
        <v>5200</v>
      </c>
      <c r="AX1742" s="65"/>
      <c r="AY1742" s="65" t="str">
        <f>IFERROR(__xludf.DUMMYFUNCTION("""COMPUTED_VALUE"""),"17/01/2026")</f>
        <v>17/01/2026</v>
      </c>
      <c r="AZ1742" s="65"/>
      <c r="BA1742" s="65"/>
    </row>
    <row r="1743">
      <c r="A1743" s="65" t="str">
        <f>IFERROR(__xludf.DUMMYFUNCTION("""COMPUTED_VALUE"""),"27-03-2026")</f>
        <v>27-03-2026</v>
      </c>
      <c r="B1743" s="65">
        <f>IFERROR(__xludf.DUMMYFUNCTION("""COMPUTED_VALUE"""),4151039.0)</f>
        <v>4151039</v>
      </c>
      <c r="C1743" s="65" t="str">
        <f>IFERROR(__xludf.DUMMYFUNCTION("""COMPUTED_VALUE"""),"22:16")</f>
        <v>22:16</v>
      </c>
      <c r="D1743" s="65" t="str">
        <f>IFERROR(__xludf.DUMMYFUNCTION("""COMPUTED_VALUE"""),"14-01-2026")</f>
        <v>14-01-2026</v>
      </c>
      <c r="E1743" s="65" t="str">
        <f>IFERROR(__xludf.DUMMYFUNCTION("""COMPUTED_VALUE"""),"Héctor Romero")</f>
        <v>Héctor Romero</v>
      </c>
      <c r="F1743" s="65" t="str">
        <f>IFERROR(__xludf.DUMMYFUNCTION("""COMPUTED_VALUE"""),"999101315")</f>
        <v>999101315</v>
      </c>
      <c r="G1743" s="65" t="str">
        <f>IFERROR(__xludf.DUMMYFUNCTION("""COMPUTED_VALUE"""),"hromerotanca@yahoo.com.ar")</f>
        <v>hromerotanca@yahoo.com.ar</v>
      </c>
      <c r="H1743" s="65"/>
      <c r="I1743" s="65"/>
      <c r="J1743" s="65" t="str">
        <f>IFERROR(__xludf.DUMMYFUNCTION("""COMPUTED_VALUE"""),"D001233747")</f>
        <v>D001233747</v>
      </c>
      <c r="K1743" s="65" t="str">
        <f>IFERROR(__xludf.DUMMYFUNCTION("""COMPUTED_VALUE"""),"ENTREGADO")</f>
        <v>ENTREGADO</v>
      </c>
      <c r="L1743" s="65" t="str">
        <f>IFERROR(__xludf.DUMMYFUNCTION("""COMPUTED_VALUE"""),"CON RECAUDO")</f>
        <v>CON RECAUDO</v>
      </c>
      <c r="M1743" s="65" t="str">
        <f>IFERROR(__xludf.DUMMYFUNCTION("""COMPUTED_VALUE"""),"GUAYAS")</f>
        <v>GUAYAS</v>
      </c>
      <c r="N1743" s="65" t="str">
        <f>IFERROR(__xludf.DUMMYFUNCTION("""COMPUTED_VALUE"""),"SAMBORONDON")</f>
        <v>SAMBORONDON</v>
      </c>
      <c r="O1743" s="65" t="str">
        <f>IFERROR(__xludf.DUMMYFUNCTION("""COMPUTED_VALUE"""),"Kilómetro 5,8 vía Samborondón, urbanización Río Lindo villa 22, casa número 22")</f>
        <v>Kilómetro 5,8 vía Samborondón, urbanización Río Lindo villa 22, casa número 22</v>
      </c>
      <c r="P1743" s="65"/>
      <c r="Q1743" s="65" t="str">
        <f>IFERROR(__xludf.DUMMYFUNCTION("""COMPUTED_VALUE"""),"GINTRACOM")</f>
        <v>GINTRACOM</v>
      </c>
      <c r="R1743" s="65">
        <f>IFERROR(__xludf.DUMMYFUNCTION("""COMPUTED_VALUE"""),22.0)</f>
        <v>22</v>
      </c>
      <c r="S1743" s="65">
        <f>IFERROR(__xludf.DUMMYFUNCTION("""COMPUTED_VALUE"""),11.54)</f>
        <v>11.54</v>
      </c>
      <c r="T1743" s="65">
        <f>IFERROR(__xludf.DUMMYFUNCTION("""COMPUTED_VALUE"""),5.26)</f>
        <v>5.26</v>
      </c>
      <c r="U1743" s="65">
        <f>IFERROR(__xludf.DUMMYFUNCTION("""COMPUTED_VALUE"""),0.0)</f>
        <v>0</v>
      </c>
      <c r="V1743" s="65">
        <f>IFERROR(__xludf.DUMMYFUNCTION("""COMPUTED_VALUE"""),0.0)</f>
        <v>0</v>
      </c>
      <c r="W1743" s="65">
        <f>IFERROR(__xludf.DUMMYFUNCTION("""COMPUTED_VALUE"""),0.0)</f>
        <v>0</v>
      </c>
      <c r="X1743" s="65">
        <f>IFERROR(__xludf.DUMMYFUNCTION("""COMPUTED_VALUE"""),2.6)</f>
        <v>2.6</v>
      </c>
      <c r="Y1743" s="65">
        <f>IFERROR(__xludf.DUMMYFUNCTION("""COMPUTED_VALUE"""),5.2)</f>
        <v>5.2</v>
      </c>
      <c r="Z1743" s="65">
        <f>IFERROR(__xludf.DUMMYFUNCTION("""COMPUTED_VALUE"""),121983.0)</f>
        <v>121983</v>
      </c>
      <c r="AA1743" s="65" t="str">
        <f>IFERROR(__xludf.DUMMYFUNCTION("""COMPUTED_VALUE"""),"PROV-CHLLCF")</f>
        <v>PROV-CHLLCF</v>
      </c>
      <c r="AB1743" s="65"/>
      <c r="AC1743" s="65" t="str">
        <f>IFERROR(__xludf.DUMMYFUNCTION("""COMPUTED_VALUE"""),"CUCHILLO PARA CHEF")</f>
        <v>CUCHILLO PARA CHEF</v>
      </c>
      <c r="AD1743" s="65"/>
      <c r="AE1743" s="65">
        <f>IFERROR(__xludf.DUMMYFUNCTION("""COMPUTED_VALUE"""),2.0)</f>
        <v>2</v>
      </c>
      <c r="AF1743" s="65"/>
      <c r="AG1743" s="65"/>
      <c r="AH1743" s="65"/>
      <c r="AI1743" s="65"/>
      <c r="AJ1743" s="65"/>
      <c r="AK1743" s="65"/>
      <c r="AL1743" s="65"/>
      <c r="AM1743" s="65"/>
      <c r="AN1743" s="65" t="str">
        <f>IFERROR(__xludf.DUMMYFUNCTION("""COMPUTED_VALUE"""),"11:18")</f>
        <v>11:18</v>
      </c>
      <c r="AO1743" s="65" t="str">
        <f>IFERROR(__xludf.DUMMYFUNCTION("""COMPUTED_VALUE"""),"19-01-2026")</f>
        <v>19-01-2026</v>
      </c>
      <c r="AP1743" s="65" t="str">
        <f>IFERROR(__xludf.DUMMYFUNCTION("""COMPUTED_VALUE"""),"ENTREGADA GINTRACOM")</f>
        <v>ENTREGADA GINTRACOM</v>
      </c>
      <c r="AQ1743" s="65" t="str">
        <f>IFERROR(__xludf.DUMMYFUNCTION("""COMPUTED_VALUE"""),"ENTREGADA GINTRACOM")</f>
        <v>ENTREGADA GINTRACOM</v>
      </c>
      <c r="AR1743" s="65"/>
      <c r="AS1743" s="65"/>
      <c r="AT1743" s="65" t="str">
        <f>IFERROR(__xludf.DUMMYFUNCTION("""COMPUTED_VALUE"""),"SHOPIFY")</f>
        <v>SHOPIFY</v>
      </c>
      <c r="AU1743" s="65" t="str">
        <f>IFERROR(__xludf.DUMMYFUNCTION("""COMPUTED_VALUE"""),"IMPORTEX EC")</f>
        <v>IMPORTEX EC</v>
      </c>
      <c r="AV1743" s="65" t="str">
        <f>IFERROR(__xludf.DUMMYFUNCTION("""COMPUTED_VALUE"""),"6415504572460")</f>
        <v>6415504572460</v>
      </c>
      <c r="AW1743" s="65">
        <f>IFERROR(__xludf.DUMMYFUNCTION("""COMPUTED_VALUE"""),5199.0)</f>
        <v>5199</v>
      </c>
      <c r="AX1743" s="65"/>
      <c r="AY1743" s="65" t="str">
        <f>IFERROR(__xludf.DUMMYFUNCTION("""COMPUTED_VALUE"""),"17/01/2026")</f>
        <v>17/01/2026</v>
      </c>
      <c r="AZ1743" s="65"/>
      <c r="BA1743" s="65"/>
    </row>
    <row r="1744">
      <c r="A1744" s="65" t="str">
        <f>IFERROR(__xludf.DUMMYFUNCTION("""COMPUTED_VALUE"""),"27-03-2026")</f>
        <v>27-03-2026</v>
      </c>
      <c r="B1744" s="65">
        <f>IFERROR(__xludf.DUMMYFUNCTION("""COMPUTED_VALUE"""),4150846.0)</f>
        <v>4150846</v>
      </c>
      <c r="C1744" s="65" t="str">
        <f>IFERROR(__xludf.DUMMYFUNCTION("""COMPUTED_VALUE"""),"22:02")</f>
        <v>22:02</v>
      </c>
      <c r="D1744" s="65" t="str">
        <f>IFERROR(__xludf.DUMMYFUNCTION("""COMPUTED_VALUE"""),"14-01-2026")</f>
        <v>14-01-2026</v>
      </c>
      <c r="E1744" s="65" t="str">
        <f>IFERROR(__xludf.DUMMYFUNCTION("""COMPUTED_VALUE"""),"Tomas Alberto Gomez Cedeñodata")</f>
        <v>Tomas Alberto Gomez Cedeñodata</v>
      </c>
      <c r="F1744" s="65" t="str">
        <f>IFERROR(__xludf.DUMMYFUNCTION("""COMPUTED_VALUE"""),"993483801")</f>
        <v>993483801</v>
      </c>
      <c r="G1744" s="65" t="str">
        <f>IFERROR(__xludf.DUMMYFUNCTION("""COMPUTED_VALUE"""),"tomasgomez73@hotmail.com")</f>
        <v>tomasgomez73@hotmail.com</v>
      </c>
      <c r="H1744" s="65"/>
      <c r="I1744" s="65"/>
      <c r="J1744" s="65" t="str">
        <f>IFERROR(__xludf.DUMMYFUNCTION("""COMPUTED_VALUE"""),"186985782")</f>
        <v>186985782</v>
      </c>
      <c r="K1744" s="65" t="str">
        <f>IFERROR(__xludf.DUMMYFUNCTION("""COMPUTED_VALUE"""),"ENTREGADO")</f>
        <v>ENTREGADO</v>
      </c>
      <c r="L1744" s="65" t="str">
        <f>IFERROR(__xludf.DUMMYFUNCTION("""COMPUTED_VALUE"""),"CON RECAUDO")</f>
        <v>CON RECAUDO</v>
      </c>
      <c r="M1744" s="65" t="str">
        <f>IFERROR(__xludf.DUMMYFUNCTION("""COMPUTED_VALUE"""),"GUAYAS")</f>
        <v>GUAYAS</v>
      </c>
      <c r="N1744" s="65" t="str">
        <f>IFERROR(__xludf.DUMMYFUNCTION("""COMPUTED_VALUE"""),"DATA DE PLAYAS")</f>
        <v>DATA DE PLAYAS</v>
      </c>
      <c r="O1744" s="65" t="str">
        <f>IFERROR(__xludf.DUMMYFUNCTION("""COMPUTED_VALUE"""),"Data de posorja barrio san José cancha de tierra Data de posorja - En la cancha de tierra llama")</f>
        <v>Data de posorja barrio san José cancha de tierra Data de posorja - En la cancha de tierra llama</v>
      </c>
      <c r="P1744" s="65"/>
      <c r="Q1744" s="65" t="str">
        <f>IFERROR(__xludf.DUMMYFUNCTION("""COMPUTED_VALUE"""),"SERVIENTREGA")</f>
        <v>SERVIENTREGA</v>
      </c>
      <c r="R1744" s="65">
        <f>IFERROR(__xludf.DUMMYFUNCTION("""COMPUTED_VALUE"""),22.0)</f>
        <v>22</v>
      </c>
      <c r="S1744" s="65">
        <f>IFERROR(__xludf.DUMMYFUNCTION("""COMPUTED_VALUE"""),9.1)</f>
        <v>9.1</v>
      </c>
      <c r="T1744" s="65">
        <f>IFERROR(__xludf.DUMMYFUNCTION("""COMPUTED_VALUE"""),7.7)</f>
        <v>7.7</v>
      </c>
      <c r="U1744" s="65">
        <f>IFERROR(__xludf.DUMMYFUNCTION("""COMPUTED_VALUE"""),0.0)</f>
        <v>0</v>
      </c>
      <c r="V1744" s="65">
        <f>IFERROR(__xludf.DUMMYFUNCTION("""COMPUTED_VALUE"""),0.0)</f>
        <v>0</v>
      </c>
      <c r="W1744" s="65">
        <f>IFERROR(__xludf.DUMMYFUNCTION("""COMPUTED_VALUE"""),0.0)</f>
        <v>0</v>
      </c>
      <c r="X1744" s="65">
        <f>IFERROR(__xludf.DUMMYFUNCTION("""COMPUTED_VALUE"""),2.6)</f>
        <v>2.6</v>
      </c>
      <c r="Y1744" s="65">
        <f>IFERROR(__xludf.DUMMYFUNCTION("""COMPUTED_VALUE"""),5.2)</f>
        <v>5.2</v>
      </c>
      <c r="Z1744" s="65">
        <f>IFERROR(__xludf.DUMMYFUNCTION("""COMPUTED_VALUE"""),121983.0)</f>
        <v>121983</v>
      </c>
      <c r="AA1744" s="65" t="str">
        <f>IFERROR(__xludf.DUMMYFUNCTION("""COMPUTED_VALUE"""),"PROV-CHLLCF")</f>
        <v>PROV-CHLLCF</v>
      </c>
      <c r="AB1744" s="65"/>
      <c r="AC1744" s="65" t="str">
        <f>IFERROR(__xludf.DUMMYFUNCTION("""COMPUTED_VALUE"""),"CUCHILLO PARA CHEF")</f>
        <v>CUCHILLO PARA CHEF</v>
      </c>
      <c r="AD1744" s="65"/>
      <c r="AE1744" s="65">
        <f>IFERROR(__xludf.DUMMYFUNCTION("""COMPUTED_VALUE"""),2.0)</f>
        <v>2</v>
      </c>
      <c r="AF1744" s="65" t="str">
        <f>IFERROR(__xludf.DUMMYFUNCTION("""COMPUTED_VALUE"""),"FALTAN DATOS EN DIRECCION")</f>
        <v>FALTAN DATOS EN DIRECCION</v>
      </c>
      <c r="AG1744" s="65" t="str">
        <f>IFERROR(__xludf.DUMMYFUNCTION("""COMPUTED_VALUE"""),"NO")</f>
        <v>NO</v>
      </c>
      <c r="AH1744" s="65" t="str">
        <f>IFERROR(__xludf.DUMMYFUNCTION("""COMPUTED_VALUE"""),"15:15")</f>
        <v>15:15</v>
      </c>
      <c r="AI1744" s="65" t="str">
        <f>IFERROR(__xludf.DUMMYFUNCTION("""COMPUTED_VALUE"""),"17-01-2026")</f>
        <v>17-01-2026</v>
      </c>
      <c r="AJ1744" s="65"/>
      <c r="AK1744" s="65"/>
      <c r="AL1744" s="65"/>
      <c r="AM1744" s="65"/>
      <c r="AN1744" s="65" t="str">
        <f>IFERROR(__xludf.DUMMYFUNCTION("""COMPUTED_VALUE"""),"13:08")</f>
        <v>13:08</v>
      </c>
      <c r="AO1744" s="65" t="str">
        <f>IFERROR(__xludf.DUMMYFUNCTION("""COMPUTED_VALUE"""),"05-02-2026")</f>
        <v>05-02-2026</v>
      </c>
      <c r="AP1744" s="65" t="str">
        <f>IFERROR(__xludf.DUMMYFUNCTION("""COMPUTED_VALUE"""),"ENTREGA DIGITALIZADA EN CENTRO LOGISTICO")</f>
        <v>ENTREGA DIGITALIZADA EN CENTRO LOGISTICO</v>
      </c>
      <c r="AQ1744" s="65" t="str">
        <f>IFERROR(__xludf.DUMMYFUNCTION("""COMPUTED_VALUE"""),"Jonathan")</f>
        <v>Jonathan</v>
      </c>
      <c r="AR1744" s="65"/>
      <c r="AS1744" s="65"/>
      <c r="AT1744" s="65" t="str">
        <f>IFERROR(__xludf.DUMMYFUNCTION("""COMPUTED_VALUE"""),"SHOPIFY")</f>
        <v>SHOPIFY</v>
      </c>
      <c r="AU1744" s="65" t="str">
        <f>IFERROR(__xludf.DUMMYFUNCTION("""COMPUTED_VALUE"""),"IMPORTEX EC")</f>
        <v>IMPORTEX EC</v>
      </c>
      <c r="AV1744" s="65" t="str">
        <f>IFERROR(__xludf.DUMMYFUNCTION("""COMPUTED_VALUE"""),"6415472033836")</f>
        <v>6415472033836</v>
      </c>
      <c r="AW1744" s="65">
        <f>IFERROR(__xludf.DUMMYFUNCTION("""COMPUTED_VALUE"""),5198.0)</f>
        <v>5198</v>
      </c>
      <c r="AX1744" s="65"/>
      <c r="AY1744" s="65" t="str">
        <f>IFERROR(__xludf.DUMMYFUNCTION("""COMPUTED_VALUE"""),"16/01/2026")</f>
        <v>16/01/2026</v>
      </c>
      <c r="AZ1744" s="65"/>
      <c r="BA1744" s="65"/>
    </row>
    <row r="1745">
      <c r="A1745" s="65" t="str">
        <f>IFERROR(__xludf.DUMMYFUNCTION("""COMPUTED_VALUE"""),"27-03-2026")</f>
        <v>27-03-2026</v>
      </c>
      <c r="B1745" s="65">
        <f>IFERROR(__xludf.DUMMYFUNCTION("""COMPUTED_VALUE"""),4150611.0)</f>
        <v>4150611</v>
      </c>
      <c r="C1745" s="65" t="str">
        <f>IFERROR(__xludf.DUMMYFUNCTION("""COMPUTED_VALUE"""),"21:45")</f>
        <v>21:45</v>
      </c>
      <c r="D1745" s="65" t="str">
        <f>IFERROR(__xludf.DUMMYFUNCTION("""COMPUTED_VALUE"""),"14-01-2026")</f>
        <v>14-01-2026</v>
      </c>
      <c r="E1745" s="65" t="str">
        <f>IFERROR(__xludf.DUMMYFUNCTION("""COMPUTED_VALUE"""),"Victor Mina")</f>
        <v>Victor Mina</v>
      </c>
      <c r="F1745" s="65" t="str">
        <f>IFERROR(__xludf.DUMMYFUNCTION("""COMPUTED_VALUE"""),"988664046")</f>
        <v>988664046</v>
      </c>
      <c r="G1745" s="65" t="str">
        <f>IFERROR(__xludf.DUMMYFUNCTION("""COMPUTED_VALUE"""),"victormi15@hotmail.com")</f>
        <v>victormi15@hotmail.com</v>
      </c>
      <c r="H1745" s="65"/>
      <c r="I1745" s="65"/>
      <c r="J1745" s="65" t="str">
        <f>IFERROR(__xludf.DUMMYFUNCTION("""COMPUTED_VALUE"""),"D001231920")</f>
        <v>D001231920</v>
      </c>
      <c r="K1745" s="65" t="str">
        <f>IFERROR(__xludf.DUMMYFUNCTION("""COMPUTED_VALUE"""),"ENTREGADO")</f>
        <v>ENTREGADO</v>
      </c>
      <c r="L1745" s="65" t="str">
        <f>IFERROR(__xludf.DUMMYFUNCTION("""COMPUTED_VALUE"""),"CON RECAUDO")</f>
        <v>CON RECAUDO</v>
      </c>
      <c r="M1745" s="65" t="str">
        <f>IFERROR(__xludf.DUMMYFUNCTION("""COMPUTED_VALUE"""),"GUAYAS")</f>
        <v>GUAYAS</v>
      </c>
      <c r="N1745" s="65" t="str">
        <f>IFERROR(__xludf.DUMMYFUNCTION("""COMPUTED_VALUE"""),"GUAYAQUIL")</f>
        <v>GUAYAQUIL</v>
      </c>
      <c r="O1745" s="65" t="str">
        <f>IFERROR(__xludf.DUMMYFUNCTION("""COMPUTED_VALUE"""),"La aurora Y la joya - Vial 1, Etapa: Oro, Mz. 12 villa 9")</f>
        <v>La aurora Y la joya - Vial 1, Etapa: Oro, Mz. 12 villa 9</v>
      </c>
      <c r="P1745" s="65"/>
      <c r="Q1745" s="65" t="str">
        <f>IFERROR(__xludf.DUMMYFUNCTION("""COMPUTED_VALUE"""),"GINTRACOM")</f>
        <v>GINTRACOM</v>
      </c>
      <c r="R1745" s="65">
        <f>IFERROR(__xludf.DUMMYFUNCTION("""COMPUTED_VALUE"""),22.0)</f>
        <v>22</v>
      </c>
      <c r="S1745" s="65">
        <f>IFERROR(__xludf.DUMMYFUNCTION("""COMPUTED_VALUE"""),12.57)</f>
        <v>12.57</v>
      </c>
      <c r="T1745" s="65">
        <f>IFERROR(__xludf.DUMMYFUNCTION("""COMPUTED_VALUE"""),4.23)</f>
        <v>4.23</v>
      </c>
      <c r="U1745" s="65">
        <f>IFERROR(__xludf.DUMMYFUNCTION("""COMPUTED_VALUE"""),0.0)</f>
        <v>0</v>
      </c>
      <c r="V1745" s="65">
        <f>IFERROR(__xludf.DUMMYFUNCTION("""COMPUTED_VALUE"""),0.0)</f>
        <v>0</v>
      </c>
      <c r="W1745" s="65">
        <f>IFERROR(__xludf.DUMMYFUNCTION("""COMPUTED_VALUE"""),0.0)</f>
        <v>0</v>
      </c>
      <c r="X1745" s="65">
        <f>IFERROR(__xludf.DUMMYFUNCTION("""COMPUTED_VALUE"""),2.6)</f>
        <v>2.6</v>
      </c>
      <c r="Y1745" s="65">
        <f>IFERROR(__xludf.DUMMYFUNCTION("""COMPUTED_VALUE"""),5.2)</f>
        <v>5.2</v>
      </c>
      <c r="Z1745" s="65">
        <f>IFERROR(__xludf.DUMMYFUNCTION("""COMPUTED_VALUE"""),121983.0)</f>
        <v>121983</v>
      </c>
      <c r="AA1745" s="65" t="str">
        <f>IFERROR(__xludf.DUMMYFUNCTION("""COMPUTED_VALUE"""),"PROV-CHLLCF")</f>
        <v>PROV-CHLLCF</v>
      </c>
      <c r="AB1745" s="65"/>
      <c r="AC1745" s="65" t="str">
        <f>IFERROR(__xludf.DUMMYFUNCTION("""COMPUTED_VALUE"""),"CUCHILLO PARA CHEF")</f>
        <v>CUCHILLO PARA CHEF</v>
      </c>
      <c r="AD1745" s="65"/>
      <c r="AE1745" s="65">
        <f>IFERROR(__xludf.DUMMYFUNCTION("""COMPUTED_VALUE"""),2.0)</f>
        <v>2</v>
      </c>
      <c r="AF1745" s="65"/>
      <c r="AG1745" s="65"/>
      <c r="AH1745" s="65"/>
      <c r="AI1745" s="65"/>
      <c r="AJ1745" s="65"/>
      <c r="AK1745" s="65"/>
      <c r="AL1745" s="65"/>
      <c r="AM1745" s="65"/>
      <c r="AN1745" s="65" t="str">
        <f>IFERROR(__xludf.DUMMYFUNCTION("""COMPUTED_VALUE"""),"01:32")</f>
        <v>01:32</v>
      </c>
      <c r="AO1745" s="65" t="str">
        <f>IFERROR(__xludf.DUMMYFUNCTION("""COMPUTED_VALUE"""),"21-01-2026")</f>
        <v>21-01-2026</v>
      </c>
      <c r="AP1745" s="65" t="str">
        <f>IFERROR(__xludf.DUMMYFUNCTION("""COMPUTED_VALUE"""),"ENTREGADA GINTRACOM")</f>
        <v>ENTREGADA GINTRACOM</v>
      </c>
      <c r="AQ1745" s="65" t="str">
        <f>IFERROR(__xludf.DUMMYFUNCTION("""COMPUTED_VALUE"""),"ENTREGADA GINTRACOM")</f>
        <v>ENTREGADA GINTRACOM</v>
      </c>
      <c r="AR1745" s="65"/>
      <c r="AS1745" s="65"/>
      <c r="AT1745" s="65" t="str">
        <f>IFERROR(__xludf.DUMMYFUNCTION("""COMPUTED_VALUE"""),"SHOPIFY")</f>
        <v>SHOPIFY</v>
      </c>
      <c r="AU1745" s="65" t="str">
        <f>IFERROR(__xludf.DUMMYFUNCTION("""COMPUTED_VALUE"""),"IMPORTEX EC")</f>
        <v>IMPORTEX EC</v>
      </c>
      <c r="AV1745" s="65" t="str">
        <f>IFERROR(__xludf.DUMMYFUNCTION("""COMPUTED_VALUE"""),"6415442837548")</f>
        <v>6415442837548</v>
      </c>
      <c r="AW1745" s="65">
        <f>IFERROR(__xludf.DUMMYFUNCTION("""COMPUTED_VALUE"""),5197.0)</f>
        <v>5197</v>
      </c>
      <c r="AX1745" s="65"/>
      <c r="AY1745" s="65" t="str">
        <f>IFERROR(__xludf.DUMMYFUNCTION("""COMPUTED_VALUE"""),"16/01/2026")</f>
        <v>16/01/2026</v>
      </c>
      <c r="AZ1745" s="65"/>
      <c r="BA1745" s="65"/>
    </row>
    <row r="1746">
      <c r="A1746" s="65" t="str">
        <f>IFERROR(__xludf.DUMMYFUNCTION("""COMPUTED_VALUE"""),"27-03-2026")</f>
        <v>27-03-2026</v>
      </c>
      <c r="B1746" s="65">
        <f>IFERROR(__xludf.DUMMYFUNCTION("""COMPUTED_VALUE"""),4150396.0)</f>
        <v>4150396</v>
      </c>
      <c r="C1746" s="65" t="str">
        <f>IFERROR(__xludf.DUMMYFUNCTION("""COMPUTED_VALUE"""),"21:30")</f>
        <v>21:30</v>
      </c>
      <c r="D1746" s="65" t="str">
        <f>IFERROR(__xludf.DUMMYFUNCTION("""COMPUTED_VALUE"""),"14-01-2026")</f>
        <v>14-01-2026</v>
      </c>
      <c r="E1746" s="65" t="str">
        <f>IFERROR(__xludf.DUMMYFUNCTION("""COMPUTED_VALUE"""),"Teresa Medina")</f>
        <v>Teresa Medina</v>
      </c>
      <c r="F1746" s="65" t="str">
        <f>IFERROR(__xludf.DUMMYFUNCTION("""COMPUTED_VALUE"""),"939102950")</f>
        <v>939102950</v>
      </c>
      <c r="G1746" s="65"/>
      <c r="H1746" s="65"/>
      <c r="I1746" s="65"/>
      <c r="J1746" s="65"/>
      <c r="K1746" s="65" t="str">
        <f>IFERROR(__xludf.DUMMYFUNCTION("""COMPUTED_VALUE"""),"CANCELADO")</f>
        <v>CANCELADO</v>
      </c>
      <c r="L1746" s="65" t="str">
        <f>IFERROR(__xludf.DUMMYFUNCTION("""COMPUTED_VALUE"""),"CON RECAUDO")</f>
        <v>CON RECAUDO</v>
      </c>
      <c r="M1746" s="65" t="str">
        <f>IFERROR(__xludf.DUMMYFUNCTION("""COMPUTED_VALUE"""),"LOJA")</f>
        <v>LOJA</v>
      </c>
      <c r="N1746" s="65" t="str">
        <f>IFERROR(__xludf.DUMMYFUNCTION("""COMPUTED_VALUE"""),"CATAMAYO")</f>
        <v>CATAMAYO</v>
      </c>
      <c r="O1746" s="65" t="str">
        <f>IFERROR(__xludf.DUMMYFUNCTION("""COMPUTED_VALUE"""),"Alicia burneo y chile Los almendros -")</f>
        <v>Alicia burneo y chile Los almendros -</v>
      </c>
      <c r="P1746" s="65"/>
      <c r="Q1746" s="65" t="str">
        <f>IFERROR(__xludf.DUMMYFUNCTION("""COMPUTED_VALUE"""),"SERVIENTREGA")</f>
        <v>SERVIENTREGA</v>
      </c>
      <c r="R1746" s="65">
        <f>IFERROR(__xludf.DUMMYFUNCTION("""COMPUTED_VALUE"""),22.0)</f>
        <v>22</v>
      </c>
      <c r="S1746" s="65"/>
      <c r="T1746" s="65">
        <f>IFERROR(__xludf.DUMMYFUNCTION("""COMPUTED_VALUE"""),7.7)</f>
        <v>7.7</v>
      </c>
      <c r="U1746" s="65">
        <f>IFERROR(__xludf.DUMMYFUNCTION("""COMPUTED_VALUE"""),0.0)</f>
        <v>0</v>
      </c>
      <c r="V1746" s="65">
        <f>IFERROR(__xludf.DUMMYFUNCTION("""COMPUTED_VALUE"""),0.0)</f>
        <v>0</v>
      </c>
      <c r="W1746" s="65">
        <f>IFERROR(__xludf.DUMMYFUNCTION("""COMPUTED_VALUE"""),0.0)</f>
        <v>0</v>
      </c>
      <c r="X1746" s="65">
        <f>IFERROR(__xludf.DUMMYFUNCTION("""COMPUTED_VALUE"""),2.6)</f>
        <v>2.6</v>
      </c>
      <c r="Y1746" s="65">
        <f>IFERROR(__xludf.DUMMYFUNCTION("""COMPUTED_VALUE"""),5.2)</f>
        <v>5.2</v>
      </c>
      <c r="Z1746" s="65">
        <f>IFERROR(__xludf.DUMMYFUNCTION("""COMPUTED_VALUE"""),121983.0)</f>
        <v>121983</v>
      </c>
      <c r="AA1746" s="65" t="str">
        <f>IFERROR(__xludf.DUMMYFUNCTION("""COMPUTED_VALUE"""),"PROV-CHLLCF")</f>
        <v>PROV-CHLLCF</v>
      </c>
      <c r="AB1746" s="65"/>
      <c r="AC1746" s="65" t="str">
        <f>IFERROR(__xludf.DUMMYFUNCTION("""COMPUTED_VALUE"""),"CUCHILLO PARA CHEF")</f>
        <v>CUCHILLO PARA CHEF</v>
      </c>
      <c r="AD1746" s="65"/>
      <c r="AE1746" s="65">
        <f>IFERROR(__xludf.DUMMYFUNCTION("""COMPUTED_VALUE"""),2.0)</f>
        <v>2</v>
      </c>
      <c r="AF1746" s="65"/>
      <c r="AG1746" s="65"/>
      <c r="AH1746" s="65"/>
      <c r="AI1746" s="65"/>
      <c r="AJ1746" s="65"/>
      <c r="AK1746" s="65"/>
      <c r="AL1746" s="65"/>
      <c r="AM1746" s="65"/>
      <c r="AN1746" s="65"/>
      <c r="AO1746" s="65"/>
      <c r="AP1746" s="65"/>
      <c r="AQ1746" s="65"/>
      <c r="AR1746" s="65"/>
      <c r="AS1746" s="65"/>
      <c r="AT1746" s="65" t="str">
        <f>IFERROR(__xludf.DUMMYFUNCTION("""COMPUTED_VALUE"""),"SHOPIFY")</f>
        <v>SHOPIFY</v>
      </c>
      <c r="AU1746" s="65" t="str">
        <f>IFERROR(__xludf.DUMMYFUNCTION("""COMPUTED_VALUE"""),"IMPORTEX EC")</f>
        <v>IMPORTEX EC</v>
      </c>
      <c r="AV1746" s="65" t="str">
        <f>IFERROR(__xludf.DUMMYFUNCTION("""COMPUTED_VALUE"""),"6415410102316")</f>
        <v>6415410102316</v>
      </c>
      <c r="AW1746" s="65">
        <f>IFERROR(__xludf.DUMMYFUNCTION("""COMPUTED_VALUE"""),5196.0)</f>
        <v>5196</v>
      </c>
      <c r="AX1746" s="65"/>
      <c r="AY1746" s="65"/>
      <c r="AZ1746" s="65"/>
      <c r="BA1746" s="65"/>
    </row>
    <row r="1747">
      <c r="A1747" s="65" t="str">
        <f>IFERROR(__xludf.DUMMYFUNCTION("""COMPUTED_VALUE"""),"27-03-2026")</f>
        <v>27-03-2026</v>
      </c>
      <c r="B1747" s="65">
        <f>IFERROR(__xludf.DUMMYFUNCTION("""COMPUTED_VALUE"""),4150368.0)</f>
        <v>4150368</v>
      </c>
      <c r="C1747" s="65" t="str">
        <f>IFERROR(__xludf.DUMMYFUNCTION("""COMPUTED_VALUE"""),"21:29")</f>
        <v>21:29</v>
      </c>
      <c r="D1747" s="65" t="str">
        <f>IFERROR(__xludf.DUMMYFUNCTION("""COMPUTED_VALUE"""),"14-01-2026")</f>
        <v>14-01-2026</v>
      </c>
      <c r="E1747" s="65" t="str">
        <f>IFERROR(__xludf.DUMMYFUNCTION("""COMPUTED_VALUE"""),"Patricia Lara")</f>
        <v>Patricia Lara</v>
      </c>
      <c r="F1747" s="65" t="str">
        <f>IFERROR(__xludf.DUMMYFUNCTION("""COMPUTED_VALUE"""),"995694481")</f>
        <v>995694481</v>
      </c>
      <c r="G1747" s="65" t="str">
        <f>IFERROR(__xludf.DUMMYFUNCTION("""COMPUTED_VALUE"""),"elolivorestaurant@outlook.com")</f>
        <v>elolivorestaurant@outlook.com</v>
      </c>
      <c r="H1747" s="65"/>
      <c r="I1747" s="65"/>
      <c r="J1747" s="65" t="str">
        <f>IFERROR(__xludf.DUMMYFUNCTION("""COMPUTED_VALUE"""),"D001231921")</f>
        <v>D001231921</v>
      </c>
      <c r="K1747" s="65" t="str">
        <f>IFERROR(__xludf.DUMMYFUNCTION("""COMPUTED_VALUE"""),"ENTREGADO")</f>
        <v>ENTREGADO</v>
      </c>
      <c r="L1747" s="65" t="str">
        <f>IFERROR(__xludf.DUMMYFUNCTION("""COMPUTED_VALUE"""),"CON RECAUDO")</f>
        <v>CON RECAUDO</v>
      </c>
      <c r="M1747" s="65" t="str">
        <f>IFERROR(__xludf.DUMMYFUNCTION("""COMPUTED_VALUE"""),"CHIMBORAZO")</f>
        <v>CHIMBORAZO</v>
      </c>
      <c r="N1747" s="65" t="str">
        <f>IFERROR(__xludf.DUMMYFUNCTION("""COMPUTED_VALUE"""),"RIOBAMBA")</f>
        <v>RIOBAMBA</v>
      </c>
      <c r="O1747" s="65" t="str">
        <f>IFERROR(__xludf.DUMMYFUNCTION("""COMPUTED_VALUE"""),"Guayas 14 e imbabura Cdla 24 de mayo -")</f>
        <v>Guayas 14 e imbabura Cdla 24 de mayo -</v>
      </c>
      <c r="P1747" s="65"/>
      <c r="Q1747" s="65" t="str">
        <f>IFERROR(__xludf.DUMMYFUNCTION("""COMPUTED_VALUE"""),"GINTRACOM")</f>
        <v>GINTRACOM</v>
      </c>
      <c r="R1747" s="65">
        <f>IFERROR(__xludf.DUMMYFUNCTION("""COMPUTED_VALUE"""),22.0)</f>
        <v>22</v>
      </c>
      <c r="S1747" s="65">
        <f>IFERROR(__xludf.DUMMYFUNCTION("""COMPUTED_VALUE"""),10.96)</f>
        <v>10.96</v>
      </c>
      <c r="T1747" s="65">
        <f>IFERROR(__xludf.DUMMYFUNCTION("""COMPUTED_VALUE"""),5.84)</f>
        <v>5.84</v>
      </c>
      <c r="U1747" s="65">
        <f>IFERROR(__xludf.DUMMYFUNCTION("""COMPUTED_VALUE"""),0.0)</f>
        <v>0</v>
      </c>
      <c r="V1747" s="65">
        <f>IFERROR(__xludf.DUMMYFUNCTION("""COMPUTED_VALUE"""),0.0)</f>
        <v>0</v>
      </c>
      <c r="W1747" s="65">
        <f>IFERROR(__xludf.DUMMYFUNCTION("""COMPUTED_VALUE"""),0.0)</f>
        <v>0</v>
      </c>
      <c r="X1747" s="65">
        <f>IFERROR(__xludf.DUMMYFUNCTION("""COMPUTED_VALUE"""),2.6)</f>
        <v>2.6</v>
      </c>
      <c r="Y1747" s="65">
        <f>IFERROR(__xludf.DUMMYFUNCTION("""COMPUTED_VALUE"""),5.2)</f>
        <v>5.2</v>
      </c>
      <c r="Z1747" s="65">
        <f>IFERROR(__xludf.DUMMYFUNCTION("""COMPUTED_VALUE"""),121983.0)</f>
        <v>121983</v>
      </c>
      <c r="AA1747" s="65" t="str">
        <f>IFERROR(__xludf.DUMMYFUNCTION("""COMPUTED_VALUE"""),"PROV-CHLLCF")</f>
        <v>PROV-CHLLCF</v>
      </c>
      <c r="AB1747" s="65"/>
      <c r="AC1747" s="65" t="str">
        <f>IFERROR(__xludf.DUMMYFUNCTION("""COMPUTED_VALUE"""),"CUCHILLO PARA CHEF")</f>
        <v>CUCHILLO PARA CHEF</v>
      </c>
      <c r="AD1747" s="65"/>
      <c r="AE1747" s="65">
        <f>IFERROR(__xludf.DUMMYFUNCTION("""COMPUTED_VALUE"""),2.0)</f>
        <v>2</v>
      </c>
      <c r="AF1747" s="65"/>
      <c r="AG1747" s="65"/>
      <c r="AH1747" s="65"/>
      <c r="AI1747" s="65"/>
      <c r="AJ1747" s="65"/>
      <c r="AK1747" s="65"/>
      <c r="AL1747" s="65"/>
      <c r="AM1747" s="65"/>
      <c r="AN1747" s="65" t="str">
        <f>IFERROR(__xludf.DUMMYFUNCTION("""COMPUTED_VALUE"""),"01:31")</f>
        <v>01:31</v>
      </c>
      <c r="AO1747" s="65" t="str">
        <f>IFERROR(__xludf.DUMMYFUNCTION("""COMPUTED_VALUE"""),"21-01-2026")</f>
        <v>21-01-2026</v>
      </c>
      <c r="AP1747" s="65" t="str">
        <f>IFERROR(__xludf.DUMMYFUNCTION("""COMPUTED_VALUE"""),"ENTREGADA GINTRACOM")</f>
        <v>ENTREGADA GINTRACOM</v>
      </c>
      <c r="AQ1747" s="65" t="str">
        <f>IFERROR(__xludf.DUMMYFUNCTION("""COMPUTED_VALUE"""),"ENTREGADA GINTRACOM")</f>
        <v>ENTREGADA GINTRACOM</v>
      </c>
      <c r="AR1747" s="65"/>
      <c r="AS1747" s="65"/>
      <c r="AT1747" s="65" t="str">
        <f>IFERROR(__xludf.DUMMYFUNCTION("""COMPUTED_VALUE"""),"SHOPIFY")</f>
        <v>SHOPIFY</v>
      </c>
      <c r="AU1747" s="65" t="str">
        <f>IFERROR(__xludf.DUMMYFUNCTION("""COMPUTED_VALUE"""),"IMPORTEX EC")</f>
        <v>IMPORTEX EC</v>
      </c>
      <c r="AV1747" s="65" t="str">
        <f>IFERROR(__xludf.DUMMYFUNCTION("""COMPUTED_VALUE"""),"6415406333996")</f>
        <v>6415406333996</v>
      </c>
      <c r="AW1747" s="65">
        <f>IFERROR(__xludf.DUMMYFUNCTION("""COMPUTED_VALUE"""),5195.0)</f>
        <v>5195</v>
      </c>
      <c r="AX1747" s="65"/>
      <c r="AY1747" s="65" t="str">
        <f>IFERROR(__xludf.DUMMYFUNCTION("""COMPUTED_VALUE"""),"16/01/2026")</f>
        <v>16/01/2026</v>
      </c>
      <c r="AZ1747" s="65"/>
      <c r="BA1747" s="65"/>
    </row>
    <row r="1748">
      <c r="A1748" s="65" t="str">
        <f>IFERROR(__xludf.DUMMYFUNCTION("""COMPUTED_VALUE"""),"27-03-2026")</f>
        <v>27-03-2026</v>
      </c>
      <c r="B1748" s="65">
        <f>IFERROR(__xludf.DUMMYFUNCTION("""COMPUTED_VALUE"""),4150323.0)</f>
        <v>4150323</v>
      </c>
      <c r="C1748" s="65" t="str">
        <f>IFERROR(__xludf.DUMMYFUNCTION("""COMPUTED_VALUE"""),"21:26")</f>
        <v>21:26</v>
      </c>
      <c r="D1748" s="65" t="str">
        <f>IFERROR(__xludf.DUMMYFUNCTION("""COMPUTED_VALUE"""),"14-01-2026")</f>
        <v>14-01-2026</v>
      </c>
      <c r="E1748" s="65" t="str">
        <f>IFERROR(__xludf.DUMMYFUNCTION("""COMPUTED_VALUE"""),"Kilmer Villalba")</f>
        <v>Kilmer Villalba</v>
      </c>
      <c r="F1748" s="65" t="str">
        <f>IFERROR(__xludf.DUMMYFUNCTION("""COMPUTED_VALUE"""),"995601763")</f>
        <v>995601763</v>
      </c>
      <c r="G1748" s="65" t="str">
        <f>IFERROR(__xludf.DUMMYFUNCTION("""COMPUTED_VALUE"""),"villalbakilmer83@gmail.com")</f>
        <v>villalbakilmer83@gmail.com</v>
      </c>
      <c r="H1748" s="65"/>
      <c r="I1748" s="65"/>
      <c r="J1748" s="65" t="str">
        <f>IFERROR(__xludf.DUMMYFUNCTION("""COMPUTED_VALUE"""),"D001231922")</f>
        <v>D001231922</v>
      </c>
      <c r="K1748" s="65" t="str">
        <f>IFERROR(__xludf.DUMMYFUNCTION("""COMPUTED_VALUE"""),"DEVOLUCION")</f>
        <v>DEVOLUCION</v>
      </c>
      <c r="L1748" s="65" t="str">
        <f>IFERROR(__xludf.DUMMYFUNCTION("""COMPUTED_VALUE"""),"CON RECAUDO")</f>
        <v>CON RECAUDO</v>
      </c>
      <c r="M1748" s="65" t="str">
        <f>IFERROR(__xludf.DUMMYFUNCTION("""COMPUTED_VALUE"""),"PICHINCHA")</f>
        <v>PICHINCHA</v>
      </c>
      <c r="N1748" s="65" t="str">
        <f>IFERROR(__xludf.DUMMYFUNCTION("""COMPUTED_VALUE"""),"CAYAMBE")</f>
        <v>CAYAMBE</v>
      </c>
      <c r="O1748" s="65" t="str">
        <f>IFERROR(__xludf.DUMMYFUNCTION("""COMPUTED_VALUE"""),"-juan Montalvoo 13 de Abril y Chiriboga esquina, referencia: tienda en la planta baja de mi casa")</f>
        <v>-juan Montalvoo 13 de Abril y Chiriboga esquina, referencia: tienda en la planta baja de mi casa</v>
      </c>
      <c r="P1748" s="65"/>
      <c r="Q1748" s="65" t="str">
        <f>IFERROR(__xludf.DUMMYFUNCTION("""COMPUTED_VALUE"""),"GINTRACOM")</f>
        <v>GINTRACOM</v>
      </c>
      <c r="R1748" s="65">
        <f>IFERROR(__xludf.DUMMYFUNCTION("""COMPUTED_VALUE"""),22.0)</f>
        <v>22</v>
      </c>
      <c r="S1748" s="65"/>
      <c r="T1748" s="65">
        <f>IFERROR(__xludf.DUMMYFUNCTION("""COMPUTED_VALUE"""),5.84)</f>
        <v>5.84</v>
      </c>
      <c r="U1748" s="65">
        <f>IFERROR(__xludf.DUMMYFUNCTION("""COMPUTED_VALUE"""),0.0)</f>
        <v>0</v>
      </c>
      <c r="V1748" s="65">
        <f>IFERROR(__xludf.DUMMYFUNCTION("""COMPUTED_VALUE"""),0.0)</f>
        <v>0</v>
      </c>
      <c r="W1748" s="65">
        <f>IFERROR(__xludf.DUMMYFUNCTION("""COMPUTED_VALUE"""),0.0)</f>
        <v>0</v>
      </c>
      <c r="X1748" s="65">
        <f>IFERROR(__xludf.DUMMYFUNCTION("""COMPUTED_VALUE"""),2.6)</f>
        <v>2.6</v>
      </c>
      <c r="Y1748" s="65">
        <f>IFERROR(__xludf.DUMMYFUNCTION("""COMPUTED_VALUE"""),5.2)</f>
        <v>5.2</v>
      </c>
      <c r="Z1748" s="65">
        <f>IFERROR(__xludf.DUMMYFUNCTION("""COMPUTED_VALUE"""),121983.0)</f>
        <v>121983</v>
      </c>
      <c r="AA1748" s="65" t="str">
        <f>IFERROR(__xludf.DUMMYFUNCTION("""COMPUTED_VALUE"""),"PROV-CHLLCF")</f>
        <v>PROV-CHLLCF</v>
      </c>
      <c r="AB1748" s="65"/>
      <c r="AC1748" s="65" t="str">
        <f>IFERROR(__xludf.DUMMYFUNCTION("""COMPUTED_VALUE"""),"CUCHILLO PARA CHEF")</f>
        <v>CUCHILLO PARA CHEF</v>
      </c>
      <c r="AD1748" s="65"/>
      <c r="AE1748" s="65">
        <f>IFERROR(__xludf.DUMMYFUNCTION("""COMPUTED_VALUE"""),2.0)</f>
        <v>2</v>
      </c>
      <c r="AF1748" s="65" t="str">
        <f>IFERROR(__xludf.DUMMYFUNCTION("""COMPUTED_VALUE"""),"DESTINATARIO INDICA QUE ESTÁ INCONFORME CON EL PRODUCTO. (NO RECIBE)")</f>
        <v>DESTINATARIO INDICA QUE ESTÁ INCONFORME CON EL PRODUCTO. (NO RECIBE)</v>
      </c>
      <c r="AG1748" s="65" t="str">
        <f>IFERROR(__xludf.DUMMYFUNCTION("""COMPUTED_VALUE"""),"NO")</f>
        <v>NO</v>
      </c>
      <c r="AH1748" s="65" t="str">
        <f>IFERROR(__xludf.DUMMYFUNCTION("""COMPUTED_VALUE"""),"11:28")</f>
        <v>11:28</v>
      </c>
      <c r="AI1748" s="65" t="str">
        <f>IFERROR(__xludf.DUMMYFUNCTION("""COMPUTED_VALUE"""),"20-01-2026")</f>
        <v>20-01-2026</v>
      </c>
      <c r="AJ1748" s="65"/>
      <c r="AK1748" s="65"/>
      <c r="AL1748" s="65"/>
      <c r="AM1748" s="65"/>
      <c r="AN1748" s="65" t="str">
        <f>IFERROR(__xludf.DUMMYFUNCTION("""COMPUTED_VALUE"""),"08:43")</f>
        <v>08:43</v>
      </c>
      <c r="AO1748" s="65" t="str">
        <f>IFERROR(__xludf.DUMMYFUNCTION("""COMPUTED_VALUE"""),"10-02-2026")</f>
        <v>10-02-2026</v>
      </c>
      <c r="AP1748" s="65" t="str">
        <f>IFERROR(__xludf.DUMMYFUNCTION("""COMPUTED_VALUE"""),"DEV CONFIRMADA POR BODEGA")</f>
        <v>DEV CONFIRMADA POR BODEGA</v>
      </c>
      <c r="AQ1748" s="65"/>
      <c r="AR1748" s="65" t="str">
        <f>IFERROR(__xludf.DUMMYFUNCTION("""COMPUTED_VALUE"""),"Gestionado por: Moran Daniel, email:danielmorga2005@gmail.com, total de productos en la orden: 1")</f>
        <v>Gestionado por: Moran Daniel, email:danielmorga2005@gmail.com, total de productos en la orden: 1</v>
      </c>
      <c r="AS1748" s="65"/>
      <c r="AT1748" s="65" t="str">
        <f>IFERROR(__xludf.DUMMYFUNCTION("""COMPUTED_VALUE"""),"SHOPIFY")</f>
        <v>SHOPIFY</v>
      </c>
      <c r="AU1748" s="65" t="str">
        <f>IFERROR(__xludf.DUMMYFUNCTION("""COMPUTED_VALUE"""),"IMPORTEX EC")</f>
        <v>IMPORTEX EC</v>
      </c>
      <c r="AV1748" s="65" t="str">
        <f>IFERROR(__xludf.DUMMYFUNCTION("""COMPUTED_VALUE"""),"6415400239148")</f>
        <v>6415400239148</v>
      </c>
      <c r="AW1748" s="65">
        <f>IFERROR(__xludf.DUMMYFUNCTION("""COMPUTED_VALUE"""),5194.0)</f>
        <v>5194</v>
      </c>
      <c r="AX1748" s="65"/>
      <c r="AY1748" s="65" t="str">
        <f>IFERROR(__xludf.DUMMYFUNCTION("""COMPUTED_VALUE"""),"16/01/2026")</f>
        <v>16/01/2026</v>
      </c>
      <c r="AZ1748" s="65"/>
      <c r="BA1748" s="65"/>
    </row>
    <row r="1749">
      <c r="A1749" s="65" t="str">
        <f>IFERROR(__xludf.DUMMYFUNCTION("""COMPUTED_VALUE"""),"27-03-2026")</f>
        <v>27-03-2026</v>
      </c>
      <c r="B1749" s="65">
        <f>IFERROR(__xludf.DUMMYFUNCTION("""COMPUTED_VALUE"""),4150287.0)</f>
        <v>4150287</v>
      </c>
      <c r="C1749" s="65" t="str">
        <f>IFERROR(__xludf.DUMMYFUNCTION("""COMPUTED_VALUE"""),"21:22")</f>
        <v>21:22</v>
      </c>
      <c r="D1749" s="65" t="str">
        <f>IFERROR(__xludf.DUMMYFUNCTION("""COMPUTED_VALUE"""),"14-01-2026")</f>
        <v>14-01-2026</v>
      </c>
      <c r="E1749" s="65" t="str">
        <f>IFERROR(__xludf.DUMMYFUNCTION("""COMPUTED_VALUE"""),"Rosa orfelina Chavez")</f>
        <v>Rosa orfelina Chavez</v>
      </c>
      <c r="F1749" s="65" t="str">
        <f>IFERROR(__xludf.DUMMYFUNCTION("""COMPUTED_VALUE"""),"984994638")</f>
        <v>984994638</v>
      </c>
      <c r="G1749" s="65" t="str">
        <f>IFERROR(__xludf.DUMMYFUNCTION("""COMPUTED_VALUE"""),"rosachavezp73@gmail.com")</f>
        <v>rosachavezp73@gmail.com</v>
      </c>
      <c r="H1749" s="65"/>
      <c r="I1749" s="65"/>
      <c r="J1749" s="65" t="str">
        <f>IFERROR(__xludf.DUMMYFUNCTION("""COMPUTED_VALUE"""),"D001231923")</f>
        <v>D001231923</v>
      </c>
      <c r="K1749" s="65" t="str">
        <f>IFERROR(__xludf.DUMMYFUNCTION("""COMPUTED_VALUE"""),"ENTREGADO")</f>
        <v>ENTREGADO</v>
      </c>
      <c r="L1749" s="65" t="str">
        <f>IFERROR(__xludf.DUMMYFUNCTION("""COMPUTED_VALUE"""),"CON RECAUDO")</f>
        <v>CON RECAUDO</v>
      </c>
      <c r="M1749" s="65" t="str">
        <f>IFERROR(__xludf.DUMMYFUNCTION("""COMPUTED_VALUE"""),"AZUAY")</f>
        <v>AZUAY</v>
      </c>
      <c r="N1749" s="65" t="str">
        <f>IFERROR(__xludf.DUMMYFUNCTION("""COMPUTED_VALUE"""),"CUENCA")</f>
        <v>CUENCA</v>
      </c>
      <c r="O1749" s="65" t="str">
        <f>IFERROR(__xludf.DUMMYFUNCTION("""COMPUTED_VALUE"""),"Ricardo duran y Mariano villalobos, junto al puente peatonal, cerramiento café")</f>
        <v>Ricardo duran y Mariano villalobos, junto al puente peatonal, cerramiento café</v>
      </c>
      <c r="P1749" s="65"/>
      <c r="Q1749" s="65" t="str">
        <f>IFERROR(__xludf.DUMMYFUNCTION("""COMPUTED_VALUE"""),"GINTRACOM")</f>
        <v>GINTRACOM</v>
      </c>
      <c r="R1749" s="65">
        <f>IFERROR(__xludf.DUMMYFUNCTION("""COMPUTED_VALUE"""),27.0)</f>
        <v>27</v>
      </c>
      <c r="S1749" s="65">
        <f>IFERROR(__xludf.DUMMYFUNCTION("""COMPUTED_VALUE"""),13.17)</f>
        <v>13.17</v>
      </c>
      <c r="T1749" s="65">
        <f>IFERROR(__xludf.DUMMYFUNCTION("""COMPUTED_VALUE"""),6.03)</f>
        <v>6.03</v>
      </c>
      <c r="U1749" s="65">
        <f>IFERROR(__xludf.DUMMYFUNCTION("""COMPUTED_VALUE"""),0.0)</f>
        <v>0</v>
      </c>
      <c r="V1749" s="65">
        <f>IFERROR(__xludf.DUMMYFUNCTION("""COMPUTED_VALUE"""),0.0)</f>
        <v>0</v>
      </c>
      <c r="W1749" s="65">
        <f>IFERROR(__xludf.DUMMYFUNCTION("""COMPUTED_VALUE"""),0.0)</f>
        <v>0</v>
      </c>
      <c r="X1749" s="65">
        <f>IFERROR(__xludf.DUMMYFUNCTION("""COMPUTED_VALUE"""),2.6)</f>
        <v>2.6</v>
      </c>
      <c r="Y1749" s="65">
        <f>IFERROR(__xludf.DUMMYFUNCTION("""COMPUTED_VALUE"""),7.8)</f>
        <v>7.8</v>
      </c>
      <c r="Z1749" s="65">
        <f>IFERROR(__xludf.DUMMYFUNCTION("""COMPUTED_VALUE"""),121983.0)</f>
        <v>121983</v>
      </c>
      <c r="AA1749" s="65" t="str">
        <f>IFERROR(__xludf.DUMMYFUNCTION("""COMPUTED_VALUE"""),"PROV-CHLLCF")</f>
        <v>PROV-CHLLCF</v>
      </c>
      <c r="AB1749" s="65"/>
      <c r="AC1749" s="65" t="str">
        <f>IFERROR(__xludf.DUMMYFUNCTION("""COMPUTED_VALUE"""),"CUCHILLO PARA CHEF")</f>
        <v>CUCHILLO PARA CHEF</v>
      </c>
      <c r="AD1749" s="65"/>
      <c r="AE1749" s="65">
        <f>IFERROR(__xludf.DUMMYFUNCTION("""COMPUTED_VALUE"""),3.0)</f>
        <v>3</v>
      </c>
      <c r="AF1749" s="65"/>
      <c r="AG1749" s="65"/>
      <c r="AH1749" s="65"/>
      <c r="AI1749" s="65"/>
      <c r="AJ1749" s="65"/>
      <c r="AK1749" s="65"/>
      <c r="AL1749" s="65"/>
      <c r="AM1749" s="65"/>
      <c r="AN1749" s="65" t="str">
        <f>IFERROR(__xludf.DUMMYFUNCTION("""COMPUTED_VALUE"""),"10:39")</f>
        <v>10:39</v>
      </c>
      <c r="AO1749" s="65" t="str">
        <f>IFERROR(__xludf.DUMMYFUNCTION("""COMPUTED_VALUE"""),"19-01-2026")</f>
        <v>19-01-2026</v>
      </c>
      <c r="AP1749" s="65" t="str">
        <f>IFERROR(__xludf.DUMMYFUNCTION("""COMPUTED_VALUE"""),"ENTREGADA GINTRACOM")</f>
        <v>ENTREGADA GINTRACOM</v>
      </c>
      <c r="AQ1749" s="65" t="str">
        <f>IFERROR(__xludf.DUMMYFUNCTION("""COMPUTED_VALUE"""),"ENTREGADA GINTRACOM")</f>
        <v>ENTREGADA GINTRACOM</v>
      </c>
      <c r="AR1749" s="65"/>
      <c r="AS1749" s="65"/>
      <c r="AT1749" s="65" t="str">
        <f>IFERROR(__xludf.DUMMYFUNCTION("""COMPUTED_VALUE"""),"SHOPIFY")</f>
        <v>SHOPIFY</v>
      </c>
      <c r="AU1749" s="65" t="str">
        <f>IFERROR(__xludf.DUMMYFUNCTION("""COMPUTED_VALUE"""),"IMPORTEX EC")</f>
        <v>IMPORTEX EC</v>
      </c>
      <c r="AV1749" s="65" t="str">
        <f>IFERROR(__xludf.DUMMYFUNCTION("""COMPUTED_VALUE"""),"6415397322796")</f>
        <v>6415397322796</v>
      </c>
      <c r="AW1749" s="65">
        <f>IFERROR(__xludf.DUMMYFUNCTION("""COMPUTED_VALUE"""),5193.0)</f>
        <v>5193</v>
      </c>
      <c r="AX1749" s="65"/>
      <c r="AY1749" s="65" t="str">
        <f>IFERROR(__xludf.DUMMYFUNCTION("""COMPUTED_VALUE"""),"16/01/2026")</f>
        <v>16/01/2026</v>
      </c>
      <c r="AZ1749" s="65"/>
      <c r="BA1749" s="65"/>
    </row>
    <row r="1750">
      <c r="A1750" s="65" t="str">
        <f>IFERROR(__xludf.DUMMYFUNCTION("""COMPUTED_VALUE"""),"27-03-2026")</f>
        <v>27-03-2026</v>
      </c>
      <c r="B1750" s="65">
        <f>IFERROR(__xludf.DUMMYFUNCTION("""COMPUTED_VALUE"""),4150204.0)</f>
        <v>4150204</v>
      </c>
      <c r="C1750" s="65" t="str">
        <f>IFERROR(__xludf.DUMMYFUNCTION("""COMPUTED_VALUE"""),"21:18")</f>
        <v>21:18</v>
      </c>
      <c r="D1750" s="65" t="str">
        <f>IFERROR(__xludf.DUMMYFUNCTION("""COMPUTED_VALUE"""),"14-01-2026")</f>
        <v>14-01-2026</v>
      </c>
      <c r="E1750" s="65" t="str">
        <f>IFERROR(__xludf.DUMMYFUNCTION("""COMPUTED_VALUE"""),"Oscar Espinoza Burgos")</f>
        <v>Oscar Espinoza Burgos</v>
      </c>
      <c r="F1750" s="65" t="str">
        <f>IFERROR(__xludf.DUMMYFUNCTION("""COMPUTED_VALUE"""),"969476525")</f>
        <v>969476525</v>
      </c>
      <c r="G1750" s="65" t="str">
        <f>IFERROR(__xludf.DUMMYFUNCTION("""COMPUTED_VALUE"""),"oscar1980.oe@gmail.com")</f>
        <v>oscar1980.oe@gmail.com</v>
      </c>
      <c r="H1750" s="65"/>
      <c r="I1750" s="65"/>
      <c r="J1750" s="65" t="str">
        <f>IFERROR(__xludf.DUMMYFUNCTION("""COMPUTED_VALUE"""),"D001231925")</f>
        <v>D001231925</v>
      </c>
      <c r="K1750" s="65" t="str">
        <f>IFERROR(__xludf.DUMMYFUNCTION("""COMPUTED_VALUE"""),"ENTREGADO")</f>
        <v>ENTREGADO</v>
      </c>
      <c r="L1750" s="65" t="str">
        <f>IFERROR(__xludf.DUMMYFUNCTION("""COMPUTED_VALUE"""),"CON RECAUDO")</f>
        <v>CON RECAUDO</v>
      </c>
      <c r="M1750" s="65" t="str">
        <f>IFERROR(__xludf.DUMMYFUNCTION("""COMPUTED_VALUE"""),"CAÑAR")</f>
        <v>CAÑAR</v>
      </c>
      <c r="N1750" s="65" t="str">
        <f>IFERROR(__xludf.DUMMYFUNCTION("""COMPUTED_VALUE"""),"LA TRONCAL")</f>
        <v>LA TRONCAL</v>
      </c>
      <c r="O1750" s="65" t="str">
        <f>IFERROR(__xludf.DUMMYFUNCTION("""COMPUTED_VALUE"""),"25 de Agosto y Juan Hidalgo Cdla. Juan Hidalgo casa de dos pisos color verde con rosado -")</f>
        <v>25 de Agosto y Juan Hidalgo Cdla. Juan Hidalgo casa de dos pisos color verde con rosado -</v>
      </c>
      <c r="P1750" s="65"/>
      <c r="Q1750" s="65" t="str">
        <f>IFERROR(__xludf.DUMMYFUNCTION("""COMPUTED_VALUE"""),"GINTRACOM")</f>
        <v>GINTRACOM</v>
      </c>
      <c r="R1750" s="65">
        <f>IFERROR(__xludf.DUMMYFUNCTION("""COMPUTED_VALUE"""),22.0)</f>
        <v>22</v>
      </c>
      <c r="S1750" s="65">
        <f>IFERROR(__xludf.DUMMYFUNCTION("""COMPUTED_VALUE"""),10.96)</f>
        <v>10.96</v>
      </c>
      <c r="T1750" s="65">
        <f>IFERROR(__xludf.DUMMYFUNCTION("""COMPUTED_VALUE"""),5.84)</f>
        <v>5.84</v>
      </c>
      <c r="U1750" s="65">
        <f>IFERROR(__xludf.DUMMYFUNCTION("""COMPUTED_VALUE"""),0.0)</f>
        <v>0</v>
      </c>
      <c r="V1750" s="65">
        <f>IFERROR(__xludf.DUMMYFUNCTION("""COMPUTED_VALUE"""),0.0)</f>
        <v>0</v>
      </c>
      <c r="W1750" s="65">
        <f>IFERROR(__xludf.DUMMYFUNCTION("""COMPUTED_VALUE"""),0.0)</f>
        <v>0</v>
      </c>
      <c r="X1750" s="65">
        <f>IFERROR(__xludf.DUMMYFUNCTION("""COMPUTED_VALUE"""),2.6)</f>
        <v>2.6</v>
      </c>
      <c r="Y1750" s="65">
        <f>IFERROR(__xludf.DUMMYFUNCTION("""COMPUTED_VALUE"""),5.2)</f>
        <v>5.2</v>
      </c>
      <c r="Z1750" s="65">
        <f>IFERROR(__xludf.DUMMYFUNCTION("""COMPUTED_VALUE"""),121983.0)</f>
        <v>121983</v>
      </c>
      <c r="AA1750" s="65" t="str">
        <f>IFERROR(__xludf.DUMMYFUNCTION("""COMPUTED_VALUE"""),"PROV-CHLLCF")</f>
        <v>PROV-CHLLCF</v>
      </c>
      <c r="AB1750" s="65"/>
      <c r="AC1750" s="65" t="str">
        <f>IFERROR(__xludf.DUMMYFUNCTION("""COMPUTED_VALUE"""),"CUCHILLO PARA CHEF")</f>
        <v>CUCHILLO PARA CHEF</v>
      </c>
      <c r="AD1750" s="65"/>
      <c r="AE1750" s="65">
        <f>IFERROR(__xludf.DUMMYFUNCTION("""COMPUTED_VALUE"""),2.0)</f>
        <v>2</v>
      </c>
      <c r="AF1750" s="65"/>
      <c r="AG1750" s="65"/>
      <c r="AH1750" s="65"/>
      <c r="AI1750" s="65"/>
      <c r="AJ1750" s="65"/>
      <c r="AK1750" s="65"/>
      <c r="AL1750" s="65"/>
      <c r="AM1750" s="65"/>
      <c r="AN1750" s="65" t="str">
        <f>IFERROR(__xludf.DUMMYFUNCTION("""COMPUTED_VALUE"""),"20:24")</f>
        <v>20:24</v>
      </c>
      <c r="AO1750" s="65" t="str">
        <f>IFERROR(__xludf.DUMMYFUNCTION("""COMPUTED_VALUE"""),"20-01-2026")</f>
        <v>20-01-2026</v>
      </c>
      <c r="AP1750" s="65" t="str">
        <f>IFERROR(__xludf.DUMMYFUNCTION("""COMPUTED_VALUE"""),"ENTREGADA GINTRACOM")</f>
        <v>ENTREGADA GINTRACOM</v>
      </c>
      <c r="AQ1750" s="65" t="str">
        <f>IFERROR(__xludf.DUMMYFUNCTION("""COMPUTED_VALUE"""),"ENTREGADA GINTRACOM")</f>
        <v>ENTREGADA GINTRACOM</v>
      </c>
      <c r="AR1750" s="65"/>
      <c r="AS1750" s="65"/>
      <c r="AT1750" s="65" t="str">
        <f>IFERROR(__xludf.DUMMYFUNCTION("""COMPUTED_VALUE"""),"SHOPIFY")</f>
        <v>SHOPIFY</v>
      </c>
      <c r="AU1750" s="65" t="str">
        <f>IFERROR(__xludf.DUMMYFUNCTION("""COMPUTED_VALUE"""),"IMPORTEX EC")</f>
        <v>IMPORTEX EC</v>
      </c>
      <c r="AV1750" s="65" t="str">
        <f>IFERROR(__xludf.DUMMYFUNCTION("""COMPUTED_VALUE"""),"6415386673196")</f>
        <v>6415386673196</v>
      </c>
      <c r="AW1750" s="65">
        <f>IFERROR(__xludf.DUMMYFUNCTION("""COMPUTED_VALUE"""),5192.0)</f>
        <v>5192</v>
      </c>
      <c r="AX1750" s="65"/>
      <c r="AY1750" s="65" t="str">
        <f>IFERROR(__xludf.DUMMYFUNCTION("""COMPUTED_VALUE"""),"16/01/2026")</f>
        <v>16/01/2026</v>
      </c>
      <c r="AZ1750" s="65"/>
      <c r="BA1750" s="65"/>
    </row>
    <row r="1751">
      <c r="A1751" s="65" t="str">
        <f>IFERROR(__xludf.DUMMYFUNCTION("""COMPUTED_VALUE"""),"27-03-2026")</f>
        <v>27-03-2026</v>
      </c>
      <c r="B1751" s="65">
        <f>IFERROR(__xludf.DUMMYFUNCTION("""COMPUTED_VALUE"""),4150183.0)</f>
        <v>4150183</v>
      </c>
      <c r="C1751" s="65" t="str">
        <f>IFERROR(__xludf.DUMMYFUNCTION("""COMPUTED_VALUE"""),"21:17")</f>
        <v>21:17</v>
      </c>
      <c r="D1751" s="65" t="str">
        <f>IFERROR(__xludf.DUMMYFUNCTION("""COMPUTED_VALUE"""),"14-01-2026")</f>
        <v>14-01-2026</v>
      </c>
      <c r="E1751" s="65" t="str">
        <f>IFERROR(__xludf.DUMMYFUNCTION("""COMPUTED_VALUE"""),"Victor Wilfrido Ruiz Ibarra")</f>
        <v>Victor Wilfrido Ruiz Ibarra</v>
      </c>
      <c r="F1751" s="65" t="str">
        <f>IFERROR(__xludf.DUMMYFUNCTION("""COMPUTED_VALUE"""),"986047140")</f>
        <v>986047140</v>
      </c>
      <c r="G1751" s="65"/>
      <c r="H1751" s="65"/>
      <c r="I1751" s="65"/>
      <c r="J1751" s="65" t="str">
        <f>IFERROR(__xludf.DUMMYFUNCTION("""COMPUTED_VALUE"""),"D001231926")</f>
        <v>D001231926</v>
      </c>
      <c r="K1751" s="65" t="str">
        <f>IFERROR(__xludf.DUMMYFUNCTION("""COMPUTED_VALUE"""),"ENTREGADO")</f>
        <v>ENTREGADO</v>
      </c>
      <c r="L1751" s="65" t="str">
        <f>IFERROR(__xludf.DUMMYFUNCTION("""COMPUTED_VALUE"""),"CON RECAUDO")</f>
        <v>CON RECAUDO</v>
      </c>
      <c r="M1751" s="65" t="str">
        <f>IFERROR(__xludf.DUMMYFUNCTION("""COMPUTED_VALUE"""),"GUAYAS")</f>
        <v>GUAYAS</v>
      </c>
      <c r="N1751" s="65" t="str">
        <f>IFERROR(__xludf.DUMMYFUNCTION("""COMPUTED_VALUE"""),"MILAGRO")</f>
        <v>MILAGRO</v>
      </c>
      <c r="O1751" s="65" t="str">
        <f>IFERROR(__xludf.DUMMYFUNCTION("""COMPUTED_VALUE"""),"Av. 17 de septiembre y Ambato, Cnel (Empresa Eléctrica Milagro), referencia: en la esquina queda un centro de salud del ministerio")</f>
        <v>Av. 17 de septiembre y Ambato, Cnel (Empresa Eléctrica Milagro), referencia: en la esquina queda un centro de salud del ministerio</v>
      </c>
      <c r="P1751" s="65"/>
      <c r="Q1751" s="65" t="str">
        <f>IFERROR(__xludf.DUMMYFUNCTION("""COMPUTED_VALUE"""),"GINTRACOM")</f>
        <v>GINTRACOM</v>
      </c>
      <c r="R1751" s="65">
        <f>IFERROR(__xludf.DUMMYFUNCTION("""COMPUTED_VALUE"""),22.0)</f>
        <v>22</v>
      </c>
      <c r="S1751" s="65">
        <f>IFERROR(__xludf.DUMMYFUNCTION("""COMPUTED_VALUE"""),11.54)</f>
        <v>11.54</v>
      </c>
      <c r="T1751" s="65">
        <f>IFERROR(__xludf.DUMMYFUNCTION("""COMPUTED_VALUE"""),5.26)</f>
        <v>5.26</v>
      </c>
      <c r="U1751" s="65">
        <f>IFERROR(__xludf.DUMMYFUNCTION("""COMPUTED_VALUE"""),0.0)</f>
        <v>0</v>
      </c>
      <c r="V1751" s="65">
        <f>IFERROR(__xludf.DUMMYFUNCTION("""COMPUTED_VALUE"""),0.0)</f>
        <v>0</v>
      </c>
      <c r="W1751" s="65">
        <f>IFERROR(__xludf.DUMMYFUNCTION("""COMPUTED_VALUE"""),0.0)</f>
        <v>0</v>
      </c>
      <c r="X1751" s="65">
        <f>IFERROR(__xludf.DUMMYFUNCTION("""COMPUTED_VALUE"""),2.6)</f>
        <v>2.6</v>
      </c>
      <c r="Y1751" s="65">
        <f>IFERROR(__xludf.DUMMYFUNCTION("""COMPUTED_VALUE"""),5.2)</f>
        <v>5.2</v>
      </c>
      <c r="Z1751" s="65">
        <f>IFERROR(__xludf.DUMMYFUNCTION("""COMPUTED_VALUE"""),121983.0)</f>
        <v>121983</v>
      </c>
      <c r="AA1751" s="65" t="str">
        <f>IFERROR(__xludf.DUMMYFUNCTION("""COMPUTED_VALUE"""),"PROV-CHLLCF")</f>
        <v>PROV-CHLLCF</v>
      </c>
      <c r="AB1751" s="65"/>
      <c r="AC1751" s="65" t="str">
        <f>IFERROR(__xludf.DUMMYFUNCTION("""COMPUTED_VALUE"""),"CUCHILLO PARA CHEF")</f>
        <v>CUCHILLO PARA CHEF</v>
      </c>
      <c r="AD1751" s="65"/>
      <c r="AE1751" s="65">
        <f>IFERROR(__xludf.DUMMYFUNCTION("""COMPUTED_VALUE"""),2.0)</f>
        <v>2</v>
      </c>
      <c r="AF1751" s="65"/>
      <c r="AG1751" s="65"/>
      <c r="AH1751" s="65"/>
      <c r="AI1751" s="65"/>
      <c r="AJ1751" s="65"/>
      <c r="AK1751" s="65"/>
      <c r="AL1751" s="65"/>
      <c r="AM1751" s="65"/>
      <c r="AN1751" s="65" t="str">
        <f>IFERROR(__xludf.DUMMYFUNCTION("""COMPUTED_VALUE"""),"14:57")</f>
        <v>14:57</v>
      </c>
      <c r="AO1751" s="65" t="str">
        <f>IFERROR(__xludf.DUMMYFUNCTION("""COMPUTED_VALUE"""),"19-01-2026")</f>
        <v>19-01-2026</v>
      </c>
      <c r="AP1751" s="65" t="str">
        <f>IFERROR(__xludf.DUMMYFUNCTION("""COMPUTED_VALUE"""),"ENTREGADA GINTRACOM")</f>
        <v>ENTREGADA GINTRACOM</v>
      </c>
      <c r="AQ1751" s="65" t="str">
        <f>IFERROR(__xludf.DUMMYFUNCTION("""COMPUTED_VALUE"""),"ENTREGADA GINTRACOM")</f>
        <v>ENTREGADA GINTRACOM</v>
      </c>
      <c r="AR1751" s="65"/>
      <c r="AS1751" s="65"/>
      <c r="AT1751" s="65" t="str">
        <f>IFERROR(__xludf.DUMMYFUNCTION("""COMPUTED_VALUE"""),"SHOPIFY")</f>
        <v>SHOPIFY</v>
      </c>
      <c r="AU1751" s="65" t="str">
        <f>IFERROR(__xludf.DUMMYFUNCTION("""COMPUTED_VALUE"""),"IMPORTEX EC")</f>
        <v>IMPORTEX EC</v>
      </c>
      <c r="AV1751" s="65" t="str">
        <f>IFERROR(__xludf.DUMMYFUNCTION("""COMPUTED_VALUE"""),"6415382183980")</f>
        <v>6415382183980</v>
      </c>
      <c r="AW1751" s="65">
        <f>IFERROR(__xludf.DUMMYFUNCTION("""COMPUTED_VALUE"""),5191.0)</f>
        <v>5191</v>
      </c>
      <c r="AX1751" s="65"/>
      <c r="AY1751" s="65" t="str">
        <f>IFERROR(__xludf.DUMMYFUNCTION("""COMPUTED_VALUE"""),"16/01/2026")</f>
        <v>16/01/2026</v>
      </c>
      <c r="AZ1751" s="65"/>
      <c r="BA1751" s="65"/>
    </row>
    <row r="1752">
      <c r="A1752" s="65" t="str">
        <f>IFERROR(__xludf.DUMMYFUNCTION("""COMPUTED_VALUE"""),"27-03-2026")</f>
        <v>27-03-2026</v>
      </c>
      <c r="B1752" s="65">
        <f>IFERROR(__xludf.DUMMYFUNCTION("""COMPUTED_VALUE"""),4150067.0)</f>
        <v>4150067</v>
      </c>
      <c r="C1752" s="65" t="str">
        <f>IFERROR(__xludf.DUMMYFUNCTION("""COMPUTED_VALUE"""),"21:06")</f>
        <v>21:06</v>
      </c>
      <c r="D1752" s="65" t="str">
        <f>IFERROR(__xludf.DUMMYFUNCTION("""COMPUTED_VALUE"""),"14-01-2026")</f>
        <v>14-01-2026</v>
      </c>
      <c r="E1752" s="65" t="str">
        <f>IFERROR(__xludf.DUMMYFUNCTION("""COMPUTED_VALUE"""),"Jonathan Pomader")</f>
        <v>Jonathan Pomader</v>
      </c>
      <c r="F1752" s="65" t="str">
        <f>IFERROR(__xludf.DUMMYFUNCTION("""COMPUTED_VALUE"""),"984737773")</f>
        <v>984737773</v>
      </c>
      <c r="G1752" s="65" t="str">
        <f>IFERROR(__xludf.DUMMYFUNCTION("""COMPUTED_VALUE"""),"jepecopioso@hotmail.com")</f>
        <v>jepecopioso@hotmail.com</v>
      </c>
      <c r="H1752" s="65"/>
      <c r="I1752" s="65"/>
      <c r="J1752" s="65" t="str">
        <f>IFERROR(__xludf.DUMMYFUNCTION("""COMPUTED_VALUE"""),"D001231928")</f>
        <v>D001231928</v>
      </c>
      <c r="K1752" s="65" t="str">
        <f>IFERROR(__xludf.DUMMYFUNCTION("""COMPUTED_VALUE"""),"ENTREGADO")</f>
        <v>ENTREGADO</v>
      </c>
      <c r="L1752" s="65" t="str">
        <f>IFERROR(__xludf.DUMMYFUNCTION("""COMPUTED_VALUE"""),"CON RECAUDO")</f>
        <v>CON RECAUDO</v>
      </c>
      <c r="M1752" s="65" t="str">
        <f>IFERROR(__xludf.DUMMYFUNCTION("""COMPUTED_VALUE"""),"GUAYAS")</f>
        <v>GUAYAS</v>
      </c>
      <c r="N1752" s="65" t="str">
        <f>IFERROR(__xludf.DUMMYFUNCTION("""COMPUTED_VALUE"""),"DAULE")</f>
        <v>DAULE</v>
      </c>
      <c r="O1752" s="65" t="str">
        <f>IFERROR(__xludf.DUMMYFUNCTION("""COMPUTED_VALUE"""),"Joya etapa coral mz 17 villa 34 familia Pomader Espinoza")</f>
        <v>Joya etapa coral mz 17 villa 34 familia Pomader Espinoza</v>
      </c>
      <c r="P1752" s="65"/>
      <c r="Q1752" s="65" t="str">
        <f>IFERROR(__xludf.DUMMYFUNCTION("""COMPUTED_VALUE"""),"GINTRACOM")</f>
        <v>GINTRACOM</v>
      </c>
      <c r="R1752" s="65">
        <f>IFERROR(__xludf.DUMMYFUNCTION("""COMPUTED_VALUE"""),22.0)</f>
        <v>22</v>
      </c>
      <c r="S1752" s="65">
        <f>IFERROR(__xludf.DUMMYFUNCTION("""COMPUTED_VALUE"""),11.54)</f>
        <v>11.54</v>
      </c>
      <c r="T1752" s="65">
        <f>IFERROR(__xludf.DUMMYFUNCTION("""COMPUTED_VALUE"""),5.26)</f>
        <v>5.26</v>
      </c>
      <c r="U1752" s="65">
        <f>IFERROR(__xludf.DUMMYFUNCTION("""COMPUTED_VALUE"""),0.0)</f>
        <v>0</v>
      </c>
      <c r="V1752" s="65">
        <f>IFERROR(__xludf.DUMMYFUNCTION("""COMPUTED_VALUE"""),0.0)</f>
        <v>0</v>
      </c>
      <c r="W1752" s="65">
        <f>IFERROR(__xludf.DUMMYFUNCTION("""COMPUTED_VALUE"""),0.0)</f>
        <v>0</v>
      </c>
      <c r="X1752" s="65">
        <f>IFERROR(__xludf.DUMMYFUNCTION("""COMPUTED_VALUE"""),2.6)</f>
        <v>2.6</v>
      </c>
      <c r="Y1752" s="65">
        <f>IFERROR(__xludf.DUMMYFUNCTION("""COMPUTED_VALUE"""),5.2)</f>
        <v>5.2</v>
      </c>
      <c r="Z1752" s="65">
        <f>IFERROR(__xludf.DUMMYFUNCTION("""COMPUTED_VALUE"""),121983.0)</f>
        <v>121983</v>
      </c>
      <c r="AA1752" s="65" t="str">
        <f>IFERROR(__xludf.DUMMYFUNCTION("""COMPUTED_VALUE"""),"PROV-CHLLCF")</f>
        <v>PROV-CHLLCF</v>
      </c>
      <c r="AB1752" s="65"/>
      <c r="AC1752" s="65" t="str">
        <f>IFERROR(__xludf.DUMMYFUNCTION("""COMPUTED_VALUE"""),"CUCHILLO PARA CHEF")</f>
        <v>CUCHILLO PARA CHEF</v>
      </c>
      <c r="AD1752" s="65"/>
      <c r="AE1752" s="65">
        <f>IFERROR(__xludf.DUMMYFUNCTION("""COMPUTED_VALUE"""),2.0)</f>
        <v>2</v>
      </c>
      <c r="AF1752" s="65"/>
      <c r="AG1752" s="65"/>
      <c r="AH1752" s="65"/>
      <c r="AI1752" s="65"/>
      <c r="AJ1752" s="65"/>
      <c r="AK1752" s="65"/>
      <c r="AL1752" s="65"/>
      <c r="AM1752" s="65"/>
      <c r="AN1752" s="65" t="str">
        <f>IFERROR(__xludf.DUMMYFUNCTION("""COMPUTED_VALUE"""),"13:11")</f>
        <v>13:11</v>
      </c>
      <c r="AO1752" s="65" t="str">
        <f>IFERROR(__xludf.DUMMYFUNCTION("""COMPUTED_VALUE"""),"19-01-2026")</f>
        <v>19-01-2026</v>
      </c>
      <c r="AP1752" s="65" t="str">
        <f>IFERROR(__xludf.DUMMYFUNCTION("""COMPUTED_VALUE"""),"ENTREGADA GINTRACOM")</f>
        <v>ENTREGADA GINTRACOM</v>
      </c>
      <c r="AQ1752" s="65" t="str">
        <f>IFERROR(__xludf.DUMMYFUNCTION("""COMPUTED_VALUE"""),"ENTREGADA GINTRACOM")</f>
        <v>ENTREGADA GINTRACOM</v>
      </c>
      <c r="AR1752" s="65"/>
      <c r="AS1752" s="65"/>
      <c r="AT1752" s="65" t="str">
        <f>IFERROR(__xludf.DUMMYFUNCTION("""COMPUTED_VALUE"""),"SHOPIFY")</f>
        <v>SHOPIFY</v>
      </c>
      <c r="AU1752" s="65" t="str">
        <f>IFERROR(__xludf.DUMMYFUNCTION("""COMPUTED_VALUE"""),"IMPORTEX EC")</f>
        <v>IMPORTEX EC</v>
      </c>
      <c r="AV1752" s="65" t="str">
        <f>IFERROR(__xludf.DUMMYFUNCTION("""COMPUTED_VALUE"""),"6415358197804")</f>
        <v>6415358197804</v>
      </c>
      <c r="AW1752" s="65">
        <f>IFERROR(__xludf.DUMMYFUNCTION("""COMPUTED_VALUE"""),5190.0)</f>
        <v>5190</v>
      </c>
      <c r="AX1752" s="65"/>
      <c r="AY1752" s="65" t="str">
        <f>IFERROR(__xludf.DUMMYFUNCTION("""COMPUTED_VALUE"""),"16/01/2026")</f>
        <v>16/01/2026</v>
      </c>
      <c r="AZ1752" s="65"/>
      <c r="BA1752" s="65"/>
    </row>
    <row r="1753">
      <c r="A1753" s="65" t="str">
        <f>IFERROR(__xludf.DUMMYFUNCTION("""COMPUTED_VALUE"""),"27-03-2026")</f>
        <v>27-03-2026</v>
      </c>
      <c r="B1753" s="65">
        <f>IFERROR(__xludf.DUMMYFUNCTION("""COMPUTED_VALUE"""),4149782.0)</f>
        <v>4149782</v>
      </c>
      <c r="C1753" s="65" t="str">
        <f>IFERROR(__xludf.DUMMYFUNCTION("""COMPUTED_VALUE"""),"20:44")</f>
        <v>20:44</v>
      </c>
      <c r="D1753" s="65" t="str">
        <f>IFERROR(__xludf.DUMMYFUNCTION("""COMPUTED_VALUE"""),"14-01-2026")</f>
        <v>14-01-2026</v>
      </c>
      <c r="E1753" s="65" t="str">
        <f>IFERROR(__xludf.DUMMYFUNCTION("""COMPUTED_VALUE"""),"Mario Buenaño")</f>
        <v>Mario Buenaño</v>
      </c>
      <c r="F1753" s="65" t="str">
        <f>IFERROR(__xludf.DUMMYFUNCTION("""COMPUTED_VALUE"""),"981724818")</f>
        <v>981724818</v>
      </c>
      <c r="G1753" s="65" t="str">
        <f>IFERROR(__xludf.DUMMYFUNCTION("""COMPUTED_VALUE"""),"mariobp5530@yahoo.com")</f>
        <v>mariobp5530@yahoo.com</v>
      </c>
      <c r="H1753" s="65"/>
      <c r="I1753" s="65"/>
      <c r="J1753" s="65" t="str">
        <f>IFERROR(__xludf.DUMMYFUNCTION("""COMPUTED_VALUE"""),"D001231662")</f>
        <v>D001231662</v>
      </c>
      <c r="K1753" s="65" t="str">
        <f>IFERROR(__xludf.DUMMYFUNCTION("""COMPUTED_VALUE"""),"DEVOLUCION")</f>
        <v>DEVOLUCION</v>
      </c>
      <c r="L1753" s="65" t="str">
        <f>IFERROR(__xludf.DUMMYFUNCTION("""COMPUTED_VALUE"""),"CON RECAUDO")</f>
        <v>CON RECAUDO</v>
      </c>
      <c r="M1753" s="65" t="str">
        <f>IFERROR(__xludf.DUMMYFUNCTION("""COMPUTED_VALUE"""),"TUNGURAHUA")</f>
        <v>TUNGURAHUA</v>
      </c>
      <c r="N1753" s="65" t="str">
        <f>IFERROR(__xludf.DUMMYFUNCTION("""COMPUTED_VALUE"""),"QUERO")</f>
        <v>QUERO</v>
      </c>
      <c r="O1753" s="65" t="str">
        <f>IFERROR(__xludf.DUMMYFUNCTION("""COMPUTED_VALUE"""),"17 de abril y Pedro Fermín cevallos Quero -")</f>
        <v>17 de abril y Pedro Fermín cevallos Quero -</v>
      </c>
      <c r="P1753" s="65"/>
      <c r="Q1753" s="65" t="str">
        <f>IFERROR(__xludf.DUMMYFUNCTION("""COMPUTED_VALUE"""),"GINTRACOM")</f>
        <v>GINTRACOM</v>
      </c>
      <c r="R1753" s="65">
        <f>IFERROR(__xludf.DUMMYFUNCTION("""COMPUTED_VALUE"""),20.0)</f>
        <v>20</v>
      </c>
      <c r="S1753" s="65"/>
      <c r="T1753" s="65">
        <f>IFERROR(__xludf.DUMMYFUNCTION("""COMPUTED_VALUE"""),6.33)</f>
        <v>6.33</v>
      </c>
      <c r="U1753" s="65">
        <f>IFERROR(__xludf.DUMMYFUNCTION("""COMPUTED_VALUE"""),0.0)</f>
        <v>0</v>
      </c>
      <c r="V1753" s="65">
        <f>IFERROR(__xludf.DUMMYFUNCTION("""COMPUTED_VALUE"""),0.0)</f>
        <v>0</v>
      </c>
      <c r="W1753" s="65">
        <f>IFERROR(__xludf.DUMMYFUNCTION("""COMPUTED_VALUE"""),0.0)</f>
        <v>0</v>
      </c>
      <c r="X1753" s="65">
        <f>IFERROR(__xludf.DUMMYFUNCTION("""COMPUTED_VALUE"""),2.35)</f>
        <v>2.35</v>
      </c>
      <c r="Y1753" s="65">
        <f>IFERROR(__xludf.DUMMYFUNCTION("""COMPUTED_VALUE"""),2.35)</f>
        <v>2.35</v>
      </c>
      <c r="Z1753" s="65">
        <f>IFERROR(__xludf.DUMMYFUNCTION("""COMPUTED_VALUE"""),116679.0)</f>
        <v>116679</v>
      </c>
      <c r="AA1753" s="65" t="str">
        <f>IFERROR(__xludf.DUMMYFUNCTION("""COMPUTED_VALUE"""),"AMC-2738")</f>
        <v>AMC-2738</v>
      </c>
      <c r="AB1753" s="65"/>
      <c r="AC1753" s="65" t="str">
        <f>IFERROR(__xludf.DUMMYFUNCTION("""COMPUTED_VALUE"""),"ESPONJA ANTILLUVIA DE PARABRISAS")</f>
        <v>ESPONJA ANTILLUVIA DE PARABRISAS</v>
      </c>
      <c r="AD1753" s="65"/>
      <c r="AE1753" s="65">
        <f>IFERROR(__xludf.DUMMYFUNCTION("""COMPUTED_VALUE"""),1.0)</f>
        <v>1</v>
      </c>
      <c r="AF1753" s="65" t="str">
        <f>IFERROR(__xludf.DUMMYFUNCTION("""COMPUTED_VALUE"""),"DESTINATARIO NO CONTESTA LLAMADAS NI WHATSAPP")</f>
        <v>DESTINATARIO NO CONTESTA LLAMADAS NI WHATSAPP</v>
      </c>
      <c r="AG1753" s="65" t="str">
        <f>IFERROR(__xludf.DUMMYFUNCTION("""COMPUTED_VALUE"""),"NO")</f>
        <v>NO</v>
      </c>
      <c r="AH1753" s="65" t="str">
        <f>IFERROR(__xludf.DUMMYFUNCTION("""COMPUTED_VALUE"""),"09:00")</f>
        <v>09:00</v>
      </c>
      <c r="AI1753" s="65" t="str">
        <f>IFERROR(__xludf.DUMMYFUNCTION("""COMPUTED_VALUE"""),"27-01-2026")</f>
        <v>27-01-2026</v>
      </c>
      <c r="AJ1753" s="65"/>
      <c r="AK1753" s="65"/>
      <c r="AL1753" s="65"/>
      <c r="AM1753" s="65"/>
      <c r="AN1753" s="65" t="str">
        <f>IFERROR(__xludf.DUMMYFUNCTION("""COMPUTED_VALUE"""),"16:27")</f>
        <v>16:27</v>
      </c>
      <c r="AO1753" s="65" t="str">
        <f>IFERROR(__xludf.DUMMYFUNCTION("""COMPUTED_VALUE"""),"10-02-2026")</f>
        <v>10-02-2026</v>
      </c>
      <c r="AP1753" s="65" t="str">
        <f>IFERROR(__xludf.DUMMYFUNCTION("""COMPUTED_VALUE"""),"DEVOLUCIÓN ENTREGADA A ORIGEN")</f>
        <v>DEVOLUCIÓN ENTREGADA A ORIGEN</v>
      </c>
      <c r="AQ1753" s="65" t="str">
        <f>IFERROR(__xludf.DUMMYFUNCTION("""COMPUTED_VALUE"""),"DEVOLUCIÓN ENTREGADA A ORIGEN")</f>
        <v>DEVOLUCIÓN ENTREGADA A ORIGEN</v>
      </c>
      <c r="AR1753" s="65"/>
      <c r="AS1753" s="65"/>
      <c r="AT1753" s="65" t="str">
        <f>IFERROR(__xludf.DUMMYFUNCTION("""COMPUTED_VALUE"""),"SHOPIFY")</f>
        <v>SHOPIFY</v>
      </c>
      <c r="AU1753" s="65" t="str">
        <f>IFERROR(__xludf.DUMMYFUNCTION("""COMPUTED_VALUE"""),"IMPORTEX EC")</f>
        <v>IMPORTEX EC</v>
      </c>
      <c r="AV1753" s="65" t="str">
        <f>IFERROR(__xludf.DUMMYFUNCTION("""COMPUTED_VALUE"""),"6415313764396")</f>
        <v>6415313764396</v>
      </c>
      <c r="AW1753" s="65">
        <f>IFERROR(__xludf.DUMMYFUNCTION("""COMPUTED_VALUE"""),5189.0)</f>
        <v>5189</v>
      </c>
      <c r="AX1753" s="65"/>
      <c r="AY1753" s="65" t="str">
        <f>IFERROR(__xludf.DUMMYFUNCTION("""COMPUTED_VALUE"""),"16/01/2026")</f>
        <v>16/01/2026</v>
      </c>
      <c r="AZ1753" s="65"/>
      <c r="BA1753" s="65"/>
    </row>
    <row r="1754">
      <c r="A1754" s="65" t="str">
        <f>IFERROR(__xludf.DUMMYFUNCTION("""COMPUTED_VALUE"""),"27-03-2026")</f>
        <v>27-03-2026</v>
      </c>
      <c r="B1754" s="65">
        <f>IFERROR(__xludf.DUMMYFUNCTION("""COMPUTED_VALUE"""),4149560.0)</f>
        <v>4149560</v>
      </c>
      <c r="C1754" s="65" t="str">
        <f>IFERROR(__xludf.DUMMYFUNCTION("""COMPUTED_VALUE"""),"20:26")</f>
        <v>20:26</v>
      </c>
      <c r="D1754" s="65" t="str">
        <f>IFERROR(__xludf.DUMMYFUNCTION("""COMPUTED_VALUE"""),"14-01-2026")</f>
        <v>14-01-2026</v>
      </c>
      <c r="E1754" s="65" t="str">
        <f>IFERROR(__xludf.DUMMYFUNCTION("""COMPUTED_VALUE"""),"Wshington Vela")</f>
        <v>Wshington Vela</v>
      </c>
      <c r="F1754" s="65" t="str">
        <f>IFERROR(__xludf.DUMMYFUNCTION("""COMPUTED_VALUE"""),"979767403")</f>
        <v>979767403</v>
      </c>
      <c r="G1754" s="65" t="str">
        <f>IFERROR(__xludf.DUMMYFUNCTION("""COMPUTED_VALUE"""),"wsvela2588@gmail.com")</f>
        <v>wsvela2588@gmail.com</v>
      </c>
      <c r="H1754" s="65"/>
      <c r="I1754" s="65"/>
      <c r="J1754" s="65" t="str">
        <f>IFERROR(__xludf.DUMMYFUNCTION("""COMPUTED_VALUE"""),"D001231739")</f>
        <v>D001231739</v>
      </c>
      <c r="K1754" s="65" t="str">
        <f>IFERROR(__xludf.DUMMYFUNCTION("""COMPUTED_VALUE"""),"ENTREGADO")</f>
        <v>ENTREGADO</v>
      </c>
      <c r="L1754" s="65" t="str">
        <f>IFERROR(__xludf.DUMMYFUNCTION("""COMPUTED_VALUE"""),"CON RECAUDO")</f>
        <v>CON RECAUDO</v>
      </c>
      <c r="M1754" s="65" t="str">
        <f>IFERROR(__xludf.DUMMYFUNCTION("""COMPUTED_VALUE"""),"IMBABURA")</f>
        <v>IMBABURA</v>
      </c>
      <c r="N1754" s="65" t="str">
        <f>IFERROR(__xludf.DUMMYFUNCTION("""COMPUTED_VALUE"""),"OTAVALO")</f>
        <v>OTAVALO</v>
      </c>
      <c r="O1754" s="65" t="str">
        <f>IFERROR(__xludf.DUMMYFUNCTION("""COMPUTED_VALUE"""),"Leopoldo Chaves y Fernando Pérez - Mercado 24 de mayo")</f>
        <v>Leopoldo Chaves y Fernando Pérez - Mercado 24 de mayo</v>
      </c>
      <c r="P1754" s="65"/>
      <c r="Q1754" s="65" t="str">
        <f>IFERROR(__xludf.DUMMYFUNCTION("""COMPUTED_VALUE"""),"GINTRACOM")</f>
        <v>GINTRACOM</v>
      </c>
      <c r="R1754" s="65">
        <f>IFERROR(__xludf.DUMMYFUNCTION("""COMPUTED_VALUE"""),25.0)</f>
        <v>25</v>
      </c>
      <c r="S1754" s="65">
        <f>IFERROR(__xludf.DUMMYFUNCTION("""COMPUTED_VALUE"""),14.34)</f>
        <v>14.34</v>
      </c>
      <c r="T1754" s="65">
        <f>IFERROR(__xludf.DUMMYFUNCTION("""COMPUTED_VALUE"""),5.96)</f>
        <v>5.96</v>
      </c>
      <c r="U1754" s="65">
        <f>IFERROR(__xludf.DUMMYFUNCTION("""COMPUTED_VALUE"""),0.0)</f>
        <v>0</v>
      </c>
      <c r="V1754" s="65">
        <f>IFERROR(__xludf.DUMMYFUNCTION("""COMPUTED_VALUE"""),0.0)</f>
        <v>0</v>
      </c>
      <c r="W1754" s="65">
        <f>IFERROR(__xludf.DUMMYFUNCTION("""COMPUTED_VALUE"""),0.0)</f>
        <v>0</v>
      </c>
      <c r="X1754" s="65">
        <f>IFERROR(__xludf.DUMMYFUNCTION("""COMPUTED_VALUE"""),2.35)</f>
        <v>2.35</v>
      </c>
      <c r="Y1754" s="65">
        <f>IFERROR(__xludf.DUMMYFUNCTION("""COMPUTED_VALUE"""),4.7)</f>
        <v>4.7</v>
      </c>
      <c r="Z1754" s="65">
        <f>IFERROR(__xludf.DUMMYFUNCTION("""COMPUTED_VALUE"""),116679.0)</f>
        <v>116679</v>
      </c>
      <c r="AA1754" s="65" t="str">
        <f>IFERROR(__xludf.DUMMYFUNCTION("""COMPUTED_VALUE"""),"AMC-2738")</f>
        <v>AMC-2738</v>
      </c>
      <c r="AB1754" s="65"/>
      <c r="AC1754" s="65" t="str">
        <f>IFERROR(__xludf.DUMMYFUNCTION("""COMPUTED_VALUE"""),"ESPONJA ANTILLUVIA DE PARABRISAS")</f>
        <v>ESPONJA ANTILLUVIA DE PARABRISAS</v>
      </c>
      <c r="AD1754" s="65"/>
      <c r="AE1754" s="65">
        <f>IFERROR(__xludf.DUMMYFUNCTION("""COMPUTED_VALUE"""),2.0)</f>
        <v>2</v>
      </c>
      <c r="AF1754" s="65"/>
      <c r="AG1754" s="65"/>
      <c r="AH1754" s="65"/>
      <c r="AI1754" s="65"/>
      <c r="AJ1754" s="65"/>
      <c r="AK1754" s="65"/>
      <c r="AL1754" s="65"/>
      <c r="AM1754" s="65"/>
      <c r="AN1754" s="65" t="str">
        <f>IFERROR(__xludf.DUMMYFUNCTION("""COMPUTED_VALUE"""),"01:31")</f>
        <v>01:31</v>
      </c>
      <c r="AO1754" s="65" t="str">
        <f>IFERROR(__xludf.DUMMYFUNCTION("""COMPUTED_VALUE"""),"21-01-2026")</f>
        <v>21-01-2026</v>
      </c>
      <c r="AP1754" s="65" t="str">
        <f>IFERROR(__xludf.DUMMYFUNCTION("""COMPUTED_VALUE"""),"ENTREGADA GINTRACOM")</f>
        <v>ENTREGADA GINTRACOM</v>
      </c>
      <c r="AQ1754" s="65" t="str">
        <f>IFERROR(__xludf.DUMMYFUNCTION("""COMPUTED_VALUE"""),"ENTREGADA GINTRACOM")</f>
        <v>ENTREGADA GINTRACOM</v>
      </c>
      <c r="AR1754" s="65"/>
      <c r="AS1754" s="65"/>
      <c r="AT1754" s="65" t="str">
        <f>IFERROR(__xludf.DUMMYFUNCTION("""COMPUTED_VALUE"""),"SHOPIFY")</f>
        <v>SHOPIFY</v>
      </c>
      <c r="AU1754" s="65" t="str">
        <f>IFERROR(__xludf.DUMMYFUNCTION("""COMPUTED_VALUE"""),"IMPORTEX EC")</f>
        <v>IMPORTEX EC</v>
      </c>
      <c r="AV1754" s="65" t="str">
        <f>IFERROR(__xludf.DUMMYFUNCTION("""COMPUTED_VALUE"""),"6415282077740")</f>
        <v>6415282077740</v>
      </c>
      <c r="AW1754" s="65">
        <f>IFERROR(__xludf.DUMMYFUNCTION("""COMPUTED_VALUE"""),5188.0)</f>
        <v>5188</v>
      </c>
      <c r="AX1754" s="65"/>
      <c r="AY1754" s="65" t="str">
        <f>IFERROR(__xludf.DUMMYFUNCTION("""COMPUTED_VALUE"""),"16/01/2026")</f>
        <v>16/01/2026</v>
      </c>
      <c r="AZ1754" s="65"/>
      <c r="BA1754" s="65"/>
    </row>
    <row r="1755">
      <c r="A1755" s="65" t="str">
        <f>IFERROR(__xludf.DUMMYFUNCTION("""COMPUTED_VALUE"""),"27-03-2026")</f>
        <v>27-03-2026</v>
      </c>
      <c r="B1755" s="65">
        <f>IFERROR(__xludf.DUMMYFUNCTION("""COMPUTED_VALUE"""),4149501.0)</f>
        <v>4149501</v>
      </c>
      <c r="C1755" s="65" t="str">
        <f>IFERROR(__xludf.DUMMYFUNCTION("""COMPUTED_VALUE"""),"20:23")</f>
        <v>20:23</v>
      </c>
      <c r="D1755" s="65" t="str">
        <f>IFERROR(__xludf.DUMMYFUNCTION("""COMPUTED_VALUE"""),"14-01-2026")</f>
        <v>14-01-2026</v>
      </c>
      <c r="E1755" s="65" t="str">
        <f>IFERROR(__xludf.DUMMYFUNCTION("""COMPUTED_VALUE"""),"Joffre Bermeo")</f>
        <v>Joffre Bermeo</v>
      </c>
      <c r="F1755" s="65" t="str">
        <f>IFERROR(__xludf.DUMMYFUNCTION("""COMPUTED_VALUE"""),"981020709")</f>
        <v>981020709</v>
      </c>
      <c r="G1755" s="65" t="str">
        <f>IFERROR(__xludf.DUMMYFUNCTION("""COMPUTED_VALUE"""),"yofregato1212@gmail.com")</f>
        <v>yofregato1212@gmail.com</v>
      </c>
      <c r="H1755" s="65"/>
      <c r="I1755" s="65"/>
      <c r="J1755" s="65" t="str">
        <f>IFERROR(__xludf.DUMMYFUNCTION("""COMPUTED_VALUE"""),"D001231740")</f>
        <v>D001231740</v>
      </c>
      <c r="K1755" s="65" t="str">
        <f>IFERROR(__xludf.DUMMYFUNCTION("""COMPUTED_VALUE"""),"DEVOLUCION")</f>
        <v>DEVOLUCION</v>
      </c>
      <c r="L1755" s="65" t="str">
        <f>IFERROR(__xludf.DUMMYFUNCTION("""COMPUTED_VALUE"""),"CON RECAUDO")</f>
        <v>CON RECAUDO</v>
      </c>
      <c r="M1755" s="65" t="str">
        <f>IFERROR(__xludf.DUMMYFUNCTION("""COMPUTED_VALUE"""),"AZUAY")</f>
        <v>AZUAY</v>
      </c>
      <c r="N1755" s="65" t="str">
        <f>IFERROR(__xludf.DUMMYFUNCTION("""COMPUTED_VALUE"""),"CUENCA")</f>
        <v>CUENCA</v>
      </c>
      <c r="O1755" s="65" t="str">
        <f>IFERROR(__xludf.DUMMYFUNCTION("""COMPUTED_VALUE"""),"Vicente Pinzón y Alfonzo Pinzón. Ciudadela riveras del tarqui, frente a la cancha, esquina")</f>
        <v>Vicente Pinzón y Alfonzo Pinzón. Ciudadela riveras del tarqui, frente a la cancha, esquina</v>
      </c>
      <c r="P1755" s="65"/>
      <c r="Q1755" s="65" t="str">
        <f>IFERROR(__xludf.DUMMYFUNCTION("""COMPUTED_VALUE"""),"GINTRACOM")</f>
        <v>GINTRACOM</v>
      </c>
      <c r="R1755" s="65">
        <f>IFERROR(__xludf.DUMMYFUNCTION("""COMPUTED_VALUE"""),30.0)</f>
        <v>30</v>
      </c>
      <c r="S1755" s="65"/>
      <c r="T1755" s="65">
        <f>IFERROR(__xludf.DUMMYFUNCTION("""COMPUTED_VALUE"""),6.16)</f>
        <v>6.16</v>
      </c>
      <c r="U1755" s="65">
        <f>IFERROR(__xludf.DUMMYFUNCTION("""COMPUTED_VALUE"""),0.0)</f>
        <v>0</v>
      </c>
      <c r="V1755" s="65">
        <f>IFERROR(__xludf.DUMMYFUNCTION("""COMPUTED_VALUE"""),0.0)</f>
        <v>0</v>
      </c>
      <c r="W1755" s="65">
        <f>IFERROR(__xludf.DUMMYFUNCTION("""COMPUTED_VALUE"""),0.0)</f>
        <v>0</v>
      </c>
      <c r="X1755" s="65">
        <f>IFERROR(__xludf.DUMMYFUNCTION("""COMPUTED_VALUE"""),2.35)</f>
        <v>2.35</v>
      </c>
      <c r="Y1755" s="65">
        <f>IFERROR(__xludf.DUMMYFUNCTION("""COMPUTED_VALUE"""),7.05)</f>
        <v>7.05</v>
      </c>
      <c r="Z1755" s="65">
        <f>IFERROR(__xludf.DUMMYFUNCTION("""COMPUTED_VALUE"""),116679.0)</f>
        <v>116679</v>
      </c>
      <c r="AA1755" s="65" t="str">
        <f>IFERROR(__xludf.DUMMYFUNCTION("""COMPUTED_VALUE"""),"AMC-2738")</f>
        <v>AMC-2738</v>
      </c>
      <c r="AB1755" s="65"/>
      <c r="AC1755" s="65" t="str">
        <f>IFERROR(__xludf.DUMMYFUNCTION("""COMPUTED_VALUE"""),"ESPONJA ANTILLUVIA DE PARABRISAS")</f>
        <v>ESPONJA ANTILLUVIA DE PARABRISAS</v>
      </c>
      <c r="AD1755" s="65"/>
      <c r="AE1755" s="65">
        <f>IFERROR(__xludf.DUMMYFUNCTION("""COMPUTED_VALUE"""),3.0)</f>
        <v>3</v>
      </c>
      <c r="AF1755" s="65" t="str">
        <f>IFERROR(__xludf.DUMMYFUNCTION("""COMPUTED_VALUE"""),"DESTINATARIO NO CONTESTA LLAMADAS NI WHATSAPP")</f>
        <v>DESTINATARIO NO CONTESTA LLAMADAS NI WHATSAPP</v>
      </c>
      <c r="AG1755" s="65" t="str">
        <f>IFERROR(__xludf.DUMMYFUNCTION("""COMPUTED_VALUE"""),"NO")</f>
        <v>NO</v>
      </c>
      <c r="AH1755" s="65" t="str">
        <f>IFERROR(__xludf.DUMMYFUNCTION("""COMPUTED_VALUE"""),"09:00")</f>
        <v>09:00</v>
      </c>
      <c r="AI1755" s="65" t="str">
        <f>IFERROR(__xludf.DUMMYFUNCTION("""COMPUTED_VALUE"""),"27-01-2026")</f>
        <v>27-01-2026</v>
      </c>
      <c r="AJ1755" s="65"/>
      <c r="AK1755" s="65"/>
      <c r="AL1755" s="65"/>
      <c r="AM1755" s="65"/>
      <c r="AN1755" s="65" t="str">
        <f>IFERROR(__xludf.DUMMYFUNCTION("""COMPUTED_VALUE"""),"15:43")</f>
        <v>15:43</v>
      </c>
      <c r="AO1755" s="65" t="str">
        <f>IFERROR(__xludf.DUMMYFUNCTION("""COMPUTED_VALUE"""),"05-03-2026")</f>
        <v>05-03-2026</v>
      </c>
      <c r="AP1755" s="65" t="str">
        <f>IFERROR(__xludf.DUMMYFUNCTION("""COMPUTED_VALUE"""),"DEVOLUCIÓN ENTREGADA A ORIGEN")</f>
        <v>DEVOLUCIÓN ENTREGADA A ORIGEN</v>
      </c>
      <c r="AQ1755" s="65" t="str">
        <f>IFERROR(__xludf.DUMMYFUNCTION("""COMPUTED_VALUE"""),"DEVOLUCIÓN ENTREGADA A ORIGEN")</f>
        <v>DEVOLUCIÓN ENTREGADA A ORIGEN</v>
      </c>
      <c r="AR1755" s="65"/>
      <c r="AS1755" s="65"/>
      <c r="AT1755" s="65" t="str">
        <f>IFERROR(__xludf.DUMMYFUNCTION("""COMPUTED_VALUE"""),"SHOPIFY")</f>
        <v>SHOPIFY</v>
      </c>
      <c r="AU1755" s="65" t="str">
        <f>IFERROR(__xludf.DUMMYFUNCTION("""COMPUTED_VALUE"""),"IMPORTEX EC")</f>
        <v>IMPORTEX EC</v>
      </c>
      <c r="AV1755" s="65" t="str">
        <f>IFERROR(__xludf.DUMMYFUNCTION("""COMPUTED_VALUE"""),"6415271690284")</f>
        <v>6415271690284</v>
      </c>
      <c r="AW1755" s="65">
        <f>IFERROR(__xludf.DUMMYFUNCTION("""COMPUTED_VALUE"""),5187.0)</f>
        <v>5187</v>
      </c>
      <c r="AX1755" s="65"/>
      <c r="AY1755" s="65" t="str">
        <f>IFERROR(__xludf.DUMMYFUNCTION("""COMPUTED_VALUE"""),"16/01/2026")</f>
        <v>16/01/2026</v>
      </c>
      <c r="AZ1755" s="65"/>
      <c r="BA1755" s="65"/>
    </row>
    <row r="1756">
      <c r="A1756" s="65" t="str">
        <f>IFERROR(__xludf.DUMMYFUNCTION("""COMPUTED_VALUE"""),"27-03-2026")</f>
        <v>27-03-2026</v>
      </c>
      <c r="B1756" s="65">
        <f>IFERROR(__xludf.DUMMYFUNCTION("""COMPUTED_VALUE"""),4149292.0)</f>
        <v>4149292</v>
      </c>
      <c r="C1756" s="65" t="str">
        <f>IFERROR(__xludf.DUMMYFUNCTION("""COMPUTED_VALUE"""),"20:05")</f>
        <v>20:05</v>
      </c>
      <c r="D1756" s="65" t="str">
        <f>IFERROR(__xludf.DUMMYFUNCTION("""COMPUTED_VALUE"""),"14-01-2026")</f>
        <v>14-01-2026</v>
      </c>
      <c r="E1756" s="65" t="str">
        <f>IFERROR(__xludf.DUMMYFUNCTION("""COMPUTED_VALUE"""),"Luis Ángel Arias Jara Arias Jara")</f>
        <v>Luis Ángel Arias Jara Arias Jara</v>
      </c>
      <c r="F1756" s="65" t="str">
        <f>IFERROR(__xludf.DUMMYFUNCTION("""COMPUTED_VALUE"""),"996649905")</f>
        <v>996649905</v>
      </c>
      <c r="G1756" s="65" t="str">
        <f>IFERROR(__xludf.DUMMYFUNCTION("""COMPUTED_VALUE"""),"luisangel1ro@yahoo.es")</f>
        <v>luisangel1ro@yahoo.es</v>
      </c>
      <c r="H1756" s="65"/>
      <c r="I1756" s="65"/>
      <c r="J1756" s="65"/>
      <c r="K1756" s="65" t="str">
        <f>IFERROR(__xludf.DUMMYFUNCTION("""COMPUTED_VALUE"""),"CANCELADO")</f>
        <v>CANCELADO</v>
      </c>
      <c r="L1756" s="65" t="str">
        <f>IFERROR(__xludf.DUMMYFUNCTION("""COMPUTED_VALUE"""),"CON RECAUDO")</f>
        <v>CON RECAUDO</v>
      </c>
      <c r="M1756" s="65" t="str">
        <f>IFERROR(__xludf.DUMMYFUNCTION("""COMPUTED_VALUE"""),"MANABI")</f>
        <v>MANABI</v>
      </c>
      <c r="N1756" s="65" t="str">
        <f>IFERROR(__xludf.DUMMYFUNCTION("""COMPUTED_VALUE"""),"PEDERNALES")</f>
        <v>PEDERNALES</v>
      </c>
      <c r="O1756" s="65" t="str">
        <f>IFERROR(__xludf.DUMMYFUNCTION("""COMPUTED_VALUE"""),"Torres Molinos 27 de noviembre -")</f>
        <v>Torres Molinos 27 de noviembre -</v>
      </c>
      <c r="P1756" s="65"/>
      <c r="Q1756" s="65" t="str">
        <f>IFERROR(__xludf.DUMMYFUNCTION("""COMPUTED_VALUE"""),"SERVIENTREGA")</f>
        <v>SERVIENTREGA</v>
      </c>
      <c r="R1756" s="65">
        <f>IFERROR(__xludf.DUMMYFUNCTION("""COMPUTED_VALUE"""),25.0)</f>
        <v>25</v>
      </c>
      <c r="S1756" s="65"/>
      <c r="T1756" s="65">
        <f>IFERROR(__xludf.DUMMYFUNCTION("""COMPUTED_VALUE"""),7.75)</f>
        <v>7.75</v>
      </c>
      <c r="U1756" s="65">
        <f>IFERROR(__xludf.DUMMYFUNCTION("""COMPUTED_VALUE"""),0.0)</f>
        <v>0</v>
      </c>
      <c r="V1756" s="65">
        <f>IFERROR(__xludf.DUMMYFUNCTION("""COMPUTED_VALUE"""),0.0)</f>
        <v>0</v>
      </c>
      <c r="W1756" s="65">
        <f>IFERROR(__xludf.DUMMYFUNCTION("""COMPUTED_VALUE"""),0.0)</f>
        <v>0</v>
      </c>
      <c r="X1756" s="65">
        <f>IFERROR(__xludf.DUMMYFUNCTION("""COMPUTED_VALUE"""),2.35)</f>
        <v>2.35</v>
      </c>
      <c r="Y1756" s="65">
        <f>IFERROR(__xludf.DUMMYFUNCTION("""COMPUTED_VALUE"""),4.7)</f>
        <v>4.7</v>
      </c>
      <c r="Z1756" s="65">
        <f>IFERROR(__xludf.DUMMYFUNCTION("""COMPUTED_VALUE"""),116679.0)</f>
        <v>116679</v>
      </c>
      <c r="AA1756" s="65" t="str">
        <f>IFERROR(__xludf.DUMMYFUNCTION("""COMPUTED_VALUE"""),"AMC-2738")</f>
        <v>AMC-2738</v>
      </c>
      <c r="AB1756" s="65"/>
      <c r="AC1756" s="65" t="str">
        <f>IFERROR(__xludf.DUMMYFUNCTION("""COMPUTED_VALUE"""),"ESPONJA ANTILLUVIA DE PARABRISAS")</f>
        <v>ESPONJA ANTILLUVIA DE PARABRISAS</v>
      </c>
      <c r="AD1756" s="65"/>
      <c r="AE1756" s="65">
        <f>IFERROR(__xludf.DUMMYFUNCTION("""COMPUTED_VALUE"""),2.0)</f>
        <v>2</v>
      </c>
      <c r="AF1756" s="65"/>
      <c r="AG1756" s="65"/>
      <c r="AH1756" s="65"/>
      <c r="AI1756" s="65"/>
      <c r="AJ1756" s="65"/>
      <c r="AK1756" s="65"/>
      <c r="AL1756" s="65"/>
      <c r="AM1756" s="65"/>
      <c r="AN1756" s="65"/>
      <c r="AO1756" s="65"/>
      <c r="AP1756" s="65"/>
      <c r="AQ1756" s="65"/>
      <c r="AR1756" s="65"/>
      <c r="AS1756" s="65"/>
      <c r="AT1756" s="65" t="str">
        <f>IFERROR(__xludf.DUMMYFUNCTION("""COMPUTED_VALUE"""),"SHOPIFY")</f>
        <v>SHOPIFY</v>
      </c>
      <c r="AU1756" s="65" t="str">
        <f>IFERROR(__xludf.DUMMYFUNCTION("""COMPUTED_VALUE"""),"IMPORTEX EC")</f>
        <v>IMPORTEX EC</v>
      </c>
      <c r="AV1756" s="65" t="str">
        <f>IFERROR(__xludf.DUMMYFUNCTION("""COMPUTED_VALUE"""),"6415233613868")</f>
        <v>6415233613868</v>
      </c>
      <c r="AW1756" s="65">
        <f>IFERROR(__xludf.DUMMYFUNCTION("""COMPUTED_VALUE"""),5186.0)</f>
        <v>5186</v>
      </c>
      <c r="AX1756" s="65"/>
      <c r="AY1756" s="65"/>
      <c r="AZ1756" s="65"/>
      <c r="BA1756" s="65"/>
    </row>
    <row r="1757">
      <c r="A1757" s="65" t="str">
        <f>IFERROR(__xludf.DUMMYFUNCTION("""COMPUTED_VALUE"""),"27-03-2026")</f>
        <v>27-03-2026</v>
      </c>
      <c r="B1757" s="65">
        <f>IFERROR(__xludf.DUMMYFUNCTION("""COMPUTED_VALUE"""),4149269.0)</f>
        <v>4149269</v>
      </c>
      <c r="C1757" s="65" t="str">
        <f>IFERROR(__xludf.DUMMYFUNCTION("""COMPUTED_VALUE"""),"20:04")</f>
        <v>20:04</v>
      </c>
      <c r="D1757" s="65" t="str">
        <f>IFERROR(__xludf.DUMMYFUNCTION("""COMPUTED_VALUE"""),"14-01-2026")</f>
        <v>14-01-2026</v>
      </c>
      <c r="E1757" s="65" t="str">
        <f>IFERROR(__xludf.DUMMYFUNCTION("""COMPUTED_VALUE"""),"Marco Granja")</f>
        <v>Marco Granja</v>
      </c>
      <c r="F1757" s="65" t="str">
        <f>IFERROR(__xludf.DUMMYFUNCTION("""COMPUTED_VALUE"""),"993010674")</f>
        <v>993010674</v>
      </c>
      <c r="G1757" s="65" t="str">
        <f>IFERROR(__xludf.DUMMYFUNCTION("""COMPUTED_VALUE"""),"marcogranja12@gmail.com")</f>
        <v>marcogranja12@gmail.com</v>
      </c>
      <c r="H1757" s="65"/>
      <c r="I1757" s="65"/>
      <c r="J1757" s="65" t="str">
        <f>IFERROR(__xludf.DUMMYFUNCTION("""COMPUTED_VALUE"""),"D001231741")</f>
        <v>D001231741</v>
      </c>
      <c r="K1757" s="65" t="str">
        <f>IFERROR(__xludf.DUMMYFUNCTION("""COMPUTED_VALUE"""),"DEVOLUCION")</f>
        <v>DEVOLUCION</v>
      </c>
      <c r="L1757" s="65" t="str">
        <f>IFERROR(__xludf.DUMMYFUNCTION("""COMPUTED_VALUE"""),"CON RECAUDO")</f>
        <v>CON RECAUDO</v>
      </c>
      <c r="M1757" s="65" t="str">
        <f>IFERROR(__xludf.DUMMYFUNCTION("""COMPUTED_VALUE"""),"COTOPAXI")</f>
        <v>COTOPAXI</v>
      </c>
      <c r="N1757" s="65" t="str">
        <f>IFERROR(__xludf.DUMMYFUNCTION("""COMPUTED_VALUE"""),"LATACUNGA")</f>
        <v>LATACUNGA</v>
      </c>
      <c r="O1757" s="65" t="str">
        <f>IFERROR(__xludf.DUMMYFUNCTION("""COMPUTED_VALUE"""),"Lasso aquisili A tras de la Lavadora Reina de Quinche -")</f>
        <v>Lasso aquisili A tras de la Lavadora Reina de Quinche -</v>
      </c>
      <c r="P1757" s="65"/>
      <c r="Q1757" s="65" t="str">
        <f>IFERROR(__xludf.DUMMYFUNCTION("""COMPUTED_VALUE"""),"GINTRACOM")</f>
        <v>GINTRACOM</v>
      </c>
      <c r="R1757" s="65">
        <f>IFERROR(__xludf.DUMMYFUNCTION("""COMPUTED_VALUE"""),25.0)</f>
        <v>25</v>
      </c>
      <c r="S1757" s="65"/>
      <c r="T1757" s="65">
        <f>IFERROR(__xludf.DUMMYFUNCTION("""COMPUTED_VALUE"""),5.96)</f>
        <v>5.96</v>
      </c>
      <c r="U1757" s="65">
        <f>IFERROR(__xludf.DUMMYFUNCTION("""COMPUTED_VALUE"""),0.0)</f>
        <v>0</v>
      </c>
      <c r="V1757" s="65">
        <f>IFERROR(__xludf.DUMMYFUNCTION("""COMPUTED_VALUE"""),0.0)</f>
        <v>0</v>
      </c>
      <c r="W1757" s="65">
        <f>IFERROR(__xludf.DUMMYFUNCTION("""COMPUTED_VALUE"""),0.0)</f>
        <v>0</v>
      </c>
      <c r="X1757" s="65">
        <f>IFERROR(__xludf.DUMMYFUNCTION("""COMPUTED_VALUE"""),2.35)</f>
        <v>2.35</v>
      </c>
      <c r="Y1757" s="65">
        <f>IFERROR(__xludf.DUMMYFUNCTION("""COMPUTED_VALUE"""),4.7)</f>
        <v>4.7</v>
      </c>
      <c r="Z1757" s="65">
        <f>IFERROR(__xludf.DUMMYFUNCTION("""COMPUTED_VALUE"""),116679.0)</f>
        <v>116679</v>
      </c>
      <c r="AA1757" s="65" t="str">
        <f>IFERROR(__xludf.DUMMYFUNCTION("""COMPUTED_VALUE"""),"AMC-2738")</f>
        <v>AMC-2738</v>
      </c>
      <c r="AB1757" s="65"/>
      <c r="AC1757" s="65" t="str">
        <f>IFERROR(__xludf.DUMMYFUNCTION("""COMPUTED_VALUE"""),"ESPONJA ANTILLUVIA DE PARABRISAS")</f>
        <v>ESPONJA ANTILLUVIA DE PARABRISAS</v>
      </c>
      <c r="AD1757" s="65"/>
      <c r="AE1757" s="65">
        <f>IFERROR(__xludf.DUMMYFUNCTION("""COMPUTED_VALUE"""),2.0)</f>
        <v>2</v>
      </c>
      <c r="AF1757" s="65" t="str">
        <f>IFERROR(__xludf.DUMMYFUNCTION("""COMPUTED_VALUE"""),"DESTINATARIO NO CONTESTA LLAMADAS NI WHATSAPP")</f>
        <v>DESTINATARIO NO CONTESTA LLAMADAS NI WHATSAPP</v>
      </c>
      <c r="AG1757" s="65" t="str">
        <f>IFERROR(__xludf.DUMMYFUNCTION("""COMPUTED_VALUE"""),"NO")</f>
        <v>NO</v>
      </c>
      <c r="AH1757" s="65" t="str">
        <f>IFERROR(__xludf.DUMMYFUNCTION("""COMPUTED_VALUE"""),"09:00")</f>
        <v>09:00</v>
      </c>
      <c r="AI1757" s="65" t="str">
        <f>IFERROR(__xludf.DUMMYFUNCTION("""COMPUTED_VALUE"""),"27-01-2026")</f>
        <v>27-01-2026</v>
      </c>
      <c r="AJ1757" s="65"/>
      <c r="AK1757" s="65"/>
      <c r="AL1757" s="65"/>
      <c r="AM1757" s="65"/>
      <c r="AN1757" s="65" t="str">
        <f>IFERROR(__xludf.DUMMYFUNCTION("""COMPUTED_VALUE"""),"08:59")</f>
        <v>08:59</v>
      </c>
      <c r="AO1757" s="65" t="str">
        <f>IFERROR(__xludf.DUMMYFUNCTION("""COMPUTED_VALUE"""),"09-02-2026")</f>
        <v>09-02-2026</v>
      </c>
      <c r="AP1757" s="65" t="str">
        <f>IFERROR(__xludf.DUMMYFUNCTION("""COMPUTED_VALUE"""),"DEVOLUCIÓN ENTREGADA A ORIGEN")</f>
        <v>DEVOLUCIÓN ENTREGADA A ORIGEN</v>
      </c>
      <c r="AQ1757" s="65" t="str">
        <f>IFERROR(__xludf.DUMMYFUNCTION("""COMPUTED_VALUE"""),"DEVOLUCIÓN ENTREGADA A ORIGEN")</f>
        <v>DEVOLUCIÓN ENTREGADA A ORIGEN</v>
      </c>
      <c r="AR1757" s="65"/>
      <c r="AS1757" s="65"/>
      <c r="AT1757" s="65" t="str">
        <f>IFERROR(__xludf.DUMMYFUNCTION("""COMPUTED_VALUE"""),"SHOPIFY")</f>
        <v>SHOPIFY</v>
      </c>
      <c r="AU1757" s="65" t="str">
        <f>IFERROR(__xludf.DUMMYFUNCTION("""COMPUTED_VALUE"""),"IMPORTEX EC")</f>
        <v>IMPORTEX EC</v>
      </c>
      <c r="AV1757" s="65" t="str">
        <f>IFERROR(__xludf.DUMMYFUNCTION("""COMPUTED_VALUE"""),"6415230173228")</f>
        <v>6415230173228</v>
      </c>
      <c r="AW1757" s="65">
        <f>IFERROR(__xludf.DUMMYFUNCTION("""COMPUTED_VALUE"""),5185.0)</f>
        <v>5185</v>
      </c>
      <c r="AX1757" s="65"/>
      <c r="AY1757" s="65" t="str">
        <f>IFERROR(__xludf.DUMMYFUNCTION("""COMPUTED_VALUE"""),"16/01/2026")</f>
        <v>16/01/2026</v>
      </c>
      <c r="AZ1757" s="65"/>
      <c r="BA1757" s="65"/>
    </row>
    <row r="1758">
      <c r="A1758" s="65" t="str">
        <f>IFERROR(__xludf.DUMMYFUNCTION("""COMPUTED_VALUE"""),"27-03-2026")</f>
        <v>27-03-2026</v>
      </c>
      <c r="B1758" s="65">
        <f>IFERROR(__xludf.DUMMYFUNCTION("""COMPUTED_VALUE"""),4149043.0)</f>
        <v>4149043</v>
      </c>
      <c r="C1758" s="65" t="str">
        <f>IFERROR(__xludf.DUMMYFUNCTION("""COMPUTED_VALUE"""),"19:44")</f>
        <v>19:44</v>
      </c>
      <c r="D1758" s="65" t="str">
        <f>IFERROR(__xludf.DUMMYFUNCTION("""COMPUTED_VALUE"""),"14-01-2026")</f>
        <v>14-01-2026</v>
      </c>
      <c r="E1758" s="65" t="str">
        <f>IFERROR(__xludf.DUMMYFUNCTION("""COMPUTED_VALUE"""),"Marlon Duran")</f>
        <v>Marlon Duran</v>
      </c>
      <c r="F1758" s="65" t="str">
        <f>IFERROR(__xludf.DUMMYFUNCTION("""COMPUTED_VALUE"""),"967301850")</f>
        <v>967301850</v>
      </c>
      <c r="G1758" s="65" t="str">
        <f>IFERROR(__xludf.DUMMYFUNCTION("""COMPUTED_VALUE"""),"marlonmoisesmoranduran@gmail.com")</f>
        <v>marlonmoisesmoranduran@gmail.com</v>
      </c>
      <c r="H1758" s="65"/>
      <c r="I1758" s="65"/>
      <c r="J1758" s="65"/>
      <c r="K1758" s="65" t="str">
        <f>IFERROR(__xludf.DUMMYFUNCTION("""COMPUTED_VALUE"""),"CANCELADO")</f>
        <v>CANCELADO</v>
      </c>
      <c r="L1758" s="65" t="str">
        <f>IFERROR(__xludf.DUMMYFUNCTION("""COMPUTED_VALUE"""),"CON RECAUDO")</f>
        <v>CON RECAUDO</v>
      </c>
      <c r="M1758" s="65" t="str">
        <f>IFERROR(__xludf.DUMMYFUNCTION("""COMPUTED_VALUE"""),"GUAYAS")</f>
        <v>GUAYAS</v>
      </c>
      <c r="N1758" s="65" t="str">
        <f>IFERROR(__xludf.DUMMYFUNCTION("""COMPUTED_VALUE"""),"DURAN")</f>
        <v>DURAN</v>
      </c>
      <c r="O1758" s="65" t="str">
        <f>IFERROR(__xludf.DUMMYFUNCTION("""COMPUTED_VALUE"""),"Primavera 2 Los helechos -")</f>
        <v>Primavera 2 Los helechos -</v>
      </c>
      <c r="P1758" s="65"/>
      <c r="Q1758" s="65" t="str">
        <f>IFERROR(__xludf.DUMMYFUNCTION("""COMPUTED_VALUE"""),"GINTRACOM")</f>
        <v>GINTRACOM</v>
      </c>
      <c r="R1758" s="65">
        <f>IFERROR(__xludf.DUMMYFUNCTION("""COMPUTED_VALUE"""),20.0)</f>
        <v>20</v>
      </c>
      <c r="S1758" s="65"/>
      <c r="T1758" s="65">
        <f>IFERROR(__xludf.DUMMYFUNCTION("""COMPUTED_VALUE"""),5.76)</f>
        <v>5.76</v>
      </c>
      <c r="U1758" s="65">
        <f>IFERROR(__xludf.DUMMYFUNCTION("""COMPUTED_VALUE"""),0.0)</f>
        <v>0</v>
      </c>
      <c r="V1758" s="65">
        <f>IFERROR(__xludf.DUMMYFUNCTION("""COMPUTED_VALUE"""),0.0)</f>
        <v>0</v>
      </c>
      <c r="W1758" s="65">
        <f>IFERROR(__xludf.DUMMYFUNCTION("""COMPUTED_VALUE"""),0.0)</f>
        <v>0</v>
      </c>
      <c r="X1758" s="65">
        <f>IFERROR(__xludf.DUMMYFUNCTION("""COMPUTED_VALUE"""),2.35)</f>
        <v>2.35</v>
      </c>
      <c r="Y1758" s="65">
        <f>IFERROR(__xludf.DUMMYFUNCTION("""COMPUTED_VALUE"""),2.35)</f>
        <v>2.35</v>
      </c>
      <c r="Z1758" s="65">
        <f>IFERROR(__xludf.DUMMYFUNCTION("""COMPUTED_VALUE"""),116679.0)</f>
        <v>116679</v>
      </c>
      <c r="AA1758" s="65" t="str">
        <f>IFERROR(__xludf.DUMMYFUNCTION("""COMPUTED_VALUE"""),"AMC-2738")</f>
        <v>AMC-2738</v>
      </c>
      <c r="AB1758" s="65"/>
      <c r="AC1758" s="65" t="str">
        <f>IFERROR(__xludf.DUMMYFUNCTION("""COMPUTED_VALUE"""),"ESPONJA ANTILLUVIA DE PARABRISAS")</f>
        <v>ESPONJA ANTILLUVIA DE PARABRISAS</v>
      </c>
      <c r="AD1758" s="65"/>
      <c r="AE1758" s="65">
        <f>IFERROR(__xludf.DUMMYFUNCTION("""COMPUTED_VALUE"""),1.0)</f>
        <v>1</v>
      </c>
      <c r="AF1758" s="65"/>
      <c r="AG1758" s="65"/>
      <c r="AH1758" s="65"/>
      <c r="AI1758" s="65"/>
      <c r="AJ1758" s="65"/>
      <c r="AK1758" s="65"/>
      <c r="AL1758" s="65"/>
      <c r="AM1758" s="65"/>
      <c r="AN1758" s="65"/>
      <c r="AO1758" s="65"/>
      <c r="AP1758" s="65"/>
      <c r="AQ1758" s="65"/>
      <c r="AR1758" s="65"/>
      <c r="AS1758" s="65"/>
      <c r="AT1758" s="65" t="str">
        <f>IFERROR(__xludf.DUMMYFUNCTION("""COMPUTED_VALUE"""),"SHOPIFY")</f>
        <v>SHOPIFY</v>
      </c>
      <c r="AU1758" s="65" t="str">
        <f>IFERROR(__xludf.DUMMYFUNCTION("""COMPUTED_VALUE"""),"IMPORTEX EC")</f>
        <v>IMPORTEX EC</v>
      </c>
      <c r="AV1758" s="65" t="str">
        <f>IFERROR(__xludf.DUMMYFUNCTION("""COMPUTED_VALUE"""),"6415191506988")</f>
        <v>6415191506988</v>
      </c>
      <c r="AW1758" s="65">
        <f>IFERROR(__xludf.DUMMYFUNCTION("""COMPUTED_VALUE"""),5184.0)</f>
        <v>5184</v>
      </c>
      <c r="AX1758" s="65"/>
      <c r="AY1758" s="65"/>
      <c r="AZ1758" s="65"/>
      <c r="BA1758" s="65"/>
    </row>
    <row r="1759">
      <c r="A1759" s="65" t="str">
        <f>IFERROR(__xludf.DUMMYFUNCTION("""COMPUTED_VALUE"""),"27-03-2026")</f>
        <v>27-03-2026</v>
      </c>
      <c r="B1759" s="65">
        <f>IFERROR(__xludf.DUMMYFUNCTION("""COMPUTED_VALUE"""),4148566.0)</f>
        <v>4148566</v>
      </c>
      <c r="C1759" s="65" t="str">
        <f>IFERROR(__xludf.DUMMYFUNCTION("""COMPUTED_VALUE"""),"18:48")</f>
        <v>18:48</v>
      </c>
      <c r="D1759" s="65" t="str">
        <f>IFERROR(__xludf.DUMMYFUNCTION("""COMPUTED_VALUE"""),"14-01-2026")</f>
        <v>14-01-2026</v>
      </c>
      <c r="E1759" s="65" t="str">
        <f>IFERROR(__xludf.DUMMYFUNCTION("""COMPUTED_VALUE"""),"Oswaldo Klever Alarcon ordoñez")</f>
        <v>Oswaldo Klever Alarcon ordoñez</v>
      </c>
      <c r="F1759" s="65" t="str">
        <f>IFERROR(__xludf.DUMMYFUNCTION("""COMPUTED_VALUE"""),"991616346")</f>
        <v>991616346</v>
      </c>
      <c r="G1759" s="65" t="str">
        <f>IFERROR(__xludf.DUMMYFUNCTION("""COMPUTED_VALUE"""),"alarconklever1953@gmail.com")</f>
        <v>alarconklever1953@gmail.com</v>
      </c>
      <c r="H1759" s="65"/>
      <c r="I1759" s="65"/>
      <c r="J1759" s="65"/>
      <c r="K1759" s="65" t="str">
        <f>IFERROR(__xludf.DUMMYFUNCTION("""COMPUTED_VALUE"""),"CANCELADO")</f>
        <v>CANCELADO</v>
      </c>
      <c r="L1759" s="65" t="str">
        <f>IFERROR(__xludf.DUMMYFUNCTION("""COMPUTED_VALUE"""),"CON RECAUDO")</f>
        <v>CON RECAUDO</v>
      </c>
      <c r="M1759" s="65" t="str">
        <f>IFERROR(__xludf.DUMMYFUNCTION("""COMPUTED_VALUE"""),"CAÑAR")</f>
        <v>CAÑAR</v>
      </c>
      <c r="N1759" s="65" t="str">
        <f>IFERROR(__xludf.DUMMYFUNCTION("""COMPUTED_VALUE"""),"LA TRONCAL")</f>
        <v>LA TRONCAL</v>
      </c>
      <c r="O1759" s="65" t="str">
        <f>IFERROR(__xludf.DUMMYFUNCTION("""COMPUTED_VALUE"""),"Calle 24 de mayo, Calle Salvador Salas / Esquina del estadio Hnos Pacheco -")</f>
        <v>Calle 24 de mayo, Calle Salvador Salas / Esquina del estadio Hnos Pacheco -</v>
      </c>
      <c r="P1759" s="65"/>
      <c r="Q1759" s="65" t="str">
        <f>IFERROR(__xludf.DUMMYFUNCTION("""COMPUTED_VALUE"""),"GINTRACOM")</f>
        <v>GINTRACOM</v>
      </c>
      <c r="R1759" s="65">
        <f>IFERROR(__xludf.DUMMYFUNCTION("""COMPUTED_VALUE"""),25.0)</f>
        <v>25</v>
      </c>
      <c r="S1759" s="65"/>
      <c r="T1759" s="65">
        <f>IFERROR(__xludf.DUMMYFUNCTION("""COMPUTED_VALUE"""),5.96)</f>
        <v>5.96</v>
      </c>
      <c r="U1759" s="65">
        <f>IFERROR(__xludf.DUMMYFUNCTION("""COMPUTED_VALUE"""),0.0)</f>
        <v>0</v>
      </c>
      <c r="V1759" s="65">
        <f>IFERROR(__xludf.DUMMYFUNCTION("""COMPUTED_VALUE"""),0.0)</f>
        <v>0</v>
      </c>
      <c r="W1759" s="65">
        <f>IFERROR(__xludf.DUMMYFUNCTION("""COMPUTED_VALUE"""),0.0)</f>
        <v>0</v>
      </c>
      <c r="X1759" s="65">
        <f>IFERROR(__xludf.DUMMYFUNCTION("""COMPUTED_VALUE"""),2.35)</f>
        <v>2.35</v>
      </c>
      <c r="Y1759" s="65">
        <f>IFERROR(__xludf.DUMMYFUNCTION("""COMPUTED_VALUE"""),4.7)</f>
        <v>4.7</v>
      </c>
      <c r="Z1759" s="65">
        <f>IFERROR(__xludf.DUMMYFUNCTION("""COMPUTED_VALUE"""),116679.0)</f>
        <v>116679</v>
      </c>
      <c r="AA1759" s="65" t="str">
        <f>IFERROR(__xludf.DUMMYFUNCTION("""COMPUTED_VALUE"""),"AMC-2738")</f>
        <v>AMC-2738</v>
      </c>
      <c r="AB1759" s="65"/>
      <c r="AC1759" s="65" t="str">
        <f>IFERROR(__xludf.DUMMYFUNCTION("""COMPUTED_VALUE"""),"ESPONJA ANTILLUVIA DE PARABRISAS")</f>
        <v>ESPONJA ANTILLUVIA DE PARABRISAS</v>
      </c>
      <c r="AD1759" s="65"/>
      <c r="AE1759" s="65">
        <f>IFERROR(__xludf.DUMMYFUNCTION("""COMPUTED_VALUE"""),2.0)</f>
        <v>2</v>
      </c>
      <c r="AF1759" s="65"/>
      <c r="AG1759" s="65"/>
      <c r="AH1759" s="65"/>
      <c r="AI1759" s="65"/>
      <c r="AJ1759" s="65"/>
      <c r="AK1759" s="65"/>
      <c r="AL1759" s="65"/>
      <c r="AM1759" s="65"/>
      <c r="AN1759" s="65"/>
      <c r="AO1759" s="65"/>
      <c r="AP1759" s="65"/>
      <c r="AQ1759" s="65"/>
      <c r="AR1759" s="65"/>
      <c r="AS1759" s="65"/>
      <c r="AT1759" s="65" t="str">
        <f>IFERROR(__xludf.DUMMYFUNCTION("""COMPUTED_VALUE"""),"SHOPIFY")</f>
        <v>SHOPIFY</v>
      </c>
      <c r="AU1759" s="65" t="str">
        <f>IFERROR(__xludf.DUMMYFUNCTION("""COMPUTED_VALUE"""),"IMPORTEX EC")</f>
        <v>IMPORTEX EC</v>
      </c>
      <c r="AV1759" s="65" t="str">
        <f>IFERROR(__xludf.DUMMYFUNCTION("""COMPUTED_VALUE"""),"6415082913836")</f>
        <v>6415082913836</v>
      </c>
      <c r="AW1759" s="65">
        <f>IFERROR(__xludf.DUMMYFUNCTION("""COMPUTED_VALUE"""),5183.0)</f>
        <v>5183</v>
      </c>
      <c r="AX1759" s="65"/>
      <c r="AY1759" s="65"/>
      <c r="AZ1759" s="65"/>
      <c r="BA1759" s="65"/>
    </row>
    <row r="1760">
      <c r="A1760" s="65" t="str">
        <f>IFERROR(__xludf.DUMMYFUNCTION("""COMPUTED_VALUE"""),"27-03-2026")</f>
        <v>27-03-2026</v>
      </c>
      <c r="B1760" s="65">
        <f>IFERROR(__xludf.DUMMYFUNCTION("""COMPUTED_VALUE"""),4147703.0)</f>
        <v>4147703</v>
      </c>
      <c r="C1760" s="65" t="str">
        <f>IFERROR(__xludf.DUMMYFUNCTION("""COMPUTED_VALUE"""),"17:25")</f>
        <v>17:25</v>
      </c>
      <c r="D1760" s="65" t="str">
        <f>IFERROR(__xludf.DUMMYFUNCTION("""COMPUTED_VALUE"""),"14-01-2026")</f>
        <v>14-01-2026</v>
      </c>
      <c r="E1760" s="65" t="str">
        <f>IFERROR(__xludf.DUMMYFUNCTION("""COMPUTED_VALUE"""),"Juan Carlos Coronel Valencia")</f>
        <v>Juan Carlos Coronel Valencia</v>
      </c>
      <c r="F1760" s="65" t="str">
        <f>IFERROR(__xludf.DUMMYFUNCTION("""COMPUTED_VALUE"""),"984959992")</f>
        <v>984959992</v>
      </c>
      <c r="G1760" s="65" t="str">
        <f>IFERROR(__xludf.DUMMYFUNCTION("""COMPUTED_VALUE"""),"juancacoronel198011@gmail.com")</f>
        <v>juancacoronel198011@gmail.com</v>
      </c>
      <c r="H1760" s="65"/>
      <c r="I1760" s="65"/>
      <c r="J1760" s="65"/>
      <c r="K1760" s="65" t="str">
        <f>IFERROR(__xludf.DUMMYFUNCTION("""COMPUTED_VALUE"""),"PENDIENTE CONFIRMACION")</f>
        <v>PENDIENTE CONFIRMACION</v>
      </c>
      <c r="L1760" s="65" t="str">
        <f>IFERROR(__xludf.DUMMYFUNCTION("""COMPUTED_VALUE"""),"CON RECAUDO")</f>
        <v>CON RECAUDO</v>
      </c>
      <c r="M1760" s="65" t="str">
        <f>IFERROR(__xludf.DUMMYFUNCTION("""COMPUTED_VALUE"""),"PICHINCHA")</f>
        <v>PICHINCHA</v>
      </c>
      <c r="N1760" s="65" t="str">
        <f>IFERROR(__xludf.DUMMYFUNCTION("""COMPUTED_VALUE"""),"QUITO")</f>
        <v>QUITO</v>
      </c>
      <c r="O1760" s="65" t="str">
        <f>IFERROR(__xludf.DUMMYFUNCTION("""COMPUTED_VALUE"""),"La planada Condado alto -")</f>
        <v>La planada Condado alto -</v>
      </c>
      <c r="P1760" s="65"/>
      <c r="Q1760" s="65" t="str">
        <f>IFERROR(__xludf.DUMMYFUNCTION("""COMPUTED_VALUE"""),"GINTRACOM")</f>
        <v>GINTRACOM</v>
      </c>
      <c r="R1760" s="65">
        <f>IFERROR(__xludf.DUMMYFUNCTION("""COMPUTED_VALUE"""),30.0)</f>
        <v>30</v>
      </c>
      <c r="S1760" s="65"/>
      <c r="T1760" s="65">
        <f>IFERROR(__xludf.DUMMYFUNCTION("""COMPUTED_VALUE"""),4.55)</f>
        <v>4.55</v>
      </c>
      <c r="U1760" s="65">
        <f>IFERROR(__xludf.DUMMYFUNCTION("""COMPUTED_VALUE"""),0.0)</f>
        <v>0</v>
      </c>
      <c r="V1760" s="65">
        <f>IFERROR(__xludf.DUMMYFUNCTION("""COMPUTED_VALUE"""),0.0)</f>
        <v>0</v>
      </c>
      <c r="W1760" s="65">
        <f>IFERROR(__xludf.DUMMYFUNCTION("""COMPUTED_VALUE"""),0.0)</f>
        <v>0</v>
      </c>
      <c r="X1760" s="65">
        <f>IFERROR(__xludf.DUMMYFUNCTION("""COMPUTED_VALUE"""),2.35)</f>
        <v>2.35</v>
      </c>
      <c r="Y1760" s="65">
        <f>IFERROR(__xludf.DUMMYFUNCTION("""COMPUTED_VALUE"""),7.05)</f>
        <v>7.05</v>
      </c>
      <c r="Z1760" s="65">
        <f>IFERROR(__xludf.DUMMYFUNCTION("""COMPUTED_VALUE"""),116679.0)</f>
        <v>116679</v>
      </c>
      <c r="AA1760" s="65" t="str">
        <f>IFERROR(__xludf.DUMMYFUNCTION("""COMPUTED_VALUE"""),"AMC-2738")</f>
        <v>AMC-2738</v>
      </c>
      <c r="AB1760" s="65"/>
      <c r="AC1760" s="65" t="str">
        <f>IFERROR(__xludf.DUMMYFUNCTION("""COMPUTED_VALUE"""),"ESPONJA ANTILLUVIA DE PARABRISAS")</f>
        <v>ESPONJA ANTILLUVIA DE PARABRISAS</v>
      </c>
      <c r="AD1760" s="65"/>
      <c r="AE1760" s="65">
        <f>IFERROR(__xludf.DUMMYFUNCTION("""COMPUTED_VALUE"""),3.0)</f>
        <v>3</v>
      </c>
      <c r="AF1760" s="65"/>
      <c r="AG1760" s="65"/>
      <c r="AH1760" s="65"/>
      <c r="AI1760" s="65"/>
      <c r="AJ1760" s="65"/>
      <c r="AK1760" s="65"/>
      <c r="AL1760" s="65"/>
      <c r="AM1760" s="65"/>
      <c r="AN1760" s="65"/>
      <c r="AO1760" s="65"/>
      <c r="AP1760" s="65"/>
      <c r="AQ1760" s="65"/>
      <c r="AR1760" s="65"/>
      <c r="AS1760" s="65"/>
      <c r="AT1760" s="65" t="str">
        <f>IFERROR(__xludf.DUMMYFUNCTION("""COMPUTED_VALUE"""),"SHOPIFY")</f>
        <v>SHOPIFY</v>
      </c>
      <c r="AU1760" s="65" t="str">
        <f>IFERROR(__xludf.DUMMYFUNCTION("""COMPUTED_VALUE"""),"IMPORTEX EC")</f>
        <v>IMPORTEX EC</v>
      </c>
      <c r="AV1760" s="65" t="str">
        <f>IFERROR(__xludf.DUMMYFUNCTION("""COMPUTED_VALUE"""),"6412307529772")</f>
        <v>6412307529772</v>
      </c>
      <c r="AW1760" s="65">
        <f>IFERROR(__xludf.DUMMYFUNCTION("""COMPUTED_VALUE"""),5128.0)</f>
        <v>5128</v>
      </c>
      <c r="AX1760" s="65"/>
      <c r="AY1760" s="65"/>
      <c r="AZ1760" s="65"/>
      <c r="BA1760" s="65"/>
    </row>
    <row r="1761">
      <c r="A1761" s="65" t="str">
        <f>IFERROR(__xludf.DUMMYFUNCTION("""COMPUTED_VALUE"""),"27-03-2026")</f>
        <v>27-03-2026</v>
      </c>
      <c r="B1761" s="65">
        <f>IFERROR(__xludf.DUMMYFUNCTION("""COMPUTED_VALUE"""),4147533.0)</f>
        <v>4147533</v>
      </c>
      <c r="C1761" s="65" t="str">
        <f>IFERROR(__xludf.DUMMYFUNCTION("""COMPUTED_VALUE"""),"17:10")</f>
        <v>17:10</v>
      </c>
      <c r="D1761" s="65" t="str">
        <f>IFERROR(__xludf.DUMMYFUNCTION("""COMPUTED_VALUE"""),"14-01-2026")</f>
        <v>14-01-2026</v>
      </c>
      <c r="E1761" s="65" t="str">
        <f>IFERROR(__xludf.DUMMYFUNCTION("""COMPUTED_VALUE"""),"Ronald vera")</f>
        <v>Ronald vera</v>
      </c>
      <c r="F1761" s="65" t="str">
        <f>IFERROR(__xludf.DUMMYFUNCTION("""COMPUTED_VALUE"""),"981365023")</f>
        <v>981365023</v>
      </c>
      <c r="G1761" s="65"/>
      <c r="H1761" s="65"/>
      <c r="I1761" s="65"/>
      <c r="J1761" s="65"/>
      <c r="K1761" s="65" t="str">
        <f>IFERROR(__xludf.DUMMYFUNCTION("""COMPUTED_VALUE"""),"PENDIENTE CONFIRMACION")</f>
        <v>PENDIENTE CONFIRMACION</v>
      </c>
      <c r="L1761" s="65" t="str">
        <f>IFERROR(__xludf.DUMMYFUNCTION("""COMPUTED_VALUE"""),"CON RECAUDO")</f>
        <v>CON RECAUDO</v>
      </c>
      <c r="M1761" s="65" t="str">
        <f>IFERROR(__xludf.DUMMYFUNCTION("""COMPUTED_VALUE"""),"SANTO DOMINGO DE LOS TSACHILAS")</f>
        <v>SANTO DOMINGO DE LOS TSACHILAS</v>
      </c>
      <c r="N1761" s="65" t="str">
        <f>IFERROR(__xludf.DUMMYFUNCTION("""COMPUTED_VALUE"""),"SANTO DOMINGO")</f>
        <v>SANTO DOMINGO</v>
      </c>
      <c r="O1761" s="65" t="str">
        <f>IFERROR(__xludf.DUMMYFUNCTION("""COMPUTED_VALUE"""),"Via Quevedo Y  15 septiembre -")</f>
        <v>Via Quevedo Y  15 septiembre -</v>
      </c>
      <c r="P1761" s="65"/>
      <c r="Q1761" s="65" t="str">
        <f>IFERROR(__xludf.DUMMYFUNCTION("""COMPUTED_VALUE"""),"GINTRACOM")</f>
        <v>GINTRACOM</v>
      </c>
      <c r="R1761" s="65">
        <f>IFERROR(__xludf.DUMMYFUNCTION("""COMPUTED_VALUE"""),27.0)</f>
        <v>27</v>
      </c>
      <c r="S1761" s="65"/>
      <c r="T1761" s="65">
        <f>IFERROR(__xludf.DUMMYFUNCTION("""COMPUTED_VALUE"""),6.03)</f>
        <v>6.03</v>
      </c>
      <c r="U1761" s="65">
        <f>IFERROR(__xludf.DUMMYFUNCTION("""COMPUTED_VALUE"""),0.0)</f>
        <v>0</v>
      </c>
      <c r="V1761" s="65">
        <f>IFERROR(__xludf.DUMMYFUNCTION("""COMPUTED_VALUE"""),0.0)</f>
        <v>0</v>
      </c>
      <c r="W1761" s="65">
        <f>IFERROR(__xludf.DUMMYFUNCTION("""COMPUTED_VALUE"""),0.0)</f>
        <v>0</v>
      </c>
      <c r="X1761" s="65">
        <f>IFERROR(__xludf.DUMMYFUNCTION("""COMPUTED_VALUE"""),2.6)</f>
        <v>2.6</v>
      </c>
      <c r="Y1761" s="65">
        <f>IFERROR(__xludf.DUMMYFUNCTION("""COMPUTED_VALUE"""),7.8)</f>
        <v>7.8</v>
      </c>
      <c r="Z1761" s="65">
        <f>IFERROR(__xludf.DUMMYFUNCTION("""COMPUTED_VALUE"""),121983.0)</f>
        <v>121983</v>
      </c>
      <c r="AA1761" s="65" t="str">
        <f>IFERROR(__xludf.DUMMYFUNCTION("""COMPUTED_VALUE"""),"PROV-CHLLCF")</f>
        <v>PROV-CHLLCF</v>
      </c>
      <c r="AB1761" s="65"/>
      <c r="AC1761" s="65" t="str">
        <f>IFERROR(__xludf.DUMMYFUNCTION("""COMPUTED_VALUE"""),"CUCHILLO PARA CHEF")</f>
        <v>CUCHILLO PARA CHEF</v>
      </c>
      <c r="AD1761" s="65"/>
      <c r="AE1761" s="65">
        <f>IFERROR(__xludf.DUMMYFUNCTION("""COMPUTED_VALUE"""),3.0)</f>
        <v>3</v>
      </c>
      <c r="AF1761" s="65"/>
      <c r="AG1761" s="65"/>
      <c r="AH1761" s="65"/>
      <c r="AI1761" s="65"/>
      <c r="AJ1761" s="65"/>
      <c r="AK1761" s="65"/>
      <c r="AL1761" s="65"/>
      <c r="AM1761" s="65"/>
      <c r="AN1761" s="65"/>
      <c r="AO1761" s="65"/>
      <c r="AP1761" s="65"/>
      <c r="AQ1761" s="65"/>
      <c r="AR1761" s="65"/>
      <c r="AS1761" s="65"/>
      <c r="AT1761" s="65" t="str">
        <f>IFERROR(__xludf.DUMMYFUNCTION("""COMPUTED_VALUE"""),"SHOPIFY")</f>
        <v>SHOPIFY</v>
      </c>
      <c r="AU1761" s="65" t="str">
        <f>IFERROR(__xludf.DUMMYFUNCTION("""COMPUTED_VALUE"""),"IMPORTEX EC")</f>
        <v>IMPORTEX EC</v>
      </c>
      <c r="AV1761" s="65" t="str">
        <f>IFERROR(__xludf.DUMMYFUNCTION("""COMPUTED_VALUE"""),"6411585060908")</f>
        <v>6411585060908</v>
      </c>
      <c r="AW1761" s="65">
        <f>IFERROR(__xludf.DUMMYFUNCTION("""COMPUTED_VALUE"""),5123.0)</f>
        <v>5123</v>
      </c>
      <c r="AX1761" s="65"/>
      <c r="AY1761" s="65"/>
      <c r="AZ1761" s="65"/>
      <c r="BA1761" s="65"/>
    </row>
    <row r="1762">
      <c r="A1762" s="65" t="str">
        <f>IFERROR(__xludf.DUMMYFUNCTION("""COMPUTED_VALUE"""),"27-03-2026")</f>
        <v>27-03-2026</v>
      </c>
      <c r="B1762" s="65">
        <f>IFERROR(__xludf.DUMMYFUNCTION("""COMPUTED_VALUE"""),4146769.0)</f>
        <v>4146769</v>
      </c>
      <c r="C1762" s="65" t="str">
        <f>IFERROR(__xludf.DUMMYFUNCTION("""COMPUTED_VALUE"""),"16:09")</f>
        <v>16:09</v>
      </c>
      <c r="D1762" s="65" t="str">
        <f>IFERROR(__xludf.DUMMYFUNCTION("""COMPUTED_VALUE"""),"14-01-2026")</f>
        <v>14-01-2026</v>
      </c>
      <c r="E1762" s="65" t="str">
        <f>IFERROR(__xludf.DUMMYFUNCTION("""COMPUTED_VALUE"""),"Gladys Esthela Moya")</f>
        <v>Gladys Esthela Moya</v>
      </c>
      <c r="F1762" s="65" t="str">
        <f>IFERROR(__xludf.DUMMYFUNCTION("""COMPUTED_VALUE"""),"983294096")</f>
        <v>983294096</v>
      </c>
      <c r="G1762" s="65" t="str">
        <f>IFERROR(__xludf.DUMMYFUNCTION("""COMPUTED_VALUE"""),"gladys.moyavivas@gmail.com")</f>
        <v>gladys.moyavivas@gmail.com</v>
      </c>
      <c r="H1762" s="65"/>
      <c r="I1762" s="65"/>
      <c r="J1762" s="65"/>
      <c r="K1762" s="65" t="str">
        <f>IFERROR(__xludf.DUMMYFUNCTION("""COMPUTED_VALUE"""),"CANCELADO")</f>
        <v>CANCELADO</v>
      </c>
      <c r="L1762" s="65" t="str">
        <f>IFERROR(__xludf.DUMMYFUNCTION("""COMPUTED_VALUE"""),"CON RECAUDO")</f>
        <v>CON RECAUDO</v>
      </c>
      <c r="M1762" s="65" t="str">
        <f>IFERROR(__xludf.DUMMYFUNCTION("""COMPUTED_VALUE"""),"PICHINCHA")</f>
        <v>PICHINCHA</v>
      </c>
      <c r="N1762" s="65" t="str">
        <f>IFERROR(__xludf.DUMMYFUNCTION("""COMPUTED_VALUE"""),"QUITO")</f>
        <v>QUITO</v>
      </c>
      <c r="O1762" s="65" t="str">
        <f>IFERROR(__xludf.DUMMYFUNCTION("""COMPUTED_VALUE"""),"Calle H ...y real audiencia Parque el recuerdo -")</f>
        <v>Calle H ...y real audiencia Parque el recuerdo -</v>
      </c>
      <c r="P1762" s="65"/>
      <c r="Q1762" s="65" t="str">
        <f>IFERROR(__xludf.DUMMYFUNCTION("""COMPUTED_VALUE"""),"GINTRACOM")</f>
        <v>GINTRACOM</v>
      </c>
      <c r="R1762" s="65">
        <f>IFERROR(__xludf.DUMMYFUNCTION("""COMPUTED_VALUE"""),20.0)</f>
        <v>20</v>
      </c>
      <c r="S1762" s="65"/>
      <c r="T1762" s="65">
        <f>IFERROR(__xludf.DUMMYFUNCTION("""COMPUTED_VALUE"""),4.15)</f>
        <v>4.15</v>
      </c>
      <c r="U1762" s="65">
        <f>IFERROR(__xludf.DUMMYFUNCTION("""COMPUTED_VALUE"""),0.0)</f>
        <v>0</v>
      </c>
      <c r="V1762" s="65">
        <f>IFERROR(__xludf.DUMMYFUNCTION("""COMPUTED_VALUE"""),0.0)</f>
        <v>0</v>
      </c>
      <c r="W1762" s="65">
        <f>IFERROR(__xludf.DUMMYFUNCTION("""COMPUTED_VALUE"""),0.0)</f>
        <v>0</v>
      </c>
      <c r="X1762" s="65">
        <f>IFERROR(__xludf.DUMMYFUNCTION("""COMPUTED_VALUE"""),2.35)</f>
        <v>2.35</v>
      </c>
      <c r="Y1762" s="65">
        <f>IFERROR(__xludf.DUMMYFUNCTION("""COMPUTED_VALUE"""),2.35)</f>
        <v>2.35</v>
      </c>
      <c r="Z1762" s="65">
        <f>IFERROR(__xludf.DUMMYFUNCTION("""COMPUTED_VALUE"""),116679.0)</f>
        <v>116679</v>
      </c>
      <c r="AA1762" s="65" t="str">
        <f>IFERROR(__xludf.DUMMYFUNCTION("""COMPUTED_VALUE"""),"AMC-2738")</f>
        <v>AMC-2738</v>
      </c>
      <c r="AB1762" s="65"/>
      <c r="AC1762" s="65" t="str">
        <f>IFERROR(__xludf.DUMMYFUNCTION("""COMPUTED_VALUE"""),"ESPONJA ANTILLUVIA DE PARABRISAS")</f>
        <v>ESPONJA ANTILLUVIA DE PARABRISAS</v>
      </c>
      <c r="AD1762" s="65"/>
      <c r="AE1762" s="65">
        <f>IFERROR(__xludf.DUMMYFUNCTION("""COMPUTED_VALUE"""),1.0)</f>
        <v>1</v>
      </c>
      <c r="AF1762" s="65"/>
      <c r="AG1762" s="65"/>
      <c r="AH1762" s="65"/>
      <c r="AI1762" s="65"/>
      <c r="AJ1762" s="65"/>
      <c r="AK1762" s="65"/>
      <c r="AL1762" s="65"/>
      <c r="AM1762" s="65"/>
      <c r="AN1762" s="65"/>
      <c r="AO1762" s="65"/>
      <c r="AP1762" s="65"/>
      <c r="AQ1762" s="65"/>
      <c r="AR1762" s="65"/>
      <c r="AS1762" s="65"/>
      <c r="AT1762" s="65" t="str">
        <f>IFERROR(__xludf.DUMMYFUNCTION("""COMPUTED_VALUE"""),"SHOPIFY")</f>
        <v>SHOPIFY</v>
      </c>
      <c r="AU1762" s="65" t="str">
        <f>IFERROR(__xludf.DUMMYFUNCTION("""COMPUTED_VALUE"""),"IMPORTEX EC")</f>
        <v>IMPORTEX EC</v>
      </c>
      <c r="AV1762" s="65" t="str">
        <f>IFERROR(__xludf.DUMMYFUNCTION("""COMPUTED_VALUE"""),"6414713487404")</f>
        <v>6414713487404</v>
      </c>
      <c r="AW1762" s="65">
        <f>IFERROR(__xludf.DUMMYFUNCTION("""COMPUTED_VALUE"""),5182.0)</f>
        <v>5182</v>
      </c>
      <c r="AX1762" s="65"/>
      <c r="AY1762" s="65"/>
      <c r="AZ1762" s="65"/>
      <c r="BA1762" s="65"/>
    </row>
    <row r="1763">
      <c r="A1763" s="65" t="str">
        <f>IFERROR(__xludf.DUMMYFUNCTION("""COMPUTED_VALUE"""),"27-03-2026")</f>
        <v>27-03-2026</v>
      </c>
      <c r="B1763" s="65">
        <f>IFERROR(__xludf.DUMMYFUNCTION("""COMPUTED_VALUE"""),4145960.0)</f>
        <v>4145960</v>
      </c>
      <c r="C1763" s="65" t="str">
        <f>IFERROR(__xludf.DUMMYFUNCTION("""COMPUTED_VALUE"""),"15:05")</f>
        <v>15:05</v>
      </c>
      <c r="D1763" s="65" t="str">
        <f>IFERROR(__xludf.DUMMYFUNCTION("""COMPUTED_VALUE"""),"14-01-2026")</f>
        <v>14-01-2026</v>
      </c>
      <c r="E1763" s="65" t="str">
        <f>IFERROR(__xludf.DUMMYFUNCTION("""COMPUTED_VALUE"""),"Miryan Parra")</f>
        <v>Miryan Parra</v>
      </c>
      <c r="F1763" s="65" t="str">
        <f>IFERROR(__xludf.DUMMYFUNCTION("""COMPUTED_VALUE"""),"987593271")</f>
        <v>987593271</v>
      </c>
      <c r="G1763" s="65" t="str">
        <f>IFERROR(__xludf.DUMMYFUNCTION("""COMPUTED_VALUE"""),"mpparra56@gmail.com")</f>
        <v>mpparra56@gmail.com</v>
      </c>
      <c r="H1763" s="65"/>
      <c r="I1763" s="65"/>
      <c r="J1763" s="65" t="str">
        <f>IFERROR(__xludf.DUMMYFUNCTION("""COMPUTED_VALUE"""),"186986105")</f>
        <v>186986105</v>
      </c>
      <c r="K1763" s="65" t="str">
        <f>IFERROR(__xludf.DUMMYFUNCTION("""COMPUTED_VALUE"""),"ENTREGADO")</f>
        <v>ENTREGADO</v>
      </c>
      <c r="L1763" s="65" t="str">
        <f>IFERROR(__xludf.DUMMYFUNCTION("""COMPUTED_VALUE"""),"CON RECAUDO")</f>
        <v>CON RECAUDO</v>
      </c>
      <c r="M1763" s="65" t="str">
        <f>IFERROR(__xludf.DUMMYFUNCTION("""COMPUTED_VALUE"""),"GUAYAS")</f>
        <v>GUAYAS</v>
      </c>
      <c r="N1763" s="65" t="str">
        <f>IFERROR(__xludf.DUMMYFUNCTION("""COMPUTED_VALUE"""),"LA PUNTILLA")</f>
        <v>LA PUNTILLA</v>
      </c>
      <c r="O1763" s="65" t="str">
        <f>IFERROR(__xludf.DUMMYFUNCTION("""COMPUTED_VALUE"""),"Entre Rios Mz G1 Villa 5-6 Entre Rios - La Puntilla -")</f>
        <v>Entre Rios Mz G1 Villa 5-6 Entre Rios - La Puntilla -</v>
      </c>
      <c r="P1763" s="65"/>
      <c r="Q1763" s="65" t="str">
        <f>IFERROR(__xludf.DUMMYFUNCTION("""COMPUTED_VALUE"""),"SERVIENTREGA")</f>
        <v>SERVIENTREGA</v>
      </c>
      <c r="R1763" s="65">
        <f>IFERROR(__xludf.DUMMYFUNCTION("""COMPUTED_VALUE"""),30.0)</f>
        <v>30</v>
      </c>
      <c r="S1763" s="65">
        <f>IFERROR(__xludf.DUMMYFUNCTION("""COMPUTED_VALUE"""),16.57)</f>
        <v>16.57</v>
      </c>
      <c r="T1763" s="65">
        <f>IFERROR(__xludf.DUMMYFUNCTION("""COMPUTED_VALUE"""),6.38)</f>
        <v>6.38</v>
      </c>
      <c r="U1763" s="65">
        <f>IFERROR(__xludf.DUMMYFUNCTION("""COMPUTED_VALUE"""),0.0)</f>
        <v>0</v>
      </c>
      <c r="V1763" s="65">
        <f>IFERROR(__xludf.DUMMYFUNCTION("""COMPUTED_VALUE"""),0.0)</f>
        <v>0</v>
      </c>
      <c r="W1763" s="65">
        <f>IFERROR(__xludf.DUMMYFUNCTION("""COMPUTED_VALUE"""),0.0)</f>
        <v>0</v>
      </c>
      <c r="X1763" s="65">
        <f>IFERROR(__xludf.DUMMYFUNCTION("""COMPUTED_VALUE"""),2.35)</f>
        <v>2.35</v>
      </c>
      <c r="Y1763" s="65">
        <f>IFERROR(__xludf.DUMMYFUNCTION("""COMPUTED_VALUE"""),7.05)</f>
        <v>7.05</v>
      </c>
      <c r="Z1763" s="65">
        <f>IFERROR(__xludf.DUMMYFUNCTION("""COMPUTED_VALUE"""),116679.0)</f>
        <v>116679</v>
      </c>
      <c r="AA1763" s="65" t="str">
        <f>IFERROR(__xludf.DUMMYFUNCTION("""COMPUTED_VALUE"""),"AMC-2738")</f>
        <v>AMC-2738</v>
      </c>
      <c r="AB1763" s="65"/>
      <c r="AC1763" s="65" t="str">
        <f>IFERROR(__xludf.DUMMYFUNCTION("""COMPUTED_VALUE"""),"ESPONJA ANTILLUVIA DE PARABRISAS")</f>
        <v>ESPONJA ANTILLUVIA DE PARABRISAS</v>
      </c>
      <c r="AD1763" s="65"/>
      <c r="AE1763" s="65">
        <f>IFERROR(__xludf.DUMMYFUNCTION("""COMPUTED_VALUE"""),3.0)</f>
        <v>3</v>
      </c>
      <c r="AF1763" s="65" t="str">
        <f>IFERROR(__xludf.DUMMYFUNCTION("""COMPUTED_VALUE"""),"CERRADO")</f>
        <v>CERRADO</v>
      </c>
      <c r="AG1763" s="65" t="str">
        <f>IFERROR(__xludf.DUMMYFUNCTION("""COMPUTED_VALUE"""),"NO")</f>
        <v>NO</v>
      </c>
      <c r="AH1763" s="65" t="str">
        <f>IFERROR(__xludf.DUMMYFUNCTION("""COMPUTED_VALUE"""),"14:22")</f>
        <v>14:22</v>
      </c>
      <c r="AI1763" s="65" t="str">
        <f>IFERROR(__xludf.DUMMYFUNCTION("""COMPUTED_VALUE"""),"17-01-2026")</f>
        <v>17-01-2026</v>
      </c>
      <c r="AJ1763" s="65"/>
      <c r="AK1763" s="65"/>
      <c r="AL1763" s="65"/>
      <c r="AM1763" s="65"/>
      <c r="AN1763" s="65" t="str">
        <f>IFERROR(__xludf.DUMMYFUNCTION("""COMPUTED_VALUE"""),"13:03")</f>
        <v>13:03</v>
      </c>
      <c r="AO1763" s="65" t="str">
        <f>IFERROR(__xludf.DUMMYFUNCTION("""COMPUTED_VALUE"""),"19-01-2026")</f>
        <v>19-01-2026</v>
      </c>
      <c r="AP1763" s="65" t="str">
        <f>IFERROR(__xludf.DUMMYFUNCTION("""COMPUTED_VALUE"""),"REPORTADO ENTREGADO EN APP")</f>
        <v>REPORTADO ENTREGADO EN APP</v>
      </c>
      <c r="AQ1763" s="65" t="str">
        <f>IFERROR(__xludf.DUMMYFUNCTION("""COMPUTED_VALUE"""),"Myriam Parra")</f>
        <v>Myriam Parra</v>
      </c>
      <c r="AR1763" s="65"/>
      <c r="AS1763" s="65"/>
      <c r="AT1763" s="65" t="str">
        <f>IFERROR(__xludf.DUMMYFUNCTION("""COMPUTED_VALUE"""),"SHOPIFY")</f>
        <v>SHOPIFY</v>
      </c>
      <c r="AU1763" s="65" t="str">
        <f>IFERROR(__xludf.DUMMYFUNCTION("""COMPUTED_VALUE"""),"IMPORTEX EC")</f>
        <v>IMPORTEX EC</v>
      </c>
      <c r="AV1763" s="65" t="str">
        <f>IFERROR(__xludf.DUMMYFUNCTION("""COMPUTED_VALUE"""),"6414574911532")</f>
        <v>6414574911532</v>
      </c>
      <c r="AW1763" s="65">
        <f>IFERROR(__xludf.DUMMYFUNCTION("""COMPUTED_VALUE"""),5181.0)</f>
        <v>5181</v>
      </c>
      <c r="AX1763" s="65"/>
      <c r="AY1763" s="65" t="str">
        <f>IFERROR(__xludf.DUMMYFUNCTION("""COMPUTED_VALUE"""),"16/01/2026")</f>
        <v>16/01/2026</v>
      </c>
      <c r="AZ1763" s="65"/>
      <c r="BA1763" s="65"/>
    </row>
    <row r="1764">
      <c r="A1764" s="65" t="str">
        <f>IFERROR(__xludf.DUMMYFUNCTION("""COMPUTED_VALUE"""),"27-03-2026")</f>
        <v>27-03-2026</v>
      </c>
      <c r="B1764" s="65">
        <f>IFERROR(__xludf.DUMMYFUNCTION("""COMPUTED_VALUE"""),4145656.0)</f>
        <v>4145656</v>
      </c>
      <c r="C1764" s="65" t="str">
        <f>IFERROR(__xludf.DUMMYFUNCTION("""COMPUTED_VALUE"""),"14:41")</f>
        <v>14:41</v>
      </c>
      <c r="D1764" s="65" t="str">
        <f>IFERROR(__xludf.DUMMYFUNCTION("""COMPUTED_VALUE"""),"14-01-2026")</f>
        <v>14-01-2026</v>
      </c>
      <c r="E1764" s="65" t="str">
        <f>IFERROR(__xludf.DUMMYFUNCTION("""COMPUTED_VALUE"""),"Fausto Arellano")</f>
        <v>Fausto Arellano</v>
      </c>
      <c r="F1764" s="65" t="str">
        <f>IFERROR(__xludf.DUMMYFUNCTION("""COMPUTED_VALUE"""),"999823019")</f>
        <v>999823019</v>
      </c>
      <c r="G1764" s="65" t="str">
        <f>IFERROR(__xludf.DUMMYFUNCTION("""COMPUTED_VALUE"""),"fafin68@gmail.com")</f>
        <v>fafin68@gmail.com</v>
      </c>
      <c r="H1764" s="65"/>
      <c r="I1764" s="65"/>
      <c r="J1764" s="65" t="str">
        <f>IFERROR(__xludf.DUMMYFUNCTION("""COMPUTED_VALUE"""),"D001231745")</f>
        <v>D001231745</v>
      </c>
      <c r="K1764" s="65" t="str">
        <f>IFERROR(__xludf.DUMMYFUNCTION("""COMPUTED_VALUE"""),"DEVOLUCION")</f>
        <v>DEVOLUCION</v>
      </c>
      <c r="L1764" s="65" t="str">
        <f>IFERROR(__xludf.DUMMYFUNCTION("""COMPUTED_VALUE"""),"CON RECAUDO")</f>
        <v>CON RECAUDO</v>
      </c>
      <c r="M1764" s="65" t="str">
        <f>IFERROR(__xludf.DUMMYFUNCTION("""COMPUTED_VALUE"""),"PICHINCHA")</f>
        <v>PICHINCHA</v>
      </c>
      <c r="N1764" s="65" t="str">
        <f>IFERROR(__xludf.DUMMYFUNCTION("""COMPUTED_VALUE"""),"QUITO")</f>
        <v>QUITO</v>
      </c>
      <c r="O1764" s="65" t="str">
        <f>IFERROR(__xludf.DUMMYFUNCTION("""COMPUTED_VALUE"""),"Av. de ls Palmeras S/n bajando a Zambiza En el centro de transferencia de solidos EMGIRS - preguntar por Biofactor en la garita")</f>
        <v>Av. de ls Palmeras S/n bajando a Zambiza En el centro de transferencia de solidos EMGIRS - preguntar por Biofactor en la garita</v>
      </c>
      <c r="P1764" s="65"/>
      <c r="Q1764" s="65" t="str">
        <f>IFERROR(__xludf.DUMMYFUNCTION("""COMPUTED_VALUE"""),"GINTRACOM")</f>
        <v>GINTRACOM</v>
      </c>
      <c r="R1764" s="65">
        <f>IFERROR(__xludf.DUMMYFUNCTION("""COMPUTED_VALUE"""),30.0)</f>
        <v>30</v>
      </c>
      <c r="S1764" s="65"/>
      <c r="T1764" s="65">
        <f>IFERROR(__xludf.DUMMYFUNCTION("""COMPUTED_VALUE"""),4.55)</f>
        <v>4.55</v>
      </c>
      <c r="U1764" s="65">
        <f>IFERROR(__xludf.DUMMYFUNCTION("""COMPUTED_VALUE"""),0.0)</f>
        <v>0</v>
      </c>
      <c r="V1764" s="65">
        <f>IFERROR(__xludf.DUMMYFUNCTION("""COMPUTED_VALUE"""),0.0)</f>
        <v>0</v>
      </c>
      <c r="W1764" s="65">
        <f>IFERROR(__xludf.DUMMYFUNCTION("""COMPUTED_VALUE"""),0.0)</f>
        <v>0</v>
      </c>
      <c r="X1764" s="65">
        <f>IFERROR(__xludf.DUMMYFUNCTION("""COMPUTED_VALUE"""),2.35)</f>
        <v>2.35</v>
      </c>
      <c r="Y1764" s="65">
        <f>IFERROR(__xludf.DUMMYFUNCTION("""COMPUTED_VALUE"""),7.05)</f>
        <v>7.05</v>
      </c>
      <c r="Z1764" s="65">
        <f>IFERROR(__xludf.DUMMYFUNCTION("""COMPUTED_VALUE"""),116679.0)</f>
        <v>116679</v>
      </c>
      <c r="AA1764" s="65" t="str">
        <f>IFERROR(__xludf.DUMMYFUNCTION("""COMPUTED_VALUE"""),"AMC-2738")</f>
        <v>AMC-2738</v>
      </c>
      <c r="AB1764" s="65"/>
      <c r="AC1764" s="65" t="str">
        <f>IFERROR(__xludf.DUMMYFUNCTION("""COMPUTED_VALUE"""),"ESPONJA ANTILLUVIA DE PARABRISAS")</f>
        <v>ESPONJA ANTILLUVIA DE PARABRISAS</v>
      </c>
      <c r="AD1764" s="65"/>
      <c r="AE1764" s="65">
        <f>IFERROR(__xludf.DUMMYFUNCTION("""COMPUTED_VALUE"""),3.0)</f>
        <v>3</v>
      </c>
      <c r="AF1764" s="65" t="str">
        <f>IFERROR(__xludf.DUMMYFUNCTION("""COMPUTED_VALUE"""),"DESTINATARIO INDICA QUE YA NO DESEA EL PRODUCTO")</f>
        <v>DESTINATARIO INDICA QUE YA NO DESEA EL PRODUCTO</v>
      </c>
      <c r="AG1764" s="65" t="str">
        <f>IFERROR(__xludf.DUMMYFUNCTION("""COMPUTED_VALUE"""),"NO")</f>
        <v>NO</v>
      </c>
      <c r="AH1764" s="65" t="str">
        <f>IFERROR(__xludf.DUMMYFUNCTION("""COMPUTED_VALUE"""),"09:16")</f>
        <v>09:16</v>
      </c>
      <c r="AI1764" s="65" t="str">
        <f>IFERROR(__xludf.DUMMYFUNCTION("""COMPUTED_VALUE"""),"22-01-2026")</f>
        <v>22-01-2026</v>
      </c>
      <c r="AJ1764" s="65"/>
      <c r="AK1764" s="65"/>
      <c r="AL1764" s="65"/>
      <c r="AM1764" s="65"/>
      <c r="AN1764" s="65" t="str">
        <f>IFERROR(__xludf.DUMMYFUNCTION("""COMPUTED_VALUE"""),"17:13")</f>
        <v>17:13</v>
      </c>
      <c r="AO1764" s="65" t="str">
        <f>IFERROR(__xludf.DUMMYFUNCTION("""COMPUTED_VALUE"""),"06-02-2026")</f>
        <v>06-02-2026</v>
      </c>
      <c r="AP1764" s="65" t="str">
        <f>IFERROR(__xludf.DUMMYFUNCTION("""COMPUTED_VALUE"""),"DEVOLUCIÓN ENTREGADA A ORIGEN")</f>
        <v>DEVOLUCIÓN ENTREGADA A ORIGEN</v>
      </c>
      <c r="AQ1764" s="65" t="str">
        <f>IFERROR(__xludf.DUMMYFUNCTION("""COMPUTED_VALUE"""),"DEVOLUCIÓN ENTREGADA A ORIGEN")</f>
        <v>DEVOLUCIÓN ENTREGADA A ORIGEN</v>
      </c>
      <c r="AR1764" s="65"/>
      <c r="AS1764" s="65"/>
      <c r="AT1764" s="65" t="str">
        <f>IFERROR(__xludf.DUMMYFUNCTION("""COMPUTED_VALUE"""),"SHOPIFY")</f>
        <v>SHOPIFY</v>
      </c>
      <c r="AU1764" s="65" t="str">
        <f>IFERROR(__xludf.DUMMYFUNCTION("""COMPUTED_VALUE"""),"IMPORTEX EC")</f>
        <v>IMPORTEX EC</v>
      </c>
      <c r="AV1764" s="65" t="str">
        <f>IFERROR(__xludf.DUMMYFUNCTION("""COMPUTED_VALUE"""),"6414516912172")</f>
        <v>6414516912172</v>
      </c>
      <c r="AW1764" s="65">
        <f>IFERROR(__xludf.DUMMYFUNCTION("""COMPUTED_VALUE"""),5180.0)</f>
        <v>5180</v>
      </c>
      <c r="AX1764" s="65"/>
      <c r="AY1764" s="65" t="str">
        <f>IFERROR(__xludf.DUMMYFUNCTION("""COMPUTED_VALUE"""),"16/01/2026")</f>
        <v>16/01/2026</v>
      </c>
      <c r="AZ1764" s="65"/>
      <c r="BA1764" s="65"/>
    </row>
    <row r="1765">
      <c r="A1765" s="65" t="str">
        <f>IFERROR(__xludf.DUMMYFUNCTION("""COMPUTED_VALUE"""),"27-03-2026")</f>
        <v>27-03-2026</v>
      </c>
      <c r="B1765" s="65">
        <f>IFERROR(__xludf.DUMMYFUNCTION("""COMPUTED_VALUE"""),4144895.0)</f>
        <v>4144895</v>
      </c>
      <c r="C1765" s="65" t="str">
        <f>IFERROR(__xludf.DUMMYFUNCTION("""COMPUTED_VALUE"""),"13:21")</f>
        <v>13:21</v>
      </c>
      <c r="D1765" s="65" t="str">
        <f>IFERROR(__xludf.DUMMYFUNCTION("""COMPUTED_VALUE"""),"14-01-2026")</f>
        <v>14-01-2026</v>
      </c>
      <c r="E1765" s="65" t="str">
        <f>IFERROR(__xludf.DUMMYFUNCTION("""COMPUTED_VALUE"""),"Gardeña Fernández")</f>
        <v>Gardeña Fernández</v>
      </c>
      <c r="F1765" s="65" t="str">
        <f>IFERROR(__xludf.DUMMYFUNCTION("""COMPUTED_VALUE"""),"987729076")</f>
        <v>987729076</v>
      </c>
      <c r="G1765" s="65" t="str">
        <f>IFERROR(__xludf.DUMMYFUNCTION("""COMPUTED_VALUE"""),"scarmgdln2106@gmail.com")</f>
        <v>scarmgdln2106@gmail.com</v>
      </c>
      <c r="H1765" s="65"/>
      <c r="I1765" s="65"/>
      <c r="J1765" s="65" t="str">
        <f>IFERROR(__xludf.DUMMYFUNCTION("""COMPUTED_VALUE"""),"186986107")</f>
        <v>186986107</v>
      </c>
      <c r="K1765" s="65" t="str">
        <f>IFERROR(__xludf.DUMMYFUNCTION("""COMPUTED_VALUE"""),"DEVOLUCION")</f>
        <v>DEVOLUCION</v>
      </c>
      <c r="L1765" s="65" t="str">
        <f>IFERROR(__xludf.DUMMYFUNCTION("""COMPUTED_VALUE"""),"CON RECAUDO")</f>
        <v>CON RECAUDO</v>
      </c>
      <c r="M1765" s="65" t="str">
        <f>IFERROR(__xludf.DUMMYFUNCTION("""COMPUTED_VALUE"""),"PICHINCHA")</f>
        <v>PICHINCHA</v>
      </c>
      <c r="N1765" s="65" t="str">
        <f>IFERROR(__xludf.DUMMYFUNCTION("""COMPUTED_VALUE"""),"GUAYLLABAMBA")</f>
        <v>GUAYLLABAMBA</v>
      </c>
      <c r="O1765" s="65" t="str">
        <f>IFERROR(__xludf.DUMMYFUNCTION("""COMPUTED_VALUE"""),"Av simón bolívar, y el aguacate Sector guayllabamba - Referencia frente al cuerpo de bomberos de guayllabamba")</f>
        <v>Av simón bolívar, y el aguacate Sector guayllabamba - Referencia frente al cuerpo de bomberos de guayllabamba</v>
      </c>
      <c r="P1765" s="65"/>
      <c r="Q1765" s="65" t="str">
        <f>IFERROR(__xludf.DUMMYFUNCTION("""COMPUTED_VALUE"""),"SERVIENTREGA")</f>
        <v>SERVIENTREGA</v>
      </c>
      <c r="R1765" s="65">
        <f>IFERROR(__xludf.DUMMYFUNCTION("""COMPUTED_VALUE"""),30.0)</f>
        <v>30</v>
      </c>
      <c r="S1765" s="65"/>
      <c r="T1765" s="65">
        <f>IFERROR(__xludf.DUMMYFUNCTION("""COMPUTED_VALUE"""),7.82)</f>
        <v>7.82</v>
      </c>
      <c r="U1765" s="65">
        <f>IFERROR(__xludf.DUMMYFUNCTION("""COMPUTED_VALUE"""),0.0)</f>
        <v>0</v>
      </c>
      <c r="V1765" s="65">
        <f>IFERROR(__xludf.DUMMYFUNCTION("""COMPUTED_VALUE"""),0.0)</f>
        <v>0</v>
      </c>
      <c r="W1765" s="65">
        <f>IFERROR(__xludf.DUMMYFUNCTION("""COMPUTED_VALUE"""),0.0)</f>
        <v>0</v>
      </c>
      <c r="X1765" s="65">
        <f>IFERROR(__xludf.DUMMYFUNCTION("""COMPUTED_VALUE"""),2.35)</f>
        <v>2.35</v>
      </c>
      <c r="Y1765" s="65">
        <f>IFERROR(__xludf.DUMMYFUNCTION("""COMPUTED_VALUE"""),7.05)</f>
        <v>7.05</v>
      </c>
      <c r="Z1765" s="65">
        <f>IFERROR(__xludf.DUMMYFUNCTION("""COMPUTED_VALUE"""),116679.0)</f>
        <v>116679</v>
      </c>
      <c r="AA1765" s="65" t="str">
        <f>IFERROR(__xludf.DUMMYFUNCTION("""COMPUTED_VALUE"""),"AMC-2738")</f>
        <v>AMC-2738</v>
      </c>
      <c r="AB1765" s="65"/>
      <c r="AC1765" s="65" t="str">
        <f>IFERROR(__xludf.DUMMYFUNCTION("""COMPUTED_VALUE"""),"ESPONJA ANTILLUVIA DE PARABRISAS")</f>
        <v>ESPONJA ANTILLUVIA DE PARABRISAS</v>
      </c>
      <c r="AD1765" s="65"/>
      <c r="AE1765" s="65">
        <f>IFERROR(__xludf.DUMMYFUNCTION("""COMPUTED_VALUE"""),3.0)</f>
        <v>3</v>
      </c>
      <c r="AF1765" s="65" t="str">
        <f>IFERROR(__xludf.DUMMYFUNCTION("""COMPUTED_VALUE"""),"NO RECLAMO EN OFICINA")</f>
        <v>NO RECLAMO EN OFICINA</v>
      </c>
      <c r="AG1765" s="65" t="str">
        <f>IFERROR(__xludf.DUMMYFUNCTION("""COMPUTED_VALUE"""),"NO")</f>
        <v>NO</v>
      </c>
      <c r="AH1765" s="65" t="str">
        <f>IFERROR(__xludf.DUMMYFUNCTION("""COMPUTED_VALUE"""),"17:11")</f>
        <v>17:11</v>
      </c>
      <c r="AI1765" s="65" t="str">
        <f>IFERROR(__xludf.DUMMYFUNCTION("""COMPUTED_VALUE"""),"28-01-2026")</f>
        <v>28-01-2026</v>
      </c>
      <c r="AJ1765" s="65"/>
      <c r="AK1765" s="65"/>
      <c r="AL1765" s="65"/>
      <c r="AM1765" s="65"/>
      <c r="AN1765" s="65" t="str">
        <f>IFERROR(__xludf.DUMMYFUNCTION("""COMPUTED_VALUE"""),"13:53")</f>
        <v>13:53</v>
      </c>
      <c r="AO1765" s="65" t="str">
        <f>IFERROR(__xludf.DUMMYFUNCTION("""COMPUTED_VALUE"""),"30-01-2026")</f>
        <v>30-01-2026</v>
      </c>
      <c r="AP1765" s="65" t="str">
        <f>IFERROR(__xludf.DUMMYFUNCTION("""COMPUTED_VALUE"""),"EN DISTRIBUCIÓN A CLIENTE")</f>
        <v>EN DISTRIBUCIÓN A CLIENTE</v>
      </c>
      <c r="AQ1765" s="65" t="str">
        <f>IFERROR(__xludf.DUMMYFUNCTION("""COMPUTED_VALUE"""),".")</f>
        <v>.</v>
      </c>
      <c r="AR1765" s="65"/>
      <c r="AS1765" s="65"/>
      <c r="AT1765" s="65" t="str">
        <f>IFERROR(__xludf.DUMMYFUNCTION("""COMPUTED_VALUE"""),"SHOPIFY")</f>
        <v>SHOPIFY</v>
      </c>
      <c r="AU1765" s="65" t="str">
        <f>IFERROR(__xludf.DUMMYFUNCTION("""COMPUTED_VALUE"""),"IMPORTEX EC")</f>
        <v>IMPORTEX EC</v>
      </c>
      <c r="AV1765" s="65" t="str">
        <f>IFERROR(__xludf.DUMMYFUNCTION("""COMPUTED_VALUE"""),"6414331478060")</f>
        <v>6414331478060</v>
      </c>
      <c r="AW1765" s="65">
        <f>IFERROR(__xludf.DUMMYFUNCTION("""COMPUTED_VALUE"""),5179.0)</f>
        <v>5179</v>
      </c>
      <c r="AX1765" s="65"/>
      <c r="AY1765" s="65" t="str">
        <f>IFERROR(__xludf.DUMMYFUNCTION("""COMPUTED_VALUE"""),"16/01/2026")</f>
        <v>16/01/2026</v>
      </c>
      <c r="AZ1765" s="65"/>
      <c r="BA1765" s="65"/>
    </row>
    <row r="1766">
      <c r="A1766" s="65" t="str">
        <f>IFERROR(__xludf.DUMMYFUNCTION("""COMPUTED_VALUE"""),"27-03-2026")</f>
        <v>27-03-2026</v>
      </c>
      <c r="B1766" s="65">
        <f>IFERROR(__xludf.DUMMYFUNCTION("""COMPUTED_VALUE"""),4144851.0)</f>
        <v>4144851</v>
      </c>
      <c r="C1766" s="65" t="str">
        <f>IFERROR(__xludf.DUMMYFUNCTION("""COMPUTED_VALUE"""),"13:17")</f>
        <v>13:17</v>
      </c>
      <c r="D1766" s="65" t="str">
        <f>IFERROR(__xludf.DUMMYFUNCTION("""COMPUTED_VALUE"""),"14-01-2026")</f>
        <v>14-01-2026</v>
      </c>
      <c r="E1766" s="65" t="str">
        <f>IFERROR(__xludf.DUMMYFUNCTION("""COMPUTED_VALUE"""),"Nicole Calderón")</f>
        <v>Nicole Calderón</v>
      </c>
      <c r="F1766" s="65" t="str">
        <f>IFERROR(__xludf.DUMMYFUNCTION("""COMPUTED_VALUE"""),"999974740")</f>
        <v>999974740</v>
      </c>
      <c r="G1766" s="65" t="str">
        <f>IFERROR(__xludf.DUMMYFUNCTION("""COMPUTED_VALUE"""),"nikycalderon995@gmail.com")</f>
        <v>nikycalderon995@gmail.com</v>
      </c>
      <c r="H1766" s="65"/>
      <c r="I1766" s="65"/>
      <c r="J1766" s="65" t="str">
        <f>IFERROR(__xludf.DUMMYFUNCTION("""COMPUTED_VALUE"""),"D001231746")</f>
        <v>D001231746</v>
      </c>
      <c r="K1766" s="65" t="str">
        <f>IFERROR(__xludf.DUMMYFUNCTION("""COMPUTED_VALUE"""),"ENTREGADO")</f>
        <v>ENTREGADO</v>
      </c>
      <c r="L1766" s="65" t="str">
        <f>IFERROR(__xludf.DUMMYFUNCTION("""COMPUTED_VALUE"""),"CON RECAUDO")</f>
        <v>CON RECAUDO</v>
      </c>
      <c r="M1766" s="65" t="str">
        <f>IFERROR(__xludf.DUMMYFUNCTION("""COMPUTED_VALUE"""),"PICHINCHA")</f>
        <v>PICHINCHA</v>
      </c>
      <c r="N1766" s="65" t="str">
        <f>IFERROR(__xludf.DUMMYFUNCTION("""COMPUTED_VALUE"""),"TUMBACO")</f>
        <v>TUMBACO</v>
      </c>
      <c r="O1766" s="65" t="str">
        <f>IFERROR(__xludf.DUMMYFUNCTION("""COMPUTED_VALUE"""),"Tumbaco, Juan Matheu Y Pasaje Rosales. Portal De Villavega, conjunto portal de Villavega, 50 metros más abajo de la Gasolinera más gas de Tumbaco")</f>
        <v>Tumbaco, Juan Matheu Y Pasaje Rosales. Portal De Villavega, conjunto portal de Villavega, 50 metros más abajo de la Gasolinera más gas de Tumbaco</v>
      </c>
      <c r="P1766" s="65"/>
      <c r="Q1766" s="65" t="str">
        <f>IFERROR(__xludf.DUMMYFUNCTION("""COMPUTED_VALUE"""),"GINTRACOM")</f>
        <v>GINTRACOM</v>
      </c>
      <c r="R1766" s="65">
        <f>IFERROR(__xludf.DUMMYFUNCTION("""COMPUTED_VALUE"""),20.0)</f>
        <v>20</v>
      </c>
      <c r="S1766" s="65">
        <f>IFERROR(__xludf.DUMMYFUNCTION("""COMPUTED_VALUE"""),12.93)</f>
        <v>12.93</v>
      </c>
      <c r="T1766" s="65">
        <f>IFERROR(__xludf.DUMMYFUNCTION("""COMPUTED_VALUE"""),4.72)</f>
        <v>4.72</v>
      </c>
      <c r="U1766" s="65">
        <f>IFERROR(__xludf.DUMMYFUNCTION("""COMPUTED_VALUE"""),0.0)</f>
        <v>0</v>
      </c>
      <c r="V1766" s="65">
        <f>IFERROR(__xludf.DUMMYFUNCTION("""COMPUTED_VALUE"""),0.0)</f>
        <v>0</v>
      </c>
      <c r="W1766" s="65">
        <f>IFERROR(__xludf.DUMMYFUNCTION("""COMPUTED_VALUE"""),0.0)</f>
        <v>0</v>
      </c>
      <c r="X1766" s="65">
        <f>IFERROR(__xludf.DUMMYFUNCTION("""COMPUTED_VALUE"""),2.35)</f>
        <v>2.35</v>
      </c>
      <c r="Y1766" s="65">
        <f>IFERROR(__xludf.DUMMYFUNCTION("""COMPUTED_VALUE"""),2.35)</f>
        <v>2.35</v>
      </c>
      <c r="Z1766" s="65">
        <f>IFERROR(__xludf.DUMMYFUNCTION("""COMPUTED_VALUE"""),116679.0)</f>
        <v>116679</v>
      </c>
      <c r="AA1766" s="65" t="str">
        <f>IFERROR(__xludf.DUMMYFUNCTION("""COMPUTED_VALUE"""),"AMC-2738")</f>
        <v>AMC-2738</v>
      </c>
      <c r="AB1766" s="65"/>
      <c r="AC1766" s="65" t="str">
        <f>IFERROR(__xludf.DUMMYFUNCTION("""COMPUTED_VALUE"""),"ESPONJA ANTILLUVIA DE PARABRISAS")</f>
        <v>ESPONJA ANTILLUVIA DE PARABRISAS</v>
      </c>
      <c r="AD1766" s="65"/>
      <c r="AE1766" s="65">
        <f>IFERROR(__xludf.DUMMYFUNCTION("""COMPUTED_VALUE"""),1.0)</f>
        <v>1</v>
      </c>
      <c r="AF1766" s="65"/>
      <c r="AG1766" s="65"/>
      <c r="AH1766" s="65"/>
      <c r="AI1766" s="65"/>
      <c r="AJ1766" s="65"/>
      <c r="AK1766" s="65"/>
      <c r="AL1766" s="65"/>
      <c r="AM1766" s="65"/>
      <c r="AN1766" s="65" t="str">
        <f>IFERROR(__xludf.DUMMYFUNCTION("""COMPUTED_VALUE"""),"11:46")</f>
        <v>11:46</v>
      </c>
      <c r="AO1766" s="65" t="str">
        <f>IFERROR(__xludf.DUMMYFUNCTION("""COMPUTED_VALUE"""),"19-01-2026")</f>
        <v>19-01-2026</v>
      </c>
      <c r="AP1766" s="65" t="str">
        <f>IFERROR(__xludf.DUMMYFUNCTION("""COMPUTED_VALUE"""),"ENTREGADA GINTRACOM")</f>
        <v>ENTREGADA GINTRACOM</v>
      </c>
      <c r="AQ1766" s="65" t="str">
        <f>IFERROR(__xludf.DUMMYFUNCTION("""COMPUTED_VALUE"""),"ENTREGADA GINTRACOM")</f>
        <v>ENTREGADA GINTRACOM</v>
      </c>
      <c r="AR1766" s="65"/>
      <c r="AS1766" s="65"/>
      <c r="AT1766" s="65" t="str">
        <f>IFERROR(__xludf.DUMMYFUNCTION("""COMPUTED_VALUE"""),"SHOPIFY")</f>
        <v>SHOPIFY</v>
      </c>
      <c r="AU1766" s="65" t="str">
        <f>IFERROR(__xludf.DUMMYFUNCTION("""COMPUTED_VALUE"""),"IMPORTEX EC")</f>
        <v>IMPORTEX EC</v>
      </c>
      <c r="AV1766" s="65" t="str">
        <f>IFERROR(__xludf.DUMMYFUNCTION("""COMPUTED_VALUE"""),"6414317191212")</f>
        <v>6414317191212</v>
      </c>
      <c r="AW1766" s="65">
        <f>IFERROR(__xludf.DUMMYFUNCTION("""COMPUTED_VALUE"""),5178.0)</f>
        <v>5178</v>
      </c>
      <c r="AX1766" s="65"/>
      <c r="AY1766" s="65" t="str">
        <f>IFERROR(__xludf.DUMMYFUNCTION("""COMPUTED_VALUE"""),"16/01/2026")</f>
        <v>16/01/2026</v>
      </c>
      <c r="AZ1766" s="65"/>
      <c r="BA1766" s="65"/>
    </row>
    <row r="1767">
      <c r="A1767" s="65" t="str">
        <f>IFERROR(__xludf.DUMMYFUNCTION("""COMPUTED_VALUE"""),"27-03-2026")</f>
        <v>27-03-2026</v>
      </c>
      <c r="B1767" s="65">
        <f>IFERROR(__xludf.DUMMYFUNCTION("""COMPUTED_VALUE"""),4144117.0)</f>
        <v>4144117</v>
      </c>
      <c r="C1767" s="65" t="str">
        <f>IFERROR(__xludf.DUMMYFUNCTION("""COMPUTED_VALUE"""),"12:13")</f>
        <v>12:13</v>
      </c>
      <c r="D1767" s="65" t="str">
        <f>IFERROR(__xludf.DUMMYFUNCTION("""COMPUTED_VALUE"""),"14-01-2026")</f>
        <v>14-01-2026</v>
      </c>
      <c r="E1767" s="65" t="str">
        <f>IFERROR(__xludf.DUMMYFUNCTION("""COMPUTED_VALUE"""),"Nancy Salazar")</f>
        <v>Nancy Salazar</v>
      </c>
      <c r="F1767" s="65" t="str">
        <f>IFERROR(__xludf.DUMMYFUNCTION("""COMPUTED_VALUE"""),"999131230")</f>
        <v>999131230</v>
      </c>
      <c r="G1767" s="65"/>
      <c r="H1767" s="65"/>
      <c r="I1767" s="65"/>
      <c r="J1767" s="65" t="str">
        <f>IFERROR(__xludf.DUMMYFUNCTION("""COMPUTED_VALUE"""),"D001231747")</f>
        <v>D001231747</v>
      </c>
      <c r="K1767" s="65" t="str">
        <f>IFERROR(__xludf.DUMMYFUNCTION("""COMPUTED_VALUE"""),"ENTREGADO")</f>
        <v>ENTREGADO</v>
      </c>
      <c r="L1767" s="65" t="str">
        <f>IFERROR(__xludf.DUMMYFUNCTION("""COMPUTED_VALUE"""),"CON RECAUDO")</f>
        <v>CON RECAUDO</v>
      </c>
      <c r="M1767" s="65" t="str">
        <f>IFERROR(__xludf.DUMMYFUNCTION("""COMPUTED_VALUE"""),"ORELLANA")</f>
        <v>ORELLANA</v>
      </c>
      <c r="N1767" s="65" t="str">
        <f>IFERROR(__xludf.DUMMYFUNCTION("""COMPUTED_VALUE"""),"EL COCA")</f>
        <v>EL COCA</v>
      </c>
      <c r="O1767" s="65" t="str">
        <f>IFERROR(__xludf.DUMMYFUNCTION("""COMPUTED_VALUE"""),"Calle quito y limoncocha Barrio 20 de mayo - A este número, restaurante don Quijote")</f>
        <v>Calle quito y limoncocha Barrio 20 de mayo - A este número, restaurante don Quijote</v>
      </c>
      <c r="P1767" s="65"/>
      <c r="Q1767" s="65" t="str">
        <f>IFERROR(__xludf.DUMMYFUNCTION("""COMPUTED_VALUE"""),"GINTRACOM")</f>
        <v>GINTRACOM</v>
      </c>
      <c r="R1767" s="65">
        <f>IFERROR(__xludf.DUMMYFUNCTION("""COMPUTED_VALUE"""),30.0)</f>
        <v>30</v>
      </c>
      <c r="S1767" s="65">
        <f>IFERROR(__xludf.DUMMYFUNCTION("""COMPUTED_VALUE"""),16.79)</f>
        <v>16.79</v>
      </c>
      <c r="T1767" s="65">
        <f>IFERROR(__xludf.DUMMYFUNCTION("""COMPUTED_VALUE"""),6.16)</f>
        <v>6.16</v>
      </c>
      <c r="U1767" s="65">
        <f>IFERROR(__xludf.DUMMYFUNCTION("""COMPUTED_VALUE"""),0.0)</f>
        <v>0</v>
      </c>
      <c r="V1767" s="65">
        <f>IFERROR(__xludf.DUMMYFUNCTION("""COMPUTED_VALUE"""),0.0)</f>
        <v>0</v>
      </c>
      <c r="W1767" s="65">
        <f>IFERROR(__xludf.DUMMYFUNCTION("""COMPUTED_VALUE"""),0.0)</f>
        <v>0</v>
      </c>
      <c r="X1767" s="65">
        <f>IFERROR(__xludf.DUMMYFUNCTION("""COMPUTED_VALUE"""),2.35)</f>
        <v>2.35</v>
      </c>
      <c r="Y1767" s="65">
        <f>IFERROR(__xludf.DUMMYFUNCTION("""COMPUTED_VALUE"""),7.05)</f>
        <v>7.05</v>
      </c>
      <c r="Z1767" s="65">
        <f>IFERROR(__xludf.DUMMYFUNCTION("""COMPUTED_VALUE"""),116679.0)</f>
        <v>116679</v>
      </c>
      <c r="AA1767" s="65" t="str">
        <f>IFERROR(__xludf.DUMMYFUNCTION("""COMPUTED_VALUE"""),"AMC-2738")</f>
        <v>AMC-2738</v>
      </c>
      <c r="AB1767" s="65"/>
      <c r="AC1767" s="65" t="str">
        <f>IFERROR(__xludf.DUMMYFUNCTION("""COMPUTED_VALUE"""),"ESPONJA ANTILLUVIA DE PARABRISAS")</f>
        <v>ESPONJA ANTILLUVIA DE PARABRISAS</v>
      </c>
      <c r="AD1767" s="65"/>
      <c r="AE1767" s="65">
        <f>IFERROR(__xludf.DUMMYFUNCTION("""COMPUTED_VALUE"""),3.0)</f>
        <v>3</v>
      </c>
      <c r="AF1767" s="65"/>
      <c r="AG1767" s="65"/>
      <c r="AH1767" s="65"/>
      <c r="AI1767" s="65"/>
      <c r="AJ1767" s="65"/>
      <c r="AK1767" s="65"/>
      <c r="AL1767" s="65"/>
      <c r="AM1767" s="65"/>
      <c r="AN1767" s="65" t="str">
        <f>IFERROR(__xludf.DUMMYFUNCTION("""COMPUTED_VALUE"""),"12:47")</f>
        <v>12:47</v>
      </c>
      <c r="AO1767" s="65" t="str">
        <f>IFERROR(__xludf.DUMMYFUNCTION("""COMPUTED_VALUE"""),"19-01-2026")</f>
        <v>19-01-2026</v>
      </c>
      <c r="AP1767" s="65" t="str">
        <f>IFERROR(__xludf.DUMMYFUNCTION("""COMPUTED_VALUE"""),"ENTREGADA GINTRACOM")</f>
        <v>ENTREGADA GINTRACOM</v>
      </c>
      <c r="AQ1767" s="65" t="str">
        <f>IFERROR(__xludf.DUMMYFUNCTION("""COMPUTED_VALUE"""),"ENTREGADA GINTRACOM")</f>
        <v>ENTREGADA GINTRACOM</v>
      </c>
      <c r="AR1767" s="65"/>
      <c r="AS1767" s="65"/>
      <c r="AT1767" s="65" t="str">
        <f>IFERROR(__xludf.DUMMYFUNCTION("""COMPUTED_VALUE"""),"SHOPIFY")</f>
        <v>SHOPIFY</v>
      </c>
      <c r="AU1767" s="65" t="str">
        <f>IFERROR(__xludf.DUMMYFUNCTION("""COMPUTED_VALUE"""),"IMPORTEX EC")</f>
        <v>IMPORTEX EC</v>
      </c>
      <c r="AV1767" s="65" t="str">
        <f>IFERROR(__xludf.DUMMYFUNCTION("""COMPUTED_VALUE"""),"6414144372780")</f>
        <v>6414144372780</v>
      </c>
      <c r="AW1767" s="65">
        <f>IFERROR(__xludf.DUMMYFUNCTION("""COMPUTED_VALUE"""),5177.0)</f>
        <v>5177</v>
      </c>
      <c r="AX1767" s="65"/>
      <c r="AY1767" s="65" t="str">
        <f>IFERROR(__xludf.DUMMYFUNCTION("""COMPUTED_VALUE"""),"16/01/2026")</f>
        <v>16/01/2026</v>
      </c>
      <c r="AZ1767" s="65"/>
      <c r="BA1767" s="65"/>
    </row>
    <row r="1768">
      <c r="A1768" s="65" t="str">
        <f>IFERROR(__xludf.DUMMYFUNCTION("""COMPUTED_VALUE"""),"27-03-2026")</f>
        <v>27-03-2026</v>
      </c>
      <c r="B1768" s="65">
        <f>IFERROR(__xludf.DUMMYFUNCTION("""COMPUTED_VALUE"""),4144076.0)</f>
        <v>4144076</v>
      </c>
      <c r="C1768" s="65" t="str">
        <f>IFERROR(__xludf.DUMMYFUNCTION("""COMPUTED_VALUE"""),"12:08")</f>
        <v>12:08</v>
      </c>
      <c r="D1768" s="65" t="str">
        <f>IFERROR(__xludf.DUMMYFUNCTION("""COMPUTED_VALUE"""),"14-01-2026")</f>
        <v>14-01-2026</v>
      </c>
      <c r="E1768" s="65" t="str">
        <f>IFERROR(__xludf.DUMMYFUNCTION("""COMPUTED_VALUE"""),"BeatrizSanabria Sanabria")</f>
        <v>BeatrizSanabria Sanabria</v>
      </c>
      <c r="F1768" s="65" t="str">
        <f>IFERROR(__xludf.DUMMYFUNCTION("""COMPUTED_VALUE"""),"999312782")</f>
        <v>999312782</v>
      </c>
      <c r="G1768" s="65" t="str">
        <f>IFERROR(__xludf.DUMMYFUNCTION("""COMPUTED_VALUE"""),"mbachita@yahoo.es")</f>
        <v>mbachita@yahoo.es</v>
      </c>
      <c r="H1768" s="65"/>
      <c r="I1768" s="65"/>
      <c r="J1768" s="65" t="str">
        <f>IFERROR(__xludf.DUMMYFUNCTION("""COMPUTED_VALUE"""),"D001231748")</f>
        <v>D001231748</v>
      </c>
      <c r="K1768" s="65" t="str">
        <f>IFERROR(__xludf.DUMMYFUNCTION("""COMPUTED_VALUE"""),"ENTREGADO")</f>
        <v>ENTREGADO</v>
      </c>
      <c r="L1768" s="65" t="str">
        <f>IFERROR(__xludf.DUMMYFUNCTION("""COMPUTED_VALUE"""),"CON RECAUDO")</f>
        <v>CON RECAUDO</v>
      </c>
      <c r="M1768" s="65" t="str">
        <f>IFERROR(__xludf.DUMMYFUNCTION("""COMPUTED_VALUE"""),"PICHINCHA")</f>
        <v>PICHINCHA</v>
      </c>
      <c r="N1768" s="65" t="str">
        <f>IFERROR(__xludf.DUMMYFUNCTION("""COMPUTED_VALUE"""),"CALDERON")</f>
        <v>CALDERON</v>
      </c>
      <c r="O1768" s="65" t="str">
        <f>IFERROR(__xludf.DUMMYFUNCTION("""COMPUTED_VALUE"""),"Calle Amalia Eriguen, Frente a la ferretería Padilla, Conjunto Portal de Marianitas.")</f>
        <v>Calle Amalia Eriguen, Frente a la ferretería Padilla, Conjunto Portal de Marianitas.</v>
      </c>
      <c r="P1768" s="65"/>
      <c r="Q1768" s="65" t="str">
        <f>IFERROR(__xludf.DUMMYFUNCTION("""COMPUTED_VALUE"""),"GINTRACOM")</f>
        <v>GINTRACOM</v>
      </c>
      <c r="R1768" s="65">
        <f>IFERROR(__xludf.DUMMYFUNCTION("""COMPUTED_VALUE"""),25.0)</f>
        <v>25</v>
      </c>
      <c r="S1768" s="65">
        <f>IFERROR(__xludf.DUMMYFUNCTION("""COMPUTED_VALUE"""),15.38)</f>
        <v>15.38</v>
      </c>
      <c r="T1768" s="65">
        <f>IFERROR(__xludf.DUMMYFUNCTION("""COMPUTED_VALUE"""),4.92)</f>
        <v>4.92</v>
      </c>
      <c r="U1768" s="65">
        <f>IFERROR(__xludf.DUMMYFUNCTION("""COMPUTED_VALUE"""),0.0)</f>
        <v>0</v>
      </c>
      <c r="V1768" s="65">
        <f>IFERROR(__xludf.DUMMYFUNCTION("""COMPUTED_VALUE"""),0.0)</f>
        <v>0</v>
      </c>
      <c r="W1768" s="65">
        <f>IFERROR(__xludf.DUMMYFUNCTION("""COMPUTED_VALUE"""),0.0)</f>
        <v>0</v>
      </c>
      <c r="X1768" s="65">
        <f>IFERROR(__xludf.DUMMYFUNCTION("""COMPUTED_VALUE"""),2.35)</f>
        <v>2.35</v>
      </c>
      <c r="Y1768" s="65">
        <f>IFERROR(__xludf.DUMMYFUNCTION("""COMPUTED_VALUE"""),4.7)</f>
        <v>4.7</v>
      </c>
      <c r="Z1768" s="65">
        <f>IFERROR(__xludf.DUMMYFUNCTION("""COMPUTED_VALUE"""),116679.0)</f>
        <v>116679</v>
      </c>
      <c r="AA1768" s="65" t="str">
        <f>IFERROR(__xludf.DUMMYFUNCTION("""COMPUTED_VALUE"""),"AMC-2738")</f>
        <v>AMC-2738</v>
      </c>
      <c r="AB1768" s="65"/>
      <c r="AC1768" s="65" t="str">
        <f>IFERROR(__xludf.DUMMYFUNCTION("""COMPUTED_VALUE"""),"ESPONJA ANTILLUVIA DE PARABRISAS")</f>
        <v>ESPONJA ANTILLUVIA DE PARABRISAS</v>
      </c>
      <c r="AD1768" s="65"/>
      <c r="AE1768" s="65">
        <f>IFERROR(__xludf.DUMMYFUNCTION("""COMPUTED_VALUE"""),2.0)</f>
        <v>2</v>
      </c>
      <c r="AF1768" s="65"/>
      <c r="AG1768" s="65"/>
      <c r="AH1768" s="65"/>
      <c r="AI1768" s="65"/>
      <c r="AJ1768" s="65"/>
      <c r="AK1768" s="65"/>
      <c r="AL1768" s="65"/>
      <c r="AM1768" s="65"/>
      <c r="AN1768" s="65" t="str">
        <f>IFERROR(__xludf.DUMMYFUNCTION("""COMPUTED_VALUE"""),"12:26")</f>
        <v>12:26</v>
      </c>
      <c r="AO1768" s="65" t="str">
        <f>IFERROR(__xludf.DUMMYFUNCTION("""COMPUTED_VALUE"""),"19-01-2026")</f>
        <v>19-01-2026</v>
      </c>
      <c r="AP1768" s="65" t="str">
        <f>IFERROR(__xludf.DUMMYFUNCTION("""COMPUTED_VALUE"""),"ENTREGADA GINTRACOM")</f>
        <v>ENTREGADA GINTRACOM</v>
      </c>
      <c r="AQ1768" s="65" t="str">
        <f>IFERROR(__xludf.DUMMYFUNCTION("""COMPUTED_VALUE"""),"ENTREGADA GINTRACOM")</f>
        <v>ENTREGADA GINTRACOM</v>
      </c>
      <c r="AR1768" s="65"/>
      <c r="AS1768" s="65"/>
      <c r="AT1768" s="65" t="str">
        <f>IFERROR(__xludf.DUMMYFUNCTION("""COMPUTED_VALUE"""),"SHOPIFY")</f>
        <v>SHOPIFY</v>
      </c>
      <c r="AU1768" s="65" t="str">
        <f>IFERROR(__xludf.DUMMYFUNCTION("""COMPUTED_VALUE"""),"IMPORTEX EC")</f>
        <v>IMPORTEX EC</v>
      </c>
      <c r="AV1768" s="65" t="str">
        <f>IFERROR(__xludf.DUMMYFUNCTION("""COMPUTED_VALUE"""),"6414136967212")</f>
        <v>6414136967212</v>
      </c>
      <c r="AW1768" s="65">
        <f>IFERROR(__xludf.DUMMYFUNCTION("""COMPUTED_VALUE"""),5176.0)</f>
        <v>5176</v>
      </c>
      <c r="AX1768" s="65"/>
      <c r="AY1768" s="65" t="str">
        <f>IFERROR(__xludf.DUMMYFUNCTION("""COMPUTED_VALUE"""),"16/01/2026")</f>
        <v>16/01/2026</v>
      </c>
      <c r="AZ1768" s="65"/>
      <c r="BA1768" s="65"/>
    </row>
    <row r="1769">
      <c r="A1769" s="65" t="str">
        <f>IFERROR(__xludf.DUMMYFUNCTION("""COMPUTED_VALUE"""),"27-03-2026")</f>
        <v>27-03-2026</v>
      </c>
      <c r="B1769" s="65">
        <f>IFERROR(__xludf.DUMMYFUNCTION("""COMPUTED_VALUE"""),4143986.0)</f>
        <v>4143986</v>
      </c>
      <c r="C1769" s="65" t="str">
        <f>IFERROR(__xludf.DUMMYFUNCTION("""COMPUTED_VALUE"""),"12:01")</f>
        <v>12:01</v>
      </c>
      <c r="D1769" s="65" t="str">
        <f>IFERROR(__xludf.DUMMYFUNCTION("""COMPUTED_VALUE"""),"14-01-2026")</f>
        <v>14-01-2026</v>
      </c>
      <c r="E1769" s="65" t="str">
        <f>IFERROR(__xludf.DUMMYFUNCTION("""COMPUTED_VALUE"""),"Angie Hernandez")</f>
        <v>Angie Hernandez</v>
      </c>
      <c r="F1769" s="65" t="str">
        <f>IFERROR(__xludf.DUMMYFUNCTION("""COMPUTED_VALUE"""),"959182159")</f>
        <v>959182159</v>
      </c>
      <c r="G1769" s="65" t="str">
        <f>IFERROR(__xludf.DUMMYFUNCTION("""COMPUTED_VALUE"""),"angie_hernandez97@hotmail.com")</f>
        <v>angie_hernandez97@hotmail.com</v>
      </c>
      <c r="H1769" s="65"/>
      <c r="I1769" s="65"/>
      <c r="J1769" s="65" t="str">
        <f>IFERROR(__xludf.DUMMYFUNCTION("""COMPUTED_VALUE"""),"D001251050")</f>
        <v>D001251050</v>
      </c>
      <c r="K1769" s="65" t="str">
        <f>IFERROR(__xludf.DUMMYFUNCTION("""COMPUTED_VALUE"""),"DEVOLUCION")</f>
        <v>DEVOLUCION</v>
      </c>
      <c r="L1769" s="65" t="str">
        <f>IFERROR(__xludf.DUMMYFUNCTION("""COMPUTED_VALUE"""),"CON RECAUDO")</f>
        <v>CON RECAUDO</v>
      </c>
      <c r="M1769" s="65" t="str">
        <f>IFERROR(__xludf.DUMMYFUNCTION("""COMPUTED_VALUE"""),"GUAYAS")</f>
        <v>GUAYAS</v>
      </c>
      <c r="N1769" s="65" t="str">
        <f>IFERROR(__xludf.DUMMYFUNCTION("""COMPUTED_VALUE"""),"DAULE")</f>
        <v>DAULE</v>
      </c>
      <c r="O1769" s="65" t="str">
        <f>IFERROR(__xludf.DUMMYFUNCTION("""COMPUTED_VALUE"""),"Villa Italia etapa genova mz 8 Villa 38 alado de la urbanización la Rioja Victor Urbano Caicedo Pehovaz -")</f>
        <v>Villa Italia etapa genova mz 8 Villa 38 alado de la urbanización la Rioja Victor Urbano Caicedo Pehovaz -</v>
      </c>
      <c r="P1769" s="65"/>
      <c r="Q1769" s="65" t="str">
        <f>IFERROR(__xludf.DUMMYFUNCTION("""COMPUTED_VALUE"""),"GINTRACOM")</f>
        <v>GINTRACOM</v>
      </c>
      <c r="R1769" s="65">
        <f>IFERROR(__xludf.DUMMYFUNCTION("""COMPUTED_VALUE"""),30.0)</f>
        <v>30</v>
      </c>
      <c r="S1769" s="65"/>
      <c r="T1769" s="65">
        <f>IFERROR(__xludf.DUMMYFUNCTION("""COMPUTED_VALUE"""),6.16)</f>
        <v>6.16</v>
      </c>
      <c r="U1769" s="65">
        <f>IFERROR(__xludf.DUMMYFUNCTION("""COMPUTED_VALUE"""),0.0)</f>
        <v>0</v>
      </c>
      <c r="V1769" s="65">
        <f>IFERROR(__xludf.DUMMYFUNCTION("""COMPUTED_VALUE"""),0.0)</f>
        <v>0</v>
      </c>
      <c r="W1769" s="65">
        <f>IFERROR(__xludf.DUMMYFUNCTION("""COMPUTED_VALUE"""),0.0)</f>
        <v>0</v>
      </c>
      <c r="X1769" s="65">
        <f>IFERROR(__xludf.DUMMYFUNCTION("""COMPUTED_VALUE"""),2.35)</f>
        <v>2.35</v>
      </c>
      <c r="Y1769" s="65">
        <f>IFERROR(__xludf.DUMMYFUNCTION("""COMPUTED_VALUE"""),7.05)</f>
        <v>7.05</v>
      </c>
      <c r="Z1769" s="65">
        <f>IFERROR(__xludf.DUMMYFUNCTION("""COMPUTED_VALUE"""),116679.0)</f>
        <v>116679</v>
      </c>
      <c r="AA1769" s="65" t="str">
        <f>IFERROR(__xludf.DUMMYFUNCTION("""COMPUTED_VALUE"""),"AMC-2738")</f>
        <v>AMC-2738</v>
      </c>
      <c r="AB1769" s="65"/>
      <c r="AC1769" s="65" t="str">
        <f>IFERROR(__xludf.DUMMYFUNCTION("""COMPUTED_VALUE"""),"ESPONJA ANTILLUVIA DE PARABRISAS")</f>
        <v>ESPONJA ANTILLUVIA DE PARABRISAS</v>
      </c>
      <c r="AD1769" s="65"/>
      <c r="AE1769" s="65">
        <f>IFERROR(__xludf.DUMMYFUNCTION("""COMPUTED_VALUE"""),3.0)</f>
        <v>3</v>
      </c>
      <c r="AF1769" s="65" t="str">
        <f>IFERROR(__xludf.DUMMYFUNCTION("""COMPUTED_VALUE"""),"DESTINATARIO NO CONTESTA LLAMADAS NI WHATSAPP")</f>
        <v>DESTINATARIO NO CONTESTA LLAMADAS NI WHATSAPP</v>
      </c>
      <c r="AG1769" s="65" t="str">
        <f>IFERROR(__xludf.DUMMYFUNCTION("""COMPUTED_VALUE"""),"NO")</f>
        <v>NO</v>
      </c>
      <c r="AH1769" s="65" t="str">
        <f>IFERROR(__xludf.DUMMYFUNCTION("""COMPUTED_VALUE"""),"09:00")</f>
        <v>09:00</v>
      </c>
      <c r="AI1769" s="65" t="str">
        <f>IFERROR(__xludf.DUMMYFUNCTION("""COMPUTED_VALUE"""),"03-02-2026")</f>
        <v>03-02-2026</v>
      </c>
      <c r="AJ1769" s="65"/>
      <c r="AK1769" s="65"/>
      <c r="AL1769" s="65"/>
      <c r="AM1769" s="65"/>
      <c r="AN1769" s="65" t="str">
        <f>IFERROR(__xludf.DUMMYFUNCTION("""COMPUTED_VALUE"""),"20:53")</f>
        <v>20:53</v>
      </c>
      <c r="AO1769" s="65" t="str">
        <f>IFERROR(__xludf.DUMMYFUNCTION("""COMPUTED_VALUE"""),"13-02-2026")</f>
        <v>13-02-2026</v>
      </c>
      <c r="AP1769" s="65" t="str">
        <f>IFERROR(__xludf.DUMMYFUNCTION("""COMPUTED_VALUE"""),"DEVOLUCIÓN ENTREGADA A ORIGEN")</f>
        <v>DEVOLUCIÓN ENTREGADA A ORIGEN</v>
      </c>
      <c r="AQ1769" s="65" t="str">
        <f>IFERROR(__xludf.DUMMYFUNCTION("""COMPUTED_VALUE"""),"DEVOLUCIÓN ENTREGADA A ORIGEN")</f>
        <v>DEVOLUCIÓN ENTREGADA A ORIGEN</v>
      </c>
      <c r="AR1769" s="65"/>
      <c r="AS1769" s="65"/>
      <c r="AT1769" s="65" t="str">
        <f>IFERROR(__xludf.DUMMYFUNCTION("""COMPUTED_VALUE"""),"SHOPIFY")</f>
        <v>SHOPIFY</v>
      </c>
      <c r="AU1769" s="65" t="str">
        <f>IFERROR(__xludf.DUMMYFUNCTION("""COMPUTED_VALUE"""),"IMPORTEX EC")</f>
        <v>IMPORTEX EC</v>
      </c>
      <c r="AV1769" s="65" t="str">
        <f>IFERROR(__xludf.DUMMYFUNCTION("""COMPUTED_VALUE"""),"6414120484908")</f>
        <v>6414120484908</v>
      </c>
      <c r="AW1769" s="65">
        <f>IFERROR(__xludf.DUMMYFUNCTION("""COMPUTED_VALUE"""),5175.0)</f>
        <v>5175</v>
      </c>
      <c r="AX1769" s="65"/>
      <c r="AY1769" s="65" t="str">
        <f>IFERROR(__xludf.DUMMYFUNCTION("""COMPUTED_VALUE"""),"22/01/2026")</f>
        <v>22/01/2026</v>
      </c>
      <c r="AZ1769" s="65"/>
      <c r="BA1769" s="65"/>
    </row>
    <row r="1770">
      <c r="A1770" s="65" t="str">
        <f>IFERROR(__xludf.DUMMYFUNCTION("""COMPUTED_VALUE"""),"27-03-2026")</f>
        <v>27-03-2026</v>
      </c>
      <c r="B1770" s="65">
        <f>IFERROR(__xludf.DUMMYFUNCTION("""COMPUTED_VALUE"""),4143923.0)</f>
        <v>4143923</v>
      </c>
      <c r="C1770" s="65" t="str">
        <f>IFERROR(__xludf.DUMMYFUNCTION("""COMPUTED_VALUE"""),"11:55")</f>
        <v>11:55</v>
      </c>
      <c r="D1770" s="65" t="str">
        <f>IFERROR(__xludf.DUMMYFUNCTION("""COMPUTED_VALUE"""),"14-01-2026")</f>
        <v>14-01-2026</v>
      </c>
      <c r="E1770" s="65" t="str">
        <f>IFERROR(__xludf.DUMMYFUNCTION("""COMPUTED_VALUE"""),"Jesus Orobio")</f>
        <v>Jesus Orobio</v>
      </c>
      <c r="F1770" s="65" t="str">
        <f>IFERROR(__xludf.DUMMYFUNCTION("""COMPUTED_VALUE"""),"996655928")</f>
        <v>996655928</v>
      </c>
      <c r="G1770" s="65"/>
      <c r="H1770" s="65"/>
      <c r="I1770" s="65"/>
      <c r="J1770" s="65" t="str">
        <f>IFERROR(__xludf.DUMMYFUNCTION("""COMPUTED_VALUE"""),"D001227649")</f>
        <v>D001227649</v>
      </c>
      <c r="K1770" s="65" t="str">
        <f>IFERROR(__xludf.DUMMYFUNCTION("""COMPUTED_VALUE"""),"ENTREGADO")</f>
        <v>ENTREGADO</v>
      </c>
      <c r="L1770" s="65" t="str">
        <f>IFERROR(__xludf.DUMMYFUNCTION("""COMPUTED_VALUE"""),"CON RECAUDO")</f>
        <v>CON RECAUDO</v>
      </c>
      <c r="M1770" s="65" t="str">
        <f>IFERROR(__xludf.DUMMYFUNCTION("""COMPUTED_VALUE"""),"SANTA ELENA")</f>
        <v>SANTA ELENA</v>
      </c>
      <c r="N1770" s="65" t="str">
        <f>IFERROR(__xludf.DUMMYFUNCTION("""COMPUTED_VALUE"""),"SANTA ELENA")</f>
        <v>SANTA ELENA</v>
      </c>
      <c r="O1770" s="65" t="str">
        <f>IFERROR(__xludf.DUMMYFUNCTION("""COMPUTED_VALUE"""),"Calle Guayaquil y Sucre REf: Parque sentral")</f>
        <v>Calle Guayaquil y Sucre REf: Parque sentral</v>
      </c>
      <c r="P1770" s="65"/>
      <c r="Q1770" s="65" t="str">
        <f>IFERROR(__xludf.DUMMYFUNCTION("""COMPUTED_VALUE"""),"GINTRACOM")</f>
        <v>GINTRACOM</v>
      </c>
      <c r="R1770" s="65">
        <f>IFERROR(__xludf.DUMMYFUNCTION("""COMPUTED_VALUE"""),30.0)</f>
        <v>30</v>
      </c>
      <c r="S1770" s="65">
        <f>IFERROR(__xludf.DUMMYFUNCTION("""COMPUTED_VALUE"""),16.79)</f>
        <v>16.79</v>
      </c>
      <c r="T1770" s="65">
        <f>IFERROR(__xludf.DUMMYFUNCTION("""COMPUTED_VALUE"""),6.16)</f>
        <v>6.16</v>
      </c>
      <c r="U1770" s="65">
        <f>IFERROR(__xludf.DUMMYFUNCTION("""COMPUTED_VALUE"""),0.0)</f>
        <v>0</v>
      </c>
      <c r="V1770" s="65">
        <f>IFERROR(__xludf.DUMMYFUNCTION("""COMPUTED_VALUE"""),0.0)</f>
        <v>0</v>
      </c>
      <c r="W1770" s="65">
        <f>IFERROR(__xludf.DUMMYFUNCTION("""COMPUTED_VALUE"""),0.0)</f>
        <v>0</v>
      </c>
      <c r="X1770" s="65">
        <f>IFERROR(__xludf.DUMMYFUNCTION("""COMPUTED_VALUE"""),2.35)</f>
        <v>2.35</v>
      </c>
      <c r="Y1770" s="65">
        <f>IFERROR(__xludf.DUMMYFUNCTION("""COMPUTED_VALUE"""),7.05)</f>
        <v>7.05</v>
      </c>
      <c r="Z1770" s="65">
        <f>IFERROR(__xludf.DUMMYFUNCTION("""COMPUTED_VALUE"""),116679.0)</f>
        <v>116679</v>
      </c>
      <c r="AA1770" s="65" t="str">
        <f>IFERROR(__xludf.DUMMYFUNCTION("""COMPUTED_VALUE"""),"AMC-2738")</f>
        <v>AMC-2738</v>
      </c>
      <c r="AB1770" s="65"/>
      <c r="AC1770" s="65" t="str">
        <f>IFERROR(__xludf.DUMMYFUNCTION("""COMPUTED_VALUE"""),"ESPONJA ANTILLUVIA DE PARABRISAS")</f>
        <v>ESPONJA ANTILLUVIA DE PARABRISAS</v>
      </c>
      <c r="AD1770" s="65"/>
      <c r="AE1770" s="65">
        <f>IFERROR(__xludf.DUMMYFUNCTION("""COMPUTED_VALUE"""),3.0)</f>
        <v>3</v>
      </c>
      <c r="AF1770" s="65"/>
      <c r="AG1770" s="65"/>
      <c r="AH1770" s="65"/>
      <c r="AI1770" s="65"/>
      <c r="AJ1770" s="65"/>
      <c r="AK1770" s="65"/>
      <c r="AL1770" s="65"/>
      <c r="AM1770" s="65"/>
      <c r="AN1770" s="65" t="str">
        <f>IFERROR(__xludf.DUMMYFUNCTION("""COMPUTED_VALUE"""),"10:34")</f>
        <v>10:34</v>
      </c>
      <c r="AO1770" s="65" t="str">
        <f>IFERROR(__xludf.DUMMYFUNCTION("""COMPUTED_VALUE"""),"18-01-2026")</f>
        <v>18-01-2026</v>
      </c>
      <c r="AP1770" s="65" t="str">
        <f>IFERROR(__xludf.DUMMYFUNCTION("""COMPUTED_VALUE"""),"ENTREGADA GINTRACOM")</f>
        <v>ENTREGADA GINTRACOM</v>
      </c>
      <c r="AQ1770" s="65" t="str">
        <f>IFERROR(__xludf.DUMMYFUNCTION("""COMPUTED_VALUE"""),"ENTREGADA GINTRACOM")</f>
        <v>ENTREGADA GINTRACOM</v>
      </c>
      <c r="AR1770" s="65"/>
      <c r="AS1770" s="65"/>
      <c r="AT1770" s="65"/>
      <c r="AU1770" s="65"/>
      <c r="AV1770" s="65"/>
      <c r="AW1770" s="65"/>
      <c r="AX1770" s="65"/>
      <c r="AY1770" s="65" t="str">
        <f>IFERROR(__xludf.DUMMYFUNCTION("""COMPUTED_VALUE"""),"15/01/2026")</f>
        <v>15/01/2026</v>
      </c>
      <c r="AZ1770" s="65"/>
      <c r="BA1770" s="65"/>
    </row>
    <row r="1771">
      <c r="A1771" s="65" t="str">
        <f>IFERROR(__xludf.DUMMYFUNCTION("""COMPUTED_VALUE"""),"27-03-2026")</f>
        <v>27-03-2026</v>
      </c>
      <c r="B1771" s="65">
        <f>IFERROR(__xludf.DUMMYFUNCTION("""COMPUTED_VALUE"""),4143861.0)</f>
        <v>4143861</v>
      </c>
      <c r="C1771" s="65" t="str">
        <f>IFERROR(__xludf.DUMMYFUNCTION("""COMPUTED_VALUE"""),"11:51")</f>
        <v>11:51</v>
      </c>
      <c r="D1771" s="65" t="str">
        <f>IFERROR(__xludf.DUMMYFUNCTION("""COMPUTED_VALUE"""),"14-01-2026")</f>
        <v>14-01-2026</v>
      </c>
      <c r="E1771" s="65" t="str">
        <f>IFERROR(__xludf.DUMMYFUNCTION("""COMPUTED_VALUE"""),"Miguel Avendaño")</f>
        <v>Miguel Avendaño</v>
      </c>
      <c r="F1771" s="65" t="str">
        <f>IFERROR(__xludf.DUMMYFUNCTION("""COMPUTED_VALUE"""),"981943103")</f>
        <v>981943103</v>
      </c>
      <c r="G1771" s="65" t="str">
        <f>IFERROR(__xludf.DUMMYFUNCTION("""COMPUTED_VALUE"""),"Miguel1942avendano@gmail.com")</f>
        <v>Miguel1942avendano@gmail.com</v>
      </c>
      <c r="H1771" s="65"/>
      <c r="I1771" s="65"/>
      <c r="J1771" s="65" t="str">
        <f>IFERROR(__xludf.DUMMYFUNCTION("""COMPUTED_VALUE"""),"D001231749")</f>
        <v>D001231749</v>
      </c>
      <c r="K1771" s="65" t="str">
        <f>IFERROR(__xludf.DUMMYFUNCTION("""COMPUTED_VALUE"""),"ENTREGADO")</f>
        <v>ENTREGADO</v>
      </c>
      <c r="L1771" s="65" t="str">
        <f>IFERROR(__xludf.DUMMYFUNCTION("""COMPUTED_VALUE"""),"CON RECAUDO")</f>
        <v>CON RECAUDO</v>
      </c>
      <c r="M1771" s="65" t="str">
        <f>IFERROR(__xludf.DUMMYFUNCTION("""COMPUTED_VALUE"""),"GUAYAS")</f>
        <v>GUAYAS</v>
      </c>
      <c r="N1771" s="65" t="str">
        <f>IFERROR(__xludf.DUMMYFUNCTION("""COMPUTED_VALUE"""),"NARANJITO")</f>
        <v>NARANJITO</v>
      </c>
      <c r="O1771" s="65" t="str">
        <f>IFERROR(__xludf.DUMMYFUNCTION("""COMPUTED_VALUE"""),"Av. 5 de Octubre y Simon Bolívar Frente a la UCT -")</f>
        <v>Av. 5 de Octubre y Simon Bolívar Frente a la UCT -</v>
      </c>
      <c r="P1771" s="65"/>
      <c r="Q1771" s="65" t="str">
        <f>IFERROR(__xludf.DUMMYFUNCTION("""COMPUTED_VALUE"""),"GINTRACOM")</f>
        <v>GINTRACOM</v>
      </c>
      <c r="R1771" s="65">
        <f>IFERROR(__xludf.DUMMYFUNCTION("""COMPUTED_VALUE"""),30.0)</f>
        <v>30</v>
      </c>
      <c r="S1771" s="65">
        <f>IFERROR(__xludf.DUMMYFUNCTION("""COMPUTED_VALUE"""),16.22)</f>
        <v>16.22</v>
      </c>
      <c r="T1771" s="65">
        <f>IFERROR(__xludf.DUMMYFUNCTION("""COMPUTED_VALUE"""),6.73)</f>
        <v>6.73</v>
      </c>
      <c r="U1771" s="65">
        <f>IFERROR(__xludf.DUMMYFUNCTION("""COMPUTED_VALUE"""),0.0)</f>
        <v>0</v>
      </c>
      <c r="V1771" s="65">
        <f>IFERROR(__xludf.DUMMYFUNCTION("""COMPUTED_VALUE"""),0.0)</f>
        <v>0</v>
      </c>
      <c r="W1771" s="65">
        <f>IFERROR(__xludf.DUMMYFUNCTION("""COMPUTED_VALUE"""),0.0)</f>
        <v>0</v>
      </c>
      <c r="X1771" s="65">
        <f>IFERROR(__xludf.DUMMYFUNCTION("""COMPUTED_VALUE"""),2.35)</f>
        <v>2.35</v>
      </c>
      <c r="Y1771" s="65">
        <f>IFERROR(__xludf.DUMMYFUNCTION("""COMPUTED_VALUE"""),7.05)</f>
        <v>7.05</v>
      </c>
      <c r="Z1771" s="65">
        <f>IFERROR(__xludf.DUMMYFUNCTION("""COMPUTED_VALUE"""),116679.0)</f>
        <v>116679</v>
      </c>
      <c r="AA1771" s="65" t="str">
        <f>IFERROR(__xludf.DUMMYFUNCTION("""COMPUTED_VALUE"""),"AMC-2738")</f>
        <v>AMC-2738</v>
      </c>
      <c r="AB1771" s="65"/>
      <c r="AC1771" s="65" t="str">
        <f>IFERROR(__xludf.DUMMYFUNCTION("""COMPUTED_VALUE"""),"ESPONJA ANTILLUVIA DE PARABRISAS")</f>
        <v>ESPONJA ANTILLUVIA DE PARABRISAS</v>
      </c>
      <c r="AD1771" s="65"/>
      <c r="AE1771" s="65">
        <f>IFERROR(__xludf.DUMMYFUNCTION("""COMPUTED_VALUE"""),3.0)</f>
        <v>3</v>
      </c>
      <c r="AF1771" s="65"/>
      <c r="AG1771" s="65"/>
      <c r="AH1771" s="65"/>
      <c r="AI1771" s="65"/>
      <c r="AJ1771" s="65"/>
      <c r="AK1771" s="65"/>
      <c r="AL1771" s="65"/>
      <c r="AM1771" s="65"/>
      <c r="AN1771" s="65" t="str">
        <f>IFERROR(__xludf.DUMMYFUNCTION("""COMPUTED_VALUE"""),"16:05")</f>
        <v>16:05</v>
      </c>
      <c r="AO1771" s="65" t="str">
        <f>IFERROR(__xludf.DUMMYFUNCTION("""COMPUTED_VALUE"""),"19-01-2026")</f>
        <v>19-01-2026</v>
      </c>
      <c r="AP1771" s="65" t="str">
        <f>IFERROR(__xludf.DUMMYFUNCTION("""COMPUTED_VALUE"""),"ENTREGADA GINTRACOM")</f>
        <v>ENTREGADA GINTRACOM</v>
      </c>
      <c r="AQ1771" s="65" t="str">
        <f>IFERROR(__xludf.DUMMYFUNCTION("""COMPUTED_VALUE"""),"ENTREGADA GINTRACOM")</f>
        <v>ENTREGADA GINTRACOM</v>
      </c>
      <c r="AR1771" s="65"/>
      <c r="AS1771" s="65"/>
      <c r="AT1771" s="65" t="str">
        <f>IFERROR(__xludf.DUMMYFUNCTION("""COMPUTED_VALUE"""),"SHOPIFY")</f>
        <v>SHOPIFY</v>
      </c>
      <c r="AU1771" s="65" t="str">
        <f>IFERROR(__xludf.DUMMYFUNCTION("""COMPUTED_VALUE"""),"IMPORTEX EC")</f>
        <v>IMPORTEX EC</v>
      </c>
      <c r="AV1771" s="65" t="str">
        <f>IFERROR(__xludf.DUMMYFUNCTION("""COMPUTED_VALUE"""),"6414095384620")</f>
        <v>6414095384620</v>
      </c>
      <c r="AW1771" s="65">
        <f>IFERROR(__xludf.DUMMYFUNCTION("""COMPUTED_VALUE"""),5174.0)</f>
        <v>5174</v>
      </c>
      <c r="AX1771" s="65"/>
      <c r="AY1771" s="65" t="str">
        <f>IFERROR(__xludf.DUMMYFUNCTION("""COMPUTED_VALUE"""),"16/01/2026")</f>
        <v>16/01/2026</v>
      </c>
      <c r="AZ1771" s="65"/>
      <c r="BA1771" s="65"/>
    </row>
    <row r="1772">
      <c r="A1772" s="65" t="str">
        <f>IFERROR(__xludf.DUMMYFUNCTION("""COMPUTED_VALUE"""),"27-03-2026")</f>
        <v>27-03-2026</v>
      </c>
      <c r="B1772" s="65">
        <f>IFERROR(__xludf.DUMMYFUNCTION("""COMPUTED_VALUE"""),4142922.0)</f>
        <v>4142922</v>
      </c>
      <c r="C1772" s="65" t="str">
        <f>IFERROR(__xludf.DUMMYFUNCTION("""COMPUTED_VALUE"""),"10:35")</f>
        <v>10:35</v>
      </c>
      <c r="D1772" s="65" t="str">
        <f>IFERROR(__xludf.DUMMYFUNCTION("""COMPUTED_VALUE"""),"14-01-2026")</f>
        <v>14-01-2026</v>
      </c>
      <c r="E1772" s="65" t="str">
        <f>IFERROR(__xludf.DUMMYFUNCTION("""COMPUTED_VALUE"""),"Jessica Villafuerte")</f>
        <v>Jessica Villafuerte</v>
      </c>
      <c r="F1772" s="65" t="str">
        <f>IFERROR(__xludf.DUMMYFUNCTION("""COMPUTED_VALUE"""),"981416853")</f>
        <v>981416853</v>
      </c>
      <c r="G1772" s="65" t="str">
        <f>IFERROR(__xludf.DUMMYFUNCTION("""COMPUTED_VALUE"""),"jessica_yadi86@hotmail.comde")</f>
        <v>jessica_yadi86@hotmail.comde</v>
      </c>
      <c r="H1772" s="65"/>
      <c r="I1772" s="65"/>
      <c r="J1772" s="65"/>
      <c r="K1772" s="65" t="str">
        <f>IFERROR(__xludf.DUMMYFUNCTION("""COMPUTED_VALUE"""),"PENDIENTE CONFIRMACION")</f>
        <v>PENDIENTE CONFIRMACION</v>
      </c>
      <c r="L1772" s="65" t="str">
        <f>IFERROR(__xludf.DUMMYFUNCTION("""COMPUTED_VALUE"""),"CON RECAUDO")</f>
        <v>CON RECAUDO</v>
      </c>
      <c r="M1772" s="65" t="str">
        <f>IFERROR(__xludf.DUMMYFUNCTION("""COMPUTED_VALUE"""),"SANTO DOMINGO DE LOS TSACHILAS")</f>
        <v>SANTO DOMINGO DE LOS TSACHILAS</v>
      </c>
      <c r="N1772" s="65" t="str">
        <f>IFERROR(__xludf.DUMMYFUNCTION("""COMPUTED_VALUE"""),"SANTO DOMINGO")</f>
        <v>SANTO DOMINGO</v>
      </c>
      <c r="O1772" s="65" t="str">
        <f>IFERROR(__xludf.DUMMYFUNCTION("""COMPUTED_VALUE"""),"Av. Cooperativismo diagonal a plastiFe Bay Pas Quevedo/Quito -")</f>
        <v>Av. Cooperativismo diagonal a plastiFe Bay Pas Quevedo/Quito -</v>
      </c>
      <c r="P1772" s="65"/>
      <c r="Q1772" s="65" t="str">
        <f>IFERROR(__xludf.DUMMYFUNCTION("""COMPUTED_VALUE"""),"GINTRACOM")</f>
        <v>GINTRACOM</v>
      </c>
      <c r="R1772" s="65">
        <f>IFERROR(__xludf.DUMMYFUNCTION("""COMPUTED_VALUE"""),25.0)</f>
        <v>25</v>
      </c>
      <c r="S1772" s="65"/>
      <c r="T1772" s="65">
        <f>IFERROR(__xludf.DUMMYFUNCTION("""COMPUTED_VALUE"""),5.96)</f>
        <v>5.96</v>
      </c>
      <c r="U1772" s="65">
        <f>IFERROR(__xludf.DUMMYFUNCTION("""COMPUTED_VALUE"""),0.0)</f>
        <v>0</v>
      </c>
      <c r="V1772" s="65">
        <f>IFERROR(__xludf.DUMMYFUNCTION("""COMPUTED_VALUE"""),0.0)</f>
        <v>0</v>
      </c>
      <c r="W1772" s="65">
        <f>IFERROR(__xludf.DUMMYFUNCTION("""COMPUTED_VALUE"""),0.0)</f>
        <v>0</v>
      </c>
      <c r="X1772" s="65">
        <f>IFERROR(__xludf.DUMMYFUNCTION("""COMPUTED_VALUE"""),2.35)</f>
        <v>2.35</v>
      </c>
      <c r="Y1772" s="65">
        <f>IFERROR(__xludf.DUMMYFUNCTION("""COMPUTED_VALUE"""),4.7)</f>
        <v>4.7</v>
      </c>
      <c r="Z1772" s="65">
        <f>IFERROR(__xludf.DUMMYFUNCTION("""COMPUTED_VALUE"""),116679.0)</f>
        <v>116679</v>
      </c>
      <c r="AA1772" s="65" t="str">
        <f>IFERROR(__xludf.DUMMYFUNCTION("""COMPUTED_VALUE"""),"AMC-2738")</f>
        <v>AMC-2738</v>
      </c>
      <c r="AB1772" s="65"/>
      <c r="AC1772" s="65" t="str">
        <f>IFERROR(__xludf.DUMMYFUNCTION("""COMPUTED_VALUE"""),"ESPONJA ANTILLUVIA DE PARABRISAS")</f>
        <v>ESPONJA ANTILLUVIA DE PARABRISAS</v>
      </c>
      <c r="AD1772" s="65"/>
      <c r="AE1772" s="65">
        <f>IFERROR(__xludf.DUMMYFUNCTION("""COMPUTED_VALUE"""),2.0)</f>
        <v>2</v>
      </c>
      <c r="AF1772" s="65"/>
      <c r="AG1772" s="65"/>
      <c r="AH1772" s="65"/>
      <c r="AI1772" s="65"/>
      <c r="AJ1772" s="65"/>
      <c r="AK1772" s="65"/>
      <c r="AL1772" s="65"/>
      <c r="AM1772" s="65"/>
      <c r="AN1772" s="65"/>
      <c r="AO1772" s="65"/>
      <c r="AP1772" s="65"/>
      <c r="AQ1772" s="65"/>
      <c r="AR1772" s="65"/>
      <c r="AS1772" s="65"/>
      <c r="AT1772" s="65" t="str">
        <f>IFERROR(__xludf.DUMMYFUNCTION("""COMPUTED_VALUE"""),"SHOPIFY")</f>
        <v>SHOPIFY</v>
      </c>
      <c r="AU1772" s="65" t="str">
        <f>IFERROR(__xludf.DUMMYFUNCTION("""COMPUTED_VALUE"""),"IMPORTEX EC")</f>
        <v>IMPORTEX EC</v>
      </c>
      <c r="AV1772" s="65" t="str">
        <f>IFERROR(__xludf.DUMMYFUNCTION("""COMPUTED_VALUE"""),"6411208949804")</f>
        <v>6411208949804</v>
      </c>
      <c r="AW1772" s="65">
        <f>IFERROR(__xludf.DUMMYFUNCTION("""COMPUTED_VALUE"""),5107.0)</f>
        <v>5107</v>
      </c>
      <c r="AX1772" s="65"/>
      <c r="AY1772" s="65"/>
      <c r="AZ1772" s="65"/>
      <c r="BA1772" s="65"/>
    </row>
    <row r="1773">
      <c r="A1773" s="65" t="str">
        <f>IFERROR(__xludf.DUMMYFUNCTION("""COMPUTED_VALUE"""),"27-03-2026")</f>
        <v>27-03-2026</v>
      </c>
      <c r="B1773" s="65">
        <f>IFERROR(__xludf.DUMMYFUNCTION("""COMPUTED_VALUE"""),4142850.0)</f>
        <v>4142850</v>
      </c>
      <c r="C1773" s="65" t="str">
        <f>IFERROR(__xludf.DUMMYFUNCTION("""COMPUTED_VALUE"""),"10:29")</f>
        <v>10:29</v>
      </c>
      <c r="D1773" s="65" t="str">
        <f>IFERROR(__xludf.DUMMYFUNCTION("""COMPUTED_VALUE"""),"14-01-2026")</f>
        <v>14-01-2026</v>
      </c>
      <c r="E1773" s="65" t="str">
        <f>IFERROR(__xludf.DUMMYFUNCTION("""COMPUTED_VALUE"""),"Gino Retamal")</f>
        <v>Gino Retamal</v>
      </c>
      <c r="F1773" s="65" t="str">
        <f>IFERROR(__xludf.DUMMYFUNCTION("""COMPUTED_VALUE"""),"987033735")</f>
        <v>987033735</v>
      </c>
      <c r="G1773" s="65" t="str">
        <f>IFERROR(__xludf.DUMMYFUNCTION("""COMPUTED_VALUE"""),"ginoretamal@gmail.com")</f>
        <v>ginoretamal@gmail.com</v>
      </c>
      <c r="H1773" s="65"/>
      <c r="I1773" s="65"/>
      <c r="J1773" s="65" t="str">
        <f>IFERROR(__xludf.DUMMYFUNCTION("""COMPUTED_VALUE"""),"D001231750")</f>
        <v>D001231750</v>
      </c>
      <c r="K1773" s="65" t="str">
        <f>IFERROR(__xludf.DUMMYFUNCTION("""COMPUTED_VALUE"""),"ENTREGADO")</f>
        <v>ENTREGADO</v>
      </c>
      <c r="L1773" s="65" t="str">
        <f>IFERROR(__xludf.DUMMYFUNCTION("""COMPUTED_VALUE"""),"CON RECAUDO")</f>
        <v>CON RECAUDO</v>
      </c>
      <c r="M1773" s="65" t="str">
        <f>IFERROR(__xludf.DUMMYFUNCTION("""COMPUTED_VALUE"""),"IMBABURA")</f>
        <v>IMBABURA</v>
      </c>
      <c r="N1773" s="65" t="str">
        <f>IFERROR(__xludf.DUMMYFUNCTION("""COMPUTED_VALUE"""),"IBARRA")</f>
        <v>IBARRA</v>
      </c>
      <c r="O1773" s="65" t="str">
        <f>IFERROR(__xludf.DUMMYFUNCTION("""COMPUTED_VALUE"""),"Av. Galo Plaza Lasso y Judith Granda Almeida S/n, Clínica Alfahospital, Departamento de Emergencias")</f>
        <v>Av. Galo Plaza Lasso y Judith Granda Almeida S/n, Clínica Alfahospital, Departamento de Emergencias</v>
      </c>
      <c r="P1773" s="65"/>
      <c r="Q1773" s="65" t="str">
        <f>IFERROR(__xludf.DUMMYFUNCTION("""COMPUTED_VALUE"""),"GINTRACOM")</f>
        <v>GINTRACOM</v>
      </c>
      <c r="R1773" s="65">
        <f>IFERROR(__xludf.DUMMYFUNCTION("""COMPUTED_VALUE"""),25.0)</f>
        <v>25</v>
      </c>
      <c r="S1773" s="65">
        <f>IFERROR(__xludf.DUMMYFUNCTION("""COMPUTED_VALUE"""),14.34)</f>
        <v>14.34</v>
      </c>
      <c r="T1773" s="65">
        <f>IFERROR(__xludf.DUMMYFUNCTION("""COMPUTED_VALUE"""),5.96)</f>
        <v>5.96</v>
      </c>
      <c r="U1773" s="65">
        <f>IFERROR(__xludf.DUMMYFUNCTION("""COMPUTED_VALUE"""),0.0)</f>
        <v>0</v>
      </c>
      <c r="V1773" s="65">
        <f>IFERROR(__xludf.DUMMYFUNCTION("""COMPUTED_VALUE"""),0.0)</f>
        <v>0</v>
      </c>
      <c r="W1773" s="65">
        <f>IFERROR(__xludf.DUMMYFUNCTION("""COMPUTED_VALUE"""),0.0)</f>
        <v>0</v>
      </c>
      <c r="X1773" s="65">
        <f>IFERROR(__xludf.DUMMYFUNCTION("""COMPUTED_VALUE"""),2.35)</f>
        <v>2.35</v>
      </c>
      <c r="Y1773" s="65">
        <f>IFERROR(__xludf.DUMMYFUNCTION("""COMPUTED_VALUE"""),4.7)</f>
        <v>4.7</v>
      </c>
      <c r="Z1773" s="65">
        <f>IFERROR(__xludf.DUMMYFUNCTION("""COMPUTED_VALUE"""),116679.0)</f>
        <v>116679</v>
      </c>
      <c r="AA1773" s="65" t="str">
        <f>IFERROR(__xludf.DUMMYFUNCTION("""COMPUTED_VALUE"""),"AMC-2738")</f>
        <v>AMC-2738</v>
      </c>
      <c r="AB1773" s="65"/>
      <c r="AC1773" s="65" t="str">
        <f>IFERROR(__xludf.DUMMYFUNCTION("""COMPUTED_VALUE"""),"ESPONJA ANTILLUVIA DE PARABRISAS")</f>
        <v>ESPONJA ANTILLUVIA DE PARABRISAS</v>
      </c>
      <c r="AD1773" s="65"/>
      <c r="AE1773" s="65">
        <f>IFERROR(__xludf.DUMMYFUNCTION("""COMPUTED_VALUE"""),2.0)</f>
        <v>2</v>
      </c>
      <c r="AF1773" s="65"/>
      <c r="AG1773" s="65"/>
      <c r="AH1773" s="65"/>
      <c r="AI1773" s="65"/>
      <c r="AJ1773" s="65"/>
      <c r="AK1773" s="65"/>
      <c r="AL1773" s="65"/>
      <c r="AM1773" s="65"/>
      <c r="AN1773" s="65" t="str">
        <f>IFERROR(__xludf.DUMMYFUNCTION("""COMPUTED_VALUE"""),"16:26")</f>
        <v>16:26</v>
      </c>
      <c r="AO1773" s="65" t="str">
        <f>IFERROR(__xludf.DUMMYFUNCTION("""COMPUTED_VALUE"""),"19-01-2026")</f>
        <v>19-01-2026</v>
      </c>
      <c r="AP1773" s="65" t="str">
        <f>IFERROR(__xludf.DUMMYFUNCTION("""COMPUTED_VALUE"""),"ENTREGADA GINTRACOM")</f>
        <v>ENTREGADA GINTRACOM</v>
      </c>
      <c r="AQ1773" s="65" t="str">
        <f>IFERROR(__xludf.DUMMYFUNCTION("""COMPUTED_VALUE"""),"ENTREGADA GINTRACOM")</f>
        <v>ENTREGADA GINTRACOM</v>
      </c>
      <c r="AR1773" s="65"/>
      <c r="AS1773" s="65"/>
      <c r="AT1773" s="65" t="str">
        <f>IFERROR(__xludf.DUMMYFUNCTION("""COMPUTED_VALUE"""),"SHOPIFY")</f>
        <v>SHOPIFY</v>
      </c>
      <c r="AU1773" s="65" t="str">
        <f>IFERROR(__xludf.DUMMYFUNCTION("""COMPUTED_VALUE"""),"IMPORTEX EC")</f>
        <v>IMPORTEX EC</v>
      </c>
      <c r="AV1773" s="65" t="str">
        <f>IFERROR(__xludf.DUMMYFUNCTION("""COMPUTED_VALUE"""),"6413917290540")</f>
        <v>6413917290540</v>
      </c>
      <c r="AW1773" s="65">
        <f>IFERROR(__xludf.DUMMYFUNCTION("""COMPUTED_VALUE"""),5173.0)</f>
        <v>5173</v>
      </c>
      <c r="AX1773" s="65"/>
      <c r="AY1773" s="65" t="str">
        <f>IFERROR(__xludf.DUMMYFUNCTION("""COMPUTED_VALUE"""),"16/01/2026")</f>
        <v>16/01/2026</v>
      </c>
      <c r="AZ1773" s="65"/>
      <c r="BA1773" s="65"/>
    </row>
    <row r="1774">
      <c r="A1774" s="65" t="str">
        <f>IFERROR(__xludf.DUMMYFUNCTION("""COMPUTED_VALUE"""),"27-03-2026")</f>
        <v>27-03-2026</v>
      </c>
      <c r="B1774" s="65">
        <f>IFERROR(__xludf.DUMMYFUNCTION("""COMPUTED_VALUE"""),4142773.0)</f>
        <v>4142773</v>
      </c>
      <c r="C1774" s="65" t="str">
        <f>IFERROR(__xludf.DUMMYFUNCTION("""COMPUTED_VALUE"""),"10:22")</f>
        <v>10:22</v>
      </c>
      <c r="D1774" s="65" t="str">
        <f>IFERROR(__xludf.DUMMYFUNCTION("""COMPUTED_VALUE"""),"14-01-2026")</f>
        <v>14-01-2026</v>
      </c>
      <c r="E1774" s="65" t="str">
        <f>IFERROR(__xludf.DUMMYFUNCTION("""COMPUTED_VALUE"""),"Michael Constante")</f>
        <v>Michael Constante</v>
      </c>
      <c r="F1774" s="65" t="str">
        <f>IFERROR(__xludf.DUMMYFUNCTION("""COMPUTED_VALUE"""),"939442141")</f>
        <v>939442141</v>
      </c>
      <c r="G1774" s="65" t="str">
        <f>IFERROR(__xludf.DUMMYFUNCTION("""COMPUTED_VALUE"""),"maielsebas95@gmail.com")</f>
        <v>maielsebas95@gmail.com</v>
      </c>
      <c r="H1774" s="65"/>
      <c r="I1774" s="65"/>
      <c r="J1774" s="65" t="str">
        <f>IFERROR(__xludf.DUMMYFUNCTION("""COMPUTED_VALUE"""),"D001231751")</f>
        <v>D001231751</v>
      </c>
      <c r="K1774" s="65" t="str">
        <f>IFERROR(__xludf.DUMMYFUNCTION("""COMPUTED_VALUE"""),"ENTREGADO")</f>
        <v>ENTREGADO</v>
      </c>
      <c r="L1774" s="65" t="str">
        <f>IFERROR(__xludf.DUMMYFUNCTION("""COMPUTED_VALUE"""),"CON RECAUDO")</f>
        <v>CON RECAUDO</v>
      </c>
      <c r="M1774" s="65" t="str">
        <f>IFERROR(__xludf.DUMMYFUNCTION("""COMPUTED_VALUE"""),"ESMERALDAS")</f>
        <v>ESMERALDAS</v>
      </c>
      <c r="N1774" s="65" t="str">
        <f>IFERROR(__xludf.DUMMYFUNCTION("""COMPUTED_VALUE"""),"ESMERALDAS")</f>
        <v>ESMERALDAS</v>
      </c>
      <c r="O1774" s="65" t="str">
        <f>IFERROR(__xludf.DUMMYFUNCTION("""COMPUTED_VALUE"""),"Vía Refineria Km 1.2 Arca continental, diagonal a cervecería nacional, frente a la iglesia Dios de los caminos")</f>
        <v>Vía Refineria Km 1.2 Arca continental, diagonal a cervecería nacional, frente a la iglesia Dios de los caminos</v>
      </c>
      <c r="P1774" s="65"/>
      <c r="Q1774" s="65" t="str">
        <f>IFERROR(__xludf.DUMMYFUNCTION("""COMPUTED_VALUE"""),"GINTRACOM")</f>
        <v>GINTRACOM</v>
      </c>
      <c r="R1774" s="65">
        <f>IFERROR(__xludf.DUMMYFUNCTION("""COMPUTED_VALUE"""),30.0)</f>
        <v>30</v>
      </c>
      <c r="S1774" s="65">
        <f>IFERROR(__xludf.DUMMYFUNCTION("""COMPUTED_VALUE"""),16.79)</f>
        <v>16.79</v>
      </c>
      <c r="T1774" s="65">
        <f>IFERROR(__xludf.DUMMYFUNCTION("""COMPUTED_VALUE"""),6.16)</f>
        <v>6.16</v>
      </c>
      <c r="U1774" s="65">
        <f>IFERROR(__xludf.DUMMYFUNCTION("""COMPUTED_VALUE"""),0.0)</f>
        <v>0</v>
      </c>
      <c r="V1774" s="65">
        <f>IFERROR(__xludf.DUMMYFUNCTION("""COMPUTED_VALUE"""),0.0)</f>
        <v>0</v>
      </c>
      <c r="W1774" s="65">
        <f>IFERROR(__xludf.DUMMYFUNCTION("""COMPUTED_VALUE"""),0.0)</f>
        <v>0</v>
      </c>
      <c r="X1774" s="65">
        <f>IFERROR(__xludf.DUMMYFUNCTION("""COMPUTED_VALUE"""),2.35)</f>
        <v>2.35</v>
      </c>
      <c r="Y1774" s="65">
        <f>IFERROR(__xludf.DUMMYFUNCTION("""COMPUTED_VALUE"""),7.05)</f>
        <v>7.05</v>
      </c>
      <c r="Z1774" s="65">
        <f>IFERROR(__xludf.DUMMYFUNCTION("""COMPUTED_VALUE"""),116679.0)</f>
        <v>116679</v>
      </c>
      <c r="AA1774" s="65" t="str">
        <f>IFERROR(__xludf.DUMMYFUNCTION("""COMPUTED_VALUE"""),"AMC-2738")</f>
        <v>AMC-2738</v>
      </c>
      <c r="AB1774" s="65"/>
      <c r="AC1774" s="65" t="str">
        <f>IFERROR(__xludf.DUMMYFUNCTION("""COMPUTED_VALUE"""),"ESPONJA ANTILLUVIA DE PARABRISAS")</f>
        <v>ESPONJA ANTILLUVIA DE PARABRISAS</v>
      </c>
      <c r="AD1774" s="65"/>
      <c r="AE1774" s="65">
        <f>IFERROR(__xludf.DUMMYFUNCTION("""COMPUTED_VALUE"""),3.0)</f>
        <v>3</v>
      </c>
      <c r="AF1774" s="65"/>
      <c r="AG1774" s="65"/>
      <c r="AH1774" s="65"/>
      <c r="AI1774" s="65"/>
      <c r="AJ1774" s="65"/>
      <c r="AK1774" s="65"/>
      <c r="AL1774" s="65"/>
      <c r="AM1774" s="65"/>
      <c r="AN1774" s="65" t="str">
        <f>IFERROR(__xludf.DUMMYFUNCTION("""COMPUTED_VALUE"""),"14:37")</f>
        <v>14:37</v>
      </c>
      <c r="AO1774" s="65" t="str">
        <f>IFERROR(__xludf.DUMMYFUNCTION("""COMPUTED_VALUE"""),"19-01-2026")</f>
        <v>19-01-2026</v>
      </c>
      <c r="AP1774" s="65" t="str">
        <f>IFERROR(__xludf.DUMMYFUNCTION("""COMPUTED_VALUE"""),"ENTREGADA GINTRACOM")</f>
        <v>ENTREGADA GINTRACOM</v>
      </c>
      <c r="AQ1774" s="65" t="str">
        <f>IFERROR(__xludf.DUMMYFUNCTION("""COMPUTED_VALUE"""),"ENTREGADA GINTRACOM")</f>
        <v>ENTREGADA GINTRACOM</v>
      </c>
      <c r="AR1774" s="65"/>
      <c r="AS1774" s="65"/>
      <c r="AT1774" s="65" t="str">
        <f>IFERROR(__xludf.DUMMYFUNCTION("""COMPUTED_VALUE"""),"SHOPIFY")</f>
        <v>SHOPIFY</v>
      </c>
      <c r="AU1774" s="65" t="str">
        <f>IFERROR(__xludf.DUMMYFUNCTION("""COMPUTED_VALUE"""),"IMPORTEX EC")</f>
        <v>IMPORTEX EC</v>
      </c>
      <c r="AV1774" s="65" t="str">
        <f>IFERROR(__xludf.DUMMYFUNCTION("""COMPUTED_VALUE"""),"6413904085036")</f>
        <v>6413904085036</v>
      </c>
      <c r="AW1774" s="65">
        <f>IFERROR(__xludf.DUMMYFUNCTION("""COMPUTED_VALUE"""),5172.0)</f>
        <v>5172</v>
      </c>
      <c r="AX1774" s="65"/>
      <c r="AY1774" s="65" t="str">
        <f>IFERROR(__xludf.DUMMYFUNCTION("""COMPUTED_VALUE"""),"16/01/2026")</f>
        <v>16/01/2026</v>
      </c>
      <c r="AZ1774" s="65"/>
      <c r="BA1774" s="65"/>
    </row>
    <row r="1775">
      <c r="A1775" s="65" t="str">
        <f>IFERROR(__xludf.DUMMYFUNCTION("""COMPUTED_VALUE"""),"27-03-2026")</f>
        <v>27-03-2026</v>
      </c>
      <c r="B1775" s="65">
        <f>IFERROR(__xludf.DUMMYFUNCTION("""COMPUTED_VALUE"""),4142429.0)</f>
        <v>4142429</v>
      </c>
      <c r="C1775" s="65" t="str">
        <f>IFERROR(__xludf.DUMMYFUNCTION("""COMPUTED_VALUE"""),"09:52")</f>
        <v>09:52</v>
      </c>
      <c r="D1775" s="65" t="str">
        <f>IFERROR(__xludf.DUMMYFUNCTION("""COMPUTED_VALUE"""),"14-01-2026")</f>
        <v>14-01-2026</v>
      </c>
      <c r="E1775" s="65" t="str">
        <f>IFERROR(__xludf.DUMMYFUNCTION("""COMPUTED_VALUE"""),"Nicol Garzón Cisneros")</f>
        <v>Nicol Garzón Cisneros</v>
      </c>
      <c r="F1775" s="65" t="str">
        <f>IFERROR(__xludf.DUMMYFUNCTION("""COMPUTED_VALUE"""),"962339890")</f>
        <v>962339890</v>
      </c>
      <c r="G1775" s="65"/>
      <c r="H1775" s="65"/>
      <c r="I1775" s="65"/>
      <c r="J1775" s="65" t="str">
        <f>IFERROR(__xludf.DUMMYFUNCTION("""COMPUTED_VALUE"""),"186974702")</f>
        <v>186974702</v>
      </c>
      <c r="K1775" s="65" t="str">
        <f>IFERROR(__xludf.DUMMYFUNCTION("""COMPUTED_VALUE"""),"ENTREGADO")</f>
        <v>ENTREGADO</v>
      </c>
      <c r="L1775" s="65" t="str">
        <f>IFERROR(__xludf.DUMMYFUNCTION("""COMPUTED_VALUE"""),"CON RECAUDO")</f>
        <v>CON RECAUDO</v>
      </c>
      <c r="M1775" s="65" t="str">
        <f>IFERROR(__xludf.DUMMYFUNCTION("""COMPUTED_VALUE"""),"LOS RIOS")</f>
        <v>LOS RIOS</v>
      </c>
      <c r="N1775" s="65" t="str">
        <f>IFERROR(__xludf.DUMMYFUNCTION("""COMPUTED_VALUE"""),"MATA DE CACAO")</f>
        <v>MATA DE CACAO</v>
      </c>
      <c r="O1775" s="65" t="str">
        <f>IFERROR(__xludf.DUMMYFUNCTION("""COMPUTED_VALUE"""),"retira en CS: MATA DE CACAO_MERCADO MUNICIPAL , AV LOS RIOS Y 24 DE MAYO")</f>
        <v>retira en CS: MATA DE CACAO_MERCADO MUNICIPAL , AV LOS RIOS Y 24 DE MAYO</v>
      </c>
      <c r="P1775" s="65"/>
      <c r="Q1775" s="65" t="str">
        <f>IFERROR(__xludf.DUMMYFUNCTION("""COMPUTED_VALUE"""),"SERVIENTREGA")</f>
        <v>SERVIENTREGA</v>
      </c>
      <c r="R1775" s="65">
        <f>IFERROR(__xludf.DUMMYFUNCTION("""COMPUTED_VALUE"""),20.0)</f>
        <v>20</v>
      </c>
      <c r="S1775" s="65">
        <f>IFERROR(__xludf.DUMMYFUNCTION("""COMPUTED_VALUE"""),9.98)</f>
        <v>9.98</v>
      </c>
      <c r="T1775" s="65">
        <f>IFERROR(__xludf.DUMMYFUNCTION("""COMPUTED_VALUE"""),7.67)</f>
        <v>7.67</v>
      </c>
      <c r="U1775" s="65">
        <f>IFERROR(__xludf.DUMMYFUNCTION("""COMPUTED_VALUE"""),0.0)</f>
        <v>0</v>
      </c>
      <c r="V1775" s="65">
        <f>IFERROR(__xludf.DUMMYFUNCTION("""COMPUTED_VALUE"""),0.0)</f>
        <v>0</v>
      </c>
      <c r="W1775" s="65">
        <f>IFERROR(__xludf.DUMMYFUNCTION("""COMPUTED_VALUE"""),0.0)</f>
        <v>0</v>
      </c>
      <c r="X1775" s="65">
        <f>IFERROR(__xludf.DUMMYFUNCTION("""COMPUTED_VALUE"""),2.35)</f>
        <v>2.35</v>
      </c>
      <c r="Y1775" s="65">
        <f>IFERROR(__xludf.DUMMYFUNCTION("""COMPUTED_VALUE"""),2.35)</f>
        <v>2.35</v>
      </c>
      <c r="Z1775" s="65">
        <f>IFERROR(__xludf.DUMMYFUNCTION("""COMPUTED_VALUE"""),116679.0)</f>
        <v>116679</v>
      </c>
      <c r="AA1775" s="65" t="str">
        <f>IFERROR(__xludf.DUMMYFUNCTION("""COMPUTED_VALUE"""),"AMC-2738")</f>
        <v>AMC-2738</v>
      </c>
      <c r="AB1775" s="65"/>
      <c r="AC1775" s="65" t="str">
        <f>IFERROR(__xludf.DUMMYFUNCTION("""COMPUTED_VALUE"""),"ESPONJA ANTILLUVIA DE PARABRISAS")</f>
        <v>ESPONJA ANTILLUVIA DE PARABRISAS</v>
      </c>
      <c r="AD1775" s="65"/>
      <c r="AE1775" s="65">
        <f>IFERROR(__xludf.DUMMYFUNCTION("""COMPUTED_VALUE"""),1.0)</f>
        <v>1</v>
      </c>
      <c r="AF1775" s="65" t="str">
        <f>IFERROR(__xludf.DUMMYFUNCTION("""COMPUTED_VALUE"""),"DEVOLUCION DIGITALIZADA EN CENTRO LOGISTICO")</f>
        <v>DEVOLUCION DIGITALIZADA EN CENTRO LOGISTICO</v>
      </c>
      <c r="AG1775" s="65" t="str">
        <f>IFERROR(__xludf.DUMMYFUNCTION("""COMPUTED_VALUE"""),"NO")</f>
        <v>NO</v>
      </c>
      <c r="AH1775" s="65" t="str">
        <f>IFERROR(__xludf.DUMMYFUNCTION("""COMPUTED_VALUE"""),"10:22")</f>
        <v>10:22</v>
      </c>
      <c r="AI1775" s="65" t="str">
        <f>IFERROR(__xludf.DUMMYFUNCTION("""COMPUTED_VALUE"""),"10-02-2026")</f>
        <v>10-02-2026</v>
      </c>
      <c r="AJ1775" s="65"/>
      <c r="AK1775" s="65"/>
      <c r="AL1775" s="65"/>
      <c r="AM1775" s="65"/>
      <c r="AN1775" s="65" t="str">
        <f>IFERROR(__xludf.DUMMYFUNCTION("""COMPUTED_VALUE"""),"11:42")</f>
        <v>11:42</v>
      </c>
      <c r="AO1775" s="65" t="str">
        <f>IFERROR(__xludf.DUMMYFUNCTION("""COMPUTED_VALUE"""),"11-02-2026")</f>
        <v>11-02-2026</v>
      </c>
      <c r="AP1775" s="65" t="str">
        <f>IFERROR(__xludf.DUMMYFUNCTION("""COMPUTED_VALUE"""),"CERTIFICACION DE PRUEBA DE ENTREGA")</f>
        <v>CERTIFICACION DE PRUEBA DE ENTREGA</v>
      </c>
      <c r="AQ1775" s="65" t="str">
        <f>IFERROR(__xludf.DUMMYFUNCTION("""COMPUTED_VALUE"""),"NICOL GARZON")</f>
        <v>NICOL GARZON</v>
      </c>
      <c r="AR1775" s="65"/>
      <c r="AS1775" s="65"/>
      <c r="AT1775" s="65"/>
      <c r="AU1775" s="65"/>
      <c r="AV1775" s="65"/>
      <c r="AW1775" s="65"/>
      <c r="AX1775" s="65"/>
      <c r="AY1775" s="65" t="str">
        <f>IFERROR(__xludf.DUMMYFUNCTION("""COMPUTED_VALUE"""),"14/01/2026")</f>
        <v>14/01/2026</v>
      </c>
      <c r="AZ1775" s="65"/>
      <c r="BA1775" s="65"/>
    </row>
    <row r="1776">
      <c r="A1776" s="65" t="str">
        <f>IFERROR(__xludf.DUMMYFUNCTION("""COMPUTED_VALUE"""),"27-03-2026")</f>
        <v>27-03-2026</v>
      </c>
      <c r="B1776" s="65">
        <f>IFERROR(__xludf.DUMMYFUNCTION("""COMPUTED_VALUE"""),4142426.0)</f>
        <v>4142426</v>
      </c>
      <c r="C1776" s="65" t="str">
        <f>IFERROR(__xludf.DUMMYFUNCTION("""COMPUTED_VALUE"""),"09:52")</f>
        <v>09:52</v>
      </c>
      <c r="D1776" s="65" t="str">
        <f>IFERROR(__xludf.DUMMYFUNCTION("""COMPUTED_VALUE"""),"14-01-2026")</f>
        <v>14-01-2026</v>
      </c>
      <c r="E1776" s="65" t="str">
        <f>IFERROR(__xludf.DUMMYFUNCTION("""COMPUTED_VALUE"""),"Carlos Emanuele")</f>
        <v>Carlos Emanuele</v>
      </c>
      <c r="F1776" s="65" t="str">
        <f>IFERROR(__xludf.DUMMYFUNCTION("""COMPUTED_VALUE"""),"987108437")</f>
        <v>987108437</v>
      </c>
      <c r="G1776" s="65" t="str">
        <f>IFERROR(__xludf.DUMMYFUNCTION("""COMPUTED_VALUE"""),"cfemanuel1972@yahoo.es")</f>
        <v>cfemanuel1972@yahoo.es</v>
      </c>
      <c r="H1776" s="65"/>
      <c r="I1776" s="65"/>
      <c r="J1776" s="65"/>
      <c r="K1776" s="65" t="str">
        <f>IFERROR(__xludf.DUMMYFUNCTION("""COMPUTED_VALUE"""),"CANCELADO")</f>
        <v>CANCELADO</v>
      </c>
      <c r="L1776" s="65" t="str">
        <f>IFERROR(__xludf.DUMMYFUNCTION("""COMPUTED_VALUE"""),"CON RECAUDO")</f>
        <v>CON RECAUDO</v>
      </c>
      <c r="M1776" s="65" t="str">
        <f>IFERROR(__xludf.DUMMYFUNCTION("""COMPUTED_VALUE"""),"GUAYAS")</f>
        <v>GUAYAS</v>
      </c>
      <c r="N1776" s="65" t="str">
        <f>IFERROR(__xludf.DUMMYFUNCTION("""COMPUTED_VALUE"""),"GUAYAQUIL")</f>
        <v>GUAYAQUIL</v>
      </c>
      <c r="O1776" s="65" t="str">
        <f>IFERROR(__xludf.DUMMYFUNCTION("""COMPUTED_VALUE"""),"Cdla pto azul mz d11 villa 6 Via a la costa -")</f>
        <v>Cdla pto azul mz d11 villa 6 Via a la costa -</v>
      </c>
      <c r="P1776" s="65"/>
      <c r="Q1776" s="65" t="str">
        <f>IFERROR(__xludf.DUMMYFUNCTION("""COMPUTED_VALUE"""),"GINTRACOM")</f>
        <v>GINTRACOM</v>
      </c>
      <c r="R1776" s="65">
        <f>IFERROR(__xludf.DUMMYFUNCTION("""COMPUTED_VALUE"""),25.0)</f>
        <v>25</v>
      </c>
      <c r="S1776" s="65"/>
      <c r="T1776" s="65">
        <f>IFERROR(__xludf.DUMMYFUNCTION("""COMPUTED_VALUE"""),5.96)</f>
        <v>5.96</v>
      </c>
      <c r="U1776" s="65">
        <f>IFERROR(__xludf.DUMMYFUNCTION("""COMPUTED_VALUE"""),0.0)</f>
        <v>0</v>
      </c>
      <c r="V1776" s="65">
        <f>IFERROR(__xludf.DUMMYFUNCTION("""COMPUTED_VALUE"""),0.0)</f>
        <v>0</v>
      </c>
      <c r="W1776" s="65">
        <f>IFERROR(__xludf.DUMMYFUNCTION("""COMPUTED_VALUE"""),0.0)</f>
        <v>0</v>
      </c>
      <c r="X1776" s="65">
        <f>IFERROR(__xludf.DUMMYFUNCTION("""COMPUTED_VALUE"""),2.35)</f>
        <v>2.35</v>
      </c>
      <c r="Y1776" s="65">
        <f>IFERROR(__xludf.DUMMYFUNCTION("""COMPUTED_VALUE"""),4.7)</f>
        <v>4.7</v>
      </c>
      <c r="Z1776" s="65">
        <f>IFERROR(__xludf.DUMMYFUNCTION("""COMPUTED_VALUE"""),116679.0)</f>
        <v>116679</v>
      </c>
      <c r="AA1776" s="65" t="str">
        <f>IFERROR(__xludf.DUMMYFUNCTION("""COMPUTED_VALUE"""),"AMC-2738")</f>
        <v>AMC-2738</v>
      </c>
      <c r="AB1776" s="65"/>
      <c r="AC1776" s="65" t="str">
        <f>IFERROR(__xludf.DUMMYFUNCTION("""COMPUTED_VALUE"""),"ESPONJA ANTILLUVIA DE PARABRISAS")</f>
        <v>ESPONJA ANTILLUVIA DE PARABRISAS</v>
      </c>
      <c r="AD1776" s="65"/>
      <c r="AE1776" s="65">
        <f>IFERROR(__xludf.DUMMYFUNCTION("""COMPUTED_VALUE"""),2.0)</f>
        <v>2</v>
      </c>
      <c r="AF1776" s="65"/>
      <c r="AG1776" s="65"/>
      <c r="AH1776" s="65"/>
      <c r="AI1776" s="65"/>
      <c r="AJ1776" s="65"/>
      <c r="AK1776" s="65"/>
      <c r="AL1776" s="65"/>
      <c r="AM1776" s="65"/>
      <c r="AN1776" s="65"/>
      <c r="AO1776" s="65"/>
      <c r="AP1776" s="65"/>
      <c r="AQ1776" s="65"/>
      <c r="AR1776" s="65"/>
      <c r="AS1776" s="65"/>
      <c r="AT1776" s="65" t="str">
        <f>IFERROR(__xludf.DUMMYFUNCTION("""COMPUTED_VALUE"""),"SHOPIFY")</f>
        <v>SHOPIFY</v>
      </c>
      <c r="AU1776" s="65" t="str">
        <f>IFERROR(__xludf.DUMMYFUNCTION("""COMPUTED_VALUE"""),"IMPORTEX EC")</f>
        <v>IMPORTEX EC</v>
      </c>
      <c r="AV1776" s="65" t="str">
        <f>IFERROR(__xludf.DUMMYFUNCTION("""COMPUTED_VALUE"""),"6413841399852")</f>
        <v>6413841399852</v>
      </c>
      <c r="AW1776" s="65">
        <f>IFERROR(__xludf.DUMMYFUNCTION("""COMPUTED_VALUE"""),5171.0)</f>
        <v>5171</v>
      </c>
      <c r="AX1776" s="65"/>
      <c r="AY1776" s="65"/>
      <c r="AZ1776" s="65"/>
      <c r="BA1776" s="65"/>
    </row>
    <row r="1777">
      <c r="A1777" s="65" t="str">
        <f>IFERROR(__xludf.DUMMYFUNCTION("""COMPUTED_VALUE"""),"27-03-2026")</f>
        <v>27-03-2026</v>
      </c>
      <c r="B1777" s="65">
        <f>IFERROR(__xludf.DUMMYFUNCTION("""COMPUTED_VALUE"""),4142281.0)</f>
        <v>4142281</v>
      </c>
      <c r="C1777" s="65" t="str">
        <f>IFERROR(__xludf.DUMMYFUNCTION("""COMPUTED_VALUE"""),"09:42")</f>
        <v>09:42</v>
      </c>
      <c r="D1777" s="65" t="str">
        <f>IFERROR(__xludf.DUMMYFUNCTION("""COMPUTED_VALUE"""),"14-01-2026")</f>
        <v>14-01-2026</v>
      </c>
      <c r="E1777" s="65" t="str">
        <f>IFERROR(__xludf.DUMMYFUNCTION("""COMPUTED_VALUE"""),"Cristina Sánchez Sánchez Moreno")</f>
        <v>Cristina Sánchez Sánchez Moreno</v>
      </c>
      <c r="F1777" s="65" t="str">
        <f>IFERROR(__xludf.DUMMYFUNCTION("""COMPUTED_VALUE"""),"983125694")</f>
        <v>983125694</v>
      </c>
      <c r="G1777" s="65" t="str">
        <f>IFERROR(__xludf.DUMMYFUNCTION("""COMPUTED_VALUE"""),"a.c.s.m.02@hotmail.com")</f>
        <v>a.c.s.m.02@hotmail.com</v>
      </c>
      <c r="H1777" s="65"/>
      <c r="I1777" s="65"/>
      <c r="J1777" s="65" t="str">
        <f>IFERROR(__xludf.DUMMYFUNCTION("""COMPUTED_VALUE"""),"V4002133317")</f>
        <v>V4002133317</v>
      </c>
      <c r="K1777" s="65" t="str">
        <f>IFERROR(__xludf.DUMMYFUNCTION("""COMPUTED_VALUE"""),"ENTREGADO")</f>
        <v>ENTREGADO</v>
      </c>
      <c r="L1777" s="65" t="str">
        <f>IFERROR(__xludf.DUMMYFUNCTION("""COMPUTED_VALUE"""),"CON RECAUDO")</f>
        <v>CON RECAUDO</v>
      </c>
      <c r="M1777" s="65" t="str">
        <f>IFERROR(__xludf.DUMMYFUNCTION("""COMPUTED_VALUE"""),"PICHINCHA")</f>
        <v>PICHINCHA</v>
      </c>
      <c r="N1777" s="65" t="str">
        <f>IFERROR(__xludf.DUMMYFUNCTION("""COMPUTED_VALUE"""),"AMAGUAÑA")</f>
        <v>AMAGUAÑA</v>
      </c>
      <c r="O1777" s="65" t="str">
        <f>IFERROR(__xludf.DUMMYFUNCTION("""COMPUTED_VALUE"""),"Mariana de jesus y panzaleo conjunto arupos de la hacienda etapa 4 casa 102 Sangolqui -")</f>
        <v>Mariana de jesus y panzaleo conjunto arupos de la hacienda etapa 4 casa 102 Sangolqui -</v>
      </c>
      <c r="P1777" s="65"/>
      <c r="Q1777" s="65" t="str">
        <f>IFERROR(__xludf.DUMMYFUNCTION("""COMPUTED_VALUE"""),"VELOCES")</f>
        <v>VELOCES</v>
      </c>
      <c r="R1777" s="65">
        <f>IFERROR(__xludf.DUMMYFUNCTION("""COMPUTED_VALUE"""),25.0)</f>
        <v>25</v>
      </c>
      <c r="S1777" s="65">
        <f>IFERROR(__xludf.DUMMYFUNCTION("""COMPUTED_VALUE"""),15.58)</f>
        <v>15.58</v>
      </c>
      <c r="T1777" s="65">
        <f>IFERROR(__xludf.DUMMYFUNCTION("""COMPUTED_VALUE"""),4.72)</f>
        <v>4.72</v>
      </c>
      <c r="U1777" s="65">
        <f>IFERROR(__xludf.DUMMYFUNCTION("""COMPUTED_VALUE"""),0.0)</f>
        <v>0</v>
      </c>
      <c r="V1777" s="65">
        <f>IFERROR(__xludf.DUMMYFUNCTION("""COMPUTED_VALUE"""),0.0)</f>
        <v>0</v>
      </c>
      <c r="W1777" s="65">
        <f>IFERROR(__xludf.DUMMYFUNCTION("""COMPUTED_VALUE"""),0.0)</f>
        <v>0</v>
      </c>
      <c r="X1777" s="65">
        <f>IFERROR(__xludf.DUMMYFUNCTION("""COMPUTED_VALUE"""),2.35)</f>
        <v>2.35</v>
      </c>
      <c r="Y1777" s="65">
        <f>IFERROR(__xludf.DUMMYFUNCTION("""COMPUTED_VALUE"""),4.7)</f>
        <v>4.7</v>
      </c>
      <c r="Z1777" s="65">
        <f>IFERROR(__xludf.DUMMYFUNCTION("""COMPUTED_VALUE"""),116679.0)</f>
        <v>116679</v>
      </c>
      <c r="AA1777" s="65" t="str">
        <f>IFERROR(__xludf.DUMMYFUNCTION("""COMPUTED_VALUE"""),"AMC-2738")</f>
        <v>AMC-2738</v>
      </c>
      <c r="AB1777" s="65"/>
      <c r="AC1777" s="65" t="str">
        <f>IFERROR(__xludf.DUMMYFUNCTION("""COMPUTED_VALUE"""),"ESPONJA ANTILLUVIA DE PARABRISAS")</f>
        <v>ESPONJA ANTILLUVIA DE PARABRISAS</v>
      </c>
      <c r="AD1777" s="65"/>
      <c r="AE1777" s="65">
        <f>IFERROR(__xludf.DUMMYFUNCTION("""COMPUTED_VALUE"""),2.0)</f>
        <v>2</v>
      </c>
      <c r="AF1777" s="65"/>
      <c r="AG1777" s="65"/>
      <c r="AH1777" s="65"/>
      <c r="AI1777" s="65"/>
      <c r="AJ1777" s="65"/>
      <c r="AK1777" s="65"/>
      <c r="AL1777" s="65"/>
      <c r="AM1777" s="65"/>
      <c r="AN1777" s="65"/>
      <c r="AO1777" s="65"/>
      <c r="AP1777" s="65"/>
      <c r="AQ1777" s="65"/>
      <c r="AR1777" s="65"/>
      <c r="AS1777" s="65"/>
      <c r="AT1777" s="65" t="str">
        <f>IFERROR(__xludf.DUMMYFUNCTION("""COMPUTED_VALUE"""),"SHOPIFY")</f>
        <v>SHOPIFY</v>
      </c>
      <c r="AU1777" s="65" t="str">
        <f>IFERROR(__xludf.DUMMYFUNCTION("""COMPUTED_VALUE"""),"IMPORTEX EC")</f>
        <v>IMPORTEX EC</v>
      </c>
      <c r="AV1777" s="65" t="str">
        <f>IFERROR(__xludf.DUMMYFUNCTION("""COMPUTED_VALUE"""),"6413818789932")</f>
        <v>6413818789932</v>
      </c>
      <c r="AW1777" s="65">
        <f>IFERROR(__xludf.DUMMYFUNCTION("""COMPUTED_VALUE"""),5170.0)</f>
        <v>5170</v>
      </c>
      <c r="AX1777" s="65"/>
      <c r="AY1777" s="65" t="str">
        <f>IFERROR(__xludf.DUMMYFUNCTION("""COMPUTED_VALUE"""),"16/01/2026")</f>
        <v>16/01/2026</v>
      </c>
      <c r="AZ1777" s="65"/>
      <c r="BA1777" s="65"/>
    </row>
    <row r="1778">
      <c r="A1778" s="65" t="str">
        <f>IFERROR(__xludf.DUMMYFUNCTION("""COMPUTED_VALUE"""),"27-03-2026")</f>
        <v>27-03-2026</v>
      </c>
      <c r="B1778" s="65">
        <f>IFERROR(__xludf.DUMMYFUNCTION("""COMPUTED_VALUE"""),4142192.0)</f>
        <v>4142192</v>
      </c>
      <c r="C1778" s="65" t="str">
        <f>IFERROR(__xludf.DUMMYFUNCTION("""COMPUTED_VALUE"""),"09:35")</f>
        <v>09:35</v>
      </c>
      <c r="D1778" s="65" t="str">
        <f>IFERROR(__xludf.DUMMYFUNCTION("""COMPUTED_VALUE"""),"14-01-2026")</f>
        <v>14-01-2026</v>
      </c>
      <c r="E1778" s="65" t="str">
        <f>IFERROR(__xludf.DUMMYFUNCTION("""COMPUTED_VALUE"""),"Ricardo Gabriel Moyota Barreno")</f>
        <v>Ricardo Gabriel Moyota Barreno</v>
      </c>
      <c r="F1778" s="65" t="str">
        <f>IFERROR(__xludf.DUMMYFUNCTION("""COMPUTED_VALUE"""),"979122167")</f>
        <v>979122167</v>
      </c>
      <c r="G1778" s="65" t="str">
        <f>IFERROR(__xludf.DUMMYFUNCTION("""COMPUTED_VALUE"""),"rigamoba@hotmail.com")</f>
        <v>rigamoba@hotmail.com</v>
      </c>
      <c r="H1778" s="65"/>
      <c r="I1778" s="65"/>
      <c r="J1778" s="65" t="str">
        <f>IFERROR(__xludf.DUMMYFUNCTION("""COMPUTED_VALUE"""),"D001231752")</f>
        <v>D001231752</v>
      </c>
      <c r="K1778" s="65" t="str">
        <f>IFERROR(__xludf.DUMMYFUNCTION("""COMPUTED_VALUE"""),"ENTREGADO")</f>
        <v>ENTREGADO</v>
      </c>
      <c r="L1778" s="65" t="str">
        <f>IFERROR(__xludf.DUMMYFUNCTION("""COMPUTED_VALUE"""),"CON RECAUDO")</f>
        <v>CON RECAUDO</v>
      </c>
      <c r="M1778" s="65" t="str">
        <f>IFERROR(__xludf.DUMMYFUNCTION("""COMPUTED_VALUE"""),"CHIMBORAZO")</f>
        <v>CHIMBORAZO</v>
      </c>
      <c r="N1778" s="65" t="str">
        <f>IFERROR(__xludf.DUMMYFUNCTION("""COMPUTED_VALUE"""),"RIOBAMBA")</f>
        <v>RIOBAMBA</v>
      </c>
      <c r="O1778" s="65" t="str">
        <f>IFERROR(__xludf.DUMMYFUNCTION("""COMPUTED_VALUE"""),"Primera Constituyente y Carabobo esq. La Estación - Consejo Provincial de Chimborazo Prefectura")</f>
        <v>Primera Constituyente y Carabobo esq. La Estación - Consejo Provincial de Chimborazo Prefectura</v>
      </c>
      <c r="P1778" s="65"/>
      <c r="Q1778" s="65" t="str">
        <f>IFERROR(__xludf.DUMMYFUNCTION("""COMPUTED_VALUE"""),"GINTRACOM")</f>
        <v>GINTRACOM</v>
      </c>
      <c r="R1778" s="65">
        <f>IFERROR(__xludf.DUMMYFUNCTION("""COMPUTED_VALUE"""),30.0)</f>
        <v>30</v>
      </c>
      <c r="S1778" s="65">
        <f>IFERROR(__xludf.DUMMYFUNCTION("""COMPUTED_VALUE"""),16.79)</f>
        <v>16.79</v>
      </c>
      <c r="T1778" s="65">
        <f>IFERROR(__xludf.DUMMYFUNCTION("""COMPUTED_VALUE"""),6.16)</f>
        <v>6.16</v>
      </c>
      <c r="U1778" s="65">
        <f>IFERROR(__xludf.DUMMYFUNCTION("""COMPUTED_VALUE"""),0.0)</f>
        <v>0</v>
      </c>
      <c r="V1778" s="65">
        <f>IFERROR(__xludf.DUMMYFUNCTION("""COMPUTED_VALUE"""),0.0)</f>
        <v>0</v>
      </c>
      <c r="W1778" s="65">
        <f>IFERROR(__xludf.DUMMYFUNCTION("""COMPUTED_VALUE"""),0.0)</f>
        <v>0</v>
      </c>
      <c r="X1778" s="65">
        <f>IFERROR(__xludf.DUMMYFUNCTION("""COMPUTED_VALUE"""),2.35)</f>
        <v>2.35</v>
      </c>
      <c r="Y1778" s="65">
        <f>IFERROR(__xludf.DUMMYFUNCTION("""COMPUTED_VALUE"""),7.05)</f>
        <v>7.05</v>
      </c>
      <c r="Z1778" s="65">
        <f>IFERROR(__xludf.DUMMYFUNCTION("""COMPUTED_VALUE"""),116679.0)</f>
        <v>116679</v>
      </c>
      <c r="AA1778" s="65" t="str">
        <f>IFERROR(__xludf.DUMMYFUNCTION("""COMPUTED_VALUE"""),"AMC-2738")</f>
        <v>AMC-2738</v>
      </c>
      <c r="AB1778" s="65"/>
      <c r="AC1778" s="65" t="str">
        <f>IFERROR(__xludf.DUMMYFUNCTION("""COMPUTED_VALUE"""),"ESPONJA ANTILLUVIA DE PARABRISAS")</f>
        <v>ESPONJA ANTILLUVIA DE PARABRISAS</v>
      </c>
      <c r="AD1778" s="65"/>
      <c r="AE1778" s="65">
        <f>IFERROR(__xludf.DUMMYFUNCTION("""COMPUTED_VALUE"""),3.0)</f>
        <v>3</v>
      </c>
      <c r="AF1778" s="65"/>
      <c r="AG1778" s="65"/>
      <c r="AH1778" s="65"/>
      <c r="AI1778" s="65"/>
      <c r="AJ1778" s="65"/>
      <c r="AK1778" s="65"/>
      <c r="AL1778" s="65"/>
      <c r="AM1778" s="65"/>
      <c r="AN1778" s="65" t="str">
        <f>IFERROR(__xludf.DUMMYFUNCTION("""COMPUTED_VALUE"""),"09:35")</f>
        <v>09:35</v>
      </c>
      <c r="AO1778" s="65" t="str">
        <f>IFERROR(__xludf.DUMMYFUNCTION("""COMPUTED_VALUE"""),"19-01-2026")</f>
        <v>19-01-2026</v>
      </c>
      <c r="AP1778" s="65" t="str">
        <f>IFERROR(__xludf.DUMMYFUNCTION("""COMPUTED_VALUE"""),"ENTREGADA GINTRACOM")</f>
        <v>ENTREGADA GINTRACOM</v>
      </c>
      <c r="AQ1778" s="65" t="str">
        <f>IFERROR(__xludf.DUMMYFUNCTION("""COMPUTED_VALUE"""),"ENTREGADA GINTRACOM")</f>
        <v>ENTREGADA GINTRACOM</v>
      </c>
      <c r="AR1778" s="65"/>
      <c r="AS1778" s="65"/>
      <c r="AT1778" s="65" t="str">
        <f>IFERROR(__xludf.DUMMYFUNCTION("""COMPUTED_VALUE"""),"SHOPIFY")</f>
        <v>SHOPIFY</v>
      </c>
      <c r="AU1778" s="65" t="str">
        <f>IFERROR(__xludf.DUMMYFUNCTION("""COMPUTED_VALUE"""),"IMPORTEX EC")</f>
        <v>IMPORTEX EC</v>
      </c>
      <c r="AV1778" s="65" t="str">
        <f>IFERROR(__xludf.DUMMYFUNCTION("""COMPUTED_VALUE"""),"6413806862380")</f>
        <v>6413806862380</v>
      </c>
      <c r="AW1778" s="65">
        <f>IFERROR(__xludf.DUMMYFUNCTION("""COMPUTED_VALUE"""),5169.0)</f>
        <v>5169</v>
      </c>
      <c r="AX1778" s="65"/>
      <c r="AY1778" s="65" t="str">
        <f>IFERROR(__xludf.DUMMYFUNCTION("""COMPUTED_VALUE"""),"16/01/2026")</f>
        <v>16/01/2026</v>
      </c>
      <c r="AZ1778" s="65"/>
      <c r="BA1778" s="65"/>
    </row>
    <row r="1779">
      <c r="A1779" s="65" t="str">
        <f>IFERROR(__xludf.DUMMYFUNCTION("""COMPUTED_VALUE"""),"27-03-2026")</f>
        <v>27-03-2026</v>
      </c>
      <c r="B1779" s="65">
        <f>IFERROR(__xludf.DUMMYFUNCTION("""COMPUTED_VALUE"""),4142111.0)</f>
        <v>4142111</v>
      </c>
      <c r="C1779" s="65" t="str">
        <f>IFERROR(__xludf.DUMMYFUNCTION("""COMPUTED_VALUE"""),"09:28")</f>
        <v>09:28</v>
      </c>
      <c r="D1779" s="65" t="str">
        <f>IFERROR(__xludf.DUMMYFUNCTION("""COMPUTED_VALUE"""),"14-01-2026")</f>
        <v>14-01-2026</v>
      </c>
      <c r="E1779" s="65" t="str">
        <f>IFERROR(__xludf.DUMMYFUNCTION("""COMPUTED_VALUE"""),"Maurico Ruiz")</f>
        <v>Maurico Ruiz</v>
      </c>
      <c r="F1779" s="65" t="str">
        <f>IFERROR(__xludf.DUMMYFUNCTION("""COMPUTED_VALUE"""),"996232711")</f>
        <v>996232711</v>
      </c>
      <c r="G1779" s="65"/>
      <c r="H1779" s="65"/>
      <c r="I1779" s="65"/>
      <c r="J1779" s="65" t="str">
        <f>IFERROR(__xludf.DUMMYFUNCTION("""COMPUTED_VALUE"""),"D001231753")</f>
        <v>D001231753</v>
      </c>
      <c r="K1779" s="65" t="str">
        <f>IFERROR(__xludf.DUMMYFUNCTION("""COMPUTED_VALUE"""),"ENTREGADO")</f>
        <v>ENTREGADO</v>
      </c>
      <c r="L1779" s="65" t="str">
        <f>IFERROR(__xludf.DUMMYFUNCTION("""COMPUTED_VALUE"""),"CON RECAUDO")</f>
        <v>CON RECAUDO</v>
      </c>
      <c r="M1779" s="65" t="str">
        <f>IFERROR(__xludf.DUMMYFUNCTION("""COMPUTED_VALUE"""),"MORONA SANTIAGO")</f>
        <v>MORONA SANTIAGO</v>
      </c>
      <c r="N1779" s="65" t="str">
        <f>IFERROR(__xludf.DUMMYFUNCTION("""COMPUTED_VALUE"""),"MACAS")</f>
        <v>MACAS</v>
      </c>
      <c r="O1779" s="65" t="str">
        <f>IFERROR(__xludf.DUMMYFUNCTION("""COMPUTED_VALUE"""),"Rumiñahui La 27 -")</f>
        <v>Rumiñahui La 27 -</v>
      </c>
      <c r="P1779" s="65"/>
      <c r="Q1779" s="65" t="str">
        <f>IFERROR(__xludf.DUMMYFUNCTION("""COMPUTED_VALUE"""),"GINTRACOM")</f>
        <v>GINTRACOM</v>
      </c>
      <c r="R1779" s="65">
        <f>IFERROR(__xludf.DUMMYFUNCTION("""COMPUTED_VALUE"""),30.0)</f>
        <v>30</v>
      </c>
      <c r="S1779" s="65">
        <f>IFERROR(__xludf.DUMMYFUNCTION("""COMPUTED_VALUE"""),16.79)</f>
        <v>16.79</v>
      </c>
      <c r="T1779" s="65">
        <f>IFERROR(__xludf.DUMMYFUNCTION("""COMPUTED_VALUE"""),6.16)</f>
        <v>6.16</v>
      </c>
      <c r="U1779" s="65">
        <f>IFERROR(__xludf.DUMMYFUNCTION("""COMPUTED_VALUE"""),0.0)</f>
        <v>0</v>
      </c>
      <c r="V1779" s="65">
        <f>IFERROR(__xludf.DUMMYFUNCTION("""COMPUTED_VALUE"""),0.0)</f>
        <v>0</v>
      </c>
      <c r="W1779" s="65">
        <f>IFERROR(__xludf.DUMMYFUNCTION("""COMPUTED_VALUE"""),0.0)</f>
        <v>0</v>
      </c>
      <c r="X1779" s="65">
        <f>IFERROR(__xludf.DUMMYFUNCTION("""COMPUTED_VALUE"""),2.35)</f>
        <v>2.35</v>
      </c>
      <c r="Y1779" s="65">
        <f>IFERROR(__xludf.DUMMYFUNCTION("""COMPUTED_VALUE"""),7.05)</f>
        <v>7.05</v>
      </c>
      <c r="Z1779" s="65">
        <f>IFERROR(__xludf.DUMMYFUNCTION("""COMPUTED_VALUE"""),116679.0)</f>
        <v>116679</v>
      </c>
      <c r="AA1779" s="65" t="str">
        <f>IFERROR(__xludf.DUMMYFUNCTION("""COMPUTED_VALUE"""),"AMC-2738")</f>
        <v>AMC-2738</v>
      </c>
      <c r="AB1779" s="65"/>
      <c r="AC1779" s="65" t="str">
        <f>IFERROR(__xludf.DUMMYFUNCTION("""COMPUTED_VALUE"""),"ESPONJA ANTILLUVIA DE PARABRISAS")</f>
        <v>ESPONJA ANTILLUVIA DE PARABRISAS</v>
      </c>
      <c r="AD1779" s="65"/>
      <c r="AE1779" s="65">
        <f>IFERROR(__xludf.DUMMYFUNCTION("""COMPUTED_VALUE"""),3.0)</f>
        <v>3</v>
      </c>
      <c r="AF1779" s="65"/>
      <c r="AG1779" s="65"/>
      <c r="AH1779" s="65"/>
      <c r="AI1779" s="65"/>
      <c r="AJ1779" s="65"/>
      <c r="AK1779" s="65"/>
      <c r="AL1779" s="65"/>
      <c r="AM1779" s="65"/>
      <c r="AN1779" s="65" t="str">
        <f>IFERROR(__xludf.DUMMYFUNCTION("""COMPUTED_VALUE"""),"01:31")</f>
        <v>01:31</v>
      </c>
      <c r="AO1779" s="65" t="str">
        <f>IFERROR(__xludf.DUMMYFUNCTION("""COMPUTED_VALUE"""),"21-01-2026")</f>
        <v>21-01-2026</v>
      </c>
      <c r="AP1779" s="65" t="str">
        <f>IFERROR(__xludf.DUMMYFUNCTION("""COMPUTED_VALUE"""),"ENTREGADA GINTRACOM")</f>
        <v>ENTREGADA GINTRACOM</v>
      </c>
      <c r="AQ1779" s="65" t="str">
        <f>IFERROR(__xludf.DUMMYFUNCTION("""COMPUTED_VALUE"""),"ENTREGADA GINTRACOM")</f>
        <v>ENTREGADA GINTRACOM</v>
      </c>
      <c r="AR1779" s="65"/>
      <c r="AS1779" s="65"/>
      <c r="AT1779" s="65" t="str">
        <f>IFERROR(__xludf.DUMMYFUNCTION("""COMPUTED_VALUE"""),"SHOPIFY")</f>
        <v>SHOPIFY</v>
      </c>
      <c r="AU1779" s="65" t="str">
        <f>IFERROR(__xludf.DUMMYFUNCTION("""COMPUTED_VALUE"""),"IMPORTEX EC")</f>
        <v>IMPORTEX EC</v>
      </c>
      <c r="AV1779" s="65" t="str">
        <f>IFERROR(__xludf.DUMMYFUNCTION("""COMPUTED_VALUE"""),"6413795688492")</f>
        <v>6413795688492</v>
      </c>
      <c r="AW1779" s="65">
        <f>IFERROR(__xludf.DUMMYFUNCTION("""COMPUTED_VALUE"""),5168.0)</f>
        <v>5168</v>
      </c>
      <c r="AX1779" s="65"/>
      <c r="AY1779" s="65" t="str">
        <f>IFERROR(__xludf.DUMMYFUNCTION("""COMPUTED_VALUE"""),"16/01/2026")</f>
        <v>16/01/2026</v>
      </c>
      <c r="AZ1779" s="65"/>
      <c r="BA1779" s="65"/>
    </row>
    <row r="1780">
      <c r="A1780" s="65" t="str">
        <f>IFERROR(__xludf.DUMMYFUNCTION("""COMPUTED_VALUE"""),"27-03-2026")</f>
        <v>27-03-2026</v>
      </c>
      <c r="B1780" s="65">
        <f>IFERROR(__xludf.DUMMYFUNCTION("""COMPUTED_VALUE"""),4141967.0)</f>
        <v>4141967</v>
      </c>
      <c r="C1780" s="65" t="str">
        <f>IFERROR(__xludf.DUMMYFUNCTION("""COMPUTED_VALUE"""),"09:17")</f>
        <v>09:17</v>
      </c>
      <c r="D1780" s="65" t="str">
        <f>IFERROR(__xludf.DUMMYFUNCTION("""COMPUTED_VALUE"""),"14-01-2026")</f>
        <v>14-01-2026</v>
      </c>
      <c r="E1780" s="65" t="str">
        <f>IFERROR(__xludf.DUMMYFUNCTION("""COMPUTED_VALUE"""),"Eloy Cardenas")</f>
        <v>Eloy Cardenas</v>
      </c>
      <c r="F1780" s="65" t="str">
        <f>IFERROR(__xludf.DUMMYFUNCTION("""COMPUTED_VALUE"""),"979756863")</f>
        <v>979756863</v>
      </c>
      <c r="G1780" s="65"/>
      <c r="H1780" s="65"/>
      <c r="I1780" s="65"/>
      <c r="J1780" s="65" t="str">
        <f>IFERROR(__xludf.DUMMYFUNCTION("""COMPUTED_VALUE"""),"D001223597")</f>
        <v>D001223597</v>
      </c>
      <c r="K1780" s="65" t="str">
        <f>IFERROR(__xludf.DUMMYFUNCTION("""COMPUTED_VALUE"""),"DEVOLUCION")</f>
        <v>DEVOLUCION</v>
      </c>
      <c r="L1780" s="65" t="str">
        <f>IFERROR(__xludf.DUMMYFUNCTION("""COMPUTED_VALUE"""),"CON RECAUDO")</f>
        <v>CON RECAUDO</v>
      </c>
      <c r="M1780" s="65" t="str">
        <f>IFERROR(__xludf.DUMMYFUNCTION("""COMPUTED_VALUE"""),"EL ORO")</f>
        <v>EL ORO</v>
      </c>
      <c r="N1780" s="65" t="str">
        <f>IFERROR(__xludf.DUMMYFUNCTION("""COMPUTED_VALUE"""),"MACHALA")</f>
        <v>MACHALA</v>
      </c>
      <c r="O1780" s="65" t="str">
        <f>IFERROR(__xludf.DUMMYFUNCTION("""COMPUTED_VALUE"""),"Urb. Celesia. H5 Calle Uruguay entre Brasil y Bolivia Sector Las Crucitas")</f>
        <v>Urb. Celesia. H5 Calle Uruguay entre Brasil y Bolivia Sector Las Crucitas</v>
      </c>
      <c r="P1780" s="65"/>
      <c r="Q1780" s="65" t="str">
        <f>IFERROR(__xludf.DUMMYFUNCTION("""COMPUTED_VALUE"""),"GINTRACOM")</f>
        <v>GINTRACOM</v>
      </c>
      <c r="R1780" s="65">
        <f>IFERROR(__xludf.DUMMYFUNCTION("""COMPUTED_VALUE"""),22.0)</f>
        <v>22</v>
      </c>
      <c r="S1780" s="65"/>
      <c r="T1780" s="65">
        <f>IFERROR(__xludf.DUMMYFUNCTION("""COMPUTED_VALUE"""),5.84)</f>
        <v>5.84</v>
      </c>
      <c r="U1780" s="65">
        <f>IFERROR(__xludf.DUMMYFUNCTION("""COMPUTED_VALUE"""),0.0)</f>
        <v>0</v>
      </c>
      <c r="V1780" s="65">
        <f>IFERROR(__xludf.DUMMYFUNCTION("""COMPUTED_VALUE"""),0.0)</f>
        <v>0</v>
      </c>
      <c r="W1780" s="65">
        <f>IFERROR(__xludf.DUMMYFUNCTION("""COMPUTED_VALUE"""),0.0)</f>
        <v>0</v>
      </c>
      <c r="X1780" s="65">
        <f>IFERROR(__xludf.DUMMYFUNCTION("""COMPUTED_VALUE"""),2.48)</f>
        <v>2.48</v>
      </c>
      <c r="Y1780" s="65">
        <f>IFERROR(__xludf.DUMMYFUNCTION("""COMPUTED_VALUE"""),4.96)</f>
        <v>4.96</v>
      </c>
      <c r="Z1780" s="65">
        <f>IFERROR(__xludf.DUMMYFUNCTION("""COMPUTED_VALUE"""),123503.0)</f>
        <v>123503</v>
      </c>
      <c r="AA1780" s="65"/>
      <c r="AB1780" s="65"/>
      <c r="AC1780" s="65" t="str">
        <f>IFERROR(__xludf.DUMMYFUNCTION("""COMPUTED_VALUE"""),"POLVO PARA DESTAPAR CAÑERIAS")</f>
        <v>POLVO PARA DESTAPAR CAÑERIAS</v>
      </c>
      <c r="AD1780" s="65"/>
      <c r="AE1780" s="65">
        <f>IFERROR(__xludf.DUMMYFUNCTION("""COMPUTED_VALUE"""),2.0)</f>
        <v>2</v>
      </c>
      <c r="AF1780" s="65" t="str">
        <f>IFERROR(__xludf.DUMMYFUNCTION("""COMPUTED_VALUE"""),"DIRECCIÓN DE DESTINARIO INCOMPLETA O INCORRECTA Y NO HAY RESPUESTA DEL CLIENTE")</f>
        <v>DIRECCIÓN DE DESTINARIO INCOMPLETA O INCORRECTA Y NO HAY RESPUESTA DEL CLIENTE</v>
      </c>
      <c r="AG1780" s="65" t="str">
        <f>IFERROR(__xludf.DUMMYFUNCTION("""COMPUTED_VALUE"""),"NO")</f>
        <v>NO</v>
      </c>
      <c r="AH1780" s="65" t="str">
        <f>IFERROR(__xludf.DUMMYFUNCTION("""COMPUTED_VALUE"""),"18:05")</f>
        <v>18:05</v>
      </c>
      <c r="AI1780" s="65" t="str">
        <f>IFERROR(__xludf.DUMMYFUNCTION("""COMPUTED_VALUE"""),"26-01-2026")</f>
        <v>26-01-2026</v>
      </c>
      <c r="AJ1780" s="65"/>
      <c r="AK1780" s="65"/>
      <c r="AL1780" s="65"/>
      <c r="AM1780" s="65"/>
      <c r="AN1780" s="65" t="str">
        <f>IFERROR(__xludf.DUMMYFUNCTION("""COMPUTED_VALUE"""),"16:18")</f>
        <v>16:18</v>
      </c>
      <c r="AO1780" s="65" t="str">
        <f>IFERROR(__xludf.DUMMYFUNCTION("""COMPUTED_VALUE"""),"03-02-2026")</f>
        <v>03-02-2026</v>
      </c>
      <c r="AP1780" s="65" t="str">
        <f>IFERROR(__xludf.DUMMYFUNCTION("""COMPUTED_VALUE"""),"DEV CONFIRMADA POR BODEGA")</f>
        <v>DEV CONFIRMADA POR BODEGA</v>
      </c>
      <c r="AQ1780" s="65"/>
      <c r="AR1780" s="65" t="str">
        <f>IFERROR(__xludf.DUMMYFUNCTION("""COMPUTED_VALUE"""),"Gestionado por: NARANJO IMPORTADORA, email:pablojnaranjo@gmail.com, total de productos en la orden: 1")</f>
        <v>Gestionado por: NARANJO IMPORTADORA, email:pablojnaranjo@gmail.com, total de productos en la orden: 1</v>
      </c>
      <c r="AS1780" s="65"/>
      <c r="AT1780" s="65"/>
      <c r="AU1780" s="65"/>
      <c r="AV1780" s="65"/>
      <c r="AW1780" s="65"/>
      <c r="AX1780" s="65"/>
      <c r="AY1780" s="65" t="str">
        <f>IFERROR(__xludf.DUMMYFUNCTION("""COMPUTED_VALUE"""),"14/01/2026")</f>
        <v>14/01/2026</v>
      </c>
      <c r="AZ1780" s="65"/>
      <c r="BA1780" s="65"/>
    </row>
    <row r="1781">
      <c r="A1781" s="65" t="str">
        <f>IFERROR(__xludf.DUMMYFUNCTION("""COMPUTED_VALUE"""),"27-03-2026")</f>
        <v>27-03-2026</v>
      </c>
      <c r="B1781" s="65">
        <f>IFERROR(__xludf.DUMMYFUNCTION("""COMPUTED_VALUE"""),4141740.0)</f>
        <v>4141740</v>
      </c>
      <c r="C1781" s="65" t="str">
        <f>IFERROR(__xludf.DUMMYFUNCTION("""COMPUTED_VALUE"""),"09:01")</f>
        <v>09:01</v>
      </c>
      <c r="D1781" s="65" t="str">
        <f>IFERROR(__xludf.DUMMYFUNCTION("""COMPUTED_VALUE"""),"14-01-2026")</f>
        <v>14-01-2026</v>
      </c>
      <c r="E1781" s="65" t="str">
        <f>IFERROR(__xludf.DUMMYFUNCTION("""COMPUTED_VALUE"""),"Humberto Bladimir")</f>
        <v>Humberto Bladimir</v>
      </c>
      <c r="F1781" s="65" t="str">
        <f>IFERROR(__xludf.DUMMYFUNCTION("""COMPUTED_VALUE"""),"993700809")</f>
        <v>993700809</v>
      </c>
      <c r="G1781" s="65"/>
      <c r="H1781" s="65"/>
      <c r="I1781" s="65"/>
      <c r="J1781" s="65"/>
      <c r="K1781" s="65" t="str">
        <f>IFERROR(__xludf.DUMMYFUNCTION("""COMPUTED_VALUE"""),"PENDIENTE CONFIRMACION")</f>
        <v>PENDIENTE CONFIRMACION</v>
      </c>
      <c r="L1781" s="65" t="str">
        <f>IFERROR(__xludf.DUMMYFUNCTION("""COMPUTED_VALUE"""),"CON RECAUDO")</f>
        <v>CON RECAUDO</v>
      </c>
      <c r="M1781" s="65" t="str">
        <f>IFERROR(__xludf.DUMMYFUNCTION("""COMPUTED_VALUE"""),"SUCUMBIOS")</f>
        <v>SUCUMBIOS</v>
      </c>
      <c r="N1781" s="65" t="str">
        <f>IFERROR(__xludf.DUMMYFUNCTION("""COMPUTED_VALUE"""),"LUMBAQUI")</f>
        <v>LUMBAQUI</v>
      </c>
      <c r="O1781" s="65" t="str">
        <f>IFERROR(__xludf.DUMMYFUNCTION("""COMPUTED_VALUE"""),"RETIRA EN CS : LUMBAQUI_PRINCIPAL")</f>
        <v>RETIRA EN CS : LUMBAQUI_PRINCIPAL</v>
      </c>
      <c r="P1781" s="65"/>
      <c r="Q1781" s="65" t="str">
        <f>IFERROR(__xludf.DUMMYFUNCTION("""COMPUTED_VALUE"""),"SERVIENTREGA")</f>
        <v>SERVIENTREGA</v>
      </c>
      <c r="R1781" s="65">
        <f>IFERROR(__xludf.DUMMYFUNCTION("""COMPUTED_VALUE"""),25.0)</f>
        <v>25</v>
      </c>
      <c r="S1781" s="65"/>
      <c r="T1781" s="65">
        <f>IFERROR(__xludf.DUMMYFUNCTION("""COMPUTED_VALUE"""),7.75)</f>
        <v>7.75</v>
      </c>
      <c r="U1781" s="65">
        <f>IFERROR(__xludf.DUMMYFUNCTION("""COMPUTED_VALUE"""),0.0)</f>
        <v>0</v>
      </c>
      <c r="V1781" s="65">
        <f>IFERROR(__xludf.DUMMYFUNCTION("""COMPUTED_VALUE"""),0.0)</f>
        <v>0</v>
      </c>
      <c r="W1781" s="65">
        <f>IFERROR(__xludf.DUMMYFUNCTION("""COMPUTED_VALUE"""),0.0)</f>
        <v>0</v>
      </c>
      <c r="X1781" s="65">
        <f>IFERROR(__xludf.DUMMYFUNCTION("""COMPUTED_VALUE"""),2.35)</f>
        <v>2.35</v>
      </c>
      <c r="Y1781" s="65">
        <f>IFERROR(__xludf.DUMMYFUNCTION("""COMPUTED_VALUE"""),4.7)</f>
        <v>4.7</v>
      </c>
      <c r="Z1781" s="65">
        <f>IFERROR(__xludf.DUMMYFUNCTION("""COMPUTED_VALUE"""),116679.0)</f>
        <v>116679</v>
      </c>
      <c r="AA1781" s="65" t="str">
        <f>IFERROR(__xludf.DUMMYFUNCTION("""COMPUTED_VALUE"""),"AMC-2738")</f>
        <v>AMC-2738</v>
      </c>
      <c r="AB1781" s="65"/>
      <c r="AC1781" s="65" t="str">
        <f>IFERROR(__xludf.DUMMYFUNCTION("""COMPUTED_VALUE"""),"ESPONJA ANTILLUVIA DE PARABRISAS")</f>
        <v>ESPONJA ANTILLUVIA DE PARABRISAS</v>
      </c>
      <c r="AD1781" s="65"/>
      <c r="AE1781" s="65">
        <f>IFERROR(__xludf.DUMMYFUNCTION("""COMPUTED_VALUE"""),2.0)</f>
        <v>2</v>
      </c>
      <c r="AF1781" s="65"/>
      <c r="AG1781" s="65"/>
      <c r="AH1781" s="65"/>
      <c r="AI1781" s="65"/>
      <c r="AJ1781" s="65"/>
      <c r="AK1781" s="65"/>
      <c r="AL1781" s="65"/>
      <c r="AM1781" s="65"/>
      <c r="AN1781" s="65"/>
      <c r="AO1781" s="65"/>
      <c r="AP1781" s="65"/>
      <c r="AQ1781" s="65"/>
      <c r="AR1781" s="65"/>
      <c r="AS1781" s="65"/>
      <c r="AT1781" s="65"/>
      <c r="AU1781" s="65"/>
      <c r="AV1781" s="65"/>
      <c r="AW1781" s="65"/>
      <c r="AX1781" s="65"/>
      <c r="AY1781" s="65"/>
      <c r="AZ1781" s="65"/>
      <c r="BA1781" s="65"/>
    </row>
    <row r="1782">
      <c r="A1782" s="65" t="str">
        <f>IFERROR(__xludf.DUMMYFUNCTION("""COMPUTED_VALUE"""),"27-03-2026")</f>
        <v>27-03-2026</v>
      </c>
      <c r="B1782" s="65">
        <f>IFERROR(__xludf.DUMMYFUNCTION("""COMPUTED_VALUE"""),4141731.0)</f>
        <v>4141731</v>
      </c>
      <c r="C1782" s="65" t="str">
        <f>IFERROR(__xludf.DUMMYFUNCTION("""COMPUTED_VALUE"""),"09:00")</f>
        <v>09:00</v>
      </c>
      <c r="D1782" s="65" t="str">
        <f>IFERROR(__xludf.DUMMYFUNCTION("""COMPUTED_VALUE"""),"14-01-2026")</f>
        <v>14-01-2026</v>
      </c>
      <c r="E1782" s="65" t="str">
        <f>IFERROR(__xludf.DUMMYFUNCTION("""COMPUTED_VALUE"""),"Edwin Rodolfo Ayala cordova")</f>
        <v>Edwin Rodolfo Ayala cordova</v>
      </c>
      <c r="F1782" s="65" t="str">
        <f>IFERROR(__xludf.DUMMYFUNCTION("""COMPUTED_VALUE"""),"987926239")</f>
        <v>987926239</v>
      </c>
      <c r="G1782" s="65" t="str">
        <f>IFERROR(__xludf.DUMMYFUNCTION("""COMPUTED_VALUE"""),"rodolfoayalacordova@gmail.comn")</f>
        <v>rodolfoayalacordova@gmail.comn</v>
      </c>
      <c r="H1782" s="65"/>
      <c r="I1782" s="65"/>
      <c r="J1782" s="65" t="str">
        <f>IFERROR(__xludf.DUMMYFUNCTION("""COMPUTED_VALUE"""),"D001231754")</f>
        <v>D001231754</v>
      </c>
      <c r="K1782" s="65" t="str">
        <f>IFERROR(__xludf.DUMMYFUNCTION("""COMPUTED_VALUE"""),"DEVOLUCION")</f>
        <v>DEVOLUCION</v>
      </c>
      <c r="L1782" s="65" t="str">
        <f>IFERROR(__xludf.DUMMYFUNCTION("""COMPUTED_VALUE"""),"CON RECAUDO")</f>
        <v>CON RECAUDO</v>
      </c>
      <c r="M1782" s="65" t="str">
        <f>IFERROR(__xludf.DUMMYFUNCTION("""COMPUTED_VALUE"""),"EL ORO")</f>
        <v>EL ORO</v>
      </c>
      <c r="N1782" s="65" t="str">
        <f>IFERROR(__xludf.DUMMYFUNCTION("""COMPUTED_VALUE"""),"SANTA ROSA")</f>
        <v>SANTA ROSA</v>
      </c>
      <c r="O1782" s="65" t="str">
        <f>IFERROR(__xludf.DUMMYFUNCTION("""COMPUTED_VALUE"""),"Via bellavista y primero de agosto Sector bellavista frente a la finca sra Ayala -")</f>
        <v>Via bellavista y primero de agosto Sector bellavista frente a la finca sra Ayala -</v>
      </c>
      <c r="P1782" s="65"/>
      <c r="Q1782" s="65" t="str">
        <f>IFERROR(__xludf.DUMMYFUNCTION("""COMPUTED_VALUE"""),"GINTRACOM")</f>
        <v>GINTRACOM</v>
      </c>
      <c r="R1782" s="65">
        <f>IFERROR(__xludf.DUMMYFUNCTION("""COMPUTED_VALUE"""),30.0)</f>
        <v>30</v>
      </c>
      <c r="S1782" s="65"/>
      <c r="T1782" s="65">
        <f>IFERROR(__xludf.DUMMYFUNCTION("""COMPUTED_VALUE"""),6.16)</f>
        <v>6.16</v>
      </c>
      <c r="U1782" s="65">
        <f>IFERROR(__xludf.DUMMYFUNCTION("""COMPUTED_VALUE"""),0.0)</f>
        <v>0</v>
      </c>
      <c r="V1782" s="65">
        <f>IFERROR(__xludf.DUMMYFUNCTION("""COMPUTED_VALUE"""),0.0)</f>
        <v>0</v>
      </c>
      <c r="W1782" s="65">
        <f>IFERROR(__xludf.DUMMYFUNCTION("""COMPUTED_VALUE"""),0.0)</f>
        <v>0</v>
      </c>
      <c r="X1782" s="65">
        <f>IFERROR(__xludf.DUMMYFUNCTION("""COMPUTED_VALUE"""),2.35)</f>
        <v>2.35</v>
      </c>
      <c r="Y1782" s="65">
        <f>IFERROR(__xludf.DUMMYFUNCTION("""COMPUTED_VALUE"""),7.05)</f>
        <v>7.05</v>
      </c>
      <c r="Z1782" s="65">
        <f>IFERROR(__xludf.DUMMYFUNCTION("""COMPUTED_VALUE"""),116679.0)</f>
        <v>116679</v>
      </c>
      <c r="AA1782" s="65" t="str">
        <f>IFERROR(__xludf.DUMMYFUNCTION("""COMPUTED_VALUE"""),"AMC-2738")</f>
        <v>AMC-2738</v>
      </c>
      <c r="AB1782" s="65"/>
      <c r="AC1782" s="65" t="str">
        <f>IFERROR(__xludf.DUMMYFUNCTION("""COMPUTED_VALUE"""),"ESPONJA ANTILLUVIA DE PARABRISAS")</f>
        <v>ESPONJA ANTILLUVIA DE PARABRISAS</v>
      </c>
      <c r="AD1782" s="65"/>
      <c r="AE1782" s="65">
        <f>IFERROR(__xludf.DUMMYFUNCTION("""COMPUTED_VALUE"""),3.0)</f>
        <v>3</v>
      </c>
      <c r="AF1782" s="65" t="str">
        <f>IFERROR(__xludf.DUMMYFUNCTION("""COMPUTED_VALUE"""),"DESTINATARIO NO CONTESTA LLAMADAS NI WHATSAPP")</f>
        <v>DESTINATARIO NO CONTESTA LLAMADAS NI WHATSAPP</v>
      </c>
      <c r="AG1782" s="65" t="str">
        <f>IFERROR(__xludf.DUMMYFUNCTION("""COMPUTED_VALUE"""),"NO")</f>
        <v>NO</v>
      </c>
      <c r="AH1782" s="65" t="str">
        <f>IFERROR(__xludf.DUMMYFUNCTION("""COMPUTED_VALUE"""),"09:00")</f>
        <v>09:00</v>
      </c>
      <c r="AI1782" s="65" t="str">
        <f>IFERROR(__xludf.DUMMYFUNCTION("""COMPUTED_VALUE"""),"28-01-2026")</f>
        <v>28-01-2026</v>
      </c>
      <c r="AJ1782" s="65"/>
      <c r="AK1782" s="65"/>
      <c r="AL1782" s="65"/>
      <c r="AM1782" s="65"/>
      <c r="AN1782" s="65" t="str">
        <f>IFERROR(__xludf.DUMMYFUNCTION("""COMPUTED_VALUE"""),"10:53")</f>
        <v>10:53</v>
      </c>
      <c r="AO1782" s="65" t="str">
        <f>IFERROR(__xludf.DUMMYFUNCTION("""COMPUTED_VALUE"""),"10-02-2026")</f>
        <v>10-02-2026</v>
      </c>
      <c r="AP1782" s="65" t="str">
        <f>IFERROR(__xludf.DUMMYFUNCTION("""COMPUTED_VALUE"""),"DEVOLUCIÓN ENTREGADA A ORIGEN")</f>
        <v>DEVOLUCIÓN ENTREGADA A ORIGEN</v>
      </c>
      <c r="AQ1782" s="65" t="str">
        <f>IFERROR(__xludf.DUMMYFUNCTION("""COMPUTED_VALUE"""),"DEVOLUCIÓN ENTREGADA A ORIGEN")</f>
        <v>DEVOLUCIÓN ENTREGADA A ORIGEN</v>
      </c>
      <c r="AR1782" s="65"/>
      <c r="AS1782" s="65"/>
      <c r="AT1782" s="65" t="str">
        <f>IFERROR(__xludf.DUMMYFUNCTION("""COMPUTED_VALUE"""),"SHOPIFY")</f>
        <v>SHOPIFY</v>
      </c>
      <c r="AU1782" s="65" t="str">
        <f>IFERROR(__xludf.DUMMYFUNCTION("""COMPUTED_VALUE"""),"IMPORTEX EC")</f>
        <v>IMPORTEX EC</v>
      </c>
      <c r="AV1782" s="65" t="str">
        <f>IFERROR(__xludf.DUMMYFUNCTION("""COMPUTED_VALUE"""),"6413750730796")</f>
        <v>6413750730796</v>
      </c>
      <c r="AW1782" s="65">
        <f>IFERROR(__xludf.DUMMYFUNCTION("""COMPUTED_VALUE"""),5167.0)</f>
        <v>5167</v>
      </c>
      <c r="AX1782" s="65"/>
      <c r="AY1782" s="65" t="str">
        <f>IFERROR(__xludf.DUMMYFUNCTION("""COMPUTED_VALUE"""),"16/01/2026")</f>
        <v>16/01/2026</v>
      </c>
      <c r="AZ1782" s="65"/>
      <c r="BA1782" s="65"/>
    </row>
    <row r="1783">
      <c r="A1783" s="65" t="str">
        <f>IFERROR(__xludf.DUMMYFUNCTION("""COMPUTED_VALUE"""),"27-03-2026")</f>
        <v>27-03-2026</v>
      </c>
      <c r="B1783" s="65">
        <f>IFERROR(__xludf.DUMMYFUNCTION("""COMPUTED_VALUE"""),4141718.0)</f>
        <v>4141718</v>
      </c>
      <c r="C1783" s="65" t="str">
        <f>IFERROR(__xludf.DUMMYFUNCTION("""COMPUTED_VALUE"""),"08:59")</f>
        <v>08:59</v>
      </c>
      <c r="D1783" s="65" t="str">
        <f>IFERROR(__xludf.DUMMYFUNCTION("""COMPUTED_VALUE"""),"14-01-2026")</f>
        <v>14-01-2026</v>
      </c>
      <c r="E1783" s="65" t="str">
        <f>IFERROR(__xludf.DUMMYFUNCTION("""COMPUTED_VALUE"""),"Andrea Almeida Cordero")</f>
        <v>Andrea Almeida Cordero</v>
      </c>
      <c r="F1783" s="65" t="str">
        <f>IFERROR(__xludf.DUMMYFUNCTION("""COMPUTED_VALUE"""),"993429997")</f>
        <v>993429997</v>
      </c>
      <c r="G1783" s="65" t="str">
        <f>IFERROR(__xludf.DUMMYFUNCTION("""COMPUTED_VALUE"""),"andrea.almeida.cordero@gmail.com")</f>
        <v>andrea.almeida.cordero@gmail.com</v>
      </c>
      <c r="H1783" s="65"/>
      <c r="I1783" s="65"/>
      <c r="J1783" s="65" t="str">
        <f>IFERROR(__xludf.DUMMYFUNCTION("""COMPUTED_VALUE"""),"D001251053")</f>
        <v>D001251053</v>
      </c>
      <c r="K1783" s="65" t="str">
        <f>IFERROR(__xludf.DUMMYFUNCTION("""COMPUTED_VALUE"""),"ENTREGADO")</f>
        <v>ENTREGADO</v>
      </c>
      <c r="L1783" s="65" t="str">
        <f>IFERROR(__xludf.DUMMYFUNCTION("""COMPUTED_VALUE"""),"CON RECAUDO")</f>
        <v>CON RECAUDO</v>
      </c>
      <c r="M1783" s="65" t="str">
        <f>IFERROR(__xludf.DUMMYFUNCTION("""COMPUTED_VALUE"""),"PICHINCHA")</f>
        <v>PICHINCHA</v>
      </c>
      <c r="N1783" s="65" t="str">
        <f>IFERROR(__xludf.DUMMYFUNCTION("""COMPUTED_VALUE"""),"QUITO")</f>
        <v>QUITO</v>
      </c>
      <c r="O1783" s="65" t="str">
        <f>IFERROR(__xludf.DUMMYFUNCTION("""COMPUTED_VALUE"""),"Calle del Ruiseñor E1-62, Urbanizacion Valle 2 y 3, Familia Almeida Dandoy El Reservorio - Cumbaya -")</f>
        <v>Calle del Ruiseñor E1-62, Urbanizacion Valle 2 y 3, Familia Almeida Dandoy El Reservorio - Cumbaya -</v>
      </c>
      <c r="P1783" s="65"/>
      <c r="Q1783" s="65" t="str">
        <f>IFERROR(__xludf.DUMMYFUNCTION("""COMPUTED_VALUE"""),"GINTRACOM")</f>
        <v>GINTRACOM</v>
      </c>
      <c r="R1783" s="65">
        <f>IFERROR(__xludf.DUMMYFUNCTION("""COMPUTED_VALUE"""),30.0)</f>
        <v>30</v>
      </c>
      <c r="S1783" s="65">
        <f>IFERROR(__xludf.DUMMYFUNCTION("""COMPUTED_VALUE"""),18.4)</f>
        <v>18.4</v>
      </c>
      <c r="T1783" s="65">
        <f>IFERROR(__xludf.DUMMYFUNCTION("""COMPUTED_VALUE"""),4.55)</f>
        <v>4.55</v>
      </c>
      <c r="U1783" s="65">
        <f>IFERROR(__xludf.DUMMYFUNCTION("""COMPUTED_VALUE"""),0.0)</f>
        <v>0</v>
      </c>
      <c r="V1783" s="65">
        <f>IFERROR(__xludf.DUMMYFUNCTION("""COMPUTED_VALUE"""),0.0)</f>
        <v>0</v>
      </c>
      <c r="W1783" s="65">
        <f>IFERROR(__xludf.DUMMYFUNCTION("""COMPUTED_VALUE"""),0.0)</f>
        <v>0</v>
      </c>
      <c r="X1783" s="65">
        <f>IFERROR(__xludf.DUMMYFUNCTION("""COMPUTED_VALUE"""),2.35)</f>
        <v>2.35</v>
      </c>
      <c r="Y1783" s="65">
        <f>IFERROR(__xludf.DUMMYFUNCTION("""COMPUTED_VALUE"""),7.05)</f>
        <v>7.05</v>
      </c>
      <c r="Z1783" s="65">
        <f>IFERROR(__xludf.DUMMYFUNCTION("""COMPUTED_VALUE"""),116679.0)</f>
        <v>116679</v>
      </c>
      <c r="AA1783" s="65" t="str">
        <f>IFERROR(__xludf.DUMMYFUNCTION("""COMPUTED_VALUE"""),"AMC-2738")</f>
        <v>AMC-2738</v>
      </c>
      <c r="AB1783" s="65"/>
      <c r="AC1783" s="65" t="str">
        <f>IFERROR(__xludf.DUMMYFUNCTION("""COMPUTED_VALUE"""),"ESPONJA ANTILLUVIA DE PARABRISAS")</f>
        <v>ESPONJA ANTILLUVIA DE PARABRISAS</v>
      </c>
      <c r="AD1783" s="65"/>
      <c r="AE1783" s="65">
        <f>IFERROR(__xludf.DUMMYFUNCTION("""COMPUTED_VALUE"""),3.0)</f>
        <v>3</v>
      </c>
      <c r="AF1783" s="65"/>
      <c r="AG1783" s="65"/>
      <c r="AH1783" s="65"/>
      <c r="AI1783" s="65"/>
      <c r="AJ1783" s="65"/>
      <c r="AK1783" s="65"/>
      <c r="AL1783" s="65"/>
      <c r="AM1783" s="65"/>
      <c r="AN1783" s="65" t="str">
        <f>IFERROR(__xludf.DUMMYFUNCTION("""COMPUTED_VALUE"""),"14:17")</f>
        <v>14:17</v>
      </c>
      <c r="AO1783" s="65" t="str">
        <f>IFERROR(__xludf.DUMMYFUNCTION("""COMPUTED_VALUE"""),"27-01-2026")</f>
        <v>27-01-2026</v>
      </c>
      <c r="AP1783" s="65" t="str">
        <f>IFERROR(__xludf.DUMMYFUNCTION("""COMPUTED_VALUE"""),"ENTREGADA GINTRACOM")</f>
        <v>ENTREGADA GINTRACOM</v>
      </c>
      <c r="AQ1783" s="65" t="str">
        <f>IFERROR(__xludf.DUMMYFUNCTION("""COMPUTED_VALUE"""),"ENTREGADA GINTRACOM")</f>
        <v>ENTREGADA GINTRACOM</v>
      </c>
      <c r="AR1783" s="65"/>
      <c r="AS1783" s="65"/>
      <c r="AT1783" s="65" t="str">
        <f>IFERROR(__xludf.DUMMYFUNCTION("""COMPUTED_VALUE"""),"SHOPIFY")</f>
        <v>SHOPIFY</v>
      </c>
      <c r="AU1783" s="65" t="str">
        <f>IFERROR(__xludf.DUMMYFUNCTION("""COMPUTED_VALUE"""),"IMPORTEX EC")</f>
        <v>IMPORTEX EC</v>
      </c>
      <c r="AV1783" s="65" t="str">
        <f>IFERROR(__xludf.DUMMYFUNCTION("""COMPUTED_VALUE"""),"6413747683372")</f>
        <v>6413747683372</v>
      </c>
      <c r="AW1783" s="65">
        <f>IFERROR(__xludf.DUMMYFUNCTION("""COMPUTED_VALUE"""),5166.0)</f>
        <v>5166</v>
      </c>
      <c r="AX1783" s="65"/>
      <c r="AY1783" s="65" t="str">
        <f>IFERROR(__xludf.DUMMYFUNCTION("""COMPUTED_VALUE"""),"22/01/2026")</f>
        <v>22/01/2026</v>
      </c>
      <c r="AZ1783" s="65"/>
      <c r="BA1783" s="65"/>
    </row>
    <row r="1784">
      <c r="A1784" s="65" t="str">
        <f>IFERROR(__xludf.DUMMYFUNCTION("""COMPUTED_VALUE"""),"27-03-2026")</f>
        <v>27-03-2026</v>
      </c>
      <c r="B1784" s="65">
        <f>IFERROR(__xludf.DUMMYFUNCTION("""COMPUTED_VALUE"""),4141549.0)</f>
        <v>4141549</v>
      </c>
      <c r="C1784" s="65" t="str">
        <f>IFERROR(__xludf.DUMMYFUNCTION("""COMPUTED_VALUE"""),"08:45")</f>
        <v>08:45</v>
      </c>
      <c r="D1784" s="65" t="str">
        <f>IFERROR(__xludf.DUMMYFUNCTION("""COMPUTED_VALUE"""),"14-01-2026")</f>
        <v>14-01-2026</v>
      </c>
      <c r="E1784" s="65" t="str">
        <f>IFERROR(__xludf.DUMMYFUNCTION("""COMPUTED_VALUE"""),"Jorge Rodas")</f>
        <v>Jorge Rodas</v>
      </c>
      <c r="F1784" s="65" t="str">
        <f>IFERROR(__xludf.DUMMYFUNCTION("""COMPUTED_VALUE"""),"984431767")</f>
        <v>984431767</v>
      </c>
      <c r="G1784" s="65" t="str">
        <f>IFERROR(__xludf.DUMMYFUNCTION("""COMPUTED_VALUE"""),"cadd49@gmail.com")</f>
        <v>cadd49@gmail.com</v>
      </c>
      <c r="H1784" s="65"/>
      <c r="I1784" s="65"/>
      <c r="J1784" s="65" t="str">
        <f>IFERROR(__xludf.DUMMYFUNCTION("""COMPUTED_VALUE"""),"D001231755")</f>
        <v>D001231755</v>
      </c>
      <c r="K1784" s="65" t="str">
        <f>IFERROR(__xludf.DUMMYFUNCTION("""COMPUTED_VALUE"""),"ENTREGADO")</f>
        <v>ENTREGADO</v>
      </c>
      <c r="L1784" s="65" t="str">
        <f>IFERROR(__xludf.DUMMYFUNCTION("""COMPUTED_VALUE"""),"CON RECAUDO")</f>
        <v>CON RECAUDO</v>
      </c>
      <c r="M1784" s="65" t="str">
        <f>IFERROR(__xludf.DUMMYFUNCTION("""COMPUTED_VALUE"""),"TUNGURAHUA")</f>
        <v>TUNGURAHUA</v>
      </c>
      <c r="N1784" s="65" t="str">
        <f>IFERROR(__xludf.DUMMYFUNCTION("""COMPUTED_VALUE"""),"AMBATO")</f>
        <v>AMBATO</v>
      </c>
      <c r="O1784" s="65" t="str">
        <f>IFERROR(__xludf.DUMMYFUNCTION("""COMPUTED_VALUE"""),"Calle Cañaris 339 entre Quis Quis y Huayna Capac Ciudadela San Antonio -")</f>
        <v>Calle Cañaris 339 entre Quis Quis y Huayna Capac Ciudadela San Antonio -</v>
      </c>
      <c r="P1784" s="65"/>
      <c r="Q1784" s="65" t="str">
        <f>IFERROR(__xludf.DUMMYFUNCTION("""COMPUTED_VALUE"""),"GINTRACOM")</f>
        <v>GINTRACOM</v>
      </c>
      <c r="R1784" s="65">
        <f>IFERROR(__xludf.DUMMYFUNCTION("""COMPUTED_VALUE"""),30.0)</f>
        <v>30</v>
      </c>
      <c r="S1784" s="65">
        <f>IFERROR(__xludf.DUMMYFUNCTION("""COMPUTED_VALUE"""),16.79)</f>
        <v>16.79</v>
      </c>
      <c r="T1784" s="65">
        <f>IFERROR(__xludf.DUMMYFUNCTION("""COMPUTED_VALUE"""),6.16)</f>
        <v>6.16</v>
      </c>
      <c r="U1784" s="65">
        <f>IFERROR(__xludf.DUMMYFUNCTION("""COMPUTED_VALUE"""),0.0)</f>
        <v>0</v>
      </c>
      <c r="V1784" s="65">
        <f>IFERROR(__xludf.DUMMYFUNCTION("""COMPUTED_VALUE"""),0.0)</f>
        <v>0</v>
      </c>
      <c r="W1784" s="65">
        <f>IFERROR(__xludf.DUMMYFUNCTION("""COMPUTED_VALUE"""),0.0)</f>
        <v>0</v>
      </c>
      <c r="X1784" s="65">
        <f>IFERROR(__xludf.DUMMYFUNCTION("""COMPUTED_VALUE"""),2.35)</f>
        <v>2.35</v>
      </c>
      <c r="Y1784" s="65">
        <f>IFERROR(__xludf.DUMMYFUNCTION("""COMPUTED_VALUE"""),7.05)</f>
        <v>7.05</v>
      </c>
      <c r="Z1784" s="65">
        <f>IFERROR(__xludf.DUMMYFUNCTION("""COMPUTED_VALUE"""),116679.0)</f>
        <v>116679</v>
      </c>
      <c r="AA1784" s="65" t="str">
        <f>IFERROR(__xludf.DUMMYFUNCTION("""COMPUTED_VALUE"""),"AMC-2738")</f>
        <v>AMC-2738</v>
      </c>
      <c r="AB1784" s="65"/>
      <c r="AC1784" s="65" t="str">
        <f>IFERROR(__xludf.DUMMYFUNCTION("""COMPUTED_VALUE"""),"ESPONJA ANTILLUVIA DE PARABRISAS")</f>
        <v>ESPONJA ANTILLUVIA DE PARABRISAS</v>
      </c>
      <c r="AD1784" s="65"/>
      <c r="AE1784" s="65">
        <f>IFERROR(__xludf.DUMMYFUNCTION("""COMPUTED_VALUE"""),3.0)</f>
        <v>3</v>
      </c>
      <c r="AF1784" s="65"/>
      <c r="AG1784" s="65"/>
      <c r="AH1784" s="65"/>
      <c r="AI1784" s="65"/>
      <c r="AJ1784" s="65"/>
      <c r="AK1784" s="65"/>
      <c r="AL1784" s="65"/>
      <c r="AM1784" s="65"/>
      <c r="AN1784" s="65" t="str">
        <f>IFERROR(__xludf.DUMMYFUNCTION("""COMPUTED_VALUE"""),"10:32")</f>
        <v>10:32</v>
      </c>
      <c r="AO1784" s="65" t="str">
        <f>IFERROR(__xludf.DUMMYFUNCTION("""COMPUTED_VALUE"""),"19-01-2026")</f>
        <v>19-01-2026</v>
      </c>
      <c r="AP1784" s="65" t="str">
        <f>IFERROR(__xludf.DUMMYFUNCTION("""COMPUTED_VALUE"""),"ENTREGADA GINTRACOM")</f>
        <v>ENTREGADA GINTRACOM</v>
      </c>
      <c r="AQ1784" s="65" t="str">
        <f>IFERROR(__xludf.DUMMYFUNCTION("""COMPUTED_VALUE"""),"ENTREGADA GINTRACOM")</f>
        <v>ENTREGADA GINTRACOM</v>
      </c>
      <c r="AR1784" s="65"/>
      <c r="AS1784" s="65"/>
      <c r="AT1784" s="65" t="str">
        <f>IFERROR(__xludf.DUMMYFUNCTION("""COMPUTED_VALUE"""),"SHOPIFY")</f>
        <v>SHOPIFY</v>
      </c>
      <c r="AU1784" s="65" t="str">
        <f>IFERROR(__xludf.DUMMYFUNCTION("""COMPUTED_VALUE"""),"IMPORTEX EC")</f>
        <v>IMPORTEX EC</v>
      </c>
      <c r="AV1784" s="65" t="str">
        <f>IFERROR(__xludf.DUMMYFUNCTION("""COMPUTED_VALUE"""),"6413729169452")</f>
        <v>6413729169452</v>
      </c>
      <c r="AW1784" s="65">
        <f>IFERROR(__xludf.DUMMYFUNCTION("""COMPUTED_VALUE"""),5165.0)</f>
        <v>5165</v>
      </c>
      <c r="AX1784" s="65"/>
      <c r="AY1784" s="65" t="str">
        <f>IFERROR(__xludf.DUMMYFUNCTION("""COMPUTED_VALUE"""),"16/01/2026")</f>
        <v>16/01/2026</v>
      </c>
      <c r="AZ1784" s="65"/>
      <c r="BA1784" s="65"/>
    </row>
    <row r="1785">
      <c r="A1785" s="65" t="str">
        <f>IFERROR(__xludf.DUMMYFUNCTION("""COMPUTED_VALUE"""),"27-03-2026")</f>
        <v>27-03-2026</v>
      </c>
      <c r="B1785" s="65">
        <f>IFERROR(__xludf.DUMMYFUNCTION("""COMPUTED_VALUE"""),4141408.0)</f>
        <v>4141408</v>
      </c>
      <c r="C1785" s="65" t="str">
        <f>IFERROR(__xludf.DUMMYFUNCTION("""COMPUTED_VALUE"""),"08:35")</f>
        <v>08:35</v>
      </c>
      <c r="D1785" s="65" t="str">
        <f>IFERROR(__xludf.DUMMYFUNCTION("""COMPUTED_VALUE"""),"14-01-2026")</f>
        <v>14-01-2026</v>
      </c>
      <c r="E1785" s="65" t="str">
        <f>IFERROR(__xludf.DUMMYFUNCTION("""COMPUTED_VALUE"""),"Victor Vargas")</f>
        <v>Victor Vargas</v>
      </c>
      <c r="F1785" s="65" t="str">
        <f>IFERROR(__xludf.DUMMYFUNCTION("""COMPUTED_VALUE"""),"994326233")</f>
        <v>994326233</v>
      </c>
      <c r="G1785" s="65" t="str">
        <f>IFERROR(__xludf.DUMMYFUNCTION("""COMPUTED_VALUE"""),"victor-manuel-vargas@hotmail.com")</f>
        <v>victor-manuel-vargas@hotmail.com</v>
      </c>
      <c r="H1785" s="65"/>
      <c r="I1785" s="65"/>
      <c r="J1785" s="65" t="str">
        <f>IFERROR(__xludf.DUMMYFUNCTION("""COMPUTED_VALUE"""),"D001231756")</f>
        <v>D001231756</v>
      </c>
      <c r="K1785" s="65" t="str">
        <f>IFERROR(__xludf.DUMMYFUNCTION("""COMPUTED_VALUE"""),"DEVOLUCION")</f>
        <v>DEVOLUCION</v>
      </c>
      <c r="L1785" s="65" t="str">
        <f>IFERROR(__xludf.DUMMYFUNCTION("""COMPUTED_VALUE"""),"CON RECAUDO")</f>
        <v>CON RECAUDO</v>
      </c>
      <c r="M1785" s="65" t="str">
        <f>IFERROR(__xludf.DUMMYFUNCTION("""COMPUTED_VALUE"""),"GUAYAS")</f>
        <v>GUAYAS</v>
      </c>
      <c r="N1785" s="65" t="str">
        <f>IFERROR(__xludf.DUMMYFUNCTION("""COMPUTED_VALUE"""),"GUAYAQUIL")</f>
        <v>GUAYAQUIL</v>
      </c>
      <c r="O1785" s="65" t="str">
        <f>IFERROR(__xludf.DUMMYFUNCTION("""COMPUTED_VALUE"""),"Avenida, Francisco de Orellana, diagonal a Tía, atrás de la farmacia, entrando por la otra calle, MZ 58 v13")</f>
        <v>Avenida, Francisco de Orellana, diagonal a Tía, atrás de la farmacia, entrando por la otra calle, MZ 58 v13</v>
      </c>
      <c r="P1785" s="65"/>
      <c r="Q1785" s="65" t="str">
        <f>IFERROR(__xludf.DUMMYFUNCTION("""COMPUTED_VALUE"""),"GINTRACOM")</f>
        <v>GINTRACOM</v>
      </c>
      <c r="R1785" s="65">
        <f>IFERROR(__xludf.DUMMYFUNCTION("""COMPUTED_VALUE"""),20.0)</f>
        <v>20</v>
      </c>
      <c r="S1785" s="65"/>
      <c r="T1785" s="65">
        <f>IFERROR(__xludf.DUMMYFUNCTION("""COMPUTED_VALUE"""),5.76)</f>
        <v>5.76</v>
      </c>
      <c r="U1785" s="65">
        <f>IFERROR(__xludf.DUMMYFUNCTION("""COMPUTED_VALUE"""),0.0)</f>
        <v>0</v>
      </c>
      <c r="V1785" s="65">
        <f>IFERROR(__xludf.DUMMYFUNCTION("""COMPUTED_VALUE"""),0.0)</f>
        <v>0</v>
      </c>
      <c r="W1785" s="65">
        <f>IFERROR(__xludf.DUMMYFUNCTION("""COMPUTED_VALUE"""),0.0)</f>
        <v>0</v>
      </c>
      <c r="X1785" s="65">
        <f>IFERROR(__xludf.DUMMYFUNCTION("""COMPUTED_VALUE"""),2.35)</f>
        <v>2.35</v>
      </c>
      <c r="Y1785" s="65">
        <f>IFERROR(__xludf.DUMMYFUNCTION("""COMPUTED_VALUE"""),2.35)</f>
        <v>2.35</v>
      </c>
      <c r="Z1785" s="65">
        <f>IFERROR(__xludf.DUMMYFUNCTION("""COMPUTED_VALUE"""),116679.0)</f>
        <v>116679</v>
      </c>
      <c r="AA1785" s="65" t="str">
        <f>IFERROR(__xludf.DUMMYFUNCTION("""COMPUTED_VALUE"""),"AMC-2738")</f>
        <v>AMC-2738</v>
      </c>
      <c r="AB1785" s="65"/>
      <c r="AC1785" s="65" t="str">
        <f>IFERROR(__xludf.DUMMYFUNCTION("""COMPUTED_VALUE"""),"ESPONJA ANTILLUVIA DE PARABRISAS")</f>
        <v>ESPONJA ANTILLUVIA DE PARABRISAS</v>
      </c>
      <c r="AD1785" s="65"/>
      <c r="AE1785" s="65">
        <f>IFERROR(__xludf.DUMMYFUNCTION("""COMPUTED_VALUE"""),1.0)</f>
        <v>1</v>
      </c>
      <c r="AF1785" s="65" t="str">
        <f>IFERROR(__xludf.DUMMYFUNCTION("""COMPUTED_VALUE"""),"DESTINATARIO INDICA QUE NO ES EL PRODUCTO QUE SOLICITÓ")</f>
        <v>DESTINATARIO INDICA QUE NO ES EL PRODUCTO QUE SOLICITÓ</v>
      </c>
      <c r="AG1785" s="65" t="str">
        <f>IFERROR(__xludf.DUMMYFUNCTION("""COMPUTED_VALUE"""),"NO")</f>
        <v>NO</v>
      </c>
      <c r="AH1785" s="65" t="str">
        <f>IFERROR(__xludf.DUMMYFUNCTION("""COMPUTED_VALUE"""),"10:36")</f>
        <v>10:36</v>
      </c>
      <c r="AI1785" s="65" t="str">
        <f>IFERROR(__xludf.DUMMYFUNCTION("""COMPUTED_VALUE"""),"19-01-2026")</f>
        <v>19-01-2026</v>
      </c>
      <c r="AJ1785" s="65"/>
      <c r="AK1785" s="65"/>
      <c r="AL1785" s="65"/>
      <c r="AM1785" s="65"/>
      <c r="AN1785" s="65" t="str">
        <f>IFERROR(__xludf.DUMMYFUNCTION("""COMPUTED_VALUE"""),"10:53")</f>
        <v>10:53</v>
      </c>
      <c r="AO1785" s="65" t="str">
        <f>IFERROR(__xludf.DUMMYFUNCTION("""COMPUTED_VALUE"""),"10-02-2026")</f>
        <v>10-02-2026</v>
      </c>
      <c r="AP1785" s="65" t="str">
        <f>IFERROR(__xludf.DUMMYFUNCTION("""COMPUTED_VALUE"""),"DEVOLUCIÓN ENTREGADA A ORIGEN")</f>
        <v>DEVOLUCIÓN ENTREGADA A ORIGEN</v>
      </c>
      <c r="AQ1785" s="65" t="str">
        <f>IFERROR(__xludf.DUMMYFUNCTION("""COMPUTED_VALUE"""),"DEVOLUCIÓN ENTREGADA A ORIGEN")</f>
        <v>DEVOLUCIÓN ENTREGADA A ORIGEN</v>
      </c>
      <c r="AR1785" s="65"/>
      <c r="AS1785" s="65"/>
      <c r="AT1785" s="65" t="str">
        <f>IFERROR(__xludf.DUMMYFUNCTION("""COMPUTED_VALUE"""),"SHOPIFY")</f>
        <v>SHOPIFY</v>
      </c>
      <c r="AU1785" s="65" t="str">
        <f>IFERROR(__xludf.DUMMYFUNCTION("""COMPUTED_VALUE"""),"IMPORTEX EC")</f>
        <v>IMPORTEX EC</v>
      </c>
      <c r="AV1785" s="65" t="str">
        <f>IFERROR(__xludf.DUMMYFUNCTION("""COMPUTED_VALUE"""),"6413717667884")</f>
        <v>6413717667884</v>
      </c>
      <c r="AW1785" s="65">
        <f>IFERROR(__xludf.DUMMYFUNCTION("""COMPUTED_VALUE"""),5164.0)</f>
        <v>5164</v>
      </c>
      <c r="AX1785" s="65"/>
      <c r="AY1785" s="65" t="str">
        <f>IFERROR(__xludf.DUMMYFUNCTION("""COMPUTED_VALUE"""),"16/01/2026")</f>
        <v>16/01/2026</v>
      </c>
      <c r="AZ1785" s="65"/>
      <c r="BA1785" s="65"/>
    </row>
    <row r="1786">
      <c r="A1786" s="65" t="str">
        <f>IFERROR(__xludf.DUMMYFUNCTION("""COMPUTED_VALUE"""),"27-03-2026")</f>
        <v>27-03-2026</v>
      </c>
      <c r="B1786" s="65">
        <f>IFERROR(__xludf.DUMMYFUNCTION("""COMPUTED_VALUE"""),4141346.0)</f>
        <v>4141346</v>
      </c>
      <c r="C1786" s="65" t="str">
        <f>IFERROR(__xludf.DUMMYFUNCTION("""COMPUTED_VALUE"""),"08:31")</f>
        <v>08:31</v>
      </c>
      <c r="D1786" s="65" t="str">
        <f>IFERROR(__xludf.DUMMYFUNCTION("""COMPUTED_VALUE"""),"14-01-2026")</f>
        <v>14-01-2026</v>
      </c>
      <c r="E1786" s="65" t="str">
        <f>IFERROR(__xludf.DUMMYFUNCTION("""COMPUTED_VALUE"""),"Cecilia Caballero")</f>
        <v>Cecilia Caballero</v>
      </c>
      <c r="F1786" s="65" t="str">
        <f>IFERROR(__xludf.DUMMYFUNCTION("""COMPUTED_VALUE"""),"993900381")</f>
        <v>993900381</v>
      </c>
      <c r="G1786" s="65" t="str">
        <f>IFERROR(__xludf.DUMMYFUNCTION("""COMPUTED_VALUE"""),"ceciliacaballero1977@gmail.com")</f>
        <v>ceciliacaballero1977@gmail.com</v>
      </c>
      <c r="H1786" s="65"/>
      <c r="I1786" s="65"/>
      <c r="J1786" s="65" t="str">
        <f>IFERROR(__xludf.DUMMYFUNCTION("""COMPUTED_VALUE"""),"D001222895")</f>
        <v>D001222895</v>
      </c>
      <c r="K1786" s="65" t="str">
        <f>IFERROR(__xludf.DUMMYFUNCTION("""COMPUTED_VALUE"""),"ENTREGADO")</f>
        <v>ENTREGADO</v>
      </c>
      <c r="L1786" s="65" t="str">
        <f>IFERROR(__xludf.DUMMYFUNCTION("""COMPUTED_VALUE"""),"CON RECAUDO")</f>
        <v>CON RECAUDO</v>
      </c>
      <c r="M1786" s="65" t="str">
        <f>IFERROR(__xludf.DUMMYFUNCTION("""COMPUTED_VALUE"""),"SANTO DOMINGO DE LOS TSACHILAS")</f>
        <v>SANTO DOMINGO DE LOS TSACHILAS</v>
      </c>
      <c r="N1786" s="65" t="str">
        <f>IFERROR(__xludf.DUMMYFUNCTION("""COMPUTED_VALUE"""),"SANTO DOMINGO")</f>
        <v>SANTO DOMINGO</v>
      </c>
      <c r="O1786" s="65" t="str">
        <f>IFERROR(__xludf.DUMMYFUNCTION("""COMPUTED_VALUE"""),"en calle de los Mixtecos , esta entre Av. del cooperativismo y de los auracanos ( google maps en notas)")</f>
        <v>en calle de los Mixtecos , esta entre Av. del cooperativismo y de los auracanos ( google maps en notas)</v>
      </c>
      <c r="P1786" s="65"/>
      <c r="Q1786" s="65" t="str">
        <f>IFERROR(__xludf.DUMMYFUNCTION("""COMPUTED_VALUE"""),"GINTRACOM")</f>
        <v>GINTRACOM</v>
      </c>
      <c r="R1786" s="65">
        <f>IFERROR(__xludf.DUMMYFUNCTION("""COMPUTED_VALUE"""),22.0)</f>
        <v>22</v>
      </c>
      <c r="S1786" s="65">
        <f>IFERROR(__xludf.DUMMYFUNCTION("""COMPUTED_VALUE"""),10.96)</f>
        <v>10.96</v>
      </c>
      <c r="T1786" s="65">
        <f>IFERROR(__xludf.DUMMYFUNCTION("""COMPUTED_VALUE"""),5.84)</f>
        <v>5.84</v>
      </c>
      <c r="U1786" s="65">
        <f>IFERROR(__xludf.DUMMYFUNCTION("""COMPUTED_VALUE"""),0.0)</f>
        <v>0</v>
      </c>
      <c r="V1786" s="65">
        <f>IFERROR(__xludf.DUMMYFUNCTION("""COMPUTED_VALUE"""),0.0)</f>
        <v>0</v>
      </c>
      <c r="W1786" s="65">
        <f>IFERROR(__xludf.DUMMYFUNCTION("""COMPUTED_VALUE"""),0.0)</f>
        <v>0</v>
      </c>
      <c r="X1786" s="65">
        <f>IFERROR(__xludf.DUMMYFUNCTION("""COMPUTED_VALUE"""),2.6)</f>
        <v>2.6</v>
      </c>
      <c r="Y1786" s="65">
        <f>IFERROR(__xludf.DUMMYFUNCTION("""COMPUTED_VALUE"""),5.2)</f>
        <v>5.2</v>
      </c>
      <c r="Z1786" s="65">
        <f>IFERROR(__xludf.DUMMYFUNCTION("""COMPUTED_VALUE"""),121983.0)</f>
        <v>121983</v>
      </c>
      <c r="AA1786" s="65" t="str">
        <f>IFERROR(__xludf.DUMMYFUNCTION("""COMPUTED_VALUE"""),"PROV-CHLLCF")</f>
        <v>PROV-CHLLCF</v>
      </c>
      <c r="AB1786" s="65"/>
      <c r="AC1786" s="65" t="str">
        <f>IFERROR(__xludf.DUMMYFUNCTION("""COMPUTED_VALUE"""),"CUCHILLO PARA CHEF")</f>
        <v>CUCHILLO PARA CHEF</v>
      </c>
      <c r="AD1786" s="65"/>
      <c r="AE1786" s="65">
        <f>IFERROR(__xludf.DUMMYFUNCTION("""COMPUTED_VALUE"""),2.0)</f>
        <v>2</v>
      </c>
      <c r="AF1786" s="65"/>
      <c r="AG1786" s="65"/>
      <c r="AH1786" s="65"/>
      <c r="AI1786" s="65"/>
      <c r="AJ1786" s="65"/>
      <c r="AK1786" s="65"/>
      <c r="AL1786" s="65"/>
      <c r="AM1786" s="65"/>
      <c r="AN1786" s="65" t="str">
        <f>IFERROR(__xludf.DUMMYFUNCTION("""COMPUTED_VALUE"""),"15:58")</f>
        <v>15:58</v>
      </c>
      <c r="AO1786" s="65" t="str">
        <f>IFERROR(__xludf.DUMMYFUNCTION("""COMPUTED_VALUE"""),"16-01-2026")</f>
        <v>16-01-2026</v>
      </c>
      <c r="AP1786" s="65" t="str">
        <f>IFERROR(__xludf.DUMMYFUNCTION("""COMPUTED_VALUE"""),"ENTREGADA GINTRACOM")</f>
        <v>ENTREGADA GINTRACOM</v>
      </c>
      <c r="AQ1786" s="65" t="str">
        <f>IFERROR(__xludf.DUMMYFUNCTION("""COMPUTED_VALUE"""),"ENTREGADA GINTRACOM")</f>
        <v>ENTREGADA GINTRACOM</v>
      </c>
      <c r="AR1786" s="65"/>
      <c r="AS1786" s="65"/>
      <c r="AT1786" s="65" t="str">
        <f>IFERROR(__xludf.DUMMYFUNCTION("""COMPUTED_VALUE"""),"SHOPIFY")</f>
        <v>SHOPIFY</v>
      </c>
      <c r="AU1786" s="65" t="str">
        <f>IFERROR(__xludf.DUMMYFUNCTION("""COMPUTED_VALUE"""),"IMPORTEX EC")</f>
        <v>IMPORTEX EC</v>
      </c>
      <c r="AV1786" s="65" t="str">
        <f>IFERROR(__xludf.DUMMYFUNCTION("""COMPUTED_VALUE"""),"6403504308268")</f>
        <v>6403504308268</v>
      </c>
      <c r="AW1786" s="65">
        <f>IFERROR(__xludf.DUMMYFUNCTION("""COMPUTED_VALUE"""),4775.0)</f>
        <v>4775</v>
      </c>
      <c r="AX1786" s="65"/>
      <c r="AY1786" s="65" t="str">
        <f>IFERROR(__xludf.DUMMYFUNCTION("""COMPUTED_VALUE"""),"14/01/2026")</f>
        <v>14/01/2026</v>
      </c>
      <c r="AZ1786" s="65"/>
      <c r="BA1786" s="65"/>
    </row>
    <row r="1787">
      <c r="A1787" s="65" t="str">
        <f>IFERROR(__xludf.DUMMYFUNCTION("""COMPUTED_VALUE"""),"27-03-2026")</f>
        <v>27-03-2026</v>
      </c>
      <c r="B1787" s="65">
        <f>IFERROR(__xludf.DUMMYFUNCTION("""COMPUTED_VALUE"""),4141324.0)</f>
        <v>4141324</v>
      </c>
      <c r="C1787" s="65" t="str">
        <f>IFERROR(__xludf.DUMMYFUNCTION("""COMPUTED_VALUE"""),"08:29")</f>
        <v>08:29</v>
      </c>
      <c r="D1787" s="65" t="str">
        <f>IFERROR(__xludf.DUMMYFUNCTION("""COMPUTED_VALUE"""),"14-01-2026")</f>
        <v>14-01-2026</v>
      </c>
      <c r="E1787" s="65" t="str">
        <f>IFERROR(__xludf.DUMMYFUNCTION("""COMPUTED_VALUE"""),"Nelson Valencia")</f>
        <v>Nelson Valencia</v>
      </c>
      <c r="F1787" s="65" t="str">
        <f>IFERROR(__xludf.DUMMYFUNCTION("""COMPUTED_VALUE"""),"999154817")</f>
        <v>999154817</v>
      </c>
      <c r="G1787" s="65" t="str">
        <f>IFERROR(__xludf.DUMMYFUNCTION("""COMPUTED_VALUE"""),"panchobar51544@hotmail.com")</f>
        <v>panchobar51544@hotmail.com</v>
      </c>
      <c r="H1787" s="65"/>
      <c r="I1787" s="65"/>
      <c r="J1787" s="65" t="str">
        <f>IFERROR(__xludf.DUMMYFUNCTION("""COMPUTED_VALUE"""),"D001231757")</f>
        <v>D001231757</v>
      </c>
      <c r="K1787" s="65" t="str">
        <f>IFERROR(__xludf.DUMMYFUNCTION("""COMPUTED_VALUE"""),"ENTREGADO")</f>
        <v>ENTREGADO</v>
      </c>
      <c r="L1787" s="65" t="str">
        <f>IFERROR(__xludf.DUMMYFUNCTION("""COMPUTED_VALUE"""),"CON RECAUDO")</f>
        <v>CON RECAUDO</v>
      </c>
      <c r="M1787" s="65" t="str">
        <f>IFERROR(__xludf.DUMMYFUNCTION("""COMPUTED_VALUE"""),"IMBABURA")</f>
        <v>IMBABURA</v>
      </c>
      <c r="N1787" s="65" t="str">
        <f>IFERROR(__xludf.DUMMYFUNCTION("""COMPUTED_VALUE"""),"IBARRA")</f>
        <v>IBARRA</v>
      </c>
      <c r="O1787" s="65" t="str">
        <f>IFERROR(__xludf.DUMMYFUNCTION("""COMPUTED_VALUE"""),"Francisco De Goya 3-89 y Salvador Dali referencia diagonal a Conjuntos Mediterraneo")</f>
        <v>Francisco De Goya 3-89 y Salvador Dali referencia diagonal a Conjuntos Mediterraneo</v>
      </c>
      <c r="P1787" s="65"/>
      <c r="Q1787" s="65" t="str">
        <f>IFERROR(__xludf.DUMMYFUNCTION("""COMPUTED_VALUE"""),"GINTRACOM")</f>
        <v>GINTRACOM</v>
      </c>
      <c r="R1787" s="65">
        <f>IFERROR(__xludf.DUMMYFUNCTION("""COMPUTED_VALUE"""),20.0)</f>
        <v>20</v>
      </c>
      <c r="S1787" s="65">
        <f>IFERROR(__xludf.DUMMYFUNCTION("""COMPUTED_VALUE"""),11.89)</f>
        <v>11.89</v>
      </c>
      <c r="T1787" s="65">
        <f>IFERROR(__xludf.DUMMYFUNCTION("""COMPUTED_VALUE"""),5.76)</f>
        <v>5.76</v>
      </c>
      <c r="U1787" s="65">
        <f>IFERROR(__xludf.DUMMYFUNCTION("""COMPUTED_VALUE"""),0.0)</f>
        <v>0</v>
      </c>
      <c r="V1787" s="65">
        <f>IFERROR(__xludf.DUMMYFUNCTION("""COMPUTED_VALUE"""),0.0)</f>
        <v>0</v>
      </c>
      <c r="W1787" s="65">
        <f>IFERROR(__xludf.DUMMYFUNCTION("""COMPUTED_VALUE"""),0.0)</f>
        <v>0</v>
      </c>
      <c r="X1787" s="65">
        <f>IFERROR(__xludf.DUMMYFUNCTION("""COMPUTED_VALUE"""),2.35)</f>
        <v>2.35</v>
      </c>
      <c r="Y1787" s="65">
        <f>IFERROR(__xludf.DUMMYFUNCTION("""COMPUTED_VALUE"""),2.35)</f>
        <v>2.35</v>
      </c>
      <c r="Z1787" s="65">
        <f>IFERROR(__xludf.DUMMYFUNCTION("""COMPUTED_VALUE"""),116679.0)</f>
        <v>116679</v>
      </c>
      <c r="AA1787" s="65" t="str">
        <f>IFERROR(__xludf.DUMMYFUNCTION("""COMPUTED_VALUE"""),"AMC-2738")</f>
        <v>AMC-2738</v>
      </c>
      <c r="AB1787" s="65"/>
      <c r="AC1787" s="65" t="str">
        <f>IFERROR(__xludf.DUMMYFUNCTION("""COMPUTED_VALUE"""),"ESPONJA ANTILLUVIA DE PARABRISAS")</f>
        <v>ESPONJA ANTILLUVIA DE PARABRISAS</v>
      </c>
      <c r="AD1787" s="65"/>
      <c r="AE1787" s="65">
        <f>IFERROR(__xludf.DUMMYFUNCTION("""COMPUTED_VALUE"""),1.0)</f>
        <v>1</v>
      </c>
      <c r="AF1787" s="65"/>
      <c r="AG1787" s="65"/>
      <c r="AH1787" s="65"/>
      <c r="AI1787" s="65"/>
      <c r="AJ1787" s="65"/>
      <c r="AK1787" s="65"/>
      <c r="AL1787" s="65"/>
      <c r="AM1787" s="65"/>
      <c r="AN1787" s="65" t="str">
        <f>IFERROR(__xludf.DUMMYFUNCTION("""COMPUTED_VALUE"""),"09:51")</f>
        <v>09:51</v>
      </c>
      <c r="AO1787" s="65" t="str">
        <f>IFERROR(__xludf.DUMMYFUNCTION("""COMPUTED_VALUE"""),"19-01-2026")</f>
        <v>19-01-2026</v>
      </c>
      <c r="AP1787" s="65" t="str">
        <f>IFERROR(__xludf.DUMMYFUNCTION("""COMPUTED_VALUE"""),"ENTREGADA GINTRACOM")</f>
        <v>ENTREGADA GINTRACOM</v>
      </c>
      <c r="AQ1787" s="65" t="str">
        <f>IFERROR(__xludf.DUMMYFUNCTION("""COMPUTED_VALUE"""),"ENTREGADA GINTRACOM")</f>
        <v>ENTREGADA GINTRACOM</v>
      </c>
      <c r="AR1787" s="65"/>
      <c r="AS1787" s="65"/>
      <c r="AT1787" s="65" t="str">
        <f>IFERROR(__xludf.DUMMYFUNCTION("""COMPUTED_VALUE"""),"SHOPIFY")</f>
        <v>SHOPIFY</v>
      </c>
      <c r="AU1787" s="65" t="str">
        <f>IFERROR(__xludf.DUMMYFUNCTION("""COMPUTED_VALUE"""),"IMPORTEX EC")</f>
        <v>IMPORTEX EC</v>
      </c>
      <c r="AV1787" s="65" t="str">
        <f>IFERROR(__xludf.DUMMYFUNCTION("""COMPUTED_VALUE"""),"6413708754988")</f>
        <v>6413708754988</v>
      </c>
      <c r="AW1787" s="65">
        <f>IFERROR(__xludf.DUMMYFUNCTION("""COMPUTED_VALUE"""),5163.0)</f>
        <v>5163</v>
      </c>
      <c r="AX1787" s="65"/>
      <c r="AY1787" s="65" t="str">
        <f>IFERROR(__xludf.DUMMYFUNCTION("""COMPUTED_VALUE"""),"16/01/2026")</f>
        <v>16/01/2026</v>
      </c>
      <c r="AZ1787" s="65"/>
      <c r="BA1787" s="65"/>
    </row>
    <row r="1788">
      <c r="A1788" s="65" t="str">
        <f>IFERROR(__xludf.DUMMYFUNCTION("""COMPUTED_VALUE"""),"27-03-2026")</f>
        <v>27-03-2026</v>
      </c>
      <c r="B1788" s="65">
        <f>IFERROR(__xludf.DUMMYFUNCTION("""COMPUTED_VALUE"""),4141181.0)</f>
        <v>4141181</v>
      </c>
      <c r="C1788" s="65" t="str">
        <f>IFERROR(__xludf.DUMMYFUNCTION("""COMPUTED_VALUE"""),"08:20")</f>
        <v>08:20</v>
      </c>
      <c r="D1788" s="65" t="str">
        <f>IFERROR(__xludf.DUMMYFUNCTION("""COMPUTED_VALUE"""),"14-01-2026")</f>
        <v>14-01-2026</v>
      </c>
      <c r="E1788" s="65" t="str">
        <f>IFERROR(__xludf.DUMMYFUNCTION("""COMPUTED_VALUE"""),"Joffre Hidalgo")</f>
        <v>Joffre Hidalgo</v>
      </c>
      <c r="F1788" s="65" t="str">
        <f>IFERROR(__xludf.DUMMYFUNCTION("""COMPUTED_VALUE"""),"993365158")</f>
        <v>993365158</v>
      </c>
      <c r="G1788" s="65" t="str">
        <f>IFERROR(__xludf.DUMMYFUNCTION("""COMPUTED_VALUE"""),"joffrehidalgoloor@gmail.com")</f>
        <v>joffrehidalgoloor@gmail.com</v>
      </c>
      <c r="H1788" s="65"/>
      <c r="I1788" s="65"/>
      <c r="J1788" s="65" t="str">
        <f>IFERROR(__xludf.DUMMYFUNCTION("""COMPUTED_VALUE"""),"D001231758")</f>
        <v>D001231758</v>
      </c>
      <c r="K1788" s="65" t="str">
        <f>IFERROR(__xludf.DUMMYFUNCTION("""COMPUTED_VALUE"""),"ENTREGADO")</f>
        <v>ENTREGADO</v>
      </c>
      <c r="L1788" s="65" t="str">
        <f>IFERROR(__xludf.DUMMYFUNCTION("""COMPUTED_VALUE"""),"CON RECAUDO")</f>
        <v>CON RECAUDO</v>
      </c>
      <c r="M1788" s="65" t="str">
        <f>IFERROR(__xludf.DUMMYFUNCTION("""COMPUTED_VALUE"""),"LOS RIOS")</f>
        <v>LOS RIOS</v>
      </c>
      <c r="N1788" s="65" t="str">
        <f>IFERROR(__xludf.DUMMYFUNCTION("""COMPUTED_VALUE"""),"VINCES")</f>
        <v>VINCES</v>
      </c>
      <c r="O1788" s="65" t="str">
        <f>IFERROR(__xludf.DUMMYFUNCTION("""COMPUTED_VALUE"""),"Calle Bolívar y callejón Urdaneta esquina")</f>
        <v>Calle Bolívar y callejón Urdaneta esquina</v>
      </c>
      <c r="P1788" s="65"/>
      <c r="Q1788" s="65" t="str">
        <f>IFERROR(__xludf.DUMMYFUNCTION("""COMPUTED_VALUE"""),"GINTRACOM")</f>
        <v>GINTRACOM</v>
      </c>
      <c r="R1788" s="65">
        <f>IFERROR(__xludf.DUMMYFUNCTION("""COMPUTED_VALUE"""),20.0)</f>
        <v>20</v>
      </c>
      <c r="S1788" s="65">
        <f>IFERROR(__xludf.DUMMYFUNCTION("""COMPUTED_VALUE"""),11.89)</f>
        <v>11.89</v>
      </c>
      <c r="T1788" s="65">
        <f>IFERROR(__xludf.DUMMYFUNCTION("""COMPUTED_VALUE"""),5.76)</f>
        <v>5.76</v>
      </c>
      <c r="U1788" s="65">
        <f>IFERROR(__xludf.DUMMYFUNCTION("""COMPUTED_VALUE"""),0.0)</f>
        <v>0</v>
      </c>
      <c r="V1788" s="65">
        <f>IFERROR(__xludf.DUMMYFUNCTION("""COMPUTED_VALUE"""),0.0)</f>
        <v>0</v>
      </c>
      <c r="W1788" s="65">
        <f>IFERROR(__xludf.DUMMYFUNCTION("""COMPUTED_VALUE"""),0.0)</f>
        <v>0</v>
      </c>
      <c r="X1788" s="65">
        <f>IFERROR(__xludf.DUMMYFUNCTION("""COMPUTED_VALUE"""),2.35)</f>
        <v>2.35</v>
      </c>
      <c r="Y1788" s="65">
        <f>IFERROR(__xludf.DUMMYFUNCTION("""COMPUTED_VALUE"""),2.35)</f>
        <v>2.35</v>
      </c>
      <c r="Z1788" s="65">
        <f>IFERROR(__xludf.DUMMYFUNCTION("""COMPUTED_VALUE"""),116679.0)</f>
        <v>116679</v>
      </c>
      <c r="AA1788" s="65" t="str">
        <f>IFERROR(__xludf.DUMMYFUNCTION("""COMPUTED_VALUE"""),"AMC-2738")</f>
        <v>AMC-2738</v>
      </c>
      <c r="AB1788" s="65"/>
      <c r="AC1788" s="65" t="str">
        <f>IFERROR(__xludf.DUMMYFUNCTION("""COMPUTED_VALUE"""),"ESPONJA ANTILLUVIA DE PARABRISAS")</f>
        <v>ESPONJA ANTILLUVIA DE PARABRISAS</v>
      </c>
      <c r="AD1788" s="65"/>
      <c r="AE1788" s="65">
        <f>IFERROR(__xludf.DUMMYFUNCTION("""COMPUTED_VALUE"""),1.0)</f>
        <v>1</v>
      </c>
      <c r="AF1788" s="65"/>
      <c r="AG1788" s="65"/>
      <c r="AH1788" s="65"/>
      <c r="AI1788" s="65"/>
      <c r="AJ1788" s="65"/>
      <c r="AK1788" s="65"/>
      <c r="AL1788" s="65"/>
      <c r="AM1788" s="65"/>
      <c r="AN1788" s="65" t="str">
        <f>IFERROR(__xludf.DUMMYFUNCTION("""COMPUTED_VALUE"""),"01:30")</f>
        <v>01:30</v>
      </c>
      <c r="AO1788" s="65" t="str">
        <f>IFERROR(__xludf.DUMMYFUNCTION("""COMPUTED_VALUE"""),"21-01-2026")</f>
        <v>21-01-2026</v>
      </c>
      <c r="AP1788" s="65" t="str">
        <f>IFERROR(__xludf.DUMMYFUNCTION("""COMPUTED_VALUE"""),"ENTREGADA GINTRACOM")</f>
        <v>ENTREGADA GINTRACOM</v>
      </c>
      <c r="AQ1788" s="65" t="str">
        <f>IFERROR(__xludf.DUMMYFUNCTION("""COMPUTED_VALUE"""),"ENTREGADA GINTRACOM")</f>
        <v>ENTREGADA GINTRACOM</v>
      </c>
      <c r="AR1788" s="65"/>
      <c r="AS1788" s="65"/>
      <c r="AT1788" s="65" t="str">
        <f>IFERROR(__xludf.DUMMYFUNCTION("""COMPUTED_VALUE"""),"SHOPIFY")</f>
        <v>SHOPIFY</v>
      </c>
      <c r="AU1788" s="65" t="str">
        <f>IFERROR(__xludf.DUMMYFUNCTION("""COMPUTED_VALUE"""),"IMPORTEX EC")</f>
        <v>IMPORTEX EC</v>
      </c>
      <c r="AV1788" s="65" t="str">
        <f>IFERROR(__xludf.DUMMYFUNCTION("""COMPUTED_VALUE"""),"6413695549484")</f>
        <v>6413695549484</v>
      </c>
      <c r="AW1788" s="65">
        <f>IFERROR(__xludf.DUMMYFUNCTION("""COMPUTED_VALUE"""),5162.0)</f>
        <v>5162</v>
      </c>
      <c r="AX1788" s="65"/>
      <c r="AY1788" s="65" t="str">
        <f>IFERROR(__xludf.DUMMYFUNCTION("""COMPUTED_VALUE"""),"16/01/2026")</f>
        <v>16/01/2026</v>
      </c>
      <c r="AZ1788" s="65"/>
      <c r="BA1788" s="65"/>
    </row>
    <row r="1789">
      <c r="A1789" s="65" t="str">
        <f>IFERROR(__xludf.DUMMYFUNCTION("""COMPUTED_VALUE"""),"27-03-2026")</f>
        <v>27-03-2026</v>
      </c>
      <c r="B1789" s="65">
        <f>IFERROR(__xludf.DUMMYFUNCTION("""COMPUTED_VALUE"""),4141110.0)</f>
        <v>4141110</v>
      </c>
      <c r="C1789" s="65" t="str">
        <f>IFERROR(__xludf.DUMMYFUNCTION("""COMPUTED_VALUE"""),"08:13")</f>
        <v>08:13</v>
      </c>
      <c r="D1789" s="65" t="str">
        <f>IFERROR(__xludf.DUMMYFUNCTION("""COMPUTED_VALUE"""),"14-01-2026")</f>
        <v>14-01-2026</v>
      </c>
      <c r="E1789" s="65" t="str">
        <f>IFERROR(__xludf.DUMMYFUNCTION("""COMPUTED_VALUE"""),"Leslie Arteaga")</f>
        <v>Leslie Arteaga</v>
      </c>
      <c r="F1789" s="65" t="str">
        <f>IFERROR(__xludf.DUMMYFUNCTION("""COMPUTED_VALUE"""),"962523035")</f>
        <v>962523035</v>
      </c>
      <c r="G1789" s="65" t="str">
        <f>IFERROR(__xludf.DUMMYFUNCTION("""COMPUTED_VALUE"""),"arteagajimmy07@gmail.com")</f>
        <v>arteagajimmy07@gmail.com</v>
      </c>
      <c r="H1789" s="65"/>
      <c r="I1789" s="65"/>
      <c r="J1789" s="65" t="str">
        <f>IFERROR(__xludf.DUMMYFUNCTION("""COMPUTED_VALUE"""),"D001231759")</f>
        <v>D001231759</v>
      </c>
      <c r="K1789" s="65" t="str">
        <f>IFERROR(__xludf.DUMMYFUNCTION("""COMPUTED_VALUE"""),"ENTREGADO")</f>
        <v>ENTREGADO</v>
      </c>
      <c r="L1789" s="65" t="str">
        <f>IFERROR(__xludf.DUMMYFUNCTION("""COMPUTED_VALUE"""),"CON RECAUDO")</f>
        <v>CON RECAUDO</v>
      </c>
      <c r="M1789" s="65" t="str">
        <f>IFERROR(__xludf.DUMMYFUNCTION("""COMPUTED_VALUE"""),"AZUAY")</f>
        <v>AZUAY</v>
      </c>
      <c r="N1789" s="65" t="str">
        <f>IFERROR(__xludf.DUMMYFUNCTION("""COMPUTED_VALUE"""),"CUENCA")</f>
        <v>CUENCA</v>
      </c>
      <c r="O1789" s="65" t="str">
        <f>IFERROR(__xludf.DUMMYFUNCTION("""COMPUTED_VALUE"""),"Luis Moscoso y calle Cañuelas, Entrada a Misicata, Edificio Altavista 2")</f>
        <v>Luis Moscoso y calle Cañuelas, Entrada a Misicata, Edificio Altavista 2</v>
      </c>
      <c r="P1789" s="65"/>
      <c r="Q1789" s="65" t="str">
        <f>IFERROR(__xludf.DUMMYFUNCTION("""COMPUTED_VALUE"""),"GINTRACOM")</f>
        <v>GINTRACOM</v>
      </c>
      <c r="R1789" s="65">
        <f>IFERROR(__xludf.DUMMYFUNCTION("""COMPUTED_VALUE"""),20.0)</f>
        <v>20</v>
      </c>
      <c r="S1789" s="65">
        <f>IFERROR(__xludf.DUMMYFUNCTION("""COMPUTED_VALUE"""),11.89)</f>
        <v>11.89</v>
      </c>
      <c r="T1789" s="65">
        <f>IFERROR(__xludf.DUMMYFUNCTION("""COMPUTED_VALUE"""),5.76)</f>
        <v>5.76</v>
      </c>
      <c r="U1789" s="65">
        <f>IFERROR(__xludf.DUMMYFUNCTION("""COMPUTED_VALUE"""),0.0)</f>
        <v>0</v>
      </c>
      <c r="V1789" s="65">
        <f>IFERROR(__xludf.DUMMYFUNCTION("""COMPUTED_VALUE"""),0.0)</f>
        <v>0</v>
      </c>
      <c r="W1789" s="65">
        <f>IFERROR(__xludf.DUMMYFUNCTION("""COMPUTED_VALUE"""),0.0)</f>
        <v>0</v>
      </c>
      <c r="X1789" s="65">
        <f>IFERROR(__xludf.DUMMYFUNCTION("""COMPUTED_VALUE"""),2.35)</f>
        <v>2.35</v>
      </c>
      <c r="Y1789" s="65">
        <f>IFERROR(__xludf.DUMMYFUNCTION("""COMPUTED_VALUE"""),2.35)</f>
        <v>2.35</v>
      </c>
      <c r="Z1789" s="65">
        <f>IFERROR(__xludf.DUMMYFUNCTION("""COMPUTED_VALUE"""),116679.0)</f>
        <v>116679</v>
      </c>
      <c r="AA1789" s="65" t="str">
        <f>IFERROR(__xludf.DUMMYFUNCTION("""COMPUTED_VALUE"""),"AMC-2738")</f>
        <v>AMC-2738</v>
      </c>
      <c r="AB1789" s="65"/>
      <c r="AC1789" s="65" t="str">
        <f>IFERROR(__xludf.DUMMYFUNCTION("""COMPUTED_VALUE"""),"ESPONJA ANTILLUVIA DE PARABRISAS")</f>
        <v>ESPONJA ANTILLUVIA DE PARABRISAS</v>
      </c>
      <c r="AD1789" s="65"/>
      <c r="AE1789" s="65">
        <f>IFERROR(__xludf.DUMMYFUNCTION("""COMPUTED_VALUE"""),1.0)</f>
        <v>1</v>
      </c>
      <c r="AF1789" s="65"/>
      <c r="AG1789" s="65"/>
      <c r="AH1789" s="65"/>
      <c r="AI1789" s="65"/>
      <c r="AJ1789" s="65"/>
      <c r="AK1789" s="65"/>
      <c r="AL1789" s="65"/>
      <c r="AM1789" s="65"/>
      <c r="AN1789" s="65" t="str">
        <f>IFERROR(__xludf.DUMMYFUNCTION("""COMPUTED_VALUE"""),"11:37")</f>
        <v>11:37</v>
      </c>
      <c r="AO1789" s="65" t="str">
        <f>IFERROR(__xludf.DUMMYFUNCTION("""COMPUTED_VALUE"""),"19-01-2026")</f>
        <v>19-01-2026</v>
      </c>
      <c r="AP1789" s="65" t="str">
        <f>IFERROR(__xludf.DUMMYFUNCTION("""COMPUTED_VALUE"""),"ENTREGADA GINTRACOM")</f>
        <v>ENTREGADA GINTRACOM</v>
      </c>
      <c r="AQ1789" s="65" t="str">
        <f>IFERROR(__xludf.DUMMYFUNCTION("""COMPUTED_VALUE"""),"ENTREGADA GINTRACOM")</f>
        <v>ENTREGADA GINTRACOM</v>
      </c>
      <c r="AR1789" s="65"/>
      <c r="AS1789" s="65"/>
      <c r="AT1789" s="65" t="str">
        <f>IFERROR(__xludf.DUMMYFUNCTION("""COMPUTED_VALUE"""),"SHOPIFY")</f>
        <v>SHOPIFY</v>
      </c>
      <c r="AU1789" s="65" t="str">
        <f>IFERROR(__xludf.DUMMYFUNCTION("""COMPUTED_VALUE"""),"IMPORTEX EC")</f>
        <v>IMPORTEX EC</v>
      </c>
      <c r="AV1789" s="65" t="str">
        <f>IFERROR(__xludf.DUMMYFUNCTION("""COMPUTED_VALUE"""),"6413683621932")</f>
        <v>6413683621932</v>
      </c>
      <c r="AW1789" s="65">
        <f>IFERROR(__xludf.DUMMYFUNCTION("""COMPUTED_VALUE"""),5161.0)</f>
        <v>5161</v>
      </c>
      <c r="AX1789" s="65"/>
      <c r="AY1789" s="65" t="str">
        <f>IFERROR(__xludf.DUMMYFUNCTION("""COMPUTED_VALUE"""),"16/01/2026")</f>
        <v>16/01/2026</v>
      </c>
      <c r="AZ1789" s="65"/>
      <c r="BA1789" s="65"/>
    </row>
    <row r="1790">
      <c r="A1790" s="65" t="str">
        <f>IFERROR(__xludf.DUMMYFUNCTION("""COMPUTED_VALUE"""),"27-03-2026")</f>
        <v>27-03-2026</v>
      </c>
      <c r="B1790" s="65">
        <f>IFERROR(__xludf.DUMMYFUNCTION("""COMPUTED_VALUE"""),4141108.0)</f>
        <v>4141108</v>
      </c>
      <c r="C1790" s="65" t="str">
        <f>IFERROR(__xludf.DUMMYFUNCTION("""COMPUTED_VALUE"""),"08:13")</f>
        <v>08:13</v>
      </c>
      <c r="D1790" s="65" t="str">
        <f>IFERROR(__xludf.DUMMYFUNCTION("""COMPUTED_VALUE"""),"14-01-2026")</f>
        <v>14-01-2026</v>
      </c>
      <c r="E1790" s="65" t="str">
        <f>IFERROR(__xludf.DUMMYFUNCTION("""COMPUTED_VALUE"""),"Milton Yanqui")</f>
        <v>Milton Yanqui</v>
      </c>
      <c r="F1790" s="65" t="str">
        <f>IFERROR(__xludf.DUMMYFUNCTION("""COMPUTED_VALUE"""),"991485774")</f>
        <v>991485774</v>
      </c>
      <c r="G1790" s="65" t="str">
        <f>IFERROR(__xludf.DUMMYFUNCTION("""COMPUTED_VALUE"""),"gyanquih@yahoo.es")</f>
        <v>gyanquih@yahoo.es</v>
      </c>
      <c r="H1790" s="65"/>
      <c r="I1790" s="65"/>
      <c r="J1790" s="65" t="str">
        <f>IFERROR(__xludf.DUMMYFUNCTION("""COMPUTED_VALUE"""),"D001231760")</f>
        <v>D001231760</v>
      </c>
      <c r="K1790" s="65" t="str">
        <f>IFERROR(__xludf.DUMMYFUNCTION("""COMPUTED_VALUE"""),"DEVOLUCION")</f>
        <v>DEVOLUCION</v>
      </c>
      <c r="L1790" s="65" t="str">
        <f>IFERROR(__xludf.DUMMYFUNCTION("""COMPUTED_VALUE"""),"CON RECAUDO")</f>
        <v>CON RECAUDO</v>
      </c>
      <c r="M1790" s="65" t="str">
        <f>IFERROR(__xludf.DUMMYFUNCTION("""COMPUTED_VALUE"""),"CHIMBORAZO")</f>
        <v>CHIMBORAZO</v>
      </c>
      <c r="N1790" s="65" t="str">
        <f>IFERROR(__xludf.DUMMYFUNCTION("""COMPUTED_VALUE"""),"RIOBAMBA")</f>
        <v>RIOBAMBA</v>
      </c>
      <c r="O1790" s="65" t="str">
        <f>IFERROR(__xludf.DUMMYFUNCTION("""COMPUTED_VALUE"""),"Avda Lizarzaburu Y manabi El Rosario -")</f>
        <v>Avda Lizarzaburu Y manabi El Rosario -</v>
      </c>
      <c r="P1790" s="65"/>
      <c r="Q1790" s="65" t="str">
        <f>IFERROR(__xludf.DUMMYFUNCTION("""COMPUTED_VALUE"""),"GINTRACOM")</f>
        <v>GINTRACOM</v>
      </c>
      <c r="R1790" s="65">
        <f>IFERROR(__xludf.DUMMYFUNCTION("""COMPUTED_VALUE"""),20.0)</f>
        <v>20</v>
      </c>
      <c r="S1790" s="65"/>
      <c r="T1790" s="65">
        <f>IFERROR(__xludf.DUMMYFUNCTION("""COMPUTED_VALUE"""),5.76)</f>
        <v>5.76</v>
      </c>
      <c r="U1790" s="65">
        <f>IFERROR(__xludf.DUMMYFUNCTION("""COMPUTED_VALUE"""),0.0)</f>
        <v>0</v>
      </c>
      <c r="V1790" s="65">
        <f>IFERROR(__xludf.DUMMYFUNCTION("""COMPUTED_VALUE"""),0.0)</f>
        <v>0</v>
      </c>
      <c r="W1790" s="65">
        <f>IFERROR(__xludf.DUMMYFUNCTION("""COMPUTED_VALUE"""),0.0)</f>
        <v>0</v>
      </c>
      <c r="X1790" s="65">
        <f>IFERROR(__xludf.DUMMYFUNCTION("""COMPUTED_VALUE"""),2.35)</f>
        <v>2.35</v>
      </c>
      <c r="Y1790" s="65">
        <f>IFERROR(__xludf.DUMMYFUNCTION("""COMPUTED_VALUE"""),2.35)</f>
        <v>2.35</v>
      </c>
      <c r="Z1790" s="65">
        <f>IFERROR(__xludf.DUMMYFUNCTION("""COMPUTED_VALUE"""),116679.0)</f>
        <v>116679</v>
      </c>
      <c r="AA1790" s="65" t="str">
        <f>IFERROR(__xludf.DUMMYFUNCTION("""COMPUTED_VALUE"""),"AMC-2738")</f>
        <v>AMC-2738</v>
      </c>
      <c r="AB1790" s="65"/>
      <c r="AC1790" s="65" t="str">
        <f>IFERROR(__xludf.DUMMYFUNCTION("""COMPUTED_VALUE"""),"ESPONJA ANTILLUVIA DE PARABRISAS")</f>
        <v>ESPONJA ANTILLUVIA DE PARABRISAS</v>
      </c>
      <c r="AD1790" s="65"/>
      <c r="AE1790" s="65">
        <f>IFERROR(__xludf.DUMMYFUNCTION("""COMPUTED_VALUE"""),1.0)</f>
        <v>1</v>
      </c>
      <c r="AF1790" s="65" t="str">
        <f>IFERROR(__xludf.DUMMYFUNCTION("""COMPUTED_VALUE"""),"DESTINATARIO NO CONTESTA LLAMADAS NI WHATSAPP")</f>
        <v>DESTINATARIO NO CONTESTA LLAMADAS NI WHATSAPP</v>
      </c>
      <c r="AG1790" s="65" t="str">
        <f>IFERROR(__xludf.DUMMYFUNCTION("""COMPUTED_VALUE"""),"NO")</f>
        <v>NO</v>
      </c>
      <c r="AH1790" s="65" t="str">
        <f>IFERROR(__xludf.DUMMYFUNCTION("""COMPUTED_VALUE"""),"09:00")</f>
        <v>09:00</v>
      </c>
      <c r="AI1790" s="65" t="str">
        <f>IFERROR(__xludf.DUMMYFUNCTION("""COMPUTED_VALUE"""),"27-01-2026")</f>
        <v>27-01-2026</v>
      </c>
      <c r="AJ1790" s="65"/>
      <c r="AK1790" s="65"/>
      <c r="AL1790" s="65"/>
      <c r="AM1790" s="65"/>
      <c r="AN1790" s="65" t="str">
        <f>IFERROR(__xludf.DUMMYFUNCTION("""COMPUTED_VALUE"""),"08:59")</f>
        <v>08:59</v>
      </c>
      <c r="AO1790" s="65" t="str">
        <f>IFERROR(__xludf.DUMMYFUNCTION("""COMPUTED_VALUE"""),"09-02-2026")</f>
        <v>09-02-2026</v>
      </c>
      <c r="AP1790" s="65" t="str">
        <f>IFERROR(__xludf.DUMMYFUNCTION("""COMPUTED_VALUE"""),"DEVOLUCIÓN ENTREGADA A ORIGEN")</f>
        <v>DEVOLUCIÓN ENTREGADA A ORIGEN</v>
      </c>
      <c r="AQ1790" s="65" t="str">
        <f>IFERROR(__xludf.DUMMYFUNCTION("""COMPUTED_VALUE"""),"DEVOLUCIÓN ENTREGADA A ORIGEN")</f>
        <v>DEVOLUCIÓN ENTREGADA A ORIGEN</v>
      </c>
      <c r="AR1790" s="65"/>
      <c r="AS1790" s="65"/>
      <c r="AT1790" s="65" t="str">
        <f>IFERROR(__xludf.DUMMYFUNCTION("""COMPUTED_VALUE"""),"SHOPIFY")</f>
        <v>SHOPIFY</v>
      </c>
      <c r="AU1790" s="65" t="str">
        <f>IFERROR(__xludf.DUMMYFUNCTION("""COMPUTED_VALUE"""),"IMPORTEX EC")</f>
        <v>IMPORTEX EC</v>
      </c>
      <c r="AV1790" s="65" t="str">
        <f>IFERROR(__xludf.DUMMYFUNCTION("""COMPUTED_VALUE"""),"6413683097644")</f>
        <v>6413683097644</v>
      </c>
      <c r="AW1790" s="65">
        <f>IFERROR(__xludf.DUMMYFUNCTION("""COMPUTED_VALUE"""),5160.0)</f>
        <v>5160</v>
      </c>
      <c r="AX1790" s="65"/>
      <c r="AY1790" s="65" t="str">
        <f>IFERROR(__xludf.DUMMYFUNCTION("""COMPUTED_VALUE"""),"16/01/2026")</f>
        <v>16/01/2026</v>
      </c>
      <c r="AZ1790" s="65"/>
      <c r="BA1790" s="65"/>
    </row>
    <row r="1791">
      <c r="A1791" s="65" t="str">
        <f>IFERROR(__xludf.DUMMYFUNCTION("""COMPUTED_VALUE"""),"27-03-2026")</f>
        <v>27-03-2026</v>
      </c>
      <c r="B1791" s="65">
        <f>IFERROR(__xludf.DUMMYFUNCTION("""COMPUTED_VALUE"""),4141074.0)</f>
        <v>4141074</v>
      </c>
      <c r="C1791" s="65" t="str">
        <f>IFERROR(__xludf.DUMMYFUNCTION("""COMPUTED_VALUE"""),"08:10")</f>
        <v>08:10</v>
      </c>
      <c r="D1791" s="65" t="str">
        <f>IFERROR(__xludf.DUMMYFUNCTION("""COMPUTED_VALUE"""),"14-01-2026")</f>
        <v>14-01-2026</v>
      </c>
      <c r="E1791" s="65" t="str">
        <f>IFERROR(__xludf.DUMMYFUNCTION("""COMPUTED_VALUE"""),"Ivan Vera")</f>
        <v>Ivan Vera</v>
      </c>
      <c r="F1791" s="65" t="str">
        <f>IFERROR(__xludf.DUMMYFUNCTION("""COMPUTED_VALUE"""),"939733408")</f>
        <v>939733408</v>
      </c>
      <c r="G1791" s="65" t="str">
        <f>IFERROR(__xludf.DUMMYFUNCTION("""COMPUTED_VALUE"""),"ivanvera38@hotmail.com")</f>
        <v>ivanvera38@hotmail.com</v>
      </c>
      <c r="H1791" s="65"/>
      <c r="I1791" s="65"/>
      <c r="J1791" s="65"/>
      <c r="K1791" s="65" t="str">
        <f>IFERROR(__xludf.DUMMYFUNCTION("""COMPUTED_VALUE"""),"CANCELADO")</f>
        <v>CANCELADO</v>
      </c>
      <c r="L1791" s="65" t="str">
        <f>IFERROR(__xludf.DUMMYFUNCTION("""COMPUTED_VALUE"""),"CON RECAUDO")</f>
        <v>CON RECAUDO</v>
      </c>
      <c r="M1791" s="65" t="str">
        <f>IFERROR(__xludf.DUMMYFUNCTION("""COMPUTED_VALUE"""),"MANABI")</f>
        <v>MANABI</v>
      </c>
      <c r="N1791" s="65" t="str">
        <f>IFERROR(__xludf.DUMMYFUNCTION("""COMPUTED_VALUE"""),"PEDERNALES")</f>
        <v>PEDERNALES</v>
      </c>
      <c r="O1791" s="65" t="str">
        <f>IFERROR(__xludf.DUMMYFUNCTION("""COMPUTED_VALUE"""),"Vía ah pueblo nuevo alado del ancianato patronal Cojimíes -")</f>
        <v>Vía ah pueblo nuevo alado del ancianato patronal Cojimíes -</v>
      </c>
      <c r="P1791" s="65"/>
      <c r="Q1791" s="65" t="str">
        <f>IFERROR(__xludf.DUMMYFUNCTION("""COMPUTED_VALUE"""),"SERVIENTREGA")</f>
        <v>SERVIENTREGA</v>
      </c>
      <c r="R1791" s="65">
        <f>IFERROR(__xludf.DUMMYFUNCTION("""COMPUTED_VALUE"""),25.0)</f>
        <v>25</v>
      </c>
      <c r="S1791" s="65"/>
      <c r="T1791" s="65">
        <f>IFERROR(__xludf.DUMMYFUNCTION("""COMPUTED_VALUE"""),7.75)</f>
        <v>7.75</v>
      </c>
      <c r="U1791" s="65">
        <f>IFERROR(__xludf.DUMMYFUNCTION("""COMPUTED_VALUE"""),0.0)</f>
        <v>0</v>
      </c>
      <c r="V1791" s="65">
        <f>IFERROR(__xludf.DUMMYFUNCTION("""COMPUTED_VALUE"""),0.0)</f>
        <v>0</v>
      </c>
      <c r="W1791" s="65">
        <f>IFERROR(__xludf.DUMMYFUNCTION("""COMPUTED_VALUE"""),0.0)</f>
        <v>0</v>
      </c>
      <c r="X1791" s="65">
        <f>IFERROR(__xludf.DUMMYFUNCTION("""COMPUTED_VALUE"""),2.35)</f>
        <v>2.35</v>
      </c>
      <c r="Y1791" s="65">
        <f>IFERROR(__xludf.DUMMYFUNCTION("""COMPUTED_VALUE"""),4.7)</f>
        <v>4.7</v>
      </c>
      <c r="Z1791" s="65">
        <f>IFERROR(__xludf.DUMMYFUNCTION("""COMPUTED_VALUE"""),116679.0)</f>
        <v>116679</v>
      </c>
      <c r="AA1791" s="65" t="str">
        <f>IFERROR(__xludf.DUMMYFUNCTION("""COMPUTED_VALUE"""),"AMC-2738")</f>
        <v>AMC-2738</v>
      </c>
      <c r="AB1791" s="65"/>
      <c r="AC1791" s="65" t="str">
        <f>IFERROR(__xludf.DUMMYFUNCTION("""COMPUTED_VALUE"""),"ESPONJA ANTILLUVIA DE PARABRISAS")</f>
        <v>ESPONJA ANTILLUVIA DE PARABRISAS</v>
      </c>
      <c r="AD1791" s="65"/>
      <c r="AE1791" s="65">
        <f>IFERROR(__xludf.DUMMYFUNCTION("""COMPUTED_VALUE"""),2.0)</f>
        <v>2</v>
      </c>
      <c r="AF1791" s="65"/>
      <c r="AG1791" s="65"/>
      <c r="AH1791" s="65"/>
      <c r="AI1791" s="65"/>
      <c r="AJ1791" s="65"/>
      <c r="AK1791" s="65"/>
      <c r="AL1791" s="65"/>
      <c r="AM1791" s="65"/>
      <c r="AN1791" s="65"/>
      <c r="AO1791" s="65"/>
      <c r="AP1791" s="65"/>
      <c r="AQ1791" s="65"/>
      <c r="AR1791" s="65"/>
      <c r="AS1791" s="65"/>
      <c r="AT1791" s="65" t="str">
        <f>IFERROR(__xludf.DUMMYFUNCTION("""COMPUTED_VALUE"""),"SHOPIFY")</f>
        <v>SHOPIFY</v>
      </c>
      <c r="AU1791" s="65" t="str">
        <f>IFERROR(__xludf.DUMMYFUNCTION("""COMPUTED_VALUE"""),"IMPORTEX EC")</f>
        <v>IMPORTEX EC</v>
      </c>
      <c r="AV1791" s="65" t="str">
        <f>IFERROR(__xludf.DUMMYFUNCTION("""COMPUTED_VALUE"""),"6413679132716")</f>
        <v>6413679132716</v>
      </c>
      <c r="AW1791" s="65">
        <f>IFERROR(__xludf.DUMMYFUNCTION("""COMPUTED_VALUE"""),5159.0)</f>
        <v>5159</v>
      </c>
      <c r="AX1791" s="65"/>
      <c r="AY1791" s="65"/>
      <c r="AZ1791" s="65"/>
      <c r="BA1791" s="65"/>
    </row>
    <row r="1792">
      <c r="A1792" s="65" t="str">
        <f>IFERROR(__xludf.DUMMYFUNCTION("""COMPUTED_VALUE"""),"27-03-2026")</f>
        <v>27-03-2026</v>
      </c>
      <c r="B1792" s="65">
        <f>IFERROR(__xludf.DUMMYFUNCTION("""COMPUTED_VALUE"""),4140952.0)</f>
        <v>4140952</v>
      </c>
      <c r="C1792" s="65" t="str">
        <f>IFERROR(__xludf.DUMMYFUNCTION("""COMPUTED_VALUE"""),"07:57")</f>
        <v>07:57</v>
      </c>
      <c r="D1792" s="65" t="str">
        <f>IFERROR(__xludf.DUMMYFUNCTION("""COMPUTED_VALUE"""),"14-01-2026")</f>
        <v>14-01-2026</v>
      </c>
      <c r="E1792" s="65" t="str">
        <f>IFERROR(__xludf.DUMMYFUNCTION("""COMPUTED_VALUE"""),"Calva cristian Calva Ojeda")</f>
        <v>Calva cristian Calva Ojeda</v>
      </c>
      <c r="F1792" s="65" t="str">
        <f>IFERROR(__xludf.DUMMYFUNCTION("""COMPUTED_VALUE"""),"988559198")</f>
        <v>988559198</v>
      </c>
      <c r="G1792" s="65" t="str">
        <f>IFERROR(__xludf.DUMMYFUNCTION("""COMPUTED_VALUE"""),"calvacristian938@gmail.com")</f>
        <v>calvacristian938@gmail.com</v>
      </c>
      <c r="H1792" s="65"/>
      <c r="I1792" s="65"/>
      <c r="J1792" s="65" t="str">
        <f>IFERROR(__xludf.DUMMYFUNCTION("""COMPUTED_VALUE"""),"D001231761")</f>
        <v>D001231761</v>
      </c>
      <c r="K1792" s="65" t="str">
        <f>IFERROR(__xludf.DUMMYFUNCTION("""COMPUTED_VALUE"""),"DEVOLUCION")</f>
        <v>DEVOLUCION</v>
      </c>
      <c r="L1792" s="65" t="str">
        <f>IFERROR(__xludf.DUMMYFUNCTION("""COMPUTED_VALUE"""),"CON RECAUDO")</f>
        <v>CON RECAUDO</v>
      </c>
      <c r="M1792" s="65" t="str">
        <f>IFERROR(__xludf.DUMMYFUNCTION("""COMPUTED_VALUE"""),"SUCUMBIOS")</f>
        <v>SUCUMBIOS</v>
      </c>
      <c r="N1792" s="65" t="str">
        <f>IFERROR(__xludf.DUMMYFUNCTION("""COMPUTED_VALUE"""),"SHUSHUFINDI")</f>
        <v>SHUSHUFINDI</v>
      </c>
      <c r="O1792" s="65" t="str">
        <f>IFERROR(__xludf.DUMMYFUNCTION("""COMPUTED_VALUE"""),"Calle Ambato y  Rocafuerte -  Barrio Orellana")</f>
        <v>Calle Ambato y  Rocafuerte -  Barrio Orellana</v>
      </c>
      <c r="P1792" s="65"/>
      <c r="Q1792" s="65" t="str">
        <f>IFERROR(__xludf.DUMMYFUNCTION("""COMPUTED_VALUE"""),"GINTRACOM")</f>
        <v>GINTRACOM</v>
      </c>
      <c r="R1792" s="65">
        <f>IFERROR(__xludf.DUMMYFUNCTION("""COMPUTED_VALUE"""),25.0)</f>
        <v>25</v>
      </c>
      <c r="S1792" s="65"/>
      <c r="T1792" s="65">
        <f>IFERROR(__xludf.DUMMYFUNCTION("""COMPUTED_VALUE"""),5.96)</f>
        <v>5.96</v>
      </c>
      <c r="U1792" s="65">
        <f>IFERROR(__xludf.DUMMYFUNCTION("""COMPUTED_VALUE"""),0.0)</f>
        <v>0</v>
      </c>
      <c r="V1792" s="65">
        <f>IFERROR(__xludf.DUMMYFUNCTION("""COMPUTED_VALUE"""),0.0)</f>
        <v>0</v>
      </c>
      <c r="W1792" s="65">
        <f>IFERROR(__xludf.DUMMYFUNCTION("""COMPUTED_VALUE"""),0.0)</f>
        <v>0</v>
      </c>
      <c r="X1792" s="65">
        <f>IFERROR(__xludf.DUMMYFUNCTION("""COMPUTED_VALUE"""),2.35)</f>
        <v>2.35</v>
      </c>
      <c r="Y1792" s="65">
        <f>IFERROR(__xludf.DUMMYFUNCTION("""COMPUTED_VALUE"""),4.7)</f>
        <v>4.7</v>
      </c>
      <c r="Z1792" s="65">
        <f>IFERROR(__xludf.DUMMYFUNCTION("""COMPUTED_VALUE"""),116679.0)</f>
        <v>116679</v>
      </c>
      <c r="AA1792" s="65" t="str">
        <f>IFERROR(__xludf.DUMMYFUNCTION("""COMPUTED_VALUE"""),"AMC-2738")</f>
        <v>AMC-2738</v>
      </c>
      <c r="AB1792" s="65"/>
      <c r="AC1792" s="65" t="str">
        <f>IFERROR(__xludf.DUMMYFUNCTION("""COMPUTED_VALUE"""),"ESPONJA ANTILLUVIA DE PARABRISAS")</f>
        <v>ESPONJA ANTILLUVIA DE PARABRISAS</v>
      </c>
      <c r="AD1792" s="65"/>
      <c r="AE1792" s="65">
        <f>IFERROR(__xludf.DUMMYFUNCTION("""COMPUTED_VALUE"""),2.0)</f>
        <v>2</v>
      </c>
      <c r="AF1792" s="65" t="str">
        <f>IFERROR(__xludf.DUMMYFUNCTION("""COMPUTED_VALUE"""),"DESTINATARIO NO CONTESTA LLAMADAS NI WHATSAPP")</f>
        <v>DESTINATARIO NO CONTESTA LLAMADAS NI WHATSAPP</v>
      </c>
      <c r="AG1792" s="65" t="str">
        <f>IFERROR(__xludf.DUMMYFUNCTION("""COMPUTED_VALUE"""),"NO")</f>
        <v>NO</v>
      </c>
      <c r="AH1792" s="65" t="str">
        <f>IFERROR(__xludf.DUMMYFUNCTION("""COMPUTED_VALUE"""),"09:00")</f>
        <v>09:00</v>
      </c>
      <c r="AI1792" s="65" t="str">
        <f>IFERROR(__xludf.DUMMYFUNCTION("""COMPUTED_VALUE"""),"27-01-2026")</f>
        <v>27-01-2026</v>
      </c>
      <c r="AJ1792" s="65"/>
      <c r="AK1792" s="65"/>
      <c r="AL1792" s="65"/>
      <c r="AM1792" s="65"/>
      <c r="AN1792" s="65" t="str">
        <f>IFERROR(__xludf.DUMMYFUNCTION("""COMPUTED_VALUE"""),"17:13")</f>
        <v>17:13</v>
      </c>
      <c r="AO1792" s="65" t="str">
        <f>IFERROR(__xludf.DUMMYFUNCTION("""COMPUTED_VALUE"""),"06-02-2026")</f>
        <v>06-02-2026</v>
      </c>
      <c r="AP1792" s="65" t="str">
        <f>IFERROR(__xludf.DUMMYFUNCTION("""COMPUTED_VALUE"""),"DEVOLUCIÓN ENTREGADA A ORIGEN")</f>
        <v>DEVOLUCIÓN ENTREGADA A ORIGEN</v>
      </c>
      <c r="AQ1792" s="65" t="str">
        <f>IFERROR(__xludf.DUMMYFUNCTION("""COMPUTED_VALUE"""),"DEVOLUCIÓN ENTREGADA A ORIGEN")</f>
        <v>DEVOLUCIÓN ENTREGADA A ORIGEN</v>
      </c>
      <c r="AR1792" s="65"/>
      <c r="AS1792" s="65"/>
      <c r="AT1792" s="65" t="str">
        <f>IFERROR(__xludf.DUMMYFUNCTION("""COMPUTED_VALUE"""),"SHOPIFY")</f>
        <v>SHOPIFY</v>
      </c>
      <c r="AU1792" s="65" t="str">
        <f>IFERROR(__xludf.DUMMYFUNCTION("""COMPUTED_VALUE"""),"IMPORTEX EC")</f>
        <v>IMPORTEX EC</v>
      </c>
      <c r="AV1792" s="65" t="str">
        <f>IFERROR(__xludf.DUMMYFUNCTION("""COMPUTED_VALUE"""),"6413654491180")</f>
        <v>6413654491180</v>
      </c>
      <c r="AW1792" s="65">
        <f>IFERROR(__xludf.DUMMYFUNCTION("""COMPUTED_VALUE"""),5158.0)</f>
        <v>5158</v>
      </c>
      <c r="AX1792" s="65"/>
      <c r="AY1792" s="65" t="str">
        <f>IFERROR(__xludf.DUMMYFUNCTION("""COMPUTED_VALUE"""),"16/01/2026")</f>
        <v>16/01/2026</v>
      </c>
      <c r="AZ1792" s="65"/>
      <c r="BA1792" s="65"/>
    </row>
    <row r="1793">
      <c r="A1793" s="65" t="str">
        <f>IFERROR(__xludf.DUMMYFUNCTION("""COMPUTED_VALUE"""),"27-03-2026")</f>
        <v>27-03-2026</v>
      </c>
      <c r="B1793" s="65">
        <f>IFERROR(__xludf.DUMMYFUNCTION("""COMPUTED_VALUE"""),4140625.0)</f>
        <v>4140625</v>
      </c>
      <c r="C1793" s="65" t="str">
        <f>IFERROR(__xludf.DUMMYFUNCTION("""COMPUTED_VALUE"""),"07:32")</f>
        <v>07:32</v>
      </c>
      <c r="D1793" s="65" t="str">
        <f>IFERROR(__xludf.DUMMYFUNCTION("""COMPUTED_VALUE"""),"14-01-2026")</f>
        <v>14-01-2026</v>
      </c>
      <c r="E1793" s="65" t="str">
        <f>IFERROR(__xludf.DUMMYFUNCTION("""COMPUTED_VALUE"""),"Soraya Perez")</f>
        <v>Soraya Perez</v>
      </c>
      <c r="F1793" s="65" t="str">
        <f>IFERROR(__xludf.DUMMYFUNCTION("""COMPUTED_VALUE"""),"998553980")</f>
        <v>998553980</v>
      </c>
      <c r="G1793" s="65" t="str">
        <f>IFERROR(__xludf.DUMMYFUNCTION("""COMPUTED_VALUE"""),"perez_soraya@hotmail.com")</f>
        <v>perez_soraya@hotmail.com</v>
      </c>
      <c r="H1793" s="65"/>
      <c r="I1793" s="65"/>
      <c r="J1793" s="65" t="str">
        <f>IFERROR(__xludf.DUMMYFUNCTION("""COMPUTED_VALUE"""),"D001231762")</f>
        <v>D001231762</v>
      </c>
      <c r="K1793" s="65" t="str">
        <f>IFERROR(__xludf.DUMMYFUNCTION("""COMPUTED_VALUE"""),"ENTREGADO")</f>
        <v>ENTREGADO</v>
      </c>
      <c r="L1793" s="65" t="str">
        <f>IFERROR(__xludf.DUMMYFUNCTION("""COMPUTED_VALUE"""),"CON RECAUDO")</f>
        <v>CON RECAUDO</v>
      </c>
      <c r="M1793" s="65" t="str">
        <f>IFERROR(__xludf.DUMMYFUNCTION("""COMPUTED_VALUE"""),"PICHINCHA")</f>
        <v>PICHINCHA</v>
      </c>
      <c r="N1793" s="65" t="str">
        <f>IFERROR(__xludf.DUMMYFUNCTION("""COMPUTED_VALUE"""),"QUITO")</f>
        <v>QUITO</v>
      </c>
      <c r="O1793" s="65" t="str">
        <f>IFERROR(__xludf.DUMMYFUNCTION("""COMPUTED_VALUE"""),"AV. Melchor de Valdez y virgilio corral -   REF: Conjunto Mirador del Bosque II -  Casa 93")</f>
        <v>AV. Melchor de Valdez y virgilio corral -   REF: Conjunto Mirador del Bosque II -  Casa 93</v>
      </c>
      <c r="P1793" s="65"/>
      <c r="Q1793" s="65" t="str">
        <f>IFERROR(__xludf.DUMMYFUNCTION("""COMPUTED_VALUE"""),"GINTRACOM")</f>
        <v>GINTRACOM</v>
      </c>
      <c r="R1793" s="65">
        <f>IFERROR(__xludf.DUMMYFUNCTION("""COMPUTED_VALUE"""),30.0)</f>
        <v>30</v>
      </c>
      <c r="S1793" s="65">
        <f>IFERROR(__xludf.DUMMYFUNCTION("""COMPUTED_VALUE"""),18.4)</f>
        <v>18.4</v>
      </c>
      <c r="T1793" s="65">
        <f>IFERROR(__xludf.DUMMYFUNCTION("""COMPUTED_VALUE"""),4.55)</f>
        <v>4.55</v>
      </c>
      <c r="U1793" s="65">
        <f>IFERROR(__xludf.DUMMYFUNCTION("""COMPUTED_VALUE"""),0.0)</f>
        <v>0</v>
      </c>
      <c r="V1793" s="65">
        <f>IFERROR(__xludf.DUMMYFUNCTION("""COMPUTED_VALUE"""),0.0)</f>
        <v>0</v>
      </c>
      <c r="W1793" s="65">
        <f>IFERROR(__xludf.DUMMYFUNCTION("""COMPUTED_VALUE"""),0.0)</f>
        <v>0</v>
      </c>
      <c r="X1793" s="65">
        <f>IFERROR(__xludf.DUMMYFUNCTION("""COMPUTED_VALUE"""),2.35)</f>
        <v>2.35</v>
      </c>
      <c r="Y1793" s="65">
        <f>IFERROR(__xludf.DUMMYFUNCTION("""COMPUTED_VALUE"""),7.05)</f>
        <v>7.05</v>
      </c>
      <c r="Z1793" s="65">
        <f>IFERROR(__xludf.DUMMYFUNCTION("""COMPUTED_VALUE"""),116679.0)</f>
        <v>116679</v>
      </c>
      <c r="AA1793" s="65" t="str">
        <f>IFERROR(__xludf.DUMMYFUNCTION("""COMPUTED_VALUE"""),"AMC-2738")</f>
        <v>AMC-2738</v>
      </c>
      <c r="AB1793" s="65"/>
      <c r="AC1793" s="65" t="str">
        <f>IFERROR(__xludf.DUMMYFUNCTION("""COMPUTED_VALUE"""),"ESPONJA ANTILLUVIA DE PARABRISAS")</f>
        <v>ESPONJA ANTILLUVIA DE PARABRISAS</v>
      </c>
      <c r="AD1793" s="65"/>
      <c r="AE1793" s="65">
        <f>IFERROR(__xludf.DUMMYFUNCTION("""COMPUTED_VALUE"""),3.0)</f>
        <v>3</v>
      </c>
      <c r="AF1793" s="65"/>
      <c r="AG1793" s="65"/>
      <c r="AH1793" s="65"/>
      <c r="AI1793" s="65"/>
      <c r="AJ1793" s="65"/>
      <c r="AK1793" s="65"/>
      <c r="AL1793" s="65"/>
      <c r="AM1793" s="65"/>
      <c r="AN1793" s="65" t="str">
        <f>IFERROR(__xludf.DUMMYFUNCTION("""COMPUTED_VALUE"""),"01:31")</f>
        <v>01:31</v>
      </c>
      <c r="AO1793" s="65" t="str">
        <f>IFERROR(__xludf.DUMMYFUNCTION("""COMPUTED_VALUE"""),"21-01-2026")</f>
        <v>21-01-2026</v>
      </c>
      <c r="AP1793" s="65" t="str">
        <f>IFERROR(__xludf.DUMMYFUNCTION("""COMPUTED_VALUE"""),"ENTREGADA GINTRACOM")</f>
        <v>ENTREGADA GINTRACOM</v>
      </c>
      <c r="AQ1793" s="65" t="str">
        <f>IFERROR(__xludf.DUMMYFUNCTION("""COMPUTED_VALUE"""),"ENTREGADA GINTRACOM")</f>
        <v>ENTREGADA GINTRACOM</v>
      </c>
      <c r="AR1793" s="65"/>
      <c r="AS1793" s="65"/>
      <c r="AT1793" s="65" t="str">
        <f>IFERROR(__xludf.DUMMYFUNCTION("""COMPUTED_VALUE"""),"SHOPIFY")</f>
        <v>SHOPIFY</v>
      </c>
      <c r="AU1793" s="65" t="str">
        <f>IFERROR(__xludf.DUMMYFUNCTION("""COMPUTED_VALUE"""),"IMPORTEX EC")</f>
        <v>IMPORTEX EC</v>
      </c>
      <c r="AV1793" s="65" t="str">
        <f>IFERROR(__xludf.DUMMYFUNCTION("""COMPUTED_VALUE"""),"6413623230508")</f>
        <v>6413623230508</v>
      </c>
      <c r="AW1793" s="65">
        <f>IFERROR(__xludf.DUMMYFUNCTION("""COMPUTED_VALUE"""),5157.0)</f>
        <v>5157</v>
      </c>
      <c r="AX1793" s="65"/>
      <c r="AY1793" s="65" t="str">
        <f>IFERROR(__xludf.DUMMYFUNCTION("""COMPUTED_VALUE"""),"16/01/2026")</f>
        <v>16/01/2026</v>
      </c>
      <c r="AZ1793" s="65"/>
      <c r="BA1793" s="65"/>
    </row>
    <row r="1794">
      <c r="A1794" s="65" t="str">
        <f>IFERROR(__xludf.DUMMYFUNCTION("""COMPUTED_VALUE"""),"27-03-2026")</f>
        <v>27-03-2026</v>
      </c>
      <c r="B1794" s="65">
        <f>IFERROR(__xludf.DUMMYFUNCTION("""COMPUTED_VALUE"""),4140595.0)</f>
        <v>4140595</v>
      </c>
      <c r="C1794" s="65" t="str">
        <f>IFERROR(__xludf.DUMMYFUNCTION("""COMPUTED_VALUE"""),"07:28")</f>
        <v>07:28</v>
      </c>
      <c r="D1794" s="65" t="str">
        <f>IFERROR(__xludf.DUMMYFUNCTION("""COMPUTED_VALUE"""),"14-01-2026")</f>
        <v>14-01-2026</v>
      </c>
      <c r="E1794" s="65" t="str">
        <f>IFERROR(__xludf.DUMMYFUNCTION("""COMPUTED_VALUE"""),"Lady loor Loor Zambrano")</f>
        <v>Lady loor Loor Zambrano</v>
      </c>
      <c r="F1794" s="65" t="str">
        <f>IFERROR(__xludf.DUMMYFUNCTION("""COMPUTED_VALUE"""),"998506976")</f>
        <v>998506976</v>
      </c>
      <c r="G1794" s="65" t="str">
        <f>IFERROR(__xludf.DUMMYFUNCTION("""COMPUTED_VALUE"""),"ladyloor0926@hotmail.com")</f>
        <v>ladyloor0926@hotmail.com</v>
      </c>
      <c r="H1794" s="65"/>
      <c r="I1794" s="65"/>
      <c r="J1794" s="65" t="str">
        <f>IFERROR(__xludf.DUMMYFUNCTION("""COMPUTED_VALUE"""),"D001231763")</f>
        <v>D001231763</v>
      </c>
      <c r="K1794" s="65" t="str">
        <f>IFERROR(__xludf.DUMMYFUNCTION("""COMPUTED_VALUE"""),"ENTREGADO")</f>
        <v>ENTREGADO</v>
      </c>
      <c r="L1794" s="65" t="str">
        <f>IFERROR(__xludf.DUMMYFUNCTION("""COMPUTED_VALUE"""),"CON RECAUDO")</f>
        <v>CON RECAUDO</v>
      </c>
      <c r="M1794" s="65" t="str">
        <f>IFERROR(__xludf.DUMMYFUNCTION("""COMPUTED_VALUE"""),"MANABI")</f>
        <v>MANABI</v>
      </c>
      <c r="N1794" s="65" t="str">
        <f>IFERROR(__xludf.DUMMYFUNCTION("""COMPUTED_VALUE"""),"MANTA")</f>
        <v>MANTA</v>
      </c>
      <c r="O1794" s="65" t="str">
        <f>IFERROR(__xludf.DUMMYFUNCTION("""COMPUTED_VALUE"""),"Por La Cancha De Beisbol Al La y villas del seguro -")</f>
        <v>Por La Cancha De Beisbol Al La y villas del seguro -</v>
      </c>
      <c r="P1794" s="65"/>
      <c r="Q1794" s="65" t="str">
        <f>IFERROR(__xludf.DUMMYFUNCTION("""COMPUTED_VALUE"""),"GINTRACOM")</f>
        <v>GINTRACOM</v>
      </c>
      <c r="R1794" s="65">
        <f>IFERROR(__xludf.DUMMYFUNCTION("""COMPUTED_VALUE"""),30.0)</f>
        <v>30</v>
      </c>
      <c r="S1794" s="65">
        <f>IFERROR(__xludf.DUMMYFUNCTION("""COMPUTED_VALUE"""),16.79)</f>
        <v>16.79</v>
      </c>
      <c r="T1794" s="65">
        <f>IFERROR(__xludf.DUMMYFUNCTION("""COMPUTED_VALUE"""),6.16)</f>
        <v>6.16</v>
      </c>
      <c r="U1794" s="65">
        <f>IFERROR(__xludf.DUMMYFUNCTION("""COMPUTED_VALUE"""),0.0)</f>
        <v>0</v>
      </c>
      <c r="V1794" s="65">
        <f>IFERROR(__xludf.DUMMYFUNCTION("""COMPUTED_VALUE"""),0.0)</f>
        <v>0</v>
      </c>
      <c r="W1794" s="65">
        <f>IFERROR(__xludf.DUMMYFUNCTION("""COMPUTED_VALUE"""),0.0)</f>
        <v>0</v>
      </c>
      <c r="X1794" s="65">
        <f>IFERROR(__xludf.DUMMYFUNCTION("""COMPUTED_VALUE"""),2.35)</f>
        <v>2.35</v>
      </c>
      <c r="Y1794" s="65">
        <f>IFERROR(__xludf.DUMMYFUNCTION("""COMPUTED_VALUE"""),7.05)</f>
        <v>7.05</v>
      </c>
      <c r="Z1794" s="65">
        <f>IFERROR(__xludf.DUMMYFUNCTION("""COMPUTED_VALUE"""),116679.0)</f>
        <v>116679</v>
      </c>
      <c r="AA1794" s="65" t="str">
        <f>IFERROR(__xludf.DUMMYFUNCTION("""COMPUTED_VALUE"""),"AMC-2738")</f>
        <v>AMC-2738</v>
      </c>
      <c r="AB1794" s="65"/>
      <c r="AC1794" s="65" t="str">
        <f>IFERROR(__xludf.DUMMYFUNCTION("""COMPUTED_VALUE"""),"ESPONJA ANTILLUVIA DE PARABRISAS")</f>
        <v>ESPONJA ANTILLUVIA DE PARABRISAS</v>
      </c>
      <c r="AD1794" s="65"/>
      <c r="AE1794" s="65">
        <f>IFERROR(__xludf.DUMMYFUNCTION("""COMPUTED_VALUE"""),3.0)</f>
        <v>3</v>
      </c>
      <c r="AF1794" s="65"/>
      <c r="AG1794" s="65"/>
      <c r="AH1794" s="65"/>
      <c r="AI1794" s="65"/>
      <c r="AJ1794" s="65"/>
      <c r="AK1794" s="65"/>
      <c r="AL1794" s="65"/>
      <c r="AM1794" s="65"/>
      <c r="AN1794" s="65" t="str">
        <f>IFERROR(__xludf.DUMMYFUNCTION("""COMPUTED_VALUE"""),"01:30")</f>
        <v>01:30</v>
      </c>
      <c r="AO1794" s="65" t="str">
        <f>IFERROR(__xludf.DUMMYFUNCTION("""COMPUTED_VALUE"""),"21-01-2026")</f>
        <v>21-01-2026</v>
      </c>
      <c r="AP1794" s="65" t="str">
        <f>IFERROR(__xludf.DUMMYFUNCTION("""COMPUTED_VALUE"""),"ENTREGADA GINTRACOM")</f>
        <v>ENTREGADA GINTRACOM</v>
      </c>
      <c r="AQ1794" s="65" t="str">
        <f>IFERROR(__xludf.DUMMYFUNCTION("""COMPUTED_VALUE"""),"ENTREGADA GINTRACOM")</f>
        <v>ENTREGADA GINTRACOM</v>
      </c>
      <c r="AR1794" s="65"/>
      <c r="AS1794" s="65"/>
      <c r="AT1794" s="65" t="str">
        <f>IFERROR(__xludf.DUMMYFUNCTION("""COMPUTED_VALUE"""),"SHOPIFY")</f>
        <v>SHOPIFY</v>
      </c>
      <c r="AU1794" s="65" t="str">
        <f>IFERROR(__xludf.DUMMYFUNCTION("""COMPUTED_VALUE"""),"IMPORTEX EC")</f>
        <v>IMPORTEX EC</v>
      </c>
      <c r="AV1794" s="65" t="str">
        <f>IFERROR(__xludf.DUMMYFUNCTION("""COMPUTED_VALUE"""),"6413619298348")</f>
        <v>6413619298348</v>
      </c>
      <c r="AW1794" s="65">
        <f>IFERROR(__xludf.DUMMYFUNCTION("""COMPUTED_VALUE"""),5156.0)</f>
        <v>5156</v>
      </c>
      <c r="AX1794" s="65"/>
      <c r="AY1794" s="65" t="str">
        <f>IFERROR(__xludf.DUMMYFUNCTION("""COMPUTED_VALUE"""),"16/01/2026")</f>
        <v>16/01/2026</v>
      </c>
      <c r="AZ1794" s="65"/>
      <c r="BA1794" s="65"/>
    </row>
    <row r="1795">
      <c r="A1795" s="65" t="str">
        <f>IFERROR(__xludf.DUMMYFUNCTION("""COMPUTED_VALUE"""),"27-03-2026")</f>
        <v>27-03-2026</v>
      </c>
      <c r="B1795" s="65">
        <f>IFERROR(__xludf.DUMMYFUNCTION("""COMPUTED_VALUE"""),4140003.0)</f>
        <v>4140003</v>
      </c>
      <c r="C1795" s="65" t="str">
        <f>IFERROR(__xludf.DUMMYFUNCTION("""COMPUTED_VALUE"""),"05:38")</f>
        <v>05:38</v>
      </c>
      <c r="D1795" s="65" t="str">
        <f>IFERROR(__xludf.DUMMYFUNCTION("""COMPUTED_VALUE"""),"14-01-2026")</f>
        <v>14-01-2026</v>
      </c>
      <c r="E1795" s="65" t="str">
        <f>IFERROR(__xludf.DUMMYFUNCTION("""COMPUTED_VALUE"""),"Victor Alfonso Delgado Arizala")</f>
        <v>Victor Alfonso Delgado Arizala</v>
      </c>
      <c r="F1795" s="65" t="str">
        <f>IFERROR(__xludf.DUMMYFUNCTION("""COMPUTED_VALUE"""),"967459708")</f>
        <v>967459708</v>
      </c>
      <c r="G1795" s="65" t="str">
        <f>IFERROR(__xludf.DUMMYFUNCTION("""COMPUTED_VALUE"""),"vicdelgado991@gmail.com")</f>
        <v>vicdelgado991@gmail.com</v>
      </c>
      <c r="H1795" s="65"/>
      <c r="I1795" s="65"/>
      <c r="J1795" s="65"/>
      <c r="K1795" s="65" t="str">
        <f>IFERROR(__xludf.DUMMYFUNCTION("""COMPUTED_VALUE"""),"PENDIENTE CONFIRMACION")</f>
        <v>PENDIENTE CONFIRMACION</v>
      </c>
      <c r="L1795" s="65" t="str">
        <f>IFERROR(__xludf.DUMMYFUNCTION("""COMPUTED_VALUE"""),"CON RECAUDO")</f>
        <v>CON RECAUDO</v>
      </c>
      <c r="M1795" s="65" t="str">
        <f>IFERROR(__xludf.DUMMYFUNCTION("""COMPUTED_VALUE"""),"ORELLANA")</f>
        <v>ORELLANA</v>
      </c>
      <c r="N1795" s="65" t="str">
        <f>IFERROR(__xludf.DUMMYFUNCTION("""COMPUTED_VALUE"""),"EL COCA")</f>
        <v>EL COCA</v>
      </c>
      <c r="O1795" s="65" t="str">
        <f>IFERROR(__xludf.DUMMYFUNCTION("""COMPUTED_VALUE"""),"Oficina de Servientrega del Coca")</f>
        <v>Oficina de Servientrega del Coca</v>
      </c>
      <c r="P1795" s="65" t="str">
        <f>IFERROR(__xludf.DUMMYFUNCTION("""COMPUTED_VALUE"""),"ESPONJA ANTILLUVIA DE PARABRISAS: Default Title ***")</f>
        <v>ESPONJA ANTILLUVIA DE PARABRISAS: Default Title ***</v>
      </c>
      <c r="Q1795" s="65" t="str">
        <f>IFERROR(__xludf.DUMMYFUNCTION("""COMPUTED_VALUE"""),"GINTRACOM")</f>
        <v>GINTRACOM</v>
      </c>
      <c r="R1795" s="65">
        <f>IFERROR(__xludf.DUMMYFUNCTION("""COMPUTED_VALUE"""),20.0)</f>
        <v>20</v>
      </c>
      <c r="S1795" s="65"/>
      <c r="T1795" s="65">
        <f>IFERROR(__xludf.DUMMYFUNCTION("""COMPUTED_VALUE"""),5.76)</f>
        <v>5.76</v>
      </c>
      <c r="U1795" s="65">
        <f>IFERROR(__xludf.DUMMYFUNCTION("""COMPUTED_VALUE"""),0.0)</f>
        <v>0</v>
      </c>
      <c r="V1795" s="65">
        <f>IFERROR(__xludf.DUMMYFUNCTION("""COMPUTED_VALUE"""),0.0)</f>
        <v>0</v>
      </c>
      <c r="W1795" s="65">
        <f>IFERROR(__xludf.DUMMYFUNCTION("""COMPUTED_VALUE"""),0.0)</f>
        <v>0</v>
      </c>
      <c r="X1795" s="65">
        <f>IFERROR(__xludf.DUMMYFUNCTION("""COMPUTED_VALUE"""),2.35)</f>
        <v>2.35</v>
      </c>
      <c r="Y1795" s="65">
        <f>IFERROR(__xludf.DUMMYFUNCTION("""COMPUTED_VALUE"""),2.35)</f>
        <v>2.35</v>
      </c>
      <c r="Z1795" s="65">
        <f>IFERROR(__xludf.DUMMYFUNCTION("""COMPUTED_VALUE"""),116679.0)</f>
        <v>116679</v>
      </c>
      <c r="AA1795" s="65" t="str">
        <f>IFERROR(__xludf.DUMMYFUNCTION("""COMPUTED_VALUE"""),"AMC-2738")</f>
        <v>AMC-2738</v>
      </c>
      <c r="AB1795" s="65"/>
      <c r="AC1795" s="65" t="str">
        <f>IFERROR(__xludf.DUMMYFUNCTION("""COMPUTED_VALUE"""),"ESPONJA ANTILLUVIA DE PARABRISAS")</f>
        <v>ESPONJA ANTILLUVIA DE PARABRISAS</v>
      </c>
      <c r="AD1795" s="65"/>
      <c r="AE1795" s="65">
        <f>IFERROR(__xludf.DUMMYFUNCTION("""COMPUTED_VALUE"""),1.0)</f>
        <v>1</v>
      </c>
      <c r="AF1795" s="65"/>
      <c r="AG1795" s="65"/>
      <c r="AH1795" s="65"/>
      <c r="AI1795" s="65"/>
      <c r="AJ1795" s="65"/>
      <c r="AK1795" s="65"/>
      <c r="AL1795" s="65"/>
      <c r="AM1795" s="65"/>
      <c r="AN1795" s="65"/>
      <c r="AO1795" s="65"/>
      <c r="AP1795" s="65"/>
      <c r="AQ1795" s="65"/>
      <c r="AR1795" s="65"/>
      <c r="AS1795" s="65"/>
      <c r="AT1795" s="65" t="str">
        <f>IFERROR(__xludf.DUMMYFUNCTION("""COMPUTED_VALUE"""),"SHOPIFY")</f>
        <v>SHOPIFY</v>
      </c>
      <c r="AU1795" s="65" t="str">
        <f>IFERROR(__xludf.DUMMYFUNCTION("""COMPUTED_VALUE"""),"IMPORTEX EC")</f>
        <v>IMPORTEX EC</v>
      </c>
      <c r="AV1795" s="65" t="str">
        <f>IFERROR(__xludf.DUMMYFUNCTION("""COMPUTED_VALUE"""),"6413483900972")</f>
        <v>6413483900972</v>
      </c>
      <c r="AW1795" s="65">
        <f>IFERROR(__xludf.DUMMYFUNCTION("""COMPUTED_VALUE"""),5154.0)</f>
        <v>5154</v>
      </c>
      <c r="AX1795" s="65"/>
      <c r="AY1795" s="65"/>
      <c r="AZ1795" s="65"/>
      <c r="BA1795" s="65"/>
    </row>
    <row r="1796">
      <c r="A1796" s="65" t="str">
        <f>IFERROR(__xludf.DUMMYFUNCTION("""COMPUTED_VALUE"""),"27-03-2026")</f>
        <v>27-03-2026</v>
      </c>
      <c r="B1796" s="65">
        <f>IFERROR(__xludf.DUMMYFUNCTION("""COMPUTED_VALUE"""),4139881.0)</f>
        <v>4139881</v>
      </c>
      <c r="C1796" s="65" t="str">
        <f>IFERROR(__xludf.DUMMYFUNCTION("""COMPUTED_VALUE"""),"04:33")</f>
        <v>04:33</v>
      </c>
      <c r="D1796" s="65" t="str">
        <f>IFERROR(__xludf.DUMMYFUNCTION("""COMPUTED_VALUE"""),"14-01-2026")</f>
        <v>14-01-2026</v>
      </c>
      <c r="E1796" s="65" t="str">
        <f>IFERROR(__xludf.DUMMYFUNCTION("""COMPUTED_VALUE"""),"Haylis Palacios")</f>
        <v>Haylis Palacios</v>
      </c>
      <c r="F1796" s="65" t="str">
        <f>IFERROR(__xludf.DUMMYFUNCTION("""COMPUTED_VALUE"""),"988603310")</f>
        <v>988603310</v>
      </c>
      <c r="G1796" s="65" t="str">
        <f>IFERROR(__xludf.DUMMYFUNCTION("""COMPUTED_VALUE"""),"haylispalacios2@gmail.com")</f>
        <v>haylispalacios2@gmail.com</v>
      </c>
      <c r="H1796" s="65"/>
      <c r="I1796" s="65"/>
      <c r="J1796" s="65" t="str">
        <f>IFERROR(__xludf.DUMMYFUNCTION("""COMPUTED_VALUE"""),"186980627")</f>
        <v>186980627</v>
      </c>
      <c r="K1796" s="65" t="str">
        <f>IFERROR(__xludf.DUMMYFUNCTION("""COMPUTED_VALUE"""),"ENTREGADO")</f>
        <v>ENTREGADO</v>
      </c>
      <c r="L1796" s="65" t="str">
        <f>IFERROR(__xludf.DUMMYFUNCTION("""COMPUTED_VALUE"""),"CON RECAUDO")</f>
        <v>CON RECAUDO</v>
      </c>
      <c r="M1796" s="65" t="str">
        <f>IFERROR(__xludf.DUMMYFUNCTION("""COMPUTED_VALUE"""),"GUAYAS")</f>
        <v>GUAYAS</v>
      </c>
      <c r="N1796" s="65" t="str">
        <f>IFERROR(__xludf.DUMMYFUNCTION("""COMPUTED_VALUE"""),"LOMAS DE SARGENTILLO")</f>
        <v>LOMAS DE SARGENTILLO</v>
      </c>
      <c r="O1796" s="65" t="str">
        <f>IFERROR(__xludf.DUMMYFUNCTION("""COMPUTED_VALUE"""),"Sector san vicente calle 5 de Detrás de la iglesia de san vicente frente al taller camacho -")</f>
        <v>Sector san vicente calle 5 de Detrás de la iglesia de san vicente frente al taller camacho -</v>
      </c>
      <c r="P1796" s="65"/>
      <c r="Q1796" s="65" t="str">
        <f>IFERROR(__xludf.DUMMYFUNCTION("""COMPUTED_VALUE"""),"SERVIENTREGA")</f>
        <v>SERVIENTREGA</v>
      </c>
      <c r="R1796" s="65">
        <f>IFERROR(__xludf.DUMMYFUNCTION("""COMPUTED_VALUE"""),30.0)</f>
        <v>30</v>
      </c>
      <c r="S1796" s="65">
        <f>IFERROR(__xludf.DUMMYFUNCTION("""COMPUTED_VALUE"""),15.13)</f>
        <v>15.13</v>
      </c>
      <c r="T1796" s="65">
        <f>IFERROR(__xludf.DUMMYFUNCTION("""COMPUTED_VALUE"""),7.82)</f>
        <v>7.82</v>
      </c>
      <c r="U1796" s="65">
        <f>IFERROR(__xludf.DUMMYFUNCTION("""COMPUTED_VALUE"""),0.0)</f>
        <v>0</v>
      </c>
      <c r="V1796" s="65">
        <f>IFERROR(__xludf.DUMMYFUNCTION("""COMPUTED_VALUE"""),0.0)</f>
        <v>0</v>
      </c>
      <c r="W1796" s="65">
        <f>IFERROR(__xludf.DUMMYFUNCTION("""COMPUTED_VALUE"""),0.0)</f>
        <v>0</v>
      </c>
      <c r="X1796" s="65">
        <f>IFERROR(__xludf.DUMMYFUNCTION("""COMPUTED_VALUE"""),2.35)</f>
        <v>2.35</v>
      </c>
      <c r="Y1796" s="65">
        <f>IFERROR(__xludf.DUMMYFUNCTION("""COMPUTED_VALUE"""),7.05)</f>
        <v>7.05</v>
      </c>
      <c r="Z1796" s="65">
        <f>IFERROR(__xludf.DUMMYFUNCTION("""COMPUTED_VALUE"""),116679.0)</f>
        <v>116679</v>
      </c>
      <c r="AA1796" s="65" t="str">
        <f>IFERROR(__xludf.DUMMYFUNCTION("""COMPUTED_VALUE"""),"AMC-2738")</f>
        <v>AMC-2738</v>
      </c>
      <c r="AB1796" s="65"/>
      <c r="AC1796" s="65" t="str">
        <f>IFERROR(__xludf.DUMMYFUNCTION("""COMPUTED_VALUE"""),"ESPONJA ANTILLUVIA DE PARABRISAS")</f>
        <v>ESPONJA ANTILLUVIA DE PARABRISAS</v>
      </c>
      <c r="AD1796" s="65"/>
      <c r="AE1796" s="65">
        <f>IFERROR(__xludf.DUMMYFUNCTION("""COMPUTED_VALUE"""),3.0)</f>
        <v>3</v>
      </c>
      <c r="AF1796" s="65"/>
      <c r="AG1796" s="65"/>
      <c r="AH1796" s="65"/>
      <c r="AI1796" s="65"/>
      <c r="AJ1796" s="65"/>
      <c r="AK1796" s="65"/>
      <c r="AL1796" s="65"/>
      <c r="AM1796" s="65"/>
      <c r="AN1796" s="65" t="str">
        <f>IFERROR(__xludf.DUMMYFUNCTION("""COMPUTED_VALUE"""),"16:22")</f>
        <v>16:22</v>
      </c>
      <c r="AO1796" s="65" t="str">
        <f>IFERROR(__xludf.DUMMYFUNCTION("""COMPUTED_VALUE"""),"17-01-2026")</f>
        <v>17-01-2026</v>
      </c>
      <c r="AP1796" s="65" t="str">
        <f>IFERROR(__xludf.DUMMYFUNCTION("""COMPUTED_VALUE"""),"REPORTADO ENTREGADO EN APP")</f>
        <v>REPORTADO ENTREGADO EN APP</v>
      </c>
      <c r="AQ1796" s="65" t="str">
        <f>IFERROR(__xludf.DUMMYFUNCTION("""COMPUTED_VALUE"""),"haylis palacios")</f>
        <v>haylis palacios</v>
      </c>
      <c r="AR1796" s="65"/>
      <c r="AS1796" s="65"/>
      <c r="AT1796" s="65" t="str">
        <f>IFERROR(__xludf.DUMMYFUNCTION("""COMPUTED_VALUE"""),"SHOPIFY")</f>
        <v>SHOPIFY</v>
      </c>
      <c r="AU1796" s="65" t="str">
        <f>IFERROR(__xludf.DUMMYFUNCTION("""COMPUTED_VALUE"""),"IMPORTEX EC")</f>
        <v>IMPORTEX EC</v>
      </c>
      <c r="AV1796" s="65" t="str">
        <f>IFERROR(__xludf.DUMMYFUNCTION("""COMPUTED_VALUE"""),"6413441728556")</f>
        <v>6413441728556</v>
      </c>
      <c r="AW1796" s="65">
        <f>IFERROR(__xludf.DUMMYFUNCTION("""COMPUTED_VALUE"""),5153.0)</f>
        <v>5153</v>
      </c>
      <c r="AX1796" s="65"/>
      <c r="AY1796" s="65" t="str">
        <f>IFERROR(__xludf.DUMMYFUNCTION("""COMPUTED_VALUE"""),"15/01/2026")</f>
        <v>15/01/2026</v>
      </c>
      <c r="AZ1796" s="65"/>
      <c r="BA1796" s="65"/>
    </row>
    <row r="1797">
      <c r="A1797" s="65" t="str">
        <f>IFERROR(__xludf.DUMMYFUNCTION("""COMPUTED_VALUE"""),"27-03-2026")</f>
        <v>27-03-2026</v>
      </c>
      <c r="B1797" s="65">
        <f>IFERROR(__xludf.DUMMYFUNCTION("""COMPUTED_VALUE"""),4138832.0)</f>
        <v>4138832</v>
      </c>
      <c r="C1797" s="65" t="str">
        <f>IFERROR(__xludf.DUMMYFUNCTION("""COMPUTED_VALUE"""),"23:15")</f>
        <v>23:15</v>
      </c>
      <c r="D1797" s="65" t="str">
        <f>IFERROR(__xludf.DUMMYFUNCTION("""COMPUTED_VALUE"""),"13-01-2026")</f>
        <v>13-01-2026</v>
      </c>
      <c r="E1797" s="65" t="str">
        <f>IFERROR(__xludf.DUMMYFUNCTION("""COMPUTED_VALUE"""),"Marian Mogro Mogro")</f>
        <v>Marian Mogro Mogro</v>
      </c>
      <c r="F1797" s="65" t="str">
        <f>IFERROR(__xludf.DUMMYFUNCTION("""COMPUTED_VALUE"""),"994746694")</f>
        <v>994746694</v>
      </c>
      <c r="G1797" s="65" t="str">
        <f>IFERROR(__xludf.DUMMYFUNCTION("""COMPUTED_VALUE"""),"marianmmmr@gmail.com")</f>
        <v>marianmmmr@gmail.com</v>
      </c>
      <c r="H1797" s="65"/>
      <c r="I1797" s="65"/>
      <c r="J1797" s="65" t="str">
        <f>IFERROR(__xludf.DUMMYFUNCTION("""COMPUTED_VALUE"""),"D001231764")</f>
        <v>D001231764</v>
      </c>
      <c r="K1797" s="65" t="str">
        <f>IFERROR(__xludf.DUMMYFUNCTION("""COMPUTED_VALUE"""),"ENTREGADO")</f>
        <v>ENTREGADO</v>
      </c>
      <c r="L1797" s="65" t="str">
        <f>IFERROR(__xludf.DUMMYFUNCTION("""COMPUTED_VALUE"""),"CON RECAUDO")</f>
        <v>CON RECAUDO</v>
      </c>
      <c r="M1797" s="65" t="str">
        <f>IFERROR(__xludf.DUMMYFUNCTION("""COMPUTED_VALUE"""),"GUAYAS")</f>
        <v>GUAYAS</v>
      </c>
      <c r="N1797" s="65" t="str">
        <f>IFERROR(__xludf.DUMMYFUNCTION("""COMPUTED_VALUE"""),"GUAYAQUIL")</f>
        <v>GUAYAQUIL</v>
      </c>
      <c r="O1797" s="65" t="str">
        <f>IFERROR(__xludf.DUMMYFUNCTION("""COMPUTED_VALUE"""),"Urb. Bosque de la costa Mz 2 villa 10 portico Via a la costa -")</f>
        <v>Urb. Bosque de la costa Mz 2 villa 10 portico Via a la costa -</v>
      </c>
      <c r="P1797" s="65"/>
      <c r="Q1797" s="65" t="str">
        <f>IFERROR(__xludf.DUMMYFUNCTION("""COMPUTED_VALUE"""),"GINTRACOM")</f>
        <v>GINTRACOM</v>
      </c>
      <c r="R1797" s="65">
        <f>IFERROR(__xludf.DUMMYFUNCTION("""COMPUTED_VALUE"""),25.0)</f>
        <v>25</v>
      </c>
      <c r="S1797" s="65">
        <f>IFERROR(__xludf.DUMMYFUNCTION("""COMPUTED_VALUE"""),14.34)</f>
        <v>14.34</v>
      </c>
      <c r="T1797" s="65">
        <f>IFERROR(__xludf.DUMMYFUNCTION("""COMPUTED_VALUE"""),5.96)</f>
        <v>5.96</v>
      </c>
      <c r="U1797" s="65">
        <f>IFERROR(__xludf.DUMMYFUNCTION("""COMPUTED_VALUE"""),0.0)</f>
        <v>0</v>
      </c>
      <c r="V1797" s="65">
        <f>IFERROR(__xludf.DUMMYFUNCTION("""COMPUTED_VALUE"""),0.0)</f>
        <v>0</v>
      </c>
      <c r="W1797" s="65">
        <f>IFERROR(__xludf.DUMMYFUNCTION("""COMPUTED_VALUE"""),0.0)</f>
        <v>0</v>
      </c>
      <c r="X1797" s="65">
        <f>IFERROR(__xludf.DUMMYFUNCTION("""COMPUTED_VALUE"""),2.35)</f>
        <v>2.35</v>
      </c>
      <c r="Y1797" s="65">
        <f>IFERROR(__xludf.DUMMYFUNCTION("""COMPUTED_VALUE"""),4.7)</f>
        <v>4.7</v>
      </c>
      <c r="Z1797" s="65">
        <f>IFERROR(__xludf.DUMMYFUNCTION("""COMPUTED_VALUE"""),116679.0)</f>
        <v>116679</v>
      </c>
      <c r="AA1797" s="65" t="str">
        <f>IFERROR(__xludf.DUMMYFUNCTION("""COMPUTED_VALUE"""),"AMC-2738")</f>
        <v>AMC-2738</v>
      </c>
      <c r="AB1797" s="65"/>
      <c r="AC1797" s="65" t="str">
        <f>IFERROR(__xludf.DUMMYFUNCTION("""COMPUTED_VALUE"""),"ESPONJA ANTILLUVIA DE PARABRISAS")</f>
        <v>ESPONJA ANTILLUVIA DE PARABRISAS</v>
      </c>
      <c r="AD1797" s="65"/>
      <c r="AE1797" s="65">
        <f>IFERROR(__xludf.DUMMYFUNCTION("""COMPUTED_VALUE"""),2.0)</f>
        <v>2</v>
      </c>
      <c r="AF1797" s="65"/>
      <c r="AG1797" s="65"/>
      <c r="AH1797" s="65"/>
      <c r="AI1797" s="65"/>
      <c r="AJ1797" s="65"/>
      <c r="AK1797" s="65"/>
      <c r="AL1797" s="65"/>
      <c r="AM1797" s="65"/>
      <c r="AN1797" s="65" t="str">
        <f>IFERROR(__xludf.DUMMYFUNCTION("""COMPUTED_VALUE"""),"10:46")</f>
        <v>10:46</v>
      </c>
      <c r="AO1797" s="65" t="str">
        <f>IFERROR(__xludf.DUMMYFUNCTION("""COMPUTED_VALUE"""),"19-01-2026")</f>
        <v>19-01-2026</v>
      </c>
      <c r="AP1797" s="65" t="str">
        <f>IFERROR(__xludf.DUMMYFUNCTION("""COMPUTED_VALUE"""),"ENTREGADA GINTRACOM")</f>
        <v>ENTREGADA GINTRACOM</v>
      </c>
      <c r="AQ1797" s="65" t="str">
        <f>IFERROR(__xludf.DUMMYFUNCTION("""COMPUTED_VALUE"""),"ENTREGADA GINTRACOM")</f>
        <v>ENTREGADA GINTRACOM</v>
      </c>
      <c r="AR1797" s="65"/>
      <c r="AS1797" s="65"/>
      <c r="AT1797" s="65" t="str">
        <f>IFERROR(__xludf.DUMMYFUNCTION("""COMPUTED_VALUE"""),"SHOPIFY")</f>
        <v>SHOPIFY</v>
      </c>
      <c r="AU1797" s="65" t="str">
        <f>IFERROR(__xludf.DUMMYFUNCTION("""COMPUTED_VALUE"""),"IMPORTEX EC")</f>
        <v>IMPORTEX EC</v>
      </c>
      <c r="AV1797" s="65" t="str">
        <f>IFERROR(__xludf.DUMMYFUNCTION("""COMPUTED_VALUE"""),"6412943032364")</f>
        <v>6412943032364</v>
      </c>
      <c r="AW1797" s="65">
        <f>IFERROR(__xludf.DUMMYFUNCTION("""COMPUTED_VALUE"""),5152.0)</f>
        <v>5152</v>
      </c>
      <c r="AX1797" s="65"/>
      <c r="AY1797" s="65" t="str">
        <f>IFERROR(__xludf.DUMMYFUNCTION("""COMPUTED_VALUE"""),"16/01/2026")</f>
        <v>16/01/2026</v>
      </c>
      <c r="AZ1797" s="65"/>
      <c r="BA1797" s="65"/>
    </row>
    <row r="1798">
      <c r="A1798" s="65" t="str">
        <f>IFERROR(__xludf.DUMMYFUNCTION("""COMPUTED_VALUE"""),"27-03-2026")</f>
        <v>27-03-2026</v>
      </c>
      <c r="B1798" s="65">
        <f>IFERROR(__xludf.DUMMYFUNCTION("""COMPUTED_VALUE"""),4138697.0)</f>
        <v>4138697</v>
      </c>
      <c r="C1798" s="65" t="str">
        <f>IFERROR(__xludf.DUMMYFUNCTION("""COMPUTED_VALUE"""),"23:07")</f>
        <v>23:07</v>
      </c>
      <c r="D1798" s="65" t="str">
        <f>IFERROR(__xludf.DUMMYFUNCTION("""COMPUTED_VALUE"""),"13-01-2026")</f>
        <v>13-01-2026</v>
      </c>
      <c r="E1798" s="65" t="str">
        <f>IFERROR(__xludf.DUMMYFUNCTION("""COMPUTED_VALUE"""),"Bryan Ojeda")</f>
        <v>Bryan Ojeda</v>
      </c>
      <c r="F1798" s="65" t="str">
        <f>IFERROR(__xludf.DUMMYFUNCTION("""COMPUTED_VALUE"""),"990023530")</f>
        <v>990023530</v>
      </c>
      <c r="G1798" s="65" t="str">
        <f>IFERROR(__xludf.DUMMYFUNCTION("""COMPUTED_VALUE"""),"ing.bryanojeda@gmail.com")</f>
        <v>ing.bryanojeda@gmail.com</v>
      </c>
      <c r="H1798" s="65"/>
      <c r="I1798" s="65"/>
      <c r="J1798" s="65" t="str">
        <f>IFERROR(__xludf.DUMMYFUNCTION("""COMPUTED_VALUE"""),"D001231765")</f>
        <v>D001231765</v>
      </c>
      <c r="K1798" s="65" t="str">
        <f>IFERROR(__xludf.DUMMYFUNCTION("""COMPUTED_VALUE"""),"DEVOLUCION")</f>
        <v>DEVOLUCION</v>
      </c>
      <c r="L1798" s="65" t="str">
        <f>IFERROR(__xludf.DUMMYFUNCTION("""COMPUTED_VALUE"""),"CON RECAUDO")</f>
        <v>CON RECAUDO</v>
      </c>
      <c r="M1798" s="65" t="str">
        <f>IFERROR(__xludf.DUMMYFUNCTION("""COMPUTED_VALUE"""),"LOS RIOS")</f>
        <v>LOS RIOS</v>
      </c>
      <c r="N1798" s="65" t="str">
        <f>IFERROR(__xludf.DUMMYFUNCTION("""COMPUTED_VALUE"""),"QUEVEDO")</f>
        <v>QUEVEDO</v>
      </c>
      <c r="O1798" s="65" t="str">
        <f>IFERROR(__xludf.DUMMYFUNCTION("""COMPUTED_VALUE"""),"Av 7 de octubre y calle Babahoyo En Claro -")</f>
        <v>Av 7 de octubre y calle Babahoyo En Claro -</v>
      </c>
      <c r="P1798" s="65"/>
      <c r="Q1798" s="65" t="str">
        <f>IFERROR(__xludf.DUMMYFUNCTION("""COMPUTED_VALUE"""),"GINTRACOM")</f>
        <v>GINTRACOM</v>
      </c>
      <c r="R1798" s="65">
        <f>IFERROR(__xludf.DUMMYFUNCTION("""COMPUTED_VALUE"""),20.0)</f>
        <v>20</v>
      </c>
      <c r="S1798" s="65"/>
      <c r="T1798" s="65">
        <f>IFERROR(__xludf.DUMMYFUNCTION("""COMPUTED_VALUE"""),5.76)</f>
        <v>5.76</v>
      </c>
      <c r="U1798" s="65">
        <f>IFERROR(__xludf.DUMMYFUNCTION("""COMPUTED_VALUE"""),0.0)</f>
        <v>0</v>
      </c>
      <c r="V1798" s="65">
        <f>IFERROR(__xludf.DUMMYFUNCTION("""COMPUTED_VALUE"""),0.0)</f>
        <v>0</v>
      </c>
      <c r="W1798" s="65">
        <f>IFERROR(__xludf.DUMMYFUNCTION("""COMPUTED_VALUE"""),0.0)</f>
        <v>0</v>
      </c>
      <c r="X1798" s="65">
        <f>IFERROR(__xludf.DUMMYFUNCTION("""COMPUTED_VALUE"""),2.35)</f>
        <v>2.35</v>
      </c>
      <c r="Y1798" s="65">
        <f>IFERROR(__xludf.DUMMYFUNCTION("""COMPUTED_VALUE"""),2.35)</f>
        <v>2.35</v>
      </c>
      <c r="Z1798" s="65">
        <f>IFERROR(__xludf.DUMMYFUNCTION("""COMPUTED_VALUE"""),116679.0)</f>
        <v>116679</v>
      </c>
      <c r="AA1798" s="65" t="str">
        <f>IFERROR(__xludf.DUMMYFUNCTION("""COMPUTED_VALUE"""),"AMC-2738")</f>
        <v>AMC-2738</v>
      </c>
      <c r="AB1798" s="65"/>
      <c r="AC1798" s="65" t="str">
        <f>IFERROR(__xludf.DUMMYFUNCTION("""COMPUTED_VALUE"""),"ESPONJA ANTILLUVIA DE PARABRISAS")</f>
        <v>ESPONJA ANTILLUVIA DE PARABRISAS</v>
      </c>
      <c r="AD1798" s="65"/>
      <c r="AE1798" s="65">
        <f>IFERROR(__xludf.DUMMYFUNCTION("""COMPUTED_VALUE"""),1.0)</f>
        <v>1</v>
      </c>
      <c r="AF1798" s="65" t="str">
        <f>IFERROR(__xludf.DUMMYFUNCTION("""COMPUTED_VALUE"""),"DESTINATARIO NO CONTESTA LLAMADAS NI WHATSAPP")</f>
        <v>DESTINATARIO NO CONTESTA LLAMADAS NI WHATSAPP</v>
      </c>
      <c r="AG1798" s="65" t="str">
        <f>IFERROR(__xludf.DUMMYFUNCTION("""COMPUTED_VALUE"""),"NO")</f>
        <v>NO</v>
      </c>
      <c r="AH1798" s="65" t="str">
        <f>IFERROR(__xludf.DUMMYFUNCTION("""COMPUTED_VALUE"""),"09:00")</f>
        <v>09:00</v>
      </c>
      <c r="AI1798" s="65" t="str">
        <f>IFERROR(__xludf.DUMMYFUNCTION("""COMPUTED_VALUE"""),"27-01-2026")</f>
        <v>27-01-2026</v>
      </c>
      <c r="AJ1798" s="65"/>
      <c r="AK1798" s="65"/>
      <c r="AL1798" s="65"/>
      <c r="AM1798" s="65"/>
      <c r="AN1798" s="65" t="str">
        <f>IFERROR(__xludf.DUMMYFUNCTION("""COMPUTED_VALUE"""),"20:53")</f>
        <v>20:53</v>
      </c>
      <c r="AO1798" s="65" t="str">
        <f>IFERROR(__xludf.DUMMYFUNCTION("""COMPUTED_VALUE"""),"13-02-2026")</f>
        <v>13-02-2026</v>
      </c>
      <c r="AP1798" s="65" t="str">
        <f>IFERROR(__xludf.DUMMYFUNCTION("""COMPUTED_VALUE"""),"DEVOLUCIÓN ENTREGADA A ORIGEN")</f>
        <v>DEVOLUCIÓN ENTREGADA A ORIGEN</v>
      </c>
      <c r="AQ1798" s="65" t="str">
        <f>IFERROR(__xludf.DUMMYFUNCTION("""COMPUTED_VALUE"""),"DEVOLUCIÓN ENTREGADA A ORIGEN")</f>
        <v>DEVOLUCIÓN ENTREGADA A ORIGEN</v>
      </c>
      <c r="AR1798" s="65"/>
      <c r="AS1798" s="65"/>
      <c r="AT1798" s="65" t="str">
        <f>IFERROR(__xludf.DUMMYFUNCTION("""COMPUTED_VALUE"""),"SHOPIFY")</f>
        <v>SHOPIFY</v>
      </c>
      <c r="AU1798" s="65" t="str">
        <f>IFERROR(__xludf.DUMMYFUNCTION("""COMPUTED_VALUE"""),"IMPORTEX EC")</f>
        <v>IMPORTEX EC</v>
      </c>
      <c r="AV1798" s="65" t="str">
        <f>IFERROR(__xludf.DUMMYFUNCTION("""COMPUTED_VALUE"""),"6412917407788")</f>
        <v>6412917407788</v>
      </c>
      <c r="AW1798" s="65">
        <f>IFERROR(__xludf.DUMMYFUNCTION("""COMPUTED_VALUE"""),5151.0)</f>
        <v>5151</v>
      </c>
      <c r="AX1798" s="65"/>
      <c r="AY1798" s="65" t="str">
        <f>IFERROR(__xludf.DUMMYFUNCTION("""COMPUTED_VALUE"""),"16/01/2026")</f>
        <v>16/01/2026</v>
      </c>
      <c r="AZ1798" s="65"/>
      <c r="BA1798" s="65"/>
    </row>
    <row r="1799">
      <c r="A1799" s="65" t="str">
        <f>IFERROR(__xludf.DUMMYFUNCTION("""COMPUTED_VALUE"""),"27-03-2026")</f>
        <v>27-03-2026</v>
      </c>
      <c r="B1799" s="65">
        <f>IFERROR(__xludf.DUMMYFUNCTION("""COMPUTED_VALUE"""),4138443.0)</f>
        <v>4138443</v>
      </c>
      <c r="C1799" s="65" t="str">
        <f>IFERROR(__xludf.DUMMYFUNCTION("""COMPUTED_VALUE"""),"22:49")</f>
        <v>22:49</v>
      </c>
      <c r="D1799" s="65" t="str">
        <f>IFERROR(__xludf.DUMMYFUNCTION("""COMPUTED_VALUE"""),"13-01-2026")</f>
        <v>13-01-2026</v>
      </c>
      <c r="E1799" s="65" t="str">
        <f>IFERROR(__xludf.DUMMYFUNCTION("""COMPUTED_VALUE"""),"Angel Criollo Cahueñas")</f>
        <v>Angel Criollo Cahueñas</v>
      </c>
      <c r="F1799" s="65" t="str">
        <f>IFERROR(__xludf.DUMMYFUNCTION("""COMPUTED_VALUE"""),"985624119")</f>
        <v>985624119</v>
      </c>
      <c r="G1799" s="65" t="str">
        <f>IFERROR(__xludf.DUMMYFUNCTION("""COMPUTED_VALUE"""),"afcc1964@hotmail.com")</f>
        <v>afcc1964@hotmail.com</v>
      </c>
      <c r="H1799" s="65"/>
      <c r="I1799" s="65"/>
      <c r="J1799" s="65" t="str">
        <f>IFERROR(__xludf.DUMMYFUNCTION("""COMPUTED_VALUE"""),"D001231766")</f>
        <v>D001231766</v>
      </c>
      <c r="K1799" s="65" t="str">
        <f>IFERROR(__xludf.DUMMYFUNCTION("""COMPUTED_VALUE"""),"ENTREGADO")</f>
        <v>ENTREGADO</v>
      </c>
      <c r="L1799" s="65" t="str">
        <f>IFERROR(__xludf.DUMMYFUNCTION("""COMPUTED_VALUE"""),"CON RECAUDO")</f>
        <v>CON RECAUDO</v>
      </c>
      <c r="M1799" s="65" t="str">
        <f>IFERROR(__xludf.DUMMYFUNCTION("""COMPUTED_VALUE"""),"PICHINCHA")</f>
        <v>PICHINCHA</v>
      </c>
      <c r="N1799" s="65" t="str">
        <f>IFERROR(__xludf.DUMMYFUNCTION("""COMPUTED_VALUE"""),"CAYAMBE")</f>
        <v>CAYAMBE</v>
      </c>
      <c r="O1799" s="65" t="str">
        <f>IFERROR(__xludf.DUMMYFUNCTION("""COMPUTED_VALUE"""),"Jaime Roldos lote 195 y Digna Meza Barrio Nuevo Amanecer -")</f>
        <v>Jaime Roldos lote 195 y Digna Meza Barrio Nuevo Amanecer -</v>
      </c>
      <c r="P1799" s="65"/>
      <c r="Q1799" s="65" t="str">
        <f>IFERROR(__xludf.DUMMYFUNCTION("""COMPUTED_VALUE"""),"GINTRACOM")</f>
        <v>GINTRACOM</v>
      </c>
      <c r="R1799" s="65">
        <f>IFERROR(__xludf.DUMMYFUNCTION("""COMPUTED_VALUE"""),30.0)</f>
        <v>30</v>
      </c>
      <c r="S1799" s="65">
        <f>IFERROR(__xludf.DUMMYFUNCTION("""COMPUTED_VALUE"""),17.37)</f>
        <v>17.37</v>
      </c>
      <c r="T1799" s="65">
        <f>IFERROR(__xludf.DUMMYFUNCTION("""COMPUTED_VALUE"""),5.58)</f>
        <v>5.58</v>
      </c>
      <c r="U1799" s="65">
        <f>IFERROR(__xludf.DUMMYFUNCTION("""COMPUTED_VALUE"""),0.0)</f>
        <v>0</v>
      </c>
      <c r="V1799" s="65">
        <f>IFERROR(__xludf.DUMMYFUNCTION("""COMPUTED_VALUE"""),0.0)</f>
        <v>0</v>
      </c>
      <c r="W1799" s="65">
        <f>IFERROR(__xludf.DUMMYFUNCTION("""COMPUTED_VALUE"""),0.0)</f>
        <v>0</v>
      </c>
      <c r="X1799" s="65">
        <f>IFERROR(__xludf.DUMMYFUNCTION("""COMPUTED_VALUE"""),2.35)</f>
        <v>2.35</v>
      </c>
      <c r="Y1799" s="65">
        <f>IFERROR(__xludf.DUMMYFUNCTION("""COMPUTED_VALUE"""),7.05)</f>
        <v>7.05</v>
      </c>
      <c r="Z1799" s="65">
        <f>IFERROR(__xludf.DUMMYFUNCTION("""COMPUTED_VALUE"""),116679.0)</f>
        <v>116679</v>
      </c>
      <c r="AA1799" s="65" t="str">
        <f>IFERROR(__xludf.DUMMYFUNCTION("""COMPUTED_VALUE"""),"AMC-2738")</f>
        <v>AMC-2738</v>
      </c>
      <c r="AB1799" s="65"/>
      <c r="AC1799" s="65" t="str">
        <f>IFERROR(__xludf.DUMMYFUNCTION("""COMPUTED_VALUE"""),"ESPONJA ANTILLUVIA DE PARABRISAS")</f>
        <v>ESPONJA ANTILLUVIA DE PARABRISAS</v>
      </c>
      <c r="AD1799" s="65"/>
      <c r="AE1799" s="65">
        <f>IFERROR(__xludf.DUMMYFUNCTION("""COMPUTED_VALUE"""),3.0)</f>
        <v>3</v>
      </c>
      <c r="AF1799" s="65"/>
      <c r="AG1799" s="65"/>
      <c r="AH1799" s="65"/>
      <c r="AI1799" s="65"/>
      <c r="AJ1799" s="65"/>
      <c r="AK1799" s="65"/>
      <c r="AL1799" s="65"/>
      <c r="AM1799" s="65"/>
      <c r="AN1799" s="65" t="str">
        <f>IFERROR(__xludf.DUMMYFUNCTION("""COMPUTED_VALUE"""),"15:25")</f>
        <v>15:25</v>
      </c>
      <c r="AO1799" s="65" t="str">
        <f>IFERROR(__xludf.DUMMYFUNCTION("""COMPUTED_VALUE"""),"20-01-2026")</f>
        <v>20-01-2026</v>
      </c>
      <c r="AP1799" s="65" t="str">
        <f>IFERROR(__xludf.DUMMYFUNCTION("""COMPUTED_VALUE"""),"ENTREGADA GINTRACOM")</f>
        <v>ENTREGADA GINTRACOM</v>
      </c>
      <c r="AQ1799" s="65" t="str">
        <f>IFERROR(__xludf.DUMMYFUNCTION("""COMPUTED_VALUE"""),"ENTREGADA GINTRACOM")</f>
        <v>ENTREGADA GINTRACOM</v>
      </c>
      <c r="AR1799" s="65"/>
      <c r="AS1799" s="65"/>
      <c r="AT1799" s="65" t="str">
        <f>IFERROR(__xludf.DUMMYFUNCTION("""COMPUTED_VALUE"""),"SHOPIFY")</f>
        <v>SHOPIFY</v>
      </c>
      <c r="AU1799" s="65" t="str">
        <f>IFERROR(__xludf.DUMMYFUNCTION("""COMPUTED_VALUE"""),"IMPORTEX EC")</f>
        <v>IMPORTEX EC</v>
      </c>
      <c r="AV1799" s="65" t="str">
        <f>IFERROR(__xludf.DUMMYFUNCTION("""COMPUTED_VALUE"""),"6412870156332")</f>
        <v>6412870156332</v>
      </c>
      <c r="AW1799" s="65">
        <f>IFERROR(__xludf.DUMMYFUNCTION("""COMPUTED_VALUE"""),5150.0)</f>
        <v>5150</v>
      </c>
      <c r="AX1799" s="65"/>
      <c r="AY1799" s="65" t="str">
        <f>IFERROR(__xludf.DUMMYFUNCTION("""COMPUTED_VALUE"""),"16/01/2026")</f>
        <v>16/01/2026</v>
      </c>
      <c r="AZ1799" s="65"/>
      <c r="BA1799" s="65"/>
    </row>
    <row r="1800">
      <c r="A1800" s="65" t="str">
        <f>IFERROR(__xludf.DUMMYFUNCTION("""COMPUTED_VALUE"""),"27-03-2026")</f>
        <v>27-03-2026</v>
      </c>
      <c r="B1800" s="65">
        <f>IFERROR(__xludf.DUMMYFUNCTION("""COMPUTED_VALUE"""),4138403.0)</f>
        <v>4138403</v>
      </c>
      <c r="C1800" s="65" t="str">
        <f>IFERROR(__xludf.DUMMYFUNCTION("""COMPUTED_VALUE"""),"22:44")</f>
        <v>22:44</v>
      </c>
      <c r="D1800" s="65" t="str">
        <f>IFERROR(__xludf.DUMMYFUNCTION("""COMPUTED_VALUE"""),"13-01-2026")</f>
        <v>13-01-2026</v>
      </c>
      <c r="E1800" s="65" t="str">
        <f>IFERROR(__xludf.DUMMYFUNCTION("""COMPUTED_VALUE"""),"Eduardo Chalacama")</f>
        <v>Eduardo Chalacama</v>
      </c>
      <c r="F1800" s="65" t="str">
        <f>IFERROR(__xludf.DUMMYFUNCTION("""COMPUTED_VALUE"""),"981874379")</f>
        <v>981874379</v>
      </c>
      <c r="G1800" s="65" t="str">
        <f>IFERROR(__xludf.DUMMYFUNCTION("""COMPUTED_VALUE"""),"eduardochalacama@gmail.com")</f>
        <v>eduardochalacama@gmail.com</v>
      </c>
      <c r="H1800" s="65"/>
      <c r="I1800" s="65"/>
      <c r="J1800" s="65" t="str">
        <f>IFERROR(__xludf.DUMMYFUNCTION("""COMPUTED_VALUE"""),"D001231767")</f>
        <v>D001231767</v>
      </c>
      <c r="K1800" s="65" t="str">
        <f>IFERROR(__xludf.DUMMYFUNCTION("""COMPUTED_VALUE"""),"ENTREGADO")</f>
        <v>ENTREGADO</v>
      </c>
      <c r="L1800" s="65" t="str">
        <f>IFERROR(__xludf.DUMMYFUNCTION("""COMPUTED_VALUE"""),"CON RECAUDO")</f>
        <v>CON RECAUDO</v>
      </c>
      <c r="M1800" s="65" t="str">
        <f>IFERROR(__xludf.DUMMYFUNCTION("""COMPUTED_VALUE"""),"ESMERALDAS")</f>
        <v>ESMERALDAS</v>
      </c>
      <c r="N1800" s="65" t="str">
        <f>IFERROR(__xludf.DUMMYFUNCTION("""COMPUTED_VALUE"""),"QUININDE")</f>
        <v>QUININDE</v>
      </c>
      <c r="O1800" s="65" t="str">
        <f>IFERROR(__xludf.DUMMYFUNCTION("""COMPUTED_VALUE"""),"Recinto Simón Bolívar la sexta Guayabanba - Vía a la sexta Calle paraíso Diagonal al consultorio San Rafael #2")</f>
        <v>Recinto Simón Bolívar la sexta Guayabanba - Vía a la sexta Calle paraíso Diagonal al consultorio San Rafael #2</v>
      </c>
      <c r="P1800" s="65"/>
      <c r="Q1800" s="65" t="str">
        <f>IFERROR(__xludf.DUMMYFUNCTION("""COMPUTED_VALUE"""),"GINTRACOM")</f>
        <v>GINTRACOM</v>
      </c>
      <c r="R1800" s="65">
        <f>IFERROR(__xludf.DUMMYFUNCTION("""COMPUTED_VALUE"""),30.0)</f>
        <v>30</v>
      </c>
      <c r="S1800" s="65">
        <f>IFERROR(__xludf.DUMMYFUNCTION("""COMPUTED_VALUE"""),16.79)</f>
        <v>16.79</v>
      </c>
      <c r="T1800" s="65">
        <f>IFERROR(__xludf.DUMMYFUNCTION("""COMPUTED_VALUE"""),6.16)</f>
        <v>6.16</v>
      </c>
      <c r="U1800" s="65">
        <f>IFERROR(__xludf.DUMMYFUNCTION("""COMPUTED_VALUE"""),0.0)</f>
        <v>0</v>
      </c>
      <c r="V1800" s="65">
        <f>IFERROR(__xludf.DUMMYFUNCTION("""COMPUTED_VALUE"""),0.0)</f>
        <v>0</v>
      </c>
      <c r="W1800" s="65">
        <f>IFERROR(__xludf.DUMMYFUNCTION("""COMPUTED_VALUE"""),0.0)</f>
        <v>0</v>
      </c>
      <c r="X1800" s="65">
        <f>IFERROR(__xludf.DUMMYFUNCTION("""COMPUTED_VALUE"""),2.35)</f>
        <v>2.35</v>
      </c>
      <c r="Y1800" s="65">
        <f>IFERROR(__xludf.DUMMYFUNCTION("""COMPUTED_VALUE"""),7.05)</f>
        <v>7.05</v>
      </c>
      <c r="Z1800" s="65">
        <f>IFERROR(__xludf.DUMMYFUNCTION("""COMPUTED_VALUE"""),116679.0)</f>
        <v>116679</v>
      </c>
      <c r="AA1800" s="65" t="str">
        <f>IFERROR(__xludf.DUMMYFUNCTION("""COMPUTED_VALUE"""),"AMC-2738")</f>
        <v>AMC-2738</v>
      </c>
      <c r="AB1800" s="65"/>
      <c r="AC1800" s="65" t="str">
        <f>IFERROR(__xludf.DUMMYFUNCTION("""COMPUTED_VALUE"""),"ESPONJA ANTILLUVIA DE PARABRISAS")</f>
        <v>ESPONJA ANTILLUVIA DE PARABRISAS</v>
      </c>
      <c r="AD1800" s="65"/>
      <c r="AE1800" s="65">
        <f>IFERROR(__xludf.DUMMYFUNCTION("""COMPUTED_VALUE"""),3.0)</f>
        <v>3</v>
      </c>
      <c r="AF1800" s="65"/>
      <c r="AG1800" s="65"/>
      <c r="AH1800" s="65"/>
      <c r="AI1800" s="65"/>
      <c r="AJ1800" s="65"/>
      <c r="AK1800" s="65"/>
      <c r="AL1800" s="65"/>
      <c r="AM1800" s="65"/>
      <c r="AN1800" s="65" t="str">
        <f>IFERROR(__xludf.DUMMYFUNCTION("""COMPUTED_VALUE"""),"13:37")</f>
        <v>13:37</v>
      </c>
      <c r="AO1800" s="65" t="str">
        <f>IFERROR(__xludf.DUMMYFUNCTION("""COMPUTED_VALUE"""),"19-01-2026")</f>
        <v>19-01-2026</v>
      </c>
      <c r="AP1800" s="65" t="str">
        <f>IFERROR(__xludf.DUMMYFUNCTION("""COMPUTED_VALUE"""),"ENTREGADA GINTRACOM")</f>
        <v>ENTREGADA GINTRACOM</v>
      </c>
      <c r="AQ1800" s="65" t="str">
        <f>IFERROR(__xludf.DUMMYFUNCTION("""COMPUTED_VALUE"""),"ENTREGADA GINTRACOM")</f>
        <v>ENTREGADA GINTRACOM</v>
      </c>
      <c r="AR1800" s="65"/>
      <c r="AS1800" s="65"/>
      <c r="AT1800" s="65" t="str">
        <f>IFERROR(__xludf.DUMMYFUNCTION("""COMPUTED_VALUE"""),"SHOPIFY")</f>
        <v>SHOPIFY</v>
      </c>
      <c r="AU1800" s="65" t="str">
        <f>IFERROR(__xludf.DUMMYFUNCTION("""COMPUTED_VALUE"""),"IMPORTEX EC")</f>
        <v>IMPORTEX EC</v>
      </c>
      <c r="AV1800" s="65" t="str">
        <f>IFERROR(__xludf.DUMMYFUNCTION("""COMPUTED_VALUE"""),"6412862947372")</f>
        <v>6412862947372</v>
      </c>
      <c r="AW1800" s="65">
        <f>IFERROR(__xludf.DUMMYFUNCTION("""COMPUTED_VALUE"""),5149.0)</f>
        <v>5149</v>
      </c>
      <c r="AX1800" s="65"/>
      <c r="AY1800" s="65" t="str">
        <f>IFERROR(__xludf.DUMMYFUNCTION("""COMPUTED_VALUE"""),"16/01/2026")</f>
        <v>16/01/2026</v>
      </c>
      <c r="AZ1800" s="65"/>
      <c r="BA1800" s="65"/>
    </row>
    <row r="1801">
      <c r="A1801" s="65" t="str">
        <f>IFERROR(__xludf.DUMMYFUNCTION("""COMPUTED_VALUE"""),"27-03-2026")</f>
        <v>27-03-2026</v>
      </c>
      <c r="B1801" s="65">
        <f>IFERROR(__xludf.DUMMYFUNCTION("""COMPUTED_VALUE"""),4138342.0)</f>
        <v>4138342</v>
      </c>
      <c r="C1801" s="65" t="str">
        <f>IFERROR(__xludf.DUMMYFUNCTION("""COMPUTED_VALUE"""),"22:41")</f>
        <v>22:41</v>
      </c>
      <c r="D1801" s="65" t="str">
        <f>IFERROR(__xludf.DUMMYFUNCTION("""COMPUTED_VALUE"""),"13-01-2026")</f>
        <v>13-01-2026</v>
      </c>
      <c r="E1801" s="65" t="str">
        <f>IFERROR(__xludf.DUMMYFUNCTION("""COMPUTED_VALUE"""),"Inés Báez")</f>
        <v>Inés Báez</v>
      </c>
      <c r="F1801" s="65" t="str">
        <f>IFERROR(__xludf.DUMMYFUNCTION("""COMPUTED_VALUE"""),"999956412")</f>
        <v>999956412</v>
      </c>
      <c r="G1801" s="65" t="str">
        <f>IFERROR(__xludf.DUMMYFUNCTION("""COMPUTED_VALUE"""),"ines84_baez@hotmail.com")</f>
        <v>ines84_baez@hotmail.com</v>
      </c>
      <c r="H1801" s="65"/>
      <c r="I1801" s="65"/>
      <c r="J1801" s="65"/>
      <c r="K1801" s="65" t="str">
        <f>IFERROR(__xludf.DUMMYFUNCTION("""COMPUTED_VALUE"""),"CANCELADO")</f>
        <v>CANCELADO</v>
      </c>
      <c r="L1801" s="65" t="str">
        <f>IFERROR(__xludf.DUMMYFUNCTION("""COMPUTED_VALUE"""),"CON RECAUDO")</f>
        <v>CON RECAUDO</v>
      </c>
      <c r="M1801" s="65" t="str">
        <f>IFERROR(__xludf.DUMMYFUNCTION("""COMPUTED_VALUE"""),"GUAYAS")</f>
        <v>GUAYAS</v>
      </c>
      <c r="N1801" s="65" t="str">
        <f>IFERROR(__xludf.DUMMYFUNCTION("""COMPUTED_VALUE"""),"GUAYAQUIL")</f>
        <v>GUAYAQUIL</v>
      </c>
      <c r="O1801" s="65" t="str">
        <f>IFERROR(__xludf.DUMMYFUNCTION("""COMPUTED_VALUE"""),"Juan Tanca Marengo y rodrigo de chavez Zona de Urdesa norte -")</f>
        <v>Juan Tanca Marengo y rodrigo de chavez Zona de Urdesa norte -</v>
      </c>
      <c r="P1801" s="65"/>
      <c r="Q1801" s="65" t="str">
        <f>IFERROR(__xludf.DUMMYFUNCTION("""COMPUTED_VALUE"""),"GINTRACOM")</f>
        <v>GINTRACOM</v>
      </c>
      <c r="R1801" s="65">
        <f>IFERROR(__xludf.DUMMYFUNCTION("""COMPUTED_VALUE"""),30.0)</f>
        <v>30</v>
      </c>
      <c r="S1801" s="65"/>
      <c r="T1801" s="65">
        <f>IFERROR(__xludf.DUMMYFUNCTION("""COMPUTED_VALUE"""),6.16)</f>
        <v>6.16</v>
      </c>
      <c r="U1801" s="65">
        <f>IFERROR(__xludf.DUMMYFUNCTION("""COMPUTED_VALUE"""),0.0)</f>
        <v>0</v>
      </c>
      <c r="V1801" s="65">
        <f>IFERROR(__xludf.DUMMYFUNCTION("""COMPUTED_VALUE"""),0.0)</f>
        <v>0</v>
      </c>
      <c r="W1801" s="65">
        <f>IFERROR(__xludf.DUMMYFUNCTION("""COMPUTED_VALUE"""),0.0)</f>
        <v>0</v>
      </c>
      <c r="X1801" s="65">
        <f>IFERROR(__xludf.DUMMYFUNCTION("""COMPUTED_VALUE"""),2.35)</f>
        <v>2.35</v>
      </c>
      <c r="Y1801" s="65">
        <f>IFERROR(__xludf.DUMMYFUNCTION("""COMPUTED_VALUE"""),7.05)</f>
        <v>7.05</v>
      </c>
      <c r="Z1801" s="65">
        <f>IFERROR(__xludf.DUMMYFUNCTION("""COMPUTED_VALUE"""),116679.0)</f>
        <v>116679</v>
      </c>
      <c r="AA1801" s="65" t="str">
        <f>IFERROR(__xludf.DUMMYFUNCTION("""COMPUTED_VALUE"""),"AMC-2738")</f>
        <v>AMC-2738</v>
      </c>
      <c r="AB1801" s="65"/>
      <c r="AC1801" s="65" t="str">
        <f>IFERROR(__xludf.DUMMYFUNCTION("""COMPUTED_VALUE"""),"ESPONJA ANTILLUVIA DE PARABRISAS")</f>
        <v>ESPONJA ANTILLUVIA DE PARABRISAS</v>
      </c>
      <c r="AD1801" s="65"/>
      <c r="AE1801" s="65">
        <f>IFERROR(__xludf.DUMMYFUNCTION("""COMPUTED_VALUE"""),3.0)</f>
        <v>3</v>
      </c>
      <c r="AF1801" s="65"/>
      <c r="AG1801" s="65"/>
      <c r="AH1801" s="65"/>
      <c r="AI1801" s="65"/>
      <c r="AJ1801" s="65"/>
      <c r="AK1801" s="65"/>
      <c r="AL1801" s="65"/>
      <c r="AM1801" s="65"/>
      <c r="AN1801" s="65"/>
      <c r="AO1801" s="65"/>
      <c r="AP1801" s="65"/>
      <c r="AQ1801" s="65"/>
      <c r="AR1801" s="65"/>
      <c r="AS1801" s="65"/>
      <c r="AT1801" s="65" t="str">
        <f>IFERROR(__xludf.DUMMYFUNCTION("""COMPUTED_VALUE"""),"SHOPIFY")</f>
        <v>SHOPIFY</v>
      </c>
      <c r="AU1801" s="65" t="str">
        <f>IFERROR(__xludf.DUMMYFUNCTION("""COMPUTED_VALUE"""),"IMPORTEX EC")</f>
        <v>IMPORTEX EC</v>
      </c>
      <c r="AV1801" s="65" t="str">
        <f>IFERROR(__xludf.DUMMYFUNCTION("""COMPUTED_VALUE"""),"6412851511340")</f>
        <v>6412851511340</v>
      </c>
      <c r="AW1801" s="65">
        <f>IFERROR(__xludf.DUMMYFUNCTION("""COMPUTED_VALUE"""),5148.0)</f>
        <v>5148</v>
      </c>
      <c r="AX1801" s="65"/>
      <c r="AY1801" s="65"/>
      <c r="AZ1801" s="65"/>
      <c r="BA1801" s="65"/>
    </row>
    <row r="1802">
      <c r="A1802" s="65" t="str">
        <f>IFERROR(__xludf.DUMMYFUNCTION("""COMPUTED_VALUE"""),"27-03-2026")</f>
        <v>27-03-2026</v>
      </c>
      <c r="B1802" s="65">
        <f>IFERROR(__xludf.DUMMYFUNCTION("""COMPUTED_VALUE"""),4138308.0)</f>
        <v>4138308</v>
      </c>
      <c r="C1802" s="65" t="str">
        <f>IFERROR(__xludf.DUMMYFUNCTION("""COMPUTED_VALUE"""),"22:38")</f>
        <v>22:38</v>
      </c>
      <c r="D1802" s="65" t="str">
        <f>IFERROR(__xludf.DUMMYFUNCTION("""COMPUTED_VALUE"""),"13-01-2026")</f>
        <v>13-01-2026</v>
      </c>
      <c r="E1802" s="65" t="str">
        <f>IFERROR(__xludf.DUMMYFUNCTION("""COMPUTED_VALUE"""),"Cesar Roberto CASTRO Quiroz")</f>
        <v>Cesar Roberto CASTRO Quiroz</v>
      </c>
      <c r="F1802" s="65" t="str">
        <f>IFERROR(__xludf.DUMMYFUNCTION("""COMPUTED_VALUE"""),"991151840")</f>
        <v>991151840</v>
      </c>
      <c r="G1802" s="65" t="str">
        <f>IFERROR(__xludf.DUMMYFUNCTION("""COMPUTED_VALUE"""),"cesarmonij@gmail.com")</f>
        <v>cesarmonij@gmail.com</v>
      </c>
      <c r="H1802" s="65"/>
      <c r="I1802" s="65"/>
      <c r="J1802" s="65" t="str">
        <f>IFERROR(__xludf.DUMMYFUNCTION("""COMPUTED_VALUE"""),"D001227668")</f>
        <v>D001227668</v>
      </c>
      <c r="K1802" s="65" t="str">
        <f>IFERROR(__xludf.DUMMYFUNCTION("""COMPUTED_VALUE"""),"DEVOLUCION")</f>
        <v>DEVOLUCION</v>
      </c>
      <c r="L1802" s="65" t="str">
        <f>IFERROR(__xludf.DUMMYFUNCTION("""COMPUTED_VALUE"""),"CON RECAUDO")</f>
        <v>CON RECAUDO</v>
      </c>
      <c r="M1802" s="65" t="str">
        <f>IFERROR(__xludf.DUMMYFUNCTION("""COMPUTED_VALUE"""),"LOS RIOS")</f>
        <v>LOS RIOS</v>
      </c>
      <c r="N1802" s="65" t="str">
        <f>IFERROR(__xludf.DUMMYFUNCTION("""COMPUTED_VALUE"""),"BABA")</f>
        <v>BABA</v>
      </c>
      <c r="O1802" s="65" t="str">
        <f>IFERROR(__xludf.DUMMYFUNCTION("""COMPUTED_VALUE"""),"Av Juan Carlos Aspiazu UPC de  Policía De baba -")</f>
        <v>Av Juan Carlos Aspiazu UPC de  Policía De baba -</v>
      </c>
      <c r="P1802" s="65"/>
      <c r="Q1802" s="65" t="str">
        <f>IFERROR(__xludf.DUMMYFUNCTION("""COMPUTED_VALUE"""),"GINTRACOM")</f>
        <v>GINTRACOM</v>
      </c>
      <c r="R1802" s="65">
        <f>IFERROR(__xludf.DUMMYFUNCTION("""COMPUTED_VALUE"""),30.0)</f>
        <v>30</v>
      </c>
      <c r="S1802" s="65"/>
      <c r="T1802" s="65">
        <f>IFERROR(__xludf.DUMMYFUNCTION("""COMPUTED_VALUE"""),6.73)</f>
        <v>6.73</v>
      </c>
      <c r="U1802" s="65">
        <f>IFERROR(__xludf.DUMMYFUNCTION("""COMPUTED_VALUE"""),0.0)</f>
        <v>0</v>
      </c>
      <c r="V1802" s="65">
        <f>IFERROR(__xludf.DUMMYFUNCTION("""COMPUTED_VALUE"""),0.0)</f>
        <v>0</v>
      </c>
      <c r="W1802" s="65">
        <f>IFERROR(__xludf.DUMMYFUNCTION("""COMPUTED_VALUE"""),0.0)</f>
        <v>0</v>
      </c>
      <c r="X1802" s="65">
        <f>IFERROR(__xludf.DUMMYFUNCTION("""COMPUTED_VALUE"""),2.35)</f>
        <v>2.35</v>
      </c>
      <c r="Y1802" s="65">
        <f>IFERROR(__xludf.DUMMYFUNCTION("""COMPUTED_VALUE"""),7.05)</f>
        <v>7.05</v>
      </c>
      <c r="Z1802" s="65">
        <f>IFERROR(__xludf.DUMMYFUNCTION("""COMPUTED_VALUE"""),116679.0)</f>
        <v>116679</v>
      </c>
      <c r="AA1802" s="65" t="str">
        <f>IFERROR(__xludf.DUMMYFUNCTION("""COMPUTED_VALUE"""),"AMC-2738")</f>
        <v>AMC-2738</v>
      </c>
      <c r="AB1802" s="65"/>
      <c r="AC1802" s="65" t="str">
        <f>IFERROR(__xludf.DUMMYFUNCTION("""COMPUTED_VALUE"""),"ESPONJA ANTILLUVIA DE PARABRISAS")</f>
        <v>ESPONJA ANTILLUVIA DE PARABRISAS</v>
      </c>
      <c r="AD1802" s="65"/>
      <c r="AE1802" s="65">
        <f>IFERROR(__xludf.DUMMYFUNCTION("""COMPUTED_VALUE"""),3.0)</f>
        <v>3</v>
      </c>
      <c r="AF1802" s="65" t="str">
        <f>IFERROR(__xludf.DUMMYFUNCTION("""COMPUTED_VALUE"""),"DESTINATARIO NO CONTESTA LLAMADAS NI WHATSAPP")</f>
        <v>DESTINATARIO NO CONTESTA LLAMADAS NI WHATSAPP</v>
      </c>
      <c r="AG1802" s="65" t="str">
        <f>IFERROR(__xludf.DUMMYFUNCTION("""COMPUTED_VALUE"""),"SI")</f>
        <v>SI</v>
      </c>
      <c r="AH1802" s="65" t="str">
        <f>IFERROR(__xludf.DUMMYFUNCTION("""COMPUTED_VALUE"""),"09:00")</f>
        <v>09:00</v>
      </c>
      <c r="AI1802" s="65" t="str">
        <f>IFERROR(__xludf.DUMMYFUNCTION("""COMPUTED_VALUE"""),"22-01-2026")</f>
        <v>22-01-2026</v>
      </c>
      <c r="AJ1802" s="65"/>
      <c r="AK1802" s="65"/>
      <c r="AL1802" s="65"/>
      <c r="AM1802" s="65"/>
      <c r="AN1802" s="65" t="str">
        <f>IFERROR(__xludf.DUMMYFUNCTION("""COMPUTED_VALUE"""),"20:53")</f>
        <v>20:53</v>
      </c>
      <c r="AO1802" s="65" t="str">
        <f>IFERROR(__xludf.DUMMYFUNCTION("""COMPUTED_VALUE"""),"13-02-2026")</f>
        <v>13-02-2026</v>
      </c>
      <c r="AP1802" s="65" t="str">
        <f>IFERROR(__xludf.DUMMYFUNCTION("""COMPUTED_VALUE"""),"DEVOLUCIÓN ENTREGADA A ORIGEN")</f>
        <v>DEVOLUCIÓN ENTREGADA A ORIGEN</v>
      </c>
      <c r="AQ1802" s="65" t="str">
        <f>IFERROR(__xludf.DUMMYFUNCTION("""COMPUTED_VALUE"""),"DEVOLUCIÓN ENTREGADA A ORIGEN")</f>
        <v>DEVOLUCIÓN ENTREGADA A ORIGEN</v>
      </c>
      <c r="AR1802" s="65"/>
      <c r="AS1802" s="65"/>
      <c r="AT1802" s="65" t="str">
        <f>IFERROR(__xludf.DUMMYFUNCTION("""COMPUTED_VALUE"""),"SHOPIFY")</f>
        <v>SHOPIFY</v>
      </c>
      <c r="AU1802" s="65" t="str">
        <f>IFERROR(__xludf.DUMMYFUNCTION("""COMPUTED_VALUE"""),"IMPORTEX EC")</f>
        <v>IMPORTEX EC</v>
      </c>
      <c r="AV1802" s="65" t="str">
        <f>IFERROR(__xludf.DUMMYFUNCTION("""COMPUTED_VALUE"""),"6412843941932")</f>
        <v>6412843941932</v>
      </c>
      <c r="AW1802" s="65">
        <f>IFERROR(__xludf.DUMMYFUNCTION("""COMPUTED_VALUE"""),5146.0)</f>
        <v>5146</v>
      </c>
      <c r="AX1802" s="65"/>
      <c r="AY1802" s="65" t="str">
        <f>IFERROR(__xludf.DUMMYFUNCTION("""COMPUTED_VALUE"""),"15/01/2026")</f>
        <v>15/01/2026</v>
      </c>
      <c r="AZ1802" s="65"/>
      <c r="BA1802" s="65"/>
    </row>
    <row r="1803">
      <c r="A1803" s="65" t="str">
        <f>IFERROR(__xludf.DUMMYFUNCTION("""COMPUTED_VALUE"""),"27-03-2026")</f>
        <v>27-03-2026</v>
      </c>
      <c r="B1803" s="65">
        <f>IFERROR(__xludf.DUMMYFUNCTION("""COMPUTED_VALUE"""),4138258.0)</f>
        <v>4138258</v>
      </c>
      <c r="C1803" s="65" t="str">
        <f>IFERROR(__xludf.DUMMYFUNCTION("""COMPUTED_VALUE"""),"22:35")</f>
        <v>22:35</v>
      </c>
      <c r="D1803" s="65" t="str">
        <f>IFERROR(__xludf.DUMMYFUNCTION("""COMPUTED_VALUE"""),"13-01-2026")</f>
        <v>13-01-2026</v>
      </c>
      <c r="E1803" s="65" t="str">
        <f>IFERROR(__xludf.DUMMYFUNCTION("""COMPUTED_VALUE"""),"Gustavo Linares")</f>
        <v>Gustavo Linares</v>
      </c>
      <c r="F1803" s="65" t="str">
        <f>IFERROR(__xludf.DUMMYFUNCTION("""COMPUTED_VALUE"""),"999166375")</f>
        <v>999166375</v>
      </c>
      <c r="G1803" s="65" t="str">
        <f>IFERROR(__xludf.DUMMYFUNCTION("""COMPUTED_VALUE"""),"linaresgustavo381@gmail.com")</f>
        <v>linaresgustavo381@gmail.com</v>
      </c>
      <c r="H1803" s="65"/>
      <c r="I1803" s="65"/>
      <c r="J1803" s="65" t="str">
        <f>IFERROR(__xludf.DUMMYFUNCTION("""COMPUTED_VALUE"""),"D001227669")</f>
        <v>D001227669</v>
      </c>
      <c r="K1803" s="65" t="str">
        <f>IFERROR(__xludf.DUMMYFUNCTION("""COMPUTED_VALUE"""),"DEVOLUCION")</f>
        <v>DEVOLUCION</v>
      </c>
      <c r="L1803" s="65" t="str">
        <f>IFERROR(__xludf.DUMMYFUNCTION("""COMPUTED_VALUE"""),"CON RECAUDO")</f>
        <v>CON RECAUDO</v>
      </c>
      <c r="M1803" s="65" t="str">
        <f>IFERROR(__xludf.DUMMYFUNCTION("""COMPUTED_VALUE"""),"GUAYAS")</f>
        <v>GUAYAS</v>
      </c>
      <c r="N1803" s="65" t="str">
        <f>IFERROR(__xludf.DUMMYFUNCTION("""COMPUTED_VALUE"""),"GUAYAQUIL")</f>
        <v>GUAYAQUIL</v>
      </c>
      <c r="O1803" s="65" t="str">
        <f>IFERROR(__xludf.DUMMYFUNCTION("""COMPUTED_VALUE"""),"Trini puerto Isla trinitarias - diagonal a el puerto tpg")</f>
        <v>Trini puerto Isla trinitarias - diagonal a el puerto tpg</v>
      </c>
      <c r="P1803" s="65"/>
      <c r="Q1803" s="65" t="str">
        <f>IFERROR(__xludf.DUMMYFUNCTION("""COMPUTED_VALUE"""),"GINTRACOM")</f>
        <v>GINTRACOM</v>
      </c>
      <c r="R1803" s="65">
        <f>IFERROR(__xludf.DUMMYFUNCTION("""COMPUTED_VALUE"""),30.0)</f>
        <v>30</v>
      </c>
      <c r="S1803" s="65"/>
      <c r="T1803" s="65">
        <f>IFERROR(__xludf.DUMMYFUNCTION("""COMPUTED_VALUE"""),6.16)</f>
        <v>6.16</v>
      </c>
      <c r="U1803" s="65">
        <f>IFERROR(__xludf.DUMMYFUNCTION("""COMPUTED_VALUE"""),0.0)</f>
        <v>0</v>
      </c>
      <c r="V1803" s="65">
        <f>IFERROR(__xludf.DUMMYFUNCTION("""COMPUTED_VALUE"""),0.0)</f>
        <v>0</v>
      </c>
      <c r="W1803" s="65">
        <f>IFERROR(__xludf.DUMMYFUNCTION("""COMPUTED_VALUE"""),0.0)</f>
        <v>0</v>
      </c>
      <c r="X1803" s="65">
        <f>IFERROR(__xludf.DUMMYFUNCTION("""COMPUTED_VALUE"""),2.35)</f>
        <v>2.35</v>
      </c>
      <c r="Y1803" s="65">
        <f>IFERROR(__xludf.DUMMYFUNCTION("""COMPUTED_VALUE"""),7.05)</f>
        <v>7.05</v>
      </c>
      <c r="Z1803" s="65">
        <f>IFERROR(__xludf.DUMMYFUNCTION("""COMPUTED_VALUE"""),116679.0)</f>
        <v>116679</v>
      </c>
      <c r="AA1803" s="65" t="str">
        <f>IFERROR(__xludf.DUMMYFUNCTION("""COMPUTED_VALUE"""),"AMC-2738")</f>
        <v>AMC-2738</v>
      </c>
      <c r="AB1803" s="65"/>
      <c r="AC1803" s="65" t="str">
        <f>IFERROR(__xludf.DUMMYFUNCTION("""COMPUTED_VALUE"""),"ESPONJA ANTILLUVIA DE PARABRISAS")</f>
        <v>ESPONJA ANTILLUVIA DE PARABRISAS</v>
      </c>
      <c r="AD1803" s="65"/>
      <c r="AE1803" s="65">
        <f>IFERROR(__xludf.DUMMYFUNCTION("""COMPUTED_VALUE"""),3.0)</f>
        <v>3</v>
      </c>
      <c r="AF1803" s="65" t="str">
        <f>IFERROR(__xludf.DUMMYFUNCTION("""COMPUTED_VALUE"""),"DESTINATARIO NO CONTESTA LLAMADAS NI WHATSAPP")</f>
        <v>DESTINATARIO NO CONTESTA LLAMADAS NI WHATSAPP</v>
      </c>
      <c r="AG1803" s="65" t="str">
        <f>IFERROR(__xludf.DUMMYFUNCTION("""COMPUTED_VALUE"""),"SI")</f>
        <v>SI</v>
      </c>
      <c r="AH1803" s="65" t="str">
        <f>IFERROR(__xludf.DUMMYFUNCTION("""COMPUTED_VALUE"""),"09:00")</f>
        <v>09:00</v>
      </c>
      <c r="AI1803" s="65" t="str">
        <f>IFERROR(__xludf.DUMMYFUNCTION("""COMPUTED_VALUE"""),"22-01-2026")</f>
        <v>22-01-2026</v>
      </c>
      <c r="AJ1803" s="65" t="str">
        <f>IFERROR(__xludf.DUMMYFUNCTION("""COMPUTED_VALUE"""),"DEVOLVER AL REMITENTE")</f>
        <v>DEVOLVER AL REMITENTE</v>
      </c>
      <c r="AK1803" s="65" t="str">
        <f>IFERROR(__xludf.DUMMYFUNCTION("""COMPUTED_VALUE"""),"18:45")</f>
        <v>18:45</v>
      </c>
      <c r="AL1803" s="65" t="str">
        <f>IFERROR(__xludf.DUMMYFUNCTION("""COMPUTED_VALUE"""),"22-01-2026")</f>
        <v>22-01-2026</v>
      </c>
      <c r="AM1803" s="65"/>
      <c r="AN1803" s="65" t="str">
        <f>IFERROR(__xludf.DUMMYFUNCTION("""COMPUTED_VALUE"""),"01:40")</f>
        <v>01:40</v>
      </c>
      <c r="AO1803" s="65" t="str">
        <f>IFERROR(__xludf.DUMMYFUNCTION("""COMPUTED_VALUE"""),"06-03-2026")</f>
        <v>06-03-2026</v>
      </c>
      <c r="AP1803" s="65" t="str">
        <f>IFERROR(__xludf.DUMMYFUNCTION("""COMPUTED_VALUE"""),"DEVOLUCIÓN ENTREGADA A ORIGEN")</f>
        <v>DEVOLUCIÓN ENTREGADA A ORIGEN</v>
      </c>
      <c r="AQ1803" s="65" t="str">
        <f>IFERROR(__xludf.DUMMYFUNCTION("""COMPUTED_VALUE"""),"DEVOLUCIÓN ENTREGADA A ORIGEN")</f>
        <v>DEVOLUCIÓN ENTREGADA A ORIGEN</v>
      </c>
      <c r="AR1803" s="65"/>
      <c r="AS1803" s="65"/>
      <c r="AT1803" s="65" t="str">
        <f>IFERROR(__xludf.DUMMYFUNCTION("""COMPUTED_VALUE"""),"SHOPIFY")</f>
        <v>SHOPIFY</v>
      </c>
      <c r="AU1803" s="65" t="str">
        <f>IFERROR(__xludf.DUMMYFUNCTION("""COMPUTED_VALUE"""),"IMPORTEX EC")</f>
        <v>IMPORTEX EC</v>
      </c>
      <c r="AV1803" s="65" t="str">
        <f>IFERROR(__xludf.DUMMYFUNCTION("""COMPUTED_VALUE"""),"6412833751084")</f>
        <v>6412833751084</v>
      </c>
      <c r="AW1803" s="65">
        <f>IFERROR(__xludf.DUMMYFUNCTION("""COMPUTED_VALUE"""),5145.0)</f>
        <v>5145</v>
      </c>
      <c r="AX1803" s="65"/>
      <c r="AY1803" s="65" t="str">
        <f>IFERROR(__xludf.DUMMYFUNCTION("""COMPUTED_VALUE"""),"15/01/2026")</f>
        <v>15/01/2026</v>
      </c>
      <c r="AZ1803" s="65"/>
      <c r="BA1803" s="65"/>
    </row>
    <row r="1804">
      <c r="A1804" s="65" t="str">
        <f>IFERROR(__xludf.DUMMYFUNCTION("""COMPUTED_VALUE"""),"27-03-2026")</f>
        <v>27-03-2026</v>
      </c>
      <c r="B1804" s="65">
        <f>IFERROR(__xludf.DUMMYFUNCTION("""COMPUTED_VALUE"""),4137946.0)</f>
        <v>4137946</v>
      </c>
      <c r="C1804" s="65" t="str">
        <f>IFERROR(__xludf.DUMMYFUNCTION("""COMPUTED_VALUE"""),"22:11")</f>
        <v>22:11</v>
      </c>
      <c r="D1804" s="65" t="str">
        <f>IFERROR(__xludf.DUMMYFUNCTION("""COMPUTED_VALUE"""),"13-01-2026")</f>
        <v>13-01-2026</v>
      </c>
      <c r="E1804" s="65" t="str">
        <f>IFERROR(__xludf.DUMMYFUNCTION("""COMPUTED_VALUE"""),"Armando Endara")</f>
        <v>Armando Endara</v>
      </c>
      <c r="F1804" s="65" t="str">
        <f>IFERROR(__xludf.DUMMYFUNCTION("""COMPUTED_VALUE"""),"969406688")</f>
        <v>969406688</v>
      </c>
      <c r="G1804" s="65" t="str">
        <f>IFERROR(__xludf.DUMMYFUNCTION("""COMPUTED_VALUE"""),"armandei87@yahoo.com")</f>
        <v>armandei87@yahoo.com</v>
      </c>
      <c r="H1804" s="65"/>
      <c r="I1804" s="65"/>
      <c r="J1804" s="65" t="str">
        <f>IFERROR(__xludf.DUMMYFUNCTION("""COMPUTED_VALUE"""),"D001251055")</f>
        <v>D001251055</v>
      </c>
      <c r="K1804" s="65" t="str">
        <f>IFERROR(__xludf.DUMMYFUNCTION("""COMPUTED_VALUE"""),"ENTREGADO")</f>
        <v>ENTREGADO</v>
      </c>
      <c r="L1804" s="65" t="str">
        <f>IFERROR(__xludf.DUMMYFUNCTION("""COMPUTED_VALUE"""),"CON RECAUDO")</f>
        <v>CON RECAUDO</v>
      </c>
      <c r="M1804" s="65" t="str">
        <f>IFERROR(__xludf.DUMMYFUNCTION("""COMPUTED_VALUE"""),"PICHINCHA")</f>
        <v>PICHINCHA</v>
      </c>
      <c r="N1804" s="65" t="str">
        <f>IFERROR(__xludf.DUMMYFUNCTION("""COMPUTED_VALUE"""),"QUITO")</f>
        <v>QUITO</v>
      </c>
      <c r="O1804" s="65" t="str">
        <f>IFERROR(__xludf.DUMMYFUNCTION("""COMPUTED_VALUE"""),"Pablo Neruda OE4-154 y Alberto Einstein Carcelen - Uisek -")</f>
        <v>Pablo Neruda OE4-154 y Alberto Einstein Carcelen - Uisek -</v>
      </c>
      <c r="P1804" s="65"/>
      <c r="Q1804" s="65" t="str">
        <f>IFERROR(__xludf.DUMMYFUNCTION("""COMPUTED_VALUE"""),"GINTRACOM")</f>
        <v>GINTRACOM</v>
      </c>
      <c r="R1804" s="65">
        <f>IFERROR(__xludf.DUMMYFUNCTION("""COMPUTED_VALUE"""),25.0)</f>
        <v>25</v>
      </c>
      <c r="S1804" s="65">
        <f>IFERROR(__xludf.DUMMYFUNCTION("""COMPUTED_VALUE"""),15.95)</f>
        <v>15.95</v>
      </c>
      <c r="T1804" s="65">
        <f>IFERROR(__xludf.DUMMYFUNCTION("""COMPUTED_VALUE"""),4.35)</f>
        <v>4.35</v>
      </c>
      <c r="U1804" s="65">
        <f>IFERROR(__xludf.DUMMYFUNCTION("""COMPUTED_VALUE"""),0.0)</f>
        <v>0</v>
      </c>
      <c r="V1804" s="65">
        <f>IFERROR(__xludf.DUMMYFUNCTION("""COMPUTED_VALUE"""),0.0)</f>
        <v>0</v>
      </c>
      <c r="W1804" s="65">
        <f>IFERROR(__xludf.DUMMYFUNCTION("""COMPUTED_VALUE"""),0.0)</f>
        <v>0</v>
      </c>
      <c r="X1804" s="65">
        <f>IFERROR(__xludf.DUMMYFUNCTION("""COMPUTED_VALUE"""),2.35)</f>
        <v>2.35</v>
      </c>
      <c r="Y1804" s="65">
        <f>IFERROR(__xludf.DUMMYFUNCTION("""COMPUTED_VALUE"""),4.7)</f>
        <v>4.7</v>
      </c>
      <c r="Z1804" s="65">
        <f>IFERROR(__xludf.DUMMYFUNCTION("""COMPUTED_VALUE"""),116679.0)</f>
        <v>116679</v>
      </c>
      <c r="AA1804" s="65" t="str">
        <f>IFERROR(__xludf.DUMMYFUNCTION("""COMPUTED_VALUE"""),"AMC-2738")</f>
        <v>AMC-2738</v>
      </c>
      <c r="AB1804" s="65"/>
      <c r="AC1804" s="65" t="str">
        <f>IFERROR(__xludf.DUMMYFUNCTION("""COMPUTED_VALUE"""),"ESPONJA ANTILLUVIA DE PARABRISAS")</f>
        <v>ESPONJA ANTILLUVIA DE PARABRISAS</v>
      </c>
      <c r="AD1804" s="65"/>
      <c r="AE1804" s="65">
        <f>IFERROR(__xludf.DUMMYFUNCTION("""COMPUTED_VALUE"""),2.0)</f>
        <v>2</v>
      </c>
      <c r="AF1804" s="65"/>
      <c r="AG1804" s="65"/>
      <c r="AH1804" s="65"/>
      <c r="AI1804" s="65"/>
      <c r="AJ1804" s="65"/>
      <c r="AK1804" s="65"/>
      <c r="AL1804" s="65"/>
      <c r="AM1804" s="65"/>
      <c r="AN1804" s="65" t="str">
        <f>IFERROR(__xludf.DUMMYFUNCTION("""COMPUTED_VALUE"""),"09:27")</f>
        <v>09:27</v>
      </c>
      <c r="AO1804" s="65" t="str">
        <f>IFERROR(__xludf.DUMMYFUNCTION("""COMPUTED_VALUE"""),"24-01-2026")</f>
        <v>24-01-2026</v>
      </c>
      <c r="AP1804" s="65" t="str">
        <f>IFERROR(__xludf.DUMMYFUNCTION("""COMPUTED_VALUE"""),"EN REPARTO")</f>
        <v>EN REPARTO</v>
      </c>
      <c r="AQ1804" s="65" t="str">
        <f>IFERROR(__xludf.DUMMYFUNCTION("""COMPUTED_VALUE"""),"EN REPARTO")</f>
        <v>EN REPARTO</v>
      </c>
      <c r="AR1804" s="65"/>
      <c r="AS1804" s="65"/>
      <c r="AT1804" s="65" t="str">
        <f>IFERROR(__xludf.DUMMYFUNCTION("""COMPUTED_VALUE"""),"SHOPIFY")</f>
        <v>SHOPIFY</v>
      </c>
      <c r="AU1804" s="65" t="str">
        <f>IFERROR(__xludf.DUMMYFUNCTION("""COMPUTED_VALUE"""),"IMPORTEX EC")</f>
        <v>IMPORTEX EC</v>
      </c>
      <c r="AV1804" s="65" t="str">
        <f>IFERROR(__xludf.DUMMYFUNCTION("""COMPUTED_VALUE"""),"6412772114476")</f>
        <v>6412772114476</v>
      </c>
      <c r="AW1804" s="65">
        <f>IFERROR(__xludf.DUMMYFUNCTION("""COMPUTED_VALUE"""),5144.0)</f>
        <v>5144</v>
      </c>
      <c r="AX1804" s="65"/>
      <c r="AY1804" s="65" t="str">
        <f>IFERROR(__xludf.DUMMYFUNCTION("""COMPUTED_VALUE"""),"22/01/2026")</f>
        <v>22/01/2026</v>
      </c>
      <c r="AZ1804" s="65"/>
      <c r="BA1804" s="65"/>
    </row>
    <row r="1805">
      <c r="A1805" s="65" t="str">
        <f>IFERROR(__xludf.DUMMYFUNCTION("""COMPUTED_VALUE"""),"27-03-2026")</f>
        <v>27-03-2026</v>
      </c>
      <c r="B1805" s="65">
        <f>IFERROR(__xludf.DUMMYFUNCTION("""COMPUTED_VALUE"""),4137865.0)</f>
        <v>4137865</v>
      </c>
      <c r="C1805" s="65" t="str">
        <f>IFERROR(__xludf.DUMMYFUNCTION("""COMPUTED_VALUE"""),"22:05")</f>
        <v>22:05</v>
      </c>
      <c r="D1805" s="65" t="str">
        <f>IFERROR(__xludf.DUMMYFUNCTION("""COMPUTED_VALUE"""),"13-01-2026")</f>
        <v>13-01-2026</v>
      </c>
      <c r="E1805" s="65" t="str">
        <f>IFERROR(__xludf.DUMMYFUNCTION("""COMPUTED_VALUE"""),"Joaquín Caba")</f>
        <v>Joaquín Caba</v>
      </c>
      <c r="F1805" s="65" t="str">
        <f>IFERROR(__xludf.DUMMYFUNCTION("""COMPUTED_VALUE"""),"985675946")</f>
        <v>985675946</v>
      </c>
      <c r="G1805" s="65"/>
      <c r="H1805" s="65"/>
      <c r="I1805" s="65"/>
      <c r="J1805" s="65" t="str">
        <f>IFERROR(__xludf.DUMMYFUNCTION("""COMPUTED_VALUE"""),"D001227671")</f>
        <v>D001227671</v>
      </c>
      <c r="K1805" s="65" t="str">
        <f>IFERROR(__xludf.DUMMYFUNCTION("""COMPUTED_VALUE"""),"DEVOLUCION")</f>
        <v>DEVOLUCION</v>
      </c>
      <c r="L1805" s="65" t="str">
        <f>IFERROR(__xludf.DUMMYFUNCTION("""COMPUTED_VALUE"""),"CON RECAUDO")</f>
        <v>CON RECAUDO</v>
      </c>
      <c r="M1805" s="65" t="str">
        <f>IFERROR(__xludf.DUMMYFUNCTION("""COMPUTED_VALUE"""),"GUAYAS")</f>
        <v>GUAYAS</v>
      </c>
      <c r="N1805" s="65" t="str">
        <f>IFERROR(__xludf.DUMMYFUNCTION("""COMPUTED_VALUE"""),"DURAN")</f>
        <v>DURAN</v>
      </c>
      <c r="O1805" s="65" t="str">
        <f>IFERROR(__xludf.DUMMYFUNCTION("""COMPUTED_VALUE"""),"Secap los tubos Brisas de los estero MZ A solar 27 -")</f>
        <v>Secap los tubos Brisas de los estero MZ A solar 27 -</v>
      </c>
      <c r="P1805" s="65"/>
      <c r="Q1805" s="65" t="str">
        <f>IFERROR(__xludf.DUMMYFUNCTION("""COMPUTED_VALUE"""),"GINTRACOM")</f>
        <v>GINTRACOM</v>
      </c>
      <c r="R1805" s="65">
        <f>IFERROR(__xludf.DUMMYFUNCTION("""COMPUTED_VALUE"""),25.0)</f>
        <v>25</v>
      </c>
      <c r="S1805" s="65"/>
      <c r="T1805" s="65">
        <f>IFERROR(__xludf.DUMMYFUNCTION("""COMPUTED_VALUE"""),5.96)</f>
        <v>5.96</v>
      </c>
      <c r="U1805" s="65">
        <f>IFERROR(__xludf.DUMMYFUNCTION("""COMPUTED_VALUE"""),0.0)</f>
        <v>0</v>
      </c>
      <c r="V1805" s="65">
        <f>IFERROR(__xludf.DUMMYFUNCTION("""COMPUTED_VALUE"""),0.0)</f>
        <v>0</v>
      </c>
      <c r="W1805" s="65">
        <f>IFERROR(__xludf.DUMMYFUNCTION("""COMPUTED_VALUE"""),0.0)</f>
        <v>0</v>
      </c>
      <c r="X1805" s="65">
        <f>IFERROR(__xludf.DUMMYFUNCTION("""COMPUTED_VALUE"""),2.35)</f>
        <v>2.35</v>
      </c>
      <c r="Y1805" s="65">
        <f>IFERROR(__xludf.DUMMYFUNCTION("""COMPUTED_VALUE"""),4.7)</f>
        <v>4.7</v>
      </c>
      <c r="Z1805" s="65">
        <f>IFERROR(__xludf.DUMMYFUNCTION("""COMPUTED_VALUE"""),116679.0)</f>
        <v>116679</v>
      </c>
      <c r="AA1805" s="65" t="str">
        <f>IFERROR(__xludf.DUMMYFUNCTION("""COMPUTED_VALUE"""),"AMC-2738")</f>
        <v>AMC-2738</v>
      </c>
      <c r="AB1805" s="65"/>
      <c r="AC1805" s="65" t="str">
        <f>IFERROR(__xludf.DUMMYFUNCTION("""COMPUTED_VALUE"""),"ESPONJA ANTILLUVIA DE PARABRISAS")</f>
        <v>ESPONJA ANTILLUVIA DE PARABRISAS</v>
      </c>
      <c r="AD1805" s="65"/>
      <c r="AE1805" s="65">
        <f>IFERROR(__xludf.DUMMYFUNCTION("""COMPUTED_VALUE"""),2.0)</f>
        <v>2</v>
      </c>
      <c r="AF1805" s="65" t="str">
        <f>IFERROR(__xludf.DUMMYFUNCTION("""COMPUTED_VALUE"""),"DESTINATARIO NO CONTESTA LLAMADAS NI WHATSAPP")</f>
        <v>DESTINATARIO NO CONTESTA LLAMADAS NI WHATSAPP</v>
      </c>
      <c r="AG1805" s="65" t="str">
        <f>IFERROR(__xludf.DUMMYFUNCTION("""COMPUTED_VALUE"""),"SI")</f>
        <v>SI</v>
      </c>
      <c r="AH1805" s="65" t="str">
        <f>IFERROR(__xludf.DUMMYFUNCTION("""COMPUTED_VALUE"""),"15:52")</f>
        <v>15:52</v>
      </c>
      <c r="AI1805" s="65" t="str">
        <f>IFERROR(__xludf.DUMMYFUNCTION("""COMPUTED_VALUE"""),"20-01-2026")</f>
        <v>20-01-2026</v>
      </c>
      <c r="AJ1805" s="65" t="str">
        <f>IFERROR(__xludf.DUMMYFUNCTION("""COMPUTED_VALUE"""),"DEVOLVER AL REMITENTE")</f>
        <v>DEVOLVER AL REMITENTE</v>
      </c>
      <c r="AK1805" s="65" t="str">
        <f>IFERROR(__xludf.DUMMYFUNCTION("""COMPUTED_VALUE"""),"17:09")</f>
        <v>17:09</v>
      </c>
      <c r="AL1805" s="65" t="str">
        <f>IFERROR(__xludf.DUMMYFUNCTION("""COMPUTED_VALUE"""),"21-01-2026")</f>
        <v>21-01-2026</v>
      </c>
      <c r="AM1805" s="65"/>
      <c r="AN1805" s="65" t="str">
        <f>IFERROR(__xludf.DUMMYFUNCTION("""COMPUTED_VALUE"""),"10:25")</f>
        <v>10:25</v>
      </c>
      <c r="AO1805" s="65" t="str">
        <f>IFERROR(__xludf.DUMMYFUNCTION("""COMPUTED_VALUE"""),"23-01-2026")</f>
        <v>23-01-2026</v>
      </c>
      <c r="AP1805" s="65" t="str">
        <f>IFERROR(__xludf.DUMMYFUNCTION("""COMPUTED_VALUE"""),"DEVOLUCIÓN")</f>
        <v>DEVOLUCIÓN</v>
      </c>
      <c r="AQ1805" s="65" t="str">
        <f>IFERROR(__xludf.DUMMYFUNCTION("""COMPUTED_VALUE"""),"DEVOLUCIÓN")</f>
        <v>DEVOLUCIÓN</v>
      </c>
      <c r="AR1805" s="65"/>
      <c r="AS1805" s="65"/>
      <c r="AT1805" s="65" t="str">
        <f>IFERROR(__xludf.DUMMYFUNCTION("""COMPUTED_VALUE"""),"SHOPIFY")</f>
        <v>SHOPIFY</v>
      </c>
      <c r="AU1805" s="65" t="str">
        <f>IFERROR(__xludf.DUMMYFUNCTION("""COMPUTED_VALUE"""),"IMPORTEX EC")</f>
        <v>IMPORTEX EC</v>
      </c>
      <c r="AV1805" s="65" t="str">
        <f>IFERROR(__xludf.DUMMYFUNCTION("""COMPUTED_VALUE"""),"6412755861548")</f>
        <v>6412755861548</v>
      </c>
      <c r="AW1805" s="65">
        <f>IFERROR(__xludf.DUMMYFUNCTION("""COMPUTED_VALUE"""),5143.0)</f>
        <v>5143</v>
      </c>
      <c r="AX1805" s="65"/>
      <c r="AY1805" s="65" t="str">
        <f>IFERROR(__xludf.DUMMYFUNCTION("""COMPUTED_VALUE"""),"15/01/2026")</f>
        <v>15/01/2026</v>
      </c>
      <c r="AZ1805" s="65"/>
      <c r="BA1805" s="65"/>
    </row>
    <row r="1806">
      <c r="A1806" s="65" t="str">
        <f>IFERROR(__xludf.DUMMYFUNCTION("""COMPUTED_VALUE"""),"27-03-2026")</f>
        <v>27-03-2026</v>
      </c>
      <c r="B1806" s="65">
        <f>IFERROR(__xludf.DUMMYFUNCTION("""COMPUTED_VALUE"""),4137795.0)</f>
        <v>4137795</v>
      </c>
      <c r="C1806" s="65" t="str">
        <f>IFERROR(__xludf.DUMMYFUNCTION("""COMPUTED_VALUE"""),"22:00")</f>
        <v>22:00</v>
      </c>
      <c r="D1806" s="65" t="str">
        <f>IFERROR(__xludf.DUMMYFUNCTION("""COMPUTED_VALUE"""),"13-01-2026")</f>
        <v>13-01-2026</v>
      </c>
      <c r="E1806" s="65" t="str">
        <f>IFERROR(__xludf.DUMMYFUNCTION("""COMPUTED_VALUE"""),"Julio Bermudes")</f>
        <v>Julio Bermudes</v>
      </c>
      <c r="F1806" s="65" t="str">
        <f>IFERROR(__xludf.DUMMYFUNCTION("""COMPUTED_VALUE"""),"939266508")</f>
        <v>939266508</v>
      </c>
      <c r="G1806" s="65"/>
      <c r="H1806" s="65"/>
      <c r="I1806" s="65"/>
      <c r="J1806" s="65" t="str">
        <f>IFERROR(__xludf.DUMMYFUNCTION("""COMPUTED_VALUE"""),"186974716")</f>
        <v>186974716</v>
      </c>
      <c r="K1806" s="65" t="str">
        <f>IFERROR(__xludf.DUMMYFUNCTION("""COMPUTED_VALUE"""),"DEVOLUCION")</f>
        <v>DEVOLUCION</v>
      </c>
      <c r="L1806" s="65" t="str">
        <f>IFERROR(__xludf.DUMMYFUNCTION("""COMPUTED_VALUE"""),"CON RECAUDO")</f>
        <v>CON RECAUDO</v>
      </c>
      <c r="M1806" s="65" t="str">
        <f>IFERROR(__xludf.DUMMYFUNCTION("""COMPUTED_VALUE"""),"ESMERALDAS")</f>
        <v>ESMERALDAS</v>
      </c>
      <c r="N1806" s="65" t="str">
        <f>IFERROR(__xludf.DUMMYFUNCTION("""COMPUTED_VALUE"""),"QUININDE")</f>
        <v>QUININDE</v>
      </c>
      <c r="O1806" s="65" t="str">
        <f>IFERROR(__xludf.DUMMYFUNCTION("""COMPUTED_VALUE"""),"RETIRA EN CS : QUININDE_PRINCIPAL , AV. 6 DE DICIEMBRE S/N Y GUSTAVO BECERRA")</f>
        <v>RETIRA EN CS : QUININDE_PRINCIPAL , AV. 6 DE DICIEMBRE S/N Y GUSTAVO BECERRA</v>
      </c>
      <c r="P1806" s="65"/>
      <c r="Q1806" s="65" t="str">
        <f>IFERROR(__xludf.DUMMYFUNCTION("""COMPUTED_VALUE"""),"SERVIENTREGA")</f>
        <v>SERVIENTREGA</v>
      </c>
      <c r="R1806" s="65">
        <f>IFERROR(__xludf.DUMMYFUNCTION("""COMPUTED_VALUE"""),20.0)</f>
        <v>20</v>
      </c>
      <c r="S1806" s="65"/>
      <c r="T1806" s="65">
        <f>IFERROR(__xludf.DUMMYFUNCTION("""COMPUTED_VALUE"""),7.67)</f>
        <v>7.67</v>
      </c>
      <c r="U1806" s="65">
        <f>IFERROR(__xludf.DUMMYFUNCTION("""COMPUTED_VALUE"""),0.0)</f>
        <v>0</v>
      </c>
      <c r="V1806" s="65">
        <f>IFERROR(__xludf.DUMMYFUNCTION("""COMPUTED_VALUE"""),0.0)</f>
        <v>0</v>
      </c>
      <c r="W1806" s="65">
        <f>IFERROR(__xludf.DUMMYFUNCTION("""COMPUTED_VALUE"""),0.0)</f>
        <v>0</v>
      </c>
      <c r="X1806" s="65">
        <f>IFERROR(__xludf.DUMMYFUNCTION("""COMPUTED_VALUE"""),2.35)</f>
        <v>2.35</v>
      </c>
      <c r="Y1806" s="65">
        <f>IFERROR(__xludf.DUMMYFUNCTION("""COMPUTED_VALUE"""),2.35)</f>
        <v>2.35</v>
      </c>
      <c r="Z1806" s="65">
        <f>IFERROR(__xludf.DUMMYFUNCTION("""COMPUTED_VALUE"""),116679.0)</f>
        <v>116679</v>
      </c>
      <c r="AA1806" s="65" t="str">
        <f>IFERROR(__xludf.DUMMYFUNCTION("""COMPUTED_VALUE"""),"AMC-2738")</f>
        <v>AMC-2738</v>
      </c>
      <c r="AB1806" s="65"/>
      <c r="AC1806" s="65" t="str">
        <f>IFERROR(__xludf.DUMMYFUNCTION("""COMPUTED_VALUE"""),"ESPONJA ANTILLUVIA DE PARABRISAS")</f>
        <v>ESPONJA ANTILLUVIA DE PARABRISAS</v>
      </c>
      <c r="AD1806" s="65"/>
      <c r="AE1806" s="65">
        <f>IFERROR(__xludf.DUMMYFUNCTION("""COMPUTED_VALUE"""),1.0)</f>
        <v>1</v>
      </c>
      <c r="AF1806" s="65" t="str">
        <f>IFERROR(__xludf.DUMMYFUNCTION("""COMPUTED_VALUE"""),"DEVUELTO DE")</f>
        <v>DEVUELTO DE</v>
      </c>
      <c r="AG1806" s="65" t="str">
        <f>IFERROR(__xludf.DUMMYFUNCTION("""COMPUTED_VALUE"""),"NO")</f>
        <v>NO</v>
      </c>
      <c r="AH1806" s="65" t="str">
        <f>IFERROR(__xludf.DUMMYFUNCTION("""COMPUTED_VALUE"""),"08:45")</f>
        <v>08:45</v>
      </c>
      <c r="AI1806" s="65" t="str">
        <f>IFERROR(__xludf.DUMMYFUNCTION("""COMPUTED_VALUE"""),"23-01-2026")</f>
        <v>23-01-2026</v>
      </c>
      <c r="AJ1806" s="65"/>
      <c r="AK1806" s="65"/>
      <c r="AL1806" s="65"/>
      <c r="AM1806" s="65"/>
      <c r="AN1806" s="65" t="str">
        <f>IFERROR(__xludf.DUMMYFUNCTION("""COMPUTED_VALUE"""),"14:36")</f>
        <v>14:36</v>
      </c>
      <c r="AO1806" s="65" t="str">
        <f>IFERROR(__xludf.DUMMYFUNCTION("""COMPUTED_VALUE"""),"28-01-2026")</f>
        <v>28-01-2026</v>
      </c>
      <c r="AP1806" s="65" t="str">
        <f>IFERROR(__xludf.DUMMYFUNCTION("""COMPUTED_VALUE"""),"EN DISTRIBUCIÓN A CLIENTE")</f>
        <v>EN DISTRIBUCIÓN A CLIENTE</v>
      </c>
      <c r="AQ1806" s="65" t="str">
        <f>IFERROR(__xludf.DUMMYFUNCTION("""COMPUTED_VALUE"""),".")</f>
        <v>.</v>
      </c>
      <c r="AR1806" s="65"/>
      <c r="AS1806" s="65"/>
      <c r="AT1806" s="65"/>
      <c r="AU1806" s="65"/>
      <c r="AV1806" s="65"/>
      <c r="AW1806" s="65"/>
      <c r="AX1806" s="65"/>
      <c r="AY1806" s="65" t="str">
        <f>IFERROR(__xludf.DUMMYFUNCTION("""COMPUTED_VALUE"""),"14/01/2026")</f>
        <v>14/01/2026</v>
      </c>
      <c r="AZ1806" s="65"/>
      <c r="BA1806" s="65"/>
    </row>
    <row r="1807">
      <c r="A1807" s="65" t="str">
        <f>IFERROR(__xludf.DUMMYFUNCTION("""COMPUTED_VALUE"""),"27-03-2026")</f>
        <v>27-03-2026</v>
      </c>
      <c r="B1807" s="65">
        <f>IFERROR(__xludf.DUMMYFUNCTION("""COMPUTED_VALUE"""),4137694.0)</f>
        <v>4137694</v>
      </c>
      <c r="C1807" s="65" t="str">
        <f>IFERROR(__xludf.DUMMYFUNCTION("""COMPUTED_VALUE"""),"21:54")</f>
        <v>21:54</v>
      </c>
      <c r="D1807" s="65" t="str">
        <f>IFERROR(__xludf.DUMMYFUNCTION("""COMPUTED_VALUE"""),"13-01-2026")</f>
        <v>13-01-2026</v>
      </c>
      <c r="E1807" s="65" t="str">
        <f>IFERROR(__xludf.DUMMYFUNCTION("""COMPUTED_VALUE"""),"Verónica Espinoza")</f>
        <v>Verónica Espinoza</v>
      </c>
      <c r="F1807" s="65" t="str">
        <f>IFERROR(__xludf.DUMMYFUNCTION("""COMPUTED_VALUE"""),"997497990")</f>
        <v>997497990</v>
      </c>
      <c r="G1807" s="65" t="str">
        <f>IFERROR(__xludf.DUMMYFUNCTION("""COMPUTED_VALUE"""),"veroesbla@gmail.com")</f>
        <v>veroesbla@gmail.com</v>
      </c>
      <c r="H1807" s="65"/>
      <c r="I1807" s="65"/>
      <c r="J1807" s="65"/>
      <c r="K1807" s="65" t="str">
        <f>IFERROR(__xludf.DUMMYFUNCTION("""COMPUTED_VALUE"""),"CANCELADO")</f>
        <v>CANCELADO</v>
      </c>
      <c r="L1807" s="65" t="str">
        <f>IFERROR(__xludf.DUMMYFUNCTION("""COMPUTED_VALUE"""),"CON RECAUDO")</f>
        <v>CON RECAUDO</v>
      </c>
      <c r="M1807" s="65" t="str">
        <f>IFERROR(__xludf.DUMMYFUNCTION("""COMPUTED_VALUE"""),"EL ORO")</f>
        <v>EL ORO</v>
      </c>
      <c r="N1807" s="65" t="str">
        <f>IFERROR(__xludf.DUMMYFUNCTION("""COMPUTED_VALUE"""),"ZARUMA")</f>
        <v>ZARUMA</v>
      </c>
      <c r="O1807" s="65" t="str">
        <f>IFERROR(__xludf.DUMMYFUNCTION("""COMPUTED_VALUE"""),"Av universitaria frente a ferr Frente a Ferreteria de mani -")</f>
        <v>Av universitaria frente a ferr Frente a Ferreteria de mani -</v>
      </c>
      <c r="P1807" s="65"/>
      <c r="Q1807" s="65" t="str">
        <f>IFERROR(__xludf.DUMMYFUNCTION("""COMPUTED_VALUE"""),"SERVIENTREGA")</f>
        <v>SERVIENTREGA</v>
      </c>
      <c r="R1807" s="65">
        <f>IFERROR(__xludf.DUMMYFUNCTION("""COMPUTED_VALUE"""),20.0)</f>
        <v>20</v>
      </c>
      <c r="S1807" s="65"/>
      <c r="T1807" s="65">
        <f>IFERROR(__xludf.DUMMYFUNCTION("""COMPUTED_VALUE"""),7.67)</f>
        <v>7.67</v>
      </c>
      <c r="U1807" s="65">
        <f>IFERROR(__xludf.DUMMYFUNCTION("""COMPUTED_VALUE"""),0.0)</f>
        <v>0</v>
      </c>
      <c r="V1807" s="65">
        <f>IFERROR(__xludf.DUMMYFUNCTION("""COMPUTED_VALUE"""),0.0)</f>
        <v>0</v>
      </c>
      <c r="W1807" s="65">
        <f>IFERROR(__xludf.DUMMYFUNCTION("""COMPUTED_VALUE"""),0.0)</f>
        <v>0</v>
      </c>
      <c r="X1807" s="65">
        <f>IFERROR(__xludf.DUMMYFUNCTION("""COMPUTED_VALUE"""),2.35)</f>
        <v>2.35</v>
      </c>
      <c r="Y1807" s="65">
        <f>IFERROR(__xludf.DUMMYFUNCTION("""COMPUTED_VALUE"""),2.35)</f>
        <v>2.35</v>
      </c>
      <c r="Z1807" s="65">
        <f>IFERROR(__xludf.DUMMYFUNCTION("""COMPUTED_VALUE"""),116679.0)</f>
        <v>116679</v>
      </c>
      <c r="AA1807" s="65" t="str">
        <f>IFERROR(__xludf.DUMMYFUNCTION("""COMPUTED_VALUE"""),"AMC-2738")</f>
        <v>AMC-2738</v>
      </c>
      <c r="AB1807" s="65"/>
      <c r="AC1807" s="65" t="str">
        <f>IFERROR(__xludf.DUMMYFUNCTION("""COMPUTED_VALUE"""),"ESPONJA ANTILLUVIA DE PARABRISAS")</f>
        <v>ESPONJA ANTILLUVIA DE PARABRISAS</v>
      </c>
      <c r="AD1807" s="65"/>
      <c r="AE1807" s="65">
        <f>IFERROR(__xludf.DUMMYFUNCTION("""COMPUTED_VALUE"""),1.0)</f>
        <v>1</v>
      </c>
      <c r="AF1807" s="65"/>
      <c r="AG1807" s="65"/>
      <c r="AH1807" s="65"/>
      <c r="AI1807" s="65"/>
      <c r="AJ1807" s="65"/>
      <c r="AK1807" s="65"/>
      <c r="AL1807" s="65"/>
      <c r="AM1807" s="65"/>
      <c r="AN1807" s="65"/>
      <c r="AO1807" s="65"/>
      <c r="AP1807" s="65"/>
      <c r="AQ1807" s="65"/>
      <c r="AR1807" s="65"/>
      <c r="AS1807" s="65"/>
      <c r="AT1807" s="65" t="str">
        <f>IFERROR(__xludf.DUMMYFUNCTION("""COMPUTED_VALUE"""),"SHOPIFY")</f>
        <v>SHOPIFY</v>
      </c>
      <c r="AU1807" s="65" t="str">
        <f>IFERROR(__xludf.DUMMYFUNCTION("""COMPUTED_VALUE"""),"IMPORTEX EC")</f>
        <v>IMPORTEX EC</v>
      </c>
      <c r="AV1807" s="65" t="str">
        <f>IFERROR(__xludf.DUMMYFUNCTION("""COMPUTED_VALUE"""),"6412724371500")</f>
        <v>6412724371500</v>
      </c>
      <c r="AW1807" s="65">
        <f>IFERROR(__xludf.DUMMYFUNCTION("""COMPUTED_VALUE"""),5142.0)</f>
        <v>5142</v>
      </c>
      <c r="AX1807" s="65"/>
      <c r="AY1807" s="65"/>
      <c r="AZ1807" s="65"/>
      <c r="BA1807" s="65"/>
    </row>
    <row r="1808">
      <c r="A1808" s="65" t="str">
        <f>IFERROR(__xludf.DUMMYFUNCTION("""COMPUTED_VALUE"""),"27-03-2026")</f>
        <v>27-03-2026</v>
      </c>
      <c r="B1808" s="65">
        <f>IFERROR(__xludf.DUMMYFUNCTION("""COMPUTED_VALUE"""),4137669.0)</f>
        <v>4137669</v>
      </c>
      <c r="C1808" s="65" t="str">
        <f>IFERROR(__xludf.DUMMYFUNCTION("""COMPUTED_VALUE"""),"21:51")</f>
        <v>21:51</v>
      </c>
      <c r="D1808" s="65" t="str">
        <f>IFERROR(__xludf.DUMMYFUNCTION("""COMPUTED_VALUE"""),"13-01-2026")</f>
        <v>13-01-2026</v>
      </c>
      <c r="E1808" s="65" t="str">
        <f>IFERROR(__xludf.DUMMYFUNCTION("""COMPUTED_VALUE"""),"Jaime Hidalgo")</f>
        <v>Jaime Hidalgo</v>
      </c>
      <c r="F1808" s="65" t="str">
        <f>IFERROR(__xludf.DUMMYFUNCTION("""COMPUTED_VALUE"""),"980114860")</f>
        <v>980114860</v>
      </c>
      <c r="G1808" s="65" t="str">
        <f>IFERROR(__xludf.DUMMYFUNCTION("""COMPUTED_VALUE"""),"jamhh1727@gmail.com")</f>
        <v>jamhh1727@gmail.com</v>
      </c>
      <c r="H1808" s="65"/>
      <c r="I1808" s="65"/>
      <c r="J1808" s="65" t="str">
        <f>IFERROR(__xludf.DUMMYFUNCTION("""COMPUTED_VALUE"""),"186980442")</f>
        <v>186980442</v>
      </c>
      <c r="K1808" s="65" t="str">
        <f>IFERROR(__xludf.DUMMYFUNCTION("""COMPUTED_VALUE"""),"ENTREGADO")</f>
        <v>ENTREGADO</v>
      </c>
      <c r="L1808" s="65" t="str">
        <f>IFERROR(__xludf.DUMMYFUNCTION("""COMPUTED_VALUE"""),"CON RECAUDO")</f>
        <v>CON RECAUDO</v>
      </c>
      <c r="M1808" s="65" t="str">
        <f>IFERROR(__xludf.DUMMYFUNCTION("""COMPUTED_VALUE"""),"ZAMORA CHINCHIPE")</f>
        <v>ZAMORA CHINCHIPE</v>
      </c>
      <c r="N1808" s="65" t="str">
        <f>IFERROR(__xludf.DUMMYFUNCTION("""COMPUTED_VALUE"""),"YANTZAZA")</f>
        <v>YANTZAZA</v>
      </c>
      <c r="O1808" s="65" t="str">
        <f>IFERROR(__xludf.DUMMYFUNCTION("""COMPUTED_VALUE"""),"12 de febrero y zamora Barrio el panesillo -")</f>
        <v>12 de febrero y zamora Barrio el panesillo -</v>
      </c>
      <c r="P1808" s="65"/>
      <c r="Q1808" s="65" t="str">
        <f>IFERROR(__xludf.DUMMYFUNCTION("""COMPUTED_VALUE"""),"SERVIENTREGA")</f>
        <v>SERVIENTREGA</v>
      </c>
      <c r="R1808" s="65">
        <f>IFERROR(__xludf.DUMMYFUNCTION("""COMPUTED_VALUE"""),25.0)</f>
        <v>25</v>
      </c>
      <c r="S1808" s="65">
        <f>IFERROR(__xludf.DUMMYFUNCTION("""COMPUTED_VALUE"""),12.55)</f>
        <v>12.55</v>
      </c>
      <c r="T1808" s="65">
        <f>IFERROR(__xludf.DUMMYFUNCTION("""COMPUTED_VALUE"""),7.75)</f>
        <v>7.75</v>
      </c>
      <c r="U1808" s="65">
        <f>IFERROR(__xludf.DUMMYFUNCTION("""COMPUTED_VALUE"""),0.0)</f>
        <v>0</v>
      </c>
      <c r="V1808" s="65">
        <f>IFERROR(__xludf.DUMMYFUNCTION("""COMPUTED_VALUE"""),0.0)</f>
        <v>0</v>
      </c>
      <c r="W1808" s="65">
        <f>IFERROR(__xludf.DUMMYFUNCTION("""COMPUTED_VALUE"""),0.0)</f>
        <v>0</v>
      </c>
      <c r="X1808" s="65">
        <f>IFERROR(__xludf.DUMMYFUNCTION("""COMPUTED_VALUE"""),2.35)</f>
        <v>2.35</v>
      </c>
      <c r="Y1808" s="65">
        <f>IFERROR(__xludf.DUMMYFUNCTION("""COMPUTED_VALUE"""),4.7)</f>
        <v>4.7</v>
      </c>
      <c r="Z1808" s="65">
        <f>IFERROR(__xludf.DUMMYFUNCTION("""COMPUTED_VALUE"""),116679.0)</f>
        <v>116679</v>
      </c>
      <c r="AA1808" s="65" t="str">
        <f>IFERROR(__xludf.DUMMYFUNCTION("""COMPUTED_VALUE"""),"AMC-2738")</f>
        <v>AMC-2738</v>
      </c>
      <c r="AB1808" s="65"/>
      <c r="AC1808" s="65" t="str">
        <f>IFERROR(__xludf.DUMMYFUNCTION("""COMPUTED_VALUE"""),"ESPONJA ANTILLUVIA DE PARABRISAS")</f>
        <v>ESPONJA ANTILLUVIA DE PARABRISAS</v>
      </c>
      <c r="AD1808" s="65"/>
      <c r="AE1808" s="65">
        <f>IFERROR(__xludf.DUMMYFUNCTION("""COMPUTED_VALUE"""),2.0)</f>
        <v>2</v>
      </c>
      <c r="AF1808" s="65"/>
      <c r="AG1808" s="65"/>
      <c r="AH1808" s="65"/>
      <c r="AI1808" s="65"/>
      <c r="AJ1808" s="65"/>
      <c r="AK1808" s="65"/>
      <c r="AL1808" s="65"/>
      <c r="AM1808" s="65"/>
      <c r="AN1808" s="65" t="str">
        <f>IFERROR(__xludf.DUMMYFUNCTION("""COMPUTED_VALUE"""),"14:47")</f>
        <v>14:47</v>
      </c>
      <c r="AO1808" s="65" t="str">
        <f>IFERROR(__xludf.DUMMYFUNCTION("""COMPUTED_VALUE"""),"16-03-2026")</f>
        <v>16-03-2026</v>
      </c>
      <c r="AP1808" s="65" t="str">
        <f>IFERROR(__xludf.DUMMYFUNCTION("""COMPUTED_VALUE"""),"ENTREGA DIGITALIZADA EN CENTRO LOGISTICO")</f>
        <v>ENTREGA DIGITALIZADA EN CENTRO LOGISTICO</v>
      </c>
      <c r="AQ1808" s="65" t="str">
        <f>IFERROR(__xludf.DUMMYFUNCTION("""COMPUTED_VALUE"""),"JAIME HIDALGO")</f>
        <v>JAIME HIDALGO</v>
      </c>
      <c r="AR1808" s="65"/>
      <c r="AS1808" s="65"/>
      <c r="AT1808" s="65" t="str">
        <f>IFERROR(__xludf.DUMMYFUNCTION("""COMPUTED_VALUE"""),"SHOPIFY")</f>
        <v>SHOPIFY</v>
      </c>
      <c r="AU1808" s="65" t="str">
        <f>IFERROR(__xludf.DUMMYFUNCTION("""COMPUTED_VALUE"""),"IMPORTEX EC")</f>
        <v>IMPORTEX EC</v>
      </c>
      <c r="AV1808" s="65" t="str">
        <f>IFERROR(__xludf.DUMMYFUNCTION("""COMPUTED_VALUE"""),"6412723028012")</f>
        <v>6412723028012</v>
      </c>
      <c r="AW1808" s="65">
        <f>IFERROR(__xludf.DUMMYFUNCTION("""COMPUTED_VALUE"""),5141.0)</f>
        <v>5141</v>
      </c>
      <c r="AX1808" s="65"/>
      <c r="AY1808" s="65" t="str">
        <f>IFERROR(__xludf.DUMMYFUNCTION("""COMPUTED_VALUE"""),"15/01/2026")</f>
        <v>15/01/2026</v>
      </c>
      <c r="AZ1808" s="65"/>
      <c r="BA1808" s="65"/>
    </row>
    <row r="1809">
      <c r="A1809" s="65" t="str">
        <f>IFERROR(__xludf.DUMMYFUNCTION("""COMPUTED_VALUE"""),"27-03-2026")</f>
        <v>27-03-2026</v>
      </c>
      <c r="B1809" s="65">
        <f>IFERROR(__xludf.DUMMYFUNCTION("""COMPUTED_VALUE"""),4137580.0)</f>
        <v>4137580</v>
      </c>
      <c r="C1809" s="65" t="str">
        <f>IFERROR(__xludf.DUMMYFUNCTION("""COMPUTED_VALUE"""),"21:46")</f>
        <v>21:46</v>
      </c>
      <c r="D1809" s="65" t="str">
        <f>IFERROR(__xludf.DUMMYFUNCTION("""COMPUTED_VALUE"""),"13-01-2026")</f>
        <v>13-01-2026</v>
      </c>
      <c r="E1809" s="65" t="str">
        <f>IFERROR(__xludf.DUMMYFUNCTION("""COMPUTED_VALUE"""),"Genesis Elizabeth Quinchuqui aria")</f>
        <v>Genesis Elizabeth Quinchuqui aria</v>
      </c>
      <c r="F1809" s="65" t="str">
        <f>IFERROR(__xludf.DUMMYFUNCTION("""COMPUTED_VALUE"""),"992914663")</f>
        <v>992914663</v>
      </c>
      <c r="G1809" s="65" t="str">
        <f>IFERROR(__xludf.DUMMYFUNCTION("""COMPUTED_VALUE"""),"ariasgenesis868@gmail.com")</f>
        <v>ariasgenesis868@gmail.com</v>
      </c>
      <c r="H1809" s="65"/>
      <c r="I1809" s="65"/>
      <c r="J1809" s="65" t="str">
        <f>IFERROR(__xludf.DUMMYFUNCTION("""COMPUTED_VALUE"""),"D001227673")</f>
        <v>D001227673</v>
      </c>
      <c r="K1809" s="65" t="str">
        <f>IFERROR(__xludf.DUMMYFUNCTION("""COMPUTED_VALUE"""),"ENTREGADO")</f>
        <v>ENTREGADO</v>
      </c>
      <c r="L1809" s="65" t="str">
        <f>IFERROR(__xludf.DUMMYFUNCTION("""COMPUTED_VALUE"""),"CON RECAUDO")</f>
        <v>CON RECAUDO</v>
      </c>
      <c r="M1809" s="65" t="str">
        <f>IFERROR(__xludf.DUMMYFUNCTION("""COMPUTED_VALUE"""),"EL ORO")</f>
        <v>EL ORO</v>
      </c>
      <c r="N1809" s="65" t="str">
        <f>IFERROR(__xludf.DUMMYFUNCTION("""COMPUTED_VALUE"""),"PASAJE")</f>
        <v>PASAJE</v>
      </c>
      <c r="O1809" s="65" t="str">
        <f>IFERROR(__xludf.DUMMYFUNCTION("""COMPUTED_VALUE"""),"9 de octubre Y rocafuerte - Frente al banco del pacífico")</f>
        <v>9 de octubre Y rocafuerte - Frente al banco del pacífico</v>
      </c>
      <c r="P1809" s="65"/>
      <c r="Q1809" s="65" t="str">
        <f>IFERROR(__xludf.DUMMYFUNCTION("""COMPUTED_VALUE"""),"GINTRACOM")</f>
        <v>GINTRACOM</v>
      </c>
      <c r="R1809" s="65">
        <f>IFERROR(__xludf.DUMMYFUNCTION("""COMPUTED_VALUE"""),20.0)</f>
        <v>20</v>
      </c>
      <c r="S1809" s="65">
        <f>IFERROR(__xludf.DUMMYFUNCTION("""COMPUTED_VALUE"""),11.89)</f>
        <v>11.89</v>
      </c>
      <c r="T1809" s="65">
        <f>IFERROR(__xludf.DUMMYFUNCTION("""COMPUTED_VALUE"""),5.76)</f>
        <v>5.76</v>
      </c>
      <c r="U1809" s="65">
        <f>IFERROR(__xludf.DUMMYFUNCTION("""COMPUTED_VALUE"""),0.0)</f>
        <v>0</v>
      </c>
      <c r="V1809" s="65">
        <f>IFERROR(__xludf.DUMMYFUNCTION("""COMPUTED_VALUE"""),0.0)</f>
        <v>0</v>
      </c>
      <c r="W1809" s="65">
        <f>IFERROR(__xludf.DUMMYFUNCTION("""COMPUTED_VALUE"""),0.0)</f>
        <v>0</v>
      </c>
      <c r="X1809" s="65">
        <f>IFERROR(__xludf.DUMMYFUNCTION("""COMPUTED_VALUE"""),2.35)</f>
        <v>2.35</v>
      </c>
      <c r="Y1809" s="65">
        <f>IFERROR(__xludf.DUMMYFUNCTION("""COMPUTED_VALUE"""),2.35)</f>
        <v>2.35</v>
      </c>
      <c r="Z1809" s="65">
        <f>IFERROR(__xludf.DUMMYFUNCTION("""COMPUTED_VALUE"""),116679.0)</f>
        <v>116679</v>
      </c>
      <c r="AA1809" s="65" t="str">
        <f>IFERROR(__xludf.DUMMYFUNCTION("""COMPUTED_VALUE"""),"AMC-2738")</f>
        <v>AMC-2738</v>
      </c>
      <c r="AB1809" s="65"/>
      <c r="AC1809" s="65" t="str">
        <f>IFERROR(__xludf.DUMMYFUNCTION("""COMPUTED_VALUE"""),"ESPONJA ANTILLUVIA DE PARABRISAS")</f>
        <v>ESPONJA ANTILLUVIA DE PARABRISAS</v>
      </c>
      <c r="AD1809" s="65"/>
      <c r="AE1809" s="65">
        <f>IFERROR(__xludf.DUMMYFUNCTION("""COMPUTED_VALUE"""),1.0)</f>
        <v>1</v>
      </c>
      <c r="AF1809" s="65"/>
      <c r="AG1809" s="65"/>
      <c r="AH1809" s="65"/>
      <c r="AI1809" s="65"/>
      <c r="AJ1809" s="65"/>
      <c r="AK1809" s="65"/>
      <c r="AL1809" s="65"/>
      <c r="AM1809" s="65"/>
      <c r="AN1809" s="65" t="str">
        <f>IFERROR(__xludf.DUMMYFUNCTION("""COMPUTED_VALUE"""),"11:53")</f>
        <v>11:53</v>
      </c>
      <c r="AO1809" s="65" t="str">
        <f>IFERROR(__xludf.DUMMYFUNCTION("""COMPUTED_VALUE"""),"19-01-2026")</f>
        <v>19-01-2026</v>
      </c>
      <c r="AP1809" s="65" t="str">
        <f>IFERROR(__xludf.DUMMYFUNCTION("""COMPUTED_VALUE"""),"ENTREGADA GINTRACOM")</f>
        <v>ENTREGADA GINTRACOM</v>
      </c>
      <c r="AQ1809" s="65" t="str">
        <f>IFERROR(__xludf.DUMMYFUNCTION("""COMPUTED_VALUE"""),"ENTREGADA GINTRACOM")</f>
        <v>ENTREGADA GINTRACOM</v>
      </c>
      <c r="AR1809" s="65"/>
      <c r="AS1809" s="65"/>
      <c r="AT1809" s="65" t="str">
        <f>IFERROR(__xludf.DUMMYFUNCTION("""COMPUTED_VALUE"""),"SHOPIFY")</f>
        <v>SHOPIFY</v>
      </c>
      <c r="AU1809" s="65" t="str">
        <f>IFERROR(__xludf.DUMMYFUNCTION("""COMPUTED_VALUE"""),"IMPORTEX EC")</f>
        <v>IMPORTEX EC</v>
      </c>
      <c r="AV1809" s="65" t="str">
        <f>IFERROR(__xludf.DUMMYFUNCTION("""COMPUTED_VALUE"""),"6412708347948")</f>
        <v>6412708347948</v>
      </c>
      <c r="AW1809" s="65">
        <f>IFERROR(__xludf.DUMMYFUNCTION("""COMPUTED_VALUE"""),5139.0)</f>
        <v>5139</v>
      </c>
      <c r="AX1809" s="65"/>
      <c r="AY1809" s="65" t="str">
        <f>IFERROR(__xludf.DUMMYFUNCTION("""COMPUTED_VALUE"""),"15/01/2026")</f>
        <v>15/01/2026</v>
      </c>
      <c r="AZ1809" s="65"/>
      <c r="BA1809" s="65"/>
    </row>
    <row r="1810">
      <c r="A1810" s="65" t="str">
        <f>IFERROR(__xludf.DUMMYFUNCTION("""COMPUTED_VALUE"""),"27-03-2026")</f>
        <v>27-03-2026</v>
      </c>
      <c r="B1810" s="65">
        <f>IFERROR(__xludf.DUMMYFUNCTION("""COMPUTED_VALUE"""),4137526.0)</f>
        <v>4137526</v>
      </c>
      <c r="C1810" s="65" t="str">
        <f>IFERROR(__xludf.DUMMYFUNCTION("""COMPUTED_VALUE"""),"21:42")</f>
        <v>21:42</v>
      </c>
      <c r="D1810" s="65" t="str">
        <f>IFERROR(__xludf.DUMMYFUNCTION("""COMPUTED_VALUE"""),"13-01-2026")</f>
        <v>13-01-2026</v>
      </c>
      <c r="E1810" s="65" t="str">
        <f>IFERROR(__xludf.DUMMYFUNCTION("""COMPUTED_VALUE"""),"Albaro Trajano Espinosa Padilla")</f>
        <v>Albaro Trajano Espinosa Padilla</v>
      </c>
      <c r="F1810" s="65" t="str">
        <f>IFERROR(__xludf.DUMMYFUNCTION("""COMPUTED_VALUE"""),"999773092")</f>
        <v>999773092</v>
      </c>
      <c r="G1810" s="65" t="str">
        <f>IFERROR(__xludf.DUMMYFUNCTION("""COMPUTED_VALUE"""),"trajaes888@gmail.com")</f>
        <v>trajaes888@gmail.com</v>
      </c>
      <c r="H1810" s="65"/>
      <c r="I1810" s="65"/>
      <c r="J1810" s="65" t="str">
        <f>IFERROR(__xludf.DUMMYFUNCTION("""COMPUTED_VALUE"""),"D001227676")</f>
        <v>D001227676</v>
      </c>
      <c r="K1810" s="65" t="str">
        <f>IFERROR(__xludf.DUMMYFUNCTION("""COMPUTED_VALUE"""),"ENTREGADO")</f>
        <v>ENTREGADO</v>
      </c>
      <c r="L1810" s="65" t="str">
        <f>IFERROR(__xludf.DUMMYFUNCTION("""COMPUTED_VALUE"""),"CON RECAUDO")</f>
        <v>CON RECAUDO</v>
      </c>
      <c r="M1810" s="65" t="str">
        <f>IFERROR(__xludf.DUMMYFUNCTION("""COMPUTED_VALUE"""),"COTOPAXI")</f>
        <v>COTOPAXI</v>
      </c>
      <c r="N1810" s="65" t="str">
        <f>IFERROR(__xludf.DUMMYFUNCTION("""COMPUTED_VALUE"""),"LATACUNGA")</f>
        <v>LATACUNGA</v>
      </c>
      <c r="O1810" s="65" t="str">
        <f>IFERROR(__xludf.DUMMYFUNCTION("""COMPUTED_VALUE"""),"Cotopaxi Avenida Marco Aurelio Subía y pasaje Carlos Rodríguez conjunto praderas del sol -")</f>
        <v>Cotopaxi Avenida Marco Aurelio Subía y pasaje Carlos Rodríguez conjunto praderas del sol -</v>
      </c>
      <c r="P1810" s="65"/>
      <c r="Q1810" s="65" t="str">
        <f>IFERROR(__xludf.DUMMYFUNCTION("""COMPUTED_VALUE"""),"GINTRACOM")</f>
        <v>GINTRACOM</v>
      </c>
      <c r="R1810" s="65">
        <f>IFERROR(__xludf.DUMMYFUNCTION("""COMPUTED_VALUE"""),20.0)</f>
        <v>20</v>
      </c>
      <c r="S1810" s="65">
        <f>IFERROR(__xludf.DUMMYFUNCTION("""COMPUTED_VALUE"""),11.89)</f>
        <v>11.89</v>
      </c>
      <c r="T1810" s="65">
        <f>IFERROR(__xludf.DUMMYFUNCTION("""COMPUTED_VALUE"""),5.76)</f>
        <v>5.76</v>
      </c>
      <c r="U1810" s="65">
        <f>IFERROR(__xludf.DUMMYFUNCTION("""COMPUTED_VALUE"""),0.0)</f>
        <v>0</v>
      </c>
      <c r="V1810" s="65">
        <f>IFERROR(__xludf.DUMMYFUNCTION("""COMPUTED_VALUE"""),0.0)</f>
        <v>0</v>
      </c>
      <c r="W1810" s="65">
        <f>IFERROR(__xludf.DUMMYFUNCTION("""COMPUTED_VALUE"""),0.0)</f>
        <v>0</v>
      </c>
      <c r="X1810" s="65">
        <f>IFERROR(__xludf.DUMMYFUNCTION("""COMPUTED_VALUE"""),2.35)</f>
        <v>2.35</v>
      </c>
      <c r="Y1810" s="65">
        <f>IFERROR(__xludf.DUMMYFUNCTION("""COMPUTED_VALUE"""),2.35)</f>
        <v>2.35</v>
      </c>
      <c r="Z1810" s="65">
        <f>IFERROR(__xludf.DUMMYFUNCTION("""COMPUTED_VALUE"""),116679.0)</f>
        <v>116679</v>
      </c>
      <c r="AA1810" s="65" t="str">
        <f>IFERROR(__xludf.DUMMYFUNCTION("""COMPUTED_VALUE"""),"AMC-2738")</f>
        <v>AMC-2738</v>
      </c>
      <c r="AB1810" s="65"/>
      <c r="AC1810" s="65" t="str">
        <f>IFERROR(__xludf.DUMMYFUNCTION("""COMPUTED_VALUE"""),"ESPONJA ANTILLUVIA DE PARABRISAS")</f>
        <v>ESPONJA ANTILLUVIA DE PARABRISAS</v>
      </c>
      <c r="AD1810" s="65"/>
      <c r="AE1810" s="65">
        <f>IFERROR(__xludf.DUMMYFUNCTION("""COMPUTED_VALUE"""),1.0)</f>
        <v>1</v>
      </c>
      <c r="AF1810" s="65"/>
      <c r="AG1810" s="65"/>
      <c r="AH1810" s="65"/>
      <c r="AI1810" s="65"/>
      <c r="AJ1810" s="65"/>
      <c r="AK1810" s="65"/>
      <c r="AL1810" s="65"/>
      <c r="AM1810" s="65"/>
      <c r="AN1810" s="65" t="str">
        <f>IFERROR(__xludf.DUMMYFUNCTION("""COMPUTED_VALUE"""),"08:47")</f>
        <v>08:47</v>
      </c>
      <c r="AO1810" s="65" t="str">
        <f>IFERROR(__xludf.DUMMYFUNCTION("""COMPUTED_VALUE"""),"17-01-2026")</f>
        <v>17-01-2026</v>
      </c>
      <c r="AP1810" s="65" t="str">
        <f>IFERROR(__xludf.DUMMYFUNCTION("""COMPUTED_VALUE"""),"EN REPARTO")</f>
        <v>EN REPARTO</v>
      </c>
      <c r="AQ1810" s="65" t="str">
        <f>IFERROR(__xludf.DUMMYFUNCTION("""COMPUTED_VALUE"""),"EN REPARTO")</f>
        <v>EN REPARTO</v>
      </c>
      <c r="AR1810" s="65"/>
      <c r="AS1810" s="65"/>
      <c r="AT1810" s="65" t="str">
        <f>IFERROR(__xludf.DUMMYFUNCTION("""COMPUTED_VALUE"""),"SHOPIFY")</f>
        <v>SHOPIFY</v>
      </c>
      <c r="AU1810" s="65" t="str">
        <f>IFERROR(__xludf.DUMMYFUNCTION("""COMPUTED_VALUE"""),"IMPORTEX EC")</f>
        <v>IMPORTEX EC</v>
      </c>
      <c r="AV1810" s="65" t="str">
        <f>IFERROR(__xludf.DUMMYFUNCTION("""COMPUTED_VALUE"""),"6412696748076")</f>
        <v>6412696748076</v>
      </c>
      <c r="AW1810" s="65">
        <f>IFERROR(__xludf.DUMMYFUNCTION("""COMPUTED_VALUE"""),5138.0)</f>
        <v>5138</v>
      </c>
      <c r="AX1810" s="65"/>
      <c r="AY1810" s="65" t="str">
        <f>IFERROR(__xludf.DUMMYFUNCTION("""COMPUTED_VALUE"""),"15/01/2026")</f>
        <v>15/01/2026</v>
      </c>
      <c r="AZ1810" s="65"/>
      <c r="BA1810" s="65"/>
    </row>
    <row r="1811">
      <c r="A1811" s="65" t="str">
        <f>IFERROR(__xludf.DUMMYFUNCTION("""COMPUTED_VALUE"""),"27-03-2026")</f>
        <v>27-03-2026</v>
      </c>
      <c r="B1811" s="65">
        <f>IFERROR(__xludf.DUMMYFUNCTION("""COMPUTED_VALUE"""),4137488.0)</f>
        <v>4137488</v>
      </c>
      <c r="C1811" s="65" t="str">
        <f>IFERROR(__xludf.DUMMYFUNCTION("""COMPUTED_VALUE"""),"21:41")</f>
        <v>21:41</v>
      </c>
      <c r="D1811" s="65" t="str">
        <f>IFERROR(__xludf.DUMMYFUNCTION("""COMPUTED_VALUE"""),"13-01-2026")</f>
        <v>13-01-2026</v>
      </c>
      <c r="E1811" s="65" t="str">
        <f>IFERROR(__xludf.DUMMYFUNCTION("""COMPUTED_VALUE"""),"Jaqueline Pérez Pérez")</f>
        <v>Jaqueline Pérez Pérez</v>
      </c>
      <c r="F1811" s="65" t="str">
        <f>IFERROR(__xludf.DUMMYFUNCTION("""COMPUTED_VALUE"""),"981733698")</f>
        <v>981733698</v>
      </c>
      <c r="G1811" s="65"/>
      <c r="H1811" s="65"/>
      <c r="I1811" s="65"/>
      <c r="J1811" s="65" t="str">
        <f>IFERROR(__xludf.DUMMYFUNCTION("""COMPUTED_VALUE"""),"D001251056")</f>
        <v>D001251056</v>
      </c>
      <c r="K1811" s="65" t="str">
        <f>IFERROR(__xludf.DUMMYFUNCTION("""COMPUTED_VALUE"""),"DEVOLUCION")</f>
        <v>DEVOLUCION</v>
      </c>
      <c r="L1811" s="65" t="str">
        <f>IFERROR(__xludf.DUMMYFUNCTION("""COMPUTED_VALUE"""),"CON RECAUDO")</f>
        <v>CON RECAUDO</v>
      </c>
      <c r="M1811" s="65" t="str">
        <f>IFERROR(__xludf.DUMMYFUNCTION("""COMPUTED_VALUE"""),"PICHINCHA")</f>
        <v>PICHINCHA</v>
      </c>
      <c r="N1811" s="65" t="str">
        <f>IFERROR(__xludf.DUMMYFUNCTION("""COMPUTED_VALUE"""),"CAYAMBE")</f>
        <v>CAYAMBE</v>
      </c>
      <c r="O1811" s="65" t="str">
        <f>IFERROR(__xludf.DUMMYFUNCTION("""COMPUTED_VALUE"""),"Vista hermosa y quilago La loma -")</f>
        <v>Vista hermosa y quilago La loma -</v>
      </c>
      <c r="P1811" s="65"/>
      <c r="Q1811" s="65" t="str">
        <f>IFERROR(__xludf.DUMMYFUNCTION("""COMPUTED_VALUE"""),"GINTRACOM")</f>
        <v>GINTRACOM</v>
      </c>
      <c r="R1811" s="65">
        <f>IFERROR(__xludf.DUMMYFUNCTION("""COMPUTED_VALUE"""),20.0)</f>
        <v>20</v>
      </c>
      <c r="S1811" s="65"/>
      <c r="T1811" s="65">
        <f>IFERROR(__xludf.DUMMYFUNCTION("""COMPUTED_VALUE"""),5.18)</f>
        <v>5.18</v>
      </c>
      <c r="U1811" s="65">
        <f>IFERROR(__xludf.DUMMYFUNCTION("""COMPUTED_VALUE"""),0.0)</f>
        <v>0</v>
      </c>
      <c r="V1811" s="65">
        <f>IFERROR(__xludf.DUMMYFUNCTION("""COMPUTED_VALUE"""),0.0)</f>
        <v>0</v>
      </c>
      <c r="W1811" s="65">
        <f>IFERROR(__xludf.DUMMYFUNCTION("""COMPUTED_VALUE"""),0.0)</f>
        <v>0</v>
      </c>
      <c r="X1811" s="65">
        <f>IFERROR(__xludf.DUMMYFUNCTION("""COMPUTED_VALUE"""),2.35)</f>
        <v>2.35</v>
      </c>
      <c r="Y1811" s="65">
        <f>IFERROR(__xludf.DUMMYFUNCTION("""COMPUTED_VALUE"""),2.35)</f>
        <v>2.35</v>
      </c>
      <c r="Z1811" s="65">
        <f>IFERROR(__xludf.DUMMYFUNCTION("""COMPUTED_VALUE"""),116679.0)</f>
        <v>116679</v>
      </c>
      <c r="AA1811" s="65" t="str">
        <f>IFERROR(__xludf.DUMMYFUNCTION("""COMPUTED_VALUE"""),"AMC-2738")</f>
        <v>AMC-2738</v>
      </c>
      <c r="AB1811" s="65"/>
      <c r="AC1811" s="65" t="str">
        <f>IFERROR(__xludf.DUMMYFUNCTION("""COMPUTED_VALUE"""),"ESPONJA ANTILLUVIA DE PARABRISAS")</f>
        <v>ESPONJA ANTILLUVIA DE PARABRISAS</v>
      </c>
      <c r="AD1811" s="65"/>
      <c r="AE1811" s="65">
        <f>IFERROR(__xludf.DUMMYFUNCTION("""COMPUTED_VALUE"""),1.0)</f>
        <v>1</v>
      </c>
      <c r="AF1811" s="65"/>
      <c r="AG1811" s="65"/>
      <c r="AH1811" s="65"/>
      <c r="AI1811" s="65"/>
      <c r="AJ1811" s="65"/>
      <c r="AK1811" s="65"/>
      <c r="AL1811" s="65"/>
      <c r="AM1811" s="65"/>
      <c r="AN1811" s="65" t="str">
        <f>IFERROR(__xludf.DUMMYFUNCTION("""COMPUTED_VALUE"""),"20:50")</f>
        <v>20:50</v>
      </c>
      <c r="AO1811" s="65" t="str">
        <f>IFERROR(__xludf.DUMMYFUNCTION("""COMPUTED_VALUE"""),"13-02-2026")</f>
        <v>13-02-2026</v>
      </c>
      <c r="AP1811" s="65" t="str">
        <f>IFERROR(__xludf.DUMMYFUNCTION("""COMPUTED_VALUE"""),"DEVOLUCIÓN ENTREGADA A ORIGEN")</f>
        <v>DEVOLUCIÓN ENTREGADA A ORIGEN</v>
      </c>
      <c r="AQ1811" s="65" t="str">
        <f>IFERROR(__xludf.DUMMYFUNCTION("""COMPUTED_VALUE"""),"DEVOLUCIÓN ENTREGADA A ORIGEN")</f>
        <v>DEVOLUCIÓN ENTREGADA A ORIGEN</v>
      </c>
      <c r="AR1811" s="65"/>
      <c r="AS1811" s="65"/>
      <c r="AT1811" s="65" t="str">
        <f>IFERROR(__xludf.DUMMYFUNCTION("""COMPUTED_VALUE"""),"SHOPIFY")</f>
        <v>SHOPIFY</v>
      </c>
      <c r="AU1811" s="65" t="str">
        <f>IFERROR(__xludf.DUMMYFUNCTION("""COMPUTED_VALUE"""),"IMPORTEX EC")</f>
        <v>IMPORTEX EC</v>
      </c>
      <c r="AV1811" s="65" t="str">
        <f>IFERROR(__xludf.DUMMYFUNCTION("""COMPUTED_VALUE"""),"6412692160556")</f>
        <v>6412692160556</v>
      </c>
      <c r="AW1811" s="65">
        <f>IFERROR(__xludf.DUMMYFUNCTION("""COMPUTED_VALUE"""),5137.0)</f>
        <v>5137</v>
      </c>
      <c r="AX1811" s="65"/>
      <c r="AY1811" s="65" t="str">
        <f>IFERROR(__xludf.DUMMYFUNCTION("""COMPUTED_VALUE"""),"22/01/2026")</f>
        <v>22/01/2026</v>
      </c>
      <c r="AZ1811" s="65"/>
      <c r="BA1811" s="65"/>
    </row>
    <row r="1812">
      <c r="A1812" s="65" t="str">
        <f>IFERROR(__xludf.DUMMYFUNCTION("""COMPUTED_VALUE"""),"27-03-2026")</f>
        <v>27-03-2026</v>
      </c>
      <c r="B1812" s="65">
        <f>IFERROR(__xludf.DUMMYFUNCTION("""COMPUTED_VALUE"""),4137451.0)</f>
        <v>4137451</v>
      </c>
      <c r="C1812" s="65" t="str">
        <f>IFERROR(__xludf.DUMMYFUNCTION("""COMPUTED_VALUE"""),"21:38")</f>
        <v>21:38</v>
      </c>
      <c r="D1812" s="65" t="str">
        <f>IFERROR(__xludf.DUMMYFUNCTION("""COMPUTED_VALUE"""),"13-01-2026")</f>
        <v>13-01-2026</v>
      </c>
      <c r="E1812" s="65" t="str">
        <f>IFERROR(__xludf.DUMMYFUNCTION("""COMPUTED_VALUE"""),"Carlos Bonozo")</f>
        <v>Carlos Bonozo</v>
      </c>
      <c r="F1812" s="65" t="str">
        <f>IFERROR(__xludf.DUMMYFUNCTION("""COMPUTED_VALUE"""),"992793653")</f>
        <v>992793653</v>
      </c>
      <c r="G1812" s="65" t="str">
        <f>IFERROR(__xludf.DUMMYFUNCTION("""COMPUTED_VALUE"""),"charsbonz@hotmail.com")</f>
        <v>charsbonz@hotmail.com</v>
      </c>
      <c r="H1812" s="65"/>
      <c r="I1812" s="65"/>
      <c r="J1812" s="65" t="str">
        <f>IFERROR(__xludf.DUMMYFUNCTION("""COMPUTED_VALUE"""),"D001227680")</f>
        <v>D001227680</v>
      </c>
      <c r="K1812" s="65" t="str">
        <f>IFERROR(__xludf.DUMMYFUNCTION("""COMPUTED_VALUE"""),"ENTREGADO")</f>
        <v>ENTREGADO</v>
      </c>
      <c r="L1812" s="65" t="str">
        <f>IFERROR(__xludf.DUMMYFUNCTION("""COMPUTED_VALUE"""),"CON RECAUDO")</f>
        <v>CON RECAUDO</v>
      </c>
      <c r="M1812" s="65" t="str">
        <f>IFERROR(__xludf.DUMMYFUNCTION("""COMPUTED_VALUE"""),"GUAYAS")</f>
        <v>GUAYAS</v>
      </c>
      <c r="N1812" s="65" t="str">
        <f>IFERROR(__xludf.DUMMYFUNCTION("""COMPUTED_VALUE"""),"GUAYAQUIL")</f>
        <v>GUAYAQUIL</v>
      </c>
      <c r="O1812" s="65" t="str">
        <f>IFERROR(__xludf.DUMMYFUNCTION("""COMPUTED_VALUE"""),"Avda Narcisa se Jesús Norte - La perla mz 6043 villa 3")</f>
        <v>Avda Narcisa se Jesús Norte - La perla mz 6043 villa 3</v>
      </c>
      <c r="P1812" s="65"/>
      <c r="Q1812" s="65" t="str">
        <f>IFERROR(__xludf.DUMMYFUNCTION("""COMPUTED_VALUE"""),"GINTRACOM")</f>
        <v>GINTRACOM</v>
      </c>
      <c r="R1812" s="65">
        <f>IFERROR(__xludf.DUMMYFUNCTION("""COMPUTED_VALUE"""),30.0)</f>
        <v>30</v>
      </c>
      <c r="S1812" s="65">
        <f>IFERROR(__xludf.DUMMYFUNCTION("""COMPUTED_VALUE"""),16.79)</f>
        <v>16.79</v>
      </c>
      <c r="T1812" s="65">
        <f>IFERROR(__xludf.DUMMYFUNCTION("""COMPUTED_VALUE"""),6.16)</f>
        <v>6.16</v>
      </c>
      <c r="U1812" s="65">
        <f>IFERROR(__xludf.DUMMYFUNCTION("""COMPUTED_VALUE"""),0.0)</f>
        <v>0</v>
      </c>
      <c r="V1812" s="65">
        <f>IFERROR(__xludf.DUMMYFUNCTION("""COMPUTED_VALUE"""),0.0)</f>
        <v>0</v>
      </c>
      <c r="W1812" s="65">
        <f>IFERROR(__xludf.DUMMYFUNCTION("""COMPUTED_VALUE"""),0.0)</f>
        <v>0</v>
      </c>
      <c r="X1812" s="65">
        <f>IFERROR(__xludf.DUMMYFUNCTION("""COMPUTED_VALUE"""),2.35)</f>
        <v>2.35</v>
      </c>
      <c r="Y1812" s="65">
        <f>IFERROR(__xludf.DUMMYFUNCTION("""COMPUTED_VALUE"""),7.05)</f>
        <v>7.05</v>
      </c>
      <c r="Z1812" s="65">
        <f>IFERROR(__xludf.DUMMYFUNCTION("""COMPUTED_VALUE"""),116679.0)</f>
        <v>116679</v>
      </c>
      <c r="AA1812" s="65" t="str">
        <f>IFERROR(__xludf.DUMMYFUNCTION("""COMPUTED_VALUE"""),"AMC-2738")</f>
        <v>AMC-2738</v>
      </c>
      <c r="AB1812" s="65"/>
      <c r="AC1812" s="65" t="str">
        <f>IFERROR(__xludf.DUMMYFUNCTION("""COMPUTED_VALUE"""),"ESPONJA ANTILLUVIA DE PARABRISAS")</f>
        <v>ESPONJA ANTILLUVIA DE PARABRISAS</v>
      </c>
      <c r="AD1812" s="65"/>
      <c r="AE1812" s="65">
        <f>IFERROR(__xludf.DUMMYFUNCTION("""COMPUTED_VALUE"""),3.0)</f>
        <v>3</v>
      </c>
      <c r="AF1812" s="65"/>
      <c r="AG1812" s="65"/>
      <c r="AH1812" s="65"/>
      <c r="AI1812" s="65"/>
      <c r="AJ1812" s="65"/>
      <c r="AK1812" s="65"/>
      <c r="AL1812" s="65"/>
      <c r="AM1812" s="65"/>
      <c r="AN1812" s="65" t="str">
        <f>IFERROR(__xludf.DUMMYFUNCTION("""COMPUTED_VALUE"""),"14:10")</f>
        <v>14:10</v>
      </c>
      <c r="AO1812" s="65" t="str">
        <f>IFERROR(__xludf.DUMMYFUNCTION("""COMPUTED_VALUE"""),"19-01-2026")</f>
        <v>19-01-2026</v>
      </c>
      <c r="AP1812" s="65" t="str">
        <f>IFERROR(__xludf.DUMMYFUNCTION("""COMPUTED_VALUE"""),"ENTREGADA GINTRACOM")</f>
        <v>ENTREGADA GINTRACOM</v>
      </c>
      <c r="AQ1812" s="65" t="str">
        <f>IFERROR(__xludf.DUMMYFUNCTION("""COMPUTED_VALUE"""),"ENTREGADA GINTRACOM")</f>
        <v>ENTREGADA GINTRACOM</v>
      </c>
      <c r="AR1812" s="65"/>
      <c r="AS1812" s="65"/>
      <c r="AT1812" s="65" t="str">
        <f>IFERROR(__xludf.DUMMYFUNCTION("""COMPUTED_VALUE"""),"SHOPIFY")</f>
        <v>SHOPIFY</v>
      </c>
      <c r="AU1812" s="65" t="str">
        <f>IFERROR(__xludf.DUMMYFUNCTION("""COMPUTED_VALUE"""),"IMPORTEX EC")</f>
        <v>IMPORTEX EC</v>
      </c>
      <c r="AV1812" s="65" t="str">
        <f>IFERROR(__xludf.DUMMYFUNCTION("""COMPUTED_VALUE"""),"6412683575340")</f>
        <v>6412683575340</v>
      </c>
      <c r="AW1812" s="65">
        <f>IFERROR(__xludf.DUMMYFUNCTION("""COMPUTED_VALUE"""),5136.0)</f>
        <v>5136</v>
      </c>
      <c r="AX1812" s="65"/>
      <c r="AY1812" s="65" t="str">
        <f>IFERROR(__xludf.DUMMYFUNCTION("""COMPUTED_VALUE"""),"15/01/2026")</f>
        <v>15/01/2026</v>
      </c>
      <c r="AZ1812" s="65"/>
      <c r="BA1812" s="65"/>
    </row>
    <row r="1813">
      <c r="A1813" s="65" t="str">
        <f>IFERROR(__xludf.DUMMYFUNCTION("""COMPUTED_VALUE"""),"27-03-2026")</f>
        <v>27-03-2026</v>
      </c>
      <c r="B1813" s="65">
        <f>IFERROR(__xludf.DUMMYFUNCTION("""COMPUTED_VALUE"""),4137387.0)</f>
        <v>4137387</v>
      </c>
      <c r="C1813" s="65" t="str">
        <f>IFERROR(__xludf.DUMMYFUNCTION("""COMPUTED_VALUE"""),"21:33")</f>
        <v>21:33</v>
      </c>
      <c r="D1813" s="65" t="str">
        <f>IFERROR(__xludf.DUMMYFUNCTION("""COMPUTED_VALUE"""),"13-01-2026")</f>
        <v>13-01-2026</v>
      </c>
      <c r="E1813" s="65" t="str">
        <f>IFERROR(__xludf.DUMMYFUNCTION("""COMPUTED_VALUE"""),"Marco Ivan Endara Becerra")</f>
        <v>Marco Ivan Endara Becerra</v>
      </c>
      <c r="F1813" s="65" t="str">
        <f>IFERROR(__xludf.DUMMYFUNCTION("""COMPUTED_VALUE"""),"999727061")</f>
        <v>999727061</v>
      </c>
      <c r="G1813" s="65" t="str">
        <f>IFERROR(__xludf.DUMMYFUNCTION("""COMPUTED_VALUE"""),"dr_iendara@hotmail.com")</f>
        <v>dr_iendara@hotmail.com</v>
      </c>
      <c r="H1813" s="65"/>
      <c r="I1813" s="65"/>
      <c r="J1813" s="65" t="str">
        <f>IFERROR(__xludf.DUMMYFUNCTION("""COMPUTED_VALUE"""),"D001227683")</f>
        <v>D001227683</v>
      </c>
      <c r="K1813" s="65" t="str">
        <f>IFERROR(__xludf.DUMMYFUNCTION("""COMPUTED_VALUE"""),"ENTREGADO")</f>
        <v>ENTREGADO</v>
      </c>
      <c r="L1813" s="65" t="str">
        <f>IFERROR(__xludf.DUMMYFUNCTION("""COMPUTED_VALUE"""),"CON RECAUDO")</f>
        <v>CON RECAUDO</v>
      </c>
      <c r="M1813" s="65" t="str">
        <f>IFERROR(__xludf.DUMMYFUNCTION("""COMPUTED_VALUE"""),"PICHINCHA")</f>
        <v>PICHINCHA</v>
      </c>
      <c r="N1813" s="65" t="str">
        <f>IFERROR(__xludf.DUMMYFUNCTION("""COMPUTED_VALUE"""),"QUITO")</f>
        <v>QUITO</v>
      </c>
      <c r="O1813" s="65" t="str">
        <f>IFERROR(__xludf.DUMMYFUNCTION("""COMPUTED_VALUE"""),"Cuero y Caicedo y Gaspar de Carvajal  esquina Las Casas. Edificio Basel -")</f>
        <v>Cuero y Caicedo y Gaspar de Carvajal  esquina Las Casas. Edificio Basel -</v>
      </c>
      <c r="P1813" s="65"/>
      <c r="Q1813" s="65" t="str">
        <f>IFERROR(__xludf.DUMMYFUNCTION("""COMPUTED_VALUE"""),"GINTRACOM")</f>
        <v>GINTRACOM</v>
      </c>
      <c r="R1813" s="65">
        <f>IFERROR(__xludf.DUMMYFUNCTION("""COMPUTED_VALUE"""),20.0)</f>
        <v>20</v>
      </c>
      <c r="S1813" s="65">
        <f>IFERROR(__xludf.DUMMYFUNCTION("""COMPUTED_VALUE"""),13.5)</f>
        <v>13.5</v>
      </c>
      <c r="T1813" s="65">
        <f>IFERROR(__xludf.DUMMYFUNCTION("""COMPUTED_VALUE"""),4.15)</f>
        <v>4.15</v>
      </c>
      <c r="U1813" s="65">
        <f>IFERROR(__xludf.DUMMYFUNCTION("""COMPUTED_VALUE"""),0.0)</f>
        <v>0</v>
      </c>
      <c r="V1813" s="65">
        <f>IFERROR(__xludf.DUMMYFUNCTION("""COMPUTED_VALUE"""),0.0)</f>
        <v>0</v>
      </c>
      <c r="W1813" s="65">
        <f>IFERROR(__xludf.DUMMYFUNCTION("""COMPUTED_VALUE"""),0.0)</f>
        <v>0</v>
      </c>
      <c r="X1813" s="65">
        <f>IFERROR(__xludf.DUMMYFUNCTION("""COMPUTED_VALUE"""),2.35)</f>
        <v>2.35</v>
      </c>
      <c r="Y1813" s="65">
        <f>IFERROR(__xludf.DUMMYFUNCTION("""COMPUTED_VALUE"""),2.35)</f>
        <v>2.35</v>
      </c>
      <c r="Z1813" s="65">
        <f>IFERROR(__xludf.DUMMYFUNCTION("""COMPUTED_VALUE"""),116679.0)</f>
        <v>116679</v>
      </c>
      <c r="AA1813" s="65" t="str">
        <f>IFERROR(__xludf.DUMMYFUNCTION("""COMPUTED_VALUE"""),"AMC-2738")</f>
        <v>AMC-2738</v>
      </c>
      <c r="AB1813" s="65"/>
      <c r="AC1813" s="65" t="str">
        <f>IFERROR(__xludf.DUMMYFUNCTION("""COMPUTED_VALUE"""),"ESPONJA ANTILLUVIA DE PARABRISAS")</f>
        <v>ESPONJA ANTILLUVIA DE PARABRISAS</v>
      </c>
      <c r="AD1813" s="65"/>
      <c r="AE1813" s="65">
        <f>IFERROR(__xludf.DUMMYFUNCTION("""COMPUTED_VALUE"""),1.0)</f>
        <v>1</v>
      </c>
      <c r="AF1813" s="65" t="str">
        <f>IFERROR(__xludf.DUMMYFUNCTION("""COMPUTED_VALUE"""),"DESTINATARIO NO CONTESTA LLAMADAS NI WHATSAPP")</f>
        <v>DESTINATARIO NO CONTESTA LLAMADAS NI WHATSAPP</v>
      </c>
      <c r="AG1813" s="65" t="str">
        <f>IFERROR(__xludf.DUMMYFUNCTION("""COMPUTED_VALUE"""),"SI")</f>
        <v>SI</v>
      </c>
      <c r="AH1813" s="65" t="str">
        <f>IFERROR(__xludf.DUMMYFUNCTION("""COMPUTED_VALUE"""),"09:00")</f>
        <v>09:00</v>
      </c>
      <c r="AI1813" s="65" t="str">
        <f>IFERROR(__xludf.DUMMYFUNCTION("""COMPUTED_VALUE"""),"21-01-2026")</f>
        <v>21-01-2026</v>
      </c>
      <c r="AJ1813" s="65" t="str">
        <f>IFERROR(__xludf.DUMMYFUNCTION("""COMPUTED_VALUE"""),"Dirección confirmada coordinar entrega")</f>
        <v>Dirección confirmada coordinar entrega</v>
      </c>
      <c r="AK1813" s="65" t="str">
        <f>IFERROR(__xludf.DUMMYFUNCTION("""COMPUTED_VALUE"""),"17:01")</f>
        <v>17:01</v>
      </c>
      <c r="AL1813" s="65" t="str">
        <f>IFERROR(__xludf.DUMMYFUNCTION("""COMPUTED_VALUE"""),"21-01-2026")</f>
        <v>21-01-2026</v>
      </c>
      <c r="AM1813" s="65"/>
      <c r="AN1813" s="65" t="str">
        <f>IFERROR(__xludf.DUMMYFUNCTION("""COMPUTED_VALUE"""),"13:42")</f>
        <v>13:42</v>
      </c>
      <c r="AO1813" s="65" t="str">
        <f>IFERROR(__xludf.DUMMYFUNCTION("""COMPUTED_VALUE"""),"22-01-2026")</f>
        <v>22-01-2026</v>
      </c>
      <c r="AP1813" s="65" t="str">
        <f>IFERROR(__xludf.DUMMYFUNCTION("""COMPUTED_VALUE"""),"ENTREGADA GINTRACOM")</f>
        <v>ENTREGADA GINTRACOM</v>
      </c>
      <c r="AQ1813" s="65" t="str">
        <f>IFERROR(__xludf.DUMMYFUNCTION("""COMPUTED_VALUE"""),"ENTREGADA GINTRACOM")</f>
        <v>ENTREGADA GINTRACOM</v>
      </c>
      <c r="AR1813" s="65"/>
      <c r="AS1813" s="65"/>
      <c r="AT1813" s="65" t="str">
        <f>IFERROR(__xludf.DUMMYFUNCTION("""COMPUTED_VALUE"""),"SHOPIFY")</f>
        <v>SHOPIFY</v>
      </c>
      <c r="AU1813" s="65" t="str">
        <f>IFERROR(__xludf.DUMMYFUNCTION("""COMPUTED_VALUE"""),"IMPORTEX EC")</f>
        <v>IMPORTEX EC</v>
      </c>
      <c r="AV1813" s="65" t="str">
        <f>IFERROR(__xludf.DUMMYFUNCTION("""COMPUTED_VALUE"""),"6412668862508")</f>
        <v>6412668862508</v>
      </c>
      <c r="AW1813" s="65">
        <f>IFERROR(__xludf.DUMMYFUNCTION("""COMPUTED_VALUE"""),5135.0)</f>
        <v>5135</v>
      </c>
      <c r="AX1813" s="65"/>
      <c r="AY1813" s="65" t="str">
        <f>IFERROR(__xludf.DUMMYFUNCTION("""COMPUTED_VALUE"""),"15/01/2026")</f>
        <v>15/01/2026</v>
      </c>
      <c r="AZ1813" s="65"/>
      <c r="BA1813" s="65"/>
    </row>
    <row r="1814">
      <c r="A1814" s="65" t="str">
        <f>IFERROR(__xludf.DUMMYFUNCTION("""COMPUTED_VALUE"""),"27-03-2026")</f>
        <v>27-03-2026</v>
      </c>
      <c r="B1814" s="65">
        <f>IFERROR(__xludf.DUMMYFUNCTION("""COMPUTED_VALUE"""),4136808.0)</f>
        <v>4136808</v>
      </c>
      <c r="C1814" s="65" t="str">
        <f>IFERROR(__xludf.DUMMYFUNCTION("""COMPUTED_VALUE"""),"20:51")</f>
        <v>20:51</v>
      </c>
      <c r="D1814" s="65" t="str">
        <f>IFERROR(__xludf.DUMMYFUNCTION("""COMPUTED_VALUE"""),"13-01-2026")</f>
        <v>13-01-2026</v>
      </c>
      <c r="E1814" s="65" t="str">
        <f>IFERROR(__xludf.DUMMYFUNCTION("""COMPUTED_VALUE"""),"Euler Quiñónez freíre")</f>
        <v>Euler Quiñónez freíre</v>
      </c>
      <c r="F1814" s="65" t="str">
        <f>IFERROR(__xludf.DUMMYFUNCTION("""COMPUTED_VALUE"""),"960118087")</f>
        <v>960118087</v>
      </c>
      <c r="G1814" s="65" t="str">
        <f>IFERROR(__xludf.DUMMYFUNCTION("""COMPUTED_VALUE"""),"eulerquinonez1979@gmail.com")</f>
        <v>eulerquinonez1979@gmail.com</v>
      </c>
      <c r="H1814" s="65"/>
      <c r="I1814" s="65"/>
      <c r="J1814" s="65" t="str">
        <f>IFERROR(__xludf.DUMMYFUNCTION("""COMPUTED_VALUE"""),"186980443")</f>
        <v>186980443</v>
      </c>
      <c r="K1814" s="65" t="str">
        <f>IFERROR(__xludf.DUMMYFUNCTION("""COMPUTED_VALUE"""),"DEVOLUCION")</f>
        <v>DEVOLUCION</v>
      </c>
      <c r="L1814" s="65" t="str">
        <f>IFERROR(__xludf.DUMMYFUNCTION("""COMPUTED_VALUE"""),"CON RECAUDO")</f>
        <v>CON RECAUDO</v>
      </c>
      <c r="M1814" s="65" t="str">
        <f>IFERROR(__xludf.DUMMYFUNCTION("""COMPUTED_VALUE"""),"TUNGURAHUA")</f>
        <v>TUNGURAHUA</v>
      </c>
      <c r="N1814" s="65" t="str">
        <f>IFERROR(__xludf.DUMMYFUNCTION("""COMPUTED_VALUE"""),"PILLARO")</f>
        <v>PILLARO</v>
      </c>
      <c r="O1814" s="65" t="str">
        <f>IFERROR(__xludf.DUMMYFUNCTION("""COMPUTED_VALUE"""),"Avenida Rumiñahui A una cuadra del terminal casa esquinera funciona una pescadería ReyPez -")</f>
        <v>Avenida Rumiñahui A una cuadra del terminal casa esquinera funciona una pescadería ReyPez -</v>
      </c>
      <c r="P1814" s="65"/>
      <c r="Q1814" s="65" t="str">
        <f>IFERROR(__xludf.DUMMYFUNCTION("""COMPUTED_VALUE"""),"SERVIENTREGA")</f>
        <v>SERVIENTREGA</v>
      </c>
      <c r="R1814" s="65">
        <f>IFERROR(__xludf.DUMMYFUNCTION("""COMPUTED_VALUE"""),30.0)</f>
        <v>30</v>
      </c>
      <c r="S1814" s="65"/>
      <c r="T1814" s="65">
        <f>IFERROR(__xludf.DUMMYFUNCTION("""COMPUTED_VALUE"""),7.82)</f>
        <v>7.82</v>
      </c>
      <c r="U1814" s="65">
        <f>IFERROR(__xludf.DUMMYFUNCTION("""COMPUTED_VALUE"""),0.0)</f>
        <v>0</v>
      </c>
      <c r="V1814" s="65">
        <f>IFERROR(__xludf.DUMMYFUNCTION("""COMPUTED_VALUE"""),0.0)</f>
        <v>0</v>
      </c>
      <c r="W1814" s="65">
        <f>IFERROR(__xludf.DUMMYFUNCTION("""COMPUTED_VALUE"""),0.0)</f>
        <v>0</v>
      </c>
      <c r="X1814" s="65">
        <f>IFERROR(__xludf.DUMMYFUNCTION("""COMPUTED_VALUE"""),2.35)</f>
        <v>2.35</v>
      </c>
      <c r="Y1814" s="65">
        <f>IFERROR(__xludf.DUMMYFUNCTION("""COMPUTED_VALUE"""),7.05)</f>
        <v>7.05</v>
      </c>
      <c r="Z1814" s="65">
        <f>IFERROR(__xludf.DUMMYFUNCTION("""COMPUTED_VALUE"""),116679.0)</f>
        <v>116679</v>
      </c>
      <c r="AA1814" s="65" t="str">
        <f>IFERROR(__xludf.DUMMYFUNCTION("""COMPUTED_VALUE"""),"AMC-2738")</f>
        <v>AMC-2738</v>
      </c>
      <c r="AB1814" s="65"/>
      <c r="AC1814" s="65" t="str">
        <f>IFERROR(__xludf.DUMMYFUNCTION("""COMPUTED_VALUE"""),"ESPONJA ANTILLUVIA DE PARABRISAS")</f>
        <v>ESPONJA ANTILLUVIA DE PARABRISAS</v>
      </c>
      <c r="AD1814" s="65"/>
      <c r="AE1814" s="65">
        <f>IFERROR(__xludf.DUMMYFUNCTION("""COMPUTED_VALUE"""),3.0)</f>
        <v>3</v>
      </c>
      <c r="AF1814" s="65" t="str">
        <f>IFERROR(__xludf.DUMMYFUNCTION("""COMPUTED_VALUE"""),"DEVUELTO DE")</f>
        <v>DEVUELTO DE</v>
      </c>
      <c r="AG1814" s="65" t="str">
        <f>IFERROR(__xludf.DUMMYFUNCTION("""COMPUTED_VALUE"""),"NO")</f>
        <v>NO</v>
      </c>
      <c r="AH1814" s="65" t="str">
        <f>IFERROR(__xludf.DUMMYFUNCTION("""COMPUTED_VALUE"""),"07:46")</f>
        <v>07:46</v>
      </c>
      <c r="AI1814" s="65" t="str">
        <f>IFERROR(__xludf.DUMMYFUNCTION("""COMPUTED_VALUE"""),"26-01-2026")</f>
        <v>26-01-2026</v>
      </c>
      <c r="AJ1814" s="65"/>
      <c r="AK1814" s="65"/>
      <c r="AL1814" s="65"/>
      <c r="AM1814" s="65"/>
      <c r="AN1814" s="65" t="str">
        <f>IFERROR(__xludf.DUMMYFUNCTION("""COMPUTED_VALUE"""),"23:26")</f>
        <v>23:26</v>
      </c>
      <c r="AO1814" s="65" t="str">
        <f>IFERROR(__xludf.DUMMYFUNCTION("""COMPUTED_VALUE"""),"29-01-2026")</f>
        <v>29-01-2026</v>
      </c>
      <c r="AP1814" s="65" t="str">
        <f>IFERROR(__xludf.DUMMYFUNCTION("""COMPUTED_VALUE"""),"CERTIFICACION DEVOLUCION AL REMITENTE")</f>
        <v>CERTIFICACION DEVOLUCION AL REMITENTE</v>
      </c>
      <c r="AQ1814" s="65" t="str">
        <f>IFERROR(__xludf.DUMMYFUNCTION("""COMPUTED_VALUE"""),"cliente retira del Cs Pillaro")</f>
        <v>cliente retira del Cs Pillaro</v>
      </c>
      <c r="AR1814" s="65"/>
      <c r="AS1814" s="65"/>
      <c r="AT1814" s="65" t="str">
        <f>IFERROR(__xludf.DUMMYFUNCTION("""COMPUTED_VALUE"""),"SHOPIFY")</f>
        <v>SHOPIFY</v>
      </c>
      <c r="AU1814" s="65" t="str">
        <f>IFERROR(__xludf.DUMMYFUNCTION("""COMPUTED_VALUE"""),"IMPORTEX EC")</f>
        <v>IMPORTEX EC</v>
      </c>
      <c r="AV1814" s="65" t="str">
        <f>IFERROR(__xludf.DUMMYFUNCTION("""COMPUTED_VALUE"""),"6412544081964")</f>
        <v>6412544081964</v>
      </c>
      <c r="AW1814" s="65">
        <f>IFERROR(__xludf.DUMMYFUNCTION("""COMPUTED_VALUE"""),5134.0)</f>
        <v>5134</v>
      </c>
      <c r="AX1814" s="65"/>
      <c r="AY1814" s="65" t="str">
        <f>IFERROR(__xludf.DUMMYFUNCTION("""COMPUTED_VALUE"""),"15/01/2026")</f>
        <v>15/01/2026</v>
      </c>
      <c r="AZ1814" s="65"/>
      <c r="BA1814" s="65"/>
    </row>
    <row r="1815">
      <c r="A1815" s="65" t="str">
        <f>IFERROR(__xludf.DUMMYFUNCTION("""COMPUTED_VALUE"""),"27-03-2026")</f>
        <v>27-03-2026</v>
      </c>
      <c r="B1815" s="65">
        <f>IFERROR(__xludf.DUMMYFUNCTION("""COMPUTED_VALUE"""),4136790.0)</f>
        <v>4136790</v>
      </c>
      <c r="C1815" s="65" t="str">
        <f>IFERROR(__xludf.DUMMYFUNCTION("""COMPUTED_VALUE"""),"20:50")</f>
        <v>20:50</v>
      </c>
      <c r="D1815" s="65" t="str">
        <f>IFERROR(__xludf.DUMMYFUNCTION("""COMPUTED_VALUE"""),"13-01-2026")</f>
        <v>13-01-2026</v>
      </c>
      <c r="E1815" s="65" t="str">
        <f>IFERROR(__xludf.DUMMYFUNCTION("""COMPUTED_VALUE"""),"Jose Blanco")</f>
        <v>Jose Blanco</v>
      </c>
      <c r="F1815" s="65" t="str">
        <f>IFERROR(__xludf.DUMMYFUNCTION("""COMPUTED_VALUE"""),"980535602")</f>
        <v>980535602</v>
      </c>
      <c r="G1815" s="65" t="str">
        <f>IFERROR(__xludf.DUMMYFUNCTION("""COMPUTED_VALUE"""),"josemediavilla87b@hotmail.com")</f>
        <v>josemediavilla87b@hotmail.com</v>
      </c>
      <c r="H1815" s="65"/>
      <c r="I1815" s="65"/>
      <c r="J1815" s="65" t="str">
        <f>IFERROR(__xludf.DUMMYFUNCTION("""COMPUTED_VALUE"""),"D001227685")</f>
        <v>D001227685</v>
      </c>
      <c r="K1815" s="65" t="str">
        <f>IFERROR(__xludf.DUMMYFUNCTION("""COMPUTED_VALUE"""),"DEVOLUCION")</f>
        <v>DEVOLUCION</v>
      </c>
      <c r="L1815" s="65" t="str">
        <f>IFERROR(__xludf.DUMMYFUNCTION("""COMPUTED_VALUE"""),"CON RECAUDO")</f>
        <v>CON RECAUDO</v>
      </c>
      <c r="M1815" s="65" t="str">
        <f>IFERROR(__xludf.DUMMYFUNCTION("""COMPUTED_VALUE"""),"PICHINCHA")</f>
        <v>PICHINCHA</v>
      </c>
      <c r="N1815" s="65" t="str">
        <f>IFERROR(__xludf.DUMMYFUNCTION("""COMPUTED_VALUE"""),"CALDERON")</f>
        <v>CALDERON</v>
      </c>
      <c r="O1815" s="65" t="str">
        <f>IFERROR(__xludf.DUMMYFUNCTION("""COMPUTED_VALUE"""),"Calle trasversal calderon Las lomas de san juan -")</f>
        <v>Calle trasversal calderon Las lomas de san juan -</v>
      </c>
      <c r="P1815" s="65"/>
      <c r="Q1815" s="65" t="str">
        <f>IFERROR(__xludf.DUMMYFUNCTION("""COMPUTED_VALUE"""),"GINTRACOM")</f>
        <v>GINTRACOM</v>
      </c>
      <c r="R1815" s="65">
        <f>IFERROR(__xludf.DUMMYFUNCTION("""COMPUTED_VALUE"""),20.0)</f>
        <v>20</v>
      </c>
      <c r="S1815" s="65"/>
      <c r="T1815" s="65">
        <f>IFERROR(__xludf.DUMMYFUNCTION("""COMPUTED_VALUE"""),4.72)</f>
        <v>4.72</v>
      </c>
      <c r="U1815" s="65">
        <f>IFERROR(__xludf.DUMMYFUNCTION("""COMPUTED_VALUE"""),0.0)</f>
        <v>0</v>
      </c>
      <c r="V1815" s="65">
        <f>IFERROR(__xludf.DUMMYFUNCTION("""COMPUTED_VALUE"""),0.0)</f>
        <v>0</v>
      </c>
      <c r="W1815" s="65">
        <f>IFERROR(__xludf.DUMMYFUNCTION("""COMPUTED_VALUE"""),0.0)</f>
        <v>0</v>
      </c>
      <c r="X1815" s="65">
        <f>IFERROR(__xludf.DUMMYFUNCTION("""COMPUTED_VALUE"""),2.35)</f>
        <v>2.35</v>
      </c>
      <c r="Y1815" s="65">
        <f>IFERROR(__xludf.DUMMYFUNCTION("""COMPUTED_VALUE"""),2.35)</f>
        <v>2.35</v>
      </c>
      <c r="Z1815" s="65">
        <f>IFERROR(__xludf.DUMMYFUNCTION("""COMPUTED_VALUE"""),116679.0)</f>
        <v>116679</v>
      </c>
      <c r="AA1815" s="65" t="str">
        <f>IFERROR(__xludf.DUMMYFUNCTION("""COMPUTED_VALUE"""),"AMC-2738")</f>
        <v>AMC-2738</v>
      </c>
      <c r="AB1815" s="65"/>
      <c r="AC1815" s="65" t="str">
        <f>IFERROR(__xludf.DUMMYFUNCTION("""COMPUTED_VALUE"""),"ESPONJA ANTILLUVIA DE PARABRISAS")</f>
        <v>ESPONJA ANTILLUVIA DE PARABRISAS</v>
      </c>
      <c r="AD1815" s="65"/>
      <c r="AE1815" s="65">
        <f>IFERROR(__xludf.DUMMYFUNCTION("""COMPUTED_VALUE"""),1.0)</f>
        <v>1</v>
      </c>
      <c r="AF1815" s="65" t="str">
        <f>IFERROR(__xludf.DUMMYFUNCTION("""COMPUTED_VALUE"""),"DESTINATARIO NO CONTESTA LLAMADAS NI WHATSAPP")</f>
        <v>DESTINATARIO NO CONTESTA LLAMADAS NI WHATSAPP</v>
      </c>
      <c r="AG1815" s="65" t="str">
        <f>IFERROR(__xludf.DUMMYFUNCTION("""COMPUTED_VALUE"""),"SI")</f>
        <v>SI</v>
      </c>
      <c r="AH1815" s="65" t="str">
        <f>IFERROR(__xludf.DUMMYFUNCTION("""COMPUTED_VALUE"""),"09:00")</f>
        <v>09:00</v>
      </c>
      <c r="AI1815" s="65" t="str">
        <f>IFERROR(__xludf.DUMMYFUNCTION("""COMPUTED_VALUE"""),"22-01-2026")</f>
        <v>22-01-2026</v>
      </c>
      <c r="AJ1815" s="65" t="str">
        <f>IFERROR(__xludf.DUMMYFUNCTION("""COMPUTED_VALUE"""),"DEVOLVER AL REMITENTE")</f>
        <v>DEVOLVER AL REMITENTE</v>
      </c>
      <c r="AK1815" s="65" t="str">
        <f>IFERROR(__xludf.DUMMYFUNCTION("""COMPUTED_VALUE"""),"18:44")</f>
        <v>18:44</v>
      </c>
      <c r="AL1815" s="65" t="str">
        <f>IFERROR(__xludf.DUMMYFUNCTION("""COMPUTED_VALUE"""),"22-01-2026")</f>
        <v>22-01-2026</v>
      </c>
      <c r="AM1815" s="65"/>
      <c r="AN1815" s="65" t="str">
        <f>IFERROR(__xludf.DUMMYFUNCTION("""COMPUTED_VALUE"""),"01:30")</f>
        <v>01:30</v>
      </c>
      <c r="AO1815" s="65" t="str">
        <f>IFERROR(__xludf.DUMMYFUNCTION("""COMPUTED_VALUE"""),"24-01-2026")</f>
        <v>24-01-2026</v>
      </c>
      <c r="AP1815" s="65" t="str">
        <f>IFERROR(__xludf.DUMMYFUNCTION("""COMPUTED_VALUE"""),"DEVOLUCIÓN")</f>
        <v>DEVOLUCIÓN</v>
      </c>
      <c r="AQ1815" s="65" t="str">
        <f>IFERROR(__xludf.DUMMYFUNCTION("""COMPUTED_VALUE"""),"DEVOLUCIÓN")</f>
        <v>DEVOLUCIÓN</v>
      </c>
      <c r="AR1815" s="65"/>
      <c r="AS1815" s="65"/>
      <c r="AT1815" s="65" t="str">
        <f>IFERROR(__xludf.DUMMYFUNCTION("""COMPUTED_VALUE"""),"SHOPIFY")</f>
        <v>SHOPIFY</v>
      </c>
      <c r="AU1815" s="65" t="str">
        <f>IFERROR(__xludf.DUMMYFUNCTION("""COMPUTED_VALUE"""),"IMPORTEX EC")</f>
        <v>IMPORTEX EC</v>
      </c>
      <c r="AV1815" s="65" t="str">
        <f>IFERROR(__xludf.DUMMYFUNCTION("""COMPUTED_VALUE"""),"6412536741932")</f>
        <v>6412536741932</v>
      </c>
      <c r="AW1815" s="65">
        <f>IFERROR(__xludf.DUMMYFUNCTION("""COMPUTED_VALUE"""),5133.0)</f>
        <v>5133</v>
      </c>
      <c r="AX1815" s="65"/>
      <c r="AY1815" s="65" t="str">
        <f>IFERROR(__xludf.DUMMYFUNCTION("""COMPUTED_VALUE"""),"15/01/2026")</f>
        <v>15/01/2026</v>
      </c>
      <c r="AZ1815" s="65"/>
      <c r="BA1815" s="65"/>
    </row>
    <row r="1816">
      <c r="A1816" s="65" t="str">
        <f>IFERROR(__xludf.DUMMYFUNCTION("""COMPUTED_VALUE"""),"27-03-2026")</f>
        <v>27-03-2026</v>
      </c>
      <c r="B1816" s="65">
        <f>IFERROR(__xludf.DUMMYFUNCTION("""COMPUTED_VALUE"""),4136748.0)</f>
        <v>4136748</v>
      </c>
      <c r="C1816" s="65" t="str">
        <f>IFERROR(__xludf.DUMMYFUNCTION("""COMPUTED_VALUE"""),"20:46")</f>
        <v>20:46</v>
      </c>
      <c r="D1816" s="65" t="str">
        <f>IFERROR(__xludf.DUMMYFUNCTION("""COMPUTED_VALUE"""),"13-01-2026")</f>
        <v>13-01-2026</v>
      </c>
      <c r="E1816" s="65" t="str">
        <f>IFERROR(__xludf.DUMMYFUNCTION("""COMPUTED_VALUE"""),"Gabriela Armijos")</f>
        <v>Gabriela Armijos</v>
      </c>
      <c r="F1816" s="65" t="str">
        <f>IFERROR(__xludf.DUMMYFUNCTION("""COMPUTED_VALUE"""),"967858122")</f>
        <v>967858122</v>
      </c>
      <c r="G1816" s="65" t="str">
        <f>IFERROR(__xludf.DUMMYFUNCTION("""COMPUTED_VALUE"""),"gabyarmijosj@gmail.com")</f>
        <v>gabyarmijosj@gmail.com</v>
      </c>
      <c r="H1816" s="65"/>
      <c r="I1816" s="65"/>
      <c r="J1816" s="65" t="str">
        <f>IFERROR(__xludf.DUMMYFUNCTION("""COMPUTED_VALUE"""),"D001277209")</f>
        <v>D001277209</v>
      </c>
      <c r="K1816" s="65" t="str">
        <f>IFERROR(__xludf.DUMMYFUNCTION("""COMPUTED_VALUE"""),"DEVOLUCION")</f>
        <v>DEVOLUCION</v>
      </c>
      <c r="L1816" s="65" t="str">
        <f>IFERROR(__xludf.DUMMYFUNCTION("""COMPUTED_VALUE"""),"CON RECAUDO")</f>
        <v>CON RECAUDO</v>
      </c>
      <c r="M1816" s="65" t="str">
        <f>IFERROR(__xludf.DUMMYFUNCTION("""COMPUTED_VALUE"""),"GUAYAS")</f>
        <v>GUAYAS</v>
      </c>
      <c r="N1816" s="65" t="str">
        <f>IFERROR(__xludf.DUMMYFUNCTION("""COMPUTED_VALUE"""),"SAMBORONDON")</f>
        <v>SAMBORONDON</v>
      </c>
      <c r="O1816" s="65" t="str">
        <f>IFERROR(__xludf.DUMMYFUNCTION("""COMPUTED_VALUE"""),"En la misma calle donde queda el jardín 4kids Urbanizacion Entrerios via sambo km 1.5 -")</f>
        <v>En la misma calle donde queda el jardín 4kids Urbanizacion Entrerios via sambo km 1.5 -</v>
      </c>
      <c r="P1816" s="65"/>
      <c r="Q1816" s="65" t="str">
        <f>IFERROR(__xludf.DUMMYFUNCTION("""COMPUTED_VALUE"""),"GINTRACOM")</f>
        <v>GINTRACOM</v>
      </c>
      <c r="R1816" s="65">
        <f>IFERROR(__xludf.DUMMYFUNCTION("""COMPUTED_VALUE"""),20.0)</f>
        <v>20</v>
      </c>
      <c r="S1816" s="65"/>
      <c r="T1816" s="65">
        <f>IFERROR(__xludf.DUMMYFUNCTION("""COMPUTED_VALUE"""),5.76)</f>
        <v>5.76</v>
      </c>
      <c r="U1816" s="65">
        <f>IFERROR(__xludf.DUMMYFUNCTION("""COMPUTED_VALUE"""),0.0)</f>
        <v>0</v>
      </c>
      <c r="V1816" s="65">
        <f>IFERROR(__xludf.DUMMYFUNCTION("""COMPUTED_VALUE"""),0.0)</f>
        <v>0</v>
      </c>
      <c r="W1816" s="65">
        <f>IFERROR(__xludf.DUMMYFUNCTION("""COMPUTED_VALUE"""),0.0)</f>
        <v>0</v>
      </c>
      <c r="X1816" s="65">
        <f>IFERROR(__xludf.DUMMYFUNCTION("""COMPUTED_VALUE"""),2.35)</f>
        <v>2.35</v>
      </c>
      <c r="Y1816" s="65">
        <f>IFERROR(__xludf.DUMMYFUNCTION("""COMPUTED_VALUE"""),2.35)</f>
        <v>2.35</v>
      </c>
      <c r="Z1816" s="65">
        <f>IFERROR(__xludf.DUMMYFUNCTION("""COMPUTED_VALUE"""),116679.0)</f>
        <v>116679</v>
      </c>
      <c r="AA1816" s="65" t="str">
        <f>IFERROR(__xludf.DUMMYFUNCTION("""COMPUTED_VALUE"""),"AMC-2738")</f>
        <v>AMC-2738</v>
      </c>
      <c r="AB1816" s="65"/>
      <c r="AC1816" s="65" t="str">
        <f>IFERROR(__xludf.DUMMYFUNCTION("""COMPUTED_VALUE"""),"ESPONJA ANTILLUVIA DE PARABRISAS")</f>
        <v>ESPONJA ANTILLUVIA DE PARABRISAS</v>
      </c>
      <c r="AD1816" s="65"/>
      <c r="AE1816" s="65">
        <f>IFERROR(__xludf.DUMMYFUNCTION("""COMPUTED_VALUE"""),1.0)</f>
        <v>1</v>
      </c>
      <c r="AF1816" s="65" t="str">
        <f>IFERROR(__xludf.DUMMYFUNCTION("""COMPUTED_VALUE"""),"DESTINATARIO INDICA QUE YA RECIBIÓ EL PRODUCTO")</f>
        <v>DESTINATARIO INDICA QUE YA RECIBIÓ EL PRODUCTO</v>
      </c>
      <c r="AG1816" s="65" t="str">
        <f>IFERROR(__xludf.DUMMYFUNCTION("""COMPUTED_VALUE"""),"NO")</f>
        <v>NO</v>
      </c>
      <c r="AH1816" s="65" t="str">
        <f>IFERROR(__xludf.DUMMYFUNCTION("""COMPUTED_VALUE"""),"10:23")</f>
        <v>10:23</v>
      </c>
      <c r="AI1816" s="65" t="str">
        <f>IFERROR(__xludf.DUMMYFUNCTION("""COMPUTED_VALUE"""),"02-02-2026")</f>
        <v>02-02-2026</v>
      </c>
      <c r="AJ1816" s="65"/>
      <c r="AK1816" s="65"/>
      <c r="AL1816" s="65"/>
      <c r="AM1816" s="65"/>
      <c r="AN1816" s="65" t="str">
        <f>IFERROR(__xludf.DUMMYFUNCTION("""COMPUTED_VALUE"""),"14:49")</f>
        <v>14:49</v>
      </c>
      <c r="AO1816" s="65" t="str">
        <f>IFERROR(__xludf.DUMMYFUNCTION("""COMPUTED_VALUE"""),"21-02-2026")</f>
        <v>21-02-2026</v>
      </c>
      <c r="AP1816" s="65" t="str">
        <f>IFERROR(__xludf.DUMMYFUNCTION("""COMPUTED_VALUE"""),"DEVOLUCIÓN ENTREGADA A ORIGEN")</f>
        <v>DEVOLUCIÓN ENTREGADA A ORIGEN</v>
      </c>
      <c r="AQ1816" s="65" t="str">
        <f>IFERROR(__xludf.DUMMYFUNCTION("""COMPUTED_VALUE"""),"DEVOLUCIÓN ENTREGADA A ORIGEN")</f>
        <v>DEVOLUCIÓN ENTREGADA A ORIGEN</v>
      </c>
      <c r="AR1816" s="65"/>
      <c r="AS1816" s="65"/>
      <c r="AT1816" s="65" t="str">
        <f>IFERROR(__xludf.DUMMYFUNCTION("""COMPUTED_VALUE"""),"SHOPIFY")</f>
        <v>SHOPIFY</v>
      </c>
      <c r="AU1816" s="65" t="str">
        <f>IFERROR(__xludf.DUMMYFUNCTION("""COMPUTED_VALUE"""),"IMPORTEX EC")</f>
        <v>IMPORTEX EC</v>
      </c>
      <c r="AV1816" s="65" t="str">
        <f>IFERROR(__xludf.DUMMYFUNCTION("""COMPUTED_VALUE"""),"6412527927340")</f>
        <v>6412527927340</v>
      </c>
      <c r="AW1816" s="65">
        <f>IFERROR(__xludf.DUMMYFUNCTION("""COMPUTED_VALUE"""),5132.0)</f>
        <v>5132</v>
      </c>
      <c r="AX1816" s="65"/>
      <c r="AY1816" s="65" t="str">
        <f>IFERROR(__xludf.DUMMYFUNCTION("""COMPUTED_VALUE"""),"30/01/2026")</f>
        <v>30/01/2026</v>
      </c>
      <c r="AZ1816" s="65"/>
      <c r="BA1816" s="65"/>
    </row>
    <row r="1817">
      <c r="A1817" s="65" t="str">
        <f>IFERROR(__xludf.DUMMYFUNCTION("""COMPUTED_VALUE"""),"27-03-2026")</f>
        <v>27-03-2026</v>
      </c>
      <c r="B1817" s="65">
        <f>IFERROR(__xludf.DUMMYFUNCTION("""COMPUTED_VALUE"""),4136725.0)</f>
        <v>4136725</v>
      </c>
      <c r="C1817" s="65" t="str">
        <f>IFERROR(__xludf.DUMMYFUNCTION("""COMPUTED_VALUE"""),"20:45")</f>
        <v>20:45</v>
      </c>
      <c r="D1817" s="65" t="str">
        <f>IFERROR(__xludf.DUMMYFUNCTION("""COMPUTED_VALUE"""),"13-01-2026")</f>
        <v>13-01-2026</v>
      </c>
      <c r="E1817" s="65" t="str">
        <f>IFERROR(__xludf.DUMMYFUNCTION("""COMPUTED_VALUE"""),"Sofia Orozco")</f>
        <v>Sofia Orozco</v>
      </c>
      <c r="F1817" s="65" t="str">
        <f>IFERROR(__xludf.DUMMYFUNCTION("""COMPUTED_VALUE"""),"963465926")</f>
        <v>963465926</v>
      </c>
      <c r="G1817" s="65" t="str">
        <f>IFERROR(__xludf.DUMMYFUNCTION("""COMPUTED_VALUE"""),"maykdanny@hotmail.es")</f>
        <v>maykdanny@hotmail.es</v>
      </c>
      <c r="H1817" s="65"/>
      <c r="I1817" s="65"/>
      <c r="J1817" s="65"/>
      <c r="K1817" s="65" t="str">
        <f>IFERROR(__xludf.DUMMYFUNCTION("""COMPUTED_VALUE"""),"PENDIENTE CONFIRMACION")</f>
        <v>PENDIENTE CONFIRMACION</v>
      </c>
      <c r="L1817" s="65" t="str">
        <f>IFERROR(__xludf.DUMMYFUNCTION("""COMPUTED_VALUE"""),"CON RECAUDO")</f>
        <v>CON RECAUDO</v>
      </c>
      <c r="M1817" s="65" t="str">
        <f>IFERROR(__xludf.DUMMYFUNCTION("""COMPUTED_VALUE"""),"CHIMBORAZO")</f>
        <v>CHIMBORAZO</v>
      </c>
      <c r="N1817" s="65" t="str">
        <f>IFERROR(__xludf.DUMMYFUNCTION("""COMPUTED_VALUE"""),"RIOBAMBA")</f>
        <v>RIOBAMBA</v>
      </c>
      <c r="O1817" s="65" t="str">
        <f>IFERROR(__xludf.DUMMYFUNCTION("""COMPUTED_VALUE"""),"Pichincha y primera constituyente Centro -")</f>
        <v>Pichincha y primera constituyente Centro -</v>
      </c>
      <c r="P1817" s="65"/>
      <c r="Q1817" s="65" t="str">
        <f>IFERROR(__xludf.DUMMYFUNCTION("""COMPUTED_VALUE"""),"GINTRACOM")</f>
        <v>GINTRACOM</v>
      </c>
      <c r="R1817" s="65">
        <f>IFERROR(__xludf.DUMMYFUNCTION("""COMPUTED_VALUE"""),25.0)</f>
        <v>25</v>
      </c>
      <c r="S1817" s="65"/>
      <c r="T1817" s="65">
        <f>IFERROR(__xludf.DUMMYFUNCTION("""COMPUTED_VALUE"""),5.96)</f>
        <v>5.96</v>
      </c>
      <c r="U1817" s="65">
        <f>IFERROR(__xludf.DUMMYFUNCTION("""COMPUTED_VALUE"""),0.0)</f>
        <v>0</v>
      </c>
      <c r="V1817" s="65">
        <f>IFERROR(__xludf.DUMMYFUNCTION("""COMPUTED_VALUE"""),0.0)</f>
        <v>0</v>
      </c>
      <c r="W1817" s="65">
        <f>IFERROR(__xludf.DUMMYFUNCTION("""COMPUTED_VALUE"""),0.0)</f>
        <v>0</v>
      </c>
      <c r="X1817" s="65">
        <f>IFERROR(__xludf.DUMMYFUNCTION("""COMPUTED_VALUE"""),2.35)</f>
        <v>2.35</v>
      </c>
      <c r="Y1817" s="65">
        <f>IFERROR(__xludf.DUMMYFUNCTION("""COMPUTED_VALUE"""),4.7)</f>
        <v>4.7</v>
      </c>
      <c r="Z1817" s="65">
        <f>IFERROR(__xludf.DUMMYFUNCTION("""COMPUTED_VALUE"""),116679.0)</f>
        <v>116679</v>
      </c>
      <c r="AA1817" s="65" t="str">
        <f>IFERROR(__xludf.DUMMYFUNCTION("""COMPUTED_VALUE"""),"AMC-2738")</f>
        <v>AMC-2738</v>
      </c>
      <c r="AB1817" s="65"/>
      <c r="AC1817" s="65" t="str">
        <f>IFERROR(__xludf.DUMMYFUNCTION("""COMPUTED_VALUE"""),"ESPONJA ANTILLUVIA DE PARABRISAS")</f>
        <v>ESPONJA ANTILLUVIA DE PARABRISAS</v>
      </c>
      <c r="AD1817" s="65"/>
      <c r="AE1817" s="65">
        <f>IFERROR(__xludf.DUMMYFUNCTION("""COMPUTED_VALUE"""),2.0)</f>
        <v>2</v>
      </c>
      <c r="AF1817" s="65"/>
      <c r="AG1817" s="65"/>
      <c r="AH1817" s="65"/>
      <c r="AI1817" s="65"/>
      <c r="AJ1817" s="65"/>
      <c r="AK1817" s="65"/>
      <c r="AL1817" s="65"/>
      <c r="AM1817" s="65"/>
      <c r="AN1817" s="65"/>
      <c r="AO1817" s="65"/>
      <c r="AP1817" s="65"/>
      <c r="AQ1817" s="65"/>
      <c r="AR1817" s="65"/>
      <c r="AS1817" s="65"/>
      <c r="AT1817" s="65" t="str">
        <f>IFERROR(__xludf.DUMMYFUNCTION("""COMPUTED_VALUE"""),"SHOPIFY")</f>
        <v>SHOPIFY</v>
      </c>
      <c r="AU1817" s="65" t="str">
        <f>IFERROR(__xludf.DUMMYFUNCTION("""COMPUTED_VALUE"""),"IMPORTEX EC")</f>
        <v>IMPORTEX EC</v>
      </c>
      <c r="AV1817" s="65" t="str">
        <f>IFERROR(__xludf.DUMMYFUNCTION("""COMPUTED_VALUE"""),"6412520292396")</f>
        <v>6412520292396</v>
      </c>
      <c r="AW1817" s="65">
        <f>IFERROR(__xludf.DUMMYFUNCTION("""COMPUTED_VALUE"""),5131.0)</f>
        <v>5131</v>
      </c>
      <c r="AX1817" s="65"/>
      <c r="AY1817" s="65"/>
      <c r="AZ1817" s="65"/>
      <c r="BA1817" s="65"/>
    </row>
    <row r="1818">
      <c r="A1818" s="65" t="str">
        <f>IFERROR(__xludf.DUMMYFUNCTION("""COMPUTED_VALUE"""),"27-03-2026")</f>
        <v>27-03-2026</v>
      </c>
      <c r="B1818" s="65">
        <f>IFERROR(__xludf.DUMMYFUNCTION("""COMPUTED_VALUE"""),4136718.0)</f>
        <v>4136718</v>
      </c>
      <c r="C1818" s="65" t="str">
        <f>IFERROR(__xludf.DUMMYFUNCTION("""COMPUTED_VALUE"""),"20:43")</f>
        <v>20:43</v>
      </c>
      <c r="D1818" s="65" t="str">
        <f>IFERROR(__xludf.DUMMYFUNCTION("""COMPUTED_VALUE"""),"13-01-2026")</f>
        <v>13-01-2026</v>
      </c>
      <c r="E1818" s="65" t="str">
        <f>IFERROR(__xludf.DUMMYFUNCTION("""COMPUTED_VALUE"""),"Victor Vedeño")</f>
        <v>Victor Vedeño</v>
      </c>
      <c r="F1818" s="65" t="str">
        <f>IFERROR(__xludf.DUMMYFUNCTION("""COMPUTED_VALUE"""),"996469486")</f>
        <v>996469486</v>
      </c>
      <c r="G1818" s="65" t="str">
        <f>IFERROR(__xludf.DUMMYFUNCTION("""COMPUTED_VALUE"""),"victorcedenog1966@gmail.com")</f>
        <v>victorcedenog1966@gmail.com</v>
      </c>
      <c r="H1818" s="65"/>
      <c r="I1818" s="65"/>
      <c r="J1818" s="65" t="str">
        <f>IFERROR(__xludf.DUMMYFUNCTION("""COMPUTED_VALUE"""),"D001227687")</f>
        <v>D001227687</v>
      </c>
      <c r="K1818" s="65" t="str">
        <f>IFERROR(__xludf.DUMMYFUNCTION("""COMPUTED_VALUE"""),"ENTREGADO")</f>
        <v>ENTREGADO</v>
      </c>
      <c r="L1818" s="65" t="str">
        <f>IFERROR(__xludf.DUMMYFUNCTION("""COMPUTED_VALUE"""),"CON RECAUDO")</f>
        <v>CON RECAUDO</v>
      </c>
      <c r="M1818" s="65" t="str">
        <f>IFERROR(__xludf.DUMMYFUNCTION("""COMPUTED_VALUE"""),"LOS RIOS")</f>
        <v>LOS RIOS</v>
      </c>
      <c r="N1818" s="65" t="str">
        <f>IFERROR(__xludf.DUMMYFUNCTION("""COMPUTED_VALUE"""),"QUEVEDO")</f>
        <v>QUEVEDO</v>
      </c>
      <c r="O1818" s="65" t="str">
        <f>IFERROR(__xludf.DUMMYFUNCTION("""COMPUTED_VALUE"""),"Sector agrilsa AV 17 de octubre sin numero REF: Taller Multiservicios Automotriz Don Víctor")</f>
        <v>Sector agrilsa AV 17 de octubre sin numero REF: Taller Multiservicios Automotriz Don Víctor</v>
      </c>
      <c r="P1818" s="65"/>
      <c r="Q1818" s="65" t="str">
        <f>IFERROR(__xludf.DUMMYFUNCTION("""COMPUTED_VALUE"""),"GINTRACOM")</f>
        <v>GINTRACOM</v>
      </c>
      <c r="R1818" s="65">
        <f>IFERROR(__xludf.DUMMYFUNCTION("""COMPUTED_VALUE"""),30.0)</f>
        <v>30</v>
      </c>
      <c r="S1818" s="65">
        <f>IFERROR(__xludf.DUMMYFUNCTION("""COMPUTED_VALUE"""),16.79)</f>
        <v>16.79</v>
      </c>
      <c r="T1818" s="65">
        <f>IFERROR(__xludf.DUMMYFUNCTION("""COMPUTED_VALUE"""),6.16)</f>
        <v>6.16</v>
      </c>
      <c r="U1818" s="65">
        <f>IFERROR(__xludf.DUMMYFUNCTION("""COMPUTED_VALUE"""),0.0)</f>
        <v>0</v>
      </c>
      <c r="V1818" s="65">
        <f>IFERROR(__xludf.DUMMYFUNCTION("""COMPUTED_VALUE"""),0.0)</f>
        <v>0</v>
      </c>
      <c r="W1818" s="65">
        <f>IFERROR(__xludf.DUMMYFUNCTION("""COMPUTED_VALUE"""),0.0)</f>
        <v>0</v>
      </c>
      <c r="X1818" s="65">
        <f>IFERROR(__xludf.DUMMYFUNCTION("""COMPUTED_VALUE"""),2.35)</f>
        <v>2.35</v>
      </c>
      <c r="Y1818" s="65">
        <f>IFERROR(__xludf.DUMMYFUNCTION("""COMPUTED_VALUE"""),7.05)</f>
        <v>7.05</v>
      </c>
      <c r="Z1818" s="65">
        <f>IFERROR(__xludf.DUMMYFUNCTION("""COMPUTED_VALUE"""),116679.0)</f>
        <v>116679</v>
      </c>
      <c r="AA1818" s="65" t="str">
        <f>IFERROR(__xludf.DUMMYFUNCTION("""COMPUTED_VALUE"""),"AMC-2738")</f>
        <v>AMC-2738</v>
      </c>
      <c r="AB1818" s="65"/>
      <c r="AC1818" s="65" t="str">
        <f>IFERROR(__xludf.DUMMYFUNCTION("""COMPUTED_VALUE"""),"ESPONJA ANTILLUVIA DE PARABRISAS")</f>
        <v>ESPONJA ANTILLUVIA DE PARABRISAS</v>
      </c>
      <c r="AD1818" s="65"/>
      <c r="AE1818" s="65">
        <f>IFERROR(__xludf.DUMMYFUNCTION("""COMPUTED_VALUE"""),3.0)</f>
        <v>3</v>
      </c>
      <c r="AF1818" s="65"/>
      <c r="AG1818" s="65"/>
      <c r="AH1818" s="65"/>
      <c r="AI1818" s="65"/>
      <c r="AJ1818" s="65"/>
      <c r="AK1818" s="65"/>
      <c r="AL1818" s="65"/>
      <c r="AM1818" s="65"/>
      <c r="AN1818" s="65" t="str">
        <f>IFERROR(__xludf.DUMMYFUNCTION("""COMPUTED_VALUE"""),"01:32")</f>
        <v>01:32</v>
      </c>
      <c r="AO1818" s="65" t="str">
        <f>IFERROR(__xludf.DUMMYFUNCTION("""COMPUTED_VALUE"""),"21-01-2026")</f>
        <v>21-01-2026</v>
      </c>
      <c r="AP1818" s="65" t="str">
        <f>IFERROR(__xludf.DUMMYFUNCTION("""COMPUTED_VALUE"""),"ENTREGADA GINTRACOM")</f>
        <v>ENTREGADA GINTRACOM</v>
      </c>
      <c r="AQ1818" s="65" t="str">
        <f>IFERROR(__xludf.DUMMYFUNCTION("""COMPUTED_VALUE"""),"ENTREGADA GINTRACOM")</f>
        <v>ENTREGADA GINTRACOM</v>
      </c>
      <c r="AR1818" s="65"/>
      <c r="AS1818" s="65"/>
      <c r="AT1818" s="65" t="str">
        <f>IFERROR(__xludf.DUMMYFUNCTION("""COMPUTED_VALUE"""),"SHOPIFY")</f>
        <v>SHOPIFY</v>
      </c>
      <c r="AU1818" s="65" t="str">
        <f>IFERROR(__xludf.DUMMYFUNCTION("""COMPUTED_VALUE"""),"IMPORTEX EC")</f>
        <v>IMPORTEX EC</v>
      </c>
      <c r="AV1818" s="65" t="str">
        <f>IFERROR(__xludf.DUMMYFUNCTION("""COMPUTED_VALUE"""),"6412516524076")</f>
        <v>6412516524076</v>
      </c>
      <c r="AW1818" s="65">
        <f>IFERROR(__xludf.DUMMYFUNCTION("""COMPUTED_VALUE"""),5130.0)</f>
        <v>5130</v>
      </c>
      <c r="AX1818" s="65"/>
      <c r="AY1818" s="65" t="str">
        <f>IFERROR(__xludf.DUMMYFUNCTION("""COMPUTED_VALUE"""),"15/01/2026")</f>
        <v>15/01/2026</v>
      </c>
      <c r="AZ1818" s="65"/>
      <c r="BA1818" s="65"/>
    </row>
    <row r="1819">
      <c r="A1819" s="65" t="str">
        <f>IFERROR(__xludf.DUMMYFUNCTION("""COMPUTED_VALUE"""),"27-03-2026")</f>
        <v>27-03-2026</v>
      </c>
      <c r="B1819" s="65">
        <f>IFERROR(__xludf.DUMMYFUNCTION("""COMPUTED_VALUE"""),4135989.0)</f>
        <v>4135989</v>
      </c>
      <c r="C1819" s="65" t="str">
        <f>IFERROR(__xludf.DUMMYFUNCTION("""COMPUTED_VALUE"""),"19:46")</f>
        <v>19:46</v>
      </c>
      <c r="D1819" s="65" t="str">
        <f>IFERROR(__xludf.DUMMYFUNCTION("""COMPUTED_VALUE"""),"13-01-2026")</f>
        <v>13-01-2026</v>
      </c>
      <c r="E1819" s="65" t="str">
        <f>IFERROR(__xludf.DUMMYFUNCTION("""COMPUTED_VALUE"""),"Daniel Vargas")</f>
        <v>Daniel Vargas</v>
      </c>
      <c r="F1819" s="65" t="str">
        <f>IFERROR(__xludf.DUMMYFUNCTION("""COMPUTED_VALUE"""),"999606579")</f>
        <v>999606579</v>
      </c>
      <c r="G1819" s="65" t="str">
        <f>IFERROR(__xludf.DUMMYFUNCTION("""COMPUTED_VALUE"""),"vargasdaniel0404@gmail.com")</f>
        <v>vargasdaniel0404@gmail.com</v>
      </c>
      <c r="H1819" s="65"/>
      <c r="I1819" s="65"/>
      <c r="J1819" s="65"/>
      <c r="K1819" s="65" t="str">
        <f>IFERROR(__xludf.DUMMYFUNCTION("""COMPUTED_VALUE"""),"PENDIENTE CONFIRMACION")</f>
        <v>PENDIENTE CONFIRMACION</v>
      </c>
      <c r="L1819" s="65" t="str">
        <f>IFERROR(__xludf.DUMMYFUNCTION("""COMPUTED_VALUE"""),"CON RECAUDO")</f>
        <v>CON RECAUDO</v>
      </c>
      <c r="M1819" s="65" t="str">
        <f>IFERROR(__xludf.DUMMYFUNCTION("""COMPUTED_VALUE"""),"SUCUMBIOS")</f>
        <v>SUCUMBIOS</v>
      </c>
      <c r="N1819" s="65" t="str">
        <f>IFERROR(__xludf.DUMMYFUNCTION("""COMPUTED_VALUE"""),"TARAPOA")</f>
        <v>TARAPOA</v>
      </c>
      <c r="O1819" s="65" t="str">
        <f>IFERROR(__xludf.DUMMYFUNCTION("""COMPUTED_VALUE"""),"Tarapoa Tarapoa -")</f>
        <v>Tarapoa Tarapoa -</v>
      </c>
      <c r="P1819" s="65"/>
      <c r="Q1819" s="65" t="str">
        <f>IFERROR(__xludf.DUMMYFUNCTION("""COMPUTED_VALUE"""),"SERVIENTREGA")</f>
        <v>SERVIENTREGA</v>
      </c>
      <c r="R1819" s="65">
        <f>IFERROR(__xludf.DUMMYFUNCTION("""COMPUTED_VALUE"""),25.0)</f>
        <v>25</v>
      </c>
      <c r="S1819" s="65"/>
      <c r="T1819" s="65">
        <f>IFERROR(__xludf.DUMMYFUNCTION("""COMPUTED_VALUE"""),7.75)</f>
        <v>7.75</v>
      </c>
      <c r="U1819" s="65">
        <f>IFERROR(__xludf.DUMMYFUNCTION("""COMPUTED_VALUE"""),0.0)</f>
        <v>0</v>
      </c>
      <c r="V1819" s="65">
        <f>IFERROR(__xludf.DUMMYFUNCTION("""COMPUTED_VALUE"""),0.0)</f>
        <v>0</v>
      </c>
      <c r="W1819" s="65">
        <f>IFERROR(__xludf.DUMMYFUNCTION("""COMPUTED_VALUE"""),0.0)</f>
        <v>0</v>
      </c>
      <c r="X1819" s="65">
        <f>IFERROR(__xludf.DUMMYFUNCTION("""COMPUTED_VALUE"""),2.35)</f>
        <v>2.35</v>
      </c>
      <c r="Y1819" s="65">
        <f>IFERROR(__xludf.DUMMYFUNCTION("""COMPUTED_VALUE"""),4.7)</f>
        <v>4.7</v>
      </c>
      <c r="Z1819" s="65">
        <f>IFERROR(__xludf.DUMMYFUNCTION("""COMPUTED_VALUE"""),116679.0)</f>
        <v>116679</v>
      </c>
      <c r="AA1819" s="65" t="str">
        <f>IFERROR(__xludf.DUMMYFUNCTION("""COMPUTED_VALUE"""),"AMC-2738")</f>
        <v>AMC-2738</v>
      </c>
      <c r="AB1819" s="65"/>
      <c r="AC1819" s="65" t="str">
        <f>IFERROR(__xludf.DUMMYFUNCTION("""COMPUTED_VALUE"""),"ESPONJA ANTILLUVIA DE PARABRISAS")</f>
        <v>ESPONJA ANTILLUVIA DE PARABRISAS</v>
      </c>
      <c r="AD1819" s="65"/>
      <c r="AE1819" s="65">
        <f>IFERROR(__xludf.DUMMYFUNCTION("""COMPUTED_VALUE"""),2.0)</f>
        <v>2</v>
      </c>
      <c r="AF1819" s="65"/>
      <c r="AG1819" s="65"/>
      <c r="AH1819" s="65"/>
      <c r="AI1819" s="65"/>
      <c r="AJ1819" s="65"/>
      <c r="AK1819" s="65"/>
      <c r="AL1819" s="65"/>
      <c r="AM1819" s="65"/>
      <c r="AN1819" s="65"/>
      <c r="AO1819" s="65"/>
      <c r="AP1819" s="65"/>
      <c r="AQ1819" s="65"/>
      <c r="AR1819" s="65"/>
      <c r="AS1819" s="65"/>
      <c r="AT1819" s="65" t="str">
        <f>IFERROR(__xludf.DUMMYFUNCTION("""COMPUTED_VALUE"""),"SHOPIFY")</f>
        <v>SHOPIFY</v>
      </c>
      <c r="AU1819" s="65" t="str">
        <f>IFERROR(__xludf.DUMMYFUNCTION("""COMPUTED_VALUE"""),"IMPORTEX EC")</f>
        <v>IMPORTEX EC</v>
      </c>
      <c r="AV1819" s="65" t="str">
        <f>IFERROR(__xludf.DUMMYFUNCTION("""COMPUTED_VALUE"""),"6412318015532")</f>
        <v>6412318015532</v>
      </c>
      <c r="AW1819" s="65">
        <f>IFERROR(__xludf.DUMMYFUNCTION("""COMPUTED_VALUE"""),5129.0)</f>
        <v>5129</v>
      </c>
      <c r="AX1819" s="65"/>
      <c r="AY1819" s="65"/>
      <c r="AZ1819" s="65"/>
      <c r="BA1819" s="65"/>
    </row>
    <row r="1820">
      <c r="A1820" s="65" t="str">
        <f>IFERROR(__xludf.DUMMYFUNCTION("""COMPUTED_VALUE"""),"27-03-2026")</f>
        <v>27-03-2026</v>
      </c>
      <c r="B1820" s="65">
        <f>IFERROR(__xludf.DUMMYFUNCTION("""COMPUTED_VALUE"""),4135930.0)</f>
        <v>4135930</v>
      </c>
      <c r="C1820" s="65" t="str">
        <f>IFERROR(__xludf.DUMMYFUNCTION("""COMPUTED_VALUE"""),"19:41")</f>
        <v>19:41</v>
      </c>
      <c r="D1820" s="65" t="str">
        <f>IFERROR(__xludf.DUMMYFUNCTION("""COMPUTED_VALUE"""),"13-01-2026")</f>
        <v>13-01-2026</v>
      </c>
      <c r="E1820" s="65" t="str">
        <f>IFERROR(__xludf.DUMMYFUNCTION("""COMPUTED_VALUE"""),"Ernesto Wilfrido Flores Mayorga")</f>
        <v>Ernesto Wilfrido Flores Mayorga</v>
      </c>
      <c r="F1820" s="65" t="str">
        <f>IFERROR(__xludf.DUMMYFUNCTION("""COMPUTED_VALUE"""),"993286788")</f>
        <v>993286788</v>
      </c>
      <c r="G1820" s="65"/>
      <c r="H1820" s="65"/>
      <c r="I1820" s="65"/>
      <c r="J1820" s="65" t="str">
        <f>IFERROR(__xludf.DUMMYFUNCTION("""COMPUTED_VALUE"""),"D001269722")</f>
        <v>D001269722</v>
      </c>
      <c r="K1820" s="65" t="str">
        <f>IFERROR(__xludf.DUMMYFUNCTION("""COMPUTED_VALUE"""),"ENTREGADO")</f>
        <v>ENTREGADO</v>
      </c>
      <c r="L1820" s="65" t="str">
        <f>IFERROR(__xludf.DUMMYFUNCTION("""COMPUTED_VALUE"""),"CON RECAUDO")</f>
        <v>CON RECAUDO</v>
      </c>
      <c r="M1820" s="65" t="str">
        <f>IFERROR(__xludf.DUMMYFUNCTION("""COMPUTED_VALUE"""),"TUNGURAHUA")</f>
        <v>TUNGURAHUA</v>
      </c>
      <c r="N1820" s="65" t="str">
        <f>IFERROR(__xludf.DUMMYFUNCTION("""COMPUTED_VALUE"""),"CEVALLOS")</f>
        <v>CEVALLOS</v>
      </c>
      <c r="O1820" s="65" t="str">
        <f>IFERROR(__xludf.DUMMYFUNCTION("""COMPUTED_VALUE"""),"av..24 de mayo y eucaliptos barrio José Francisco Arias")</f>
        <v>av..24 de mayo y eucaliptos barrio José Francisco Arias</v>
      </c>
      <c r="P1820" s="65"/>
      <c r="Q1820" s="65" t="str">
        <f>IFERROR(__xludf.DUMMYFUNCTION("""COMPUTED_VALUE"""),"GINTRACOM")</f>
        <v>GINTRACOM</v>
      </c>
      <c r="R1820" s="65">
        <f>IFERROR(__xludf.DUMMYFUNCTION("""COMPUTED_VALUE"""),27.0)</f>
        <v>27</v>
      </c>
      <c r="S1820" s="65">
        <f>IFERROR(__xludf.DUMMYFUNCTION("""COMPUTED_VALUE"""),12.59)</f>
        <v>12.59</v>
      </c>
      <c r="T1820" s="65">
        <f>IFERROR(__xludf.DUMMYFUNCTION("""COMPUTED_VALUE"""),6.61)</f>
        <v>6.61</v>
      </c>
      <c r="U1820" s="65">
        <f>IFERROR(__xludf.DUMMYFUNCTION("""COMPUTED_VALUE"""),0.0)</f>
        <v>0</v>
      </c>
      <c r="V1820" s="65">
        <f>IFERROR(__xludf.DUMMYFUNCTION("""COMPUTED_VALUE"""),0.0)</f>
        <v>0</v>
      </c>
      <c r="W1820" s="65">
        <f>IFERROR(__xludf.DUMMYFUNCTION("""COMPUTED_VALUE"""),0.0)</f>
        <v>0</v>
      </c>
      <c r="X1820" s="65">
        <f>IFERROR(__xludf.DUMMYFUNCTION("""COMPUTED_VALUE"""),2.6)</f>
        <v>2.6</v>
      </c>
      <c r="Y1820" s="65">
        <f>IFERROR(__xludf.DUMMYFUNCTION("""COMPUTED_VALUE"""),7.8)</f>
        <v>7.8</v>
      </c>
      <c r="Z1820" s="65">
        <f>IFERROR(__xludf.DUMMYFUNCTION("""COMPUTED_VALUE"""),121983.0)</f>
        <v>121983</v>
      </c>
      <c r="AA1820" s="65" t="str">
        <f>IFERROR(__xludf.DUMMYFUNCTION("""COMPUTED_VALUE"""),"PROV-CHLLCF")</f>
        <v>PROV-CHLLCF</v>
      </c>
      <c r="AB1820" s="65"/>
      <c r="AC1820" s="65" t="str">
        <f>IFERROR(__xludf.DUMMYFUNCTION("""COMPUTED_VALUE"""),"CUCHILLO PARA CHEF")</f>
        <v>CUCHILLO PARA CHEF</v>
      </c>
      <c r="AD1820" s="65"/>
      <c r="AE1820" s="65">
        <f>IFERROR(__xludf.DUMMYFUNCTION("""COMPUTED_VALUE"""),3.0)</f>
        <v>3</v>
      </c>
      <c r="AF1820" s="65"/>
      <c r="AG1820" s="65"/>
      <c r="AH1820" s="65"/>
      <c r="AI1820" s="65"/>
      <c r="AJ1820" s="65"/>
      <c r="AK1820" s="65"/>
      <c r="AL1820" s="65"/>
      <c r="AM1820" s="65"/>
      <c r="AN1820" s="65"/>
      <c r="AO1820" s="65"/>
      <c r="AP1820" s="65"/>
      <c r="AQ1820" s="65"/>
      <c r="AR1820" s="65"/>
      <c r="AS1820" s="65"/>
      <c r="AT1820" s="65"/>
      <c r="AU1820" s="65"/>
      <c r="AV1820" s="65"/>
      <c r="AW1820" s="65"/>
      <c r="AX1820" s="65"/>
      <c r="AY1820" s="65" t="str">
        <f>IFERROR(__xludf.DUMMYFUNCTION("""COMPUTED_VALUE"""),"28/01/2026")</f>
        <v>28/01/2026</v>
      </c>
      <c r="AZ1820" s="65"/>
      <c r="BA1820" s="65"/>
    </row>
    <row r="1821">
      <c r="A1821" s="65" t="str">
        <f>IFERROR(__xludf.DUMMYFUNCTION("""COMPUTED_VALUE"""),"27-03-2026")</f>
        <v>27-03-2026</v>
      </c>
      <c r="B1821" s="65">
        <f>IFERROR(__xludf.DUMMYFUNCTION("""COMPUTED_VALUE"""),4135730.0)</f>
        <v>4135730</v>
      </c>
      <c r="C1821" s="65" t="str">
        <f>IFERROR(__xludf.DUMMYFUNCTION("""COMPUTED_VALUE"""),"19:06")</f>
        <v>19:06</v>
      </c>
      <c r="D1821" s="65" t="str">
        <f>IFERROR(__xludf.DUMMYFUNCTION("""COMPUTED_VALUE"""),"13-01-2026")</f>
        <v>13-01-2026</v>
      </c>
      <c r="E1821" s="65" t="str">
        <f>IFERROR(__xludf.DUMMYFUNCTION("""COMPUTED_VALUE"""),"Ángel Eduardo Remache")</f>
        <v>Ángel Eduardo Remache</v>
      </c>
      <c r="F1821" s="65" t="str">
        <f>IFERROR(__xludf.DUMMYFUNCTION("""COMPUTED_VALUE"""),"967185411")</f>
        <v>967185411</v>
      </c>
      <c r="G1821" s="65"/>
      <c r="H1821" s="65"/>
      <c r="I1821" s="65"/>
      <c r="J1821" s="65" t="str">
        <f>IFERROR(__xludf.DUMMYFUNCTION("""COMPUTED_VALUE"""),"186973289")</f>
        <v>186973289</v>
      </c>
      <c r="K1821" s="65" t="str">
        <f>IFERROR(__xludf.DUMMYFUNCTION("""COMPUTED_VALUE"""),"DEVOLUCION")</f>
        <v>DEVOLUCION</v>
      </c>
      <c r="L1821" s="65" t="str">
        <f>IFERROR(__xludf.DUMMYFUNCTION("""COMPUTED_VALUE"""),"CON RECAUDO")</f>
        <v>CON RECAUDO</v>
      </c>
      <c r="M1821" s="65" t="str">
        <f>IFERROR(__xludf.DUMMYFUNCTION("""COMPUTED_VALUE"""),"GUAYAS")</f>
        <v>GUAYAS</v>
      </c>
      <c r="N1821" s="65" t="str">
        <f>IFERROR(__xludf.DUMMYFUNCTION("""COMPUTED_VALUE"""),"DURAN")</f>
        <v>DURAN</v>
      </c>
      <c r="O1821" s="65" t="str">
        <f>IFERROR(__xludf.DUMMYFUNCTION("""COMPUTED_VALUE"""),"CS: DURAN_PANORAMA AV.PRINCIPAL / CDLA PANORAMA MZ GSL12 DIAGONAL UPC")</f>
        <v>CS: DURAN_PANORAMA AV.PRINCIPAL / CDLA PANORAMA MZ GSL12 DIAGONAL UPC</v>
      </c>
      <c r="P1821" s="65"/>
      <c r="Q1821" s="65" t="str">
        <f>IFERROR(__xludf.DUMMYFUNCTION("""COMPUTED_VALUE"""),"SERVIENTREGA")</f>
        <v>SERVIENTREGA</v>
      </c>
      <c r="R1821" s="65">
        <f>IFERROR(__xludf.DUMMYFUNCTION("""COMPUTED_VALUE"""),27.0)</f>
        <v>27</v>
      </c>
      <c r="S1821" s="65"/>
      <c r="T1821" s="65">
        <f>IFERROR(__xludf.DUMMYFUNCTION("""COMPUTED_VALUE"""),5.74)</f>
        <v>5.74</v>
      </c>
      <c r="U1821" s="65">
        <f>IFERROR(__xludf.DUMMYFUNCTION("""COMPUTED_VALUE"""),0.0)</f>
        <v>0</v>
      </c>
      <c r="V1821" s="65">
        <f>IFERROR(__xludf.DUMMYFUNCTION("""COMPUTED_VALUE"""),0.0)</f>
        <v>0</v>
      </c>
      <c r="W1821" s="65">
        <f>IFERROR(__xludf.DUMMYFUNCTION("""COMPUTED_VALUE"""),0.0)</f>
        <v>0</v>
      </c>
      <c r="X1821" s="65">
        <f>IFERROR(__xludf.DUMMYFUNCTION("""COMPUTED_VALUE"""),2.6)</f>
        <v>2.6</v>
      </c>
      <c r="Y1821" s="65">
        <f>IFERROR(__xludf.DUMMYFUNCTION("""COMPUTED_VALUE"""),7.8)</f>
        <v>7.8</v>
      </c>
      <c r="Z1821" s="65">
        <f>IFERROR(__xludf.DUMMYFUNCTION("""COMPUTED_VALUE"""),121983.0)</f>
        <v>121983</v>
      </c>
      <c r="AA1821" s="65" t="str">
        <f>IFERROR(__xludf.DUMMYFUNCTION("""COMPUTED_VALUE"""),"PROV-CHLLCF")</f>
        <v>PROV-CHLLCF</v>
      </c>
      <c r="AB1821" s="65"/>
      <c r="AC1821" s="65" t="str">
        <f>IFERROR(__xludf.DUMMYFUNCTION("""COMPUTED_VALUE"""),"CUCHILLO PARA CHEF")</f>
        <v>CUCHILLO PARA CHEF</v>
      </c>
      <c r="AD1821" s="65"/>
      <c r="AE1821" s="65">
        <f>IFERROR(__xludf.DUMMYFUNCTION("""COMPUTED_VALUE"""),3.0)</f>
        <v>3</v>
      </c>
      <c r="AF1821" s="65" t="str">
        <f>IFERROR(__xludf.DUMMYFUNCTION("""COMPUTED_VALUE"""),"DEVOLUCION AL REMITENTE")</f>
        <v>DEVOLUCION AL REMITENTE</v>
      </c>
      <c r="AG1821" s="65" t="str">
        <f>IFERROR(__xludf.DUMMYFUNCTION("""COMPUTED_VALUE"""),"NO")</f>
        <v>NO</v>
      </c>
      <c r="AH1821" s="65" t="str">
        <f>IFERROR(__xludf.DUMMYFUNCTION("""COMPUTED_VALUE"""),"15:53")</f>
        <v>15:53</v>
      </c>
      <c r="AI1821" s="65" t="str">
        <f>IFERROR(__xludf.DUMMYFUNCTION("""COMPUTED_VALUE"""),"27-01-2026")</f>
        <v>27-01-2026</v>
      </c>
      <c r="AJ1821" s="65"/>
      <c r="AK1821" s="65"/>
      <c r="AL1821" s="65"/>
      <c r="AM1821" s="65"/>
      <c r="AN1821" s="65" t="str">
        <f>IFERROR(__xludf.DUMMYFUNCTION("""COMPUTED_VALUE"""),"16:16")</f>
        <v>16:16</v>
      </c>
      <c r="AO1821" s="65" t="str">
        <f>IFERROR(__xludf.DUMMYFUNCTION("""COMPUTED_VALUE"""),"29-01-2026")</f>
        <v>29-01-2026</v>
      </c>
      <c r="AP1821" s="65" t="str">
        <f>IFERROR(__xludf.DUMMYFUNCTION("""COMPUTED_VALUE"""),"DEV CONFIRMADA POR BODEGA")</f>
        <v>DEV CONFIRMADA POR BODEGA</v>
      </c>
      <c r="AQ1821" s="65"/>
      <c r="AR1821" s="65" t="str">
        <f>IFERROR(__xludf.DUMMYFUNCTION("""COMPUTED_VALUE"""),"Gestionado por: Moran Daniel, email:danielmorga2005@gmail.com, total de productos en la orden: 1")</f>
        <v>Gestionado por: Moran Daniel, email:danielmorga2005@gmail.com, total de productos en la orden: 1</v>
      </c>
      <c r="AS1821" s="65" t="str">
        <f>IFERROR(__xludf.DUMMYFUNCTION("""COMPUTED_VALUE"""),"Bayron Gomez")</f>
        <v>Bayron Gomez</v>
      </c>
      <c r="AT1821" s="65"/>
      <c r="AU1821" s="65"/>
      <c r="AV1821" s="65"/>
      <c r="AW1821" s="65"/>
      <c r="AX1821" s="65"/>
      <c r="AY1821" s="65" t="str">
        <f>IFERROR(__xludf.DUMMYFUNCTION("""COMPUTED_VALUE"""),"14/01/2026")</f>
        <v>14/01/2026</v>
      </c>
      <c r="AZ1821" s="65"/>
      <c r="BA1821" s="65"/>
    </row>
    <row r="1822">
      <c r="A1822" s="65" t="str">
        <f>IFERROR(__xludf.DUMMYFUNCTION("""COMPUTED_VALUE"""),"27-03-2026")</f>
        <v>27-03-2026</v>
      </c>
      <c r="B1822" s="65">
        <f>IFERROR(__xludf.DUMMYFUNCTION("""COMPUTED_VALUE"""),4134328.0)</f>
        <v>4134328</v>
      </c>
      <c r="C1822" s="65" t="str">
        <f>IFERROR(__xludf.DUMMYFUNCTION("""COMPUTED_VALUE"""),"16:26")</f>
        <v>16:26</v>
      </c>
      <c r="D1822" s="65" t="str">
        <f>IFERROR(__xludf.DUMMYFUNCTION("""COMPUTED_VALUE"""),"13-01-2026")</f>
        <v>13-01-2026</v>
      </c>
      <c r="E1822" s="65" t="str">
        <f>IFERROR(__xludf.DUMMYFUNCTION("""COMPUTED_VALUE"""),"Segundo Guerrero")</f>
        <v>Segundo Guerrero</v>
      </c>
      <c r="F1822" s="65" t="str">
        <f>IFERROR(__xludf.DUMMYFUNCTION("""COMPUTED_VALUE"""),"997274820")</f>
        <v>997274820</v>
      </c>
      <c r="G1822" s="65"/>
      <c r="H1822" s="65"/>
      <c r="I1822" s="65"/>
      <c r="J1822" s="65" t="str">
        <f>IFERROR(__xludf.DUMMYFUNCTION("""COMPUTED_VALUE"""),"186973323")</f>
        <v>186973323</v>
      </c>
      <c r="K1822" s="65" t="str">
        <f>IFERROR(__xludf.DUMMYFUNCTION("""COMPUTED_VALUE"""),"DEVOLUCION")</f>
        <v>DEVOLUCION</v>
      </c>
      <c r="L1822" s="65" t="str">
        <f>IFERROR(__xludf.DUMMYFUNCTION("""COMPUTED_VALUE"""),"CON RECAUDO")</f>
        <v>CON RECAUDO</v>
      </c>
      <c r="M1822" s="65" t="str">
        <f>IFERROR(__xludf.DUMMYFUNCTION("""COMPUTED_VALUE"""),"GUAYAS")</f>
        <v>GUAYAS</v>
      </c>
      <c r="N1822" s="65" t="str">
        <f>IFERROR(__xludf.DUMMYFUNCTION("""COMPUTED_VALUE"""),"GUAYAQUIL")</f>
        <v>GUAYAQUIL</v>
      </c>
      <c r="O1822" s="65" t="str">
        <f>IFERROR(__xludf.DUMMYFUNCTION("""COMPUTED_VALUE"""),"RETIRA EN CS : GUAYAQUIL_PARQUE CALIFORNIA , KM 10.5 S/N VIA A DAULE PARQUE CALIFORNIA")</f>
        <v>RETIRA EN CS : GUAYAQUIL_PARQUE CALIFORNIA , KM 10.5 S/N VIA A DAULE PARQUE CALIFORNIA</v>
      </c>
      <c r="P1822" s="65"/>
      <c r="Q1822" s="65" t="str">
        <f>IFERROR(__xludf.DUMMYFUNCTION("""COMPUTED_VALUE"""),"SERVIENTREGA")</f>
        <v>SERVIENTREGA</v>
      </c>
      <c r="R1822" s="65">
        <f>IFERROR(__xludf.DUMMYFUNCTION("""COMPUTED_VALUE"""),22.0)</f>
        <v>22</v>
      </c>
      <c r="S1822" s="65"/>
      <c r="T1822" s="65">
        <f>IFERROR(__xludf.DUMMYFUNCTION("""COMPUTED_VALUE"""),4.77)</f>
        <v>4.77</v>
      </c>
      <c r="U1822" s="65">
        <f>IFERROR(__xludf.DUMMYFUNCTION("""COMPUTED_VALUE"""),0.0)</f>
        <v>0</v>
      </c>
      <c r="V1822" s="65">
        <f>IFERROR(__xludf.DUMMYFUNCTION("""COMPUTED_VALUE"""),0.0)</f>
        <v>0</v>
      </c>
      <c r="W1822" s="65">
        <f>IFERROR(__xludf.DUMMYFUNCTION("""COMPUTED_VALUE"""),0.0)</f>
        <v>0</v>
      </c>
      <c r="X1822" s="65">
        <f>IFERROR(__xludf.DUMMYFUNCTION("""COMPUTED_VALUE"""),2.6)</f>
        <v>2.6</v>
      </c>
      <c r="Y1822" s="65">
        <f>IFERROR(__xludf.DUMMYFUNCTION("""COMPUTED_VALUE"""),5.2)</f>
        <v>5.2</v>
      </c>
      <c r="Z1822" s="65">
        <f>IFERROR(__xludf.DUMMYFUNCTION("""COMPUTED_VALUE"""),121983.0)</f>
        <v>121983</v>
      </c>
      <c r="AA1822" s="65" t="str">
        <f>IFERROR(__xludf.DUMMYFUNCTION("""COMPUTED_VALUE"""),"PROV-CHLLCF")</f>
        <v>PROV-CHLLCF</v>
      </c>
      <c r="AB1822" s="65"/>
      <c r="AC1822" s="65" t="str">
        <f>IFERROR(__xludf.DUMMYFUNCTION("""COMPUTED_VALUE"""),"CUCHILLO PARA CHEF")</f>
        <v>CUCHILLO PARA CHEF</v>
      </c>
      <c r="AD1822" s="65"/>
      <c r="AE1822" s="65">
        <f>IFERROR(__xludf.DUMMYFUNCTION("""COMPUTED_VALUE"""),2.0)</f>
        <v>2</v>
      </c>
      <c r="AF1822" s="65" t="str">
        <f>IFERROR(__xludf.DUMMYFUNCTION("""COMPUTED_VALUE"""),"DEVOLUCION AL REMITENTE")</f>
        <v>DEVOLUCION AL REMITENTE</v>
      </c>
      <c r="AG1822" s="65" t="str">
        <f>IFERROR(__xludf.DUMMYFUNCTION("""COMPUTED_VALUE"""),"NO")</f>
        <v>NO</v>
      </c>
      <c r="AH1822" s="65" t="str">
        <f>IFERROR(__xludf.DUMMYFUNCTION("""COMPUTED_VALUE"""),"13:13")</f>
        <v>13:13</v>
      </c>
      <c r="AI1822" s="65" t="str">
        <f>IFERROR(__xludf.DUMMYFUNCTION("""COMPUTED_VALUE"""),"26-01-2026")</f>
        <v>26-01-2026</v>
      </c>
      <c r="AJ1822" s="65"/>
      <c r="AK1822" s="65"/>
      <c r="AL1822" s="65"/>
      <c r="AM1822" s="65"/>
      <c r="AN1822" s="65" t="str">
        <f>IFERROR(__xludf.DUMMYFUNCTION("""COMPUTED_VALUE"""),"16:13")</f>
        <v>16:13</v>
      </c>
      <c r="AO1822" s="65" t="str">
        <f>IFERROR(__xludf.DUMMYFUNCTION("""COMPUTED_VALUE"""),"29-01-2026")</f>
        <v>29-01-2026</v>
      </c>
      <c r="AP1822" s="65" t="str">
        <f>IFERROR(__xludf.DUMMYFUNCTION("""COMPUTED_VALUE"""),"DEV CONFIRMADA POR BODEGA")</f>
        <v>DEV CONFIRMADA POR BODEGA</v>
      </c>
      <c r="AQ1822" s="65"/>
      <c r="AR1822" s="65" t="str">
        <f>IFERROR(__xludf.DUMMYFUNCTION("""COMPUTED_VALUE"""),"Gestionado por: Moran Daniel, email:danielmorga2005@gmail.com, total de productos en la orden: 1")</f>
        <v>Gestionado por: Moran Daniel, email:danielmorga2005@gmail.com, total de productos en la orden: 1</v>
      </c>
      <c r="AS1822" s="65"/>
      <c r="AT1822" s="65"/>
      <c r="AU1822" s="65"/>
      <c r="AV1822" s="65"/>
      <c r="AW1822" s="65"/>
      <c r="AX1822" s="65"/>
      <c r="AY1822" s="65" t="str">
        <f>IFERROR(__xludf.DUMMYFUNCTION("""COMPUTED_VALUE"""),"14/01/2026")</f>
        <v>14/01/2026</v>
      </c>
      <c r="AZ1822" s="65"/>
      <c r="BA1822" s="65"/>
    </row>
    <row r="1823">
      <c r="A1823" s="65" t="str">
        <f>IFERROR(__xludf.DUMMYFUNCTION("""COMPUTED_VALUE"""),"27-03-2026")</f>
        <v>27-03-2026</v>
      </c>
      <c r="B1823" s="65">
        <f>IFERROR(__xludf.DUMMYFUNCTION("""COMPUTED_VALUE"""),4132552.0)</f>
        <v>4132552</v>
      </c>
      <c r="C1823" s="65" t="str">
        <f>IFERROR(__xludf.DUMMYFUNCTION("""COMPUTED_VALUE"""),"13:45")</f>
        <v>13:45</v>
      </c>
      <c r="D1823" s="65" t="str">
        <f>IFERROR(__xludf.DUMMYFUNCTION("""COMPUTED_VALUE"""),"13-01-2026")</f>
        <v>13-01-2026</v>
      </c>
      <c r="E1823" s="65" t="str">
        <f>IFERROR(__xludf.DUMMYFUNCTION("""COMPUTED_VALUE"""),"Emilio Santillan")</f>
        <v>Emilio Santillan</v>
      </c>
      <c r="F1823" s="65" t="str">
        <f>IFERROR(__xludf.DUMMYFUNCTION("""COMPUTED_VALUE"""),"979226822")</f>
        <v>979226822</v>
      </c>
      <c r="G1823" s="65" t="str">
        <f>IFERROR(__xludf.DUMMYFUNCTION("""COMPUTED_VALUE"""),"emiliosantillan@outlook.com")</f>
        <v>emiliosantillan@outlook.com</v>
      </c>
      <c r="H1823" s="65"/>
      <c r="I1823" s="65"/>
      <c r="J1823" s="65"/>
      <c r="K1823" s="65" t="str">
        <f>IFERROR(__xludf.DUMMYFUNCTION("""COMPUTED_VALUE"""),"PENDIENTE CONFIRMACION")</f>
        <v>PENDIENTE CONFIRMACION</v>
      </c>
      <c r="L1823" s="65" t="str">
        <f>IFERROR(__xludf.DUMMYFUNCTION("""COMPUTED_VALUE"""),"CON RECAUDO")</f>
        <v>CON RECAUDO</v>
      </c>
      <c r="M1823" s="65" t="str">
        <f>IFERROR(__xludf.DUMMYFUNCTION("""COMPUTED_VALUE"""),"GUAYAS")</f>
        <v>GUAYAS</v>
      </c>
      <c r="N1823" s="65" t="str">
        <f>IFERROR(__xludf.DUMMYFUNCTION("""COMPUTED_VALUE"""),"GUAYAQUIL")</f>
        <v>GUAYAQUIL</v>
      </c>
      <c r="O1823" s="65" t="str">
        <f>IFERROR(__xludf.DUMMYFUNCTION("""COMPUTED_VALUE"""),"Gómez Rendón Entre Gallegos Lara Y Guerrero Valenzuela y gallegos lara -")</f>
        <v>Gómez Rendón Entre Gallegos Lara Y Guerrero Valenzuela y gallegos lara -</v>
      </c>
      <c r="P1823" s="65"/>
      <c r="Q1823" s="65" t="str">
        <f>IFERROR(__xludf.DUMMYFUNCTION("""COMPUTED_VALUE"""),"GINTRACOM")</f>
        <v>GINTRACOM</v>
      </c>
      <c r="R1823" s="65">
        <f>IFERROR(__xludf.DUMMYFUNCTION("""COMPUTED_VALUE"""),25.0)</f>
        <v>25</v>
      </c>
      <c r="S1823" s="65"/>
      <c r="T1823" s="65">
        <f>IFERROR(__xludf.DUMMYFUNCTION("""COMPUTED_VALUE"""),5.96)</f>
        <v>5.96</v>
      </c>
      <c r="U1823" s="65">
        <f>IFERROR(__xludf.DUMMYFUNCTION("""COMPUTED_VALUE"""),0.0)</f>
        <v>0</v>
      </c>
      <c r="V1823" s="65">
        <f>IFERROR(__xludf.DUMMYFUNCTION("""COMPUTED_VALUE"""),0.0)</f>
        <v>0</v>
      </c>
      <c r="W1823" s="65">
        <f>IFERROR(__xludf.DUMMYFUNCTION("""COMPUTED_VALUE"""),0.0)</f>
        <v>0</v>
      </c>
      <c r="X1823" s="65">
        <f>IFERROR(__xludf.DUMMYFUNCTION("""COMPUTED_VALUE"""),2.35)</f>
        <v>2.35</v>
      </c>
      <c r="Y1823" s="65">
        <f>IFERROR(__xludf.DUMMYFUNCTION("""COMPUTED_VALUE"""),4.7)</f>
        <v>4.7</v>
      </c>
      <c r="Z1823" s="65">
        <f>IFERROR(__xludf.DUMMYFUNCTION("""COMPUTED_VALUE"""),116679.0)</f>
        <v>116679</v>
      </c>
      <c r="AA1823" s="65" t="str">
        <f>IFERROR(__xludf.DUMMYFUNCTION("""COMPUTED_VALUE"""),"AMC-2738")</f>
        <v>AMC-2738</v>
      </c>
      <c r="AB1823" s="65"/>
      <c r="AC1823" s="65" t="str">
        <f>IFERROR(__xludf.DUMMYFUNCTION("""COMPUTED_VALUE"""),"ESPONJA ANTILLUVIA DE PARABRISAS")</f>
        <v>ESPONJA ANTILLUVIA DE PARABRISAS</v>
      </c>
      <c r="AD1823" s="65"/>
      <c r="AE1823" s="65">
        <f>IFERROR(__xludf.DUMMYFUNCTION("""COMPUTED_VALUE"""),2.0)</f>
        <v>2</v>
      </c>
      <c r="AF1823" s="65"/>
      <c r="AG1823" s="65"/>
      <c r="AH1823" s="65"/>
      <c r="AI1823" s="65"/>
      <c r="AJ1823" s="65"/>
      <c r="AK1823" s="65"/>
      <c r="AL1823" s="65"/>
      <c r="AM1823" s="65"/>
      <c r="AN1823" s="65"/>
      <c r="AO1823" s="65"/>
      <c r="AP1823" s="65"/>
      <c r="AQ1823" s="65"/>
      <c r="AR1823" s="65"/>
      <c r="AS1823" s="65"/>
      <c r="AT1823" s="65" t="str">
        <f>IFERROR(__xludf.DUMMYFUNCTION("""COMPUTED_VALUE"""),"SHOPIFY")</f>
        <v>SHOPIFY</v>
      </c>
      <c r="AU1823" s="65" t="str">
        <f>IFERROR(__xludf.DUMMYFUNCTION("""COMPUTED_VALUE"""),"IMPORTEX EC")</f>
        <v>IMPORTEX EC</v>
      </c>
      <c r="AV1823" s="65" t="str">
        <f>IFERROR(__xludf.DUMMYFUNCTION("""COMPUTED_VALUE"""),"6411702632492")</f>
        <v>6411702632492</v>
      </c>
      <c r="AW1823" s="65">
        <f>IFERROR(__xludf.DUMMYFUNCTION("""COMPUTED_VALUE"""),5127.0)</f>
        <v>5127</v>
      </c>
      <c r="AX1823" s="65"/>
      <c r="AY1823" s="65"/>
      <c r="AZ1823" s="65"/>
      <c r="BA1823" s="65"/>
    </row>
    <row r="1824">
      <c r="A1824" s="65" t="str">
        <f>IFERROR(__xludf.DUMMYFUNCTION("""COMPUTED_VALUE"""),"27-03-2026")</f>
        <v>27-03-2026</v>
      </c>
      <c r="B1824" s="65">
        <f>IFERROR(__xludf.DUMMYFUNCTION("""COMPUTED_VALUE"""),4132542.0)</f>
        <v>4132542</v>
      </c>
      <c r="C1824" s="65" t="str">
        <f>IFERROR(__xludf.DUMMYFUNCTION("""COMPUTED_VALUE"""),"13:44")</f>
        <v>13:44</v>
      </c>
      <c r="D1824" s="65" t="str">
        <f>IFERROR(__xludf.DUMMYFUNCTION("""COMPUTED_VALUE"""),"13-01-2026")</f>
        <v>13-01-2026</v>
      </c>
      <c r="E1824" s="65" t="str">
        <f>IFERROR(__xludf.DUMMYFUNCTION("""COMPUTED_VALUE"""),"Jinson Cuero")</f>
        <v>Jinson Cuero</v>
      </c>
      <c r="F1824" s="65" t="str">
        <f>IFERROR(__xludf.DUMMYFUNCTION("""COMPUTED_VALUE"""),"967117502")</f>
        <v>967117502</v>
      </c>
      <c r="G1824" s="65" t="str">
        <f>IFERROR(__xludf.DUMMYFUNCTION("""COMPUTED_VALUE"""),"jinsoncarabali4@gmail.com")</f>
        <v>jinsoncarabali4@gmail.com</v>
      </c>
      <c r="H1824" s="65"/>
      <c r="I1824" s="65"/>
      <c r="J1824" s="65"/>
      <c r="K1824" s="65" t="str">
        <f>IFERROR(__xludf.DUMMYFUNCTION("""COMPUTED_VALUE"""),"PENDIENTE CONFIRMACION")</f>
        <v>PENDIENTE CONFIRMACION</v>
      </c>
      <c r="L1824" s="65" t="str">
        <f>IFERROR(__xludf.DUMMYFUNCTION("""COMPUTED_VALUE"""),"CON RECAUDO")</f>
        <v>CON RECAUDO</v>
      </c>
      <c r="M1824" s="65" t="str">
        <f>IFERROR(__xludf.DUMMYFUNCTION("""COMPUTED_VALUE"""),"IMBABURA")</f>
        <v>IMBABURA</v>
      </c>
      <c r="N1824" s="65" t="str">
        <f>IFERROR(__xludf.DUMMYFUNCTION("""COMPUTED_VALUE"""),"ALPACHACA")</f>
        <v>ALPACHACA</v>
      </c>
      <c r="O1824" s="65" t="str">
        <f>IFERROR(__xludf.DUMMYFUNCTION("""COMPUTED_VALUE"""),"Zumba y santa Isabel Hospital del IESS -")</f>
        <v>Zumba y santa Isabel Hospital del IESS -</v>
      </c>
      <c r="P1824" s="65"/>
      <c r="Q1824" s="65" t="str">
        <f>IFERROR(__xludf.DUMMYFUNCTION("""COMPUTED_VALUE"""),"GINTRACOM")</f>
        <v>GINTRACOM</v>
      </c>
      <c r="R1824" s="65">
        <f>IFERROR(__xludf.DUMMYFUNCTION("""COMPUTED_VALUE"""),25.0)</f>
        <v>25</v>
      </c>
      <c r="S1824" s="65"/>
      <c r="T1824" s="65">
        <f>IFERROR(__xludf.DUMMYFUNCTION("""COMPUTED_VALUE"""),5.96)</f>
        <v>5.96</v>
      </c>
      <c r="U1824" s="65">
        <f>IFERROR(__xludf.DUMMYFUNCTION("""COMPUTED_VALUE"""),0.0)</f>
        <v>0</v>
      </c>
      <c r="V1824" s="65">
        <f>IFERROR(__xludf.DUMMYFUNCTION("""COMPUTED_VALUE"""),0.0)</f>
        <v>0</v>
      </c>
      <c r="W1824" s="65">
        <f>IFERROR(__xludf.DUMMYFUNCTION("""COMPUTED_VALUE"""),0.0)</f>
        <v>0</v>
      </c>
      <c r="X1824" s="65">
        <f>IFERROR(__xludf.DUMMYFUNCTION("""COMPUTED_VALUE"""),2.35)</f>
        <v>2.35</v>
      </c>
      <c r="Y1824" s="65">
        <f>IFERROR(__xludf.DUMMYFUNCTION("""COMPUTED_VALUE"""),4.7)</f>
        <v>4.7</v>
      </c>
      <c r="Z1824" s="65">
        <f>IFERROR(__xludf.DUMMYFUNCTION("""COMPUTED_VALUE"""),116679.0)</f>
        <v>116679</v>
      </c>
      <c r="AA1824" s="65" t="str">
        <f>IFERROR(__xludf.DUMMYFUNCTION("""COMPUTED_VALUE"""),"AMC-2738")</f>
        <v>AMC-2738</v>
      </c>
      <c r="AB1824" s="65"/>
      <c r="AC1824" s="65" t="str">
        <f>IFERROR(__xludf.DUMMYFUNCTION("""COMPUTED_VALUE"""),"ESPONJA ANTILLUVIA DE PARABRISAS")</f>
        <v>ESPONJA ANTILLUVIA DE PARABRISAS</v>
      </c>
      <c r="AD1824" s="65"/>
      <c r="AE1824" s="65">
        <f>IFERROR(__xludf.DUMMYFUNCTION("""COMPUTED_VALUE"""),2.0)</f>
        <v>2</v>
      </c>
      <c r="AF1824" s="65"/>
      <c r="AG1824" s="65"/>
      <c r="AH1824" s="65"/>
      <c r="AI1824" s="65"/>
      <c r="AJ1824" s="65"/>
      <c r="AK1824" s="65"/>
      <c r="AL1824" s="65"/>
      <c r="AM1824" s="65"/>
      <c r="AN1824" s="65"/>
      <c r="AO1824" s="65"/>
      <c r="AP1824" s="65"/>
      <c r="AQ1824" s="65"/>
      <c r="AR1824" s="65"/>
      <c r="AS1824" s="65"/>
      <c r="AT1824" s="65" t="str">
        <f>IFERROR(__xludf.DUMMYFUNCTION("""COMPUTED_VALUE"""),"SHOPIFY")</f>
        <v>SHOPIFY</v>
      </c>
      <c r="AU1824" s="65" t="str">
        <f>IFERROR(__xludf.DUMMYFUNCTION("""COMPUTED_VALUE"""),"IMPORTEX EC")</f>
        <v>IMPORTEX EC</v>
      </c>
      <c r="AV1824" s="65" t="str">
        <f>IFERROR(__xludf.DUMMYFUNCTION("""COMPUTED_VALUE"""),"6411697782828")</f>
        <v>6411697782828</v>
      </c>
      <c r="AW1824" s="65">
        <f>IFERROR(__xludf.DUMMYFUNCTION("""COMPUTED_VALUE"""),5126.0)</f>
        <v>5126</v>
      </c>
      <c r="AX1824" s="65"/>
      <c r="AY1824" s="65"/>
      <c r="AZ1824" s="65"/>
      <c r="BA1824" s="65"/>
    </row>
    <row r="1825">
      <c r="A1825" s="65" t="str">
        <f>IFERROR(__xludf.DUMMYFUNCTION("""COMPUTED_VALUE"""),"27-03-2026")</f>
        <v>27-03-2026</v>
      </c>
      <c r="B1825" s="65">
        <f>IFERROR(__xludf.DUMMYFUNCTION("""COMPUTED_VALUE"""),4132459.0)</f>
        <v>4132459</v>
      </c>
      <c r="C1825" s="65" t="str">
        <f>IFERROR(__xludf.DUMMYFUNCTION("""COMPUTED_VALUE"""),"13:36")</f>
        <v>13:36</v>
      </c>
      <c r="D1825" s="65" t="str">
        <f>IFERROR(__xludf.DUMMYFUNCTION("""COMPUTED_VALUE"""),"13-01-2026")</f>
        <v>13-01-2026</v>
      </c>
      <c r="E1825" s="65" t="str">
        <f>IFERROR(__xludf.DUMMYFUNCTION("""COMPUTED_VALUE"""),"Damian Bravo")</f>
        <v>Damian Bravo</v>
      </c>
      <c r="F1825" s="65" t="str">
        <f>IFERROR(__xludf.DUMMYFUNCTION("""COMPUTED_VALUE"""),"978862560")</f>
        <v>978862560</v>
      </c>
      <c r="G1825" s="65" t="str">
        <f>IFERROR(__xludf.DUMMYFUNCTION("""COMPUTED_VALUE"""),"damianbravo1990pico@gmail.com")</f>
        <v>damianbravo1990pico@gmail.com</v>
      </c>
      <c r="H1825" s="65"/>
      <c r="I1825" s="65"/>
      <c r="J1825" s="65"/>
      <c r="K1825" s="65" t="str">
        <f>IFERROR(__xludf.DUMMYFUNCTION("""COMPUTED_VALUE"""),"PENDIENTE CONFIRMACION")</f>
        <v>PENDIENTE CONFIRMACION</v>
      </c>
      <c r="L1825" s="65" t="str">
        <f>IFERROR(__xludf.DUMMYFUNCTION("""COMPUTED_VALUE"""),"CON RECAUDO")</f>
        <v>CON RECAUDO</v>
      </c>
      <c r="M1825" s="65" t="str">
        <f>IFERROR(__xludf.DUMMYFUNCTION("""COMPUTED_VALUE"""),"MANABI")</f>
        <v>MANABI</v>
      </c>
      <c r="N1825" s="65" t="str">
        <f>IFERROR(__xludf.DUMMYFUNCTION("""COMPUTED_VALUE"""),"MONTECRISTI")</f>
        <v>MONTECRISTI</v>
      </c>
      <c r="O1825" s="65" t="str">
        <f>IFERROR(__xludf.DUMMYFUNCTION("""COMPUTED_VALUE"""),"Bajo de la palma Bajo de la palma única farmacia santa Marta -")</f>
        <v>Bajo de la palma Bajo de la palma única farmacia santa Marta -</v>
      </c>
      <c r="P1825" s="65"/>
      <c r="Q1825" s="65" t="str">
        <f>IFERROR(__xludf.DUMMYFUNCTION("""COMPUTED_VALUE"""),"GINTRACOM")</f>
        <v>GINTRACOM</v>
      </c>
      <c r="R1825" s="65">
        <f>IFERROR(__xludf.DUMMYFUNCTION("""COMPUTED_VALUE"""),22.0)</f>
        <v>22</v>
      </c>
      <c r="S1825" s="65"/>
      <c r="T1825" s="65">
        <f>IFERROR(__xludf.DUMMYFUNCTION("""COMPUTED_VALUE"""),6.41)</f>
        <v>6.41</v>
      </c>
      <c r="U1825" s="65">
        <f>IFERROR(__xludf.DUMMYFUNCTION("""COMPUTED_VALUE"""),0.0)</f>
        <v>0</v>
      </c>
      <c r="V1825" s="65">
        <f>IFERROR(__xludf.DUMMYFUNCTION("""COMPUTED_VALUE"""),0.0)</f>
        <v>0</v>
      </c>
      <c r="W1825" s="65">
        <f>IFERROR(__xludf.DUMMYFUNCTION("""COMPUTED_VALUE"""),0.0)</f>
        <v>0</v>
      </c>
      <c r="X1825" s="65">
        <f>IFERROR(__xludf.DUMMYFUNCTION("""COMPUTED_VALUE"""),2.6)</f>
        <v>2.6</v>
      </c>
      <c r="Y1825" s="65">
        <f>IFERROR(__xludf.DUMMYFUNCTION("""COMPUTED_VALUE"""),5.2)</f>
        <v>5.2</v>
      </c>
      <c r="Z1825" s="65">
        <f>IFERROR(__xludf.DUMMYFUNCTION("""COMPUTED_VALUE"""),121983.0)</f>
        <v>121983</v>
      </c>
      <c r="AA1825" s="65" t="str">
        <f>IFERROR(__xludf.DUMMYFUNCTION("""COMPUTED_VALUE"""),"PROV-CHLLCF")</f>
        <v>PROV-CHLLCF</v>
      </c>
      <c r="AB1825" s="65"/>
      <c r="AC1825" s="65" t="str">
        <f>IFERROR(__xludf.DUMMYFUNCTION("""COMPUTED_VALUE"""),"CUCHILLO PARA CHEF")</f>
        <v>CUCHILLO PARA CHEF</v>
      </c>
      <c r="AD1825" s="65"/>
      <c r="AE1825" s="65">
        <f>IFERROR(__xludf.DUMMYFUNCTION("""COMPUTED_VALUE"""),2.0)</f>
        <v>2</v>
      </c>
      <c r="AF1825" s="65"/>
      <c r="AG1825" s="65"/>
      <c r="AH1825" s="65"/>
      <c r="AI1825" s="65"/>
      <c r="AJ1825" s="65"/>
      <c r="AK1825" s="65"/>
      <c r="AL1825" s="65"/>
      <c r="AM1825" s="65"/>
      <c r="AN1825" s="65"/>
      <c r="AO1825" s="65"/>
      <c r="AP1825" s="65"/>
      <c r="AQ1825" s="65"/>
      <c r="AR1825" s="65"/>
      <c r="AS1825" s="65"/>
      <c r="AT1825" s="65" t="str">
        <f>IFERROR(__xludf.DUMMYFUNCTION("""COMPUTED_VALUE"""),"SHOPIFY")</f>
        <v>SHOPIFY</v>
      </c>
      <c r="AU1825" s="65" t="str">
        <f>IFERROR(__xludf.DUMMYFUNCTION("""COMPUTED_VALUE"""),"IMPORTEX EC")</f>
        <v>IMPORTEX EC</v>
      </c>
      <c r="AV1825" s="65" t="str">
        <f>IFERROR(__xludf.DUMMYFUNCTION("""COMPUTED_VALUE"""),"6411679531052")</f>
        <v>6411679531052</v>
      </c>
      <c r="AW1825" s="65">
        <f>IFERROR(__xludf.DUMMYFUNCTION("""COMPUTED_VALUE"""),5125.0)</f>
        <v>5125</v>
      </c>
      <c r="AX1825" s="65"/>
      <c r="AY1825" s="65"/>
      <c r="AZ1825" s="65"/>
      <c r="BA1825" s="65"/>
    </row>
    <row r="1826">
      <c r="A1826" s="65" t="str">
        <f>IFERROR(__xludf.DUMMYFUNCTION("""COMPUTED_VALUE"""),"27-03-2026")</f>
        <v>27-03-2026</v>
      </c>
      <c r="B1826" s="65">
        <f>IFERROR(__xludf.DUMMYFUNCTION("""COMPUTED_VALUE"""),4132419.0)</f>
        <v>4132419</v>
      </c>
      <c r="C1826" s="65" t="str">
        <f>IFERROR(__xludf.DUMMYFUNCTION("""COMPUTED_VALUE"""),"13:31")</f>
        <v>13:31</v>
      </c>
      <c r="D1826" s="65" t="str">
        <f>IFERROR(__xludf.DUMMYFUNCTION("""COMPUTED_VALUE"""),"13-01-2026")</f>
        <v>13-01-2026</v>
      </c>
      <c r="E1826" s="65" t="str">
        <f>IFERROR(__xludf.DUMMYFUNCTION("""COMPUTED_VALUE"""),"Asbel Vicente")</f>
        <v>Asbel Vicente</v>
      </c>
      <c r="F1826" s="65" t="str">
        <f>IFERROR(__xludf.DUMMYFUNCTION("""COMPUTED_VALUE"""),"994796542")</f>
        <v>994796542</v>
      </c>
      <c r="G1826" s="65" t="str">
        <f>IFERROR(__xludf.DUMMYFUNCTION("""COMPUTED_VALUE"""),"asbelvicmed@gmail.com")</f>
        <v>asbelvicmed@gmail.com</v>
      </c>
      <c r="H1826" s="65"/>
      <c r="I1826" s="65"/>
      <c r="J1826" s="65" t="str">
        <f>IFERROR(__xludf.DUMMYFUNCTION("""COMPUTED_VALUE"""),"D001224152")</f>
        <v>D001224152</v>
      </c>
      <c r="K1826" s="65" t="str">
        <f>IFERROR(__xludf.DUMMYFUNCTION("""COMPUTED_VALUE"""),"ENTREGADO")</f>
        <v>ENTREGADO</v>
      </c>
      <c r="L1826" s="65" t="str">
        <f>IFERROR(__xludf.DUMMYFUNCTION("""COMPUTED_VALUE"""),"CON RECAUDO")</f>
        <v>CON RECAUDO</v>
      </c>
      <c r="M1826" s="65" t="str">
        <f>IFERROR(__xludf.DUMMYFUNCTION("""COMPUTED_VALUE"""),"SUCUMBIOS")</f>
        <v>SUCUMBIOS</v>
      </c>
      <c r="N1826" s="65" t="str">
        <f>IFERROR(__xludf.DUMMYFUNCTION("""COMPUTED_VALUE"""),"LAGO AGRIO")</f>
        <v>LAGO AGRIO</v>
      </c>
      <c r="O1826" s="65" t="str">
        <f>IFERROR(__xludf.DUMMYFUNCTION("""COMPUTED_VALUE"""),"Hospital del IESS Nueva Loja, Héroes del Cenepa y José Maria Urbina, Barrio Las Garzas")</f>
        <v>Hospital del IESS Nueva Loja, Héroes del Cenepa y José Maria Urbina, Barrio Las Garzas</v>
      </c>
      <c r="P1826" s="65"/>
      <c r="Q1826" s="65" t="str">
        <f>IFERROR(__xludf.DUMMYFUNCTION("""COMPUTED_VALUE"""),"GINTRACOM")</f>
        <v>GINTRACOM</v>
      </c>
      <c r="R1826" s="65">
        <f>IFERROR(__xludf.DUMMYFUNCTION("""COMPUTED_VALUE"""),30.0)</f>
        <v>30</v>
      </c>
      <c r="S1826" s="65">
        <f>IFERROR(__xludf.DUMMYFUNCTION("""COMPUTED_VALUE"""),16.79)</f>
        <v>16.79</v>
      </c>
      <c r="T1826" s="65">
        <f>IFERROR(__xludf.DUMMYFUNCTION("""COMPUTED_VALUE"""),6.16)</f>
        <v>6.16</v>
      </c>
      <c r="U1826" s="65">
        <f>IFERROR(__xludf.DUMMYFUNCTION("""COMPUTED_VALUE"""),0.0)</f>
        <v>0</v>
      </c>
      <c r="V1826" s="65">
        <f>IFERROR(__xludf.DUMMYFUNCTION("""COMPUTED_VALUE"""),0.0)</f>
        <v>0</v>
      </c>
      <c r="W1826" s="65">
        <f>IFERROR(__xludf.DUMMYFUNCTION("""COMPUTED_VALUE"""),0.0)</f>
        <v>0</v>
      </c>
      <c r="X1826" s="65">
        <f>IFERROR(__xludf.DUMMYFUNCTION("""COMPUTED_VALUE"""),2.35)</f>
        <v>2.35</v>
      </c>
      <c r="Y1826" s="65">
        <f>IFERROR(__xludf.DUMMYFUNCTION("""COMPUTED_VALUE"""),7.05)</f>
        <v>7.05</v>
      </c>
      <c r="Z1826" s="65">
        <f>IFERROR(__xludf.DUMMYFUNCTION("""COMPUTED_VALUE"""),116679.0)</f>
        <v>116679</v>
      </c>
      <c r="AA1826" s="65" t="str">
        <f>IFERROR(__xludf.DUMMYFUNCTION("""COMPUTED_VALUE"""),"AMC-2738")</f>
        <v>AMC-2738</v>
      </c>
      <c r="AB1826" s="65"/>
      <c r="AC1826" s="65" t="str">
        <f>IFERROR(__xludf.DUMMYFUNCTION("""COMPUTED_VALUE"""),"ESPONJA ANTILLUVIA DE PARABRISAS")</f>
        <v>ESPONJA ANTILLUVIA DE PARABRISAS</v>
      </c>
      <c r="AD1826" s="65"/>
      <c r="AE1826" s="65">
        <f>IFERROR(__xludf.DUMMYFUNCTION("""COMPUTED_VALUE"""),3.0)</f>
        <v>3</v>
      </c>
      <c r="AF1826" s="65"/>
      <c r="AG1826" s="65"/>
      <c r="AH1826" s="65"/>
      <c r="AI1826" s="65"/>
      <c r="AJ1826" s="65"/>
      <c r="AK1826" s="65"/>
      <c r="AL1826" s="65"/>
      <c r="AM1826" s="65"/>
      <c r="AN1826" s="65" t="str">
        <f>IFERROR(__xludf.DUMMYFUNCTION("""COMPUTED_VALUE"""),"15:30")</f>
        <v>15:30</v>
      </c>
      <c r="AO1826" s="65" t="str">
        <f>IFERROR(__xludf.DUMMYFUNCTION("""COMPUTED_VALUE"""),"02-03-2026")</f>
        <v>02-03-2026</v>
      </c>
      <c r="AP1826" s="65" t="str">
        <f>IFERROR(__xludf.DUMMYFUNCTION("""COMPUTED_VALUE"""),"ENTREGADA GINTRACOM")</f>
        <v>ENTREGADA GINTRACOM</v>
      </c>
      <c r="AQ1826" s="65" t="str">
        <f>IFERROR(__xludf.DUMMYFUNCTION("""COMPUTED_VALUE"""),"ENTREGADA GINTRACOM")</f>
        <v>ENTREGADA GINTRACOM</v>
      </c>
      <c r="AR1826" s="65"/>
      <c r="AS1826" s="65"/>
      <c r="AT1826" s="65" t="str">
        <f>IFERROR(__xludf.DUMMYFUNCTION("""COMPUTED_VALUE"""),"SHOPIFY")</f>
        <v>SHOPIFY</v>
      </c>
      <c r="AU1826" s="65" t="str">
        <f>IFERROR(__xludf.DUMMYFUNCTION("""COMPUTED_VALUE"""),"IMPORTEX EC")</f>
        <v>IMPORTEX EC</v>
      </c>
      <c r="AV1826" s="65" t="str">
        <f>IFERROR(__xludf.DUMMYFUNCTION("""COMPUTED_VALUE"""),"6411674386476")</f>
        <v>6411674386476</v>
      </c>
      <c r="AW1826" s="65">
        <f>IFERROR(__xludf.DUMMYFUNCTION("""COMPUTED_VALUE"""),5124.0)</f>
        <v>5124</v>
      </c>
      <c r="AX1826" s="65"/>
      <c r="AY1826" s="65" t="str">
        <f>IFERROR(__xludf.DUMMYFUNCTION("""COMPUTED_VALUE"""),"14/01/2026")</f>
        <v>14/01/2026</v>
      </c>
      <c r="AZ1826" s="65"/>
      <c r="BA1826" s="65"/>
    </row>
    <row r="1827">
      <c r="A1827" s="65" t="str">
        <f>IFERROR(__xludf.DUMMYFUNCTION("""COMPUTED_VALUE"""),"27-03-2026")</f>
        <v>27-03-2026</v>
      </c>
      <c r="B1827" s="65">
        <f>IFERROR(__xludf.DUMMYFUNCTION("""COMPUTED_VALUE"""),4132318.0)</f>
        <v>4132318</v>
      </c>
      <c r="C1827" s="65" t="str">
        <f>IFERROR(__xludf.DUMMYFUNCTION("""COMPUTED_VALUE"""),"13:21")</f>
        <v>13:21</v>
      </c>
      <c r="D1827" s="65" t="str">
        <f>IFERROR(__xludf.DUMMYFUNCTION("""COMPUTED_VALUE"""),"13-01-2026")</f>
        <v>13-01-2026</v>
      </c>
      <c r="E1827" s="65" t="str">
        <f>IFERROR(__xludf.DUMMYFUNCTION("""COMPUTED_VALUE"""),"Christian Gonzalo Morocho freire")</f>
        <v>Christian Gonzalo Morocho freire</v>
      </c>
      <c r="F1827" s="65" t="str">
        <f>IFERROR(__xludf.DUMMYFUNCTION("""COMPUTED_VALUE"""),"968050039")</f>
        <v>968050039</v>
      </c>
      <c r="G1827" s="65"/>
      <c r="H1827" s="65"/>
      <c r="I1827" s="65"/>
      <c r="J1827" s="65" t="str">
        <f>IFERROR(__xludf.DUMMYFUNCTION("""COMPUTED_VALUE"""),"186973340")</f>
        <v>186973340</v>
      </c>
      <c r="K1827" s="65" t="str">
        <f>IFERROR(__xludf.DUMMYFUNCTION("""COMPUTED_VALUE"""),"ENTREGADO")</f>
        <v>ENTREGADO</v>
      </c>
      <c r="L1827" s="65" t="str">
        <f>IFERROR(__xludf.DUMMYFUNCTION("""COMPUTED_VALUE"""),"CON RECAUDO")</f>
        <v>CON RECAUDO</v>
      </c>
      <c r="M1827" s="65" t="str">
        <f>IFERROR(__xludf.DUMMYFUNCTION("""COMPUTED_VALUE"""),"EL ORO")</f>
        <v>EL ORO</v>
      </c>
      <c r="N1827" s="65" t="str">
        <f>IFERROR(__xludf.DUMMYFUNCTION("""COMPUTED_VALUE"""),"EL CAMBIO")</f>
        <v>EL CAMBIO</v>
      </c>
      <c r="O1827" s="65" t="str">
        <f>IFERROR(__xludf.DUMMYFUNCTION("""COMPUTED_VALUE"""),"RETIAR EN CS : EL CAMBIO_BARRIO SAN VICENTE , BARRIO SAN VICENTE Y 1ERA SUR FRENTE A LA IGLESIA EL CAMBIO")</f>
        <v>RETIAR EN CS : EL CAMBIO_BARRIO SAN VICENTE , BARRIO SAN VICENTE Y 1ERA SUR FRENTE A LA IGLESIA EL CAMBIO</v>
      </c>
      <c r="P1827" s="65"/>
      <c r="Q1827" s="65" t="str">
        <f>IFERROR(__xludf.DUMMYFUNCTION("""COMPUTED_VALUE"""),"SERVIENTREGA")</f>
        <v>SERVIENTREGA</v>
      </c>
      <c r="R1827" s="65">
        <f>IFERROR(__xludf.DUMMYFUNCTION("""COMPUTED_VALUE"""),22.0)</f>
        <v>22</v>
      </c>
      <c r="S1827" s="65">
        <f>IFERROR(__xludf.DUMMYFUNCTION("""COMPUTED_VALUE"""),9.1)</f>
        <v>9.1</v>
      </c>
      <c r="T1827" s="65">
        <f>IFERROR(__xludf.DUMMYFUNCTION("""COMPUTED_VALUE"""),7.7)</f>
        <v>7.7</v>
      </c>
      <c r="U1827" s="65">
        <f>IFERROR(__xludf.DUMMYFUNCTION("""COMPUTED_VALUE"""),0.0)</f>
        <v>0</v>
      </c>
      <c r="V1827" s="65">
        <f>IFERROR(__xludf.DUMMYFUNCTION("""COMPUTED_VALUE"""),0.0)</f>
        <v>0</v>
      </c>
      <c r="W1827" s="65">
        <f>IFERROR(__xludf.DUMMYFUNCTION("""COMPUTED_VALUE"""),0.0)</f>
        <v>0</v>
      </c>
      <c r="X1827" s="65">
        <f>IFERROR(__xludf.DUMMYFUNCTION("""COMPUTED_VALUE"""),2.6)</f>
        <v>2.6</v>
      </c>
      <c r="Y1827" s="65">
        <f>IFERROR(__xludf.DUMMYFUNCTION("""COMPUTED_VALUE"""),5.2)</f>
        <v>5.2</v>
      </c>
      <c r="Z1827" s="65">
        <f>IFERROR(__xludf.DUMMYFUNCTION("""COMPUTED_VALUE"""),121983.0)</f>
        <v>121983</v>
      </c>
      <c r="AA1827" s="65" t="str">
        <f>IFERROR(__xludf.DUMMYFUNCTION("""COMPUTED_VALUE"""),"PROV-CHLLCF")</f>
        <v>PROV-CHLLCF</v>
      </c>
      <c r="AB1827" s="65"/>
      <c r="AC1827" s="65" t="str">
        <f>IFERROR(__xludf.DUMMYFUNCTION("""COMPUTED_VALUE"""),"CUCHILLO PARA CHEF")</f>
        <v>CUCHILLO PARA CHEF</v>
      </c>
      <c r="AD1827" s="65"/>
      <c r="AE1827" s="65">
        <f>IFERROR(__xludf.DUMMYFUNCTION("""COMPUTED_VALUE"""),2.0)</f>
        <v>2</v>
      </c>
      <c r="AF1827" s="65"/>
      <c r="AG1827" s="65"/>
      <c r="AH1827" s="65"/>
      <c r="AI1827" s="65"/>
      <c r="AJ1827" s="65"/>
      <c r="AK1827" s="65"/>
      <c r="AL1827" s="65"/>
      <c r="AM1827" s="65"/>
      <c r="AN1827" s="65" t="str">
        <f>IFERROR(__xludf.DUMMYFUNCTION("""COMPUTED_VALUE"""),"22:02")</f>
        <v>22:02</v>
      </c>
      <c r="AO1827" s="65" t="str">
        <f>IFERROR(__xludf.DUMMYFUNCTION("""COMPUTED_VALUE"""),"20-01-2026")</f>
        <v>20-01-2026</v>
      </c>
      <c r="AP1827" s="65" t="str">
        <f>IFERROR(__xludf.DUMMYFUNCTION("""COMPUTED_VALUE"""),"REPORTADO ENTREGADO EN APP")</f>
        <v>REPORTADO ENTREGADO EN APP</v>
      </c>
      <c r="AQ1827" s="65" t="str">
        <f>IFERROR(__xludf.DUMMYFUNCTION("""COMPUTED_VALUE"""),"cristhian morocho")</f>
        <v>cristhian morocho</v>
      </c>
      <c r="AR1827" s="65"/>
      <c r="AS1827" s="65"/>
      <c r="AT1827" s="65"/>
      <c r="AU1827" s="65"/>
      <c r="AV1827" s="65"/>
      <c r="AW1827" s="65"/>
      <c r="AX1827" s="65"/>
      <c r="AY1827" s="65" t="str">
        <f>IFERROR(__xludf.DUMMYFUNCTION("""COMPUTED_VALUE"""),"14/01/2026")</f>
        <v>14/01/2026</v>
      </c>
      <c r="AZ1827" s="65"/>
      <c r="BA1827" s="65"/>
    </row>
    <row r="1828">
      <c r="A1828" s="65" t="str">
        <f>IFERROR(__xludf.DUMMYFUNCTION("""COMPUTED_VALUE"""),"27-03-2026")</f>
        <v>27-03-2026</v>
      </c>
      <c r="B1828" s="65">
        <f>IFERROR(__xludf.DUMMYFUNCTION("""COMPUTED_VALUE"""),4132012.0)</f>
        <v>4132012</v>
      </c>
      <c r="C1828" s="65" t="str">
        <f>IFERROR(__xludf.DUMMYFUNCTION("""COMPUTED_VALUE"""),"12:53")</f>
        <v>12:53</v>
      </c>
      <c r="D1828" s="65" t="str">
        <f>IFERROR(__xludf.DUMMYFUNCTION("""COMPUTED_VALUE"""),"13-01-2026")</f>
        <v>13-01-2026</v>
      </c>
      <c r="E1828" s="65" t="str">
        <f>IFERROR(__xludf.DUMMYFUNCTION("""COMPUTED_VALUE"""),"Silvia Beatriz Ormaza torres")</f>
        <v>Silvia Beatriz Ormaza torres</v>
      </c>
      <c r="F1828" s="65" t="str">
        <f>IFERROR(__xludf.DUMMYFUNCTION("""COMPUTED_VALUE"""),"993277219")</f>
        <v>993277219</v>
      </c>
      <c r="G1828" s="65"/>
      <c r="H1828" s="65"/>
      <c r="I1828" s="65"/>
      <c r="J1828" s="65" t="str">
        <f>IFERROR(__xludf.DUMMYFUNCTION("""COMPUTED_VALUE"""),"186973339")</f>
        <v>186973339</v>
      </c>
      <c r="K1828" s="65" t="str">
        <f>IFERROR(__xludf.DUMMYFUNCTION("""COMPUTED_VALUE"""),"ENTREGADO")</f>
        <v>ENTREGADO</v>
      </c>
      <c r="L1828" s="65" t="str">
        <f>IFERROR(__xludf.DUMMYFUNCTION("""COMPUTED_VALUE"""),"CON RECAUDO")</f>
        <v>CON RECAUDO</v>
      </c>
      <c r="M1828" s="65" t="str">
        <f>IFERROR(__xludf.DUMMYFUNCTION("""COMPUTED_VALUE"""),"LOS RIOS")</f>
        <v>LOS RIOS</v>
      </c>
      <c r="N1828" s="65" t="str">
        <f>IFERROR(__xludf.DUMMYFUNCTION("""COMPUTED_VALUE"""),"MATA DE CACAO")</f>
        <v>MATA DE CACAO</v>
      </c>
      <c r="O1828" s="65" t="str">
        <f>IFERROR(__xludf.DUMMYFUNCTION("""COMPUTED_VALUE"""),"retira en cs : MATA DE CACAO_MERCADO MUNICIPAL, AV LOS RIOS Y 24 DE MAYO")</f>
        <v>retira en cs : MATA DE CACAO_MERCADO MUNICIPAL, AV LOS RIOS Y 24 DE MAYO</v>
      </c>
      <c r="P1828" s="65"/>
      <c r="Q1828" s="65" t="str">
        <f>IFERROR(__xludf.DUMMYFUNCTION("""COMPUTED_VALUE"""),"SERVIENTREGA")</f>
        <v>SERVIENTREGA</v>
      </c>
      <c r="R1828" s="65">
        <f>IFERROR(__xludf.DUMMYFUNCTION("""COMPUTED_VALUE"""),22.0)</f>
        <v>22</v>
      </c>
      <c r="S1828" s="65">
        <f>IFERROR(__xludf.DUMMYFUNCTION("""COMPUTED_VALUE"""),9.1)</f>
        <v>9.1</v>
      </c>
      <c r="T1828" s="65">
        <f>IFERROR(__xludf.DUMMYFUNCTION("""COMPUTED_VALUE"""),7.7)</f>
        <v>7.7</v>
      </c>
      <c r="U1828" s="65">
        <f>IFERROR(__xludf.DUMMYFUNCTION("""COMPUTED_VALUE"""),0.0)</f>
        <v>0</v>
      </c>
      <c r="V1828" s="65">
        <f>IFERROR(__xludf.DUMMYFUNCTION("""COMPUTED_VALUE"""),0.0)</f>
        <v>0</v>
      </c>
      <c r="W1828" s="65">
        <f>IFERROR(__xludf.DUMMYFUNCTION("""COMPUTED_VALUE"""),0.0)</f>
        <v>0</v>
      </c>
      <c r="X1828" s="65">
        <f>IFERROR(__xludf.DUMMYFUNCTION("""COMPUTED_VALUE"""),2.6)</f>
        <v>2.6</v>
      </c>
      <c r="Y1828" s="65">
        <f>IFERROR(__xludf.DUMMYFUNCTION("""COMPUTED_VALUE"""),5.2)</f>
        <v>5.2</v>
      </c>
      <c r="Z1828" s="65">
        <f>IFERROR(__xludf.DUMMYFUNCTION("""COMPUTED_VALUE"""),121983.0)</f>
        <v>121983</v>
      </c>
      <c r="AA1828" s="65" t="str">
        <f>IFERROR(__xludf.DUMMYFUNCTION("""COMPUTED_VALUE"""),"PROV-CHLLCF")</f>
        <v>PROV-CHLLCF</v>
      </c>
      <c r="AB1828" s="65"/>
      <c r="AC1828" s="65" t="str">
        <f>IFERROR(__xludf.DUMMYFUNCTION("""COMPUTED_VALUE"""),"CUCHILLO PARA CHEF")</f>
        <v>CUCHILLO PARA CHEF</v>
      </c>
      <c r="AD1828" s="65"/>
      <c r="AE1828" s="65">
        <f>IFERROR(__xludf.DUMMYFUNCTION("""COMPUTED_VALUE"""),2.0)</f>
        <v>2</v>
      </c>
      <c r="AF1828" s="65"/>
      <c r="AG1828" s="65"/>
      <c r="AH1828" s="65"/>
      <c r="AI1828" s="65"/>
      <c r="AJ1828" s="65"/>
      <c r="AK1828" s="65"/>
      <c r="AL1828" s="65"/>
      <c r="AM1828" s="65"/>
      <c r="AN1828" s="65" t="str">
        <f>IFERROR(__xludf.DUMMYFUNCTION("""COMPUTED_VALUE"""),"18:36")</f>
        <v>18:36</v>
      </c>
      <c r="AO1828" s="65" t="str">
        <f>IFERROR(__xludf.DUMMYFUNCTION("""COMPUTED_VALUE"""),"28-01-2026")</f>
        <v>28-01-2026</v>
      </c>
      <c r="AP1828" s="65" t="str">
        <f>IFERROR(__xludf.DUMMYFUNCTION("""COMPUTED_VALUE"""),"ENTREGA DIGITALIZADA EN CENTRO LOGISTICO")</f>
        <v>ENTREGA DIGITALIZADA EN CENTRO LOGISTICO</v>
      </c>
      <c r="AQ1828" s="65" t="str">
        <f>IFERROR(__xludf.DUMMYFUNCTION("""COMPUTED_VALUE"""),"SILVIA ORMAZA")</f>
        <v>SILVIA ORMAZA</v>
      </c>
      <c r="AR1828" s="65"/>
      <c r="AS1828" s="65"/>
      <c r="AT1828" s="65"/>
      <c r="AU1828" s="65"/>
      <c r="AV1828" s="65"/>
      <c r="AW1828" s="65"/>
      <c r="AX1828" s="65"/>
      <c r="AY1828" s="65" t="str">
        <f>IFERROR(__xludf.DUMMYFUNCTION("""COMPUTED_VALUE"""),"14/01/2026")</f>
        <v>14/01/2026</v>
      </c>
      <c r="AZ1828" s="65"/>
      <c r="BA1828" s="65"/>
    </row>
    <row r="1829">
      <c r="A1829" s="65" t="str">
        <f>IFERROR(__xludf.DUMMYFUNCTION("""COMPUTED_VALUE"""),"27-03-2026")</f>
        <v>27-03-2026</v>
      </c>
      <c r="B1829" s="65">
        <f>IFERROR(__xludf.DUMMYFUNCTION("""COMPUTED_VALUE"""),4131890.0)</f>
        <v>4131890</v>
      </c>
      <c r="C1829" s="65" t="str">
        <f>IFERROR(__xludf.DUMMYFUNCTION("""COMPUTED_VALUE"""),"12:43")</f>
        <v>12:43</v>
      </c>
      <c r="D1829" s="65" t="str">
        <f>IFERROR(__xludf.DUMMYFUNCTION("""COMPUTED_VALUE"""),"13-01-2026")</f>
        <v>13-01-2026</v>
      </c>
      <c r="E1829" s="65" t="str">
        <f>IFERROR(__xludf.DUMMYFUNCTION("""COMPUTED_VALUE"""),"Paulette Mora")</f>
        <v>Paulette Mora</v>
      </c>
      <c r="F1829" s="65" t="str">
        <f>IFERROR(__xludf.DUMMYFUNCTION("""COMPUTED_VALUE"""),"978798097")</f>
        <v>978798097</v>
      </c>
      <c r="G1829" s="65" t="str">
        <f>IFERROR(__xludf.DUMMYFUNCTION("""COMPUTED_VALUE"""),"pcarmigniani@gmail.com")</f>
        <v>pcarmigniani@gmail.com</v>
      </c>
      <c r="H1829" s="65"/>
      <c r="I1829" s="65"/>
      <c r="J1829" s="65" t="str">
        <f>IFERROR(__xludf.DUMMYFUNCTION("""COMPUTED_VALUE"""),"D001224157")</f>
        <v>D001224157</v>
      </c>
      <c r="K1829" s="65" t="str">
        <f>IFERROR(__xludf.DUMMYFUNCTION("""COMPUTED_VALUE"""),"DEVOLUCION")</f>
        <v>DEVOLUCION</v>
      </c>
      <c r="L1829" s="65" t="str">
        <f>IFERROR(__xludf.DUMMYFUNCTION("""COMPUTED_VALUE"""),"CON RECAUDO")</f>
        <v>CON RECAUDO</v>
      </c>
      <c r="M1829" s="65" t="str">
        <f>IFERROR(__xludf.DUMMYFUNCTION("""COMPUTED_VALUE"""),"GUAYAS")</f>
        <v>GUAYAS</v>
      </c>
      <c r="N1829" s="65" t="str">
        <f>IFERROR(__xludf.DUMMYFUNCTION("""COMPUTED_VALUE"""),"DURAN")</f>
        <v>DURAN</v>
      </c>
      <c r="O1829" s="65" t="str">
        <f>IFERROR(__xludf.DUMMYFUNCTION("""COMPUTED_VALUE"""),"Cooperativa Luz Bolivariana mz30 solar 6 - Ref. Entrando por el taller Miño de pared verde con blanco -")</f>
        <v>Cooperativa Luz Bolivariana mz30 solar 6 - Ref. Entrando por el taller Miño de pared verde con blanco -</v>
      </c>
      <c r="P1829" s="65"/>
      <c r="Q1829" s="65" t="str">
        <f>IFERROR(__xludf.DUMMYFUNCTION("""COMPUTED_VALUE"""),"GINTRACOM")</f>
        <v>GINTRACOM</v>
      </c>
      <c r="R1829" s="65">
        <f>IFERROR(__xludf.DUMMYFUNCTION("""COMPUTED_VALUE"""),25.0)</f>
        <v>25</v>
      </c>
      <c r="S1829" s="65"/>
      <c r="T1829" s="65">
        <f>IFERROR(__xludf.DUMMYFUNCTION("""COMPUTED_VALUE"""),5.96)</f>
        <v>5.96</v>
      </c>
      <c r="U1829" s="65">
        <f>IFERROR(__xludf.DUMMYFUNCTION("""COMPUTED_VALUE"""),0.0)</f>
        <v>0</v>
      </c>
      <c r="V1829" s="65">
        <f>IFERROR(__xludf.DUMMYFUNCTION("""COMPUTED_VALUE"""),0.0)</f>
        <v>0</v>
      </c>
      <c r="W1829" s="65">
        <f>IFERROR(__xludf.DUMMYFUNCTION("""COMPUTED_VALUE"""),0.0)</f>
        <v>0</v>
      </c>
      <c r="X1829" s="65">
        <f>IFERROR(__xludf.DUMMYFUNCTION("""COMPUTED_VALUE"""),2.35)</f>
        <v>2.35</v>
      </c>
      <c r="Y1829" s="65">
        <f>IFERROR(__xludf.DUMMYFUNCTION("""COMPUTED_VALUE"""),4.7)</f>
        <v>4.7</v>
      </c>
      <c r="Z1829" s="65">
        <f>IFERROR(__xludf.DUMMYFUNCTION("""COMPUTED_VALUE"""),116679.0)</f>
        <v>116679</v>
      </c>
      <c r="AA1829" s="65" t="str">
        <f>IFERROR(__xludf.DUMMYFUNCTION("""COMPUTED_VALUE"""),"AMC-2738")</f>
        <v>AMC-2738</v>
      </c>
      <c r="AB1829" s="65"/>
      <c r="AC1829" s="65" t="str">
        <f>IFERROR(__xludf.DUMMYFUNCTION("""COMPUTED_VALUE"""),"ESPONJA ANTILLUVIA DE PARABRISAS")</f>
        <v>ESPONJA ANTILLUVIA DE PARABRISAS</v>
      </c>
      <c r="AD1829" s="65"/>
      <c r="AE1829" s="65">
        <f>IFERROR(__xludf.DUMMYFUNCTION("""COMPUTED_VALUE"""),2.0)</f>
        <v>2</v>
      </c>
      <c r="AF1829" s="65" t="str">
        <f>IFERROR(__xludf.DUMMYFUNCTION("""COMPUTED_VALUE"""),"DESTINATARIO NO CONTESTA LLAMADAS NI WHATSAPP")</f>
        <v>DESTINATARIO NO CONTESTA LLAMADAS NI WHATSAPP</v>
      </c>
      <c r="AG1829" s="65" t="str">
        <f>IFERROR(__xludf.DUMMYFUNCTION("""COMPUTED_VALUE"""),"SI")</f>
        <v>SI</v>
      </c>
      <c r="AH1829" s="65" t="str">
        <f>IFERROR(__xludf.DUMMYFUNCTION("""COMPUTED_VALUE"""),"09:00")</f>
        <v>09:00</v>
      </c>
      <c r="AI1829" s="65" t="str">
        <f>IFERROR(__xludf.DUMMYFUNCTION("""COMPUTED_VALUE"""),"21-01-2026")</f>
        <v>21-01-2026</v>
      </c>
      <c r="AJ1829" s="65" t="str">
        <f>IFERROR(__xludf.DUMMYFUNCTION("""COMPUTED_VALUE"""),"DEVOLVER AL REMITENTE")</f>
        <v>DEVOLVER AL REMITENTE</v>
      </c>
      <c r="AK1829" s="65" t="str">
        <f>IFERROR(__xludf.DUMMYFUNCTION("""COMPUTED_VALUE"""),"17:02")</f>
        <v>17:02</v>
      </c>
      <c r="AL1829" s="65" t="str">
        <f>IFERROR(__xludf.DUMMYFUNCTION("""COMPUTED_VALUE"""),"21-01-2026")</f>
        <v>21-01-2026</v>
      </c>
      <c r="AM1829" s="65"/>
      <c r="AN1829" s="65" t="str">
        <f>IFERROR(__xludf.DUMMYFUNCTION("""COMPUTED_VALUE"""),"03:07")</f>
        <v>03:07</v>
      </c>
      <c r="AO1829" s="65" t="str">
        <f>IFERROR(__xludf.DUMMYFUNCTION("""COMPUTED_VALUE"""),"22-01-2026")</f>
        <v>22-01-2026</v>
      </c>
      <c r="AP1829" s="65" t="str">
        <f>IFERROR(__xludf.DUMMYFUNCTION("""COMPUTED_VALUE"""),"SOLUCION APROBADA")</f>
        <v>SOLUCION APROBADA</v>
      </c>
      <c r="AQ1829" s="65" t="str">
        <f>IFERROR(__xludf.DUMMYFUNCTION("""COMPUTED_VALUE"""),"SOLUCION APROBADA")</f>
        <v>SOLUCION APROBADA</v>
      </c>
      <c r="AR1829" s="65"/>
      <c r="AS1829" s="65"/>
      <c r="AT1829" s="65" t="str">
        <f>IFERROR(__xludf.DUMMYFUNCTION("""COMPUTED_VALUE"""),"SHOPIFY")</f>
        <v>SHOPIFY</v>
      </c>
      <c r="AU1829" s="65" t="str">
        <f>IFERROR(__xludf.DUMMYFUNCTION("""COMPUTED_VALUE"""),"IMPORTEX EC")</f>
        <v>IMPORTEX EC</v>
      </c>
      <c r="AV1829" s="65" t="str">
        <f>IFERROR(__xludf.DUMMYFUNCTION("""COMPUTED_VALUE"""),"6411531485228")</f>
        <v>6411531485228</v>
      </c>
      <c r="AW1829" s="65">
        <f>IFERROR(__xludf.DUMMYFUNCTION("""COMPUTED_VALUE"""),5122.0)</f>
        <v>5122</v>
      </c>
      <c r="AX1829" s="65"/>
      <c r="AY1829" s="65" t="str">
        <f>IFERROR(__xludf.DUMMYFUNCTION("""COMPUTED_VALUE"""),"14/01/2026")</f>
        <v>14/01/2026</v>
      </c>
      <c r="AZ1829" s="65"/>
      <c r="BA1829" s="65"/>
    </row>
    <row r="1830">
      <c r="A1830" s="65" t="str">
        <f>IFERROR(__xludf.DUMMYFUNCTION("""COMPUTED_VALUE"""),"27-03-2026")</f>
        <v>27-03-2026</v>
      </c>
      <c r="B1830" s="65">
        <f>IFERROR(__xludf.DUMMYFUNCTION("""COMPUTED_VALUE"""),4131422.0)</f>
        <v>4131422</v>
      </c>
      <c r="C1830" s="65" t="str">
        <f>IFERROR(__xludf.DUMMYFUNCTION("""COMPUTED_VALUE"""),"12:06")</f>
        <v>12:06</v>
      </c>
      <c r="D1830" s="65" t="str">
        <f>IFERROR(__xludf.DUMMYFUNCTION("""COMPUTED_VALUE"""),"13-01-2026")</f>
        <v>13-01-2026</v>
      </c>
      <c r="E1830" s="65" t="str">
        <f>IFERROR(__xludf.DUMMYFUNCTION("""COMPUTED_VALUE"""),"Piedad Virginia Correa Jaramillo")</f>
        <v>Piedad Virginia Correa Jaramillo</v>
      </c>
      <c r="F1830" s="65" t="str">
        <f>IFERROR(__xludf.DUMMYFUNCTION("""COMPUTED_VALUE"""),"995829280")</f>
        <v>995829280</v>
      </c>
      <c r="G1830" s="65"/>
      <c r="H1830" s="65"/>
      <c r="I1830" s="65"/>
      <c r="J1830" s="65"/>
      <c r="K1830" s="65" t="str">
        <f>IFERROR(__xludf.DUMMYFUNCTION("""COMPUTED_VALUE"""),"PENDIENTE CONFIRMACION")</f>
        <v>PENDIENTE CONFIRMACION</v>
      </c>
      <c r="L1830" s="65" t="str">
        <f>IFERROR(__xludf.DUMMYFUNCTION("""COMPUTED_VALUE"""),"CON RECAUDO")</f>
        <v>CON RECAUDO</v>
      </c>
      <c r="M1830" s="65" t="str">
        <f>IFERROR(__xludf.DUMMYFUNCTION("""COMPUTED_VALUE"""),"ZAMORA CHINCHIPE")</f>
        <v>ZAMORA CHINCHIPE</v>
      </c>
      <c r="N1830" s="65" t="str">
        <f>IFERROR(__xludf.DUMMYFUNCTION("""COMPUTED_VALUE"""),"PALANDA")</f>
        <v>PALANDA</v>
      </c>
      <c r="O1830" s="65" t="str">
        <f>IFERROR(__xludf.DUMMYFUNCTION("""COMPUTED_VALUE"""),"RETIRA EN CS : PALANDA_13 DE ABRIL , 13 DE ABRIL S/N Y ALONSO DE MERCADILLO DIAGONAL A BAN ECUADOR")</f>
        <v>RETIRA EN CS : PALANDA_13 DE ABRIL , 13 DE ABRIL S/N Y ALONSO DE MERCADILLO DIAGONAL A BAN ECUADOR</v>
      </c>
      <c r="P1830" s="65"/>
      <c r="Q1830" s="65" t="str">
        <f>IFERROR(__xludf.DUMMYFUNCTION("""COMPUTED_VALUE"""),"SERVIENTREGA")</f>
        <v>SERVIENTREGA</v>
      </c>
      <c r="R1830" s="65">
        <f>IFERROR(__xludf.DUMMYFUNCTION("""COMPUTED_VALUE"""),22.0)</f>
        <v>22</v>
      </c>
      <c r="S1830" s="65"/>
      <c r="T1830" s="65">
        <f>IFERROR(__xludf.DUMMYFUNCTION("""COMPUTED_VALUE"""),7.7)</f>
        <v>7.7</v>
      </c>
      <c r="U1830" s="65">
        <f>IFERROR(__xludf.DUMMYFUNCTION("""COMPUTED_VALUE"""),0.0)</f>
        <v>0</v>
      </c>
      <c r="V1830" s="65">
        <f>IFERROR(__xludf.DUMMYFUNCTION("""COMPUTED_VALUE"""),0.0)</f>
        <v>0</v>
      </c>
      <c r="W1830" s="65">
        <f>IFERROR(__xludf.DUMMYFUNCTION("""COMPUTED_VALUE"""),0.0)</f>
        <v>0</v>
      </c>
      <c r="X1830" s="65">
        <f>IFERROR(__xludf.DUMMYFUNCTION("""COMPUTED_VALUE"""),2.6)</f>
        <v>2.6</v>
      </c>
      <c r="Y1830" s="65">
        <f>IFERROR(__xludf.DUMMYFUNCTION("""COMPUTED_VALUE"""),5.2)</f>
        <v>5.2</v>
      </c>
      <c r="Z1830" s="65">
        <f>IFERROR(__xludf.DUMMYFUNCTION("""COMPUTED_VALUE"""),121983.0)</f>
        <v>121983</v>
      </c>
      <c r="AA1830" s="65" t="str">
        <f>IFERROR(__xludf.DUMMYFUNCTION("""COMPUTED_VALUE"""),"PROV-CHLLCF")</f>
        <v>PROV-CHLLCF</v>
      </c>
      <c r="AB1830" s="65"/>
      <c r="AC1830" s="65" t="str">
        <f>IFERROR(__xludf.DUMMYFUNCTION("""COMPUTED_VALUE"""),"CUCHILLO PARA CHEF")</f>
        <v>CUCHILLO PARA CHEF</v>
      </c>
      <c r="AD1830" s="65"/>
      <c r="AE1830" s="65">
        <f>IFERROR(__xludf.DUMMYFUNCTION("""COMPUTED_VALUE"""),2.0)</f>
        <v>2</v>
      </c>
      <c r="AF1830" s="65"/>
      <c r="AG1830" s="65"/>
      <c r="AH1830" s="65"/>
      <c r="AI1830" s="65"/>
      <c r="AJ1830" s="65"/>
      <c r="AK1830" s="65"/>
      <c r="AL1830" s="65"/>
      <c r="AM1830" s="65"/>
      <c r="AN1830" s="65"/>
      <c r="AO1830" s="65"/>
      <c r="AP1830" s="65"/>
      <c r="AQ1830" s="65"/>
      <c r="AR1830" s="65"/>
      <c r="AS1830" s="65"/>
      <c r="AT1830" s="65"/>
      <c r="AU1830" s="65"/>
      <c r="AV1830" s="65"/>
      <c r="AW1830" s="65"/>
      <c r="AX1830" s="65"/>
      <c r="AY1830" s="65"/>
      <c r="AZ1830" s="65"/>
      <c r="BA1830" s="65"/>
    </row>
    <row r="1831">
      <c r="A1831" s="65" t="str">
        <f>IFERROR(__xludf.DUMMYFUNCTION("""COMPUTED_VALUE"""),"27-03-2026")</f>
        <v>27-03-2026</v>
      </c>
      <c r="B1831" s="65">
        <f>IFERROR(__xludf.DUMMYFUNCTION("""COMPUTED_VALUE"""),4131401.0)</f>
        <v>4131401</v>
      </c>
      <c r="C1831" s="65" t="str">
        <f>IFERROR(__xludf.DUMMYFUNCTION("""COMPUTED_VALUE"""),"12:05")</f>
        <v>12:05</v>
      </c>
      <c r="D1831" s="65" t="str">
        <f>IFERROR(__xludf.DUMMYFUNCTION("""COMPUTED_VALUE"""),"13-01-2026")</f>
        <v>13-01-2026</v>
      </c>
      <c r="E1831" s="65" t="str">
        <f>IFERROR(__xludf.DUMMYFUNCTION("""COMPUTED_VALUE"""),"Juan carlos Barzallo chavez")</f>
        <v>Juan carlos Barzallo chavez</v>
      </c>
      <c r="F1831" s="65" t="str">
        <f>IFERROR(__xludf.DUMMYFUNCTION("""COMPUTED_VALUE"""),"980801537")</f>
        <v>980801537</v>
      </c>
      <c r="G1831" s="65" t="str">
        <f>IFERROR(__xludf.DUMMYFUNCTION("""COMPUTED_VALUE"""),"barzallochavezjuancarlos@gmail.com")</f>
        <v>barzallochavezjuancarlos@gmail.com</v>
      </c>
      <c r="H1831" s="65"/>
      <c r="I1831" s="65"/>
      <c r="J1831" s="65" t="str">
        <f>IFERROR(__xludf.DUMMYFUNCTION("""COMPUTED_VALUE"""),"D001230385")</f>
        <v>D001230385</v>
      </c>
      <c r="K1831" s="65" t="str">
        <f>IFERROR(__xludf.DUMMYFUNCTION("""COMPUTED_VALUE"""),"ENTREGADO")</f>
        <v>ENTREGADO</v>
      </c>
      <c r="L1831" s="65" t="str">
        <f>IFERROR(__xludf.DUMMYFUNCTION("""COMPUTED_VALUE"""),"CON RECAUDO")</f>
        <v>CON RECAUDO</v>
      </c>
      <c r="M1831" s="65" t="str">
        <f>IFERROR(__xludf.DUMMYFUNCTION("""COMPUTED_VALUE"""),"GUAYAS")</f>
        <v>GUAYAS</v>
      </c>
      <c r="N1831" s="65" t="str">
        <f>IFERROR(__xludf.DUMMYFUNCTION("""COMPUTED_VALUE"""),"NARANJAL")</f>
        <v>NARANJAL</v>
      </c>
      <c r="O1831" s="65" t="str">
        <f>IFERROR(__xludf.DUMMYFUNCTION("""COMPUTED_VALUE"""),"Avenida eugenio espejo y bolibar  cerca  del estadio José Benito Ordóñez - REF: Cerca de la tercena tele jardín")</f>
        <v>Avenida eugenio espejo y bolibar  cerca  del estadio José Benito Ordóñez - REF: Cerca de la tercena tele jardín</v>
      </c>
      <c r="P1831" s="65"/>
      <c r="Q1831" s="65" t="str">
        <f>IFERROR(__xludf.DUMMYFUNCTION("""COMPUTED_VALUE"""),"GINTRACOM")</f>
        <v>GINTRACOM</v>
      </c>
      <c r="R1831" s="65">
        <f>IFERROR(__xludf.DUMMYFUNCTION("""COMPUTED_VALUE"""),32.0)</f>
        <v>32</v>
      </c>
      <c r="S1831" s="65">
        <f>IFERROR(__xludf.DUMMYFUNCTION("""COMPUTED_VALUE"""),15.94)</f>
        <v>15.94</v>
      </c>
      <c r="T1831" s="65">
        <f>IFERROR(__xludf.DUMMYFUNCTION("""COMPUTED_VALUE"""),5.66)</f>
        <v>5.66</v>
      </c>
      <c r="U1831" s="65">
        <f>IFERROR(__xludf.DUMMYFUNCTION("""COMPUTED_VALUE"""),0.0)</f>
        <v>0</v>
      </c>
      <c r="V1831" s="65">
        <f>IFERROR(__xludf.DUMMYFUNCTION("""COMPUTED_VALUE"""),0.0)</f>
        <v>0</v>
      </c>
      <c r="W1831" s="65">
        <f>IFERROR(__xludf.DUMMYFUNCTION("""COMPUTED_VALUE"""),0.0)</f>
        <v>0</v>
      </c>
      <c r="X1831" s="65">
        <f>IFERROR(__xludf.DUMMYFUNCTION("""COMPUTED_VALUE"""),2.6)</f>
        <v>2.6</v>
      </c>
      <c r="Y1831" s="65">
        <f>IFERROR(__xludf.DUMMYFUNCTION("""COMPUTED_VALUE"""),10.4)</f>
        <v>10.4</v>
      </c>
      <c r="Z1831" s="65">
        <f>IFERROR(__xludf.DUMMYFUNCTION("""COMPUTED_VALUE"""),121983.0)</f>
        <v>121983</v>
      </c>
      <c r="AA1831" s="65" t="str">
        <f>IFERROR(__xludf.DUMMYFUNCTION("""COMPUTED_VALUE"""),"PROV-CHLLCF")</f>
        <v>PROV-CHLLCF</v>
      </c>
      <c r="AB1831" s="65"/>
      <c r="AC1831" s="65" t="str">
        <f>IFERROR(__xludf.DUMMYFUNCTION("""COMPUTED_VALUE"""),"CUCHILLO PARA CHEF")</f>
        <v>CUCHILLO PARA CHEF</v>
      </c>
      <c r="AD1831" s="65"/>
      <c r="AE1831" s="65">
        <f>IFERROR(__xludf.DUMMYFUNCTION("""COMPUTED_VALUE"""),4.0)</f>
        <v>4</v>
      </c>
      <c r="AF1831" s="65"/>
      <c r="AG1831" s="65"/>
      <c r="AH1831" s="65"/>
      <c r="AI1831" s="65"/>
      <c r="AJ1831" s="65"/>
      <c r="AK1831" s="65"/>
      <c r="AL1831" s="65"/>
      <c r="AM1831" s="65"/>
      <c r="AN1831" s="65" t="str">
        <f>IFERROR(__xludf.DUMMYFUNCTION("""COMPUTED_VALUE"""),"11:51")</f>
        <v>11:51</v>
      </c>
      <c r="AO1831" s="65" t="str">
        <f>IFERROR(__xludf.DUMMYFUNCTION("""COMPUTED_VALUE"""),"19-01-2026")</f>
        <v>19-01-2026</v>
      </c>
      <c r="AP1831" s="65" t="str">
        <f>IFERROR(__xludf.DUMMYFUNCTION("""COMPUTED_VALUE"""),"ENTREGADA GINTRACOM")</f>
        <v>ENTREGADA GINTRACOM</v>
      </c>
      <c r="AQ1831" s="65" t="str">
        <f>IFERROR(__xludf.DUMMYFUNCTION("""COMPUTED_VALUE"""),"ENTREGADA GINTRACOM")</f>
        <v>ENTREGADA GINTRACOM</v>
      </c>
      <c r="AR1831" s="65"/>
      <c r="AS1831" s="65"/>
      <c r="AT1831" s="65" t="str">
        <f>IFERROR(__xludf.DUMMYFUNCTION("""COMPUTED_VALUE"""),"SHOPIFY")</f>
        <v>SHOPIFY</v>
      </c>
      <c r="AU1831" s="65" t="str">
        <f>IFERROR(__xludf.DUMMYFUNCTION("""COMPUTED_VALUE"""),"IMPORTEX EC")</f>
        <v>IMPORTEX EC</v>
      </c>
      <c r="AV1831" s="65" t="str">
        <f>IFERROR(__xludf.DUMMYFUNCTION("""COMPUTED_VALUE"""),"6411430854700")</f>
        <v>6411430854700</v>
      </c>
      <c r="AW1831" s="65">
        <f>IFERROR(__xludf.DUMMYFUNCTION("""COMPUTED_VALUE"""),5121.0)</f>
        <v>5121</v>
      </c>
      <c r="AX1831" s="65"/>
      <c r="AY1831" s="65" t="str">
        <f>IFERROR(__xludf.DUMMYFUNCTION("""COMPUTED_VALUE"""),"16/01/2026")</f>
        <v>16/01/2026</v>
      </c>
      <c r="AZ1831" s="65"/>
      <c r="BA1831" s="65"/>
    </row>
    <row r="1832">
      <c r="A1832" s="65" t="str">
        <f>IFERROR(__xludf.DUMMYFUNCTION("""COMPUTED_VALUE"""),"27-03-2026")</f>
        <v>27-03-2026</v>
      </c>
      <c r="B1832" s="65">
        <f>IFERROR(__xludf.DUMMYFUNCTION("""COMPUTED_VALUE"""),4131361.0)</f>
        <v>4131361</v>
      </c>
      <c r="C1832" s="65" t="str">
        <f>IFERROR(__xludf.DUMMYFUNCTION("""COMPUTED_VALUE"""),"12:00")</f>
        <v>12:00</v>
      </c>
      <c r="D1832" s="65" t="str">
        <f>IFERROR(__xludf.DUMMYFUNCTION("""COMPUTED_VALUE"""),"13-01-2026")</f>
        <v>13-01-2026</v>
      </c>
      <c r="E1832" s="65" t="str">
        <f>IFERROR(__xludf.DUMMYFUNCTION("""COMPUTED_VALUE"""),"Piedad Zhuma")</f>
        <v>Piedad Zhuma</v>
      </c>
      <c r="F1832" s="65" t="str">
        <f>IFERROR(__xludf.DUMMYFUNCTION("""COMPUTED_VALUE"""),"988354797")</f>
        <v>988354797</v>
      </c>
      <c r="G1832" s="65" t="str">
        <f>IFERROR(__xludf.DUMMYFUNCTION("""COMPUTED_VALUE"""),"pzhuma@hotmail.com")</f>
        <v>pzhuma@hotmail.com</v>
      </c>
      <c r="H1832" s="65"/>
      <c r="I1832" s="65"/>
      <c r="J1832" s="65"/>
      <c r="K1832" s="65" t="str">
        <f>IFERROR(__xludf.DUMMYFUNCTION("""COMPUTED_VALUE"""),"PENDIENTE CONFIRMACION")</f>
        <v>PENDIENTE CONFIRMACION</v>
      </c>
      <c r="L1832" s="65" t="str">
        <f>IFERROR(__xludf.DUMMYFUNCTION("""COMPUTED_VALUE"""),"CON RECAUDO")</f>
        <v>CON RECAUDO</v>
      </c>
      <c r="M1832" s="65" t="str">
        <f>IFERROR(__xludf.DUMMYFUNCTION("""COMPUTED_VALUE"""),"EL ORO")</f>
        <v>EL ORO</v>
      </c>
      <c r="N1832" s="65" t="str">
        <f>IFERROR(__xludf.DUMMYFUNCTION("""COMPUTED_VALUE"""),"LA AVANZADA")</f>
        <v>LA AVANZADA</v>
      </c>
      <c r="O1832" s="65" t="str">
        <f>IFERROR(__xludf.DUMMYFUNCTION("""COMPUTED_VALUE"""),"José María Ollague Via a Piñas frente a la Planta Es una sola vía -")</f>
        <v>José María Ollague Via a Piñas frente a la Planta Es una sola vía -</v>
      </c>
      <c r="P1832" s="65"/>
      <c r="Q1832" s="65" t="str">
        <f>IFERROR(__xludf.DUMMYFUNCTION("""COMPUTED_VALUE"""),"GINTRACOM")</f>
        <v>GINTRACOM</v>
      </c>
      <c r="R1832" s="65">
        <f>IFERROR(__xludf.DUMMYFUNCTION("""COMPUTED_VALUE"""),22.0)</f>
        <v>22</v>
      </c>
      <c r="S1832" s="65"/>
      <c r="T1832" s="65">
        <f>IFERROR(__xludf.DUMMYFUNCTION("""COMPUTED_VALUE"""),6.41)</f>
        <v>6.41</v>
      </c>
      <c r="U1832" s="65">
        <f>IFERROR(__xludf.DUMMYFUNCTION("""COMPUTED_VALUE"""),0.0)</f>
        <v>0</v>
      </c>
      <c r="V1832" s="65">
        <f>IFERROR(__xludf.DUMMYFUNCTION("""COMPUTED_VALUE"""),0.0)</f>
        <v>0</v>
      </c>
      <c r="W1832" s="65">
        <f>IFERROR(__xludf.DUMMYFUNCTION("""COMPUTED_VALUE"""),0.0)</f>
        <v>0</v>
      </c>
      <c r="X1832" s="65">
        <f>IFERROR(__xludf.DUMMYFUNCTION("""COMPUTED_VALUE"""),2.6)</f>
        <v>2.6</v>
      </c>
      <c r="Y1832" s="65">
        <f>IFERROR(__xludf.DUMMYFUNCTION("""COMPUTED_VALUE"""),5.2)</f>
        <v>5.2</v>
      </c>
      <c r="Z1832" s="65">
        <f>IFERROR(__xludf.DUMMYFUNCTION("""COMPUTED_VALUE"""),121983.0)</f>
        <v>121983</v>
      </c>
      <c r="AA1832" s="65" t="str">
        <f>IFERROR(__xludf.DUMMYFUNCTION("""COMPUTED_VALUE"""),"PROV-CHLLCF")</f>
        <v>PROV-CHLLCF</v>
      </c>
      <c r="AB1832" s="65"/>
      <c r="AC1832" s="65" t="str">
        <f>IFERROR(__xludf.DUMMYFUNCTION("""COMPUTED_VALUE"""),"CUCHILLO PARA CHEF")</f>
        <v>CUCHILLO PARA CHEF</v>
      </c>
      <c r="AD1832" s="65"/>
      <c r="AE1832" s="65">
        <f>IFERROR(__xludf.DUMMYFUNCTION("""COMPUTED_VALUE"""),2.0)</f>
        <v>2</v>
      </c>
      <c r="AF1832" s="65"/>
      <c r="AG1832" s="65"/>
      <c r="AH1832" s="65"/>
      <c r="AI1832" s="65"/>
      <c r="AJ1832" s="65"/>
      <c r="AK1832" s="65"/>
      <c r="AL1832" s="65"/>
      <c r="AM1832" s="65"/>
      <c r="AN1832" s="65"/>
      <c r="AO1832" s="65"/>
      <c r="AP1832" s="65"/>
      <c r="AQ1832" s="65"/>
      <c r="AR1832" s="65"/>
      <c r="AS1832" s="65"/>
      <c r="AT1832" s="65" t="str">
        <f>IFERROR(__xludf.DUMMYFUNCTION("""COMPUTED_VALUE"""),"SHOPIFY")</f>
        <v>SHOPIFY</v>
      </c>
      <c r="AU1832" s="65" t="str">
        <f>IFERROR(__xludf.DUMMYFUNCTION("""COMPUTED_VALUE"""),"IMPORTEX EC")</f>
        <v>IMPORTEX EC</v>
      </c>
      <c r="AV1832" s="65" t="str">
        <f>IFERROR(__xludf.DUMMYFUNCTION("""COMPUTED_VALUE"""),"6411424202796")</f>
        <v>6411424202796</v>
      </c>
      <c r="AW1832" s="65">
        <f>IFERROR(__xludf.DUMMYFUNCTION("""COMPUTED_VALUE"""),5120.0)</f>
        <v>5120</v>
      </c>
      <c r="AX1832" s="65"/>
      <c r="AY1832" s="65"/>
      <c r="AZ1832" s="65"/>
      <c r="BA1832" s="65"/>
    </row>
    <row r="1833">
      <c r="A1833" s="65" t="str">
        <f>IFERROR(__xludf.DUMMYFUNCTION("""COMPUTED_VALUE"""),"27-03-2026")</f>
        <v>27-03-2026</v>
      </c>
      <c r="B1833" s="65">
        <f>IFERROR(__xludf.DUMMYFUNCTION("""COMPUTED_VALUE"""),4131335.0)</f>
        <v>4131335</v>
      </c>
      <c r="C1833" s="65" t="str">
        <f>IFERROR(__xludf.DUMMYFUNCTION("""COMPUTED_VALUE"""),"11:57")</f>
        <v>11:57</v>
      </c>
      <c r="D1833" s="65" t="str">
        <f>IFERROR(__xludf.DUMMYFUNCTION("""COMPUTED_VALUE"""),"13-01-2026")</f>
        <v>13-01-2026</v>
      </c>
      <c r="E1833" s="65" t="str">
        <f>IFERROR(__xludf.DUMMYFUNCTION("""COMPUTED_VALUE"""),"Luisa Paucar")</f>
        <v>Luisa Paucar</v>
      </c>
      <c r="F1833" s="65" t="str">
        <f>IFERROR(__xludf.DUMMYFUNCTION("""COMPUTED_VALUE"""),"959446177")</f>
        <v>959446177</v>
      </c>
      <c r="G1833" s="65" t="str">
        <f>IFERROR(__xludf.DUMMYFUNCTION("""COMPUTED_VALUE"""),"ypaucar620@gmail.com")</f>
        <v>ypaucar620@gmail.com</v>
      </c>
      <c r="H1833" s="65"/>
      <c r="I1833" s="65"/>
      <c r="J1833" s="65" t="str">
        <f>IFERROR(__xludf.DUMMYFUNCTION("""COMPUTED_VALUE"""),"186983831")</f>
        <v>186983831</v>
      </c>
      <c r="K1833" s="65" t="str">
        <f>IFERROR(__xludf.DUMMYFUNCTION("""COMPUTED_VALUE"""),"DEVOLUCION")</f>
        <v>DEVOLUCION</v>
      </c>
      <c r="L1833" s="65" t="str">
        <f>IFERROR(__xludf.DUMMYFUNCTION("""COMPUTED_VALUE"""),"CON RECAUDO")</f>
        <v>CON RECAUDO</v>
      </c>
      <c r="M1833" s="65" t="str">
        <f>IFERROR(__xludf.DUMMYFUNCTION("""COMPUTED_VALUE"""),"PICHINCHA")</f>
        <v>PICHINCHA</v>
      </c>
      <c r="N1833" s="65" t="str">
        <f>IFERROR(__xludf.DUMMYFUNCTION("""COMPUTED_VALUE"""),"SAN MIGUEL DE LOS BANCOS")</f>
        <v>SAN MIGUEL DE LOS BANCOS</v>
      </c>
      <c r="O1833" s="65" t="str">
        <f>IFERROR(__xludf.DUMMYFUNCTION("""COMPUTED_VALUE"""),"Av 17 de Julio y Jaime roldos REF: JUNTO AL TIA")</f>
        <v>Av 17 de Julio y Jaime roldos REF: JUNTO AL TIA</v>
      </c>
      <c r="P1833" s="65"/>
      <c r="Q1833" s="65" t="str">
        <f>IFERROR(__xludf.DUMMYFUNCTION("""COMPUTED_VALUE"""),"SERVIENTREGA")</f>
        <v>SERVIENTREGA</v>
      </c>
      <c r="R1833" s="65">
        <f>IFERROR(__xludf.DUMMYFUNCTION("""COMPUTED_VALUE"""),22.0)</f>
        <v>22</v>
      </c>
      <c r="S1833" s="65"/>
      <c r="T1833" s="65">
        <f>IFERROR(__xludf.DUMMYFUNCTION("""COMPUTED_VALUE"""),7.7)</f>
        <v>7.7</v>
      </c>
      <c r="U1833" s="65">
        <f>IFERROR(__xludf.DUMMYFUNCTION("""COMPUTED_VALUE"""),0.0)</f>
        <v>0</v>
      </c>
      <c r="V1833" s="65">
        <f>IFERROR(__xludf.DUMMYFUNCTION("""COMPUTED_VALUE"""),0.0)</f>
        <v>0</v>
      </c>
      <c r="W1833" s="65">
        <f>IFERROR(__xludf.DUMMYFUNCTION("""COMPUTED_VALUE"""),0.0)</f>
        <v>0</v>
      </c>
      <c r="X1833" s="65">
        <f>IFERROR(__xludf.DUMMYFUNCTION("""COMPUTED_VALUE"""),2.6)</f>
        <v>2.6</v>
      </c>
      <c r="Y1833" s="65">
        <f>IFERROR(__xludf.DUMMYFUNCTION("""COMPUTED_VALUE"""),5.2)</f>
        <v>5.2</v>
      </c>
      <c r="Z1833" s="65">
        <f>IFERROR(__xludf.DUMMYFUNCTION("""COMPUTED_VALUE"""),121983.0)</f>
        <v>121983</v>
      </c>
      <c r="AA1833" s="65" t="str">
        <f>IFERROR(__xludf.DUMMYFUNCTION("""COMPUTED_VALUE"""),"PROV-CHLLCF")</f>
        <v>PROV-CHLLCF</v>
      </c>
      <c r="AB1833" s="65"/>
      <c r="AC1833" s="65" t="str">
        <f>IFERROR(__xludf.DUMMYFUNCTION("""COMPUTED_VALUE"""),"CUCHILLO PARA CHEF")</f>
        <v>CUCHILLO PARA CHEF</v>
      </c>
      <c r="AD1833" s="65"/>
      <c r="AE1833" s="65">
        <f>IFERROR(__xludf.DUMMYFUNCTION("""COMPUTED_VALUE"""),2.0)</f>
        <v>2</v>
      </c>
      <c r="AF1833" s="65" t="str">
        <f>IFERROR(__xludf.DUMMYFUNCTION("""COMPUTED_VALUE"""),"DEVOLUCION AL REMITENTE")</f>
        <v>DEVOLUCION AL REMITENTE</v>
      </c>
      <c r="AG1833" s="65" t="str">
        <f>IFERROR(__xludf.DUMMYFUNCTION("""COMPUTED_VALUE"""),"NO")</f>
        <v>NO</v>
      </c>
      <c r="AH1833" s="65" t="str">
        <f>IFERROR(__xludf.DUMMYFUNCTION("""COMPUTED_VALUE"""),"10:14")</f>
        <v>10:14</v>
      </c>
      <c r="AI1833" s="65" t="str">
        <f>IFERROR(__xludf.DUMMYFUNCTION("""COMPUTED_VALUE"""),"26-01-2026")</f>
        <v>26-01-2026</v>
      </c>
      <c r="AJ1833" s="65"/>
      <c r="AK1833" s="65"/>
      <c r="AL1833" s="65"/>
      <c r="AM1833" s="65"/>
      <c r="AN1833" s="65" t="str">
        <f>IFERROR(__xludf.DUMMYFUNCTION("""COMPUTED_VALUE"""),"15:54")</f>
        <v>15:54</v>
      </c>
      <c r="AO1833" s="65" t="str">
        <f>IFERROR(__xludf.DUMMYFUNCTION("""COMPUTED_VALUE"""),"29-01-2026")</f>
        <v>29-01-2026</v>
      </c>
      <c r="AP1833" s="65" t="str">
        <f>IFERROR(__xludf.DUMMYFUNCTION("""COMPUTED_VALUE"""),"DEV CONFIRMADA POR BODEGA")</f>
        <v>DEV CONFIRMADA POR BODEGA</v>
      </c>
      <c r="AQ1833" s="65"/>
      <c r="AR1833" s="65" t="str">
        <f>IFERROR(__xludf.DUMMYFUNCTION("""COMPUTED_VALUE"""),"Gestionado por: Moran Daniel, email:danielmorga2005@gmail.com, total de productos en la orden: 1")</f>
        <v>Gestionado por: Moran Daniel, email:danielmorga2005@gmail.com, total de productos en la orden: 1</v>
      </c>
      <c r="AS1833" s="65"/>
      <c r="AT1833" s="65" t="str">
        <f>IFERROR(__xludf.DUMMYFUNCTION("""COMPUTED_VALUE"""),"SHOPIFY")</f>
        <v>SHOPIFY</v>
      </c>
      <c r="AU1833" s="65" t="str">
        <f>IFERROR(__xludf.DUMMYFUNCTION("""COMPUTED_VALUE"""),"IMPORTEX EC")</f>
        <v>IMPORTEX EC</v>
      </c>
      <c r="AV1833" s="65" t="str">
        <f>IFERROR(__xludf.DUMMYFUNCTION("""COMPUTED_VALUE"""),"6411414634540")</f>
        <v>6411414634540</v>
      </c>
      <c r="AW1833" s="65">
        <f>IFERROR(__xludf.DUMMYFUNCTION("""COMPUTED_VALUE"""),5119.0)</f>
        <v>5119</v>
      </c>
      <c r="AX1833" s="65"/>
      <c r="AY1833" s="65" t="str">
        <f>IFERROR(__xludf.DUMMYFUNCTION("""COMPUTED_VALUE"""),"16/01/2026")</f>
        <v>16/01/2026</v>
      </c>
      <c r="AZ1833" s="65"/>
      <c r="BA1833" s="65"/>
    </row>
    <row r="1834">
      <c r="A1834" s="65" t="str">
        <f>IFERROR(__xludf.DUMMYFUNCTION("""COMPUTED_VALUE"""),"27-03-2026")</f>
        <v>27-03-2026</v>
      </c>
      <c r="B1834" s="65">
        <f>IFERROR(__xludf.DUMMYFUNCTION("""COMPUTED_VALUE"""),4131234.0)</f>
        <v>4131234</v>
      </c>
      <c r="C1834" s="65" t="str">
        <f>IFERROR(__xludf.DUMMYFUNCTION("""COMPUTED_VALUE"""),"11:48")</f>
        <v>11:48</v>
      </c>
      <c r="D1834" s="65" t="str">
        <f>IFERROR(__xludf.DUMMYFUNCTION("""COMPUTED_VALUE"""),"13-01-2026")</f>
        <v>13-01-2026</v>
      </c>
      <c r="E1834" s="65" t="str">
        <f>IFERROR(__xludf.DUMMYFUNCTION("""COMPUTED_VALUE"""),"Angel vizcaino")</f>
        <v>Angel vizcaino</v>
      </c>
      <c r="F1834" s="65" t="str">
        <f>IFERROR(__xludf.DUMMYFUNCTION("""COMPUTED_VALUE"""),"987205969")</f>
        <v>987205969</v>
      </c>
      <c r="G1834" s="65" t="str">
        <f>IFERROR(__xludf.DUMMYFUNCTION("""COMPUTED_VALUE"""),"angeltvizcainog@yahoo.com")</f>
        <v>angeltvizcainog@yahoo.com</v>
      </c>
      <c r="H1834" s="65"/>
      <c r="I1834" s="65"/>
      <c r="J1834" s="65" t="str">
        <f>IFERROR(__xludf.DUMMYFUNCTION("""COMPUTED_VALUE"""),"D001230388")</f>
        <v>D001230388</v>
      </c>
      <c r="K1834" s="65" t="str">
        <f>IFERROR(__xludf.DUMMYFUNCTION("""COMPUTED_VALUE"""),"ENTREGADO")</f>
        <v>ENTREGADO</v>
      </c>
      <c r="L1834" s="65" t="str">
        <f>IFERROR(__xludf.DUMMYFUNCTION("""COMPUTED_VALUE"""),"CON RECAUDO")</f>
        <v>CON RECAUDO</v>
      </c>
      <c r="M1834" s="65" t="str">
        <f>IFERROR(__xludf.DUMMYFUNCTION("""COMPUTED_VALUE"""),"PICHINCHA")</f>
        <v>PICHINCHA</v>
      </c>
      <c r="N1834" s="65" t="str">
        <f>IFERROR(__xludf.DUMMYFUNCTION("""COMPUTED_VALUE"""),"QUITO")</f>
        <v>QUITO</v>
      </c>
      <c r="O1834" s="65" t="str">
        <f>IFERROR(__xludf.DUMMYFUNCTION("""COMPUTED_VALUE"""),"AV. Guayanay Ñan OE2-115 y lira Ñan Sector quitumbe")</f>
        <v>AV. Guayanay Ñan OE2-115 y lira Ñan Sector quitumbe</v>
      </c>
      <c r="P1834" s="65"/>
      <c r="Q1834" s="65" t="str">
        <f>IFERROR(__xludf.DUMMYFUNCTION("""COMPUTED_VALUE"""),"GINTRACOM")</f>
        <v>GINTRACOM</v>
      </c>
      <c r="R1834" s="65">
        <f>IFERROR(__xludf.DUMMYFUNCTION("""COMPUTED_VALUE"""),27.0)</f>
        <v>27</v>
      </c>
      <c r="S1834" s="65">
        <f>IFERROR(__xludf.DUMMYFUNCTION("""COMPUTED_VALUE"""),13.17)</f>
        <v>13.17</v>
      </c>
      <c r="T1834" s="65">
        <f>IFERROR(__xludf.DUMMYFUNCTION("""COMPUTED_VALUE"""),6.03)</f>
        <v>6.03</v>
      </c>
      <c r="U1834" s="65">
        <f>IFERROR(__xludf.DUMMYFUNCTION("""COMPUTED_VALUE"""),0.0)</f>
        <v>0</v>
      </c>
      <c r="V1834" s="65">
        <f>IFERROR(__xludf.DUMMYFUNCTION("""COMPUTED_VALUE"""),0.0)</f>
        <v>0</v>
      </c>
      <c r="W1834" s="65">
        <f>IFERROR(__xludf.DUMMYFUNCTION("""COMPUTED_VALUE"""),0.0)</f>
        <v>0</v>
      </c>
      <c r="X1834" s="65">
        <f>IFERROR(__xludf.DUMMYFUNCTION("""COMPUTED_VALUE"""),2.6)</f>
        <v>2.6</v>
      </c>
      <c r="Y1834" s="65">
        <f>IFERROR(__xludf.DUMMYFUNCTION("""COMPUTED_VALUE"""),7.8)</f>
        <v>7.8</v>
      </c>
      <c r="Z1834" s="65">
        <f>IFERROR(__xludf.DUMMYFUNCTION("""COMPUTED_VALUE"""),121983.0)</f>
        <v>121983</v>
      </c>
      <c r="AA1834" s="65" t="str">
        <f>IFERROR(__xludf.DUMMYFUNCTION("""COMPUTED_VALUE"""),"PROV-CHLLCF")</f>
        <v>PROV-CHLLCF</v>
      </c>
      <c r="AB1834" s="65"/>
      <c r="AC1834" s="65" t="str">
        <f>IFERROR(__xludf.DUMMYFUNCTION("""COMPUTED_VALUE"""),"CUCHILLO PARA CHEF")</f>
        <v>CUCHILLO PARA CHEF</v>
      </c>
      <c r="AD1834" s="65"/>
      <c r="AE1834" s="65">
        <f>IFERROR(__xludf.DUMMYFUNCTION("""COMPUTED_VALUE"""),3.0)</f>
        <v>3</v>
      </c>
      <c r="AF1834" s="65"/>
      <c r="AG1834" s="65"/>
      <c r="AH1834" s="65"/>
      <c r="AI1834" s="65"/>
      <c r="AJ1834" s="65"/>
      <c r="AK1834" s="65"/>
      <c r="AL1834" s="65"/>
      <c r="AM1834" s="65"/>
      <c r="AN1834" s="65" t="str">
        <f>IFERROR(__xludf.DUMMYFUNCTION("""COMPUTED_VALUE"""),"17:01")</f>
        <v>17:01</v>
      </c>
      <c r="AO1834" s="65" t="str">
        <f>IFERROR(__xludf.DUMMYFUNCTION("""COMPUTED_VALUE"""),"17-01-2026")</f>
        <v>17-01-2026</v>
      </c>
      <c r="AP1834" s="65" t="str">
        <f>IFERROR(__xludf.DUMMYFUNCTION("""COMPUTED_VALUE"""),"ENTREGADA GINTRACOM")</f>
        <v>ENTREGADA GINTRACOM</v>
      </c>
      <c r="AQ1834" s="65" t="str">
        <f>IFERROR(__xludf.DUMMYFUNCTION("""COMPUTED_VALUE"""),"ENTREGADA GINTRACOM")</f>
        <v>ENTREGADA GINTRACOM</v>
      </c>
      <c r="AR1834" s="65"/>
      <c r="AS1834" s="65"/>
      <c r="AT1834" s="65" t="str">
        <f>IFERROR(__xludf.DUMMYFUNCTION("""COMPUTED_VALUE"""),"SHOPIFY")</f>
        <v>SHOPIFY</v>
      </c>
      <c r="AU1834" s="65" t="str">
        <f>IFERROR(__xludf.DUMMYFUNCTION("""COMPUTED_VALUE"""),"IMPORTEX EC")</f>
        <v>IMPORTEX EC</v>
      </c>
      <c r="AV1834" s="65" t="str">
        <f>IFERROR(__xludf.DUMMYFUNCTION("""COMPUTED_VALUE"""),"6411398610988")</f>
        <v>6411398610988</v>
      </c>
      <c r="AW1834" s="65">
        <f>IFERROR(__xludf.DUMMYFUNCTION("""COMPUTED_VALUE"""),5118.0)</f>
        <v>5118</v>
      </c>
      <c r="AX1834" s="65"/>
      <c r="AY1834" s="65" t="str">
        <f>IFERROR(__xludf.DUMMYFUNCTION("""COMPUTED_VALUE"""),"16/01/2026")</f>
        <v>16/01/2026</v>
      </c>
      <c r="AZ1834" s="65"/>
      <c r="BA1834" s="65"/>
    </row>
    <row r="1835">
      <c r="A1835" s="65" t="str">
        <f>IFERROR(__xludf.DUMMYFUNCTION("""COMPUTED_VALUE"""),"27-03-2026")</f>
        <v>27-03-2026</v>
      </c>
      <c r="B1835" s="65">
        <f>IFERROR(__xludf.DUMMYFUNCTION("""COMPUTED_VALUE"""),4130907.0)</f>
        <v>4130907</v>
      </c>
      <c r="C1835" s="65" t="str">
        <f>IFERROR(__xludf.DUMMYFUNCTION("""COMPUTED_VALUE"""),"11:19")</f>
        <v>11:19</v>
      </c>
      <c r="D1835" s="65" t="str">
        <f>IFERROR(__xludf.DUMMYFUNCTION("""COMPUTED_VALUE"""),"13-01-2026")</f>
        <v>13-01-2026</v>
      </c>
      <c r="E1835" s="65" t="str">
        <f>IFERROR(__xludf.DUMMYFUNCTION("""COMPUTED_VALUE"""),"Carlos Miranda")</f>
        <v>Carlos Miranda</v>
      </c>
      <c r="F1835" s="65" t="str">
        <f>IFERROR(__xludf.DUMMYFUNCTION("""COMPUTED_VALUE"""),"981040040")</f>
        <v>981040040</v>
      </c>
      <c r="G1835" s="65" t="str">
        <f>IFERROR(__xludf.DUMMYFUNCTION("""COMPUTED_VALUE"""),"mirandavalle3905@gmail.com")</f>
        <v>mirandavalle3905@gmail.com</v>
      </c>
      <c r="H1835" s="65"/>
      <c r="I1835" s="65"/>
      <c r="J1835" s="65" t="str">
        <f>IFERROR(__xludf.DUMMYFUNCTION("""COMPUTED_VALUE"""),"D001250503")</f>
        <v>D001250503</v>
      </c>
      <c r="K1835" s="65" t="str">
        <f>IFERROR(__xludf.DUMMYFUNCTION("""COMPUTED_VALUE"""),"ENTREGADO")</f>
        <v>ENTREGADO</v>
      </c>
      <c r="L1835" s="65" t="str">
        <f>IFERROR(__xludf.DUMMYFUNCTION("""COMPUTED_VALUE"""),"CON RECAUDO")</f>
        <v>CON RECAUDO</v>
      </c>
      <c r="M1835" s="65" t="str">
        <f>IFERROR(__xludf.DUMMYFUNCTION("""COMPUTED_VALUE"""),"SUCUMBIOS")</f>
        <v>SUCUMBIOS</v>
      </c>
      <c r="N1835" s="65" t="str">
        <f>IFERROR(__xludf.DUMMYFUNCTION("""COMPUTED_VALUE"""),"SHUSHUFINDI")</f>
        <v>SHUSHUFINDI</v>
      </c>
      <c r="O1835" s="65" t="str">
        <f>IFERROR(__xludf.DUMMYFUNCTION("""COMPUTED_VALUE"""),"Shushufindi 7 de Julio -")</f>
        <v>Shushufindi 7 de Julio -</v>
      </c>
      <c r="P1835" s="65"/>
      <c r="Q1835" s="65" t="str">
        <f>IFERROR(__xludf.DUMMYFUNCTION("""COMPUTED_VALUE"""),"GINTRACOM")</f>
        <v>GINTRACOM</v>
      </c>
      <c r="R1835" s="65">
        <f>IFERROR(__xludf.DUMMYFUNCTION("""COMPUTED_VALUE"""),22.0)</f>
        <v>22</v>
      </c>
      <c r="S1835" s="65">
        <f>IFERROR(__xludf.DUMMYFUNCTION("""COMPUTED_VALUE"""),10.96)</f>
        <v>10.96</v>
      </c>
      <c r="T1835" s="65">
        <f>IFERROR(__xludf.DUMMYFUNCTION("""COMPUTED_VALUE"""),5.84)</f>
        <v>5.84</v>
      </c>
      <c r="U1835" s="65">
        <f>IFERROR(__xludf.DUMMYFUNCTION("""COMPUTED_VALUE"""),0.0)</f>
        <v>0</v>
      </c>
      <c r="V1835" s="65">
        <f>IFERROR(__xludf.DUMMYFUNCTION("""COMPUTED_VALUE"""),0.0)</f>
        <v>0</v>
      </c>
      <c r="W1835" s="65">
        <f>IFERROR(__xludf.DUMMYFUNCTION("""COMPUTED_VALUE"""),0.0)</f>
        <v>0</v>
      </c>
      <c r="X1835" s="65">
        <f>IFERROR(__xludf.DUMMYFUNCTION("""COMPUTED_VALUE"""),2.6)</f>
        <v>2.6</v>
      </c>
      <c r="Y1835" s="65">
        <f>IFERROR(__xludf.DUMMYFUNCTION("""COMPUTED_VALUE"""),5.2)</f>
        <v>5.2</v>
      </c>
      <c r="Z1835" s="65">
        <f>IFERROR(__xludf.DUMMYFUNCTION("""COMPUTED_VALUE"""),121983.0)</f>
        <v>121983</v>
      </c>
      <c r="AA1835" s="65" t="str">
        <f>IFERROR(__xludf.DUMMYFUNCTION("""COMPUTED_VALUE"""),"PROV-CHLLCF")</f>
        <v>PROV-CHLLCF</v>
      </c>
      <c r="AB1835" s="65"/>
      <c r="AC1835" s="65" t="str">
        <f>IFERROR(__xludf.DUMMYFUNCTION("""COMPUTED_VALUE"""),"CUCHILLO PARA CHEF")</f>
        <v>CUCHILLO PARA CHEF</v>
      </c>
      <c r="AD1835" s="65"/>
      <c r="AE1835" s="65">
        <f>IFERROR(__xludf.DUMMYFUNCTION("""COMPUTED_VALUE"""),2.0)</f>
        <v>2</v>
      </c>
      <c r="AF1835" s="65"/>
      <c r="AG1835" s="65"/>
      <c r="AH1835" s="65"/>
      <c r="AI1835" s="65"/>
      <c r="AJ1835" s="65"/>
      <c r="AK1835" s="65"/>
      <c r="AL1835" s="65"/>
      <c r="AM1835" s="65"/>
      <c r="AN1835" s="65" t="str">
        <f>IFERROR(__xludf.DUMMYFUNCTION("""COMPUTED_VALUE"""),"10:03")</f>
        <v>10:03</v>
      </c>
      <c r="AO1835" s="65" t="str">
        <f>IFERROR(__xludf.DUMMYFUNCTION("""COMPUTED_VALUE"""),"26-01-2026")</f>
        <v>26-01-2026</v>
      </c>
      <c r="AP1835" s="65" t="str">
        <f>IFERROR(__xludf.DUMMYFUNCTION("""COMPUTED_VALUE"""),"ENTREGADA GINTRACOM")</f>
        <v>ENTREGADA GINTRACOM</v>
      </c>
      <c r="AQ1835" s="65" t="str">
        <f>IFERROR(__xludf.DUMMYFUNCTION("""COMPUTED_VALUE"""),"ENTREGADA GINTRACOM")</f>
        <v>ENTREGADA GINTRACOM</v>
      </c>
      <c r="AR1835" s="65"/>
      <c r="AS1835" s="65"/>
      <c r="AT1835" s="65" t="str">
        <f>IFERROR(__xludf.DUMMYFUNCTION("""COMPUTED_VALUE"""),"SHOPIFY")</f>
        <v>SHOPIFY</v>
      </c>
      <c r="AU1835" s="65" t="str">
        <f>IFERROR(__xludf.DUMMYFUNCTION("""COMPUTED_VALUE"""),"IMPORTEX EC")</f>
        <v>IMPORTEX EC</v>
      </c>
      <c r="AV1835" s="65" t="str">
        <f>IFERROR(__xludf.DUMMYFUNCTION("""COMPUTED_VALUE"""),"6411336974380")</f>
        <v>6411336974380</v>
      </c>
      <c r="AW1835" s="65">
        <f>IFERROR(__xludf.DUMMYFUNCTION("""COMPUTED_VALUE"""),5116.0)</f>
        <v>5116</v>
      </c>
      <c r="AX1835" s="65"/>
      <c r="AY1835" s="65" t="str">
        <f>IFERROR(__xludf.DUMMYFUNCTION("""COMPUTED_VALUE"""),"22/01/2026")</f>
        <v>22/01/2026</v>
      </c>
      <c r="AZ1835" s="65"/>
      <c r="BA1835" s="65"/>
    </row>
    <row r="1836">
      <c r="A1836" s="65" t="str">
        <f>IFERROR(__xludf.DUMMYFUNCTION("""COMPUTED_VALUE"""),"27-03-2026")</f>
        <v>27-03-2026</v>
      </c>
      <c r="B1836" s="65">
        <f>IFERROR(__xludf.DUMMYFUNCTION("""COMPUTED_VALUE"""),4130873.0)</f>
        <v>4130873</v>
      </c>
      <c r="C1836" s="65" t="str">
        <f>IFERROR(__xludf.DUMMYFUNCTION("""COMPUTED_VALUE"""),"11:17")</f>
        <v>11:17</v>
      </c>
      <c r="D1836" s="65" t="str">
        <f>IFERROR(__xludf.DUMMYFUNCTION("""COMPUTED_VALUE"""),"13-01-2026")</f>
        <v>13-01-2026</v>
      </c>
      <c r="E1836" s="65" t="str">
        <f>IFERROR(__xludf.DUMMYFUNCTION("""COMPUTED_VALUE"""),"Mario Piedra")</f>
        <v>Mario Piedra</v>
      </c>
      <c r="F1836" s="65" t="str">
        <f>IFERROR(__xludf.DUMMYFUNCTION("""COMPUTED_VALUE"""),"0960713324")</f>
        <v>0960713324</v>
      </c>
      <c r="G1836" s="65" t="str">
        <f>IFERROR(__xludf.DUMMYFUNCTION("""COMPUTED_VALUE"""),"mariopiedra0218@gmail.com")</f>
        <v>mariopiedra0218@gmail.com</v>
      </c>
      <c r="H1836" s="65"/>
      <c r="I1836" s="65"/>
      <c r="J1836" s="65" t="str">
        <f>IFERROR(__xludf.DUMMYFUNCTION("""COMPUTED_VALUE"""),"D001267790")</f>
        <v>D001267790</v>
      </c>
      <c r="K1836" s="65" t="str">
        <f>IFERROR(__xludf.DUMMYFUNCTION("""COMPUTED_VALUE"""),"ENTREGADO")</f>
        <v>ENTREGADO</v>
      </c>
      <c r="L1836" s="65" t="str">
        <f>IFERROR(__xludf.DUMMYFUNCTION("""COMPUTED_VALUE"""),"CON RECAUDO")</f>
        <v>CON RECAUDO</v>
      </c>
      <c r="M1836" s="65" t="str">
        <f>IFERROR(__xludf.DUMMYFUNCTION("""COMPUTED_VALUE"""),"GUAYAS")</f>
        <v>GUAYAS</v>
      </c>
      <c r="N1836" s="65" t="str">
        <f>IFERROR(__xludf.DUMMYFUNCTION("""COMPUTED_VALUE"""),"GUAYAQUIL")</f>
        <v>GUAYAQUIL</v>
      </c>
      <c r="O1836" s="65" t="str">
        <f>IFERROR(__xludf.DUMMYFUNCTION("""COMPUTED_VALUE"""),"Avenida Barcelona Base naval san Eduardo -")</f>
        <v>Avenida Barcelona Base naval san Eduardo -</v>
      </c>
      <c r="P1836" s="65"/>
      <c r="Q1836" s="65" t="str">
        <f>IFERROR(__xludf.DUMMYFUNCTION("""COMPUTED_VALUE"""),"GINTRACOM")</f>
        <v>GINTRACOM</v>
      </c>
      <c r="R1836" s="65">
        <f>IFERROR(__xludf.DUMMYFUNCTION("""COMPUTED_VALUE"""),22.0)</f>
        <v>22</v>
      </c>
      <c r="S1836" s="65">
        <f>IFERROR(__xludf.DUMMYFUNCTION("""COMPUTED_VALUE"""),12.57)</f>
        <v>12.57</v>
      </c>
      <c r="T1836" s="65">
        <f>IFERROR(__xludf.DUMMYFUNCTION("""COMPUTED_VALUE"""),4.23)</f>
        <v>4.23</v>
      </c>
      <c r="U1836" s="65">
        <f>IFERROR(__xludf.DUMMYFUNCTION("""COMPUTED_VALUE"""),0.0)</f>
        <v>0</v>
      </c>
      <c r="V1836" s="65">
        <f>IFERROR(__xludf.DUMMYFUNCTION("""COMPUTED_VALUE"""),0.0)</f>
        <v>0</v>
      </c>
      <c r="W1836" s="65">
        <f>IFERROR(__xludf.DUMMYFUNCTION("""COMPUTED_VALUE"""),0.0)</f>
        <v>0</v>
      </c>
      <c r="X1836" s="65">
        <f>IFERROR(__xludf.DUMMYFUNCTION("""COMPUTED_VALUE"""),2.6)</f>
        <v>2.6</v>
      </c>
      <c r="Y1836" s="65">
        <f>IFERROR(__xludf.DUMMYFUNCTION("""COMPUTED_VALUE"""),5.2)</f>
        <v>5.2</v>
      </c>
      <c r="Z1836" s="65">
        <f>IFERROR(__xludf.DUMMYFUNCTION("""COMPUTED_VALUE"""),121983.0)</f>
        <v>121983</v>
      </c>
      <c r="AA1836" s="65" t="str">
        <f>IFERROR(__xludf.DUMMYFUNCTION("""COMPUTED_VALUE"""),"PROV-CHLLCF")</f>
        <v>PROV-CHLLCF</v>
      </c>
      <c r="AB1836" s="65"/>
      <c r="AC1836" s="65" t="str">
        <f>IFERROR(__xludf.DUMMYFUNCTION("""COMPUTED_VALUE"""),"CUCHILLO PARA CHEF")</f>
        <v>CUCHILLO PARA CHEF</v>
      </c>
      <c r="AD1836" s="65"/>
      <c r="AE1836" s="65">
        <f>IFERROR(__xludf.DUMMYFUNCTION("""COMPUTED_VALUE"""),2.0)</f>
        <v>2</v>
      </c>
      <c r="AF1836" s="65"/>
      <c r="AG1836" s="65"/>
      <c r="AH1836" s="65"/>
      <c r="AI1836" s="65"/>
      <c r="AJ1836" s="65"/>
      <c r="AK1836" s="65"/>
      <c r="AL1836" s="65"/>
      <c r="AM1836" s="65"/>
      <c r="AN1836" s="65"/>
      <c r="AO1836" s="65"/>
      <c r="AP1836" s="65"/>
      <c r="AQ1836" s="65"/>
      <c r="AR1836" s="65"/>
      <c r="AS1836" s="65"/>
      <c r="AT1836" s="65" t="str">
        <f>IFERROR(__xludf.DUMMYFUNCTION("""COMPUTED_VALUE"""),"SHOPIFY")</f>
        <v>SHOPIFY</v>
      </c>
      <c r="AU1836" s="65" t="str">
        <f>IFERROR(__xludf.DUMMYFUNCTION("""COMPUTED_VALUE"""),"IMPORTEX EC")</f>
        <v>IMPORTEX EC</v>
      </c>
      <c r="AV1836" s="65" t="str">
        <f>IFERROR(__xludf.DUMMYFUNCTION("""COMPUTED_VALUE"""),"6411330355244")</f>
        <v>6411330355244</v>
      </c>
      <c r="AW1836" s="65">
        <f>IFERROR(__xludf.DUMMYFUNCTION("""COMPUTED_VALUE"""),5115.0)</f>
        <v>5115</v>
      </c>
      <c r="AX1836" s="65"/>
      <c r="AY1836" s="65" t="str">
        <f>IFERROR(__xludf.DUMMYFUNCTION("""COMPUTED_VALUE"""),"27/01/2026")</f>
        <v>27/01/2026</v>
      </c>
      <c r="AZ1836" s="65"/>
      <c r="BA1836" s="65"/>
    </row>
    <row r="1837">
      <c r="A1837" s="65" t="str">
        <f>IFERROR(__xludf.DUMMYFUNCTION("""COMPUTED_VALUE"""),"27-03-2026")</f>
        <v>27-03-2026</v>
      </c>
      <c r="B1837" s="65">
        <f>IFERROR(__xludf.DUMMYFUNCTION("""COMPUTED_VALUE"""),4130811.0)</f>
        <v>4130811</v>
      </c>
      <c r="C1837" s="65" t="str">
        <f>IFERROR(__xludf.DUMMYFUNCTION("""COMPUTED_VALUE"""),"11:12")</f>
        <v>11:12</v>
      </c>
      <c r="D1837" s="65" t="str">
        <f>IFERROR(__xludf.DUMMYFUNCTION("""COMPUTED_VALUE"""),"13-01-2026")</f>
        <v>13-01-2026</v>
      </c>
      <c r="E1837" s="65" t="str">
        <f>IFERROR(__xludf.DUMMYFUNCTION("""COMPUTED_VALUE"""),"Rosa Vaquilema")</f>
        <v>Rosa Vaquilema</v>
      </c>
      <c r="F1837" s="65" t="str">
        <f>IFERROR(__xludf.DUMMYFUNCTION("""COMPUTED_VALUE"""),"982745396")</f>
        <v>982745396</v>
      </c>
      <c r="G1837" s="65" t="str">
        <f>IFERROR(__xludf.DUMMYFUNCTION("""COMPUTED_VALUE"""),"rosavaquilema060@gmail.com")</f>
        <v>rosavaquilema060@gmail.com</v>
      </c>
      <c r="H1837" s="65"/>
      <c r="I1837" s="65"/>
      <c r="J1837" s="65"/>
      <c r="K1837" s="65" t="str">
        <f>IFERROR(__xludf.DUMMYFUNCTION("""COMPUTED_VALUE"""),"PENDIENTE CONFIRMACION")</f>
        <v>PENDIENTE CONFIRMACION</v>
      </c>
      <c r="L1837" s="65" t="str">
        <f>IFERROR(__xludf.DUMMYFUNCTION("""COMPUTED_VALUE"""),"CON RECAUDO")</f>
        <v>CON RECAUDO</v>
      </c>
      <c r="M1837" s="65" t="str">
        <f>IFERROR(__xludf.DUMMYFUNCTION("""COMPUTED_VALUE"""),"PICHINCHA")</f>
        <v>PICHINCHA</v>
      </c>
      <c r="N1837" s="65" t="str">
        <f>IFERROR(__xludf.DUMMYFUNCTION("""COMPUTED_VALUE"""),"QUITO")</f>
        <v>QUITO</v>
      </c>
      <c r="O1837" s="65" t="str">
        <f>IFERROR(__xludf.DUMMYFUNCTION("""COMPUTED_VALUE"""),"Cumanda y 24 de mayo -")</f>
        <v>Cumanda y 24 de mayo -</v>
      </c>
      <c r="P1837" s="65"/>
      <c r="Q1837" s="65" t="str">
        <f>IFERROR(__xludf.DUMMYFUNCTION("""COMPUTED_VALUE"""),"GINTRACOM")</f>
        <v>GINTRACOM</v>
      </c>
      <c r="R1837" s="65">
        <f>IFERROR(__xludf.DUMMYFUNCTION("""COMPUTED_VALUE"""),25.0)</f>
        <v>25</v>
      </c>
      <c r="S1837" s="65"/>
      <c r="T1837" s="65">
        <f>IFERROR(__xludf.DUMMYFUNCTION("""COMPUTED_VALUE"""),4.35)</f>
        <v>4.35</v>
      </c>
      <c r="U1837" s="65">
        <f>IFERROR(__xludf.DUMMYFUNCTION("""COMPUTED_VALUE"""),0.0)</f>
        <v>0</v>
      </c>
      <c r="V1837" s="65">
        <f>IFERROR(__xludf.DUMMYFUNCTION("""COMPUTED_VALUE"""),0.0)</f>
        <v>0</v>
      </c>
      <c r="W1837" s="65">
        <f>IFERROR(__xludf.DUMMYFUNCTION("""COMPUTED_VALUE"""),0.0)</f>
        <v>0</v>
      </c>
      <c r="X1837" s="65">
        <f>IFERROR(__xludf.DUMMYFUNCTION("""COMPUTED_VALUE"""),2.35)</f>
        <v>2.35</v>
      </c>
      <c r="Y1837" s="65">
        <f>IFERROR(__xludf.DUMMYFUNCTION("""COMPUTED_VALUE"""),4.7)</f>
        <v>4.7</v>
      </c>
      <c r="Z1837" s="65">
        <f>IFERROR(__xludf.DUMMYFUNCTION("""COMPUTED_VALUE"""),116679.0)</f>
        <v>116679</v>
      </c>
      <c r="AA1837" s="65" t="str">
        <f>IFERROR(__xludf.DUMMYFUNCTION("""COMPUTED_VALUE"""),"AMC-2738")</f>
        <v>AMC-2738</v>
      </c>
      <c r="AB1837" s="65"/>
      <c r="AC1837" s="65" t="str">
        <f>IFERROR(__xludf.DUMMYFUNCTION("""COMPUTED_VALUE"""),"ESPONJA ANTILLUVIA DE PARABRISAS")</f>
        <v>ESPONJA ANTILLUVIA DE PARABRISAS</v>
      </c>
      <c r="AD1837" s="65"/>
      <c r="AE1837" s="65">
        <f>IFERROR(__xludf.DUMMYFUNCTION("""COMPUTED_VALUE"""),2.0)</f>
        <v>2</v>
      </c>
      <c r="AF1837" s="65"/>
      <c r="AG1837" s="65"/>
      <c r="AH1837" s="65"/>
      <c r="AI1837" s="65"/>
      <c r="AJ1837" s="65"/>
      <c r="AK1837" s="65"/>
      <c r="AL1837" s="65"/>
      <c r="AM1837" s="65"/>
      <c r="AN1837" s="65"/>
      <c r="AO1837" s="65"/>
      <c r="AP1837" s="65"/>
      <c r="AQ1837" s="65"/>
      <c r="AR1837" s="65"/>
      <c r="AS1837" s="65"/>
      <c r="AT1837" s="65" t="str">
        <f>IFERROR(__xludf.DUMMYFUNCTION("""COMPUTED_VALUE"""),"SHOPIFY")</f>
        <v>SHOPIFY</v>
      </c>
      <c r="AU1837" s="65" t="str">
        <f>IFERROR(__xludf.DUMMYFUNCTION("""COMPUTED_VALUE"""),"IMPORTEX EC")</f>
        <v>IMPORTEX EC</v>
      </c>
      <c r="AV1837" s="65" t="str">
        <f>IFERROR(__xludf.DUMMYFUNCTION("""COMPUTED_VALUE"""),"6411324325932")</f>
        <v>6411324325932</v>
      </c>
      <c r="AW1837" s="65">
        <f>IFERROR(__xludf.DUMMYFUNCTION("""COMPUTED_VALUE"""),5114.0)</f>
        <v>5114</v>
      </c>
      <c r="AX1837" s="65"/>
      <c r="AY1837" s="65"/>
      <c r="AZ1837" s="65"/>
      <c r="BA1837" s="65"/>
    </row>
    <row r="1838">
      <c r="A1838" s="65" t="str">
        <f>IFERROR(__xludf.DUMMYFUNCTION("""COMPUTED_VALUE"""),"27-03-2026")</f>
        <v>27-03-2026</v>
      </c>
      <c r="B1838" s="65">
        <f>IFERROR(__xludf.DUMMYFUNCTION("""COMPUTED_VALUE"""),4130657.0)</f>
        <v>4130657</v>
      </c>
      <c r="C1838" s="65" t="str">
        <f>IFERROR(__xludf.DUMMYFUNCTION("""COMPUTED_VALUE"""),"11:01")</f>
        <v>11:01</v>
      </c>
      <c r="D1838" s="65" t="str">
        <f>IFERROR(__xludf.DUMMYFUNCTION("""COMPUTED_VALUE"""),"13-01-2026")</f>
        <v>13-01-2026</v>
      </c>
      <c r="E1838" s="65" t="str">
        <f>IFERROR(__xludf.DUMMYFUNCTION("""COMPUTED_VALUE"""),"Lorena Cuellar Cuellar")</f>
        <v>Lorena Cuellar Cuellar</v>
      </c>
      <c r="F1838" s="65" t="str">
        <f>IFERROR(__xludf.DUMMYFUNCTION("""COMPUTED_VALUE"""),"993275262")</f>
        <v>993275262</v>
      </c>
      <c r="G1838" s="65" t="str">
        <f>IFERROR(__xludf.DUMMYFUNCTION("""COMPUTED_VALUE"""),"lorecl82@hotmail.com")</f>
        <v>lorecl82@hotmail.com</v>
      </c>
      <c r="H1838" s="65"/>
      <c r="I1838" s="65"/>
      <c r="J1838" s="65"/>
      <c r="K1838" s="65" t="str">
        <f>IFERROR(__xludf.DUMMYFUNCTION("""COMPUTED_VALUE"""),"PENDIENTE CONFIRMACION")</f>
        <v>PENDIENTE CONFIRMACION</v>
      </c>
      <c r="L1838" s="65" t="str">
        <f>IFERROR(__xludf.DUMMYFUNCTION("""COMPUTED_VALUE"""),"CON RECAUDO")</f>
        <v>CON RECAUDO</v>
      </c>
      <c r="M1838" s="65" t="str">
        <f>IFERROR(__xludf.DUMMYFUNCTION("""COMPUTED_VALUE"""),"MANABI")</f>
        <v>MANABI</v>
      </c>
      <c r="N1838" s="65" t="str">
        <f>IFERROR(__xludf.DUMMYFUNCTION("""COMPUTED_VALUE"""),"PORTOVIEJO")</f>
        <v>PORTOVIEJO</v>
      </c>
      <c r="O1838" s="65" t="str">
        <f>IFERROR(__xludf.DUMMYFUNCTION("""COMPUTED_VALUE"""),"Urbanizacion Rincon Del Sol, C Av. 5 De Junio -")</f>
        <v>Urbanizacion Rincon Del Sol, C Av. 5 De Junio -</v>
      </c>
      <c r="P1838" s="65"/>
      <c r="Q1838" s="65" t="str">
        <f>IFERROR(__xludf.DUMMYFUNCTION("""COMPUTED_VALUE"""),"GINTRACOM")</f>
        <v>GINTRACOM</v>
      </c>
      <c r="R1838" s="65">
        <f>IFERROR(__xludf.DUMMYFUNCTION("""COMPUTED_VALUE"""),25.0)</f>
        <v>25</v>
      </c>
      <c r="S1838" s="65"/>
      <c r="T1838" s="65">
        <f>IFERROR(__xludf.DUMMYFUNCTION("""COMPUTED_VALUE"""),5.96)</f>
        <v>5.96</v>
      </c>
      <c r="U1838" s="65">
        <f>IFERROR(__xludf.DUMMYFUNCTION("""COMPUTED_VALUE"""),0.0)</f>
        <v>0</v>
      </c>
      <c r="V1838" s="65">
        <f>IFERROR(__xludf.DUMMYFUNCTION("""COMPUTED_VALUE"""),0.0)</f>
        <v>0</v>
      </c>
      <c r="W1838" s="65">
        <f>IFERROR(__xludf.DUMMYFUNCTION("""COMPUTED_VALUE"""),0.0)</f>
        <v>0</v>
      </c>
      <c r="X1838" s="65">
        <f>IFERROR(__xludf.DUMMYFUNCTION("""COMPUTED_VALUE"""),2.35)</f>
        <v>2.35</v>
      </c>
      <c r="Y1838" s="65">
        <f>IFERROR(__xludf.DUMMYFUNCTION("""COMPUTED_VALUE"""),4.7)</f>
        <v>4.7</v>
      </c>
      <c r="Z1838" s="65">
        <f>IFERROR(__xludf.DUMMYFUNCTION("""COMPUTED_VALUE"""),116679.0)</f>
        <v>116679</v>
      </c>
      <c r="AA1838" s="65" t="str">
        <f>IFERROR(__xludf.DUMMYFUNCTION("""COMPUTED_VALUE"""),"AMC-2738")</f>
        <v>AMC-2738</v>
      </c>
      <c r="AB1838" s="65"/>
      <c r="AC1838" s="65" t="str">
        <f>IFERROR(__xludf.DUMMYFUNCTION("""COMPUTED_VALUE"""),"ESPONJA ANTILLUVIA DE PARABRISAS")</f>
        <v>ESPONJA ANTILLUVIA DE PARABRISAS</v>
      </c>
      <c r="AD1838" s="65"/>
      <c r="AE1838" s="65">
        <f>IFERROR(__xludf.DUMMYFUNCTION("""COMPUTED_VALUE"""),2.0)</f>
        <v>2</v>
      </c>
      <c r="AF1838" s="65"/>
      <c r="AG1838" s="65"/>
      <c r="AH1838" s="65"/>
      <c r="AI1838" s="65"/>
      <c r="AJ1838" s="65"/>
      <c r="AK1838" s="65"/>
      <c r="AL1838" s="65"/>
      <c r="AM1838" s="65"/>
      <c r="AN1838" s="65"/>
      <c r="AO1838" s="65"/>
      <c r="AP1838" s="65"/>
      <c r="AQ1838" s="65"/>
      <c r="AR1838" s="65"/>
      <c r="AS1838" s="65"/>
      <c r="AT1838" s="65" t="str">
        <f>IFERROR(__xludf.DUMMYFUNCTION("""COMPUTED_VALUE"""),"SHOPIFY")</f>
        <v>SHOPIFY</v>
      </c>
      <c r="AU1838" s="65" t="str">
        <f>IFERROR(__xludf.DUMMYFUNCTION("""COMPUTED_VALUE"""),"IMPORTEX EC")</f>
        <v>IMPORTEX EC</v>
      </c>
      <c r="AV1838" s="65" t="str">
        <f>IFERROR(__xludf.DUMMYFUNCTION("""COMPUTED_VALUE"""),"6411298832428")</f>
        <v>6411298832428</v>
      </c>
      <c r="AW1838" s="65">
        <f>IFERROR(__xludf.DUMMYFUNCTION("""COMPUTED_VALUE"""),5113.0)</f>
        <v>5113</v>
      </c>
      <c r="AX1838" s="65"/>
      <c r="AY1838" s="65"/>
      <c r="AZ1838" s="65"/>
      <c r="BA1838" s="65"/>
    </row>
    <row r="1839">
      <c r="A1839" s="65" t="str">
        <f>IFERROR(__xludf.DUMMYFUNCTION("""COMPUTED_VALUE"""),"27-03-2026")</f>
        <v>27-03-2026</v>
      </c>
      <c r="B1839" s="65">
        <f>IFERROR(__xludf.DUMMYFUNCTION("""COMPUTED_VALUE"""),4130655.0)</f>
        <v>4130655</v>
      </c>
      <c r="C1839" s="65" t="str">
        <f>IFERROR(__xludf.DUMMYFUNCTION("""COMPUTED_VALUE"""),"11:01")</f>
        <v>11:01</v>
      </c>
      <c r="D1839" s="65" t="str">
        <f>IFERROR(__xludf.DUMMYFUNCTION("""COMPUTED_VALUE"""),"13-01-2026")</f>
        <v>13-01-2026</v>
      </c>
      <c r="E1839" s="65" t="str">
        <f>IFERROR(__xludf.DUMMYFUNCTION("""COMPUTED_VALUE"""),"Zayda Zaruma")</f>
        <v>Zayda Zaruma</v>
      </c>
      <c r="F1839" s="65" t="str">
        <f>IFERROR(__xludf.DUMMYFUNCTION("""COMPUTED_VALUE"""),"939352212")</f>
        <v>939352212</v>
      </c>
      <c r="G1839" s="65"/>
      <c r="H1839" s="65"/>
      <c r="I1839" s="65"/>
      <c r="J1839" s="65"/>
      <c r="K1839" s="65" t="str">
        <f>IFERROR(__xludf.DUMMYFUNCTION("""COMPUTED_VALUE"""),"PENDIENTE CONFIRMACION")</f>
        <v>PENDIENTE CONFIRMACION</v>
      </c>
      <c r="L1839" s="65" t="str">
        <f>IFERROR(__xludf.DUMMYFUNCTION("""COMPUTED_VALUE"""),"CON RECAUDO")</f>
        <v>CON RECAUDO</v>
      </c>
      <c r="M1839" s="65" t="str">
        <f>IFERROR(__xludf.DUMMYFUNCTION("""COMPUTED_VALUE"""),"PICHINCHA")</f>
        <v>PICHINCHA</v>
      </c>
      <c r="N1839" s="65" t="str">
        <f>IFERROR(__xludf.DUMMYFUNCTION("""COMPUTED_VALUE"""),"QUITO")</f>
        <v>QUITO</v>
      </c>
      <c r="O1839" s="65" t="str">
        <f>IFERROR(__xludf.DUMMYFUNCTION("""COMPUTED_VALUE"""),"Av.Pedro Vicente Maldonado S7-474 En medio de las dos paradas del trole de chimbaclle -")</f>
        <v>Av.Pedro Vicente Maldonado S7-474 En medio de las dos paradas del trole de chimbaclle -</v>
      </c>
      <c r="P1839" s="65"/>
      <c r="Q1839" s="65" t="str">
        <f>IFERROR(__xludf.DUMMYFUNCTION("""COMPUTED_VALUE"""),"GINTRACOM")</f>
        <v>GINTRACOM</v>
      </c>
      <c r="R1839" s="65">
        <f>IFERROR(__xludf.DUMMYFUNCTION("""COMPUTED_VALUE"""),20.0)</f>
        <v>20</v>
      </c>
      <c r="S1839" s="65"/>
      <c r="T1839" s="65">
        <f>IFERROR(__xludf.DUMMYFUNCTION("""COMPUTED_VALUE"""),4.15)</f>
        <v>4.15</v>
      </c>
      <c r="U1839" s="65">
        <f>IFERROR(__xludf.DUMMYFUNCTION("""COMPUTED_VALUE"""),0.0)</f>
        <v>0</v>
      </c>
      <c r="V1839" s="65">
        <f>IFERROR(__xludf.DUMMYFUNCTION("""COMPUTED_VALUE"""),0.0)</f>
        <v>0</v>
      </c>
      <c r="W1839" s="65">
        <f>IFERROR(__xludf.DUMMYFUNCTION("""COMPUTED_VALUE"""),0.0)</f>
        <v>0</v>
      </c>
      <c r="X1839" s="65">
        <f>IFERROR(__xludf.DUMMYFUNCTION("""COMPUTED_VALUE"""),2.35)</f>
        <v>2.35</v>
      </c>
      <c r="Y1839" s="65">
        <f>IFERROR(__xludf.DUMMYFUNCTION("""COMPUTED_VALUE"""),2.35)</f>
        <v>2.35</v>
      </c>
      <c r="Z1839" s="65">
        <f>IFERROR(__xludf.DUMMYFUNCTION("""COMPUTED_VALUE"""),116679.0)</f>
        <v>116679</v>
      </c>
      <c r="AA1839" s="65" t="str">
        <f>IFERROR(__xludf.DUMMYFUNCTION("""COMPUTED_VALUE"""),"AMC-2738")</f>
        <v>AMC-2738</v>
      </c>
      <c r="AB1839" s="65"/>
      <c r="AC1839" s="65" t="str">
        <f>IFERROR(__xludf.DUMMYFUNCTION("""COMPUTED_VALUE"""),"ESPONJA ANTILLUVIA DE PARABRISAS")</f>
        <v>ESPONJA ANTILLUVIA DE PARABRISAS</v>
      </c>
      <c r="AD1839" s="65"/>
      <c r="AE1839" s="65">
        <f>IFERROR(__xludf.DUMMYFUNCTION("""COMPUTED_VALUE"""),1.0)</f>
        <v>1</v>
      </c>
      <c r="AF1839" s="65"/>
      <c r="AG1839" s="65"/>
      <c r="AH1839" s="65"/>
      <c r="AI1839" s="65"/>
      <c r="AJ1839" s="65"/>
      <c r="AK1839" s="65"/>
      <c r="AL1839" s="65"/>
      <c r="AM1839" s="65"/>
      <c r="AN1839" s="65"/>
      <c r="AO1839" s="65"/>
      <c r="AP1839" s="65"/>
      <c r="AQ1839" s="65"/>
      <c r="AR1839" s="65"/>
      <c r="AS1839" s="65"/>
      <c r="AT1839" s="65" t="str">
        <f>IFERROR(__xludf.DUMMYFUNCTION("""COMPUTED_VALUE"""),"SHOPIFY")</f>
        <v>SHOPIFY</v>
      </c>
      <c r="AU1839" s="65" t="str">
        <f>IFERROR(__xludf.DUMMYFUNCTION("""COMPUTED_VALUE"""),"IMPORTEX EC")</f>
        <v>IMPORTEX EC</v>
      </c>
      <c r="AV1839" s="65" t="str">
        <f>IFERROR(__xludf.DUMMYFUNCTION("""COMPUTED_VALUE"""),"6411298799660")</f>
        <v>6411298799660</v>
      </c>
      <c r="AW1839" s="65">
        <f>IFERROR(__xludf.DUMMYFUNCTION("""COMPUTED_VALUE"""),5112.0)</f>
        <v>5112</v>
      </c>
      <c r="AX1839" s="65"/>
      <c r="AY1839" s="65"/>
      <c r="AZ1839" s="65"/>
      <c r="BA1839" s="65"/>
    </row>
    <row r="1840">
      <c r="A1840" s="65" t="str">
        <f>IFERROR(__xludf.DUMMYFUNCTION("""COMPUTED_VALUE"""),"27-03-2026")</f>
        <v>27-03-2026</v>
      </c>
      <c r="B1840" s="65">
        <f>IFERROR(__xludf.DUMMYFUNCTION("""COMPUTED_VALUE"""),4130588.0)</f>
        <v>4130588</v>
      </c>
      <c r="C1840" s="65" t="str">
        <f>IFERROR(__xludf.DUMMYFUNCTION("""COMPUTED_VALUE"""),"10:55")</f>
        <v>10:55</v>
      </c>
      <c r="D1840" s="65" t="str">
        <f>IFERROR(__xludf.DUMMYFUNCTION("""COMPUTED_VALUE"""),"13-01-2026")</f>
        <v>13-01-2026</v>
      </c>
      <c r="E1840" s="65" t="str">
        <f>IFERROR(__xludf.DUMMYFUNCTION("""COMPUTED_VALUE"""),"Favian Fernández Ramírez")</f>
        <v>Favian Fernández Ramírez</v>
      </c>
      <c r="F1840" s="65" t="str">
        <f>IFERROR(__xludf.DUMMYFUNCTION("""COMPUTED_VALUE"""),"967501391")</f>
        <v>967501391</v>
      </c>
      <c r="G1840" s="65" t="str">
        <f>IFERROR(__xludf.DUMMYFUNCTION("""COMPUTED_VALUE"""),"thelmofavian@gmail.com")</f>
        <v>thelmofavian@gmail.com</v>
      </c>
      <c r="H1840" s="65"/>
      <c r="I1840" s="65"/>
      <c r="J1840" s="65" t="str">
        <f>IFERROR(__xludf.DUMMYFUNCTION("""COMPUTED_VALUE"""),"186974738")</f>
        <v>186974738</v>
      </c>
      <c r="K1840" s="65" t="str">
        <f>IFERROR(__xludf.DUMMYFUNCTION("""COMPUTED_VALUE"""),"DEVOLUCION")</f>
        <v>DEVOLUCION</v>
      </c>
      <c r="L1840" s="65" t="str">
        <f>IFERROR(__xludf.DUMMYFUNCTION("""COMPUTED_VALUE"""),"CON RECAUDO")</f>
        <v>CON RECAUDO</v>
      </c>
      <c r="M1840" s="65" t="str">
        <f>IFERROR(__xludf.DUMMYFUNCTION("""COMPUTED_VALUE"""),"AZUAY")</f>
        <v>AZUAY</v>
      </c>
      <c r="N1840" s="65" t="str">
        <f>IFERROR(__xludf.DUMMYFUNCTION("""COMPUTED_VALUE"""),"SANTA ISABEL")</f>
        <v>SANTA ISABEL</v>
      </c>
      <c r="O1840" s="65" t="str">
        <f>IFERROR(__xludf.DUMMYFUNCTION("""COMPUTED_VALUE"""),"Av. Simon Bolivar y tres de Noviembre Parque central junto a  cooperativa JEP")</f>
        <v>Av. Simon Bolivar y tres de Noviembre Parque central junto a  cooperativa JEP</v>
      </c>
      <c r="P1840" s="65"/>
      <c r="Q1840" s="65" t="str">
        <f>IFERROR(__xludf.DUMMYFUNCTION("""COMPUTED_VALUE"""),"SERVIENTREGA")</f>
        <v>SERVIENTREGA</v>
      </c>
      <c r="R1840" s="65">
        <f>IFERROR(__xludf.DUMMYFUNCTION("""COMPUTED_VALUE"""),30.0)</f>
        <v>30</v>
      </c>
      <c r="S1840" s="65"/>
      <c r="T1840" s="65">
        <f>IFERROR(__xludf.DUMMYFUNCTION("""COMPUTED_VALUE"""),7.82)</f>
        <v>7.82</v>
      </c>
      <c r="U1840" s="65">
        <f>IFERROR(__xludf.DUMMYFUNCTION("""COMPUTED_VALUE"""),0.0)</f>
        <v>0</v>
      </c>
      <c r="V1840" s="65">
        <f>IFERROR(__xludf.DUMMYFUNCTION("""COMPUTED_VALUE"""),0.0)</f>
        <v>0</v>
      </c>
      <c r="W1840" s="65">
        <f>IFERROR(__xludf.DUMMYFUNCTION("""COMPUTED_VALUE"""),0.0)</f>
        <v>0</v>
      </c>
      <c r="X1840" s="65">
        <f>IFERROR(__xludf.DUMMYFUNCTION("""COMPUTED_VALUE"""),2.35)</f>
        <v>2.35</v>
      </c>
      <c r="Y1840" s="65">
        <f>IFERROR(__xludf.DUMMYFUNCTION("""COMPUTED_VALUE"""),7.05)</f>
        <v>7.05</v>
      </c>
      <c r="Z1840" s="65">
        <f>IFERROR(__xludf.DUMMYFUNCTION("""COMPUTED_VALUE"""),116679.0)</f>
        <v>116679</v>
      </c>
      <c r="AA1840" s="65" t="str">
        <f>IFERROR(__xludf.DUMMYFUNCTION("""COMPUTED_VALUE"""),"AMC-2738")</f>
        <v>AMC-2738</v>
      </c>
      <c r="AB1840" s="65"/>
      <c r="AC1840" s="65" t="str">
        <f>IFERROR(__xludf.DUMMYFUNCTION("""COMPUTED_VALUE"""),"ESPONJA ANTILLUVIA DE PARABRISAS")</f>
        <v>ESPONJA ANTILLUVIA DE PARABRISAS</v>
      </c>
      <c r="AD1840" s="65"/>
      <c r="AE1840" s="65">
        <f>IFERROR(__xludf.DUMMYFUNCTION("""COMPUTED_VALUE"""),3.0)</f>
        <v>3</v>
      </c>
      <c r="AF1840" s="65" t="str">
        <f>IFERROR(__xludf.DUMMYFUNCTION("""COMPUTED_VALUE"""),"DEVUELTO DE")</f>
        <v>DEVUELTO DE</v>
      </c>
      <c r="AG1840" s="65" t="str">
        <f>IFERROR(__xludf.DUMMYFUNCTION("""COMPUTED_VALUE"""),"NO")</f>
        <v>NO</v>
      </c>
      <c r="AH1840" s="65" t="str">
        <f>IFERROR(__xludf.DUMMYFUNCTION("""COMPUTED_VALUE"""),"08:51")</f>
        <v>08:51</v>
      </c>
      <c r="AI1840" s="65" t="str">
        <f>IFERROR(__xludf.DUMMYFUNCTION("""COMPUTED_VALUE"""),"24-01-2026")</f>
        <v>24-01-2026</v>
      </c>
      <c r="AJ1840" s="65"/>
      <c r="AK1840" s="65"/>
      <c r="AL1840" s="65"/>
      <c r="AM1840" s="65"/>
      <c r="AN1840" s="65" t="str">
        <f>IFERROR(__xludf.DUMMYFUNCTION("""COMPUTED_VALUE"""),"14:36")</f>
        <v>14:36</v>
      </c>
      <c r="AO1840" s="65" t="str">
        <f>IFERROR(__xludf.DUMMYFUNCTION("""COMPUTED_VALUE"""),"28-01-2026")</f>
        <v>28-01-2026</v>
      </c>
      <c r="AP1840" s="65" t="str">
        <f>IFERROR(__xludf.DUMMYFUNCTION("""COMPUTED_VALUE"""),"EN DISTRIBUCIÓN A CLIENTE")</f>
        <v>EN DISTRIBUCIÓN A CLIENTE</v>
      </c>
      <c r="AQ1840" s="65" t="str">
        <f>IFERROR(__xludf.DUMMYFUNCTION("""COMPUTED_VALUE"""),".")</f>
        <v>.</v>
      </c>
      <c r="AR1840" s="65"/>
      <c r="AS1840" s="65"/>
      <c r="AT1840" s="65" t="str">
        <f>IFERROR(__xludf.DUMMYFUNCTION("""COMPUTED_VALUE"""),"SHOPIFY")</f>
        <v>SHOPIFY</v>
      </c>
      <c r="AU1840" s="65" t="str">
        <f>IFERROR(__xludf.DUMMYFUNCTION("""COMPUTED_VALUE"""),"IMPORTEX EC")</f>
        <v>IMPORTEX EC</v>
      </c>
      <c r="AV1840" s="65" t="str">
        <f>IFERROR(__xludf.DUMMYFUNCTION("""COMPUTED_VALUE"""),"6411288674348")</f>
        <v>6411288674348</v>
      </c>
      <c r="AW1840" s="65">
        <f>IFERROR(__xludf.DUMMYFUNCTION("""COMPUTED_VALUE"""),5111.0)</f>
        <v>5111</v>
      </c>
      <c r="AX1840" s="65"/>
      <c r="AY1840" s="65" t="str">
        <f>IFERROR(__xludf.DUMMYFUNCTION("""COMPUTED_VALUE"""),"14/01/2026")</f>
        <v>14/01/2026</v>
      </c>
      <c r="AZ1840" s="65"/>
      <c r="BA1840" s="65"/>
    </row>
    <row r="1841">
      <c r="A1841" s="65" t="str">
        <f>IFERROR(__xludf.DUMMYFUNCTION("""COMPUTED_VALUE"""),"27-03-2026")</f>
        <v>27-03-2026</v>
      </c>
      <c r="B1841" s="65">
        <f>IFERROR(__xludf.DUMMYFUNCTION("""COMPUTED_VALUE"""),4130488.0)</f>
        <v>4130488</v>
      </c>
      <c r="C1841" s="65" t="str">
        <f>IFERROR(__xludf.DUMMYFUNCTION("""COMPUTED_VALUE"""),"10:46")</f>
        <v>10:46</v>
      </c>
      <c r="D1841" s="65" t="str">
        <f>IFERROR(__xludf.DUMMYFUNCTION("""COMPUTED_VALUE"""),"13-01-2026")</f>
        <v>13-01-2026</v>
      </c>
      <c r="E1841" s="65" t="str">
        <f>IFERROR(__xludf.DUMMYFUNCTION("""COMPUTED_VALUE"""),"Yolanda Sanchez")</f>
        <v>Yolanda Sanchez</v>
      </c>
      <c r="F1841" s="65" t="str">
        <f>IFERROR(__xludf.DUMMYFUNCTION("""COMPUTED_VALUE"""),"992362717")</f>
        <v>992362717</v>
      </c>
      <c r="G1841" s="65" t="str">
        <f>IFERROR(__xludf.DUMMYFUNCTION("""COMPUTED_VALUE"""),"sanchezyolanda644@g.mail.com")</f>
        <v>sanchezyolanda644@g.mail.com</v>
      </c>
      <c r="H1841" s="65"/>
      <c r="I1841" s="65"/>
      <c r="J1841" s="65" t="str">
        <f>IFERROR(__xludf.DUMMYFUNCTION("""COMPUTED_VALUE"""),"186975384")</f>
        <v>186975384</v>
      </c>
      <c r="K1841" s="65" t="str">
        <f>IFERROR(__xludf.DUMMYFUNCTION("""COMPUTED_VALUE"""),"ENTREGADO")</f>
        <v>ENTREGADO</v>
      </c>
      <c r="L1841" s="65" t="str">
        <f>IFERROR(__xludf.DUMMYFUNCTION("""COMPUTED_VALUE"""),"CON RECAUDO")</f>
        <v>CON RECAUDO</v>
      </c>
      <c r="M1841" s="65" t="str">
        <f>IFERROR(__xludf.DUMMYFUNCTION("""COMPUTED_VALUE"""),"GUAYAS")</f>
        <v>GUAYAS</v>
      </c>
      <c r="N1841" s="65" t="str">
        <f>IFERROR(__xludf.DUMMYFUNCTION("""COMPUTED_VALUE"""),"PLAYAS")</f>
        <v>PLAYAS</v>
      </c>
      <c r="O1841" s="65" t="str">
        <f>IFERROR(__xludf.DUMMYFUNCTION("""COMPUTED_VALUE"""),"Avenida Zenón Macías y calle 3 de agosto REF: Mercado municipal de Playas al frente de comisaríato Aki")</f>
        <v>Avenida Zenón Macías y calle 3 de agosto REF: Mercado municipal de Playas al frente de comisaríato Aki</v>
      </c>
      <c r="P1841" s="65"/>
      <c r="Q1841" s="65" t="str">
        <f>IFERROR(__xludf.DUMMYFUNCTION("""COMPUTED_VALUE"""),"SERVIENTREGA")</f>
        <v>SERVIENTREGA</v>
      </c>
      <c r="R1841" s="65">
        <f>IFERROR(__xludf.DUMMYFUNCTION("""COMPUTED_VALUE"""),32.0)</f>
        <v>32</v>
      </c>
      <c r="S1841" s="65">
        <f>IFERROR(__xludf.DUMMYFUNCTION("""COMPUTED_VALUE"""),13.75)</f>
        <v>13.75</v>
      </c>
      <c r="T1841" s="65">
        <f>IFERROR(__xludf.DUMMYFUNCTION("""COMPUTED_VALUE"""),7.85)</f>
        <v>7.85</v>
      </c>
      <c r="U1841" s="65">
        <f>IFERROR(__xludf.DUMMYFUNCTION("""COMPUTED_VALUE"""),0.0)</f>
        <v>0</v>
      </c>
      <c r="V1841" s="65">
        <f>IFERROR(__xludf.DUMMYFUNCTION("""COMPUTED_VALUE"""),0.0)</f>
        <v>0</v>
      </c>
      <c r="W1841" s="65">
        <f>IFERROR(__xludf.DUMMYFUNCTION("""COMPUTED_VALUE"""),0.0)</f>
        <v>0</v>
      </c>
      <c r="X1841" s="65">
        <f>IFERROR(__xludf.DUMMYFUNCTION("""COMPUTED_VALUE"""),2.6)</f>
        <v>2.6</v>
      </c>
      <c r="Y1841" s="65">
        <f>IFERROR(__xludf.DUMMYFUNCTION("""COMPUTED_VALUE"""),10.4)</f>
        <v>10.4</v>
      </c>
      <c r="Z1841" s="65">
        <f>IFERROR(__xludf.DUMMYFUNCTION("""COMPUTED_VALUE"""),121983.0)</f>
        <v>121983</v>
      </c>
      <c r="AA1841" s="65" t="str">
        <f>IFERROR(__xludf.DUMMYFUNCTION("""COMPUTED_VALUE"""),"PROV-CHLLCF")</f>
        <v>PROV-CHLLCF</v>
      </c>
      <c r="AB1841" s="65"/>
      <c r="AC1841" s="65" t="str">
        <f>IFERROR(__xludf.DUMMYFUNCTION("""COMPUTED_VALUE"""),"CUCHILLO PARA CHEF")</f>
        <v>CUCHILLO PARA CHEF</v>
      </c>
      <c r="AD1841" s="65"/>
      <c r="AE1841" s="65">
        <f>IFERROR(__xludf.DUMMYFUNCTION("""COMPUTED_VALUE"""),4.0)</f>
        <v>4</v>
      </c>
      <c r="AF1841" s="65"/>
      <c r="AG1841" s="65"/>
      <c r="AH1841" s="65"/>
      <c r="AI1841" s="65"/>
      <c r="AJ1841" s="65"/>
      <c r="AK1841" s="65"/>
      <c r="AL1841" s="65"/>
      <c r="AM1841" s="65"/>
      <c r="AN1841" s="65" t="str">
        <f>IFERROR(__xludf.DUMMYFUNCTION("""COMPUTED_VALUE"""),"13:08")</f>
        <v>13:08</v>
      </c>
      <c r="AO1841" s="65" t="str">
        <f>IFERROR(__xludf.DUMMYFUNCTION("""COMPUTED_VALUE"""),"05-02-2026")</f>
        <v>05-02-2026</v>
      </c>
      <c r="AP1841" s="65" t="str">
        <f>IFERROR(__xludf.DUMMYFUNCTION("""COMPUTED_VALUE"""),"ENTREGA DIGITALIZADA EN CENTRO LOGISTICO")</f>
        <v>ENTREGA DIGITALIZADA EN CENTRO LOGISTICO</v>
      </c>
      <c r="AQ1841" s="65" t="str">
        <f>IFERROR(__xludf.DUMMYFUNCTION("""COMPUTED_VALUE"""),"yolanda")</f>
        <v>yolanda</v>
      </c>
      <c r="AR1841" s="65"/>
      <c r="AS1841" s="65"/>
      <c r="AT1841" s="65" t="str">
        <f>IFERROR(__xludf.DUMMYFUNCTION("""COMPUTED_VALUE"""),"SHOPIFY")</f>
        <v>SHOPIFY</v>
      </c>
      <c r="AU1841" s="65" t="str">
        <f>IFERROR(__xludf.DUMMYFUNCTION("""COMPUTED_VALUE"""),"IMPORTEX EC")</f>
        <v>IMPORTEX EC</v>
      </c>
      <c r="AV1841" s="65" t="str">
        <f>IFERROR(__xludf.DUMMYFUNCTION("""COMPUTED_VALUE"""),"6411274813484")</f>
        <v>6411274813484</v>
      </c>
      <c r="AW1841" s="65">
        <f>IFERROR(__xludf.DUMMYFUNCTION("""COMPUTED_VALUE"""),5110.0)</f>
        <v>5110</v>
      </c>
      <c r="AX1841" s="65"/>
      <c r="AY1841" s="65" t="str">
        <f>IFERROR(__xludf.DUMMYFUNCTION("""COMPUTED_VALUE"""),"14/01/2026")</f>
        <v>14/01/2026</v>
      </c>
      <c r="AZ1841" s="65"/>
      <c r="BA1841" s="65"/>
    </row>
    <row r="1842">
      <c r="A1842" s="65" t="str">
        <f>IFERROR(__xludf.DUMMYFUNCTION("""COMPUTED_VALUE"""),"27-03-2026")</f>
        <v>27-03-2026</v>
      </c>
      <c r="B1842" s="65">
        <f>IFERROR(__xludf.DUMMYFUNCTION("""COMPUTED_VALUE"""),4130480.0)</f>
        <v>4130480</v>
      </c>
      <c r="C1842" s="65" t="str">
        <f>IFERROR(__xludf.DUMMYFUNCTION("""COMPUTED_VALUE"""),"10:45")</f>
        <v>10:45</v>
      </c>
      <c r="D1842" s="65" t="str">
        <f>IFERROR(__xludf.DUMMYFUNCTION("""COMPUTED_VALUE"""),"13-01-2026")</f>
        <v>13-01-2026</v>
      </c>
      <c r="E1842" s="65" t="str">
        <f>IFERROR(__xludf.DUMMYFUNCTION("""COMPUTED_VALUE"""),"Cristian Condo")</f>
        <v>Cristian Condo</v>
      </c>
      <c r="F1842" s="65" t="str">
        <f>IFERROR(__xludf.DUMMYFUNCTION("""COMPUTED_VALUE"""),"999008054")</f>
        <v>999008054</v>
      </c>
      <c r="G1842" s="65" t="str">
        <f>IFERROR(__xludf.DUMMYFUNCTION("""COMPUTED_VALUE"""),"condocristian82@gmail.com")</f>
        <v>condocristian82@gmail.com</v>
      </c>
      <c r="H1842" s="65"/>
      <c r="I1842" s="65"/>
      <c r="J1842" s="65" t="str">
        <f>IFERROR(__xludf.DUMMYFUNCTION("""COMPUTED_VALUE"""),"D001224167")</f>
        <v>D001224167</v>
      </c>
      <c r="K1842" s="65" t="str">
        <f>IFERROR(__xludf.DUMMYFUNCTION("""COMPUTED_VALUE"""),"DEVOLUCION")</f>
        <v>DEVOLUCION</v>
      </c>
      <c r="L1842" s="65" t="str">
        <f>IFERROR(__xludf.DUMMYFUNCTION("""COMPUTED_VALUE"""),"CON RECAUDO")</f>
        <v>CON RECAUDO</v>
      </c>
      <c r="M1842" s="65" t="str">
        <f>IFERROR(__xludf.DUMMYFUNCTION("""COMPUTED_VALUE"""),"PICHINCHA")</f>
        <v>PICHINCHA</v>
      </c>
      <c r="N1842" s="65" t="str">
        <f>IFERROR(__xludf.DUMMYFUNCTION("""COMPUTED_VALUE"""),"QUITO")</f>
        <v>QUITO</v>
      </c>
      <c r="O1842" s="65" t="str">
        <f>IFERROR(__xludf.DUMMYFUNCTION("""COMPUTED_VALUE"""),"CALLE TIGUA Y S15G SECTOR SAN BARTOLO")</f>
        <v>CALLE TIGUA Y S15G SECTOR SAN BARTOLO</v>
      </c>
      <c r="P1842" s="68" t="str">
        <f>IFERROR(__xludf.DUMMYFUNCTION("""COMPUTED_VALUE"""),"https://www.google.com/maps/place/0%C2%B016'18.3%22S+78%C2%B031'19.6%22W/@-0.2718172,-78.5222227,19.25z/data=!4m4!3m3!8m2!3d-0.2717524!4d-78.522123?hl=es&amp;entry=ttu&amp;g_ep=EgoyMDI2MDEwNy4wIKXMDSoASAFQAw%3D%3D")</f>
        <v>https://www.google.com/maps/place/0%C2%B016'18.3%22S+78%C2%B031'19.6%22W/@-0.2718172,-78.5222227,19.25z/data=!4m4!3m3!8m2!3d-0.2717524!4d-78.522123?hl=es&amp;entry=ttu&amp;g_ep=EgoyMDI2MDEwNy4wIKXMDSoASAFQAw%3D%3D</v>
      </c>
      <c r="Q1842" s="65" t="str">
        <f>IFERROR(__xludf.DUMMYFUNCTION("""COMPUTED_VALUE"""),"GINTRACOM")</f>
        <v>GINTRACOM</v>
      </c>
      <c r="R1842" s="65">
        <f>IFERROR(__xludf.DUMMYFUNCTION("""COMPUTED_VALUE"""),30.0)</f>
        <v>30</v>
      </c>
      <c r="S1842" s="65"/>
      <c r="T1842" s="65">
        <f>IFERROR(__xludf.DUMMYFUNCTION("""COMPUTED_VALUE"""),4.55)</f>
        <v>4.55</v>
      </c>
      <c r="U1842" s="65">
        <f>IFERROR(__xludf.DUMMYFUNCTION("""COMPUTED_VALUE"""),0.0)</f>
        <v>0</v>
      </c>
      <c r="V1842" s="65">
        <f>IFERROR(__xludf.DUMMYFUNCTION("""COMPUTED_VALUE"""),0.0)</f>
        <v>0</v>
      </c>
      <c r="W1842" s="65">
        <f>IFERROR(__xludf.DUMMYFUNCTION("""COMPUTED_VALUE"""),0.0)</f>
        <v>0</v>
      </c>
      <c r="X1842" s="65">
        <f>IFERROR(__xludf.DUMMYFUNCTION("""COMPUTED_VALUE"""),2.35)</f>
        <v>2.35</v>
      </c>
      <c r="Y1842" s="65">
        <f>IFERROR(__xludf.DUMMYFUNCTION("""COMPUTED_VALUE"""),7.05)</f>
        <v>7.05</v>
      </c>
      <c r="Z1842" s="65">
        <f>IFERROR(__xludf.DUMMYFUNCTION("""COMPUTED_VALUE"""),116679.0)</f>
        <v>116679</v>
      </c>
      <c r="AA1842" s="65" t="str">
        <f>IFERROR(__xludf.DUMMYFUNCTION("""COMPUTED_VALUE"""),"AMC-2738")</f>
        <v>AMC-2738</v>
      </c>
      <c r="AB1842" s="65"/>
      <c r="AC1842" s="65" t="str">
        <f>IFERROR(__xludf.DUMMYFUNCTION("""COMPUTED_VALUE"""),"ESPONJA ANTILLUVIA DE PARABRISAS")</f>
        <v>ESPONJA ANTILLUVIA DE PARABRISAS</v>
      </c>
      <c r="AD1842" s="65"/>
      <c r="AE1842" s="65">
        <f>IFERROR(__xludf.DUMMYFUNCTION("""COMPUTED_VALUE"""),3.0)</f>
        <v>3</v>
      </c>
      <c r="AF1842" s="65" t="str">
        <f>IFERROR(__xludf.DUMMYFUNCTION("""COMPUTED_VALUE"""),"DESTINATARIO NO CONTESTA LLAMADAS NI WHATSAPP")</f>
        <v>DESTINATARIO NO CONTESTA LLAMADAS NI WHATSAPP</v>
      </c>
      <c r="AG1842" s="65" t="str">
        <f>IFERROR(__xludf.DUMMYFUNCTION("""COMPUTED_VALUE"""),"NO")</f>
        <v>NO</v>
      </c>
      <c r="AH1842" s="65" t="str">
        <f>IFERROR(__xludf.DUMMYFUNCTION("""COMPUTED_VALUE"""),"09:00")</f>
        <v>09:00</v>
      </c>
      <c r="AI1842" s="65" t="str">
        <f>IFERROR(__xludf.DUMMYFUNCTION("""COMPUTED_VALUE"""),"20-01-2026")</f>
        <v>20-01-2026</v>
      </c>
      <c r="AJ1842" s="65"/>
      <c r="AK1842" s="65"/>
      <c r="AL1842" s="65"/>
      <c r="AM1842" s="65"/>
      <c r="AN1842" s="65" t="str">
        <f>IFERROR(__xludf.DUMMYFUNCTION("""COMPUTED_VALUE"""),"01:33")</f>
        <v>01:33</v>
      </c>
      <c r="AO1842" s="65" t="str">
        <f>IFERROR(__xludf.DUMMYFUNCTION("""COMPUTED_VALUE"""),"26-01-2026")</f>
        <v>26-01-2026</v>
      </c>
      <c r="AP1842" s="65" t="str">
        <f>IFERROR(__xludf.DUMMYFUNCTION("""COMPUTED_VALUE"""),"DEVOLUCIÓN")</f>
        <v>DEVOLUCIÓN</v>
      </c>
      <c r="AQ1842" s="65" t="str">
        <f>IFERROR(__xludf.DUMMYFUNCTION("""COMPUTED_VALUE"""),"DEVOLUCIÓN")</f>
        <v>DEVOLUCIÓN</v>
      </c>
      <c r="AR1842" s="65"/>
      <c r="AS1842" s="65"/>
      <c r="AT1842" s="65" t="str">
        <f>IFERROR(__xludf.DUMMYFUNCTION("""COMPUTED_VALUE"""),"SHOPIFY")</f>
        <v>SHOPIFY</v>
      </c>
      <c r="AU1842" s="65" t="str">
        <f>IFERROR(__xludf.DUMMYFUNCTION("""COMPUTED_VALUE"""),"IMPORTEX EC")</f>
        <v>IMPORTEX EC</v>
      </c>
      <c r="AV1842" s="65" t="str">
        <f>IFERROR(__xludf.DUMMYFUNCTION("""COMPUTED_VALUE"""),"6407797637164")</f>
        <v>6407797637164</v>
      </c>
      <c r="AW1842" s="65">
        <f>IFERROR(__xludf.DUMMYFUNCTION("""COMPUTED_VALUE"""),4955.0)</f>
        <v>4955</v>
      </c>
      <c r="AX1842" s="65"/>
      <c r="AY1842" s="65" t="str">
        <f>IFERROR(__xludf.DUMMYFUNCTION("""COMPUTED_VALUE"""),"14/01/2026")</f>
        <v>14/01/2026</v>
      </c>
      <c r="AZ1842" s="65"/>
      <c r="BA1842" s="65"/>
    </row>
    <row r="1843">
      <c r="A1843" s="65" t="str">
        <f>IFERROR(__xludf.DUMMYFUNCTION("""COMPUTED_VALUE"""),"27-03-2026")</f>
        <v>27-03-2026</v>
      </c>
      <c r="B1843" s="65">
        <f>IFERROR(__xludf.DUMMYFUNCTION("""COMPUTED_VALUE"""),4130306.0)</f>
        <v>4130306</v>
      </c>
      <c r="C1843" s="65" t="str">
        <f>IFERROR(__xludf.DUMMYFUNCTION("""COMPUTED_VALUE"""),"10:30")</f>
        <v>10:30</v>
      </c>
      <c r="D1843" s="65" t="str">
        <f>IFERROR(__xludf.DUMMYFUNCTION("""COMPUTED_VALUE"""),"13-01-2026")</f>
        <v>13-01-2026</v>
      </c>
      <c r="E1843" s="65" t="str">
        <f>IFERROR(__xludf.DUMMYFUNCTION("""COMPUTED_VALUE"""),"Edison Cedeño")</f>
        <v>Edison Cedeño</v>
      </c>
      <c r="F1843" s="65" t="str">
        <f>IFERROR(__xludf.DUMMYFUNCTION("""COMPUTED_VALUE"""),"994111317")</f>
        <v>994111317</v>
      </c>
      <c r="G1843" s="65" t="str">
        <f>IFERROR(__xludf.DUMMYFUNCTION("""COMPUTED_VALUE"""),"edison.cede@yahoo.es")</f>
        <v>edison.cede@yahoo.es</v>
      </c>
      <c r="H1843" s="65"/>
      <c r="I1843" s="65"/>
      <c r="J1843" s="65"/>
      <c r="K1843" s="65" t="str">
        <f>IFERROR(__xludf.DUMMYFUNCTION("""COMPUTED_VALUE"""),"PENDIENTE CONFIRMACION")</f>
        <v>PENDIENTE CONFIRMACION</v>
      </c>
      <c r="L1843" s="65" t="str">
        <f>IFERROR(__xludf.DUMMYFUNCTION("""COMPUTED_VALUE"""),"CON RECAUDO")</f>
        <v>CON RECAUDO</v>
      </c>
      <c r="M1843" s="65" t="str">
        <f>IFERROR(__xludf.DUMMYFUNCTION("""COMPUTED_VALUE"""),"MANABI")</f>
        <v>MANABI</v>
      </c>
      <c r="N1843" s="65" t="str">
        <f>IFERROR(__xludf.DUMMYFUNCTION("""COMPUTED_VALUE"""),"MANTA")</f>
        <v>MANTA</v>
      </c>
      <c r="O1843" s="65" t="str">
        <f>IFERROR(__xludf.DUMMYFUNCTION("""COMPUTED_VALUE"""),"Pasando Colegio Leonardo Da Vinci")</f>
        <v>Pasando Colegio Leonardo Da Vinci</v>
      </c>
      <c r="P1843" s="65" t="str">
        <f>IFERROR(__xludf.DUMMYFUNCTION("""COMPUTED_VALUE"""),"CUCHILLO PARA CHEF: Default Title ***")</f>
        <v>CUCHILLO PARA CHEF: Default Title ***</v>
      </c>
      <c r="Q1843" s="65" t="str">
        <f>IFERROR(__xludf.DUMMYFUNCTION("""COMPUTED_VALUE"""),"GINTRACOM")</f>
        <v>GINTRACOM</v>
      </c>
      <c r="R1843" s="65">
        <f>IFERROR(__xludf.DUMMYFUNCTION("""COMPUTED_VALUE"""),21.99)</f>
        <v>21.99</v>
      </c>
      <c r="S1843" s="65"/>
      <c r="T1843" s="65">
        <f>IFERROR(__xludf.DUMMYFUNCTION("""COMPUTED_VALUE"""),5.84)</f>
        <v>5.84</v>
      </c>
      <c r="U1843" s="65">
        <f>IFERROR(__xludf.DUMMYFUNCTION("""COMPUTED_VALUE"""),0.0)</f>
        <v>0</v>
      </c>
      <c r="V1843" s="65">
        <f>IFERROR(__xludf.DUMMYFUNCTION("""COMPUTED_VALUE"""),0.0)</f>
        <v>0</v>
      </c>
      <c r="W1843" s="65">
        <f>IFERROR(__xludf.DUMMYFUNCTION("""COMPUTED_VALUE"""),0.0)</f>
        <v>0</v>
      </c>
      <c r="X1843" s="65">
        <f>IFERROR(__xludf.DUMMYFUNCTION("""COMPUTED_VALUE"""),2.6)</f>
        <v>2.6</v>
      </c>
      <c r="Y1843" s="65">
        <f>IFERROR(__xludf.DUMMYFUNCTION("""COMPUTED_VALUE"""),2.6)</f>
        <v>2.6</v>
      </c>
      <c r="Z1843" s="65">
        <f>IFERROR(__xludf.DUMMYFUNCTION("""COMPUTED_VALUE"""),121983.0)</f>
        <v>121983</v>
      </c>
      <c r="AA1843" s="65" t="str">
        <f>IFERROR(__xludf.DUMMYFUNCTION("""COMPUTED_VALUE"""),"PROV-CHLLCF")</f>
        <v>PROV-CHLLCF</v>
      </c>
      <c r="AB1843" s="65"/>
      <c r="AC1843" s="65" t="str">
        <f>IFERROR(__xludf.DUMMYFUNCTION("""COMPUTED_VALUE"""),"CUCHILLO PARA CHEF")</f>
        <v>CUCHILLO PARA CHEF</v>
      </c>
      <c r="AD1843" s="65"/>
      <c r="AE1843" s="65">
        <f>IFERROR(__xludf.DUMMYFUNCTION("""COMPUTED_VALUE"""),1.0)</f>
        <v>1</v>
      </c>
      <c r="AF1843" s="65"/>
      <c r="AG1843" s="65"/>
      <c r="AH1843" s="65"/>
      <c r="AI1843" s="65"/>
      <c r="AJ1843" s="65"/>
      <c r="AK1843" s="65"/>
      <c r="AL1843" s="65"/>
      <c r="AM1843" s="65"/>
      <c r="AN1843" s="65"/>
      <c r="AO1843" s="65"/>
      <c r="AP1843" s="65"/>
      <c r="AQ1843" s="65"/>
      <c r="AR1843" s="65"/>
      <c r="AS1843" s="65"/>
      <c r="AT1843" s="65" t="str">
        <f>IFERROR(__xludf.DUMMYFUNCTION("""COMPUTED_VALUE"""),"SHOPIFY")</f>
        <v>SHOPIFY</v>
      </c>
      <c r="AU1843" s="65" t="str">
        <f>IFERROR(__xludf.DUMMYFUNCTION("""COMPUTED_VALUE"""),"IMPORTEX EC")</f>
        <v>IMPORTEX EC</v>
      </c>
      <c r="AV1843" s="65" t="str">
        <f>IFERROR(__xludf.DUMMYFUNCTION("""COMPUTED_VALUE"""),"6411242831916")</f>
        <v>6411242831916</v>
      </c>
      <c r="AW1843" s="65">
        <f>IFERROR(__xludf.DUMMYFUNCTION("""COMPUTED_VALUE"""),5109.0)</f>
        <v>5109</v>
      </c>
      <c r="AX1843" s="65"/>
      <c r="AY1843" s="65"/>
      <c r="AZ1843" s="65"/>
      <c r="BA1843" s="65"/>
    </row>
    <row r="1844">
      <c r="A1844" s="65" t="str">
        <f>IFERROR(__xludf.DUMMYFUNCTION("""COMPUTED_VALUE"""),"27-03-2026")</f>
        <v>27-03-2026</v>
      </c>
      <c r="B1844" s="65">
        <f>IFERROR(__xludf.DUMMYFUNCTION("""COMPUTED_VALUE"""),4130118.0)</f>
        <v>4130118</v>
      </c>
      <c r="C1844" s="65" t="str">
        <f>IFERROR(__xludf.DUMMYFUNCTION("""COMPUTED_VALUE"""),"10:16")</f>
        <v>10:16</v>
      </c>
      <c r="D1844" s="65" t="str">
        <f>IFERROR(__xludf.DUMMYFUNCTION("""COMPUTED_VALUE"""),"13-01-2026")</f>
        <v>13-01-2026</v>
      </c>
      <c r="E1844" s="65" t="str">
        <f>IFERROR(__xludf.DUMMYFUNCTION("""COMPUTED_VALUE"""),"César Carrera")</f>
        <v>César Carrera</v>
      </c>
      <c r="F1844" s="65" t="str">
        <f>IFERROR(__xludf.DUMMYFUNCTION("""COMPUTED_VALUE"""),"998109131")</f>
        <v>998109131</v>
      </c>
      <c r="G1844" s="65" t="str">
        <f>IFERROR(__xludf.DUMMYFUNCTION("""COMPUTED_VALUE"""),"cesar.carrera@429gmail.com")</f>
        <v>cesar.carrera@429gmail.com</v>
      </c>
      <c r="H1844" s="65"/>
      <c r="I1844" s="65"/>
      <c r="J1844" s="65" t="str">
        <f>IFERROR(__xludf.DUMMYFUNCTION("""COMPUTED_VALUE"""),"D001224262")</f>
        <v>D001224262</v>
      </c>
      <c r="K1844" s="65" t="str">
        <f>IFERROR(__xludf.DUMMYFUNCTION("""COMPUTED_VALUE"""),"ENTREGADO")</f>
        <v>ENTREGADO</v>
      </c>
      <c r="L1844" s="65" t="str">
        <f>IFERROR(__xludf.DUMMYFUNCTION("""COMPUTED_VALUE"""),"CON RECAUDO")</f>
        <v>CON RECAUDO</v>
      </c>
      <c r="M1844" s="65" t="str">
        <f>IFERROR(__xludf.DUMMYFUNCTION("""COMPUTED_VALUE"""),"PICHINCHA")</f>
        <v>PICHINCHA</v>
      </c>
      <c r="N1844" s="65" t="str">
        <f>IFERROR(__xludf.DUMMYFUNCTION("""COMPUTED_VALUE"""),"QUITO")</f>
        <v>QUITO</v>
      </c>
      <c r="O1844" s="65" t="str">
        <f>IFERROR(__xludf.DUMMYFUNCTION("""COMPUTED_VALUE"""),"Esteban Riera y José Argudo S2177 Solanda  REF: Parqueadero venta de  gas")</f>
        <v>Esteban Riera y José Argudo S2177 Solanda  REF: Parqueadero venta de  gas</v>
      </c>
      <c r="P1844" s="65"/>
      <c r="Q1844" s="65" t="str">
        <f>IFERROR(__xludf.DUMMYFUNCTION("""COMPUTED_VALUE"""),"GINTRACOM")</f>
        <v>GINTRACOM</v>
      </c>
      <c r="R1844" s="65">
        <f>IFERROR(__xludf.DUMMYFUNCTION("""COMPUTED_VALUE"""),25.0)</f>
        <v>25</v>
      </c>
      <c r="S1844" s="65">
        <f>IFERROR(__xludf.DUMMYFUNCTION("""COMPUTED_VALUE"""),15.95)</f>
        <v>15.95</v>
      </c>
      <c r="T1844" s="65">
        <f>IFERROR(__xludf.DUMMYFUNCTION("""COMPUTED_VALUE"""),4.35)</f>
        <v>4.35</v>
      </c>
      <c r="U1844" s="65">
        <f>IFERROR(__xludf.DUMMYFUNCTION("""COMPUTED_VALUE"""),0.0)</f>
        <v>0</v>
      </c>
      <c r="V1844" s="65">
        <f>IFERROR(__xludf.DUMMYFUNCTION("""COMPUTED_VALUE"""),0.0)</f>
        <v>0</v>
      </c>
      <c r="W1844" s="65">
        <f>IFERROR(__xludf.DUMMYFUNCTION("""COMPUTED_VALUE"""),0.0)</f>
        <v>0</v>
      </c>
      <c r="X1844" s="65">
        <f>IFERROR(__xludf.DUMMYFUNCTION("""COMPUTED_VALUE"""),2.35)</f>
        <v>2.35</v>
      </c>
      <c r="Y1844" s="65">
        <f>IFERROR(__xludf.DUMMYFUNCTION("""COMPUTED_VALUE"""),4.7)</f>
        <v>4.7</v>
      </c>
      <c r="Z1844" s="65">
        <f>IFERROR(__xludf.DUMMYFUNCTION("""COMPUTED_VALUE"""),116679.0)</f>
        <v>116679</v>
      </c>
      <c r="AA1844" s="65" t="str">
        <f>IFERROR(__xludf.DUMMYFUNCTION("""COMPUTED_VALUE"""),"AMC-2738")</f>
        <v>AMC-2738</v>
      </c>
      <c r="AB1844" s="65"/>
      <c r="AC1844" s="65" t="str">
        <f>IFERROR(__xludf.DUMMYFUNCTION("""COMPUTED_VALUE"""),"ESPONJA ANTILLUVIA DE PARABRISAS")</f>
        <v>ESPONJA ANTILLUVIA DE PARABRISAS</v>
      </c>
      <c r="AD1844" s="65"/>
      <c r="AE1844" s="65">
        <f>IFERROR(__xludf.DUMMYFUNCTION("""COMPUTED_VALUE"""),2.0)</f>
        <v>2</v>
      </c>
      <c r="AF1844" s="65"/>
      <c r="AG1844" s="65"/>
      <c r="AH1844" s="65"/>
      <c r="AI1844" s="65"/>
      <c r="AJ1844" s="65"/>
      <c r="AK1844" s="65"/>
      <c r="AL1844" s="65"/>
      <c r="AM1844" s="65"/>
      <c r="AN1844" s="65" t="str">
        <f>IFERROR(__xludf.DUMMYFUNCTION("""COMPUTED_VALUE"""),"10:32")</f>
        <v>10:32</v>
      </c>
      <c r="AO1844" s="65" t="str">
        <f>IFERROR(__xludf.DUMMYFUNCTION("""COMPUTED_VALUE"""),"16-01-2026")</f>
        <v>16-01-2026</v>
      </c>
      <c r="AP1844" s="65" t="str">
        <f>IFERROR(__xludf.DUMMYFUNCTION("""COMPUTED_VALUE"""),"EN REPARTO")</f>
        <v>EN REPARTO</v>
      </c>
      <c r="AQ1844" s="65" t="str">
        <f>IFERROR(__xludf.DUMMYFUNCTION("""COMPUTED_VALUE"""),"EN REPARTO")</f>
        <v>EN REPARTO</v>
      </c>
      <c r="AR1844" s="65"/>
      <c r="AS1844" s="65"/>
      <c r="AT1844" s="65" t="str">
        <f>IFERROR(__xludf.DUMMYFUNCTION("""COMPUTED_VALUE"""),"SHOPIFY")</f>
        <v>SHOPIFY</v>
      </c>
      <c r="AU1844" s="65" t="str">
        <f>IFERROR(__xludf.DUMMYFUNCTION("""COMPUTED_VALUE"""),"IMPORTEX EC")</f>
        <v>IMPORTEX EC</v>
      </c>
      <c r="AV1844" s="65" t="str">
        <f>IFERROR(__xludf.DUMMYFUNCTION("""COMPUTED_VALUE"""),"6411223302188")</f>
        <v>6411223302188</v>
      </c>
      <c r="AW1844" s="65">
        <f>IFERROR(__xludf.DUMMYFUNCTION("""COMPUTED_VALUE"""),5108.0)</f>
        <v>5108</v>
      </c>
      <c r="AX1844" s="65"/>
      <c r="AY1844" s="65" t="str">
        <f>IFERROR(__xludf.DUMMYFUNCTION("""COMPUTED_VALUE"""),"14/01/2026")</f>
        <v>14/01/2026</v>
      </c>
      <c r="AZ1844" s="65"/>
      <c r="BA1844" s="65"/>
    </row>
    <row r="1845">
      <c r="A1845" s="65" t="str">
        <f>IFERROR(__xludf.DUMMYFUNCTION("""COMPUTED_VALUE"""),"27-03-2026")</f>
        <v>27-03-2026</v>
      </c>
      <c r="B1845" s="65">
        <f>IFERROR(__xludf.DUMMYFUNCTION("""COMPUTED_VALUE"""),4129827.0)</f>
        <v>4129827</v>
      </c>
      <c r="C1845" s="65" t="str">
        <f>IFERROR(__xludf.DUMMYFUNCTION("""COMPUTED_VALUE"""),"09:57")</f>
        <v>09:57</v>
      </c>
      <c r="D1845" s="65" t="str">
        <f>IFERROR(__xludf.DUMMYFUNCTION("""COMPUTED_VALUE"""),"13-01-2026")</f>
        <v>13-01-2026</v>
      </c>
      <c r="E1845" s="65" t="str">
        <f>IFERROR(__xludf.DUMMYFUNCTION("""COMPUTED_VALUE"""),"Walter Stalin Aguirre Mayo")</f>
        <v>Walter Stalin Aguirre Mayo</v>
      </c>
      <c r="F1845" s="65" t="str">
        <f>IFERROR(__xludf.DUMMYFUNCTION("""COMPUTED_VALUE"""),"959286250")</f>
        <v>959286250</v>
      </c>
      <c r="G1845" s="65"/>
      <c r="H1845" s="65"/>
      <c r="I1845" s="65"/>
      <c r="J1845" s="65" t="str">
        <f>IFERROR(__xludf.DUMMYFUNCTION("""COMPUTED_VALUE"""),"186973343")</f>
        <v>186973343</v>
      </c>
      <c r="K1845" s="65" t="str">
        <f>IFERROR(__xludf.DUMMYFUNCTION("""COMPUTED_VALUE"""),"ENTREGADO")</f>
        <v>ENTREGADO</v>
      </c>
      <c r="L1845" s="65" t="str">
        <f>IFERROR(__xludf.DUMMYFUNCTION("""COMPUTED_VALUE"""),"CON RECAUDO")</f>
        <v>CON RECAUDO</v>
      </c>
      <c r="M1845" s="65" t="str">
        <f>IFERROR(__xludf.DUMMYFUNCTION("""COMPUTED_VALUE"""),"ZAMORA CHINCHIPE")</f>
        <v>ZAMORA CHINCHIPE</v>
      </c>
      <c r="N1845" s="65" t="str">
        <f>IFERROR(__xludf.DUMMYFUNCTION("""COMPUTED_VALUE"""),"ZUMBA")</f>
        <v>ZUMBA</v>
      </c>
      <c r="O1845" s="65" t="str">
        <f>IFERROR(__xludf.DUMMYFUNCTION("""COMPUTED_VALUE"""),"(SERVIENTREGA) CS: ZUMBA_LIBERTADORES ORELLANA Y CABO MINACHO ATRAS DE LA IGLESIA ZUMBA")</f>
        <v>(SERVIENTREGA) CS: ZUMBA_LIBERTADORES ORELLANA Y CABO MINACHO ATRAS DE LA IGLESIA ZUMBA</v>
      </c>
      <c r="P1845" s="65"/>
      <c r="Q1845" s="65" t="str">
        <f>IFERROR(__xludf.DUMMYFUNCTION("""COMPUTED_VALUE"""),"SERVIENTREGA")</f>
        <v>SERVIENTREGA</v>
      </c>
      <c r="R1845" s="65">
        <f>IFERROR(__xludf.DUMMYFUNCTION("""COMPUTED_VALUE"""),32.0)</f>
        <v>32</v>
      </c>
      <c r="S1845" s="65">
        <f>IFERROR(__xludf.DUMMYFUNCTION("""COMPUTED_VALUE"""),13.75)</f>
        <v>13.75</v>
      </c>
      <c r="T1845" s="65">
        <f>IFERROR(__xludf.DUMMYFUNCTION("""COMPUTED_VALUE"""),7.85)</f>
        <v>7.85</v>
      </c>
      <c r="U1845" s="65">
        <f>IFERROR(__xludf.DUMMYFUNCTION("""COMPUTED_VALUE"""),0.0)</f>
        <v>0</v>
      </c>
      <c r="V1845" s="65">
        <f>IFERROR(__xludf.DUMMYFUNCTION("""COMPUTED_VALUE"""),0.0)</f>
        <v>0</v>
      </c>
      <c r="W1845" s="65">
        <f>IFERROR(__xludf.DUMMYFUNCTION("""COMPUTED_VALUE"""),0.0)</f>
        <v>0</v>
      </c>
      <c r="X1845" s="65">
        <f>IFERROR(__xludf.DUMMYFUNCTION("""COMPUTED_VALUE"""),2.6)</f>
        <v>2.6</v>
      </c>
      <c r="Y1845" s="65">
        <f>IFERROR(__xludf.DUMMYFUNCTION("""COMPUTED_VALUE"""),10.4)</f>
        <v>10.4</v>
      </c>
      <c r="Z1845" s="65">
        <f>IFERROR(__xludf.DUMMYFUNCTION("""COMPUTED_VALUE"""),121983.0)</f>
        <v>121983</v>
      </c>
      <c r="AA1845" s="65" t="str">
        <f>IFERROR(__xludf.DUMMYFUNCTION("""COMPUTED_VALUE"""),"PROV-CHLLCF")</f>
        <v>PROV-CHLLCF</v>
      </c>
      <c r="AB1845" s="65"/>
      <c r="AC1845" s="65" t="str">
        <f>IFERROR(__xludf.DUMMYFUNCTION("""COMPUTED_VALUE"""),"CUCHILLO PARA CHEF")</f>
        <v>CUCHILLO PARA CHEF</v>
      </c>
      <c r="AD1845" s="65"/>
      <c r="AE1845" s="65">
        <f>IFERROR(__xludf.DUMMYFUNCTION("""COMPUTED_VALUE"""),4.0)</f>
        <v>4</v>
      </c>
      <c r="AF1845" s="65"/>
      <c r="AG1845" s="65"/>
      <c r="AH1845" s="65"/>
      <c r="AI1845" s="65"/>
      <c r="AJ1845" s="65"/>
      <c r="AK1845" s="65"/>
      <c r="AL1845" s="65"/>
      <c r="AM1845" s="65"/>
      <c r="AN1845" s="65" t="str">
        <f>IFERROR(__xludf.DUMMYFUNCTION("""COMPUTED_VALUE"""),"15:38")</f>
        <v>15:38</v>
      </c>
      <c r="AO1845" s="65" t="str">
        <f>IFERROR(__xludf.DUMMYFUNCTION("""COMPUTED_VALUE"""),"20-02-2026")</f>
        <v>20-02-2026</v>
      </c>
      <c r="AP1845" s="65" t="str">
        <f>IFERROR(__xludf.DUMMYFUNCTION("""COMPUTED_VALUE"""),"ENTREGA DIGITALIZADA EN CENTRO LOGISTICO")</f>
        <v>ENTREGA DIGITALIZADA EN CENTRO LOGISTICO</v>
      </c>
      <c r="AQ1845" s="65" t="str">
        <f>IFERROR(__xludf.DUMMYFUNCTION("""COMPUTED_VALUE"""),"WALTER AGUIRRE")</f>
        <v>WALTER AGUIRRE</v>
      </c>
      <c r="AR1845" s="65"/>
      <c r="AS1845" s="65" t="str">
        <f>IFERROR(__xludf.DUMMYFUNCTION("""COMPUTED_VALUE"""),"Bayron Gomez")</f>
        <v>Bayron Gomez</v>
      </c>
      <c r="AT1845" s="65"/>
      <c r="AU1845" s="65"/>
      <c r="AV1845" s="65"/>
      <c r="AW1845" s="65"/>
      <c r="AX1845" s="65"/>
      <c r="AY1845" s="65" t="str">
        <f>IFERROR(__xludf.DUMMYFUNCTION("""COMPUTED_VALUE"""),"14/01/2026")</f>
        <v>14/01/2026</v>
      </c>
      <c r="AZ1845" s="65"/>
      <c r="BA1845" s="65"/>
    </row>
    <row r="1846">
      <c r="A1846" s="65" t="str">
        <f>IFERROR(__xludf.DUMMYFUNCTION("""COMPUTED_VALUE"""),"27-03-2026")</f>
        <v>27-03-2026</v>
      </c>
      <c r="B1846" s="65">
        <f>IFERROR(__xludf.DUMMYFUNCTION("""COMPUTED_VALUE"""),4129796.0)</f>
        <v>4129796</v>
      </c>
      <c r="C1846" s="65" t="str">
        <f>IFERROR(__xludf.DUMMYFUNCTION("""COMPUTED_VALUE"""),"09:53")</f>
        <v>09:53</v>
      </c>
      <c r="D1846" s="65" t="str">
        <f>IFERROR(__xludf.DUMMYFUNCTION("""COMPUTED_VALUE"""),"13-01-2026")</f>
        <v>13-01-2026</v>
      </c>
      <c r="E1846" s="65" t="str">
        <f>IFERROR(__xludf.DUMMYFUNCTION("""COMPUTED_VALUE"""),"Veronica 171563309$")</f>
        <v>Veronica 171563309$</v>
      </c>
      <c r="F1846" s="65" t="str">
        <f>IFERROR(__xludf.DUMMYFUNCTION("""COMPUTED_VALUE"""),"990748957")</f>
        <v>990748957</v>
      </c>
      <c r="G1846" s="65" t="str">
        <f>IFERROR(__xludf.DUMMYFUNCTION("""COMPUTED_VALUE"""),"vmeza8812@gmail.com")</f>
        <v>vmeza8812@gmail.com</v>
      </c>
      <c r="H1846" s="65"/>
      <c r="I1846" s="65"/>
      <c r="J1846" s="65" t="str">
        <f>IFERROR(__xludf.DUMMYFUNCTION("""COMPUTED_VALUE"""),"D001222983")</f>
        <v>D001222983</v>
      </c>
      <c r="K1846" s="65" t="str">
        <f>IFERROR(__xludf.DUMMYFUNCTION("""COMPUTED_VALUE"""),"ENTREGADO")</f>
        <v>ENTREGADO</v>
      </c>
      <c r="L1846" s="65" t="str">
        <f>IFERROR(__xludf.DUMMYFUNCTION("""COMPUTED_VALUE"""),"CON RECAUDO")</f>
        <v>CON RECAUDO</v>
      </c>
      <c r="M1846" s="65" t="str">
        <f>IFERROR(__xludf.DUMMYFUNCTION("""COMPUTED_VALUE"""),"PICHINCHA")</f>
        <v>PICHINCHA</v>
      </c>
      <c r="N1846" s="65" t="str">
        <f>IFERROR(__xludf.DUMMYFUNCTION("""COMPUTED_VALUE"""),"CAYAMBE")</f>
        <v>CAYAMBE</v>
      </c>
      <c r="O1846" s="65" t="str">
        <f>IFERROR(__xludf.DUMMYFUNCTION("""COMPUTED_VALUE"""),"Avenida Víctor Cartagena La estación - Junto al restaurante Ricon carchence")</f>
        <v>Avenida Víctor Cartagena La estación - Junto al restaurante Ricon carchence</v>
      </c>
      <c r="P1846" s="65"/>
      <c r="Q1846" s="65" t="str">
        <f>IFERROR(__xludf.DUMMYFUNCTION("""COMPUTED_VALUE"""),"GINTRACOM")</f>
        <v>GINTRACOM</v>
      </c>
      <c r="R1846" s="65">
        <f>IFERROR(__xludf.DUMMYFUNCTION("""COMPUTED_VALUE"""),27.0)</f>
        <v>27</v>
      </c>
      <c r="S1846" s="65">
        <f>IFERROR(__xludf.DUMMYFUNCTION("""COMPUTED_VALUE"""),13.17)</f>
        <v>13.17</v>
      </c>
      <c r="T1846" s="65">
        <f>IFERROR(__xludf.DUMMYFUNCTION("""COMPUTED_VALUE"""),6.03)</f>
        <v>6.03</v>
      </c>
      <c r="U1846" s="65">
        <f>IFERROR(__xludf.DUMMYFUNCTION("""COMPUTED_VALUE"""),0.0)</f>
        <v>0</v>
      </c>
      <c r="V1846" s="65">
        <f>IFERROR(__xludf.DUMMYFUNCTION("""COMPUTED_VALUE"""),0.0)</f>
        <v>0</v>
      </c>
      <c r="W1846" s="65">
        <f>IFERROR(__xludf.DUMMYFUNCTION("""COMPUTED_VALUE"""),0.0)</f>
        <v>0</v>
      </c>
      <c r="X1846" s="65">
        <f>IFERROR(__xludf.DUMMYFUNCTION("""COMPUTED_VALUE"""),2.6)</f>
        <v>2.6</v>
      </c>
      <c r="Y1846" s="65">
        <f>IFERROR(__xludf.DUMMYFUNCTION("""COMPUTED_VALUE"""),7.8)</f>
        <v>7.8</v>
      </c>
      <c r="Z1846" s="65">
        <f>IFERROR(__xludf.DUMMYFUNCTION("""COMPUTED_VALUE"""),121983.0)</f>
        <v>121983</v>
      </c>
      <c r="AA1846" s="65" t="str">
        <f>IFERROR(__xludf.DUMMYFUNCTION("""COMPUTED_VALUE"""),"PROV-CHLLCF")</f>
        <v>PROV-CHLLCF</v>
      </c>
      <c r="AB1846" s="65"/>
      <c r="AC1846" s="65" t="str">
        <f>IFERROR(__xludf.DUMMYFUNCTION("""COMPUTED_VALUE"""),"CUCHILLO PARA CHEF")</f>
        <v>CUCHILLO PARA CHEF</v>
      </c>
      <c r="AD1846" s="65"/>
      <c r="AE1846" s="65">
        <f>IFERROR(__xludf.DUMMYFUNCTION("""COMPUTED_VALUE"""),3.0)</f>
        <v>3</v>
      </c>
      <c r="AF1846" s="65"/>
      <c r="AG1846" s="65"/>
      <c r="AH1846" s="65"/>
      <c r="AI1846" s="65"/>
      <c r="AJ1846" s="65"/>
      <c r="AK1846" s="65"/>
      <c r="AL1846" s="65"/>
      <c r="AM1846" s="65"/>
      <c r="AN1846" s="65" t="str">
        <f>IFERROR(__xludf.DUMMYFUNCTION("""COMPUTED_VALUE"""),"15:51")</f>
        <v>15:51</v>
      </c>
      <c r="AO1846" s="65" t="str">
        <f>IFERROR(__xludf.DUMMYFUNCTION("""COMPUTED_VALUE"""),"16-01-2026")</f>
        <v>16-01-2026</v>
      </c>
      <c r="AP1846" s="65" t="str">
        <f>IFERROR(__xludf.DUMMYFUNCTION("""COMPUTED_VALUE"""),"ENTREGADA GINTRACOM")</f>
        <v>ENTREGADA GINTRACOM</v>
      </c>
      <c r="AQ1846" s="65" t="str">
        <f>IFERROR(__xludf.DUMMYFUNCTION("""COMPUTED_VALUE"""),"ENTREGADA GINTRACOM")</f>
        <v>ENTREGADA GINTRACOM</v>
      </c>
      <c r="AR1846" s="65"/>
      <c r="AS1846" s="65"/>
      <c r="AT1846" s="65" t="str">
        <f>IFERROR(__xludf.DUMMYFUNCTION("""COMPUTED_VALUE"""),"SHOPIFY")</f>
        <v>SHOPIFY</v>
      </c>
      <c r="AU1846" s="65" t="str">
        <f>IFERROR(__xludf.DUMMYFUNCTION("""COMPUTED_VALUE"""),"IMPORTEX EC")</f>
        <v>IMPORTEX EC</v>
      </c>
      <c r="AV1846" s="65" t="str">
        <f>IFERROR(__xludf.DUMMYFUNCTION("""COMPUTED_VALUE"""),"6411181490220")</f>
        <v>6411181490220</v>
      </c>
      <c r="AW1846" s="65">
        <f>IFERROR(__xludf.DUMMYFUNCTION("""COMPUTED_VALUE"""),5106.0)</f>
        <v>5106</v>
      </c>
      <c r="AX1846" s="65"/>
      <c r="AY1846" s="65" t="str">
        <f>IFERROR(__xludf.DUMMYFUNCTION("""COMPUTED_VALUE"""),"14/01/2026")</f>
        <v>14/01/2026</v>
      </c>
      <c r="AZ1846" s="65"/>
      <c r="BA1846" s="65"/>
    </row>
    <row r="1847">
      <c r="A1847" s="65" t="str">
        <f>IFERROR(__xludf.DUMMYFUNCTION("""COMPUTED_VALUE"""),"27-03-2026")</f>
        <v>27-03-2026</v>
      </c>
      <c r="B1847" s="65">
        <f>IFERROR(__xludf.DUMMYFUNCTION("""COMPUTED_VALUE"""),4129754.0)</f>
        <v>4129754</v>
      </c>
      <c r="C1847" s="65" t="str">
        <f>IFERROR(__xludf.DUMMYFUNCTION("""COMPUTED_VALUE"""),"09:50")</f>
        <v>09:50</v>
      </c>
      <c r="D1847" s="65" t="str">
        <f>IFERROR(__xludf.DUMMYFUNCTION("""COMPUTED_VALUE"""),"13-01-2026")</f>
        <v>13-01-2026</v>
      </c>
      <c r="E1847" s="65" t="str">
        <f>IFERROR(__xludf.DUMMYFUNCTION("""COMPUTED_VALUE"""),"Luis campoverde 0990685387")</f>
        <v>Luis campoverde 0990685387</v>
      </c>
      <c r="F1847" s="65" t="str">
        <f>IFERROR(__xludf.DUMMYFUNCTION("""COMPUTED_VALUE"""),"990685387")</f>
        <v>990685387</v>
      </c>
      <c r="G1847" s="65" t="str">
        <f>IFERROR(__xludf.DUMMYFUNCTION("""COMPUTED_VALUE"""),"luisalbertocampoverderodriguez@gmail.com")</f>
        <v>luisalbertocampoverderodriguez@gmail.com</v>
      </c>
      <c r="H1847" s="65"/>
      <c r="I1847" s="65"/>
      <c r="J1847" s="65" t="str">
        <f>IFERROR(__xludf.DUMMYFUNCTION("""COMPUTED_VALUE"""),"186974739")</f>
        <v>186974739</v>
      </c>
      <c r="K1847" s="65" t="str">
        <f>IFERROR(__xludf.DUMMYFUNCTION("""COMPUTED_VALUE"""),"DEVOLUCION")</f>
        <v>DEVOLUCION</v>
      </c>
      <c r="L1847" s="65" t="str">
        <f>IFERROR(__xludf.DUMMYFUNCTION("""COMPUTED_VALUE"""),"CON RECAUDO")</f>
        <v>CON RECAUDO</v>
      </c>
      <c r="M1847" s="65" t="str">
        <f>IFERROR(__xludf.DUMMYFUNCTION("""COMPUTED_VALUE"""),"GUAYAS")</f>
        <v>GUAYAS</v>
      </c>
      <c r="N1847" s="65" t="str">
        <f>IFERROR(__xludf.DUMMYFUNCTION("""COMPUTED_VALUE"""),"BALZAR")</f>
        <v>BALZAR</v>
      </c>
      <c r="O1847" s="65" t="str">
        <f>IFERROR(__xludf.DUMMYFUNCTION("""COMPUTED_VALUE"""),"Calle daule y ayacucho Frente a la farmacia económica - REF: Frente a Farmacias economica")</f>
        <v>Calle daule y ayacucho Frente a la farmacia económica - REF: Frente a Farmacias economica</v>
      </c>
      <c r="P1847" s="65"/>
      <c r="Q1847" s="65" t="str">
        <f>IFERROR(__xludf.DUMMYFUNCTION("""COMPUTED_VALUE"""),"SERVIENTREGA")</f>
        <v>SERVIENTREGA</v>
      </c>
      <c r="R1847" s="65">
        <f>IFERROR(__xludf.DUMMYFUNCTION("""COMPUTED_VALUE"""),25.0)</f>
        <v>25</v>
      </c>
      <c r="S1847" s="65"/>
      <c r="T1847" s="65">
        <f>IFERROR(__xludf.DUMMYFUNCTION("""COMPUTED_VALUE"""),7.75)</f>
        <v>7.75</v>
      </c>
      <c r="U1847" s="65">
        <f>IFERROR(__xludf.DUMMYFUNCTION("""COMPUTED_VALUE"""),0.0)</f>
        <v>0</v>
      </c>
      <c r="V1847" s="65">
        <f>IFERROR(__xludf.DUMMYFUNCTION("""COMPUTED_VALUE"""),0.0)</f>
        <v>0</v>
      </c>
      <c r="W1847" s="65">
        <f>IFERROR(__xludf.DUMMYFUNCTION("""COMPUTED_VALUE"""),0.0)</f>
        <v>0</v>
      </c>
      <c r="X1847" s="65">
        <f>IFERROR(__xludf.DUMMYFUNCTION("""COMPUTED_VALUE"""),2.35)</f>
        <v>2.35</v>
      </c>
      <c r="Y1847" s="65">
        <f>IFERROR(__xludf.DUMMYFUNCTION("""COMPUTED_VALUE"""),4.7)</f>
        <v>4.7</v>
      </c>
      <c r="Z1847" s="65">
        <f>IFERROR(__xludf.DUMMYFUNCTION("""COMPUTED_VALUE"""),116679.0)</f>
        <v>116679</v>
      </c>
      <c r="AA1847" s="65" t="str">
        <f>IFERROR(__xludf.DUMMYFUNCTION("""COMPUTED_VALUE"""),"AMC-2738")</f>
        <v>AMC-2738</v>
      </c>
      <c r="AB1847" s="65"/>
      <c r="AC1847" s="65" t="str">
        <f>IFERROR(__xludf.DUMMYFUNCTION("""COMPUTED_VALUE"""),"ESPONJA ANTILLUVIA DE PARABRISAS")</f>
        <v>ESPONJA ANTILLUVIA DE PARABRISAS</v>
      </c>
      <c r="AD1847" s="65"/>
      <c r="AE1847" s="65">
        <f>IFERROR(__xludf.DUMMYFUNCTION("""COMPUTED_VALUE"""),2.0)</f>
        <v>2</v>
      </c>
      <c r="AF1847" s="65" t="str">
        <f>IFERROR(__xludf.DUMMYFUNCTION("""COMPUTED_VALUE"""),"NO HAY QUIEN RECIBA")</f>
        <v>NO HAY QUIEN RECIBA</v>
      </c>
      <c r="AG1847" s="65" t="str">
        <f>IFERROR(__xludf.DUMMYFUNCTION("""COMPUTED_VALUE"""),"NO")</f>
        <v>NO</v>
      </c>
      <c r="AH1847" s="65" t="str">
        <f>IFERROR(__xludf.DUMMYFUNCTION("""COMPUTED_VALUE"""),"17:37")</f>
        <v>17:37</v>
      </c>
      <c r="AI1847" s="65" t="str">
        <f>IFERROR(__xludf.DUMMYFUNCTION("""COMPUTED_VALUE"""),"19-01-2026")</f>
        <v>19-01-2026</v>
      </c>
      <c r="AJ1847" s="65"/>
      <c r="AK1847" s="65"/>
      <c r="AL1847" s="65"/>
      <c r="AM1847" s="65"/>
      <c r="AN1847" s="65" t="str">
        <f>IFERROR(__xludf.DUMMYFUNCTION("""COMPUTED_VALUE"""),"14:36")</f>
        <v>14:36</v>
      </c>
      <c r="AO1847" s="65" t="str">
        <f>IFERROR(__xludf.DUMMYFUNCTION("""COMPUTED_VALUE"""),"28-01-2026")</f>
        <v>28-01-2026</v>
      </c>
      <c r="AP1847" s="65" t="str">
        <f>IFERROR(__xludf.DUMMYFUNCTION("""COMPUTED_VALUE"""),"EN DISTRIBUCIÓN A CLIENTE")</f>
        <v>EN DISTRIBUCIÓN A CLIENTE</v>
      </c>
      <c r="AQ1847" s="65" t="str">
        <f>IFERROR(__xludf.DUMMYFUNCTION("""COMPUTED_VALUE"""),"SE LLAMO AL CLIENTE NO RESPONDE")</f>
        <v>SE LLAMO AL CLIENTE NO RESPONDE</v>
      </c>
      <c r="AR1847" s="65"/>
      <c r="AS1847" s="65"/>
      <c r="AT1847" s="65" t="str">
        <f>IFERROR(__xludf.DUMMYFUNCTION("""COMPUTED_VALUE"""),"SHOPIFY")</f>
        <v>SHOPIFY</v>
      </c>
      <c r="AU1847" s="65" t="str">
        <f>IFERROR(__xludf.DUMMYFUNCTION("""COMPUTED_VALUE"""),"IMPORTEX EC")</f>
        <v>IMPORTEX EC</v>
      </c>
      <c r="AV1847" s="65" t="str">
        <f>IFERROR(__xludf.DUMMYFUNCTION("""COMPUTED_VALUE"""),"6411173494828")</f>
        <v>6411173494828</v>
      </c>
      <c r="AW1847" s="65">
        <f>IFERROR(__xludf.DUMMYFUNCTION("""COMPUTED_VALUE"""),5105.0)</f>
        <v>5105</v>
      </c>
      <c r="AX1847" s="65"/>
      <c r="AY1847" s="65" t="str">
        <f>IFERROR(__xludf.DUMMYFUNCTION("""COMPUTED_VALUE"""),"14/01/2026")</f>
        <v>14/01/2026</v>
      </c>
      <c r="AZ1847" s="65"/>
      <c r="BA1847" s="65"/>
    </row>
    <row r="1848">
      <c r="A1848" s="65" t="str">
        <f>IFERROR(__xludf.DUMMYFUNCTION("""COMPUTED_VALUE"""),"27-03-2026")</f>
        <v>27-03-2026</v>
      </c>
      <c r="B1848" s="65">
        <f>IFERROR(__xludf.DUMMYFUNCTION("""COMPUTED_VALUE"""),4129445.0)</f>
        <v>4129445</v>
      </c>
      <c r="C1848" s="65" t="str">
        <f>IFERROR(__xludf.DUMMYFUNCTION("""COMPUTED_VALUE"""),"09:28")</f>
        <v>09:28</v>
      </c>
      <c r="D1848" s="65" t="str">
        <f>IFERROR(__xludf.DUMMYFUNCTION("""COMPUTED_VALUE"""),"13-01-2026")</f>
        <v>13-01-2026</v>
      </c>
      <c r="E1848" s="65" t="str">
        <f>IFERROR(__xludf.DUMMYFUNCTION("""COMPUTED_VALUE"""),"Hugo Carrera")</f>
        <v>Hugo Carrera</v>
      </c>
      <c r="F1848" s="65" t="str">
        <f>IFERROR(__xludf.DUMMYFUNCTION("""COMPUTED_VALUE"""),"998572064")</f>
        <v>998572064</v>
      </c>
      <c r="G1848" s="65" t="str">
        <f>IFERROR(__xludf.DUMMYFUNCTION("""COMPUTED_VALUE"""),"hocarrera@gmail.com")</f>
        <v>hocarrera@gmail.com</v>
      </c>
      <c r="H1848" s="65"/>
      <c r="I1848" s="65"/>
      <c r="J1848" s="65" t="str">
        <f>IFERROR(__xludf.DUMMYFUNCTION("""COMPUTED_VALUE"""),"D001224224")</f>
        <v>D001224224</v>
      </c>
      <c r="K1848" s="65" t="str">
        <f>IFERROR(__xludf.DUMMYFUNCTION("""COMPUTED_VALUE"""),"ENTREGADO")</f>
        <v>ENTREGADO</v>
      </c>
      <c r="L1848" s="65" t="str">
        <f>IFERROR(__xludf.DUMMYFUNCTION("""COMPUTED_VALUE"""),"CON RECAUDO")</f>
        <v>CON RECAUDO</v>
      </c>
      <c r="M1848" s="65" t="str">
        <f>IFERROR(__xludf.DUMMYFUNCTION("""COMPUTED_VALUE"""),"PICHINCHA")</f>
        <v>PICHINCHA</v>
      </c>
      <c r="N1848" s="65" t="str">
        <f>IFERROR(__xludf.DUMMYFUNCTION("""COMPUTED_VALUE"""),"QUITO")</f>
        <v>QUITO</v>
      </c>
      <c r="O1848" s="65" t="str">
        <f>IFERROR(__xludf.DUMMYFUNCTION("""COMPUTED_VALUE"""),"6 de diciembre y Paul Rivet Ed. Torres Santa Fe La Paz, frente a petroecuador - REF : Torre sur M5")</f>
        <v>6 de diciembre y Paul Rivet Ed. Torres Santa Fe La Paz, frente a petroecuador - REF : Torre sur M5</v>
      </c>
      <c r="P1848" s="65"/>
      <c r="Q1848" s="65" t="str">
        <f>IFERROR(__xludf.DUMMYFUNCTION("""COMPUTED_VALUE"""),"GINTRACOM")</f>
        <v>GINTRACOM</v>
      </c>
      <c r="R1848" s="65">
        <f>IFERROR(__xludf.DUMMYFUNCTION("""COMPUTED_VALUE"""),25.0)</f>
        <v>25</v>
      </c>
      <c r="S1848" s="65">
        <f>IFERROR(__xludf.DUMMYFUNCTION("""COMPUTED_VALUE"""),15.95)</f>
        <v>15.95</v>
      </c>
      <c r="T1848" s="65">
        <f>IFERROR(__xludf.DUMMYFUNCTION("""COMPUTED_VALUE"""),4.35)</f>
        <v>4.35</v>
      </c>
      <c r="U1848" s="65">
        <f>IFERROR(__xludf.DUMMYFUNCTION("""COMPUTED_VALUE"""),0.0)</f>
        <v>0</v>
      </c>
      <c r="V1848" s="65">
        <f>IFERROR(__xludf.DUMMYFUNCTION("""COMPUTED_VALUE"""),0.0)</f>
        <v>0</v>
      </c>
      <c r="W1848" s="65">
        <f>IFERROR(__xludf.DUMMYFUNCTION("""COMPUTED_VALUE"""),0.0)</f>
        <v>0</v>
      </c>
      <c r="X1848" s="65">
        <f>IFERROR(__xludf.DUMMYFUNCTION("""COMPUTED_VALUE"""),2.35)</f>
        <v>2.35</v>
      </c>
      <c r="Y1848" s="65">
        <f>IFERROR(__xludf.DUMMYFUNCTION("""COMPUTED_VALUE"""),4.7)</f>
        <v>4.7</v>
      </c>
      <c r="Z1848" s="65">
        <f>IFERROR(__xludf.DUMMYFUNCTION("""COMPUTED_VALUE"""),116679.0)</f>
        <v>116679</v>
      </c>
      <c r="AA1848" s="65" t="str">
        <f>IFERROR(__xludf.DUMMYFUNCTION("""COMPUTED_VALUE"""),"AMC-2738")</f>
        <v>AMC-2738</v>
      </c>
      <c r="AB1848" s="65"/>
      <c r="AC1848" s="65" t="str">
        <f>IFERROR(__xludf.DUMMYFUNCTION("""COMPUTED_VALUE"""),"ESPONJA ANTILLUVIA DE PARABRISAS")</f>
        <v>ESPONJA ANTILLUVIA DE PARABRISAS</v>
      </c>
      <c r="AD1848" s="65"/>
      <c r="AE1848" s="65">
        <f>IFERROR(__xludf.DUMMYFUNCTION("""COMPUTED_VALUE"""),2.0)</f>
        <v>2</v>
      </c>
      <c r="AF1848" s="65" t="str">
        <f>IFERROR(__xludf.DUMMYFUNCTION("""COMPUTED_VALUE"""),"DESTINATARIO AGENDA, FECHA Y HORA DE ENTREGA Y YA NO CONTESTA")</f>
        <v>DESTINATARIO AGENDA, FECHA Y HORA DE ENTREGA Y YA NO CONTESTA</v>
      </c>
      <c r="AG1848" s="65" t="str">
        <f>IFERROR(__xludf.DUMMYFUNCTION("""COMPUTED_VALUE"""),"NO")</f>
        <v>NO</v>
      </c>
      <c r="AH1848" s="65" t="str">
        <f>IFERROR(__xludf.DUMMYFUNCTION("""COMPUTED_VALUE"""),"16:35")</f>
        <v>16:35</v>
      </c>
      <c r="AI1848" s="65" t="str">
        <f>IFERROR(__xludf.DUMMYFUNCTION("""COMPUTED_VALUE"""),"15-01-2026")</f>
        <v>15-01-2026</v>
      </c>
      <c r="AJ1848" s="65"/>
      <c r="AK1848" s="65"/>
      <c r="AL1848" s="65"/>
      <c r="AM1848" s="65"/>
      <c r="AN1848" s="65" t="str">
        <f>IFERROR(__xludf.DUMMYFUNCTION("""COMPUTED_VALUE"""),"17:04")</f>
        <v>17:04</v>
      </c>
      <c r="AO1848" s="65" t="str">
        <f>IFERROR(__xludf.DUMMYFUNCTION("""COMPUTED_VALUE"""),"15-01-2026")</f>
        <v>15-01-2026</v>
      </c>
      <c r="AP1848" s="65" t="str">
        <f>IFERROR(__xludf.DUMMYFUNCTION("""COMPUTED_VALUE"""),"ENTREGADA GINTRACOM")</f>
        <v>ENTREGADA GINTRACOM</v>
      </c>
      <c r="AQ1848" s="65" t="str">
        <f>IFERROR(__xludf.DUMMYFUNCTION("""COMPUTED_VALUE"""),"ENTREGADA GINTRACOM")</f>
        <v>ENTREGADA GINTRACOM</v>
      </c>
      <c r="AR1848" s="65"/>
      <c r="AS1848" s="65"/>
      <c r="AT1848" s="65" t="str">
        <f>IFERROR(__xludf.DUMMYFUNCTION("""COMPUTED_VALUE"""),"SHOPIFY")</f>
        <v>SHOPIFY</v>
      </c>
      <c r="AU1848" s="65" t="str">
        <f>IFERROR(__xludf.DUMMYFUNCTION("""COMPUTED_VALUE"""),"IMPORTEX EC")</f>
        <v>IMPORTEX EC</v>
      </c>
      <c r="AV1848" s="65" t="str">
        <f>IFERROR(__xludf.DUMMYFUNCTION("""COMPUTED_VALUE"""),"6411140366380")</f>
        <v>6411140366380</v>
      </c>
      <c r="AW1848" s="65">
        <f>IFERROR(__xludf.DUMMYFUNCTION("""COMPUTED_VALUE"""),5104.0)</f>
        <v>5104</v>
      </c>
      <c r="AX1848" s="65"/>
      <c r="AY1848" s="65" t="str">
        <f>IFERROR(__xludf.DUMMYFUNCTION("""COMPUTED_VALUE"""),"14/01/2026")</f>
        <v>14/01/2026</v>
      </c>
      <c r="AZ1848" s="65"/>
      <c r="BA1848" s="65"/>
    </row>
    <row r="1849">
      <c r="A1849" s="65" t="str">
        <f>IFERROR(__xludf.DUMMYFUNCTION("""COMPUTED_VALUE"""),"27-03-2026")</f>
        <v>27-03-2026</v>
      </c>
      <c r="B1849" s="65">
        <f>IFERROR(__xludf.DUMMYFUNCTION("""COMPUTED_VALUE"""),4129426.0)</f>
        <v>4129426</v>
      </c>
      <c r="C1849" s="65" t="str">
        <f>IFERROR(__xludf.DUMMYFUNCTION("""COMPUTED_VALUE"""),"09:27")</f>
        <v>09:27</v>
      </c>
      <c r="D1849" s="65" t="str">
        <f>IFERROR(__xludf.DUMMYFUNCTION("""COMPUTED_VALUE"""),"13-01-2026")</f>
        <v>13-01-2026</v>
      </c>
      <c r="E1849" s="65" t="str">
        <f>IFERROR(__xludf.DUMMYFUNCTION("""COMPUTED_VALUE"""),"Rebeca Vargas Vargas")</f>
        <v>Rebeca Vargas Vargas</v>
      </c>
      <c r="F1849" s="65" t="str">
        <f>IFERROR(__xludf.DUMMYFUNCTION("""COMPUTED_VALUE"""),"958799271")</f>
        <v>958799271</v>
      </c>
      <c r="G1849" s="65" t="str">
        <f>IFERROR(__xludf.DUMMYFUNCTION("""COMPUTED_VALUE"""),"passumuyu@hotmail.com")</f>
        <v>passumuyu@hotmail.com</v>
      </c>
      <c r="H1849" s="65"/>
      <c r="I1849" s="65"/>
      <c r="J1849" s="65" t="str">
        <f>IFERROR(__xludf.DUMMYFUNCTION("""COMPUTED_VALUE"""),"D001230390")</f>
        <v>D001230390</v>
      </c>
      <c r="K1849" s="65" t="str">
        <f>IFERROR(__xludf.DUMMYFUNCTION("""COMPUTED_VALUE"""),"ENTREGADO")</f>
        <v>ENTREGADO</v>
      </c>
      <c r="L1849" s="65" t="str">
        <f>IFERROR(__xludf.DUMMYFUNCTION("""COMPUTED_VALUE"""),"CON RECAUDO")</f>
        <v>CON RECAUDO</v>
      </c>
      <c r="M1849" s="65" t="str">
        <f>IFERROR(__xludf.DUMMYFUNCTION("""COMPUTED_VALUE"""),"PASTAZA")</f>
        <v>PASTAZA</v>
      </c>
      <c r="N1849" s="65" t="str">
        <f>IFERROR(__xludf.DUMMYFUNCTION("""COMPUTED_VALUE"""),"PUYO")</f>
        <v>PUYO</v>
      </c>
      <c r="O1849" s="65" t="str">
        <f>IFERROR(__xludf.DUMMYFUNCTION("""COMPUTED_VALUE"""),"Calle  Vicente Rocafuerte y  Juan Benigno Vela - REF: Junto  cafetería doponto casa Dr. Edison Chaez")</f>
        <v>Calle  Vicente Rocafuerte y  Juan Benigno Vela - REF: Junto  cafetería doponto casa Dr. Edison Chaez</v>
      </c>
      <c r="P1849" s="65"/>
      <c r="Q1849" s="65" t="str">
        <f>IFERROR(__xludf.DUMMYFUNCTION("""COMPUTED_VALUE"""),"GINTRACOM")</f>
        <v>GINTRACOM</v>
      </c>
      <c r="R1849" s="65">
        <f>IFERROR(__xludf.DUMMYFUNCTION("""COMPUTED_VALUE"""),22.0)</f>
        <v>22</v>
      </c>
      <c r="S1849" s="65">
        <f>IFERROR(__xludf.DUMMYFUNCTION("""COMPUTED_VALUE"""),10.96)</f>
        <v>10.96</v>
      </c>
      <c r="T1849" s="65">
        <f>IFERROR(__xludf.DUMMYFUNCTION("""COMPUTED_VALUE"""),5.84)</f>
        <v>5.84</v>
      </c>
      <c r="U1849" s="65">
        <f>IFERROR(__xludf.DUMMYFUNCTION("""COMPUTED_VALUE"""),0.0)</f>
        <v>0</v>
      </c>
      <c r="V1849" s="65">
        <f>IFERROR(__xludf.DUMMYFUNCTION("""COMPUTED_VALUE"""),0.0)</f>
        <v>0</v>
      </c>
      <c r="W1849" s="65">
        <f>IFERROR(__xludf.DUMMYFUNCTION("""COMPUTED_VALUE"""),0.0)</f>
        <v>0</v>
      </c>
      <c r="X1849" s="65">
        <f>IFERROR(__xludf.DUMMYFUNCTION("""COMPUTED_VALUE"""),2.6)</f>
        <v>2.6</v>
      </c>
      <c r="Y1849" s="65">
        <f>IFERROR(__xludf.DUMMYFUNCTION("""COMPUTED_VALUE"""),5.2)</f>
        <v>5.2</v>
      </c>
      <c r="Z1849" s="65">
        <f>IFERROR(__xludf.DUMMYFUNCTION("""COMPUTED_VALUE"""),121983.0)</f>
        <v>121983</v>
      </c>
      <c r="AA1849" s="65" t="str">
        <f>IFERROR(__xludf.DUMMYFUNCTION("""COMPUTED_VALUE"""),"PROV-CHLLCF")</f>
        <v>PROV-CHLLCF</v>
      </c>
      <c r="AB1849" s="65"/>
      <c r="AC1849" s="65" t="str">
        <f>IFERROR(__xludf.DUMMYFUNCTION("""COMPUTED_VALUE"""),"CUCHILLO PARA CHEF")</f>
        <v>CUCHILLO PARA CHEF</v>
      </c>
      <c r="AD1849" s="65"/>
      <c r="AE1849" s="65">
        <f>IFERROR(__xludf.DUMMYFUNCTION("""COMPUTED_VALUE"""),2.0)</f>
        <v>2</v>
      </c>
      <c r="AF1849" s="65" t="str">
        <f>IFERROR(__xludf.DUMMYFUNCTION("""COMPUTED_VALUE"""),"DESTINATARIO INDICA QUE SE ENCUENTRA FUERA DE LA CIUDAD")</f>
        <v>DESTINATARIO INDICA QUE SE ENCUENTRA FUERA DE LA CIUDAD</v>
      </c>
      <c r="AG1849" s="65" t="str">
        <f>IFERROR(__xludf.DUMMYFUNCTION("""COMPUTED_VALUE"""),"NO")</f>
        <v>NO</v>
      </c>
      <c r="AH1849" s="65" t="str">
        <f>IFERROR(__xludf.DUMMYFUNCTION("""COMPUTED_VALUE"""),"14:43")</f>
        <v>14:43</v>
      </c>
      <c r="AI1849" s="65" t="str">
        <f>IFERROR(__xludf.DUMMYFUNCTION("""COMPUTED_VALUE"""),"19-01-2026")</f>
        <v>19-01-2026</v>
      </c>
      <c r="AJ1849" s="65"/>
      <c r="AK1849" s="65"/>
      <c r="AL1849" s="65"/>
      <c r="AM1849" s="65"/>
      <c r="AN1849" s="65" t="str">
        <f>IFERROR(__xludf.DUMMYFUNCTION("""COMPUTED_VALUE"""),"16:13")</f>
        <v>16:13</v>
      </c>
      <c r="AO1849" s="65" t="str">
        <f>IFERROR(__xludf.DUMMYFUNCTION("""COMPUTED_VALUE"""),"21-01-2026")</f>
        <v>21-01-2026</v>
      </c>
      <c r="AP1849" s="65" t="str">
        <f>IFERROR(__xludf.DUMMYFUNCTION("""COMPUTED_VALUE"""),"ENTREGADA GINTRACOM")</f>
        <v>ENTREGADA GINTRACOM</v>
      </c>
      <c r="AQ1849" s="65" t="str">
        <f>IFERROR(__xludf.DUMMYFUNCTION("""COMPUTED_VALUE"""),"ENTREGADA GINTRACOM")</f>
        <v>ENTREGADA GINTRACOM</v>
      </c>
      <c r="AR1849" s="65"/>
      <c r="AS1849" s="65"/>
      <c r="AT1849" s="65" t="str">
        <f>IFERROR(__xludf.DUMMYFUNCTION("""COMPUTED_VALUE"""),"SHOPIFY")</f>
        <v>SHOPIFY</v>
      </c>
      <c r="AU1849" s="65" t="str">
        <f>IFERROR(__xludf.DUMMYFUNCTION("""COMPUTED_VALUE"""),"IMPORTEX EC")</f>
        <v>IMPORTEX EC</v>
      </c>
      <c r="AV1849" s="65" t="str">
        <f>IFERROR(__xludf.DUMMYFUNCTION("""COMPUTED_VALUE"""),"6411140137004")</f>
        <v>6411140137004</v>
      </c>
      <c r="AW1849" s="65">
        <f>IFERROR(__xludf.DUMMYFUNCTION("""COMPUTED_VALUE"""),5103.0)</f>
        <v>5103</v>
      </c>
      <c r="AX1849" s="65"/>
      <c r="AY1849" s="65" t="str">
        <f>IFERROR(__xludf.DUMMYFUNCTION("""COMPUTED_VALUE"""),"16/01/2026")</f>
        <v>16/01/2026</v>
      </c>
      <c r="AZ1849" s="65"/>
      <c r="BA1849" s="65"/>
    </row>
    <row r="1850">
      <c r="A1850" s="65" t="str">
        <f>IFERROR(__xludf.DUMMYFUNCTION("""COMPUTED_VALUE"""),"27-03-2026")</f>
        <v>27-03-2026</v>
      </c>
      <c r="B1850" s="65">
        <f>IFERROR(__xludf.DUMMYFUNCTION("""COMPUTED_VALUE"""),4129100.0)</f>
        <v>4129100</v>
      </c>
      <c r="C1850" s="65" t="str">
        <f>IFERROR(__xludf.DUMMYFUNCTION("""COMPUTED_VALUE"""),"09:00")</f>
        <v>09:00</v>
      </c>
      <c r="D1850" s="65" t="str">
        <f>IFERROR(__xludf.DUMMYFUNCTION("""COMPUTED_VALUE"""),"13-01-2026")</f>
        <v>13-01-2026</v>
      </c>
      <c r="E1850" s="65" t="str">
        <f>IFERROR(__xludf.DUMMYFUNCTION("""COMPUTED_VALUE"""),"Andreina Báez")</f>
        <v>Andreina Báez</v>
      </c>
      <c r="F1850" s="65" t="str">
        <f>IFERROR(__xludf.DUMMYFUNCTION("""COMPUTED_VALUE"""),"969824218")</f>
        <v>969824218</v>
      </c>
      <c r="G1850" s="65" t="str">
        <f>IFERROR(__xludf.DUMMYFUNCTION("""COMPUTED_VALUE"""),"juanpabloegas@gmail.com")</f>
        <v>juanpabloegas@gmail.com</v>
      </c>
      <c r="H1850" s="65"/>
      <c r="I1850" s="65"/>
      <c r="J1850" s="65"/>
      <c r="K1850" s="65" t="str">
        <f>IFERROR(__xludf.DUMMYFUNCTION("""COMPUTED_VALUE"""),"PENDIENTE CONFIRMACION")</f>
        <v>PENDIENTE CONFIRMACION</v>
      </c>
      <c r="L1850" s="65" t="str">
        <f>IFERROR(__xludf.DUMMYFUNCTION("""COMPUTED_VALUE"""),"CON RECAUDO")</f>
        <v>CON RECAUDO</v>
      </c>
      <c r="M1850" s="65" t="str">
        <f>IFERROR(__xludf.DUMMYFUNCTION("""COMPUTED_VALUE"""),"ESMERALDAS")</f>
        <v>ESMERALDAS</v>
      </c>
      <c r="N1850" s="65" t="str">
        <f>IFERROR(__xludf.DUMMYFUNCTION("""COMPUTED_VALUE"""),"SAN LORENZO")</f>
        <v>SAN LORENZO</v>
      </c>
      <c r="O1850" s="65" t="str">
        <f>IFERROR(__xludf.DUMMYFUNCTION("""COMPUTED_VALUE"""),"Frente al 22 de marzo Frente al 22 de marzo -")</f>
        <v>Frente al 22 de marzo Frente al 22 de marzo -</v>
      </c>
      <c r="P1850" s="65"/>
      <c r="Q1850" s="65" t="str">
        <f>IFERROR(__xludf.DUMMYFUNCTION("""COMPUTED_VALUE"""),"GINTRACOM")</f>
        <v>GINTRACOM</v>
      </c>
      <c r="R1850" s="65">
        <f>IFERROR(__xludf.DUMMYFUNCTION("""COMPUTED_VALUE"""),22.0)</f>
        <v>22</v>
      </c>
      <c r="S1850" s="65"/>
      <c r="T1850" s="65">
        <f>IFERROR(__xludf.DUMMYFUNCTION("""COMPUTED_VALUE"""),5.84)</f>
        <v>5.84</v>
      </c>
      <c r="U1850" s="65">
        <f>IFERROR(__xludf.DUMMYFUNCTION("""COMPUTED_VALUE"""),0.0)</f>
        <v>0</v>
      </c>
      <c r="V1850" s="65">
        <f>IFERROR(__xludf.DUMMYFUNCTION("""COMPUTED_VALUE"""),0.0)</f>
        <v>0</v>
      </c>
      <c r="W1850" s="65">
        <f>IFERROR(__xludf.DUMMYFUNCTION("""COMPUTED_VALUE"""),0.0)</f>
        <v>0</v>
      </c>
      <c r="X1850" s="65">
        <f>IFERROR(__xludf.DUMMYFUNCTION("""COMPUTED_VALUE"""),2.6)</f>
        <v>2.6</v>
      </c>
      <c r="Y1850" s="65">
        <f>IFERROR(__xludf.DUMMYFUNCTION("""COMPUTED_VALUE"""),5.2)</f>
        <v>5.2</v>
      </c>
      <c r="Z1850" s="65">
        <f>IFERROR(__xludf.DUMMYFUNCTION("""COMPUTED_VALUE"""),121983.0)</f>
        <v>121983</v>
      </c>
      <c r="AA1850" s="65" t="str">
        <f>IFERROR(__xludf.DUMMYFUNCTION("""COMPUTED_VALUE"""),"PROV-CHLLCF")</f>
        <v>PROV-CHLLCF</v>
      </c>
      <c r="AB1850" s="65"/>
      <c r="AC1850" s="65" t="str">
        <f>IFERROR(__xludf.DUMMYFUNCTION("""COMPUTED_VALUE"""),"CUCHILLO PARA CHEF")</f>
        <v>CUCHILLO PARA CHEF</v>
      </c>
      <c r="AD1850" s="65"/>
      <c r="AE1850" s="65">
        <f>IFERROR(__xludf.DUMMYFUNCTION("""COMPUTED_VALUE"""),2.0)</f>
        <v>2</v>
      </c>
      <c r="AF1850" s="65"/>
      <c r="AG1850" s="65"/>
      <c r="AH1850" s="65"/>
      <c r="AI1850" s="65"/>
      <c r="AJ1850" s="65"/>
      <c r="AK1850" s="65"/>
      <c r="AL1850" s="65"/>
      <c r="AM1850" s="65"/>
      <c r="AN1850" s="65"/>
      <c r="AO1850" s="65"/>
      <c r="AP1850" s="65"/>
      <c r="AQ1850" s="65"/>
      <c r="AR1850" s="65"/>
      <c r="AS1850" s="65"/>
      <c r="AT1850" s="65" t="str">
        <f>IFERROR(__xludf.DUMMYFUNCTION("""COMPUTED_VALUE"""),"SHOPIFY")</f>
        <v>SHOPIFY</v>
      </c>
      <c r="AU1850" s="65" t="str">
        <f>IFERROR(__xludf.DUMMYFUNCTION("""COMPUTED_VALUE"""),"IMPORTEX EC")</f>
        <v>IMPORTEX EC</v>
      </c>
      <c r="AV1850" s="65" t="str">
        <f>IFERROR(__xludf.DUMMYFUNCTION("""COMPUTED_VALUE"""),"6411100586028")</f>
        <v>6411100586028</v>
      </c>
      <c r="AW1850" s="65">
        <f>IFERROR(__xludf.DUMMYFUNCTION("""COMPUTED_VALUE"""),5102.0)</f>
        <v>5102</v>
      </c>
      <c r="AX1850" s="65"/>
      <c r="AY1850" s="65"/>
      <c r="AZ1850" s="65"/>
      <c r="BA1850" s="65"/>
    </row>
    <row r="1851">
      <c r="A1851" s="65" t="str">
        <f>IFERROR(__xludf.DUMMYFUNCTION("""COMPUTED_VALUE"""),"27-03-2026")</f>
        <v>27-03-2026</v>
      </c>
      <c r="B1851" s="65">
        <f>IFERROR(__xludf.DUMMYFUNCTION("""COMPUTED_VALUE"""),4128979.0)</f>
        <v>4128979</v>
      </c>
      <c r="C1851" s="65" t="str">
        <f>IFERROR(__xludf.DUMMYFUNCTION("""COMPUTED_VALUE"""),"08:52")</f>
        <v>08:52</v>
      </c>
      <c r="D1851" s="65" t="str">
        <f>IFERROR(__xludf.DUMMYFUNCTION("""COMPUTED_VALUE"""),"13-01-2026")</f>
        <v>13-01-2026</v>
      </c>
      <c r="E1851" s="65" t="str">
        <f>IFERROR(__xludf.DUMMYFUNCTION("""COMPUTED_VALUE"""),"Jose Falcones parrales")</f>
        <v>Jose Falcones parrales</v>
      </c>
      <c r="F1851" s="65" t="str">
        <f>IFERROR(__xludf.DUMMYFUNCTION("""COMPUTED_VALUE"""),"986269472")</f>
        <v>986269472</v>
      </c>
      <c r="G1851" s="65" t="str">
        <f>IFERROR(__xludf.DUMMYFUNCTION("""COMPUTED_VALUE"""),"jose_falcones@hotmail.com")</f>
        <v>jose_falcones@hotmail.com</v>
      </c>
      <c r="H1851" s="65"/>
      <c r="I1851" s="65"/>
      <c r="J1851" s="65" t="str">
        <f>IFERROR(__xludf.DUMMYFUNCTION("""COMPUTED_VALUE"""),"D001222986")</f>
        <v>D001222986</v>
      </c>
      <c r="K1851" s="65" t="str">
        <f>IFERROR(__xludf.DUMMYFUNCTION("""COMPUTED_VALUE"""),"DEVOLUCION")</f>
        <v>DEVOLUCION</v>
      </c>
      <c r="L1851" s="65" t="str">
        <f>IFERROR(__xludf.DUMMYFUNCTION("""COMPUTED_VALUE"""),"CON RECAUDO")</f>
        <v>CON RECAUDO</v>
      </c>
      <c r="M1851" s="65" t="str">
        <f>IFERROR(__xludf.DUMMYFUNCTION("""COMPUTED_VALUE"""),"ESMERALDAS")</f>
        <v>ESMERALDAS</v>
      </c>
      <c r="N1851" s="65" t="str">
        <f>IFERROR(__xludf.DUMMYFUNCTION("""COMPUTED_VALUE"""),"ESMERALDAS")</f>
        <v>ESMERALDAS</v>
      </c>
      <c r="O1851" s="65" t="str">
        <f>IFERROR(__xludf.DUMMYFUNCTION("""COMPUTED_VALUE"""),"Sector Las Palmas - Av. Carmen Rosero entre Calle Checa y Calle Bastidas - Ref. Diagonal a los bloques de la armada, casa de tres pisos color verde.")</f>
        <v>Sector Las Palmas - Av. Carmen Rosero entre Calle Checa y Calle Bastidas - Ref. Diagonal a los bloques de la armada, casa de tres pisos color verde.</v>
      </c>
      <c r="P1851" s="65"/>
      <c r="Q1851" s="65" t="str">
        <f>IFERROR(__xludf.DUMMYFUNCTION("""COMPUTED_VALUE"""),"GINTRACOM")</f>
        <v>GINTRACOM</v>
      </c>
      <c r="R1851" s="65">
        <f>IFERROR(__xludf.DUMMYFUNCTION("""COMPUTED_VALUE"""),27.0)</f>
        <v>27</v>
      </c>
      <c r="S1851" s="65"/>
      <c r="T1851" s="65">
        <f>IFERROR(__xludf.DUMMYFUNCTION("""COMPUTED_VALUE"""),6.03)</f>
        <v>6.03</v>
      </c>
      <c r="U1851" s="65">
        <f>IFERROR(__xludf.DUMMYFUNCTION("""COMPUTED_VALUE"""),0.0)</f>
        <v>0</v>
      </c>
      <c r="V1851" s="65">
        <f>IFERROR(__xludf.DUMMYFUNCTION("""COMPUTED_VALUE"""),0.0)</f>
        <v>0</v>
      </c>
      <c r="W1851" s="65">
        <f>IFERROR(__xludf.DUMMYFUNCTION("""COMPUTED_VALUE"""),0.0)</f>
        <v>0</v>
      </c>
      <c r="X1851" s="65">
        <f>IFERROR(__xludf.DUMMYFUNCTION("""COMPUTED_VALUE"""),2.6)</f>
        <v>2.6</v>
      </c>
      <c r="Y1851" s="65">
        <f>IFERROR(__xludf.DUMMYFUNCTION("""COMPUTED_VALUE"""),7.8)</f>
        <v>7.8</v>
      </c>
      <c r="Z1851" s="65">
        <f>IFERROR(__xludf.DUMMYFUNCTION("""COMPUTED_VALUE"""),121983.0)</f>
        <v>121983</v>
      </c>
      <c r="AA1851" s="65" t="str">
        <f>IFERROR(__xludf.DUMMYFUNCTION("""COMPUTED_VALUE"""),"PROV-CHLLCF")</f>
        <v>PROV-CHLLCF</v>
      </c>
      <c r="AB1851" s="65"/>
      <c r="AC1851" s="65" t="str">
        <f>IFERROR(__xludf.DUMMYFUNCTION("""COMPUTED_VALUE"""),"CUCHILLO PARA CHEF")</f>
        <v>CUCHILLO PARA CHEF</v>
      </c>
      <c r="AD1851" s="65"/>
      <c r="AE1851" s="65">
        <f>IFERROR(__xludf.DUMMYFUNCTION("""COMPUTED_VALUE"""),3.0)</f>
        <v>3</v>
      </c>
      <c r="AF1851" s="65" t="str">
        <f>IFERROR(__xludf.DUMMYFUNCTION("""COMPUTED_VALUE"""),"DESTINATARIO NO CONTESTA LLAMADAS NI WHATSAPP")</f>
        <v>DESTINATARIO NO CONTESTA LLAMADAS NI WHATSAPP</v>
      </c>
      <c r="AG1851" s="65" t="str">
        <f>IFERROR(__xludf.DUMMYFUNCTION("""COMPUTED_VALUE"""),"SI")</f>
        <v>SI</v>
      </c>
      <c r="AH1851" s="65" t="str">
        <f>IFERROR(__xludf.DUMMYFUNCTION("""COMPUTED_VALUE"""),"09:00")</f>
        <v>09:00</v>
      </c>
      <c r="AI1851" s="65" t="str">
        <f>IFERROR(__xludf.DUMMYFUNCTION("""COMPUTED_VALUE"""),"24-01-2026")</f>
        <v>24-01-2026</v>
      </c>
      <c r="AJ1851" s="65"/>
      <c r="AK1851" s="65"/>
      <c r="AL1851" s="65"/>
      <c r="AM1851" s="65"/>
      <c r="AN1851" s="65" t="str">
        <f>IFERROR(__xludf.DUMMYFUNCTION("""COMPUTED_VALUE"""),"09:03")</f>
        <v>09:03</v>
      </c>
      <c r="AO1851" s="65" t="str">
        <f>IFERROR(__xludf.DUMMYFUNCTION("""COMPUTED_VALUE"""),"11-02-2026")</f>
        <v>11-02-2026</v>
      </c>
      <c r="AP1851" s="65" t="str">
        <f>IFERROR(__xludf.DUMMYFUNCTION("""COMPUTED_VALUE"""),"DEV CONFIRMADA POR BODEGA")</f>
        <v>DEV CONFIRMADA POR BODEGA</v>
      </c>
      <c r="AQ1851" s="65"/>
      <c r="AR1851" s="65" t="str">
        <f>IFERROR(__xludf.DUMMYFUNCTION("""COMPUTED_VALUE"""),"Gestionado por: Moran Daniel, email:danielmorga2005@gmail.com, total de productos en la orden: 1")</f>
        <v>Gestionado por: Moran Daniel, email:danielmorga2005@gmail.com, total de productos en la orden: 1</v>
      </c>
      <c r="AS1851" s="65"/>
      <c r="AT1851" s="65" t="str">
        <f>IFERROR(__xludf.DUMMYFUNCTION("""COMPUTED_VALUE"""),"SHOPIFY")</f>
        <v>SHOPIFY</v>
      </c>
      <c r="AU1851" s="65" t="str">
        <f>IFERROR(__xludf.DUMMYFUNCTION("""COMPUTED_VALUE"""),"IMPORTEX EC")</f>
        <v>IMPORTEX EC</v>
      </c>
      <c r="AV1851" s="65" t="str">
        <f>IFERROR(__xludf.DUMMYFUNCTION("""COMPUTED_VALUE"""),"6411089510444")</f>
        <v>6411089510444</v>
      </c>
      <c r="AW1851" s="65">
        <f>IFERROR(__xludf.DUMMYFUNCTION("""COMPUTED_VALUE"""),5101.0)</f>
        <v>5101</v>
      </c>
      <c r="AX1851" s="65"/>
      <c r="AY1851" s="65" t="str">
        <f>IFERROR(__xludf.DUMMYFUNCTION("""COMPUTED_VALUE"""),"14/01/2026")</f>
        <v>14/01/2026</v>
      </c>
      <c r="AZ1851" s="65"/>
      <c r="BA1851" s="65"/>
    </row>
    <row r="1852">
      <c r="A1852" s="65" t="str">
        <f>IFERROR(__xludf.DUMMYFUNCTION("""COMPUTED_VALUE"""),"27-03-2026")</f>
        <v>27-03-2026</v>
      </c>
      <c r="B1852" s="65">
        <f>IFERROR(__xludf.DUMMYFUNCTION("""COMPUTED_VALUE"""),4128894.0)</f>
        <v>4128894</v>
      </c>
      <c r="C1852" s="65" t="str">
        <f>IFERROR(__xludf.DUMMYFUNCTION("""COMPUTED_VALUE"""),"08:44")</f>
        <v>08:44</v>
      </c>
      <c r="D1852" s="65" t="str">
        <f>IFERROR(__xludf.DUMMYFUNCTION("""COMPUTED_VALUE"""),"13-01-2026")</f>
        <v>13-01-2026</v>
      </c>
      <c r="E1852" s="65" t="str">
        <f>IFERROR(__xludf.DUMMYFUNCTION("""COMPUTED_VALUE"""),"Carlos Garzon")</f>
        <v>Carlos Garzon</v>
      </c>
      <c r="F1852" s="65" t="str">
        <f>IFERROR(__xludf.DUMMYFUNCTION("""COMPUTED_VALUE"""),"986423094")</f>
        <v>986423094</v>
      </c>
      <c r="G1852" s="65" t="str">
        <f>IFERROR(__xludf.DUMMYFUNCTION("""COMPUTED_VALUE"""),"carlosgarzon980@gmail.com")</f>
        <v>carlosgarzon980@gmail.com</v>
      </c>
      <c r="H1852" s="65"/>
      <c r="I1852" s="65"/>
      <c r="J1852" s="65" t="str">
        <f>IFERROR(__xludf.DUMMYFUNCTION("""COMPUTED_VALUE"""),"D001230393")</f>
        <v>D001230393</v>
      </c>
      <c r="K1852" s="65" t="str">
        <f>IFERROR(__xludf.DUMMYFUNCTION("""COMPUTED_VALUE"""),"ENTREGADO")</f>
        <v>ENTREGADO</v>
      </c>
      <c r="L1852" s="65" t="str">
        <f>IFERROR(__xludf.DUMMYFUNCTION("""COMPUTED_VALUE"""),"CON RECAUDO")</f>
        <v>CON RECAUDO</v>
      </c>
      <c r="M1852" s="65" t="str">
        <f>IFERROR(__xludf.DUMMYFUNCTION("""COMPUTED_VALUE"""),"IMBABURA")</f>
        <v>IMBABURA</v>
      </c>
      <c r="N1852" s="65" t="str">
        <f>IFERROR(__xludf.DUMMYFUNCTION("""COMPUTED_VALUE"""),"ATUNTAQUI")</f>
        <v>ATUNTAQUI</v>
      </c>
      <c r="O1852" s="65" t="str">
        <f>IFERROR(__xludf.DUMMYFUNCTION("""COMPUTED_VALUE"""),"calle 2 de marzo y alejandro andrade - REF: Casa color verde y amarillo esquina")</f>
        <v>calle 2 de marzo y alejandro andrade - REF: Casa color verde y amarillo esquina</v>
      </c>
      <c r="P1852" s="65"/>
      <c r="Q1852" s="65" t="str">
        <f>IFERROR(__xludf.DUMMYFUNCTION("""COMPUTED_VALUE"""),"GINTRACOM")</f>
        <v>GINTRACOM</v>
      </c>
      <c r="R1852" s="65">
        <f>IFERROR(__xludf.DUMMYFUNCTION("""COMPUTED_VALUE"""),27.0)</f>
        <v>27</v>
      </c>
      <c r="S1852" s="65">
        <f>IFERROR(__xludf.DUMMYFUNCTION("""COMPUTED_VALUE"""),12.6)</f>
        <v>12.6</v>
      </c>
      <c r="T1852" s="65">
        <f>IFERROR(__xludf.DUMMYFUNCTION("""COMPUTED_VALUE"""),6.6)</f>
        <v>6.6</v>
      </c>
      <c r="U1852" s="65">
        <f>IFERROR(__xludf.DUMMYFUNCTION("""COMPUTED_VALUE"""),0.0)</f>
        <v>0</v>
      </c>
      <c r="V1852" s="65">
        <f>IFERROR(__xludf.DUMMYFUNCTION("""COMPUTED_VALUE"""),0.0)</f>
        <v>0</v>
      </c>
      <c r="W1852" s="65">
        <f>IFERROR(__xludf.DUMMYFUNCTION("""COMPUTED_VALUE"""),0.0)</f>
        <v>0</v>
      </c>
      <c r="X1852" s="65">
        <f>IFERROR(__xludf.DUMMYFUNCTION("""COMPUTED_VALUE"""),2.6)</f>
        <v>2.6</v>
      </c>
      <c r="Y1852" s="65">
        <f>IFERROR(__xludf.DUMMYFUNCTION("""COMPUTED_VALUE"""),7.8)</f>
        <v>7.8</v>
      </c>
      <c r="Z1852" s="65">
        <f>IFERROR(__xludf.DUMMYFUNCTION("""COMPUTED_VALUE"""),121983.0)</f>
        <v>121983</v>
      </c>
      <c r="AA1852" s="65" t="str">
        <f>IFERROR(__xludf.DUMMYFUNCTION("""COMPUTED_VALUE"""),"PROV-CHLLCF")</f>
        <v>PROV-CHLLCF</v>
      </c>
      <c r="AB1852" s="65"/>
      <c r="AC1852" s="65" t="str">
        <f>IFERROR(__xludf.DUMMYFUNCTION("""COMPUTED_VALUE"""),"CUCHILLO PARA CHEF")</f>
        <v>CUCHILLO PARA CHEF</v>
      </c>
      <c r="AD1852" s="65"/>
      <c r="AE1852" s="65">
        <f>IFERROR(__xludf.DUMMYFUNCTION("""COMPUTED_VALUE"""),3.0)</f>
        <v>3</v>
      </c>
      <c r="AF1852" s="65" t="str">
        <f>IFERROR(__xludf.DUMMYFUNCTION("""COMPUTED_VALUE"""),"DESTINATARIO NO CONTESTA LLAMADAS NI WHATSAPP")</f>
        <v>DESTINATARIO NO CONTESTA LLAMADAS NI WHATSAPP</v>
      </c>
      <c r="AG1852" s="65" t="str">
        <f>IFERROR(__xludf.DUMMYFUNCTION("""COMPUTED_VALUE"""),"NO")</f>
        <v>NO</v>
      </c>
      <c r="AH1852" s="65" t="str">
        <f>IFERROR(__xludf.DUMMYFUNCTION("""COMPUTED_VALUE"""),"09:35")</f>
        <v>09:35</v>
      </c>
      <c r="AI1852" s="65" t="str">
        <f>IFERROR(__xludf.DUMMYFUNCTION("""COMPUTED_VALUE"""),"19-01-2026")</f>
        <v>19-01-2026</v>
      </c>
      <c r="AJ1852" s="65"/>
      <c r="AK1852" s="65"/>
      <c r="AL1852" s="65"/>
      <c r="AM1852" s="65"/>
      <c r="AN1852" s="65" t="str">
        <f>IFERROR(__xludf.DUMMYFUNCTION("""COMPUTED_VALUE"""),"10:03")</f>
        <v>10:03</v>
      </c>
      <c r="AO1852" s="65" t="str">
        <f>IFERROR(__xludf.DUMMYFUNCTION("""COMPUTED_VALUE"""),"21-01-2026")</f>
        <v>21-01-2026</v>
      </c>
      <c r="AP1852" s="65" t="str">
        <f>IFERROR(__xludf.DUMMYFUNCTION("""COMPUTED_VALUE"""),"DESTINATARIO NO CONTESTA LLAMADAS NI WHATSAPP")</f>
        <v>DESTINATARIO NO CONTESTA LLAMADAS NI WHATSAPP</v>
      </c>
      <c r="AQ1852" s="65" t="str">
        <f>IFERROR(__xludf.DUMMYFUNCTION("""COMPUTED_VALUE"""),"DESTINATARIO NO CONTESTA LLAMADAS NI WHATSAPP")</f>
        <v>DESTINATARIO NO CONTESTA LLAMADAS NI WHATSAPP</v>
      </c>
      <c r="AR1852" s="65"/>
      <c r="AS1852" s="65"/>
      <c r="AT1852" s="65" t="str">
        <f>IFERROR(__xludf.DUMMYFUNCTION("""COMPUTED_VALUE"""),"SHOPIFY")</f>
        <v>SHOPIFY</v>
      </c>
      <c r="AU1852" s="65" t="str">
        <f>IFERROR(__xludf.DUMMYFUNCTION("""COMPUTED_VALUE"""),"IMPORTEX EC")</f>
        <v>IMPORTEX EC</v>
      </c>
      <c r="AV1852" s="65" t="str">
        <f>IFERROR(__xludf.DUMMYFUNCTION("""COMPUTED_VALUE"""),"6411078434860")</f>
        <v>6411078434860</v>
      </c>
      <c r="AW1852" s="65">
        <f>IFERROR(__xludf.DUMMYFUNCTION("""COMPUTED_VALUE"""),5100.0)</f>
        <v>5100</v>
      </c>
      <c r="AX1852" s="65"/>
      <c r="AY1852" s="65" t="str">
        <f>IFERROR(__xludf.DUMMYFUNCTION("""COMPUTED_VALUE"""),"16/01/2026")</f>
        <v>16/01/2026</v>
      </c>
      <c r="AZ1852" s="65"/>
      <c r="BA1852" s="65"/>
    </row>
    <row r="1853">
      <c r="A1853" s="65" t="str">
        <f>IFERROR(__xludf.DUMMYFUNCTION("""COMPUTED_VALUE"""),"27-03-2026")</f>
        <v>27-03-2026</v>
      </c>
      <c r="B1853" s="65">
        <f>IFERROR(__xludf.DUMMYFUNCTION("""COMPUTED_VALUE"""),4128704.0)</f>
        <v>4128704</v>
      </c>
      <c r="C1853" s="65" t="str">
        <f>IFERROR(__xludf.DUMMYFUNCTION("""COMPUTED_VALUE"""),"08:32")</f>
        <v>08:32</v>
      </c>
      <c r="D1853" s="65" t="str">
        <f>IFERROR(__xludf.DUMMYFUNCTION("""COMPUTED_VALUE"""),"13-01-2026")</f>
        <v>13-01-2026</v>
      </c>
      <c r="E1853" s="65" t="str">
        <f>IFERROR(__xludf.DUMMYFUNCTION("""COMPUTED_VALUE"""),"Byron Gallo")</f>
        <v>Byron Gallo</v>
      </c>
      <c r="F1853" s="65" t="str">
        <f>IFERROR(__xludf.DUMMYFUNCTION("""COMPUTED_VALUE"""),"990509740")</f>
        <v>990509740</v>
      </c>
      <c r="G1853" s="65" t="str">
        <f>IFERROR(__xludf.DUMMYFUNCTION("""COMPUTED_VALUE"""),"byrfabricio@gmail.com")</f>
        <v>byrfabricio@gmail.com</v>
      </c>
      <c r="H1853" s="65"/>
      <c r="I1853" s="65"/>
      <c r="J1853" s="65" t="str">
        <f>IFERROR(__xludf.DUMMYFUNCTION("""COMPUTED_VALUE"""),"D001224225")</f>
        <v>D001224225</v>
      </c>
      <c r="K1853" s="65" t="str">
        <f>IFERROR(__xludf.DUMMYFUNCTION("""COMPUTED_VALUE"""),"ENTREGADO")</f>
        <v>ENTREGADO</v>
      </c>
      <c r="L1853" s="65" t="str">
        <f>IFERROR(__xludf.DUMMYFUNCTION("""COMPUTED_VALUE"""),"CON RECAUDO")</f>
        <v>CON RECAUDO</v>
      </c>
      <c r="M1853" s="65" t="str">
        <f>IFERROR(__xludf.DUMMYFUNCTION("""COMPUTED_VALUE"""),"PICHINCHA")</f>
        <v>PICHINCHA</v>
      </c>
      <c r="N1853" s="65" t="str">
        <f>IFERROR(__xludf.DUMMYFUNCTION("""COMPUTED_VALUE"""),"QUITO")</f>
        <v>QUITO</v>
      </c>
      <c r="O1853" s="65" t="str">
        <f>IFERROR(__xludf.DUMMYFUNCTION("""COMPUTED_VALUE"""),"Gonzalo Martin E2-373 y Francisco Cobo Chiriyacu")</f>
        <v>Gonzalo Martin E2-373 y Francisco Cobo Chiriyacu</v>
      </c>
      <c r="P1853" s="65"/>
      <c r="Q1853" s="65" t="str">
        <f>IFERROR(__xludf.DUMMYFUNCTION("""COMPUTED_VALUE"""),"GINTRACOM")</f>
        <v>GINTRACOM</v>
      </c>
      <c r="R1853" s="65">
        <f>IFERROR(__xludf.DUMMYFUNCTION("""COMPUTED_VALUE"""),25.0)</f>
        <v>25</v>
      </c>
      <c r="S1853" s="65">
        <f>IFERROR(__xludf.DUMMYFUNCTION("""COMPUTED_VALUE"""),15.95)</f>
        <v>15.95</v>
      </c>
      <c r="T1853" s="65">
        <f>IFERROR(__xludf.DUMMYFUNCTION("""COMPUTED_VALUE"""),4.35)</f>
        <v>4.35</v>
      </c>
      <c r="U1853" s="65">
        <f>IFERROR(__xludf.DUMMYFUNCTION("""COMPUTED_VALUE"""),0.0)</f>
        <v>0</v>
      </c>
      <c r="V1853" s="65">
        <f>IFERROR(__xludf.DUMMYFUNCTION("""COMPUTED_VALUE"""),0.0)</f>
        <v>0</v>
      </c>
      <c r="W1853" s="65">
        <f>IFERROR(__xludf.DUMMYFUNCTION("""COMPUTED_VALUE"""),0.0)</f>
        <v>0</v>
      </c>
      <c r="X1853" s="65">
        <f>IFERROR(__xludf.DUMMYFUNCTION("""COMPUTED_VALUE"""),2.35)</f>
        <v>2.35</v>
      </c>
      <c r="Y1853" s="65">
        <f>IFERROR(__xludf.DUMMYFUNCTION("""COMPUTED_VALUE"""),4.7)</f>
        <v>4.7</v>
      </c>
      <c r="Z1853" s="65">
        <f>IFERROR(__xludf.DUMMYFUNCTION("""COMPUTED_VALUE"""),116679.0)</f>
        <v>116679</v>
      </c>
      <c r="AA1853" s="65" t="str">
        <f>IFERROR(__xludf.DUMMYFUNCTION("""COMPUTED_VALUE"""),"AMC-2738")</f>
        <v>AMC-2738</v>
      </c>
      <c r="AB1853" s="65"/>
      <c r="AC1853" s="65" t="str">
        <f>IFERROR(__xludf.DUMMYFUNCTION("""COMPUTED_VALUE"""),"ESPONJA ANTILLUVIA DE PARABRISAS")</f>
        <v>ESPONJA ANTILLUVIA DE PARABRISAS</v>
      </c>
      <c r="AD1853" s="65"/>
      <c r="AE1853" s="65">
        <f>IFERROR(__xludf.DUMMYFUNCTION("""COMPUTED_VALUE"""),2.0)</f>
        <v>2</v>
      </c>
      <c r="AF1853" s="65"/>
      <c r="AG1853" s="65"/>
      <c r="AH1853" s="65"/>
      <c r="AI1853" s="65"/>
      <c r="AJ1853" s="65"/>
      <c r="AK1853" s="65"/>
      <c r="AL1853" s="65"/>
      <c r="AM1853" s="65"/>
      <c r="AN1853" s="65" t="str">
        <f>IFERROR(__xludf.DUMMYFUNCTION("""COMPUTED_VALUE"""),"14:52")</f>
        <v>14:52</v>
      </c>
      <c r="AO1853" s="65" t="str">
        <f>IFERROR(__xludf.DUMMYFUNCTION("""COMPUTED_VALUE"""),"28-02-2026")</f>
        <v>28-02-2026</v>
      </c>
      <c r="AP1853" s="65" t="str">
        <f>IFERROR(__xludf.DUMMYFUNCTION("""COMPUTED_VALUE"""),"ENTREGADA GINTRACOM")</f>
        <v>ENTREGADA GINTRACOM</v>
      </c>
      <c r="AQ1853" s="65" t="str">
        <f>IFERROR(__xludf.DUMMYFUNCTION("""COMPUTED_VALUE"""),"ENTREGADA GINTRACOM")</f>
        <v>ENTREGADA GINTRACOM</v>
      </c>
      <c r="AR1853" s="65"/>
      <c r="AS1853" s="65"/>
      <c r="AT1853" s="65" t="str">
        <f>IFERROR(__xludf.DUMMYFUNCTION("""COMPUTED_VALUE"""),"SHOPIFY")</f>
        <v>SHOPIFY</v>
      </c>
      <c r="AU1853" s="65" t="str">
        <f>IFERROR(__xludf.DUMMYFUNCTION("""COMPUTED_VALUE"""),"IMPORTEX EC")</f>
        <v>IMPORTEX EC</v>
      </c>
      <c r="AV1853" s="65" t="str">
        <f>IFERROR(__xludf.DUMMYFUNCTION("""COMPUTED_VALUE"""),"6411063066668")</f>
        <v>6411063066668</v>
      </c>
      <c r="AW1853" s="65">
        <f>IFERROR(__xludf.DUMMYFUNCTION("""COMPUTED_VALUE"""),5099.0)</f>
        <v>5099</v>
      </c>
      <c r="AX1853" s="65"/>
      <c r="AY1853" s="65" t="str">
        <f>IFERROR(__xludf.DUMMYFUNCTION("""COMPUTED_VALUE"""),"14/01/2026")</f>
        <v>14/01/2026</v>
      </c>
      <c r="AZ1853" s="65"/>
      <c r="BA1853" s="65"/>
    </row>
    <row r="1854">
      <c r="A1854" s="65" t="str">
        <f>IFERROR(__xludf.DUMMYFUNCTION("""COMPUTED_VALUE"""),"27-03-2026")</f>
        <v>27-03-2026</v>
      </c>
      <c r="B1854" s="65">
        <f>IFERROR(__xludf.DUMMYFUNCTION("""COMPUTED_VALUE"""),4128666.0)</f>
        <v>4128666</v>
      </c>
      <c r="C1854" s="65" t="str">
        <f>IFERROR(__xludf.DUMMYFUNCTION("""COMPUTED_VALUE"""),"08:29")</f>
        <v>08:29</v>
      </c>
      <c r="D1854" s="65" t="str">
        <f>IFERROR(__xludf.DUMMYFUNCTION("""COMPUTED_VALUE"""),"13-01-2026")</f>
        <v>13-01-2026</v>
      </c>
      <c r="E1854" s="65" t="str">
        <f>IFERROR(__xludf.DUMMYFUNCTION("""COMPUTED_VALUE"""),"Amparito Mayorga")</f>
        <v>Amparito Mayorga</v>
      </c>
      <c r="F1854" s="65" t="str">
        <f>IFERROR(__xludf.DUMMYFUNCTION("""COMPUTED_VALUE"""),"0983260190")</f>
        <v>0983260190</v>
      </c>
      <c r="G1854" s="65" t="str">
        <f>IFERROR(__xludf.DUMMYFUNCTION("""COMPUTED_VALUE"""),"amparitomayorga@gmail.com")</f>
        <v>amparitomayorga@gmail.com</v>
      </c>
      <c r="H1854" s="65"/>
      <c r="I1854" s="65"/>
      <c r="J1854" s="65" t="str">
        <f>IFERROR(__xludf.DUMMYFUNCTION("""COMPUTED_VALUE"""),"D001218282")</f>
        <v>D001218282</v>
      </c>
      <c r="K1854" s="65" t="str">
        <f>IFERROR(__xludf.DUMMYFUNCTION("""COMPUTED_VALUE"""),"DEVOLUCION")</f>
        <v>DEVOLUCION</v>
      </c>
      <c r="L1854" s="65" t="str">
        <f>IFERROR(__xludf.DUMMYFUNCTION("""COMPUTED_VALUE"""),"CON RECAUDO")</f>
        <v>CON RECAUDO</v>
      </c>
      <c r="M1854" s="65" t="str">
        <f>IFERROR(__xludf.DUMMYFUNCTION("""COMPUTED_VALUE"""),"PASTAZA")</f>
        <v>PASTAZA</v>
      </c>
      <c r="N1854" s="65" t="str">
        <f>IFERROR(__xludf.DUMMYFUNCTION("""COMPUTED_VALUE"""),"PUYO")</f>
        <v>PUYO</v>
      </c>
      <c r="O1854" s="65" t="str">
        <f>IFERROR(__xludf.DUMMYFUNCTION("""COMPUTED_VALUE"""),"Av. Tarqui ingresando por la Hostería Hachacaspi")</f>
        <v>Av. Tarqui ingresando por la Hostería Hachacaspi</v>
      </c>
      <c r="P1854" s="65" t="str">
        <f>IFERROR(__xludf.DUMMYFUNCTION("""COMPUTED_VALUE"""),"CUCHILLO PARA CHEF: Default Title ***")</f>
        <v>CUCHILLO PARA CHEF: Default Title ***</v>
      </c>
      <c r="Q1854" s="65" t="str">
        <f>IFERROR(__xludf.DUMMYFUNCTION("""COMPUTED_VALUE"""),"GINTRACOM")</f>
        <v>GINTRACOM</v>
      </c>
      <c r="R1854" s="65">
        <f>IFERROR(__xludf.DUMMYFUNCTION("""COMPUTED_VALUE"""),44.0)</f>
        <v>44</v>
      </c>
      <c r="S1854" s="65"/>
      <c r="T1854" s="65">
        <f>IFERROR(__xludf.DUMMYFUNCTION("""COMPUTED_VALUE"""),6.72)</f>
        <v>6.72</v>
      </c>
      <c r="U1854" s="65">
        <f>IFERROR(__xludf.DUMMYFUNCTION("""COMPUTED_VALUE"""),0.0)</f>
        <v>0</v>
      </c>
      <c r="V1854" s="65">
        <f>IFERROR(__xludf.DUMMYFUNCTION("""COMPUTED_VALUE"""),0.0)</f>
        <v>0</v>
      </c>
      <c r="W1854" s="65">
        <f>IFERROR(__xludf.DUMMYFUNCTION("""COMPUTED_VALUE"""),0.0)</f>
        <v>0</v>
      </c>
      <c r="X1854" s="65">
        <f>IFERROR(__xludf.DUMMYFUNCTION("""COMPUTED_VALUE"""),2.6)</f>
        <v>2.6</v>
      </c>
      <c r="Y1854" s="65">
        <f>IFERROR(__xludf.DUMMYFUNCTION("""COMPUTED_VALUE"""),5.2)</f>
        <v>5.2</v>
      </c>
      <c r="Z1854" s="65">
        <f>IFERROR(__xludf.DUMMYFUNCTION("""COMPUTED_VALUE"""),121983.0)</f>
        <v>121983</v>
      </c>
      <c r="AA1854" s="65" t="str">
        <f>IFERROR(__xludf.DUMMYFUNCTION("""COMPUTED_VALUE"""),"PROV-CHLLCF")</f>
        <v>PROV-CHLLCF</v>
      </c>
      <c r="AB1854" s="65"/>
      <c r="AC1854" s="65" t="str">
        <f>IFERROR(__xludf.DUMMYFUNCTION("""COMPUTED_VALUE"""),"CUCHILLO PARA CHEF")</f>
        <v>CUCHILLO PARA CHEF</v>
      </c>
      <c r="AD1854" s="65"/>
      <c r="AE1854" s="65">
        <f>IFERROR(__xludf.DUMMYFUNCTION("""COMPUTED_VALUE"""),2.0)</f>
        <v>2</v>
      </c>
      <c r="AF1854" s="65" t="str">
        <f>IFERROR(__xludf.DUMMYFUNCTION("""COMPUTED_VALUE"""),"DESTINATARIO INDICA QUE NO ES EL VALOR ACORDADO")</f>
        <v>DESTINATARIO INDICA QUE NO ES EL VALOR ACORDADO</v>
      </c>
      <c r="AG1854" s="65" t="str">
        <f>IFERROR(__xludf.DUMMYFUNCTION("""COMPUTED_VALUE"""),"SI")</f>
        <v>SI</v>
      </c>
      <c r="AH1854" s="65" t="str">
        <f>IFERROR(__xludf.DUMMYFUNCTION("""COMPUTED_VALUE"""),"08:02")</f>
        <v>08:02</v>
      </c>
      <c r="AI1854" s="65" t="str">
        <f>IFERROR(__xludf.DUMMYFUNCTION("""COMPUTED_VALUE"""),"15-01-2026")</f>
        <v>15-01-2026</v>
      </c>
      <c r="AJ1854" s="65" t="str">
        <f>IFERROR(__xludf.DUMMYFUNCTION("""COMPUTED_VALUE"""),"El valor es de 2 cuchillos por $22.00")</f>
        <v>El valor es de 2 cuchillos por $22.00</v>
      </c>
      <c r="AK1854" s="65" t="str">
        <f>IFERROR(__xludf.DUMMYFUNCTION("""COMPUTED_VALUE"""),"16:57")</f>
        <v>16:57</v>
      </c>
      <c r="AL1854" s="65" t="str">
        <f>IFERROR(__xludf.DUMMYFUNCTION("""COMPUTED_VALUE"""),"21-01-2026")</f>
        <v>21-01-2026</v>
      </c>
      <c r="AM1854" s="65"/>
      <c r="AN1854" s="65" t="str">
        <f>IFERROR(__xludf.DUMMYFUNCTION("""COMPUTED_VALUE"""),"09:33")</f>
        <v>09:33</v>
      </c>
      <c r="AO1854" s="65" t="str">
        <f>IFERROR(__xludf.DUMMYFUNCTION("""COMPUTED_VALUE"""),"10-02-2026")</f>
        <v>10-02-2026</v>
      </c>
      <c r="AP1854" s="65" t="str">
        <f>IFERROR(__xludf.DUMMYFUNCTION("""COMPUTED_VALUE"""),"DEV CONFIRMADA POR BODEGA")</f>
        <v>DEV CONFIRMADA POR BODEGA</v>
      </c>
      <c r="AQ1854" s="65"/>
      <c r="AR1854" s="65" t="str">
        <f>IFERROR(__xludf.DUMMYFUNCTION("""COMPUTED_VALUE"""),"Gestionado por: Moran Daniel, email:danielmorga2005@gmail.com, total de productos en la orden: 1")</f>
        <v>Gestionado por: Moran Daniel, email:danielmorga2005@gmail.com, total de productos en la orden: 1</v>
      </c>
      <c r="AS1854" s="65"/>
      <c r="AT1854" s="65" t="str">
        <f>IFERROR(__xludf.DUMMYFUNCTION("""COMPUTED_VALUE"""),"SHOPIFY")</f>
        <v>SHOPIFY</v>
      </c>
      <c r="AU1854" s="65" t="str">
        <f>IFERROR(__xludf.DUMMYFUNCTION("""COMPUTED_VALUE"""),"IMPORTEX EC")</f>
        <v>IMPORTEX EC</v>
      </c>
      <c r="AV1854" s="65" t="str">
        <f>IFERROR(__xludf.DUMMYFUNCTION("""COMPUTED_VALUE"""),"6411057758252")</f>
        <v>6411057758252</v>
      </c>
      <c r="AW1854" s="65">
        <f>IFERROR(__xludf.DUMMYFUNCTION("""COMPUTED_VALUE"""),5098.0)</f>
        <v>5098</v>
      </c>
      <c r="AX1854" s="65"/>
      <c r="AY1854" s="65" t="str">
        <f>IFERROR(__xludf.DUMMYFUNCTION("""COMPUTED_VALUE"""),"13/01/2026")</f>
        <v>13/01/2026</v>
      </c>
      <c r="AZ1854" s="65"/>
      <c r="BA1854" s="65"/>
    </row>
    <row r="1855">
      <c r="A1855" s="65" t="str">
        <f>IFERROR(__xludf.DUMMYFUNCTION("""COMPUTED_VALUE"""),"27-03-2026")</f>
        <v>27-03-2026</v>
      </c>
      <c r="B1855" s="65">
        <f>IFERROR(__xludf.DUMMYFUNCTION("""COMPUTED_VALUE"""),4128642.0)</f>
        <v>4128642</v>
      </c>
      <c r="C1855" s="65" t="str">
        <f>IFERROR(__xludf.DUMMYFUNCTION("""COMPUTED_VALUE"""),"08:26")</f>
        <v>08:26</v>
      </c>
      <c r="D1855" s="65" t="str">
        <f>IFERROR(__xludf.DUMMYFUNCTION("""COMPUTED_VALUE"""),"13-01-2026")</f>
        <v>13-01-2026</v>
      </c>
      <c r="E1855" s="65" t="str">
        <f>IFERROR(__xludf.DUMMYFUNCTION("""COMPUTED_VALUE"""),"Sonia Sanchez")</f>
        <v>Sonia Sanchez</v>
      </c>
      <c r="F1855" s="65" t="str">
        <f>IFERROR(__xludf.DUMMYFUNCTION("""COMPUTED_VALUE"""),"988255308")</f>
        <v>988255308</v>
      </c>
      <c r="G1855" s="65" t="str">
        <f>IFERROR(__xludf.DUMMYFUNCTION("""COMPUTED_VALUE"""),"ssanchezv88@gmail.com")</f>
        <v>ssanchezv88@gmail.com</v>
      </c>
      <c r="H1855" s="65"/>
      <c r="I1855" s="65"/>
      <c r="J1855" s="65" t="str">
        <f>IFERROR(__xludf.DUMMYFUNCTION("""COMPUTED_VALUE"""),"D001224226")</f>
        <v>D001224226</v>
      </c>
      <c r="K1855" s="65" t="str">
        <f>IFERROR(__xludf.DUMMYFUNCTION("""COMPUTED_VALUE"""),"ENTREGADO")</f>
        <v>ENTREGADO</v>
      </c>
      <c r="L1855" s="65" t="str">
        <f>IFERROR(__xludf.DUMMYFUNCTION("""COMPUTED_VALUE"""),"CON RECAUDO")</f>
        <v>CON RECAUDO</v>
      </c>
      <c r="M1855" s="65" t="str">
        <f>IFERROR(__xludf.DUMMYFUNCTION("""COMPUTED_VALUE"""),"GUAYAS")</f>
        <v>GUAYAS</v>
      </c>
      <c r="N1855" s="65" t="str">
        <f>IFERROR(__xludf.DUMMYFUNCTION("""COMPUTED_VALUE"""),"GUAYAQUIL")</f>
        <v>GUAYAQUIL</v>
      </c>
      <c r="O1855" s="65" t="str">
        <f>IFERROR(__xludf.DUMMYFUNCTION("""COMPUTED_VALUE"""),"Estancias del rio villa ce 23 Puntilla - Km 10 1/2 urbanización Estancias del Río villa ce 23 -  REF:  diagonal al cuerpo se bomberos")</f>
        <v>Estancias del rio villa ce 23 Puntilla - Km 10 1/2 urbanización Estancias del Río villa ce 23 -  REF:  diagonal al cuerpo se bomberos</v>
      </c>
      <c r="P1855" s="65"/>
      <c r="Q1855" s="65" t="str">
        <f>IFERROR(__xludf.DUMMYFUNCTION("""COMPUTED_VALUE"""),"GINTRACOM")</f>
        <v>GINTRACOM</v>
      </c>
      <c r="R1855" s="65">
        <f>IFERROR(__xludf.DUMMYFUNCTION("""COMPUTED_VALUE"""),30.0)</f>
        <v>30</v>
      </c>
      <c r="S1855" s="65">
        <f>IFERROR(__xludf.DUMMYFUNCTION("""COMPUTED_VALUE"""),16.79)</f>
        <v>16.79</v>
      </c>
      <c r="T1855" s="65">
        <f>IFERROR(__xludf.DUMMYFUNCTION("""COMPUTED_VALUE"""),6.16)</f>
        <v>6.16</v>
      </c>
      <c r="U1855" s="65">
        <f>IFERROR(__xludf.DUMMYFUNCTION("""COMPUTED_VALUE"""),0.0)</f>
        <v>0</v>
      </c>
      <c r="V1855" s="65">
        <f>IFERROR(__xludf.DUMMYFUNCTION("""COMPUTED_VALUE"""),0.0)</f>
        <v>0</v>
      </c>
      <c r="W1855" s="65">
        <f>IFERROR(__xludf.DUMMYFUNCTION("""COMPUTED_VALUE"""),0.0)</f>
        <v>0</v>
      </c>
      <c r="X1855" s="65">
        <f>IFERROR(__xludf.DUMMYFUNCTION("""COMPUTED_VALUE"""),2.35)</f>
        <v>2.35</v>
      </c>
      <c r="Y1855" s="65">
        <f>IFERROR(__xludf.DUMMYFUNCTION("""COMPUTED_VALUE"""),7.05)</f>
        <v>7.05</v>
      </c>
      <c r="Z1855" s="65">
        <f>IFERROR(__xludf.DUMMYFUNCTION("""COMPUTED_VALUE"""),116679.0)</f>
        <v>116679</v>
      </c>
      <c r="AA1855" s="65" t="str">
        <f>IFERROR(__xludf.DUMMYFUNCTION("""COMPUTED_VALUE"""),"AMC-2738")</f>
        <v>AMC-2738</v>
      </c>
      <c r="AB1855" s="65"/>
      <c r="AC1855" s="65" t="str">
        <f>IFERROR(__xludf.DUMMYFUNCTION("""COMPUTED_VALUE"""),"ESPONJA ANTILLUVIA DE PARABRISAS")</f>
        <v>ESPONJA ANTILLUVIA DE PARABRISAS</v>
      </c>
      <c r="AD1855" s="65"/>
      <c r="AE1855" s="65">
        <f>IFERROR(__xludf.DUMMYFUNCTION("""COMPUTED_VALUE"""),3.0)</f>
        <v>3</v>
      </c>
      <c r="AF1855" s="65"/>
      <c r="AG1855" s="65"/>
      <c r="AH1855" s="65"/>
      <c r="AI1855" s="65"/>
      <c r="AJ1855" s="65"/>
      <c r="AK1855" s="65"/>
      <c r="AL1855" s="65"/>
      <c r="AM1855" s="65"/>
      <c r="AN1855" s="65" t="str">
        <f>IFERROR(__xludf.DUMMYFUNCTION("""COMPUTED_VALUE"""),"10:08")</f>
        <v>10:08</v>
      </c>
      <c r="AO1855" s="65" t="str">
        <f>IFERROR(__xludf.DUMMYFUNCTION("""COMPUTED_VALUE"""),"16-01-2026")</f>
        <v>16-01-2026</v>
      </c>
      <c r="AP1855" s="65" t="str">
        <f>IFERROR(__xludf.DUMMYFUNCTION("""COMPUTED_VALUE"""),"EN REPARTO")</f>
        <v>EN REPARTO</v>
      </c>
      <c r="AQ1855" s="65" t="str">
        <f>IFERROR(__xludf.DUMMYFUNCTION("""COMPUTED_VALUE"""),"EN REPARTO")</f>
        <v>EN REPARTO</v>
      </c>
      <c r="AR1855" s="65"/>
      <c r="AS1855" s="65"/>
      <c r="AT1855" s="65" t="str">
        <f>IFERROR(__xludf.DUMMYFUNCTION("""COMPUTED_VALUE"""),"SHOPIFY")</f>
        <v>SHOPIFY</v>
      </c>
      <c r="AU1855" s="65" t="str">
        <f>IFERROR(__xludf.DUMMYFUNCTION("""COMPUTED_VALUE"""),"IMPORTEX EC")</f>
        <v>IMPORTEX EC</v>
      </c>
      <c r="AV1855" s="65" t="str">
        <f>IFERROR(__xludf.DUMMYFUNCTION("""COMPUTED_VALUE"""),"6411054809132")</f>
        <v>6411054809132</v>
      </c>
      <c r="AW1855" s="65">
        <f>IFERROR(__xludf.DUMMYFUNCTION("""COMPUTED_VALUE"""),5097.0)</f>
        <v>5097</v>
      </c>
      <c r="AX1855" s="65"/>
      <c r="AY1855" s="65" t="str">
        <f>IFERROR(__xludf.DUMMYFUNCTION("""COMPUTED_VALUE"""),"14/01/2026")</f>
        <v>14/01/2026</v>
      </c>
      <c r="AZ1855" s="65"/>
      <c r="BA1855" s="65"/>
    </row>
    <row r="1856">
      <c r="A1856" s="65" t="str">
        <f>IFERROR(__xludf.DUMMYFUNCTION("""COMPUTED_VALUE"""),"27-03-2026")</f>
        <v>27-03-2026</v>
      </c>
      <c r="B1856" s="65">
        <f>IFERROR(__xludf.DUMMYFUNCTION("""COMPUTED_VALUE"""),4128548.0)</f>
        <v>4128548</v>
      </c>
      <c r="C1856" s="65" t="str">
        <f>IFERROR(__xludf.DUMMYFUNCTION("""COMPUTED_VALUE"""),"08:15")</f>
        <v>08:15</v>
      </c>
      <c r="D1856" s="65" t="str">
        <f>IFERROR(__xludf.DUMMYFUNCTION("""COMPUTED_VALUE"""),"13-01-2026")</f>
        <v>13-01-2026</v>
      </c>
      <c r="E1856" s="65" t="str">
        <f>IFERROR(__xludf.DUMMYFUNCTION("""COMPUTED_VALUE"""),"Juan Carlos Lucero")</f>
        <v>Juan Carlos Lucero</v>
      </c>
      <c r="F1856" s="65" t="str">
        <f>IFERROR(__xludf.DUMMYFUNCTION("""COMPUTED_VALUE"""),"999113500")</f>
        <v>999113500</v>
      </c>
      <c r="G1856" s="65" t="str">
        <f>IFERROR(__xludf.DUMMYFUNCTION("""COMPUTED_VALUE"""),"jlucerohurtado@gmail.com")</f>
        <v>jlucerohurtado@gmail.com</v>
      </c>
      <c r="H1856" s="65"/>
      <c r="I1856" s="65"/>
      <c r="J1856" s="65" t="str">
        <f>IFERROR(__xludf.DUMMYFUNCTION("""COMPUTED_VALUE"""),"D001224227")</f>
        <v>D001224227</v>
      </c>
      <c r="K1856" s="65" t="str">
        <f>IFERROR(__xludf.DUMMYFUNCTION("""COMPUTED_VALUE"""),"DEVOLUCION")</f>
        <v>DEVOLUCION</v>
      </c>
      <c r="L1856" s="65" t="str">
        <f>IFERROR(__xludf.DUMMYFUNCTION("""COMPUTED_VALUE"""),"CON RECAUDO")</f>
        <v>CON RECAUDO</v>
      </c>
      <c r="M1856" s="65" t="str">
        <f>IFERROR(__xludf.DUMMYFUNCTION("""COMPUTED_VALUE"""),"PICHINCHA")</f>
        <v>PICHINCHA</v>
      </c>
      <c r="N1856" s="65" t="str">
        <f>IFERROR(__xludf.DUMMYFUNCTION("""COMPUTED_VALUE"""),"QUITO")</f>
        <v>QUITO</v>
      </c>
      <c r="O1856" s="65" t="str">
        <f>IFERROR(__xludf.DUMMYFUNCTION("""COMPUTED_VALUE"""),"Av. Manuel Córdova Galarza Km 8 1/2 Pomasqui -  REF: Conjunto Monte Carmelo")</f>
        <v>Av. Manuel Córdova Galarza Km 8 1/2 Pomasqui -  REF: Conjunto Monte Carmelo</v>
      </c>
      <c r="P1856" s="65"/>
      <c r="Q1856" s="65" t="str">
        <f>IFERROR(__xludf.DUMMYFUNCTION("""COMPUTED_VALUE"""),"GINTRACOM")</f>
        <v>GINTRACOM</v>
      </c>
      <c r="R1856" s="65">
        <f>IFERROR(__xludf.DUMMYFUNCTION("""COMPUTED_VALUE"""),30.0)</f>
        <v>30</v>
      </c>
      <c r="S1856" s="65"/>
      <c r="T1856" s="65">
        <f>IFERROR(__xludf.DUMMYFUNCTION("""COMPUTED_VALUE"""),4.55)</f>
        <v>4.55</v>
      </c>
      <c r="U1856" s="65">
        <f>IFERROR(__xludf.DUMMYFUNCTION("""COMPUTED_VALUE"""),0.0)</f>
        <v>0</v>
      </c>
      <c r="V1856" s="65">
        <f>IFERROR(__xludf.DUMMYFUNCTION("""COMPUTED_VALUE"""),0.0)</f>
        <v>0</v>
      </c>
      <c r="W1856" s="65">
        <f>IFERROR(__xludf.DUMMYFUNCTION("""COMPUTED_VALUE"""),0.0)</f>
        <v>0</v>
      </c>
      <c r="X1856" s="65">
        <f>IFERROR(__xludf.DUMMYFUNCTION("""COMPUTED_VALUE"""),2.35)</f>
        <v>2.35</v>
      </c>
      <c r="Y1856" s="65">
        <f>IFERROR(__xludf.DUMMYFUNCTION("""COMPUTED_VALUE"""),7.05)</f>
        <v>7.05</v>
      </c>
      <c r="Z1856" s="65">
        <f>IFERROR(__xludf.DUMMYFUNCTION("""COMPUTED_VALUE"""),116679.0)</f>
        <v>116679</v>
      </c>
      <c r="AA1856" s="65" t="str">
        <f>IFERROR(__xludf.DUMMYFUNCTION("""COMPUTED_VALUE"""),"AMC-2738")</f>
        <v>AMC-2738</v>
      </c>
      <c r="AB1856" s="65"/>
      <c r="AC1856" s="65" t="str">
        <f>IFERROR(__xludf.DUMMYFUNCTION("""COMPUTED_VALUE"""),"ESPONJA ANTILLUVIA DE PARABRISAS")</f>
        <v>ESPONJA ANTILLUVIA DE PARABRISAS</v>
      </c>
      <c r="AD1856" s="65"/>
      <c r="AE1856" s="65">
        <f>IFERROR(__xludf.DUMMYFUNCTION("""COMPUTED_VALUE"""),3.0)</f>
        <v>3</v>
      </c>
      <c r="AF1856" s="65" t="str">
        <f>IFERROR(__xludf.DUMMYFUNCTION("""COMPUTED_VALUE"""),"DESTINATARIO NO CONTESTA LLAMADAS NI WHATSAPP")</f>
        <v>DESTINATARIO NO CONTESTA LLAMADAS NI WHATSAPP</v>
      </c>
      <c r="AG1856" s="65" t="str">
        <f>IFERROR(__xludf.DUMMYFUNCTION("""COMPUTED_VALUE"""),"SI")</f>
        <v>SI</v>
      </c>
      <c r="AH1856" s="65" t="str">
        <f>IFERROR(__xludf.DUMMYFUNCTION("""COMPUTED_VALUE"""),"09:00")</f>
        <v>09:00</v>
      </c>
      <c r="AI1856" s="65" t="str">
        <f>IFERROR(__xludf.DUMMYFUNCTION("""COMPUTED_VALUE"""),"22-01-2026")</f>
        <v>22-01-2026</v>
      </c>
      <c r="AJ1856" s="65"/>
      <c r="AK1856" s="65"/>
      <c r="AL1856" s="65"/>
      <c r="AM1856" s="65"/>
      <c r="AN1856" s="65" t="str">
        <f>IFERROR(__xludf.DUMMYFUNCTION("""COMPUTED_VALUE"""),"17:13")</f>
        <v>17:13</v>
      </c>
      <c r="AO1856" s="65" t="str">
        <f>IFERROR(__xludf.DUMMYFUNCTION("""COMPUTED_VALUE"""),"06-02-2026")</f>
        <v>06-02-2026</v>
      </c>
      <c r="AP1856" s="65" t="str">
        <f>IFERROR(__xludf.DUMMYFUNCTION("""COMPUTED_VALUE"""),"DEVOLUCIÓN ENTREGADA A ORIGEN")</f>
        <v>DEVOLUCIÓN ENTREGADA A ORIGEN</v>
      </c>
      <c r="AQ1856" s="65" t="str">
        <f>IFERROR(__xludf.DUMMYFUNCTION("""COMPUTED_VALUE"""),"DEVOLUCIÓN ENTREGADA A ORIGEN")</f>
        <v>DEVOLUCIÓN ENTREGADA A ORIGEN</v>
      </c>
      <c r="AR1856" s="65"/>
      <c r="AS1856" s="65"/>
      <c r="AT1856" s="65" t="str">
        <f>IFERROR(__xludf.DUMMYFUNCTION("""COMPUTED_VALUE"""),"SHOPIFY")</f>
        <v>SHOPIFY</v>
      </c>
      <c r="AU1856" s="65" t="str">
        <f>IFERROR(__xludf.DUMMYFUNCTION("""COMPUTED_VALUE"""),"IMPORTEX EC")</f>
        <v>IMPORTEX EC</v>
      </c>
      <c r="AV1856" s="65" t="str">
        <f>IFERROR(__xludf.DUMMYFUNCTION("""COMPUTED_VALUE"""),"6411041275948")</f>
        <v>6411041275948</v>
      </c>
      <c r="AW1856" s="65">
        <f>IFERROR(__xludf.DUMMYFUNCTION("""COMPUTED_VALUE"""),5096.0)</f>
        <v>5096</v>
      </c>
      <c r="AX1856" s="65"/>
      <c r="AY1856" s="65" t="str">
        <f>IFERROR(__xludf.DUMMYFUNCTION("""COMPUTED_VALUE"""),"14/01/2026")</f>
        <v>14/01/2026</v>
      </c>
      <c r="AZ1856" s="65"/>
      <c r="BA1856" s="65"/>
    </row>
    <row r="1857">
      <c r="A1857" s="65" t="str">
        <f>IFERROR(__xludf.DUMMYFUNCTION("""COMPUTED_VALUE"""),"27-03-2026")</f>
        <v>27-03-2026</v>
      </c>
      <c r="B1857" s="65">
        <f>IFERROR(__xludf.DUMMYFUNCTION("""COMPUTED_VALUE"""),4128329.0)</f>
        <v>4128329</v>
      </c>
      <c r="C1857" s="65" t="str">
        <f>IFERROR(__xludf.DUMMYFUNCTION("""COMPUTED_VALUE"""),"08:00")</f>
        <v>08:00</v>
      </c>
      <c r="D1857" s="65" t="str">
        <f>IFERROR(__xludf.DUMMYFUNCTION("""COMPUTED_VALUE"""),"13-01-2026")</f>
        <v>13-01-2026</v>
      </c>
      <c r="E1857" s="65" t="str">
        <f>IFERROR(__xludf.DUMMYFUNCTION("""COMPUTED_VALUE"""),"Robert Tutivén Tutivén Chonillo")</f>
        <v>Robert Tutivén Tutivén Chonillo</v>
      </c>
      <c r="F1857" s="65" t="str">
        <f>IFERROR(__xludf.DUMMYFUNCTION("""COMPUTED_VALUE"""),"999614346")</f>
        <v>999614346</v>
      </c>
      <c r="G1857" s="65" t="str">
        <f>IFERROR(__xludf.DUMMYFUNCTION("""COMPUTED_VALUE"""),"tito_pescadito@hotmail.com")</f>
        <v>tito_pescadito@hotmail.com</v>
      </c>
      <c r="H1857" s="65"/>
      <c r="I1857" s="65"/>
      <c r="J1857" s="65"/>
      <c r="K1857" s="65" t="str">
        <f>IFERROR(__xludf.DUMMYFUNCTION("""COMPUTED_VALUE"""),"PENDIENTE CONFIRMACION")</f>
        <v>PENDIENTE CONFIRMACION</v>
      </c>
      <c r="L1857" s="65" t="str">
        <f>IFERROR(__xludf.DUMMYFUNCTION("""COMPUTED_VALUE"""),"CON RECAUDO")</f>
        <v>CON RECAUDO</v>
      </c>
      <c r="M1857" s="65" t="str">
        <f>IFERROR(__xludf.DUMMYFUNCTION("""COMPUTED_VALUE"""),"GUAYAS")</f>
        <v>GUAYAS</v>
      </c>
      <c r="N1857" s="65" t="str">
        <f>IFERROR(__xludf.DUMMYFUNCTION("""COMPUTED_VALUE"""),"LOMAS DE SARGENTILLO")</f>
        <v>LOMAS DE SARGENTILLO</v>
      </c>
      <c r="O1857" s="65" t="str">
        <f>IFERROR(__xludf.DUMMYFUNCTION("""COMPUTED_VALUE"""),"Calle A Calle 14 -")</f>
        <v>Calle A Calle 14 -</v>
      </c>
      <c r="P1857" s="65"/>
      <c r="Q1857" s="65" t="str">
        <f>IFERROR(__xludf.DUMMYFUNCTION("""COMPUTED_VALUE"""),"SERVIENTREGA")</f>
        <v>SERVIENTREGA</v>
      </c>
      <c r="R1857" s="65">
        <f>IFERROR(__xludf.DUMMYFUNCTION("""COMPUTED_VALUE"""),30.0)</f>
        <v>30</v>
      </c>
      <c r="S1857" s="65"/>
      <c r="T1857" s="65">
        <f>IFERROR(__xludf.DUMMYFUNCTION("""COMPUTED_VALUE"""),7.82)</f>
        <v>7.82</v>
      </c>
      <c r="U1857" s="65">
        <f>IFERROR(__xludf.DUMMYFUNCTION("""COMPUTED_VALUE"""),0.0)</f>
        <v>0</v>
      </c>
      <c r="V1857" s="65">
        <f>IFERROR(__xludf.DUMMYFUNCTION("""COMPUTED_VALUE"""),0.0)</f>
        <v>0</v>
      </c>
      <c r="W1857" s="65">
        <f>IFERROR(__xludf.DUMMYFUNCTION("""COMPUTED_VALUE"""),0.0)</f>
        <v>0</v>
      </c>
      <c r="X1857" s="65">
        <f>IFERROR(__xludf.DUMMYFUNCTION("""COMPUTED_VALUE"""),2.35)</f>
        <v>2.35</v>
      </c>
      <c r="Y1857" s="65">
        <f>IFERROR(__xludf.DUMMYFUNCTION("""COMPUTED_VALUE"""),7.05)</f>
        <v>7.05</v>
      </c>
      <c r="Z1857" s="65">
        <f>IFERROR(__xludf.DUMMYFUNCTION("""COMPUTED_VALUE"""),116679.0)</f>
        <v>116679</v>
      </c>
      <c r="AA1857" s="65" t="str">
        <f>IFERROR(__xludf.DUMMYFUNCTION("""COMPUTED_VALUE"""),"AMC-2738")</f>
        <v>AMC-2738</v>
      </c>
      <c r="AB1857" s="65"/>
      <c r="AC1857" s="65" t="str">
        <f>IFERROR(__xludf.DUMMYFUNCTION("""COMPUTED_VALUE"""),"ESPONJA ANTILLUVIA DE PARABRISAS")</f>
        <v>ESPONJA ANTILLUVIA DE PARABRISAS</v>
      </c>
      <c r="AD1857" s="65"/>
      <c r="AE1857" s="65">
        <f>IFERROR(__xludf.DUMMYFUNCTION("""COMPUTED_VALUE"""),3.0)</f>
        <v>3</v>
      </c>
      <c r="AF1857" s="65"/>
      <c r="AG1857" s="65"/>
      <c r="AH1857" s="65"/>
      <c r="AI1857" s="65"/>
      <c r="AJ1857" s="65"/>
      <c r="AK1857" s="65"/>
      <c r="AL1857" s="65"/>
      <c r="AM1857" s="65"/>
      <c r="AN1857" s="65"/>
      <c r="AO1857" s="65"/>
      <c r="AP1857" s="65"/>
      <c r="AQ1857" s="65"/>
      <c r="AR1857" s="65"/>
      <c r="AS1857" s="65"/>
      <c r="AT1857" s="65" t="str">
        <f>IFERROR(__xludf.DUMMYFUNCTION("""COMPUTED_VALUE"""),"SHOPIFY")</f>
        <v>SHOPIFY</v>
      </c>
      <c r="AU1857" s="65" t="str">
        <f>IFERROR(__xludf.DUMMYFUNCTION("""COMPUTED_VALUE"""),"IMPORTEX EC")</f>
        <v>IMPORTEX EC</v>
      </c>
      <c r="AV1857" s="65" t="str">
        <f>IFERROR(__xludf.DUMMYFUNCTION("""COMPUTED_VALUE"""),"6411019485228")</f>
        <v>6411019485228</v>
      </c>
      <c r="AW1857" s="65">
        <f>IFERROR(__xludf.DUMMYFUNCTION("""COMPUTED_VALUE"""),5095.0)</f>
        <v>5095</v>
      </c>
      <c r="AX1857" s="65"/>
      <c r="AY1857" s="65"/>
      <c r="AZ1857" s="65"/>
      <c r="BA1857" s="65"/>
    </row>
    <row r="1858">
      <c r="A1858" s="65" t="str">
        <f>IFERROR(__xludf.DUMMYFUNCTION("""COMPUTED_VALUE"""),"27-03-2026")</f>
        <v>27-03-2026</v>
      </c>
      <c r="B1858" s="65">
        <f>IFERROR(__xludf.DUMMYFUNCTION("""COMPUTED_VALUE"""),4128310.0)</f>
        <v>4128310</v>
      </c>
      <c r="C1858" s="65" t="str">
        <f>IFERROR(__xludf.DUMMYFUNCTION("""COMPUTED_VALUE"""),"07:59")</f>
        <v>07:59</v>
      </c>
      <c r="D1858" s="65" t="str">
        <f>IFERROR(__xludf.DUMMYFUNCTION("""COMPUTED_VALUE"""),"13-01-2026")</f>
        <v>13-01-2026</v>
      </c>
      <c r="E1858" s="65" t="str">
        <f>IFERROR(__xludf.DUMMYFUNCTION("""COMPUTED_VALUE"""),"Ernesto Valentin Calispa Uvillus")</f>
        <v>Ernesto Valentin Calispa Uvillus</v>
      </c>
      <c r="F1858" s="65" t="str">
        <f>IFERROR(__xludf.DUMMYFUNCTION("""COMPUTED_VALUE"""),"987299358")</f>
        <v>987299358</v>
      </c>
      <c r="G1858" s="65" t="str">
        <f>IFERROR(__xludf.DUMMYFUNCTION("""COMPUTED_VALUE"""),"ernesto_calispa@hotmail.com")</f>
        <v>ernesto_calispa@hotmail.com</v>
      </c>
      <c r="H1858" s="65"/>
      <c r="I1858" s="65"/>
      <c r="J1858" s="65" t="str">
        <f>IFERROR(__xludf.DUMMYFUNCTION("""COMPUTED_VALUE"""),"186974741")</f>
        <v>186974741</v>
      </c>
      <c r="K1858" s="65" t="str">
        <f>IFERROR(__xludf.DUMMYFUNCTION("""COMPUTED_VALUE"""),"ENTREGADO")</f>
        <v>ENTREGADO</v>
      </c>
      <c r="L1858" s="65" t="str">
        <f>IFERROR(__xludf.DUMMYFUNCTION("""COMPUTED_VALUE"""),"CON RECAUDO")</f>
        <v>CON RECAUDO</v>
      </c>
      <c r="M1858" s="65" t="str">
        <f>IFERROR(__xludf.DUMMYFUNCTION("""COMPUTED_VALUE"""),"PICHINCHA")</f>
        <v>PICHINCHA</v>
      </c>
      <c r="N1858" s="65" t="str">
        <f>IFERROR(__xludf.DUMMYFUNCTION("""COMPUTED_VALUE"""),"MACHACHI")</f>
        <v>MACHACHI</v>
      </c>
      <c r="O1858" s="65" t="str">
        <f>IFERROR(__xludf.DUMMYFUNCTION("""COMPUTED_VALUE"""),"Provincia de Pichincha, Cantón Mejía, Ciudad de Machachi, Parroquia Aloasí - Calle Simón Bolívar y Calle El Calvario, casa número 74, de dos pisos color ladrillo.")</f>
        <v>Provincia de Pichincha, Cantón Mejía, Ciudad de Machachi, Parroquia Aloasí - Calle Simón Bolívar y Calle El Calvario, casa número 74, de dos pisos color ladrillo.</v>
      </c>
      <c r="P1858" s="65"/>
      <c r="Q1858" s="65" t="str">
        <f>IFERROR(__xludf.DUMMYFUNCTION("""COMPUTED_VALUE"""),"SERVIENTREGA")</f>
        <v>SERVIENTREGA</v>
      </c>
      <c r="R1858" s="65">
        <f>IFERROR(__xludf.DUMMYFUNCTION("""COMPUTED_VALUE"""),25.0)</f>
        <v>25</v>
      </c>
      <c r="S1858" s="65">
        <f>IFERROR(__xludf.DUMMYFUNCTION("""COMPUTED_VALUE"""),14.59)</f>
        <v>14.59</v>
      </c>
      <c r="T1858" s="65">
        <f>IFERROR(__xludf.DUMMYFUNCTION("""COMPUTED_VALUE"""),5.71)</f>
        <v>5.71</v>
      </c>
      <c r="U1858" s="65">
        <f>IFERROR(__xludf.DUMMYFUNCTION("""COMPUTED_VALUE"""),0.0)</f>
        <v>0</v>
      </c>
      <c r="V1858" s="65">
        <f>IFERROR(__xludf.DUMMYFUNCTION("""COMPUTED_VALUE"""),0.0)</f>
        <v>0</v>
      </c>
      <c r="W1858" s="65">
        <f>IFERROR(__xludf.DUMMYFUNCTION("""COMPUTED_VALUE"""),0.0)</f>
        <v>0</v>
      </c>
      <c r="X1858" s="65">
        <f>IFERROR(__xludf.DUMMYFUNCTION("""COMPUTED_VALUE"""),2.35)</f>
        <v>2.35</v>
      </c>
      <c r="Y1858" s="65">
        <f>IFERROR(__xludf.DUMMYFUNCTION("""COMPUTED_VALUE"""),4.7)</f>
        <v>4.7</v>
      </c>
      <c r="Z1858" s="65">
        <f>IFERROR(__xludf.DUMMYFUNCTION("""COMPUTED_VALUE"""),116679.0)</f>
        <v>116679</v>
      </c>
      <c r="AA1858" s="65" t="str">
        <f>IFERROR(__xludf.DUMMYFUNCTION("""COMPUTED_VALUE"""),"AMC-2738")</f>
        <v>AMC-2738</v>
      </c>
      <c r="AB1858" s="65"/>
      <c r="AC1858" s="65" t="str">
        <f>IFERROR(__xludf.DUMMYFUNCTION("""COMPUTED_VALUE"""),"ESPONJA ANTILLUVIA DE PARABRISAS")</f>
        <v>ESPONJA ANTILLUVIA DE PARABRISAS</v>
      </c>
      <c r="AD1858" s="65"/>
      <c r="AE1858" s="65">
        <f>IFERROR(__xludf.DUMMYFUNCTION("""COMPUTED_VALUE"""),2.0)</f>
        <v>2</v>
      </c>
      <c r="AF1858" s="65"/>
      <c r="AG1858" s="65"/>
      <c r="AH1858" s="65"/>
      <c r="AI1858" s="65"/>
      <c r="AJ1858" s="65"/>
      <c r="AK1858" s="65"/>
      <c r="AL1858" s="65"/>
      <c r="AM1858" s="65"/>
      <c r="AN1858" s="65" t="str">
        <f>IFERROR(__xludf.DUMMYFUNCTION("""COMPUTED_VALUE"""),"18:37")</f>
        <v>18:37</v>
      </c>
      <c r="AO1858" s="65" t="str">
        <f>IFERROR(__xludf.DUMMYFUNCTION("""COMPUTED_VALUE"""),"28-01-2026")</f>
        <v>28-01-2026</v>
      </c>
      <c r="AP1858" s="65" t="str">
        <f>IFERROR(__xludf.DUMMYFUNCTION("""COMPUTED_VALUE"""),"ENTREGA DIGITALIZADA EN CENTRO LOGISTICO")</f>
        <v>ENTREGA DIGITALIZADA EN CENTRO LOGISTICO</v>
      </c>
      <c r="AQ1858" s="65" t="str">
        <f>IFERROR(__xludf.DUMMYFUNCTION("""COMPUTED_VALUE"""),"Valentin Calispa")</f>
        <v>Valentin Calispa</v>
      </c>
      <c r="AR1858" s="65"/>
      <c r="AS1858" s="65"/>
      <c r="AT1858" s="65" t="str">
        <f>IFERROR(__xludf.DUMMYFUNCTION("""COMPUTED_VALUE"""),"SHOPIFY")</f>
        <v>SHOPIFY</v>
      </c>
      <c r="AU1858" s="65" t="str">
        <f>IFERROR(__xludf.DUMMYFUNCTION("""COMPUTED_VALUE"""),"IMPORTEX EC")</f>
        <v>IMPORTEX EC</v>
      </c>
      <c r="AV1858" s="65" t="str">
        <f>IFERROR(__xludf.DUMMYFUNCTION("""COMPUTED_VALUE"""),"6411018371116")</f>
        <v>6411018371116</v>
      </c>
      <c r="AW1858" s="65">
        <f>IFERROR(__xludf.DUMMYFUNCTION("""COMPUTED_VALUE"""),5094.0)</f>
        <v>5094</v>
      </c>
      <c r="AX1858" s="65"/>
      <c r="AY1858" s="65" t="str">
        <f>IFERROR(__xludf.DUMMYFUNCTION("""COMPUTED_VALUE"""),"14/01/2026")</f>
        <v>14/01/2026</v>
      </c>
      <c r="AZ1858" s="65"/>
      <c r="BA1858" s="65"/>
    </row>
    <row r="1859">
      <c r="A1859" s="65" t="str">
        <f>IFERROR(__xludf.DUMMYFUNCTION("""COMPUTED_VALUE"""),"27-03-2026")</f>
        <v>27-03-2026</v>
      </c>
      <c r="B1859" s="65">
        <f>IFERROR(__xludf.DUMMYFUNCTION("""COMPUTED_VALUE"""),4128295.0)</f>
        <v>4128295</v>
      </c>
      <c r="C1859" s="65" t="str">
        <f>IFERROR(__xludf.DUMMYFUNCTION("""COMPUTED_VALUE"""),"07:58")</f>
        <v>07:58</v>
      </c>
      <c r="D1859" s="65" t="str">
        <f>IFERROR(__xludf.DUMMYFUNCTION("""COMPUTED_VALUE"""),"13-01-2026")</f>
        <v>13-01-2026</v>
      </c>
      <c r="E1859" s="65" t="str">
        <f>IFERROR(__xludf.DUMMYFUNCTION("""COMPUTED_VALUE"""),"Nicol Garzón Cisneros")</f>
        <v>Nicol Garzón Cisneros</v>
      </c>
      <c r="F1859" s="65" t="str">
        <f>IFERROR(__xludf.DUMMYFUNCTION("""COMPUTED_VALUE"""),"962339890")</f>
        <v>962339890</v>
      </c>
      <c r="G1859" s="65" t="str">
        <f>IFERROR(__xludf.DUMMYFUNCTION("""COMPUTED_VALUE"""),"jamilethgarzon@gmail.com")</f>
        <v>jamilethgarzon@gmail.com</v>
      </c>
      <c r="H1859" s="65"/>
      <c r="I1859" s="65"/>
      <c r="J1859" s="65"/>
      <c r="K1859" s="65" t="str">
        <f>IFERROR(__xludf.DUMMYFUNCTION("""COMPUTED_VALUE"""),"CANCELADO")</f>
        <v>CANCELADO</v>
      </c>
      <c r="L1859" s="65" t="str">
        <f>IFERROR(__xludf.DUMMYFUNCTION("""COMPUTED_VALUE"""),"CON RECAUDO")</f>
        <v>CON RECAUDO</v>
      </c>
      <c r="M1859" s="65" t="str">
        <f>IFERROR(__xludf.DUMMYFUNCTION("""COMPUTED_VALUE"""),"LOS RIOS")</f>
        <v>LOS RIOS</v>
      </c>
      <c r="N1859" s="65" t="str">
        <f>IFERROR(__xludf.DUMMYFUNCTION("""COMPUTED_VALUE"""),"BABAHOYO")</f>
        <v>BABAHOYO</v>
      </c>
      <c r="O1859" s="65" t="str">
        <f>IFERROR(__xludf.DUMMYFUNCTION("""COMPUTED_VALUE"""),"Febres, cordero vía Mata De Cacao al frente del mercado 24 de mayo en la oficina de Servientrega Mata de cacao -")</f>
        <v>Febres, cordero vía Mata De Cacao al frente del mercado 24 de mayo en la oficina de Servientrega Mata de cacao -</v>
      </c>
      <c r="P1859" s="65"/>
      <c r="Q1859" s="65" t="str">
        <f>IFERROR(__xludf.DUMMYFUNCTION("""COMPUTED_VALUE"""),"GINTRACOM")</f>
        <v>GINTRACOM</v>
      </c>
      <c r="R1859" s="65">
        <f>IFERROR(__xludf.DUMMYFUNCTION("""COMPUTED_VALUE"""),20.0)</f>
        <v>20</v>
      </c>
      <c r="S1859" s="65"/>
      <c r="T1859" s="65">
        <f>IFERROR(__xludf.DUMMYFUNCTION("""COMPUTED_VALUE"""),5.76)</f>
        <v>5.76</v>
      </c>
      <c r="U1859" s="65">
        <f>IFERROR(__xludf.DUMMYFUNCTION("""COMPUTED_VALUE"""),0.0)</f>
        <v>0</v>
      </c>
      <c r="V1859" s="65">
        <f>IFERROR(__xludf.DUMMYFUNCTION("""COMPUTED_VALUE"""),0.0)</f>
        <v>0</v>
      </c>
      <c r="W1859" s="65">
        <f>IFERROR(__xludf.DUMMYFUNCTION("""COMPUTED_VALUE"""),0.0)</f>
        <v>0</v>
      </c>
      <c r="X1859" s="65">
        <f>IFERROR(__xludf.DUMMYFUNCTION("""COMPUTED_VALUE"""),2.35)</f>
        <v>2.35</v>
      </c>
      <c r="Y1859" s="65">
        <f>IFERROR(__xludf.DUMMYFUNCTION("""COMPUTED_VALUE"""),2.35)</f>
        <v>2.35</v>
      </c>
      <c r="Z1859" s="65">
        <f>IFERROR(__xludf.DUMMYFUNCTION("""COMPUTED_VALUE"""),116679.0)</f>
        <v>116679</v>
      </c>
      <c r="AA1859" s="65" t="str">
        <f>IFERROR(__xludf.DUMMYFUNCTION("""COMPUTED_VALUE"""),"AMC-2738")</f>
        <v>AMC-2738</v>
      </c>
      <c r="AB1859" s="65"/>
      <c r="AC1859" s="65" t="str">
        <f>IFERROR(__xludf.DUMMYFUNCTION("""COMPUTED_VALUE"""),"ESPONJA ANTILLUVIA DE PARABRISAS")</f>
        <v>ESPONJA ANTILLUVIA DE PARABRISAS</v>
      </c>
      <c r="AD1859" s="65"/>
      <c r="AE1859" s="65">
        <f>IFERROR(__xludf.DUMMYFUNCTION("""COMPUTED_VALUE"""),1.0)</f>
        <v>1</v>
      </c>
      <c r="AF1859" s="65"/>
      <c r="AG1859" s="65"/>
      <c r="AH1859" s="65"/>
      <c r="AI1859" s="65"/>
      <c r="AJ1859" s="65"/>
      <c r="AK1859" s="65"/>
      <c r="AL1859" s="65"/>
      <c r="AM1859" s="65"/>
      <c r="AN1859" s="65"/>
      <c r="AO1859" s="65"/>
      <c r="AP1859" s="65"/>
      <c r="AQ1859" s="65"/>
      <c r="AR1859" s="65"/>
      <c r="AS1859" s="65"/>
      <c r="AT1859" s="65" t="str">
        <f>IFERROR(__xludf.DUMMYFUNCTION("""COMPUTED_VALUE"""),"SHOPIFY")</f>
        <v>SHOPIFY</v>
      </c>
      <c r="AU1859" s="65" t="str">
        <f>IFERROR(__xludf.DUMMYFUNCTION("""COMPUTED_VALUE"""),"IMPORTEX EC")</f>
        <v>IMPORTEX EC</v>
      </c>
      <c r="AV1859" s="65" t="str">
        <f>IFERROR(__xludf.DUMMYFUNCTION("""COMPUTED_VALUE"""),"6411016372268")</f>
        <v>6411016372268</v>
      </c>
      <c r="AW1859" s="65">
        <f>IFERROR(__xludf.DUMMYFUNCTION("""COMPUTED_VALUE"""),5093.0)</f>
        <v>5093</v>
      </c>
      <c r="AX1859" s="65"/>
      <c r="AY1859" s="65"/>
      <c r="AZ1859" s="65"/>
      <c r="BA1859" s="65"/>
    </row>
    <row r="1860">
      <c r="A1860" s="65" t="str">
        <f>IFERROR(__xludf.DUMMYFUNCTION("""COMPUTED_VALUE"""),"27-03-2026")</f>
        <v>27-03-2026</v>
      </c>
      <c r="B1860" s="65">
        <f>IFERROR(__xludf.DUMMYFUNCTION("""COMPUTED_VALUE"""),4128187.0)</f>
        <v>4128187</v>
      </c>
      <c r="C1860" s="65" t="str">
        <f>IFERROR(__xludf.DUMMYFUNCTION("""COMPUTED_VALUE"""),"07:47")</f>
        <v>07:47</v>
      </c>
      <c r="D1860" s="65" t="str">
        <f>IFERROR(__xludf.DUMMYFUNCTION("""COMPUTED_VALUE"""),"13-01-2026")</f>
        <v>13-01-2026</v>
      </c>
      <c r="E1860" s="65" t="str">
        <f>IFERROR(__xludf.DUMMYFUNCTION("""COMPUTED_VALUE"""),"Cecilia Calderón")</f>
        <v>Cecilia Calderón</v>
      </c>
      <c r="F1860" s="65" t="str">
        <f>IFERROR(__xludf.DUMMYFUNCTION("""COMPUTED_VALUE"""),"968814517")</f>
        <v>968814517</v>
      </c>
      <c r="G1860" s="65"/>
      <c r="H1860" s="65"/>
      <c r="I1860" s="65"/>
      <c r="J1860" s="65" t="str">
        <f>IFERROR(__xludf.DUMMYFUNCTION("""COMPUTED_VALUE"""),"186973345")</f>
        <v>186973345</v>
      </c>
      <c r="K1860" s="65" t="str">
        <f>IFERROR(__xludf.DUMMYFUNCTION("""COMPUTED_VALUE"""),"ENTREGADO")</f>
        <v>ENTREGADO</v>
      </c>
      <c r="L1860" s="65" t="str">
        <f>IFERROR(__xludf.DUMMYFUNCTION("""COMPUTED_VALUE"""),"CON RECAUDO")</f>
        <v>CON RECAUDO</v>
      </c>
      <c r="M1860" s="65" t="str">
        <f>IFERROR(__xludf.DUMMYFUNCTION("""COMPUTED_VALUE"""),"CAÑAR")</f>
        <v>CAÑAR</v>
      </c>
      <c r="N1860" s="65" t="str">
        <f>IFERROR(__xludf.DUMMYFUNCTION("""COMPUTED_VALUE"""),"COCHANCAY")</f>
        <v>COCHANCAY</v>
      </c>
      <c r="O1860" s="65" t="str">
        <f>IFERROR(__xludf.DUMMYFUNCTION("""COMPUTED_VALUE"""),"RETIRA en cs : COCHANCAY_AV 25 DE AGOSTO , CALLE VIA DURAN TAMBO S/N Y AV 25 DE AGOSTO - DIAGONAL RESTAURANT")</f>
        <v>RETIRA en cs : COCHANCAY_AV 25 DE AGOSTO , CALLE VIA DURAN TAMBO S/N Y AV 25 DE AGOSTO - DIAGONAL RESTAURANT</v>
      </c>
      <c r="P1860" s="65"/>
      <c r="Q1860" s="65" t="str">
        <f>IFERROR(__xludf.DUMMYFUNCTION("""COMPUTED_VALUE"""),"SERVIENTREGA")</f>
        <v>SERVIENTREGA</v>
      </c>
      <c r="R1860" s="65">
        <f>IFERROR(__xludf.DUMMYFUNCTION("""COMPUTED_VALUE"""),22.0)</f>
        <v>22</v>
      </c>
      <c r="S1860" s="65">
        <f>IFERROR(__xludf.DUMMYFUNCTION("""COMPUTED_VALUE"""),9.1)</f>
        <v>9.1</v>
      </c>
      <c r="T1860" s="65">
        <f>IFERROR(__xludf.DUMMYFUNCTION("""COMPUTED_VALUE"""),7.7)</f>
        <v>7.7</v>
      </c>
      <c r="U1860" s="65">
        <f>IFERROR(__xludf.DUMMYFUNCTION("""COMPUTED_VALUE"""),0.0)</f>
        <v>0</v>
      </c>
      <c r="V1860" s="65">
        <f>IFERROR(__xludf.DUMMYFUNCTION("""COMPUTED_VALUE"""),0.0)</f>
        <v>0</v>
      </c>
      <c r="W1860" s="65">
        <f>IFERROR(__xludf.DUMMYFUNCTION("""COMPUTED_VALUE"""),0.0)</f>
        <v>0</v>
      </c>
      <c r="X1860" s="65">
        <f>IFERROR(__xludf.DUMMYFUNCTION("""COMPUTED_VALUE"""),2.6)</f>
        <v>2.6</v>
      </c>
      <c r="Y1860" s="65">
        <f>IFERROR(__xludf.DUMMYFUNCTION("""COMPUTED_VALUE"""),5.2)</f>
        <v>5.2</v>
      </c>
      <c r="Z1860" s="65">
        <f>IFERROR(__xludf.DUMMYFUNCTION("""COMPUTED_VALUE"""),121983.0)</f>
        <v>121983</v>
      </c>
      <c r="AA1860" s="65" t="str">
        <f>IFERROR(__xludf.DUMMYFUNCTION("""COMPUTED_VALUE"""),"PROV-CHLLCF")</f>
        <v>PROV-CHLLCF</v>
      </c>
      <c r="AB1860" s="65"/>
      <c r="AC1860" s="65" t="str">
        <f>IFERROR(__xludf.DUMMYFUNCTION("""COMPUTED_VALUE"""),"CUCHILLO PARA CHEF")</f>
        <v>CUCHILLO PARA CHEF</v>
      </c>
      <c r="AD1860" s="65"/>
      <c r="AE1860" s="65">
        <f>IFERROR(__xludf.DUMMYFUNCTION("""COMPUTED_VALUE"""),2.0)</f>
        <v>2</v>
      </c>
      <c r="AF1860" s="65"/>
      <c r="AG1860" s="65"/>
      <c r="AH1860" s="65"/>
      <c r="AI1860" s="65"/>
      <c r="AJ1860" s="65"/>
      <c r="AK1860" s="65"/>
      <c r="AL1860" s="65"/>
      <c r="AM1860" s="65"/>
      <c r="AN1860" s="65" t="str">
        <f>IFERROR(__xludf.DUMMYFUNCTION("""COMPUTED_VALUE"""),"13:47")</f>
        <v>13:47</v>
      </c>
      <c r="AO1860" s="65" t="str">
        <f>IFERROR(__xludf.DUMMYFUNCTION("""COMPUTED_VALUE"""),"30-01-2026")</f>
        <v>30-01-2026</v>
      </c>
      <c r="AP1860" s="65" t="str">
        <f>IFERROR(__xludf.DUMMYFUNCTION("""COMPUTED_VALUE"""),"ENTREGA DIGITALIZADA EN CENTRO LOGISTICO")</f>
        <v>ENTREGA DIGITALIZADA EN CENTRO LOGISTICO</v>
      </c>
      <c r="AQ1860" s="65" t="str">
        <f>IFERROR(__xludf.DUMMYFUNCTION("""COMPUTED_VALUE"""),"CECILIA CALDERON")</f>
        <v>CECILIA CALDERON</v>
      </c>
      <c r="AR1860" s="65"/>
      <c r="AS1860" s="65"/>
      <c r="AT1860" s="65" t="str">
        <f>IFERROR(__xludf.DUMMYFUNCTION("""COMPUTED_VALUE"""),"SHOPIFY")</f>
        <v>SHOPIFY</v>
      </c>
      <c r="AU1860" s="65" t="str">
        <f>IFERROR(__xludf.DUMMYFUNCTION("""COMPUTED_VALUE"""),"IMPORTEX EC")</f>
        <v>IMPORTEX EC</v>
      </c>
      <c r="AV1860" s="65" t="str">
        <f>IFERROR(__xludf.DUMMYFUNCTION("""COMPUTED_VALUE"""),"6411004772396")</f>
        <v>6411004772396</v>
      </c>
      <c r="AW1860" s="65">
        <f>IFERROR(__xludf.DUMMYFUNCTION("""COMPUTED_VALUE"""),5092.0)</f>
        <v>5092</v>
      </c>
      <c r="AX1860" s="65"/>
      <c r="AY1860" s="65" t="str">
        <f>IFERROR(__xludf.DUMMYFUNCTION("""COMPUTED_VALUE"""),"14/01/2026")</f>
        <v>14/01/2026</v>
      </c>
      <c r="AZ1860" s="65"/>
      <c r="BA1860" s="65"/>
    </row>
    <row r="1861">
      <c r="A1861" s="65" t="str">
        <f>IFERROR(__xludf.DUMMYFUNCTION("""COMPUTED_VALUE"""),"27-03-2026")</f>
        <v>27-03-2026</v>
      </c>
      <c r="B1861" s="65">
        <f>IFERROR(__xludf.DUMMYFUNCTION("""COMPUTED_VALUE"""),4128050.0)</f>
        <v>4128050</v>
      </c>
      <c r="C1861" s="65" t="str">
        <f>IFERROR(__xludf.DUMMYFUNCTION("""COMPUTED_VALUE"""),"07:35")</f>
        <v>07:35</v>
      </c>
      <c r="D1861" s="65" t="str">
        <f>IFERROR(__xludf.DUMMYFUNCTION("""COMPUTED_VALUE"""),"13-01-2026")</f>
        <v>13-01-2026</v>
      </c>
      <c r="E1861" s="65" t="str">
        <f>IFERROR(__xludf.DUMMYFUNCTION("""COMPUTED_VALUE"""),"Mabel Vélez")</f>
        <v>Mabel Vélez</v>
      </c>
      <c r="F1861" s="65" t="str">
        <f>IFERROR(__xludf.DUMMYFUNCTION("""COMPUTED_VALUE"""),"996748550")</f>
        <v>996748550</v>
      </c>
      <c r="G1861" s="65" t="str">
        <f>IFERROR(__xludf.DUMMYFUNCTION("""COMPUTED_VALUE"""),"mavem18@hotmail.com")</f>
        <v>mavem18@hotmail.com</v>
      </c>
      <c r="H1861" s="65"/>
      <c r="I1861" s="65"/>
      <c r="J1861" s="65" t="str">
        <f>IFERROR(__xludf.DUMMYFUNCTION("""COMPUTED_VALUE"""),"D001222989")</f>
        <v>D001222989</v>
      </c>
      <c r="K1861" s="65" t="str">
        <f>IFERROR(__xludf.DUMMYFUNCTION("""COMPUTED_VALUE"""),"ENTREGADO")</f>
        <v>ENTREGADO</v>
      </c>
      <c r="L1861" s="65" t="str">
        <f>IFERROR(__xludf.DUMMYFUNCTION("""COMPUTED_VALUE"""),"CON RECAUDO")</f>
        <v>CON RECAUDO</v>
      </c>
      <c r="M1861" s="65" t="str">
        <f>IFERROR(__xludf.DUMMYFUNCTION("""COMPUTED_VALUE"""),"MANABI")</f>
        <v>MANABI</v>
      </c>
      <c r="N1861" s="65" t="str">
        <f>IFERROR(__xludf.DUMMYFUNCTION("""COMPUTED_VALUE"""),"MANTA")</f>
        <v>MANTA</v>
      </c>
      <c r="O1861" s="65" t="str">
        <f>IFERROR(__xludf.DUMMYFUNCTION("""COMPUTED_VALUE"""),"Aven 31 entre calles 20 y 21, Los algarrobos, casa 1714, con tres árboles y cerramiento a plomo.")</f>
        <v>Aven 31 entre calles 20 y 21, Los algarrobos, casa 1714, con tres árboles y cerramiento a plomo.</v>
      </c>
      <c r="P1861" s="65"/>
      <c r="Q1861" s="65" t="str">
        <f>IFERROR(__xludf.DUMMYFUNCTION("""COMPUTED_VALUE"""),"GINTRACOM")</f>
        <v>GINTRACOM</v>
      </c>
      <c r="R1861" s="65">
        <f>IFERROR(__xludf.DUMMYFUNCTION("""COMPUTED_VALUE"""),22.0)</f>
        <v>22</v>
      </c>
      <c r="S1861" s="65">
        <f>IFERROR(__xludf.DUMMYFUNCTION("""COMPUTED_VALUE"""),10.96)</f>
        <v>10.96</v>
      </c>
      <c r="T1861" s="65">
        <f>IFERROR(__xludf.DUMMYFUNCTION("""COMPUTED_VALUE"""),5.84)</f>
        <v>5.84</v>
      </c>
      <c r="U1861" s="65">
        <f>IFERROR(__xludf.DUMMYFUNCTION("""COMPUTED_VALUE"""),0.0)</f>
        <v>0</v>
      </c>
      <c r="V1861" s="65">
        <f>IFERROR(__xludf.DUMMYFUNCTION("""COMPUTED_VALUE"""),0.0)</f>
        <v>0</v>
      </c>
      <c r="W1861" s="65">
        <f>IFERROR(__xludf.DUMMYFUNCTION("""COMPUTED_VALUE"""),0.0)</f>
        <v>0</v>
      </c>
      <c r="X1861" s="65">
        <f>IFERROR(__xludf.DUMMYFUNCTION("""COMPUTED_VALUE"""),2.6)</f>
        <v>2.6</v>
      </c>
      <c r="Y1861" s="65">
        <f>IFERROR(__xludf.DUMMYFUNCTION("""COMPUTED_VALUE"""),5.2)</f>
        <v>5.2</v>
      </c>
      <c r="Z1861" s="65">
        <f>IFERROR(__xludf.DUMMYFUNCTION("""COMPUTED_VALUE"""),121983.0)</f>
        <v>121983</v>
      </c>
      <c r="AA1861" s="65" t="str">
        <f>IFERROR(__xludf.DUMMYFUNCTION("""COMPUTED_VALUE"""),"PROV-CHLLCF")</f>
        <v>PROV-CHLLCF</v>
      </c>
      <c r="AB1861" s="65"/>
      <c r="AC1861" s="65" t="str">
        <f>IFERROR(__xludf.DUMMYFUNCTION("""COMPUTED_VALUE"""),"CUCHILLO PARA CHEF")</f>
        <v>CUCHILLO PARA CHEF</v>
      </c>
      <c r="AD1861" s="65"/>
      <c r="AE1861" s="65">
        <f>IFERROR(__xludf.DUMMYFUNCTION("""COMPUTED_VALUE"""),2.0)</f>
        <v>2</v>
      </c>
      <c r="AF1861" s="65"/>
      <c r="AG1861" s="65"/>
      <c r="AH1861" s="65"/>
      <c r="AI1861" s="65"/>
      <c r="AJ1861" s="65"/>
      <c r="AK1861" s="65"/>
      <c r="AL1861" s="65"/>
      <c r="AM1861" s="65"/>
      <c r="AN1861" s="65" t="str">
        <f>IFERROR(__xludf.DUMMYFUNCTION("""COMPUTED_VALUE"""),"11:06")</f>
        <v>11:06</v>
      </c>
      <c r="AO1861" s="65" t="str">
        <f>IFERROR(__xludf.DUMMYFUNCTION("""COMPUTED_VALUE"""),"16-01-2026")</f>
        <v>16-01-2026</v>
      </c>
      <c r="AP1861" s="65" t="str">
        <f>IFERROR(__xludf.DUMMYFUNCTION("""COMPUTED_VALUE"""),"ENTREGADA GINTRACOM")</f>
        <v>ENTREGADA GINTRACOM</v>
      </c>
      <c r="AQ1861" s="65" t="str">
        <f>IFERROR(__xludf.DUMMYFUNCTION("""COMPUTED_VALUE"""),"ENTREGADA GINTRACOM")</f>
        <v>ENTREGADA GINTRACOM</v>
      </c>
      <c r="AR1861" s="65"/>
      <c r="AS1861" s="65"/>
      <c r="AT1861" s="65" t="str">
        <f>IFERROR(__xludf.DUMMYFUNCTION("""COMPUTED_VALUE"""),"SHOPIFY")</f>
        <v>SHOPIFY</v>
      </c>
      <c r="AU1861" s="65" t="str">
        <f>IFERROR(__xludf.DUMMYFUNCTION("""COMPUTED_VALUE"""),"IMPORTEX EC")</f>
        <v>IMPORTEX EC</v>
      </c>
      <c r="AV1861" s="65" t="str">
        <f>IFERROR(__xludf.DUMMYFUNCTION("""COMPUTED_VALUE"""),"6410991960108")</f>
        <v>6410991960108</v>
      </c>
      <c r="AW1861" s="65">
        <f>IFERROR(__xludf.DUMMYFUNCTION("""COMPUTED_VALUE"""),5091.0)</f>
        <v>5091</v>
      </c>
      <c r="AX1861" s="65"/>
      <c r="AY1861" s="65" t="str">
        <f>IFERROR(__xludf.DUMMYFUNCTION("""COMPUTED_VALUE"""),"14/01/2026")</f>
        <v>14/01/2026</v>
      </c>
      <c r="AZ1861" s="65"/>
      <c r="BA1861" s="65"/>
    </row>
    <row r="1862">
      <c r="A1862" s="65" t="str">
        <f>IFERROR(__xludf.DUMMYFUNCTION("""COMPUTED_VALUE"""),"27-03-2026")</f>
        <v>27-03-2026</v>
      </c>
      <c r="B1862" s="65">
        <f>IFERROR(__xludf.DUMMYFUNCTION("""COMPUTED_VALUE"""),4127883.0)</f>
        <v>4127883</v>
      </c>
      <c r="C1862" s="65" t="str">
        <f>IFERROR(__xludf.DUMMYFUNCTION("""COMPUTED_VALUE"""),"07:15")</f>
        <v>07:15</v>
      </c>
      <c r="D1862" s="65" t="str">
        <f>IFERROR(__xludf.DUMMYFUNCTION("""COMPUTED_VALUE"""),"13-01-2026")</f>
        <v>13-01-2026</v>
      </c>
      <c r="E1862" s="65" t="str">
        <f>IFERROR(__xludf.DUMMYFUNCTION("""COMPUTED_VALUE"""),"Christian Gonzalo Morocho freire")</f>
        <v>Christian Gonzalo Morocho freire</v>
      </c>
      <c r="F1862" s="65" t="str">
        <f>IFERROR(__xludf.DUMMYFUNCTION("""COMPUTED_VALUE"""),"968050039")</f>
        <v>968050039</v>
      </c>
      <c r="G1862" s="65" t="str">
        <f>IFERROR(__xludf.DUMMYFUNCTION("""COMPUTED_VALUE"""),"chrismorocho1704@gmail.com")</f>
        <v>chrismorocho1704@gmail.com</v>
      </c>
      <c r="H1862" s="65"/>
      <c r="I1862" s="65"/>
      <c r="J1862" s="65"/>
      <c r="K1862" s="65" t="str">
        <f>IFERROR(__xludf.DUMMYFUNCTION("""COMPUTED_VALUE"""),"CANCELADO")</f>
        <v>CANCELADO</v>
      </c>
      <c r="L1862" s="65" t="str">
        <f>IFERROR(__xludf.DUMMYFUNCTION("""COMPUTED_VALUE"""),"CON RECAUDO")</f>
        <v>CON RECAUDO</v>
      </c>
      <c r="M1862" s="65" t="str">
        <f>IFERROR(__xludf.DUMMYFUNCTION("""COMPUTED_VALUE"""),"EL ORO")</f>
        <v>EL ORO</v>
      </c>
      <c r="N1862" s="65" t="str">
        <f>IFERROR(__xludf.DUMMYFUNCTION("""COMPUTED_VALUE"""),"EL CAMBIO")</f>
        <v>EL CAMBIO</v>
      </c>
      <c r="O1862" s="65" t="str">
        <f>IFERROR(__xludf.DUMMYFUNCTION("""COMPUTED_VALUE"""),"RETIRA EN CS : EL CAMBIO_BARRIO SAN VICENTE , BARRIO SAN VICENTE Y 1ERA SUR FRENTE A LA IGLESIA EL CAMBIO")</f>
        <v>RETIRA EN CS : EL CAMBIO_BARRIO SAN VICENTE , BARRIO SAN VICENTE Y 1ERA SUR FRENTE A LA IGLESIA EL CAMBIO</v>
      </c>
      <c r="P1862" s="65"/>
      <c r="Q1862" s="65" t="str">
        <f>IFERROR(__xludf.DUMMYFUNCTION("""COMPUTED_VALUE"""),"GINTRACOM")</f>
        <v>GINTRACOM</v>
      </c>
      <c r="R1862" s="65">
        <f>IFERROR(__xludf.DUMMYFUNCTION("""COMPUTED_VALUE"""),22.0)</f>
        <v>22</v>
      </c>
      <c r="S1862" s="65"/>
      <c r="T1862" s="65">
        <f>IFERROR(__xludf.DUMMYFUNCTION("""COMPUTED_VALUE"""),6.41)</f>
        <v>6.41</v>
      </c>
      <c r="U1862" s="65">
        <f>IFERROR(__xludf.DUMMYFUNCTION("""COMPUTED_VALUE"""),0.0)</f>
        <v>0</v>
      </c>
      <c r="V1862" s="65">
        <f>IFERROR(__xludf.DUMMYFUNCTION("""COMPUTED_VALUE"""),0.0)</f>
        <v>0</v>
      </c>
      <c r="W1862" s="65">
        <f>IFERROR(__xludf.DUMMYFUNCTION("""COMPUTED_VALUE"""),0.0)</f>
        <v>0</v>
      </c>
      <c r="X1862" s="65">
        <f>IFERROR(__xludf.DUMMYFUNCTION("""COMPUTED_VALUE"""),2.6)</f>
        <v>2.6</v>
      </c>
      <c r="Y1862" s="65">
        <f>IFERROR(__xludf.DUMMYFUNCTION("""COMPUTED_VALUE"""),5.2)</f>
        <v>5.2</v>
      </c>
      <c r="Z1862" s="65">
        <f>IFERROR(__xludf.DUMMYFUNCTION("""COMPUTED_VALUE"""),121983.0)</f>
        <v>121983</v>
      </c>
      <c r="AA1862" s="65" t="str">
        <f>IFERROR(__xludf.DUMMYFUNCTION("""COMPUTED_VALUE"""),"PROV-CHLLCF")</f>
        <v>PROV-CHLLCF</v>
      </c>
      <c r="AB1862" s="65"/>
      <c r="AC1862" s="65" t="str">
        <f>IFERROR(__xludf.DUMMYFUNCTION("""COMPUTED_VALUE"""),"CUCHILLO PARA CHEF")</f>
        <v>CUCHILLO PARA CHEF</v>
      </c>
      <c r="AD1862" s="65"/>
      <c r="AE1862" s="65">
        <f>IFERROR(__xludf.DUMMYFUNCTION("""COMPUTED_VALUE"""),2.0)</f>
        <v>2</v>
      </c>
      <c r="AF1862" s="65"/>
      <c r="AG1862" s="65"/>
      <c r="AH1862" s="65"/>
      <c r="AI1862" s="65"/>
      <c r="AJ1862" s="65"/>
      <c r="AK1862" s="65"/>
      <c r="AL1862" s="65"/>
      <c r="AM1862" s="65"/>
      <c r="AN1862" s="65"/>
      <c r="AO1862" s="65"/>
      <c r="AP1862" s="65"/>
      <c r="AQ1862" s="65"/>
      <c r="AR1862" s="65"/>
      <c r="AS1862" s="65"/>
      <c r="AT1862" s="65" t="str">
        <f>IFERROR(__xludf.DUMMYFUNCTION("""COMPUTED_VALUE"""),"SHOPIFY")</f>
        <v>SHOPIFY</v>
      </c>
      <c r="AU1862" s="65" t="str">
        <f>IFERROR(__xludf.DUMMYFUNCTION("""COMPUTED_VALUE"""),"IMPORTEX EC")</f>
        <v>IMPORTEX EC</v>
      </c>
      <c r="AV1862" s="65" t="str">
        <f>IFERROR(__xludf.DUMMYFUNCTION("""COMPUTED_VALUE"""),"6410972921900")</f>
        <v>6410972921900</v>
      </c>
      <c r="AW1862" s="65">
        <f>IFERROR(__xludf.DUMMYFUNCTION("""COMPUTED_VALUE"""),5090.0)</f>
        <v>5090</v>
      </c>
      <c r="AX1862" s="65"/>
      <c r="AY1862" s="65"/>
      <c r="AZ1862" s="65"/>
      <c r="BA1862" s="65"/>
    </row>
    <row r="1863">
      <c r="A1863" s="65" t="str">
        <f>IFERROR(__xludf.DUMMYFUNCTION("""COMPUTED_VALUE"""),"27-03-2026")</f>
        <v>27-03-2026</v>
      </c>
      <c r="B1863" s="65">
        <f>IFERROR(__xludf.DUMMYFUNCTION("""COMPUTED_VALUE"""),4127847.0)</f>
        <v>4127847</v>
      </c>
      <c r="C1863" s="65" t="str">
        <f>IFERROR(__xludf.DUMMYFUNCTION("""COMPUTED_VALUE"""),"07:11")</f>
        <v>07:11</v>
      </c>
      <c r="D1863" s="65" t="str">
        <f>IFERROR(__xludf.DUMMYFUNCTION("""COMPUTED_VALUE"""),"13-01-2026")</f>
        <v>13-01-2026</v>
      </c>
      <c r="E1863" s="65" t="str">
        <f>IFERROR(__xludf.DUMMYFUNCTION("""COMPUTED_VALUE"""),"Walther Geovanny Vera Vera")</f>
        <v>Walther Geovanny Vera Vera</v>
      </c>
      <c r="F1863" s="65" t="str">
        <f>IFERROR(__xludf.DUMMYFUNCTION("""COMPUTED_VALUE"""),"998136909")</f>
        <v>998136909</v>
      </c>
      <c r="G1863" s="65" t="str">
        <f>IFERROR(__xludf.DUMMYFUNCTION("""COMPUTED_VALUE"""),"walthervera91560@gmail.com")</f>
        <v>walthervera91560@gmail.com</v>
      </c>
      <c r="H1863" s="65"/>
      <c r="I1863" s="65"/>
      <c r="J1863" s="65" t="str">
        <f>IFERROR(__xludf.DUMMYFUNCTION("""COMPUTED_VALUE"""),"D001224231")</f>
        <v>D001224231</v>
      </c>
      <c r="K1863" s="65" t="str">
        <f>IFERROR(__xludf.DUMMYFUNCTION("""COMPUTED_VALUE"""),"DEVOLUCION")</f>
        <v>DEVOLUCION</v>
      </c>
      <c r="L1863" s="65" t="str">
        <f>IFERROR(__xludf.DUMMYFUNCTION("""COMPUTED_VALUE"""),"CON RECAUDO")</f>
        <v>CON RECAUDO</v>
      </c>
      <c r="M1863" s="65" t="str">
        <f>IFERROR(__xludf.DUMMYFUNCTION("""COMPUTED_VALUE"""),"SANTA ELENA")</f>
        <v>SANTA ELENA</v>
      </c>
      <c r="N1863" s="65" t="str">
        <f>IFERROR(__xludf.DUMMYFUNCTION("""COMPUTED_VALUE"""),"SANTA ELENA")</f>
        <v>SANTA ELENA</v>
      </c>
      <c r="O1863" s="65" t="str">
        <f>IFERROR(__xludf.DUMMYFUNCTION("""COMPUTED_VALUE"""),"Baldivia Atrás de la escuela virgilio Drouet")</f>
        <v>Baldivia Atrás de la escuela virgilio Drouet</v>
      </c>
      <c r="P1863" s="65"/>
      <c r="Q1863" s="65" t="str">
        <f>IFERROR(__xludf.DUMMYFUNCTION("""COMPUTED_VALUE"""),"GINTRACOM")</f>
        <v>GINTRACOM</v>
      </c>
      <c r="R1863" s="65">
        <f>IFERROR(__xludf.DUMMYFUNCTION("""COMPUTED_VALUE"""),30.0)</f>
        <v>30</v>
      </c>
      <c r="S1863" s="65"/>
      <c r="T1863" s="65">
        <f>IFERROR(__xludf.DUMMYFUNCTION("""COMPUTED_VALUE"""),6.16)</f>
        <v>6.16</v>
      </c>
      <c r="U1863" s="65">
        <f>IFERROR(__xludf.DUMMYFUNCTION("""COMPUTED_VALUE"""),0.0)</f>
        <v>0</v>
      </c>
      <c r="V1863" s="65">
        <f>IFERROR(__xludf.DUMMYFUNCTION("""COMPUTED_VALUE"""),0.0)</f>
        <v>0</v>
      </c>
      <c r="W1863" s="65">
        <f>IFERROR(__xludf.DUMMYFUNCTION("""COMPUTED_VALUE"""),0.0)</f>
        <v>0</v>
      </c>
      <c r="X1863" s="65">
        <f>IFERROR(__xludf.DUMMYFUNCTION("""COMPUTED_VALUE"""),2.35)</f>
        <v>2.35</v>
      </c>
      <c r="Y1863" s="65">
        <f>IFERROR(__xludf.DUMMYFUNCTION("""COMPUTED_VALUE"""),7.05)</f>
        <v>7.05</v>
      </c>
      <c r="Z1863" s="65">
        <f>IFERROR(__xludf.DUMMYFUNCTION("""COMPUTED_VALUE"""),116679.0)</f>
        <v>116679</v>
      </c>
      <c r="AA1863" s="65" t="str">
        <f>IFERROR(__xludf.DUMMYFUNCTION("""COMPUTED_VALUE"""),"AMC-2738")</f>
        <v>AMC-2738</v>
      </c>
      <c r="AB1863" s="65"/>
      <c r="AC1863" s="65" t="str">
        <f>IFERROR(__xludf.DUMMYFUNCTION("""COMPUTED_VALUE"""),"ESPONJA ANTILLUVIA DE PARABRISAS")</f>
        <v>ESPONJA ANTILLUVIA DE PARABRISAS</v>
      </c>
      <c r="AD1863" s="65"/>
      <c r="AE1863" s="65">
        <f>IFERROR(__xludf.DUMMYFUNCTION("""COMPUTED_VALUE"""),3.0)</f>
        <v>3</v>
      </c>
      <c r="AF1863" s="65" t="str">
        <f>IFERROR(__xludf.DUMMYFUNCTION("""COMPUTED_VALUE"""),"DESTINATARIO NO CONTESTA LLAMADAS NI WHATSAPP")</f>
        <v>DESTINATARIO NO CONTESTA LLAMADAS NI WHATSAPP</v>
      </c>
      <c r="AG1863" s="65" t="str">
        <f>IFERROR(__xludf.DUMMYFUNCTION("""COMPUTED_VALUE"""),"SI")</f>
        <v>SI</v>
      </c>
      <c r="AH1863" s="65" t="str">
        <f>IFERROR(__xludf.DUMMYFUNCTION("""COMPUTED_VALUE"""),"09:00")</f>
        <v>09:00</v>
      </c>
      <c r="AI1863" s="65" t="str">
        <f>IFERROR(__xludf.DUMMYFUNCTION("""COMPUTED_VALUE"""),"24-01-2026")</f>
        <v>24-01-2026</v>
      </c>
      <c r="AJ1863" s="65"/>
      <c r="AK1863" s="65"/>
      <c r="AL1863" s="65"/>
      <c r="AM1863" s="65"/>
      <c r="AN1863" s="65" t="str">
        <f>IFERROR(__xludf.DUMMYFUNCTION("""COMPUTED_VALUE"""),"10:53")</f>
        <v>10:53</v>
      </c>
      <c r="AO1863" s="65" t="str">
        <f>IFERROR(__xludf.DUMMYFUNCTION("""COMPUTED_VALUE"""),"10-02-2026")</f>
        <v>10-02-2026</v>
      </c>
      <c r="AP1863" s="65" t="str">
        <f>IFERROR(__xludf.DUMMYFUNCTION("""COMPUTED_VALUE"""),"DEVOLUCIÓN ENTREGADA A ORIGEN")</f>
        <v>DEVOLUCIÓN ENTREGADA A ORIGEN</v>
      </c>
      <c r="AQ1863" s="65" t="str">
        <f>IFERROR(__xludf.DUMMYFUNCTION("""COMPUTED_VALUE"""),"DEVOLUCIÓN ENTREGADA A ORIGEN")</f>
        <v>DEVOLUCIÓN ENTREGADA A ORIGEN</v>
      </c>
      <c r="AR1863" s="65"/>
      <c r="AS1863" s="65"/>
      <c r="AT1863" s="65" t="str">
        <f>IFERROR(__xludf.DUMMYFUNCTION("""COMPUTED_VALUE"""),"SHOPIFY")</f>
        <v>SHOPIFY</v>
      </c>
      <c r="AU1863" s="65" t="str">
        <f>IFERROR(__xludf.DUMMYFUNCTION("""COMPUTED_VALUE"""),"IMPORTEX EC")</f>
        <v>IMPORTEX EC</v>
      </c>
      <c r="AV1863" s="65" t="str">
        <f>IFERROR(__xludf.DUMMYFUNCTION("""COMPUTED_VALUE"""),"6410969055276")</f>
        <v>6410969055276</v>
      </c>
      <c r="AW1863" s="65">
        <f>IFERROR(__xludf.DUMMYFUNCTION("""COMPUTED_VALUE"""),5089.0)</f>
        <v>5089</v>
      </c>
      <c r="AX1863" s="65"/>
      <c r="AY1863" s="65" t="str">
        <f>IFERROR(__xludf.DUMMYFUNCTION("""COMPUTED_VALUE"""),"14/01/2026")</f>
        <v>14/01/2026</v>
      </c>
      <c r="AZ1863" s="65"/>
      <c r="BA1863" s="65"/>
    </row>
    <row r="1864">
      <c r="A1864" s="65" t="str">
        <f>IFERROR(__xludf.DUMMYFUNCTION("""COMPUTED_VALUE"""),"27-03-2026")</f>
        <v>27-03-2026</v>
      </c>
      <c r="B1864" s="65">
        <f>IFERROR(__xludf.DUMMYFUNCTION("""COMPUTED_VALUE"""),4127769.0)</f>
        <v>4127769</v>
      </c>
      <c r="C1864" s="65" t="str">
        <f>IFERROR(__xludf.DUMMYFUNCTION("""COMPUTED_VALUE"""),"06:56")</f>
        <v>06:56</v>
      </c>
      <c r="D1864" s="65" t="str">
        <f>IFERROR(__xludf.DUMMYFUNCTION("""COMPUTED_VALUE"""),"13-01-2026")</f>
        <v>13-01-2026</v>
      </c>
      <c r="E1864" s="65" t="str">
        <f>IFERROR(__xludf.DUMMYFUNCTION("""COMPUTED_VALUE"""),"Victor Cornejo")</f>
        <v>Victor Cornejo</v>
      </c>
      <c r="F1864" s="65" t="str">
        <f>IFERROR(__xludf.DUMMYFUNCTION("""COMPUTED_VALUE"""),"988063030")</f>
        <v>988063030</v>
      </c>
      <c r="G1864" s="65" t="str">
        <f>IFERROR(__xludf.DUMMYFUNCTION("""COMPUTED_VALUE"""),"victorcornejo89@gmail.com")</f>
        <v>victorcornejo89@gmail.com</v>
      </c>
      <c r="H1864" s="65"/>
      <c r="I1864" s="65"/>
      <c r="J1864" s="65"/>
      <c r="K1864" s="65" t="str">
        <f>IFERROR(__xludf.DUMMYFUNCTION("""COMPUTED_VALUE"""),"PENDIENTE CONFIRMACION")</f>
        <v>PENDIENTE CONFIRMACION</v>
      </c>
      <c r="L1864" s="65" t="str">
        <f>IFERROR(__xludf.DUMMYFUNCTION("""COMPUTED_VALUE"""),"CON RECAUDO")</f>
        <v>CON RECAUDO</v>
      </c>
      <c r="M1864" s="65" t="str">
        <f>IFERROR(__xludf.DUMMYFUNCTION("""COMPUTED_VALUE"""),"GUAYAS")</f>
        <v>GUAYAS</v>
      </c>
      <c r="N1864" s="65" t="str">
        <f>IFERROR(__xludf.DUMMYFUNCTION("""COMPUTED_VALUE"""),"GUAYAQUIL")</f>
        <v>GUAYAQUIL</v>
      </c>
      <c r="O1864" s="65" t="str">
        <f>IFERROR(__xludf.DUMMYFUNCTION("""COMPUTED_VALUE"""),"Av perimetral Mall del fortín -")</f>
        <v>Av perimetral Mall del fortín -</v>
      </c>
      <c r="P1864" s="65"/>
      <c r="Q1864" s="65" t="str">
        <f>IFERROR(__xludf.DUMMYFUNCTION("""COMPUTED_VALUE"""),"GINTRACOM")</f>
        <v>GINTRACOM</v>
      </c>
      <c r="R1864" s="65">
        <f>IFERROR(__xludf.DUMMYFUNCTION("""COMPUTED_VALUE"""),20.0)</f>
        <v>20</v>
      </c>
      <c r="S1864" s="65"/>
      <c r="T1864" s="65">
        <f>IFERROR(__xludf.DUMMYFUNCTION("""COMPUTED_VALUE"""),5.76)</f>
        <v>5.76</v>
      </c>
      <c r="U1864" s="65">
        <f>IFERROR(__xludf.DUMMYFUNCTION("""COMPUTED_VALUE"""),0.0)</f>
        <v>0</v>
      </c>
      <c r="V1864" s="65">
        <f>IFERROR(__xludf.DUMMYFUNCTION("""COMPUTED_VALUE"""),0.0)</f>
        <v>0</v>
      </c>
      <c r="W1864" s="65">
        <f>IFERROR(__xludf.DUMMYFUNCTION("""COMPUTED_VALUE"""),0.0)</f>
        <v>0</v>
      </c>
      <c r="X1864" s="65">
        <f>IFERROR(__xludf.DUMMYFUNCTION("""COMPUTED_VALUE"""),2.35)</f>
        <v>2.35</v>
      </c>
      <c r="Y1864" s="65">
        <f>IFERROR(__xludf.DUMMYFUNCTION("""COMPUTED_VALUE"""),2.35)</f>
        <v>2.35</v>
      </c>
      <c r="Z1864" s="65">
        <f>IFERROR(__xludf.DUMMYFUNCTION("""COMPUTED_VALUE"""),116679.0)</f>
        <v>116679</v>
      </c>
      <c r="AA1864" s="65" t="str">
        <f>IFERROR(__xludf.DUMMYFUNCTION("""COMPUTED_VALUE"""),"AMC-2738")</f>
        <v>AMC-2738</v>
      </c>
      <c r="AB1864" s="65"/>
      <c r="AC1864" s="65" t="str">
        <f>IFERROR(__xludf.DUMMYFUNCTION("""COMPUTED_VALUE"""),"ESPONJA ANTILLUVIA DE PARABRISAS")</f>
        <v>ESPONJA ANTILLUVIA DE PARABRISAS</v>
      </c>
      <c r="AD1864" s="65"/>
      <c r="AE1864" s="65">
        <f>IFERROR(__xludf.DUMMYFUNCTION("""COMPUTED_VALUE"""),1.0)</f>
        <v>1</v>
      </c>
      <c r="AF1864" s="65"/>
      <c r="AG1864" s="65"/>
      <c r="AH1864" s="65"/>
      <c r="AI1864" s="65"/>
      <c r="AJ1864" s="65"/>
      <c r="AK1864" s="65"/>
      <c r="AL1864" s="65"/>
      <c r="AM1864" s="65"/>
      <c r="AN1864" s="65"/>
      <c r="AO1864" s="65"/>
      <c r="AP1864" s="65"/>
      <c r="AQ1864" s="65"/>
      <c r="AR1864" s="65"/>
      <c r="AS1864" s="65"/>
      <c r="AT1864" s="65" t="str">
        <f>IFERROR(__xludf.DUMMYFUNCTION("""COMPUTED_VALUE"""),"SHOPIFY")</f>
        <v>SHOPIFY</v>
      </c>
      <c r="AU1864" s="65" t="str">
        <f>IFERROR(__xludf.DUMMYFUNCTION("""COMPUTED_VALUE"""),"IMPORTEX EC")</f>
        <v>IMPORTEX EC</v>
      </c>
      <c r="AV1864" s="65" t="str">
        <f>IFERROR(__xludf.DUMMYFUNCTION("""COMPUTED_VALUE"""),"6410955718700")</f>
        <v>6410955718700</v>
      </c>
      <c r="AW1864" s="65">
        <f>IFERROR(__xludf.DUMMYFUNCTION("""COMPUTED_VALUE"""),5088.0)</f>
        <v>5088</v>
      </c>
      <c r="AX1864" s="65"/>
      <c r="AY1864" s="65"/>
      <c r="AZ1864" s="65"/>
      <c r="BA1864" s="65"/>
    </row>
    <row r="1865">
      <c r="A1865" s="65" t="str">
        <f>IFERROR(__xludf.DUMMYFUNCTION("""COMPUTED_VALUE"""),"27-03-2026")</f>
        <v>27-03-2026</v>
      </c>
      <c r="B1865" s="65">
        <f>IFERROR(__xludf.DUMMYFUNCTION("""COMPUTED_VALUE"""),4127740.0)</f>
        <v>4127740</v>
      </c>
      <c r="C1865" s="65" t="str">
        <f>IFERROR(__xludf.DUMMYFUNCTION("""COMPUTED_VALUE"""),"06:50")</f>
        <v>06:50</v>
      </c>
      <c r="D1865" s="65" t="str">
        <f>IFERROR(__xludf.DUMMYFUNCTION("""COMPUTED_VALUE"""),"13-01-2026")</f>
        <v>13-01-2026</v>
      </c>
      <c r="E1865" s="65" t="str">
        <f>IFERROR(__xludf.DUMMYFUNCTION("""COMPUTED_VALUE"""),"Teresa Castillo")</f>
        <v>Teresa Castillo</v>
      </c>
      <c r="F1865" s="65" t="str">
        <f>IFERROR(__xludf.DUMMYFUNCTION("""COMPUTED_VALUE"""),"963390733")</f>
        <v>963390733</v>
      </c>
      <c r="G1865" s="65" t="str">
        <f>IFERROR(__xludf.DUMMYFUNCTION("""COMPUTED_VALUE"""),"teresacueva1966@gmail.com")</f>
        <v>teresacueva1966@gmail.com</v>
      </c>
      <c r="H1865" s="65"/>
      <c r="I1865" s="65"/>
      <c r="J1865" s="65" t="str">
        <f>IFERROR(__xludf.DUMMYFUNCTION("""COMPUTED_VALUE"""),"D001222995")</f>
        <v>D001222995</v>
      </c>
      <c r="K1865" s="65" t="str">
        <f>IFERROR(__xludf.DUMMYFUNCTION("""COMPUTED_VALUE"""),"ENTREGADO")</f>
        <v>ENTREGADO</v>
      </c>
      <c r="L1865" s="65" t="str">
        <f>IFERROR(__xludf.DUMMYFUNCTION("""COMPUTED_VALUE"""),"CON RECAUDO")</f>
        <v>CON RECAUDO</v>
      </c>
      <c r="M1865" s="65" t="str">
        <f>IFERROR(__xludf.DUMMYFUNCTION("""COMPUTED_VALUE"""),"LOJA")</f>
        <v>LOJA</v>
      </c>
      <c r="N1865" s="65" t="str">
        <f>IFERROR(__xludf.DUMMYFUNCTION("""COMPUTED_VALUE"""),"LOJA")</f>
        <v>LOJA</v>
      </c>
      <c r="O1865" s="65" t="str">
        <f>IFERROR(__xludf.DUMMYFUNCTION("""COMPUTED_VALUE"""),"Migel Riofrio y pasaje Sinchona")</f>
        <v>Migel Riofrio y pasaje Sinchona</v>
      </c>
      <c r="P1865" s="65"/>
      <c r="Q1865" s="65" t="str">
        <f>IFERROR(__xludf.DUMMYFUNCTION("""COMPUTED_VALUE"""),"GINTRACOM")</f>
        <v>GINTRACOM</v>
      </c>
      <c r="R1865" s="65">
        <f>IFERROR(__xludf.DUMMYFUNCTION("""COMPUTED_VALUE"""),22.0)</f>
        <v>22</v>
      </c>
      <c r="S1865" s="65">
        <f>IFERROR(__xludf.DUMMYFUNCTION("""COMPUTED_VALUE"""),10.96)</f>
        <v>10.96</v>
      </c>
      <c r="T1865" s="65">
        <f>IFERROR(__xludf.DUMMYFUNCTION("""COMPUTED_VALUE"""),5.84)</f>
        <v>5.84</v>
      </c>
      <c r="U1865" s="65">
        <f>IFERROR(__xludf.DUMMYFUNCTION("""COMPUTED_VALUE"""),0.0)</f>
        <v>0</v>
      </c>
      <c r="V1865" s="65">
        <f>IFERROR(__xludf.DUMMYFUNCTION("""COMPUTED_VALUE"""),0.0)</f>
        <v>0</v>
      </c>
      <c r="W1865" s="65">
        <f>IFERROR(__xludf.DUMMYFUNCTION("""COMPUTED_VALUE"""),0.0)</f>
        <v>0</v>
      </c>
      <c r="X1865" s="65">
        <f>IFERROR(__xludf.DUMMYFUNCTION("""COMPUTED_VALUE"""),2.6)</f>
        <v>2.6</v>
      </c>
      <c r="Y1865" s="65">
        <f>IFERROR(__xludf.DUMMYFUNCTION("""COMPUTED_VALUE"""),5.2)</f>
        <v>5.2</v>
      </c>
      <c r="Z1865" s="65">
        <f>IFERROR(__xludf.DUMMYFUNCTION("""COMPUTED_VALUE"""),121983.0)</f>
        <v>121983</v>
      </c>
      <c r="AA1865" s="65" t="str">
        <f>IFERROR(__xludf.DUMMYFUNCTION("""COMPUTED_VALUE"""),"PROV-CHLLCF")</f>
        <v>PROV-CHLLCF</v>
      </c>
      <c r="AB1865" s="65"/>
      <c r="AC1865" s="65" t="str">
        <f>IFERROR(__xludf.DUMMYFUNCTION("""COMPUTED_VALUE"""),"CUCHILLO PARA CHEF")</f>
        <v>CUCHILLO PARA CHEF</v>
      </c>
      <c r="AD1865" s="65"/>
      <c r="AE1865" s="65">
        <f>IFERROR(__xludf.DUMMYFUNCTION("""COMPUTED_VALUE"""),2.0)</f>
        <v>2</v>
      </c>
      <c r="AF1865" s="65"/>
      <c r="AG1865" s="65"/>
      <c r="AH1865" s="65"/>
      <c r="AI1865" s="65"/>
      <c r="AJ1865" s="65"/>
      <c r="AK1865" s="65"/>
      <c r="AL1865" s="65"/>
      <c r="AM1865" s="65"/>
      <c r="AN1865" s="65" t="str">
        <f>IFERROR(__xludf.DUMMYFUNCTION("""COMPUTED_VALUE"""),"12:30")</f>
        <v>12:30</v>
      </c>
      <c r="AO1865" s="65" t="str">
        <f>IFERROR(__xludf.DUMMYFUNCTION("""COMPUTED_VALUE"""),"22-01-2026")</f>
        <v>22-01-2026</v>
      </c>
      <c r="AP1865" s="65" t="str">
        <f>IFERROR(__xludf.DUMMYFUNCTION("""COMPUTED_VALUE"""),"ENTREGADA GINTRACOM")</f>
        <v>ENTREGADA GINTRACOM</v>
      </c>
      <c r="AQ1865" s="65" t="str">
        <f>IFERROR(__xludf.DUMMYFUNCTION("""COMPUTED_VALUE"""),"ENTREGADA GINTRACOM")</f>
        <v>ENTREGADA GINTRACOM</v>
      </c>
      <c r="AR1865" s="65"/>
      <c r="AS1865" s="65"/>
      <c r="AT1865" s="65" t="str">
        <f>IFERROR(__xludf.DUMMYFUNCTION("""COMPUTED_VALUE"""),"SHOPIFY")</f>
        <v>SHOPIFY</v>
      </c>
      <c r="AU1865" s="65" t="str">
        <f>IFERROR(__xludf.DUMMYFUNCTION("""COMPUTED_VALUE"""),"IMPORTEX EC")</f>
        <v>IMPORTEX EC</v>
      </c>
      <c r="AV1865" s="65" t="str">
        <f>IFERROR(__xludf.DUMMYFUNCTION("""COMPUTED_VALUE"""),"6410951163948")</f>
        <v>6410951163948</v>
      </c>
      <c r="AW1865" s="65">
        <f>IFERROR(__xludf.DUMMYFUNCTION("""COMPUTED_VALUE"""),5087.0)</f>
        <v>5087</v>
      </c>
      <c r="AX1865" s="65"/>
      <c r="AY1865" s="65" t="str">
        <f>IFERROR(__xludf.DUMMYFUNCTION("""COMPUTED_VALUE"""),"14/01/2026")</f>
        <v>14/01/2026</v>
      </c>
      <c r="AZ1865" s="65"/>
      <c r="BA1865" s="65"/>
    </row>
    <row r="1866">
      <c r="A1866" s="65" t="str">
        <f>IFERROR(__xludf.DUMMYFUNCTION("""COMPUTED_VALUE"""),"27-03-2026")</f>
        <v>27-03-2026</v>
      </c>
      <c r="B1866" s="65">
        <f>IFERROR(__xludf.DUMMYFUNCTION("""COMPUTED_VALUE"""),4127646.0)</f>
        <v>4127646</v>
      </c>
      <c r="C1866" s="65" t="str">
        <f>IFERROR(__xludf.DUMMYFUNCTION("""COMPUTED_VALUE"""),"06:36")</f>
        <v>06:36</v>
      </c>
      <c r="D1866" s="65" t="str">
        <f>IFERROR(__xludf.DUMMYFUNCTION("""COMPUTED_VALUE"""),"13-01-2026")</f>
        <v>13-01-2026</v>
      </c>
      <c r="E1866" s="65" t="str">
        <f>IFERROR(__xludf.DUMMYFUNCTION("""COMPUTED_VALUE"""),"Darwin Huacón Nieto")</f>
        <v>Darwin Huacón Nieto</v>
      </c>
      <c r="F1866" s="65" t="str">
        <f>IFERROR(__xludf.DUMMYFUNCTION("""COMPUTED_VALUE"""),"982983392")</f>
        <v>982983392</v>
      </c>
      <c r="G1866" s="65" t="str">
        <f>IFERROR(__xludf.DUMMYFUNCTION("""COMPUTED_VALUE"""),"darwin_huacon95@outlook.es")</f>
        <v>darwin_huacon95@outlook.es</v>
      </c>
      <c r="H1866" s="65"/>
      <c r="I1866" s="65"/>
      <c r="J1866" s="65"/>
      <c r="K1866" s="65" t="str">
        <f>IFERROR(__xludf.DUMMYFUNCTION("""COMPUTED_VALUE"""),"PENDIENTE CONFIRMACION")</f>
        <v>PENDIENTE CONFIRMACION</v>
      </c>
      <c r="L1866" s="65" t="str">
        <f>IFERROR(__xludf.DUMMYFUNCTION("""COMPUTED_VALUE"""),"CON RECAUDO")</f>
        <v>CON RECAUDO</v>
      </c>
      <c r="M1866" s="65" t="str">
        <f>IFERROR(__xludf.DUMMYFUNCTION("""COMPUTED_VALUE"""),"GUAYAS")</f>
        <v>GUAYAS</v>
      </c>
      <c r="N1866" s="65" t="str">
        <f>IFERROR(__xludf.DUMMYFUNCTION("""COMPUTED_VALUE"""),"SAMBORONDON")</f>
        <v>SAMBORONDON</v>
      </c>
      <c r="O1866" s="65" t="str">
        <f>IFERROR(__xludf.DUMMYFUNCTION("""COMPUTED_VALUE"""),"Vía Samborodón (Pueblo) Km.20 - Rcto. El Rosario -")</f>
        <v>Vía Samborodón (Pueblo) Km.20 - Rcto. El Rosario -</v>
      </c>
      <c r="P1866" s="65"/>
      <c r="Q1866" s="65" t="str">
        <f>IFERROR(__xludf.DUMMYFUNCTION("""COMPUTED_VALUE"""),"GINTRACOM")</f>
        <v>GINTRACOM</v>
      </c>
      <c r="R1866" s="65">
        <f>IFERROR(__xludf.DUMMYFUNCTION("""COMPUTED_VALUE"""),20.0)</f>
        <v>20</v>
      </c>
      <c r="S1866" s="65"/>
      <c r="T1866" s="65">
        <f>IFERROR(__xludf.DUMMYFUNCTION("""COMPUTED_VALUE"""),5.76)</f>
        <v>5.76</v>
      </c>
      <c r="U1866" s="65">
        <f>IFERROR(__xludf.DUMMYFUNCTION("""COMPUTED_VALUE"""),0.0)</f>
        <v>0</v>
      </c>
      <c r="V1866" s="65">
        <f>IFERROR(__xludf.DUMMYFUNCTION("""COMPUTED_VALUE"""),0.0)</f>
        <v>0</v>
      </c>
      <c r="W1866" s="65">
        <f>IFERROR(__xludf.DUMMYFUNCTION("""COMPUTED_VALUE"""),0.0)</f>
        <v>0</v>
      </c>
      <c r="X1866" s="65">
        <f>IFERROR(__xludf.DUMMYFUNCTION("""COMPUTED_VALUE"""),2.35)</f>
        <v>2.35</v>
      </c>
      <c r="Y1866" s="65">
        <f>IFERROR(__xludf.DUMMYFUNCTION("""COMPUTED_VALUE"""),2.35)</f>
        <v>2.35</v>
      </c>
      <c r="Z1866" s="65">
        <f>IFERROR(__xludf.DUMMYFUNCTION("""COMPUTED_VALUE"""),116679.0)</f>
        <v>116679</v>
      </c>
      <c r="AA1866" s="65" t="str">
        <f>IFERROR(__xludf.DUMMYFUNCTION("""COMPUTED_VALUE"""),"AMC-2738")</f>
        <v>AMC-2738</v>
      </c>
      <c r="AB1866" s="65"/>
      <c r="AC1866" s="65" t="str">
        <f>IFERROR(__xludf.DUMMYFUNCTION("""COMPUTED_VALUE"""),"ESPONJA ANTILLUVIA DE PARABRISAS")</f>
        <v>ESPONJA ANTILLUVIA DE PARABRISAS</v>
      </c>
      <c r="AD1866" s="65"/>
      <c r="AE1866" s="65">
        <f>IFERROR(__xludf.DUMMYFUNCTION("""COMPUTED_VALUE"""),1.0)</f>
        <v>1</v>
      </c>
      <c r="AF1866" s="65"/>
      <c r="AG1866" s="65"/>
      <c r="AH1866" s="65"/>
      <c r="AI1866" s="65"/>
      <c r="AJ1866" s="65"/>
      <c r="AK1866" s="65"/>
      <c r="AL1866" s="65"/>
      <c r="AM1866" s="65"/>
      <c r="AN1866" s="65"/>
      <c r="AO1866" s="65"/>
      <c r="AP1866" s="65"/>
      <c r="AQ1866" s="65"/>
      <c r="AR1866" s="65"/>
      <c r="AS1866" s="65"/>
      <c r="AT1866" s="65" t="str">
        <f>IFERROR(__xludf.DUMMYFUNCTION("""COMPUTED_VALUE"""),"SHOPIFY")</f>
        <v>SHOPIFY</v>
      </c>
      <c r="AU1866" s="65" t="str">
        <f>IFERROR(__xludf.DUMMYFUNCTION("""COMPUTED_VALUE"""),"IMPORTEX EC")</f>
        <v>IMPORTEX EC</v>
      </c>
      <c r="AV1866" s="65" t="str">
        <f>IFERROR(__xludf.DUMMYFUNCTION("""COMPUTED_VALUE"""),"6410940186668")</f>
        <v>6410940186668</v>
      </c>
      <c r="AW1866" s="65">
        <f>IFERROR(__xludf.DUMMYFUNCTION("""COMPUTED_VALUE"""),5086.0)</f>
        <v>5086</v>
      </c>
      <c r="AX1866" s="65"/>
      <c r="AY1866" s="65"/>
      <c r="AZ1866" s="65"/>
      <c r="BA1866" s="65"/>
    </row>
    <row r="1867">
      <c r="A1867" s="65" t="str">
        <f>IFERROR(__xludf.DUMMYFUNCTION("""COMPUTED_VALUE"""),"27-03-2026")</f>
        <v>27-03-2026</v>
      </c>
      <c r="B1867" s="65">
        <f>IFERROR(__xludf.DUMMYFUNCTION("""COMPUTED_VALUE"""),4127461.0)</f>
        <v>4127461</v>
      </c>
      <c r="C1867" s="65" t="str">
        <f>IFERROR(__xludf.DUMMYFUNCTION("""COMPUTED_VALUE"""),"05:58")</f>
        <v>05:58</v>
      </c>
      <c r="D1867" s="65" t="str">
        <f>IFERROR(__xludf.DUMMYFUNCTION("""COMPUTED_VALUE"""),"13-01-2026")</f>
        <v>13-01-2026</v>
      </c>
      <c r="E1867" s="65" t="str">
        <f>IFERROR(__xludf.DUMMYFUNCTION("""COMPUTED_VALUE"""),"Juan Carlos Osorio")</f>
        <v>Juan Carlos Osorio</v>
      </c>
      <c r="F1867" s="65" t="str">
        <f>IFERROR(__xludf.DUMMYFUNCTION("""COMPUTED_VALUE"""),"999140665")</f>
        <v>999140665</v>
      </c>
      <c r="G1867" s="65" t="str">
        <f>IFERROR(__xludf.DUMMYFUNCTION("""COMPUTED_VALUE"""),"jc.automotrizosorio@gmail.con")</f>
        <v>jc.automotrizosorio@gmail.con</v>
      </c>
      <c r="H1867" s="65"/>
      <c r="I1867" s="65"/>
      <c r="J1867" s="65" t="str">
        <f>IFERROR(__xludf.DUMMYFUNCTION("""COMPUTED_VALUE"""),"D001224235")</f>
        <v>D001224235</v>
      </c>
      <c r="K1867" s="65" t="str">
        <f>IFERROR(__xludf.DUMMYFUNCTION("""COMPUTED_VALUE"""),"DEVOLUCION")</f>
        <v>DEVOLUCION</v>
      </c>
      <c r="L1867" s="65" t="str">
        <f>IFERROR(__xludf.DUMMYFUNCTION("""COMPUTED_VALUE"""),"CON RECAUDO")</f>
        <v>CON RECAUDO</v>
      </c>
      <c r="M1867" s="65" t="str">
        <f>IFERROR(__xludf.DUMMYFUNCTION("""COMPUTED_VALUE"""),"PICHINCHA")</f>
        <v>PICHINCHA</v>
      </c>
      <c r="N1867" s="65" t="str">
        <f>IFERROR(__xludf.DUMMYFUNCTION("""COMPUTED_VALUE"""),"QUITO")</f>
        <v>QUITO</v>
      </c>
      <c r="O1867" s="65" t="str">
        <f>IFERROR(__xludf.DUMMYFUNCTION("""COMPUTED_VALUE"""),"Madre selvas N 47 -129 y tixan El inca - REF: tras la cárcel del inca")</f>
        <v>Madre selvas N 47 -129 y tixan El inca - REF: tras la cárcel del inca</v>
      </c>
      <c r="P1867" s="65"/>
      <c r="Q1867" s="65" t="str">
        <f>IFERROR(__xludf.DUMMYFUNCTION("""COMPUTED_VALUE"""),"GINTRACOM")</f>
        <v>GINTRACOM</v>
      </c>
      <c r="R1867" s="65">
        <f>IFERROR(__xludf.DUMMYFUNCTION("""COMPUTED_VALUE"""),20.0)</f>
        <v>20</v>
      </c>
      <c r="S1867" s="65"/>
      <c r="T1867" s="65">
        <f>IFERROR(__xludf.DUMMYFUNCTION("""COMPUTED_VALUE"""),4.15)</f>
        <v>4.15</v>
      </c>
      <c r="U1867" s="65">
        <f>IFERROR(__xludf.DUMMYFUNCTION("""COMPUTED_VALUE"""),0.0)</f>
        <v>0</v>
      </c>
      <c r="V1867" s="65">
        <f>IFERROR(__xludf.DUMMYFUNCTION("""COMPUTED_VALUE"""),0.0)</f>
        <v>0</v>
      </c>
      <c r="W1867" s="65">
        <f>IFERROR(__xludf.DUMMYFUNCTION("""COMPUTED_VALUE"""),0.0)</f>
        <v>0</v>
      </c>
      <c r="X1867" s="65">
        <f>IFERROR(__xludf.DUMMYFUNCTION("""COMPUTED_VALUE"""),2.35)</f>
        <v>2.35</v>
      </c>
      <c r="Y1867" s="65">
        <f>IFERROR(__xludf.DUMMYFUNCTION("""COMPUTED_VALUE"""),2.35)</f>
        <v>2.35</v>
      </c>
      <c r="Z1867" s="65">
        <f>IFERROR(__xludf.DUMMYFUNCTION("""COMPUTED_VALUE"""),116679.0)</f>
        <v>116679</v>
      </c>
      <c r="AA1867" s="65" t="str">
        <f>IFERROR(__xludf.DUMMYFUNCTION("""COMPUTED_VALUE"""),"AMC-2738")</f>
        <v>AMC-2738</v>
      </c>
      <c r="AB1867" s="65"/>
      <c r="AC1867" s="65" t="str">
        <f>IFERROR(__xludf.DUMMYFUNCTION("""COMPUTED_VALUE"""),"ESPONJA ANTILLUVIA DE PARABRISAS")</f>
        <v>ESPONJA ANTILLUVIA DE PARABRISAS</v>
      </c>
      <c r="AD1867" s="65"/>
      <c r="AE1867" s="65">
        <f>IFERROR(__xludf.DUMMYFUNCTION("""COMPUTED_VALUE"""),1.0)</f>
        <v>1</v>
      </c>
      <c r="AF1867" s="65" t="str">
        <f>IFERROR(__xludf.DUMMYFUNCTION("""COMPUTED_VALUE"""),"DESTINATARIO INDICA QUE YA NO DESEA EL PRODUCTO")</f>
        <v>DESTINATARIO INDICA QUE YA NO DESEA EL PRODUCTO</v>
      </c>
      <c r="AG1867" s="65" t="str">
        <f>IFERROR(__xludf.DUMMYFUNCTION("""COMPUTED_VALUE"""),"NO")</f>
        <v>NO</v>
      </c>
      <c r="AH1867" s="65" t="str">
        <f>IFERROR(__xludf.DUMMYFUNCTION("""COMPUTED_VALUE"""),"19:17")</f>
        <v>19:17</v>
      </c>
      <c r="AI1867" s="65" t="str">
        <f>IFERROR(__xludf.DUMMYFUNCTION("""COMPUTED_VALUE"""),"14-01-2026")</f>
        <v>14-01-2026</v>
      </c>
      <c r="AJ1867" s="65"/>
      <c r="AK1867" s="65"/>
      <c r="AL1867" s="65"/>
      <c r="AM1867" s="65"/>
      <c r="AN1867" s="65" t="str">
        <f>IFERROR(__xludf.DUMMYFUNCTION("""COMPUTED_VALUE"""),"03:07")</f>
        <v>03:07</v>
      </c>
      <c r="AO1867" s="65" t="str">
        <f>IFERROR(__xludf.DUMMYFUNCTION("""COMPUTED_VALUE"""),"24-01-2026")</f>
        <v>24-01-2026</v>
      </c>
      <c r="AP1867" s="65" t="str">
        <f>IFERROR(__xludf.DUMMYFUNCTION("""COMPUTED_VALUE"""),"DEVOLUCIÓN")</f>
        <v>DEVOLUCIÓN</v>
      </c>
      <c r="AQ1867" s="65" t="str">
        <f>IFERROR(__xludf.DUMMYFUNCTION("""COMPUTED_VALUE"""),"DEVOLUCIÓN")</f>
        <v>DEVOLUCIÓN</v>
      </c>
      <c r="AR1867" s="65"/>
      <c r="AS1867" s="65"/>
      <c r="AT1867" s="65" t="str">
        <f>IFERROR(__xludf.DUMMYFUNCTION("""COMPUTED_VALUE"""),"SHOPIFY")</f>
        <v>SHOPIFY</v>
      </c>
      <c r="AU1867" s="65" t="str">
        <f>IFERROR(__xludf.DUMMYFUNCTION("""COMPUTED_VALUE"""),"IMPORTEX EC")</f>
        <v>IMPORTEX EC</v>
      </c>
      <c r="AV1867" s="65" t="str">
        <f>IFERROR(__xludf.DUMMYFUNCTION("""COMPUTED_VALUE"""),"6410915020844")</f>
        <v>6410915020844</v>
      </c>
      <c r="AW1867" s="65">
        <f>IFERROR(__xludf.DUMMYFUNCTION("""COMPUTED_VALUE"""),5085.0)</f>
        <v>5085</v>
      </c>
      <c r="AX1867" s="65"/>
      <c r="AY1867" s="65" t="str">
        <f>IFERROR(__xludf.DUMMYFUNCTION("""COMPUTED_VALUE"""),"14/01/2026")</f>
        <v>14/01/2026</v>
      </c>
      <c r="AZ1867" s="65"/>
      <c r="BA1867" s="65"/>
    </row>
    <row r="1868">
      <c r="A1868" s="65" t="str">
        <f>IFERROR(__xludf.DUMMYFUNCTION("""COMPUTED_VALUE"""),"27-03-2026")</f>
        <v>27-03-2026</v>
      </c>
      <c r="B1868" s="65">
        <f>IFERROR(__xludf.DUMMYFUNCTION("""COMPUTED_VALUE"""),4127249.0)</f>
        <v>4127249</v>
      </c>
      <c r="C1868" s="65" t="str">
        <f>IFERROR(__xludf.DUMMYFUNCTION("""COMPUTED_VALUE"""),"04:38")</f>
        <v>04:38</v>
      </c>
      <c r="D1868" s="65" t="str">
        <f>IFERROR(__xludf.DUMMYFUNCTION("""COMPUTED_VALUE"""),"13-01-2026")</f>
        <v>13-01-2026</v>
      </c>
      <c r="E1868" s="65" t="str">
        <f>IFERROR(__xludf.DUMMYFUNCTION("""COMPUTED_VALUE"""),"Dean Ott")</f>
        <v>Dean Ott</v>
      </c>
      <c r="F1868" s="65" t="str">
        <f>IFERROR(__xludf.DUMMYFUNCTION("""COMPUTED_VALUE"""),"985881222")</f>
        <v>985881222</v>
      </c>
      <c r="G1868" s="65" t="str">
        <f>IFERROR(__xludf.DUMMYFUNCTION("""COMPUTED_VALUE"""),"sfabriciomoreno@gmail.com")</f>
        <v>sfabriciomoreno@gmail.com</v>
      </c>
      <c r="H1868" s="65"/>
      <c r="I1868" s="65"/>
      <c r="J1868" s="65" t="str">
        <f>IFERROR(__xludf.DUMMYFUNCTION("""COMPUTED_VALUE"""),"186966804")</f>
        <v>186966804</v>
      </c>
      <c r="K1868" s="65" t="str">
        <f>IFERROR(__xludf.DUMMYFUNCTION("""COMPUTED_VALUE"""),"DEVOLUCION")</f>
        <v>DEVOLUCION</v>
      </c>
      <c r="L1868" s="65" t="str">
        <f>IFERROR(__xludf.DUMMYFUNCTION("""COMPUTED_VALUE"""),"CON RECAUDO")</f>
        <v>CON RECAUDO</v>
      </c>
      <c r="M1868" s="65" t="str">
        <f>IFERROR(__xludf.DUMMYFUNCTION("""COMPUTED_VALUE"""),"GUAYAS")</f>
        <v>GUAYAS</v>
      </c>
      <c r="N1868" s="65" t="str">
        <f>IFERROR(__xludf.DUMMYFUNCTION("""COMPUTED_VALUE"""),"PLAYAS")</f>
        <v>PLAYAS</v>
      </c>
      <c r="O1868" s="65" t="str">
        <f>IFERROR(__xludf.DUMMYFUNCTION("""COMPUTED_VALUE"""),"Condominio los Girasoles dep A-3, km 5.5 viva data posorja Arenal , bajada a la playa , letrero en la entrada Girasoles -")</f>
        <v>Condominio los Girasoles dep A-3, km 5.5 viva data posorja Arenal , bajada a la playa , letrero en la entrada Girasoles -</v>
      </c>
      <c r="P1868" s="65"/>
      <c r="Q1868" s="65" t="str">
        <f>IFERROR(__xludf.DUMMYFUNCTION("""COMPUTED_VALUE"""),"SERVIENTREGA")</f>
        <v>SERVIENTREGA</v>
      </c>
      <c r="R1868" s="65">
        <f>IFERROR(__xludf.DUMMYFUNCTION("""COMPUTED_VALUE"""),27.0)</f>
        <v>27</v>
      </c>
      <c r="S1868" s="65"/>
      <c r="T1868" s="65">
        <f>IFERROR(__xludf.DUMMYFUNCTION("""COMPUTED_VALUE"""),7.77)</f>
        <v>7.77</v>
      </c>
      <c r="U1868" s="65">
        <f>IFERROR(__xludf.DUMMYFUNCTION("""COMPUTED_VALUE"""),0.0)</f>
        <v>0</v>
      </c>
      <c r="V1868" s="65">
        <f>IFERROR(__xludf.DUMMYFUNCTION("""COMPUTED_VALUE"""),0.0)</f>
        <v>0</v>
      </c>
      <c r="W1868" s="65">
        <f>IFERROR(__xludf.DUMMYFUNCTION("""COMPUTED_VALUE"""),0.0)</f>
        <v>0</v>
      </c>
      <c r="X1868" s="65">
        <f>IFERROR(__xludf.DUMMYFUNCTION("""COMPUTED_VALUE"""),2.6)</f>
        <v>2.6</v>
      </c>
      <c r="Y1868" s="65">
        <f>IFERROR(__xludf.DUMMYFUNCTION("""COMPUTED_VALUE"""),7.8)</f>
        <v>7.8</v>
      </c>
      <c r="Z1868" s="65">
        <f>IFERROR(__xludf.DUMMYFUNCTION("""COMPUTED_VALUE"""),121983.0)</f>
        <v>121983</v>
      </c>
      <c r="AA1868" s="65" t="str">
        <f>IFERROR(__xludf.DUMMYFUNCTION("""COMPUTED_VALUE"""),"PROV-CHLLCF")</f>
        <v>PROV-CHLLCF</v>
      </c>
      <c r="AB1868" s="65"/>
      <c r="AC1868" s="65" t="str">
        <f>IFERROR(__xludf.DUMMYFUNCTION("""COMPUTED_VALUE"""),"CUCHILLO PARA CHEF")</f>
        <v>CUCHILLO PARA CHEF</v>
      </c>
      <c r="AD1868" s="65"/>
      <c r="AE1868" s="65">
        <f>IFERROR(__xludf.DUMMYFUNCTION("""COMPUTED_VALUE"""),3.0)</f>
        <v>3</v>
      </c>
      <c r="AF1868" s="65" t="str">
        <f>IFERROR(__xludf.DUMMYFUNCTION("""COMPUTED_VALUE"""),"DEVOLUCION AL REMITENTE")</f>
        <v>DEVOLUCION AL REMITENTE</v>
      </c>
      <c r="AG1868" s="65" t="str">
        <f>IFERROR(__xludf.DUMMYFUNCTION("""COMPUTED_VALUE"""),"NO")</f>
        <v>NO</v>
      </c>
      <c r="AH1868" s="65" t="str">
        <f>IFERROR(__xludf.DUMMYFUNCTION("""COMPUTED_VALUE"""),"14:15")</f>
        <v>14:15</v>
      </c>
      <c r="AI1868" s="65" t="str">
        <f>IFERROR(__xludf.DUMMYFUNCTION("""COMPUTED_VALUE"""),"19-01-2026")</f>
        <v>19-01-2026</v>
      </c>
      <c r="AJ1868" s="65"/>
      <c r="AK1868" s="65"/>
      <c r="AL1868" s="65"/>
      <c r="AM1868" s="65"/>
      <c r="AN1868" s="65" t="str">
        <f>IFERROR(__xludf.DUMMYFUNCTION("""COMPUTED_VALUE"""),"10:15")</f>
        <v>10:15</v>
      </c>
      <c r="AO1868" s="65" t="str">
        <f>IFERROR(__xludf.DUMMYFUNCTION("""COMPUTED_VALUE"""),"23-01-2026")</f>
        <v>23-01-2026</v>
      </c>
      <c r="AP1868" s="65" t="str">
        <f>IFERROR(__xludf.DUMMYFUNCTION("""COMPUTED_VALUE"""),"DEVOLUCION AL REMITENTE")</f>
        <v>DEVOLUCION AL REMITENTE</v>
      </c>
      <c r="AQ1868" s="65" t="str">
        <f>IFERROR(__xludf.DUMMYFUNCTION("""COMPUTED_VALUE"""),"{}")</f>
        <v>{}</v>
      </c>
      <c r="AR1868" s="65"/>
      <c r="AS1868" s="65"/>
      <c r="AT1868" s="65" t="str">
        <f>IFERROR(__xludf.DUMMYFUNCTION("""COMPUTED_VALUE"""),"SHOPIFY")</f>
        <v>SHOPIFY</v>
      </c>
      <c r="AU1868" s="65" t="str">
        <f>IFERROR(__xludf.DUMMYFUNCTION("""COMPUTED_VALUE"""),"IMPORTEX EC")</f>
        <v>IMPORTEX EC</v>
      </c>
      <c r="AV1868" s="65" t="str">
        <f>IFERROR(__xludf.DUMMYFUNCTION("""COMPUTED_VALUE"""),"6410869014572")</f>
        <v>6410869014572</v>
      </c>
      <c r="AW1868" s="65">
        <f>IFERROR(__xludf.DUMMYFUNCTION("""COMPUTED_VALUE"""),5084.0)</f>
        <v>5084</v>
      </c>
      <c r="AX1868" s="65"/>
      <c r="AY1868" s="65" t="str">
        <f>IFERROR(__xludf.DUMMYFUNCTION("""COMPUTED_VALUE"""),"13/01/2026")</f>
        <v>13/01/2026</v>
      </c>
      <c r="AZ1868" s="65"/>
      <c r="BA1868" s="65"/>
    </row>
    <row r="1869">
      <c r="A1869" s="65" t="str">
        <f>IFERROR(__xludf.DUMMYFUNCTION("""COMPUTED_VALUE"""),"27-03-2026")</f>
        <v>27-03-2026</v>
      </c>
      <c r="B1869" s="65">
        <f>IFERROR(__xludf.DUMMYFUNCTION("""COMPUTED_VALUE"""),4127239.0)</f>
        <v>4127239</v>
      </c>
      <c r="C1869" s="65" t="str">
        <f>IFERROR(__xludf.DUMMYFUNCTION("""COMPUTED_VALUE"""),"04:29")</f>
        <v>04:29</v>
      </c>
      <c r="D1869" s="65" t="str">
        <f>IFERROR(__xludf.DUMMYFUNCTION("""COMPUTED_VALUE"""),"13-01-2026")</f>
        <v>13-01-2026</v>
      </c>
      <c r="E1869" s="65" t="str">
        <f>IFERROR(__xludf.DUMMYFUNCTION("""COMPUTED_VALUE"""),"Julio España solis")</f>
        <v>Julio España solis</v>
      </c>
      <c r="F1869" s="65" t="str">
        <f>IFERROR(__xludf.DUMMYFUNCTION("""COMPUTED_VALUE"""),"985055368")</f>
        <v>985055368</v>
      </c>
      <c r="G1869" s="65" t="str">
        <f>IFERROR(__xludf.DUMMYFUNCTION("""COMPUTED_VALUE"""),"espanasolisjulioalfredo@gmail.com")</f>
        <v>espanasolisjulioalfredo@gmail.com</v>
      </c>
      <c r="H1869" s="65"/>
      <c r="I1869" s="65"/>
      <c r="J1869" s="65" t="str">
        <f>IFERROR(__xludf.DUMMYFUNCTION("""COMPUTED_VALUE"""),"D001218284")</f>
        <v>D001218284</v>
      </c>
      <c r="K1869" s="65" t="str">
        <f>IFERROR(__xludf.DUMMYFUNCTION("""COMPUTED_VALUE"""),"ENTREGADO")</f>
        <v>ENTREGADO</v>
      </c>
      <c r="L1869" s="65" t="str">
        <f>IFERROR(__xludf.DUMMYFUNCTION("""COMPUTED_VALUE"""),"CON RECAUDO")</f>
        <v>CON RECAUDO</v>
      </c>
      <c r="M1869" s="65" t="str">
        <f>IFERROR(__xludf.DUMMYFUNCTION("""COMPUTED_VALUE"""),"ESMERALDAS")</f>
        <v>ESMERALDAS</v>
      </c>
      <c r="N1869" s="65" t="str">
        <f>IFERROR(__xludf.DUMMYFUNCTION("""COMPUTED_VALUE"""),"ESMERALDAS")</f>
        <v>ESMERALDAS</v>
      </c>
      <c r="O1869" s="65" t="str">
        <f>IFERROR(__xludf.DUMMYFUNCTION("""COMPUTED_VALUE"""),"las acacias calle segunda - Vía atacames valle d San Rafael por l unidad educativa Maria Auxiliadora")</f>
        <v>las acacias calle segunda - Vía atacames valle d San Rafael por l unidad educativa Maria Auxiliadora</v>
      </c>
      <c r="P1869" s="65"/>
      <c r="Q1869" s="65" t="str">
        <f>IFERROR(__xludf.DUMMYFUNCTION("""COMPUTED_VALUE"""),"GINTRACOM")</f>
        <v>GINTRACOM</v>
      </c>
      <c r="R1869" s="65">
        <f>IFERROR(__xludf.DUMMYFUNCTION("""COMPUTED_VALUE"""),22.0)</f>
        <v>22</v>
      </c>
      <c r="S1869" s="65">
        <f>IFERROR(__xludf.DUMMYFUNCTION("""COMPUTED_VALUE"""),10.96)</f>
        <v>10.96</v>
      </c>
      <c r="T1869" s="65">
        <f>IFERROR(__xludf.DUMMYFUNCTION("""COMPUTED_VALUE"""),5.84)</f>
        <v>5.84</v>
      </c>
      <c r="U1869" s="65">
        <f>IFERROR(__xludf.DUMMYFUNCTION("""COMPUTED_VALUE"""),0.0)</f>
        <v>0</v>
      </c>
      <c r="V1869" s="65">
        <f>IFERROR(__xludf.DUMMYFUNCTION("""COMPUTED_VALUE"""),0.0)</f>
        <v>0</v>
      </c>
      <c r="W1869" s="65">
        <f>IFERROR(__xludf.DUMMYFUNCTION("""COMPUTED_VALUE"""),0.0)</f>
        <v>0</v>
      </c>
      <c r="X1869" s="65">
        <f>IFERROR(__xludf.DUMMYFUNCTION("""COMPUTED_VALUE"""),2.6)</f>
        <v>2.6</v>
      </c>
      <c r="Y1869" s="65">
        <f>IFERROR(__xludf.DUMMYFUNCTION("""COMPUTED_VALUE"""),5.2)</f>
        <v>5.2</v>
      </c>
      <c r="Z1869" s="65">
        <f>IFERROR(__xludf.DUMMYFUNCTION("""COMPUTED_VALUE"""),121983.0)</f>
        <v>121983</v>
      </c>
      <c r="AA1869" s="65" t="str">
        <f>IFERROR(__xludf.DUMMYFUNCTION("""COMPUTED_VALUE"""),"PROV-CHLLCF")</f>
        <v>PROV-CHLLCF</v>
      </c>
      <c r="AB1869" s="65"/>
      <c r="AC1869" s="65" t="str">
        <f>IFERROR(__xludf.DUMMYFUNCTION("""COMPUTED_VALUE"""),"CUCHILLO PARA CHEF")</f>
        <v>CUCHILLO PARA CHEF</v>
      </c>
      <c r="AD1869" s="65"/>
      <c r="AE1869" s="65">
        <f>IFERROR(__xludf.DUMMYFUNCTION("""COMPUTED_VALUE"""),2.0)</f>
        <v>2</v>
      </c>
      <c r="AF1869" s="65"/>
      <c r="AG1869" s="65"/>
      <c r="AH1869" s="65"/>
      <c r="AI1869" s="65"/>
      <c r="AJ1869" s="65"/>
      <c r="AK1869" s="65"/>
      <c r="AL1869" s="65"/>
      <c r="AM1869" s="65"/>
      <c r="AN1869" s="65" t="str">
        <f>IFERROR(__xludf.DUMMYFUNCTION("""COMPUTED_VALUE"""),"13:49")</f>
        <v>13:49</v>
      </c>
      <c r="AO1869" s="65" t="str">
        <f>IFERROR(__xludf.DUMMYFUNCTION("""COMPUTED_VALUE"""),"17-01-2026")</f>
        <v>17-01-2026</v>
      </c>
      <c r="AP1869" s="65" t="str">
        <f>IFERROR(__xludf.DUMMYFUNCTION("""COMPUTED_VALUE"""),"ENTREGADA GINTRACOM")</f>
        <v>ENTREGADA GINTRACOM</v>
      </c>
      <c r="AQ1869" s="65" t="str">
        <f>IFERROR(__xludf.DUMMYFUNCTION("""COMPUTED_VALUE"""),"ENTREGADA GINTRACOM")</f>
        <v>ENTREGADA GINTRACOM</v>
      </c>
      <c r="AR1869" s="65"/>
      <c r="AS1869" s="65"/>
      <c r="AT1869" s="65" t="str">
        <f>IFERROR(__xludf.DUMMYFUNCTION("""COMPUTED_VALUE"""),"SHOPIFY")</f>
        <v>SHOPIFY</v>
      </c>
      <c r="AU1869" s="65" t="str">
        <f>IFERROR(__xludf.DUMMYFUNCTION("""COMPUTED_VALUE"""),"IMPORTEX EC")</f>
        <v>IMPORTEX EC</v>
      </c>
      <c r="AV1869" s="65" t="str">
        <f>IFERROR(__xludf.DUMMYFUNCTION("""COMPUTED_VALUE"""),"6410865311788")</f>
        <v>6410865311788</v>
      </c>
      <c r="AW1869" s="65">
        <f>IFERROR(__xludf.DUMMYFUNCTION("""COMPUTED_VALUE"""),5083.0)</f>
        <v>5083</v>
      </c>
      <c r="AX1869" s="65"/>
      <c r="AY1869" s="65" t="str">
        <f>IFERROR(__xludf.DUMMYFUNCTION("""COMPUTED_VALUE"""),"13/01/2026")</f>
        <v>13/01/2026</v>
      </c>
      <c r="AZ1869" s="65"/>
      <c r="BA1869" s="65"/>
    </row>
    <row r="1870">
      <c r="A1870" s="65" t="str">
        <f>IFERROR(__xludf.DUMMYFUNCTION("""COMPUTED_VALUE"""),"27-03-2026")</f>
        <v>27-03-2026</v>
      </c>
      <c r="B1870" s="65">
        <f>IFERROR(__xludf.DUMMYFUNCTION("""COMPUTED_VALUE"""),4127217.0)</f>
        <v>4127217</v>
      </c>
      <c r="C1870" s="65" t="str">
        <f>IFERROR(__xludf.DUMMYFUNCTION("""COMPUTED_VALUE"""),"04:11")</f>
        <v>04:11</v>
      </c>
      <c r="D1870" s="65" t="str">
        <f>IFERROR(__xludf.DUMMYFUNCTION("""COMPUTED_VALUE"""),"13-01-2026")</f>
        <v>13-01-2026</v>
      </c>
      <c r="E1870" s="65" t="str">
        <f>IFERROR(__xludf.DUMMYFUNCTION("""COMPUTED_VALUE"""),"Jonathan Andrade")</f>
        <v>Jonathan Andrade</v>
      </c>
      <c r="F1870" s="65" t="str">
        <f>IFERROR(__xludf.DUMMYFUNCTION("""COMPUTED_VALUE"""),"994696945")</f>
        <v>994696945</v>
      </c>
      <c r="G1870" s="65" t="str">
        <f>IFERROR(__xludf.DUMMYFUNCTION("""COMPUTED_VALUE"""),"jand_corp@hotmail.com")</f>
        <v>jand_corp@hotmail.com</v>
      </c>
      <c r="H1870" s="65"/>
      <c r="I1870" s="65"/>
      <c r="J1870" s="65" t="str">
        <f>IFERROR(__xludf.DUMMYFUNCTION("""COMPUTED_VALUE"""),"D001224237")</f>
        <v>D001224237</v>
      </c>
      <c r="K1870" s="65" t="str">
        <f>IFERROR(__xludf.DUMMYFUNCTION("""COMPUTED_VALUE"""),"ENTREGADO")</f>
        <v>ENTREGADO</v>
      </c>
      <c r="L1870" s="65" t="str">
        <f>IFERROR(__xludf.DUMMYFUNCTION("""COMPUTED_VALUE"""),"CON RECAUDO")</f>
        <v>CON RECAUDO</v>
      </c>
      <c r="M1870" s="65" t="str">
        <f>IFERROR(__xludf.DUMMYFUNCTION("""COMPUTED_VALUE"""),"GUAYAS")</f>
        <v>GUAYAS</v>
      </c>
      <c r="N1870" s="65" t="str">
        <f>IFERROR(__xludf.DUMMYFUNCTION("""COMPUTED_VALUE"""),"GUAYAQUIL")</f>
        <v>GUAYAQUIL</v>
      </c>
      <c r="O1870" s="65" t="str">
        <f>IFERROR(__xludf.DUMMYFUNCTION("""COMPUTED_VALUE"""),"Av. Francisco de Orellana al lado de Bco. Amazonas - la entrega si se coordina se podría hacer en el Hotel Marriott")</f>
        <v>Av. Francisco de Orellana al lado de Bco. Amazonas - la entrega si se coordina se podría hacer en el Hotel Marriott</v>
      </c>
      <c r="P1870" s="65"/>
      <c r="Q1870" s="65" t="str">
        <f>IFERROR(__xludf.DUMMYFUNCTION("""COMPUTED_VALUE"""),"GINTRACOM")</f>
        <v>GINTRACOM</v>
      </c>
      <c r="R1870" s="65">
        <f>IFERROR(__xludf.DUMMYFUNCTION("""COMPUTED_VALUE"""),30.0)</f>
        <v>30</v>
      </c>
      <c r="S1870" s="65">
        <f>IFERROR(__xludf.DUMMYFUNCTION("""COMPUTED_VALUE"""),16.79)</f>
        <v>16.79</v>
      </c>
      <c r="T1870" s="65">
        <f>IFERROR(__xludf.DUMMYFUNCTION("""COMPUTED_VALUE"""),6.16)</f>
        <v>6.16</v>
      </c>
      <c r="U1870" s="65">
        <f>IFERROR(__xludf.DUMMYFUNCTION("""COMPUTED_VALUE"""),0.0)</f>
        <v>0</v>
      </c>
      <c r="V1870" s="65">
        <f>IFERROR(__xludf.DUMMYFUNCTION("""COMPUTED_VALUE"""),0.0)</f>
        <v>0</v>
      </c>
      <c r="W1870" s="65">
        <f>IFERROR(__xludf.DUMMYFUNCTION("""COMPUTED_VALUE"""),0.0)</f>
        <v>0</v>
      </c>
      <c r="X1870" s="65">
        <f>IFERROR(__xludf.DUMMYFUNCTION("""COMPUTED_VALUE"""),2.35)</f>
        <v>2.35</v>
      </c>
      <c r="Y1870" s="65">
        <f>IFERROR(__xludf.DUMMYFUNCTION("""COMPUTED_VALUE"""),7.05)</f>
        <v>7.05</v>
      </c>
      <c r="Z1870" s="65">
        <f>IFERROR(__xludf.DUMMYFUNCTION("""COMPUTED_VALUE"""),116679.0)</f>
        <v>116679</v>
      </c>
      <c r="AA1870" s="65" t="str">
        <f>IFERROR(__xludf.DUMMYFUNCTION("""COMPUTED_VALUE"""),"AMC-2738")</f>
        <v>AMC-2738</v>
      </c>
      <c r="AB1870" s="65"/>
      <c r="AC1870" s="65" t="str">
        <f>IFERROR(__xludf.DUMMYFUNCTION("""COMPUTED_VALUE"""),"ESPONJA ANTILLUVIA DE PARABRISAS")</f>
        <v>ESPONJA ANTILLUVIA DE PARABRISAS</v>
      </c>
      <c r="AD1870" s="65"/>
      <c r="AE1870" s="65">
        <f>IFERROR(__xludf.DUMMYFUNCTION("""COMPUTED_VALUE"""),3.0)</f>
        <v>3</v>
      </c>
      <c r="AF1870" s="65"/>
      <c r="AG1870" s="65"/>
      <c r="AH1870" s="65"/>
      <c r="AI1870" s="65"/>
      <c r="AJ1870" s="65"/>
      <c r="AK1870" s="65"/>
      <c r="AL1870" s="65"/>
      <c r="AM1870" s="65"/>
      <c r="AN1870" s="65" t="str">
        <f>IFERROR(__xludf.DUMMYFUNCTION("""COMPUTED_VALUE"""),"16:44")</f>
        <v>16:44</v>
      </c>
      <c r="AO1870" s="65" t="str">
        <f>IFERROR(__xludf.DUMMYFUNCTION("""COMPUTED_VALUE"""),"16-01-2026")</f>
        <v>16-01-2026</v>
      </c>
      <c r="AP1870" s="65" t="str">
        <f>IFERROR(__xludf.DUMMYFUNCTION("""COMPUTED_VALUE"""),"ENTREGADA GINTRACOM")</f>
        <v>ENTREGADA GINTRACOM</v>
      </c>
      <c r="AQ1870" s="65" t="str">
        <f>IFERROR(__xludf.DUMMYFUNCTION("""COMPUTED_VALUE"""),"ENTREGADA GINTRACOM")</f>
        <v>ENTREGADA GINTRACOM</v>
      </c>
      <c r="AR1870" s="65"/>
      <c r="AS1870" s="65"/>
      <c r="AT1870" s="65" t="str">
        <f>IFERROR(__xludf.DUMMYFUNCTION("""COMPUTED_VALUE"""),"SHOPIFY")</f>
        <v>SHOPIFY</v>
      </c>
      <c r="AU1870" s="65" t="str">
        <f>IFERROR(__xludf.DUMMYFUNCTION("""COMPUTED_VALUE"""),"IMPORTEX EC")</f>
        <v>IMPORTEX EC</v>
      </c>
      <c r="AV1870" s="65" t="str">
        <f>IFERROR(__xludf.DUMMYFUNCTION("""COMPUTED_VALUE"""),"6410854268972")</f>
        <v>6410854268972</v>
      </c>
      <c r="AW1870" s="65">
        <f>IFERROR(__xludf.DUMMYFUNCTION("""COMPUTED_VALUE"""),5082.0)</f>
        <v>5082</v>
      </c>
      <c r="AX1870" s="65"/>
      <c r="AY1870" s="65" t="str">
        <f>IFERROR(__xludf.DUMMYFUNCTION("""COMPUTED_VALUE"""),"14/01/2026")</f>
        <v>14/01/2026</v>
      </c>
      <c r="AZ1870" s="65"/>
      <c r="BA1870" s="65"/>
    </row>
    <row r="1871">
      <c r="A1871" s="65" t="str">
        <f>IFERROR(__xludf.DUMMYFUNCTION("""COMPUTED_VALUE"""),"27-03-2026")</f>
        <v>27-03-2026</v>
      </c>
      <c r="B1871" s="65">
        <f>IFERROR(__xludf.DUMMYFUNCTION("""COMPUTED_VALUE"""),4127037.0)</f>
        <v>4127037</v>
      </c>
      <c r="C1871" s="65" t="str">
        <f>IFERROR(__xludf.DUMMYFUNCTION("""COMPUTED_VALUE"""),"01:54")</f>
        <v>01:54</v>
      </c>
      <c r="D1871" s="65" t="str">
        <f>IFERROR(__xludf.DUMMYFUNCTION("""COMPUTED_VALUE"""),"13-01-2026")</f>
        <v>13-01-2026</v>
      </c>
      <c r="E1871" s="65" t="str">
        <f>IFERROR(__xludf.DUMMYFUNCTION("""COMPUTED_VALUE"""),"Silvia Beatriz Ormaza torres")</f>
        <v>Silvia Beatriz Ormaza torres</v>
      </c>
      <c r="F1871" s="65" t="str">
        <f>IFERROR(__xludf.DUMMYFUNCTION("""COMPUTED_VALUE"""),"993277219")</f>
        <v>993277219</v>
      </c>
      <c r="G1871" s="65" t="str">
        <f>IFERROR(__xludf.DUMMYFUNCTION("""COMPUTED_VALUE"""),"Ormazasilvia55@gmail.com")</f>
        <v>Ormazasilvia55@gmail.com</v>
      </c>
      <c r="H1871" s="65"/>
      <c r="I1871" s="65"/>
      <c r="J1871" s="65"/>
      <c r="K1871" s="65" t="str">
        <f>IFERROR(__xludf.DUMMYFUNCTION("""COMPUTED_VALUE"""),"CANCELADO")</f>
        <v>CANCELADO</v>
      </c>
      <c r="L1871" s="65" t="str">
        <f>IFERROR(__xludf.DUMMYFUNCTION("""COMPUTED_VALUE"""),"CON RECAUDO")</f>
        <v>CON RECAUDO</v>
      </c>
      <c r="M1871" s="65" t="str">
        <f>IFERROR(__xludf.DUMMYFUNCTION("""COMPUTED_VALUE"""),"LOS RIOS")</f>
        <v>LOS RIOS</v>
      </c>
      <c r="N1871" s="65" t="str">
        <f>IFERROR(__xludf.DUMMYFUNCTION("""COMPUTED_VALUE"""),"BABAHOYO")</f>
        <v>BABAHOYO</v>
      </c>
      <c r="O1871" s="65" t="str">
        <f>IFERROR(__xludf.DUMMYFUNCTION("""COMPUTED_VALUE"""),"Vivo en mata de cacao de la parroquia febres cordero del canton Babahoyo en mata de cacao si hay servientrega Detras de la iglesia catolica -")</f>
        <v>Vivo en mata de cacao de la parroquia febres cordero del canton Babahoyo en mata de cacao si hay servientrega Detras de la iglesia catolica -</v>
      </c>
      <c r="P1871" s="65"/>
      <c r="Q1871" s="65" t="str">
        <f>IFERROR(__xludf.DUMMYFUNCTION("""COMPUTED_VALUE"""),"GINTRACOM")</f>
        <v>GINTRACOM</v>
      </c>
      <c r="R1871" s="65">
        <f>IFERROR(__xludf.DUMMYFUNCTION("""COMPUTED_VALUE"""),22.0)</f>
        <v>22</v>
      </c>
      <c r="S1871" s="65"/>
      <c r="T1871" s="65">
        <f>IFERROR(__xludf.DUMMYFUNCTION("""COMPUTED_VALUE"""),5.84)</f>
        <v>5.84</v>
      </c>
      <c r="U1871" s="65">
        <f>IFERROR(__xludf.DUMMYFUNCTION("""COMPUTED_VALUE"""),0.0)</f>
        <v>0</v>
      </c>
      <c r="V1871" s="65">
        <f>IFERROR(__xludf.DUMMYFUNCTION("""COMPUTED_VALUE"""),0.0)</f>
        <v>0</v>
      </c>
      <c r="W1871" s="65">
        <f>IFERROR(__xludf.DUMMYFUNCTION("""COMPUTED_VALUE"""),0.0)</f>
        <v>0</v>
      </c>
      <c r="X1871" s="65">
        <f>IFERROR(__xludf.DUMMYFUNCTION("""COMPUTED_VALUE"""),2.6)</f>
        <v>2.6</v>
      </c>
      <c r="Y1871" s="65">
        <f>IFERROR(__xludf.DUMMYFUNCTION("""COMPUTED_VALUE"""),5.2)</f>
        <v>5.2</v>
      </c>
      <c r="Z1871" s="65">
        <f>IFERROR(__xludf.DUMMYFUNCTION("""COMPUTED_VALUE"""),121983.0)</f>
        <v>121983</v>
      </c>
      <c r="AA1871" s="65" t="str">
        <f>IFERROR(__xludf.DUMMYFUNCTION("""COMPUTED_VALUE"""),"PROV-CHLLCF")</f>
        <v>PROV-CHLLCF</v>
      </c>
      <c r="AB1871" s="65"/>
      <c r="AC1871" s="65" t="str">
        <f>IFERROR(__xludf.DUMMYFUNCTION("""COMPUTED_VALUE"""),"CUCHILLO PARA CHEF")</f>
        <v>CUCHILLO PARA CHEF</v>
      </c>
      <c r="AD1871" s="65"/>
      <c r="AE1871" s="65">
        <f>IFERROR(__xludf.DUMMYFUNCTION("""COMPUTED_VALUE"""),2.0)</f>
        <v>2</v>
      </c>
      <c r="AF1871" s="65"/>
      <c r="AG1871" s="65"/>
      <c r="AH1871" s="65"/>
      <c r="AI1871" s="65"/>
      <c r="AJ1871" s="65"/>
      <c r="AK1871" s="65"/>
      <c r="AL1871" s="65"/>
      <c r="AM1871" s="65"/>
      <c r="AN1871" s="65"/>
      <c r="AO1871" s="65"/>
      <c r="AP1871" s="65"/>
      <c r="AQ1871" s="65"/>
      <c r="AR1871" s="65"/>
      <c r="AS1871" s="65"/>
      <c r="AT1871" s="65" t="str">
        <f>IFERROR(__xludf.DUMMYFUNCTION("""COMPUTED_VALUE"""),"SHOPIFY")</f>
        <v>SHOPIFY</v>
      </c>
      <c r="AU1871" s="65" t="str">
        <f>IFERROR(__xludf.DUMMYFUNCTION("""COMPUTED_VALUE"""),"IMPORTEX EC")</f>
        <v>IMPORTEX EC</v>
      </c>
      <c r="AV1871" s="65" t="str">
        <f>IFERROR(__xludf.DUMMYFUNCTION("""COMPUTED_VALUE"""),"6410703568940")</f>
        <v>6410703568940</v>
      </c>
      <c r="AW1871" s="65">
        <f>IFERROR(__xludf.DUMMYFUNCTION("""COMPUTED_VALUE"""),5081.0)</f>
        <v>5081</v>
      </c>
      <c r="AX1871" s="65"/>
      <c r="AY1871" s="65"/>
      <c r="AZ1871" s="65"/>
      <c r="BA1871" s="65"/>
    </row>
    <row r="1872">
      <c r="A1872" s="65" t="str">
        <f>IFERROR(__xludf.DUMMYFUNCTION("""COMPUTED_VALUE"""),"27-03-2026")</f>
        <v>27-03-2026</v>
      </c>
      <c r="B1872" s="65">
        <f>IFERROR(__xludf.DUMMYFUNCTION("""COMPUTED_VALUE"""),4126603.0)</f>
        <v>4126603</v>
      </c>
      <c r="C1872" s="65" t="str">
        <f>IFERROR(__xludf.DUMMYFUNCTION("""COMPUTED_VALUE"""),"00:06")</f>
        <v>00:06</v>
      </c>
      <c r="D1872" s="65" t="str">
        <f>IFERROR(__xludf.DUMMYFUNCTION("""COMPUTED_VALUE"""),"13-01-2026")</f>
        <v>13-01-2026</v>
      </c>
      <c r="E1872" s="65" t="str">
        <f>IFERROR(__xludf.DUMMYFUNCTION("""COMPUTED_VALUE"""),"Jessica Salguero")</f>
        <v>Jessica Salguero</v>
      </c>
      <c r="F1872" s="65" t="str">
        <f>IFERROR(__xludf.DUMMYFUNCTION("""COMPUTED_VALUE"""),"999626247")</f>
        <v>999626247</v>
      </c>
      <c r="G1872" s="65" t="str">
        <f>IFERROR(__xludf.DUMMYFUNCTION("""COMPUTED_VALUE"""),"alexandrasanches311711@gmail.com")</f>
        <v>alexandrasanches311711@gmail.com</v>
      </c>
      <c r="H1872" s="65"/>
      <c r="I1872" s="65"/>
      <c r="J1872" s="65"/>
      <c r="K1872" s="65" t="str">
        <f>IFERROR(__xludf.DUMMYFUNCTION("""COMPUTED_VALUE"""),"PENDIENTE CONFIRMACION")</f>
        <v>PENDIENTE CONFIRMACION</v>
      </c>
      <c r="L1872" s="65" t="str">
        <f>IFERROR(__xludf.DUMMYFUNCTION("""COMPUTED_VALUE"""),"CON RECAUDO")</f>
        <v>CON RECAUDO</v>
      </c>
      <c r="M1872" s="65" t="str">
        <f>IFERROR(__xludf.DUMMYFUNCTION("""COMPUTED_VALUE"""),"PICHINCHA")</f>
        <v>PICHINCHA</v>
      </c>
      <c r="N1872" s="65" t="str">
        <f>IFERROR(__xludf.DUMMYFUNCTION("""COMPUTED_VALUE"""),"TUMBACO")</f>
        <v>TUMBACO</v>
      </c>
      <c r="O1872" s="65" t="str">
        <f>IFERROR(__xludf.DUMMYFUNCTION("""COMPUTED_VALUE"""),"Luisa de jesus 24 de julio -")</f>
        <v>Luisa de jesus 24 de julio -</v>
      </c>
      <c r="P1872" s="65"/>
      <c r="Q1872" s="65" t="str">
        <f>IFERROR(__xludf.DUMMYFUNCTION("""COMPUTED_VALUE"""),"GINTRACOM")</f>
        <v>GINTRACOM</v>
      </c>
      <c r="R1872" s="65">
        <f>IFERROR(__xludf.DUMMYFUNCTION("""COMPUTED_VALUE"""),25.0)</f>
        <v>25</v>
      </c>
      <c r="S1872" s="65"/>
      <c r="T1872" s="65">
        <f>IFERROR(__xludf.DUMMYFUNCTION("""COMPUTED_VALUE"""),4.92)</f>
        <v>4.92</v>
      </c>
      <c r="U1872" s="65">
        <f>IFERROR(__xludf.DUMMYFUNCTION("""COMPUTED_VALUE"""),0.0)</f>
        <v>0</v>
      </c>
      <c r="V1872" s="65">
        <f>IFERROR(__xludf.DUMMYFUNCTION("""COMPUTED_VALUE"""),0.0)</f>
        <v>0</v>
      </c>
      <c r="W1872" s="65">
        <f>IFERROR(__xludf.DUMMYFUNCTION("""COMPUTED_VALUE"""),0.0)</f>
        <v>0</v>
      </c>
      <c r="X1872" s="65">
        <f>IFERROR(__xludf.DUMMYFUNCTION("""COMPUTED_VALUE"""),2.35)</f>
        <v>2.35</v>
      </c>
      <c r="Y1872" s="65">
        <f>IFERROR(__xludf.DUMMYFUNCTION("""COMPUTED_VALUE"""),4.7)</f>
        <v>4.7</v>
      </c>
      <c r="Z1872" s="65">
        <f>IFERROR(__xludf.DUMMYFUNCTION("""COMPUTED_VALUE"""),116679.0)</f>
        <v>116679</v>
      </c>
      <c r="AA1872" s="65" t="str">
        <f>IFERROR(__xludf.DUMMYFUNCTION("""COMPUTED_VALUE"""),"AMC-2738")</f>
        <v>AMC-2738</v>
      </c>
      <c r="AB1872" s="65"/>
      <c r="AC1872" s="65" t="str">
        <f>IFERROR(__xludf.DUMMYFUNCTION("""COMPUTED_VALUE"""),"ESPONJA ANTILLUVIA DE PARABRISAS")</f>
        <v>ESPONJA ANTILLUVIA DE PARABRISAS</v>
      </c>
      <c r="AD1872" s="65"/>
      <c r="AE1872" s="65">
        <f>IFERROR(__xludf.DUMMYFUNCTION("""COMPUTED_VALUE"""),2.0)</f>
        <v>2</v>
      </c>
      <c r="AF1872" s="65"/>
      <c r="AG1872" s="65"/>
      <c r="AH1872" s="65"/>
      <c r="AI1872" s="65"/>
      <c r="AJ1872" s="65"/>
      <c r="AK1872" s="65"/>
      <c r="AL1872" s="65"/>
      <c r="AM1872" s="65"/>
      <c r="AN1872" s="65"/>
      <c r="AO1872" s="65"/>
      <c r="AP1872" s="65"/>
      <c r="AQ1872" s="65"/>
      <c r="AR1872" s="65"/>
      <c r="AS1872" s="65"/>
      <c r="AT1872" s="65" t="str">
        <f>IFERROR(__xludf.DUMMYFUNCTION("""COMPUTED_VALUE"""),"SHOPIFY")</f>
        <v>SHOPIFY</v>
      </c>
      <c r="AU1872" s="65" t="str">
        <f>IFERROR(__xludf.DUMMYFUNCTION("""COMPUTED_VALUE"""),"IMPORTEX EC")</f>
        <v>IMPORTEX EC</v>
      </c>
      <c r="AV1872" s="65" t="str">
        <f>IFERROR(__xludf.DUMMYFUNCTION("""COMPUTED_VALUE"""),"6410592321580")</f>
        <v>6410592321580</v>
      </c>
      <c r="AW1872" s="65">
        <f>IFERROR(__xludf.DUMMYFUNCTION("""COMPUTED_VALUE"""),5080.0)</f>
        <v>5080</v>
      </c>
      <c r="AX1872" s="65"/>
      <c r="AY1872" s="65"/>
      <c r="AZ1872" s="65"/>
      <c r="BA1872" s="65"/>
    </row>
    <row r="1873">
      <c r="A1873" s="65" t="str">
        <f>IFERROR(__xludf.DUMMYFUNCTION("""COMPUTED_VALUE"""),"27-03-2026")</f>
        <v>27-03-2026</v>
      </c>
      <c r="B1873" s="65">
        <f>IFERROR(__xludf.DUMMYFUNCTION("""COMPUTED_VALUE"""),4126582.0)</f>
        <v>4126582</v>
      </c>
      <c r="C1873" s="65" t="str">
        <f>IFERROR(__xludf.DUMMYFUNCTION("""COMPUTED_VALUE"""),"00:02")</f>
        <v>00:02</v>
      </c>
      <c r="D1873" s="65" t="str">
        <f>IFERROR(__xludf.DUMMYFUNCTION("""COMPUTED_VALUE"""),"13-01-2026")</f>
        <v>13-01-2026</v>
      </c>
      <c r="E1873" s="65" t="str">
        <f>IFERROR(__xludf.DUMMYFUNCTION("""COMPUTED_VALUE"""),"Karina Romero")</f>
        <v>Karina Romero</v>
      </c>
      <c r="F1873" s="65" t="str">
        <f>IFERROR(__xludf.DUMMYFUNCTION("""COMPUTED_VALUE"""),"994668764")</f>
        <v>994668764</v>
      </c>
      <c r="G1873" s="65" t="str">
        <f>IFERROR(__xludf.DUMMYFUNCTION("""COMPUTED_VALUE"""),"kerl34ec@gmail.com")</f>
        <v>kerl34ec@gmail.com</v>
      </c>
      <c r="H1873" s="65"/>
      <c r="I1873" s="65"/>
      <c r="J1873" s="65" t="str">
        <f>IFERROR(__xludf.DUMMYFUNCTION("""COMPUTED_VALUE"""),"D001219433")</f>
        <v>D001219433</v>
      </c>
      <c r="K1873" s="65" t="str">
        <f>IFERROR(__xludf.DUMMYFUNCTION("""COMPUTED_VALUE"""),"ENTREGADO")</f>
        <v>ENTREGADO</v>
      </c>
      <c r="L1873" s="65" t="str">
        <f>IFERROR(__xludf.DUMMYFUNCTION("""COMPUTED_VALUE"""),"CON RECAUDO")</f>
        <v>CON RECAUDO</v>
      </c>
      <c r="M1873" s="65" t="str">
        <f>IFERROR(__xludf.DUMMYFUNCTION("""COMPUTED_VALUE"""),"GUAYAS")</f>
        <v>GUAYAS</v>
      </c>
      <c r="N1873" s="65" t="str">
        <f>IFERROR(__xludf.DUMMYFUNCTION("""COMPUTED_VALUE"""),"GUAYAQUIL")</f>
        <v>GUAYAQUIL</v>
      </c>
      <c r="O1873" s="65" t="str">
        <f>IFERROR(__xludf.DUMMYFUNCTION("""COMPUTED_VALUE"""),"Planta Tonicorp / Km 17.5 Av. Francisco de Orellana junto a la Gasolinera Más Gas La Aurora, Vía a Pascuales -")</f>
        <v>Planta Tonicorp / Km 17.5 Av. Francisco de Orellana junto a la Gasolinera Más Gas La Aurora, Vía a Pascuales -</v>
      </c>
      <c r="P1873" s="65"/>
      <c r="Q1873" s="65" t="str">
        <f>IFERROR(__xludf.DUMMYFUNCTION("""COMPUTED_VALUE"""),"GINTRACOM")</f>
        <v>GINTRACOM</v>
      </c>
      <c r="R1873" s="65">
        <f>IFERROR(__xludf.DUMMYFUNCTION("""COMPUTED_VALUE"""),30.0)</f>
        <v>30</v>
      </c>
      <c r="S1873" s="65">
        <f>IFERROR(__xludf.DUMMYFUNCTION("""COMPUTED_VALUE"""),16.79)</f>
        <v>16.79</v>
      </c>
      <c r="T1873" s="65">
        <f>IFERROR(__xludf.DUMMYFUNCTION("""COMPUTED_VALUE"""),6.16)</f>
        <v>6.16</v>
      </c>
      <c r="U1873" s="65">
        <f>IFERROR(__xludf.DUMMYFUNCTION("""COMPUTED_VALUE"""),0.0)</f>
        <v>0</v>
      </c>
      <c r="V1873" s="65">
        <f>IFERROR(__xludf.DUMMYFUNCTION("""COMPUTED_VALUE"""),0.0)</f>
        <v>0</v>
      </c>
      <c r="W1873" s="65">
        <f>IFERROR(__xludf.DUMMYFUNCTION("""COMPUTED_VALUE"""),0.0)</f>
        <v>0</v>
      </c>
      <c r="X1873" s="65">
        <f>IFERROR(__xludf.DUMMYFUNCTION("""COMPUTED_VALUE"""),2.35)</f>
        <v>2.35</v>
      </c>
      <c r="Y1873" s="65">
        <f>IFERROR(__xludf.DUMMYFUNCTION("""COMPUTED_VALUE"""),7.05)</f>
        <v>7.05</v>
      </c>
      <c r="Z1873" s="65">
        <f>IFERROR(__xludf.DUMMYFUNCTION("""COMPUTED_VALUE"""),116679.0)</f>
        <v>116679</v>
      </c>
      <c r="AA1873" s="65" t="str">
        <f>IFERROR(__xludf.DUMMYFUNCTION("""COMPUTED_VALUE"""),"AMC-2738")</f>
        <v>AMC-2738</v>
      </c>
      <c r="AB1873" s="65"/>
      <c r="AC1873" s="65" t="str">
        <f>IFERROR(__xludf.DUMMYFUNCTION("""COMPUTED_VALUE"""),"ESPONJA ANTILLUVIA DE PARABRISAS")</f>
        <v>ESPONJA ANTILLUVIA DE PARABRISAS</v>
      </c>
      <c r="AD1873" s="65"/>
      <c r="AE1873" s="65">
        <f>IFERROR(__xludf.DUMMYFUNCTION("""COMPUTED_VALUE"""),3.0)</f>
        <v>3</v>
      </c>
      <c r="AF1873" s="65" t="str">
        <f>IFERROR(__xludf.DUMMYFUNCTION("""COMPUTED_VALUE"""),"DESTINATARIO NO CONTESTA LLAMADAS NI WHATSAPP")</f>
        <v>DESTINATARIO NO CONTESTA LLAMADAS NI WHATSAPP</v>
      </c>
      <c r="AG1873" s="65" t="str">
        <f>IFERROR(__xludf.DUMMYFUNCTION("""COMPUTED_VALUE"""),"SI")</f>
        <v>SI</v>
      </c>
      <c r="AH1873" s="65" t="str">
        <f>IFERROR(__xludf.DUMMYFUNCTION("""COMPUTED_VALUE"""),"09:00")</f>
        <v>09:00</v>
      </c>
      <c r="AI1873" s="65" t="str">
        <f>IFERROR(__xludf.DUMMYFUNCTION("""COMPUTED_VALUE"""),"20-01-2026")</f>
        <v>20-01-2026</v>
      </c>
      <c r="AJ1873" s="65"/>
      <c r="AK1873" s="65"/>
      <c r="AL1873" s="65"/>
      <c r="AM1873" s="65"/>
      <c r="AN1873" s="65" t="str">
        <f>IFERROR(__xludf.DUMMYFUNCTION("""COMPUTED_VALUE"""),"15:51")</f>
        <v>15:51</v>
      </c>
      <c r="AO1873" s="65" t="str">
        <f>IFERROR(__xludf.DUMMYFUNCTION("""COMPUTED_VALUE"""),"21-01-2026")</f>
        <v>21-01-2026</v>
      </c>
      <c r="AP1873" s="65" t="str">
        <f>IFERROR(__xludf.DUMMYFUNCTION("""COMPUTED_VALUE"""),"ENTREGADA GINTRACOM")</f>
        <v>ENTREGADA GINTRACOM</v>
      </c>
      <c r="AQ1873" s="65" t="str">
        <f>IFERROR(__xludf.DUMMYFUNCTION("""COMPUTED_VALUE"""),"ENTREGADA GINTRACOM")</f>
        <v>ENTREGADA GINTRACOM</v>
      </c>
      <c r="AR1873" s="65"/>
      <c r="AS1873" s="65"/>
      <c r="AT1873" s="65" t="str">
        <f>IFERROR(__xludf.DUMMYFUNCTION("""COMPUTED_VALUE"""),"SHOPIFY")</f>
        <v>SHOPIFY</v>
      </c>
      <c r="AU1873" s="65" t="str">
        <f>IFERROR(__xludf.DUMMYFUNCTION("""COMPUTED_VALUE"""),"IMPORTEX EC")</f>
        <v>IMPORTEX EC</v>
      </c>
      <c r="AV1873" s="65" t="str">
        <f>IFERROR(__xludf.DUMMYFUNCTION("""COMPUTED_VALUE"""),"6410586488876")</f>
        <v>6410586488876</v>
      </c>
      <c r="AW1873" s="65">
        <f>IFERROR(__xludf.DUMMYFUNCTION("""COMPUTED_VALUE"""),5079.0)</f>
        <v>5079</v>
      </c>
      <c r="AX1873" s="65"/>
      <c r="AY1873" s="65" t="str">
        <f>IFERROR(__xludf.DUMMYFUNCTION("""COMPUTED_VALUE"""),"13/01/2026")</f>
        <v>13/01/2026</v>
      </c>
      <c r="AZ1873" s="65"/>
      <c r="BA1873" s="65"/>
    </row>
    <row r="1874">
      <c r="A1874" s="65" t="str">
        <f>IFERROR(__xludf.DUMMYFUNCTION("""COMPUTED_VALUE"""),"27-03-2026")</f>
        <v>27-03-2026</v>
      </c>
      <c r="B1874" s="65">
        <f>IFERROR(__xludf.DUMMYFUNCTION("""COMPUTED_VALUE"""),4126539.0)</f>
        <v>4126539</v>
      </c>
      <c r="C1874" s="65" t="str">
        <f>IFERROR(__xludf.DUMMYFUNCTION("""COMPUTED_VALUE"""),"23:54")</f>
        <v>23:54</v>
      </c>
      <c r="D1874" s="65" t="str">
        <f>IFERROR(__xludf.DUMMYFUNCTION("""COMPUTED_VALUE"""),"12-01-2026")</f>
        <v>12-01-2026</v>
      </c>
      <c r="E1874" s="65" t="str">
        <f>IFERROR(__xludf.DUMMYFUNCTION("""COMPUTED_VALUE"""),"Solange Arcos")</f>
        <v>Solange Arcos</v>
      </c>
      <c r="F1874" s="65" t="str">
        <f>IFERROR(__xludf.DUMMYFUNCTION("""COMPUTED_VALUE"""),"994733130")</f>
        <v>994733130</v>
      </c>
      <c r="G1874" s="65" t="str">
        <f>IFERROR(__xludf.DUMMYFUNCTION("""COMPUTED_VALUE"""),"kattyp-1994@hotmail.com")</f>
        <v>kattyp-1994@hotmail.com</v>
      </c>
      <c r="H1874" s="65"/>
      <c r="I1874" s="65"/>
      <c r="J1874" s="65"/>
      <c r="K1874" s="65" t="str">
        <f>IFERROR(__xludf.DUMMYFUNCTION("""COMPUTED_VALUE"""),"PENDIENTE CONFIRMACION")</f>
        <v>PENDIENTE CONFIRMACION</v>
      </c>
      <c r="L1874" s="65" t="str">
        <f>IFERROR(__xludf.DUMMYFUNCTION("""COMPUTED_VALUE"""),"CON RECAUDO")</f>
        <v>CON RECAUDO</v>
      </c>
      <c r="M1874" s="65" t="str">
        <f>IFERROR(__xludf.DUMMYFUNCTION("""COMPUTED_VALUE"""),"LOS RIOS")</f>
        <v>LOS RIOS</v>
      </c>
      <c r="N1874" s="65" t="str">
        <f>IFERROR(__xludf.DUMMYFUNCTION("""COMPUTED_VALUE"""),"QUEVEDO")</f>
        <v>QUEVEDO</v>
      </c>
      <c r="O1874" s="65" t="str">
        <f>IFERROR(__xludf.DUMMYFUNCTION("""COMPUTED_VALUE"""),"Ciudadela Las AmÉricas Av. Walter Andrade, calle 1ra -")</f>
        <v>Ciudadela Las AmÉricas Av. Walter Andrade, calle 1ra -</v>
      </c>
      <c r="P1874" s="65"/>
      <c r="Q1874" s="65" t="str">
        <f>IFERROR(__xludf.DUMMYFUNCTION("""COMPUTED_VALUE"""),"GINTRACOM")</f>
        <v>GINTRACOM</v>
      </c>
      <c r="R1874" s="65">
        <f>IFERROR(__xludf.DUMMYFUNCTION("""COMPUTED_VALUE"""),30.0)</f>
        <v>30</v>
      </c>
      <c r="S1874" s="65"/>
      <c r="T1874" s="65">
        <f>IFERROR(__xludf.DUMMYFUNCTION("""COMPUTED_VALUE"""),6.16)</f>
        <v>6.16</v>
      </c>
      <c r="U1874" s="65">
        <f>IFERROR(__xludf.DUMMYFUNCTION("""COMPUTED_VALUE"""),0.0)</f>
        <v>0</v>
      </c>
      <c r="V1874" s="65">
        <f>IFERROR(__xludf.DUMMYFUNCTION("""COMPUTED_VALUE"""),0.0)</f>
        <v>0</v>
      </c>
      <c r="W1874" s="65">
        <f>IFERROR(__xludf.DUMMYFUNCTION("""COMPUTED_VALUE"""),0.0)</f>
        <v>0</v>
      </c>
      <c r="X1874" s="65">
        <f>IFERROR(__xludf.DUMMYFUNCTION("""COMPUTED_VALUE"""),2.35)</f>
        <v>2.35</v>
      </c>
      <c r="Y1874" s="65">
        <f>IFERROR(__xludf.DUMMYFUNCTION("""COMPUTED_VALUE"""),7.05)</f>
        <v>7.05</v>
      </c>
      <c r="Z1874" s="65">
        <f>IFERROR(__xludf.DUMMYFUNCTION("""COMPUTED_VALUE"""),116679.0)</f>
        <v>116679</v>
      </c>
      <c r="AA1874" s="65" t="str">
        <f>IFERROR(__xludf.DUMMYFUNCTION("""COMPUTED_VALUE"""),"AMC-2738")</f>
        <v>AMC-2738</v>
      </c>
      <c r="AB1874" s="65"/>
      <c r="AC1874" s="65" t="str">
        <f>IFERROR(__xludf.DUMMYFUNCTION("""COMPUTED_VALUE"""),"ESPONJA ANTILLUVIA DE PARABRISAS")</f>
        <v>ESPONJA ANTILLUVIA DE PARABRISAS</v>
      </c>
      <c r="AD1874" s="65"/>
      <c r="AE1874" s="65">
        <f>IFERROR(__xludf.DUMMYFUNCTION("""COMPUTED_VALUE"""),3.0)</f>
        <v>3</v>
      </c>
      <c r="AF1874" s="65"/>
      <c r="AG1874" s="65"/>
      <c r="AH1874" s="65"/>
      <c r="AI1874" s="65"/>
      <c r="AJ1874" s="65"/>
      <c r="AK1874" s="65"/>
      <c r="AL1874" s="65"/>
      <c r="AM1874" s="65"/>
      <c r="AN1874" s="65"/>
      <c r="AO1874" s="65"/>
      <c r="AP1874" s="65"/>
      <c r="AQ1874" s="65"/>
      <c r="AR1874" s="65"/>
      <c r="AS1874" s="65"/>
      <c r="AT1874" s="65" t="str">
        <f>IFERROR(__xludf.DUMMYFUNCTION("""COMPUTED_VALUE"""),"SHOPIFY")</f>
        <v>SHOPIFY</v>
      </c>
      <c r="AU1874" s="65" t="str">
        <f>IFERROR(__xludf.DUMMYFUNCTION("""COMPUTED_VALUE"""),"IMPORTEX EC")</f>
        <v>IMPORTEX EC</v>
      </c>
      <c r="AV1874" s="65" t="str">
        <f>IFERROR(__xludf.DUMMYFUNCTION("""COMPUTED_VALUE"""),"6410578198572")</f>
        <v>6410578198572</v>
      </c>
      <c r="AW1874" s="65">
        <f>IFERROR(__xludf.DUMMYFUNCTION("""COMPUTED_VALUE"""),5078.0)</f>
        <v>5078</v>
      </c>
      <c r="AX1874" s="65"/>
      <c r="AY1874" s="65"/>
      <c r="AZ1874" s="65"/>
      <c r="BA1874" s="65"/>
    </row>
    <row r="1875">
      <c r="A1875" s="65" t="str">
        <f>IFERROR(__xludf.DUMMYFUNCTION("""COMPUTED_VALUE"""),"27-03-2026")</f>
        <v>27-03-2026</v>
      </c>
      <c r="B1875" s="65">
        <f>IFERROR(__xludf.DUMMYFUNCTION("""COMPUTED_VALUE"""),4126411.0)</f>
        <v>4126411</v>
      </c>
      <c r="C1875" s="65" t="str">
        <f>IFERROR(__xludf.DUMMYFUNCTION("""COMPUTED_VALUE"""),"23:38")</f>
        <v>23:38</v>
      </c>
      <c r="D1875" s="65" t="str">
        <f>IFERROR(__xludf.DUMMYFUNCTION("""COMPUTED_VALUE"""),"12-01-2026")</f>
        <v>12-01-2026</v>
      </c>
      <c r="E1875" s="65" t="str">
        <f>IFERROR(__xludf.DUMMYFUNCTION("""COMPUTED_VALUE"""),"Sebastian Marín")</f>
        <v>Sebastian Marín</v>
      </c>
      <c r="F1875" s="65" t="str">
        <f>IFERROR(__xludf.DUMMYFUNCTION("""COMPUTED_VALUE"""),"989578884")</f>
        <v>989578884</v>
      </c>
      <c r="G1875" s="65"/>
      <c r="H1875" s="65"/>
      <c r="I1875" s="65"/>
      <c r="J1875" s="65"/>
      <c r="K1875" s="65" t="str">
        <f>IFERROR(__xludf.DUMMYFUNCTION("""COMPUTED_VALUE"""),"PENDIENTE CONFIRMACION")</f>
        <v>PENDIENTE CONFIRMACION</v>
      </c>
      <c r="L1875" s="65" t="str">
        <f>IFERROR(__xludf.DUMMYFUNCTION("""COMPUTED_VALUE"""),"CON RECAUDO")</f>
        <v>CON RECAUDO</v>
      </c>
      <c r="M1875" s="65" t="str">
        <f>IFERROR(__xludf.DUMMYFUNCTION("""COMPUTED_VALUE"""),"LOS RIOS")</f>
        <v>LOS RIOS</v>
      </c>
      <c r="N1875" s="65" t="str">
        <f>IFERROR(__xludf.DUMMYFUNCTION("""COMPUTED_VALUE"""),"VENTANAS")</f>
        <v>VENTANAS</v>
      </c>
      <c r="O1875" s="65" t="str">
        <f>IFERROR(__xludf.DUMMYFUNCTION("""COMPUTED_VALUE"""),"Carlos Ruiz y seis de octubre Sector del cementerio -")</f>
        <v>Carlos Ruiz y seis de octubre Sector del cementerio -</v>
      </c>
      <c r="P1875" s="65"/>
      <c r="Q1875" s="65" t="str">
        <f>IFERROR(__xludf.DUMMYFUNCTION("""COMPUTED_VALUE"""),"GINTRACOM")</f>
        <v>GINTRACOM</v>
      </c>
      <c r="R1875" s="65">
        <f>IFERROR(__xludf.DUMMYFUNCTION("""COMPUTED_VALUE"""),22.0)</f>
        <v>22</v>
      </c>
      <c r="S1875" s="65"/>
      <c r="T1875" s="65">
        <f>IFERROR(__xludf.DUMMYFUNCTION("""COMPUTED_VALUE"""),5.84)</f>
        <v>5.84</v>
      </c>
      <c r="U1875" s="65">
        <f>IFERROR(__xludf.DUMMYFUNCTION("""COMPUTED_VALUE"""),0.0)</f>
        <v>0</v>
      </c>
      <c r="V1875" s="65">
        <f>IFERROR(__xludf.DUMMYFUNCTION("""COMPUTED_VALUE"""),0.0)</f>
        <v>0</v>
      </c>
      <c r="W1875" s="65">
        <f>IFERROR(__xludf.DUMMYFUNCTION("""COMPUTED_VALUE"""),0.0)</f>
        <v>0</v>
      </c>
      <c r="X1875" s="65">
        <f>IFERROR(__xludf.DUMMYFUNCTION("""COMPUTED_VALUE"""),2.6)</f>
        <v>2.6</v>
      </c>
      <c r="Y1875" s="65">
        <f>IFERROR(__xludf.DUMMYFUNCTION("""COMPUTED_VALUE"""),5.2)</f>
        <v>5.2</v>
      </c>
      <c r="Z1875" s="65">
        <f>IFERROR(__xludf.DUMMYFUNCTION("""COMPUTED_VALUE"""),121983.0)</f>
        <v>121983</v>
      </c>
      <c r="AA1875" s="65" t="str">
        <f>IFERROR(__xludf.DUMMYFUNCTION("""COMPUTED_VALUE"""),"PROV-CHLLCF")</f>
        <v>PROV-CHLLCF</v>
      </c>
      <c r="AB1875" s="65"/>
      <c r="AC1875" s="65" t="str">
        <f>IFERROR(__xludf.DUMMYFUNCTION("""COMPUTED_VALUE"""),"CUCHILLO PARA CHEF")</f>
        <v>CUCHILLO PARA CHEF</v>
      </c>
      <c r="AD1875" s="65"/>
      <c r="AE1875" s="65">
        <f>IFERROR(__xludf.DUMMYFUNCTION("""COMPUTED_VALUE"""),2.0)</f>
        <v>2</v>
      </c>
      <c r="AF1875" s="65"/>
      <c r="AG1875" s="65"/>
      <c r="AH1875" s="65"/>
      <c r="AI1875" s="65"/>
      <c r="AJ1875" s="65"/>
      <c r="AK1875" s="65"/>
      <c r="AL1875" s="65"/>
      <c r="AM1875" s="65"/>
      <c r="AN1875" s="65"/>
      <c r="AO1875" s="65"/>
      <c r="AP1875" s="65"/>
      <c r="AQ1875" s="65"/>
      <c r="AR1875" s="65"/>
      <c r="AS1875" s="65"/>
      <c r="AT1875" s="65" t="str">
        <f>IFERROR(__xludf.DUMMYFUNCTION("""COMPUTED_VALUE"""),"SHOPIFY")</f>
        <v>SHOPIFY</v>
      </c>
      <c r="AU1875" s="65" t="str">
        <f>IFERROR(__xludf.DUMMYFUNCTION("""COMPUTED_VALUE"""),"IMPORTEX EC")</f>
        <v>IMPORTEX EC</v>
      </c>
      <c r="AV1875" s="65" t="str">
        <f>IFERROR(__xludf.DUMMYFUNCTION("""COMPUTED_VALUE"""),"6410558865452")</f>
        <v>6410558865452</v>
      </c>
      <c r="AW1875" s="65">
        <f>IFERROR(__xludf.DUMMYFUNCTION("""COMPUTED_VALUE"""),5077.0)</f>
        <v>5077</v>
      </c>
      <c r="AX1875" s="65"/>
      <c r="AY1875" s="65"/>
      <c r="AZ1875" s="65"/>
      <c r="BA1875" s="65"/>
    </row>
    <row r="1876">
      <c r="A1876" s="65" t="str">
        <f>IFERROR(__xludf.DUMMYFUNCTION("""COMPUTED_VALUE"""),"27-03-2026")</f>
        <v>27-03-2026</v>
      </c>
      <c r="B1876" s="65">
        <f>IFERROR(__xludf.DUMMYFUNCTION("""COMPUTED_VALUE"""),4126396.0)</f>
        <v>4126396</v>
      </c>
      <c r="C1876" s="65" t="str">
        <f>IFERROR(__xludf.DUMMYFUNCTION("""COMPUTED_VALUE"""),"23:36")</f>
        <v>23:36</v>
      </c>
      <c r="D1876" s="65" t="str">
        <f>IFERROR(__xludf.DUMMYFUNCTION("""COMPUTED_VALUE"""),"12-01-2026")</f>
        <v>12-01-2026</v>
      </c>
      <c r="E1876" s="65" t="str">
        <f>IFERROR(__xludf.DUMMYFUNCTION("""COMPUTED_VALUE"""),"Douglas Johny Heredia Parra")</f>
        <v>Douglas Johny Heredia Parra</v>
      </c>
      <c r="F1876" s="65" t="str">
        <f>IFERROR(__xludf.DUMMYFUNCTION("""COMPUTED_VALUE"""),"999450244")</f>
        <v>999450244</v>
      </c>
      <c r="G1876" s="65" t="str">
        <f>IFERROR(__xludf.DUMMYFUNCTION("""COMPUTED_VALUE"""),"doujoh1207@gmail.com")</f>
        <v>doujoh1207@gmail.com</v>
      </c>
      <c r="H1876" s="65"/>
      <c r="I1876" s="65"/>
      <c r="J1876" s="65" t="str">
        <f>IFERROR(__xludf.DUMMYFUNCTION("""COMPUTED_VALUE"""),"D001223016")</f>
        <v>D001223016</v>
      </c>
      <c r="K1876" s="65" t="str">
        <f>IFERROR(__xludf.DUMMYFUNCTION("""COMPUTED_VALUE"""),"ENTREGADO")</f>
        <v>ENTREGADO</v>
      </c>
      <c r="L1876" s="65" t="str">
        <f>IFERROR(__xludf.DUMMYFUNCTION("""COMPUTED_VALUE"""),"CON RECAUDO")</f>
        <v>CON RECAUDO</v>
      </c>
      <c r="M1876" s="65" t="str">
        <f>IFERROR(__xludf.DUMMYFUNCTION("""COMPUTED_VALUE"""),"MANABI")</f>
        <v>MANABI</v>
      </c>
      <c r="N1876" s="65" t="str">
        <f>IFERROR(__xludf.DUMMYFUNCTION("""COMPUTED_VALUE"""),"MANTA")</f>
        <v>MANTA</v>
      </c>
      <c r="O1876" s="65" t="str">
        <f>IFERROR(__xludf.DUMMYFUNCTION("""COMPUTED_VALUE"""),"Av 23 Y circunvalación, número de casa: Mall del Pacífico, frente al KFC Coco Manta, diagonal al Hotel Oro Verde.")</f>
        <v>Av 23 Y circunvalación, número de casa: Mall del Pacífico, frente al KFC Coco Manta, diagonal al Hotel Oro Verde.</v>
      </c>
      <c r="P1876" s="65"/>
      <c r="Q1876" s="65" t="str">
        <f>IFERROR(__xludf.DUMMYFUNCTION("""COMPUTED_VALUE"""),"GINTRACOM")</f>
        <v>GINTRACOM</v>
      </c>
      <c r="R1876" s="65">
        <f>IFERROR(__xludf.DUMMYFUNCTION("""COMPUTED_VALUE"""),22.0)</f>
        <v>22</v>
      </c>
      <c r="S1876" s="65">
        <f>IFERROR(__xludf.DUMMYFUNCTION("""COMPUTED_VALUE"""),10.96)</f>
        <v>10.96</v>
      </c>
      <c r="T1876" s="65">
        <f>IFERROR(__xludf.DUMMYFUNCTION("""COMPUTED_VALUE"""),5.84)</f>
        <v>5.84</v>
      </c>
      <c r="U1876" s="65">
        <f>IFERROR(__xludf.DUMMYFUNCTION("""COMPUTED_VALUE"""),0.0)</f>
        <v>0</v>
      </c>
      <c r="V1876" s="65">
        <f>IFERROR(__xludf.DUMMYFUNCTION("""COMPUTED_VALUE"""),0.0)</f>
        <v>0</v>
      </c>
      <c r="W1876" s="65">
        <f>IFERROR(__xludf.DUMMYFUNCTION("""COMPUTED_VALUE"""),0.0)</f>
        <v>0</v>
      </c>
      <c r="X1876" s="65">
        <f>IFERROR(__xludf.DUMMYFUNCTION("""COMPUTED_VALUE"""),2.6)</f>
        <v>2.6</v>
      </c>
      <c r="Y1876" s="65">
        <f>IFERROR(__xludf.DUMMYFUNCTION("""COMPUTED_VALUE"""),5.2)</f>
        <v>5.2</v>
      </c>
      <c r="Z1876" s="65">
        <f>IFERROR(__xludf.DUMMYFUNCTION("""COMPUTED_VALUE"""),121983.0)</f>
        <v>121983</v>
      </c>
      <c r="AA1876" s="65" t="str">
        <f>IFERROR(__xludf.DUMMYFUNCTION("""COMPUTED_VALUE"""),"PROV-CHLLCF")</f>
        <v>PROV-CHLLCF</v>
      </c>
      <c r="AB1876" s="65"/>
      <c r="AC1876" s="65" t="str">
        <f>IFERROR(__xludf.DUMMYFUNCTION("""COMPUTED_VALUE"""),"CUCHILLO PARA CHEF")</f>
        <v>CUCHILLO PARA CHEF</v>
      </c>
      <c r="AD1876" s="65"/>
      <c r="AE1876" s="65">
        <f>IFERROR(__xludf.DUMMYFUNCTION("""COMPUTED_VALUE"""),2.0)</f>
        <v>2</v>
      </c>
      <c r="AF1876" s="65"/>
      <c r="AG1876" s="65"/>
      <c r="AH1876" s="65"/>
      <c r="AI1876" s="65"/>
      <c r="AJ1876" s="65"/>
      <c r="AK1876" s="65"/>
      <c r="AL1876" s="65"/>
      <c r="AM1876" s="65"/>
      <c r="AN1876" s="65" t="str">
        <f>IFERROR(__xludf.DUMMYFUNCTION("""COMPUTED_VALUE"""),"10:34")</f>
        <v>10:34</v>
      </c>
      <c r="AO1876" s="65" t="str">
        <f>IFERROR(__xludf.DUMMYFUNCTION("""COMPUTED_VALUE"""),"16-01-2026")</f>
        <v>16-01-2026</v>
      </c>
      <c r="AP1876" s="65" t="str">
        <f>IFERROR(__xludf.DUMMYFUNCTION("""COMPUTED_VALUE"""),"EN REPARTO")</f>
        <v>EN REPARTO</v>
      </c>
      <c r="AQ1876" s="65" t="str">
        <f>IFERROR(__xludf.DUMMYFUNCTION("""COMPUTED_VALUE"""),"EN REPARTO")</f>
        <v>EN REPARTO</v>
      </c>
      <c r="AR1876" s="65"/>
      <c r="AS1876" s="65"/>
      <c r="AT1876" s="65" t="str">
        <f>IFERROR(__xludf.DUMMYFUNCTION("""COMPUTED_VALUE"""),"SHOPIFY")</f>
        <v>SHOPIFY</v>
      </c>
      <c r="AU1876" s="65" t="str">
        <f>IFERROR(__xludf.DUMMYFUNCTION("""COMPUTED_VALUE"""),"IMPORTEX EC")</f>
        <v>IMPORTEX EC</v>
      </c>
      <c r="AV1876" s="65" t="str">
        <f>IFERROR(__xludf.DUMMYFUNCTION("""COMPUTED_VALUE"""),"6410556145708")</f>
        <v>6410556145708</v>
      </c>
      <c r="AW1876" s="65">
        <f>IFERROR(__xludf.DUMMYFUNCTION("""COMPUTED_VALUE"""),5076.0)</f>
        <v>5076</v>
      </c>
      <c r="AX1876" s="65"/>
      <c r="AY1876" s="65" t="str">
        <f>IFERROR(__xludf.DUMMYFUNCTION("""COMPUTED_VALUE"""),"14/01/2026")</f>
        <v>14/01/2026</v>
      </c>
      <c r="AZ1876" s="65"/>
      <c r="BA1876" s="65"/>
    </row>
    <row r="1877">
      <c r="A1877" s="65" t="str">
        <f>IFERROR(__xludf.DUMMYFUNCTION("""COMPUTED_VALUE"""),"27-03-2026")</f>
        <v>27-03-2026</v>
      </c>
      <c r="B1877" s="65">
        <f>IFERROR(__xludf.DUMMYFUNCTION("""COMPUTED_VALUE"""),4126196.0)</f>
        <v>4126196</v>
      </c>
      <c r="C1877" s="65" t="str">
        <f>IFERROR(__xludf.DUMMYFUNCTION("""COMPUTED_VALUE"""),"23:15")</f>
        <v>23:15</v>
      </c>
      <c r="D1877" s="65" t="str">
        <f>IFERROR(__xludf.DUMMYFUNCTION("""COMPUTED_VALUE"""),"12-01-2026")</f>
        <v>12-01-2026</v>
      </c>
      <c r="E1877" s="65" t="str">
        <f>IFERROR(__xludf.DUMMYFUNCTION("""COMPUTED_VALUE"""),"Marcelo Menéndez")</f>
        <v>Marcelo Menéndez</v>
      </c>
      <c r="F1877" s="65" t="str">
        <f>IFERROR(__xludf.DUMMYFUNCTION("""COMPUTED_VALUE"""),"980774230")</f>
        <v>980774230</v>
      </c>
      <c r="G1877" s="65" t="str">
        <f>IFERROR(__xludf.DUMMYFUNCTION("""COMPUTED_VALUE"""),"marcelo2003menendez@gmail.com")</f>
        <v>marcelo2003menendez@gmail.com</v>
      </c>
      <c r="H1877" s="65"/>
      <c r="I1877" s="65"/>
      <c r="J1877" s="65" t="str">
        <f>IFERROR(__xludf.DUMMYFUNCTION("""COMPUTED_VALUE"""),"186973347")</f>
        <v>186973347</v>
      </c>
      <c r="K1877" s="65" t="str">
        <f>IFERROR(__xludf.DUMMYFUNCTION("""COMPUTED_VALUE"""),"ENTREGADO")</f>
        <v>ENTREGADO</v>
      </c>
      <c r="L1877" s="65" t="str">
        <f>IFERROR(__xludf.DUMMYFUNCTION("""COMPUTED_VALUE"""),"CON RECAUDO")</f>
        <v>CON RECAUDO</v>
      </c>
      <c r="M1877" s="65" t="str">
        <f>IFERROR(__xludf.DUMMYFUNCTION("""COMPUTED_VALUE"""),"MANABI")</f>
        <v>MANABI</v>
      </c>
      <c r="N1877" s="65" t="str">
        <f>IFERROR(__xludf.DUMMYFUNCTION("""COMPUTED_VALUE"""),"JIPIJAPA")</f>
        <v>JIPIJAPA</v>
      </c>
      <c r="O1877" s="65" t="str">
        <f>IFERROR(__xludf.DUMMYFUNCTION("""COMPUTED_VALUE"""),"Calle Mejia (Av La Prensa) A 200 metros de la escuela Alejandro Humbold, ubicacion en Google Maps Nathii makeup -")</f>
        <v>Calle Mejia (Av La Prensa) A 200 metros de la escuela Alejandro Humbold, ubicacion en Google Maps Nathii makeup -</v>
      </c>
      <c r="P1877" s="65"/>
      <c r="Q1877" s="65" t="str">
        <f>IFERROR(__xludf.DUMMYFUNCTION("""COMPUTED_VALUE"""),"SERVIENTREGA")</f>
        <v>SERVIENTREGA</v>
      </c>
      <c r="R1877" s="65">
        <f>IFERROR(__xludf.DUMMYFUNCTION("""COMPUTED_VALUE"""),22.0)</f>
        <v>22</v>
      </c>
      <c r="S1877" s="65">
        <f>IFERROR(__xludf.DUMMYFUNCTION("""COMPUTED_VALUE"""),10.8)</f>
        <v>10.8</v>
      </c>
      <c r="T1877" s="65">
        <f>IFERROR(__xludf.DUMMYFUNCTION("""COMPUTED_VALUE"""),6.0)</f>
        <v>6</v>
      </c>
      <c r="U1877" s="65">
        <f>IFERROR(__xludf.DUMMYFUNCTION("""COMPUTED_VALUE"""),0.0)</f>
        <v>0</v>
      </c>
      <c r="V1877" s="65">
        <f>IFERROR(__xludf.DUMMYFUNCTION("""COMPUTED_VALUE"""),0.0)</f>
        <v>0</v>
      </c>
      <c r="W1877" s="65">
        <f>IFERROR(__xludf.DUMMYFUNCTION("""COMPUTED_VALUE"""),0.0)</f>
        <v>0</v>
      </c>
      <c r="X1877" s="65">
        <f>IFERROR(__xludf.DUMMYFUNCTION("""COMPUTED_VALUE"""),2.6)</f>
        <v>2.6</v>
      </c>
      <c r="Y1877" s="65">
        <f>IFERROR(__xludf.DUMMYFUNCTION("""COMPUTED_VALUE"""),5.2)</f>
        <v>5.2</v>
      </c>
      <c r="Z1877" s="65">
        <f>IFERROR(__xludf.DUMMYFUNCTION("""COMPUTED_VALUE"""),121983.0)</f>
        <v>121983</v>
      </c>
      <c r="AA1877" s="65" t="str">
        <f>IFERROR(__xludf.DUMMYFUNCTION("""COMPUTED_VALUE"""),"PROV-CHLLCF")</f>
        <v>PROV-CHLLCF</v>
      </c>
      <c r="AB1877" s="65"/>
      <c r="AC1877" s="65" t="str">
        <f>IFERROR(__xludf.DUMMYFUNCTION("""COMPUTED_VALUE"""),"CUCHILLO PARA CHEF")</f>
        <v>CUCHILLO PARA CHEF</v>
      </c>
      <c r="AD1877" s="65"/>
      <c r="AE1877" s="65">
        <f>IFERROR(__xludf.DUMMYFUNCTION("""COMPUTED_VALUE"""),2.0)</f>
        <v>2</v>
      </c>
      <c r="AF1877" s="65"/>
      <c r="AG1877" s="65"/>
      <c r="AH1877" s="65"/>
      <c r="AI1877" s="65"/>
      <c r="AJ1877" s="65"/>
      <c r="AK1877" s="65"/>
      <c r="AL1877" s="65"/>
      <c r="AM1877" s="65"/>
      <c r="AN1877" s="65" t="str">
        <f>IFERROR(__xludf.DUMMYFUNCTION("""COMPUTED_VALUE"""),"18:22")</f>
        <v>18:22</v>
      </c>
      <c r="AO1877" s="65" t="str">
        <f>IFERROR(__xludf.DUMMYFUNCTION("""COMPUTED_VALUE"""),"15-01-2026")</f>
        <v>15-01-2026</v>
      </c>
      <c r="AP1877" s="65" t="str">
        <f>IFERROR(__xludf.DUMMYFUNCTION("""COMPUTED_VALUE"""),"REPORTADO ENTREGADO EN APP")</f>
        <v>REPORTADO ENTREGADO EN APP</v>
      </c>
      <c r="AQ1877" s="65" t="str">
        <f>IFERROR(__xludf.DUMMYFUNCTION("""COMPUTED_VALUE"""),"marcelo")</f>
        <v>marcelo</v>
      </c>
      <c r="AR1877" s="65"/>
      <c r="AS1877" s="65"/>
      <c r="AT1877" s="65" t="str">
        <f>IFERROR(__xludf.DUMMYFUNCTION("""COMPUTED_VALUE"""),"SHOPIFY")</f>
        <v>SHOPIFY</v>
      </c>
      <c r="AU1877" s="65" t="str">
        <f>IFERROR(__xludf.DUMMYFUNCTION("""COMPUTED_VALUE"""),"IMPORTEX EC")</f>
        <v>IMPORTEX EC</v>
      </c>
      <c r="AV1877" s="65" t="str">
        <f>IFERROR(__xludf.DUMMYFUNCTION("""COMPUTED_VALUE"""),"6410527080492")</f>
        <v>6410527080492</v>
      </c>
      <c r="AW1877" s="65">
        <f>IFERROR(__xludf.DUMMYFUNCTION("""COMPUTED_VALUE"""),5075.0)</f>
        <v>5075</v>
      </c>
      <c r="AX1877" s="65"/>
      <c r="AY1877" s="65" t="str">
        <f>IFERROR(__xludf.DUMMYFUNCTION("""COMPUTED_VALUE"""),"14/01/2026")</f>
        <v>14/01/2026</v>
      </c>
      <c r="AZ1877" s="65"/>
      <c r="BA1877" s="65"/>
    </row>
    <row r="1878">
      <c r="A1878" s="65" t="str">
        <f>IFERROR(__xludf.DUMMYFUNCTION("""COMPUTED_VALUE"""),"27-03-2026")</f>
        <v>27-03-2026</v>
      </c>
      <c r="B1878" s="65">
        <f>IFERROR(__xludf.DUMMYFUNCTION("""COMPUTED_VALUE"""),4125966.0)</f>
        <v>4125966</v>
      </c>
      <c r="C1878" s="65" t="str">
        <f>IFERROR(__xludf.DUMMYFUNCTION("""COMPUTED_VALUE"""),"22:54")</f>
        <v>22:54</v>
      </c>
      <c r="D1878" s="65" t="str">
        <f>IFERROR(__xludf.DUMMYFUNCTION("""COMPUTED_VALUE"""),"12-01-2026")</f>
        <v>12-01-2026</v>
      </c>
      <c r="E1878" s="65" t="str">
        <f>IFERROR(__xludf.DUMMYFUNCTION("""COMPUTED_VALUE"""),"Patricio Vaca")</f>
        <v>Patricio Vaca</v>
      </c>
      <c r="F1878" s="65" t="str">
        <f>IFERROR(__xludf.DUMMYFUNCTION("""COMPUTED_VALUE"""),"984498206")</f>
        <v>984498206</v>
      </c>
      <c r="G1878" s="65" t="str">
        <f>IFERROR(__xludf.DUMMYFUNCTION("""COMPUTED_VALUE"""),"ww.pato@hotmail.com")</f>
        <v>ww.pato@hotmail.com</v>
      </c>
      <c r="H1878" s="65"/>
      <c r="I1878" s="65"/>
      <c r="J1878" s="65" t="str">
        <f>IFERROR(__xludf.DUMMYFUNCTION("""COMPUTED_VALUE"""),"D001219457")</f>
        <v>D001219457</v>
      </c>
      <c r="K1878" s="65" t="str">
        <f>IFERROR(__xludf.DUMMYFUNCTION("""COMPUTED_VALUE"""),"ENTREGADO")</f>
        <v>ENTREGADO</v>
      </c>
      <c r="L1878" s="65" t="str">
        <f>IFERROR(__xludf.DUMMYFUNCTION("""COMPUTED_VALUE"""),"CON RECAUDO")</f>
        <v>CON RECAUDO</v>
      </c>
      <c r="M1878" s="65" t="str">
        <f>IFERROR(__xludf.DUMMYFUNCTION("""COMPUTED_VALUE"""),"PICHINCHA")</f>
        <v>PICHINCHA</v>
      </c>
      <c r="N1878" s="65" t="str">
        <f>IFERROR(__xludf.DUMMYFUNCTION("""COMPUTED_VALUE"""),"QUITO")</f>
        <v>QUITO</v>
      </c>
      <c r="O1878" s="65" t="str">
        <f>IFERROR(__xludf.DUMMYFUNCTION("""COMPUTED_VALUE"""),"Charles Darwin Oe4-180 e Hidalgo de Pinto Quito Tenis -")</f>
        <v>Charles Darwin Oe4-180 e Hidalgo de Pinto Quito Tenis -</v>
      </c>
      <c r="P1878" s="65"/>
      <c r="Q1878" s="65" t="str">
        <f>IFERROR(__xludf.DUMMYFUNCTION("""COMPUTED_VALUE"""),"GINTRACOM")</f>
        <v>GINTRACOM</v>
      </c>
      <c r="R1878" s="65">
        <f>IFERROR(__xludf.DUMMYFUNCTION("""COMPUTED_VALUE"""),20.0)</f>
        <v>20</v>
      </c>
      <c r="S1878" s="65">
        <f>IFERROR(__xludf.DUMMYFUNCTION("""COMPUTED_VALUE"""),13.5)</f>
        <v>13.5</v>
      </c>
      <c r="T1878" s="65">
        <f>IFERROR(__xludf.DUMMYFUNCTION("""COMPUTED_VALUE"""),4.15)</f>
        <v>4.15</v>
      </c>
      <c r="U1878" s="65">
        <f>IFERROR(__xludf.DUMMYFUNCTION("""COMPUTED_VALUE"""),0.0)</f>
        <v>0</v>
      </c>
      <c r="V1878" s="65">
        <f>IFERROR(__xludf.DUMMYFUNCTION("""COMPUTED_VALUE"""),0.0)</f>
        <v>0</v>
      </c>
      <c r="W1878" s="65">
        <f>IFERROR(__xludf.DUMMYFUNCTION("""COMPUTED_VALUE"""),0.0)</f>
        <v>0</v>
      </c>
      <c r="X1878" s="65">
        <f>IFERROR(__xludf.DUMMYFUNCTION("""COMPUTED_VALUE"""),2.35)</f>
        <v>2.35</v>
      </c>
      <c r="Y1878" s="65">
        <f>IFERROR(__xludf.DUMMYFUNCTION("""COMPUTED_VALUE"""),2.35)</f>
        <v>2.35</v>
      </c>
      <c r="Z1878" s="65">
        <f>IFERROR(__xludf.DUMMYFUNCTION("""COMPUTED_VALUE"""),116679.0)</f>
        <v>116679</v>
      </c>
      <c r="AA1878" s="65" t="str">
        <f>IFERROR(__xludf.DUMMYFUNCTION("""COMPUTED_VALUE"""),"AMC-2738")</f>
        <v>AMC-2738</v>
      </c>
      <c r="AB1878" s="65"/>
      <c r="AC1878" s="65" t="str">
        <f>IFERROR(__xludf.DUMMYFUNCTION("""COMPUTED_VALUE"""),"ESPONJA ANTILLUVIA DE PARABRISAS")</f>
        <v>ESPONJA ANTILLUVIA DE PARABRISAS</v>
      </c>
      <c r="AD1878" s="65"/>
      <c r="AE1878" s="65">
        <f>IFERROR(__xludf.DUMMYFUNCTION("""COMPUTED_VALUE"""),1.0)</f>
        <v>1</v>
      </c>
      <c r="AF1878" s="65"/>
      <c r="AG1878" s="65"/>
      <c r="AH1878" s="65"/>
      <c r="AI1878" s="65"/>
      <c r="AJ1878" s="65"/>
      <c r="AK1878" s="65"/>
      <c r="AL1878" s="65"/>
      <c r="AM1878" s="65"/>
      <c r="AN1878" s="65" t="str">
        <f>IFERROR(__xludf.DUMMYFUNCTION("""COMPUTED_VALUE"""),"10:49")</f>
        <v>10:49</v>
      </c>
      <c r="AO1878" s="65" t="str">
        <f>IFERROR(__xludf.DUMMYFUNCTION("""COMPUTED_VALUE"""),"15-01-2026")</f>
        <v>15-01-2026</v>
      </c>
      <c r="AP1878" s="65" t="str">
        <f>IFERROR(__xludf.DUMMYFUNCTION("""COMPUTED_VALUE"""),"ENTREGADA GINTRACOM")</f>
        <v>ENTREGADA GINTRACOM</v>
      </c>
      <c r="AQ1878" s="65" t="str">
        <f>IFERROR(__xludf.DUMMYFUNCTION("""COMPUTED_VALUE"""),"ENTREGADA GINTRACOM")</f>
        <v>ENTREGADA GINTRACOM</v>
      </c>
      <c r="AR1878" s="65"/>
      <c r="AS1878" s="65"/>
      <c r="AT1878" s="65" t="str">
        <f>IFERROR(__xludf.DUMMYFUNCTION("""COMPUTED_VALUE"""),"SHOPIFY")</f>
        <v>SHOPIFY</v>
      </c>
      <c r="AU1878" s="65" t="str">
        <f>IFERROR(__xludf.DUMMYFUNCTION("""COMPUTED_VALUE"""),"IMPORTEX EC")</f>
        <v>IMPORTEX EC</v>
      </c>
      <c r="AV1878" s="65" t="str">
        <f>IFERROR(__xludf.DUMMYFUNCTION("""COMPUTED_VALUE"""),"6410495164460")</f>
        <v>6410495164460</v>
      </c>
      <c r="AW1878" s="65">
        <f>IFERROR(__xludf.DUMMYFUNCTION("""COMPUTED_VALUE"""),5074.0)</f>
        <v>5074</v>
      </c>
      <c r="AX1878" s="65"/>
      <c r="AY1878" s="65" t="str">
        <f>IFERROR(__xludf.DUMMYFUNCTION("""COMPUTED_VALUE"""),"13/01/2026")</f>
        <v>13/01/2026</v>
      </c>
      <c r="AZ1878" s="65"/>
      <c r="BA1878" s="65"/>
    </row>
    <row r="1879">
      <c r="A1879" s="65" t="str">
        <f>IFERROR(__xludf.DUMMYFUNCTION("""COMPUTED_VALUE"""),"27-03-2026")</f>
        <v>27-03-2026</v>
      </c>
      <c r="B1879" s="65">
        <f>IFERROR(__xludf.DUMMYFUNCTION("""COMPUTED_VALUE"""),4125904.0)</f>
        <v>4125904</v>
      </c>
      <c r="C1879" s="65" t="str">
        <f>IFERROR(__xludf.DUMMYFUNCTION("""COMPUTED_VALUE"""),"22:50")</f>
        <v>22:50</v>
      </c>
      <c r="D1879" s="65" t="str">
        <f>IFERROR(__xludf.DUMMYFUNCTION("""COMPUTED_VALUE"""),"12-01-2026")</f>
        <v>12-01-2026</v>
      </c>
      <c r="E1879" s="65" t="str">
        <f>IFERROR(__xludf.DUMMYFUNCTION("""COMPUTED_VALUE"""),"Juan Bernardino De la Cruz Villacís")</f>
        <v>Juan Bernardino De la Cruz Villacís</v>
      </c>
      <c r="F1879" s="65" t="str">
        <f>IFERROR(__xludf.DUMMYFUNCTION("""COMPUTED_VALUE"""),"979100693")</f>
        <v>979100693</v>
      </c>
      <c r="G1879" s="65" t="str">
        <f>IFERROR(__xludf.DUMMYFUNCTION("""COMPUTED_VALUE"""),"dvjuanbernar@yahoo.es")</f>
        <v>dvjuanbernar@yahoo.es</v>
      </c>
      <c r="H1879" s="65"/>
      <c r="I1879" s="65"/>
      <c r="J1879" s="65"/>
      <c r="K1879" s="65" t="str">
        <f>IFERROR(__xludf.DUMMYFUNCTION("""COMPUTED_VALUE"""),"PENDIENTE CONFIRMACION")</f>
        <v>PENDIENTE CONFIRMACION</v>
      </c>
      <c r="L1879" s="65" t="str">
        <f>IFERROR(__xludf.DUMMYFUNCTION("""COMPUTED_VALUE"""),"CON RECAUDO")</f>
        <v>CON RECAUDO</v>
      </c>
      <c r="M1879" s="65" t="str">
        <f>IFERROR(__xludf.DUMMYFUNCTION("""COMPUTED_VALUE"""),"TUNGURAHUA")</f>
        <v>TUNGURAHUA</v>
      </c>
      <c r="N1879" s="65" t="str">
        <f>IFERROR(__xludf.DUMMYFUNCTION("""COMPUTED_VALUE"""),"CEVALLOS")</f>
        <v>CEVALLOS</v>
      </c>
      <c r="O1879" s="65" t="str">
        <f>IFERROR(__xludf.DUMMYFUNCTION("""COMPUTED_VALUE"""),"via Vinces LA Florida Cevallos Caserío Agua Santa -")</f>
        <v>via Vinces LA Florida Cevallos Caserío Agua Santa -</v>
      </c>
      <c r="P1879" s="65"/>
      <c r="Q1879" s="65" t="str">
        <f>IFERROR(__xludf.DUMMYFUNCTION("""COMPUTED_VALUE"""),"GINTRACOM")</f>
        <v>GINTRACOM</v>
      </c>
      <c r="R1879" s="65">
        <f>IFERROR(__xludf.DUMMYFUNCTION("""COMPUTED_VALUE"""),25.0)</f>
        <v>25</v>
      </c>
      <c r="S1879" s="65"/>
      <c r="T1879" s="65">
        <f>IFERROR(__xludf.DUMMYFUNCTION("""COMPUTED_VALUE"""),6.53)</f>
        <v>6.53</v>
      </c>
      <c r="U1879" s="65">
        <f>IFERROR(__xludf.DUMMYFUNCTION("""COMPUTED_VALUE"""),0.0)</f>
        <v>0</v>
      </c>
      <c r="V1879" s="65">
        <f>IFERROR(__xludf.DUMMYFUNCTION("""COMPUTED_VALUE"""),0.0)</f>
        <v>0</v>
      </c>
      <c r="W1879" s="65">
        <f>IFERROR(__xludf.DUMMYFUNCTION("""COMPUTED_VALUE"""),0.0)</f>
        <v>0</v>
      </c>
      <c r="X1879" s="65">
        <f>IFERROR(__xludf.DUMMYFUNCTION("""COMPUTED_VALUE"""),2.35)</f>
        <v>2.35</v>
      </c>
      <c r="Y1879" s="65">
        <f>IFERROR(__xludf.DUMMYFUNCTION("""COMPUTED_VALUE"""),4.7)</f>
        <v>4.7</v>
      </c>
      <c r="Z1879" s="65">
        <f>IFERROR(__xludf.DUMMYFUNCTION("""COMPUTED_VALUE"""),116679.0)</f>
        <v>116679</v>
      </c>
      <c r="AA1879" s="65" t="str">
        <f>IFERROR(__xludf.DUMMYFUNCTION("""COMPUTED_VALUE"""),"AMC-2738")</f>
        <v>AMC-2738</v>
      </c>
      <c r="AB1879" s="65"/>
      <c r="AC1879" s="65" t="str">
        <f>IFERROR(__xludf.DUMMYFUNCTION("""COMPUTED_VALUE"""),"ESPONJA ANTILLUVIA DE PARABRISAS")</f>
        <v>ESPONJA ANTILLUVIA DE PARABRISAS</v>
      </c>
      <c r="AD1879" s="65"/>
      <c r="AE1879" s="65">
        <f>IFERROR(__xludf.DUMMYFUNCTION("""COMPUTED_VALUE"""),2.0)</f>
        <v>2</v>
      </c>
      <c r="AF1879" s="65"/>
      <c r="AG1879" s="65"/>
      <c r="AH1879" s="65"/>
      <c r="AI1879" s="65"/>
      <c r="AJ1879" s="65"/>
      <c r="AK1879" s="65"/>
      <c r="AL1879" s="65"/>
      <c r="AM1879" s="65"/>
      <c r="AN1879" s="65"/>
      <c r="AO1879" s="65"/>
      <c r="AP1879" s="65"/>
      <c r="AQ1879" s="65"/>
      <c r="AR1879" s="65"/>
      <c r="AS1879" s="65"/>
      <c r="AT1879" s="65" t="str">
        <f>IFERROR(__xludf.DUMMYFUNCTION("""COMPUTED_VALUE"""),"SHOPIFY")</f>
        <v>SHOPIFY</v>
      </c>
      <c r="AU1879" s="65" t="str">
        <f>IFERROR(__xludf.DUMMYFUNCTION("""COMPUTED_VALUE"""),"IMPORTEX EC")</f>
        <v>IMPORTEX EC</v>
      </c>
      <c r="AV1879" s="65" t="str">
        <f>IFERROR(__xludf.DUMMYFUNCTION("""COMPUTED_VALUE"""),"6410483499052")</f>
        <v>6410483499052</v>
      </c>
      <c r="AW1879" s="65">
        <f>IFERROR(__xludf.DUMMYFUNCTION("""COMPUTED_VALUE"""),5073.0)</f>
        <v>5073</v>
      </c>
      <c r="AX1879" s="65"/>
      <c r="AY1879" s="65"/>
      <c r="AZ1879" s="65"/>
      <c r="BA1879" s="65"/>
    </row>
    <row r="1880">
      <c r="A1880" s="65" t="str">
        <f>IFERROR(__xludf.DUMMYFUNCTION("""COMPUTED_VALUE"""),"27-03-2026")</f>
        <v>27-03-2026</v>
      </c>
      <c r="B1880" s="65">
        <f>IFERROR(__xludf.DUMMYFUNCTION("""COMPUTED_VALUE"""),4125597.0)</f>
        <v>4125597</v>
      </c>
      <c r="C1880" s="65" t="str">
        <f>IFERROR(__xludf.DUMMYFUNCTION("""COMPUTED_VALUE"""),"22:25")</f>
        <v>22:25</v>
      </c>
      <c r="D1880" s="65" t="str">
        <f>IFERROR(__xludf.DUMMYFUNCTION("""COMPUTED_VALUE"""),"12-01-2026")</f>
        <v>12-01-2026</v>
      </c>
      <c r="E1880" s="65" t="str">
        <f>IFERROR(__xludf.DUMMYFUNCTION("""COMPUTED_VALUE"""),"Ruth Ramírez Ramirez Loor")</f>
        <v>Ruth Ramírez Ramirez Loor</v>
      </c>
      <c r="F1880" s="65" t="str">
        <f>IFERROR(__xludf.DUMMYFUNCTION("""COMPUTED_VALUE"""),"963081649")</f>
        <v>963081649</v>
      </c>
      <c r="G1880" s="65"/>
      <c r="H1880" s="65"/>
      <c r="I1880" s="65"/>
      <c r="J1880" s="65" t="str">
        <f>IFERROR(__xludf.DUMMYFUNCTION("""COMPUTED_VALUE"""),"186966826")</f>
        <v>186966826</v>
      </c>
      <c r="K1880" s="65" t="str">
        <f>IFERROR(__xludf.DUMMYFUNCTION("""COMPUTED_VALUE"""),"ENTREGADO")</f>
        <v>ENTREGADO</v>
      </c>
      <c r="L1880" s="65" t="str">
        <f>IFERROR(__xludf.DUMMYFUNCTION("""COMPUTED_VALUE"""),"CON RECAUDO")</f>
        <v>CON RECAUDO</v>
      </c>
      <c r="M1880" s="65" t="str">
        <f>IFERROR(__xludf.DUMMYFUNCTION("""COMPUTED_VALUE"""),"GUAYAS")</f>
        <v>GUAYAS</v>
      </c>
      <c r="N1880" s="65" t="str">
        <f>IFERROR(__xludf.DUMMYFUNCTION("""COMPUTED_VALUE"""),"GUAYAQUIL")</f>
        <v>GUAYAQUIL</v>
      </c>
      <c r="O1880" s="65" t="str">
        <f>IFERROR(__xludf.DUMMYFUNCTION("""COMPUTED_VALUE"""),"RETIRA EN CS : GUAYAQUIL_GUASMO SUR LUCHA POPULAR, GUASMO SUR COOP LUCHA POPULAR MZ 1908 Y AV RAUL CLEMENTE HUERTA FRENTE A PARADA DE LA METROVIA LA DOLOROSA")</f>
        <v>RETIRA EN CS : GUAYAQUIL_GUASMO SUR LUCHA POPULAR, GUASMO SUR COOP LUCHA POPULAR MZ 1908 Y AV RAUL CLEMENTE HUERTA FRENTE A PARADA DE LA METROVIA LA DOLOROSA</v>
      </c>
      <c r="P1880" s="65"/>
      <c r="Q1880" s="65" t="str">
        <f>IFERROR(__xludf.DUMMYFUNCTION("""COMPUTED_VALUE"""),"SERVIENTREGA")</f>
        <v>SERVIENTREGA</v>
      </c>
      <c r="R1880" s="65">
        <f>IFERROR(__xludf.DUMMYFUNCTION("""COMPUTED_VALUE"""),20.9)</f>
        <v>20.9</v>
      </c>
      <c r="S1880" s="65">
        <f>IFERROR(__xludf.DUMMYFUNCTION("""COMPUTED_VALUE"""),10.95)</f>
        <v>10.95</v>
      </c>
      <c r="T1880" s="65">
        <f>IFERROR(__xludf.DUMMYFUNCTION("""COMPUTED_VALUE"""),4.75)</f>
        <v>4.75</v>
      </c>
      <c r="U1880" s="65">
        <f>IFERROR(__xludf.DUMMYFUNCTION("""COMPUTED_VALUE"""),0.0)</f>
        <v>0</v>
      </c>
      <c r="V1880" s="65">
        <f>IFERROR(__xludf.DUMMYFUNCTION("""COMPUTED_VALUE"""),0.0)</f>
        <v>0</v>
      </c>
      <c r="W1880" s="65">
        <f>IFERROR(__xludf.DUMMYFUNCTION("""COMPUTED_VALUE"""),0.0)</f>
        <v>0</v>
      </c>
      <c r="X1880" s="65">
        <f>IFERROR(__xludf.DUMMYFUNCTION("""COMPUTED_VALUE"""),2.6)</f>
        <v>2.6</v>
      </c>
      <c r="Y1880" s="65">
        <f>IFERROR(__xludf.DUMMYFUNCTION("""COMPUTED_VALUE"""),5.2)</f>
        <v>5.2</v>
      </c>
      <c r="Z1880" s="65">
        <f>IFERROR(__xludf.DUMMYFUNCTION("""COMPUTED_VALUE"""),121983.0)</f>
        <v>121983</v>
      </c>
      <c r="AA1880" s="65" t="str">
        <f>IFERROR(__xludf.DUMMYFUNCTION("""COMPUTED_VALUE"""),"PROV-CHLLCF")</f>
        <v>PROV-CHLLCF</v>
      </c>
      <c r="AB1880" s="65"/>
      <c r="AC1880" s="65" t="str">
        <f>IFERROR(__xludf.DUMMYFUNCTION("""COMPUTED_VALUE"""),"CUCHILLO PARA CHEF")</f>
        <v>CUCHILLO PARA CHEF</v>
      </c>
      <c r="AD1880" s="65"/>
      <c r="AE1880" s="65">
        <f>IFERROR(__xludf.DUMMYFUNCTION("""COMPUTED_VALUE"""),2.0)</f>
        <v>2</v>
      </c>
      <c r="AF1880" s="65"/>
      <c r="AG1880" s="65"/>
      <c r="AH1880" s="65"/>
      <c r="AI1880" s="65"/>
      <c r="AJ1880" s="65"/>
      <c r="AK1880" s="65"/>
      <c r="AL1880" s="65"/>
      <c r="AM1880" s="65"/>
      <c r="AN1880" s="65" t="str">
        <f>IFERROR(__xludf.DUMMYFUNCTION("""COMPUTED_VALUE"""),"05:52")</f>
        <v>05:52</v>
      </c>
      <c r="AO1880" s="65" t="str">
        <f>IFERROR(__xludf.DUMMYFUNCTION("""COMPUTED_VALUE"""),"22-01-2026")</f>
        <v>22-01-2026</v>
      </c>
      <c r="AP1880" s="65" t="str">
        <f>IFERROR(__xludf.DUMMYFUNCTION("""COMPUTED_VALUE"""),"REPORTADO ENTREGADO EN AGENCIA")</f>
        <v>REPORTADO ENTREGADO EN AGENCIA</v>
      </c>
      <c r="AQ1880" s="65" t="str">
        <f>IFERROR(__xludf.DUMMYFUNCTION("""COMPUTED_VALUE"""),"RUTH")</f>
        <v>RUTH</v>
      </c>
      <c r="AR1880" s="65"/>
      <c r="AS1880" s="65"/>
      <c r="AT1880" s="65"/>
      <c r="AU1880" s="65"/>
      <c r="AV1880" s="65"/>
      <c r="AW1880" s="65"/>
      <c r="AX1880" s="65"/>
      <c r="AY1880" s="65" t="str">
        <f>IFERROR(__xludf.DUMMYFUNCTION("""COMPUTED_VALUE"""),"13/01/2026")</f>
        <v>13/01/2026</v>
      </c>
      <c r="AZ1880" s="65"/>
      <c r="BA1880" s="65"/>
    </row>
    <row r="1881">
      <c r="A1881" s="65" t="str">
        <f>IFERROR(__xludf.DUMMYFUNCTION("""COMPUTED_VALUE"""),"27-03-2026")</f>
        <v>27-03-2026</v>
      </c>
      <c r="B1881" s="65">
        <f>IFERROR(__xludf.DUMMYFUNCTION("""COMPUTED_VALUE"""),4125528.0)</f>
        <v>4125528</v>
      </c>
      <c r="C1881" s="65" t="str">
        <f>IFERROR(__xludf.DUMMYFUNCTION("""COMPUTED_VALUE"""),"22:19")</f>
        <v>22:19</v>
      </c>
      <c r="D1881" s="65" t="str">
        <f>IFERROR(__xludf.DUMMYFUNCTION("""COMPUTED_VALUE"""),"12-01-2026")</f>
        <v>12-01-2026</v>
      </c>
      <c r="E1881" s="65" t="str">
        <f>IFERROR(__xludf.DUMMYFUNCTION("""COMPUTED_VALUE"""),"Edgar Villalba")</f>
        <v>Edgar Villalba</v>
      </c>
      <c r="F1881" s="65" t="str">
        <f>IFERROR(__xludf.DUMMYFUNCTION("""COMPUTED_VALUE"""),"992958172")</f>
        <v>992958172</v>
      </c>
      <c r="G1881" s="65" t="str">
        <f>IFERROR(__xludf.DUMMYFUNCTION("""COMPUTED_VALUE"""),"edgargonvil1973@gmail.com")</f>
        <v>edgargonvil1973@gmail.com</v>
      </c>
      <c r="H1881" s="65"/>
      <c r="I1881" s="65"/>
      <c r="J1881" s="65" t="str">
        <f>IFERROR(__xludf.DUMMYFUNCTION("""COMPUTED_VALUE"""),"D001219465")</f>
        <v>D001219465</v>
      </c>
      <c r="K1881" s="65" t="str">
        <f>IFERROR(__xludf.DUMMYFUNCTION("""COMPUTED_VALUE"""),"ENTREGADO")</f>
        <v>ENTREGADO</v>
      </c>
      <c r="L1881" s="65" t="str">
        <f>IFERROR(__xludf.DUMMYFUNCTION("""COMPUTED_VALUE"""),"CON RECAUDO")</f>
        <v>CON RECAUDO</v>
      </c>
      <c r="M1881" s="65" t="str">
        <f>IFERROR(__xludf.DUMMYFUNCTION("""COMPUTED_VALUE"""),"TUNGURAHUA")</f>
        <v>TUNGURAHUA</v>
      </c>
      <c r="N1881" s="65" t="str">
        <f>IFERROR(__xludf.DUMMYFUNCTION("""COMPUTED_VALUE"""),"AMBATO")</f>
        <v>AMBATO</v>
      </c>
      <c r="O1881" s="65" t="str">
        <f>IFERROR(__xludf.DUMMYFUNCTION("""COMPUTED_VALUE"""),"Principal, Urbanización el nogal, vía a Pillaro, Izamba, Número de casa 32")</f>
        <v>Principal, Urbanización el nogal, vía a Pillaro, Izamba, Número de casa 32</v>
      </c>
      <c r="P1881" s="65"/>
      <c r="Q1881" s="65" t="str">
        <f>IFERROR(__xludf.DUMMYFUNCTION("""COMPUTED_VALUE"""),"GINTRACOM")</f>
        <v>GINTRACOM</v>
      </c>
      <c r="R1881" s="65">
        <f>IFERROR(__xludf.DUMMYFUNCTION("""COMPUTED_VALUE"""),25.0)</f>
        <v>25</v>
      </c>
      <c r="S1881" s="65">
        <f>IFERROR(__xludf.DUMMYFUNCTION("""COMPUTED_VALUE"""),14.34)</f>
        <v>14.34</v>
      </c>
      <c r="T1881" s="65">
        <f>IFERROR(__xludf.DUMMYFUNCTION("""COMPUTED_VALUE"""),5.96)</f>
        <v>5.96</v>
      </c>
      <c r="U1881" s="65">
        <f>IFERROR(__xludf.DUMMYFUNCTION("""COMPUTED_VALUE"""),0.0)</f>
        <v>0</v>
      </c>
      <c r="V1881" s="65">
        <f>IFERROR(__xludf.DUMMYFUNCTION("""COMPUTED_VALUE"""),0.0)</f>
        <v>0</v>
      </c>
      <c r="W1881" s="65">
        <f>IFERROR(__xludf.DUMMYFUNCTION("""COMPUTED_VALUE"""),0.0)</f>
        <v>0</v>
      </c>
      <c r="X1881" s="65">
        <f>IFERROR(__xludf.DUMMYFUNCTION("""COMPUTED_VALUE"""),2.35)</f>
        <v>2.35</v>
      </c>
      <c r="Y1881" s="65">
        <f>IFERROR(__xludf.DUMMYFUNCTION("""COMPUTED_VALUE"""),4.7)</f>
        <v>4.7</v>
      </c>
      <c r="Z1881" s="65">
        <f>IFERROR(__xludf.DUMMYFUNCTION("""COMPUTED_VALUE"""),116679.0)</f>
        <v>116679</v>
      </c>
      <c r="AA1881" s="65" t="str">
        <f>IFERROR(__xludf.DUMMYFUNCTION("""COMPUTED_VALUE"""),"AMC-2738")</f>
        <v>AMC-2738</v>
      </c>
      <c r="AB1881" s="65"/>
      <c r="AC1881" s="65" t="str">
        <f>IFERROR(__xludf.DUMMYFUNCTION("""COMPUTED_VALUE"""),"ESPONJA ANTILLUVIA DE PARABRISAS")</f>
        <v>ESPONJA ANTILLUVIA DE PARABRISAS</v>
      </c>
      <c r="AD1881" s="65"/>
      <c r="AE1881" s="65">
        <f>IFERROR(__xludf.DUMMYFUNCTION("""COMPUTED_VALUE"""),2.0)</f>
        <v>2</v>
      </c>
      <c r="AF1881" s="65" t="str">
        <f>IFERROR(__xludf.DUMMYFUNCTION("""COMPUTED_VALUE"""),"DESTINATARIO NO SE ENCUENTRA EN LUGAR DE ENTREGA.")</f>
        <v>DESTINATARIO NO SE ENCUENTRA EN LUGAR DE ENTREGA.</v>
      </c>
      <c r="AG1881" s="65" t="str">
        <f>IFERROR(__xludf.DUMMYFUNCTION("""COMPUTED_VALUE"""),"SI")</f>
        <v>SI</v>
      </c>
      <c r="AH1881" s="65" t="str">
        <f>IFERROR(__xludf.DUMMYFUNCTION("""COMPUTED_VALUE"""),"15:31")</f>
        <v>15:31</v>
      </c>
      <c r="AI1881" s="65" t="str">
        <f>IFERROR(__xludf.DUMMYFUNCTION("""COMPUTED_VALUE"""),"15-01-2026")</f>
        <v>15-01-2026</v>
      </c>
      <c r="AJ1881" s="65"/>
      <c r="AK1881" s="65"/>
      <c r="AL1881" s="65"/>
      <c r="AM1881" s="65"/>
      <c r="AN1881" s="65" t="str">
        <f>IFERROR(__xludf.DUMMYFUNCTION("""COMPUTED_VALUE"""),"14:54")</f>
        <v>14:54</v>
      </c>
      <c r="AO1881" s="65" t="str">
        <f>IFERROR(__xludf.DUMMYFUNCTION("""COMPUTED_VALUE"""),"19-01-2026")</f>
        <v>19-01-2026</v>
      </c>
      <c r="AP1881" s="65" t="str">
        <f>IFERROR(__xludf.DUMMYFUNCTION("""COMPUTED_VALUE"""),"ENTREGADA GINTRACOM")</f>
        <v>ENTREGADA GINTRACOM</v>
      </c>
      <c r="AQ1881" s="65" t="str">
        <f>IFERROR(__xludf.DUMMYFUNCTION("""COMPUTED_VALUE"""),"ENTREGADA GINTRACOM")</f>
        <v>ENTREGADA GINTRACOM</v>
      </c>
      <c r="AR1881" s="65"/>
      <c r="AS1881" s="65"/>
      <c r="AT1881" s="65" t="str">
        <f>IFERROR(__xludf.DUMMYFUNCTION("""COMPUTED_VALUE"""),"SHOPIFY")</f>
        <v>SHOPIFY</v>
      </c>
      <c r="AU1881" s="65" t="str">
        <f>IFERROR(__xludf.DUMMYFUNCTION("""COMPUTED_VALUE"""),"IMPORTEX EC")</f>
        <v>IMPORTEX EC</v>
      </c>
      <c r="AV1881" s="65" t="str">
        <f>IFERROR(__xludf.DUMMYFUNCTION("""COMPUTED_VALUE"""),"6410430873644")</f>
        <v>6410430873644</v>
      </c>
      <c r="AW1881" s="65">
        <f>IFERROR(__xludf.DUMMYFUNCTION("""COMPUTED_VALUE"""),5072.0)</f>
        <v>5072</v>
      </c>
      <c r="AX1881" s="65"/>
      <c r="AY1881" s="65" t="str">
        <f>IFERROR(__xludf.DUMMYFUNCTION("""COMPUTED_VALUE"""),"13/01/2026")</f>
        <v>13/01/2026</v>
      </c>
      <c r="AZ1881" s="65"/>
      <c r="BA1881" s="65"/>
    </row>
    <row r="1882">
      <c r="A1882" s="65" t="str">
        <f>IFERROR(__xludf.DUMMYFUNCTION("""COMPUTED_VALUE"""),"27-03-2026")</f>
        <v>27-03-2026</v>
      </c>
      <c r="B1882" s="65">
        <f>IFERROR(__xludf.DUMMYFUNCTION("""COMPUTED_VALUE"""),4125351.0)</f>
        <v>4125351</v>
      </c>
      <c r="C1882" s="65" t="str">
        <f>IFERROR(__xludf.DUMMYFUNCTION("""COMPUTED_VALUE"""),"22:06")</f>
        <v>22:06</v>
      </c>
      <c r="D1882" s="65" t="str">
        <f>IFERROR(__xludf.DUMMYFUNCTION("""COMPUTED_VALUE"""),"12-01-2026")</f>
        <v>12-01-2026</v>
      </c>
      <c r="E1882" s="65" t="str">
        <f>IFERROR(__xludf.DUMMYFUNCTION("""COMPUTED_VALUE"""),"Julio Tomala Zarate")</f>
        <v>Julio Tomala Zarate</v>
      </c>
      <c r="F1882" s="65" t="str">
        <f>IFERROR(__xludf.DUMMYFUNCTION("""COMPUTED_VALUE"""),"999957902")</f>
        <v>999957902</v>
      </c>
      <c r="G1882" s="65" t="str">
        <f>IFERROR(__xludf.DUMMYFUNCTION("""COMPUTED_VALUE"""),"julioesbenigno@gmail.com")</f>
        <v>julioesbenigno@gmail.com</v>
      </c>
      <c r="H1882" s="65"/>
      <c r="I1882" s="65"/>
      <c r="J1882" s="65" t="str">
        <f>IFERROR(__xludf.DUMMYFUNCTION("""COMPUTED_VALUE"""),"D001224246")</f>
        <v>D001224246</v>
      </c>
      <c r="K1882" s="65" t="str">
        <f>IFERROR(__xludf.DUMMYFUNCTION("""COMPUTED_VALUE"""),"DEVOLUCION")</f>
        <v>DEVOLUCION</v>
      </c>
      <c r="L1882" s="65" t="str">
        <f>IFERROR(__xludf.DUMMYFUNCTION("""COMPUTED_VALUE"""),"CON RECAUDO")</f>
        <v>CON RECAUDO</v>
      </c>
      <c r="M1882" s="65" t="str">
        <f>IFERROR(__xludf.DUMMYFUNCTION("""COMPUTED_VALUE"""),"GUAYAS")</f>
        <v>GUAYAS</v>
      </c>
      <c r="N1882" s="65" t="str">
        <f>IFERROR(__xludf.DUMMYFUNCTION("""COMPUTED_VALUE"""),"GUAYAQUIL")</f>
        <v>GUAYAQUIL</v>
      </c>
      <c r="O1882" s="65" t="str">
        <f>IFERROR(__xludf.DUMMYFUNCTION("""COMPUTED_VALUE"""),"Cooperativa Sergio Toral #1 Por Hogar de Cristo -")</f>
        <v>Cooperativa Sergio Toral #1 Por Hogar de Cristo -</v>
      </c>
      <c r="P1882" s="65"/>
      <c r="Q1882" s="65" t="str">
        <f>IFERROR(__xludf.DUMMYFUNCTION("""COMPUTED_VALUE"""),"GINTRACOM")</f>
        <v>GINTRACOM</v>
      </c>
      <c r="R1882" s="65">
        <f>IFERROR(__xludf.DUMMYFUNCTION("""COMPUTED_VALUE"""),25.0)</f>
        <v>25</v>
      </c>
      <c r="S1882" s="65"/>
      <c r="T1882" s="65">
        <f>IFERROR(__xludf.DUMMYFUNCTION("""COMPUTED_VALUE"""),5.96)</f>
        <v>5.96</v>
      </c>
      <c r="U1882" s="65">
        <f>IFERROR(__xludf.DUMMYFUNCTION("""COMPUTED_VALUE"""),0.0)</f>
        <v>0</v>
      </c>
      <c r="V1882" s="65">
        <f>IFERROR(__xludf.DUMMYFUNCTION("""COMPUTED_VALUE"""),0.0)</f>
        <v>0</v>
      </c>
      <c r="W1882" s="65">
        <f>IFERROR(__xludf.DUMMYFUNCTION("""COMPUTED_VALUE"""),0.0)</f>
        <v>0</v>
      </c>
      <c r="X1882" s="65">
        <f>IFERROR(__xludf.DUMMYFUNCTION("""COMPUTED_VALUE"""),2.35)</f>
        <v>2.35</v>
      </c>
      <c r="Y1882" s="65">
        <f>IFERROR(__xludf.DUMMYFUNCTION("""COMPUTED_VALUE"""),4.7)</f>
        <v>4.7</v>
      </c>
      <c r="Z1882" s="65">
        <f>IFERROR(__xludf.DUMMYFUNCTION("""COMPUTED_VALUE"""),116679.0)</f>
        <v>116679</v>
      </c>
      <c r="AA1882" s="65" t="str">
        <f>IFERROR(__xludf.DUMMYFUNCTION("""COMPUTED_VALUE"""),"AMC-2738")</f>
        <v>AMC-2738</v>
      </c>
      <c r="AB1882" s="65"/>
      <c r="AC1882" s="65" t="str">
        <f>IFERROR(__xludf.DUMMYFUNCTION("""COMPUTED_VALUE"""),"ESPONJA ANTILLUVIA DE PARABRISAS")</f>
        <v>ESPONJA ANTILLUVIA DE PARABRISAS</v>
      </c>
      <c r="AD1882" s="65"/>
      <c r="AE1882" s="65">
        <f>IFERROR(__xludf.DUMMYFUNCTION("""COMPUTED_VALUE"""),2.0)</f>
        <v>2</v>
      </c>
      <c r="AF1882" s="65" t="str">
        <f>IFERROR(__xludf.DUMMYFUNCTION("""COMPUTED_VALUE"""),"DESTINATARIO NO CONTESTA LLAMADAS NI WHATSAPP")</f>
        <v>DESTINATARIO NO CONTESTA LLAMADAS NI WHATSAPP</v>
      </c>
      <c r="AG1882" s="65" t="str">
        <f>IFERROR(__xludf.DUMMYFUNCTION("""COMPUTED_VALUE"""),"SI")</f>
        <v>SI</v>
      </c>
      <c r="AH1882" s="65" t="str">
        <f>IFERROR(__xludf.DUMMYFUNCTION("""COMPUTED_VALUE"""),"09:00")</f>
        <v>09:00</v>
      </c>
      <c r="AI1882" s="65" t="str">
        <f>IFERROR(__xludf.DUMMYFUNCTION("""COMPUTED_VALUE"""),"24-01-2026")</f>
        <v>24-01-2026</v>
      </c>
      <c r="AJ1882" s="65"/>
      <c r="AK1882" s="65"/>
      <c r="AL1882" s="65"/>
      <c r="AM1882" s="65"/>
      <c r="AN1882" s="65" t="str">
        <f>IFERROR(__xludf.DUMMYFUNCTION("""COMPUTED_VALUE"""),"08:26")</f>
        <v>08:26</v>
      </c>
      <c r="AO1882" s="65" t="str">
        <f>IFERROR(__xludf.DUMMYFUNCTION("""COMPUTED_VALUE"""),"26-01-2026")</f>
        <v>26-01-2026</v>
      </c>
      <c r="AP1882" s="65" t="str">
        <f>IFERROR(__xludf.DUMMYFUNCTION("""COMPUTED_VALUE"""),"DEVOLUCIÓN")</f>
        <v>DEVOLUCIÓN</v>
      </c>
      <c r="AQ1882" s="65" t="str">
        <f>IFERROR(__xludf.DUMMYFUNCTION("""COMPUTED_VALUE"""),"DEVOLUCIÓN")</f>
        <v>DEVOLUCIÓN</v>
      </c>
      <c r="AR1882" s="65"/>
      <c r="AS1882" s="65"/>
      <c r="AT1882" s="65" t="str">
        <f>IFERROR(__xludf.DUMMYFUNCTION("""COMPUTED_VALUE"""),"SHOPIFY")</f>
        <v>SHOPIFY</v>
      </c>
      <c r="AU1882" s="65" t="str">
        <f>IFERROR(__xludf.DUMMYFUNCTION("""COMPUTED_VALUE"""),"IMPORTEX EC")</f>
        <v>IMPORTEX EC</v>
      </c>
      <c r="AV1882" s="65" t="str">
        <f>IFERROR(__xludf.DUMMYFUNCTION("""COMPUTED_VALUE"""),"6410402037804")</f>
        <v>6410402037804</v>
      </c>
      <c r="AW1882" s="65">
        <f>IFERROR(__xludf.DUMMYFUNCTION("""COMPUTED_VALUE"""),5071.0)</f>
        <v>5071</v>
      </c>
      <c r="AX1882" s="65"/>
      <c r="AY1882" s="65" t="str">
        <f>IFERROR(__xludf.DUMMYFUNCTION("""COMPUTED_VALUE"""),"14/01/2026")</f>
        <v>14/01/2026</v>
      </c>
      <c r="AZ1882" s="65"/>
      <c r="BA1882" s="65"/>
    </row>
    <row r="1883">
      <c r="A1883" s="65" t="str">
        <f>IFERROR(__xludf.DUMMYFUNCTION("""COMPUTED_VALUE"""),"27-03-2026")</f>
        <v>27-03-2026</v>
      </c>
      <c r="B1883" s="65">
        <f>IFERROR(__xludf.DUMMYFUNCTION("""COMPUTED_VALUE"""),4125319.0)</f>
        <v>4125319</v>
      </c>
      <c r="C1883" s="65" t="str">
        <f>IFERROR(__xludf.DUMMYFUNCTION("""COMPUTED_VALUE"""),"22:04")</f>
        <v>22:04</v>
      </c>
      <c r="D1883" s="65" t="str">
        <f>IFERROR(__xludf.DUMMYFUNCTION("""COMPUTED_VALUE"""),"12-01-2026")</f>
        <v>12-01-2026</v>
      </c>
      <c r="E1883" s="65" t="str">
        <f>IFERROR(__xludf.DUMMYFUNCTION("""COMPUTED_VALUE"""),"Jorge Montalvo")</f>
        <v>Jorge Montalvo</v>
      </c>
      <c r="F1883" s="65" t="str">
        <f>IFERROR(__xludf.DUMMYFUNCTION("""COMPUTED_VALUE"""),"999900243")</f>
        <v>999900243</v>
      </c>
      <c r="G1883" s="65" t="str">
        <f>IFERROR(__xludf.DUMMYFUNCTION("""COMPUTED_VALUE"""),"serviprocn@gmail.com")</f>
        <v>serviprocn@gmail.com</v>
      </c>
      <c r="H1883" s="65"/>
      <c r="I1883" s="65"/>
      <c r="J1883" s="65" t="str">
        <f>IFERROR(__xludf.DUMMYFUNCTION("""COMPUTED_VALUE"""),"D001224248")</f>
        <v>D001224248</v>
      </c>
      <c r="K1883" s="65" t="str">
        <f>IFERROR(__xludf.DUMMYFUNCTION("""COMPUTED_VALUE"""),"ENTREGADO")</f>
        <v>ENTREGADO</v>
      </c>
      <c r="L1883" s="65" t="str">
        <f>IFERROR(__xludf.DUMMYFUNCTION("""COMPUTED_VALUE"""),"CON RECAUDO")</f>
        <v>CON RECAUDO</v>
      </c>
      <c r="M1883" s="65" t="str">
        <f>IFERROR(__xludf.DUMMYFUNCTION("""COMPUTED_VALUE"""),"PICHINCHA")</f>
        <v>PICHINCHA</v>
      </c>
      <c r="N1883" s="65" t="str">
        <f>IFERROR(__xludf.DUMMYFUNCTION("""COMPUTED_VALUE"""),"QUITO")</f>
        <v>QUITO</v>
      </c>
      <c r="O1883" s="65" t="str">
        <f>IFERROR(__xludf.DUMMYFUNCTION("""COMPUTED_VALUE"""),"Cantec avenida 10 de agosto e Ignacio san maria Iñaquito - N34-601, Edificio de 5 pisos")</f>
        <v>Cantec avenida 10 de agosto e Ignacio san maria Iñaquito - N34-601, Edificio de 5 pisos</v>
      </c>
      <c r="P1883" s="65"/>
      <c r="Q1883" s="65" t="str">
        <f>IFERROR(__xludf.DUMMYFUNCTION("""COMPUTED_VALUE"""),"GINTRACOM")</f>
        <v>GINTRACOM</v>
      </c>
      <c r="R1883" s="65">
        <f>IFERROR(__xludf.DUMMYFUNCTION("""COMPUTED_VALUE"""),30.0)</f>
        <v>30</v>
      </c>
      <c r="S1883" s="65">
        <f>IFERROR(__xludf.DUMMYFUNCTION("""COMPUTED_VALUE"""),18.4)</f>
        <v>18.4</v>
      </c>
      <c r="T1883" s="65">
        <f>IFERROR(__xludf.DUMMYFUNCTION("""COMPUTED_VALUE"""),4.55)</f>
        <v>4.55</v>
      </c>
      <c r="U1883" s="65">
        <f>IFERROR(__xludf.DUMMYFUNCTION("""COMPUTED_VALUE"""),0.0)</f>
        <v>0</v>
      </c>
      <c r="V1883" s="65">
        <f>IFERROR(__xludf.DUMMYFUNCTION("""COMPUTED_VALUE"""),0.0)</f>
        <v>0</v>
      </c>
      <c r="W1883" s="65">
        <f>IFERROR(__xludf.DUMMYFUNCTION("""COMPUTED_VALUE"""),0.0)</f>
        <v>0</v>
      </c>
      <c r="X1883" s="65">
        <f>IFERROR(__xludf.DUMMYFUNCTION("""COMPUTED_VALUE"""),2.35)</f>
        <v>2.35</v>
      </c>
      <c r="Y1883" s="65">
        <f>IFERROR(__xludf.DUMMYFUNCTION("""COMPUTED_VALUE"""),7.05)</f>
        <v>7.05</v>
      </c>
      <c r="Z1883" s="65">
        <f>IFERROR(__xludf.DUMMYFUNCTION("""COMPUTED_VALUE"""),116679.0)</f>
        <v>116679</v>
      </c>
      <c r="AA1883" s="65" t="str">
        <f>IFERROR(__xludf.DUMMYFUNCTION("""COMPUTED_VALUE"""),"AMC-2738")</f>
        <v>AMC-2738</v>
      </c>
      <c r="AB1883" s="65"/>
      <c r="AC1883" s="65" t="str">
        <f>IFERROR(__xludf.DUMMYFUNCTION("""COMPUTED_VALUE"""),"ESPONJA ANTILLUVIA DE PARABRISAS")</f>
        <v>ESPONJA ANTILLUVIA DE PARABRISAS</v>
      </c>
      <c r="AD1883" s="65"/>
      <c r="AE1883" s="65">
        <f>IFERROR(__xludf.DUMMYFUNCTION("""COMPUTED_VALUE"""),3.0)</f>
        <v>3</v>
      </c>
      <c r="AF1883" s="65"/>
      <c r="AG1883" s="65"/>
      <c r="AH1883" s="65"/>
      <c r="AI1883" s="65"/>
      <c r="AJ1883" s="65"/>
      <c r="AK1883" s="65"/>
      <c r="AL1883" s="65"/>
      <c r="AM1883" s="65"/>
      <c r="AN1883" s="65" t="str">
        <f>IFERROR(__xludf.DUMMYFUNCTION("""COMPUTED_VALUE"""),"17:50")</f>
        <v>17:50</v>
      </c>
      <c r="AO1883" s="65" t="str">
        <f>IFERROR(__xludf.DUMMYFUNCTION("""COMPUTED_VALUE"""),"15-01-2026")</f>
        <v>15-01-2026</v>
      </c>
      <c r="AP1883" s="65" t="str">
        <f>IFERROR(__xludf.DUMMYFUNCTION("""COMPUTED_VALUE"""),"ENTREGADA GINTRACOM")</f>
        <v>ENTREGADA GINTRACOM</v>
      </c>
      <c r="AQ1883" s="65" t="str">
        <f>IFERROR(__xludf.DUMMYFUNCTION("""COMPUTED_VALUE"""),"ENTREGADA GINTRACOM")</f>
        <v>ENTREGADA GINTRACOM</v>
      </c>
      <c r="AR1883" s="65"/>
      <c r="AS1883" s="65"/>
      <c r="AT1883" s="65" t="str">
        <f>IFERROR(__xludf.DUMMYFUNCTION("""COMPUTED_VALUE"""),"SHOPIFY")</f>
        <v>SHOPIFY</v>
      </c>
      <c r="AU1883" s="65" t="str">
        <f>IFERROR(__xludf.DUMMYFUNCTION("""COMPUTED_VALUE"""),"IMPORTEX EC")</f>
        <v>IMPORTEX EC</v>
      </c>
      <c r="AV1883" s="65" t="str">
        <f>IFERROR(__xludf.DUMMYFUNCTION("""COMPUTED_VALUE"""),"6410397515820")</f>
        <v>6410397515820</v>
      </c>
      <c r="AW1883" s="65">
        <f>IFERROR(__xludf.DUMMYFUNCTION("""COMPUTED_VALUE"""),5070.0)</f>
        <v>5070</v>
      </c>
      <c r="AX1883" s="65"/>
      <c r="AY1883" s="65" t="str">
        <f>IFERROR(__xludf.DUMMYFUNCTION("""COMPUTED_VALUE"""),"14/01/2026")</f>
        <v>14/01/2026</v>
      </c>
      <c r="AZ1883" s="65"/>
      <c r="BA1883" s="65"/>
    </row>
    <row r="1884">
      <c r="A1884" s="65" t="str">
        <f>IFERROR(__xludf.DUMMYFUNCTION("""COMPUTED_VALUE"""),"27-03-2026")</f>
        <v>27-03-2026</v>
      </c>
      <c r="B1884" s="65">
        <f>IFERROR(__xludf.DUMMYFUNCTION("""COMPUTED_VALUE"""),4125302.0)</f>
        <v>4125302</v>
      </c>
      <c r="C1884" s="65" t="str">
        <f>IFERROR(__xludf.DUMMYFUNCTION("""COMPUTED_VALUE"""),"22:03")</f>
        <v>22:03</v>
      </c>
      <c r="D1884" s="65" t="str">
        <f>IFERROR(__xludf.DUMMYFUNCTION("""COMPUTED_VALUE"""),"12-01-2026")</f>
        <v>12-01-2026</v>
      </c>
      <c r="E1884" s="65" t="str">
        <f>IFERROR(__xludf.DUMMYFUNCTION("""COMPUTED_VALUE"""),"LUCAS GARCÍA OROZCO")</f>
        <v>LUCAS GARCÍA OROZCO</v>
      </c>
      <c r="F1884" s="65" t="str">
        <f>IFERROR(__xludf.DUMMYFUNCTION("""COMPUTED_VALUE"""),"996135445")</f>
        <v>996135445</v>
      </c>
      <c r="G1884" s="65" t="str">
        <f>IFERROR(__xludf.DUMMYFUNCTION("""COMPUTED_VALUE"""),"gamilulu7952@gmail.com")</f>
        <v>gamilulu7952@gmail.com</v>
      </c>
      <c r="H1884" s="65"/>
      <c r="I1884" s="65"/>
      <c r="J1884" s="65" t="str">
        <f>IFERROR(__xludf.DUMMYFUNCTION("""COMPUTED_VALUE"""),"D001223031")</f>
        <v>D001223031</v>
      </c>
      <c r="K1884" s="65" t="str">
        <f>IFERROR(__xludf.DUMMYFUNCTION("""COMPUTED_VALUE"""),"ENTREGADO")</f>
        <v>ENTREGADO</v>
      </c>
      <c r="L1884" s="65" t="str">
        <f>IFERROR(__xludf.DUMMYFUNCTION("""COMPUTED_VALUE"""),"CON RECAUDO")</f>
        <v>CON RECAUDO</v>
      </c>
      <c r="M1884" s="65" t="str">
        <f>IFERROR(__xludf.DUMMYFUNCTION("""COMPUTED_VALUE"""),"IMBABURA")</f>
        <v>IMBABURA</v>
      </c>
      <c r="N1884" s="65" t="str">
        <f>IFERROR(__xludf.DUMMYFUNCTION("""COMPUTED_VALUE"""),"COTACACHI")</f>
        <v>COTACACHI</v>
      </c>
      <c r="O1884" s="65" t="str">
        <f>IFERROR(__xludf.DUMMYFUNCTION("""COMPUTED_VALUE"""),"Hospital Basico De Cotacachi - Segundo Luis Moreno -")</f>
        <v>Hospital Basico De Cotacachi - Segundo Luis Moreno -</v>
      </c>
      <c r="P1884" s="65"/>
      <c r="Q1884" s="65" t="str">
        <f>IFERROR(__xludf.DUMMYFUNCTION("""COMPUTED_VALUE"""),"GINTRACOM")</f>
        <v>GINTRACOM</v>
      </c>
      <c r="R1884" s="65">
        <f>IFERROR(__xludf.DUMMYFUNCTION("""COMPUTED_VALUE"""),22.0)</f>
        <v>22</v>
      </c>
      <c r="S1884" s="65">
        <f>IFERROR(__xludf.DUMMYFUNCTION("""COMPUTED_VALUE"""),10.39)</f>
        <v>10.39</v>
      </c>
      <c r="T1884" s="65">
        <f>IFERROR(__xludf.DUMMYFUNCTION("""COMPUTED_VALUE"""),6.41)</f>
        <v>6.41</v>
      </c>
      <c r="U1884" s="65">
        <f>IFERROR(__xludf.DUMMYFUNCTION("""COMPUTED_VALUE"""),0.0)</f>
        <v>0</v>
      </c>
      <c r="V1884" s="65">
        <f>IFERROR(__xludf.DUMMYFUNCTION("""COMPUTED_VALUE"""),0.0)</f>
        <v>0</v>
      </c>
      <c r="W1884" s="65">
        <f>IFERROR(__xludf.DUMMYFUNCTION("""COMPUTED_VALUE"""),0.0)</f>
        <v>0</v>
      </c>
      <c r="X1884" s="65">
        <f>IFERROR(__xludf.DUMMYFUNCTION("""COMPUTED_VALUE"""),2.6)</f>
        <v>2.6</v>
      </c>
      <c r="Y1884" s="65">
        <f>IFERROR(__xludf.DUMMYFUNCTION("""COMPUTED_VALUE"""),5.2)</f>
        <v>5.2</v>
      </c>
      <c r="Z1884" s="65">
        <f>IFERROR(__xludf.DUMMYFUNCTION("""COMPUTED_VALUE"""),121983.0)</f>
        <v>121983</v>
      </c>
      <c r="AA1884" s="65" t="str">
        <f>IFERROR(__xludf.DUMMYFUNCTION("""COMPUTED_VALUE"""),"PROV-CHLLCF")</f>
        <v>PROV-CHLLCF</v>
      </c>
      <c r="AB1884" s="65"/>
      <c r="AC1884" s="65" t="str">
        <f>IFERROR(__xludf.DUMMYFUNCTION("""COMPUTED_VALUE"""),"CUCHILLO PARA CHEF")</f>
        <v>CUCHILLO PARA CHEF</v>
      </c>
      <c r="AD1884" s="65"/>
      <c r="AE1884" s="65">
        <f>IFERROR(__xludf.DUMMYFUNCTION("""COMPUTED_VALUE"""),2.0)</f>
        <v>2</v>
      </c>
      <c r="AF1884" s="65"/>
      <c r="AG1884" s="65"/>
      <c r="AH1884" s="65"/>
      <c r="AI1884" s="65"/>
      <c r="AJ1884" s="65"/>
      <c r="AK1884" s="65"/>
      <c r="AL1884" s="65"/>
      <c r="AM1884" s="65"/>
      <c r="AN1884" s="65" t="str">
        <f>IFERROR(__xludf.DUMMYFUNCTION("""COMPUTED_VALUE"""),"08:52")</f>
        <v>08:52</v>
      </c>
      <c r="AO1884" s="65" t="str">
        <f>IFERROR(__xludf.DUMMYFUNCTION("""COMPUTED_VALUE"""),"16-01-2026")</f>
        <v>16-01-2026</v>
      </c>
      <c r="AP1884" s="65" t="str">
        <f>IFERROR(__xludf.DUMMYFUNCTION("""COMPUTED_VALUE"""),"EN REPARTO")</f>
        <v>EN REPARTO</v>
      </c>
      <c r="AQ1884" s="65" t="str">
        <f>IFERROR(__xludf.DUMMYFUNCTION("""COMPUTED_VALUE"""),"EN REPARTO")</f>
        <v>EN REPARTO</v>
      </c>
      <c r="AR1884" s="65"/>
      <c r="AS1884" s="65"/>
      <c r="AT1884" s="65" t="str">
        <f>IFERROR(__xludf.DUMMYFUNCTION("""COMPUTED_VALUE"""),"SHOPIFY")</f>
        <v>SHOPIFY</v>
      </c>
      <c r="AU1884" s="65" t="str">
        <f>IFERROR(__xludf.DUMMYFUNCTION("""COMPUTED_VALUE"""),"IMPORTEX EC")</f>
        <v>IMPORTEX EC</v>
      </c>
      <c r="AV1884" s="65" t="str">
        <f>IFERROR(__xludf.DUMMYFUNCTION("""COMPUTED_VALUE"""),"6410395484204")</f>
        <v>6410395484204</v>
      </c>
      <c r="AW1884" s="65">
        <f>IFERROR(__xludf.DUMMYFUNCTION("""COMPUTED_VALUE"""),5069.0)</f>
        <v>5069</v>
      </c>
      <c r="AX1884" s="65"/>
      <c r="AY1884" s="65" t="str">
        <f>IFERROR(__xludf.DUMMYFUNCTION("""COMPUTED_VALUE"""),"14/01/2026")</f>
        <v>14/01/2026</v>
      </c>
      <c r="AZ1884" s="65"/>
      <c r="BA1884" s="65"/>
    </row>
    <row r="1885">
      <c r="A1885" s="65" t="str">
        <f>IFERROR(__xludf.DUMMYFUNCTION("""COMPUTED_VALUE"""),"27-03-2026")</f>
        <v>27-03-2026</v>
      </c>
      <c r="B1885" s="65">
        <f>IFERROR(__xludf.DUMMYFUNCTION("""COMPUTED_VALUE"""),4125246.0)</f>
        <v>4125246</v>
      </c>
      <c r="C1885" s="65" t="str">
        <f>IFERROR(__xludf.DUMMYFUNCTION("""COMPUTED_VALUE"""),"21:57")</f>
        <v>21:57</v>
      </c>
      <c r="D1885" s="65" t="str">
        <f>IFERROR(__xludf.DUMMYFUNCTION("""COMPUTED_VALUE"""),"12-01-2026")</f>
        <v>12-01-2026</v>
      </c>
      <c r="E1885" s="65" t="str">
        <f>IFERROR(__xludf.DUMMYFUNCTION("""COMPUTED_VALUE"""),"Norma Villanueva Rizo Villanueva Rizo")</f>
        <v>Norma Villanueva Rizo Villanueva Rizo</v>
      </c>
      <c r="F1885" s="65" t="str">
        <f>IFERROR(__xludf.DUMMYFUNCTION("""COMPUTED_VALUE"""),"989953003")</f>
        <v>989953003</v>
      </c>
      <c r="G1885" s="65" t="str">
        <f>IFERROR(__xludf.DUMMYFUNCTION("""COMPUTED_VALUE"""),"normalourdes@hotmail.es")</f>
        <v>normalourdes@hotmail.es</v>
      </c>
      <c r="H1885" s="65"/>
      <c r="I1885" s="65"/>
      <c r="J1885" s="65" t="str">
        <f>IFERROR(__xludf.DUMMYFUNCTION("""COMPUTED_VALUE"""),"D001223032")</f>
        <v>D001223032</v>
      </c>
      <c r="K1885" s="65" t="str">
        <f>IFERROR(__xludf.DUMMYFUNCTION("""COMPUTED_VALUE"""),"ENTREGADO")</f>
        <v>ENTREGADO</v>
      </c>
      <c r="L1885" s="65" t="str">
        <f>IFERROR(__xludf.DUMMYFUNCTION("""COMPUTED_VALUE"""),"CON RECAUDO")</f>
        <v>CON RECAUDO</v>
      </c>
      <c r="M1885" s="65" t="str">
        <f>IFERROR(__xludf.DUMMYFUNCTION("""COMPUTED_VALUE"""),"LOS RIOS")</f>
        <v>LOS RIOS</v>
      </c>
      <c r="N1885" s="65" t="str">
        <f>IFERROR(__xludf.DUMMYFUNCTION("""COMPUTED_VALUE"""),"QUEVEDO")</f>
        <v>QUEVEDO</v>
      </c>
      <c r="O1885" s="65" t="str">
        <f>IFERROR(__xludf.DUMMYFUNCTION("""COMPUTED_VALUE"""),"Av.Quito, Parroquia Nicolás Infante Díaz, calle 15 de noviembre, ingreso x la ferretería Fong. Primera cuadra a la izquierda. Casa de dos pisos de cerámica -")</f>
        <v>Av.Quito, Parroquia Nicolás Infante Díaz, calle 15 de noviembre, ingreso x la ferretería Fong. Primera cuadra a la izquierda. Casa de dos pisos de cerámica -</v>
      </c>
      <c r="P1885" s="65"/>
      <c r="Q1885" s="65" t="str">
        <f>IFERROR(__xludf.DUMMYFUNCTION("""COMPUTED_VALUE"""),"GINTRACOM")</f>
        <v>GINTRACOM</v>
      </c>
      <c r="R1885" s="65">
        <f>IFERROR(__xludf.DUMMYFUNCTION("""COMPUTED_VALUE"""),22.0)</f>
        <v>22</v>
      </c>
      <c r="S1885" s="65">
        <f>IFERROR(__xludf.DUMMYFUNCTION("""COMPUTED_VALUE"""),10.96)</f>
        <v>10.96</v>
      </c>
      <c r="T1885" s="65">
        <f>IFERROR(__xludf.DUMMYFUNCTION("""COMPUTED_VALUE"""),5.84)</f>
        <v>5.84</v>
      </c>
      <c r="U1885" s="65">
        <f>IFERROR(__xludf.DUMMYFUNCTION("""COMPUTED_VALUE"""),0.0)</f>
        <v>0</v>
      </c>
      <c r="V1885" s="65">
        <f>IFERROR(__xludf.DUMMYFUNCTION("""COMPUTED_VALUE"""),0.0)</f>
        <v>0</v>
      </c>
      <c r="W1885" s="65">
        <f>IFERROR(__xludf.DUMMYFUNCTION("""COMPUTED_VALUE"""),0.0)</f>
        <v>0</v>
      </c>
      <c r="X1885" s="65">
        <f>IFERROR(__xludf.DUMMYFUNCTION("""COMPUTED_VALUE"""),2.6)</f>
        <v>2.6</v>
      </c>
      <c r="Y1885" s="65">
        <f>IFERROR(__xludf.DUMMYFUNCTION("""COMPUTED_VALUE"""),5.2)</f>
        <v>5.2</v>
      </c>
      <c r="Z1885" s="65">
        <f>IFERROR(__xludf.DUMMYFUNCTION("""COMPUTED_VALUE"""),121983.0)</f>
        <v>121983</v>
      </c>
      <c r="AA1885" s="65" t="str">
        <f>IFERROR(__xludf.DUMMYFUNCTION("""COMPUTED_VALUE"""),"PROV-CHLLCF")</f>
        <v>PROV-CHLLCF</v>
      </c>
      <c r="AB1885" s="65"/>
      <c r="AC1885" s="65" t="str">
        <f>IFERROR(__xludf.DUMMYFUNCTION("""COMPUTED_VALUE"""),"CUCHILLO PARA CHEF")</f>
        <v>CUCHILLO PARA CHEF</v>
      </c>
      <c r="AD1885" s="65"/>
      <c r="AE1885" s="65">
        <f>IFERROR(__xludf.DUMMYFUNCTION("""COMPUTED_VALUE"""),2.0)</f>
        <v>2</v>
      </c>
      <c r="AF1885" s="65"/>
      <c r="AG1885" s="65"/>
      <c r="AH1885" s="65"/>
      <c r="AI1885" s="65"/>
      <c r="AJ1885" s="65"/>
      <c r="AK1885" s="65"/>
      <c r="AL1885" s="65"/>
      <c r="AM1885" s="65"/>
      <c r="AN1885" s="65" t="str">
        <f>IFERROR(__xludf.DUMMYFUNCTION("""COMPUTED_VALUE"""),"01:32")</f>
        <v>01:32</v>
      </c>
      <c r="AO1885" s="65" t="str">
        <f>IFERROR(__xludf.DUMMYFUNCTION("""COMPUTED_VALUE"""),"21-01-2026")</f>
        <v>21-01-2026</v>
      </c>
      <c r="AP1885" s="65" t="str">
        <f>IFERROR(__xludf.DUMMYFUNCTION("""COMPUTED_VALUE"""),"ENTREGADA GINTRACOM")</f>
        <v>ENTREGADA GINTRACOM</v>
      </c>
      <c r="AQ1885" s="65" t="str">
        <f>IFERROR(__xludf.DUMMYFUNCTION("""COMPUTED_VALUE"""),"ENTREGADA GINTRACOM")</f>
        <v>ENTREGADA GINTRACOM</v>
      </c>
      <c r="AR1885" s="65"/>
      <c r="AS1885" s="65"/>
      <c r="AT1885" s="65" t="str">
        <f>IFERROR(__xludf.DUMMYFUNCTION("""COMPUTED_VALUE"""),"SHOPIFY")</f>
        <v>SHOPIFY</v>
      </c>
      <c r="AU1885" s="65" t="str">
        <f>IFERROR(__xludf.DUMMYFUNCTION("""COMPUTED_VALUE"""),"IMPORTEX EC")</f>
        <v>IMPORTEX EC</v>
      </c>
      <c r="AV1885" s="65" t="str">
        <f>IFERROR(__xludf.DUMMYFUNCTION("""COMPUTED_VALUE"""),"6410387718188")</f>
        <v>6410387718188</v>
      </c>
      <c r="AW1885" s="65">
        <f>IFERROR(__xludf.DUMMYFUNCTION("""COMPUTED_VALUE"""),5068.0)</f>
        <v>5068</v>
      </c>
      <c r="AX1885" s="65"/>
      <c r="AY1885" s="65" t="str">
        <f>IFERROR(__xludf.DUMMYFUNCTION("""COMPUTED_VALUE"""),"14/01/2026")</f>
        <v>14/01/2026</v>
      </c>
      <c r="AZ1885" s="65"/>
      <c r="BA1885" s="65"/>
    </row>
    <row r="1886">
      <c r="A1886" s="65" t="str">
        <f>IFERROR(__xludf.DUMMYFUNCTION("""COMPUTED_VALUE"""),"27-03-2026")</f>
        <v>27-03-2026</v>
      </c>
      <c r="B1886" s="65">
        <f>IFERROR(__xludf.DUMMYFUNCTION("""COMPUTED_VALUE"""),4125178.0)</f>
        <v>4125178</v>
      </c>
      <c r="C1886" s="65" t="str">
        <f>IFERROR(__xludf.DUMMYFUNCTION("""COMPUTED_VALUE"""),"21:53")</f>
        <v>21:53</v>
      </c>
      <c r="D1886" s="65" t="str">
        <f>IFERROR(__xludf.DUMMYFUNCTION("""COMPUTED_VALUE"""),"12-01-2026")</f>
        <v>12-01-2026</v>
      </c>
      <c r="E1886" s="65" t="str">
        <f>IFERROR(__xludf.DUMMYFUNCTION("""COMPUTED_VALUE"""),"Pedro Silvera")</f>
        <v>Pedro Silvera</v>
      </c>
      <c r="F1886" s="65" t="str">
        <f>IFERROR(__xludf.DUMMYFUNCTION("""COMPUTED_VALUE"""),"994577449")</f>
        <v>994577449</v>
      </c>
      <c r="G1886" s="65" t="str">
        <f>IFERROR(__xludf.DUMMYFUNCTION("""COMPUTED_VALUE"""),"pedrosilverasesme@hotmail.com")</f>
        <v>pedrosilverasesme@hotmail.com</v>
      </c>
      <c r="H1886" s="65"/>
      <c r="I1886" s="65"/>
      <c r="J1886" s="65" t="str">
        <f>IFERROR(__xludf.DUMMYFUNCTION("""COMPUTED_VALUE"""),"D001224249")</f>
        <v>D001224249</v>
      </c>
      <c r="K1886" s="65" t="str">
        <f>IFERROR(__xludf.DUMMYFUNCTION("""COMPUTED_VALUE"""),"ENTREGADO")</f>
        <v>ENTREGADO</v>
      </c>
      <c r="L1886" s="65" t="str">
        <f>IFERROR(__xludf.DUMMYFUNCTION("""COMPUTED_VALUE"""),"CON RECAUDO")</f>
        <v>CON RECAUDO</v>
      </c>
      <c r="M1886" s="65" t="str">
        <f>IFERROR(__xludf.DUMMYFUNCTION("""COMPUTED_VALUE"""),"GUAYAS")</f>
        <v>GUAYAS</v>
      </c>
      <c r="N1886" s="65" t="str">
        <f>IFERROR(__xludf.DUMMYFUNCTION("""COMPUTED_VALUE"""),"MILAGRO")</f>
        <v>MILAGRO</v>
      </c>
      <c r="O1886" s="65" t="str">
        <f>IFERROR(__xludf.DUMMYFUNCTION("""COMPUTED_VALUE"""),"Cdla Abdala bucaram calle julio jaramillo 412 juan León Mera Cdla Abdala bucaram - 500 metros más adelante de la Unidad Educativa Alec Peterson")</f>
        <v>Cdla Abdala bucaram calle julio jaramillo 412 juan León Mera Cdla Abdala bucaram - 500 metros más adelante de la Unidad Educativa Alec Peterson</v>
      </c>
      <c r="P1886" s="65"/>
      <c r="Q1886" s="65" t="str">
        <f>IFERROR(__xludf.DUMMYFUNCTION("""COMPUTED_VALUE"""),"GINTRACOM")</f>
        <v>GINTRACOM</v>
      </c>
      <c r="R1886" s="65">
        <f>IFERROR(__xludf.DUMMYFUNCTION("""COMPUTED_VALUE"""),30.0)</f>
        <v>30</v>
      </c>
      <c r="S1886" s="65">
        <f>IFERROR(__xludf.DUMMYFUNCTION("""COMPUTED_VALUE"""),16.79)</f>
        <v>16.79</v>
      </c>
      <c r="T1886" s="65">
        <f>IFERROR(__xludf.DUMMYFUNCTION("""COMPUTED_VALUE"""),6.16)</f>
        <v>6.16</v>
      </c>
      <c r="U1886" s="65">
        <f>IFERROR(__xludf.DUMMYFUNCTION("""COMPUTED_VALUE"""),0.0)</f>
        <v>0</v>
      </c>
      <c r="V1886" s="65">
        <f>IFERROR(__xludf.DUMMYFUNCTION("""COMPUTED_VALUE"""),0.0)</f>
        <v>0</v>
      </c>
      <c r="W1886" s="65">
        <f>IFERROR(__xludf.DUMMYFUNCTION("""COMPUTED_VALUE"""),0.0)</f>
        <v>0</v>
      </c>
      <c r="X1886" s="65">
        <f>IFERROR(__xludf.DUMMYFUNCTION("""COMPUTED_VALUE"""),2.35)</f>
        <v>2.35</v>
      </c>
      <c r="Y1886" s="65">
        <f>IFERROR(__xludf.DUMMYFUNCTION("""COMPUTED_VALUE"""),7.05)</f>
        <v>7.05</v>
      </c>
      <c r="Z1886" s="65">
        <f>IFERROR(__xludf.DUMMYFUNCTION("""COMPUTED_VALUE"""),116679.0)</f>
        <v>116679</v>
      </c>
      <c r="AA1886" s="65" t="str">
        <f>IFERROR(__xludf.DUMMYFUNCTION("""COMPUTED_VALUE"""),"AMC-2738")</f>
        <v>AMC-2738</v>
      </c>
      <c r="AB1886" s="65"/>
      <c r="AC1886" s="65" t="str">
        <f>IFERROR(__xludf.DUMMYFUNCTION("""COMPUTED_VALUE"""),"ESPONJA ANTILLUVIA DE PARABRISAS")</f>
        <v>ESPONJA ANTILLUVIA DE PARABRISAS</v>
      </c>
      <c r="AD1886" s="65"/>
      <c r="AE1886" s="65">
        <f>IFERROR(__xludf.DUMMYFUNCTION("""COMPUTED_VALUE"""),3.0)</f>
        <v>3</v>
      </c>
      <c r="AF1886" s="65"/>
      <c r="AG1886" s="65"/>
      <c r="AH1886" s="65"/>
      <c r="AI1886" s="65"/>
      <c r="AJ1886" s="65"/>
      <c r="AK1886" s="65"/>
      <c r="AL1886" s="65"/>
      <c r="AM1886" s="65"/>
      <c r="AN1886" s="65" t="str">
        <f>IFERROR(__xludf.DUMMYFUNCTION("""COMPUTED_VALUE"""),"11:46")</f>
        <v>11:46</v>
      </c>
      <c r="AO1886" s="65" t="str">
        <f>IFERROR(__xludf.DUMMYFUNCTION("""COMPUTED_VALUE"""),"16-01-2026")</f>
        <v>16-01-2026</v>
      </c>
      <c r="AP1886" s="65" t="str">
        <f>IFERROR(__xludf.DUMMYFUNCTION("""COMPUTED_VALUE"""),"EN REPARTO")</f>
        <v>EN REPARTO</v>
      </c>
      <c r="AQ1886" s="65" t="str">
        <f>IFERROR(__xludf.DUMMYFUNCTION("""COMPUTED_VALUE"""),"EN REPARTO")</f>
        <v>EN REPARTO</v>
      </c>
      <c r="AR1886" s="65"/>
      <c r="AS1886" s="65"/>
      <c r="AT1886" s="65" t="str">
        <f>IFERROR(__xludf.DUMMYFUNCTION("""COMPUTED_VALUE"""),"SHOPIFY")</f>
        <v>SHOPIFY</v>
      </c>
      <c r="AU1886" s="65" t="str">
        <f>IFERROR(__xludf.DUMMYFUNCTION("""COMPUTED_VALUE"""),"IMPORTEX EC")</f>
        <v>IMPORTEX EC</v>
      </c>
      <c r="AV1886" s="65" t="str">
        <f>IFERROR(__xludf.DUMMYFUNCTION("""COMPUTED_VALUE"""),"6410376773676")</f>
        <v>6410376773676</v>
      </c>
      <c r="AW1886" s="65">
        <f>IFERROR(__xludf.DUMMYFUNCTION("""COMPUTED_VALUE"""),5067.0)</f>
        <v>5067</v>
      </c>
      <c r="AX1886" s="65"/>
      <c r="AY1886" s="65" t="str">
        <f>IFERROR(__xludf.DUMMYFUNCTION("""COMPUTED_VALUE"""),"14/01/2026")</f>
        <v>14/01/2026</v>
      </c>
      <c r="AZ1886" s="65"/>
      <c r="BA1886" s="65"/>
    </row>
    <row r="1887">
      <c r="A1887" s="65" t="str">
        <f>IFERROR(__xludf.DUMMYFUNCTION("""COMPUTED_VALUE"""),"27-03-2026")</f>
        <v>27-03-2026</v>
      </c>
      <c r="B1887" s="65">
        <f>IFERROR(__xludf.DUMMYFUNCTION("""COMPUTED_VALUE"""),4125172.0)</f>
        <v>4125172</v>
      </c>
      <c r="C1887" s="65" t="str">
        <f>IFERROR(__xludf.DUMMYFUNCTION("""COMPUTED_VALUE"""),"21:52")</f>
        <v>21:52</v>
      </c>
      <c r="D1887" s="65" t="str">
        <f>IFERROR(__xludf.DUMMYFUNCTION("""COMPUTED_VALUE"""),"12-01-2026")</f>
        <v>12-01-2026</v>
      </c>
      <c r="E1887" s="65" t="str">
        <f>IFERROR(__xludf.DUMMYFUNCTION("""COMPUTED_VALUE"""),"Fernando Jaramillo")</f>
        <v>Fernando Jaramillo</v>
      </c>
      <c r="F1887" s="65" t="str">
        <f>IFERROR(__xludf.DUMMYFUNCTION("""COMPUTED_VALUE"""),"999741843")</f>
        <v>999741843</v>
      </c>
      <c r="G1887" s="65" t="str">
        <f>IFERROR(__xludf.DUMMYFUNCTION("""COMPUTED_VALUE"""),"fjavo25@hotmail.com")</f>
        <v>fjavo25@hotmail.com</v>
      </c>
      <c r="H1887" s="65"/>
      <c r="I1887" s="65"/>
      <c r="J1887" s="65" t="str">
        <f>IFERROR(__xludf.DUMMYFUNCTION("""COMPUTED_VALUE"""),"D001224250")</f>
        <v>D001224250</v>
      </c>
      <c r="K1887" s="65" t="str">
        <f>IFERROR(__xludf.DUMMYFUNCTION("""COMPUTED_VALUE"""),"ENTREGADO")</f>
        <v>ENTREGADO</v>
      </c>
      <c r="L1887" s="65" t="str">
        <f>IFERROR(__xludf.DUMMYFUNCTION("""COMPUTED_VALUE"""),"CON RECAUDO")</f>
        <v>CON RECAUDO</v>
      </c>
      <c r="M1887" s="65" t="str">
        <f>IFERROR(__xludf.DUMMYFUNCTION("""COMPUTED_VALUE"""),"PICHINCHA")</f>
        <v>PICHINCHA</v>
      </c>
      <c r="N1887" s="65" t="str">
        <f>IFERROR(__xludf.DUMMYFUNCTION("""COMPUTED_VALUE"""),"QUITO")</f>
        <v>QUITO</v>
      </c>
      <c r="O1887" s="65" t="str">
        <f>IFERROR(__xludf.DUMMYFUNCTION("""COMPUTED_VALUE"""),"El tiempo N39 64 y el telegrafo Av los Shyris - Casa Blanca de filos negros y 3 pisos con balcones.- Diagonal al edificio El Espejismo")</f>
        <v>El tiempo N39 64 y el telegrafo Av los Shyris - Casa Blanca de filos negros y 3 pisos con balcones.- Diagonal al edificio El Espejismo</v>
      </c>
      <c r="P1887" s="65"/>
      <c r="Q1887" s="65" t="str">
        <f>IFERROR(__xludf.DUMMYFUNCTION("""COMPUTED_VALUE"""),"GINTRACOM")</f>
        <v>GINTRACOM</v>
      </c>
      <c r="R1887" s="65">
        <f>IFERROR(__xludf.DUMMYFUNCTION("""COMPUTED_VALUE"""),30.0)</f>
        <v>30</v>
      </c>
      <c r="S1887" s="65">
        <f>IFERROR(__xludf.DUMMYFUNCTION("""COMPUTED_VALUE"""),18.4)</f>
        <v>18.4</v>
      </c>
      <c r="T1887" s="65">
        <f>IFERROR(__xludf.DUMMYFUNCTION("""COMPUTED_VALUE"""),4.55)</f>
        <v>4.55</v>
      </c>
      <c r="U1887" s="65">
        <f>IFERROR(__xludf.DUMMYFUNCTION("""COMPUTED_VALUE"""),0.0)</f>
        <v>0</v>
      </c>
      <c r="V1887" s="65">
        <f>IFERROR(__xludf.DUMMYFUNCTION("""COMPUTED_VALUE"""),0.0)</f>
        <v>0</v>
      </c>
      <c r="W1887" s="65">
        <f>IFERROR(__xludf.DUMMYFUNCTION("""COMPUTED_VALUE"""),0.0)</f>
        <v>0</v>
      </c>
      <c r="X1887" s="65">
        <f>IFERROR(__xludf.DUMMYFUNCTION("""COMPUTED_VALUE"""),2.35)</f>
        <v>2.35</v>
      </c>
      <c r="Y1887" s="65">
        <f>IFERROR(__xludf.DUMMYFUNCTION("""COMPUTED_VALUE"""),7.05)</f>
        <v>7.05</v>
      </c>
      <c r="Z1887" s="65">
        <f>IFERROR(__xludf.DUMMYFUNCTION("""COMPUTED_VALUE"""),116679.0)</f>
        <v>116679</v>
      </c>
      <c r="AA1887" s="65" t="str">
        <f>IFERROR(__xludf.DUMMYFUNCTION("""COMPUTED_VALUE"""),"AMC-2738")</f>
        <v>AMC-2738</v>
      </c>
      <c r="AB1887" s="65"/>
      <c r="AC1887" s="65" t="str">
        <f>IFERROR(__xludf.DUMMYFUNCTION("""COMPUTED_VALUE"""),"ESPONJA ANTILLUVIA DE PARABRISAS")</f>
        <v>ESPONJA ANTILLUVIA DE PARABRISAS</v>
      </c>
      <c r="AD1887" s="65"/>
      <c r="AE1887" s="65">
        <f>IFERROR(__xludf.DUMMYFUNCTION("""COMPUTED_VALUE"""),3.0)</f>
        <v>3</v>
      </c>
      <c r="AF1887" s="65"/>
      <c r="AG1887" s="65"/>
      <c r="AH1887" s="65"/>
      <c r="AI1887" s="65"/>
      <c r="AJ1887" s="65"/>
      <c r="AK1887" s="65"/>
      <c r="AL1887" s="65"/>
      <c r="AM1887" s="65"/>
      <c r="AN1887" s="65" t="str">
        <f>IFERROR(__xludf.DUMMYFUNCTION("""COMPUTED_VALUE"""),"10:34")</f>
        <v>10:34</v>
      </c>
      <c r="AO1887" s="65" t="str">
        <f>IFERROR(__xludf.DUMMYFUNCTION("""COMPUTED_VALUE"""),"16-01-2026")</f>
        <v>16-01-2026</v>
      </c>
      <c r="AP1887" s="65" t="str">
        <f>IFERROR(__xludf.DUMMYFUNCTION("""COMPUTED_VALUE"""),"ENTREGADA GINTRACOM")</f>
        <v>ENTREGADA GINTRACOM</v>
      </c>
      <c r="AQ1887" s="65" t="str">
        <f>IFERROR(__xludf.DUMMYFUNCTION("""COMPUTED_VALUE"""),"ENTREGADA GINTRACOM")</f>
        <v>ENTREGADA GINTRACOM</v>
      </c>
      <c r="AR1887" s="65"/>
      <c r="AS1887" s="65"/>
      <c r="AT1887" s="65" t="str">
        <f>IFERROR(__xludf.DUMMYFUNCTION("""COMPUTED_VALUE"""),"SHOPIFY")</f>
        <v>SHOPIFY</v>
      </c>
      <c r="AU1887" s="65" t="str">
        <f>IFERROR(__xludf.DUMMYFUNCTION("""COMPUTED_VALUE"""),"IMPORTEX EC")</f>
        <v>IMPORTEX EC</v>
      </c>
      <c r="AV1887" s="65" t="str">
        <f>IFERROR(__xludf.DUMMYFUNCTION("""COMPUTED_VALUE"""),"6410375561260")</f>
        <v>6410375561260</v>
      </c>
      <c r="AW1887" s="65">
        <f>IFERROR(__xludf.DUMMYFUNCTION("""COMPUTED_VALUE"""),5066.0)</f>
        <v>5066</v>
      </c>
      <c r="AX1887" s="65"/>
      <c r="AY1887" s="65" t="str">
        <f>IFERROR(__xludf.DUMMYFUNCTION("""COMPUTED_VALUE"""),"14/01/2026")</f>
        <v>14/01/2026</v>
      </c>
      <c r="AZ1887" s="65"/>
      <c r="BA1887" s="65"/>
    </row>
    <row r="1888">
      <c r="A1888" s="65" t="str">
        <f>IFERROR(__xludf.DUMMYFUNCTION("""COMPUTED_VALUE"""),"27-03-2026")</f>
        <v>27-03-2026</v>
      </c>
      <c r="B1888" s="65">
        <f>IFERROR(__xludf.DUMMYFUNCTION("""COMPUTED_VALUE"""),4125046.0)</f>
        <v>4125046</v>
      </c>
      <c r="C1888" s="65" t="str">
        <f>IFERROR(__xludf.DUMMYFUNCTION("""COMPUTED_VALUE"""),"21:44")</f>
        <v>21:44</v>
      </c>
      <c r="D1888" s="65" t="str">
        <f>IFERROR(__xludf.DUMMYFUNCTION("""COMPUTED_VALUE"""),"12-01-2026")</f>
        <v>12-01-2026</v>
      </c>
      <c r="E1888" s="65" t="str">
        <f>IFERROR(__xludf.DUMMYFUNCTION("""COMPUTED_VALUE"""),"Ronny Farinango Salazar")</f>
        <v>Ronny Farinango Salazar</v>
      </c>
      <c r="F1888" s="65" t="str">
        <f>IFERROR(__xludf.DUMMYFUNCTION("""COMPUTED_VALUE"""),"998250734")</f>
        <v>998250734</v>
      </c>
      <c r="G1888" s="65" t="str">
        <f>IFERROR(__xludf.DUMMYFUNCTION("""COMPUTED_VALUE"""),"rafs3107@gmail.com")</f>
        <v>rafs3107@gmail.com</v>
      </c>
      <c r="H1888" s="65"/>
      <c r="I1888" s="65"/>
      <c r="J1888" s="65" t="str">
        <f>IFERROR(__xludf.DUMMYFUNCTION("""COMPUTED_VALUE"""),"D001219477")</f>
        <v>D001219477</v>
      </c>
      <c r="K1888" s="65" t="str">
        <f>IFERROR(__xludf.DUMMYFUNCTION("""COMPUTED_VALUE"""),"ENTREGADO")</f>
        <v>ENTREGADO</v>
      </c>
      <c r="L1888" s="65" t="str">
        <f>IFERROR(__xludf.DUMMYFUNCTION("""COMPUTED_VALUE"""),"CON RECAUDO")</f>
        <v>CON RECAUDO</v>
      </c>
      <c r="M1888" s="65" t="str">
        <f>IFERROR(__xludf.DUMMYFUNCTION("""COMPUTED_VALUE"""),"EL ORO")</f>
        <v>EL ORO</v>
      </c>
      <c r="N1888" s="65" t="str">
        <f>IFERROR(__xludf.DUMMYFUNCTION("""COMPUTED_VALUE"""),"MACHALA")</f>
        <v>MACHALA</v>
      </c>
      <c r="O1888" s="65" t="str">
        <f>IFERROR(__xludf.DUMMYFUNCTION("""COMPUTED_VALUE"""),"Av. Napoleón Mera y Calle 1era B norte - Ref. junto a hotel Grehis")</f>
        <v>Av. Napoleón Mera y Calle 1era B norte - Ref. junto a hotel Grehis</v>
      </c>
      <c r="P1888" s="65"/>
      <c r="Q1888" s="65" t="str">
        <f>IFERROR(__xludf.DUMMYFUNCTION("""COMPUTED_VALUE"""),"GINTRACOM")</f>
        <v>GINTRACOM</v>
      </c>
      <c r="R1888" s="65">
        <f>IFERROR(__xludf.DUMMYFUNCTION("""COMPUTED_VALUE"""),25.0)</f>
        <v>25</v>
      </c>
      <c r="S1888" s="65">
        <f>IFERROR(__xludf.DUMMYFUNCTION("""COMPUTED_VALUE"""),14.34)</f>
        <v>14.34</v>
      </c>
      <c r="T1888" s="65">
        <f>IFERROR(__xludf.DUMMYFUNCTION("""COMPUTED_VALUE"""),5.96)</f>
        <v>5.96</v>
      </c>
      <c r="U1888" s="65">
        <f>IFERROR(__xludf.DUMMYFUNCTION("""COMPUTED_VALUE"""),0.0)</f>
        <v>0</v>
      </c>
      <c r="V1888" s="65">
        <f>IFERROR(__xludf.DUMMYFUNCTION("""COMPUTED_VALUE"""),0.0)</f>
        <v>0</v>
      </c>
      <c r="W1888" s="65">
        <f>IFERROR(__xludf.DUMMYFUNCTION("""COMPUTED_VALUE"""),0.0)</f>
        <v>0</v>
      </c>
      <c r="X1888" s="65">
        <f>IFERROR(__xludf.DUMMYFUNCTION("""COMPUTED_VALUE"""),2.35)</f>
        <v>2.35</v>
      </c>
      <c r="Y1888" s="65">
        <f>IFERROR(__xludf.DUMMYFUNCTION("""COMPUTED_VALUE"""),4.7)</f>
        <v>4.7</v>
      </c>
      <c r="Z1888" s="65">
        <f>IFERROR(__xludf.DUMMYFUNCTION("""COMPUTED_VALUE"""),116679.0)</f>
        <v>116679</v>
      </c>
      <c r="AA1888" s="65" t="str">
        <f>IFERROR(__xludf.DUMMYFUNCTION("""COMPUTED_VALUE"""),"AMC-2738")</f>
        <v>AMC-2738</v>
      </c>
      <c r="AB1888" s="65"/>
      <c r="AC1888" s="65" t="str">
        <f>IFERROR(__xludf.DUMMYFUNCTION("""COMPUTED_VALUE"""),"ESPONJA ANTILLUVIA DE PARABRISAS")</f>
        <v>ESPONJA ANTILLUVIA DE PARABRISAS</v>
      </c>
      <c r="AD1888" s="65"/>
      <c r="AE1888" s="65">
        <f>IFERROR(__xludf.DUMMYFUNCTION("""COMPUTED_VALUE"""),2.0)</f>
        <v>2</v>
      </c>
      <c r="AF1888" s="65"/>
      <c r="AG1888" s="65"/>
      <c r="AH1888" s="65"/>
      <c r="AI1888" s="65"/>
      <c r="AJ1888" s="65"/>
      <c r="AK1888" s="65"/>
      <c r="AL1888" s="65"/>
      <c r="AM1888" s="65"/>
      <c r="AN1888" s="65" t="str">
        <f>IFERROR(__xludf.DUMMYFUNCTION("""COMPUTED_VALUE"""),"15:18")</f>
        <v>15:18</v>
      </c>
      <c r="AO1888" s="65" t="str">
        <f>IFERROR(__xludf.DUMMYFUNCTION("""COMPUTED_VALUE"""),"16-01-2026")</f>
        <v>16-01-2026</v>
      </c>
      <c r="AP1888" s="65" t="str">
        <f>IFERROR(__xludf.DUMMYFUNCTION("""COMPUTED_VALUE"""),"ENTREGADA GINTRACOM")</f>
        <v>ENTREGADA GINTRACOM</v>
      </c>
      <c r="AQ1888" s="65" t="str">
        <f>IFERROR(__xludf.DUMMYFUNCTION("""COMPUTED_VALUE"""),"ENTREGADA GINTRACOM")</f>
        <v>ENTREGADA GINTRACOM</v>
      </c>
      <c r="AR1888" s="65"/>
      <c r="AS1888" s="65"/>
      <c r="AT1888" s="65" t="str">
        <f>IFERROR(__xludf.DUMMYFUNCTION("""COMPUTED_VALUE"""),"SHOPIFY")</f>
        <v>SHOPIFY</v>
      </c>
      <c r="AU1888" s="65" t="str">
        <f>IFERROR(__xludf.DUMMYFUNCTION("""COMPUTED_VALUE"""),"IMPORTEX EC")</f>
        <v>IMPORTEX EC</v>
      </c>
      <c r="AV1888" s="65" t="str">
        <f>IFERROR(__xludf.DUMMYFUNCTION("""COMPUTED_VALUE"""),"6410360389676")</f>
        <v>6410360389676</v>
      </c>
      <c r="AW1888" s="65">
        <f>IFERROR(__xludf.DUMMYFUNCTION("""COMPUTED_VALUE"""),5065.0)</f>
        <v>5065</v>
      </c>
      <c r="AX1888" s="65"/>
      <c r="AY1888" s="65" t="str">
        <f>IFERROR(__xludf.DUMMYFUNCTION("""COMPUTED_VALUE"""),"13/01/2026")</f>
        <v>13/01/2026</v>
      </c>
      <c r="AZ1888" s="65"/>
      <c r="BA1888" s="65"/>
    </row>
    <row r="1889">
      <c r="A1889" s="65" t="str">
        <f>IFERROR(__xludf.DUMMYFUNCTION("""COMPUTED_VALUE"""),"27-03-2026")</f>
        <v>27-03-2026</v>
      </c>
      <c r="B1889" s="65">
        <f>IFERROR(__xludf.DUMMYFUNCTION("""COMPUTED_VALUE"""),4124975.0)</f>
        <v>4124975</v>
      </c>
      <c r="C1889" s="65" t="str">
        <f>IFERROR(__xludf.DUMMYFUNCTION("""COMPUTED_VALUE"""),"21:39")</f>
        <v>21:39</v>
      </c>
      <c r="D1889" s="65" t="str">
        <f>IFERROR(__xludf.DUMMYFUNCTION("""COMPUTED_VALUE"""),"12-01-2026")</f>
        <v>12-01-2026</v>
      </c>
      <c r="E1889" s="65" t="str">
        <f>IFERROR(__xludf.DUMMYFUNCTION("""COMPUTED_VALUE"""),"Luis zuñiga")</f>
        <v>Luis zuñiga</v>
      </c>
      <c r="F1889" s="65" t="str">
        <f>IFERROR(__xludf.DUMMYFUNCTION("""COMPUTED_VALUE"""),"988314811")</f>
        <v>988314811</v>
      </c>
      <c r="G1889" s="65"/>
      <c r="H1889" s="65"/>
      <c r="I1889" s="65"/>
      <c r="J1889" s="65" t="str">
        <f>IFERROR(__xludf.DUMMYFUNCTION("""COMPUTED_VALUE"""),"D001218289")</f>
        <v>D001218289</v>
      </c>
      <c r="K1889" s="65" t="str">
        <f>IFERROR(__xludf.DUMMYFUNCTION("""COMPUTED_VALUE"""),"ENTREGADO")</f>
        <v>ENTREGADO</v>
      </c>
      <c r="L1889" s="65" t="str">
        <f>IFERROR(__xludf.DUMMYFUNCTION("""COMPUTED_VALUE"""),"CON RECAUDO")</f>
        <v>CON RECAUDO</v>
      </c>
      <c r="M1889" s="65" t="str">
        <f>IFERROR(__xludf.DUMMYFUNCTION("""COMPUTED_VALUE"""),"EL ORO")</f>
        <v>EL ORO</v>
      </c>
      <c r="N1889" s="65" t="str">
        <f>IFERROR(__xludf.DUMMYFUNCTION("""COMPUTED_VALUE"""),"SANTA ROSA")</f>
        <v>SANTA ROSA</v>
      </c>
      <c r="O1889" s="65" t="str">
        <f>IFERROR(__xludf.DUMMYFUNCTION("""COMPUTED_VALUE"""),"La calle es Avenida Sixto Duran Ballen entre Colón y Jambeli Diagonal a la IGLESIA DE LOS MORMONES")</f>
        <v>La calle es Avenida Sixto Duran Ballen entre Colón y Jambeli Diagonal a la IGLESIA DE LOS MORMONES</v>
      </c>
      <c r="P1889" s="65"/>
      <c r="Q1889" s="65" t="str">
        <f>IFERROR(__xludf.DUMMYFUNCTION("""COMPUTED_VALUE"""),"GINTRACOM")</f>
        <v>GINTRACOM</v>
      </c>
      <c r="R1889" s="65">
        <f>IFERROR(__xludf.DUMMYFUNCTION("""COMPUTED_VALUE"""),22.0)</f>
        <v>22</v>
      </c>
      <c r="S1889" s="65">
        <f>IFERROR(__xludf.DUMMYFUNCTION("""COMPUTED_VALUE"""),10.96)</f>
        <v>10.96</v>
      </c>
      <c r="T1889" s="65">
        <f>IFERROR(__xludf.DUMMYFUNCTION("""COMPUTED_VALUE"""),5.84)</f>
        <v>5.84</v>
      </c>
      <c r="U1889" s="65">
        <f>IFERROR(__xludf.DUMMYFUNCTION("""COMPUTED_VALUE"""),0.0)</f>
        <v>0</v>
      </c>
      <c r="V1889" s="65">
        <f>IFERROR(__xludf.DUMMYFUNCTION("""COMPUTED_VALUE"""),0.0)</f>
        <v>0</v>
      </c>
      <c r="W1889" s="65">
        <f>IFERROR(__xludf.DUMMYFUNCTION("""COMPUTED_VALUE"""),0.0)</f>
        <v>0</v>
      </c>
      <c r="X1889" s="65">
        <f>IFERROR(__xludf.DUMMYFUNCTION("""COMPUTED_VALUE"""),2.6)</f>
        <v>2.6</v>
      </c>
      <c r="Y1889" s="65">
        <f>IFERROR(__xludf.DUMMYFUNCTION("""COMPUTED_VALUE"""),5.2)</f>
        <v>5.2</v>
      </c>
      <c r="Z1889" s="65">
        <f>IFERROR(__xludf.DUMMYFUNCTION("""COMPUTED_VALUE"""),121983.0)</f>
        <v>121983</v>
      </c>
      <c r="AA1889" s="65" t="str">
        <f>IFERROR(__xludf.DUMMYFUNCTION("""COMPUTED_VALUE"""),"PROV-CHLLCF")</f>
        <v>PROV-CHLLCF</v>
      </c>
      <c r="AB1889" s="65"/>
      <c r="AC1889" s="65" t="str">
        <f>IFERROR(__xludf.DUMMYFUNCTION("""COMPUTED_VALUE"""),"CUCHILLO PARA CHEF")</f>
        <v>CUCHILLO PARA CHEF</v>
      </c>
      <c r="AD1889" s="65"/>
      <c r="AE1889" s="65">
        <f>IFERROR(__xludf.DUMMYFUNCTION("""COMPUTED_VALUE"""),2.0)</f>
        <v>2</v>
      </c>
      <c r="AF1889" s="65"/>
      <c r="AG1889" s="65"/>
      <c r="AH1889" s="65"/>
      <c r="AI1889" s="65"/>
      <c r="AJ1889" s="65"/>
      <c r="AK1889" s="65"/>
      <c r="AL1889" s="65"/>
      <c r="AM1889" s="65"/>
      <c r="AN1889" s="65" t="str">
        <f>IFERROR(__xludf.DUMMYFUNCTION("""COMPUTED_VALUE"""),"14:52")</f>
        <v>14:52</v>
      </c>
      <c r="AO1889" s="65" t="str">
        <f>IFERROR(__xludf.DUMMYFUNCTION("""COMPUTED_VALUE"""),"15-01-2026")</f>
        <v>15-01-2026</v>
      </c>
      <c r="AP1889" s="65" t="str">
        <f>IFERROR(__xludf.DUMMYFUNCTION("""COMPUTED_VALUE"""),"EN REPARTO")</f>
        <v>EN REPARTO</v>
      </c>
      <c r="AQ1889" s="65" t="str">
        <f>IFERROR(__xludf.DUMMYFUNCTION("""COMPUTED_VALUE"""),"EN REPARTO")</f>
        <v>EN REPARTO</v>
      </c>
      <c r="AR1889" s="65"/>
      <c r="AS1889" s="65"/>
      <c r="AT1889" s="65"/>
      <c r="AU1889" s="65"/>
      <c r="AV1889" s="65"/>
      <c r="AW1889" s="65"/>
      <c r="AX1889" s="65"/>
      <c r="AY1889" s="65" t="str">
        <f>IFERROR(__xludf.DUMMYFUNCTION("""COMPUTED_VALUE"""),"13/01/2026")</f>
        <v>13/01/2026</v>
      </c>
      <c r="AZ1889" s="65"/>
      <c r="BA1889" s="65"/>
    </row>
    <row r="1890">
      <c r="A1890" s="65" t="str">
        <f>IFERROR(__xludf.DUMMYFUNCTION("""COMPUTED_VALUE"""),"27-03-2026")</f>
        <v>27-03-2026</v>
      </c>
      <c r="B1890" s="65">
        <f>IFERROR(__xludf.DUMMYFUNCTION("""COMPUTED_VALUE"""),4124931.0)</f>
        <v>4124931</v>
      </c>
      <c r="C1890" s="65" t="str">
        <f>IFERROR(__xludf.DUMMYFUNCTION("""COMPUTED_VALUE"""),"21:36")</f>
        <v>21:36</v>
      </c>
      <c r="D1890" s="65" t="str">
        <f>IFERROR(__xludf.DUMMYFUNCTION("""COMPUTED_VALUE"""),"12-01-2026")</f>
        <v>12-01-2026</v>
      </c>
      <c r="E1890" s="65" t="str">
        <f>IFERROR(__xludf.DUMMYFUNCTION("""COMPUTED_VALUE"""),"Barnaby Jiménez Córdova")</f>
        <v>Barnaby Jiménez Córdova</v>
      </c>
      <c r="F1890" s="65" t="str">
        <f>IFERROR(__xludf.DUMMYFUNCTION("""COMPUTED_VALUE"""),"979146178")</f>
        <v>979146178</v>
      </c>
      <c r="G1890" s="65" t="str">
        <f>IFERROR(__xludf.DUMMYFUNCTION("""COMPUTED_VALUE"""),"barnaby.jimenez88@gmail.com")</f>
        <v>barnaby.jimenez88@gmail.com</v>
      </c>
      <c r="H1890" s="65"/>
      <c r="I1890" s="65"/>
      <c r="J1890" s="65"/>
      <c r="K1890" s="65" t="str">
        <f>IFERROR(__xludf.DUMMYFUNCTION("""COMPUTED_VALUE"""),"PENDIENTE CONFIRMACION")</f>
        <v>PENDIENTE CONFIRMACION</v>
      </c>
      <c r="L1890" s="65" t="str">
        <f>IFERROR(__xludf.DUMMYFUNCTION("""COMPUTED_VALUE"""),"CON RECAUDO")</f>
        <v>CON RECAUDO</v>
      </c>
      <c r="M1890" s="65" t="str">
        <f>IFERROR(__xludf.DUMMYFUNCTION("""COMPUTED_VALUE"""),"GUAYAS")</f>
        <v>GUAYAS</v>
      </c>
      <c r="N1890" s="65" t="str">
        <f>IFERROR(__xludf.DUMMYFUNCTION("""COMPUTED_VALUE"""),"GUAYAQUIL")</f>
        <v>GUAYAQUIL</v>
      </c>
      <c r="O1890" s="65" t="str">
        <f>IFERROR(__xludf.DUMMYFUNCTION("""COMPUTED_VALUE"""),"Edificio itb sede Naval Cdla Naval Norte -")</f>
        <v>Edificio itb sede Naval Cdla Naval Norte -</v>
      </c>
      <c r="P1890" s="65"/>
      <c r="Q1890" s="65" t="str">
        <f>IFERROR(__xludf.DUMMYFUNCTION("""COMPUTED_VALUE"""),"GINTRACOM")</f>
        <v>GINTRACOM</v>
      </c>
      <c r="R1890" s="65">
        <f>IFERROR(__xludf.DUMMYFUNCTION("""COMPUTED_VALUE"""),25.0)</f>
        <v>25</v>
      </c>
      <c r="S1890" s="65"/>
      <c r="T1890" s="65">
        <f>IFERROR(__xludf.DUMMYFUNCTION("""COMPUTED_VALUE"""),5.96)</f>
        <v>5.96</v>
      </c>
      <c r="U1890" s="65">
        <f>IFERROR(__xludf.DUMMYFUNCTION("""COMPUTED_VALUE"""),0.0)</f>
        <v>0</v>
      </c>
      <c r="V1890" s="65">
        <f>IFERROR(__xludf.DUMMYFUNCTION("""COMPUTED_VALUE"""),0.0)</f>
        <v>0</v>
      </c>
      <c r="W1890" s="65">
        <f>IFERROR(__xludf.DUMMYFUNCTION("""COMPUTED_VALUE"""),0.0)</f>
        <v>0</v>
      </c>
      <c r="X1890" s="65">
        <f>IFERROR(__xludf.DUMMYFUNCTION("""COMPUTED_VALUE"""),2.35)</f>
        <v>2.35</v>
      </c>
      <c r="Y1890" s="65">
        <f>IFERROR(__xludf.DUMMYFUNCTION("""COMPUTED_VALUE"""),4.7)</f>
        <v>4.7</v>
      </c>
      <c r="Z1890" s="65">
        <f>IFERROR(__xludf.DUMMYFUNCTION("""COMPUTED_VALUE"""),116679.0)</f>
        <v>116679</v>
      </c>
      <c r="AA1890" s="65" t="str">
        <f>IFERROR(__xludf.DUMMYFUNCTION("""COMPUTED_VALUE"""),"AMC-2738")</f>
        <v>AMC-2738</v>
      </c>
      <c r="AB1890" s="65"/>
      <c r="AC1890" s="65" t="str">
        <f>IFERROR(__xludf.DUMMYFUNCTION("""COMPUTED_VALUE"""),"ESPONJA ANTILLUVIA DE PARABRISAS")</f>
        <v>ESPONJA ANTILLUVIA DE PARABRISAS</v>
      </c>
      <c r="AD1890" s="65"/>
      <c r="AE1890" s="65">
        <f>IFERROR(__xludf.DUMMYFUNCTION("""COMPUTED_VALUE"""),2.0)</f>
        <v>2</v>
      </c>
      <c r="AF1890" s="65"/>
      <c r="AG1890" s="65"/>
      <c r="AH1890" s="65"/>
      <c r="AI1890" s="65"/>
      <c r="AJ1890" s="65"/>
      <c r="AK1890" s="65"/>
      <c r="AL1890" s="65"/>
      <c r="AM1890" s="65"/>
      <c r="AN1890" s="65"/>
      <c r="AO1890" s="65"/>
      <c r="AP1890" s="65"/>
      <c r="AQ1890" s="65"/>
      <c r="AR1890" s="65"/>
      <c r="AS1890" s="65"/>
      <c r="AT1890" s="65" t="str">
        <f>IFERROR(__xludf.DUMMYFUNCTION("""COMPUTED_VALUE"""),"SHOPIFY")</f>
        <v>SHOPIFY</v>
      </c>
      <c r="AU1890" s="65" t="str">
        <f>IFERROR(__xludf.DUMMYFUNCTION("""COMPUTED_VALUE"""),"IMPORTEX EC")</f>
        <v>IMPORTEX EC</v>
      </c>
      <c r="AV1890" s="65" t="str">
        <f>IFERROR(__xludf.DUMMYFUNCTION("""COMPUTED_VALUE"""),"6410346594348")</f>
        <v>6410346594348</v>
      </c>
      <c r="AW1890" s="65">
        <f>IFERROR(__xludf.DUMMYFUNCTION("""COMPUTED_VALUE"""),5064.0)</f>
        <v>5064</v>
      </c>
      <c r="AX1890" s="65"/>
      <c r="AY1890" s="65"/>
      <c r="AZ1890" s="65"/>
      <c r="BA1890" s="65"/>
    </row>
    <row r="1891">
      <c r="A1891" s="65" t="str">
        <f>IFERROR(__xludf.DUMMYFUNCTION("""COMPUTED_VALUE"""),"27-03-2026")</f>
        <v>27-03-2026</v>
      </c>
      <c r="B1891" s="65">
        <f>IFERROR(__xludf.DUMMYFUNCTION("""COMPUTED_VALUE"""),4124712.0)</f>
        <v>4124712</v>
      </c>
      <c r="C1891" s="65" t="str">
        <f>IFERROR(__xludf.DUMMYFUNCTION("""COMPUTED_VALUE"""),"21:25")</f>
        <v>21:25</v>
      </c>
      <c r="D1891" s="65" t="str">
        <f>IFERROR(__xludf.DUMMYFUNCTION("""COMPUTED_VALUE"""),"12-01-2026")</f>
        <v>12-01-2026</v>
      </c>
      <c r="E1891" s="65" t="str">
        <f>IFERROR(__xludf.DUMMYFUNCTION("""COMPUTED_VALUE"""),"Manuel Larco")</f>
        <v>Manuel Larco</v>
      </c>
      <c r="F1891" s="65" t="str">
        <f>IFERROR(__xludf.DUMMYFUNCTION("""COMPUTED_VALUE"""),"968001457")</f>
        <v>968001457</v>
      </c>
      <c r="G1891" s="65" t="str">
        <f>IFERROR(__xludf.DUMMYFUNCTION("""COMPUTED_VALUE"""),"manuellarcorivera@gmail.com")</f>
        <v>manuellarcorivera@gmail.com</v>
      </c>
      <c r="H1891" s="65"/>
      <c r="I1891" s="65"/>
      <c r="J1891" s="65"/>
      <c r="K1891" s="65" t="str">
        <f>IFERROR(__xludf.DUMMYFUNCTION("""COMPUTED_VALUE"""),"PENDIENTE CONFIRMACION")</f>
        <v>PENDIENTE CONFIRMACION</v>
      </c>
      <c r="L1891" s="65" t="str">
        <f>IFERROR(__xludf.DUMMYFUNCTION("""COMPUTED_VALUE"""),"CON RECAUDO")</f>
        <v>CON RECAUDO</v>
      </c>
      <c r="M1891" s="65" t="str">
        <f>IFERROR(__xludf.DUMMYFUNCTION("""COMPUTED_VALUE"""),"COTOPAXI")</f>
        <v>COTOPAXI</v>
      </c>
      <c r="N1891" s="65" t="str">
        <f>IFERROR(__xludf.DUMMYFUNCTION("""COMPUTED_VALUE"""),"LA MANA")</f>
        <v>LA MANA</v>
      </c>
      <c r="O1891" s="65" t="str">
        <f>IFERROR(__xludf.DUMMYFUNCTION("""COMPUTED_VALUE"""),"Calle pujilí y Acacias")</f>
        <v>Calle pujilí y Acacias</v>
      </c>
      <c r="P1891" s="65" t="str">
        <f>IFERROR(__xludf.DUMMYFUNCTION("""COMPUTED_VALUE"""),"ESPONJA ANTILLUVIA DE PARABRISAS: Default Title ***")</f>
        <v>ESPONJA ANTILLUVIA DE PARABRISAS: Default Title ***</v>
      </c>
      <c r="Q1891" s="65" t="str">
        <f>IFERROR(__xludf.DUMMYFUNCTION("""COMPUTED_VALUE"""),"GINTRACOM")</f>
        <v>GINTRACOM</v>
      </c>
      <c r="R1891" s="65">
        <f>IFERROR(__xludf.DUMMYFUNCTION("""COMPUTED_VALUE"""),20.0)</f>
        <v>20</v>
      </c>
      <c r="S1891" s="65"/>
      <c r="T1891" s="65">
        <f>IFERROR(__xludf.DUMMYFUNCTION("""COMPUTED_VALUE"""),5.76)</f>
        <v>5.76</v>
      </c>
      <c r="U1891" s="65">
        <f>IFERROR(__xludf.DUMMYFUNCTION("""COMPUTED_VALUE"""),0.0)</f>
        <v>0</v>
      </c>
      <c r="V1891" s="65">
        <f>IFERROR(__xludf.DUMMYFUNCTION("""COMPUTED_VALUE"""),0.0)</f>
        <v>0</v>
      </c>
      <c r="W1891" s="65">
        <f>IFERROR(__xludf.DUMMYFUNCTION("""COMPUTED_VALUE"""),0.0)</f>
        <v>0</v>
      </c>
      <c r="X1891" s="65">
        <f>IFERROR(__xludf.DUMMYFUNCTION("""COMPUTED_VALUE"""),2.35)</f>
        <v>2.35</v>
      </c>
      <c r="Y1891" s="65">
        <f>IFERROR(__xludf.DUMMYFUNCTION("""COMPUTED_VALUE"""),2.35)</f>
        <v>2.35</v>
      </c>
      <c r="Z1891" s="65">
        <f>IFERROR(__xludf.DUMMYFUNCTION("""COMPUTED_VALUE"""),116679.0)</f>
        <v>116679</v>
      </c>
      <c r="AA1891" s="65" t="str">
        <f>IFERROR(__xludf.DUMMYFUNCTION("""COMPUTED_VALUE"""),"AMC-2738")</f>
        <v>AMC-2738</v>
      </c>
      <c r="AB1891" s="65"/>
      <c r="AC1891" s="65" t="str">
        <f>IFERROR(__xludf.DUMMYFUNCTION("""COMPUTED_VALUE"""),"ESPONJA ANTILLUVIA DE PARABRISAS")</f>
        <v>ESPONJA ANTILLUVIA DE PARABRISAS</v>
      </c>
      <c r="AD1891" s="65"/>
      <c r="AE1891" s="65">
        <f>IFERROR(__xludf.DUMMYFUNCTION("""COMPUTED_VALUE"""),1.0)</f>
        <v>1</v>
      </c>
      <c r="AF1891" s="65"/>
      <c r="AG1891" s="65"/>
      <c r="AH1891" s="65"/>
      <c r="AI1891" s="65"/>
      <c r="AJ1891" s="65"/>
      <c r="AK1891" s="65"/>
      <c r="AL1891" s="65"/>
      <c r="AM1891" s="65"/>
      <c r="AN1891" s="65"/>
      <c r="AO1891" s="65"/>
      <c r="AP1891" s="65"/>
      <c r="AQ1891" s="65"/>
      <c r="AR1891" s="65"/>
      <c r="AS1891" s="65"/>
      <c r="AT1891" s="65" t="str">
        <f>IFERROR(__xludf.DUMMYFUNCTION("""COMPUTED_VALUE"""),"SHOPIFY")</f>
        <v>SHOPIFY</v>
      </c>
      <c r="AU1891" s="65" t="str">
        <f>IFERROR(__xludf.DUMMYFUNCTION("""COMPUTED_VALUE"""),"IMPORTEX EC")</f>
        <v>IMPORTEX EC</v>
      </c>
      <c r="AV1891" s="65" t="str">
        <f>IFERROR(__xludf.DUMMYFUNCTION("""COMPUTED_VALUE"""),"6410320871468")</f>
        <v>6410320871468</v>
      </c>
      <c r="AW1891" s="65">
        <f>IFERROR(__xludf.DUMMYFUNCTION("""COMPUTED_VALUE"""),5063.0)</f>
        <v>5063</v>
      </c>
      <c r="AX1891" s="65"/>
      <c r="AY1891" s="65"/>
      <c r="AZ1891" s="65"/>
      <c r="BA1891" s="65"/>
    </row>
    <row r="1892">
      <c r="A1892" s="65" t="str">
        <f>IFERROR(__xludf.DUMMYFUNCTION("""COMPUTED_VALUE"""),"27-03-2026")</f>
        <v>27-03-2026</v>
      </c>
      <c r="B1892" s="65">
        <f>IFERROR(__xludf.DUMMYFUNCTION("""COMPUTED_VALUE"""),4124567.0)</f>
        <v>4124567</v>
      </c>
      <c r="C1892" s="65" t="str">
        <f>IFERROR(__xludf.DUMMYFUNCTION("""COMPUTED_VALUE"""),"21:14")</f>
        <v>21:14</v>
      </c>
      <c r="D1892" s="65" t="str">
        <f>IFERROR(__xludf.DUMMYFUNCTION("""COMPUTED_VALUE"""),"12-01-2026")</f>
        <v>12-01-2026</v>
      </c>
      <c r="E1892" s="65" t="str">
        <f>IFERROR(__xludf.DUMMYFUNCTION("""COMPUTED_VALUE"""),"Claudio Ortiz")</f>
        <v>Claudio Ortiz</v>
      </c>
      <c r="F1892" s="65" t="str">
        <f>IFERROR(__xludf.DUMMYFUNCTION("""COMPUTED_VALUE"""),"993277481")</f>
        <v>993277481</v>
      </c>
      <c r="G1892" s="65"/>
      <c r="H1892" s="65"/>
      <c r="I1892" s="65"/>
      <c r="J1892" s="65" t="str">
        <f>IFERROR(__xludf.DUMMYFUNCTION("""COMPUTED_VALUE"""),"186966843")</f>
        <v>186966843</v>
      </c>
      <c r="K1892" s="65" t="str">
        <f>IFERROR(__xludf.DUMMYFUNCTION("""COMPUTED_VALUE"""),"ENTREGADO")</f>
        <v>ENTREGADO</v>
      </c>
      <c r="L1892" s="65" t="str">
        <f>IFERROR(__xludf.DUMMYFUNCTION("""COMPUTED_VALUE"""),"CON RECAUDO")</f>
        <v>CON RECAUDO</v>
      </c>
      <c r="M1892" s="65" t="str">
        <f>IFERROR(__xludf.DUMMYFUNCTION("""COMPUTED_VALUE"""),"CAÑAR")</f>
        <v>CAÑAR</v>
      </c>
      <c r="N1892" s="65" t="str">
        <f>IFERROR(__xludf.DUMMYFUNCTION("""COMPUTED_VALUE"""),"LA TRONCAL")</f>
        <v>LA TRONCAL</v>
      </c>
      <c r="O1892" s="65" t="str">
        <f>IFERROR(__xludf.DUMMYFUNCTION("""COMPUTED_VALUE"""),"RETIRA EN CS : LA TRONCAL_CALLE 24 , AV. 24 DE MAYO # 308 Y ELOY ALFARO")</f>
        <v>RETIRA EN CS : LA TRONCAL_CALLE 24 , AV. 24 DE MAYO # 308 Y ELOY ALFARO</v>
      </c>
      <c r="P1892" s="65"/>
      <c r="Q1892" s="65" t="str">
        <f>IFERROR(__xludf.DUMMYFUNCTION("""COMPUTED_VALUE"""),"SERVIENTREGA")</f>
        <v>SERVIENTREGA</v>
      </c>
      <c r="R1892" s="65">
        <f>IFERROR(__xludf.DUMMYFUNCTION("""COMPUTED_VALUE"""),22.0)</f>
        <v>22</v>
      </c>
      <c r="S1892" s="65">
        <f>IFERROR(__xludf.DUMMYFUNCTION("""COMPUTED_VALUE"""),9.1)</f>
        <v>9.1</v>
      </c>
      <c r="T1892" s="65">
        <f>IFERROR(__xludf.DUMMYFUNCTION("""COMPUTED_VALUE"""),7.7)</f>
        <v>7.7</v>
      </c>
      <c r="U1892" s="65">
        <f>IFERROR(__xludf.DUMMYFUNCTION("""COMPUTED_VALUE"""),0.0)</f>
        <v>0</v>
      </c>
      <c r="V1892" s="65">
        <f>IFERROR(__xludf.DUMMYFUNCTION("""COMPUTED_VALUE"""),0.0)</f>
        <v>0</v>
      </c>
      <c r="W1892" s="65">
        <f>IFERROR(__xludf.DUMMYFUNCTION("""COMPUTED_VALUE"""),0.0)</f>
        <v>0</v>
      </c>
      <c r="X1892" s="65">
        <f>IFERROR(__xludf.DUMMYFUNCTION("""COMPUTED_VALUE"""),2.6)</f>
        <v>2.6</v>
      </c>
      <c r="Y1892" s="65">
        <f>IFERROR(__xludf.DUMMYFUNCTION("""COMPUTED_VALUE"""),5.2)</f>
        <v>5.2</v>
      </c>
      <c r="Z1892" s="65">
        <f>IFERROR(__xludf.DUMMYFUNCTION("""COMPUTED_VALUE"""),121983.0)</f>
        <v>121983</v>
      </c>
      <c r="AA1892" s="65" t="str">
        <f>IFERROR(__xludf.DUMMYFUNCTION("""COMPUTED_VALUE"""),"PROV-CHLLCF")</f>
        <v>PROV-CHLLCF</v>
      </c>
      <c r="AB1892" s="65"/>
      <c r="AC1892" s="65" t="str">
        <f>IFERROR(__xludf.DUMMYFUNCTION("""COMPUTED_VALUE"""),"CUCHILLO PARA CHEF")</f>
        <v>CUCHILLO PARA CHEF</v>
      </c>
      <c r="AD1892" s="65"/>
      <c r="AE1892" s="65">
        <f>IFERROR(__xludf.DUMMYFUNCTION("""COMPUTED_VALUE"""),2.0)</f>
        <v>2</v>
      </c>
      <c r="AF1892" s="65"/>
      <c r="AG1892" s="65"/>
      <c r="AH1892" s="65"/>
      <c r="AI1892" s="65"/>
      <c r="AJ1892" s="65"/>
      <c r="AK1892" s="65"/>
      <c r="AL1892" s="65"/>
      <c r="AM1892" s="65"/>
      <c r="AN1892" s="65" t="str">
        <f>IFERROR(__xludf.DUMMYFUNCTION("""COMPUTED_VALUE"""),"17:42")</f>
        <v>17:42</v>
      </c>
      <c r="AO1892" s="65" t="str">
        <f>IFERROR(__xludf.DUMMYFUNCTION("""COMPUTED_VALUE"""),"29-01-2026")</f>
        <v>29-01-2026</v>
      </c>
      <c r="AP1892" s="65" t="str">
        <f>IFERROR(__xludf.DUMMYFUNCTION("""COMPUTED_VALUE"""),"ENTREGA DIGITALIZADA EN CENTRO LOGISTICO")</f>
        <v>ENTREGA DIGITALIZADA EN CENTRO LOGISTICO</v>
      </c>
      <c r="AQ1892" s="65" t="str">
        <f>IFERROR(__xludf.DUMMYFUNCTION("""COMPUTED_VALUE"""),"CLAUDIO ORTIZ")</f>
        <v>CLAUDIO ORTIZ</v>
      </c>
      <c r="AR1892" s="65"/>
      <c r="AS1892" s="65"/>
      <c r="AT1892" s="65"/>
      <c r="AU1892" s="65"/>
      <c r="AV1892" s="65"/>
      <c r="AW1892" s="65"/>
      <c r="AX1892" s="65"/>
      <c r="AY1892" s="65" t="str">
        <f>IFERROR(__xludf.DUMMYFUNCTION("""COMPUTED_VALUE"""),"13/01/2026")</f>
        <v>13/01/2026</v>
      </c>
      <c r="AZ1892" s="65"/>
      <c r="BA1892" s="65"/>
    </row>
    <row r="1893">
      <c r="A1893" s="65" t="str">
        <f>IFERROR(__xludf.DUMMYFUNCTION("""COMPUTED_VALUE"""),"27-03-2026")</f>
        <v>27-03-2026</v>
      </c>
      <c r="B1893" s="65">
        <f>IFERROR(__xludf.DUMMYFUNCTION("""COMPUTED_VALUE"""),4124448.0)</f>
        <v>4124448</v>
      </c>
      <c r="C1893" s="65" t="str">
        <f>IFERROR(__xludf.DUMMYFUNCTION("""COMPUTED_VALUE"""),"21:06")</f>
        <v>21:06</v>
      </c>
      <c r="D1893" s="65" t="str">
        <f>IFERROR(__xludf.DUMMYFUNCTION("""COMPUTED_VALUE"""),"12-01-2026")</f>
        <v>12-01-2026</v>
      </c>
      <c r="E1893" s="65" t="str">
        <f>IFERROR(__xludf.DUMMYFUNCTION("""COMPUTED_VALUE"""),"Jhony Rodriguez")</f>
        <v>Jhony Rodriguez</v>
      </c>
      <c r="F1893" s="65" t="str">
        <f>IFERROR(__xludf.DUMMYFUNCTION("""COMPUTED_VALUE"""),"959933479")</f>
        <v>959933479</v>
      </c>
      <c r="G1893" s="65"/>
      <c r="H1893" s="65"/>
      <c r="I1893" s="65"/>
      <c r="J1893" s="65" t="str">
        <f>IFERROR(__xludf.DUMMYFUNCTION("""COMPUTED_VALUE"""),"186968962")</f>
        <v>186968962</v>
      </c>
      <c r="K1893" s="65" t="str">
        <f>IFERROR(__xludf.DUMMYFUNCTION("""COMPUTED_VALUE"""),"ENTREGADO")</f>
        <v>ENTREGADO</v>
      </c>
      <c r="L1893" s="65" t="str">
        <f>IFERROR(__xludf.DUMMYFUNCTION("""COMPUTED_VALUE"""),"CON RECAUDO")</f>
        <v>CON RECAUDO</v>
      </c>
      <c r="M1893" s="65" t="str">
        <f>IFERROR(__xludf.DUMMYFUNCTION("""COMPUTED_VALUE"""),"NAPO")</f>
        <v>NAPO</v>
      </c>
      <c r="N1893" s="65" t="str">
        <f>IFERROR(__xludf.DUMMYFUNCTION("""COMPUTED_VALUE"""),"ARCHIDONA")</f>
        <v>ARCHIDONA</v>
      </c>
      <c r="O1893" s="65" t="str">
        <f>IFERROR(__xludf.DUMMYFUNCTION("""COMPUTED_VALUE"""),"RETIRA EN CS ARCHIDONA_PRINCIPAL . PASAJE CORONEL PAEZ S/N Y CIRCUNVALACION")</f>
        <v>RETIRA EN CS ARCHIDONA_PRINCIPAL . PASAJE CORONEL PAEZ S/N Y CIRCUNVALACION</v>
      </c>
      <c r="P1893" s="65"/>
      <c r="Q1893" s="65" t="str">
        <f>IFERROR(__xludf.DUMMYFUNCTION("""COMPUTED_VALUE"""),"SERVIENTREGA")</f>
        <v>SERVIENTREGA</v>
      </c>
      <c r="R1893" s="65">
        <f>IFERROR(__xludf.DUMMYFUNCTION("""COMPUTED_VALUE"""),25.0)</f>
        <v>25</v>
      </c>
      <c r="S1893" s="65">
        <f>IFERROR(__xludf.DUMMYFUNCTION("""COMPUTED_VALUE"""),12.55)</f>
        <v>12.55</v>
      </c>
      <c r="T1893" s="65">
        <f>IFERROR(__xludf.DUMMYFUNCTION("""COMPUTED_VALUE"""),7.75)</f>
        <v>7.75</v>
      </c>
      <c r="U1893" s="65">
        <f>IFERROR(__xludf.DUMMYFUNCTION("""COMPUTED_VALUE"""),0.0)</f>
        <v>0</v>
      </c>
      <c r="V1893" s="65">
        <f>IFERROR(__xludf.DUMMYFUNCTION("""COMPUTED_VALUE"""),0.0)</f>
        <v>0</v>
      </c>
      <c r="W1893" s="65">
        <f>IFERROR(__xludf.DUMMYFUNCTION("""COMPUTED_VALUE"""),0.0)</f>
        <v>0</v>
      </c>
      <c r="X1893" s="65">
        <f>IFERROR(__xludf.DUMMYFUNCTION("""COMPUTED_VALUE"""),2.35)</f>
        <v>2.35</v>
      </c>
      <c r="Y1893" s="65">
        <f>IFERROR(__xludf.DUMMYFUNCTION("""COMPUTED_VALUE"""),4.7)</f>
        <v>4.7</v>
      </c>
      <c r="Z1893" s="65">
        <f>IFERROR(__xludf.DUMMYFUNCTION("""COMPUTED_VALUE"""),116679.0)</f>
        <v>116679</v>
      </c>
      <c r="AA1893" s="65" t="str">
        <f>IFERROR(__xludf.DUMMYFUNCTION("""COMPUTED_VALUE"""),"AMC-2738")</f>
        <v>AMC-2738</v>
      </c>
      <c r="AB1893" s="65"/>
      <c r="AC1893" s="65" t="str">
        <f>IFERROR(__xludf.DUMMYFUNCTION("""COMPUTED_VALUE"""),"ESPONJA ANTILLUVIA DE PARABRISAS")</f>
        <v>ESPONJA ANTILLUVIA DE PARABRISAS</v>
      </c>
      <c r="AD1893" s="65"/>
      <c r="AE1893" s="65">
        <f>IFERROR(__xludf.DUMMYFUNCTION("""COMPUTED_VALUE"""),2.0)</f>
        <v>2</v>
      </c>
      <c r="AF1893" s="65"/>
      <c r="AG1893" s="65"/>
      <c r="AH1893" s="65"/>
      <c r="AI1893" s="65"/>
      <c r="AJ1893" s="65"/>
      <c r="AK1893" s="65"/>
      <c r="AL1893" s="65"/>
      <c r="AM1893" s="65"/>
      <c r="AN1893" s="65" t="str">
        <f>IFERROR(__xludf.DUMMYFUNCTION("""COMPUTED_VALUE"""),"09:41")</f>
        <v>09:41</v>
      </c>
      <c r="AO1893" s="65" t="str">
        <f>IFERROR(__xludf.DUMMYFUNCTION("""COMPUTED_VALUE"""),"15-01-2026")</f>
        <v>15-01-2026</v>
      </c>
      <c r="AP1893" s="65" t="str">
        <f>IFERROR(__xludf.DUMMYFUNCTION("""COMPUTED_VALUE"""),"INGRESANDO EN AGENCIA")</f>
        <v>INGRESANDO EN AGENCIA</v>
      </c>
      <c r="AQ1893" s="65" t="str">
        <f>IFERROR(__xludf.DUMMYFUNCTION("""COMPUTED_VALUE"""),".")</f>
        <v>.</v>
      </c>
      <c r="AR1893" s="65"/>
      <c r="AS1893" s="65"/>
      <c r="AT1893" s="65"/>
      <c r="AU1893" s="65"/>
      <c r="AV1893" s="65"/>
      <c r="AW1893" s="65"/>
      <c r="AX1893" s="65"/>
      <c r="AY1893" s="65" t="str">
        <f>IFERROR(__xludf.DUMMYFUNCTION("""COMPUTED_VALUE"""),"13/01/2026")</f>
        <v>13/01/2026</v>
      </c>
      <c r="AZ1893" s="65"/>
      <c r="BA1893" s="65"/>
    </row>
    <row r="1894">
      <c r="A1894" s="65" t="str">
        <f>IFERROR(__xludf.DUMMYFUNCTION("""COMPUTED_VALUE"""),"27-03-2026")</f>
        <v>27-03-2026</v>
      </c>
      <c r="B1894" s="65">
        <f>IFERROR(__xludf.DUMMYFUNCTION("""COMPUTED_VALUE"""),4124012.0)</f>
        <v>4124012</v>
      </c>
      <c r="C1894" s="65" t="str">
        <f>IFERROR(__xludf.DUMMYFUNCTION("""COMPUTED_VALUE"""),"20:27")</f>
        <v>20:27</v>
      </c>
      <c r="D1894" s="65" t="str">
        <f>IFERROR(__xludf.DUMMYFUNCTION("""COMPUTED_VALUE"""),"12-01-2026")</f>
        <v>12-01-2026</v>
      </c>
      <c r="E1894" s="65" t="str">
        <f>IFERROR(__xludf.DUMMYFUNCTION("""COMPUTED_VALUE"""),"Jorge Iniguez")</f>
        <v>Jorge Iniguez</v>
      </c>
      <c r="F1894" s="65" t="str">
        <f>IFERROR(__xludf.DUMMYFUNCTION("""COMPUTED_VALUE"""),"988419293")</f>
        <v>988419293</v>
      </c>
      <c r="G1894" s="65" t="str">
        <f>IFERROR(__xludf.DUMMYFUNCTION("""COMPUTED_VALUE"""),"george0785@hotmail.com")</f>
        <v>george0785@hotmail.com</v>
      </c>
      <c r="H1894" s="65"/>
      <c r="I1894" s="65"/>
      <c r="J1894" s="65" t="str">
        <f>IFERROR(__xludf.DUMMYFUNCTION("""COMPUTED_VALUE"""),"D001224254")</f>
        <v>D001224254</v>
      </c>
      <c r="K1894" s="65" t="str">
        <f>IFERROR(__xludf.DUMMYFUNCTION("""COMPUTED_VALUE"""),"ENTREGADO")</f>
        <v>ENTREGADO</v>
      </c>
      <c r="L1894" s="65" t="str">
        <f>IFERROR(__xludf.DUMMYFUNCTION("""COMPUTED_VALUE"""),"CON RECAUDO")</f>
        <v>CON RECAUDO</v>
      </c>
      <c r="M1894" s="65" t="str">
        <f>IFERROR(__xludf.DUMMYFUNCTION("""COMPUTED_VALUE"""),"PICHINCHA")</f>
        <v>PICHINCHA</v>
      </c>
      <c r="N1894" s="65" t="str">
        <f>IFERROR(__xludf.DUMMYFUNCTION("""COMPUTED_VALUE"""),"QUITO")</f>
        <v>QUITO</v>
      </c>
      <c r="O1894" s="65" t="str">
        <f>IFERROR(__xludf.DUMMYFUNCTION("""COMPUTED_VALUE"""),"Av. Puerto Rico y Argentina, conjunto Jeaninna, Valle de los Chillos")</f>
        <v>Av. Puerto Rico y Argentina, conjunto Jeaninna, Valle de los Chillos</v>
      </c>
      <c r="P1894" s="65"/>
      <c r="Q1894" s="65" t="str">
        <f>IFERROR(__xludf.DUMMYFUNCTION("""COMPUTED_VALUE"""),"GINTRACOM")</f>
        <v>GINTRACOM</v>
      </c>
      <c r="R1894" s="65">
        <f>IFERROR(__xludf.DUMMYFUNCTION("""COMPUTED_VALUE"""),25.0)</f>
        <v>25</v>
      </c>
      <c r="S1894" s="65">
        <f>IFERROR(__xludf.DUMMYFUNCTION("""COMPUTED_VALUE"""),15.95)</f>
        <v>15.95</v>
      </c>
      <c r="T1894" s="65">
        <f>IFERROR(__xludf.DUMMYFUNCTION("""COMPUTED_VALUE"""),4.35)</f>
        <v>4.35</v>
      </c>
      <c r="U1894" s="65">
        <f>IFERROR(__xludf.DUMMYFUNCTION("""COMPUTED_VALUE"""),0.0)</f>
        <v>0</v>
      </c>
      <c r="V1894" s="65">
        <f>IFERROR(__xludf.DUMMYFUNCTION("""COMPUTED_VALUE"""),0.0)</f>
        <v>0</v>
      </c>
      <c r="W1894" s="65">
        <f>IFERROR(__xludf.DUMMYFUNCTION("""COMPUTED_VALUE"""),0.0)</f>
        <v>0</v>
      </c>
      <c r="X1894" s="65">
        <f>IFERROR(__xludf.DUMMYFUNCTION("""COMPUTED_VALUE"""),2.35)</f>
        <v>2.35</v>
      </c>
      <c r="Y1894" s="65">
        <f>IFERROR(__xludf.DUMMYFUNCTION("""COMPUTED_VALUE"""),4.7)</f>
        <v>4.7</v>
      </c>
      <c r="Z1894" s="65">
        <f>IFERROR(__xludf.DUMMYFUNCTION("""COMPUTED_VALUE"""),116679.0)</f>
        <v>116679</v>
      </c>
      <c r="AA1894" s="65" t="str">
        <f>IFERROR(__xludf.DUMMYFUNCTION("""COMPUTED_VALUE"""),"AMC-2738")</f>
        <v>AMC-2738</v>
      </c>
      <c r="AB1894" s="65"/>
      <c r="AC1894" s="65" t="str">
        <f>IFERROR(__xludf.DUMMYFUNCTION("""COMPUTED_VALUE"""),"ESPONJA ANTILLUVIA DE PARABRISAS")</f>
        <v>ESPONJA ANTILLUVIA DE PARABRISAS</v>
      </c>
      <c r="AD1894" s="65"/>
      <c r="AE1894" s="65">
        <f>IFERROR(__xludf.DUMMYFUNCTION("""COMPUTED_VALUE"""),2.0)</f>
        <v>2</v>
      </c>
      <c r="AF1894" s="65" t="str">
        <f>IFERROR(__xludf.DUMMYFUNCTION("""COMPUTED_VALUE"""),"DESTINATARIO NO CONTESTA LLAMADAS NI WHATSAPP")</f>
        <v>DESTINATARIO NO CONTESTA LLAMADAS NI WHATSAPP</v>
      </c>
      <c r="AG1894" s="65" t="str">
        <f>IFERROR(__xludf.DUMMYFUNCTION("""COMPUTED_VALUE"""),"SI")</f>
        <v>SI</v>
      </c>
      <c r="AH1894" s="65" t="str">
        <f>IFERROR(__xludf.DUMMYFUNCTION("""COMPUTED_VALUE"""),"09:00")</f>
        <v>09:00</v>
      </c>
      <c r="AI1894" s="65" t="str">
        <f>IFERROR(__xludf.DUMMYFUNCTION("""COMPUTED_VALUE"""),"20-01-2026")</f>
        <v>20-01-2026</v>
      </c>
      <c r="AJ1894" s="65"/>
      <c r="AK1894" s="65"/>
      <c r="AL1894" s="65"/>
      <c r="AM1894" s="65"/>
      <c r="AN1894" s="65" t="str">
        <f>IFERROR(__xludf.DUMMYFUNCTION("""COMPUTED_VALUE"""),"13:47")</f>
        <v>13:47</v>
      </c>
      <c r="AO1894" s="65" t="str">
        <f>IFERROR(__xludf.DUMMYFUNCTION("""COMPUTED_VALUE"""),"24-01-2026")</f>
        <v>24-01-2026</v>
      </c>
      <c r="AP1894" s="65" t="str">
        <f>IFERROR(__xludf.DUMMYFUNCTION("""COMPUTED_VALUE"""),"ENTREGADA GINTRACOM")</f>
        <v>ENTREGADA GINTRACOM</v>
      </c>
      <c r="AQ1894" s="65" t="str">
        <f>IFERROR(__xludf.DUMMYFUNCTION("""COMPUTED_VALUE"""),"ENTREGADA GINTRACOM")</f>
        <v>ENTREGADA GINTRACOM</v>
      </c>
      <c r="AR1894" s="65"/>
      <c r="AS1894" s="65"/>
      <c r="AT1894" s="65" t="str">
        <f>IFERROR(__xludf.DUMMYFUNCTION("""COMPUTED_VALUE"""),"SHOPIFY")</f>
        <v>SHOPIFY</v>
      </c>
      <c r="AU1894" s="65" t="str">
        <f>IFERROR(__xludf.DUMMYFUNCTION("""COMPUTED_VALUE"""),"IMPORTEX EC")</f>
        <v>IMPORTEX EC</v>
      </c>
      <c r="AV1894" s="65" t="str">
        <f>IFERROR(__xludf.DUMMYFUNCTION("""COMPUTED_VALUE"""),"6410214998060")</f>
        <v>6410214998060</v>
      </c>
      <c r="AW1894" s="65">
        <f>IFERROR(__xludf.DUMMYFUNCTION("""COMPUTED_VALUE"""),5062.0)</f>
        <v>5062</v>
      </c>
      <c r="AX1894" s="65"/>
      <c r="AY1894" s="65" t="str">
        <f>IFERROR(__xludf.DUMMYFUNCTION("""COMPUTED_VALUE"""),"14/01/2026")</f>
        <v>14/01/2026</v>
      </c>
      <c r="AZ1894" s="65"/>
      <c r="BA1894" s="65"/>
    </row>
    <row r="1895">
      <c r="A1895" s="65" t="str">
        <f>IFERROR(__xludf.DUMMYFUNCTION("""COMPUTED_VALUE"""),"27-03-2026")</f>
        <v>27-03-2026</v>
      </c>
      <c r="B1895" s="65">
        <f>IFERROR(__xludf.DUMMYFUNCTION("""COMPUTED_VALUE"""),4123998.0)</f>
        <v>4123998</v>
      </c>
      <c r="C1895" s="65" t="str">
        <f>IFERROR(__xludf.DUMMYFUNCTION("""COMPUTED_VALUE"""),"20:26")</f>
        <v>20:26</v>
      </c>
      <c r="D1895" s="65" t="str">
        <f>IFERROR(__xludf.DUMMYFUNCTION("""COMPUTED_VALUE"""),"12-01-2026")</f>
        <v>12-01-2026</v>
      </c>
      <c r="E1895" s="65" t="str">
        <f>IFERROR(__xludf.DUMMYFUNCTION("""COMPUTED_VALUE"""),"Victor Vela")</f>
        <v>Victor Vela</v>
      </c>
      <c r="F1895" s="65" t="str">
        <f>IFERROR(__xludf.DUMMYFUNCTION("""COMPUTED_VALUE"""),"967439813")</f>
        <v>967439813</v>
      </c>
      <c r="G1895" s="65" t="str">
        <f>IFERROR(__xludf.DUMMYFUNCTION("""COMPUTED_VALUE"""),"dr.victorvela2010@hotmail.es")</f>
        <v>dr.victorvela2010@hotmail.es</v>
      </c>
      <c r="H1895" s="65"/>
      <c r="I1895" s="65"/>
      <c r="J1895" s="65" t="str">
        <f>IFERROR(__xludf.DUMMYFUNCTION("""COMPUTED_VALUE"""),"D001224255")</f>
        <v>D001224255</v>
      </c>
      <c r="K1895" s="65" t="str">
        <f>IFERROR(__xludf.DUMMYFUNCTION("""COMPUTED_VALUE"""),"ENTREGADO")</f>
        <v>ENTREGADO</v>
      </c>
      <c r="L1895" s="65" t="str">
        <f>IFERROR(__xludf.DUMMYFUNCTION("""COMPUTED_VALUE"""),"CON RECAUDO")</f>
        <v>CON RECAUDO</v>
      </c>
      <c r="M1895" s="65" t="str">
        <f>IFERROR(__xludf.DUMMYFUNCTION("""COMPUTED_VALUE"""),"BOLIVAR")</f>
        <v>BOLIVAR</v>
      </c>
      <c r="N1895" s="65" t="str">
        <f>IFERROR(__xludf.DUMMYFUNCTION("""COMPUTED_VALUE"""),"SAN MIGUEL DE BOLIVAR")</f>
        <v>SAN MIGUEL DE BOLIVAR</v>
      </c>
      <c r="O1895" s="65" t="str">
        <f>IFERROR(__xludf.DUMMYFUNCTION("""COMPUTED_VALUE"""),"Avenida circunvalacion y Angela Coloma Alado d la parada de buses del centenario -")</f>
        <v>Avenida circunvalacion y Angela Coloma Alado d la parada de buses del centenario -</v>
      </c>
      <c r="P1895" s="65"/>
      <c r="Q1895" s="65" t="str">
        <f>IFERROR(__xludf.DUMMYFUNCTION("""COMPUTED_VALUE"""),"GINTRACOM")</f>
        <v>GINTRACOM</v>
      </c>
      <c r="R1895" s="65">
        <f>IFERROR(__xludf.DUMMYFUNCTION("""COMPUTED_VALUE"""),25.0)</f>
        <v>25</v>
      </c>
      <c r="S1895" s="65">
        <f>IFERROR(__xludf.DUMMYFUNCTION("""COMPUTED_VALUE"""),13.77)</f>
        <v>13.77</v>
      </c>
      <c r="T1895" s="65">
        <f>IFERROR(__xludf.DUMMYFUNCTION("""COMPUTED_VALUE"""),6.53)</f>
        <v>6.53</v>
      </c>
      <c r="U1895" s="65">
        <f>IFERROR(__xludf.DUMMYFUNCTION("""COMPUTED_VALUE"""),0.0)</f>
        <v>0</v>
      </c>
      <c r="V1895" s="65">
        <f>IFERROR(__xludf.DUMMYFUNCTION("""COMPUTED_VALUE"""),0.0)</f>
        <v>0</v>
      </c>
      <c r="W1895" s="65">
        <f>IFERROR(__xludf.DUMMYFUNCTION("""COMPUTED_VALUE"""),0.0)</f>
        <v>0</v>
      </c>
      <c r="X1895" s="65">
        <f>IFERROR(__xludf.DUMMYFUNCTION("""COMPUTED_VALUE"""),2.35)</f>
        <v>2.35</v>
      </c>
      <c r="Y1895" s="65">
        <f>IFERROR(__xludf.DUMMYFUNCTION("""COMPUTED_VALUE"""),4.7)</f>
        <v>4.7</v>
      </c>
      <c r="Z1895" s="65">
        <f>IFERROR(__xludf.DUMMYFUNCTION("""COMPUTED_VALUE"""),116679.0)</f>
        <v>116679</v>
      </c>
      <c r="AA1895" s="65" t="str">
        <f>IFERROR(__xludf.DUMMYFUNCTION("""COMPUTED_VALUE"""),"AMC-2738")</f>
        <v>AMC-2738</v>
      </c>
      <c r="AB1895" s="65"/>
      <c r="AC1895" s="65" t="str">
        <f>IFERROR(__xludf.DUMMYFUNCTION("""COMPUTED_VALUE"""),"ESPONJA ANTILLUVIA DE PARABRISAS")</f>
        <v>ESPONJA ANTILLUVIA DE PARABRISAS</v>
      </c>
      <c r="AD1895" s="65"/>
      <c r="AE1895" s="65">
        <f>IFERROR(__xludf.DUMMYFUNCTION("""COMPUTED_VALUE"""),2.0)</f>
        <v>2</v>
      </c>
      <c r="AF1895" s="65"/>
      <c r="AG1895" s="65"/>
      <c r="AH1895" s="65"/>
      <c r="AI1895" s="65"/>
      <c r="AJ1895" s="65"/>
      <c r="AK1895" s="65"/>
      <c r="AL1895" s="65"/>
      <c r="AM1895" s="65"/>
      <c r="AN1895" s="65" t="str">
        <f>IFERROR(__xludf.DUMMYFUNCTION("""COMPUTED_VALUE"""),"13:53")</f>
        <v>13:53</v>
      </c>
      <c r="AO1895" s="65" t="str">
        <f>IFERROR(__xludf.DUMMYFUNCTION("""COMPUTED_VALUE"""),"20-01-2026")</f>
        <v>20-01-2026</v>
      </c>
      <c r="AP1895" s="65" t="str">
        <f>IFERROR(__xludf.DUMMYFUNCTION("""COMPUTED_VALUE"""),"ENTREGADA GINTRACOM")</f>
        <v>ENTREGADA GINTRACOM</v>
      </c>
      <c r="AQ1895" s="65" t="str">
        <f>IFERROR(__xludf.DUMMYFUNCTION("""COMPUTED_VALUE"""),"ENTREGADA GINTRACOM")</f>
        <v>ENTREGADA GINTRACOM</v>
      </c>
      <c r="AR1895" s="65"/>
      <c r="AS1895" s="65"/>
      <c r="AT1895" s="65" t="str">
        <f>IFERROR(__xludf.DUMMYFUNCTION("""COMPUTED_VALUE"""),"SHOPIFY")</f>
        <v>SHOPIFY</v>
      </c>
      <c r="AU1895" s="65" t="str">
        <f>IFERROR(__xludf.DUMMYFUNCTION("""COMPUTED_VALUE"""),"IMPORTEX EC")</f>
        <v>IMPORTEX EC</v>
      </c>
      <c r="AV1895" s="65" t="str">
        <f>IFERROR(__xludf.DUMMYFUNCTION("""COMPUTED_VALUE"""),"6410212016172")</f>
        <v>6410212016172</v>
      </c>
      <c r="AW1895" s="65">
        <f>IFERROR(__xludf.DUMMYFUNCTION("""COMPUTED_VALUE"""),5061.0)</f>
        <v>5061</v>
      </c>
      <c r="AX1895" s="65"/>
      <c r="AY1895" s="65" t="str">
        <f>IFERROR(__xludf.DUMMYFUNCTION("""COMPUTED_VALUE"""),"14/01/2026")</f>
        <v>14/01/2026</v>
      </c>
      <c r="AZ1895" s="65"/>
      <c r="BA1895" s="65"/>
    </row>
    <row r="1896">
      <c r="A1896" s="65" t="str">
        <f>IFERROR(__xludf.DUMMYFUNCTION("""COMPUTED_VALUE"""),"27-03-2026")</f>
        <v>27-03-2026</v>
      </c>
      <c r="B1896" s="65">
        <f>IFERROR(__xludf.DUMMYFUNCTION("""COMPUTED_VALUE"""),4123883.0)</f>
        <v>4123883</v>
      </c>
      <c r="C1896" s="65" t="str">
        <f>IFERROR(__xludf.DUMMYFUNCTION("""COMPUTED_VALUE"""),"20:18")</f>
        <v>20:18</v>
      </c>
      <c r="D1896" s="65" t="str">
        <f>IFERROR(__xludf.DUMMYFUNCTION("""COMPUTED_VALUE"""),"12-01-2026")</f>
        <v>12-01-2026</v>
      </c>
      <c r="E1896" s="65" t="str">
        <f>IFERROR(__xludf.DUMMYFUNCTION("""COMPUTED_VALUE"""),"Piedad Virginia Correa Jaramillo")</f>
        <v>Piedad Virginia Correa Jaramillo</v>
      </c>
      <c r="F1896" s="65" t="str">
        <f>IFERROR(__xludf.DUMMYFUNCTION("""COMPUTED_VALUE"""),"995829280")</f>
        <v>995829280</v>
      </c>
      <c r="G1896" s="65"/>
      <c r="H1896" s="65"/>
      <c r="I1896" s="65"/>
      <c r="J1896" s="65" t="str">
        <f>IFERROR(__xludf.DUMMYFUNCTION("""COMPUTED_VALUE"""),"186973374")</f>
        <v>186973374</v>
      </c>
      <c r="K1896" s="65" t="str">
        <f>IFERROR(__xludf.DUMMYFUNCTION("""COMPUTED_VALUE"""),"ENTREGADO")</f>
        <v>ENTREGADO</v>
      </c>
      <c r="L1896" s="65" t="str">
        <f>IFERROR(__xludf.DUMMYFUNCTION("""COMPUTED_VALUE"""),"CON RECAUDO")</f>
        <v>CON RECAUDO</v>
      </c>
      <c r="M1896" s="65" t="str">
        <f>IFERROR(__xludf.DUMMYFUNCTION("""COMPUTED_VALUE"""),"ZAMORA CHINCHIPE")</f>
        <v>ZAMORA CHINCHIPE</v>
      </c>
      <c r="N1896" s="65" t="str">
        <f>IFERROR(__xludf.DUMMYFUNCTION("""COMPUTED_VALUE"""),"PALANDA")</f>
        <v>PALANDA</v>
      </c>
      <c r="O1896" s="65" t="str">
        <f>IFERROR(__xludf.DUMMYFUNCTION("""COMPUTED_VALUE"""),"13 de Abril y Alonso de Mercadillo Oficina de Servientrega en el Cantón Palanda -")</f>
        <v>13 de Abril y Alonso de Mercadillo Oficina de Servientrega en el Cantón Palanda -</v>
      </c>
      <c r="P1896" s="65"/>
      <c r="Q1896" s="65" t="str">
        <f>IFERROR(__xludf.DUMMYFUNCTION("""COMPUTED_VALUE"""),"SERVIENTREGA")</f>
        <v>SERVIENTREGA</v>
      </c>
      <c r="R1896" s="65">
        <f>IFERROR(__xludf.DUMMYFUNCTION("""COMPUTED_VALUE"""),22.0)</f>
        <v>22</v>
      </c>
      <c r="S1896" s="65">
        <f>IFERROR(__xludf.DUMMYFUNCTION("""COMPUTED_VALUE"""),9.1)</f>
        <v>9.1</v>
      </c>
      <c r="T1896" s="65">
        <f>IFERROR(__xludf.DUMMYFUNCTION("""COMPUTED_VALUE"""),7.7)</f>
        <v>7.7</v>
      </c>
      <c r="U1896" s="65">
        <f>IFERROR(__xludf.DUMMYFUNCTION("""COMPUTED_VALUE"""),0.0)</f>
        <v>0</v>
      </c>
      <c r="V1896" s="65">
        <f>IFERROR(__xludf.DUMMYFUNCTION("""COMPUTED_VALUE"""),0.0)</f>
        <v>0</v>
      </c>
      <c r="W1896" s="65">
        <f>IFERROR(__xludf.DUMMYFUNCTION("""COMPUTED_VALUE"""),0.0)</f>
        <v>0</v>
      </c>
      <c r="X1896" s="65">
        <f>IFERROR(__xludf.DUMMYFUNCTION("""COMPUTED_VALUE"""),2.6)</f>
        <v>2.6</v>
      </c>
      <c r="Y1896" s="65">
        <f>IFERROR(__xludf.DUMMYFUNCTION("""COMPUTED_VALUE"""),5.2)</f>
        <v>5.2</v>
      </c>
      <c r="Z1896" s="65">
        <f>IFERROR(__xludf.DUMMYFUNCTION("""COMPUTED_VALUE"""),121983.0)</f>
        <v>121983</v>
      </c>
      <c r="AA1896" s="65" t="str">
        <f>IFERROR(__xludf.DUMMYFUNCTION("""COMPUTED_VALUE"""),"PROV-CHLLCF")</f>
        <v>PROV-CHLLCF</v>
      </c>
      <c r="AB1896" s="65"/>
      <c r="AC1896" s="65" t="str">
        <f>IFERROR(__xludf.DUMMYFUNCTION("""COMPUTED_VALUE"""),"CUCHILLO PARA CHEF")</f>
        <v>CUCHILLO PARA CHEF</v>
      </c>
      <c r="AD1896" s="65"/>
      <c r="AE1896" s="65">
        <f>IFERROR(__xludf.DUMMYFUNCTION("""COMPUTED_VALUE"""),2.0)</f>
        <v>2</v>
      </c>
      <c r="AF1896" s="65"/>
      <c r="AG1896" s="65"/>
      <c r="AH1896" s="65"/>
      <c r="AI1896" s="65"/>
      <c r="AJ1896" s="65"/>
      <c r="AK1896" s="65"/>
      <c r="AL1896" s="65"/>
      <c r="AM1896" s="65"/>
      <c r="AN1896" s="65" t="str">
        <f>IFERROR(__xludf.DUMMYFUNCTION("""COMPUTED_VALUE"""),"17:43")</f>
        <v>17:43</v>
      </c>
      <c r="AO1896" s="65" t="str">
        <f>IFERROR(__xludf.DUMMYFUNCTION("""COMPUTED_VALUE"""),"20-01-2026")</f>
        <v>20-01-2026</v>
      </c>
      <c r="AP1896" s="65" t="str">
        <f>IFERROR(__xludf.DUMMYFUNCTION("""COMPUTED_VALUE"""),"REPORTADO ENTREGADO EN AGENCIA")</f>
        <v>REPORTADO ENTREGADO EN AGENCIA</v>
      </c>
      <c r="AQ1896" s="65" t="str">
        <f>IFERROR(__xludf.DUMMYFUNCTION("""COMPUTED_VALUE"""),"PIEDAD CORREA")</f>
        <v>PIEDAD CORREA</v>
      </c>
      <c r="AR1896" s="65"/>
      <c r="AS1896" s="65"/>
      <c r="AT1896" s="65" t="str">
        <f>IFERROR(__xludf.DUMMYFUNCTION("""COMPUTED_VALUE"""),"SHOPIFY")</f>
        <v>SHOPIFY</v>
      </c>
      <c r="AU1896" s="65" t="str">
        <f>IFERROR(__xludf.DUMMYFUNCTION("""COMPUTED_VALUE"""),"IMPORTEX EC")</f>
        <v>IMPORTEX EC</v>
      </c>
      <c r="AV1896" s="65" t="str">
        <f>IFERROR(__xludf.DUMMYFUNCTION("""COMPUTED_VALUE"""),"6410195501100")</f>
        <v>6410195501100</v>
      </c>
      <c r="AW1896" s="65">
        <f>IFERROR(__xludf.DUMMYFUNCTION("""COMPUTED_VALUE"""),5059.0)</f>
        <v>5059</v>
      </c>
      <c r="AX1896" s="65"/>
      <c r="AY1896" s="65" t="str">
        <f>IFERROR(__xludf.DUMMYFUNCTION("""COMPUTED_VALUE"""),"14/01/2026")</f>
        <v>14/01/2026</v>
      </c>
      <c r="AZ1896" s="65"/>
      <c r="BA1896" s="65"/>
    </row>
    <row r="1897">
      <c r="A1897" s="65" t="str">
        <f>IFERROR(__xludf.DUMMYFUNCTION("""COMPUTED_VALUE"""),"27-03-2026")</f>
        <v>27-03-2026</v>
      </c>
      <c r="B1897" s="65">
        <f>IFERROR(__xludf.DUMMYFUNCTION("""COMPUTED_VALUE"""),4123800.0)</f>
        <v>4123800</v>
      </c>
      <c r="C1897" s="65" t="str">
        <f>IFERROR(__xludf.DUMMYFUNCTION("""COMPUTED_VALUE"""),"20:09")</f>
        <v>20:09</v>
      </c>
      <c r="D1897" s="65" t="str">
        <f>IFERROR(__xludf.DUMMYFUNCTION("""COMPUTED_VALUE"""),"12-01-2026")</f>
        <v>12-01-2026</v>
      </c>
      <c r="E1897" s="65" t="str">
        <f>IFERROR(__xludf.DUMMYFUNCTION("""COMPUTED_VALUE"""),"Rosa Elvira Sibri Paucar")</f>
        <v>Rosa Elvira Sibri Paucar</v>
      </c>
      <c r="F1897" s="65" t="str">
        <f>IFERROR(__xludf.DUMMYFUNCTION("""COMPUTED_VALUE"""),"991091501")</f>
        <v>991091501</v>
      </c>
      <c r="G1897" s="65" t="str">
        <f>IFERROR(__xludf.DUMMYFUNCTION("""COMPUTED_VALUE"""),"paolasinchi.1@gmil.com")</f>
        <v>paolasinchi.1@gmil.com</v>
      </c>
      <c r="H1897" s="65"/>
      <c r="I1897" s="65"/>
      <c r="J1897" s="65" t="str">
        <f>IFERROR(__xludf.DUMMYFUNCTION("""COMPUTED_VALUE"""),"D001223036")</f>
        <v>D001223036</v>
      </c>
      <c r="K1897" s="65" t="str">
        <f>IFERROR(__xludf.DUMMYFUNCTION("""COMPUTED_VALUE"""),"ENTREGADO")</f>
        <v>ENTREGADO</v>
      </c>
      <c r="L1897" s="65" t="str">
        <f>IFERROR(__xludf.DUMMYFUNCTION("""COMPUTED_VALUE"""),"CON RECAUDO")</f>
        <v>CON RECAUDO</v>
      </c>
      <c r="M1897" s="65" t="str">
        <f>IFERROR(__xludf.DUMMYFUNCTION("""COMPUTED_VALUE"""),"AZUAY")</f>
        <v>AZUAY</v>
      </c>
      <c r="N1897" s="65" t="str">
        <f>IFERROR(__xludf.DUMMYFUNCTION("""COMPUTED_VALUE"""),"CUENCA")</f>
        <v>CUENCA</v>
      </c>
      <c r="O1897" s="65" t="str">
        <f>IFERROR(__xludf.DUMMYFUNCTION("""COMPUTED_VALUE"""),"Via san miguel y camino viejo Parroquia El Valle - REF cerca a la estacion de bomberos #10")</f>
        <v>Via san miguel y camino viejo Parroquia El Valle - REF cerca a la estacion de bomberos #10</v>
      </c>
      <c r="P1897" s="65"/>
      <c r="Q1897" s="65" t="str">
        <f>IFERROR(__xludf.DUMMYFUNCTION("""COMPUTED_VALUE"""),"GINTRACOM")</f>
        <v>GINTRACOM</v>
      </c>
      <c r="R1897" s="65">
        <f>IFERROR(__xludf.DUMMYFUNCTION("""COMPUTED_VALUE"""),22.0)</f>
        <v>22</v>
      </c>
      <c r="S1897" s="65">
        <f>IFERROR(__xludf.DUMMYFUNCTION("""COMPUTED_VALUE"""),10.96)</f>
        <v>10.96</v>
      </c>
      <c r="T1897" s="65">
        <f>IFERROR(__xludf.DUMMYFUNCTION("""COMPUTED_VALUE"""),5.84)</f>
        <v>5.84</v>
      </c>
      <c r="U1897" s="65">
        <f>IFERROR(__xludf.DUMMYFUNCTION("""COMPUTED_VALUE"""),0.0)</f>
        <v>0</v>
      </c>
      <c r="V1897" s="65">
        <f>IFERROR(__xludf.DUMMYFUNCTION("""COMPUTED_VALUE"""),0.0)</f>
        <v>0</v>
      </c>
      <c r="W1897" s="65">
        <f>IFERROR(__xludf.DUMMYFUNCTION("""COMPUTED_VALUE"""),0.0)</f>
        <v>0</v>
      </c>
      <c r="X1897" s="65">
        <f>IFERROR(__xludf.DUMMYFUNCTION("""COMPUTED_VALUE"""),2.6)</f>
        <v>2.6</v>
      </c>
      <c r="Y1897" s="65">
        <f>IFERROR(__xludf.DUMMYFUNCTION("""COMPUTED_VALUE"""),5.2)</f>
        <v>5.2</v>
      </c>
      <c r="Z1897" s="65">
        <f>IFERROR(__xludf.DUMMYFUNCTION("""COMPUTED_VALUE"""),121983.0)</f>
        <v>121983</v>
      </c>
      <c r="AA1897" s="65" t="str">
        <f>IFERROR(__xludf.DUMMYFUNCTION("""COMPUTED_VALUE"""),"PROV-CHLLCF")</f>
        <v>PROV-CHLLCF</v>
      </c>
      <c r="AB1897" s="65"/>
      <c r="AC1897" s="65" t="str">
        <f>IFERROR(__xludf.DUMMYFUNCTION("""COMPUTED_VALUE"""),"CUCHILLO PARA CHEF")</f>
        <v>CUCHILLO PARA CHEF</v>
      </c>
      <c r="AD1897" s="65"/>
      <c r="AE1897" s="65">
        <f>IFERROR(__xludf.DUMMYFUNCTION("""COMPUTED_VALUE"""),2.0)</f>
        <v>2</v>
      </c>
      <c r="AF1897" s="65" t="str">
        <f>IFERROR(__xludf.DUMMYFUNCTION("""COMPUTED_VALUE"""),"DESTINATARIO NO CONTESTA LLAMADAS NI WHATSAPP")</f>
        <v>DESTINATARIO NO CONTESTA LLAMADAS NI WHATSAPP</v>
      </c>
      <c r="AG1897" s="65" t="str">
        <f>IFERROR(__xludf.DUMMYFUNCTION("""COMPUTED_VALUE"""),"SI")</f>
        <v>SI</v>
      </c>
      <c r="AH1897" s="65" t="str">
        <f>IFERROR(__xludf.DUMMYFUNCTION("""COMPUTED_VALUE"""),"11:24")</f>
        <v>11:24</v>
      </c>
      <c r="AI1897" s="65" t="str">
        <f>IFERROR(__xludf.DUMMYFUNCTION("""COMPUTED_VALUE"""),"17-01-2026")</f>
        <v>17-01-2026</v>
      </c>
      <c r="AJ1897" s="65"/>
      <c r="AK1897" s="65"/>
      <c r="AL1897" s="65"/>
      <c r="AM1897" s="65"/>
      <c r="AN1897" s="65" t="str">
        <f>IFERROR(__xludf.DUMMYFUNCTION("""COMPUTED_VALUE"""),"13:37")</f>
        <v>13:37</v>
      </c>
      <c r="AO1897" s="65" t="str">
        <f>IFERROR(__xludf.DUMMYFUNCTION("""COMPUTED_VALUE"""),"22-01-2026")</f>
        <v>22-01-2026</v>
      </c>
      <c r="AP1897" s="65" t="str">
        <f>IFERROR(__xludf.DUMMYFUNCTION("""COMPUTED_VALUE"""),"ENTREGADA GINTRACOM")</f>
        <v>ENTREGADA GINTRACOM</v>
      </c>
      <c r="AQ1897" s="65" t="str">
        <f>IFERROR(__xludf.DUMMYFUNCTION("""COMPUTED_VALUE"""),"ENTREGADA GINTRACOM")</f>
        <v>ENTREGADA GINTRACOM</v>
      </c>
      <c r="AR1897" s="65"/>
      <c r="AS1897" s="65"/>
      <c r="AT1897" s="65" t="str">
        <f>IFERROR(__xludf.DUMMYFUNCTION("""COMPUTED_VALUE"""),"SHOPIFY")</f>
        <v>SHOPIFY</v>
      </c>
      <c r="AU1897" s="65" t="str">
        <f>IFERROR(__xludf.DUMMYFUNCTION("""COMPUTED_VALUE"""),"IMPORTEX EC")</f>
        <v>IMPORTEX EC</v>
      </c>
      <c r="AV1897" s="65" t="str">
        <f>IFERROR(__xludf.DUMMYFUNCTION("""COMPUTED_VALUE"""),"6410176266284")</f>
        <v>6410176266284</v>
      </c>
      <c r="AW1897" s="65">
        <f>IFERROR(__xludf.DUMMYFUNCTION("""COMPUTED_VALUE"""),5058.0)</f>
        <v>5058</v>
      </c>
      <c r="AX1897" s="65"/>
      <c r="AY1897" s="65" t="str">
        <f>IFERROR(__xludf.DUMMYFUNCTION("""COMPUTED_VALUE"""),"14/01/2026")</f>
        <v>14/01/2026</v>
      </c>
      <c r="AZ1897" s="65"/>
      <c r="BA1897" s="65"/>
    </row>
    <row r="1898">
      <c r="A1898" s="65" t="str">
        <f>IFERROR(__xludf.DUMMYFUNCTION("""COMPUTED_VALUE"""),"27-03-2026")</f>
        <v>27-03-2026</v>
      </c>
      <c r="B1898" s="65">
        <f>IFERROR(__xludf.DUMMYFUNCTION("""COMPUTED_VALUE"""),4123784.0)</f>
        <v>4123784</v>
      </c>
      <c r="C1898" s="65" t="str">
        <f>IFERROR(__xludf.DUMMYFUNCTION("""COMPUTED_VALUE"""),"20:08")</f>
        <v>20:08</v>
      </c>
      <c r="D1898" s="65" t="str">
        <f>IFERROR(__xludf.DUMMYFUNCTION("""COMPUTED_VALUE"""),"12-01-2026")</f>
        <v>12-01-2026</v>
      </c>
      <c r="E1898" s="65" t="str">
        <f>IFERROR(__xludf.DUMMYFUNCTION("""COMPUTED_VALUE"""),"LUIS LOPEZ")</f>
        <v>LUIS LOPEZ</v>
      </c>
      <c r="F1898" s="65" t="str">
        <f>IFERROR(__xludf.DUMMYFUNCTION("""COMPUTED_VALUE"""),"999065068")</f>
        <v>999065068</v>
      </c>
      <c r="G1898" s="65" t="str">
        <f>IFERROR(__xludf.DUMMYFUNCTION("""COMPUTED_VALUE"""),"llopezlazo67@gmail.com")</f>
        <v>llopezlazo67@gmail.com</v>
      </c>
      <c r="H1898" s="65"/>
      <c r="I1898" s="65"/>
      <c r="J1898" s="65" t="str">
        <f>IFERROR(__xludf.DUMMYFUNCTION("""COMPUTED_VALUE"""),"D001224256")</f>
        <v>D001224256</v>
      </c>
      <c r="K1898" s="65" t="str">
        <f>IFERROR(__xludf.DUMMYFUNCTION("""COMPUTED_VALUE"""),"ENTREGADO")</f>
        <v>ENTREGADO</v>
      </c>
      <c r="L1898" s="65" t="str">
        <f>IFERROR(__xludf.DUMMYFUNCTION("""COMPUTED_VALUE"""),"CON RECAUDO")</f>
        <v>CON RECAUDO</v>
      </c>
      <c r="M1898" s="65" t="str">
        <f>IFERROR(__xludf.DUMMYFUNCTION("""COMPUTED_VALUE"""),"AZUAY")</f>
        <v>AZUAY</v>
      </c>
      <c r="N1898" s="65" t="str">
        <f>IFERROR(__xludf.DUMMYFUNCTION("""COMPUTED_VALUE"""),"CUENCA")</f>
        <v>CUENCA</v>
      </c>
      <c r="O1898" s="65" t="str">
        <f>IFERROR(__xludf.DUMMYFUNCTION("""COMPUTED_VALUE"""),"Benigno malo 11 82 y gaspar sangurima Centro Historico - Almacen Vogue -")</f>
        <v>Benigno malo 11 82 y gaspar sangurima Centro Historico - Almacen Vogue -</v>
      </c>
      <c r="P1898" s="65"/>
      <c r="Q1898" s="65" t="str">
        <f>IFERROR(__xludf.DUMMYFUNCTION("""COMPUTED_VALUE"""),"GINTRACOM")</f>
        <v>GINTRACOM</v>
      </c>
      <c r="R1898" s="65">
        <f>IFERROR(__xludf.DUMMYFUNCTION("""COMPUTED_VALUE"""),30.0)</f>
        <v>30</v>
      </c>
      <c r="S1898" s="65">
        <f>IFERROR(__xludf.DUMMYFUNCTION("""COMPUTED_VALUE"""),16.79)</f>
        <v>16.79</v>
      </c>
      <c r="T1898" s="65">
        <f>IFERROR(__xludf.DUMMYFUNCTION("""COMPUTED_VALUE"""),6.16)</f>
        <v>6.16</v>
      </c>
      <c r="U1898" s="65">
        <f>IFERROR(__xludf.DUMMYFUNCTION("""COMPUTED_VALUE"""),0.0)</f>
        <v>0</v>
      </c>
      <c r="V1898" s="65">
        <f>IFERROR(__xludf.DUMMYFUNCTION("""COMPUTED_VALUE"""),0.0)</f>
        <v>0</v>
      </c>
      <c r="W1898" s="65">
        <f>IFERROR(__xludf.DUMMYFUNCTION("""COMPUTED_VALUE"""),0.0)</f>
        <v>0</v>
      </c>
      <c r="X1898" s="65">
        <f>IFERROR(__xludf.DUMMYFUNCTION("""COMPUTED_VALUE"""),2.35)</f>
        <v>2.35</v>
      </c>
      <c r="Y1898" s="65">
        <f>IFERROR(__xludf.DUMMYFUNCTION("""COMPUTED_VALUE"""),7.05)</f>
        <v>7.05</v>
      </c>
      <c r="Z1898" s="65">
        <f>IFERROR(__xludf.DUMMYFUNCTION("""COMPUTED_VALUE"""),116679.0)</f>
        <v>116679</v>
      </c>
      <c r="AA1898" s="65" t="str">
        <f>IFERROR(__xludf.DUMMYFUNCTION("""COMPUTED_VALUE"""),"AMC-2738")</f>
        <v>AMC-2738</v>
      </c>
      <c r="AB1898" s="65"/>
      <c r="AC1898" s="65" t="str">
        <f>IFERROR(__xludf.DUMMYFUNCTION("""COMPUTED_VALUE"""),"ESPONJA ANTILLUVIA DE PARABRISAS")</f>
        <v>ESPONJA ANTILLUVIA DE PARABRISAS</v>
      </c>
      <c r="AD1898" s="65"/>
      <c r="AE1898" s="65">
        <f>IFERROR(__xludf.DUMMYFUNCTION("""COMPUTED_VALUE"""),3.0)</f>
        <v>3</v>
      </c>
      <c r="AF1898" s="65"/>
      <c r="AG1898" s="65"/>
      <c r="AH1898" s="65"/>
      <c r="AI1898" s="65"/>
      <c r="AJ1898" s="65"/>
      <c r="AK1898" s="65"/>
      <c r="AL1898" s="65"/>
      <c r="AM1898" s="65"/>
      <c r="AN1898" s="65" t="str">
        <f>IFERROR(__xludf.DUMMYFUNCTION("""COMPUTED_VALUE"""),"12:40")</f>
        <v>12:40</v>
      </c>
      <c r="AO1898" s="65" t="str">
        <f>IFERROR(__xludf.DUMMYFUNCTION("""COMPUTED_VALUE"""),"16-01-2026")</f>
        <v>16-01-2026</v>
      </c>
      <c r="AP1898" s="65" t="str">
        <f>IFERROR(__xludf.DUMMYFUNCTION("""COMPUTED_VALUE"""),"ENTREGADA GINTRACOM")</f>
        <v>ENTREGADA GINTRACOM</v>
      </c>
      <c r="AQ1898" s="65" t="str">
        <f>IFERROR(__xludf.DUMMYFUNCTION("""COMPUTED_VALUE"""),"ENTREGADA GINTRACOM")</f>
        <v>ENTREGADA GINTRACOM</v>
      </c>
      <c r="AR1898" s="65"/>
      <c r="AS1898" s="65"/>
      <c r="AT1898" s="65" t="str">
        <f>IFERROR(__xludf.DUMMYFUNCTION("""COMPUTED_VALUE"""),"SHOPIFY")</f>
        <v>SHOPIFY</v>
      </c>
      <c r="AU1898" s="65" t="str">
        <f>IFERROR(__xludf.DUMMYFUNCTION("""COMPUTED_VALUE"""),"IMPORTEX EC")</f>
        <v>IMPORTEX EC</v>
      </c>
      <c r="AV1898" s="65" t="str">
        <f>IFERROR(__xludf.DUMMYFUNCTION("""COMPUTED_VALUE"""),"6410173186092")</f>
        <v>6410173186092</v>
      </c>
      <c r="AW1898" s="65">
        <f>IFERROR(__xludf.DUMMYFUNCTION("""COMPUTED_VALUE"""),5057.0)</f>
        <v>5057</v>
      </c>
      <c r="AX1898" s="65"/>
      <c r="AY1898" s="65" t="str">
        <f>IFERROR(__xludf.DUMMYFUNCTION("""COMPUTED_VALUE"""),"14/01/2026")</f>
        <v>14/01/2026</v>
      </c>
      <c r="AZ1898" s="65"/>
      <c r="BA1898" s="65"/>
    </row>
    <row r="1899">
      <c r="A1899" s="65" t="str">
        <f>IFERROR(__xludf.DUMMYFUNCTION("""COMPUTED_VALUE"""),"27-03-2026")</f>
        <v>27-03-2026</v>
      </c>
      <c r="B1899" s="65">
        <f>IFERROR(__xludf.DUMMYFUNCTION("""COMPUTED_VALUE"""),4123653.0)</f>
        <v>4123653</v>
      </c>
      <c r="C1899" s="65" t="str">
        <f>IFERROR(__xludf.DUMMYFUNCTION("""COMPUTED_VALUE"""),"19:57")</f>
        <v>19:57</v>
      </c>
      <c r="D1899" s="65" t="str">
        <f>IFERROR(__xludf.DUMMYFUNCTION("""COMPUTED_VALUE"""),"12-01-2026")</f>
        <v>12-01-2026</v>
      </c>
      <c r="E1899" s="65" t="str">
        <f>IFERROR(__xludf.DUMMYFUNCTION("""COMPUTED_VALUE"""),"Fabricio Garcia")</f>
        <v>Fabricio Garcia</v>
      </c>
      <c r="F1899" s="65" t="str">
        <f>IFERROR(__xludf.DUMMYFUNCTION("""COMPUTED_VALUE"""),"992996479")</f>
        <v>992996479</v>
      </c>
      <c r="G1899" s="65"/>
      <c r="H1899" s="65"/>
      <c r="I1899" s="65"/>
      <c r="J1899" s="65"/>
      <c r="K1899" s="65" t="str">
        <f>IFERROR(__xludf.DUMMYFUNCTION("""COMPUTED_VALUE"""),"PENDIENTE CONFIRMACION")</f>
        <v>PENDIENTE CONFIRMACION</v>
      </c>
      <c r="L1899" s="65" t="str">
        <f>IFERROR(__xludf.DUMMYFUNCTION("""COMPUTED_VALUE"""),"CON RECAUDO")</f>
        <v>CON RECAUDO</v>
      </c>
      <c r="M1899" s="65" t="str">
        <f>IFERROR(__xludf.DUMMYFUNCTION("""COMPUTED_VALUE"""),"MANABI")</f>
        <v>MANABI</v>
      </c>
      <c r="N1899" s="65" t="str">
        <f>IFERROR(__xludf.DUMMYFUNCTION("""COMPUTED_VALUE"""),"CHONE")</f>
        <v>CHONE</v>
      </c>
      <c r="O1899" s="65" t="str">
        <f>IFERROR(__xludf.DUMMYFUNCTION("""COMPUTED_VALUE"""),"St. Rita Fuerte al parque -")</f>
        <v>St. Rita Fuerte al parque -</v>
      </c>
      <c r="P1899" s="65"/>
      <c r="Q1899" s="65" t="str">
        <f>IFERROR(__xludf.DUMMYFUNCTION("""COMPUTED_VALUE"""),"GINTRACOM")</f>
        <v>GINTRACOM</v>
      </c>
      <c r="R1899" s="65">
        <f>IFERROR(__xludf.DUMMYFUNCTION("""COMPUTED_VALUE"""),32.0)</f>
        <v>32</v>
      </c>
      <c r="S1899" s="65"/>
      <c r="T1899" s="65">
        <f>IFERROR(__xludf.DUMMYFUNCTION("""COMPUTED_VALUE"""),6.24)</f>
        <v>6.24</v>
      </c>
      <c r="U1899" s="65">
        <f>IFERROR(__xludf.DUMMYFUNCTION("""COMPUTED_VALUE"""),0.0)</f>
        <v>0</v>
      </c>
      <c r="V1899" s="65">
        <f>IFERROR(__xludf.DUMMYFUNCTION("""COMPUTED_VALUE"""),0.0)</f>
        <v>0</v>
      </c>
      <c r="W1899" s="65">
        <f>IFERROR(__xludf.DUMMYFUNCTION("""COMPUTED_VALUE"""),0.0)</f>
        <v>0</v>
      </c>
      <c r="X1899" s="65">
        <f>IFERROR(__xludf.DUMMYFUNCTION("""COMPUTED_VALUE"""),2.6)</f>
        <v>2.6</v>
      </c>
      <c r="Y1899" s="65">
        <f>IFERROR(__xludf.DUMMYFUNCTION("""COMPUTED_VALUE"""),10.4)</f>
        <v>10.4</v>
      </c>
      <c r="Z1899" s="65">
        <f>IFERROR(__xludf.DUMMYFUNCTION("""COMPUTED_VALUE"""),121983.0)</f>
        <v>121983</v>
      </c>
      <c r="AA1899" s="65" t="str">
        <f>IFERROR(__xludf.DUMMYFUNCTION("""COMPUTED_VALUE"""),"PROV-CHLLCF")</f>
        <v>PROV-CHLLCF</v>
      </c>
      <c r="AB1899" s="65"/>
      <c r="AC1899" s="65" t="str">
        <f>IFERROR(__xludf.DUMMYFUNCTION("""COMPUTED_VALUE"""),"CUCHILLO PARA CHEF")</f>
        <v>CUCHILLO PARA CHEF</v>
      </c>
      <c r="AD1899" s="65"/>
      <c r="AE1899" s="65">
        <f>IFERROR(__xludf.DUMMYFUNCTION("""COMPUTED_VALUE"""),4.0)</f>
        <v>4</v>
      </c>
      <c r="AF1899" s="65"/>
      <c r="AG1899" s="65"/>
      <c r="AH1899" s="65"/>
      <c r="AI1899" s="65"/>
      <c r="AJ1899" s="65"/>
      <c r="AK1899" s="65"/>
      <c r="AL1899" s="65"/>
      <c r="AM1899" s="65"/>
      <c r="AN1899" s="65"/>
      <c r="AO1899" s="65"/>
      <c r="AP1899" s="65"/>
      <c r="AQ1899" s="65"/>
      <c r="AR1899" s="65"/>
      <c r="AS1899" s="65"/>
      <c r="AT1899" s="65" t="str">
        <f>IFERROR(__xludf.DUMMYFUNCTION("""COMPUTED_VALUE"""),"SHOPIFY")</f>
        <v>SHOPIFY</v>
      </c>
      <c r="AU1899" s="65" t="str">
        <f>IFERROR(__xludf.DUMMYFUNCTION("""COMPUTED_VALUE"""),"IMPORTEX EC")</f>
        <v>IMPORTEX EC</v>
      </c>
      <c r="AV1899" s="65" t="str">
        <f>IFERROR(__xludf.DUMMYFUNCTION("""COMPUTED_VALUE"""),"6410152869932")</f>
        <v>6410152869932</v>
      </c>
      <c r="AW1899" s="65">
        <f>IFERROR(__xludf.DUMMYFUNCTION("""COMPUTED_VALUE"""),5056.0)</f>
        <v>5056</v>
      </c>
      <c r="AX1899" s="65"/>
      <c r="AY1899" s="65"/>
      <c r="AZ1899" s="65"/>
      <c r="BA1899" s="65"/>
    </row>
    <row r="1900">
      <c r="A1900" s="65" t="str">
        <f>IFERROR(__xludf.DUMMYFUNCTION("""COMPUTED_VALUE"""),"27-03-2026")</f>
        <v>27-03-2026</v>
      </c>
      <c r="B1900" s="65">
        <f>IFERROR(__xludf.DUMMYFUNCTION("""COMPUTED_VALUE"""),4123647.0)</f>
        <v>4123647</v>
      </c>
      <c r="C1900" s="65" t="str">
        <f>IFERROR(__xludf.DUMMYFUNCTION("""COMPUTED_VALUE"""),"19:56")</f>
        <v>19:56</v>
      </c>
      <c r="D1900" s="65" t="str">
        <f>IFERROR(__xludf.DUMMYFUNCTION("""COMPUTED_VALUE"""),"12-01-2026")</f>
        <v>12-01-2026</v>
      </c>
      <c r="E1900" s="65" t="str">
        <f>IFERROR(__xludf.DUMMYFUNCTION("""COMPUTED_VALUE"""),"Ivan Torres Salinas")</f>
        <v>Ivan Torres Salinas</v>
      </c>
      <c r="F1900" s="65" t="str">
        <f>IFERROR(__xludf.DUMMYFUNCTION("""COMPUTED_VALUE"""),"990015795")</f>
        <v>990015795</v>
      </c>
      <c r="G1900" s="65" t="str">
        <f>IFERROR(__xludf.DUMMYFUNCTION("""COMPUTED_VALUE"""),"ivantorresalinas@gmail.com")</f>
        <v>ivantorresalinas@gmail.com</v>
      </c>
      <c r="H1900" s="65"/>
      <c r="I1900" s="65"/>
      <c r="J1900" s="65" t="str">
        <f>IFERROR(__xludf.DUMMYFUNCTION("""COMPUTED_VALUE"""),"D001224257")</f>
        <v>D001224257</v>
      </c>
      <c r="K1900" s="65" t="str">
        <f>IFERROR(__xludf.DUMMYFUNCTION("""COMPUTED_VALUE"""),"ENTREGADO")</f>
        <v>ENTREGADO</v>
      </c>
      <c r="L1900" s="65" t="str">
        <f>IFERROR(__xludf.DUMMYFUNCTION("""COMPUTED_VALUE"""),"CON RECAUDO")</f>
        <v>CON RECAUDO</v>
      </c>
      <c r="M1900" s="65" t="str">
        <f>IFERROR(__xludf.DUMMYFUNCTION("""COMPUTED_VALUE"""),"EL ORO")</f>
        <v>EL ORO</v>
      </c>
      <c r="N1900" s="65" t="str">
        <f>IFERROR(__xludf.DUMMYFUNCTION("""COMPUTED_VALUE"""),"MACHALA")</f>
        <v>MACHALA</v>
      </c>
      <c r="O1900" s="65" t="str">
        <f>IFERROR(__xludf.DUMMYFUNCTION("""COMPUTED_VALUE"""),"Callejón J y Av Colon Tinoco Florida sector, 1.   A 50 metros del parque ecológico. -")</f>
        <v>Callejón J y Av Colon Tinoco Florida sector, 1.   A 50 metros del parque ecológico. -</v>
      </c>
      <c r="P1900" s="65"/>
      <c r="Q1900" s="65" t="str">
        <f>IFERROR(__xludf.DUMMYFUNCTION("""COMPUTED_VALUE"""),"GINTRACOM")</f>
        <v>GINTRACOM</v>
      </c>
      <c r="R1900" s="65">
        <f>IFERROR(__xludf.DUMMYFUNCTION("""COMPUTED_VALUE"""),30.0)</f>
        <v>30</v>
      </c>
      <c r="S1900" s="65">
        <f>IFERROR(__xludf.DUMMYFUNCTION("""COMPUTED_VALUE"""),16.79)</f>
        <v>16.79</v>
      </c>
      <c r="T1900" s="65">
        <f>IFERROR(__xludf.DUMMYFUNCTION("""COMPUTED_VALUE"""),6.16)</f>
        <v>6.16</v>
      </c>
      <c r="U1900" s="65">
        <f>IFERROR(__xludf.DUMMYFUNCTION("""COMPUTED_VALUE"""),0.0)</f>
        <v>0</v>
      </c>
      <c r="V1900" s="65">
        <f>IFERROR(__xludf.DUMMYFUNCTION("""COMPUTED_VALUE"""),0.0)</f>
        <v>0</v>
      </c>
      <c r="W1900" s="65">
        <f>IFERROR(__xludf.DUMMYFUNCTION("""COMPUTED_VALUE"""),0.0)</f>
        <v>0</v>
      </c>
      <c r="X1900" s="65">
        <f>IFERROR(__xludf.DUMMYFUNCTION("""COMPUTED_VALUE"""),2.35)</f>
        <v>2.35</v>
      </c>
      <c r="Y1900" s="65">
        <f>IFERROR(__xludf.DUMMYFUNCTION("""COMPUTED_VALUE"""),7.05)</f>
        <v>7.05</v>
      </c>
      <c r="Z1900" s="65">
        <f>IFERROR(__xludf.DUMMYFUNCTION("""COMPUTED_VALUE"""),116679.0)</f>
        <v>116679</v>
      </c>
      <c r="AA1900" s="65" t="str">
        <f>IFERROR(__xludf.DUMMYFUNCTION("""COMPUTED_VALUE"""),"AMC-2738")</f>
        <v>AMC-2738</v>
      </c>
      <c r="AB1900" s="65"/>
      <c r="AC1900" s="65" t="str">
        <f>IFERROR(__xludf.DUMMYFUNCTION("""COMPUTED_VALUE"""),"ESPONJA ANTILLUVIA DE PARABRISAS")</f>
        <v>ESPONJA ANTILLUVIA DE PARABRISAS</v>
      </c>
      <c r="AD1900" s="65"/>
      <c r="AE1900" s="65">
        <f>IFERROR(__xludf.DUMMYFUNCTION("""COMPUTED_VALUE"""),3.0)</f>
        <v>3</v>
      </c>
      <c r="AF1900" s="65" t="str">
        <f>IFERROR(__xludf.DUMMYFUNCTION("""COMPUTED_VALUE"""),"DESTINATARIO INDICA QUE YA RECIBIÓ EL PRODUCTO")</f>
        <v>DESTINATARIO INDICA QUE YA RECIBIÓ EL PRODUCTO</v>
      </c>
      <c r="AG1900" s="65" t="str">
        <f>IFERROR(__xludf.DUMMYFUNCTION("""COMPUTED_VALUE"""),"NO")</f>
        <v>NO</v>
      </c>
      <c r="AH1900" s="65" t="str">
        <f>IFERROR(__xludf.DUMMYFUNCTION("""COMPUTED_VALUE"""),"09:17")</f>
        <v>09:17</v>
      </c>
      <c r="AI1900" s="65" t="str">
        <f>IFERROR(__xludf.DUMMYFUNCTION("""COMPUTED_VALUE"""),"20-01-2026")</f>
        <v>20-01-2026</v>
      </c>
      <c r="AJ1900" s="65"/>
      <c r="AK1900" s="65"/>
      <c r="AL1900" s="65"/>
      <c r="AM1900" s="65"/>
      <c r="AN1900" s="65" t="str">
        <f>IFERROR(__xludf.DUMMYFUNCTION("""COMPUTED_VALUE"""),"17:29")</f>
        <v>17:29</v>
      </c>
      <c r="AO1900" s="65" t="str">
        <f>IFERROR(__xludf.DUMMYFUNCTION("""COMPUTED_VALUE"""),"27-01-2026")</f>
        <v>27-01-2026</v>
      </c>
      <c r="AP1900" s="65" t="str">
        <f>IFERROR(__xludf.DUMMYFUNCTION("""COMPUTED_VALUE"""),"ENTREGADA GINTRACOM")</f>
        <v>ENTREGADA GINTRACOM</v>
      </c>
      <c r="AQ1900" s="65" t="str">
        <f>IFERROR(__xludf.DUMMYFUNCTION("""COMPUTED_VALUE"""),"ENTREGADA GINTRACOM")</f>
        <v>ENTREGADA GINTRACOM</v>
      </c>
      <c r="AR1900" s="65"/>
      <c r="AS1900" s="65"/>
      <c r="AT1900" s="65" t="str">
        <f>IFERROR(__xludf.DUMMYFUNCTION("""COMPUTED_VALUE"""),"SHOPIFY")</f>
        <v>SHOPIFY</v>
      </c>
      <c r="AU1900" s="65" t="str">
        <f>IFERROR(__xludf.DUMMYFUNCTION("""COMPUTED_VALUE"""),"IMPORTEX EC")</f>
        <v>IMPORTEX EC</v>
      </c>
      <c r="AV1900" s="65" t="str">
        <f>IFERROR(__xludf.DUMMYFUNCTION("""COMPUTED_VALUE"""),"6410150936620")</f>
        <v>6410150936620</v>
      </c>
      <c r="AW1900" s="65">
        <f>IFERROR(__xludf.DUMMYFUNCTION("""COMPUTED_VALUE"""),5055.0)</f>
        <v>5055</v>
      </c>
      <c r="AX1900" s="65"/>
      <c r="AY1900" s="65" t="str">
        <f>IFERROR(__xludf.DUMMYFUNCTION("""COMPUTED_VALUE"""),"14/01/2026")</f>
        <v>14/01/2026</v>
      </c>
      <c r="AZ1900" s="65"/>
      <c r="BA1900" s="65"/>
    </row>
    <row r="1901">
      <c r="A1901" s="65" t="str">
        <f>IFERROR(__xludf.DUMMYFUNCTION("""COMPUTED_VALUE"""),"27-03-2026")</f>
        <v>27-03-2026</v>
      </c>
      <c r="B1901" s="65">
        <f>IFERROR(__xludf.DUMMYFUNCTION("""COMPUTED_VALUE"""),4123234.0)</f>
        <v>4123234</v>
      </c>
      <c r="C1901" s="65" t="str">
        <f>IFERROR(__xludf.DUMMYFUNCTION("""COMPUTED_VALUE"""),"19:18")</f>
        <v>19:18</v>
      </c>
      <c r="D1901" s="65" t="str">
        <f>IFERROR(__xludf.DUMMYFUNCTION("""COMPUTED_VALUE"""),"12-01-2026")</f>
        <v>12-01-2026</v>
      </c>
      <c r="E1901" s="65" t="str">
        <f>IFERROR(__xludf.DUMMYFUNCTION("""COMPUTED_VALUE"""),"MARIO GILBERTO")</f>
        <v>MARIO GILBERTO</v>
      </c>
      <c r="F1901" s="65" t="str">
        <f>IFERROR(__xludf.DUMMYFUNCTION("""COMPUTED_VALUE"""),"986427446")</f>
        <v>986427446</v>
      </c>
      <c r="G1901" s="65" t="str">
        <f>IFERROR(__xludf.DUMMYFUNCTION("""COMPUTED_VALUE"""),"mariodetapia@gmail.com")</f>
        <v>mariodetapia@gmail.com</v>
      </c>
      <c r="H1901" s="65"/>
      <c r="I1901" s="65"/>
      <c r="J1901" s="65" t="str">
        <f>IFERROR(__xludf.DUMMYFUNCTION("""COMPUTED_VALUE"""),"D001218305")</f>
        <v>D001218305</v>
      </c>
      <c r="K1901" s="65" t="str">
        <f>IFERROR(__xludf.DUMMYFUNCTION("""COMPUTED_VALUE"""),"ENTREGADO")</f>
        <v>ENTREGADO</v>
      </c>
      <c r="L1901" s="65" t="str">
        <f>IFERROR(__xludf.DUMMYFUNCTION("""COMPUTED_VALUE"""),"CON RECAUDO")</f>
        <v>CON RECAUDO</v>
      </c>
      <c r="M1901" s="65" t="str">
        <f>IFERROR(__xludf.DUMMYFUNCTION("""COMPUTED_VALUE"""),"SUCUMBIOS")</f>
        <v>SUCUMBIOS</v>
      </c>
      <c r="N1901" s="65" t="str">
        <f>IFERROR(__xludf.DUMMYFUNCTION("""COMPUTED_VALUE"""),"LAGO AGRIO")</f>
        <v>LAGO AGRIO</v>
      </c>
      <c r="O1901" s="65" t="str">
        <f>IFERROR(__xludf.DUMMYFUNCTION("""COMPUTED_VALUE"""),"Calle 18 DE NOVIEMBRE y Calle FRANCISCO DE ORELLANA - Edificio CNT segundo piso oficina jurídica -")</f>
        <v>Calle 18 DE NOVIEMBRE y Calle FRANCISCO DE ORELLANA - Edificio CNT segundo piso oficina jurídica -</v>
      </c>
      <c r="P1901" s="65"/>
      <c r="Q1901" s="65" t="str">
        <f>IFERROR(__xludf.DUMMYFUNCTION("""COMPUTED_VALUE"""),"GINTRACOM")</f>
        <v>GINTRACOM</v>
      </c>
      <c r="R1901" s="65">
        <f>IFERROR(__xludf.DUMMYFUNCTION("""COMPUTED_VALUE"""),27.0)</f>
        <v>27</v>
      </c>
      <c r="S1901" s="65">
        <f>IFERROR(__xludf.DUMMYFUNCTION("""COMPUTED_VALUE"""),13.17)</f>
        <v>13.17</v>
      </c>
      <c r="T1901" s="65">
        <f>IFERROR(__xludf.DUMMYFUNCTION("""COMPUTED_VALUE"""),6.03)</f>
        <v>6.03</v>
      </c>
      <c r="U1901" s="65">
        <f>IFERROR(__xludf.DUMMYFUNCTION("""COMPUTED_VALUE"""),0.0)</f>
        <v>0</v>
      </c>
      <c r="V1901" s="65">
        <f>IFERROR(__xludf.DUMMYFUNCTION("""COMPUTED_VALUE"""),0.0)</f>
        <v>0</v>
      </c>
      <c r="W1901" s="65">
        <f>IFERROR(__xludf.DUMMYFUNCTION("""COMPUTED_VALUE"""),0.0)</f>
        <v>0</v>
      </c>
      <c r="X1901" s="65">
        <f>IFERROR(__xludf.DUMMYFUNCTION("""COMPUTED_VALUE"""),2.6)</f>
        <v>2.6</v>
      </c>
      <c r="Y1901" s="65">
        <f>IFERROR(__xludf.DUMMYFUNCTION("""COMPUTED_VALUE"""),7.8)</f>
        <v>7.8</v>
      </c>
      <c r="Z1901" s="65">
        <f>IFERROR(__xludf.DUMMYFUNCTION("""COMPUTED_VALUE"""),121983.0)</f>
        <v>121983</v>
      </c>
      <c r="AA1901" s="65" t="str">
        <f>IFERROR(__xludf.DUMMYFUNCTION("""COMPUTED_VALUE"""),"PROV-CHLLCF")</f>
        <v>PROV-CHLLCF</v>
      </c>
      <c r="AB1901" s="65"/>
      <c r="AC1901" s="65" t="str">
        <f>IFERROR(__xludf.DUMMYFUNCTION("""COMPUTED_VALUE"""),"CUCHILLO PARA CHEF")</f>
        <v>CUCHILLO PARA CHEF</v>
      </c>
      <c r="AD1901" s="65"/>
      <c r="AE1901" s="65">
        <f>IFERROR(__xludf.DUMMYFUNCTION("""COMPUTED_VALUE"""),3.0)</f>
        <v>3</v>
      </c>
      <c r="AF1901" s="65"/>
      <c r="AG1901" s="65"/>
      <c r="AH1901" s="65"/>
      <c r="AI1901" s="65"/>
      <c r="AJ1901" s="65"/>
      <c r="AK1901" s="65"/>
      <c r="AL1901" s="65"/>
      <c r="AM1901" s="65"/>
      <c r="AN1901" s="65" t="str">
        <f>IFERROR(__xludf.DUMMYFUNCTION("""COMPUTED_VALUE"""),"11:25")</f>
        <v>11:25</v>
      </c>
      <c r="AO1901" s="65" t="str">
        <f>IFERROR(__xludf.DUMMYFUNCTION("""COMPUTED_VALUE"""),"15-01-2026")</f>
        <v>15-01-2026</v>
      </c>
      <c r="AP1901" s="65" t="str">
        <f>IFERROR(__xludf.DUMMYFUNCTION("""COMPUTED_VALUE"""),"ENTREGADA GINTRACOM")</f>
        <v>ENTREGADA GINTRACOM</v>
      </c>
      <c r="AQ1901" s="65" t="str">
        <f>IFERROR(__xludf.DUMMYFUNCTION("""COMPUTED_VALUE"""),"ENTREGADA GINTRACOM")</f>
        <v>ENTREGADA GINTRACOM</v>
      </c>
      <c r="AR1901" s="65"/>
      <c r="AS1901" s="65"/>
      <c r="AT1901" s="65" t="str">
        <f>IFERROR(__xludf.DUMMYFUNCTION("""COMPUTED_VALUE"""),"SHOPIFY")</f>
        <v>SHOPIFY</v>
      </c>
      <c r="AU1901" s="65" t="str">
        <f>IFERROR(__xludf.DUMMYFUNCTION("""COMPUTED_VALUE"""),"IMPORTEX EC")</f>
        <v>IMPORTEX EC</v>
      </c>
      <c r="AV1901" s="65" t="str">
        <f>IFERROR(__xludf.DUMMYFUNCTION("""COMPUTED_VALUE"""),"6410081501228")</f>
        <v>6410081501228</v>
      </c>
      <c r="AW1901" s="65">
        <f>IFERROR(__xludf.DUMMYFUNCTION("""COMPUTED_VALUE"""),5054.0)</f>
        <v>5054</v>
      </c>
      <c r="AX1901" s="65"/>
      <c r="AY1901" s="65" t="str">
        <f>IFERROR(__xludf.DUMMYFUNCTION("""COMPUTED_VALUE"""),"13/01/2026")</f>
        <v>13/01/2026</v>
      </c>
      <c r="AZ1901" s="65"/>
      <c r="BA1901" s="65"/>
    </row>
    <row r="1902">
      <c r="A1902" s="65" t="str">
        <f>IFERROR(__xludf.DUMMYFUNCTION("""COMPUTED_VALUE"""),"27-03-2026")</f>
        <v>27-03-2026</v>
      </c>
      <c r="B1902" s="65">
        <f>IFERROR(__xludf.DUMMYFUNCTION("""COMPUTED_VALUE"""),4123080.0)</f>
        <v>4123080</v>
      </c>
      <c r="C1902" s="65" t="str">
        <f>IFERROR(__xludf.DUMMYFUNCTION("""COMPUTED_VALUE"""),"19:01")</f>
        <v>19:01</v>
      </c>
      <c r="D1902" s="65" t="str">
        <f>IFERROR(__xludf.DUMMYFUNCTION("""COMPUTED_VALUE"""),"12-01-2026")</f>
        <v>12-01-2026</v>
      </c>
      <c r="E1902" s="65" t="str">
        <f>IFERROR(__xludf.DUMMYFUNCTION("""COMPUTED_VALUE"""),"Geovanny Santiago Sánchez Loor")</f>
        <v>Geovanny Santiago Sánchez Loor</v>
      </c>
      <c r="F1902" s="65" t="str">
        <f>IFERROR(__xludf.DUMMYFUNCTION("""COMPUTED_VALUE"""),"998611831")</f>
        <v>998611831</v>
      </c>
      <c r="G1902" s="65" t="str">
        <f>IFERROR(__xludf.DUMMYFUNCTION("""COMPUTED_VALUE"""),"santopretorianojdab@gmail.com")</f>
        <v>santopretorianojdab@gmail.com</v>
      </c>
      <c r="H1902" s="65"/>
      <c r="I1902" s="65"/>
      <c r="J1902" s="65"/>
      <c r="K1902" s="65" t="str">
        <f>IFERROR(__xludf.DUMMYFUNCTION("""COMPUTED_VALUE"""),"PENDIENTE CONFIRMACION")</f>
        <v>PENDIENTE CONFIRMACION</v>
      </c>
      <c r="L1902" s="65" t="str">
        <f>IFERROR(__xludf.DUMMYFUNCTION("""COMPUTED_VALUE"""),"CON RECAUDO")</f>
        <v>CON RECAUDO</v>
      </c>
      <c r="M1902" s="65" t="str">
        <f>IFERROR(__xludf.DUMMYFUNCTION("""COMPUTED_VALUE"""),"PICHINCHA")</f>
        <v>PICHINCHA</v>
      </c>
      <c r="N1902" s="65" t="str">
        <f>IFERROR(__xludf.DUMMYFUNCTION("""COMPUTED_VALUE"""),"QUITO")</f>
        <v>QUITO</v>
      </c>
      <c r="O1902" s="65" t="str">
        <f>IFERROR(__xludf.DUMMYFUNCTION("""COMPUTED_VALUE"""),"Huigra y Toacazo La Gatazo -")</f>
        <v>Huigra y Toacazo La Gatazo -</v>
      </c>
      <c r="P1902" s="65"/>
      <c r="Q1902" s="65" t="str">
        <f>IFERROR(__xludf.DUMMYFUNCTION("""COMPUTED_VALUE"""),"GINTRACOM")</f>
        <v>GINTRACOM</v>
      </c>
      <c r="R1902" s="65">
        <f>IFERROR(__xludf.DUMMYFUNCTION("""COMPUTED_VALUE"""),22.0)</f>
        <v>22</v>
      </c>
      <c r="S1902" s="65"/>
      <c r="T1902" s="65">
        <f>IFERROR(__xludf.DUMMYFUNCTION("""COMPUTED_VALUE"""),5.84)</f>
        <v>5.84</v>
      </c>
      <c r="U1902" s="65">
        <f>IFERROR(__xludf.DUMMYFUNCTION("""COMPUTED_VALUE"""),0.0)</f>
        <v>0</v>
      </c>
      <c r="V1902" s="65">
        <f>IFERROR(__xludf.DUMMYFUNCTION("""COMPUTED_VALUE"""),0.0)</f>
        <v>0</v>
      </c>
      <c r="W1902" s="65">
        <f>IFERROR(__xludf.DUMMYFUNCTION("""COMPUTED_VALUE"""),0.0)</f>
        <v>0</v>
      </c>
      <c r="X1902" s="65">
        <f>IFERROR(__xludf.DUMMYFUNCTION("""COMPUTED_VALUE"""),2.6)</f>
        <v>2.6</v>
      </c>
      <c r="Y1902" s="65">
        <f>IFERROR(__xludf.DUMMYFUNCTION("""COMPUTED_VALUE"""),5.2)</f>
        <v>5.2</v>
      </c>
      <c r="Z1902" s="65">
        <f>IFERROR(__xludf.DUMMYFUNCTION("""COMPUTED_VALUE"""),121983.0)</f>
        <v>121983</v>
      </c>
      <c r="AA1902" s="65" t="str">
        <f>IFERROR(__xludf.DUMMYFUNCTION("""COMPUTED_VALUE"""),"PROV-CHLLCF")</f>
        <v>PROV-CHLLCF</v>
      </c>
      <c r="AB1902" s="65"/>
      <c r="AC1902" s="65" t="str">
        <f>IFERROR(__xludf.DUMMYFUNCTION("""COMPUTED_VALUE"""),"CUCHILLO PARA CHEF")</f>
        <v>CUCHILLO PARA CHEF</v>
      </c>
      <c r="AD1902" s="65"/>
      <c r="AE1902" s="65">
        <f>IFERROR(__xludf.DUMMYFUNCTION("""COMPUTED_VALUE"""),2.0)</f>
        <v>2</v>
      </c>
      <c r="AF1902" s="65"/>
      <c r="AG1902" s="65"/>
      <c r="AH1902" s="65"/>
      <c r="AI1902" s="65"/>
      <c r="AJ1902" s="65"/>
      <c r="AK1902" s="65"/>
      <c r="AL1902" s="65"/>
      <c r="AM1902" s="65"/>
      <c r="AN1902" s="65"/>
      <c r="AO1902" s="65"/>
      <c r="AP1902" s="65"/>
      <c r="AQ1902" s="65"/>
      <c r="AR1902" s="65"/>
      <c r="AS1902" s="65"/>
      <c r="AT1902" s="65" t="str">
        <f>IFERROR(__xludf.DUMMYFUNCTION("""COMPUTED_VALUE"""),"SHOPIFY")</f>
        <v>SHOPIFY</v>
      </c>
      <c r="AU1902" s="65" t="str">
        <f>IFERROR(__xludf.DUMMYFUNCTION("""COMPUTED_VALUE"""),"IMPORTEX EC")</f>
        <v>IMPORTEX EC</v>
      </c>
      <c r="AV1902" s="65" t="str">
        <f>IFERROR(__xludf.DUMMYFUNCTION("""COMPUTED_VALUE"""),"6410053713964")</f>
        <v>6410053713964</v>
      </c>
      <c r="AW1902" s="65">
        <f>IFERROR(__xludf.DUMMYFUNCTION("""COMPUTED_VALUE"""),5053.0)</f>
        <v>5053</v>
      </c>
      <c r="AX1902" s="65"/>
      <c r="AY1902" s="65"/>
      <c r="AZ1902" s="65"/>
      <c r="BA1902" s="65"/>
    </row>
    <row r="1903">
      <c r="A1903" s="65" t="str">
        <f>IFERROR(__xludf.DUMMYFUNCTION("""COMPUTED_VALUE"""),"27-03-2026")</f>
        <v>27-03-2026</v>
      </c>
      <c r="B1903" s="65">
        <f>IFERROR(__xludf.DUMMYFUNCTION("""COMPUTED_VALUE"""),4123014.0)</f>
        <v>4123014</v>
      </c>
      <c r="C1903" s="65" t="str">
        <f>IFERROR(__xludf.DUMMYFUNCTION("""COMPUTED_VALUE"""),"18:53")</f>
        <v>18:53</v>
      </c>
      <c r="D1903" s="65" t="str">
        <f>IFERROR(__xludf.DUMMYFUNCTION("""COMPUTED_VALUE"""),"12-01-2026")</f>
        <v>12-01-2026</v>
      </c>
      <c r="E1903" s="65" t="str">
        <f>IFERROR(__xludf.DUMMYFUNCTION("""COMPUTED_VALUE"""),"Gregorio Tomás Cobeña Moreira")</f>
        <v>Gregorio Tomás Cobeña Moreira</v>
      </c>
      <c r="F1903" s="65" t="str">
        <f>IFERROR(__xludf.DUMMYFUNCTION("""COMPUTED_VALUE"""),"994111776")</f>
        <v>994111776</v>
      </c>
      <c r="G1903" s="65" t="str">
        <f>IFERROR(__xludf.DUMMYFUNCTION("""COMPUTED_VALUE"""),"tomascobe8@gmail.com")</f>
        <v>tomascobe8@gmail.com</v>
      </c>
      <c r="H1903" s="65"/>
      <c r="I1903" s="65"/>
      <c r="J1903" s="65" t="str">
        <f>IFERROR(__xludf.DUMMYFUNCTION("""COMPUTED_VALUE"""),"D001218307")</f>
        <v>D001218307</v>
      </c>
      <c r="K1903" s="65" t="str">
        <f>IFERROR(__xludf.DUMMYFUNCTION("""COMPUTED_VALUE"""),"ENTREGADO")</f>
        <v>ENTREGADO</v>
      </c>
      <c r="L1903" s="65" t="str">
        <f>IFERROR(__xludf.DUMMYFUNCTION("""COMPUTED_VALUE"""),"CON RECAUDO")</f>
        <v>CON RECAUDO</v>
      </c>
      <c r="M1903" s="65" t="str">
        <f>IFERROR(__xludf.DUMMYFUNCTION("""COMPUTED_VALUE"""),"ESMERALDAS")</f>
        <v>ESMERALDAS</v>
      </c>
      <c r="N1903" s="65" t="str">
        <f>IFERROR(__xludf.DUMMYFUNCTION("""COMPUTED_VALUE"""),"ESMERALDAS")</f>
        <v>ESMERALDAS</v>
      </c>
      <c r="O1903" s="65" t="str">
        <f>IFERROR(__xludf.DUMMYFUNCTION("""COMPUTED_VALUE"""),"Esmeraldas, Sector Codesa, Carretera Esmeraldas entre Calle 3 y Calle 4 -Ref. A lado de Rótulos Koala")</f>
        <v>Esmeraldas, Sector Codesa, Carretera Esmeraldas entre Calle 3 y Calle 4 -Ref. A lado de Rótulos Koala</v>
      </c>
      <c r="P1903" s="65"/>
      <c r="Q1903" s="65" t="str">
        <f>IFERROR(__xludf.DUMMYFUNCTION("""COMPUTED_VALUE"""),"GINTRACOM")</f>
        <v>GINTRACOM</v>
      </c>
      <c r="R1903" s="65">
        <f>IFERROR(__xludf.DUMMYFUNCTION("""COMPUTED_VALUE"""),32.0)</f>
        <v>32</v>
      </c>
      <c r="S1903" s="65">
        <f>IFERROR(__xludf.DUMMYFUNCTION("""COMPUTED_VALUE"""),15.36)</f>
        <v>15.36</v>
      </c>
      <c r="T1903" s="65">
        <f>IFERROR(__xludf.DUMMYFUNCTION("""COMPUTED_VALUE"""),6.24)</f>
        <v>6.24</v>
      </c>
      <c r="U1903" s="65">
        <f>IFERROR(__xludf.DUMMYFUNCTION("""COMPUTED_VALUE"""),0.0)</f>
        <v>0</v>
      </c>
      <c r="V1903" s="65">
        <f>IFERROR(__xludf.DUMMYFUNCTION("""COMPUTED_VALUE"""),0.0)</f>
        <v>0</v>
      </c>
      <c r="W1903" s="65">
        <f>IFERROR(__xludf.DUMMYFUNCTION("""COMPUTED_VALUE"""),0.0)</f>
        <v>0</v>
      </c>
      <c r="X1903" s="65">
        <f>IFERROR(__xludf.DUMMYFUNCTION("""COMPUTED_VALUE"""),2.6)</f>
        <v>2.6</v>
      </c>
      <c r="Y1903" s="65">
        <f>IFERROR(__xludf.DUMMYFUNCTION("""COMPUTED_VALUE"""),10.4)</f>
        <v>10.4</v>
      </c>
      <c r="Z1903" s="65">
        <f>IFERROR(__xludf.DUMMYFUNCTION("""COMPUTED_VALUE"""),121983.0)</f>
        <v>121983</v>
      </c>
      <c r="AA1903" s="65" t="str">
        <f>IFERROR(__xludf.DUMMYFUNCTION("""COMPUTED_VALUE"""),"PROV-CHLLCF")</f>
        <v>PROV-CHLLCF</v>
      </c>
      <c r="AB1903" s="65"/>
      <c r="AC1903" s="65" t="str">
        <f>IFERROR(__xludf.DUMMYFUNCTION("""COMPUTED_VALUE"""),"CUCHILLO PARA CHEF")</f>
        <v>CUCHILLO PARA CHEF</v>
      </c>
      <c r="AD1903" s="65"/>
      <c r="AE1903" s="65">
        <f>IFERROR(__xludf.DUMMYFUNCTION("""COMPUTED_VALUE"""),4.0)</f>
        <v>4</v>
      </c>
      <c r="AF1903" s="65"/>
      <c r="AG1903" s="65"/>
      <c r="AH1903" s="65"/>
      <c r="AI1903" s="65"/>
      <c r="AJ1903" s="65"/>
      <c r="AK1903" s="65"/>
      <c r="AL1903" s="65"/>
      <c r="AM1903" s="65"/>
      <c r="AN1903" s="65" t="str">
        <f>IFERROR(__xludf.DUMMYFUNCTION("""COMPUTED_VALUE"""),"15:13")</f>
        <v>15:13</v>
      </c>
      <c r="AO1903" s="65" t="str">
        <f>IFERROR(__xludf.DUMMYFUNCTION("""COMPUTED_VALUE"""),"15-01-2026")</f>
        <v>15-01-2026</v>
      </c>
      <c r="AP1903" s="65" t="str">
        <f>IFERROR(__xludf.DUMMYFUNCTION("""COMPUTED_VALUE"""),"ENTREGADA GINTRACOM")</f>
        <v>ENTREGADA GINTRACOM</v>
      </c>
      <c r="AQ1903" s="65" t="str">
        <f>IFERROR(__xludf.DUMMYFUNCTION("""COMPUTED_VALUE"""),"ENTREGADA GINTRACOM")</f>
        <v>ENTREGADA GINTRACOM</v>
      </c>
      <c r="AR1903" s="65"/>
      <c r="AS1903" s="65"/>
      <c r="AT1903" s="65" t="str">
        <f>IFERROR(__xludf.DUMMYFUNCTION("""COMPUTED_VALUE"""),"SHOPIFY")</f>
        <v>SHOPIFY</v>
      </c>
      <c r="AU1903" s="65" t="str">
        <f>IFERROR(__xludf.DUMMYFUNCTION("""COMPUTED_VALUE"""),"IMPORTEX EC")</f>
        <v>IMPORTEX EC</v>
      </c>
      <c r="AV1903" s="65" t="str">
        <f>IFERROR(__xludf.DUMMYFUNCTION("""COMPUTED_VALUE"""),"6410040737836")</f>
        <v>6410040737836</v>
      </c>
      <c r="AW1903" s="65">
        <f>IFERROR(__xludf.DUMMYFUNCTION("""COMPUTED_VALUE"""),5052.0)</f>
        <v>5052</v>
      </c>
      <c r="AX1903" s="65"/>
      <c r="AY1903" s="65" t="str">
        <f>IFERROR(__xludf.DUMMYFUNCTION("""COMPUTED_VALUE"""),"13/01/2026")</f>
        <v>13/01/2026</v>
      </c>
      <c r="AZ1903" s="65"/>
      <c r="BA1903" s="65"/>
    </row>
    <row r="1904">
      <c r="A1904" s="65" t="str">
        <f>IFERROR(__xludf.DUMMYFUNCTION("""COMPUTED_VALUE"""),"27-03-2026")</f>
        <v>27-03-2026</v>
      </c>
      <c r="B1904" s="65">
        <f>IFERROR(__xludf.DUMMYFUNCTION("""COMPUTED_VALUE"""),4123011.0)</f>
        <v>4123011</v>
      </c>
      <c r="C1904" s="65" t="str">
        <f>IFERROR(__xludf.DUMMYFUNCTION("""COMPUTED_VALUE"""),"18:53")</f>
        <v>18:53</v>
      </c>
      <c r="D1904" s="65" t="str">
        <f>IFERROR(__xludf.DUMMYFUNCTION("""COMPUTED_VALUE"""),"12-01-2026")</f>
        <v>12-01-2026</v>
      </c>
      <c r="E1904" s="65" t="str">
        <f>IFERROR(__xludf.DUMMYFUNCTION("""COMPUTED_VALUE"""),"Diego Martinez")</f>
        <v>Diego Martinez</v>
      </c>
      <c r="F1904" s="65" t="str">
        <f>IFERROR(__xludf.DUMMYFUNCTION("""COMPUTED_VALUE"""),"999265857")</f>
        <v>999265857</v>
      </c>
      <c r="G1904" s="65" t="str">
        <f>IFERROR(__xludf.DUMMYFUNCTION("""COMPUTED_VALUE"""),"spesantezl@yahoo.com")</f>
        <v>spesantezl@yahoo.com</v>
      </c>
      <c r="H1904" s="65"/>
      <c r="I1904" s="65"/>
      <c r="J1904" s="65" t="str">
        <f>IFERROR(__xludf.DUMMYFUNCTION("""COMPUTED_VALUE"""),"D001223041")</f>
        <v>D001223041</v>
      </c>
      <c r="K1904" s="65" t="str">
        <f>IFERROR(__xludf.DUMMYFUNCTION("""COMPUTED_VALUE"""),"DEVOLUCION")</f>
        <v>DEVOLUCION</v>
      </c>
      <c r="L1904" s="65" t="str">
        <f>IFERROR(__xludf.DUMMYFUNCTION("""COMPUTED_VALUE"""),"CON RECAUDO")</f>
        <v>CON RECAUDO</v>
      </c>
      <c r="M1904" s="65" t="str">
        <f>IFERROR(__xludf.DUMMYFUNCTION("""COMPUTED_VALUE"""),"AZUAY")</f>
        <v>AZUAY</v>
      </c>
      <c r="N1904" s="65" t="str">
        <f>IFERROR(__xludf.DUMMYFUNCTION("""COMPUTED_VALUE"""),"CUENCA")</f>
        <v>CUENCA</v>
      </c>
      <c r="O1904" s="65" t="str">
        <f>IFERROR(__xludf.DUMMYFUNCTION("""COMPUTED_VALUE"""),"Benito Perez Galdos y Menendez y Pelayo Vista Linda -")</f>
        <v>Benito Perez Galdos y Menendez y Pelayo Vista Linda -</v>
      </c>
      <c r="P1904" s="65"/>
      <c r="Q1904" s="65" t="str">
        <f>IFERROR(__xludf.DUMMYFUNCTION("""COMPUTED_VALUE"""),"GINTRACOM")</f>
        <v>GINTRACOM</v>
      </c>
      <c r="R1904" s="65">
        <f>IFERROR(__xludf.DUMMYFUNCTION("""COMPUTED_VALUE"""),32.0)</f>
        <v>32</v>
      </c>
      <c r="S1904" s="65"/>
      <c r="T1904" s="65">
        <f>IFERROR(__xludf.DUMMYFUNCTION("""COMPUTED_VALUE"""),6.24)</f>
        <v>6.24</v>
      </c>
      <c r="U1904" s="65">
        <f>IFERROR(__xludf.DUMMYFUNCTION("""COMPUTED_VALUE"""),0.0)</f>
        <v>0</v>
      </c>
      <c r="V1904" s="65">
        <f>IFERROR(__xludf.DUMMYFUNCTION("""COMPUTED_VALUE"""),0.0)</f>
        <v>0</v>
      </c>
      <c r="W1904" s="65">
        <f>IFERROR(__xludf.DUMMYFUNCTION("""COMPUTED_VALUE"""),0.0)</f>
        <v>0</v>
      </c>
      <c r="X1904" s="65">
        <f>IFERROR(__xludf.DUMMYFUNCTION("""COMPUTED_VALUE"""),2.6)</f>
        <v>2.6</v>
      </c>
      <c r="Y1904" s="65">
        <f>IFERROR(__xludf.DUMMYFUNCTION("""COMPUTED_VALUE"""),10.4)</f>
        <v>10.4</v>
      </c>
      <c r="Z1904" s="65">
        <f>IFERROR(__xludf.DUMMYFUNCTION("""COMPUTED_VALUE"""),121983.0)</f>
        <v>121983</v>
      </c>
      <c r="AA1904" s="65" t="str">
        <f>IFERROR(__xludf.DUMMYFUNCTION("""COMPUTED_VALUE"""),"PROV-CHLLCF")</f>
        <v>PROV-CHLLCF</v>
      </c>
      <c r="AB1904" s="65"/>
      <c r="AC1904" s="65" t="str">
        <f>IFERROR(__xludf.DUMMYFUNCTION("""COMPUTED_VALUE"""),"CUCHILLO PARA CHEF")</f>
        <v>CUCHILLO PARA CHEF</v>
      </c>
      <c r="AD1904" s="65"/>
      <c r="AE1904" s="65">
        <f>IFERROR(__xludf.DUMMYFUNCTION("""COMPUTED_VALUE"""),4.0)</f>
        <v>4</v>
      </c>
      <c r="AF1904" s="65" t="str">
        <f>IFERROR(__xludf.DUMMYFUNCTION("""COMPUTED_VALUE"""),"DESTINATARIO INDICA QUE YA NO DESEA EL PRODUCTO")</f>
        <v>DESTINATARIO INDICA QUE YA NO DESEA EL PRODUCTO</v>
      </c>
      <c r="AG1904" s="65" t="str">
        <f>IFERROR(__xludf.DUMMYFUNCTION("""COMPUTED_VALUE"""),"NO")</f>
        <v>NO</v>
      </c>
      <c r="AH1904" s="65" t="str">
        <f>IFERROR(__xludf.DUMMYFUNCTION("""COMPUTED_VALUE"""),"19:03")</f>
        <v>19:03</v>
      </c>
      <c r="AI1904" s="65" t="str">
        <f>IFERROR(__xludf.DUMMYFUNCTION("""COMPUTED_VALUE"""),"15-01-2026")</f>
        <v>15-01-2026</v>
      </c>
      <c r="AJ1904" s="65"/>
      <c r="AK1904" s="65"/>
      <c r="AL1904" s="65"/>
      <c r="AM1904" s="65"/>
      <c r="AN1904" s="65" t="str">
        <f>IFERROR(__xludf.DUMMYFUNCTION("""COMPUTED_VALUE"""),"13:13")</f>
        <v>13:13</v>
      </c>
      <c r="AO1904" s="65" t="str">
        <f>IFERROR(__xludf.DUMMYFUNCTION("""COMPUTED_VALUE"""),"05-02-2026")</f>
        <v>05-02-2026</v>
      </c>
      <c r="AP1904" s="65" t="str">
        <f>IFERROR(__xludf.DUMMYFUNCTION("""COMPUTED_VALUE"""),"DEV CONFIRMADA POR BODEGA")</f>
        <v>DEV CONFIRMADA POR BODEGA</v>
      </c>
      <c r="AQ1904" s="65"/>
      <c r="AR1904" s="65" t="str">
        <f>IFERROR(__xludf.DUMMYFUNCTION("""COMPUTED_VALUE"""),"Gestionado por: PROVEDIX DAMIAN, email:enviogratisdirecto@gmail.com, total de productos en la orden: 1")</f>
        <v>Gestionado por: PROVEDIX DAMIAN, email:enviogratisdirecto@gmail.com, total de productos en la orden: 1</v>
      </c>
      <c r="AS1904" s="65"/>
      <c r="AT1904" s="65" t="str">
        <f>IFERROR(__xludf.DUMMYFUNCTION("""COMPUTED_VALUE"""),"SHOPIFY")</f>
        <v>SHOPIFY</v>
      </c>
      <c r="AU1904" s="65" t="str">
        <f>IFERROR(__xludf.DUMMYFUNCTION("""COMPUTED_VALUE"""),"IMPORTEX EC")</f>
        <v>IMPORTEX EC</v>
      </c>
      <c r="AV1904" s="65" t="str">
        <f>IFERROR(__xludf.DUMMYFUNCTION("""COMPUTED_VALUE"""),"6410040082476")</f>
        <v>6410040082476</v>
      </c>
      <c r="AW1904" s="65">
        <f>IFERROR(__xludf.DUMMYFUNCTION("""COMPUTED_VALUE"""),5051.0)</f>
        <v>5051</v>
      </c>
      <c r="AX1904" s="65"/>
      <c r="AY1904" s="65" t="str">
        <f>IFERROR(__xludf.DUMMYFUNCTION("""COMPUTED_VALUE"""),"14/01/2026")</f>
        <v>14/01/2026</v>
      </c>
      <c r="AZ1904" s="65"/>
      <c r="BA1904" s="65"/>
    </row>
    <row r="1905">
      <c r="A1905" s="65" t="str">
        <f>IFERROR(__xludf.DUMMYFUNCTION("""COMPUTED_VALUE"""),"27-03-2026")</f>
        <v>27-03-2026</v>
      </c>
      <c r="B1905" s="65">
        <f>IFERROR(__xludf.DUMMYFUNCTION("""COMPUTED_VALUE"""),4122861.0)</f>
        <v>4122861</v>
      </c>
      <c r="C1905" s="65" t="str">
        <f>IFERROR(__xludf.DUMMYFUNCTION("""COMPUTED_VALUE"""),"18:39")</f>
        <v>18:39</v>
      </c>
      <c r="D1905" s="65" t="str">
        <f>IFERROR(__xludf.DUMMYFUNCTION("""COMPUTED_VALUE"""),"12-01-2026")</f>
        <v>12-01-2026</v>
      </c>
      <c r="E1905" s="65" t="str">
        <f>IFERROR(__xludf.DUMMYFUNCTION("""COMPUTED_VALUE"""),"Joel Zamora")</f>
        <v>Joel Zamora</v>
      </c>
      <c r="F1905" s="65" t="str">
        <f>IFERROR(__xludf.DUMMYFUNCTION("""COMPUTED_VALUE"""),"959043695")</f>
        <v>959043695</v>
      </c>
      <c r="G1905" s="65" t="str">
        <f>IFERROR(__xludf.DUMMYFUNCTION("""COMPUTED_VALUE"""),"zamorajoel252@gmail.com")</f>
        <v>zamorajoel252@gmail.com</v>
      </c>
      <c r="H1905" s="65"/>
      <c r="I1905" s="65"/>
      <c r="J1905" s="65" t="str">
        <f>IFERROR(__xludf.DUMMYFUNCTION("""COMPUTED_VALUE"""),"D001224258")</f>
        <v>D001224258</v>
      </c>
      <c r="K1905" s="65" t="str">
        <f>IFERROR(__xludf.DUMMYFUNCTION("""COMPUTED_VALUE"""),"ENTREGADO")</f>
        <v>ENTREGADO</v>
      </c>
      <c r="L1905" s="65" t="str">
        <f>IFERROR(__xludf.DUMMYFUNCTION("""COMPUTED_VALUE"""),"CON RECAUDO")</f>
        <v>CON RECAUDO</v>
      </c>
      <c r="M1905" s="65" t="str">
        <f>IFERROR(__xludf.DUMMYFUNCTION("""COMPUTED_VALUE"""),"CAÑAR")</f>
        <v>CAÑAR</v>
      </c>
      <c r="N1905" s="65" t="str">
        <f>IFERROR(__xludf.DUMMYFUNCTION("""COMPUTED_VALUE"""),"LA TRONCAL")</f>
        <v>LA TRONCAL</v>
      </c>
      <c r="O1905" s="65" t="str">
        <f>IFERROR(__xludf.DUMMYFUNCTION("""COMPUTED_VALUE"""),"calle héroes de Paquisha y primera sur Tecnicentro (tecnicar ) -")</f>
        <v>calle héroes de Paquisha y primera sur Tecnicentro (tecnicar ) -</v>
      </c>
      <c r="P1905" s="65"/>
      <c r="Q1905" s="65" t="str">
        <f>IFERROR(__xludf.DUMMYFUNCTION("""COMPUTED_VALUE"""),"GINTRACOM")</f>
        <v>GINTRACOM</v>
      </c>
      <c r="R1905" s="65">
        <f>IFERROR(__xludf.DUMMYFUNCTION("""COMPUTED_VALUE"""),25.0)</f>
        <v>25</v>
      </c>
      <c r="S1905" s="65">
        <f>IFERROR(__xludf.DUMMYFUNCTION("""COMPUTED_VALUE"""),14.34)</f>
        <v>14.34</v>
      </c>
      <c r="T1905" s="65">
        <f>IFERROR(__xludf.DUMMYFUNCTION("""COMPUTED_VALUE"""),5.96)</f>
        <v>5.96</v>
      </c>
      <c r="U1905" s="65">
        <f>IFERROR(__xludf.DUMMYFUNCTION("""COMPUTED_VALUE"""),0.0)</f>
        <v>0</v>
      </c>
      <c r="V1905" s="65">
        <f>IFERROR(__xludf.DUMMYFUNCTION("""COMPUTED_VALUE"""),0.0)</f>
        <v>0</v>
      </c>
      <c r="W1905" s="65">
        <f>IFERROR(__xludf.DUMMYFUNCTION("""COMPUTED_VALUE"""),0.0)</f>
        <v>0</v>
      </c>
      <c r="X1905" s="65">
        <f>IFERROR(__xludf.DUMMYFUNCTION("""COMPUTED_VALUE"""),2.35)</f>
        <v>2.35</v>
      </c>
      <c r="Y1905" s="65">
        <f>IFERROR(__xludf.DUMMYFUNCTION("""COMPUTED_VALUE"""),4.7)</f>
        <v>4.7</v>
      </c>
      <c r="Z1905" s="65">
        <f>IFERROR(__xludf.DUMMYFUNCTION("""COMPUTED_VALUE"""),116679.0)</f>
        <v>116679</v>
      </c>
      <c r="AA1905" s="65" t="str">
        <f>IFERROR(__xludf.DUMMYFUNCTION("""COMPUTED_VALUE"""),"AMC-2738")</f>
        <v>AMC-2738</v>
      </c>
      <c r="AB1905" s="65"/>
      <c r="AC1905" s="65" t="str">
        <f>IFERROR(__xludf.DUMMYFUNCTION("""COMPUTED_VALUE"""),"ESPONJA ANTILLUVIA DE PARABRISAS")</f>
        <v>ESPONJA ANTILLUVIA DE PARABRISAS</v>
      </c>
      <c r="AD1905" s="65"/>
      <c r="AE1905" s="65">
        <f>IFERROR(__xludf.DUMMYFUNCTION("""COMPUTED_VALUE"""),2.0)</f>
        <v>2</v>
      </c>
      <c r="AF1905" s="65"/>
      <c r="AG1905" s="65"/>
      <c r="AH1905" s="65"/>
      <c r="AI1905" s="65"/>
      <c r="AJ1905" s="65"/>
      <c r="AK1905" s="65"/>
      <c r="AL1905" s="65"/>
      <c r="AM1905" s="65"/>
      <c r="AN1905" s="65" t="str">
        <f>IFERROR(__xludf.DUMMYFUNCTION("""COMPUTED_VALUE"""),"14:52")</f>
        <v>14:52</v>
      </c>
      <c r="AO1905" s="65" t="str">
        <f>IFERROR(__xludf.DUMMYFUNCTION("""COMPUTED_VALUE"""),"17-01-2026")</f>
        <v>17-01-2026</v>
      </c>
      <c r="AP1905" s="65" t="str">
        <f>IFERROR(__xludf.DUMMYFUNCTION("""COMPUTED_VALUE"""),"ENTREGADA GINTRACOM")</f>
        <v>ENTREGADA GINTRACOM</v>
      </c>
      <c r="AQ1905" s="65" t="str">
        <f>IFERROR(__xludf.DUMMYFUNCTION("""COMPUTED_VALUE"""),"ENTREGADA GINTRACOM")</f>
        <v>ENTREGADA GINTRACOM</v>
      </c>
      <c r="AR1905" s="65"/>
      <c r="AS1905" s="65"/>
      <c r="AT1905" s="65" t="str">
        <f>IFERROR(__xludf.DUMMYFUNCTION("""COMPUTED_VALUE"""),"SHOPIFY")</f>
        <v>SHOPIFY</v>
      </c>
      <c r="AU1905" s="65" t="str">
        <f>IFERROR(__xludf.DUMMYFUNCTION("""COMPUTED_VALUE"""),"IMPORTEX EC")</f>
        <v>IMPORTEX EC</v>
      </c>
      <c r="AV1905" s="65" t="str">
        <f>IFERROR(__xludf.DUMMYFUNCTION("""COMPUTED_VALUE"""),"6410016948268")</f>
        <v>6410016948268</v>
      </c>
      <c r="AW1905" s="65">
        <f>IFERROR(__xludf.DUMMYFUNCTION("""COMPUTED_VALUE"""),5050.0)</f>
        <v>5050</v>
      </c>
      <c r="AX1905" s="65"/>
      <c r="AY1905" s="65" t="str">
        <f>IFERROR(__xludf.DUMMYFUNCTION("""COMPUTED_VALUE"""),"14/01/2026")</f>
        <v>14/01/2026</v>
      </c>
      <c r="AZ1905" s="65"/>
      <c r="BA1905" s="65"/>
    </row>
    <row r="1906">
      <c r="A1906" s="65" t="str">
        <f>IFERROR(__xludf.DUMMYFUNCTION("""COMPUTED_VALUE"""),"27-03-2026")</f>
        <v>27-03-2026</v>
      </c>
      <c r="B1906" s="65">
        <f>IFERROR(__xludf.DUMMYFUNCTION("""COMPUTED_VALUE"""),4122851.0)</f>
        <v>4122851</v>
      </c>
      <c r="C1906" s="65" t="str">
        <f>IFERROR(__xludf.DUMMYFUNCTION("""COMPUTED_VALUE"""),"18:38")</f>
        <v>18:38</v>
      </c>
      <c r="D1906" s="65" t="str">
        <f>IFERROR(__xludf.DUMMYFUNCTION("""COMPUTED_VALUE"""),"12-01-2026")</f>
        <v>12-01-2026</v>
      </c>
      <c r="E1906" s="65" t="str">
        <f>IFERROR(__xludf.DUMMYFUNCTION("""COMPUTED_VALUE"""),"Leo Antonio gomez Gomez")</f>
        <v>Leo Antonio gomez Gomez</v>
      </c>
      <c r="F1906" s="65" t="str">
        <f>IFERROR(__xludf.DUMMYFUNCTION("""COMPUTED_VALUE"""),"985101810")</f>
        <v>985101810</v>
      </c>
      <c r="G1906" s="65" t="str">
        <f>IFERROR(__xludf.DUMMYFUNCTION("""COMPUTED_VALUE"""),"leoantonio766@gmail.com")</f>
        <v>leoantonio766@gmail.com</v>
      </c>
      <c r="H1906" s="65"/>
      <c r="I1906" s="65"/>
      <c r="J1906" s="65"/>
      <c r="K1906" s="65" t="str">
        <f>IFERROR(__xludf.DUMMYFUNCTION("""COMPUTED_VALUE"""),"PENDIENTE CONFIRMACION")</f>
        <v>PENDIENTE CONFIRMACION</v>
      </c>
      <c r="L1906" s="65" t="str">
        <f>IFERROR(__xludf.DUMMYFUNCTION("""COMPUTED_VALUE"""),"CON RECAUDO")</f>
        <v>CON RECAUDO</v>
      </c>
      <c r="M1906" s="65" t="str">
        <f>IFERROR(__xludf.DUMMYFUNCTION("""COMPUTED_VALUE"""),"SUCUMBIOS")</f>
        <v>SUCUMBIOS</v>
      </c>
      <c r="N1906" s="65" t="str">
        <f>IFERROR(__xludf.DUMMYFUNCTION("""COMPUTED_VALUE"""),"LAGO AGRIO")</f>
        <v>LAGO AGRIO</v>
      </c>
      <c r="O1906" s="65" t="str">
        <f>IFERROR(__xludf.DUMMYFUNCTION("""COMPUTED_VALUE"""),"Agua negra Dipor -")</f>
        <v>Agua negra Dipor -</v>
      </c>
      <c r="P1906" s="65"/>
      <c r="Q1906" s="65" t="str">
        <f>IFERROR(__xludf.DUMMYFUNCTION("""COMPUTED_VALUE"""),"GINTRACOM")</f>
        <v>GINTRACOM</v>
      </c>
      <c r="R1906" s="65">
        <f>IFERROR(__xludf.DUMMYFUNCTION("""COMPUTED_VALUE"""),22.0)</f>
        <v>22</v>
      </c>
      <c r="S1906" s="65"/>
      <c r="T1906" s="65">
        <f>IFERROR(__xludf.DUMMYFUNCTION("""COMPUTED_VALUE"""),5.84)</f>
        <v>5.84</v>
      </c>
      <c r="U1906" s="65">
        <f>IFERROR(__xludf.DUMMYFUNCTION("""COMPUTED_VALUE"""),0.0)</f>
        <v>0</v>
      </c>
      <c r="V1906" s="65">
        <f>IFERROR(__xludf.DUMMYFUNCTION("""COMPUTED_VALUE"""),0.0)</f>
        <v>0</v>
      </c>
      <c r="W1906" s="65">
        <f>IFERROR(__xludf.DUMMYFUNCTION("""COMPUTED_VALUE"""),0.0)</f>
        <v>0</v>
      </c>
      <c r="X1906" s="65">
        <f>IFERROR(__xludf.DUMMYFUNCTION("""COMPUTED_VALUE"""),2.6)</f>
        <v>2.6</v>
      </c>
      <c r="Y1906" s="65">
        <f>IFERROR(__xludf.DUMMYFUNCTION("""COMPUTED_VALUE"""),5.2)</f>
        <v>5.2</v>
      </c>
      <c r="Z1906" s="65">
        <f>IFERROR(__xludf.DUMMYFUNCTION("""COMPUTED_VALUE"""),121983.0)</f>
        <v>121983</v>
      </c>
      <c r="AA1906" s="65" t="str">
        <f>IFERROR(__xludf.DUMMYFUNCTION("""COMPUTED_VALUE"""),"PROV-CHLLCF")</f>
        <v>PROV-CHLLCF</v>
      </c>
      <c r="AB1906" s="65"/>
      <c r="AC1906" s="65" t="str">
        <f>IFERROR(__xludf.DUMMYFUNCTION("""COMPUTED_VALUE"""),"CUCHILLO PARA CHEF")</f>
        <v>CUCHILLO PARA CHEF</v>
      </c>
      <c r="AD1906" s="65"/>
      <c r="AE1906" s="65">
        <f>IFERROR(__xludf.DUMMYFUNCTION("""COMPUTED_VALUE"""),2.0)</f>
        <v>2</v>
      </c>
      <c r="AF1906" s="65"/>
      <c r="AG1906" s="65"/>
      <c r="AH1906" s="65"/>
      <c r="AI1906" s="65"/>
      <c r="AJ1906" s="65"/>
      <c r="AK1906" s="65"/>
      <c r="AL1906" s="65"/>
      <c r="AM1906" s="65"/>
      <c r="AN1906" s="65"/>
      <c r="AO1906" s="65"/>
      <c r="AP1906" s="65"/>
      <c r="AQ1906" s="65"/>
      <c r="AR1906" s="65"/>
      <c r="AS1906" s="65"/>
      <c r="AT1906" s="65" t="str">
        <f>IFERROR(__xludf.DUMMYFUNCTION("""COMPUTED_VALUE"""),"SHOPIFY")</f>
        <v>SHOPIFY</v>
      </c>
      <c r="AU1906" s="65" t="str">
        <f>IFERROR(__xludf.DUMMYFUNCTION("""COMPUTED_VALUE"""),"IMPORTEX EC")</f>
        <v>IMPORTEX EC</v>
      </c>
      <c r="AV1906" s="65" t="str">
        <f>IFERROR(__xludf.DUMMYFUNCTION("""COMPUTED_VALUE"""),"6410015047724")</f>
        <v>6410015047724</v>
      </c>
      <c r="AW1906" s="65">
        <f>IFERROR(__xludf.DUMMYFUNCTION("""COMPUTED_VALUE"""),5049.0)</f>
        <v>5049</v>
      </c>
      <c r="AX1906" s="65"/>
      <c r="AY1906" s="65"/>
      <c r="AZ1906" s="65"/>
      <c r="BA1906" s="65"/>
    </row>
    <row r="1907">
      <c r="A1907" s="65" t="str">
        <f>IFERROR(__xludf.DUMMYFUNCTION("""COMPUTED_VALUE"""),"27-03-2026")</f>
        <v>27-03-2026</v>
      </c>
      <c r="B1907" s="65">
        <f>IFERROR(__xludf.DUMMYFUNCTION("""COMPUTED_VALUE"""),4122722.0)</f>
        <v>4122722</v>
      </c>
      <c r="C1907" s="65" t="str">
        <f>IFERROR(__xludf.DUMMYFUNCTION("""COMPUTED_VALUE"""),"18:23")</f>
        <v>18:23</v>
      </c>
      <c r="D1907" s="65" t="str">
        <f>IFERROR(__xludf.DUMMYFUNCTION("""COMPUTED_VALUE"""),"12-01-2026")</f>
        <v>12-01-2026</v>
      </c>
      <c r="E1907" s="65" t="str">
        <f>IFERROR(__xludf.DUMMYFUNCTION("""COMPUTED_VALUE"""),"José.cunbal. Cunbal.herrera")</f>
        <v>José.cunbal. Cunbal.herrera</v>
      </c>
      <c r="F1907" s="65" t="str">
        <f>IFERROR(__xludf.DUMMYFUNCTION("""COMPUTED_VALUE"""),"985778058")</f>
        <v>985778058</v>
      </c>
      <c r="G1907" s="65"/>
      <c r="H1907" s="65"/>
      <c r="I1907" s="65"/>
      <c r="J1907" s="65"/>
      <c r="K1907" s="65" t="str">
        <f>IFERROR(__xludf.DUMMYFUNCTION("""COMPUTED_VALUE"""),"PENDIENTE CONFIRMACION")</f>
        <v>PENDIENTE CONFIRMACION</v>
      </c>
      <c r="L1907" s="65" t="str">
        <f>IFERROR(__xludf.DUMMYFUNCTION("""COMPUTED_VALUE"""),"CON RECAUDO")</f>
        <v>CON RECAUDO</v>
      </c>
      <c r="M1907" s="65" t="str">
        <f>IFERROR(__xludf.DUMMYFUNCTION("""COMPUTED_VALUE"""),"PICHINCHA")</f>
        <v>PICHINCHA</v>
      </c>
      <c r="N1907" s="65" t="str">
        <f>IFERROR(__xludf.DUMMYFUNCTION("""COMPUTED_VALUE"""),"GUAYLLABAMBA")</f>
        <v>GUAYLLABAMBA</v>
      </c>
      <c r="O1907" s="65" t="str">
        <f>IFERROR(__xludf.DUMMYFUNCTION("""COMPUTED_VALUE"""),"Guayllabamba y -")</f>
        <v>Guayllabamba y -</v>
      </c>
      <c r="P1907" s="65"/>
      <c r="Q1907" s="65" t="str">
        <f>IFERROR(__xludf.DUMMYFUNCTION("""COMPUTED_VALUE"""),"SERVIENTREGA")</f>
        <v>SERVIENTREGA</v>
      </c>
      <c r="R1907" s="65">
        <f>IFERROR(__xludf.DUMMYFUNCTION("""COMPUTED_VALUE"""),20.0)</f>
        <v>20</v>
      </c>
      <c r="S1907" s="65"/>
      <c r="T1907" s="65">
        <f>IFERROR(__xludf.DUMMYFUNCTION("""COMPUTED_VALUE"""),7.67)</f>
        <v>7.67</v>
      </c>
      <c r="U1907" s="65">
        <f>IFERROR(__xludf.DUMMYFUNCTION("""COMPUTED_VALUE"""),0.0)</f>
        <v>0</v>
      </c>
      <c r="V1907" s="65">
        <f>IFERROR(__xludf.DUMMYFUNCTION("""COMPUTED_VALUE"""),0.0)</f>
        <v>0</v>
      </c>
      <c r="W1907" s="65">
        <f>IFERROR(__xludf.DUMMYFUNCTION("""COMPUTED_VALUE"""),0.0)</f>
        <v>0</v>
      </c>
      <c r="X1907" s="65">
        <f>IFERROR(__xludf.DUMMYFUNCTION("""COMPUTED_VALUE"""),2.35)</f>
        <v>2.35</v>
      </c>
      <c r="Y1907" s="65">
        <f>IFERROR(__xludf.DUMMYFUNCTION("""COMPUTED_VALUE"""),2.35)</f>
        <v>2.35</v>
      </c>
      <c r="Z1907" s="65">
        <f>IFERROR(__xludf.DUMMYFUNCTION("""COMPUTED_VALUE"""),116679.0)</f>
        <v>116679</v>
      </c>
      <c r="AA1907" s="65" t="str">
        <f>IFERROR(__xludf.DUMMYFUNCTION("""COMPUTED_VALUE"""),"AMC-2738")</f>
        <v>AMC-2738</v>
      </c>
      <c r="AB1907" s="65"/>
      <c r="AC1907" s="65" t="str">
        <f>IFERROR(__xludf.DUMMYFUNCTION("""COMPUTED_VALUE"""),"ESPONJA ANTILLUVIA DE PARABRISAS")</f>
        <v>ESPONJA ANTILLUVIA DE PARABRISAS</v>
      </c>
      <c r="AD1907" s="65"/>
      <c r="AE1907" s="65">
        <f>IFERROR(__xludf.DUMMYFUNCTION("""COMPUTED_VALUE"""),1.0)</f>
        <v>1</v>
      </c>
      <c r="AF1907" s="65"/>
      <c r="AG1907" s="65"/>
      <c r="AH1907" s="65"/>
      <c r="AI1907" s="65"/>
      <c r="AJ1907" s="65"/>
      <c r="AK1907" s="65"/>
      <c r="AL1907" s="65"/>
      <c r="AM1907" s="65"/>
      <c r="AN1907" s="65"/>
      <c r="AO1907" s="65"/>
      <c r="AP1907" s="65"/>
      <c r="AQ1907" s="65"/>
      <c r="AR1907" s="65"/>
      <c r="AS1907" s="65"/>
      <c r="AT1907" s="65" t="str">
        <f>IFERROR(__xludf.DUMMYFUNCTION("""COMPUTED_VALUE"""),"SHOPIFY")</f>
        <v>SHOPIFY</v>
      </c>
      <c r="AU1907" s="65" t="str">
        <f>IFERROR(__xludf.DUMMYFUNCTION("""COMPUTED_VALUE"""),"IMPORTEX EC")</f>
        <v>IMPORTEX EC</v>
      </c>
      <c r="AV1907" s="65" t="str">
        <f>IFERROR(__xludf.DUMMYFUNCTION("""COMPUTED_VALUE"""),"6409992011820")</f>
        <v>6409992011820</v>
      </c>
      <c r="AW1907" s="65">
        <f>IFERROR(__xludf.DUMMYFUNCTION("""COMPUTED_VALUE"""),5048.0)</f>
        <v>5048</v>
      </c>
      <c r="AX1907" s="65"/>
      <c r="AY1907" s="65"/>
      <c r="AZ1907" s="65"/>
      <c r="BA1907" s="65"/>
    </row>
    <row r="1908">
      <c r="A1908" s="65" t="str">
        <f>IFERROR(__xludf.DUMMYFUNCTION("""COMPUTED_VALUE"""),"27-03-2026")</f>
        <v>27-03-2026</v>
      </c>
      <c r="B1908" s="65">
        <f>IFERROR(__xludf.DUMMYFUNCTION("""COMPUTED_VALUE"""),4122686.0)</f>
        <v>4122686</v>
      </c>
      <c r="C1908" s="65" t="str">
        <f>IFERROR(__xludf.DUMMYFUNCTION("""COMPUTED_VALUE"""),"18:20")</f>
        <v>18:20</v>
      </c>
      <c r="D1908" s="65" t="str">
        <f>IFERROR(__xludf.DUMMYFUNCTION("""COMPUTED_VALUE"""),"12-01-2026")</f>
        <v>12-01-2026</v>
      </c>
      <c r="E1908" s="65" t="str">
        <f>IFERROR(__xludf.DUMMYFUNCTION("""COMPUTED_VALUE"""),"Luis Bautista")</f>
        <v>Luis Bautista</v>
      </c>
      <c r="F1908" s="65" t="str">
        <f>IFERROR(__xludf.DUMMYFUNCTION("""COMPUTED_VALUE"""),"981844784")</f>
        <v>981844784</v>
      </c>
      <c r="G1908" s="65"/>
      <c r="H1908" s="65"/>
      <c r="I1908" s="65"/>
      <c r="J1908" s="65" t="str">
        <f>IFERROR(__xludf.DUMMYFUNCTION("""COMPUTED_VALUE"""),"186966862")</f>
        <v>186966862</v>
      </c>
      <c r="K1908" s="65" t="str">
        <f>IFERROR(__xludf.DUMMYFUNCTION("""COMPUTED_VALUE"""),"ENTREGADO")</f>
        <v>ENTREGADO</v>
      </c>
      <c r="L1908" s="65" t="str">
        <f>IFERROR(__xludf.DUMMYFUNCTION("""COMPUTED_VALUE"""),"CON RECAUDO")</f>
        <v>CON RECAUDO</v>
      </c>
      <c r="M1908" s="65" t="str">
        <f>IFERROR(__xludf.DUMMYFUNCTION("""COMPUTED_VALUE"""),"COTOPAXI")</f>
        <v>COTOPAXI</v>
      </c>
      <c r="N1908" s="65" t="str">
        <f>IFERROR(__xludf.DUMMYFUNCTION("""COMPUTED_VALUE"""),"SIGCHOS")</f>
        <v>SIGCHOS</v>
      </c>
      <c r="O1908" s="65" t="str">
        <f>IFERROR(__xludf.DUMMYFUNCTION("""COMPUTED_VALUE"""),"CS: SIGCHOS_PRINCIPAL / GENERAL RUMINAHUI S/N ENTRE TUNGURAHUA Y GUAYAQUIL")</f>
        <v>CS: SIGCHOS_PRINCIPAL / GENERAL RUMINAHUI S/N ENTRE TUNGURAHUA Y GUAYAQUIL</v>
      </c>
      <c r="P1908" s="65"/>
      <c r="Q1908" s="65" t="str">
        <f>IFERROR(__xludf.DUMMYFUNCTION("""COMPUTED_VALUE"""),"SERVIENTREGA")</f>
        <v>SERVIENTREGA</v>
      </c>
      <c r="R1908" s="65">
        <f>IFERROR(__xludf.DUMMYFUNCTION("""COMPUTED_VALUE"""),22.0)</f>
        <v>22</v>
      </c>
      <c r="S1908" s="65">
        <f>IFERROR(__xludf.DUMMYFUNCTION("""COMPUTED_VALUE"""),9.1)</f>
        <v>9.1</v>
      </c>
      <c r="T1908" s="65">
        <f>IFERROR(__xludf.DUMMYFUNCTION("""COMPUTED_VALUE"""),7.7)</f>
        <v>7.7</v>
      </c>
      <c r="U1908" s="65">
        <f>IFERROR(__xludf.DUMMYFUNCTION("""COMPUTED_VALUE"""),0.0)</f>
        <v>0</v>
      </c>
      <c r="V1908" s="65">
        <f>IFERROR(__xludf.DUMMYFUNCTION("""COMPUTED_VALUE"""),0.0)</f>
        <v>0</v>
      </c>
      <c r="W1908" s="65">
        <f>IFERROR(__xludf.DUMMYFUNCTION("""COMPUTED_VALUE"""),0.0)</f>
        <v>0</v>
      </c>
      <c r="X1908" s="65">
        <f>IFERROR(__xludf.DUMMYFUNCTION("""COMPUTED_VALUE"""),2.6)</f>
        <v>2.6</v>
      </c>
      <c r="Y1908" s="65">
        <f>IFERROR(__xludf.DUMMYFUNCTION("""COMPUTED_VALUE"""),5.2)</f>
        <v>5.2</v>
      </c>
      <c r="Z1908" s="65">
        <f>IFERROR(__xludf.DUMMYFUNCTION("""COMPUTED_VALUE"""),121983.0)</f>
        <v>121983</v>
      </c>
      <c r="AA1908" s="65" t="str">
        <f>IFERROR(__xludf.DUMMYFUNCTION("""COMPUTED_VALUE"""),"PROV-CHLLCF")</f>
        <v>PROV-CHLLCF</v>
      </c>
      <c r="AB1908" s="65"/>
      <c r="AC1908" s="65" t="str">
        <f>IFERROR(__xludf.DUMMYFUNCTION("""COMPUTED_VALUE"""),"CUCHILLO PARA CHEF")</f>
        <v>CUCHILLO PARA CHEF</v>
      </c>
      <c r="AD1908" s="65"/>
      <c r="AE1908" s="65">
        <f>IFERROR(__xludf.DUMMYFUNCTION("""COMPUTED_VALUE"""),2.0)</f>
        <v>2</v>
      </c>
      <c r="AF1908" s="65"/>
      <c r="AG1908" s="65"/>
      <c r="AH1908" s="65"/>
      <c r="AI1908" s="65"/>
      <c r="AJ1908" s="65"/>
      <c r="AK1908" s="65"/>
      <c r="AL1908" s="65"/>
      <c r="AM1908" s="65"/>
      <c r="AN1908" s="65" t="str">
        <f>IFERROR(__xludf.DUMMYFUNCTION("""COMPUTED_VALUE"""),"16:48")</f>
        <v>16:48</v>
      </c>
      <c r="AO1908" s="65" t="str">
        <f>IFERROR(__xludf.DUMMYFUNCTION("""COMPUTED_VALUE"""),"03-02-2026")</f>
        <v>03-02-2026</v>
      </c>
      <c r="AP1908" s="65" t="str">
        <f>IFERROR(__xludf.DUMMYFUNCTION("""COMPUTED_VALUE"""),"ENTREGA DIGITALIZADA EN CENTRO LOGISTICO")</f>
        <v>ENTREGA DIGITALIZADA EN CENTRO LOGISTICO</v>
      </c>
      <c r="AQ1908" s="65" t="str">
        <f>IFERROR(__xludf.DUMMYFUNCTION("""COMPUTED_VALUE"""),"LUIS BAUTISTA")</f>
        <v>LUIS BAUTISTA</v>
      </c>
      <c r="AR1908" s="65"/>
      <c r="AS1908" s="65" t="str">
        <f>IFERROR(__xludf.DUMMYFUNCTION("""COMPUTED_VALUE"""),"Bayron Gomez")</f>
        <v>Bayron Gomez</v>
      </c>
      <c r="AT1908" s="65"/>
      <c r="AU1908" s="65"/>
      <c r="AV1908" s="65"/>
      <c r="AW1908" s="65"/>
      <c r="AX1908" s="65"/>
      <c r="AY1908" s="65" t="str">
        <f>IFERROR(__xludf.DUMMYFUNCTION("""COMPUTED_VALUE"""),"13/01/2026")</f>
        <v>13/01/2026</v>
      </c>
      <c r="AZ1908" s="65"/>
      <c r="BA1908" s="65"/>
    </row>
    <row r="1909">
      <c r="A1909" s="65" t="str">
        <f>IFERROR(__xludf.DUMMYFUNCTION("""COMPUTED_VALUE"""),"27-03-2026")</f>
        <v>27-03-2026</v>
      </c>
      <c r="B1909" s="65">
        <f>IFERROR(__xludf.DUMMYFUNCTION("""COMPUTED_VALUE"""),4122569.0)</f>
        <v>4122569</v>
      </c>
      <c r="C1909" s="65" t="str">
        <f>IFERROR(__xludf.DUMMYFUNCTION("""COMPUTED_VALUE"""),"18:07")</f>
        <v>18:07</v>
      </c>
      <c r="D1909" s="65" t="str">
        <f>IFERROR(__xludf.DUMMYFUNCTION("""COMPUTED_VALUE"""),"12-01-2026")</f>
        <v>12-01-2026</v>
      </c>
      <c r="E1909" s="65" t="str">
        <f>IFERROR(__xludf.DUMMYFUNCTION("""COMPUTED_VALUE"""),"Viviana Carolina Quiroz")</f>
        <v>Viviana Carolina Quiroz</v>
      </c>
      <c r="F1909" s="65" t="str">
        <f>IFERROR(__xludf.DUMMYFUNCTION("""COMPUTED_VALUE"""),"998424509")</f>
        <v>998424509</v>
      </c>
      <c r="G1909" s="65" t="str">
        <f>IFERROR(__xludf.DUMMYFUNCTION("""COMPUTED_VALUE"""),"caro_quiroz95@outlook.com")</f>
        <v>caro_quiroz95@outlook.com</v>
      </c>
      <c r="H1909" s="65"/>
      <c r="I1909" s="65"/>
      <c r="J1909" s="65"/>
      <c r="K1909" s="65" t="str">
        <f>IFERROR(__xludf.DUMMYFUNCTION("""COMPUTED_VALUE"""),"PENDIENTE CONFIRMACION")</f>
        <v>PENDIENTE CONFIRMACION</v>
      </c>
      <c r="L1909" s="65" t="str">
        <f>IFERROR(__xludf.DUMMYFUNCTION("""COMPUTED_VALUE"""),"CON RECAUDO")</f>
        <v>CON RECAUDO</v>
      </c>
      <c r="M1909" s="65" t="str">
        <f>IFERROR(__xludf.DUMMYFUNCTION("""COMPUTED_VALUE"""),"PICHINCHA")</f>
        <v>PICHINCHA</v>
      </c>
      <c r="N1909" s="65" t="str">
        <f>IFERROR(__xludf.DUMMYFUNCTION("""COMPUTED_VALUE"""),"SANGOLQUI")</f>
        <v>SANGOLQUI</v>
      </c>
      <c r="O1909" s="65" t="str">
        <f>IFERROR(__xludf.DUMMYFUNCTION("""COMPUTED_VALUE"""),"Sangolqui, calle rocafuerte entre garcia moreno y juan genaro jaramillo San sebastian -")</f>
        <v>Sangolqui, calle rocafuerte entre garcia moreno y juan genaro jaramillo San sebastian -</v>
      </c>
      <c r="P1909" s="65"/>
      <c r="Q1909" s="65" t="str">
        <f>IFERROR(__xludf.DUMMYFUNCTION("""COMPUTED_VALUE"""),"GINTRACOM")</f>
        <v>GINTRACOM</v>
      </c>
      <c r="R1909" s="65">
        <f>IFERROR(__xludf.DUMMYFUNCTION("""COMPUTED_VALUE"""),30.0)</f>
        <v>30</v>
      </c>
      <c r="S1909" s="65"/>
      <c r="T1909" s="65">
        <f>IFERROR(__xludf.DUMMYFUNCTION("""COMPUTED_VALUE"""),5.12)</f>
        <v>5.12</v>
      </c>
      <c r="U1909" s="65">
        <f>IFERROR(__xludf.DUMMYFUNCTION("""COMPUTED_VALUE"""),0.0)</f>
        <v>0</v>
      </c>
      <c r="V1909" s="65">
        <f>IFERROR(__xludf.DUMMYFUNCTION("""COMPUTED_VALUE"""),0.0)</f>
        <v>0</v>
      </c>
      <c r="W1909" s="65">
        <f>IFERROR(__xludf.DUMMYFUNCTION("""COMPUTED_VALUE"""),0.0)</f>
        <v>0</v>
      </c>
      <c r="X1909" s="65">
        <f>IFERROR(__xludf.DUMMYFUNCTION("""COMPUTED_VALUE"""),2.35)</f>
        <v>2.35</v>
      </c>
      <c r="Y1909" s="65">
        <f>IFERROR(__xludf.DUMMYFUNCTION("""COMPUTED_VALUE"""),7.05)</f>
        <v>7.05</v>
      </c>
      <c r="Z1909" s="65">
        <f>IFERROR(__xludf.DUMMYFUNCTION("""COMPUTED_VALUE"""),116679.0)</f>
        <v>116679</v>
      </c>
      <c r="AA1909" s="65" t="str">
        <f>IFERROR(__xludf.DUMMYFUNCTION("""COMPUTED_VALUE"""),"AMC-2738")</f>
        <v>AMC-2738</v>
      </c>
      <c r="AB1909" s="65"/>
      <c r="AC1909" s="65" t="str">
        <f>IFERROR(__xludf.DUMMYFUNCTION("""COMPUTED_VALUE"""),"ESPONJA ANTILLUVIA DE PARABRISAS")</f>
        <v>ESPONJA ANTILLUVIA DE PARABRISAS</v>
      </c>
      <c r="AD1909" s="65"/>
      <c r="AE1909" s="65">
        <f>IFERROR(__xludf.DUMMYFUNCTION("""COMPUTED_VALUE"""),3.0)</f>
        <v>3</v>
      </c>
      <c r="AF1909" s="65"/>
      <c r="AG1909" s="65"/>
      <c r="AH1909" s="65"/>
      <c r="AI1909" s="65"/>
      <c r="AJ1909" s="65"/>
      <c r="AK1909" s="65"/>
      <c r="AL1909" s="65"/>
      <c r="AM1909" s="65"/>
      <c r="AN1909" s="65"/>
      <c r="AO1909" s="65"/>
      <c r="AP1909" s="65"/>
      <c r="AQ1909" s="65"/>
      <c r="AR1909" s="65"/>
      <c r="AS1909" s="65"/>
      <c r="AT1909" s="65" t="str">
        <f>IFERROR(__xludf.DUMMYFUNCTION("""COMPUTED_VALUE"""),"SHOPIFY")</f>
        <v>SHOPIFY</v>
      </c>
      <c r="AU1909" s="65" t="str">
        <f>IFERROR(__xludf.DUMMYFUNCTION("""COMPUTED_VALUE"""),"IMPORTEX EC")</f>
        <v>IMPORTEX EC</v>
      </c>
      <c r="AV1909" s="65" t="str">
        <f>IFERROR(__xludf.DUMMYFUNCTION("""COMPUTED_VALUE"""),"6408696463404")</f>
        <v>6408696463404</v>
      </c>
      <c r="AW1909" s="65">
        <f>IFERROR(__xludf.DUMMYFUNCTION("""COMPUTED_VALUE"""),5011.0)</f>
        <v>5011</v>
      </c>
      <c r="AX1909" s="65"/>
      <c r="AY1909" s="65"/>
      <c r="AZ1909" s="65"/>
      <c r="BA1909" s="65"/>
    </row>
    <row r="1910">
      <c r="A1910" s="65" t="str">
        <f>IFERROR(__xludf.DUMMYFUNCTION("""COMPUTED_VALUE"""),"27-03-2026")</f>
        <v>27-03-2026</v>
      </c>
      <c r="B1910" s="65">
        <f>IFERROR(__xludf.DUMMYFUNCTION("""COMPUTED_VALUE"""),4122529.0)</f>
        <v>4122529</v>
      </c>
      <c r="C1910" s="65" t="str">
        <f>IFERROR(__xludf.DUMMYFUNCTION("""COMPUTED_VALUE"""),"18:04")</f>
        <v>18:04</v>
      </c>
      <c r="D1910" s="65" t="str">
        <f>IFERROR(__xludf.DUMMYFUNCTION("""COMPUTED_VALUE"""),"12-01-2026")</f>
        <v>12-01-2026</v>
      </c>
      <c r="E1910" s="65" t="str">
        <f>IFERROR(__xludf.DUMMYFUNCTION("""COMPUTED_VALUE"""),"Cristian Guano")</f>
        <v>Cristian Guano</v>
      </c>
      <c r="F1910" s="65" t="str">
        <f>IFERROR(__xludf.DUMMYFUNCTION("""COMPUTED_VALUE"""),"987966433")</f>
        <v>987966433</v>
      </c>
      <c r="G1910" s="65" t="str">
        <f>IFERROR(__xludf.DUMMYFUNCTION("""COMPUTED_VALUE"""),"cristianguano4@gmail.com")</f>
        <v>cristianguano4@gmail.com</v>
      </c>
      <c r="H1910" s="65"/>
      <c r="I1910" s="65"/>
      <c r="J1910" s="65"/>
      <c r="K1910" s="65" t="str">
        <f>IFERROR(__xludf.DUMMYFUNCTION("""COMPUTED_VALUE"""),"PENDIENTE CONFIRMACION")</f>
        <v>PENDIENTE CONFIRMACION</v>
      </c>
      <c r="L1910" s="65" t="str">
        <f>IFERROR(__xludf.DUMMYFUNCTION("""COMPUTED_VALUE"""),"CON RECAUDO")</f>
        <v>CON RECAUDO</v>
      </c>
      <c r="M1910" s="65" t="str">
        <f>IFERROR(__xludf.DUMMYFUNCTION("""COMPUTED_VALUE"""),"SANTO DOMINGO DE LOS TSACHILAS")</f>
        <v>SANTO DOMINGO DE LOS TSACHILAS</v>
      </c>
      <c r="N1910" s="65" t="str">
        <f>IFERROR(__xludf.DUMMYFUNCTION("""COMPUTED_VALUE"""),"SANTO DOMINGO")</f>
        <v>SANTO DOMINGO</v>
      </c>
      <c r="O1910" s="65" t="str">
        <f>IFERROR(__xludf.DUMMYFUNCTION("""COMPUTED_VALUE"""),"Rubén Darío y Benito Juárez Nuevo santo Domingo -")</f>
        <v>Rubén Darío y Benito Juárez Nuevo santo Domingo -</v>
      </c>
      <c r="P1910" s="65"/>
      <c r="Q1910" s="65" t="str">
        <f>IFERROR(__xludf.DUMMYFUNCTION("""COMPUTED_VALUE"""),"GINTRACOM")</f>
        <v>GINTRACOM</v>
      </c>
      <c r="R1910" s="65">
        <f>IFERROR(__xludf.DUMMYFUNCTION("""COMPUTED_VALUE"""),30.0)</f>
        <v>30</v>
      </c>
      <c r="S1910" s="65"/>
      <c r="T1910" s="65">
        <f>IFERROR(__xludf.DUMMYFUNCTION("""COMPUTED_VALUE"""),6.16)</f>
        <v>6.16</v>
      </c>
      <c r="U1910" s="65">
        <f>IFERROR(__xludf.DUMMYFUNCTION("""COMPUTED_VALUE"""),0.0)</f>
        <v>0</v>
      </c>
      <c r="V1910" s="65">
        <f>IFERROR(__xludf.DUMMYFUNCTION("""COMPUTED_VALUE"""),0.0)</f>
        <v>0</v>
      </c>
      <c r="W1910" s="65">
        <f>IFERROR(__xludf.DUMMYFUNCTION("""COMPUTED_VALUE"""),0.0)</f>
        <v>0</v>
      </c>
      <c r="X1910" s="65">
        <f>IFERROR(__xludf.DUMMYFUNCTION("""COMPUTED_VALUE"""),2.35)</f>
        <v>2.35</v>
      </c>
      <c r="Y1910" s="65">
        <f>IFERROR(__xludf.DUMMYFUNCTION("""COMPUTED_VALUE"""),7.05)</f>
        <v>7.05</v>
      </c>
      <c r="Z1910" s="65">
        <f>IFERROR(__xludf.DUMMYFUNCTION("""COMPUTED_VALUE"""),116679.0)</f>
        <v>116679</v>
      </c>
      <c r="AA1910" s="65" t="str">
        <f>IFERROR(__xludf.DUMMYFUNCTION("""COMPUTED_VALUE"""),"AMC-2738")</f>
        <v>AMC-2738</v>
      </c>
      <c r="AB1910" s="65"/>
      <c r="AC1910" s="65" t="str">
        <f>IFERROR(__xludf.DUMMYFUNCTION("""COMPUTED_VALUE"""),"ESPONJA ANTILLUVIA DE PARABRISAS")</f>
        <v>ESPONJA ANTILLUVIA DE PARABRISAS</v>
      </c>
      <c r="AD1910" s="65"/>
      <c r="AE1910" s="65">
        <f>IFERROR(__xludf.DUMMYFUNCTION("""COMPUTED_VALUE"""),3.0)</f>
        <v>3</v>
      </c>
      <c r="AF1910" s="65"/>
      <c r="AG1910" s="65"/>
      <c r="AH1910" s="65"/>
      <c r="AI1910" s="65"/>
      <c r="AJ1910" s="65"/>
      <c r="AK1910" s="65"/>
      <c r="AL1910" s="65"/>
      <c r="AM1910" s="65"/>
      <c r="AN1910" s="65"/>
      <c r="AO1910" s="65"/>
      <c r="AP1910" s="65"/>
      <c r="AQ1910" s="65"/>
      <c r="AR1910" s="65"/>
      <c r="AS1910" s="65"/>
      <c r="AT1910" s="65" t="str">
        <f>IFERROR(__xludf.DUMMYFUNCTION("""COMPUTED_VALUE"""),"SHOPIFY")</f>
        <v>SHOPIFY</v>
      </c>
      <c r="AU1910" s="65" t="str">
        <f>IFERROR(__xludf.DUMMYFUNCTION("""COMPUTED_VALUE"""),"IMPORTEX EC")</f>
        <v>IMPORTEX EC</v>
      </c>
      <c r="AV1910" s="65" t="str">
        <f>IFERROR(__xludf.DUMMYFUNCTION("""COMPUTED_VALUE"""),"6407914979372")</f>
        <v>6407914979372</v>
      </c>
      <c r="AW1910" s="65">
        <f>IFERROR(__xludf.DUMMYFUNCTION("""COMPUTED_VALUE"""),4960.0)</f>
        <v>4960</v>
      </c>
      <c r="AX1910" s="65"/>
      <c r="AY1910" s="65"/>
      <c r="AZ1910" s="65"/>
      <c r="BA1910" s="65"/>
    </row>
    <row r="1911">
      <c r="A1911" s="65" t="str">
        <f>IFERROR(__xludf.DUMMYFUNCTION("""COMPUTED_VALUE"""),"27-03-2026")</f>
        <v>27-03-2026</v>
      </c>
      <c r="B1911" s="65">
        <f>IFERROR(__xludf.DUMMYFUNCTION("""COMPUTED_VALUE"""),4122428.0)</f>
        <v>4122428</v>
      </c>
      <c r="C1911" s="65" t="str">
        <f>IFERROR(__xludf.DUMMYFUNCTION("""COMPUTED_VALUE"""),"17:55")</f>
        <v>17:55</v>
      </c>
      <c r="D1911" s="65" t="str">
        <f>IFERROR(__xludf.DUMMYFUNCTION("""COMPUTED_VALUE"""),"12-01-2026")</f>
        <v>12-01-2026</v>
      </c>
      <c r="E1911" s="65" t="str">
        <f>IFERROR(__xludf.DUMMYFUNCTION("""COMPUTED_VALUE"""),"Elsa Judith Ordoñez Ocampo")</f>
        <v>Elsa Judith Ordoñez Ocampo</v>
      </c>
      <c r="F1911" s="65" t="str">
        <f>IFERROR(__xludf.DUMMYFUNCTION("""COMPUTED_VALUE"""),"986906337")</f>
        <v>986906337</v>
      </c>
      <c r="G1911" s="65" t="str">
        <f>IFERROR(__xludf.DUMMYFUNCTION("""COMPUTED_VALUE"""),"elsajudith1961@gmail.com")</f>
        <v>elsajudith1961@gmail.com</v>
      </c>
      <c r="H1911" s="65"/>
      <c r="I1911" s="65"/>
      <c r="J1911" s="65"/>
      <c r="K1911" s="65" t="str">
        <f>IFERROR(__xludf.DUMMYFUNCTION("""COMPUTED_VALUE"""),"PENDIENTE CONFIRMACION")</f>
        <v>PENDIENTE CONFIRMACION</v>
      </c>
      <c r="L1911" s="65" t="str">
        <f>IFERROR(__xludf.DUMMYFUNCTION("""COMPUTED_VALUE"""),"CON RECAUDO")</f>
        <v>CON RECAUDO</v>
      </c>
      <c r="M1911" s="65" t="str">
        <f>IFERROR(__xludf.DUMMYFUNCTION("""COMPUTED_VALUE"""),"SANTO DOMINGO DE LOS TSACHILAS")</f>
        <v>SANTO DOMINGO DE LOS TSACHILAS</v>
      </c>
      <c r="N1911" s="65" t="str">
        <f>IFERROR(__xludf.DUMMYFUNCTION("""COMPUTED_VALUE"""),"SANTO DOMINGO")</f>
        <v>SANTO DOMINGO</v>
      </c>
      <c r="O1911" s="65" t="str">
        <f>IFERROR(__xludf.DUMMYFUNCTION("""COMPUTED_VALUE"""),"Río Baba RIO Mulaute -")</f>
        <v>Río Baba RIO Mulaute -</v>
      </c>
      <c r="P1911" s="65"/>
      <c r="Q1911" s="65" t="str">
        <f>IFERROR(__xludf.DUMMYFUNCTION("""COMPUTED_VALUE"""),"GINTRACOM")</f>
        <v>GINTRACOM</v>
      </c>
      <c r="R1911" s="65">
        <f>IFERROR(__xludf.DUMMYFUNCTION("""COMPUTED_VALUE"""),22.0)</f>
        <v>22</v>
      </c>
      <c r="S1911" s="65"/>
      <c r="T1911" s="65">
        <f>IFERROR(__xludf.DUMMYFUNCTION("""COMPUTED_VALUE"""),5.84)</f>
        <v>5.84</v>
      </c>
      <c r="U1911" s="65">
        <f>IFERROR(__xludf.DUMMYFUNCTION("""COMPUTED_VALUE"""),0.0)</f>
        <v>0</v>
      </c>
      <c r="V1911" s="65">
        <f>IFERROR(__xludf.DUMMYFUNCTION("""COMPUTED_VALUE"""),0.0)</f>
        <v>0</v>
      </c>
      <c r="W1911" s="65">
        <f>IFERROR(__xludf.DUMMYFUNCTION("""COMPUTED_VALUE"""),0.0)</f>
        <v>0</v>
      </c>
      <c r="X1911" s="65">
        <f>IFERROR(__xludf.DUMMYFUNCTION("""COMPUTED_VALUE"""),2.6)</f>
        <v>2.6</v>
      </c>
      <c r="Y1911" s="65">
        <f>IFERROR(__xludf.DUMMYFUNCTION("""COMPUTED_VALUE"""),5.2)</f>
        <v>5.2</v>
      </c>
      <c r="Z1911" s="65">
        <f>IFERROR(__xludf.DUMMYFUNCTION("""COMPUTED_VALUE"""),121983.0)</f>
        <v>121983</v>
      </c>
      <c r="AA1911" s="65" t="str">
        <f>IFERROR(__xludf.DUMMYFUNCTION("""COMPUTED_VALUE"""),"PROV-CHLLCF")</f>
        <v>PROV-CHLLCF</v>
      </c>
      <c r="AB1911" s="65"/>
      <c r="AC1911" s="65" t="str">
        <f>IFERROR(__xludf.DUMMYFUNCTION("""COMPUTED_VALUE"""),"CUCHILLO PARA CHEF")</f>
        <v>CUCHILLO PARA CHEF</v>
      </c>
      <c r="AD1911" s="65"/>
      <c r="AE1911" s="65">
        <f>IFERROR(__xludf.DUMMYFUNCTION("""COMPUTED_VALUE"""),2.0)</f>
        <v>2</v>
      </c>
      <c r="AF1911" s="65"/>
      <c r="AG1911" s="65"/>
      <c r="AH1911" s="65"/>
      <c r="AI1911" s="65"/>
      <c r="AJ1911" s="65"/>
      <c r="AK1911" s="65"/>
      <c r="AL1911" s="65"/>
      <c r="AM1911" s="65"/>
      <c r="AN1911" s="65"/>
      <c r="AO1911" s="65"/>
      <c r="AP1911" s="65"/>
      <c r="AQ1911" s="65"/>
      <c r="AR1911" s="65"/>
      <c r="AS1911" s="65"/>
      <c r="AT1911" s="65" t="str">
        <f>IFERROR(__xludf.DUMMYFUNCTION("""COMPUTED_VALUE"""),"SHOPIFY")</f>
        <v>SHOPIFY</v>
      </c>
      <c r="AU1911" s="65" t="str">
        <f>IFERROR(__xludf.DUMMYFUNCTION("""COMPUTED_VALUE"""),"IMPORTEX EC")</f>
        <v>IMPORTEX EC</v>
      </c>
      <c r="AV1911" s="65" t="str">
        <f>IFERROR(__xludf.DUMMYFUNCTION("""COMPUTED_VALUE"""),"6406760955948")</f>
        <v>6406760955948</v>
      </c>
      <c r="AW1911" s="65">
        <f>IFERROR(__xludf.DUMMYFUNCTION("""COMPUTED_VALUE"""),4920.0)</f>
        <v>4920</v>
      </c>
      <c r="AX1911" s="65"/>
      <c r="AY1911" s="65"/>
      <c r="AZ1911" s="65"/>
      <c r="BA1911" s="65"/>
    </row>
    <row r="1912">
      <c r="A1912" s="65" t="str">
        <f>IFERROR(__xludf.DUMMYFUNCTION("""COMPUTED_VALUE"""),"27-03-2026")</f>
        <v>27-03-2026</v>
      </c>
      <c r="B1912" s="65">
        <f>IFERROR(__xludf.DUMMYFUNCTION("""COMPUTED_VALUE"""),4122381.0)</f>
        <v>4122381</v>
      </c>
      <c r="C1912" s="65" t="str">
        <f>IFERROR(__xludf.DUMMYFUNCTION("""COMPUTED_VALUE"""),"17:52")</f>
        <v>17:52</v>
      </c>
      <c r="D1912" s="65" t="str">
        <f>IFERROR(__xludf.DUMMYFUNCTION("""COMPUTED_VALUE"""),"12-01-2026")</f>
        <v>12-01-2026</v>
      </c>
      <c r="E1912" s="65" t="str">
        <f>IFERROR(__xludf.DUMMYFUNCTION("""COMPUTED_VALUE"""),"Hector Villavicencio")</f>
        <v>Hector Villavicencio</v>
      </c>
      <c r="F1912" s="65" t="str">
        <f>IFERROR(__xludf.DUMMYFUNCTION("""COMPUTED_VALUE"""),"999832430")</f>
        <v>999832430</v>
      </c>
      <c r="G1912" s="65" t="str">
        <f>IFERROR(__xludf.DUMMYFUNCTION("""COMPUTED_VALUE"""),"saboresvilla@gmail.com")</f>
        <v>saboresvilla@gmail.com</v>
      </c>
      <c r="H1912" s="65"/>
      <c r="I1912" s="65"/>
      <c r="J1912" s="65" t="str">
        <f>IFERROR(__xludf.DUMMYFUNCTION("""COMPUTED_VALUE"""),"D001218310")</f>
        <v>D001218310</v>
      </c>
      <c r="K1912" s="65" t="str">
        <f>IFERROR(__xludf.DUMMYFUNCTION("""COMPUTED_VALUE"""),"ENTREGADO")</f>
        <v>ENTREGADO</v>
      </c>
      <c r="L1912" s="65" t="str">
        <f>IFERROR(__xludf.DUMMYFUNCTION("""COMPUTED_VALUE"""),"CON RECAUDO")</f>
        <v>CON RECAUDO</v>
      </c>
      <c r="M1912" s="65" t="str">
        <f>IFERROR(__xludf.DUMMYFUNCTION("""COMPUTED_VALUE"""),"PICHINCHA")</f>
        <v>PICHINCHA</v>
      </c>
      <c r="N1912" s="65" t="str">
        <f>IFERROR(__xludf.DUMMYFUNCTION("""COMPUTED_VALUE"""),"QUITO")</f>
        <v>QUITO</v>
      </c>
      <c r="O1912" s="65" t="str">
        <f>IFERROR(__xludf.DUMMYFUNCTION("""COMPUTED_VALUE"""),"Av. Clemente Ponce y Av. Piedrahita - Sector Ministerio de Trabajo. Edificio Acuarius.  Ref. Sabores Lojanos UIO")</f>
        <v>Av. Clemente Ponce y Av. Piedrahita - Sector Ministerio de Trabajo. Edificio Acuarius.  Ref. Sabores Lojanos UIO</v>
      </c>
      <c r="P1912" s="65"/>
      <c r="Q1912" s="65" t="str">
        <f>IFERROR(__xludf.DUMMYFUNCTION("""COMPUTED_VALUE"""),"GINTRACOM")</f>
        <v>GINTRACOM</v>
      </c>
      <c r="R1912" s="65">
        <f>IFERROR(__xludf.DUMMYFUNCTION("""COMPUTED_VALUE"""),27.0)</f>
        <v>27</v>
      </c>
      <c r="S1912" s="65">
        <f>IFERROR(__xludf.DUMMYFUNCTION("""COMPUTED_VALUE"""),13.17)</f>
        <v>13.17</v>
      </c>
      <c r="T1912" s="65">
        <f>IFERROR(__xludf.DUMMYFUNCTION("""COMPUTED_VALUE"""),6.03)</f>
        <v>6.03</v>
      </c>
      <c r="U1912" s="65">
        <f>IFERROR(__xludf.DUMMYFUNCTION("""COMPUTED_VALUE"""),0.0)</f>
        <v>0</v>
      </c>
      <c r="V1912" s="65">
        <f>IFERROR(__xludf.DUMMYFUNCTION("""COMPUTED_VALUE"""),0.0)</f>
        <v>0</v>
      </c>
      <c r="W1912" s="65">
        <f>IFERROR(__xludf.DUMMYFUNCTION("""COMPUTED_VALUE"""),0.0)</f>
        <v>0</v>
      </c>
      <c r="X1912" s="65">
        <f>IFERROR(__xludf.DUMMYFUNCTION("""COMPUTED_VALUE"""),2.6)</f>
        <v>2.6</v>
      </c>
      <c r="Y1912" s="65">
        <f>IFERROR(__xludf.DUMMYFUNCTION("""COMPUTED_VALUE"""),7.8)</f>
        <v>7.8</v>
      </c>
      <c r="Z1912" s="65">
        <f>IFERROR(__xludf.DUMMYFUNCTION("""COMPUTED_VALUE"""),121983.0)</f>
        <v>121983</v>
      </c>
      <c r="AA1912" s="65" t="str">
        <f>IFERROR(__xludf.DUMMYFUNCTION("""COMPUTED_VALUE"""),"PROV-CHLLCF")</f>
        <v>PROV-CHLLCF</v>
      </c>
      <c r="AB1912" s="65"/>
      <c r="AC1912" s="65" t="str">
        <f>IFERROR(__xludf.DUMMYFUNCTION("""COMPUTED_VALUE"""),"CUCHILLO PARA CHEF")</f>
        <v>CUCHILLO PARA CHEF</v>
      </c>
      <c r="AD1912" s="65"/>
      <c r="AE1912" s="65">
        <f>IFERROR(__xludf.DUMMYFUNCTION("""COMPUTED_VALUE"""),3.0)</f>
        <v>3</v>
      </c>
      <c r="AF1912" s="65"/>
      <c r="AG1912" s="65"/>
      <c r="AH1912" s="65"/>
      <c r="AI1912" s="65"/>
      <c r="AJ1912" s="65"/>
      <c r="AK1912" s="65"/>
      <c r="AL1912" s="65"/>
      <c r="AM1912" s="65"/>
      <c r="AN1912" s="65" t="str">
        <f>IFERROR(__xludf.DUMMYFUNCTION("""COMPUTED_VALUE"""),"15:38")</f>
        <v>15:38</v>
      </c>
      <c r="AO1912" s="65" t="str">
        <f>IFERROR(__xludf.DUMMYFUNCTION("""COMPUTED_VALUE"""),"14-01-2026")</f>
        <v>14-01-2026</v>
      </c>
      <c r="AP1912" s="65" t="str">
        <f>IFERROR(__xludf.DUMMYFUNCTION("""COMPUTED_VALUE"""),"ENTREGADA GINTRACOM")</f>
        <v>ENTREGADA GINTRACOM</v>
      </c>
      <c r="AQ1912" s="65" t="str">
        <f>IFERROR(__xludf.DUMMYFUNCTION("""COMPUTED_VALUE"""),"ENTREGADA GINTRACOM")</f>
        <v>ENTREGADA GINTRACOM</v>
      </c>
      <c r="AR1912" s="65"/>
      <c r="AS1912" s="65"/>
      <c r="AT1912" s="65" t="str">
        <f>IFERROR(__xludf.DUMMYFUNCTION("""COMPUTED_VALUE"""),"SHOPIFY")</f>
        <v>SHOPIFY</v>
      </c>
      <c r="AU1912" s="65" t="str">
        <f>IFERROR(__xludf.DUMMYFUNCTION("""COMPUTED_VALUE"""),"IMPORTEX EC")</f>
        <v>IMPORTEX EC</v>
      </c>
      <c r="AV1912" s="65" t="str">
        <f>IFERROR(__xludf.DUMMYFUNCTION("""COMPUTED_VALUE"""),"6406350012460")</f>
        <v>6406350012460</v>
      </c>
      <c r="AW1912" s="65">
        <f>IFERROR(__xludf.DUMMYFUNCTION("""COMPUTED_VALUE"""),4904.0)</f>
        <v>4904</v>
      </c>
      <c r="AX1912" s="65"/>
      <c r="AY1912" s="65" t="str">
        <f>IFERROR(__xludf.DUMMYFUNCTION("""COMPUTED_VALUE"""),"13/01/2026")</f>
        <v>13/01/2026</v>
      </c>
      <c r="AZ1912" s="65"/>
      <c r="BA1912" s="65"/>
    </row>
    <row r="1913">
      <c r="A1913" s="65" t="str">
        <f>IFERROR(__xludf.DUMMYFUNCTION("""COMPUTED_VALUE"""),"27-03-2026")</f>
        <v>27-03-2026</v>
      </c>
      <c r="B1913" s="65">
        <f>IFERROR(__xludf.DUMMYFUNCTION("""COMPUTED_VALUE"""),4122372.0)</f>
        <v>4122372</v>
      </c>
      <c r="C1913" s="65" t="str">
        <f>IFERROR(__xludf.DUMMYFUNCTION("""COMPUTED_VALUE"""),"17:51")</f>
        <v>17:51</v>
      </c>
      <c r="D1913" s="65" t="str">
        <f>IFERROR(__xludf.DUMMYFUNCTION("""COMPUTED_VALUE"""),"12-01-2026")</f>
        <v>12-01-2026</v>
      </c>
      <c r="E1913" s="65" t="str">
        <f>IFERROR(__xludf.DUMMYFUNCTION("""COMPUTED_VALUE"""),"José Luis Poveda German")</f>
        <v>José Luis Poveda German</v>
      </c>
      <c r="F1913" s="65" t="str">
        <f>IFERROR(__xludf.DUMMYFUNCTION("""COMPUTED_VALUE"""),"996879069")</f>
        <v>996879069</v>
      </c>
      <c r="G1913" s="65"/>
      <c r="H1913" s="65"/>
      <c r="I1913" s="65"/>
      <c r="J1913" s="65" t="str">
        <f>IFERROR(__xludf.DUMMYFUNCTION("""COMPUTED_VALUE"""),"D001218311")</f>
        <v>D001218311</v>
      </c>
      <c r="K1913" s="65" t="str">
        <f>IFERROR(__xludf.DUMMYFUNCTION("""COMPUTED_VALUE"""),"ENTREGADO")</f>
        <v>ENTREGADO</v>
      </c>
      <c r="L1913" s="65" t="str">
        <f>IFERROR(__xludf.DUMMYFUNCTION("""COMPUTED_VALUE"""),"CON RECAUDO")</f>
        <v>CON RECAUDO</v>
      </c>
      <c r="M1913" s="65" t="str">
        <f>IFERROR(__xludf.DUMMYFUNCTION("""COMPUTED_VALUE"""),"SANTO DOMINGO DE LOS TSACHILAS")</f>
        <v>SANTO DOMINGO DE LOS TSACHILAS</v>
      </c>
      <c r="N1913" s="65" t="str">
        <f>IFERROR(__xludf.DUMMYFUNCTION("""COMPUTED_VALUE"""),"SANTO DOMINGO")</f>
        <v>SANTO DOMINGO</v>
      </c>
      <c r="O1913" s="65" t="str">
        <f>IFERROR(__xludf.DUMMYFUNCTION("""COMPUTED_VALUE"""),"Calle principal catacocha y Tungurahua, Casa 136")</f>
        <v>Calle principal catacocha y Tungurahua, Casa 136</v>
      </c>
      <c r="P1913" s="65"/>
      <c r="Q1913" s="65" t="str">
        <f>IFERROR(__xludf.DUMMYFUNCTION("""COMPUTED_VALUE"""),"GINTRACOM")</f>
        <v>GINTRACOM</v>
      </c>
      <c r="R1913" s="65">
        <f>IFERROR(__xludf.DUMMYFUNCTION("""COMPUTED_VALUE"""),22.0)</f>
        <v>22</v>
      </c>
      <c r="S1913" s="65">
        <f>IFERROR(__xludf.DUMMYFUNCTION("""COMPUTED_VALUE"""),10.96)</f>
        <v>10.96</v>
      </c>
      <c r="T1913" s="65">
        <f>IFERROR(__xludf.DUMMYFUNCTION("""COMPUTED_VALUE"""),5.84)</f>
        <v>5.84</v>
      </c>
      <c r="U1913" s="65">
        <f>IFERROR(__xludf.DUMMYFUNCTION("""COMPUTED_VALUE"""),0.0)</f>
        <v>0</v>
      </c>
      <c r="V1913" s="65">
        <f>IFERROR(__xludf.DUMMYFUNCTION("""COMPUTED_VALUE"""),0.0)</f>
        <v>0</v>
      </c>
      <c r="W1913" s="65">
        <f>IFERROR(__xludf.DUMMYFUNCTION("""COMPUTED_VALUE"""),0.0)</f>
        <v>0</v>
      </c>
      <c r="X1913" s="65">
        <f>IFERROR(__xludf.DUMMYFUNCTION("""COMPUTED_VALUE"""),2.6)</f>
        <v>2.6</v>
      </c>
      <c r="Y1913" s="65">
        <f>IFERROR(__xludf.DUMMYFUNCTION("""COMPUTED_VALUE"""),5.2)</f>
        <v>5.2</v>
      </c>
      <c r="Z1913" s="65">
        <f>IFERROR(__xludf.DUMMYFUNCTION("""COMPUTED_VALUE"""),121983.0)</f>
        <v>121983</v>
      </c>
      <c r="AA1913" s="65" t="str">
        <f>IFERROR(__xludf.DUMMYFUNCTION("""COMPUTED_VALUE"""),"PROV-CHLLCF")</f>
        <v>PROV-CHLLCF</v>
      </c>
      <c r="AB1913" s="65"/>
      <c r="AC1913" s="65" t="str">
        <f>IFERROR(__xludf.DUMMYFUNCTION("""COMPUTED_VALUE"""),"CUCHILLO PARA CHEF")</f>
        <v>CUCHILLO PARA CHEF</v>
      </c>
      <c r="AD1913" s="65"/>
      <c r="AE1913" s="65">
        <f>IFERROR(__xludf.DUMMYFUNCTION("""COMPUTED_VALUE"""),2.0)</f>
        <v>2</v>
      </c>
      <c r="AF1913" s="65"/>
      <c r="AG1913" s="65"/>
      <c r="AH1913" s="65"/>
      <c r="AI1913" s="65"/>
      <c r="AJ1913" s="65"/>
      <c r="AK1913" s="65"/>
      <c r="AL1913" s="65"/>
      <c r="AM1913" s="65"/>
      <c r="AN1913" s="65" t="str">
        <f>IFERROR(__xludf.DUMMYFUNCTION("""COMPUTED_VALUE"""),"12:54")</f>
        <v>12:54</v>
      </c>
      <c r="AO1913" s="65" t="str">
        <f>IFERROR(__xludf.DUMMYFUNCTION("""COMPUTED_VALUE"""),"15-01-2026")</f>
        <v>15-01-2026</v>
      </c>
      <c r="AP1913" s="65" t="str">
        <f>IFERROR(__xludf.DUMMYFUNCTION("""COMPUTED_VALUE"""),"ENTREGADA GINTRACOM")</f>
        <v>ENTREGADA GINTRACOM</v>
      </c>
      <c r="AQ1913" s="65" t="str">
        <f>IFERROR(__xludf.DUMMYFUNCTION("""COMPUTED_VALUE"""),"ENTREGADA GINTRACOM")</f>
        <v>ENTREGADA GINTRACOM</v>
      </c>
      <c r="AR1913" s="65"/>
      <c r="AS1913" s="65"/>
      <c r="AT1913" s="65" t="str">
        <f>IFERROR(__xludf.DUMMYFUNCTION("""COMPUTED_VALUE"""),"SHOPIFY")</f>
        <v>SHOPIFY</v>
      </c>
      <c r="AU1913" s="65" t="str">
        <f>IFERROR(__xludf.DUMMYFUNCTION("""COMPUTED_VALUE"""),"IMPORTEX EC")</f>
        <v>IMPORTEX EC</v>
      </c>
      <c r="AV1913" s="65" t="str">
        <f>IFERROR(__xludf.DUMMYFUNCTION("""COMPUTED_VALUE"""),"6406259965996")</f>
        <v>6406259965996</v>
      </c>
      <c r="AW1913" s="65">
        <f>IFERROR(__xludf.DUMMYFUNCTION("""COMPUTED_VALUE"""),4900.0)</f>
        <v>4900</v>
      </c>
      <c r="AX1913" s="65"/>
      <c r="AY1913" s="65" t="str">
        <f>IFERROR(__xludf.DUMMYFUNCTION("""COMPUTED_VALUE"""),"13/01/2026")</f>
        <v>13/01/2026</v>
      </c>
      <c r="AZ1913" s="65"/>
      <c r="BA1913" s="65"/>
    </row>
    <row r="1914">
      <c r="A1914" s="65" t="str">
        <f>IFERROR(__xludf.DUMMYFUNCTION("""COMPUTED_VALUE"""),"27-03-2026")</f>
        <v>27-03-2026</v>
      </c>
      <c r="B1914" s="65">
        <f>IFERROR(__xludf.DUMMYFUNCTION("""COMPUTED_VALUE"""),4122350.0)</f>
        <v>4122350</v>
      </c>
      <c r="C1914" s="65" t="str">
        <f>IFERROR(__xludf.DUMMYFUNCTION("""COMPUTED_VALUE"""),"17:49")</f>
        <v>17:49</v>
      </c>
      <c r="D1914" s="65" t="str">
        <f>IFERROR(__xludf.DUMMYFUNCTION("""COMPUTED_VALUE"""),"12-01-2026")</f>
        <v>12-01-2026</v>
      </c>
      <c r="E1914" s="65" t="str">
        <f>IFERROR(__xludf.DUMMYFUNCTION("""COMPUTED_VALUE"""),"MARIA BERMEJO")</f>
        <v>MARIA BERMEJO</v>
      </c>
      <c r="F1914" s="65" t="str">
        <f>IFERROR(__xludf.DUMMYFUNCTION("""COMPUTED_VALUE"""),"997513837")</f>
        <v>997513837</v>
      </c>
      <c r="G1914" s="65" t="str">
        <f>IFERROR(__xludf.DUMMYFUNCTION("""COMPUTED_VALUE"""),"bermejom910@gmail.com")</f>
        <v>bermejom910@gmail.com</v>
      </c>
      <c r="H1914" s="65"/>
      <c r="I1914" s="65"/>
      <c r="J1914" s="65" t="str">
        <f>IFERROR(__xludf.DUMMYFUNCTION("""COMPUTED_VALUE"""),"D001218312")</f>
        <v>D001218312</v>
      </c>
      <c r="K1914" s="65" t="str">
        <f>IFERROR(__xludf.DUMMYFUNCTION("""COMPUTED_VALUE"""),"DEVOLUCION")</f>
        <v>DEVOLUCION</v>
      </c>
      <c r="L1914" s="65" t="str">
        <f>IFERROR(__xludf.DUMMYFUNCTION("""COMPUTED_VALUE"""),"CON RECAUDO")</f>
        <v>CON RECAUDO</v>
      </c>
      <c r="M1914" s="65" t="str">
        <f>IFERROR(__xludf.DUMMYFUNCTION("""COMPUTED_VALUE"""),"CAÑAR")</f>
        <v>CAÑAR</v>
      </c>
      <c r="N1914" s="65" t="str">
        <f>IFERROR(__xludf.DUMMYFUNCTION("""COMPUTED_VALUE"""),"AZOGUES")</f>
        <v>AZOGUES</v>
      </c>
      <c r="O1914" s="65" t="str">
        <f>IFERROR(__xludf.DUMMYFUNCTION("""COMPUTED_VALUE"""),"Avenida el maestro El mirador zhizhiquin -")</f>
        <v>Avenida el maestro El mirador zhizhiquin -</v>
      </c>
      <c r="P1914" s="65"/>
      <c r="Q1914" s="65" t="str">
        <f>IFERROR(__xludf.DUMMYFUNCTION("""COMPUTED_VALUE"""),"GINTRACOM")</f>
        <v>GINTRACOM</v>
      </c>
      <c r="R1914" s="65">
        <f>IFERROR(__xludf.DUMMYFUNCTION("""COMPUTED_VALUE"""),22.0)</f>
        <v>22</v>
      </c>
      <c r="S1914" s="65"/>
      <c r="T1914" s="65">
        <f>IFERROR(__xludf.DUMMYFUNCTION("""COMPUTED_VALUE"""),5.84)</f>
        <v>5.84</v>
      </c>
      <c r="U1914" s="65">
        <f>IFERROR(__xludf.DUMMYFUNCTION("""COMPUTED_VALUE"""),0.0)</f>
        <v>0</v>
      </c>
      <c r="V1914" s="65">
        <f>IFERROR(__xludf.DUMMYFUNCTION("""COMPUTED_VALUE"""),0.0)</f>
        <v>0</v>
      </c>
      <c r="W1914" s="65">
        <f>IFERROR(__xludf.DUMMYFUNCTION("""COMPUTED_VALUE"""),0.0)</f>
        <v>0</v>
      </c>
      <c r="X1914" s="65">
        <f>IFERROR(__xludf.DUMMYFUNCTION("""COMPUTED_VALUE"""),2.6)</f>
        <v>2.6</v>
      </c>
      <c r="Y1914" s="65">
        <f>IFERROR(__xludf.DUMMYFUNCTION("""COMPUTED_VALUE"""),5.2)</f>
        <v>5.2</v>
      </c>
      <c r="Z1914" s="65">
        <f>IFERROR(__xludf.DUMMYFUNCTION("""COMPUTED_VALUE"""),121983.0)</f>
        <v>121983</v>
      </c>
      <c r="AA1914" s="65" t="str">
        <f>IFERROR(__xludf.DUMMYFUNCTION("""COMPUTED_VALUE"""),"PROV-CHLLCF")</f>
        <v>PROV-CHLLCF</v>
      </c>
      <c r="AB1914" s="65"/>
      <c r="AC1914" s="65" t="str">
        <f>IFERROR(__xludf.DUMMYFUNCTION("""COMPUTED_VALUE"""),"CUCHILLO PARA CHEF")</f>
        <v>CUCHILLO PARA CHEF</v>
      </c>
      <c r="AD1914" s="65"/>
      <c r="AE1914" s="65">
        <f>IFERROR(__xludf.DUMMYFUNCTION("""COMPUTED_VALUE"""),2.0)</f>
        <v>2</v>
      </c>
      <c r="AF1914" s="65" t="str">
        <f>IFERROR(__xludf.DUMMYFUNCTION("""COMPUTED_VALUE"""),"DESTINATARIO INDICA QUE ESTÁ INCONFORME CON EL PRODUCTO. (NO RECIBE)")</f>
        <v>DESTINATARIO INDICA QUE ESTÁ INCONFORME CON EL PRODUCTO. (NO RECIBE)</v>
      </c>
      <c r="AG1914" s="65" t="str">
        <f>IFERROR(__xludf.DUMMYFUNCTION("""COMPUTED_VALUE"""),"NO")</f>
        <v>NO</v>
      </c>
      <c r="AH1914" s="65" t="str">
        <f>IFERROR(__xludf.DUMMYFUNCTION("""COMPUTED_VALUE"""),"17:01")</f>
        <v>17:01</v>
      </c>
      <c r="AI1914" s="65" t="str">
        <f>IFERROR(__xludf.DUMMYFUNCTION("""COMPUTED_VALUE"""),"16-01-2026")</f>
        <v>16-01-2026</v>
      </c>
      <c r="AJ1914" s="65"/>
      <c r="AK1914" s="65"/>
      <c r="AL1914" s="65"/>
      <c r="AM1914" s="65"/>
      <c r="AN1914" s="65" t="str">
        <f>IFERROR(__xludf.DUMMYFUNCTION("""COMPUTED_VALUE"""),"13:24")</f>
        <v>13:24</v>
      </c>
      <c r="AO1914" s="65" t="str">
        <f>IFERROR(__xludf.DUMMYFUNCTION("""COMPUTED_VALUE"""),"19-02-2026")</f>
        <v>19-02-2026</v>
      </c>
      <c r="AP1914" s="65" t="str">
        <f>IFERROR(__xludf.DUMMYFUNCTION("""COMPUTED_VALUE"""),"DEV CONFIRMADA POR BODEGA")</f>
        <v>DEV CONFIRMADA POR BODEGA</v>
      </c>
      <c r="AQ1914" s="65"/>
      <c r="AR1914" s="65" t="str">
        <f>IFERROR(__xludf.DUMMYFUNCTION("""COMPUTED_VALUE"""),"Gestionado por: PROVEDIX DAMIAN, email:enviogratisdirecto@gmail.com, total de productos en la orden: 1")</f>
        <v>Gestionado por: PROVEDIX DAMIAN, email:enviogratisdirecto@gmail.com, total de productos en la orden: 1</v>
      </c>
      <c r="AS1914" s="65"/>
      <c r="AT1914" s="65" t="str">
        <f>IFERROR(__xludf.DUMMYFUNCTION("""COMPUTED_VALUE"""),"SHOPIFY")</f>
        <v>SHOPIFY</v>
      </c>
      <c r="AU1914" s="65" t="str">
        <f>IFERROR(__xludf.DUMMYFUNCTION("""COMPUTED_VALUE"""),"IMPORTEX EC")</f>
        <v>IMPORTEX EC</v>
      </c>
      <c r="AV1914" s="65" t="str">
        <f>IFERROR(__xludf.DUMMYFUNCTION("""COMPUTED_VALUE"""),"6409923887148")</f>
        <v>6409923887148</v>
      </c>
      <c r="AW1914" s="65">
        <f>IFERROR(__xludf.DUMMYFUNCTION("""COMPUTED_VALUE"""),5047.0)</f>
        <v>5047</v>
      </c>
      <c r="AX1914" s="65"/>
      <c r="AY1914" s="65" t="str">
        <f>IFERROR(__xludf.DUMMYFUNCTION("""COMPUTED_VALUE"""),"13/01/2026")</f>
        <v>13/01/2026</v>
      </c>
      <c r="AZ1914" s="65"/>
      <c r="BA1914" s="65"/>
    </row>
    <row r="1915">
      <c r="A1915" s="65" t="str">
        <f>IFERROR(__xludf.DUMMYFUNCTION("""COMPUTED_VALUE"""),"27-03-2026")</f>
        <v>27-03-2026</v>
      </c>
      <c r="B1915" s="65">
        <f>IFERROR(__xludf.DUMMYFUNCTION("""COMPUTED_VALUE"""),4122283.0)</f>
        <v>4122283</v>
      </c>
      <c r="C1915" s="65" t="str">
        <f>IFERROR(__xludf.DUMMYFUNCTION("""COMPUTED_VALUE"""),"17:41")</f>
        <v>17:41</v>
      </c>
      <c r="D1915" s="65" t="str">
        <f>IFERROR(__xludf.DUMMYFUNCTION("""COMPUTED_VALUE"""),"12-01-2026")</f>
        <v>12-01-2026</v>
      </c>
      <c r="E1915" s="65" t="str">
        <f>IFERROR(__xludf.DUMMYFUNCTION("""COMPUTED_VALUE"""),"Jose Mejia")</f>
        <v>Jose Mejia</v>
      </c>
      <c r="F1915" s="65" t="str">
        <f>IFERROR(__xludf.DUMMYFUNCTION("""COMPUTED_VALUE"""),"992333026")</f>
        <v>992333026</v>
      </c>
      <c r="G1915" s="65"/>
      <c r="H1915" s="65"/>
      <c r="I1915" s="65"/>
      <c r="J1915" s="65"/>
      <c r="K1915" s="65" t="str">
        <f>IFERROR(__xludf.DUMMYFUNCTION("""COMPUTED_VALUE"""),"PENDIENTE CONFIRMACION")</f>
        <v>PENDIENTE CONFIRMACION</v>
      </c>
      <c r="L1915" s="65" t="str">
        <f>IFERROR(__xludf.DUMMYFUNCTION("""COMPUTED_VALUE"""),"CON RECAUDO")</f>
        <v>CON RECAUDO</v>
      </c>
      <c r="M1915" s="65" t="str">
        <f>IFERROR(__xludf.DUMMYFUNCTION("""COMPUTED_VALUE"""),"LOS RIOS")</f>
        <v>LOS RIOS</v>
      </c>
      <c r="N1915" s="65" t="str">
        <f>IFERROR(__xludf.DUMMYFUNCTION("""COMPUTED_VALUE"""),"PATRICIA PILAR")</f>
        <v>PATRICIA PILAR</v>
      </c>
      <c r="O1915" s="65" t="str">
        <f>IFERROR(__xludf.DUMMYFUNCTION("""COMPUTED_VALUE"""),"RETIRA EN CS PATRICIA PILAR_PRINCIPAL , AV 20 DE SEPTIEMBRE SN Y CALLE 3")</f>
        <v>RETIRA EN CS PATRICIA PILAR_PRINCIPAL , AV 20 DE SEPTIEMBRE SN Y CALLE 3</v>
      </c>
      <c r="P1915" s="65"/>
      <c r="Q1915" s="65" t="str">
        <f>IFERROR(__xludf.DUMMYFUNCTION("""COMPUTED_VALUE"""),"SERVIENTREGA")</f>
        <v>SERVIENTREGA</v>
      </c>
      <c r="R1915" s="65">
        <f>IFERROR(__xludf.DUMMYFUNCTION("""COMPUTED_VALUE"""),30.0)</f>
        <v>30</v>
      </c>
      <c r="S1915" s="65"/>
      <c r="T1915" s="65">
        <f>IFERROR(__xludf.DUMMYFUNCTION("""COMPUTED_VALUE"""),7.82)</f>
        <v>7.82</v>
      </c>
      <c r="U1915" s="65">
        <f>IFERROR(__xludf.DUMMYFUNCTION("""COMPUTED_VALUE"""),0.0)</f>
        <v>0</v>
      </c>
      <c r="V1915" s="65">
        <f>IFERROR(__xludf.DUMMYFUNCTION("""COMPUTED_VALUE"""),0.0)</f>
        <v>0</v>
      </c>
      <c r="W1915" s="65">
        <f>IFERROR(__xludf.DUMMYFUNCTION("""COMPUTED_VALUE"""),0.0)</f>
        <v>0</v>
      </c>
      <c r="X1915" s="65">
        <f>IFERROR(__xludf.DUMMYFUNCTION("""COMPUTED_VALUE"""),2.35)</f>
        <v>2.35</v>
      </c>
      <c r="Y1915" s="65">
        <f>IFERROR(__xludf.DUMMYFUNCTION("""COMPUTED_VALUE"""),7.05)</f>
        <v>7.05</v>
      </c>
      <c r="Z1915" s="65">
        <f>IFERROR(__xludf.DUMMYFUNCTION("""COMPUTED_VALUE"""),116679.0)</f>
        <v>116679</v>
      </c>
      <c r="AA1915" s="65" t="str">
        <f>IFERROR(__xludf.DUMMYFUNCTION("""COMPUTED_VALUE"""),"AMC-2738")</f>
        <v>AMC-2738</v>
      </c>
      <c r="AB1915" s="65"/>
      <c r="AC1915" s="65" t="str">
        <f>IFERROR(__xludf.DUMMYFUNCTION("""COMPUTED_VALUE"""),"ESPONJA ANTILLUVIA DE PARABRISAS")</f>
        <v>ESPONJA ANTILLUVIA DE PARABRISAS</v>
      </c>
      <c r="AD1915" s="65"/>
      <c r="AE1915" s="65">
        <f>IFERROR(__xludf.DUMMYFUNCTION("""COMPUTED_VALUE"""),3.0)</f>
        <v>3</v>
      </c>
      <c r="AF1915" s="65"/>
      <c r="AG1915" s="65"/>
      <c r="AH1915" s="65"/>
      <c r="AI1915" s="65"/>
      <c r="AJ1915" s="65"/>
      <c r="AK1915" s="65"/>
      <c r="AL1915" s="65"/>
      <c r="AM1915" s="65"/>
      <c r="AN1915" s="65"/>
      <c r="AO1915" s="65"/>
      <c r="AP1915" s="65"/>
      <c r="AQ1915" s="65"/>
      <c r="AR1915" s="65"/>
      <c r="AS1915" s="65"/>
      <c r="AT1915" s="65"/>
      <c r="AU1915" s="65"/>
      <c r="AV1915" s="65"/>
      <c r="AW1915" s="65"/>
      <c r="AX1915" s="65"/>
      <c r="AY1915" s="65"/>
      <c r="AZ1915" s="65"/>
      <c r="BA1915" s="65"/>
    </row>
    <row r="1916">
      <c r="A1916" s="65" t="str">
        <f>IFERROR(__xludf.DUMMYFUNCTION("""COMPUTED_VALUE"""),"27-03-2026")</f>
        <v>27-03-2026</v>
      </c>
      <c r="B1916" s="65">
        <f>IFERROR(__xludf.DUMMYFUNCTION("""COMPUTED_VALUE"""),4122164.0)</f>
        <v>4122164</v>
      </c>
      <c r="C1916" s="65" t="str">
        <f>IFERROR(__xludf.DUMMYFUNCTION("""COMPUTED_VALUE"""),"17:28")</f>
        <v>17:28</v>
      </c>
      <c r="D1916" s="65" t="str">
        <f>IFERROR(__xludf.DUMMYFUNCTION("""COMPUTED_VALUE"""),"12-01-2026")</f>
        <v>12-01-2026</v>
      </c>
      <c r="E1916" s="65" t="str">
        <f>IFERROR(__xludf.DUMMYFUNCTION("""COMPUTED_VALUE"""),"Mónica Macías Macias Vera")</f>
        <v>Mónica Macías Macias Vera</v>
      </c>
      <c r="F1916" s="65" t="str">
        <f>IFERROR(__xludf.DUMMYFUNCTION("""COMPUTED_VALUE"""),"985337794")</f>
        <v>985337794</v>
      </c>
      <c r="G1916" s="65" t="str">
        <f>IFERROR(__xludf.DUMMYFUNCTION("""COMPUTED_VALUE"""),"monik-2002-@hotmail.com")</f>
        <v>monik-2002-@hotmail.com</v>
      </c>
      <c r="H1916" s="65"/>
      <c r="I1916" s="65"/>
      <c r="J1916" s="65" t="str">
        <f>IFERROR(__xludf.DUMMYFUNCTION("""COMPUTED_VALUE"""),"D001218313")</f>
        <v>D001218313</v>
      </c>
      <c r="K1916" s="65" t="str">
        <f>IFERROR(__xludf.DUMMYFUNCTION("""COMPUTED_VALUE"""),"ENTREGADO")</f>
        <v>ENTREGADO</v>
      </c>
      <c r="L1916" s="65" t="str">
        <f>IFERROR(__xludf.DUMMYFUNCTION("""COMPUTED_VALUE"""),"CON RECAUDO")</f>
        <v>CON RECAUDO</v>
      </c>
      <c r="M1916" s="65" t="str">
        <f>IFERROR(__xludf.DUMMYFUNCTION("""COMPUTED_VALUE"""),"SANTO DOMINGO DE LOS TSACHILAS")</f>
        <v>SANTO DOMINGO DE LOS TSACHILAS</v>
      </c>
      <c r="N1916" s="65" t="str">
        <f>IFERROR(__xludf.DUMMYFUNCTION("""COMPUTED_VALUE"""),"SANTO DOMINGO")</f>
        <v>SANTO DOMINGO</v>
      </c>
      <c r="O1916" s="65" t="str">
        <f>IFERROR(__xludf.DUMMYFUNCTION("""COMPUTED_VALUE"""),"es en el bodegón de Cerámicas al Costo vía Quevedo km 2 y medio y  via Quevedo 230106")</f>
        <v>es en el bodegón de Cerámicas al Costo vía Quevedo km 2 y medio y  via Quevedo 230106</v>
      </c>
      <c r="P1916" s="65"/>
      <c r="Q1916" s="65" t="str">
        <f>IFERROR(__xludf.DUMMYFUNCTION("""COMPUTED_VALUE"""),"GINTRACOM")</f>
        <v>GINTRACOM</v>
      </c>
      <c r="R1916" s="65">
        <f>IFERROR(__xludf.DUMMYFUNCTION("""COMPUTED_VALUE"""),22.0)</f>
        <v>22</v>
      </c>
      <c r="S1916" s="65">
        <f>IFERROR(__xludf.DUMMYFUNCTION("""COMPUTED_VALUE"""),10.96)</f>
        <v>10.96</v>
      </c>
      <c r="T1916" s="65">
        <f>IFERROR(__xludf.DUMMYFUNCTION("""COMPUTED_VALUE"""),5.84)</f>
        <v>5.84</v>
      </c>
      <c r="U1916" s="65">
        <f>IFERROR(__xludf.DUMMYFUNCTION("""COMPUTED_VALUE"""),0.0)</f>
        <v>0</v>
      </c>
      <c r="V1916" s="65">
        <f>IFERROR(__xludf.DUMMYFUNCTION("""COMPUTED_VALUE"""),0.0)</f>
        <v>0</v>
      </c>
      <c r="W1916" s="65">
        <f>IFERROR(__xludf.DUMMYFUNCTION("""COMPUTED_VALUE"""),0.0)</f>
        <v>0</v>
      </c>
      <c r="X1916" s="65">
        <f>IFERROR(__xludf.DUMMYFUNCTION("""COMPUTED_VALUE"""),2.6)</f>
        <v>2.6</v>
      </c>
      <c r="Y1916" s="65">
        <f>IFERROR(__xludf.DUMMYFUNCTION("""COMPUTED_VALUE"""),5.2)</f>
        <v>5.2</v>
      </c>
      <c r="Z1916" s="65">
        <f>IFERROR(__xludf.DUMMYFUNCTION("""COMPUTED_VALUE"""),121983.0)</f>
        <v>121983</v>
      </c>
      <c r="AA1916" s="65" t="str">
        <f>IFERROR(__xludf.DUMMYFUNCTION("""COMPUTED_VALUE"""),"PROV-CHLLCF")</f>
        <v>PROV-CHLLCF</v>
      </c>
      <c r="AB1916" s="65"/>
      <c r="AC1916" s="65" t="str">
        <f>IFERROR(__xludf.DUMMYFUNCTION("""COMPUTED_VALUE"""),"CUCHILLO PARA CHEF")</f>
        <v>CUCHILLO PARA CHEF</v>
      </c>
      <c r="AD1916" s="65"/>
      <c r="AE1916" s="65">
        <f>IFERROR(__xludf.DUMMYFUNCTION("""COMPUTED_VALUE"""),2.0)</f>
        <v>2</v>
      </c>
      <c r="AF1916" s="65" t="str">
        <f>IFERROR(__xludf.DUMMYFUNCTION("""COMPUTED_VALUE"""),"DESTINATARIO INDICA QUE SE ENCUENTRA FUERA DE LA CIUDAD")</f>
        <v>DESTINATARIO INDICA QUE SE ENCUENTRA FUERA DE LA CIUDAD</v>
      </c>
      <c r="AG1916" s="65" t="str">
        <f>IFERROR(__xludf.DUMMYFUNCTION("""COMPUTED_VALUE"""),"SI")</f>
        <v>SI</v>
      </c>
      <c r="AH1916" s="65" t="str">
        <f>IFERROR(__xludf.DUMMYFUNCTION("""COMPUTED_VALUE"""),"08:33")</f>
        <v>08:33</v>
      </c>
      <c r="AI1916" s="65" t="str">
        <f>IFERROR(__xludf.DUMMYFUNCTION("""COMPUTED_VALUE"""),"19-01-2026")</f>
        <v>19-01-2026</v>
      </c>
      <c r="AJ1916" s="65"/>
      <c r="AK1916" s="65"/>
      <c r="AL1916" s="65"/>
      <c r="AM1916" s="65"/>
      <c r="AN1916" s="65" t="str">
        <f>IFERROR(__xludf.DUMMYFUNCTION("""COMPUTED_VALUE"""),"09:54")</f>
        <v>09:54</v>
      </c>
      <c r="AO1916" s="65" t="str">
        <f>IFERROR(__xludf.DUMMYFUNCTION("""COMPUTED_VALUE"""),"21-01-2026")</f>
        <v>21-01-2026</v>
      </c>
      <c r="AP1916" s="65" t="str">
        <f>IFERROR(__xludf.DUMMYFUNCTION("""COMPUTED_VALUE"""),"ENTREGADA GINTRACOM")</f>
        <v>ENTREGADA GINTRACOM</v>
      </c>
      <c r="AQ1916" s="65" t="str">
        <f>IFERROR(__xludf.DUMMYFUNCTION("""COMPUTED_VALUE"""),"ENTREGADA GINTRACOM")</f>
        <v>ENTREGADA GINTRACOM</v>
      </c>
      <c r="AR1916" s="65"/>
      <c r="AS1916" s="65"/>
      <c r="AT1916" s="65" t="str">
        <f>IFERROR(__xludf.DUMMYFUNCTION("""COMPUTED_VALUE"""),"SHOPIFY")</f>
        <v>SHOPIFY</v>
      </c>
      <c r="AU1916" s="65" t="str">
        <f>IFERROR(__xludf.DUMMYFUNCTION("""COMPUTED_VALUE"""),"IMPORTEX EC")</f>
        <v>IMPORTEX EC</v>
      </c>
      <c r="AV1916" s="65" t="str">
        <f>IFERROR(__xludf.DUMMYFUNCTION("""COMPUTED_VALUE"""),"6403850108972")</f>
        <v>6403850108972</v>
      </c>
      <c r="AW1916" s="65">
        <f>IFERROR(__xludf.DUMMYFUNCTION("""COMPUTED_VALUE"""),4805.0)</f>
        <v>4805</v>
      </c>
      <c r="AX1916" s="65"/>
      <c r="AY1916" s="65" t="str">
        <f>IFERROR(__xludf.DUMMYFUNCTION("""COMPUTED_VALUE"""),"13/01/2026")</f>
        <v>13/01/2026</v>
      </c>
      <c r="AZ1916" s="65"/>
      <c r="BA1916" s="65"/>
    </row>
    <row r="1917">
      <c r="A1917" s="65" t="str">
        <f>IFERROR(__xludf.DUMMYFUNCTION("""COMPUTED_VALUE"""),"27-03-2026")</f>
        <v>27-03-2026</v>
      </c>
      <c r="B1917" s="65">
        <f>IFERROR(__xludf.DUMMYFUNCTION("""COMPUTED_VALUE"""),4122118.0)</f>
        <v>4122118</v>
      </c>
      <c r="C1917" s="65" t="str">
        <f>IFERROR(__xludf.DUMMYFUNCTION("""COMPUTED_VALUE"""),"17:23")</f>
        <v>17:23</v>
      </c>
      <c r="D1917" s="65" t="str">
        <f>IFERROR(__xludf.DUMMYFUNCTION("""COMPUTED_VALUE"""),"12-01-2026")</f>
        <v>12-01-2026</v>
      </c>
      <c r="E1917" s="65" t="str">
        <f>IFERROR(__xludf.DUMMYFUNCTION("""COMPUTED_VALUE"""),"Oswaldo Yaucan")</f>
        <v>Oswaldo Yaucan</v>
      </c>
      <c r="F1917" s="65" t="str">
        <f>IFERROR(__xludf.DUMMYFUNCTION("""COMPUTED_VALUE"""),"983250802")</f>
        <v>983250802</v>
      </c>
      <c r="G1917" s="65" t="str">
        <f>IFERROR(__xludf.DUMMYFUNCTION("""COMPUTED_VALUE"""),"frutyleg_777@hotmail.com")</f>
        <v>frutyleg_777@hotmail.com</v>
      </c>
      <c r="H1917" s="65"/>
      <c r="I1917" s="65"/>
      <c r="J1917" s="65" t="str">
        <f>IFERROR(__xludf.DUMMYFUNCTION("""COMPUTED_VALUE"""),"D001277212")</f>
        <v>D001277212</v>
      </c>
      <c r="K1917" s="65" t="str">
        <f>IFERROR(__xludf.DUMMYFUNCTION("""COMPUTED_VALUE"""),"DEVOLUCION")</f>
        <v>DEVOLUCION</v>
      </c>
      <c r="L1917" s="65" t="str">
        <f>IFERROR(__xludf.DUMMYFUNCTION("""COMPUTED_VALUE"""),"CON RECAUDO")</f>
        <v>CON RECAUDO</v>
      </c>
      <c r="M1917" s="65" t="str">
        <f>IFERROR(__xludf.DUMMYFUNCTION("""COMPUTED_VALUE"""),"PICHINCHA")</f>
        <v>PICHINCHA</v>
      </c>
      <c r="N1917" s="65" t="str">
        <f>IFERROR(__xludf.DUMMYFUNCTION("""COMPUTED_VALUE"""),"QUITO")</f>
        <v>QUITO</v>
      </c>
      <c r="O1917" s="65" t="str">
        <f>IFERROR(__xludf.DUMMYFUNCTION("""COMPUTED_VALUE"""),"Sector Chillogallo - Barrio Santa Martha - Calle Profeta Habacuc y Calle Oe12B")</f>
        <v>Sector Chillogallo - Barrio Santa Martha - Calle Profeta Habacuc y Calle Oe12B</v>
      </c>
      <c r="P1917" s="65"/>
      <c r="Q1917" s="65" t="str">
        <f>IFERROR(__xludf.DUMMYFUNCTION("""COMPUTED_VALUE"""),"GINTRACOM")</f>
        <v>GINTRACOM</v>
      </c>
      <c r="R1917" s="65">
        <f>IFERROR(__xludf.DUMMYFUNCTION("""COMPUTED_VALUE"""),20.0)</f>
        <v>20</v>
      </c>
      <c r="S1917" s="65"/>
      <c r="T1917" s="65">
        <f>IFERROR(__xludf.DUMMYFUNCTION("""COMPUTED_VALUE"""),4.15)</f>
        <v>4.15</v>
      </c>
      <c r="U1917" s="65">
        <f>IFERROR(__xludf.DUMMYFUNCTION("""COMPUTED_VALUE"""),0.0)</f>
        <v>0</v>
      </c>
      <c r="V1917" s="65">
        <f>IFERROR(__xludf.DUMMYFUNCTION("""COMPUTED_VALUE"""),0.0)</f>
        <v>0</v>
      </c>
      <c r="W1917" s="65">
        <f>IFERROR(__xludf.DUMMYFUNCTION("""COMPUTED_VALUE"""),0.0)</f>
        <v>0</v>
      </c>
      <c r="X1917" s="65">
        <f>IFERROR(__xludf.DUMMYFUNCTION("""COMPUTED_VALUE"""),2.35)</f>
        <v>2.35</v>
      </c>
      <c r="Y1917" s="65">
        <f>IFERROR(__xludf.DUMMYFUNCTION("""COMPUTED_VALUE"""),2.35)</f>
        <v>2.35</v>
      </c>
      <c r="Z1917" s="65">
        <f>IFERROR(__xludf.DUMMYFUNCTION("""COMPUTED_VALUE"""),116679.0)</f>
        <v>116679</v>
      </c>
      <c r="AA1917" s="65" t="str">
        <f>IFERROR(__xludf.DUMMYFUNCTION("""COMPUTED_VALUE"""),"AMC-2738")</f>
        <v>AMC-2738</v>
      </c>
      <c r="AB1917" s="65"/>
      <c r="AC1917" s="65" t="str">
        <f>IFERROR(__xludf.DUMMYFUNCTION("""COMPUTED_VALUE"""),"ESPONJA ANTILLUVIA DE PARABRISAS")</f>
        <v>ESPONJA ANTILLUVIA DE PARABRISAS</v>
      </c>
      <c r="AD1917" s="65"/>
      <c r="AE1917" s="65">
        <f>IFERROR(__xludf.DUMMYFUNCTION("""COMPUTED_VALUE"""),1.0)</f>
        <v>1</v>
      </c>
      <c r="AF1917" s="65" t="str">
        <f>IFERROR(__xludf.DUMMYFUNCTION("""COMPUTED_VALUE"""),"DESTINATARIO INDICA QUE YA NO DESEA EL PRODUCTO")</f>
        <v>DESTINATARIO INDICA QUE YA NO DESEA EL PRODUCTO</v>
      </c>
      <c r="AG1917" s="65" t="str">
        <f>IFERROR(__xludf.DUMMYFUNCTION("""COMPUTED_VALUE"""),"NO")</f>
        <v>NO</v>
      </c>
      <c r="AH1917" s="65" t="str">
        <f>IFERROR(__xludf.DUMMYFUNCTION("""COMPUTED_VALUE"""),"10:18")</f>
        <v>10:18</v>
      </c>
      <c r="AI1917" s="65" t="str">
        <f>IFERROR(__xludf.DUMMYFUNCTION("""COMPUTED_VALUE"""),"02-02-2026")</f>
        <v>02-02-2026</v>
      </c>
      <c r="AJ1917" s="65"/>
      <c r="AK1917" s="65"/>
      <c r="AL1917" s="65"/>
      <c r="AM1917" s="65"/>
      <c r="AN1917" s="65" t="str">
        <f>IFERROR(__xludf.DUMMYFUNCTION("""COMPUTED_VALUE"""),"13:18")</f>
        <v>13:18</v>
      </c>
      <c r="AO1917" s="65" t="str">
        <f>IFERROR(__xludf.DUMMYFUNCTION("""COMPUTED_VALUE"""),"17-02-2026")</f>
        <v>17-02-2026</v>
      </c>
      <c r="AP1917" s="65" t="str">
        <f>IFERROR(__xludf.DUMMYFUNCTION("""COMPUTED_VALUE"""),"DEVOLUCIÓN ENTREGADA A ORIGEN")</f>
        <v>DEVOLUCIÓN ENTREGADA A ORIGEN</v>
      </c>
      <c r="AQ1917" s="65" t="str">
        <f>IFERROR(__xludf.DUMMYFUNCTION("""COMPUTED_VALUE"""),"DEVOLUCIÓN ENTREGADA A ORIGEN")</f>
        <v>DEVOLUCIÓN ENTREGADA A ORIGEN</v>
      </c>
      <c r="AR1917" s="65"/>
      <c r="AS1917" s="65"/>
      <c r="AT1917" s="65" t="str">
        <f>IFERROR(__xludf.DUMMYFUNCTION("""COMPUTED_VALUE"""),"SHOPIFY")</f>
        <v>SHOPIFY</v>
      </c>
      <c r="AU1917" s="65" t="str">
        <f>IFERROR(__xludf.DUMMYFUNCTION("""COMPUTED_VALUE"""),"IMPORTEX EC")</f>
        <v>IMPORTEX EC</v>
      </c>
      <c r="AV1917" s="65" t="str">
        <f>IFERROR(__xludf.DUMMYFUNCTION("""COMPUTED_VALUE"""),"6405422907436")</f>
        <v>6405422907436</v>
      </c>
      <c r="AW1917" s="65">
        <f>IFERROR(__xludf.DUMMYFUNCTION("""COMPUTED_VALUE"""),4876.0)</f>
        <v>4876</v>
      </c>
      <c r="AX1917" s="65"/>
      <c r="AY1917" s="65" t="str">
        <f>IFERROR(__xludf.DUMMYFUNCTION("""COMPUTED_VALUE"""),"30/01/2026")</f>
        <v>30/01/2026</v>
      </c>
      <c r="AZ1917" s="65"/>
      <c r="BA1917" s="65"/>
    </row>
    <row r="1918">
      <c r="A1918" s="65" t="str">
        <f>IFERROR(__xludf.DUMMYFUNCTION("""COMPUTED_VALUE"""),"27-03-2026")</f>
        <v>27-03-2026</v>
      </c>
      <c r="B1918" s="65">
        <f>IFERROR(__xludf.DUMMYFUNCTION("""COMPUTED_VALUE"""),4122077.0)</f>
        <v>4122077</v>
      </c>
      <c r="C1918" s="65" t="str">
        <f>IFERROR(__xludf.DUMMYFUNCTION("""COMPUTED_VALUE"""),"17:18")</f>
        <v>17:18</v>
      </c>
      <c r="D1918" s="65" t="str">
        <f>IFERROR(__xludf.DUMMYFUNCTION("""COMPUTED_VALUE"""),"12-01-2026")</f>
        <v>12-01-2026</v>
      </c>
      <c r="E1918" s="65" t="str">
        <f>IFERROR(__xludf.DUMMYFUNCTION("""COMPUTED_VALUE"""),"Monica Mayalica")</f>
        <v>Monica Mayalica</v>
      </c>
      <c r="F1918" s="65" t="str">
        <f>IFERROR(__xludf.DUMMYFUNCTION("""COMPUTED_VALUE"""),"961895769")</f>
        <v>961895769</v>
      </c>
      <c r="G1918" s="65" t="str">
        <f>IFERROR(__xludf.DUMMYFUNCTION("""COMPUTED_VALUE"""),"monni062925@gmail.com")</f>
        <v>monni062925@gmail.com</v>
      </c>
      <c r="H1918" s="65"/>
      <c r="I1918" s="65"/>
      <c r="J1918" s="65" t="str">
        <f>IFERROR(__xludf.DUMMYFUNCTION("""COMPUTED_VALUE"""),"D001251057")</f>
        <v>D001251057</v>
      </c>
      <c r="K1918" s="65" t="str">
        <f>IFERROR(__xludf.DUMMYFUNCTION("""COMPUTED_VALUE"""),"DEVOLUCION")</f>
        <v>DEVOLUCION</v>
      </c>
      <c r="L1918" s="65" t="str">
        <f>IFERROR(__xludf.DUMMYFUNCTION("""COMPUTED_VALUE"""),"CON RECAUDO")</f>
        <v>CON RECAUDO</v>
      </c>
      <c r="M1918" s="65" t="str">
        <f>IFERROR(__xludf.DUMMYFUNCTION("""COMPUTED_VALUE"""),"ORELLANA")</f>
        <v>ORELLANA</v>
      </c>
      <c r="N1918" s="65" t="str">
        <f>IFERROR(__xludf.DUMMYFUNCTION("""COMPUTED_VALUE"""),"EL COCA")</f>
        <v>EL COCA</v>
      </c>
      <c r="O1918" s="65" t="str">
        <f>IFERROR(__xludf.DUMMYFUNCTION("""COMPUTED_VALUE"""),"6 de diciembre y Simon Bolívar Barrio 24 de mayo -")</f>
        <v>6 de diciembre y Simon Bolívar Barrio 24 de mayo -</v>
      </c>
      <c r="P1918" s="65"/>
      <c r="Q1918" s="65" t="str">
        <f>IFERROR(__xludf.DUMMYFUNCTION("""COMPUTED_VALUE"""),"GINTRACOM")</f>
        <v>GINTRACOM</v>
      </c>
      <c r="R1918" s="65">
        <f>IFERROR(__xludf.DUMMYFUNCTION("""COMPUTED_VALUE"""),25.0)</f>
        <v>25</v>
      </c>
      <c r="S1918" s="65"/>
      <c r="T1918" s="65">
        <f>IFERROR(__xludf.DUMMYFUNCTION("""COMPUTED_VALUE"""),5.96)</f>
        <v>5.96</v>
      </c>
      <c r="U1918" s="65">
        <f>IFERROR(__xludf.DUMMYFUNCTION("""COMPUTED_VALUE"""),0.0)</f>
        <v>0</v>
      </c>
      <c r="V1918" s="65">
        <f>IFERROR(__xludf.DUMMYFUNCTION("""COMPUTED_VALUE"""),0.0)</f>
        <v>0</v>
      </c>
      <c r="W1918" s="65">
        <f>IFERROR(__xludf.DUMMYFUNCTION("""COMPUTED_VALUE"""),0.0)</f>
        <v>0</v>
      </c>
      <c r="X1918" s="65">
        <f>IFERROR(__xludf.DUMMYFUNCTION("""COMPUTED_VALUE"""),2.35)</f>
        <v>2.35</v>
      </c>
      <c r="Y1918" s="65">
        <f>IFERROR(__xludf.DUMMYFUNCTION("""COMPUTED_VALUE"""),4.7)</f>
        <v>4.7</v>
      </c>
      <c r="Z1918" s="65">
        <f>IFERROR(__xludf.DUMMYFUNCTION("""COMPUTED_VALUE"""),116679.0)</f>
        <v>116679</v>
      </c>
      <c r="AA1918" s="65" t="str">
        <f>IFERROR(__xludf.DUMMYFUNCTION("""COMPUTED_VALUE"""),"AMC-2738")</f>
        <v>AMC-2738</v>
      </c>
      <c r="AB1918" s="65"/>
      <c r="AC1918" s="65" t="str">
        <f>IFERROR(__xludf.DUMMYFUNCTION("""COMPUTED_VALUE"""),"ESPONJA ANTILLUVIA DE PARABRISAS")</f>
        <v>ESPONJA ANTILLUVIA DE PARABRISAS</v>
      </c>
      <c r="AD1918" s="65"/>
      <c r="AE1918" s="65">
        <f>IFERROR(__xludf.DUMMYFUNCTION("""COMPUTED_VALUE"""),2.0)</f>
        <v>2</v>
      </c>
      <c r="AF1918" s="65" t="str">
        <f>IFERROR(__xludf.DUMMYFUNCTION("""COMPUTED_VALUE"""),"DESTINATARIO NO CONTESTA LLAMADAS NI WHATSAPP")</f>
        <v>DESTINATARIO NO CONTESTA LLAMADAS NI WHATSAPP</v>
      </c>
      <c r="AG1918" s="65" t="str">
        <f>IFERROR(__xludf.DUMMYFUNCTION("""COMPUTED_VALUE"""),"NO")</f>
        <v>NO</v>
      </c>
      <c r="AH1918" s="65" t="str">
        <f>IFERROR(__xludf.DUMMYFUNCTION("""COMPUTED_VALUE"""),"09:00")</f>
        <v>09:00</v>
      </c>
      <c r="AI1918" s="65" t="str">
        <f>IFERROR(__xludf.DUMMYFUNCTION("""COMPUTED_VALUE"""),"03-02-2026")</f>
        <v>03-02-2026</v>
      </c>
      <c r="AJ1918" s="65"/>
      <c r="AK1918" s="65"/>
      <c r="AL1918" s="65"/>
      <c r="AM1918" s="65"/>
      <c r="AN1918" s="65" t="str">
        <f>IFERROR(__xludf.DUMMYFUNCTION("""COMPUTED_VALUE"""),"13:18")</f>
        <v>13:18</v>
      </c>
      <c r="AO1918" s="65" t="str">
        <f>IFERROR(__xludf.DUMMYFUNCTION("""COMPUTED_VALUE"""),"17-02-2026")</f>
        <v>17-02-2026</v>
      </c>
      <c r="AP1918" s="65" t="str">
        <f>IFERROR(__xludf.DUMMYFUNCTION("""COMPUTED_VALUE"""),"DEVOLUCIÓN ENTREGADA A ORIGEN")</f>
        <v>DEVOLUCIÓN ENTREGADA A ORIGEN</v>
      </c>
      <c r="AQ1918" s="65" t="str">
        <f>IFERROR(__xludf.DUMMYFUNCTION("""COMPUTED_VALUE"""),"DEVOLUCIÓN ENTREGADA A ORIGEN")</f>
        <v>DEVOLUCIÓN ENTREGADA A ORIGEN</v>
      </c>
      <c r="AR1918" s="65"/>
      <c r="AS1918" s="65"/>
      <c r="AT1918" s="65" t="str">
        <f>IFERROR(__xludf.DUMMYFUNCTION("""COMPUTED_VALUE"""),"SHOPIFY")</f>
        <v>SHOPIFY</v>
      </c>
      <c r="AU1918" s="65" t="str">
        <f>IFERROR(__xludf.DUMMYFUNCTION("""COMPUTED_VALUE"""),"IMPORTEX EC")</f>
        <v>IMPORTEX EC</v>
      </c>
      <c r="AV1918" s="65" t="str">
        <f>IFERROR(__xludf.DUMMYFUNCTION("""COMPUTED_VALUE"""),"6404552818732")</f>
        <v>6404552818732</v>
      </c>
      <c r="AW1918" s="65">
        <f>IFERROR(__xludf.DUMMYFUNCTION("""COMPUTED_VALUE"""),4830.0)</f>
        <v>4830</v>
      </c>
      <c r="AX1918" s="65"/>
      <c r="AY1918" s="65" t="str">
        <f>IFERROR(__xludf.DUMMYFUNCTION("""COMPUTED_VALUE"""),"22/01/2026")</f>
        <v>22/01/2026</v>
      </c>
      <c r="AZ1918" s="65"/>
      <c r="BA1918" s="65"/>
    </row>
    <row r="1919">
      <c r="A1919" s="65" t="str">
        <f>IFERROR(__xludf.DUMMYFUNCTION("""COMPUTED_VALUE"""),"27-03-2026")</f>
        <v>27-03-2026</v>
      </c>
      <c r="B1919" s="65">
        <f>IFERROR(__xludf.DUMMYFUNCTION("""COMPUTED_VALUE"""),4122031.0)</f>
        <v>4122031</v>
      </c>
      <c r="C1919" s="65" t="str">
        <f>IFERROR(__xludf.DUMMYFUNCTION("""COMPUTED_VALUE"""),"17:14")</f>
        <v>17:14</v>
      </c>
      <c r="D1919" s="65" t="str">
        <f>IFERROR(__xludf.DUMMYFUNCTION("""COMPUTED_VALUE"""),"12-01-2026")</f>
        <v>12-01-2026</v>
      </c>
      <c r="E1919" s="65" t="str">
        <f>IFERROR(__xludf.DUMMYFUNCTION("""COMPUTED_VALUE"""),"Gabriel Cartagena")</f>
        <v>Gabriel Cartagena</v>
      </c>
      <c r="F1919" s="65" t="str">
        <f>IFERROR(__xludf.DUMMYFUNCTION("""COMPUTED_VALUE"""),"997460249")</f>
        <v>997460249</v>
      </c>
      <c r="G1919" s="65" t="str">
        <f>IFERROR(__xludf.DUMMYFUNCTION("""COMPUTED_VALUE"""),"gabrielcartagena2012@gmail.com")</f>
        <v>gabrielcartagena2012@gmail.com</v>
      </c>
      <c r="H1919" s="65"/>
      <c r="I1919" s="65"/>
      <c r="J1919" s="65" t="str">
        <f>IFERROR(__xludf.DUMMYFUNCTION("""COMPUTED_VALUE"""),"D001219527")</f>
        <v>D001219527</v>
      </c>
      <c r="K1919" s="65" t="str">
        <f>IFERROR(__xludf.DUMMYFUNCTION("""COMPUTED_VALUE"""),"ENTREGADO")</f>
        <v>ENTREGADO</v>
      </c>
      <c r="L1919" s="65" t="str">
        <f>IFERROR(__xludf.DUMMYFUNCTION("""COMPUTED_VALUE"""),"CON RECAUDO")</f>
        <v>CON RECAUDO</v>
      </c>
      <c r="M1919" s="65" t="str">
        <f>IFERROR(__xludf.DUMMYFUNCTION("""COMPUTED_VALUE"""),"PICHINCHA")</f>
        <v>PICHINCHA</v>
      </c>
      <c r="N1919" s="65" t="str">
        <f>IFERROR(__xludf.DUMMYFUNCTION("""COMPUTED_VALUE"""),"CALDERON")</f>
        <v>CALDERON</v>
      </c>
      <c r="O1919" s="65" t="str">
        <f>IFERROR(__xludf.DUMMYFUNCTION("""COMPUTED_VALUE"""),"Tupac Yupanqui y apo capac Casa tuya frente al UPC -")</f>
        <v>Tupac Yupanqui y apo capac Casa tuya frente al UPC -</v>
      </c>
      <c r="P1919" s="65"/>
      <c r="Q1919" s="65" t="str">
        <f>IFERROR(__xludf.DUMMYFUNCTION("""COMPUTED_VALUE"""),"GINTRACOM")</f>
        <v>GINTRACOM</v>
      </c>
      <c r="R1919" s="65">
        <f>IFERROR(__xludf.DUMMYFUNCTION("""COMPUTED_VALUE"""),30.0)</f>
        <v>30</v>
      </c>
      <c r="S1919" s="65">
        <f>IFERROR(__xludf.DUMMYFUNCTION("""COMPUTED_VALUE"""),17.83)</f>
        <v>17.83</v>
      </c>
      <c r="T1919" s="65">
        <f>IFERROR(__xludf.DUMMYFUNCTION("""COMPUTED_VALUE"""),5.12)</f>
        <v>5.12</v>
      </c>
      <c r="U1919" s="65">
        <f>IFERROR(__xludf.DUMMYFUNCTION("""COMPUTED_VALUE"""),0.0)</f>
        <v>0</v>
      </c>
      <c r="V1919" s="65">
        <f>IFERROR(__xludf.DUMMYFUNCTION("""COMPUTED_VALUE"""),0.0)</f>
        <v>0</v>
      </c>
      <c r="W1919" s="65">
        <f>IFERROR(__xludf.DUMMYFUNCTION("""COMPUTED_VALUE"""),0.0)</f>
        <v>0</v>
      </c>
      <c r="X1919" s="65">
        <f>IFERROR(__xludf.DUMMYFUNCTION("""COMPUTED_VALUE"""),2.35)</f>
        <v>2.35</v>
      </c>
      <c r="Y1919" s="65">
        <f>IFERROR(__xludf.DUMMYFUNCTION("""COMPUTED_VALUE"""),7.05)</f>
        <v>7.05</v>
      </c>
      <c r="Z1919" s="65">
        <f>IFERROR(__xludf.DUMMYFUNCTION("""COMPUTED_VALUE"""),116679.0)</f>
        <v>116679</v>
      </c>
      <c r="AA1919" s="65" t="str">
        <f>IFERROR(__xludf.DUMMYFUNCTION("""COMPUTED_VALUE"""),"AMC-2738")</f>
        <v>AMC-2738</v>
      </c>
      <c r="AB1919" s="65"/>
      <c r="AC1919" s="65" t="str">
        <f>IFERROR(__xludf.DUMMYFUNCTION("""COMPUTED_VALUE"""),"ESPONJA ANTILLUVIA DE PARABRISAS")</f>
        <v>ESPONJA ANTILLUVIA DE PARABRISAS</v>
      </c>
      <c r="AD1919" s="65"/>
      <c r="AE1919" s="65">
        <f>IFERROR(__xludf.DUMMYFUNCTION("""COMPUTED_VALUE"""),3.0)</f>
        <v>3</v>
      </c>
      <c r="AF1919" s="65"/>
      <c r="AG1919" s="65"/>
      <c r="AH1919" s="65"/>
      <c r="AI1919" s="65"/>
      <c r="AJ1919" s="65"/>
      <c r="AK1919" s="65"/>
      <c r="AL1919" s="65"/>
      <c r="AM1919" s="65"/>
      <c r="AN1919" s="65" t="str">
        <f>IFERROR(__xludf.DUMMYFUNCTION("""COMPUTED_VALUE"""),"17:28")</f>
        <v>17:28</v>
      </c>
      <c r="AO1919" s="65" t="str">
        <f>IFERROR(__xludf.DUMMYFUNCTION("""COMPUTED_VALUE"""),"15-01-2026")</f>
        <v>15-01-2026</v>
      </c>
      <c r="AP1919" s="65" t="str">
        <f>IFERROR(__xludf.DUMMYFUNCTION("""COMPUTED_VALUE"""),"ENTREGADA GINTRACOM")</f>
        <v>ENTREGADA GINTRACOM</v>
      </c>
      <c r="AQ1919" s="65" t="str">
        <f>IFERROR(__xludf.DUMMYFUNCTION("""COMPUTED_VALUE"""),"ENTREGADA GINTRACOM")</f>
        <v>ENTREGADA GINTRACOM</v>
      </c>
      <c r="AR1919" s="65"/>
      <c r="AS1919" s="65"/>
      <c r="AT1919" s="65" t="str">
        <f>IFERROR(__xludf.DUMMYFUNCTION("""COMPUTED_VALUE"""),"SHOPIFY")</f>
        <v>SHOPIFY</v>
      </c>
      <c r="AU1919" s="65" t="str">
        <f>IFERROR(__xludf.DUMMYFUNCTION("""COMPUTED_VALUE"""),"IMPORTEX EC")</f>
        <v>IMPORTEX EC</v>
      </c>
      <c r="AV1919" s="65" t="str">
        <f>IFERROR(__xludf.DUMMYFUNCTION("""COMPUTED_VALUE"""),"6409857204268")</f>
        <v>6409857204268</v>
      </c>
      <c r="AW1919" s="65">
        <f>IFERROR(__xludf.DUMMYFUNCTION("""COMPUTED_VALUE"""),5046.0)</f>
        <v>5046</v>
      </c>
      <c r="AX1919" s="65"/>
      <c r="AY1919" s="65" t="str">
        <f>IFERROR(__xludf.DUMMYFUNCTION("""COMPUTED_VALUE"""),"13/01/2026")</f>
        <v>13/01/2026</v>
      </c>
      <c r="AZ1919" s="65"/>
      <c r="BA1919" s="65"/>
    </row>
    <row r="1920">
      <c r="A1920" s="65" t="str">
        <f>IFERROR(__xludf.DUMMYFUNCTION("""COMPUTED_VALUE"""),"27-03-2026")</f>
        <v>27-03-2026</v>
      </c>
      <c r="B1920" s="65">
        <f>IFERROR(__xludf.DUMMYFUNCTION("""COMPUTED_VALUE"""),4122017.0)</f>
        <v>4122017</v>
      </c>
      <c r="C1920" s="65" t="str">
        <f>IFERROR(__xludf.DUMMYFUNCTION("""COMPUTED_VALUE"""),"17:13")</f>
        <v>17:13</v>
      </c>
      <c r="D1920" s="65" t="str">
        <f>IFERROR(__xludf.DUMMYFUNCTION("""COMPUTED_VALUE"""),"12-01-2026")</f>
        <v>12-01-2026</v>
      </c>
      <c r="E1920" s="65" t="str">
        <f>IFERROR(__xludf.DUMMYFUNCTION("""COMPUTED_VALUE"""),"Edelmar Baquero")</f>
        <v>Edelmar Baquero</v>
      </c>
      <c r="F1920" s="65" t="str">
        <f>IFERROR(__xludf.DUMMYFUNCTION("""COMPUTED_VALUE"""),"963053741")</f>
        <v>963053741</v>
      </c>
      <c r="G1920" s="65" t="str">
        <f>IFERROR(__xludf.DUMMYFUNCTION("""COMPUTED_VALUE"""),"edelmarbaquerovallejo@gmail.com")</f>
        <v>edelmarbaquerovallejo@gmail.com</v>
      </c>
      <c r="H1920" s="65"/>
      <c r="I1920" s="65"/>
      <c r="J1920" s="65" t="str">
        <f>IFERROR(__xludf.DUMMYFUNCTION("""COMPUTED_VALUE"""),"D001250504")</f>
        <v>D001250504</v>
      </c>
      <c r="K1920" s="65" t="str">
        <f>IFERROR(__xludf.DUMMYFUNCTION("""COMPUTED_VALUE"""),"DEVOLUCION")</f>
        <v>DEVOLUCION</v>
      </c>
      <c r="L1920" s="65" t="str">
        <f>IFERROR(__xludf.DUMMYFUNCTION("""COMPUTED_VALUE"""),"CON RECAUDO")</f>
        <v>CON RECAUDO</v>
      </c>
      <c r="M1920" s="65" t="str">
        <f>IFERROR(__xludf.DUMMYFUNCTION("""COMPUTED_VALUE"""),"PICHINCHA")</f>
        <v>PICHINCHA</v>
      </c>
      <c r="N1920" s="65" t="str">
        <f>IFERROR(__xludf.DUMMYFUNCTION("""COMPUTED_VALUE"""),"QUITO")</f>
        <v>QUITO</v>
      </c>
      <c r="O1920" s="65" t="str">
        <f>IFERROR(__xludf.DUMMYFUNCTION("""COMPUTED_VALUE"""),"Maldonado S8-10 y Pedro de Alfaro Chimbacalle -")</f>
        <v>Maldonado S8-10 y Pedro de Alfaro Chimbacalle -</v>
      </c>
      <c r="P1920" s="65"/>
      <c r="Q1920" s="65" t="str">
        <f>IFERROR(__xludf.DUMMYFUNCTION("""COMPUTED_VALUE"""),"GINTRACOM")</f>
        <v>GINTRACOM</v>
      </c>
      <c r="R1920" s="65">
        <f>IFERROR(__xludf.DUMMYFUNCTION("""COMPUTED_VALUE"""),27.0)</f>
        <v>27</v>
      </c>
      <c r="S1920" s="65"/>
      <c r="T1920" s="65">
        <f>IFERROR(__xludf.DUMMYFUNCTION("""COMPUTED_VALUE"""),6.03)</f>
        <v>6.03</v>
      </c>
      <c r="U1920" s="65">
        <f>IFERROR(__xludf.DUMMYFUNCTION("""COMPUTED_VALUE"""),0.0)</f>
        <v>0</v>
      </c>
      <c r="V1920" s="65">
        <f>IFERROR(__xludf.DUMMYFUNCTION("""COMPUTED_VALUE"""),0.0)</f>
        <v>0</v>
      </c>
      <c r="W1920" s="65">
        <f>IFERROR(__xludf.DUMMYFUNCTION("""COMPUTED_VALUE"""),0.0)</f>
        <v>0</v>
      </c>
      <c r="X1920" s="65">
        <f>IFERROR(__xludf.DUMMYFUNCTION("""COMPUTED_VALUE"""),2.6)</f>
        <v>2.6</v>
      </c>
      <c r="Y1920" s="65">
        <f>IFERROR(__xludf.DUMMYFUNCTION("""COMPUTED_VALUE"""),7.8)</f>
        <v>7.8</v>
      </c>
      <c r="Z1920" s="65">
        <f>IFERROR(__xludf.DUMMYFUNCTION("""COMPUTED_VALUE"""),121983.0)</f>
        <v>121983</v>
      </c>
      <c r="AA1920" s="65" t="str">
        <f>IFERROR(__xludf.DUMMYFUNCTION("""COMPUTED_VALUE"""),"PROV-CHLLCF")</f>
        <v>PROV-CHLLCF</v>
      </c>
      <c r="AB1920" s="65"/>
      <c r="AC1920" s="65" t="str">
        <f>IFERROR(__xludf.DUMMYFUNCTION("""COMPUTED_VALUE"""),"CUCHILLO PARA CHEF")</f>
        <v>CUCHILLO PARA CHEF</v>
      </c>
      <c r="AD1920" s="65"/>
      <c r="AE1920" s="65">
        <f>IFERROR(__xludf.DUMMYFUNCTION("""COMPUTED_VALUE"""),3.0)</f>
        <v>3</v>
      </c>
      <c r="AF1920" s="65" t="str">
        <f>IFERROR(__xludf.DUMMYFUNCTION("""COMPUTED_VALUE"""),"DESTINATARIO NO CONTESTA LLAMADAS NI WHATSAPP")</f>
        <v>DESTINATARIO NO CONTESTA LLAMADAS NI WHATSAPP</v>
      </c>
      <c r="AG1920" s="65" t="str">
        <f>IFERROR(__xludf.DUMMYFUNCTION("""COMPUTED_VALUE"""),"NO")</f>
        <v>NO</v>
      </c>
      <c r="AH1920" s="65" t="str">
        <f>IFERROR(__xludf.DUMMYFUNCTION("""COMPUTED_VALUE"""),"09:00")</f>
        <v>09:00</v>
      </c>
      <c r="AI1920" s="65" t="str">
        <f>IFERROR(__xludf.DUMMYFUNCTION("""COMPUTED_VALUE"""),"31-01-2026")</f>
        <v>31-01-2026</v>
      </c>
      <c r="AJ1920" s="65"/>
      <c r="AK1920" s="65"/>
      <c r="AL1920" s="65"/>
      <c r="AM1920" s="65"/>
      <c r="AN1920" s="65" t="str">
        <f>IFERROR(__xludf.DUMMYFUNCTION("""COMPUTED_VALUE"""),"09:55")</f>
        <v>09:55</v>
      </c>
      <c r="AO1920" s="65" t="str">
        <f>IFERROR(__xludf.DUMMYFUNCTION("""COMPUTED_VALUE"""),"07-02-2026")</f>
        <v>07-02-2026</v>
      </c>
      <c r="AP1920" s="65" t="str">
        <f>IFERROR(__xludf.DUMMYFUNCTION("""COMPUTED_VALUE"""),"DEV CONFIRMADA POR BODEGA")</f>
        <v>DEV CONFIRMADA POR BODEGA</v>
      </c>
      <c r="AQ1920" s="65"/>
      <c r="AR1920" s="65" t="str">
        <f>IFERROR(__xludf.DUMMYFUNCTION("""COMPUTED_VALUE"""),"Gestionado por: Moran Daniel, email:danielmorga2005@gmail.com, total de productos en la orden: 1")</f>
        <v>Gestionado por: Moran Daniel, email:danielmorga2005@gmail.com, total de productos en la orden: 1</v>
      </c>
      <c r="AS1920" s="65"/>
      <c r="AT1920" s="65" t="str">
        <f>IFERROR(__xludf.DUMMYFUNCTION("""COMPUTED_VALUE"""),"SHOPIFY")</f>
        <v>SHOPIFY</v>
      </c>
      <c r="AU1920" s="65" t="str">
        <f>IFERROR(__xludf.DUMMYFUNCTION("""COMPUTED_VALUE"""),"IMPORTEX EC")</f>
        <v>IMPORTEX EC</v>
      </c>
      <c r="AV1920" s="65" t="str">
        <f>IFERROR(__xludf.DUMMYFUNCTION("""COMPUTED_VALUE"""),"6403594584108")</f>
        <v>6403594584108</v>
      </c>
      <c r="AW1920" s="65">
        <f>IFERROR(__xludf.DUMMYFUNCTION("""COMPUTED_VALUE"""),4791.0)</f>
        <v>4791</v>
      </c>
      <c r="AX1920" s="65"/>
      <c r="AY1920" s="65" t="str">
        <f>IFERROR(__xludf.DUMMYFUNCTION("""COMPUTED_VALUE"""),"22/01/2026")</f>
        <v>22/01/2026</v>
      </c>
      <c r="AZ1920" s="65"/>
      <c r="BA1920" s="65"/>
    </row>
    <row r="1921">
      <c r="A1921" s="65" t="str">
        <f>IFERROR(__xludf.DUMMYFUNCTION("""COMPUTED_VALUE"""),"27-03-2026")</f>
        <v>27-03-2026</v>
      </c>
      <c r="B1921" s="65">
        <f>IFERROR(__xludf.DUMMYFUNCTION("""COMPUTED_VALUE"""),4122001.0)</f>
        <v>4122001</v>
      </c>
      <c r="C1921" s="65" t="str">
        <f>IFERROR(__xludf.DUMMYFUNCTION("""COMPUTED_VALUE"""),"17:11")</f>
        <v>17:11</v>
      </c>
      <c r="D1921" s="65" t="str">
        <f>IFERROR(__xludf.DUMMYFUNCTION("""COMPUTED_VALUE"""),"12-01-2026")</f>
        <v>12-01-2026</v>
      </c>
      <c r="E1921" s="65" t="str">
        <f>IFERROR(__xludf.DUMMYFUNCTION("""COMPUTED_VALUE"""),"Walter Castillo Palacios")</f>
        <v>Walter Castillo Palacios</v>
      </c>
      <c r="F1921" s="65" t="str">
        <f>IFERROR(__xludf.DUMMYFUNCTION("""COMPUTED_VALUE"""),"996507069")</f>
        <v>996507069</v>
      </c>
      <c r="G1921" s="65" t="str">
        <f>IFERROR(__xludf.DUMMYFUNCTION("""COMPUTED_VALUE"""),"castillopw@gmail.com")</f>
        <v>castillopw@gmail.com</v>
      </c>
      <c r="H1921" s="65"/>
      <c r="I1921" s="65"/>
      <c r="J1921" s="65" t="str">
        <f>IFERROR(__xludf.DUMMYFUNCTION("""COMPUTED_VALUE"""),"D001254065")</f>
        <v>D001254065</v>
      </c>
      <c r="K1921" s="65" t="str">
        <f>IFERROR(__xludf.DUMMYFUNCTION("""COMPUTED_VALUE"""),"ENTREGADO")</f>
        <v>ENTREGADO</v>
      </c>
      <c r="L1921" s="65" t="str">
        <f>IFERROR(__xludf.DUMMYFUNCTION("""COMPUTED_VALUE"""),"CON RECAUDO")</f>
        <v>CON RECAUDO</v>
      </c>
      <c r="M1921" s="65" t="str">
        <f>IFERROR(__xludf.DUMMYFUNCTION("""COMPUTED_VALUE"""),"SANTO DOMINGO DE LOS TSACHILAS")</f>
        <v>SANTO DOMINGO DE LOS TSACHILAS</v>
      </c>
      <c r="N1921" s="65" t="str">
        <f>IFERROR(__xludf.DUMMYFUNCTION("""COMPUTED_VALUE"""),"SANTO DOMINGO")</f>
        <v>SANTO DOMINGO</v>
      </c>
      <c r="O1921" s="65" t="str">
        <f>IFERROR(__xludf.DUMMYFUNCTION("""COMPUTED_VALUE"""),"Avenida Quito Km 2 1/2 Urbanización Los Almendros. A lado de gasolinera Terpel -")</f>
        <v>Avenida Quito Km 2 1/2 Urbanización Los Almendros. A lado de gasolinera Terpel -</v>
      </c>
      <c r="P1921" s="65"/>
      <c r="Q1921" s="65" t="str">
        <f>IFERROR(__xludf.DUMMYFUNCTION("""COMPUTED_VALUE"""),"GINTRACOM")</f>
        <v>GINTRACOM</v>
      </c>
      <c r="R1921" s="65">
        <f>IFERROR(__xludf.DUMMYFUNCTION("""COMPUTED_VALUE"""),27.0)</f>
        <v>27</v>
      </c>
      <c r="S1921" s="65">
        <f>IFERROR(__xludf.DUMMYFUNCTION("""COMPUTED_VALUE"""),13.17)</f>
        <v>13.17</v>
      </c>
      <c r="T1921" s="65">
        <f>IFERROR(__xludf.DUMMYFUNCTION("""COMPUTED_VALUE"""),6.03)</f>
        <v>6.03</v>
      </c>
      <c r="U1921" s="65">
        <f>IFERROR(__xludf.DUMMYFUNCTION("""COMPUTED_VALUE"""),0.0)</f>
        <v>0</v>
      </c>
      <c r="V1921" s="65">
        <f>IFERROR(__xludf.DUMMYFUNCTION("""COMPUTED_VALUE"""),0.0)</f>
        <v>0</v>
      </c>
      <c r="W1921" s="65">
        <f>IFERROR(__xludf.DUMMYFUNCTION("""COMPUTED_VALUE"""),0.0)</f>
        <v>0</v>
      </c>
      <c r="X1921" s="65">
        <f>IFERROR(__xludf.DUMMYFUNCTION("""COMPUTED_VALUE"""),2.6)</f>
        <v>2.6</v>
      </c>
      <c r="Y1921" s="65">
        <f>IFERROR(__xludf.DUMMYFUNCTION("""COMPUTED_VALUE"""),7.8)</f>
        <v>7.8</v>
      </c>
      <c r="Z1921" s="65">
        <f>IFERROR(__xludf.DUMMYFUNCTION("""COMPUTED_VALUE"""),121983.0)</f>
        <v>121983</v>
      </c>
      <c r="AA1921" s="65" t="str">
        <f>IFERROR(__xludf.DUMMYFUNCTION("""COMPUTED_VALUE"""),"PROV-CHLLCF")</f>
        <v>PROV-CHLLCF</v>
      </c>
      <c r="AB1921" s="65"/>
      <c r="AC1921" s="65" t="str">
        <f>IFERROR(__xludf.DUMMYFUNCTION("""COMPUTED_VALUE"""),"CUCHILLO PARA CHEF")</f>
        <v>CUCHILLO PARA CHEF</v>
      </c>
      <c r="AD1921" s="65"/>
      <c r="AE1921" s="65">
        <f>IFERROR(__xludf.DUMMYFUNCTION("""COMPUTED_VALUE"""),3.0)</f>
        <v>3</v>
      </c>
      <c r="AF1921" s="65"/>
      <c r="AG1921" s="65"/>
      <c r="AH1921" s="65"/>
      <c r="AI1921" s="65"/>
      <c r="AJ1921" s="65"/>
      <c r="AK1921" s="65"/>
      <c r="AL1921" s="65"/>
      <c r="AM1921" s="65"/>
      <c r="AN1921" s="65" t="str">
        <f>IFERROR(__xludf.DUMMYFUNCTION("""COMPUTED_VALUE"""),"12:17")</f>
        <v>12:17</v>
      </c>
      <c r="AO1921" s="65" t="str">
        <f>IFERROR(__xludf.DUMMYFUNCTION("""COMPUTED_VALUE"""),"26-01-2026")</f>
        <v>26-01-2026</v>
      </c>
      <c r="AP1921" s="65" t="str">
        <f>IFERROR(__xludf.DUMMYFUNCTION("""COMPUTED_VALUE"""),"ENTREGADA GINTRACOM")</f>
        <v>ENTREGADA GINTRACOM</v>
      </c>
      <c r="AQ1921" s="65" t="str">
        <f>IFERROR(__xludf.DUMMYFUNCTION("""COMPUTED_VALUE"""),"ENTREGADA GINTRACOM")</f>
        <v>ENTREGADA GINTRACOM</v>
      </c>
      <c r="AR1921" s="65"/>
      <c r="AS1921" s="65"/>
      <c r="AT1921" s="65" t="str">
        <f>IFERROR(__xludf.DUMMYFUNCTION("""COMPUTED_VALUE"""),"SHOPIFY")</f>
        <v>SHOPIFY</v>
      </c>
      <c r="AU1921" s="65" t="str">
        <f>IFERROR(__xludf.DUMMYFUNCTION("""COMPUTED_VALUE"""),"IMPORTEX EC")</f>
        <v>IMPORTEX EC</v>
      </c>
      <c r="AV1921" s="65" t="str">
        <f>IFERROR(__xludf.DUMMYFUNCTION("""COMPUTED_VALUE"""),"6403580756012")</f>
        <v>6403580756012</v>
      </c>
      <c r="AW1921" s="65">
        <f>IFERROR(__xludf.DUMMYFUNCTION("""COMPUTED_VALUE"""),4788.0)</f>
        <v>4788</v>
      </c>
      <c r="AX1921" s="65"/>
      <c r="AY1921" s="65" t="str">
        <f>IFERROR(__xludf.DUMMYFUNCTION("""COMPUTED_VALUE"""),"23/01/2026")</f>
        <v>23/01/2026</v>
      </c>
      <c r="AZ1921" s="65"/>
      <c r="BA1921" s="65"/>
    </row>
    <row r="1922">
      <c r="A1922" s="65" t="str">
        <f>IFERROR(__xludf.DUMMYFUNCTION("""COMPUTED_VALUE"""),"27-03-2026")</f>
        <v>27-03-2026</v>
      </c>
      <c r="B1922" s="65">
        <f>IFERROR(__xludf.DUMMYFUNCTION("""COMPUTED_VALUE"""),4121988.0)</f>
        <v>4121988</v>
      </c>
      <c r="C1922" s="65" t="str">
        <f>IFERROR(__xludf.DUMMYFUNCTION("""COMPUTED_VALUE"""),"17:09")</f>
        <v>17:09</v>
      </c>
      <c r="D1922" s="65" t="str">
        <f>IFERROR(__xludf.DUMMYFUNCTION("""COMPUTED_VALUE"""),"12-01-2026")</f>
        <v>12-01-2026</v>
      </c>
      <c r="E1922" s="65" t="str">
        <f>IFERROR(__xludf.DUMMYFUNCTION("""COMPUTED_VALUE"""),"Lida Sánchez")</f>
        <v>Lida Sánchez</v>
      </c>
      <c r="F1922" s="65" t="str">
        <f>IFERROR(__xludf.DUMMYFUNCTION("""COMPUTED_VALUE"""),"993027115")</f>
        <v>993027115</v>
      </c>
      <c r="G1922" s="65" t="str">
        <f>IFERROR(__xludf.DUMMYFUNCTION("""COMPUTED_VALUE"""),"lidamparo@hotmail.es")</f>
        <v>lidamparo@hotmail.es</v>
      </c>
      <c r="H1922" s="65"/>
      <c r="I1922" s="65"/>
      <c r="J1922" s="65"/>
      <c r="K1922" s="65" t="str">
        <f>IFERROR(__xludf.DUMMYFUNCTION("""COMPUTED_VALUE"""),"CANCELADO")</f>
        <v>CANCELADO</v>
      </c>
      <c r="L1922" s="65" t="str">
        <f>IFERROR(__xludf.DUMMYFUNCTION("""COMPUTED_VALUE"""),"CON RECAUDO")</f>
        <v>CON RECAUDO</v>
      </c>
      <c r="M1922" s="65" t="str">
        <f>IFERROR(__xludf.DUMMYFUNCTION("""COMPUTED_VALUE"""),"ORELLANA")</f>
        <v>ORELLANA</v>
      </c>
      <c r="N1922" s="65" t="str">
        <f>IFERROR(__xludf.DUMMYFUNCTION("""COMPUTED_VALUE"""),"EL COCA")</f>
        <v>EL COCA</v>
      </c>
      <c r="O1922" s="65" t="str">
        <f>IFERROR(__xludf.DUMMYFUNCTION("""COMPUTED_VALUE"""),"Km 6 Vía Auca Parroquia El Dorado Sector el cisne km 6 1/2 -")</f>
        <v>Km 6 Vía Auca Parroquia El Dorado Sector el cisne km 6 1/2 -</v>
      </c>
      <c r="P1922" s="65"/>
      <c r="Q1922" s="65" t="str">
        <f>IFERROR(__xludf.DUMMYFUNCTION("""COMPUTED_VALUE"""),"GINTRACOM")</f>
        <v>GINTRACOM</v>
      </c>
      <c r="R1922" s="65">
        <f>IFERROR(__xludf.DUMMYFUNCTION("""COMPUTED_VALUE"""),27.0)</f>
        <v>27</v>
      </c>
      <c r="S1922" s="65"/>
      <c r="T1922" s="65">
        <f>IFERROR(__xludf.DUMMYFUNCTION("""COMPUTED_VALUE"""),6.03)</f>
        <v>6.03</v>
      </c>
      <c r="U1922" s="65">
        <f>IFERROR(__xludf.DUMMYFUNCTION("""COMPUTED_VALUE"""),0.0)</f>
        <v>0</v>
      </c>
      <c r="V1922" s="65">
        <f>IFERROR(__xludf.DUMMYFUNCTION("""COMPUTED_VALUE"""),0.0)</f>
        <v>0</v>
      </c>
      <c r="W1922" s="65">
        <f>IFERROR(__xludf.DUMMYFUNCTION("""COMPUTED_VALUE"""),0.0)</f>
        <v>0</v>
      </c>
      <c r="X1922" s="65">
        <f>IFERROR(__xludf.DUMMYFUNCTION("""COMPUTED_VALUE"""),2.6)</f>
        <v>2.6</v>
      </c>
      <c r="Y1922" s="65">
        <f>IFERROR(__xludf.DUMMYFUNCTION("""COMPUTED_VALUE"""),7.8)</f>
        <v>7.8</v>
      </c>
      <c r="Z1922" s="65">
        <f>IFERROR(__xludf.DUMMYFUNCTION("""COMPUTED_VALUE"""),121983.0)</f>
        <v>121983</v>
      </c>
      <c r="AA1922" s="65" t="str">
        <f>IFERROR(__xludf.DUMMYFUNCTION("""COMPUTED_VALUE"""),"PROV-CHLLCF")</f>
        <v>PROV-CHLLCF</v>
      </c>
      <c r="AB1922" s="65"/>
      <c r="AC1922" s="65" t="str">
        <f>IFERROR(__xludf.DUMMYFUNCTION("""COMPUTED_VALUE"""),"CUCHILLO PARA CHEF")</f>
        <v>CUCHILLO PARA CHEF</v>
      </c>
      <c r="AD1922" s="65"/>
      <c r="AE1922" s="65">
        <f>IFERROR(__xludf.DUMMYFUNCTION("""COMPUTED_VALUE"""),3.0)</f>
        <v>3</v>
      </c>
      <c r="AF1922" s="65"/>
      <c r="AG1922" s="65"/>
      <c r="AH1922" s="65"/>
      <c r="AI1922" s="65"/>
      <c r="AJ1922" s="65"/>
      <c r="AK1922" s="65"/>
      <c r="AL1922" s="65"/>
      <c r="AM1922" s="65"/>
      <c r="AN1922" s="65"/>
      <c r="AO1922" s="65"/>
      <c r="AP1922" s="65"/>
      <c r="AQ1922" s="65"/>
      <c r="AR1922" s="65"/>
      <c r="AS1922" s="65"/>
      <c r="AT1922" s="65" t="str">
        <f>IFERROR(__xludf.DUMMYFUNCTION("""COMPUTED_VALUE"""),"SHOPIFY")</f>
        <v>SHOPIFY</v>
      </c>
      <c r="AU1922" s="65" t="str">
        <f>IFERROR(__xludf.DUMMYFUNCTION("""COMPUTED_VALUE"""),"IMPORTEX EC")</f>
        <v>IMPORTEX EC</v>
      </c>
      <c r="AV1922" s="65" t="str">
        <f>IFERROR(__xludf.DUMMYFUNCTION("""COMPUTED_VALUE"""),"6403543990316")</f>
        <v>6403543990316</v>
      </c>
      <c r="AW1922" s="65">
        <f>IFERROR(__xludf.DUMMYFUNCTION("""COMPUTED_VALUE"""),4782.0)</f>
        <v>4782</v>
      </c>
      <c r="AX1922" s="65"/>
      <c r="AY1922" s="65"/>
      <c r="AZ1922" s="65"/>
      <c r="BA1922" s="65"/>
    </row>
    <row r="1923">
      <c r="A1923" s="65" t="str">
        <f>IFERROR(__xludf.DUMMYFUNCTION("""COMPUTED_VALUE"""),"27-03-2026")</f>
        <v>27-03-2026</v>
      </c>
      <c r="B1923" s="65">
        <f>IFERROR(__xludf.DUMMYFUNCTION("""COMPUTED_VALUE"""),4121858.0)</f>
        <v>4121858</v>
      </c>
      <c r="C1923" s="65" t="str">
        <f>IFERROR(__xludf.DUMMYFUNCTION("""COMPUTED_VALUE"""),"16:56")</f>
        <v>16:56</v>
      </c>
      <c r="D1923" s="65" t="str">
        <f>IFERROR(__xludf.DUMMYFUNCTION("""COMPUTED_VALUE"""),"12-01-2026")</f>
        <v>12-01-2026</v>
      </c>
      <c r="E1923" s="65" t="str">
        <f>IFERROR(__xludf.DUMMYFUNCTION("""COMPUTED_VALUE"""),"Jose luis. Moran Palacios")</f>
        <v>Jose luis. Moran Palacios</v>
      </c>
      <c r="F1923" s="65" t="str">
        <f>IFERROR(__xludf.DUMMYFUNCTION("""COMPUTED_VALUE"""),"986681325")</f>
        <v>986681325</v>
      </c>
      <c r="G1923" s="65" t="str">
        <f>IFERROR(__xludf.DUMMYFUNCTION("""COMPUTED_VALUE"""),"pepemoran697@gimail.com")</f>
        <v>pepemoran697@gimail.com</v>
      </c>
      <c r="H1923" s="65"/>
      <c r="I1923" s="65"/>
      <c r="J1923" s="65"/>
      <c r="K1923" s="65" t="str">
        <f>IFERROR(__xludf.DUMMYFUNCTION("""COMPUTED_VALUE"""),"CANCELADO")</f>
        <v>CANCELADO</v>
      </c>
      <c r="L1923" s="65" t="str">
        <f>IFERROR(__xludf.DUMMYFUNCTION("""COMPUTED_VALUE"""),"CON RECAUDO")</f>
        <v>CON RECAUDO</v>
      </c>
      <c r="M1923" s="65" t="str">
        <f>IFERROR(__xludf.DUMMYFUNCTION("""COMPUTED_VALUE"""),"PICHINCHA")</f>
        <v>PICHINCHA</v>
      </c>
      <c r="N1923" s="65" t="str">
        <f>IFERROR(__xludf.DUMMYFUNCTION("""COMPUTED_VALUE"""),"PEDRO V. MALDONADO")</f>
        <v>PEDRO V. MALDONADO</v>
      </c>
      <c r="O1923" s="65" t="str">
        <f>IFERROR(__xludf.DUMMYFUNCTION("""COMPUTED_VALUE"""),"Recinto Alvaro Perez.Km.113 No ay es solo en la principal -")</f>
        <v>Recinto Alvaro Perez.Km.113 No ay es solo en la principal -</v>
      </c>
      <c r="P1923" s="65"/>
      <c r="Q1923" s="65" t="str">
        <f>IFERROR(__xludf.DUMMYFUNCTION("""COMPUTED_VALUE"""),"LAARCOURIER")</f>
        <v>LAARCOURIER</v>
      </c>
      <c r="R1923" s="65">
        <f>IFERROR(__xludf.DUMMYFUNCTION("""COMPUTED_VALUE"""),30.0)</f>
        <v>30</v>
      </c>
      <c r="S1923" s="65"/>
      <c r="T1923" s="65">
        <f>IFERROR(__xludf.DUMMYFUNCTION("""COMPUTED_VALUE"""),9.57)</f>
        <v>9.57</v>
      </c>
      <c r="U1923" s="65">
        <f>IFERROR(__xludf.DUMMYFUNCTION("""COMPUTED_VALUE"""),0.0)</f>
        <v>0</v>
      </c>
      <c r="V1923" s="65">
        <f>IFERROR(__xludf.DUMMYFUNCTION("""COMPUTED_VALUE"""),0.0)</f>
        <v>0</v>
      </c>
      <c r="W1923" s="65">
        <f>IFERROR(__xludf.DUMMYFUNCTION("""COMPUTED_VALUE"""),0.0)</f>
        <v>0</v>
      </c>
      <c r="X1923" s="65">
        <f>IFERROR(__xludf.DUMMYFUNCTION("""COMPUTED_VALUE"""),2.35)</f>
        <v>2.35</v>
      </c>
      <c r="Y1923" s="65">
        <f>IFERROR(__xludf.DUMMYFUNCTION("""COMPUTED_VALUE"""),7.05)</f>
        <v>7.05</v>
      </c>
      <c r="Z1923" s="65">
        <f>IFERROR(__xludf.DUMMYFUNCTION("""COMPUTED_VALUE"""),116679.0)</f>
        <v>116679</v>
      </c>
      <c r="AA1923" s="65" t="str">
        <f>IFERROR(__xludf.DUMMYFUNCTION("""COMPUTED_VALUE"""),"AMC-2738")</f>
        <v>AMC-2738</v>
      </c>
      <c r="AB1923" s="65"/>
      <c r="AC1923" s="65" t="str">
        <f>IFERROR(__xludf.DUMMYFUNCTION("""COMPUTED_VALUE"""),"ESPONJA ANTILLUVIA DE PARABRISAS")</f>
        <v>ESPONJA ANTILLUVIA DE PARABRISAS</v>
      </c>
      <c r="AD1923" s="65"/>
      <c r="AE1923" s="65">
        <f>IFERROR(__xludf.DUMMYFUNCTION("""COMPUTED_VALUE"""),3.0)</f>
        <v>3</v>
      </c>
      <c r="AF1923" s="65"/>
      <c r="AG1923" s="65"/>
      <c r="AH1923" s="65"/>
      <c r="AI1923" s="65"/>
      <c r="AJ1923" s="65"/>
      <c r="AK1923" s="65"/>
      <c r="AL1923" s="65"/>
      <c r="AM1923" s="65"/>
      <c r="AN1923" s="65"/>
      <c r="AO1923" s="65"/>
      <c r="AP1923" s="65"/>
      <c r="AQ1923" s="65"/>
      <c r="AR1923" s="65"/>
      <c r="AS1923" s="65"/>
      <c r="AT1923" s="65" t="str">
        <f>IFERROR(__xludf.DUMMYFUNCTION("""COMPUTED_VALUE"""),"SHOPIFY")</f>
        <v>SHOPIFY</v>
      </c>
      <c r="AU1923" s="65" t="str">
        <f>IFERROR(__xludf.DUMMYFUNCTION("""COMPUTED_VALUE"""),"IMPORTEX EC")</f>
        <v>IMPORTEX EC</v>
      </c>
      <c r="AV1923" s="65" t="str">
        <f>IFERROR(__xludf.DUMMYFUNCTION("""COMPUTED_VALUE"""),"6403533275180")</f>
        <v>6403533275180</v>
      </c>
      <c r="AW1923" s="65">
        <f>IFERROR(__xludf.DUMMYFUNCTION("""COMPUTED_VALUE"""),4778.0)</f>
        <v>4778</v>
      </c>
      <c r="AX1923" s="65"/>
      <c r="AY1923" s="65"/>
      <c r="AZ1923" s="65"/>
      <c r="BA1923" s="65"/>
    </row>
    <row r="1924">
      <c r="A1924" s="65" t="str">
        <f>IFERROR(__xludf.DUMMYFUNCTION("""COMPUTED_VALUE"""),"27-03-2026")</f>
        <v>27-03-2026</v>
      </c>
      <c r="B1924" s="65">
        <f>IFERROR(__xludf.DUMMYFUNCTION("""COMPUTED_VALUE"""),4121695.0)</f>
        <v>4121695</v>
      </c>
      <c r="C1924" s="65" t="str">
        <f>IFERROR(__xludf.DUMMYFUNCTION("""COMPUTED_VALUE"""),"16:43")</f>
        <v>16:43</v>
      </c>
      <c r="D1924" s="65" t="str">
        <f>IFERROR(__xludf.DUMMYFUNCTION("""COMPUTED_VALUE"""),"12-01-2026")</f>
        <v>12-01-2026</v>
      </c>
      <c r="E1924" s="65" t="str">
        <f>IFERROR(__xludf.DUMMYFUNCTION("""COMPUTED_VALUE"""),"Venni Vega")</f>
        <v>Venni Vega</v>
      </c>
      <c r="F1924" s="65" t="str">
        <f>IFERROR(__xludf.DUMMYFUNCTION("""COMPUTED_VALUE"""),"994568414")</f>
        <v>994568414</v>
      </c>
      <c r="G1924" s="65"/>
      <c r="H1924" s="65"/>
      <c r="I1924" s="65"/>
      <c r="J1924" s="65" t="str">
        <f>IFERROR(__xludf.DUMMYFUNCTION("""COMPUTED_VALUE"""),"D001218318")</f>
        <v>D001218318</v>
      </c>
      <c r="K1924" s="65" t="str">
        <f>IFERROR(__xludf.DUMMYFUNCTION("""COMPUTED_VALUE"""),"ENTREGADO")</f>
        <v>ENTREGADO</v>
      </c>
      <c r="L1924" s="65" t="str">
        <f>IFERROR(__xludf.DUMMYFUNCTION("""COMPUTED_VALUE"""),"CON RECAUDO")</f>
        <v>CON RECAUDO</v>
      </c>
      <c r="M1924" s="65" t="str">
        <f>IFERROR(__xludf.DUMMYFUNCTION("""COMPUTED_VALUE"""),"LOS RIOS")</f>
        <v>LOS RIOS</v>
      </c>
      <c r="N1924" s="65" t="str">
        <f>IFERROR(__xludf.DUMMYFUNCTION("""COMPUTED_VALUE"""),"VENTANAS")</f>
        <v>VENTANAS</v>
      </c>
      <c r="O1924" s="65" t="str">
        <f>IFERROR(__xludf.DUMMYFUNCTION("""COMPUTED_VALUE"""),"Luiz porta Lupe y pacifico Gor Las Malvinas -")</f>
        <v>Luiz porta Lupe y pacifico Gor Las Malvinas -</v>
      </c>
      <c r="P1924" s="65"/>
      <c r="Q1924" s="65" t="str">
        <f>IFERROR(__xludf.DUMMYFUNCTION("""COMPUTED_VALUE"""),"GINTRACOM")</f>
        <v>GINTRACOM</v>
      </c>
      <c r="R1924" s="65">
        <f>IFERROR(__xludf.DUMMYFUNCTION("""COMPUTED_VALUE"""),22.0)</f>
        <v>22</v>
      </c>
      <c r="S1924" s="65">
        <f>IFERROR(__xludf.DUMMYFUNCTION("""COMPUTED_VALUE"""),10.96)</f>
        <v>10.96</v>
      </c>
      <c r="T1924" s="65">
        <f>IFERROR(__xludf.DUMMYFUNCTION("""COMPUTED_VALUE"""),5.84)</f>
        <v>5.84</v>
      </c>
      <c r="U1924" s="65">
        <f>IFERROR(__xludf.DUMMYFUNCTION("""COMPUTED_VALUE"""),0.0)</f>
        <v>0</v>
      </c>
      <c r="V1924" s="65">
        <f>IFERROR(__xludf.DUMMYFUNCTION("""COMPUTED_VALUE"""),0.0)</f>
        <v>0</v>
      </c>
      <c r="W1924" s="65">
        <f>IFERROR(__xludf.DUMMYFUNCTION("""COMPUTED_VALUE"""),0.0)</f>
        <v>0</v>
      </c>
      <c r="X1924" s="65">
        <f>IFERROR(__xludf.DUMMYFUNCTION("""COMPUTED_VALUE"""),2.6)</f>
        <v>2.6</v>
      </c>
      <c r="Y1924" s="65">
        <f>IFERROR(__xludf.DUMMYFUNCTION("""COMPUTED_VALUE"""),5.2)</f>
        <v>5.2</v>
      </c>
      <c r="Z1924" s="65">
        <f>IFERROR(__xludf.DUMMYFUNCTION("""COMPUTED_VALUE"""),121983.0)</f>
        <v>121983</v>
      </c>
      <c r="AA1924" s="65" t="str">
        <f>IFERROR(__xludf.DUMMYFUNCTION("""COMPUTED_VALUE"""),"PROV-CHLLCF")</f>
        <v>PROV-CHLLCF</v>
      </c>
      <c r="AB1924" s="65"/>
      <c r="AC1924" s="65" t="str">
        <f>IFERROR(__xludf.DUMMYFUNCTION("""COMPUTED_VALUE"""),"CUCHILLO PARA CHEF")</f>
        <v>CUCHILLO PARA CHEF</v>
      </c>
      <c r="AD1924" s="65"/>
      <c r="AE1924" s="65">
        <f>IFERROR(__xludf.DUMMYFUNCTION("""COMPUTED_VALUE"""),2.0)</f>
        <v>2</v>
      </c>
      <c r="AF1924" s="65" t="str">
        <f>IFERROR(__xludf.DUMMYFUNCTION("""COMPUTED_VALUE"""),"DESTINATARIO INDICA QUE YA NO DESEA EL PRODUCTO")</f>
        <v>DESTINATARIO INDICA QUE YA NO DESEA EL PRODUCTO</v>
      </c>
      <c r="AG1924" s="65" t="str">
        <f>IFERROR(__xludf.DUMMYFUNCTION("""COMPUTED_VALUE"""),"NO")</f>
        <v>NO</v>
      </c>
      <c r="AH1924" s="65" t="str">
        <f>IFERROR(__xludf.DUMMYFUNCTION("""COMPUTED_VALUE"""),"08:42")</f>
        <v>08:42</v>
      </c>
      <c r="AI1924" s="65" t="str">
        <f>IFERROR(__xludf.DUMMYFUNCTION("""COMPUTED_VALUE"""),"14-01-2026")</f>
        <v>14-01-2026</v>
      </c>
      <c r="AJ1924" s="65"/>
      <c r="AK1924" s="65"/>
      <c r="AL1924" s="65"/>
      <c r="AM1924" s="65"/>
      <c r="AN1924" s="65" t="str">
        <f>IFERROR(__xludf.DUMMYFUNCTION("""COMPUTED_VALUE"""),"11:55")</f>
        <v>11:55</v>
      </c>
      <c r="AO1924" s="65" t="str">
        <f>IFERROR(__xludf.DUMMYFUNCTION("""COMPUTED_VALUE"""),"16-01-2026")</f>
        <v>16-01-2026</v>
      </c>
      <c r="AP1924" s="65" t="str">
        <f>IFERROR(__xludf.DUMMYFUNCTION("""COMPUTED_VALUE"""),"ENTREGADA GINTRACOM")</f>
        <v>ENTREGADA GINTRACOM</v>
      </c>
      <c r="AQ1924" s="65" t="str">
        <f>IFERROR(__xludf.DUMMYFUNCTION("""COMPUTED_VALUE"""),"ENTREGADA GINTRACOM")</f>
        <v>ENTREGADA GINTRACOM</v>
      </c>
      <c r="AR1924" s="65"/>
      <c r="AS1924" s="65"/>
      <c r="AT1924" s="65" t="str">
        <f>IFERROR(__xludf.DUMMYFUNCTION("""COMPUTED_VALUE"""),"SHOPIFY")</f>
        <v>SHOPIFY</v>
      </c>
      <c r="AU1924" s="65" t="str">
        <f>IFERROR(__xludf.DUMMYFUNCTION("""COMPUTED_VALUE"""),"IMPORTEX EC")</f>
        <v>IMPORTEX EC</v>
      </c>
      <c r="AV1924" s="65" t="str">
        <f>IFERROR(__xludf.DUMMYFUNCTION("""COMPUTED_VALUE"""),"6409799532588")</f>
        <v>6409799532588</v>
      </c>
      <c r="AW1924" s="65">
        <f>IFERROR(__xludf.DUMMYFUNCTION("""COMPUTED_VALUE"""),5045.0)</f>
        <v>5045</v>
      </c>
      <c r="AX1924" s="65"/>
      <c r="AY1924" s="65" t="str">
        <f>IFERROR(__xludf.DUMMYFUNCTION("""COMPUTED_VALUE"""),"13/01/2026")</f>
        <v>13/01/2026</v>
      </c>
      <c r="AZ1924" s="65"/>
      <c r="BA1924" s="65"/>
    </row>
    <row r="1925">
      <c r="A1925" s="65" t="str">
        <f>IFERROR(__xludf.DUMMYFUNCTION("""COMPUTED_VALUE"""),"27-03-2026")</f>
        <v>27-03-2026</v>
      </c>
      <c r="B1925" s="65">
        <f>IFERROR(__xludf.DUMMYFUNCTION("""COMPUTED_VALUE"""),4121687.0)</f>
        <v>4121687</v>
      </c>
      <c r="C1925" s="65" t="str">
        <f>IFERROR(__xludf.DUMMYFUNCTION("""COMPUTED_VALUE"""),"16:43")</f>
        <v>16:43</v>
      </c>
      <c r="D1925" s="65" t="str">
        <f>IFERROR(__xludf.DUMMYFUNCTION("""COMPUTED_VALUE"""),"12-01-2026")</f>
        <v>12-01-2026</v>
      </c>
      <c r="E1925" s="65" t="str">
        <f>IFERROR(__xludf.DUMMYFUNCTION("""COMPUTED_VALUE"""),"Enrique Alvarez Gaspar")</f>
        <v>Enrique Alvarez Gaspar</v>
      </c>
      <c r="F1925" s="65" t="str">
        <f>IFERROR(__xludf.DUMMYFUNCTION("""COMPUTED_VALUE"""),"988898297")</f>
        <v>988898297</v>
      </c>
      <c r="G1925" s="65" t="str">
        <f>IFERROR(__xludf.DUMMYFUNCTION("""COMPUTED_VALUE"""),"e.alvarezgaspar60@gmail.com")</f>
        <v>e.alvarezgaspar60@gmail.com</v>
      </c>
      <c r="H1925" s="65"/>
      <c r="I1925" s="65"/>
      <c r="J1925" s="65" t="str">
        <f>IFERROR(__xludf.DUMMYFUNCTION("""COMPUTED_VALUE"""),"D001218319")</f>
        <v>D001218319</v>
      </c>
      <c r="K1925" s="65" t="str">
        <f>IFERROR(__xludf.DUMMYFUNCTION("""COMPUTED_VALUE"""),"ENTREGADO")</f>
        <v>ENTREGADO</v>
      </c>
      <c r="L1925" s="65" t="str">
        <f>IFERROR(__xludf.DUMMYFUNCTION("""COMPUTED_VALUE"""),"CON RECAUDO")</f>
        <v>CON RECAUDO</v>
      </c>
      <c r="M1925" s="65" t="str">
        <f>IFERROR(__xludf.DUMMYFUNCTION("""COMPUTED_VALUE"""),"GUAYAS")</f>
        <v>GUAYAS</v>
      </c>
      <c r="N1925" s="65" t="str">
        <f>IFERROR(__xludf.DUMMYFUNCTION("""COMPUTED_VALUE"""),"GUAYAQUIL")</f>
        <v>GUAYAQUIL</v>
      </c>
      <c r="O1925" s="65" t="str">
        <f>IFERROR(__xludf.DUMMYFUNCTION("""COMPUTED_VALUE"""),"Avenida Guillermo Montalván....callejón 9 no... Ciudadela Coviem Mz 27 villa 3... junto a la lubricadora carwahs.. A un costado del colegio Amarilis Fuentes ,")</f>
        <v>Avenida Guillermo Montalván....callejón 9 no... Ciudadela Coviem Mz 27 villa 3... junto a la lubricadora carwahs.. A un costado del colegio Amarilis Fuentes ,</v>
      </c>
      <c r="P1925" s="65"/>
      <c r="Q1925" s="65" t="str">
        <f>IFERROR(__xludf.DUMMYFUNCTION("""COMPUTED_VALUE"""),"GINTRACOM")</f>
        <v>GINTRACOM</v>
      </c>
      <c r="R1925" s="65">
        <f>IFERROR(__xludf.DUMMYFUNCTION("""COMPUTED_VALUE"""),27.0)</f>
        <v>27</v>
      </c>
      <c r="S1925" s="65">
        <f>IFERROR(__xludf.DUMMYFUNCTION("""COMPUTED_VALUE"""),14.78)</f>
        <v>14.78</v>
      </c>
      <c r="T1925" s="65">
        <f>IFERROR(__xludf.DUMMYFUNCTION("""COMPUTED_VALUE"""),4.42)</f>
        <v>4.42</v>
      </c>
      <c r="U1925" s="65">
        <f>IFERROR(__xludf.DUMMYFUNCTION("""COMPUTED_VALUE"""),0.0)</f>
        <v>0</v>
      </c>
      <c r="V1925" s="65">
        <f>IFERROR(__xludf.DUMMYFUNCTION("""COMPUTED_VALUE"""),0.0)</f>
        <v>0</v>
      </c>
      <c r="W1925" s="65">
        <f>IFERROR(__xludf.DUMMYFUNCTION("""COMPUTED_VALUE"""),0.0)</f>
        <v>0</v>
      </c>
      <c r="X1925" s="65">
        <f>IFERROR(__xludf.DUMMYFUNCTION("""COMPUTED_VALUE"""),2.6)</f>
        <v>2.6</v>
      </c>
      <c r="Y1925" s="65">
        <f>IFERROR(__xludf.DUMMYFUNCTION("""COMPUTED_VALUE"""),7.8)</f>
        <v>7.8</v>
      </c>
      <c r="Z1925" s="65">
        <f>IFERROR(__xludf.DUMMYFUNCTION("""COMPUTED_VALUE"""),121983.0)</f>
        <v>121983</v>
      </c>
      <c r="AA1925" s="65" t="str">
        <f>IFERROR(__xludf.DUMMYFUNCTION("""COMPUTED_VALUE"""),"PROV-CHLLCF")</f>
        <v>PROV-CHLLCF</v>
      </c>
      <c r="AB1925" s="65"/>
      <c r="AC1925" s="65" t="str">
        <f>IFERROR(__xludf.DUMMYFUNCTION("""COMPUTED_VALUE"""),"CUCHILLO PARA CHEF")</f>
        <v>CUCHILLO PARA CHEF</v>
      </c>
      <c r="AD1925" s="65"/>
      <c r="AE1925" s="65">
        <f>IFERROR(__xludf.DUMMYFUNCTION("""COMPUTED_VALUE"""),3.0)</f>
        <v>3</v>
      </c>
      <c r="AF1925" s="65" t="str">
        <f>IFERROR(__xludf.DUMMYFUNCTION("""COMPUTED_VALUE"""),"DESTINATARIO NO CONTESTA LLAMADAS NI WHATSAPP")</f>
        <v>DESTINATARIO NO CONTESTA LLAMADAS NI WHATSAPP</v>
      </c>
      <c r="AG1925" s="65" t="str">
        <f>IFERROR(__xludf.DUMMYFUNCTION("""COMPUTED_VALUE"""),"SI")</f>
        <v>SI</v>
      </c>
      <c r="AH1925" s="65" t="str">
        <f>IFERROR(__xludf.DUMMYFUNCTION("""COMPUTED_VALUE"""),"12:14")</f>
        <v>12:14</v>
      </c>
      <c r="AI1925" s="65" t="str">
        <f>IFERROR(__xludf.DUMMYFUNCTION("""COMPUTED_VALUE"""),"14-01-2026")</f>
        <v>14-01-2026</v>
      </c>
      <c r="AJ1925" s="65" t="str">
        <f>IFERROR(__xludf.DUMMYFUNCTION("""COMPUTED_VALUE"""),"Llamar al teléfono normal, cliente en espera del pedido")</f>
        <v>Llamar al teléfono normal, cliente en espera del pedido</v>
      </c>
      <c r="AK1925" s="65" t="str">
        <f>IFERROR(__xludf.DUMMYFUNCTION("""COMPUTED_VALUE"""),"17:33")</f>
        <v>17:33</v>
      </c>
      <c r="AL1925" s="65" t="str">
        <f>IFERROR(__xludf.DUMMYFUNCTION("""COMPUTED_VALUE"""),"14-01-2026")</f>
        <v>14-01-2026</v>
      </c>
      <c r="AM1925" s="65"/>
      <c r="AN1925" s="65" t="str">
        <f>IFERROR(__xludf.DUMMYFUNCTION("""COMPUTED_VALUE"""),"15:32")</f>
        <v>15:32</v>
      </c>
      <c r="AO1925" s="65" t="str">
        <f>IFERROR(__xludf.DUMMYFUNCTION("""COMPUTED_VALUE"""),"15-01-2026")</f>
        <v>15-01-2026</v>
      </c>
      <c r="AP1925" s="65" t="str">
        <f>IFERROR(__xludf.DUMMYFUNCTION("""COMPUTED_VALUE"""),"ENTREGADA GINTRACOM")</f>
        <v>ENTREGADA GINTRACOM</v>
      </c>
      <c r="AQ1925" s="65" t="str">
        <f>IFERROR(__xludf.DUMMYFUNCTION("""COMPUTED_VALUE"""),"ENTREGADA GINTRACOM")</f>
        <v>ENTREGADA GINTRACOM</v>
      </c>
      <c r="AR1925" s="65"/>
      <c r="AS1925" s="65"/>
      <c r="AT1925" s="65" t="str">
        <f>IFERROR(__xludf.DUMMYFUNCTION("""COMPUTED_VALUE"""),"SHOPIFY")</f>
        <v>SHOPIFY</v>
      </c>
      <c r="AU1925" s="65" t="str">
        <f>IFERROR(__xludf.DUMMYFUNCTION("""COMPUTED_VALUE"""),"IMPORTEX EC")</f>
        <v>IMPORTEX EC</v>
      </c>
      <c r="AV1925" s="65" t="str">
        <f>IFERROR(__xludf.DUMMYFUNCTION("""COMPUTED_VALUE"""),"6409798189100")</f>
        <v>6409798189100</v>
      </c>
      <c r="AW1925" s="65">
        <f>IFERROR(__xludf.DUMMYFUNCTION("""COMPUTED_VALUE"""),5044.0)</f>
        <v>5044</v>
      </c>
      <c r="AX1925" s="65"/>
      <c r="AY1925" s="65" t="str">
        <f>IFERROR(__xludf.DUMMYFUNCTION("""COMPUTED_VALUE"""),"13/01/2026")</f>
        <v>13/01/2026</v>
      </c>
      <c r="AZ1925" s="65"/>
      <c r="BA1925" s="65"/>
    </row>
    <row r="1926">
      <c r="A1926" s="65" t="str">
        <f>IFERROR(__xludf.DUMMYFUNCTION("""COMPUTED_VALUE"""),"27-03-2026")</f>
        <v>27-03-2026</v>
      </c>
      <c r="B1926" s="65">
        <f>IFERROR(__xludf.DUMMYFUNCTION("""COMPUTED_VALUE"""),4121676.0)</f>
        <v>4121676</v>
      </c>
      <c r="C1926" s="65" t="str">
        <f>IFERROR(__xludf.DUMMYFUNCTION("""COMPUTED_VALUE"""),"16:42")</f>
        <v>16:42</v>
      </c>
      <c r="D1926" s="65" t="str">
        <f>IFERROR(__xludf.DUMMYFUNCTION("""COMPUTED_VALUE"""),"12-01-2026")</f>
        <v>12-01-2026</v>
      </c>
      <c r="E1926" s="65" t="str">
        <f>IFERROR(__xludf.DUMMYFUNCTION("""COMPUTED_VALUE"""),"Edizon Díaz")</f>
        <v>Edizon Díaz</v>
      </c>
      <c r="F1926" s="65" t="str">
        <f>IFERROR(__xludf.DUMMYFUNCTION("""COMPUTED_VALUE"""),"997099647")</f>
        <v>997099647</v>
      </c>
      <c r="G1926" s="65" t="str">
        <f>IFERROR(__xludf.DUMMYFUNCTION("""COMPUTED_VALUE"""),"edizondaviddiazgarzon17@gmail.com")</f>
        <v>edizondaviddiazgarzon17@gmail.com</v>
      </c>
      <c r="H1926" s="65"/>
      <c r="I1926" s="65"/>
      <c r="J1926" s="65" t="str">
        <f>IFERROR(__xludf.DUMMYFUNCTION("""COMPUTED_VALUE"""),"D001218320")</f>
        <v>D001218320</v>
      </c>
      <c r="K1926" s="65" t="str">
        <f>IFERROR(__xludf.DUMMYFUNCTION("""COMPUTED_VALUE"""),"DEVOLUCION")</f>
        <v>DEVOLUCION</v>
      </c>
      <c r="L1926" s="65" t="str">
        <f>IFERROR(__xludf.DUMMYFUNCTION("""COMPUTED_VALUE"""),"CON RECAUDO")</f>
        <v>CON RECAUDO</v>
      </c>
      <c r="M1926" s="65" t="str">
        <f>IFERROR(__xludf.DUMMYFUNCTION("""COMPUTED_VALUE"""),"PICHINCHA")</f>
        <v>PICHINCHA</v>
      </c>
      <c r="N1926" s="65" t="str">
        <f>IFERROR(__xludf.DUMMYFUNCTION("""COMPUTED_VALUE"""),"PIFO")</f>
        <v>PIFO</v>
      </c>
      <c r="O1926" s="65" t="str">
        <f>IFERROR(__xludf.DUMMYFUNCTION("""COMPUTED_VALUE"""),"Pifo chaupi molino calle Manuel burbano , Es en una tapicería y a lado de un restaurante la tapicería se llama dayana")</f>
        <v>Pifo chaupi molino calle Manuel burbano , Es en una tapicería y a lado de un restaurante la tapicería se llama dayana</v>
      </c>
      <c r="P1926" s="65"/>
      <c r="Q1926" s="65" t="str">
        <f>IFERROR(__xludf.DUMMYFUNCTION("""COMPUTED_VALUE"""),"GINTRACOM")</f>
        <v>GINTRACOM</v>
      </c>
      <c r="R1926" s="65">
        <f>IFERROR(__xludf.DUMMYFUNCTION("""COMPUTED_VALUE"""),22.0)</f>
        <v>22</v>
      </c>
      <c r="S1926" s="65"/>
      <c r="T1926" s="65">
        <f>IFERROR(__xludf.DUMMYFUNCTION("""COMPUTED_VALUE"""),6.41)</f>
        <v>6.41</v>
      </c>
      <c r="U1926" s="65">
        <f>IFERROR(__xludf.DUMMYFUNCTION("""COMPUTED_VALUE"""),0.0)</f>
        <v>0</v>
      </c>
      <c r="V1926" s="65">
        <f>IFERROR(__xludf.DUMMYFUNCTION("""COMPUTED_VALUE"""),0.0)</f>
        <v>0</v>
      </c>
      <c r="W1926" s="65">
        <f>IFERROR(__xludf.DUMMYFUNCTION("""COMPUTED_VALUE"""),0.0)</f>
        <v>0</v>
      </c>
      <c r="X1926" s="65">
        <f>IFERROR(__xludf.DUMMYFUNCTION("""COMPUTED_VALUE"""),2.6)</f>
        <v>2.6</v>
      </c>
      <c r="Y1926" s="65">
        <f>IFERROR(__xludf.DUMMYFUNCTION("""COMPUTED_VALUE"""),5.2)</f>
        <v>5.2</v>
      </c>
      <c r="Z1926" s="65">
        <f>IFERROR(__xludf.DUMMYFUNCTION("""COMPUTED_VALUE"""),121983.0)</f>
        <v>121983</v>
      </c>
      <c r="AA1926" s="65" t="str">
        <f>IFERROR(__xludf.DUMMYFUNCTION("""COMPUTED_VALUE"""),"PROV-CHLLCF")</f>
        <v>PROV-CHLLCF</v>
      </c>
      <c r="AB1926" s="65"/>
      <c r="AC1926" s="65" t="str">
        <f>IFERROR(__xludf.DUMMYFUNCTION("""COMPUTED_VALUE"""),"CUCHILLO PARA CHEF")</f>
        <v>CUCHILLO PARA CHEF</v>
      </c>
      <c r="AD1926" s="65"/>
      <c r="AE1926" s="65">
        <f>IFERROR(__xludf.DUMMYFUNCTION("""COMPUTED_VALUE"""),2.0)</f>
        <v>2</v>
      </c>
      <c r="AF1926" s="65" t="str">
        <f>IFERROR(__xludf.DUMMYFUNCTION("""COMPUTED_VALUE"""),"DESTINATARIO NO CONTESTA LLAMADAS NI WHATSAPP")</f>
        <v>DESTINATARIO NO CONTESTA LLAMADAS NI WHATSAPP</v>
      </c>
      <c r="AG1926" s="65" t="str">
        <f>IFERROR(__xludf.DUMMYFUNCTION("""COMPUTED_VALUE"""),"NO")</f>
        <v>NO</v>
      </c>
      <c r="AH1926" s="65" t="str">
        <f>IFERROR(__xludf.DUMMYFUNCTION("""COMPUTED_VALUE"""),"21:44")</f>
        <v>21:44</v>
      </c>
      <c r="AI1926" s="65" t="str">
        <f>IFERROR(__xludf.DUMMYFUNCTION("""COMPUTED_VALUE"""),"23-01-2026")</f>
        <v>23-01-2026</v>
      </c>
      <c r="AJ1926" s="65"/>
      <c r="AK1926" s="65"/>
      <c r="AL1926" s="65"/>
      <c r="AM1926" s="65"/>
      <c r="AN1926" s="65" t="str">
        <f>IFERROR(__xludf.DUMMYFUNCTION("""COMPUTED_VALUE"""),"08:49")</f>
        <v>08:49</v>
      </c>
      <c r="AO1926" s="65" t="str">
        <f>IFERROR(__xludf.DUMMYFUNCTION("""COMPUTED_VALUE"""),"10-02-2026")</f>
        <v>10-02-2026</v>
      </c>
      <c r="AP1926" s="65" t="str">
        <f>IFERROR(__xludf.DUMMYFUNCTION("""COMPUTED_VALUE"""),"DEV CONFIRMADA POR BODEGA")</f>
        <v>DEV CONFIRMADA POR BODEGA</v>
      </c>
      <c r="AQ1926" s="65"/>
      <c r="AR1926" s="65" t="str">
        <f>IFERROR(__xludf.DUMMYFUNCTION("""COMPUTED_VALUE"""),"Gestionado por: Moran Daniel, email:danielmorga2005@gmail.com, total de productos en la orden: 1")</f>
        <v>Gestionado por: Moran Daniel, email:danielmorga2005@gmail.com, total de productos en la orden: 1</v>
      </c>
      <c r="AS1926" s="65"/>
      <c r="AT1926" s="65" t="str">
        <f>IFERROR(__xludf.DUMMYFUNCTION("""COMPUTED_VALUE"""),"SHOPIFY")</f>
        <v>SHOPIFY</v>
      </c>
      <c r="AU1926" s="65" t="str">
        <f>IFERROR(__xludf.DUMMYFUNCTION("""COMPUTED_VALUE"""),"IMPORTEX EC")</f>
        <v>IMPORTEX EC</v>
      </c>
      <c r="AV1926" s="65" t="str">
        <f>IFERROR(__xludf.DUMMYFUNCTION("""COMPUTED_VALUE"""),"6409796091948")</f>
        <v>6409796091948</v>
      </c>
      <c r="AW1926" s="65">
        <f>IFERROR(__xludf.DUMMYFUNCTION("""COMPUTED_VALUE"""),5043.0)</f>
        <v>5043</v>
      </c>
      <c r="AX1926" s="65"/>
      <c r="AY1926" s="65" t="str">
        <f>IFERROR(__xludf.DUMMYFUNCTION("""COMPUTED_VALUE"""),"13/01/2026")</f>
        <v>13/01/2026</v>
      </c>
      <c r="AZ1926" s="65"/>
      <c r="BA1926" s="65"/>
    </row>
    <row r="1927">
      <c r="A1927" s="65" t="str">
        <f>IFERROR(__xludf.DUMMYFUNCTION("""COMPUTED_VALUE"""),"27-03-2026")</f>
        <v>27-03-2026</v>
      </c>
      <c r="B1927" s="65">
        <f>IFERROR(__xludf.DUMMYFUNCTION("""COMPUTED_VALUE"""),4120624.0)</f>
        <v>4120624</v>
      </c>
      <c r="C1927" s="65" t="str">
        <f>IFERROR(__xludf.DUMMYFUNCTION("""COMPUTED_VALUE"""),"15:22")</f>
        <v>15:22</v>
      </c>
      <c r="D1927" s="65" t="str">
        <f>IFERROR(__xludf.DUMMYFUNCTION("""COMPUTED_VALUE"""),"12-01-2026")</f>
        <v>12-01-2026</v>
      </c>
      <c r="E1927" s="65" t="str">
        <f>IFERROR(__xludf.DUMMYFUNCTION("""COMPUTED_VALUE"""),"Segundo Segundo Cuji")</f>
        <v>Segundo Segundo Cuji</v>
      </c>
      <c r="F1927" s="65" t="str">
        <f>IFERROR(__xludf.DUMMYFUNCTION("""COMPUTED_VALUE"""),"939926795")</f>
        <v>939926795</v>
      </c>
      <c r="G1927" s="65" t="str">
        <f>IFERROR(__xludf.DUMMYFUNCTION("""COMPUTED_VALUE"""),"segundocuji103@gmil.com")</f>
        <v>segundocuji103@gmil.com</v>
      </c>
      <c r="H1927" s="65"/>
      <c r="I1927" s="65"/>
      <c r="J1927" s="65" t="str">
        <f>IFERROR(__xludf.DUMMYFUNCTION("""COMPUTED_VALUE"""),"D001218325")</f>
        <v>D001218325</v>
      </c>
      <c r="K1927" s="65" t="str">
        <f>IFERROR(__xludf.DUMMYFUNCTION("""COMPUTED_VALUE"""),"DEVOLUCION")</f>
        <v>DEVOLUCION</v>
      </c>
      <c r="L1927" s="65" t="str">
        <f>IFERROR(__xludf.DUMMYFUNCTION("""COMPUTED_VALUE"""),"CON RECAUDO")</f>
        <v>CON RECAUDO</v>
      </c>
      <c r="M1927" s="65" t="str">
        <f>IFERROR(__xludf.DUMMYFUNCTION("""COMPUTED_VALUE"""),"CAÑAR")</f>
        <v>CAÑAR</v>
      </c>
      <c r="N1927" s="65" t="str">
        <f>IFERROR(__xludf.DUMMYFUNCTION("""COMPUTED_VALUE"""),"CAÑAR")</f>
        <v>CAÑAR</v>
      </c>
      <c r="O1927" s="65" t="str">
        <f>IFERROR(__xludf.DUMMYFUNCTION("""COMPUTED_VALUE"""),"Calle 16 de abril, casa sin número, SECTOR  parque la Migrante.")</f>
        <v>Calle 16 de abril, casa sin número, SECTOR  parque la Migrante.</v>
      </c>
      <c r="P1927" s="65"/>
      <c r="Q1927" s="65" t="str">
        <f>IFERROR(__xludf.DUMMYFUNCTION("""COMPUTED_VALUE"""),"GINTRACOM")</f>
        <v>GINTRACOM</v>
      </c>
      <c r="R1927" s="65">
        <f>IFERROR(__xludf.DUMMYFUNCTION("""COMPUTED_VALUE"""),22.0)</f>
        <v>22</v>
      </c>
      <c r="S1927" s="65"/>
      <c r="T1927" s="65">
        <f>IFERROR(__xludf.DUMMYFUNCTION("""COMPUTED_VALUE"""),5.84)</f>
        <v>5.84</v>
      </c>
      <c r="U1927" s="65">
        <f>IFERROR(__xludf.DUMMYFUNCTION("""COMPUTED_VALUE"""),0.0)</f>
        <v>0</v>
      </c>
      <c r="V1927" s="65">
        <f>IFERROR(__xludf.DUMMYFUNCTION("""COMPUTED_VALUE"""),0.0)</f>
        <v>0</v>
      </c>
      <c r="W1927" s="65">
        <f>IFERROR(__xludf.DUMMYFUNCTION("""COMPUTED_VALUE"""),0.0)</f>
        <v>0</v>
      </c>
      <c r="X1927" s="65">
        <f>IFERROR(__xludf.DUMMYFUNCTION("""COMPUTED_VALUE"""),2.6)</f>
        <v>2.6</v>
      </c>
      <c r="Y1927" s="65">
        <f>IFERROR(__xludf.DUMMYFUNCTION("""COMPUTED_VALUE"""),5.2)</f>
        <v>5.2</v>
      </c>
      <c r="Z1927" s="65">
        <f>IFERROR(__xludf.DUMMYFUNCTION("""COMPUTED_VALUE"""),121983.0)</f>
        <v>121983</v>
      </c>
      <c r="AA1927" s="65" t="str">
        <f>IFERROR(__xludf.DUMMYFUNCTION("""COMPUTED_VALUE"""),"PROV-CHLLCF")</f>
        <v>PROV-CHLLCF</v>
      </c>
      <c r="AB1927" s="65"/>
      <c r="AC1927" s="65" t="str">
        <f>IFERROR(__xludf.DUMMYFUNCTION("""COMPUTED_VALUE"""),"CUCHILLO PARA CHEF")</f>
        <v>CUCHILLO PARA CHEF</v>
      </c>
      <c r="AD1927" s="65"/>
      <c r="AE1927" s="65">
        <f>IFERROR(__xludf.DUMMYFUNCTION("""COMPUTED_VALUE"""),2.0)</f>
        <v>2</v>
      </c>
      <c r="AF1927" s="65"/>
      <c r="AG1927" s="65"/>
      <c r="AH1927" s="65"/>
      <c r="AI1927" s="65"/>
      <c r="AJ1927" s="65"/>
      <c r="AK1927" s="65"/>
      <c r="AL1927" s="65"/>
      <c r="AM1927" s="65"/>
      <c r="AN1927" s="65" t="str">
        <f>IFERROR(__xludf.DUMMYFUNCTION("""COMPUTED_VALUE"""),"16:38")</f>
        <v>16:38</v>
      </c>
      <c r="AO1927" s="65" t="str">
        <f>IFERROR(__xludf.DUMMYFUNCTION("""COMPUTED_VALUE"""),"29-01-2026")</f>
        <v>29-01-2026</v>
      </c>
      <c r="AP1927" s="65" t="str">
        <f>IFERROR(__xludf.DUMMYFUNCTION("""COMPUTED_VALUE"""),"DEV CONFIRMADA POR BODEGA")</f>
        <v>DEV CONFIRMADA POR BODEGA</v>
      </c>
      <c r="AQ1927" s="65"/>
      <c r="AR1927" s="65" t="str">
        <f>IFERROR(__xludf.DUMMYFUNCTION("""COMPUTED_VALUE"""),"Gestionado por: Moran Daniel, email:danielmorga2005@gmail.com, total de productos en la orden: 1")</f>
        <v>Gestionado por: Moran Daniel, email:danielmorga2005@gmail.com, total de productos en la orden: 1</v>
      </c>
      <c r="AS1927" s="65"/>
      <c r="AT1927" s="65" t="str">
        <f>IFERROR(__xludf.DUMMYFUNCTION("""COMPUTED_VALUE"""),"SHOPIFY")</f>
        <v>SHOPIFY</v>
      </c>
      <c r="AU1927" s="65" t="str">
        <f>IFERROR(__xludf.DUMMYFUNCTION("""COMPUTED_VALUE"""),"IMPORTEX EC")</f>
        <v>IMPORTEX EC</v>
      </c>
      <c r="AV1927" s="65" t="str">
        <f>IFERROR(__xludf.DUMMYFUNCTION("""COMPUTED_VALUE"""),"6409634283564")</f>
        <v>6409634283564</v>
      </c>
      <c r="AW1927" s="65">
        <f>IFERROR(__xludf.DUMMYFUNCTION("""COMPUTED_VALUE"""),5042.0)</f>
        <v>5042</v>
      </c>
      <c r="AX1927" s="65"/>
      <c r="AY1927" s="65" t="str">
        <f>IFERROR(__xludf.DUMMYFUNCTION("""COMPUTED_VALUE"""),"13/01/2026")</f>
        <v>13/01/2026</v>
      </c>
      <c r="AZ1927" s="65"/>
      <c r="BA1927" s="65"/>
    </row>
    <row r="1928">
      <c r="A1928" s="65" t="str">
        <f>IFERROR(__xludf.DUMMYFUNCTION("""COMPUTED_VALUE"""),"27-03-2026")</f>
        <v>27-03-2026</v>
      </c>
      <c r="B1928" s="65">
        <f>IFERROR(__xludf.DUMMYFUNCTION("""COMPUTED_VALUE"""),4120524.0)</f>
        <v>4120524</v>
      </c>
      <c r="C1928" s="65" t="str">
        <f>IFERROR(__xludf.DUMMYFUNCTION("""COMPUTED_VALUE"""),"15:14")</f>
        <v>15:14</v>
      </c>
      <c r="D1928" s="65" t="str">
        <f>IFERROR(__xludf.DUMMYFUNCTION("""COMPUTED_VALUE"""),"12-01-2026")</f>
        <v>12-01-2026</v>
      </c>
      <c r="E1928" s="65" t="str">
        <f>IFERROR(__xludf.DUMMYFUNCTION("""COMPUTED_VALUE"""),"Osvin Rolando Andrade Friend")</f>
        <v>Osvin Rolando Andrade Friend</v>
      </c>
      <c r="F1928" s="65" t="str">
        <f>IFERROR(__xludf.DUMMYFUNCTION("""COMPUTED_VALUE"""),"989445125")</f>
        <v>989445125</v>
      </c>
      <c r="G1928" s="65" t="str">
        <f>IFERROR(__xludf.DUMMYFUNCTION("""COMPUTED_VALUE"""),"soco6879@gmail.com")</f>
        <v>soco6879@gmail.com</v>
      </c>
      <c r="H1928" s="65"/>
      <c r="I1928" s="65"/>
      <c r="J1928" s="65" t="str">
        <f>IFERROR(__xludf.DUMMYFUNCTION("""COMPUTED_VALUE"""),"186966896")</f>
        <v>186966896</v>
      </c>
      <c r="K1928" s="65" t="str">
        <f>IFERROR(__xludf.DUMMYFUNCTION("""COMPUTED_VALUE"""),"DEVOLUCION")</f>
        <v>DEVOLUCION</v>
      </c>
      <c r="L1928" s="65" t="str">
        <f>IFERROR(__xludf.DUMMYFUNCTION("""COMPUTED_VALUE"""),"CON RECAUDO")</f>
        <v>CON RECAUDO</v>
      </c>
      <c r="M1928" s="65" t="str">
        <f>IFERROR(__xludf.DUMMYFUNCTION("""COMPUTED_VALUE"""),"MANABI")</f>
        <v>MANABI</v>
      </c>
      <c r="N1928" s="65" t="str">
        <f>IFERROR(__xludf.DUMMYFUNCTION("""COMPUTED_VALUE"""),"COJIMIES")</f>
        <v>COJIMIES</v>
      </c>
      <c r="O1928" s="65" t="str">
        <f>IFERROR(__xludf.DUMMYFUNCTION("""COMPUTED_VALUE"""),"Calle San Francisco y Eloy Alfaro parroquia Cojimies del cantón Pedernales")</f>
        <v>Calle San Francisco y Eloy Alfaro parroquia Cojimies del cantón Pedernales</v>
      </c>
      <c r="P1928" s="65"/>
      <c r="Q1928" s="65" t="str">
        <f>IFERROR(__xludf.DUMMYFUNCTION("""COMPUTED_VALUE"""),"SERVIENTREGA")</f>
        <v>SERVIENTREGA</v>
      </c>
      <c r="R1928" s="65">
        <f>IFERROR(__xludf.DUMMYFUNCTION("""COMPUTED_VALUE"""),22.0)</f>
        <v>22</v>
      </c>
      <c r="S1928" s="65"/>
      <c r="T1928" s="65">
        <f>IFERROR(__xludf.DUMMYFUNCTION("""COMPUTED_VALUE"""),7.7)</f>
        <v>7.7</v>
      </c>
      <c r="U1928" s="65">
        <f>IFERROR(__xludf.DUMMYFUNCTION("""COMPUTED_VALUE"""),0.0)</f>
        <v>0</v>
      </c>
      <c r="V1928" s="65">
        <f>IFERROR(__xludf.DUMMYFUNCTION("""COMPUTED_VALUE"""),0.0)</f>
        <v>0</v>
      </c>
      <c r="W1928" s="65">
        <f>IFERROR(__xludf.DUMMYFUNCTION("""COMPUTED_VALUE"""),0.0)</f>
        <v>0</v>
      </c>
      <c r="X1928" s="65">
        <f>IFERROR(__xludf.DUMMYFUNCTION("""COMPUTED_VALUE"""),2.6)</f>
        <v>2.6</v>
      </c>
      <c r="Y1928" s="65">
        <f>IFERROR(__xludf.DUMMYFUNCTION("""COMPUTED_VALUE"""),5.2)</f>
        <v>5.2</v>
      </c>
      <c r="Z1928" s="65">
        <f>IFERROR(__xludf.DUMMYFUNCTION("""COMPUTED_VALUE"""),121983.0)</f>
        <v>121983</v>
      </c>
      <c r="AA1928" s="65" t="str">
        <f>IFERROR(__xludf.DUMMYFUNCTION("""COMPUTED_VALUE"""),"PROV-CHLLCF")</f>
        <v>PROV-CHLLCF</v>
      </c>
      <c r="AB1928" s="65"/>
      <c r="AC1928" s="65" t="str">
        <f>IFERROR(__xludf.DUMMYFUNCTION("""COMPUTED_VALUE"""),"CUCHILLO PARA CHEF")</f>
        <v>CUCHILLO PARA CHEF</v>
      </c>
      <c r="AD1928" s="65"/>
      <c r="AE1928" s="65">
        <f>IFERROR(__xludf.DUMMYFUNCTION("""COMPUTED_VALUE"""),2.0)</f>
        <v>2</v>
      </c>
      <c r="AF1928" s="65" t="str">
        <f>IFERROR(__xludf.DUMMYFUNCTION("""COMPUTED_VALUE"""),"DEVOLUCION AL REMITENTE")</f>
        <v>DEVOLUCION AL REMITENTE</v>
      </c>
      <c r="AG1928" s="65" t="str">
        <f>IFERROR(__xludf.DUMMYFUNCTION("""COMPUTED_VALUE"""),"NO")</f>
        <v>NO</v>
      </c>
      <c r="AH1928" s="65" t="str">
        <f>IFERROR(__xludf.DUMMYFUNCTION("""COMPUTED_VALUE"""),"15:40")</f>
        <v>15:40</v>
      </c>
      <c r="AI1928" s="65" t="str">
        <f>IFERROR(__xludf.DUMMYFUNCTION("""COMPUTED_VALUE"""),"27-01-2026")</f>
        <v>27-01-2026</v>
      </c>
      <c r="AJ1928" s="65"/>
      <c r="AK1928" s="65"/>
      <c r="AL1928" s="65"/>
      <c r="AM1928" s="65"/>
      <c r="AN1928" s="65" t="str">
        <f>IFERROR(__xludf.DUMMYFUNCTION("""COMPUTED_VALUE"""),"16:52")</f>
        <v>16:52</v>
      </c>
      <c r="AO1928" s="65" t="str">
        <f>IFERROR(__xludf.DUMMYFUNCTION("""COMPUTED_VALUE"""),"29-01-2026")</f>
        <v>29-01-2026</v>
      </c>
      <c r="AP1928" s="65" t="str">
        <f>IFERROR(__xludf.DUMMYFUNCTION("""COMPUTED_VALUE"""),"DEV CONFIRMADA POR BODEGA")</f>
        <v>DEV CONFIRMADA POR BODEGA</v>
      </c>
      <c r="AQ1928" s="65"/>
      <c r="AR1928" s="65" t="str">
        <f>IFERROR(__xludf.DUMMYFUNCTION("""COMPUTED_VALUE"""),"Gestionado por: Moran Daniel, email:danielmorga2005@gmail.com, total de productos en la orden: 1")</f>
        <v>Gestionado por: Moran Daniel, email:danielmorga2005@gmail.com, total de productos en la orden: 1</v>
      </c>
      <c r="AS1928" s="65"/>
      <c r="AT1928" s="65" t="str">
        <f>IFERROR(__xludf.DUMMYFUNCTION("""COMPUTED_VALUE"""),"SHOPIFY")</f>
        <v>SHOPIFY</v>
      </c>
      <c r="AU1928" s="65" t="str">
        <f>IFERROR(__xludf.DUMMYFUNCTION("""COMPUTED_VALUE"""),"IMPORTEX EC")</f>
        <v>IMPORTEX EC</v>
      </c>
      <c r="AV1928" s="65" t="str">
        <f>IFERROR(__xludf.DUMMYFUNCTION("""COMPUTED_VALUE"""),"6409619111980")</f>
        <v>6409619111980</v>
      </c>
      <c r="AW1928" s="65">
        <f>IFERROR(__xludf.DUMMYFUNCTION("""COMPUTED_VALUE"""),5041.0)</f>
        <v>5041</v>
      </c>
      <c r="AX1928" s="65"/>
      <c r="AY1928" s="65" t="str">
        <f>IFERROR(__xludf.DUMMYFUNCTION("""COMPUTED_VALUE"""),"13/01/2026")</f>
        <v>13/01/2026</v>
      </c>
      <c r="AZ1928" s="65"/>
      <c r="BA1928" s="65"/>
    </row>
    <row r="1929">
      <c r="A1929" s="65" t="str">
        <f>IFERROR(__xludf.DUMMYFUNCTION("""COMPUTED_VALUE"""),"27-03-2026")</f>
        <v>27-03-2026</v>
      </c>
      <c r="B1929" s="65">
        <f>IFERROR(__xludf.DUMMYFUNCTION("""COMPUTED_VALUE"""),4119947.0)</f>
        <v>4119947</v>
      </c>
      <c r="C1929" s="65" t="str">
        <f>IFERROR(__xludf.DUMMYFUNCTION("""COMPUTED_VALUE"""),"14:30")</f>
        <v>14:30</v>
      </c>
      <c r="D1929" s="65" t="str">
        <f>IFERROR(__xludf.DUMMYFUNCTION("""COMPUTED_VALUE"""),"12-01-2026")</f>
        <v>12-01-2026</v>
      </c>
      <c r="E1929" s="65" t="str">
        <f>IFERROR(__xludf.DUMMYFUNCTION("""COMPUTED_VALUE"""),"Leonardo Espinoza")</f>
        <v>Leonardo Espinoza</v>
      </c>
      <c r="F1929" s="65" t="str">
        <f>IFERROR(__xludf.DUMMYFUNCTION("""COMPUTED_VALUE"""),"983310722")</f>
        <v>983310722</v>
      </c>
      <c r="G1929" s="65" t="str">
        <f>IFERROR(__xludf.DUMMYFUNCTION("""COMPUTED_VALUE"""),"l.espinoza.digismart@gmail.com")</f>
        <v>l.espinoza.digismart@gmail.com</v>
      </c>
      <c r="H1929" s="65"/>
      <c r="I1929" s="65"/>
      <c r="J1929" s="65"/>
      <c r="K1929" s="65" t="str">
        <f>IFERROR(__xludf.DUMMYFUNCTION("""COMPUTED_VALUE"""),"PENDIENTE CONFIRMACION")</f>
        <v>PENDIENTE CONFIRMACION</v>
      </c>
      <c r="L1929" s="65" t="str">
        <f>IFERROR(__xludf.DUMMYFUNCTION("""COMPUTED_VALUE"""),"CON RECAUDO")</f>
        <v>CON RECAUDO</v>
      </c>
      <c r="M1929" s="65" t="str">
        <f>IFERROR(__xludf.DUMMYFUNCTION("""COMPUTED_VALUE"""),"GUAYAS")</f>
        <v>GUAYAS</v>
      </c>
      <c r="N1929" s="65" t="str">
        <f>IFERROR(__xludf.DUMMYFUNCTION("""COMPUTED_VALUE"""),"GUAYAQUIL")</f>
        <v>GUAYAQUIL</v>
      </c>
      <c r="O1929" s="65" t="str">
        <f>IFERROR(__xludf.DUMMYFUNCTION("""COMPUTED_VALUE"""),"Todos los Santos 200 y Cedros Urdesa Central -")</f>
        <v>Todos los Santos 200 y Cedros Urdesa Central -</v>
      </c>
      <c r="P1929" s="65"/>
      <c r="Q1929" s="65" t="str">
        <f>IFERROR(__xludf.DUMMYFUNCTION("""COMPUTED_VALUE"""),"GINTRACOM")</f>
        <v>GINTRACOM</v>
      </c>
      <c r="R1929" s="65">
        <f>IFERROR(__xludf.DUMMYFUNCTION("""COMPUTED_VALUE"""),30.0)</f>
        <v>30</v>
      </c>
      <c r="S1929" s="65"/>
      <c r="T1929" s="65">
        <f>IFERROR(__xludf.DUMMYFUNCTION("""COMPUTED_VALUE"""),6.16)</f>
        <v>6.16</v>
      </c>
      <c r="U1929" s="65">
        <f>IFERROR(__xludf.DUMMYFUNCTION("""COMPUTED_VALUE"""),0.0)</f>
        <v>0</v>
      </c>
      <c r="V1929" s="65">
        <f>IFERROR(__xludf.DUMMYFUNCTION("""COMPUTED_VALUE"""),0.0)</f>
        <v>0</v>
      </c>
      <c r="W1929" s="65">
        <f>IFERROR(__xludf.DUMMYFUNCTION("""COMPUTED_VALUE"""),0.0)</f>
        <v>0</v>
      </c>
      <c r="X1929" s="65">
        <f>IFERROR(__xludf.DUMMYFUNCTION("""COMPUTED_VALUE"""),2.35)</f>
        <v>2.35</v>
      </c>
      <c r="Y1929" s="65">
        <f>IFERROR(__xludf.DUMMYFUNCTION("""COMPUTED_VALUE"""),7.05)</f>
        <v>7.05</v>
      </c>
      <c r="Z1929" s="65">
        <f>IFERROR(__xludf.DUMMYFUNCTION("""COMPUTED_VALUE"""),116679.0)</f>
        <v>116679</v>
      </c>
      <c r="AA1929" s="65" t="str">
        <f>IFERROR(__xludf.DUMMYFUNCTION("""COMPUTED_VALUE"""),"AMC-2738")</f>
        <v>AMC-2738</v>
      </c>
      <c r="AB1929" s="65"/>
      <c r="AC1929" s="65" t="str">
        <f>IFERROR(__xludf.DUMMYFUNCTION("""COMPUTED_VALUE"""),"ESPONJA ANTILLUVIA DE PARABRISAS")</f>
        <v>ESPONJA ANTILLUVIA DE PARABRISAS</v>
      </c>
      <c r="AD1929" s="65"/>
      <c r="AE1929" s="65">
        <f>IFERROR(__xludf.DUMMYFUNCTION("""COMPUTED_VALUE"""),3.0)</f>
        <v>3</v>
      </c>
      <c r="AF1929" s="65"/>
      <c r="AG1929" s="65"/>
      <c r="AH1929" s="65"/>
      <c r="AI1929" s="65"/>
      <c r="AJ1929" s="65"/>
      <c r="AK1929" s="65"/>
      <c r="AL1929" s="65"/>
      <c r="AM1929" s="65"/>
      <c r="AN1929" s="65"/>
      <c r="AO1929" s="65"/>
      <c r="AP1929" s="65"/>
      <c r="AQ1929" s="65"/>
      <c r="AR1929" s="65"/>
      <c r="AS1929" s="65"/>
      <c r="AT1929" s="65" t="str">
        <f>IFERROR(__xludf.DUMMYFUNCTION("""COMPUTED_VALUE"""),"SHOPIFY")</f>
        <v>SHOPIFY</v>
      </c>
      <c r="AU1929" s="65" t="str">
        <f>IFERROR(__xludf.DUMMYFUNCTION("""COMPUTED_VALUE"""),"IMPORTEX EC")</f>
        <v>IMPORTEX EC</v>
      </c>
      <c r="AV1929" s="65" t="str">
        <f>IFERROR(__xludf.DUMMYFUNCTION("""COMPUTED_VALUE"""),"6409527132204")</f>
        <v>6409527132204</v>
      </c>
      <c r="AW1929" s="65">
        <f>IFERROR(__xludf.DUMMYFUNCTION("""COMPUTED_VALUE"""),5040.0)</f>
        <v>5040</v>
      </c>
      <c r="AX1929" s="65"/>
      <c r="AY1929" s="65"/>
      <c r="AZ1929" s="65"/>
      <c r="BA1929" s="65"/>
    </row>
    <row r="1930">
      <c r="A1930" s="65" t="str">
        <f>IFERROR(__xludf.DUMMYFUNCTION("""COMPUTED_VALUE"""),"27-03-2026")</f>
        <v>27-03-2026</v>
      </c>
      <c r="B1930" s="65">
        <f>IFERROR(__xludf.DUMMYFUNCTION("""COMPUTED_VALUE"""),4119444.0)</f>
        <v>4119444</v>
      </c>
      <c r="C1930" s="65" t="str">
        <f>IFERROR(__xludf.DUMMYFUNCTION("""COMPUTED_VALUE"""),"13:44")</f>
        <v>13:44</v>
      </c>
      <c r="D1930" s="65" t="str">
        <f>IFERROR(__xludf.DUMMYFUNCTION("""COMPUTED_VALUE"""),"12-01-2026")</f>
        <v>12-01-2026</v>
      </c>
      <c r="E1930" s="65" t="str">
        <f>IFERROR(__xludf.DUMMYFUNCTION("""COMPUTED_VALUE"""),"Diego Agama")</f>
        <v>Diego Agama</v>
      </c>
      <c r="F1930" s="65" t="str">
        <f>IFERROR(__xludf.DUMMYFUNCTION("""COMPUTED_VALUE"""),"983463117")</f>
        <v>983463117</v>
      </c>
      <c r="G1930" s="65"/>
      <c r="H1930" s="65"/>
      <c r="I1930" s="65"/>
      <c r="J1930" s="65"/>
      <c r="K1930" s="65" t="str">
        <f>IFERROR(__xludf.DUMMYFUNCTION("""COMPUTED_VALUE"""),"PENDIENTE CONFIRMACION")</f>
        <v>PENDIENTE CONFIRMACION</v>
      </c>
      <c r="L1930" s="65" t="str">
        <f>IFERROR(__xludf.DUMMYFUNCTION("""COMPUTED_VALUE"""),"CON RECAUDO")</f>
        <v>CON RECAUDO</v>
      </c>
      <c r="M1930" s="65" t="str">
        <f>IFERROR(__xludf.DUMMYFUNCTION("""COMPUTED_VALUE"""),"PICHINCHA")</f>
        <v>PICHINCHA</v>
      </c>
      <c r="N1930" s="65" t="str">
        <f>IFERROR(__xludf.DUMMYFUNCTION("""COMPUTED_VALUE"""),"QUITO")</f>
        <v>QUITO</v>
      </c>
      <c r="O1930" s="65" t="str">
        <f>IFERROR(__xludf.DUMMYFUNCTION("""COMPUTED_VALUE"""),"Nazacota puento y orianga, Conjunto Santa Marianita")</f>
        <v>Nazacota puento y orianga, Conjunto Santa Marianita</v>
      </c>
      <c r="P1930" s="65" t="str">
        <f>IFERROR(__xludf.DUMMYFUNCTION("""COMPUTED_VALUE"""),"ESPONJA ANTILLUVIA DE PARABRISAS: Default Title ***")</f>
        <v>ESPONJA ANTILLUVIA DE PARABRISAS: Default Title ***</v>
      </c>
      <c r="Q1930" s="65" t="str">
        <f>IFERROR(__xludf.DUMMYFUNCTION("""COMPUTED_VALUE"""),"GINTRACOM")</f>
        <v>GINTRACOM</v>
      </c>
      <c r="R1930" s="65">
        <f>IFERROR(__xludf.DUMMYFUNCTION("""COMPUTED_VALUE"""),20.0)</f>
        <v>20</v>
      </c>
      <c r="S1930" s="65"/>
      <c r="T1930" s="65">
        <f>IFERROR(__xludf.DUMMYFUNCTION("""COMPUTED_VALUE"""),4.15)</f>
        <v>4.15</v>
      </c>
      <c r="U1930" s="65">
        <f>IFERROR(__xludf.DUMMYFUNCTION("""COMPUTED_VALUE"""),0.0)</f>
        <v>0</v>
      </c>
      <c r="V1930" s="65">
        <f>IFERROR(__xludf.DUMMYFUNCTION("""COMPUTED_VALUE"""),0.0)</f>
        <v>0</v>
      </c>
      <c r="W1930" s="65">
        <f>IFERROR(__xludf.DUMMYFUNCTION("""COMPUTED_VALUE"""),0.0)</f>
        <v>0</v>
      </c>
      <c r="X1930" s="65">
        <f>IFERROR(__xludf.DUMMYFUNCTION("""COMPUTED_VALUE"""),2.35)</f>
        <v>2.35</v>
      </c>
      <c r="Y1930" s="65">
        <f>IFERROR(__xludf.DUMMYFUNCTION("""COMPUTED_VALUE"""),2.35)</f>
        <v>2.35</v>
      </c>
      <c r="Z1930" s="65">
        <f>IFERROR(__xludf.DUMMYFUNCTION("""COMPUTED_VALUE"""),116679.0)</f>
        <v>116679</v>
      </c>
      <c r="AA1930" s="65" t="str">
        <f>IFERROR(__xludf.DUMMYFUNCTION("""COMPUTED_VALUE"""),"AMC-2738")</f>
        <v>AMC-2738</v>
      </c>
      <c r="AB1930" s="65"/>
      <c r="AC1930" s="65" t="str">
        <f>IFERROR(__xludf.DUMMYFUNCTION("""COMPUTED_VALUE"""),"ESPONJA ANTILLUVIA DE PARABRISAS")</f>
        <v>ESPONJA ANTILLUVIA DE PARABRISAS</v>
      </c>
      <c r="AD1930" s="65"/>
      <c r="AE1930" s="65">
        <f>IFERROR(__xludf.DUMMYFUNCTION("""COMPUTED_VALUE"""),1.0)</f>
        <v>1</v>
      </c>
      <c r="AF1930" s="65"/>
      <c r="AG1930" s="65"/>
      <c r="AH1930" s="65"/>
      <c r="AI1930" s="65"/>
      <c r="AJ1930" s="65"/>
      <c r="AK1930" s="65"/>
      <c r="AL1930" s="65"/>
      <c r="AM1930" s="65"/>
      <c r="AN1930" s="65"/>
      <c r="AO1930" s="65"/>
      <c r="AP1930" s="65"/>
      <c r="AQ1930" s="65"/>
      <c r="AR1930" s="65"/>
      <c r="AS1930" s="65"/>
      <c r="AT1930" s="65" t="str">
        <f>IFERROR(__xludf.DUMMYFUNCTION("""COMPUTED_VALUE"""),"SHOPIFY")</f>
        <v>SHOPIFY</v>
      </c>
      <c r="AU1930" s="65" t="str">
        <f>IFERROR(__xludf.DUMMYFUNCTION("""COMPUTED_VALUE"""),"IMPORTEX EC")</f>
        <v>IMPORTEX EC</v>
      </c>
      <c r="AV1930" s="65" t="str">
        <f>IFERROR(__xludf.DUMMYFUNCTION("""COMPUTED_VALUE"""),"6409390194732")</f>
        <v>6409390194732</v>
      </c>
      <c r="AW1930" s="65">
        <f>IFERROR(__xludf.DUMMYFUNCTION("""COMPUTED_VALUE"""),5039.0)</f>
        <v>5039</v>
      </c>
      <c r="AX1930" s="65"/>
      <c r="AY1930" s="65"/>
      <c r="AZ1930" s="65"/>
      <c r="BA1930" s="65"/>
    </row>
    <row r="1931">
      <c r="A1931" s="65" t="str">
        <f>IFERROR(__xludf.DUMMYFUNCTION("""COMPUTED_VALUE"""),"27-03-2026")</f>
        <v>27-03-2026</v>
      </c>
      <c r="B1931" s="65">
        <f>IFERROR(__xludf.DUMMYFUNCTION("""COMPUTED_VALUE"""),4119061.0)</f>
        <v>4119061</v>
      </c>
      <c r="C1931" s="65" t="str">
        <f>IFERROR(__xludf.DUMMYFUNCTION("""COMPUTED_VALUE"""),"13:12")</f>
        <v>13:12</v>
      </c>
      <c r="D1931" s="65" t="str">
        <f>IFERROR(__xludf.DUMMYFUNCTION("""COMPUTED_VALUE"""),"12-01-2026")</f>
        <v>12-01-2026</v>
      </c>
      <c r="E1931" s="65" t="str">
        <f>IFERROR(__xludf.DUMMYFUNCTION("""COMPUTED_VALUE"""),"Patricio Lopez")</f>
        <v>Patricio Lopez</v>
      </c>
      <c r="F1931" s="65" t="str">
        <f>IFERROR(__xludf.DUMMYFUNCTION("""COMPUTED_VALUE"""),"984331015")</f>
        <v>984331015</v>
      </c>
      <c r="G1931" s="65" t="str">
        <f>IFERROR(__xludf.DUMMYFUNCTION("""COMPUTED_VALUE"""),"plcruz.PL@gmail.com")</f>
        <v>plcruz.PL@gmail.com</v>
      </c>
      <c r="H1931" s="65"/>
      <c r="I1931" s="65"/>
      <c r="J1931" s="65" t="str">
        <f>IFERROR(__xludf.DUMMYFUNCTION("""COMPUTED_VALUE"""),"D001218331")</f>
        <v>D001218331</v>
      </c>
      <c r="K1931" s="65" t="str">
        <f>IFERROR(__xludf.DUMMYFUNCTION("""COMPUTED_VALUE"""),"ENTREGADO")</f>
        <v>ENTREGADO</v>
      </c>
      <c r="L1931" s="65" t="str">
        <f>IFERROR(__xludf.DUMMYFUNCTION("""COMPUTED_VALUE"""),"CON RECAUDO")</f>
        <v>CON RECAUDO</v>
      </c>
      <c r="M1931" s="65" t="str">
        <f>IFERROR(__xludf.DUMMYFUNCTION("""COMPUTED_VALUE"""),"PICHINCHA")</f>
        <v>PICHINCHA</v>
      </c>
      <c r="N1931" s="65" t="str">
        <f>IFERROR(__xludf.DUMMYFUNCTION("""COMPUTED_VALUE"""),"QUITO")</f>
        <v>QUITO</v>
      </c>
      <c r="O1931" s="65" t="str">
        <f>IFERROR(__xludf.DUMMYFUNCTION("""COMPUTED_VALUE"""),"Prolongación de Simón Bolívar y Javier Espinoza Conjunto Valle Monte Real CS# 167 Carretas un redondel más abajo del CC portal hacia el norte -")</f>
        <v>Prolongación de Simón Bolívar y Javier Espinoza Conjunto Valle Monte Real CS# 167 Carretas un redondel más abajo del CC portal hacia el norte -</v>
      </c>
      <c r="P1931" s="65"/>
      <c r="Q1931" s="65" t="str">
        <f>IFERROR(__xludf.DUMMYFUNCTION("""COMPUTED_VALUE"""),"GINTRACOM")</f>
        <v>GINTRACOM</v>
      </c>
      <c r="R1931" s="65">
        <f>IFERROR(__xludf.DUMMYFUNCTION("""COMPUTED_VALUE"""),22.0)</f>
        <v>22</v>
      </c>
      <c r="S1931" s="65">
        <f>IFERROR(__xludf.DUMMYFUNCTION("""COMPUTED_VALUE"""),10.96)</f>
        <v>10.96</v>
      </c>
      <c r="T1931" s="65">
        <f>IFERROR(__xludf.DUMMYFUNCTION("""COMPUTED_VALUE"""),5.84)</f>
        <v>5.84</v>
      </c>
      <c r="U1931" s="65">
        <f>IFERROR(__xludf.DUMMYFUNCTION("""COMPUTED_VALUE"""),0.0)</f>
        <v>0</v>
      </c>
      <c r="V1931" s="65">
        <f>IFERROR(__xludf.DUMMYFUNCTION("""COMPUTED_VALUE"""),0.0)</f>
        <v>0</v>
      </c>
      <c r="W1931" s="65">
        <f>IFERROR(__xludf.DUMMYFUNCTION("""COMPUTED_VALUE"""),0.0)</f>
        <v>0</v>
      </c>
      <c r="X1931" s="65">
        <f>IFERROR(__xludf.DUMMYFUNCTION("""COMPUTED_VALUE"""),2.6)</f>
        <v>2.6</v>
      </c>
      <c r="Y1931" s="65">
        <f>IFERROR(__xludf.DUMMYFUNCTION("""COMPUTED_VALUE"""),5.2)</f>
        <v>5.2</v>
      </c>
      <c r="Z1931" s="65">
        <f>IFERROR(__xludf.DUMMYFUNCTION("""COMPUTED_VALUE"""),121983.0)</f>
        <v>121983</v>
      </c>
      <c r="AA1931" s="65" t="str">
        <f>IFERROR(__xludf.DUMMYFUNCTION("""COMPUTED_VALUE"""),"PROV-CHLLCF")</f>
        <v>PROV-CHLLCF</v>
      </c>
      <c r="AB1931" s="65"/>
      <c r="AC1931" s="65" t="str">
        <f>IFERROR(__xludf.DUMMYFUNCTION("""COMPUTED_VALUE"""),"CUCHILLO PARA CHEF")</f>
        <v>CUCHILLO PARA CHEF</v>
      </c>
      <c r="AD1931" s="65"/>
      <c r="AE1931" s="65">
        <f>IFERROR(__xludf.DUMMYFUNCTION("""COMPUTED_VALUE"""),2.0)</f>
        <v>2</v>
      </c>
      <c r="AF1931" s="65"/>
      <c r="AG1931" s="65"/>
      <c r="AH1931" s="65"/>
      <c r="AI1931" s="65"/>
      <c r="AJ1931" s="65"/>
      <c r="AK1931" s="65"/>
      <c r="AL1931" s="65"/>
      <c r="AM1931" s="65"/>
      <c r="AN1931" s="65" t="str">
        <f>IFERROR(__xludf.DUMMYFUNCTION("""COMPUTED_VALUE"""),"09:38")</f>
        <v>09:38</v>
      </c>
      <c r="AO1931" s="65" t="str">
        <f>IFERROR(__xludf.DUMMYFUNCTION("""COMPUTED_VALUE"""),"14-01-2026")</f>
        <v>14-01-2026</v>
      </c>
      <c r="AP1931" s="65" t="str">
        <f>IFERROR(__xludf.DUMMYFUNCTION("""COMPUTED_VALUE"""),"EN REPARTO")</f>
        <v>EN REPARTO</v>
      </c>
      <c r="AQ1931" s="65" t="str">
        <f>IFERROR(__xludf.DUMMYFUNCTION("""COMPUTED_VALUE"""),"EN REPARTO")</f>
        <v>EN REPARTO</v>
      </c>
      <c r="AR1931" s="65"/>
      <c r="AS1931" s="65"/>
      <c r="AT1931" s="65" t="str">
        <f>IFERROR(__xludf.DUMMYFUNCTION("""COMPUTED_VALUE"""),"SHOPIFY")</f>
        <v>SHOPIFY</v>
      </c>
      <c r="AU1931" s="65" t="str">
        <f>IFERROR(__xludf.DUMMYFUNCTION("""COMPUTED_VALUE"""),"IMPORTEX EC")</f>
        <v>IMPORTEX EC</v>
      </c>
      <c r="AV1931" s="65" t="str">
        <f>IFERROR(__xludf.DUMMYFUNCTION("""COMPUTED_VALUE"""),"6409320955948")</f>
        <v>6409320955948</v>
      </c>
      <c r="AW1931" s="65">
        <f>IFERROR(__xludf.DUMMYFUNCTION("""COMPUTED_VALUE"""),5037.0)</f>
        <v>5037</v>
      </c>
      <c r="AX1931" s="65"/>
      <c r="AY1931" s="65" t="str">
        <f>IFERROR(__xludf.DUMMYFUNCTION("""COMPUTED_VALUE"""),"13/01/2026")</f>
        <v>13/01/2026</v>
      </c>
      <c r="AZ1931" s="65"/>
      <c r="BA1931" s="65"/>
    </row>
    <row r="1932">
      <c r="A1932" s="65" t="str">
        <f>IFERROR(__xludf.DUMMYFUNCTION("""COMPUTED_VALUE"""),"27-03-2026")</f>
        <v>27-03-2026</v>
      </c>
      <c r="B1932" s="65">
        <f>IFERROR(__xludf.DUMMYFUNCTION("""COMPUTED_VALUE"""),4118957.0)</f>
        <v>4118957</v>
      </c>
      <c r="C1932" s="65" t="str">
        <f>IFERROR(__xludf.DUMMYFUNCTION("""COMPUTED_VALUE"""),"13:04")</f>
        <v>13:04</v>
      </c>
      <c r="D1932" s="65" t="str">
        <f>IFERROR(__xludf.DUMMYFUNCTION("""COMPUTED_VALUE"""),"12-01-2026")</f>
        <v>12-01-2026</v>
      </c>
      <c r="E1932" s="65" t="str">
        <f>IFERROR(__xludf.DUMMYFUNCTION("""COMPUTED_VALUE"""),"Silvio Rolan Sarango")</f>
        <v>Silvio Rolan Sarango</v>
      </c>
      <c r="F1932" s="65" t="str">
        <f>IFERROR(__xludf.DUMMYFUNCTION("""COMPUTED_VALUE"""),"999679185")</f>
        <v>999679185</v>
      </c>
      <c r="G1932" s="65"/>
      <c r="H1932" s="65"/>
      <c r="I1932" s="65"/>
      <c r="J1932" s="65" t="str">
        <f>IFERROR(__xludf.DUMMYFUNCTION("""COMPUTED_VALUE"""),"186964428")</f>
        <v>186964428</v>
      </c>
      <c r="K1932" s="65" t="str">
        <f>IFERROR(__xludf.DUMMYFUNCTION("""COMPUTED_VALUE"""),"ENTREGADO")</f>
        <v>ENTREGADO</v>
      </c>
      <c r="L1932" s="65" t="str">
        <f>IFERROR(__xludf.DUMMYFUNCTION("""COMPUTED_VALUE"""),"CON RECAUDO")</f>
        <v>CON RECAUDO</v>
      </c>
      <c r="M1932" s="65" t="str">
        <f>IFERROR(__xludf.DUMMYFUNCTION("""COMPUTED_VALUE"""),"ZAMORA CHINCHIPE")</f>
        <v>ZAMORA CHINCHIPE</v>
      </c>
      <c r="N1932" s="65" t="str">
        <f>IFERROR(__xludf.DUMMYFUNCTION("""COMPUTED_VALUE"""),"YANTZAZA")</f>
        <v>YANTZAZA</v>
      </c>
      <c r="O1932" s="65" t="str">
        <f>IFERROR(__xludf.DUMMYFUNCTION("""COMPUTED_VALUE"""),"CS: YANTZAZA_IVAN RIOFRIO / IVAN RIOFRIO Y MARTIN AYUY")</f>
        <v>CS: YANTZAZA_IVAN RIOFRIO / IVAN RIOFRIO Y MARTIN AYUY</v>
      </c>
      <c r="P1932" s="65"/>
      <c r="Q1932" s="65" t="str">
        <f>IFERROR(__xludf.DUMMYFUNCTION("""COMPUTED_VALUE"""),"SERVIENTREGA")</f>
        <v>SERVIENTREGA</v>
      </c>
      <c r="R1932" s="65">
        <f>IFERROR(__xludf.DUMMYFUNCTION("""COMPUTED_VALUE"""),22.0)</f>
        <v>22</v>
      </c>
      <c r="S1932" s="65">
        <f>IFERROR(__xludf.DUMMYFUNCTION("""COMPUTED_VALUE"""),9.1)</f>
        <v>9.1</v>
      </c>
      <c r="T1932" s="65">
        <f>IFERROR(__xludf.DUMMYFUNCTION("""COMPUTED_VALUE"""),7.7)</f>
        <v>7.7</v>
      </c>
      <c r="U1932" s="65">
        <f>IFERROR(__xludf.DUMMYFUNCTION("""COMPUTED_VALUE"""),0.0)</f>
        <v>0</v>
      </c>
      <c r="V1932" s="65">
        <f>IFERROR(__xludf.DUMMYFUNCTION("""COMPUTED_VALUE"""),0.0)</f>
        <v>0</v>
      </c>
      <c r="W1932" s="65">
        <f>IFERROR(__xludf.DUMMYFUNCTION("""COMPUTED_VALUE"""),0.0)</f>
        <v>0</v>
      </c>
      <c r="X1932" s="65">
        <f>IFERROR(__xludf.DUMMYFUNCTION("""COMPUTED_VALUE"""),2.6)</f>
        <v>2.6</v>
      </c>
      <c r="Y1932" s="65">
        <f>IFERROR(__xludf.DUMMYFUNCTION("""COMPUTED_VALUE"""),5.2)</f>
        <v>5.2</v>
      </c>
      <c r="Z1932" s="65">
        <f>IFERROR(__xludf.DUMMYFUNCTION("""COMPUTED_VALUE"""),121983.0)</f>
        <v>121983</v>
      </c>
      <c r="AA1932" s="65" t="str">
        <f>IFERROR(__xludf.DUMMYFUNCTION("""COMPUTED_VALUE"""),"PROV-CHLLCF")</f>
        <v>PROV-CHLLCF</v>
      </c>
      <c r="AB1932" s="65"/>
      <c r="AC1932" s="65" t="str">
        <f>IFERROR(__xludf.DUMMYFUNCTION("""COMPUTED_VALUE"""),"CUCHILLO PARA CHEF")</f>
        <v>CUCHILLO PARA CHEF</v>
      </c>
      <c r="AD1932" s="65"/>
      <c r="AE1932" s="65">
        <f>IFERROR(__xludf.DUMMYFUNCTION("""COMPUTED_VALUE"""),2.0)</f>
        <v>2</v>
      </c>
      <c r="AF1932" s="65"/>
      <c r="AG1932" s="65"/>
      <c r="AH1932" s="65"/>
      <c r="AI1932" s="65"/>
      <c r="AJ1932" s="65"/>
      <c r="AK1932" s="65"/>
      <c r="AL1932" s="65"/>
      <c r="AM1932" s="65"/>
      <c r="AN1932" s="65" t="str">
        <f>IFERROR(__xludf.DUMMYFUNCTION("""COMPUTED_VALUE"""),"10:12")</f>
        <v>10:12</v>
      </c>
      <c r="AO1932" s="65" t="str">
        <f>IFERROR(__xludf.DUMMYFUNCTION("""COMPUTED_VALUE"""),"30-01-2026")</f>
        <v>30-01-2026</v>
      </c>
      <c r="AP1932" s="65" t="str">
        <f>IFERROR(__xludf.DUMMYFUNCTION("""COMPUTED_VALUE"""),"ENTREGA DIGITALIZADA EN CENTRO LOGISTICO")</f>
        <v>ENTREGA DIGITALIZADA EN CENTRO LOGISTICO</v>
      </c>
      <c r="AQ1932" s="65" t="str">
        <f>IFERROR(__xludf.DUMMYFUNCTION("""COMPUTED_VALUE"""),"SILVIO ROLAN SARANGO")</f>
        <v>SILVIO ROLAN SARANGO</v>
      </c>
      <c r="AR1932" s="65"/>
      <c r="AS1932" s="65" t="str">
        <f>IFERROR(__xludf.DUMMYFUNCTION("""COMPUTED_VALUE"""),"Bayron Gomez")</f>
        <v>Bayron Gomez</v>
      </c>
      <c r="AT1932" s="65"/>
      <c r="AU1932" s="65"/>
      <c r="AV1932" s="65"/>
      <c r="AW1932" s="65"/>
      <c r="AX1932" s="65"/>
      <c r="AY1932" s="65" t="str">
        <f>IFERROR(__xludf.DUMMYFUNCTION("""COMPUTED_VALUE"""),"12/01/2026")</f>
        <v>12/01/2026</v>
      </c>
      <c r="AZ1932" s="65"/>
      <c r="BA1932" s="65"/>
    </row>
    <row r="1933">
      <c r="A1933" s="65" t="str">
        <f>IFERROR(__xludf.DUMMYFUNCTION("""COMPUTED_VALUE"""),"27-03-2026")</f>
        <v>27-03-2026</v>
      </c>
      <c r="B1933" s="65">
        <f>IFERROR(__xludf.DUMMYFUNCTION("""COMPUTED_VALUE"""),4118949.0)</f>
        <v>4118949</v>
      </c>
      <c r="C1933" s="65" t="str">
        <f>IFERROR(__xludf.DUMMYFUNCTION("""COMPUTED_VALUE"""),"13:03")</f>
        <v>13:03</v>
      </c>
      <c r="D1933" s="65" t="str">
        <f>IFERROR(__xludf.DUMMYFUNCTION("""COMPUTED_VALUE"""),"12-01-2026")</f>
        <v>12-01-2026</v>
      </c>
      <c r="E1933" s="65" t="str">
        <f>IFERROR(__xludf.DUMMYFUNCTION("""COMPUTED_VALUE"""),"Yisella Valero")</f>
        <v>Yisella Valero</v>
      </c>
      <c r="F1933" s="65" t="str">
        <f>IFERROR(__xludf.DUMMYFUNCTION("""COMPUTED_VALUE"""),"988252066")</f>
        <v>988252066</v>
      </c>
      <c r="G1933" s="65"/>
      <c r="H1933" s="65"/>
      <c r="I1933" s="65"/>
      <c r="J1933" s="65"/>
      <c r="K1933" s="65" t="str">
        <f>IFERROR(__xludf.DUMMYFUNCTION("""COMPUTED_VALUE"""),"PENDIENTE CONFIRMACION")</f>
        <v>PENDIENTE CONFIRMACION</v>
      </c>
      <c r="L1933" s="65" t="str">
        <f>IFERROR(__xludf.DUMMYFUNCTION("""COMPUTED_VALUE"""),"CON RECAUDO")</f>
        <v>CON RECAUDO</v>
      </c>
      <c r="M1933" s="65" t="str">
        <f>IFERROR(__xludf.DUMMYFUNCTION("""COMPUTED_VALUE"""),"LOS RIOS")</f>
        <v>LOS RIOS</v>
      </c>
      <c r="N1933" s="65" t="str">
        <f>IFERROR(__xludf.DUMMYFUNCTION("""COMPUTED_VALUE"""),"BUENA FE")</f>
        <v>BUENA FE</v>
      </c>
      <c r="O1933" s="65" t="str">
        <f>IFERROR(__xludf.DUMMYFUNCTION("""COMPUTED_VALUE"""),"Buena fe Servi entrega -")</f>
        <v>Buena fe Servi entrega -</v>
      </c>
      <c r="P1933" s="65"/>
      <c r="Q1933" s="65" t="str">
        <f>IFERROR(__xludf.DUMMYFUNCTION("""COMPUTED_VALUE"""),"GINTRACOM")</f>
        <v>GINTRACOM</v>
      </c>
      <c r="R1933" s="65">
        <f>IFERROR(__xludf.DUMMYFUNCTION("""COMPUTED_VALUE"""),22.0)</f>
        <v>22</v>
      </c>
      <c r="S1933" s="65"/>
      <c r="T1933" s="65">
        <f>IFERROR(__xludf.DUMMYFUNCTION("""COMPUTED_VALUE"""),6.41)</f>
        <v>6.41</v>
      </c>
      <c r="U1933" s="65">
        <f>IFERROR(__xludf.DUMMYFUNCTION("""COMPUTED_VALUE"""),0.0)</f>
        <v>0</v>
      </c>
      <c r="V1933" s="65">
        <f>IFERROR(__xludf.DUMMYFUNCTION("""COMPUTED_VALUE"""),0.0)</f>
        <v>0</v>
      </c>
      <c r="W1933" s="65">
        <f>IFERROR(__xludf.DUMMYFUNCTION("""COMPUTED_VALUE"""),0.0)</f>
        <v>0</v>
      </c>
      <c r="X1933" s="65">
        <f>IFERROR(__xludf.DUMMYFUNCTION("""COMPUTED_VALUE"""),2.6)</f>
        <v>2.6</v>
      </c>
      <c r="Y1933" s="65">
        <f>IFERROR(__xludf.DUMMYFUNCTION("""COMPUTED_VALUE"""),5.2)</f>
        <v>5.2</v>
      </c>
      <c r="Z1933" s="65">
        <f>IFERROR(__xludf.DUMMYFUNCTION("""COMPUTED_VALUE"""),121983.0)</f>
        <v>121983</v>
      </c>
      <c r="AA1933" s="65" t="str">
        <f>IFERROR(__xludf.DUMMYFUNCTION("""COMPUTED_VALUE"""),"PROV-CHLLCF")</f>
        <v>PROV-CHLLCF</v>
      </c>
      <c r="AB1933" s="65"/>
      <c r="AC1933" s="65" t="str">
        <f>IFERROR(__xludf.DUMMYFUNCTION("""COMPUTED_VALUE"""),"CUCHILLO PARA CHEF")</f>
        <v>CUCHILLO PARA CHEF</v>
      </c>
      <c r="AD1933" s="65"/>
      <c r="AE1933" s="65">
        <f>IFERROR(__xludf.DUMMYFUNCTION("""COMPUTED_VALUE"""),2.0)</f>
        <v>2</v>
      </c>
      <c r="AF1933" s="65"/>
      <c r="AG1933" s="65"/>
      <c r="AH1933" s="65"/>
      <c r="AI1933" s="65"/>
      <c r="AJ1933" s="65"/>
      <c r="AK1933" s="65"/>
      <c r="AL1933" s="65"/>
      <c r="AM1933" s="65"/>
      <c r="AN1933" s="65"/>
      <c r="AO1933" s="65"/>
      <c r="AP1933" s="65"/>
      <c r="AQ1933" s="65"/>
      <c r="AR1933" s="65"/>
      <c r="AS1933" s="65"/>
      <c r="AT1933" s="65" t="str">
        <f>IFERROR(__xludf.DUMMYFUNCTION("""COMPUTED_VALUE"""),"SHOPIFY")</f>
        <v>SHOPIFY</v>
      </c>
      <c r="AU1933" s="65" t="str">
        <f>IFERROR(__xludf.DUMMYFUNCTION("""COMPUTED_VALUE"""),"IMPORTEX EC")</f>
        <v>IMPORTEX EC</v>
      </c>
      <c r="AV1933" s="65" t="str">
        <f>IFERROR(__xludf.DUMMYFUNCTION("""COMPUTED_VALUE"""),"6409299820588")</f>
        <v>6409299820588</v>
      </c>
      <c r="AW1933" s="65">
        <f>IFERROR(__xludf.DUMMYFUNCTION("""COMPUTED_VALUE"""),5036.0)</f>
        <v>5036</v>
      </c>
      <c r="AX1933" s="65"/>
      <c r="AY1933" s="65"/>
      <c r="AZ1933" s="65"/>
      <c r="BA1933" s="65"/>
    </row>
    <row r="1934">
      <c r="A1934" s="65" t="str">
        <f>IFERROR(__xludf.DUMMYFUNCTION("""COMPUTED_VALUE"""),"27-03-2026")</f>
        <v>27-03-2026</v>
      </c>
      <c r="B1934" s="65">
        <f>IFERROR(__xludf.DUMMYFUNCTION("""COMPUTED_VALUE"""),4118671.0)</f>
        <v>4118671</v>
      </c>
      <c r="C1934" s="65" t="str">
        <f>IFERROR(__xludf.DUMMYFUNCTION("""COMPUTED_VALUE"""),"12:44")</f>
        <v>12:44</v>
      </c>
      <c r="D1934" s="65" t="str">
        <f>IFERROR(__xludf.DUMMYFUNCTION("""COMPUTED_VALUE"""),"12-01-2026")</f>
        <v>12-01-2026</v>
      </c>
      <c r="E1934" s="65" t="str">
        <f>IFERROR(__xludf.DUMMYFUNCTION("""COMPUTED_VALUE"""),"Consuelo Carreño")</f>
        <v>Consuelo Carreño</v>
      </c>
      <c r="F1934" s="65" t="str">
        <f>IFERROR(__xludf.DUMMYFUNCTION("""COMPUTED_VALUE"""),"982061738")</f>
        <v>982061738</v>
      </c>
      <c r="G1934" s="65" t="str">
        <f>IFERROR(__xludf.DUMMYFUNCTION("""COMPUTED_VALUE"""),"carrenoconsuelo104@gmail.com")</f>
        <v>carrenoconsuelo104@gmail.com</v>
      </c>
      <c r="H1934" s="65"/>
      <c r="I1934" s="65"/>
      <c r="J1934" s="65" t="str">
        <f>IFERROR(__xludf.DUMMYFUNCTION("""COMPUTED_VALUE"""),"D001218333")</f>
        <v>D001218333</v>
      </c>
      <c r="K1934" s="65" t="str">
        <f>IFERROR(__xludf.DUMMYFUNCTION("""COMPUTED_VALUE"""),"ENTREGADO")</f>
        <v>ENTREGADO</v>
      </c>
      <c r="L1934" s="65" t="str">
        <f>IFERROR(__xludf.DUMMYFUNCTION("""COMPUTED_VALUE"""),"CON RECAUDO")</f>
        <v>CON RECAUDO</v>
      </c>
      <c r="M1934" s="65" t="str">
        <f>IFERROR(__xludf.DUMMYFUNCTION("""COMPUTED_VALUE"""),"EL ORO")</f>
        <v>EL ORO</v>
      </c>
      <c r="N1934" s="65" t="str">
        <f>IFERROR(__xludf.DUMMYFUNCTION("""COMPUTED_VALUE"""),"HUAQUILLAS")</f>
        <v>HUAQUILLAS</v>
      </c>
      <c r="O1934" s="65" t="str">
        <f>IFERROR(__xludf.DUMMYFUNCTION("""COMPUTED_VALUE"""),"Imbabura y Guayas entre los ríos Rumiñahui -una referencia , hay un restaurante llamado , Kachiris , la 3 casa es")</f>
        <v>Imbabura y Guayas entre los ríos Rumiñahui -una referencia , hay un restaurante llamado , Kachiris , la 3 casa es</v>
      </c>
      <c r="P1934" s="65"/>
      <c r="Q1934" s="65" t="str">
        <f>IFERROR(__xludf.DUMMYFUNCTION("""COMPUTED_VALUE"""),"GINTRACOM")</f>
        <v>GINTRACOM</v>
      </c>
      <c r="R1934" s="65">
        <f>IFERROR(__xludf.DUMMYFUNCTION("""COMPUTED_VALUE"""),22.0)</f>
        <v>22</v>
      </c>
      <c r="S1934" s="65">
        <f>IFERROR(__xludf.DUMMYFUNCTION("""COMPUTED_VALUE"""),10.96)</f>
        <v>10.96</v>
      </c>
      <c r="T1934" s="65">
        <f>IFERROR(__xludf.DUMMYFUNCTION("""COMPUTED_VALUE"""),5.84)</f>
        <v>5.84</v>
      </c>
      <c r="U1934" s="65">
        <f>IFERROR(__xludf.DUMMYFUNCTION("""COMPUTED_VALUE"""),0.0)</f>
        <v>0</v>
      </c>
      <c r="V1934" s="65">
        <f>IFERROR(__xludf.DUMMYFUNCTION("""COMPUTED_VALUE"""),0.0)</f>
        <v>0</v>
      </c>
      <c r="W1934" s="65">
        <f>IFERROR(__xludf.DUMMYFUNCTION("""COMPUTED_VALUE"""),0.0)</f>
        <v>0</v>
      </c>
      <c r="X1934" s="65">
        <f>IFERROR(__xludf.DUMMYFUNCTION("""COMPUTED_VALUE"""),2.6)</f>
        <v>2.6</v>
      </c>
      <c r="Y1934" s="65">
        <f>IFERROR(__xludf.DUMMYFUNCTION("""COMPUTED_VALUE"""),5.2)</f>
        <v>5.2</v>
      </c>
      <c r="Z1934" s="65">
        <f>IFERROR(__xludf.DUMMYFUNCTION("""COMPUTED_VALUE"""),121983.0)</f>
        <v>121983</v>
      </c>
      <c r="AA1934" s="65" t="str">
        <f>IFERROR(__xludf.DUMMYFUNCTION("""COMPUTED_VALUE"""),"PROV-CHLLCF")</f>
        <v>PROV-CHLLCF</v>
      </c>
      <c r="AB1934" s="65"/>
      <c r="AC1934" s="65" t="str">
        <f>IFERROR(__xludf.DUMMYFUNCTION("""COMPUTED_VALUE"""),"CUCHILLO PARA CHEF")</f>
        <v>CUCHILLO PARA CHEF</v>
      </c>
      <c r="AD1934" s="65"/>
      <c r="AE1934" s="65">
        <f>IFERROR(__xludf.DUMMYFUNCTION("""COMPUTED_VALUE"""),2.0)</f>
        <v>2</v>
      </c>
      <c r="AF1934" s="65"/>
      <c r="AG1934" s="65"/>
      <c r="AH1934" s="65"/>
      <c r="AI1934" s="65"/>
      <c r="AJ1934" s="65"/>
      <c r="AK1934" s="65"/>
      <c r="AL1934" s="65"/>
      <c r="AM1934" s="65"/>
      <c r="AN1934" s="65" t="str">
        <f>IFERROR(__xludf.DUMMYFUNCTION("""COMPUTED_VALUE"""),"10:29")</f>
        <v>10:29</v>
      </c>
      <c r="AO1934" s="65" t="str">
        <f>IFERROR(__xludf.DUMMYFUNCTION("""COMPUTED_VALUE"""),"16-01-2026")</f>
        <v>16-01-2026</v>
      </c>
      <c r="AP1934" s="65" t="str">
        <f>IFERROR(__xludf.DUMMYFUNCTION("""COMPUTED_VALUE"""),"EN REPARTO")</f>
        <v>EN REPARTO</v>
      </c>
      <c r="AQ1934" s="65" t="str">
        <f>IFERROR(__xludf.DUMMYFUNCTION("""COMPUTED_VALUE"""),"EN REPARTO")</f>
        <v>EN REPARTO</v>
      </c>
      <c r="AR1934" s="65"/>
      <c r="AS1934" s="65"/>
      <c r="AT1934" s="65" t="str">
        <f>IFERROR(__xludf.DUMMYFUNCTION("""COMPUTED_VALUE"""),"SHOPIFY")</f>
        <v>SHOPIFY</v>
      </c>
      <c r="AU1934" s="65" t="str">
        <f>IFERROR(__xludf.DUMMYFUNCTION("""COMPUTED_VALUE"""),"IMPORTEX EC")</f>
        <v>IMPORTEX EC</v>
      </c>
      <c r="AV1934" s="65" t="str">
        <f>IFERROR(__xludf.DUMMYFUNCTION("""COMPUTED_VALUE"""),"6409241198636")</f>
        <v>6409241198636</v>
      </c>
      <c r="AW1934" s="65">
        <f>IFERROR(__xludf.DUMMYFUNCTION("""COMPUTED_VALUE"""),5035.0)</f>
        <v>5035</v>
      </c>
      <c r="AX1934" s="65"/>
      <c r="AY1934" s="65" t="str">
        <f>IFERROR(__xludf.DUMMYFUNCTION("""COMPUTED_VALUE"""),"13/01/2026")</f>
        <v>13/01/2026</v>
      </c>
      <c r="AZ1934" s="65"/>
      <c r="BA1934" s="65"/>
    </row>
    <row r="1935">
      <c r="A1935" s="65" t="str">
        <f>IFERROR(__xludf.DUMMYFUNCTION("""COMPUTED_VALUE"""),"27-03-2026")</f>
        <v>27-03-2026</v>
      </c>
      <c r="B1935" s="65">
        <f>IFERROR(__xludf.DUMMYFUNCTION("""COMPUTED_VALUE"""),4118643.0)</f>
        <v>4118643</v>
      </c>
      <c r="C1935" s="65" t="str">
        <f>IFERROR(__xludf.DUMMYFUNCTION("""COMPUTED_VALUE"""),"12:42")</f>
        <v>12:42</v>
      </c>
      <c r="D1935" s="65" t="str">
        <f>IFERROR(__xludf.DUMMYFUNCTION("""COMPUTED_VALUE"""),"12-01-2026")</f>
        <v>12-01-2026</v>
      </c>
      <c r="E1935" s="65" t="str">
        <f>IFERROR(__xludf.DUMMYFUNCTION("""COMPUTED_VALUE"""),"María Fernanda Proaño")</f>
        <v>María Fernanda Proaño</v>
      </c>
      <c r="F1935" s="65" t="str">
        <f>IFERROR(__xludf.DUMMYFUNCTION("""COMPUTED_VALUE"""),"999984995")</f>
        <v>999984995</v>
      </c>
      <c r="G1935" s="65" t="str">
        <f>IFERROR(__xludf.DUMMYFUNCTION("""COMPUTED_VALUE"""),"mayfeprlo@hotmail.com")</f>
        <v>mayfeprlo@hotmail.com</v>
      </c>
      <c r="H1935" s="65"/>
      <c r="I1935" s="65"/>
      <c r="J1935" s="65" t="str">
        <f>IFERROR(__xludf.DUMMYFUNCTION("""COMPUTED_VALUE"""),"D001219544")</f>
        <v>D001219544</v>
      </c>
      <c r="K1935" s="65" t="str">
        <f>IFERROR(__xludf.DUMMYFUNCTION("""COMPUTED_VALUE"""),"ENTREGADO")</f>
        <v>ENTREGADO</v>
      </c>
      <c r="L1935" s="65" t="str">
        <f>IFERROR(__xludf.DUMMYFUNCTION("""COMPUTED_VALUE"""),"CON RECAUDO")</f>
        <v>CON RECAUDO</v>
      </c>
      <c r="M1935" s="65" t="str">
        <f>IFERROR(__xludf.DUMMYFUNCTION("""COMPUTED_VALUE"""),"PICHINCHA")</f>
        <v>PICHINCHA</v>
      </c>
      <c r="N1935" s="65" t="str">
        <f>IFERROR(__xludf.DUMMYFUNCTION("""COMPUTED_VALUE"""),"QUITO")</f>
        <v>QUITO</v>
      </c>
      <c r="O1935" s="65" t="str">
        <f>IFERROR(__xludf.DUMMYFUNCTION("""COMPUTED_VALUE"""),"Sector Cotocollao - Calle Gualaquiza N62-126 y Calle Sabanilla (tras el Mi Comisariato de la Prensa)")</f>
        <v>Sector Cotocollao - Calle Gualaquiza N62-126 y Calle Sabanilla (tras el Mi Comisariato de la Prensa)</v>
      </c>
      <c r="P1935" s="65"/>
      <c r="Q1935" s="65" t="str">
        <f>IFERROR(__xludf.DUMMYFUNCTION("""COMPUTED_VALUE"""),"GINTRACOM")</f>
        <v>GINTRACOM</v>
      </c>
      <c r="R1935" s="65">
        <f>IFERROR(__xludf.DUMMYFUNCTION("""COMPUTED_VALUE"""),25.0)</f>
        <v>25</v>
      </c>
      <c r="S1935" s="65">
        <f>IFERROR(__xludf.DUMMYFUNCTION("""COMPUTED_VALUE"""),15.95)</f>
        <v>15.95</v>
      </c>
      <c r="T1935" s="65">
        <f>IFERROR(__xludf.DUMMYFUNCTION("""COMPUTED_VALUE"""),4.35)</f>
        <v>4.35</v>
      </c>
      <c r="U1935" s="65">
        <f>IFERROR(__xludf.DUMMYFUNCTION("""COMPUTED_VALUE"""),0.0)</f>
        <v>0</v>
      </c>
      <c r="V1935" s="65">
        <f>IFERROR(__xludf.DUMMYFUNCTION("""COMPUTED_VALUE"""),0.0)</f>
        <v>0</v>
      </c>
      <c r="W1935" s="65">
        <f>IFERROR(__xludf.DUMMYFUNCTION("""COMPUTED_VALUE"""),0.0)</f>
        <v>0</v>
      </c>
      <c r="X1935" s="65">
        <f>IFERROR(__xludf.DUMMYFUNCTION("""COMPUTED_VALUE"""),2.35)</f>
        <v>2.35</v>
      </c>
      <c r="Y1935" s="65">
        <f>IFERROR(__xludf.DUMMYFUNCTION("""COMPUTED_VALUE"""),4.7)</f>
        <v>4.7</v>
      </c>
      <c r="Z1935" s="65">
        <f>IFERROR(__xludf.DUMMYFUNCTION("""COMPUTED_VALUE"""),116679.0)</f>
        <v>116679</v>
      </c>
      <c r="AA1935" s="65" t="str">
        <f>IFERROR(__xludf.DUMMYFUNCTION("""COMPUTED_VALUE"""),"AMC-2738")</f>
        <v>AMC-2738</v>
      </c>
      <c r="AB1935" s="65"/>
      <c r="AC1935" s="65" t="str">
        <f>IFERROR(__xludf.DUMMYFUNCTION("""COMPUTED_VALUE"""),"ESPONJA ANTILLUVIA DE PARABRISAS")</f>
        <v>ESPONJA ANTILLUVIA DE PARABRISAS</v>
      </c>
      <c r="AD1935" s="65"/>
      <c r="AE1935" s="65">
        <f>IFERROR(__xludf.DUMMYFUNCTION("""COMPUTED_VALUE"""),2.0)</f>
        <v>2</v>
      </c>
      <c r="AF1935" s="65"/>
      <c r="AG1935" s="65"/>
      <c r="AH1935" s="65"/>
      <c r="AI1935" s="65"/>
      <c r="AJ1935" s="65"/>
      <c r="AK1935" s="65"/>
      <c r="AL1935" s="65"/>
      <c r="AM1935" s="65"/>
      <c r="AN1935" s="65" t="str">
        <f>IFERROR(__xludf.DUMMYFUNCTION("""COMPUTED_VALUE"""),"16:14")</f>
        <v>16:14</v>
      </c>
      <c r="AO1935" s="65" t="str">
        <f>IFERROR(__xludf.DUMMYFUNCTION("""COMPUTED_VALUE"""),"16-01-2026")</f>
        <v>16-01-2026</v>
      </c>
      <c r="AP1935" s="65" t="str">
        <f>IFERROR(__xludf.DUMMYFUNCTION("""COMPUTED_VALUE"""),"ENTREGADA GINTRACOM")</f>
        <v>ENTREGADA GINTRACOM</v>
      </c>
      <c r="AQ1935" s="65" t="str">
        <f>IFERROR(__xludf.DUMMYFUNCTION("""COMPUTED_VALUE"""),"ENTREGADA GINTRACOM")</f>
        <v>ENTREGADA GINTRACOM</v>
      </c>
      <c r="AR1935" s="65"/>
      <c r="AS1935" s="65"/>
      <c r="AT1935" s="65" t="str">
        <f>IFERROR(__xludf.DUMMYFUNCTION("""COMPUTED_VALUE"""),"SHOPIFY")</f>
        <v>SHOPIFY</v>
      </c>
      <c r="AU1935" s="65" t="str">
        <f>IFERROR(__xludf.DUMMYFUNCTION("""COMPUTED_VALUE"""),"IMPORTEX EC")</f>
        <v>IMPORTEX EC</v>
      </c>
      <c r="AV1935" s="65" t="str">
        <f>IFERROR(__xludf.DUMMYFUNCTION("""COMPUTED_VALUE"""),"6409226616876")</f>
        <v>6409226616876</v>
      </c>
      <c r="AW1935" s="65">
        <f>IFERROR(__xludf.DUMMYFUNCTION("""COMPUTED_VALUE"""),5034.0)</f>
        <v>5034</v>
      </c>
      <c r="AX1935" s="65"/>
      <c r="AY1935" s="65" t="str">
        <f>IFERROR(__xludf.DUMMYFUNCTION("""COMPUTED_VALUE"""),"13/01/2026")</f>
        <v>13/01/2026</v>
      </c>
      <c r="AZ1935" s="65"/>
      <c r="BA1935" s="65"/>
    </row>
    <row r="1936">
      <c r="A1936" s="65" t="str">
        <f>IFERROR(__xludf.DUMMYFUNCTION("""COMPUTED_VALUE"""),"27-03-2026")</f>
        <v>27-03-2026</v>
      </c>
      <c r="B1936" s="65">
        <f>IFERROR(__xludf.DUMMYFUNCTION("""COMPUTED_VALUE"""),4118592.0)</f>
        <v>4118592</v>
      </c>
      <c r="C1936" s="65" t="str">
        <f>IFERROR(__xludf.DUMMYFUNCTION("""COMPUTED_VALUE"""),"12:38")</f>
        <v>12:38</v>
      </c>
      <c r="D1936" s="65" t="str">
        <f>IFERROR(__xludf.DUMMYFUNCTION("""COMPUTED_VALUE"""),"12-01-2026")</f>
        <v>12-01-2026</v>
      </c>
      <c r="E1936" s="65" t="str">
        <f>IFERROR(__xludf.DUMMYFUNCTION("""COMPUTED_VALUE"""),"Clara Hernandez")</f>
        <v>Clara Hernandez</v>
      </c>
      <c r="F1936" s="65" t="str">
        <f>IFERROR(__xludf.DUMMYFUNCTION("""COMPUTED_VALUE"""),"989442694")</f>
        <v>989442694</v>
      </c>
      <c r="G1936" s="65"/>
      <c r="H1936" s="65"/>
      <c r="I1936" s="65"/>
      <c r="J1936" s="65" t="str">
        <f>IFERROR(__xludf.DUMMYFUNCTION("""COMPUTED_VALUE"""),"D001223061")</f>
        <v>D001223061</v>
      </c>
      <c r="K1936" s="65" t="str">
        <f>IFERROR(__xludf.DUMMYFUNCTION("""COMPUTED_VALUE"""),"ENTREGADO")</f>
        <v>ENTREGADO</v>
      </c>
      <c r="L1936" s="65" t="str">
        <f>IFERROR(__xludf.DUMMYFUNCTION("""COMPUTED_VALUE"""),"CON RECAUDO")</f>
        <v>CON RECAUDO</v>
      </c>
      <c r="M1936" s="65" t="str">
        <f>IFERROR(__xludf.DUMMYFUNCTION("""COMPUTED_VALUE"""),"PICHINCHA")</f>
        <v>PICHINCHA</v>
      </c>
      <c r="N1936" s="65" t="str">
        <f>IFERROR(__xludf.DUMMYFUNCTION("""COMPUTED_VALUE"""),"QUITO")</f>
        <v>QUITO</v>
      </c>
      <c r="O1936" s="65" t="str">
        <f>IFERROR(__xludf.DUMMYFUNCTION("""COMPUTED_VALUE"""),"Sector lucha de los pobres alto  calle  4 y 5 , ( envio ubicacion  en notas)")</f>
        <v>Sector lucha de los pobres alto  calle  4 y 5 , ( envio ubicacion  en notas)</v>
      </c>
      <c r="P1936" s="65" t="str">
        <f>IFERROR(__xludf.DUMMYFUNCTION("""COMPUTED_VALUE"""),"ENVIO UBICACION  ; https://www.google.com/maps/place/0%C2%B017'40.0%22S+78%C2%B031'23.7%22W/@-0.2942941,-78.5236256,18.96z/data=!4m4!3m3!8m2!3d-0.2944403!4d-78.5232575?hl=es&amp;entry=ttu&amp;g_ep=EgoyMDI2MDEwNy4wIKXMDSoASAFQAw%3D%3D        HORARIO : A PARTIR DE "&amp;"LAS 17:30 EN ADELANTE")</f>
        <v>ENVIO UBICACION  ; https://www.google.com/maps/place/0%C2%B017'40.0%22S+78%C2%B031'23.7%22W/@-0.2942941,-78.5236256,18.96z/data=!4m4!3m3!8m2!3d-0.2944403!4d-78.5232575?hl=es&amp;entry=ttu&amp;g_ep=EgoyMDI2MDEwNy4wIKXMDSoASAFQAw%3D%3D        HORARIO : A PARTIR DE LAS 17:30 EN ADELANTE</v>
      </c>
      <c r="Q1936" s="65" t="str">
        <f>IFERROR(__xludf.DUMMYFUNCTION("""COMPUTED_VALUE"""),"GINTRACOM")</f>
        <v>GINTRACOM</v>
      </c>
      <c r="R1936" s="65">
        <f>IFERROR(__xludf.DUMMYFUNCTION("""COMPUTED_VALUE"""),27.0)</f>
        <v>27</v>
      </c>
      <c r="S1936" s="65">
        <f>IFERROR(__xludf.DUMMYFUNCTION("""COMPUTED_VALUE"""),13.16)</f>
        <v>13.16</v>
      </c>
      <c r="T1936" s="65">
        <f>IFERROR(__xludf.DUMMYFUNCTION("""COMPUTED_VALUE"""),6.04)</f>
        <v>6.04</v>
      </c>
      <c r="U1936" s="65">
        <f>IFERROR(__xludf.DUMMYFUNCTION("""COMPUTED_VALUE"""),0.0)</f>
        <v>0</v>
      </c>
      <c r="V1936" s="65">
        <f>IFERROR(__xludf.DUMMYFUNCTION("""COMPUTED_VALUE"""),0.0)</f>
        <v>0</v>
      </c>
      <c r="W1936" s="65">
        <f>IFERROR(__xludf.DUMMYFUNCTION("""COMPUTED_VALUE"""),0.0)</f>
        <v>0</v>
      </c>
      <c r="X1936" s="65">
        <f>IFERROR(__xludf.DUMMYFUNCTION("""COMPUTED_VALUE"""),2.6)</f>
        <v>2.6</v>
      </c>
      <c r="Y1936" s="65">
        <f>IFERROR(__xludf.DUMMYFUNCTION("""COMPUTED_VALUE"""),7.8)</f>
        <v>7.8</v>
      </c>
      <c r="Z1936" s="65">
        <f>IFERROR(__xludf.DUMMYFUNCTION("""COMPUTED_VALUE"""),121983.0)</f>
        <v>121983</v>
      </c>
      <c r="AA1936" s="65" t="str">
        <f>IFERROR(__xludf.DUMMYFUNCTION("""COMPUTED_VALUE"""),"PROV-CHLLCF")</f>
        <v>PROV-CHLLCF</v>
      </c>
      <c r="AB1936" s="65"/>
      <c r="AC1936" s="65" t="str">
        <f>IFERROR(__xludf.DUMMYFUNCTION("""COMPUTED_VALUE"""),"CUCHILLO PARA CHEF")</f>
        <v>CUCHILLO PARA CHEF</v>
      </c>
      <c r="AD1936" s="65"/>
      <c r="AE1936" s="65">
        <f>IFERROR(__xludf.DUMMYFUNCTION("""COMPUTED_VALUE"""),3.0)</f>
        <v>3</v>
      </c>
      <c r="AF1936" s="65"/>
      <c r="AG1936" s="65"/>
      <c r="AH1936" s="65"/>
      <c r="AI1936" s="65"/>
      <c r="AJ1936" s="65"/>
      <c r="AK1936" s="65"/>
      <c r="AL1936" s="65"/>
      <c r="AM1936" s="65"/>
      <c r="AN1936" s="65" t="str">
        <f>IFERROR(__xludf.DUMMYFUNCTION("""COMPUTED_VALUE"""),"08:56")</f>
        <v>08:56</v>
      </c>
      <c r="AO1936" s="65" t="str">
        <f>IFERROR(__xludf.DUMMYFUNCTION("""COMPUTED_VALUE"""),"16-01-2026")</f>
        <v>16-01-2026</v>
      </c>
      <c r="AP1936" s="65" t="str">
        <f>IFERROR(__xludf.DUMMYFUNCTION("""COMPUTED_VALUE"""),"EN REPARTO")</f>
        <v>EN REPARTO</v>
      </c>
      <c r="AQ1936" s="65" t="str">
        <f>IFERROR(__xludf.DUMMYFUNCTION("""COMPUTED_VALUE"""),"EN REPARTO")</f>
        <v>EN REPARTO</v>
      </c>
      <c r="AR1936" s="65"/>
      <c r="AS1936" s="65"/>
      <c r="AT1936" s="65"/>
      <c r="AU1936" s="65"/>
      <c r="AV1936" s="65"/>
      <c r="AW1936" s="65"/>
      <c r="AX1936" s="65"/>
      <c r="AY1936" s="65" t="str">
        <f>IFERROR(__xludf.DUMMYFUNCTION("""COMPUTED_VALUE"""),"14/01/2026")</f>
        <v>14/01/2026</v>
      </c>
      <c r="AZ1936" s="65"/>
      <c r="BA1936" s="65"/>
    </row>
    <row r="1937">
      <c r="A1937" s="65" t="str">
        <f>IFERROR(__xludf.DUMMYFUNCTION("""COMPUTED_VALUE"""),"27-03-2026")</f>
        <v>27-03-2026</v>
      </c>
      <c r="B1937" s="65">
        <f>IFERROR(__xludf.DUMMYFUNCTION("""COMPUTED_VALUE"""),4118444.0)</f>
        <v>4118444</v>
      </c>
      <c r="C1937" s="65" t="str">
        <f>IFERROR(__xludf.DUMMYFUNCTION("""COMPUTED_VALUE"""),"12:25")</f>
        <v>12:25</v>
      </c>
      <c r="D1937" s="65" t="str">
        <f>IFERROR(__xludf.DUMMYFUNCTION("""COMPUTED_VALUE"""),"12-01-2026")</f>
        <v>12-01-2026</v>
      </c>
      <c r="E1937" s="65" t="str">
        <f>IFERROR(__xludf.DUMMYFUNCTION("""COMPUTED_VALUE"""),"LUIYI TYRONE CASTILLO BRIONES")</f>
        <v>LUIYI TYRONE CASTILLO BRIONES</v>
      </c>
      <c r="F1937" s="65" t="str">
        <f>IFERROR(__xludf.DUMMYFUNCTION("""COMPUTED_VALUE"""),"989655866")</f>
        <v>989655866</v>
      </c>
      <c r="G1937" s="65" t="str">
        <f>IFERROR(__xludf.DUMMYFUNCTION("""COMPUTED_VALUE"""),"tyronec1971@hotmail.com")</f>
        <v>tyronec1971@hotmail.com</v>
      </c>
      <c r="H1937" s="65"/>
      <c r="I1937" s="65"/>
      <c r="J1937" s="65" t="str">
        <f>IFERROR(__xludf.DUMMYFUNCTION("""COMPUTED_VALUE"""),"D001219545")</f>
        <v>D001219545</v>
      </c>
      <c r="K1937" s="65" t="str">
        <f>IFERROR(__xludf.DUMMYFUNCTION("""COMPUTED_VALUE"""),"ENTREGADO")</f>
        <v>ENTREGADO</v>
      </c>
      <c r="L1937" s="65" t="str">
        <f>IFERROR(__xludf.DUMMYFUNCTION("""COMPUTED_VALUE"""),"CON RECAUDO")</f>
        <v>CON RECAUDO</v>
      </c>
      <c r="M1937" s="65" t="str">
        <f>IFERROR(__xludf.DUMMYFUNCTION("""COMPUTED_VALUE"""),"LOS RIOS")</f>
        <v>LOS RIOS</v>
      </c>
      <c r="N1937" s="65" t="str">
        <f>IFERROR(__xludf.DUMMYFUNCTION("""COMPUTED_VALUE"""),"VINCES")</f>
        <v>VINCES</v>
      </c>
      <c r="O1937" s="65" t="str">
        <f>IFERROR(__xludf.DUMMYFUNCTION("""COMPUTED_VALUE"""),"Cordova y paquisha La granja -")</f>
        <v>Cordova y paquisha La granja -</v>
      </c>
      <c r="P1937" s="65"/>
      <c r="Q1937" s="65" t="str">
        <f>IFERROR(__xludf.DUMMYFUNCTION("""COMPUTED_VALUE"""),"GINTRACOM")</f>
        <v>GINTRACOM</v>
      </c>
      <c r="R1937" s="65">
        <f>IFERROR(__xludf.DUMMYFUNCTION("""COMPUTED_VALUE"""),25.0)</f>
        <v>25</v>
      </c>
      <c r="S1937" s="65">
        <f>IFERROR(__xludf.DUMMYFUNCTION("""COMPUTED_VALUE"""),14.34)</f>
        <v>14.34</v>
      </c>
      <c r="T1937" s="65">
        <f>IFERROR(__xludf.DUMMYFUNCTION("""COMPUTED_VALUE"""),5.96)</f>
        <v>5.96</v>
      </c>
      <c r="U1937" s="65">
        <f>IFERROR(__xludf.DUMMYFUNCTION("""COMPUTED_VALUE"""),0.0)</f>
        <v>0</v>
      </c>
      <c r="V1937" s="65">
        <f>IFERROR(__xludf.DUMMYFUNCTION("""COMPUTED_VALUE"""),0.0)</f>
        <v>0</v>
      </c>
      <c r="W1937" s="65">
        <f>IFERROR(__xludf.DUMMYFUNCTION("""COMPUTED_VALUE"""),0.0)</f>
        <v>0</v>
      </c>
      <c r="X1937" s="65">
        <f>IFERROR(__xludf.DUMMYFUNCTION("""COMPUTED_VALUE"""),2.35)</f>
        <v>2.35</v>
      </c>
      <c r="Y1937" s="65">
        <f>IFERROR(__xludf.DUMMYFUNCTION("""COMPUTED_VALUE"""),4.7)</f>
        <v>4.7</v>
      </c>
      <c r="Z1937" s="65">
        <f>IFERROR(__xludf.DUMMYFUNCTION("""COMPUTED_VALUE"""),116679.0)</f>
        <v>116679</v>
      </c>
      <c r="AA1937" s="65" t="str">
        <f>IFERROR(__xludf.DUMMYFUNCTION("""COMPUTED_VALUE"""),"AMC-2738")</f>
        <v>AMC-2738</v>
      </c>
      <c r="AB1937" s="65"/>
      <c r="AC1937" s="65" t="str">
        <f>IFERROR(__xludf.DUMMYFUNCTION("""COMPUTED_VALUE"""),"ESPONJA ANTILLUVIA DE PARABRISAS")</f>
        <v>ESPONJA ANTILLUVIA DE PARABRISAS</v>
      </c>
      <c r="AD1937" s="65"/>
      <c r="AE1937" s="65">
        <f>IFERROR(__xludf.DUMMYFUNCTION("""COMPUTED_VALUE"""),2.0)</f>
        <v>2</v>
      </c>
      <c r="AF1937" s="65"/>
      <c r="AG1937" s="65"/>
      <c r="AH1937" s="65"/>
      <c r="AI1937" s="65"/>
      <c r="AJ1937" s="65"/>
      <c r="AK1937" s="65"/>
      <c r="AL1937" s="65"/>
      <c r="AM1937" s="65"/>
      <c r="AN1937" s="65" t="str">
        <f>IFERROR(__xludf.DUMMYFUNCTION("""COMPUTED_VALUE"""),"12:04")</f>
        <v>12:04</v>
      </c>
      <c r="AO1937" s="65" t="str">
        <f>IFERROR(__xludf.DUMMYFUNCTION("""COMPUTED_VALUE"""),"16-01-2026")</f>
        <v>16-01-2026</v>
      </c>
      <c r="AP1937" s="65" t="str">
        <f>IFERROR(__xludf.DUMMYFUNCTION("""COMPUTED_VALUE"""),"DESTINATARIO RE-PROGRAMA FECHA DE ENTREGA")</f>
        <v>DESTINATARIO RE-PROGRAMA FECHA DE ENTREGA</v>
      </c>
      <c r="AQ1937" s="65" t="str">
        <f>IFERROR(__xludf.DUMMYFUNCTION("""COMPUTED_VALUE"""),"DESTINATARIO RE-PROGRAMA FECHA DE ENTREGA")</f>
        <v>DESTINATARIO RE-PROGRAMA FECHA DE ENTREGA</v>
      </c>
      <c r="AR1937" s="65"/>
      <c r="AS1937" s="65"/>
      <c r="AT1937" s="65" t="str">
        <f>IFERROR(__xludf.DUMMYFUNCTION("""COMPUTED_VALUE"""),"SHOPIFY")</f>
        <v>SHOPIFY</v>
      </c>
      <c r="AU1937" s="65" t="str">
        <f>IFERROR(__xludf.DUMMYFUNCTION("""COMPUTED_VALUE"""),"IMPORTEX EC")</f>
        <v>IMPORTEX EC</v>
      </c>
      <c r="AV1937" s="65" t="str">
        <f>IFERROR(__xludf.DUMMYFUNCTION("""COMPUTED_VALUE"""),"6409185656876")</f>
        <v>6409185656876</v>
      </c>
      <c r="AW1937" s="65">
        <f>IFERROR(__xludf.DUMMYFUNCTION("""COMPUTED_VALUE"""),5033.0)</f>
        <v>5033</v>
      </c>
      <c r="AX1937" s="65"/>
      <c r="AY1937" s="65" t="str">
        <f>IFERROR(__xludf.DUMMYFUNCTION("""COMPUTED_VALUE"""),"13/01/2026")</f>
        <v>13/01/2026</v>
      </c>
      <c r="AZ1937" s="65"/>
      <c r="BA1937" s="65"/>
    </row>
    <row r="1938">
      <c r="A1938" s="65" t="str">
        <f>IFERROR(__xludf.DUMMYFUNCTION("""COMPUTED_VALUE"""),"27-03-2026")</f>
        <v>27-03-2026</v>
      </c>
      <c r="B1938" s="65">
        <f>IFERROR(__xludf.DUMMYFUNCTION("""COMPUTED_VALUE"""),4118141.0)</f>
        <v>4118141</v>
      </c>
      <c r="C1938" s="65" t="str">
        <f>IFERROR(__xludf.DUMMYFUNCTION("""COMPUTED_VALUE"""),"11:58")</f>
        <v>11:58</v>
      </c>
      <c r="D1938" s="65" t="str">
        <f>IFERROR(__xludf.DUMMYFUNCTION("""COMPUTED_VALUE"""),"12-01-2026")</f>
        <v>12-01-2026</v>
      </c>
      <c r="E1938" s="65" t="str">
        <f>IFERROR(__xludf.DUMMYFUNCTION("""COMPUTED_VALUE"""),"Delia Lavayen Lavayen")</f>
        <v>Delia Lavayen Lavayen</v>
      </c>
      <c r="F1938" s="65" t="str">
        <f>IFERROR(__xludf.DUMMYFUNCTION("""COMPUTED_VALUE"""),"991576096")</f>
        <v>991576096</v>
      </c>
      <c r="G1938" s="65"/>
      <c r="H1938" s="65"/>
      <c r="I1938" s="65"/>
      <c r="J1938" s="65" t="str">
        <f>IFERROR(__xludf.DUMMYFUNCTION("""COMPUTED_VALUE"""),"186964433")</f>
        <v>186964433</v>
      </c>
      <c r="K1938" s="65" t="str">
        <f>IFERROR(__xludf.DUMMYFUNCTION("""COMPUTED_VALUE"""),"ENTREGADO")</f>
        <v>ENTREGADO</v>
      </c>
      <c r="L1938" s="65" t="str">
        <f>IFERROR(__xludf.DUMMYFUNCTION("""COMPUTED_VALUE"""),"CON RECAUDO")</f>
        <v>CON RECAUDO</v>
      </c>
      <c r="M1938" s="65" t="str">
        <f>IFERROR(__xludf.DUMMYFUNCTION("""COMPUTED_VALUE"""),"EL ORO")</f>
        <v>EL ORO</v>
      </c>
      <c r="N1938" s="65" t="str">
        <f>IFERROR(__xludf.DUMMYFUNCTION("""COMPUTED_VALUE"""),"EL GUABO")</f>
        <v>EL GUABO</v>
      </c>
      <c r="O1938" s="65" t="str">
        <f>IFERROR(__xludf.DUMMYFUNCTION("""COMPUTED_VALUE"""),"CS: EL GUABO_3 DE NOV. Y ELOY ALFARO JUNTO A ALMACENES TIA")</f>
        <v>CS: EL GUABO_3 DE NOV. Y ELOY ALFARO JUNTO A ALMACENES TIA</v>
      </c>
      <c r="P1938" s="65"/>
      <c r="Q1938" s="65" t="str">
        <f>IFERROR(__xludf.DUMMYFUNCTION("""COMPUTED_VALUE"""),"SERVIENTREGA")</f>
        <v>SERVIENTREGA</v>
      </c>
      <c r="R1938" s="65">
        <f>IFERROR(__xludf.DUMMYFUNCTION("""COMPUTED_VALUE"""),22.0)</f>
        <v>22</v>
      </c>
      <c r="S1938" s="65">
        <f>IFERROR(__xludf.DUMMYFUNCTION("""COMPUTED_VALUE"""),9.1)</f>
        <v>9.1</v>
      </c>
      <c r="T1938" s="65">
        <f>IFERROR(__xludf.DUMMYFUNCTION("""COMPUTED_VALUE"""),7.7)</f>
        <v>7.7</v>
      </c>
      <c r="U1938" s="65">
        <f>IFERROR(__xludf.DUMMYFUNCTION("""COMPUTED_VALUE"""),0.0)</f>
        <v>0</v>
      </c>
      <c r="V1938" s="65">
        <f>IFERROR(__xludf.DUMMYFUNCTION("""COMPUTED_VALUE"""),0.0)</f>
        <v>0</v>
      </c>
      <c r="W1938" s="65">
        <f>IFERROR(__xludf.DUMMYFUNCTION("""COMPUTED_VALUE"""),0.0)</f>
        <v>0</v>
      </c>
      <c r="X1938" s="65">
        <f>IFERROR(__xludf.DUMMYFUNCTION("""COMPUTED_VALUE"""),2.6)</f>
        <v>2.6</v>
      </c>
      <c r="Y1938" s="65">
        <f>IFERROR(__xludf.DUMMYFUNCTION("""COMPUTED_VALUE"""),5.2)</f>
        <v>5.2</v>
      </c>
      <c r="Z1938" s="65">
        <f>IFERROR(__xludf.DUMMYFUNCTION("""COMPUTED_VALUE"""),121983.0)</f>
        <v>121983</v>
      </c>
      <c r="AA1938" s="65" t="str">
        <f>IFERROR(__xludf.DUMMYFUNCTION("""COMPUTED_VALUE"""),"PROV-CHLLCF")</f>
        <v>PROV-CHLLCF</v>
      </c>
      <c r="AB1938" s="65"/>
      <c r="AC1938" s="65" t="str">
        <f>IFERROR(__xludf.DUMMYFUNCTION("""COMPUTED_VALUE"""),"CUCHILLO PARA CHEF")</f>
        <v>CUCHILLO PARA CHEF</v>
      </c>
      <c r="AD1938" s="65"/>
      <c r="AE1938" s="65">
        <f>IFERROR(__xludf.DUMMYFUNCTION("""COMPUTED_VALUE"""),2.0)</f>
        <v>2</v>
      </c>
      <c r="AF1938" s="65"/>
      <c r="AG1938" s="65"/>
      <c r="AH1938" s="65"/>
      <c r="AI1938" s="65"/>
      <c r="AJ1938" s="65"/>
      <c r="AK1938" s="65"/>
      <c r="AL1938" s="65"/>
      <c r="AM1938" s="65"/>
      <c r="AN1938" s="65" t="str">
        <f>IFERROR(__xludf.DUMMYFUNCTION("""COMPUTED_VALUE"""),"13:47")</f>
        <v>13:47</v>
      </c>
      <c r="AO1938" s="65" t="str">
        <f>IFERROR(__xludf.DUMMYFUNCTION("""COMPUTED_VALUE"""),"19-01-2026")</f>
        <v>19-01-2026</v>
      </c>
      <c r="AP1938" s="65" t="str">
        <f>IFERROR(__xludf.DUMMYFUNCTION("""COMPUTED_VALUE"""),"REPORTADO ENTREGADO EN AGENCIA")</f>
        <v>REPORTADO ENTREGADO EN AGENCIA</v>
      </c>
      <c r="AQ1938" s="65" t="str">
        <f>IFERROR(__xludf.DUMMYFUNCTION("""COMPUTED_VALUE"""),"DELIA LAVAYEN }")</f>
        <v>DELIA LAVAYEN }</v>
      </c>
      <c r="AR1938" s="65"/>
      <c r="AS1938" s="65" t="str">
        <f>IFERROR(__xludf.DUMMYFUNCTION("""COMPUTED_VALUE"""),"Bayron Gomez")</f>
        <v>Bayron Gomez</v>
      </c>
      <c r="AT1938" s="65"/>
      <c r="AU1938" s="65"/>
      <c r="AV1938" s="65"/>
      <c r="AW1938" s="65"/>
      <c r="AX1938" s="65"/>
      <c r="AY1938" s="65" t="str">
        <f>IFERROR(__xludf.DUMMYFUNCTION("""COMPUTED_VALUE"""),"12/01/2026")</f>
        <v>12/01/2026</v>
      </c>
      <c r="AZ1938" s="65"/>
      <c r="BA1938" s="65"/>
    </row>
    <row r="1939">
      <c r="A1939" s="65" t="str">
        <f>IFERROR(__xludf.DUMMYFUNCTION("""COMPUTED_VALUE"""),"27-03-2026")</f>
        <v>27-03-2026</v>
      </c>
      <c r="B1939" s="65">
        <f>IFERROR(__xludf.DUMMYFUNCTION("""COMPUTED_VALUE"""),4118031.0)</f>
        <v>4118031</v>
      </c>
      <c r="C1939" s="65" t="str">
        <f>IFERROR(__xludf.DUMMYFUNCTION("""COMPUTED_VALUE"""),"11:52")</f>
        <v>11:52</v>
      </c>
      <c r="D1939" s="65" t="str">
        <f>IFERROR(__xludf.DUMMYFUNCTION("""COMPUTED_VALUE"""),"12-01-2026")</f>
        <v>12-01-2026</v>
      </c>
      <c r="E1939" s="65" t="str">
        <f>IFERROR(__xludf.DUMMYFUNCTION("""COMPUTED_VALUE"""),"Gonzalo Salazar vera")</f>
        <v>Gonzalo Salazar vera</v>
      </c>
      <c r="F1939" s="65" t="str">
        <f>IFERROR(__xludf.DUMMYFUNCTION("""COMPUTED_VALUE"""),"989442694")</f>
        <v>989442694</v>
      </c>
      <c r="G1939" s="65"/>
      <c r="H1939" s="65"/>
      <c r="I1939" s="65"/>
      <c r="J1939" s="65" t="str">
        <f>IFERROR(__xludf.DUMMYFUNCTION("""COMPUTED_VALUE"""),"D001223065")</f>
        <v>D001223065</v>
      </c>
      <c r="K1939" s="65" t="str">
        <f>IFERROR(__xludf.DUMMYFUNCTION("""COMPUTED_VALUE"""),"DEVOLUCION")</f>
        <v>DEVOLUCION</v>
      </c>
      <c r="L1939" s="65" t="str">
        <f>IFERROR(__xludf.DUMMYFUNCTION("""COMPUTED_VALUE"""),"CON RECAUDO")</f>
        <v>CON RECAUDO</v>
      </c>
      <c r="M1939" s="65" t="str">
        <f>IFERROR(__xludf.DUMMYFUNCTION("""COMPUTED_VALUE"""),"GUAYAS")</f>
        <v>GUAYAS</v>
      </c>
      <c r="N1939" s="65" t="str">
        <f>IFERROR(__xludf.DUMMYFUNCTION("""COMPUTED_VALUE"""),"MILAGRO")</f>
        <v>MILAGRO</v>
      </c>
      <c r="O1939" s="65" t="str">
        <f>IFERROR(__xludf.DUMMYFUNCTION("""COMPUTED_VALUE"""),"Galo plaza y latacunga")</f>
        <v>Galo plaza y latacunga</v>
      </c>
      <c r="P1939" s="65"/>
      <c r="Q1939" s="65" t="str">
        <f>IFERROR(__xludf.DUMMYFUNCTION("""COMPUTED_VALUE"""),"GINTRACOM")</f>
        <v>GINTRACOM</v>
      </c>
      <c r="R1939" s="65">
        <f>IFERROR(__xludf.DUMMYFUNCTION("""COMPUTED_VALUE"""),22.0)</f>
        <v>22</v>
      </c>
      <c r="S1939" s="65"/>
      <c r="T1939" s="65">
        <f>IFERROR(__xludf.DUMMYFUNCTION("""COMPUTED_VALUE"""),5.26)</f>
        <v>5.26</v>
      </c>
      <c r="U1939" s="65">
        <f>IFERROR(__xludf.DUMMYFUNCTION("""COMPUTED_VALUE"""),0.0)</f>
        <v>0</v>
      </c>
      <c r="V1939" s="65">
        <f>IFERROR(__xludf.DUMMYFUNCTION("""COMPUTED_VALUE"""),0.0)</f>
        <v>0</v>
      </c>
      <c r="W1939" s="65">
        <f>IFERROR(__xludf.DUMMYFUNCTION("""COMPUTED_VALUE"""),0.0)</f>
        <v>0</v>
      </c>
      <c r="X1939" s="65">
        <f>IFERROR(__xludf.DUMMYFUNCTION("""COMPUTED_VALUE"""),2.6)</f>
        <v>2.6</v>
      </c>
      <c r="Y1939" s="65">
        <f>IFERROR(__xludf.DUMMYFUNCTION("""COMPUTED_VALUE"""),5.2)</f>
        <v>5.2</v>
      </c>
      <c r="Z1939" s="65">
        <f>IFERROR(__xludf.DUMMYFUNCTION("""COMPUTED_VALUE"""),121983.0)</f>
        <v>121983</v>
      </c>
      <c r="AA1939" s="65" t="str">
        <f>IFERROR(__xludf.DUMMYFUNCTION("""COMPUTED_VALUE"""),"PROV-CHLLCF")</f>
        <v>PROV-CHLLCF</v>
      </c>
      <c r="AB1939" s="65"/>
      <c r="AC1939" s="65" t="str">
        <f>IFERROR(__xludf.DUMMYFUNCTION("""COMPUTED_VALUE"""),"CUCHILLO PARA CHEF")</f>
        <v>CUCHILLO PARA CHEF</v>
      </c>
      <c r="AD1939" s="65"/>
      <c r="AE1939" s="65">
        <f>IFERROR(__xludf.DUMMYFUNCTION("""COMPUTED_VALUE"""),2.0)</f>
        <v>2</v>
      </c>
      <c r="AF1939" s="65" t="str">
        <f>IFERROR(__xludf.DUMMYFUNCTION("""COMPUTED_VALUE"""),"DESTINATARIO NO CONTESTA LLAMADAS NI WHATSAPP")</f>
        <v>DESTINATARIO NO CONTESTA LLAMADAS NI WHATSAPP</v>
      </c>
      <c r="AG1939" s="65" t="str">
        <f>IFERROR(__xludf.DUMMYFUNCTION("""COMPUTED_VALUE"""),"SI")</f>
        <v>SI</v>
      </c>
      <c r="AH1939" s="65" t="str">
        <f>IFERROR(__xludf.DUMMYFUNCTION("""COMPUTED_VALUE"""),"09:00")</f>
        <v>09:00</v>
      </c>
      <c r="AI1939" s="65" t="str">
        <f>IFERROR(__xludf.DUMMYFUNCTION("""COMPUTED_VALUE"""),"23-01-2026")</f>
        <v>23-01-2026</v>
      </c>
      <c r="AJ1939" s="65" t="str">
        <f>IFERROR(__xludf.DUMMYFUNCTION("""COMPUTED_VALUE"""),"DEVOLVER AL REMITENTE")</f>
        <v>DEVOLVER AL REMITENTE</v>
      </c>
      <c r="AK1939" s="65" t="str">
        <f>IFERROR(__xludf.DUMMYFUNCTION("""COMPUTED_VALUE"""),"09:24")</f>
        <v>09:24</v>
      </c>
      <c r="AL1939" s="65" t="str">
        <f>IFERROR(__xludf.DUMMYFUNCTION("""COMPUTED_VALUE"""),"23-01-2026")</f>
        <v>23-01-2026</v>
      </c>
      <c r="AM1939" s="65"/>
      <c r="AN1939" s="65" t="str">
        <f>IFERROR(__xludf.DUMMYFUNCTION("""COMPUTED_VALUE"""),"10:59")</f>
        <v>10:59</v>
      </c>
      <c r="AO1939" s="65" t="str">
        <f>IFERROR(__xludf.DUMMYFUNCTION("""COMPUTED_VALUE"""),"26-02-2026")</f>
        <v>26-02-2026</v>
      </c>
      <c r="AP1939" s="65" t="str">
        <f>IFERROR(__xludf.DUMMYFUNCTION("""COMPUTED_VALUE"""),"DEV CONFIRMADA POR BODEGA")</f>
        <v>DEV CONFIRMADA POR BODEGA</v>
      </c>
      <c r="AQ1939" s="65"/>
      <c r="AR1939" s="65" t="str">
        <f>IFERROR(__xludf.DUMMYFUNCTION("""COMPUTED_VALUE"""),"Gestionado por: PROVEDIX DAMIAN, email:enviogratisdirecto@gmail.com, total de productos en la orden: 1")</f>
        <v>Gestionado por: PROVEDIX DAMIAN, email:enviogratisdirecto@gmail.com, total de productos en la orden: 1</v>
      </c>
      <c r="AS1939" s="65"/>
      <c r="AT1939" s="65"/>
      <c r="AU1939" s="65"/>
      <c r="AV1939" s="65"/>
      <c r="AW1939" s="65"/>
      <c r="AX1939" s="65"/>
      <c r="AY1939" s="65" t="str">
        <f>IFERROR(__xludf.DUMMYFUNCTION("""COMPUTED_VALUE"""),"14/01/2026")</f>
        <v>14/01/2026</v>
      </c>
      <c r="AZ1939" s="65"/>
      <c r="BA1939" s="65"/>
    </row>
    <row r="1940">
      <c r="A1940" s="65" t="str">
        <f>IFERROR(__xludf.DUMMYFUNCTION("""COMPUTED_VALUE"""),"27-03-2026")</f>
        <v>27-03-2026</v>
      </c>
      <c r="B1940" s="65">
        <f>IFERROR(__xludf.DUMMYFUNCTION("""COMPUTED_VALUE"""),4117843.0)</f>
        <v>4117843</v>
      </c>
      <c r="C1940" s="65" t="str">
        <f>IFERROR(__xludf.DUMMYFUNCTION("""COMPUTED_VALUE"""),"11:38")</f>
        <v>11:38</v>
      </c>
      <c r="D1940" s="65" t="str">
        <f>IFERROR(__xludf.DUMMYFUNCTION("""COMPUTED_VALUE"""),"12-01-2026")</f>
        <v>12-01-2026</v>
      </c>
      <c r="E1940" s="65" t="str">
        <f>IFERROR(__xludf.DUMMYFUNCTION("""COMPUTED_VALUE"""),"Eugenio Bermeo A. 1-64")</f>
        <v>Eugenio Bermeo A. 1-64</v>
      </c>
      <c r="F1940" s="65" t="str">
        <f>IFERROR(__xludf.DUMMYFUNCTION("""COMPUTED_VALUE"""),"967959393")</f>
        <v>967959393</v>
      </c>
      <c r="G1940" s="65" t="str">
        <f>IFERROR(__xludf.DUMMYFUNCTION("""COMPUTED_VALUE"""),"kenoba64@aol.com")</f>
        <v>kenoba64@aol.com</v>
      </c>
      <c r="H1940" s="65"/>
      <c r="I1940" s="65"/>
      <c r="J1940" s="65" t="str">
        <f>IFERROR(__xludf.DUMMYFUNCTION("""COMPUTED_VALUE"""),"LC52605066")</f>
        <v>LC52605066</v>
      </c>
      <c r="K1940" s="65" t="str">
        <f>IFERROR(__xludf.DUMMYFUNCTION("""COMPUTED_VALUE"""),"DEVOLUCION")</f>
        <v>DEVOLUCION</v>
      </c>
      <c r="L1940" s="65" t="str">
        <f>IFERROR(__xludf.DUMMYFUNCTION("""COMPUTED_VALUE"""),"CON RECAUDO")</f>
        <v>CON RECAUDO</v>
      </c>
      <c r="M1940" s="65" t="str">
        <f>IFERROR(__xludf.DUMMYFUNCTION("""COMPUTED_VALUE"""),"AZUAY")</f>
        <v>AZUAY</v>
      </c>
      <c r="N1940" s="65" t="str">
        <f>IFERROR(__xludf.DUMMYFUNCTION("""COMPUTED_VALUE"""),"SIG SIG")</f>
        <v>SIG SIG</v>
      </c>
      <c r="O1940" s="65" t="str">
        <f>IFERROR(__xludf.DUMMYFUNCTION("""COMPUTED_VALUE"""),"16 de abril  y sucre")</f>
        <v>16 de abril  y sucre</v>
      </c>
      <c r="P1940" s="65"/>
      <c r="Q1940" s="65" t="str">
        <f>IFERROR(__xludf.DUMMYFUNCTION("""COMPUTED_VALUE"""),"LAARCOURIER")</f>
        <v>LAARCOURIER</v>
      </c>
      <c r="R1940" s="65">
        <f>IFERROR(__xludf.DUMMYFUNCTION("""COMPUTED_VALUE"""),25.0)</f>
        <v>25</v>
      </c>
      <c r="S1940" s="65"/>
      <c r="T1940" s="65">
        <f>IFERROR(__xludf.DUMMYFUNCTION("""COMPUTED_VALUE"""),9.57)</f>
        <v>9.57</v>
      </c>
      <c r="U1940" s="65">
        <f>IFERROR(__xludf.DUMMYFUNCTION("""COMPUTED_VALUE"""),0.0)</f>
        <v>0</v>
      </c>
      <c r="V1940" s="65">
        <f>IFERROR(__xludf.DUMMYFUNCTION("""COMPUTED_VALUE"""),0.0)</f>
        <v>0</v>
      </c>
      <c r="W1940" s="65">
        <f>IFERROR(__xludf.DUMMYFUNCTION("""COMPUTED_VALUE"""),0.0)</f>
        <v>0</v>
      </c>
      <c r="X1940" s="65">
        <f>IFERROR(__xludf.DUMMYFUNCTION("""COMPUTED_VALUE"""),2.35)</f>
        <v>2.35</v>
      </c>
      <c r="Y1940" s="65">
        <f>IFERROR(__xludf.DUMMYFUNCTION("""COMPUTED_VALUE"""),4.7)</f>
        <v>4.7</v>
      </c>
      <c r="Z1940" s="65">
        <f>IFERROR(__xludf.DUMMYFUNCTION("""COMPUTED_VALUE"""),116679.0)</f>
        <v>116679</v>
      </c>
      <c r="AA1940" s="65" t="str">
        <f>IFERROR(__xludf.DUMMYFUNCTION("""COMPUTED_VALUE"""),"AMC-2738")</f>
        <v>AMC-2738</v>
      </c>
      <c r="AB1940" s="65"/>
      <c r="AC1940" s="65" t="str">
        <f>IFERROR(__xludf.DUMMYFUNCTION("""COMPUTED_VALUE"""),"ESPONJA ANTILLUVIA DE PARABRISAS")</f>
        <v>ESPONJA ANTILLUVIA DE PARABRISAS</v>
      </c>
      <c r="AD1940" s="65"/>
      <c r="AE1940" s="65">
        <f>IFERROR(__xludf.DUMMYFUNCTION("""COMPUTED_VALUE"""),2.0)</f>
        <v>2</v>
      </c>
      <c r="AF1940" s="65"/>
      <c r="AG1940" s="65"/>
      <c r="AH1940" s="65"/>
      <c r="AI1940" s="65"/>
      <c r="AJ1940" s="65"/>
      <c r="AK1940" s="65"/>
      <c r="AL1940" s="65"/>
      <c r="AM1940" s="65"/>
      <c r="AN1940" s="65" t="str">
        <f>IFERROR(__xludf.DUMMYFUNCTION("""COMPUTED_VALUE"""),"08:10")</f>
        <v>08:10</v>
      </c>
      <c r="AO1940" s="65" t="str">
        <f>IFERROR(__xludf.DUMMYFUNCTION("""COMPUTED_VALUE"""),"20-01-2026")</f>
        <v>20-01-2026</v>
      </c>
      <c r="AP1940" s="65" t="str">
        <f>IFERROR(__xludf.DUMMYFUNCTION("""COMPUTED_VALUE"""),"DEVOLUCIÓN SAC")</f>
        <v>DEVOLUCIÓN SAC</v>
      </c>
      <c r="AQ1940" s="65" t="str">
        <f>IFERROR(__xludf.DUMMYFUNCTION("""COMPUTED_VALUE"""),"DEVOLUCIÓN SAC")</f>
        <v>DEVOLUCIÓN SAC</v>
      </c>
      <c r="AR1940" s="65"/>
      <c r="AS1940" s="65"/>
      <c r="AT1940" s="65" t="str">
        <f>IFERROR(__xludf.DUMMYFUNCTION("""COMPUTED_VALUE"""),"SHOPIFY")</f>
        <v>SHOPIFY</v>
      </c>
      <c r="AU1940" s="65" t="str">
        <f>IFERROR(__xludf.DUMMYFUNCTION("""COMPUTED_VALUE"""),"IMPORTEX EC")</f>
        <v>IMPORTEX EC</v>
      </c>
      <c r="AV1940" s="65" t="str">
        <f>IFERROR(__xludf.DUMMYFUNCTION("""COMPUTED_VALUE"""),"6409085026348")</f>
        <v>6409085026348</v>
      </c>
      <c r="AW1940" s="65">
        <f>IFERROR(__xludf.DUMMYFUNCTION("""COMPUTED_VALUE"""),5032.0)</f>
        <v>5032</v>
      </c>
      <c r="AX1940" s="65"/>
      <c r="AY1940" s="65" t="str">
        <f>IFERROR(__xludf.DUMMYFUNCTION("""COMPUTED_VALUE"""),"13/01/2026")</f>
        <v>13/01/2026</v>
      </c>
      <c r="AZ1940" s="65"/>
      <c r="BA1940" s="65"/>
    </row>
    <row r="1941">
      <c r="A1941" s="65" t="str">
        <f>IFERROR(__xludf.DUMMYFUNCTION("""COMPUTED_VALUE"""),"27-03-2026")</f>
        <v>27-03-2026</v>
      </c>
      <c r="B1941" s="65">
        <f>IFERROR(__xludf.DUMMYFUNCTION("""COMPUTED_VALUE"""),4117752.0)</f>
        <v>4117752</v>
      </c>
      <c r="C1941" s="65" t="str">
        <f>IFERROR(__xludf.DUMMYFUNCTION("""COMPUTED_VALUE"""),"11:34")</f>
        <v>11:34</v>
      </c>
      <c r="D1941" s="65" t="str">
        <f>IFERROR(__xludf.DUMMYFUNCTION("""COMPUTED_VALUE"""),"12-01-2026")</f>
        <v>12-01-2026</v>
      </c>
      <c r="E1941" s="65" t="str">
        <f>IFERROR(__xludf.DUMMYFUNCTION("""COMPUTED_VALUE"""),"FELIPE CORDERO CUEVA")</f>
        <v>FELIPE CORDERO CUEVA</v>
      </c>
      <c r="F1941" s="65" t="str">
        <f>IFERROR(__xludf.DUMMYFUNCTION("""COMPUTED_VALUE"""),"999882314")</f>
        <v>999882314</v>
      </c>
      <c r="G1941" s="65"/>
      <c r="H1941" s="65"/>
      <c r="I1941" s="65"/>
      <c r="J1941" s="65"/>
      <c r="K1941" s="65" t="str">
        <f>IFERROR(__xludf.DUMMYFUNCTION("""COMPUTED_VALUE"""),"PENDIENTE CONFIRMACION")</f>
        <v>PENDIENTE CONFIRMACION</v>
      </c>
      <c r="L1941" s="65" t="str">
        <f>IFERROR(__xludf.DUMMYFUNCTION("""COMPUTED_VALUE"""),"CON RECAUDO")</f>
        <v>CON RECAUDO</v>
      </c>
      <c r="M1941" s="65" t="str">
        <f>IFERROR(__xludf.DUMMYFUNCTION("""COMPUTED_VALUE"""),"AZUAY")</f>
        <v>AZUAY</v>
      </c>
      <c r="N1941" s="65" t="str">
        <f>IFERROR(__xludf.DUMMYFUNCTION("""COMPUTED_VALUE"""),"CUENCA")</f>
        <v>CUENCA</v>
      </c>
      <c r="O1941" s="65" t="str">
        <f>IFERROR(__xludf.DUMMYFUNCTION("""COMPUTED_VALUE"""),"CALLE DEL CHIROTE 108 Y GAVIOTAS")</f>
        <v>CALLE DEL CHIROTE 108 Y GAVIOTAS</v>
      </c>
      <c r="P1941" s="65"/>
      <c r="Q1941" s="65" t="str">
        <f>IFERROR(__xludf.DUMMYFUNCTION("""COMPUTED_VALUE"""),"GINTRACOM")</f>
        <v>GINTRACOM</v>
      </c>
      <c r="R1941" s="65">
        <f>IFERROR(__xludf.DUMMYFUNCTION("""COMPUTED_VALUE"""),25.0)</f>
        <v>25</v>
      </c>
      <c r="S1941" s="65"/>
      <c r="T1941" s="65">
        <f>IFERROR(__xludf.DUMMYFUNCTION("""COMPUTED_VALUE"""),5.96)</f>
        <v>5.96</v>
      </c>
      <c r="U1941" s="65">
        <f>IFERROR(__xludf.DUMMYFUNCTION("""COMPUTED_VALUE"""),0.0)</f>
        <v>0</v>
      </c>
      <c r="V1941" s="65">
        <f>IFERROR(__xludf.DUMMYFUNCTION("""COMPUTED_VALUE"""),0.0)</f>
        <v>0</v>
      </c>
      <c r="W1941" s="65">
        <f>IFERROR(__xludf.DUMMYFUNCTION("""COMPUTED_VALUE"""),0.0)</f>
        <v>0</v>
      </c>
      <c r="X1941" s="65">
        <f>IFERROR(__xludf.DUMMYFUNCTION("""COMPUTED_VALUE"""),2.35)</f>
        <v>2.35</v>
      </c>
      <c r="Y1941" s="65">
        <f>IFERROR(__xludf.DUMMYFUNCTION("""COMPUTED_VALUE"""),4.7)</f>
        <v>4.7</v>
      </c>
      <c r="Z1941" s="65">
        <f>IFERROR(__xludf.DUMMYFUNCTION("""COMPUTED_VALUE"""),116679.0)</f>
        <v>116679</v>
      </c>
      <c r="AA1941" s="65" t="str">
        <f>IFERROR(__xludf.DUMMYFUNCTION("""COMPUTED_VALUE"""),"AMC-2738")</f>
        <v>AMC-2738</v>
      </c>
      <c r="AB1941" s="65"/>
      <c r="AC1941" s="65" t="str">
        <f>IFERROR(__xludf.DUMMYFUNCTION("""COMPUTED_VALUE"""),"ESPONJA ANTILLUVIA DE PARABRISAS")</f>
        <v>ESPONJA ANTILLUVIA DE PARABRISAS</v>
      </c>
      <c r="AD1941" s="65"/>
      <c r="AE1941" s="65">
        <f>IFERROR(__xludf.DUMMYFUNCTION("""COMPUTED_VALUE"""),2.0)</f>
        <v>2</v>
      </c>
      <c r="AF1941" s="65"/>
      <c r="AG1941" s="65"/>
      <c r="AH1941" s="65"/>
      <c r="AI1941" s="65"/>
      <c r="AJ1941" s="65"/>
      <c r="AK1941" s="65"/>
      <c r="AL1941" s="65"/>
      <c r="AM1941" s="65"/>
      <c r="AN1941" s="65"/>
      <c r="AO1941" s="65"/>
      <c r="AP1941" s="65"/>
      <c r="AQ1941" s="65"/>
      <c r="AR1941" s="65"/>
      <c r="AS1941" s="65"/>
      <c r="AT1941" s="65"/>
      <c r="AU1941" s="65"/>
      <c r="AV1941" s="65"/>
      <c r="AW1941" s="65"/>
      <c r="AX1941" s="65"/>
      <c r="AY1941" s="65"/>
      <c r="AZ1941" s="65"/>
      <c r="BA1941" s="65"/>
    </row>
    <row r="1942">
      <c r="A1942" s="65" t="str">
        <f>IFERROR(__xludf.DUMMYFUNCTION("""COMPUTED_VALUE"""),"27-03-2026")</f>
        <v>27-03-2026</v>
      </c>
      <c r="B1942" s="65">
        <f>IFERROR(__xludf.DUMMYFUNCTION("""COMPUTED_VALUE"""),4117622.0)</f>
        <v>4117622</v>
      </c>
      <c r="C1942" s="65" t="str">
        <f>IFERROR(__xludf.DUMMYFUNCTION("""COMPUTED_VALUE"""),"11:25")</f>
        <v>11:25</v>
      </c>
      <c r="D1942" s="65" t="str">
        <f>IFERROR(__xludf.DUMMYFUNCTION("""COMPUTED_VALUE"""),"12-01-2026")</f>
        <v>12-01-2026</v>
      </c>
      <c r="E1942" s="65" t="str">
        <f>IFERROR(__xludf.DUMMYFUNCTION("""COMPUTED_VALUE"""),"jose Avila Reyes")</f>
        <v>jose Avila Reyes</v>
      </c>
      <c r="F1942" s="65" t="str">
        <f>IFERROR(__xludf.DUMMYFUNCTION("""COMPUTED_VALUE"""),"982925648")</f>
        <v>982925648</v>
      </c>
      <c r="G1942" s="65" t="str">
        <f>IFERROR(__xludf.DUMMYFUNCTION("""COMPUTED_VALUE"""),"javilrey2012@gmail.com")</f>
        <v>javilrey2012@gmail.com</v>
      </c>
      <c r="H1942" s="65"/>
      <c r="I1942" s="65"/>
      <c r="J1942" s="65" t="str">
        <f>IFERROR(__xludf.DUMMYFUNCTION("""COMPUTED_VALUE"""),"D001218334")</f>
        <v>D001218334</v>
      </c>
      <c r="K1942" s="65" t="str">
        <f>IFERROR(__xludf.DUMMYFUNCTION("""COMPUTED_VALUE"""),"ENTREGADO")</f>
        <v>ENTREGADO</v>
      </c>
      <c r="L1942" s="65" t="str">
        <f>IFERROR(__xludf.DUMMYFUNCTION("""COMPUTED_VALUE"""),"CON RECAUDO")</f>
        <v>CON RECAUDO</v>
      </c>
      <c r="M1942" s="65" t="str">
        <f>IFERROR(__xludf.DUMMYFUNCTION("""COMPUTED_VALUE"""),"MANABI")</f>
        <v>MANABI</v>
      </c>
      <c r="N1942" s="65" t="str">
        <f>IFERROR(__xludf.DUMMYFUNCTION("""COMPUTED_VALUE"""),"PORTOVIEJO")</f>
        <v>PORTOVIEJO</v>
      </c>
      <c r="O1942" s="65" t="str">
        <f>IFERROR(__xludf.DUMMYFUNCTION("""COMPUTED_VALUE"""),"Avenida los olivos y 1 de juni Quinta casa -")</f>
        <v>Avenida los olivos y 1 de juni Quinta casa -</v>
      </c>
      <c r="P1942" s="65"/>
      <c r="Q1942" s="65" t="str">
        <f>IFERROR(__xludf.DUMMYFUNCTION("""COMPUTED_VALUE"""),"GINTRACOM")</f>
        <v>GINTRACOM</v>
      </c>
      <c r="R1942" s="65">
        <f>IFERROR(__xludf.DUMMYFUNCTION("""COMPUTED_VALUE"""),22.0)</f>
        <v>22</v>
      </c>
      <c r="S1942" s="65">
        <f>IFERROR(__xludf.DUMMYFUNCTION("""COMPUTED_VALUE"""),10.96)</f>
        <v>10.96</v>
      </c>
      <c r="T1942" s="65">
        <f>IFERROR(__xludf.DUMMYFUNCTION("""COMPUTED_VALUE"""),5.84)</f>
        <v>5.84</v>
      </c>
      <c r="U1942" s="65">
        <f>IFERROR(__xludf.DUMMYFUNCTION("""COMPUTED_VALUE"""),0.0)</f>
        <v>0</v>
      </c>
      <c r="V1942" s="65">
        <f>IFERROR(__xludf.DUMMYFUNCTION("""COMPUTED_VALUE"""),0.0)</f>
        <v>0</v>
      </c>
      <c r="W1942" s="65">
        <f>IFERROR(__xludf.DUMMYFUNCTION("""COMPUTED_VALUE"""),0.0)</f>
        <v>0</v>
      </c>
      <c r="X1942" s="65">
        <f>IFERROR(__xludf.DUMMYFUNCTION("""COMPUTED_VALUE"""),2.6)</f>
        <v>2.6</v>
      </c>
      <c r="Y1942" s="65">
        <f>IFERROR(__xludf.DUMMYFUNCTION("""COMPUTED_VALUE"""),5.2)</f>
        <v>5.2</v>
      </c>
      <c r="Z1942" s="65">
        <f>IFERROR(__xludf.DUMMYFUNCTION("""COMPUTED_VALUE"""),121983.0)</f>
        <v>121983</v>
      </c>
      <c r="AA1942" s="65" t="str">
        <f>IFERROR(__xludf.DUMMYFUNCTION("""COMPUTED_VALUE"""),"PROV-CHLLCF")</f>
        <v>PROV-CHLLCF</v>
      </c>
      <c r="AB1942" s="65"/>
      <c r="AC1942" s="65" t="str">
        <f>IFERROR(__xludf.DUMMYFUNCTION("""COMPUTED_VALUE"""),"CUCHILLO PARA CHEF")</f>
        <v>CUCHILLO PARA CHEF</v>
      </c>
      <c r="AD1942" s="65"/>
      <c r="AE1942" s="65">
        <f>IFERROR(__xludf.DUMMYFUNCTION("""COMPUTED_VALUE"""),2.0)</f>
        <v>2</v>
      </c>
      <c r="AF1942" s="65"/>
      <c r="AG1942" s="65"/>
      <c r="AH1942" s="65"/>
      <c r="AI1942" s="65"/>
      <c r="AJ1942" s="65"/>
      <c r="AK1942" s="65"/>
      <c r="AL1942" s="65"/>
      <c r="AM1942" s="65"/>
      <c r="AN1942" s="65" t="str">
        <f>IFERROR(__xludf.DUMMYFUNCTION("""COMPUTED_VALUE"""),"10:34")</f>
        <v>10:34</v>
      </c>
      <c r="AO1942" s="65" t="str">
        <f>IFERROR(__xludf.DUMMYFUNCTION("""COMPUTED_VALUE"""),"17-01-2026")</f>
        <v>17-01-2026</v>
      </c>
      <c r="AP1942" s="65" t="str">
        <f>IFERROR(__xludf.DUMMYFUNCTION("""COMPUTED_VALUE"""),"ENTREGADA GINTRACOM")</f>
        <v>ENTREGADA GINTRACOM</v>
      </c>
      <c r="AQ1942" s="65" t="str">
        <f>IFERROR(__xludf.DUMMYFUNCTION("""COMPUTED_VALUE"""),"ENTREGADA GINTRACOM")</f>
        <v>ENTREGADA GINTRACOM</v>
      </c>
      <c r="AR1942" s="65"/>
      <c r="AS1942" s="65"/>
      <c r="AT1942" s="65" t="str">
        <f>IFERROR(__xludf.DUMMYFUNCTION("""COMPUTED_VALUE"""),"SHOPIFY")</f>
        <v>SHOPIFY</v>
      </c>
      <c r="AU1942" s="65" t="str">
        <f>IFERROR(__xludf.DUMMYFUNCTION("""COMPUTED_VALUE"""),"IMPORTEX EC")</f>
        <v>IMPORTEX EC</v>
      </c>
      <c r="AV1942" s="65" t="str">
        <f>IFERROR(__xludf.DUMMYFUNCTION("""COMPUTED_VALUE"""),"6409053896748")</f>
        <v>6409053896748</v>
      </c>
      <c r="AW1942" s="65">
        <f>IFERROR(__xludf.DUMMYFUNCTION("""COMPUTED_VALUE"""),5031.0)</f>
        <v>5031</v>
      </c>
      <c r="AX1942" s="65"/>
      <c r="AY1942" s="65" t="str">
        <f>IFERROR(__xludf.DUMMYFUNCTION("""COMPUTED_VALUE"""),"13/01/2026")</f>
        <v>13/01/2026</v>
      </c>
      <c r="AZ1942" s="65"/>
      <c r="BA1942" s="65"/>
    </row>
    <row r="1943">
      <c r="A1943" s="65" t="str">
        <f>IFERROR(__xludf.DUMMYFUNCTION("""COMPUTED_VALUE"""),"27-03-2026")</f>
        <v>27-03-2026</v>
      </c>
      <c r="B1943" s="65">
        <f>IFERROR(__xludf.DUMMYFUNCTION("""COMPUTED_VALUE"""),4117132.0)</f>
        <v>4117132</v>
      </c>
      <c r="C1943" s="65" t="str">
        <f>IFERROR(__xludf.DUMMYFUNCTION("""COMPUTED_VALUE"""),"10:53")</f>
        <v>10:53</v>
      </c>
      <c r="D1943" s="65" t="str">
        <f>IFERROR(__xludf.DUMMYFUNCTION("""COMPUTED_VALUE"""),"12-01-2026")</f>
        <v>12-01-2026</v>
      </c>
      <c r="E1943" s="65" t="str">
        <f>IFERROR(__xludf.DUMMYFUNCTION("""COMPUTED_VALUE"""),"Darwin Aveiga")</f>
        <v>Darwin Aveiga</v>
      </c>
      <c r="F1943" s="65" t="str">
        <f>IFERROR(__xludf.DUMMYFUNCTION("""COMPUTED_VALUE"""),"993861900")</f>
        <v>993861900</v>
      </c>
      <c r="G1943" s="65"/>
      <c r="H1943" s="65"/>
      <c r="I1943" s="65"/>
      <c r="J1943" s="65" t="str">
        <f>IFERROR(__xludf.DUMMYFUNCTION("""COMPUTED_VALUE"""),"186969379")</f>
        <v>186969379</v>
      </c>
      <c r="K1943" s="65" t="str">
        <f>IFERROR(__xludf.DUMMYFUNCTION("""COMPUTED_VALUE"""),"ENTREGADO")</f>
        <v>ENTREGADO</v>
      </c>
      <c r="L1943" s="65" t="str">
        <f>IFERROR(__xludf.DUMMYFUNCTION("""COMPUTED_VALUE"""),"CON RECAUDO")</f>
        <v>CON RECAUDO</v>
      </c>
      <c r="M1943" s="65" t="str">
        <f>IFERROR(__xludf.DUMMYFUNCTION("""COMPUTED_VALUE"""),"AZUAY")</f>
        <v>AZUAY</v>
      </c>
      <c r="N1943" s="65" t="str">
        <f>IFERROR(__xludf.DUMMYFUNCTION("""COMPUTED_VALUE"""),"PONCE ENRIQUEZ")</f>
        <v>PONCE ENRIQUEZ</v>
      </c>
      <c r="O1943" s="65" t="str">
        <f>IFERROR(__xludf.DUMMYFUNCTION("""COMPUTED_VALUE"""),"RETIRA EN CS : PONCE ENRIQUEZ_BARRIO LA FLORIDA , CALLE ELOY BARROS ARIAS S/N Y 28 DE MARZO BARRIO LA FLORIDA REF DIAG A FARMACIA CRUZ AZUL DEL PARQUE CENTRAL")</f>
        <v>RETIRA EN CS : PONCE ENRIQUEZ_BARRIO LA FLORIDA , CALLE ELOY BARROS ARIAS S/N Y 28 DE MARZO BARRIO LA FLORIDA REF DIAG A FARMACIA CRUZ AZUL DEL PARQUE CENTRAL</v>
      </c>
      <c r="P1943" s="65"/>
      <c r="Q1943" s="65" t="str">
        <f>IFERROR(__xludf.DUMMYFUNCTION("""COMPUTED_VALUE"""),"SERVIENTREGA")</f>
        <v>SERVIENTREGA</v>
      </c>
      <c r="R1943" s="65">
        <f>IFERROR(__xludf.DUMMYFUNCTION("""COMPUTED_VALUE"""),25.0)</f>
        <v>25</v>
      </c>
      <c r="S1943" s="65">
        <f>IFERROR(__xludf.DUMMYFUNCTION("""COMPUTED_VALUE"""),12.55)</f>
        <v>12.55</v>
      </c>
      <c r="T1943" s="65">
        <f>IFERROR(__xludf.DUMMYFUNCTION("""COMPUTED_VALUE"""),7.75)</f>
        <v>7.75</v>
      </c>
      <c r="U1943" s="65">
        <f>IFERROR(__xludf.DUMMYFUNCTION("""COMPUTED_VALUE"""),0.0)</f>
        <v>0</v>
      </c>
      <c r="V1943" s="65">
        <f>IFERROR(__xludf.DUMMYFUNCTION("""COMPUTED_VALUE"""),0.0)</f>
        <v>0</v>
      </c>
      <c r="W1943" s="65">
        <f>IFERROR(__xludf.DUMMYFUNCTION("""COMPUTED_VALUE"""),0.0)</f>
        <v>0</v>
      </c>
      <c r="X1943" s="65">
        <f>IFERROR(__xludf.DUMMYFUNCTION("""COMPUTED_VALUE"""),2.35)</f>
        <v>2.35</v>
      </c>
      <c r="Y1943" s="65">
        <f>IFERROR(__xludf.DUMMYFUNCTION("""COMPUTED_VALUE"""),4.7)</f>
        <v>4.7</v>
      </c>
      <c r="Z1943" s="65">
        <f>IFERROR(__xludf.DUMMYFUNCTION("""COMPUTED_VALUE"""),116679.0)</f>
        <v>116679</v>
      </c>
      <c r="AA1943" s="65" t="str">
        <f>IFERROR(__xludf.DUMMYFUNCTION("""COMPUTED_VALUE"""),"AMC-2738")</f>
        <v>AMC-2738</v>
      </c>
      <c r="AB1943" s="65"/>
      <c r="AC1943" s="65" t="str">
        <f>IFERROR(__xludf.DUMMYFUNCTION("""COMPUTED_VALUE"""),"ESPONJA ANTILLUVIA DE PARABRISAS")</f>
        <v>ESPONJA ANTILLUVIA DE PARABRISAS</v>
      </c>
      <c r="AD1943" s="65"/>
      <c r="AE1943" s="65">
        <f>IFERROR(__xludf.DUMMYFUNCTION("""COMPUTED_VALUE"""),2.0)</f>
        <v>2</v>
      </c>
      <c r="AF1943" s="65"/>
      <c r="AG1943" s="65"/>
      <c r="AH1943" s="65"/>
      <c r="AI1943" s="65"/>
      <c r="AJ1943" s="65"/>
      <c r="AK1943" s="65"/>
      <c r="AL1943" s="65"/>
      <c r="AM1943" s="65"/>
      <c r="AN1943" s="65" t="str">
        <f>IFERROR(__xludf.DUMMYFUNCTION("""COMPUTED_VALUE"""),"13:27")</f>
        <v>13:27</v>
      </c>
      <c r="AO1943" s="65" t="str">
        <f>IFERROR(__xludf.DUMMYFUNCTION("""COMPUTED_VALUE"""),"30-01-2026")</f>
        <v>30-01-2026</v>
      </c>
      <c r="AP1943" s="65" t="str">
        <f>IFERROR(__xludf.DUMMYFUNCTION("""COMPUTED_VALUE"""),"ENTREGA DIGITALIZADA EN CENTRO LOGISTICO")</f>
        <v>ENTREGA DIGITALIZADA EN CENTRO LOGISTICO</v>
      </c>
      <c r="AQ1943" s="65" t="str">
        <f>IFERROR(__xludf.DUMMYFUNCTION("""COMPUTED_VALUE"""),"AVEIGA DARWIN")</f>
        <v>AVEIGA DARWIN</v>
      </c>
      <c r="AR1943" s="65"/>
      <c r="AS1943" s="65"/>
      <c r="AT1943" s="65"/>
      <c r="AU1943" s="65"/>
      <c r="AV1943" s="65"/>
      <c r="AW1943" s="65"/>
      <c r="AX1943" s="65"/>
      <c r="AY1943" s="65" t="str">
        <f>IFERROR(__xludf.DUMMYFUNCTION("""COMPUTED_VALUE"""),"13/01/2026")</f>
        <v>13/01/2026</v>
      </c>
      <c r="AZ1943" s="65"/>
      <c r="BA1943" s="65"/>
    </row>
    <row r="1944">
      <c r="A1944" s="65" t="str">
        <f>IFERROR(__xludf.DUMMYFUNCTION("""COMPUTED_VALUE"""),"27-03-2026")</f>
        <v>27-03-2026</v>
      </c>
      <c r="B1944" s="65">
        <f>IFERROR(__xludf.DUMMYFUNCTION("""COMPUTED_VALUE"""),4117075.0)</f>
        <v>4117075</v>
      </c>
      <c r="C1944" s="65" t="str">
        <f>IFERROR(__xludf.DUMMYFUNCTION("""COMPUTED_VALUE"""),"10:49")</f>
        <v>10:49</v>
      </c>
      <c r="D1944" s="65" t="str">
        <f>IFERROR(__xludf.DUMMYFUNCTION("""COMPUTED_VALUE"""),"12-01-2026")</f>
        <v>12-01-2026</v>
      </c>
      <c r="E1944" s="65" t="str">
        <f>IFERROR(__xludf.DUMMYFUNCTION("""COMPUTED_VALUE"""),"Jorge Cofre")</f>
        <v>Jorge Cofre</v>
      </c>
      <c r="F1944" s="65" t="str">
        <f>IFERROR(__xludf.DUMMYFUNCTION("""COMPUTED_VALUE"""),"998265779")</f>
        <v>998265779</v>
      </c>
      <c r="G1944" s="65" t="str">
        <f>IFERROR(__xludf.DUMMYFUNCTION("""COMPUTED_VALUE"""),"cofrejorge1a@gmail.com")</f>
        <v>cofrejorge1a@gmail.com</v>
      </c>
      <c r="H1944" s="65"/>
      <c r="I1944" s="65"/>
      <c r="J1944" s="65" t="str">
        <f>IFERROR(__xludf.DUMMYFUNCTION("""COMPUTED_VALUE"""),"D001219552")</f>
        <v>D001219552</v>
      </c>
      <c r="K1944" s="65" t="str">
        <f>IFERROR(__xludf.DUMMYFUNCTION("""COMPUTED_VALUE"""),"ENTREGADO")</f>
        <v>ENTREGADO</v>
      </c>
      <c r="L1944" s="65" t="str">
        <f>IFERROR(__xludf.DUMMYFUNCTION("""COMPUTED_VALUE"""),"CON RECAUDO")</f>
        <v>CON RECAUDO</v>
      </c>
      <c r="M1944" s="65" t="str">
        <f>IFERROR(__xludf.DUMMYFUNCTION("""COMPUTED_VALUE"""),"TUNGURAHUA")</f>
        <v>TUNGURAHUA</v>
      </c>
      <c r="N1944" s="65" t="str">
        <f>IFERROR(__xludf.DUMMYFUNCTION("""COMPUTED_VALUE"""),"PELILEO")</f>
        <v>PELILEO</v>
      </c>
      <c r="O1944" s="65" t="str">
        <f>IFERROR(__xludf.DUMMYFUNCTION("""COMPUTED_VALUE"""),"Via benitez- sector el corte El corte, casa de dos pisos frente a local de motos - Cyber y agroquímicos EL BELÉN en el domicilio")</f>
        <v>Via benitez- sector el corte El corte, casa de dos pisos frente a local de motos - Cyber y agroquímicos EL BELÉN en el domicilio</v>
      </c>
      <c r="P1944" s="68" t="str">
        <f>IFERROR(__xludf.DUMMYFUNCTION("""COMPUTED_VALUE"""),"https://www.google.com/maps/place/1%C2%B020'10.5%22S+78%C2%B034'12.2%22W/@-1.3364166,-78.5700737,3a,75y,173.85h,90.9t/data=!3m7!1e1!3m5!1sq0LkJ3kAhnbrI4MgmMxJiQ!2e0!6shttps:%2F%2Fstreetviewpixels-pa.googleapis.com%2Fv1%2Fthumbnail%3Fcb_client%3Dmaps_sv.ta"&amp;"ctile%26w%3D900%26h%3D600%26pitch%3D-0.9014629423983962%26panoid%3Dq0LkJ3kAhnbrI4MgmMxJiQ%26yaw%3D173.8515063341803!7i16384!8i8192!4m4!3m3!8m2!3d-1.3362591!4d-78.5700531?entry=ttu&amp;g_ep=EgoyMDI2MDEwNy4wIKXMDSoASAFQAw%3D%3D")</f>
        <v>https://www.google.com/maps/place/1%C2%B020'10.5%22S+78%C2%B034'12.2%22W/@-1.3364166,-78.5700737,3a,75y,173.85h,90.9t/data=!3m7!1e1!3m5!1sq0LkJ3kAhnbrI4MgmMxJiQ!2e0!6shttps:%2F%2Fstreetviewpixels-pa.googleapis.com%2Fv1%2Fthumbnail%3Fcb_client%3Dmaps_sv.tactile%26w%3D900%26h%3D600%26pitch%3D-0.9014629423983962%26panoid%3Dq0LkJ3kAhnbrI4MgmMxJiQ%26yaw%3D173.8515063341803!7i16384!8i8192!4m4!3m3!8m2!3d-1.3362591!4d-78.5700531?entry=ttu&amp;g_ep=EgoyMDI2MDEwNy4wIKXMDSoASAFQAw%3D%3D</v>
      </c>
      <c r="Q1944" s="65" t="str">
        <f>IFERROR(__xludf.DUMMYFUNCTION("""COMPUTED_VALUE"""),"GINTRACOM")</f>
        <v>GINTRACOM</v>
      </c>
      <c r="R1944" s="65">
        <f>IFERROR(__xludf.DUMMYFUNCTION("""COMPUTED_VALUE"""),20.0)</f>
        <v>20</v>
      </c>
      <c r="S1944" s="65">
        <f>IFERROR(__xludf.DUMMYFUNCTION("""COMPUTED_VALUE"""),11.32)</f>
        <v>11.32</v>
      </c>
      <c r="T1944" s="65">
        <f>IFERROR(__xludf.DUMMYFUNCTION("""COMPUTED_VALUE"""),6.33)</f>
        <v>6.33</v>
      </c>
      <c r="U1944" s="65">
        <f>IFERROR(__xludf.DUMMYFUNCTION("""COMPUTED_VALUE"""),0.0)</f>
        <v>0</v>
      </c>
      <c r="V1944" s="65">
        <f>IFERROR(__xludf.DUMMYFUNCTION("""COMPUTED_VALUE"""),0.0)</f>
        <v>0</v>
      </c>
      <c r="W1944" s="65">
        <f>IFERROR(__xludf.DUMMYFUNCTION("""COMPUTED_VALUE"""),0.0)</f>
        <v>0</v>
      </c>
      <c r="X1944" s="65">
        <f>IFERROR(__xludf.DUMMYFUNCTION("""COMPUTED_VALUE"""),2.35)</f>
        <v>2.35</v>
      </c>
      <c r="Y1944" s="65">
        <f>IFERROR(__xludf.DUMMYFUNCTION("""COMPUTED_VALUE"""),2.35)</f>
        <v>2.35</v>
      </c>
      <c r="Z1944" s="65">
        <f>IFERROR(__xludf.DUMMYFUNCTION("""COMPUTED_VALUE"""),116679.0)</f>
        <v>116679</v>
      </c>
      <c r="AA1944" s="65" t="str">
        <f>IFERROR(__xludf.DUMMYFUNCTION("""COMPUTED_VALUE"""),"AMC-2738")</f>
        <v>AMC-2738</v>
      </c>
      <c r="AB1944" s="65"/>
      <c r="AC1944" s="65" t="str">
        <f>IFERROR(__xludf.DUMMYFUNCTION("""COMPUTED_VALUE"""),"ESPONJA ANTILLUVIA DE PARABRISAS")</f>
        <v>ESPONJA ANTILLUVIA DE PARABRISAS</v>
      </c>
      <c r="AD1944" s="65"/>
      <c r="AE1944" s="65">
        <f>IFERROR(__xludf.DUMMYFUNCTION("""COMPUTED_VALUE"""),1.0)</f>
        <v>1</v>
      </c>
      <c r="AF1944" s="65"/>
      <c r="AG1944" s="65"/>
      <c r="AH1944" s="65"/>
      <c r="AI1944" s="65"/>
      <c r="AJ1944" s="65"/>
      <c r="AK1944" s="65"/>
      <c r="AL1944" s="65"/>
      <c r="AM1944" s="65"/>
      <c r="AN1944" s="65" t="str">
        <f>IFERROR(__xludf.DUMMYFUNCTION("""COMPUTED_VALUE"""),"09:59")</f>
        <v>09:59</v>
      </c>
      <c r="AO1944" s="65" t="str">
        <f>IFERROR(__xludf.DUMMYFUNCTION("""COMPUTED_VALUE"""),"20-02-2026")</f>
        <v>20-02-2026</v>
      </c>
      <c r="AP1944" s="65" t="str">
        <f>IFERROR(__xludf.DUMMYFUNCTION("""COMPUTED_VALUE"""),"ENTREGADA GINTRACOM")</f>
        <v>ENTREGADA GINTRACOM</v>
      </c>
      <c r="AQ1944" s="65" t="str">
        <f>IFERROR(__xludf.DUMMYFUNCTION("""COMPUTED_VALUE"""),"ENTREGADA GINTRACOM")</f>
        <v>ENTREGADA GINTRACOM</v>
      </c>
      <c r="AR1944" s="65"/>
      <c r="AS1944" s="65"/>
      <c r="AT1944" s="65" t="str">
        <f>IFERROR(__xludf.DUMMYFUNCTION("""COMPUTED_VALUE"""),"SHOPIFY")</f>
        <v>SHOPIFY</v>
      </c>
      <c r="AU1944" s="65" t="str">
        <f>IFERROR(__xludf.DUMMYFUNCTION("""COMPUTED_VALUE"""),"IMPORTEX EC")</f>
        <v>IMPORTEX EC</v>
      </c>
      <c r="AV1944" s="65" t="str">
        <f>IFERROR(__xludf.DUMMYFUNCTION("""COMPUTED_VALUE"""),"6408984985644")</f>
        <v>6408984985644</v>
      </c>
      <c r="AW1944" s="65">
        <f>IFERROR(__xludf.DUMMYFUNCTION("""COMPUTED_VALUE"""),5030.0)</f>
        <v>5030</v>
      </c>
      <c r="AX1944" s="65"/>
      <c r="AY1944" s="65" t="str">
        <f>IFERROR(__xludf.DUMMYFUNCTION("""COMPUTED_VALUE"""),"13/01/2026")</f>
        <v>13/01/2026</v>
      </c>
      <c r="AZ1944" s="65"/>
      <c r="BA1944" s="65"/>
    </row>
    <row r="1945">
      <c r="A1945" s="65" t="str">
        <f>IFERROR(__xludf.DUMMYFUNCTION("""COMPUTED_VALUE"""),"27-03-2026")</f>
        <v>27-03-2026</v>
      </c>
      <c r="B1945" s="65">
        <f>IFERROR(__xludf.DUMMYFUNCTION("""COMPUTED_VALUE"""),4116974.0)</f>
        <v>4116974</v>
      </c>
      <c r="C1945" s="65" t="str">
        <f>IFERROR(__xludf.DUMMYFUNCTION("""COMPUTED_VALUE"""),"10:43")</f>
        <v>10:43</v>
      </c>
      <c r="D1945" s="65" t="str">
        <f>IFERROR(__xludf.DUMMYFUNCTION("""COMPUTED_VALUE"""),"12-01-2026")</f>
        <v>12-01-2026</v>
      </c>
      <c r="E1945" s="65" t="str">
        <f>IFERROR(__xludf.DUMMYFUNCTION("""COMPUTED_VALUE"""),"Leyla Baños")</f>
        <v>Leyla Baños</v>
      </c>
      <c r="F1945" s="65" t="str">
        <f>IFERROR(__xludf.DUMMYFUNCTION("""COMPUTED_VALUE"""),"969243999")</f>
        <v>969243999</v>
      </c>
      <c r="G1945" s="65"/>
      <c r="H1945" s="65"/>
      <c r="I1945" s="65"/>
      <c r="J1945" s="65" t="str">
        <f>IFERROR(__xludf.DUMMYFUNCTION("""COMPUTED_VALUE"""),"186969380")</f>
        <v>186969380</v>
      </c>
      <c r="K1945" s="65" t="str">
        <f>IFERROR(__xludf.DUMMYFUNCTION("""COMPUTED_VALUE"""),"ENTREGADO")</f>
        <v>ENTREGADO</v>
      </c>
      <c r="L1945" s="65" t="str">
        <f>IFERROR(__xludf.DUMMYFUNCTION("""COMPUTED_VALUE"""),"CON RECAUDO")</f>
        <v>CON RECAUDO</v>
      </c>
      <c r="M1945" s="65" t="str">
        <f>IFERROR(__xludf.DUMMYFUNCTION("""COMPUTED_VALUE"""),"LOS RIOS")</f>
        <v>LOS RIOS</v>
      </c>
      <c r="N1945" s="65" t="str">
        <f>IFERROR(__xludf.DUMMYFUNCTION("""COMPUTED_VALUE"""),"MONTALVO")</f>
        <v>MONTALVO</v>
      </c>
      <c r="O1945" s="65" t="str">
        <f>IFERROR(__xludf.DUMMYFUNCTION("""COMPUTED_VALUE"""),"Calle 10 de agosto Mercado central frente a la ferreteria la proveedora -")</f>
        <v>Calle 10 de agosto Mercado central frente a la ferreteria la proveedora -</v>
      </c>
      <c r="P1945" s="65"/>
      <c r="Q1945" s="65" t="str">
        <f>IFERROR(__xludf.DUMMYFUNCTION("""COMPUTED_VALUE"""),"SERVIENTREGA")</f>
        <v>SERVIENTREGA</v>
      </c>
      <c r="R1945" s="65">
        <f>IFERROR(__xludf.DUMMYFUNCTION("""COMPUTED_VALUE"""),20.0)</f>
        <v>20</v>
      </c>
      <c r="S1945" s="65">
        <f>IFERROR(__xludf.DUMMYFUNCTION("""COMPUTED_VALUE"""),9.98)</f>
        <v>9.98</v>
      </c>
      <c r="T1945" s="65">
        <f>IFERROR(__xludf.DUMMYFUNCTION("""COMPUTED_VALUE"""),7.67)</f>
        <v>7.67</v>
      </c>
      <c r="U1945" s="65">
        <f>IFERROR(__xludf.DUMMYFUNCTION("""COMPUTED_VALUE"""),0.0)</f>
        <v>0</v>
      </c>
      <c r="V1945" s="65">
        <f>IFERROR(__xludf.DUMMYFUNCTION("""COMPUTED_VALUE"""),0.0)</f>
        <v>0</v>
      </c>
      <c r="W1945" s="65">
        <f>IFERROR(__xludf.DUMMYFUNCTION("""COMPUTED_VALUE"""),0.0)</f>
        <v>0</v>
      </c>
      <c r="X1945" s="65">
        <f>IFERROR(__xludf.DUMMYFUNCTION("""COMPUTED_VALUE"""),2.35)</f>
        <v>2.35</v>
      </c>
      <c r="Y1945" s="65">
        <f>IFERROR(__xludf.DUMMYFUNCTION("""COMPUTED_VALUE"""),2.35)</f>
        <v>2.35</v>
      </c>
      <c r="Z1945" s="65">
        <f>IFERROR(__xludf.DUMMYFUNCTION("""COMPUTED_VALUE"""),116679.0)</f>
        <v>116679</v>
      </c>
      <c r="AA1945" s="65" t="str">
        <f>IFERROR(__xludf.DUMMYFUNCTION("""COMPUTED_VALUE"""),"AMC-2738")</f>
        <v>AMC-2738</v>
      </c>
      <c r="AB1945" s="65"/>
      <c r="AC1945" s="65" t="str">
        <f>IFERROR(__xludf.DUMMYFUNCTION("""COMPUTED_VALUE"""),"ESPONJA ANTILLUVIA DE PARABRISAS")</f>
        <v>ESPONJA ANTILLUVIA DE PARABRISAS</v>
      </c>
      <c r="AD1945" s="65"/>
      <c r="AE1945" s="65">
        <f>IFERROR(__xludf.DUMMYFUNCTION("""COMPUTED_VALUE"""),1.0)</f>
        <v>1</v>
      </c>
      <c r="AF1945" s="65"/>
      <c r="AG1945" s="65"/>
      <c r="AH1945" s="65"/>
      <c r="AI1945" s="65"/>
      <c r="AJ1945" s="65"/>
      <c r="AK1945" s="65"/>
      <c r="AL1945" s="65"/>
      <c r="AM1945" s="65"/>
      <c r="AN1945" s="65" t="str">
        <f>IFERROR(__xludf.DUMMYFUNCTION("""COMPUTED_VALUE"""),"12:17")</f>
        <v>12:17</v>
      </c>
      <c r="AO1945" s="65" t="str">
        <f>IFERROR(__xludf.DUMMYFUNCTION("""COMPUTED_VALUE"""),"15-01-2026")</f>
        <v>15-01-2026</v>
      </c>
      <c r="AP1945" s="65" t="str">
        <f>IFERROR(__xludf.DUMMYFUNCTION("""COMPUTED_VALUE"""),"REPORTADO ENTREGADO EN APP")</f>
        <v>REPORTADO ENTREGADO EN APP</v>
      </c>
      <c r="AQ1945" s="65" t="str">
        <f>IFERROR(__xludf.DUMMYFUNCTION("""COMPUTED_VALUE"""),"leyla baos")</f>
        <v>leyla baos</v>
      </c>
      <c r="AR1945" s="65"/>
      <c r="AS1945" s="65"/>
      <c r="AT1945" s="65" t="str">
        <f>IFERROR(__xludf.DUMMYFUNCTION("""COMPUTED_VALUE"""),"SHOPIFY")</f>
        <v>SHOPIFY</v>
      </c>
      <c r="AU1945" s="65" t="str">
        <f>IFERROR(__xludf.DUMMYFUNCTION("""COMPUTED_VALUE"""),"IMPORTEX EC")</f>
        <v>IMPORTEX EC</v>
      </c>
      <c r="AV1945" s="65" t="str">
        <f>IFERROR(__xludf.DUMMYFUNCTION("""COMPUTED_VALUE"""),"6408965521452")</f>
        <v>6408965521452</v>
      </c>
      <c r="AW1945" s="65">
        <f>IFERROR(__xludf.DUMMYFUNCTION("""COMPUTED_VALUE"""),5029.0)</f>
        <v>5029</v>
      </c>
      <c r="AX1945" s="65"/>
      <c r="AY1945" s="65" t="str">
        <f>IFERROR(__xludf.DUMMYFUNCTION("""COMPUTED_VALUE"""),"13/01/2026")</f>
        <v>13/01/2026</v>
      </c>
      <c r="AZ1945" s="65"/>
      <c r="BA1945" s="65"/>
    </row>
    <row r="1946">
      <c r="A1946" s="65" t="str">
        <f>IFERROR(__xludf.DUMMYFUNCTION("""COMPUTED_VALUE"""),"27-03-2026")</f>
        <v>27-03-2026</v>
      </c>
      <c r="B1946" s="65">
        <f>IFERROR(__xludf.DUMMYFUNCTION("""COMPUTED_VALUE"""),4116867.0)</f>
        <v>4116867</v>
      </c>
      <c r="C1946" s="65" t="str">
        <f>IFERROR(__xludf.DUMMYFUNCTION("""COMPUTED_VALUE"""),"10:35")</f>
        <v>10:35</v>
      </c>
      <c r="D1946" s="65" t="str">
        <f>IFERROR(__xludf.DUMMYFUNCTION("""COMPUTED_VALUE"""),"12-01-2026")</f>
        <v>12-01-2026</v>
      </c>
      <c r="E1946" s="65" t="str">
        <f>IFERROR(__xludf.DUMMYFUNCTION("""COMPUTED_VALUE"""),"Jose Toala")</f>
        <v>Jose Toala</v>
      </c>
      <c r="F1946" s="65" t="str">
        <f>IFERROR(__xludf.DUMMYFUNCTION("""COMPUTED_VALUE"""),"959965790")</f>
        <v>959965790</v>
      </c>
      <c r="G1946" s="65" t="str">
        <f>IFERROR(__xludf.DUMMYFUNCTION("""COMPUTED_VALUE"""),"toalajose102@gmail.com")</f>
        <v>toalajose102@gmail.com</v>
      </c>
      <c r="H1946" s="65"/>
      <c r="I1946" s="65"/>
      <c r="J1946" s="65" t="str">
        <f>IFERROR(__xludf.DUMMYFUNCTION("""COMPUTED_VALUE"""),"186969381")</f>
        <v>186969381</v>
      </c>
      <c r="K1946" s="65" t="str">
        <f>IFERROR(__xludf.DUMMYFUNCTION("""COMPUTED_VALUE"""),"ENTREGADO")</f>
        <v>ENTREGADO</v>
      </c>
      <c r="L1946" s="65" t="str">
        <f>IFERROR(__xludf.DUMMYFUNCTION("""COMPUTED_VALUE"""),"CON RECAUDO")</f>
        <v>CON RECAUDO</v>
      </c>
      <c r="M1946" s="65" t="str">
        <f>IFERROR(__xludf.DUMMYFUNCTION("""COMPUTED_VALUE"""),"MANABI")</f>
        <v>MANABI</v>
      </c>
      <c r="N1946" s="65" t="str">
        <f>IFERROR(__xludf.DUMMYFUNCTION("""COMPUTED_VALUE"""),"JIPIJAPA")</f>
        <v>JIPIJAPA</v>
      </c>
      <c r="O1946" s="65" t="str">
        <f>IFERROR(__xludf.DUMMYFUNCTION("""COMPUTED_VALUE"""),"Medardo Zavala y Antonio Rodríguez La fae frente a aso tricicleros -")</f>
        <v>Medardo Zavala y Antonio Rodríguez La fae frente a aso tricicleros -</v>
      </c>
      <c r="P1946" s="65"/>
      <c r="Q1946" s="65" t="str">
        <f>IFERROR(__xludf.DUMMYFUNCTION("""COMPUTED_VALUE"""),"SERVIENTREGA")</f>
        <v>SERVIENTREGA</v>
      </c>
      <c r="R1946" s="65">
        <f>IFERROR(__xludf.DUMMYFUNCTION("""COMPUTED_VALUE"""),25.0)</f>
        <v>25</v>
      </c>
      <c r="S1946" s="65">
        <f>IFERROR(__xludf.DUMMYFUNCTION("""COMPUTED_VALUE"""),13.99)</f>
        <v>13.99</v>
      </c>
      <c r="T1946" s="65">
        <f>IFERROR(__xludf.DUMMYFUNCTION("""COMPUTED_VALUE"""),6.31)</f>
        <v>6.31</v>
      </c>
      <c r="U1946" s="65">
        <f>IFERROR(__xludf.DUMMYFUNCTION("""COMPUTED_VALUE"""),0.0)</f>
        <v>0</v>
      </c>
      <c r="V1946" s="65">
        <f>IFERROR(__xludf.DUMMYFUNCTION("""COMPUTED_VALUE"""),0.0)</f>
        <v>0</v>
      </c>
      <c r="W1946" s="65">
        <f>IFERROR(__xludf.DUMMYFUNCTION("""COMPUTED_VALUE"""),0.0)</f>
        <v>0</v>
      </c>
      <c r="X1946" s="65">
        <f>IFERROR(__xludf.DUMMYFUNCTION("""COMPUTED_VALUE"""),2.35)</f>
        <v>2.35</v>
      </c>
      <c r="Y1946" s="65">
        <f>IFERROR(__xludf.DUMMYFUNCTION("""COMPUTED_VALUE"""),4.7)</f>
        <v>4.7</v>
      </c>
      <c r="Z1946" s="65">
        <f>IFERROR(__xludf.DUMMYFUNCTION("""COMPUTED_VALUE"""),116679.0)</f>
        <v>116679</v>
      </c>
      <c r="AA1946" s="65" t="str">
        <f>IFERROR(__xludf.DUMMYFUNCTION("""COMPUTED_VALUE"""),"AMC-2738")</f>
        <v>AMC-2738</v>
      </c>
      <c r="AB1946" s="65"/>
      <c r="AC1946" s="65" t="str">
        <f>IFERROR(__xludf.DUMMYFUNCTION("""COMPUTED_VALUE"""),"ESPONJA ANTILLUVIA DE PARABRISAS")</f>
        <v>ESPONJA ANTILLUVIA DE PARABRISAS</v>
      </c>
      <c r="AD1946" s="65"/>
      <c r="AE1946" s="65">
        <f>IFERROR(__xludf.DUMMYFUNCTION("""COMPUTED_VALUE"""),2.0)</f>
        <v>2</v>
      </c>
      <c r="AF1946" s="65" t="str">
        <f>IFERROR(__xludf.DUMMYFUNCTION("""COMPUTED_VALUE"""),"CLIENTE SOLICITA RETIRAR EN CS")</f>
        <v>CLIENTE SOLICITA RETIRAR EN CS</v>
      </c>
      <c r="AG1946" s="65" t="str">
        <f>IFERROR(__xludf.DUMMYFUNCTION("""COMPUTED_VALUE"""),"NO")</f>
        <v>NO</v>
      </c>
      <c r="AH1946" s="65" t="str">
        <f>IFERROR(__xludf.DUMMYFUNCTION("""COMPUTED_VALUE"""),"08:24")</f>
        <v>08:24</v>
      </c>
      <c r="AI1946" s="65" t="str">
        <f>IFERROR(__xludf.DUMMYFUNCTION("""COMPUTED_VALUE"""),"16-01-2026")</f>
        <v>16-01-2026</v>
      </c>
      <c r="AJ1946" s="65"/>
      <c r="AK1946" s="65"/>
      <c r="AL1946" s="65"/>
      <c r="AM1946" s="65"/>
      <c r="AN1946" s="65" t="str">
        <f>IFERROR(__xludf.DUMMYFUNCTION("""COMPUTED_VALUE"""),"15:48")</f>
        <v>15:48</v>
      </c>
      <c r="AO1946" s="65" t="str">
        <f>IFERROR(__xludf.DUMMYFUNCTION("""COMPUTED_VALUE"""),"16-01-2026")</f>
        <v>16-01-2026</v>
      </c>
      <c r="AP1946" s="65" t="str">
        <f>IFERROR(__xludf.DUMMYFUNCTION("""COMPUTED_VALUE"""),"REPORTADO ENTREGADO EN AGENCIA")</f>
        <v>REPORTADO ENTREGADO EN AGENCIA</v>
      </c>
      <c r="AQ1946" s="65" t="str">
        <f>IFERROR(__xludf.DUMMYFUNCTION("""COMPUTED_VALUE"""),"JOSE TOALA")</f>
        <v>JOSE TOALA</v>
      </c>
      <c r="AR1946" s="65"/>
      <c r="AS1946" s="65"/>
      <c r="AT1946" s="65" t="str">
        <f>IFERROR(__xludf.DUMMYFUNCTION("""COMPUTED_VALUE"""),"SHOPIFY")</f>
        <v>SHOPIFY</v>
      </c>
      <c r="AU1946" s="65" t="str">
        <f>IFERROR(__xludf.DUMMYFUNCTION("""COMPUTED_VALUE"""),"IMPORTEX EC")</f>
        <v>IMPORTEX EC</v>
      </c>
      <c r="AV1946" s="65" t="str">
        <f>IFERROR(__xludf.DUMMYFUNCTION("""COMPUTED_VALUE"""),"6408952676396")</f>
        <v>6408952676396</v>
      </c>
      <c r="AW1946" s="65">
        <f>IFERROR(__xludf.DUMMYFUNCTION("""COMPUTED_VALUE"""),5028.0)</f>
        <v>5028</v>
      </c>
      <c r="AX1946" s="65"/>
      <c r="AY1946" s="65" t="str">
        <f>IFERROR(__xludf.DUMMYFUNCTION("""COMPUTED_VALUE"""),"13/01/2026")</f>
        <v>13/01/2026</v>
      </c>
      <c r="AZ1946" s="65"/>
      <c r="BA1946" s="65"/>
    </row>
    <row r="1947">
      <c r="A1947" s="65" t="str">
        <f>IFERROR(__xludf.DUMMYFUNCTION("""COMPUTED_VALUE"""),"27-03-2026")</f>
        <v>27-03-2026</v>
      </c>
      <c r="B1947" s="65">
        <f>IFERROR(__xludf.DUMMYFUNCTION("""COMPUTED_VALUE"""),4116581.0)</f>
        <v>4116581</v>
      </c>
      <c r="C1947" s="65" t="str">
        <f>IFERROR(__xludf.DUMMYFUNCTION("""COMPUTED_VALUE"""),"10:15")</f>
        <v>10:15</v>
      </c>
      <c r="D1947" s="65" t="str">
        <f>IFERROR(__xludf.DUMMYFUNCTION("""COMPUTED_VALUE"""),"12-01-2026")</f>
        <v>12-01-2026</v>
      </c>
      <c r="E1947" s="65" t="str">
        <f>IFERROR(__xludf.DUMMYFUNCTION("""COMPUTED_VALUE"""),"Joel Guillermo Mosquera Romero")</f>
        <v>Joel Guillermo Mosquera Romero</v>
      </c>
      <c r="F1947" s="65" t="str">
        <f>IFERROR(__xludf.DUMMYFUNCTION("""COMPUTED_VALUE"""),"991095701")</f>
        <v>991095701</v>
      </c>
      <c r="G1947" s="65" t="str">
        <f>IFERROR(__xludf.DUMMYFUNCTION("""COMPUTED_VALUE"""),"joelmosquera1@gmail.com")</f>
        <v>joelmosquera1@gmail.com</v>
      </c>
      <c r="H1947" s="65"/>
      <c r="I1947" s="65"/>
      <c r="J1947" s="65"/>
      <c r="K1947" s="65" t="str">
        <f>IFERROR(__xludf.DUMMYFUNCTION("""COMPUTED_VALUE"""),"PENDIENTE CONFIRMACION")</f>
        <v>PENDIENTE CONFIRMACION</v>
      </c>
      <c r="L1947" s="65" t="str">
        <f>IFERROR(__xludf.DUMMYFUNCTION("""COMPUTED_VALUE"""),"CON RECAUDO")</f>
        <v>CON RECAUDO</v>
      </c>
      <c r="M1947" s="65" t="str">
        <f>IFERROR(__xludf.DUMMYFUNCTION("""COMPUTED_VALUE"""),"LOJA")</f>
        <v>LOJA</v>
      </c>
      <c r="N1947" s="65" t="str">
        <f>IFERROR(__xludf.DUMMYFUNCTION("""COMPUTED_VALUE"""),"LOJA")</f>
        <v>LOJA</v>
      </c>
      <c r="O1947" s="65" t="str">
        <f>IFERROR(__xludf.DUMMYFUNCTION("""COMPUTED_VALUE"""),"Romerillos y yumbingue")</f>
        <v>Romerillos y yumbingue</v>
      </c>
      <c r="P1947" s="65" t="str">
        <f>IFERROR(__xludf.DUMMYFUNCTION("""COMPUTED_VALUE"""),"CUCHILLO PARA CHEF: Default Title ***")</f>
        <v>CUCHILLO PARA CHEF: Default Title ***</v>
      </c>
      <c r="Q1947" s="65" t="str">
        <f>IFERROR(__xludf.DUMMYFUNCTION("""COMPUTED_VALUE"""),"GINTRACOM")</f>
        <v>GINTRACOM</v>
      </c>
      <c r="R1947" s="65">
        <f>IFERROR(__xludf.DUMMYFUNCTION("""COMPUTED_VALUE"""),21.99)</f>
        <v>21.99</v>
      </c>
      <c r="S1947" s="65"/>
      <c r="T1947" s="65">
        <f>IFERROR(__xludf.DUMMYFUNCTION("""COMPUTED_VALUE"""),5.84)</f>
        <v>5.84</v>
      </c>
      <c r="U1947" s="65">
        <f>IFERROR(__xludf.DUMMYFUNCTION("""COMPUTED_VALUE"""),0.0)</f>
        <v>0</v>
      </c>
      <c r="V1947" s="65">
        <f>IFERROR(__xludf.DUMMYFUNCTION("""COMPUTED_VALUE"""),0.0)</f>
        <v>0</v>
      </c>
      <c r="W1947" s="65">
        <f>IFERROR(__xludf.DUMMYFUNCTION("""COMPUTED_VALUE"""),0.0)</f>
        <v>0</v>
      </c>
      <c r="X1947" s="65">
        <f>IFERROR(__xludf.DUMMYFUNCTION("""COMPUTED_VALUE"""),2.6)</f>
        <v>2.6</v>
      </c>
      <c r="Y1947" s="65">
        <f>IFERROR(__xludf.DUMMYFUNCTION("""COMPUTED_VALUE"""),2.6)</f>
        <v>2.6</v>
      </c>
      <c r="Z1947" s="65">
        <f>IFERROR(__xludf.DUMMYFUNCTION("""COMPUTED_VALUE"""),121983.0)</f>
        <v>121983</v>
      </c>
      <c r="AA1947" s="65" t="str">
        <f>IFERROR(__xludf.DUMMYFUNCTION("""COMPUTED_VALUE"""),"PROV-CHLLCF")</f>
        <v>PROV-CHLLCF</v>
      </c>
      <c r="AB1947" s="65"/>
      <c r="AC1947" s="65" t="str">
        <f>IFERROR(__xludf.DUMMYFUNCTION("""COMPUTED_VALUE"""),"CUCHILLO PARA CHEF")</f>
        <v>CUCHILLO PARA CHEF</v>
      </c>
      <c r="AD1947" s="65"/>
      <c r="AE1947" s="65">
        <f>IFERROR(__xludf.DUMMYFUNCTION("""COMPUTED_VALUE"""),1.0)</f>
        <v>1</v>
      </c>
      <c r="AF1947" s="65"/>
      <c r="AG1947" s="65"/>
      <c r="AH1947" s="65"/>
      <c r="AI1947" s="65"/>
      <c r="AJ1947" s="65"/>
      <c r="AK1947" s="65"/>
      <c r="AL1947" s="65"/>
      <c r="AM1947" s="65"/>
      <c r="AN1947" s="65"/>
      <c r="AO1947" s="65"/>
      <c r="AP1947" s="65"/>
      <c r="AQ1947" s="65"/>
      <c r="AR1947" s="65"/>
      <c r="AS1947" s="65"/>
      <c r="AT1947" s="65" t="str">
        <f>IFERROR(__xludf.DUMMYFUNCTION("""COMPUTED_VALUE"""),"SHOPIFY")</f>
        <v>SHOPIFY</v>
      </c>
      <c r="AU1947" s="65" t="str">
        <f>IFERROR(__xludf.DUMMYFUNCTION("""COMPUTED_VALUE"""),"IMPORTEX EC")</f>
        <v>IMPORTEX EC</v>
      </c>
      <c r="AV1947" s="65" t="str">
        <f>IFERROR(__xludf.DUMMYFUNCTION("""COMPUTED_VALUE"""),"6408916762668")</f>
        <v>6408916762668</v>
      </c>
      <c r="AW1947" s="65">
        <f>IFERROR(__xludf.DUMMYFUNCTION("""COMPUTED_VALUE"""),5027.0)</f>
        <v>5027</v>
      </c>
      <c r="AX1947" s="65"/>
      <c r="AY1947" s="65"/>
      <c r="AZ1947" s="65"/>
      <c r="BA1947" s="65"/>
    </row>
    <row r="1948">
      <c r="A1948" s="65" t="str">
        <f>IFERROR(__xludf.DUMMYFUNCTION("""COMPUTED_VALUE"""),"27-03-2026")</f>
        <v>27-03-2026</v>
      </c>
      <c r="B1948" s="65">
        <f>IFERROR(__xludf.DUMMYFUNCTION("""COMPUTED_VALUE"""),4116523.0)</f>
        <v>4116523</v>
      </c>
      <c r="C1948" s="65" t="str">
        <f>IFERROR(__xludf.DUMMYFUNCTION("""COMPUTED_VALUE"""),"10:12")</f>
        <v>10:12</v>
      </c>
      <c r="D1948" s="65" t="str">
        <f>IFERROR(__xludf.DUMMYFUNCTION("""COMPUTED_VALUE"""),"12-01-2026")</f>
        <v>12-01-2026</v>
      </c>
      <c r="E1948" s="65" t="str">
        <f>IFERROR(__xludf.DUMMYFUNCTION("""COMPUTED_VALUE"""),"Nery Merizalde")</f>
        <v>Nery Merizalde</v>
      </c>
      <c r="F1948" s="65" t="str">
        <f>IFERROR(__xludf.DUMMYFUNCTION("""COMPUTED_VALUE"""),"979063657")</f>
        <v>979063657</v>
      </c>
      <c r="G1948" s="65" t="str">
        <f>IFERROR(__xludf.DUMMYFUNCTION("""COMPUTED_VALUE"""),"mano_0402@hotmail.com")</f>
        <v>mano_0402@hotmail.com</v>
      </c>
      <c r="H1948" s="65"/>
      <c r="I1948" s="65"/>
      <c r="J1948" s="65"/>
      <c r="K1948" s="65" t="str">
        <f>IFERROR(__xludf.DUMMYFUNCTION("""COMPUTED_VALUE"""),"PENDIENTE CONFIRMACION")</f>
        <v>PENDIENTE CONFIRMACION</v>
      </c>
      <c r="L1948" s="65" t="str">
        <f>IFERROR(__xludf.DUMMYFUNCTION("""COMPUTED_VALUE"""),"CON RECAUDO")</f>
        <v>CON RECAUDO</v>
      </c>
      <c r="M1948" s="65" t="str">
        <f>IFERROR(__xludf.DUMMYFUNCTION("""COMPUTED_VALUE"""),"GUAYAS")</f>
        <v>GUAYAS</v>
      </c>
      <c r="N1948" s="65" t="str">
        <f>IFERROR(__xludf.DUMMYFUNCTION("""COMPUTED_VALUE"""),"GUAYAQUIL")</f>
        <v>GUAYAQUIL</v>
      </c>
      <c r="O1948" s="65" t="str">
        <f>IFERROR(__xludf.DUMMYFUNCTION("""COMPUTED_VALUE"""),"Sauces 3 Norte a 500 metros subcentro -")</f>
        <v>Sauces 3 Norte a 500 metros subcentro -</v>
      </c>
      <c r="P1948" s="65"/>
      <c r="Q1948" s="65" t="str">
        <f>IFERROR(__xludf.DUMMYFUNCTION("""COMPUTED_VALUE"""),"GINTRACOM")</f>
        <v>GINTRACOM</v>
      </c>
      <c r="R1948" s="65">
        <f>IFERROR(__xludf.DUMMYFUNCTION("""COMPUTED_VALUE"""),30.0)</f>
        <v>30</v>
      </c>
      <c r="S1948" s="65"/>
      <c r="T1948" s="65">
        <f>IFERROR(__xludf.DUMMYFUNCTION("""COMPUTED_VALUE"""),6.16)</f>
        <v>6.16</v>
      </c>
      <c r="U1948" s="65">
        <f>IFERROR(__xludf.DUMMYFUNCTION("""COMPUTED_VALUE"""),0.0)</f>
        <v>0</v>
      </c>
      <c r="V1948" s="65">
        <f>IFERROR(__xludf.DUMMYFUNCTION("""COMPUTED_VALUE"""),0.0)</f>
        <v>0</v>
      </c>
      <c r="W1948" s="65">
        <f>IFERROR(__xludf.DUMMYFUNCTION("""COMPUTED_VALUE"""),0.0)</f>
        <v>0</v>
      </c>
      <c r="X1948" s="65">
        <f>IFERROR(__xludf.DUMMYFUNCTION("""COMPUTED_VALUE"""),2.35)</f>
        <v>2.35</v>
      </c>
      <c r="Y1948" s="65">
        <f>IFERROR(__xludf.DUMMYFUNCTION("""COMPUTED_VALUE"""),7.05)</f>
        <v>7.05</v>
      </c>
      <c r="Z1948" s="65">
        <f>IFERROR(__xludf.DUMMYFUNCTION("""COMPUTED_VALUE"""),116679.0)</f>
        <v>116679</v>
      </c>
      <c r="AA1948" s="65" t="str">
        <f>IFERROR(__xludf.DUMMYFUNCTION("""COMPUTED_VALUE"""),"AMC-2738")</f>
        <v>AMC-2738</v>
      </c>
      <c r="AB1948" s="65"/>
      <c r="AC1948" s="65" t="str">
        <f>IFERROR(__xludf.DUMMYFUNCTION("""COMPUTED_VALUE"""),"ESPONJA ANTILLUVIA DE PARABRISAS")</f>
        <v>ESPONJA ANTILLUVIA DE PARABRISAS</v>
      </c>
      <c r="AD1948" s="65"/>
      <c r="AE1948" s="65">
        <f>IFERROR(__xludf.DUMMYFUNCTION("""COMPUTED_VALUE"""),3.0)</f>
        <v>3</v>
      </c>
      <c r="AF1948" s="65"/>
      <c r="AG1948" s="65"/>
      <c r="AH1948" s="65"/>
      <c r="AI1948" s="65"/>
      <c r="AJ1948" s="65"/>
      <c r="AK1948" s="65"/>
      <c r="AL1948" s="65"/>
      <c r="AM1948" s="65"/>
      <c r="AN1948" s="65"/>
      <c r="AO1948" s="65"/>
      <c r="AP1948" s="65"/>
      <c r="AQ1948" s="65"/>
      <c r="AR1948" s="65"/>
      <c r="AS1948" s="65"/>
      <c r="AT1948" s="65" t="str">
        <f>IFERROR(__xludf.DUMMYFUNCTION("""COMPUTED_VALUE"""),"SHOPIFY")</f>
        <v>SHOPIFY</v>
      </c>
      <c r="AU1948" s="65" t="str">
        <f>IFERROR(__xludf.DUMMYFUNCTION("""COMPUTED_VALUE"""),"IMPORTEX EC")</f>
        <v>IMPORTEX EC</v>
      </c>
      <c r="AV1948" s="65" t="str">
        <f>IFERROR(__xludf.DUMMYFUNCTION("""COMPUTED_VALUE"""),"6408911847468")</f>
        <v>6408911847468</v>
      </c>
      <c r="AW1948" s="65">
        <f>IFERROR(__xludf.DUMMYFUNCTION("""COMPUTED_VALUE"""),5026.0)</f>
        <v>5026</v>
      </c>
      <c r="AX1948" s="65"/>
      <c r="AY1948" s="65"/>
      <c r="AZ1948" s="65"/>
      <c r="BA1948" s="65"/>
    </row>
    <row r="1949">
      <c r="A1949" s="65" t="str">
        <f>IFERROR(__xludf.DUMMYFUNCTION("""COMPUTED_VALUE"""),"27-03-2026")</f>
        <v>27-03-2026</v>
      </c>
      <c r="B1949" s="65">
        <f>IFERROR(__xludf.DUMMYFUNCTION("""COMPUTED_VALUE"""),4116210.0)</f>
        <v>4116210</v>
      </c>
      <c r="C1949" s="65" t="str">
        <f>IFERROR(__xludf.DUMMYFUNCTION("""COMPUTED_VALUE"""),"09:49")</f>
        <v>09:49</v>
      </c>
      <c r="D1949" s="65" t="str">
        <f>IFERROR(__xludf.DUMMYFUNCTION("""COMPUTED_VALUE"""),"12-01-2026")</f>
        <v>12-01-2026</v>
      </c>
      <c r="E1949" s="65" t="str">
        <f>IFERROR(__xludf.DUMMYFUNCTION("""COMPUTED_VALUE"""),"Jimmy Bajaña")</f>
        <v>Jimmy Bajaña</v>
      </c>
      <c r="F1949" s="65" t="str">
        <f>IFERROR(__xludf.DUMMYFUNCTION("""COMPUTED_VALUE"""),"994409139")</f>
        <v>994409139</v>
      </c>
      <c r="G1949" s="65" t="str">
        <f>IFERROR(__xludf.DUMMYFUNCTION("""COMPUTED_VALUE"""),"jmbf.86@gmail.com")</f>
        <v>jmbf.86@gmail.com</v>
      </c>
      <c r="H1949" s="65"/>
      <c r="I1949" s="65"/>
      <c r="J1949" s="65" t="str">
        <f>IFERROR(__xludf.DUMMYFUNCTION("""COMPUTED_VALUE"""),"D001219581")</f>
        <v>D001219581</v>
      </c>
      <c r="K1949" s="65" t="str">
        <f>IFERROR(__xludf.DUMMYFUNCTION("""COMPUTED_VALUE"""),"ENTREGADO")</f>
        <v>ENTREGADO</v>
      </c>
      <c r="L1949" s="65" t="str">
        <f>IFERROR(__xludf.DUMMYFUNCTION("""COMPUTED_VALUE"""),"CON RECAUDO")</f>
        <v>CON RECAUDO</v>
      </c>
      <c r="M1949" s="65" t="str">
        <f>IFERROR(__xludf.DUMMYFUNCTION("""COMPUTED_VALUE"""),"GUAYAS")</f>
        <v>GUAYAS</v>
      </c>
      <c r="N1949" s="65" t="str">
        <f>IFERROR(__xludf.DUMMYFUNCTION("""COMPUTED_VALUE"""),"DAULE")</f>
        <v>DAULE</v>
      </c>
      <c r="O1949" s="65" t="str">
        <f>IFERROR(__xludf.DUMMYFUNCTION("""COMPUTED_VALUE"""),"La Joya, etapa Quarzo. mz 6 Villa 5. Daule, Guayas")</f>
        <v>La Joya, etapa Quarzo. mz 6 Villa 5. Daule, Guayas</v>
      </c>
      <c r="P1949" s="65"/>
      <c r="Q1949" s="65" t="str">
        <f>IFERROR(__xludf.DUMMYFUNCTION("""COMPUTED_VALUE"""),"GINTRACOM")</f>
        <v>GINTRACOM</v>
      </c>
      <c r="R1949" s="65">
        <f>IFERROR(__xludf.DUMMYFUNCTION("""COMPUTED_VALUE"""),20.0)</f>
        <v>20</v>
      </c>
      <c r="S1949" s="65">
        <f>IFERROR(__xludf.DUMMYFUNCTION("""COMPUTED_VALUE"""),11.89)</f>
        <v>11.89</v>
      </c>
      <c r="T1949" s="65">
        <f>IFERROR(__xludf.DUMMYFUNCTION("""COMPUTED_VALUE"""),5.76)</f>
        <v>5.76</v>
      </c>
      <c r="U1949" s="65">
        <f>IFERROR(__xludf.DUMMYFUNCTION("""COMPUTED_VALUE"""),0.0)</f>
        <v>0</v>
      </c>
      <c r="V1949" s="65">
        <f>IFERROR(__xludf.DUMMYFUNCTION("""COMPUTED_VALUE"""),0.0)</f>
        <v>0</v>
      </c>
      <c r="W1949" s="65">
        <f>IFERROR(__xludf.DUMMYFUNCTION("""COMPUTED_VALUE"""),0.0)</f>
        <v>0</v>
      </c>
      <c r="X1949" s="65">
        <f>IFERROR(__xludf.DUMMYFUNCTION("""COMPUTED_VALUE"""),2.35)</f>
        <v>2.35</v>
      </c>
      <c r="Y1949" s="65">
        <f>IFERROR(__xludf.DUMMYFUNCTION("""COMPUTED_VALUE"""),2.35)</f>
        <v>2.35</v>
      </c>
      <c r="Z1949" s="65">
        <f>IFERROR(__xludf.DUMMYFUNCTION("""COMPUTED_VALUE"""),116679.0)</f>
        <v>116679</v>
      </c>
      <c r="AA1949" s="65" t="str">
        <f>IFERROR(__xludf.DUMMYFUNCTION("""COMPUTED_VALUE"""),"AMC-2738")</f>
        <v>AMC-2738</v>
      </c>
      <c r="AB1949" s="65"/>
      <c r="AC1949" s="65" t="str">
        <f>IFERROR(__xludf.DUMMYFUNCTION("""COMPUTED_VALUE"""),"ESPONJA ANTILLUVIA DE PARABRISAS")</f>
        <v>ESPONJA ANTILLUVIA DE PARABRISAS</v>
      </c>
      <c r="AD1949" s="65"/>
      <c r="AE1949" s="65">
        <f>IFERROR(__xludf.DUMMYFUNCTION("""COMPUTED_VALUE"""),1.0)</f>
        <v>1</v>
      </c>
      <c r="AF1949" s="65"/>
      <c r="AG1949" s="65"/>
      <c r="AH1949" s="65"/>
      <c r="AI1949" s="65"/>
      <c r="AJ1949" s="65"/>
      <c r="AK1949" s="65"/>
      <c r="AL1949" s="65"/>
      <c r="AM1949" s="65"/>
      <c r="AN1949" s="65" t="str">
        <f>IFERROR(__xludf.DUMMYFUNCTION("""COMPUTED_VALUE"""),"12:59")</f>
        <v>12:59</v>
      </c>
      <c r="AO1949" s="65" t="str">
        <f>IFERROR(__xludf.DUMMYFUNCTION("""COMPUTED_VALUE"""),"16-01-2026")</f>
        <v>16-01-2026</v>
      </c>
      <c r="AP1949" s="65" t="str">
        <f>IFERROR(__xludf.DUMMYFUNCTION("""COMPUTED_VALUE"""),"ENTREGADA GINTRACOM")</f>
        <v>ENTREGADA GINTRACOM</v>
      </c>
      <c r="AQ1949" s="65" t="str">
        <f>IFERROR(__xludf.DUMMYFUNCTION("""COMPUTED_VALUE"""),"ENTREGADA GINTRACOM")</f>
        <v>ENTREGADA GINTRACOM</v>
      </c>
      <c r="AR1949" s="65"/>
      <c r="AS1949" s="65"/>
      <c r="AT1949" s="65" t="str">
        <f>IFERROR(__xludf.DUMMYFUNCTION("""COMPUTED_VALUE"""),"SHOPIFY")</f>
        <v>SHOPIFY</v>
      </c>
      <c r="AU1949" s="65" t="str">
        <f>IFERROR(__xludf.DUMMYFUNCTION("""COMPUTED_VALUE"""),"IMPORTEX EC")</f>
        <v>IMPORTEX EC</v>
      </c>
      <c r="AV1949" s="65" t="str">
        <f>IFERROR(__xludf.DUMMYFUNCTION("""COMPUTED_VALUE"""),"6408876294188")</f>
        <v>6408876294188</v>
      </c>
      <c r="AW1949" s="65">
        <f>IFERROR(__xludf.DUMMYFUNCTION("""COMPUTED_VALUE"""),5025.0)</f>
        <v>5025</v>
      </c>
      <c r="AX1949" s="65"/>
      <c r="AY1949" s="65" t="str">
        <f>IFERROR(__xludf.DUMMYFUNCTION("""COMPUTED_VALUE"""),"13/01/2026")</f>
        <v>13/01/2026</v>
      </c>
      <c r="AZ1949" s="65"/>
      <c r="BA1949" s="65"/>
    </row>
    <row r="1950">
      <c r="A1950" s="65" t="str">
        <f>IFERROR(__xludf.DUMMYFUNCTION("""COMPUTED_VALUE"""),"27-03-2026")</f>
        <v>27-03-2026</v>
      </c>
      <c r="B1950" s="65">
        <f>IFERROR(__xludf.DUMMYFUNCTION("""COMPUTED_VALUE"""),4116205.0)</f>
        <v>4116205</v>
      </c>
      <c r="C1950" s="65" t="str">
        <f>IFERROR(__xludf.DUMMYFUNCTION("""COMPUTED_VALUE"""),"09:49")</f>
        <v>09:49</v>
      </c>
      <c r="D1950" s="65" t="str">
        <f>IFERROR(__xludf.DUMMYFUNCTION("""COMPUTED_VALUE"""),"12-01-2026")</f>
        <v>12-01-2026</v>
      </c>
      <c r="E1950" s="65" t="str">
        <f>IFERROR(__xludf.DUMMYFUNCTION("""COMPUTED_VALUE"""),"Alex Toapanta")</f>
        <v>Alex Toapanta</v>
      </c>
      <c r="F1950" s="65" t="str">
        <f>IFERROR(__xludf.DUMMYFUNCTION("""COMPUTED_VALUE"""),"993955650")</f>
        <v>993955650</v>
      </c>
      <c r="G1950" s="65" t="str">
        <f>IFERROR(__xludf.DUMMYFUNCTION("""COMPUTED_VALUE"""),"vlady610@gmail.com")</f>
        <v>vlady610@gmail.com</v>
      </c>
      <c r="H1950" s="65"/>
      <c r="I1950" s="65"/>
      <c r="J1950" s="65" t="str">
        <f>IFERROR(__xludf.DUMMYFUNCTION("""COMPUTED_VALUE"""),"D001219582")</f>
        <v>D001219582</v>
      </c>
      <c r="K1950" s="65" t="str">
        <f>IFERROR(__xludf.DUMMYFUNCTION("""COMPUTED_VALUE"""),"DEVOLUCION")</f>
        <v>DEVOLUCION</v>
      </c>
      <c r="L1950" s="65" t="str">
        <f>IFERROR(__xludf.DUMMYFUNCTION("""COMPUTED_VALUE"""),"CON RECAUDO")</f>
        <v>CON RECAUDO</v>
      </c>
      <c r="M1950" s="65" t="str">
        <f>IFERROR(__xludf.DUMMYFUNCTION("""COMPUTED_VALUE"""),"LOS RIOS")</f>
        <v>LOS RIOS</v>
      </c>
      <c r="N1950" s="65" t="str">
        <f>IFERROR(__xludf.DUMMYFUNCTION("""COMPUTED_VALUE"""),"BABAHOYO")</f>
        <v>BABAHOYO</v>
      </c>
      <c r="O1950" s="65" t="str">
        <f>IFERROR(__xludf.DUMMYFUNCTION("""COMPUTED_VALUE"""),"5 de junio entre Martín Icaza y flores Edificio amarillo 3 pisos, corporación ctc -")</f>
        <v>5 de junio entre Martín Icaza y flores Edificio amarillo 3 pisos, corporación ctc -</v>
      </c>
      <c r="P1950" s="65"/>
      <c r="Q1950" s="65" t="str">
        <f>IFERROR(__xludf.DUMMYFUNCTION("""COMPUTED_VALUE"""),"GINTRACOM")</f>
        <v>GINTRACOM</v>
      </c>
      <c r="R1950" s="65">
        <f>IFERROR(__xludf.DUMMYFUNCTION("""COMPUTED_VALUE"""),30.0)</f>
        <v>30</v>
      </c>
      <c r="S1950" s="65"/>
      <c r="T1950" s="65">
        <f>IFERROR(__xludf.DUMMYFUNCTION("""COMPUTED_VALUE"""),6.16)</f>
        <v>6.16</v>
      </c>
      <c r="U1950" s="65">
        <f>IFERROR(__xludf.DUMMYFUNCTION("""COMPUTED_VALUE"""),0.0)</f>
        <v>0</v>
      </c>
      <c r="V1950" s="65">
        <f>IFERROR(__xludf.DUMMYFUNCTION("""COMPUTED_VALUE"""),0.0)</f>
        <v>0</v>
      </c>
      <c r="W1950" s="65">
        <f>IFERROR(__xludf.DUMMYFUNCTION("""COMPUTED_VALUE"""),0.0)</f>
        <v>0</v>
      </c>
      <c r="X1950" s="65">
        <f>IFERROR(__xludf.DUMMYFUNCTION("""COMPUTED_VALUE"""),2.35)</f>
        <v>2.35</v>
      </c>
      <c r="Y1950" s="65">
        <f>IFERROR(__xludf.DUMMYFUNCTION("""COMPUTED_VALUE"""),7.05)</f>
        <v>7.05</v>
      </c>
      <c r="Z1950" s="65">
        <f>IFERROR(__xludf.DUMMYFUNCTION("""COMPUTED_VALUE"""),116679.0)</f>
        <v>116679</v>
      </c>
      <c r="AA1950" s="65" t="str">
        <f>IFERROR(__xludf.DUMMYFUNCTION("""COMPUTED_VALUE"""),"AMC-2738")</f>
        <v>AMC-2738</v>
      </c>
      <c r="AB1950" s="65"/>
      <c r="AC1950" s="65" t="str">
        <f>IFERROR(__xludf.DUMMYFUNCTION("""COMPUTED_VALUE"""),"ESPONJA ANTILLUVIA DE PARABRISAS")</f>
        <v>ESPONJA ANTILLUVIA DE PARABRISAS</v>
      </c>
      <c r="AD1950" s="65"/>
      <c r="AE1950" s="65">
        <f>IFERROR(__xludf.DUMMYFUNCTION("""COMPUTED_VALUE"""),3.0)</f>
        <v>3</v>
      </c>
      <c r="AF1950" s="65" t="str">
        <f>IFERROR(__xludf.DUMMYFUNCTION("""COMPUTED_VALUE"""),"DESTINATARIO NO CONTESTA LLAMADAS NI WHATSAPP")</f>
        <v>DESTINATARIO NO CONTESTA LLAMADAS NI WHATSAPP</v>
      </c>
      <c r="AG1950" s="65" t="str">
        <f>IFERROR(__xludf.DUMMYFUNCTION("""COMPUTED_VALUE"""),"NO")</f>
        <v>NO</v>
      </c>
      <c r="AH1950" s="65" t="str">
        <f>IFERROR(__xludf.DUMMYFUNCTION("""COMPUTED_VALUE"""),"16:31")</f>
        <v>16:31</v>
      </c>
      <c r="AI1950" s="65" t="str">
        <f>IFERROR(__xludf.DUMMYFUNCTION("""COMPUTED_VALUE"""),"23-01-2026")</f>
        <v>23-01-2026</v>
      </c>
      <c r="AJ1950" s="65"/>
      <c r="AK1950" s="65"/>
      <c r="AL1950" s="65"/>
      <c r="AM1950" s="65"/>
      <c r="AN1950" s="65" t="str">
        <f>IFERROR(__xludf.DUMMYFUNCTION("""COMPUTED_VALUE"""),"20:53")</f>
        <v>20:53</v>
      </c>
      <c r="AO1950" s="65" t="str">
        <f>IFERROR(__xludf.DUMMYFUNCTION("""COMPUTED_VALUE"""),"13-02-2026")</f>
        <v>13-02-2026</v>
      </c>
      <c r="AP1950" s="65" t="str">
        <f>IFERROR(__xludf.DUMMYFUNCTION("""COMPUTED_VALUE"""),"DEVOLUCIÓN ENTREGADA A ORIGEN")</f>
        <v>DEVOLUCIÓN ENTREGADA A ORIGEN</v>
      </c>
      <c r="AQ1950" s="65" t="str">
        <f>IFERROR(__xludf.DUMMYFUNCTION("""COMPUTED_VALUE"""),"DEVOLUCIÓN ENTREGADA A ORIGEN")</f>
        <v>DEVOLUCIÓN ENTREGADA A ORIGEN</v>
      </c>
      <c r="AR1950" s="65"/>
      <c r="AS1950" s="65"/>
      <c r="AT1950" s="65" t="str">
        <f>IFERROR(__xludf.DUMMYFUNCTION("""COMPUTED_VALUE"""),"SHOPIFY")</f>
        <v>SHOPIFY</v>
      </c>
      <c r="AU1950" s="65" t="str">
        <f>IFERROR(__xludf.DUMMYFUNCTION("""COMPUTED_VALUE"""),"IMPORTEX EC")</f>
        <v>IMPORTEX EC</v>
      </c>
      <c r="AV1950" s="65" t="str">
        <f>IFERROR(__xludf.DUMMYFUNCTION("""COMPUTED_VALUE"""),"6408875409452")</f>
        <v>6408875409452</v>
      </c>
      <c r="AW1950" s="65">
        <f>IFERROR(__xludf.DUMMYFUNCTION("""COMPUTED_VALUE"""),5024.0)</f>
        <v>5024</v>
      </c>
      <c r="AX1950" s="65"/>
      <c r="AY1950" s="65" t="str">
        <f>IFERROR(__xludf.DUMMYFUNCTION("""COMPUTED_VALUE"""),"13/01/2026")</f>
        <v>13/01/2026</v>
      </c>
      <c r="AZ1950" s="65"/>
      <c r="BA1950" s="65"/>
    </row>
    <row r="1951">
      <c r="A1951" s="65" t="str">
        <f>IFERROR(__xludf.DUMMYFUNCTION("""COMPUTED_VALUE"""),"27-03-2026")</f>
        <v>27-03-2026</v>
      </c>
      <c r="B1951" s="65">
        <f>IFERROR(__xludf.DUMMYFUNCTION("""COMPUTED_VALUE"""),4116200.0)</f>
        <v>4116200</v>
      </c>
      <c r="C1951" s="65" t="str">
        <f>IFERROR(__xludf.DUMMYFUNCTION("""COMPUTED_VALUE"""),"09:48")</f>
        <v>09:48</v>
      </c>
      <c r="D1951" s="65" t="str">
        <f>IFERROR(__xludf.DUMMYFUNCTION("""COMPUTED_VALUE"""),"12-01-2026")</f>
        <v>12-01-2026</v>
      </c>
      <c r="E1951" s="65" t="str">
        <f>IFERROR(__xludf.DUMMYFUNCTION("""COMPUTED_VALUE"""),"Jorge Figueroa")</f>
        <v>Jorge Figueroa</v>
      </c>
      <c r="F1951" s="65" t="str">
        <f>IFERROR(__xludf.DUMMYFUNCTION("""COMPUTED_VALUE"""),"939295184")</f>
        <v>939295184</v>
      </c>
      <c r="G1951" s="65" t="str">
        <f>IFERROR(__xludf.DUMMYFUNCTION("""COMPUTED_VALUE"""),"jorgeluisfiguer@gmail.com")</f>
        <v>jorgeluisfiguer@gmail.com</v>
      </c>
      <c r="H1951" s="65"/>
      <c r="I1951" s="65"/>
      <c r="J1951" s="65" t="str">
        <f>IFERROR(__xludf.DUMMYFUNCTION("""COMPUTED_VALUE"""),"D001219583")</f>
        <v>D001219583</v>
      </c>
      <c r="K1951" s="65" t="str">
        <f>IFERROR(__xludf.DUMMYFUNCTION("""COMPUTED_VALUE"""),"ENTREGADO")</f>
        <v>ENTREGADO</v>
      </c>
      <c r="L1951" s="65" t="str">
        <f>IFERROR(__xludf.DUMMYFUNCTION("""COMPUTED_VALUE"""),"CON RECAUDO")</f>
        <v>CON RECAUDO</v>
      </c>
      <c r="M1951" s="65" t="str">
        <f>IFERROR(__xludf.DUMMYFUNCTION("""COMPUTED_VALUE"""),"GUAYAS")</f>
        <v>GUAYAS</v>
      </c>
      <c r="N1951" s="65" t="str">
        <f>IFERROR(__xludf.DUMMYFUNCTION("""COMPUTED_VALUE"""),"GUAYAQUIL")</f>
        <v>GUAYAQUIL</v>
      </c>
      <c r="O1951" s="65" t="str">
        <f>IFERROR(__xludf.DUMMYFUNCTION("""COMPUTED_VALUE"""),"Mapasingue oeste av. 3ra y calle 4ta. #301 Mapasingue oeste entregar en una ferretería de nombre Elizabeth -")</f>
        <v>Mapasingue oeste av. 3ra y calle 4ta. #301 Mapasingue oeste entregar en una ferretería de nombre Elizabeth -</v>
      </c>
      <c r="P1951" s="65"/>
      <c r="Q1951" s="65" t="str">
        <f>IFERROR(__xludf.DUMMYFUNCTION("""COMPUTED_VALUE"""),"GINTRACOM")</f>
        <v>GINTRACOM</v>
      </c>
      <c r="R1951" s="65">
        <f>IFERROR(__xludf.DUMMYFUNCTION("""COMPUTED_VALUE"""),25.0)</f>
        <v>25</v>
      </c>
      <c r="S1951" s="65">
        <f>IFERROR(__xludf.DUMMYFUNCTION("""COMPUTED_VALUE"""),14.34)</f>
        <v>14.34</v>
      </c>
      <c r="T1951" s="65">
        <f>IFERROR(__xludf.DUMMYFUNCTION("""COMPUTED_VALUE"""),5.96)</f>
        <v>5.96</v>
      </c>
      <c r="U1951" s="65">
        <f>IFERROR(__xludf.DUMMYFUNCTION("""COMPUTED_VALUE"""),0.0)</f>
        <v>0</v>
      </c>
      <c r="V1951" s="65">
        <f>IFERROR(__xludf.DUMMYFUNCTION("""COMPUTED_VALUE"""),0.0)</f>
        <v>0</v>
      </c>
      <c r="W1951" s="65">
        <f>IFERROR(__xludf.DUMMYFUNCTION("""COMPUTED_VALUE"""),0.0)</f>
        <v>0</v>
      </c>
      <c r="X1951" s="65">
        <f>IFERROR(__xludf.DUMMYFUNCTION("""COMPUTED_VALUE"""),2.35)</f>
        <v>2.35</v>
      </c>
      <c r="Y1951" s="65">
        <f>IFERROR(__xludf.DUMMYFUNCTION("""COMPUTED_VALUE"""),4.7)</f>
        <v>4.7</v>
      </c>
      <c r="Z1951" s="65">
        <f>IFERROR(__xludf.DUMMYFUNCTION("""COMPUTED_VALUE"""),116679.0)</f>
        <v>116679</v>
      </c>
      <c r="AA1951" s="65" t="str">
        <f>IFERROR(__xludf.DUMMYFUNCTION("""COMPUTED_VALUE"""),"AMC-2738")</f>
        <v>AMC-2738</v>
      </c>
      <c r="AB1951" s="65"/>
      <c r="AC1951" s="65" t="str">
        <f>IFERROR(__xludf.DUMMYFUNCTION("""COMPUTED_VALUE"""),"ESPONJA ANTILLUVIA DE PARABRISAS")</f>
        <v>ESPONJA ANTILLUVIA DE PARABRISAS</v>
      </c>
      <c r="AD1951" s="65"/>
      <c r="AE1951" s="65">
        <f>IFERROR(__xludf.DUMMYFUNCTION("""COMPUTED_VALUE"""),2.0)</f>
        <v>2</v>
      </c>
      <c r="AF1951" s="65"/>
      <c r="AG1951" s="65"/>
      <c r="AH1951" s="65"/>
      <c r="AI1951" s="65"/>
      <c r="AJ1951" s="65"/>
      <c r="AK1951" s="65"/>
      <c r="AL1951" s="65"/>
      <c r="AM1951" s="65"/>
      <c r="AN1951" s="65" t="str">
        <f>IFERROR(__xludf.DUMMYFUNCTION("""COMPUTED_VALUE"""),"12:59")</f>
        <v>12:59</v>
      </c>
      <c r="AO1951" s="65" t="str">
        <f>IFERROR(__xludf.DUMMYFUNCTION("""COMPUTED_VALUE"""),"15-01-2026")</f>
        <v>15-01-2026</v>
      </c>
      <c r="AP1951" s="65" t="str">
        <f>IFERROR(__xludf.DUMMYFUNCTION("""COMPUTED_VALUE"""),"ENTREGADA GINTRACOM")</f>
        <v>ENTREGADA GINTRACOM</v>
      </c>
      <c r="AQ1951" s="65" t="str">
        <f>IFERROR(__xludf.DUMMYFUNCTION("""COMPUTED_VALUE"""),"ENTREGADA GINTRACOM")</f>
        <v>ENTREGADA GINTRACOM</v>
      </c>
      <c r="AR1951" s="65"/>
      <c r="AS1951" s="65"/>
      <c r="AT1951" s="65" t="str">
        <f>IFERROR(__xludf.DUMMYFUNCTION("""COMPUTED_VALUE"""),"SHOPIFY")</f>
        <v>SHOPIFY</v>
      </c>
      <c r="AU1951" s="65" t="str">
        <f>IFERROR(__xludf.DUMMYFUNCTION("""COMPUTED_VALUE"""),"IMPORTEX EC")</f>
        <v>IMPORTEX EC</v>
      </c>
      <c r="AV1951" s="65" t="str">
        <f>IFERROR(__xludf.DUMMYFUNCTION("""COMPUTED_VALUE"""),"6408873967660")</f>
        <v>6408873967660</v>
      </c>
      <c r="AW1951" s="65">
        <f>IFERROR(__xludf.DUMMYFUNCTION("""COMPUTED_VALUE"""),5023.0)</f>
        <v>5023</v>
      </c>
      <c r="AX1951" s="65"/>
      <c r="AY1951" s="65" t="str">
        <f>IFERROR(__xludf.DUMMYFUNCTION("""COMPUTED_VALUE"""),"13/01/2026")</f>
        <v>13/01/2026</v>
      </c>
      <c r="AZ1951" s="65"/>
      <c r="BA1951" s="65"/>
    </row>
    <row r="1952">
      <c r="A1952" s="65" t="str">
        <f>IFERROR(__xludf.DUMMYFUNCTION("""COMPUTED_VALUE"""),"27-03-2026")</f>
        <v>27-03-2026</v>
      </c>
      <c r="B1952" s="65">
        <f>IFERROR(__xludf.DUMMYFUNCTION("""COMPUTED_VALUE"""),4116165.0)</f>
        <v>4116165</v>
      </c>
      <c r="C1952" s="65" t="str">
        <f>IFERROR(__xludf.DUMMYFUNCTION("""COMPUTED_VALUE"""),"09:46")</f>
        <v>09:46</v>
      </c>
      <c r="D1952" s="65" t="str">
        <f>IFERROR(__xludf.DUMMYFUNCTION("""COMPUTED_VALUE"""),"12-01-2026")</f>
        <v>12-01-2026</v>
      </c>
      <c r="E1952" s="65" t="str">
        <f>IFERROR(__xludf.DUMMYFUNCTION("""COMPUTED_VALUE"""),"Maria Eulalia Toral")</f>
        <v>Maria Eulalia Toral</v>
      </c>
      <c r="F1952" s="65" t="str">
        <f>IFERROR(__xludf.DUMMYFUNCTION("""COMPUTED_VALUE"""),"999414157")</f>
        <v>999414157</v>
      </c>
      <c r="G1952" s="65" t="str">
        <f>IFERROR(__xludf.DUMMYFUNCTION("""COMPUTED_VALUE"""),"mayutoral@yahoo.es")</f>
        <v>mayutoral@yahoo.es</v>
      </c>
      <c r="H1952" s="65"/>
      <c r="I1952" s="65"/>
      <c r="J1952" s="65" t="str">
        <f>IFERROR(__xludf.DUMMYFUNCTION("""COMPUTED_VALUE"""),"D001219585")</f>
        <v>D001219585</v>
      </c>
      <c r="K1952" s="65" t="str">
        <f>IFERROR(__xludf.DUMMYFUNCTION("""COMPUTED_VALUE"""),"ENTREGADO")</f>
        <v>ENTREGADO</v>
      </c>
      <c r="L1952" s="65" t="str">
        <f>IFERROR(__xludf.DUMMYFUNCTION("""COMPUTED_VALUE"""),"CON RECAUDO")</f>
        <v>CON RECAUDO</v>
      </c>
      <c r="M1952" s="65" t="str">
        <f>IFERROR(__xludf.DUMMYFUNCTION("""COMPUTED_VALUE"""),"AZUAY")</f>
        <v>AZUAY</v>
      </c>
      <c r="N1952" s="65" t="str">
        <f>IFERROR(__xludf.DUMMYFUNCTION("""COMPUTED_VALUE"""),"CUENCA")</f>
        <v>CUENCA</v>
      </c>
      <c r="O1952" s="65" t="str">
        <f>IFERROR(__xludf.DUMMYFUNCTION("""COMPUTED_VALUE"""),"es Paseo Río Tomebamba Y y paseo Rio Tarqui edificio Atlántida, Departamento 407")</f>
        <v>es Paseo Río Tomebamba Y y paseo Rio Tarqui edificio Atlántida, Departamento 407</v>
      </c>
      <c r="P1952" s="65"/>
      <c r="Q1952" s="65" t="str">
        <f>IFERROR(__xludf.DUMMYFUNCTION("""COMPUTED_VALUE"""),"GINTRACOM")</f>
        <v>GINTRACOM</v>
      </c>
      <c r="R1952" s="65">
        <f>IFERROR(__xludf.DUMMYFUNCTION("""COMPUTED_VALUE"""),30.0)</f>
        <v>30</v>
      </c>
      <c r="S1952" s="65">
        <f>IFERROR(__xludf.DUMMYFUNCTION("""COMPUTED_VALUE"""),16.79)</f>
        <v>16.79</v>
      </c>
      <c r="T1952" s="65">
        <f>IFERROR(__xludf.DUMMYFUNCTION("""COMPUTED_VALUE"""),6.16)</f>
        <v>6.16</v>
      </c>
      <c r="U1952" s="65">
        <f>IFERROR(__xludf.DUMMYFUNCTION("""COMPUTED_VALUE"""),0.0)</f>
        <v>0</v>
      </c>
      <c r="V1952" s="65">
        <f>IFERROR(__xludf.DUMMYFUNCTION("""COMPUTED_VALUE"""),0.0)</f>
        <v>0</v>
      </c>
      <c r="W1952" s="65">
        <f>IFERROR(__xludf.DUMMYFUNCTION("""COMPUTED_VALUE"""),0.0)</f>
        <v>0</v>
      </c>
      <c r="X1952" s="65">
        <f>IFERROR(__xludf.DUMMYFUNCTION("""COMPUTED_VALUE"""),2.35)</f>
        <v>2.35</v>
      </c>
      <c r="Y1952" s="65">
        <f>IFERROR(__xludf.DUMMYFUNCTION("""COMPUTED_VALUE"""),7.05)</f>
        <v>7.05</v>
      </c>
      <c r="Z1952" s="65">
        <f>IFERROR(__xludf.DUMMYFUNCTION("""COMPUTED_VALUE"""),116679.0)</f>
        <v>116679</v>
      </c>
      <c r="AA1952" s="65" t="str">
        <f>IFERROR(__xludf.DUMMYFUNCTION("""COMPUTED_VALUE"""),"AMC-2738")</f>
        <v>AMC-2738</v>
      </c>
      <c r="AB1952" s="65"/>
      <c r="AC1952" s="65" t="str">
        <f>IFERROR(__xludf.DUMMYFUNCTION("""COMPUTED_VALUE"""),"ESPONJA ANTILLUVIA DE PARABRISAS")</f>
        <v>ESPONJA ANTILLUVIA DE PARABRISAS</v>
      </c>
      <c r="AD1952" s="65"/>
      <c r="AE1952" s="65">
        <f>IFERROR(__xludf.DUMMYFUNCTION("""COMPUTED_VALUE"""),3.0)</f>
        <v>3</v>
      </c>
      <c r="AF1952" s="65"/>
      <c r="AG1952" s="65"/>
      <c r="AH1952" s="65"/>
      <c r="AI1952" s="65"/>
      <c r="AJ1952" s="65"/>
      <c r="AK1952" s="65"/>
      <c r="AL1952" s="65"/>
      <c r="AM1952" s="65"/>
      <c r="AN1952" s="65" t="str">
        <f>IFERROR(__xludf.DUMMYFUNCTION("""COMPUTED_VALUE"""),"15:15")</f>
        <v>15:15</v>
      </c>
      <c r="AO1952" s="65" t="str">
        <f>IFERROR(__xludf.DUMMYFUNCTION("""COMPUTED_VALUE"""),"15-01-2026")</f>
        <v>15-01-2026</v>
      </c>
      <c r="AP1952" s="65" t="str">
        <f>IFERROR(__xludf.DUMMYFUNCTION("""COMPUTED_VALUE"""),"ENTREGADA GINTRACOM")</f>
        <v>ENTREGADA GINTRACOM</v>
      </c>
      <c r="AQ1952" s="65" t="str">
        <f>IFERROR(__xludf.DUMMYFUNCTION("""COMPUTED_VALUE"""),"ENTREGADA GINTRACOM")</f>
        <v>ENTREGADA GINTRACOM</v>
      </c>
      <c r="AR1952" s="65"/>
      <c r="AS1952" s="65"/>
      <c r="AT1952" s="65" t="str">
        <f>IFERROR(__xludf.DUMMYFUNCTION("""COMPUTED_VALUE"""),"SHOPIFY")</f>
        <v>SHOPIFY</v>
      </c>
      <c r="AU1952" s="65" t="str">
        <f>IFERROR(__xludf.DUMMYFUNCTION("""COMPUTED_VALUE"""),"IMPORTEX EC")</f>
        <v>IMPORTEX EC</v>
      </c>
      <c r="AV1952" s="65" t="str">
        <f>IFERROR(__xludf.DUMMYFUNCTION("""COMPUTED_VALUE"""),"6408869740588")</f>
        <v>6408869740588</v>
      </c>
      <c r="AW1952" s="65">
        <f>IFERROR(__xludf.DUMMYFUNCTION("""COMPUTED_VALUE"""),5022.0)</f>
        <v>5022</v>
      </c>
      <c r="AX1952" s="65"/>
      <c r="AY1952" s="65" t="str">
        <f>IFERROR(__xludf.DUMMYFUNCTION("""COMPUTED_VALUE"""),"13/01/2026")</f>
        <v>13/01/2026</v>
      </c>
      <c r="AZ1952" s="65"/>
      <c r="BA1952" s="65"/>
    </row>
    <row r="1953">
      <c r="A1953" s="65" t="str">
        <f>IFERROR(__xludf.DUMMYFUNCTION("""COMPUTED_VALUE"""),"27-03-2026")</f>
        <v>27-03-2026</v>
      </c>
      <c r="B1953" s="65">
        <f>IFERROR(__xludf.DUMMYFUNCTION("""COMPUTED_VALUE"""),4116004.0)</f>
        <v>4116004</v>
      </c>
      <c r="C1953" s="65" t="str">
        <f>IFERROR(__xludf.DUMMYFUNCTION("""COMPUTED_VALUE"""),"09:36")</f>
        <v>09:36</v>
      </c>
      <c r="D1953" s="65" t="str">
        <f>IFERROR(__xludf.DUMMYFUNCTION("""COMPUTED_VALUE"""),"12-01-2026")</f>
        <v>12-01-2026</v>
      </c>
      <c r="E1953" s="65" t="str">
        <f>IFERROR(__xludf.DUMMYFUNCTION("""COMPUTED_VALUE"""),"Carlos reinel Carrera")</f>
        <v>Carlos reinel Carrera</v>
      </c>
      <c r="F1953" s="65" t="str">
        <f>IFERROR(__xludf.DUMMYFUNCTION("""COMPUTED_VALUE"""),"996601670")</f>
        <v>996601670</v>
      </c>
      <c r="G1953" s="65" t="str">
        <f>IFERROR(__xludf.DUMMYFUNCTION("""COMPUTED_VALUE"""),"consorcio_juridico_cc@yahoo.com")</f>
        <v>consorcio_juridico_cc@yahoo.com</v>
      </c>
      <c r="H1953" s="65"/>
      <c r="I1953" s="65"/>
      <c r="J1953" s="65" t="str">
        <f>IFERROR(__xludf.DUMMYFUNCTION("""COMPUTED_VALUE"""),"D001218339")</f>
        <v>D001218339</v>
      </c>
      <c r="K1953" s="65" t="str">
        <f>IFERROR(__xludf.DUMMYFUNCTION("""COMPUTED_VALUE"""),"ENTREGADO")</f>
        <v>ENTREGADO</v>
      </c>
      <c r="L1953" s="65" t="str">
        <f>IFERROR(__xludf.DUMMYFUNCTION("""COMPUTED_VALUE"""),"CON RECAUDO")</f>
        <v>CON RECAUDO</v>
      </c>
      <c r="M1953" s="65" t="str">
        <f>IFERROR(__xludf.DUMMYFUNCTION("""COMPUTED_VALUE"""),"PICHINCHA")</f>
        <v>PICHINCHA</v>
      </c>
      <c r="N1953" s="65" t="str">
        <f>IFERROR(__xludf.DUMMYFUNCTION("""COMPUTED_VALUE"""),"CALDERON")</f>
        <v>CALDERON</v>
      </c>
      <c r="O1953" s="65" t="str">
        <f>IFERROR(__xludf.DUMMYFUNCTION("""COMPUTED_VALUE"""),"-humberto cabezas 2272 y panamericana norte -")</f>
        <v>-humberto cabezas 2272 y panamericana norte -</v>
      </c>
      <c r="P1953" s="65"/>
      <c r="Q1953" s="65" t="str">
        <f>IFERROR(__xludf.DUMMYFUNCTION("""COMPUTED_VALUE"""),"GINTRACOM")</f>
        <v>GINTRACOM</v>
      </c>
      <c r="R1953" s="65">
        <f>IFERROR(__xludf.DUMMYFUNCTION("""COMPUTED_VALUE"""),22.0)</f>
        <v>22</v>
      </c>
      <c r="S1953" s="65">
        <f>IFERROR(__xludf.DUMMYFUNCTION("""COMPUTED_VALUE"""),10.96)</f>
        <v>10.96</v>
      </c>
      <c r="T1953" s="65">
        <f>IFERROR(__xludf.DUMMYFUNCTION("""COMPUTED_VALUE"""),5.84)</f>
        <v>5.84</v>
      </c>
      <c r="U1953" s="65">
        <f>IFERROR(__xludf.DUMMYFUNCTION("""COMPUTED_VALUE"""),0.0)</f>
        <v>0</v>
      </c>
      <c r="V1953" s="65">
        <f>IFERROR(__xludf.DUMMYFUNCTION("""COMPUTED_VALUE"""),0.0)</f>
        <v>0</v>
      </c>
      <c r="W1953" s="65">
        <f>IFERROR(__xludf.DUMMYFUNCTION("""COMPUTED_VALUE"""),0.0)</f>
        <v>0</v>
      </c>
      <c r="X1953" s="65">
        <f>IFERROR(__xludf.DUMMYFUNCTION("""COMPUTED_VALUE"""),2.6)</f>
        <v>2.6</v>
      </c>
      <c r="Y1953" s="65">
        <f>IFERROR(__xludf.DUMMYFUNCTION("""COMPUTED_VALUE"""),5.2)</f>
        <v>5.2</v>
      </c>
      <c r="Z1953" s="65">
        <f>IFERROR(__xludf.DUMMYFUNCTION("""COMPUTED_VALUE"""),121983.0)</f>
        <v>121983</v>
      </c>
      <c r="AA1953" s="65" t="str">
        <f>IFERROR(__xludf.DUMMYFUNCTION("""COMPUTED_VALUE"""),"PROV-CHLLCF")</f>
        <v>PROV-CHLLCF</v>
      </c>
      <c r="AB1953" s="65"/>
      <c r="AC1953" s="65" t="str">
        <f>IFERROR(__xludf.DUMMYFUNCTION("""COMPUTED_VALUE"""),"CUCHILLO PARA CHEF")</f>
        <v>CUCHILLO PARA CHEF</v>
      </c>
      <c r="AD1953" s="65"/>
      <c r="AE1953" s="65">
        <f>IFERROR(__xludf.DUMMYFUNCTION("""COMPUTED_VALUE"""),2.0)</f>
        <v>2</v>
      </c>
      <c r="AF1953" s="65" t="str">
        <f>IFERROR(__xludf.DUMMYFUNCTION("""COMPUTED_VALUE"""),"DESTINATARIO NO CONTESTA LLAMADAS NI WHATSAPP")</f>
        <v>DESTINATARIO NO CONTESTA LLAMADAS NI WHATSAPP</v>
      </c>
      <c r="AG1953" s="65" t="str">
        <f>IFERROR(__xludf.DUMMYFUNCTION("""COMPUTED_VALUE"""),"SI")</f>
        <v>SI</v>
      </c>
      <c r="AH1953" s="65" t="str">
        <f>IFERROR(__xludf.DUMMYFUNCTION("""COMPUTED_VALUE"""),"17:53")</f>
        <v>17:53</v>
      </c>
      <c r="AI1953" s="65" t="str">
        <f>IFERROR(__xludf.DUMMYFUNCTION("""COMPUTED_VALUE"""),"15-01-2026")</f>
        <v>15-01-2026</v>
      </c>
      <c r="AJ1953" s="65"/>
      <c r="AK1953" s="65"/>
      <c r="AL1953" s="65"/>
      <c r="AM1953" s="65"/>
      <c r="AN1953" s="65" t="str">
        <f>IFERROR(__xludf.DUMMYFUNCTION("""COMPUTED_VALUE"""),"13:27")</f>
        <v>13:27</v>
      </c>
      <c r="AO1953" s="65" t="str">
        <f>IFERROR(__xludf.DUMMYFUNCTION("""COMPUTED_VALUE"""),"17-01-2026")</f>
        <v>17-01-2026</v>
      </c>
      <c r="AP1953" s="65" t="str">
        <f>IFERROR(__xludf.DUMMYFUNCTION("""COMPUTED_VALUE"""),"ENTREGADA GINTRACOM")</f>
        <v>ENTREGADA GINTRACOM</v>
      </c>
      <c r="AQ1953" s="65" t="str">
        <f>IFERROR(__xludf.DUMMYFUNCTION("""COMPUTED_VALUE"""),"ENTREGADA GINTRACOM")</f>
        <v>ENTREGADA GINTRACOM</v>
      </c>
      <c r="AR1953" s="65"/>
      <c r="AS1953" s="65"/>
      <c r="AT1953" s="65" t="str">
        <f>IFERROR(__xludf.DUMMYFUNCTION("""COMPUTED_VALUE"""),"SHOPIFY")</f>
        <v>SHOPIFY</v>
      </c>
      <c r="AU1953" s="65" t="str">
        <f>IFERROR(__xludf.DUMMYFUNCTION("""COMPUTED_VALUE"""),"IMPORTEX EC")</f>
        <v>IMPORTEX EC</v>
      </c>
      <c r="AV1953" s="65" t="str">
        <f>IFERROR(__xludf.DUMMYFUNCTION("""COMPUTED_VALUE"""),"6408855781420")</f>
        <v>6408855781420</v>
      </c>
      <c r="AW1953" s="65">
        <f>IFERROR(__xludf.DUMMYFUNCTION("""COMPUTED_VALUE"""),5021.0)</f>
        <v>5021</v>
      </c>
      <c r="AX1953" s="65"/>
      <c r="AY1953" s="65" t="str">
        <f>IFERROR(__xludf.DUMMYFUNCTION("""COMPUTED_VALUE"""),"13/01/2026")</f>
        <v>13/01/2026</v>
      </c>
      <c r="AZ1953" s="65"/>
      <c r="BA1953" s="65"/>
    </row>
    <row r="1954">
      <c r="A1954" s="65" t="str">
        <f>IFERROR(__xludf.DUMMYFUNCTION("""COMPUTED_VALUE"""),"27-03-2026")</f>
        <v>27-03-2026</v>
      </c>
      <c r="B1954" s="65">
        <f>IFERROR(__xludf.DUMMYFUNCTION("""COMPUTED_VALUE"""),4115786.0)</f>
        <v>4115786</v>
      </c>
      <c r="C1954" s="65" t="str">
        <f>IFERROR(__xludf.DUMMYFUNCTION("""COMPUTED_VALUE"""),"09:21")</f>
        <v>09:21</v>
      </c>
      <c r="D1954" s="65" t="str">
        <f>IFERROR(__xludf.DUMMYFUNCTION("""COMPUTED_VALUE"""),"12-01-2026")</f>
        <v>12-01-2026</v>
      </c>
      <c r="E1954" s="65" t="str">
        <f>IFERROR(__xludf.DUMMYFUNCTION("""COMPUTED_VALUE"""),"Juan Carlos Morán")</f>
        <v>Juan Carlos Morán</v>
      </c>
      <c r="F1954" s="65" t="str">
        <f>IFERROR(__xludf.DUMMYFUNCTION("""COMPUTED_VALUE"""),"986041631")</f>
        <v>986041631</v>
      </c>
      <c r="G1954" s="65" t="str">
        <f>IFERROR(__xludf.DUMMYFUNCTION("""COMPUTED_VALUE"""),"duplexllavesjc@gmail.com")</f>
        <v>duplexllavesjc@gmail.com</v>
      </c>
      <c r="H1954" s="65"/>
      <c r="I1954" s="65"/>
      <c r="J1954" s="65"/>
      <c r="K1954" s="65" t="str">
        <f>IFERROR(__xludf.DUMMYFUNCTION("""COMPUTED_VALUE"""),"PENDIENTE CONFIRMACION")</f>
        <v>PENDIENTE CONFIRMACION</v>
      </c>
      <c r="L1954" s="65" t="str">
        <f>IFERROR(__xludf.DUMMYFUNCTION("""COMPUTED_VALUE"""),"CON RECAUDO")</f>
        <v>CON RECAUDO</v>
      </c>
      <c r="M1954" s="65" t="str">
        <f>IFERROR(__xludf.DUMMYFUNCTION("""COMPUTED_VALUE"""),"IMBABURA")</f>
        <v>IMBABURA</v>
      </c>
      <c r="N1954" s="65" t="str">
        <f>IFERROR(__xludf.DUMMYFUNCTION("""COMPUTED_VALUE"""),"OTAVALO")</f>
        <v>OTAVALO</v>
      </c>
      <c r="O1954" s="65" t="str">
        <f>IFERROR(__xludf.DUMMYFUNCTION("""COMPUTED_VALUE"""),"Abdon calderon y roca -")</f>
        <v>Abdon calderon y roca -</v>
      </c>
      <c r="P1954" s="65"/>
      <c r="Q1954" s="65" t="str">
        <f>IFERROR(__xludf.DUMMYFUNCTION("""COMPUTED_VALUE"""),"GINTRACOM")</f>
        <v>GINTRACOM</v>
      </c>
      <c r="R1954" s="65">
        <f>IFERROR(__xludf.DUMMYFUNCTION("""COMPUTED_VALUE"""),25.0)</f>
        <v>25</v>
      </c>
      <c r="S1954" s="65"/>
      <c r="T1954" s="65">
        <f>IFERROR(__xludf.DUMMYFUNCTION("""COMPUTED_VALUE"""),5.96)</f>
        <v>5.96</v>
      </c>
      <c r="U1954" s="65">
        <f>IFERROR(__xludf.DUMMYFUNCTION("""COMPUTED_VALUE"""),0.0)</f>
        <v>0</v>
      </c>
      <c r="V1954" s="65">
        <f>IFERROR(__xludf.DUMMYFUNCTION("""COMPUTED_VALUE"""),0.0)</f>
        <v>0</v>
      </c>
      <c r="W1954" s="65">
        <f>IFERROR(__xludf.DUMMYFUNCTION("""COMPUTED_VALUE"""),0.0)</f>
        <v>0</v>
      </c>
      <c r="X1954" s="65">
        <f>IFERROR(__xludf.DUMMYFUNCTION("""COMPUTED_VALUE"""),2.35)</f>
        <v>2.35</v>
      </c>
      <c r="Y1954" s="65">
        <f>IFERROR(__xludf.DUMMYFUNCTION("""COMPUTED_VALUE"""),4.7)</f>
        <v>4.7</v>
      </c>
      <c r="Z1954" s="65">
        <f>IFERROR(__xludf.DUMMYFUNCTION("""COMPUTED_VALUE"""),116679.0)</f>
        <v>116679</v>
      </c>
      <c r="AA1954" s="65" t="str">
        <f>IFERROR(__xludf.DUMMYFUNCTION("""COMPUTED_VALUE"""),"AMC-2738")</f>
        <v>AMC-2738</v>
      </c>
      <c r="AB1954" s="65"/>
      <c r="AC1954" s="65" t="str">
        <f>IFERROR(__xludf.DUMMYFUNCTION("""COMPUTED_VALUE"""),"ESPONJA ANTILLUVIA DE PARABRISAS")</f>
        <v>ESPONJA ANTILLUVIA DE PARABRISAS</v>
      </c>
      <c r="AD1954" s="65"/>
      <c r="AE1954" s="65">
        <f>IFERROR(__xludf.DUMMYFUNCTION("""COMPUTED_VALUE"""),2.0)</f>
        <v>2</v>
      </c>
      <c r="AF1954" s="65"/>
      <c r="AG1954" s="65"/>
      <c r="AH1954" s="65"/>
      <c r="AI1954" s="65"/>
      <c r="AJ1954" s="65"/>
      <c r="AK1954" s="65"/>
      <c r="AL1954" s="65"/>
      <c r="AM1954" s="65"/>
      <c r="AN1954" s="65"/>
      <c r="AO1954" s="65"/>
      <c r="AP1954" s="65"/>
      <c r="AQ1954" s="65"/>
      <c r="AR1954" s="65"/>
      <c r="AS1954" s="65"/>
      <c r="AT1954" s="65" t="str">
        <f>IFERROR(__xludf.DUMMYFUNCTION("""COMPUTED_VALUE"""),"SHOPIFY")</f>
        <v>SHOPIFY</v>
      </c>
      <c r="AU1954" s="65" t="str">
        <f>IFERROR(__xludf.DUMMYFUNCTION("""COMPUTED_VALUE"""),"IMPORTEX EC")</f>
        <v>IMPORTEX EC</v>
      </c>
      <c r="AV1954" s="65" t="str">
        <f>IFERROR(__xludf.DUMMYFUNCTION("""COMPUTED_VALUE"""),"6408833040428")</f>
        <v>6408833040428</v>
      </c>
      <c r="AW1954" s="65">
        <f>IFERROR(__xludf.DUMMYFUNCTION("""COMPUTED_VALUE"""),5020.0)</f>
        <v>5020</v>
      </c>
      <c r="AX1954" s="65"/>
      <c r="AY1954" s="65"/>
      <c r="AZ1954" s="65"/>
      <c r="BA1954" s="65"/>
    </row>
    <row r="1955">
      <c r="A1955" s="65" t="str">
        <f>IFERROR(__xludf.DUMMYFUNCTION("""COMPUTED_VALUE"""),"27-03-2026")</f>
        <v>27-03-2026</v>
      </c>
      <c r="B1955" s="65">
        <f>IFERROR(__xludf.DUMMYFUNCTION("""COMPUTED_VALUE"""),4115695.0)</f>
        <v>4115695</v>
      </c>
      <c r="C1955" s="65" t="str">
        <f>IFERROR(__xludf.DUMMYFUNCTION("""COMPUTED_VALUE"""),"09:15")</f>
        <v>09:15</v>
      </c>
      <c r="D1955" s="65" t="str">
        <f>IFERROR(__xludf.DUMMYFUNCTION("""COMPUTED_VALUE"""),"12-01-2026")</f>
        <v>12-01-2026</v>
      </c>
      <c r="E1955" s="65" t="str">
        <f>IFERROR(__xludf.DUMMYFUNCTION("""COMPUTED_VALUE"""),"Carlos Jiménez")</f>
        <v>Carlos Jiménez</v>
      </c>
      <c r="F1955" s="65" t="str">
        <f>IFERROR(__xludf.DUMMYFUNCTION("""COMPUTED_VALUE"""),"959686846")</f>
        <v>959686846</v>
      </c>
      <c r="G1955" s="65"/>
      <c r="H1955" s="65"/>
      <c r="I1955" s="65"/>
      <c r="J1955" s="65" t="str">
        <f>IFERROR(__xludf.DUMMYFUNCTION("""COMPUTED_VALUE"""),"186963291")</f>
        <v>186963291</v>
      </c>
      <c r="K1955" s="65" t="str">
        <f>IFERROR(__xludf.DUMMYFUNCTION("""COMPUTED_VALUE"""),"DEVOLUCION")</f>
        <v>DEVOLUCION</v>
      </c>
      <c r="L1955" s="65" t="str">
        <f>IFERROR(__xludf.DUMMYFUNCTION("""COMPUTED_VALUE"""),"CON RECAUDO")</f>
        <v>CON RECAUDO</v>
      </c>
      <c r="M1955" s="65" t="str">
        <f>IFERROR(__xludf.DUMMYFUNCTION("""COMPUTED_VALUE"""),"GUAYAS")</f>
        <v>GUAYAS</v>
      </c>
      <c r="N1955" s="65" t="str">
        <f>IFERROR(__xludf.DUMMYFUNCTION("""COMPUTED_VALUE"""),"DURAN")</f>
        <v>DURAN</v>
      </c>
      <c r="O1955" s="65" t="str">
        <f>IFERROR(__xludf.DUMMYFUNCTION("""COMPUTED_VALUE"""),"CS: DURAN_PANORAMA AV.PRINCIPAL / CDLA PANORAMA MZ GSL12 DIAGONAL UPC")</f>
        <v>CS: DURAN_PANORAMA AV.PRINCIPAL / CDLA PANORAMA MZ GSL12 DIAGONAL UPC</v>
      </c>
      <c r="P1955" s="65"/>
      <c r="Q1955" s="65" t="str">
        <f>IFERROR(__xludf.DUMMYFUNCTION("""COMPUTED_VALUE"""),"SERVIENTREGA")</f>
        <v>SERVIENTREGA</v>
      </c>
      <c r="R1955" s="65">
        <f>IFERROR(__xludf.DUMMYFUNCTION("""COMPUTED_VALUE"""),20.0)</f>
        <v>20</v>
      </c>
      <c r="S1955" s="65"/>
      <c r="T1955" s="65">
        <f>IFERROR(__xludf.DUMMYFUNCTION("""COMPUTED_VALUE"""),6.24)</f>
        <v>6.24</v>
      </c>
      <c r="U1955" s="65">
        <f>IFERROR(__xludf.DUMMYFUNCTION("""COMPUTED_VALUE"""),0.0)</f>
        <v>0</v>
      </c>
      <c r="V1955" s="65">
        <f>IFERROR(__xludf.DUMMYFUNCTION("""COMPUTED_VALUE"""),0.0)</f>
        <v>0</v>
      </c>
      <c r="W1955" s="65">
        <f>IFERROR(__xludf.DUMMYFUNCTION("""COMPUTED_VALUE"""),0.0)</f>
        <v>0</v>
      </c>
      <c r="X1955" s="65">
        <f>IFERROR(__xludf.DUMMYFUNCTION("""COMPUTED_VALUE"""),2.35)</f>
        <v>2.35</v>
      </c>
      <c r="Y1955" s="65">
        <f>IFERROR(__xludf.DUMMYFUNCTION("""COMPUTED_VALUE"""),2.35)</f>
        <v>2.35</v>
      </c>
      <c r="Z1955" s="65">
        <f>IFERROR(__xludf.DUMMYFUNCTION("""COMPUTED_VALUE"""),116679.0)</f>
        <v>116679</v>
      </c>
      <c r="AA1955" s="65" t="str">
        <f>IFERROR(__xludf.DUMMYFUNCTION("""COMPUTED_VALUE"""),"AMC-2738")</f>
        <v>AMC-2738</v>
      </c>
      <c r="AB1955" s="65"/>
      <c r="AC1955" s="65" t="str">
        <f>IFERROR(__xludf.DUMMYFUNCTION("""COMPUTED_VALUE"""),"ESPONJA ANTILLUVIA DE PARABRISAS")</f>
        <v>ESPONJA ANTILLUVIA DE PARABRISAS</v>
      </c>
      <c r="AD1955" s="65"/>
      <c r="AE1955" s="65">
        <f>IFERROR(__xludf.DUMMYFUNCTION("""COMPUTED_VALUE"""),1.0)</f>
        <v>1</v>
      </c>
      <c r="AF1955" s="65" t="str">
        <f>IFERROR(__xludf.DUMMYFUNCTION("""COMPUTED_VALUE"""),"DEVUELTO DE")</f>
        <v>DEVUELTO DE</v>
      </c>
      <c r="AG1955" s="65" t="str">
        <f>IFERROR(__xludf.DUMMYFUNCTION("""COMPUTED_VALUE"""),"NO")</f>
        <v>NO</v>
      </c>
      <c r="AH1955" s="65" t="str">
        <f>IFERROR(__xludf.DUMMYFUNCTION("""COMPUTED_VALUE"""),"11:26")</f>
        <v>11:26</v>
      </c>
      <c r="AI1955" s="65" t="str">
        <f>IFERROR(__xludf.DUMMYFUNCTION("""COMPUTED_VALUE"""),"22-01-2026")</f>
        <v>22-01-2026</v>
      </c>
      <c r="AJ1955" s="65"/>
      <c r="AK1955" s="65"/>
      <c r="AL1955" s="65"/>
      <c r="AM1955" s="65"/>
      <c r="AN1955" s="65" t="str">
        <f>IFERROR(__xludf.DUMMYFUNCTION("""COMPUTED_VALUE"""),"16:28")</f>
        <v>16:28</v>
      </c>
      <c r="AO1955" s="65" t="str">
        <f>IFERROR(__xludf.DUMMYFUNCTION("""COMPUTED_VALUE"""),"27-01-2026")</f>
        <v>27-01-2026</v>
      </c>
      <c r="AP1955" s="65" t="str">
        <f>IFERROR(__xludf.DUMMYFUNCTION("""COMPUTED_VALUE"""),"CERTIFICACION DEVOLUCION AL REMITENTE")</f>
        <v>CERTIFICACION DEVOLUCION AL REMITENTE</v>
      </c>
      <c r="AQ1955" s="65" t="str">
        <f>IFERROR(__xludf.DUMMYFUNCTION("""COMPUTED_VALUE"""),".")</f>
        <v>.</v>
      </c>
      <c r="AR1955" s="65"/>
      <c r="AS1955" s="65" t="str">
        <f>IFERROR(__xludf.DUMMYFUNCTION("""COMPUTED_VALUE"""),"Bayron Gomez")</f>
        <v>Bayron Gomez</v>
      </c>
      <c r="AT1955" s="65"/>
      <c r="AU1955" s="65"/>
      <c r="AV1955" s="65"/>
      <c r="AW1955" s="65"/>
      <c r="AX1955" s="65"/>
      <c r="AY1955" s="65" t="str">
        <f>IFERROR(__xludf.DUMMYFUNCTION("""COMPUTED_VALUE"""),"12/01/2026")</f>
        <v>12/01/2026</v>
      </c>
      <c r="AZ1955" s="65"/>
      <c r="BA1955" s="65"/>
    </row>
    <row r="1956">
      <c r="A1956" s="65" t="str">
        <f>IFERROR(__xludf.DUMMYFUNCTION("""COMPUTED_VALUE"""),"27-03-2026")</f>
        <v>27-03-2026</v>
      </c>
      <c r="B1956" s="65">
        <f>IFERROR(__xludf.DUMMYFUNCTION("""COMPUTED_VALUE"""),4115555.0)</f>
        <v>4115555</v>
      </c>
      <c r="C1956" s="65" t="str">
        <f>IFERROR(__xludf.DUMMYFUNCTION("""COMPUTED_VALUE"""),"09:05")</f>
        <v>09:05</v>
      </c>
      <c r="D1956" s="65" t="str">
        <f>IFERROR(__xludf.DUMMYFUNCTION("""COMPUTED_VALUE"""),"12-01-2026")</f>
        <v>12-01-2026</v>
      </c>
      <c r="E1956" s="65" t="str">
        <f>IFERROR(__xludf.DUMMYFUNCTION("""COMPUTED_VALUE"""),"Monica Puebla")</f>
        <v>Monica Puebla</v>
      </c>
      <c r="F1956" s="65" t="str">
        <f>IFERROR(__xludf.DUMMYFUNCTION("""COMPUTED_VALUE"""),"994687023")</f>
        <v>994687023</v>
      </c>
      <c r="G1956" s="65" t="str">
        <f>IFERROR(__xludf.DUMMYFUNCTION("""COMPUTED_VALUE"""),"ps1967alex@gmail.com")</f>
        <v>ps1967alex@gmail.com</v>
      </c>
      <c r="H1956" s="65"/>
      <c r="I1956" s="65"/>
      <c r="J1956" s="65" t="str">
        <f>IFERROR(__xludf.DUMMYFUNCTION("""COMPUTED_VALUE"""),"D001218341")</f>
        <v>D001218341</v>
      </c>
      <c r="K1956" s="65" t="str">
        <f>IFERROR(__xludf.DUMMYFUNCTION("""COMPUTED_VALUE"""),"ENTREGADO")</f>
        <v>ENTREGADO</v>
      </c>
      <c r="L1956" s="65" t="str">
        <f>IFERROR(__xludf.DUMMYFUNCTION("""COMPUTED_VALUE"""),"CON RECAUDO")</f>
        <v>CON RECAUDO</v>
      </c>
      <c r="M1956" s="65" t="str">
        <f>IFERROR(__xludf.DUMMYFUNCTION("""COMPUTED_VALUE"""),"GUAYAS")</f>
        <v>GUAYAS</v>
      </c>
      <c r="N1956" s="65" t="str">
        <f>IFERROR(__xludf.DUMMYFUNCTION("""COMPUTED_VALUE"""),"GUAYAQUIL")</f>
        <v>GUAYAQUIL</v>
      </c>
      <c r="O1956" s="65" t="str">
        <f>IFERROR(__xludf.DUMMYFUNCTION("""COMPUTED_VALUE"""),"Sector Cristo del Consuelo #705 - Callejón E y Calle Nicolás Segovia - Ref. Farmacia el Arbolito, Alado de una mata de mango")</f>
        <v>Sector Cristo del Consuelo #705 - Callejón E y Calle Nicolás Segovia - Ref. Farmacia el Arbolito, Alado de una mata de mango</v>
      </c>
      <c r="P1956" s="65"/>
      <c r="Q1956" s="65" t="str">
        <f>IFERROR(__xludf.DUMMYFUNCTION("""COMPUTED_VALUE"""),"GINTRACOM")</f>
        <v>GINTRACOM</v>
      </c>
      <c r="R1956" s="65">
        <f>IFERROR(__xludf.DUMMYFUNCTION("""COMPUTED_VALUE"""),22.0)</f>
        <v>22</v>
      </c>
      <c r="S1956" s="65">
        <f>IFERROR(__xludf.DUMMYFUNCTION("""COMPUTED_VALUE"""),12.57)</f>
        <v>12.57</v>
      </c>
      <c r="T1956" s="65">
        <f>IFERROR(__xludf.DUMMYFUNCTION("""COMPUTED_VALUE"""),4.23)</f>
        <v>4.23</v>
      </c>
      <c r="U1956" s="65">
        <f>IFERROR(__xludf.DUMMYFUNCTION("""COMPUTED_VALUE"""),0.0)</f>
        <v>0</v>
      </c>
      <c r="V1956" s="65">
        <f>IFERROR(__xludf.DUMMYFUNCTION("""COMPUTED_VALUE"""),0.0)</f>
        <v>0</v>
      </c>
      <c r="W1956" s="65">
        <f>IFERROR(__xludf.DUMMYFUNCTION("""COMPUTED_VALUE"""),0.0)</f>
        <v>0</v>
      </c>
      <c r="X1956" s="65">
        <f>IFERROR(__xludf.DUMMYFUNCTION("""COMPUTED_VALUE"""),2.6)</f>
        <v>2.6</v>
      </c>
      <c r="Y1956" s="65">
        <f>IFERROR(__xludf.DUMMYFUNCTION("""COMPUTED_VALUE"""),5.2)</f>
        <v>5.2</v>
      </c>
      <c r="Z1956" s="65">
        <f>IFERROR(__xludf.DUMMYFUNCTION("""COMPUTED_VALUE"""),121983.0)</f>
        <v>121983</v>
      </c>
      <c r="AA1956" s="65" t="str">
        <f>IFERROR(__xludf.DUMMYFUNCTION("""COMPUTED_VALUE"""),"PROV-CHLLCF")</f>
        <v>PROV-CHLLCF</v>
      </c>
      <c r="AB1956" s="65"/>
      <c r="AC1956" s="65" t="str">
        <f>IFERROR(__xludf.DUMMYFUNCTION("""COMPUTED_VALUE"""),"CUCHILLO PARA CHEF")</f>
        <v>CUCHILLO PARA CHEF</v>
      </c>
      <c r="AD1956" s="65"/>
      <c r="AE1956" s="65">
        <f>IFERROR(__xludf.DUMMYFUNCTION("""COMPUTED_VALUE"""),2.0)</f>
        <v>2</v>
      </c>
      <c r="AF1956" s="65"/>
      <c r="AG1956" s="65"/>
      <c r="AH1956" s="65"/>
      <c r="AI1956" s="65"/>
      <c r="AJ1956" s="65"/>
      <c r="AK1956" s="65"/>
      <c r="AL1956" s="65"/>
      <c r="AM1956" s="65"/>
      <c r="AN1956" s="65" t="str">
        <f>IFERROR(__xludf.DUMMYFUNCTION("""COMPUTED_VALUE"""),"12:49")</f>
        <v>12:49</v>
      </c>
      <c r="AO1956" s="65" t="str">
        <f>IFERROR(__xludf.DUMMYFUNCTION("""COMPUTED_VALUE"""),"15-01-2026")</f>
        <v>15-01-2026</v>
      </c>
      <c r="AP1956" s="65" t="str">
        <f>IFERROR(__xludf.DUMMYFUNCTION("""COMPUTED_VALUE"""),"ENTREGADA GINTRACOM")</f>
        <v>ENTREGADA GINTRACOM</v>
      </c>
      <c r="AQ1956" s="65" t="str">
        <f>IFERROR(__xludf.DUMMYFUNCTION("""COMPUTED_VALUE"""),"ENTREGADA GINTRACOM")</f>
        <v>ENTREGADA GINTRACOM</v>
      </c>
      <c r="AR1956" s="65"/>
      <c r="AS1956" s="65"/>
      <c r="AT1956" s="65" t="str">
        <f>IFERROR(__xludf.DUMMYFUNCTION("""COMPUTED_VALUE"""),"SHOPIFY")</f>
        <v>SHOPIFY</v>
      </c>
      <c r="AU1956" s="65" t="str">
        <f>IFERROR(__xludf.DUMMYFUNCTION("""COMPUTED_VALUE"""),"IMPORTEX EC")</f>
        <v>IMPORTEX EC</v>
      </c>
      <c r="AV1956" s="65" t="str">
        <f>IFERROR(__xludf.DUMMYFUNCTION("""COMPUTED_VALUE"""),"6408807841836")</f>
        <v>6408807841836</v>
      </c>
      <c r="AW1956" s="65">
        <f>IFERROR(__xludf.DUMMYFUNCTION("""COMPUTED_VALUE"""),5019.0)</f>
        <v>5019</v>
      </c>
      <c r="AX1956" s="65"/>
      <c r="AY1956" s="65" t="str">
        <f>IFERROR(__xludf.DUMMYFUNCTION("""COMPUTED_VALUE"""),"13/01/2026")</f>
        <v>13/01/2026</v>
      </c>
      <c r="AZ1956" s="65"/>
      <c r="BA1956" s="65"/>
    </row>
    <row r="1957">
      <c r="A1957" s="65" t="str">
        <f>IFERROR(__xludf.DUMMYFUNCTION("""COMPUTED_VALUE"""),"27-03-2026")</f>
        <v>27-03-2026</v>
      </c>
      <c r="B1957" s="65">
        <f>IFERROR(__xludf.DUMMYFUNCTION("""COMPUTED_VALUE"""),4115307.0)</f>
        <v>4115307</v>
      </c>
      <c r="C1957" s="65" t="str">
        <f>IFERROR(__xludf.DUMMYFUNCTION("""COMPUTED_VALUE"""),"08:47")</f>
        <v>08:47</v>
      </c>
      <c r="D1957" s="65" t="str">
        <f>IFERROR(__xludf.DUMMYFUNCTION("""COMPUTED_VALUE"""),"12-01-2026")</f>
        <v>12-01-2026</v>
      </c>
      <c r="E1957" s="65" t="str">
        <f>IFERROR(__xludf.DUMMYFUNCTION("""COMPUTED_VALUE"""),"Marcelo Vicuña")</f>
        <v>Marcelo Vicuña</v>
      </c>
      <c r="F1957" s="65" t="str">
        <f>IFERROR(__xludf.DUMMYFUNCTION("""COMPUTED_VALUE"""),"999486628")</f>
        <v>999486628</v>
      </c>
      <c r="G1957" s="65" t="str">
        <f>IFERROR(__xludf.DUMMYFUNCTION("""COMPUTED_VALUE"""),"mvicuna2010@gmail.com")</f>
        <v>mvicuna2010@gmail.com</v>
      </c>
      <c r="H1957" s="65"/>
      <c r="I1957" s="65"/>
      <c r="J1957" s="65" t="str">
        <f>IFERROR(__xludf.DUMMYFUNCTION("""COMPUTED_VALUE"""),"D001219595")</f>
        <v>D001219595</v>
      </c>
      <c r="K1957" s="65" t="str">
        <f>IFERROR(__xludf.DUMMYFUNCTION("""COMPUTED_VALUE"""),"ENTREGADO")</f>
        <v>ENTREGADO</v>
      </c>
      <c r="L1957" s="65" t="str">
        <f>IFERROR(__xludf.DUMMYFUNCTION("""COMPUTED_VALUE"""),"CON RECAUDO")</f>
        <v>CON RECAUDO</v>
      </c>
      <c r="M1957" s="65" t="str">
        <f>IFERROR(__xludf.DUMMYFUNCTION("""COMPUTED_VALUE"""),"GUAYAS")</f>
        <v>GUAYAS</v>
      </c>
      <c r="N1957" s="65" t="str">
        <f>IFERROR(__xludf.DUMMYFUNCTION("""COMPUTED_VALUE"""),"GUAYAQUIL")</f>
        <v>GUAYAQUIL</v>
      </c>
      <c r="O1957" s="65" t="str">
        <f>IFERROR(__xludf.DUMMYFUNCTION("""COMPUTED_VALUE"""),"Ficus 701 Y BÁlsamos Casa Esquinera, Con Paredes De Hiedra -")</f>
        <v>Ficus 701 Y BÁlsamos Casa Esquinera, Con Paredes De Hiedra -</v>
      </c>
      <c r="P1957" s="65"/>
      <c r="Q1957" s="65" t="str">
        <f>IFERROR(__xludf.DUMMYFUNCTION("""COMPUTED_VALUE"""),"GINTRACOM")</f>
        <v>GINTRACOM</v>
      </c>
      <c r="R1957" s="65">
        <f>IFERROR(__xludf.DUMMYFUNCTION("""COMPUTED_VALUE"""),25.0)</f>
        <v>25</v>
      </c>
      <c r="S1957" s="65">
        <f>IFERROR(__xludf.DUMMYFUNCTION("""COMPUTED_VALUE"""),14.34)</f>
        <v>14.34</v>
      </c>
      <c r="T1957" s="65">
        <f>IFERROR(__xludf.DUMMYFUNCTION("""COMPUTED_VALUE"""),5.96)</f>
        <v>5.96</v>
      </c>
      <c r="U1957" s="65">
        <f>IFERROR(__xludf.DUMMYFUNCTION("""COMPUTED_VALUE"""),0.0)</f>
        <v>0</v>
      </c>
      <c r="V1957" s="65">
        <f>IFERROR(__xludf.DUMMYFUNCTION("""COMPUTED_VALUE"""),0.0)</f>
        <v>0</v>
      </c>
      <c r="W1957" s="65">
        <f>IFERROR(__xludf.DUMMYFUNCTION("""COMPUTED_VALUE"""),0.0)</f>
        <v>0</v>
      </c>
      <c r="X1957" s="65">
        <f>IFERROR(__xludf.DUMMYFUNCTION("""COMPUTED_VALUE"""),2.35)</f>
        <v>2.35</v>
      </c>
      <c r="Y1957" s="65">
        <f>IFERROR(__xludf.DUMMYFUNCTION("""COMPUTED_VALUE"""),4.7)</f>
        <v>4.7</v>
      </c>
      <c r="Z1957" s="65">
        <f>IFERROR(__xludf.DUMMYFUNCTION("""COMPUTED_VALUE"""),116679.0)</f>
        <v>116679</v>
      </c>
      <c r="AA1957" s="65" t="str">
        <f>IFERROR(__xludf.DUMMYFUNCTION("""COMPUTED_VALUE"""),"AMC-2738")</f>
        <v>AMC-2738</v>
      </c>
      <c r="AB1957" s="65"/>
      <c r="AC1957" s="65" t="str">
        <f>IFERROR(__xludf.DUMMYFUNCTION("""COMPUTED_VALUE"""),"ESPONJA ANTILLUVIA DE PARABRISAS")</f>
        <v>ESPONJA ANTILLUVIA DE PARABRISAS</v>
      </c>
      <c r="AD1957" s="65"/>
      <c r="AE1957" s="65">
        <f>IFERROR(__xludf.DUMMYFUNCTION("""COMPUTED_VALUE"""),2.0)</f>
        <v>2</v>
      </c>
      <c r="AF1957" s="65"/>
      <c r="AG1957" s="65"/>
      <c r="AH1957" s="65"/>
      <c r="AI1957" s="65"/>
      <c r="AJ1957" s="65"/>
      <c r="AK1957" s="65"/>
      <c r="AL1957" s="65"/>
      <c r="AM1957" s="65"/>
      <c r="AN1957" s="65" t="str">
        <f>IFERROR(__xludf.DUMMYFUNCTION("""COMPUTED_VALUE"""),"15:08")</f>
        <v>15:08</v>
      </c>
      <c r="AO1957" s="65" t="str">
        <f>IFERROR(__xludf.DUMMYFUNCTION("""COMPUTED_VALUE"""),"15-01-2026")</f>
        <v>15-01-2026</v>
      </c>
      <c r="AP1957" s="65" t="str">
        <f>IFERROR(__xludf.DUMMYFUNCTION("""COMPUTED_VALUE"""),"ENTREGADA GINTRACOM")</f>
        <v>ENTREGADA GINTRACOM</v>
      </c>
      <c r="AQ1957" s="65" t="str">
        <f>IFERROR(__xludf.DUMMYFUNCTION("""COMPUTED_VALUE"""),"ENTREGADA GINTRACOM")</f>
        <v>ENTREGADA GINTRACOM</v>
      </c>
      <c r="AR1957" s="65"/>
      <c r="AS1957" s="65"/>
      <c r="AT1957" s="65" t="str">
        <f>IFERROR(__xludf.DUMMYFUNCTION("""COMPUTED_VALUE"""),"SHOPIFY")</f>
        <v>SHOPIFY</v>
      </c>
      <c r="AU1957" s="65" t="str">
        <f>IFERROR(__xludf.DUMMYFUNCTION("""COMPUTED_VALUE"""),"IMPORTEX EC")</f>
        <v>IMPORTEX EC</v>
      </c>
      <c r="AV1957" s="65" t="str">
        <f>IFERROR(__xludf.DUMMYFUNCTION("""COMPUTED_VALUE"""),"6408783757356")</f>
        <v>6408783757356</v>
      </c>
      <c r="AW1957" s="65">
        <f>IFERROR(__xludf.DUMMYFUNCTION("""COMPUTED_VALUE"""),5018.0)</f>
        <v>5018</v>
      </c>
      <c r="AX1957" s="65"/>
      <c r="AY1957" s="65" t="str">
        <f>IFERROR(__xludf.DUMMYFUNCTION("""COMPUTED_VALUE"""),"13/01/2026")</f>
        <v>13/01/2026</v>
      </c>
      <c r="AZ1957" s="65"/>
      <c r="BA1957" s="65"/>
    </row>
    <row r="1958">
      <c r="A1958" s="65" t="str">
        <f>IFERROR(__xludf.DUMMYFUNCTION("""COMPUTED_VALUE"""),"27-03-2026")</f>
        <v>27-03-2026</v>
      </c>
      <c r="B1958" s="65">
        <f>IFERROR(__xludf.DUMMYFUNCTION("""COMPUTED_VALUE"""),4115281.0)</f>
        <v>4115281</v>
      </c>
      <c r="C1958" s="65" t="str">
        <f>IFERROR(__xludf.DUMMYFUNCTION("""COMPUTED_VALUE"""),"08:45")</f>
        <v>08:45</v>
      </c>
      <c r="D1958" s="65" t="str">
        <f>IFERROR(__xludf.DUMMYFUNCTION("""COMPUTED_VALUE"""),"12-01-2026")</f>
        <v>12-01-2026</v>
      </c>
      <c r="E1958" s="65" t="str">
        <f>IFERROR(__xludf.DUMMYFUNCTION("""COMPUTED_VALUE"""),"Vladimir Delgado Delgado")</f>
        <v>Vladimir Delgado Delgado</v>
      </c>
      <c r="F1958" s="65" t="str">
        <f>IFERROR(__xludf.DUMMYFUNCTION("""COMPUTED_VALUE"""),"999462345")</f>
        <v>999462345</v>
      </c>
      <c r="G1958" s="65" t="str">
        <f>IFERROR(__xludf.DUMMYFUNCTION("""COMPUTED_VALUE"""),"evdelgado78@gmail.com")</f>
        <v>evdelgado78@gmail.com</v>
      </c>
      <c r="H1958" s="65"/>
      <c r="I1958" s="65"/>
      <c r="J1958" s="65"/>
      <c r="K1958" s="65" t="str">
        <f>IFERROR(__xludf.DUMMYFUNCTION("""COMPUTED_VALUE"""),"PENDIENTE CONFIRMACION")</f>
        <v>PENDIENTE CONFIRMACION</v>
      </c>
      <c r="L1958" s="65" t="str">
        <f>IFERROR(__xludf.DUMMYFUNCTION("""COMPUTED_VALUE"""),"CON RECAUDO")</f>
        <v>CON RECAUDO</v>
      </c>
      <c r="M1958" s="65" t="str">
        <f>IFERROR(__xludf.DUMMYFUNCTION("""COMPUTED_VALUE"""),"CARCHI")</f>
        <v>CARCHI</v>
      </c>
      <c r="N1958" s="65" t="str">
        <f>IFERROR(__xludf.DUMMYFUNCTION("""COMPUTED_VALUE"""),"TULCAN")</f>
        <v>TULCAN</v>
      </c>
      <c r="O1958" s="65" t="str">
        <f>IFERROR(__xludf.DUMMYFUNCTION("""COMPUTED_VALUE"""),"Av. Veintimilla y San Marcos Heladeria dmimos -")</f>
        <v>Av. Veintimilla y San Marcos Heladeria dmimos -</v>
      </c>
      <c r="P1958" s="65"/>
      <c r="Q1958" s="65" t="str">
        <f>IFERROR(__xludf.DUMMYFUNCTION("""COMPUTED_VALUE"""),"GINTRACOM")</f>
        <v>GINTRACOM</v>
      </c>
      <c r="R1958" s="65">
        <f>IFERROR(__xludf.DUMMYFUNCTION("""COMPUTED_VALUE"""),30.0)</f>
        <v>30</v>
      </c>
      <c r="S1958" s="65"/>
      <c r="T1958" s="65">
        <f>IFERROR(__xludf.DUMMYFUNCTION("""COMPUTED_VALUE"""),6.16)</f>
        <v>6.16</v>
      </c>
      <c r="U1958" s="65">
        <f>IFERROR(__xludf.DUMMYFUNCTION("""COMPUTED_VALUE"""),0.0)</f>
        <v>0</v>
      </c>
      <c r="V1958" s="65">
        <f>IFERROR(__xludf.DUMMYFUNCTION("""COMPUTED_VALUE"""),0.0)</f>
        <v>0</v>
      </c>
      <c r="W1958" s="65">
        <f>IFERROR(__xludf.DUMMYFUNCTION("""COMPUTED_VALUE"""),0.0)</f>
        <v>0</v>
      </c>
      <c r="X1958" s="65">
        <f>IFERROR(__xludf.DUMMYFUNCTION("""COMPUTED_VALUE"""),2.35)</f>
        <v>2.35</v>
      </c>
      <c r="Y1958" s="65">
        <f>IFERROR(__xludf.DUMMYFUNCTION("""COMPUTED_VALUE"""),7.05)</f>
        <v>7.05</v>
      </c>
      <c r="Z1958" s="65">
        <f>IFERROR(__xludf.DUMMYFUNCTION("""COMPUTED_VALUE"""),116679.0)</f>
        <v>116679</v>
      </c>
      <c r="AA1958" s="65" t="str">
        <f>IFERROR(__xludf.DUMMYFUNCTION("""COMPUTED_VALUE"""),"AMC-2738")</f>
        <v>AMC-2738</v>
      </c>
      <c r="AB1958" s="65"/>
      <c r="AC1958" s="65" t="str">
        <f>IFERROR(__xludf.DUMMYFUNCTION("""COMPUTED_VALUE"""),"ESPONJA ANTILLUVIA DE PARABRISAS")</f>
        <v>ESPONJA ANTILLUVIA DE PARABRISAS</v>
      </c>
      <c r="AD1958" s="65"/>
      <c r="AE1958" s="65">
        <f>IFERROR(__xludf.DUMMYFUNCTION("""COMPUTED_VALUE"""),3.0)</f>
        <v>3</v>
      </c>
      <c r="AF1958" s="65"/>
      <c r="AG1958" s="65"/>
      <c r="AH1958" s="65"/>
      <c r="AI1958" s="65"/>
      <c r="AJ1958" s="65"/>
      <c r="AK1958" s="65"/>
      <c r="AL1958" s="65"/>
      <c r="AM1958" s="65"/>
      <c r="AN1958" s="65"/>
      <c r="AO1958" s="65"/>
      <c r="AP1958" s="65"/>
      <c r="AQ1958" s="65"/>
      <c r="AR1958" s="65"/>
      <c r="AS1958" s="65"/>
      <c r="AT1958" s="65" t="str">
        <f>IFERROR(__xludf.DUMMYFUNCTION("""COMPUTED_VALUE"""),"SHOPIFY")</f>
        <v>SHOPIFY</v>
      </c>
      <c r="AU1958" s="65" t="str">
        <f>IFERROR(__xludf.DUMMYFUNCTION("""COMPUTED_VALUE"""),"IMPORTEX EC")</f>
        <v>IMPORTEX EC</v>
      </c>
      <c r="AV1958" s="65" t="str">
        <f>IFERROR(__xludf.DUMMYFUNCTION("""COMPUTED_VALUE"""),"6408780513324")</f>
        <v>6408780513324</v>
      </c>
      <c r="AW1958" s="65">
        <f>IFERROR(__xludf.DUMMYFUNCTION("""COMPUTED_VALUE"""),5017.0)</f>
        <v>5017</v>
      </c>
      <c r="AX1958" s="65"/>
      <c r="AY1958" s="65"/>
      <c r="AZ1958" s="65"/>
      <c r="BA1958" s="65"/>
    </row>
    <row r="1959">
      <c r="A1959" s="65" t="str">
        <f>IFERROR(__xludf.DUMMYFUNCTION("""COMPUTED_VALUE"""),"27-03-2026")</f>
        <v>27-03-2026</v>
      </c>
      <c r="B1959" s="65">
        <f>IFERROR(__xludf.DUMMYFUNCTION("""COMPUTED_VALUE"""),4115176.0)</f>
        <v>4115176</v>
      </c>
      <c r="C1959" s="65" t="str">
        <f>IFERROR(__xludf.DUMMYFUNCTION("""COMPUTED_VALUE"""),"08:38")</f>
        <v>08:38</v>
      </c>
      <c r="D1959" s="65" t="str">
        <f>IFERROR(__xludf.DUMMYFUNCTION("""COMPUTED_VALUE"""),"12-01-2026")</f>
        <v>12-01-2026</v>
      </c>
      <c r="E1959" s="65" t="str">
        <f>IFERROR(__xludf.DUMMYFUNCTION("""COMPUTED_VALUE"""),"Vanesa Goyes")</f>
        <v>Vanesa Goyes</v>
      </c>
      <c r="F1959" s="65" t="str">
        <f>IFERROR(__xludf.DUMMYFUNCTION("""COMPUTED_VALUE"""),"982971014")</f>
        <v>982971014</v>
      </c>
      <c r="G1959" s="65"/>
      <c r="H1959" s="65"/>
      <c r="I1959" s="65"/>
      <c r="J1959" s="65" t="str">
        <f>IFERROR(__xludf.DUMMYFUNCTION("""COMPUTED_VALUE"""),"LC52605073")</f>
        <v>LC52605073</v>
      </c>
      <c r="K1959" s="65" t="str">
        <f>IFERROR(__xludf.DUMMYFUNCTION("""COMPUTED_VALUE"""),"ENTREGADO")</f>
        <v>ENTREGADO</v>
      </c>
      <c r="L1959" s="65" t="str">
        <f>IFERROR(__xludf.DUMMYFUNCTION("""COMPUTED_VALUE"""),"CON RECAUDO")</f>
        <v>CON RECAUDO</v>
      </c>
      <c r="M1959" s="65" t="str">
        <f>IFERROR(__xludf.DUMMYFUNCTION("""COMPUTED_VALUE"""),"GUAYAS")</f>
        <v>GUAYAS</v>
      </c>
      <c r="N1959" s="65" t="str">
        <f>IFERROR(__xludf.DUMMYFUNCTION("""COMPUTED_VALUE"""),"MARCELINO MARIDUEÑA")</f>
        <v>MARCELINO MARIDUEÑA</v>
      </c>
      <c r="O1959" s="65" t="str">
        <f>IFERROR(__xludf.DUMMYFUNCTION("""COMPUTED_VALUE"""),"Ciudadela privada de Papelera Nacional,casa de huéspedes garita # 4 canton Marcelino Maridueña")</f>
        <v>Ciudadela privada de Papelera Nacional,casa de huéspedes garita # 4 canton Marcelino Maridueña</v>
      </c>
      <c r="P1959" s="65"/>
      <c r="Q1959" s="65" t="str">
        <f>IFERROR(__xludf.DUMMYFUNCTION("""COMPUTED_VALUE"""),"LAARCOURIER")</f>
        <v>LAARCOURIER</v>
      </c>
      <c r="R1959" s="65">
        <f>IFERROR(__xludf.DUMMYFUNCTION("""COMPUTED_VALUE"""),20.0)</f>
        <v>20</v>
      </c>
      <c r="S1959" s="65">
        <f>IFERROR(__xludf.DUMMYFUNCTION("""COMPUTED_VALUE"""),8.08)</f>
        <v>8.08</v>
      </c>
      <c r="T1959" s="65">
        <f>IFERROR(__xludf.DUMMYFUNCTION("""COMPUTED_VALUE"""),9.57)</f>
        <v>9.57</v>
      </c>
      <c r="U1959" s="65">
        <f>IFERROR(__xludf.DUMMYFUNCTION("""COMPUTED_VALUE"""),0.0)</f>
        <v>0</v>
      </c>
      <c r="V1959" s="65">
        <f>IFERROR(__xludf.DUMMYFUNCTION("""COMPUTED_VALUE"""),0.0)</f>
        <v>0</v>
      </c>
      <c r="W1959" s="65">
        <f>IFERROR(__xludf.DUMMYFUNCTION("""COMPUTED_VALUE"""),0.0)</f>
        <v>0</v>
      </c>
      <c r="X1959" s="65">
        <f>IFERROR(__xludf.DUMMYFUNCTION("""COMPUTED_VALUE"""),2.35)</f>
        <v>2.35</v>
      </c>
      <c r="Y1959" s="65">
        <f>IFERROR(__xludf.DUMMYFUNCTION("""COMPUTED_VALUE"""),2.35)</f>
        <v>2.35</v>
      </c>
      <c r="Z1959" s="65">
        <f>IFERROR(__xludf.DUMMYFUNCTION("""COMPUTED_VALUE"""),116679.0)</f>
        <v>116679</v>
      </c>
      <c r="AA1959" s="65" t="str">
        <f>IFERROR(__xludf.DUMMYFUNCTION("""COMPUTED_VALUE"""),"AMC-2738")</f>
        <v>AMC-2738</v>
      </c>
      <c r="AB1959" s="65"/>
      <c r="AC1959" s="65" t="str">
        <f>IFERROR(__xludf.DUMMYFUNCTION("""COMPUTED_VALUE"""),"ESPONJA ANTILLUVIA DE PARABRISAS")</f>
        <v>ESPONJA ANTILLUVIA DE PARABRISAS</v>
      </c>
      <c r="AD1959" s="65"/>
      <c r="AE1959" s="65">
        <f>IFERROR(__xludf.DUMMYFUNCTION("""COMPUTED_VALUE"""),1.0)</f>
        <v>1</v>
      </c>
      <c r="AF1959" s="65"/>
      <c r="AG1959" s="65"/>
      <c r="AH1959" s="65"/>
      <c r="AI1959" s="65"/>
      <c r="AJ1959" s="65"/>
      <c r="AK1959" s="65"/>
      <c r="AL1959" s="65"/>
      <c r="AM1959" s="65"/>
      <c r="AN1959" s="65" t="str">
        <f>IFERROR(__xludf.DUMMYFUNCTION("""COMPUTED_VALUE"""),"14:44")</f>
        <v>14:44</v>
      </c>
      <c r="AO1959" s="65" t="str">
        <f>IFERROR(__xludf.DUMMYFUNCTION("""COMPUTED_VALUE"""),"15-01-2026")</f>
        <v>15-01-2026</v>
      </c>
      <c r="AP1959" s="65" t="str">
        <f>IFERROR(__xludf.DUMMYFUNCTION("""COMPUTED_VALUE"""),"ENTREGADO")</f>
        <v>ENTREGADO</v>
      </c>
      <c r="AQ1959" s="65" t="str">
        <f>IFERROR(__xludf.DUMMYFUNCTION("""COMPUTED_VALUE"""),"ENTREGADO")</f>
        <v>ENTREGADO</v>
      </c>
      <c r="AR1959" s="65"/>
      <c r="AS1959" s="65"/>
      <c r="AT1959" s="65" t="str">
        <f>IFERROR(__xludf.DUMMYFUNCTION("""COMPUTED_VALUE"""),"SHOPIFY")</f>
        <v>SHOPIFY</v>
      </c>
      <c r="AU1959" s="65" t="str">
        <f>IFERROR(__xludf.DUMMYFUNCTION("""COMPUTED_VALUE"""),"IMPORTEX EC")</f>
        <v>IMPORTEX EC</v>
      </c>
      <c r="AV1959" s="65" t="str">
        <f>IFERROR(__xludf.DUMMYFUNCTION("""COMPUTED_VALUE"""),"6408772943916")</f>
        <v>6408772943916</v>
      </c>
      <c r="AW1959" s="65">
        <f>IFERROR(__xludf.DUMMYFUNCTION("""COMPUTED_VALUE"""),5016.0)</f>
        <v>5016</v>
      </c>
      <c r="AX1959" s="65"/>
      <c r="AY1959" s="65" t="str">
        <f>IFERROR(__xludf.DUMMYFUNCTION("""COMPUTED_VALUE"""),"13/01/2026")</f>
        <v>13/01/2026</v>
      </c>
      <c r="AZ1959" s="65"/>
      <c r="BA1959" s="65"/>
    </row>
    <row r="1960">
      <c r="A1960" s="65" t="str">
        <f>IFERROR(__xludf.DUMMYFUNCTION("""COMPUTED_VALUE"""),"27-03-2026")</f>
        <v>27-03-2026</v>
      </c>
      <c r="B1960" s="65">
        <f>IFERROR(__xludf.DUMMYFUNCTION("""COMPUTED_VALUE"""),4114928.0)</f>
        <v>4114928</v>
      </c>
      <c r="C1960" s="65" t="str">
        <f>IFERROR(__xludf.DUMMYFUNCTION("""COMPUTED_VALUE"""),"08:17")</f>
        <v>08:17</v>
      </c>
      <c r="D1960" s="65" t="str">
        <f>IFERROR(__xludf.DUMMYFUNCTION("""COMPUTED_VALUE"""),"12-01-2026")</f>
        <v>12-01-2026</v>
      </c>
      <c r="E1960" s="65" t="str">
        <f>IFERROR(__xludf.DUMMYFUNCTION("""COMPUTED_VALUE"""),"Jhony Rodriguez")</f>
        <v>Jhony Rodriguez</v>
      </c>
      <c r="F1960" s="65" t="str">
        <f>IFERROR(__xludf.DUMMYFUNCTION("""COMPUTED_VALUE"""),"959933479")</f>
        <v>959933479</v>
      </c>
      <c r="G1960" s="65" t="str">
        <f>IFERROR(__xludf.DUMMYFUNCTION("""COMPUTED_VALUE"""),"jhony31051996@gmail.com")</f>
        <v>jhony31051996@gmail.com</v>
      </c>
      <c r="H1960" s="65"/>
      <c r="I1960" s="65"/>
      <c r="J1960" s="65"/>
      <c r="K1960" s="65" t="str">
        <f>IFERROR(__xludf.DUMMYFUNCTION("""COMPUTED_VALUE"""),"CANCELADO")</f>
        <v>CANCELADO</v>
      </c>
      <c r="L1960" s="65" t="str">
        <f>IFERROR(__xludf.DUMMYFUNCTION("""COMPUTED_VALUE"""),"CON RECAUDO")</f>
        <v>CON RECAUDO</v>
      </c>
      <c r="M1960" s="65" t="str">
        <f>IFERROR(__xludf.DUMMYFUNCTION("""COMPUTED_VALUE"""),"NAPO")</f>
        <v>NAPO</v>
      </c>
      <c r="N1960" s="65" t="str">
        <f>IFERROR(__xludf.DUMMYFUNCTION("""COMPUTED_VALUE"""),"ARCHIDONA")</f>
        <v>ARCHIDONA</v>
      </c>
      <c r="O1960" s="65" t="str">
        <f>IFERROR(__xludf.DUMMYFUNCTION("""COMPUTED_VALUE"""),"Archidona Archidona -")</f>
        <v>Archidona Archidona -</v>
      </c>
      <c r="P1960" s="65"/>
      <c r="Q1960" s="65" t="str">
        <f>IFERROR(__xludf.DUMMYFUNCTION("""COMPUTED_VALUE"""),"GINTRACOM")</f>
        <v>GINTRACOM</v>
      </c>
      <c r="R1960" s="65">
        <f>IFERROR(__xludf.DUMMYFUNCTION("""COMPUTED_VALUE"""),25.0)</f>
        <v>25</v>
      </c>
      <c r="S1960" s="65"/>
      <c r="T1960" s="65">
        <f>IFERROR(__xludf.DUMMYFUNCTION("""COMPUTED_VALUE"""),6.53)</f>
        <v>6.53</v>
      </c>
      <c r="U1960" s="65">
        <f>IFERROR(__xludf.DUMMYFUNCTION("""COMPUTED_VALUE"""),0.0)</f>
        <v>0</v>
      </c>
      <c r="V1960" s="65">
        <f>IFERROR(__xludf.DUMMYFUNCTION("""COMPUTED_VALUE"""),0.0)</f>
        <v>0</v>
      </c>
      <c r="W1960" s="65">
        <f>IFERROR(__xludf.DUMMYFUNCTION("""COMPUTED_VALUE"""),0.0)</f>
        <v>0</v>
      </c>
      <c r="X1960" s="65">
        <f>IFERROR(__xludf.DUMMYFUNCTION("""COMPUTED_VALUE"""),2.35)</f>
        <v>2.35</v>
      </c>
      <c r="Y1960" s="65">
        <f>IFERROR(__xludf.DUMMYFUNCTION("""COMPUTED_VALUE"""),4.7)</f>
        <v>4.7</v>
      </c>
      <c r="Z1960" s="65">
        <f>IFERROR(__xludf.DUMMYFUNCTION("""COMPUTED_VALUE"""),116679.0)</f>
        <v>116679</v>
      </c>
      <c r="AA1960" s="65" t="str">
        <f>IFERROR(__xludf.DUMMYFUNCTION("""COMPUTED_VALUE"""),"AMC-2738")</f>
        <v>AMC-2738</v>
      </c>
      <c r="AB1960" s="65"/>
      <c r="AC1960" s="65" t="str">
        <f>IFERROR(__xludf.DUMMYFUNCTION("""COMPUTED_VALUE"""),"ESPONJA ANTILLUVIA DE PARABRISAS")</f>
        <v>ESPONJA ANTILLUVIA DE PARABRISAS</v>
      </c>
      <c r="AD1960" s="65"/>
      <c r="AE1960" s="65">
        <f>IFERROR(__xludf.DUMMYFUNCTION("""COMPUTED_VALUE"""),2.0)</f>
        <v>2</v>
      </c>
      <c r="AF1960" s="65"/>
      <c r="AG1960" s="65"/>
      <c r="AH1960" s="65"/>
      <c r="AI1960" s="65"/>
      <c r="AJ1960" s="65"/>
      <c r="AK1960" s="65"/>
      <c r="AL1960" s="65"/>
      <c r="AM1960" s="65"/>
      <c r="AN1960" s="65"/>
      <c r="AO1960" s="65"/>
      <c r="AP1960" s="65"/>
      <c r="AQ1960" s="65"/>
      <c r="AR1960" s="65"/>
      <c r="AS1960" s="65"/>
      <c r="AT1960" s="65" t="str">
        <f>IFERROR(__xludf.DUMMYFUNCTION("""COMPUTED_VALUE"""),"SHOPIFY")</f>
        <v>SHOPIFY</v>
      </c>
      <c r="AU1960" s="65" t="str">
        <f>IFERROR(__xludf.DUMMYFUNCTION("""COMPUTED_VALUE"""),"IMPORTEX EC")</f>
        <v>IMPORTEX EC</v>
      </c>
      <c r="AV1960" s="65" t="str">
        <f>IFERROR(__xludf.DUMMYFUNCTION("""COMPUTED_VALUE"""),"6408748171308")</f>
        <v>6408748171308</v>
      </c>
      <c r="AW1960" s="65">
        <f>IFERROR(__xludf.DUMMYFUNCTION("""COMPUTED_VALUE"""),5015.0)</f>
        <v>5015</v>
      </c>
      <c r="AX1960" s="65"/>
      <c r="AY1960" s="65"/>
      <c r="AZ1960" s="65"/>
      <c r="BA1960" s="65"/>
    </row>
    <row r="1961">
      <c r="A1961" s="65" t="str">
        <f>IFERROR(__xludf.DUMMYFUNCTION("""COMPUTED_VALUE"""),"27-03-2026")</f>
        <v>27-03-2026</v>
      </c>
      <c r="B1961" s="65">
        <f>IFERROR(__xludf.DUMMYFUNCTION("""COMPUTED_VALUE"""),4114909.0)</f>
        <v>4114909</v>
      </c>
      <c r="C1961" s="65" t="str">
        <f>IFERROR(__xludf.DUMMYFUNCTION("""COMPUTED_VALUE"""),"08:16")</f>
        <v>08:16</v>
      </c>
      <c r="D1961" s="65" t="str">
        <f>IFERROR(__xludf.DUMMYFUNCTION("""COMPUTED_VALUE"""),"12-01-2026")</f>
        <v>12-01-2026</v>
      </c>
      <c r="E1961" s="65" t="str">
        <f>IFERROR(__xludf.DUMMYFUNCTION("""COMPUTED_VALUE"""),"Claudio Ortiz")</f>
        <v>Claudio Ortiz</v>
      </c>
      <c r="F1961" s="65" t="str">
        <f>IFERROR(__xludf.DUMMYFUNCTION("""COMPUTED_VALUE"""),"993277481")</f>
        <v>993277481</v>
      </c>
      <c r="G1961" s="65" t="str">
        <f>IFERROR(__xludf.DUMMYFUNCTION("""COMPUTED_VALUE"""),"claudiooa74_@hotmail.com")</f>
        <v>claudiooa74_@hotmail.com</v>
      </c>
      <c r="H1961" s="65"/>
      <c r="I1961" s="65"/>
      <c r="J1961" s="65"/>
      <c r="K1961" s="65" t="str">
        <f>IFERROR(__xludf.DUMMYFUNCTION("""COMPUTED_VALUE"""),"CANCELADO")</f>
        <v>CANCELADO</v>
      </c>
      <c r="L1961" s="65" t="str">
        <f>IFERROR(__xludf.DUMMYFUNCTION("""COMPUTED_VALUE"""),"CON RECAUDO")</f>
        <v>CON RECAUDO</v>
      </c>
      <c r="M1961" s="65" t="str">
        <f>IFERROR(__xludf.DUMMYFUNCTION("""COMPUTED_VALUE"""),"CAÑAR")</f>
        <v>CAÑAR</v>
      </c>
      <c r="N1961" s="65" t="str">
        <f>IFERROR(__xludf.DUMMYFUNCTION("""COMPUTED_VALUE"""),"LA TRONCAL")</f>
        <v>LA TRONCAL</v>
      </c>
      <c r="O1961" s="65" t="str">
        <f>IFERROR(__xludf.DUMMYFUNCTION("""COMPUTED_VALUE"""),"H.reyes y Luis cordero -barrio el paraíso -")</f>
        <v>H.reyes y Luis cordero -barrio el paraíso -</v>
      </c>
      <c r="P1961" s="65"/>
      <c r="Q1961" s="65" t="str">
        <f>IFERROR(__xludf.DUMMYFUNCTION("""COMPUTED_VALUE"""),"GINTRACOM")</f>
        <v>GINTRACOM</v>
      </c>
      <c r="R1961" s="65">
        <f>IFERROR(__xludf.DUMMYFUNCTION("""COMPUTED_VALUE"""),22.0)</f>
        <v>22</v>
      </c>
      <c r="S1961" s="65"/>
      <c r="T1961" s="65">
        <f>IFERROR(__xludf.DUMMYFUNCTION("""COMPUTED_VALUE"""),5.84)</f>
        <v>5.84</v>
      </c>
      <c r="U1961" s="65">
        <f>IFERROR(__xludf.DUMMYFUNCTION("""COMPUTED_VALUE"""),0.0)</f>
        <v>0</v>
      </c>
      <c r="V1961" s="65">
        <f>IFERROR(__xludf.DUMMYFUNCTION("""COMPUTED_VALUE"""),0.0)</f>
        <v>0</v>
      </c>
      <c r="W1961" s="65">
        <f>IFERROR(__xludf.DUMMYFUNCTION("""COMPUTED_VALUE"""),0.0)</f>
        <v>0</v>
      </c>
      <c r="X1961" s="65">
        <f>IFERROR(__xludf.DUMMYFUNCTION("""COMPUTED_VALUE"""),2.6)</f>
        <v>2.6</v>
      </c>
      <c r="Y1961" s="65">
        <f>IFERROR(__xludf.DUMMYFUNCTION("""COMPUTED_VALUE"""),5.2)</f>
        <v>5.2</v>
      </c>
      <c r="Z1961" s="65">
        <f>IFERROR(__xludf.DUMMYFUNCTION("""COMPUTED_VALUE"""),121983.0)</f>
        <v>121983</v>
      </c>
      <c r="AA1961" s="65" t="str">
        <f>IFERROR(__xludf.DUMMYFUNCTION("""COMPUTED_VALUE"""),"PROV-CHLLCF")</f>
        <v>PROV-CHLLCF</v>
      </c>
      <c r="AB1961" s="65"/>
      <c r="AC1961" s="65" t="str">
        <f>IFERROR(__xludf.DUMMYFUNCTION("""COMPUTED_VALUE"""),"CUCHILLO PARA CHEF")</f>
        <v>CUCHILLO PARA CHEF</v>
      </c>
      <c r="AD1961" s="65"/>
      <c r="AE1961" s="65">
        <f>IFERROR(__xludf.DUMMYFUNCTION("""COMPUTED_VALUE"""),2.0)</f>
        <v>2</v>
      </c>
      <c r="AF1961" s="65"/>
      <c r="AG1961" s="65"/>
      <c r="AH1961" s="65"/>
      <c r="AI1961" s="65"/>
      <c r="AJ1961" s="65"/>
      <c r="AK1961" s="65"/>
      <c r="AL1961" s="65"/>
      <c r="AM1961" s="65"/>
      <c r="AN1961" s="65"/>
      <c r="AO1961" s="65"/>
      <c r="AP1961" s="65"/>
      <c r="AQ1961" s="65"/>
      <c r="AR1961" s="65"/>
      <c r="AS1961" s="65"/>
      <c r="AT1961" s="65" t="str">
        <f>IFERROR(__xludf.DUMMYFUNCTION("""COMPUTED_VALUE"""),"SHOPIFY")</f>
        <v>SHOPIFY</v>
      </c>
      <c r="AU1961" s="65" t="str">
        <f>IFERROR(__xludf.DUMMYFUNCTION("""COMPUTED_VALUE"""),"IMPORTEX EC")</f>
        <v>IMPORTEX EC</v>
      </c>
      <c r="AV1961" s="65" t="str">
        <f>IFERROR(__xludf.DUMMYFUNCTION("""COMPUTED_VALUE"""),"6408746663980")</f>
        <v>6408746663980</v>
      </c>
      <c r="AW1961" s="65">
        <f>IFERROR(__xludf.DUMMYFUNCTION("""COMPUTED_VALUE"""),5014.0)</f>
        <v>5014</v>
      </c>
      <c r="AX1961" s="65"/>
      <c r="AY1961" s="65"/>
      <c r="AZ1961" s="65"/>
      <c r="BA1961" s="65"/>
    </row>
    <row r="1962">
      <c r="A1962" s="65" t="str">
        <f>IFERROR(__xludf.DUMMYFUNCTION("""COMPUTED_VALUE"""),"27-03-2026")</f>
        <v>27-03-2026</v>
      </c>
      <c r="B1962" s="65">
        <f>IFERROR(__xludf.DUMMYFUNCTION("""COMPUTED_VALUE"""),4114647.0)</f>
        <v>4114647</v>
      </c>
      <c r="C1962" s="65" t="str">
        <f>IFERROR(__xludf.DUMMYFUNCTION("""COMPUTED_VALUE"""),"07:51")</f>
        <v>07:51</v>
      </c>
      <c r="D1962" s="65" t="str">
        <f>IFERROR(__xludf.DUMMYFUNCTION("""COMPUTED_VALUE"""),"12-01-2026")</f>
        <v>12-01-2026</v>
      </c>
      <c r="E1962" s="65" t="str">
        <f>IFERROR(__xludf.DUMMYFUNCTION("""COMPUTED_VALUE"""),"Gladys Olivia Delgado")</f>
        <v>Gladys Olivia Delgado</v>
      </c>
      <c r="F1962" s="65" t="str">
        <f>IFERROR(__xludf.DUMMYFUNCTION("""COMPUTED_VALUE"""),"997589332")</f>
        <v>997589332</v>
      </c>
      <c r="G1962" s="65" t="str">
        <f>IFERROR(__xludf.DUMMYFUNCTION("""COMPUTED_VALUE"""),"oliviadelgado654@gmail.com")</f>
        <v>oliviadelgado654@gmail.com</v>
      </c>
      <c r="H1962" s="65"/>
      <c r="I1962" s="65"/>
      <c r="J1962" s="65" t="str">
        <f>IFERROR(__xludf.DUMMYFUNCTION("""COMPUTED_VALUE"""),"186966909")</f>
        <v>186966909</v>
      </c>
      <c r="K1962" s="65" t="str">
        <f>IFERROR(__xludf.DUMMYFUNCTION("""COMPUTED_VALUE"""),"ENTREGADO")</f>
        <v>ENTREGADO</v>
      </c>
      <c r="L1962" s="65" t="str">
        <f>IFERROR(__xludf.DUMMYFUNCTION("""COMPUTED_VALUE"""),"CON RECAUDO")</f>
        <v>CON RECAUDO</v>
      </c>
      <c r="M1962" s="65" t="str">
        <f>IFERROR(__xludf.DUMMYFUNCTION("""COMPUTED_VALUE"""),"IMBABURA")</f>
        <v>IMBABURA</v>
      </c>
      <c r="N1962" s="65" t="str">
        <f>IFERROR(__xludf.DUMMYFUNCTION("""COMPUTED_VALUE"""),"PIMAMPIRO")</f>
        <v>PIMAMPIRO</v>
      </c>
      <c r="O1962" s="65" t="str">
        <f>IFERROR(__xludf.DUMMYFUNCTION("""COMPUTED_VALUE"""),"Calle Bolivar y Velasco Oficina de cervi entrega Serca del mercado -")</f>
        <v>Calle Bolivar y Velasco Oficina de cervi entrega Serca del mercado -</v>
      </c>
      <c r="P1962" s="65"/>
      <c r="Q1962" s="65" t="str">
        <f>IFERROR(__xludf.DUMMYFUNCTION("""COMPUTED_VALUE"""),"SERVIENTREGA")</f>
        <v>SERVIENTREGA</v>
      </c>
      <c r="R1962" s="65">
        <f>IFERROR(__xludf.DUMMYFUNCTION("""COMPUTED_VALUE"""),22.0)</f>
        <v>22</v>
      </c>
      <c r="S1962" s="65">
        <f>IFERROR(__xludf.DUMMYFUNCTION("""COMPUTED_VALUE"""),9.1)</f>
        <v>9.1</v>
      </c>
      <c r="T1962" s="65">
        <f>IFERROR(__xludf.DUMMYFUNCTION("""COMPUTED_VALUE"""),7.7)</f>
        <v>7.7</v>
      </c>
      <c r="U1962" s="65">
        <f>IFERROR(__xludf.DUMMYFUNCTION("""COMPUTED_VALUE"""),0.0)</f>
        <v>0</v>
      </c>
      <c r="V1962" s="65">
        <f>IFERROR(__xludf.DUMMYFUNCTION("""COMPUTED_VALUE"""),0.0)</f>
        <v>0</v>
      </c>
      <c r="W1962" s="65">
        <f>IFERROR(__xludf.DUMMYFUNCTION("""COMPUTED_VALUE"""),0.0)</f>
        <v>0</v>
      </c>
      <c r="X1962" s="65">
        <f>IFERROR(__xludf.DUMMYFUNCTION("""COMPUTED_VALUE"""),2.6)</f>
        <v>2.6</v>
      </c>
      <c r="Y1962" s="65">
        <f>IFERROR(__xludf.DUMMYFUNCTION("""COMPUTED_VALUE"""),5.2)</f>
        <v>5.2</v>
      </c>
      <c r="Z1962" s="65">
        <f>IFERROR(__xludf.DUMMYFUNCTION("""COMPUTED_VALUE"""),121983.0)</f>
        <v>121983</v>
      </c>
      <c r="AA1962" s="65" t="str">
        <f>IFERROR(__xludf.DUMMYFUNCTION("""COMPUTED_VALUE"""),"PROV-CHLLCF")</f>
        <v>PROV-CHLLCF</v>
      </c>
      <c r="AB1962" s="65"/>
      <c r="AC1962" s="65" t="str">
        <f>IFERROR(__xludf.DUMMYFUNCTION("""COMPUTED_VALUE"""),"CUCHILLO PARA CHEF")</f>
        <v>CUCHILLO PARA CHEF</v>
      </c>
      <c r="AD1962" s="65"/>
      <c r="AE1962" s="65">
        <f>IFERROR(__xludf.DUMMYFUNCTION("""COMPUTED_VALUE"""),2.0)</f>
        <v>2</v>
      </c>
      <c r="AF1962" s="65"/>
      <c r="AG1962" s="65"/>
      <c r="AH1962" s="65"/>
      <c r="AI1962" s="65"/>
      <c r="AJ1962" s="65"/>
      <c r="AK1962" s="65"/>
      <c r="AL1962" s="65"/>
      <c r="AM1962" s="65"/>
      <c r="AN1962" s="65" t="str">
        <f>IFERROR(__xludf.DUMMYFUNCTION("""COMPUTED_VALUE"""),"13:27")</f>
        <v>13:27</v>
      </c>
      <c r="AO1962" s="65" t="str">
        <f>IFERROR(__xludf.DUMMYFUNCTION("""COMPUTED_VALUE"""),"02-02-2026")</f>
        <v>02-02-2026</v>
      </c>
      <c r="AP1962" s="65" t="str">
        <f>IFERROR(__xludf.DUMMYFUNCTION("""COMPUTED_VALUE"""),"ENTREGA DIGITALIZADA EN CENTRO LOGISTICO")</f>
        <v>ENTREGA DIGITALIZADA EN CENTRO LOGISTICO</v>
      </c>
      <c r="AQ1962" s="65" t="str">
        <f>IFERROR(__xludf.DUMMYFUNCTION("""COMPUTED_VALUE"""),"GLADIS DELGADO")</f>
        <v>GLADIS DELGADO</v>
      </c>
      <c r="AR1962" s="65"/>
      <c r="AS1962" s="65"/>
      <c r="AT1962" s="65" t="str">
        <f>IFERROR(__xludf.DUMMYFUNCTION("""COMPUTED_VALUE"""),"SHOPIFY")</f>
        <v>SHOPIFY</v>
      </c>
      <c r="AU1962" s="65" t="str">
        <f>IFERROR(__xludf.DUMMYFUNCTION("""COMPUTED_VALUE"""),"IMPORTEX EC")</f>
        <v>IMPORTEX EC</v>
      </c>
      <c r="AV1962" s="65" t="str">
        <f>IFERROR(__xludf.DUMMYFUNCTION("""COMPUTED_VALUE"""),"6408717467692")</f>
        <v>6408717467692</v>
      </c>
      <c r="AW1962" s="65">
        <f>IFERROR(__xludf.DUMMYFUNCTION("""COMPUTED_VALUE"""),5013.0)</f>
        <v>5013</v>
      </c>
      <c r="AX1962" s="65"/>
      <c r="AY1962" s="65" t="str">
        <f>IFERROR(__xludf.DUMMYFUNCTION("""COMPUTED_VALUE"""),"13/01/2026")</f>
        <v>13/01/2026</v>
      </c>
      <c r="AZ1962" s="65"/>
      <c r="BA1962" s="65"/>
    </row>
    <row r="1963">
      <c r="A1963" s="65" t="str">
        <f>IFERROR(__xludf.DUMMYFUNCTION("""COMPUTED_VALUE"""),"27-03-2026")</f>
        <v>27-03-2026</v>
      </c>
      <c r="B1963" s="65">
        <f>IFERROR(__xludf.DUMMYFUNCTION("""COMPUTED_VALUE"""),4114583.0)</f>
        <v>4114583</v>
      </c>
      <c r="C1963" s="65" t="str">
        <f>IFERROR(__xludf.DUMMYFUNCTION("""COMPUTED_VALUE"""),"07:46")</f>
        <v>07:46</v>
      </c>
      <c r="D1963" s="65" t="str">
        <f>IFERROR(__xludf.DUMMYFUNCTION("""COMPUTED_VALUE"""),"12-01-2026")</f>
        <v>12-01-2026</v>
      </c>
      <c r="E1963" s="65" t="str">
        <f>IFERROR(__xludf.DUMMYFUNCTION("""COMPUTED_VALUE"""),"Denisse Layana")</f>
        <v>Denisse Layana</v>
      </c>
      <c r="F1963" s="65" t="str">
        <f>IFERROR(__xludf.DUMMYFUNCTION("""COMPUTED_VALUE"""),"958990146")</f>
        <v>958990146</v>
      </c>
      <c r="G1963" s="65" t="str">
        <f>IFERROR(__xludf.DUMMYFUNCTION("""COMPUTED_VALUE"""),"andrea_layana04@hotmail.com")</f>
        <v>andrea_layana04@hotmail.com</v>
      </c>
      <c r="H1963" s="65"/>
      <c r="I1963" s="65"/>
      <c r="J1963" s="65" t="str">
        <f>IFERROR(__xludf.DUMMYFUNCTION("""COMPUTED_VALUE"""),"D001219603")</f>
        <v>D001219603</v>
      </c>
      <c r="K1963" s="65" t="str">
        <f>IFERROR(__xludf.DUMMYFUNCTION("""COMPUTED_VALUE"""),"ENTREGADO")</f>
        <v>ENTREGADO</v>
      </c>
      <c r="L1963" s="65" t="str">
        <f>IFERROR(__xludf.DUMMYFUNCTION("""COMPUTED_VALUE"""),"CON RECAUDO")</f>
        <v>CON RECAUDO</v>
      </c>
      <c r="M1963" s="65" t="str">
        <f>IFERROR(__xludf.DUMMYFUNCTION("""COMPUTED_VALUE"""),"GUAYAS")</f>
        <v>GUAYAS</v>
      </c>
      <c r="N1963" s="65" t="str">
        <f>IFERROR(__xludf.DUMMYFUNCTION("""COMPUTED_VALUE"""),"GUAYAQUIL")</f>
        <v>GUAYAQUIL</v>
      </c>
      <c r="O1963" s="65" t="str">
        <f>IFERROR(__xludf.DUMMYFUNCTION("""COMPUTED_VALUE"""),"Mapasingue Oeste Avenida Tercera Entre Calle Tercera Y Cuarta, 3 cuadras pasando la escuela Fe y Alegría,  un galpón plomo.")</f>
        <v>Mapasingue Oeste Avenida Tercera Entre Calle Tercera Y Cuarta, 3 cuadras pasando la escuela Fe y Alegría,  un galpón plomo.</v>
      </c>
      <c r="P1963" s="65"/>
      <c r="Q1963" s="65" t="str">
        <f>IFERROR(__xludf.DUMMYFUNCTION("""COMPUTED_VALUE"""),"GINTRACOM")</f>
        <v>GINTRACOM</v>
      </c>
      <c r="R1963" s="65">
        <f>IFERROR(__xludf.DUMMYFUNCTION("""COMPUTED_VALUE"""),25.0)</f>
        <v>25</v>
      </c>
      <c r="S1963" s="65">
        <f>IFERROR(__xludf.DUMMYFUNCTION("""COMPUTED_VALUE"""),14.34)</f>
        <v>14.34</v>
      </c>
      <c r="T1963" s="65">
        <f>IFERROR(__xludf.DUMMYFUNCTION("""COMPUTED_VALUE"""),5.96)</f>
        <v>5.96</v>
      </c>
      <c r="U1963" s="65">
        <f>IFERROR(__xludf.DUMMYFUNCTION("""COMPUTED_VALUE"""),0.0)</f>
        <v>0</v>
      </c>
      <c r="V1963" s="65">
        <f>IFERROR(__xludf.DUMMYFUNCTION("""COMPUTED_VALUE"""),0.0)</f>
        <v>0</v>
      </c>
      <c r="W1963" s="65">
        <f>IFERROR(__xludf.DUMMYFUNCTION("""COMPUTED_VALUE"""),0.0)</f>
        <v>0</v>
      </c>
      <c r="X1963" s="65">
        <f>IFERROR(__xludf.DUMMYFUNCTION("""COMPUTED_VALUE"""),2.35)</f>
        <v>2.35</v>
      </c>
      <c r="Y1963" s="65">
        <f>IFERROR(__xludf.DUMMYFUNCTION("""COMPUTED_VALUE"""),4.7)</f>
        <v>4.7</v>
      </c>
      <c r="Z1963" s="65">
        <f>IFERROR(__xludf.DUMMYFUNCTION("""COMPUTED_VALUE"""),116679.0)</f>
        <v>116679</v>
      </c>
      <c r="AA1963" s="65" t="str">
        <f>IFERROR(__xludf.DUMMYFUNCTION("""COMPUTED_VALUE"""),"AMC-2738")</f>
        <v>AMC-2738</v>
      </c>
      <c r="AB1963" s="65"/>
      <c r="AC1963" s="65" t="str">
        <f>IFERROR(__xludf.DUMMYFUNCTION("""COMPUTED_VALUE"""),"ESPONJA ANTILLUVIA DE PARABRISAS")</f>
        <v>ESPONJA ANTILLUVIA DE PARABRISAS</v>
      </c>
      <c r="AD1963" s="65"/>
      <c r="AE1963" s="65">
        <f>IFERROR(__xludf.DUMMYFUNCTION("""COMPUTED_VALUE"""),2.0)</f>
        <v>2</v>
      </c>
      <c r="AF1963" s="65"/>
      <c r="AG1963" s="65"/>
      <c r="AH1963" s="65"/>
      <c r="AI1963" s="65"/>
      <c r="AJ1963" s="65"/>
      <c r="AK1963" s="65"/>
      <c r="AL1963" s="65"/>
      <c r="AM1963" s="65"/>
      <c r="AN1963" s="65" t="str">
        <f>IFERROR(__xludf.DUMMYFUNCTION("""COMPUTED_VALUE"""),"13:09")</f>
        <v>13:09</v>
      </c>
      <c r="AO1963" s="65" t="str">
        <f>IFERROR(__xludf.DUMMYFUNCTION("""COMPUTED_VALUE"""),"15-01-2026")</f>
        <v>15-01-2026</v>
      </c>
      <c r="AP1963" s="65" t="str">
        <f>IFERROR(__xludf.DUMMYFUNCTION("""COMPUTED_VALUE"""),"ENTREGADA GINTRACOM")</f>
        <v>ENTREGADA GINTRACOM</v>
      </c>
      <c r="AQ1963" s="65" t="str">
        <f>IFERROR(__xludf.DUMMYFUNCTION("""COMPUTED_VALUE"""),"ENTREGADA GINTRACOM")</f>
        <v>ENTREGADA GINTRACOM</v>
      </c>
      <c r="AR1963" s="65"/>
      <c r="AS1963" s="65"/>
      <c r="AT1963" s="65" t="str">
        <f>IFERROR(__xludf.DUMMYFUNCTION("""COMPUTED_VALUE"""),"SHOPIFY")</f>
        <v>SHOPIFY</v>
      </c>
      <c r="AU1963" s="65" t="str">
        <f>IFERROR(__xludf.DUMMYFUNCTION("""COMPUTED_VALUE"""),"IMPORTEX EC")</f>
        <v>IMPORTEX EC</v>
      </c>
      <c r="AV1963" s="65" t="str">
        <f>IFERROR(__xludf.DUMMYFUNCTION("""COMPUTED_VALUE"""),"6408711438380")</f>
        <v>6408711438380</v>
      </c>
      <c r="AW1963" s="65">
        <f>IFERROR(__xludf.DUMMYFUNCTION("""COMPUTED_VALUE"""),5012.0)</f>
        <v>5012</v>
      </c>
      <c r="AX1963" s="65"/>
      <c r="AY1963" s="65" t="str">
        <f>IFERROR(__xludf.DUMMYFUNCTION("""COMPUTED_VALUE"""),"13/01/2026")</f>
        <v>13/01/2026</v>
      </c>
      <c r="AZ1963" s="65"/>
      <c r="BA1963" s="65"/>
    </row>
    <row r="1964">
      <c r="A1964" s="65" t="str">
        <f>IFERROR(__xludf.DUMMYFUNCTION("""COMPUTED_VALUE"""),"27-03-2026")</f>
        <v>27-03-2026</v>
      </c>
      <c r="B1964" s="65">
        <f>IFERROR(__xludf.DUMMYFUNCTION("""COMPUTED_VALUE"""),4114030.0)</f>
        <v>4114030</v>
      </c>
      <c r="C1964" s="65" t="str">
        <f>IFERROR(__xludf.DUMMYFUNCTION("""COMPUTED_VALUE"""),"07:01")</f>
        <v>07:01</v>
      </c>
      <c r="D1964" s="65" t="str">
        <f>IFERROR(__xludf.DUMMYFUNCTION("""COMPUTED_VALUE"""),"12-01-2026")</f>
        <v>12-01-2026</v>
      </c>
      <c r="E1964" s="65" t="str">
        <f>IFERROR(__xludf.DUMMYFUNCTION("""COMPUTED_VALUE"""),"Luis zuñiga")</f>
        <v>Luis zuñiga</v>
      </c>
      <c r="F1964" s="65" t="str">
        <f>IFERROR(__xludf.DUMMYFUNCTION("""COMPUTED_VALUE"""),"988314811")</f>
        <v>988314811</v>
      </c>
      <c r="G1964" s="65" t="str">
        <f>IFERROR(__xludf.DUMMYFUNCTION("""COMPUTED_VALUE"""),"luisdarwin638@gmail.com")</f>
        <v>luisdarwin638@gmail.com</v>
      </c>
      <c r="H1964" s="65"/>
      <c r="I1964" s="65"/>
      <c r="J1964" s="65"/>
      <c r="K1964" s="65" t="str">
        <f>IFERROR(__xludf.DUMMYFUNCTION("""COMPUTED_VALUE"""),"CANCELADO")</f>
        <v>CANCELADO</v>
      </c>
      <c r="L1964" s="65" t="str">
        <f>IFERROR(__xludf.DUMMYFUNCTION("""COMPUTED_VALUE"""),"CON RECAUDO")</f>
        <v>CON RECAUDO</v>
      </c>
      <c r="M1964" s="65" t="str">
        <f>IFERROR(__xludf.DUMMYFUNCTION("""COMPUTED_VALUE"""),"EL ORO")</f>
        <v>EL ORO</v>
      </c>
      <c r="N1964" s="65" t="str">
        <f>IFERROR(__xludf.DUMMYFUNCTION("""COMPUTED_VALUE"""),"SANTA ROSA")</f>
        <v>SANTA ROSA</v>
      </c>
      <c r="O1964" s="65" t="str">
        <f>IFERROR(__xludf.DUMMYFUNCTION("""COMPUTED_VALUE"""),"servientrega servientrega -")</f>
        <v>servientrega servientrega -</v>
      </c>
      <c r="P1964" s="65"/>
      <c r="Q1964" s="65" t="str">
        <f>IFERROR(__xludf.DUMMYFUNCTION("""COMPUTED_VALUE"""),"GINTRACOM")</f>
        <v>GINTRACOM</v>
      </c>
      <c r="R1964" s="65">
        <f>IFERROR(__xludf.DUMMYFUNCTION("""COMPUTED_VALUE"""),22.0)</f>
        <v>22</v>
      </c>
      <c r="S1964" s="65"/>
      <c r="T1964" s="65">
        <f>IFERROR(__xludf.DUMMYFUNCTION("""COMPUTED_VALUE"""),5.84)</f>
        <v>5.84</v>
      </c>
      <c r="U1964" s="65">
        <f>IFERROR(__xludf.DUMMYFUNCTION("""COMPUTED_VALUE"""),0.0)</f>
        <v>0</v>
      </c>
      <c r="V1964" s="65">
        <f>IFERROR(__xludf.DUMMYFUNCTION("""COMPUTED_VALUE"""),0.0)</f>
        <v>0</v>
      </c>
      <c r="W1964" s="65">
        <f>IFERROR(__xludf.DUMMYFUNCTION("""COMPUTED_VALUE"""),0.0)</f>
        <v>0</v>
      </c>
      <c r="X1964" s="65">
        <f>IFERROR(__xludf.DUMMYFUNCTION("""COMPUTED_VALUE"""),2.6)</f>
        <v>2.6</v>
      </c>
      <c r="Y1964" s="65">
        <f>IFERROR(__xludf.DUMMYFUNCTION("""COMPUTED_VALUE"""),5.2)</f>
        <v>5.2</v>
      </c>
      <c r="Z1964" s="65">
        <f>IFERROR(__xludf.DUMMYFUNCTION("""COMPUTED_VALUE"""),121983.0)</f>
        <v>121983</v>
      </c>
      <c r="AA1964" s="65" t="str">
        <f>IFERROR(__xludf.DUMMYFUNCTION("""COMPUTED_VALUE"""),"PROV-CHLLCF")</f>
        <v>PROV-CHLLCF</v>
      </c>
      <c r="AB1964" s="65"/>
      <c r="AC1964" s="65" t="str">
        <f>IFERROR(__xludf.DUMMYFUNCTION("""COMPUTED_VALUE"""),"CUCHILLO PARA CHEF")</f>
        <v>CUCHILLO PARA CHEF</v>
      </c>
      <c r="AD1964" s="65"/>
      <c r="AE1964" s="65">
        <f>IFERROR(__xludf.DUMMYFUNCTION("""COMPUTED_VALUE"""),2.0)</f>
        <v>2</v>
      </c>
      <c r="AF1964" s="65"/>
      <c r="AG1964" s="65"/>
      <c r="AH1964" s="65"/>
      <c r="AI1964" s="65"/>
      <c r="AJ1964" s="65"/>
      <c r="AK1964" s="65"/>
      <c r="AL1964" s="65"/>
      <c r="AM1964" s="65"/>
      <c r="AN1964" s="65"/>
      <c r="AO1964" s="65"/>
      <c r="AP1964" s="65"/>
      <c r="AQ1964" s="65"/>
      <c r="AR1964" s="65"/>
      <c r="AS1964" s="65"/>
      <c r="AT1964" s="65" t="str">
        <f>IFERROR(__xludf.DUMMYFUNCTION("""COMPUTED_VALUE"""),"SHOPIFY")</f>
        <v>SHOPIFY</v>
      </c>
      <c r="AU1964" s="65" t="str">
        <f>IFERROR(__xludf.DUMMYFUNCTION("""COMPUTED_VALUE"""),"IMPORTEX EC")</f>
        <v>IMPORTEX EC</v>
      </c>
      <c r="AV1964" s="65" t="str">
        <f>IFERROR(__xludf.DUMMYFUNCTION("""COMPUTED_VALUE"""),"6408668971052")</f>
        <v>6408668971052</v>
      </c>
      <c r="AW1964" s="65">
        <f>IFERROR(__xludf.DUMMYFUNCTION("""COMPUTED_VALUE"""),5010.0)</f>
        <v>5010</v>
      </c>
      <c r="AX1964" s="65"/>
      <c r="AY1964" s="65"/>
      <c r="AZ1964" s="65"/>
      <c r="BA1964" s="65"/>
    </row>
    <row r="1965">
      <c r="A1965" s="65" t="str">
        <f>IFERROR(__xludf.DUMMYFUNCTION("""COMPUTED_VALUE"""),"27-03-2026")</f>
        <v>27-03-2026</v>
      </c>
      <c r="B1965" s="65">
        <f>IFERROR(__xludf.DUMMYFUNCTION("""COMPUTED_VALUE"""),4113979.0)</f>
        <v>4113979</v>
      </c>
      <c r="C1965" s="65" t="str">
        <f>IFERROR(__xludf.DUMMYFUNCTION("""COMPUTED_VALUE"""),"06:54")</f>
        <v>06:54</v>
      </c>
      <c r="D1965" s="65" t="str">
        <f>IFERROR(__xludf.DUMMYFUNCTION("""COMPUTED_VALUE"""),"12-01-2026")</f>
        <v>12-01-2026</v>
      </c>
      <c r="E1965" s="65" t="str">
        <f>IFERROR(__xludf.DUMMYFUNCTION("""COMPUTED_VALUE"""),"Olger Velasco")</f>
        <v>Olger Velasco</v>
      </c>
      <c r="F1965" s="65" t="str">
        <f>IFERROR(__xludf.DUMMYFUNCTION("""COMPUTED_VALUE"""),"982056533")</f>
        <v>982056533</v>
      </c>
      <c r="G1965" s="65" t="str">
        <f>IFERROR(__xludf.DUMMYFUNCTION("""COMPUTED_VALUE"""),"olg_vel77@hotmail.com")</f>
        <v>olg_vel77@hotmail.com</v>
      </c>
      <c r="H1965" s="65"/>
      <c r="I1965" s="65"/>
      <c r="J1965" s="65" t="str">
        <f>IFERROR(__xludf.DUMMYFUNCTION("""COMPUTED_VALUE"""),"D001218342")</f>
        <v>D001218342</v>
      </c>
      <c r="K1965" s="65" t="str">
        <f>IFERROR(__xludf.DUMMYFUNCTION("""COMPUTED_VALUE"""),"ENTREGADO")</f>
        <v>ENTREGADO</v>
      </c>
      <c r="L1965" s="65" t="str">
        <f>IFERROR(__xludf.DUMMYFUNCTION("""COMPUTED_VALUE"""),"CON RECAUDO")</f>
        <v>CON RECAUDO</v>
      </c>
      <c r="M1965" s="65" t="str">
        <f>IFERROR(__xludf.DUMMYFUNCTION("""COMPUTED_VALUE"""),"SUCUMBIOS")</f>
        <v>SUCUMBIOS</v>
      </c>
      <c r="N1965" s="65" t="str">
        <f>IFERROR(__xludf.DUMMYFUNCTION("""COMPUTED_VALUE"""),"SHUSHUFINDI")</f>
        <v>SHUSHUFINDI</v>
      </c>
      <c r="O1965" s="65" t="str">
        <f>IFERROR(__xludf.DUMMYFUNCTION("""COMPUTED_VALUE"""),"Violeta Parra y Alfonso Cuestas, Barrio Las Vegas")</f>
        <v>Violeta Parra y Alfonso Cuestas, Barrio Las Vegas</v>
      </c>
      <c r="P1965" s="65"/>
      <c r="Q1965" s="65" t="str">
        <f>IFERROR(__xludf.DUMMYFUNCTION("""COMPUTED_VALUE"""),"GINTRACOM")</f>
        <v>GINTRACOM</v>
      </c>
      <c r="R1965" s="65">
        <f>IFERROR(__xludf.DUMMYFUNCTION("""COMPUTED_VALUE"""),25.0)</f>
        <v>25</v>
      </c>
      <c r="S1965" s="65">
        <f>IFERROR(__xludf.DUMMYFUNCTION("""COMPUTED_VALUE"""),13.46)</f>
        <v>13.46</v>
      </c>
      <c r="T1965" s="65">
        <f>IFERROR(__xludf.DUMMYFUNCTION("""COMPUTED_VALUE"""),5.96)</f>
        <v>5.96</v>
      </c>
      <c r="U1965" s="65">
        <f>IFERROR(__xludf.DUMMYFUNCTION("""COMPUTED_VALUE"""),0.0)</f>
        <v>0</v>
      </c>
      <c r="V1965" s="65">
        <f>IFERROR(__xludf.DUMMYFUNCTION("""COMPUTED_VALUE"""),0.0)</f>
        <v>0</v>
      </c>
      <c r="W1965" s="65">
        <f>IFERROR(__xludf.DUMMYFUNCTION("""COMPUTED_VALUE"""),0.0)</f>
        <v>0</v>
      </c>
      <c r="X1965" s="65">
        <f>IFERROR(__xludf.DUMMYFUNCTION("""COMPUTED_VALUE"""),2.79)</f>
        <v>2.79</v>
      </c>
      <c r="Y1965" s="65">
        <f>IFERROR(__xludf.DUMMYFUNCTION("""COMPUTED_VALUE"""),5.58)</f>
        <v>5.58</v>
      </c>
      <c r="Z1965" s="65">
        <f>IFERROR(__xludf.DUMMYFUNCTION("""COMPUTED_VALUE"""),120732.0)</f>
        <v>120732</v>
      </c>
      <c r="AA1965" s="65" t="str">
        <f>IFERROR(__xludf.DUMMYFUNCTION("""COMPUTED_VALUE"""),"PROV-LMPVT")</f>
        <v>PROV-LMPVT</v>
      </c>
      <c r="AB1965" s="65"/>
      <c r="AC1965" s="65" t="str">
        <f>IFERROR(__xludf.DUMMYFUNCTION("""COMPUTED_VALUE"""),"LIMPIADOR DE PARABRISAS Y VENTANAS")</f>
        <v>LIMPIADOR DE PARABRISAS Y VENTANAS</v>
      </c>
      <c r="AD1965" s="65"/>
      <c r="AE1965" s="65">
        <f>IFERROR(__xludf.DUMMYFUNCTION("""COMPUTED_VALUE"""),2.0)</f>
        <v>2</v>
      </c>
      <c r="AF1965" s="65"/>
      <c r="AG1965" s="65"/>
      <c r="AH1965" s="65"/>
      <c r="AI1965" s="65"/>
      <c r="AJ1965" s="65"/>
      <c r="AK1965" s="65"/>
      <c r="AL1965" s="65"/>
      <c r="AM1965" s="65"/>
      <c r="AN1965" s="65" t="str">
        <f>IFERROR(__xludf.DUMMYFUNCTION("""COMPUTED_VALUE"""),"11:00")</f>
        <v>11:00</v>
      </c>
      <c r="AO1965" s="65" t="str">
        <f>IFERROR(__xludf.DUMMYFUNCTION("""COMPUTED_VALUE"""),"23-01-2026")</f>
        <v>23-01-2026</v>
      </c>
      <c r="AP1965" s="65" t="str">
        <f>IFERROR(__xludf.DUMMYFUNCTION("""COMPUTED_VALUE"""),"ENTREGADA GINTRACOM")</f>
        <v>ENTREGADA GINTRACOM</v>
      </c>
      <c r="AQ1965" s="65" t="str">
        <f>IFERROR(__xludf.DUMMYFUNCTION("""COMPUTED_VALUE"""),"ENTREGADA GINTRACOM")</f>
        <v>ENTREGADA GINTRACOM</v>
      </c>
      <c r="AR1965" s="65"/>
      <c r="AS1965" s="65"/>
      <c r="AT1965" s="65" t="str">
        <f>IFERROR(__xludf.DUMMYFUNCTION("""COMPUTED_VALUE"""),"SHOPIFY")</f>
        <v>SHOPIFY</v>
      </c>
      <c r="AU1965" s="65" t="str">
        <f>IFERROR(__xludf.DUMMYFUNCTION("""COMPUTED_VALUE"""),"IMPORTEX EC")</f>
        <v>IMPORTEX EC</v>
      </c>
      <c r="AV1965" s="65" t="str">
        <f>IFERROR(__xludf.DUMMYFUNCTION("""COMPUTED_VALUE"""),"6408663433260")</f>
        <v>6408663433260</v>
      </c>
      <c r="AW1965" s="65">
        <f>IFERROR(__xludf.DUMMYFUNCTION("""COMPUTED_VALUE"""),5009.0)</f>
        <v>5009</v>
      </c>
      <c r="AX1965" s="65"/>
      <c r="AY1965" s="65" t="str">
        <f>IFERROR(__xludf.DUMMYFUNCTION("""COMPUTED_VALUE"""),"13/01/2026")</f>
        <v>13/01/2026</v>
      </c>
      <c r="AZ1965" s="65"/>
      <c r="BA1965" s="65"/>
    </row>
    <row r="1966">
      <c r="A1966" s="65" t="str">
        <f>IFERROR(__xludf.DUMMYFUNCTION("""COMPUTED_VALUE"""),"27-03-2026")</f>
        <v>27-03-2026</v>
      </c>
      <c r="B1966" s="65">
        <f>IFERROR(__xludf.DUMMYFUNCTION("""COMPUTED_VALUE"""),4113964.0)</f>
        <v>4113964</v>
      </c>
      <c r="C1966" s="65" t="str">
        <f>IFERROR(__xludf.DUMMYFUNCTION("""COMPUTED_VALUE"""),"06:52")</f>
        <v>06:52</v>
      </c>
      <c r="D1966" s="65" t="str">
        <f>IFERROR(__xludf.DUMMYFUNCTION("""COMPUTED_VALUE"""),"12-01-2026")</f>
        <v>12-01-2026</v>
      </c>
      <c r="E1966" s="65" t="str">
        <f>IFERROR(__xludf.DUMMYFUNCTION("""COMPUTED_VALUE"""),"Christian Solis")</f>
        <v>Christian Solis</v>
      </c>
      <c r="F1966" s="65" t="str">
        <f>IFERROR(__xludf.DUMMYFUNCTION("""COMPUTED_VALUE"""),"994822365")</f>
        <v>994822365</v>
      </c>
      <c r="G1966" s="65" t="str">
        <f>IFERROR(__xludf.DUMMYFUNCTION("""COMPUTED_VALUE"""),"cristiansolism@gmail.com")</f>
        <v>cristiansolism@gmail.com</v>
      </c>
      <c r="H1966" s="65"/>
      <c r="I1966" s="65"/>
      <c r="J1966" s="65" t="str">
        <f>IFERROR(__xludf.DUMMYFUNCTION("""COMPUTED_VALUE"""),"D001218343")</f>
        <v>D001218343</v>
      </c>
      <c r="K1966" s="65" t="str">
        <f>IFERROR(__xludf.DUMMYFUNCTION("""COMPUTED_VALUE"""),"ENTREGADO")</f>
        <v>ENTREGADO</v>
      </c>
      <c r="L1966" s="65" t="str">
        <f>IFERROR(__xludf.DUMMYFUNCTION("""COMPUTED_VALUE"""),"CON RECAUDO")</f>
        <v>CON RECAUDO</v>
      </c>
      <c r="M1966" s="65" t="str">
        <f>IFERROR(__xludf.DUMMYFUNCTION("""COMPUTED_VALUE"""),"GUAYAS")</f>
        <v>GUAYAS</v>
      </c>
      <c r="N1966" s="65" t="str">
        <f>IFERROR(__xludf.DUMMYFUNCTION("""COMPUTED_VALUE"""),"GUAYAQUIL")</f>
        <v>GUAYAQUIL</v>
      </c>
      <c r="O1966" s="65" t="str">
        <f>IFERROR(__xludf.DUMMYFUNCTION("""COMPUTED_VALUE"""),"Sector Puerto santa Ana - Edificio Emporium piso 11 oficina 1104")</f>
        <v>Sector Puerto santa Ana - Edificio Emporium piso 11 oficina 1104</v>
      </c>
      <c r="P1966" s="65"/>
      <c r="Q1966" s="65" t="str">
        <f>IFERROR(__xludf.DUMMYFUNCTION("""COMPUTED_VALUE"""),"GINTRACOM")</f>
        <v>GINTRACOM</v>
      </c>
      <c r="R1966" s="65">
        <f>IFERROR(__xludf.DUMMYFUNCTION("""COMPUTED_VALUE"""),25.0)</f>
        <v>25</v>
      </c>
      <c r="S1966" s="65">
        <f>IFERROR(__xludf.DUMMYFUNCTION("""COMPUTED_VALUE"""),15.07)</f>
        <v>15.07</v>
      </c>
      <c r="T1966" s="65">
        <f>IFERROR(__xludf.DUMMYFUNCTION("""COMPUTED_VALUE"""),4.35)</f>
        <v>4.35</v>
      </c>
      <c r="U1966" s="65">
        <f>IFERROR(__xludf.DUMMYFUNCTION("""COMPUTED_VALUE"""),0.0)</f>
        <v>0</v>
      </c>
      <c r="V1966" s="65">
        <f>IFERROR(__xludf.DUMMYFUNCTION("""COMPUTED_VALUE"""),0.0)</f>
        <v>0</v>
      </c>
      <c r="W1966" s="65">
        <f>IFERROR(__xludf.DUMMYFUNCTION("""COMPUTED_VALUE"""),0.0)</f>
        <v>0</v>
      </c>
      <c r="X1966" s="65">
        <f>IFERROR(__xludf.DUMMYFUNCTION("""COMPUTED_VALUE"""),2.79)</f>
        <v>2.79</v>
      </c>
      <c r="Y1966" s="65">
        <f>IFERROR(__xludf.DUMMYFUNCTION("""COMPUTED_VALUE"""),5.58)</f>
        <v>5.58</v>
      </c>
      <c r="Z1966" s="65">
        <f>IFERROR(__xludf.DUMMYFUNCTION("""COMPUTED_VALUE"""),120732.0)</f>
        <v>120732</v>
      </c>
      <c r="AA1966" s="65" t="str">
        <f>IFERROR(__xludf.DUMMYFUNCTION("""COMPUTED_VALUE"""),"PROV-LMPVT")</f>
        <v>PROV-LMPVT</v>
      </c>
      <c r="AB1966" s="65"/>
      <c r="AC1966" s="65" t="str">
        <f>IFERROR(__xludf.DUMMYFUNCTION("""COMPUTED_VALUE"""),"LIMPIADOR DE PARABRISAS Y VENTANAS")</f>
        <v>LIMPIADOR DE PARABRISAS Y VENTANAS</v>
      </c>
      <c r="AD1966" s="65"/>
      <c r="AE1966" s="65">
        <f>IFERROR(__xludf.DUMMYFUNCTION("""COMPUTED_VALUE"""),2.0)</f>
        <v>2</v>
      </c>
      <c r="AF1966" s="65"/>
      <c r="AG1966" s="65"/>
      <c r="AH1966" s="65"/>
      <c r="AI1966" s="65"/>
      <c r="AJ1966" s="65"/>
      <c r="AK1966" s="65"/>
      <c r="AL1966" s="65"/>
      <c r="AM1966" s="65"/>
      <c r="AN1966" s="65" t="str">
        <f>IFERROR(__xludf.DUMMYFUNCTION("""COMPUTED_VALUE"""),"16:58")</f>
        <v>16:58</v>
      </c>
      <c r="AO1966" s="65" t="str">
        <f>IFERROR(__xludf.DUMMYFUNCTION("""COMPUTED_VALUE"""),"14-01-2026")</f>
        <v>14-01-2026</v>
      </c>
      <c r="AP1966" s="65" t="str">
        <f>IFERROR(__xludf.DUMMYFUNCTION("""COMPUTED_VALUE"""),"ENTREGADA GINTRACOM")</f>
        <v>ENTREGADA GINTRACOM</v>
      </c>
      <c r="AQ1966" s="65" t="str">
        <f>IFERROR(__xludf.DUMMYFUNCTION("""COMPUTED_VALUE"""),"ENTREGADA GINTRACOM")</f>
        <v>ENTREGADA GINTRACOM</v>
      </c>
      <c r="AR1966" s="65"/>
      <c r="AS1966" s="65"/>
      <c r="AT1966" s="65" t="str">
        <f>IFERROR(__xludf.DUMMYFUNCTION("""COMPUTED_VALUE"""),"SHOPIFY")</f>
        <v>SHOPIFY</v>
      </c>
      <c r="AU1966" s="65" t="str">
        <f>IFERROR(__xludf.DUMMYFUNCTION("""COMPUTED_VALUE"""),"IMPORTEX EC")</f>
        <v>IMPORTEX EC</v>
      </c>
      <c r="AV1966" s="65" t="str">
        <f>IFERROR(__xludf.DUMMYFUNCTION("""COMPUTED_VALUE"""),"6408661696556")</f>
        <v>6408661696556</v>
      </c>
      <c r="AW1966" s="65">
        <f>IFERROR(__xludf.DUMMYFUNCTION("""COMPUTED_VALUE"""),5008.0)</f>
        <v>5008</v>
      </c>
      <c r="AX1966" s="65"/>
      <c r="AY1966" s="65" t="str">
        <f>IFERROR(__xludf.DUMMYFUNCTION("""COMPUTED_VALUE"""),"13/01/2026")</f>
        <v>13/01/2026</v>
      </c>
      <c r="AZ1966" s="65"/>
      <c r="BA1966" s="65"/>
    </row>
    <row r="1967">
      <c r="A1967" s="65" t="str">
        <f>IFERROR(__xludf.DUMMYFUNCTION("""COMPUTED_VALUE"""),"27-03-2026")</f>
        <v>27-03-2026</v>
      </c>
      <c r="B1967" s="65">
        <f>IFERROR(__xludf.DUMMYFUNCTION("""COMPUTED_VALUE"""),4113924.0)</f>
        <v>4113924</v>
      </c>
      <c r="C1967" s="65" t="str">
        <f>IFERROR(__xludf.DUMMYFUNCTION("""COMPUTED_VALUE"""),"06:46")</f>
        <v>06:46</v>
      </c>
      <c r="D1967" s="65" t="str">
        <f>IFERROR(__xludf.DUMMYFUNCTION("""COMPUTED_VALUE"""),"12-01-2026")</f>
        <v>12-01-2026</v>
      </c>
      <c r="E1967" s="65" t="str">
        <f>IFERROR(__xludf.DUMMYFUNCTION("""COMPUTED_VALUE"""),"Alba Pumayugra")</f>
        <v>Alba Pumayugra</v>
      </c>
      <c r="F1967" s="65" t="str">
        <f>IFERROR(__xludf.DUMMYFUNCTION("""COMPUTED_VALUE"""),"980297569")</f>
        <v>980297569</v>
      </c>
      <c r="G1967" s="65" t="str">
        <f>IFERROR(__xludf.DUMMYFUNCTION("""COMPUTED_VALUE"""),"charitogavilanez@hotmail.com")</f>
        <v>charitogavilanez@hotmail.com</v>
      </c>
      <c r="H1967" s="65"/>
      <c r="I1967" s="65"/>
      <c r="J1967" s="65"/>
      <c r="K1967" s="65" t="str">
        <f>IFERROR(__xludf.DUMMYFUNCTION("""COMPUTED_VALUE"""),"PENDIENTE CONFIRMACION")</f>
        <v>PENDIENTE CONFIRMACION</v>
      </c>
      <c r="L1967" s="65" t="str">
        <f>IFERROR(__xludf.DUMMYFUNCTION("""COMPUTED_VALUE"""),"CON RECAUDO")</f>
        <v>CON RECAUDO</v>
      </c>
      <c r="M1967" s="65" t="str">
        <f>IFERROR(__xludf.DUMMYFUNCTION("""COMPUTED_VALUE"""),"GUAYAS")</f>
        <v>GUAYAS</v>
      </c>
      <c r="N1967" s="65" t="str">
        <f>IFERROR(__xludf.DUMMYFUNCTION("""COMPUTED_VALUE"""),"NARANJITO")</f>
        <v>NARANJITO</v>
      </c>
      <c r="O1967" s="65" t="str">
        <f>IFERROR(__xludf.DUMMYFUNCTION("""COMPUTED_VALUE"""),"5 de Octubre y 9 de Octubre 01 -")</f>
        <v>5 de Octubre y 9 de Octubre 01 -</v>
      </c>
      <c r="P1967" s="65"/>
      <c r="Q1967" s="65" t="str">
        <f>IFERROR(__xludf.DUMMYFUNCTION("""COMPUTED_VALUE"""),"GINTRACOM")</f>
        <v>GINTRACOM</v>
      </c>
      <c r="R1967" s="65">
        <f>IFERROR(__xludf.DUMMYFUNCTION("""COMPUTED_VALUE"""),20.0)</f>
        <v>20</v>
      </c>
      <c r="S1967" s="65"/>
      <c r="T1967" s="65">
        <f>IFERROR(__xludf.DUMMYFUNCTION("""COMPUTED_VALUE"""),5.76)</f>
        <v>5.76</v>
      </c>
      <c r="U1967" s="65">
        <f>IFERROR(__xludf.DUMMYFUNCTION("""COMPUTED_VALUE"""),0.0)</f>
        <v>0</v>
      </c>
      <c r="V1967" s="65">
        <f>IFERROR(__xludf.DUMMYFUNCTION("""COMPUTED_VALUE"""),0.0)</f>
        <v>0</v>
      </c>
      <c r="W1967" s="65">
        <f>IFERROR(__xludf.DUMMYFUNCTION("""COMPUTED_VALUE"""),0.0)</f>
        <v>0</v>
      </c>
      <c r="X1967" s="65">
        <f>IFERROR(__xludf.DUMMYFUNCTION("""COMPUTED_VALUE"""),2.79)</f>
        <v>2.79</v>
      </c>
      <c r="Y1967" s="65">
        <f>IFERROR(__xludf.DUMMYFUNCTION("""COMPUTED_VALUE"""),2.79)</f>
        <v>2.79</v>
      </c>
      <c r="Z1967" s="65">
        <f>IFERROR(__xludf.DUMMYFUNCTION("""COMPUTED_VALUE"""),120732.0)</f>
        <v>120732</v>
      </c>
      <c r="AA1967" s="65" t="str">
        <f>IFERROR(__xludf.DUMMYFUNCTION("""COMPUTED_VALUE"""),"PROV-LMPVT")</f>
        <v>PROV-LMPVT</v>
      </c>
      <c r="AB1967" s="65"/>
      <c r="AC1967" s="65" t="str">
        <f>IFERROR(__xludf.DUMMYFUNCTION("""COMPUTED_VALUE"""),"LIMPIADOR DE PARABRISAS Y VENTANAS")</f>
        <v>LIMPIADOR DE PARABRISAS Y VENTANAS</v>
      </c>
      <c r="AD1967" s="65"/>
      <c r="AE1967" s="65">
        <f>IFERROR(__xludf.DUMMYFUNCTION("""COMPUTED_VALUE"""),1.0)</f>
        <v>1</v>
      </c>
      <c r="AF1967" s="65"/>
      <c r="AG1967" s="65"/>
      <c r="AH1967" s="65"/>
      <c r="AI1967" s="65"/>
      <c r="AJ1967" s="65"/>
      <c r="AK1967" s="65"/>
      <c r="AL1967" s="65"/>
      <c r="AM1967" s="65"/>
      <c r="AN1967" s="65"/>
      <c r="AO1967" s="65"/>
      <c r="AP1967" s="65"/>
      <c r="AQ1967" s="65"/>
      <c r="AR1967" s="65"/>
      <c r="AS1967" s="65"/>
      <c r="AT1967" s="65" t="str">
        <f>IFERROR(__xludf.DUMMYFUNCTION("""COMPUTED_VALUE"""),"SHOPIFY")</f>
        <v>SHOPIFY</v>
      </c>
      <c r="AU1967" s="65" t="str">
        <f>IFERROR(__xludf.DUMMYFUNCTION("""COMPUTED_VALUE"""),"IMPORTEX EC")</f>
        <v>IMPORTEX EC</v>
      </c>
      <c r="AV1967" s="65" t="str">
        <f>IFERROR(__xludf.DUMMYFUNCTION("""COMPUTED_VALUE"""),"6408656879660")</f>
        <v>6408656879660</v>
      </c>
      <c r="AW1967" s="65">
        <f>IFERROR(__xludf.DUMMYFUNCTION("""COMPUTED_VALUE"""),5007.0)</f>
        <v>5007</v>
      </c>
      <c r="AX1967" s="65"/>
      <c r="AY1967" s="65"/>
      <c r="AZ1967" s="65"/>
      <c r="BA1967" s="65"/>
    </row>
    <row r="1968">
      <c r="A1968" s="65" t="str">
        <f>IFERROR(__xludf.DUMMYFUNCTION("""COMPUTED_VALUE"""),"27-03-2026")</f>
        <v>27-03-2026</v>
      </c>
      <c r="B1968" s="65">
        <f>IFERROR(__xludf.DUMMYFUNCTION("""COMPUTED_VALUE"""),4113923.0)</f>
        <v>4113923</v>
      </c>
      <c r="C1968" s="65" t="str">
        <f>IFERROR(__xludf.DUMMYFUNCTION("""COMPUTED_VALUE"""),"06:46")</f>
        <v>06:46</v>
      </c>
      <c r="D1968" s="65" t="str">
        <f>IFERROR(__xludf.DUMMYFUNCTION("""COMPUTED_VALUE"""),"12-01-2026")</f>
        <v>12-01-2026</v>
      </c>
      <c r="E1968" s="65" t="str">
        <f>IFERROR(__xludf.DUMMYFUNCTION("""COMPUTED_VALUE"""),"Óscar Belalcazar")</f>
        <v>Óscar Belalcazar</v>
      </c>
      <c r="F1968" s="65" t="str">
        <f>IFERROR(__xludf.DUMMYFUNCTION("""COMPUTED_VALUE"""),"969912680")</f>
        <v>969912680</v>
      </c>
      <c r="G1968" s="65" t="str">
        <f>IFERROR(__xludf.DUMMYFUNCTION("""COMPUTED_VALUE"""),"oscarjavierbelalcazar76@gmail.com")</f>
        <v>oscarjavierbelalcazar76@gmail.com</v>
      </c>
      <c r="H1968" s="65"/>
      <c r="I1968" s="65"/>
      <c r="J1968" s="65" t="str">
        <f>IFERROR(__xludf.DUMMYFUNCTION("""COMPUTED_VALUE"""),"D001218344")</f>
        <v>D001218344</v>
      </c>
      <c r="K1968" s="65" t="str">
        <f>IFERROR(__xludf.DUMMYFUNCTION("""COMPUTED_VALUE"""),"ENTREGADO")</f>
        <v>ENTREGADO</v>
      </c>
      <c r="L1968" s="65" t="str">
        <f>IFERROR(__xludf.DUMMYFUNCTION("""COMPUTED_VALUE"""),"CON RECAUDO")</f>
        <v>CON RECAUDO</v>
      </c>
      <c r="M1968" s="65" t="str">
        <f>IFERROR(__xludf.DUMMYFUNCTION("""COMPUTED_VALUE"""),"GUAYAS")</f>
        <v>GUAYAS</v>
      </c>
      <c r="N1968" s="65" t="str">
        <f>IFERROR(__xludf.DUMMYFUNCTION("""COMPUTED_VALUE"""),"GUAYAQUIL")</f>
        <v>GUAYAQUIL</v>
      </c>
      <c r="O1968" s="65" t="str">
        <f>IFERROR(__xludf.DUMMYFUNCTION("""COMPUTED_VALUE"""),"Calle Mendiburo 230 entre Calle Córdoba y Calle Baquerizo Moreno -")</f>
        <v>Calle Mendiburo 230 entre Calle Córdoba y Calle Baquerizo Moreno -</v>
      </c>
      <c r="P1968" s="65"/>
      <c r="Q1968" s="65" t="str">
        <f>IFERROR(__xludf.DUMMYFUNCTION("""COMPUTED_VALUE"""),"GINTRACOM")</f>
        <v>GINTRACOM</v>
      </c>
      <c r="R1968" s="65">
        <f>IFERROR(__xludf.DUMMYFUNCTION("""COMPUTED_VALUE"""),20.0)</f>
        <v>20</v>
      </c>
      <c r="S1968" s="65">
        <f>IFERROR(__xludf.DUMMYFUNCTION("""COMPUTED_VALUE"""),13.06)</f>
        <v>13.06</v>
      </c>
      <c r="T1968" s="65">
        <f>IFERROR(__xludf.DUMMYFUNCTION("""COMPUTED_VALUE"""),4.15)</f>
        <v>4.15</v>
      </c>
      <c r="U1968" s="65">
        <f>IFERROR(__xludf.DUMMYFUNCTION("""COMPUTED_VALUE"""),0.0)</f>
        <v>0</v>
      </c>
      <c r="V1968" s="65">
        <f>IFERROR(__xludf.DUMMYFUNCTION("""COMPUTED_VALUE"""),0.0)</f>
        <v>0</v>
      </c>
      <c r="W1968" s="65">
        <f>IFERROR(__xludf.DUMMYFUNCTION("""COMPUTED_VALUE"""),0.0)</f>
        <v>0</v>
      </c>
      <c r="X1968" s="65">
        <f>IFERROR(__xludf.DUMMYFUNCTION("""COMPUTED_VALUE"""),2.79)</f>
        <v>2.79</v>
      </c>
      <c r="Y1968" s="65">
        <f>IFERROR(__xludf.DUMMYFUNCTION("""COMPUTED_VALUE"""),2.79)</f>
        <v>2.79</v>
      </c>
      <c r="Z1968" s="65">
        <f>IFERROR(__xludf.DUMMYFUNCTION("""COMPUTED_VALUE"""),120732.0)</f>
        <v>120732</v>
      </c>
      <c r="AA1968" s="65" t="str">
        <f>IFERROR(__xludf.DUMMYFUNCTION("""COMPUTED_VALUE"""),"PROV-LMPVT")</f>
        <v>PROV-LMPVT</v>
      </c>
      <c r="AB1968" s="65"/>
      <c r="AC1968" s="65" t="str">
        <f>IFERROR(__xludf.DUMMYFUNCTION("""COMPUTED_VALUE"""),"LIMPIADOR DE PARABRISAS Y VENTANAS")</f>
        <v>LIMPIADOR DE PARABRISAS Y VENTANAS</v>
      </c>
      <c r="AD1968" s="65"/>
      <c r="AE1968" s="65">
        <f>IFERROR(__xludf.DUMMYFUNCTION("""COMPUTED_VALUE"""),1.0)</f>
        <v>1</v>
      </c>
      <c r="AF1968" s="65"/>
      <c r="AG1968" s="65"/>
      <c r="AH1968" s="65"/>
      <c r="AI1968" s="65"/>
      <c r="AJ1968" s="65"/>
      <c r="AK1968" s="65"/>
      <c r="AL1968" s="65"/>
      <c r="AM1968" s="65"/>
      <c r="AN1968" s="65" t="str">
        <f>IFERROR(__xludf.DUMMYFUNCTION("""COMPUTED_VALUE"""),"12:21")</f>
        <v>12:21</v>
      </c>
      <c r="AO1968" s="65" t="str">
        <f>IFERROR(__xludf.DUMMYFUNCTION("""COMPUTED_VALUE"""),"15-01-2026")</f>
        <v>15-01-2026</v>
      </c>
      <c r="AP1968" s="65" t="str">
        <f>IFERROR(__xludf.DUMMYFUNCTION("""COMPUTED_VALUE"""),"ENTREGADA GINTRACOM")</f>
        <v>ENTREGADA GINTRACOM</v>
      </c>
      <c r="AQ1968" s="65" t="str">
        <f>IFERROR(__xludf.DUMMYFUNCTION("""COMPUTED_VALUE"""),"ENTREGADA GINTRACOM")</f>
        <v>ENTREGADA GINTRACOM</v>
      </c>
      <c r="AR1968" s="65"/>
      <c r="AS1968" s="65"/>
      <c r="AT1968" s="65" t="str">
        <f>IFERROR(__xludf.DUMMYFUNCTION("""COMPUTED_VALUE"""),"SHOPIFY")</f>
        <v>SHOPIFY</v>
      </c>
      <c r="AU1968" s="65" t="str">
        <f>IFERROR(__xludf.DUMMYFUNCTION("""COMPUTED_VALUE"""),"IMPORTEX EC")</f>
        <v>IMPORTEX EC</v>
      </c>
      <c r="AV1968" s="65" t="str">
        <f>IFERROR(__xludf.DUMMYFUNCTION("""COMPUTED_VALUE"""),"6408656781356")</f>
        <v>6408656781356</v>
      </c>
      <c r="AW1968" s="65">
        <f>IFERROR(__xludf.DUMMYFUNCTION("""COMPUTED_VALUE"""),5006.0)</f>
        <v>5006</v>
      </c>
      <c r="AX1968" s="65"/>
      <c r="AY1968" s="65" t="str">
        <f>IFERROR(__xludf.DUMMYFUNCTION("""COMPUTED_VALUE"""),"13/01/2026")</f>
        <v>13/01/2026</v>
      </c>
      <c r="AZ1968" s="65"/>
      <c r="BA1968" s="65"/>
    </row>
    <row r="1969">
      <c r="A1969" s="65" t="str">
        <f>IFERROR(__xludf.DUMMYFUNCTION("""COMPUTED_VALUE"""),"27-03-2026")</f>
        <v>27-03-2026</v>
      </c>
      <c r="B1969" s="65">
        <f>IFERROR(__xludf.DUMMYFUNCTION("""COMPUTED_VALUE"""),4113906.0)</f>
        <v>4113906</v>
      </c>
      <c r="C1969" s="65" t="str">
        <f>IFERROR(__xludf.DUMMYFUNCTION("""COMPUTED_VALUE"""),"06:44")</f>
        <v>06:44</v>
      </c>
      <c r="D1969" s="65" t="str">
        <f>IFERROR(__xludf.DUMMYFUNCTION("""COMPUTED_VALUE"""),"12-01-2026")</f>
        <v>12-01-2026</v>
      </c>
      <c r="E1969" s="65" t="str">
        <f>IFERROR(__xludf.DUMMYFUNCTION("""COMPUTED_VALUE"""),"Juan Sebastian Galarza Riofrio")</f>
        <v>Juan Sebastian Galarza Riofrio</v>
      </c>
      <c r="F1969" s="65" t="str">
        <f>IFERROR(__xludf.DUMMYFUNCTION("""COMPUTED_VALUE"""),"983846638")</f>
        <v>983846638</v>
      </c>
      <c r="G1969" s="65" t="str">
        <f>IFERROR(__xludf.DUMMYFUNCTION("""COMPUTED_VALUE"""),"chefsebbastian@gmail.com")</f>
        <v>chefsebbastian@gmail.com</v>
      </c>
      <c r="H1969" s="65"/>
      <c r="I1969" s="65"/>
      <c r="J1969" s="65" t="str">
        <f>IFERROR(__xludf.DUMMYFUNCTION("""COMPUTED_VALUE"""),"D001218346")</f>
        <v>D001218346</v>
      </c>
      <c r="K1969" s="65" t="str">
        <f>IFERROR(__xludf.DUMMYFUNCTION("""COMPUTED_VALUE"""),"ENTREGADO")</f>
        <v>ENTREGADO</v>
      </c>
      <c r="L1969" s="65" t="str">
        <f>IFERROR(__xludf.DUMMYFUNCTION("""COMPUTED_VALUE"""),"CON RECAUDO")</f>
        <v>CON RECAUDO</v>
      </c>
      <c r="M1969" s="65" t="str">
        <f>IFERROR(__xludf.DUMMYFUNCTION("""COMPUTED_VALUE"""),"PICHINCHA")</f>
        <v>PICHINCHA</v>
      </c>
      <c r="N1969" s="65" t="str">
        <f>IFERROR(__xludf.DUMMYFUNCTION("""COMPUTED_VALUE"""),"QUITO")</f>
        <v>QUITO</v>
      </c>
      <c r="O1969" s="65" t="str">
        <f>IFERROR(__xludf.DUMMYFUNCTION("""COMPUTED_VALUE"""),"Rumipamba Conjuntos San Martin - Hernandez de giron  y Pedregal")</f>
        <v>Rumipamba Conjuntos San Martin - Hernandez de giron  y Pedregal</v>
      </c>
      <c r="P1969" s="65"/>
      <c r="Q1969" s="65" t="str">
        <f>IFERROR(__xludf.DUMMYFUNCTION("""COMPUTED_VALUE"""),"GINTRACOM")</f>
        <v>GINTRACOM</v>
      </c>
      <c r="R1969" s="65">
        <f>IFERROR(__xludf.DUMMYFUNCTION("""COMPUTED_VALUE"""),30.0)</f>
        <v>30</v>
      </c>
      <c r="S1969" s="65">
        <f>IFERROR(__xludf.DUMMYFUNCTION("""COMPUTED_VALUE"""),15.47)</f>
        <v>15.47</v>
      </c>
      <c r="T1969" s="65">
        <f>IFERROR(__xludf.DUMMYFUNCTION("""COMPUTED_VALUE"""),6.16)</f>
        <v>6.16</v>
      </c>
      <c r="U1969" s="65">
        <f>IFERROR(__xludf.DUMMYFUNCTION("""COMPUTED_VALUE"""),0.0)</f>
        <v>0</v>
      </c>
      <c r="V1969" s="65">
        <f>IFERROR(__xludf.DUMMYFUNCTION("""COMPUTED_VALUE"""),0.0)</f>
        <v>0</v>
      </c>
      <c r="W1969" s="65">
        <f>IFERROR(__xludf.DUMMYFUNCTION("""COMPUTED_VALUE"""),0.0)</f>
        <v>0</v>
      </c>
      <c r="X1969" s="65">
        <f>IFERROR(__xludf.DUMMYFUNCTION("""COMPUTED_VALUE"""),2.79)</f>
        <v>2.79</v>
      </c>
      <c r="Y1969" s="65">
        <f>IFERROR(__xludf.DUMMYFUNCTION("""COMPUTED_VALUE"""),8.37)</f>
        <v>8.37</v>
      </c>
      <c r="Z1969" s="65">
        <f>IFERROR(__xludf.DUMMYFUNCTION("""COMPUTED_VALUE"""),120732.0)</f>
        <v>120732</v>
      </c>
      <c r="AA1969" s="65" t="str">
        <f>IFERROR(__xludf.DUMMYFUNCTION("""COMPUTED_VALUE"""),"PROV-LMPVT")</f>
        <v>PROV-LMPVT</v>
      </c>
      <c r="AB1969" s="65"/>
      <c r="AC1969" s="65" t="str">
        <f>IFERROR(__xludf.DUMMYFUNCTION("""COMPUTED_VALUE"""),"LIMPIADOR DE PARABRISAS Y VENTANAS")</f>
        <v>LIMPIADOR DE PARABRISAS Y VENTANAS</v>
      </c>
      <c r="AD1969" s="65"/>
      <c r="AE1969" s="65">
        <f>IFERROR(__xludf.DUMMYFUNCTION("""COMPUTED_VALUE"""),3.0)</f>
        <v>3</v>
      </c>
      <c r="AF1969" s="65"/>
      <c r="AG1969" s="65"/>
      <c r="AH1969" s="65"/>
      <c r="AI1969" s="65"/>
      <c r="AJ1969" s="65"/>
      <c r="AK1969" s="65"/>
      <c r="AL1969" s="65"/>
      <c r="AM1969" s="65"/>
      <c r="AN1969" s="65" t="str">
        <f>IFERROR(__xludf.DUMMYFUNCTION("""COMPUTED_VALUE"""),"15:42")</f>
        <v>15:42</v>
      </c>
      <c r="AO1969" s="65" t="str">
        <f>IFERROR(__xludf.DUMMYFUNCTION("""COMPUTED_VALUE"""),"16-01-2026")</f>
        <v>16-01-2026</v>
      </c>
      <c r="AP1969" s="65" t="str">
        <f>IFERROR(__xludf.DUMMYFUNCTION("""COMPUTED_VALUE"""),"ENTREGADA GINTRACOM")</f>
        <v>ENTREGADA GINTRACOM</v>
      </c>
      <c r="AQ1969" s="65" t="str">
        <f>IFERROR(__xludf.DUMMYFUNCTION("""COMPUTED_VALUE"""),"ENTREGADA GINTRACOM")</f>
        <v>ENTREGADA GINTRACOM</v>
      </c>
      <c r="AR1969" s="65"/>
      <c r="AS1969" s="65"/>
      <c r="AT1969" s="65" t="str">
        <f>IFERROR(__xludf.DUMMYFUNCTION("""COMPUTED_VALUE"""),"SHOPIFY")</f>
        <v>SHOPIFY</v>
      </c>
      <c r="AU1969" s="65" t="str">
        <f>IFERROR(__xludf.DUMMYFUNCTION("""COMPUTED_VALUE"""),"IMPORTEX EC")</f>
        <v>IMPORTEX EC</v>
      </c>
      <c r="AV1969" s="65" t="str">
        <f>IFERROR(__xludf.DUMMYFUNCTION("""COMPUTED_VALUE"""),"6408655339564")</f>
        <v>6408655339564</v>
      </c>
      <c r="AW1969" s="65">
        <f>IFERROR(__xludf.DUMMYFUNCTION("""COMPUTED_VALUE"""),5005.0)</f>
        <v>5005</v>
      </c>
      <c r="AX1969" s="65"/>
      <c r="AY1969" s="65" t="str">
        <f>IFERROR(__xludf.DUMMYFUNCTION("""COMPUTED_VALUE"""),"13/01/2026")</f>
        <v>13/01/2026</v>
      </c>
      <c r="AZ1969" s="65"/>
      <c r="BA1969" s="65"/>
    </row>
    <row r="1970">
      <c r="A1970" s="65" t="str">
        <f>IFERROR(__xludf.DUMMYFUNCTION("""COMPUTED_VALUE"""),"27-03-2026")</f>
        <v>27-03-2026</v>
      </c>
      <c r="B1970" s="65">
        <f>IFERROR(__xludf.DUMMYFUNCTION("""COMPUTED_VALUE"""),4113808.0)</f>
        <v>4113808</v>
      </c>
      <c r="C1970" s="65" t="str">
        <f>IFERROR(__xludf.DUMMYFUNCTION("""COMPUTED_VALUE"""),"06:35")</f>
        <v>06:35</v>
      </c>
      <c r="D1970" s="65" t="str">
        <f>IFERROR(__xludf.DUMMYFUNCTION("""COMPUTED_VALUE"""),"12-01-2026")</f>
        <v>12-01-2026</v>
      </c>
      <c r="E1970" s="65" t="str">
        <f>IFERROR(__xludf.DUMMYFUNCTION("""COMPUTED_VALUE"""),"María del Carmen Soria Valle")</f>
        <v>María del Carmen Soria Valle</v>
      </c>
      <c r="F1970" s="65" t="str">
        <f>IFERROR(__xludf.DUMMYFUNCTION("""COMPUTED_VALUE"""),"987035600")</f>
        <v>987035600</v>
      </c>
      <c r="G1970" s="65" t="str">
        <f>IFERROR(__xludf.DUMMYFUNCTION("""COMPUTED_VALUE"""),"marastinpuyo@gmail.com")</f>
        <v>marastinpuyo@gmail.com</v>
      </c>
      <c r="H1970" s="65"/>
      <c r="I1970" s="65"/>
      <c r="J1970" s="65"/>
      <c r="K1970" s="65" t="str">
        <f>IFERROR(__xludf.DUMMYFUNCTION("""COMPUTED_VALUE"""),"PENDIENTE CONFIRMACION")</f>
        <v>PENDIENTE CONFIRMACION</v>
      </c>
      <c r="L1970" s="65" t="str">
        <f>IFERROR(__xludf.DUMMYFUNCTION("""COMPUTED_VALUE"""),"CON RECAUDO")</f>
        <v>CON RECAUDO</v>
      </c>
      <c r="M1970" s="65" t="str">
        <f>IFERROR(__xludf.DUMMYFUNCTION("""COMPUTED_VALUE"""),"PASTAZA")</f>
        <v>PASTAZA</v>
      </c>
      <c r="N1970" s="65" t="str">
        <f>IFERROR(__xludf.DUMMYFUNCTION("""COMPUTED_VALUE"""),"PUYO")</f>
        <v>PUYO</v>
      </c>
      <c r="O1970" s="65" t="str">
        <f>IFERROR(__xludf.DUMMYFUNCTION("""COMPUTED_VALUE"""),"Ceslao Marin Y Atahualpa Sector La Y Plata Baja En Almacen Marastin Frete Banecuador # 460 -")</f>
        <v>Ceslao Marin Y Atahualpa Sector La Y Plata Baja En Almacen Marastin Frete Banecuador # 460 -</v>
      </c>
      <c r="P1970" s="65"/>
      <c r="Q1970" s="65" t="str">
        <f>IFERROR(__xludf.DUMMYFUNCTION("""COMPUTED_VALUE"""),"GINTRACOM")</f>
        <v>GINTRACOM</v>
      </c>
      <c r="R1970" s="65">
        <f>IFERROR(__xludf.DUMMYFUNCTION("""COMPUTED_VALUE"""),25.0)</f>
        <v>25</v>
      </c>
      <c r="S1970" s="65"/>
      <c r="T1970" s="65">
        <f>IFERROR(__xludf.DUMMYFUNCTION("""COMPUTED_VALUE"""),5.96)</f>
        <v>5.96</v>
      </c>
      <c r="U1970" s="65">
        <f>IFERROR(__xludf.DUMMYFUNCTION("""COMPUTED_VALUE"""),0.0)</f>
        <v>0</v>
      </c>
      <c r="V1970" s="65">
        <f>IFERROR(__xludf.DUMMYFUNCTION("""COMPUTED_VALUE"""),0.0)</f>
        <v>0</v>
      </c>
      <c r="W1970" s="65">
        <f>IFERROR(__xludf.DUMMYFUNCTION("""COMPUTED_VALUE"""),0.0)</f>
        <v>0</v>
      </c>
      <c r="X1970" s="65">
        <f>IFERROR(__xludf.DUMMYFUNCTION("""COMPUTED_VALUE"""),2.79)</f>
        <v>2.79</v>
      </c>
      <c r="Y1970" s="65">
        <f>IFERROR(__xludf.DUMMYFUNCTION("""COMPUTED_VALUE"""),5.58)</f>
        <v>5.58</v>
      </c>
      <c r="Z1970" s="65">
        <f>IFERROR(__xludf.DUMMYFUNCTION("""COMPUTED_VALUE"""),120732.0)</f>
        <v>120732</v>
      </c>
      <c r="AA1970" s="65" t="str">
        <f>IFERROR(__xludf.DUMMYFUNCTION("""COMPUTED_VALUE"""),"PROV-LMPVT")</f>
        <v>PROV-LMPVT</v>
      </c>
      <c r="AB1970" s="65"/>
      <c r="AC1970" s="65" t="str">
        <f>IFERROR(__xludf.DUMMYFUNCTION("""COMPUTED_VALUE"""),"LIMPIADOR DE PARABRISAS Y VENTANAS")</f>
        <v>LIMPIADOR DE PARABRISAS Y VENTANAS</v>
      </c>
      <c r="AD1970" s="65"/>
      <c r="AE1970" s="65">
        <f>IFERROR(__xludf.DUMMYFUNCTION("""COMPUTED_VALUE"""),2.0)</f>
        <v>2</v>
      </c>
      <c r="AF1970" s="65"/>
      <c r="AG1970" s="65"/>
      <c r="AH1970" s="65"/>
      <c r="AI1970" s="65"/>
      <c r="AJ1970" s="65"/>
      <c r="AK1970" s="65"/>
      <c r="AL1970" s="65"/>
      <c r="AM1970" s="65"/>
      <c r="AN1970" s="65"/>
      <c r="AO1970" s="65"/>
      <c r="AP1970" s="65"/>
      <c r="AQ1970" s="65"/>
      <c r="AR1970" s="65"/>
      <c r="AS1970" s="65"/>
      <c r="AT1970" s="65" t="str">
        <f>IFERROR(__xludf.DUMMYFUNCTION("""COMPUTED_VALUE"""),"SHOPIFY")</f>
        <v>SHOPIFY</v>
      </c>
      <c r="AU1970" s="65" t="str">
        <f>IFERROR(__xludf.DUMMYFUNCTION("""COMPUTED_VALUE"""),"IMPORTEX EC")</f>
        <v>IMPORTEX EC</v>
      </c>
      <c r="AV1970" s="65" t="str">
        <f>IFERROR(__xludf.DUMMYFUNCTION("""COMPUTED_VALUE"""),"6408647639084")</f>
        <v>6408647639084</v>
      </c>
      <c r="AW1970" s="65">
        <f>IFERROR(__xludf.DUMMYFUNCTION("""COMPUTED_VALUE"""),5004.0)</f>
        <v>5004</v>
      </c>
      <c r="AX1970" s="65"/>
      <c r="AY1970" s="65"/>
      <c r="AZ1970" s="65"/>
      <c r="BA1970" s="65"/>
    </row>
    <row r="1971">
      <c r="A1971" s="65" t="str">
        <f>IFERROR(__xludf.DUMMYFUNCTION("""COMPUTED_VALUE"""),"27-03-2026")</f>
        <v>27-03-2026</v>
      </c>
      <c r="B1971" s="65">
        <f>IFERROR(__xludf.DUMMYFUNCTION("""COMPUTED_VALUE"""),4113709.0)</f>
        <v>4113709</v>
      </c>
      <c r="C1971" s="65" t="str">
        <f>IFERROR(__xludf.DUMMYFUNCTION("""COMPUTED_VALUE"""),"06:15")</f>
        <v>06:15</v>
      </c>
      <c r="D1971" s="65" t="str">
        <f>IFERROR(__xludf.DUMMYFUNCTION("""COMPUTED_VALUE"""),"12-01-2026")</f>
        <v>12-01-2026</v>
      </c>
      <c r="E1971" s="65" t="str">
        <f>IFERROR(__xludf.DUMMYFUNCTION("""COMPUTED_VALUE"""),"Jose manuel campo guajan")</f>
        <v>Jose manuel campo guajan</v>
      </c>
      <c r="F1971" s="65" t="str">
        <f>IFERROR(__xludf.DUMMYFUNCTION("""COMPUTED_VALUE"""),"994709910")</f>
        <v>994709910</v>
      </c>
      <c r="G1971" s="65"/>
      <c r="H1971" s="65"/>
      <c r="I1971" s="65"/>
      <c r="J1971" s="65"/>
      <c r="K1971" s="65" t="str">
        <f>IFERROR(__xludf.DUMMYFUNCTION("""COMPUTED_VALUE"""),"PENDIENTE CONFIRMACION")</f>
        <v>PENDIENTE CONFIRMACION</v>
      </c>
      <c r="L1971" s="65" t="str">
        <f>IFERROR(__xludf.DUMMYFUNCTION("""COMPUTED_VALUE"""),"CON RECAUDO")</f>
        <v>CON RECAUDO</v>
      </c>
      <c r="M1971" s="65" t="str">
        <f>IFERROR(__xludf.DUMMYFUNCTION("""COMPUTED_VALUE"""),"IMBABURA")</f>
        <v>IMBABURA</v>
      </c>
      <c r="N1971" s="65" t="str">
        <f>IFERROR(__xludf.DUMMYFUNCTION("""COMPUTED_VALUE"""),"OTAVALO")</f>
        <v>OTAVALO</v>
      </c>
      <c r="O1971" s="65" t="str">
        <f>IFERROR(__xludf.DUMMYFUNCTION("""COMPUTED_VALUE"""),"Por calle bulivar cumunidad imbabuela alto -")</f>
        <v>Por calle bulivar cumunidad imbabuela alto -</v>
      </c>
      <c r="P1971" s="65"/>
      <c r="Q1971" s="65" t="str">
        <f>IFERROR(__xludf.DUMMYFUNCTION("""COMPUTED_VALUE"""),"GINTRACOM")</f>
        <v>GINTRACOM</v>
      </c>
      <c r="R1971" s="65">
        <f>IFERROR(__xludf.DUMMYFUNCTION("""COMPUTED_VALUE"""),20.0)</f>
        <v>20</v>
      </c>
      <c r="S1971" s="65"/>
      <c r="T1971" s="65">
        <f>IFERROR(__xludf.DUMMYFUNCTION("""COMPUTED_VALUE"""),5.76)</f>
        <v>5.76</v>
      </c>
      <c r="U1971" s="65">
        <f>IFERROR(__xludf.DUMMYFUNCTION("""COMPUTED_VALUE"""),0.0)</f>
        <v>0</v>
      </c>
      <c r="V1971" s="65">
        <f>IFERROR(__xludf.DUMMYFUNCTION("""COMPUTED_VALUE"""),0.0)</f>
        <v>0</v>
      </c>
      <c r="W1971" s="65">
        <f>IFERROR(__xludf.DUMMYFUNCTION("""COMPUTED_VALUE"""),0.0)</f>
        <v>0</v>
      </c>
      <c r="X1971" s="65">
        <f>IFERROR(__xludf.DUMMYFUNCTION("""COMPUTED_VALUE"""),2.79)</f>
        <v>2.79</v>
      </c>
      <c r="Y1971" s="65">
        <f>IFERROR(__xludf.DUMMYFUNCTION("""COMPUTED_VALUE"""),2.79)</f>
        <v>2.79</v>
      </c>
      <c r="Z1971" s="65">
        <f>IFERROR(__xludf.DUMMYFUNCTION("""COMPUTED_VALUE"""),120732.0)</f>
        <v>120732</v>
      </c>
      <c r="AA1971" s="65" t="str">
        <f>IFERROR(__xludf.DUMMYFUNCTION("""COMPUTED_VALUE"""),"PROV-LMPVT")</f>
        <v>PROV-LMPVT</v>
      </c>
      <c r="AB1971" s="65"/>
      <c r="AC1971" s="65" t="str">
        <f>IFERROR(__xludf.DUMMYFUNCTION("""COMPUTED_VALUE"""),"LIMPIADOR DE PARABRISAS Y VENTANAS")</f>
        <v>LIMPIADOR DE PARABRISAS Y VENTANAS</v>
      </c>
      <c r="AD1971" s="65"/>
      <c r="AE1971" s="65">
        <f>IFERROR(__xludf.DUMMYFUNCTION("""COMPUTED_VALUE"""),1.0)</f>
        <v>1</v>
      </c>
      <c r="AF1971" s="65"/>
      <c r="AG1971" s="65"/>
      <c r="AH1971" s="65"/>
      <c r="AI1971" s="65"/>
      <c r="AJ1971" s="65"/>
      <c r="AK1971" s="65"/>
      <c r="AL1971" s="65"/>
      <c r="AM1971" s="65"/>
      <c r="AN1971" s="65"/>
      <c r="AO1971" s="65"/>
      <c r="AP1971" s="65"/>
      <c r="AQ1971" s="65"/>
      <c r="AR1971" s="65"/>
      <c r="AS1971" s="65"/>
      <c r="AT1971" s="65" t="str">
        <f>IFERROR(__xludf.DUMMYFUNCTION("""COMPUTED_VALUE"""),"SHOPIFY")</f>
        <v>SHOPIFY</v>
      </c>
      <c r="AU1971" s="65" t="str">
        <f>IFERROR(__xludf.DUMMYFUNCTION("""COMPUTED_VALUE"""),"IMPORTEX EC")</f>
        <v>IMPORTEX EC</v>
      </c>
      <c r="AV1971" s="65" t="str">
        <f>IFERROR(__xludf.DUMMYFUNCTION("""COMPUTED_VALUE"""),"6408634236972")</f>
        <v>6408634236972</v>
      </c>
      <c r="AW1971" s="65">
        <f>IFERROR(__xludf.DUMMYFUNCTION("""COMPUTED_VALUE"""),5003.0)</f>
        <v>5003</v>
      </c>
      <c r="AX1971" s="65"/>
      <c r="AY1971" s="65"/>
      <c r="AZ1971" s="65"/>
      <c r="BA1971" s="65"/>
    </row>
    <row r="1972">
      <c r="A1972" s="65" t="str">
        <f>IFERROR(__xludf.DUMMYFUNCTION("""COMPUTED_VALUE"""),"27-03-2026")</f>
        <v>27-03-2026</v>
      </c>
      <c r="B1972" s="65">
        <f>IFERROR(__xludf.DUMMYFUNCTION("""COMPUTED_VALUE"""),4113614.0)</f>
        <v>4113614</v>
      </c>
      <c r="C1972" s="65" t="str">
        <f>IFERROR(__xludf.DUMMYFUNCTION("""COMPUTED_VALUE"""),"05:57")</f>
        <v>05:57</v>
      </c>
      <c r="D1972" s="65" t="str">
        <f>IFERROR(__xludf.DUMMYFUNCTION("""COMPUTED_VALUE"""),"12-01-2026")</f>
        <v>12-01-2026</v>
      </c>
      <c r="E1972" s="65" t="str">
        <f>IFERROR(__xludf.DUMMYFUNCTION("""COMPUTED_VALUE"""),"Ramiro Analuiza")</f>
        <v>Ramiro Analuiza</v>
      </c>
      <c r="F1972" s="65" t="str">
        <f>IFERROR(__xludf.DUMMYFUNCTION("""COMPUTED_VALUE"""),"998714010")</f>
        <v>998714010</v>
      </c>
      <c r="G1972" s="65" t="str">
        <f>IFERROR(__xludf.DUMMYFUNCTION("""COMPUTED_VALUE"""),"ramiroanaluiza76@gmail.com")</f>
        <v>ramiroanaluiza76@gmail.com</v>
      </c>
      <c r="H1972" s="65"/>
      <c r="I1972" s="65"/>
      <c r="J1972" s="65" t="str">
        <f>IFERROR(__xludf.DUMMYFUNCTION("""COMPUTED_VALUE"""),"D001218348")</f>
        <v>D001218348</v>
      </c>
      <c r="K1972" s="65" t="str">
        <f>IFERROR(__xludf.DUMMYFUNCTION("""COMPUTED_VALUE"""),"DEVOLUCION")</f>
        <v>DEVOLUCION</v>
      </c>
      <c r="L1972" s="65" t="str">
        <f>IFERROR(__xludf.DUMMYFUNCTION("""COMPUTED_VALUE"""),"CON RECAUDO")</f>
        <v>CON RECAUDO</v>
      </c>
      <c r="M1972" s="65" t="str">
        <f>IFERROR(__xludf.DUMMYFUNCTION("""COMPUTED_VALUE"""),"TUNGURAHUA")</f>
        <v>TUNGURAHUA</v>
      </c>
      <c r="N1972" s="65" t="str">
        <f>IFERROR(__xludf.DUMMYFUNCTION("""COMPUTED_VALUE"""),"AMBATO")</f>
        <v>AMBATO</v>
      </c>
      <c r="O1972" s="65" t="str">
        <f>IFERROR(__xludf.DUMMYFUNCTION("""COMPUTED_VALUE"""),"Av. Los Atis y Cuero y Caicedo Una cuadra más abajo del redondel del Colegio La Salle -")</f>
        <v>Av. Los Atis y Cuero y Caicedo Una cuadra más abajo del redondel del Colegio La Salle -</v>
      </c>
      <c r="P1972" s="65"/>
      <c r="Q1972" s="65" t="str">
        <f>IFERROR(__xludf.DUMMYFUNCTION("""COMPUTED_VALUE"""),"GINTRACOM")</f>
        <v>GINTRACOM</v>
      </c>
      <c r="R1972" s="65">
        <f>IFERROR(__xludf.DUMMYFUNCTION("""COMPUTED_VALUE"""),20.0)</f>
        <v>20</v>
      </c>
      <c r="S1972" s="65"/>
      <c r="T1972" s="65">
        <f>IFERROR(__xludf.DUMMYFUNCTION("""COMPUTED_VALUE"""),5.76)</f>
        <v>5.76</v>
      </c>
      <c r="U1972" s="65">
        <f>IFERROR(__xludf.DUMMYFUNCTION("""COMPUTED_VALUE"""),0.0)</f>
        <v>0</v>
      </c>
      <c r="V1972" s="65">
        <f>IFERROR(__xludf.DUMMYFUNCTION("""COMPUTED_VALUE"""),0.0)</f>
        <v>0</v>
      </c>
      <c r="W1972" s="65">
        <f>IFERROR(__xludf.DUMMYFUNCTION("""COMPUTED_VALUE"""),0.0)</f>
        <v>0</v>
      </c>
      <c r="X1972" s="65">
        <f>IFERROR(__xludf.DUMMYFUNCTION("""COMPUTED_VALUE"""),2.79)</f>
        <v>2.79</v>
      </c>
      <c r="Y1972" s="65">
        <f>IFERROR(__xludf.DUMMYFUNCTION("""COMPUTED_VALUE"""),2.79)</f>
        <v>2.79</v>
      </c>
      <c r="Z1972" s="65">
        <f>IFERROR(__xludf.DUMMYFUNCTION("""COMPUTED_VALUE"""),120732.0)</f>
        <v>120732</v>
      </c>
      <c r="AA1972" s="65" t="str">
        <f>IFERROR(__xludf.DUMMYFUNCTION("""COMPUTED_VALUE"""),"PROV-LMPVT")</f>
        <v>PROV-LMPVT</v>
      </c>
      <c r="AB1972" s="65"/>
      <c r="AC1972" s="65" t="str">
        <f>IFERROR(__xludf.DUMMYFUNCTION("""COMPUTED_VALUE"""),"LIMPIADOR DE PARABRISAS Y VENTANAS")</f>
        <v>LIMPIADOR DE PARABRISAS Y VENTANAS</v>
      </c>
      <c r="AD1972" s="65"/>
      <c r="AE1972" s="65">
        <f>IFERROR(__xludf.DUMMYFUNCTION("""COMPUTED_VALUE"""),1.0)</f>
        <v>1</v>
      </c>
      <c r="AF1972" s="65" t="str">
        <f>IFERROR(__xludf.DUMMYFUNCTION("""COMPUTED_VALUE"""),"DESTINATARIO NO CONTESTA LLAMADAS NI WHATSAPP")</f>
        <v>DESTINATARIO NO CONTESTA LLAMADAS NI WHATSAPP</v>
      </c>
      <c r="AG1972" s="65" t="str">
        <f>IFERROR(__xludf.DUMMYFUNCTION("""COMPUTED_VALUE"""),"NO")</f>
        <v>NO</v>
      </c>
      <c r="AH1972" s="65" t="str">
        <f>IFERROR(__xludf.DUMMYFUNCTION("""COMPUTED_VALUE"""),"09:00")</f>
        <v>09:00</v>
      </c>
      <c r="AI1972" s="65" t="str">
        <f>IFERROR(__xludf.DUMMYFUNCTION("""COMPUTED_VALUE"""),"23-01-2026")</f>
        <v>23-01-2026</v>
      </c>
      <c r="AJ1972" s="65"/>
      <c r="AK1972" s="65"/>
      <c r="AL1972" s="65"/>
      <c r="AM1972" s="65"/>
      <c r="AN1972" s="65" t="str">
        <f>IFERROR(__xludf.DUMMYFUNCTION("""COMPUTED_VALUE"""),"09:53")</f>
        <v>09:53</v>
      </c>
      <c r="AO1972" s="65" t="str">
        <f>IFERROR(__xludf.DUMMYFUNCTION("""COMPUTED_VALUE"""),"07-02-2026")</f>
        <v>07-02-2026</v>
      </c>
      <c r="AP1972" s="65" t="str">
        <f>IFERROR(__xludf.DUMMYFUNCTION("""COMPUTED_VALUE"""),"DEV CONFIRMADA POR BODEGA")</f>
        <v>DEV CONFIRMADA POR BODEGA</v>
      </c>
      <c r="AQ1972" s="65"/>
      <c r="AR1972" s="65" t="str">
        <f>IFERROR(__xludf.DUMMYFUNCTION("""COMPUTED_VALUE"""),"Gestionado por: Moran Daniel, email:danielmorga2005@gmail.com, total de productos en la orden: 1")</f>
        <v>Gestionado por: Moran Daniel, email:danielmorga2005@gmail.com, total de productos en la orden: 1</v>
      </c>
      <c r="AS1972" s="65"/>
      <c r="AT1972" s="65" t="str">
        <f>IFERROR(__xludf.DUMMYFUNCTION("""COMPUTED_VALUE"""),"SHOPIFY")</f>
        <v>SHOPIFY</v>
      </c>
      <c r="AU1972" s="65" t="str">
        <f>IFERROR(__xludf.DUMMYFUNCTION("""COMPUTED_VALUE"""),"IMPORTEX EC")</f>
        <v>IMPORTEX EC</v>
      </c>
      <c r="AV1972" s="65" t="str">
        <f>IFERROR(__xludf.DUMMYFUNCTION("""COMPUTED_VALUE"""),"6408624570412")</f>
        <v>6408624570412</v>
      </c>
      <c r="AW1972" s="65">
        <f>IFERROR(__xludf.DUMMYFUNCTION("""COMPUTED_VALUE"""),5002.0)</f>
        <v>5002</v>
      </c>
      <c r="AX1972" s="65"/>
      <c r="AY1972" s="65" t="str">
        <f>IFERROR(__xludf.DUMMYFUNCTION("""COMPUTED_VALUE"""),"13/01/2026")</f>
        <v>13/01/2026</v>
      </c>
      <c r="AZ1972" s="65"/>
      <c r="BA1972" s="65"/>
    </row>
    <row r="1973">
      <c r="A1973" s="65" t="str">
        <f>IFERROR(__xludf.DUMMYFUNCTION("""COMPUTED_VALUE"""),"27-03-2026")</f>
        <v>27-03-2026</v>
      </c>
      <c r="B1973" s="65">
        <f>IFERROR(__xludf.DUMMYFUNCTION("""COMPUTED_VALUE"""),4113567.0)</f>
        <v>4113567</v>
      </c>
      <c r="C1973" s="65" t="str">
        <f>IFERROR(__xludf.DUMMYFUNCTION("""COMPUTED_VALUE"""),"05:45")</f>
        <v>05:45</v>
      </c>
      <c r="D1973" s="65" t="str">
        <f>IFERROR(__xludf.DUMMYFUNCTION("""COMPUTED_VALUE"""),"12-01-2026")</f>
        <v>12-01-2026</v>
      </c>
      <c r="E1973" s="65" t="str">
        <f>IFERROR(__xludf.DUMMYFUNCTION("""COMPUTED_VALUE"""),"Wilber Mora")</f>
        <v>Wilber Mora</v>
      </c>
      <c r="F1973" s="65" t="str">
        <f>IFERROR(__xludf.DUMMYFUNCTION("""COMPUTED_VALUE"""),"997895829")</f>
        <v>997895829</v>
      </c>
      <c r="G1973" s="65" t="str">
        <f>IFERROR(__xludf.DUMMYFUNCTION("""COMPUTED_VALUE"""),"wmoraalay@gmail.com")</f>
        <v>wmoraalay@gmail.com</v>
      </c>
      <c r="H1973" s="65"/>
      <c r="I1973" s="65"/>
      <c r="J1973" s="65" t="str">
        <f>IFERROR(__xludf.DUMMYFUNCTION("""COMPUTED_VALUE"""),"186966911")</f>
        <v>186966911</v>
      </c>
      <c r="K1973" s="65" t="str">
        <f>IFERROR(__xludf.DUMMYFUNCTION("""COMPUTED_VALUE"""),"ENTREGADO")</f>
        <v>ENTREGADO</v>
      </c>
      <c r="L1973" s="65" t="str">
        <f>IFERROR(__xludf.DUMMYFUNCTION("""COMPUTED_VALUE"""),"CON RECAUDO")</f>
        <v>CON RECAUDO</v>
      </c>
      <c r="M1973" s="65" t="str">
        <f>IFERROR(__xludf.DUMMYFUNCTION("""COMPUTED_VALUE"""),"MANABI")</f>
        <v>MANABI</v>
      </c>
      <c r="N1973" s="65" t="str">
        <f>IFERROR(__xludf.DUMMYFUNCTION("""COMPUTED_VALUE"""),"SANTA ANA (MANABI)")</f>
        <v>SANTA ANA (MANABI)</v>
      </c>
      <c r="O1973" s="65" t="str">
        <f>IFERROR(__xludf.DUMMYFUNCTION("""COMPUTED_VALUE"""),"Calle Universi Moreira 17 de Abril -")</f>
        <v>Calle Universi Moreira 17 de Abril -</v>
      </c>
      <c r="P1973" s="65"/>
      <c r="Q1973" s="65" t="str">
        <f>IFERROR(__xludf.DUMMYFUNCTION("""COMPUTED_VALUE"""),"SERVIENTREGA")</f>
        <v>SERVIENTREGA</v>
      </c>
      <c r="R1973" s="65">
        <f>IFERROR(__xludf.DUMMYFUNCTION("""COMPUTED_VALUE"""),25.0)</f>
        <v>25</v>
      </c>
      <c r="S1973" s="65">
        <f>IFERROR(__xludf.DUMMYFUNCTION("""COMPUTED_VALUE"""),11.67)</f>
        <v>11.67</v>
      </c>
      <c r="T1973" s="65">
        <f>IFERROR(__xludf.DUMMYFUNCTION("""COMPUTED_VALUE"""),7.75)</f>
        <v>7.75</v>
      </c>
      <c r="U1973" s="65">
        <f>IFERROR(__xludf.DUMMYFUNCTION("""COMPUTED_VALUE"""),0.0)</f>
        <v>0</v>
      </c>
      <c r="V1973" s="65">
        <f>IFERROR(__xludf.DUMMYFUNCTION("""COMPUTED_VALUE"""),0.0)</f>
        <v>0</v>
      </c>
      <c r="W1973" s="65">
        <f>IFERROR(__xludf.DUMMYFUNCTION("""COMPUTED_VALUE"""),0.0)</f>
        <v>0</v>
      </c>
      <c r="X1973" s="65">
        <f>IFERROR(__xludf.DUMMYFUNCTION("""COMPUTED_VALUE"""),2.79)</f>
        <v>2.79</v>
      </c>
      <c r="Y1973" s="65">
        <f>IFERROR(__xludf.DUMMYFUNCTION("""COMPUTED_VALUE"""),5.58)</f>
        <v>5.58</v>
      </c>
      <c r="Z1973" s="65">
        <f>IFERROR(__xludf.DUMMYFUNCTION("""COMPUTED_VALUE"""),120732.0)</f>
        <v>120732</v>
      </c>
      <c r="AA1973" s="65" t="str">
        <f>IFERROR(__xludf.DUMMYFUNCTION("""COMPUTED_VALUE"""),"PROV-LMPVT")</f>
        <v>PROV-LMPVT</v>
      </c>
      <c r="AB1973" s="65"/>
      <c r="AC1973" s="65" t="str">
        <f>IFERROR(__xludf.DUMMYFUNCTION("""COMPUTED_VALUE"""),"LIMPIADOR DE PARABRISAS Y VENTANAS")</f>
        <v>LIMPIADOR DE PARABRISAS Y VENTANAS</v>
      </c>
      <c r="AD1973" s="65"/>
      <c r="AE1973" s="65">
        <f>IFERROR(__xludf.DUMMYFUNCTION("""COMPUTED_VALUE"""),2.0)</f>
        <v>2</v>
      </c>
      <c r="AF1973" s="65"/>
      <c r="AG1973" s="65"/>
      <c r="AH1973" s="65"/>
      <c r="AI1973" s="65"/>
      <c r="AJ1973" s="65"/>
      <c r="AK1973" s="65"/>
      <c r="AL1973" s="65"/>
      <c r="AM1973" s="65"/>
      <c r="AN1973" s="65" t="str">
        <f>IFERROR(__xludf.DUMMYFUNCTION("""COMPUTED_VALUE"""),"01:07")</f>
        <v>01:07</v>
      </c>
      <c r="AO1973" s="65" t="str">
        <f>IFERROR(__xludf.DUMMYFUNCTION("""COMPUTED_VALUE"""),"21-01-2026")</f>
        <v>21-01-2026</v>
      </c>
      <c r="AP1973" s="65" t="str">
        <f>IFERROR(__xludf.DUMMYFUNCTION("""COMPUTED_VALUE"""),"Reportado Entregado en Agencia SANTA ANA (MANABI)_FCO. DE P.")</f>
        <v>Reportado Entregado en Agencia SANTA ANA (MANABI)_FCO. DE P.</v>
      </c>
      <c r="AQ1973" s="65" t="str">
        <f>IFERROR(__xludf.DUMMYFUNCTION("""COMPUTED_VALUE"""),"{}")</f>
        <v>{}</v>
      </c>
      <c r="AR1973" s="65"/>
      <c r="AS1973" s="65"/>
      <c r="AT1973" s="65" t="str">
        <f>IFERROR(__xludf.DUMMYFUNCTION("""COMPUTED_VALUE"""),"SHOPIFY")</f>
        <v>SHOPIFY</v>
      </c>
      <c r="AU1973" s="65" t="str">
        <f>IFERROR(__xludf.DUMMYFUNCTION("""COMPUTED_VALUE"""),"IMPORTEX EC")</f>
        <v>IMPORTEX EC</v>
      </c>
      <c r="AV1973" s="65" t="str">
        <f>IFERROR(__xludf.DUMMYFUNCTION("""COMPUTED_VALUE"""),"6408618016812")</f>
        <v>6408618016812</v>
      </c>
      <c r="AW1973" s="65">
        <f>IFERROR(__xludf.DUMMYFUNCTION("""COMPUTED_VALUE"""),5001.0)</f>
        <v>5001</v>
      </c>
      <c r="AX1973" s="65"/>
      <c r="AY1973" s="65" t="str">
        <f>IFERROR(__xludf.DUMMYFUNCTION("""COMPUTED_VALUE"""),"13/01/2026")</f>
        <v>13/01/2026</v>
      </c>
      <c r="AZ1973" s="65"/>
      <c r="BA1973" s="65"/>
    </row>
    <row r="1974">
      <c r="A1974" s="65" t="str">
        <f>IFERROR(__xludf.DUMMYFUNCTION("""COMPUTED_VALUE"""),"27-03-2026")</f>
        <v>27-03-2026</v>
      </c>
      <c r="B1974" s="65">
        <f>IFERROR(__xludf.DUMMYFUNCTION("""COMPUTED_VALUE"""),4113550.0)</f>
        <v>4113550</v>
      </c>
      <c r="C1974" s="65" t="str">
        <f>IFERROR(__xludf.DUMMYFUNCTION("""COMPUTED_VALUE"""),"05:40")</f>
        <v>05:40</v>
      </c>
      <c r="D1974" s="65" t="str">
        <f>IFERROR(__xludf.DUMMYFUNCTION("""COMPUTED_VALUE"""),"12-01-2026")</f>
        <v>12-01-2026</v>
      </c>
      <c r="E1974" s="65" t="str">
        <f>IFERROR(__xludf.DUMMYFUNCTION("""COMPUTED_VALUE"""),"Henry Aguirre")</f>
        <v>Henry Aguirre</v>
      </c>
      <c r="F1974" s="65" t="str">
        <f>IFERROR(__xludf.DUMMYFUNCTION("""COMPUTED_VALUE"""),"999006333")</f>
        <v>999006333</v>
      </c>
      <c r="G1974" s="65" t="str">
        <f>IFERROR(__xludf.DUMMYFUNCTION("""COMPUTED_VALUE"""),"aguiagros19@gmail.com")</f>
        <v>aguiagros19@gmail.com</v>
      </c>
      <c r="H1974" s="65"/>
      <c r="I1974" s="65"/>
      <c r="J1974" s="65" t="str">
        <f>IFERROR(__xludf.DUMMYFUNCTION("""COMPUTED_VALUE"""),"D001218349")</f>
        <v>D001218349</v>
      </c>
      <c r="K1974" s="65" t="str">
        <f>IFERROR(__xludf.DUMMYFUNCTION("""COMPUTED_VALUE"""),"DEVOLUCION")</f>
        <v>DEVOLUCION</v>
      </c>
      <c r="L1974" s="65" t="str">
        <f>IFERROR(__xludf.DUMMYFUNCTION("""COMPUTED_VALUE"""),"CON RECAUDO")</f>
        <v>CON RECAUDO</v>
      </c>
      <c r="M1974" s="65" t="str">
        <f>IFERROR(__xludf.DUMMYFUNCTION("""COMPUTED_VALUE"""),"PICHINCHA")</f>
        <v>PICHINCHA</v>
      </c>
      <c r="N1974" s="65" t="str">
        <f>IFERROR(__xludf.DUMMYFUNCTION("""COMPUTED_VALUE"""),"SANGOLQUI")</f>
        <v>SANGOLQUI</v>
      </c>
      <c r="O1974" s="65" t="str">
        <f>IFERROR(__xludf.DUMMYFUNCTION("""COMPUTED_VALUE"""),"Sector Sangolquí Selva Alegre - Avenida Juan de Salinas y Calle Nicolás Peña 10-40")</f>
        <v>Sector Sangolquí Selva Alegre - Avenida Juan de Salinas y Calle Nicolás Peña 10-40</v>
      </c>
      <c r="P1974" s="65"/>
      <c r="Q1974" s="65" t="str">
        <f>IFERROR(__xludf.DUMMYFUNCTION("""COMPUTED_VALUE"""),"GINTRACOM")</f>
        <v>GINTRACOM</v>
      </c>
      <c r="R1974" s="65">
        <f>IFERROR(__xludf.DUMMYFUNCTION("""COMPUTED_VALUE"""),30.0)</f>
        <v>30</v>
      </c>
      <c r="S1974" s="65"/>
      <c r="T1974" s="65">
        <f>IFERROR(__xludf.DUMMYFUNCTION("""COMPUTED_VALUE"""),6.16)</f>
        <v>6.16</v>
      </c>
      <c r="U1974" s="65">
        <f>IFERROR(__xludf.DUMMYFUNCTION("""COMPUTED_VALUE"""),0.0)</f>
        <v>0</v>
      </c>
      <c r="V1974" s="65">
        <f>IFERROR(__xludf.DUMMYFUNCTION("""COMPUTED_VALUE"""),0.0)</f>
        <v>0</v>
      </c>
      <c r="W1974" s="65">
        <f>IFERROR(__xludf.DUMMYFUNCTION("""COMPUTED_VALUE"""),0.0)</f>
        <v>0</v>
      </c>
      <c r="X1974" s="65">
        <f>IFERROR(__xludf.DUMMYFUNCTION("""COMPUTED_VALUE"""),2.79)</f>
        <v>2.79</v>
      </c>
      <c r="Y1974" s="65">
        <f>IFERROR(__xludf.DUMMYFUNCTION("""COMPUTED_VALUE"""),8.37)</f>
        <v>8.37</v>
      </c>
      <c r="Z1974" s="65">
        <f>IFERROR(__xludf.DUMMYFUNCTION("""COMPUTED_VALUE"""),120732.0)</f>
        <v>120732</v>
      </c>
      <c r="AA1974" s="65" t="str">
        <f>IFERROR(__xludf.DUMMYFUNCTION("""COMPUTED_VALUE"""),"PROV-LMPVT")</f>
        <v>PROV-LMPVT</v>
      </c>
      <c r="AB1974" s="65"/>
      <c r="AC1974" s="65" t="str">
        <f>IFERROR(__xludf.DUMMYFUNCTION("""COMPUTED_VALUE"""),"LIMPIADOR DE PARABRISAS Y VENTANAS")</f>
        <v>LIMPIADOR DE PARABRISAS Y VENTANAS</v>
      </c>
      <c r="AD1974" s="65"/>
      <c r="AE1974" s="65">
        <f>IFERROR(__xludf.DUMMYFUNCTION("""COMPUTED_VALUE"""),3.0)</f>
        <v>3</v>
      </c>
      <c r="AF1974" s="65" t="str">
        <f>IFERROR(__xludf.DUMMYFUNCTION("""COMPUTED_VALUE"""),"DESTINATARIO NO CONTESTA LLAMADAS NI WHATSAPP")</f>
        <v>DESTINATARIO NO CONTESTA LLAMADAS NI WHATSAPP</v>
      </c>
      <c r="AG1974" s="65" t="str">
        <f>IFERROR(__xludf.DUMMYFUNCTION("""COMPUTED_VALUE"""),"NO")</f>
        <v>NO</v>
      </c>
      <c r="AH1974" s="65" t="str">
        <f>IFERROR(__xludf.DUMMYFUNCTION("""COMPUTED_VALUE"""),"09:00")</f>
        <v>09:00</v>
      </c>
      <c r="AI1974" s="65" t="str">
        <f>IFERROR(__xludf.DUMMYFUNCTION("""COMPUTED_VALUE"""),"22-01-2026")</f>
        <v>22-01-2026</v>
      </c>
      <c r="AJ1974" s="65"/>
      <c r="AK1974" s="65"/>
      <c r="AL1974" s="65"/>
      <c r="AM1974" s="65"/>
      <c r="AN1974" s="65" t="str">
        <f>IFERROR(__xludf.DUMMYFUNCTION("""COMPUTED_VALUE"""),"13:15")</f>
        <v>13:15</v>
      </c>
      <c r="AO1974" s="65" t="str">
        <f>IFERROR(__xludf.DUMMYFUNCTION("""COMPUTED_VALUE"""),"05-02-2026")</f>
        <v>05-02-2026</v>
      </c>
      <c r="AP1974" s="65" t="str">
        <f>IFERROR(__xludf.DUMMYFUNCTION("""COMPUTED_VALUE"""),"DEV CONFIRMADA POR BODEGA")</f>
        <v>DEV CONFIRMADA POR BODEGA</v>
      </c>
      <c r="AQ1974" s="65"/>
      <c r="AR1974" s="65" t="str">
        <f>IFERROR(__xludf.DUMMYFUNCTION("""COMPUTED_VALUE"""),"Gestionado por: PROVEDIX DAMIAN, email:enviogratisdirecto@gmail.com, total de productos en la orden: 1")</f>
        <v>Gestionado por: PROVEDIX DAMIAN, email:enviogratisdirecto@gmail.com, total de productos en la orden: 1</v>
      </c>
      <c r="AS1974" s="65"/>
      <c r="AT1974" s="65" t="str">
        <f>IFERROR(__xludf.DUMMYFUNCTION("""COMPUTED_VALUE"""),"SHOPIFY")</f>
        <v>SHOPIFY</v>
      </c>
      <c r="AU1974" s="65" t="str">
        <f>IFERROR(__xludf.DUMMYFUNCTION("""COMPUTED_VALUE"""),"IMPORTEX EC")</f>
        <v>IMPORTEX EC</v>
      </c>
      <c r="AV1974" s="65" t="str">
        <f>IFERROR(__xludf.DUMMYFUNCTION("""COMPUTED_VALUE"""),"6408615919660")</f>
        <v>6408615919660</v>
      </c>
      <c r="AW1974" s="65">
        <f>IFERROR(__xludf.DUMMYFUNCTION("""COMPUTED_VALUE"""),5000.0)</f>
        <v>5000</v>
      </c>
      <c r="AX1974" s="65"/>
      <c r="AY1974" s="65" t="str">
        <f>IFERROR(__xludf.DUMMYFUNCTION("""COMPUTED_VALUE"""),"13/01/2026")</f>
        <v>13/01/2026</v>
      </c>
      <c r="AZ1974" s="65"/>
      <c r="BA1974" s="65"/>
    </row>
    <row r="1975">
      <c r="A1975" s="65" t="str">
        <f>IFERROR(__xludf.DUMMYFUNCTION("""COMPUTED_VALUE"""),"27-03-2026")</f>
        <v>27-03-2026</v>
      </c>
      <c r="B1975" s="65">
        <f>IFERROR(__xludf.DUMMYFUNCTION("""COMPUTED_VALUE"""),4113409.0)</f>
        <v>4113409</v>
      </c>
      <c r="C1975" s="65" t="str">
        <f>IFERROR(__xludf.DUMMYFUNCTION("""COMPUTED_VALUE"""),"04:53")</f>
        <v>04:53</v>
      </c>
      <c r="D1975" s="65" t="str">
        <f>IFERROR(__xludf.DUMMYFUNCTION("""COMPUTED_VALUE"""),"12-01-2026")</f>
        <v>12-01-2026</v>
      </c>
      <c r="E1975" s="65" t="str">
        <f>IFERROR(__xludf.DUMMYFUNCTION("""COMPUTED_VALUE"""),"Mauro Chiriboga López")</f>
        <v>Mauro Chiriboga López</v>
      </c>
      <c r="F1975" s="65" t="str">
        <f>IFERROR(__xludf.DUMMYFUNCTION("""COMPUTED_VALUE"""),"980758139")</f>
        <v>980758139</v>
      </c>
      <c r="G1975" s="65" t="str">
        <f>IFERROR(__xludf.DUMMYFUNCTION("""COMPUTED_VALUE"""),"maurochiriboga8@gmail.com")</f>
        <v>maurochiriboga8@gmail.com</v>
      </c>
      <c r="H1975" s="65"/>
      <c r="I1975" s="65"/>
      <c r="J1975" s="65"/>
      <c r="K1975" s="65" t="str">
        <f>IFERROR(__xludf.DUMMYFUNCTION("""COMPUTED_VALUE"""),"CANCELADO")</f>
        <v>CANCELADO</v>
      </c>
      <c r="L1975" s="65" t="str">
        <f>IFERROR(__xludf.DUMMYFUNCTION("""COMPUTED_VALUE"""),"CON RECAUDO")</f>
        <v>CON RECAUDO</v>
      </c>
      <c r="M1975" s="65" t="str">
        <f>IFERROR(__xludf.DUMMYFUNCTION("""COMPUTED_VALUE"""),"GUAYAS")</f>
        <v>GUAYAS</v>
      </c>
      <c r="N1975" s="65" t="str">
        <f>IFERROR(__xludf.DUMMYFUNCTION("""COMPUTED_VALUE"""),"GUAYAQUIL")</f>
        <v>GUAYAQUIL</v>
      </c>
      <c r="O1975" s="65" t="str">
        <f>IFERROR(__xludf.DUMMYFUNCTION("""COMPUTED_VALUE"""),"Centro Comercial City Mall Norte , área de parqueo -")</f>
        <v>Centro Comercial City Mall Norte , área de parqueo -</v>
      </c>
      <c r="P1975" s="65"/>
      <c r="Q1975" s="65" t="str">
        <f>IFERROR(__xludf.DUMMYFUNCTION("""COMPUTED_VALUE"""),"GINTRACOM")</f>
        <v>GINTRACOM</v>
      </c>
      <c r="R1975" s="65">
        <f>IFERROR(__xludf.DUMMYFUNCTION("""COMPUTED_VALUE"""),30.0)</f>
        <v>30</v>
      </c>
      <c r="S1975" s="65"/>
      <c r="T1975" s="65">
        <f>IFERROR(__xludf.DUMMYFUNCTION("""COMPUTED_VALUE"""),4.55)</f>
        <v>4.55</v>
      </c>
      <c r="U1975" s="65">
        <f>IFERROR(__xludf.DUMMYFUNCTION("""COMPUTED_VALUE"""),0.0)</f>
        <v>0</v>
      </c>
      <c r="V1975" s="65">
        <f>IFERROR(__xludf.DUMMYFUNCTION("""COMPUTED_VALUE"""),0.0)</f>
        <v>0</v>
      </c>
      <c r="W1975" s="65">
        <f>IFERROR(__xludf.DUMMYFUNCTION("""COMPUTED_VALUE"""),0.0)</f>
        <v>0</v>
      </c>
      <c r="X1975" s="65">
        <f>IFERROR(__xludf.DUMMYFUNCTION("""COMPUTED_VALUE"""),2.79)</f>
        <v>2.79</v>
      </c>
      <c r="Y1975" s="65">
        <f>IFERROR(__xludf.DUMMYFUNCTION("""COMPUTED_VALUE"""),8.37)</f>
        <v>8.37</v>
      </c>
      <c r="Z1975" s="65">
        <f>IFERROR(__xludf.DUMMYFUNCTION("""COMPUTED_VALUE"""),120732.0)</f>
        <v>120732</v>
      </c>
      <c r="AA1975" s="65" t="str">
        <f>IFERROR(__xludf.DUMMYFUNCTION("""COMPUTED_VALUE"""),"PROV-LMPVT")</f>
        <v>PROV-LMPVT</v>
      </c>
      <c r="AB1975" s="65"/>
      <c r="AC1975" s="65" t="str">
        <f>IFERROR(__xludf.DUMMYFUNCTION("""COMPUTED_VALUE"""),"LIMPIADOR DE PARABRISAS Y VENTANAS")</f>
        <v>LIMPIADOR DE PARABRISAS Y VENTANAS</v>
      </c>
      <c r="AD1975" s="65"/>
      <c r="AE1975" s="65">
        <f>IFERROR(__xludf.DUMMYFUNCTION("""COMPUTED_VALUE"""),3.0)</f>
        <v>3</v>
      </c>
      <c r="AF1975" s="65"/>
      <c r="AG1975" s="65"/>
      <c r="AH1975" s="65"/>
      <c r="AI1975" s="65"/>
      <c r="AJ1975" s="65"/>
      <c r="AK1975" s="65"/>
      <c r="AL1975" s="65"/>
      <c r="AM1975" s="65"/>
      <c r="AN1975" s="65"/>
      <c r="AO1975" s="65"/>
      <c r="AP1975" s="65"/>
      <c r="AQ1975" s="65"/>
      <c r="AR1975" s="65"/>
      <c r="AS1975" s="65"/>
      <c r="AT1975" s="65" t="str">
        <f>IFERROR(__xludf.DUMMYFUNCTION("""COMPUTED_VALUE"""),"SHOPIFY")</f>
        <v>SHOPIFY</v>
      </c>
      <c r="AU1975" s="65" t="str">
        <f>IFERROR(__xludf.DUMMYFUNCTION("""COMPUTED_VALUE"""),"IMPORTEX EC")</f>
        <v>IMPORTEX EC</v>
      </c>
      <c r="AV1975" s="65" t="str">
        <f>IFERROR(__xludf.DUMMYFUNCTION("""COMPUTED_VALUE"""),"6408589475884")</f>
        <v>6408589475884</v>
      </c>
      <c r="AW1975" s="65">
        <f>IFERROR(__xludf.DUMMYFUNCTION("""COMPUTED_VALUE"""),4999.0)</f>
        <v>4999</v>
      </c>
      <c r="AX1975" s="65"/>
      <c r="AY1975" s="65"/>
      <c r="AZ1975" s="65"/>
      <c r="BA1975" s="65"/>
    </row>
    <row r="1976">
      <c r="A1976" s="65" t="str">
        <f>IFERROR(__xludf.DUMMYFUNCTION("""COMPUTED_VALUE"""),"27-03-2026")</f>
        <v>27-03-2026</v>
      </c>
      <c r="B1976" s="65">
        <f>IFERROR(__xludf.DUMMYFUNCTION("""COMPUTED_VALUE"""),4113388.0)</f>
        <v>4113388</v>
      </c>
      <c r="C1976" s="65" t="str">
        <f>IFERROR(__xludf.DUMMYFUNCTION("""COMPUTED_VALUE"""),"04:48")</f>
        <v>04:48</v>
      </c>
      <c r="D1976" s="65" t="str">
        <f>IFERROR(__xludf.DUMMYFUNCTION("""COMPUTED_VALUE"""),"12-01-2026")</f>
        <v>12-01-2026</v>
      </c>
      <c r="E1976" s="65" t="str">
        <f>IFERROR(__xludf.DUMMYFUNCTION("""COMPUTED_VALUE"""),"Wilson Borja Coloma")</f>
        <v>Wilson Borja Coloma</v>
      </c>
      <c r="F1976" s="65" t="str">
        <f>IFERROR(__xludf.DUMMYFUNCTION("""COMPUTED_VALUE"""),"967424230")</f>
        <v>967424230</v>
      </c>
      <c r="G1976" s="65" t="str">
        <f>IFERROR(__xludf.DUMMYFUNCTION("""COMPUTED_VALUE"""),"wilsonborja_123@yahoo.es")</f>
        <v>wilsonborja_123@yahoo.es</v>
      </c>
      <c r="H1976" s="65"/>
      <c r="I1976" s="65"/>
      <c r="J1976" s="65"/>
      <c r="K1976" s="65" t="str">
        <f>IFERROR(__xludf.DUMMYFUNCTION("""COMPUTED_VALUE"""),"PENDIENTE CONFIRMACION")</f>
        <v>PENDIENTE CONFIRMACION</v>
      </c>
      <c r="L1976" s="65" t="str">
        <f>IFERROR(__xludf.DUMMYFUNCTION("""COMPUTED_VALUE"""),"CON RECAUDO")</f>
        <v>CON RECAUDO</v>
      </c>
      <c r="M1976" s="65" t="str">
        <f>IFERROR(__xludf.DUMMYFUNCTION("""COMPUTED_VALUE"""),"SUCUMBIOS")</f>
        <v>SUCUMBIOS</v>
      </c>
      <c r="N1976" s="65" t="str">
        <f>IFERROR(__xludf.DUMMYFUNCTION("""COMPUTED_VALUE"""),"SHUSHUFINDI")</f>
        <v>SHUSHUFINDI</v>
      </c>
      <c r="O1976" s="65" t="str">
        <f>IFERROR(__xludf.DUMMYFUNCTION("""COMPUTED_VALUE"""),"Frente al banco internacional Policía nacional -")</f>
        <v>Frente al banco internacional Policía nacional -</v>
      </c>
      <c r="P1976" s="65"/>
      <c r="Q1976" s="65" t="str">
        <f>IFERROR(__xludf.DUMMYFUNCTION("""COMPUTED_VALUE"""),"GINTRACOM")</f>
        <v>GINTRACOM</v>
      </c>
      <c r="R1976" s="65">
        <f>IFERROR(__xludf.DUMMYFUNCTION("""COMPUTED_VALUE"""),27.0)</f>
        <v>27</v>
      </c>
      <c r="S1976" s="65"/>
      <c r="T1976" s="65">
        <f>IFERROR(__xludf.DUMMYFUNCTION("""COMPUTED_VALUE"""),6.03)</f>
        <v>6.03</v>
      </c>
      <c r="U1976" s="65">
        <f>IFERROR(__xludf.DUMMYFUNCTION("""COMPUTED_VALUE"""),0.0)</f>
        <v>0</v>
      </c>
      <c r="V1976" s="65">
        <f>IFERROR(__xludf.DUMMYFUNCTION("""COMPUTED_VALUE"""),0.0)</f>
        <v>0</v>
      </c>
      <c r="W1976" s="65">
        <f>IFERROR(__xludf.DUMMYFUNCTION("""COMPUTED_VALUE"""),0.0)</f>
        <v>0</v>
      </c>
      <c r="X1976" s="65">
        <f>IFERROR(__xludf.DUMMYFUNCTION("""COMPUTED_VALUE"""),2.6)</f>
        <v>2.6</v>
      </c>
      <c r="Y1976" s="65">
        <f>IFERROR(__xludf.DUMMYFUNCTION("""COMPUTED_VALUE"""),7.8)</f>
        <v>7.8</v>
      </c>
      <c r="Z1976" s="65">
        <f>IFERROR(__xludf.DUMMYFUNCTION("""COMPUTED_VALUE"""),121983.0)</f>
        <v>121983</v>
      </c>
      <c r="AA1976" s="65" t="str">
        <f>IFERROR(__xludf.DUMMYFUNCTION("""COMPUTED_VALUE"""),"PROV-CHLLCF")</f>
        <v>PROV-CHLLCF</v>
      </c>
      <c r="AB1976" s="65"/>
      <c r="AC1976" s="65" t="str">
        <f>IFERROR(__xludf.DUMMYFUNCTION("""COMPUTED_VALUE"""),"CUCHILLO PARA CHEF")</f>
        <v>CUCHILLO PARA CHEF</v>
      </c>
      <c r="AD1976" s="65"/>
      <c r="AE1976" s="65">
        <f>IFERROR(__xludf.DUMMYFUNCTION("""COMPUTED_VALUE"""),3.0)</f>
        <v>3</v>
      </c>
      <c r="AF1976" s="65"/>
      <c r="AG1976" s="65"/>
      <c r="AH1976" s="65"/>
      <c r="AI1976" s="65"/>
      <c r="AJ1976" s="65"/>
      <c r="AK1976" s="65"/>
      <c r="AL1976" s="65"/>
      <c r="AM1976" s="65"/>
      <c r="AN1976" s="65"/>
      <c r="AO1976" s="65"/>
      <c r="AP1976" s="65"/>
      <c r="AQ1976" s="65"/>
      <c r="AR1976" s="65"/>
      <c r="AS1976" s="65"/>
      <c r="AT1976" s="65" t="str">
        <f>IFERROR(__xludf.DUMMYFUNCTION("""COMPUTED_VALUE"""),"SHOPIFY")</f>
        <v>SHOPIFY</v>
      </c>
      <c r="AU1976" s="65" t="str">
        <f>IFERROR(__xludf.DUMMYFUNCTION("""COMPUTED_VALUE"""),"IMPORTEX EC")</f>
        <v>IMPORTEX EC</v>
      </c>
      <c r="AV1976" s="65" t="str">
        <f>IFERROR(__xludf.DUMMYFUNCTION("""COMPUTED_VALUE"""),"6408587313196")</f>
        <v>6408587313196</v>
      </c>
      <c r="AW1976" s="65">
        <f>IFERROR(__xludf.DUMMYFUNCTION("""COMPUTED_VALUE"""),4998.0)</f>
        <v>4998</v>
      </c>
      <c r="AX1976" s="65"/>
      <c r="AY1976" s="65"/>
      <c r="AZ1976" s="65"/>
      <c r="BA1976" s="65"/>
    </row>
    <row r="1977">
      <c r="A1977" s="65" t="str">
        <f>IFERROR(__xludf.DUMMYFUNCTION("""COMPUTED_VALUE"""),"27-03-2026")</f>
        <v>27-03-2026</v>
      </c>
      <c r="B1977" s="65">
        <f>IFERROR(__xludf.DUMMYFUNCTION("""COMPUTED_VALUE"""),4113373.0)</f>
        <v>4113373</v>
      </c>
      <c r="C1977" s="65" t="str">
        <f>IFERROR(__xludf.DUMMYFUNCTION("""COMPUTED_VALUE"""),"04:46")</f>
        <v>04:46</v>
      </c>
      <c r="D1977" s="65" t="str">
        <f>IFERROR(__xludf.DUMMYFUNCTION("""COMPUTED_VALUE"""),"12-01-2026")</f>
        <v>12-01-2026</v>
      </c>
      <c r="E1977" s="65" t="str">
        <f>IFERROR(__xludf.DUMMYFUNCTION("""COMPUTED_VALUE"""),"María Isabel Camacho Espinosa")</f>
        <v>María Isabel Camacho Espinosa</v>
      </c>
      <c r="F1977" s="65" t="str">
        <f>IFERROR(__xludf.DUMMYFUNCTION("""COMPUTED_VALUE"""),"993043715")</f>
        <v>993043715</v>
      </c>
      <c r="G1977" s="65" t="str">
        <f>IFERROR(__xludf.DUMMYFUNCTION("""COMPUTED_VALUE"""),"isagrupoverde@gmail.com")</f>
        <v>isagrupoverde@gmail.com</v>
      </c>
      <c r="H1977" s="65"/>
      <c r="I1977" s="65"/>
      <c r="J1977" s="65" t="str">
        <f>IFERROR(__xludf.DUMMYFUNCTION("""COMPUTED_VALUE"""),"186966913")</f>
        <v>186966913</v>
      </c>
      <c r="K1977" s="65" t="str">
        <f>IFERROR(__xludf.DUMMYFUNCTION("""COMPUTED_VALUE"""),"DEVOLUCION")</f>
        <v>DEVOLUCION</v>
      </c>
      <c r="L1977" s="65" t="str">
        <f>IFERROR(__xludf.DUMMYFUNCTION("""COMPUTED_VALUE"""),"CON RECAUDO")</f>
        <v>CON RECAUDO</v>
      </c>
      <c r="M1977" s="65" t="str">
        <f>IFERROR(__xludf.DUMMYFUNCTION("""COMPUTED_VALUE"""),"MANABI")</f>
        <v>MANABI</v>
      </c>
      <c r="N1977" s="65" t="str">
        <f>IFERROR(__xludf.DUMMYFUNCTION("""COMPUTED_VALUE"""),"CHARAPOTO")</f>
        <v>CHARAPOTO</v>
      </c>
      <c r="O1977" s="65" t="str">
        <f>IFERROR(__xludf.DUMMYFUNCTION("""COMPUTED_VALUE"""),"Vía a cañitas El bebedero -")</f>
        <v>Vía a cañitas El bebedero -</v>
      </c>
      <c r="P1977" s="65"/>
      <c r="Q1977" s="65" t="str">
        <f>IFERROR(__xludf.DUMMYFUNCTION("""COMPUTED_VALUE"""),"SERVIENTREGA")</f>
        <v>SERVIENTREGA</v>
      </c>
      <c r="R1977" s="65">
        <f>IFERROR(__xludf.DUMMYFUNCTION("""COMPUTED_VALUE"""),20.0)</f>
        <v>20</v>
      </c>
      <c r="S1977" s="65"/>
      <c r="T1977" s="65">
        <f>IFERROR(__xludf.DUMMYFUNCTION("""COMPUTED_VALUE"""),7.67)</f>
        <v>7.67</v>
      </c>
      <c r="U1977" s="65">
        <f>IFERROR(__xludf.DUMMYFUNCTION("""COMPUTED_VALUE"""),0.0)</f>
        <v>0</v>
      </c>
      <c r="V1977" s="65">
        <f>IFERROR(__xludf.DUMMYFUNCTION("""COMPUTED_VALUE"""),0.0)</f>
        <v>0</v>
      </c>
      <c r="W1977" s="65">
        <f>IFERROR(__xludf.DUMMYFUNCTION("""COMPUTED_VALUE"""),0.0)</f>
        <v>0</v>
      </c>
      <c r="X1977" s="65">
        <f>IFERROR(__xludf.DUMMYFUNCTION("""COMPUTED_VALUE"""),2.79)</f>
        <v>2.79</v>
      </c>
      <c r="Y1977" s="65">
        <f>IFERROR(__xludf.DUMMYFUNCTION("""COMPUTED_VALUE"""),2.79)</f>
        <v>2.79</v>
      </c>
      <c r="Z1977" s="65">
        <f>IFERROR(__xludf.DUMMYFUNCTION("""COMPUTED_VALUE"""),120732.0)</f>
        <v>120732</v>
      </c>
      <c r="AA1977" s="65" t="str">
        <f>IFERROR(__xludf.DUMMYFUNCTION("""COMPUTED_VALUE"""),"PROV-LMPVT")</f>
        <v>PROV-LMPVT</v>
      </c>
      <c r="AB1977" s="65"/>
      <c r="AC1977" s="65" t="str">
        <f>IFERROR(__xludf.DUMMYFUNCTION("""COMPUTED_VALUE"""),"LIMPIADOR DE PARABRISAS Y VENTANAS")</f>
        <v>LIMPIADOR DE PARABRISAS Y VENTANAS</v>
      </c>
      <c r="AD1977" s="65"/>
      <c r="AE1977" s="65">
        <f>IFERROR(__xludf.DUMMYFUNCTION("""COMPUTED_VALUE"""),1.0)</f>
        <v>1</v>
      </c>
      <c r="AF1977" s="65" t="str">
        <f>IFERROR(__xludf.DUMMYFUNCTION("""COMPUTED_VALUE"""),"DEVOLUCION AL REMITENTE")</f>
        <v>DEVOLUCION AL REMITENTE</v>
      </c>
      <c r="AG1977" s="65" t="str">
        <f>IFERROR(__xludf.DUMMYFUNCTION("""COMPUTED_VALUE"""),"NO")</f>
        <v>NO</v>
      </c>
      <c r="AH1977" s="65" t="str">
        <f>IFERROR(__xludf.DUMMYFUNCTION("""COMPUTED_VALUE"""),"11:38")</f>
        <v>11:38</v>
      </c>
      <c r="AI1977" s="65" t="str">
        <f>IFERROR(__xludf.DUMMYFUNCTION("""COMPUTED_VALUE"""),"18-02-2026")</f>
        <v>18-02-2026</v>
      </c>
      <c r="AJ1977" s="65"/>
      <c r="AK1977" s="65"/>
      <c r="AL1977" s="65"/>
      <c r="AM1977" s="65"/>
      <c r="AN1977" s="65" t="str">
        <f>IFERROR(__xludf.DUMMYFUNCTION("""COMPUTED_VALUE"""),"13:10")</f>
        <v>13:10</v>
      </c>
      <c r="AO1977" s="65" t="str">
        <f>IFERROR(__xludf.DUMMYFUNCTION("""COMPUTED_VALUE"""),"19-02-2026")</f>
        <v>19-02-2026</v>
      </c>
      <c r="AP1977" s="65" t="str">
        <f>IFERROR(__xludf.DUMMYFUNCTION("""COMPUTED_VALUE"""),"DEV CONFIRMADA POR BODEGA")</f>
        <v>DEV CONFIRMADA POR BODEGA</v>
      </c>
      <c r="AQ1977" s="65"/>
      <c r="AR1977" s="65" t="str">
        <f>IFERROR(__xludf.DUMMYFUNCTION("""COMPUTED_VALUE"""),"Gestionado por: PROVEDIX DAMIAN, email:enviogratisdirecto@gmail.com, total de productos en la orden: 1")</f>
        <v>Gestionado por: PROVEDIX DAMIAN, email:enviogratisdirecto@gmail.com, total de productos en la orden: 1</v>
      </c>
      <c r="AS1977" s="65"/>
      <c r="AT1977" s="65" t="str">
        <f>IFERROR(__xludf.DUMMYFUNCTION("""COMPUTED_VALUE"""),"SHOPIFY")</f>
        <v>SHOPIFY</v>
      </c>
      <c r="AU1977" s="65" t="str">
        <f>IFERROR(__xludf.DUMMYFUNCTION("""COMPUTED_VALUE"""),"IMPORTEX EC")</f>
        <v>IMPORTEX EC</v>
      </c>
      <c r="AV1977" s="65" t="str">
        <f>IFERROR(__xludf.DUMMYFUNCTION("""COMPUTED_VALUE"""),"6408585969708")</f>
        <v>6408585969708</v>
      </c>
      <c r="AW1977" s="65">
        <f>IFERROR(__xludf.DUMMYFUNCTION("""COMPUTED_VALUE"""),4997.0)</f>
        <v>4997</v>
      </c>
      <c r="AX1977" s="65"/>
      <c r="AY1977" s="65" t="str">
        <f>IFERROR(__xludf.DUMMYFUNCTION("""COMPUTED_VALUE"""),"13/01/2026")</f>
        <v>13/01/2026</v>
      </c>
      <c r="AZ1977" s="65"/>
      <c r="BA1977" s="65"/>
    </row>
    <row r="1978">
      <c r="A1978" s="65" t="str">
        <f>IFERROR(__xludf.DUMMYFUNCTION("""COMPUTED_VALUE"""),"27-03-2026")</f>
        <v>27-03-2026</v>
      </c>
      <c r="B1978" s="65">
        <f>IFERROR(__xludf.DUMMYFUNCTION("""COMPUTED_VALUE"""),4113220.0)</f>
        <v>4113220</v>
      </c>
      <c r="C1978" s="65" t="str">
        <f>IFERROR(__xludf.DUMMYFUNCTION("""COMPUTED_VALUE"""),"03:28")</f>
        <v>03:28</v>
      </c>
      <c r="D1978" s="65" t="str">
        <f>IFERROR(__xludf.DUMMYFUNCTION("""COMPUTED_VALUE"""),"12-01-2026")</f>
        <v>12-01-2026</v>
      </c>
      <c r="E1978" s="65" t="str">
        <f>IFERROR(__xludf.DUMMYFUNCTION("""COMPUTED_VALUE"""),"Luis alfredo farinango tuquerres")</f>
        <v>Luis alfredo farinango tuquerres</v>
      </c>
      <c r="F1978" s="65" t="str">
        <f>IFERROR(__xludf.DUMMYFUNCTION("""COMPUTED_VALUE"""),"963990591")</f>
        <v>963990591</v>
      </c>
      <c r="G1978" s="65" t="str">
        <f>IFERROR(__xludf.DUMMYFUNCTION("""COMPUTED_VALUE"""),"luisfarinango710@gmail.com")</f>
        <v>luisfarinango710@gmail.com</v>
      </c>
      <c r="H1978" s="65"/>
      <c r="I1978" s="65"/>
      <c r="J1978" s="65" t="str">
        <f>IFERROR(__xludf.DUMMYFUNCTION("""COMPUTED_VALUE"""),"D001218350")</f>
        <v>D001218350</v>
      </c>
      <c r="K1978" s="65" t="str">
        <f>IFERROR(__xludf.DUMMYFUNCTION("""COMPUTED_VALUE"""),"DEVOLUCION")</f>
        <v>DEVOLUCION</v>
      </c>
      <c r="L1978" s="65" t="str">
        <f>IFERROR(__xludf.DUMMYFUNCTION("""COMPUTED_VALUE"""),"CON RECAUDO")</f>
        <v>CON RECAUDO</v>
      </c>
      <c r="M1978" s="65" t="str">
        <f>IFERROR(__xludf.DUMMYFUNCTION("""COMPUTED_VALUE"""),"PICHINCHA")</f>
        <v>PICHINCHA</v>
      </c>
      <c r="N1978" s="65" t="str">
        <f>IFERROR(__xludf.DUMMYFUNCTION("""COMPUTED_VALUE"""),"CAYAMBE")</f>
        <v>CAYAMBE</v>
      </c>
      <c r="O1978" s="65" t="str">
        <f>IFERROR(__xludf.DUMMYFUNCTION("""COMPUTED_VALUE"""),"Olmedo y 24 d mayo -")</f>
        <v>Olmedo y 24 d mayo -</v>
      </c>
      <c r="P1978" s="65"/>
      <c r="Q1978" s="65" t="str">
        <f>IFERROR(__xludf.DUMMYFUNCTION("""COMPUTED_VALUE"""),"GINTRACOM")</f>
        <v>GINTRACOM</v>
      </c>
      <c r="R1978" s="65">
        <f>IFERROR(__xludf.DUMMYFUNCTION("""COMPUTED_VALUE"""),30.0)</f>
        <v>30</v>
      </c>
      <c r="S1978" s="65"/>
      <c r="T1978" s="65">
        <f>IFERROR(__xludf.DUMMYFUNCTION("""COMPUTED_VALUE"""),6.16)</f>
        <v>6.16</v>
      </c>
      <c r="U1978" s="65">
        <f>IFERROR(__xludf.DUMMYFUNCTION("""COMPUTED_VALUE"""),0.0)</f>
        <v>0</v>
      </c>
      <c r="V1978" s="65">
        <f>IFERROR(__xludf.DUMMYFUNCTION("""COMPUTED_VALUE"""),0.0)</f>
        <v>0</v>
      </c>
      <c r="W1978" s="65">
        <f>IFERROR(__xludf.DUMMYFUNCTION("""COMPUTED_VALUE"""),0.0)</f>
        <v>0</v>
      </c>
      <c r="X1978" s="65">
        <f>IFERROR(__xludf.DUMMYFUNCTION("""COMPUTED_VALUE"""),2.79)</f>
        <v>2.79</v>
      </c>
      <c r="Y1978" s="65">
        <f>IFERROR(__xludf.DUMMYFUNCTION("""COMPUTED_VALUE"""),8.37)</f>
        <v>8.37</v>
      </c>
      <c r="Z1978" s="65">
        <f>IFERROR(__xludf.DUMMYFUNCTION("""COMPUTED_VALUE"""),120732.0)</f>
        <v>120732</v>
      </c>
      <c r="AA1978" s="65" t="str">
        <f>IFERROR(__xludf.DUMMYFUNCTION("""COMPUTED_VALUE"""),"PROV-LMPVT")</f>
        <v>PROV-LMPVT</v>
      </c>
      <c r="AB1978" s="65"/>
      <c r="AC1978" s="65" t="str">
        <f>IFERROR(__xludf.DUMMYFUNCTION("""COMPUTED_VALUE"""),"LIMPIADOR DE PARABRISAS Y VENTANAS")</f>
        <v>LIMPIADOR DE PARABRISAS Y VENTANAS</v>
      </c>
      <c r="AD1978" s="65"/>
      <c r="AE1978" s="65">
        <f>IFERROR(__xludf.DUMMYFUNCTION("""COMPUTED_VALUE"""),3.0)</f>
        <v>3</v>
      </c>
      <c r="AF1978" s="65" t="str">
        <f>IFERROR(__xludf.DUMMYFUNCTION("""COMPUTED_VALUE"""),"DESTINATARIO NO CONTESTA LLAMADAS NI WHATSAPP")</f>
        <v>DESTINATARIO NO CONTESTA LLAMADAS NI WHATSAPP</v>
      </c>
      <c r="AG1978" s="65" t="str">
        <f>IFERROR(__xludf.DUMMYFUNCTION("""COMPUTED_VALUE"""),"NO")</f>
        <v>NO</v>
      </c>
      <c r="AH1978" s="65" t="str">
        <f>IFERROR(__xludf.DUMMYFUNCTION("""COMPUTED_VALUE"""),"09:00")</f>
        <v>09:00</v>
      </c>
      <c r="AI1978" s="65" t="str">
        <f>IFERROR(__xludf.DUMMYFUNCTION("""COMPUTED_VALUE"""),"23-01-2026")</f>
        <v>23-01-2026</v>
      </c>
      <c r="AJ1978" s="65"/>
      <c r="AK1978" s="65"/>
      <c r="AL1978" s="65"/>
      <c r="AM1978" s="65"/>
      <c r="AN1978" s="65" t="str">
        <f>IFERROR(__xludf.DUMMYFUNCTION("""COMPUTED_VALUE"""),"13:23")</f>
        <v>13:23</v>
      </c>
      <c r="AO1978" s="65" t="str">
        <f>IFERROR(__xludf.DUMMYFUNCTION("""COMPUTED_VALUE"""),"19-02-2026")</f>
        <v>19-02-2026</v>
      </c>
      <c r="AP1978" s="65" t="str">
        <f>IFERROR(__xludf.DUMMYFUNCTION("""COMPUTED_VALUE"""),"DEV CONFIRMADA POR BODEGA")</f>
        <v>DEV CONFIRMADA POR BODEGA</v>
      </c>
      <c r="AQ1978" s="65"/>
      <c r="AR1978" s="65" t="str">
        <f>IFERROR(__xludf.DUMMYFUNCTION("""COMPUTED_VALUE"""),"Gestionado por: PROVEDIX DAMIAN, email:enviogratisdirecto@gmail.com, total de productos en la orden: 1")</f>
        <v>Gestionado por: PROVEDIX DAMIAN, email:enviogratisdirecto@gmail.com, total de productos en la orden: 1</v>
      </c>
      <c r="AS1978" s="65"/>
      <c r="AT1978" s="65" t="str">
        <f>IFERROR(__xludf.DUMMYFUNCTION("""COMPUTED_VALUE"""),"SHOPIFY")</f>
        <v>SHOPIFY</v>
      </c>
      <c r="AU1978" s="65" t="str">
        <f>IFERROR(__xludf.DUMMYFUNCTION("""COMPUTED_VALUE"""),"IMPORTEX EC")</f>
        <v>IMPORTEX EC</v>
      </c>
      <c r="AV1978" s="65" t="str">
        <f>IFERROR(__xludf.DUMMYFUNCTION("""COMPUTED_VALUE"""),"6408546418732")</f>
        <v>6408546418732</v>
      </c>
      <c r="AW1978" s="65">
        <f>IFERROR(__xludf.DUMMYFUNCTION("""COMPUTED_VALUE"""),4996.0)</f>
        <v>4996</v>
      </c>
      <c r="AX1978" s="65"/>
      <c r="AY1978" s="65" t="str">
        <f>IFERROR(__xludf.DUMMYFUNCTION("""COMPUTED_VALUE"""),"13/01/2026")</f>
        <v>13/01/2026</v>
      </c>
      <c r="AZ1978" s="65"/>
      <c r="BA1978" s="65"/>
    </row>
    <row r="1979">
      <c r="A1979" s="65" t="str">
        <f>IFERROR(__xludf.DUMMYFUNCTION("""COMPUTED_VALUE"""),"27-03-2026")</f>
        <v>27-03-2026</v>
      </c>
      <c r="B1979" s="65">
        <f>IFERROR(__xludf.DUMMYFUNCTION("""COMPUTED_VALUE"""),4113110.0)</f>
        <v>4113110</v>
      </c>
      <c r="C1979" s="65" t="str">
        <f>IFERROR(__xludf.DUMMYFUNCTION("""COMPUTED_VALUE"""),"02:01")</f>
        <v>02:01</v>
      </c>
      <c r="D1979" s="65" t="str">
        <f>IFERROR(__xludf.DUMMYFUNCTION("""COMPUTED_VALUE"""),"12-01-2026")</f>
        <v>12-01-2026</v>
      </c>
      <c r="E1979" s="65" t="str">
        <f>IFERROR(__xludf.DUMMYFUNCTION("""COMPUTED_VALUE"""),"Jorge rosero rosero")</f>
        <v>Jorge rosero rosero</v>
      </c>
      <c r="F1979" s="65" t="str">
        <f>IFERROR(__xludf.DUMMYFUNCTION("""COMPUTED_VALUE"""),"978831868")</f>
        <v>978831868</v>
      </c>
      <c r="G1979" s="65" t="str">
        <f>IFERROR(__xludf.DUMMYFUNCTION("""COMPUTED_VALUE"""),"jorgeroserodiaz@hotmail.com")</f>
        <v>jorgeroserodiaz@hotmail.com</v>
      </c>
      <c r="H1979" s="65"/>
      <c r="I1979" s="65"/>
      <c r="J1979" s="65" t="str">
        <f>IFERROR(__xludf.DUMMYFUNCTION("""COMPUTED_VALUE"""),"D001218351")</f>
        <v>D001218351</v>
      </c>
      <c r="K1979" s="65" t="str">
        <f>IFERROR(__xludf.DUMMYFUNCTION("""COMPUTED_VALUE"""),"ENTREGADO")</f>
        <v>ENTREGADO</v>
      </c>
      <c r="L1979" s="65" t="str">
        <f>IFERROR(__xludf.DUMMYFUNCTION("""COMPUTED_VALUE"""),"CON RECAUDO")</f>
        <v>CON RECAUDO</v>
      </c>
      <c r="M1979" s="65" t="str">
        <f>IFERROR(__xludf.DUMMYFUNCTION("""COMPUTED_VALUE"""),"ESMERALDAS")</f>
        <v>ESMERALDAS</v>
      </c>
      <c r="N1979" s="65" t="str">
        <f>IFERROR(__xludf.DUMMYFUNCTION("""COMPUTED_VALUE"""),"ESMERALDAS")</f>
        <v>ESMERALDAS</v>
      </c>
      <c r="O1979" s="65" t="str">
        <f>IFERROR(__xludf.DUMMYFUNCTION("""COMPUTED_VALUE"""),"Montufar y zamora Alado de escuela ramón bedoya -")</f>
        <v>Montufar y zamora Alado de escuela ramón bedoya -</v>
      </c>
      <c r="P1979" s="65"/>
      <c r="Q1979" s="65" t="str">
        <f>IFERROR(__xludf.DUMMYFUNCTION("""COMPUTED_VALUE"""),"GINTRACOM")</f>
        <v>GINTRACOM</v>
      </c>
      <c r="R1979" s="65">
        <f>IFERROR(__xludf.DUMMYFUNCTION("""COMPUTED_VALUE"""),20.0)</f>
        <v>20</v>
      </c>
      <c r="S1979" s="65">
        <f>IFERROR(__xludf.DUMMYFUNCTION("""COMPUTED_VALUE"""),11.45)</f>
        <v>11.45</v>
      </c>
      <c r="T1979" s="65">
        <f>IFERROR(__xludf.DUMMYFUNCTION("""COMPUTED_VALUE"""),5.76)</f>
        <v>5.76</v>
      </c>
      <c r="U1979" s="65">
        <f>IFERROR(__xludf.DUMMYFUNCTION("""COMPUTED_VALUE"""),0.0)</f>
        <v>0</v>
      </c>
      <c r="V1979" s="65">
        <f>IFERROR(__xludf.DUMMYFUNCTION("""COMPUTED_VALUE"""),0.0)</f>
        <v>0</v>
      </c>
      <c r="W1979" s="65">
        <f>IFERROR(__xludf.DUMMYFUNCTION("""COMPUTED_VALUE"""),0.0)</f>
        <v>0</v>
      </c>
      <c r="X1979" s="65">
        <f>IFERROR(__xludf.DUMMYFUNCTION("""COMPUTED_VALUE"""),2.79)</f>
        <v>2.79</v>
      </c>
      <c r="Y1979" s="65">
        <f>IFERROR(__xludf.DUMMYFUNCTION("""COMPUTED_VALUE"""),2.79)</f>
        <v>2.79</v>
      </c>
      <c r="Z1979" s="65">
        <f>IFERROR(__xludf.DUMMYFUNCTION("""COMPUTED_VALUE"""),120732.0)</f>
        <v>120732</v>
      </c>
      <c r="AA1979" s="65" t="str">
        <f>IFERROR(__xludf.DUMMYFUNCTION("""COMPUTED_VALUE"""),"PROV-LMPVT")</f>
        <v>PROV-LMPVT</v>
      </c>
      <c r="AB1979" s="65"/>
      <c r="AC1979" s="65" t="str">
        <f>IFERROR(__xludf.DUMMYFUNCTION("""COMPUTED_VALUE"""),"LIMPIADOR DE PARABRISAS Y VENTANAS")</f>
        <v>LIMPIADOR DE PARABRISAS Y VENTANAS</v>
      </c>
      <c r="AD1979" s="65"/>
      <c r="AE1979" s="65">
        <f>IFERROR(__xludf.DUMMYFUNCTION("""COMPUTED_VALUE"""),1.0)</f>
        <v>1</v>
      </c>
      <c r="AF1979" s="65"/>
      <c r="AG1979" s="65"/>
      <c r="AH1979" s="65"/>
      <c r="AI1979" s="65"/>
      <c r="AJ1979" s="65"/>
      <c r="AK1979" s="65"/>
      <c r="AL1979" s="65"/>
      <c r="AM1979" s="65"/>
      <c r="AN1979" s="65" t="str">
        <f>IFERROR(__xludf.DUMMYFUNCTION("""COMPUTED_VALUE"""),"17:32")</f>
        <v>17:32</v>
      </c>
      <c r="AO1979" s="65" t="str">
        <f>IFERROR(__xludf.DUMMYFUNCTION("""COMPUTED_VALUE"""),"15-01-2026")</f>
        <v>15-01-2026</v>
      </c>
      <c r="AP1979" s="65" t="str">
        <f>IFERROR(__xludf.DUMMYFUNCTION("""COMPUTED_VALUE"""),"ENTREGADA GINTRACOM")</f>
        <v>ENTREGADA GINTRACOM</v>
      </c>
      <c r="AQ1979" s="65" t="str">
        <f>IFERROR(__xludf.DUMMYFUNCTION("""COMPUTED_VALUE"""),"ENTREGADA GINTRACOM")</f>
        <v>ENTREGADA GINTRACOM</v>
      </c>
      <c r="AR1979" s="65"/>
      <c r="AS1979" s="65"/>
      <c r="AT1979" s="65" t="str">
        <f>IFERROR(__xludf.DUMMYFUNCTION("""COMPUTED_VALUE"""),"SHOPIFY")</f>
        <v>SHOPIFY</v>
      </c>
      <c r="AU1979" s="65" t="str">
        <f>IFERROR(__xludf.DUMMYFUNCTION("""COMPUTED_VALUE"""),"IMPORTEX EC")</f>
        <v>IMPORTEX EC</v>
      </c>
      <c r="AV1979" s="65" t="str">
        <f>IFERROR(__xludf.DUMMYFUNCTION("""COMPUTED_VALUE"""),"6408420425772")</f>
        <v>6408420425772</v>
      </c>
      <c r="AW1979" s="65">
        <f>IFERROR(__xludf.DUMMYFUNCTION("""COMPUTED_VALUE"""),4995.0)</f>
        <v>4995</v>
      </c>
      <c r="AX1979" s="65"/>
      <c r="AY1979" s="65" t="str">
        <f>IFERROR(__xludf.DUMMYFUNCTION("""COMPUTED_VALUE"""),"13/01/2026")</f>
        <v>13/01/2026</v>
      </c>
      <c r="AZ1979" s="65"/>
      <c r="BA1979" s="65"/>
    </row>
    <row r="1980">
      <c r="A1980" s="65" t="str">
        <f>IFERROR(__xludf.DUMMYFUNCTION("""COMPUTED_VALUE"""),"27-03-2026")</f>
        <v>27-03-2026</v>
      </c>
      <c r="B1980" s="65">
        <f>IFERROR(__xludf.DUMMYFUNCTION("""COMPUTED_VALUE"""),4112931.0)</f>
        <v>4112931</v>
      </c>
      <c r="C1980" s="65" t="str">
        <f>IFERROR(__xludf.DUMMYFUNCTION("""COMPUTED_VALUE"""),"00:53")</f>
        <v>00:53</v>
      </c>
      <c r="D1980" s="65" t="str">
        <f>IFERROR(__xludf.DUMMYFUNCTION("""COMPUTED_VALUE"""),"12-01-2026")</f>
        <v>12-01-2026</v>
      </c>
      <c r="E1980" s="65" t="str">
        <f>IFERROR(__xludf.DUMMYFUNCTION("""COMPUTED_VALUE"""),"Israel Rodrigo Calle Gonzalez")</f>
        <v>Israel Rodrigo Calle Gonzalez</v>
      </c>
      <c r="F1980" s="65" t="str">
        <f>IFERROR(__xludf.DUMMYFUNCTION("""COMPUTED_VALUE"""),"991608470")</f>
        <v>991608470</v>
      </c>
      <c r="G1980" s="65" t="str">
        <f>IFERROR(__xludf.DUMMYFUNCTION("""COMPUTED_VALUE"""),"ab.isracallerg07@hotmail.com")</f>
        <v>ab.isracallerg07@hotmail.com</v>
      </c>
      <c r="H1980" s="65"/>
      <c r="I1980" s="65"/>
      <c r="J1980" s="65" t="str">
        <f>IFERROR(__xludf.DUMMYFUNCTION("""COMPUTED_VALUE"""),"D001218352")</f>
        <v>D001218352</v>
      </c>
      <c r="K1980" s="65" t="str">
        <f>IFERROR(__xludf.DUMMYFUNCTION("""COMPUTED_VALUE"""),"ENTREGADO")</f>
        <v>ENTREGADO</v>
      </c>
      <c r="L1980" s="65" t="str">
        <f>IFERROR(__xludf.DUMMYFUNCTION("""COMPUTED_VALUE"""),"CON RECAUDO")</f>
        <v>CON RECAUDO</v>
      </c>
      <c r="M1980" s="65" t="str">
        <f>IFERROR(__xludf.DUMMYFUNCTION("""COMPUTED_VALUE"""),"CAÑAR")</f>
        <v>CAÑAR</v>
      </c>
      <c r="N1980" s="65" t="str">
        <f>IFERROR(__xludf.DUMMYFUNCTION("""COMPUTED_VALUE"""),"LA TRONCAL")</f>
        <v>LA TRONCAL</v>
      </c>
      <c r="O1980" s="65" t="str">
        <f>IFERROR(__xludf.DUMMYFUNCTION("""COMPUTED_VALUE"""),"De Febrero 27 y av 25 de agosto , Diagonal al banco pichincha , CASA  103")</f>
        <v>De Febrero 27 y av 25 de agosto , Diagonal al banco pichincha , CASA  103</v>
      </c>
      <c r="P1980" s="65"/>
      <c r="Q1980" s="65" t="str">
        <f>IFERROR(__xludf.DUMMYFUNCTION("""COMPUTED_VALUE"""),"GINTRACOM")</f>
        <v>GINTRACOM</v>
      </c>
      <c r="R1980" s="65">
        <f>IFERROR(__xludf.DUMMYFUNCTION("""COMPUTED_VALUE"""),30.0)</f>
        <v>30</v>
      </c>
      <c r="S1980" s="65">
        <f>IFERROR(__xludf.DUMMYFUNCTION("""COMPUTED_VALUE"""),15.47)</f>
        <v>15.47</v>
      </c>
      <c r="T1980" s="65">
        <f>IFERROR(__xludf.DUMMYFUNCTION("""COMPUTED_VALUE"""),6.16)</f>
        <v>6.16</v>
      </c>
      <c r="U1980" s="65">
        <f>IFERROR(__xludf.DUMMYFUNCTION("""COMPUTED_VALUE"""),0.0)</f>
        <v>0</v>
      </c>
      <c r="V1980" s="65">
        <f>IFERROR(__xludf.DUMMYFUNCTION("""COMPUTED_VALUE"""),0.0)</f>
        <v>0</v>
      </c>
      <c r="W1980" s="65">
        <f>IFERROR(__xludf.DUMMYFUNCTION("""COMPUTED_VALUE"""),0.0)</f>
        <v>0</v>
      </c>
      <c r="X1980" s="65">
        <f>IFERROR(__xludf.DUMMYFUNCTION("""COMPUTED_VALUE"""),2.79)</f>
        <v>2.79</v>
      </c>
      <c r="Y1980" s="65">
        <f>IFERROR(__xludf.DUMMYFUNCTION("""COMPUTED_VALUE"""),8.37)</f>
        <v>8.37</v>
      </c>
      <c r="Z1980" s="65">
        <f>IFERROR(__xludf.DUMMYFUNCTION("""COMPUTED_VALUE"""),120732.0)</f>
        <v>120732</v>
      </c>
      <c r="AA1980" s="65" t="str">
        <f>IFERROR(__xludf.DUMMYFUNCTION("""COMPUTED_VALUE"""),"PROV-LMPVT")</f>
        <v>PROV-LMPVT</v>
      </c>
      <c r="AB1980" s="65"/>
      <c r="AC1980" s="65" t="str">
        <f>IFERROR(__xludf.DUMMYFUNCTION("""COMPUTED_VALUE"""),"LIMPIADOR DE PARABRISAS Y VENTANAS")</f>
        <v>LIMPIADOR DE PARABRISAS Y VENTANAS</v>
      </c>
      <c r="AD1980" s="65"/>
      <c r="AE1980" s="65">
        <f>IFERROR(__xludf.DUMMYFUNCTION("""COMPUTED_VALUE"""),3.0)</f>
        <v>3</v>
      </c>
      <c r="AF1980" s="65" t="str">
        <f>IFERROR(__xludf.DUMMYFUNCTION("""COMPUTED_VALUE"""),"DESTINATARIO NO CONTESTA LLAMADAS NI WHATSAPP")</f>
        <v>DESTINATARIO NO CONTESTA LLAMADAS NI WHATSAPP</v>
      </c>
      <c r="AG1980" s="65" t="str">
        <f>IFERROR(__xludf.DUMMYFUNCTION("""COMPUTED_VALUE"""),"NO")</f>
        <v>NO</v>
      </c>
      <c r="AH1980" s="65" t="str">
        <f>IFERROR(__xludf.DUMMYFUNCTION("""COMPUTED_VALUE"""),"16:33")</f>
        <v>16:33</v>
      </c>
      <c r="AI1980" s="65" t="str">
        <f>IFERROR(__xludf.DUMMYFUNCTION("""COMPUTED_VALUE"""),"19-01-2026")</f>
        <v>19-01-2026</v>
      </c>
      <c r="AJ1980" s="65"/>
      <c r="AK1980" s="65"/>
      <c r="AL1980" s="65"/>
      <c r="AM1980" s="65"/>
      <c r="AN1980" s="65" t="str">
        <f>IFERROR(__xludf.DUMMYFUNCTION("""COMPUTED_VALUE"""),"16:33")</f>
        <v>16:33</v>
      </c>
      <c r="AO1980" s="65" t="str">
        <f>IFERROR(__xludf.DUMMYFUNCTION("""COMPUTED_VALUE"""),"19-01-2026")</f>
        <v>19-01-2026</v>
      </c>
      <c r="AP1980" s="65" t="str">
        <f>IFERROR(__xludf.DUMMYFUNCTION("""COMPUTED_VALUE"""),"DESTINATARIO NO CONTESTA LLAMADAS NI WHATSAPP")</f>
        <v>DESTINATARIO NO CONTESTA LLAMADAS NI WHATSAPP</v>
      </c>
      <c r="AQ1980" s="65" t="str">
        <f>IFERROR(__xludf.DUMMYFUNCTION("""COMPUTED_VALUE"""),"DESTINATARIO NO CONTESTA LLAMADAS NI WHATSAPP")</f>
        <v>DESTINATARIO NO CONTESTA LLAMADAS NI WHATSAPP</v>
      </c>
      <c r="AR1980" s="65"/>
      <c r="AS1980" s="65"/>
      <c r="AT1980" s="65" t="str">
        <f>IFERROR(__xludf.DUMMYFUNCTION("""COMPUTED_VALUE"""),"SHOPIFY")</f>
        <v>SHOPIFY</v>
      </c>
      <c r="AU1980" s="65" t="str">
        <f>IFERROR(__xludf.DUMMYFUNCTION("""COMPUTED_VALUE"""),"IMPORTEX EC")</f>
        <v>IMPORTEX EC</v>
      </c>
      <c r="AV1980" s="65" t="str">
        <f>IFERROR(__xludf.DUMMYFUNCTION("""COMPUTED_VALUE"""),"6408363933740")</f>
        <v>6408363933740</v>
      </c>
      <c r="AW1980" s="65">
        <f>IFERROR(__xludf.DUMMYFUNCTION("""COMPUTED_VALUE"""),4994.0)</f>
        <v>4994</v>
      </c>
      <c r="AX1980" s="65"/>
      <c r="AY1980" s="65" t="str">
        <f>IFERROR(__xludf.DUMMYFUNCTION("""COMPUTED_VALUE"""),"13/01/2026")</f>
        <v>13/01/2026</v>
      </c>
      <c r="AZ1980" s="65"/>
      <c r="BA1980" s="65"/>
    </row>
    <row r="1981">
      <c r="A1981" s="65" t="str">
        <f>IFERROR(__xludf.DUMMYFUNCTION("""COMPUTED_VALUE"""),"27-03-2026")</f>
        <v>27-03-2026</v>
      </c>
      <c r="B1981" s="65">
        <f>IFERROR(__xludf.DUMMYFUNCTION("""COMPUTED_VALUE"""),4112847.0)</f>
        <v>4112847</v>
      </c>
      <c r="C1981" s="65" t="str">
        <f>IFERROR(__xludf.DUMMYFUNCTION("""COMPUTED_VALUE"""),"00:37")</f>
        <v>00:37</v>
      </c>
      <c r="D1981" s="65" t="str">
        <f>IFERROR(__xludf.DUMMYFUNCTION("""COMPUTED_VALUE"""),"12-01-2026")</f>
        <v>12-01-2026</v>
      </c>
      <c r="E1981" s="65" t="str">
        <f>IFERROR(__xludf.DUMMYFUNCTION("""COMPUTED_VALUE"""),"Roberto López alvan López")</f>
        <v>Roberto López alvan López</v>
      </c>
      <c r="F1981" s="65" t="str">
        <f>IFERROR(__xludf.DUMMYFUNCTION("""COMPUTED_VALUE"""),"967374430")</f>
        <v>967374430</v>
      </c>
      <c r="G1981" s="65" t="str">
        <f>IFERROR(__xludf.DUMMYFUNCTION("""COMPUTED_VALUE"""),"roberlopez0387@gmail.com")</f>
        <v>roberlopez0387@gmail.com</v>
      </c>
      <c r="H1981" s="65"/>
      <c r="I1981" s="65"/>
      <c r="J1981" s="65" t="str">
        <f>IFERROR(__xludf.DUMMYFUNCTION("""COMPUTED_VALUE"""),"D001218353")</f>
        <v>D001218353</v>
      </c>
      <c r="K1981" s="65" t="str">
        <f>IFERROR(__xludf.DUMMYFUNCTION("""COMPUTED_VALUE"""),"ENTREGADO")</f>
        <v>ENTREGADO</v>
      </c>
      <c r="L1981" s="65" t="str">
        <f>IFERROR(__xludf.DUMMYFUNCTION("""COMPUTED_VALUE"""),"CON RECAUDO")</f>
        <v>CON RECAUDO</v>
      </c>
      <c r="M1981" s="65" t="str">
        <f>IFERROR(__xludf.DUMMYFUNCTION("""COMPUTED_VALUE"""),"EL ORO")</f>
        <v>EL ORO</v>
      </c>
      <c r="N1981" s="65" t="str">
        <f>IFERROR(__xludf.DUMMYFUNCTION("""COMPUTED_VALUE"""),"MACHALA")</f>
        <v>MACHALA</v>
      </c>
      <c r="O1981" s="65" t="str">
        <f>IFERROR(__xludf.DUMMYFUNCTION("""COMPUTED_VALUE"""),"Av. Buena vista y Séptima Avenida, Única villa - Ref. Detrás del Colegio República del Ecuador.")</f>
        <v>Av. Buena vista y Séptima Avenida, Única villa - Ref. Detrás del Colegio República del Ecuador.</v>
      </c>
      <c r="P1981" s="65"/>
      <c r="Q1981" s="65" t="str">
        <f>IFERROR(__xludf.DUMMYFUNCTION("""COMPUTED_VALUE"""),"GINTRACOM")</f>
        <v>GINTRACOM</v>
      </c>
      <c r="R1981" s="65">
        <f>IFERROR(__xludf.DUMMYFUNCTION("""COMPUTED_VALUE"""),22.0)</f>
        <v>22</v>
      </c>
      <c r="S1981" s="65">
        <f>IFERROR(__xludf.DUMMYFUNCTION("""COMPUTED_VALUE"""),10.96)</f>
        <v>10.96</v>
      </c>
      <c r="T1981" s="65">
        <f>IFERROR(__xludf.DUMMYFUNCTION("""COMPUTED_VALUE"""),5.84)</f>
        <v>5.84</v>
      </c>
      <c r="U1981" s="65">
        <f>IFERROR(__xludf.DUMMYFUNCTION("""COMPUTED_VALUE"""),0.0)</f>
        <v>0</v>
      </c>
      <c r="V1981" s="65">
        <f>IFERROR(__xludf.DUMMYFUNCTION("""COMPUTED_VALUE"""),0.0)</f>
        <v>0</v>
      </c>
      <c r="W1981" s="65">
        <f>IFERROR(__xludf.DUMMYFUNCTION("""COMPUTED_VALUE"""),0.0)</f>
        <v>0</v>
      </c>
      <c r="X1981" s="65">
        <f>IFERROR(__xludf.DUMMYFUNCTION("""COMPUTED_VALUE"""),2.6)</f>
        <v>2.6</v>
      </c>
      <c r="Y1981" s="65">
        <f>IFERROR(__xludf.DUMMYFUNCTION("""COMPUTED_VALUE"""),5.2)</f>
        <v>5.2</v>
      </c>
      <c r="Z1981" s="65">
        <f>IFERROR(__xludf.DUMMYFUNCTION("""COMPUTED_VALUE"""),121983.0)</f>
        <v>121983</v>
      </c>
      <c r="AA1981" s="65" t="str">
        <f>IFERROR(__xludf.DUMMYFUNCTION("""COMPUTED_VALUE"""),"PROV-CHLLCF")</f>
        <v>PROV-CHLLCF</v>
      </c>
      <c r="AB1981" s="65"/>
      <c r="AC1981" s="65" t="str">
        <f>IFERROR(__xludf.DUMMYFUNCTION("""COMPUTED_VALUE"""),"CUCHILLO PARA CHEF")</f>
        <v>CUCHILLO PARA CHEF</v>
      </c>
      <c r="AD1981" s="65"/>
      <c r="AE1981" s="65">
        <f>IFERROR(__xludf.DUMMYFUNCTION("""COMPUTED_VALUE"""),2.0)</f>
        <v>2</v>
      </c>
      <c r="AF1981" s="65"/>
      <c r="AG1981" s="65"/>
      <c r="AH1981" s="65"/>
      <c r="AI1981" s="65"/>
      <c r="AJ1981" s="65"/>
      <c r="AK1981" s="65"/>
      <c r="AL1981" s="65"/>
      <c r="AM1981" s="65"/>
      <c r="AN1981" s="65" t="str">
        <f>IFERROR(__xludf.DUMMYFUNCTION("""COMPUTED_VALUE"""),"09:17")</f>
        <v>09:17</v>
      </c>
      <c r="AO1981" s="65" t="str">
        <f>IFERROR(__xludf.DUMMYFUNCTION("""COMPUTED_VALUE"""),"15-01-2026")</f>
        <v>15-01-2026</v>
      </c>
      <c r="AP1981" s="65" t="str">
        <f>IFERROR(__xludf.DUMMYFUNCTION("""COMPUTED_VALUE"""),"EN REPARTO")</f>
        <v>EN REPARTO</v>
      </c>
      <c r="AQ1981" s="65" t="str">
        <f>IFERROR(__xludf.DUMMYFUNCTION("""COMPUTED_VALUE"""),"EN REPARTO")</f>
        <v>EN REPARTO</v>
      </c>
      <c r="AR1981" s="65"/>
      <c r="AS1981" s="65"/>
      <c r="AT1981" s="65" t="str">
        <f>IFERROR(__xludf.DUMMYFUNCTION("""COMPUTED_VALUE"""),"SHOPIFY")</f>
        <v>SHOPIFY</v>
      </c>
      <c r="AU1981" s="65" t="str">
        <f>IFERROR(__xludf.DUMMYFUNCTION("""COMPUTED_VALUE"""),"IMPORTEX EC")</f>
        <v>IMPORTEX EC</v>
      </c>
      <c r="AV1981" s="65" t="str">
        <f>IFERROR(__xludf.DUMMYFUNCTION("""COMPUTED_VALUE"""),"6408349319212")</f>
        <v>6408349319212</v>
      </c>
      <c r="AW1981" s="65">
        <f>IFERROR(__xludf.DUMMYFUNCTION("""COMPUTED_VALUE"""),4993.0)</f>
        <v>4993</v>
      </c>
      <c r="AX1981" s="65"/>
      <c r="AY1981" s="65" t="str">
        <f>IFERROR(__xludf.DUMMYFUNCTION("""COMPUTED_VALUE"""),"13/01/2026")</f>
        <v>13/01/2026</v>
      </c>
      <c r="AZ1981" s="65"/>
      <c r="BA1981" s="65"/>
    </row>
    <row r="1982">
      <c r="A1982" s="65" t="str">
        <f>IFERROR(__xludf.DUMMYFUNCTION("""COMPUTED_VALUE"""),"27-03-2026")</f>
        <v>27-03-2026</v>
      </c>
      <c r="B1982" s="65">
        <f>IFERROR(__xludf.DUMMYFUNCTION("""COMPUTED_VALUE"""),4112473.0)</f>
        <v>4112473</v>
      </c>
      <c r="C1982" s="65" t="str">
        <f>IFERROR(__xludf.DUMMYFUNCTION("""COMPUTED_VALUE"""),"23:53")</f>
        <v>23:53</v>
      </c>
      <c r="D1982" s="65" t="str">
        <f>IFERROR(__xludf.DUMMYFUNCTION("""COMPUTED_VALUE"""),"11-01-2026")</f>
        <v>11-01-2026</v>
      </c>
      <c r="E1982" s="65" t="str">
        <f>IFERROR(__xludf.DUMMYFUNCTION("""COMPUTED_VALUE"""),"Rogelio Loor Tobar")</f>
        <v>Rogelio Loor Tobar</v>
      </c>
      <c r="F1982" s="65" t="str">
        <f>IFERROR(__xludf.DUMMYFUNCTION("""COMPUTED_VALUE"""),"994064250")</f>
        <v>994064250</v>
      </c>
      <c r="G1982" s="65" t="str">
        <f>IFERROR(__xludf.DUMMYFUNCTION("""COMPUTED_VALUE"""),"loor_to_bar@yahoo.com")</f>
        <v>loor_to_bar@yahoo.com</v>
      </c>
      <c r="H1982" s="65"/>
      <c r="I1982" s="65"/>
      <c r="J1982" s="65" t="str">
        <f>IFERROR(__xludf.DUMMYFUNCTION("""COMPUTED_VALUE"""),"D001218354")</f>
        <v>D001218354</v>
      </c>
      <c r="K1982" s="65" t="str">
        <f>IFERROR(__xludf.DUMMYFUNCTION("""COMPUTED_VALUE"""),"ENTREGADO")</f>
        <v>ENTREGADO</v>
      </c>
      <c r="L1982" s="65" t="str">
        <f>IFERROR(__xludf.DUMMYFUNCTION("""COMPUTED_VALUE"""),"CON RECAUDO")</f>
        <v>CON RECAUDO</v>
      </c>
      <c r="M1982" s="65" t="str">
        <f>IFERROR(__xludf.DUMMYFUNCTION("""COMPUTED_VALUE"""),"MANABI")</f>
        <v>MANABI</v>
      </c>
      <c r="N1982" s="65" t="str">
        <f>IFERROR(__xludf.DUMMYFUNCTION("""COMPUTED_VALUE"""),"PORTOVIEJO")</f>
        <v>PORTOVIEJO</v>
      </c>
      <c r="O1982" s="65" t="str">
        <f>IFERROR(__xludf.DUMMYFUNCTION("""COMPUTED_VALUE"""),"Ciudadela San Cristóbal - Calle 27 de Junio y Calle Atanasio Santos - Ref. A lado del parque del sector")</f>
        <v>Ciudadela San Cristóbal - Calle 27 de Junio y Calle Atanasio Santos - Ref. A lado del parque del sector</v>
      </c>
      <c r="P1982" s="65"/>
      <c r="Q1982" s="65" t="str">
        <f>IFERROR(__xludf.DUMMYFUNCTION("""COMPUTED_VALUE"""),"GINTRACOM")</f>
        <v>GINTRACOM</v>
      </c>
      <c r="R1982" s="65">
        <f>IFERROR(__xludf.DUMMYFUNCTION("""COMPUTED_VALUE"""),22.0)</f>
        <v>22</v>
      </c>
      <c r="S1982" s="65">
        <f>IFERROR(__xludf.DUMMYFUNCTION("""COMPUTED_VALUE"""),10.96)</f>
        <v>10.96</v>
      </c>
      <c r="T1982" s="65">
        <f>IFERROR(__xludf.DUMMYFUNCTION("""COMPUTED_VALUE"""),5.84)</f>
        <v>5.84</v>
      </c>
      <c r="U1982" s="65">
        <f>IFERROR(__xludf.DUMMYFUNCTION("""COMPUTED_VALUE"""),0.0)</f>
        <v>0</v>
      </c>
      <c r="V1982" s="65">
        <f>IFERROR(__xludf.DUMMYFUNCTION("""COMPUTED_VALUE"""),0.0)</f>
        <v>0</v>
      </c>
      <c r="W1982" s="65">
        <f>IFERROR(__xludf.DUMMYFUNCTION("""COMPUTED_VALUE"""),0.0)</f>
        <v>0</v>
      </c>
      <c r="X1982" s="65">
        <f>IFERROR(__xludf.DUMMYFUNCTION("""COMPUTED_VALUE"""),2.6)</f>
        <v>2.6</v>
      </c>
      <c r="Y1982" s="65">
        <f>IFERROR(__xludf.DUMMYFUNCTION("""COMPUTED_VALUE"""),5.2)</f>
        <v>5.2</v>
      </c>
      <c r="Z1982" s="65">
        <f>IFERROR(__xludf.DUMMYFUNCTION("""COMPUTED_VALUE"""),121983.0)</f>
        <v>121983</v>
      </c>
      <c r="AA1982" s="65" t="str">
        <f>IFERROR(__xludf.DUMMYFUNCTION("""COMPUTED_VALUE"""),"PROV-CHLLCF")</f>
        <v>PROV-CHLLCF</v>
      </c>
      <c r="AB1982" s="65"/>
      <c r="AC1982" s="65" t="str">
        <f>IFERROR(__xludf.DUMMYFUNCTION("""COMPUTED_VALUE"""),"CUCHILLO PARA CHEF")</f>
        <v>CUCHILLO PARA CHEF</v>
      </c>
      <c r="AD1982" s="65"/>
      <c r="AE1982" s="65">
        <f>IFERROR(__xludf.DUMMYFUNCTION("""COMPUTED_VALUE"""),2.0)</f>
        <v>2</v>
      </c>
      <c r="AF1982" s="65"/>
      <c r="AG1982" s="65"/>
      <c r="AH1982" s="65"/>
      <c r="AI1982" s="65"/>
      <c r="AJ1982" s="65"/>
      <c r="AK1982" s="65"/>
      <c r="AL1982" s="65"/>
      <c r="AM1982" s="65"/>
      <c r="AN1982" s="65" t="str">
        <f>IFERROR(__xludf.DUMMYFUNCTION("""COMPUTED_VALUE"""),"12:06")</f>
        <v>12:06</v>
      </c>
      <c r="AO1982" s="65" t="str">
        <f>IFERROR(__xludf.DUMMYFUNCTION("""COMPUTED_VALUE"""),"16-01-2026")</f>
        <v>16-01-2026</v>
      </c>
      <c r="AP1982" s="65" t="str">
        <f>IFERROR(__xludf.DUMMYFUNCTION("""COMPUTED_VALUE"""),"DESTINATARIO RE-PROGRAMA FECHA DE ENTREGA")</f>
        <v>DESTINATARIO RE-PROGRAMA FECHA DE ENTREGA</v>
      </c>
      <c r="AQ1982" s="65" t="str">
        <f>IFERROR(__xludf.DUMMYFUNCTION("""COMPUTED_VALUE"""),"DESTINATARIO RE-PROGRAMA FECHA DE ENTREGA")</f>
        <v>DESTINATARIO RE-PROGRAMA FECHA DE ENTREGA</v>
      </c>
      <c r="AR1982" s="65"/>
      <c r="AS1982" s="65"/>
      <c r="AT1982" s="65" t="str">
        <f>IFERROR(__xludf.DUMMYFUNCTION("""COMPUTED_VALUE"""),"SHOPIFY")</f>
        <v>SHOPIFY</v>
      </c>
      <c r="AU1982" s="65" t="str">
        <f>IFERROR(__xludf.DUMMYFUNCTION("""COMPUTED_VALUE"""),"IMPORTEX EC")</f>
        <v>IMPORTEX EC</v>
      </c>
      <c r="AV1982" s="65" t="str">
        <f>IFERROR(__xludf.DUMMYFUNCTION("""COMPUTED_VALUE"""),"6408283029548")</f>
        <v>6408283029548</v>
      </c>
      <c r="AW1982" s="65">
        <f>IFERROR(__xludf.DUMMYFUNCTION("""COMPUTED_VALUE"""),4992.0)</f>
        <v>4992</v>
      </c>
      <c r="AX1982" s="65"/>
      <c r="AY1982" s="65" t="str">
        <f>IFERROR(__xludf.DUMMYFUNCTION("""COMPUTED_VALUE"""),"13/01/2026")</f>
        <v>13/01/2026</v>
      </c>
      <c r="AZ1982" s="65"/>
      <c r="BA1982" s="65"/>
    </row>
    <row r="1983">
      <c r="A1983" s="65" t="str">
        <f>IFERROR(__xludf.DUMMYFUNCTION("""COMPUTED_VALUE"""),"27-03-2026")</f>
        <v>27-03-2026</v>
      </c>
      <c r="B1983" s="65">
        <f>IFERROR(__xludf.DUMMYFUNCTION("""COMPUTED_VALUE"""),4112227.0)</f>
        <v>4112227</v>
      </c>
      <c r="C1983" s="65" t="str">
        <f>IFERROR(__xludf.DUMMYFUNCTION("""COMPUTED_VALUE"""),"23:31")</f>
        <v>23:31</v>
      </c>
      <c r="D1983" s="65" t="str">
        <f>IFERROR(__xludf.DUMMYFUNCTION("""COMPUTED_VALUE"""),"11-01-2026")</f>
        <v>11-01-2026</v>
      </c>
      <c r="E1983" s="65" t="str">
        <f>IFERROR(__xludf.DUMMYFUNCTION("""COMPUTED_VALUE"""),"Jefferson eduardo Zambrano Rodriguez")</f>
        <v>Jefferson eduardo Zambrano Rodriguez</v>
      </c>
      <c r="F1983" s="65" t="str">
        <f>IFERROR(__xludf.DUMMYFUNCTION("""COMPUTED_VALUE"""),"983174370")</f>
        <v>983174370</v>
      </c>
      <c r="G1983" s="65" t="str">
        <f>IFERROR(__xludf.DUMMYFUNCTION("""COMPUTED_VALUE"""),"jeeffzambrano@outloock.com")</f>
        <v>jeeffzambrano@outloock.com</v>
      </c>
      <c r="H1983" s="65"/>
      <c r="I1983" s="65"/>
      <c r="J1983" s="65" t="str">
        <f>IFERROR(__xludf.DUMMYFUNCTION("""COMPUTED_VALUE"""),"D001218357")</f>
        <v>D001218357</v>
      </c>
      <c r="K1983" s="65" t="str">
        <f>IFERROR(__xludf.DUMMYFUNCTION("""COMPUTED_VALUE"""),"DEVOLUCION")</f>
        <v>DEVOLUCION</v>
      </c>
      <c r="L1983" s="65" t="str">
        <f>IFERROR(__xludf.DUMMYFUNCTION("""COMPUTED_VALUE"""),"CON RECAUDO")</f>
        <v>CON RECAUDO</v>
      </c>
      <c r="M1983" s="65" t="str">
        <f>IFERROR(__xludf.DUMMYFUNCTION("""COMPUTED_VALUE"""),"PASTAZA")</f>
        <v>PASTAZA</v>
      </c>
      <c r="N1983" s="65" t="str">
        <f>IFERROR(__xludf.DUMMYFUNCTION("""COMPUTED_VALUE"""),"PUYO")</f>
        <v>PUYO</v>
      </c>
      <c r="O1983" s="65" t="str">
        <f>IFERROR(__xludf.DUMMYFUNCTION("""COMPUTED_VALUE"""),"Puyo Sector Los Ángeles - Av. Alberto Zambrano y 9 de Octubre")</f>
        <v>Puyo Sector Los Ángeles - Av. Alberto Zambrano y 9 de Octubre</v>
      </c>
      <c r="P1983" s="65"/>
      <c r="Q1983" s="65" t="str">
        <f>IFERROR(__xludf.DUMMYFUNCTION("""COMPUTED_VALUE"""),"GINTRACOM")</f>
        <v>GINTRACOM</v>
      </c>
      <c r="R1983" s="65">
        <f>IFERROR(__xludf.DUMMYFUNCTION("""COMPUTED_VALUE"""),25.0)</f>
        <v>25</v>
      </c>
      <c r="S1983" s="65"/>
      <c r="T1983" s="65">
        <f>IFERROR(__xludf.DUMMYFUNCTION("""COMPUTED_VALUE"""),5.96)</f>
        <v>5.96</v>
      </c>
      <c r="U1983" s="65">
        <f>IFERROR(__xludf.DUMMYFUNCTION("""COMPUTED_VALUE"""),0.0)</f>
        <v>0</v>
      </c>
      <c r="V1983" s="65">
        <f>IFERROR(__xludf.DUMMYFUNCTION("""COMPUTED_VALUE"""),0.0)</f>
        <v>0</v>
      </c>
      <c r="W1983" s="65">
        <f>IFERROR(__xludf.DUMMYFUNCTION("""COMPUTED_VALUE"""),0.0)</f>
        <v>0</v>
      </c>
      <c r="X1983" s="65">
        <f>IFERROR(__xludf.DUMMYFUNCTION("""COMPUTED_VALUE"""),2.79)</f>
        <v>2.79</v>
      </c>
      <c r="Y1983" s="65">
        <f>IFERROR(__xludf.DUMMYFUNCTION("""COMPUTED_VALUE"""),5.58)</f>
        <v>5.58</v>
      </c>
      <c r="Z1983" s="65">
        <f>IFERROR(__xludf.DUMMYFUNCTION("""COMPUTED_VALUE"""),120732.0)</f>
        <v>120732</v>
      </c>
      <c r="AA1983" s="65" t="str">
        <f>IFERROR(__xludf.DUMMYFUNCTION("""COMPUTED_VALUE"""),"PROV-LMPVT")</f>
        <v>PROV-LMPVT</v>
      </c>
      <c r="AB1983" s="65"/>
      <c r="AC1983" s="65" t="str">
        <f>IFERROR(__xludf.DUMMYFUNCTION("""COMPUTED_VALUE"""),"LIMPIADOR DE PARABRISAS Y VENTANAS")</f>
        <v>LIMPIADOR DE PARABRISAS Y VENTANAS</v>
      </c>
      <c r="AD1983" s="65"/>
      <c r="AE1983" s="65">
        <f>IFERROR(__xludf.DUMMYFUNCTION("""COMPUTED_VALUE"""),2.0)</f>
        <v>2</v>
      </c>
      <c r="AF1983" s="65" t="str">
        <f>IFERROR(__xludf.DUMMYFUNCTION("""COMPUTED_VALUE"""),"DESTINATARIO NO CONTESTA LLAMADAS NI WHATSAPP")</f>
        <v>DESTINATARIO NO CONTESTA LLAMADAS NI WHATSAPP</v>
      </c>
      <c r="AG1983" s="65" t="str">
        <f>IFERROR(__xludf.DUMMYFUNCTION("""COMPUTED_VALUE"""),"SI")</f>
        <v>SI</v>
      </c>
      <c r="AH1983" s="65" t="str">
        <f>IFERROR(__xludf.DUMMYFUNCTION("""COMPUTED_VALUE"""),"09:00")</f>
        <v>09:00</v>
      </c>
      <c r="AI1983" s="65" t="str">
        <f>IFERROR(__xludf.DUMMYFUNCTION("""COMPUTED_VALUE"""),"20-01-2026")</f>
        <v>20-01-2026</v>
      </c>
      <c r="AJ1983" s="65" t="str">
        <f>IFERROR(__xludf.DUMMYFUNCTION("""COMPUTED_VALUE"""),"DEVOLVER AL REMITENTE")</f>
        <v>DEVOLVER AL REMITENTE</v>
      </c>
      <c r="AK1983" s="65" t="str">
        <f>IFERROR(__xludf.DUMMYFUNCTION("""COMPUTED_VALUE"""),"16:55")</f>
        <v>16:55</v>
      </c>
      <c r="AL1983" s="65" t="str">
        <f>IFERROR(__xludf.DUMMYFUNCTION("""COMPUTED_VALUE"""),"21-01-2026")</f>
        <v>21-01-2026</v>
      </c>
      <c r="AM1983" s="65"/>
      <c r="AN1983" s="65" t="str">
        <f>IFERROR(__xludf.DUMMYFUNCTION("""COMPUTED_VALUE"""),"13:15")</f>
        <v>13:15</v>
      </c>
      <c r="AO1983" s="65" t="str">
        <f>IFERROR(__xludf.DUMMYFUNCTION("""COMPUTED_VALUE"""),"05-02-2026")</f>
        <v>05-02-2026</v>
      </c>
      <c r="AP1983" s="65" t="str">
        <f>IFERROR(__xludf.DUMMYFUNCTION("""COMPUTED_VALUE"""),"DEV CONFIRMADA POR BODEGA")</f>
        <v>DEV CONFIRMADA POR BODEGA</v>
      </c>
      <c r="AQ1983" s="65"/>
      <c r="AR1983" s="65" t="str">
        <f>IFERROR(__xludf.DUMMYFUNCTION("""COMPUTED_VALUE"""),"Gestionado por: PROVEDIX DAMIAN, email:enviogratisdirecto@gmail.com, total de productos en la orden: 1")</f>
        <v>Gestionado por: PROVEDIX DAMIAN, email:enviogratisdirecto@gmail.com, total de productos en la orden: 1</v>
      </c>
      <c r="AS1983" s="65"/>
      <c r="AT1983" s="65" t="str">
        <f>IFERROR(__xludf.DUMMYFUNCTION("""COMPUTED_VALUE"""),"SHOPIFY")</f>
        <v>SHOPIFY</v>
      </c>
      <c r="AU1983" s="65" t="str">
        <f>IFERROR(__xludf.DUMMYFUNCTION("""COMPUTED_VALUE"""),"IMPORTEX EC")</f>
        <v>IMPORTEX EC</v>
      </c>
      <c r="AV1983" s="65" t="str">
        <f>IFERROR(__xludf.DUMMYFUNCTION("""COMPUTED_VALUE"""),"6408252129324")</f>
        <v>6408252129324</v>
      </c>
      <c r="AW1983" s="65">
        <f>IFERROR(__xludf.DUMMYFUNCTION("""COMPUTED_VALUE"""),4991.0)</f>
        <v>4991</v>
      </c>
      <c r="AX1983" s="65"/>
      <c r="AY1983" s="65" t="str">
        <f>IFERROR(__xludf.DUMMYFUNCTION("""COMPUTED_VALUE"""),"13/01/2026")</f>
        <v>13/01/2026</v>
      </c>
      <c r="AZ1983" s="65"/>
      <c r="BA1983" s="65"/>
    </row>
    <row r="1984">
      <c r="A1984" s="65" t="str">
        <f>IFERROR(__xludf.DUMMYFUNCTION("""COMPUTED_VALUE"""),"27-03-2026")</f>
        <v>27-03-2026</v>
      </c>
      <c r="B1984" s="65">
        <f>IFERROR(__xludf.DUMMYFUNCTION("""COMPUTED_VALUE"""),4112195.0)</f>
        <v>4112195</v>
      </c>
      <c r="C1984" s="65" t="str">
        <f>IFERROR(__xludf.DUMMYFUNCTION("""COMPUTED_VALUE"""),"23:29")</f>
        <v>23:29</v>
      </c>
      <c r="D1984" s="65" t="str">
        <f>IFERROR(__xludf.DUMMYFUNCTION("""COMPUTED_VALUE"""),"11-01-2026")</f>
        <v>11-01-2026</v>
      </c>
      <c r="E1984" s="65" t="str">
        <f>IFERROR(__xludf.DUMMYFUNCTION("""COMPUTED_VALUE"""),"Alejandro Toapanta")</f>
        <v>Alejandro Toapanta</v>
      </c>
      <c r="F1984" s="65" t="str">
        <f>IFERROR(__xludf.DUMMYFUNCTION("""COMPUTED_VALUE"""),"992358822")</f>
        <v>992358822</v>
      </c>
      <c r="G1984" s="65" t="str">
        <f>IFERROR(__xludf.DUMMYFUNCTION("""COMPUTED_VALUE"""),"charlyorti11@hotmail.com")</f>
        <v>charlyorti11@hotmail.com</v>
      </c>
      <c r="H1984" s="65"/>
      <c r="I1984" s="65"/>
      <c r="J1984" s="65" t="str">
        <f>IFERROR(__xludf.DUMMYFUNCTION("""COMPUTED_VALUE"""),"D001218358")</f>
        <v>D001218358</v>
      </c>
      <c r="K1984" s="65" t="str">
        <f>IFERROR(__xludf.DUMMYFUNCTION("""COMPUTED_VALUE"""),"ENTREGADO")</f>
        <v>ENTREGADO</v>
      </c>
      <c r="L1984" s="65" t="str">
        <f>IFERROR(__xludf.DUMMYFUNCTION("""COMPUTED_VALUE"""),"CON RECAUDO")</f>
        <v>CON RECAUDO</v>
      </c>
      <c r="M1984" s="65" t="str">
        <f>IFERROR(__xludf.DUMMYFUNCTION("""COMPUTED_VALUE"""),"PICHINCHA")</f>
        <v>PICHINCHA</v>
      </c>
      <c r="N1984" s="65" t="str">
        <f>IFERROR(__xludf.DUMMYFUNCTION("""COMPUTED_VALUE"""),"QUITO")</f>
        <v>QUITO</v>
      </c>
      <c r="O1984" s="65" t="str">
        <f>IFERROR(__xludf.DUMMYFUNCTION("""COMPUTED_VALUE"""),"Maldonado y Malvinas Petroecuador -")</f>
        <v>Maldonado y Malvinas Petroecuador -</v>
      </c>
      <c r="P1984" s="65"/>
      <c r="Q1984" s="65" t="str">
        <f>IFERROR(__xludf.DUMMYFUNCTION("""COMPUTED_VALUE"""),"GINTRACOM")</f>
        <v>GINTRACOM</v>
      </c>
      <c r="R1984" s="65">
        <f>IFERROR(__xludf.DUMMYFUNCTION("""COMPUTED_VALUE"""),22.0)</f>
        <v>22</v>
      </c>
      <c r="S1984" s="65">
        <f>IFERROR(__xludf.DUMMYFUNCTION("""COMPUTED_VALUE"""),10.96)</f>
        <v>10.96</v>
      </c>
      <c r="T1984" s="65">
        <f>IFERROR(__xludf.DUMMYFUNCTION("""COMPUTED_VALUE"""),5.84)</f>
        <v>5.84</v>
      </c>
      <c r="U1984" s="65">
        <f>IFERROR(__xludf.DUMMYFUNCTION("""COMPUTED_VALUE"""),0.0)</f>
        <v>0</v>
      </c>
      <c r="V1984" s="65">
        <f>IFERROR(__xludf.DUMMYFUNCTION("""COMPUTED_VALUE"""),0.0)</f>
        <v>0</v>
      </c>
      <c r="W1984" s="65">
        <f>IFERROR(__xludf.DUMMYFUNCTION("""COMPUTED_VALUE"""),0.0)</f>
        <v>0</v>
      </c>
      <c r="X1984" s="65">
        <f>IFERROR(__xludf.DUMMYFUNCTION("""COMPUTED_VALUE"""),2.6)</f>
        <v>2.6</v>
      </c>
      <c r="Y1984" s="65">
        <f>IFERROR(__xludf.DUMMYFUNCTION("""COMPUTED_VALUE"""),5.2)</f>
        <v>5.2</v>
      </c>
      <c r="Z1984" s="65">
        <f>IFERROR(__xludf.DUMMYFUNCTION("""COMPUTED_VALUE"""),121983.0)</f>
        <v>121983</v>
      </c>
      <c r="AA1984" s="65" t="str">
        <f>IFERROR(__xludf.DUMMYFUNCTION("""COMPUTED_VALUE"""),"PROV-CHLLCF")</f>
        <v>PROV-CHLLCF</v>
      </c>
      <c r="AB1984" s="65"/>
      <c r="AC1984" s="65" t="str">
        <f>IFERROR(__xludf.DUMMYFUNCTION("""COMPUTED_VALUE"""),"CUCHILLO PARA CHEF")</f>
        <v>CUCHILLO PARA CHEF</v>
      </c>
      <c r="AD1984" s="65"/>
      <c r="AE1984" s="65">
        <f>IFERROR(__xludf.DUMMYFUNCTION("""COMPUTED_VALUE"""),2.0)</f>
        <v>2</v>
      </c>
      <c r="AF1984" s="65" t="str">
        <f>IFERROR(__xludf.DUMMYFUNCTION("""COMPUTED_VALUE"""),"DESTINATARIO AGENDA, FECHA Y HORA DE ENTREGA Y YA NO CONTESTA")</f>
        <v>DESTINATARIO AGENDA, FECHA Y HORA DE ENTREGA Y YA NO CONTESTA</v>
      </c>
      <c r="AG1984" s="65" t="str">
        <f>IFERROR(__xludf.DUMMYFUNCTION("""COMPUTED_VALUE"""),"NO")</f>
        <v>NO</v>
      </c>
      <c r="AH1984" s="65" t="str">
        <f>IFERROR(__xludf.DUMMYFUNCTION("""COMPUTED_VALUE"""),"13:54")</f>
        <v>13:54</v>
      </c>
      <c r="AI1984" s="65" t="str">
        <f>IFERROR(__xludf.DUMMYFUNCTION("""COMPUTED_VALUE"""),"23-01-2026")</f>
        <v>23-01-2026</v>
      </c>
      <c r="AJ1984" s="65"/>
      <c r="AK1984" s="65"/>
      <c r="AL1984" s="65"/>
      <c r="AM1984" s="65"/>
      <c r="AN1984" s="65" t="str">
        <f>IFERROR(__xludf.DUMMYFUNCTION("""COMPUTED_VALUE"""),"14:03")</f>
        <v>14:03</v>
      </c>
      <c r="AO1984" s="65" t="str">
        <f>IFERROR(__xludf.DUMMYFUNCTION("""COMPUTED_VALUE"""),"23-01-2026")</f>
        <v>23-01-2026</v>
      </c>
      <c r="AP1984" s="65" t="str">
        <f>IFERROR(__xludf.DUMMYFUNCTION("""COMPUTED_VALUE"""),"ENTREGADA GINTRACOM")</f>
        <v>ENTREGADA GINTRACOM</v>
      </c>
      <c r="AQ1984" s="65" t="str">
        <f>IFERROR(__xludf.DUMMYFUNCTION("""COMPUTED_VALUE"""),"ENTREGADA GINTRACOM")</f>
        <v>ENTREGADA GINTRACOM</v>
      </c>
      <c r="AR1984" s="65"/>
      <c r="AS1984" s="65"/>
      <c r="AT1984" s="65" t="str">
        <f>IFERROR(__xludf.DUMMYFUNCTION("""COMPUTED_VALUE"""),"SHOPIFY")</f>
        <v>SHOPIFY</v>
      </c>
      <c r="AU1984" s="65" t="str">
        <f>IFERROR(__xludf.DUMMYFUNCTION("""COMPUTED_VALUE"""),"IMPORTEX EC")</f>
        <v>IMPORTEX EC</v>
      </c>
      <c r="AV1984" s="65" t="str">
        <f>IFERROR(__xludf.DUMMYFUNCTION("""COMPUTED_VALUE"""),"6408249802796")</f>
        <v>6408249802796</v>
      </c>
      <c r="AW1984" s="65">
        <f>IFERROR(__xludf.DUMMYFUNCTION("""COMPUTED_VALUE"""),4990.0)</f>
        <v>4990</v>
      </c>
      <c r="AX1984" s="65"/>
      <c r="AY1984" s="65" t="str">
        <f>IFERROR(__xludf.DUMMYFUNCTION("""COMPUTED_VALUE"""),"13/01/2026")</f>
        <v>13/01/2026</v>
      </c>
      <c r="AZ1984" s="65"/>
      <c r="BA1984" s="65"/>
    </row>
    <row r="1985">
      <c r="A1985" s="65" t="str">
        <f>IFERROR(__xludf.DUMMYFUNCTION("""COMPUTED_VALUE"""),"27-03-2026")</f>
        <v>27-03-2026</v>
      </c>
      <c r="B1985" s="65">
        <f>IFERROR(__xludf.DUMMYFUNCTION("""COMPUTED_VALUE"""),4112182.0)</f>
        <v>4112182</v>
      </c>
      <c r="C1985" s="65" t="str">
        <f>IFERROR(__xludf.DUMMYFUNCTION("""COMPUTED_VALUE"""),"23:28")</f>
        <v>23:28</v>
      </c>
      <c r="D1985" s="65" t="str">
        <f>IFERROR(__xludf.DUMMYFUNCTION("""COMPUTED_VALUE"""),"11-01-2026")</f>
        <v>11-01-2026</v>
      </c>
      <c r="E1985" s="65" t="str">
        <f>IFERROR(__xludf.DUMMYFUNCTION("""COMPUTED_VALUE"""),"Sergio Ivan Paucar")</f>
        <v>Sergio Ivan Paucar</v>
      </c>
      <c r="F1985" s="65" t="str">
        <f>IFERROR(__xludf.DUMMYFUNCTION("""COMPUTED_VALUE"""),"969113334")</f>
        <v>969113334</v>
      </c>
      <c r="G1985" s="65" t="str">
        <f>IFERROR(__xludf.DUMMYFUNCTION("""COMPUTED_VALUE"""),"sergioivanmccj@gmail.com")</f>
        <v>sergioivanmccj@gmail.com</v>
      </c>
      <c r="H1985" s="65"/>
      <c r="I1985" s="65"/>
      <c r="J1985" s="65" t="str">
        <f>IFERROR(__xludf.DUMMYFUNCTION("""COMPUTED_VALUE"""),"D001218359")</f>
        <v>D001218359</v>
      </c>
      <c r="K1985" s="65" t="str">
        <f>IFERROR(__xludf.DUMMYFUNCTION("""COMPUTED_VALUE"""),"ENTREGADO")</f>
        <v>ENTREGADO</v>
      </c>
      <c r="L1985" s="65" t="str">
        <f>IFERROR(__xludf.DUMMYFUNCTION("""COMPUTED_VALUE"""),"CON RECAUDO")</f>
        <v>CON RECAUDO</v>
      </c>
      <c r="M1985" s="65" t="str">
        <f>IFERROR(__xludf.DUMMYFUNCTION("""COMPUTED_VALUE"""),"PICHINCHA")</f>
        <v>PICHINCHA</v>
      </c>
      <c r="N1985" s="65" t="str">
        <f>IFERROR(__xludf.DUMMYFUNCTION("""COMPUTED_VALUE"""),"QUITO")</f>
        <v>QUITO</v>
      </c>
      <c r="O1985" s="65" t="str">
        <f>IFERROR(__xludf.DUMMYFUNCTION("""COMPUTED_VALUE"""),"Av 10 de Agosto N38-50 y Villalengua Iñaquito... Junto al Santa María -")</f>
        <v>Av 10 de Agosto N38-50 y Villalengua Iñaquito... Junto al Santa María -</v>
      </c>
      <c r="P1985" s="65"/>
      <c r="Q1985" s="65" t="str">
        <f>IFERROR(__xludf.DUMMYFUNCTION("""COMPUTED_VALUE"""),"GINTRACOM")</f>
        <v>GINTRACOM</v>
      </c>
      <c r="R1985" s="65">
        <f>IFERROR(__xludf.DUMMYFUNCTION("""COMPUTED_VALUE"""),30.0)</f>
        <v>30</v>
      </c>
      <c r="S1985" s="65">
        <f>IFERROR(__xludf.DUMMYFUNCTION("""COMPUTED_VALUE"""),15.47)</f>
        <v>15.47</v>
      </c>
      <c r="T1985" s="65">
        <f>IFERROR(__xludf.DUMMYFUNCTION("""COMPUTED_VALUE"""),6.16)</f>
        <v>6.16</v>
      </c>
      <c r="U1985" s="65">
        <f>IFERROR(__xludf.DUMMYFUNCTION("""COMPUTED_VALUE"""),0.0)</f>
        <v>0</v>
      </c>
      <c r="V1985" s="65">
        <f>IFERROR(__xludf.DUMMYFUNCTION("""COMPUTED_VALUE"""),0.0)</f>
        <v>0</v>
      </c>
      <c r="W1985" s="65">
        <f>IFERROR(__xludf.DUMMYFUNCTION("""COMPUTED_VALUE"""),0.0)</f>
        <v>0</v>
      </c>
      <c r="X1985" s="65">
        <f>IFERROR(__xludf.DUMMYFUNCTION("""COMPUTED_VALUE"""),2.79)</f>
        <v>2.79</v>
      </c>
      <c r="Y1985" s="65">
        <f>IFERROR(__xludf.DUMMYFUNCTION("""COMPUTED_VALUE"""),8.37)</f>
        <v>8.37</v>
      </c>
      <c r="Z1985" s="65">
        <f>IFERROR(__xludf.DUMMYFUNCTION("""COMPUTED_VALUE"""),120732.0)</f>
        <v>120732</v>
      </c>
      <c r="AA1985" s="65" t="str">
        <f>IFERROR(__xludf.DUMMYFUNCTION("""COMPUTED_VALUE"""),"PROV-LMPVT")</f>
        <v>PROV-LMPVT</v>
      </c>
      <c r="AB1985" s="65"/>
      <c r="AC1985" s="65" t="str">
        <f>IFERROR(__xludf.DUMMYFUNCTION("""COMPUTED_VALUE"""),"LIMPIADOR DE PARABRISAS Y VENTANAS")</f>
        <v>LIMPIADOR DE PARABRISAS Y VENTANAS</v>
      </c>
      <c r="AD1985" s="65"/>
      <c r="AE1985" s="65">
        <f>IFERROR(__xludf.DUMMYFUNCTION("""COMPUTED_VALUE"""),3.0)</f>
        <v>3</v>
      </c>
      <c r="AF1985" s="65"/>
      <c r="AG1985" s="65"/>
      <c r="AH1985" s="65"/>
      <c r="AI1985" s="65"/>
      <c r="AJ1985" s="65"/>
      <c r="AK1985" s="65"/>
      <c r="AL1985" s="65"/>
      <c r="AM1985" s="65"/>
      <c r="AN1985" s="65" t="str">
        <f>IFERROR(__xludf.DUMMYFUNCTION("""COMPUTED_VALUE"""),"11:51")</f>
        <v>11:51</v>
      </c>
      <c r="AO1985" s="65" t="str">
        <f>IFERROR(__xludf.DUMMYFUNCTION("""COMPUTED_VALUE"""),"14-01-2026")</f>
        <v>14-01-2026</v>
      </c>
      <c r="AP1985" s="65" t="str">
        <f>IFERROR(__xludf.DUMMYFUNCTION("""COMPUTED_VALUE"""),"ENTREGADA GINTRACOM")</f>
        <v>ENTREGADA GINTRACOM</v>
      </c>
      <c r="AQ1985" s="65" t="str">
        <f>IFERROR(__xludf.DUMMYFUNCTION("""COMPUTED_VALUE"""),"ENTREGADA GINTRACOM")</f>
        <v>ENTREGADA GINTRACOM</v>
      </c>
      <c r="AR1985" s="65"/>
      <c r="AS1985" s="65"/>
      <c r="AT1985" s="65" t="str">
        <f>IFERROR(__xludf.DUMMYFUNCTION("""COMPUTED_VALUE"""),"SHOPIFY")</f>
        <v>SHOPIFY</v>
      </c>
      <c r="AU1985" s="65" t="str">
        <f>IFERROR(__xludf.DUMMYFUNCTION("""COMPUTED_VALUE"""),"IMPORTEX EC")</f>
        <v>IMPORTEX EC</v>
      </c>
      <c r="AV1985" s="65" t="str">
        <f>IFERROR(__xludf.DUMMYFUNCTION("""COMPUTED_VALUE"""),"6408247443500")</f>
        <v>6408247443500</v>
      </c>
      <c r="AW1985" s="65">
        <f>IFERROR(__xludf.DUMMYFUNCTION("""COMPUTED_VALUE"""),4989.0)</f>
        <v>4989</v>
      </c>
      <c r="AX1985" s="65"/>
      <c r="AY1985" s="65" t="str">
        <f>IFERROR(__xludf.DUMMYFUNCTION("""COMPUTED_VALUE"""),"13/01/2026")</f>
        <v>13/01/2026</v>
      </c>
      <c r="AZ1985" s="65"/>
      <c r="BA1985" s="65"/>
    </row>
    <row r="1986">
      <c r="A1986" s="65" t="str">
        <f>IFERROR(__xludf.DUMMYFUNCTION("""COMPUTED_VALUE"""),"27-03-2026")</f>
        <v>27-03-2026</v>
      </c>
      <c r="B1986" s="65">
        <f>IFERROR(__xludf.DUMMYFUNCTION("""COMPUTED_VALUE"""),4112045.0)</f>
        <v>4112045</v>
      </c>
      <c r="C1986" s="65" t="str">
        <f>IFERROR(__xludf.DUMMYFUNCTION("""COMPUTED_VALUE"""),"23:19")</f>
        <v>23:19</v>
      </c>
      <c r="D1986" s="65" t="str">
        <f>IFERROR(__xludf.DUMMYFUNCTION("""COMPUTED_VALUE"""),"11-01-2026")</f>
        <v>11-01-2026</v>
      </c>
      <c r="E1986" s="65" t="str">
        <f>IFERROR(__xludf.DUMMYFUNCTION("""COMPUTED_VALUE"""),"Juan Ernesto García Miñaca")</f>
        <v>Juan Ernesto García Miñaca</v>
      </c>
      <c r="F1986" s="65" t="str">
        <f>IFERROR(__xludf.DUMMYFUNCTION("""COMPUTED_VALUE"""),"980743049")</f>
        <v>980743049</v>
      </c>
      <c r="G1986" s="65"/>
      <c r="H1986" s="65"/>
      <c r="I1986" s="65"/>
      <c r="J1986" s="65" t="str">
        <f>IFERROR(__xludf.DUMMYFUNCTION("""COMPUTED_VALUE"""),"D001218363")</f>
        <v>D001218363</v>
      </c>
      <c r="K1986" s="65" t="str">
        <f>IFERROR(__xludf.DUMMYFUNCTION("""COMPUTED_VALUE"""),"ENTREGADO")</f>
        <v>ENTREGADO</v>
      </c>
      <c r="L1986" s="65" t="str">
        <f>IFERROR(__xludf.DUMMYFUNCTION("""COMPUTED_VALUE"""),"CON RECAUDO")</f>
        <v>CON RECAUDO</v>
      </c>
      <c r="M1986" s="65" t="str">
        <f>IFERROR(__xludf.DUMMYFUNCTION("""COMPUTED_VALUE"""),"PICHINCHA")</f>
        <v>PICHINCHA</v>
      </c>
      <c r="N1986" s="65" t="str">
        <f>IFERROR(__xludf.DUMMYFUNCTION("""COMPUTED_VALUE"""),"QUITO")</f>
        <v>QUITO</v>
      </c>
      <c r="O1986" s="65" t="str">
        <f>IFERROR(__xludf.DUMMYFUNCTION("""COMPUTED_VALUE"""),"Vicente Cadena Nuñez Oe2_421 y Galo Molina Atahualpa -")</f>
        <v>Vicente Cadena Nuñez Oe2_421 y Galo Molina Atahualpa -</v>
      </c>
      <c r="P1986" s="65"/>
      <c r="Q1986" s="65" t="str">
        <f>IFERROR(__xludf.DUMMYFUNCTION("""COMPUTED_VALUE"""),"GINTRACOM")</f>
        <v>GINTRACOM</v>
      </c>
      <c r="R1986" s="65">
        <f>IFERROR(__xludf.DUMMYFUNCTION("""COMPUTED_VALUE"""),22.0)</f>
        <v>22</v>
      </c>
      <c r="S1986" s="65">
        <f>IFERROR(__xludf.DUMMYFUNCTION("""COMPUTED_VALUE"""),10.96)</f>
        <v>10.96</v>
      </c>
      <c r="T1986" s="65">
        <f>IFERROR(__xludf.DUMMYFUNCTION("""COMPUTED_VALUE"""),5.84)</f>
        <v>5.84</v>
      </c>
      <c r="U1986" s="65">
        <f>IFERROR(__xludf.DUMMYFUNCTION("""COMPUTED_VALUE"""),0.0)</f>
        <v>0</v>
      </c>
      <c r="V1986" s="65">
        <f>IFERROR(__xludf.DUMMYFUNCTION("""COMPUTED_VALUE"""),0.0)</f>
        <v>0</v>
      </c>
      <c r="W1986" s="65">
        <f>IFERROR(__xludf.DUMMYFUNCTION("""COMPUTED_VALUE"""),0.0)</f>
        <v>0</v>
      </c>
      <c r="X1986" s="65">
        <f>IFERROR(__xludf.DUMMYFUNCTION("""COMPUTED_VALUE"""),2.6)</f>
        <v>2.6</v>
      </c>
      <c r="Y1986" s="65">
        <f>IFERROR(__xludf.DUMMYFUNCTION("""COMPUTED_VALUE"""),5.2)</f>
        <v>5.2</v>
      </c>
      <c r="Z1986" s="65">
        <f>IFERROR(__xludf.DUMMYFUNCTION("""COMPUTED_VALUE"""),121983.0)</f>
        <v>121983</v>
      </c>
      <c r="AA1986" s="65" t="str">
        <f>IFERROR(__xludf.DUMMYFUNCTION("""COMPUTED_VALUE"""),"PROV-CHLLCF")</f>
        <v>PROV-CHLLCF</v>
      </c>
      <c r="AB1986" s="65"/>
      <c r="AC1986" s="65" t="str">
        <f>IFERROR(__xludf.DUMMYFUNCTION("""COMPUTED_VALUE"""),"CUCHILLO PARA CHEF")</f>
        <v>CUCHILLO PARA CHEF</v>
      </c>
      <c r="AD1986" s="65"/>
      <c r="AE1986" s="65">
        <f>IFERROR(__xludf.DUMMYFUNCTION("""COMPUTED_VALUE"""),2.0)</f>
        <v>2</v>
      </c>
      <c r="AF1986" s="65"/>
      <c r="AG1986" s="65"/>
      <c r="AH1986" s="65"/>
      <c r="AI1986" s="65"/>
      <c r="AJ1986" s="65"/>
      <c r="AK1986" s="65"/>
      <c r="AL1986" s="65"/>
      <c r="AM1986" s="65"/>
      <c r="AN1986" s="65" t="str">
        <f>IFERROR(__xludf.DUMMYFUNCTION("""COMPUTED_VALUE"""),"19:00")</f>
        <v>19:00</v>
      </c>
      <c r="AO1986" s="65" t="str">
        <f>IFERROR(__xludf.DUMMYFUNCTION("""COMPUTED_VALUE"""),"16-01-2026")</f>
        <v>16-01-2026</v>
      </c>
      <c r="AP1986" s="65" t="str">
        <f>IFERROR(__xludf.DUMMYFUNCTION("""COMPUTED_VALUE"""),"ENTREGADA GINTRACOM")</f>
        <v>ENTREGADA GINTRACOM</v>
      </c>
      <c r="AQ1986" s="65" t="str">
        <f>IFERROR(__xludf.DUMMYFUNCTION("""COMPUTED_VALUE"""),"ENTREGADA GINTRACOM")</f>
        <v>ENTREGADA GINTRACOM</v>
      </c>
      <c r="AR1986" s="65"/>
      <c r="AS1986" s="65"/>
      <c r="AT1986" s="65" t="str">
        <f>IFERROR(__xludf.DUMMYFUNCTION("""COMPUTED_VALUE"""),"SHOPIFY")</f>
        <v>SHOPIFY</v>
      </c>
      <c r="AU1986" s="65" t="str">
        <f>IFERROR(__xludf.DUMMYFUNCTION("""COMPUTED_VALUE"""),"IMPORTEX EC")</f>
        <v>IMPORTEX EC</v>
      </c>
      <c r="AV1986" s="65" t="str">
        <f>IFERROR(__xludf.DUMMYFUNCTION("""COMPUTED_VALUE"""),"6408230404140")</f>
        <v>6408230404140</v>
      </c>
      <c r="AW1986" s="65">
        <f>IFERROR(__xludf.DUMMYFUNCTION("""COMPUTED_VALUE"""),4988.0)</f>
        <v>4988</v>
      </c>
      <c r="AX1986" s="65"/>
      <c r="AY1986" s="65" t="str">
        <f>IFERROR(__xludf.DUMMYFUNCTION("""COMPUTED_VALUE"""),"13/01/2026")</f>
        <v>13/01/2026</v>
      </c>
      <c r="AZ1986" s="65"/>
      <c r="BA1986" s="65"/>
    </row>
    <row r="1987">
      <c r="A1987" s="65" t="str">
        <f>IFERROR(__xludf.DUMMYFUNCTION("""COMPUTED_VALUE"""),"27-03-2026")</f>
        <v>27-03-2026</v>
      </c>
      <c r="B1987" s="65">
        <f>IFERROR(__xludf.DUMMYFUNCTION("""COMPUTED_VALUE"""),4112014.0)</f>
        <v>4112014</v>
      </c>
      <c r="C1987" s="65" t="str">
        <f>IFERROR(__xludf.DUMMYFUNCTION("""COMPUTED_VALUE"""),"23:16")</f>
        <v>23:16</v>
      </c>
      <c r="D1987" s="65" t="str">
        <f>IFERROR(__xludf.DUMMYFUNCTION("""COMPUTED_VALUE"""),"11-01-2026")</f>
        <v>11-01-2026</v>
      </c>
      <c r="E1987" s="65" t="str">
        <f>IFERROR(__xludf.DUMMYFUNCTION("""COMPUTED_VALUE"""),"Ruth Ramírez Ramirez Loor")</f>
        <v>Ruth Ramírez Ramirez Loor</v>
      </c>
      <c r="F1987" s="65" t="str">
        <f>IFERROR(__xludf.DUMMYFUNCTION("""COMPUTED_VALUE"""),"963081649")</f>
        <v>963081649</v>
      </c>
      <c r="G1987" s="65" t="str">
        <f>IFERROR(__xludf.DUMMYFUNCTION("""COMPUTED_VALUE"""),"ruth_ramirez19711@outlook.com")</f>
        <v>ruth_ramirez19711@outlook.com</v>
      </c>
      <c r="H1987" s="65"/>
      <c r="I1987" s="65"/>
      <c r="J1987" s="65"/>
      <c r="K1987" s="65" t="str">
        <f>IFERROR(__xludf.DUMMYFUNCTION("""COMPUTED_VALUE"""),"CANCELADO")</f>
        <v>CANCELADO</v>
      </c>
      <c r="L1987" s="65" t="str">
        <f>IFERROR(__xludf.DUMMYFUNCTION("""COMPUTED_VALUE"""),"CON RECAUDO")</f>
        <v>CON RECAUDO</v>
      </c>
      <c r="M1987" s="65" t="str">
        <f>IFERROR(__xludf.DUMMYFUNCTION("""COMPUTED_VALUE"""),"GUAYAS")</f>
        <v>GUAYAS</v>
      </c>
      <c r="N1987" s="65" t="str">
        <f>IFERROR(__xludf.DUMMYFUNCTION("""COMPUTED_VALUE"""),"GUAYAQUIL")</f>
        <v>GUAYAQUIL</v>
      </c>
      <c r="O1987" s="65" t="str">
        <f>IFERROR(__xludf.DUMMYFUNCTION("""COMPUTED_VALUE"""),"Guasmo Sur Cooperativa UniÓn De Bananerob.  Bloque 1 maz 2 solar 55 X la entrada de la 76 (1) -")</f>
        <v>Guasmo Sur Cooperativa UniÓn De Bananerob.  Bloque 1 maz 2 solar 55 X la entrada de la 76 (1) -</v>
      </c>
      <c r="P1987" s="65"/>
      <c r="Q1987" s="65" t="str">
        <f>IFERROR(__xludf.DUMMYFUNCTION("""COMPUTED_VALUE"""),"GINTRACOM")</f>
        <v>GINTRACOM</v>
      </c>
      <c r="R1987" s="65">
        <f>IFERROR(__xludf.DUMMYFUNCTION("""COMPUTED_VALUE"""),20.9)</f>
        <v>20.9</v>
      </c>
      <c r="S1987" s="65"/>
      <c r="T1987" s="65">
        <f>IFERROR(__xludf.DUMMYFUNCTION("""COMPUTED_VALUE"""),4.18)</f>
        <v>4.18</v>
      </c>
      <c r="U1987" s="65">
        <f>IFERROR(__xludf.DUMMYFUNCTION("""COMPUTED_VALUE"""),0.0)</f>
        <v>0</v>
      </c>
      <c r="V1987" s="65">
        <f>IFERROR(__xludf.DUMMYFUNCTION("""COMPUTED_VALUE"""),0.0)</f>
        <v>0</v>
      </c>
      <c r="W1987" s="65">
        <f>IFERROR(__xludf.DUMMYFUNCTION("""COMPUTED_VALUE"""),0.0)</f>
        <v>0</v>
      </c>
      <c r="X1987" s="65">
        <f>IFERROR(__xludf.DUMMYFUNCTION("""COMPUTED_VALUE"""),2.6)</f>
        <v>2.6</v>
      </c>
      <c r="Y1987" s="65">
        <f>IFERROR(__xludf.DUMMYFUNCTION("""COMPUTED_VALUE"""),5.2)</f>
        <v>5.2</v>
      </c>
      <c r="Z1987" s="65">
        <f>IFERROR(__xludf.DUMMYFUNCTION("""COMPUTED_VALUE"""),121983.0)</f>
        <v>121983</v>
      </c>
      <c r="AA1987" s="65" t="str">
        <f>IFERROR(__xludf.DUMMYFUNCTION("""COMPUTED_VALUE"""),"PROV-CHLLCF")</f>
        <v>PROV-CHLLCF</v>
      </c>
      <c r="AB1987" s="65"/>
      <c r="AC1987" s="65" t="str">
        <f>IFERROR(__xludf.DUMMYFUNCTION("""COMPUTED_VALUE"""),"CUCHILLO PARA CHEF")</f>
        <v>CUCHILLO PARA CHEF</v>
      </c>
      <c r="AD1987" s="65"/>
      <c r="AE1987" s="65">
        <f>IFERROR(__xludf.DUMMYFUNCTION("""COMPUTED_VALUE"""),2.0)</f>
        <v>2</v>
      </c>
      <c r="AF1987" s="65"/>
      <c r="AG1987" s="65"/>
      <c r="AH1987" s="65"/>
      <c r="AI1987" s="65"/>
      <c r="AJ1987" s="65"/>
      <c r="AK1987" s="65"/>
      <c r="AL1987" s="65"/>
      <c r="AM1987" s="65"/>
      <c r="AN1987" s="65"/>
      <c r="AO1987" s="65"/>
      <c r="AP1987" s="65"/>
      <c r="AQ1987" s="65"/>
      <c r="AR1987" s="65"/>
      <c r="AS1987" s="65"/>
      <c r="AT1987" s="65" t="str">
        <f>IFERROR(__xludf.DUMMYFUNCTION("""COMPUTED_VALUE"""),"SHOPIFY")</f>
        <v>SHOPIFY</v>
      </c>
      <c r="AU1987" s="65" t="str">
        <f>IFERROR(__xludf.DUMMYFUNCTION("""COMPUTED_VALUE"""),"IMPORTEX EC")</f>
        <v>IMPORTEX EC</v>
      </c>
      <c r="AV1987" s="65" t="str">
        <f>IFERROR(__xludf.DUMMYFUNCTION("""COMPUTED_VALUE"""),"6408227881004")</f>
        <v>6408227881004</v>
      </c>
      <c r="AW1987" s="65">
        <f>IFERROR(__xludf.DUMMYFUNCTION("""COMPUTED_VALUE"""),4987.0)</f>
        <v>4987</v>
      </c>
      <c r="AX1987" s="65"/>
      <c r="AY1987" s="65"/>
      <c r="AZ1987" s="65"/>
      <c r="BA1987" s="65"/>
    </row>
    <row r="1988">
      <c r="A1988" s="65" t="str">
        <f>IFERROR(__xludf.DUMMYFUNCTION("""COMPUTED_VALUE"""),"27-03-2026")</f>
        <v>27-03-2026</v>
      </c>
      <c r="B1988" s="65">
        <f>IFERROR(__xludf.DUMMYFUNCTION("""COMPUTED_VALUE"""),4112009.0)</f>
        <v>4112009</v>
      </c>
      <c r="C1988" s="65" t="str">
        <f>IFERROR(__xludf.DUMMYFUNCTION("""COMPUTED_VALUE"""),"23:16")</f>
        <v>23:16</v>
      </c>
      <c r="D1988" s="65" t="str">
        <f>IFERROR(__xludf.DUMMYFUNCTION("""COMPUTED_VALUE"""),"11-01-2026")</f>
        <v>11-01-2026</v>
      </c>
      <c r="E1988" s="65" t="str">
        <f>IFERROR(__xludf.DUMMYFUNCTION("""COMPUTED_VALUE"""),"Jose Luis Velarde Solari")</f>
        <v>Jose Luis Velarde Solari</v>
      </c>
      <c r="F1988" s="65" t="str">
        <f>IFERROR(__xludf.DUMMYFUNCTION("""COMPUTED_VALUE"""),"959617673")</f>
        <v>959617673</v>
      </c>
      <c r="G1988" s="65" t="str">
        <f>IFERROR(__xludf.DUMMYFUNCTION("""COMPUTED_VALUE"""),"jvelardesolari@gmail.com")</f>
        <v>jvelardesolari@gmail.com</v>
      </c>
      <c r="H1988" s="65"/>
      <c r="I1988" s="65"/>
      <c r="J1988" s="65" t="str">
        <f>IFERROR(__xludf.DUMMYFUNCTION("""COMPUTED_VALUE"""),"186966915")</f>
        <v>186966915</v>
      </c>
      <c r="K1988" s="65" t="str">
        <f>IFERROR(__xludf.DUMMYFUNCTION("""COMPUTED_VALUE"""),"DEVOLUCION")</f>
        <v>DEVOLUCION</v>
      </c>
      <c r="L1988" s="65" t="str">
        <f>IFERROR(__xludf.DUMMYFUNCTION("""COMPUTED_VALUE"""),"CON RECAUDO")</f>
        <v>CON RECAUDO</v>
      </c>
      <c r="M1988" s="65" t="str">
        <f>IFERROR(__xludf.DUMMYFUNCTION("""COMPUTED_VALUE"""),"GUAYAS")</f>
        <v>GUAYAS</v>
      </c>
      <c r="N1988" s="65" t="str">
        <f>IFERROR(__xludf.DUMMYFUNCTION("""COMPUTED_VALUE"""),"LOMAS DE SARGENTILLO")</f>
        <v>LOMAS DE SARGENTILLO</v>
      </c>
      <c r="O1988" s="65" t="str">
        <f>IFERROR(__xludf.DUMMYFUNCTION("""COMPUTED_VALUE"""),"Calle Daule y Calle San Vicente Barrio Daule  , como referencia estoy a media cuadra de la casa del Ex Alcalde Elvis Espinoza,")</f>
        <v>Calle Daule y Calle San Vicente Barrio Daule  , como referencia estoy a media cuadra de la casa del Ex Alcalde Elvis Espinoza,</v>
      </c>
      <c r="P1988" s="65"/>
      <c r="Q1988" s="65" t="str">
        <f>IFERROR(__xludf.DUMMYFUNCTION("""COMPUTED_VALUE"""),"SERVIENTREGA")</f>
        <v>SERVIENTREGA</v>
      </c>
      <c r="R1988" s="65">
        <f>IFERROR(__xludf.DUMMYFUNCTION("""COMPUTED_VALUE"""),22.0)</f>
        <v>22</v>
      </c>
      <c r="S1988" s="65"/>
      <c r="T1988" s="65">
        <f>IFERROR(__xludf.DUMMYFUNCTION("""COMPUTED_VALUE"""),7.7)</f>
        <v>7.7</v>
      </c>
      <c r="U1988" s="65">
        <f>IFERROR(__xludf.DUMMYFUNCTION("""COMPUTED_VALUE"""),0.0)</f>
        <v>0</v>
      </c>
      <c r="V1988" s="65">
        <f>IFERROR(__xludf.DUMMYFUNCTION("""COMPUTED_VALUE"""),0.0)</f>
        <v>0</v>
      </c>
      <c r="W1988" s="65">
        <f>IFERROR(__xludf.DUMMYFUNCTION("""COMPUTED_VALUE"""),0.0)</f>
        <v>0</v>
      </c>
      <c r="X1988" s="65">
        <f>IFERROR(__xludf.DUMMYFUNCTION("""COMPUTED_VALUE"""),2.6)</f>
        <v>2.6</v>
      </c>
      <c r="Y1988" s="65">
        <f>IFERROR(__xludf.DUMMYFUNCTION("""COMPUTED_VALUE"""),5.2)</f>
        <v>5.2</v>
      </c>
      <c r="Z1988" s="65">
        <f>IFERROR(__xludf.DUMMYFUNCTION("""COMPUTED_VALUE"""),121983.0)</f>
        <v>121983</v>
      </c>
      <c r="AA1988" s="65" t="str">
        <f>IFERROR(__xludf.DUMMYFUNCTION("""COMPUTED_VALUE"""),"PROV-CHLLCF")</f>
        <v>PROV-CHLLCF</v>
      </c>
      <c r="AB1988" s="65"/>
      <c r="AC1988" s="65" t="str">
        <f>IFERROR(__xludf.DUMMYFUNCTION("""COMPUTED_VALUE"""),"CUCHILLO PARA CHEF")</f>
        <v>CUCHILLO PARA CHEF</v>
      </c>
      <c r="AD1988" s="65"/>
      <c r="AE1988" s="65">
        <f>IFERROR(__xludf.DUMMYFUNCTION("""COMPUTED_VALUE"""),2.0)</f>
        <v>2</v>
      </c>
      <c r="AF1988" s="65" t="str">
        <f>IFERROR(__xludf.DUMMYFUNCTION("""COMPUTED_VALUE"""),"DEVOLUCION AL REMITENTE")</f>
        <v>DEVOLUCION AL REMITENTE</v>
      </c>
      <c r="AG1988" s="65" t="str">
        <f>IFERROR(__xludf.DUMMYFUNCTION("""COMPUTED_VALUE"""),"NO")</f>
        <v>NO</v>
      </c>
      <c r="AH1988" s="65" t="str">
        <f>IFERROR(__xludf.DUMMYFUNCTION("""COMPUTED_VALUE"""),"13:42")</f>
        <v>13:42</v>
      </c>
      <c r="AI1988" s="65" t="str">
        <f>IFERROR(__xludf.DUMMYFUNCTION("""COMPUTED_VALUE"""),"19-01-2026")</f>
        <v>19-01-2026</v>
      </c>
      <c r="AJ1988" s="65"/>
      <c r="AK1988" s="65"/>
      <c r="AL1988" s="65"/>
      <c r="AM1988" s="65"/>
      <c r="AN1988" s="65" t="str">
        <f>IFERROR(__xludf.DUMMYFUNCTION("""COMPUTED_VALUE"""),"10:15")</f>
        <v>10:15</v>
      </c>
      <c r="AO1988" s="65" t="str">
        <f>IFERROR(__xludf.DUMMYFUNCTION("""COMPUTED_VALUE"""),"23-01-2026")</f>
        <v>23-01-2026</v>
      </c>
      <c r="AP1988" s="65" t="str">
        <f>IFERROR(__xludf.DUMMYFUNCTION("""COMPUTED_VALUE"""),"DEVOLUCION AL REMITENTE")</f>
        <v>DEVOLUCION AL REMITENTE</v>
      </c>
      <c r="AQ1988" s="65" t="str">
        <f>IFERROR(__xludf.DUMMYFUNCTION("""COMPUTED_VALUE"""),"{}")</f>
        <v>{}</v>
      </c>
      <c r="AR1988" s="65"/>
      <c r="AS1988" s="65"/>
      <c r="AT1988" s="65" t="str">
        <f>IFERROR(__xludf.DUMMYFUNCTION("""COMPUTED_VALUE"""),"SHOPIFY")</f>
        <v>SHOPIFY</v>
      </c>
      <c r="AU1988" s="65" t="str">
        <f>IFERROR(__xludf.DUMMYFUNCTION("""COMPUTED_VALUE"""),"IMPORTEX EC")</f>
        <v>IMPORTEX EC</v>
      </c>
      <c r="AV1988" s="65" t="str">
        <f>IFERROR(__xludf.DUMMYFUNCTION("""COMPUTED_VALUE"""),"6408226603052")</f>
        <v>6408226603052</v>
      </c>
      <c r="AW1988" s="65">
        <f>IFERROR(__xludf.DUMMYFUNCTION("""COMPUTED_VALUE"""),4986.0)</f>
        <v>4986</v>
      </c>
      <c r="AX1988" s="65"/>
      <c r="AY1988" s="65" t="str">
        <f>IFERROR(__xludf.DUMMYFUNCTION("""COMPUTED_VALUE"""),"13/01/2026")</f>
        <v>13/01/2026</v>
      </c>
      <c r="AZ1988" s="65"/>
      <c r="BA1988" s="65"/>
    </row>
    <row r="1989">
      <c r="A1989" s="65" t="str">
        <f>IFERROR(__xludf.DUMMYFUNCTION("""COMPUTED_VALUE"""),"27-03-2026")</f>
        <v>27-03-2026</v>
      </c>
      <c r="B1989" s="65">
        <f>IFERROR(__xludf.DUMMYFUNCTION("""COMPUTED_VALUE"""),4111844.0)</f>
        <v>4111844</v>
      </c>
      <c r="C1989" s="65" t="str">
        <f>IFERROR(__xludf.DUMMYFUNCTION("""COMPUTED_VALUE"""),"23:04")</f>
        <v>23:04</v>
      </c>
      <c r="D1989" s="65" t="str">
        <f>IFERROR(__xludf.DUMMYFUNCTION("""COMPUTED_VALUE"""),"11-01-2026")</f>
        <v>11-01-2026</v>
      </c>
      <c r="E1989" s="65" t="str">
        <f>IFERROR(__xludf.DUMMYFUNCTION("""COMPUTED_VALUE"""),"Steban Jimenez")</f>
        <v>Steban Jimenez</v>
      </c>
      <c r="F1989" s="65" t="str">
        <f>IFERROR(__xludf.DUMMYFUNCTION("""COMPUTED_VALUE"""),"980240368")</f>
        <v>980240368</v>
      </c>
      <c r="G1989" s="65" t="str">
        <f>IFERROR(__xludf.DUMMYFUNCTION("""COMPUTED_VALUE"""),"sjimenez606@yahoo.com.ar")</f>
        <v>sjimenez606@yahoo.com.ar</v>
      </c>
      <c r="H1989" s="65"/>
      <c r="I1989" s="65"/>
      <c r="J1989" s="65" t="str">
        <f>IFERROR(__xludf.DUMMYFUNCTION("""COMPUTED_VALUE"""),"D001218364")</f>
        <v>D001218364</v>
      </c>
      <c r="K1989" s="65" t="str">
        <f>IFERROR(__xludf.DUMMYFUNCTION("""COMPUTED_VALUE"""),"ENTREGADO")</f>
        <v>ENTREGADO</v>
      </c>
      <c r="L1989" s="65" t="str">
        <f>IFERROR(__xludf.DUMMYFUNCTION("""COMPUTED_VALUE"""),"CON RECAUDO")</f>
        <v>CON RECAUDO</v>
      </c>
      <c r="M1989" s="65" t="str">
        <f>IFERROR(__xludf.DUMMYFUNCTION("""COMPUTED_VALUE"""),"PICHINCHA")</f>
        <v>PICHINCHA</v>
      </c>
      <c r="N1989" s="65" t="str">
        <f>IFERROR(__xludf.DUMMYFUNCTION("""COMPUTED_VALUE"""),"QUITO")</f>
        <v>QUITO</v>
      </c>
      <c r="O1989" s="65" t="str">
        <f>IFERROR(__xludf.DUMMYFUNCTION("""COMPUTED_VALUE"""),"Diogenes paredes y rafael ramos bloque 32 dep 1c La luz -")</f>
        <v>Diogenes paredes y rafael ramos bloque 32 dep 1c La luz -</v>
      </c>
      <c r="P1989" s="65"/>
      <c r="Q1989" s="65" t="str">
        <f>IFERROR(__xludf.DUMMYFUNCTION("""COMPUTED_VALUE"""),"GINTRACOM")</f>
        <v>GINTRACOM</v>
      </c>
      <c r="R1989" s="65">
        <f>IFERROR(__xludf.DUMMYFUNCTION("""COMPUTED_VALUE"""),25.0)</f>
        <v>25</v>
      </c>
      <c r="S1989" s="65">
        <f>IFERROR(__xludf.DUMMYFUNCTION("""COMPUTED_VALUE"""),13.46)</f>
        <v>13.46</v>
      </c>
      <c r="T1989" s="65">
        <f>IFERROR(__xludf.DUMMYFUNCTION("""COMPUTED_VALUE"""),5.96)</f>
        <v>5.96</v>
      </c>
      <c r="U1989" s="65">
        <f>IFERROR(__xludf.DUMMYFUNCTION("""COMPUTED_VALUE"""),0.0)</f>
        <v>0</v>
      </c>
      <c r="V1989" s="65">
        <f>IFERROR(__xludf.DUMMYFUNCTION("""COMPUTED_VALUE"""),0.0)</f>
        <v>0</v>
      </c>
      <c r="W1989" s="65">
        <f>IFERROR(__xludf.DUMMYFUNCTION("""COMPUTED_VALUE"""),0.0)</f>
        <v>0</v>
      </c>
      <c r="X1989" s="65">
        <f>IFERROR(__xludf.DUMMYFUNCTION("""COMPUTED_VALUE"""),2.79)</f>
        <v>2.79</v>
      </c>
      <c r="Y1989" s="65">
        <f>IFERROR(__xludf.DUMMYFUNCTION("""COMPUTED_VALUE"""),5.58)</f>
        <v>5.58</v>
      </c>
      <c r="Z1989" s="65">
        <f>IFERROR(__xludf.DUMMYFUNCTION("""COMPUTED_VALUE"""),120732.0)</f>
        <v>120732</v>
      </c>
      <c r="AA1989" s="65" t="str">
        <f>IFERROR(__xludf.DUMMYFUNCTION("""COMPUTED_VALUE"""),"PROV-LMPVT")</f>
        <v>PROV-LMPVT</v>
      </c>
      <c r="AB1989" s="65"/>
      <c r="AC1989" s="65" t="str">
        <f>IFERROR(__xludf.DUMMYFUNCTION("""COMPUTED_VALUE"""),"LIMPIADOR DE PARABRISAS Y VENTANAS")</f>
        <v>LIMPIADOR DE PARABRISAS Y VENTANAS</v>
      </c>
      <c r="AD1989" s="65"/>
      <c r="AE1989" s="65">
        <f>IFERROR(__xludf.DUMMYFUNCTION("""COMPUTED_VALUE"""),2.0)</f>
        <v>2</v>
      </c>
      <c r="AF1989" s="65"/>
      <c r="AG1989" s="65"/>
      <c r="AH1989" s="65"/>
      <c r="AI1989" s="65"/>
      <c r="AJ1989" s="65"/>
      <c r="AK1989" s="65"/>
      <c r="AL1989" s="65"/>
      <c r="AM1989" s="65"/>
      <c r="AN1989" s="65" t="str">
        <f>IFERROR(__xludf.DUMMYFUNCTION("""COMPUTED_VALUE"""),"11:12")</f>
        <v>11:12</v>
      </c>
      <c r="AO1989" s="65" t="str">
        <f>IFERROR(__xludf.DUMMYFUNCTION("""COMPUTED_VALUE"""),"14-01-2026")</f>
        <v>14-01-2026</v>
      </c>
      <c r="AP1989" s="65" t="str">
        <f>IFERROR(__xludf.DUMMYFUNCTION("""COMPUTED_VALUE"""),"ENTREGADA GINTRACOM")</f>
        <v>ENTREGADA GINTRACOM</v>
      </c>
      <c r="AQ1989" s="65" t="str">
        <f>IFERROR(__xludf.DUMMYFUNCTION("""COMPUTED_VALUE"""),"ENTREGADA GINTRACOM")</f>
        <v>ENTREGADA GINTRACOM</v>
      </c>
      <c r="AR1989" s="65"/>
      <c r="AS1989" s="65"/>
      <c r="AT1989" s="65" t="str">
        <f>IFERROR(__xludf.DUMMYFUNCTION("""COMPUTED_VALUE"""),"SHOPIFY")</f>
        <v>SHOPIFY</v>
      </c>
      <c r="AU1989" s="65" t="str">
        <f>IFERROR(__xludf.DUMMYFUNCTION("""COMPUTED_VALUE"""),"IMPORTEX EC")</f>
        <v>IMPORTEX EC</v>
      </c>
      <c r="AV1989" s="65" t="str">
        <f>IFERROR(__xludf.DUMMYFUNCTION("""COMPUTED_VALUE"""),"6408204320812")</f>
        <v>6408204320812</v>
      </c>
      <c r="AW1989" s="65">
        <f>IFERROR(__xludf.DUMMYFUNCTION("""COMPUTED_VALUE"""),4985.0)</f>
        <v>4985</v>
      </c>
      <c r="AX1989" s="65"/>
      <c r="AY1989" s="65" t="str">
        <f>IFERROR(__xludf.DUMMYFUNCTION("""COMPUTED_VALUE"""),"13/01/2026")</f>
        <v>13/01/2026</v>
      </c>
      <c r="AZ1989" s="65"/>
      <c r="BA1989" s="65"/>
    </row>
    <row r="1990">
      <c r="A1990" s="65" t="str">
        <f>IFERROR(__xludf.DUMMYFUNCTION("""COMPUTED_VALUE"""),"27-03-2026")</f>
        <v>27-03-2026</v>
      </c>
      <c r="B1990" s="65">
        <f>IFERROR(__xludf.DUMMYFUNCTION("""COMPUTED_VALUE"""),4111749.0)</f>
        <v>4111749</v>
      </c>
      <c r="C1990" s="65" t="str">
        <f>IFERROR(__xludf.DUMMYFUNCTION("""COMPUTED_VALUE"""),"22:57")</f>
        <v>22:57</v>
      </c>
      <c r="D1990" s="65" t="str">
        <f>IFERROR(__xludf.DUMMYFUNCTION("""COMPUTED_VALUE"""),"11-01-2026")</f>
        <v>11-01-2026</v>
      </c>
      <c r="E1990" s="65" t="str">
        <f>IFERROR(__xludf.DUMMYFUNCTION("""COMPUTED_VALUE"""),"Elvis Recuenco")</f>
        <v>Elvis Recuenco</v>
      </c>
      <c r="F1990" s="65" t="str">
        <f>IFERROR(__xludf.DUMMYFUNCTION("""COMPUTED_VALUE"""),"988324152")</f>
        <v>988324152</v>
      </c>
      <c r="G1990" s="65" t="str">
        <f>IFERROR(__xludf.DUMMYFUNCTION("""COMPUTED_VALUE"""),"elvisr@outlook.es")</f>
        <v>elvisr@outlook.es</v>
      </c>
      <c r="H1990" s="65"/>
      <c r="I1990" s="65"/>
      <c r="J1990" s="65" t="str">
        <f>IFERROR(__xludf.DUMMYFUNCTION("""COMPUTED_VALUE"""),"186966916")</f>
        <v>186966916</v>
      </c>
      <c r="K1990" s="65" t="str">
        <f>IFERROR(__xludf.DUMMYFUNCTION("""COMPUTED_VALUE"""),"ENTREGADO")</f>
        <v>ENTREGADO</v>
      </c>
      <c r="L1990" s="65" t="str">
        <f>IFERROR(__xludf.DUMMYFUNCTION("""COMPUTED_VALUE"""),"CON RECAUDO")</f>
        <v>CON RECAUDO</v>
      </c>
      <c r="M1990" s="65" t="str">
        <f>IFERROR(__xludf.DUMMYFUNCTION("""COMPUTED_VALUE"""),"CHIMBORAZO")</f>
        <v>CHIMBORAZO</v>
      </c>
      <c r="N1990" s="65" t="str">
        <f>IFERROR(__xludf.DUMMYFUNCTION("""COMPUTED_VALUE"""),"PALLATANGA")</f>
        <v>PALLATANGA</v>
      </c>
      <c r="O1990" s="65" t="str">
        <f>IFERROR(__xludf.DUMMYFUNCTION("""COMPUTED_VALUE"""),"10 de Agosto y jose saltos Junto al parque del buen vivir -")</f>
        <v>10 de Agosto y jose saltos Junto al parque del buen vivir -</v>
      </c>
      <c r="P1990" s="65"/>
      <c r="Q1990" s="65" t="str">
        <f>IFERROR(__xludf.DUMMYFUNCTION("""COMPUTED_VALUE"""),"SERVIENTREGA")</f>
        <v>SERVIENTREGA</v>
      </c>
      <c r="R1990" s="65">
        <f>IFERROR(__xludf.DUMMYFUNCTION("""COMPUTED_VALUE"""),20.0)</f>
        <v>20</v>
      </c>
      <c r="S1990" s="65">
        <f>IFERROR(__xludf.DUMMYFUNCTION("""COMPUTED_VALUE"""),9.54)</f>
        <v>9.54</v>
      </c>
      <c r="T1990" s="65">
        <f>IFERROR(__xludf.DUMMYFUNCTION("""COMPUTED_VALUE"""),7.67)</f>
        <v>7.67</v>
      </c>
      <c r="U1990" s="65">
        <f>IFERROR(__xludf.DUMMYFUNCTION("""COMPUTED_VALUE"""),0.0)</f>
        <v>0</v>
      </c>
      <c r="V1990" s="65">
        <f>IFERROR(__xludf.DUMMYFUNCTION("""COMPUTED_VALUE"""),0.0)</f>
        <v>0</v>
      </c>
      <c r="W1990" s="65">
        <f>IFERROR(__xludf.DUMMYFUNCTION("""COMPUTED_VALUE"""),0.0)</f>
        <v>0</v>
      </c>
      <c r="X1990" s="65">
        <f>IFERROR(__xludf.DUMMYFUNCTION("""COMPUTED_VALUE"""),2.79)</f>
        <v>2.79</v>
      </c>
      <c r="Y1990" s="65">
        <f>IFERROR(__xludf.DUMMYFUNCTION("""COMPUTED_VALUE"""),2.79)</f>
        <v>2.79</v>
      </c>
      <c r="Z1990" s="65">
        <f>IFERROR(__xludf.DUMMYFUNCTION("""COMPUTED_VALUE"""),120732.0)</f>
        <v>120732</v>
      </c>
      <c r="AA1990" s="65" t="str">
        <f>IFERROR(__xludf.DUMMYFUNCTION("""COMPUTED_VALUE"""),"PROV-LMPVT")</f>
        <v>PROV-LMPVT</v>
      </c>
      <c r="AB1990" s="65"/>
      <c r="AC1990" s="65" t="str">
        <f>IFERROR(__xludf.DUMMYFUNCTION("""COMPUTED_VALUE"""),"LIMPIADOR DE PARABRISAS Y VENTANAS")</f>
        <v>LIMPIADOR DE PARABRISAS Y VENTANAS</v>
      </c>
      <c r="AD1990" s="65"/>
      <c r="AE1990" s="65">
        <f>IFERROR(__xludf.DUMMYFUNCTION("""COMPUTED_VALUE"""),1.0)</f>
        <v>1</v>
      </c>
      <c r="AF1990" s="65"/>
      <c r="AG1990" s="65"/>
      <c r="AH1990" s="65"/>
      <c r="AI1990" s="65"/>
      <c r="AJ1990" s="65"/>
      <c r="AK1990" s="65"/>
      <c r="AL1990" s="65"/>
      <c r="AM1990" s="65"/>
      <c r="AN1990" s="65" t="str">
        <f>IFERROR(__xludf.DUMMYFUNCTION("""COMPUTED_VALUE"""),"18:01")</f>
        <v>18:01</v>
      </c>
      <c r="AO1990" s="65" t="str">
        <f>IFERROR(__xludf.DUMMYFUNCTION("""COMPUTED_VALUE"""),"14-01-2026")</f>
        <v>14-01-2026</v>
      </c>
      <c r="AP1990" s="65" t="str">
        <f>IFERROR(__xludf.DUMMYFUNCTION("""COMPUTED_VALUE"""),"REPORTADO ENTREGADO EN AGENCIA")</f>
        <v>REPORTADO ENTREGADO EN AGENCIA</v>
      </c>
      <c r="AQ1990" s="65" t="str">
        <f>IFERROR(__xludf.DUMMYFUNCTION("""COMPUTED_VALUE"""),"ELVIS RECUENCO")</f>
        <v>ELVIS RECUENCO</v>
      </c>
      <c r="AR1990" s="65"/>
      <c r="AS1990" s="65"/>
      <c r="AT1990" s="65" t="str">
        <f>IFERROR(__xludf.DUMMYFUNCTION("""COMPUTED_VALUE"""),"SHOPIFY")</f>
        <v>SHOPIFY</v>
      </c>
      <c r="AU1990" s="65" t="str">
        <f>IFERROR(__xludf.DUMMYFUNCTION("""COMPUTED_VALUE"""),"IMPORTEX EC")</f>
        <v>IMPORTEX EC</v>
      </c>
      <c r="AV1990" s="65" t="str">
        <f>IFERROR(__xludf.DUMMYFUNCTION("""COMPUTED_VALUE"""),"6408192294956")</f>
        <v>6408192294956</v>
      </c>
      <c r="AW1990" s="65">
        <f>IFERROR(__xludf.DUMMYFUNCTION("""COMPUTED_VALUE"""),4984.0)</f>
        <v>4984</v>
      </c>
      <c r="AX1990" s="65"/>
      <c r="AY1990" s="65" t="str">
        <f>IFERROR(__xludf.DUMMYFUNCTION("""COMPUTED_VALUE"""),"13/01/2026")</f>
        <v>13/01/2026</v>
      </c>
      <c r="AZ1990" s="65"/>
      <c r="BA1990" s="65"/>
    </row>
    <row r="1991">
      <c r="A1991" s="65" t="str">
        <f>IFERROR(__xludf.DUMMYFUNCTION("""COMPUTED_VALUE"""),"27-03-2026")</f>
        <v>27-03-2026</v>
      </c>
      <c r="B1991" s="65">
        <f>IFERROR(__xludf.DUMMYFUNCTION("""COMPUTED_VALUE"""),4111652.0)</f>
        <v>4111652</v>
      </c>
      <c r="C1991" s="65" t="str">
        <f>IFERROR(__xludf.DUMMYFUNCTION("""COMPUTED_VALUE"""),"22:51")</f>
        <v>22:51</v>
      </c>
      <c r="D1991" s="65" t="str">
        <f>IFERROR(__xludf.DUMMYFUNCTION("""COMPUTED_VALUE"""),"11-01-2026")</f>
        <v>11-01-2026</v>
      </c>
      <c r="E1991" s="65" t="str">
        <f>IFERROR(__xludf.DUMMYFUNCTION("""COMPUTED_VALUE"""),"Marco Huaca Sánchez")</f>
        <v>Marco Huaca Sánchez</v>
      </c>
      <c r="F1991" s="65" t="str">
        <f>IFERROR(__xludf.DUMMYFUNCTION("""COMPUTED_VALUE"""),"999339743")</f>
        <v>999339743</v>
      </c>
      <c r="G1991" s="65" t="str">
        <f>IFERROR(__xludf.DUMMYFUNCTION("""COMPUTED_VALUE"""),"mhuaca@hotmail.com")</f>
        <v>mhuaca@hotmail.com</v>
      </c>
      <c r="H1991" s="65"/>
      <c r="I1991" s="65"/>
      <c r="J1991" s="65"/>
      <c r="K1991" s="65" t="str">
        <f>IFERROR(__xludf.DUMMYFUNCTION("""COMPUTED_VALUE"""),"PENDIENTE CONFIRMACION")</f>
        <v>PENDIENTE CONFIRMACION</v>
      </c>
      <c r="L1991" s="65" t="str">
        <f>IFERROR(__xludf.DUMMYFUNCTION("""COMPUTED_VALUE"""),"CON RECAUDO")</f>
        <v>CON RECAUDO</v>
      </c>
      <c r="M1991" s="65" t="str">
        <f>IFERROR(__xludf.DUMMYFUNCTION("""COMPUTED_VALUE"""),"SANTA ELENA")</f>
        <v>SANTA ELENA</v>
      </c>
      <c r="N1991" s="65" t="str">
        <f>IFERROR(__xludf.DUMMYFUNCTION("""COMPUTED_VALUE"""),"SANTA ELENA")</f>
        <v>SANTA ELENA</v>
      </c>
      <c r="O1991" s="65" t="str">
        <f>IFERROR(__xludf.DUMMYFUNCTION("""COMPUTED_VALUE"""),"Calle Guayaquil 10 de Agosto -")</f>
        <v>Calle Guayaquil 10 de Agosto -</v>
      </c>
      <c r="P1991" s="65"/>
      <c r="Q1991" s="65" t="str">
        <f>IFERROR(__xludf.DUMMYFUNCTION("""COMPUTED_VALUE"""),"GINTRACOM")</f>
        <v>GINTRACOM</v>
      </c>
      <c r="R1991" s="65">
        <f>IFERROR(__xludf.DUMMYFUNCTION("""COMPUTED_VALUE"""),25.0)</f>
        <v>25</v>
      </c>
      <c r="S1991" s="65"/>
      <c r="T1991" s="65">
        <f>IFERROR(__xludf.DUMMYFUNCTION("""COMPUTED_VALUE"""),5.96)</f>
        <v>5.96</v>
      </c>
      <c r="U1991" s="65">
        <f>IFERROR(__xludf.DUMMYFUNCTION("""COMPUTED_VALUE"""),0.0)</f>
        <v>0</v>
      </c>
      <c r="V1991" s="65">
        <f>IFERROR(__xludf.DUMMYFUNCTION("""COMPUTED_VALUE"""),0.0)</f>
        <v>0</v>
      </c>
      <c r="W1991" s="65">
        <f>IFERROR(__xludf.DUMMYFUNCTION("""COMPUTED_VALUE"""),0.0)</f>
        <v>0</v>
      </c>
      <c r="X1991" s="65">
        <f>IFERROR(__xludf.DUMMYFUNCTION("""COMPUTED_VALUE"""),2.79)</f>
        <v>2.79</v>
      </c>
      <c r="Y1991" s="65">
        <f>IFERROR(__xludf.DUMMYFUNCTION("""COMPUTED_VALUE"""),5.58)</f>
        <v>5.58</v>
      </c>
      <c r="Z1991" s="65">
        <f>IFERROR(__xludf.DUMMYFUNCTION("""COMPUTED_VALUE"""),120732.0)</f>
        <v>120732</v>
      </c>
      <c r="AA1991" s="65" t="str">
        <f>IFERROR(__xludf.DUMMYFUNCTION("""COMPUTED_VALUE"""),"PROV-LMPVT")</f>
        <v>PROV-LMPVT</v>
      </c>
      <c r="AB1991" s="65"/>
      <c r="AC1991" s="65" t="str">
        <f>IFERROR(__xludf.DUMMYFUNCTION("""COMPUTED_VALUE"""),"LIMPIADOR DE PARABRISAS Y VENTANAS")</f>
        <v>LIMPIADOR DE PARABRISAS Y VENTANAS</v>
      </c>
      <c r="AD1991" s="65"/>
      <c r="AE1991" s="65">
        <f>IFERROR(__xludf.DUMMYFUNCTION("""COMPUTED_VALUE"""),2.0)</f>
        <v>2</v>
      </c>
      <c r="AF1991" s="65"/>
      <c r="AG1991" s="65"/>
      <c r="AH1991" s="65"/>
      <c r="AI1991" s="65"/>
      <c r="AJ1991" s="65"/>
      <c r="AK1991" s="65"/>
      <c r="AL1991" s="65"/>
      <c r="AM1991" s="65"/>
      <c r="AN1991" s="65"/>
      <c r="AO1991" s="65"/>
      <c r="AP1991" s="65"/>
      <c r="AQ1991" s="65"/>
      <c r="AR1991" s="65"/>
      <c r="AS1991" s="65"/>
      <c r="AT1991" s="65" t="str">
        <f>IFERROR(__xludf.DUMMYFUNCTION("""COMPUTED_VALUE"""),"SHOPIFY")</f>
        <v>SHOPIFY</v>
      </c>
      <c r="AU1991" s="65" t="str">
        <f>IFERROR(__xludf.DUMMYFUNCTION("""COMPUTED_VALUE"""),"IMPORTEX EC")</f>
        <v>IMPORTEX EC</v>
      </c>
      <c r="AV1991" s="65" t="str">
        <f>IFERROR(__xludf.DUMMYFUNCTION("""COMPUTED_VALUE"""),"6408181284908")</f>
        <v>6408181284908</v>
      </c>
      <c r="AW1991" s="65">
        <f>IFERROR(__xludf.DUMMYFUNCTION("""COMPUTED_VALUE"""),4983.0)</f>
        <v>4983</v>
      </c>
      <c r="AX1991" s="65"/>
      <c r="AY1991" s="65"/>
      <c r="AZ1991" s="65"/>
      <c r="BA1991" s="65"/>
    </row>
    <row r="1992">
      <c r="A1992" s="65" t="str">
        <f>IFERROR(__xludf.DUMMYFUNCTION("""COMPUTED_VALUE"""),"27-03-2026")</f>
        <v>27-03-2026</v>
      </c>
      <c r="B1992" s="65">
        <f>IFERROR(__xludf.DUMMYFUNCTION("""COMPUTED_VALUE"""),4111565.0)</f>
        <v>4111565</v>
      </c>
      <c r="C1992" s="65" t="str">
        <f>IFERROR(__xludf.DUMMYFUNCTION("""COMPUTED_VALUE"""),"22:45")</f>
        <v>22:45</v>
      </c>
      <c r="D1992" s="65" t="str">
        <f>IFERROR(__xludf.DUMMYFUNCTION("""COMPUTED_VALUE"""),"11-01-2026")</f>
        <v>11-01-2026</v>
      </c>
      <c r="E1992" s="65" t="str">
        <f>IFERROR(__xludf.DUMMYFUNCTION("""COMPUTED_VALUE"""),"Simón  Jacinto Chávez farias")</f>
        <v>Simón  Jacinto Chávez farias</v>
      </c>
      <c r="F1992" s="65" t="str">
        <f>IFERROR(__xludf.DUMMYFUNCTION("""COMPUTED_VALUE"""),"999936762")</f>
        <v>999936762</v>
      </c>
      <c r="G1992" s="65" t="str">
        <f>IFERROR(__xludf.DUMMYFUNCTION("""COMPUTED_VALUE"""),"paco4071@gmail.com")</f>
        <v>paco4071@gmail.com</v>
      </c>
      <c r="H1992" s="65"/>
      <c r="I1992" s="65"/>
      <c r="J1992" s="65" t="str">
        <f>IFERROR(__xludf.DUMMYFUNCTION("""COMPUTED_VALUE"""),"D001216212")</f>
        <v>D001216212</v>
      </c>
      <c r="K1992" s="65" t="str">
        <f>IFERROR(__xludf.DUMMYFUNCTION("""COMPUTED_VALUE"""),"ENTREGADO")</f>
        <v>ENTREGADO</v>
      </c>
      <c r="L1992" s="65" t="str">
        <f>IFERROR(__xludf.DUMMYFUNCTION("""COMPUTED_VALUE"""),"CON RECAUDO")</f>
        <v>CON RECAUDO</v>
      </c>
      <c r="M1992" s="65" t="str">
        <f>IFERROR(__xludf.DUMMYFUNCTION("""COMPUTED_VALUE"""),"GUAYAS")</f>
        <v>GUAYAS</v>
      </c>
      <c r="N1992" s="65" t="str">
        <f>IFERROR(__xludf.DUMMYFUNCTION("""COMPUTED_VALUE"""),"GUAYAQUIL")</f>
        <v>GUAYAQUIL</v>
      </c>
      <c r="O1992" s="65" t="str">
        <f>IFERROR(__xludf.DUMMYFUNCTION("""COMPUTED_VALUE"""),"Cooperativa Hogar para pobre - Huerta Guamo Central - Calle Raúl Clemente - Manzana 2 Solar 8")</f>
        <v>Cooperativa Hogar para pobre - Huerta Guamo Central - Calle Raúl Clemente - Manzana 2 Solar 8</v>
      </c>
      <c r="P1992" s="65"/>
      <c r="Q1992" s="65" t="str">
        <f>IFERROR(__xludf.DUMMYFUNCTION("""COMPUTED_VALUE"""),"GINTRACOM")</f>
        <v>GINTRACOM</v>
      </c>
      <c r="R1992" s="65">
        <f>IFERROR(__xludf.DUMMYFUNCTION("""COMPUTED_VALUE"""),25.0)</f>
        <v>25</v>
      </c>
      <c r="S1992" s="65">
        <f>IFERROR(__xludf.DUMMYFUNCTION("""COMPUTED_VALUE"""),15.07)</f>
        <v>15.07</v>
      </c>
      <c r="T1992" s="65">
        <f>IFERROR(__xludf.DUMMYFUNCTION("""COMPUTED_VALUE"""),4.35)</f>
        <v>4.35</v>
      </c>
      <c r="U1992" s="65">
        <f>IFERROR(__xludf.DUMMYFUNCTION("""COMPUTED_VALUE"""),0.0)</f>
        <v>0</v>
      </c>
      <c r="V1992" s="65">
        <f>IFERROR(__xludf.DUMMYFUNCTION("""COMPUTED_VALUE"""),0.0)</f>
        <v>0</v>
      </c>
      <c r="W1992" s="65">
        <f>IFERROR(__xludf.DUMMYFUNCTION("""COMPUTED_VALUE"""),0.0)</f>
        <v>0</v>
      </c>
      <c r="X1992" s="65">
        <f>IFERROR(__xludf.DUMMYFUNCTION("""COMPUTED_VALUE"""),2.79)</f>
        <v>2.79</v>
      </c>
      <c r="Y1992" s="65">
        <f>IFERROR(__xludf.DUMMYFUNCTION("""COMPUTED_VALUE"""),5.58)</f>
        <v>5.58</v>
      </c>
      <c r="Z1992" s="65">
        <f>IFERROR(__xludf.DUMMYFUNCTION("""COMPUTED_VALUE"""),120732.0)</f>
        <v>120732</v>
      </c>
      <c r="AA1992" s="65" t="str">
        <f>IFERROR(__xludf.DUMMYFUNCTION("""COMPUTED_VALUE"""),"PROV-LMPVT")</f>
        <v>PROV-LMPVT</v>
      </c>
      <c r="AB1992" s="65"/>
      <c r="AC1992" s="65" t="str">
        <f>IFERROR(__xludf.DUMMYFUNCTION("""COMPUTED_VALUE"""),"LIMPIADOR DE PARABRISAS Y VENTANAS")</f>
        <v>LIMPIADOR DE PARABRISAS Y VENTANAS</v>
      </c>
      <c r="AD1992" s="65"/>
      <c r="AE1992" s="65">
        <f>IFERROR(__xludf.DUMMYFUNCTION("""COMPUTED_VALUE"""),2.0)</f>
        <v>2</v>
      </c>
      <c r="AF1992" s="65"/>
      <c r="AG1992" s="65"/>
      <c r="AH1992" s="65"/>
      <c r="AI1992" s="65"/>
      <c r="AJ1992" s="65"/>
      <c r="AK1992" s="65"/>
      <c r="AL1992" s="65"/>
      <c r="AM1992" s="65"/>
      <c r="AN1992" s="65" t="str">
        <f>IFERROR(__xludf.DUMMYFUNCTION("""COMPUTED_VALUE"""),"16:48")</f>
        <v>16:48</v>
      </c>
      <c r="AO1992" s="65" t="str">
        <f>IFERROR(__xludf.DUMMYFUNCTION("""COMPUTED_VALUE"""),"13-01-2026")</f>
        <v>13-01-2026</v>
      </c>
      <c r="AP1992" s="65" t="str">
        <f>IFERROR(__xludf.DUMMYFUNCTION("""COMPUTED_VALUE"""),"ENTREGADA GINTRACOM")</f>
        <v>ENTREGADA GINTRACOM</v>
      </c>
      <c r="AQ1992" s="65" t="str">
        <f>IFERROR(__xludf.DUMMYFUNCTION("""COMPUTED_VALUE"""),"ENTREGADA GINTRACOM")</f>
        <v>ENTREGADA GINTRACOM</v>
      </c>
      <c r="AR1992" s="65"/>
      <c r="AS1992" s="65"/>
      <c r="AT1992" s="65" t="str">
        <f>IFERROR(__xludf.DUMMYFUNCTION("""COMPUTED_VALUE"""),"SHOPIFY")</f>
        <v>SHOPIFY</v>
      </c>
      <c r="AU1992" s="65" t="str">
        <f>IFERROR(__xludf.DUMMYFUNCTION("""COMPUTED_VALUE"""),"IMPORTEX EC")</f>
        <v>IMPORTEX EC</v>
      </c>
      <c r="AV1992" s="65" t="str">
        <f>IFERROR(__xludf.DUMMYFUNCTION("""COMPUTED_VALUE"""),"6408172699692")</f>
        <v>6408172699692</v>
      </c>
      <c r="AW1992" s="65">
        <f>IFERROR(__xludf.DUMMYFUNCTION("""COMPUTED_VALUE"""),4982.0)</f>
        <v>4982</v>
      </c>
      <c r="AX1992" s="65"/>
      <c r="AY1992" s="65" t="str">
        <f>IFERROR(__xludf.DUMMYFUNCTION("""COMPUTED_VALUE"""),"12/01/2026")</f>
        <v>12/01/2026</v>
      </c>
      <c r="AZ1992" s="65"/>
      <c r="BA1992" s="65"/>
    </row>
    <row r="1993">
      <c r="A1993" s="65" t="str">
        <f>IFERROR(__xludf.DUMMYFUNCTION("""COMPUTED_VALUE"""),"27-03-2026")</f>
        <v>27-03-2026</v>
      </c>
      <c r="B1993" s="65">
        <f>IFERROR(__xludf.DUMMYFUNCTION("""COMPUTED_VALUE"""),4111355.0)</f>
        <v>4111355</v>
      </c>
      <c r="C1993" s="65" t="str">
        <f>IFERROR(__xludf.DUMMYFUNCTION("""COMPUTED_VALUE"""),"22:35")</f>
        <v>22:35</v>
      </c>
      <c r="D1993" s="65" t="str">
        <f>IFERROR(__xludf.DUMMYFUNCTION("""COMPUTED_VALUE"""),"11-01-2026")</f>
        <v>11-01-2026</v>
      </c>
      <c r="E1993" s="65" t="str">
        <f>IFERROR(__xludf.DUMMYFUNCTION("""COMPUTED_VALUE"""),"Maria Ernestina Loayza Roman")</f>
        <v>Maria Ernestina Loayza Roman</v>
      </c>
      <c r="F1993" s="65" t="str">
        <f>IFERROR(__xludf.DUMMYFUNCTION("""COMPUTED_VALUE"""),"0987861362")</f>
        <v>0987861362</v>
      </c>
      <c r="G1993" s="65"/>
      <c r="H1993" s="65"/>
      <c r="I1993" s="65"/>
      <c r="J1993" s="65" t="str">
        <f>IFERROR(__xludf.DUMMYFUNCTION("""COMPUTED_VALUE"""),"D001218366")</f>
        <v>D001218366</v>
      </c>
      <c r="K1993" s="65" t="str">
        <f>IFERROR(__xludf.DUMMYFUNCTION("""COMPUTED_VALUE"""),"DEVOLUCION")</f>
        <v>DEVOLUCION</v>
      </c>
      <c r="L1993" s="65" t="str">
        <f>IFERROR(__xludf.DUMMYFUNCTION("""COMPUTED_VALUE"""),"CON RECAUDO")</f>
        <v>CON RECAUDO</v>
      </c>
      <c r="M1993" s="65" t="str">
        <f>IFERROR(__xludf.DUMMYFUNCTION("""COMPUTED_VALUE"""),"EL ORO")</f>
        <v>EL ORO</v>
      </c>
      <c r="N1993" s="65" t="str">
        <f>IFERROR(__xludf.DUMMYFUNCTION("""COMPUTED_VALUE"""),"MACHALA")</f>
        <v>MACHALA</v>
      </c>
      <c r="O1993" s="65" t="str">
        <f>IFERROR(__xludf.DUMMYFUNCTION("""COMPUTED_VALUE"""),"Av.5ta. Sur #2810")</f>
        <v>Av.5ta. Sur #2810</v>
      </c>
      <c r="P1993" s="65" t="str">
        <f>IFERROR(__xludf.DUMMYFUNCTION("""COMPUTED_VALUE"""),"CUCHILLO PARA CHEF: Default Title ***")</f>
        <v>CUCHILLO PARA CHEF: Default Title ***</v>
      </c>
      <c r="Q1993" s="65" t="str">
        <f>IFERROR(__xludf.DUMMYFUNCTION("""COMPUTED_VALUE"""),"GINTRACOM")</f>
        <v>GINTRACOM</v>
      </c>
      <c r="R1993" s="65">
        <f>IFERROR(__xludf.DUMMYFUNCTION("""COMPUTED_VALUE"""),88.0)</f>
        <v>88</v>
      </c>
      <c r="S1993" s="65"/>
      <c r="T1993" s="65">
        <f>IFERROR(__xludf.DUMMYFUNCTION("""COMPUTED_VALUE"""),8.49)</f>
        <v>8.49</v>
      </c>
      <c r="U1993" s="65">
        <f>IFERROR(__xludf.DUMMYFUNCTION("""COMPUTED_VALUE"""),0.0)</f>
        <v>0</v>
      </c>
      <c r="V1993" s="65">
        <f>IFERROR(__xludf.DUMMYFUNCTION("""COMPUTED_VALUE"""),0.0)</f>
        <v>0</v>
      </c>
      <c r="W1993" s="65">
        <f>IFERROR(__xludf.DUMMYFUNCTION("""COMPUTED_VALUE"""),0.0)</f>
        <v>0</v>
      </c>
      <c r="X1993" s="65">
        <f>IFERROR(__xludf.DUMMYFUNCTION("""COMPUTED_VALUE"""),2.6)</f>
        <v>2.6</v>
      </c>
      <c r="Y1993" s="65">
        <f>IFERROR(__xludf.DUMMYFUNCTION("""COMPUTED_VALUE"""),10.4)</f>
        <v>10.4</v>
      </c>
      <c r="Z1993" s="65">
        <f>IFERROR(__xludf.DUMMYFUNCTION("""COMPUTED_VALUE"""),121983.0)</f>
        <v>121983</v>
      </c>
      <c r="AA1993" s="65" t="str">
        <f>IFERROR(__xludf.DUMMYFUNCTION("""COMPUTED_VALUE"""),"PROV-CHLLCF")</f>
        <v>PROV-CHLLCF</v>
      </c>
      <c r="AB1993" s="65"/>
      <c r="AC1993" s="65" t="str">
        <f>IFERROR(__xludf.DUMMYFUNCTION("""COMPUTED_VALUE"""),"CUCHILLO PARA CHEF")</f>
        <v>CUCHILLO PARA CHEF</v>
      </c>
      <c r="AD1993" s="65"/>
      <c r="AE1993" s="65">
        <f>IFERROR(__xludf.DUMMYFUNCTION("""COMPUTED_VALUE"""),4.0)</f>
        <v>4</v>
      </c>
      <c r="AF1993" s="65" t="str">
        <f>IFERROR(__xludf.DUMMYFUNCTION("""COMPUTED_VALUE"""),"DESTINATARIO INDICA QUE YA NO DESEA EL PRODUCTO")</f>
        <v>DESTINATARIO INDICA QUE YA NO DESEA EL PRODUCTO</v>
      </c>
      <c r="AG1993" s="65" t="str">
        <f>IFERROR(__xludf.DUMMYFUNCTION("""COMPUTED_VALUE"""),"NO")</f>
        <v>NO</v>
      </c>
      <c r="AH1993" s="65" t="str">
        <f>IFERROR(__xludf.DUMMYFUNCTION("""COMPUTED_VALUE"""),"10:08")</f>
        <v>10:08</v>
      </c>
      <c r="AI1993" s="65" t="str">
        <f>IFERROR(__xludf.DUMMYFUNCTION("""COMPUTED_VALUE"""),"14-01-2026")</f>
        <v>14-01-2026</v>
      </c>
      <c r="AJ1993" s="65"/>
      <c r="AK1993" s="65"/>
      <c r="AL1993" s="65"/>
      <c r="AM1993" s="65"/>
      <c r="AN1993" s="65" t="str">
        <f>IFERROR(__xludf.DUMMYFUNCTION("""COMPUTED_VALUE"""),"13:12")</f>
        <v>13:12</v>
      </c>
      <c r="AO1993" s="65" t="str">
        <f>IFERROR(__xludf.DUMMYFUNCTION("""COMPUTED_VALUE"""),"05-02-2026")</f>
        <v>05-02-2026</v>
      </c>
      <c r="AP1993" s="65" t="str">
        <f>IFERROR(__xludf.DUMMYFUNCTION("""COMPUTED_VALUE"""),"DEV CONFIRMADA POR BODEGA")</f>
        <v>DEV CONFIRMADA POR BODEGA</v>
      </c>
      <c r="AQ1993" s="65"/>
      <c r="AR1993" s="65" t="str">
        <f>IFERROR(__xludf.DUMMYFUNCTION("""COMPUTED_VALUE"""),"Gestionado por: PROVEDIX DAMIAN, email:enviogratisdirecto@gmail.com, total de productos en la orden: 1")</f>
        <v>Gestionado por: PROVEDIX DAMIAN, email:enviogratisdirecto@gmail.com, total de productos en la orden: 1</v>
      </c>
      <c r="AS1993" s="65"/>
      <c r="AT1993" s="65" t="str">
        <f>IFERROR(__xludf.DUMMYFUNCTION("""COMPUTED_VALUE"""),"SHOPIFY")</f>
        <v>SHOPIFY</v>
      </c>
      <c r="AU1993" s="65" t="str">
        <f>IFERROR(__xludf.DUMMYFUNCTION("""COMPUTED_VALUE"""),"IMPORTEX EC")</f>
        <v>IMPORTEX EC</v>
      </c>
      <c r="AV1993" s="65" t="str">
        <f>IFERROR(__xludf.DUMMYFUNCTION("""COMPUTED_VALUE"""),"6408148385836")</f>
        <v>6408148385836</v>
      </c>
      <c r="AW1993" s="65">
        <f>IFERROR(__xludf.DUMMYFUNCTION("""COMPUTED_VALUE"""),4980.0)</f>
        <v>4980</v>
      </c>
      <c r="AX1993" s="65"/>
      <c r="AY1993" s="65" t="str">
        <f>IFERROR(__xludf.DUMMYFUNCTION("""COMPUTED_VALUE"""),"13/01/2026")</f>
        <v>13/01/2026</v>
      </c>
      <c r="AZ1993" s="65"/>
      <c r="BA1993" s="65"/>
    </row>
    <row r="1994">
      <c r="A1994" s="65" t="str">
        <f>IFERROR(__xludf.DUMMYFUNCTION("""COMPUTED_VALUE"""),"27-03-2026")</f>
        <v>27-03-2026</v>
      </c>
      <c r="B1994" s="65">
        <f>IFERROR(__xludf.DUMMYFUNCTION("""COMPUTED_VALUE"""),4111351.0)</f>
        <v>4111351</v>
      </c>
      <c r="C1994" s="65" t="str">
        <f>IFERROR(__xludf.DUMMYFUNCTION("""COMPUTED_VALUE"""),"22:35")</f>
        <v>22:35</v>
      </c>
      <c r="D1994" s="65" t="str">
        <f>IFERROR(__xludf.DUMMYFUNCTION("""COMPUTED_VALUE"""),"11-01-2026")</f>
        <v>11-01-2026</v>
      </c>
      <c r="E1994" s="65" t="str">
        <f>IFERROR(__xludf.DUMMYFUNCTION("""COMPUTED_VALUE"""),"Pedro Ruiz Silva")</f>
        <v>Pedro Ruiz Silva</v>
      </c>
      <c r="F1994" s="65" t="str">
        <f>IFERROR(__xludf.DUMMYFUNCTION("""COMPUTED_VALUE"""),"986972980")</f>
        <v>986972980</v>
      </c>
      <c r="G1994" s="65" t="str">
        <f>IFERROR(__xludf.DUMMYFUNCTION("""COMPUTED_VALUE"""),"Pedro_ruiz_2015@hotmail.com")</f>
        <v>Pedro_ruiz_2015@hotmail.com</v>
      </c>
      <c r="H1994" s="65"/>
      <c r="I1994" s="65"/>
      <c r="J1994" s="65" t="str">
        <f>IFERROR(__xludf.DUMMYFUNCTION("""COMPUTED_VALUE"""),"186966920")</f>
        <v>186966920</v>
      </c>
      <c r="K1994" s="65" t="str">
        <f>IFERROR(__xludf.DUMMYFUNCTION("""COMPUTED_VALUE"""),"DEVOLUCION")</f>
        <v>DEVOLUCION</v>
      </c>
      <c r="L1994" s="65" t="str">
        <f>IFERROR(__xludf.DUMMYFUNCTION("""COMPUTED_VALUE"""),"CON RECAUDO")</f>
        <v>CON RECAUDO</v>
      </c>
      <c r="M1994" s="65" t="str">
        <f>IFERROR(__xludf.DUMMYFUNCTION("""COMPUTED_VALUE"""),"GUAYAS")</f>
        <v>GUAYAS</v>
      </c>
      <c r="N1994" s="65" t="str">
        <f>IFERROR(__xludf.DUMMYFUNCTION("""COMPUTED_VALUE"""),"SANTA LUCIA")</f>
        <v>SANTA LUCIA</v>
      </c>
      <c r="O1994" s="65" t="str">
        <f>IFERROR(__xludf.DUMMYFUNCTION("""COMPUTED_VALUE"""),"Domingo Salame Hidrobo Y Gladys Vera ,  Diagonal a los pollos de freddy")</f>
        <v>Domingo Salame Hidrobo Y Gladys Vera ,  Diagonal a los pollos de freddy</v>
      </c>
      <c r="P1994" s="65"/>
      <c r="Q1994" s="65" t="str">
        <f>IFERROR(__xludf.DUMMYFUNCTION("""COMPUTED_VALUE"""),"SERVIENTREGA")</f>
        <v>SERVIENTREGA</v>
      </c>
      <c r="R1994" s="65">
        <f>IFERROR(__xludf.DUMMYFUNCTION("""COMPUTED_VALUE"""),25.0)</f>
        <v>25</v>
      </c>
      <c r="S1994" s="65"/>
      <c r="T1994" s="65">
        <f>IFERROR(__xludf.DUMMYFUNCTION("""COMPUTED_VALUE"""),7.75)</f>
        <v>7.75</v>
      </c>
      <c r="U1994" s="65">
        <f>IFERROR(__xludf.DUMMYFUNCTION("""COMPUTED_VALUE"""),0.0)</f>
        <v>0</v>
      </c>
      <c r="V1994" s="65">
        <f>IFERROR(__xludf.DUMMYFUNCTION("""COMPUTED_VALUE"""),0.0)</f>
        <v>0</v>
      </c>
      <c r="W1994" s="65">
        <f>IFERROR(__xludf.DUMMYFUNCTION("""COMPUTED_VALUE"""),0.0)</f>
        <v>0</v>
      </c>
      <c r="X1994" s="65">
        <f>IFERROR(__xludf.DUMMYFUNCTION("""COMPUTED_VALUE"""),2.79)</f>
        <v>2.79</v>
      </c>
      <c r="Y1994" s="65">
        <f>IFERROR(__xludf.DUMMYFUNCTION("""COMPUTED_VALUE"""),5.58)</f>
        <v>5.58</v>
      </c>
      <c r="Z1994" s="65">
        <f>IFERROR(__xludf.DUMMYFUNCTION("""COMPUTED_VALUE"""),120732.0)</f>
        <v>120732</v>
      </c>
      <c r="AA1994" s="65" t="str">
        <f>IFERROR(__xludf.DUMMYFUNCTION("""COMPUTED_VALUE"""),"PROV-LMPVT")</f>
        <v>PROV-LMPVT</v>
      </c>
      <c r="AB1994" s="65"/>
      <c r="AC1994" s="65" t="str">
        <f>IFERROR(__xludf.DUMMYFUNCTION("""COMPUTED_VALUE"""),"LIMPIADOR DE PARABRISAS Y VENTANAS")</f>
        <v>LIMPIADOR DE PARABRISAS Y VENTANAS</v>
      </c>
      <c r="AD1994" s="65"/>
      <c r="AE1994" s="65">
        <f>IFERROR(__xludf.DUMMYFUNCTION("""COMPUTED_VALUE"""),2.0)</f>
        <v>2</v>
      </c>
      <c r="AF1994" s="65" t="str">
        <f>IFERROR(__xludf.DUMMYFUNCTION("""COMPUTED_VALUE"""),"DEVOLUCION AL REMITENTE")</f>
        <v>DEVOLUCION AL REMITENTE</v>
      </c>
      <c r="AG1994" s="65" t="str">
        <f>IFERROR(__xludf.DUMMYFUNCTION("""COMPUTED_VALUE"""),"NO")</f>
        <v>NO</v>
      </c>
      <c r="AH1994" s="65" t="str">
        <f>IFERROR(__xludf.DUMMYFUNCTION("""COMPUTED_VALUE"""),"14:42")</f>
        <v>14:42</v>
      </c>
      <c r="AI1994" s="65" t="str">
        <f>IFERROR(__xludf.DUMMYFUNCTION("""COMPUTED_VALUE"""),"20-01-2026")</f>
        <v>20-01-2026</v>
      </c>
      <c r="AJ1994" s="65"/>
      <c r="AK1994" s="65"/>
      <c r="AL1994" s="65"/>
      <c r="AM1994" s="65"/>
      <c r="AN1994" s="65" t="str">
        <f>IFERROR(__xludf.DUMMYFUNCTION("""COMPUTED_VALUE"""),"10:25")</f>
        <v>10:25</v>
      </c>
      <c r="AO1994" s="65" t="str">
        <f>IFERROR(__xludf.DUMMYFUNCTION("""COMPUTED_VALUE"""),"29-01-2026")</f>
        <v>29-01-2026</v>
      </c>
      <c r="AP1994" s="65" t="str">
        <f>IFERROR(__xludf.DUMMYFUNCTION("""COMPUTED_VALUE"""),"DEV CONFIRMADA POR BODEGA")</f>
        <v>DEV CONFIRMADA POR BODEGA</v>
      </c>
      <c r="AQ1994" s="65"/>
      <c r="AR1994" s="65" t="str">
        <f>IFERROR(__xludf.DUMMYFUNCTION("""COMPUTED_VALUE"""),"Gestionado por: Moran Daniel, email:danielmorga2005@gmail.com, total de productos en la orden: 1")</f>
        <v>Gestionado por: Moran Daniel, email:danielmorga2005@gmail.com, total de productos en la orden: 1</v>
      </c>
      <c r="AS1994" s="65"/>
      <c r="AT1994" s="65" t="str">
        <f>IFERROR(__xludf.DUMMYFUNCTION("""COMPUTED_VALUE"""),"SHOPIFY")</f>
        <v>SHOPIFY</v>
      </c>
      <c r="AU1994" s="65" t="str">
        <f>IFERROR(__xludf.DUMMYFUNCTION("""COMPUTED_VALUE"""),"IMPORTEX EC")</f>
        <v>IMPORTEX EC</v>
      </c>
      <c r="AV1994" s="65" t="str">
        <f>IFERROR(__xludf.DUMMYFUNCTION("""COMPUTED_VALUE"""),"6408149336108")</f>
        <v>6408149336108</v>
      </c>
      <c r="AW1994" s="65">
        <f>IFERROR(__xludf.DUMMYFUNCTION("""COMPUTED_VALUE"""),4981.0)</f>
        <v>4981</v>
      </c>
      <c r="AX1994" s="65"/>
      <c r="AY1994" s="65" t="str">
        <f>IFERROR(__xludf.DUMMYFUNCTION("""COMPUTED_VALUE"""),"13/01/2026")</f>
        <v>13/01/2026</v>
      </c>
      <c r="AZ1994" s="65"/>
      <c r="BA1994" s="65"/>
    </row>
    <row r="1995">
      <c r="A1995" s="65" t="str">
        <f>IFERROR(__xludf.DUMMYFUNCTION("""COMPUTED_VALUE"""),"27-03-2026")</f>
        <v>27-03-2026</v>
      </c>
      <c r="B1995" s="65">
        <f>IFERROR(__xludf.DUMMYFUNCTION("""COMPUTED_VALUE"""),4111142.0)</f>
        <v>4111142</v>
      </c>
      <c r="C1995" s="65" t="str">
        <f>IFERROR(__xludf.DUMMYFUNCTION("""COMPUTED_VALUE"""),"22:21")</f>
        <v>22:21</v>
      </c>
      <c r="D1995" s="65" t="str">
        <f>IFERROR(__xludf.DUMMYFUNCTION("""COMPUTED_VALUE"""),"11-01-2026")</f>
        <v>11-01-2026</v>
      </c>
      <c r="E1995" s="65" t="str">
        <f>IFERROR(__xludf.DUMMYFUNCTION("""COMPUTED_VALUE"""),"Ivan Basantes")</f>
        <v>Ivan Basantes</v>
      </c>
      <c r="F1995" s="65" t="str">
        <f>IFERROR(__xludf.DUMMYFUNCTION("""COMPUTED_VALUE"""),"996423138")</f>
        <v>996423138</v>
      </c>
      <c r="G1995" s="65" t="str">
        <f>IFERROR(__xludf.DUMMYFUNCTION("""COMPUTED_VALUE"""),"basantescoba@yahoo.es")</f>
        <v>basantescoba@yahoo.es</v>
      </c>
      <c r="H1995" s="65"/>
      <c r="I1995" s="65"/>
      <c r="J1995" s="65" t="str">
        <f>IFERROR(__xludf.DUMMYFUNCTION("""COMPUTED_VALUE"""),"186966922")</f>
        <v>186966922</v>
      </c>
      <c r="K1995" s="65" t="str">
        <f>IFERROR(__xludf.DUMMYFUNCTION("""COMPUTED_VALUE"""),"ENTREGADO")</f>
        <v>ENTREGADO</v>
      </c>
      <c r="L1995" s="65" t="str">
        <f>IFERROR(__xludf.DUMMYFUNCTION("""COMPUTED_VALUE"""),"CON RECAUDO")</f>
        <v>CON RECAUDO</v>
      </c>
      <c r="M1995" s="65" t="str">
        <f>IFERROR(__xludf.DUMMYFUNCTION("""COMPUTED_VALUE"""),"PICHINCHA")</f>
        <v>PICHINCHA</v>
      </c>
      <c r="N1995" s="65" t="str">
        <f>IFERROR(__xludf.DUMMYFUNCTION("""COMPUTED_VALUE"""),"GUAYLLABAMBA")</f>
        <v>GUAYLLABAMBA</v>
      </c>
      <c r="O1995" s="65" t="str">
        <f>IFERROR(__xludf.DUMMYFUNCTION("""COMPUTED_VALUE"""),"Simón Bolívar 2165 y manabi Guayllabamba -")</f>
        <v>Simón Bolívar 2165 y manabi Guayllabamba -</v>
      </c>
      <c r="P1995" s="65"/>
      <c r="Q1995" s="65" t="str">
        <f>IFERROR(__xludf.DUMMYFUNCTION("""COMPUTED_VALUE"""),"SERVIENTREGA")</f>
        <v>SERVIENTREGA</v>
      </c>
      <c r="R1995" s="65">
        <f>IFERROR(__xludf.DUMMYFUNCTION("""COMPUTED_VALUE"""),25.0)</f>
        <v>25</v>
      </c>
      <c r="S1995" s="65">
        <f>IFERROR(__xludf.DUMMYFUNCTION("""COMPUTED_VALUE"""),11.67)</f>
        <v>11.67</v>
      </c>
      <c r="T1995" s="65">
        <f>IFERROR(__xludf.DUMMYFUNCTION("""COMPUTED_VALUE"""),7.75)</f>
        <v>7.75</v>
      </c>
      <c r="U1995" s="65">
        <f>IFERROR(__xludf.DUMMYFUNCTION("""COMPUTED_VALUE"""),0.0)</f>
        <v>0</v>
      </c>
      <c r="V1995" s="65">
        <f>IFERROR(__xludf.DUMMYFUNCTION("""COMPUTED_VALUE"""),0.0)</f>
        <v>0</v>
      </c>
      <c r="W1995" s="65">
        <f>IFERROR(__xludf.DUMMYFUNCTION("""COMPUTED_VALUE"""),0.0)</f>
        <v>0</v>
      </c>
      <c r="X1995" s="65">
        <f>IFERROR(__xludf.DUMMYFUNCTION("""COMPUTED_VALUE"""),2.79)</f>
        <v>2.79</v>
      </c>
      <c r="Y1995" s="65">
        <f>IFERROR(__xludf.DUMMYFUNCTION("""COMPUTED_VALUE"""),5.58)</f>
        <v>5.58</v>
      </c>
      <c r="Z1995" s="65">
        <f>IFERROR(__xludf.DUMMYFUNCTION("""COMPUTED_VALUE"""),120732.0)</f>
        <v>120732</v>
      </c>
      <c r="AA1995" s="65" t="str">
        <f>IFERROR(__xludf.DUMMYFUNCTION("""COMPUTED_VALUE"""),"PROV-LMPVT")</f>
        <v>PROV-LMPVT</v>
      </c>
      <c r="AB1995" s="65"/>
      <c r="AC1995" s="65" t="str">
        <f>IFERROR(__xludf.DUMMYFUNCTION("""COMPUTED_VALUE"""),"LIMPIADOR DE PARABRISAS Y VENTANAS")</f>
        <v>LIMPIADOR DE PARABRISAS Y VENTANAS</v>
      </c>
      <c r="AD1995" s="65"/>
      <c r="AE1995" s="65">
        <f>IFERROR(__xludf.DUMMYFUNCTION("""COMPUTED_VALUE"""),2.0)</f>
        <v>2</v>
      </c>
      <c r="AF1995" s="65"/>
      <c r="AG1995" s="65"/>
      <c r="AH1995" s="65"/>
      <c r="AI1995" s="65"/>
      <c r="AJ1995" s="65"/>
      <c r="AK1995" s="65"/>
      <c r="AL1995" s="65"/>
      <c r="AM1995" s="65"/>
      <c r="AN1995" s="65" t="str">
        <f>IFERROR(__xludf.DUMMYFUNCTION("""COMPUTED_VALUE"""),"15:12")</f>
        <v>15:12</v>
      </c>
      <c r="AO1995" s="65" t="str">
        <f>IFERROR(__xludf.DUMMYFUNCTION("""COMPUTED_VALUE"""),"14-01-2026")</f>
        <v>14-01-2026</v>
      </c>
      <c r="AP1995" s="65" t="str">
        <f>IFERROR(__xludf.DUMMYFUNCTION("""COMPUTED_VALUE"""),"REPORTADO ENTREGADO EN APP")</f>
        <v>REPORTADO ENTREGADO EN APP</v>
      </c>
      <c r="AQ1995" s="65" t="str">
        <f>IFERROR(__xludf.DUMMYFUNCTION("""COMPUTED_VALUE"""),"IVAN BASTOS")</f>
        <v>IVAN BASTOS</v>
      </c>
      <c r="AR1995" s="65"/>
      <c r="AS1995" s="65"/>
      <c r="AT1995" s="65" t="str">
        <f>IFERROR(__xludf.DUMMYFUNCTION("""COMPUTED_VALUE"""),"SHOPIFY")</f>
        <v>SHOPIFY</v>
      </c>
      <c r="AU1995" s="65" t="str">
        <f>IFERROR(__xludf.DUMMYFUNCTION("""COMPUTED_VALUE"""),"IMPORTEX EC")</f>
        <v>IMPORTEX EC</v>
      </c>
      <c r="AV1995" s="65" t="str">
        <f>IFERROR(__xludf.DUMMYFUNCTION("""COMPUTED_VALUE"""),"6408125644844")</f>
        <v>6408125644844</v>
      </c>
      <c r="AW1995" s="65">
        <f>IFERROR(__xludf.DUMMYFUNCTION("""COMPUTED_VALUE"""),4979.0)</f>
        <v>4979</v>
      </c>
      <c r="AX1995" s="65"/>
      <c r="AY1995" s="65" t="str">
        <f>IFERROR(__xludf.DUMMYFUNCTION("""COMPUTED_VALUE"""),"13/01/2026")</f>
        <v>13/01/2026</v>
      </c>
      <c r="AZ1995" s="65"/>
      <c r="BA1995" s="65"/>
    </row>
    <row r="1996">
      <c r="A1996" s="65" t="str">
        <f>IFERROR(__xludf.DUMMYFUNCTION("""COMPUTED_VALUE"""),"27-03-2026")</f>
        <v>27-03-2026</v>
      </c>
      <c r="B1996" s="65">
        <f>IFERROR(__xludf.DUMMYFUNCTION("""COMPUTED_VALUE"""),4111136.0)</f>
        <v>4111136</v>
      </c>
      <c r="C1996" s="65" t="str">
        <f>IFERROR(__xludf.DUMMYFUNCTION("""COMPUTED_VALUE"""),"22:21")</f>
        <v>22:21</v>
      </c>
      <c r="D1996" s="65" t="str">
        <f>IFERROR(__xludf.DUMMYFUNCTION("""COMPUTED_VALUE"""),"11-01-2026")</f>
        <v>11-01-2026</v>
      </c>
      <c r="E1996" s="65" t="str">
        <f>IFERROR(__xludf.DUMMYFUNCTION("""COMPUTED_VALUE"""),"Juan Obando")</f>
        <v>Juan Obando</v>
      </c>
      <c r="F1996" s="65" t="str">
        <f>IFERROR(__xludf.DUMMYFUNCTION("""COMPUTED_VALUE"""),"987299628")</f>
        <v>987299628</v>
      </c>
      <c r="G1996" s="65" t="str">
        <f>IFERROR(__xludf.DUMMYFUNCTION("""COMPUTED_VALUE"""),"andresobandor@gmail.com")</f>
        <v>andresobandor@gmail.com</v>
      </c>
      <c r="H1996" s="65"/>
      <c r="I1996" s="65"/>
      <c r="J1996" s="65" t="str">
        <f>IFERROR(__xludf.DUMMYFUNCTION("""COMPUTED_VALUE"""),"D001218368")</f>
        <v>D001218368</v>
      </c>
      <c r="K1996" s="65" t="str">
        <f>IFERROR(__xludf.DUMMYFUNCTION("""COMPUTED_VALUE"""),"ENTREGADO")</f>
        <v>ENTREGADO</v>
      </c>
      <c r="L1996" s="65" t="str">
        <f>IFERROR(__xludf.DUMMYFUNCTION("""COMPUTED_VALUE"""),"CON RECAUDO")</f>
        <v>CON RECAUDO</v>
      </c>
      <c r="M1996" s="65" t="str">
        <f>IFERROR(__xludf.DUMMYFUNCTION("""COMPUTED_VALUE"""),"PICHINCHA")</f>
        <v>PICHINCHA</v>
      </c>
      <c r="N1996" s="65" t="str">
        <f>IFERROR(__xludf.DUMMYFUNCTION("""COMPUTED_VALUE"""),"QUITO")</f>
        <v>QUITO</v>
      </c>
      <c r="O1996" s="65" t="str">
        <f>IFERROR(__xludf.DUMMYFUNCTION("""COMPUTED_VALUE"""),"Ed Sorelina Av. Paúl Rivet n30166, Quito 170517 Frente al restaurante Nativa -")</f>
        <v>Ed Sorelina Av. Paúl Rivet n30166, Quito 170517 Frente al restaurante Nativa -</v>
      </c>
      <c r="P1996" s="65"/>
      <c r="Q1996" s="65" t="str">
        <f>IFERROR(__xludf.DUMMYFUNCTION("""COMPUTED_VALUE"""),"GINTRACOM")</f>
        <v>GINTRACOM</v>
      </c>
      <c r="R1996" s="65">
        <f>IFERROR(__xludf.DUMMYFUNCTION("""COMPUTED_VALUE"""),27.0)</f>
        <v>27</v>
      </c>
      <c r="S1996" s="65">
        <f>IFERROR(__xludf.DUMMYFUNCTION("""COMPUTED_VALUE"""),13.17)</f>
        <v>13.17</v>
      </c>
      <c r="T1996" s="65">
        <f>IFERROR(__xludf.DUMMYFUNCTION("""COMPUTED_VALUE"""),6.03)</f>
        <v>6.03</v>
      </c>
      <c r="U1996" s="65">
        <f>IFERROR(__xludf.DUMMYFUNCTION("""COMPUTED_VALUE"""),0.0)</f>
        <v>0</v>
      </c>
      <c r="V1996" s="65">
        <f>IFERROR(__xludf.DUMMYFUNCTION("""COMPUTED_VALUE"""),0.0)</f>
        <v>0</v>
      </c>
      <c r="W1996" s="65">
        <f>IFERROR(__xludf.DUMMYFUNCTION("""COMPUTED_VALUE"""),0.0)</f>
        <v>0</v>
      </c>
      <c r="X1996" s="65">
        <f>IFERROR(__xludf.DUMMYFUNCTION("""COMPUTED_VALUE"""),2.6)</f>
        <v>2.6</v>
      </c>
      <c r="Y1996" s="65">
        <f>IFERROR(__xludf.DUMMYFUNCTION("""COMPUTED_VALUE"""),7.8)</f>
        <v>7.8</v>
      </c>
      <c r="Z1996" s="65">
        <f>IFERROR(__xludf.DUMMYFUNCTION("""COMPUTED_VALUE"""),121983.0)</f>
        <v>121983</v>
      </c>
      <c r="AA1996" s="65" t="str">
        <f>IFERROR(__xludf.DUMMYFUNCTION("""COMPUTED_VALUE"""),"PROV-CHLLCF")</f>
        <v>PROV-CHLLCF</v>
      </c>
      <c r="AB1996" s="65"/>
      <c r="AC1996" s="65" t="str">
        <f>IFERROR(__xludf.DUMMYFUNCTION("""COMPUTED_VALUE"""),"CUCHILLO PARA CHEF")</f>
        <v>CUCHILLO PARA CHEF</v>
      </c>
      <c r="AD1996" s="65"/>
      <c r="AE1996" s="65">
        <f>IFERROR(__xludf.DUMMYFUNCTION("""COMPUTED_VALUE"""),3.0)</f>
        <v>3</v>
      </c>
      <c r="AF1996" s="65"/>
      <c r="AG1996" s="65"/>
      <c r="AH1996" s="65"/>
      <c r="AI1996" s="65"/>
      <c r="AJ1996" s="65"/>
      <c r="AK1996" s="65"/>
      <c r="AL1996" s="65"/>
      <c r="AM1996" s="65"/>
      <c r="AN1996" s="65" t="str">
        <f>IFERROR(__xludf.DUMMYFUNCTION("""COMPUTED_VALUE"""),"15:08")</f>
        <v>15:08</v>
      </c>
      <c r="AO1996" s="65" t="str">
        <f>IFERROR(__xludf.DUMMYFUNCTION("""COMPUTED_VALUE"""),"14-01-2026")</f>
        <v>14-01-2026</v>
      </c>
      <c r="AP1996" s="65" t="str">
        <f>IFERROR(__xludf.DUMMYFUNCTION("""COMPUTED_VALUE"""),"ENTREGADA GINTRACOM")</f>
        <v>ENTREGADA GINTRACOM</v>
      </c>
      <c r="AQ1996" s="65" t="str">
        <f>IFERROR(__xludf.DUMMYFUNCTION("""COMPUTED_VALUE"""),"ENTREGADA GINTRACOM")</f>
        <v>ENTREGADA GINTRACOM</v>
      </c>
      <c r="AR1996" s="65"/>
      <c r="AS1996" s="65"/>
      <c r="AT1996" s="65" t="str">
        <f>IFERROR(__xludf.DUMMYFUNCTION("""COMPUTED_VALUE"""),"SHOPIFY")</f>
        <v>SHOPIFY</v>
      </c>
      <c r="AU1996" s="65" t="str">
        <f>IFERROR(__xludf.DUMMYFUNCTION("""COMPUTED_VALUE"""),"IMPORTEX EC")</f>
        <v>IMPORTEX EC</v>
      </c>
      <c r="AV1996" s="65" t="str">
        <f>IFERROR(__xludf.DUMMYFUNCTION("""COMPUTED_VALUE"""),"6408125284396")</f>
        <v>6408125284396</v>
      </c>
      <c r="AW1996" s="65">
        <f>IFERROR(__xludf.DUMMYFUNCTION("""COMPUTED_VALUE"""),4978.0)</f>
        <v>4978</v>
      </c>
      <c r="AX1996" s="65"/>
      <c r="AY1996" s="65" t="str">
        <f>IFERROR(__xludf.DUMMYFUNCTION("""COMPUTED_VALUE"""),"13/01/2026")</f>
        <v>13/01/2026</v>
      </c>
      <c r="AZ1996" s="65"/>
      <c r="BA1996" s="65"/>
    </row>
    <row r="1997">
      <c r="A1997" s="65" t="str">
        <f>IFERROR(__xludf.DUMMYFUNCTION("""COMPUTED_VALUE"""),"27-03-2026")</f>
        <v>27-03-2026</v>
      </c>
      <c r="B1997" s="65">
        <f>IFERROR(__xludf.DUMMYFUNCTION("""COMPUTED_VALUE"""),4110688.0)</f>
        <v>4110688</v>
      </c>
      <c r="C1997" s="65" t="str">
        <f>IFERROR(__xludf.DUMMYFUNCTION("""COMPUTED_VALUE"""),"21:56")</f>
        <v>21:56</v>
      </c>
      <c r="D1997" s="65" t="str">
        <f>IFERROR(__xludf.DUMMYFUNCTION("""COMPUTED_VALUE"""),"11-01-2026")</f>
        <v>11-01-2026</v>
      </c>
      <c r="E1997" s="65" t="str">
        <f>IFERROR(__xludf.DUMMYFUNCTION("""COMPUTED_VALUE"""),"Pablo Zurita")</f>
        <v>Pablo Zurita</v>
      </c>
      <c r="F1997" s="65" t="str">
        <f>IFERROR(__xludf.DUMMYFUNCTION("""COMPUTED_VALUE"""),"963373117")</f>
        <v>963373117</v>
      </c>
      <c r="G1997" s="65" t="str">
        <f>IFERROR(__xludf.DUMMYFUNCTION("""COMPUTED_VALUE"""),"zuritac2009@gmail.com")</f>
        <v>zuritac2009@gmail.com</v>
      </c>
      <c r="H1997" s="65"/>
      <c r="I1997" s="65"/>
      <c r="J1997" s="65"/>
      <c r="K1997" s="65" t="str">
        <f>IFERROR(__xludf.DUMMYFUNCTION("""COMPUTED_VALUE"""),"PENDIENTE CONFIRMACION")</f>
        <v>PENDIENTE CONFIRMACION</v>
      </c>
      <c r="L1997" s="65" t="str">
        <f>IFERROR(__xludf.DUMMYFUNCTION("""COMPUTED_VALUE"""),"CON RECAUDO")</f>
        <v>CON RECAUDO</v>
      </c>
      <c r="M1997" s="65" t="str">
        <f>IFERROR(__xludf.DUMMYFUNCTION("""COMPUTED_VALUE"""),"TUNGURAHUA")</f>
        <v>TUNGURAHUA</v>
      </c>
      <c r="N1997" s="65" t="str">
        <f>IFERROR(__xludf.DUMMYFUNCTION("""COMPUTED_VALUE"""),"PELILEO")</f>
        <v>PELILEO</v>
      </c>
      <c r="O1997" s="65" t="str">
        <f>IFERROR(__xludf.DUMMYFUNCTION("""COMPUTED_VALUE"""),"Antonio clavijo y juan de velazco -")</f>
        <v>Antonio clavijo y juan de velazco -</v>
      </c>
      <c r="P1997" s="65"/>
      <c r="Q1997" s="65" t="str">
        <f>IFERROR(__xludf.DUMMYFUNCTION("""COMPUTED_VALUE"""),"GINTRACOM")</f>
        <v>GINTRACOM</v>
      </c>
      <c r="R1997" s="65">
        <f>IFERROR(__xludf.DUMMYFUNCTION("""COMPUTED_VALUE"""),22.0)</f>
        <v>22</v>
      </c>
      <c r="S1997" s="65"/>
      <c r="T1997" s="65">
        <f>IFERROR(__xludf.DUMMYFUNCTION("""COMPUTED_VALUE"""),6.41)</f>
        <v>6.41</v>
      </c>
      <c r="U1997" s="65">
        <f>IFERROR(__xludf.DUMMYFUNCTION("""COMPUTED_VALUE"""),0.0)</f>
        <v>0</v>
      </c>
      <c r="V1997" s="65">
        <f>IFERROR(__xludf.DUMMYFUNCTION("""COMPUTED_VALUE"""),0.0)</f>
        <v>0</v>
      </c>
      <c r="W1997" s="65">
        <f>IFERROR(__xludf.DUMMYFUNCTION("""COMPUTED_VALUE"""),0.0)</f>
        <v>0</v>
      </c>
      <c r="X1997" s="65">
        <f>IFERROR(__xludf.DUMMYFUNCTION("""COMPUTED_VALUE"""),2.6)</f>
        <v>2.6</v>
      </c>
      <c r="Y1997" s="65">
        <f>IFERROR(__xludf.DUMMYFUNCTION("""COMPUTED_VALUE"""),5.2)</f>
        <v>5.2</v>
      </c>
      <c r="Z1997" s="65">
        <f>IFERROR(__xludf.DUMMYFUNCTION("""COMPUTED_VALUE"""),121983.0)</f>
        <v>121983</v>
      </c>
      <c r="AA1997" s="65" t="str">
        <f>IFERROR(__xludf.DUMMYFUNCTION("""COMPUTED_VALUE"""),"PROV-CHLLCF")</f>
        <v>PROV-CHLLCF</v>
      </c>
      <c r="AB1997" s="65"/>
      <c r="AC1997" s="65" t="str">
        <f>IFERROR(__xludf.DUMMYFUNCTION("""COMPUTED_VALUE"""),"CUCHILLO PARA CHEF")</f>
        <v>CUCHILLO PARA CHEF</v>
      </c>
      <c r="AD1997" s="65"/>
      <c r="AE1997" s="65">
        <f>IFERROR(__xludf.DUMMYFUNCTION("""COMPUTED_VALUE"""),2.0)</f>
        <v>2</v>
      </c>
      <c r="AF1997" s="65"/>
      <c r="AG1997" s="65"/>
      <c r="AH1997" s="65"/>
      <c r="AI1997" s="65"/>
      <c r="AJ1997" s="65"/>
      <c r="AK1997" s="65"/>
      <c r="AL1997" s="65"/>
      <c r="AM1997" s="65"/>
      <c r="AN1997" s="65"/>
      <c r="AO1997" s="65"/>
      <c r="AP1997" s="65"/>
      <c r="AQ1997" s="65"/>
      <c r="AR1997" s="65"/>
      <c r="AS1997" s="65"/>
      <c r="AT1997" s="65" t="str">
        <f>IFERROR(__xludf.DUMMYFUNCTION("""COMPUTED_VALUE"""),"SHOPIFY")</f>
        <v>SHOPIFY</v>
      </c>
      <c r="AU1997" s="65" t="str">
        <f>IFERROR(__xludf.DUMMYFUNCTION("""COMPUTED_VALUE"""),"IMPORTEX EC")</f>
        <v>IMPORTEX EC</v>
      </c>
      <c r="AV1997" s="65" t="str">
        <f>IFERROR(__xludf.DUMMYFUNCTION("""COMPUTED_VALUE"""),"6408068726828")</f>
        <v>6408068726828</v>
      </c>
      <c r="AW1997" s="65">
        <f>IFERROR(__xludf.DUMMYFUNCTION("""COMPUTED_VALUE"""),4977.0)</f>
        <v>4977</v>
      </c>
      <c r="AX1997" s="65"/>
      <c r="AY1997" s="65"/>
      <c r="AZ1997" s="65"/>
      <c r="BA1997" s="65"/>
    </row>
    <row r="1998">
      <c r="A1998" s="65" t="str">
        <f>IFERROR(__xludf.DUMMYFUNCTION("""COMPUTED_VALUE"""),"27-03-2026")</f>
        <v>27-03-2026</v>
      </c>
      <c r="B1998" s="65">
        <f>IFERROR(__xludf.DUMMYFUNCTION("""COMPUTED_VALUE"""),4110684.0)</f>
        <v>4110684</v>
      </c>
      <c r="C1998" s="65" t="str">
        <f>IFERROR(__xludf.DUMMYFUNCTION("""COMPUTED_VALUE"""),"21:56")</f>
        <v>21:56</v>
      </c>
      <c r="D1998" s="65" t="str">
        <f>IFERROR(__xludf.DUMMYFUNCTION("""COMPUTED_VALUE"""),"11-01-2026")</f>
        <v>11-01-2026</v>
      </c>
      <c r="E1998" s="65" t="str">
        <f>IFERROR(__xludf.DUMMYFUNCTION("""COMPUTED_VALUE"""),"Dorian Echeverria")</f>
        <v>Dorian Echeverria</v>
      </c>
      <c r="F1998" s="65" t="str">
        <f>IFERROR(__xludf.DUMMYFUNCTION("""COMPUTED_VALUE"""),"983735168")</f>
        <v>983735168</v>
      </c>
      <c r="G1998" s="65" t="str">
        <f>IFERROR(__xludf.DUMMYFUNCTION("""COMPUTED_VALUE"""),"echeverriadorian@gmail.com")</f>
        <v>echeverriadorian@gmail.com</v>
      </c>
      <c r="H1998" s="65"/>
      <c r="I1998" s="65"/>
      <c r="J1998" s="65" t="str">
        <f>IFERROR(__xludf.DUMMYFUNCTION("""COMPUTED_VALUE"""),"D001218369")</f>
        <v>D001218369</v>
      </c>
      <c r="K1998" s="65" t="str">
        <f>IFERROR(__xludf.DUMMYFUNCTION("""COMPUTED_VALUE"""),"DEVOLUCION")</f>
        <v>DEVOLUCION</v>
      </c>
      <c r="L1998" s="65" t="str">
        <f>IFERROR(__xludf.DUMMYFUNCTION("""COMPUTED_VALUE"""),"CON RECAUDO")</f>
        <v>CON RECAUDO</v>
      </c>
      <c r="M1998" s="65" t="str">
        <f>IFERROR(__xludf.DUMMYFUNCTION("""COMPUTED_VALUE"""),"PICHINCHA")</f>
        <v>PICHINCHA</v>
      </c>
      <c r="N1998" s="65" t="str">
        <f>IFERROR(__xludf.DUMMYFUNCTION("""COMPUTED_VALUE"""),"QUITO")</f>
        <v>QUITO</v>
      </c>
      <c r="O1998" s="65" t="str">
        <f>IFERROR(__xludf.DUMMYFUNCTION("""COMPUTED_VALUE"""),"Avenida París y pasaje rousseau Jipijapa ,  Diagonal a clínica Galenus sobre la calle París")</f>
        <v>Avenida París y pasaje rousseau Jipijapa ,  Diagonal a clínica Galenus sobre la calle París</v>
      </c>
      <c r="P1998" s="65"/>
      <c r="Q1998" s="65" t="str">
        <f>IFERROR(__xludf.DUMMYFUNCTION("""COMPUTED_VALUE"""),"GINTRACOM")</f>
        <v>GINTRACOM</v>
      </c>
      <c r="R1998" s="65">
        <f>IFERROR(__xludf.DUMMYFUNCTION("""COMPUTED_VALUE"""),20.0)</f>
        <v>20</v>
      </c>
      <c r="S1998" s="65"/>
      <c r="T1998" s="65">
        <f>IFERROR(__xludf.DUMMYFUNCTION("""COMPUTED_VALUE"""),5.76)</f>
        <v>5.76</v>
      </c>
      <c r="U1998" s="65">
        <f>IFERROR(__xludf.DUMMYFUNCTION("""COMPUTED_VALUE"""),0.0)</f>
        <v>0</v>
      </c>
      <c r="V1998" s="65">
        <f>IFERROR(__xludf.DUMMYFUNCTION("""COMPUTED_VALUE"""),0.0)</f>
        <v>0</v>
      </c>
      <c r="W1998" s="65">
        <f>IFERROR(__xludf.DUMMYFUNCTION("""COMPUTED_VALUE"""),0.0)</f>
        <v>0</v>
      </c>
      <c r="X1998" s="65">
        <f>IFERROR(__xludf.DUMMYFUNCTION("""COMPUTED_VALUE"""),2.79)</f>
        <v>2.79</v>
      </c>
      <c r="Y1998" s="65">
        <f>IFERROR(__xludf.DUMMYFUNCTION("""COMPUTED_VALUE"""),2.79)</f>
        <v>2.79</v>
      </c>
      <c r="Z1998" s="65">
        <f>IFERROR(__xludf.DUMMYFUNCTION("""COMPUTED_VALUE"""),120732.0)</f>
        <v>120732</v>
      </c>
      <c r="AA1998" s="65" t="str">
        <f>IFERROR(__xludf.DUMMYFUNCTION("""COMPUTED_VALUE"""),"PROV-LMPVT")</f>
        <v>PROV-LMPVT</v>
      </c>
      <c r="AB1998" s="65"/>
      <c r="AC1998" s="65" t="str">
        <f>IFERROR(__xludf.DUMMYFUNCTION("""COMPUTED_VALUE"""),"LIMPIADOR DE PARABRISAS Y VENTANAS")</f>
        <v>LIMPIADOR DE PARABRISAS Y VENTANAS</v>
      </c>
      <c r="AD1998" s="65"/>
      <c r="AE1998" s="65">
        <f>IFERROR(__xludf.DUMMYFUNCTION("""COMPUTED_VALUE"""),1.0)</f>
        <v>1</v>
      </c>
      <c r="AF1998" s="65" t="str">
        <f>IFERROR(__xludf.DUMMYFUNCTION("""COMPUTED_VALUE"""),"DESTINATARIO NO CONTESTA LLAMADAS NI WHATSAPP")</f>
        <v>DESTINATARIO NO CONTESTA LLAMADAS NI WHATSAPP</v>
      </c>
      <c r="AG1998" s="65" t="str">
        <f>IFERROR(__xludf.DUMMYFUNCTION("""COMPUTED_VALUE"""),"NO")</f>
        <v>NO</v>
      </c>
      <c r="AH1998" s="65" t="str">
        <f>IFERROR(__xludf.DUMMYFUNCTION("""COMPUTED_VALUE"""),"09:00")</f>
        <v>09:00</v>
      </c>
      <c r="AI1998" s="65" t="str">
        <f>IFERROR(__xludf.DUMMYFUNCTION("""COMPUTED_VALUE"""),"22-01-2026")</f>
        <v>22-01-2026</v>
      </c>
      <c r="AJ1998" s="65"/>
      <c r="AK1998" s="65"/>
      <c r="AL1998" s="65"/>
      <c r="AM1998" s="65"/>
      <c r="AN1998" s="65" t="str">
        <f>IFERROR(__xludf.DUMMYFUNCTION("""COMPUTED_VALUE"""),"16:15")</f>
        <v>16:15</v>
      </c>
      <c r="AO1998" s="65" t="str">
        <f>IFERROR(__xludf.DUMMYFUNCTION("""COMPUTED_VALUE"""),"05-02-2026")</f>
        <v>05-02-2026</v>
      </c>
      <c r="AP1998" s="65" t="str">
        <f>IFERROR(__xludf.DUMMYFUNCTION("""COMPUTED_VALUE"""),"DEV CONFIRMADA POR BODEGA")</f>
        <v>DEV CONFIRMADA POR BODEGA</v>
      </c>
      <c r="AQ1998" s="65"/>
      <c r="AR1998" s="65" t="str">
        <f>IFERROR(__xludf.DUMMYFUNCTION("""COMPUTED_VALUE"""),"Gestionado por: Moran Daniel, email:danielmorga2005@gmail.com, total de productos en la orden: 1")</f>
        <v>Gestionado por: Moran Daniel, email:danielmorga2005@gmail.com, total de productos en la orden: 1</v>
      </c>
      <c r="AS1998" s="65"/>
      <c r="AT1998" s="65" t="str">
        <f>IFERROR(__xludf.DUMMYFUNCTION("""COMPUTED_VALUE"""),"SHOPIFY")</f>
        <v>SHOPIFY</v>
      </c>
      <c r="AU1998" s="65" t="str">
        <f>IFERROR(__xludf.DUMMYFUNCTION("""COMPUTED_VALUE"""),"IMPORTEX EC")</f>
        <v>IMPORTEX EC</v>
      </c>
      <c r="AV1998" s="65" t="str">
        <f>IFERROR(__xludf.DUMMYFUNCTION("""COMPUTED_VALUE"""),"6408068399148")</f>
        <v>6408068399148</v>
      </c>
      <c r="AW1998" s="65">
        <f>IFERROR(__xludf.DUMMYFUNCTION("""COMPUTED_VALUE"""),4976.0)</f>
        <v>4976</v>
      </c>
      <c r="AX1998" s="65"/>
      <c r="AY1998" s="65" t="str">
        <f>IFERROR(__xludf.DUMMYFUNCTION("""COMPUTED_VALUE"""),"13/01/2026")</f>
        <v>13/01/2026</v>
      </c>
      <c r="AZ1998" s="65"/>
      <c r="BA1998" s="65"/>
    </row>
    <row r="1999">
      <c r="A1999" s="65" t="str">
        <f>IFERROR(__xludf.DUMMYFUNCTION("""COMPUTED_VALUE"""),"27-03-2026")</f>
        <v>27-03-2026</v>
      </c>
      <c r="B1999" s="65">
        <f>IFERROR(__xludf.DUMMYFUNCTION("""COMPUTED_VALUE"""),4110496.0)</f>
        <v>4110496</v>
      </c>
      <c r="C1999" s="65" t="str">
        <f>IFERROR(__xludf.DUMMYFUNCTION("""COMPUTED_VALUE"""),"21:46")</f>
        <v>21:46</v>
      </c>
      <c r="D1999" s="65" t="str">
        <f>IFERROR(__xludf.DUMMYFUNCTION("""COMPUTED_VALUE"""),"11-01-2026")</f>
        <v>11-01-2026</v>
      </c>
      <c r="E1999" s="65" t="str">
        <f>IFERROR(__xludf.DUMMYFUNCTION("""COMPUTED_VALUE"""),"Ángel López")</f>
        <v>Ángel López</v>
      </c>
      <c r="F1999" s="65" t="str">
        <f>IFERROR(__xludf.DUMMYFUNCTION("""COMPUTED_VALUE"""),"995406789")</f>
        <v>995406789</v>
      </c>
      <c r="G1999" s="65" t="str">
        <f>IFERROR(__xludf.DUMMYFUNCTION("""COMPUTED_VALUE"""),"angellopezmontesdeoca40@gmail.com")</f>
        <v>angellopezmontesdeoca40@gmail.com</v>
      </c>
      <c r="H1999" s="65"/>
      <c r="I1999" s="65"/>
      <c r="J1999" s="65" t="str">
        <f>IFERROR(__xludf.DUMMYFUNCTION("""COMPUTED_VALUE"""),"186966925")</f>
        <v>186966925</v>
      </c>
      <c r="K1999" s="65" t="str">
        <f>IFERROR(__xludf.DUMMYFUNCTION("""COMPUTED_VALUE"""),"DEVOLUCION")</f>
        <v>DEVOLUCION</v>
      </c>
      <c r="L1999" s="65" t="str">
        <f>IFERROR(__xludf.DUMMYFUNCTION("""COMPUTED_VALUE"""),"CON RECAUDO")</f>
        <v>CON RECAUDO</v>
      </c>
      <c r="M1999" s="65" t="str">
        <f>IFERROR(__xludf.DUMMYFUNCTION("""COMPUTED_VALUE"""),"AZUAY")</f>
        <v>AZUAY</v>
      </c>
      <c r="N1999" s="65" t="str">
        <f>IFERROR(__xludf.DUMMYFUNCTION("""COMPUTED_VALUE"""),"CHORDELEG")</f>
        <v>CHORDELEG</v>
      </c>
      <c r="O1999" s="65" t="str">
        <f>IFERROR(__xludf.DUMMYFUNCTION("""COMPUTED_VALUE"""),"RETIRA EN CS : CHORDELEG_5 DE FEBRERO")</f>
        <v>RETIRA EN CS : CHORDELEG_5 DE FEBRERO</v>
      </c>
      <c r="P1999" s="65"/>
      <c r="Q1999" s="65" t="str">
        <f>IFERROR(__xludf.DUMMYFUNCTION("""COMPUTED_VALUE"""),"SERVIENTREGA")</f>
        <v>SERVIENTREGA</v>
      </c>
      <c r="R1999" s="65">
        <f>IFERROR(__xludf.DUMMYFUNCTION("""COMPUTED_VALUE"""),22.0)</f>
        <v>22</v>
      </c>
      <c r="S1999" s="65"/>
      <c r="T1999" s="65">
        <f>IFERROR(__xludf.DUMMYFUNCTION("""COMPUTED_VALUE"""),7.7)</f>
        <v>7.7</v>
      </c>
      <c r="U1999" s="65">
        <f>IFERROR(__xludf.DUMMYFUNCTION("""COMPUTED_VALUE"""),0.0)</f>
        <v>0</v>
      </c>
      <c r="V1999" s="65">
        <f>IFERROR(__xludf.DUMMYFUNCTION("""COMPUTED_VALUE"""),0.0)</f>
        <v>0</v>
      </c>
      <c r="W1999" s="65">
        <f>IFERROR(__xludf.DUMMYFUNCTION("""COMPUTED_VALUE"""),0.0)</f>
        <v>0</v>
      </c>
      <c r="X1999" s="65">
        <f>IFERROR(__xludf.DUMMYFUNCTION("""COMPUTED_VALUE"""),2.6)</f>
        <v>2.6</v>
      </c>
      <c r="Y1999" s="65">
        <f>IFERROR(__xludf.DUMMYFUNCTION("""COMPUTED_VALUE"""),5.2)</f>
        <v>5.2</v>
      </c>
      <c r="Z1999" s="65">
        <f>IFERROR(__xludf.DUMMYFUNCTION("""COMPUTED_VALUE"""),121983.0)</f>
        <v>121983</v>
      </c>
      <c r="AA1999" s="65" t="str">
        <f>IFERROR(__xludf.DUMMYFUNCTION("""COMPUTED_VALUE"""),"PROV-CHLLCF")</f>
        <v>PROV-CHLLCF</v>
      </c>
      <c r="AB1999" s="65"/>
      <c r="AC1999" s="65" t="str">
        <f>IFERROR(__xludf.DUMMYFUNCTION("""COMPUTED_VALUE"""),"CUCHILLO PARA CHEF")</f>
        <v>CUCHILLO PARA CHEF</v>
      </c>
      <c r="AD1999" s="65"/>
      <c r="AE1999" s="65">
        <f>IFERROR(__xludf.DUMMYFUNCTION("""COMPUTED_VALUE"""),2.0)</f>
        <v>2</v>
      </c>
      <c r="AF1999" s="65" t="str">
        <f>IFERROR(__xludf.DUMMYFUNCTION("""COMPUTED_VALUE"""),"DEVOLUCION AL REMITENTE")</f>
        <v>DEVOLUCION AL REMITENTE</v>
      </c>
      <c r="AG1999" s="65" t="str">
        <f>IFERROR(__xludf.DUMMYFUNCTION("""COMPUTED_VALUE"""),"NO")</f>
        <v>NO</v>
      </c>
      <c r="AH1999" s="65" t="str">
        <f>IFERROR(__xludf.DUMMYFUNCTION("""COMPUTED_VALUE"""),"12:04")</f>
        <v>12:04</v>
      </c>
      <c r="AI1999" s="65" t="str">
        <f>IFERROR(__xludf.DUMMYFUNCTION("""COMPUTED_VALUE"""),"26-01-2026")</f>
        <v>26-01-2026</v>
      </c>
      <c r="AJ1999" s="65"/>
      <c r="AK1999" s="65"/>
      <c r="AL1999" s="65"/>
      <c r="AM1999" s="65"/>
      <c r="AN1999" s="65" t="str">
        <f>IFERROR(__xludf.DUMMYFUNCTION("""COMPUTED_VALUE"""),"16:10")</f>
        <v>16:10</v>
      </c>
      <c r="AO1999" s="65" t="str">
        <f>IFERROR(__xludf.DUMMYFUNCTION("""COMPUTED_VALUE"""),"29-01-2026")</f>
        <v>29-01-2026</v>
      </c>
      <c r="AP1999" s="65" t="str">
        <f>IFERROR(__xludf.DUMMYFUNCTION("""COMPUTED_VALUE"""),"DEV CONFIRMADA POR BODEGA")</f>
        <v>DEV CONFIRMADA POR BODEGA</v>
      </c>
      <c r="AQ1999" s="65"/>
      <c r="AR1999" s="65" t="str">
        <f>IFERROR(__xludf.DUMMYFUNCTION("""COMPUTED_VALUE"""),"Gestionado por: Moran Daniel, email:danielmorga2005@gmail.com, total de productos en la orden: 1")</f>
        <v>Gestionado por: Moran Daniel, email:danielmorga2005@gmail.com, total de productos en la orden: 1</v>
      </c>
      <c r="AS1999" s="65"/>
      <c r="AT1999" s="65" t="str">
        <f>IFERROR(__xludf.DUMMYFUNCTION("""COMPUTED_VALUE"""),"SHOPIFY")</f>
        <v>SHOPIFY</v>
      </c>
      <c r="AU1999" s="65" t="str">
        <f>IFERROR(__xludf.DUMMYFUNCTION("""COMPUTED_VALUE"""),"IMPORTEX EC")</f>
        <v>IMPORTEX EC</v>
      </c>
      <c r="AV1999" s="65" t="str">
        <f>IFERROR(__xludf.DUMMYFUNCTION("""COMPUTED_VALUE"""),"6408048312364")</f>
        <v>6408048312364</v>
      </c>
      <c r="AW1999" s="65">
        <f>IFERROR(__xludf.DUMMYFUNCTION("""COMPUTED_VALUE"""),4975.0)</f>
        <v>4975</v>
      </c>
      <c r="AX1999" s="65"/>
      <c r="AY1999" s="65" t="str">
        <f>IFERROR(__xludf.DUMMYFUNCTION("""COMPUTED_VALUE"""),"13/01/2026")</f>
        <v>13/01/2026</v>
      </c>
      <c r="AZ1999" s="65"/>
      <c r="BA1999" s="65"/>
    </row>
    <row r="2000">
      <c r="A2000" s="65" t="str">
        <f>IFERROR(__xludf.DUMMYFUNCTION("""COMPUTED_VALUE"""),"27-03-2026")</f>
        <v>27-03-2026</v>
      </c>
      <c r="B2000" s="65">
        <f>IFERROR(__xludf.DUMMYFUNCTION("""COMPUTED_VALUE"""),4110470.0)</f>
        <v>4110470</v>
      </c>
      <c r="C2000" s="65" t="str">
        <f>IFERROR(__xludf.DUMMYFUNCTION("""COMPUTED_VALUE"""),"21:45")</f>
        <v>21:45</v>
      </c>
      <c r="D2000" s="65" t="str">
        <f>IFERROR(__xludf.DUMMYFUNCTION("""COMPUTED_VALUE"""),"11-01-2026")</f>
        <v>11-01-2026</v>
      </c>
      <c r="E2000" s="65" t="str">
        <f>IFERROR(__xludf.DUMMYFUNCTION("""COMPUTED_VALUE"""),"Patricia Cruz")</f>
        <v>Patricia Cruz</v>
      </c>
      <c r="F2000" s="65" t="str">
        <f>IFERROR(__xludf.DUMMYFUNCTION("""COMPUTED_VALUE"""),"987369155")</f>
        <v>987369155</v>
      </c>
      <c r="G2000" s="65" t="str">
        <f>IFERROR(__xludf.DUMMYFUNCTION("""COMPUTED_VALUE"""),"patricia_cruz_g@hotmail.com")</f>
        <v>patricia_cruz_g@hotmail.com</v>
      </c>
      <c r="H2000" s="65"/>
      <c r="I2000" s="65"/>
      <c r="J2000" s="65" t="str">
        <f>IFERROR(__xludf.DUMMYFUNCTION("""COMPUTED_VALUE"""),"D001218371")</f>
        <v>D001218371</v>
      </c>
      <c r="K2000" s="65" t="str">
        <f>IFERROR(__xludf.DUMMYFUNCTION("""COMPUTED_VALUE"""),"ENTREGADO")</f>
        <v>ENTREGADO</v>
      </c>
      <c r="L2000" s="65" t="str">
        <f>IFERROR(__xludf.DUMMYFUNCTION("""COMPUTED_VALUE"""),"CON RECAUDO")</f>
        <v>CON RECAUDO</v>
      </c>
      <c r="M2000" s="65" t="str">
        <f>IFERROR(__xludf.DUMMYFUNCTION("""COMPUTED_VALUE"""),"PICHINCHA")</f>
        <v>PICHINCHA</v>
      </c>
      <c r="N2000" s="65" t="str">
        <f>IFERROR(__xludf.DUMMYFUNCTION("""COMPUTED_VALUE"""),"QUITO")</f>
        <v>QUITO</v>
      </c>
      <c r="O2000" s="65" t="str">
        <f>IFERROR(__xludf.DUMMYFUNCTION("""COMPUTED_VALUE"""),"Junto a seguros Zurich o frente al hotel Go Eloy Alfaro y Catalina Aldaz - El Edificio es el Matter N°34-166")</f>
        <v>Junto a seguros Zurich o frente al hotel Go Eloy Alfaro y Catalina Aldaz - El Edificio es el Matter N°34-166</v>
      </c>
      <c r="P2000" s="65"/>
      <c r="Q2000" s="65" t="str">
        <f>IFERROR(__xludf.DUMMYFUNCTION("""COMPUTED_VALUE"""),"GINTRACOM")</f>
        <v>GINTRACOM</v>
      </c>
      <c r="R2000" s="65">
        <f>IFERROR(__xludf.DUMMYFUNCTION("""COMPUTED_VALUE"""),25.0)</f>
        <v>25</v>
      </c>
      <c r="S2000" s="65">
        <f>IFERROR(__xludf.DUMMYFUNCTION("""COMPUTED_VALUE"""),13.46)</f>
        <v>13.46</v>
      </c>
      <c r="T2000" s="65">
        <f>IFERROR(__xludf.DUMMYFUNCTION("""COMPUTED_VALUE"""),5.96)</f>
        <v>5.96</v>
      </c>
      <c r="U2000" s="65">
        <f>IFERROR(__xludf.DUMMYFUNCTION("""COMPUTED_VALUE"""),0.0)</f>
        <v>0</v>
      </c>
      <c r="V2000" s="65">
        <f>IFERROR(__xludf.DUMMYFUNCTION("""COMPUTED_VALUE"""),0.0)</f>
        <v>0</v>
      </c>
      <c r="W2000" s="65">
        <f>IFERROR(__xludf.DUMMYFUNCTION("""COMPUTED_VALUE"""),0.0)</f>
        <v>0</v>
      </c>
      <c r="X2000" s="65">
        <f>IFERROR(__xludf.DUMMYFUNCTION("""COMPUTED_VALUE"""),2.79)</f>
        <v>2.79</v>
      </c>
      <c r="Y2000" s="65">
        <f>IFERROR(__xludf.DUMMYFUNCTION("""COMPUTED_VALUE"""),5.58)</f>
        <v>5.58</v>
      </c>
      <c r="Z2000" s="65">
        <f>IFERROR(__xludf.DUMMYFUNCTION("""COMPUTED_VALUE"""),120732.0)</f>
        <v>120732</v>
      </c>
      <c r="AA2000" s="65" t="str">
        <f>IFERROR(__xludf.DUMMYFUNCTION("""COMPUTED_VALUE"""),"PROV-LMPVT")</f>
        <v>PROV-LMPVT</v>
      </c>
      <c r="AB2000" s="65"/>
      <c r="AC2000" s="65" t="str">
        <f>IFERROR(__xludf.DUMMYFUNCTION("""COMPUTED_VALUE"""),"LIMPIADOR DE PARABRISAS Y VENTANAS")</f>
        <v>LIMPIADOR DE PARABRISAS Y VENTANAS</v>
      </c>
      <c r="AD2000" s="65"/>
      <c r="AE2000" s="65">
        <f>IFERROR(__xludf.DUMMYFUNCTION("""COMPUTED_VALUE"""),2.0)</f>
        <v>2</v>
      </c>
      <c r="AF2000" s="65"/>
      <c r="AG2000" s="65"/>
      <c r="AH2000" s="65"/>
      <c r="AI2000" s="65"/>
      <c r="AJ2000" s="65"/>
      <c r="AK2000" s="65"/>
      <c r="AL2000" s="65"/>
      <c r="AM2000" s="65"/>
      <c r="AN2000" s="65" t="str">
        <f>IFERROR(__xludf.DUMMYFUNCTION("""COMPUTED_VALUE"""),"12:19")</f>
        <v>12:19</v>
      </c>
      <c r="AO2000" s="65" t="str">
        <f>IFERROR(__xludf.DUMMYFUNCTION("""COMPUTED_VALUE"""),"15-01-2026")</f>
        <v>15-01-2026</v>
      </c>
      <c r="AP2000" s="65" t="str">
        <f>IFERROR(__xludf.DUMMYFUNCTION("""COMPUTED_VALUE"""),"ENTREGADA GINTRACOM")</f>
        <v>ENTREGADA GINTRACOM</v>
      </c>
      <c r="AQ2000" s="65" t="str">
        <f>IFERROR(__xludf.DUMMYFUNCTION("""COMPUTED_VALUE"""),"ENTREGADA GINTRACOM")</f>
        <v>ENTREGADA GINTRACOM</v>
      </c>
      <c r="AR2000" s="65"/>
      <c r="AS2000" s="65"/>
      <c r="AT2000" s="65" t="str">
        <f>IFERROR(__xludf.DUMMYFUNCTION("""COMPUTED_VALUE"""),"SHOPIFY")</f>
        <v>SHOPIFY</v>
      </c>
      <c r="AU2000" s="65" t="str">
        <f>IFERROR(__xludf.DUMMYFUNCTION("""COMPUTED_VALUE"""),"IMPORTEX EC")</f>
        <v>IMPORTEX EC</v>
      </c>
      <c r="AV2000" s="65" t="str">
        <f>IFERROR(__xludf.DUMMYFUNCTION("""COMPUTED_VALUE"""),"6408043823148")</f>
        <v>6408043823148</v>
      </c>
      <c r="AW2000" s="65">
        <f>IFERROR(__xludf.DUMMYFUNCTION("""COMPUTED_VALUE"""),4974.0)</f>
        <v>4974</v>
      </c>
      <c r="AX2000" s="65"/>
      <c r="AY2000" s="65" t="str">
        <f>IFERROR(__xludf.DUMMYFUNCTION("""COMPUTED_VALUE"""),"13/01/2026")</f>
        <v>13/01/2026</v>
      </c>
      <c r="AZ2000" s="65"/>
      <c r="BA2000" s="65"/>
    </row>
    <row r="2001">
      <c r="A2001" s="65" t="str">
        <f>IFERROR(__xludf.DUMMYFUNCTION("""COMPUTED_VALUE"""),"27-03-2026")</f>
        <v>27-03-2026</v>
      </c>
      <c r="B2001" s="65">
        <f>IFERROR(__xludf.DUMMYFUNCTION("""COMPUTED_VALUE"""),4110212.0)</f>
        <v>4110212</v>
      </c>
      <c r="C2001" s="65" t="str">
        <f>IFERROR(__xludf.DUMMYFUNCTION("""COMPUTED_VALUE"""),"21:30")</f>
        <v>21:30</v>
      </c>
      <c r="D2001" s="65" t="str">
        <f>IFERROR(__xludf.DUMMYFUNCTION("""COMPUTED_VALUE"""),"11-01-2026")</f>
        <v>11-01-2026</v>
      </c>
      <c r="E2001" s="65" t="str">
        <f>IFERROR(__xludf.DUMMYFUNCTION("""COMPUTED_VALUE"""),"Raul Fabian Molina Soria")</f>
        <v>Raul Fabian Molina Soria</v>
      </c>
      <c r="F2001" s="65" t="str">
        <f>IFERROR(__xludf.DUMMYFUNCTION("""COMPUTED_VALUE"""),"980561385")</f>
        <v>980561385</v>
      </c>
      <c r="G2001" s="65" t="str">
        <f>IFERROR(__xludf.DUMMYFUNCTION("""COMPUTED_VALUE"""),"raul06molina@ginmail.com")</f>
        <v>raul06molina@ginmail.com</v>
      </c>
      <c r="H2001" s="65"/>
      <c r="I2001" s="65"/>
      <c r="J2001" s="65"/>
      <c r="K2001" s="65" t="str">
        <f>IFERROR(__xludf.DUMMYFUNCTION("""COMPUTED_VALUE"""),"PENDIENTE CONFIRMACION")</f>
        <v>PENDIENTE CONFIRMACION</v>
      </c>
      <c r="L2001" s="65" t="str">
        <f>IFERROR(__xludf.DUMMYFUNCTION("""COMPUTED_VALUE"""),"CON RECAUDO")</f>
        <v>CON RECAUDO</v>
      </c>
      <c r="M2001" s="65" t="str">
        <f>IFERROR(__xludf.DUMMYFUNCTION("""COMPUTED_VALUE"""),"PICHINCHA")</f>
        <v>PICHINCHA</v>
      </c>
      <c r="N2001" s="65" t="str">
        <f>IFERROR(__xludf.DUMMYFUNCTION("""COMPUTED_VALUE"""),"QUITO")</f>
        <v>QUITO</v>
      </c>
      <c r="O2001" s="65" t="str">
        <f>IFERROR(__xludf.DUMMYFUNCTION("""COMPUTED_VALUE"""),"Garcia moreno Carchi -")</f>
        <v>Garcia moreno Carchi -</v>
      </c>
      <c r="P2001" s="65"/>
      <c r="Q2001" s="65" t="str">
        <f>IFERROR(__xludf.DUMMYFUNCTION("""COMPUTED_VALUE"""),"GINTRACOM")</f>
        <v>GINTRACOM</v>
      </c>
      <c r="R2001" s="65">
        <f>IFERROR(__xludf.DUMMYFUNCTION("""COMPUTED_VALUE"""),22.0)</f>
        <v>22</v>
      </c>
      <c r="S2001" s="65"/>
      <c r="T2001" s="65">
        <f>IFERROR(__xludf.DUMMYFUNCTION("""COMPUTED_VALUE"""),5.84)</f>
        <v>5.84</v>
      </c>
      <c r="U2001" s="65">
        <f>IFERROR(__xludf.DUMMYFUNCTION("""COMPUTED_VALUE"""),0.0)</f>
        <v>0</v>
      </c>
      <c r="V2001" s="65">
        <f>IFERROR(__xludf.DUMMYFUNCTION("""COMPUTED_VALUE"""),0.0)</f>
        <v>0</v>
      </c>
      <c r="W2001" s="65">
        <f>IFERROR(__xludf.DUMMYFUNCTION("""COMPUTED_VALUE"""),0.0)</f>
        <v>0</v>
      </c>
      <c r="X2001" s="65">
        <f>IFERROR(__xludf.DUMMYFUNCTION("""COMPUTED_VALUE"""),2.6)</f>
        <v>2.6</v>
      </c>
      <c r="Y2001" s="65">
        <f>IFERROR(__xludf.DUMMYFUNCTION("""COMPUTED_VALUE"""),5.2)</f>
        <v>5.2</v>
      </c>
      <c r="Z2001" s="65">
        <f>IFERROR(__xludf.DUMMYFUNCTION("""COMPUTED_VALUE"""),121983.0)</f>
        <v>121983</v>
      </c>
      <c r="AA2001" s="65" t="str">
        <f>IFERROR(__xludf.DUMMYFUNCTION("""COMPUTED_VALUE"""),"PROV-CHLLCF")</f>
        <v>PROV-CHLLCF</v>
      </c>
      <c r="AB2001" s="65"/>
      <c r="AC2001" s="65" t="str">
        <f>IFERROR(__xludf.DUMMYFUNCTION("""COMPUTED_VALUE"""),"CUCHILLO PARA CHEF")</f>
        <v>CUCHILLO PARA CHEF</v>
      </c>
      <c r="AD2001" s="65"/>
      <c r="AE2001" s="65">
        <f>IFERROR(__xludf.DUMMYFUNCTION("""COMPUTED_VALUE"""),2.0)</f>
        <v>2</v>
      </c>
      <c r="AF2001" s="65"/>
      <c r="AG2001" s="65"/>
      <c r="AH2001" s="65"/>
      <c r="AI2001" s="65"/>
      <c r="AJ2001" s="65"/>
      <c r="AK2001" s="65"/>
      <c r="AL2001" s="65"/>
      <c r="AM2001" s="65"/>
      <c r="AN2001" s="65"/>
      <c r="AO2001" s="65"/>
      <c r="AP2001" s="65"/>
      <c r="AQ2001" s="65"/>
      <c r="AR2001" s="65"/>
      <c r="AS2001" s="65"/>
      <c r="AT2001" s="65" t="str">
        <f>IFERROR(__xludf.DUMMYFUNCTION("""COMPUTED_VALUE"""),"SHOPIFY")</f>
        <v>SHOPIFY</v>
      </c>
      <c r="AU2001" s="65" t="str">
        <f>IFERROR(__xludf.DUMMYFUNCTION("""COMPUTED_VALUE"""),"IMPORTEX EC")</f>
        <v>IMPORTEX EC</v>
      </c>
      <c r="AV2001" s="65" t="str">
        <f>IFERROR(__xludf.DUMMYFUNCTION("""COMPUTED_VALUE"""),"6408011251756")</f>
        <v>6408011251756</v>
      </c>
      <c r="AW2001" s="65">
        <f>IFERROR(__xludf.DUMMYFUNCTION("""COMPUTED_VALUE"""),4972.0)</f>
        <v>4972</v>
      </c>
      <c r="AX2001" s="65"/>
      <c r="AY2001" s="65"/>
      <c r="AZ2001" s="65"/>
      <c r="BA2001" s="65"/>
    </row>
    <row r="2002">
      <c r="A2002" s="65" t="str">
        <f>IFERROR(__xludf.DUMMYFUNCTION("""COMPUTED_VALUE"""),"27-03-2026")</f>
        <v>27-03-2026</v>
      </c>
      <c r="B2002" s="65">
        <f>IFERROR(__xludf.DUMMYFUNCTION("""COMPUTED_VALUE"""),4110106.0)</f>
        <v>4110106</v>
      </c>
      <c r="C2002" s="65" t="str">
        <f>IFERROR(__xludf.DUMMYFUNCTION("""COMPUTED_VALUE"""),"21:24")</f>
        <v>21:24</v>
      </c>
      <c r="D2002" s="65" t="str">
        <f>IFERROR(__xludf.DUMMYFUNCTION("""COMPUTED_VALUE"""),"11-01-2026")</f>
        <v>11-01-2026</v>
      </c>
      <c r="E2002" s="65" t="str">
        <f>IFERROR(__xludf.DUMMYFUNCTION("""COMPUTED_VALUE"""),"Luis Nieto")</f>
        <v>Luis Nieto</v>
      </c>
      <c r="F2002" s="65" t="str">
        <f>IFERROR(__xludf.DUMMYFUNCTION("""COMPUTED_VALUE"""),"987275429")</f>
        <v>987275429</v>
      </c>
      <c r="G2002" s="65" t="str">
        <f>IFERROR(__xludf.DUMMYFUNCTION("""COMPUTED_VALUE"""),"luisomar0212@hotmail.com")</f>
        <v>luisomar0212@hotmail.com</v>
      </c>
      <c r="H2002" s="65"/>
      <c r="I2002" s="65"/>
      <c r="J2002" s="65" t="str">
        <f>IFERROR(__xludf.DUMMYFUNCTION("""COMPUTED_VALUE"""),"D001218372")</f>
        <v>D001218372</v>
      </c>
      <c r="K2002" s="65" t="str">
        <f>IFERROR(__xludf.DUMMYFUNCTION("""COMPUTED_VALUE"""),"ENTREGADO")</f>
        <v>ENTREGADO</v>
      </c>
      <c r="L2002" s="65" t="str">
        <f>IFERROR(__xludf.DUMMYFUNCTION("""COMPUTED_VALUE"""),"CON RECAUDO")</f>
        <v>CON RECAUDO</v>
      </c>
      <c r="M2002" s="65" t="str">
        <f>IFERROR(__xludf.DUMMYFUNCTION("""COMPUTED_VALUE"""),"PICHINCHA")</f>
        <v>PICHINCHA</v>
      </c>
      <c r="N2002" s="65" t="str">
        <f>IFERROR(__xludf.DUMMYFUNCTION("""COMPUTED_VALUE"""),"QUITO")</f>
        <v>QUITO</v>
      </c>
      <c r="O2002" s="65" t="str">
        <f>IFERROR(__xludf.DUMMYFUNCTION("""COMPUTED_VALUE"""),"Diego Céspedes Oe4-335 y Balsas Estadio del Aucas a lado de la zona marinera - tienda el changarrito")</f>
        <v>Diego Céspedes Oe4-335 y Balsas Estadio del Aucas a lado de la zona marinera - tienda el changarrito</v>
      </c>
      <c r="P2002" s="65"/>
      <c r="Q2002" s="65" t="str">
        <f>IFERROR(__xludf.DUMMYFUNCTION("""COMPUTED_VALUE"""),"GINTRACOM")</f>
        <v>GINTRACOM</v>
      </c>
      <c r="R2002" s="65">
        <f>IFERROR(__xludf.DUMMYFUNCTION("""COMPUTED_VALUE"""),20.0)</f>
        <v>20</v>
      </c>
      <c r="S2002" s="65">
        <f>IFERROR(__xludf.DUMMYFUNCTION("""COMPUTED_VALUE"""),11.45)</f>
        <v>11.45</v>
      </c>
      <c r="T2002" s="65">
        <f>IFERROR(__xludf.DUMMYFUNCTION("""COMPUTED_VALUE"""),5.76)</f>
        <v>5.76</v>
      </c>
      <c r="U2002" s="65">
        <f>IFERROR(__xludf.DUMMYFUNCTION("""COMPUTED_VALUE"""),0.0)</f>
        <v>0</v>
      </c>
      <c r="V2002" s="65">
        <f>IFERROR(__xludf.DUMMYFUNCTION("""COMPUTED_VALUE"""),0.0)</f>
        <v>0</v>
      </c>
      <c r="W2002" s="65">
        <f>IFERROR(__xludf.DUMMYFUNCTION("""COMPUTED_VALUE"""),0.0)</f>
        <v>0</v>
      </c>
      <c r="X2002" s="65">
        <f>IFERROR(__xludf.DUMMYFUNCTION("""COMPUTED_VALUE"""),2.79)</f>
        <v>2.79</v>
      </c>
      <c r="Y2002" s="65">
        <f>IFERROR(__xludf.DUMMYFUNCTION("""COMPUTED_VALUE"""),2.79)</f>
        <v>2.79</v>
      </c>
      <c r="Z2002" s="65">
        <f>IFERROR(__xludf.DUMMYFUNCTION("""COMPUTED_VALUE"""),120732.0)</f>
        <v>120732</v>
      </c>
      <c r="AA2002" s="65" t="str">
        <f>IFERROR(__xludf.DUMMYFUNCTION("""COMPUTED_VALUE"""),"PROV-LMPVT")</f>
        <v>PROV-LMPVT</v>
      </c>
      <c r="AB2002" s="65"/>
      <c r="AC2002" s="65" t="str">
        <f>IFERROR(__xludf.DUMMYFUNCTION("""COMPUTED_VALUE"""),"LIMPIADOR DE PARABRISAS Y VENTANAS")</f>
        <v>LIMPIADOR DE PARABRISAS Y VENTANAS</v>
      </c>
      <c r="AD2002" s="65"/>
      <c r="AE2002" s="65">
        <f>IFERROR(__xludf.DUMMYFUNCTION("""COMPUTED_VALUE"""),1.0)</f>
        <v>1</v>
      </c>
      <c r="AF2002" s="65"/>
      <c r="AG2002" s="65"/>
      <c r="AH2002" s="65"/>
      <c r="AI2002" s="65"/>
      <c r="AJ2002" s="65"/>
      <c r="AK2002" s="65"/>
      <c r="AL2002" s="65"/>
      <c r="AM2002" s="65"/>
      <c r="AN2002" s="65" t="str">
        <f>IFERROR(__xludf.DUMMYFUNCTION("""COMPUTED_VALUE"""),"18:14")</f>
        <v>18:14</v>
      </c>
      <c r="AO2002" s="65" t="str">
        <f>IFERROR(__xludf.DUMMYFUNCTION("""COMPUTED_VALUE"""),"15-01-2026")</f>
        <v>15-01-2026</v>
      </c>
      <c r="AP2002" s="65" t="str">
        <f>IFERROR(__xludf.DUMMYFUNCTION("""COMPUTED_VALUE"""),"ENTREGADA GINTRACOM")</f>
        <v>ENTREGADA GINTRACOM</v>
      </c>
      <c r="AQ2002" s="65" t="str">
        <f>IFERROR(__xludf.DUMMYFUNCTION("""COMPUTED_VALUE"""),"ENTREGADA GINTRACOM")</f>
        <v>ENTREGADA GINTRACOM</v>
      </c>
      <c r="AR2002" s="65"/>
      <c r="AS2002" s="65"/>
      <c r="AT2002" s="65" t="str">
        <f>IFERROR(__xludf.DUMMYFUNCTION("""COMPUTED_VALUE"""),"SHOPIFY")</f>
        <v>SHOPIFY</v>
      </c>
      <c r="AU2002" s="65" t="str">
        <f>IFERROR(__xludf.DUMMYFUNCTION("""COMPUTED_VALUE"""),"IMPORTEX EC")</f>
        <v>IMPORTEX EC</v>
      </c>
      <c r="AV2002" s="65" t="str">
        <f>IFERROR(__xludf.DUMMYFUNCTION("""COMPUTED_VALUE"""),"6408001781804")</f>
        <v>6408001781804</v>
      </c>
      <c r="AW2002" s="65">
        <f>IFERROR(__xludf.DUMMYFUNCTION("""COMPUTED_VALUE"""),4970.0)</f>
        <v>4970</v>
      </c>
      <c r="AX2002" s="65"/>
      <c r="AY2002" s="65" t="str">
        <f>IFERROR(__xludf.DUMMYFUNCTION("""COMPUTED_VALUE"""),"13/01/2026")</f>
        <v>13/01/2026</v>
      </c>
      <c r="AZ2002" s="65"/>
      <c r="BA2002" s="65"/>
    </row>
    <row r="2003">
      <c r="A2003" s="65" t="str">
        <f>IFERROR(__xludf.DUMMYFUNCTION("""COMPUTED_VALUE"""),"27-03-2026")</f>
        <v>27-03-2026</v>
      </c>
      <c r="B2003" s="65">
        <f>IFERROR(__xludf.DUMMYFUNCTION("""COMPUTED_VALUE"""),4110065.0)</f>
        <v>4110065</v>
      </c>
      <c r="C2003" s="65" t="str">
        <f>IFERROR(__xludf.DUMMYFUNCTION("""COMPUTED_VALUE"""),"21:21")</f>
        <v>21:21</v>
      </c>
      <c r="D2003" s="65" t="str">
        <f>IFERROR(__xludf.DUMMYFUNCTION("""COMPUTED_VALUE"""),"11-01-2026")</f>
        <v>11-01-2026</v>
      </c>
      <c r="E2003" s="65" t="str">
        <f>IFERROR(__xludf.DUMMYFUNCTION("""COMPUTED_VALUE"""),"Nicolai Guerrero")</f>
        <v>Nicolai Guerrero</v>
      </c>
      <c r="F2003" s="65" t="str">
        <f>IFERROR(__xludf.DUMMYFUNCTION("""COMPUTED_VALUE"""),"984912430")</f>
        <v>984912430</v>
      </c>
      <c r="G2003" s="65" t="str">
        <f>IFERROR(__xludf.DUMMYFUNCTION("""COMPUTED_VALUE"""),"ecosupply.sales@gmail.com")</f>
        <v>ecosupply.sales@gmail.com</v>
      </c>
      <c r="H2003" s="65"/>
      <c r="I2003" s="65"/>
      <c r="J2003" s="65" t="str">
        <f>IFERROR(__xludf.DUMMYFUNCTION("""COMPUTED_VALUE"""),"D001218373")</f>
        <v>D001218373</v>
      </c>
      <c r="K2003" s="65" t="str">
        <f>IFERROR(__xludf.DUMMYFUNCTION("""COMPUTED_VALUE"""),"ENTREGADO")</f>
        <v>ENTREGADO</v>
      </c>
      <c r="L2003" s="65" t="str">
        <f>IFERROR(__xludf.DUMMYFUNCTION("""COMPUTED_VALUE"""),"CON RECAUDO")</f>
        <v>CON RECAUDO</v>
      </c>
      <c r="M2003" s="65" t="str">
        <f>IFERROR(__xludf.DUMMYFUNCTION("""COMPUTED_VALUE"""),"GUAYAS")</f>
        <v>GUAYAS</v>
      </c>
      <c r="N2003" s="65" t="str">
        <f>IFERROR(__xludf.DUMMYFUNCTION("""COMPUTED_VALUE"""),"GUAYAQUIL")</f>
        <v>GUAYAQUIL</v>
      </c>
      <c r="O2003" s="65" t="str">
        <f>IFERROR(__xludf.DUMMYFUNCTION("""COMPUTED_VALUE"""),"Calle Toronjas G50 y Los Mangos cdla. El Paraiso -")</f>
        <v>Calle Toronjas G50 y Los Mangos cdla. El Paraiso -</v>
      </c>
      <c r="P2003" s="65"/>
      <c r="Q2003" s="65" t="str">
        <f>IFERROR(__xludf.DUMMYFUNCTION("""COMPUTED_VALUE"""),"GINTRACOM")</f>
        <v>GINTRACOM</v>
      </c>
      <c r="R2003" s="65">
        <f>IFERROR(__xludf.DUMMYFUNCTION("""COMPUTED_VALUE"""),30.0)</f>
        <v>30</v>
      </c>
      <c r="S2003" s="65">
        <f>IFERROR(__xludf.DUMMYFUNCTION("""COMPUTED_VALUE"""),17.08)</f>
        <v>17.08</v>
      </c>
      <c r="T2003" s="65">
        <f>IFERROR(__xludf.DUMMYFUNCTION("""COMPUTED_VALUE"""),4.55)</f>
        <v>4.55</v>
      </c>
      <c r="U2003" s="65">
        <f>IFERROR(__xludf.DUMMYFUNCTION("""COMPUTED_VALUE"""),0.0)</f>
        <v>0</v>
      </c>
      <c r="V2003" s="65">
        <f>IFERROR(__xludf.DUMMYFUNCTION("""COMPUTED_VALUE"""),0.0)</f>
        <v>0</v>
      </c>
      <c r="W2003" s="65">
        <f>IFERROR(__xludf.DUMMYFUNCTION("""COMPUTED_VALUE"""),0.0)</f>
        <v>0</v>
      </c>
      <c r="X2003" s="65">
        <f>IFERROR(__xludf.DUMMYFUNCTION("""COMPUTED_VALUE"""),2.79)</f>
        <v>2.79</v>
      </c>
      <c r="Y2003" s="65">
        <f>IFERROR(__xludf.DUMMYFUNCTION("""COMPUTED_VALUE"""),8.37)</f>
        <v>8.37</v>
      </c>
      <c r="Z2003" s="65">
        <f>IFERROR(__xludf.DUMMYFUNCTION("""COMPUTED_VALUE"""),120732.0)</f>
        <v>120732</v>
      </c>
      <c r="AA2003" s="65" t="str">
        <f>IFERROR(__xludf.DUMMYFUNCTION("""COMPUTED_VALUE"""),"PROV-LMPVT")</f>
        <v>PROV-LMPVT</v>
      </c>
      <c r="AB2003" s="65"/>
      <c r="AC2003" s="65" t="str">
        <f>IFERROR(__xludf.DUMMYFUNCTION("""COMPUTED_VALUE"""),"LIMPIADOR DE PARABRISAS Y VENTANAS")</f>
        <v>LIMPIADOR DE PARABRISAS Y VENTANAS</v>
      </c>
      <c r="AD2003" s="65"/>
      <c r="AE2003" s="65">
        <f>IFERROR(__xludf.DUMMYFUNCTION("""COMPUTED_VALUE"""),3.0)</f>
        <v>3</v>
      </c>
      <c r="AF2003" s="65"/>
      <c r="AG2003" s="65"/>
      <c r="AH2003" s="65"/>
      <c r="AI2003" s="65"/>
      <c r="AJ2003" s="65"/>
      <c r="AK2003" s="65"/>
      <c r="AL2003" s="65"/>
      <c r="AM2003" s="65"/>
      <c r="AN2003" s="65" t="str">
        <f>IFERROR(__xludf.DUMMYFUNCTION("""COMPUTED_VALUE"""),"18:18")</f>
        <v>18:18</v>
      </c>
      <c r="AO2003" s="65" t="str">
        <f>IFERROR(__xludf.DUMMYFUNCTION("""COMPUTED_VALUE"""),"14-01-2026")</f>
        <v>14-01-2026</v>
      </c>
      <c r="AP2003" s="65" t="str">
        <f>IFERROR(__xludf.DUMMYFUNCTION("""COMPUTED_VALUE"""),"ENTREGADA GINTRACOM")</f>
        <v>ENTREGADA GINTRACOM</v>
      </c>
      <c r="AQ2003" s="65" t="str">
        <f>IFERROR(__xludf.DUMMYFUNCTION("""COMPUTED_VALUE"""),"ENTREGADA GINTRACOM")</f>
        <v>ENTREGADA GINTRACOM</v>
      </c>
      <c r="AR2003" s="65"/>
      <c r="AS2003" s="65"/>
      <c r="AT2003" s="65" t="str">
        <f>IFERROR(__xludf.DUMMYFUNCTION("""COMPUTED_VALUE"""),"SHOPIFY")</f>
        <v>SHOPIFY</v>
      </c>
      <c r="AU2003" s="65" t="str">
        <f>IFERROR(__xludf.DUMMYFUNCTION("""COMPUTED_VALUE"""),"IMPORTEX EC")</f>
        <v>IMPORTEX EC</v>
      </c>
      <c r="AV2003" s="65" t="str">
        <f>IFERROR(__xludf.DUMMYFUNCTION("""COMPUTED_VALUE"""),"6407995719724")</f>
        <v>6407995719724</v>
      </c>
      <c r="AW2003" s="65">
        <f>IFERROR(__xludf.DUMMYFUNCTION("""COMPUTED_VALUE"""),4969.0)</f>
        <v>4969</v>
      </c>
      <c r="AX2003" s="65"/>
      <c r="AY2003" s="65" t="str">
        <f>IFERROR(__xludf.DUMMYFUNCTION("""COMPUTED_VALUE"""),"13/01/2026")</f>
        <v>13/01/2026</v>
      </c>
      <c r="AZ2003" s="65"/>
      <c r="BA2003" s="65"/>
    </row>
    <row r="2004">
      <c r="A2004" s="65" t="str">
        <f>IFERROR(__xludf.DUMMYFUNCTION("""COMPUTED_VALUE"""),"27-03-2026")</f>
        <v>27-03-2026</v>
      </c>
      <c r="B2004" s="65">
        <f>IFERROR(__xludf.DUMMYFUNCTION("""COMPUTED_VALUE"""),4109818.0)</f>
        <v>4109818</v>
      </c>
      <c r="C2004" s="65" t="str">
        <f>IFERROR(__xludf.DUMMYFUNCTION("""COMPUTED_VALUE"""),"21:08")</f>
        <v>21:08</v>
      </c>
      <c r="D2004" s="65" t="str">
        <f>IFERROR(__xludf.DUMMYFUNCTION("""COMPUTED_VALUE"""),"11-01-2026")</f>
        <v>11-01-2026</v>
      </c>
      <c r="E2004" s="65" t="str">
        <f>IFERROR(__xludf.DUMMYFUNCTION("""COMPUTED_VALUE"""),"CARLOS HUMBERTO CAISAGUANO TUQUERES")</f>
        <v>CARLOS HUMBERTO CAISAGUANO TUQUERES</v>
      </c>
      <c r="F2004" s="65" t="str">
        <f>IFERROR(__xludf.DUMMYFUNCTION("""COMPUTED_VALUE"""),"984251888")</f>
        <v>984251888</v>
      </c>
      <c r="G2004" s="65" t="str">
        <f>IFERROR(__xludf.DUMMYFUNCTION("""COMPUTED_VALUE"""),"karlos_2015@hotmail.com")</f>
        <v>karlos_2015@hotmail.com</v>
      </c>
      <c r="H2004" s="65"/>
      <c r="I2004" s="65"/>
      <c r="J2004" s="65" t="str">
        <f>IFERROR(__xludf.DUMMYFUNCTION("""COMPUTED_VALUE"""),"D001218374")</f>
        <v>D001218374</v>
      </c>
      <c r="K2004" s="65" t="str">
        <f>IFERROR(__xludf.DUMMYFUNCTION("""COMPUTED_VALUE"""),"ENTREGADO")</f>
        <v>ENTREGADO</v>
      </c>
      <c r="L2004" s="65" t="str">
        <f>IFERROR(__xludf.DUMMYFUNCTION("""COMPUTED_VALUE"""),"CON RECAUDO")</f>
        <v>CON RECAUDO</v>
      </c>
      <c r="M2004" s="65" t="str">
        <f>IFERROR(__xludf.DUMMYFUNCTION("""COMPUTED_VALUE"""),"PICHINCHA")</f>
        <v>PICHINCHA</v>
      </c>
      <c r="N2004" s="65" t="str">
        <f>IFERROR(__xludf.DUMMYFUNCTION("""COMPUTED_VALUE"""),"QUITO")</f>
        <v>QUITO</v>
      </c>
      <c r="O2004" s="65" t="str">
        <f>IFERROR(__xludf.DUMMYFUNCTION("""COMPUTED_VALUE"""),"Olivos Oe10-290 Línea Ferrea Cumbaya San Juan Alto -")</f>
        <v>Olivos Oe10-290 Línea Ferrea Cumbaya San Juan Alto -</v>
      </c>
      <c r="P2004" s="65"/>
      <c r="Q2004" s="65" t="str">
        <f>IFERROR(__xludf.DUMMYFUNCTION("""COMPUTED_VALUE"""),"GINTRACOM")</f>
        <v>GINTRACOM</v>
      </c>
      <c r="R2004" s="65">
        <f>IFERROR(__xludf.DUMMYFUNCTION("""COMPUTED_VALUE"""),25.0)</f>
        <v>25</v>
      </c>
      <c r="S2004" s="65">
        <f>IFERROR(__xludf.DUMMYFUNCTION("""COMPUTED_VALUE"""),13.46)</f>
        <v>13.46</v>
      </c>
      <c r="T2004" s="65">
        <f>IFERROR(__xludf.DUMMYFUNCTION("""COMPUTED_VALUE"""),5.96)</f>
        <v>5.96</v>
      </c>
      <c r="U2004" s="65">
        <f>IFERROR(__xludf.DUMMYFUNCTION("""COMPUTED_VALUE"""),0.0)</f>
        <v>0</v>
      </c>
      <c r="V2004" s="65">
        <f>IFERROR(__xludf.DUMMYFUNCTION("""COMPUTED_VALUE"""),0.0)</f>
        <v>0</v>
      </c>
      <c r="W2004" s="65">
        <f>IFERROR(__xludf.DUMMYFUNCTION("""COMPUTED_VALUE"""),0.0)</f>
        <v>0</v>
      </c>
      <c r="X2004" s="65">
        <f>IFERROR(__xludf.DUMMYFUNCTION("""COMPUTED_VALUE"""),2.79)</f>
        <v>2.79</v>
      </c>
      <c r="Y2004" s="65">
        <f>IFERROR(__xludf.DUMMYFUNCTION("""COMPUTED_VALUE"""),5.58)</f>
        <v>5.58</v>
      </c>
      <c r="Z2004" s="65">
        <f>IFERROR(__xludf.DUMMYFUNCTION("""COMPUTED_VALUE"""),120732.0)</f>
        <v>120732</v>
      </c>
      <c r="AA2004" s="65" t="str">
        <f>IFERROR(__xludf.DUMMYFUNCTION("""COMPUTED_VALUE"""),"PROV-LMPVT")</f>
        <v>PROV-LMPVT</v>
      </c>
      <c r="AB2004" s="65"/>
      <c r="AC2004" s="65" t="str">
        <f>IFERROR(__xludf.DUMMYFUNCTION("""COMPUTED_VALUE"""),"LIMPIADOR DE PARABRISAS Y VENTANAS")</f>
        <v>LIMPIADOR DE PARABRISAS Y VENTANAS</v>
      </c>
      <c r="AD2004" s="65"/>
      <c r="AE2004" s="65">
        <f>IFERROR(__xludf.DUMMYFUNCTION("""COMPUTED_VALUE"""),2.0)</f>
        <v>2</v>
      </c>
      <c r="AF2004" s="65" t="str">
        <f>IFERROR(__xludf.DUMMYFUNCTION("""COMPUTED_VALUE"""),"DIRECCIÓN DE DESTINARIO INCOMPLETA O INCORRECTA Y NO HAY RESPUESTA DEL CLIENTE")</f>
        <v>DIRECCIÓN DE DESTINARIO INCOMPLETA O INCORRECTA Y NO HAY RESPUESTA DEL CLIENTE</v>
      </c>
      <c r="AG2004" s="65" t="str">
        <f>IFERROR(__xludf.DUMMYFUNCTION("""COMPUTED_VALUE"""),"SI")</f>
        <v>SI</v>
      </c>
      <c r="AH2004" s="65" t="str">
        <f>IFERROR(__xludf.DUMMYFUNCTION("""COMPUTED_VALUE"""),"20:26")</f>
        <v>20:26</v>
      </c>
      <c r="AI2004" s="65" t="str">
        <f>IFERROR(__xludf.DUMMYFUNCTION("""COMPUTED_VALUE"""),"14-01-2026")</f>
        <v>14-01-2026</v>
      </c>
      <c r="AJ2004" s="65"/>
      <c r="AK2004" s="65"/>
      <c r="AL2004" s="65"/>
      <c r="AM2004" s="65"/>
      <c r="AN2004" s="65" t="str">
        <f>IFERROR(__xludf.DUMMYFUNCTION("""COMPUTED_VALUE"""),"14:38")</f>
        <v>14:38</v>
      </c>
      <c r="AO2004" s="65" t="str">
        <f>IFERROR(__xludf.DUMMYFUNCTION("""COMPUTED_VALUE"""),"19-01-2026")</f>
        <v>19-01-2026</v>
      </c>
      <c r="AP2004" s="65" t="str">
        <f>IFERROR(__xludf.DUMMYFUNCTION("""COMPUTED_VALUE"""),"ENTREGADA GINTRACOM")</f>
        <v>ENTREGADA GINTRACOM</v>
      </c>
      <c r="AQ2004" s="65" t="str">
        <f>IFERROR(__xludf.DUMMYFUNCTION("""COMPUTED_VALUE"""),"ENTREGADA GINTRACOM")</f>
        <v>ENTREGADA GINTRACOM</v>
      </c>
      <c r="AR2004" s="65"/>
      <c r="AS2004" s="65"/>
      <c r="AT2004" s="65" t="str">
        <f>IFERROR(__xludf.DUMMYFUNCTION("""COMPUTED_VALUE"""),"SHOPIFY")</f>
        <v>SHOPIFY</v>
      </c>
      <c r="AU2004" s="65" t="str">
        <f>IFERROR(__xludf.DUMMYFUNCTION("""COMPUTED_VALUE"""),"IMPORTEX EC")</f>
        <v>IMPORTEX EC</v>
      </c>
      <c r="AV2004" s="65" t="str">
        <f>IFERROR(__xludf.DUMMYFUNCTION("""COMPUTED_VALUE"""),"6407967670316")</f>
        <v>6407967670316</v>
      </c>
      <c r="AW2004" s="65">
        <f>IFERROR(__xludf.DUMMYFUNCTION("""COMPUTED_VALUE"""),4968.0)</f>
        <v>4968</v>
      </c>
      <c r="AX2004" s="65"/>
      <c r="AY2004" s="65" t="str">
        <f>IFERROR(__xludf.DUMMYFUNCTION("""COMPUTED_VALUE"""),"13/01/2026")</f>
        <v>13/01/2026</v>
      </c>
      <c r="AZ2004" s="65"/>
      <c r="BA2004" s="65"/>
    </row>
    <row r="2005">
      <c r="A2005" s="65" t="str">
        <f>IFERROR(__xludf.DUMMYFUNCTION("""COMPUTED_VALUE"""),"27-03-2026")</f>
        <v>27-03-2026</v>
      </c>
      <c r="B2005" s="65">
        <f>IFERROR(__xludf.DUMMYFUNCTION("""COMPUTED_VALUE"""),4109817.0)</f>
        <v>4109817</v>
      </c>
      <c r="C2005" s="65" t="str">
        <f>IFERROR(__xludf.DUMMYFUNCTION("""COMPUTED_VALUE"""),"21:07")</f>
        <v>21:07</v>
      </c>
      <c r="D2005" s="65" t="str">
        <f>IFERROR(__xludf.DUMMYFUNCTION("""COMPUTED_VALUE"""),"11-01-2026")</f>
        <v>11-01-2026</v>
      </c>
      <c r="E2005" s="65" t="str">
        <f>IFERROR(__xludf.DUMMYFUNCTION("""COMPUTED_VALUE"""),"Jonni Moreno")</f>
        <v>Jonni Moreno</v>
      </c>
      <c r="F2005" s="65" t="str">
        <f>IFERROR(__xludf.DUMMYFUNCTION("""COMPUTED_VALUE"""),"999397600")</f>
        <v>999397600</v>
      </c>
      <c r="G2005" s="65" t="str">
        <f>IFERROR(__xludf.DUMMYFUNCTION("""COMPUTED_VALUE"""),"morenojonnymoreno@outlook.com")</f>
        <v>morenojonnymoreno@outlook.com</v>
      </c>
      <c r="H2005" s="65"/>
      <c r="I2005" s="65"/>
      <c r="J2005" s="65" t="str">
        <f>IFERROR(__xludf.DUMMYFUNCTION("""COMPUTED_VALUE"""),"D001218375")</f>
        <v>D001218375</v>
      </c>
      <c r="K2005" s="65" t="str">
        <f>IFERROR(__xludf.DUMMYFUNCTION("""COMPUTED_VALUE"""),"ENTREGADO")</f>
        <v>ENTREGADO</v>
      </c>
      <c r="L2005" s="65" t="str">
        <f>IFERROR(__xludf.DUMMYFUNCTION("""COMPUTED_VALUE"""),"CON RECAUDO")</f>
        <v>CON RECAUDO</v>
      </c>
      <c r="M2005" s="65" t="str">
        <f>IFERROR(__xludf.DUMMYFUNCTION("""COMPUTED_VALUE"""),"MANABI")</f>
        <v>MANABI</v>
      </c>
      <c r="N2005" s="65" t="str">
        <f>IFERROR(__xludf.DUMMYFUNCTION("""COMPUTED_VALUE"""),"MANTA")</f>
        <v>MANTA</v>
      </c>
      <c r="O2005" s="65" t="str">
        <f>IFERROR(__xludf.DUMMYFUNCTION("""COMPUTED_VALUE"""),"Calle 309 avenida 211 San pedro -")</f>
        <v>Calle 309 avenida 211 San pedro -</v>
      </c>
      <c r="P2005" s="65"/>
      <c r="Q2005" s="65" t="str">
        <f>IFERROR(__xludf.DUMMYFUNCTION("""COMPUTED_VALUE"""),"GINTRACOM")</f>
        <v>GINTRACOM</v>
      </c>
      <c r="R2005" s="65">
        <f>IFERROR(__xludf.DUMMYFUNCTION("""COMPUTED_VALUE"""),22.0)</f>
        <v>22</v>
      </c>
      <c r="S2005" s="65">
        <f>IFERROR(__xludf.DUMMYFUNCTION("""COMPUTED_VALUE"""),10.96)</f>
        <v>10.96</v>
      </c>
      <c r="T2005" s="65">
        <f>IFERROR(__xludf.DUMMYFUNCTION("""COMPUTED_VALUE"""),5.84)</f>
        <v>5.84</v>
      </c>
      <c r="U2005" s="65">
        <f>IFERROR(__xludf.DUMMYFUNCTION("""COMPUTED_VALUE"""),0.0)</f>
        <v>0</v>
      </c>
      <c r="V2005" s="65">
        <f>IFERROR(__xludf.DUMMYFUNCTION("""COMPUTED_VALUE"""),0.0)</f>
        <v>0</v>
      </c>
      <c r="W2005" s="65">
        <f>IFERROR(__xludf.DUMMYFUNCTION("""COMPUTED_VALUE"""),0.0)</f>
        <v>0</v>
      </c>
      <c r="X2005" s="65">
        <f>IFERROR(__xludf.DUMMYFUNCTION("""COMPUTED_VALUE"""),2.6)</f>
        <v>2.6</v>
      </c>
      <c r="Y2005" s="65">
        <f>IFERROR(__xludf.DUMMYFUNCTION("""COMPUTED_VALUE"""),5.2)</f>
        <v>5.2</v>
      </c>
      <c r="Z2005" s="65">
        <f>IFERROR(__xludf.DUMMYFUNCTION("""COMPUTED_VALUE"""),121983.0)</f>
        <v>121983</v>
      </c>
      <c r="AA2005" s="65" t="str">
        <f>IFERROR(__xludf.DUMMYFUNCTION("""COMPUTED_VALUE"""),"PROV-CHLLCF")</f>
        <v>PROV-CHLLCF</v>
      </c>
      <c r="AB2005" s="65"/>
      <c r="AC2005" s="65" t="str">
        <f>IFERROR(__xludf.DUMMYFUNCTION("""COMPUTED_VALUE"""),"CUCHILLO PARA CHEF")</f>
        <v>CUCHILLO PARA CHEF</v>
      </c>
      <c r="AD2005" s="65"/>
      <c r="AE2005" s="65">
        <f>IFERROR(__xludf.DUMMYFUNCTION("""COMPUTED_VALUE"""),2.0)</f>
        <v>2</v>
      </c>
      <c r="AF2005" s="65" t="str">
        <f>IFERROR(__xludf.DUMMYFUNCTION("""COMPUTED_VALUE"""),"DESTINATARIO NO CONTESTA LLAMADAS NI WHATSAPP")</f>
        <v>DESTINATARIO NO CONTESTA LLAMADAS NI WHATSAPP</v>
      </c>
      <c r="AG2005" s="65" t="str">
        <f>IFERROR(__xludf.DUMMYFUNCTION("""COMPUTED_VALUE"""),"SI")</f>
        <v>SI</v>
      </c>
      <c r="AH2005" s="65" t="str">
        <f>IFERROR(__xludf.DUMMYFUNCTION("""COMPUTED_VALUE"""),"09:00")</f>
        <v>09:00</v>
      </c>
      <c r="AI2005" s="65" t="str">
        <f>IFERROR(__xludf.DUMMYFUNCTION("""COMPUTED_VALUE"""),"20-01-2026")</f>
        <v>20-01-2026</v>
      </c>
      <c r="AJ2005" s="65"/>
      <c r="AK2005" s="65"/>
      <c r="AL2005" s="65"/>
      <c r="AM2005" s="65"/>
      <c r="AN2005" s="65" t="str">
        <f>IFERROR(__xludf.DUMMYFUNCTION("""COMPUTED_VALUE"""),"09:56")</f>
        <v>09:56</v>
      </c>
      <c r="AO2005" s="65" t="str">
        <f>IFERROR(__xludf.DUMMYFUNCTION("""COMPUTED_VALUE"""),"23-01-2026")</f>
        <v>23-01-2026</v>
      </c>
      <c r="AP2005" s="65" t="str">
        <f>IFERROR(__xludf.DUMMYFUNCTION("""COMPUTED_VALUE"""),"ENTREGADA GINTRACOM")</f>
        <v>ENTREGADA GINTRACOM</v>
      </c>
      <c r="AQ2005" s="65" t="str">
        <f>IFERROR(__xludf.DUMMYFUNCTION("""COMPUTED_VALUE"""),"ENTREGADA GINTRACOM")</f>
        <v>ENTREGADA GINTRACOM</v>
      </c>
      <c r="AR2005" s="65"/>
      <c r="AS2005" s="65"/>
      <c r="AT2005" s="65" t="str">
        <f>IFERROR(__xludf.DUMMYFUNCTION("""COMPUTED_VALUE"""),"SHOPIFY")</f>
        <v>SHOPIFY</v>
      </c>
      <c r="AU2005" s="65" t="str">
        <f>IFERROR(__xludf.DUMMYFUNCTION("""COMPUTED_VALUE"""),"IMPORTEX EC")</f>
        <v>IMPORTEX EC</v>
      </c>
      <c r="AV2005" s="65" t="str">
        <f>IFERROR(__xludf.DUMMYFUNCTION("""COMPUTED_VALUE"""),"6407966523436")</f>
        <v>6407966523436</v>
      </c>
      <c r="AW2005" s="65">
        <f>IFERROR(__xludf.DUMMYFUNCTION("""COMPUTED_VALUE"""),4967.0)</f>
        <v>4967</v>
      </c>
      <c r="AX2005" s="65"/>
      <c r="AY2005" s="65" t="str">
        <f>IFERROR(__xludf.DUMMYFUNCTION("""COMPUTED_VALUE"""),"13/01/2026")</f>
        <v>13/01/2026</v>
      </c>
      <c r="AZ2005" s="65"/>
      <c r="BA2005" s="65"/>
    </row>
    <row r="2006">
      <c r="A2006" s="65" t="str">
        <f>IFERROR(__xludf.DUMMYFUNCTION("""COMPUTED_VALUE"""),"27-03-2026")</f>
        <v>27-03-2026</v>
      </c>
      <c r="B2006" s="65">
        <f>IFERROR(__xludf.DUMMYFUNCTION("""COMPUTED_VALUE"""),4109699.0)</f>
        <v>4109699</v>
      </c>
      <c r="C2006" s="65" t="str">
        <f>IFERROR(__xludf.DUMMYFUNCTION("""COMPUTED_VALUE"""),"21:00")</f>
        <v>21:00</v>
      </c>
      <c r="D2006" s="65" t="str">
        <f>IFERROR(__xludf.DUMMYFUNCTION("""COMPUTED_VALUE"""),"11-01-2026")</f>
        <v>11-01-2026</v>
      </c>
      <c r="E2006" s="65" t="str">
        <f>IFERROR(__xludf.DUMMYFUNCTION("""COMPUTED_VALUE"""),"Cesar Díaz Zumba")</f>
        <v>Cesar Díaz Zumba</v>
      </c>
      <c r="F2006" s="65" t="str">
        <f>IFERROR(__xludf.DUMMYFUNCTION("""COMPUTED_VALUE"""),"987369551")</f>
        <v>987369551</v>
      </c>
      <c r="G2006" s="65" t="str">
        <f>IFERROR(__xludf.DUMMYFUNCTION("""COMPUTED_VALUE"""),"cdiaz.coazucar.ec@gmail.com")</f>
        <v>cdiaz.coazucar.ec@gmail.com</v>
      </c>
      <c r="H2006" s="65"/>
      <c r="I2006" s="65"/>
      <c r="J2006" s="65" t="str">
        <f>IFERROR(__xludf.DUMMYFUNCTION("""COMPUTED_VALUE"""),"D001215501")</f>
        <v>D001215501</v>
      </c>
      <c r="K2006" s="65" t="str">
        <f>IFERROR(__xludf.DUMMYFUNCTION("""COMPUTED_VALUE"""),"DEVOLUCION")</f>
        <v>DEVOLUCION</v>
      </c>
      <c r="L2006" s="65" t="str">
        <f>IFERROR(__xludf.DUMMYFUNCTION("""COMPUTED_VALUE"""),"CON RECAUDO")</f>
        <v>CON RECAUDO</v>
      </c>
      <c r="M2006" s="65" t="str">
        <f>IFERROR(__xludf.DUMMYFUNCTION("""COMPUTED_VALUE"""),"CAÑAR")</f>
        <v>CAÑAR</v>
      </c>
      <c r="N2006" s="65" t="str">
        <f>IFERROR(__xludf.DUMMYFUNCTION("""COMPUTED_VALUE"""),"LA TRONCAL")</f>
        <v>LA TRONCAL</v>
      </c>
      <c r="O2006" s="65" t="str">
        <f>IFERROR(__xludf.DUMMYFUNCTION("""COMPUTED_VALUE"""),"Av. Andrés F Córdova 402 y Calle 10 de Agosto - Ref. Comercial Don Lucho - Casa dos plantas")</f>
        <v>Av. Andrés F Córdova 402 y Calle 10 de Agosto - Ref. Comercial Don Lucho - Casa dos plantas</v>
      </c>
      <c r="P2006" s="65"/>
      <c r="Q2006" s="65" t="str">
        <f>IFERROR(__xludf.DUMMYFUNCTION("""COMPUTED_VALUE"""),"GINTRACOM")</f>
        <v>GINTRACOM</v>
      </c>
      <c r="R2006" s="65">
        <f>IFERROR(__xludf.DUMMYFUNCTION("""COMPUTED_VALUE"""),22.0)</f>
        <v>22</v>
      </c>
      <c r="S2006" s="65"/>
      <c r="T2006" s="65">
        <f>IFERROR(__xludf.DUMMYFUNCTION("""COMPUTED_VALUE"""),5.84)</f>
        <v>5.84</v>
      </c>
      <c r="U2006" s="65">
        <f>IFERROR(__xludf.DUMMYFUNCTION("""COMPUTED_VALUE"""),0.0)</f>
        <v>0</v>
      </c>
      <c r="V2006" s="65">
        <f>IFERROR(__xludf.DUMMYFUNCTION("""COMPUTED_VALUE"""),0.0)</f>
        <v>0</v>
      </c>
      <c r="W2006" s="65">
        <f>IFERROR(__xludf.DUMMYFUNCTION("""COMPUTED_VALUE"""),0.0)</f>
        <v>0</v>
      </c>
      <c r="X2006" s="65">
        <f>IFERROR(__xludf.DUMMYFUNCTION("""COMPUTED_VALUE"""),2.6)</f>
        <v>2.6</v>
      </c>
      <c r="Y2006" s="65">
        <f>IFERROR(__xludf.DUMMYFUNCTION("""COMPUTED_VALUE"""),5.2)</f>
        <v>5.2</v>
      </c>
      <c r="Z2006" s="65">
        <f>IFERROR(__xludf.DUMMYFUNCTION("""COMPUTED_VALUE"""),121983.0)</f>
        <v>121983</v>
      </c>
      <c r="AA2006" s="65" t="str">
        <f>IFERROR(__xludf.DUMMYFUNCTION("""COMPUTED_VALUE"""),"PROV-CHLLCF")</f>
        <v>PROV-CHLLCF</v>
      </c>
      <c r="AB2006" s="65"/>
      <c r="AC2006" s="65" t="str">
        <f>IFERROR(__xludf.DUMMYFUNCTION("""COMPUTED_VALUE"""),"CUCHILLO PARA CHEF")</f>
        <v>CUCHILLO PARA CHEF</v>
      </c>
      <c r="AD2006" s="65"/>
      <c r="AE2006" s="65">
        <f>IFERROR(__xludf.DUMMYFUNCTION("""COMPUTED_VALUE"""),2.0)</f>
        <v>2</v>
      </c>
      <c r="AF2006" s="65" t="str">
        <f>IFERROR(__xludf.DUMMYFUNCTION("""COMPUTED_VALUE"""),"DESTINATARIO INDICA QUE YA NO DESEA EL PRODUCTO")</f>
        <v>DESTINATARIO INDICA QUE YA NO DESEA EL PRODUCTO</v>
      </c>
      <c r="AG2006" s="65" t="str">
        <f>IFERROR(__xludf.DUMMYFUNCTION("""COMPUTED_VALUE"""),"SI")</f>
        <v>SI</v>
      </c>
      <c r="AH2006" s="65" t="str">
        <f>IFERROR(__xludf.DUMMYFUNCTION("""COMPUTED_VALUE"""),"09:06")</f>
        <v>09:06</v>
      </c>
      <c r="AI2006" s="65" t="str">
        <f>IFERROR(__xludf.DUMMYFUNCTION("""COMPUTED_VALUE"""),"17-01-2026")</f>
        <v>17-01-2026</v>
      </c>
      <c r="AJ2006" s="65" t="str">
        <f>IFERROR(__xludf.DUMMYFUNCTION("""COMPUTED_VALUE"""),"DEVOLVER AL REMITENTE")</f>
        <v>DEVOLVER AL REMITENTE</v>
      </c>
      <c r="AK2006" s="65" t="str">
        <f>IFERROR(__xludf.DUMMYFUNCTION("""COMPUTED_VALUE"""),"16:54")</f>
        <v>16:54</v>
      </c>
      <c r="AL2006" s="65" t="str">
        <f>IFERROR(__xludf.DUMMYFUNCTION("""COMPUTED_VALUE"""),"21-01-2026")</f>
        <v>21-01-2026</v>
      </c>
      <c r="AM2006" s="65"/>
      <c r="AN2006" s="65" t="str">
        <f>IFERROR(__xludf.DUMMYFUNCTION("""COMPUTED_VALUE"""),"08:48")</f>
        <v>08:48</v>
      </c>
      <c r="AO2006" s="65" t="str">
        <f>IFERROR(__xludf.DUMMYFUNCTION("""COMPUTED_VALUE"""),"10-02-2026")</f>
        <v>10-02-2026</v>
      </c>
      <c r="AP2006" s="65" t="str">
        <f>IFERROR(__xludf.DUMMYFUNCTION("""COMPUTED_VALUE"""),"DEV CONFIRMADA POR BODEGA")</f>
        <v>DEV CONFIRMADA POR BODEGA</v>
      </c>
      <c r="AQ2006" s="65"/>
      <c r="AR2006" s="65" t="str">
        <f>IFERROR(__xludf.DUMMYFUNCTION("""COMPUTED_VALUE"""),"Gestionado por: Moran Daniel, email:danielmorga2005@gmail.com, total de productos en la orden: 1")</f>
        <v>Gestionado por: Moran Daniel, email:danielmorga2005@gmail.com, total de productos en la orden: 1</v>
      </c>
      <c r="AS2006" s="65"/>
      <c r="AT2006" s="65" t="str">
        <f>IFERROR(__xludf.DUMMYFUNCTION("""COMPUTED_VALUE"""),"SHOPIFY")</f>
        <v>SHOPIFY</v>
      </c>
      <c r="AU2006" s="65" t="str">
        <f>IFERROR(__xludf.DUMMYFUNCTION("""COMPUTED_VALUE"""),"IMPORTEX EC")</f>
        <v>IMPORTEX EC</v>
      </c>
      <c r="AV2006" s="65" t="str">
        <f>IFERROR(__xludf.DUMMYFUNCTION("""COMPUTED_VALUE"""),"6407956856876")</f>
        <v>6407956856876</v>
      </c>
      <c r="AW2006" s="65">
        <f>IFERROR(__xludf.DUMMYFUNCTION("""COMPUTED_VALUE"""),4966.0)</f>
        <v>4966</v>
      </c>
      <c r="AX2006" s="65"/>
      <c r="AY2006" s="65" t="str">
        <f>IFERROR(__xludf.DUMMYFUNCTION("""COMPUTED_VALUE"""),"12/01/2026")</f>
        <v>12/01/2026</v>
      </c>
      <c r="AZ2006" s="65"/>
      <c r="BA2006" s="65"/>
    </row>
    <row r="2007">
      <c r="A2007" s="65" t="str">
        <f>IFERROR(__xludf.DUMMYFUNCTION("""COMPUTED_VALUE"""),"27-03-2026")</f>
        <v>27-03-2026</v>
      </c>
      <c r="B2007" s="65">
        <f>IFERROR(__xludf.DUMMYFUNCTION("""COMPUTED_VALUE"""),4109667.0)</f>
        <v>4109667</v>
      </c>
      <c r="C2007" s="65" t="str">
        <f>IFERROR(__xludf.DUMMYFUNCTION("""COMPUTED_VALUE"""),"20:59")</f>
        <v>20:59</v>
      </c>
      <c r="D2007" s="65" t="str">
        <f>IFERROR(__xludf.DUMMYFUNCTION("""COMPUTED_VALUE"""),"11-01-2026")</f>
        <v>11-01-2026</v>
      </c>
      <c r="E2007" s="65" t="str">
        <f>IFERROR(__xludf.DUMMYFUNCTION("""COMPUTED_VALUE"""),"Edgar lara")</f>
        <v>Edgar lara</v>
      </c>
      <c r="F2007" s="65" t="str">
        <f>IFERROR(__xludf.DUMMYFUNCTION("""COMPUTED_VALUE"""),"969942405")</f>
        <v>969942405</v>
      </c>
      <c r="G2007" s="65" t="str">
        <f>IFERROR(__xludf.DUMMYFUNCTION("""COMPUTED_VALUE"""),"edgarlaramaster@hotmail.com")</f>
        <v>edgarlaramaster@hotmail.com</v>
      </c>
      <c r="H2007" s="65"/>
      <c r="I2007" s="65"/>
      <c r="J2007" s="65" t="str">
        <f>IFERROR(__xludf.DUMMYFUNCTION("""COMPUTED_VALUE"""),"D001218377")</f>
        <v>D001218377</v>
      </c>
      <c r="K2007" s="65" t="str">
        <f>IFERROR(__xludf.DUMMYFUNCTION("""COMPUTED_VALUE"""),"ENTREGADO")</f>
        <v>ENTREGADO</v>
      </c>
      <c r="L2007" s="65" t="str">
        <f>IFERROR(__xludf.DUMMYFUNCTION("""COMPUTED_VALUE"""),"CON RECAUDO")</f>
        <v>CON RECAUDO</v>
      </c>
      <c r="M2007" s="65" t="str">
        <f>IFERROR(__xludf.DUMMYFUNCTION("""COMPUTED_VALUE"""),"LOS RIOS")</f>
        <v>LOS RIOS</v>
      </c>
      <c r="N2007" s="65" t="str">
        <f>IFERROR(__xludf.DUMMYFUNCTION("""COMPUTED_VALUE"""),"VENTANAS")</f>
        <v>VENTANAS</v>
      </c>
      <c r="O2007" s="65" t="str">
        <f>IFERROR(__xludf.DUMMYFUNCTION("""COMPUTED_VALUE"""),"28 de mayo entre seminario y 1de de mayo Via echeandia -")</f>
        <v>28 de mayo entre seminario y 1de de mayo Via echeandia -</v>
      </c>
      <c r="P2007" s="65"/>
      <c r="Q2007" s="65" t="str">
        <f>IFERROR(__xludf.DUMMYFUNCTION("""COMPUTED_VALUE"""),"GINTRACOM")</f>
        <v>GINTRACOM</v>
      </c>
      <c r="R2007" s="65">
        <f>IFERROR(__xludf.DUMMYFUNCTION("""COMPUTED_VALUE"""),27.0)</f>
        <v>27</v>
      </c>
      <c r="S2007" s="65">
        <f>IFERROR(__xludf.DUMMYFUNCTION("""COMPUTED_VALUE"""),13.17)</f>
        <v>13.17</v>
      </c>
      <c r="T2007" s="65">
        <f>IFERROR(__xludf.DUMMYFUNCTION("""COMPUTED_VALUE"""),6.03)</f>
        <v>6.03</v>
      </c>
      <c r="U2007" s="65">
        <f>IFERROR(__xludf.DUMMYFUNCTION("""COMPUTED_VALUE"""),0.0)</f>
        <v>0</v>
      </c>
      <c r="V2007" s="65">
        <f>IFERROR(__xludf.DUMMYFUNCTION("""COMPUTED_VALUE"""),0.0)</f>
        <v>0</v>
      </c>
      <c r="W2007" s="65">
        <f>IFERROR(__xludf.DUMMYFUNCTION("""COMPUTED_VALUE"""),0.0)</f>
        <v>0</v>
      </c>
      <c r="X2007" s="65">
        <f>IFERROR(__xludf.DUMMYFUNCTION("""COMPUTED_VALUE"""),2.6)</f>
        <v>2.6</v>
      </c>
      <c r="Y2007" s="65">
        <f>IFERROR(__xludf.DUMMYFUNCTION("""COMPUTED_VALUE"""),7.8)</f>
        <v>7.8</v>
      </c>
      <c r="Z2007" s="65">
        <f>IFERROR(__xludf.DUMMYFUNCTION("""COMPUTED_VALUE"""),121983.0)</f>
        <v>121983</v>
      </c>
      <c r="AA2007" s="65" t="str">
        <f>IFERROR(__xludf.DUMMYFUNCTION("""COMPUTED_VALUE"""),"PROV-CHLLCF")</f>
        <v>PROV-CHLLCF</v>
      </c>
      <c r="AB2007" s="65"/>
      <c r="AC2007" s="65" t="str">
        <f>IFERROR(__xludf.DUMMYFUNCTION("""COMPUTED_VALUE"""),"CUCHILLO PARA CHEF")</f>
        <v>CUCHILLO PARA CHEF</v>
      </c>
      <c r="AD2007" s="65"/>
      <c r="AE2007" s="65">
        <f>IFERROR(__xludf.DUMMYFUNCTION("""COMPUTED_VALUE"""),3.0)</f>
        <v>3</v>
      </c>
      <c r="AF2007" s="65"/>
      <c r="AG2007" s="65"/>
      <c r="AH2007" s="65"/>
      <c r="AI2007" s="65"/>
      <c r="AJ2007" s="65"/>
      <c r="AK2007" s="65"/>
      <c r="AL2007" s="65"/>
      <c r="AM2007" s="65"/>
      <c r="AN2007" s="65" t="str">
        <f>IFERROR(__xludf.DUMMYFUNCTION("""COMPUTED_VALUE"""),"12:49")</f>
        <v>12:49</v>
      </c>
      <c r="AO2007" s="65" t="str">
        <f>IFERROR(__xludf.DUMMYFUNCTION("""COMPUTED_VALUE"""),"16-01-2026")</f>
        <v>16-01-2026</v>
      </c>
      <c r="AP2007" s="65" t="str">
        <f>IFERROR(__xludf.DUMMYFUNCTION("""COMPUTED_VALUE"""),"ENTREGADA GINTRACOM")</f>
        <v>ENTREGADA GINTRACOM</v>
      </c>
      <c r="AQ2007" s="65" t="str">
        <f>IFERROR(__xludf.DUMMYFUNCTION("""COMPUTED_VALUE"""),"ENTREGADA GINTRACOM")</f>
        <v>ENTREGADA GINTRACOM</v>
      </c>
      <c r="AR2007" s="65"/>
      <c r="AS2007" s="65"/>
      <c r="AT2007" s="65" t="str">
        <f>IFERROR(__xludf.DUMMYFUNCTION("""COMPUTED_VALUE"""),"SHOPIFY")</f>
        <v>SHOPIFY</v>
      </c>
      <c r="AU2007" s="65" t="str">
        <f>IFERROR(__xludf.DUMMYFUNCTION("""COMPUTED_VALUE"""),"IMPORTEX EC")</f>
        <v>IMPORTEX EC</v>
      </c>
      <c r="AV2007" s="65" t="str">
        <f>IFERROR(__xludf.DUMMYFUNCTION("""COMPUTED_VALUE"""),"6407951581228")</f>
        <v>6407951581228</v>
      </c>
      <c r="AW2007" s="65">
        <f>IFERROR(__xludf.DUMMYFUNCTION("""COMPUTED_VALUE"""),4965.0)</f>
        <v>4965</v>
      </c>
      <c r="AX2007" s="65"/>
      <c r="AY2007" s="65" t="str">
        <f>IFERROR(__xludf.DUMMYFUNCTION("""COMPUTED_VALUE"""),"13/01/2026")</f>
        <v>13/01/2026</v>
      </c>
      <c r="AZ2007" s="65"/>
      <c r="BA2007" s="65"/>
    </row>
    <row r="2008">
      <c r="A2008" s="65" t="str">
        <f>IFERROR(__xludf.DUMMYFUNCTION("""COMPUTED_VALUE"""),"27-03-2026")</f>
        <v>27-03-2026</v>
      </c>
      <c r="B2008" s="65">
        <f>IFERROR(__xludf.DUMMYFUNCTION("""COMPUTED_VALUE"""),4109603.0)</f>
        <v>4109603</v>
      </c>
      <c r="C2008" s="65" t="str">
        <f>IFERROR(__xludf.DUMMYFUNCTION("""COMPUTED_VALUE"""),"20:55")</f>
        <v>20:55</v>
      </c>
      <c r="D2008" s="65" t="str">
        <f>IFERROR(__xludf.DUMMYFUNCTION("""COMPUTED_VALUE"""),"11-01-2026")</f>
        <v>11-01-2026</v>
      </c>
      <c r="E2008" s="65" t="str">
        <f>IFERROR(__xludf.DUMMYFUNCTION("""COMPUTED_VALUE"""),"Jurmedy Tobar")</f>
        <v>Jurmedy Tobar</v>
      </c>
      <c r="F2008" s="65" t="str">
        <f>IFERROR(__xludf.DUMMYFUNCTION("""COMPUTED_VALUE"""),"967614007")</f>
        <v>967614007</v>
      </c>
      <c r="G2008" s="65" t="str">
        <f>IFERROR(__xludf.DUMMYFUNCTION("""COMPUTED_VALUE"""),"jurmedytobar1990@gmail.com")</f>
        <v>jurmedytobar1990@gmail.com</v>
      </c>
      <c r="H2008" s="65"/>
      <c r="I2008" s="65"/>
      <c r="J2008" s="65" t="str">
        <f>IFERROR(__xludf.DUMMYFUNCTION("""COMPUTED_VALUE"""),"186966927")</f>
        <v>186966927</v>
      </c>
      <c r="K2008" s="65" t="str">
        <f>IFERROR(__xludf.DUMMYFUNCTION("""COMPUTED_VALUE"""),"ENTREGADO")</f>
        <v>ENTREGADO</v>
      </c>
      <c r="L2008" s="65" t="str">
        <f>IFERROR(__xludf.DUMMYFUNCTION("""COMPUTED_VALUE"""),"CON RECAUDO")</f>
        <v>CON RECAUDO</v>
      </c>
      <c r="M2008" s="65" t="str">
        <f>IFERROR(__xludf.DUMMYFUNCTION("""COMPUTED_VALUE"""),"NAPO")</f>
        <v>NAPO</v>
      </c>
      <c r="N2008" s="65" t="str">
        <f>IFERROR(__xludf.DUMMYFUNCTION("""COMPUTED_VALUE"""),"EL CHACO")</f>
        <v>EL CHACO</v>
      </c>
      <c r="O2008" s="65" t="str">
        <f>IFERROR(__xludf.DUMMYFUNCTION("""COMPUTED_VALUE"""),"Chorreras y Via Quito Lago Agrio -")</f>
        <v>Chorreras y Via Quito Lago Agrio -</v>
      </c>
      <c r="P2008" s="65"/>
      <c r="Q2008" s="65" t="str">
        <f>IFERROR(__xludf.DUMMYFUNCTION("""COMPUTED_VALUE"""),"SERVIENTREGA")</f>
        <v>SERVIENTREGA</v>
      </c>
      <c r="R2008" s="65">
        <f>IFERROR(__xludf.DUMMYFUNCTION("""COMPUTED_VALUE"""),25.0)</f>
        <v>25</v>
      </c>
      <c r="S2008" s="65">
        <f>IFERROR(__xludf.DUMMYFUNCTION("""COMPUTED_VALUE"""),11.67)</f>
        <v>11.67</v>
      </c>
      <c r="T2008" s="65">
        <f>IFERROR(__xludf.DUMMYFUNCTION("""COMPUTED_VALUE"""),7.75)</f>
        <v>7.75</v>
      </c>
      <c r="U2008" s="65">
        <f>IFERROR(__xludf.DUMMYFUNCTION("""COMPUTED_VALUE"""),0.0)</f>
        <v>0</v>
      </c>
      <c r="V2008" s="65">
        <f>IFERROR(__xludf.DUMMYFUNCTION("""COMPUTED_VALUE"""),0.0)</f>
        <v>0</v>
      </c>
      <c r="W2008" s="65">
        <f>IFERROR(__xludf.DUMMYFUNCTION("""COMPUTED_VALUE"""),0.0)</f>
        <v>0</v>
      </c>
      <c r="X2008" s="65">
        <f>IFERROR(__xludf.DUMMYFUNCTION("""COMPUTED_VALUE"""),2.79)</f>
        <v>2.79</v>
      </c>
      <c r="Y2008" s="65">
        <f>IFERROR(__xludf.DUMMYFUNCTION("""COMPUTED_VALUE"""),5.58)</f>
        <v>5.58</v>
      </c>
      <c r="Z2008" s="65">
        <f>IFERROR(__xludf.DUMMYFUNCTION("""COMPUTED_VALUE"""),120732.0)</f>
        <v>120732</v>
      </c>
      <c r="AA2008" s="65" t="str">
        <f>IFERROR(__xludf.DUMMYFUNCTION("""COMPUTED_VALUE"""),"PROV-LMPVT")</f>
        <v>PROV-LMPVT</v>
      </c>
      <c r="AB2008" s="65"/>
      <c r="AC2008" s="65" t="str">
        <f>IFERROR(__xludf.DUMMYFUNCTION("""COMPUTED_VALUE"""),"LIMPIADOR DE PARABRISAS Y VENTANAS")</f>
        <v>LIMPIADOR DE PARABRISAS Y VENTANAS</v>
      </c>
      <c r="AD2008" s="65"/>
      <c r="AE2008" s="65">
        <f>IFERROR(__xludf.DUMMYFUNCTION("""COMPUTED_VALUE"""),2.0)</f>
        <v>2</v>
      </c>
      <c r="AF2008" s="65"/>
      <c r="AG2008" s="65"/>
      <c r="AH2008" s="65"/>
      <c r="AI2008" s="65"/>
      <c r="AJ2008" s="65"/>
      <c r="AK2008" s="65"/>
      <c r="AL2008" s="65"/>
      <c r="AM2008" s="65"/>
      <c r="AN2008" s="65" t="str">
        <f>IFERROR(__xludf.DUMMYFUNCTION("""COMPUTED_VALUE"""),"10:20")</f>
        <v>10:20</v>
      </c>
      <c r="AO2008" s="65" t="str">
        <f>IFERROR(__xludf.DUMMYFUNCTION("""COMPUTED_VALUE"""),"23-01-2026")</f>
        <v>23-01-2026</v>
      </c>
      <c r="AP2008" s="65" t="str">
        <f>IFERROR(__xludf.DUMMYFUNCTION("""COMPUTED_VALUE"""),"Recaudo Desaplicado")</f>
        <v>Recaudo Desaplicado</v>
      </c>
      <c r="AQ2008" s="65" t="str">
        <f>IFERROR(__xludf.DUMMYFUNCTION("""COMPUTED_VALUE"""),"{}")</f>
        <v>{}</v>
      </c>
      <c r="AR2008" s="65"/>
      <c r="AS2008" s="65"/>
      <c r="AT2008" s="65" t="str">
        <f>IFERROR(__xludf.DUMMYFUNCTION("""COMPUTED_VALUE"""),"SHOPIFY")</f>
        <v>SHOPIFY</v>
      </c>
      <c r="AU2008" s="65" t="str">
        <f>IFERROR(__xludf.DUMMYFUNCTION("""COMPUTED_VALUE"""),"IMPORTEX EC")</f>
        <v>IMPORTEX EC</v>
      </c>
      <c r="AV2008" s="65" t="str">
        <f>IFERROR(__xludf.DUMMYFUNCTION("""COMPUTED_VALUE"""),"6407942176812")</f>
        <v>6407942176812</v>
      </c>
      <c r="AW2008" s="65">
        <f>IFERROR(__xludf.DUMMYFUNCTION("""COMPUTED_VALUE"""),4964.0)</f>
        <v>4964</v>
      </c>
      <c r="AX2008" s="65"/>
      <c r="AY2008" s="65" t="str">
        <f>IFERROR(__xludf.DUMMYFUNCTION("""COMPUTED_VALUE"""),"13/01/2026")</f>
        <v>13/01/2026</v>
      </c>
      <c r="AZ2008" s="65"/>
      <c r="BA2008" s="65"/>
    </row>
    <row r="2009">
      <c r="A2009" s="65" t="str">
        <f>IFERROR(__xludf.DUMMYFUNCTION("""COMPUTED_VALUE"""),"27-03-2026")</f>
        <v>27-03-2026</v>
      </c>
      <c r="B2009" s="65">
        <f>IFERROR(__xludf.DUMMYFUNCTION("""COMPUTED_VALUE"""),4109588.0)</f>
        <v>4109588</v>
      </c>
      <c r="C2009" s="65" t="str">
        <f>IFERROR(__xludf.DUMMYFUNCTION("""COMPUTED_VALUE"""),"20:55")</f>
        <v>20:55</v>
      </c>
      <c r="D2009" s="65" t="str">
        <f>IFERROR(__xludf.DUMMYFUNCTION("""COMPUTED_VALUE"""),"11-01-2026")</f>
        <v>11-01-2026</v>
      </c>
      <c r="E2009" s="65" t="str">
        <f>IFERROR(__xludf.DUMMYFUNCTION("""COMPUTED_VALUE"""),"Edwin Chiza")</f>
        <v>Edwin Chiza</v>
      </c>
      <c r="F2009" s="65" t="str">
        <f>IFERROR(__xludf.DUMMYFUNCTION("""COMPUTED_VALUE"""),"991380218")</f>
        <v>991380218</v>
      </c>
      <c r="G2009" s="65" t="str">
        <f>IFERROR(__xludf.DUMMYFUNCTION("""COMPUTED_VALUE"""),"elevadoresdanamois@hotmail.com")</f>
        <v>elevadoresdanamois@hotmail.com</v>
      </c>
      <c r="H2009" s="65"/>
      <c r="I2009" s="65"/>
      <c r="J2009" s="65" t="str">
        <f>IFERROR(__xludf.DUMMYFUNCTION("""COMPUTED_VALUE"""),"D001218378")</f>
        <v>D001218378</v>
      </c>
      <c r="K2009" s="65" t="str">
        <f>IFERROR(__xludf.DUMMYFUNCTION("""COMPUTED_VALUE"""),"ENTREGADO")</f>
        <v>ENTREGADO</v>
      </c>
      <c r="L2009" s="65" t="str">
        <f>IFERROR(__xludf.DUMMYFUNCTION("""COMPUTED_VALUE"""),"CON RECAUDO")</f>
        <v>CON RECAUDO</v>
      </c>
      <c r="M2009" s="65" t="str">
        <f>IFERROR(__xludf.DUMMYFUNCTION("""COMPUTED_VALUE"""),"PICHINCHA")</f>
        <v>PICHINCHA</v>
      </c>
      <c r="N2009" s="65" t="str">
        <f>IFERROR(__xludf.DUMMYFUNCTION("""COMPUTED_VALUE"""),"QUITO")</f>
        <v>QUITO</v>
      </c>
      <c r="O2009" s="65" t="str">
        <f>IFERROR(__xludf.DUMMYFUNCTION("""COMPUTED_VALUE"""),"Shyris y telegrafo Y telegrafo -")</f>
        <v>Shyris y telegrafo Y telegrafo -</v>
      </c>
      <c r="P2009" s="65"/>
      <c r="Q2009" s="65" t="str">
        <f>IFERROR(__xludf.DUMMYFUNCTION("""COMPUTED_VALUE"""),"GINTRACOM")</f>
        <v>GINTRACOM</v>
      </c>
      <c r="R2009" s="65">
        <f>IFERROR(__xludf.DUMMYFUNCTION("""COMPUTED_VALUE"""),25.0)</f>
        <v>25</v>
      </c>
      <c r="S2009" s="65">
        <f>IFERROR(__xludf.DUMMYFUNCTION("""COMPUTED_VALUE"""),13.46)</f>
        <v>13.46</v>
      </c>
      <c r="T2009" s="65">
        <f>IFERROR(__xludf.DUMMYFUNCTION("""COMPUTED_VALUE"""),5.96)</f>
        <v>5.96</v>
      </c>
      <c r="U2009" s="65">
        <f>IFERROR(__xludf.DUMMYFUNCTION("""COMPUTED_VALUE"""),0.0)</f>
        <v>0</v>
      </c>
      <c r="V2009" s="65">
        <f>IFERROR(__xludf.DUMMYFUNCTION("""COMPUTED_VALUE"""),0.0)</f>
        <v>0</v>
      </c>
      <c r="W2009" s="65">
        <f>IFERROR(__xludf.DUMMYFUNCTION("""COMPUTED_VALUE"""),0.0)</f>
        <v>0</v>
      </c>
      <c r="X2009" s="65">
        <f>IFERROR(__xludf.DUMMYFUNCTION("""COMPUTED_VALUE"""),2.79)</f>
        <v>2.79</v>
      </c>
      <c r="Y2009" s="65">
        <f>IFERROR(__xludf.DUMMYFUNCTION("""COMPUTED_VALUE"""),5.58)</f>
        <v>5.58</v>
      </c>
      <c r="Z2009" s="65">
        <f>IFERROR(__xludf.DUMMYFUNCTION("""COMPUTED_VALUE"""),120732.0)</f>
        <v>120732</v>
      </c>
      <c r="AA2009" s="65" t="str">
        <f>IFERROR(__xludf.DUMMYFUNCTION("""COMPUTED_VALUE"""),"PROV-LMPVT")</f>
        <v>PROV-LMPVT</v>
      </c>
      <c r="AB2009" s="65"/>
      <c r="AC2009" s="65" t="str">
        <f>IFERROR(__xludf.DUMMYFUNCTION("""COMPUTED_VALUE"""),"LIMPIADOR DE PARABRISAS Y VENTANAS")</f>
        <v>LIMPIADOR DE PARABRISAS Y VENTANAS</v>
      </c>
      <c r="AD2009" s="65"/>
      <c r="AE2009" s="65">
        <f>IFERROR(__xludf.DUMMYFUNCTION("""COMPUTED_VALUE"""),2.0)</f>
        <v>2</v>
      </c>
      <c r="AF2009" s="65"/>
      <c r="AG2009" s="65"/>
      <c r="AH2009" s="65"/>
      <c r="AI2009" s="65"/>
      <c r="AJ2009" s="65"/>
      <c r="AK2009" s="65"/>
      <c r="AL2009" s="65"/>
      <c r="AM2009" s="65"/>
      <c r="AN2009" s="65" t="str">
        <f>IFERROR(__xludf.DUMMYFUNCTION("""COMPUTED_VALUE"""),"10:23")</f>
        <v>10:23</v>
      </c>
      <c r="AO2009" s="65" t="str">
        <f>IFERROR(__xludf.DUMMYFUNCTION("""COMPUTED_VALUE"""),"14-01-2026")</f>
        <v>14-01-2026</v>
      </c>
      <c r="AP2009" s="65" t="str">
        <f>IFERROR(__xludf.DUMMYFUNCTION("""COMPUTED_VALUE"""),"EN REPARTO")</f>
        <v>EN REPARTO</v>
      </c>
      <c r="AQ2009" s="65" t="str">
        <f>IFERROR(__xludf.DUMMYFUNCTION("""COMPUTED_VALUE"""),"EN REPARTO")</f>
        <v>EN REPARTO</v>
      </c>
      <c r="AR2009" s="65"/>
      <c r="AS2009" s="65"/>
      <c r="AT2009" s="65" t="str">
        <f>IFERROR(__xludf.DUMMYFUNCTION("""COMPUTED_VALUE"""),"SHOPIFY")</f>
        <v>SHOPIFY</v>
      </c>
      <c r="AU2009" s="65" t="str">
        <f>IFERROR(__xludf.DUMMYFUNCTION("""COMPUTED_VALUE"""),"IMPORTEX EC")</f>
        <v>IMPORTEX EC</v>
      </c>
      <c r="AV2009" s="65" t="str">
        <f>IFERROR(__xludf.DUMMYFUNCTION("""COMPUTED_VALUE"""),"6407940210732")</f>
        <v>6407940210732</v>
      </c>
      <c r="AW2009" s="65">
        <f>IFERROR(__xludf.DUMMYFUNCTION("""COMPUTED_VALUE"""),4963.0)</f>
        <v>4963</v>
      </c>
      <c r="AX2009" s="65"/>
      <c r="AY2009" s="65" t="str">
        <f>IFERROR(__xludf.DUMMYFUNCTION("""COMPUTED_VALUE"""),"13/01/2026")</f>
        <v>13/01/2026</v>
      </c>
      <c r="AZ2009" s="65"/>
      <c r="BA2009" s="65"/>
    </row>
    <row r="2010">
      <c r="A2010" s="65" t="str">
        <f>IFERROR(__xludf.DUMMYFUNCTION("""COMPUTED_VALUE"""),"27-03-2026")</f>
        <v>27-03-2026</v>
      </c>
      <c r="B2010" s="65">
        <f>IFERROR(__xludf.DUMMYFUNCTION("""COMPUTED_VALUE"""),4109587.0)</f>
        <v>4109587</v>
      </c>
      <c r="C2010" s="65" t="str">
        <f>IFERROR(__xludf.DUMMYFUNCTION("""COMPUTED_VALUE"""),"20:54")</f>
        <v>20:54</v>
      </c>
      <c r="D2010" s="65" t="str">
        <f>IFERROR(__xludf.DUMMYFUNCTION("""COMPUTED_VALUE"""),"11-01-2026")</f>
        <v>11-01-2026</v>
      </c>
      <c r="E2010" s="65" t="str">
        <f>IFERROR(__xludf.DUMMYFUNCTION("""COMPUTED_VALUE"""),"Luis Fuela")</f>
        <v>Luis Fuela</v>
      </c>
      <c r="F2010" s="65" t="str">
        <f>IFERROR(__xludf.DUMMYFUNCTION("""COMPUTED_VALUE"""),"987896249")</f>
        <v>987896249</v>
      </c>
      <c r="G2010" s="65" t="str">
        <f>IFERROR(__xludf.DUMMYFUNCTION("""COMPUTED_VALUE"""),"luisfuela1972@gmail.com")</f>
        <v>luisfuela1972@gmail.com</v>
      </c>
      <c r="H2010" s="65"/>
      <c r="I2010" s="65"/>
      <c r="J2010" s="65"/>
      <c r="K2010" s="65" t="str">
        <f>IFERROR(__xludf.DUMMYFUNCTION("""COMPUTED_VALUE"""),"PENDIENTE CONFIRMACION")</f>
        <v>PENDIENTE CONFIRMACION</v>
      </c>
      <c r="L2010" s="65" t="str">
        <f>IFERROR(__xludf.DUMMYFUNCTION("""COMPUTED_VALUE"""),"CON RECAUDO")</f>
        <v>CON RECAUDO</v>
      </c>
      <c r="M2010" s="65" t="str">
        <f>IFERROR(__xludf.DUMMYFUNCTION("""COMPUTED_VALUE"""),"PICHINCHA")</f>
        <v>PICHINCHA</v>
      </c>
      <c r="N2010" s="65" t="str">
        <f>IFERROR(__xludf.DUMMYFUNCTION("""COMPUTED_VALUE"""),"CAYAMBE")</f>
        <v>CAYAMBE</v>
      </c>
      <c r="O2010" s="65" t="str">
        <f>IFERROR(__xludf.DUMMYFUNCTION("""COMPUTED_VALUE"""),"Panamericana semaforo Semáforo junto a la discoteca -")</f>
        <v>Panamericana semaforo Semáforo junto a la discoteca -</v>
      </c>
      <c r="P2010" s="65"/>
      <c r="Q2010" s="65" t="str">
        <f>IFERROR(__xludf.DUMMYFUNCTION("""COMPUTED_VALUE"""),"GINTRACOM")</f>
        <v>GINTRACOM</v>
      </c>
      <c r="R2010" s="65">
        <f>IFERROR(__xludf.DUMMYFUNCTION("""COMPUTED_VALUE"""),20.0)</f>
        <v>20</v>
      </c>
      <c r="S2010" s="65"/>
      <c r="T2010" s="65">
        <f>IFERROR(__xludf.DUMMYFUNCTION("""COMPUTED_VALUE"""),5.76)</f>
        <v>5.76</v>
      </c>
      <c r="U2010" s="65">
        <f>IFERROR(__xludf.DUMMYFUNCTION("""COMPUTED_VALUE"""),0.0)</f>
        <v>0</v>
      </c>
      <c r="V2010" s="65">
        <f>IFERROR(__xludf.DUMMYFUNCTION("""COMPUTED_VALUE"""),0.0)</f>
        <v>0</v>
      </c>
      <c r="W2010" s="65">
        <f>IFERROR(__xludf.DUMMYFUNCTION("""COMPUTED_VALUE"""),0.0)</f>
        <v>0</v>
      </c>
      <c r="X2010" s="65">
        <f>IFERROR(__xludf.DUMMYFUNCTION("""COMPUTED_VALUE"""),2.79)</f>
        <v>2.79</v>
      </c>
      <c r="Y2010" s="65">
        <f>IFERROR(__xludf.DUMMYFUNCTION("""COMPUTED_VALUE"""),2.79)</f>
        <v>2.79</v>
      </c>
      <c r="Z2010" s="65">
        <f>IFERROR(__xludf.DUMMYFUNCTION("""COMPUTED_VALUE"""),120732.0)</f>
        <v>120732</v>
      </c>
      <c r="AA2010" s="65" t="str">
        <f>IFERROR(__xludf.DUMMYFUNCTION("""COMPUTED_VALUE"""),"PROV-LMPVT")</f>
        <v>PROV-LMPVT</v>
      </c>
      <c r="AB2010" s="65"/>
      <c r="AC2010" s="65" t="str">
        <f>IFERROR(__xludf.DUMMYFUNCTION("""COMPUTED_VALUE"""),"LIMPIADOR DE PARABRISAS Y VENTANAS")</f>
        <v>LIMPIADOR DE PARABRISAS Y VENTANAS</v>
      </c>
      <c r="AD2010" s="65"/>
      <c r="AE2010" s="65">
        <f>IFERROR(__xludf.DUMMYFUNCTION("""COMPUTED_VALUE"""),1.0)</f>
        <v>1</v>
      </c>
      <c r="AF2010" s="65"/>
      <c r="AG2010" s="65"/>
      <c r="AH2010" s="65"/>
      <c r="AI2010" s="65"/>
      <c r="AJ2010" s="65"/>
      <c r="AK2010" s="65"/>
      <c r="AL2010" s="65"/>
      <c r="AM2010" s="65"/>
      <c r="AN2010" s="65"/>
      <c r="AO2010" s="65"/>
      <c r="AP2010" s="65"/>
      <c r="AQ2010" s="65"/>
      <c r="AR2010" s="65"/>
      <c r="AS2010" s="65"/>
      <c r="AT2010" s="65" t="str">
        <f>IFERROR(__xludf.DUMMYFUNCTION("""COMPUTED_VALUE"""),"SHOPIFY")</f>
        <v>SHOPIFY</v>
      </c>
      <c r="AU2010" s="65" t="str">
        <f>IFERROR(__xludf.DUMMYFUNCTION("""COMPUTED_VALUE"""),"IMPORTEX EC")</f>
        <v>IMPORTEX EC</v>
      </c>
      <c r="AV2010" s="65" t="str">
        <f>IFERROR(__xludf.DUMMYFUNCTION("""COMPUTED_VALUE"""),"6407939784748")</f>
        <v>6407939784748</v>
      </c>
      <c r="AW2010" s="65">
        <f>IFERROR(__xludf.DUMMYFUNCTION("""COMPUTED_VALUE"""),4962.0)</f>
        <v>4962</v>
      </c>
      <c r="AX2010" s="65"/>
      <c r="AY2010" s="65"/>
      <c r="AZ2010" s="65"/>
      <c r="BA2010" s="65"/>
    </row>
    <row r="2011">
      <c r="A2011" s="65" t="str">
        <f>IFERROR(__xludf.DUMMYFUNCTION("""COMPUTED_VALUE"""),"27-03-2026")</f>
        <v>27-03-2026</v>
      </c>
      <c r="B2011" s="65">
        <f>IFERROR(__xludf.DUMMYFUNCTION("""COMPUTED_VALUE"""),4109419.0)</f>
        <v>4109419</v>
      </c>
      <c r="C2011" s="65" t="str">
        <f>IFERROR(__xludf.DUMMYFUNCTION("""COMPUTED_VALUE"""),"20:44")</f>
        <v>20:44</v>
      </c>
      <c r="D2011" s="65" t="str">
        <f>IFERROR(__xludf.DUMMYFUNCTION("""COMPUTED_VALUE"""),"11-01-2026")</f>
        <v>11-01-2026</v>
      </c>
      <c r="E2011" s="65" t="str">
        <f>IFERROR(__xludf.DUMMYFUNCTION("""COMPUTED_VALUE"""),"Fernando Mendieta")</f>
        <v>Fernando Mendieta</v>
      </c>
      <c r="F2011" s="65" t="str">
        <f>IFERROR(__xludf.DUMMYFUNCTION("""COMPUTED_VALUE"""),"997254852")</f>
        <v>997254852</v>
      </c>
      <c r="G2011" s="65" t="str">
        <f>IFERROR(__xludf.DUMMYFUNCTION("""COMPUTED_VALUE"""),"fmendieta59@hotmail.com")</f>
        <v>fmendieta59@hotmail.com</v>
      </c>
      <c r="H2011" s="65"/>
      <c r="I2011" s="65"/>
      <c r="J2011" s="65" t="str">
        <f>IFERROR(__xludf.DUMMYFUNCTION("""COMPUTED_VALUE"""),"D001218379")</f>
        <v>D001218379</v>
      </c>
      <c r="K2011" s="65" t="str">
        <f>IFERROR(__xludf.DUMMYFUNCTION("""COMPUTED_VALUE"""),"ENTREGADO")</f>
        <v>ENTREGADO</v>
      </c>
      <c r="L2011" s="65" t="str">
        <f>IFERROR(__xludf.DUMMYFUNCTION("""COMPUTED_VALUE"""),"CON RECAUDO")</f>
        <v>CON RECAUDO</v>
      </c>
      <c r="M2011" s="65" t="str">
        <f>IFERROR(__xludf.DUMMYFUNCTION("""COMPUTED_VALUE"""),"AZUAY")</f>
        <v>AZUAY</v>
      </c>
      <c r="N2011" s="65" t="str">
        <f>IFERROR(__xludf.DUMMYFUNCTION("""COMPUTED_VALUE"""),"CUENCA")</f>
        <v>CUENCA</v>
      </c>
      <c r="O2011" s="65" t="str">
        <f>IFERROR(__xludf.DUMMYFUNCTION("""COMPUTED_VALUE"""),"Abelardo Montalvo y paseo de los cañaris Ciudadela hermano miguel ha 2 cuadras de la iglesia cristo salvador -")</f>
        <v>Abelardo Montalvo y paseo de los cañaris Ciudadela hermano miguel ha 2 cuadras de la iglesia cristo salvador -</v>
      </c>
      <c r="P2011" s="65"/>
      <c r="Q2011" s="65" t="str">
        <f>IFERROR(__xludf.DUMMYFUNCTION("""COMPUTED_VALUE"""),"GINTRACOM")</f>
        <v>GINTRACOM</v>
      </c>
      <c r="R2011" s="65">
        <f>IFERROR(__xludf.DUMMYFUNCTION("""COMPUTED_VALUE"""),32.0)</f>
        <v>32</v>
      </c>
      <c r="S2011" s="65">
        <f>IFERROR(__xludf.DUMMYFUNCTION("""COMPUTED_VALUE"""),15.36)</f>
        <v>15.36</v>
      </c>
      <c r="T2011" s="65">
        <f>IFERROR(__xludf.DUMMYFUNCTION("""COMPUTED_VALUE"""),6.24)</f>
        <v>6.24</v>
      </c>
      <c r="U2011" s="65">
        <f>IFERROR(__xludf.DUMMYFUNCTION("""COMPUTED_VALUE"""),0.0)</f>
        <v>0</v>
      </c>
      <c r="V2011" s="65">
        <f>IFERROR(__xludf.DUMMYFUNCTION("""COMPUTED_VALUE"""),0.0)</f>
        <v>0</v>
      </c>
      <c r="W2011" s="65">
        <f>IFERROR(__xludf.DUMMYFUNCTION("""COMPUTED_VALUE"""),0.0)</f>
        <v>0</v>
      </c>
      <c r="X2011" s="65">
        <f>IFERROR(__xludf.DUMMYFUNCTION("""COMPUTED_VALUE"""),2.6)</f>
        <v>2.6</v>
      </c>
      <c r="Y2011" s="65">
        <f>IFERROR(__xludf.DUMMYFUNCTION("""COMPUTED_VALUE"""),10.4)</f>
        <v>10.4</v>
      </c>
      <c r="Z2011" s="65">
        <f>IFERROR(__xludf.DUMMYFUNCTION("""COMPUTED_VALUE"""),121983.0)</f>
        <v>121983</v>
      </c>
      <c r="AA2011" s="65" t="str">
        <f>IFERROR(__xludf.DUMMYFUNCTION("""COMPUTED_VALUE"""),"PROV-CHLLCF")</f>
        <v>PROV-CHLLCF</v>
      </c>
      <c r="AB2011" s="65"/>
      <c r="AC2011" s="65" t="str">
        <f>IFERROR(__xludf.DUMMYFUNCTION("""COMPUTED_VALUE"""),"CUCHILLO PARA CHEF")</f>
        <v>CUCHILLO PARA CHEF</v>
      </c>
      <c r="AD2011" s="65"/>
      <c r="AE2011" s="65">
        <f>IFERROR(__xludf.DUMMYFUNCTION("""COMPUTED_VALUE"""),4.0)</f>
        <v>4</v>
      </c>
      <c r="AF2011" s="65"/>
      <c r="AG2011" s="65"/>
      <c r="AH2011" s="65"/>
      <c r="AI2011" s="65"/>
      <c r="AJ2011" s="65"/>
      <c r="AK2011" s="65"/>
      <c r="AL2011" s="65"/>
      <c r="AM2011" s="65"/>
      <c r="AN2011" s="65" t="str">
        <f>IFERROR(__xludf.DUMMYFUNCTION("""COMPUTED_VALUE"""),"12:05")</f>
        <v>12:05</v>
      </c>
      <c r="AO2011" s="65" t="str">
        <f>IFERROR(__xludf.DUMMYFUNCTION("""COMPUTED_VALUE"""),"16-01-2026")</f>
        <v>16-01-2026</v>
      </c>
      <c r="AP2011" s="65" t="str">
        <f>IFERROR(__xludf.DUMMYFUNCTION("""COMPUTED_VALUE"""),"DESTINATARIO RE-PROGRAMA FECHA DE ENTREGA")</f>
        <v>DESTINATARIO RE-PROGRAMA FECHA DE ENTREGA</v>
      </c>
      <c r="AQ2011" s="65" t="str">
        <f>IFERROR(__xludf.DUMMYFUNCTION("""COMPUTED_VALUE"""),"DESTINATARIO RE-PROGRAMA FECHA DE ENTREGA")</f>
        <v>DESTINATARIO RE-PROGRAMA FECHA DE ENTREGA</v>
      </c>
      <c r="AR2011" s="65"/>
      <c r="AS2011" s="65"/>
      <c r="AT2011" s="65" t="str">
        <f>IFERROR(__xludf.DUMMYFUNCTION("""COMPUTED_VALUE"""),"SHOPIFY")</f>
        <v>SHOPIFY</v>
      </c>
      <c r="AU2011" s="65" t="str">
        <f>IFERROR(__xludf.DUMMYFUNCTION("""COMPUTED_VALUE"""),"IMPORTEX EC")</f>
        <v>IMPORTEX EC</v>
      </c>
      <c r="AV2011" s="65" t="str">
        <f>IFERROR(__xludf.DUMMYFUNCTION("""COMPUTED_VALUE"""),"6407921270828")</f>
        <v>6407921270828</v>
      </c>
      <c r="AW2011" s="65">
        <f>IFERROR(__xludf.DUMMYFUNCTION("""COMPUTED_VALUE"""),4961.0)</f>
        <v>4961</v>
      </c>
      <c r="AX2011" s="65"/>
      <c r="AY2011" s="65" t="str">
        <f>IFERROR(__xludf.DUMMYFUNCTION("""COMPUTED_VALUE"""),"13/01/2026")</f>
        <v>13/01/2026</v>
      </c>
      <c r="AZ2011" s="65"/>
      <c r="BA2011" s="65"/>
    </row>
    <row r="2012">
      <c r="A2012" s="65" t="str">
        <f>IFERROR(__xludf.DUMMYFUNCTION("""COMPUTED_VALUE"""),"27-03-2026")</f>
        <v>27-03-2026</v>
      </c>
      <c r="B2012" s="65">
        <f>IFERROR(__xludf.DUMMYFUNCTION("""COMPUTED_VALUE"""),4109194.0)</f>
        <v>4109194</v>
      </c>
      <c r="C2012" s="65" t="str">
        <f>IFERROR(__xludf.DUMMYFUNCTION("""COMPUTED_VALUE"""),"20:32")</f>
        <v>20:32</v>
      </c>
      <c r="D2012" s="65" t="str">
        <f>IFERROR(__xludf.DUMMYFUNCTION("""COMPUTED_VALUE"""),"11-01-2026")</f>
        <v>11-01-2026</v>
      </c>
      <c r="E2012" s="65" t="str">
        <f>IFERROR(__xludf.DUMMYFUNCTION("""COMPUTED_VALUE"""),"Oscar Castro")</f>
        <v>Oscar Castro</v>
      </c>
      <c r="F2012" s="65" t="str">
        <f>IFERROR(__xludf.DUMMYFUNCTION("""COMPUTED_VALUE"""),"995881226")</f>
        <v>995881226</v>
      </c>
      <c r="G2012" s="65" t="str">
        <f>IFERROR(__xludf.DUMMYFUNCTION("""COMPUTED_VALUE"""),"oscarcastro88@hotmail.com")</f>
        <v>oscarcastro88@hotmail.com</v>
      </c>
      <c r="H2012" s="65"/>
      <c r="I2012" s="65"/>
      <c r="J2012" s="65"/>
      <c r="K2012" s="65" t="str">
        <f>IFERROR(__xludf.DUMMYFUNCTION("""COMPUTED_VALUE"""),"PENDIENTE CONFIRMACION")</f>
        <v>PENDIENTE CONFIRMACION</v>
      </c>
      <c r="L2012" s="65" t="str">
        <f>IFERROR(__xludf.DUMMYFUNCTION("""COMPUTED_VALUE"""),"CON RECAUDO")</f>
        <v>CON RECAUDO</v>
      </c>
      <c r="M2012" s="65" t="str">
        <f>IFERROR(__xludf.DUMMYFUNCTION("""COMPUTED_VALUE"""),"PICHINCHA")</f>
        <v>PICHINCHA</v>
      </c>
      <c r="N2012" s="65" t="str">
        <f>IFERROR(__xludf.DUMMYFUNCTION("""COMPUTED_VALUE"""),"QUITO")</f>
        <v>QUITO</v>
      </c>
      <c r="O2012" s="65" t="str">
        <f>IFERROR(__xludf.DUMMYFUNCTION("""COMPUTED_VALUE"""),"Camino de los incas s8 359 San patricio puengasi -")</f>
        <v>Camino de los incas s8 359 San patricio puengasi -</v>
      </c>
      <c r="P2012" s="65"/>
      <c r="Q2012" s="65" t="str">
        <f>IFERROR(__xludf.DUMMYFUNCTION("""COMPUTED_VALUE"""),"GINTRACOM")</f>
        <v>GINTRACOM</v>
      </c>
      <c r="R2012" s="65">
        <f>IFERROR(__xludf.DUMMYFUNCTION("""COMPUTED_VALUE"""),25.0)</f>
        <v>25</v>
      </c>
      <c r="S2012" s="65"/>
      <c r="T2012" s="65">
        <f>IFERROR(__xludf.DUMMYFUNCTION("""COMPUTED_VALUE"""),5.96)</f>
        <v>5.96</v>
      </c>
      <c r="U2012" s="65">
        <f>IFERROR(__xludf.DUMMYFUNCTION("""COMPUTED_VALUE"""),0.0)</f>
        <v>0</v>
      </c>
      <c r="V2012" s="65">
        <f>IFERROR(__xludf.DUMMYFUNCTION("""COMPUTED_VALUE"""),0.0)</f>
        <v>0</v>
      </c>
      <c r="W2012" s="65">
        <f>IFERROR(__xludf.DUMMYFUNCTION("""COMPUTED_VALUE"""),0.0)</f>
        <v>0</v>
      </c>
      <c r="X2012" s="65">
        <f>IFERROR(__xludf.DUMMYFUNCTION("""COMPUTED_VALUE"""),2.79)</f>
        <v>2.79</v>
      </c>
      <c r="Y2012" s="65">
        <f>IFERROR(__xludf.DUMMYFUNCTION("""COMPUTED_VALUE"""),5.58)</f>
        <v>5.58</v>
      </c>
      <c r="Z2012" s="65">
        <f>IFERROR(__xludf.DUMMYFUNCTION("""COMPUTED_VALUE"""),120732.0)</f>
        <v>120732</v>
      </c>
      <c r="AA2012" s="65" t="str">
        <f>IFERROR(__xludf.DUMMYFUNCTION("""COMPUTED_VALUE"""),"PROV-LMPVT")</f>
        <v>PROV-LMPVT</v>
      </c>
      <c r="AB2012" s="65"/>
      <c r="AC2012" s="65" t="str">
        <f>IFERROR(__xludf.DUMMYFUNCTION("""COMPUTED_VALUE"""),"LIMPIADOR DE PARABRISAS Y VENTANAS")</f>
        <v>LIMPIADOR DE PARABRISAS Y VENTANAS</v>
      </c>
      <c r="AD2012" s="65"/>
      <c r="AE2012" s="65">
        <f>IFERROR(__xludf.DUMMYFUNCTION("""COMPUTED_VALUE"""),2.0)</f>
        <v>2</v>
      </c>
      <c r="AF2012" s="65"/>
      <c r="AG2012" s="65"/>
      <c r="AH2012" s="65"/>
      <c r="AI2012" s="65"/>
      <c r="AJ2012" s="65"/>
      <c r="AK2012" s="65"/>
      <c r="AL2012" s="65"/>
      <c r="AM2012" s="65"/>
      <c r="AN2012" s="65"/>
      <c r="AO2012" s="65"/>
      <c r="AP2012" s="65"/>
      <c r="AQ2012" s="65"/>
      <c r="AR2012" s="65"/>
      <c r="AS2012" s="65"/>
      <c r="AT2012" s="65" t="str">
        <f>IFERROR(__xludf.DUMMYFUNCTION("""COMPUTED_VALUE"""),"SHOPIFY")</f>
        <v>SHOPIFY</v>
      </c>
      <c r="AU2012" s="65" t="str">
        <f>IFERROR(__xludf.DUMMYFUNCTION("""COMPUTED_VALUE"""),"IMPORTEX EC")</f>
        <v>IMPORTEX EC</v>
      </c>
      <c r="AV2012" s="65" t="str">
        <f>IFERROR(__xludf.DUMMYFUNCTION("""COMPUTED_VALUE"""),"6407899381804")</f>
        <v>6407899381804</v>
      </c>
      <c r="AW2012" s="65">
        <f>IFERROR(__xludf.DUMMYFUNCTION("""COMPUTED_VALUE"""),4959.0)</f>
        <v>4959</v>
      </c>
      <c r="AX2012" s="65"/>
      <c r="AY2012" s="65"/>
      <c r="AZ2012" s="65"/>
      <c r="BA2012" s="65"/>
    </row>
    <row r="2013">
      <c r="A2013" s="65" t="str">
        <f>IFERROR(__xludf.DUMMYFUNCTION("""COMPUTED_VALUE"""),"27-03-2026")</f>
        <v>27-03-2026</v>
      </c>
      <c r="B2013" s="65">
        <f>IFERROR(__xludf.DUMMYFUNCTION("""COMPUTED_VALUE"""),4108960.0)</f>
        <v>4108960</v>
      </c>
      <c r="C2013" s="65" t="str">
        <f>IFERROR(__xludf.DUMMYFUNCTION("""COMPUTED_VALUE"""),"20:18")</f>
        <v>20:18</v>
      </c>
      <c r="D2013" s="65" t="str">
        <f>IFERROR(__xludf.DUMMYFUNCTION("""COMPUTED_VALUE"""),"11-01-2026")</f>
        <v>11-01-2026</v>
      </c>
      <c r="E2013" s="65" t="str">
        <f>IFERROR(__xludf.DUMMYFUNCTION("""COMPUTED_VALUE"""),"Jhonny Alexander Morocho Jiménez")</f>
        <v>Jhonny Alexander Morocho Jiménez</v>
      </c>
      <c r="F2013" s="65" t="str">
        <f>IFERROR(__xludf.DUMMYFUNCTION("""COMPUTED_VALUE"""),"985512345")</f>
        <v>985512345</v>
      </c>
      <c r="G2013" s="65"/>
      <c r="H2013" s="65"/>
      <c r="I2013" s="65"/>
      <c r="J2013" s="65" t="str">
        <f>IFERROR(__xludf.DUMMYFUNCTION("""COMPUTED_VALUE"""),"D001218382")</f>
        <v>D001218382</v>
      </c>
      <c r="K2013" s="65" t="str">
        <f>IFERROR(__xludf.DUMMYFUNCTION("""COMPUTED_VALUE"""),"ENTREGADO")</f>
        <v>ENTREGADO</v>
      </c>
      <c r="L2013" s="65" t="str">
        <f>IFERROR(__xludf.DUMMYFUNCTION("""COMPUTED_VALUE"""),"CON RECAUDO")</f>
        <v>CON RECAUDO</v>
      </c>
      <c r="M2013" s="65" t="str">
        <f>IFERROR(__xludf.DUMMYFUNCTION("""COMPUTED_VALUE"""),"AZUAY")</f>
        <v>AZUAY</v>
      </c>
      <c r="N2013" s="65" t="str">
        <f>IFERROR(__xludf.DUMMYFUNCTION("""COMPUTED_VALUE"""),"CUENCA")</f>
        <v>CUENCA</v>
      </c>
      <c r="O2013" s="65" t="str">
        <f>IFERROR(__xludf.DUMMYFUNCTION("""COMPUTED_VALUE"""),"Gil Ramírez Dávalos y el chorro esquina Express sucre -")</f>
        <v>Gil Ramírez Dávalos y el chorro esquina Express sucre -</v>
      </c>
      <c r="P2013" s="65"/>
      <c r="Q2013" s="65" t="str">
        <f>IFERROR(__xludf.DUMMYFUNCTION("""COMPUTED_VALUE"""),"GINTRACOM")</f>
        <v>GINTRACOM</v>
      </c>
      <c r="R2013" s="65">
        <f>IFERROR(__xludf.DUMMYFUNCTION("""COMPUTED_VALUE"""),22.0)</f>
        <v>22</v>
      </c>
      <c r="S2013" s="65">
        <f>IFERROR(__xludf.DUMMYFUNCTION("""COMPUTED_VALUE"""),10.96)</f>
        <v>10.96</v>
      </c>
      <c r="T2013" s="65">
        <f>IFERROR(__xludf.DUMMYFUNCTION("""COMPUTED_VALUE"""),5.84)</f>
        <v>5.84</v>
      </c>
      <c r="U2013" s="65">
        <f>IFERROR(__xludf.DUMMYFUNCTION("""COMPUTED_VALUE"""),0.0)</f>
        <v>0</v>
      </c>
      <c r="V2013" s="65">
        <f>IFERROR(__xludf.DUMMYFUNCTION("""COMPUTED_VALUE"""),0.0)</f>
        <v>0</v>
      </c>
      <c r="W2013" s="65">
        <f>IFERROR(__xludf.DUMMYFUNCTION("""COMPUTED_VALUE"""),0.0)</f>
        <v>0</v>
      </c>
      <c r="X2013" s="65">
        <f>IFERROR(__xludf.DUMMYFUNCTION("""COMPUTED_VALUE"""),2.6)</f>
        <v>2.6</v>
      </c>
      <c r="Y2013" s="65">
        <f>IFERROR(__xludf.DUMMYFUNCTION("""COMPUTED_VALUE"""),5.2)</f>
        <v>5.2</v>
      </c>
      <c r="Z2013" s="65">
        <f>IFERROR(__xludf.DUMMYFUNCTION("""COMPUTED_VALUE"""),121983.0)</f>
        <v>121983</v>
      </c>
      <c r="AA2013" s="65" t="str">
        <f>IFERROR(__xludf.DUMMYFUNCTION("""COMPUTED_VALUE"""),"PROV-CHLLCF")</f>
        <v>PROV-CHLLCF</v>
      </c>
      <c r="AB2013" s="65"/>
      <c r="AC2013" s="65" t="str">
        <f>IFERROR(__xludf.DUMMYFUNCTION("""COMPUTED_VALUE"""),"CUCHILLO PARA CHEF")</f>
        <v>CUCHILLO PARA CHEF</v>
      </c>
      <c r="AD2013" s="65"/>
      <c r="AE2013" s="65">
        <f>IFERROR(__xludf.DUMMYFUNCTION("""COMPUTED_VALUE"""),2.0)</f>
        <v>2</v>
      </c>
      <c r="AF2013" s="65"/>
      <c r="AG2013" s="65"/>
      <c r="AH2013" s="65"/>
      <c r="AI2013" s="65"/>
      <c r="AJ2013" s="65"/>
      <c r="AK2013" s="65"/>
      <c r="AL2013" s="65"/>
      <c r="AM2013" s="65"/>
      <c r="AN2013" s="65" t="str">
        <f>IFERROR(__xludf.DUMMYFUNCTION("""COMPUTED_VALUE"""),"12:05")</f>
        <v>12:05</v>
      </c>
      <c r="AO2013" s="65" t="str">
        <f>IFERROR(__xludf.DUMMYFUNCTION("""COMPUTED_VALUE"""),"16-01-2026")</f>
        <v>16-01-2026</v>
      </c>
      <c r="AP2013" s="65" t="str">
        <f>IFERROR(__xludf.DUMMYFUNCTION("""COMPUTED_VALUE"""),"DESTINATARIO RE-PROGRAMA FECHA DE ENTREGA")</f>
        <v>DESTINATARIO RE-PROGRAMA FECHA DE ENTREGA</v>
      </c>
      <c r="AQ2013" s="65" t="str">
        <f>IFERROR(__xludf.DUMMYFUNCTION("""COMPUTED_VALUE"""),"DESTINATARIO RE-PROGRAMA FECHA DE ENTREGA")</f>
        <v>DESTINATARIO RE-PROGRAMA FECHA DE ENTREGA</v>
      </c>
      <c r="AR2013" s="65"/>
      <c r="AS2013" s="65"/>
      <c r="AT2013" s="65" t="str">
        <f>IFERROR(__xludf.DUMMYFUNCTION("""COMPUTED_VALUE"""),"SHOPIFY")</f>
        <v>SHOPIFY</v>
      </c>
      <c r="AU2013" s="65" t="str">
        <f>IFERROR(__xludf.DUMMYFUNCTION("""COMPUTED_VALUE"""),"IMPORTEX EC")</f>
        <v>IMPORTEX EC</v>
      </c>
      <c r="AV2013" s="65" t="str">
        <f>IFERROR(__xludf.DUMMYFUNCTION("""COMPUTED_VALUE"""),"6407866482732")</f>
        <v>6407866482732</v>
      </c>
      <c r="AW2013" s="65">
        <f>IFERROR(__xludf.DUMMYFUNCTION("""COMPUTED_VALUE"""),4958.0)</f>
        <v>4958</v>
      </c>
      <c r="AX2013" s="65"/>
      <c r="AY2013" s="65" t="str">
        <f>IFERROR(__xludf.DUMMYFUNCTION("""COMPUTED_VALUE"""),"13/01/2026")</f>
        <v>13/01/2026</v>
      </c>
      <c r="AZ2013" s="65"/>
      <c r="BA2013" s="65"/>
    </row>
    <row r="2014">
      <c r="A2014" s="65" t="str">
        <f>IFERROR(__xludf.DUMMYFUNCTION("""COMPUTED_VALUE"""),"27-03-2026")</f>
        <v>27-03-2026</v>
      </c>
      <c r="B2014" s="65">
        <f>IFERROR(__xludf.DUMMYFUNCTION("""COMPUTED_VALUE"""),4108668.0)</f>
        <v>4108668</v>
      </c>
      <c r="C2014" s="65" t="str">
        <f>IFERROR(__xludf.DUMMYFUNCTION("""COMPUTED_VALUE"""),"19:59")</f>
        <v>19:59</v>
      </c>
      <c r="D2014" s="65" t="str">
        <f>IFERROR(__xludf.DUMMYFUNCTION("""COMPUTED_VALUE"""),"11-01-2026")</f>
        <v>11-01-2026</v>
      </c>
      <c r="E2014" s="65" t="str">
        <f>IFERROR(__xludf.DUMMYFUNCTION("""COMPUTED_VALUE"""),"Maria Monge")</f>
        <v>Maria Monge</v>
      </c>
      <c r="F2014" s="65" t="str">
        <f>IFERROR(__xludf.DUMMYFUNCTION("""COMPUTED_VALUE"""),"998168700")</f>
        <v>998168700</v>
      </c>
      <c r="G2014" s="65" t="str">
        <f>IFERROR(__xludf.DUMMYFUNCTION("""COMPUTED_VALUE"""),"isabel_monge3199@hotmail.com")</f>
        <v>isabel_monge3199@hotmail.com</v>
      </c>
      <c r="H2014" s="65"/>
      <c r="I2014" s="65"/>
      <c r="J2014" s="65" t="str">
        <f>IFERROR(__xludf.DUMMYFUNCTION("""COMPUTED_VALUE"""),"186966929")</f>
        <v>186966929</v>
      </c>
      <c r="K2014" s="65" t="str">
        <f>IFERROR(__xludf.DUMMYFUNCTION("""COMPUTED_VALUE"""),"ENTREGADO")</f>
        <v>ENTREGADO</v>
      </c>
      <c r="L2014" s="65" t="str">
        <f>IFERROR(__xludf.DUMMYFUNCTION("""COMPUTED_VALUE"""),"CON RECAUDO")</f>
        <v>CON RECAUDO</v>
      </c>
      <c r="M2014" s="65" t="str">
        <f>IFERROR(__xludf.DUMMYFUNCTION("""COMPUTED_VALUE"""),"MANABI")</f>
        <v>MANABI</v>
      </c>
      <c r="N2014" s="65" t="str">
        <f>IFERROR(__xludf.DUMMYFUNCTION("""COMPUTED_VALUE"""),"SANTA ANA (MANABI)")</f>
        <v>SANTA ANA (MANABI)</v>
      </c>
      <c r="O2014" s="65" t="str">
        <f>IFERROR(__xludf.DUMMYFUNCTION("""COMPUTED_VALUE"""),"Avenida Luis Alberto Giler y barrio falcones - Por la entrada  de agua  Fiorella barrio Falcone")</f>
        <v>Avenida Luis Alberto Giler y barrio falcones - Por la entrada  de agua  Fiorella barrio Falcone</v>
      </c>
      <c r="P2014" s="65"/>
      <c r="Q2014" s="65" t="str">
        <f>IFERROR(__xludf.DUMMYFUNCTION("""COMPUTED_VALUE"""),"SERVIENTREGA")</f>
        <v>SERVIENTREGA</v>
      </c>
      <c r="R2014" s="65">
        <f>IFERROR(__xludf.DUMMYFUNCTION("""COMPUTED_VALUE"""),20.0)</f>
        <v>20</v>
      </c>
      <c r="S2014" s="65">
        <f>IFERROR(__xludf.DUMMYFUNCTION("""COMPUTED_VALUE"""),9.54)</f>
        <v>9.54</v>
      </c>
      <c r="T2014" s="65">
        <f>IFERROR(__xludf.DUMMYFUNCTION("""COMPUTED_VALUE"""),7.67)</f>
        <v>7.67</v>
      </c>
      <c r="U2014" s="65">
        <f>IFERROR(__xludf.DUMMYFUNCTION("""COMPUTED_VALUE"""),0.0)</f>
        <v>0</v>
      </c>
      <c r="V2014" s="65">
        <f>IFERROR(__xludf.DUMMYFUNCTION("""COMPUTED_VALUE"""),0.0)</f>
        <v>0</v>
      </c>
      <c r="W2014" s="65">
        <f>IFERROR(__xludf.DUMMYFUNCTION("""COMPUTED_VALUE"""),0.0)</f>
        <v>0</v>
      </c>
      <c r="X2014" s="65">
        <f>IFERROR(__xludf.DUMMYFUNCTION("""COMPUTED_VALUE"""),2.79)</f>
        <v>2.79</v>
      </c>
      <c r="Y2014" s="65">
        <f>IFERROR(__xludf.DUMMYFUNCTION("""COMPUTED_VALUE"""),2.79)</f>
        <v>2.79</v>
      </c>
      <c r="Z2014" s="65">
        <f>IFERROR(__xludf.DUMMYFUNCTION("""COMPUTED_VALUE"""),120732.0)</f>
        <v>120732</v>
      </c>
      <c r="AA2014" s="65" t="str">
        <f>IFERROR(__xludf.DUMMYFUNCTION("""COMPUTED_VALUE"""),"PROV-LMPVT")</f>
        <v>PROV-LMPVT</v>
      </c>
      <c r="AB2014" s="65"/>
      <c r="AC2014" s="65" t="str">
        <f>IFERROR(__xludf.DUMMYFUNCTION("""COMPUTED_VALUE"""),"LIMPIADOR DE PARABRISAS Y VENTANAS")</f>
        <v>LIMPIADOR DE PARABRISAS Y VENTANAS</v>
      </c>
      <c r="AD2014" s="65"/>
      <c r="AE2014" s="65">
        <f>IFERROR(__xludf.DUMMYFUNCTION("""COMPUTED_VALUE"""),1.0)</f>
        <v>1</v>
      </c>
      <c r="AF2014" s="65"/>
      <c r="AG2014" s="65"/>
      <c r="AH2014" s="65"/>
      <c r="AI2014" s="65"/>
      <c r="AJ2014" s="65"/>
      <c r="AK2014" s="65"/>
      <c r="AL2014" s="65"/>
      <c r="AM2014" s="65"/>
      <c r="AN2014" s="65" t="str">
        <f>IFERROR(__xludf.DUMMYFUNCTION("""COMPUTED_VALUE"""),"09:13")</f>
        <v>09:13</v>
      </c>
      <c r="AO2014" s="65" t="str">
        <f>IFERROR(__xludf.DUMMYFUNCTION("""COMPUTED_VALUE"""),"16-01-2026")</f>
        <v>16-01-2026</v>
      </c>
      <c r="AP2014" s="65" t="str">
        <f>IFERROR(__xludf.DUMMYFUNCTION("""COMPUTED_VALUE"""),"REPORTADO ENTREGADO EN AGENCIA")</f>
        <v>REPORTADO ENTREGADO EN AGENCIA</v>
      </c>
      <c r="AQ2014" s="65" t="str">
        <f>IFERROR(__xludf.DUMMYFUNCTION("""COMPUTED_VALUE"""),"MARIA MONGE")</f>
        <v>MARIA MONGE</v>
      </c>
      <c r="AR2014" s="65"/>
      <c r="AS2014" s="65"/>
      <c r="AT2014" s="65" t="str">
        <f>IFERROR(__xludf.DUMMYFUNCTION("""COMPUTED_VALUE"""),"SHOPIFY")</f>
        <v>SHOPIFY</v>
      </c>
      <c r="AU2014" s="65" t="str">
        <f>IFERROR(__xludf.DUMMYFUNCTION("""COMPUTED_VALUE"""),"IMPORTEX EC")</f>
        <v>IMPORTEX EC</v>
      </c>
      <c r="AV2014" s="65" t="str">
        <f>IFERROR(__xludf.DUMMYFUNCTION("""COMPUTED_VALUE"""),"6407829258284")</f>
        <v>6407829258284</v>
      </c>
      <c r="AW2014" s="65">
        <f>IFERROR(__xludf.DUMMYFUNCTION("""COMPUTED_VALUE"""),4957.0)</f>
        <v>4957</v>
      </c>
      <c r="AX2014" s="65"/>
      <c r="AY2014" s="65" t="str">
        <f>IFERROR(__xludf.DUMMYFUNCTION("""COMPUTED_VALUE"""),"13/01/2026")</f>
        <v>13/01/2026</v>
      </c>
      <c r="AZ2014" s="65"/>
      <c r="BA2014" s="65"/>
    </row>
    <row r="2015">
      <c r="A2015" s="65" t="str">
        <f>IFERROR(__xludf.DUMMYFUNCTION("""COMPUTED_VALUE"""),"27-03-2026")</f>
        <v>27-03-2026</v>
      </c>
      <c r="B2015" s="65">
        <f>IFERROR(__xludf.DUMMYFUNCTION("""COMPUTED_VALUE"""),4108600.0)</f>
        <v>4108600</v>
      </c>
      <c r="C2015" s="65" t="str">
        <f>IFERROR(__xludf.DUMMYFUNCTION("""COMPUTED_VALUE"""),"19:54")</f>
        <v>19:54</v>
      </c>
      <c r="D2015" s="65" t="str">
        <f>IFERROR(__xludf.DUMMYFUNCTION("""COMPUTED_VALUE"""),"11-01-2026")</f>
        <v>11-01-2026</v>
      </c>
      <c r="E2015" s="65" t="str">
        <f>IFERROR(__xludf.DUMMYFUNCTION("""COMPUTED_VALUE"""),"CARMEN Elizabeth MACKLIFF VALDEZ")</f>
        <v>CARMEN Elizabeth MACKLIFF VALDEZ</v>
      </c>
      <c r="F2015" s="65" t="str">
        <f>IFERROR(__xludf.DUMMYFUNCTION("""COMPUTED_VALUE"""),"993185158")</f>
        <v>993185158</v>
      </c>
      <c r="G2015" s="65" t="str">
        <f>IFERROR(__xludf.DUMMYFUNCTION("""COMPUTED_VALUE"""),"Carmita.Mackliff14@hotmail.con")</f>
        <v>Carmita.Mackliff14@hotmail.con</v>
      </c>
      <c r="H2015" s="65"/>
      <c r="I2015" s="65"/>
      <c r="J2015" s="65" t="str">
        <f>IFERROR(__xludf.DUMMYFUNCTION("""COMPUTED_VALUE"""),"D001218383")</f>
        <v>D001218383</v>
      </c>
      <c r="K2015" s="65" t="str">
        <f>IFERROR(__xludf.DUMMYFUNCTION("""COMPUTED_VALUE"""),"ENTREGADO")</f>
        <v>ENTREGADO</v>
      </c>
      <c r="L2015" s="65" t="str">
        <f>IFERROR(__xludf.DUMMYFUNCTION("""COMPUTED_VALUE"""),"CON RECAUDO")</f>
        <v>CON RECAUDO</v>
      </c>
      <c r="M2015" s="65" t="str">
        <f>IFERROR(__xludf.DUMMYFUNCTION("""COMPUTED_VALUE"""),"ESMERALDAS")</f>
        <v>ESMERALDAS</v>
      </c>
      <c r="N2015" s="65" t="str">
        <f>IFERROR(__xludf.DUMMYFUNCTION("""COMPUTED_VALUE"""),"QUININDE")</f>
        <v>QUININDE</v>
      </c>
      <c r="O2015" s="65" t="str">
        <f>IFERROR(__xludf.DUMMYFUNCTION("""COMPUTED_VALUE"""),"Nueva Jerusalén y Edmundo Bastidas San José de los Aserrios -")</f>
        <v>Nueva Jerusalén y Edmundo Bastidas San José de los Aserrios -</v>
      </c>
      <c r="P2015" s="65"/>
      <c r="Q2015" s="65" t="str">
        <f>IFERROR(__xludf.DUMMYFUNCTION("""COMPUTED_VALUE"""),"GINTRACOM")</f>
        <v>GINTRACOM</v>
      </c>
      <c r="R2015" s="65">
        <f>IFERROR(__xludf.DUMMYFUNCTION("""COMPUTED_VALUE"""),22.0)</f>
        <v>22</v>
      </c>
      <c r="S2015" s="65">
        <f>IFERROR(__xludf.DUMMYFUNCTION("""COMPUTED_VALUE"""),10.96)</f>
        <v>10.96</v>
      </c>
      <c r="T2015" s="65">
        <f>IFERROR(__xludf.DUMMYFUNCTION("""COMPUTED_VALUE"""),5.84)</f>
        <v>5.84</v>
      </c>
      <c r="U2015" s="65">
        <f>IFERROR(__xludf.DUMMYFUNCTION("""COMPUTED_VALUE"""),0.0)</f>
        <v>0</v>
      </c>
      <c r="V2015" s="65">
        <f>IFERROR(__xludf.DUMMYFUNCTION("""COMPUTED_VALUE"""),0.0)</f>
        <v>0</v>
      </c>
      <c r="W2015" s="65">
        <f>IFERROR(__xludf.DUMMYFUNCTION("""COMPUTED_VALUE"""),0.0)</f>
        <v>0</v>
      </c>
      <c r="X2015" s="65">
        <f>IFERROR(__xludf.DUMMYFUNCTION("""COMPUTED_VALUE"""),2.6)</f>
        <v>2.6</v>
      </c>
      <c r="Y2015" s="65">
        <f>IFERROR(__xludf.DUMMYFUNCTION("""COMPUTED_VALUE"""),5.2)</f>
        <v>5.2</v>
      </c>
      <c r="Z2015" s="65">
        <f>IFERROR(__xludf.DUMMYFUNCTION("""COMPUTED_VALUE"""),121983.0)</f>
        <v>121983</v>
      </c>
      <c r="AA2015" s="65" t="str">
        <f>IFERROR(__xludf.DUMMYFUNCTION("""COMPUTED_VALUE"""),"PROV-CHLLCF")</f>
        <v>PROV-CHLLCF</v>
      </c>
      <c r="AB2015" s="65"/>
      <c r="AC2015" s="65" t="str">
        <f>IFERROR(__xludf.DUMMYFUNCTION("""COMPUTED_VALUE"""),"CUCHILLO PARA CHEF")</f>
        <v>CUCHILLO PARA CHEF</v>
      </c>
      <c r="AD2015" s="65"/>
      <c r="AE2015" s="65">
        <f>IFERROR(__xludf.DUMMYFUNCTION("""COMPUTED_VALUE"""),2.0)</f>
        <v>2</v>
      </c>
      <c r="AF2015" s="65" t="str">
        <f>IFERROR(__xludf.DUMMYFUNCTION("""COMPUTED_VALUE"""),"DESTINATARIO NO SE ENCUENTRA EN LUGAR DE ENTREGA.")</f>
        <v>DESTINATARIO NO SE ENCUENTRA EN LUGAR DE ENTREGA.</v>
      </c>
      <c r="AG2015" s="65" t="str">
        <f>IFERROR(__xludf.DUMMYFUNCTION("""COMPUTED_VALUE"""),"NO")</f>
        <v>NO</v>
      </c>
      <c r="AH2015" s="65" t="str">
        <f>IFERROR(__xludf.DUMMYFUNCTION("""COMPUTED_VALUE"""),"14:55")</f>
        <v>14:55</v>
      </c>
      <c r="AI2015" s="65" t="str">
        <f>IFERROR(__xludf.DUMMYFUNCTION("""COMPUTED_VALUE"""),"16-01-2026")</f>
        <v>16-01-2026</v>
      </c>
      <c r="AJ2015" s="65"/>
      <c r="AK2015" s="65"/>
      <c r="AL2015" s="65"/>
      <c r="AM2015" s="65"/>
      <c r="AN2015" s="65" t="str">
        <f>IFERROR(__xludf.DUMMYFUNCTION("""COMPUTED_VALUE"""),"14:59")</f>
        <v>14:59</v>
      </c>
      <c r="AO2015" s="65" t="str">
        <f>IFERROR(__xludf.DUMMYFUNCTION("""COMPUTED_VALUE"""),"16-01-2026")</f>
        <v>16-01-2026</v>
      </c>
      <c r="AP2015" s="65" t="str">
        <f>IFERROR(__xludf.DUMMYFUNCTION("""COMPUTED_VALUE"""),"ENTREGADA GINTRACOM")</f>
        <v>ENTREGADA GINTRACOM</v>
      </c>
      <c r="AQ2015" s="65" t="str">
        <f>IFERROR(__xludf.DUMMYFUNCTION("""COMPUTED_VALUE"""),"ENTREGADA GINTRACOM")</f>
        <v>ENTREGADA GINTRACOM</v>
      </c>
      <c r="AR2015" s="65"/>
      <c r="AS2015" s="65"/>
      <c r="AT2015" s="65" t="str">
        <f>IFERROR(__xludf.DUMMYFUNCTION("""COMPUTED_VALUE"""),"SHOPIFY")</f>
        <v>SHOPIFY</v>
      </c>
      <c r="AU2015" s="65" t="str">
        <f>IFERROR(__xludf.DUMMYFUNCTION("""COMPUTED_VALUE"""),"IMPORTEX EC")</f>
        <v>IMPORTEX EC</v>
      </c>
      <c r="AV2015" s="65" t="str">
        <f>IFERROR(__xludf.DUMMYFUNCTION("""COMPUTED_VALUE"""),"6407823720492")</f>
        <v>6407823720492</v>
      </c>
      <c r="AW2015" s="65">
        <f>IFERROR(__xludf.DUMMYFUNCTION("""COMPUTED_VALUE"""),4956.0)</f>
        <v>4956</v>
      </c>
      <c r="AX2015" s="65"/>
      <c r="AY2015" s="65" t="str">
        <f>IFERROR(__xludf.DUMMYFUNCTION("""COMPUTED_VALUE"""),"13/01/2026")</f>
        <v>13/01/2026</v>
      </c>
      <c r="AZ2015" s="65"/>
      <c r="BA2015" s="65"/>
    </row>
    <row r="2016">
      <c r="A2016" s="65" t="str">
        <f>IFERROR(__xludf.DUMMYFUNCTION("""COMPUTED_VALUE"""),"27-03-2026")</f>
        <v>27-03-2026</v>
      </c>
      <c r="B2016" s="65">
        <f>IFERROR(__xludf.DUMMYFUNCTION("""COMPUTED_VALUE"""),4108356.0)</f>
        <v>4108356</v>
      </c>
      <c r="C2016" s="65" t="str">
        <f>IFERROR(__xludf.DUMMYFUNCTION("""COMPUTED_VALUE"""),"19:35")</f>
        <v>19:35</v>
      </c>
      <c r="D2016" s="65" t="str">
        <f>IFERROR(__xludf.DUMMYFUNCTION("""COMPUTED_VALUE"""),"11-01-2026")</f>
        <v>11-01-2026</v>
      </c>
      <c r="E2016" s="65" t="str">
        <f>IFERROR(__xludf.DUMMYFUNCTION("""COMPUTED_VALUE"""),"Bustamante Fernando")</f>
        <v>Bustamante Fernando</v>
      </c>
      <c r="F2016" s="65" t="str">
        <f>IFERROR(__xludf.DUMMYFUNCTION("""COMPUTED_VALUE"""),"995986366")</f>
        <v>995986366</v>
      </c>
      <c r="G2016" s="65" t="str">
        <f>IFERROR(__xludf.DUMMYFUNCTION("""COMPUTED_VALUE"""),"fernando2000b@hotmail.com")</f>
        <v>fernando2000b@hotmail.com</v>
      </c>
      <c r="H2016" s="65"/>
      <c r="I2016" s="65"/>
      <c r="J2016" s="65" t="str">
        <f>IFERROR(__xludf.DUMMYFUNCTION("""COMPUTED_VALUE"""),"D001216214")</f>
        <v>D001216214</v>
      </c>
      <c r="K2016" s="65" t="str">
        <f>IFERROR(__xludf.DUMMYFUNCTION("""COMPUTED_VALUE"""),"ENTREGADO")</f>
        <v>ENTREGADO</v>
      </c>
      <c r="L2016" s="65" t="str">
        <f>IFERROR(__xludf.DUMMYFUNCTION("""COMPUTED_VALUE"""),"CON RECAUDO")</f>
        <v>CON RECAUDO</v>
      </c>
      <c r="M2016" s="65" t="str">
        <f>IFERROR(__xludf.DUMMYFUNCTION("""COMPUTED_VALUE"""),"PICHINCHA")</f>
        <v>PICHINCHA</v>
      </c>
      <c r="N2016" s="65" t="str">
        <f>IFERROR(__xludf.DUMMYFUNCTION("""COMPUTED_VALUE"""),"QUITO")</f>
        <v>QUITO</v>
      </c>
      <c r="O2016" s="65" t="str">
        <f>IFERROR(__xludf.DUMMYFUNCTION("""COMPUTED_VALUE"""),"Sector La Ecuatoriana - Calle Martín Santiago Icaza s44-65 y Av. La Ecuatoriana")</f>
        <v>Sector La Ecuatoriana - Calle Martín Santiago Icaza s44-65 y Av. La Ecuatoriana</v>
      </c>
      <c r="P2016" s="65"/>
      <c r="Q2016" s="65" t="str">
        <f>IFERROR(__xludf.DUMMYFUNCTION("""COMPUTED_VALUE"""),"GINTRACOM")</f>
        <v>GINTRACOM</v>
      </c>
      <c r="R2016" s="65">
        <f>IFERROR(__xludf.DUMMYFUNCTION("""COMPUTED_VALUE"""),25.0)</f>
        <v>25</v>
      </c>
      <c r="S2016" s="65">
        <f>IFERROR(__xludf.DUMMYFUNCTION("""COMPUTED_VALUE"""),13.46)</f>
        <v>13.46</v>
      </c>
      <c r="T2016" s="65">
        <f>IFERROR(__xludf.DUMMYFUNCTION("""COMPUTED_VALUE"""),5.96)</f>
        <v>5.96</v>
      </c>
      <c r="U2016" s="65">
        <f>IFERROR(__xludf.DUMMYFUNCTION("""COMPUTED_VALUE"""),0.0)</f>
        <v>0</v>
      </c>
      <c r="V2016" s="65">
        <f>IFERROR(__xludf.DUMMYFUNCTION("""COMPUTED_VALUE"""),0.0)</f>
        <v>0</v>
      </c>
      <c r="W2016" s="65">
        <f>IFERROR(__xludf.DUMMYFUNCTION("""COMPUTED_VALUE"""),0.0)</f>
        <v>0</v>
      </c>
      <c r="X2016" s="65">
        <f>IFERROR(__xludf.DUMMYFUNCTION("""COMPUTED_VALUE"""),2.79)</f>
        <v>2.79</v>
      </c>
      <c r="Y2016" s="65">
        <f>IFERROR(__xludf.DUMMYFUNCTION("""COMPUTED_VALUE"""),5.58)</f>
        <v>5.58</v>
      </c>
      <c r="Z2016" s="65">
        <f>IFERROR(__xludf.DUMMYFUNCTION("""COMPUTED_VALUE"""),120732.0)</f>
        <v>120732</v>
      </c>
      <c r="AA2016" s="65" t="str">
        <f>IFERROR(__xludf.DUMMYFUNCTION("""COMPUTED_VALUE"""),"PROV-LMPVT")</f>
        <v>PROV-LMPVT</v>
      </c>
      <c r="AB2016" s="65"/>
      <c r="AC2016" s="65" t="str">
        <f>IFERROR(__xludf.DUMMYFUNCTION("""COMPUTED_VALUE"""),"LIMPIADOR DE PARABRISAS Y VENTANAS")</f>
        <v>LIMPIADOR DE PARABRISAS Y VENTANAS</v>
      </c>
      <c r="AD2016" s="65"/>
      <c r="AE2016" s="65">
        <f>IFERROR(__xludf.DUMMYFUNCTION("""COMPUTED_VALUE"""),2.0)</f>
        <v>2</v>
      </c>
      <c r="AF2016" s="65"/>
      <c r="AG2016" s="65"/>
      <c r="AH2016" s="65"/>
      <c r="AI2016" s="65"/>
      <c r="AJ2016" s="65"/>
      <c r="AK2016" s="65"/>
      <c r="AL2016" s="65"/>
      <c r="AM2016" s="65"/>
      <c r="AN2016" s="65" t="str">
        <f>IFERROR(__xludf.DUMMYFUNCTION("""COMPUTED_VALUE"""),"17:05")</f>
        <v>17:05</v>
      </c>
      <c r="AO2016" s="65" t="str">
        <f>IFERROR(__xludf.DUMMYFUNCTION("""COMPUTED_VALUE"""),"13-01-2026")</f>
        <v>13-01-2026</v>
      </c>
      <c r="AP2016" s="65" t="str">
        <f>IFERROR(__xludf.DUMMYFUNCTION("""COMPUTED_VALUE"""),"ENTREGADA GINTRACOM")</f>
        <v>ENTREGADA GINTRACOM</v>
      </c>
      <c r="AQ2016" s="65" t="str">
        <f>IFERROR(__xludf.DUMMYFUNCTION("""COMPUTED_VALUE"""),"ENTREGADA GINTRACOM")</f>
        <v>ENTREGADA GINTRACOM</v>
      </c>
      <c r="AR2016" s="65"/>
      <c r="AS2016" s="65"/>
      <c r="AT2016" s="65" t="str">
        <f>IFERROR(__xludf.DUMMYFUNCTION("""COMPUTED_VALUE"""),"SHOPIFY")</f>
        <v>SHOPIFY</v>
      </c>
      <c r="AU2016" s="65" t="str">
        <f>IFERROR(__xludf.DUMMYFUNCTION("""COMPUTED_VALUE"""),"IMPORTEX EC")</f>
        <v>IMPORTEX EC</v>
      </c>
      <c r="AV2016" s="65" t="str">
        <f>IFERROR(__xludf.DUMMYFUNCTION("""COMPUTED_VALUE"""),"6407787085868")</f>
        <v>6407787085868</v>
      </c>
      <c r="AW2016" s="65">
        <f>IFERROR(__xludf.DUMMYFUNCTION("""COMPUTED_VALUE"""),4954.0)</f>
        <v>4954</v>
      </c>
      <c r="AX2016" s="65"/>
      <c r="AY2016" s="65" t="str">
        <f>IFERROR(__xludf.DUMMYFUNCTION("""COMPUTED_VALUE"""),"12/01/2026")</f>
        <v>12/01/2026</v>
      </c>
      <c r="AZ2016" s="65"/>
      <c r="BA2016" s="65"/>
    </row>
    <row r="2017">
      <c r="A2017" s="65" t="str">
        <f>IFERROR(__xludf.DUMMYFUNCTION("""COMPUTED_VALUE"""),"27-03-2026")</f>
        <v>27-03-2026</v>
      </c>
      <c r="B2017" s="65">
        <f>IFERROR(__xludf.DUMMYFUNCTION("""COMPUTED_VALUE"""),4108335.0)</f>
        <v>4108335</v>
      </c>
      <c r="C2017" s="65" t="str">
        <f>IFERROR(__xludf.DUMMYFUNCTION("""COMPUTED_VALUE"""),"19:33")</f>
        <v>19:33</v>
      </c>
      <c r="D2017" s="65" t="str">
        <f>IFERROR(__xludf.DUMMYFUNCTION("""COMPUTED_VALUE"""),"11-01-2026")</f>
        <v>11-01-2026</v>
      </c>
      <c r="E2017" s="65" t="str">
        <f>IFERROR(__xludf.DUMMYFUNCTION("""COMPUTED_VALUE"""),"GEOVANNY Lascano")</f>
        <v>GEOVANNY Lascano</v>
      </c>
      <c r="F2017" s="65" t="str">
        <f>IFERROR(__xludf.DUMMYFUNCTION("""COMPUTED_VALUE"""),"998297277")</f>
        <v>998297277</v>
      </c>
      <c r="G2017" s="65" t="str">
        <f>IFERROR(__xludf.DUMMYFUNCTION("""COMPUTED_VALUE"""),"geo22las@hotmail.com")</f>
        <v>geo22las@hotmail.com</v>
      </c>
      <c r="H2017" s="65"/>
      <c r="I2017" s="65"/>
      <c r="J2017" s="65" t="str">
        <f>IFERROR(__xludf.DUMMYFUNCTION("""COMPUTED_VALUE"""),"D001216215")</f>
        <v>D001216215</v>
      </c>
      <c r="K2017" s="65" t="str">
        <f>IFERROR(__xludf.DUMMYFUNCTION("""COMPUTED_VALUE"""),"ENTREGADO")</f>
        <v>ENTREGADO</v>
      </c>
      <c r="L2017" s="65" t="str">
        <f>IFERROR(__xludf.DUMMYFUNCTION("""COMPUTED_VALUE"""),"CON RECAUDO")</f>
        <v>CON RECAUDO</v>
      </c>
      <c r="M2017" s="65" t="str">
        <f>IFERROR(__xludf.DUMMYFUNCTION("""COMPUTED_VALUE"""),"PICHINCHA")</f>
        <v>PICHINCHA</v>
      </c>
      <c r="N2017" s="65" t="str">
        <f>IFERROR(__xludf.DUMMYFUNCTION("""COMPUTED_VALUE"""),"QUITO")</f>
        <v>QUITO</v>
      </c>
      <c r="O2017" s="65" t="str">
        <f>IFERROR(__xludf.DUMMYFUNCTION("""COMPUTED_VALUE"""),"Av. Carapungo oe8 521 y Av. Calixto Muzo - Ref. Ferretería Ferre Vargas")</f>
        <v>Av. Carapungo oe8 521 y Av. Calixto Muzo - Ref. Ferretería Ferre Vargas</v>
      </c>
      <c r="P2017" s="65"/>
      <c r="Q2017" s="65" t="str">
        <f>IFERROR(__xludf.DUMMYFUNCTION("""COMPUTED_VALUE"""),"GINTRACOM")</f>
        <v>GINTRACOM</v>
      </c>
      <c r="R2017" s="65">
        <f>IFERROR(__xludf.DUMMYFUNCTION("""COMPUTED_VALUE"""),25.0)</f>
        <v>25</v>
      </c>
      <c r="S2017" s="65">
        <f>IFERROR(__xludf.DUMMYFUNCTION("""COMPUTED_VALUE"""),13.46)</f>
        <v>13.46</v>
      </c>
      <c r="T2017" s="65">
        <f>IFERROR(__xludf.DUMMYFUNCTION("""COMPUTED_VALUE"""),5.96)</f>
        <v>5.96</v>
      </c>
      <c r="U2017" s="65">
        <f>IFERROR(__xludf.DUMMYFUNCTION("""COMPUTED_VALUE"""),0.0)</f>
        <v>0</v>
      </c>
      <c r="V2017" s="65">
        <f>IFERROR(__xludf.DUMMYFUNCTION("""COMPUTED_VALUE"""),0.0)</f>
        <v>0</v>
      </c>
      <c r="W2017" s="65">
        <f>IFERROR(__xludf.DUMMYFUNCTION("""COMPUTED_VALUE"""),0.0)</f>
        <v>0</v>
      </c>
      <c r="X2017" s="65">
        <f>IFERROR(__xludf.DUMMYFUNCTION("""COMPUTED_VALUE"""),2.79)</f>
        <v>2.79</v>
      </c>
      <c r="Y2017" s="65">
        <f>IFERROR(__xludf.DUMMYFUNCTION("""COMPUTED_VALUE"""),5.58)</f>
        <v>5.58</v>
      </c>
      <c r="Z2017" s="65">
        <f>IFERROR(__xludf.DUMMYFUNCTION("""COMPUTED_VALUE"""),120732.0)</f>
        <v>120732</v>
      </c>
      <c r="AA2017" s="65" t="str">
        <f>IFERROR(__xludf.DUMMYFUNCTION("""COMPUTED_VALUE"""),"PROV-LMPVT")</f>
        <v>PROV-LMPVT</v>
      </c>
      <c r="AB2017" s="65"/>
      <c r="AC2017" s="65" t="str">
        <f>IFERROR(__xludf.DUMMYFUNCTION("""COMPUTED_VALUE"""),"LIMPIADOR DE PARABRISAS Y VENTANAS")</f>
        <v>LIMPIADOR DE PARABRISAS Y VENTANAS</v>
      </c>
      <c r="AD2017" s="65"/>
      <c r="AE2017" s="65">
        <f>IFERROR(__xludf.DUMMYFUNCTION("""COMPUTED_VALUE"""),2.0)</f>
        <v>2</v>
      </c>
      <c r="AF2017" s="65"/>
      <c r="AG2017" s="65"/>
      <c r="AH2017" s="65"/>
      <c r="AI2017" s="65"/>
      <c r="AJ2017" s="65"/>
      <c r="AK2017" s="65"/>
      <c r="AL2017" s="65"/>
      <c r="AM2017" s="65"/>
      <c r="AN2017" s="65" t="str">
        <f>IFERROR(__xludf.DUMMYFUNCTION("""COMPUTED_VALUE"""),"14:46")</f>
        <v>14:46</v>
      </c>
      <c r="AO2017" s="65" t="str">
        <f>IFERROR(__xludf.DUMMYFUNCTION("""COMPUTED_VALUE"""),"13-01-2026")</f>
        <v>13-01-2026</v>
      </c>
      <c r="AP2017" s="65" t="str">
        <f>IFERROR(__xludf.DUMMYFUNCTION("""COMPUTED_VALUE"""),"ENTREGADA GINTRACOM")</f>
        <v>ENTREGADA GINTRACOM</v>
      </c>
      <c r="AQ2017" s="65" t="str">
        <f>IFERROR(__xludf.DUMMYFUNCTION("""COMPUTED_VALUE"""),"ENTREGADA GINTRACOM")</f>
        <v>ENTREGADA GINTRACOM</v>
      </c>
      <c r="AR2017" s="65"/>
      <c r="AS2017" s="65"/>
      <c r="AT2017" s="65" t="str">
        <f>IFERROR(__xludf.DUMMYFUNCTION("""COMPUTED_VALUE"""),"SHOPIFY")</f>
        <v>SHOPIFY</v>
      </c>
      <c r="AU2017" s="65" t="str">
        <f>IFERROR(__xludf.DUMMYFUNCTION("""COMPUTED_VALUE"""),"IMPORTEX EC")</f>
        <v>IMPORTEX EC</v>
      </c>
      <c r="AV2017" s="65" t="str">
        <f>IFERROR(__xludf.DUMMYFUNCTION("""COMPUTED_VALUE"""),"6407782924332")</f>
        <v>6407782924332</v>
      </c>
      <c r="AW2017" s="65">
        <f>IFERROR(__xludf.DUMMYFUNCTION("""COMPUTED_VALUE"""),4953.0)</f>
        <v>4953</v>
      </c>
      <c r="AX2017" s="65"/>
      <c r="AY2017" s="65" t="str">
        <f>IFERROR(__xludf.DUMMYFUNCTION("""COMPUTED_VALUE"""),"12/01/2026")</f>
        <v>12/01/2026</v>
      </c>
      <c r="AZ2017" s="65"/>
      <c r="BA2017" s="65"/>
    </row>
    <row r="2018">
      <c r="A2018" s="65" t="str">
        <f>IFERROR(__xludf.DUMMYFUNCTION("""COMPUTED_VALUE"""),"27-03-2026")</f>
        <v>27-03-2026</v>
      </c>
      <c r="B2018" s="65">
        <f>IFERROR(__xludf.DUMMYFUNCTION("""COMPUTED_VALUE"""),4108250.0)</f>
        <v>4108250</v>
      </c>
      <c r="C2018" s="65" t="str">
        <f>IFERROR(__xludf.DUMMYFUNCTION("""COMPUTED_VALUE"""),"19:25")</f>
        <v>19:25</v>
      </c>
      <c r="D2018" s="65" t="str">
        <f>IFERROR(__xludf.DUMMYFUNCTION("""COMPUTED_VALUE"""),"11-01-2026")</f>
        <v>11-01-2026</v>
      </c>
      <c r="E2018" s="65" t="str">
        <f>IFERROR(__xludf.DUMMYFUNCTION("""COMPUTED_VALUE"""),"Juan Raza")</f>
        <v>Juan Raza</v>
      </c>
      <c r="F2018" s="65" t="str">
        <f>IFERROR(__xludf.DUMMYFUNCTION("""COMPUTED_VALUE"""),"984075863")</f>
        <v>984075863</v>
      </c>
      <c r="G2018" s="65" t="str">
        <f>IFERROR(__xludf.DUMMYFUNCTION("""COMPUTED_VALUE"""),"jcrazap@yahoo.com")</f>
        <v>jcrazap@yahoo.com</v>
      </c>
      <c r="H2018" s="65"/>
      <c r="I2018" s="65"/>
      <c r="J2018" s="65"/>
      <c r="K2018" s="65" t="str">
        <f>IFERROR(__xludf.DUMMYFUNCTION("""COMPUTED_VALUE"""),"PENDIENTE CONFIRMACION")</f>
        <v>PENDIENTE CONFIRMACION</v>
      </c>
      <c r="L2018" s="65" t="str">
        <f>IFERROR(__xludf.DUMMYFUNCTION("""COMPUTED_VALUE"""),"CON RECAUDO")</f>
        <v>CON RECAUDO</v>
      </c>
      <c r="M2018" s="65" t="str">
        <f>IFERROR(__xludf.DUMMYFUNCTION("""COMPUTED_VALUE"""),"PICHINCHA")</f>
        <v>PICHINCHA</v>
      </c>
      <c r="N2018" s="65" t="str">
        <f>IFERROR(__xludf.DUMMYFUNCTION("""COMPUTED_VALUE"""),"QUITO")</f>
        <v>QUITO</v>
      </c>
      <c r="O2018" s="65" t="str">
        <f>IFERROR(__xludf.DUMMYFUNCTION("""COMPUTED_VALUE"""),"Vicente heredia Y   juan arauz -")</f>
        <v>Vicente heredia Y   juan arauz -</v>
      </c>
      <c r="P2018" s="65"/>
      <c r="Q2018" s="65" t="str">
        <f>IFERROR(__xludf.DUMMYFUNCTION("""COMPUTED_VALUE"""),"GINTRACOM")</f>
        <v>GINTRACOM</v>
      </c>
      <c r="R2018" s="65">
        <f>IFERROR(__xludf.DUMMYFUNCTION("""COMPUTED_VALUE"""),25.0)</f>
        <v>25</v>
      </c>
      <c r="S2018" s="65"/>
      <c r="T2018" s="65">
        <f>IFERROR(__xludf.DUMMYFUNCTION("""COMPUTED_VALUE"""),5.96)</f>
        <v>5.96</v>
      </c>
      <c r="U2018" s="65">
        <f>IFERROR(__xludf.DUMMYFUNCTION("""COMPUTED_VALUE"""),0.0)</f>
        <v>0</v>
      </c>
      <c r="V2018" s="65">
        <f>IFERROR(__xludf.DUMMYFUNCTION("""COMPUTED_VALUE"""),0.0)</f>
        <v>0</v>
      </c>
      <c r="W2018" s="65">
        <f>IFERROR(__xludf.DUMMYFUNCTION("""COMPUTED_VALUE"""),0.0)</f>
        <v>0</v>
      </c>
      <c r="X2018" s="65">
        <f>IFERROR(__xludf.DUMMYFUNCTION("""COMPUTED_VALUE"""),2.79)</f>
        <v>2.79</v>
      </c>
      <c r="Y2018" s="65">
        <f>IFERROR(__xludf.DUMMYFUNCTION("""COMPUTED_VALUE"""),5.58)</f>
        <v>5.58</v>
      </c>
      <c r="Z2018" s="65">
        <f>IFERROR(__xludf.DUMMYFUNCTION("""COMPUTED_VALUE"""),120732.0)</f>
        <v>120732</v>
      </c>
      <c r="AA2018" s="65" t="str">
        <f>IFERROR(__xludf.DUMMYFUNCTION("""COMPUTED_VALUE"""),"PROV-LMPVT")</f>
        <v>PROV-LMPVT</v>
      </c>
      <c r="AB2018" s="65"/>
      <c r="AC2018" s="65" t="str">
        <f>IFERROR(__xludf.DUMMYFUNCTION("""COMPUTED_VALUE"""),"LIMPIADOR DE PARABRISAS Y VENTANAS")</f>
        <v>LIMPIADOR DE PARABRISAS Y VENTANAS</v>
      </c>
      <c r="AD2018" s="65"/>
      <c r="AE2018" s="65">
        <f>IFERROR(__xludf.DUMMYFUNCTION("""COMPUTED_VALUE"""),2.0)</f>
        <v>2</v>
      </c>
      <c r="AF2018" s="65"/>
      <c r="AG2018" s="65"/>
      <c r="AH2018" s="65"/>
      <c r="AI2018" s="65"/>
      <c r="AJ2018" s="65"/>
      <c r="AK2018" s="65"/>
      <c r="AL2018" s="65"/>
      <c r="AM2018" s="65"/>
      <c r="AN2018" s="65"/>
      <c r="AO2018" s="65"/>
      <c r="AP2018" s="65"/>
      <c r="AQ2018" s="65"/>
      <c r="AR2018" s="65"/>
      <c r="AS2018" s="65"/>
      <c r="AT2018" s="65" t="str">
        <f>IFERROR(__xludf.DUMMYFUNCTION("""COMPUTED_VALUE"""),"SHOPIFY")</f>
        <v>SHOPIFY</v>
      </c>
      <c r="AU2018" s="65" t="str">
        <f>IFERROR(__xludf.DUMMYFUNCTION("""COMPUTED_VALUE"""),"IMPORTEX EC")</f>
        <v>IMPORTEX EC</v>
      </c>
      <c r="AV2018" s="65" t="str">
        <f>IFERROR(__xludf.DUMMYFUNCTION("""COMPUTED_VALUE"""),"6407764869164")</f>
        <v>6407764869164</v>
      </c>
      <c r="AW2018" s="65">
        <f>IFERROR(__xludf.DUMMYFUNCTION("""COMPUTED_VALUE"""),4952.0)</f>
        <v>4952</v>
      </c>
      <c r="AX2018" s="65"/>
      <c r="AY2018" s="65"/>
      <c r="AZ2018" s="65"/>
      <c r="BA2018" s="65"/>
    </row>
    <row r="2019">
      <c r="A2019" s="65" t="str">
        <f>IFERROR(__xludf.DUMMYFUNCTION("""COMPUTED_VALUE"""),"27-03-2026")</f>
        <v>27-03-2026</v>
      </c>
      <c r="B2019" s="65">
        <f>IFERROR(__xludf.DUMMYFUNCTION("""COMPUTED_VALUE"""),4108197.0)</f>
        <v>4108197</v>
      </c>
      <c r="C2019" s="65" t="str">
        <f>IFERROR(__xludf.DUMMYFUNCTION("""COMPUTED_VALUE"""),"19:20")</f>
        <v>19:20</v>
      </c>
      <c r="D2019" s="65" t="str">
        <f>IFERROR(__xludf.DUMMYFUNCTION("""COMPUTED_VALUE"""),"11-01-2026")</f>
        <v>11-01-2026</v>
      </c>
      <c r="E2019" s="65" t="str">
        <f>IFERROR(__xludf.DUMMYFUNCTION("""COMPUTED_VALUE"""),"Rosa Marín")</f>
        <v>Rosa Marín</v>
      </c>
      <c r="F2019" s="65" t="str">
        <f>IFERROR(__xludf.DUMMYFUNCTION("""COMPUTED_VALUE"""),"968464239")</f>
        <v>968464239</v>
      </c>
      <c r="G2019" s="65" t="str">
        <f>IFERROR(__xludf.DUMMYFUNCTION("""COMPUTED_VALUE"""),"marinjackeline059@gmail.com")</f>
        <v>marinjackeline059@gmail.com</v>
      </c>
      <c r="H2019" s="65"/>
      <c r="I2019" s="65"/>
      <c r="J2019" s="65"/>
      <c r="K2019" s="65" t="str">
        <f>IFERROR(__xludf.DUMMYFUNCTION("""COMPUTED_VALUE"""),"PENDIENTE CONFIRMACION")</f>
        <v>PENDIENTE CONFIRMACION</v>
      </c>
      <c r="L2019" s="65" t="str">
        <f>IFERROR(__xludf.DUMMYFUNCTION("""COMPUTED_VALUE"""),"CON RECAUDO")</f>
        <v>CON RECAUDO</v>
      </c>
      <c r="M2019" s="65" t="str">
        <f>IFERROR(__xludf.DUMMYFUNCTION("""COMPUTED_VALUE"""),"AZUAY")</f>
        <v>AZUAY</v>
      </c>
      <c r="N2019" s="65" t="str">
        <f>IFERROR(__xludf.DUMMYFUNCTION("""COMPUTED_VALUE"""),"SEVILLA DE ORO")</f>
        <v>SEVILLA DE ORO</v>
      </c>
      <c r="O2019" s="65" t="str">
        <f>IFERROR(__xludf.DUMMYFUNCTION("""COMPUTED_VALUE"""),"Via Guarumales Mendez Osorrancho -")</f>
        <v>Via Guarumales Mendez Osorrancho -</v>
      </c>
      <c r="P2019" s="65"/>
      <c r="Q2019" s="65" t="str">
        <f>IFERROR(__xludf.DUMMYFUNCTION("""COMPUTED_VALUE"""),"SERVIENTREGA")</f>
        <v>SERVIENTREGA</v>
      </c>
      <c r="R2019" s="65">
        <f>IFERROR(__xludf.DUMMYFUNCTION("""COMPUTED_VALUE"""),27.0)</f>
        <v>27</v>
      </c>
      <c r="S2019" s="65"/>
      <c r="T2019" s="65">
        <f>IFERROR(__xludf.DUMMYFUNCTION("""COMPUTED_VALUE"""),7.77)</f>
        <v>7.77</v>
      </c>
      <c r="U2019" s="65">
        <f>IFERROR(__xludf.DUMMYFUNCTION("""COMPUTED_VALUE"""),0.0)</f>
        <v>0</v>
      </c>
      <c r="V2019" s="65">
        <f>IFERROR(__xludf.DUMMYFUNCTION("""COMPUTED_VALUE"""),0.0)</f>
        <v>0</v>
      </c>
      <c r="W2019" s="65">
        <f>IFERROR(__xludf.DUMMYFUNCTION("""COMPUTED_VALUE"""),0.0)</f>
        <v>0</v>
      </c>
      <c r="X2019" s="65">
        <f>IFERROR(__xludf.DUMMYFUNCTION("""COMPUTED_VALUE"""),2.6)</f>
        <v>2.6</v>
      </c>
      <c r="Y2019" s="65">
        <f>IFERROR(__xludf.DUMMYFUNCTION("""COMPUTED_VALUE"""),7.8)</f>
        <v>7.8</v>
      </c>
      <c r="Z2019" s="65">
        <f>IFERROR(__xludf.DUMMYFUNCTION("""COMPUTED_VALUE"""),121983.0)</f>
        <v>121983</v>
      </c>
      <c r="AA2019" s="65" t="str">
        <f>IFERROR(__xludf.DUMMYFUNCTION("""COMPUTED_VALUE"""),"PROV-CHLLCF")</f>
        <v>PROV-CHLLCF</v>
      </c>
      <c r="AB2019" s="65"/>
      <c r="AC2019" s="65" t="str">
        <f>IFERROR(__xludf.DUMMYFUNCTION("""COMPUTED_VALUE"""),"CUCHILLO PARA CHEF")</f>
        <v>CUCHILLO PARA CHEF</v>
      </c>
      <c r="AD2019" s="65"/>
      <c r="AE2019" s="65">
        <f>IFERROR(__xludf.DUMMYFUNCTION("""COMPUTED_VALUE"""),3.0)</f>
        <v>3</v>
      </c>
      <c r="AF2019" s="65"/>
      <c r="AG2019" s="65"/>
      <c r="AH2019" s="65"/>
      <c r="AI2019" s="65"/>
      <c r="AJ2019" s="65"/>
      <c r="AK2019" s="65"/>
      <c r="AL2019" s="65"/>
      <c r="AM2019" s="65"/>
      <c r="AN2019" s="65"/>
      <c r="AO2019" s="65"/>
      <c r="AP2019" s="65"/>
      <c r="AQ2019" s="65"/>
      <c r="AR2019" s="65"/>
      <c r="AS2019" s="65"/>
      <c r="AT2019" s="65" t="str">
        <f>IFERROR(__xludf.DUMMYFUNCTION("""COMPUTED_VALUE"""),"SHOPIFY")</f>
        <v>SHOPIFY</v>
      </c>
      <c r="AU2019" s="65" t="str">
        <f>IFERROR(__xludf.DUMMYFUNCTION("""COMPUTED_VALUE"""),"IMPORTEX EC")</f>
        <v>IMPORTEX EC</v>
      </c>
      <c r="AV2019" s="65" t="str">
        <f>IFERROR(__xludf.DUMMYFUNCTION("""COMPUTED_VALUE"""),"6407758118956")</f>
        <v>6407758118956</v>
      </c>
      <c r="AW2019" s="65">
        <f>IFERROR(__xludf.DUMMYFUNCTION("""COMPUTED_VALUE"""),4951.0)</f>
        <v>4951</v>
      </c>
      <c r="AX2019" s="65"/>
      <c r="AY2019" s="65"/>
      <c r="AZ2019" s="65"/>
      <c r="BA2019" s="65"/>
    </row>
    <row r="2020">
      <c r="A2020" s="65" t="str">
        <f>IFERROR(__xludf.DUMMYFUNCTION("""COMPUTED_VALUE"""),"27-03-2026")</f>
        <v>27-03-2026</v>
      </c>
      <c r="B2020" s="65">
        <f>IFERROR(__xludf.DUMMYFUNCTION("""COMPUTED_VALUE"""),4108195.0)</f>
        <v>4108195</v>
      </c>
      <c r="C2020" s="65" t="str">
        <f>IFERROR(__xludf.DUMMYFUNCTION("""COMPUTED_VALUE"""),"19:20")</f>
        <v>19:20</v>
      </c>
      <c r="D2020" s="65" t="str">
        <f>IFERROR(__xludf.DUMMYFUNCTION("""COMPUTED_VALUE"""),"11-01-2026")</f>
        <v>11-01-2026</v>
      </c>
      <c r="E2020" s="65" t="str">
        <f>IFERROR(__xludf.DUMMYFUNCTION("""COMPUTED_VALUE"""),"Jorge Acan")</f>
        <v>Jorge Acan</v>
      </c>
      <c r="F2020" s="65" t="str">
        <f>IFERROR(__xludf.DUMMYFUNCTION("""COMPUTED_VALUE"""),"960070894")</f>
        <v>960070894</v>
      </c>
      <c r="G2020" s="65" t="str">
        <f>IFERROR(__xludf.DUMMYFUNCTION("""COMPUTED_VALUE"""),"jorgealexander2618@gmail.com")</f>
        <v>jorgealexander2618@gmail.com</v>
      </c>
      <c r="H2020" s="65"/>
      <c r="I2020" s="65"/>
      <c r="J2020" s="65" t="str">
        <f>IFERROR(__xludf.DUMMYFUNCTION("""COMPUTED_VALUE"""),"D001218384")</f>
        <v>D001218384</v>
      </c>
      <c r="K2020" s="65" t="str">
        <f>IFERROR(__xludf.DUMMYFUNCTION("""COMPUTED_VALUE"""),"DEVOLUCION")</f>
        <v>DEVOLUCION</v>
      </c>
      <c r="L2020" s="65" t="str">
        <f>IFERROR(__xludf.DUMMYFUNCTION("""COMPUTED_VALUE"""),"CON RECAUDO")</f>
        <v>CON RECAUDO</v>
      </c>
      <c r="M2020" s="65" t="str">
        <f>IFERROR(__xludf.DUMMYFUNCTION("""COMPUTED_VALUE"""),"MANABI")</f>
        <v>MANABI</v>
      </c>
      <c r="N2020" s="65" t="str">
        <f>IFERROR(__xludf.DUMMYFUNCTION("""COMPUTED_VALUE"""),"MANTA")</f>
        <v>MANTA</v>
      </c>
      <c r="O2020" s="65" t="str">
        <f>IFERROR(__xludf.DUMMYFUNCTION("""COMPUTED_VALUE"""),"Av crcuvalacion y tramo 2 Logimanta -hyundai")</f>
        <v>Av crcuvalacion y tramo 2 Logimanta -hyundai</v>
      </c>
      <c r="P2020" s="65"/>
      <c r="Q2020" s="65" t="str">
        <f>IFERROR(__xludf.DUMMYFUNCTION("""COMPUTED_VALUE"""),"GINTRACOM")</f>
        <v>GINTRACOM</v>
      </c>
      <c r="R2020" s="65">
        <f>IFERROR(__xludf.DUMMYFUNCTION("""COMPUTED_VALUE"""),20.0)</f>
        <v>20</v>
      </c>
      <c r="S2020" s="65"/>
      <c r="T2020" s="65">
        <f>IFERROR(__xludf.DUMMYFUNCTION("""COMPUTED_VALUE"""),5.76)</f>
        <v>5.76</v>
      </c>
      <c r="U2020" s="65">
        <f>IFERROR(__xludf.DUMMYFUNCTION("""COMPUTED_VALUE"""),0.0)</f>
        <v>0</v>
      </c>
      <c r="V2020" s="65">
        <f>IFERROR(__xludf.DUMMYFUNCTION("""COMPUTED_VALUE"""),0.0)</f>
        <v>0</v>
      </c>
      <c r="W2020" s="65">
        <f>IFERROR(__xludf.DUMMYFUNCTION("""COMPUTED_VALUE"""),0.0)</f>
        <v>0</v>
      </c>
      <c r="X2020" s="65">
        <f>IFERROR(__xludf.DUMMYFUNCTION("""COMPUTED_VALUE"""),2.79)</f>
        <v>2.79</v>
      </c>
      <c r="Y2020" s="65">
        <f>IFERROR(__xludf.DUMMYFUNCTION("""COMPUTED_VALUE"""),2.79)</f>
        <v>2.79</v>
      </c>
      <c r="Z2020" s="65">
        <f>IFERROR(__xludf.DUMMYFUNCTION("""COMPUTED_VALUE"""),120732.0)</f>
        <v>120732</v>
      </c>
      <c r="AA2020" s="65" t="str">
        <f>IFERROR(__xludf.DUMMYFUNCTION("""COMPUTED_VALUE"""),"PROV-LMPVT")</f>
        <v>PROV-LMPVT</v>
      </c>
      <c r="AB2020" s="65"/>
      <c r="AC2020" s="65" t="str">
        <f>IFERROR(__xludf.DUMMYFUNCTION("""COMPUTED_VALUE"""),"LIMPIADOR DE PARABRISAS Y VENTANAS")</f>
        <v>LIMPIADOR DE PARABRISAS Y VENTANAS</v>
      </c>
      <c r="AD2020" s="65"/>
      <c r="AE2020" s="65">
        <f>IFERROR(__xludf.DUMMYFUNCTION("""COMPUTED_VALUE"""),1.0)</f>
        <v>1</v>
      </c>
      <c r="AF2020" s="65" t="str">
        <f>IFERROR(__xludf.DUMMYFUNCTION("""COMPUTED_VALUE"""),"DESTINATARIO NO CONTESTA LLAMADAS NI WHATSAPP")</f>
        <v>DESTINATARIO NO CONTESTA LLAMADAS NI WHATSAPP</v>
      </c>
      <c r="AG2020" s="65" t="str">
        <f>IFERROR(__xludf.DUMMYFUNCTION("""COMPUTED_VALUE"""),"NO")</f>
        <v>NO</v>
      </c>
      <c r="AH2020" s="65" t="str">
        <f>IFERROR(__xludf.DUMMYFUNCTION("""COMPUTED_VALUE"""),"09:00")</f>
        <v>09:00</v>
      </c>
      <c r="AI2020" s="65" t="str">
        <f>IFERROR(__xludf.DUMMYFUNCTION("""COMPUTED_VALUE"""),"23-01-2026")</f>
        <v>23-01-2026</v>
      </c>
      <c r="AJ2020" s="65"/>
      <c r="AK2020" s="65"/>
      <c r="AL2020" s="65"/>
      <c r="AM2020" s="65"/>
      <c r="AN2020" s="65" t="str">
        <f>IFERROR(__xludf.DUMMYFUNCTION("""COMPUTED_VALUE"""),"09:04")</f>
        <v>09:04</v>
      </c>
      <c r="AO2020" s="65" t="str">
        <f>IFERROR(__xludf.DUMMYFUNCTION("""COMPUTED_VALUE"""),"11-02-2026")</f>
        <v>11-02-2026</v>
      </c>
      <c r="AP2020" s="65" t="str">
        <f>IFERROR(__xludf.DUMMYFUNCTION("""COMPUTED_VALUE"""),"DEV CONFIRMADA POR BODEGA")</f>
        <v>DEV CONFIRMADA POR BODEGA</v>
      </c>
      <c r="AQ2020" s="65"/>
      <c r="AR2020" s="65" t="str">
        <f>IFERROR(__xludf.DUMMYFUNCTION("""COMPUTED_VALUE"""),"Gestionado por: Moran Daniel, email:danielmorga2005@gmail.com, total de productos en la orden: 1")</f>
        <v>Gestionado por: Moran Daniel, email:danielmorga2005@gmail.com, total de productos en la orden: 1</v>
      </c>
      <c r="AS2020" s="65"/>
      <c r="AT2020" s="65" t="str">
        <f>IFERROR(__xludf.DUMMYFUNCTION("""COMPUTED_VALUE"""),"SHOPIFY")</f>
        <v>SHOPIFY</v>
      </c>
      <c r="AU2020" s="65" t="str">
        <f>IFERROR(__xludf.DUMMYFUNCTION("""COMPUTED_VALUE"""),"IMPORTEX EC")</f>
        <v>IMPORTEX EC</v>
      </c>
      <c r="AV2020" s="65" t="str">
        <f>IFERROR(__xludf.DUMMYFUNCTION("""COMPUTED_VALUE"""),"6407757889580")</f>
        <v>6407757889580</v>
      </c>
      <c r="AW2020" s="65">
        <f>IFERROR(__xludf.DUMMYFUNCTION("""COMPUTED_VALUE"""),4950.0)</f>
        <v>4950</v>
      </c>
      <c r="AX2020" s="65"/>
      <c r="AY2020" s="65" t="str">
        <f>IFERROR(__xludf.DUMMYFUNCTION("""COMPUTED_VALUE"""),"13/01/2026")</f>
        <v>13/01/2026</v>
      </c>
      <c r="AZ2020" s="65"/>
      <c r="BA2020" s="65"/>
    </row>
    <row r="2021">
      <c r="A2021" s="65" t="str">
        <f>IFERROR(__xludf.DUMMYFUNCTION("""COMPUTED_VALUE"""),"27-03-2026")</f>
        <v>27-03-2026</v>
      </c>
      <c r="B2021" s="65">
        <f>IFERROR(__xludf.DUMMYFUNCTION("""COMPUTED_VALUE"""),4107692.0)</f>
        <v>4107692</v>
      </c>
      <c r="C2021" s="65" t="str">
        <f>IFERROR(__xludf.DUMMYFUNCTION("""COMPUTED_VALUE"""),"18:32")</f>
        <v>18:32</v>
      </c>
      <c r="D2021" s="65" t="str">
        <f>IFERROR(__xludf.DUMMYFUNCTION("""COMPUTED_VALUE"""),"11-01-2026")</f>
        <v>11-01-2026</v>
      </c>
      <c r="E2021" s="65" t="str">
        <f>IFERROR(__xludf.DUMMYFUNCTION("""COMPUTED_VALUE"""),"Fernando Pavón")</f>
        <v>Fernando Pavón</v>
      </c>
      <c r="F2021" s="65" t="str">
        <f>IFERROR(__xludf.DUMMYFUNCTION("""COMPUTED_VALUE"""),"991645765")</f>
        <v>991645765</v>
      </c>
      <c r="G2021" s="65" t="str">
        <f>IFERROR(__xludf.DUMMYFUNCTION("""COMPUTED_VALUE"""),"fpavone52@gmail.com")</f>
        <v>fpavone52@gmail.com</v>
      </c>
      <c r="H2021" s="65"/>
      <c r="I2021" s="65"/>
      <c r="J2021" s="65" t="str">
        <f>IFERROR(__xludf.DUMMYFUNCTION("""COMPUTED_VALUE"""),"D001216218")</f>
        <v>D001216218</v>
      </c>
      <c r="K2021" s="65" t="str">
        <f>IFERROR(__xludf.DUMMYFUNCTION("""COMPUTED_VALUE"""),"ENTREGADO")</f>
        <v>ENTREGADO</v>
      </c>
      <c r="L2021" s="65" t="str">
        <f>IFERROR(__xludf.DUMMYFUNCTION("""COMPUTED_VALUE"""),"CON RECAUDO")</f>
        <v>CON RECAUDO</v>
      </c>
      <c r="M2021" s="65" t="str">
        <f>IFERROR(__xludf.DUMMYFUNCTION("""COMPUTED_VALUE"""),"PICHINCHA")</f>
        <v>PICHINCHA</v>
      </c>
      <c r="N2021" s="65" t="str">
        <f>IFERROR(__xludf.DUMMYFUNCTION("""COMPUTED_VALUE"""),"QUITO")</f>
        <v>QUITO</v>
      </c>
      <c r="O2021" s="65" t="str">
        <f>IFERROR(__xludf.DUMMYFUNCTION("""COMPUTED_VALUE"""),"Miguel Bedoya Oe5-119 y Agustín Mentoso El Pinar Bajo - Edificio Géneva, Departamento 201, ver timbre.")</f>
        <v>Miguel Bedoya Oe5-119 y Agustín Mentoso El Pinar Bajo - Edificio Géneva, Departamento 201, ver timbre.</v>
      </c>
      <c r="P2021" s="65"/>
      <c r="Q2021" s="65" t="str">
        <f>IFERROR(__xludf.DUMMYFUNCTION("""COMPUTED_VALUE"""),"GINTRACOM")</f>
        <v>GINTRACOM</v>
      </c>
      <c r="R2021" s="65">
        <f>IFERROR(__xludf.DUMMYFUNCTION("""COMPUTED_VALUE"""),22.0)</f>
        <v>22</v>
      </c>
      <c r="S2021" s="65">
        <f>IFERROR(__xludf.DUMMYFUNCTION("""COMPUTED_VALUE"""),10.96)</f>
        <v>10.96</v>
      </c>
      <c r="T2021" s="65">
        <f>IFERROR(__xludf.DUMMYFUNCTION("""COMPUTED_VALUE"""),5.84)</f>
        <v>5.84</v>
      </c>
      <c r="U2021" s="65">
        <f>IFERROR(__xludf.DUMMYFUNCTION("""COMPUTED_VALUE"""),0.0)</f>
        <v>0</v>
      </c>
      <c r="V2021" s="65">
        <f>IFERROR(__xludf.DUMMYFUNCTION("""COMPUTED_VALUE"""),0.0)</f>
        <v>0</v>
      </c>
      <c r="W2021" s="65">
        <f>IFERROR(__xludf.DUMMYFUNCTION("""COMPUTED_VALUE"""),0.0)</f>
        <v>0</v>
      </c>
      <c r="X2021" s="65">
        <f>IFERROR(__xludf.DUMMYFUNCTION("""COMPUTED_VALUE"""),2.6)</f>
        <v>2.6</v>
      </c>
      <c r="Y2021" s="65">
        <f>IFERROR(__xludf.DUMMYFUNCTION("""COMPUTED_VALUE"""),5.2)</f>
        <v>5.2</v>
      </c>
      <c r="Z2021" s="65">
        <f>IFERROR(__xludf.DUMMYFUNCTION("""COMPUTED_VALUE"""),121983.0)</f>
        <v>121983</v>
      </c>
      <c r="AA2021" s="65" t="str">
        <f>IFERROR(__xludf.DUMMYFUNCTION("""COMPUTED_VALUE"""),"PROV-CHLLCF")</f>
        <v>PROV-CHLLCF</v>
      </c>
      <c r="AB2021" s="65"/>
      <c r="AC2021" s="65" t="str">
        <f>IFERROR(__xludf.DUMMYFUNCTION("""COMPUTED_VALUE"""),"CUCHILLO PARA CHEF")</f>
        <v>CUCHILLO PARA CHEF</v>
      </c>
      <c r="AD2021" s="65"/>
      <c r="AE2021" s="65">
        <f>IFERROR(__xludf.DUMMYFUNCTION("""COMPUTED_VALUE"""),2.0)</f>
        <v>2</v>
      </c>
      <c r="AF2021" s="65"/>
      <c r="AG2021" s="65"/>
      <c r="AH2021" s="65"/>
      <c r="AI2021" s="65"/>
      <c r="AJ2021" s="65"/>
      <c r="AK2021" s="65"/>
      <c r="AL2021" s="65"/>
      <c r="AM2021" s="65"/>
      <c r="AN2021" s="65" t="str">
        <f>IFERROR(__xludf.DUMMYFUNCTION("""COMPUTED_VALUE"""),"15:33")</f>
        <v>15:33</v>
      </c>
      <c r="AO2021" s="65" t="str">
        <f>IFERROR(__xludf.DUMMYFUNCTION("""COMPUTED_VALUE"""),"13-01-2026")</f>
        <v>13-01-2026</v>
      </c>
      <c r="AP2021" s="65" t="str">
        <f>IFERROR(__xludf.DUMMYFUNCTION("""COMPUTED_VALUE"""),"ENTREGADA GINTRACOM")</f>
        <v>ENTREGADA GINTRACOM</v>
      </c>
      <c r="AQ2021" s="65" t="str">
        <f>IFERROR(__xludf.DUMMYFUNCTION("""COMPUTED_VALUE"""),"ENTREGADA GINTRACOM")</f>
        <v>ENTREGADA GINTRACOM</v>
      </c>
      <c r="AR2021" s="65"/>
      <c r="AS2021" s="65"/>
      <c r="AT2021" s="65" t="str">
        <f>IFERROR(__xludf.DUMMYFUNCTION("""COMPUTED_VALUE"""),"SHOPIFY")</f>
        <v>SHOPIFY</v>
      </c>
      <c r="AU2021" s="65" t="str">
        <f>IFERROR(__xludf.DUMMYFUNCTION("""COMPUTED_VALUE"""),"IMPORTEX EC")</f>
        <v>IMPORTEX EC</v>
      </c>
      <c r="AV2021" s="65" t="str">
        <f>IFERROR(__xludf.DUMMYFUNCTION("""COMPUTED_VALUE"""),"6407663976492")</f>
        <v>6407663976492</v>
      </c>
      <c r="AW2021" s="65">
        <f>IFERROR(__xludf.DUMMYFUNCTION("""COMPUTED_VALUE"""),4949.0)</f>
        <v>4949</v>
      </c>
      <c r="AX2021" s="65"/>
      <c r="AY2021" s="65" t="str">
        <f>IFERROR(__xludf.DUMMYFUNCTION("""COMPUTED_VALUE"""),"12/01/2026")</f>
        <v>12/01/2026</v>
      </c>
      <c r="AZ2021" s="65"/>
      <c r="BA2021" s="65"/>
    </row>
    <row r="2022">
      <c r="A2022" s="65" t="str">
        <f>IFERROR(__xludf.DUMMYFUNCTION("""COMPUTED_VALUE"""),"27-03-2026")</f>
        <v>27-03-2026</v>
      </c>
      <c r="B2022" s="65">
        <f>IFERROR(__xludf.DUMMYFUNCTION("""COMPUTED_VALUE"""),4107474.0)</f>
        <v>4107474</v>
      </c>
      <c r="C2022" s="65" t="str">
        <f>IFERROR(__xludf.DUMMYFUNCTION("""COMPUTED_VALUE"""),"18:13")</f>
        <v>18:13</v>
      </c>
      <c r="D2022" s="65" t="str">
        <f>IFERROR(__xludf.DUMMYFUNCTION("""COMPUTED_VALUE"""),"11-01-2026")</f>
        <v>11-01-2026</v>
      </c>
      <c r="E2022" s="65" t="str">
        <f>IFERROR(__xludf.DUMMYFUNCTION("""COMPUTED_VALUE"""),"Simon Morales Zavala")</f>
        <v>Simon Morales Zavala</v>
      </c>
      <c r="F2022" s="65" t="str">
        <f>IFERROR(__xludf.DUMMYFUNCTION("""COMPUTED_VALUE"""),"993867058")</f>
        <v>993867058</v>
      </c>
      <c r="G2022" s="65" t="str">
        <f>IFERROR(__xludf.DUMMYFUNCTION("""COMPUTED_VALUE"""),"simonlmz66@yahoo.es")</f>
        <v>simonlmz66@yahoo.es</v>
      </c>
      <c r="H2022" s="65"/>
      <c r="I2022" s="65"/>
      <c r="J2022" s="65" t="str">
        <f>IFERROR(__xludf.DUMMYFUNCTION("""COMPUTED_VALUE"""),"D001218386")</f>
        <v>D001218386</v>
      </c>
      <c r="K2022" s="65" t="str">
        <f>IFERROR(__xludf.DUMMYFUNCTION("""COMPUTED_VALUE"""),"ENTREGADO")</f>
        <v>ENTREGADO</v>
      </c>
      <c r="L2022" s="65" t="str">
        <f>IFERROR(__xludf.DUMMYFUNCTION("""COMPUTED_VALUE"""),"CON RECAUDO")</f>
        <v>CON RECAUDO</v>
      </c>
      <c r="M2022" s="65" t="str">
        <f>IFERROR(__xludf.DUMMYFUNCTION("""COMPUTED_VALUE"""),"GUAYAS")</f>
        <v>GUAYAS</v>
      </c>
      <c r="N2022" s="65" t="str">
        <f>IFERROR(__xludf.DUMMYFUNCTION("""COMPUTED_VALUE"""),"GUAYAQUIL")</f>
        <v>GUAYAQUIL</v>
      </c>
      <c r="O2022" s="65" t="str">
        <f>IFERROR(__xludf.DUMMYFUNCTION("""COMPUTED_VALUE"""),"Sauces 5 MZ208 VILLA 1 Frente a un parque, casa de tres plantas -")</f>
        <v>Sauces 5 MZ208 VILLA 1 Frente a un parque, casa de tres plantas -</v>
      </c>
      <c r="P2022" s="65"/>
      <c r="Q2022" s="65" t="str">
        <f>IFERROR(__xludf.DUMMYFUNCTION("""COMPUTED_VALUE"""),"GINTRACOM")</f>
        <v>GINTRACOM</v>
      </c>
      <c r="R2022" s="65">
        <f>IFERROR(__xludf.DUMMYFUNCTION("""COMPUTED_VALUE"""),22.0)</f>
        <v>22</v>
      </c>
      <c r="S2022" s="65">
        <f>IFERROR(__xludf.DUMMYFUNCTION("""COMPUTED_VALUE"""),12.57)</f>
        <v>12.57</v>
      </c>
      <c r="T2022" s="65">
        <f>IFERROR(__xludf.DUMMYFUNCTION("""COMPUTED_VALUE"""),4.23)</f>
        <v>4.23</v>
      </c>
      <c r="U2022" s="65">
        <f>IFERROR(__xludf.DUMMYFUNCTION("""COMPUTED_VALUE"""),0.0)</f>
        <v>0</v>
      </c>
      <c r="V2022" s="65">
        <f>IFERROR(__xludf.DUMMYFUNCTION("""COMPUTED_VALUE"""),0.0)</f>
        <v>0</v>
      </c>
      <c r="W2022" s="65">
        <f>IFERROR(__xludf.DUMMYFUNCTION("""COMPUTED_VALUE"""),0.0)</f>
        <v>0</v>
      </c>
      <c r="X2022" s="65">
        <f>IFERROR(__xludf.DUMMYFUNCTION("""COMPUTED_VALUE"""),2.6)</f>
        <v>2.6</v>
      </c>
      <c r="Y2022" s="65">
        <f>IFERROR(__xludf.DUMMYFUNCTION("""COMPUTED_VALUE"""),5.2)</f>
        <v>5.2</v>
      </c>
      <c r="Z2022" s="65">
        <f>IFERROR(__xludf.DUMMYFUNCTION("""COMPUTED_VALUE"""),121983.0)</f>
        <v>121983</v>
      </c>
      <c r="AA2022" s="65" t="str">
        <f>IFERROR(__xludf.DUMMYFUNCTION("""COMPUTED_VALUE"""),"PROV-CHLLCF")</f>
        <v>PROV-CHLLCF</v>
      </c>
      <c r="AB2022" s="65"/>
      <c r="AC2022" s="65" t="str">
        <f>IFERROR(__xludf.DUMMYFUNCTION("""COMPUTED_VALUE"""),"CUCHILLO PARA CHEF")</f>
        <v>CUCHILLO PARA CHEF</v>
      </c>
      <c r="AD2022" s="65"/>
      <c r="AE2022" s="65">
        <f>IFERROR(__xludf.DUMMYFUNCTION("""COMPUTED_VALUE"""),2.0)</f>
        <v>2</v>
      </c>
      <c r="AF2022" s="65"/>
      <c r="AG2022" s="65"/>
      <c r="AH2022" s="65"/>
      <c r="AI2022" s="65"/>
      <c r="AJ2022" s="65"/>
      <c r="AK2022" s="65"/>
      <c r="AL2022" s="65"/>
      <c r="AM2022" s="65"/>
      <c r="AN2022" s="65" t="str">
        <f>IFERROR(__xludf.DUMMYFUNCTION("""COMPUTED_VALUE"""),"12:47")</f>
        <v>12:47</v>
      </c>
      <c r="AO2022" s="65" t="str">
        <f>IFERROR(__xludf.DUMMYFUNCTION("""COMPUTED_VALUE"""),"14-01-2026")</f>
        <v>14-01-2026</v>
      </c>
      <c r="AP2022" s="65" t="str">
        <f>IFERROR(__xludf.DUMMYFUNCTION("""COMPUTED_VALUE"""),"ENTREGADA GINTRACOM")</f>
        <v>ENTREGADA GINTRACOM</v>
      </c>
      <c r="AQ2022" s="65" t="str">
        <f>IFERROR(__xludf.DUMMYFUNCTION("""COMPUTED_VALUE"""),"ENTREGADA GINTRACOM")</f>
        <v>ENTREGADA GINTRACOM</v>
      </c>
      <c r="AR2022" s="65"/>
      <c r="AS2022" s="65"/>
      <c r="AT2022" s="65" t="str">
        <f>IFERROR(__xludf.DUMMYFUNCTION("""COMPUTED_VALUE"""),"SHOPIFY")</f>
        <v>SHOPIFY</v>
      </c>
      <c r="AU2022" s="65" t="str">
        <f>IFERROR(__xludf.DUMMYFUNCTION("""COMPUTED_VALUE"""),"IMPORTEX EC")</f>
        <v>IMPORTEX EC</v>
      </c>
      <c r="AV2022" s="65" t="str">
        <f>IFERROR(__xludf.DUMMYFUNCTION("""COMPUTED_VALUE"""),"6407626424364")</f>
        <v>6407626424364</v>
      </c>
      <c r="AW2022" s="65">
        <f>IFERROR(__xludf.DUMMYFUNCTION("""COMPUTED_VALUE"""),4948.0)</f>
        <v>4948</v>
      </c>
      <c r="AX2022" s="65"/>
      <c r="AY2022" s="65" t="str">
        <f>IFERROR(__xludf.DUMMYFUNCTION("""COMPUTED_VALUE"""),"13/01/2026")</f>
        <v>13/01/2026</v>
      </c>
      <c r="AZ2022" s="65"/>
      <c r="BA2022" s="65"/>
    </row>
    <row r="2023">
      <c r="A2023" s="65" t="str">
        <f>IFERROR(__xludf.DUMMYFUNCTION("""COMPUTED_VALUE"""),"27-03-2026")</f>
        <v>27-03-2026</v>
      </c>
      <c r="B2023" s="65">
        <f>IFERROR(__xludf.DUMMYFUNCTION("""COMPUTED_VALUE"""),4107056.0)</f>
        <v>4107056</v>
      </c>
      <c r="C2023" s="65" t="str">
        <f>IFERROR(__xludf.DUMMYFUNCTION("""COMPUTED_VALUE"""),"17:36")</f>
        <v>17:36</v>
      </c>
      <c r="D2023" s="65" t="str">
        <f>IFERROR(__xludf.DUMMYFUNCTION("""COMPUTED_VALUE"""),"11-01-2026")</f>
        <v>11-01-2026</v>
      </c>
      <c r="E2023" s="65" t="str">
        <f>IFERROR(__xludf.DUMMYFUNCTION("""COMPUTED_VALUE"""),"Víctor Oto")</f>
        <v>Víctor Oto</v>
      </c>
      <c r="F2023" s="65" t="str">
        <f>IFERROR(__xludf.DUMMYFUNCTION("""COMPUTED_VALUE"""),"994164786")</f>
        <v>994164786</v>
      </c>
      <c r="G2023" s="65" t="str">
        <f>IFERROR(__xludf.DUMMYFUNCTION("""COMPUTED_VALUE"""),"industrias_oto@hitmail.com")</f>
        <v>industrias_oto@hitmail.com</v>
      </c>
      <c r="H2023" s="65"/>
      <c r="I2023" s="65"/>
      <c r="J2023" s="65" t="str">
        <f>IFERROR(__xludf.DUMMYFUNCTION("""COMPUTED_VALUE"""),"D001218388")</f>
        <v>D001218388</v>
      </c>
      <c r="K2023" s="65" t="str">
        <f>IFERROR(__xludf.DUMMYFUNCTION("""COMPUTED_VALUE"""),"ENTREGADO")</f>
        <v>ENTREGADO</v>
      </c>
      <c r="L2023" s="65" t="str">
        <f>IFERROR(__xludf.DUMMYFUNCTION("""COMPUTED_VALUE"""),"CON RECAUDO")</f>
        <v>CON RECAUDO</v>
      </c>
      <c r="M2023" s="65" t="str">
        <f>IFERROR(__xludf.DUMMYFUNCTION("""COMPUTED_VALUE"""),"PICHINCHA")</f>
        <v>PICHINCHA</v>
      </c>
      <c r="N2023" s="65" t="str">
        <f>IFERROR(__xludf.DUMMYFUNCTION("""COMPUTED_VALUE"""),"QUITO")</f>
        <v>QUITO</v>
      </c>
      <c r="O2023" s="65" t="str">
        <f>IFERROR(__xludf.DUMMYFUNCTION("""COMPUTED_VALUE"""),"Jacinto de Evia N60-190 y Flavio Alfaro San Carlos - Diagonal al restaurante la orquídea")</f>
        <v>Jacinto de Evia N60-190 y Flavio Alfaro San Carlos - Diagonal al restaurante la orquídea</v>
      </c>
      <c r="P2023" s="65"/>
      <c r="Q2023" s="65" t="str">
        <f>IFERROR(__xludf.DUMMYFUNCTION("""COMPUTED_VALUE"""),"GINTRACOM")</f>
        <v>GINTRACOM</v>
      </c>
      <c r="R2023" s="65">
        <f>IFERROR(__xludf.DUMMYFUNCTION("""COMPUTED_VALUE"""),32.0)</f>
        <v>32</v>
      </c>
      <c r="S2023" s="65">
        <f>IFERROR(__xludf.DUMMYFUNCTION("""COMPUTED_VALUE"""),15.36)</f>
        <v>15.36</v>
      </c>
      <c r="T2023" s="65">
        <f>IFERROR(__xludf.DUMMYFUNCTION("""COMPUTED_VALUE"""),6.24)</f>
        <v>6.24</v>
      </c>
      <c r="U2023" s="65">
        <f>IFERROR(__xludf.DUMMYFUNCTION("""COMPUTED_VALUE"""),0.0)</f>
        <v>0</v>
      </c>
      <c r="V2023" s="65">
        <f>IFERROR(__xludf.DUMMYFUNCTION("""COMPUTED_VALUE"""),0.0)</f>
        <v>0</v>
      </c>
      <c r="W2023" s="65">
        <f>IFERROR(__xludf.DUMMYFUNCTION("""COMPUTED_VALUE"""),0.0)</f>
        <v>0</v>
      </c>
      <c r="X2023" s="65">
        <f>IFERROR(__xludf.DUMMYFUNCTION("""COMPUTED_VALUE"""),2.6)</f>
        <v>2.6</v>
      </c>
      <c r="Y2023" s="65">
        <f>IFERROR(__xludf.DUMMYFUNCTION("""COMPUTED_VALUE"""),10.4)</f>
        <v>10.4</v>
      </c>
      <c r="Z2023" s="65">
        <f>IFERROR(__xludf.DUMMYFUNCTION("""COMPUTED_VALUE"""),121983.0)</f>
        <v>121983</v>
      </c>
      <c r="AA2023" s="65" t="str">
        <f>IFERROR(__xludf.DUMMYFUNCTION("""COMPUTED_VALUE"""),"PROV-CHLLCF")</f>
        <v>PROV-CHLLCF</v>
      </c>
      <c r="AB2023" s="65"/>
      <c r="AC2023" s="65" t="str">
        <f>IFERROR(__xludf.DUMMYFUNCTION("""COMPUTED_VALUE"""),"CUCHILLO PARA CHEF")</f>
        <v>CUCHILLO PARA CHEF</v>
      </c>
      <c r="AD2023" s="65"/>
      <c r="AE2023" s="65">
        <f>IFERROR(__xludf.DUMMYFUNCTION("""COMPUTED_VALUE"""),4.0)</f>
        <v>4</v>
      </c>
      <c r="AF2023" s="65"/>
      <c r="AG2023" s="65"/>
      <c r="AH2023" s="65"/>
      <c r="AI2023" s="65"/>
      <c r="AJ2023" s="65"/>
      <c r="AK2023" s="65"/>
      <c r="AL2023" s="65"/>
      <c r="AM2023" s="65"/>
      <c r="AN2023" s="65" t="str">
        <f>IFERROR(__xludf.DUMMYFUNCTION("""COMPUTED_VALUE"""),"12:44")</f>
        <v>12:44</v>
      </c>
      <c r="AO2023" s="65" t="str">
        <f>IFERROR(__xludf.DUMMYFUNCTION("""COMPUTED_VALUE"""),"14-01-2026")</f>
        <v>14-01-2026</v>
      </c>
      <c r="AP2023" s="65" t="str">
        <f>IFERROR(__xludf.DUMMYFUNCTION("""COMPUTED_VALUE"""),"ENTREGADA GINTRACOM")</f>
        <v>ENTREGADA GINTRACOM</v>
      </c>
      <c r="AQ2023" s="65" t="str">
        <f>IFERROR(__xludf.DUMMYFUNCTION("""COMPUTED_VALUE"""),"ENTREGADA GINTRACOM")</f>
        <v>ENTREGADA GINTRACOM</v>
      </c>
      <c r="AR2023" s="65"/>
      <c r="AS2023" s="65"/>
      <c r="AT2023" s="65" t="str">
        <f>IFERROR(__xludf.DUMMYFUNCTION("""COMPUTED_VALUE"""),"SHOPIFY")</f>
        <v>SHOPIFY</v>
      </c>
      <c r="AU2023" s="65" t="str">
        <f>IFERROR(__xludf.DUMMYFUNCTION("""COMPUTED_VALUE"""),"IMPORTEX EC")</f>
        <v>IMPORTEX EC</v>
      </c>
      <c r="AV2023" s="65" t="str">
        <f>IFERROR(__xludf.DUMMYFUNCTION("""COMPUTED_VALUE"""),"6407543455788")</f>
        <v>6407543455788</v>
      </c>
      <c r="AW2023" s="65">
        <f>IFERROR(__xludf.DUMMYFUNCTION("""COMPUTED_VALUE"""),4947.0)</f>
        <v>4947</v>
      </c>
      <c r="AX2023" s="65"/>
      <c r="AY2023" s="65" t="str">
        <f>IFERROR(__xludf.DUMMYFUNCTION("""COMPUTED_VALUE"""),"13/01/2026")</f>
        <v>13/01/2026</v>
      </c>
      <c r="AZ2023" s="65"/>
      <c r="BA2023" s="65"/>
    </row>
    <row r="2024">
      <c r="A2024" s="65" t="str">
        <f>IFERROR(__xludf.DUMMYFUNCTION("""COMPUTED_VALUE"""),"27-03-2026")</f>
        <v>27-03-2026</v>
      </c>
      <c r="B2024" s="65">
        <f>IFERROR(__xludf.DUMMYFUNCTION("""COMPUTED_VALUE"""),4106967.0)</f>
        <v>4106967</v>
      </c>
      <c r="C2024" s="65" t="str">
        <f>IFERROR(__xludf.DUMMYFUNCTION("""COMPUTED_VALUE"""),"17:29")</f>
        <v>17:29</v>
      </c>
      <c r="D2024" s="65" t="str">
        <f>IFERROR(__xludf.DUMMYFUNCTION("""COMPUTED_VALUE"""),"11-01-2026")</f>
        <v>11-01-2026</v>
      </c>
      <c r="E2024" s="65" t="str">
        <f>IFERROR(__xludf.DUMMYFUNCTION("""COMPUTED_VALUE"""),"Xavier Carpio")</f>
        <v>Xavier Carpio</v>
      </c>
      <c r="F2024" s="65" t="str">
        <f>IFERROR(__xludf.DUMMYFUNCTION("""COMPUTED_VALUE"""),"987614700")</f>
        <v>987614700</v>
      </c>
      <c r="G2024" s="65" t="str">
        <f>IFERROR(__xludf.DUMMYFUNCTION("""COMPUTED_VALUE"""),"xaviercarpiog@gmail.com")</f>
        <v>xaviercarpiog@gmail.com</v>
      </c>
      <c r="H2024" s="65"/>
      <c r="I2024" s="65"/>
      <c r="J2024" s="65" t="str">
        <f>IFERROR(__xludf.DUMMYFUNCTION("""COMPUTED_VALUE"""),"D001216220")</f>
        <v>D001216220</v>
      </c>
      <c r="K2024" s="65" t="str">
        <f>IFERROR(__xludf.DUMMYFUNCTION("""COMPUTED_VALUE"""),"ENTREGADO")</f>
        <v>ENTREGADO</v>
      </c>
      <c r="L2024" s="65" t="str">
        <f>IFERROR(__xludf.DUMMYFUNCTION("""COMPUTED_VALUE"""),"CON RECAUDO")</f>
        <v>CON RECAUDO</v>
      </c>
      <c r="M2024" s="65" t="str">
        <f>IFERROR(__xludf.DUMMYFUNCTION("""COMPUTED_VALUE"""),"AZUAY")</f>
        <v>AZUAY</v>
      </c>
      <c r="N2024" s="65" t="str">
        <f>IFERROR(__xludf.DUMMYFUNCTION("""COMPUTED_VALUE"""),"CUENCA")</f>
        <v>CUENCA</v>
      </c>
      <c r="O2024" s="65" t="str">
        <f>IFERROR(__xludf.DUMMYFUNCTION("""COMPUTED_VALUE"""),"Calle Sauces 3_92 y Av. Los Cerezos  - Agrocalidad")</f>
        <v>Calle Sauces 3_92 y Av. Los Cerezos  - Agrocalidad</v>
      </c>
      <c r="P2024" s="65"/>
      <c r="Q2024" s="65" t="str">
        <f>IFERROR(__xludf.DUMMYFUNCTION("""COMPUTED_VALUE"""),"GINTRACOM")</f>
        <v>GINTRACOM</v>
      </c>
      <c r="R2024" s="65">
        <f>IFERROR(__xludf.DUMMYFUNCTION("""COMPUTED_VALUE"""),22.0)</f>
        <v>22</v>
      </c>
      <c r="S2024" s="65">
        <f>IFERROR(__xludf.DUMMYFUNCTION("""COMPUTED_VALUE"""),10.96)</f>
        <v>10.96</v>
      </c>
      <c r="T2024" s="65">
        <f>IFERROR(__xludf.DUMMYFUNCTION("""COMPUTED_VALUE"""),5.84)</f>
        <v>5.84</v>
      </c>
      <c r="U2024" s="65">
        <f>IFERROR(__xludf.DUMMYFUNCTION("""COMPUTED_VALUE"""),0.0)</f>
        <v>0</v>
      </c>
      <c r="V2024" s="65">
        <f>IFERROR(__xludf.DUMMYFUNCTION("""COMPUTED_VALUE"""),0.0)</f>
        <v>0</v>
      </c>
      <c r="W2024" s="65">
        <f>IFERROR(__xludf.DUMMYFUNCTION("""COMPUTED_VALUE"""),0.0)</f>
        <v>0</v>
      </c>
      <c r="X2024" s="65">
        <f>IFERROR(__xludf.DUMMYFUNCTION("""COMPUTED_VALUE"""),2.6)</f>
        <v>2.6</v>
      </c>
      <c r="Y2024" s="65">
        <f>IFERROR(__xludf.DUMMYFUNCTION("""COMPUTED_VALUE"""),5.2)</f>
        <v>5.2</v>
      </c>
      <c r="Z2024" s="65">
        <f>IFERROR(__xludf.DUMMYFUNCTION("""COMPUTED_VALUE"""),121983.0)</f>
        <v>121983</v>
      </c>
      <c r="AA2024" s="65" t="str">
        <f>IFERROR(__xludf.DUMMYFUNCTION("""COMPUTED_VALUE"""),"PROV-CHLLCF")</f>
        <v>PROV-CHLLCF</v>
      </c>
      <c r="AB2024" s="65"/>
      <c r="AC2024" s="65" t="str">
        <f>IFERROR(__xludf.DUMMYFUNCTION("""COMPUTED_VALUE"""),"CUCHILLO PARA CHEF")</f>
        <v>CUCHILLO PARA CHEF</v>
      </c>
      <c r="AD2024" s="65"/>
      <c r="AE2024" s="65">
        <f>IFERROR(__xludf.DUMMYFUNCTION("""COMPUTED_VALUE"""),2.0)</f>
        <v>2</v>
      </c>
      <c r="AF2024" s="65" t="str">
        <f>IFERROR(__xludf.DUMMYFUNCTION("""COMPUTED_VALUE"""),"DESTINATARIO NO SE ENCUENTRA EN LUGAR DE ENTREGA.")</f>
        <v>DESTINATARIO NO SE ENCUENTRA EN LUGAR DE ENTREGA.</v>
      </c>
      <c r="AG2024" s="65" t="str">
        <f>IFERROR(__xludf.DUMMYFUNCTION("""COMPUTED_VALUE"""),"NO")</f>
        <v>NO</v>
      </c>
      <c r="AH2024" s="65" t="str">
        <f>IFERROR(__xludf.DUMMYFUNCTION("""COMPUTED_VALUE"""),"16:27")</f>
        <v>16:27</v>
      </c>
      <c r="AI2024" s="65" t="str">
        <f>IFERROR(__xludf.DUMMYFUNCTION("""COMPUTED_VALUE"""),"22-01-2026")</f>
        <v>22-01-2026</v>
      </c>
      <c r="AJ2024" s="65"/>
      <c r="AK2024" s="65"/>
      <c r="AL2024" s="65"/>
      <c r="AM2024" s="65"/>
      <c r="AN2024" s="65" t="str">
        <f>IFERROR(__xludf.DUMMYFUNCTION("""COMPUTED_VALUE"""),"16:08")</f>
        <v>16:08</v>
      </c>
      <c r="AO2024" s="65" t="str">
        <f>IFERROR(__xludf.DUMMYFUNCTION("""COMPUTED_VALUE"""),"23-01-2026")</f>
        <v>23-01-2026</v>
      </c>
      <c r="AP2024" s="65" t="str">
        <f>IFERROR(__xludf.DUMMYFUNCTION("""COMPUTED_VALUE"""),"ENTREGADA GINTRACOM")</f>
        <v>ENTREGADA GINTRACOM</v>
      </c>
      <c r="AQ2024" s="65" t="str">
        <f>IFERROR(__xludf.DUMMYFUNCTION("""COMPUTED_VALUE"""),"ENTREGADA GINTRACOM")</f>
        <v>ENTREGADA GINTRACOM</v>
      </c>
      <c r="AR2024" s="65"/>
      <c r="AS2024" s="65"/>
      <c r="AT2024" s="65" t="str">
        <f>IFERROR(__xludf.DUMMYFUNCTION("""COMPUTED_VALUE"""),"SHOPIFY")</f>
        <v>SHOPIFY</v>
      </c>
      <c r="AU2024" s="65" t="str">
        <f>IFERROR(__xludf.DUMMYFUNCTION("""COMPUTED_VALUE"""),"IMPORTEX EC")</f>
        <v>IMPORTEX EC</v>
      </c>
      <c r="AV2024" s="65" t="str">
        <f>IFERROR(__xludf.DUMMYFUNCTION("""COMPUTED_VALUE"""),"6407526842412")</f>
        <v>6407526842412</v>
      </c>
      <c r="AW2024" s="65">
        <f>IFERROR(__xludf.DUMMYFUNCTION("""COMPUTED_VALUE"""),4946.0)</f>
        <v>4946</v>
      </c>
      <c r="AX2024" s="65"/>
      <c r="AY2024" s="65" t="str">
        <f>IFERROR(__xludf.DUMMYFUNCTION("""COMPUTED_VALUE"""),"12/01/2026")</f>
        <v>12/01/2026</v>
      </c>
      <c r="AZ2024" s="65"/>
      <c r="BA2024" s="65"/>
    </row>
    <row r="2025">
      <c r="A2025" s="65" t="str">
        <f>IFERROR(__xludf.DUMMYFUNCTION("""COMPUTED_VALUE"""),"27-03-2026")</f>
        <v>27-03-2026</v>
      </c>
      <c r="B2025" s="65">
        <f>IFERROR(__xludf.DUMMYFUNCTION("""COMPUTED_VALUE"""),4106956.0)</f>
        <v>4106956</v>
      </c>
      <c r="C2025" s="65" t="str">
        <f>IFERROR(__xludf.DUMMYFUNCTION("""COMPUTED_VALUE"""),"17:28")</f>
        <v>17:28</v>
      </c>
      <c r="D2025" s="65" t="str">
        <f>IFERROR(__xludf.DUMMYFUNCTION("""COMPUTED_VALUE"""),"11-01-2026")</f>
        <v>11-01-2026</v>
      </c>
      <c r="E2025" s="65" t="str">
        <f>IFERROR(__xludf.DUMMYFUNCTION("""COMPUTED_VALUE"""),"Carlos Jiménez")</f>
        <v>Carlos Jiménez</v>
      </c>
      <c r="F2025" s="65" t="str">
        <f>IFERROR(__xludf.DUMMYFUNCTION("""COMPUTED_VALUE"""),"959686846")</f>
        <v>959686846</v>
      </c>
      <c r="G2025" s="65" t="str">
        <f>IFERROR(__xludf.DUMMYFUNCTION("""COMPUTED_VALUE"""),"carlosjimenez@gimail.com")</f>
        <v>carlosjimenez@gimail.com</v>
      </c>
      <c r="H2025" s="65"/>
      <c r="I2025" s="65"/>
      <c r="J2025" s="65"/>
      <c r="K2025" s="65" t="str">
        <f>IFERROR(__xludf.DUMMYFUNCTION("""COMPUTED_VALUE"""),"CANCELADO")</f>
        <v>CANCELADO</v>
      </c>
      <c r="L2025" s="65" t="str">
        <f>IFERROR(__xludf.DUMMYFUNCTION("""COMPUTED_VALUE"""),"CON RECAUDO")</f>
        <v>CON RECAUDO</v>
      </c>
      <c r="M2025" s="65" t="str">
        <f>IFERROR(__xludf.DUMMYFUNCTION("""COMPUTED_VALUE"""),"GUAYAS")</f>
        <v>GUAYAS</v>
      </c>
      <c r="N2025" s="65" t="str">
        <f>IFERROR(__xludf.DUMMYFUNCTION("""COMPUTED_VALUE"""),"DURAN")</f>
        <v>DURAN</v>
      </c>
      <c r="O2025" s="65" t="str">
        <f>IFERROR(__xludf.DUMMYFUNCTION("""COMPUTED_VALUE"""),"Duran Servientrega ciudadela panorama - UPC frente a la agencia")</f>
        <v>Duran Servientrega ciudadela panorama - UPC frente a la agencia</v>
      </c>
      <c r="P2025" s="65"/>
      <c r="Q2025" s="65" t="str">
        <f>IFERROR(__xludf.DUMMYFUNCTION("""COMPUTED_VALUE"""),"GINTRACOM")</f>
        <v>GINTRACOM</v>
      </c>
      <c r="R2025" s="65">
        <f>IFERROR(__xludf.DUMMYFUNCTION("""COMPUTED_VALUE"""),20.0)</f>
        <v>20</v>
      </c>
      <c r="S2025" s="65"/>
      <c r="T2025" s="65">
        <f>IFERROR(__xludf.DUMMYFUNCTION("""COMPUTED_VALUE"""),5.18)</f>
        <v>5.18</v>
      </c>
      <c r="U2025" s="65">
        <f>IFERROR(__xludf.DUMMYFUNCTION("""COMPUTED_VALUE"""),0.0)</f>
        <v>0</v>
      </c>
      <c r="V2025" s="65">
        <f>IFERROR(__xludf.DUMMYFUNCTION("""COMPUTED_VALUE"""),0.0)</f>
        <v>0</v>
      </c>
      <c r="W2025" s="65">
        <f>IFERROR(__xludf.DUMMYFUNCTION("""COMPUTED_VALUE"""),0.0)</f>
        <v>0</v>
      </c>
      <c r="X2025" s="65">
        <f>IFERROR(__xludf.DUMMYFUNCTION("""COMPUTED_VALUE"""),2.79)</f>
        <v>2.79</v>
      </c>
      <c r="Y2025" s="65">
        <f>IFERROR(__xludf.DUMMYFUNCTION("""COMPUTED_VALUE"""),2.79)</f>
        <v>2.79</v>
      </c>
      <c r="Z2025" s="65">
        <f>IFERROR(__xludf.DUMMYFUNCTION("""COMPUTED_VALUE"""),120732.0)</f>
        <v>120732</v>
      </c>
      <c r="AA2025" s="65" t="str">
        <f>IFERROR(__xludf.DUMMYFUNCTION("""COMPUTED_VALUE"""),"PROV-LMPVT")</f>
        <v>PROV-LMPVT</v>
      </c>
      <c r="AB2025" s="65"/>
      <c r="AC2025" s="65" t="str">
        <f>IFERROR(__xludf.DUMMYFUNCTION("""COMPUTED_VALUE"""),"LIMPIADOR DE PARABRISAS Y VENTANAS")</f>
        <v>LIMPIADOR DE PARABRISAS Y VENTANAS</v>
      </c>
      <c r="AD2025" s="65"/>
      <c r="AE2025" s="65">
        <f>IFERROR(__xludf.DUMMYFUNCTION("""COMPUTED_VALUE"""),1.0)</f>
        <v>1</v>
      </c>
      <c r="AF2025" s="65"/>
      <c r="AG2025" s="65"/>
      <c r="AH2025" s="65"/>
      <c r="AI2025" s="65"/>
      <c r="AJ2025" s="65"/>
      <c r="AK2025" s="65"/>
      <c r="AL2025" s="65"/>
      <c r="AM2025" s="65"/>
      <c r="AN2025" s="65"/>
      <c r="AO2025" s="65"/>
      <c r="AP2025" s="65"/>
      <c r="AQ2025" s="65"/>
      <c r="AR2025" s="65"/>
      <c r="AS2025" s="65"/>
      <c r="AT2025" s="65" t="str">
        <f>IFERROR(__xludf.DUMMYFUNCTION("""COMPUTED_VALUE"""),"SHOPIFY")</f>
        <v>SHOPIFY</v>
      </c>
      <c r="AU2025" s="65" t="str">
        <f>IFERROR(__xludf.DUMMYFUNCTION("""COMPUTED_VALUE"""),"IMPORTEX EC")</f>
        <v>IMPORTEX EC</v>
      </c>
      <c r="AV2025" s="65" t="str">
        <f>IFERROR(__xludf.DUMMYFUNCTION("""COMPUTED_VALUE"""),"6407523237932")</f>
        <v>6407523237932</v>
      </c>
      <c r="AW2025" s="65">
        <f>IFERROR(__xludf.DUMMYFUNCTION("""COMPUTED_VALUE"""),4945.0)</f>
        <v>4945</v>
      </c>
      <c r="AX2025" s="65"/>
      <c r="AY2025" s="65"/>
      <c r="AZ2025" s="65"/>
      <c r="BA2025" s="65"/>
    </row>
    <row r="2026">
      <c r="A2026" s="65" t="str">
        <f>IFERROR(__xludf.DUMMYFUNCTION("""COMPUTED_VALUE"""),"27-03-2026")</f>
        <v>27-03-2026</v>
      </c>
      <c r="B2026" s="65">
        <f>IFERROR(__xludf.DUMMYFUNCTION("""COMPUTED_VALUE"""),4106885.0)</f>
        <v>4106885</v>
      </c>
      <c r="C2026" s="65" t="str">
        <f>IFERROR(__xludf.DUMMYFUNCTION("""COMPUTED_VALUE"""),"17:21")</f>
        <v>17:21</v>
      </c>
      <c r="D2026" s="65" t="str">
        <f>IFERROR(__xludf.DUMMYFUNCTION("""COMPUTED_VALUE"""),"11-01-2026")</f>
        <v>11-01-2026</v>
      </c>
      <c r="E2026" s="65" t="str">
        <f>IFERROR(__xludf.DUMMYFUNCTION("""COMPUTED_VALUE"""),"Fernando Naula")</f>
        <v>Fernando Naula</v>
      </c>
      <c r="F2026" s="65" t="str">
        <f>IFERROR(__xludf.DUMMYFUNCTION("""COMPUTED_VALUE"""),"980756239")</f>
        <v>980756239</v>
      </c>
      <c r="G2026" s="65" t="str">
        <f>IFERROR(__xludf.DUMMYFUNCTION("""COMPUTED_VALUE"""),"naulafer@hotmail.com")</f>
        <v>naulafer@hotmail.com</v>
      </c>
      <c r="H2026" s="65"/>
      <c r="I2026" s="65"/>
      <c r="J2026" s="65" t="str">
        <f>IFERROR(__xludf.DUMMYFUNCTION("""COMPUTED_VALUE"""),"D001218389")</f>
        <v>D001218389</v>
      </c>
      <c r="K2026" s="65" t="str">
        <f>IFERROR(__xludf.DUMMYFUNCTION("""COMPUTED_VALUE"""),"DEVOLUCION")</f>
        <v>DEVOLUCION</v>
      </c>
      <c r="L2026" s="65" t="str">
        <f>IFERROR(__xludf.DUMMYFUNCTION("""COMPUTED_VALUE"""),"CON RECAUDO")</f>
        <v>CON RECAUDO</v>
      </c>
      <c r="M2026" s="65" t="str">
        <f>IFERROR(__xludf.DUMMYFUNCTION("""COMPUTED_VALUE"""),"CAÑAR")</f>
        <v>CAÑAR</v>
      </c>
      <c r="N2026" s="65" t="str">
        <f>IFERROR(__xludf.DUMMYFUNCTION("""COMPUTED_VALUE"""),"CAÑAR")</f>
        <v>CAÑAR</v>
      </c>
      <c r="O2026" s="65" t="str">
        <f>IFERROR(__xludf.DUMMYFUNCTION("""COMPUTED_VALUE"""),"Calle Carlos Moncayo y Av Cristóbal Colón A pocos pasos del canchon de la policia -")</f>
        <v>Calle Carlos Moncayo y Av Cristóbal Colón A pocos pasos del canchon de la policia -</v>
      </c>
      <c r="P2026" s="65"/>
      <c r="Q2026" s="65" t="str">
        <f>IFERROR(__xludf.DUMMYFUNCTION("""COMPUTED_VALUE"""),"GINTRACOM")</f>
        <v>GINTRACOM</v>
      </c>
      <c r="R2026" s="65">
        <f>IFERROR(__xludf.DUMMYFUNCTION("""COMPUTED_VALUE"""),22.0)</f>
        <v>22</v>
      </c>
      <c r="S2026" s="65"/>
      <c r="T2026" s="65">
        <f>IFERROR(__xludf.DUMMYFUNCTION("""COMPUTED_VALUE"""),5.84)</f>
        <v>5.84</v>
      </c>
      <c r="U2026" s="65">
        <f>IFERROR(__xludf.DUMMYFUNCTION("""COMPUTED_VALUE"""),0.0)</f>
        <v>0</v>
      </c>
      <c r="V2026" s="65">
        <f>IFERROR(__xludf.DUMMYFUNCTION("""COMPUTED_VALUE"""),0.0)</f>
        <v>0</v>
      </c>
      <c r="W2026" s="65">
        <f>IFERROR(__xludf.DUMMYFUNCTION("""COMPUTED_VALUE"""),0.0)</f>
        <v>0</v>
      </c>
      <c r="X2026" s="65">
        <f>IFERROR(__xludf.DUMMYFUNCTION("""COMPUTED_VALUE"""),2.6)</f>
        <v>2.6</v>
      </c>
      <c r="Y2026" s="65">
        <f>IFERROR(__xludf.DUMMYFUNCTION("""COMPUTED_VALUE"""),5.2)</f>
        <v>5.2</v>
      </c>
      <c r="Z2026" s="65">
        <f>IFERROR(__xludf.DUMMYFUNCTION("""COMPUTED_VALUE"""),121983.0)</f>
        <v>121983</v>
      </c>
      <c r="AA2026" s="65" t="str">
        <f>IFERROR(__xludf.DUMMYFUNCTION("""COMPUTED_VALUE"""),"PROV-CHLLCF")</f>
        <v>PROV-CHLLCF</v>
      </c>
      <c r="AB2026" s="65"/>
      <c r="AC2026" s="65" t="str">
        <f>IFERROR(__xludf.DUMMYFUNCTION("""COMPUTED_VALUE"""),"CUCHILLO PARA CHEF")</f>
        <v>CUCHILLO PARA CHEF</v>
      </c>
      <c r="AD2026" s="65"/>
      <c r="AE2026" s="65">
        <f>IFERROR(__xludf.DUMMYFUNCTION("""COMPUTED_VALUE"""),2.0)</f>
        <v>2</v>
      </c>
      <c r="AF2026" s="65" t="str">
        <f>IFERROR(__xludf.DUMMYFUNCTION("""COMPUTED_VALUE"""),"DESTINATARIO INDICA QUE YA NO DESEA EL PRODUCTO")</f>
        <v>DESTINATARIO INDICA QUE YA NO DESEA EL PRODUCTO</v>
      </c>
      <c r="AG2026" s="65" t="str">
        <f>IFERROR(__xludf.DUMMYFUNCTION("""COMPUTED_VALUE"""),"NO")</f>
        <v>NO</v>
      </c>
      <c r="AH2026" s="65" t="str">
        <f>IFERROR(__xludf.DUMMYFUNCTION("""COMPUTED_VALUE"""),"11:43")</f>
        <v>11:43</v>
      </c>
      <c r="AI2026" s="65" t="str">
        <f>IFERROR(__xludf.DUMMYFUNCTION("""COMPUTED_VALUE"""),"21-01-2026")</f>
        <v>21-01-2026</v>
      </c>
      <c r="AJ2026" s="65"/>
      <c r="AK2026" s="65"/>
      <c r="AL2026" s="65"/>
      <c r="AM2026" s="65"/>
      <c r="AN2026" s="65" t="str">
        <f>IFERROR(__xludf.DUMMYFUNCTION("""COMPUTED_VALUE"""),"16:35")</f>
        <v>16:35</v>
      </c>
      <c r="AO2026" s="65" t="str">
        <f>IFERROR(__xludf.DUMMYFUNCTION("""COMPUTED_VALUE"""),"13-02-2026")</f>
        <v>13-02-2026</v>
      </c>
      <c r="AP2026" s="65" t="str">
        <f>IFERROR(__xludf.DUMMYFUNCTION("""COMPUTED_VALUE"""),"DEV CONFIRMADA POR BODEGA")</f>
        <v>DEV CONFIRMADA POR BODEGA</v>
      </c>
      <c r="AQ2026" s="65"/>
      <c r="AR2026" s="65" t="str">
        <f>IFERROR(__xludf.DUMMYFUNCTION("""COMPUTED_VALUE"""),"Gestionado por: PROVEDIX DAMIAN, email:enviogratisdirecto@gmail.com, total de productos en la orden: 1")</f>
        <v>Gestionado por: PROVEDIX DAMIAN, email:enviogratisdirecto@gmail.com, total de productos en la orden: 1</v>
      </c>
      <c r="AS2026" s="65"/>
      <c r="AT2026" s="65" t="str">
        <f>IFERROR(__xludf.DUMMYFUNCTION("""COMPUTED_VALUE"""),"SHOPIFY")</f>
        <v>SHOPIFY</v>
      </c>
      <c r="AU2026" s="65" t="str">
        <f>IFERROR(__xludf.DUMMYFUNCTION("""COMPUTED_VALUE"""),"IMPORTEX EC")</f>
        <v>IMPORTEX EC</v>
      </c>
      <c r="AV2026" s="65" t="str">
        <f>IFERROR(__xludf.DUMMYFUNCTION("""COMPUTED_VALUE"""),"6407512850476")</f>
        <v>6407512850476</v>
      </c>
      <c r="AW2026" s="65">
        <f>IFERROR(__xludf.DUMMYFUNCTION("""COMPUTED_VALUE"""),4944.0)</f>
        <v>4944</v>
      </c>
      <c r="AX2026" s="65"/>
      <c r="AY2026" s="65" t="str">
        <f>IFERROR(__xludf.DUMMYFUNCTION("""COMPUTED_VALUE"""),"13/01/2026")</f>
        <v>13/01/2026</v>
      </c>
      <c r="AZ2026" s="65"/>
      <c r="BA2026" s="65"/>
    </row>
    <row r="2027">
      <c r="A2027" s="65" t="str">
        <f>IFERROR(__xludf.DUMMYFUNCTION("""COMPUTED_VALUE"""),"27-03-2026")</f>
        <v>27-03-2026</v>
      </c>
      <c r="B2027" s="65">
        <f>IFERROR(__xludf.DUMMYFUNCTION("""COMPUTED_VALUE"""),4106662.0)</f>
        <v>4106662</v>
      </c>
      <c r="C2027" s="65" t="str">
        <f>IFERROR(__xludf.DUMMYFUNCTION("""COMPUTED_VALUE"""),"17:03")</f>
        <v>17:03</v>
      </c>
      <c r="D2027" s="65" t="str">
        <f>IFERROR(__xludf.DUMMYFUNCTION("""COMPUTED_VALUE"""),"11-01-2026")</f>
        <v>11-01-2026</v>
      </c>
      <c r="E2027" s="65" t="str">
        <f>IFERROR(__xludf.DUMMYFUNCTION("""COMPUTED_VALUE"""),"Gloria Soriano")</f>
        <v>Gloria Soriano</v>
      </c>
      <c r="F2027" s="65" t="str">
        <f>IFERROR(__xludf.DUMMYFUNCTION("""COMPUTED_VALUE"""),"997896865")</f>
        <v>997896865</v>
      </c>
      <c r="G2027" s="65" t="str">
        <f>IFERROR(__xludf.DUMMYFUNCTION("""COMPUTED_VALUE"""),"gloriasorianohuacon@gmail.com")</f>
        <v>gloriasorianohuacon@gmail.com</v>
      </c>
      <c r="H2027" s="65"/>
      <c r="I2027" s="65"/>
      <c r="J2027" s="65" t="str">
        <f>IFERROR(__xludf.DUMMYFUNCTION("""COMPUTED_VALUE"""),"D001218390")</f>
        <v>D001218390</v>
      </c>
      <c r="K2027" s="65" t="str">
        <f>IFERROR(__xludf.DUMMYFUNCTION("""COMPUTED_VALUE"""),"DEVOLUCION")</f>
        <v>DEVOLUCION</v>
      </c>
      <c r="L2027" s="65" t="str">
        <f>IFERROR(__xludf.DUMMYFUNCTION("""COMPUTED_VALUE"""),"CON RECAUDO")</f>
        <v>CON RECAUDO</v>
      </c>
      <c r="M2027" s="65" t="str">
        <f>IFERROR(__xludf.DUMMYFUNCTION("""COMPUTED_VALUE"""),"GUAYAS")</f>
        <v>GUAYAS</v>
      </c>
      <c r="N2027" s="65" t="str">
        <f>IFERROR(__xludf.DUMMYFUNCTION("""COMPUTED_VALUE"""),"YAGUACHI")</f>
        <v>YAGUACHI</v>
      </c>
      <c r="O2027" s="65" t="str">
        <f>IFERROR(__xludf.DUMMYFUNCTION("""COMPUTED_VALUE"""),"21 d julio 108 y Alvarado San Vicente al lado d la tribuna digital - casa es 108 - Comedor el ídolo")</f>
        <v>21 d julio 108 y Alvarado San Vicente al lado d la tribuna digital - casa es 108 - Comedor el ídolo</v>
      </c>
      <c r="P2027" s="65"/>
      <c r="Q2027" s="65" t="str">
        <f>IFERROR(__xludf.DUMMYFUNCTION("""COMPUTED_VALUE"""),"GINTRACOM")</f>
        <v>GINTRACOM</v>
      </c>
      <c r="R2027" s="65">
        <f>IFERROR(__xludf.DUMMYFUNCTION("""COMPUTED_VALUE"""),22.0)</f>
        <v>22</v>
      </c>
      <c r="S2027" s="65"/>
      <c r="T2027" s="65">
        <f>IFERROR(__xludf.DUMMYFUNCTION("""COMPUTED_VALUE"""),5.84)</f>
        <v>5.84</v>
      </c>
      <c r="U2027" s="65">
        <f>IFERROR(__xludf.DUMMYFUNCTION("""COMPUTED_VALUE"""),0.0)</f>
        <v>0</v>
      </c>
      <c r="V2027" s="65">
        <f>IFERROR(__xludf.DUMMYFUNCTION("""COMPUTED_VALUE"""),0.0)</f>
        <v>0</v>
      </c>
      <c r="W2027" s="65">
        <f>IFERROR(__xludf.DUMMYFUNCTION("""COMPUTED_VALUE"""),0.0)</f>
        <v>0</v>
      </c>
      <c r="X2027" s="65">
        <f>IFERROR(__xludf.DUMMYFUNCTION("""COMPUTED_VALUE"""),2.6)</f>
        <v>2.6</v>
      </c>
      <c r="Y2027" s="65">
        <f>IFERROR(__xludf.DUMMYFUNCTION("""COMPUTED_VALUE"""),5.2)</f>
        <v>5.2</v>
      </c>
      <c r="Z2027" s="65">
        <f>IFERROR(__xludf.DUMMYFUNCTION("""COMPUTED_VALUE"""),121983.0)</f>
        <v>121983</v>
      </c>
      <c r="AA2027" s="65" t="str">
        <f>IFERROR(__xludf.DUMMYFUNCTION("""COMPUTED_VALUE"""),"PROV-CHLLCF")</f>
        <v>PROV-CHLLCF</v>
      </c>
      <c r="AB2027" s="65"/>
      <c r="AC2027" s="65" t="str">
        <f>IFERROR(__xludf.DUMMYFUNCTION("""COMPUTED_VALUE"""),"CUCHILLO PARA CHEF")</f>
        <v>CUCHILLO PARA CHEF</v>
      </c>
      <c r="AD2027" s="65"/>
      <c r="AE2027" s="65">
        <f>IFERROR(__xludf.DUMMYFUNCTION("""COMPUTED_VALUE"""),2.0)</f>
        <v>2</v>
      </c>
      <c r="AF2027" s="65" t="str">
        <f>IFERROR(__xludf.DUMMYFUNCTION("""COMPUTED_VALUE"""),"DESTINATARIO NO CONTESTA LLAMADAS NI WHATSAPP")</f>
        <v>DESTINATARIO NO CONTESTA LLAMADAS NI WHATSAPP</v>
      </c>
      <c r="AG2027" s="65" t="str">
        <f>IFERROR(__xludf.DUMMYFUNCTION("""COMPUTED_VALUE"""),"SI")</f>
        <v>SI</v>
      </c>
      <c r="AH2027" s="65" t="str">
        <f>IFERROR(__xludf.DUMMYFUNCTION("""COMPUTED_VALUE"""),"09:00")</f>
        <v>09:00</v>
      </c>
      <c r="AI2027" s="65" t="str">
        <f>IFERROR(__xludf.DUMMYFUNCTION("""COMPUTED_VALUE"""),"24-01-2026")</f>
        <v>24-01-2026</v>
      </c>
      <c r="AJ2027" s="65"/>
      <c r="AK2027" s="65"/>
      <c r="AL2027" s="65"/>
      <c r="AM2027" s="65"/>
      <c r="AN2027" s="65" t="str">
        <f>IFERROR(__xludf.DUMMYFUNCTION("""COMPUTED_VALUE"""),"08:59")</f>
        <v>08:59</v>
      </c>
      <c r="AO2027" s="65" t="str">
        <f>IFERROR(__xludf.DUMMYFUNCTION("""COMPUTED_VALUE"""),"11-02-2026")</f>
        <v>11-02-2026</v>
      </c>
      <c r="AP2027" s="65" t="str">
        <f>IFERROR(__xludf.DUMMYFUNCTION("""COMPUTED_VALUE"""),"DEV CONFIRMADA POR BODEGA")</f>
        <v>DEV CONFIRMADA POR BODEGA</v>
      </c>
      <c r="AQ2027" s="65"/>
      <c r="AR2027" s="65" t="str">
        <f>IFERROR(__xludf.DUMMYFUNCTION("""COMPUTED_VALUE"""),"Gestionado por: Moran Daniel, email:danielmorga2005@gmail.com, total de productos en la orden: 1")</f>
        <v>Gestionado por: Moran Daniel, email:danielmorga2005@gmail.com, total de productos en la orden: 1</v>
      </c>
      <c r="AS2027" s="65"/>
      <c r="AT2027" s="65" t="str">
        <f>IFERROR(__xludf.DUMMYFUNCTION("""COMPUTED_VALUE"""),"SHOPIFY")</f>
        <v>SHOPIFY</v>
      </c>
      <c r="AU2027" s="65" t="str">
        <f>IFERROR(__xludf.DUMMYFUNCTION("""COMPUTED_VALUE"""),"IMPORTEX EC")</f>
        <v>IMPORTEX EC</v>
      </c>
      <c r="AV2027" s="65" t="str">
        <f>IFERROR(__xludf.DUMMYFUNCTION("""COMPUTED_VALUE"""),"6407462518828")</f>
        <v>6407462518828</v>
      </c>
      <c r="AW2027" s="65">
        <f>IFERROR(__xludf.DUMMYFUNCTION("""COMPUTED_VALUE"""),4943.0)</f>
        <v>4943</v>
      </c>
      <c r="AX2027" s="65"/>
      <c r="AY2027" s="65" t="str">
        <f>IFERROR(__xludf.DUMMYFUNCTION("""COMPUTED_VALUE"""),"13/01/2026")</f>
        <v>13/01/2026</v>
      </c>
      <c r="AZ2027" s="65"/>
      <c r="BA2027" s="65"/>
    </row>
    <row r="2028">
      <c r="A2028" s="65" t="str">
        <f>IFERROR(__xludf.DUMMYFUNCTION("""COMPUTED_VALUE"""),"27-03-2026")</f>
        <v>27-03-2026</v>
      </c>
      <c r="B2028" s="65">
        <f>IFERROR(__xludf.DUMMYFUNCTION("""COMPUTED_VALUE"""),4106636.0)</f>
        <v>4106636</v>
      </c>
      <c r="C2028" s="65" t="str">
        <f>IFERROR(__xludf.DUMMYFUNCTION("""COMPUTED_VALUE"""),"17:01")</f>
        <v>17:01</v>
      </c>
      <c r="D2028" s="65" t="str">
        <f>IFERROR(__xludf.DUMMYFUNCTION("""COMPUTED_VALUE"""),"11-01-2026")</f>
        <v>11-01-2026</v>
      </c>
      <c r="E2028" s="65" t="str">
        <f>IFERROR(__xludf.DUMMYFUNCTION("""COMPUTED_VALUE"""),"Carlos Altafuya")</f>
        <v>Carlos Altafuya</v>
      </c>
      <c r="F2028" s="65" t="str">
        <f>IFERROR(__xludf.DUMMYFUNCTION("""COMPUTED_VALUE"""),"987674946")</f>
        <v>987674946</v>
      </c>
      <c r="G2028" s="65" t="str">
        <f>IFERROR(__xludf.DUMMYFUNCTION("""COMPUTED_VALUE"""),"carlosaltafuya@gmail.com")</f>
        <v>carlosaltafuya@gmail.com</v>
      </c>
      <c r="H2028" s="65"/>
      <c r="I2028" s="65"/>
      <c r="J2028" s="65" t="str">
        <f>IFERROR(__xludf.DUMMYFUNCTION("""COMPUTED_VALUE"""),"D001218392")</f>
        <v>D001218392</v>
      </c>
      <c r="K2028" s="65" t="str">
        <f>IFERROR(__xludf.DUMMYFUNCTION("""COMPUTED_VALUE"""),"ENTREGADO")</f>
        <v>ENTREGADO</v>
      </c>
      <c r="L2028" s="65" t="str">
        <f>IFERROR(__xludf.DUMMYFUNCTION("""COMPUTED_VALUE"""),"CON RECAUDO")</f>
        <v>CON RECAUDO</v>
      </c>
      <c r="M2028" s="65" t="str">
        <f>IFERROR(__xludf.DUMMYFUNCTION("""COMPUTED_VALUE"""),"SANTA ELENA")</f>
        <v>SANTA ELENA</v>
      </c>
      <c r="N2028" s="65" t="str">
        <f>IFERROR(__xludf.DUMMYFUNCTION("""COMPUTED_VALUE"""),"SALINAS")</f>
        <v>SALINAS</v>
      </c>
      <c r="O2028" s="65" t="str">
        <f>IFERROR(__xludf.DUMMYFUNCTION("""COMPUTED_VALUE"""),"Av Carlos Espinoza Larrea  Ciudadela Costa de oro edificio Dianita oficina matriz de aguapen ep")</f>
        <v>Av Carlos Espinoza Larrea  Ciudadela Costa de oro edificio Dianita oficina matriz de aguapen ep</v>
      </c>
      <c r="P2028" s="65"/>
      <c r="Q2028" s="65" t="str">
        <f>IFERROR(__xludf.DUMMYFUNCTION("""COMPUTED_VALUE"""),"GINTRACOM")</f>
        <v>GINTRACOM</v>
      </c>
      <c r="R2028" s="65">
        <f>IFERROR(__xludf.DUMMYFUNCTION("""COMPUTED_VALUE"""),30.0)</f>
        <v>30</v>
      </c>
      <c r="S2028" s="65">
        <f>IFERROR(__xludf.DUMMYFUNCTION("""COMPUTED_VALUE"""),14.9)</f>
        <v>14.9</v>
      </c>
      <c r="T2028" s="65">
        <f>IFERROR(__xludf.DUMMYFUNCTION("""COMPUTED_VALUE"""),6.73)</f>
        <v>6.73</v>
      </c>
      <c r="U2028" s="65">
        <f>IFERROR(__xludf.DUMMYFUNCTION("""COMPUTED_VALUE"""),0.0)</f>
        <v>0</v>
      </c>
      <c r="V2028" s="65">
        <f>IFERROR(__xludf.DUMMYFUNCTION("""COMPUTED_VALUE"""),0.0)</f>
        <v>0</v>
      </c>
      <c r="W2028" s="65">
        <f>IFERROR(__xludf.DUMMYFUNCTION("""COMPUTED_VALUE"""),0.0)</f>
        <v>0</v>
      </c>
      <c r="X2028" s="65">
        <f>IFERROR(__xludf.DUMMYFUNCTION("""COMPUTED_VALUE"""),2.79)</f>
        <v>2.79</v>
      </c>
      <c r="Y2028" s="65">
        <f>IFERROR(__xludf.DUMMYFUNCTION("""COMPUTED_VALUE"""),8.37)</f>
        <v>8.37</v>
      </c>
      <c r="Z2028" s="65">
        <f>IFERROR(__xludf.DUMMYFUNCTION("""COMPUTED_VALUE"""),120732.0)</f>
        <v>120732</v>
      </c>
      <c r="AA2028" s="65" t="str">
        <f>IFERROR(__xludf.DUMMYFUNCTION("""COMPUTED_VALUE"""),"PROV-LMPVT")</f>
        <v>PROV-LMPVT</v>
      </c>
      <c r="AB2028" s="65"/>
      <c r="AC2028" s="65" t="str">
        <f>IFERROR(__xludf.DUMMYFUNCTION("""COMPUTED_VALUE"""),"LIMPIADOR DE PARABRISAS Y VENTANAS")</f>
        <v>LIMPIADOR DE PARABRISAS Y VENTANAS</v>
      </c>
      <c r="AD2028" s="65"/>
      <c r="AE2028" s="65">
        <f>IFERROR(__xludf.DUMMYFUNCTION("""COMPUTED_VALUE"""),3.0)</f>
        <v>3</v>
      </c>
      <c r="AF2028" s="65" t="str">
        <f>IFERROR(__xludf.DUMMYFUNCTION("""COMPUTED_VALUE"""),"DESTINATARIO NO CONTESTA LLAMADAS NI WHATSAPP")</f>
        <v>DESTINATARIO NO CONTESTA LLAMADAS NI WHATSAPP</v>
      </c>
      <c r="AG2028" s="65" t="str">
        <f>IFERROR(__xludf.DUMMYFUNCTION("""COMPUTED_VALUE"""),"SI")</f>
        <v>SI</v>
      </c>
      <c r="AH2028" s="65" t="str">
        <f>IFERROR(__xludf.DUMMYFUNCTION("""COMPUTED_VALUE"""),"09:00")</f>
        <v>09:00</v>
      </c>
      <c r="AI2028" s="65" t="str">
        <f>IFERROR(__xludf.DUMMYFUNCTION("""COMPUTED_VALUE"""),"20-01-2026")</f>
        <v>20-01-2026</v>
      </c>
      <c r="AJ2028" s="65"/>
      <c r="AK2028" s="65"/>
      <c r="AL2028" s="65"/>
      <c r="AM2028" s="65"/>
      <c r="AN2028" s="65" t="str">
        <f>IFERROR(__xludf.DUMMYFUNCTION("""COMPUTED_VALUE"""),"19:41")</f>
        <v>19:41</v>
      </c>
      <c r="AO2028" s="65" t="str">
        <f>IFERROR(__xludf.DUMMYFUNCTION("""COMPUTED_VALUE"""),"23-01-2026")</f>
        <v>23-01-2026</v>
      </c>
      <c r="AP2028" s="65" t="str">
        <f>IFERROR(__xludf.DUMMYFUNCTION("""COMPUTED_VALUE"""),"ENTREGADA GINTRACOM")</f>
        <v>ENTREGADA GINTRACOM</v>
      </c>
      <c r="AQ2028" s="65" t="str">
        <f>IFERROR(__xludf.DUMMYFUNCTION("""COMPUTED_VALUE"""),"ENTREGADA GINTRACOM")</f>
        <v>ENTREGADA GINTRACOM</v>
      </c>
      <c r="AR2028" s="65"/>
      <c r="AS2028" s="65"/>
      <c r="AT2028" s="65" t="str">
        <f>IFERROR(__xludf.DUMMYFUNCTION("""COMPUTED_VALUE"""),"SHOPIFY")</f>
        <v>SHOPIFY</v>
      </c>
      <c r="AU2028" s="65" t="str">
        <f>IFERROR(__xludf.DUMMYFUNCTION("""COMPUTED_VALUE"""),"IMPORTEX EC")</f>
        <v>IMPORTEX EC</v>
      </c>
      <c r="AV2028" s="65" t="str">
        <f>IFERROR(__xludf.DUMMYFUNCTION("""COMPUTED_VALUE"""),"6407456817196")</f>
        <v>6407456817196</v>
      </c>
      <c r="AW2028" s="65">
        <f>IFERROR(__xludf.DUMMYFUNCTION("""COMPUTED_VALUE"""),4942.0)</f>
        <v>4942</v>
      </c>
      <c r="AX2028" s="65"/>
      <c r="AY2028" s="65" t="str">
        <f>IFERROR(__xludf.DUMMYFUNCTION("""COMPUTED_VALUE"""),"13/01/2026")</f>
        <v>13/01/2026</v>
      </c>
      <c r="AZ2028" s="65"/>
      <c r="BA2028" s="65"/>
    </row>
    <row r="2029">
      <c r="A2029" s="65" t="str">
        <f>IFERROR(__xludf.DUMMYFUNCTION("""COMPUTED_VALUE"""),"27-03-2026")</f>
        <v>27-03-2026</v>
      </c>
      <c r="B2029" s="65">
        <f>IFERROR(__xludf.DUMMYFUNCTION("""COMPUTED_VALUE"""),4106558.0)</f>
        <v>4106558</v>
      </c>
      <c r="C2029" s="65" t="str">
        <f>IFERROR(__xludf.DUMMYFUNCTION("""COMPUTED_VALUE"""),"16:53")</f>
        <v>16:53</v>
      </c>
      <c r="D2029" s="65" t="str">
        <f>IFERROR(__xludf.DUMMYFUNCTION("""COMPUTED_VALUE"""),"11-01-2026")</f>
        <v>11-01-2026</v>
      </c>
      <c r="E2029" s="65" t="str">
        <f>IFERROR(__xludf.DUMMYFUNCTION("""COMPUTED_VALUE"""),"Néstor Ortega")</f>
        <v>Néstor Ortega</v>
      </c>
      <c r="F2029" s="65" t="str">
        <f>IFERROR(__xludf.DUMMYFUNCTION("""COMPUTED_VALUE"""),"968491443")</f>
        <v>968491443</v>
      </c>
      <c r="G2029" s="65"/>
      <c r="H2029" s="65"/>
      <c r="I2029" s="65"/>
      <c r="J2029" s="65" t="str">
        <f>IFERROR(__xludf.DUMMYFUNCTION("""COMPUTED_VALUE"""),"D001215507")</f>
        <v>D001215507</v>
      </c>
      <c r="K2029" s="65" t="str">
        <f>IFERROR(__xludf.DUMMYFUNCTION("""COMPUTED_VALUE"""),"ENTREGADO")</f>
        <v>ENTREGADO</v>
      </c>
      <c r="L2029" s="65" t="str">
        <f>IFERROR(__xludf.DUMMYFUNCTION("""COMPUTED_VALUE"""),"CON RECAUDO")</f>
        <v>CON RECAUDO</v>
      </c>
      <c r="M2029" s="65" t="str">
        <f>IFERROR(__xludf.DUMMYFUNCTION("""COMPUTED_VALUE"""),"ESMERALDAS")</f>
        <v>ESMERALDAS</v>
      </c>
      <c r="N2029" s="65" t="str">
        <f>IFERROR(__xludf.DUMMYFUNCTION("""COMPUTED_VALUE"""),"ATACAMES")</f>
        <v>ATACAMES</v>
      </c>
      <c r="O2029" s="65" t="str">
        <f>IFERROR(__xludf.DUMMYFUNCTION("""COMPUTED_VALUE"""),"Sector Sua - Ciudadela Antonio Iyesca Barrio 8 de Diciembre, manzana 4, casa número 10 - Ref. Tras el Hotel Peñón de Sua")</f>
        <v>Sector Sua - Ciudadela Antonio Iyesca Barrio 8 de Diciembre, manzana 4, casa número 10 - Ref. Tras el Hotel Peñón de Sua</v>
      </c>
      <c r="P2029" s="65"/>
      <c r="Q2029" s="65" t="str">
        <f>IFERROR(__xludf.DUMMYFUNCTION("""COMPUTED_VALUE"""),"GINTRACOM")</f>
        <v>GINTRACOM</v>
      </c>
      <c r="R2029" s="65">
        <f>IFERROR(__xludf.DUMMYFUNCTION("""COMPUTED_VALUE"""),22.0)</f>
        <v>22</v>
      </c>
      <c r="S2029" s="65">
        <f>IFERROR(__xludf.DUMMYFUNCTION("""COMPUTED_VALUE"""),10.39)</f>
        <v>10.39</v>
      </c>
      <c r="T2029" s="65">
        <f>IFERROR(__xludf.DUMMYFUNCTION("""COMPUTED_VALUE"""),6.41)</f>
        <v>6.41</v>
      </c>
      <c r="U2029" s="65">
        <f>IFERROR(__xludf.DUMMYFUNCTION("""COMPUTED_VALUE"""),0.0)</f>
        <v>0</v>
      </c>
      <c r="V2029" s="65">
        <f>IFERROR(__xludf.DUMMYFUNCTION("""COMPUTED_VALUE"""),0.0)</f>
        <v>0</v>
      </c>
      <c r="W2029" s="65">
        <f>IFERROR(__xludf.DUMMYFUNCTION("""COMPUTED_VALUE"""),0.0)</f>
        <v>0</v>
      </c>
      <c r="X2029" s="65">
        <f>IFERROR(__xludf.DUMMYFUNCTION("""COMPUTED_VALUE"""),2.6)</f>
        <v>2.6</v>
      </c>
      <c r="Y2029" s="65">
        <f>IFERROR(__xludf.DUMMYFUNCTION("""COMPUTED_VALUE"""),5.2)</f>
        <v>5.2</v>
      </c>
      <c r="Z2029" s="65">
        <f>IFERROR(__xludf.DUMMYFUNCTION("""COMPUTED_VALUE"""),121983.0)</f>
        <v>121983</v>
      </c>
      <c r="AA2029" s="65" t="str">
        <f>IFERROR(__xludf.DUMMYFUNCTION("""COMPUTED_VALUE"""),"PROV-CHLLCF")</f>
        <v>PROV-CHLLCF</v>
      </c>
      <c r="AB2029" s="65"/>
      <c r="AC2029" s="65" t="str">
        <f>IFERROR(__xludf.DUMMYFUNCTION("""COMPUTED_VALUE"""),"CUCHILLO PARA CHEF")</f>
        <v>CUCHILLO PARA CHEF</v>
      </c>
      <c r="AD2029" s="65"/>
      <c r="AE2029" s="65">
        <f>IFERROR(__xludf.DUMMYFUNCTION("""COMPUTED_VALUE"""),2.0)</f>
        <v>2</v>
      </c>
      <c r="AF2029" s="65"/>
      <c r="AG2029" s="65"/>
      <c r="AH2029" s="65"/>
      <c r="AI2029" s="65"/>
      <c r="AJ2029" s="65"/>
      <c r="AK2029" s="65"/>
      <c r="AL2029" s="65"/>
      <c r="AM2029" s="65"/>
      <c r="AN2029" s="65" t="str">
        <f>IFERROR(__xludf.DUMMYFUNCTION("""COMPUTED_VALUE"""),"15:43")</f>
        <v>15:43</v>
      </c>
      <c r="AO2029" s="65" t="str">
        <f>IFERROR(__xludf.DUMMYFUNCTION("""COMPUTED_VALUE"""),"15-01-2026")</f>
        <v>15-01-2026</v>
      </c>
      <c r="AP2029" s="65" t="str">
        <f>IFERROR(__xludf.DUMMYFUNCTION("""COMPUTED_VALUE"""),"ENTREGADA GINTRACOM")</f>
        <v>ENTREGADA GINTRACOM</v>
      </c>
      <c r="AQ2029" s="65" t="str">
        <f>IFERROR(__xludf.DUMMYFUNCTION("""COMPUTED_VALUE"""),"ENTREGADA GINTRACOM")</f>
        <v>ENTREGADA GINTRACOM</v>
      </c>
      <c r="AR2029" s="65"/>
      <c r="AS2029" s="65"/>
      <c r="AT2029" s="65" t="str">
        <f>IFERROR(__xludf.DUMMYFUNCTION("""COMPUTED_VALUE"""),"SHOPIFY")</f>
        <v>SHOPIFY</v>
      </c>
      <c r="AU2029" s="65" t="str">
        <f>IFERROR(__xludf.DUMMYFUNCTION("""COMPUTED_VALUE"""),"IMPORTEX EC")</f>
        <v>IMPORTEX EC</v>
      </c>
      <c r="AV2029" s="65" t="str">
        <f>IFERROR(__xludf.DUMMYFUNCTION("""COMPUTED_VALUE"""),"6407437025324")</f>
        <v>6407437025324</v>
      </c>
      <c r="AW2029" s="65">
        <f>IFERROR(__xludf.DUMMYFUNCTION("""COMPUTED_VALUE"""),4941.0)</f>
        <v>4941</v>
      </c>
      <c r="AX2029" s="65"/>
      <c r="AY2029" s="65" t="str">
        <f>IFERROR(__xludf.DUMMYFUNCTION("""COMPUTED_VALUE"""),"12/01/2026")</f>
        <v>12/01/2026</v>
      </c>
      <c r="AZ2029" s="65"/>
      <c r="BA2029" s="65"/>
    </row>
    <row r="2030">
      <c r="A2030" s="65" t="str">
        <f>IFERROR(__xludf.DUMMYFUNCTION("""COMPUTED_VALUE"""),"27-03-2026")</f>
        <v>27-03-2026</v>
      </c>
      <c r="B2030" s="65">
        <f>IFERROR(__xludf.DUMMYFUNCTION("""COMPUTED_VALUE"""),4106548.0)</f>
        <v>4106548</v>
      </c>
      <c r="C2030" s="65" t="str">
        <f>IFERROR(__xludf.DUMMYFUNCTION("""COMPUTED_VALUE"""),"16:52")</f>
        <v>16:52</v>
      </c>
      <c r="D2030" s="65" t="str">
        <f>IFERROR(__xludf.DUMMYFUNCTION("""COMPUTED_VALUE"""),"11-01-2026")</f>
        <v>11-01-2026</v>
      </c>
      <c r="E2030" s="65" t="str">
        <f>IFERROR(__xludf.DUMMYFUNCTION("""COMPUTED_VALUE"""),"Jorge Baez")</f>
        <v>Jorge Baez</v>
      </c>
      <c r="F2030" s="65" t="str">
        <f>IFERROR(__xludf.DUMMYFUNCTION("""COMPUTED_VALUE"""),"985816226")</f>
        <v>985816226</v>
      </c>
      <c r="G2030" s="65" t="str">
        <f>IFERROR(__xludf.DUMMYFUNCTION("""COMPUTED_VALUE"""),"arthjorge995@gmail.com")</f>
        <v>arthjorge995@gmail.com</v>
      </c>
      <c r="H2030" s="65"/>
      <c r="I2030" s="65"/>
      <c r="J2030" s="65" t="str">
        <f>IFERROR(__xludf.DUMMYFUNCTION("""COMPUTED_VALUE"""),"186966931")</f>
        <v>186966931</v>
      </c>
      <c r="K2030" s="65" t="str">
        <f>IFERROR(__xludf.DUMMYFUNCTION("""COMPUTED_VALUE"""),"ENTREGADO")</f>
        <v>ENTREGADO</v>
      </c>
      <c r="L2030" s="65" t="str">
        <f>IFERROR(__xludf.DUMMYFUNCTION("""COMPUTED_VALUE"""),"CON RECAUDO")</f>
        <v>CON RECAUDO</v>
      </c>
      <c r="M2030" s="65" t="str">
        <f>IFERROR(__xludf.DUMMYFUNCTION("""COMPUTED_VALUE"""),"IMBABURA")</f>
        <v>IMBABURA</v>
      </c>
      <c r="N2030" s="65" t="str">
        <f>IFERROR(__xludf.DUMMYFUNCTION("""COMPUTED_VALUE"""),"ADUANA")</f>
        <v>ADUANA</v>
      </c>
      <c r="O2030" s="65" t="str">
        <f>IFERROR(__xludf.DUMMYFUNCTION("""COMPUTED_VALUE"""),"San Pablo y pana mercana norte#4-36 Parroquia la dolorosa) priorato - Diagonal puente peaton")</f>
        <v>San Pablo y pana mercana norte#4-36 Parroquia la dolorosa) priorato - Diagonal puente peaton</v>
      </c>
      <c r="P2030" s="65"/>
      <c r="Q2030" s="65" t="str">
        <f>IFERROR(__xludf.DUMMYFUNCTION("""COMPUTED_VALUE"""),"SERVIENTREGA")</f>
        <v>SERVIENTREGA</v>
      </c>
      <c r="R2030" s="65">
        <f>IFERROR(__xludf.DUMMYFUNCTION("""COMPUTED_VALUE"""),22.0)</f>
        <v>22</v>
      </c>
      <c r="S2030" s="65">
        <f>IFERROR(__xludf.DUMMYFUNCTION("""COMPUTED_VALUE"""),9.1)</f>
        <v>9.1</v>
      </c>
      <c r="T2030" s="65">
        <f>IFERROR(__xludf.DUMMYFUNCTION("""COMPUTED_VALUE"""),7.7)</f>
        <v>7.7</v>
      </c>
      <c r="U2030" s="65">
        <f>IFERROR(__xludf.DUMMYFUNCTION("""COMPUTED_VALUE"""),0.0)</f>
        <v>0</v>
      </c>
      <c r="V2030" s="65">
        <f>IFERROR(__xludf.DUMMYFUNCTION("""COMPUTED_VALUE"""),0.0)</f>
        <v>0</v>
      </c>
      <c r="W2030" s="65">
        <f>IFERROR(__xludf.DUMMYFUNCTION("""COMPUTED_VALUE"""),0.0)</f>
        <v>0</v>
      </c>
      <c r="X2030" s="65">
        <f>IFERROR(__xludf.DUMMYFUNCTION("""COMPUTED_VALUE"""),2.6)</f>
        <v>2.6</v>
      </c>
      <c r="Y2030" s="65">
        <f>IFERROR(__xludf.DUMMYFUNCTION("""COMPUTED_VALUE"""),5.2)</f>
        <v>5.2</v>
      </c>
      <c r="Z2030" s="65">
        <f>IFERROR(__xludf.DUMMYFUNCTION("""COMPUTED_VALUE"""),121983.0)</f>
        <v>121983</v>
      </c>
      <c r="AA2030" s="65" t="str">
        <f>IFERROR(__xludf.DUMMYFUNCTION("""COMPUTED_VALUE"""),"PROV-CHLLCF")</f>
        <v>PROV-CHLLCF</v>
      </c>
      <c r="AB2030" s="65"/>
      <c r="AC2030" s="65" t="str">
        <f>IFERROR(__xludf.DUMMYFUNCTION("""COMPUTED_VALUE"""),"CUCHILLO PARA CHEF")</f>
        <v>CUCHILLO PARA CHEF</v>
      </c>
      <c r="AD2030" s="65"/>
      <c r="AE2030" s="65">
        <f>IFERROR(__xludf.DUMMYFUNCTION("""COMPUTED_VALUE"""),2.0)</f>
        <v>2</v>
      </c>
      <c r="AF2030" s="65"/>
      <c r="AG2030" s="65"/>
      <c r="AH2030" s="65"/>
      <c r="AI2030" s="65"/>
      <c r="AJ2030" s="65"/>
      <c r="AK2030" s="65"/>
      <c r="AL2030" s="65"/>
      <c r="AM2030" s="65"/>
      <c r="AN2030" s="65" t="str">
        <f>IFERROR(__xludf.DUMMYFUNCTION("""COMPUTED_VALUE"""),"10:27")</f>
        <v>10:27</v>
      </c>
      <c r="AO2030" s="65" t="str">
        <f>IFERROR(__xludf.DUMMYFUNCTION("""COMPUTED_VALUE"""),"15-01-2026")</f>
        <v>15-01-2026</v>
      </c>
      <c r="AP2030" s="65" t="str">
        <f>IFERROR(__xludf.DUMMYFUNCTION("""COMPUTED_VALUE"""),"REPORTADO ENTREGADO EN APP")</f>
        <v>REPORTADO ENTREGADO EN APP</v>
      </c>
      <c r="AQ2030" s="65" t="str">
        <f>IFERROR(__xludf.DUMMYFUNCTION("""COMPUTED_VALUE"""),"jorge baez")</f>
        <v>jorge baez</v>
      </c>
      <c r="AR2030" s="65"/>
      <c r="AS2030" s="65"/>
      <c r="AT2030" s="65" t="str">
        <f>IFERROR(__xludf.DUMMYFUNCTION("""COMPUTED_VALUE"""),"SHOPIFY")</f>
        <v>SHOPIFY</v>
      </c>
      <c r="AU2030" s="65" t="str">
        <f>IFERROR(__xludf.DUMMYFUNCTION("""COMPUTED_VALUE"""),"IMPORTEX EC")</f>
        <v>IMPORTEX EC</v>
      </c>
      <c r="AV2030" s="65" t="str">
        <f>IFERROR(__xludf.DUMMYFUNCTION("""COMPUTED_VALUE"""),"6407432765484")</f>
        <v>6407432765484</v>
      </c>
      <c r="AW2030" s="65">
        <f>IFERROR(__xludf.DUMMYFUNCTION("""COMPUTED_VALUE"""),4940.0)</f>
        <v>4940</v>
      </c>
      <c r="AX2030" s="65"/>
      <c r="AY2030" s="65" t="str">
        <f>IFERROR(__xludf.DUMMYFUNCTION("""COMPUTED_VALUE"""),"13/01/2026")</f>
        <v>13/01/2026</v>
      </c>
      <c r="AZ2030" s="65"/>
      <c r="BA2030" s="65"/>
    </row>
    <row r="2031">
      <c r="A2031" s="65" t="str">
        <f>IFERROR(__xludf.DUMMYFUNCTION("""COMPUTED_VALUE"""),"27-03-2026")</f>
        <v>27-03-2026</v>
      </c>
      <c r="B2031" s="65">
        <f>IFERROR(__xludf.DUMMYFUNCTION("""COMPUTED_VALUE"""),4106431.0)</f>
        <v>4106431</v>
      </c>
      <c r="C2031" s="65" t="str">
        <f>IFERROR(__xludf.DUMMYFUNCTION("""COMPUTED_VALUE"""),"16:38")</f>
        <v>16:38</v>
      </c>
      <c r="D2031" s="65" t="str">
        <f>IFERROR(__xludf.DUMMYFUNCTION("""COMPUTED_VALUE"""),"11-01-2026")</f>
        <v>11-01-2026</v>
      </c>
      <c r="E2031" s="65" t="str">
        <f>IFERROR(__xludf.DUMMYFUNCTION("""COMPUTED_VALUE"""),"Leonardo Zevallos Macías")</f>
        <v>Leonardo Zevallos Macías</v>
      </c>
      <c r="F2031" s="65" t="str">
        <f>IFERROR(__xludf.DUMMYFUNCTION("""COMPUTED_VALUE"""),"991479503")</f>
        <v>991479503</v>
      </c>
      <c r="G2031" s="65" t="str">
        <f>IFERROR(__xludf.DUMMYFUNCTION("""COMPUTED_VALUE"""),"zevallosmaciasleonardo@gmail.com")</f>
        <v>zevallosmaciasleonardo@gmail.com</v>
      </c>
      <c r="H2031" s="65"/>
      <c r="I2031" s="65"/>
      <c r="J2031" s="65" t="str">
        <f>IFERROR(__xludf.DUMMYFUNCTION("""COMPUTED_VALUE"""),"D001218393")</f>
        <v>D001218393</v>
      </c>
      <c r="K2031" s="65" t="str">
        <f>IFERROR(__xludf.DUMMYFUNCTION("""COMPUTED_VALUE"""),"ENTREGADO")</f>
        <v>ENTREGADO</v>
      </c>
      <c r="L2031" s="65" t="str">
        <f>IFERROR(__xludf.DUMMYFUNCTION("""COMPUTED_VALUE"""),"CON RECAUDO")</f>
        <v>CON RECAUDO</v>
      </c>
      <c r="M2031" s="65" t="str">
        <f>IFERROR(__xludf.DUMMYFUNCTION("""COMPUTED_VALUE"""),"MANABI")</f>
        <v>MANABI</v>
      </c>
      <c r="N2031" s="65" t="str">
        <f>IFERROR(__xludf.DUMMYFUNCTION("""COMPUTED_VALUE"""),"EL CARMEN")</f>
        <v>EL CARMEN</v>
      </c>
      <c r="O2031" s="65" t="str">
        <f>IFERROR(__xludf.DUMMYFUNCTION("""COMPUTED_VALUE"""),"Vía venado Radio eco -")</f>
        <v>Vía venado Radio eco -</v>
      </c>
      <c r="P2031" s="68" t="str">
        <f>IFERROR(__xludf.DUMMYFUNCTION("""COMPUTED_VALUE"""),"https://www.google.com/maps/place/Radio+Eco+FM/@-0.2766119,-79.4707652,3a,75y,263.01h,99.67t/data=!3m7!1e1!3m5!1sjqAW-o8V9vgXTcdCRZEByQ!2e0!6shttps:%2F%2Fstreetviewpixels-pa.googleapis.com%2Fv1%2Fthumbnail%3Fcb_client%3Dmaps_sv.tactile%26w%3D900%26h%3D600"&amp;"%26pitch%3D-9.673145462797478%26panoid%3DjqAW-o8V9vgXTcdCRZEByQ%26yaw%3D263.0128846719606!7i13312!8i6656!4m6!3m5!1s0x902ab71ce152c221:0x517bc08a50426ead!8m2!3d-0.2764438!4d-79.4704142!16s%2Fg%2F11gmfxk51l?entry=ttu&amp;g_ep=EgoyMDI2MDEwNy4wIKXMDSoASAFQAw%3D%3"&amp;"D")</f>
        <v>https://www.google.com/maps/place/Radio+Eco+FM/@-0.2766119,-79.4707652,3a,75y,263.01h,99.67t/data=!3m7!1e1!3m5!1sjqAW-o8V9vgXTcdCRZEByQ!2e0!6shttps:%2F%2Fstreetviewpixels-pa.googleapis.com%2Fv1%2Fthumbnail%3Fcb_client%3Dmaps_sv.tactile%26w%3D900%26h%3D600%26pitch%3D-9.673145462797478%26panoid%3DjqAW-o8V9vgXTcdCRZEByQ%26yaw%3D263.0128846719606!7i13312!8i6656!4m6!3m5!1s0x902ab71ce152c221:0x517bc08a50426ead!8m2!3d-0.2764438!4d-79.4704142!16s%2Fg%2F11gmfxk51l?entry=ttu&amp;g_ep=EgoyMDI2MDEwNy4wIKXMDSoASAFQAw%3D%3D</v>
      </c>
      <c r="Q2031" s="65" t="str">
        <f>IFERROR(__xludf.DUMMYFUNCTION("""COMPUTED_VALUE"""),"GINTRACOM")</f>
        <v>GINTRACOM</v>
      </c>
      <c r="R2031" s="65">
        <f>IFERROR(__xludf.DUMMYFUNCTION("""COMPUTED_VALUE"""),22.0)</f>
        <v>22</v>
      </c>
      <c r="S2031" s="65">
        <f>IFERROR(__xludf.DUMMYFUNCTION("""COMPUTED_VALUE"""),10.96)</f>
        <v>10.96</v>
      </c>
      <c r="T2031" s="65">
        <f>IFERROR(__xludf.DUMMYFUNCTION("""COMPUTED_VALUE"""),5.84)</f>
        <v>5.84</v>
      </c>
      <c r="U2031" s="65">
        <f>IFERROR(__xludf.DUMMYFUNCTION("""COMPUTED_VALUE"""),0.0)</f>
        <v>0</v>
      </c>
      <c r="V2031" s="65">
        <f>IFERROR(__xludf.DUMMYFUNCTION("""COMPUTED_VALUE"""),0.0)</f>
        <v>0</v>
      </c>
      <c r="W2031" s="65">
        <f>IFERROR(__xludf.DUMMYFUNCTION("""COMPUTED_VALUE"""),0.0)</f>
        <v>0</v>
      </c>
      <c r="X2031" s="65">
        <f>IFERROR(__xludf.DUMMYFUNCTION("""COMPUTED_VALUE"""),2.6)</f>
        <v>2.6</v>
      </c>
      <c r="Y2031" s="65">
        <f>IFERROR(__xludf.DUMMYFUNCTION("""COMPUTED_VALUE"""),5.2)</f>
        <v>5.2</v>
      </c>
      <c r="Z2031" s="65">
        <f>IFERROR(__xludf.DUMMYFUNCTION("""COMPUTED_VALUE"""),121983.0)</f>
        <v>121983</v>
      </c>
      <c r="AA2031" s="65" t="str">
        <f>IFERROR(__xludf.DUMMYFUNCTION("""COMPUTED_VALUE"""),"PROV-CHLLCF")</f>
        <v>PROV-CHLLCF</v>
      </c>
      <c r="AB2031" s="65"/>
      <c r="AC2031" s="65" t="str">
        <f>IFERROR(__xludf.DUMMYFUNCTION("""COMPUTED_VALUE"""),"CUCHILLO PARA CHEF")</f>
        <v>CUCHILLO PARA CHEF</v>
      </c>
      <c r="AD2031" s="65"/>
      <c r="AE2031" s="65">
        <f>IFERROR(__xludf.DUMMYFUNCTION("""COMPUTED_VALUE"""),2.0)</f>
        <v>2</v>
      </c>
      <c r="AF2031" s="65"/>
      <c r="AG2031" s="65"/>
      <c r="AH2031" s="65"/>
      <c r="AI2031" s="65"/>
      <c r="AJ2031" s="65"/>
      <c r="AK2031" s="65"/>
      <c r="AL2031" s="65"/>
      <c r="AM2031" s="65"/>
      <c r="AN2031" s="65" t="str">
        <f>IFERROR(__xludf.DUMMYFUNCTION("""COMPUTED_VALUE"""),"12:42")</f>
        <v>12:42</v>
      </c>
      <c r="AO2031" s="65" t="str">
        <f>IFERROR(__xludf.DUMMYFUNCTION("""COMPUTED_VALUE"""),"15-01-2026")</f>
        <v>15-01-2026</v>
      </c>
      <c r="AP2031" s="65" t="str">
        <f>IFERROR(__xludf.DUMMYFUNCTION("""COMPUTED_VALUE"""),"EN REPARTO")</f>
        <v>EN REPARTO</v>
      </c>
      <c r="AQ2031" s="65" t="str">
        <f>IFERROR(__xludf.DUMMYFUNCTION("""COMPUTED_VALUE"""),"EN REPARTO")</f>
        <v>EN REPARTO</v>
      </c>
      <c r="AR2031" s="65"/>
      <c r="AS2031" s="65"/>
      <c r="AT2031" s="65" t="str">
        <f>IFERROR(__xludf.DUMMYFUNCTION("""COMPUTED_VALUE"""),"SHOPIFY")</f>
        <v>SHOPIFY</v>
      </c>
      <c r="AU2031" s="65" t="str">
        <f>IFERROR(__xludf.DUMMYFUNCTION("""COMPUTED_VALUE"""),"IMPORTEX EC")</f>
        <v>IMPORTEX EC</v>
      </c>
      <c r="AV2031" s="65" t="str">
        <f>IFERROR(__xludf.DUMMYFUNCTION("""COMPUTED_VALUE"""),"6407400620076")</f>
        <v>6407400620076</v>
      </c>
      <c r="AW2031" s="65">
        <f>IFERROR(__xludf.DUMMYFUNCTION("""COMPUTED_VALUE"""),4939.0)</f>
        <v>4939</v>
      </c>
      <c r="AX2031" s="65"/>
      <c r="AY2031" s="65" t="str">
        <f>IFERROR(__xludf.DUMMYFUNCTION("""COMPUTED_VALUE"""),"13/01/2026")</f>
        <v>13/01/2026</v>
      </c>
      <c r="AZ2031" s="65"/>
      <c r="BA2031" s="65"/>
    </row>
    <row r="2032">
      <c r="A2032" s="65" t="str">
        <f>IFERROR(__xludf.DUMMYFUNCTION("""COMPUTED_VALUE"""),"27-03-2026")</f>
        <v>27-03-2026</v>
      </c>
      <c r="B2032" s="65">
        <f>IFERROR(__xludf.DUMMYFUNCTION("""COMPUTED_VALUE"""),4106397.0)</f>
        <v>4106397</v>
      </c>
      <c r="C2032" s="65" t="str">
        <f>IFERROR(__xludf.DUMMYFUNCTION("""COMPUTED_VALUE"""),"16:35")</f>
        <v>16:35</v>
      </c>
      <c r="D2032" s="65" t="str">
        <f>IFERROR(__xludf.DUMMYFUNCTION("""COMPUTED_VALUE"""),"11-01-2026")</f>
        <v>11-01-2026</v>
      </c>
      <c r="E2032" s="65" t="str">
        <f>IFERROR(__xludf.DUMMYFUNCTION("""COMPUTED_VALUE"""),"Francisco Efrain Delgado Macías")</f>
        <v>Francisco Efrain Delgado Macías</v>
      </c>
      <c r="F2032" s="65" t="str">
        <f>IFERROR(__xludf.DUMMYFUNCTION("""COMPUTED_VALUE"""),"998259343")</f>
        <v>998259343</v>
      </c>
      <c r="G2032" s="65" t="str">
        <f>IFERROR(__xludf.DUMMYFUNCTION("""COMPUTED_VALUE"""),"francisdelma@hotmail.com")</f>
        <v>francisdelma@hotmail.com</v>
      </c>
      <c r="H2032" s="65"/>
      <c r="I2032" s="65"/>
      <c r="J2032" s="65" t="str">
        <f>IFERROR(__xludf.DUMMYFUNCTION("""COMPUTED_VALUE"""),"D001218395")</f>
        <v>D001218395</v>
      </c>
      <c r="K2032" s="65" t="str">
        <f>IFERROR(__xludf.DUMMYFUNCTION("""COMPUTED_VALUE"""),"ENTREGADO")</f>
        <v>ENTREGADO</v>
      </c>
      <c r="L2032" s="65" t="str">
        <f>IFERROR(__xludf.DUMMYFUNCTION("""COMPUTED_VALUE"""),"CON RECAUDO")</f>
        <v>CON RECAUDO</v>
      </c>
      <c r="M2032" s="65" t="str">
        <f>IFERROR(__xludf.DUMMYFUNCTION("""COMPUTED_VALUE"""),"MANABI")</f>
        <v>MANABI</v>
      </c>
      <c r="N2032" s="65" t="str">
        <f>IFERROR(__xludf.DUMMYFUNCTION("""COMPUTED_VALUE"""),"PORTOVIEJO")</f>
        <v>PORTOVIEJO</v>
      </c>
      <c r="O2032" s="65" t="str">
        <f>IFERROR(__xludf.DUMMYFUNCTION("""COMPUTED_VALUE"""),"Calle quito entre av manabi y garcia moreno alado peluqueria bahia casa blanca 2 pkantas Sector mercado -")</f>
        <v>Calle quito entre av manabi y garcia moreno alado peluqueria bahia casa blanca 2 pkantas Sector mercado -</v>
      </c>
      <c r="P2032" s="65"/>
      <c r="Q2032" s="65" t="str">
        <f>IFERROR(__xludf.DUMMYFUNCTION("""COMPUTED_VALUE"""),"GINTRACOM")</f>
        <v>GINTRACOM</v>
      </c>
      <c r="R2032" s="65">
        <f>IFERROR(__xludf.DUMMYFUNCTION("""COMPUTED_VALUE"""),25.0)</f>
        <v>25</v>
      </c>
      <c r="S2032" s="65">
        <f>IFERROR(__xludf.DUMMYFUNCTION("""COMPUTED_VALUE"""),13.46)</f>
        <v>13.46</v>
      </c>
      <c r="T2032" s="65">
        <f>IFERROR(__xludf.DUMMYFUNCTION("""COMPUTED_VALUE"""),5.96)</f>
        <v>5.96</v>
      </c>
      <c r="U2032" s="65">
        <f>IFERROR(__xludf.DUMMYFUNCTION("""COMPUTED_VALUE"""),0.0)</f>
        <v>0</v>
      </c>
      <c r="V2032" s="65">
        <f>IFERROR(__xludf.DUMMYFUNCTION("""COMPUTED_VALUE"""),0.0)</f>
        <v>0</v>
      </c>
      <c r="W2032" s="65">
        <f>IFERROR(__xludf.DUMMYFUNCTION("""COMPUTED_VALUE"""),0.0)</f>
        <v>0</v>
      </c>
      <c r="X2032" s="65">
        <f>IFERROR(__xludf.DUMMYFUNCTION("""COMPUTED_VALUE"""),2.79)</f>
        <v>2.79</v>
      </c>
      <c r="Y2032" s="65">
        <f>IFERROR(__xludf.DUMMYFUNCTION("""COMPUTED_VALUE"""),5.58)</f>
        <v>5.58</v>
      </c>
      <c r="Z2032" s="65">
        <f>IFERROR(__xludf.DUMMYFUNCTION("""COMPUTED_VALUE"""),120732.0)</f>
        <v>120732</v>
      </c>
      <c r="AA2032" s="65" t="str">
        <f>IFERROR(__xludf.DUMMYFUNCTION("""COMPUTED_VALUE"""),"PROV-LMPVT")</f>
        <v>PROV-LMPVT</v>
      </c>
      <c r="AB2032" s="65"/>
      <c r="AC2032" s="65" t="str">
        <f>IFERROR(__xludf.DUMMYFUNCTION("""COMPUTED_VALUE"""),"LIMPIADOR DE PARABRISAS Y VENTANAS")</f>
        <v>LIMPIADOR DE PARABRISAS Y VENTANAS</v>
      </c>
      <c r="AD2032" s="65"/>
      <c r="AE2032" s="65">
        <f>IFERROR(__xludf.DUMMYFUNCTION("""COMPUTED_VALUE"""),2.0)</f>
        <v>2</v>
      </c>
      <c r="AF2032" s="65"/>
      <c r="AG2032" s="65"/>
      <c r="AH2032" s="65"/>
      <c r="AI2032" s="65"/>
      <c r="AJ2032" s="65"/>
      <c r="AK2032" s="65"/>
      <c r="AL2032" s="65"/>
      <c r="AM2032" s="65"/>
      <c r="AN2032" s="65" t="str">
        <f>IFERROR(__xludf.DUMMYFUNCTION("""COMPUTED_VALUE"""),"10:04")</f>
        <v>10:04</v>
      </c>
      <c r="AO2032" s="65" t="str">
        <f>IFERROR(__xludf.DUMMYFUNCTION("""COMPUTED_VALUE"""),"15-01-2026")</f>
        <v>15-01-2026</v>
      </c>
      <c r="AP2032" s="65" t="str">
        <f>IFERROR(__xludf.DUMMYFUNCTION("""COMPUTED_VALUE"""),"ENTREGADA GINTRACOM")</f>
        <v>ENTREGADA GINTRACOM</v>
      </c>
      <c r="AQ2032" s="65" t="str">
        <f>IFERROR(__xludf.DUMMYFUNCTION("""COMPUTED_VALUE"""),"ENTREGADA GINTRACOM")</f>
        <v>ENTREGADA GINTRACOM</v>
      </c>
      <c r="AR2032" s="65"/>
      <c r="AS2032" s="65"/>
      <c r="AT2032" s="65" t="str">
        <f>IFERROR(__xludf.DUMMYFUNCTION("""COMPUTED_VALUE"""),"SHOPIFY")</f>
        <v>SHOPIFY</v>
      </c>
      <c r="AU2032" s="65" t="str">
        <f>IFERROR(__xludf.DUMMYFUNCTION("""COMPUTED_VALUE"""),"IMPORTEX EC")</f>
        <v>IMPORTEX EC</v>
      </c>
      <c r="AV2032" s="65" t="str">
        <f>IFERROR(__xludf.DUMMYFUNCTION("""COMPUTED_VALUE"""),"6407392198700")</f>
        <v>6407392198700</v>
      </c>
      <c r="AW2032" s="65">
        <f>IFERROR(__xludf.DUMMYFUNCTION("""COMPUTED_VALUE"""),4938.0)</f>
        <v>4938</v>
      </c>
      <c r="AX2032" s="65"/>
      <c r="AY2032" s="65" t="str">
        <f>IFERROR(__xludf.DUMMYFUNCTION("""COMPUTED_VALUE"""),"13/01/2026")</f>
        <v>13/01/2026</v>
      </c>
      <c r="AZ2032" s="65"/>
      <c r="BA2032" s="65"/>
    </row>
    <row r="2033">
      <c r="A2033" s="65" t="str">
        <f>IFERROR(__xludf.DUMMYFUNCTION("""COMPUTED_VALUE"""),"27-03-2026")</f>
        <v>27-03-2026</v>
      </c>
      <c r="B2033" s="65">
        <f>IFERROR(__xludf.DUMMYFUNCTION("""COMPUTED_VALUE"""),4106329.0)</f>
        <v>4106329</v>
      </c>
      <c r="C2033" s="65" t="str">
        <f>IFERROR(__xludf.DUMMYFUNCTION("""COMPUTED_VALUE"""),"16:28")</f>
        <v>16:28</v>
      </c>
      <c r="D2033" s="65" t="str">
        <f>IFERROR(__xludf.DUMMYFUNCTION("""COMPUTED_VALUE"""),"11-01-2026")</f>
        <v>11-01-2026</v>
      </c>
      <c r="E2033" s="65" t="str">
        <f>IFERROR(__xludf.DUMMYFUNCTION("""COMPUTED_VALUE"""),"Octavio Trujillo")</f>
        <v>Octavio Trujillo</v>
      </c>
      <c r="F2033" s="65" t="str">
        <f>IFERROR(__xludf.DUMMYFUNCTION("""COMPUTED_VALUE"""),"988007362")</f>
        <v>988007362</v>
      </c>
      <c r="G2033" s="65" t="str">
        <f>IFERROR(__xludf.DUMMYFUNCTION("""COMPUTED_VALUE"""),"octavioivan_trujillo@hotmail.com")</f>
        <v>octavioivan_trujillo@hotmail.com</v>
      </c>
      <c r="H2033" s="65"/>
      <c r="I2033" s="65"/>
      <c r="J2033" s="65"/>
      <c r="K2033" s="65" t="str">
        <f>IFERROR(__xludf.DUMMYFUNCTION("""COMPUTED_VALUE"""),"PENDIENTE CONFIRMACION")</f>
        <v>PENDIENTE CONFIRMACION</v>
      </c>
      <c r="L2033" s="65" t="str">
        <f>IFERROR(__xludf.DUMMYFUNCTION("""COMPUTED_VALUE"""),"CON RECAUDO")</f>
        <v>CON RECAUDO</v>
      </c>
      <c r="M2033" s="65" t="str">
        <f>IFERROR(__xludf.DUMMYFUNCTION("""COMPUTED_VALUE"""),"GUAYAS")</f>
        <v>GUAYAS</v>
      </c>
      <c r="N2033" s="65" t="str">
        <f>IFERROR(__xludf.DUMMYFUNCTION("""COMPUTED_VALUE"""),"SAMBORONDON")</f>
        <v>SAMBORONDON</v>
      </c>
      <c r="O2033" s="65" t="str">
        <f>IFERROR(__xludf.DUMMYFUNCTION("""COMPUTED_VALUE"""),"Ciudad celeste Atala babor Manza 3, Villa 18 -")</f>
        <v>Ciudad celeste Atala babor Manza 3, Villa 18 -</v>
      </c>
      <c r="P2033" s="65"/>
      <c r="Q2033" s="65" t="str">
        <f>IFERROR(__xludf.DUMMYFUNCTION("""COMPUTED_VALUE"""),"GINTRACOM")</f>
        <v>GINTRACOM</v>
      </c>
      <c r="R2033" s="65">
        <f>IFERROR(__xludf.DUMMYFUNCTION("""COMPUTED_VALUE"""),20.0)</f>
        <v>20</v>
      </c>
      <c r="S2033" s="65"/>
      <c r="T2033" s="65">
        <f>IFERROR(__xludf.DUMMYFUNCTION("""COMPUTED_VALUE"""),5.18)</f>
        <v>5.18</v>
      </c>
      <c r="U2033" s="65">
        <f>IFERROR(__xludf.DUMMYFUNCTION("""COMPUTED_VALUE"""),0.0)</f>
        <v>0</v>
      </c>
      <c r="V2033" s="65">
        <f>IFERROR(__xludf.DUMMYFUNCTION("""COMPUTED_VALUE"""),0.0)</f>
        <v>0</v>
      </c>
      <c r="W2033" s="65">
        <f>IFERROR(__xludf.DUMMYFUNCTION("""COMPUTED_VALUE"""),0.0)</f>
        <v>0</v>
      </c>
      <c r="X2033" s="65">
        <f>IFERROR(__xludf.DUMMYFUNCTION("""COMPUTED_VALUE"""),2.79)</f>
        <v>2.79</v>
      </c>
      <c r="Y2033" s="65">
        <f>IFERROR(__xludf.DUMMYFUNCTION("""COMPUTED_VALUE"""),2.79)</f>
        <v>2.79</v>
      </c>
      <c r="Z2033" s="65">
        <f>IFERROR(__xludf.DUMMYFUNCTION("""COMPUTED_VALUE"""),120732.0)</f>
        <v>120732</v>
      </c>
      <c r="AA2033" s="65" t="str">
        <f>IFERROR(__xludf.DUMMYFUNCTION("""COMPUTED_VALUE"""),"PROV-LMPVT")</f>
        <v>PROV-LMPVT</v>
      </c>
      <c r="AB2033" s="65"/>
      <c r="AC2033" s="65" t="str">
        <f>IFERROR(__xludf.DUMMYFUNCTION("""COMPUTED_VALUE"""),"LIMPIADOR DE PARABRISAS Y VENTANAS")</f>
        <v>LIMPIADOR DE PARABRISAS Y VENTANAS</v>
      </c>
      <c r="AD2033" s="65"/>
      <c r="AE2033" s="65">
        <f>IFERROR(__xludf.DUMMYFUNCTION("""COMPUTED_VALUE"""),1.0)</f>
        <v>1</v>
      </c>
      <c r="AF2033" s="65"/>
      <c r="AG2033" s="65"/>
      <c r="AH2033" s="65"/>
      <c r="AI2033" s="65"/>
      <c r="AJ2033" s="65"/>
      <c r="AK2033" s="65"/>
      <c r="AL2033" s="65"/>
      <c r="AM2033" s="65"/>
      <c r="AN2033" s="65"/>
      <c r="AO2033" s="65"/>
      <c r="AP2033" s="65"/>
      <c r="AQ2033" s="65"/>
      <c r="AR2033" s="65"/>
      <c r="AS2033" s="65"/>
      <c r="AT2033" s="65" t="str">
        <f>IFERROR(__xludf.DUMMYFUNCTION("""COMPUTED_VALUE"""),"SHOPIFY")</f>
        <v>SHOPIFY</v>
      </c>
      <c r="AU2033" s="65" t="str">
        <f>IFERROR(__xludf.DUMMYFUNCTION("""COMPUTED_VALUE"""),"IMPORTEX EC")</f>
        <v>IMPORTEX EC</v>
      </c>
      <c r="AV2033" s="65" t="str">
        <f>IFERROR(__xludf.DUMMYFUNCTION("""COMPUTED_VALUE"""),"6407381647404")</f>
        <v>6407381647404</v>
      </c>
      <c r="AW2033" s="65">
        <f>IFERROR(__xludf.DUMMYFUNCTION("""COMPUTED_VALUE"""),4937.0)</f>
        <v>4937</v>
      </c>
      <c r="AX2033" s="65"/>
      <c r="AY2033" s="65"/>
      <c r="AZ2033" s="65"/>
      <c r="BA2033" s="65"/>
    </row>
    <row r="2034">
      <c r="A2034" s="65" t="str">
        <f>IFERROR(__xludf.DUMMYFUNCTION("""COMPUTED_VALUE"""),"27-03-2026")</f>
        <v>27-03-2026</v>
      </c>
      <c r="B2034" s="65">
        <f>IFERROR(__xludf.DUMMYFUNCTION("""COMPUTED_VALUE"""),4106275.0)</f>
        <v>4106275</v>
      </c>
      <c r="C2034" s="65" t="str">
        <f>IFERROR(__xludf.DUMMYFUNCTION("""COMPUTED_VALUE"""),"16:20")</f>
        <v>16:20</v>
      </c>
      <c r="D2034" s="65" t="str">
        <f>IFERROR(__xludf.DUMMYFUNCTION("""COMPUTED_VALUE"""),"11-01-2026")</f>
        <v>11-01-2026</v>
      </c>
      <c r="E2034" s="65" t="str">
        <f>IFERROR(__xludf.DUMMYFUNCTION("""COMPUTED_VALUE"""),"Gerardo Florentino Pozo Calderón")</f>
        <v>Gerardo Florentino Pozo Calderón</v>
      </c>
      <c r="F2034" s="65" t="str">
        <f>IFERROR(__xludf.DUMMYFUNCTION("""COMPUTED_VALUE"""),"969188697")</f>
        <v>969188697</v>
      </c>
      <c r="G2034" s="65" t="str">
        <f>IFERROR(__xludf.DUMMYFUNCTION("""COMPUTED_VALUE"""),"gerardo_construcciones@hotmail.es")</f>
        <v>gerardo_construcciones@hotmail.es</v>
      </c>
      <c r="H2034" s="65"/>
      <c r="I2034" s="65"/>
      <c r="J2034" s="65" t="str">
        <f>IFERROR(__xludf.DUMMYFUNCTION("""COMPUTED_VALUE"""),"D001218396")</f>
        <v>D001218396</v>
      </c>
      <c r="K2034" s="65" t="str">
        <f>IFERROR(__xludf.DUMMYFUNCTION("""COMPUTED_VALUE"""),"ENTREGADO")</f>
        <v>ENTREGADO</v>
      </c>
      <c r="L2034" s="65" t="str">
        <f>IFERROR(__xludf.DUMMYFUNCTION("""COMPUTED_VALUE"""),"CON RECAUDO")</f>
        <v>CON RECAUDO</v>
      </c>
      <c r="M2034" s="65" t="str">
        <f>IFERROR(__xludf.DUMMYFUNCTION("""COMPUTED_VALUE"""),"GUAYAS")</f>
        <v>GUAYAS</v>
      </c>
      <c r="N2034" s="65" t="str">
        <f>IFERROR(__xludf.DUMMYFUNCTION("""COMPUTED_VALUE"""),"GUAYAQUIL")</f>
        <v>GUAYAQUIL</v>
      </c>
      <c r="O2034" s="65" t="str">
        <f>IFERROR(__xludf.DUMMYFUNCTION("""COMPUTED_VALUE"""),"41 entre la O y callejón P Batallón del suburbio al lado de la farmacia Cruz azul -")</f>
        <v>41 entre la O y callejón P Batallón del suburbio al lado de la farmacia Cruz azul -</v>
      </c>
      <c r="P2034" s="65"/>
      <c r="Q2034" s="65" t="str">
        <f>IFERROR(__xludf.DUMMYFUNCTION("""COMPUTED_VALUE"""),"GINTRACOM")</f>
        <v>GINTRACOM</v>
      </c>
      <c r="R2034" s="65">
        <f>IFERROR(__xludf.DUMMYFUNCTION("""COMPUTED_VALUE"""),32.0)</f>
        <v>32</v>
      </c>
      <c r="S2034" s="65">
        <f>IFERROR(__xludf.DUMMYFUNCTION("""COMPUTED_VALUE"""),16.97)</f>
        <v>16.97</v>
      </c>
      <c r="T2034" s="65">
        <f>IFERROR(__xludf.DUMMYFUNCTION("""COMPUTED_VALUE"""),4.63)</f>
        <v>4.63</v>
      </c>
      <c r="U2034" s="65">
        <f>IFERROR(__xludf.DUMMYFUNCTION("""COMPUTED_VALUE"""),0.0)</f>
        <v>0</v>
      </c>
      <c r="V2034" s="65">
        <f>IFERROR(__xludf.DUMMYFUNCTION("""COMPUTED_VALUE"""),0.0)</f>
        <v>0</v>
      </c>
      <c r="W2034" s="65">
        <f>IFERROR(__xludf.DUMMYFUNCTION("""COMPUTED_VALUE"""),0.0)</f>
        <v>0</v>
      </c>
      <c r="X2034" s="65">
        <f>IFERROR(__xludf.DUMMYFUNCTION("""COMPUTED_VALUE"""),2.6)</f>
        <v>2.6</v>
      </c>
      <c r="Y2034" s="65">
        <f>IFERROR(__xludf.DUMMYFUNCTION("""COMPUTED_VALUE"""),10.4)</f>
        <v>10.4</v>
      </c>
      <c r="Z2034" s="65">
        <f>IFERROR(__xludf.DUMMYFUNCTION("""COMPUTED_VALUE"""),121983.0)</f>
        <v>121983</v>
      </c>
      <c r="AA2034" s="65" t="str">
        <f>IFERROR(__xludf.DUMMYFUNCTION("""COMPUTED_VALUE"""),"PROV-CHLLCF")</f>
        <v>PROV-CHLLCF</v>
      </c>
      <c r="AB2034" s="65"/>
      <c r="AC2034" s="65" t="str">
        <f>IFERROR(__xludf.DUMMYFUNCTION("""COMPUTED_VALUE"""),"CUCHILLO PARA CHEF")</f>
        <v>CUCHILLO PARA CHEF</v>
      </c>
      <c r="AD2034" s="65"/>
      <c r="AE2034" s="65">
        <f>IFERROR(__xludf.DUMMYFUNCTION("""COMPUTED_VALUE"""),4.0)</f>
        <v>4</v>
      </c>
      <c r="AF2034" s="65"/>
      <c r="AG2034" s="65"/>
      <c r="AH2034" s="65"/>
      <c r="AI2034" s="65"/>
      <c r="AJ2034" s="65"/>
      <c r="AK2034" s="65"/>
      <c r="AL2034" s="65"/>
      <c r="AM2034" s="65"/>
      <c r="AN2034" s="65" t="str">
        <f>IFERROR(__xludf.DUMMYFUNCTION("""COMPUTED_VALUE"""),"11:07")</f>
        <v>11:07</v>
      </c>
      <c r="AO2034" s="65" t="str">
        <f>IFERROR(__xludf.DUMMYFUNCTION("""COMPUTED_VALUE"""),"14-01-2026")</f>
        <v>14-01-2026</v>
      </c>
      <c r="AP2034" s="65" t="str">
        <f>IFERROR(__xludf.DUMMYFUNCTION("""COMPUTED_VALUE"""),"ENTREGADA GINTRACOM")</f>
        <v>ENTREGADA GINTRACOM</v>
      </c>
      <c r="AQ2034" s="65" t="str">
        <f>IFERROR(__xludf.DUMMYFUNCTION("""COMPUTED_VALUE"""),"ENTREGADA GINTRACOM")</f>
        <v>ENTREGADA GINTRACOM</v>
      </c>
      <c r="AR2034" s="65"/>
      <c r="AS2034" s="65"/>
      <c r="AT2034" s="65" t="str">
        <f>IFERROR(__xludf.DUMMYFUNCTION("""COMPUTED_VALUE"""),"SHOPIFY")</f>
        <v>SHOPIFY</v>
      </c>
      <c r="AU2034" s="65" t="str">
        <f>IFERROR(__xludf.DUMMYFUNCTION("""COMPUTED_VALUE"""),"IMPORTEX EC")</f>
        <v>IMPORTEX EC</v>
      </c>
      <c r="AV2034" s="65" t="str">
        <f>IFERROR(__xludf.DUMMYFUNCTION("""COMPUTED_VALUE"""),"6407371456556")</f>
        <v>6407371456556</v>
      </c>
      <c r="AW2034" s="65">
        <f>IFERROR(__xludf.DUMMYFUNCTION("""COMPUTED_VALUE"""),4936.0)</f>
        <v>4936</v>
      </c>
      <c r="AX2034" s="65"/>
      <c r="AY2034" s="65" t="str">
        <f>IFERROR(__xludf.DUMMYFUNCTION("""COMPUTED_VALUE"""),"13/01/2026")</f>
        <v>13/01/2026</v>
      </c>
      <c r="AZ2034" s="65"/>
      <c r="BA2034" s="65"/>
    </row>
    <row r="2035">
      <c r="A2035" s="65" t="str">
        <f>IFERROR(__xludf.DUMMYFUNCTION("""COMPUTED_VALUE"""),"27-03-2026")</f>
        <v>27-03-2026</v>
      </c>
      <c r="B2035" s="65">
        <f>IFERROR(__xludf.DUMMYFUNCTION("""COMPUTED_VALUE"""),4106161.0)</f>
        <v>4106161</v>
      </c>
      <c r="C2035" s="65" t="str">
        <f>IFERROR(__xludf.DUMMYFUNCTION("""COMPUTED_VALUE"""),"16:05")</f>
        <v>16:05</v>
      </c>
      <c r="D2035" s="65" t="str">
        <f>IFERROR(__xludf.DUMMYFUNCTION("""COMPUTED_VALUE"""),"11-01-2026")</f>
        <v>11-01-2026</v>
      </c>
      <c r="E2035" s="65" t="str">
        <f>IFERROR(__xludf.DUMMYFUNCTION("""COMPUTED_VALUE"""),"José intriago")</f>
        <v>José intriago</v>
      </c>
      <c r="F2035" s="65" t="str">
        <f>IFERROR(__xludf.DUMMYFUNCTION("""COMPUTED_VALUE"""),"994172680")</f>
        <v>994172680</v>
      </c>
      <c r="G2035" s="65" t="str">
        <f>IFERROR(__xludf.DUMMYFUNCTION("""COMPUTED_VALUE"""),"joseint@hotmail.es")</f>
        <v>joseint@hotmail.es</v>
      </c>
      <c r="H2035" s="65"/>
      <c r="I2035" s="65"/>
      <c r="J2035" s="65" t="str">
        <f>IFERROR(__xludf.DUMMYFUNCTION("""COMPUTED_VALUE"""),"D001218397")</f>
        <v>D001218397</v>
      </c>
      <c r="K2035" s="65" t="str">
        <f>IFERROR(__xludf.DUMMYFUNCTION("""COMPUTED_VALUE"""),"ENTREGADO")</f>
        <v>ENTREGADO</v>
      </c>
      <c r="L2035" s="65" t="str">
        <f>IFERROR(__xludf.DUMMYFUNCTION("""COMPUTED_VALUE"""),"CON RECAUDO")</f>
        <v>CON RECAUDO</v>
      </c>
      <c r="M2035" s="65" t="str">
        <f>IFERROR(__xludf.DUMMYFUNCTION("""COMPUTED_VALUE"""),"MANABI")</f>
        <v>MANABI</v>
      </c>
      <c r="N2035" s="65" t="str">
        <f>IFERROR(__xludf.DUMMYFUNCTION("""COMPUTED_VALUE"""),"PORTOVIEJO")</f>
        <v>PORTOVIEJO</v>
      </c>
      <c r="O2035" s="65" t="str">
        <f>IFERROR(__xludf.DUMMYFUNCTION("""COMPUTED_VALUE"""),"Cordova y ricaurte -Oficinas del Cuerpo de Bomberos Portoviejo Calle Córdoba y Ricaurte esquina")</f>
        <v>Cordova y ricaurte -Oficinas del Cuerpo de Bomberos Portoviejo Calle Córdoba y Ricaurte esquina</v>
      </c>
      <c r="P2035" s="65"/>
      <c r="Q2035" s="65" t="str">
        <f>IFERROR(__xludf.DUMMYFUNCTION("""COMPUTED_VALUE"""),"GINTRACOM")</f>
        <v>GINTRACOM</v>
      </c>
      <c r="R2035" s="65">
        <f>IFERROR(__xludf.DUMMYFUNCTION("""COMPUTED_VALUE"""),22.0)</f>
        <v>22</v>
      </c>
      <c r="S2035" s="65">
        <f>IFERROR(__xludf.DUMMYFUNCTION("""COMPUTED_VALUE"""),10.96)</f>
        <v>10.96</v>
      </c>
      <c r="T2035" s="65">
        <f>IFERROR(__xludf.DUMMYFUNCTION("""COMPUTED_VALUE"""),5.84)</f>
        <v>5.84</v>
      </c>
      <c r="U2035" s="65">
        <f>IFERROR(__xludf.DUMMYFUNCTION("""COMPUTED_VALUE"""),0.0)</f>
        <v>0</v>
      </c>
      <c r="V2035" s="65">
        <f>IFERROR(__xludf.DUMMYFUNCTION("""COMPUTED_VALUE"""),0.0)</f>
        <v>0</v>
      </c>
      <c r="W2035" s="65">
        <f>IFERROR(__xludf.DUMMYFUNCTION("""COMPUTED_VALUE"""),0.0)</f>
        <v>0</v>
      </c>
      <c r="X2035" s="65">
        <f>IFERROR(__xludf.DUMMYFUNCTION("""COMPUTED_VALUE"""),2.6)</f>
        <v>2.6</v>
      </c>
      <c r="Y2035" s="65">
        <f>IFERROR(__xludf.DUMMYFUNCTION("""COMPUTED_VALUE"""),5.2)</f>
        <v>5.2</v>
      </c>
      <c r="Z2035" s="65">
        <f>IFERROR(__xludf.DUMMYFUNCTION("""COMPUTED_VALUE"""),121983.0)</f>
        <v>121983</v>
      </c>
      <c r="AA2035" s="65" t="str">
        <f>IFERROR(__xludf.DUMMYFUNCTION("""COMPUTED_VALUE"""),"PROV-CHLLCF")</f>
        <v>PROV-CHLLCF</v>
      </c>
      <c r="AB2035" s="65"/>
      <c r="AC2035" s="65" t="str">
        <f>IFERROR(__xludf.DUMMYFUNCTION("""COMPUTED_VALUE"""),"CUCHILLO PARA CHEF")</f>
        <v>CUCHILLO PARA CHEF</v>
      </c>
      <c r="AD2035" s="65"/>
      <c r="AE2035" s="65">
        <f>IFERROR(__xludf.DUMMYFUNCTION("""COMPUTED_VALUE"""),2.0)</f>
        <v>2</v>
      </c>
      <c r="AF2035" s="65" t="str">
        <f>IFERROR(__xludf.DUMMYFUNCTION("""COMPUTED_VALUE"""),"DESTINATARIO NO SE ENCUENTRA EN LUGAR DE ENTREGA.")</f>
        <v>DESTINATARIO NO SE ENCUENTRA EN LUGAR DE ENTREGA.</v>
      </c>
      <c r="AG2035" s="65" t="str">
        <f>IFERROR(__xludf.DUMMYFUNCTION("""COMPUTED_VALUE"""),"SI")</f>
        <v>SI</v>
      </c>
      <c r="AH2035" s="65" t="str">
        <f>IFERROR(__xludf.DUMMYFUNCTION("""COMPUTED_VALUE"""),"15:04")</f>
        <v>15:04</v>
      </c>
      <c r="AI2035" s="65" t="str">
        <f>IFERROR(__xludf.DUMMYFUNCTION("""COMPUTED_VALUE"""),"15-01-2026")</f>
        <v>15-01-2026</v>
      </c>
      <c r="AJ2035" s="65"/>
      <c r="AK2035" s="65"/>
      <c r="AL2035" s="65"/>
      <c r="AM2035" s="65"/>
      <c r="AN2035" s="65" t="str">
        <f>IFERROR(__xludf.DUMMYFUNCTION("""COMPUTED_VALUE"""),"09:37")</f>
        <v>09:37</v>
      </c>
      <c r="AO2035" s="65" t="str">
        <f>IFERROR(__xludf.DUMMYFUNCTION("""COMPUTED_VALUE"""),"20-01-2026")</f>
        <v>20-01-2026</v>
      </c>
      <c r="AP2035" s="65" t="str">
        <f>IFERROR(__xludf.DUMMYFUNCTION("""COMPUTED_VALUE"""),"ENTREGADA GINTRACOM")</f>
        <v>ENTREGADA GINTRACOM</v>
      </c>
      <c r="AQ2035" s="65" t="str">
        <f>IFERROR(__xludf.DUMMYFUNCTION("""COMPUTED_VALUE"""),"ENTREGADA GINTRACOM")</f>
        <v>ENTREGADA GINTRACOM</v>
      </c>
      <c r="AR2035" s="65"/>
      <c r="AS2035" s="65"/>
      <c r="AT2035" s="65" t="str">
        <f>IFERROR(__xludf.DUMMYFUNCTION("""COMPUTED_VALUE"""),"SHOPIFY")</f>
        <v>SHOPIFY</v>
      </c>
      <c r="AU2035" s="65" t="str">
        <f>IFERROR(__xludf.DUMMYFUNCTION("""COMPUTED_VALUE"""),"IMPORTEX EC")</f>
        <v>IMPORTEX EC</v>
      </c>
      <c r="AV2035" s="65" t="str">
        <f>IFERROR(__xludf.DUMMYFUNCTION("""COMPUTED_VALUE"""),"6407343341612")</f>
        <v>6407343341612</v>
      </c>
      <c r="AW2035" s="65">
        <f>IFERROR(__xludf.DUMMYFUNCTION("""COMPUTED_VALUE"""),4935.0)</f>
        <v>4935</v>
      </c>
      <c r="AX2035" s="65"/>
      <c r="AY2035" s="65" t="str">
        <f>IFERROR(__xludf.DUMMYFUNCTION("""COMPUTED_VALUE"""),"13/01/2026")</f>
        <v>13/01/2026</v>
      </c>
      <c r="AZ2035" s="65"/>
      <c r="BA2035" s="65"/>
    </row>
    <row r="2036">
      <c r="A2036" s="65" t="str">
        <f>IFERROR(__xludf.DUMMYFUNCTION("""COMPUTED_VALUE"""),"27-03-2026")</f>
        <v>27-03-2026</v>
      </c>
      <c r="B2036" s="65">
        <f>IFERROR(__xludf.DUMMYFUNCTION("""COMPUTED_VALUE"""),4105987.0)</f>
        <v>4105987</v>
      </c>
      <c r="C2036" s="65" t="str">
        <f>IFERROR(__xludf.DUMMYFUNCTION("""COMPUTED_VALUE"""),"15:45")</f>
        <v>15:45</v>
      </c>
      <c r="D2036" s="65" t="str">
        <f>IFERROR(__xludf.DUMMYFUNCTION("""COMPUTED_VALUE"""),"11-01-2026")</f>
        <v>11-01-2026</v>
      </c>
      <c r="E2036" s="65" t="str">
        <f>IFERROR(__xludf.DUMMYFUNCTION("""COMPUTED_VALUE"""),"Martha Roldan Roldan")</f>
        <v>Martha Roldan Roldan</v>
      </c>
      <c r="F2036" s="65" t="str">
        <f>IFERROR(__xludf.DUMMYFUNCTION("""COMPUTED_VALUE"""),"985064705")</f>
        <v>985064705</v>
      </c>
      <c r="G2036" s="65" t="str">
        <f>IFERROR(__xludf.DUMMYFUNCTION("""COMPUTED_VALUE"""),"lasdeliciasdemarthita@gmail.com")</f>
        <v>lasdeliciasdemarthita@gmail.com</v>
      </c>
      <c r="H2036" s="65"/>
      <c r="I2036" s="65"/>
      <c r="J2036" s="65" t="str">
        <f>IFERROR(__xludf.DUMMYFUNCTION("""COMPUTED_VALUE"""),"D001218398")</f>
        <v>D001218398</v>
      </c>
      <c r="K2036" s="65" t="str">
        <f>IFERROR(__xludf.DUMMYFUNCTION("""COMPUTED_VALUE"""),"DEVOLUCION")</f>
        <v>DEVOLUCION</v>
      </c>
      <c r="L2036" s="65" t="str">
        <f>IFERROR(__xludf.DUMMYFUNCTION("""COMPUTED_VALUE"""),"CON RECAUDO")</f>
        <v>CON RECAUDO</v>
      </c>
      <c r="M2036" s="65" t="str">
        <f>IFERROR(__xludf.DUMMYFUNCTION("""COMPUTED_VALUE"""),"ORELLANA")</f>
        <v>ORELLANA</v>
      </c>
      <c r="N2036" s="65" t="str">
        <f>IFERROR(__xludf.DUMMYFUNCTION("""COMPUTED_VALUE"""),"EL COCA")</f>
        <v>EL COCA</v>
      </c>
      <c r="O2036" s="65" t="str">
        <f>IFERROR(__xludf.DUMMYFUNCTION("""COMPUTED_VALUE"""),"En el aeropuerto Alejandro labaka -")</f>
        <v>En el aeropuerto Alejandro labaka -</v>
      </c>
      <c r="P2036" s="65"/>
      <c r="Q2036" s="65" t="str">
        <f>IFERROR(__xludf.DUMMYFUNCTION("""COMPUTED_VALUE"""),"GINTRACOM")</f>
        <v>GINTRACOM</v>
      </c>
      <c r="R2036" s="65">
        <f>IFERROR(__xludf.DUMMYFUNCTION("""COMPUTED_VALUE"""),25.0)</f>
        <v>25</v>
      </c>
      <c r="S2036" s="65"/>
      <c r="T2036" s="65">
        <f>IFERROR(__xludf.DUMMYFUNCTION("""COMPUTED_VALUE"""),5.96)</f>
        <v>5.96</v>
      </c>
      <c r="U2036" s="65">
        <f>IFERROR(__xludf.DUMMYFUNCTION("""COMPUTED_VALUE"""),0.0)</f>
        <v>0</v>
      </c>
      <c r="V2036" s="65">
        <f>IFERROR(__xludf.DUMMYFUNCTION("""COMPUTED_VALUE"""),0.0)</f>
        <v>0</v>
      </c>
      <c r="W2036" s="65">
        <f>IFERROR(__xludf.DUMMYFUNCTION("""COMPUTED_VALUE"""),0.0)</f>
        <v>0</v>
      </c>
      <c r="X2036" s="65">
        <f>IFERROR(__xludf.DUMMYFUNCTION("""COMPUTED_VALUE"""),2.79)</f>
        <v>2.79</v>
      </c>
      <c r="Y2036" s="65">
        <f>IFERROR(__xludf.DUMMYFUNCTION("""COMPUTED_VALUE"""),5.58)</f>
        <v>5.58</v>
      </c>
      <c r="Z2036" s="65">
        <f>IFERROR(__xludf.DUMMYFUNCTION("""COMPUTED_VALUE"""),120732.0)</f>
        <v>120732</v>
      </c>
      <c r="AA2036" s="65" t="str">
        <f>IFERROR(__xludf.DUMMYFUNCTION("""COMPUTED_VALUE"""),"PROV-LMPVT")</f>
        <v>PROV-LMPVT</v>
      </c>
      <c r="AB2036" s="65"/>
      <c r="AC2036" s="65" t="str">
        <f>IFERROR(__xludf.DUMMYFUNCTION("""COMPUTED_VALUE"""),"LIMPIADOR DE PARABRISAS Y VENTANAS")</f>
        <v>LIMPIADOR DE PARABRISAS Y VENTANAS</v>
      </c>
      <c r="AD2036" s="65"/>
      <c r="AE2036" s="65">
        <f>IFERROR(__xludf.DUMMYFUNCTION("""COMPUTED_VALUE"""),2.0)</f>
        <v>2</v>
      </c>
      <c r="AF2036" s="65" t="str">
        <f>IFERROR(__xludf.DUMMYFUNCTION("""COMPUTED_VALUE"""),"DESTINATARIO NO CONTESTA LLAMADAS NI WHATSAPP")</f>
        <v>DESTINATARIO NO CONTESTA LLAMADAS NI WHATSAPP</v>
      </c>
      <c r="AG2036" s="65" t="str">
        <f>IFERROR(__xludf.DUMMYFUNCTION("""COMPUTED_VALUE"""),"NO")</f>
        <v>NO</v>
      </c>
      <c r="AH2036" s="65" t="str">
        <f>IFERROR(__xludf.DUMMYFUNCTION("""COMPUTED_VALUE"""),"09:00")</f>
        <v>09:00</v>
      </c>
      <c r="AI2036" s="65" t="str">
        <f>IFERROR(__xludf.DUMMYFUNCTION("""COMPUTED_VALUE"""),"23-01-2026")</f>
        <v>23-01-2026</v>
      </c>
      <c r="AJ2036" s="65"/>
      <c r="AK2036" s="65"/>
      <c r="AL2036" s="65"/>
      <c r="AM2036" s="65"/>
      <c r="AN2036" s="65" t="str">
        <f>IFERROR(__xludf.DUMMYFUNCTION("""COMPUTED_VALUE"""),"09:16")</f>
        <v>09:16</v>
      </c>
      <c r="AO2036" s="65" t="str">
        <f>IFERROR(__xludf.DUMMYFUNCTION("""COMPUTED_VALUE"""),"10-02-2026")</f>
        <v>10-02-2026</v>
      </c>
      <c r="AP2036" s="65" t="str">
        <f>IFERROR(__xludf.DUMMYFUNCTION("""COMPUTED_VALUE"""),"DEV CONFIRMADA POR BODEGA")</f>
        <v>DEV CONFIRMADA POR BODEGA</v>
      </c>
      <c r="AQ2036" s="65"/>
      <c r="AR2036" s="65" t="str">
        <f>IFERROR(__xludf.DUMMYFUNCTION("""COMPUTED_VALUE"""),"Gestionado por: Moran Daniel, email:danielmorga2005@gmail.com, total de productos en la orden: 1")</f>
        <v>Gestionado por: Moran Daniel, email:danielmorga2005@gmail.com, total de productos en la orden: 1</v>
      </c>
      <c r="AS2036" s="65"/>
      <c r="AT2036" s="65" t="str">
        <f>IFERROR(__xludf.DUMMYFUNCTION("""COMPUTED_VALUE"""),"SHOPIFY")</f>
        <v>SHOPIFY</v>
      </c>
      <c r="AU2036" s="65" t="str">
        <f>IFERROR(__xludf.DUMMYFUNCTION("""COMPUTED_VALUE"""),"IMPORTEX EC")</f>
        <v>IMPORTEX EC</v>
      </c>
      <c r="AV2036" s="65" t="str">
        <f>IFERROR(__xludf.DUMMYFUNCTION("""COMPUTED_VALUE"""),"6407296876588")</f>
        <v>6407296876588</v>
      </c>
      <c r="AW2036" s="65">
        <f>IFERROR(__xludf.DUMMYFUNCTION("""COMPUTED_VALUE"""),4934.0)</f>
        <v>4934</v>
      </c>
      <c r="AX2036" s="65"/>
      <c r="AY2036" s="65" t="str">
        <f>IFERROR(__xludf.DUMMYFUNCTION("""COMPUTED_VALUE"""),"13/01/2026")</f>
        <v>13/01/2026</v>
      </c>
      <c r="AZ2036" s="65"/>
      <c r="BA2036" s="65"/>
    </row>
    <row r="2037">
      <c r="A2037" s="65" t="str">
        <f>IFERROR(__xludf.DUMMYFUNCTION("""COMPUTED_VALUE"""),"27-03-2026")</f>
        <v>27-03-2026</v>
      </c>
      <c r="B2037" s="65">
        <f>IFERROR(__xludf.DUMMYFUNCTION("""COMPUTED_VALUE"""),4105728.0)</f>
        <v>4105728</v>
      </c>
      <c r="C2037" s="65" t="str">
        <f>IFERROR(__xludf.DUMMYFUNCTION("""COMPUTED_VALUE"""),"15:13")</f>
        <v>15:13</v>
      </c>
      <c r="D2037" s="65" t="str">
        <f>IFERROR(__xludf.DUMMYFUNCTION("""COMPUTED_VALUE"""),"11-01-2026")</f>
        <v>11-01-2026</v>
      </c>
      <c r="E2037" s="65" t="str">
        <f>IFERROR(__xludf.DUMMYFUNCTION("""COMPUTED_VALUE"""),"Luis Miguel Bassante Ampudia")</f>
        <v>Luis Miguel Bassante Ampudia</v>
      </c>
      <c r="F2037" s="65" t="str">
        <f>IFERROR(__xludf.DUMMYFUNCTION("""COMPUTED_VALUE"""),"969355050")</f>
        <v>969355050</v>
      </c>
      <c r="G2037" s="65" t="str">
        <f>IFERROR(__xludf.DUMMYFUNCTION("""COMPUTED_VALUE"""),"miguelbassante1969@outlook.com")</f>
        <v>miguelbassante1969@outlook.com</v>
      </c>
      <c r="H2037" s="65"/>
      <c r="I2037" s="65"/>
      <c r="J2037" s="65" t="str">
        <f>IFERROR(__xludf.DUMMYFUNCTION("""COMPUTED_VALUE"""),"D001218399")</f>
        <v>D001218399</v>
      </c>
      <c r="K2037" s="65" t="str">
        <f>IFERROR(__xludf.DUMMYFUNCTION("""COMPUTED_VALUE"""),"ENTREGADO")</f>
        <v>ENTREGADO</v>
      </c>
      <c r="L2037" s="65" t="str">
        <f>IFERROR(__xludf.DUMMYFUNCTION("""COMPUTED_VALUE"""),"CON RECAUDO")</f>
        <v>CON RECAUDO</v>
      </c>
      <c r="M2037" s="65" t="str">
        <f>IFERROR(__xludf.DUMMYFUNCTION("""COMPUTED_VALUE"""),"PICHINCHA")</f>
        <v>PICHINCHA</v>
      </c>
      <c r="N2037" s="65" t="str">
        <f>IFERROR(__xludf.DUMMYFUNCTION("""COMPUTED_VALUE"""),"QUITO")</f>
        <v>QUITO</v>
      </c>
      <c r="O2037" s="65" t="str">
        <f>IFERROR(__xludf.DUMMYFUNCTION("""COMPUTED_VALUE"""),"Yaruqui, Sector Chugulin E 35 y calle Quito - Centro de Negocios el Agro. Local No. 1 MBJC CONSTRUCTORA INMOBILIARIA")</f>
        <v>Yaruqui, Sector Chugulin E 35 y calle Quito - Centro de Negocios el Agro. Local No. 1 MBJC CONSTRUCTORA INMOBILIARIA</v>
      </c>
      <c r="P2037" s="65"/>
      <c r="Q2037" s="65" t="str">
        <f>IFERROR(__xludf.DUMMYFUNCTION("""COMPUTED_VALUE"""),"GINTRACOM")</f>
        <v>GINTRACOM</v>
      </c>
      <c r="R2037" s="65">
        <f>IFERROR(__xludf.DUMMYFUNCTION("""COMPUTED_VALUE"""),27.0)</f>
        <v>27</v>
      </c>
      <c r="S2037" s="65">
        <f>IFERROR(__xludf.DUMMYFUNCTION("""COMPUTED_VALUE"""),13.17)</f>
        <v>13.17</v>
      </c>
      <c r="T2037" s="65">
        <f>IFERROR(__xludf.DUMMYFUNCTION("""COMPUTED_VALUE"""),6.03)</f>
        <v>6.03</v>
      </c>
      <c r="U2037" s="65">
        <f>IFERROR(__xludf.DUMMYFUNCTION("""COMPUTED_VALUE"""),0.0)</f>
        <v>0</v>
      </c>
      <c r="V2037" s="65">
        <f>IFERROR(__xludf.DUMMYFUNCTION("""COMPUTED_VALUE"""),0.0)</f>
        <v>0</v>
      </c>
      <c r="W2037" s="65">
        <f>IFERROR(__xludf.DUMMYFUNCTION("""COMPUTED_VALUE"""),0.0)</f>
        <v>0</v>
      </c>
      <c r="X2037" s="65">
        <f>IFERROR(__xludf.DUMMYFUNCTION("""COMPUTED_VALUE"""),2.6)</f>
        <v>2.6</v>
      </c>
      <c r="Y2037" s="65">
        <f>IFERROR(__xludf.DUMMYFUNCTION("""COMPUTED_VALUE"""),7.8)</f>
        <v>7.8</v>
      </c>
      <c r="Z2037" s="65">
        <f>IFERROR(__xludf.DUMMYFUNCTION("""COMPUTED_VALUE"""),121983.0)</f>
        <v>121983</v>
      </c>
      <c r="AA2037" s="65" t="str">
        <f>IFERROR(__xludf.DUMMYFUNCTION("""COMPUTED_VALUE"""),"PROV-CHLLCF")</f>
        <v>PROV-CHLLCF</v>
      </c>
      <c r="AB2037" s="65"/>
      <c r="AC2037" s="65" t="str">
        <f>IFERROR(__xludf.DUMMYFUNCTION("""COMPUTED_VALUE"""),"CUCHILLO PARA CHEF")</f>
        <v>CUCHILLO PARA CHEF</v>
      </c>
      <c r="AD2037" s="65"/>
      <c r="AE2037" s="65">
        <f>IFERROR(__xludf.DUMMYFUNCTION("""COMPUTED_VALUE"""),3.0)</f>
        <v>3</v>
      </c>
      <c r="AF2037" s="65"/>
      <c r="AG2037" s="65"/>
      <c r="AH2037" s="65"/>
      <c r="AI2037" s="65"/>
      <c r="AJ2037" s="65"/>
      <c r="AK2037" s="65"/>
      <c r="AL2037" s="65"/>
      <c r="AM2037" s="65"/>
      <c r="AN2037" s="65" t="str">
        <f>IFERROR(__xludf.DUMMYFUNCTION("""COMPUTED_VALUE"""),"18:59")</f>
        <v>18:59</v>
      </c>
      <c r="AO2037" s="65" t="str">
        <f>IFERROR(__xludf.DUMMYFUNCTION("""COMPUTED_VALUE"""),"16-01-2026")</f>
        <v>16-01-2026</v>
      </c>
      <c r="AP2037" s="65" t="str">
        <f>IFERROR(__xludf.DUMMYFUNCTION("""COMPUTED_VALUE"""),"ENTREGADA GINTRACOM")</f>
        <v>ENTREGADA GINTRACOM</v>
      </c>
      <c r="AQ2037" s="65" t="str">
        <f>IFERROR(__xludf.DUMMYFUNCTION("""COMPUTED_VALUE"""),"ENTREGADA GINTRACOM")</f>
        <v>ENTREGADA GINTRACOM</v>
      </c>
      <c r="AR2037" s="65"/>
      <c r="AS2037" s="65"/>
      <c r="AT2037" s="65" t="str">
        <f>IFERROR(__xludf.DUMMYFUNCTION("""COMPUTED_VALUE"""),"SHOPIFY")</f>
        <v>SHOPIFY</v>
      </c>
      <c r="AU2037" s="65" t="str">
        <f>IFERROR(__xludf.DUMMYFUNCTION("""COMPUTED_VALUE"""),"IMPORTEX EC")</f>
        <v>IMPORTEX EC</v>
      </c>
      <c r="AV2037" s="65" t="str">
        <f>IFERROR(__xludf.DUMMYFUNCTION("""COMPUTED_VALUE"""),"6407220756524")</f>
        <v>6407220756524</v>
      </c>
      <c r="AW2037" s="65">
        <f>IFERROR(__xludf.DUMMYFUNCTION("""COMPUTED_VALUE"""),4933.0)</f>
        <v>4933</v>
      </c>
      <c r="AX2037" s="65"/>
      <c r="AY2037" s="65" t="str">
        <f>IFERROR(__xludf.DUMMYFUNCTION("""COMPUTED_VALUE"""),"13/01/2026")</f>
        <v>13/01/2026</v>
      </c>
      <c r="AZ2037" s="65"/>
      <c r="BA2037" s="65"/>
    </row>
    <row r="2038">
      <c r="A2038" s="65" t="str">
        <f>IFERROR(__xludf.DUMMYFUNCTION("""COMPUTED_VALUE"""),"27-03-2026")</f>
        <v>27-03-2026</v>
      </c>
      <c r="B2038" s="65">
        <f>IFERROR(__xludf.DUMMYFUNCTION("""COMPUTED_VALUE"""),4105659.0)</f>
        <v>4105659</v>
      </c>
      <c r="C2038" s="65" t="str">
        <f>IFERROR(__xludf.DUMMYFUNCTION("""COMPUTED_VALUE"""),"15:05")</f>
        <v>15:05</v>
      </c>
      <c r="D2038" s="65" t="str">
        <f>IFERROR(__xludf.DUMMYFUNCTION("""COMPUTED_VALUE"""),"11-01-2026")</f>
        <v>11-01-2026</v>
      </c>
      <c r="E2038" s="65" t="str">
        <f>IFERROR(__xludf.DUMMYFUNCTION("""COMPUTED_VALUE"""),"Marco Calero Hidalgo")</f>
        <v>Marco Calero Hidalgo</v>
      </c>
      <c r="F2038" s="65" t="str">
        <f>IFERROR(__xludf.DUMMYFUNCTION("""COMPUTED_VALUE"""),"995651159")</f>
        <v>995651159</v>
      </c>
      <c r="G2038" s="65" t="str">
        <f>IFERROR(__xludf.DUMMYFUNCTION("""COMPUTED_VALUE"""),"marcoland0801@hotmail.com")</f>
        <v>marcoland0801@hotmail.com</v>
      </c>
      <c r="H2038" s="65"/>
      <c r="I2038" s="65"/>
      <c r="J2038" s="65" t="str">
        <f>IFERROR(__xludf.DUMMYFUNCTION("""COMPUTED_VALUE"""),"D001216221")</f>
        <v>D001216221</v>
      </c>
      <c r="K2038" s="65" t="str">
        <f>IFERROR(__xludf.DUMMYFUNCTION("""COMPUTED_VALUE"""),"ENTREGADO")</f>
        <v>ENTREGADO</v>
      </c>
      <c r="L2038" s="65" t="str">
        <f>IFERROR(__xludf.DUMMYFUNCTION("""COMPUTED_VALUE"""),"CON RECAUDO")</f>
        <v>CON RECAUDO</v>
      </c>
      <c r="M2038" s="65" t="str">
        <f>IFERROR(__xludf.DUMMYFUNCTION("""COMPUTED_VALUE"""),"TUNGURAHUA")</f>
        <v>TUNGURAHUA</v>
      </c>
      <c r="N2038" s="65" t="str">
        <f>IFERROR(__xludf.DUMMYFUNCTION("""COMPUTED_VALUE"""),"AMBATO")</f>
        <v>AMBATO</v>
      </c>
      <c r="O2038" s="65" t="str">
        <f>IFERROR(__xludf.DUMMYFUNCTION("""COMPUTED_VALUE"""),"Sector Cashapamba - Calle Eduardo Paredes 0107 y Calle César Borja -Ref. Tras la Clínica Durán casa celeste,")</f>
        <v>Sector Cashapamba - Calle Eduardo Paredes 0107 y Calle César Borja -Ref. Tras la Clínica Durán casa celeste,</v>
      </c>
      <c r="P2038" s="65"/>
      <c r="Q2038" s="65" t="str">
        <f>IFERROR(__xludf.DUMMYFUNCTION("""COMPUTED_VALUE"""),"GINTRACOM")</f>
        <v>GINTRACOM</v>
      </c>
      <c r="R2038" s="65">
        <f>IFERROR(__xludf.DUMMYFUNCTION("""COMPUTED_VALUE"""),22.0)</f>
        <v>22</v>
      </c>
      <c r="S2038" s="65">
        <f>IFERROR(__xludf.DUMMYFUNCTION("""COMPUTED_VALUE"""),10.96)</f>
        <v>10.96</v>
      </c>
      <c r="T2038" s="65">
        <f>IFERROR(__xludf.DUMMYFUNCTION("""COMPUTED_VALUE"""),5.84)</f>
        <v>5.84</v>
      </c>
      <c r="U2038" s="65">
        <f>IFERROR(__xludf.DUMMYFUNCTION("""COMPUTED_VALUE"""),0.0)</f>
        <v>0</v>
      </c>
      <c r="V2038" s="65">
        <f>IFERROR(__xludf.DUMMYFUNCTION("""COMPUTED_VALUE"""),0.0)</f>
        <v>0</v>
      </c>
      <c r="W2038" s="65">
        <f>IFERROR(__xludf.DUMMYFUNCTION("""COMPUTED_VALUE"""),0.0)</f>
        <v>0</v>
      </c>
      <c r="X2038" s="65">
        <f>IFERROR(__xludf.DUMMYFUNCTION("""COMPUTED_VALUE"""),2.6)</f>
        <v>2.6</v>
      </c>
      <c r="Y2038" s="65">
        <f>IFERROR(__xludf.DUMMYFUNCTION("""COMPUTED_VALUE"""),5.2)</f>
        <v>5.2</v>
      </c>
      <c r="Z2038" s="65">
        <f>IFERROR(__xludf.DUMMYFUNCTION("""COMPUTED_VALUE"""),121983.0)</f>
        <v>121983</v>
      </c>
      <c r="AA2038" s="65" t="str">
        <f>IFERROR(__xludf.DUMMYFUNCTION("""COMPUTED_VALUE"""),"PROV-CHLLCF")</f>
        <v>PROV-CHLLCF</v>
      </c>
      <c r="AB2038" s="65"/>
      <c r="AC2038" s="65" t="str">
        <f>IFERROR(__xludf.DUMMYFUNCTION("""COMPUTED_VALUE"""),"CUCHILLO PARA CHEF")</f>
        <v>CUCHILLO PARA CHEF</v>
      </c>
      <c r="AD2038" s="65"/>
      <c r="AE2038" s="65">
        <f>IFERROR(__xludf.DUMMYFUNCTION("""COMPUTED_VALUE"""),2.0)</f>
        <v>2</v>
      </c>
      <c r="AF2038" s="65"/>
      <c r="AG2038" s="65"/>
      <c r="AH2038" s="65"/>
      <c r="AI2038" s="65"/>
      <c r="AJ2038" s="65"/>
      <c r="AK2038" s="65"/>
      <c r="AL2038" s="65"/>
      <c r="AM2038" s="65"/>
      <c r="AN2038" s="65" t="str">
        <f>IFERROR(__xludf.DUMMYFUNCTION("""COMPUTED_VALUE"""),"12:12")</f>
        <v>12:12</v>
      </c>
      <c r="AO2038" s="65" t="str">
        <f>IFERROR(__xludf.DUMMYFUNCTION("""COMPUTED_VALUE"""),"14-01-2026")</f>
        <v>14-01-2026</v>
      </c>
      <c r="AP2038" s="65" t="str">
        <f>IFERROR(__xludf.DUMMYFUNCTION("""COMPUTED_VALUE"""),"ENTREGADA GINTRACOM")</f>
        <v>ENTREGADA GINTRACOM</v>
      </c>
      <c r="AQ2038" s="65" t="str">
        <f>IFERROR(__xludf.DUMMYFUNCTION("""COMPUTED_VALUE"""),"ENTREGADA GINTRACOM")</f>
        <v>ENTREGADA GINTRACOM</v>
      </c>
      <c r="AR2038" s="65"/>
      <c r="AS2038" s="65"/>
      <c r="AT2038" s="65" t="str">
        <f>IFERROR(__xludf.DUMMYFUNCTION("""COMPUTED_VALUE"""),"SHOPIFY")</f>
        <v>SHOPIFY</v>
      </c>
      <c r="AU2038" s="65" t="str">
        <f>IFERROR(__xludf.DUMMYFUNCTION("""COMPUTED_VALUE"""),"IMPORTEX EC")</f>
        <v>IMPORTEX EC</v>
      </c>
      <c r="AV2038" s="65" t="str">
        <f>IFERROR(__xludf.DUMMYFUNCTION("""COMPUTED_VALUE"""),"6407200342060")</f>
        <v>6407200342060</v>
      </c>
      <c r="AW2038" s="65">
        <f>IFERROR(__xludf.DUMMYFUNCTION("""COMPUTED_VALUE"""),4932.0)</f>
        <v>4932</v>
      </c>
      <c r="AX2038" s="65"/>
      <c r="AY2038" s="65" t="str">
        <f>IFERROR(__xludf.DUMMYFUNCTION("""COMPUTED_VALUE"""),"12/01/2026")</f>
        <v>12/01/2026</v>
      </c>
      <c r="AZ2038" s="65"/>
      <c r="BA2038" s="65"/>
    </row>
    <row r="2039">
      <c r="A2039" s="65" t="str">
        <f>IFERROR(__xludf.DUMMYFUNCTION("""COMPUTED_VALUE"""),"27-03-2026")</f>
        <v>27-03-2026</v>
      </c>
      <c r="B2039" s="65">
        <f>IFERROR(__xludf.DUMMYFUNCTION("""COMPUTED_VALUE"""),4105575.0)</f>
        <v>4105575</v>
      </c>
      <c r="C2039" s="65" t="str">
        <f>IFERROR(__xludf.DUMMYFUNCTION("""COMPUTED_VALUE"""),"14:55")</f>
        <v>14:55</v>
      </c>
      <c r="D2039" s="65" t="str">
        <f>IFERROR(__xludf.DUMMYFUNCTION("""COMPUTED_VALUE"""),"11-01-2026")</f>
        <v>11-01-2026</v>
      </c>
      <c r="E2039" s="65" t="str">
        <f>IFERROR(__xludf.DUMMYFUNCTION("""COMPUTED_VALUE"""),"Melania Elizabeth León Puchaicela")</f>
        <v>Melania Elizabeth León Puchaicela</v>
      </c>
      <c r="F2039" s="65" t="str">
        <f>IFERROR(__xludf.DUMMYFUNCTION("""COMPUTED_VALUE"""),"981139343")</f>
        <v>981139343</v>
      </c>
      <c r="G2039" s="65" t="str">
        <f>IFERROR(__xludf.DUMMYFUNCTION("""COMPUTED_VALUE"""),"melanyleon.68@gmail.com")</f>
        <v>melanyleon.68@gmail.com</v>
      </c>
      <c r="H2039" s="65"/>
      <c r="I2039" s="65"/>
      <c r="J2039" s="65" t="str">
        <f>IFERROR(__xludf.DUMMYFUNCTION("""COMPUTED_VALUE"""),"D001218400")</f>
        <v>D001218400</v>
      </c>
      <c r="K2039" s="65" t="str">
        <f>IFERROR(__xludf.DUMMYFUNCTION("""COMPUTED_VALUE"""),"ENTREGADO")</f>
        <v>ENTREGADO</v>
      </c>
      <c r="L2039" s="65" t="str">
        <f>IFERROR(__xludf.DUMMYFUNCTION("""COMPUTED_VALUE"""),"CON RECAUDO")</f>
        <v>CON RECAUDO</v>
      </c>
      <c r="M2039" s="65" t="str">
        <f>IFERROR(__xludf.DUMMYFUNCTION("""COMPUTED_VALUE"""),"LOJA")</f>
        <v>LOJA</v>
      </c>
      <c r="N2039" s="65" t="str">
        <f>IFERROR(__xludf.DUMMYFUNCTION("""COMPUTED_VALUE"""),"LOJA")</f>
        <v>LOJA</v>
      </c>
      <c r="O2039" s="65" t="str">
        <f>IFERROR(__xludf.DUMMYFUNCTION("""COMPUTED_VALUE"""),"El Valle Calle Sta Rosa    04-85 y Balsas -")</f>
        <v>El Valle Calle Sta Rosa    04-85 y Balsas -</v>
      </c>
      <c r="P2039" s="65"/>
      <c r="Q2039" s="65" t="str">
        <f>IFERROR(__xludf.DUMMYFUNCTION("""COMPUTED_VALUE"""),"GINTRACOM")</f>
        <v>GINTRACOM</v>
      </c>
      <c r="R2039" s="65">
        <f>IFERROR(__xludf.DUMMYFUNCTION("""COMPUTED_VALUE"""),22.0)</f>
        <v>22</v>
      </c>
      <c r="S2039" s="65">
        <f>IFERROR(__xludf.DUMMYFUNCTION("""COMPUTED_VALUE"""),10.96)</f>
        <v>10.96</v>
      </c>
      <c r="T2039" s="65">
        <f>IFERROR(__xludf.DUMMYFUNCTION("""COMPUTED_VALUE"""),5.84)</f>
        <v>5.84</v>
      </c>
      <c r="U2039" s="65">
        <f>IFERROR(__xludf.DUMMYFUNCTION("""COMPUTED_VALUE"""),0.0)</f>
        <v>0</v>
      </c>
      <c r="V2039" s="65">
        <f>IFERROR(__xludf.DUMMYFUNCTION("""COMPUTED_VALUE"""),0.0)</f>
        <v>0</v>
      </c>
      <c r="W2039" s="65">
        <f>IFERROR(__xludf.DUMMYFUNCTION("""COMPUTED_VALUE"""),0.0)</f>
        <v>0</v>
      </c>
      <c r="X2039" s="65">
        <f>IFERROR(__xludf.DUMMYFUNCTION("""COMPUTED_VALUE"""),2.6)</f>
        <v>2.6</v>
      </c>
      <c r="Y2039" s="65">
        <f>IFERROR(__xludf.DUMMYFUNCTION("""COMPUTED_VALUE"""),5.2)</f>
        <v>5.2</v>
      </c>
      <c r="Z2039" s="65">
        <f>IFERROR(__xludf.DUMMYFUNCTION("""COMPUTED_VALUE"""),121983.0)</f>
        <v>121983</v>
      </c>
      <c r="AA2039" s="65" t="str">
        <f>IFERROR(__xludf.DUMMYFUNCTION("""COMPUTED_VALUE"""),"PROV-CHLLCF")</f>
        <v>PROV-CHLLCF</v>
      </c>
      <c r="AB2039" s="65"/>
      <c r="AC2039" s="65" t="str">
        <f>IFERROR(__xludf.DUMMYFUNCTION("""COMPUTED_VALUE"""),"CUCHILLO PARA CHEF")</f>
        <v>CUCHILLO PARA CHEF</v>
      </c>
      <c r="AD2039" s="65"/>
      <c r="AE2039" s="65">
        <f>IFERROR(__xludf.DUMMYFUNCTION("""COMPUTED_VALUE"""),2.0)</f>
        <v>2</v>
      </c>
      <c r="AF2039" s="65"/>
      <c r="AG2039" s="65"/>
      <c r="AH2039" s="65"/>
      <c r="AI2039" s="65"/>
      <c r="AJ2039" s="65"/>
      <c r="AK2039" s="65"/>
      <c r="AL2039" s="65"/>
      <c r="AM2039" s="65"/>
      <c r="AN2039" s="65" t="str">
        <f>IFERROR(__xludf.DUMMYFUNCTION("""COMPUTED_VALUE"""),"18:56")</f>
        <v>18:56</v>
      </c>
      <c r="AO2039" s="65" t="str">
        <f>IFERROR(__xludf.DUMMYFUNCTION("""COMPUTED_VALUE"""),"20-01-2026")</f>
        <v>20-01-2026</v>
      </c>
      <c r="AP2039" s="65" t="str">
        <f>IFERROR(__xludf.DUMMYFUNCTION("""COMPUTED_VALUE"""),"ENTREGADA GINTRACOM")</f>
        <v>ENTREGADA GINTRACOM</v>
      </c>
      <c r="AQ2039" s="65" t="str">
        <f>IFERROR(__xludf.DUMMYFUNCTION("""COMPUTED_VALUE"""),"ENTREGADA GINTRACOM")</f>
        <v>ENTREGADA GINTRACOM</v>
      </c>
      <c r="AR2039" s="65"/>
      <c r="AS2039" s="65"/>
      <c r="AT2039" s="65" t="str">
        <f>IFERROR(__xludf.DUMMYFUNCTION("""COMPUTED_VALUE"""),"SHOPIFY")</f>
        <v>SHOPIFY</v>
      </c>
      <c r="AU2039" s="65" t="str">
        <f>IFERROR(__xludf.DUMMYFUNCTION("""COMPUTED_VALUE"""),"IMPORTEX EC")</f>
        <v>IMPORTEX EC</v>
      </c>
      <c r="AV2039" s="65" t="str">
        <f>IFERROR(__xludf.DUMMYFUNCTION("""COMPUTED_VALUE"""),"6407173996588")</f>
        <v>6407173996588</v>
      </c>
      <c r="AW2039" s="65">
        <f>IFERROR(__xludf.DUMMYFUNCTION("""COMPUTED_VALUE"""),4931.0)</f>
        <v>4931</v>
      </c>
      <c r="AX2039" s="65"/>
      <c r="AY2039" s="65" t="str">
        <f>IFERROR(__xludf.DUMMYFUNCTION("""COMPUTED_VALUE"""),"13/01/2026")</f>
        <v>13/01/2026</v>
      </c>
      <c r="AZ2039" s="65"/>
      <c r="BA2039" s="65"/>
    </row>
    <row r="2040">
      <c r="A2040" s="65" t="str">
        <f>IFERROR(__xludf.DUMMYFUNCTION("""COMPUTED_VALUE"""),"27-03-2026")</f>
        <v>27-03-2026</v>
      </c>
      <c r="B2040" s="65">
        <f>IFERROR(__xludf.DUMMYFUNCTION("""COMPUTED_VALUE"""),4105428.0)</f>
        <v>4105428</v>
      </c>
      <c r="C2040" s="65" t="str">
        <f>IFERROR(__xludf.DUMMYFUNCTION("""COMPUTED_VALUE"""),"14:37")</f>
        <v>14:37</v>
      </c>
      <c r="D2040" s="65" t="str">
        <f>IFERROR(__xludf.DUMMYFUNCTION("""COMPUTED_VALUE"""),"11-01-2026")</f>
        <v>11-01-2026</v>
      </c>
      <c r="E2040" s="65" t="str">
        <f>IFERROR(__xludf.DUMMYFUNCTION("""COMPUTED_VALUE"""),"Augusto Mendoza")</f>
        <v>Augusto Mendoza</v>
      </c>
      <c r="F2040" s="65" t="str">
        <f>IFERROR(__xludf.DUMMYFUNCTION("""COMPUTED_VALUE"""),"997027025")</f>
        <v>997027025</v>
      </c>
      <c r="G2040" s="65" t="str">
        <f>IFERROR(__xludf.DUMMYFUNCTION("""COMPUTED_VALUE"""),"augumendoza@hotmail.com")</f>
        <v>augumendoza@hotmail.com</v>
      </c>
      <c r="H2040" s="65"/>
      <c r="I2040" s="65"/>
      <c r="J2040" s="65" t="str">
        <f>IFERROR(__xludf.DUMMYFUNCTION("""COMPUTED_VALUE"""),"D001218401")</f>
        <v>D001218401</v>
      </c>
      <c r="K2040" s="65" t="str">
        <f>IFERROR(__xludf.DUMMYFUNCTION("""COMPUTED_VALUE"""),"ENTREGADO")</f>
        <v>ENTREGADO</v>
      </c>
      <c r="L2040" s="65" t="str">
        <f>IFERROR(__xludf.DUMMYFUNCTION("""COMPUTED_VALUE"""),"CON RECAUDO")</f>
        <v>CON RECAUDO</v>
      </c>
      <c r="M2040" s="65" t="str">
        <f>IFERROR(__xludf.DUMMYFUNCTION("""COMPUTED_VALUE"""),"ORELLANA")</f>
        <v>ORELLANA</v>
      </c>
      <c r="N2040" s="65" t="str">
        <f>IFERROR(__xludf.DUMMYFUNCTION("""COMPUTED_VALUE"""),"EL COCA")</f>
        <v>EL COCA</v>
      </c>
      <c r="O2040" s="65" t="str">
        <f>IFERROR(__xludf.DUMMYFUNCTION("""COMPUTED_VALUE"""),"El coca Paraíso amazonico 12 de febrero y Rio zuno -")</f>
        <v>El coca Paraíso amazonico 12 de febrero y Rio zuno -</v>
      </c>
      <c r="P2040" s="65"/>
      <c r="Q2040" s="65" t="str">
        <f>IFERROR(__xludf.DUMMYFUNCTION("""COMPUTED_VALUE"""),"GINTRACOM")</f>
        <v>GINTRACOM</v>
      </c>
      <c r="R2040" s="65">
        <f>IFERROR(__xludf.DUMMYFUNCTION("""COMPUTED_VALUE"""),25.0)</f>
        <v>25</v>
      </c>
      <c r="S2040" s="65">
        <f>IFERROR(__xludf.DUMMYFUNCTION("""COMPUTED_VALUE"""),13.46)</f>
        <v>13.46</v>
      </c>
      <c r="T2040" s="65">
        <f>IFERROR(__xludf.DUMMYFUNCTION("""COMPUTED_VALUE"""),5.96)</f>
        <v>5.96</v>
      </c>
      <c r="U2040" s="65">
        <f>IFERROR(__xludf.DUMMYFUNCTION("""COMPUTED_VALUE"""),0.0)</f>
        <v>0</v>
      </c>
      <c r="V2040" s="65">
        <f>IFERROR(__xludf.DUMMYFUNCTION("""COMPUTED_VALUE"""),0.0)</f>
        <v>0</v>
      </c>
      <c r="W2040" s="65">
        <f>IFERROR(__xludf.DUMMYFUNCTION("""COMPUTED_VALUE"""),0.0)</f>
        <v>0</v>
      </c>
      <c r="X2040" s="65">
        <f>IFERROR(__xludf.DUMMYFUNCTION("""COMPUTED_VALUE"""),2.79)</f>
        <v>2.79</v>
      </c>
      <c r="Y2040" s="65">
        <f>IFERROR(__xludf.DUMMYFUNCTION("""COMPUTED_VALUE"""),5.58)</f>
        <v>5.58</v>
      </c>
      <c r="Z2040" s="65">
        <f>IFERROR(__xludf.DUMMYFUNCTION("""COMPUTED_VALUE"""),120732.0)</f>
        <v>120732</v>
      </c>
      <c r="AA2040" s="65" t="str">
        <f>IFERROR(__xludf.DUMMYFUNCTION("""COMPUTED_VALUE"""),"PROV-LMPVT")</f>
        <v>PROV-LMPVT</v>
      </c>
      <c r="AB2040" s="65"/>
      <c r="AC2040" s="65" t="str">
        <f>IFERROR(__xludf.DUMMYFUNCTION("""COMPUTED_VALUE"""),"LIMPIADOR DE PARABRISAS Y VENTANAS")</f>
        <v>LIMPIADOR DE PARABRISAS Y VENTANAS</v>
      </c>
      <c r="AD2040" s="65"/>
      <c r="AE2040" s="65">
        <f>IFERROR(__xludf.DUMMYFUNCTION("""COMPUTED_VALUE"""),2.0)</f>
        <v>2</v>
      </c>
      <c r="AF2040" s="65"/>
      <c r="AG2040" s="65"/>
      <c r="AH2040" s="65"/>
      <c r="AI2040" s="65"/>
      <c r="AJ2040" s="65"/>
      <c r="AK2040" s="65"/>
      <c r="AL2040" s="65"/>
      <c r="AM2040" s="65"/>
      <c r="AN2040" s="65" t="str">
        <f>IFERROR(__xludf.DUMMYFUNCTION("""COMPUTED_VALUE"""),"13:08")</f>
        <v>13:08</v>
      </c>
      <c r="AO2040" s="65" t="str">
        <f>IFERROR(__xludf.DUMMYFUNCTION("""COMPUTED_VALUE"""),"15-01-2026")</f>
        <v>15-01-2026</v>
      </c>
      <c r="AP2040" s="65" t="str">
        <f>IFERROR(__xludf.DUMMYFUNCTION("""COMPUTED_VALUE"""),"ENTREGADA GINTRACOM")</f>
        <v>ENTREGADA GINTRACOM</v>
      </c>
      <c r="AQ2040" s="65" t="str">
        <f>IFERROR(__xludf.DUMMYFUNCTION("""COMPUTED_VALUE"""),"ENTREGADA GINTRACOM")</f>
        <v>ENTREGADA GINTRACOM</v>
      </c>
      <c r="AR2040" s="65"/>
      <c r="AS2040" s="65"/>
      <c r="AT2040" s="65" t="str">
        <f>IFERROR(__xludf.DUMMYFUNCTION("""COMPUTED_VALUE"""),"SHOPIFY")</f>
        <v>SHOPIFY</v>
      </c>
      <c r="AU2040" s="65" t="str">
        <f>IFERROR(__xludf.DUMMYFUNCTION("""COMPUTED_VALUE"""),"IMPORTEX EC")</f>
        <v>IMPORTEX EC</v>
      </c>
      <c r="AV2040" s="65" t="str">
        <f>IFERROR(__xludf.DUMMYFUNCTION("""COMPUTED_VALUE"""),"6407116488748")</f>
        <v>6407116488748</v>
      </c>
      <c r="AW2040" s="65">
        <f>IFERROR(__xludf.DUMMYFUNCTION("""COMPUTED_VALUE"""),4930.0)</f>
        <v>4930</v>
      </c>
      <c r="AX2040" s="65"/>
      <c r="AY2040" s="65" t="str">
        <f>IFERROR(__xludf.DUMMYFUNCTION("""COMPUTED_VALUE"""),"13/01/2026")</f>
        <v>13/01/2026</v>
      </c>
      <c r="AZ2040" s="65"/>
      <c r="BA2040" s="65"/>
    </row>
    <row r="2041">
      <c r="A2041" s="65" t="str">
        <f>IFERROR(__xludf.DUMMYFUNCTION("""COMPUTED_VALUE"""),"27-03-2026")</f>
        <v>27-03-2026</v>
      </c>
      <c r="B2041" s="65">
        <f>IFERROR(__xludf.DUMMYFUNCTION("""COMPUTED_VALUE"""),4105365.0)</f>
        <v>4105365</v>
      </c>
      <c r="C2041" s="65" t="str">
        <f>IFERROR(__xludf.DUMMYFUNCTION("""COMPUTED_VALUE"""),"14:30")</f>
        <v>14:30</v>
      </c>
      <c r="D2041" s="65" t="str">
        <f>IFERROR(__xludf.DUMMYFUNCTION("""COMPUTED_VALUE"""),"11-01-2026")</f>
        <v>11-01-2026</v>
      </c>
      <c r="E2041" s="65" t="str">
        <f>IFERROR(__xludf.DUMMYFUNCTION("""COMPUTED_VALUE"""),"Kelvin Alcivar")</f>
        <v>Kelvin Alcivar</v>
      </c>
      <c r="F2041" s="65" t="str">
        <f>IFERROR(__xludf.DUMMYFUNCTION("""COMPUTED_VALUE"""),"983016839")</f>
        <v>983016839</v>
      </c>
      <c r="G2041" s="65" t="str">
        <f>IFERROR(__xludf.DUMMYFUNCTION("""COMPUTED_VALUE"""),"fabianalcivar981107@gmail.com")</f>
        <v>fabianalcivar981107@gmail.com</v>
      </c>
      <c r="H2041" s="65"/>
      <c r="I2041" s="65"/>
      <c r="J2041" s="65" t="str">
        <f>IFERROR(__xludf.DUMMYFUNCTION("""COMPUTED_VALUE"""),"D001218402")</f>
        <v>D001218402</v>
      </c>
      <c r="K2041" s="65" t="str">
        <f>IFERROR(__xludf.DUMMYFUNCTION("""COMPUTED_VALUE"""),"ENTREGADO")</f>
        <v>ENTREGADO</v>
      </c>
      <c r="L2041" s="65" t="str">
        <f>IFERROR(__xludf.DUMMYFUNCTION("""COMPUTED_VALUE"""),"CON RECAUDO")</f>
        <v>CON RECAUDO</v>
      </c>
      <c r="M2041" s="65" t="str">
        <f>IFERROR(__xludf.DUMMYFUNCTION("""COMPUTED_VALUE"""),"MANABI")</f>
        <v>MANABI</v>
      </c>
      <c r="N2041" s="65" t="str">
        <f>IFERROR(__xludf.DUMMYFUNCTION("""COMPUTED_VALUE"""),"MANTA")</f>
        <v>MANTA</v>
      </c>
      <c r="O2041" s="65" t="str">
        <f>IFERROR(__xludf.DUMMYFUNCTION("""COMPUTED_VALUE"""),"La pradera y    diagonal a la casa de la mujer -")</f>
        <v>La pradera y    diagonal a la casa de la mujer -</v>
      </c>
      <c r="P2041" s="65"/>
      <c r="Q2041" s="65" t="str">
        <f>IFERROR(__xludf.DUMMYFUNCTION("""COMPUTED_VALUE"""),"GINTRACOM")</f>
        <v>GINTRACOM</v>
      </c>
      <c r="R2041" s="65">
        <f>IFERROR(__xludf.DUMMYFUNCTION("""COMPUTED_VALUE"""),30.0)</f>
        <v>30</v>
      </c>
      <c r="S2041" s="65">
        <f>IFERROR(__xludf.DUMMYFUNCTION("""COMPUTED_VALUE"""),15.47)</f>
        <v>15.47</v>
      </c>
      <c r="T2041" s="65">
        <f>IFERROR(__xludf.DUMMYFUNCTION("""COMPUTED_VALUE"""),6.16)</f>
        <v>6.16</v>
      </c>
      <c r="U2041" s="65">
        <f>IFERROR(__xludf.DUMMYFUNCTION("""COMPUTED_VALUE"""),0.0)</f>
        <v>0</v>
      </c>
      <c r="V2041" s="65">
        <f>IFERROR(__xludf.DUMMYFUNCTION("""COMPUTED_VALUE"""),0.0)</f>
        <v>0</v>
      </c>
      <c r="W2041" s="65">
        <f>IFERROR(__xludf.DUMMYFUNCTION("""COMPUTED_VALUE"""),0.0)</f>
        <v>0</v>
      </c>
      <c r="X2041" s="65">
        <f>IFERROR(__xludf.DUMMYFUNCTION("""COMPUTED_VALUE"""),2.79)</f>
        <v>2.79</v>
      </c>
      <c r="Y2041" s="65">
        <f>IFERROR(__xludf.DUMMYFUNCTION("""COMPUTED_VALUE"""),8.37)</f>
        <v>8.37</v>
      </c>
      <c r="Z2041" s="65">
        <f>IFERROR(__xludf.DUMMYFUNCTION("""COMPUTED_VALUE"""),120732.0)</f>
        <v>120732</v>
      </c>
      <c r="AA2041" s="65" t="str">
        <f>IFERROR(__xludf.DUMMYFUNCTION("""COMPUTED_VALUE"""),"PROV-LMPVT")</f>
        <v>PROV-LMPVT</v>
      </c>
      <c r="AB2041" s="65"/>
      <c r="AC2041" s="65" t="str">
        <f>IFERROR(__xludf.DUMMYFUNCTION("""COMPUTED_VALUE"""),"LIMPIADOR DE PARABRISAS Y VENTANAS")</f>
        <v>LIMPIADOR DE PARABRISAS Y VENTANAS</v>
      </c>
      <c r="AD2041" s="65"/>
      <c r="AE2041" s="65">
        <f>IFERROR(__xludf.DUMMYFUNCTION("""COMPUTED_VALUE"""),3.0)</f>
        <v>3</v>
      </c>
      <c r="AF2041" s="65"/>
      <c r="AG2041" s="65"/>
      <c r="AH2041" s="65"/>
      <c r="AI2041" s="65"/>
      <c r="AJ2041" s="65"/>
      <c r="AK2041" s="65"/>
      <c r="AL2041" s="65"/>
      <c r="AM2041" s="65"/>
      <c r="AN2041" s="65" t="str">
        <f>IFERROR(__xludf.DUMMYFUNCTION("""COMPUTED_VALUE"""),"09:55")</f>
        <v>09:55</v>
      </c>
      <c r="AO2041" s="65" t="str">
        <f>IFERROR(__xludf.DUMMYFUNCTION("""COMPUTED_VALUE"""),"15-01-2026")</f>
        <v>15-01-2026</v>
      </c>
      <c r="AP2041" s="65" t="str">
        <f>IFERROR(__xludf.DUMMYFUNCTION("""COMPUTED_VALUE"""),"ENTREGADA GINTRACOM")</f>
        <v>ENTREGADA GINTRACOM</v>
      </c>
      <c r="AQ2041" s="65" t="str">
        <f>IFERROR(__xludf.DUMMYFUNCTION("""COMPUTED_VALUE"""),"ENTREGADA GINTRACOM")</f>
        <v>ENTREGADA GINTRACOM</v>
      </c>
      <c r="AR2041" s="65"/>
      <c r="AS2041" s="65"/>
      <c r="AT2041" s="65" t="str">
        <f>IFERROR(__xludf.DUMMYFUNCTION("""COMPUTED_VALUE"""),"SHOPIFY")</f>
        <v>SHOPIFY</v>
      </c>
      <c r="AU2041" s="65" t="str">
        <f>IFERROR(__xludf.DUMMYFUNCTION("""COMPUTED_VALUE"""),"IMPORTEX EC")</f>
        <v>IMPORTEX EC</v>
      </c>
      <c r="AV2041" s="65" t="str">
        <f>IFERROR(__xludf.DUMMYFUNCTION("""COMPUTED_VALUE"""),"6407102169132")</f>
        <v>6407102169132</v>
      </c>
      <c r="AW2041" s="65">
        <f>IFERROR(__xludf.DUMMYFUNCTION("""COMPUTED_VALUE"""),4929.0)</f>
        <v>4929</v>
      </c>
      <c r="AX2041" s="65"/>
      <c r="AY2041" s="65" t="str">
        <f>IFERROR(__xludf.DUMMYFUNCTION("""COMPUTED_VALUE"""),"13/01/2026")</f>
        <v>13/01/2026</v>
      </c>
      <c r="AZ2041" s="65"/>
      <c r="BA2041" s="65"/>
    </row>
    <row r="2042">
      <c r="A2042" s="65" t="str">
        <f>IFERROR(__xludf.DUMMYFUNCTION("""COMPUTED_VALUE"""),"27-03-2026")</f>
        <v>27-03-2026</v>
      </c>
      <c r="B2042" s="65">
        <f>IFERROR(__xludf.DUMMYFUNCTION("""COMPUTED_VALUE"""),4105350.0)</f>
        <v>4105350</v>
      </c>
      <c r="C2042" s="65" t="str">
        <f>IFERROR(__xludf.DUMMYFUNCTION("""COMPUTED_VALUE"""),"14:29")</f>
        <v>14:29</v>
      </c>
      <c r="D2042" s="65" t="str">
        <f>IFERROR(__xludf.DUMMYFUNCTION("""COMPUTED_VALUE"""),"11-01-2026")</f>
        <v>11-01-2026</v>
      </c>
      <c r="E2042" s="65" t="str">
        <f>IFERROR(__xludf.DUMMYFUNCTION("""COMPUTED_VALUE"""),"Juan Carlos Viscarra")</f>
        <v>Juan Carlos Viscarra</v>
      </c>
      <c r="F2042" s="65" t="str">
        <f>IFERROR(__xludf.DUMMYFUNCTION("""COMPUTED_VALUE"""),"998019501")</f>
        <v>998019501</v>
      </c>
      <c r="G2042" s="65" t="str">
        <f>IFERROR(__xludf.DUMMYFUNCTION("""COMPUTED_VALUE"""),"jcvrfullnacho@hotmail.com")</f>
        <v>jcvrfullnacho@hotmail.com</v>
      </c>
      <c r="H2042" s="65"/>
      <c r="I2042" s="65"/>
      <c r="J2042" s="65" t="str">
        <f>IFERROR(__xludf.DUMMYFUNCTION("""COMPUTED_VALUE"""),"D001216225")</f>
        <v>D001216225</v>
      </c>
      <c r="K2042" s="65" t="str">
        <f>IFERROR(__xludf.DUMMYFUNCTION("""COMPUTED_VALUE"""),"ENTREGADO")</f>
        <v>ENTREGADO</v>
      </c>
      <c r="L2042" s="65" t="str">
        <f>IFERROR(__xludf.DUMMYFUNCTION("""COMPUTED_VALUE"""),"CON RECAUDO")</f>
        <v>CON RECAUDO</v>
      </c>
      <c r="M2042" s="65" t="str">
        <f>IFERROR(__xludf.DUMMYFUNCTION("""COMPUTED_VALUE"""),"PICHINCHA")</f>
        <v>PICHINCHA</v>
      </c>
      <c r="N2042" s="65" t="str">
        <f>IFERROR(__xludf.DUMMYFUNCTION("""COMPUTED_VALUE"""),"QUITO")</f>
        <v>QUITO</v>
      </c>
      <c r="O2042" s="65" t="str">
        <f>IFERROR(__xludf.DUMMYFUNCTION("""COMPUTED_VALUE"""),"República del Salvador E10-44 y Naciones Unidas Batan bajo (estadio Olímpico Atahualpa) -")</f>
        <v>República del Salvador E10-44 y Naciones Unidas Batan bajo (estadio Olímpico Atahualpa) -</v>
      </c>
      <c r="P2042" s="65"/>
      <c r="Q2042" s="65" t="str">
        <f>IFERROR(__xludf.DUMMYFUNCTION("""COMPUTED_VALUE"""),"GINTRACOM")</f>
        <v>GINTRACOM</v>
      </c>
      <c r="R2042" s="65">
        <f>IFERROR(__xludf.DUMMYFUNCTION("""COMPUTED_VALUE"""),25.0)</f>
        <v>25</v>
      </c>
      <c r="S2042" s="65">
        <f>IFERROR(__xludf.DUMMYFUNCTION("""COMPUTED_VALUE"""),13.46)</f>
        <v>13.46</v>
      </c>
      <c r="T2042" s="65">
        <f>IFERROR(__xludf.DUMMYFUNCTION("""COMPUTED_VALUE"""),5.96)</f>
        <v>5.96</v>
      </c>
      <c r="U2042" s="65">
        <f>IFERROR(__xludf.DUMMYFUNCTION("""COMPUTED_VALUE"""),0.0)</f>
        <v>0</v>
      </c>
      <c r="V2042" s="65">
        <f>IFERROR(__xludf.DUMMYFUNCTION("""COMPUTED_VALUE"""),0.0)</f>
        <v>0</v>
      </c>
      <c r="W2042" s="65">
        <f>IFERROR(__xludf.DUMMYFUNCTION("""COMPUTED_VALUE"""),0.0)</f>
        <v>0</v>
      </c>
      <c r="X2042" s="65">
        <f>IFERROR(__xludf.DUMMYFUNCTION("""COMPUTED_VALUE"""),2.79)</f>
        <v>2.79</v>
      </c>
      <c r="Y2042" s="65">
        <f>IFERROR(__xludf.DUMMYFUNCTION("""COMPUTED_VALUE"""),5.58)</f>
        <v>5.58</v>
      </c>
      <c r="Z2042" s="65">
        <f>IFERROR(__xludf.DUMMYFUNCTION("""COMPUTED_VALUE"""),120732.0)</f>
        <v>120732</v>
      </c>
      <c r="AA2042" s="65" t="str">
        <f>IFERROR(__xludf.DUMMYFUNCTION("""COMPUTED_VALUE"""),"PROV-LMPVT")</f>
        <v>PROV-LMPVT</v>
      </c>
      <c r="AB2042" s="65"/>
      <c r="AC2042" s="65" t="str">
        <f>IFERROR(__xludf.DUMMYFUNCTION("""COMPUTED_VALUE"""),"LIMPIADOR DE PARABRISAS Y VENTANAS")</f>
        <v>LIMPIADOR DE PARABRISAS Y VENTANAS</v>
      </c>
      <c r="AD2042" s="65"/>
      <c r="AE2042" s="65">
        <f>IFERROR(__xludf.DUMMYFUNCTION("""COMPUTED_VALUE"""),2.0)</f>
        <v>2</v>
      </c>
      <c r="AF2042" s="65"/>
      <c r="AG2042" s="65"/>
      <c r="AH2042" s="65"/>
      <c r="AI2042" s="65"/>
      <c r="AJ2042" s="65"/>
      <c r="AK2042" s="65"/>
      <c r="AL2042" s="65"/>
      <c r="AM2042" s="65"/>
      <c r="AN2042" s="65" t="str">
        <f>IFERROR(__xludf.DUMMYFUNCTION("""COMPUTED_VALUE"""),"15:46")</f>
        <v>15:46</v>
      </c>
      <c r="AO2042" s="65" t="str">
        <f>IFERROR(__xludf.DUMMYFUNCTION("""COMPUTED_VALUE"""),"13-01-2026")</f>
        <v>13-01-2026</v>
      </c>
      <c r="AP2042" s="65" t="str">
        <f>IFERROR(__xludf.DUMMYFUNCTION("""COMPUTED_VALUE"""),"ENTREGADA GINTRACOM")</f>
        <v>ENTREGADA GINTRACOM</v>
      </c>
      <c r="AQ2042" s="65" t="str">
        <f>IFERROR(__xludf.DUMMYFUNCTION("""COMPUTED_VALUE"""),"ENTREGADA GINTRACOM")</f>
        <v>ENTREGADA GINTRACOM</v>
      </c>
      <c r="AR2042" s="65"/>
      <c r="AS2042" s="65"/>
      <c r="AT2042" s="65" t="str">
        <f>IFERROR(__xludf.DUMMYFUNCTION("""COMPUTED_VALUE"""),"SHOPIFY")</f>
        <v>SHOPIFY</v>
      </c>
      <c r="AU2042" s="65" t="str">
        <f>IFERROR(__xludf.DUMMYFUNCTION("""COMPUTED_VALUE"""),"IMPORTEX EC")</f>
        <v>IMPORTEX EC</v>
      </c>
      <c r="AV2042" s="65" t="str">
        <f>IFERROR(__xludf.DUMMYFUNCTION("""COMPUTED_VALUE"""),"6407098171436")</f>
        <v>6407098171436</v>
      </c>
      <c r="AW2042" s="65">
        <f>IFERROR(__xludf.DUMMYFUNCTION("""COMPUTED_VALUE"""),4928.0)</f>
        <v>4928</v>
      </c>
      <c r="AX2042" s="65"/>
      <c r="AY2042" s="65" t="str">
        <f>IFERROR(__xludf.DUMMYFUNCTION("""COMPUTED_VALUE"""),"12/01/2026")</f>
        <v>12/01/2026</v>
      </c>
      <c r="AZ2042" s="65"/>
      <c r="BA2042" s="65"/>
    </row>
    <row r="2043">
      <c r="A2043" s="65" t="str">
        <f>IFERROR(__xludf.DUMMYFUNCTION("""COMPUTED_VALUE"""),"27-03-2026")</f>
        <v>27-03-2026</v>
      </c>
      <c r="B2043" s="65">
        <f>IFERROR(__xludf.DUMMYFUNCTION("""COMPUTED_VALUE"""),4105213.0)</f>
        <v>4105213</v>
      </c>
      <c r="C2043" s="65" t="str">
        <f>IFERROR(__xludf.DUMMYFUNCTION("""COMPUTED_VALUE"""),"14:13")</f>
        <v>14:13</v>
      </c>
      <c r="D2043" s="65" t="str">
        <f>IFERROR(__xludf.DUMMYFUNCTION("""COMPUTED_VALUE"""),"11-01-2026")</f>
        <v>11-01-2026</v>
      </c>
      <c r="E2043" s="65" t="str">
        <f>IFERROR(__xludf.DUMMYFUNCTION("""COMPUTED_VALUE"""),"Carlos Tipan Tipan")</f>
        <v>Carlos Tipan Tipan</v>
      </c>
      <c r="F2043" s="65" t="str">
        <f>IFERROR(__xludf.DUMMYFUNCTION("""COMPUTED_VALUE"""),"991551952")</f>
        <v>991551952</v>
      </c>
      <c r="G2043" s="65" t="str">
        <f>IFERROR(__xludf.DUMMYFUNCTION("""COMPUTED_VALUE"""),"carlos52tipan@gmail.com")</f>
        <v>carlos52tipan@gmail.com</v>
      </c>
      <c r="H2043" s="65"/>
      <c r="I2043" s="65"/>
      <c r="J2043" s="65" t="str">
        <f>IFERROR(__xludf.DUMMYFUNCTION("""COMPUTED_VALUE"""),"D001218403")</f>
        <v>D001218403</v>
      </c>
      <c r="K2043" s="65" t="str">
        <f>IFERROR(__xludf.DUMMYFUNCTION("""COMPUTED_VALUE"""),"ENTREGADO")</f>
        <v>ENTREGADO</v>
      </c>
      <c r="L2043" s="65" t="str">
        <f>IFERROR(__xludf.DUMMYFUNCTION("""COMPUTED_VALUE"""),"CON RECAUDO")</f>
        <v>CON RECAUDO</v>
      </c>
      <c r="M2043" s="65" t="str">
        <f>IFERROR(__xludf.DUMMYFUNCTION("""COMPUTED_VALUE"""),"PICHINCHA")</f>
        <v>PICHINCHA</v>
      </c>
      <c r="N2043" s="65" t="str">
        <f>IFERROR(__xludf.DUMMYFUNCTION("""COMPUTED_VALUE"""),"QUITO")</f>
        <v>QUITO</v>
      </c>
      <c r="O2043" s="65" t="str">
        <f>IFERROR(__xludf.DUMMYFUNCTION("""COMPUTED_VALUE"""),"Guayanay Ñan oe1 218 y otoya ñan frente al motel utopia casa 4 pisos verde con blanco restaurante Verito")</f>
        <v>Guayanay Ñan oe1 218 y otoya ñan frente al motel utopia casa 4 pisos verde con blanco restaurante Verito</v>
      </c>
      <c r="P2043" s="65"/>
      <c r="Q2043" s="65" t="str">
        <f>IFERROR(__xludf.DUMMYFUNCTION("""COMPUTED_VALUE"""),"GINTRACOM")</f>
        <v>GINTRACOM</v>
      </c>
      <c r="R2043" s="65">
        <f>IFERROR(__xludf.DUMMYFUNCTION("""COMPUTED_VALUE"""),22.0)</f>
        <v>22</v>
      </c>
      <c r="S2043" s="65">
        <f>IFERROR(__xludf.DUMMYFUNCTION("""COMPUTED_VALUE"""),10.96)</f>
        <v>10.96</v>
      </c>
      <c r="T2043" s="65">
        <f>IFERROR(__xludf.DUMMYFUNCTION("""COMPUTED_VALUE"""),5.84)</f>
        <v>5.84</v>
      </c>
      <c r="U2043" s="65">
        <f>IFERROR(__xludf.DUMMYFUNCTION("""COMPUTED_VALUE"""),0.0)</f>
        <v>0</v>
      </c>
      <c r="V2043" s="65">
        <f>IFERROR(__xludf.DUMMYFUNCTION("""COMPUTED_VALUE"""),0.0)</f>
        <v>0</v>
      </c>
      <c r="W2043" s="65">
        <f>IFERROR(__xludf.DUMMYFUNCTION("""COMPUTED_VALUE"""),0.0)</f>
        <v>0</v>
      </c>
      <c r="X2043" s="65">
        <f>IFERROR(__xludf.DUMMYFUNCTION("""COMPUTED_VALUE"""),2.6)</f>
        <v>2.6</v>
      </c>
      <c r="Y2043" s="65">
        <f>IFERROR(__xludf.DUMMYFUNCTION("""COMPUTED_VALUE"""),5.2)</f>
        <v>5.2</v>
      </c>
      <c r="Z2043" s="65">
        <f>IFERROR(__xludf.DUMMYFUNCTION("""COMPUTED_VALUE"""),121983.0)</f>
        <v>121983</v>
      </c>
      <c r="AA2043" s="65" t="str">
        <f>IFERROR(__xludf.DUMMYFUNCTION("""COMPUTED_VALUE"""),"PROV-CHLLCF")</f>
        <v>PROV-CHLLCF</v>
      </c>
      <c r="AB2043" s="65"/>
      <c r="AC2043" s="65" t="str">
        <f>IFERROR(__xludf.DUMMYFUNCTION("""COMPUTED_VALUE"""),"CUCHILLO PARA CHEF")</f>
        <v>CUCHILLO PARA CHEF</v>
      </c>
      <c r="AD2043" s="65"/>
      <c r="AE2043" s="65">
        <f>IFERROR(__xludf.DUMMYFUNCTION("""COMPUTED_VALUE"""),2.0)</f>
        <v>2</v>
      </c>
      <c r="AF2043" s="65"/>
      <c r="AG2043" s="65"/>
      <c r="AH2043" s="65"/>
      <c r="AI2043" s="65"/>
      <c r="AJ2043" s="65"/>
      <c r="AK2043" s="65"/>
      <c r="AL2043" s="65"/>
      <c r="AM2043" s="65"/>
      <c r="AN2043" s="65" t="str">
        <f>IFERROR(__xludf.DUMMYFUNCTION("""COMPUTED_VALUE"""),"14:53")</f>
        <v>14:53</v>
      </c>
      <c r="AO2043" s="65" t="str">
        <f>IFERROR(__xludf.DUMMYFUNCTION("""COMPUTED_VALUE"""),"14-01-2026")</f>
        <v>14-01-2026</v>
      </c>
      <c r="AP2043" s="65" t="str">
        <f>IFERROR(__xludf.DUMMYFUNCTION("""COMPUTED_VALUE"""),"ENTREGADA GINTRACOM")</f>
        <v>ENTREGADA GINTRACOM</v>
      </c>
      <c r="AQ2043" s="65" t="str">
        <f>IFERROR(__xludf.DUMMYFUNCTION("""COMPUTED_VALUE"""),"ENTREGADA GINTRACOM")</f>
        <v>ENTREGADA GINTRACOM</v>
      </c>
      <c r="AR2043" s="65"/>
      <c r="AS2043" s="65"/>
      <c r="AT2043" s="65" t="str">
        <f>IFERROR(__xludf.DUMMYFUNCTION("""COMPUTED_VALUE"""),"SHOPIFY")</f>
        <v>SHOPIFY</v>
      </c>
      <c r="AU2043" s="65" t="str">
        <f>IFERROR(__xludf.DUMMYFUNCTION("""COMPUTED_VALUE"""),"IMPORTEX EC")</f>
        <v>IMPORTEX EC</v>
      </c>
      <c r="AV2043" s="65" t="str">
        <f>IFERROR(__xludf.DUMMYFUNCTION("""COMPUTED_VALUE"""),"6407057342508")</f>
        <v>6407057342508</v>
      </c>
      <c r="AW2043" s="65">
        <f>IFERROR(__xludf.DUMMYFUNCTION("""COMPUTED_VALUE"""),4927.0)</f>
        <v>4927</v>
      </c>
      <c r="AX2043" s="65"/>
      <c r="AY2043" s="65" t="str">
        <f>IFERROR(__xludf.DUMMYFUNCTION("""COMPUTED_VALUE"""),"13/01/2026")</f>
        <v>13/01/2026</v>
      </c>
      <c r="AZ2043" s="65"/>
      <c r="BA2043" s="65"/>
    </row>
    <row r="2044">
      <c r="A2044" s="65" t="str">
        <f>IFERROR(__xludf.DUMMYFUNCTION("""COMPUTED_VALUE"""),"27-03-2026")</f>
        <v>27-03-2026</v>
      </c>
      <c r="B2044" s="65">
        <f>IFERROR(__xludf.DUMMYFUNCTION("""COMPUTED_VALUE"""),4105071.0)</f>
        <v>4105071</v>
      </c>
      <c r="C2044" s="65" t="str">
        <f>IFERROR(__xludf.DUMMYFUNCTION("""COMPUTED_VALUE"""),"13:55")</f>
        <v>13:55</v>
      </c>
      <c r="D2044" s="65" t="str">
        <f>IFERROR(__xludf.DUMMYFUNCTION("""COMPUTED_VALUE"""),"11-01-2026")</f>
        <v>11-01-2026</v>
      </c>
      <c r="E2044" s="65" t="str">
        <f>IFERROR(__xludf.DUMMYFUNCTION("""COMPUTED_VALUE"""),"Patricia Carrillo")</f>
        <v>Patricia Carrillo</v>
      </c>
      <c r="F2044" s="65" t="str">
        <f>IFERROR(__xludf.DUMMYFUNCTION("""COMPUTED_VALUE"""),"987364082")</f>
        <v>987364082</v>
      </c>
      <c r="G2044" s="65" t="str">
        <f>IFERROR(__xludf.DUMMYFUNCTION("""COMPUTED_VALUE"""),"rivieto@hotmail.com")</f>
        <v>rivieto@hotmail.com</v>
      </c>
      <c r="H2044" s="65"/>
      <c r="I2044" s="65"/>
      <c r="J2044" s="65"/>
      <c r="K2044" s="65" t="str">
        <f>IFERROR(__xludf.DUMMYFUNCTION("""COMPUTED_VALUE"""),"CANCELADO")</f>
        <v>CANCELADO</v>
      </c>
      <c r="L2044" s="65" t="str">
        <f>IFERROR(__xludf.DUMMYFUNCTION("""COMPUTED_VALUE"""),"CON RECAUDO")</f>
        <v>CON RECAUDO</v>
      </c>
      <c r="M2044" s="65" t="str">
        <f>IFERROR(__xludf.DUMMYFUNCTION("""COMPUTED_VALUE"""),"TUNGURAHUA")</f>
        <v>TUNGURAHUA</v>
      </c>
      <c r="N2044" s="65" t="str">
        <f>IFERROR(__xludf.DUMMYFUNCTION("""COMPUTED_VALUE"""),"AMBATO")</f>
        <v>AMBATO</v>
      </c>
      <c r="O2044" s="65" t="str">
        <f>IFERROR(__xludf.DUMMYFUNCTION("""COMPUTED_VALUE"""),"Av. Rodrigo Pachano Serraniega -")</f>
        <v>Av. Rodrigo Pachano Serraniega -</v>
      </c>
      <c r="P2044" s="65"/>
      <c r="Q2044" s="65" t="str">
        <f>IFERROR(__xludf.DUMMYFUNCTION("""COMPUTED_VALUE"""),"GINTRACOM")</f>
        <v>GINTRACOM</v>
      </c>
      <c r="R2044" s="65">
        <f>IFERROR(__xludf.DUMMYFUNCTION("""COMPUTED_VALUE"""),27.0)</f>
        <v>27</v>
      </c>
      <c r="S2044" s="65"/>
      <c r="T2044" s="65">
        <f>IFERROR(__xludf.DUMMYFUNCTION("""COMPUTED_VALUE"""),6.03)</f>
        <v>6.03</v>
      </c>
      <c r="U2044" s="65">
        <f>IFERROR(__xludf.DUMMYFUNCTION("""COMPUTED_VALUE"""),0.0)</f>
        <v>0</v>
      </c>
      <c r="V2044" s="65">
        <f>IFERROR(__xludf.DUMMYFUNCTION("""COMPUTED_VALUE"""),0.0)</f>
        <v>0</v>
      </c>
      <c r="W2044" s="65">
        <f>IFERROR(__xludf.DUMMYFUNCTION("""COMPUTED_VALUE"""),0.0)</f>
        <v>0</v>
      </c>
      <c r="X2044" s="65">
        <f>IFERROR(__xludf.DUMMYFUNCTION("""COMPUTED_VALUE"""),2.6)</f>
        <v>2.6</v>
      </c>
      <c r="Y2044" s="65">
        <f>IFERROR(__xludf.DUMMYFUNCTION("""COMPUTED_VALUE"""),7.8)</f>
        <v>7.8</v>
      </c>
      <c r="Z2044" s="65">
        <f>IFERROR(__xludf.DUMMYFUNCTION("""COMPUTED_VALUE"""),121983.0)</f>
        <v>121983</v>
      </c>
      <c r="AA2044" s="65" t="str">
        <f>IFERROR(__xludf.DUMMYFUNCTION("""COMPUTED_VALUE"""),"PROV-CHLLCF")</f>
        <v>PROV-CHLLCF</v>
      </c>
      <c r="AB2044" s="65"/>
      <c r="AC2044" s="65" t="str">
        <f>IFERROR(__xludf.DUMMYFUNCTION("""COMPUTED_VALUE"""),"CUCHILLO PARA CHEF")</f>
        <v>CUCHILLO PARA CHEF</v>
      </c>
      <c r="AD2044" s="65"/>
      <c r="AE2044" s="65">
        <f>IFERROR(__xludf.DUMMYFUNCTION("""COMPUTED_VALUE"""),3.0)</f>
        <v>3</v>
      </c>
      <c r="AF2044" s="65"/>
      <c r="AG2044" s="65"/>
      <c r="AH2044" s="65"/>
      <c r="AI2044" s="65"/>
      <c r="AJ2044" s="65"/>
      <c r="AK2044" s="65"/>
      <c r="AL2044" s="65"/>
      <c r="AM2044" s="65"/>
      <c r="AN2044" s="65"/>
      <c r="AO2044" s="65"/>
      <c r="AP2044" s="65"/>
      <c r="AQ2044" s="65"/>
      <c r="AR2044" s="65"/>
      <c r="AS2044" s="65"/>
      <c r="AT2044" s="65" t="str">
        <f>IFERROR(__xludf.DUMMYFUNCTION("""COMPUTED_VALUE"""),"SHOPIFY")</f>
        <v>SHOPIFY</v>
      </c>
      <c r="AU2044" s="65" t="str">
        <f>IFERROR(__xludf.DUMMYFUNCTION("""COMPUTED_VALUE"""),"IMPORTEX EC")</f>
        <v>IMPORTEX EC</v>
      </c>
      <c r="AV2044" s="65" t="str">
        <f>IFERROR(__xludf.DUMMYFUNCTION("""COMPUTED_VALUE"""),"6407011926060")</f>
        <v>6407011926060</v>
      </c>
      <c r="AW2044" s="65">
        <f>IFERROR(__xludf.DUMMYFUNCTION("""COMPUTED_VALUE"""),4926.0)</f>
        <v>4926</v>
      </c>
      <c r="AX2044" s="65"/>
      <c r="AY2044" s="65"/>
      <c r="AZ2044" s="65"/>
      <c r="BA2044" s="65"/>
    </row>
    <row r="2045">
      <c r="A2045" s="65" t="str">
        <f>IFERROR(__xludf.DUMMYFUNCTION("""COMPUTED_VALUE"""),"27-03-2026")</f>
        <v>27-03-2026</v>
      </c>
      <c r="B2045" s="65">
        <f>IFERROR(__xludf.DUMMYFUNCTION("""COMPUTED_VALUE"""),4104796.0)</f>
        <v>4104796</v>
      </c>
      <c r="C2045" s="65" t="str">
        <f>IFERROR(__xludf.DUMMYFUNCTION("""COMPUTED_VALUE"""),"13:28")</f>
        <v>13:28</v>
      </c>
      <c r="D2045" s="65" t="str">
        <f>IFERROR(__xludf.DUMMYFUNCTION("""COMPUTED_VALUE"""),"11-01-2026")</f>
        <v>11-01-2026</v>
      </c>
      <c r="E2045" s="65" t="str">
        <f>IFERROR(__xludf.DUMMYFUNCTION("""COMPUTED_VALUE"""),"Jorgue Vélez")</f>
        <v>Jorgue Vélez</v>
      </c>
      <c r="F2045" s="65" t="str">
        <f>IFERROR(__xludf.DUMMYFUNCTION("""COMPUTED_VALUE"""),"981935736")</f>
        <v>981935736</v>
      </c>
      <c r="G2045" s="65" t="str">
        <f>IFERROR(__xludf.DUMMYFUNCTION("""COMPUTED_VALUE"""),"biki2109@yahoo.com")</f>
        <v>biki2109@yahoo.com</v>
      </c>
      <c r="H2045" s="65"/>
      <c r="I2045" s="65"/>
      <c r="J2045" s="65"/>
      <c r="K2045" s="65" t="str">
        <f>IFERROR(__xludf.DUMMYFUNCTION("""COMPUTED_VALUE"""),"PENDIENTE CONFIRMACION")</f>
        <v>PENDIENTE CONFIRMACION</v>
      </c>
      <c r="L2045" s="65" t="str">
        <f>IFERROR(__xludf.DUMMYFUNCTION("""COMPUTED_VALUE"""),"CON RECAUDO")</f>
        <v>CON RECAUDO</v>
      </c>
      <c r="M2045" s="65" t="str">
        <f>IFERROR(__xludf.DUMMYFUNCTION("""COMPUTED_VALUE"""),"MANABI")</f>
        <v>MANABI</v>
      </c>
      <c r="N2045" s="65" t="str">
        <f>IFERROR(__xludf.DUMMYFUNCTION("""COMPUTED_VALUE"""),"CHONE")</f>
        <v>CHONE</v>
      </c>
      <c r="O2045" s="65" t="str">
        <f>IFERROR(__xludf.DUMMYFUNCTION("""COMPUTED_VALUE"""),"Chone Chone -")</f>
        <v>Chone Chone -</v>
      </c>
      <c r="P2045" s="65"/>
      <c r="Q2045" s="65" t="str">
        <f>IFERROR(__xludf.DUMMYFUNCTION("""COMPUTED_VALUE"""),"GINTRACOM")</f>
        <v>GINTRACOM</v>
      </c>
      <c r="R2045" s="65">
        <f>IFERROR(__xludf.DUMMYFUNCTION("""COMPUTED_VALUE"""),20.0)</f>
        <v>20</v>
      </c>
      <c r="S2045" s="65"/>
      <c r="T2045" s="65">
        <f>IFERROR(__xludf.DUMMYFUNCTION("""COMPUTED_VALUE"""),5.76)</f>
        <v>5.76</v>
      </c>
      <c r="U2045" s="65">
        <f>IFERROR(__xludf.DUMMYFUNCTION("""COMPUTED_VALUE"""),0.0)</f>
        <v>0</v>
      </c>
      <c r="V2045" s="65">
        <f>IFERROR(__xludf.DUMMYFUNCTION("""COMPUTED_VALUE"""),0.0)</f>
        <v>0</v>
      </c>
      <c r="W2045" s="65">
        <f>IFERROR(__xludf.DUMMYFUNCTION("""COMPUTED_VALUE"""),0.0)</f>
        <v>0</v>
      </c>
      <c r="X2045" s="65">
        <f>IFERROR(__xludf.DUMMYFUNCTION("""COMPUTED_VALUE"""),2.79)</f>
        <v>2.79</v>
      </c>
      <c r="Y2045" s="65">
        <f>IFERROR(__xludf.DUMMYFUNCTION("""COMPUTED_VALUE"""),2.79)</f>
        <v>2.79</v>
      </c>
      <c r="Z2045" s="65">
        <f>IFERROR(__xludf.DUMMYFUNCTION("""COMPUTED_VALUE"""),120732.0)</f>
        <v>120732</v>
      </c>
      <c r="AA2045" s="65" t="str">
        <f>IFERROR(__xludf.DUMMYFUNCTION("""COMPUTED_VALUE"""),"PROV-LMPVT")</f>
        <v>PROV-LMPVT</v>
      </c>
      <c r="AB2045" s="65"/>
      <c r="AC2045" s="65" t="str">
        <f>IFERROR(__xludf.DUMMYFUNCTION("""COMPUTED_VALUE"""),"LIMPIADOR DE PARABRISAS Y VENTANAS")</f>
        <v>LIMPIADOR DE PARABRISAS Y VENTANAS</v>
      </c>
      <c r="AD2045" s="65"/>
      <c r="AE2045" s="65">
        <f>IFERROR(__xludf.DUMMYFUNCTION("""COMPUTED_VALUE"""),1.0)</f>
        <v>1</v>
      </c>
      <c r="AF2045" s="65"/>
      <c r="AG2045" s="65"/>
      <c r="AH2045" s="65"/>
      <c r="AI2045" s="65"/>
      <c r="AJ2045" s="65"/>
      <c r="AK2045" s="65"/>
      <c r="AL2045" s="65"/>
      <c r="AM2045" s="65"/>
      <c r="AN2045" s="65"/>
      <c r="AO2045" s="65"/>
      <c r="AP2045" s="65"/>
      <c r="AQ2045" s="65"/>
      <c r="AR2045" s="65"/>
      <c r="AS2045" s="65"/>
      <c r="AT2045" s="65" t="str">
        <f>IFERROR(__xludf.DUMMYFUNCTION("""COMPUTED_VALUE"""),"SHOPIFY")</f>
        <v>SHOPIFY</v>
      </c>
      <c r="AU2045" s="65" t="str">
        <f>IFERROR(__xludf.DUMMYFUNCTION("""COMPUTED_VALUE"""),"IMPORTEX EC")</f>
        <v>IMPORTEX EC</v>
      </c>
      <c r="AV2045" s="65" t="str">
        <f>IFERROR(__xludf.DUMMYFUNCTION("""COMPUTED_VALUE"""),"6406943637548")</f>
        <v>6406943637548</v>
      </c>
      <c r="AW2045" s="65">
        <f>IFERROR(__xludf.DUMMYFUNCTION("""COMPUTED_VALUE"""),4925.0)</f>
        <v>4925</v>
      </c>
      <c r="AX2045" s="65"/>
      <c r="AY2045" s="65"/>
      <c r="AZ2045" s="65"/>
      <c r="BA2045" s="65"/>
    </row>
    <row r="2046">
      <c r="A2046" s="65" t="str">
        <f>IFERROR(__xludf.DUMMYFUNCTION("""COMPUTED_VALUE"""),"27-03-2026")</f>
        <v>27-03-2026</v>
      </c>
      <c r="B2046" s="65">
        <f>IFERROR(__xludf.DUMMYFUNCTION("""COMPUTED_VALUE"""),4104667.0)</f>
        <v>4104667</v>
      </c>
      <c r="C2046" s="65" t="str">
        <f>IFERROR(__xludf.DUMMYFUNCTION("""COMPUTED_VALUE"""),"13:15")</f>
        <v>13:15</v>
      </c>
      <c r="D2046" s="65" t="str">
        <f>IFERROR(__xludf.DUMMYFUNCTION("""COMPUTED_VALUE"""),"11-01-2026")</f>
        <v>11-01-2026</v>
      </c>
      <c r="E2046" s="65" t="str">
        <f>IFERROR(__xludf.DUMMYFUNCTION("""COMPUTED_VALUE"""),"Diego Aucapiña")</f>
        <v>Diego Aucapiña</v>
      </c>
      <c r="F2046" s="65" t="str">
        <f>IFERROR(__xludf.DUMMYFUNCTION("""COMPUTED_VALUE"""),"979473908")</f>
        <v>979473908</v>
      </c>
      <c r="G2046" s="65" t="str">
        <f>IFERROR(__xludf.DUMMYFUNCTION("""COMPUTED_VALUE"""),"djaucapina@gmail.com")</f>
        <v>djaucapina@gmail.com</v>
      </c>
      <c r="H2046" s="65"/>
      <c r="I2046" s="65"/>
      <c r="J2046" s="65"/>
      <c r="K2046" s="65" t="str">
        <f>IFERROR(__xludf.DUMMYFUNCTION("""COMPUTED_VALUE"""),"PENDIENTE CONFIRMACION")</f>
        <v>PENDIENTE CONFIRMACION</v>
      </c>
      <c r="L2046" s="65" t="str">
        <f>IFERROR(__xludf.DUMMYFUNCTION("""COMPUTED_VALUE"""),"CON RECAUDO")</f>
        <v>CON RECAUDO</v>
      </c>
      <c r="M2046" s="65" t="str">
        <f>IFERROR(__xludf.DUMMYFUNCTION("""COMPUTED_VALUE"""),"AZUAY")</f>
        <v>AZUAY</v>
      </c>
      <c r="N2046" s="65" t="str">
        <f>IFERROR(__xludf.DUMMYFUNCTION("""COMPUTED_VALUE"""),"CUENCA")</f>
        <v>CUENCA</v>
      </c>
      <c r="O2046" s="65" t="str">
        <f>IFERROR(__xludf.DUMMYFUNCTION("""COMPUTED_VALUE"""),"Paccha Centro -")</f>
        <v>Paccha Centro -</v>
      </c>
      <c r="P2046" s="65"/>
      <c r="Q2046" s="65" t="str">
        <f>IFERROR(__xludf.DUMMYFUNCTION("""COMPUTED_VALUE"""),"GINTRACOM")</f>
        <v>GINTRACOM</v>
      </c>
      <c r="R2046" s="65">
        <f>IFERROR(__xludf.DUMMYFUNCTION("""COMPUTED_VALUE"""),25.0)</f>
        <v>25</v>
      </c>
      <c r="S2046" s="65"/>
      <c r="T2046" s="65">
        <f>IFERROR(__xludf.DUMMYFUNCTION("""COMPUTED_VALUE"""),5.96)</f>
        <v>5.96</v>
      </c>
      <c r="U2046" s="65">
        <f>IFERROR(__xludf.DUMMYFUNCTION("""COMPUTED_VALUE"""),0.0)</f>
        <v>0</v>
      </c>
      <c r="V2046" s="65">
        <f>IFERROR(__xludf.DUMMYFUNCTION("""COMPUTED_VALUE"""),0.0)</f>
        <v>0</v>
      </c>
      <c r="W2046" s="65">
        <f>IFERROR(__xludf.DUMMYFUNCTION("""COMPUTED_VALUE"""),0.0)</f>
        <v>0</v>
      </c>
      <c r="X2046" s="65">
        <f>IFERROR(__xludf.DUMMYFUNCTION("""COMPUTED_VALUE"""),2.79)</f>
        <v>2.79</v>
      </c>
      <c r="Y2046" s="65">
        <f>IFERROR(__xludf.DUMMYFUNCTION("""COMPUTED_VALUE"""),5.58)</f>
        <v>5.58</v>
      </c>
      <c r="Z2046" s="65">
        <f>IFERROR(__xludf.DUMMYFUNCTION("""COMPUTED_VALUE"""),120732.0)</f>
        <v>120732</v>
      </c>
      <c r="AA2046" s="65" t="str">
        <f>IFERROR(__xludf.DUMMYFUNCTION("""COMPUTED_VALUE"""),"PROV-LMPVT")</f>
        <v>PROV-LMPVT</v>
      </c>
      <c r="AB2046" s="65"/>
      <c r="AC2046" s="65" t="str">
        <f>IFERROR(__xludf.DUMMYFUNCTION("""COMPUTED_VALUE"""),"LIMPIADOR DE PARABRISAS Y VENTANAS")</f>
        <v>LIMPIADOR DE PARABRISAS Y VENTANAS</v>
      </c>
      <c r="AD2046" s="65"/>
      <c r="AE2046" s="65">
        <f>IFERROR(__xludf.DUMMYFUNCTION("""COMPUTED_VALUE"""),2.0)</f>
        <v>2</v>
      </c>
      <c r="AF2046" s="65"/>
      <c r="AG2046" s="65"/>
      <c r="AH2046" s="65"/>
      <c r="AI2046" s="65"/>
      <c r="AJ2046" s="65"/>
      <c r="AK2046" s="65"/>
      <c r="AL2046" s="65"/>
      <c r="AM2046" s="65"/>
      <c r="AN2046" s="65"/>
      <c r="AO2046" s="65"/>
      <c r="AP2046" s="65"/>
      <c r="AQ2046" s="65"/>
      <c r="AR2046" s="65"/>
      <c r="AS2046" s="65"/>
      <c r="AT2046" s="65" t="str">
        <f>IFERROR(__xludf.DUMMYFUNCTION("""COMPUTED_VALUE"""),"SHOPIFY")</f>
        <v>SHOPIFY</v>
      </c>
      <c r="AU2046" s="65" t="str">
        <f>IFERROR(__xludf.DUMMYFUNCTION("""COMPUTED_VALUE"""),"IMPORTEX EC")</f>
        <v>IMPORTEX EC</v>
      </c>
      <c r="AV2046" s="65" t="str">
        <f>IFERROR(__xludf.DUMMYFUNCTION("""COMPUTED_VALUE"""),"6406909034540")</f>
        <v>6406909034540</v>
      </c>
      <c r="AW2046" s="65">
        <f>IFERROR(__xludf.DUMMYFUNCTION("""COMPUTED_VALUE"""),4924.0)</f>
        <v>4924</v>
      </c>
      <c r="AX2046" s="65"/>
      <c r="AY2046" s="65"/>
      <c r="AZ2046" s="65"/>
      <c r="BA2046" s="65"/>
    </row>
    <row r="2047">
      <c r="A2047" s="65" t="str">
        <f>IFERROR(__xludf.DUMMYFUNCTION("""COMPUTED_VALUE"""),"27-03-2026")</f>
        <v>27-03-2026</v>
      </c>
      <c r="B2047" s="65">
        <f>IFERROR(__xludf.DUMMYFUNCTION("""COMPUTED_VALUE"""),4104576.0)</f>
        <v>4104576</v>
      </c>
      <c r="C2047" s="65" t="str">
        <f>IFERROR(__xludf.DUMMYFUNCTION("""COMPUTED_VALUE"""),"13:06")</f>
        <v>13:06</v>
      </c>
      <c r="D2047" s="65" t="str">
        <f>IFERROR(__xludf.DUMMYFUNCTION("""COMPUTED_VALUE"""),"11-01-2026")</f>
        <v>11-01-2026</v>
      </c>
      <c r="E2047" s="65" t="str">
        <f>IFERROR(__xludf.DUMMYFUNCTION("""COMPUTED_VALUE"""),"Marino Mejia")</f>
        <v>Marino Mejia</v>
      </c>
      <c r="F2047" s="65" t="str">
        <f>IFERROR(__xludf.DUMMYFUNCTION("""COMPUTED_VALUE"""),"987086879")</f>
        <v>987086879</v>
      </c>
      <c r="G2047" s="65" t="str">
        <f>IFERROR(__xludf.DUMMYFUNCTION("""COMPUTED_VALUE"""),"gonzalo7905@hotmail.com")</f>
        <v>gonzalo7905@hotmail.com</v>
      </c>
      <c r="H2047" s="65"/>
      <c r="I2047" s="65"/>
      <c r="J2047" s="65" t="str">
        <f>IFERROR(__xludf.DUMMYFUNCTION("""COMPUTED_VALUE"""),"D001224306")</f>
        <v>D001224306</v>
      </c>
      <c r="K2047" s="65" t="str">
        <f>IFERROR(__xludf.DUMMYFUNCTION("""COMPUTED_VALUE"""),"DEVOLUCION")</f>
        <v>DEVOLUCION</v>
      </c>
      <c r="L2047" s="65" t="str">
        <f>IFERROR(__xludf.DUMMYFUNCTION("""COMPUTED_VALUE"""),"CON RECAUDO")</f>
        <v>CON RECAUDO</v>
      </c>
      <c r="M2047" s="65" t="str">
        <f>IFERROR(__xludf.DUMMYFUNCTION("""COMPUTED_VALUE"""),"PICHINCHA")</f>
        <v>PICHINCHA</v>
      </c>
      <c r="N2047" s="65" t="str">
        <f>IFERROR(__xludf.DUMMYFUNCTION("""COMPUTED_VALUE"""),"QUITO")</f>
        <v>QUITO</v>
      </c>
      <c r="O2047" s="65" t="str">
        <f>IFERROR(__xludf.DUMMYFUNCTION("""COMPUTED_VALUE"""),"Jumandi y lauro guerrero 104c Enseguida de la cevicheria manabita -")</f>
        <v>Jumandi y lauro guerrero 104c Enseguida de la cevicheria manabita -</v>
      </c>
      <c r="P2047" s="65"/>
      <c r="Q2047" s="65" t="str">
        <f>IFERROR(__xludf.DUMMYFUNCTION("""COMPUTED_VALUE"""),"GINTRACOM")</f>
        <v>GINTRACOM</v>
      </c>
      <c r="R2047" s="65">
        <f>IFERROR(__xludf.DUMMYFUNCTION("""COMPUTED_VALUE"""),20.0)</f>
        <v>20</v>
      </c>
      <c r="S2047" s="65"/>
      <c r="T2047" s="65">
        <f>IFERROR(__xludf.DUMMYFUNCTION("""COMPUTED_VALUE"""),5.76)</f>
        <v>5.76</v>
      </c>
      <c r="U2047" s="65">
        <f>IFERROR(__xludf.DUMMYFUNCTION("""COMPUTED_VALUE"""),0.0)</f>
        <v>0</v>
      </c>
      <c r="V2047" s="65">
        <f>IFERROR(__xludf.DUMMYFUNCTION("""COMPUTED_VALUE"""),0.0)</f>
        <v>0</v>
      </c>
      <c r="W2047" s="65">
        <f>IFERROR(__xludf.DUMMYFUNCTION("""COMPUTED_VALUE"""),0.0)</f>
        <v>0</v>
      </c>
      <c r="X2047" s="65">
        <f>IFERROR(__xludf.DUMMYFUNCTION("""COMPUTED_VALUE"""),2.79)</f>
        <v>2.79</v>
      </c>
      <c r="Y2047" s="65">
        <f>IFERROR(__xludf.DUMMYFUNCTION("""COMPUTED_VALUE"""),2.79)</f>
        <v>2.79</v>
      </c>
      <c r="Z2047" s="65">
        <f>IFERROR(__xludf.DUMMYFUNCTION("""COMPUTED_VALUE"""),120732.0)</f>
        <v>120732</v>
      </c>
      <c r="AA2047" s="65" t="str">
        <f>IFERROR(__xludf.DUMMYFUNCTION("""COMPUTED_VALUE"""),"PROV-LMPVT")</f>
        <v>PROV-LMPVT</v>
      </c>
      <c r="AB2047" s="65"/>
      <c r="AC2047" s="65" t="str">
        <f>IFERROR(__xludf.DUMMYFUNCTION("""COMPUTED_VALUE"""),"LIMPIADOR DE PARABRISAS Y VENTANAS")</f>
        <v>LIMPIADOR DE PARABRISAS Y VENTANAS</v>
      </c>
      <c r="AD2047" s="65"/>
      <c r="AE2047" s="65">
        <f>IFERROR(__xludf.DUMMYFUNCTION("""COMPUTED_VALUE"""),1.0)</f>
        <v>1</v>
      </c>
      <c r="AF2047" s="65" t="str">
        <f>IFERROR(__xludf.DUMMYFUNCTION("""COMPUTED_VALUE"""),"DESTINATARIO INDICA QUE DESEA MAS INFORMACIÓN DEL PRODUCTO PARA RECIBIRLO")</f>
        <v>DESTINATARIO INDICA QUE DESEA MAS INFORMACIÓN DEL PRODUCTO PARA RECIBIRLO</v>
      </c>
      <c r="AG2047" s="65" t="str">
        <f>IFERROR(__xludf.DUMMYFUNCTION("""COMPUTED_VALUE"""),"NO")</f>
        <v>NO</v>
      </c>
      <c r="AH2047" s="65" t="str">
        <f>IFERROR(__xludf.DUMMYFUNCTION("""COMPUTED_VALUE"""),"17:58")</f>
        <v>17:58</v>
      </c>
      <c r="AI2047" s="65" t="str">
        <f>IFERROR(__xludf.DUMMYFUNCTION("""COMPUTED_VALUE"""),"15-01-2026")</f>
        <v>15-01-2026</v>
      </c>
      <c r="AJ2047" s="65"/>
      <c r="AK2047" s="65"/>
      <c r="AL2047" s="65"/>
      <c r="AM2047" s="65"/>
      <c r="AN2047" s="65" t="str">
        <f>IFERROR(__xludf.DUMMYFUNCTION("""COMPUTED_VALUE"""),"13:14")</f>
        <v>13:14</v>
      </c>
      <c r="AO2047" s="65" t="str">
        <f>IFERROR(__xludf.DUMMYFUNCTION("""COMPUTED_VALUE"""),"05-02-2026")</f>
        <v>05-02-2026</v>
      </c>
      <c r="AP2047" s="65" t="str">
        <f>IFERROR(__xludf.DUMMYFUNCTION("""COMPUTED_VALUE"""),"DEV CONFIRMADA POR BODEGA")</f>
        <v>DEV CONFIRMADA POR BODEGA</v>
      </c>
      <c r="AQ2047" s="65"/>
      <c r="AR2047" s="65" t="str">
        <f>IFERROR(__xludf.DUMMYFUNCTION("""COMPUTED_VALUE"""),"Gestionado por: PROVEDIX DAMIAN, email:enviogratisdirecto@gmail.com, total de productos en la orden: 1")</f>
        <v>Gestionado por: PROVEDIX DAMIAN, email:enviogratisdirecto@gmail.com, total de productos en la orden: 1</v>
      </c>
      <c r="AS2047" s="65"/>
      <c r="AT2047" s="65" t="str">
        <f>IFERROR(__xludf.DUMMYFUNCTION("""COMPUTED_VALUE"""),"SHOPIFY")</f>
        <v>SHOPIFY</v>
      </c>
      <c r="AU2047" s="65" t="str">
        <f>IFERROR(__xludf.DUMMYFUNCTION("""COMPUTED_VALUE"""),"IMPORTEX EC")</f>
        <v>IMPORTEX EC</v>
      </c>
      <c r="AV2047" s="65" t="str">
        <f>IFERROR(__xludf.DUMMYFUNCTION("""COMPUTED_VALUE"""),"6406883639340")</f>
        <v>6406883639340</v>
      </c>
      <c r="AW2047" s="65">
        <f>IFERROR(__xludf.DUMMYFUNCTION("""COMPUTED_VALUE"""),4923.0)</f>
        <v>4923</v>
      </c>
      <c r="AX2047" s="65"/>
      <c r="AY2047" s="65" t="str">
        <f>IFERROR(__xludf.DUMMYFUNCTION("""COMPUTED_VALUE"""),"14/01/2026")</f>
        <v>14/01/2026</v>
      </c>
      <c r="AZ2047" s="65"/>
      <c r="BA2047" s="65"/>
    </row>
    <row r="2048">
      <c r="A2048" s="65" t="str">
        <f>IFERROR(__xludf.DUMMYFUNCTION("""COMPUTED_VALUE"""),"27-03-2026")</f>
        <v>27-03-2026</v>
      </c>
      <c r="B2048" s="65">
        <f>IFERROR(__xludf.DUMMYFUNCTION("""COMPUTED_VALUE"""),4104468.0)</f>
        <v>4104468</v>
      </c>
      <c r="C2048" s="65" t="str">
        <f>IFERROR(__xludf.DUMMYFUNCTION("""COMPUTED_VALUE"""),"12:56")</f>
        <v>12:56</v>
      </c>
      <c r="D2048" s="65" t="str">
        <f>IFERROR(__xludf.DUMMYFUNCTION("""COMPUTED_VALUE"""),"11-01-2026")</f>
        <v>11-01-2026</v>
      </c>
      <c r="E2048" s="65" t="str">
        <f>IFERROR(__xludf.DUMMYFUNCTION("""COMPUTED_VALUE"""),"Jandry Vera")</f>
        <v>Jandry Vera</v>
      </c>
      <c r="F2048" s="65" t="str">
        <f>IFERROR(__xludf.DUMMYFUNCTION("""COMPUTED_VALUE"""),"991608481")</f>
        <v>991608481</v>
      </c>
      <c r="G2048" s="65" t="str">
        <f>IFERROR(__xludf.DUMMYFUNCTION("""COMPUTED_VALUE"""),"jandryvera@hotmail.com")</f>
        <v>jandryvera@hotmail.com</v>
      </c>
      <c r="H2048" s="65"/>
      <c r="I2048" s="65"/>
      <c r="J2048" s="65" t="str">
        <f>IFERROR(__xludf.DUMMYFUNCTION("""COMPUTED_VALUE"""),"D001224307")</f>
        <v>D001224307</v>
      </c>
      <c r="K2048" s="65" t="str">
        <f>IFERROR(__xludf.DUMMYFUNCTION("""COMPUTED_VALUE"""),"ENTREGADO")</f>
        <v>ENTREGADO</v>
      </c>
      <c r="L2048" s="65" t="str">
        <f>IFERROR(__xludf.DUMMYFUNCTION("""COMPUTED_VALUE"""),"CON RECAUDO")</f>
        <v>CON RECAUDO</v>
      </c>
      <c r="M2048" s="65" t="str">
        <f>IFERROR(__xludf.DUMMYFUNCTION("""COMPUTED_VALUE"""),"GUAYAS")</f>
        <v>GUAYAS</v>
      </c>
      <c r="N2048" s="65" t="str">
        <f>IFERROR(__xludf.DUMMYFUNCTION("""COMPUTED_VALUE"""),"GUAYAQUIL")</f>
        <v>GUAYAQUIL</v>
      </c>
      <c r="O2048" s="65" t="str">
        <f>IFERROR(__xludf.DUMMYFUNCTION("""COMPUTED_VALUE"""),"Km 10.5 via a Daule - Parque Industrial Inmaconsa Av. Eucalipto MZ 11 Solar 20 Portón color azul Malibú (empresa Cristiansen) -")</f>
        <v>Km 10.5 via a Daule - Parque Industrial Inmaconsa Av. Eucalipto MZ 11 Solar 20 Portón color azul Malibú (empresa Cristiansen) -</v>
      </c>
      <c r="P2048" s="65"/>
      <c r="Q2048" s="65" t="str">
        <f>IFERROR(__xludf.DUMMYFUNCTION("""COMPUTED_VALUE"""),"GINTRACOM")</f>
        <v>GINTRACOM</v>
      </c>
      <c r="R2048" s="65">
        <f>IFERROR(__xludf.DUMMYFUNCTION("""COMPUTED_VALUE"""),25.0)</f>
        <v>25</v>
      </c>
      <c r="S2048" s="65">
        <f>IFERROR(__xludf.DUMMYFUNCTION("""COMPUTED_VALUE"""),15.07)</f>
        <v>15.07</v>
      </c>
      <c r="T2048" s="65">
        <f>IFERROR(__xludf.DUMMYFUNCTION("""COMPUTED_VALUE"""),4.35)</f>
        <v>4.35</v>
      </c>
      <c r="U2048" s="65">
        <f>IFERROR(__xludf.DUMMYFUNCTION("""COMPUTED_VALUE"""),0.0)</f>
        <v>0</v>
      </c>
      <c r="V2048" s="65">
        <f>IFERROR(__xludf.DUMMYFUNCTION("""COMPUTED_VALUE"""),0.0)</f>
        <v>0</v>
      </c>
      <c r="W2048" s="65">
        <f>IFERROR(__xludf.DUMMYFUNCTION("""COMPUTED_VALUE"""),0.0)</f>
        <v>0</v>
      </c>
      <c r="X2048" s="65">
        <f>IFERROR(__xludf.DUMMYFUNCTION("""COMPUTED_VALUE"""),2.79)</f>
        <v>2.79</v>
      </c>
      <c r="Y2048" s="65">
        <f>IFERROR(__xludf.DUMMYFUNCTION("""COMPUTED_VALUE"""),5.58)</f>
        <v>5.58</v>
      </c>
      <c r="Z2048" s="65">
        <f>IFERROR(__xludf.DUMMYFUNCTION("""COMPUTED_VALUE"""),120732.0)</f>
        <v>120732</v>
      </c>
      <c r="AA2048" s="65" t="str">
        <f>IFERROR(__xludf.DUMMYFUNCTION("""COMPUTED_VALUE"""),"PROV-LMPVT")</f>
        <v>PROV-LMPVT</v>
      </c>
      <c r="AB2048" s="65"/>
      <c r="AC2048" s="65" t="str">
        <f>IFERROR(__xludf.DUMMYFUNCTION("""COMPUTED_VALUE"""),"LIMPIADOR DE PARABRISAS Y VENTANAS")</f>
        <v>LIMPIADOR DE PARABRISAS Y VENTANAS</v>
      </c>
      <c r="AD2048" s="65"/>
      <c r="AE2048" s="65">
        <f>IFERROR(__xludf.DUMMYFUNCTION("""COMPUTED_VALUE"""),2.0)</f>
        <v>2</v>
      </c>
      <c r="AF2048" s="65"/>
      <c r="AG2048" s="65"/>
      <c r="AH2048" s="65"/>
      <c r="AI2048" s="65"/>
      <c r="AJ2048" s="65"/>
      <c r="AK2048" s="65"/>
      <c r="AL2048" s="65"/>
      <c r="AM2048" s="65"/>
      <c r="AN2048" s="65" t="str">
        <f>IFERROR(__xludf.DUMMYFUNCTION("""COMPUTED_VALUE"""),"15:25")</f>
        <v>15:25</v>
      </c>
      <c r="AO2048" s="65" t="str">
        <f>IFERROR(__xludf.DUMMYFUNCTION("""COMPUTED_VALUE"""),"15-01-2026")</f>
        <v>15-01-2026</v>
      </c>
      <c r="AP2048" s="65" t="str">
        <f>IFERROR(__xludf.DUMMYFUNCTION("""COMPUTED_VALUE"""),"ENTREGADA GINTRACOM")</f>
        <v>ENTREGADA GINTRACOM</v>
      </c>
      <c r="AQ2048" s="65" t="str">
        <f>IFERROR(__xludf.DUMMYFUNCTION("""COMPUTED_VALUE"""),"ENTREGADA GINTRACOM")</f>
        <v>ENTREGADA GINTRACOM</v>
      </c>
      <c r="AR2048" s="65"/>
      <c r="AS2048" s="65"/>
      <c r="AT2048" s="65" t="str">
        <f>IFERROR(__xludf.DUMMYFUNCTION("""COMPUTED_VALUE"""),"SHOPIFY")</f>
        <v>SHOPIFY</v>
      </c>
      <c r="AU2048" s="65" t="str">
        <f>IFERROR(__xludf.DUMMYFUNCTION("""COMPUTED_VALUE"""),"IMPORTEX EC")</f>
        <v>IMPORTEX EC</v>
      </c>
      <c r="AV2048" s="65" t="str">
        <f>IFERROR(__xludf.DUMMYFUNCTION("""COMPUTED_VALUE"""),"6406830358572")</f>
        <v>6406830358572</v>
      </c>
      <c r="AW2048" s="65">
        <f>IFERROR(__xludf.DUMMYFUNCTION("""COMPUTED_VALUE"""),4922.0)</f>
        <v>4922</v>
      </c>
      <c r="AX2048" s="65"/>
      <c r="AY2048" s="65" t="str">
        <f>IFERROR(__xludf.DUMMYFUNCTION("""COMPUTED_VALUE"""),"14/01/2026")</f>
        <v>14/01/2026</v>
      </c>
      <c r="AZ2048" s="65"/>
      <c r="BA2048" s="65"/>
    </row>
    <row r="2049">
      <c r="A2049" s="65" t="str">
        <f>IFERROR(__xludf.DUMMYFUNCTION("""COMPUTED_VALUE"""),"27-03-2026")</f>
        <v>27-03-2026</v>
      </c>
      <c r="B2049" s="65">
        <f>IFERROR(__xludf.DUMMYFUNCTION("""COMPUTED_VALUE"""),4104216.0)</f>
        <v>4104216</v>
      </c>
      <c r="C2049" s="65" t="str">
        <f>IFERROR(__xludf.DUMMYFUNCTION("""COMPUTED_VALUE"""),"12:32")</f>
        <v>12:32</v>
      </c>
      <c r="D2049" s="65" t="str">
        <f>IFERROR(__xludf.DUMMYFUNCTION("""COMPUTED_VALUE"""),"11-01-2026")</f>
        <v>11-01-2026</v>
      </c>
      <c r="E2049" s="65" t="str">
        <f>IFERROR(__xludf.DUMMYFUNCTION("""COMPUTED_VALUE"""),"johanna Leon")</f>
        <v>johanna Leon</v>
      </c>
      <c r="F2049" s="65" t="str">
        <f>IFERROR(__xludf.DUMMYFUNCTION("""COMPUTED_VALUE"""),"999071800")</f>
        <v>999071800</v>
      </c>
      <c r="G2049" s="65" t="str">
        <f>IFERROR(__xludf.DUMMYFUNCTION("""COMPUTED_VALUE"""),"johanaleonmoran3@hotmail.com")</f>
        <v>johanaleonmoran3@hotmail.com</v>
      </c>
      <c r="H2049" s="65"/>
      <c r="I2049" s="65"/>
      <c r="J2049" s="65" t="str">
        <f>IFERROR(__xludf.DUMMYFUNCTION("""COMPUTED_VALUE"""),"D001224308")</f>
        <v>D001224308</v>
      </c>
      <c r="K2049" s="65" t="str">
        <f>IFERROR(__xludf.DUMMYFUNCTION("""COMPUTED_VALUE"""),"ENTREGADO")</f>
        <v>ENTREGADO</v>
      </c>
      <c r="L2049" s="65" t="str">
        <f>IFERROR(__xludf.DUMMYFUNCTION("""COMPUTED_VALUE"""),"CON RECAUDO")</f>
        <v>CON RECAUDO</v>
      </c>
      <c r="M2049" s="65" t="str">
        <f>IFERROR(__xludf.DUMMYFUNCTION("""COMPUTED_VALUE"""),"GUAYAS")</f>
        <v>GUAYAS</v>
      </c>
      <c r="N2049" s="65" t="str">
        <f>IFERROR(__xludf.DUMMYFUNCTION("""COMPUTED_VALUE"""),"GUAYAQUIL")</f>
        <v>GUAYAQUIL</v>
      </c>
      <c r="O2049" s="65" t="str">
        <f>IFERROR(__xludf.DUMMYFUNCTION("""COMPUTED_VALUE"""),"Av León Febres Cordero, VÍa A La Daule La Aurora Cdla Portón del Río de Vicrieel Mz E villa 15 -")</f>
        <v>Av León Febres Cordero, VÍa A La Daule La Aurora Cdla Portón del Río de Vicrieel Mz E villa 15 -</v>
      </c>
      <c r="P2049" s="65"/>
      <c r="Q2049" s="65" t="str">
        <f>IFERROR(__xludf.DUMMYFUNCTION("""COMPUTED_VALUE"""),"GINTRACOM")</f>
        <v>GINTRACOM</v>
      </c>
      <c r="R2049" s="65">
        <f>IFERROR(__xludf.DUMMYFUNCTION("""COMPUTED_VALUE"""),25.0)</f>
        <v>25</v>
      </c>
      <c r="S2049" s="65">
        <f>IFERROR(__xludf.DUMMYFUNCTION("""COMPUTED_VALUE"""),15.07)</f>
        <v>15.07</v>
      </c>
      <c r="T2049" s="65">
        <f>IFERROR(__xludf.DUMMYFUNCTION("""COMPUTED_VALUE"""),4.35)</f>
        <v>4.35</v>
      </c>
      <c r="U2049" s="65">
        <f>IFERROR(__xludf.DUMMYFUNCTION("""COMPUTED_VALUE"""),0.0)</f>
        <v>0</v>
      </c>
      <c r="V2049" s="65">
        <f>IFERROR(__xludf.DUMMYFUNCTION("""COMPUTED_VALUE"""),0.0)</f>
        <v>0</v>
      </c>
      <c r="W2049" s="65">
        <f>IFERROR(__xludf.DUMMYFUNCTION("""COMPUTED_VALUE"""),0.0)</f>
        <v>0</v>
      </c>
      <c r="X2049" s="65">
        <f>IFERROR(__xludf.DUMMYFUNCTION("""COMPUTED_VALUE"""),2.79)</f>
        <v>2.79</v>
      </c>
      <c r="Y2049" s="65">
        <f>IFERROR(__xludf.DUMMYFUNCTION("""COMPUTED_VALUE"""),5.58)</f>
        <v>5.58</v>
      </c>
      <c r="Z2049" s="65">
        <f>IFERROR(__xludf.DUMMYFUNCTION("""COMPUTED_VALUE"""),120732.0)</f>
        <v>120732</v>
      </c>
      <c r="AA2049" s="65" t="str">
        <f>IFERROR(__xludf.DUMMYFUNCTION("""COMPUTED_VALUE"""),"PROV-LMPVT")</f>
        <v>PROV-LMPVT</v>
      </c>
      <c r="AB2049" s="65"/>
      <c r="AC2049" s="65" t="str">
        <f>IFERROR(__xludf.DUMMYFUNCTION("""COMPUTED_VALUE"""),"LIMPIADOR DE PARABRISAS Y VENTANAS")</f>
        <v>LIMPIADOR DE PARABRISAS Y VENTANAS</v>
      </c>
      <c r="AD2049" s="65"/>
      <c r="AE2049" s="65">
        <f>IFERROR(__xludf.DUMMYFUNCTION("""COMPUTED_VALUE"""),2.0)</f>
        <v>2</v>
      </c>
      <c r="AF2049" s="65"/>
      <c r="AG2049" s="65"/>
      <c r="AH2049" s="65"/>
      <c r="AI2049" s="65"/>
      <c r="AJ2049" s="65"/>
      <c r="AK2049" s="65"/>
      <c r="AL2049" s="65"/>
      <c r="AM2049" s="65"/>
      <c r="AN2049" s="65" t="str">
        <f>IFERROR(__xludf.DUMMYFUNCTION("""COMPUTED_VALUE"""),"11:23")</f>
        <v>11:23</v>
      </c>
      <c r="AO2049" s="65" t="str">
        <f>IFERROR(__xludf.DUMMYFUNCTION("""COMPUTED_VALUE"""),"15-01-2026")</f>
        <v>15-01-2026</v>
      </c>
      <c r="AP2049" s="65" t="str">
        <f>IFERROR(__xludf.DUMMYFUNCTION("""COMPUTED_VALUE"""),"ENTREGADA GINTRACOM")</f>
        <v>ENTREGADA GINTRACOM</v>
      </c>
      <c r="AQ2049" s="65" t="str">
        <f>IFERROR(__xludf.DUMMYFUNCTION("""COMPUTED_VALUE"""),"ENTREGADA GINTRACOM")</f>
        <v>ENTREGADA GINTRACOM</v>
      </c>
      <c r="AR2049" s="65"/>
      <c r="AS2049" s="65"/>
      <c r="AT2049" s="65" t="str">
        <f>IFERROR(__xludf.DUMMYFUNCTION("""COMPUTED_VALUE"""),"SHOPIFY")</f>
        <v>SHOPIFY</v>
      </c>
      <c r="AU2049" s="65" t="str">
        <f>IFERROR(__xludf.DUMMYFUNCTION("""COMPUTED_VALUE"""),"IMPORTEX EC")</f>
        <v>IMPORTEX EC</v>
      </c>
      <c r="AV2049" s="65" t="str">
        <f>IFERROR(__xludf.DUMMYFUNCTION("""COMPUTED_VALUE"""),"6406765379628")</f>
        <v>6406765379628</v>
      </c>
      <c r="AW2049" s="65">
        <f>IFERROR(__xludf.DUMMYFUNCTION("""COMPUTED_VALUE"""),4921.0)</f>
        <v>4921</v>
      </c>
      <c r="AX2049" s="65"/>
      <c r="AY2049" s="65" t="str">
        <f>IFERROR(__xludf.DUMMYFUNCTION("""COMPUTED_VALUE"""),"14/01/2026")</f>
        <v>14/01/2026</v>
      </c>
      <c r="AZ2049" s="65"/>
      <c r="BA2049" s="65"/>
    </row>
    <row r="2050">
      <c r="A2050" s="65" t="str">
        <f>IFERROR(__xludf.DUMMYFUNCTION("""COMPUTED_VALUE"""),"27-03-2026")</f>
        <v>27-03-2026</v>
      </c>
      <c r="B2050" s="65">
        <f>IFERROR(__xludf.DUMMYFUNCTION("""COMPUTED_VALUE"""),4104190.0)</f>
        <v>4104190</v>
      </c>
      <c r="C2050" s="65" t="str">
        <f>IFERROR(__xludf.DUMMYFUNCTION("""COMPUTED_VALUE"""),"12:30")</f>
        <v>12:30</v>
      </c>
      <c r="D2050" s="65" t="str">
        <f>IFERROR(__xludf.DUMMYFUNCTION("""COMPUTED_VALUE"""),"11-01-2026")</f>
        <v>11-01-2026</v>
      </c>
      <c r="E2050" s="65" t="str">
        <f>IFERROR(__xludf.DUMMYFUNCTION("""COMPUTED_VALUE"""),"Diego Cruz")</f>
        <v>Diego Cruz</v>
      </c>
      <c r="F2050" s="65" t="str">
        <f>IFERROR(__xludf.DUMMYFUNCTION("""COMPUTED_VALUE"""),"987268380")</f>
        <v>987268380</v>
      </c>
      <c r="G2050" s="65" t="str">
        <f>IFERROR(__xludf.DUMMYFUNCTION("""COMPUTED_VALUE"""),"gigo1110@hotmail.com")</f>
        <v>gigo1110@hotmail.com</v>
      </c>
      <c r="H2050" s="65"/>
      <c r="I2050" s="65"/>
      <c r="J2050" s="65" t="str">
        <f>IFERROR(__xludf.DUMMYFUNCTION("""COMPUTED_VALUE"""),"D001230395")</f>
        <v>D001230395</v>
      </c>
      <c r="K2050" s="65" t="str">
        <f>IFERROR(__xludf.DUMMYFUNCTION("""COMPUTED_VALUE"""),"DEVOLUCION")</f>
        <v>DEVOLUCION</v>
      </c>
      <c r="L2050" s="65" t="str">
        <f>IFERROR(__xludf.DUMMYFUNCTION("""COMPUTED_VALUE"""),"CON RECAUDO")</f>
        <v>CON RECAUDO</v>
      </c>
      <c r="M2050" s="65" t="str">
        <f>IFERROR(__xludf.DUMMYFUNCTION("""COMPUTED_VALUE"""),"PICHINCHA")</f>
        <v>PICHINCHA</v>
      </c>
      <c r="N2050" s="65" t="str">
        <f>IFERROR(__xludf.DUMMYFUNCTION("""COMPUTED_VALUE"""),"QUITO")</f>
        <v>QUITO</v>
      </c>
      <c r="O2050" s="65" t="str">
        <f>IFERROR(__xludf.DUMMYFUNCTION("""COMPUTED_VALUE"""),"Manuel coordova galarza Pususqui conjunto dos hemisferios mz6 casa 28 -")</f>
        <v>Manuel coordova galarza Pususqui conjunto dos hemisferios mz6 casa 28 -</v>
      </c>
      <c r="P2050" s="65"/>
      <c r="Q2050" s="65" t="str">
        <f>IFERROR(__xludf.DUMMYFUNCTION("""COMPUTED_VALUE"""),"GINTRACOM")</f>
        <v>GINTRACOM</v>
      </c>
      <c r="R2050" s="65">
        <f>IFERROR(__xludf.DUMMYFUNCTION("""COMPUTED_VALUE"""),22.0)</f>
        <v>22</v>
      </c>
      <c r="S2050" s="65"/>
      <c r="T2050" s="65">
        <f>IFERROR(__xludf.DUMMYFUNCTION("""COMPUTED_VALUE"""),5.84)</f>
        <v>5.84</v>
      </c>
      <c r="U2050" s="65">
        <f>IFERROR(__xludf.DUMMYFUNCTION("""COMPUTED_VALUE"""),0.0)</f>
        <v>0</v>
      </c>
      <c r="V2050" s="65">
        <f>IFERROR(__xludf.DUMMYFUNCTION("""COMPUTED_VALUE"""),0.0)</f>
        <v>0</v>
      </c>
      <c r="W2050" s="65">
        <f>IFERROR(__xludf.DUMMYFUNCTION("""COMPUTED_VALUE"""),0.0)</f>
        <v>0</v>
      </c>
      <c r="X2050" s="65">
        <f>IFERROR(__xludf.DUMMYFUNCTION("""COMPUTED_VALUE"""),2.6)</f>
        <v>2.6</v>
      </c>
      <c r="Y2050" s="65">
        <f>IFERROR(__xludf.DUMMYFUNCTION("""COMPUTED_VALUE"""),5.2)</f>
        <v>5.2</v>
      </c>
      <c r="Z2050" s="65">
        <f>IFERROR(__xludf.DUMMYFUNCTION("""COMPUTED_VALUE"""),121983.0)</f>
        <v>121983</v>
      </c>
      <c r="AA2050" s="65" t="str">
        <f>IFERROR(__xludf.DUMMYFUNCTION("""COMPUTED_VALUE"""),"PROV-CHLLCF")</f>
        <v>PROV-CHLLCF</v>
      </c>
      <c r="AB2050" s="65"/>
      <c r="AC2050" s="65" t="str">
        <f>IFERROR(__xludf.DUMMYFUNCTION("""COMPUTED_VALUE"""),"CUCHILLO PARA CHEF")</f>
        <v>CUCHILLO PARA CHEF</v>
      </c>
      <c r="AD2050" s="65"/>
      <c r="AE2050" s="65">
        <f>IFERROR(__xludf.DUMMYFUNCTION("""COMPUTED_VALUE"""),2.0)</f>
        <v>2</v>
      </c>
      <c r="AF2050" s="65" t="str">
        <f>IFERROR(__xludf.DUMMYFUNCTION("""COMPUTED_VALUE"""),"DESTINATARIO INDICA QUE NO ES EL PRODUCTO QUE SOLICITÓ")</f>
        <v>DESTINATARIO INDICA QUE NO ES EL PRODUCTO QUE SOLICITÓ</v>
      </c>
      <c r="AG2050" s="65" t="str">
        <f>IFERROR(__xludf.DUMMYFUNCTION("""COMPUTED_VALUE"""),"NO")</f>
        <v>NO</v>
      </c>
      <c r="AH2050" s="65" t="str">
        <f>IFERROR(__xludf.DUMMYFUNCTION("""COMPUTED_VALUE"""),"11:27")</f>
        <v>11:27</v>
      </c>
      <c r="AI2050" s="65" t="str">
        <f>IFERROR(__xludf.DUMMYFUNCTION("""COMPUTED_VALUE"""),"18-01-2026")</f>
        <v>18-01-2026</v>
      </c>
      <c r="AJ2050" s="65"/>
      <c r="AK2050" s="65"/>
      <c r="AL2050" s="65"/>
      <c r="AM2050" s="65"/>
      <c r="AN2050" s="65" t="str">
        <f>IFERROR(__xludf.DUMMYFUNCTION("""COMPUTED_VALUE"""),"08:42")</f>
        <v>08:42</v>
      </c>
      <c r="AO2050" s="65" t="str">
        <f>IFERROR(__xludf.DUMMYFUNCTION("""COMPUTED_VALUE"""),"10-02-2026")</f>
        <v>10-02-2026</v>
      </c>
      <c r="AP2050" s="65" t="str">
        <f>IFERROR(__xludf.DUMMYFUNCTION("""COMPUTED_VALUE"""),"DEV CONFIRMADA POR BODEGA")</f>
        <v>DEV CONFIRMADA POR BODEGA</v>
      </c>
      <c r="AQ2050" s="65"/>
      <c r="AR2050" s="65" t="str">
        <f>IFERROR(__xludf.DUMMYFUNCTION("""COMPUTED_VALUE"""),"Gestionado por: Moran Daniel, email:danielmorga2005@gmail.com, total de productos en la orden: 1")</f>
        <v>Gestionado por: Moran Daniel, email:danielmorga2005@gmail.com, total de productos en la orden: 1</v>
      </c>
      <c r="AS2050" s="65"/>
      <c r="AT2050" s="65" t="str">
        <f>IFERROR(__xludf.DUMMYFUNCTION("""COMPUTED_VALUE"""),"SHOPIFY")</f>
        <v>SHOPIFY</v>
      </c>
      <c r="AU2050" s="65" t="str">
        <f>IFERROR(__xludf.DUMMYFUNCTION("""COMPUTED_VALUE"""),"IMPORTEX EC")</f>
        <v>IMPORTEX EC</v>
      </c>
      <c r="AV2050" s="65" t="str">
        <f>IFERROR(__xludf.DUMMYFUNCTION("""COMPUTED_VALUE"""),"6406756499500")</f>
        <v>6406756499500</v>
      </c>
      <c r="AW2050" s="65">
        <f>IFERROR(__xludf.DUMMYFUNCTION("""COMPUTED_VALUE"""),4919.0)</f>
        <v>4919</v>
      </c>
      <c r="AX2050" s="65"/>
      <c r="AY2050" s="65" t="str">
        <f>IFERROR(__xludf.DUMMYFUNCTION("""COMPUTED_VALUE"""),"16/01/2026")</f>
        <v>16/01/2026</v>
      </c>
      <c r="AZ2050" s="65"/>
      <c r="BA2050" s="65"/>
    </row>
    <row r="2051">
      <c r="A2051" s="65" t="str">
        <f>IFERROR(__xludf.DUMMYFUNCTION("""COMPUTED_VALUE"""),"27-03-2026")</f>
        <v>27-03-2026</v>
      </c>
      <c r="B2051" s="65">
        <f>IFERROR(__xludf.DUMMYFUNCTION("""COMPUTED_VALUE"""),4104170.0)</f>
        <v>4104170</v>
      </c>
      <c r="C2051" s="65" t="str">
        <f>IFERROR(__xludf.DUMMYFUNCTION("""COMPUTED_VALUE"""),"12:26")</f>
        <v>12:26</v>
      </c>
      <c r="D2051" s="65" t="str">
        <f>IFERROR(__xludf.DUMMYFUNCTION("""COMPUTED_VALUE"""),"11-01-2026")</f>
        <v>11-01-2026</v>
      </c>
      <c r="E2051" s="65" t="str">
        <f>IFERROR(__xludf.DUMMYFUNCTION("""COMPUTED_VALUE"""),"Luis Robalino")</f>
        <v>Luis Robalino</v>
      </c>
      <c r="F2051" s="65" t="str">
        <f>IFERROR(__xludf.DUMMYFUNCTION("""COMPUTED_VALUE"""),"995878419")</f>
        <v>995878419</v>
      </c>
      <c r="G2051" s="65" t="str">
        <f>IFERROR(__xludf.DUMMYFUNCTION("""COMPUTED_VALUE"""),"luisrobalino542@gmail.com")</f>
        <v>luisrobalino542@gmail.com</v>
      </c>
      <c r="H2051" s="65"/>
      <c r="I2051" s="65"/>
      <c r="J2051" s="65" t="str">
        <f>IFERROR(__xludf.DUMMYFUNCTION("""COMPUTED_VALUE"""),"D001223107")</f>
        <v>D001223107</v>
      </c>
      <c r="K2051" s="65" t="str">
        <f>IFERROR(__xludf.DUMMYFUNCTION("""COMPUTED_VALUE"""),"ENTREGADO")</f>
        <v>ENTREGADO</v>
      </c>
      <c r="L2051" s="65" t="str">
        <f>IFERROR(__xludf.DUMMYFUNCTION("""COMPUTED_VALUE"""),"CON RECAUDO")</f>
        <v>CON RECAUDO</v>
      </c>
      <c r="M2051" s="65" t="str">
        <f>IFERROR(__xludf.DUMMYFUNCTION("""COMPUTED_VALUE"""),"CHIMBORAZO")</f>
        <v>CHIMBORAZO</v>
      </c>
      <c r="N2051" s="65" t="str">
        <f>IFERROR(__xludf.DUMMYFUNCTION("""COMPUTED_VALUE"""),"RIOBAMBA")</f>
        <v>RIOBAMBA</v>
      </c>
      <c r="O2051" s="65" t="str">
        <f>IFERROR(__xludf.DUMMYFUNCTION("""COMPUTED_VALUE"""),"Av. Junín y Calle Baltazar Paredes - Diagonal al parque de los Condominios Chimborazo - Casa en obra gris con puertas verdes en la calle Junín.")</f>
        <v>Av. Junín y Calle Baltazar Paredes - Diagonal al parque de los Condominios Chimborazo - Casa en obra gris con puertas verdes en la calle Junín.</v>
      </c>
      <c r="P2051" s="65"/>
      <c r="Q2051" s="65" t="str">
        <f>IFERROR(__xludf.DUMMYFUNCTION("""COMPUTED_VALUE"""),"GINTRACOM")</f>
        <v>GINTRACOM</v>
      </c>
      <c r="R2051" s="65">
        <f>IFERROR(__xludf.DUMMYFUNCTION("""COMPUTED_VALUE"""),27.0)</f>
        <v>27</v>
      </c>
      <c r="S2051" s="65">
        <f>IFERROR(__xludf.DUMMYFUNCTION("""COMPUTED_VALUE"""),13.17)</f>
        <v>13.17</v>
      </c>
      <c r="T2051" s="65">
        <f>IFERROR(__xludf.DUMMYFUNCTION("""COMPUTED_VALUE"""),6.03)</f>
        <v>6.03</v>
      </c>
      <c r="U2051" s="65">
        <f>IFERROR(__xludf.DUMMYFUNCTION("""COMPUTED_VALUE"""),0.0)</f>
        <v>0</v>
      </c>
      <c r="V2051" s="65">
        <f>IFERROR(__xludf.DUMMYFUNCTION("""COMPUTED_VALUE"""),0.0)</f>
        <v>0</v>
      </c>
      <c r="W2051" s="65">
        <f>IFERROR(__xludf.DUMMYFUNCTION("""COMPUTED_VALUE"""),0.0)</f>
        <v>0</v>
      </c>
      <c r="X2051" s="65">
        <f>IFERROR(__xludf.DUMMYFUNCTION("""COMPUTED_VALUE"""),2.6)</f>
        <v>2.6</v>
      </c>
      <c r="Y2051" s="65">
        <f>IFERROR(__xludf.DUMMYFUNCTION("""COMPUTED_VALUE"""),7.8)</f>
        <v>7.8</v>
      </c>
      <c r="Z2051" s="65">
        <f>IFERROR(__xludf.DUMMYFUNCTION("""COMPUTED_VALUE"""),121983.0)</f>
        <v>121983</v>
      </c>
      <c r="AA2051" s="65" t="str">
        <f>IFERROR(__xludf.DUMMYFUNCTION("""COMPUTED_VALUE"""),"PROV-CHLLCF")</f>
        <v>PROV-CHLLCF</v>
      </c>
      <c r="AB2051" s="65"/>
      <c r="AC2051" s="65" t="str">
        <f>IFERROR(__xludf.DUMMYFUNCTION("""COMPUTED_VALUE"""),"CUCHILLO PARA CHEF")</f>
        <v>CUCHILLO PARA CHEF</v>
      </c>
      <c r="AD2051" s="65"/>
      <c r="AE2051" s="65">
        <f>IFERROR(__xludf.DUMMYFUNCTION("""COMPUTED_VALUE"""),3.0)</f>
        <v>3</v>
      </c>
      <c r="AF2051" s="65"/>
      <c r="AG2051" s="65"/>
      <c r="AH2051" s="65"/>
      <c r="AI2051" s="65"/>
      <c r="AJ2051" s="65"/>
      <c r="AK2051" s="65"/>
      <c r="AL2051" s="65"/>
      <c r="AM2051" s="65"/>
      <c r="AN2051" s="65" t="str">
        <f>IFERROR(__xludf.DUMMYFUNCTION("""COMPUTED_VALUE"""),"13:44")</f>
        <v>13:44</v>
      </c>
      <c r="AO2051" s="65" t="str">
        <f>IFERROR(__xludf.DUMMYFUNCTION("""COMPUTED_VALUE"""),"17-01-2026")</f>
        <v>17-01-2026</v>
      </c>
      <c r="AP2051" s="65" t="str">
        <f>IFERROR(__xludf.DUMMYFUNCTION("""COMPUTED_VALUE"""),"ENTREGADA GINTRACOM")</f>
        <v>ENTREGADA GINTRACOM</v>
      </c>
      <c r="AQ2051" s="65" t="str">
        <f>IFERROR(__xludf.DUMMYFUNCTION("""COMPUTED_VALUE"""),"ENTREGADA GINTRACOM")</f>
        <v>ENTREGADA GINTRACOM</v>
      </c>
      <c r="AR2051" s="65"/>
      <c r="AS2051" s="65"/>
      <c r="AT2051" s="65" t="str">
        <f>IFERROR(__xludf.DUMMYFUNCTION("""COMPUTED_VALUE"""),"SHOPIFY")</f>
        <v>SHOPIFY</v>
      </c>
      <c r="AU2051" s="65" t="str">
        <f>IFERROR(__xludf.DUMMYFUNCTION("""COMPUTED_VALUE"""),"IMPORTEX EC")</f>
        <v>IMPORTEX EC</v>
      </c>
      <c r="AV2051" s="65" t="str">
        <f>IFERROR(__xludf.DUMMYFUNCTION("""COMPUTED_VALUE"""),"6406754238508")</f>
        <v>6406754238508</v>
      </c>
      <c r="AW2051" s="65">
        <f>IFERROR(__xludf.DUMMYFUNCTION("""COMPUTED_VALUE"""),4918.0)</f>
        <v>4918</v>
      </c>
      <c r="AX2051" s="65"/>
      <c r="AY2051" s="65" t="str">
        <f>IFERROR(__xludf.DUMMYFUNCTION("""COMPUTED_VALUE"""),"14/01/2026")</f>
        <v>14/01/2026</v>
      </c>
      <c r="AZ2051" s="65"/>
      <c r="BA2051" s="65"/>
    </row>
    <row r="2052">
      <c r="A2052" s="65" t="str">
        <f>IFERROR(__xludf.DUMMYFUNCTION("""COMPUTED_VALUE"""),"27-03-2026")</f>
        <v>27-03-2026</v>
      </c>
      <c r="B2052" s="65">
        <f>IFERROR(__xludf.DUMMYFUNCTION("""COMPUTED_VALUE"""),4104064.0)</f>
        <v>4104064</v>
      </c>
      <c r="C2052" s="65" t="str">
        <f>IFERROR(__xludf.DUMMYFUNCTION("""COMPUTED_VALUE"""),"12:17")</f>
        <v>12:17</v>
      </c>
      <c r="D2052" s="65" t="str">
        <f>IFERROR(__xludf.DUMMYFUNCTION("""COMPUTED_VALUE"""),"11-01-2026")</f>
        <v>11-01-2026</v>
      </c>
      <c r="E2052" s="65" t="str">
        <f>IFERROR(__xludf.DUMMYFUNCTION("""COMPUTED_VALUE"""),"Verónica Castro Villacrez")</f>
        <v>Verónica Castro Villacrez</v>
      </c>
      <c r="F2052" s="65" t="str">
        <f>IFERROR(__xludf.DUMMYFUNCTION("""COMPUTED_VALUE"""),"998431822")</f>
        <v>998431822</v>
      </c>
      <c r="G2052" s="65" t="str">
        <f>IFERROR(__xludf.DUMMYFUNCTION("""COMPUTED_VALUE"""),"bekyss27@hotmail.com")</f>
        <v>bekyss27@hotmail.com</v>
      </c>
      <c r="H2052" s="65"/>
      <c r="I2052" s="65"/>
      <c r="J2052" s="65" t="str">
        <f>IFERROR(__xludf.DUMMYFUNCTION("""COMPUTED_VALUE"""),"D001230397")</f>
        <v>D001230397</v>
      </c>
      <c r="K2052" s="65" t="str">
        <f>IFERROR(__xludf.DUMMYFUNCTION("""COMPUTED_VALUE"""),"ENTREGADO")</f>
        <v>ENTREGADO</v>
      </c>
      <c r="L2052" s="65" t="str">
        <f>IFERROR(__xludf.DUMMYFUNCTION("""COMPUTED_VALUE"""),"CON RECAUDO")</f>
        <v>CON RECAUDO</v>
      </c>
      <c r="M2052" s="65" t="str">
        <f>IFERROR(__xludf.DUMMYFUNCTION("""COMPUTED_VALUE"""),"AZUAY")</f>
        <v>AZUAY</v>
      </c>
      <c r="N2052" s="65" t="str">
        <f>IFERROR(__xludf.DUMMYFUNCTION("""COMPUTED_VALUE"""),"CUENCA")</f>
        <v>CUENCA</v>
      </c>
      <c r="O2052" s="65" t="str">
        <f>IFERROR(__xludf.DUMMYFUNCTION("""COMPUTED_VALUE"""),"Tarquino CorderoY Cornelio Cornelio Crespo - REF : casa esquinera con vitral grande de vidrio frente a la subestación de le empresa eléctrica número 5. Sector misicata")</f>
        <v>Tarquino CorderoY Cornelio Cornelio Crespo - REF : casa esquinera con vitral grande de vidrio frente a la subestación de le empresa eléctrica número 5. Sector misicata</v>
      </c>
      <c r="P2052" s="65"/>
      <c r="Q2052" s="65" t="str">
        <f>IFERROR(__xludf.DUMMYFUNCTION("""COMPUTED_VALUE"""),"GINTRACOM")</f>
        <v>GINTRACOM</v>
      </c>
      <c r="R2052" s="65">
        <f>IFERROR(__xludf.DUMMYFUNCTION("""COMPUTED_VALUE"""),22.0)</f>
        <v>22</v>
      </c>
      <c r="S2052" s="65">
        <f>IFERROR(__xludf.DUMMYFUNCTION("""COMPUTED_VALUE"""),10.96)</f>
        <v>10.96</v>
      </c>
      <c r="T2052" s="65">
        <f>IFERROR(__xludf.DUMMYFUNCTION("""COMPUTED_VALUE"""),5.84)</f>
        <v>5.84</v>
      </c>
      <c r="U2052" s="65">
        <f>IFERROR(__xludf.DUMMYFUNCTION("""COMPUTED_VALUE"""),0.0)</f>
        <v>0</v>
      </c>
      <c r="V2052" s="65">
        <f>IFERROR(__xludf.DUMMYFUNCTION("""COMPUTED_VALUE"""),0.0)</f>
        <v>0</v>
      </c>
      <c r="W2052" s="65">
        <f>IFERROR(__xludf.DUMMYFUNCTION("""COMPUTED_VALUE"""),0.0)</f>
        <v>0</v>
      </c>
      <c r="X2052" s="65">
        <f>IFERROR(__xludf.DUMMYFUNCTION("""COMPUTED_VALUE"""),2.6)</f>
        <v>2.6</v>
      </c>
      <c r="Y2052" s="65">
        <f>IFERROR(__xludf.DUMMYFUNCTION("""COMPUTED_VALUE"""),5.2)</f>
        <v>5.2</v>
      </c>
      <c r="Z2052" s="65">
        <f>IFERROR(__xludf.DUMMYFUNCTION("""COMPUTED_VALUE"""),121983.0)</f>
        <v>121983</v>
      </c>
      <c r="AA2052" s="65" t="str">
        <f>IFERROR(__xludf.DUMMYFUNCTION("""COMPUTED_VALUE"""),"PROV-CHLLCF")</f>
        <v>PROV-CHLLCF</v>
      </c>
      <c r="AB2052" s="65"/>
      <c r="AC2052" s="65" t="str">
        <f>IFERROR(__xludf.DUMMYFUNCTION("""COMPUTED_VALUE"""),"CUCHILLO PARA CHEF")</f>
        <v>CUCHILLO PARA CHEF</v>
      </c>
      <c r="AD2052" s="65"/>
      <c r="AE2052" s="65">
        <f>IFERROR(__xludf.DUMMYFUNCTION("""COMPUTED_VALUE"""),2.0)</f>
        <v>2</v>
      </c>
      <c r="AF2052" s="65"/>
      <c r="AG2052" s="65"/>
      <c r="AH2052" s="65"/>
      <c r="AI2052" s="65"/>
      <c r="AJ2052" s="65"/>
      <c r="AK2052" s="65"/>
      <c r="AL2052" s="65"/>
      <c r="AM2052" s="65"/>
      <c r="AN2052" s="65" t="str">
        <f>IFERROR(__xludf.DUMMYFUNCTION("""COMPUTED_VALUE"""),"01:31")</f>
        <v>01:31</v>
      </c>
      <c r="AO2052" s="65" t="str">
        <f>IFERROR(__xludf.DUMMYFUNCTION("""COMPUTED_VALUE"""),"21-01-2026")</f>
        <v>21-01-2026</v>
      </c>
      <c r="AP2052" s="65" t="str">
        <f>IFERROR(__xludf.DUMMYFUNCTION("""COMPUTED_VALUE"""),"ENTREGADA GINTRACOM")</f>
        <v>ENTREGADA GINTRACOM</v>
      </c>
      <c r="AQ2052" s="65" t="str">
        <f>IFERROR(__xludf.DUMMYFUNCTION("""COMPUTED_VALUE"""),"ENTREGADA GINTRACOM")</f>
        <v>ENTREGADA GINTRACOM</v>
      </c>
      <c r="AR2052" s="65"/>
      <c r="AS2052" s="65"/>
      <c r="AT2052" s="65" t="str">
        <f>IFERROR(__xludf.DUMMYFUNCTION("""COMPUTED_VALUE"""),"SHOPIFY")</f>
        <v>SHOPIFY</v>
      </c>
      <c r="AU2052" s="65" t="str">
        <f>IFERROR(__xludf.DUMMYFUNCTION("""COMPUTED_VALUE"""),"IMPORTEX EC")</f>
        <v>IMPORTEX EC</v>
      </c>
      <c r="AV2052" s="65" t="str">
        <f>IFERROR(__xludf.DUMMYFUNCTION("""COMPUTED_VALUE"""),"6406724485164")</f>
        <v>6406724485164</v>
      </c>
      <c r="AW2052" s="65">
        <f>IFERROR(__xludf.DUMMYFUNCTION("""COMPUTED_VALUE"""),4917.0)</f>
        <v>4917</v>
      </c>
      <c r="AX2052" s="65"/>
      <c r="AY2052" s="65" t="str">
        <f>IFERROR(__xludf.DUMMYFUNCTION("""COMPUTED_VALUE"""),"16/01/2026")</f>
        <v>16/01/2026</v>
      </c>
      <c r="AZ2052" s="65"/>
      <c r="BA2052" s="65"/>
    </row>
    <row r="2053">
      <c r="A2053" s="65" t="str">
        <f>IFERROR(__xludf.DUMMYFUNCTION("""COMPUTED_VALUE"""),"27-03-2026")</f>
        <v>27-03-2026</v>
      </c>
      <c r="B2053" s="65">
        <f>IFERROR(__xludf.DUMMYFUNCTION("""COMPUTED_VALUE"""),4103968.0)</f>
        <v>4103968</v>
      </c>
      <c r="C2053" s="65" t="str">
        <f>IFERROR(__xludf.DUMMYFUNCTION("""COMPUTED_VALUE"""),"12:07")</f>
        <v>12:07</v>
      </c>
      <c r="D2053" s="65" t="str">
        <f>IFERROR(__xludf.DUMMYFUNCTION("""COMPUTED_VALUE"""),"11-01-2026")</f>
        <v>11-01-2026</v>
      </c>
      <c r="E2053" s="65" t="str">
        <f>IFERROR(__xludf.DUMMYFUNCTION("""COMPUTED_VALUE"""),"Raúl Noboa Cadena")</f>
        <v>Raúl Noboa Cadena</v>
      </c>
      <c r="F2053" s="65" t="str">
        <f>IFERROR(__xludf.DUMMYFUNCTION("""COMPUTED_VALUE"""),"969934303")</f>
        <v>969934303</v>
      </c>
      <c r="G2053" s="65" t="str">
        <f>IFERROR(__xludf.DUMMYFUNCTION("""COMPUTED_VALUE"""),"raulnoboa_1@hotmail.com")</f>
        <v>raulnoboa_1@hotmail.com</v>
      </c>
      <c r="H2053" s="65"/>
      <c r="I2053" s="65"/>
      <c r="J2053" s="65" t="str">
        <f>IFERROR(__xludf.DUMMYFUNCTION("""COMPUTED_VALUE"""),"D001223110")</f>
        <v>D001223110</v>
      </c>
      <c r="K2053" s="65" t="str">
        <f>IFERROR(__xludf.DUMMYFUNCTION("""COMPUTED_VALUE"""),"ENTREGADO")</f>
        <v>ENTREGADO</v>
      </c>
      <c r="L2053" s="65" t="str">
        <f>IFERROR(__xludf.DUMMYFUNCTION("""COMPUTED_VALUE"""),"CON RECAUDO")</f>
        <v>CON RECAUDO</v>
      </c>
      <c r="M2053" s="65" t="str">
        <f>IFERROR(__xludf.DUMMYFUNCTION("""COMPUTED_VALUE"""),"GUAYAS")</f>
        <v>GUAYAS</v>
      </c>
      <c r="N2053" s="65" t="str">
        <f>IFERROR(__xludf.DUMMYFUNCTION("""COMPUTED_VALUE"""),"MILAGRO")</f>
        <v>MILAGRO</v>
      </c>
      <c r="O2053" s="65" t="str">
        <f>IFERROR(__xludf.DUMMYFUNCTION("""COMPUTED_VALUE"""),"Milagro - Av.17 de Septiembre y Av. Malecón Esmeraldas - Ref. Biblioteca Municipal (LUGAR DE TRABAJO).")</f>
        <v>Milagro - Av.17 de Septiembre y Av. Malecón Esmeraldas - Ref. Biblioteca Municipal (LUGAR DE TRABAJO).</v>
      </c>
      <c r="P2053" s="65"/>
      <c r="Q2053" s="65" t="str">
        <f>IFERROR(__xludf.DUMMYFUNCTION("""COMPUTED_VALUE"""),"GINTRACOM")</f>
        <v>GINTRACOM</v>
      </c>
      <c r="R2053" s="65">
        <f>IFERROR(__xludf.DUMMYFUNCTION("""COMPUTED_VALUE"""),22.0)</f>
        <v>22</v>
      </c>
      <c r="S2053" s="65">
        <f>IFERROR(__xludf.DUMMYFUNCTION("""COMPUTED_VALUE"""),11.54)</f>
        <v>11.54</v>
      </c>
      <c r="T2053" s="65">
        <f>IFERROR(__xludf.DUMMYFUNCTION("""COMPUTED_VALUE"""),5.26)</f>
        <v>5.26</v>
      </c>
      <c r="U2053" s="65">
        <f>IFERROR(__xludf.DUMMYFUNCTION("""COMPUTED_VALUE"""),0.0)</f>
        <v>0</v>
      </c>
      <c r="V2053" s="65">
        <f>IFERROR(__xludf.DUMMYFUNCTION("""COMPUTED_VALUE"""),0.0)</f>
        <v>0</v>
      </c>
      <c r="W2053" s="65">
        <f>IFERROR(__xludf.DUMMYFUNCTION("""COMPUTED_VALUE"""),0.0)</f>
        <v>0</v>
      </c>
      <c r="X2053" s="65">
        <f>IFERROR(__xludf.DUMMYFUNCTION("""COMPUTED_VALUE"""),2.6)</f>
        <v>2.6</v>
      </c>
      <c r="Y2053" s="65">
        <f>IFERROR(__xludf.DUMMYFUNCTION("""COMPUTED_VALUE"""),5.2)</f>
        <v>5.2</v>
      </c>
      <c r="Z2053" s="65">
        <f>IFERROR(__xludf.DUMMYFUNCTION("""COMPUTED_VALUE"""),121983.0)</f>
        <v>121983</v>
      </c>
      <c r="AA2053" s="65" t="str">
        <f>IFERROR(__xludf.DUMMYFUNCTION("""COMPUTED_VALUE"""),"PROV-CHLLCF")</f>
        <v>PROV-CHLLCF</v>
      </c>
      <c r="AB2053" s="65"/>
      <c r="AC2053" s="65" t="str">
        <f>IFERROR(__xludf.DUMMYFUNCTION("""COMPUTED_VALUE"""),"CUCHILLO PARA CHEF")</f>
        <v>CUCHILLO PARA CHEF</v>
      </c>
      <c r="AD2053" s="65"/>
      <c r="AE2053" s="65">
        <f>IFERROR(__xludf.DUMMYFUNCTION("""COMPUTED_VALUE"""),2.0)</f>
        <v>2</v>
      </c>
      <c r="AF2053" s="65"/>
      <c r="AG2053" s="65"/>
      <c r="AH2053" s="65"/>
      <c r="AI2053" s="65"/>
      <c r="AJ2053" s="65"/>
      <c r="AK2053" s="65"/>
      <c r="AL2053" s="65"/>
      <c r="AM2053" s="65"/>
      <c r="AN2053" s="65" t="str">
        <f>IFERROR(__xludf.DUMMYFUNCTION("""COMPUTED_VALUE"""),"15:06")</f>
        <v>15:06</v>
      </c>
      <c r="AO2053" s="65" t="str">
        <f>IFERROR(__xludf.DUMMYFUNCTION("""COMPUTED_VALUE"""),"19-01-2026")</f>
        <v>19-01-2026</v>
      </c>
      <c r="AP2053" s="65" t="str">
        <f>IFERROR(__xludf.DUMMYFUNCTION("""COMPUTED_VALUE"""),"ENTREGADA GINTRACOM")</f>
        <v>ENTREGADA GINTRACOM</v>
      </c>
      <c r="AQ2053" s="65" t="str">
        <f>IFERROR(__xludf.DUMMYFUNCTION("""COMPUTED_VALUE"""),"ENTREGADA GINTRACOM")</f>
        <v>ENTREGADA GINTRACOM</v>
      </c>
      <c r="AR2053" s="65"/>
      <c r="AS2053" s="65"/>
      <c r="AT2053" s="65" t="str">
        <f>IFERROR(__xludf.DUMMYFUNCTION("""COMPUTED_VALUE"""),"SHOPIFY")</f>
        <v>SHOPIFY</v>
      </c>
      <c r="AU2053" s="65" t="str">
        <f>IFERROR(__xludf.DUMMYFUNCTION("""COMPUTED_VALUE"""),"IMPORTEX EC")</f>
        <v>IMPORTEX EC</v>
      </c>
      <c r="AV2053" s="65" t="str">
        <f>IFERROR(__xludf.DUMMYFUNCTION("""COMPUTED_VALUE"""),"6406700171308")</f>
        <v>6406700171308</v>
      </c>
      <c r="AW2053" s="65">
        <f>IFERROR(__xludf.DUMMYFUNCTION("""COMPUTED_VALUE"""),4916.0)</f>
        <v>4916</v>
      </c>
      <c r="AX2053" s="65"/>
      <c r="AY2053" s="65" t="str">
        <f>IFERROR(__xludf.DUMMYFUNCTION("""COMPUTED_VALUE"""),"14/01/2026")</f>
        <v>14/01/2026</v>
      </c>
      <c r="AZ2053" s="65"/>
      <c r="BA2053" s="65"/>
    </row>
    <row r="2054">
      <c r="A2054" s="65" t="str">
        <f>IFERROR(__xludf.DUMMYFUNCTION("""COMPUTED_VALUE"""),"27-03-2026")</f>
        <v>27-03-2026</v>
      </c>
      <c r="B2054" s="65">
        <f>IFERROR(__xludf.DUMMYFUNCTION("""COMPUTED_VALUE"""),4103920.0)</f>
        <v>4103920</v>
      </c>
      <c r="C2054" s="65" t="str">
        <f>IFERROR(__xludf.DUMMYFUNCTION("""COMPUTED_VALUE"""),"12:04")</f>
        <v>12:04</v>
      </c>
      <c r="D2054" s="65" t="str">
        <f>IFERROR(__xludf.DUMMYFUNCTION("""COMPUTED_VALUE"""),"11-01-2026")</f>
        <v>11-01-2026</v>
      </c>
      <c r="E2054" s="65" t="str">
        <f>IFERROR(__xludf.DUMMYFUNCTION("""COMPUTED_VALUE"""),"Tarquino Márquez")</f>
        <v>Tarquino Márquez</v>
      </c>
      <c r="F2054" s="65" t="str">
        <f>IFERROR(__xludf.DUMMYFUNCTION("""COMPUTED_VALUE"""),"980889416")</f>
        <v>980889416</v>
      </c>
      <c r="G2054" s="65" t="str">
        <f>IFERROR(__xludf.DUMMYFUNCTION("""COMPUTED_VALUE"""),"tino38md@gmail.com")</f>
        <v>tino38md@gmail.com</v>
      </c>
      <c r="H2054" s="65"/>
      <c r="I2054" s="65"/>
      <c r="J2054" s="65" t="str">
        <f>IFERROR(__xludf.DUMMYFUNCTION("""COMPUTED_VALUE"""),"D001223116")</f>
        <v>D001223116</v>
      </c>
      <c r="K2054" s="65" t="str">
        <f>IFERROR(__xludf.DUMMYFUNCTION("""COMPUTED_VALUE"""),"ENTREGADO")</f>
        <v>ENTREGADO</v>
      </c>
      <c r="L2054" s="65" t="str">
        <f>IFERROR(__xludf.DUMMYFUNCTION("""COMPUTED_VALUE"""),"CON RECAUDO")</f>
        <v>CON RECAUDO</v>
      </c>
      <c r="M2054" s="65" t="str">
        <f>IFERROR(__xludf.DUMMYFUNCTION("""COMPUTED_VALUE"""),"GUAYAS")</f>
        <v>GUAYAS</v>
      </c>
      <c r="N2054" s="65" t="str">
        <f>IFERROR(__xludf.DUMMYFUNCTION("""COMPUTED_VALUE"""),"SAMBORONDON")</f>
        <v>SAMBORONDON</v>
      </c>
      <c r="O2054" s="65" t="str">
        <f>IFERROR(__xludf.DUMMYFUNCTION("""COMPUTED_VALUE"""),"Sector Samborondón - Urbanización Blue Bay - Calle Isla Mocoli Casa 35 A")</f>
        <v>Sector Samborondón - Urbanización Blue Bay - Calle Isla Mocoli Casa 35 A</v>
      </c>
      <c r="P2054" s="65"/>
      <c r="Q2054" s="65" t="str">
        <f>IFERROR(__xludf.DUMMYFUNCTION("""COMPUTED_VALUE"""),"GINTRACOM")</f>
        <v>GINTRACOM</v>
      </c>
      <c r="R2054" s="65">
        <f>IFERROR(__xludf.DUMMYFUNCTION("""COMPUTED_VALUE"""),20.0)</f>
        <v>20</v>
      </c>
      <c r="S2054" s="65">
        <f>IFERROR(__xludf.DUMMYFUNCTION("""COMPUTED_VALUE"""),12.03)</f>
        <v>12.03</v>
      </c>
      <c r="T2054" s="65">
        <f>IFERROR(__xludf.DUMMYFUNCTION("""COMPUTED_VALUE"""),5.18)</f>
        <v>5.18</v>
      </c>
      <c r="U2054" s="65">
        <f>IFERROR(__xludf.DUMMYFUNCTION("""COMPUTED_VALUE"""),0.0)</f>
        <v>0</v>
      </c>
      <c r="V2054" s="65">
        <f>IFERROR(__xludf.DUMMYFUNCTION("""COMPUTED_VALUE"""),0.0)</f>
        <v>0</v>
      </c>
      <c r="W2054" s="65">
        <f>IFERROR(__xludf.DUMMYFUNCTION("""COMPUTED_VALUE"""),0.0)</f>
        <v>0</v>
      </c>
      <c r="X2054" s="65">
        <f>IFERROR(__xludf.DUMMYFUNCTION("""COMPUTED_VALUE"""),2.79)</f>
        <v>2.79</v>
      </c>
      <c r="Y2054" s="65">
        <f>IFERROR(__xludf.DUMMYFUNCTION("""COMPUTED_VALUE"""),2.79)</f>
        <v>2.79</v>
      </c>
      <c r="Z2054" s="65">
        <f>IFERROR(__xludf.DUMMYFUNCTION("""COMPUTED_VALUE"""),120732.0)</f>
        <v>120732</v>
      </c>
      <c r="AA2054" s="65" t="str">
        <f>IFERROR(__xludf.DUMMYFUNCTION("""COMPUTED_VALUE"""),"PROV-LMPVT")</f>
        <v>PROV-LMPVT</v>
      </c>
      <c r="AB2054" s="65"/>
      <c r="AC2054" s="65" t="str">
        <f>IFERROR(__xludf.DUMMYFUNCTION("""COMPUTED_VALUE"""),"LIMPIADOR DE PARABRISAS Y VENTANAS")</f>
        <v>LIMPIADOR DE PARABRISAS Y VENTANAS</v>
      </c>
      <c r="AD2054" s="65"/>
      <c r="AE2054" s="65">
        <f>IFERROR(__xludf.DUMMYFUNCTION("""COMPUTED_VALUE"""),1.0)</f>
        <v>1</v>
      </c>
      <c r="AF2054" s="65"/>
      <c r="AG2054" s="65"/>
      <c r="AH2054" s="65"/>
      <c r="AI2054" s="65"/>
      <c r="AJ2054" s="65"/>
      <c r="AK2054" s="65"/>
      <c r="AL2054" s="65"/>
      <c r="AM2054" s="65"/>
      <c r="AN2054" s="65" t="str">
        <f>IFERROR(__xludf.DUMMYFUNCTION("""COMPUTED_VALUE"""),"12:30")</f>
        <v>12:30</v>
      </c>
      <c r="AO2054" s="65" t="str">
        <f>IFERROR(__xludf.DUMMYFUNCTION("""COMPUTED_VALUE"""),"16-01-2026")</f>
        <v>16-01-2026</v>
      </c>
      <c r="AP2054" s="65" t="str">
        <f>IFERROR(__xludf.DUMMYFUNCTION("""COMPUTED_VALUE"""),"ENTREGADA GINTRACOM")</f>
        <v>ENTREGADA GINTRACOM</v>
      </c>
      <c r="AQ2054" s="65" t="str">
        <f>IFERROR(__xludf.DUMMYFUNCTION("""COMPUTED_VALUE"""),"ENTREGADA GINTRACOM")</f>
        <v>ENTREGADA GINTRACOM</v>
      </c>
      <c r="AR2054" s="65"/>
      <c r="AS2054" s="65"/>
      <c r="AT2054" s="65" t="str">
        <f>IFERROR(__xludf.DUMMYFUNCTION("""COMPUTED_VALUE"""),"SHOPIFY")</f>
        <v>SHOPIFY</v>
      </c>
      <c r="AU2054" s="65" t="str">
        <f>IFERROR(__xludf.DUMMYFUNCTION("""COMPUTED_VALUE"""),"IMPORTEX EC")</f>
        <v>IMPORTEX EC</v>
      </c>
      <c r="AV2054" s="65" t="str">
        <f>IFERROR(__xludf.DUMMYFUNCTION("""COMPUTED_VALUE"""),"6406688112684")</f>
        <v>6406688112684</v>
      </c>
      <c r="AW2054" s="65">
        <f>IFERROR(__xludf.DUMMYFUNCTION("""COMPUTED_VALUE"""),4915.0)</f>
        <v>4915</v>
      </c>
      <c r="AX2054" s="65"/>
      <c r="AY2054" s="65" t="str">
        <f>IFERROR(__xludf.DUMMYFUNCTION("""COMPUTED_VALUE"""),"14/01/2026")</f>
        <v>14/01/2026</v>
      </c>
      <c r="AZ2054" s="65"/>
      <c r="BA2054" s="65"/>
    </row>
    <row r="2055">
      <c r="A2055" s="65" t="str">
        <f>IFERROR(__xludf.DUMMYFUNCTION("""COMPUTED_VALUE"""),"27-03-2026")</f>
        <v>27-03-2026</v>
      </c>
      <c r="B2055" s="65">
        <f>IFERROR(__xludf.DUMMYFUNCTION("""COMPUTED_VALUE"""),4103859.0)</f>
        <v>4103859</v>
      </c>
      <c r="C2055" s="65" t="str">
        <f>IFERROR(__xludf.DUMMYFUNCTION("""COMPUTED_VALUE"""),"11:58")</f>
        <v>11:58</v>
      </c>
      <c r="D2055" s="65" t="str">
        <f>IFERROR(__xludf.DUMMYFUNCTION("""COMPUTED_VALUE"""),"11-01-2026")</f>
        <v>11-01-2026</v>
      </c>
      <c r="E2055" s="65" t="str">
        <f>IFERROR(__xludf.DUMMYFUNCTION("""COMPUTED_VALUE"""),"Monica Andrade")</f>
        <v>Monica Andrade</v>
      </c>
      <c r="F2055" s="65" t="str">
        <f>IFERROR(__xludf.DUMMYFUNCTION("""COMPUTED_VALUE"""),"998344410")</f>
        <v>998344410</v>
      </c>
      <c r="G2055" s="65" t="str">
        <f>IFERROR(__xludf.DUMMYFUNCTION("""COMPUTED_VALUE"""),"monica58.andrade@gmail.com")</f>
        <v>monica58.andrade@gmail.com</v>
      </c>
      <c r="H2055" s="65"/>
      <c r="I2055" s="65"/>
      <c r="J2055" s="65" t="str">
        <f>IFERROR(__xludf.DUMMYFUNCTION("""COMPUTED_VALUE"""),"D001218404")</f>
        <v>D001218404</v>
      </c>
      <c r="K2055" s="65" t="str">
        <f>IFERROR(__xludf.DUMMYFUNCTION("""COMPUTED_VALUE"""),"DEVOLUCION")</f>
        <v>DEVOLUCION</v>
      </c>
      <c r="L2055" s="65" t="str">
        <f>IFERROR(__xludf.DUMMYFUNCTION("""COMPUTED_VALUE"""),"CON RECAUDO")</f>
        <v>CON RECAUDO</v>
      </c>
      <c r="M2055" s="65" t="str">
        <f>IFERROR(__xludf.DUMMYFUNCTION("""COMPUTED_VALUE"""),"PICHINCHA")</f>
        <v>PICHINCHA</v>
      </c>
      <c r="N2055" s="65" t="str">
        <f>IFERROR(__xludf.DUMMYFUNCTION("""COMPUTED_VALUE"""),"SANGOLQUI")</f>
        <v>SANGOLQUI</v>
      </c>
      <c r="O2055" s="65" t="str">
        <f>IFERROR(__xludf.DUMMYFUNCTION("""COMPUTED_VALUE"""),"Av. Quevedo 111 y Av. Ambato - Ref. frente a los conjunto American Home")</f>
        <v>Av. Quevedo 111 y Av. Ambato - Ref. frente a los conjunto American Home</v>
      </c>
      <c r="P2055" s="65"/>
      <c r="Q2055" s="65" t="str">
        <f>IFERROR(__xludf.DUMMYFUNCTION("""COMPUTED_VALUE"""),"GINTRACOM")</f>
        <v>GINTRACOM</v>
      </c>
      <c r="R2055" s="65">
        <f>IFERROR(__xludf.DUMMYFUNCTION("""COMPUTED_VALUE"""),27.0)</f>
        <v>27</v>
      </c>
      <c r="S2055" s="65"/>
      <c r="T2055" s="65">
        <f>IFERROR(__xludf.DUMMYFUNCTION("""COMPUTED_VALUE"""),6.03)</f>
        <v>6.03</v>
      </c>
      <c r="U2055" s="65">
        <f>IFERROR(__xludf.DUMMYFUNCTION("""COMPUTED_VALUE"""),0.0)</f>
        <v>0</v>
      </c>
      <c r="V2055" s="65">
        <f>IFERROR(__xludf.DUMMYFUNCTION("""COMPUTED_VALUE"""),0.0)</f>
        <v>0</v>
      </c>
      <c r="W2055" s="65">
        <f>IFERROR(__xludf.DUMMYFUNCTION("""COMPUTED_VALUE"""),0.0)</f>
        <v>0</v>
      </c>
      <c r="X2055" s="65">
        <f>IFERROR(__xludf.DUMMYFUNCTION("""COMPUTED_VALUE"""),2.6)</f>
        <v>2.6</v>
      </c>
      <c r="Y2055" s="65">
        <f>IFERROR(__xludf.DUMMYFUNCTION("""COMPUTED_VALUE"""),7.8)</f>
        <v>7.8</v>
      </c>
      <c r="Z2055" s="65">
        <f>IFERROR(__xludf.DUMMYFUNCTION("""COMPUTED_VALUE"""),121983.0)</f>
        <v>121983</v>
      </c>
      <c r="AA2055" s="65" t="str">
        <f>IFERROR(__xludf.DUMMYFUNCTION("""COMPUTED_VALUE"""),"PROV-CHLLCF")</f>
        <v>PROV-CHLLCF</v>
      </c>
      <c r="AB2055" s="65"/>
      <c r="AC2055" s="65" t="str">
        <f>IFERROR(__xludf.DUMMYFUNCTION("""COMPUTED_VALUE"""),"CUCHILLO PARA CHEF")</f>
        <v>CUCHILLO PARA CHEF</v>
      </c>
      <c r="AD2055" s="65"/>
      <c r="AE2055" s="65">
        <f>IFERROR(__xludf.DUMMYFUNCTION("""COMPUTED_VALUE"""),3.0)</f>
        <v>3</v>
      </c>
      <c r="AF2055" s="65" t="str">
        <f>IFERROR(__xludf.DUMMYFUNCTION("""COMPUTED_VALUE"""),"DESTINATARIO INDICA QUE ESTÁ INCONFORME CON EL PRODUCTO. (NO RECIBE)")</f>
        <v>DESTINATARIO INDICA QUE ESTÁ INCONFORME CON EL PRODUCTO. (NO RECIBE)</v>
      </c>
      <c r="AG2055" s="65" t="str">
        <f>IFERROR(__xludf.DUMMYFUNCTION("""COMPUTED_VALUE"""),"SI")</f>
        <v>SI</v>
      </c>
      <c r="AH2055" s="65" t="str">
        <f>IFERROR(__xludf.DUMMYFUNCTION("""COMPUTED_VALUE"""),"14:30")</f>
        <v>14:30</v>
      </c>
      <c r="AI2055" s="65" t="str">
        <f>IFERROR(__xludf.DUMMYFUNCTION("""COMPUTED_VALUE"""),"14-01-2026")</f>
        <v>14-01-2026</v>
      </c>
      <c r="AJ2055" s="65" t="str">
        <f>IFERROR(__xludf.DUMMYFUNCTION("""COMPUTED_VALUE"""),"DEVOLVER AL REMITENTE")</f>
        <v>DEVOLVER AL REMITENTE</v>
      </c>
      <c r="AK2055" s="65" t="str">
        <f>IFERROR(__xludf.DUMMYFUNCTION("""COMPUTED_VALUE"""),"16:51")</f>
        <v>16:51</v>
      </c>
      <c r="AL2055" s="65" t="str">
        <f>IFERROR(__xludf.DUMMYFUNCTION("""COMPUTED_VALUE"""),"21-01-2026")</f>
        <v>21-01-2026</v>
      </c>
      <c r="AM2055" s="65"/>
      <c r="AN2055" s="65" t="str">
        <f>IFERROR(__xludf.DUMMYFUNCTION("""COMPUTED_VALUE"""),"13:13")</f>
        <v>13:13</v>
      </c>
      <c r="AO2055" s="65" t="str">
        <f>IFERROR(__xludf.DUMMYFUNCTION("""COMPUTED_VALUE"""),"05-02-2026")</f>
        <v>05-02-2026</v>
      </c>
      <c r="AP2055" s="65" t="str">
        <f>IFERROR(__xludf.DUMMYFUNCTION("""COMPUTED_VALUE"""),"DEV CONFIRMADA POR BODEGA")</f>
        <v>DEV CONFIRMADA POR BODEGA</v>
      </c>
      <c r="AQ2055" s="65"/>
      <c r="AR2055" s="65" t="str">
        <f>IFERROR(__xludf.DUMMYFUNCTION("""COMPUTED_VALUE"""),"Gestionado por: PROVEDIX DAMIAN, email:enviogratisdirecto@gmail.com, total de productos en la orden: 1")</f>
        <v>Gestionado por: PROVEDIX DAMIAN, email:enviogratisdirecto@gmail.com, total de productos en la orden: 1</v>
      </c>
      <c r="AS2055" s="65"/>
      <c r="AT2055" s="65" t="str">
        <f>IFERROR(__xludf.DUMMYFUNCTION("""COMPUTED_VALUE"""),"SHOPIFY")</f>
        <v>SHOPIFY</v>
      </c>
      <c r="AU2055" s="65" t="str">
        <f>IFERROR(__xludf.DUMMYFUNCTION("""COMPUTED_VALUE"""),"IMPORTEX EC")</f>
        <v>IMPORTEX EC</v>
      </c>
      <c r="AV2055" s="65" t="str">
        <f>IFERROR(__xludf.DUMMYFUNCTION("""COMPUTED_VALUE"""),"6406674513964")</f>
        <v>6406674513964</v>
      </c>
      <c r="AW2055" s="65">
        <f>IFERROR(__xludf.DUMMYFUNCTION("""COMPUTED_VALUE"""),4914.0)</f>
        <v>4914</v>
      </c>
      <c r="AX2055" s="65"/>
      <c r="AY2055" s="65" t="str">
        <f>IFERROR(__xludf.DUMMYFUNCTION("""COMPUTED_VALUE"""),"13/01/2026")</f>
        <v>13/01/2026</v>
      </c>
      <c r="AZ2055" s="65"/>
      <c r="BA2055" s="65"/>
    </row>
    <row r="2056">
      <c r="A2056" s="65" t="str">
        <f>IFERROR(__xludf.DUMMYFUNCTION("""COMPUTED_VALUE"""),"27-03-2026")</f>
        <v>27-03-2026</v>
      </c>
      <c r="B2056" s="65">
        <f>IFERROR(__xludf.DUMMYFUNCTION("""COMPUTED_VALUE"""),4103701.0)</f>
        <v>4103701</v>
      </c>
      <c r="C2056" s="65" t="str">
        <f>IFERROR(__xludf.DUMMYFUNCTION("""COMPUTED_VALUE"""),"11:45")</f>
        <v>11:45</v>
      </c>
      <c r="D2056" s="65" t="str">
        <f>IFERROR(__xludf.DUMMYFUNCTION("""COMPUTED_VALUE"""),"11-01-2026")</f>
        <v>11-01-2026</v>
      </c>
      <c r="E2056" s="65" t="str">
        <f>IFERROR(__xludf.DUMMYFUNCTION("""COMPUTED_VALUE"""),"Luis Álava loor Alava loor")</f>
        <v>Luis Álava loor Alava loor</v>
      </c>
      <c r="F2056" s="65" t="str">
        <f>IFERROR(__xludf.DUMMYFUNCTION("""COMPUTED_VALUE"""),"995437230")</f>
        <v>995437230</v>
      </c>
      <c r="G2056" s="65" t="str">
        <f>IFERROR(__xludf.DUMMYFUNCTION("""COMPUTED_VALUE"""),"luisalavaloor@hotmail.com")</f>
        <v>luisalavaloor@hotmail.com</v>
      </c>
      <c r="H2056" s="65"/>
      <c r="I2056" s="65"/>
      <c r="J2056" s="65"/>
      <c r="K2056" s="65" t="str">
        <f>IFERROR(__xludf.DUMMYFUNCTION("""COMPUTED_VALUE"""),"PENDIENTE CONFIRMACION")</f>
        <v>PENDIENTE CONFIRMACION</v>
      </c>
      <c r="L2056" s="65" t="str">
        <f>IFERROR(__xludf.DUMMYFUNCTION("""COMPUTED_VALUE"""),"CON RECAUDO")</f>
        <v>CON RECAUDO</v>
      </c>
      <c r="M2056" s="65" t="str">
        <f>IFERROR(__xludf.DUMMYFUNCTION("""COMPUTED_VALUE"""),"GUAYAS")</f>
        <v>GUAYAS</v>
      </c>
      <c r="N2056" s="65" t="str">
        <f>IFERROR(__xludf.DUMMYFUNCTION("""COMPUTED_VALUE"""),"DAULE")</f>
        <v>DAULE</v>
      </c>
      <c r="O2056" s="65" t="str">
        <f>IFERROR(__xludf.DUMMYFUNCTION("""COMPUTED_VALUE"""),"Urbanización villa club Etapa cosmos MZ 9 villa 11 -")</f>
        <v>Urbanización villa club Etapa cosmos MZ 9 villa 11 -</v>
      </c>
      <c r="P2056" s="65"/>
      <c r="Q2056" s="65" t="str">
        <f>IFERROR(__xludf.DUMMYFUNCTION("""COMPUTED_VALUE"""),"GINTRACOM")</f>
        <v>GINTRACOM</v>
      </c>
      <c r="R2056" s="65">
        <f>IFERROR(__xludf.DUMMYFUNCTION("""COMPUTED_VALUE"""),30.0)</f>
        <v>30</v>
      </c>
      <c r="S2056" s="65"/>
      <c r="T2056" s="65">
        <f>IFERROR(__xludf.DUMMYFUNCTION("""COMPUTED_VALUE"""),5.58)</f>
        <v>5.58</v>
      </c>
      <c r="U2056" s="65">
        <f>IFERROR(__xludf.DUMMYFUNCTION("""COMPUTED_VALUE"""),0.0)</f>
        <v>0</v>
      </c>
      <c r="V2056" s="65">
        <f>IFERROR(__xludf.DUMMYFUNCTION("""COMPUTED_VALUE"""),0.0)</f>
        <v>0</v>
      </c>
      <c r="W2056" s="65">
        <f>IFERROR(__xludf.DUMMYFUNCTION("""COMPUTED_VALUE"""),0.0)</f>
        <v>0</v>
      </c>
      <c r="X2056" s="65">
        <f>IFERROR(__xludf.DUMMYFUNCTION("""COMPUTED_VALUE"""),2.79)</f>
        <v>2.79</v>
      </c>
      <c r="Y2056" s="65">
        <f>IFERROR(__xludf.DUMMYFUNCTION("""COMPUTED_VALUE"""),8.37)</f>
        <v>8.37</v>
      </c>
      <c r="Z2056" s="65">
        <f>IFERROR(__xludf.DUMMYFUNCTION("""COMPUTED_VALUE"""),120732.0)</f>
        <v>120732</v>
      </c>
      <c r="AA2056" s="65" t="str">
        <f>IFERROR(__xludf.DUMMYFUNCTION("""COMPUTED_VALUE"""),"PROV-LMPVT")</f>
        <v>PROV-LMPVT</v>
      </c>
      <c r="AB2056" s="65"/>
      <c r="AC2056" s="65" t="str">
        <f>IFERROR(__xludf.DUMMYFUNCTION("""COMPUTED_VALUE"""),"LIMPIADOR DE PARABRISAS Y VENTANAS")</f>
        <v>LIMPIADOR DE PARABRISAS Y VENTANAS</v>
      </c>
      <c r="AD2056" s="65"/>
      <c r="AE2056" s="65">
        <f>IFERROR(__xludf.DUMMYFUNCTION("""COMPUTED_VALUE"""),3.0)</f>
        <v>3</v>
      </c>
      <c r="AF2056" s="65"/>
      <c r="AG2056" s="65"/>
      <c r="AH2056" s="65"/>
      <c r="AI2056" s="65"/>
      <c r="AJ2056" s="65"/>
      <c r="AK2056" s="65"/>
      <c r="AL2056" s="65"/>
      <c r="AM2056" s="65"/>
      <c r="AN2056" s="65"/>
      <c r="AO2056" s="65"/>
      <c r="AP2056" s="65"/>
      <c r="AQ2056" s="65"/>
      <c r="AR2056" s="65"/>
      <c r="AS2056" s="65"/>
      <c r="AT2056" s="65" t="str">
        <f>IFERROR(__xludf.DUMMYFUNCTION("""COMPUTED_VALUE"""),"SHOPIFY")</f>
        <v>SHOPIFY</v>
      </c>
      <c r="AU2056" s="65" t="str">
        <f>IFERROR(__xludf.DUMMYFUNCTION("""COMPUTED_VALUE"""),"IMPORTEX EC")</f>
        <v>IMPORTEX EC</v>
      </c>
      <c r="AV2056" s="65" t="str">
        <f>IFERROR(__xludf.DUMMYFUNCTION("""COMPUTED_VALUE"""),"6406636273708")</f>
        <v>6406636273708</v>
      </c>
      <c r="AW2056" s="65">
        <f>IFERROR(__xludf.DUMMYFUNCTION("""COMPUTED_VALUE"""),4913.0)</f>
        <v>4913</v>
      </c>
      <c r="AX2056" s="65"/>
      <c r="AY2056" s="65"/>
      <c r="AZ2056" s="65"/>
      <c r="BA2056" s="65"/>
    </row>
    <row r="2057">
      <c r="A2057" s="65" t="str">
        <f>IFERROR(__xludf.DUMMYFUNCTION("""COMPUTED_VALUE"""),"27-03-2026")</f>
        <v>27-03-2026</v>
      </c>
      <c r="B2057" s="65">
        <f>IFERROR(__xludf.DUMMYFUNCTION("""COMPUTED_VALUE"""),4103356.0)</f>
        <v>4103356</v>
      </c>
      <c r="C2057" s="65" t="str">
        <f>IFERROR(__xludf.DUMMYFUNCTION("""COMPUTED_VALUE"""),"11:15")</f>
        <v>11:15</v>
      </c>
      <c r="D2057" s="65" t="str">
        <f>IFERROR(__xludf.DUMMYFUNCTION("""COMPUTED_VALUE"""),"11-01-2026")</f>
        <v>11-01-2026</v>
      </c>
      <c r="E2057" s="65" t="str">
        <f>IFERROR(__xludf.DUMMYFUNCTION("""COMPUTED_VALUE"""),"Francisco Fernando Vega Contreras")</f>
        <v>Francisco Fernando Vega Contreras</v>
      </c>
      <c r="F2057" s="65" t="str">
        <f>IFERROR(__xludf.DUMMYFUNCTION("""COMPUTED_VALUE"""),"967692316")</f>
        <v>967692316</v>
      </c>
      <c r="G2057" s="65" t="str">
        <f>IFERROR(__xludf.DUMMYFUNCTION("""COMPUTED_VALUE"""),"elfercho.14@hotmail.com")</f>
        <v>elfercho.14@hotmail.com</v>
      </c>
      <c r="H2057" s="65"/>
      <c r="I2057" s="65"/>
      <c r="J2057" s="65" t="str">
        <f>IFERROR(__xludf.DUMMYFUNCTION("""COMPUTED_VALUE"""),"D001224309")</f>
        <v>D001224309</v>
      </c>
      <c r="K2057" s="65" t="str">
        <f>IFERROR(__xludf.DUMMYFUNCTION("""COMPUTED_VALUE"""),"ENTREGADO")</f>
        <v>ENTREGADO</v>
      </c>
      <c r="L2057" s="65" t="str">
        <f>IFERROR(__xludf.DUMMYFUNCTION("""COMPUTED_VALUE"""),"CON RECAUDO")</f>
        <v>CON RECAUDO</v>
      </c>
      <c r="M2057" s="65" t="str">
        <f>IFERROR(__xludf.DUMMYFUNCTION("""COMPUTED_VALUE"""),"LOS RIOS")</f>
        <v>LOS RIOS</v>
      </c>
      <c r="N2057" s="65" t="str">
        <f>IFERROR(__xludf.DUMMYFUNCTION("""COMPUTED_VALUE"""),"QUEVEDO")</f>
        <v>QUEVEDO</v>
      </c>
      <c r="O2057" s="65" t="str">
        <f>IFERROR(__xludf.DUMMYFUNCTION("""COMPUTED_VALUE"""),"KM 1 via a Valencia Diagonal exportadora Manobanda pegado al motel pasión. -")</f>
        <v>KM 1 via a Valencia Diagonal exportadora Manobanda pegado al motel pasión. -</v>
      </c>
      <c r="P2057" s="65"/>
      <c r="Q2057" s="65" t="str">
        <f>IFERROR(__xludf.DUMMYFUNCTION("""COMPUTED_VALUE"""),"GINTRACOM")</f>
        <v>GINTRACOM</v>
      </c>
      <c r="R2057" s="65">
        <f>IFERROR(__xludf.DUMMYFUNCTION("""COMPUTED_VALUE"""),20.0)</f>
        <v>20</v>
      </c>
      <c r="S2057" s="65">
        <f>IFERROR(__xludf.DUMMYFUNCTION("""COMPUTED_VALUE"""),11.45)</f>
        <v>11.45</v>
      </c>
      <c r="T2057" s="65">
        <f>IFERROR(__xludf.DUMMYFUNCTION("""COMPUTED_VALUE"""),5.76)</f>
        <v>5.76</v>
      </c>
      <c r="U2057" s="65">
        <f>IFERROR(__xludf.DUMMYFUNCTION("""COMPUTED_VALUE"""),0.0)</f>
        <v>0</v>
      </c>
      <c r="V2057" s="65">
        <f>IFERROR(__xludf.DUMMYFUNCTION("""COMPUTED_VALUE"""),0.0)</f>
        <v>0</v>
      </c>
      <c r="W2057" s="65">
        <f>IFERROR(__xludf.DUMMYFUNCTION("""COMPUTED_VALUE"""),0.0)</f>
        <v>0</v>
      </c>
      <c r="X2057" s="65">
        <f>IFERROR(__xludf.DUMMYFUNCTION("""COMPUTED_VALUE"""),2.79)</f>
        <v>2.79</v>
      </c>
      <c r="Y2057" s="65">
        <f>IFERROR(__xludf.DUMMYFUNCTION("""COMPUTED_VALUE"""),2.79)</f>
        <v>2.79</v>
      </c>
      <c r="Z2057" s="65">
        <f>IFERROR(__xludf.DUMMYFUNCTION("""COMPUTED_VALUE"""),120732.0)</f>
        <v>120732</v>
      </c>
      <c r="AA2057" s="65" t="str">
        <f>IFERROR(__xludf.DUMMYFUNCTION("""COMPUTED_VALUE"""),"PROV-LMPVT")</f>
        <v>PROV-LMPVT</v>
      </c>
      <c r="AB2057" s="65"/>
      <c r="AC2057" s="65" t="str">
        <f>IFERROR(__xludf.DUMMYFUNCTION("""COMPUTED_VALUE"""),"LIMPIADOR DE PARABRISAS Y VENTANAS")</f>
        <v>LIMPIADOR DE PARABRISAS Y VENTANAS</v>
      </c>
      <c r="AD2057" s="65"/>
      <c r="AE2057" s="65">
        <f>IFERROR(__xludf.DUMMYFUNCTION("""COMPUTED_VALUE"""),1.0)</f>
        <v>1</v>
      </c>
      <c r="AF2057" s="65"/>
      <c r="AG2057" s="65"/>
      <c r="AH2057" s="65"/>
      <c r="AI2057" s="65"/>
      <c r="AJ2057" s="65"/>
      <c r="AK2057" s="65"/>
      <c r="AL2057" s="65"/>
      <c r="AM2057" s="65"/>
      <c r="AN2057" s="65" t="str">
        <f>IFERROR(__xludf.DUMMYFUNCTION("""COMPUTED_VALUE"""),"17:38")</f>
        <v>17:38</v>
      </c>
      <c r="AO2057" s="65" t="str">
        <f>IFERROR(__xludf.DUMMYFUNCTION("""COMPUTED_VALUE"""),"16-01-2026")</f>
        <v>16-01-2026</v>
      </c>
      <c r="AP2057" s="65" t="str">
        <f>IFERROR(__xludf.DUMMYFUNCTION("""COMPUTED_VALUE"""),"ENTREGADA GINTRACOM")</f>
        <v>ENTREGADA GINTRACOM</v>
      </c>
      <c r="AQ2057" s="65" t="str">
        <f>IFERROR(__xludf.DUMMYFUNCTION("""COMPUTED_VALUE"""),"ENTREGADA GINTRACOM")</f>
        <v>ENTREGADA GINTRACOM</v>
      </c>
      <c r="AR2057" s="65"/>
      <c r="AS2057" s="65"/>
      <c r="AT2057" s="65" t="str">
        <f>IFERROR(__xludf.DUMMYFUNCTION("""COMPUTED_VALUE"""),"SHOPIFY")</f>
        <v>SHOPIFY</v>
      </c>
      <c r="AU2057" s="65" t="str">
        <f>IFERROR(__xludf.DUMMYFUNCTION("""COMPUTED_VALUE"""),"IMPORTEX EC")</f>
        <v>IMPORTEX EC</v>
      </c>
      <c r="AV2057" s="65" t="str">
        <f>IFERROR(__xludf.DUMMYFUNCTION("""COMPUTED_VALUE"""),"6406555140140")</f>
        <v>6406555140140</v>
      </c>
      <c r="AW2057" s="65">
        <f>IFERROR(__xludf.DUMMYFUNCTION("""COMPUTED_VALUE"""),4912.0)</f>
        <v>4912</v>
      </c>
      <c r="AX2057" s="65"/>
      <c r="AY2057" s="65" t="str">
        <f>IFERROR(__xludf.DUMMYFUNCTION("""COMPUTED_VALUE"""),"14/01/2026")</f>
        <v>14/01/2026</v>
      </c>
      <c r="AZ2057" s="65"/>
      <c r="BA2057" s="65"/>
    </row>
    <row r="2058">
      <c r="A2058" s="65" t="str">
        <f>IFERROR(__xludf.DUMMYFUNCTION("""COMPUTED_VALUE"""),"27-03-2026")</f>
        <v>27-03-2026</v>
      </c>
      <c r="B2058" s="65">
        <f>IFERROR(__xludf.DUMMYFUNCTION("""COMPUTED_VALUE"""),4103331.0)</f>
        <v>4103331</v>
      </c>
      <c r="C2058" s="65" t="str">
        <f>IFERROR(__xludf.DUMMYFUNCTION("""COMPUTED_VALUE"""),"11:12")</f>
        <v>11:12</v>
      </c>
      <c r="D2058" s="65" t="str">
        <f>IFERROR(__xludf.DUMMYFUNCTION("""COMPUTED_VALUE"""),"11-01-2026")</f>
        <v>11-01-2026</v>
      </c>
      <c r="E2058" s="65" t="str">
        <f>IFERROR(__xludf.DUMMYFUNCTION("""COMPUTED_VALUE"""),"Amparo Paulina Ramos")</f>
        <v>Amparo Paulina Ramos</v>
      </c>
      <c r="F2058" s="65" t="str">
        <f>IFERROR(__xludf.DUMMYFUNCTION("""COMPUTED_VALUE"""),"995834640")</f>
        <v>995834640</v>
      </c>
      <c r="G2058" s="65" t="str">
        <f>IFERROR(__xludf.DUMMYFUNCTION("""COMPUTED_VALUE"""),"amparoramos1982@gmail.com")</f>
        <v>amparoramos1982@gmail.com</v>
      </c>
      <c r="H2058" s="65"/>
      <c r="I2058" s="65"/>
      <c r="J2058" s="65" t="str">
        <f>IFERROR(__xludf.DUMMYFUNCTION("""COMPUTED_VALUE"""),"D001218405")</f>
        <v>D001218405</v>
      </c>
      <c r="K2058" s="65" t="str">
        <f>IFERROR(__xludf.DUMMYFUNCTION("""COMPUTED_VALUE"""),"ENTREGADO")</f>
        <v>ENTREGADO</v>
      </c>
      <c r="L2058" s="65" t="str">
        <f>IFERROR(__xludf.DUMMYFUNCTION("""COMPUTED_VALUE"""),"CON RECAUDO")</f>
        <v>CON RECAUDO</v>
      </c>
      <c r="M2058" s="65" t="str">
        <f>IFERROR(__xludf.DUMMYFUNCTION("""COMPUTED_VALUE"""),"PICHINCHA")</f>
        <v>PICHINCHA</v>
      </c>
      <c r="N2058" s="65" t="str">
        <f>IFERROR(__xludf.DUMMYFUNCTION("""COMPUTED_VALUE"""),"QUITO")</f>
        <v>QUITO</v>
      </c>
      <c r="O2058" s="65" t="str">
        <f>IFERROR(__xludf.DUMMYFUNCTION("""COMPUTED_VALUE"""),"Calle puerto rico Argentina -")</f>
        <v>Calle puerto rico Argentina -</v>
      </c>
      <c r="P2058" s="65"/>
      <c r="Q2058" s="65" t="str">
        <f>IFERROR(__xludf.DUMMYFUNCTION("""COMPUTED_VALUE"""),"GINTRACOM")</f>
        <v>GINTRACOM</v>
      </c>
      <c r="R2058" s="65">
        <f>IFERROR(__xludf.DUMMYFUNCTION("""COMPUTED_VALUE"""),22.0)</f>
        <v>22</v>
      </c>
      <c r="S2058" s="65">
        <f>IFERROR(__xludf.DUMMYFUNCTION("""COMPUTED_VALUE"""),10.96)</f>
        <v>10.96</v>
      </c>
      <c r="T2058" s="65">
        <f>IFERROR(__xludf.DUMMYFUNCTION("""COMPUTED_VALUE"""),5.84)</f>
        <v>5.84</v>
      </c>
      <c r="U2058" s="65">
        <f>IFERROR(__xludf.DUMMYFUNCTION("""COMPUTED_VALUE"""),0.0)</f>
        <v>0</v>
      </c>
      <c r="V2058" s="65">
        <f>IFERROR(__xludf.DUMMYFUNCTION("""COMPUTED_VALUE"""),0.0)</f>
        <v>0</v>
      </c>
      <c r="W2058" s="65">
        <f>IFERROR(__xludf.DUMMYFUNCTION("""COMPUTED_VALUE"""),0.0)</f>
        <v>0</v>
      </c>
      <c r="X2058" s="65">
        <f>IFERROR(__xludf.DUMMYFUNCTION("""COMPUTED_VALUE"""),2.6)</f>
        <v>2.6</v>
      </c>
      <c r="Y2058" s="65">
        <f>IFERROR(__xludf.DUMMYFUNCTION("""COMPUTED_VALUE"""),5.2)</f>
        <v>5.2</v>
      </c>
      <c r="Z2058" s="65">
        <f>IFERROR(__xludf.DUMMYFUNCTION("""COMPUTED_VALUE"""),121983.0)</f>
        <v>121983</v>
      </c>
      <c r="AA2058" s="65" t="str">
        <f>IFERROR(__xludf.DUMMYFUNCTION("""COMPUTED_VALUE"""),"PROV-CHLLCF")</f>
        <v>PROV-CHLLCF</v>
      </c>
      <c r="AB2058" s="65"/>
      <c r="AC2058" s="65" t="str">
        <f>IFERROR(__xludf.DUMMYFUNCTION("""COMPUTED_VALUE"""),"CUCHILLO PARA CHEF")</f>
        <v>CUCHILLO PARA CHEF</v>
      </c>
      <c r="AD2058" s="65"/>
      <c r="AE2058" s="65">
        <f>IFERROR(__xludf.DUMMYFUNCTION("""COMPUTED_VALUE"""),2.0)</f>
        <v>2</v>
      </c>
      <c r="AF2058" s="65"/>
      <c r="AG2058" s="65"/>
      <c r="AH2058" s="65"/>
      <c r="AI2058" s="65"/>
      <c r="AJ2058" s="65"/>
      <c r="AK2058" s="65"/>
      <c r="AL2058" s="65"/>
      <c r="AM2058" s="65"/>
      <c r="AN2058" s="65" t="str">
        <f>IFERROR(__xludf.DUMMYFUNCTION("""COMPUTED_VALUE"""),"14:47")</f>
        <v>14:47</v>
      </c>
      <c r="AO2058" s="65" t="str">
        <f>IFERROR(__xludf.DUMMYFUNCTION("""COMPUTED_VALUE"""),"15-01-2026")</f>
        <v>15-01-2026</v>
      </c>
      <c r="AP2058" s="65" t="str">
        <f>IFERROR(__xludf.DUMMYFUNCTION("""COMPUTED_VALUE"""),"ENTREGADA GINTRACOM")</f>
        <v>ENTREGADA GINTRACOM</v>
      </c>
      <c r="AQ2058" s="65" t="str">
        <f>IFERROR(__xludf.DUMMYFUNCTION("""COMPUTED_VALUE"""),"ENTREGADA GINTRACOM")</f>
        <v>ENTREGADA GINTRACOM</v>
      </c>
      <c r="AR2058" s="65"/>
      <c r="AS2058" s="65"/>
      <c r="AT2058" s="65" t="str">
        <f>IFERROR(__xludf.DUMMYFUNCTION("""COMPUTED_VALUE"""),"SHOPIFY")</f>
        <v>SHOPIFY</v>
      </c>
      <c r="AU2058" s="65" t="str">
        <f>IFERROR(__xludf.DUMMYFUNCTION("""COMPUTED_VALUE"""),"IMPORTEX EC")</f>
        <v>IMPORTEX EC</v>
      </c>
      <c r="AV2058" s="65" t="str">
        <f>IFERROR(__xludf.DUMMYFUNCTION("""COMPUTED_VALUE"""),"6406547865644")</f>
        <v>6406547865644</v>
      </c>
      <c r="AW2058" s="65">
        <f>IFERROR(__xludf.DUMMYFUNCTION("""COMPUTED_VALUE"""),4911.0)</f>
        <v>4911</v>
      </c>
      <c r="AX2058" s="65"/>
      <c r="AY2058" s="65" t="str">
        <f>IFERROR(__xludf.DUMMYFUNCTION("""COMPUTED_VALUE"""),"13/01/2026")</f>
        <v>13/01/2026</v>
      </c>
      <c r="AZ2058" s="65"/>
      <c r="BA2058" s="65"/>
    </row>
    <row r="2059">
      <c r="A2059" s="65" t="str">
        <f>IFERROR(__xludf.DUMMYFUNCTION("""COMPUTED_VALUE"""),"27-03-2026")</f>
        <v>27-03-2026</v>
      </c>
      <c r="B2059" s="65">
        <f>IFERROR(__xludf.DUMMYFUNCTION("""COMPUTED_VALUE"""),4103211.0)</f>
        <v>4103211</v>
      </c>
      <c r="C2059" s="65" t="str">
        <f>IFERROR(__xludf.DUMMYFUNCTION("""COMPUTED_VALUE"""),"11:01")</f>
        <v>11:01</v>
      </c>
      <c r="D2059" s="65" t="str">
        <f>IFERROR(__xludf.DUMMYFUNCTION("""COMPUTED_VALUE"""),"11-01-2026")</f>
        <v>11-01-2026</v>
      </c>
      <c r="E2059" s="65" t="str">
        <f>IFERROR(__xludf.DUMMYFUNCTION("""COMPUTED_VALUE"""),"David Morales Bahamontes")</f>
        <v>David Morales Bahamontes</v>
      </c>
      <c r="F2059" s="65" t="str">
        <f>IFERROR(__xludf.DUMMYFUNCTION("""COMPUTED_VALUE"""),"999906107")</f>
        <v>999906107</v>
      </c>
      <c r="G2059" s="65" t="str">
        <f>IFERROR(__xludf.DUMMYFUNCTION("""COMPUTED_VALUE"""),"davidfmb1417@gmail.com")</f>
        <v>davidfmb1417@gmail.com</v>
      </c>
      <c r="H2059" s="65"/>
      <c r="I2059" s="65"/>
      <c r="J2059" s="65" t="str">
        <f>IFERROR(__xludf.DUMMYFUNCTION("""COMPUTED_VALUE"""),"D001215510")</f>
        <v>D001215510</v>
      </c>
      <c r="K2059" s="65" t="str">
        <f>IFERROR(__xludf.DUMMYFUNCTION("""COMPUTED_VALUE"""),"ENTREGADO")</f>
        <v>ENTREGADO</v>
      </c>
      <c r="L2059" s="65" t="str">
        <f>IFERROR(__xludf.DUMMYFUNCTION("""COMPUTED_VALUE"""),"CON RECAUDO")</f>
        <v>CON RECAUDO</v>
      </c>
      <c r="M2059" s="65" t="str">
        <f>IFERROR(__xludf.DUMMYFUNCTION("""COMPUTED_VALUE"""),"PICHINCHA")</f>
        <v>PICHINCHA</v>
      </c>
      <c r="N2059" s="65" t="str">
        <f>IFERROR(__xludf.DUMMYFUNCTION("""COMPUTED_VALUE"""),"QUITO")</f>
        <v>QUITO</v>
      </c>
      <c r="O2059" s="65" t="str">
        <f>IFERROR(__xludf.DUMMYFUNCTION("""COMPUTED_VALUE"""),"Av. Amazonas y Calle Japón - Ref. Edificio de la Comandancia de la Policía Nacional, planta baja.")</f>
        <v>Av. Amazonas y Calle Japón - Ref. Edificio de la Comandancia de la Policía Nacional, planta baja.</v>
      </c>
      <c r="P2059" s="65"/>
      <c r="Q2059" s="65" t="str">
        <f>IFERROR(__xludf.DUMMYFUNCTION("""COMPUTED_VALUE"""),"GINTRACOM")</f>
        <v>GINTRACOM</v>
      </c>
      <c r="R2059" s="65">
        <f>IFERROR(__xludf.DUMMYFUNCTION("""COMPUTED_VALUE"""),25.0)</f>
        <v>25</v>
      </c>
      <c r="S2059" s="65">
        <f>IFERROR(__xludf.DUMMYFUNCTION("""COMPUTED_VALUE"""),13.46)</f>
        <v>13.46</v>
      </c>
      <c r="T2059" s="65">
        <f>IFERROR(__xludf.DUMMYFUNCTION("""COMPUTED_VALUE"""),5.96)</f>
        <v>5.96</v>
      </c>
      <c r="U2059" s="65">
        <f>IFERROR(__xludf.DUMMYFUNCTION("""COMPUTED_VALUE"""),0.0)</f>
        <v>0</v>
      </c>
      <c r="V2059" s="65">
        <f>IFERROR(__xludf.DUMMYFUNCTION("""COMPUTED_VALUE"""),0.0)</f>
        <v>0</v>
      </c>
      <c r="W2059" s="65">
        <f>IFERROR(__xludf.DUMMYFUNCTION("""COMPUTED_VALUE"""),0.0)</f>
        <v>0</v>
      </c>
      <c r="X2059" s="65">
        <f>IFERROR(__xludf.DUMMYFUNCTION("""COMPUTED_VALUE"""),2.79)</f>
        <v>2.79</v>
      </c>
      <c r="Y2059" s="65">
        <f>IFERROR(__xludf.DUMMYFUNCTION("""COMPUTED_VALUE"""),5.58)</f>
        <v>5.58</v>
      </c>
      <c r="Z2059" s="65">
        <f>IFERROR(__xludf.DUMMYFUNCTION("""COMPUTED_VALUE"""),120732.0)</f>
        <v>120732</v>
      </c>
      <c r="AA2059" s="65" t="str">
        <f>IFERROR(__xludf.DUMMYFUNCTION("""COMPUTED_VALUE"""),"PROV-LMPVT")</f>
        <v>PROV-LMPVT</v>
      </c>
      <c r="AB2059" s="65"/>
      <c r="AC2059" s="65" t="str">
        <f>IFERROR(__xludf.DUMMYFUNCTION("""COMPUTED_VALUE"""),"LIMPIADOR DE PARABRISAS Y VENTANAS")</f>
        <v>LIMPIADOR DE PARABRISAS Y VENTANAS</v>
      </c>
      <c r="AD2059" s="65"/>
      <c r="AE2059" s="65">
        <f>IFERROR(__xludf.DUMMYFUNCTION("""COMPUTED_VALUE"""),2.0)</f>
        <v>2</v>
      </c>
      <c r="AF2059" s="65"/>
      <c r="AG2059" s="65"/>
      <c r="AH2059" s="65"/>
      <c r="AI2059" s="65"/>
      <c r="AJ2059" s="65"/>
      <c r="AK2059" s="65"/>
      <c r="AL2059" s="65"/>
      <c r="AM2059" s="65"/>
      <c r="AN2059" s="65" t="str">
        <f>IFERROR(__xludf.DUMMYFUNCTION("""COMPUTED_VALUE"""),"13:52")</f>
        <v>13:52</v>
      </c>
      <c r="AO2059" s="65" t="str">
        <f>IFERROR(__xludf.DUMMYFUNCTION("""COMPUTED_VALUE"""),"13-01-2026")</f>
        <v>13-01-2026</v>
      </c>
      <c r="AP2059" s="65" t="str">
        <f>IFERROR(__xludf.DUMMYFUNCTION("""COMPUTED_VALUE"""),"ENTREGADA GINTRACOM")</f>
        <v>ENTREGADA GINTRACOM</v>
      </c>
      <c r="AQ2059" s="65" t="str">
        <f>IFERROR(__xludf.DUMMYFUNCTION("""COMPUTED_VALUE"""),"ENTREGADA GINTRACOM")</f>
        <v>ENTREGADA GINTRACOM</v>
      </c>
      <c r="AR2059" s="65"/>
      <c r="AS2059" s="65"/>
      <c r="AT2059" s="65" t="str">
        <f>IFERROR(__xludf.DUMMYFUNCTION("""COMPUTED_VALUE"""),"SHOPIFY")</f>
        <v>SHOPIFY</v>
      </c>
      <c r="AU2059" s="65" t="str">
        <f>IFERROR(__xludf.DUMMYFUNCTION("""COMPUTED_VALUE"""),"IMPORTEX EC")</f>
        <v>IMPORTEX EC</v>
      </c>
      <c r="AV2059" s="65" t="str">
        <f>IFERROR(__xludf.DUMMYFUNCTION("""COMPUTED_VALUE"""),"6406519095340")</f>
        <v>6406519095340</v>
      </c>
      <c r="AW2059" s="65">
        <f>IFERROR(__xludf.DUMMYFUNCTION("""COMPUTED_VALUE"""),4910.0)</f>
        <v>4910</v>
      </c>
      <c r="AX2059" s="65"/>
      <c r="AY2059" s="65" t="str">
        <f>IFERROR(__xludf.DUMMYFUNCTION("""COMPUTED_VALUE"""),"12/01/2026")</f>
        <v>12/01/2026</v>
      </c>
      <c r="AZ2059" s="65"/>
      <c r="BA2059" s="65"/>
    </row>
    <row r="2060">
      <c r="A2060" s="65" t="str">
        <f>IFERROR(__xludf.DUMMYFUNCTION("""COMPUTED_VALUE"""),"27-03-2026")</f>
        <v>27-03-2026</v>
      </c>
      <c r="B2060" s="65">
        <f>IFERROR(__xludf.DUMMYFUNCTION("""COMPUTED_VALUE"""),4103105.0)</f>
        <v>4103105</v>
      </c>
      <c r="C2060" s="65" t="str">
        <f>IFERROR(__xludf.DUMMYFUNCTION("""COMPUTED_VALUE"""),"10:52")</f>
        <v>10:52</v>
      </c>
      <c r="D2060" s="65" t="str">
        <f>IFERROR(__xludf.DUMMYFUNCTION("""COMPUTED_VALUE"""),"11-01-2026")</f>
        <v>11-01-2026</v>
      </c>
      <c r="E2060" s="65" t="str">
        <f>IFERROR(__xludf.DUMMYFUNCTION("""COMPUTED_VALUE"""),"Diego Quelal")</f>
        <v>Diego Quelal</v>
      </c>
      <c r="F2060" s="65" t="str">
        <f>IFERROR(__xludf.DUMMYFUNCTION("""COMPUTED_VALUE"""),"981622731")</f>
        <v>981622731</v>
      </c>
      <c r="G2060" s="65" t="str">
        <f>IFERROR(__xludf.DUMMYFUNCTION("""COMPUTED_VALUE"""),"diegoquelal7@gmail.com")</f>
        <v>diegoquelal7@gmail.com</v>
      </c>
      <c r="H2060" s="65"/>
      <c r="I2060" s="65"/>
      <c r="J2060" s="65" t="str">
        <f>IFERROR(__xludf.DUMMYFUNCTION("""COMPUTED_VALUE"""),"D001224310")</f>
        <v>D001224310</v>
      </c>
      <c r="K2060" s="65" t="str">
        <f>IFERROR(__xludf.DUMMYFUNCTION("""COMPUTED_VALUE"""),"ENTREGADO")</f>
        <v>ENTREGADO</v>
      </c>
      <c r="L2060" s="65" t="str">
        <f>IFERROR(__xludf.DUMMYFUNCTION("""COMPUTED_VALUE"""),"CON RECAUDO")</f>
        <v>CON RECAUDO</v>
      </c>
      <c r="M2060" s="65" t="str">
        <f>IFERROR(__xludf.DUMMYFUNCTION("""COMPUTED_VALUE"""),"PICHINCHA")</f>
        <v>PICHINCHA</v>
      </c>
      <c r="N2060" s="65" t="str">
        <f>IFERROR(__xludf.DUMMYFUNCTION("""COMPUTED_VALUE"""),"QUITO")</f>
        <v>QUITO</v>
      </c>
      <c r="O2060" s="65" t="str">
        <f>IFERROR(__xludf.DUMMYFUNCTION("""COMPUTED_VALUE"""),"Consejo Provincial la Roldos calle OE7B N87-45 Y calle N87 diagonal a Sarahi Papelería El Condado -")</f>
        <v>Consejo Provincial la Roldos calle OE7B N87-45 Y calle N87 diagonal a Sarahi Papelería El Condado -</v>
      </c>
      <c r="P2060" s="65"/>
      <c r="Q2060" s="65" t="str">
        <f>IFERROR(__xludf.DUMMYFUNCTION("""COMPUTED_VALUE"""),"GINTRACOM")</f>
        <v>GINTRACOM</v>
      </c>
      <c r="R2060" s="65">
        <f>IFERROR(__xludf.DUMMYFUNCTION("""COMPUTED_VALUE"""),25.0)</f>
        <v>25</v>
      </c>
      <c r="S2060" s="65">
        <f>IFERROR(__xludf.DUMMYFUNCTION("""COMPUTED_VALUE"""),13.46)</f>
        <v>13.46</v>
      </c>
      <c r="T2060" s="65">
        <f>IFERROR(__xludf.DUMMYFUNCTION("""COMPUTED_VALUE"""),5.96)</f>
        <v>5.96</v>
      </c>
      <c r="U2060" s="65">
        <f>IFERROR(__xludf.DUMMYFUNCTION("""COMPUTED_VALUE"""),0.0)</f>
        <v>0</v>
      </c>
      <c r="V2060" s="65">
        <f>IFERROR(__xludf.DUMMYFUNCTION("""COMPUTED_VALUE"""),0.0)</f>
        <v>0</v>
      </c>
      <c r="W2060" s="65">
        <f>IFERROR(__xludf.DUMMYFUNCTION("""COMPUTED_VALUE"""),0.0)</f>
        <v>0</v>
      </c>
      <c r="X2060" s="65">
        <f>IFERROR(__xludf.DUMMYFUNCTION("""COMPUTED_VALUE"""),2.79)</f>
        <v>2.79</v>
      </c>
      <c r="Y2060" s="65">
        <f>IFERROR(__xludf.DUMMYFUNCTION("""COMPUTED_VALUE"""),5.58)</f>
        <v>5.58</v>
      </c>
      <c r="Z2060" s="65">
        <f>IFERROR(__xludf.DUMMYFUNCTION("""COMPUTED_VALUE"""),120732.0)</f>
        <v>120732</v>
      </c>
      <c r="AA2060" s="65" t="str">
        <f>IFERROR(__xludf.DUMMYFUNCTION("""COMPUTED_VALUE"""),"PROV-LMPVT")</f>
        <v>PROV-LMPVT</v>
      </c>
      <c r="AB2060" s="65"/>
      <c r="AC2060" s="65" t="str">
        <f>IFERROR(__xludf.DUMMYFUNCTION("""COMPUTED_VALUE"""),"LIMPIADOR DE PARABRISAS Y VENTANAS")</f>
        <v>LIMPIADOR DE PARABRISAS Y VENTANAS</v>
      </c>
      <c r="AD2060" s="65"/>
      <c r="AE2060" s="65">
        <f>IFERROR(__xludf.DUMMYFUNCTION("""COMPUTED_VALUE"""),2.0)</f>
        <v>2</v>
      </c>
      <c r="AF2060" s="65"/>
      <c r="AG2060" s="65"/>
      <c r="AH2060" s="65"/>
      <c r="AI2060" s="65"/>
      <c r="AJ2060" s="65"/>
      <c r="AK2060" s="65"/>
      <c r="AL2060" s="65"/>
      <c r="AM2060" s="65"/>
      <c r="AN2060" s="65" t="str">
        <f>IFERROR(__xludf.DUMMYFUNCTION("""COMPUTED_VALUE"""),"14:56")</f>
        <v>14:56</v>
      </c>
      <c r="AO2060" s="65" t="str">
        <f>IFERROR(__xludf.DUMMYFUNCTION("""COMPUTED_VALUE"""),"16-01-2026")</f>
        <v>16-01-2026</v>
      </c>
      <c r="AP2060" s="65" t="str">
        <f>IFERROR(__xludf.DUMMYFUNCTION("""COMPUTED_VALUE"""),"ENTREGADA GINTRACOM")</f>
        <v>ENTREGADA GINTRACOM</v>
      </c>
      <c r="AQ2060" s="65" t="str">
        <f>IFERROR(__xludf.DUMMYFUNCTION("""COMPUTED_VALUE"""),"ENTREGADA GINTRACOM")</f>
        <v>ENTREGADA GINTRACOM</v>
      </c>
      <c r="AR2060" s="65"/>
      <c r="AS2060" s="65"/>
      <c r="AT2060" s="65" t="str">
        <f>IFERROR(__xludf.DUMMYFUNCTION("""COMPUTED_VALUE"""),"SHOPIFY")</f>
        <v>SHOPIFY</v>
      </c>
      <c r="AU2060" s="65" t="str">
        <f>IFERROR(__xludf.DUMMYFUNCTION("""COMPUTED_VALUE"""),"IMPORTEX EC")</f>
        <v>IMPORTEX EC</v>
      </c>
      <c r="AV2060" s="65" t="str">
        <f>IFERROR(__xludf.DUMMYFUNCTION("""COMPUTED_VALUE"""),"6406501466156")</f>
        <v>6406501466156</v>
      </c>
      <c r="AW2060" s="65">
        <f>IFERROR(__xludf.DUMMYFUNCTION("""COMPUTED_VALUE"""),4909.0)</f>
        <v>4909</v>
      </c>
      <c r="AX2060" s="65"/>
      <c r="AY2060" s="65" t="str">
        <f>IFERROR(__xludf.DUMMYFUNCTION("""COMPUTED_VALUE"""),"14/01/2026")</f>
        <v>14/01/2026</v>
      </c>
      <c r="AZ2060" s="65"/>
      <c r="BA2060" s="65"/>
    </row>
    <row r="2061">
      <c r="A2061" s="65" t="str">
        <f>IFERROR(__xludf.DUMMYFUNCTION("""COMPUTED_VALUE"""),"27-03-2026")</f>
        <v>27-03-2026</v>
      </c>
      <c r="B2061" s="65">
        <f>IFERROR(__xludf.DUMMYFUNCTION("""COMPUTED_VALUE"""),4103079.0)</f>
        <v>4103079</v>
      </c>
      <c r="C2061" s="65" t="str">
        <f>IFERROR(__xludf.DUMMYFUNCTION("""COMPUTED_VALUE"""),"10:50")</f>
        <v>10:50</v>
      </c>
      <c r="D2061" s="65" t="str">
        <f>IFERROR(__xludf.DUMMYFUNCTION("""COMPUTED_VALUE"""),"11-01-2026")</f>
        <v>11-01-2026</v>
      </c>
      <c r="E2061" s="65" t="str">
        <f>IFERROR(__xludf.DUMMYFUNCTION("""COMPUTED_VALUE"""),"Armando Tarira")</f>
        <v>Armando Tarira</v>
      </c>
      <c r="F2061" s="65" t="str">
        <f>IFERROR(__xludf.DUMMYFUNCTION("""COMPUTED_VALUE"""),"968831692")</f>
        <v>968831692</v>
      </c>
      <c r="G2061" s="65" t="str">
        <f>IFERROR(__xludf.DUMMYFUNCTION("""COMPUTED_VALUE"""),"crisstarira@gmail.com")</f>
        <v>crisstarira@gmail.com</v>
      </c>
      <c r="H2061" s="65"/>
      <c r="I2061" s="65"/>
      <c r="J2061" s="65" t="str">
        <f>IFERROR(__xludf.DUMMYFUNCTION("""COMPUTED_VALUE"""),"D001224311")</f>
        <v>D001224311</v>
      </c>
      <c r="K2061" s="65" t="str">
        <f>IFERROR(__xludf.DUMMYFUNCTION("""COMPUTED_VALUE"""),"ENTREGADO")</f>
        <v>ENTREGADO</v>
      </c>
      <c r="L2061" s="65" t="str">
        <f>IFERROR(__xludf.DUMMYFUNCTION("""COMPUTED_VALUE"""),"CON RECAUDO")</f>
        <v>CON RECAUDO</v>
      </c>
      <c r="M2061" s="65" t="str">
        <f>IFERROR(__xludf.DUMMYFUNCTION("""COMPUTED_VALUE"""),"LOS RIOS")</f>
        <v>LOS RIOS</v>
      </c>
      <c r="N2061" s="65" t="str">
        <f>IFERROR(__xludf.DUMMYFUNCTION("""COMPUTED_VALUE"""),"BUENA FE")</f>
        <v>BUENA FE</v>
      </c>
      <c r="O2061" s="65" t="str">
        <f>IFERROR(__xludf.DUMMYFUNCTION("""COMPUTED_VALUE"""),"Av. Jose Sion y calle 14 Coop. 19 de octubre -")</f>
        <v>Av. Jose Sion y calle 14 Coop. 19 de octubre -</v>
      </c>
      <c r="P2061" s="65"/>
      <c r="Q2061" s="65" t="str">
        <f>IFERROR(__xludf.DUMMYFUNCTION("""COMPUTED_VALUE"""),"GINTRACOM")</f>
        <v>GINTRACOM</v>
      </c>
      <c r="R2061" s="65">
        <f>IFERROR(__xludf.DUMMYFUNCTION("""COMPUTED_VALUE"""),30.0)</f>
        <v>30</v>
      </c>
      <c r="S2061" s="65">
        <f>IFERROR(__xludf.DUMMYFUNCTION("""COMPUTED_VALUE"""),14.9)</f>
        <v>14.9</v>
      </c>
      <c r="T2061" s="65">
        <f>IFERROR(__xludf.DUMMYFUNCTION("""COMPUTED_VALUE"""),6.73)</f>
        <v>6.73</v>
      </c>
      <c r="U2061" s="65">
        <f>IFERROR(__xludf.DUMMYFUNCTION("""COMPUTED_VALUE"""),0.0)</f>
        <v>0</v>
      </c>
      <c r="V2061" s="65">
        <f>IFERROR(__xludf.DUMMYFUNCTION("""COMPUTED_VALUE"""),0.0)</f>
        <v>0</v>
      </c>
      <c r="W2061" s="65">
        <f>IFERROR(__xludf.DUMMYFUNCTION("""COMPUTED_VALUE"""),0.0)</f>
        <v>0</v>
      </c>
      <c r="X2061" s="65">
        <f>IFERROR(__xludf.DUMMYFUNCTION("""COMPUTED_VALUE"""),2.79)</f>
        <v>2.79</v>
      </c>
      <c r="Y2061" s="65">
        <f>IFERROR(__xludf.DUMMYFUNCTION("""COMPUTED_VALUE"""),8.37)</f>
        <v>8.37</v>
      </c>
      <c r="Z2061" s="65">
        <f>IFERROR(__xludf.DUMMYFUNCTION("""COMPUTED_VALUE"""),120732.0)</f>
        <v>120732</v>
      </c>
      <c r="AA2061" s="65" t="str">
        <f>IFERROR(__xludf.DUMMYFUNCTION("""COMPUTED_VALUE"""),"PROV-LMPVT")</f>
        <v>PROV-LMPVT</v>
      </c>
      <c r="AB2061" s="65"/>
      <c r="AC2061" s="65" t="str">
        <f>IFERROR(__xludf.DUMMYFUNCTION("""COMPUTED_VALUE"""),"LIMPIADOR DE PARABRISAS Y VENTANAS")</f>
        <v>LIMPIADOR DE PARABRISAS Y VENTANAS</v>
      </c>
      <c r="AD2061" s="65"/>
      <c r="AE2061" s="65">
        <f>IFERROR(__xludf.DUMMYFUNCTION("""COMPUTED_VALUE"""),3.0)</f>
        <v>3</v>
      </c>
      <c r="AF2061" s="65"/>
      <c r="AG2061" s="65"/>
      <c r="AH2061" s="65"/>
      <c r="AI2061" s="65"/>
      <c r="AJ2061" s="65"/>
      <c r="AK2061" s="65"/>
      <c r="AL2061" s="65"/>
      <c r="AM2061" s="65"/>
      <c r="AN2061" s="65" t="str">
        <f>IFERROR(__xludf.DUMMYFUNCTION("""COMPUTED_VALUE"""),"12:54")</f>
        <v>12:54</v>
      </c>
      <c r="AO2061" s="65" t="str">
        <f>IFERROR(__xludf.DUMMYFUNCTION("""COMPUTED_VALUE"""),"17-01-2026")</f>
        <v>17-01-2026</v>
      </c>
      <c r="AP2061" s="65" t="str">
        <f>IFERROR(__xludf.DUMMYFUNCTION("""COMPUTED_VALUE"""),"ENTREGADA GINTRACOM")</f>
        <v>ENTREGADA GINTRACOM</v>
      </c>
      <c r="AQ2061" s="65" t="str">
        <f>IFERROR(__xludf.DUMMYFUNCTION("""COMPUTED_VALUE"""),"ENTREGADA GINTRACOM")</f>
        <v>ENTREGADA GINTRACOM</v>
      </c>
      <c r="AR2061" s="65"/>
      <c r="AS2061" s="65"/>
      <c r="AT2061" s="65" t="str">
        <f>IFERROR(__xludf.DUMMYFUNCTION("""COMPUTED_VALUE"""),"SHOPIFY")</f>
        <v>SHOPIFY</v>
      </c>
      <c r="AU2061" s="65" t="str">
        <f>IFERROR(__xludf.DUMMYFUNCTION("""COMPUTED_VALUE"""),"IMPORTEX EC")</f>
        <v>IMPORTEX EC</v>
      </c>
      <c r="AV2061" s="65" t="str">
        <f>IFERROR(__xludf.DUMMYFUNCTION("""COMPUTED_VALUE"""),"6406492160044")</f>
        <v>6406492160044</v>
      </c>
      <c r="AW2061" s="65">
        <f>IFERROR(__xludf.DUMMYFUNCTION("""COMPUTED_VALUE"""),4908.0)</f>
        <v>4908</v>
      </c>
      <c r="AX2061" s="65"/>
      <c r="AY2061" s="65" t="str">
        <f>IFERROR(__xludf.DUMMYFUNCTION("""COMPUTED_VALUE"""),"14/01/2026")</f>
        <v>14/01/2026</v>
      </c>
      <c r="AZ2061" s="65"/>
      <c r="BA2061" s="65"/>
    </row>
    <row r="2062">
      <c r="A2062" s="65" t="str">
        <f>IFERROR(__xludf.DUMMYFUNCTION("""COMPUTED_VALUE"""),"27-03-2026")</f>
        <v>27-03-2026</v>
      </c>
      <c r="B2062" s="65">
        <f>IFERROR(__xludf.DUMMYFUNCTION("""COMPUTED_VALUE"""),4102857.0)</f>
        <v>4102857</v>
      </c>
      <c r="C2062" s="65" t="str">
        <f>IFERROR(__xludf.DUMMYFUNCTION("""COMPUTED_VALUE"""),"10:26")</f>
        <v>10:26</v>
      </c>
      <c r="D2062" s="65" t="str">
        <f>IFERROR(__xludf.DUMMYFUNCTION("""COMPUTED_VALUE"""),"11-01-2026")</f>
        <v>11-01-2026</v>
      </c>
      <c r="E2062" s="65" t="str">
        <f>IFERROR(__xludf.DUMMYFUNCTION("""COMPUTED_VALUE"""),"Eloy Cardenas")</f>
        <v>Eloy Cardenas</v>
      </c>
      <c r="F2062" s="65" t="str">
        <f>IFERROR(__xludf.DUMMYFUNCTION("""COMPUTED_VALUE"""),"979756863")</f>
        <v>979756863</v>
      </c>
      <c r="G2062" s="65" t="str">
        <f>IFERROR(__xludf.DUMMYFUNCTION("""COMPUTED_VALUE"""),"eloycos@gmail.com")</f>
        <v>eloycos@gmail.com</v>
      </c>
      <c r="H2062" s="65"/>
      <c r="I2062" s="65"/>
      <c r="J2062" s="65"/>
      <c r="K2062" s="65" t="str">
        <f>IFERROR(__xludf.DUMMYFUNCTION("""COMPUTED_VALUE"""),"PENDIENTE CONFIRMACION")</f>
        <v>PENDIENTE CONFIRMACION</v>
      </c>
      <c r="L2062" s="65" t="str">
        <f>IFERROR(__xludf.DUMMYFUNCTION("""COMPUTED_VALUE"""),"CON RECAUDO")</f>
        <v>CON RECAUDO</v>
      </c>
      <c r="M2062" s="65" t="str">
        <f>IFERROR(__xludf.DUMMYFUNCTION("""COMPUTED_VALUE"""),"EL ORO")</f>
        <v>EL ORO</v>
      </c>
      <c r="N2062" s="65" t="str">
        <f>IFERROR(__xludf.DUMMYFUNCTION("""COMPUTED_VALUE"""),"MACHALA")</f>
        <v>MACHALA</v>
      </c>
      <c r="O2062" s="65" t="str">
        <f>IFERROR(__xludf.DUMMYFUNCTION("""COMPUTED_VALUE"""),"Urb. Celesia. H5 Calle Uruguay entre Brasil y Bolivia Sector Las Crucitas -")</f>
        <v>Urb. Celesia. H5 Calle Uruguay entre Brasil y Bolivia Sector Las Crucitas -</v>
      </c>
      <c r="P2062" s="65"/>
      <c r="Q2062" s="65" t="str">
        <f>IFERROR(__xludf.DUMMYFUNCTION("""COMPUTED_VALUE"""),"GINTRACOM")</f>
        <v>GINTRACOM</v>
      </c>
      <c r="R2062" s="65">
        <f>IFERROR(__xludf.DUMMYFUNCTION("""COMPUTED_VALUE"""),25.0)</f>
        <v>25</v>
      </c>
      <c r="S2062" s="65"/>
      <c r="T2062" s="65">
        <f>IFERROR(__xludf.DUMMYFUNCTION("""COMPUTED_VALUE"""),5.96)</f>
        <v>5.96</v>
      </c>
      <c r="U2062" s="65">
        <f>IFERROR(__xludf.DUMMYFUNCTION("""COMPUTED_VALUE"""),0.0)</f>
        <v>0</v>
      </c>
      <c r="V2062" s="65">
        <f>IFERROR(__xludf.DUMMYFUNCTION("""COMPUTED_VALUE"""),0.0)</f>
        <v>0</v>
      </c>
      <c r="W2062" s="65">
        <f>IFERROR(__xludf.DUMMYFUNCTION("""COMPUTED_VALUE"""),0.0)</f>
        <v>0</v>
      </c>
      <c r="X2062" s="65">
        <f>IFERROR(__xludf.DUMMYFUNCTION("""COMPUTED_VALUE"""),2.79)</f>
        <v>2.79</v>
      </c>
      <c r="Y2062" s="65">
        <f>IFERROR(__xludf.DUMMYFUNCTION("""COMPUTED_VALUE"""),5.58)</f>
        <v>5.58</v>
      </c>
      <c r="Z2062" s="65">
        <f>IFERROR(__xludf.DUMMYFUNCTION("""COMPUTED_VALUE"""),120732.0)</f>
        <v>120732</v>
      </c>
      <c r="AA2062" s="65" t="str">
        <f>IFERROR(__xludf.DUMMYFUNCTION("""COMPUTED_VALUE"""),"PROV-LMPVT")</f>
        <v>PROV-LMPVT</v>
      </c>
      <c r="AB2062" s="65"/>
      <c r="AC2062" s="65" t="str">
        <f>IFERROR(__xludf.DUMMYFUNCTION("""COMPUTED_VALUE"""),"LIMPIADOR DE PARABRISAS Y VENTANAS")</f>
        <v>LIMPIADOR DE PARABRISAS Y VENTANAS</v>
      </c>
      <c r="AD2062" s="65"/>
      <c r="AE2062" s="65">
        <f>IFERROR(__xludf.DUMMYFUNCTION("""COMPUTED_VALUE"""),2.0)</f>
        <v>2</v>
      </c>
      <c r="AF2062" s="65"/>
      <c r="AG2062" s="65"/>
      <c r="AH2062" s="65"/>
      <c r="AI2062" s="65"/>
      <c r="AJ2062" s="65"/>
      <c r="AK2062" s="65"/>
      <c r="AL2062" s="65"/>
      <c r="AM2062" s="65"/>
      <c r="AN2062" s="65"/>
      <c r="AO2062" s="65"/>
      <c r="AP2062" s="65"/>
      <c r="AQ2062" s="65"/>
      <c r="AR2062" s="65"/>
      <c r="AS2062" s="65"/>
      <c r="AT2062" s="65" t="str">
        <f>IFERROR(__xludf.DUMMYFUNCTION("""COMPUTED_VALUE"""),"SHOPIFY")</f>
        <v>SHOPIFY</v>
      </c>
      <c r="AU2062" s="65" t="str">
        <f>IFERROR(__xludf.DUMMYFUNCTION("""COMPUTED_VALUE"""),"IMPORTEX EC")</f>
        <v>IMPORTEX EC</v>
      </c>
      <c r="AV2062" s="65" t="str">
        <f>IFERROR(__xludf.DUMMYFUNCTION("""COMPUTED_VALUE"""),"6406436290604")</f>
        <v>6406436290604</v>
      </c>
      <c r="AW2062" s="65">
        <f>IFERROR(__xludf.DUMMYFUNCTION("""COMPUTED_VALUE"""),4907.0)</f>
        <v>4907</v>
      </c>
      <c r="AX2062" s="65"/>
      <c r="AY2062" s="65"/>
      <c r="AZ2062" s="65"/>
      <c r="BA2062" s="65"/>
    </row>
    <row r="2063">
      <c r="A2063" s="65" t="str">
        <f>IFERROR(__xludf.DUMMYFUNCTION("""COMPUTED_VALUE"""),"27-03-2026")</f>
        <v>27-03-2026</v>
      </c>
      <c r="B2063" s="65">
        <f>IFERROR(__xludf.DUMMYFUNCTION("""COMPUTED_VALUE"""),4102693.0)</f>
        <v>4102693</v>
      </c>
      <c r="C2063" s="65" t="str">
        <f>IFERROR(__xludf.DUMMYFUNCTION("""COMPUTED_VALUE"""),"10:08")</f>
        <v>10:08</v>
      </c>
      <c r="D2063" s="65" t="str">
        <f>IFERROR(__xludf.DUMMYFUNCTION("""COMPUTED_VALUE"""),"11-01-2026")</f>
        <v>11-01-2026</v>
      </c>
      <c r="E2063" s="65" t="str">
        <f>IFERROR(__xludf.DUMMYFUNCTION("""COMPUTED_VALUE"""),"Pablo Flores")</f>
        <v>Pablo Flores</v>
      </c>
      <c r="F2063" s="65" t="str">
        <f>IFERROR(__xludf.DUMMYFUNCTION("""COMPUTED_VALUE"""),"963125460")</f>
        <v>963125460</v>
      </c>
      <c r="G2063" s="65" t="str">
        <f>IFERROR(__xludf.DUMMYFUNCTION("""COMPUTED_VALUE"""),"pablion1976@hotmail.com")</f>
        <v>pablion1976@hotmail.com</v>
      </c>
      <c r="H2063" s="65"/>
      <c r="I2063" s="65"/>
      <c r="J2063" s="65"/>
      <c r="K2063" s="65" t="str">
        <f>IFERROR(__xludf.DUMMYFUNCTION("""COMPUTED_VALUE"""),"PENDIENTE CONFIRMACION")</f>
        <v>PENDIENTE CONFIRMACION</v>
      </c>
      <c r="L2063" s="65" t="str">
        <f>IFERROR(__xludf.DUMMYFUNCTION("""COMPUTED_VALUE"""),"CON RECAUDO")</f>
        <v>CON RECAUDO</v>
      </c>
      <c r="M2063" s="65" t="str">
        <f>IFERROR(__xludf.DUMMYFUNCTION("""COMPUTED_VALUE"""),"PICHINCHA")</f>
        <v>PICHINCHA</v>
      </c>
      <c r="N2063" s="65" t="str">
        <f>IFERROR(__xludf.DUMMYFUNCTION("""COMPUTED_VALUE"""),"QUITO")</f>
        <v>QUITO</v>
      </c>
      <c r="O2063" s="65" t="str">
        <f>IFERROR(__xludf.DUMMYFUNCTION("""COMPUTED_VALUE"""),"Hernando prado")</f>
        <v>Hernando prado</v>
      </c>
      <c r="P2063" s="65" t="str">
        <f>IFERROR(__xludf.DUMMYFUNCTION("""COMPUTED_VALUE"""),"LIMPIADOR DE PARABRISAS Y VENTANAS: Default Title ***")</f>
        <v>LIMPIADOR DE PARABRISAS Y VENTANAS: Default Title ***</v>
      </c>
      <c r="Q2063" s="65" t="str">
        <f>IFERROR(__xludf.DUMMYFUNCTION("""COMPUTED_VALUE"""),"GINTRACOM")</f>
        <v>GINTRACOM</v>
      </c>
      <c r="R2063" s="65">
        <f>IFERROR(__xludf.DUMMYFUNCTION("""COMPUTED_VALUE"""),30.0)</f>
        <v>30</v>
      </c>
      <c r="S2063" s="65"/>
      <c r="T2063" s="65">
        <f>IFERROR(__xludf.DUMMYFUNCTION("""COMPUTED_VALUE"""),6.16)</f>
        <v>6.16</v>
      </c>
      <c r="U2063" s="65">
        <f>IFERROR(__xludf.DUMMYFUNCTION("""COMPUTED_VALUE"""),0.0)</f>
        <v>0</v>
      </c>
      <c r="V2063" s="65">
        <f>IFERROR(__xludf.DUMMYFUNCTION("""COMPUTED_VALUE"""),0.0)</f>
        <v>0</v>
      </c>
      <c r="W2063" s="65">
        <f>IFERROR(__xludf.DUMMYFUNCTION("""COMPUTED_VALUE"""),0.0)</f>
        <v>0</v>
      </c>
      <c r="X2063" s="65">
        <f>IFERROR(__xludf.DUMMYFUNCTION("""COMPUTED_VALUE"""),2.79)</f>
        <v>2.79</v>
      </c>
      <c r="Y2063" s="65">
        <f>IFERROR(__xludf.DUMMYFUNCTION("""COMPUTED_VALUE"""),8.37)</f>
        <v>8.37</v>
      </c>
      <c r="Z2063" s="65">
        <f>IFERROR(__xludf.DUMMYFUNCTION("""COMPUTED_VALUE"""),120732.0)</f>
        <v>120732</v>
      </c>
      <c r="AA2063" s="65" t="str">
        <f>IFERROR(__xludf.DUMMYFUNCTION("""COMPUTED_VALUE"""),"PROV-LMPVT")</f>
        <v>PROV-LMPVT</v>
      </c>
      <c r="AB2063" s="65"/>
      <c r="AC2063" s="65" t="str">
        <f>IFERROR(__xludf.DUMMYFUNCTION("""COMPUTED_VALUE"""),"LIMPIADOR DE PARABRISAS Y VENTANAS")</f>
        <v>LIMPIADOR DE PARABRISAS Y VENTANAS</v>
      </c>
      <c r="AD2063" s="65"/>
      <c r="AE2063" s="65">
        <f>IFERROR(__xludf.DUMMYFUNCTION("""COMPUTED_VALUE"""),3.0)</f>
        <v>3</v>
      </c>
      <c r="AF2063" s="65"/>
      <c r="AG2063" s="65"/>
      <c r="AH2063" s="65"/>
      <c r="AI2063" s="65"/>
      <c r="AJ2063" s="65"/>
      <c r="AK2063" s="65"/>
      <c r="AL2063" s="65"/>
      <c r="AM2063" s="65"/>
      <c r="AN2063" s="65"/>
      <c r="AO2063" s="65"/>
      <c r="AP2063" s="65"/>
      <c r="AQ2063" s="65"/>
      <c r="AR2063" s="65"/>
      <c r="AS2063" s="65"/>
      <c r="AT2063" s="65" t="str">
        <f>IFERROR(__xludf.DUMMYFUNCTION("""COMPUTED_VALUE"""),"SHOPIFY")</f>
        <v>SHOPIFY</v>
      </c>
      <c r="AU2063" s="65" t="str">
        <f>IFERROR(__xludf.DUMMYFUNCTION("""COMPUTED_VALUE"""),"IMPORTEX EC")</f>
        <v>IMPORTEX EC</v>
      </c>
      <c r="AV2063" s="65" t="str">
        <f>IFERROR(__xludf.DUMMYFUNCTION("""COMPUTED_VALUE"""),"6406393724972")</f>
        <v>6406393724972</v>
      </c>
      <c r="AW2063" s="65">
        <f>IFERROR(__xludf.DUMMYFUNCTION("""COMPUTED_VALUE"""),4906.0)</f>
        <v>4906</v>
      </c>
      <c r="AX2063" s="65"/>
      <c r="AY2063" s="65"/>
      <c r="AZ2063" s="65"/>
      <c r="BA2063" s="65"/>
    </row>
    <row r="2064">
      <c r="A2064" s="65" t="str">
        <f>IFERROR(__xludf.DUMMYFUNCTION("""COMPUTED_VALUE"""),"27-03-2026")</f>
        <v>27-03-2026</v>
      </c>
      <c r="B2064" s="65">
        <f>IFERROR(__xludf.DUMMYFUNCTION("""COMPUTED_VALUE"""),4102546.0)</f>
        <v>4102546</v>
      </c>
      <c r="C2064" s="65" t="str">
        <f>IFERROR(__xludf.DUMMYFUNCTION("""COMPUTED_VALUE"""),"09:55")</f>
        <v>09:55</v>
      </c>
      <c r="D2064" s="65" t="str">
        <f>IFERROR(__xludf.DUMMYFUNCTION("""COMPUTED_VALUE"""),"11-01-2026")</f>
        <v>11-01-2026</v>
      </c>
      <c r="E2064" s="65" t="str">
        <f>IFERROR(__xludf.DUMMYFUNCTION("""COMPUTED_VALUE"""),"Carlo bagui Bagui")</f>
        <v>Carlo bagui Bagui</v>
      </c>
      <c r="F2064" s="65" t="str">
        <f>IFERROR(__xludf.DUMMYFUNCTION("""COMPUTED_VALUE"""),"980052918")</f>
        <v>980052918</v>
      </c>
      <c r="G2064" s="65" t="str">
        <f>IFERROR(__xludf.DUMMYFUNCTION("""COMPUTED_VALUE"""),"baguicarlos16@gmail.com")</f>
        <v>baguicarlos16@gmail.com</v>
      </c>
      <c r="H2064" s="65"/>
      <c r="I2064" s="65"/>
      <c r="J2064" s="65" t="str">
        <f>IFERROR(__xludf.DUMMYFUNCTION("""COMPUTED_VALUE"""),"D001230400")</f>
        <v>D001230400</v>
      </c>
      <c r="K2064" s="65" t="str">
        <f>IFERROR(__xludf.DUMMYFUNCTION("""COMPUTED_VALUE"""),"ENTREGADO")</f>
        <v>ENTREGADO</v>
      </c>
      <c r="L2064" s="65" t="str">
        <f>IFERROR(__xludf.DUMMYFUNCTION("""COMPUTED_VALUE"""),"CON RECAUDO")</f>
        <v>CON RECAUDO</v>
      </c>
      <c r="M2064" s="65" t="str">
        <f>IFERROR(__xludf.DUMMYFUNCTION("""COMPUTED_VALUE"""),"ESMERALDAS")</f>
        <v>ESMERALDAS</v>
      </c>
      <c r="N2064" s="65" t="str">
        <f>IFERROR(__xludf.DUMMYFUNCTION("""COMPUTED_VALUE"""),"ESMERALDAS")</f>
        <v>ESMERALDAS</v>
      </c>
      <c r="O2064" s="65" t="str">
        <f>IFERROR(__xludf.DUMMYFUNCTION("""COMPUTED_VALUE"""),"Ricauter  entre sucre y maleco y - REF : Imprenta el rayo , Frente ala escuela margarita corte")</f>
        <v>Ricauter  entre sucre y maleco y - REF : Imprenta el rayo , Frente ala escuela margarita corte</v>
      </c>
      <c r="P2064" s="65"/>
      <c r="Q2064" s="65" t="str">
        <f>IFERROR(__xludf.DUMMYFUNCTION("""COMPUTED_VALUE"""),"GINTRACOM")</f>
        <v>GINTRACOM</v>
      </c>
      <c r="R2064" s="65">
        <f>IFERROR(__xludf.DUMMYFUNCTION("""COMPUTED_VALUE"""),22.0)</f>
        <v>22</v>
      </c>
      <c r="S2064" s="65">
        <f>IFERROR(__xludf.DUMMYFUNCTION("""COMPUTED_VALUE"""),10.96)</f>
        <v>10.96</v>
      </c>
      <c r="T2064" s="65">
        <f>IFERROR(__xludf.DUMMYFUNCTION("""COMPUTED_VALUE"""),5.84)</f>
        <v>5.84</v>
      </c>
      <c r="U2064" s="65">
        <f>IFERROR(__xludf.DUMMYFUNCTION("""COMPUTED_VALUE"""),0.0)</f>
        <v>0</v>
      </c>
      <c r="V2064" s="65">
        <f>IFERROR(__xludf.DUMMYFUNCTION("""COMPUTED_VALUE"""),0.0)</f>
        <v>0</v>
      </c>
      <c r="W2064" s="65">
        <f>IFERROR(__xludf.DUMMYFUNCTION("""COMPUTED_VALUE"""),0.0)</f>
        <v>0</v>
      </c>
      <c r="X2064" s="65">
        <f>IFERROR(__xludf.DUMMYFUNCTION("""COMPUTED_VALUE"""),2.6)</f>
        <v>2.6</v>
      </c>
      <c r="Y2064" s="65">
        <f>IFERROR(__xludf.DUMMYFUNCTION("""COMPUTED_VALUE"""),5.2)</f>
        <v>5.2</v>
      </c>
      <c r="Z2064" s="65">
        <f>IFERROR(__xludf.DUMMYFUNCTION("""COMPUTED_VALUE"""),121983.0)</f>
        <v>121983</v>
      </c>
      <c r="AA2064" s="65" t="str">
        <f>IFERROR(__xludf.DUMMYFUNCTION("""COMPUTED_VALUE"""),"PROV-CHLLCF")</f>
        <v>PROV-CHLLCF</v>
      </c>
      <c r="AB2064" s="65"/>
      <c r="AC2064" s="65" t="str">
        <f>IFERROR(__xludf.DUMMYFUNCTION("""COMPUTED_VALUE"""),"CUCHILLO PARA CHEF")</f>
        <v>CUCHILLO PARA CHEF</v>
      </c>
      <c r="AD2064" s="65"/>
      <c r="AE2064" s="65">
        <f>IFERROR(__xludf.DUMMYFUNCTION("""COMPUTED_VALUE"""),2.0)</f>
        <v>2</v>
      </c>
      <c r="AF2064" s="65"/>
      <c r="AG2064" s="65"/>
      <c r="AH2064" s="65"/>
      <c r="AI2064" s="65"/>
      <c r="AJ2064" s="65"/>
      <c r="AK2064" s="65"/>
      <c r="AL2064" s="65"/>
      <c r="AM2064" s="65"/>
      <c r="AN2064" s="65" t="str">
        <f>IFERROR(__xludf.DUMMYFUNCTION("""COMPUTED_VALUE"""),"09:50")</f>
        <v>09:50</v>
      </c>
      <c r="AO2064" s="65" t="str">
        <f>IFERROR(__xludf.DUMMYFUNCTION("""COMPUTED_VALUE"""),"20-01-2026")</f>
        <v>20-01-2026</v>
      </c>
      <c r="AP2064" s="65" t="str">
        <f>IFERROR(__xludf.DUMMYFUNCTION("""COMPUTED_VALUE"""),"ENTREGADA GINTRACOM")</f>
        <v>ENTREGADA GINTRACOM</v>
      </c>
      <c r="AQ2064" s="65" t="str">
        <f>IFERROR(__xludf.DUMMYFUNCTION("""COMPUTED_VALUE"""),"ENTREGADA GINTRACOM")</f>
        <v>ENTREGADA GINTRACOM</v>
      </c>
      <c r="AR2064" s="65"/>
      <c r="AS2064" s="65"/>
      <c r="AT2064" s="65" t="str">
        <f>IFERROR(__xludf.DUMMYFUNCTION("""COMPUTED_VALUE"""),"SHOPIFY")</f>
        <v>SHOPIFY</v>
      </c>
      <c r="AU2064" s="65" t="str">
        <f>IFERROR(__xludf.DUMMYFUNCTION("""COMPUTED_VALUE"""),"IMPORTEX EC")</f>
        <v>IMPORTEX EC</v>
      </c>
      <c r="AV2064" s="65" t="str">
        <f>IFERROR(__xludf.DUMMYFUNCTION("""COMPUTED_VALUE"""),"6406363480108")</f>
        <v>6406363480108</v>
      </c>
      <c r="AW2064" s="65">
        <f>IFERROR(__xludf.DUMMYFUNCTION("""COMPUTED_VALUE"""),4905.0)</f>
        <v>4905</v>
      </c>
      <c r="AX2064" s="65"/>
      <c r="AY2064" s="65" t="str">
        <f>IFERROR(__xludf.DUMMYFUNCTION("""COMPUTED_VALUE"""),"16/01/2026")</f>
        <v>16/01/2026</v>
      </c>
      <c r="AZ2064" s="65"/>
      <c r="BA2064" s="65"/>
    </row>
    <row r="2065">
      <c r="A2065" s="65" t="str">
        <f>IFERROR(__xludf.DUMMYFUNCTION("""COMPUTED_VALUE"""),"27-03-2026")</f>
        <v>27-03-2026</v>
      </c>
      <c r="B2065" s="65">
        <f>IFERROR(__xludf.DUMMYFUNCTION("""COMPUTED_VALUE"""),4102279.0)</f>
        <v>4102279</v>
      </c>
      <c r="C2065" s="65" t="str">
        <f>IFERROR(__xludf.DUMMYFUNCTION("""COMPUTED_VALUE"""),"09:26")</f>
        <v>09:26</v>
      </c>
      <c r="D2065" s="65" t="str">
        <f>IFERROR(__xludf.DUMMYFUNCTION("""COMPUTED_VALUE"""),"11-01-2026")</f>
        <v>11-01-2026</v>
      </c>
      <c r="E2065" s="65" t="str">
        <f>IFERROR(__xludf.DUMMYFUNCTION("""COMPUTED_VALUE"""),"Laura Carrera")</f>
        <v>Laura Carrera</v>
      </c>
      <c r="F2065" s="65" t="str">
        <f>IFERROR(__xludf.DUMMYFUNCTION("""COMPUTED_VALUE"""),"997119670")</f>
        <v>997119670</v>
      </c>
      <c r="G2065" s="65" t="str">
        <f>IFERROR(__xludf.DUMMYFUNCTION("""COMPUTED_VALUE"""),"lcarrera57@gmail.com")</f>
        <v>lcarrera57@gmail.com</v>
      </c>
      <c r="H2065" s="65"/>
      <c r="I2065" s="65"/>
      <c r="J2065" s="65" t="str">
        <f>IFERROR(__xludf.DUMMYFUNCTION("""COMPUTED_VALUE"""),"D001223122")</f>
        <v>D001223122</v>
      </c>
      <c r="K2065" s="65" t="str">
        <f>IFERROR(__xludf.DUMMYFUNCTION("""COMPUTED_VALUE"""),"ENTREGADO")</f>
        <v>ENTREGADO</v>
      </c>
      <c r="L2065" s="65" t="str">
        <f>IFERROR(__xludf.DUMMYFUNCTION("""COMPUTED_VALUE"""),"CON RECAUDO")</f>
        <v>CON RECAUDO</v>
      </c>
      <c r="M2065" s="65" t="str">
        <f>IFERROR(__xludf.DUMMYFUNCTION("""COMPUTED_VALUE"""),"AZUAY")</f>
        <v>AZUAY</v>
      </c>
      <c r="N2065" s="65" t="str">
        <f>IFERROR(__xludf.DUMMYFUNCTION("""COMPUTED_VALUE"""),"CUENCA")</f>
        <v>CUENCA</v>
      </c>
      <c r="O2065" s="65" t="str">
        <f>IFERROR(__xludf.DUMMYFUNCTION("""COMPUTED_VALUE"""),"Lorenzo Piedra y Juan Cuesta Sector la Gloria, a 1 cuadra de Panaderia el Faraon de la Av Pichincha -")</f>
        <v>Lorenzo Piedra y Juan Cuesta Sector la Gloria, a 1 cuadra de Panaderia el Faraon de la Av Pichincha -</v>
      </c>
      <c r="P2065" s="65"/>
      <c r="Q2065" s="65" t="str">
        <f>IFERROR(__xludf.DUMMYFUNCTION("""COMPUTED_VALUE"""),"GINTRACOM")</f>
        <v>GINTRACOM</v>
      </c>
      <c r="R2065" s="65">
        <f>IFERROR(__xludf.DUMMYFUNCTION("""COMPUTED_VALUE"""),32.0)</f>
        <v>32</v>
      </c>
      <c r="S2065" s="65">
        <f>IFERROR(__xludf.DUMMYFUNCTION("""COMPUTED_VALUE"""),15.36)</f>
        <v>15.36</v>
      </c>
      <c r="T2065" s="65">
        <f>IFERROR(__xludf.DUMMYFUNCTION("""COMPUTED_VALUE"""),6.24)</f>
        <v>6.24</v>
      </c>
      <c r="U2065" s="65">
        <f>IFERROR(__xludf.DUMMYFUNCTION("""COMPUTED_VALUE"""),0.0)</f>
        <v>0</v>
      </c>
      <c r="V2065" s="65">
        <f>IFERROR(__xludf.DUMMYFUNCTION("""COMPUTED_VALUE"""),0.0)</f>
        <v>0</v>
      </c>
      <c r="W2065" s="65">
        <f>IFERROR(__xludf.DUMMYFUNCTION("""COMPUTED_VALUE"""),0.0)</f>
        <v>0</v>
      </c>
      <c r="X2065" s="65">
        <f>IFERROR(__xludf.DUMMYFUNCTION("""COMPUTED_VALUE"""),2.6)</f>
        <v>2.6</v>
      </c>
      <c r="Y2065" s="65">
        <f>IFERROR(__xludf.DUMMYFUNCTION("""COMPUTED_VALUE"""),10.4)</f>
        <v>10.4</v>
      </c>
      <c r="Z2065" s="65">
        <f>IFERROR(__xludf.DUMMYFUNCTION("""COMPUTED_VALUE"""),121983.0)</f>
        <v>121983</v>
      </c>
      <c r="AA2065" s="65" t="str">
        <f>IFERROR(__xludf.DUMMYFUNCTION("""COMPUTED_VALUE"""),"PROV-CHLLCF")</f>
        <v>PROV-CHLLCF</v>
      </c>
      <c r="AB2065" s="65"/>
      <c r="AC2065" s="65" t="str">
        <f>IFERROR(__xludf.DUMMYFUNCTION("""COMPUTED_VALUE"""),"CUCHILLO PARA CHEF")</f>
        <v>CUCHILLO PARA CHEF</v>
      </c>
      <c r="AD2065" s="65"/>
      <c r="AE2065" s="65">
        <f>IFERROR(__xludf.DUMMYFUNCTION("""COMPUTED_VALUE"""),4.0)</f>
        <v>4</v>
      </c>
      <c r="AF2065" s="65"/>
      <c r="AG2065" s="65"/>
      <c r="AH2065" s="65"/>
      <c r="AI2065" s="65"/>
      <c r="AJ2065" s="65"/>
      <c r="AK2065" s="65"/>
      <c r="AL2065" s="65"/>
      <c r="AM2065" s="65"/>
      <c r="AN2065" s="65" t="str">
        <f>IFERROR(__xludf.DUMMYFUNCTION("""COMPUTED_VALUE"""),"12:25")</f>
        <v>12:25</v>
      </c>
      <c r="AO2065" s="65" t="str">
        <f>IFERROR(__xludf.DUMMYFUNCTION("""COMPUTED_VALUE"""),"19-01-2026")</f>
        <v>19-01-2026</v>
      </c>
      <c r="AP2065" s="65" t="str">
        <f>IFERROR(__xludf.DUMMYFUNCTION("""COMPUTED_VALUE"""),"ENTREGADA GINTRACOM")</f>
        <v>ENTREGADA GINTRACOM</v>
      </c>
      <c r="AQ2065" s="65" t="str">
        <f>IFERROR(__xludf.DUMMYFUNCTION("""COMPUTED_VALUE"""),"ENTREGADA GINTRACOM")</f>
        <v>ENTREGADA GINTRACOM</v>
      </c>
      <c r="AR2065" s="65"/>
      <c r="AS2065" s="65"/>
      <c r="AT2065" s="65" t="str">
        <f>IFERROR(__xludf.DUMMYFUNCTION("""COMPUTED_VALUE"""),"SHOPIFY")</f>
        <v>SHOPIFY</v>
      </c>
      <c r="AU2065" s="65" t="str">
        <f>IFERROR(__xludf.DUMMYFUNCTION("""COMPUTED_VALUE"""),"IMPORTEX EC")</f>
        <v>IMPORTEX EC</v>
      </c>
      <c r="AV2065" s="65" t="str">
        <f>IFERROR(__xludf.DUMMYFUNCTION("""COMPUTED_VALUE"""),"6406312099884")</f>
        <v>6406312099884</v>
      </c>
      <c r="AW2065" s="65">
        <f>IFERROR(__xludf.DUMMYFUNCTION("""COMPUTED_VALUE"""),4903.0)</f>
        <v>4903</v>
      </c>
      <c r="AX2065" s="65"/>
      <c r="AY2065" s="65" t="str">
        <f>IFERROR(__xludf.DUMMYFUNCTION("""COMPUTED_VALUE"""),"14/01/2026")</f>
        <v>14/01/2026</v>
      </c>
      <c r="AZ2065" s="65"/>
      <c r="BA2065" s="65"/>
    </row>
    <row r="2066">
      <c r="A2066" s="65" t="str">
        <f>IFERROR(__xludf.DUMMYFUNCTION("""COMPUTED_VALUE"""),"27-03-2026")</f>
        <v>27-03-2026</v>
      </c>
      <c r="B2066" s="65">
        <f>IFERROR(__xludf.DUMMYFUNCTION("""COMPUTED_VALUE"""),4102274.0)</f>
        <v>4102274</v>
      </c>
      <c r="C2066" s="65" t="str">
        <f>IFERROR(__xludf.DUMMYFUNCTION("""COMPUTED_VALUE"""),"09:25")</f>
        <v>09:25</v>
      </c>
      <c r="D2066" s="65" t="str">
        <f>IFERROR(__xludf.DUMMYFUNCTION("""COMPUTED_VALUE"""),"11-01-2026")</f>
        <v>11-01-2026</v>
      </c>
      <c r="E2066" s="65" t="str">
        <f>IFERROR(__xludf.DUMMYFUNCTION("""COMPUTED_VALUE"""),"Maricela Durán")</f>
        <v>Maricela Durán</v>
      </c>
      <c r="F2066" s="65" t="str">
        <f>IFERROR(__xludf.DUMMYFUNCTION("""COMPUTED_VALUE"""),"984861362")</f>
        <v>984861362</v>
      </c>
      <c r="G2066" s="65" t="str">
        <f>IFERROR(__xludf.DUMMYFUNCTION("""COMPUTED_VALUE"""),"cela19761@gmail.com")</f>
        <v>cela19761@gmail.com</v>
      </c>
      <c r="H2066" s="65"/>
      <c r="I2066" s="65"/>
      <c r="J2066" s="65"/>
      <c r="K2066" s="65" t="str">
        <f>IFERROR(__xludf.DUMMYFUNCTION("""COMPUTED_VALUE"""),"PENDIENTE CONFIRMACION")</f>
        <v>PENDIENTE CONFIRMACION</v>
      </c>
      <c r="L2066" s="65" t="str">
        <f>IFERROR(__xludf.DUMMYFUNCTION("""COMPUTED_VALUE"""),"CON RECAUDO")</f>
        <v>CON RECAUDO</v>
      </c>
      <c r="M2066" s="65" t="str">
        <f>IFERROR(__xludf.DUMMYFUNCTION("""COMPUTED_VALUE"""),"MANABI")</f>
        <v>MANABI</v>
      </c>
      <c r="N2066" s="65" t="str">
        <f>IFERROR(__xludf.DUMMYFUNCTION("""COMPUTED_VALUE"""),"MANTA")</f>
        <v>MANTA</v>
      </c>
      <c r="O2066" s="65" t="str">
        <f>IFERROR(__xludf.DUMMYFUNCTION("""COMPUTED_VALUE"""),"Calle 105 y ave 109 Tarqui -")</f>
        <v>Calle 105 y ave 109 Tarqui -</v>
      </c>
      <c r="P2066" s="65"/>
      <c r="Q2066" s="65" t="str">
        <f>IFERROR(__xludf.DUMMYFUNCTION("""COMPUTED_VALUE"""),"GINTRACOM")</f>
        <v>GINTRACOM</v>
      </c>
      <c r="R2066" s="65">
        <f>IFERROR(__xludf.DUMMYFUNCTION("""COMPUTED_VALUE"""),25.0)</f>
        <v>25</v>
      </c>
      <c r="S2066" s="65"/>
      <c r="T2066" s="65">
        <f>IFERROR(__xludf.DUMMYFUNCTION("""COMPUTED_VALUE"""),5.96)</f>
        <v>5.96</v>
      </c>
      <c r="U2066" s="65">
        <f>IFERROR(__xludf.DUMMYFUNCTION("""COMPUTED_VALUE"""),0.0)</f>
        <v>0</v>
      </c>
      <c r="V2066" s="65">
        <f>IFERROR(__xludf.DUMMYFUNCTION("""COMPUTED_VALUE"""),0.0)</f>
        <v>0</v>
      </c>
      <c r="W2066" s="65">
        <f>IFERROR(__xludf.DUMMYFUNCTION("""COMPUTED_VALUE"""),0.0)</f>
        <v>0</v>
      </c>
      <c r="X2066" s="65">
        <f>IFERROR(__xludf.DUMMYFUNCTION("""COMPUTED_VALUE"""),2.79)</f>
        <v>2.79</v>
      </c>
      <c r="Y2066" s="65">
        <f>IFERROR(__xludf.DUMMYFUNCTION("""COMPUTED_VALUE"""),5.58)</f>
        <v>5.58</v>
      </c>
      <c r="Z2066" s="65">
        <f>IFERROR(__xludf.DUMMYFUNCTION("""COMPUTED_VALUE"""),120732.0)</f>
        <v>120732</v>
      </c>
      <c r="AA2066" s="65" t="str">
        <f>IFERROR(__xludf.DUMMYFUNCTION("""COMPUTED_VALUE"""),"PROV-LMPVT")</f>
        <v>PROV-LMPVT</v>
      </c>
      <c r="AB2066" s="65"/>
      <c r="AC2066" s="65" t="str">
        <f>IFERROR(__xludf.DUMMYFUNCTION("""COMPUTED_VALUE"""),"LIMPIADOR DE PARABRISAS Y VENTANAS")</f>
        <v>LIMPIADOR DE PARABRISAS Y VENTANAS</v>
      </c>
      <c r="AD2066" s="65"/>
      <c r="AE2066" s="65">
        <f>IFERROR(__xludf.DUMMYFUNCTION("""COMPUTED_VALUE"""),2.0)</f>
        <v>2</v>
      </c>
      <c r="AF2066" s="65"/>
      <c r="AG2066" s="65"/>
      <c r="AH2066" s="65"/>
      <c r="AI2066" s="65"/>
      <c r="AJ2066" s="65"/>
      <c r="AK2066" s="65"/>
      <c r="AL2066" s="65"/>
      <c r="AM2066" s="65"/>
      <c r="AN2066" s="65"/>
      <c r="AO2066" s="65"/>
      <c r="AP2066" s="65"/>
      <c r="AQ2066" s="65"/>
      <c r="AR2066" s="65"/>
      <c r="AS2066" s="65"/>
      <c r="AT2066" s="65" t="str">
        <f>IFERROR(__xludf.DUMMYFUNCTION("""COMPUTED_VALUE"""),"SHOPIFY")</f>
        <v>SHOPIFY</v>
      </c>
      <c r="AU2066" s="65" t="str">
        <f>IFERROR(__xludf.DUMMYFUNCTION("""COMPUTED_VALUE"""),"IMPORTEX EC")</f>
        <v>IMPORTEX EC</v>
      </c>
      <c r="AV2066" s="65" t="str">
        <f>IFERROR(__xludf.DUMMYFUNCTION("""COMPUTED_VALUE"""),"6406310690860")</f>
        <v>6406310690860</v>
      </c>
      <c r="AW2066" s="65">
        <f>IFERROR(__xludf.DUMMYFUNCTION("""COMPUTED_VALUE"""),4902.0)</f>
        <v>4902</v>
      </c>
      <c r="AX2066" s="65"/>
      <c r="AY2066" s="65"/>
      <c r="AZ2066" s="65"/>
      <c r="BA2066" s="65"/>
    </row>
    <row r="2067">
      <c r="A2067" s="65" t="str">
        <f>IFERROR(__xludf.DUMMYFUNCTION("""COMPUTED_VALUE"""),"27-03-2026")</f>
        <v>27-03-2026</v>
      </c>
      <c r="B2067" s="65">
        <f>IFERROR(__xludf.DUMMYFUNCTION("""COMPUTED_VALUE"""),4102151.0)</f>
        <v>4102151</v>
      </c>
      <c r="C2067" s="65" t="str">
        <f>IFERROR(__xludf.DUMMYFUNCTION("""COMPUTED_VALUE"""),"09:12")</f>
        <v>09:12</v>
      </c>
      <c r="D2067" s="65" t="str">
        <f>IFERROR(__xludf.DUMMYFUNCTION("""COMPUTED_VALUE"""),"11-01-2026")</f>
        <v>11-01-2026</v>
      </c>
      <c r="E2067" s="65" t="str">
        <f>IFERROR(__xludf.DUMMYFUNCTION("""COMPUTED_VALUE"""),"Braulio Roberto")</f>
        <v>Braulio Roberto</v>
      </c>
      <c r="F2067" s="65" t="str">
        <f>IFERROR(__xludf.DUMMYFUNCTION("""COMPUTED_VALUE"""),"980150624")</f>
        <v>980150624</v>
      </c>
      <c r="G2067" s="65" t="str">
        <f>IFERROR(__xludf.DUMMYFUNCTION("""COMPUTED_VALUE"""),"braulioaviles77@gmail.com")</f>
        <v>braulioaviles77@gmail.com</v>
      </c>
      <c r="H2067" s="65"/>
      <c r="I2067" s="65"/>
      <c r="J2067" s="65"/>
      <c r="K2067" s="65" t="str">
        <f>IFERROR(__xludf.DUMMYFUNCTION("""COMPUTED_VALUE"""),"PENDIENTE CONFIRMACION")</f>
        <v>PENDIENTE CONFIRMACION</v>
      </c>
      <c r="L2067" s="65" t="str">
        <f>IFERROR(__xludf.DUMMYFUNCTION("""COMPUTED_VALUE"""),"CON RECAUDO")</f>
        <v>CON RECAUDO</v>
      </c>
      <c r="M2067" s="65" t="str">
        <f>IFERROR(__xludf.DUMMYFUNCTION("""COMPUTED_VALUE"""),"SANTA ELENA")</f>
        <v>SANTA ELENA</v>
      </c>
      <c r="N2067" s="65" t="str">
        <f>IFERROR(__xludf.DUMMYFUNCTION("""COMPUTED_VALUE"""),"SANTA ELENA")</f>
        <v>SANTA ELENA</v>
      </c>
      <c r="O2067" s="65" t="str">
        <f>IFERROR(__xludf.DUMMYFUNCTION("""COMPUTED_VALUE"""),"avenida 9 muey salinas y Calle 17 -")</f>
        <v>avenida 9 muey salinas y Calle 17 -</v>
      </c>
      <c r="P2067" s="65"/>
      <c r="Q2067" s="65" t="str">
        <f>IFERROR(__xludf.DUMMYFUNCTION("""COMPUTED_VALUE"""),"GINTRACOM")</f>
        <v>GINTRACOM</v>
      </c>
      <c r="R2067" s="65">
        <f>IFERROR(__xludf.DUMMYFUNCTION("""COMPUTED_VALUE"""),25.0)</f>
        <v>25</v>
      </c>
      <c r="S2067" s="65"/>
      <c r="T2067" s="65">
        <f>IFERROR(__xludf.DUMMYFUNCTION("""COMPUTED_VALUE"""),5.96)</f>
        <v>5.96</v>
      </c>
      <c r="U2067" s="65">
        <f>IFERROR(__xludf.DUMMYFUNCTION("""COMPUTED_VALUE"""),0.0)</f>
        <v>0</v>
      </c>
      <c r="V2067" s="65">
        <f>IFERROR(__xludf.DUMMYFUNCTION("""COMPUTED_VALUE"""),0.0)</f>
        <v>0</v>
      </c>
      <c r="W2067" s="65">
        <f>IFERROR(__xludf.DUMMYFUNCTION("""COMPUTED_VALUE"""),0.0)</f>
        <v>0</v>
      </c>
      <c r="X2067" s="65">
        <f>IFERROR(__xludf.DUMMYFUNCTION("""COMPUTED_VALUE"""),2.79)</f>
        <v>2.79</v>
      </c>
      <c r="Y2067" s="65">
        <f>IFERROR(__xludf.DUMMYFUNCTION("""COMPUTED_VALUE"""),5.58)</f>
        <v>5.58</v>
      </c>
      <c r="Z2067" s="65">
        <f>IFERROR(__xludf.DUMMYFUNCTION("""COMPUTED_VALUE"""),120732.0)</f>
        <v>120732</v>
      </c>
      <c r="AA2067" s="65" t="str">
        <f>IFERROR(__xludf.DUMMYFUNCTION("""COMPUTED_VALUE"""),"PROV-LMPVT")</f>
        <v>PROV-LMPVT</v>
      </c>
      <c r="AB2067" s="65"/>
      <c r="AC2067" s="65" t="str">
        <f>IFERROR(__xludf.DUMMYFUNCTION("""COMPUTED_VALUE"""),"LIMPIADOR DE PARABRISAS Y VENTANAS")</f>
        <v>LIMPIADOR DE PARABRISAS Y VENTANAS</v>
      </c>
      <c r="AD2067" s="65"/>
      <c r="AE2067" s="65">
        <f>IFERROR(__xludf.DUMMYFUNCTION("""COMPUTED_VALUE"""),2.0)</f>
        <v>2</v>
      </c>
      <c r="AF2067" s="65"/>
      <c r="AG2067" s="65"/>
      <c r="AH2067" s="65"/>
      <c r="AI2067" s="65"/>
      <c r="AJ2067" s="65"/>
      <c r="AK2067" s="65"/>
      <c r="AL2067" s="65"/>
      <c r="AM2067" s="65"/>
      <c r="AN2067" s="65"/>
      <c r="AO2067" s="65"/>
      <c r="AP2067" s="65"/>
      <c r="AQ2067" s="65"/>
      <c r="AR2067" s="65"/>
      <c r="AS2067" s="65"/>
      <c r="AT2067" s="65" t="str">
        <f>IFERROR(__xludf.DUMMYFUNCTION("""COMPUTED_VALUE"""),"SHOPIFY")</f>
        <v>SHOPIFY</v>
      </c>
      <c r="AU2067" s="65" t="str">
        <f>IFERROR(__xludf.DUMMYFUNCTION("""COMPUTED_VALUE"""),"IMPORTEX EC")</f>
        <v>IMPORTEX EC</v>
      </c>
      <c r="AV2067" s="65" t="str">
        <f>IFERROR(__xludf.DUMMYFUNCTION("""COMPUTED_VALUE"""),"6406285852716")</f>
        <v>6406285852716</v>
      </c>
      <c r="AW2067" s="65">
        <f>IFERROR(__xludf.DUMMYFUNCTION("""COMPUTED_VALUE"""),4901.0)</f>
        <v>4901</v>
      </c>
      <c r="AX2067" s="65"/>
      <c r="AY2067" s="65"/>
      <c r="AZ2067" s="65"/>
      <c r="BA2067" s="65"/>
    </row>
    <row r="2068">
      <c r="A2068" s="65" t="str">
        <f>IFERROR(__xludf.DUMMYFUNCTION("""COMPUTED_VALUE"""),"27-03-2026")</f>
        <v>27-03-2026</v>
      </c>
      <c r="B2068" s="65">
        <f>IFERROR(__xludf.DUMMYFUNCTION("""COMPUTED_VALUE"""),4101837.0)</f>
        <v>4101837</v>
      </c>
      <c r="C2068" s="65" t="str">
        <f>IFERROR(__xludf.DUMMYFUNCTION("""COMPUTED_VALUE"""),"08:38")</f>
        <v>08:38</v>
      </c>
      <c r="D2068" s="65" t="str">
        <f>IFERROR(__xludf.DUMMYFUNCTION("""COMPUTED_VALUE"""),"11-01-2026")</f>
        <v>11-01-2026</v>
      </c>
      <c r="E2068" s="65" t="str">
        <f>IFERROR(__xludf.DUMMYFUNCTION("""COMPUTED_VALUE"""),"Consuelo Vega")</f>
        <v>Consuelo Vega</v>
      </c>
      <c r="F2068" s="65" t="str">
        <f>IFERROR(__xludf.DUMMYFUNCTION("""COMPUTED_VALUE"""),"999936943")</f>
        <v>999936943</v>
      </c>
      <c r="G2068" s="65" t="str">
        <f>IFERROR(__xludf.DUMMYFUNCTION("""COMPUTED_VALUE"""),"cvegap@panchonet.net")</f>
        <v>cvegap@panchonet.net</v>
      </c>
      <c r="H2068" s="65"/>
      <c r="I2068" s="65"/>
      <c r="J2068" s="65" t="str">
        <f>IFERROR(__xludf.DUMMYFUNCTION("""COMPUTED_VALUE"""),"D001224312")</f>
        <v>D001224312</v>
      </c>
      <c r="K2068" s="65" t="str">
        <f>IFERROR(__xludf.DUMMYFUNCTION("""COMPUTED_VALUE"""),"ENTREGADO")</f>
        <v>ENTREGADO</v>
      </c>
      <c r="L2068" s="65" t="str">
        <f>IFERROR(__xludf.DUMMYFUNCTION("""COMPUTED_VALUE"""),"CON RECAUDO")</f>
        <v>CON RECAUDO</v>
      </c>
      <c r="M2068" s="65" t="str">
        <f>IFERROR(__xludf.DUMMYFUNCTION("""COMPUTED_VALUE"""),"PICHINCHA")</f>
        <v>PICHINCHA</v>
      </c>
      <c r="N2068" s="65" t="str">
        <f>IFERROR(__xludf.DUMMYFUNCTION("""COMPUTED_VALUE"""),"CUMBAYA")</f>
        <v>CUMBAYA</v>
      </c>
      <c r="O2068" s="65" t="str">
        <f>IFERROR(__xludf.DUMMYFUNCTION("""COMPUTED_VALUE"""),"Urbanización Vista Grande calle Elisa Ayala S18-53 Miravalle -")</f>
        <v>Urbanización Vista Grande calle Elisa Ayala S18-53 Miravalle -</v>
      </c>
      <c r="P2068" s="65"/>
      <c r="Q2068" s="65" t="str">
        <f>IFERROR(__xludf.DUMMYFUNCTION("""COMPUTED_VALUE"""),"GINTRACOM")</f>
        <v>GINTRACOM</v>
      </c>
      <c r="R2068" s="65">
        <f>IFERROR(__xludf.DUMMYFUNCTION("""COMPUTED_VALUE"""),20.0)</f>
        <v>20</v>
      </c>
      <c r="S2068" s="65">
        <f>IFERROR(__xludf.DUMMYFUNCTION("""COMPUTED_VALUE"""),11.45)</f>
        <v>11.45</v>
      </c>
      <c r="T2068" s="65">
        <f>IFERROR(__xludf.DUMMYFUNCTION("""COMPUTED_VALUE"""),5.76)</f>
        <v>5.76</v>
      </c>
      <c r="U2068" s="65">
        <f>IFERROR(__xludf.DUMMYFUNCTION("""COMPUTED_VALUE"""),0.0)</f>
        <v>0</v>
      </c>
      <c r="V2068" s="65">
        <f>IFERROR(__xludf.DUMMYFUNCTION("""COMPUTED_VALUE"""),0.0)</f>
        <v>0</v>
      </c>
      <c r="W2068" s="65">
        <f>IFERROR(__xludf.DUMMYFUNCTION("""COMPUTED_VALUE"""),0.0)</f>
        <v>0</v>
      </c>
      <c r="X2068" s="65">
        <f>IFERROR(__xludf.DUMMYFUNCTION("""COMPUTED_VALUE"""),2.79)</f>
        <v>2.79</v>
      </c>
      <c r="Y2068" s="65">
        <f>IFERROR(__xludf.DUMMYFUNCTION("""COMPUTED_VALUE"""),2.79)</f>
        <v>2.79</v>
      </c>
      <c r="Z2068" s="65">
        <f>IFERROR(__xludf.DUMMYFUNCTION("""COMPUTED_VALUE"""),120732.0)</f>
        <v>120732</v>
      </c>
      <c r="AA2068" s="65" t="str">
        <f>IFERROR(__xludf.DUMMYFUNCTION("""COMPUTED_VALUE"""),"PROV-LMPVT")</f>
        <v>PROV-LMPVT</v>
      </c>
      <c r="AB2068" s="65"/>
      <c r="AC2068" s="65" t="str">
        <f>IFERROR(__xludf.DUMMYFUNCTION("""COMPUTED_VALUE"""),"LIMPIADOR DE PARABRISAS Y VENTANAS")</f>
        <v>LIMPIADOR DE PARABRISAS Y VENTANAS</v>
      </c>
      <c r="AD2068" s="65"/>
      <c r="AE2068" s="65">
        <f>IFERROR(__xludf.DUMMYFUNCTION("""COMPUTED_VALUE"""),1.0)</f>
        <v>1</v>
      </c>
      <c r="AF2068" s="65"/>
      <c r="AG2068" s="65"/>
      <c r="AH2068" s="65"/>
      <c r="AI2068" s="65"/>
      <c r="AJ2068" s="65"/>
      <c r="AK2068" s="65"/>
      <c r="AL2068" s="65"/>
      <c r="AM2068" s="65"/>
      <c r="AN2068" s="65" t="str">
        <f>IFERROR(__xludf.DUMMYFUNCTION("""COMPUTED_VALUE"""),"09:58")</f>
        <v>09:58</v>
      </c>
      <c r="AO2068" s="65" t="str">
        <f>IFERROR(__xludf.DUMMYFUNCTION("""COMPUTED_VALUE"""),"15-01-2026")</f>
        <v>15-01-2026</v>
      </c>
      <c r="AP2068" s="65" t="str">
        <f>IFERROR(__xludf.DUMMYFUNCTION("""COMPUTED_VALUE"""),"ENTREGADA GINTRACOM")</f>
        <v>ENTREGADA GINTRACOM</v>
      </c>
      <c r="AQ2068" s="65" t="str">
        <f>IFERROR(__xludf.DUMMYFUNCTION("""COMPUTED_VALUE"""),"ENTREGADA GINTRACOM")</f>
        <v>ENTREGADA GINTRACOM</v>
      </c>
      <c r="AR2068" s="65"/>
      <c r="AS2068" s="65"/>
      <c r="AT2068" s="65" t="str">
        <f>IFERROR(__xludf.DUMMYFUNCTION("""COMPUTED_VALUE"""),"SHOPIFY")</f>
        <v>SHOPIFY</v>
      </c>
      <c r="AU2068" s="65" t="str">
        <f>IFERROR(__xludf.DUMMYFUNCTION("""COMPUTED_VALUE"""),"IMPORTEX EC")</f>
        <v>IMPORTEX EC</v>
      </c>
      <c r="AV2068" s="65" t="str">
        <f>IFERROR(__xludf.DUMMYFUNCTION("""COMPUTED_VALUE"""),"6406241812524")</f>
        <v>6406241812524</v>
      </c>
      <c r="AW2068" s="65">
        <f>IFERROR(__xludf.DUMMYFUNCTION("""COMPUTED_VALUE"""),4899.0)</f>
        <v>4899</v>
      </c>
      <c r="AX2068" s="65"/>
      <c r="AY2068" s="65" t="str">
        <f>IFERROR(__xludf.DUMMYFUNCTION("""COMPUTED_VALUE"""),"14/01/2026")</f>
        <v>14/01/2026</v>
      </c>
      <c r="AZ2068" s="65"/>
      <c r="BA2068" s="65"/>
    </row>
    <row r="2069">
      <c r="A2069" s="65" t="str">
        <f>IFERROR(__xludf.DUMMYFUNCTION("""COMPUTED_VALUE"""),"27-03-2026")</f>
        <v>27-03-2026</v>
      </c>
      <c r="B2069" s="65">
        <f>IFERROR(__xludf.DUMMYFUNCTION("""COMPUTED_VALUE"""),4101727.0)</f>
        <v>4101727</v>
      </c>
      <c r="C2069" s="65" t="str">
        <f>IFERROR(__xludf.DUMMYFUNCTION("""COMPUTED_VALUE"""),"08:29")</f>
        <v>08:29</v>
      </c>
      <c r="D2069" s="65" t="str">
        <f>IFERROR(__xludf.DUMMYFUNCTION("""COMPUTED_VALUE"""),"11-01-2026")</f>
        <v>11-01-2026</v>
      </c>
      <c r="E2069" s="65" t="str">
        <f>IFERROR(__xludf.DUMMYFUNCTION("""COMPUTED_VALUE"""),"Diego Balladares")</f>
        <v>Diego Balladares</v>
      </c>
      <c r="F2069" s="65" t="str">
        <f>IFERROR(__xludf.DUMMYFUNCTION("""COMPUTED_VALUE"""),"968602534")</f>
        <v>968602534</v>
      </c>
      <c r="G2069" s="65" t="str">
        <f>IFERROR(__xludf.DUMMYFUNCTION("""COMPUTED_VALUE"""),"sodi3119@gmail.com")</f>
        <v>sodi3119@gmail.com</v>
      </c>
      <c r="H2069" s="65"/>
      <c r="I2069" s="65"/>
      <c r="J2069" s="65"/>
      <c r="K2069" s="65" t="str">
        <f>IFERROR(__xludf.DUMMYFUNCTION("""COMPUTED_VALUE"""),"PENDIENTE CONFIRMACION")</f>
        <v>PENDIENTE CONFIRMACION</v>
      </c>
      <c r="L2069" s="65" t="str">
        <f>IFERROR(__xludf.DUMMYFUNCTION("""COMPUTED_VALUE"""),"CON RECAUDO")</f>
        <v>CON RECAUDO</v>
      </c>
      <c r="M2069" s="65" t="str">
        <f>IFERROR(__xludf.DUMMYFUNCTION("""COMPUTED_VALUE"""),"PICHINCHA")</f>
        <v>PICHINCHA</v>
      </c>
      <c r="N2069" s="65" t="str">
        <f>IFERROR(__xludf.DUMMYFUNCTION("""COMPUTED_VALUE"""),"QUITO")</f>
        <v>QUITO</v>
      </c>
      <c r="O2069" s="65" t="str">
        <f>IFERROR(__xludf.DUMMYFUNCTION("""COMPUTED_VALUE"""),"Av. Geovanni Calles oe10-206 Calderón -")</f>
        <v>Av. Geovanni Calles oe10-206 Calderón -</v>
      </c>
      <c r="P2069" s="65"/>
      <c r="Q2069" s="65" t="str">
        <f>IFERROR(__xludf.DUMMYFUNCTION("""COMPUTED_VALUE"""),"GINTRACOM")</f>
        <v>GINTRACOM</v>
      </c>
      <c r="R2069" s="65">
        <f>IFERROR(__xludf.DUMMYFUNCTION("""COMPUTED_VALUE"""),25.0)</f>
        <v>25</v>
      </c>
      <c r="S2069" s="65"/>
      <c r="T2069" s="65">
        <f>IFERROR(__xludf.DUMMYFUNCTION("""COMPUTED_VALUE"""),5.96)</f>
        <v>5.96</v>
      </c>
      <c r="U2069" s="65">
        <f>IFERROR(__xludf.DUMMYFUNCTION("""COMPUTED_VALUE"""),0.0)</f>
        <v>0</v>
      </c>
      <c r="V2069" s="65">
        <f>IFERROR(__xludf.DUMMYFUNCTION("""COMPUTED_VALUE"""),0.0)</f>
        <v>0</v>
      </c>
      <c r="W2069" s="65">
        <f>IFERROR(__xludf.DUMMYFUNCTION("""COMPUTED_VALUE"""),0.0)</f>
        <v>0</v>
      </c>
      <c r="X2069" s="65">
        <f>IFERROR(__xludf.DUMMYFUNCTION("""COMPUTED_VALUE"""),2.79)</f>
        <v>2.79</v>
      </c>
      <c r="Y2069" s="65">
        <f>IFERROR(__xludf.DUMMYFUNCTION("""COMPUTED_VALUE"""),5.58)</f>
        <v>5.58</v>
      </c>
      <c r="Z2069" s="65">
        <f>IFERROR(__xludf.DUMMYFUNCTION("""COMPUTED_VALUE"""),120732.0)</f>
        <v>120732</v>
      </c>
      <c r="AA2069" s="65" t="str">
        <f>IFERROR(__xludf.DUMMYFUNCTION("""COMPUTED_VALUE"""),"PROV-LMPVT")</f>
        <v>PROV-LMPVT</v>
      </c>
      <c r="AB2069" s="65"/>
      <c r="AC2069" s="65" t="str">
        <f>IFERROR(__xludf.DUMMYFUNCTION("""COMPUTED_VALUE"""),"LIMPIADOR DE PARABRISAS Y VENTANAS")</f>
        <v>LIMPIADOR DE PARABRISAS Y VENTANAS</v>
      </c>
      <c r="AD2069" s="65"/>
      <c r="AE2069" s="65">
        <f>IFERROR(__xludf.DUMMYFUNCTION("""COMPUTED_VALUE"""),2.0)</f>
        <v>2</v>
      </c>
      <c r="AF2069" s="65"/>
      <c r="AG2069" s="65"/>
      <c r="AH2069" s="65"/>
      <c r="AI2069" s="65"/>
      <c r="AJ2069" s="65"/>
      <c r="AK2069" s="65"/>
      <c r="AL2069" s="65"/>
      <c r="AM2069" s="65"/>
      <c r="AN2069" s="65"/>
      <c r="AO2069" s="65"/>
      <c r="AP2069" s="65"/>
      <c r="AQ2069" s="65"/>
      <c r="AR2069" s="65"/>
      <c r="AS2069" s="65"/>
      <c r="AT2069" s="65" t="str">
        <f>IFERROR(__xludf.DUMMYFUNCTION("""COMPUTED_VALUE"""),"SHOPIFY")</f>
        <v>SHOPIFY</v>
      </c>
      <c r="AU2069" s="65" t="str">
        <f>IFERROR(__xludf.DUMMYFUNCTION("""COMPUTED_VALUE"""),"IMPORTEX EC")</f>
        <v>IMPORTEX EC</v>
      </c>
      <c r="AV2069" s="65" t="str">
        <f>IFERROR(__xludf.DUMMYFUNCTION("""COMPUTED_VALUE"""),"6406232277036")</f>
        <v>6406232277036</v>
      </c>
      <c r="AW2069" s="65">
        <f>IFERROR(__xludf.DUMMYFUNCTION("""COMPUTED_VALUE"""),4898.0)</f>
        <v>4898</v>
      </c>
      <c r="AX2069" s="65"/>
      <c r="AY2069" s="65"/>
      <c r="AZ2069" s="65"/>
      <c r="BA2069" s="65"/>
    </row>
    <row r="2070">
      <c r="A2070" s="65" t="str">
        <f>IFERROR(__xludf.DUMMYFUNCTION("""COMPUTED_VALUE"""),"27-03-2026")</f>
        <v>27-03-2026</v>
      </c>
      <c r="B2070" s="65">
        <f>IFERROR(__xludf.DUMMYFUNCTION("""COMPUTED_VALUE"""),4101656.0)</f>
        <v>4101656</v>
      </c>
      <c r="C2070" s="65" t="str">
        <f>IFERROR(__xludf.DUMMYFUNCTION("""COMPUTED_VALUE"""),"08:21")</f>
        <v>08:21</v>
      </c>
      <c r="D2070" s="65" t="str">
        <f>IFERROR(__xludf.DUMMYFUNCTION("""COMPUTED_VALUE"""),"11-01-2026")</f>
        <v>11-01-2026</v>
      </c>
      <c r="E2070" s="65" t="str">
        <f>IFERROR(__xludf.DUMMYFUNCTION("""COMPUTED_VALUE"""),"Humberto Bladimir Bladimir")</f>
        <v>Humberto Bladimir Bladimir</v>
      </c>
      <c r="F2070" s="65" t="str">
        <f>IFERROR(__xludf.DUMMYFUNCTION("""COMPUTED_VALUE"""),"993700809")</f>
        <v>993700809</v>
      </c>
      <c r="G2070" s="65" t="str">
        <f>IFERROR(__xludf.DUMMYFUNCTION("""COMPUTED_VALUE"""),"wladysanchez@gmail.com")</f>
        <v>wladysanchez@gmail.com</v>
      </c>
      <c r="H2070" s="65"/>
      <c r="I2070" s="65"/>
      <c r="J2070" s="65"/>
      <c r="K2070" s="65" t="str">
        <f>IFERROR(__xludf.DUMMYFUNCTION("""COMPUTED_VALUE"""),"CANCELADO")</f>
        <v>CANCELADO</v>
      </c>
      <c r="L2070" s="65" t="str">
        <f>IFERROR(__xludf.DUMMYFUNCTION("""COMPUTED_VALUE"""),"CON RECAUDO")</f>
        <v>CON RECAUDO</v>
      </c>
      <c r="M2070" s="65" t="str">
        <f>IFERROR(__xludf.DUMMYFUNCTION("""COMPUTED_VALUE"""),"SUCUMBIOS")</f>
        <v>SUCUMBIOS</v>
      </c>
      <c r="N2070" s="65" t="str">
        <f>IFERROR(__xludf.DUMMYFUNCTION("""COMPUTED_VALUE"""),"LUMBAQUI")</f>
        <v>LUMBAQUI</v>
      </c>
      <c r="O2070" s="65" t="str">
        <f>IFERROR(__xludf.DUMMYFUNCTION("""COMPUTED_VALUE"""),"Km 74 VÍa Quito Lago Agrio Y -")</f>
        <v>Km 74 VÍa Quito Lago Agrio Y -</v>
      </c>
      <c r="P2070" s="65"/>
      <c r="Q2070" s="65" t="str">
        <f>IFERROR(__xludf.DUMMYFUNCTION("""COMPUTED_VALUE"""),"SERVIENTREGA")</f>
        <v>SERVIENTREGA</v>
      </c>
      <c r="R2070" s="65">
        <f>IFERROR(__xludf.DUMMYFUNCTION("""COMPUTED_VALUE"""),25.0)</f>
        <v>25</v>
      </c>
      <c r="S2070" s="65"/>
      <c r="T2070" s="65">
        <f>IFERROR(__xludf.DUMMYFUNCTION("""COMPUTED_VALUE"""),7.75)</f>
        <v>7.75</v>
      </c>
      <c r="U2070" s="65">
        <f>IFERROR(__xludf.DUMMYFUNCTION("""COMPUTED_VALUE"""),0.0)</f>
        <v>0</v>
      </c>
      <c r="V2070" s="65">
        <f>IFERROR(__xludf.DUMMYFUNCTION("""COMPUTED_VALUE"""),0.0)</f>
        <v>0</v>
      </c>
      <c r="W2070" s="65">
        <f>IFERROR(__xludf.DUMMYFUNCTION("""COMPUTED_VALUE"""),0.0)</f>
        <v>0</v>
      </c>
      <c r="X2070" s="65">
        <f>IFERROR(__xludf.DUMMYFUNCTION("""COMPUTED_VALUE"""),2.79)</f>
        <v>2.79</v>
      </c>
      <c r="Y2070" s="65">
        <f>IFERROR(__xludf.DUMMYFUNCTION("""COMPUTED_VALUE"""),5.58)</f>
        <v>5.58</v>
      </c>
      <c r="Z2070" s="65">
        <f>IFERROR(__xludf.DUMMYFUNCTION("""COMPUTED_VALUE"""),120732.0)</f>
        <v>120732</v>
      </c>
      <c r="AA2070" s="65" t="str">
        <f>IFERROR(__xludf.DUMMYFUNCTION("""COMPUTED_VALUE"""),"PROV-LMPVT")</f>
        <v>PROV-LMPVT</v>
      </c>
      <c r="AB2070" s="65"/>
      <c r="AC2070" s="65" t="str">
        <f>IFERROR(__xludf.DUMMYFUNCTION("""COMPUTED_VALUE"""),"LIMPIADOR DE PARABRISAS Y VENTANAS")</f>
        <v>LIMPIADOR DE PARABRISAS Y VENTANAS</v>
      </c>
      <c r="AD2070" s="65"/>
      <c r="AE2070" s="65">
        <f>IFERROR(__xludf.DUMMYFUNCTION("""COMPUTED_VALUE"""),2.0)</f>
        <v>2</v>
      </c>
      <c r="AF2070" s="65"/>
      <c r="AG2070" s="65"/>
      <c r="AH2070" s="65"/>
      <c r="AI2070" s="65"/>
      <c r="AJ2070" s="65"/>
      <c r="AK2070" s="65"/>
      <c r="AL2070" s="65"/>
      <c r="AM2070" s="65"/>
      <c r="AN2070" s="65"/>
      <c r="AO2070" s="65"/>
      <c r="AP2070" s="65"/>
      <c r="AQ2070" s="65"/>
      <c r="AR2070" s="65"/>
      <c r="AS2070" s="65"/>
      <c r="AT2070" s="65" t="str">
        <f>IFERROR(__xludf.DUMMYFUNCTION("""COMPUTED_VALUE"""),"SHOPIFY")</f>
        <v>SHOPIFY</v>
      </c>
      <c r="AU2070" s="65" t="str">
        <f>IFERROR(__xludf.DUMMYFUNCTION("""COMPUTED_VALUE"""),"IMPORTEX EC")</f>
        <v>IMPORTEX EC</v>
      </c>
      <c r="AV2070" s="65" t="str">
        <f>IFERROR(__xludf.DUMMYFUNCTION("""COMPUTED_VALUE"""),"6406221463596")</f>
        <v>6406221463596</v>
      </c>
      <c r="AW2070" s="65">
        <f>IFERROR(__xludf.DUMMYFUNCTION("""COMPUTED_VALUE"""),4897.0)</f>
        <v>4897</v>
      </c>
      <c r="AX2070" s="65"/>
      <c r="AY2070" s="65"/>
      <c r="AZ2070" s="65"/>
      <c r="BA2070" s="65"/>
    </row>
    <row r="2071">
      <c r="A2071" s="65" t="str">
        <f>IFERROR(__xludf.DUMMYFUNCTION("""COMPUTED_VALUE"""),"27-03-2026")</f>
        <v>27-03-2026</v>
      </c>
      <c r="B2071" s="65">
        <f>IFERROR(__xludf.DUMMYFUNCTION("""COMPUTED_VALUE"""),4101643.0)</f>
        <v>4101643</v>
      </c>
      <c r="C2071" s="65" t="str">
        <f>IFERROR(__xludf.DUMMYFUNCTION("""COMPUTED_VALUE"""),"08:19")</f>
        <v>08:19</v>
      </c>
      <c r="D2071" s="65" t="str">
        <f>IFERROR(__xludf.DUMMYFUNCTION("""COMPUTED_VALUE"""),"11-01-2026")</f>
        <v>11-01-2026</v>
      </c>
      <c r="E2071" s="65" t="str">
        <f>IFERROR(__xludf.DUMMYFUNCTION("""COMPUTED_VALUE"""),"Mariana guncay Guncay")</f>
        <v>Mariana guncay Guncay</v>
      </c>
      <c r="F2071" s="65" t="str">
        <f>IFERROR(__xludf.DUMMYFUNCTION("""COMPUTED_VALUE"""),"981317969")</f>
        <v>981317969</v>
      </c>
      <c r="G2071" s="65" t="str">
        <f>IFERROR(__xludf.DUMMYFUNCTION("""COMPUTED_VALUE"""),"marianaguncay5@gmail.com")</f>
        <v>marianaguncay5@gmail.com</v>
      </c>
      <c r="H2071" s="65"/>
      <c r="I2071" s="65"/>
      <c r="J2071" s="65" t="str">
        <f>IFERROR(__xludf.DUMMYFUNCTION("""COMPUTED_VALUE"""),"D001223125")</f>
        <v>D001223125</v>
      </c>
      <c r="K2071" s="65" t="str">
        <f>IFERROR(__xludf.DUMMYFUNCTION("""COMPUTED_VALUE"""),"ENTREGADO")</f>
        <v>ENTREGADO</v>
      </c>
      <c r="L2071" s="65" t="str">
        <f>IFERROR(__xludf.DUMMYFUNCTION("""COMPUTED_VALUE"""),"CON RECAUDO")</f>
        <v>CON RECAUDO</v>
      </c>
      <c r="M2071" s="65" t="str">
        <f>IFERROR(__xludf.DUMMYFUNCTION("""COMPUTED_VALUE"""),"EL ORO")</f>
        <v>EL ORO</v>
      </c>
      <c r="N2071" s="65" t="str">
        <f>IFERROR(__xludf.DUMMYFUNCTION("""COMPUTED_VALUE"""),"PASAJE")</f>
        <v>PASAJE</v>
      </c>
      <c r="O2071" s="65" t="str">
        <f>IFERROR(__xludf.DUMMYFUNCTION("""COMPUTED_VALUE"""),"Municipalidad Eloy Alfaro - Calle Bolívar y Calle Ochoa León")</f>
        <v>Municipalidad Eloy Alfaro - Calle Bolívar y Calle Ochoa León</v>
      </c>
      <c r="P2071" s="65"/>
      <c r="Q2071" s="65" t="str">
        <f>IFERROR(__xludf.DUMMYFUNCTION("""COMPUTED_VALUE"""),"GINTRACOM")</f>
        <v>GINTRACOM</v>
      </c>
      <c r="R2071" s="65">
        <f>IFERROR(__xludf.DUMMYFUNCTION("""COMPUTED_VALUE"""),20.0)</f>
        <v>20</v>
      </c>
      <c r="S2071" s="65">
        <f>IFERROR(__xludf.DUMMYFUNCTION("""COMPUTED_VALUE"""),11.45)</f>
        <v>11.45</v>
      </c>
      <c r="T2071" s="65">
        <f>IFERROR(__xludf.DUMMYFUNCTION("""COMPUTED_VALUE"""),5.76)</f>
        <v>5.76</v>
      </c>
      <c r="U2071" s="65">
        <f>IFERROR(__xludf.DUMMYFUNCTION("""COMPUTED_VALUE"""),0.0)</f>
        <v>0</v>
      </c>
      <c r="V2071" s="65">
        <f>IFERROR(__xludf.DUMMYFUNCTION("""COMPUTED_VALUE"""),0.0)</f>
        <v>0</v>
      </c>
      <c r="W2071" s="65">
        <f>IFERROR(__xludf.DUMMYFUNCTION("""COMPUTED_VALUE"""),0.0)</f>
        <v>0</v>
      </c>
      <c r="X2071" s="65">
        <f>IFERROR(__xludf.DUMMYFUNCTION("""COMPUTED_VALUE"""),2.79)</f>
        <v>2.79</v>
      </c>
      <c r="Y2071" s="65">
        <f>IFERROR(__xludf.DUMMYFUNCTION("""COMPUTED_VALUE"""),2.79)</f>
        <v>2.79</v>
      </c>
      <c r="Z2071" s="65">
        <f>IFERROR(__xludf.DUMMYFUNCTION("""COMPUTED_VALUE"""),120732.0)</f>
        <v>120732</v>
      </c>
      <c r="AA2071" s="65" t="str">
        <f>IFERROR(__xludf.DUMMYFUNCTION("""COMPUTED_VALUE"""),"PROV-LMPVT")</f>
        <v>PROV-LMPVT</v>
      </c>
      <c r="AB2071" s="65"/>
      <c r="AC2071" s="65" t="str">
        <f>IFERROR(__xludf.DUMMYFUNCTION("""COMPUTED_VALUE"""),"LIMPIADOR DE PARABRISAS Y VENTANAS")</f>
        <v>LIMPIADOR DE PARABRISAS Y VENTANAS</v>
      </c>
      <c r="AD2071" s="65"/>
      <c r="AE2071" s="65">
        <f>IFERROR(__xludf.DUMMYFUNCTION("""COMPUTED_VALUE"""),1.0)</f>
        <v>1</v>
      </c>
      <c r="AF2071" s="65"/>
      <c r="AG2071" s="65"/>
      <c r="AH2071" s="65"/>
      <c r="AI2071" s="65"/>
      <c r="AJ2071" s="65"/>
      <c r="AK2071" s="65"/>
      <c r="AL2071" s="65"/>
      <c r="AM2071" s="65"/>
      <c r="AN2071" s="65" t="str">
        <f>IFERROR(__xludf.DUMMYFUNCTION("""COMPUTED_VALUE"""),"01:32")</f>
        <v>01:32</v>
      </c>
      <c r="AO2071" s="65" t="str">
        <f>IFERROR(__xludf.DUMMYFUNCTION("""COMPUTED_VALUE"""),"21-01-2026")</f>
        <v>21-01-2026</v>
      </c>
      <c r="AP2071" s="65" t="str">
        <f>IFERROR(__xludf.DUMMYFUNCTION("""COMPUTED_VALUE"""),"ENTREGADA GINTRACOM")</f>
        <v>ENTREGADA GINTRACOM</v>
      </c>
      <c r="AQ2071" s="65" t="str">
        <f>IFERROR(__xludf.DUMMYFUNCTION("""COMPUTED_VALUE"""),"ENTREGADA GINTRACOM")</f>
        <v>ENTREGADA GINTRACOM</v>
      </c>
      <c r="AR2071" s="65"/>
      <c r="AS2071" s="65"/>
      <c r="AT2071" s="65" t="str">
        <f>IFERROR(__xludf.DUMMYFUNCTION("""COMPUTED_VALUE"""),"SHOPIFY")</f>
        <v>SHOPIFY</v>
      </c>
      <c r="AU2071" s="65" t="str">
        <f>IFERROR(__xludf.DUMMYFUNCTION("""COMPUTED_VALUE"""),"IMPORTEX EC")</f>
        <v>IMPORTEX EC</v>
      </c>
      <c r="AV2071" s="65" t="str">
        <f>IFERROR(__xludf.DUMMYFUNCTION("""COMPUTED_VALUE"""),"6406219333676")</f>
        <v>6406219333676</v>
      </c>
      <c r="AW2071" s="65">
        <f>IFERROR(__xludf.DUMMYFUNCTION("""COMPUTED_VALUE"""),4896.0)</f>
        <v>4896</v>
      </c>
      <c r="AX2071" s="65"/>
      <c r="AY2071" s="65" t="str">
        <f>IFERROR(__xludf.DUMMYFUNCTION("""COMPUTED_VALUE"""),"14/01/2026")</f>
        <v>14/01/2026</v>
      </c>
      <c r="AZ2071" s="65"/>
      <c r="BA2071" s="65"/>
    </row>
    <row r="2072">
      <c r="A2072" s="65" t="str">
        <f>IFERROR(__xludf.DUMMYFUNCTION("""COMPUTED_VALUE"""),"27-03-2026")</f>
        <v>27-03-2026</v>
      </c>
      <c r="B2072" s="65">
        <f>IFERROR(__xludf.DUMMYFUNCTION("""COMPUTED_VALUE"""),4101508.0)</f>
        <v>4101508</v>
      </c>
      <c r="C2072" s="65" t="str">
        <f>IFERROR(__xludf.DUMMYFUNCTION("""COMPUTED_VALUE"""),"08:02")</f>
        <v>08:02</v>
      </c>
      <c r="D2072" s="65" t="str">
        <f>IFERROR(__xludf.DUMMYFUNCTION("""COMPUTED_VALUE"""),"11-01-2026")</f>
        <v>11-01-2026</v>
      </c>
      <c r="E2072" s="65" t="str">
        <f>IFERROR(__xludf.DUMMYFUNCTION("""COMPUTED_VALUE"""),"Julio Aimacaña")</f>
        <v>Julio Aimacaña</v>
      </c>
      <c r="F2072" s="65" t="str">
        <f>IFERROR(__xludf.DUMMYFUNCTION("""COMPUTED_VALUE"""),"994654615")</f>
        <v>994654615</v>
      </c>
      <c r="G2072" s="65" t="str">
        <f>IFERROR(__xludf.DUMMYFUNCTION("""COMPUTED_VALUE"""),"juliotasinchano@gmail.com")</f>
        <v>juliotasinchano@gmail.com</v>
      </c>
      <c r="H2072" s="65"/>
      <c r="I2072" s="65"/>
      <c r="J2072" s="65" t="str">
        <f>IFERROR(__xludf.DUMMYFUNCTION("""COMPUTED_VALUE"""),"D001215519")</f>
        <v>D001215519</v>
      </c>
      <c r="K2072" s="65" t="str">
        <f>IFERROR(__xludf.DUMMYFUNCTION("""COMPUTED_VALUE"""),"DEVOLUCION")</f>
        <v>DEVOLUCION</v>
      </c>
      <c r="L2072" s="65" t="str">
        <f>IFERROR(__xludf.DUMMYFUNCTION("""COMPUTED_VALUE"""),"CON RECAUDO")</f>
        <v>CON RECAUDO</v>
      </c>
      <c r="M2072" s="65" t="str">
        <f>IFERROR(__xludf.DUMMYFUNCTION("""COMPUTED_VALUE"""),"COTOPAXI")</f>
        <v>COTOPAXI</v>
      </c>
      <c r="N2072" s="65" t="str">
        <f>IFERROR(__xludf.DUMMYFUNCTION("""COMPUTED_VALUE"""),"GUAYTACAMA")</f>
        <v>GUAYTACAMA</v>
      </c>
      <c r="O2072" s="65" t="str">
        <f>IFERROR(__xludf.DUMMYFUNCTION("""COMPUTED_VALUE"""),"Sector Centro La Mana , Calle Quito y Calle Álamos - Ref. Distribuidora La casa de papeles")</f>
        <v>Sector Centro La Mana , Calle Quito y Calle Álamos - Ref. Distribuidora La casa de papeles</v>
      </c>
      <c r="P2072" s="65"/>
      <c r="Q2072" s="65" t="str">
        <f>IFERROR(__xludf.DUMMYFUNCTION("""COMPUTED_VALUE"""),"GINTRACOM")</f>
        <v>GINTRACOM</v>
      </c>
      <c r="R2072" s="65">
        <f>IFERROR(__xludf.DUMMYFUNCTION("""COMPUTED_VALUE"""),30.0)</f>
        <v>30</v>
      </c>
      <c r="S2072" s="65"/>
      <c r="T2072" s="65">
        <f>IFERROR(__xludf.DUMMYFUNCTION("""COMPUTED_VALUE"""),6.73)</f>
        <v>6.73</v>
      </c>
      <c r="U2072" s="65">
        <f>IFERROR(__xludf.DUMMYFUNCTION("""COMPUTED_VALUE"""),0.0)</f>
        <v>0</v>
      </c>
      <c r="V2072" s="65">
        <f>IFERROR(__xludf.DUMMYFUNCTION("""COMPUTED_VALUE"""),0.0)</f>
        <v>0</v>
      </c>
      <c r="W2072" s="65">
        <f>IFERROR(__xludf.DUMMYFUNCTION("""COMPUTED_VALUE"""),0.0)</f>
        <v>0</v>
      </c>
      <c r="X2072" s="65">
        <f>IFERROR(__xludf.DUMMYFUNCTION("""COMPUTED_VALUE"""),2.79)</f>
        <v>2.79</v>
      </c>
      <c r="Y2072" s="65">
        <f>IFERROR(__xludf.DUMMYFUNCTION("""COMPUTED_VALUE"""),8.37)</f>
        <v>8.37</v>
      </c>
      <c r="Z2072" s="65">
        <f>IFERROR(__xludf.DUMMYFUNCTION("""COMPUTED_VALUE"""),120732.0)</f>
        <v>120732</v>
      </c>
      <c r="AA2072" s="65" t="str">
        <f>IFERROR(__xludf.DUMMYFUNCTION("""COMPUTED_VALUE"""),"PROV-LMPVT")</f>
        <v>PROV-LMPVT</v>
      </c>
      <c r="AB2072" s="65"/>
      <c r="AC2072" s="65" t="str">
        <f>IFERROR(__xludf.DUMMYFUNCTION("""COMPUTED_VALUE"""),"LIMPIADOR DE PARABRISAS Y VENTANAS")</f>
        <v>LIMPIADOR DE PARABRISAS Y VENTANAS</v>
      </c>
      <c r="AD2072" s="65"/>
      <c r="AE2072" s="65">
        <f>IFERROR(__xludf.DUMMYFUNCTION("""COMPUTED_VALUE"""),3.0)</f>
        <v>3</v>
      </c>
      <c r="AF2072" s="65"/>
      <c r="AG2072" s="65"/>
      <c r="AH2072" s="65"/>
      <c r="AI2072" s="65"/>
      <c r="AJ2072" s="65"/>
      <c r="AK2072" s="65"/>
      <c r="AL2072" s="65"/>
      <c r="AM2072" s="65"/>
      <c r="AN2072" s="65" t="str">
        <f>IFERROR(__xludf.DUMMYFUNCTION("""COMPUTED_VALUE"""),"16:36")</f>
        <v>16:36</v>
      </c>
      <c r="AO2072" s="65" t="str">
        <f>IFERROR(__xludf.DUMMYFUNCTION("""COMPUTED_VALUE"""),"13-02-2026")</f>
        <v>13-02-2026</v>
      </c>
      <c r="AP2072" s="65" t="str">
        <f>IFERROR(__xludf.DUMMYFUNCTION("""COMPUTED_VALUE"""),"DEV CONFIRMADA POR BODEGA")</f>
        <v>DEV CONFIRMADA POR BODEGA</v>
      </c>
      <c r="AQ2072" s="65"/>
      <c r="AR2072" s="65" t="str">
        <f>IFERROR(__xludf.DUMMYFUNCTION("""COMPUTED_VALUE"""),"Gestionado por: PROVEDIX DAMIAN, email:enviogratisdirecto@gmail.com, total de productos en la orden: 1")</f>
        <v>Gestionado por: PROVEDIX DAMIAN, email:enviogratisdirecto@gmail.com, total de productos en la orden: 1</v>
      </c>
      <c r="AS2072" s="65"/>
      <c r="AT2072" s="65" t="str">
        <f>IFERROR(__xludf.DUMMYFUNCTION("""COMPUTED_VALUE"""),"SHOPIFY")</f>
        <v>SHOPIFY</v>
      </c>
      <c r="AU2072" s="65" t="str">
        <f>IFERROR(__xludf.DUMMYFUNCTION("""COMPUTED_VALUE"""),"IMPORTEX EC")</f>
        <v>IMPORTEX EC</v>
      </c>
      <c r="AV2072" s="65" t="str">
        <f>IFERROR(__xludf.DUMMYFUNCTION("""COMPUTED_VALUE"""),"6406195052588")</f>
        <v>6406195052588</v>
      </c>
      <c r="AW2072" s="65">
        <f>IFERROR(__xludf.DUMMYFUNCTION("""COMPUTED_VALUE"""),4895.0)</f>
        <v>4895</v>
      </c>
      <c r="AX2072" s="65"/>
      <c r="AY2072" s="65" t="str">
        <f>IFERROR(__xludf.DUMMYFUNCTION("""COMPUTED_VALUE"""),"12/01/2026")</f>
        <v>12/01/2026</v>
      </c>
      <c r="AZ2072" s="65"/>
      <c r="BA2072" s="65"/>
    </row>
    <row r="2073">
      <c r="A2073" s="65" t="str">
        <f>IFERROR(__xludf.DUMMYFUNCTION("""COMPUTED_VALUE"""),"27-03-2026")</f>
        <v>27-03-2026</v>
      </c>
      <c r="B2073" s="65">
        <f>IFERROR(__xludf.DUMMYFUNCTION("""COMPUTED_VALUE"""),4101444.0)</f>
        <v>4101444</v>
      </c>
      <c r="C2073" s="65" t="str">
        <f>IFERROR(__xludf.DUMMYFUNCTION("""COMPUTED_VALUE"""),"07:54")</f>
        <v>07:54</v>
      </c>
      <c r="D2073" s="65" t="str">
        <f>IFERROR(__xludf.DUMMYFUNCTION("""COMPUTED_VALUE"""),"11-01-2026")</f>
        <v>11-01-2026</v>
      </c>
      <c r="E2073" s="65" t="str">
        <f>IFERROR(__xludf.DUMMYFUNCTION("""COMPUTED_VALUE"""),"Julio Peñafiel")</f>
        <v>Julio Peñafiel</v>
      </c>
      <c r="F2073" s="65" t="str">
        <f>IFERROR(__xludf.DUMMYFUNCTION("""COMPUTED_VALUE"""),"997944322")</f>
        <v>997944322</v>
      </c>
      <c r="G2073" s="65" t="str">
        <f>IFERROR(__xludf.DUMMYFUNCTION("""COMPUTED_VALUE"""),"juliopeafiel@yahoo.es")</f>
        <v>juliopeafiel@yahoo.es</v>
      </c>
      <c r="H2073" s="65"/>
      <c r="I2073" s="65"/>
      <c r="J2073" s="65" t="str">
        <f>IFERROR(__xludf.DUMMYFUNCTION("""COMPUTED_VALUE"""),"D001223126")</f>
        <v>D001223126</v>
      </c>
      <c r="K2073" s="65" t="str">
        <f>IFERROR(__xludf.DUMMYFUNCTION("""COMPUTED_VALUE"""),"ENTREGADO")</f>
        <v>ENTREGADO</v>
      </c>
      <c r="L2073" s="65" t="str">
        <f>IFERROR(__xludf.DUMMYFUNCTION("""COMPUTED_VALUE"""),"CON RECAUDO")</f>
        <v>CON RECAUDO</v>
      </c>
      <c r="M2073" s="65" t="str">
        <f>IFERROR(__xludf.DUMMYFUNCTION("""COMPUTED_VALUE"""),"CHIMBORAZO")</f>
        <v>CHIMBORAZO</v>
      </c>
      <c r="N2073" s="65" t="str">
        <f>IFERROR(__xludf.DUMMYFUNCTION("""COMPUTED_VALUE"""),"RIOBAMBA")</f>
        <v>RIOBAMBA</v>
      </c>
      <c r="O2073" s="65" t="str">
        <f>IFERROR(__xludf.DUMMYFUNCTION("""COMPUTED_VALUE"""),"Pablo Palacios y ernesto noboa Casa 2 pisos puertas negras -")</f>
        <v>Pablo Palacios y ernesto noboa Casa 2 pisos puertas negras -</v>
      </c>
      <c r="P2073" s="65"/>
      <c r="Q2073" s="65" t="str">
        <f>IFERROR(__xludf.DUMMYFUNCTION("""COMPUTED_VALUE"""),"GINTRACOM")</f>
        <v>GINTRACOM</v>
      </c>
      <c r="R2073" s="65">
        <f>IFERROR(__xludf.DUMMYFUNCTION("""COMPUTED_VALUE"""),25.0)</f>
        <v>25</v>
      </c>
      <c r="S2073" s="65">
        <f>IFERROR(__xludf.DUMMYFUNCTION("""COMPUTED_VALUE"""),13.46)</f>
        <v>13.46</v>
      </c>
      <c r="T2073" s="65">
        <f>IFERROR(__xludf.DUMMYFUNCTION("""COMPUTED_VALUE"""),5.96)</f>
        <v>5.96</v>
      </c>
      <c r="U2073" s="65">
        <f>IFERROR(__xludf.DUMMYFUNCTION("""COMPUTED_VALUE"""),0.0)</f>
        <v>0</v>
      </c>
      <c r="V2073" s="65">
        <f>IFERROR(__xludf.DUMMYFUNCTION("""COMPUTED_VALUE"""),0.0)</f>
        <v>0</v>
      </c>
      <c r="W2073" s="65">
        <f>IFERROR(__xludf.DUMMYFUNCTION("""COMPUTED_VALUE"""),0.0)</f>
        <v>0</v>
      </c>
      <c r="X2073" s="65">
        <f>IFERROR(__xludf.DUMMYFUNCTION("""COMPUTED_VALUE"""),2.79)</f>
        <v>2.79</v>
      </c>
      <c r="Y2073" s="65">
        <f>IFERROR(__xludf.DUMMYFUNCTION("""COMPUTED_VALUE"""),5.58)</f>
        <v>5.58</v>
      </c>
      <c r="Z2073" s="65">
        <f>IFERROR(__xludf.DUMMYFUNCTION("""COMPUTED_VALUE"""),120732.0)</f>
        <v>120732</v>
      </c>
      <c r="AA2073" s="65" t="str">
        <f>IFERROR(__xludf.DUMMYFUNCTION("""COMPUTED_VALUE"""),"PROV-LMPVT")</f>
        <v>PROV-LMPVT</v>
      </c>
      <c r="AB2073" s="65"/>
      <c r="AC2073" s="65" t="str">
        <f>IFERROR(__xludf.DUMMYFUNCTION("""COMPUTED_VALUE"""),"LIMPIADOR DE PARABRISAS Y VENTANAS")</f>
        <v>LIMPIADOR DE PARABRISAS Y VENTANAS</v>
      </c>
      <c r="AD2073" s="65"/>
      <c r="AE2073" s="65">
        <f>IFERROR(__xludf.DUMMYFUNCTION("""COMPUTED_VALUE"""),2.0)</f>
        <v>2</v>
      </c>
      <c r="AF2073" s="65" t="str">
        <f>IFERROR(__xludf.DUMMYFUNCTION("""COMPUTED_VALUE"""),"DESTINATARIO INDICA QUE NO HA COMPRADO NINGÚN PRODUCTO")</f>
        <v>DESTINATARIO INDICA QUE NO HA COMPRADO NINGÚN PRODUCTO</v>
      </c>
      <c r="AG2073" s="65" t="str">
        <f>IFERROR(__xludf.DUMMYFUNCTION("""COMPUTED_VALUE"""),"NO")</f>
        <v>NO</v>
      </c>
      <c r="AH2073" s="65" t="str">
        <f>IFERROR(__xludf.DUMMYFUNCTION("""COMPUTED_VALUE"""),"08:20")</f>
        <v>08:20</v>
      </c>
      <c r="AI2073" s="65" t="str">
        <f>IFERROR(__xludf.DUMMYFUNCTION("""COMPUTED_VALUE"""),"24-01-2026")</f>
        <v>24-01-2026</v>
      </c>
      <c r="AJ2073" s="65"/>
      <c r="AK2073" s="65"/>
      <c r="AL2073" s="65"/>
      <c r="AM2073" s="65"/>
      <c r="AN2073" s="65" t="str">
        <f>IFERROR(__xludf.DUMMYFUNCTION("""COMPUTED_VALUE"""),"16:26")</f>
        <v>16:26</v>
      </c>
      <c r="AO2073" s="65" t="str">
        <f>IFERROR(__xludf.DUMMYFUNCTION("""COMPUTED_VALUE"""),"24-01-2026")</f>
        <v>24-01-2026</v>
      </c>
      <c r="AP2073" s="65" t="str">
        <f>IFERROR(__xludf.DUMMYFUNCTION("""COMPUTED_VALUE"""),"ENTREGADA GINTRACOM")</f>
        <v>ENTREGADA GINTRACOM</v>
      </c>
      <c r="AQ2073" s="65" t="str">
        <f>IFERROR(__xludf.DUMMYFUNCTION("""COMPUTED_VALUE"""),"ENTREGADA GINTRACOM")</f>
        <v>ENTREGADA GINTRACOM</v>
      </c>
      <c r="AR2073" s="65"/>
      <c r="AS2073" s="65"/>
      <c r="AT2073" s="65" t="str">
        <f>IFERROR(__xludf.DUMMYFUNCTION("""COMPUTED_VALUE"""),"SHOPIFY")</f>
        <v>SHOPIFY</v>
      </c>
      <c r="AU2073" s="65" t="str">
        <f>IFERROR(__xludf.DUMMYFUNCTION("""COMPUTED_VALUE"""),"IMPORTEX EC")</f>
        <v>IMPORTEX EC</v>
      </c>
      <c r="AV2073" s="65" t="str">
        <f>IFERROR(__xludf.DUMMYFUNCTION("""COMPUTED_VALUE"""),"6406187778092")</f>
        <v>6406187778092</v>
      </c>
      <c r="AW2073" s="65">
        <f>IFERROR(__xludf.DUMMYFUNCTION("""COMPUTED_VALUE"""),4894.0)</f>
        <v>4894</v>
      </c>
      <c r="AX2073" s="65"/>
      <c r="AY2073" s="65" t="str">
        <f>IFERROR(__xludf.DUMMYFUNCTION("""COMPUTED_VALUE"""),"14/01/2026")</f>
        <v>14/01/2026</v>
      </c>
      <c r="AZ2073" s="65"/>
      <c r="BA2073" s="65"/>
    </row>
    <row r="2074">
      <c r="A2074" s="65" t="str">
        <f>IFERROR(__xludf.DUMMYFUNCTION("""COMPUTED_VALUE"""),"27-03-2026")</f>
        <v>27-03-2026</v>
      </c>
      <c r="B2074" s="65">
        <f>IFERROR(__xludf.DUMMYFUNCTION("""COMPUTED_VALUE"""),4101442.0)</f>
        <v>4101442</v>
      </c>
      <c r="C2074" s="65" t="str">
        <f>IFERROR(__xludf.DUMMYFUNCTION("""COMPUTED_VALUE"""),"07:54")</f>
        <v>07:54</v>
      </c>
      <c r="D2074" s="65" t="str">
        <f>IFERROR(__xludf.DUMMYFUNCTION("""COMPUTED_VALUE"""),"11-01-2026")</f>
        <v>11-01-2026</v>
      </c>
      <c r="E2074" s="65" t="str">
        <f>IFERROR(__xludf.DUMMYFUNCTION("""COMPUTED_VALUE"""),"Marcelo Oviedo")</f>
        <v>Marcelo Oviedo</v>
      </c>
      <c r="F2074" s="65" t="str">
        <f>IFERROR(__xludf.DUMMYFUNCTION("""COMPUTED_VALUE"""),"984456453")</f>
        <v>984456453</v>
      </c>
      <c r="G2074" s="65" t="str">
        <f>IFERROR(__xludf.DUMMYFUNCTION("""COMPUTED_VALUE"""),"alexoviedo151988@gmail.com")</f>
        <v>alexoviedo151988@gmail.com</v>
      </c>
      <c r="H2074" s="65"/>
      <c r="I2074" s="65"/>
      <c r="J2074" s="65" t="str">
        <f>IFERROR(__xludf.DUMMYFUNCTION("""COMPUTED_VALUE"""),"D001223131")</f>
        <v>D001223131</v>
      </c>
      <c r="K2074" s="65" t="str">
        <f>IFERROR(__xludf.DUMMYFUNCTION("""COMPUTED_VALUE"""),"ENTREGADO")</f>
        <v>ENTREGADO</v>
      </c>
      <c r="L2074" s="65" t="str">
        <f>IFERROR(__xludf.DUMMYFUNCTION("""COMPUTED_VALUE"""),"CON RECAUDO")</f>
        <v>CON RECAUDO</v>
      </c>
      <c r="M2074" s="65" t="str">
        <f>IFERROR(__xludf.DUMMYFUNCTION("""COMPUTED_VALUE"""),"TUNGURAHUA")</f>
        <v>TUNGURAHUA</v>
      </c>
      <c r="N2074" s="65" t="str">
        <f>IFERROR(__xludf.DUMMYFUNCTION("""COMPUTED_VALUE"""),"AMBATO")</f>
        <v>AMBATO</v>
      </c>
      <c r="O2074" s="65" t="str">
        <f>IFERROR(__xludf.DUMMYFUNCTION("""COMPUTED_VALUE"""),"Rio coca Victor hugo,  REF  a una cuadra del mall de Los Andes en constructora Domo")</f>
        <v>Rio coca Victor hugo,  REF  a una cuadra del mall de Los Andes en constructora Domo</v>
      </c>
      <c r="P2074" s="65"/>
      <c r="Q2074" s="65" t="str">
        <f>IFERROR(__xludf.DUMMYFUNCTION("""COMPUTED_VALUE"""),"GINTRACOM")</f>
        <v>GINTRACOM</v>
      </c>
      <c r="R2074" s="65">
        <f>IFERROR(__xludf.DUMMYFUNCTION("""COMPUTED_VALUE"""),20.0)</f>
        <v>20</v>
      </c>
      <c r="S2074" s="65">
        <f>IFERROR(__xludf.DUMMYFUNCTION("""COMPUTED_VALUE"""),11.45)</f>
        <v>11.45</v>
      </c>
      <c r="T2074" s="65">
        <f>IFERROR(__xludf.DUMMYFUNCTION("""COMPUTED_VALUE"""),5.76)</f>
        <v>5.76</v>
      </c>
      <c r="U2074" s="65">
        <f>IFERROR(__xludf.DUMMYFUNCTION("""COMPUTED_VALUE"""),0.0)</f>
        <v>0</v>
      </c>
      <c r="V2074" s="65">
        <f>IFERROR(__xludf.DUMMYFUNCTION("""COMPUTED_VALUE"""),0.0)</f>
        <v>0</v>
      </c>
      <c r="W2074" s="65">
        <f>IFERROR(__xludf.DUMMYFUNCTION("""COMPUTED_VALUE"""),0.0)</f>
        <v>0</v>
      </c>
      <c r="X2074" s="65">
        <f>IFERROR(__xludf.DUMMYFUNCTION("""COMPUTED_VALUE"""),2.79)</f>
        <v>2.79</v>
      </c>
      <c r="Y2074" s="65">
        <f>IFERROR(__xludf.DUMMYFUNCTION("""COMPUTED_VALUE"""),2.79)</f>
        <v>2.79</v>
      </c>
      <c r="Z2074" s="65">
        <f>IFERROR(__xludf.DUMMYFUNCTION("""COMPUTED_VALUE"""),120732.0)</f>
        <v>120732</v>
      </c>
      <c r="AA2074" s="65" t="str">
        <f>IFERROR(__xludf.DUMMYFUNCTION("""COMPUTED_VALUE"""),"PROV-LMPVT")</f>
        <v>PROV-LMPVT</v>
      </c>
      <c r="AB2074" s="65"/>
      <c r="AC2074" s="65" t="str">
        <f>IFERROR(__xludf.DUMMYFUNCTION("""COMPUTED_VALUE"""),"LIMPIADOR DE PARABRISAS Y VENTANAS")</f>
        <v>LIMPIADOR DE PARABRISAS Y VENTANAS</v>
      </c>
      <c r="AD2074" s="65"/>
      <c r="AE2074" s="65">
        <f>IFERROR(__xludf.DUMMYFUNCTION("""COMPUTED_VALUE"""),1.0)</f>
        <v>1</v>
      </c>
      <c r="AF2074" s="65"/>
      <c r="AG2074" s="65"/>
      <c r="AH2074" s="65"/>
      <c r="AI2074" s="65"/>
      <c r="AJ2074" s="65"/>
      <c r="AK2074" s="65"/>
      <c r="AL2074" s="65"/>
      <c r="AM2074" s="65"/>
      <c r="AN2074" s="65" t="str">
        <f>IFERROR(__xludf.DUMMYFUNCTION("""COMPUTED_VALUE"""),"11:33")</f>
        <v>11:33</v>
      </c>
      <c r="AO2074" s="65" t="str">
        <f>IFERROR(__xludf.DUMMYFUNCTION("""COMPUTED_VALUE"""),"17-01-2026")</f>
        <v>17-01-2026</v>
      </c>
      <c r="AP2074" s="65" t="str">
        <f>IFERROR(__xludf.DUMMYFUNCTION("""COMPUTED_VALUE"""),"ENTREGADA GINTRACOM")</f>
        <v>ENTREGADA GINTRACOM</v>
      </c>
      <c r="AQ2074" s="65" t="str">
        <f>IFERROR(__xludf.DUMMYFUNCTION("""COMPUTED_VALUE"""),"ENTREGADA GINTRACOM")</f>
        <v>ENTREGADA GINTRACOM</v>
      </c>
      <c r="AR2074" s="65"/>
      <c r="AS2074" s="65"/>
      <c r="AT2074" s="65" t="str">
        <f>IFERROR(__xludf.DUMMYFUNCTION("""COMPUTED_VALUE"""),"SHOPIFY")</f>
        <v>SHOPIFY</v>
      </c>
      <c r="AU2074" s="65" t="str">
        <f>IFERROR(__xludf.DUMMYFUNCTION("""COMPUTED_VALUE"""),"IMPORTEX EC")</f>
        <v>IMPORTEX EC</v>
      </c>
      <c r="AV2074" s="65" t="str">
        <f>IFERROR(__xludf.DUMMYFUNCTION("""COMPUTED_VALUE"""),"6406187614252")</f>
        <v>6406187614252</v>
      </c>
      <c r="AW2074" s="65">
        <f>IFERROR(__xludf.DUMMYFUNCTION("""COMPUTED_VALUE"""),4893.0)</f>
        <v>4893</v>
      </c>
      <c r="AX2074" s="65"/>
      <c r="AY2074" s="65" t="str">
        <f>IFERROR(__xludf.DUMMYFUNCTION("""COMPUTED_VALUE"""),"14/01/2026")</f>
        <v>14/01/2026</v>
      </c>
      <c r="AZ2074" s="65"/>
      <c r="BA2074" s="65"/>
    </row>
    <row r="2075">
      <c r="A2075" s="65" t="str">
        <f>IFERROR(__xludf.DUMMYFUNCTION("""COMPUTED_VALUE"""),"27-03-2026")</f>
        <v>27-03-2026</v>
      </c>
      <c r="B2075" s="65">
        <f>IFERROR(__xludf.DUMMYFUNCTION("""COMPUTED_VALUE"""),4101301.0)</f>
        <v>4101301</v>
      </c>
      <c r="C2075" s="65" t="str">
        <f>IFERROR(__xludf.DUMMYFUNCTION("""COMPUTED_VALUE"""),"07:37")</f>
        <v>07:37</v>
      </c>
      <c r="D2075" s="65" t="str">
        <f>IFERROR(__xludf.DUMMYFUNCTION("""COMPUTED_VALUE"""),"11-01-2026")</f>
        <v>11-01-2026</v>
      </c>
      <c r="E2075" s="65" t="str">
        <f>IFERROR(__xludf.DUMMYFUNCTION("""COMPUTED_VALUE"""),"Walter. Alberto Sellan. Macias")</f>
        <v>Walter. Alberto Sellan. Macias</v>
      </c>
      <c r="F2075" s="65" t="str">
        <f>IFERROR(__xludf.DUMMYFUNCTION("""COMPUTED_VALUE"""),"967750141")</f>
        <v>967750141</v>
      </c>
      <c r="G2075" s="65" t="str">
        <f>IFERROR(__xludf.DUMMYFUNCTION("""COMPUTED_VALUE"""),"aimarajaimeenrique@gmail.com")</f>
        <v>aimarajaimeenrique@gmail.com</v>
      </c>
      <c r="H2075" s="65"/>
      <c r="I2075" s="65"/>
      <c r="J2075" s="65" t="str">
        <f>IFERROR(__xludf.DUMMYFUNCTION("""COMPUTED_VALUE"""),"186973348")</f>
        <v>186973348</v>
      </c>
      <c r="K2075" s="65" t="str">
        <f>IFERROR(__xludf.DUMMYFUNCTION("""COMPUTED_VALUE"""),"DEVOLUCION")</f>
        <v>DEVOLUCION</v>
      </c>
      <c r="L2075" s="65" t="str">
        <f>IFERROR(__xludf.DUMMYFUNCTION("""COMPUTED_VALUE"""),"CON RECAUDO")</f>
        <v>CON RECAUDO</v>
      </c>
      <c r="M2075" s="65" t="str">
        <f>IFERROR(__xludf.DUMMYFUNCTION("""COMPUTED_VALUE"""),"GUAYAS")</f>
        <v>GUAYAS</v>
      </c>
      <c r="N2075" s="65" t="str">
        <f>IFERROR(__xludf.DUMMYFUNCTION("""COMPUTED_VALUE"""),"SANTA LUCIA")</f>
        <v>SANTA LUCIA</v>
      </c>
      <c r="O2075" s="65" t="str">
        <f>IFERROR(__xludf.DUMMYFUNCTION("""COMPUTED_VALUE"""),"Barrio Chonani - Calle Antonio Saa y Calle Dionisio Anchundia - Ref. Templo Evangélico frente al bazar don David")</f>
        <v>Barrio Chonani - Calle Antonio Saa y Calle Dionisio Anchundia - Ref. Templo Evangélico frente al bazar don David</v>
      </c>
      <c r="P2075" s="65"/>
      <c r="Q2075" s="65" t="str">
        <f>IFERROR(__xludf.DUMMYFUNCTION("""COMPUTED_VALUE"""),"SERVIENTREGA")</f>
        <v>SERVIENTREGA</v>
      </c>
      <c r="R2075" s="65">
        <f>IFERROR(__xludf.DUMMYFUNCTION("""COMPUTED_VALUE"""),22.0)</f>
        <v>22</v>
      </c>
      <c r="S2075" s="65"/>
      <c r="T2075" s="65">
        <f>IFERROR(__xludf.DUMMYFUNCTION("""COMPUTED_VALUE"""),7.7)</f>
        <v>7.7</v>
      </c>
      <c r="U2075" s="65">
        <f>IFERROR(__xludf.DUMMYFUNCTION("""COMPUTED_VALUE"""),0.0)</f>
        <v>0</v>
      </c>
      <c r="V2075" s="65">
        <f>IFERROR(__xludf.DUMMYFUNCTION("""COMPUTED_VALUE"""),0.0)</f>
        <v>0</v>
      </c>
      <c r="W2075" s="65">
        <f>IFERROR(__xludf.DUMMYFUNCTION("""COMPUTED_VALUE"""),0.0)</f>
        <v>0</v>
      </c>
      <c r="X2075" s="65">
        <f>IFERROR(__xludf.DUMMYFUNCTION("""COMPUTED_VALUE"""),2.6)</f>
        <v>2.6</v>
      </c>
      <c r="Y2075" s="65">
        <f>IFERROR(__xludf.DUMMYFUNCTION("""COMPUTED_VALUE"""),5.2)</f>
        <v>5.2</v>
      </c>
      <c r="Z2075" s="65">
        <f>IFERROR(__xludf.DUMMYFUNCTION("""COMPUTED_VALUE"""),121983.0)</f>
        <v>121983</v>
      </c>
      <c r="AA2075" s="65" t="str">
        <f>IFERROR(__xludf.DUMMYFUNCTION("""COMPUTED_VALUE"""),"PROV-CHLLCF")</f>
        <v>PROV-CHLLCF</v>
      </c>
      <c r="AB2075" s="65"/>
      <c r="AC2075" s="65" t="str">
        <f>IFERROR(__xludf.DUMMYFUNCTION("""COMPUTED_VALUE"""),"CUCHILLO PARA CHEF")</f>
        <v>CUCHILLO PARA CHEF</v>
      </c>
      <c r="AD2075" s="65"/>
      <c r="AE2075" s="65">
        <f>IFERROR(__xludf.DUMMYFUNCTION("""COMPUTED_VALUE"""),2.0)</f>
        <v>2</v>
      </c>
      <c r="AF2075" s="65" t="str">
        <f>IFERROR(__xludf.DUMMYFUNCTION("""COMPUTED_VALUE"""),"DEVOLUCION AL REMITENTE")</f>
        <v>DEVOLUCION AL REMITENTE</v>
      </c>
      <c r="AG2075" s="65" t="str">
        <f>IFERROR(__xludf.DUMMYFUNCTION("""COMPUTED_VALUE"""),"NO")</f>
        <v>NO</v>
      </c>
      <c r="AH2075" s="65" t="str">
        <f>IFERROR(__xludf.DUMMYFUNCTION("""COMPUTED_VALUE"""),"12:04")</f>
        <v>12:04</v>
      </c>
      <c r="AI2075" s="65" t="str">
        <f>IFERROR(__xludf.DUMMYFUNCTION("""COMPUTED_VALUE"""),"26-01-2026")</f>
        <v>26-01-2026</v>
      </c>
      <c r="AJ2075" s="65"/>
      <c r="AK2075" s="65"/>
      <c r="AL2075" s="65"/>
      <c r="AM2075" s="65"/>
      <c r="AN2075" s="65" t="str">
        <f>IFERROR(__xludf.DUMMYFUNCTION("""COMPUTED_VALUE"""),"16:56")</f>
        <v>16:56</v>
      </c>
      <c r="AO2075" s="65" t="str">
        <f>IFERROR(__xludf.DUMMYFUNCTION("""COMPUTED_VALUE"""),"29-01-2026")</f>
        <v>29-01-2026</v>
      </c>
      <c r="AP2075" s="65" t="str">
        <f>IFERROR(__xludf.DUMMYFUNCTION("""COMPUTED_VALUE"""),"DEV CONFIRMADA POR BODEGA")</f>
        <v>DEV CONFIRMADA POR BODEGA</v>
      </c>
      <c r="AQ2075" s="65"/>
      <c r="AR2075" s="65" t="str">
        <f>IFERROR(__xludf.DUMMYFUNCTION("""COMPUTED_VALUE"""),"Gestionado por: Moran Daniel, email:danielmorga2005@gmail.com, total de productos en la orden: 1")</f>
        <v>Gestionado por: Moran Daniel, email:danielmorga2005@gmail.com, total de productos en la orden: 1</v>
      </c>
      <c r="AS2075" s="65"/>
      <c r="AT2075" s="65" t="str">
        <f>IFERROR(__xludf.DUMMYFUNCTION("""COMPUTED_VALUE"""),"SHOPIFY")</f>
        <v>SHOPIFY</v>
      </c>
      <c r="AU2075" s="65" t="str">
        <f>IFERROR(__xludf.DUMMYFUNCTION("""COMPUTED_VALUE"""),"IMPORTEX EC")</f>
        <v>IMPORTEX EC</v>
      </c>
      <c r="AV2075" s="65" t="str">
        <f>IFERROR(__xludf.DUMMYFUNCTION("""COMPUTED_VALUE"""),"6406171000876")</f>
        <v>6406171000876</v>
      </c>
      <c r="AW2075" s="65">
        <f>IFERROR(__xludf.DUMMYFUNCTION("""COMPUTED_VALUE"""),4892.0)</f>
        <v>4892</v>
      </c>
      <c r="AX2075" s="65"/>
      <c r="AY2075" s="65" t="str">
        <f>IFERROR(__xludf.DUMMYFUNCTION("""COMPUTED_VALUE"""),"14/01/2026")</f>
        <v>14/01/2026</v>
      </c>
      <c r="AZ2075" s="65"/>
      <c r="BA2075" s="65"/>
    </row>
    <row r="2076">
      <c r="A2076" s="65" t="str">
        <f>IFERROR(__xludf.DUMMYFUNCTION("""COMPUTED_VALUE"""),"27-03-2026")</f>
        <v>27-03-2026</v>
      </c>
      <c r="B2076" s="65">
        <f>IFERROR(__xludf.DUMMYFUNCTION("""COMPUTED_VALUE"""),4101053.0)</f>
        <v>4101053</v>
      </c>
      <c r="C2076" s="65" t="str">
        <f>IFERROR(__xludf.DUMMYFUNCTION("""COMPUTED_VALUE"""),"06:59")</f>
        <v>06:59</v>
      </c>
      <c r="D2076" s="65" t="str">
        <f>IFERROR(__xludf.DUMMYFUNCTION("""COMPUTED_VALUE"""),"11-01-2026")</f>
        <v>11-01-2026</v>
      </c>
      <c r="E2076" s="65" t="str">
        <f>IFERROR(__xludf.DUMMYFUNCTION("""COMPUTED_VALUE"""),"Verónica Miño")</f>
        <v>Verónica Miño</v>
      </c>
      <c r="F2076" s="65" t="str">
        <f>IFERROR(__xludf.DUMMYFUNCTION("""COMPUTED_VALUE"""),"984362269")</f>
        <v>984362269</v>
      </c>
      <c r="G2076" s="65" t="str">
        <f>IFERROR(__xludf.DUMMYFUNCTION("""COMPUTED_VALUE"""),"veronica.fernanda.mino2213@gmail.com")</f>
        <v>veronica.fernanda.mino2213@gmail.com</v>
      </c>
      <c r="H2076" s="65"/>
      <c r="I2076" s="65"/>
      <c r="J2076" s="65" t="str">
        <f>IFERROR(__xludf.DUMMYFUNCTION("""COMPUTED_VALUE"""),"D001223130")</f>
        <v>D001223130</v>
      </c>
      <c r="K2076" s="65" t="str">
        <f>IFERROR(__xludf.DUMMYFUNCTION("""COMPUTED_VALUE"""),"ENTREGADO")</f>
        <v>ENTREGADO</v>
      </c>
      <c r="L2076" s="65" t="str">
        <f>IFERROR(__xludf.DUMMYFUNCTION("""COMPUTED_VALUE"""),"CON RECAUDO")</f>
        <v>CON RECAUDO</v>
      </c>
      <c r="M2076" s="65" t="str">
        <f>IFERROR(__xludf.DUMMYFUNCTION("""COMPUTED_VALUE"""),"AZUAY")</f>
        <v>AZUAY</v>
      </c>
      <c r="N2076" s="65" t="str">
        <f>IFERROR(__xludf.DUMMYFUNCTION("""COMPUTED_VALUE"""),"CUENCA")</f>
        <v>CUENCA</v>
      </c>
      <c r="O2076" s="65" t="str">
        <f>IFERROR(__xludf.DUMMYFUNCTION("""COMPUTED_VALUE"""),"Remigio Crespo y Lorenzo Piedra Edificio del SRI -")</f>
        <v>Remigio Crespo y Lorenzo Piedra Edificio del SRI -</v>
      </c>
      <c r="P2076" s="65"/>
      <c r="Q2076" s="65" t="str">
        <f>IFERROR(__xludf.DUMMYFUNCTION("""COMPUTED_VALUE"""),"GINTRACOM")</f>
        <v>GINTRACOM</v>
      </c>
      <c r="R2076" s="65">
        <f>IFERROR(__xludf.DUMMYFUNCTION("""COMPUTED_VALUE"""),30.0)</f>
        <v>30</v>
      </c>
      <c r="S2076" s="65">
        <f>IFERROR(__xludf.DUMMYFUNCTION("""COMPUTED_VALUE"""),15.47)</f>
        <v>15.47</v>
      </c>
      <c r="T2076" s="65">
        <f>IFERROR(__xludf.DUMMYFUNCTION("""COMPUTED_VALUE"""),6.16)</f>
        <v>6.16</v>
      </c>
      <c r="U2076" s="65">
        <f>IFERROR(__xludf.DUMMYFUNCTION("""COMPUTED_VALUE"""),0.0)</f>
        <v>0</v>
      </c>
      <c r="V2076" s="65">
        <f>IFERROR(__xludf.DUMMYFUNCTION("""COMPUTED_VALUE"""),0.0)</f>
        <v>0</v>
      </c>
      <c r="W2076" s="65">
        <f>IFERROR(__xludf.DUMMYFUNCTION("""COMPUTED_VALUE"""),0.0)</f>
        <v>0</v>
      </c>
      <c r="X2076" s="65">
        <f>IFERROR(__xludf.DUMMYFUNCTION("""COMPUTED_VALUE"""),2.79)</f>
        <v>2.79</v>
      </c>
      <c r="Y2076" s="65">
        <f>IFERROR(__xludf.DUMMYFUNCTION("""COMPUTED_VALUE"""),8.37)</f>
        <v>8.37</v>
      </c>
      <c r="Z2076" s="65">
        <f>IFERROR(__xludf.DUMMYFUNCTION("""COMPUTED_VALUE"""),120732.0)</f>
        <v>120732</v>
      </c>
      <c r="AA2076" s="65" t="str">
        <f>IFERROR(__xludf.DUMMYFUNCTION("""COMPUTED_VALUE"""),"PROV-LMPVT")</f>
        <v>PROV-LMPVT</v>
      </c>
      <c r="AB2076" s="65"/>
      <c r="AC2076" s="65" t="str">
        <f>IFERROR(__xludf.DUMMYFUNCTION("""COMPUTED_VALUE"""),"LIMPIADOR DE PARABRISAS Y VENTANAS")</f>
        <v>LIMPIADOR DE PARABRISAS Y VENTANAS</v>
      </c>
      <c r="AD2076" s="65"/>
      <c r="AE2076" s="65">
        <f>IFERROR(__xludf.DUMMYFUNCTION("""COMPUTED_VALUE"""),3.0)</f>
        <v>3</v>
      </c>
      <c r="AF2076" s="65"/>
      <c r="AG2076" s="65"/>
      <c r="AH2076" s="65"/>
      <c r="AI2076" s="65"/>
      <c r="AJ2076" s="65"/>
      <c r="AK2076" s="65"/>
      <c r="AL2076" s="65"/>
      <c r="AM2076" s="65"/>
      <c r="AN2076" s="65" t="str">
        <f>IFERROR(__xludf.DUMMYFUNCTION("""COMPUTED_VALUE"""),"15:46")</f>
        <v>15:46</v>
      </c>
      <c r="AO2076" s="65" t="str">
        <f>IFERROR(__xludf.DUMMYFUNCTION("""COMPUTED_VALUE"""),"20-01-2026")</f>
        <v>20-01-2026</v>
      </c>
      <c r="AP2076" s="65" t="str">
        <f>IFERROR(__xludf.DUMMYFUNCTION("""COMPUTED_VALUE"""),"ENTREGADA GINTRACOM")</f>
        <v>ENTREGADA GINTRACOM</v>
      </c>
      <c r="AQ2076" s="65" t="str">
        <f>IFERROR(__xludf.DUMMYFUNCTION("""COMPUTED_VALUE"""),"ENTREGADA GINTRACOM")</f>
        <v>ENTREGADA GINTRACOM</v>
      </c>
      <c r="AR2076" s="65"/>
      <c r="AS2076" s="65"/>
      <c r="AT2076" s="65" t="str">
        <f>IFERROR(__xludf.DUMMYFUNCTION("""COMPUTED_VALUE"""),"SHOPIFY")</f>
        <v>SHOPIFY</v>
      </c>
      <c r="AU2076" s="65" t="str">
        <f>IFERROR(__xludf.DUMMYFUNCTION("""COMPUTED_VALUE"""),"IMPORTEX EC")</f>
        <v>IMPORTEX EC</v>
      </c>
      <c r="AV2076" s="65" t="str">
        <f>IFERROR(__xludf.DUMMYFUNCTION("""COMPUTED_VALUE"""),"6406139740204")</f>
        <v>6406139740204</v>
      </c>
      <c r="AW2076" s="65">
        <f>IFERROR(__xludf.DUMMYFUNCTION("""COMPUTED_VALUE"""),4890.0)</f>
        <v>4890</v>
      </c>
      <c r="AX2076" s="65"/>
      <c r="AY2076" s="65" t="str">
        <f>IFERROR(__xludf.DUMMYFUNCTION("""COMPUTED_VALUE"""),"14/01/2026")</f>
        <v>14/01/2026</v>
      </c>
      <c r="AZ2076" s="65"/>
      <c r="BA2076" s="65"/>
    </row>
    <row r="2077">
      <c r="A2077" s="65" t="str">
        <f>IFERROR(__xludf.DUMMYFUNCTION("""COMPUTED_VALUE"""),"27-03-2026")</f>
        <v>27-03-2026</v>
      </c>
      <c r="B2077" s="65">
        <f>IFERROR(__xludf.DUMMYFUNCTION("""COMPUTED_VALUE"""),4100950.0)</f>
        <v>4100950</v>
      </c>
      <c r="C2077" s="65" t="str">
        <f>IFERROR(__xludf.DUMMYFUNCTION("""COMPUTED_VALUE"""),"06:37")</f>
        <v>06:37</v>
      </c>
      <c r="D2077" s="65" t="str">
        <f>IFERROR(__xludf.DUMMYFUNCTION("""COMPUTED_VALUE"""),"11-01-2026")</f>
        <v>11-01-2026</v>
      </c>
      <c r="E2077" s="65" t="str">
        <f>IFERROR(__xludf.DUMMYFUNCTION("""COMPUTED_VALUE"""),"Guadalupe Barreto")</f>
        <v>Guadalupe Barreto</v>
      </c>
      <c r="F2077" s="65" t="str">
        <f>IFERROR(__xludf.DUMMYFUNCTION("""COMPUTED_VALUE"""),"985699213")</f>
        <v>985699213</v>
      </c>
      <c r="G2077" s="65" t="str">
        <f>IFERROR(__xludf.DUMMYFUNCTION("""COMPUTED_VALUE"""),"comercialserrano2023@hotmail.com")</f>
        <v>comercialserrano2023@hotmail.com</v>
      </c>
      <c r="H2077" s="65"/>
      <c r="I2077" s="65"/>
      <c r="J2077" s="65" t="str">
        <f>IFERROR(__xludf.DUMMYFUNCTION("""COMPUTED_VALUE"""),"D001223134")</f>
        <v>D001223134</v>
      </c>
      <c r="K2077" s="65" t="str">
        <f>IFERROR(__xludf.DUMMYFUNCTION("""COMPUTED_VALUE"""),"ENTREGADO")</f>
        <v>ENTREGADO</v>
      </c>
      <c r="L2077" s="65" t="str">
        <f>IFERROR(__xludf.DUMMYFUNCTION("""COMPUTED_VALUE"""),"CON RECAUDO")</f>
        <v>CON RECAUDO</v>
      </c>
      <c r="M2077" s="65" t="str">
        <f>IFERROR(__xludf.DUMMYFUNCTION("""COMPUTED_VALUE"""),"SUCUMBIOS")</f>
        <v>SUCUMBIOS</v>
      </c>
      <c r="N2077" s="65" t="str">
        <f>IFERROR(__xludf.DUMMYFUNCTION("""COMPUTED_VALUE"""),"LAGO AGRIO")</f>
        <v>LAGO AGRIO</v>
      </c>
      <c r="O2077" s="65" t="str">
        <f>IFERROR(__xludf.DUMMYFUNCTION("""COMPUTED_VALUE"""),"Av Gran Colombia y Jorge Añazco Edificio Comercial Serrano frente a la parada de buses putumayo que van a la punta")</f>
        <v>Av Gran Colombia y Jorge Añazco Edificio Comercial Serrano frente a la parada de buses putumayo que van a la punta</v>
      </c>
      <c r="P2077" s="65"/>
      <c r="Q2077" s="65" t="str">
        <f>IFERROR(__xludf.DUMMYFUNCTION("""COMPUTED_VALUE"""),"GINTRACOM")</f>
        <v>GINTRACOM</v>
      </c>
      <c r="R2077" s="65">
        <f>IFERROR(__xludf.DUMMYFUNCTION("""COMPUTED_VALUE"""),20.0)</f>
        <v>20</v>
      </c>
      <c r="S2077" s="65">
        <f>IFERROR(__xludf.DUMMYFUNCTION("""COMPUTED_VALUE"""),11.45)</f>
        <v>11.45</v>
      </c>
      <c r="T2077" s="65">
        <f>IFERROR(__xludf.DUMMYFUNCTION("""COMPUTED_VALUE"""),5.76)</f>
        <v>5.76</v>
      </c>
      <c r="U2077" s="65">
        <f>IFERROR(__xludf.DUMMYFUNCTION("""COMPUTED_VALUE"""),0.0)</f>
        <v>0</v>
      </c>
      <c r="V2077" s="65">
        <f>IFERROR(__xludf.DUMMYFUNCTION("""COMPUTED_VALUE"""),0.0)</f>
        <v>0</v>
      </c>
      <c r="W2077" s="65">
        <f>IFERROR(__xludf.DUMMYFUNCTION("""COMPUTED_VALUE"""),0.0)</f>
        <v>0</v>
      </c>
      <c r="X2077" s="65">
        <f>IFERROR(__xludf.DUMMYFUNCTION("""COMPUTED_VALUE"""),2.79)</f>
        <v>2.79</v>
      </c>
      <c r="Y2077" s="65">
        <f>IFERROR(__xludf.DUMMYFUNCTION("""COMPUTED_VALUE"""),2.79)</f>
        <v>2.79</v>
      </c>
      <c r="Z2077" s="65">
        <f>IFERROR(__xludf.DUMMYFUNCTION("""COMPUTED_VALUE"""),120732.0)</f>
        <v>120732</v>
      </c>
      <c r="AA2077" s="65" t="str">
        <f>IFERROR(__xludf.DUMMYFUNCTION("""COMPUTED_VALUE"""),"PROV-LMPVT")</f>
        <v>PROV-LMPVT</v>
      </c>
      <c r="AB2077" s="65"/>
      <c r="AC2077" s="65" t="str">
        <f>IFERROR(__xludf.DUMMYFUNCTION("""COMPUTED_VALUE"""),"LIMPIADOR DE PARABRISAS Y VENTANAS")</f>
        <v>LIMPIADOR DE PARABRISAS Y VENTANAS</v>
      </c>
      <c r="AD2077" s="65"/>
      <c r="AE2077" s="65">
        <f>IFERROR(__xludf.DUMMYFUNCTION("""COMPUTED_VALUE"""),1.0)</f>
        <v>1</v>
      </c>
      <c r="AF2077" s="65"/>
      <c r="AG2077" s="65"/>
      <c r="AH2077" s="65"/>
      <c r="AI2077" s="65"/>
      <c r="AJ2077" s="65"/>
      <c r="AK2077" s="65"/>
      <c r="AL2077" s="65"/>
      <c r="AM2077" s="65"/>
      <c r="AN2077" s="65" t="str">
        <f>IFERROR(__xludf.DUMMYFUNCTION("""COMPUTED_VALUE"""),"01:30")</f>
        <v>01:30</v>
      </c>
      <c r="AO2077" s="65" t="str">
        <f>IFERROR(__xludf.DUMMYFUNCTION("""COMPUTED_VALUE"""),"17-01-2026")</f>
        <v>17-01-2026</v>
      </c>
      <c r="AP2077" s="65" t="str">
        <f>IFERROR(__xludf.DUMMYFUNCTION("""COMPUTED_VALUE"""),"EN TRÁNSITO")</f>
        <v>EN TRÁNSITO</v>
      </c>
      <c r="AQ2077" s="65" t="str">
        <f>IFERROR(__xludf.DUMMYFUNCTION("""COMPUTED_VALUE"""),"EN TRÁNSITO")</f>
        <v>EN TRÁNSITO</v>
      </c>
      <c r="AR2077" s="65"/>
      <c r="AS2077" s="65"/>
      <c r="AT2077" s="65" t="str">
        <f>IFERROR(__xludf.DUMMYFUNCTION("""COMPUTED_VALUE"""),"SHOPIFY")</f>
        <v>SHOPIFY</v>
      </c>
      <c r="AU2077" s="65" t="str">
        <f>IFERROR(__xludf.DUMMYFUNCTION("""COMPUTED_VALUE"""),"IMPORTEX EC")</f>
        <v>IMPORTEX EC</v>
      </c>
      <c r="AV2077" s="65" t="str">
        <f>IFERROR(__xludf.DUMMYFUNCTION("""COMPUTED_VALUE"""),"6406126600236")</f>
        <v>6406126600236</v>
      </c>
      <c r="AW2077" s="65">
        <f>IFERROR(__xludf.DUMMYFUNCTION("""COMPUTED_VALUE"""),4889.0)</f>
        <v>4889</v>
      </c>
      <c r="AX2077" s="65"/>
      <c r="AY2077" s="65" t="str">
        <f>IFERROR(__xludf.DUMMYFUNCTION("""COMPUTED_VALUE"""),"14/01/2026")</f>
        <v>14/01/2026</v>
      </c>
      <c r="AZ2077" s="65"/>
      <c r="BA2077" s="65"/>
    </row>
    <row r="2078">
      <c r="A2078" s="65" t="str">
        <f>IFERROR(__xludf.DUMMYFUNCTION("""COMPUTED_VALUE"""),"27-03-2026")</f>
        <v>27-03-2026</v>
      </c>
      <c r="B2078" s="65">
        <f>IFERROR(__xludf.DUMMYFUNCTION("""COMPUTED_VALUE"""),4100886.0)</f>
        <v>4100886</v>
      </c>
      <c r="C2078" s="65" t="str">
        <f>IFERROR(__xludf.DUMMYFUNCTION("""COMPUTED_VALUE"""),"06:24")</f>
        <v>06:24</v>
      </c>
      <c r="D2078" s="65" t="str">
        <f>IFERROR(__xludf.DUMMYFUNCTION("""COMPUTED_VALUE"""),"11-01-2026")</f>
        <v>11-01-2026</v>
      </c>
      <c r="E2078" s="65" t="str">
        <f>IFERROR(__xludf.DUMMYFUNCTION("""COMPUTED_VALUE"""),"Silvio Rolan Sarango Sarango Soto")</f>
        <v>Silvio Rolan Sarango Sarango Soto</v>
      </c>
      <c r="F2078" s="65" t="str">
        <f>IFERROR(__xludf.DUMMYFUNCTION("""COMPUTED_VALUE"""),"999679185")</f>
        <v>999679185</v>
      </c>
      <c r="G2078" s="65" t="str">
        <f>IFERROR(__xludf.DUMMYFUNCTION("""COMPUTED_VALUE"""),"sarangosilvio91@gmail.com")</f>
        <v>sarangosilvio91@gmail.com</v>
      </c>
      <c r="H2078" s="65"/>
      <c r="I2078" s="65"/>
      <c r="J2078" s="65"/>
      <c r="K2078" s="65" t="str">
        <f>IFERROR(__xludf.DUMMYFUNCTION("""COMPUTED_VALUE"""),"CANCELADO")</f>
        <v>CANCELADO</v>
      </c>
      <c r="L2078" s="65" t="str">
        <f>IFERROR(__xludf.DUMMYFUNCTION("""COMPUTED_VALUE"""),"CON RECAUDO")</f>
        <v>CON RECAUDO</v>
      </c>
      <c r="M2078" s="65" t="str">
        <f>IFERROR(__xludf.DUMMYFUNCTION("""COMPUTED_VALUE"""),"ZAMORA CHINCHIPE")</f>
        <v>ZAMORA CHINCHIPE</v>
      </c>
      <c r="N2078" s="65" t="str">
        <f>IFERROR(__xludf.DUMMYFUNCTION("""COMPUTED_VALUE"""),"YANTZAZA")</f>
        <v>YANTZAZA</v>
      </c>
      <c r="O2078" s="65" t="str">
        <f>IFERROR(__xludf.DUMMYFUNCTION("""COMPUTED_VALUE"""),"Martín Ayui y Avenida Iván Riofrio norte, oficina de SERVIENTREGA -")</f>
        <v>Martín Ayui y Avenida Iván Riofrio norte, oficina de SERVIENTREGA -</v>
      </c>
      <c r="P2078" s="65"/>
      <c r="Q2078" s="65" t="str">
        <f>IFERROR(__xludf.DUMMYFUNCTION("""COMPUTED_VALUE"""),"SERVIENTREGA")</f>
        <v>SERVIENTREGA</v>
      </c>
      <c r="R2078" s="65">
        <f>IFERROR(__xludf.DUMMYFUNCTION("""COMPUTED_VALUE"""),22.0)</f>
        <v>22</v>
      </c>
      <c r="S2078" s="65"/>
      <c r="T2078" s="65">
        <f>IFERROR(__xludf.DUMMYFUNCTION("""COMPUTED_VALUE"""),7.7)</f>
        <v>7.7</v>
      </c>
      <c r="U2078" s="65">
        <f>IFERROR(__xludf.DUMMYFUNCTION("""COMPUTED_VALUE"""),0.0)</f>
        <v>0</v>
      </c>
      <c r="V2078" s="65">
        <f>IFERROR(__xludf.DUMMYFUNCTION("""COMPUTED_VALUE"""),0.0)</f>
        <v>0</v>
      </c>
      <c r="W2078" s="65">
        <f>IFERROR(__xludf.DUMMYFUNCTION("""COMPUTED_VALUE"""),0.0)</f>
        <v>0</v>
      </c>
      <c r="X2078" s="65">
        <f>IFERROR(__xludf.DUMMYFUNCTION("""COMPUTED_VALUE"""),2.6)</f>
        <v>2.6</v>
      </c>
      <c r="Y2078" s="65">
        <f>IFERROR(__xludf.DUMMYFUNCTION("""COMPUTED_VALUE"""),5.2)</f>
        <v>5.2</v>
      </c>
      <c r="Z2078" s="65">
        <f>IFERROR(__xludf.DUMMYFUNCTION("""COMPUTED_VALUE"""),121983.0)</f>
        <v>121983</v>
      </c>
      <c r="AA2078" s="65" t="str">
        <f>IFERROR(__xludf.DUMMYFUNCTION("""COMPUTED_VALUE"""),"PROV-CHLLCF")</f>
        <v>PROV-CHLLCF</v>
      </c>
      <c r="AB2078" s="65"/>
      <c r="AC2078" s="65" t="str">
        <f>IFERROR(__xludf.DUMMYFUNCTION("""COMPUTED_VALUE"""),"CUCHILLO PARA CHEF")</f>
        <v>CUCHILLO PARA CHEF</v>
      </c>
      <c r="AD2078" s="65"/>
      <c r="AE2078" s="65">
        <f>IFERROR(__xludf.DUMMYFUNCTION("""COMPUTED_VALUE"""),2.0)</f>
        <v>2</v>
      </c>
      <c r="AF2078" s="65"/>
      <c r="AG2078" s="65"/>
      <c r="AH2078" s="65"/>
      <c r="AI2078" s="65"/>
      <c r="AJ2078" s="65"/>
      <c r="AK2078" s="65"/>
      <c r="AL2078" s="65"/>
      <c r="AM2078" s="65"/>
      <c r="AN2078" s="65"/>
      <c r="AO2078" s="65"/>
      <c r="AP2078" s="65"/>
      <c r="AQ2078" s="65"/>
      <c r="AR2078" s="65"/>
      <c r="AS2078" s="65"/>
      <c r="AT2078" s="65" t="str">
        <f>IFERROR(__xludf.DUMMYFUNCTION("""COMPUTED_VALUE"""),"SHOPIFY")</f>
        <v>SHOPIFY</v>
      </c>
      <c r="AU2078" s="65" t="str">
        <f>IFERROR(__xludf.DUMMYFUNCTION("""COMPUTED_VALUE"""),"IMPORTEX EC")</f>
        <v>IMPORTEX EC</v>
      </c>
      <c r="AV2078" s="65" t="str">
        <f>IFERROR(__xludf.DUMMYFUNCTION("""COMPUTED_VALUE"""),"6406118473772")</f>
        <v>6406118473772</v>
      </c>
      <c r="AW2078" s="65">
        <f>IFERROR(__xludf.DUMMYFUNCTION("""COMPUTED_VALUE"""),4888.0)</f>
        <v>4888</v>
      </c>
      <c r="AX2078" s="65"/>
      <c r="AY2078" s="65"/>
      <c r="AZ2078" s="65"/>
      <c r="BA2078" s="65"/>
    </row>
    <row r="2079">
      <c r="A2079" s="65" t="str">
        <f>IFERROR(__xludf.DUMMYFUNCTION("""COMPUTED_VALUE"""),"27-03-2026")</f>
        <v>27-03-2026</v>
      </c>
      <c r="B2079" s="65">
        <f>IFERROR(__xludf.DUMMYFUNCTION("""COMPUTED_VALUE"""),4100839.0)</f>
        <v>4100839</v>
      </c>
      <c r="C2079" s="65" t="str">
        <f>IFERROR(__xludf.DUMMYFUNCTION("""COMPUTED_VALUE"""),"06:11")</f>
        <v>06:11</v>
      </c>
      <c r="D2079" s="65" t="str">
        <f>IFERROR(__xludf.DUMMYFUNCTION("""COMPUTED_VALUE"""),"11-01-2026")</f>
        <v>11-01-2026</v>
      </c>
      <c r="E2079" s="65" t="str">
        <f>IFERROR(__xludf.DUMMYFUNCTION("""COMPUTED_VALUE"""),"HOLGER ASISCLO SERRANO HIDALGO")</f>
        <v>HOLGER ASISCLO SERRANO HIDALGO</v>
      </c>
      <c r="F2079" s="65" t="str">
        <f>IFERROR(__xludf.DUMMYFUNCTION("""COMPUTED_VALUE"""),"999685485")</f>
        <v>999685485</v>
      </c>
      <c r="G2079" s="65" t="str">
        <f>IFERROR(__xludf.DUMMYFUNCTION("""COMPUTED_VALUE"""),"holgerserrano61@hotmail.com")</f>
        <v>holgerserrano61@hotmail.com</v>
      </c>
      <c r="H2079" s="65"/>
      <c r="I2079" s="65"/>
      <c r="J2079" s="65" t="str">
        <f>IFERROR(__xludf.DUMMYFUNCTION("""COMPUTED_VALUE"""),"D001223138")</f>
        <v>D001223138</v>
      </c>
      <c r="K2079" s="65" t="str">
        <f>IFERROR(__xludf.DUMMYFUNCTION("""COMPUTED_VALUE"""),"ENTREGADO")</f>
        <v>ENTREGADO</v>
      </c>
      <c r="L2079" s="65" t="str">
        <f>IFERROR(__xludf.DUMMYFUNCTION("""COMPUTED_VALUE"""),"CON RECAUDO")</f>
        <v>CON RECAUDO</v>
      </c>
      <c r="M2079" s="65" t="str">
        <f>IFERROR(__xludf.DUMMYFUNCTION("""COMPUTED_VALUE"""),"EL ORO")</f>
        <v>EL ORO</v>
      </c>
      <c r="N2079" s="65" t="str">
        <f>IFERROR(__xludf.DUMMYFUNCTION("""COMPUTED_VALUE"""),"EL GUABO")</f>
        <v>EL GUABO</v>
      </c>
      <c r="O2079" s="65" t="str">
        <f>IFERROR(__xludf.DUMMYFUNCTION("""COMPUTED_VALUE"""),"AV.  VP-1 ENTRE LS ""L"" Y LA ""S 41-16 POR LA CANCHA, EN LA ESQ -")</f>
        <v>AV.  VP-1 ENTRE LS "L" Y LA "S 41-16 POR LA CANCHA, EN LA ESQ -</v>
      </c>
      <c r="P2079" s="65"/>
      <c r="Q2079" s="65" t="str">
        <f>IFERROR(__xludf.DUMMYFUNCTION("""COMPUTED_VALUE"""),"GINTRACOM")</f>
        <v>GINTRACOM</v>
      </c>
      <c r="R2079" s="65">
        <f>IFERROR(__xludf.DUMMYFUNCTION("""COMPUTED_VALUE"""),30.0)</f>
        <v>30</v>
      </c>
      <c r="S2079" s="65">
        <f>IFERROR(__xludf.DUMMYFUNCTION("""COMPUTED_VALUE"""),14.9)</f>
        <v>14.9</v>
      </c>
      <c r="T2079" s="65">
        <f>IFERROR(__xludf.DUMMYFUNCTION("""COMPUTED_VALUE"""),6.73)</f>
        <v>6.73</v>
      </c>
      <c r="U2079" s="65">
        <f>IFERROR(__xludf.DUMMYFUNCTION("""COMPUTED_VALUE"""),0.0)</f>
        <v>0</v>
      </c>
      <c r="V2079" s="65">
        <f>IFERROR(__xludf.DUMMYFUNCTION("""COMPUTED_VALUE"""),0.0)</f>
        <v>0</v>
      </c>
      <c r="W2079" s="65">
        <f>IFERROR(__xludf.DUMMYFUNCTION("""COMPUTED_VALUE"""),0.0)</f>
        <v>0</v>
      </c>
      <c r="X2079" s="65">
        <f>IFERROR(__xludf.DUMMYFUNCTION("""COMPUTED_VALUE"""),2.79)</f>
        <v>2.79</v>
      </c>
      <c r="Y2079" s="65">
        <f>IFERROR(__xludf.DUMMYFUNCTION("""COMPUTED_VALUE"""),8.37)</f>
        <v>8.37</v>
      </c>
      <c r="Z2079" s="65">
        <f>IFERROR(__xludf.DUMMYFUNCTION("""COMPUTED_VALUE"""),120732.0)</f>
        <v>120732</v>
      </c>
      <c r="AA2079" s="65" t="str">
        <f>IFERROR(__xludf.DUMMYFUNCTION("""COMPUTED_VALUE"""),"PROV-LMPVT")</f>
        <v>PROV-LMPVT</v>
      </c>
      <c r="AB2079" s="65"/>
      <c r="AC2079" s="65" t="str">
        <f>IFERROR(__xludf.DUMMYFUNCTION("""COMPUTED_VALUE"""),"LIMPIADOR DE PARABRISAS Y VENTANAS")</f>
        <v>LIMPIADOR DE PARABRISAS Y VENTANAS</v>
      </c>
      <c r="AD2079" s="65"/>
      <c r="AE2079" s="65">
        <f>IFERROR(__xludf.DUMMYFUNCTION("""COMPUTED_VALUE"""),3.0)</f>
        <v>3</v>
      </c>
      <c r="AF2079" s="65"/>
      <c r="AG2079" s="65"/>
      <c r="AH2079" s="65"/>
      <c r="AI2079" s="65"/>
      <c r="AJ2079" s="65"/>
      <c r="AK2079" s="65"/>
      <c r="AL2079" s="65"/>
      <c r="AM2079" s="65"/>
      <c r="AN2079" s="65" t="str">
        <f>IFERROR(__xludf.DUMMYFUNCTION("""COMPUTED_VALUE"""),"13:40")</f>
        <v>13:40</v>
      </c>
      <c r="AO2079" s="65" t="str">
        <f>IFERROR(__xludf.DUMMYFUNCTION("""COMPUTED_VALUE"""),"17-01-2026")</f>
        <v>17-01-2026</v>
      </c>
      <c r="AP2079" s="65" t="str">
        <f>IFERROR(__xludf.DUMMYFUNCTION("""COMPUTED_VALUE"""),"ENTREGADA GINTRACOM")</f>
        <v>ENTREGADA GINTRACOM</v>
      </c>
      <c r="AQ2079" s="65" t="str">
        <f>IFERROR(__xludf.DUMMYFUNCTION("""COMPUTED_VALUE"""),"ENTREGADA GINTRACOM")</f>
        <v>ENTREGADA GINTRACOM</v>
      </c>
      <c r="AR2079" s="65"/>
      <c r="AS2079" s="65"/>
      <c r="AT2079" s="65" t="str">
        <f>IFERROR(__xludf.DUMMYFUNCTION("""COMPUTED_VALUE"""),"SHOPIFY")</f>
        <v>SHOPIFY</v>
      </c>
      <c r="AU2079" s="65" t="str">
        <f>IFERROR(__xludf.DUMMYFUNCTION("""COMPUTED_VALUE"""),"IMPORTEX EC")</f>
        <v>IMPORTEX EC</v>
      </c>
      <c r="AV2079" s="65" t="str">
        <f>IFERROR(__xludf.DUMMYFUNCTION("""COMPUTED_VALUE"""),"6406111199276")</f>
        <v>6406111199276</v>
      </c>
      <c r="AW2079" s="65">
        <f>IFERROR(__xludf.DUMMYFUNCTION("""COMPUTED_VALUE"""),4887.0)</f>
        <v>4887</v>
      </c>
      <c r="AX2079" s="65"/>
      <c r="AY2079" s="65" t="str">
        <f>IFERROR(__xludf.DUMMYFUNCTION("""COMPUTED_VALUE"""),"14/01/2026")</f>
        <v>14/01/2026</v>
      </c>
      <c r="AZ2079" s="65"/>
      <c r="BA2079" s="65"/>
    </row>
    <row r="2080">
      <c r="A2080" s="65" t="str">
        <f>IFERROR(__xludf.DUMMYFUNCTION("""COMPUTED_VALUE"""),"27-03-2026")</f>
        <v>27-03-2026</v>
      </c>
      <c r="B2080" s="65">
        <f>IFERROR(__xludf.DUMMYFUNCTION("""COMPUTED_VALUE"""),4100663.0)</f>
        <v>4100663</v>
      </c>
      <c r="C2080" s="65" t="str">
        <f>IFERROR(__xludf.DUMMYFUNCTION("""COMPUTED_VALUE"""),"04:50")</f>
        <v>04:50</v>
      </c>
      <c r="D2080" s="65" t="str">
        <f>IFERROR(__xludf.DUMMYFUNCTION("""COMPUTED_VALUE"""),"11-01-2026")</f>
        <v>11-01-2026</v>
      </c>
      <c r="E2080" s="65" t="str">
        <f>IFERROR(__xludf.DUMMYFUNCTION("""COMPUTED_VALUE"""),"Jacky Ramos")</f>
        <v>Jacky Ramos</v>
      </c>
      <c r="F2080" s="65" t="str">
        <f>IFERROR(__xludf.DUMMYFUNCTION("""COMPUTED_VALUE"""),"987664686")</f>
        <v>987664686</v>
      </c>
      <c r="G2080" s="65" t="str">
        <f>IFERROR(__xludf.DUMMYFUNCTION("""COMPUTED_VALUE"""),"zham.rubio@gmail.com")</f>
        <v>zham.rubio@gmail.com</v>
      </c>
      <c r="H2080" s="65"/>
      <c r="I2080" s="65"/>
      <c r="J2080" s="65" t="str">
        <f>IFERROR(__xludf.DUMMYFUNCTION("""COMPUTED_VALUE"""),"D001223139")</f>
        <v>D001223139</v>
      </c>
      <c r="K2080" s="65" t="str">
        <f>IFERROR(__xludf.DUMMYFUNCTION("""COMPUTED_VALUE"""),"ENTREGADO")</f>
        <v>ENTREGADO</v>
      </c>
      <c r="L2080" s="65" t="str">
        <f>IFERROR(__xludf.DUMMYFUNCTION("""COMPUTED_VALUE"""),"CON RECAUDO")</f>
        <v>CON RECAUDO</v>
      </c>
      <c r="M2080" s="65" t="str">
        <f>IFERROR(__xludf.DUMMYFUNCTION("""COMPUTED_VALUE"""),"PICHINCHA")</f>
        <v>PICHINCHA</v>
      </c>
      <c r="N2080" s="65" t="str">
        <f>IFERROR(__xludf.DUMMYFUNCTION("""COMPUTED_VALUE"""),"QUITO")</f>
        <v>QUITO</v>
      </c>
      <c r="O2080" s="65" t="str">
        <f>IFERROR(__xludf.DUMMYFUNCTION("""COMPUTED_VALUE"""),"Junto al edificio del parque ingles Florencio espinoza casa 5 y luis robalino - REF : junto al restaurant Mamma Mia")</f>
        <v>Junto al edificio del parque ingles Florencio espinoza casa 5 y luis robalino - REF : junto al restaurant Mamma Mia</v>
      </c>
      <c r="P2080" s="65"/>
      <c r="Q2080" s="65" t="str">
        <f>IFERROR(__xludf.DUMMYFUNCTION("""COMPUTED_VALUE"""),"GINTRACOM")</f>
        <v>GINTRACOM</v>
      </c>
      <c r="R2080" s="65">
        <f>IFERROR(__xludf.DUMMYFUNCTION("""COMPUTED_VALUE"""),25.0)</f>
        <v>25</v>
      </c>
      <c r="S2080" s="65">
        <f>IFERROR(__xludf.DUMMYFUNCTION("""COMPUTED_VALUE"""),13.46)</f>
        <v>13.46</v>
      </c>
      <c r="T2080" s="65">
        <f>IFERROR(__xludf.DUMMYFUNCTION("""COMPUTED_VALUE"""),5.96)</f>
        <v>5.96</v>
      </c>
      <c r="U2080" s="65">
        <f>IFERROR(__xludf.DUMMYFUNCTION("""COMPUTED_VALUE"""),0.0)</f>
        <v>0</v>
      </c>
      <c r="V2080" s="65">
        <f>IFERROR(__xludf.DUMMYFUNCTION("""COMPUTED_VALUE"""),0.0)</f>
        <v>0</v>
      </c>
      <c r="W2080" s="65">
        <f>IFERROR(__xludf.DUMMYFUNCTION("""COMPUTED_VALUE"""),0.0)</f>
        <v>0</v>
      </c>
      <c r="X2080" s="65">
        <f>IFERROR(__xludf.DUMMYFUNCTION("""COMPUTED_VALUE"""),2.79)</f>
        <v>2.79</v>
      </c>
      <c r="Y2080" s="65">
        <f>IFERROR(__xludf.DUMMYFUNCTION("""COMPUTED_VALUE"""),5.58)</f>
        <v>5.58</v>
      </c>
      <c r="Z2080" s="65">
        <f>IFERROR(__xludf.DUMMYFUNCTION("""COMPUTED_VALUE"""),120732.0)</f>
        <v>120732</v>
      </c>
      <c r="AA2080" s="65" t="str">
        <f>IFERROR(__xludf.DUMMYFUNCTION("""COMPUTED_VALUE"""),"PROV-LMPVT")</f>
        <v>PROV-LMPVT</v>
      </c>
      <c r="AB2080" s="65"/>
      <c r="AC2080" s="65" t="str">
        <f>IFERROR(__xludf.DUMMYFUNCTION("""COMPUTED_VALUE"""),"LIMPIADOR DE PARABRISAS Y VENTANAS")</f>
        <v>LIMPIADOR DE PARABRISAS Y VENTANAS</v>
      </c>
      <c r="AD2080" s="65"/>
      <c r="AE2080" s="65">
        <f>IFERROR(__xludf.DUMMYFUNCTION("""COMPUTED_VALUE"""),2.0)</f>
        <v>2</v>
      </c>
      <c r="AF2080" s="65"/>
      <c r="AG2080" s="65"/>
      <c r="AH2080" s="65"/>
      <c r="AI2080" s="65"/>
      <c r="AJ2080" s="65"/>
      <c r="AK2080" s="65"/>
      <c r="AL2080" s="65"/>
      <c r="AM2080" s="65"/>
      <c r="AN2080" s="65" t="str">
        <f>IFERROR(__xludf.DUMMYFUNCTION("""COMPUTED_VALUE"""),"13:17")</f>
        <v>13:17</v>
      </c>
      <c r="AO2080" s="65" t="str">
        <f>IFERROR(__xludf.DUMMYFUNCTION("""COMPUTED_VALUE"""),"16-01-2026")</f>
        <v>16-01-2026</v>
      </c>
      <c r="AP2080" s="65" t="str">
        <f>IFERROR(__xludf.DUMMYFUNCTION("""COMPUTED_VALUE"""),"ENTREGADA GINTRACOM")</f>
        <v>ENTREGADA GINTRACOM</v>
      </c>
      <c r="AQ2080" s="65" t="str">
        <f>IFERROR(__xludf.DUMMYFUNCTION("""COMPUTED_VALUE"""),"ENTREGADA GINTRACOM")</f>
        <v>ENTREGADA GINTRACOM</v>
      </c>
      <c r="AR2080" s="65"/>
      <c r="AS2080" s="65"/>
      <c r="AT2080" s="65" t="str">
        <f>IFERROR(__xludf.DUMMYFUNCTION("""COMPUTED_VALUE"""),"SHOPIFY")</f>
        <v>SHOPIFY</v>
      </c>
      <c r="AU2080" s="65" t="str">
        <f>IFERROR(__xludf.DUMMYFUNCTION("""COMPUTED_VALUE"""),"IMPORTEX EC")</f>
        <v>IMPORTEX EC</v>
      </c>
      <c r="AV2080" s="65" t="str">
        <f>IFERROR(__xludf.DUMMYFUNCTION("""COMPUTED_VALUE"""),"6406065782828")</f>
        <v>6406065782828</v>
      </c>
      <c r="AW2080" s="65">
        <f>IFERROR(__xludf.DUMMYFUNCTION("""COMPUTED_VALUE"""),4886.0)</f>
        <v>4886</v>
      </c>
      <c r="AX2080" s="65"/>
      <c r="AY2080" s="65" t="str">
        <f>IFERROR(__xludf.DUMMYFUNCTION("""COMPUTED_VALUE"""),"14/01/2026")</f>
        <v>14/01/2026</v>
      </c>
      <c r="AZ2080" s="65"/>
      <c r="BA2080" s="65"/>
    </row>
    <row r="2081">
      <c r="A2081" s="65" t="str">
        <f>IFERROR(__xludf.DUMMYFUNCTION("""COMPUTED_VALUE"""),"27-03-2026")</f>
        <v>27-03-2026</v>
      </c>
      <c r="B2081" s="65">
        <f>IFERROR(__xludf.DUMMYFUNCTION("""COMPUTED_VALUE"""),4100582.0)</f>
        <v>4100582</v>
      </c>
      <c r="C2081" s="65" t="str">
        <f>IFERROR(__xludf.DUMMYFUNCTION("""COMPUTED_VALUE"""),"03:33")</f>
        <v>03:33</v>
      </c>
      <c r="D2081" s="65" t="str">
        <f>IFERROR(__xludf.DUMMYFUNCTION("""COMPUTED_VALUE"""),"11-01-2026")</f>
        <v>11-01-2026</v>
      </c>
      <c r="E2081" s="65" t="str">
        <f>IFERROR(__xludf.DUMMYFUNCTION("""COMPUTED_VALUE"""),"Eduardo Ulco")</f>
        <v>Eduardo Ulco</v>
      </c>
      <c r="F2081" s="65" t="str">
        <f>IFERROR(__xludf.DUMMYFUNCTION("""COMPUTED_VALUE"""),"995497878")</f>
        <v>995497878</v>
      </c>
      <c r="G2081" s="65" t="str">
        <f>IFERROR(__xludf.DUMMYFUNCTION("""COMPUTED_VALUE"""),"eduramiulco@yahoo.com")</f>
        <v>eduramiulco@yahoo.com</v>
      </c>
      <c r="H2081" s="65"/>
      <c r="I2081" s="65"/>
      <c r="J2081" s="65" t="str">
        <f>IFERROR(__xludf.DUMMYFUNCTION("""COMPUTED_VALUE"""),"D001223142")</f>
        <v>D001223142</v>
      </c>
      <c r="K2081" s="65" t="str">
        <f>IFERROR(__xludf.DUMMYFUNCTION("""COMPUTED_VALUE"""),"DEVOLUCION")</f>
        <v>DEVOLUCION</v>
      </c>
      <c r="L2081" s="65" t="str">
        <f>IFERROR(__xludf.DUMMYFUNCTION("""COMPUTED_VALUE"""),"CON RECAUDO")</f>
        <v>CON RECAUDO</v>
      </c>
      <c r="M2081" s="65" t="str">
        <f>IFERROR(__xludf.DUMMYFUNCTION("""COMPUTED_VALUE"""),"PICHINCHA")</f>
        <v>PICHINCHA</v>
      </c>
      <c r="N2081" s="65" t="str">
        <f>IFERROR(__xludf.DUMMYFUNCTION("""COMPUTED_VALUE"""),"QUITO")</f>
        <v>QUITO</v>
      </c>
      <c r="O2081" s="65" t="str">
        <f>IFERROR(__xludf.DUMMYFUNCTION("""COMPUTED_VALUE"""),"De las Dalias y chuquisaca Cotocollao -")</f>
        <v>De las Dalias y chuquisaca Cotocollao -</v>
      </c>
      <c r="P2081" s="65"/>
      <c r="Q2081" s="65" t="str">
        <f>IFERROR(__xludf.DUMMYFUNCTION("""COMPUTED_VALUE"""),"GINTRACOM")</f>
        <v>GINTRACOM</v>
      </c>
      <c r="R2081" s="65">
        <f>IFERROR(__xludf.DUMMYFUNCTION("""COMPUTED_VALUE"""),30.0)</f>
        <v>30</v>
      </c>
      <c r="S2081" s="65"/>
      <c r="T2081" s="65">
        <f>IFERROR(__xludf.DUMMYFUNCTION("""COMPUTED_VALUE"""),6.16)</f>
        <v>6.16</v>
      </c>
      <c r="U2081" s="65">
        <f>IFERROR(__xludf.DUMMYFUNCTION("""COMPUTED_VALUE"""),0.0)</f>
        <v>0</v>
      </c>
      <c r="V2081" s="65">
        <f>IFERROR(__xludf.DUMMYFUNCTION("""COMPUTED_VALUE"""),0.0)</f>
        <v>0</v>
      </c>
      <c r="W2081" s="65">
        <f>IFERROR(__xludf.DUMMYFUNCTION("""COMPUTED_VALUE"""),0.0)</f>
        <v>0</v>
      </c>
      <c r="X2081" s="65">
        <f>IFERROR(__xludf.DUMMYFUNCTION("""COMPUTED_VALUE"""),2.79)</f>
        <v>2.79</v>
      </c>
      <c r="Y2081" s="65">
        <f>IFERROR(__xludf.DUMMYFUNCTION("""COMPUTED_VALUE"""),8.37)</f>
        <v>8.37</v>
      </c>
      <c r="Z2081" s="65">
        <f>IFERROR(__xludf.DUMMYFUNCTION("""COMPUTED_VALUE"""),120732.0)</f>
        <v>120732</v>
      </c>
      <c r="AA2081" s="65" t="str">
        <f>IFERROR(__xludf.DUMMYFUNCTION("""COMPUTED_VALUE"""),"PROV-LMPVT")</f>
        <v>PROV-LMPVT</v>
      </c>
      <c r="AB2081" s="65"/>
      <c r="AC2081" s="65" t="str">
        <f>IFERROR(__xludf.DUMMYFUNCTION("""COMPUTED_VALUE"""),"LIMPIADOR DE PARABRISAS Y VENTANAS")</f>
        <v>LIMPIADOR DE PARABRISAS Y VENTANAS</v>
      </c>
      <c r="AD2081" s="65"/>
      <c r="AE2081" s="65">
        <f>IFERROR(__xludf.DUMMYFUNCTION("""COMPUTED_VALUE"""),3.0)</f>
        <v>3</v>
      </c>
      <c r="AF2081" s="65" t="str">
        <f>IFERROR(__xludf.DUMMYFUNCTION("""COMPUTED_VALUE"""),"DESTINATARIO INDICA QUE YA NO DESEA EL PRODUCTO")</f>
        <v>DESTINATARIO INDICA QUE YA NO DESEA EL PRODUCTO</v>
      </c>
      <c r="AG2081" s="65" t="str">
        <f>IFERROR(__xludf.DUMMYFUNCTION("""COMPUTED_VALUE"""),"NO")</f>
        <v>NO</v>
      </c>
      <c r="AH2081" s="65" t="str">
        <f>IFERROR(__xludf.DUMMYFUNCTION("""COMPUTED_VALUE"""),"15:18")</f>
        <v>15:18</v>
      </c>
      <c r="AI2081" s="65" t="str">
        <f>IFERROR(__xludf.DUMMYFUNCTION("""COMPUTED_VALUE"""),"14-01-2026")</f>
        <v>14-01-2026</v>
      </c>
      <c r="AJ2081" s="65"/>
      <c r="AK2081" s="65"/>
      <c r="AL2081" s="65"/>
      <c r="AM2081" s="65"/>
      <c r="AN2081" s="65" t="str">
        <f>IFERROR(__xludf.DUMMYFUNCTION("""COMPUTED_VALUE"""),"08:44")</f>
        <v>08:44</v>
      </c>
      <c r="AO2081" s="65" t="str">
        <f>IFERROR(__xludf.DUMMYFUNCTION("""COMPUTED_VALUE"""),"10-02-2026")</f>
        <v>10-02-2026</v>
      </c>
      <c r="AP2081" s="65" t="str">
        <f>IFERROR(__xludf.DUMMYFUNCTION("""COMPUTED_VALUE"""),"DEV CONFIRMADA POR BODEGA")</f>
        <v>DEV CONFIRMADA POR BODEGA</v>
      </c>
      <c r="AQ2081" s="65"/>
      <c r="AR2081" s="65" t="str">
        <f>IFERROR(__xludf.DUMMYFUNCTION("""COMPUTED_VALUE"""),"Gestionado por: Moran Daniel, email:danielmorga2005@gmail.com, total de productos en la orden: 1")</f>
        <v>Gestionado por: Moran Daniel, email:danielmorga2005@gmail.com, total de productos en la orden: 1</v>
      </c>
      <c r="AS2081" s="65"/>
      <c r="AT2081" s="65" t="str">
        <f>IFERROR(__xludf.DUMMYFUNCTION("""COMPUTED_VALUE"""),"SHOPIFY")</f>
        <v>SHOPIFY</v>
      </c>
      <c r="AU2081" s="65" t="str">
        <f>IFERROR(__xludf.DUMMYFUNCTION("""COMPUTED_VALUE"""),"IMPORTEX EC")</f>
        <v>IMPORTEX EC</v>
      </c>
      <c r="AV2081" s="65" t="str">
        <f>IFERROR(__xludf.DUMMYFUNCTION("""COMPUTED_VALUE"""),"6406023774252")</f>
        <v>6406023774252</v>
      </c>
      <c r="AW2081" s="65">
        <f>IFERROR(__xludf.DUMMYFUNCTION("""COMPUTED_VALUE"""),4885.0)</f>
        <v>4885</v>
      </c>
      <c r="AX2081" s="65"/>
      <c r="AY2081" s="65" t="str">
        <f>IFERROR(__xludf.DUMMYFUNCTION("""COMPUTED_VALUE"""),"14/01/2026")</f>
        <v>14/01/2026</v>
      </c>
      <c r="AZ2081" s="65"/>
      <c r="BA2081" s="65"/>
    </row>
    <row r="2082">
      <c r="A2082" s="65" t="str">
        <f>IFERROR(__xludf.DUMMYFUNCTION("""COMPUTED_VALUE"""),"27-03-2026")</f>
        <v>27-03-2026</v>
      </c>
      <c r="B2082" s="65">
        <f>IFERROR(__xludf.DUMMYFUNCTION("""COMPUTED_VALUE"""),4100293.0)</f>
        <v>4100293</v>
      </c>
      <c r="C2082" s="65" t="str">
        <f>IFERROR(__xludf.DUMMYFUNCTION("""COMPUTED_VALUE"""),"00:55")</f>
        <v>00:55</v>
      </c>
      <c r="D2082" s="65" t="str">
        <f>IFERROR(__xludf.DUMMYFUNCTION("""COMPUTED_VALUE"""),"11-01-2026")</f>
        <v>11-01-2026</v>
      </c>
      <c r="E2082" s="65" t="str">
        <f>IFERROR(__xludf.DUMMYFUNCTION("""COMPUTED_VALUE"""),"Jorge Steven Merchan Janeta")</f>
        <v>Jorge Steven Merchan Janeta</v>
      </c>
      <c r="F2082" s="65" t="str">
        <f>IFERROR(__xludf.DUMMYFUNCTION("""COMPUTED_VALUE"""),"994086608")</f>
        <v>994086608</v>
      </c>
      <c r="G2082" s="65" t="str">
        <f>IFERROR(__xludf.DUMMYFUNCTION("""COMPUTED_VALUE"""),"stevenmercham593@gmail.com")</f>
        <v>stevenmercham593@gmail.com</v>
      </c>
      <c r="H2082" s="65"/>
      <c r="I2082" s="65"/>
      <c r="J2082" s="65"/>
      <c r="K2082" s="65" t="str">
        <f>IFERROR(__xludf.DUMMYFUNCTION("""COMPUTED_VALUE"""),"PENDIENTE CONFIRMACION")</f>
        <v>PENDIENTE CONFIRMACION</v>
      </c>
      <c r="L2082" s="65" t="str">
        <f>IFERROR(__xludf.DUMMYFUNCTION("""COMPUTED_VALUE"""),"CON RECAUDO")</f>
        <v>CON RECAUDO</v>
      </c>
      <c r="M2082" s="65" t="str">
        <f>IFERROR(__xludf.DUMMYFUNCTION("""COMPUTED_VALUE"""),"GUAYAS")</f>
        <v>GUAYAS</v>
      </c>
      <c r="N2082" s="65" t="str">
        <f>IFERROR(__xludf.DUMMYFUNCTION("""COMPUTED_VALUE"""),"DAULE")</f>
        <v>DAULE</v>
      </c>
      <c r="O2082" s="65" t="str">
        <f>IFERROR(__xludf.DUMMYFUNCTION("""COMPUTED_VALUE"""),"Calle provincia de Napo y manuela Cañizares Mz 304 SL 6. Diagonal a la iglesia San Cristóbal Diagonal a la iglesia San Cristóbal casa color azul y ventanas color blanco -")</f>
        <v>Calle provincia de Napo y manuela Cañizares Mz 304 SL 6. Diagonal a la iglesia San Cristóbal Diagonal a la iglesia San Cristóbal casa color azul y ventanas color blanco -</v>
      </c>
      <c r="P2082" s="65"/>
      <c r="Q2082" s="65" t="str">
        <f>IFERROR(__xludf.DUMMYFUNCTION("""COMPUTED_VALUE"""),"GINTRACOM")</f>
        <v>GINTRACOM</v>
      </c>
      <c r="R2082" s="65">
        <f>IFERROR(__xludf.DUMMYFUNCTION("""COMPUTED_VALUE"""),22.0)</f>
        <v>22</v>
      </c>
      <c r="S2082" s="65"/>
      <c r="T2082" s="65">
        <f>IFERROR(__xludf.DUMMYFUNCTION("""COMPUTED_VALUE"""),5.26)</f>
        <v>5.26</v>
      </c>
      <c r="U2082" s="65">
        <f>IFERROR(__xludf.DUMMYFUNCTION("""COMPUTED_VALUE"""),0.0)</f>
        <v>0</v>
      </c>
      <c r="V2082" s="65">
        <f>IFERROR(__xludf.DUMMYFUNCTION("""COMPUTED_VALUE"""),0.0)</f>
        <v>0</v>
      </c>
      <c r="W2082" s="65">
        <f>IFERROR(__xludf.DUMMYFUNCTION("""COMPUTED_VALUE"""),0.0)</f>
        <v>0</v>
      </c>
      <c r="X2082" s="65">
        <f>IFERROR(__xludf.DUMMYFUNCTION("""COMPUTED_VALUE"""),2.6)</f>
        <v>2.6</v>
      </c>
      <c r="Y2082" s="65">
        <f>IFERROR(__xludf.DUMMYFUNCTION("""COMPUTED_VALUE"""),5.2)</f>
        <v>5.2</v>
      </c>
      <c r="Z2082" s="65">
        <f>IFERROR(__xludf.DUMMYFUNCTION("""COMPUTED_VALUE"""),121983.0)</f>
        <v>121983</v>
      </c>
      <c r="AA2082" s="65" t="str">
        <f>IFERROR(__xludf.DUMMYFUNCTION("""COMPUTED_VALUE"""),"PROV-CHLLCF")</f>
        <v>PROV-CHLLCF</v>
      </c>
      <c r="AB2082" s="65"/>
      <c r="AC2082" s="65" t="str">
        <f>IFERROR(__xludf.DUMMYFUNCTION("""COMPUTED_VALUE"""),"CUCHILLO PARA CHEF")</f>
        <v>CUCHILLO PARA CHEF</v>
      </c>
      <c r="AD2082" s="65"/>
      <c r="AE2082" s="65">
        <f>IFERROR(__xludf.DUMMYFUNCTION("""COMPUTED_VALUE"""),2.0)</f>
        <v>2</v>
      </c>
      <c r="AF2082" s="65"/>
      <c r="AG2082" s="65"/>
      <c r="AH2082" s="65"/>
      <c r="AI2082" s="65"/>
      <c r="AJ2082" s="65"/>
      <c r="AK2082" s="65"/>
      <c r="AL2082" s="65"/>
      <c r="AM2082" s="65"/>
      <c r="AN2082" s="65"/>
      <c r="AO2082" s="65"/>
      <c r="AP2082" s="65"/>
      <c r="AQ2082" s="65"/>
      <c r="AR2082" s="65"/>
      <c r="AS2082" s="65"/>
      <c r="AT2082" s="65" t="str">
        <f>IFERROR(__xludf.DUMMYFUNCTION("""COMPUTED_VALUE"""),"SHOPIFY")</f>
        <v>SHOPIFY</v>
      </c>
      <c r="AU2082" s="65" t="str">
        <f>IFERROR(__xludf.DUMMYFUNCTION("""COMPUTED_VALUE"""),"IMPORTEX EC")</f>
        <v>IMPORTEX EC</v>
      </c>
      <c r="AV2082" s="65" t="str">
        <f>IFERROR(__xludf.DUMMYFUNCTION("""COMPUTED_VALUE"""),"6405802229804")</f>
        <v>6405802229804</v>
      </c>
      <c r="AW2082" s="65">
        <f>IFERROR(__xludf.DUMMYFUNCTION("""COMPUTED_VALUE"""),4884.0)</f>
        <v>4884</v>
      </c>
      <c r="AX2082" s="65"/>
      <c r="AY2082" s="65"/>
      <c r="AZ2082" s="65"/>
      <c r="BA2082" s="65"/>
    </row>
    <row r="2083">
      <c r="A2083" s="65" t="str">
        <f>IFERROR(__xludf.DUMMYFUNCTION("""COMPUTED_VALUE"""),"27-03-2026")</f>
        <v>27-03-2026</v>
      </c>
      <c r="B2083" s="65">
        <f>IFERROR(__xludf.DUMMYFUNCTION("""COMPUTED_VALUE"""),4100111.0)</f>
        <v>4100111</v>
      </c>
      <c r="C2083" s="65" t="str">
        <f>IFERROR(__xludf.DUMMYFUNCTION("""COMPUTED_VALUE"""),"00:01")</f>
        <v>00:01</v>
      </c>
      <c r="D2083" s="65" t="str">
        <f>IFERROR(__xludf.DUMMYFUNCTION("""COMPUTED_VALUE"""),"11-01-2026")</f>
        <v>11-01-2026</v>
      </c>
      <c r="E2083" s="65" t="str">
        <f>IFERROR(__xludf.DUMMYFUNCTION("""COMPUTED_VALUE"""),"Roberto  lopez López")</f>
        <v>Roberto  lopez López</v>
      </c>
      <c r="F2083" s="65" t="str">
        <f>IFERROR(__xludf.DUMMYFUNCTION("""COMPUTED_VALUE"""),"984213677")</f>
        <v>984213677</v>
      </c>
      <c r="G2083" s="65" t="str">
        <f>IFERROR(__xludf.DUMMYFUNCTION("""COMPUTED_VALUE"""),"rlino1958@gmail.com")</f>
        <v>rlino1958@gmail.com</v>
      </c>
      <c r="H2083" s="65"/>
      <c r="I2083" s="65"/>
      <c r="J2083" s="65" t="str">
        <f>IFERROR(__xludf.DUMMYFUNCTION("""COMPUTED_VALUE"""),"D001276550")</f>
        <v>D001276550</v>
      </c>
      <c r="K2083" s="65" t="str">
        <f>IFERROR(__xludf.DUMMYFUNCTION("""COMPUTED_VALUE"""),"ENTREGADO")</f>
        <v>ENTREGADO</v>
      </c>
      <c r="L2083" s="65" t="str">
        <f>IFERROR(__xludf.DUMMYFUNCTION("""COMPUTED_VALUE"""),"CON RECAUDO")</f>
        <v>CON RECAUDO</v>
      </c>
      <c r="M2083" s="65" t="str">
        <f>IFERROR(__xludf.DUMMYFUNCTION("""COMPUTED_VALUE"""),"GUAYAS")</f>
        <v>GUAYAS</v>
      </c>
      <c r="N2083" s="65" t="str">
        <f>IFERROR(__xludf.DUMMYFUNCTION("""COMPUTED_VALUE"""),"DAULE")</f>
        <v>DAULE</v>
      </c>
      <c r="O2083" s="65" t="str">
        <f>IFERROR(__xludf.DUMMYFUNCTION("""COMPUTED_VALUE"""),"Av. León Febres Cordero - Entrada a la joya y Etapa Corona Mz9 V17 - Frente al gimnasio Taurus entrando por la etapa Tiara -")</f>
        <v>Av. León Febres Cordero - Entrada a la joya y Etapa Corona Mz9 V17 - Frente al gimnasio Taurus entrando por la etapa Tiara -</v>
      </c>
      <c r="P2083" s="65"/>
      <c r="Q2083" s="65" t="str">
        <f>IFERROR(__xludf.DUMMYFUNCTION("""COMPUTED_VALUE"""),"GINTRACOM")</f>
        <v>GINTRACOM</v>
      </c>
      <c r="R2083" s="65">
        <f>IFERROR(__xludf.DUMMYFUNCTION("""COMPUTED_VALUE"""),30.0)</f>
        <v>30</v>
      </c>
      <c r="S2083" s="65">
        <f>IFERROR(__xludf.DUMMYFUNCTION("""COMPUTED_VALUE"""),16.05)</f>
        <v>16.05</v>
      </c>
      <c r="T2083" s="65">
        <f>IFERROR(__xludf.DUMMYFUNCTION("""COMPUTED_VALUE"""),5.58)</f>
        <v>5.58</v>
      </c>
      <c r="U2083" s="65">
        <f>IFERROR(__xludf.DUMMYFUNCTION("""COMPUTED_VALUE"""),0.0)</f>
        <v>0</v>
      </c>
      <c r="V2083" s="65">
        <f>IFERROR(__xludf.DUMMYFUNCTION("""COMPUTED_VALUE"""),0.0)</f>
        <v>0</v>
      </c>
      <c r="W2083" s="65">
        <f>IFERROR(__xludf.DUMMYFUNCTION("""COMPUTED_VALUE"""),0.0)</f>
        <v>0</v>
      </c>
      <c r="X2083" s="65">
        <f>IFERROR(__xludf.DUMMYFUNCTION("""COMPUTED_VALUE"""),2.79)</f>
        <v>2.79</v>
      </c>
      <c r="Y2083" s="65">
        <f>IFERROR(__xludf.DUMMYFUNCTION("""COMPUTED_VALUE"""),8.37)</f>
        <v>8.37</v>
      </c>
      <c r="Z2083" s="65">
        <f>IFERROR(__xludf.DUMMYFUNCTION("""COMPUTED_VALUE"""),120732.0)</f>
        <v>120732</v>
      </c>
      <c r="AA2083" s="65" t="str">
        <f>IFERROR(__xludf.DUMMYFUNCTION("""COMPUTED_VALUE"""),"PROV-LMPVT")</f>
        <v>PROV-LMPVT</v>
      </c>
      <c r="AB2083" s="65"/>
      <c r="AC2083" s="65" t="str">
        <f>IFERROR(__xludf.DUMMYFUNCTION("""COMPUTED_VALUE"""),"LIMPIADOR DE PARABRISAS Y VENTANAS")</f>
        <v>LIMPIADOR DE PARABRISAS Y VENTANAS</v>
      </c>
      <c r="AD2083" s="65"/>
      <c r="AE2083" s="65">
        <f>IFERROR(__xludf.DUMMYFUNCTION("""COMPUTED_VALUE"""),3.0)</f>
        <v>3</v>
      </c>
      <c r="AF2083" s="65"/>
      <c r="AG2083" s="65"/>
      <c r="AH2083" s="65"/>
      <c r="AI2083" s="65"/>
      <c r="AJ2083" s="65"/>
      <c r="AK2083" s="65"/>
      <c r="AL2083" s="65"/>
      <c r="AM2083" s="65"/>
      <c r="AN2083" s="65"/>
      <c r="AO2083" s="65"/>
      <c r="AP2083" s="65"/>
      <c r="AQ2083" s="65"/>
      <c r="AR2083" s="65"/>
      <c r="AS2083" s="65"/>
      <c r="AT2083" s="65" t="str">
        <f>IFERROR(__xludf.DUMMYFUNCTION("""COMPUTED_VALUE"""),"SHOPIFY")</f>
        <v>SHOPIFY</v>
      </c>
      <c r="AU2083" s="65" t="str">
        <f>IFERROR(__xludf.DUMMYFUNCTION("""COMPUTED_VALUE"""),"IMPORTEX EC")</f>
        <v>IMPORTEX EC</v>
      </c>
      <c r="AV2083" s="65" t="str">
        <f>IFERROR(__xludf.DUMMYFUNCTION("""COMPUTED_VALUE"""),"6405720342572")</f>
        <v>6405720342572</v>
      </c>
      <c r="AW2083" s="65">
        <f>IFERROR(__xludf.DUMMYFUNCTION("""COMPUTED_VALUE"""),4883.0)</f>
        <v>4883</v>
      </c>
      <c r="AX2083" s="65"/>
      <c r="AY2083" s="65" t="str">
        <f>IFERROR(__xludf.DUMMYFUNCTION("""COMPUTED_VALUE"""),"30/01/2026")</f>
        <v>30/01/2026</v>
      </c>
      <c r="AZ2083" s="65"/>
      <c r="BA2083" s="65"/>
    </row>
    <row r="2084">
      <c r="A2084" s="65" t="str">
        <f>IFERROR(__xludf.DUMMYFUNCTION("""COMPUTED_VALUE"""),"27-03-2026")</f>
        <v>27-03-2026</v>
      </c>
      <c r="B2084" s="65">
        <f>IFERROR(__xludf.DUMMYFUNCTION("""COMPUTED_VALUE"""),4100099.0)</f>
        <v>4100099</v>
      </c>
      <c r="C2084" s="65" t="str">
        <f>IFERROR(__xludf.DUMMYFUNCTION("""COMPUTED_VALUE"""),"23:59")</f>
        <v>23:59</v>
      </c>
      <c r="D2084" s="65" t="str">
        <f>IFERROR(__xludf.DUMMYFUNCTION("""COMPUTED_VALUE"""),"10-01-2026")</f>
        <v>10-01-2026</v>
      </c>
      <c r="E2084" s="65" t="str">
        <f>IFERROR(__xludf.DUMMYFUNCTION("""COMPUTED_VALUE"""),"Freddy Silva")</f>
        <v>Freddy Silva</v>
      </c>
      <c r="F2084" s="65" t="str">
        <f>IFERROR(__xludf.DUMMYFUNCTION("""COMPUTED_VALUE"""),"999577550")</f>
        <v>999577550</v>
      </c>
      <c r="G2084" s="65" t="str">
        <f>IFERROR(__xludf.DUMMYFUNCTION("""COMPUTED_VALUE"""),"fsilvav76@gmail.com")</f>
        <v>fsilvav76@gmail.com</v>
      </c>
      <c r="H2084" s="65"/>
      <c r="I2084" s="65"/>
      <c r="J2084" s="65" t="str">
        <f>IFERROR(__xludf.DUMMYFUNCTION("""COMPUTED_VALUE"""),"D001216232")</f>
        <v>D001216232</v>
      </c>
      <c r="K2084" s="65" t="str">
        <f>IFERROR(__xludf.DUMMYFUNCTION("""COMPUTED_VALUE"""),"ENTREGADO")</f>
        <v>ENTREGADO</v>
      </c>
      <c r="L2084" s="65" t="str">
        <f>IFERROR(__xludf.DUMMYFUNCTION("""COMPUTED_VALUE"""),"CON RECAUDO")</f>
        <v>CON RECAUDO</v>
      </c>
      <c r="M2084" s="65" t="str">
        <f>IFERROR(__xludf.DUMMYFUNCTION("""COMPUTED_VALUE"""),"GUAYAS")</f>
        <v>GUAYAS</v>
      </c>
      <c r="N2084" s="65" t="str">
        <f>IFERROR(__xludf.DUMMYFUNCTION("""COMPUTED_VALUE"""),"DAULE")</f>
        <v>DAULE</v>
      </c>
      <c r="O2084" s="65" t="str">
        <f>IFERROR(__xludf.DUMMYFUNCTION("""COMPUTED_VALUE"""),"Urb. Condado de Vicolinci - Av. León Febres Cordero Rivadeneira Mz 31 V17")</f>
        <v>Urb. Condado de Vicolinci - Av. León Febres Cordero Rivadeneira Mz 31 V17</v>
      </c>
      <c r="P2084" s="65"/>
      <c r="Q2084" s="65" t="str">
        <f>IFERROR(__xludf.DUMMYFUNCTION("""COMPUTED_VALUE"""),"GINTRACOM")</f>
        <v>GINTRACOM</v>
      </c>
      <c r="R2084" s="65">
        <f>IFERROR(__xludf.DUMMYFUNCTION("""COMPUTED_VALUE"""),25.0)</f>
        <v>25</v>
      </c>
      <c r="S2084" s="65">
        <f>IFERROR(__xludf.DUMMYFUNCTION("""COMPUTED_VALUE"""),14.04)</f>
        <v>14.04</v>
      </c>
      <c r="T2084" s="65">
        <f>IFERROR(__xludf.DUMMYFUNCTION("""COMPUTED_VALUE"""),5.38)</f>
        <v>5.38</v>
      </c>
      <c r="U2084" s="65">
        <f>IFERROR(__xludf.DUMMYFUNCTION("""COMPUTED_VALUE"""),0.0)</f>
        <v>0</v>
      </c>
      <c r="V2084" s="65">
        <f>IFERROR(__xludf.DUMMYFUNCTION("""COMPUTED_VALUE"""),0.0)</f>
        <v>0</v>
      </c>
      <c r="W2084" s="65">
        <f>IFERROR(__xludf.DUMMYFUNCTION("""COMPUTED_VALUE"""),0.0)</f>
        <v>0</v>
      </c>
      <c r="X2084" s="65">
        <f>IFERROR(__xludf.DUMMYFUNCTION("""COMPUTED_VALUE"""),2.79)</f>
        <v>2.79</v>
      </c>
      <c r="Y2084" s="65">
        <f>IFERROR(__xludf.DUMMYFUNCTION("""COMPUTED_VALUE"""),5.58)</f>
        <v>5.58</v>
      </c>
      <c r="Z2084" s="65">
        <f>IFERROR(__xludf.DUMMYFUNCTION("""COMPUTED_VALUE"""),120732.0)</f>
        <v>120732</v>
      </c>
      <c r="AA2084" s="65" t="str">
        <f>IFERROR(__xludf.DUMMYFUNCTION("""COMPUTED_VALUE"""),"PROV-LMPVT")</f>
        <v>PROV-LMPVT</v>
      </c>
      <c r="AB2084" s="65"/>
      <c r="AC2084" s="65" t="str">
        <f>IFERROR(__xludf.DUMMYFUNCTION("""COMPUTED_VALUE"""),"LIMPIADOR DE PARABRISAS Y VENTANAS")</f>
        <v>LIMPIADOR DE PARABRISAS Y VENTANAS</v>
      </c>
      <c r="AD2084" s="65"/>
      <c r="AE2084" s="65">
        <f>IFERROR(__xludf.DUMMYFUNCTION("""COMPUTED_VALUE"""),2.0)</f>
        <v>2</v>
      </c>
      <c r="AF2084" s="65"/>
      <c r="AG2084" s="65"/>
      <c r="AH2084" s="65"/>
      <c r="AI2084" s="65"/>
      <c r="AJ2084" s="65"/>
      <c r="AK2084" s="65"/>
      <c r="AL2084" s="65"/>
      <c r="AM2084" s="65"/>
      <c r="AN2084" s="65" t="str">
        <f>IFERROR(__xludf.DUMMYFUNCTION("""COMPUTED_VALUE"""),"12:12")</f>
        <v>12:12</v>
      </c>
      <c r="AO2084" s="65" t="str">
        <f>IFERROR(__xludf.DUMMYFUNCTION("""COMPUTED_VALUE"""),"13-01-2026")</f>
        <v>13-01-2026</v>
      </c>
      <c r="AP2084" s="65" t="str">
        <f>IFERROR(__xludf.DUMMYFUNCTION("""COMPUTED_VALUE"""),"ENTREGADA GINTRACOM")</f>
        <v>ENTREGADA GINTRACOM</v>
      </c>
      <c r="AQ2084" s="65" t="str">
        <f>IFERROR(__xludf.DUMMYFUNCTION("""COMPUTED_VALUE"""),"ENTREGADA GINTRACOM")</f>
        <v>ENTREGADA GINTRACOM</v>
      </c>
      <c r="AR2084" s="65"/>
      <c r="AS2084" s="65"/>
      <c r="AT2084" s="65" t="str">
        <f>IFERROR(__xludf.DUMMYFUNCTION("""COMPUTED_VALUE"""),"SHOPIFY")</f>
        <v>SHOPIFY</v>
      </c>
      <c r="AU2084" s="65" t="str">
        <f>IFERROR(__xludf.DUMMYFUNCTION("""COMPUTED_VALUE"""),"IMPORTEX EC")</f>
        <v>IMPORTEX EC</v>
      </c>
      <c r="AV2084" s="65" t="str">
        <f>IFERROR(__xludf.DUMMYFUNCTION("""COMPUTED_VALUE"""),"6405716475948")</f>
        <v>6405716475948</v>
      </c>
      <c r="AW2084" s="65">
        <f>IFERROR(__xludf.DUMMYFUNCTION("""COMPUTED_VALUE"""),4882.0)</f>
        <v>4882</v>
      </c>
      <c r="AX2084" s="65"/>
      <c r="AY2084" s="65" t="str">
        <f>IFERROR(__xludf.DUMMYFUNCTION("""COMPUTED_VALUE"""),"12/01/2026")</f>
        <v>12/01/2026</v>
      </c>
      <c r="AZ2084" s="65"/>
      <c r="BA2084" s="65"/>
    </row>
    <row r="2085">
      <c r="A2085" s="65" t="str">
        <f>IFERROR(__xludf.DUMMYFUNCTION("""COMPUTED_VALUE"""),"27-03-2026")</f>
        <v>27-03-2026</v>
      </c>
      <c r="B2085" s="65">
        <f>IFERROR(__xludf.DUMMYFUNCTION("""COMPUTED_VALUE"""),4100035.0)</f>
        <v>4100035</v>
      </c>
      <c r="C2085" s="65" t="str">
        <f>IFERROR(__xludf.DUMMYFUNCTION("""COMPUTED_VALUE"""),"23:43")</f>
        <v>23:43</v>
      </c>
      <c r="D2085" s="65" t="str">
        <f>IFERROR(__xludf.DUMMYFUNCTION("""COMPUTED_VALUE"""),"10-01-2026")</f>
        <v>10-01-2026</v>
      </c>
      <c r="E2085" s="65" t="str">
        <f>IFERROR(__xludf.DUMMYFUNCTION("""COMPUTED_VALUE"""),"Jorge Jerez")</f>
        <v>Jorge Jerez</v>
      </c>
      <c r="F2085" s="65" t="str">
        <f>IFERROR(__xludf.DUMMYFUNCTION("""COMPUTED_VALUE"""),"987003426")</f>
        <v>987003426</v>
      </c>
      <c r="G2085" s="65" t="str">
        <f>IFERROR(__xludf.DUMMYFUNCTION("""COMPUTED_VALUE"""),"jorgejerez3128@gmail.com")</f>
        <v>jorgejerez3128@gmail.com</v>
      </c>
      <c r="H2085" s="65"/>
      <c r="I2085" s="65"/>
      <c r="J2085" s="65"/>
      <c r="K2085" s="65" t="str">
        <f>IFERROR(__xludf.DUMMYFUNCTION("""COMPUTED_VALUE"""),"CANCELADO")</f>
        <v>CANCELADO</v>
      </c>
      <c r="L2085" s="65" t="str">
        <f>IFERROR(__xludf.DUMMYFUNCTION("""COMPUTED_VALUE"""),"CON RECAUDO")</f>
        <v>CON RECAUDO</v>
      </c>
      <c r="M2085" s="65" t="str">
        <f>IFERROR(__xludf.DUMMYFUNCTION("""COMPUTED_VALUE"""),"PICHINCHA")</f>
        <v>PICHINCHA</v>
      </c>
      <c r="N2085" s="65" t="str">
        <f>IFERROR(__xludf.DUMMYFUNCTION("""COMPUTED_VALUE"""),"QUITO")</f>
        <v>QUITO</v>
      </c>
      <c r="O2085" s="65" t="str">
        <f>IFERROR(__xludf.DUMMYFUNCTION("""COMPUTED_VALUE"""),"José Peralta Centro comercial chiriyacu -")</f>
        <v>José Peralta Centro comercial chiriyacu -</v>
      </c>
      <c r="P2085" s="65"/>
      <c r="Q2085" s="65" t="str">
        <f>IFERROR(__xludf.DUMMYFUNCTION("""COMPUTED_VALUE"""),"GINTRACOM")</f>
        <v>GINTRACOM</v>
      </c>
      <c r="R2085" s="65">
        <f>IFERROR(__xludf.DUMMYFUNCTION("""COMPUTED_VALUE"""),30.0)</f>
        <v>30</v>
      </c>
      <c r="S2085" s="65"/>
      <c r="T2085" s="65">
        <f>IFERROR(__xludf.DUMMYFUNCTION("""COMPUTED_VALUE"""),6.16)</f>
        <v>6.16</v>
      </c>
      <c r="U2085" s="65">
        <f>IFERROR(__xludf.DUMMYFUNCTION("""COMPUTED_VALUE"""),0.0)</f>
        <v>0</v>
      </c>
      <c r="V2085" s="65">
        <f>IFERROR(__xludf.DUMMYFUNCTION("""COMPUTED_VALUE"""),0.0)</f>
        <v>0</v>
      </c>
      <c r="W2085" s="65">
        <f>IFERROR(__xludf.DUMMYFUNCTION("""COMPUTED_VALUE"""),0.0)</f>
        <v>0</v>
      </c>
      <c r="X2085" s="65">
        <f>IFERROR(__xludf.DUMMYFUNCTION("""COMPUTED_VALUE"""),2.79)</f>
        <v>2.79</v>
      </c>
      <c r="Y2085" s="65">
        <f>IFERROR(__xludf.DUMMYFUNCTION("""COMPUTED_VALUE"""),8.37)</f>
        <v>8.37</v>
      </c>
      <c r="Z2085" s="65">
        <f>IFERROR(__xludf.DUMMYFUNCTION("""COMPUTED_VALUE"""),120732.0)</f>
        <v>120732</v>
      </c>
      <c r="AA2085" s="65" t="str">
        <f>IFERROR(__xludf.DUMMYFUNCTION("""COMPUTED_VALUE"""),"PROV-LMPVT")</f>
        <v>PROV-LMPVT</v>
      </c>
      <c r="AB2085" s="65"/>
      <c r="AC2085" s="65" t="str">
        <f>IFERROR(__xludf.DUMMYFUNCTION("""COMPUTED_VALUE"""),"LIMPIADOR DE PARABRISAS Y VENTANAS")</f>
        <v>LIMPIADOR DE PARABRISAS Y VENTANAS</v>
      </c>
      <c r="AD2085" s="65"/>
      <c r="AE2085" s="65">
        <f>IFERROR(__xludf.DUMMYFUNCTION("""COMPUTED_VALUE"""),3.0)</f>
        <v>3</v>
      </c>
      <c r="AF2085" s="65"/>
      <c r="AG2085" s="65"/>
      <c r="AH2085" s="65"/>
      <c r="AI2085" s="65"/>
      <c r="AJ2085" s="65"/>
      <c r="AK2085" s="65"/>
      <c r="AL2085" s="65"/>
      <c r="AM2085" s="65"/>
      <c r="AN2085" s="65"/>
      <c r="AO2085" s="65"/>
      <c r="AP2085" s="65"/>
      <c r="AQ2085" s="65"/>
      <c r="AR2085" s="65"/>
      <c r="AS2085" s="65"/>
      <c r="AT2085" s="65" t="str">
        <f>IFERROR(__xludf.DUMMYFUNCTION("""COMPUTED_VALUE"""),"SHOPIFY")</f>
        <v>SHOPIFY</v>
      </c>
      <c r="AU2085" s="65" t="str">
        <f>IFERROR(__xludf.DUMMYFUNCTION("""COMPUTED_VALUE"""),"IMPORTEX EC")</f>
        <v>IMPORTEX EC</v>
      </c>
      <c r="AV2085" s="65" t="str">
        <f>IFERROR(__xludf.DUMMYFUNCTION("""COMPUTED_VALUE"""),"6405694357548")</f>
        <v>6405694357548</v>
      </c>
      <c r="AW2085" s="65">
        <f>IFERROR(__xludf.DUMMYFUNCTION("""COMPUTED_VALUE"""),4881.0)</f>
        <v>4881</v>
      </c>
      <c r="AX2085" s="65"/>
      <c r="AY2085" s="65"/>
      <c r="AZ2085" s="65"/>
      <c r="BA2085" s="65"/>
    </row>
    <row r="2086">
      <c r="A2086" s="65" t="str">
        <f>IFERROR(__xludf.DUMMYFUNCTION("""COMPUTED_VALUE"""),"27-03-2026")</f>
        <v>27-03-2026</v>
      </c>
      <c r="B2086" s="65">
        <f>IFERROR(__xludf.DUMMYFUNCTION("""COMPUTED_VALUE"""),4099962.0)</f>
        <v>4099962</v>
      </c>
      <c r="C2086" s="65" t="str">
        <f>IFERROR(__xludf.DUMMYFUNCTION("""COMPUTED_VALUE"""),"23:26")</f>
        <v>23:26</v>
      </c>
      <c r="D2086" s="65" t="str">
        <f>IFERROR(__xludf.DUMMYFUNCTION("""COMPUTED_VALUE"""),"10-01-2026")</f>
        <v>10-01-2026</v>
      </c>
      <c r="E2086" s="65" t="str">
        <f>IFERROR(__xludf.DUMMYFUNCTION("""COMPUTED_VALUE"""),"Ricardo Olmedo Pincay Olmedo Pincay")</f>
        <v>Ricardo Olmedo Pincay Olmedo Pincay</v>
      </c>
      <c r="F2086" s="65" t="str">
        <f>IFERROR(__xludf.DUMMYFUNCTION("""COMPUTED_VALUE"""),"995195421")</f>
        <v>995195421</v>
      </c>
      <c r="G2086" s="65" t="str">
        <f>IFERROR(__xludf.DUMMYFUNCTION("""COMPUTED_VALUE"""),"joseolmedo28uemcq@gmail.com")</f>
        <v>joseolmedo28uemcq@gmail.com</v>
      </c>
      <c r="H2086" s="65"/>
      <c r="I2086" s="65"/>
      <c r="J2086" s="65" t="str">
        <f>IFERROR(__xludf.DUMMYFUNCTION("""COMPUTED_VALUE"""),"D001276552")</f>
        <v>D001276552</v>
      </c>
      <c r="K2086" s="65" t="str">
        <f>IFERROR(__xludf.DUMMYFUNCTION("""COMPUTED_VALUE"""),"ENTREGADO")</f>
        <v>ENTREGADO</v>
      </c>
      <c r="L2086" s="65" t="str">
        <f>IFERROR(__xludf.DUMMYFUNCTION("""COMPUTED_VALUE"""),"CON RECAUDO")</f>
        <v>CON RECAUDO</v>
      </c>
      <c r="M2086" s="65" t="str">
        <f>IFERROR(__xludf.DUMMYFUNCTION("""COMPUTED_VALUE"""),"LOS RIOS")</f>
        <v>LOS RIOS</v>
      </c>
      <c r="N2086" s="65" t="str">
        <f>IFERROR(__xludf.DUMMYFUNCTION("""COMPUTED_VALUE"""),"QUEVEDO")</f>
        <v>QUEVEDO</v>
      </c>
      <c r="O2086" s="65" t="str">
        <f>IFERROR(__xludf.DUMMYFUNCTION("""COMPUTED_VALUE"""),"Quevedo Sector Playa Grande - Calle 11 y Calle San Juan - Alado de la iglesia sagrada familia")</f>
        <v>Quevedo Sector Playa Grande - Calle 11 y Calle San Juan - Alado de la iglesia sagrada familia</v>
      </c>
      <c r="P2086" s="65"/>
      <c r="Q2086" s="65" t="str">
        <f>IFERROR(__xludf.DUMMYFUNCTION("""COMPUTED_VALUE"""),"GINTRACOM")</f>
        <v>GINTRACOM</v>
      </c>
      <c r="R2086" s="65">
        <f>IFERROR(__xludf.DUMMYFUNCTION("""COMPUTED_VALUE"""),27.0)</f>
        <v>27</v>
      </c>
      <c r="S2086" s="65">
        <f>IFERROR(__xludf.DUMMYFUNCTION("""COMPUTED_VALUE"""),13.17)</f>
        <v>13.17</v>
      </c>
      <c r="T2086" s="65">
        <f>IFERROR(__xludf.DUMMYFUNCTION("""COMPUTED_VALUE"""),6.03)</f>
        <v>6.03</v>
      </c>
      <c r="U2086" s="65">
        <f>IFERROR(__xludf.DUMMYFUNCTION("""COMPUTED_VALUE"""),0.0)</f>
        <v>0</v>
      </c>
      <c r="V2086" s="65">
        <f>IFERROR(__xludf.DUMMYFUNCTION("""COMPUTED_VALUE"""),0.0)</f>
        <v>0</v>
      </c>
      <c r="W2086" s="65">
        <f>IFERROR(__xludf.DUMMYFUNCTION("""COMPUTED_VALUE"""),0.0)</f>
        <v>0</v>
      </c>
      <c r="X2086" s="65">
        <f>IFERROR(__xludf.DUMMYFUNCTION("""COMPUTED_VALUE"""),2.6)</f>
        <v>2.6</v>
      </c>
      <c r="Y2086" s="65">
        <f>IFERROR(__xludf.DUMMYFUNCTION("""COMPUTED_VALUE"""),7.8)</f>
        <v>7.8</v>
      </c>
      <c r="Z2086" s="65">
        <f>IFERROR(__xludf.DUMMYFUNCTION("""COMPUTED_VALUE"""),121983.0)</f>
        <v>121983</v>
      </c>
      <c r="AA2086" s="65" t="str">
        <f>IFERROR(__xludf.DUMMYFUNCTION("""COMPUTED_VALUE"""),"PROV-CHLLCF")</f>
        <v>PROV-CHLLCF</v>
      </c>
      <c r="AB2086" s="65"/>
      <c r="AC2086" s="65" t="str">
        <f>IFERROR(__xludf.DUMMYFUNCTION("""COMPUTED_VALUE"""),"CUCHILLO PARA CHEF")</f>
        <v>CUCHILLO PARA CHEF</v>
      </c>
      <c r="AD2086" s="65"/>
      <c r="AE2086" s="65">
        <f>IFERROR(__xludf.DUMMYFUNCTION("""COMPUTED_VALUE"""),3.0)</f>
        <v>3</v>
      </c>
      <c r="AF2086" s="65" t="str">
        <f>IFERROR(__xludf.DUMMYFUNCTION("""COMPUTED_VALUE"""),"DESTINATARIO NO CONTESTA LLAMADAS NI WHATSAPP")</f>
        <v>DESTINATARIO NO CONTESTA LLAMADAS NI WHATSAPP</v>
      </c>
      <c r="AG2086" s="65" t="str">
        <f>IFERROR(__xludf.DUMMYFUNCTION("""COMPUTED_VALUE"""),"NO")</f>
        <v>NO</v>
      </c>
      <c r="AH2086" s="65" t="str">
        <f>IFERROR(__xludf.DUMMYFUNCTION("""COMPUTED_VALUE"""),"12:04")</f>
        <v>12:04</v>
      </c>
      <c r="AI2086" s="65" t="str">
        <f>IFERROR(__xludf.DUMMYFUNCTION("""COMPUTED_VALUE"""),"02-02-2026")</f>
        <v>02-02-2026</v>
      </c>
      <c r="AJ2086" s="65"/>
      <c r="AK2086" s="65"/>
      <c r="AL2086" s="65"/>
      <c r="AM2086" s="65"/>
      <c r="AN2086" s="65" t="str">
        <f>IFERROR(__xludf.DUMMYFUNCTION("""COMPUTED_VALUE"""),"11:54")</f>
        <v>11:54</v>
      </c>
      <c r="AO2086" s="65" t="str">
        <f>IFERROR(__xludf.DUMMYFUNCTION("""COMPUTED_VALUE"""),"09-02-2026")</f>
        <v>09-02-2026</v>
      </c>
      <c r="AP2086" s="65" t="str">
        <f>IFERROR(__xludf.DUMMYFUNCTION("""COMPUTED_VALUE"""),"ENTREGADA GINTRACOM")</f>
        <v>ENTREGADA GINTRACOM</v>
      </c>
      <c r="AQ2086" s="65" t="str">
        <f>IFERROR(__xludf.DUMMYFUNCTION("""COMPUTED_VALUE"""),"ENTREGADA GINTRACOM")</f>
        <v>ENTREGADA GINTRACOM</v>
      </c>
      <c r="AR2086" s="65"/>
      <c r="AS2086" s="65"/>
      <c r="AT2086" s="65" t="str">
        <f>IFERROR(__xludf.DUMMYFUNCTION("""COMPUTED_VALUE"""),"SHOPIFY")</f>
        <v>SHOPIFY</v>
      </c>
      <c r="AU2086" s="65" t="str">
        <f>IFERROR(__xludf.DUMMYFUNCTION("""COMPUTED_VALUE"""),"IMPORTEX EC")</f>
        <v>IMPORTEX EC</v>
      </c>
      <c r="AV2086" s="65" t="str">
        <f>IFERROR(__xludf.DUMMYFUNCTION("""COMPUTED_VALUE"""),"6405666177068")</f>
        <v>6405666177068</v>
      </c>
      <c r="AW2086" s="65">
        <f>IFERROR(__xludf.DUMMYFUNCTION("""COMPUTED_VALUE"""),4880.0)</f>
        <v>4880</v>
      </c>
      <c r="AX2086" s="65"/>
      <c r="AY2086" s="65" t="str">
        <f>IFERROR(__xludf.DUMMYFUNCTION("""COMPUTED_VALUE"""),"30/01/2026")</f>
        <v>30/01/2026</v>
      </c>
      <c r="AZ2086" s="65"/>
      <c r="BA2086" s="65"/>
    </row>
    <row r="2087">
      <c r="A2087" s="65" t="str">
        <f>IFERROR(__xludf.DUMMYFUNCTION("""COMPUTED_VALUE"""),"27-03-2026")</f>
        <v>27-03-2026</v>
      </c>
      <c r="B2087" s="65">
        <f>IFERROR(__xludf.DUMMYFUNCTION("""COMPUTED_VALUE"""),4099270.0)</f>
        <v>4099270</v>
      </c>
      <c r="C2087" s="65" t="str">
        <f>IFERROR(__xludf.DUMMYFUNCTION("""COMPUTED_VALUE"""),"21:58")</f>
        <v>21:58</v>
      </c>
      <c r="D2087" s="65" t="str">
        <f>IFERROR(__xludf.DUMMYFUNCTION("""COMPUTED_VALUE"""),"10-01-2026")</f>
        <v>10-01-2026</v>
      </c>
      <c r="E2087" s="65" t="str">
        <f>IFERROR(__xludf.DUMMYFUNCTION("""COMPUTED_VALUE"""),"Pablo Panchi")</f>
        <v>Pablo Panchi</v>
      </c>
      <c r="F2087" s="65" t="str">
        <f>IFERROR(__xludf.DUMMYFUNCTION("""COMPUTED_VALUE"""),"987289189")</f>
        <v>987289189</v>
      </c>
      <c r="G2087" s="65" t="str">
        <f>IFERROR(__xludf.DUMMYFUNCTION("""COMPUTED_VALUE"""),"optica10deagosto_1@hotmail.com")</f>
        <v>optica10deagosto_1@hotmail.com</v>
      </c>
      <c r="H2087" s="65"/>
      <c r="I2087" s="65"/>
      <c r="J2087" s="65" t="str">
        <f>IFERROR(__xludf.DUMMYFUNCTION("""COMPUTED_VALUE"""),"D001223148")</f>
        <v>D001223148</v>
      </c>
      <c r="K2087" s="65" t="str">
        <f>IFERROR(__xludf.DUMMYFUNCTION("""COMPUTED_VALUE"""),"ENTREGADO")</f>
        <v>ENTREGADO</v>
      </c>
      <c r="L2087" s="65" t="str">
        <f>IFERROR(__xludf.DUMMYFUNCTION("""COMPUTED_VALUE"""),"CON RECAUDO")</f>
        <v>CON RECAUDO</v>
      </c>
      <c r="M2087" s="65" t="str">
        <f>IFERROR(__xludf.DUMMYFUNCTION("""COMPUTED_VALUE"""),"PICHINCHA")</f>
        <v>PICHINCHA</v>
      </c>
      <c r="N2087" s="65" t="str">
        <f>IFERROR(__xludf.DUMMYFUNCTION("""COMPUTED_VALUE"""),"QUITO")</f>
        <v>QUITO</v>
      </c>
      <c r="O2087" s="65" t="str">
        <f>IFERROR(__xludf.DUMMYFUNCTION("""COMPUTED_VALUE"""),"Sector Consejo Provincial de Pichincha - Av. 10 de Agosto N13-97 y Calle Arenas")</f>
        <v>Sector Consejo Provincial de Pichincha - Av. 10 de Agosto N13-97 y Calle Arenas</v>
      </c>
      <c r="P2087" s="65"/>
      <c r="Q2087" s="65" t="str">
        <f>IFERROR(__xludf.DUMMYFUNCTION("""COMPUTED_VALUE"""),"GINTRACOM")</f>
        <v>GINTRACOM</v>
      </c>
      <c r="R2087" s="65">
        <f>IFERROR(__xludf.DUMMYFUNCTION("""COMPUTED_VALUE"""),30.0)</f>
        <v>30</v>
      </c>
      <c r="S2087" s="65">
        <f>IFERROR(__xludf.DUMMYFUNCTION("""COMPUTED_VALUE"""),15.47)</f>
        <v>15.47</v>
      </c>
      <c r="T2087" s="65">
        <f>IFERROR(__xludf.DUMMYFUNCTION("""COMPUTED_VALUE"""),6.16)</f>
        <v>6.16</v>
      </c>
      <c r="U2087" s="65">
        <f>IFERROR(__xludf.DUMMYFUNCTION("""COMPUTED_VALUE"""),0.0)</f>
        <v>0</v>
      </c>
      <c r="V2087" s="65">
        <f>IFERROR(__xludf.DUMMYFUNCTION("""COMPUTED_VALUE"""),0.0)</f>
        <v>0</v>
      </c>
      <c r="W2087" s="65">
        <f>IFERROR(__xludf.DUMMYFUNCTION("""COMPUTED_VALUE"""),0.0)</f>
        <v>0</v>
      </c>
      <c r="X2087" s="65">
        <f>IFERROR(__xludf.DUMMYFUNCTION("""COMPUTED_VALUE"""),2.79)</f>
        <v>2.79</v>
      </c>
      <c r="Y2087" s="65">
        <f>IFERROR(__xludf.DUMMYFUNCTION("""COMPUTED_VALUE"""),8.37)</f>
        <v>8.37</v>
      </c>
      <c r="Z2087" s="65">
        <f>IFERROR(__xludf.DUMMYFUNCTION("""COMPUTED_VALUE"""),120732.0)</f>
        <v>120732</v>
      </c>
      <c r="AA2087" s="65" t="str">
        <f>IFERROR(__xludf.DUMMYFUNCTION("""COMPUTED_VALUE"""),"PROV-LMPVT")</f>
        <v>PROV-LMPVT</v>
      </c>
      <c r="AB2087" s="65"/>
      <c r="AC2087" s="65" t="str">
        <f>IFERROR(__xludf.DUMMYFUNCTION("""COMPUTED_VALUE"""),"LIMPIADOR DE PARABRISAS Y VENTANAS")</f>
        <v>LIMPIADOR DE PARABRISAS Y VENTANAS</v>
      </c>
      <c r="AD2087" s="65"/>
      <c r="AE2087" s="65">
        <f>IFERROR(__xludf.DUMMYFUNCTION("""COMPUTED_VALUE"""),3.0)</f>
        <v>3</v>
      </c>
      <c r="AF2087" s="65"/>
      <c r="AG2087" s="65"/>
      <c r="AH2087" s="65"/>
      <c r="AI2087" s="65"/>
      <c r="AJ2087" s="65"/>
      <c r="AK2087" s="65"/>
      <c r="AL2087" s="65"/>
      <c r="AM2087" s="65"/>
      <c r="AN2087" s="65" t="str">
        <f>IFERROR(__xludf.DUMMYFUNCTION("""COMPUTED_VALUE"""),"13:00")</f>
        <v>13:00</v>
      </c>
      <c r="AO2087" s="65" t="str">
        <f>IFERROR(__xludf.DUMMYFUNCTION("""COMPUTED_VALUE"""),"24-01-2026")</f>
        <v>24-01-2026</v>
      </c>
      <c r="AP2087" s="65" t="str">
        <f>IFERROR(__xludf.DUMMYFUNCTION("""COMPUTED_VALUE"""),"ENTREGADA GINTRACOM")</f>
        <v>ENTREGADA GINTRACOM</v>
      </c>
      <c r="AQ2087" s="65" t="str">
        <f>IFERROR(__xludf.DUMMYFUNCTION("""COMPUTED_VALUE"""),"ENTREGADA GINTRACOM")</f>
        <v>ENTREGADA GINTRACOM</v>
      </c>
      <c r="AR2087" s="65"/>
      <c r="AS2087" s="65"/>
      <c r="AT2087" s="65" t="str">
        <f>IFERROR(__xludf.DUMMYFUNCTION("""COMPUTED_VALUE"""),"SHOPIFY")</f>
        <v>SHOPIFY</v>
      </c>
      <c r="AU2087" s="65" t="str">
        <f>IFERROR(__xludf.DUMMYFUNCTION("""COMPUTED_VALUE"""),"IMPORTEX EC")</f>
        <v>IMPORTEX EC</v>
      </c>
      <c r="AV2087" s="65" t="str">
        <f>IFERROR(__xludf.DUMMYFUNCTION("""COMPUTED_VALUE"""),"6405486444588")</f>
        <v>6405486444588</v>
      </c>
      <c r="AW2087" s="65">
        <f>IFERROR(__xludf.DUMMYFUNCTION("""COMPUTED_VALUE"""),4879.0)</f>
        <v>4879</v>
      </c>
      <c r="AX2087" s="65"/>
      <c r="AY2087" s="65" t="str">
        <f>IFERROR(__xludf.DUMMYFUNCTION("""COMPUTED_VALUE"""),"14/01/2026")</f>
        <v>14/01/2026</v>
      </c>
      <c r="AZ2087" s="65"/>
      <c r="BA2087" s="65"/>
    </row>
    <row r="2088">
      <c r="A2088" s="65" t="str">
        <f>IFERROR(__xludf.DUMMYFUNCTION("""COMPUTED_VALUE"""),"27-03-2026")</f>
        <v>27-03-2026</v>
      </c>
      <c r="B2088" s="65">
        <f>IFERROR(__xludf.DUMMYFUNCTION("""COMPUTED_VALUE"""),4099190.0)</f>
        <v>4099190</v>
      </c>
      <c r="C2088" s="65" t="str">
        <f>IFERROR(__xludf.DUMMYFUNCTION("""COMPUTED_VALUE"""),"21:51")</f>
        <v>21:51</v>
      </c>
      <c r="D2088" s="65" t="str">
        <f>IFERROR(__xludf.DUMMYFUNCTION("""COMPUTED_VALUE"""),"10-01-2026")</f>
        <v>10-01-2026</v>
      </c>
      <c r="E2088" s="65" t="str">
        <f>IFERROR(__xludf.DUMMYFUNCTION("""COMPUTED_VALUE"""),"Angela Beatriz Mata Vallejo")</f>
        <v>Angela Beatriz Mata Vallejo</v>
      </c>
      <c r="F2088" s="65" t="str">
        <f>IFERROR(__xludf.DUMMYFUNCTION("""COMPUTED_VALUE"""),"0959095279")</f>
        <v>0959095279</v>
      </c>
      <c r="G2088" s="65"/>
      <c r="H2088" s="65"/>
      <c r="I2088" s="65"/>
      <c r="J2088" s="65" t="str">
        <f>IFERROR(__xludf.DUMMYFUNCTION("""COMPUTED_VALUE"""),"D001223151")</f>
        <v>D001223151</v>
      </c>
      <c r="K2088" s="65" t="str">
        <f>IFERROR(__xludf.DUMMYFUNCTION("""COMPUTED_VALUE"""),"DEVOLUCION")</f>
        <v>DEVOLUCION</v>
      </c>
      <c r="L2088" s="65" t="str">
        <f>IFERROR(__xludf.DUMMYFUNCTION("""COMPUTED_VALUE"""),"CON RECAUDO")</f>
        <v>CON RECAUDO</v>
      </c>
      <c r="M2088" s="65" t="str">
        <f>IFERROR(__xludf.DUMMYFUNCTION("""COMPUTED_VALUE"""),"GUAYAS")</f>
        <v>GUAYAS</v>
      </c>
      <c r="N2088" s="65" t="str">
        <f>IFERROR(__xludf.DUMMYFUNCTION("""COMPUTED_VALUE"""),"MILAGRO")</f>
        <v>MILAGRO</v>
      </c>
      <c r="O2088" s="65" t="str">
        <f>IFERROR(__xludf.DUMMYFUNCTION("""COMPUTED_VALUE"""),"Sector Centro de Milagro - Av. Cristóbal Colon y Av. 12 de Octubre - Ref. Picantería dos hermanos")</f>
        <v>Sector Centro de Milagro - Av. Cristóbal Colon y Av. 12 de Octubre - Ref. Picantería dos hermanos</v>
      </c>
      <c r="P2088" s="65" t="str">
        <f>IFERROR(__xludf.DUMMYFUNCTION("""COMPUTED_VALUE"""),"CUCHILLO PARA CHEF: Default Title ***")</f>
        <v>CUCHILLO PARA CHEF: Default Title ***</v>
      </c>
      <c r="Q2088" s="65" t="str">
        <f>IFERROR(__xludf.DUMMYFUNCTION("""COMPUTED_VALUE"""),"GINTRACOM")</f>
        <v>GINTRACOM</v>
      </c>
      <c r="R2088" s="65">
        <f>IFERROR(__xludf.DUMMYFUNCTION("""COMPUTED_VALUE"""),21.99)</f>
        <v>21.99</v>
      </c>
      <c r="S2088" s="65"/>
      <c r="T2088" s="65">
        <f>IFERROR(__xludf.DUMMYFUNCTION("""COMPUTED_VALUE"""),5.26)</f>
        <v>5.26</v>
      </c>
      <c r="U2088" s="65">
        <f>IFERROR(__xludf.DUMMYFUNCTION("""COMPUTED_VALUE"""),0.0)</f>
        <v>0</v>
      </c>
      <c r="V2088" s="65">
        <f>IFERROR(__xludf.DUMMYFUNCTION("""COMPUTED_VALUE"""),0.0)</f>
        <v>0</v>
      </c>
      <c r="W2088" s="65">
        <f>IFERROR(__xludf.DUMMYFUNCTION("""COMPUTED_VALUE"""),0.0)</f>
        <v>0</v>
      </c>
      <c r="X2088" s="65">
        <f>IFERROR(__xludf.DUMMYFUNCTION("""COMPUTED_VALUE"""),2.6)</f>
        <v>2.6</v>
      </c>
      <c r="Y2088" s="65">
        <f>IFERROR(__xludf.DUMMYFUNCTION("""COMPUTED_VALUE"""),2.6)</f>
        <v>2.6</v>
      </c>
      <c r="Z2088" s="65">
        <f>IFERROR(__xludf.DUMMYFUNCTION("""COMPUTED_VALUE"""),121983.0)</f>
        <v>121983</v>
      </c>
      <c r="AA2088" s="65" t="str">
        <f>IFERROR(__xludf.DUMMYFUNCTION("""COMPUTED_VALUE"""),"PROV-CHLLCF")</f>
        <v>PROV-CHLLCF</v>
      </c>
      <c r="AB2088" s="65"/>
      <c r="AC2088" s="65" t="str">
        <f>IFERROR(__xludf.DUMMYFUNCTION("""COMPUTED_VALUE"""),"CUCHILLO PARA CHEF")</f>
        <v>CUCHILLO PARA CHEF</v>
      </c>
      <c r="AD2088" s="65"/>
      <c r="AE2088" s="65">
        <f>IFERROR(__xludf.DUMMYFUNCTION("""COMPUTED_VALUE"""),1.0)</f>
        <v>1</v>
      </c>
      <c r="AF2088" s="65" t="str">
        <f>IFERROR(__xludf.DUMMYFUNCTION("""COMPUTED_VALUE"""),"DESTINATARIO INDICA QUE LA MERCANCÍA ESTÁ INCOMPLETA")</f>
        <v>DESTINATARIO INDICA QUE LA MERCANCÍA ESTÁ INCOMPLETA</v>
      </c>
      <c r="AG2088" s="65" t="str">
        <f>IFERROR(__xludf.DUMMYFUNCTION("""COMPUTED_VALUE"""),"SI")</f>
        <v>SI</v>
      </c>
      <c r="AH2088" s="65" t="str">
        <f>IFERROR(__xludf.DUMMYFUNCTION("""COMPUTED_VALUE"""),"16:19")</f>
        <v>16:19</v>
      </c>
      <c r="AI2088" s="65" t="str">
        <f>IFERROR(__xludf.DUMMYFUNCTION("""COMPUTED_VALUE"""),"16-01-2026")</f>
        <v>16-01-2026</v>
      </c>
      <c r="AJ2088" s="65" t="str">
        <f>IFERROR(__xludf.DUMMYFUNCTION("""COMPUTED_VALUE"""),"Señores de despacho, toda promoción es de 2 cuchillos por $22.00. Realizar la entrega lo mas pronto.")</f>
        <v>Señores de despacho, toda promoción es de 2 cuchillos por $22.00. Realizar la entrega lo mas pronto.</v>
      </c>
      <c r="AK2088" s="65" t="str">
        <f>IFERROR(__xludf.DUMMYFUNCTION("""COMPUTED_VALUE"""),"16:46")</f>
        <v>16:46</v>
      </c>
      <c r="AL2088" s="65" t="str">
        <f>IFERROR(__xludf.DUMMYFUNCTION("""COMPUTED_VALUE"""),"21-01-2026")</f>
        <v>21-01-2026</v>
      </c>
      <c r="AM2088" s="65"/>
      <c r="AN2088" s="65" t="str">
        <f>IFERROR(__xludf.DUMMYFUNCTION("""COMPUTED_VALUE"""),"08:58")</f>
        <v>08:58</v>
      </c>
      <c r="AO2088" s="65" t="str">
        <f>IFERROR(__xludf.DUMMYFUNCTION("""COMPUTED_VALUE"""),"11-02-2026")</f>
        <v>11-02-2026</v>
      </c>
      <c r="AP2088" s="65" t="str">
        <f>IFERROR(__xludf.DUMMYFUNCTION("""COMPUTED_VALUE"""),"DEV CONFIRMADA POR BODEGA")</f>
        <v>DEV CONFIRMADA POR BODEGA</v>
      </c>
      <c r="AQ2088" s="65"/>
      <c r="AR2088" s="65" t="str">
        <f>IFERROR(__xludf.DUMMYFUNCTION("""COMPUTED_VALUE"""),"Gestionado por: Moran Daniel, email:danielmorga2005@gmail.com, total de productos en la orden: 1")</f>
        <v>Gestionado por: Moran Daniel, email:danielmorga2005@gmail.com, total de productos en la orden: 1</v>
      </c>
      <c r="AS2088" s="65"/>
      <c r="AT2088" s="65" t="str">
        <f>IFERROR(__xludf.DUMMYFUNCTION("""COMPUTED_VALUE"""),"SHOPIFY")</f>
        <v>SHOPIFY</v>
      </c>
      <c r="AU2088" s="65" t="str">
        <f>IFERROR(__xludf.DUMMYFUNCTION("""COMPUTED_VALUE"""),"IMPORTEX EC")</f>
        <v>IMPORTEX EC</v>
      </c>
      <c r="AV2088" s="65" t="str">
        <f>IFERROR(__xludf.DUMMYFUNCTION("""COMPUTED_VALUE"""),"6405467799596")</f>
        <v>6405467799596</v>
      </c>
      <c r="AW2088" s="65">
        <f>IFERROR(__xludf.DUMMYFUNCTION("""COMPUTED_VALUE"""),4878.0)</f>
        <v>4878</v>
      </c>
      <c r="AX2088" s="65"/>
      <c r="AY2088" s="65" t="str">
        <f>IFERROR(__xludf.DUMMYFUNCTION("""COMPUTED_VALUE"""),"14/01/2026")</f>
        <v>14/01/2026</v>
      </c>
      <c r="AZ2088" s="65"/>
      <c r="BA2088" s="65"/>
    </row>
    <row r="2089">
      <c r="A2089" s="65" t="str">
        <f>IFERROR(__xludf.DUMMYFUNCTION("""COMPUTED_VALUE"""),"27-03-2026")</f>
        <v>27-03-2026</v>
      </c>
      <c r="B2089" s="65">
        <f>IFERROR(__xludf.DUMMYFUNCTION("""COMPUTED_VALUE"""),4099017.0)</f>
        <v>4099017</v>
      </c>
      <c r="C2089" s="65" t="str">
        <f>IFERROR(__xludf.DUMMYFUNCTION("""COMPUTED_VALUE"""),"21:32")</f>
        <v>21:32</v>
      </c>
      <c r="D2089" s="65" t="str">
        <f>IFERROR(__xludf.DUMMYFUNCTION("""COMPUTED_VALUE"""),"10-01-2026")</f>
        <v>10-01-2026</v>
      </c>
      <c r="E2089" s="65" t="str">
        <f>IFERROR(__xludf.DUMMYFUNCTION("""COMPUTED_VALUE"""),"Isabel Sampedro")</f>
        <v>Isabel Sampedro</v>
      </c>
      <c r="F2089" s="65" t="str">
        <f>IFERROR(__xludf.DUMMYFUNCTION("""COMPUTED_VALUE"""),"989886866")</f>
        <v>989886866</v>
      </c>
      <c r="G2089" s="65" t="str">
        <f>IFERROR(__xludf.DUMMYFUNCTION("""COMPUTED_VALUE"""),"sampedroisabel58@gimail.com")</f>
        <v>sampedroisabel58@gimail.com</v>
      </c>
      <c r="H2089" s="65"/>
      <c r="I2089" s="65"/>
      <c r="J2089" s="65" t="str">
        <f>IFERROR(__xludf.DUMMYFUNCTION("""COMPUTED_VALUE"""),"D001223154")</f>
        <v>D001223154</v>
      </c>
      <c r="K2089" s="65" t="str">
        <f>IFERROR(__xludf.DUMMYFUNCTION("""COMPUTED_VALUE"""),"DEVOLUCION")</f>
        <v>DEVOLUCION</v>
      </c>
      <c r="L2089" s="65" t="str">
        <f>IFERROR(__xludf.DUMMYFUNCTION("""COMPUTED_VALUE"""),"CON RECAUDO")</f>
        <v>CON RECAUDO</v>
      </c>
      <c r="M2089" s="65" t="str">
        <f>IFERROR(__xludf.DUMMYFUNCTION("""COMPUTED_VALUE"""),"PICHINCHA")</f>
        <v>PICHINCHA</v>
      </c>
      <c r="N2089" s="65" t="str">
        <f>IFERROR(__xludf.DUMMYFUNCTION("""COMPUTED_VALUE"""),"QUITO")</f>
        <v>QUITO</v>
      </c>
      <c r="O2089" s="65" t="str">
        <f>IFERROR(__xludf.DUMMYFUNCTION("""COMPUTED_VALUE"""),"Tababela, Barrio Guanbi, Calle Carlos Garzon y Nicolás Baquero, número de casa E1_643, Ecuador.")</f>
        <v>Tababela, Barrio Guanbi, Calle Carlos Garzon y Nicolás Baquero, número de casa E1_643, Ecuador.</v>
      </c>
      <c r="P2089" s="65"/>
      <c r="Q2089" s="65" t="str">
        <f>IFERROR(__xludf.DUMMYFUNCTION("""COMPUTED_VALUE"""),"GINTRACOM")</f>
        <v>GINTRACOM</v>
      </c>
      <c r="R2089" s="65">
        <f>IFERROR(__xludf.DUMMYFUNCTION("""COMPUTED_VALUE"""),27.0)</f>
        <v>27</v>
      </c>
      <c r="S2089" s="65"/>
      <c r="T2089" s="65">
        <f>IFERROR(__xludf.DUMMYFUNCTION("""COMPUTED_VALUE"""),6.03)</f>
        <v>6.03</v>
      </c>
      <c r="U2089" s="65">
        <f>IFERROR(__xludf.DUMMYFUNCTION("""COMPUTED_VALUE"""),0.0)</f>
        <v>0</v>
      </c>
      <c r="V2089" s="65">
        <f>IFERROR(__xludf.DUMMYFUNCTION("""COMPUTED_VALUE"""),0.0)</f>
        <v>0</v>
      </c>
      <c r="W2089" s="65">
        <f>IFERROR(__xludf.DUMMYFUNCTION("""COMPUTED_VALUE"""),0.0)</f>
        <v>0</v>
      </c>
      <c r="X2089" s="65">
        <f>IFERROR(__xludf.DUMMYFUNCTION("""COMPUTED_VALUE"""),2.6)</f>
        <v>2.6</v>
      </c>
      <c r="Y2089" s="65">
        <f>IFERROR(__xludf.DUMMYFUNCTION("""COMPUTED_VALUE"""),7.8)</f>
        <v>7.8</v>
      </c>
      <c r="Z2089" s="65">
        <f>IFERROR(__xludf.DUMMYFUNCTION("""COMPUTED_VALUE"""),121983.0)</f>
        <v>121983</v>
      </c>
      <c r="AA2089" s="65" t="str">
        <f>IFERROR(__xludf.DUMMYFUNCTION("""COMPUTED_VALUE"""),"PROV-CHLLCF")</f>
        <v>PROV-CHLLCF</v>
      </c>
      <c r="AB2089" s="65"/>
      <c r="AC2089" s="65" t="str">
        <f>IFERROR(__xludf.DUMMYFUNCTION("""COMPUTED_VALUE"""),"CUCHILLO PARA CHEF")</f>
        <v>CUCHILLO PARA CHEF</v>
      </c>
      <c r="AD2089" s="65"/>
      <c r="AE2089" s="65">
        <f>IFERROR(__xludf.DUMMYFUNCTION("""COMPUTED_VALUE"""),3.0)</f>
        <v>3</v>
      </c>
      <c r="AF2089" s="65" t="str">
        <f>IFERROR(__xludf.DUMMYFUNCTION("""COMPUTED_VALUE"""),"DESTINATARIO INDICA QUE YA NO DESEA EL PRODUCTO")</f>
        <v>DESTINATARIO INDICA QUE YA NO DESEA EL PRODUCTO</v>
      </c>
      <c r="AG2089" s="65" t="str">
        <f>IFERROR(__xludf.DUMMYFUNCTION("""COMPUTED_VALUE"""),"NO")</f>
        <v>NO</v>
      </c>
      <c r="AH2089" s="65" t="str">
        <f>IFERROR(__xludf.DUMMYFUNCTION("""COMPUTED_VALUE"""),"11:47")</f>
        <v>11:47</v>
      </c>
      <c r="AI2089" s="65" t="str">
        <f>IFERROR(__xludf.DUMMYFUNCTION("""COMPUTED_VALUE"""),"21-01-2026")</f>
        <v>21-01-2026</v>
      </c>
      <c r="AJ2089" s="65"/>
      <c r="AK2089" s="65"/>
      <c r="AL2089" s="65"/>
      <c r="AM2089" s="65"/>
      <c r="AN2089" s="65" t="str">
        <f>IFERROR(__xludf.DUMMYFUNCTION("""COMPUTED_VALUE"""),"08:36")</f>
        <v>08:36</v>
      </c>
      <c r="AO2089" s="65" t="str">
        <f>IFERROR(__xludf.DUMMYFUNCTION("""COMPUTED_VALUE"""),"10-02-2026")</f>
        <v>10-02-2026</v>
      </c>
      <c r="AP2089" s="65" t="str">
        <f>IFERROR(__xludf.DUMMYFUNCTION("""COMPUTED_VALUE"""),"DEV CONFIRMADA POR BODEGA")</f>
        <v>DEV CONFIRMADA POR BODEGA</v>
      </c>
      <c r="AQ2089" s="65"/>
      <c r="AR2089" s="65" t="str">
        <f>IFERROR(__xludf.DUMMYFUNCTION("""COMPUTED_VALUE"""),"Gestionado por: Moran Daniel, email:danielmorga2005@gmail.com, total de productos en la orden: 1")</f>
        <v>Gestionado por: Moran Daniel, email:danielmorga2005@gmail.com, total de productos en la orden: 1</v>
      </c>
      <c r="AS2089" s="65"/>
      <c r="AT2089" s="65" t="str">
        <f>IFERROR(__xludf.DUMMYFUNCTION("""COMPUTED_VALUE"""),"SHOPIFY")</f>
        <v>SHOPIFY</v>
      </c>
      <c r="AU2089" s="65" t="str">
        <f>IFERROR(__xludf.DUMMYFUNCTION("""COMPUTED_VALUE"""),"IMPORTEX EC")</f>
        <v>IMPORTEX EC</v>
      </c>
      <c r="AV2089" s="65" t="str">
        <f>IFERROR(__xludf.DUMMYFUNCTION("""COMPUTED_VALUE"""),"6405431722028")</f>
        <v>6405431722028</v>
      </c>
      <c r="AW2089" s="65">
        <f>IFERROR(__xludf.DUMMYFUNCTION("""COMPUTED_VALUE"""),4877.0)</f>
        <v>4877</v>
      </c>
      <c r="AX2089" s="65"/>
      <c r="AY2089" s="65" t="str">
        <f>IFERROR(__xludf.DUMMYFUNCTION("""COMPUTED_VALUE"""),"14/01/2026")</f>
        <v>14/01/2026</v>
      </c>
      <c r="AZ2089" s="65"/>
      <c r="BA2089" s="65"/>
    </row>
    <row r="2090">
      <c r="A2090" s="65" t="str">
        <f>IFERROR(__xludf.DUMMYFUNCTION("""COMPUTED_VALUE"""),"27-03-2026")</f>
        <v>27-03-2026</v>
      </c>
      <c r="B2090" s="65">
        <f>IFERROR(__xludf.DUMMYFUNCTION("""COMPUTED_VALUE"""),4098869.0)</f>
        <v>4098869</v>
      </c>
      <c r="C2090" s="65" t="str">
        <f>IFERROR(__xludf.DUMMYFUNCTION("""COMPUTED_VALUE"""),"21:17")</f>
        <v>21:17</v>
      </c>
      <c r="D2090" s="65" t="str">
        <f>IFERROR(__xludf.DUMMYFUNCTION("""COMPUTED_VALUE"""),"10-01-2026")</f>
        <v>10-01-2026</v>
      </c>
      <c r="E2090" s="65" t="str">
        <f>IFERROR(__xludf.DUMMYFUNCTION("""COMPUTED_VALUE"""),"Paul Rivadeneira Santamaria")</f>
        <v>Paul Rivadeneira Santamaria</v>
      </c>
      <c r="F2090" s="65" t="str">
        <f>IFERROR(__xludf.DUMMYFUNCTION("""COMPUTED_VALUE"""),"989740886")</f>
        <v>989740886</v>
      </c>
      <c r="G2090" s="65" t="str">
        <f>IFERROR(__xludf.DUMMYFUNCTION("""COMPUTED_VALUE"""),"paul-risa@hotmail.com")</f>
        <v>paul-risa@hotmail.com</v>
      </c>
      <c r="H2090" s="65"/>
      <c r="I2090" s="65"/>
      <c r="J2090" s="65"/>
      <c r="K2090" s="65" t="str">
        <f>IFERROR(__xludf.DUMMYFUNCTION("""COMPUTED_VALUE"""),"CANCELADO")</f>
        <v>CANCELADO</v>
      </c>
      <c r="L2090" s="65" t="str">
        <f>IFERROR(__xludf.DUMMYFUNCTION("""COMPUTED_VALUE"""),"CON RECAUDO")</f>
        <v>CON RECAUDO</v>
      </c>
      <c r="M2090" s="65" t="str">
        <f>IFERROR(__xludf.DUMMYFUNCTION("""COMPUTED_VALUE"""),"BOLIVAR")</f>
        <v>BOLIVAR</v>
      </c>
      <c r="N2090" s="65" t="str">
        <f>IFERROR(__xludf.DUMMYFUNCTION("""COMPUTED_VALUE"""),"CHILLANES")</f>
        <v>CHILLANES</v>
      </c>
      <c r="O2090" s="65" t="str">
        <f>IFERROR(__xludf.DUMMYFUNCTION("""COMPUTED_VALUE"""),"Primero de junio A lado del terminal de buses -")</f>
        <v>Primero de junio A lado del terminal de buses -</v>
      </c>
      <c r="P2090" s="65"/>
      <c r="Q2090" s="65" t="str">
        <f>IFERROR(__xludf.DUMMYFUNCTION("""COMPUTED_VALUE"""),"SERVIENTREGA")</f>
        <v>SERVIENTREGA</v>
      </c>
      <c r="R2090" s="65">
        <f>IFERROR(__xludf.DUMMYFUNCTION("""COMPUTED_VALUE"""),20.0)</f>
        <v>20</v>
      </c>
      <c r="S2090" s="65"/>
      <c r="T2090" s="65">
        <f>IFERROR(__xludf.DUMMYFUNCTION("""COMPUTED_VALUE"""),7.67)</f>
        <v>7.67</v>
      </c>
      <c r="U2090" s="65">
        <f>IFERROR(__xludf.DUMMYFUNCTION("""COMPUTED_VALUE"""),0.0)</f>
        <v>0</v>
      </c>
      <c r="V2090" s="65">
        <f>IFERROR(__xludf.DUMMYFUNCTION("""COMPUTED_VALUE"""),0.0)</f>
        <v>0</v>
      </c>
      <c r="W2090" s="65">
        <f>IFERROR(__xludf.DUMMYFUNCTION("""COMPUTED_VALUE"""),0.0)</f>
        <v>0</v>
      </c>
      <c r="X2090" s="65">
        <f>IFERROR(__xludf.DUMMYFUNCTION("""COMPUTED_VALUE"""),2.79)</f>
        <v>2.79</v>
      </c>
      <c r="Y2090" s="65">
        <f>IFERROR(__xludf.DUMMYFUNCTION("""COMPUTED_VALUE"""),2.79)</f>
        <v>2.79</v>
      </c>
      <c r="Z2090" s="65">
        <f>IFERROR(__xludf.DUMMYFUNCTION("""COMPUTED_VALUE"""),120732.0)</f>
        <v>120732</v>
      </c>
      <c r="AA2090" s="65" t="str">
        <f>IFERROR(__xludf.DUMMYFUNCTION("""COMPUTED_VALUE"""),"PROV-LMPVT")</f>
        <v>PROV-LMPVT</v>
      </c>
      <c r="AB2090" s="65"/>
      <c r="AC2090" s="65" t="str">
        <f>IFERROR(__xludf.DUMMYFUNCTION("""COMPUTED_VALUE"""),"LIMPIADOR DE PARABRISAS Y VENTANAS")</f>
        <v>LIMPIADOR DE PARABRISAS Y VENTANAS</v>
      </c>
      <c r="AD2090" s="65"/>
      <c r="AE2090" s="65">
        <f>IFERROR(__xludf.DUMMYFUNCTION("""COMPUTED_VALUE"""),1.0)</f>
        <v>1</v>
      </c>
      <c r="AF2090" s="65"/>
      <c r="AG2090" s="65"/>
      <c r="AH2090" s="65"/>
      <c r="AI2090" s="65"/>
      <c r="AJ2090" s="65"/>
      <c r="AK2090" s="65"/>
      <c r="AL2090" s="65"/>
      <c r="AM2090" s="65"/>
      <c r="AN2090" s="65"/>
      <c r="AO2090" s="65"/>
      <c r="AP2090" s="65"/>
      <c r="AQ2090" s="65"/>
      <c r="AR2090" s="65"/>
      <c r="AS2090" s="65"/>
      <c r="AT2090" s="65" t="str">
        <f>IFERROR(__xludf.DUMMYFUNCTION("""COMPUTED_VALUE"""),"SHOPIFY")</f>
        <v>SHOPIFY</v>
      </c>
      <c r="AU2090" s="65" t="str">
        <f>IFERROR(__xludf.DUMMYFUNCTION("""COMPUTED_VALUE"""),"IMPORTEX EC")</f>
        <v>IMPORTEX EC</v>
      </c>
      <c r="AV2090" s="65" t="str">
        <f>IFERROR(__xludf.DUMMYFUNCTION("""COMPUTED_VALUE"""),"6405398495276")</f>
        <v>6405398495276</v>
      </c>
      <c r="AW2090" s="65">
        <f>IFERROR(__xludf.DUMMYFUNCTION("""COMPUTED_VALUE"""),4875.0)</f>
        <v>4875</v>
      </c>
      <c r="AX2090" s="65"/>
      <c r="AY2090" s="65"/>
      <c r="AZ2090" s="65"/>
      <c r="BA2090" s="65"/>
    </row>
    <row r="2091">
      <c r="A2091" s="65" t="str">
        <f>IFERROR(__xludf.DUMMYFUNCTION("""COMPUTED_VALUE"""),"27-03-2026")</f>
        <v>27-03-2026</v>
      </c>
      <c r="B2091" s="65">
        <f>IFERROR(__xludf.DUMMYFUNCTION("""COMPUTED_VALUE"""),4098868.0)</f>
        <v>4098868</v>
      </c>
      <c r="C2091" s="65" t="str">
        <f>IFERROR(__xludf.DUMMYFUNCTION("""COMPUTED_VALUE"""),"21:17")</f>
        <v>21:17</v>
      </c>
      <c r="D2091" s="65" t="str">
        <f>IFERROR(__xludf.DUMMYFUNCTION("""COMPUTED_VALUE"""),"10-01-2026")</f>
        <v>10-01-2026</v>
      </c>
      <c r="E2091" s="65" t="str">
        <f>IFERROR(__xludf.DUMMYFUNCTION("""COMPUTED_VALUE"""),"Líder Jaramillo")</f>
        <v>Líder Jaramillo</v>
      </c>
      <c r="F2091" s="65" t="str">
        <f>IFERROR(__xludf.DUMMYFUNCTION("""COMPUTED_VALUE"""),"960225626")</f>
        <v>960225626</v>
      </c>
      <c r="G2091" s="65"/>
      <c r="H2091" s="65"/>
      <c r="I2091" s="65"/>
      <c r="J2091" s="65" t="str">
        <f>IFERROR(__xludf.DUMMYFUNCTION("""COMPUTED_VALUE"""),"D001223158")</f>
        <v>D001223158</v>
      </c>
      <c r="K2091" s="65" t="str">
        <f>IFERROR(__xludf.DUMMYFUNCTION("""COMPUTED_VALUE"""),"ENTREGADO")</f>
        <v>ENTREGADO</v>
      </c>
      <c r="L2091" s="65" t="str">
        <f>IFERROR(__xludf.DUMMYFUNCTION("""COMPUTED_VALUE"""),"CON RECAUDO")</f>
        <v>CON RECAUDO</v>
      </c>
      <c r="M2091" s="65" t="str">
        <f>IFERROR(__xludf.DUMMYFUNCTION("""COMPUTED_VALUE"""),"SUCUMBIOS")</f>
        <v>SUCUMBIOS</v>
      </c>
      <c r="N2091" s="65" t="str">
        <f>IFERROR(__xludf.DUMMYFUNCTION("""COMPUTED_VALUE"""),"LAGO AGRIO")</f>
        <v>LAGO AGRIO</v>
      </c>
      <c r="O2091" s="65" t="str">
        <f>IFERROR(__xludf.DUMMYFUNCTION("""COMPUTED_VALUE"""),"12 de febrero y Sucre Centro -")</f>
        <v>12 de febrero y Sucre Centro -</v>
      </c>
      <c r="P2091" s="65"/>
      <c r="Q2091" s="65" t="str">
        <f>IFERROR(__xludf.DUMMYFUNCTION("""COMPUTED_VALUE"""),"GINTRACOM")</f>
        <v>GINTRACOM</v>
      </c>
      <c r="R2091" s="65">
        <f>IFERROR(__xludf.DUMMYFUNCTION("""COMPUTED_VALUE"""),22.0)</f>
        <v>22</v>
      </c>
      <c r="S2091" s="65">
        <f>IFERROR(__xludf.DUMMYFUNCTION("""COMPUTED_VALUE"""),10.96)</f>
        <v>10.96</v>
      </c>
      <c r="T2091" s="65">
        <f>IFERROR(__xludf.DUMMYFUNCTION("""COMPUTED_VALUE"""),5.84)</f>
        <v>5.84</v>
      </c>
      <c r="U2091" s="65">
        <f>IFERROR(__xludf.DUMMYFUNCTION("""COMPUTED_VALUE"""),0.0)</f>
        <v>0</v>
      </c>
      <c r="V2091" s="65">
        <f>IFERROR(__xludf.DUMMYFUNCTION("""COMPUTED_VALUE"""),0.0)</f>
        <v>0</v>
      </c>
      <c r="W2091" s="65">
        <f>IFERROR(__xludf.DUMMYFUNCTION("""COMPUTED_VALUE"""),0.0)</f>
        <v>0</v>
      </c>
      <c r="X2091" s="65">
        <f>IFERROR(__xludf.DUMMYFUNCTION("""COMPUTED_VALUE"""),2.6)</f>
        <v>2.6</v>
      </c>
      <c r="Y2091" s="65">
        <f>IFERROR(__xludf.DUMMYFUNCTION("""COMPUTED_VALUE"""),5.2)</f>
        <v>5.2</v>
      </c>
      <c r="Z2091" s="65">
        <f>IFERROR(__xludf.DUMMYFUNCTION("""COMPUTED_VALUE"""),121983.0)</f>
        <v>121983</v>
      </c>
      <c r="AA2091" s="65" t="str">
        <f>IFERROR(__xludf.DUMMYFUNCTION("""COMPUTED_VALUE"""),"PROV-CHLLCF")</f>
        <v>PROV-CHLLCF</v>
      </c>
      <c r="AB2091" s="65"/>
      <c r="AC2091" s="65" t="str">
        <f>IFERROR(__xludf.DUMMYFUNCTION("""COMPUTED_VALUE"""),"CUCHILLO PARA CHEF")</f>
        <v>CUCHILLO PARA CHEF</v>
      </c>
      <c r="AD2091" s="65"/>
      <c r="AE2091" s="65">
        <f>IFERROR(__xludf.DUMMYFUNCTION("""COMPUTED_VALUE"""),2.0)</f>
        <v>2</v>
      </c>
      <c r="AF2091" s="65"/>
      <c r="AG2091" s="65"/>
      <c r="AH2091" s="65"/>
      <c r="AI2091" s="65"/>
      <c r="AJ2091" s="65"/>
      <c r="AK2091" s="65"/>
      <c r="AL2091" s="65"/>
      <c r="AM2091" s="65"/>
      <c r="AN2091" s="65" t="str">
        <f>IFERROR(__xludf.DUMMYFUNCTION("""COMPUTED_VALUE"""),"18:10")</f>
        <v>18:10</v>
      </c>
      <c r="AO2091" s="65" t="str">
        <f>IFERROR(__xludf.DUMMYFUNCTION("""COMPUTED_VALUE"""),"16-01-2026")</f>
        <v>16-01-2026</v>
      </c>
      <c r="AP2091" s="65" t="str">
        <f>IFERROR(__xludf.DUMMYFUNCTION("""COMPUTED_VALUE"""),"ENTREGADA GINTRACOM")</f>
        <v>ENTREGADA GINTRACOM</v>
      </c>
      <c r="AQ2091" s="65" t="str">
        <f>IFERROR(__xludf.DUMMYFUNCTION("""COMPUTED_VALUE"""),"ENTREGADA GINTRACOM")</f>
        <v>ENTREGADA GINTRACOM</v>
      </c>
      <c r="AR2091" s="65"/>
      <c r="AS2091" s="65"/>
      <c r="AT2091" s="65" t="str">
        <f>IFERROR(__xludf.DUMMYFUNCTION("""COMPUTED_VALUE"""),"SHOPIFY")</f>
        <v>SHOPIFY</v>
      </c>
      <c r="AU2091" s="65" t="str">
        <f>IFERROR(__xludf.DUMMYFUNCTION("""COMPUTED_VALUE"""),"IMPORTEX EC")</f>
        <v>IMPORTEX EC</v>
      </c>
      <c r="AV2091" s="65" t="str">
        <f>IFERROR(__xludf.DUMMYFUNCTION("""COMPUTED_VALUE"""),"6405398233132")</f>
        <v>6405398233132</v>
      </c>
      <c r="AW2091" s="65">
        <f>IFERROR(__xludf.DUMMYFUNCTION("""COMPUTED_VALUE"""),4874.0)</f>
        <v>4874</v>
      </c>
      <c r="AX2091" s="65"/>
      <c r="AY2091" s="65" t="str">
        <f>IFERROR(__xludf.DUMMYFUNCTION("""COMPUTED_VALUE"""),"14/01/2026")</f>
        <v>14/01/2026</v>
      </c>
      <c r="AZ2091" s="65"/>
      <c r="BA2091" s="65"/>
    </row>
    <row r="2092">
      <c r="A2092" s="65" t="str">
        <f>IFERROR(__xludf.DUMMYFUNCTION("""COMPUTED_VALUE"""),"27-03-2026")</f>
        <v>27-03-2026</v>
      </c>
      <c r="B2092" s="65">
        <f>IFERROR(__xludf.DUMMYFUNCTION("""COMPUTED_VALUE"""),4098781.0)</f>
        <v>4098781</v>
      </c>
      <c r="C2092" s="65" t="str">
        <f>IFERROR(__xludf.DUMMYFUNCTION("""COMPUTED_VALUE"""),"21:08")</f>
        <v>21:08</v>
      </c>
      <c r="D2092" s="65" t="str">
        <f>IFERROR(__xludf.DUMMYFUNCTION("""COMPUTED_VALUE"""),"10-01-2026")</f>
        <v>10-01-2026</v>
      </c>
      <c r="E2092" s="65" t="str">
        <f>IFERROR(__xludf.DUMMYFUNCTION("""COMPUTED_VALUE"""),"Raúl Fernando")</f>
        <v>Raúl Fernando</v>
      </c>
      <c r="F2092" s="65" t="str">
        <f>IFERROR(__xludf.DUMMYFUNCTION("""COMPUTED_VALUE"""),"992386017")</f>
        <v>992386017</v>
      </c>
      <c r="G2092" s="65"/>
      <c r="H2092" s="65"/>
      <c r="I2092" s="65"/>
      <c r="J2092" s="65" t="str">
        <f>IFERROR(__xludf.DUMMYFUNCTION("""COMPUTED_VALUE"""),"186973350")</f>
        <v>186973350</v>
      </c>
      <c r="K2092" s="65" t="str">
        <f>IFERROR(__xludf.DUMMYFUNCTION("""COMPUTED_VALUE"""),"ENTREGADO")</f>
        <v>ENTREGADO</v>
      </c>
      <c r="L2092" s="65" t="str">
        <f>IFERROR(__xludf.DUMMYFUNCTION("""COMPUTED_VALUE"""),"CON RECAUDO")</f>
        <v>CON RECAUDO</v>
      </c>
      <c r="M2092" s="65" t="str">
        <f>IFERROR(__xludf.DUMMYFUNCTION("""COMPUTED_VALUE"""),"LOJA")</f>
        <v>LOJA</v>
      </c>
      <c r="N2092" s="65" t="str">
        <f>IFERROR(__xludf.DUMMYFUNCTION("""COMPUTED_VALUE"""),"CARIAMANGA")</f>
        <v>CARIAMANGA</v>
      </c>
      <c r="O2092" s="65" t="str">
        <f>IFERROR(__xludf.DUMMYFUNCTION("""COMPUTED_VALUE"""),"José Miguel Rosillo y García moreno - REF :  En Cariamanga barrio San Vicente taller frente al parque")</f>
        <v>José Miguel Rosillo y García moreno - REF :  En Cariamanga barrio San Vicente taller frente al parque</v>
      </c>
      <c r="P2092" s="65"/>
      <c r="Q2092" s="65" t="str">
        <f>IFERROR(__xludf.DUMMYFUNCTION("""COMPUTED_VALUE"""),"SERVIENTREGA")</f>
        <v>SERVIENTREGA</v>
      </c>
      <c r="R2092" s="65">
        <f>IFERROR(__xludf.DUMMYFUNCTION("""COMPUTED_VALUE"""),30.0)</f>
        <v>30</v>
      </c>
      <c r="S2092" s="65">
        <f>IFERROR(__xludf.DUMMYFUNCTION("""COMPUTED_VALUE"""),13.81)</f>
        <v>13.81</v>
      </c>
      <c r="T2092" s="65">
        <f>IFERROR(__xludf.DUMMYFUNCTION("""COMPUTED_VALUE"""),7.82)</f>
        <v>7.82</v>
      </c>
      <c r="U2092" s="65">
        <f>IFERROR(__xludf.DUMMYFUNCTION("""COMPUTED_VALUE"""),0.0)</f>
        <v>0</v>
      </c>
      <c r="V2092" s="65">
        <f>IFERROR(__xludf.DUMMYFUNCTION("""COMPUTED_VALUE"""),0.0)</f>
        <v>0</v>
      </c>
      <c r="W2092" s="65">
        <f>IFERROR(__xludf.DUMMYFUNCTION("""COMPUTED_VALUE"""),0.0)</f>
        <v>0</v>
      </c>
      <c r="X2092" s="65">
        <f>IFERROR(__xludf.DUMMYFUNCTION("""COMPUTED_VALUE"""),2.79)</f>
        <v>2.79</v>
      </c>
      <c r="Y2092" s="65">
        <f>IFERROR(__xludf.DUMMYFUNCTION("""COMPUTED_VALUE"""),8.37)</f>
        <v>8.37</v>
      </c>
      <c r="Z2092" s="65">
        <f>IFERROR(__xludf.DUMMYFUNCTION("""COMPUTED_VALUE"""),120732.0)</f>
        <v>120732</v>
      </c>
      <c r="AA2092" s="65" t="str">
        <f>IFERROR(__xludf.DUMMYFUNCTION("""COMPUTED_VALUE"""),"PROV-LMPVT")</f>
        <v>PROV-LMPVT</v>
      </c>
      <c r="AB2092" s="65"/>
      <c r="AC2092" s="65" t="str">
        <f>IFERROR(__xludf.DUMMYFUNCTION("""COMPUTED_VALUE"""),"LIMPIADOR DE PARABRISAS Y VENTANAS")</f>
        <v>LIMPIADOR DE PARABRISAS Y VENTANAS</v>
      </c>
      <c r="AD2092" s="65"/>
      <c r="AE2092" s="65">
        <f>IFERROR(__xludf.DUMMYFUNCTION("""COMPUTED_VALUE"""),3.0)</f>
        <v>3</v>
      </c>
      <c r="AF2092" s="65"/>
      <c r="AG2092" s="65"/>
      <c r="AH2092" s="65"/>
      <c r="AI2092" s="65"/>
      <c r="AJ2092" s="65"/>
      <c r="AK2092" s="65"/>
      <c r="AL2092" s="65"/>
      <c r="AM2092" s="65"/>
      <c r="AN2092" s="65" t="str">
        <f>IFERROR(__xludf.DUMMYFUNCTION("""COMPUTED_VALUE"""),"20:21")</f>
        <v>20:21</v>
      </c>
      <c r="AO2092" s="65" t="str">
        <f>IFERROR(__xludf.DUMMYFUNCTION("""COMPUTED_VALUE"""),"02-02-2026")</f>
        <v>02-02-2026</v>
      </c>
      <c r="AP2092" s="65" t="str">
        <f>IFERROR(__xludf.DUMMYFUNCTION("""COMPUTED_VALUE"""),"REPORTADO ENTREGADO EN APP")</f>
        <v>REPORTADO ENTREGADO EN APP</v>
      </c>
      <c r="AQ2092" s="65" t="str">
        <f>IFERROR(__xludf.DUMMYFUNCTION("""COMPUTED_VALUE"""),"Raul Fernando")</f>
        <v>Raul Fernando</v>
      </c>
      <c r="AR2092" s="65"/>
      <c r="AS2092" s="65"/>
      <c r="AT2092" s="65" t="str">
        <f>IFERROR(__xludf.DUMMYFUNCTION("""COMPUTED_VALUE"""),"SHOPIFY")</f>
        <v>SHOPIFY</v>
      </c>
      <c r="AU2092" s="65" t="str">
        <f>IFERROR(__xludf.DUMMYFUNCTION("""COMPUTED_VALUE"""),"IMPORTEX EC")</f>
        <v>IMPORTEX EC</v>
      </c>
      <c r="AV2092" s="65" t="str">
        <f>IFERROR(__xludf.DUMMYFUNCTION("""COMPUTED_VALUE"""),"6405378572332")</f>
        <v>6405378572332</v>
      </c>
      <c r="AW2092" s="65">
        <f>IFERROR(__xludf.DUMMYFUNCTION("""COMPUTED_VALUE"""),4873.0)</f>
        <v>4873</v>
      </c>
      <c r="AX2092" s="65"/>
      <c r="AY2092" s="65" t="str">
        <f>IFERROR(__xludf.DUMMYFUNCTION("""COMPUTED_VALUE"""),"14/01/2026")</f>
        <v>14/01/2026</v>
      </c>
      <c r="AZ2092" s="65"/>
      <c r="BA2092" s="65"/>
    </row>
    <row r="2093">
      <c r="A2093" s="65" t="str">
        <f>IFERROR(__xludf.DUMMYFUNCTION("""COMPUTED_VALUE"""),"27-03-2026")</f>
        <v>27-03-2026</v>
      </c>
      <c r="B2093" s="65">
        <f>IFERROR(__xludf.DUMMYFUNCTION("""COMPUTED_VALUE"""),4098768.0)</f>
        <v>4098768</v>
      </c>
      <c r="C2093" s="65" t="str">
        <f>IFERROR(__xludf.DUMMYFUNCTION("""COMPUTED_VALUE"""),"21:07")</f>
        <v>21:07</v>
      </c>
      <c r="D2093" s="65" t="str">
        <f>IFERROR(__xludf.DUMMYFUNCTION("""COMPUTED_VALUE"""),"10-01-2026")</f>
        <v>10-01-2026</v>
      </c>
      <c r="E2093" s="65" t="str">
        <f>IFERROR(__xludf.DUMMYFUNCTION("""COMPUTED_VALUE"""),"Ana valverde Valverde")</f>
        <v>Ana valverde Valverde</v>
      </c>
      <c r="F2093" s="65" t="str">
        <f>IFERROR(__xludf.DUMMYFUNCTION("""COMPUTED_VALUE"""),"998666874")</f>
        <v>998666874</v>
      </c>
      <c r="G2093" s="65" t="str">
        <f>IFERROR(__xludf.DUMMYFUNCTION("""COMPUTED_VALUE"""),"anitasther_87@hotmail.com")</f>
        <v>anitasther_87@hotmail.com</v>
      </c>
      <c r="H2093" s="65"/>
      <c r="I2093" s="65"/>
      <c r="J2093" s="65" t="str">
        <f>IFERROR(__xludf.DUMMYFUNCTION("""COMPUTED_VALUE"""),"D001223160")</f>
        <v>D001223160</v>
      </c>
      <c r="K2093" s="65" t="str">
        <f>IFERROR(__xludf.DUMMYFUNCTION("""COMPUTED_VALUE"""),"ENTREGADO")</f>
        <v>ENTREGADO</v>
      </c>
      <c r="L2093" s="65" t="str">
        <f>IFERROR(__xludf.DUMMYFUNCTION("""COMPUTED_VALUE"""),"CON RECAUDO")</f>
        <v>CON RECAUDO</v>
      </c>
      <c r="M2093" s="65" t="str">
        <f>IFERROR(__xludf.DUMMYFUNCTION("""COMPUTED_VALUE"""),"GUAYAS")</f>
        <v>GUAYAS</v>
      </c>
      <c r="N2093" s="65" t="str">
        <f>IFERROR(__xludf.DUMMYFUNCTION("""COMPUTED_VALUE"""),"GUAYAQUIL")</f>
        <v>GUAYAQUIL</v>
      </c>
      <c r="O2093" s="65" t="str">
        <f>IFERROR(__xludf.DUMMYFUNCTION("""COMPUTED_VALUE"""),"6 Herradura 2A agustin freire y garzocentro - Winger local 1107")</f>
        <v>6 Herradura 2A agustin freire y garzocentro - Winger local 1107</v>
      </c>
      <c r="P2093" s="65"/>
      <c r="Q2093" s="65" t="str">
        <f>IFERROR(__xludf.DUMMYFUNCTION("""COMPUTED_VALUE"""),"GINTRACOM")</f>
        <v>GINTRACOM</v>
      </c>
      <c r="R2093" s="65">
        <f>IFERROR(__xludf.DUMMYFUNCTION("""COMPUTED_VALUE"""),25.0)</f>
        <v>25</v>
      </c>
      <c r="S2093" s="65">
        <f>IFERROR(__xludf.DUMMYFUNCTION("""COMPUTED_VALUE"""),15.07)</f>
        <v>15.07</v>
      </c>
      <c r="T2093" s="65">
        <f>IFERROR(__xludf.DUMMYFUNCTION("""COMPUTED_VALUE"""),4.35)</f>
        <v>4.35</v>
      </c>
      <c r="U2093" s="65">
        <f>IFERROR(__xludf.DUMMYFUNCTION("""COMPUTED_VALUE"""),0.0)</f>
        <v>0</v>
      </c>
      <c r="V2093" s="65">
        <f>IFERROR(__xludf.DUMMYFUNCTION("""COMPUTED_VALUE"""),0.0)</f>
        <v>0</v>
      </c>
      <c r="W2093" s="65">
        <f>IFERROR(__xludf.DUMMYFUNCTION("""COMPUTED_VALUE"""),0.0)</f>
        <v>0</v>
      </c>
      <c r="X2093" s="65">
        <f>IFERROR(__xludf.DUMMYFUNCTION("""COMPUTED_VALUE"""),2.79)</f>
        <v>2.79</v>
      </c>
      <c r="Y2093" s="65">
        <f>IFERROR(__xludf.DUMMYFUNCTION("""COMPUTED_VALUE"""),5.58)</f>
        <v>5.58</v>
      </c>
      <c r="Z2093" s="65">
        <f>IFERROR(__xludf.DUMMYFUNCTION("""COMPUTED_VALUE"""),120732.0)</f>
        <v>120732</v>
      </c>
      <c r="AA2093" s="65" t="str">
        <f>IFERROR(__xludf.DUMMYFUNCTION("""COMPUTED_VALUE"""),"PROV-LMPVT")</f>
        <v>PROV-LMPVT</v>
      </c>
      <c r="AB2093" s="65"/>
      <c r="AC2093" s="65" t="str">
        <f>IFERROR(__xludf.DUMMYFUNCTION("""COMPUTED_VALUE"""),"LIMPIADOR DE PARABRISAS Y VENTANAS")</f>
        <v>LIMPIADOR DE PARABRISAS Y VENTANAS</v>
      </c>
      <c r="AD2093" s="65"/>
      <c r="AE2093" s="65">
        <f>IFERROR(__xludf.DUMMYFUNCTION("""COMPUTED_VALUE"""),2.0)</f>
        <v>2</v>
      </c>
      <c r="AF2093" s="65" t="str">
        <f>IFERROR(__xludf.DUMMYFUNCTION("""COMPUTED_VALUE"""),"DESTINATARIO NO CONTESTA LLAMADAS NI WHATSAPP")</f>
        <v>DESTINATARIO NO CONTESTA LLAMADAS NI WHATSAPP</v>
      </c>
      <c r="AG2093" s="65" t="str">
        <f>IFERROR(__xludf.DUMMYFUNCTION("""COMPUTED_VALUE"""),"NO")</f>
        <v>NO</v>
      </c>
      <c r="AH2093" s="65" t="str">
        <f>IFERROR(__xludf.DUMMYFUNCTION("""COMPUTED_VALUE"""),"10:26")</f>
        <v>10:26</v>
      </c>
      <c r="AI2093" s="65" t="str">
        <f>IFERROR(__xludf.DUMMYFUNCTION("""COMPUTED_VALUE"""),"15-01-2026")</f>
        <v>15-01-2026</v>
      </c>
      <c r="AJ2093" s="65"/>
      <c r="AK2093" s="65"/>
      <c r="AL2093" s="65"/>
      <c r="AM2093" s="65"/>
      <c r="AN2093" s="65" t="str">
        <f>IFERROR(__xludf.DUMMYFUNCTION("""COMPUTED_VALUE"""),"14:54")</f>
        <v>14:54</v>
      </c>
      <c r="AO2093" s="65" t="str">
        <f>IFERROR(__xludf.DUMMYFUNCTION("""COMPUTED_VALUE"""),"15-01-2026")</f>
        <v>15-01-2026</v>
      </c>
      <c r="AP2093" s="65" t="str">
        <f>IFERROR(__xludf.DUMMYFUNCTION("""COMPUTED_VALUE"""),"ENTREGADA GINTRACOM")</f>
        <v>ENTREGADA GINTRACOM</v>
      </c>
      <c r="AQ2093" s="65" t="str">
        <f>IFERROR(__xludf.DUMMYFUNCTION("""COMPUTED_VALUE"""),"ENTREGADA GINTRACOM")</f>
        <v>ENTREGADA GINTRACOM</v>
      </c>
      <c r="AR2093" s="65"/>
      <c r="AS2093" s="65"/>
      <c r="AT2093" s="65" t="str">
        <f>IFERROR(__xludf.DUMMYFUNCTION("""COMPUTED_VALUE"""),"SHOPIFY")</f>
        <v>SHOPIFY</v>
      </c>
      <c r="AU2093" s="65" t="str">
        <f>IFERROR(__xludf.DUMMYFUNCTION("""COMPUTED_VALUE"""),"IMPORTEX EC")</f>
        <v>IMPORTEX EC</v>
      </c>
      <c r="AV2093" s="65" t="str">
        <f>IFERROR(__xludf.DUMMYFUNCTION("""COMPUTED_VALUE"""),"6405375459372")</f>
        <v>6405375459372</v>
      </c>
      <c r="AW2093" s="65">
        <f>IFERROR(__xludf.DUMMYFUNCTION("""COMPUTED_VALUE"""),4872.0)</f>
        <v>4872</v>
      </c>
      <c r="AX2093" s="65"/>
      <c r="AY2093" s="65" t="str">
        <f>IFERROR(__xludf.DUMMYFUNCTION("""COMPUTED_VALUE"""),"14/01/2026")</f>
        <v>14/01/2026</v>
      </c>
      <c r="AZ2093" s="65"/>
      <c r="BA2093" s="65"/>
    </row>
    <row r="2094">
      <c r="A2094" s="65" t="str">
        <f>IFERROR(__xludf.DUMMYFUNCTION("""COMPUTED_VALUE"""),"27-03-2026")</f>
        <v>27-03-2026</v>
      </c>
      <c r="B2094" s="65">
        <f>IFERROR(__xludf.DUMMYFUNCTION("""COMPUTED_VALUE"""),4098681.0)</f>
        <v>4098681</v>
      </c>
      <c r="C2094" s="65" t="str">
        <f>IFERROR(__xludf.DUMMYFUNCTION("""COMPUTED_VALUE"""),"20:59")</f>
        <v>20:59</v>
      </c>
      <c r="D2094" s="65" t="str">
        <f>IFERROR(__xludf.DUMMYFUNCTION("""COMPUTED_VALUE"""),"10-01-2026")</f>
        <v>10-01-2026</v>
      </c>
      <c r="E2094" s="65" t="str">
        <f>IFERROR(__xludf.DUMMYFUNCTION("""COMPUTED_VALUE"""),"Jesus Orobio")</f>
        <v>Jesus Orobio</v>
      </c>
      <c r="F2094" s="65" t="str">
        <f>IFERROR(__xludf.DUMMYFUNCTION("""COMPUTED_VALUE"""),"996655928")</f>
        <v>996655928</v>
      </c>
      <c r="G2094" s="65"/>
      <c r="H2094" s="65"/>
      <c r="I2094" s="65"/>
      <c r="J2094" s="65"/>
      <c r="K2094" s="65" t="str">
        <f>IFERROR(__xludf.DUMMYFUNCTION("""COMPUTED_VALUE"""),"PENDIENTE CONFIRMACION")</f>
        <v>PENDIENTE CONFIRMACION</v>
      </c>
      <c r="L2094" s="65" t="str">
        <f>IFERROR(__xludf.DUMMYFUNCTION("""COMPUTED_VALUE"""),"CON RECAUDO")</f>
        <v>CON RECAUDO</v>
      </c>
      <c r="M2094" s="65" t="str">
        <f>IFERROR(__xludf.DUMMYFUNCTION("""COMPUTED_VALUE"""),"SANTA ELENA")</f>
        <v>SANTA ELENA</v>
      </c>
      <c r="N2094" s="65" t="str">
        <f>IFERROR(__xludf.DUMMYFUNCTION("""COMPUTED_VALUE"""),"SANTA ELENA")</f>
        <v>SANTA ELENA</v>
      </c>
      <c r="O2094" s="65" t="str">
        <f>IFERROR(__xludf.DUMMYFUNCTION("""COMPUTED_VALUE"""),"Calle guayaquil Parque sentral -")</f>
        <v>Calle guayaquil Parque sentral -</v>
      </c>
      <c r="P2094" s="65"/>
      <c r="Q2094" s="65" t="str">
        <f>IFERROR(__xludf.DUMMYFUNCTION("""COMPUTED_VALUE"""),"GINTRACOM")</f>
        <v>GINTRACOM</v>
      </c>
      <c r="R2094" s="65">
        <f>IFERROR(__xludf.DUMMYFUNCTION("""COMPUTED_VALUE"""),30.0)</f>
        <v>30</v>
      </c>
      <c r="S2094" s="65"/>
      <c r="T2094" s="65">
        <f>IFERROR(__xludf.DUMMYFUNCTION("""COMPUTED_VALUE"""),6.16)</f>
        <v>6.16</v>
      </c>
      <c r="U2094" s="65">
        <f>IFERROR(__xludf.DUMMYFUNCTION("""COMPUTED_VALUE"""),0.0)</f>
        <v>0</v>
      </c>
      <c r="V2094" s="65">
        <f>IFERROR(__xludf.DUMMYFUNCTION("""COMPUTED_VALUE"""),0.0)</f>
        <v>0</v>
      </c>
      <c r="W2094" s="65">
        <f>IFERROR(__xludf.DUMMYFUNCTION("""COMPUTED_VALUE"""),0.0)</f>
        <v>0</v>
      </c>
      <c r="X2094" s="65">
        <f>IFERROR(__xludf.DUMMYFUNCTION("""COMPUTED_VALUE"""),2.79)</f>
        <v>2.79</v>
      </c>
      <c r="Y2094" s="65">
        <f>IFERROR(__xludf.DUMMYFUNCTION("""COMPUTED_VALUE"""),8.37)</f>
        <v>8.37</v>
      </c>
      <c r="Z2094" s="65">
        <f>IFERROR(__xludf.DUMMYFUNCTION("""COMPUTED_VALUE"""),120732.0)</f>
        <v>120732</v>
      </c>
      <c r="AA2094" s="65" t="str">
        <f>IFERROR(__xludf.DUMMYFUNCTION("""COMPUTED_VALUE"""),"PROV-LMPVT")</f>
        <v>PROV-LMPVT</v>
      </c>
      <c r="AB2094" s="65"/>
      <c r="AC2094" s="65" t="str">
        <f>IFERROR(__xludf.DUMMYFUNCTION("""COMPUTED_VALUE"""),"LIMPIADOR DE PARABRISAS Y VENTANAS")</f>
        <v>LIMPIADOR DE PARABRISAS Y VENTANAS</v>
      </c>
      <c r="AD2094" s="65"/>
      <c r="AE2094" s="65">
        <f>IFERROR(__xludf.DUMMYFUNCTION("""COMPUTED_VALUE"""),3.0)</f>
        <v>3</v>
      </c>
      <c r="AF2094" s="65"/>
      <c r="AG2094" s="65"/>
      <c r="AH2094" s="65"/>
      <c r="AI2094" s="65"/>
      <c r="AJ2094" s="65"/>
      <c r="AK2094" s="65"/>
      <c r="AL2094" s="65"/>
      <c r="AM2094" s="65"/>
      <c r="AN2094" s="65"/>
      <c r="AO2094" s="65"/>
      <c r="AP2094" s="65"/>
      <c r="AQ2094" s="65"/>
      <c r="AR2094" s="65"/>
      <c r="AS2094" s="65"/>
      <c r="AT2094" s="65" t="str">
        <f>IFERROR(__xludf.DUMMYFUNCTION("""COMPUTED_VALUE"""),"SHOPIFY")</f>
        <v>SHOPIFY</v>
      </c>
      <c r="AU2094" s="65" t="str">
        <f>IFERROR(__xludf.DUMMYFUNCTION("""COMPUTED_VALUE"""),"IMPORTEX EC")</f>
        <v>IMPORTEX EC</v>
      </c>
      <c r="AV2094" s="65" t="str">
        <f>IFERROR(__xludf.DUMMYFUNCTION("""COMPUTED_VALUE"""),"6405357207596")</f>
        <v>6405357207596</v>
      </c>
      <c r="AW2094" s="65">
        <f>IFERROR(__xludf.DUMMYFUNCTION("""COMPUTED_VALUE"""),4871.0)</f>
        <v>4871</v>
      </c>
      <c r="AX2094" s="65"/>
      <c r="AY2094" s="65"/>
      <c r="AZ2094" s="65"/>
      <c r="BA2094" s="65"/>
    </row>
    <row r="2095">
      <c r="A2095" s="65" t="str">
        <f>IFERROR(__xludf.DUMMYFUNCTION("""COMPUTED_VALUE"""),"27-03-2026")</f>
        <v>27-03-2026</v>
      </c>
      <c r="B2095" s="65">
        <f>IFERROR(__xludf.DUMMYFUNCTION("""COMPUTED_VALUE"""),4098530.0)</f>
        <v>4098530</v>
      </c>
      <c r="C2095" s="65" t="str">
        <f>IFERROR(__xludf.DUMMYFUNCTION("""COMPUTED_VALUE"""),"20:45")</f>
        <v>20:45</v>
      </c>
      <c r="D2095" s="65" t="str">
        <f>IFERROR(__xludf.DUMMYFUNCTION("""COMPUTED_VALUE"""),"10-01-2026")</f>
        <v>10-01-2026</v>
      </c>
      <c r="E2095" s="65" t="str">
        <f>IFERROR(__xludf.DUMMYFUNCTION("""COMPUTED_VALUE"""),"Lidia Esterilla")</f>
        <v>Lidia Esterilla</v>
      </c>
      <c r="F2095" s="65" t="str">
        <f>IFERROR(__xludf.DUMMYFUNCTION("""COMPUTED_VALUE"""),"986219032")</f>
        <v>986219032</v>
      </c>
      <c r="G2095" s="65" t="str">
        <f>IFERROR(__xludf.DUMMYFUNCTION("""COMPUTED_VALUE"""),"lidia19-63@hotmail.com")</f>
        <v>lidia19-63@hotmail.com</v>
      </c>
      <c r="H2095" s="65"/>
      <c r="I2095" s="65"/>
      <c r="J2095" s="65" t="str">
        <f>IFERROR(__xludf.DUMMYFUNCTION("""COMPUTED_VALUE"""),"D001223163")</f>
        <v>D001223163</v>
      </c>
      <c r="K2095" s="65" t="str">
        <f>IFERROR(__xludf.DUMMYFUNCTION("""COMPUTED_VALUE"""),"DEVOLUCION")</f>
        <v>DEVOLUCION</v>
      </c>
      <c r="L2095" s="65" t="str">
        <f>IFERROR(__xludf.DUMMYFUNCTION("""COMPUTED_VALUE"""),"CON RECAUDO")</f>
        <v>CON RECAUDO</v>
      </c>
      <c r="M2095" s="65" t="str">
        <f>IFERROR(__xludf.DUMMYFUNCTION("""COMPUTED_VALUE"""),"ESMERALDAS")</f>
        <v>ESMERALDAS</v>
      </c>
      <c r="N2095" s="65" t="str">
        <f>IFERROR(__xludf.DUMMYFUNCTION("""COMPUTED_VALUE"""),"QUININDE")</f>
        <v>QUININDE</v>
      </c>
      <c r="O2095" s="65" t="str">
        <f>IFERROR(__xludf.DUMMYFUNCTION("""COMPUTED_VALUE"""),"Avenida 3 de Julio Y Victor Villegas - REF :  frente al sindicato de choferes queda el hospital Padre Alberto Buffoni. Ahí nomás se pregunta y listo,")</f>
        <v>Avenida 3 de Julio Y Victor Villegas - REF :  frente al sindicato de choferes queda el hospital Padre Alberto Buffoni. Ahí nomás se pregunta y listo,</v>
      </c>
      <c r="P2095" s="65"/>
      <c r="Q2095" s="65" t="str">
        <f>IFERROR(__xludf.DUMMYFUNCTION("""COMPUTED_VALUE"""),"GINTRACOM")</f>
        <v>GINTRACOM</v>
      </c>
      <c r="R2095" s="65">
        <f>IFERROR(__xludf.DUMMYFUNCTION("""COMPUTED_VALUE"""),22.0)</f>
        <v>22</v>
      </c>
      <c r="S2095" s="65"/>
      <c r="T2095" s="65">
        <f>IFERROR(__xludf.DUMMYFUNCTION("""COMPUTED_VALUE"""),5.84)</f>
        <v>5.84</v>
      </c>
      <c r="U2095" s="65">
        <f>IFERROR(__xludf.DUMMYFUNCTION("""COMPUTED_VALUE"""),0.0)</f>
        <v>0</v>
      </c>
      <c r="V2095" s="65">
        <f>IFERROR(__xludf.DUMMYFUNCTION("""COMPUTED_VALUE"""),0.0)</f>
        <v>0</v>
      </c>
      <c r="W2095" s="65">
        <f>IFERROR(__xludf.DUMMYFUNCTION("""COMPUTED_VALUE"""),0.0)</f>
        <v>0</v>
      </c>
      <c r="X2095" s="65">
        <f>IFERROR(__xludf.DUMMYFUNCTION("""COMPUTED_VALUE"""),2.6)</f>
        <v>2.6</v>
      </c>
      <c r="Y2095" s="65">
        <f>IFERROR(__xludf.DUMMYFUNCTION("""COMPUTED_VALUE"""),5.2)</f>
        <v>5.2</v>
      </c>
      <c r="Z2095" s="65">
        <f>IFERROR(__xludf.DUMMYFUNCTION("""COMPUTED_VALUE"""),121983.0)</f>
        <v>121983</v>
      </c>
      <c r="AA2095" s="65" t="str">
        <f>IFERROR(__xludf.DUMMYFUNCTION("""COMPUTED_VALUE"""),"PROV-CHLLCF")</f>
        <v>PROV-CHLLCF</v>
      </c>
      <c r="AB2095" s="65"/>
      <c r="AC2095" s="65" t="str">
        <f>IFERROR(__xludf.DUMMYFUNCTION("""COMPUTED_VALUE"""),"CUCHILLO PARA CHEF")</f>
        <v>CUCHILLO PARA CHEF</v>
      </c>
      <c r="AD2095" s="65"/>
      <c r="AE2095" s="65">
        <f>IFERROR(__xludf.DUMMYFUNCTION("""COMPUTED_VALUE"""),2.0)</f>
        <v>2</v>
      </c>
      <c r="AF2095" s="65" t="str">
        <f>IFERROR(__xludf.DUMMYFUNCTION("""COMPUTED_VALUE"""),"DESTINATARIO INDICA QUE ESTÁ INCONFORME CON EL PRODUCTO. (NO RECIBE)")</f>
        <v>DESTINATARIO INDICA QUE ESTÁ INCONFORME CON EL PRODUCTO. (NO RECIBE)</v>
      </c>
      <c r="AG2095" s="65" t="str">
        <f>IFERROR(__xludf.DUMMYFUNCTION("""COMPUTED_VALUE"""),"NO")</f>
        <v>NO</v>
      </c>
      <c r="AH2095" s="65" t="str">
        <f>IFERROR(__xludf.DUMMYFUNCTION("""COMPUTED_VALUE"""),"11:17")</f>
        <v>11:17</v>
      </c>
      <c r="AI2095" s="65" t="str">
        <f>IFERROR(__xludf.DUMMYFUNCTION("""COMPUTED_VALUE"""),"16-01-2026")</f>
        <v>16-01-2026</v>
      </c>
      <c r="AJ2095" s="65"/>
      <c r="AK2095" s="65"/>
      <c r="AL2095" s="65"/>
      <c r="AM2095" s="65"/>
      <c r="AN2095" s="65" t="str">
        <f>IFERROR(__xludf.DUMMYFUNCTION("""COMPUTED_VALUE"""),"08:51")</f>
        <v>08:51</v>
      </c>
      <c r="AO2095" s="65" t="str">
        <f>IFERROR(__xludf.DUMMYFUNCTION("""COMPUTED_VALUE"""),"10-02-2026")</f>
        <v>10-02-2026</v>
      </c>
      <c r="AP2095" s="65" t="str">
        <f>IFERROR(__xludf.DUMMYFUNCTION("""COMPUTED_VALUE"""),"DEV CONFIRMADA POR BODEGA")</f>
        <v>DEV CONFIRMADA POR BODEGA</v>
      </c>
      <c r="AQ2095" s="65"/>
      <c r="AR2095" s="65" t="str">
        <f>IFERROR(__xludf.DUMMYFUNCTION("""COMPUTED_VALUE"""),"Gestionado por: Moran Daniel, email:danielmorga2005@gmail.com, total de productos en la orden: 1")</f>
        <v>Gestionado por: Moran Daniel, email:danielmorga2005@gmail.com, total de productos en la orden: 1</v>
      </c>
      <c r="AS2095" s="65"/>
      <c r="AT2095" s="65" t="str">
        <f>IFERROR(__xludf.DUMMYFUNCTION("""COMPUTED_VALUE"""),"SHOPIFY")</f>
        <v>SHOPIFY</v>
      </c>
      <c r="AU2095" s="65" t="str">
        <f>IFERROR(__xludf.DUMMYFUNCTION("""COMPUTED_VALUE"""),"IMPORTEX EC")</f>
        <v>IMPORTEX EC</v>
      </c>
      <c r="AV2095" s="65" t="str">
        <f>IFERROR(__xludf.DUMMYFUNCTION("""COMPUTED_VALUE"""),"6405327585324")</f>
        <v>6405327585324</v>
      </c>
      <c r="AW2095" s="65">
        <f>IFERROR(__xludf.DUMMYFUNCTION("""COMPUTED_VALUE"""),4870.0)</f>
        <v>4870</v>
      </c>
      <c r="AX2095" s="65"/>
      <c r="AY2095" s="65" t="str">
        <f>IFERROR(__xludf.DUMMYFUNCTION("""COMPUTED_VALUE"""),"14/01/2026")</f>
        <v>14/01/2026</v>
      </c>
      <c r="AZ2095" s="65"/>
      <c r="BA2095" s="65"/>
    </row>
    <row r="2096">
      <c r="A2096" s="65" t="str">
        <f>IFERROR(__xludf.DUMMYFUNCTION("""COMPUTED_VALUE"""),"27-03-2026")</f>
        <v>27-03-2026</v>
      </c>
      <c r="B2096" s="65">
        <f>IFERROR(__xludf.DUMMYFUNCTION("""COMPUTED_VALUE"""),4098489.0)</f>
        <v>4098489</v>
      </c>
      <c r="C2096" s="65" t="str">
        <f>IFERROR(__xludf.DUMMYFUNCTION("""COMPUTED_VALUE"""),"20:42")</f>
        <v>20:42</v>
      </c>
      <c r="D2096" s="65" t="str">
        <f>IFERROR(__xludf.DUMMYFUNCTION("""COMPUTED_VALUE"""),"10-01-2026")</f>
        <v>10-01-2026</v>
      </c>
      <c r="E2096" s="65" t="str">
        <f>IFERROR(__xludf.DUMMYFUNCTION("""COMPUTED_VALUE"""),"Luis Franklin Pico Chango")</f>
        <v>Luis Franklin Pico Chango</v>
      </c>
      <c r="F2096" s="65" t="str">
        <f>IFERROR(__xludf.DUMMYFUNCTION("""COMPUTED_VALUE"""),"997555309")</f>
        <v>997555309</v>
      </c>
      <c r="G2096" s="65" t="str">
        <f>IFERROR(__xludf.DUMMYFUNCTION("""COMPUTED_VALUE"""),"luis228355@hotmail.es")</f>
        <v>luis228355@hotmail.es</v>
      </c>
      <c r="H2096" s="65"/>
      <c r="I2096" s="65"/>
      <c r="J2096" s="65" t="str">
        <f>IFERROR(__xludf.DUMMYFUNCTION("""COMPUTED_VALUE"""),"D001216235")</f>
        <v>D001216235</v>
      </c>
      <c r="K2096" s="65" t="str">
        <f>IFERROR(__xludf.DUMMYFUNCTION("""COMPUTED_VALUE"""),"ENTREGADO")</f>
        <v>ENTREGADO</v>
      </c>
      <c r="L2096" s="65" t="str">
        <f>IFERROR(__xludf.DUMMYFUNCTION("""COMPUTED_VALUE"""),"CON RECAUDO")</f>
        <v>CON RECAUDO</v>
      </c>
      <c r="M2096" s="65" t="str">
        <f>IFERROR(__xludf.DUMMYFUNCTION("""COMPUTED_VALUE"""),"TUNGURAHUA")</f>
        <v>TUNGURAHUA</v>
      </c>
      <c r="N2096" s="65" t="str">
        <f>IFERROR(__xludf.DUMMYFUNCTION("""COMPUTED_VALUE"""),"PELILEO")</f>
        <v>PELILEO</v>
      </c>
      <c r="O2096" s="65" t="str">
        <f>IFERROR(__xludf.DUMMYFUNCTION("""COMPUTED_VALUE"""),"Huambalo Juan Montalvo y Gonzales Suárez - local homeros Grill, sede de la coop Huambalo")</f>
        <v>Huambalo Juan Montalvo y Gonzales Suárez - local homeros Grill, sede de la coop Huambalo</v>
      </c>
      <c r="P2096" s="65"/>
      <c r="Q2096" s="65" t="str">
        <f>IFERROR(__xludf.DUMMYFUNCTION("""COMPUTED_VALUE"""),"GINTRACOM")</f>
        <v>GINTRACOM</v>
      </c>
      <c r="R2096" s="65">
        <f>IFERROR(__xludf.DUMMYFUNCTION("""COMPUTED_VALUE"""),30.0)</f>
        <v>30</v>
      </c>
      <c r="S2096" s="65">
        <f>IFERROR(__xludf.DUMMYFUNCTION("""COMPUTED_VALUE"""),14.9)</f>
        <v>14.9</v>
      </c>
      <c r="T2096" s="65">
        <f>IFERROR(__xludf.DUMMYFUNCTION("""COMPUTED_VALUE"""),6.73)</f>
        <v>6.73</v>
      </c>
      <c r="U2096" s="65">
        <f>IFERROR(__xludf.DUMMYFUNCTION("""COMPUTED_VALUE"""),0.0)</f>
        <v>0</v>
      </c>
      <c r="V2096" s="65">
        <f>IFERROR(__xludf.DUMMYFUNCTION("""COMPUTED_VALUE"""),0.0)</f>
        <v>0</v>
      </c>
      <c r="W2096" s="65">
        <f>IFERROR(__xludf.DUMMYFUNCTION("""COMPUTED_VALUE"""),0.0)</f>
        <v>0</v>
      </c>
      <c r="X2096" s="65">
        <f>IFERROR(__xludf.DUMMYFUNCTION("""COMPUTED_VALUE"""),2.79)</f>
        <v>2.79</v>
      </c>
      <c r="Y2096" s="65">
        <f>IFERROR(__xludf.DUMMYFUNCTION("""COMPUTED_VALUE"""),8.37)</f>
        <v>8.37</v>
      </c>
      <c r="Z2096" s="65">
        <f>IFERROR(__xludf.DUMMYFUNCTION("""COMPUTED_VALUE"""),120732.0)</f>
        <v>120732</v>
      </c>
      <c r="AA2096" s="65" t="str">
        <f>IFERROR(__xludf.DUMMYFUNCTION("""COMPUTED_VALUE"""),"PROV-LMPVT")</f>
        <v>PROV-LMPVT</v>
      </c>
      <c r="AB2096" s="65"/>
      <c r="AC2096" s="65" t="str">
        <f>IFERROR(__xludf.DUMMYFUNCTION("""COMPUTED_VALUE"""),"LIMPIADOR DE PARABRISAS Y VENTANAS")</f>
        <v>LIMPIADOR DE PARABRISAS Y VENTANAS</v>
      </c>
      <c r="AD2096" s="65"/>
      <c r="AE2096" s="65">
        <f>IFERROR(__xludf.DUMMYFUNCTION("""COMPUTED_VALUE"""),3.0)</f>
        <v>3</v>
      </c>
      <c r="AF2096" s="65"/>
      <c r="AG2096" s="65"/>
      <c r="AH2096" s="65"/>
      <c r="AI2096" s="65"/>
      <c r="AJ2096" s="65"/>
      <c r="AK2096" s="65"/>
      <c r="AL2096" s="65"/>
      <c r="AM2096" s="65"/>
      <c r="AN2096" s="65" t="str">
        <f>IFERROR(__xludf.DUMMYFUNCTION("""COMPUTED_VALUE"""),"14:33")</f>
        <v>14:33</v>
      </c>
      <c r="AO2096" s="65" t="str">
        <f>IFERROR(__xludf.DUMMYFUNCTION("""COMPUTED_VALUE"""),"15-01-2026")</f>
        <v>15-01-2026</v>
      </c>
      <c r="AP2096" s="65" t="str">
        <f>IFERROR(__xludf.DUMMYFUNCTION("""COMPUTED_VALUE"""),"ENTREGADA GINTRACOM")</f>
        <v>ENTREGADA GINTRACOM</v>
      </c>
      <c r="AQ2096" s="65" t="str">
        <f>IFERROR(__xludf.DUMMYFUNCTION("""COMPUTED_VALUE"""),"ENTREGADA GINTRACOM")</f>
        <v>ENTREGADA GINTRACOM</v>
      </c>
      <c r="AR2096" s="65"/>
      <c r="AS2096" s="65"/>
      <c r="AT2096" s="65" t="str">
        <f>IFERROR(__xludf.DUMMYFUNCTION("""COMPUTED_VALUE"""),"SHOPIFY")</f>
        <v>SHOPIFY</v>
      </c>
      <c r="AU2096" s="65" t="str">
        <f>IFERROR(__xludf.DUMMYFUNCTION("""COMPUTED_VALUE"""),"IMPORTEX EC")</f>
        <v>IMPORTEX EC</v>
      </c>
      <c r="AV2096" s="65" t="str">
        <f>IFERROR(__xludf.DUMMYFUNCTION("""COMPUTED_VALUE"""),"6405318869036")</f>
        <v>6405318869036</v>
      </c>
      <c r="AW2096" s="65">
        <f>IFERROR(__xludf.DUMMYFUNCTION("""COMPUTED_VALUE"""),4869.0)</f>
        <v>4869</v>
      </c>
      <c r="AX2096" s="65"/>
      <c r="AY2096" s="65" t="str">
        <f>IFERROR(__xludf.DUMMYFUNCTION("""COMPUTED_VALUE"""),"12/01/2026")</f>
        <v>12/01/2026</v>
      </c>
      <c r="AZ2096" s="65"/>
      <c r="BA2096" s="65"/>
    </row>
    <row r="2097">
      <c r="A2097" s="65" t="str">
        <f>IFERROR(__xludf.DUMMYFUNCTION("""COMPUTED_VALUE"""),"27-03-2026")</f>
        <v>27-03-2026</v>
      </c>
      <c r="B2097" s="65">
        <f>IFERROR(__xludf.DUMMYFUNCTION("""COMPUTED_VALUE"""),4098482.0)</f>
        <v>4098482</v>
      </c>
      <c r="C2097" s="65" t="str">
        <f>IFERROR(__xludf.DUMMYFUNCTION("""COMPUTED_VALUE"""),"20:41")</f>
        <v>20:41</v>
      </c>
      <c r="D2097" s="65" t="str">
        <f>IFERROR(__xludf.DUMMYFUNCTION("""COMPUTED_VALUE"""),"10-01-2026")</f>
        <v>10-01-2026</v>
      </c>
      <c r="E2097" s="65" t="str">
        <f>IFERROR(__xludf.DUMMYFUNCTION("""COMPUTED_VALUE"""),"Carlos Amendaño")</f>
        <v>Carlos Amendaño</v>
      </c>
      <c r="F2097" s="65" t="str">
        <f>IFERROR(__xludf.DUMMYFUNCTION("""COMPUTED_VALUE"""),"988834268")</f>
        <v>988834268</v>
      </c>
      <c r="G2097" s="65" t="str">
        <f>IFERROR(__xludf.DUMMYFUNCTION("""COMPUTED_VALUE"""),"enrique_73@outlook.com")</f>
        <v>enrique_73@outlook.com</v>
      </c>
      <c r="H2097" s="65"/>
      <c r="I2097" s="65"/>
      <c r="J2097" s="65" t="str">
        <f>IFERROR(__xludf.DUMMYFUNCTION("""COMPUTED_VALUE"""),"D001223167")</f>
        <v>D001223167</v>
      </c>
      <c r="K2097" s="65" t="str">
        <f>IFERROR(__xludf.DUMMYFUNCTION("""COMPUTED_VALUE"""),"DEVOLUCION")</f>
        <v>DEVOLUCION</v>
      </c>
      <c r="L2097" s="65" t="str">
        <f>IFERROR(__xludf.DUMMYFUNCTION("""COMPUTED_VALUE"""),"CON RECAUDO")</f>
        <v>CON RECAUDO</v>
      </c>
      <c r="M2097" s="65" t="str">
        <f>IFERROR(__xludf.DUMMYFUNCTION("""COMPUTED_VALUE"""),"AZUAY")</f>
        <v>AZUAY</v>
      </c>
      <c r="N2097" s="65" t="str">
        <f>IFERROR(__xludf.DUMMYFUNCTION("""COMPUTED_VALUE"""),"CUENCA")</f>
        <v>CUENCA</v>
      </c>
      <c r="O2097" s="65" t="str">
        <f>IFERROR(__xludf.DUMMYFUNCTION("""COMPUTED_VALUE"""),"Cuenca Parroquia El Batan - Av. México y Av. Unidad Nacional - Ref. Edificio del gobierno Zonal 6 ahí trabajo")</f>
        <v>Cuenca Parroquia El Batan - Av. México y Av. Unidad Nacional - Ref. Edificio del gobierno Zonal 6 ahí trabajo</v>
      </c>
      <c r="P2097" s="65" t="str">
        <f>IFERROR(__xludf.DUMMYFUNCTION("""COMPUTED_VALUE"""),"Ref. Edificio del gobierno Zonal 6 ahí trabajo")</f>
        <v>Ref. Edificio del gobierno Zonal 6 ahí trabajo</v>
      </c>
      <c r="Q2097" s="65" t="str">
        <f>IFERROR(__xludf.DUMMYFUNCTION("""COMPUTED_VALUE"""),"GINTRACOM")</f>
        <v>GINTRACOM</v>
      </c>
      <c r="R2097" s="65">
        <f>IFERROR(__xludf.DUMMYFUNCTION("""COMPUTED_VALUE"""),22.0)</f>
        <v>22</v>
      </c>
      <c r="S2097" s="65"/>
      <c r="T2097" s="65">
        <f>IFERROR(__xludf.DUMMYFUNCTION("""COMPUTED_VALUE"""),5.84)</f>
        <v>5.84</v>
      </c>
      <c r="U2097" s="65">
        <f>IFERROR(__xludf.DUMMYFUNCTION("""COMPUTED_VALUE"""),0.0)</f>
        <v>0</v>
      </c>
      <c r="V2097" s="65">
        <f>IFERROR(__xludf.DUMMYFUNCTION("""COMPUTED_VALUE"""),0.0)</f>
        <v>0</v>
      </c>
      <c r="W2097" s="65">
        <f>IFERROR(__xludf.DUMMYFUNCTION("""COMPUTED_VALUE"""),0.0)</f>
        <v>0</v>
      </c>
      <c r="X2097" s="65">
        <f>IFERROR(__xludf.DUMMYFUNCTION("""COMPUTED_VALUE"""),2.6)</f>
        <v>2.6</v>
      </c>
      <c r="Y2097" s="65">
        <f>IFERROR(__xludf.DUMMYFUNCTION("""COMPUTED_VALUE"""),5.2)</f>
        <v>5.2</v>
      </c>
      <c r="Z2097" s="65">
        <f>IFERROR(__xludf.DUMMYFUNCTION("""COMPUTED_VALUE"""),121983.0)</f>
        <v>121983</v>
      </c>
      <c r="AA2097" s="65" t="str">
        <f>IFERROR(__xludf.DUMMYFUNCTION("""COMPUTED_VALUE"""),"PROV-CHLLCF")</f>
        <v>PROV-CHLLCF</v>
      </c>
      <c r="AB2097" s="65"/>
      <c r="AC2097" s="65" t="str">
        <f>IFERROR(__xludf.DUMMYFUNCTION("""COMPUTED_VALUE"""),"CUCHILLO PARA CHEF")</f>
        <v>CUCHILLO PARA CHEF</v>
      </c>
      <c r="AD2097" s="65"/>
      <c r="AE2097" s="65">
        <f>IFERROR(__xludf.DUMMYFUNCTION("""COMPUTED_VALUE"""),2.0)</f>
        <v>2</v>
      </c>
      <c r="AF2097" s="65" t="str">
        <f>IFERROR(__xludf.DUMMYFUNCTION("""COMPUTED_VALUE"""),"DESTINATARIO INDICA QUE ESTÁ INCONFORME CON EL PRODUCTO. (NO RECIBE)")</f>
        <v>DESTINATARIO INDICA QUE ESTÁ INCONFORME CON EL PRODUCTO. (NO RECIBE)</v>
      </c>
      <c r="AG2097" s="65" t="str">
        <f>IFERROR(__xludf.DUMMYFUNCTION("""COMPUTED_VALUE"""),"SI")</f>
        <v>SI</v>
      </c>
      <c r="AH2097" s="65" t="str">
        <f>IFERROR(__xludf.DUMMYFUNCTION("""COMPUTED_VALUE"""),"12:14")</f>
        <v>12:14</v>
      </c>
      <c r="AI2097" s="65" t="str">
        <f>IFERROR(__xludf.DUMMYFUNCTION("""COMPUTED_VALUE"""),"16-01-2026")</f>
        <v>16-01-2026</v>
      </c>
      <c r="AJ2097" s="65" t="str">
        <f>IFERROR(__xludf.DUMMYFUNCTION("""COMPUTED_VALUE"""),"DEVOLVER AL REMITENTE")</f>
        <v>DEVOLVER AL REMITENTE</v>
      </c>
      <c r="AK2097" s="65" t="str">
        <f>IFERROR(__xludf.DUMMYFUNCTION("""COMPUTED_VALUE"""),"16:44")</f>
        <v>16:44</v>
      </c>
      <c r="AL2097" s="65" t="str">
        <f>IFERROR(__xludf.DUMMYFUNCTION("""COMPUTED_VALUE"""),"21-01-2026")</f>
        <v>21-01-2026</v>
      </c>
      <c r="AM2097" s="65"/>
      <c r="AN2097" s="65" t="str">
        <f>IFERROR(__xludf.DUMMYFUNCTION("""COMPUTED_VALUE"""),"13:44")</f>
        <v>13:44</v>
      </c>
      <c r="AO2097" s="65" t="str">
        <f>IFERROR(__xludf.DUMMYFUNCTION("""COMPUTED_VALUE"""),"05-02-2026")</f>
        <v>05-02-2026</v>
      </c>
      <c r="AP2097" s="65" t="str">
        <f>IFERROR(__xludf.DUMMYFUNCTION("""COMPUTED_VALUE"""),"DEV CONFIRMADA POR BODEGA")</f>
        <v>DEV CONFIRMADA POR BODEGA</v>
      </c>
      <c r="AQ2097" s="65"/>
      <c r="AR2097" s="65" t="str">
        <f>IFERROR(__xludf.DUMMYFUNCTION("""COMPUTED_VALUE"""),"Gestionado por: Moran Daniel, email:danielmorga2005@gmail.com, total de productos en la orden: 1")</f>
        <v>Gestionado por: Moran Daniel, email:danielmorga2005@gmail.com, total de productos en la orden: 1</v>
      </c>
      <c r="AS2097" s="65"/>
      <c r="AT2097" s="65" t="str">
        <f>IFERROR(__xludf.DUMMYFUNCTION("""COMPUTED_VALUE"""),"SHOPIFY")</f>
        <v>SHOPIFY</v>
      </c>
      <c r="AU2097" s="65" t="str">
        <f>IFERROR(__xludf.DUMMYFUNCTION("""COMPUTED_VALUE"""),"IMPORTEX EC")</f>
        <v>IMPORTEX EC</v>
      </c>
      <c r="AV2097" s="65" t="str">
        <f>IFERROR(__xludf.DUMMYFUNCTION("""COMPUTED_VALUE"""),"6405316935724")</f>
        <v>6405316935724</v>
      </c>
      <c r="AW2097" s="65">
        <f>IFERROR(__xludf.DUMMYFUNCTION("""COMPUTED_VALUE"""),4868.0)</f>
        <v>4868</v>
      </c>
      <c r="AX2097" s="65"/>
      <c r="AY2097" s="65" t="str">
        <f>IFERROR(__xludf.DUMMYFUNCTION("""COMPUTED_VALUE"""),"14/01/2026")</f>
        <v>14/01/2026</v>
      </c>
      <c r="AZ2097" s="65"/>
      <c r="BA2097" s="65"/>
    </row>
    <row r="2098">
      <c r="A2098" s="65" t="str">
        <f>IFERROR(__xludf.DUMMYFUNCTION("""COMPUTED_VALUE"""),"27-03-2026")</f>
        <v>27-03-2026</v>
      </c>
      <c r="B2098" s="65">
        <f>IFERROR(__xludf.DUMMYFUNCTION("""COMPUTED_VALUE"""),4098406.0)</f>
        <v>4098406</v>
      </c>
      <c r="C2098" s="65" t="str">
        <f>IFERROR(__xludf.DUMMYFUNCTION("""COMPUTED_VALUE"""),"20:33")</f>
        <v>20:33</v>
      </c>
      <c r="D2098" s="65" t="str">
        <f>IFERROR(__xludf.DUMMYFUNCTION("""COMPUTED_VALUE"""),"10-01-2026")</f>
        <v>10-01-2026</v>
      </c>
      <c r="E2098" s="65" t="str">
        <f>IFERROR(__xludf.DUMMYFUNCTION("""COMPUTED_VALUE"""),"Rodison Castillo")</f>
        <v>Rodison Castillo</v>
      </c>
      <c r="F2098" s="65" t="str">
        <f>IFERROR(__xludf.DUMMYFUNCTION("""COMPUTED_VALUE"""),"969757841")</f>
        <v>969757841</v>
      </c>
      <c r="G2098" s="65" t="str">
        <f>IFERROR(__xludf.DUMMYFUNCTION("""COMPUTED_VALUE"""),"roodisocastillo@yahoo.es")</f>
        <v>roodisocastillo@yahoo.es</v>
      </c>
      <c r="H2098" s="65"/>
      <c r="I2098" s="65"/>
      <c r="J2098" s="65" t="str">
        <f>IFERROR(__xludf.DUMMYFUNCTION("""COMPUTED_VALUE"""),"D001223169")</f>
        <v>D001223169</v>
      </c>
      <c r="K2098" s="65" t="str">
        <f>IFERROR(__xludf.DUMMYFUNCTION("""COMPUTED_VALUE"""),"DEVOLUCION")</f>
        <v>DEVOLUCION</v>
      </c>
      <c r="L2098" s="65" t="str">
        <f>IFERROR(__xludf.DUMMYFUNCTION("""COMPUTED_VALUE"""),"CON RECAUDO")</f>
        <v>CON RECAUDO</v>
      </c>
      <c r="M2098" s="65" t="str">
        <f>IFERROR(__xludf.DUMMYFUNCTION("""COMPUTED_VALUE"""),"ORELLANA")</f>
        <v>ORELLANA</v>
      </c>
      <c r="N2098" s="65" t="str">
        <f>IFERROR(__xludf.DUMMYFUNCTION("""COMPUTED_VALUE"""),"EL COCA")</f>
        <v>EL COCA</v>
      </c>
      <c r="O2098" s="65" t="str">
        <f>IFERROR(__xludf.DUMMYFUNCTION("""COMPUTED_VALUE"""),"Orellana el Coca km 60 via el auca comunidad Rumipamba frente a la escuela 12 de febrero")</f>
        <v>Orellana el Coca km 60 via el auca comunidad Rumipamba frente a la escuela 12 de febrero</v>
      </c>
      <c r="P2098" s="65"/>
      <c r="Q2098" s="65" t="str">
        <f>IFERROR(__xludf.DUMMYFUNCTION("""COMPUTED_VALUE"""),"GINTRACOM")</f>
        <v>GINTRACOM</v>
      </c>
      <c r="R2098" s="65">
        <f>IFERROR(__xludf.DUMMYFUNCTION("""COMPUTED_VALUE"""),22.0)</f>
        <v>22</v>
      </c>
      <c r="S2098" s="65"/>
      <c r="T2098" s="65">
        <f>IFERROR(__xludf.DUMMYFUNCTION("""COMPUTED_VALUE"""),5.84)</f>
        <v>5.84</v>
      </c>
      <c r="U2098" s="65">
        <f>IFERROR(__xludf.DUMMYFUNCTION("""COMPUTED_VALUE"""),0.0)</f>
        <v>0</v>
      </c>
      <c r="V2098" s="65">
        <f>IFERROR(__xludf.DUMMYFUNCTION("""COMPUTED_VALUE"""),0.0)</f>
        <v>0</v>
      </c>
      <c r="W2098" s="65">
        <f>IFERROR(__xludf.DUMMYFUNCTION("""COMPUTED_VALUE"""),0.0)</f>
        <v>0</v>
      </c>
      <c r="X2098" s="65">
        <f>IFERROR(__xludf.DUMMYFUNCTION("""COMPUTED_VALUE"""),2.6)</f>
        <v>2.6</v>
      </c>
      <c r="Y2098" s="65">
        <f>IFERROR(__xludf.DUMMYFUNCTION("""COMPUTED_VALUE"""),5.2)</f>
        <v>5.2</v>
      </c>
      <c r="Z2098" s="65">
        <f>IFERROR(__xludf.DUMMYFUNCTION("""COMPUTED_VALUE"""),121983.0)</f>
        <v>121983</v>
      </c>
      <c r="AA2098" s="65" t="str">
        <f>IFERROR(__xludf.DUMMYFUNCTION("""COMPUTED_VALUE"""),"PROV-CHLLCF")</f>
        <v>PROV-CHLLCF</v>
      </c>
      <c r="AB2098" s="65"/>
      <c r="AC2098" s="65" t="str">
        <f>IFERROR(__xludf.DUMMYFUNCTION("""COMPUTED_VALUE"""),"CUCHILLO PARA CHEF")</f>
        <v>CUCHILLO PARA CHEF</v>
      </c>
      <c r="AD2098" s="65"/>
      <c r="AE2098" s="65">
        <f>IFERROR(__xludf.DUMMYFUNCTION("""COMPUTED_VALUE"""),2.0)</f>
        <v>2</v>
      </c>
      <c r="AF2098" s="65" t="str">
        <f>IFERROR(__xludf.DUMMYFUNCTION("""COMPUTED_VALUE"""),"DESTINATARIO NO CONTESTA LLAMADAS NI WHATSAPP")</f>
        <v>DESTINATARIO NO CONTESTA LLAMADAS NI WHATSAPP</v>
      </c>
      <c r="AG2098" s="65" t="str">
        <f>IFERROR(__xludf.DUMMYFUNCTION("""COMPUTED_VALUE"""),"SI")</f>
        <v>SI</v>
      </c>
      <c r="AH2098" s="65" t="str">
        <f>IFERROR(__xludf.DUMMYFUNCTION("""COMPUTED_VALUE"""),"09:00")</f>
        <v>09:00</v>
      </c>
      <c r="AI2098" s="65" t="str">
        <f>IFERROR(__xludf.DUMMYFUNCTION("""COMPUTED_VALUE"""),"24-01-2026")</f>
        <v>24-01-2026</v>
      </c>
      <c r="AJ2098" s="65"/>
      <c r="AK2098" s="65"/>
      <c r="AL2098" s="65"/>
      <c r="AM2098" s="65"/>
      <c r="AN2098" s="65" t="str">
        <f>IFERROR(__xludf.DUMMYFUNCTION("""COMPUTED_VALUE"""),"09:34")</f>
        <v>09:34</v>
      </c>
      <c r="AO2098" s="65" t="str">
        <f>IFERROR(__xludf.DUMMYFUNCTION("""COMPUTED_VALUE"""),"10-02-2026")</f>
        <v>10-02-2026</v>
      </c>
      <c r="AP2098" s="65" t="str">
        <f>IFERROR(__xludf.DUMMYFUNCTION("""COMPUTED_VALUE"""),"DEV CONFIRMADA POR BODEGA")</f>
        <v>DEV CONFIRMADA POR BODEGA</v>
      </c>
      <c r="AQ2098" s="65"/>
      <c r="AR2098" s="65" t="str">
        <f>IFERROR(__xludf.DUMMYFUNCTION("""COMPUTED_VALUE"""),"Gestionado por: Moran Daniel, email:danielmorga2005@gmail.com, total de productos en la orden: 1")</f>
        <v>Gestionado por: Moran Daniel, email:danielmorga2005@gmail.com, total de productos en la orden: 1</v>
      </c>
      <c r="AS2098" s="65"/>
      <c r="AT2098" s="65" t="str">
        <f>IFERROR(__xludf.DUMMYFUNCTION("""COMPUTED_VALUE"""),"SHOPIFY")</f>
        <v>SHOPIFY</v>
      </c>
      <c r="AU2098" s="65" t="str">
        <f>IFERROR(__xludf.DUMMYFUNCTION("""COMPUTED_VALUE"""),"IMPORTEX EC")</f>
        <v>IMPORTEX EC</v>
      </c>
      <c r="AV2098" s="65" t="str">
        <f>IFERROR(__xludf.DUMMYFUNCTION("""COMPUTED_VALUE"""),"6405297930284")</f>
        <v>6405297930284</v>
      </c>
      <c r="AW2098" s="65">
        <f>IFERROR(__xludf.DUMMYFUNCTION("""COMPUTED_VALUE"""),4867.0)</f>
        <v>4867</v>
      </c>
      <c r="AX2098" s="65"/>
      <c r="AY2098" s="65" t="str">
        <f>IFERROR(__xludf.DUMMYFUNCTION("""COMPUTED_VALUE"""),"14/01/2026")</f>
        <v>14/01/2026</v>
      </c>
      <c r="AZ2098" s="65"/>
      <c r="BA2098" s="65"/>
    </row>
    <row r="2099">
      <c r="A2099" s="65" t="str">
        <f>IFERROR(__xludf.DUMMYFUNCTION("""COMPUTED_VALUE"""),"27-03-2026")</f>
        <v>27-03-2026</v>
      </c>
      <c r="B2099" s="65">
        <f>IFERROR(__xludf.DUMMYFUNCTION("""COMPUTED_VALUE"""),4098374.0)</f>
        <v>4098374</v>
      </c>
      <c r="C2099" s="65" t="str">
        <f>IFERROR(__xludf.DUMMYFUNCTION("""COMPUTED_VALUE"""),"20:29")</f>
        <v>20:29</v>
      </c>
      <c r="D2099" s="65" t="str">
        <f>IFERROR(__xludf.DUMMYFUNCTION("""COMPUTED_VALUE"""),"10-01-2026")</f>
        <v>10-01-2026</v>
      </c>
      <c r="E2099" s="65" t="str">
        <f>IFERROR(__xludf.DUMMYFUNCTION("""COMPUTED_VALUE"""),"Tomas Eusebio Loor vinces")</f>
        <v>Tomas Eusebio Loor vinces</v>
      </c>
      <c r="F2099" s="65" t="str">
        <f>IFERROR(__xludf.DUMMYFUNCTION("""COMPUTED_VALUE"""),"986294958")</f>
        <v>986294958</v>
      </c>
      <c r="G2099" s="65"/>
      <c r="H2099" s="65"/>
      <c r="I2099" s="65"/>
      <c r="J2099" s="65" t="str">
        <f>IFERROR(__xludf.DUMMYFUNCTION("""COMPUTED_VALUE"""),"D001223172")</f>
        <v>D001223172</v>
      </c>
      <c r="K2099" s="65" t="str">
        <f>IFERROR(__xludf.DUMMYFUNCTION("""COMPUTED_VALUE"""),"ENTREGADO")</f>
        <v>ENTREGADO</v>
      </c>
      <c r="L2099" s="65" t="str">
        <f>IFERROR(__xludf.DUMMYFUNCTION("""COMPUTED_VALUE"""),"CON RECAUDO")</f>
        <v>CON RECAUDO</v>
      </c>
      <c r="M2099" s="65" t="str">
        <f>IFERROR(__xludf.DUMMYFUNCTION("""COMPUTED_VALUE"""),"MANABI")</f>
        <v>MANABI</v>
      </c>
      <c r="N2099" s="65" t="str">
        <f>IFERROR(__xludf.DUMMYFUNCTION("""COMPUTED_VALUE"""),"MANTA")</f>
        <v>MANTA</v>
      </c>
      <c r="O2099" s="65" t="str">
        <f>IFERROR(__xludf.DUMMYFUNCTION("""COMPUTED_VALUE"""),"Calle j 5 y j 14 esq casa 3 pi Diagonal comercial Arbolito - Casa 3 piso esq color beis diagonal comercial arbolito")</f>
        <v>Calle j 5 y j 14 esq casa 3 pi Diagonal comercial Arbolito - Casa 3 piso esq color beis diagonal comercial arbolito</v>
      </c>
      <c r="P2099" s="65"/>
      <c r="Q2099" s="65" t="str">
        <f>IFERROR(__xludf.DUMMYFUNCTION("""COMPUTED_VALUE"""),"GINTRACOM")</f>
        <v>GINTRACOM</v>
      </c>
      <c r="R2099" s="65">
        <f>IFERROR(__xludf.DUMMYFUNCTION("""COMPUTED_VALUE"""),22.0)</f>
        <v>22</v>
      </c>
      <c r="S2099" s="65">
        <f>IFERROR(__xludf.DUMMYFUNCTION("""COMPUTED_VALUE"""),10.96)</f>
        <v>10.96</v>
      </c>
      <c r="T2099" s="65">
        <f>IFERROR(__xludf.DUMMYFUNCTION("""COMPUTED_VALUE"""),5.84)</f>
        <v>5.84</v>
      </c>
      <c r="U2099" s="65">
        <f>IFERROR(__xludf.DUMMYFUNCTION("""COMPUTED_VALUE"""),0.0)</f>
        <v>0</v>
      </c>
      <c r="V2099" s="65">
        <f>IFERROR(__xludf.DUMMYFUNCTION("""COMPUTED_VALUE"""),0.0)</f>
        <v>0</v>
      </c>
      <c r="W2099" s="65">
        <f>IFERROR(__xludf.DUMMYFUNCTION("""COMPUTED_VALUE"""),0.0)</f>
        <v>0</v>
      </c>
      <c r="X2099" s="65">
        <f>IFERROR(__xludf.DUMMYFUNCTION("""COMPUTED_VALUE"""),2.6)</f>
        <v>2.6</v>
      </c>
      <c r="Y2099" s="65">
        <f>IFERROR(__xludf.DUMMYFUNCTION("""COMPUTED_VALUE"""),5.2)</f>
        <v>5.2</v>
      </c>
      <c r="Z2099" s="65">
        <f>IFERROR(__xludf.DUMMYFUNCTION("""COMPUTED_VALUE"""),121983.0)</f>
        <v>121983</v>
      </c>
      <c r="AA2099" s="65" t="str">
        <f>IFERROR(__xludf.DUMMYFUNCTION("""COMPUTED_VALUE"""),"PROV-CHLLCF")</f>
        <v>PROV-CHLLCF</v>
      </c>
      <c r="AB2099" s="65"/>
      <c r="AC2099" s="65" t="str">
        <f>IFERROR(__xludf.DUMMYFUNCTION("""COMPUTED_VALUE"""),"CUCHILLO PARA CHEF")</f>
        <v>CUCHILLO PARA CHEF</v>
      </c>
      <c r="AD2099" s="65"/>
      <c r="AE2099" s="65">
        <f>IFERROR(__xludf.DUMMYFUNCTION("""COMPUTED_VALUE"""),2.0)</f>
        <v>2</v>
      </c>
      <c r="AF2099" s="65"/>
      <c r="AG2099" s="65"/>
      <c r="AH2099" s="65"/>
      <c r="AI2099" s="65"/>
      <c r="AJ2099" s="65"/>
      <c r="AK2099" s="65"/>
      <c r="AL2099" s="65"/>
      <c r="AM2099" s="65"/>
      <c r="AN2099" s="65" t="str">
        <f>IFERROR(__xludf.DUMMYFUNCTION("""COMPUTED_VALUE"""),"09:10")</f>
        <v>09:10</v>
      </c>
      <c r="AO2099" s="65" t="str">
        <f>IFERROR(__xludf.DUMMYFUNCTION("""COMPUTED_VALUE"""),"16-01-2026")</f>
        <v>16-01-2026</v>
      </c>
      <c r="AP2099" s="65" t="str">
        <f>IFERROR(__xludf.DUMMYFUNCTION("""COMPUTED_VALUE"""),"EN REPARTO")</f>
        <v>EN REPARTO</v>
      </c>
      <c r="AQ2099" s="65" t="str">
        <f>IFERROR(__xludf.DUMMYFUNCTION("""COMPUTED_VALUE"""),"EN REPARTO")</f>
        <v>EN REPARTO</v>
      </c>
      <c r="AR2099" s="65"/>
      <c r="AS2099" s="65"/>
      <c r="AT2099" s="65" t="str">
        <f>IFERROR(__xludf.DUMMYFUNCTION("""COMPUTED_VALUE"""),"SHOPIFY")</f>
        <v>SHOPIFY</v>
      </c>
      <c r="AU2099" s="65" t="str">
        <f>IFERROR(__xludf.DUMMYFUNCTION("""COMPUTED_VALUE"""),"IMPORTEX EC")</f>
        <v>IMPORTEX EC</v>
      </c>
      <c r="AV2099" s="65" t="str">
        <f>IFERROR(__xludf.DUMMYFUNCTION("""COMPUTED_VALUE"""),"6405293047852")</f>
        <v>6405293047852</v>
      </c>
      <c r="AW2099" s="65">
        <f>IFERROR(__xludf.DUMMYFUNCTION("""COMPUTED_VALUE"""),4866.0)</f>
        <v>4866</v>
      </c>
      <c r="AX2099" s="65"/>
      <c r="AY2099" s="65" t="str">
        <f>IFERROR(__xludf.DUMMYFUNCTION("""COMPUTED_VALUE"""),"14/01/2026")</f>
        <v>14/01/2026</v>
      </c>
      <c r="AZ2099" s="65"/>
      <c r="BA2099" s="65"/>
    </row>
    <row r="2100">
      <c r="A2100" s="65" t="str">
        <f>IFERROR(__xludf.DUMMYFUNCTION("""COMPUTED_VALUE"""),"27-03-2026")</f>
        <v>27-03-2026</v>
      </c>
      <c r="B2100" s="65">
        <f>IFERROR(__xludf.DUMMYFUNCTION("""COMPUTED_VALUE"""),4098370.0)</f>
        <v>4098370</v>
      </c>
      <c r="C2100" s="65" t="str">
        <f>IFERROR(__xludf.DUMMYFUNCTION("""COMPUTED_VALUE"""),"20:28")</f>
        <v>20:28</v>
      </c>
      <c r="D2100" s="65" t="str">
        <f>IFERROR(__xludf.DUMMYFUNCTION("""COMPUTED_VALUE"""),"10-01-2026")</f>
        <v>10-01-2026</v>
      </c>
      <c r="E2100" s="65" t="str">
        <f>IFERROR(__xludf.DUMMYFUNCTION("""COMPUTED_VALUE"""),"Ana Lucia Ruiz")</f>
        <v>Ana Lucia Ruiz</v>
      </c>
      <c r="F2100" s="65" t="str">
        <f>IFERROR(__xludf.DUMMYFUNCTION("""COMPUTED_VALUE"""),"981891192")</f>
        <v>981891192</v>
      </c>
      <c r="G2100" s="65" t="str">
        <f>IFERROR(__xludf.DUMMYFUNCTION("""COMPUTED_VALUE"""),"anna.ruiz.apgs@gmail.com")</f>
        <v>anna.ruiz.apgs@gmail.com</v>
      </c>
      <c r="H2100" s="65"/>
      <c r="I2100" s="65"/>
      <c r="J2100" s="65" t="str">
        <f>IFERROR(__xludf.DUMMYFUNCTION("""COMPUTED_VALUE"""),"D001223177")</f>
        <v>D001223177</v>
      </c>
      <c r="K2100" s="65" t="str">
        <f>IFERROR(__xludf.DUMMYFUNCTION("""COMPUTED_VALUE"""),"ENTREGADO")</f>
        <v>ENTREGADO</v>
      </c>
      <c r="L2100" s="65" t="str">
        <f>IFERROR(__xludf.DUMMYFUNCTION("""COMPUTED_VALUE"""),"CON RECAUDO")</f>
        <v>CON RECAUDO</v>
      </c>
      <c r="M2100" s="65" t="str">
        <f>IFERROR(__xludf.DUMMYFUNCTION("""COMPUTED_VALUE"""),"IMBABURA")</f>
        <v>IMBABURA</v>
      </c>
      <c r="N2100" s="65" t="str">
        <f>IFERROR(__xludf.DUMMYFUNCTION("""COMPUTED_VALUE"""),"ATUNTAQUI")</f>
        <v>ATUNTAQUI</v>
      </c>
      <c r="O2100" s="65" t="str">
        <f>IFERROR(__xludf.DUMMYFUNCTION("""COMPUTED_VALUE"""),"García moreno 12 de febrero - Pasando cementerio Santa Martha")</f>
        <v>García moreno 12 de febrero - Pasando cementerio Santa Martha</v>
      </c>
      <c r="P2100" s="65"/>
      <c r="Q2100" s="65" t="str">
        <f>IFERROR(__xludf.DUMMYFUNCTION("""COMPUTED_VALUE"""),"GINTRACOM")</f>
        <v>GINTRACOM</v>
      </c>
      <c r="R2100" s="65">
        <f>IFERROR(__xludf.DUMMYFUNCTION("""COMPUTED_VALUE"""),22.0)</f>
        <v>22</v>
      </c>
      <c r="S2100" s="65">
        <f>IFERROR(__xludf.DUMMYFUNCTION("""COMPUTED_VALUE"""),10.39)</f>
        <v>10.39</v>
      </c>
      <c r="T2100" s="65">
        <f>IFERROR(__xludf.DUMMYFUNCTION("""COMPUTED_VALUE"""),6.41)</f>
        <v>6.41</v>
      </c>
      <c r="U2100" s="65">
        <f>IFERROR(__xludf.DUMMYFUNCTION("""COMPUTED_VALUE"""),0.0)</f>
        <v>0</v>
      </c>
      <c r="V2100" s="65">
        <f>IFERROR(__xludf.DUMMYFUNCTION("""COMPUTED_VALUE"""),0.0)</f>
        <v>0</v>
      </c>
      <c r="W2100" s="65">
        <f>IFERROR(__xludf.DUMMYFUNCTION("""COMPUTED_VALUE"""),0.0)</f>
        <v>0</v>
      </c>
      <c r="X2100" s="65">
        <f>IFERROR(__xludf.DUMMYFUNCTION("""COMPUTED_VALUE"""),2.6)</f>
        <v>2.6</v>
      </c>
      <c r="Y2100" s="65">
        <f>IFERROR(__xludf.DUMMYFUNCTION("""COMPUTED_VALUE"""),5.2)</f>
        <v>5.2</v>
      </c>
      <c r="Z2100" s="65">
        <f>IFERROR(__xludf.DUMMYFUNCTION("""COMPUTED_VALUE"""),121983.0)</f>
        <v>121983</v>
      </c>
      <c r="AA2100" s="65" t="str">
        <f>IFERROR(__xludf.DUMMYFUNCTION("""COMPUTED_VALUE"""),"PROV-CHLLCF")</f>
        <v>PROV-CHLLCF</v>
      </c>
      <c r="AB2100" s="65"/>
      <c r="AC2100" s="65" t="str">
        <f>IFERROR(__xludf.DUMMYFUNCTION("""COMPUTED_VALUE"""),"CUCHILLO PARA CHEF")</f>
        <v>CUCHILLO PARA CHEF</v>
      </c>
      <c r="AD2100" s="65"/>
      <c r="AE2100" s="65">
        <f>IFERROR(__xludf.DUMMYFUNCTION("""COMPUTED_VALUE"""),2.0)</f>
        <v>2</v>
      </c>
      <c r="AF2100" s="65"/>
      <c r="AG2100" s="65"/>
      <c r="AH2100" s="65"/>
      <c r="AI2100" s="65"/>
      <c r="AJ2100" s="65"/>
      <c r="AK2100" s="65"/>
      <c r="AL2100" s="65"/>
      <c r="AM2100" s="65"/>
      <c r="AN2100" s="65" t="str">
        <f>IFERROR(__xludf.DUMMYFUNCTION("""COMPUTED_VALUE"""),"09:18")</f>
        <v>09:18</v>
      </c>
      <c r="AO2100" s="65" t="str">
        <f>IFERROR(__xludf.DUMMYFUNCTION("""COMPUTED_VALUE"""),"16-01-2026")</f>
        <v>16-01-2026</v>
      </c>
      <c r="AP2100" s="65" t="str">
        <f>IFERROR(__xludf.DUMMYFUNCTION("""COMPUTED_VALUE"""),"ENTREGADA GINTRACOM")</f>
        <v>ENTREGADA GINTRACOM</v>
      </c>
      <c r="AQ2100" s="65" t="str">
        <f>IFERROR(__xludf.DUMMYFUNCTION("""COMPUTED_VALUE"""),"ENTREGADA GINTRACOM")</f>
        <v>ENTREGADA GINTRACOM</v>
      </c>
      <c r="AR2100" s="65"/>
      <c r="AS2100" s="65"/>
      <c r="AT2100" s="65" t="str">
        <f>IFERROR(__xludf.DUMMYFUNCTION("""COMPUTED_VALUE"""),"SHOPIFY")</f>
        <v>SHOPIFY</v>
      </c>
      <c r="AU2100" s="65" t="str">
        <f>IFERROR(__xludf.DUMMYFUNCTION("""COMPUTED_VALUE"""),"IMPORTEX EC")</f>
        <v>IMPORTEX EC</v>
      </c>
      <c r="AV2100" s="65" t="str">
        <f>IFERROR(__xludf.DUMMYFUNCTION("""COMPUTED_VALUE"""),"6405292163116")</f>
        <v>6405292163116</v>
      </c>
      <c r="AW2100" s="65">
        <f>IFERROR(__xludf.DUMMYFUNCTION("""COMPUTED_VALUE"""),4865.0)</f>
        <v>4865</v>
      </c>
      <c r="AX2100" s="65"/>
      <c r="AY2100" s="65" t="str">
        <f>IFERROR(__xludf.DUMMYFUNCTION("""COMPUTED_VALUE"""),"14/01/2026")</f>
        <v>14/01/2026</v>
      </c>
      <c r="AZ2100" s="65"/>
      <c r="BA2100" s="65"/>
    </row>
    <row r="2101">
      <c r="A2101" s="65" t="str">
        <f>IFERROR(__xludf.DUMMYFUNCTION("""COMPUTED_VALUE"""),"27-03-2026")</f>
        <v>27-03-2026</v>
      </c>
      <c r="B2101" s="65">
        <f>IFERROR(__xludf.DUMMYFUNCTION("""COMPUTED_VALUE"""),4098367.0)</f>
        <v>4098367</v>
      </c>
      <c r="C2101" s="65" t="str">
        <f>IFERROR(__xludf.DUMMYFUNCTION("""COMPUTED_VALUE"""),"20:28")</f>
        <v>20:28</v>
      </c>
      <c r="D2101" s="65" t="str">
        <f>IFERROR(__xludf.DUMMYFUNCTION("""COMPUTED_VALUE"""),"10-01-2026")</f>
        <v>10-01-2026</v>
      </c>
      <c r="E2101" s="65" t="str">
        <f>IFERROR(__xludf.DUMMYFUNCTION("""COMPUTED_VALUE"""),"Carlos Inca")</f>
        <v>Carlos Inca</v>
      </c>
      <c r="F2101" s="65" t="str">
        <f>IFERROR(__xludf.DUMMYFUNCTION("""COMPUTED_VALUE"""),"984846888")</f>
        <v>984846888</v>
      </c>
      <c r="G2101" s="65" t="str">
        <f>IFERROR(__xludf.DUMMYFUNCTION("""COMPUTED_VALUE"""),"202010inc@gmail.com")</f>
        <v>202010inc@gmail.com</v>
      </c>
      <c r="H2101" s="65"/>
      <c r="I2101" s="65"/>
      <c r="J2101" s="65"/>
      <c r="K2101" s="65" t="str">
        <f>IFERROR(__xludf.DUMMYFUNCTION("""COMPUTED_VALUE"""),"CANCELADO")</f>
        <v>CANCELADO</v>
      </c>
      <c r="L2101" s="65" t="str">
        <f>IFERROR(__xludf.DUMMYFUNCTION("""COMPUTED_VALUE"""),"CON RECAUDO")</f>
        <v>CON RECAUDO</v>
      </c>
      <c r="M2101" s="65" t="str">
        <f>IFERROR(__xludf.DUMMYFUNCTION("""COMPUTED_VALUE"""),"PICHINCHA")</f>
        <v>PICHINCHA</v>
      </c>
      <c r="N2101" s="65" t="str">
        <f>IFERROR(__xludf.DUMMYFUNCTION("""COMPUTED_VALUE"""),"CALDERON")</f>
        <v>CALDERON</v>
      </c>
      <c r="O2101" s="65" t="str">
        <f>IFERROR(__xludf.DUMMYFUNCTION("""COMPUTED_VALUE"""),"Por La Cancha San Luis N_14 162 -")</f>
        <v>Por La Cancha San Luis N_14 162 -</v>
      </c>
      <c r="P2101" s="65"/>
      <c r="Q2101" s="65" t="str">
        <f>IFERROR(__xludf.DUMMYFUNCTION("""COMPUTED_VALUE"""),"GINTRACOM")</f>
        <v>GINTRACOM</v>
      </c>
      <c r="R2101" s="65">
        <f>IFERROR(__xludf.DUMMYFUNCTION("""COMPUTED_VALUE"""),27.0)</f>
        <v>27</v>
      </c>
      <c r="S2101" s="65"/>
      <c r="T2101" s="65">
        <f>IFERROR(__xludf.DUMMYFUNCTION("""COMPUTED_VALUE"""),6.03)</f>
        <v>6.03</v>
      </c>
      <c r="U2101" s="65">
        <f>IFERROR(__xludf.DUMMYFUNCTION("""COMPUTED_VALUE"""),0.0)</f>
        <v>0</v>
      </c>
      <c r="V2101" s="65">
        <f>IFERROR(__xludf.DUMMYFUNCTION("""COMPUTED_VALUE"""),0.0)</f>
        <v>0</v>
      </c>
      <c r="W2101" s="65">
        <f>IFERROR(__xludf.DUMMYFUNCTION("""COMPUTED_VALUE"""),0.0)</f>
        <v>0</v>
      </c>
      <c r="X2101" s="65">
        <f>IFERROR(__xludf.DUMMYFUNCTION("""COMPUTED_VALUE"""),2.6)</f>
        <v>2.6</v>
      </c>
      <c r="Y2101" s="65">
        <f>IFERROR(__xludf.DUMMYFUNCTION("""COMPUTED_VALUE"""),7.8)</f>
        <v>7.8</v>
      </c>
      <c r="Z2101" s="65">
        <f>IFERROR(__xludf.DUMMYFUNCTION("""COMPUTED_VALUE"""),121983.0)</f>
        <v>121983</v>
      </c>
      <c r="AA2101" s="65" t="str">
        <f>IFERROR(__xludf.DUMMYFUNCTION("""COMPUTED_VALUE"""),"PROV-CHLLCF")</f>
        <v>PROV-CHLLCF</v>
      </c>
      <c r="AB2101" s="65"/>
      <c r="AC2101" s="65" t="str">
        <f>IFERROR(__xludf.DUMMYFUNCTION("""COMPUTED_VALUE"""),"CUCHILLO PARA CHEF")</f>
        <v>CUCHILLO PARA CHEF</v>
      </c>
      <c r="AD2101" s="65"/>
      <c r="AE2101" s="65">
        <f>IFERROR(__xludf.DUMMYFUNCTION("""COMPUTED_VALUE"""),3.0)</f>
        <v>3</v>
      </c>
      <c r="AF2101" s="65"/>
      <c r="AG2101" s="65"/>
      <c r="AH2101" s="65"/>
      <c r="AI2101" s="65"/>
      <c r="AJ2101" s="65"/>
      <c r="AK2101" s="65"/>
      <c r="AL2101" s="65"/>
      <c r="AM2101" s="65"/>
      <c r="AN2101" s="65"/>
      <c r="AO2101" s="65"/>
      <c r="AP2101" s="65"/>
      <c r="AQ2101" s="65"/>
      <c r="AR2101" s="65"/>
      <c r="AS2101" s="65"/>
      <c r="AT2101" s="65" t="str">
        <f>IFERROR(__xludf.DUMMYFUNCTION("""COMPUTED_VALUE"""),"SHOPIFY")</f>
        <v>SHOPIFY</v>
      </c>
      <c r="AU2101" s="65" t="str">
        <f>IFERROR(__xludf.DUMMYFUNCTION("""COMPUTED_VALUE"""),"IMPORTEX EC")</f>
        <v>IMPORTEX EC</v>
      </c>
      <c r="AV2101" s="65" t="str">
        <f>IFERROR(__xludf.DUMMYFUNCTION("""COMPUTED_VALUE"""),"6405291966508")</f>
        <v>6405291966508</v>
      </c>
      <c r="AW2101" s="65">
        <f>IFERROR(__xludf.DUMMYFUNCTION("""COMPUTED_VALUE"""),4864.0)</f>
        <v>4864</v>
      </c>
      <c r="AX2101" s="65"/>
      <c r="AY2101" s="65"/>
      <c r="AZ2101" s="65"/>
      <c r="BA2101" s="65"/>
    </row>
    <row r="2102">
      <c r="A2102" s="65" t="str">
        <f>IFERROR(__xludf.DUMMYFUNCTION("""COMPUTED_VALUE"""),"27-03-2026")</f>
        <v>27-03-2026</v>
      </c>
      <c r="B2102" s="65">
        <f>IFERROR(__xludf.DUMMYFUNCTION("""COMPUTED_VALUE"""),4098208.0)</f>
        <v>4098208</v>
      </c>
      <c r="C2102" s="65" t="str">
        <f>IFERROR(__xludf.DUMMYFUNCTION("""COMPUTED_VALUE"""),"20:13")</f>
        <v>20:13</v>
      </c>
      <c r="D2102" s="65" t="str">
        <f>IFERROR(__xludf.DUMMYFUNCTION("""COMPUTED_VALUE"""),"10-01-2026")</f>
        <v>10-01-2026</v>
      </c>
      <c r="E2102" s="65" t="str">
        <f>IFERROR(__xludf.DUMMYFUNCTION("""COMPUTED_VALUE"""),"Julio Bermudes")</f>
        <v>Julio Bermudes</v>
      </c>
      <c r="F2102" s="65" t="str">
        <f>IFERROR(__xludf.DUMMYFUNCTION("""COMPUTED_VALUE"""),"939266508")</f>
        <v>939266508</v>
      </c>
      <c r="G2102" s="65" t="str">
        <f>IFERROR(__xludf.DUMMYFUNCTION("""COMPUTED_VALUE"""),"juliober13@gmail.com")</f>
        <v>juliober13@gmail.com</v>
      </c>
      <c r="H2102" s="65"/>
      <c r="I2102" s="65"/>
      <c r="J2102" s="65"/>
      <c r="K2102" s="65" t="str">
        <f>IFERROR(__xludf.DUMMYFUNCTION("""COMPUTED_VALUE"""),"CANCELADO")</f>
        <v>CANCELADO</v>
      </c>
      <c r="L2102" s="65" t="str">
        <f>IFERROR(__xludf.DUMMYFUNCTION("""COMPUTED_VALUE"""),"CON RECAUDO")</f>
        <v>CON RECAUDO</v>
      </c>
      <c r="M2102" s="65" t="str">
        <f>IFERROR(__xludf.DUMMYFUNCTION("""COMPUTED_VALUE"""),"ESMERALDAS")</f>
        <v>ESMERALDAS</v>
      </c>
      <c r="N2102" s="65" t="str">
        <f>IFERROR(__xludf.DUMMYFUNCTION("""COMPUTED_VALUE"""),"QUININDE")</f>
        <v>QUININDE</v>
      </c>
      <c r="O2102" s="65" t="str">
        <f>IFERROR(__xludf.DUMMYFUNCTION("""COMPUTED_VALUE"""),"Las golondrinas Gasolinera -")</f>
        <v>Las golondrinas Gasolinera -</v>
      </c>
      <c r="P2102" s="65"/>
      <c r="Q2102" s="65" t="str">
        <f>IFERROR(__xludf.DUMMYFUNCTION("""COMPUTED_VALUE"""),"GINTRACOM")</f>
        <v>GINTRACOM</v>
      </c>
      <c r="R2102" s="65">
        <f>IFERROR(__xludf.DUMMYFUNCTION("""COMPUTED_VALUE"""),20.0)</f>
        <v>20</v>
      </c>
      <c r="S2102" s="65"/>
      <c r="T2102" s="65">
        <f>IFERROR(__xludf.DUMMYFUNCTION("""COMPUTED_VALUE"""),5.76)</f>
        <v>5.76</v>
      </c>
      <c r="U2102" s="65">
        <f>IFERROR(__xludf.DUMMYFUNCTION("""COMPUTED_VALUE"""),0.0)</f>
        <v>0</v>
      </c>
      <c r="V2102" s="65">
        <f>IFERROR(__xludf.DUMMYFUNCTION("""COMPUTED_VALUE"""),0.0)</f>
        <v>0</v>
      </c>
      <c r="W2102" s="65">
        <f>IFERROR(__xludf.DUMMYFUNCTION("""COMPUTED_VALUE"""),0.0)</f>
        <v>0</v>
      </c>
      <c r="X2102" s="65">
        <f>IFERROR(__xludf.DUMMYFUNCTION("""COMPUTED_VALUE"""),2.79)</f>
        <v>2.79</v>
      </c>
      <c r="Y2102" s="65">
        <f>IFERROR(__xludf.DUMMYFUNCTION("""COMPUTED_VALUE"""),2.79)</f>
        <v>2.79</v>
      </c>
      <c r="Z2102" s="65">
        <f>IFERROR(__xludf.DUMMYFUNCTION("""COMPUTED_VALUE"""),120732.0)</f>
        <v>120732</v>
      </c>
      <c r="AA2102" s="65" t="str">
        <f>IFERROR(__xludf.DUMMYFUNCTION("""COMPUTED_VALUE"""),"PROV-LMPVT")</f>
        <v>PROV-LMPVT</v>
      </c>
      <c r="AB2102" s="65"/>
      <c r="AC2102" s="65" t="str">
        <f>IFERROR(__xludf.DUMMYFUNCTION("""COMPUTED_VALUE"""),"LIMPIADOR DE PARABRISAS Y VENTANAS")</f>
        <v>LIMPIADOR DE PARABRISAS Y VENTANAS</v>
      </c>
      <c r="AD2102" s="65"/>
      <c r="AE2102" s="65">
        <f>IFERROR(__xludf.DUMMYFUNCTION("""COMPUTED_VALUE"""),1.0)</f>
        <v>1</v>
      </c>
      <c r="AF2102" s="65"/>
      <c r="AG2102" s="65"/>
      <c r="AH2102" s="65"/>
      <c r="AI2102" s="65"/>
      <c r="AJ2102" s="65"/>
      <c r="AK2102" s="65"/>
      <c r="AL2102" s="65"/>
      <c r="AM2102" s="65"/>
      <c r="AN2102" s="65"/>
      <c r="AO2102" s="65"/>
      <c r="AP2102" s="65"/>
      <c r="AQ2102" s="65"/>
      <c r="AR2102" s="65"/>
      <c r="AS2102" s="65"/>
      <c r="AT2102" s="65" t="str">
        <f>IFERROR(__xludf.DUMMYFUNCTION("""COMPUTED_VALUE"""),"SHOPIFY")</f>
        <v>SHOPIFY</v>
      </c>
      <c r="AU2102" s="65" t="str">
        <f>IFERROR(__xludf.DUMMYFUNCTION("""COMPUTED_VALUE"""),"IMPORTEX EC")</f>
        <v>IMPORTEX EC</v>
      </c>
      <c r="AV2102" s="65" t="str">
        <f>IFERROR(__xludf.DUMMYFUNCTION("""COMPUTED_VALUE"""),"6405256675372")</f>
        <v>6405256675372</v>
      </c>
      <c r="AW2102" s="65">
        <f>IFERROR(__xludf.DUMMYFUNCTION("""COMPUTED_VALUE"""),4863.0)</f>
        <v>4863</v>
      </c>
      <c r="AX2102" s="65"/>
      <c r="AY2102" s="65"/>
      <c r="AZ2102" s="65"/>
      <c r="BA2102" s="65"/>
    </row>
    <row r="2103">
      <c r="A2103" s="65" t="str">
        <f>IFERROR(__xludf.DUMMYFUNCTION("""COMPUTED_VALUE"""),"27-03-2026")</f>
        <v>27-03-2026</v>
      </c>
      <c r="B2103" s="65">
        <f>IFERROR(__xludf.DUMMYFUNCTION("""COMPUTED_VALUE"""),4098082.0)</f>
        <v>4098082</v>
      </c>
      <c r="C2103" s="65" t="str">
        <f>IFERROR(__xludf.DUMMYFUNCTION("""COMPUTED_VALUE"""),"19:59")</f>
        <v>19:59</v>
      </c>
      <c r="D2103" s="65" t="str">
        <f>IFERROR(__xludf.DUMMYFUNCTION("""COMPUTED_VALUE"""),"10-01-2026")</f>
        <v>10-01-2026</v>
      </c>
      <c r="E2103" s="65" t="str">
        <f>IFERROR(__xludf.DUMMYFUNCTION("""COMPUTED_VALUE"""),"Dr kleber Mejía")</f>
        <v>Dr kleber Mejía</v>
      </c>
      <c r="F2103" s="65" t="str">
        <f>IFERROR(__xludf.DUMMYFUNCTION("""COMPUTED_VALUE"""),"997457133")</f>
        <v>997457133</v>
      </c>
      <c r="G2103" s="65" t="str">
        <f>IFERROR(__xludf.DUMMYFUNCTION("""COMPUTED_VALUE"""),"kleber_edu_2008@hotmail.com")</f>
        <v>kleber_edu_2008@hotmail.com</v>
      </c>
      <c r="H2103" s="65"/>
      <c r="I2103" s="65"/>
      <c r="J2103" s="65" t="str">
        <f>IFERROR(__xludf.DUMMYFUNCTION("""COMPUTED_VALUE"""),"D001223181")</f>
        <v>D001223181</v>
      </c>
      <c r="K2103" s="65" t="str">
        <f>IFERROR(__xludf.DUMMYFUNCTION("""COMPUTED_VALUE"""),"ENTREGADO")</f>
        <v>ENTREGADO</v>
      </c>
      <c r="L2103" s="65" t="str">
        <f>IFERROR(__xludf.DUMMYFUNCTION("""COMPUTED_VALUE"""),"CON RECAUDO")</f>
        <v>CON RECAUDO</v>
      </c>
      <c r="M2103" s="65" t="str">
        <f>IFERROR(__xludf.DUMMYFUNCTION("""COMPUTED_VALUE"""),"GUAYAS")</f>
        <v>GUAYAS</v>
      </c>
      <c r="N2103" s="65" t="str">
        <f>IFERROR(__xludf.DUMMYFUNCTION("""COMPUTED_VALUE"""),"MILAGRO")</f>
        <v>MILAGRO</v>
      </c>
      <c r="O2103" s="65" t="str">
        <f>IFERROR(__xludf.DUMMYFUNCTION("""COMPUTED_VALUE"""),"Hernan Cortez #309 entre Seminario y Bolivar (Milagro) Frente gruta niño Divino -")</f>
        <v>Hernan Cortez #309 entre Seminario y Bolivar (Milagro) Frente gruta niño Divino -</v>
      </c>
      <c r="P2103" s="65"/>
      <c r="Q2103" s="65" t="str">
        <f>IFERROR(__xludf.DUMMYFUNCTION("""COMPUTED_VALUE"""),"GINTRACOM")</f>
        <v>GINTRACOM</v>
      </c>
      <c r="R2103" s="65">
        <f>IFERROR(__xludf.DUMMYFUNCTION("""COMPUTED_VALUE"""),32.0)</f>
        <v>32</v>
      </c>
      <c r="S2103" s="65">
        <f>IFERROR(__xludf.DUMMYFUNCTION("""COMPUTED_VALUE"""),15.94)</f>
        <v>15.94</v>
      </c>
      <c r="T2103" s="65">
        <f>IFERROR(__xludf.DUMMYFUNCTION("""COMPUTED_VALUE"""),5.66)</f>
        <v>5.66</v>
      </c>
      <c r="U2103" s="65">
        <f>IFERROR(__xludf.DUMMYFUNCTION("""COMPUTED_VALUE"""),0.0)</f>
        <v>0</v>
      </c>
      <c r="V2103" s="65">
        <f>IFERROR(__xludf.DUMMYFUNCTION("""COMPUTED_VALUE"""),0.0)</f>
        <v>0</v>
      </c>
      <c r="W2103" s="65">
        <f>IFERROR(__xludf.DUMMYFUNCTION("""COMPUTED_VALUE"""),0.0)</f>
        <v>0</v>
      </c>
      <c r="X2103" s="65">
        <f>IFERROR(__xludf.DUMMYFUNCTION("""COMPUTED_VALUE"""),2.6)</f>
        <v>2.6</v>
      </c>
      <c r="Y2103" s="65">
        <f>IFERROR(__xludf.DUMMYFUNCTION("""COMPUTED_VALUE"""),10.4)</f>
        <v>10.4</v>
      </c>
      <c r="Z2103" s="65">
        <f>IFERROR(__xludf.DUMMYFUNCTION("""COMPUTED_VALUE"""),121983.0)</f>
        <v>121983</v>
      </c>
      <c r="AA2103" s="65" t="str">
        <f>IFERROR(__xludf.DUMMYFUNCTION("""COMPUTED_VALUE"""),"PROV-CHLLCF")</f>
        <v>PROV-CHLLCF</v>
      </c>
      <c r="AB2103" s="65"/>
      <c r="AC2103" s="65" t="str">
        <f>IFERROR(__xludf.DUMMYFUNCTION("""COMPUTED_VALUE"""),"CUCHILLO PARA CHEF")</f>
        <v>CUCHILLO PARA CHEF</v>
      </c>
      <c r="AD2103" s="65"/>
      <c r="AE2103" s="65">
        <f>IFERROR(__xludf.DUMMYFUNCTION("""COMPUTED_VALUE"""),4.0)</f>
        <v>4</v>
      </c>
      <c r="AF2103" s="65"/>
      <c r="AG2103" s="65"/>
      <c r="AH2103" s="65"/>
      <c r="AI2103" s="65"/>
      <c r="AJ2103" s="65"/>
      <c r="AK2103" s="65"/>
      <c r="AL2103" s="65"/>
      <c r="AM2103" s="65"/>
      <c r="AN2103" s="65" t="str">
        <f>IFERROR(__xludf.DUMMYFUNCTION("""COMPUTED_VALUE"""),"01:33")</f>
        <v>01:33</v>
      </c>
      <c r="AO2103" s="65" t="str">
        <f>IFERROR(__xludf.DUMMYFUNCTION("""COMPUTED_VALUE"""),"21-01-2026")</f>
        <v>21-01-2026</v>
      </c>
      <c r="AP2103" s="65" t="str">
        <f>IFERROR(__xludf.DUMMYFUNCTION("""COMPUTED_VALUE"""),"ENTREGADA GINTRACOM")</f>
        <v>ENTREGADA GINTRACOM</v>
      </c>
      <c r="AQ2103" s="65" t="str">
        <f>IFERROR(__xludf.DUMMYFUNCTION("""COMPUTED_VALUE"""),"ENTREGADA GINTRACOM")</f>
        <v>ENTREGADA GINTRACOM</v>
      </c>
      <c r="AR2103" s="65"/>
      <c r="AS2103" s="65"/>
      <c r="AT2103" s="65" t="str">
        <f>IFERROR(__xludf.DUMMYFUNCTION("""COMPUTED_VALUE"""),"SHOPIFY")</f>
        <v>SHOPIFY</v>
      </c>
      <c r="AU2103" s="65" t="str">
        <f>IFERROR(__xludf.DUMMYFUNCTION("""COMPUTED_VALUE"""),"IMPORTEX EC")</f>
        <v>IMPORTEX EC</v>
      </c>
      <c r="AV2103" s="65" t="str">
        <f>IFERROR(__xludf.DUMMYFUNCTION("""COMPUTED_VALUE"""),"6405228232748")</f>
        <v>6405228232748</v>
      </c>
      <c r="AW2103" s="65">
        <f>IFERROR(__xludf.DUMMYFUNCTION("""COMPUTED_VALUE"""),4862.0)</f>
        <v>4862</v>
      </c>
      <c r="AX2103" s="65"/>
      <c r="AY2103" s="65" t="str">
        <f>IFERROR(__xludf.DUMMYFUNCTION("""COMPUTED_VALUE"""),"14/01/2026")</f>
        <v>14/01/2026</v>
      </c>
      <c r="AZ2103" s="65"/>
      <c r="BA2103" s="65"/>
    </row>
    <row r="2104">
      <c r="A2104" s="65" t="str">
        <f>IFERROR(__xludf.DUMMYFUNCTION("""COMPUTED_VALUE"""),"27-03-2026")</f>
        <v>27-03-2026</v>
      </c>
      <c r="B2104" s="65">
        <f>IFERROR(__xludf.DUMMYFUNCTION("""COMPUTED_VALUE"""),4097999.0)</f>
        <v>4097999</v>
      </c>
      <c r="C2104" s="65" t="str">
        <f>IFERROR(__xludf.DUMMYFUNCTION("""COMPUTED_VALUE"""),"19:48")</f>
        <v>19:48</v>
      </c>
      <c r="D2104" s="65" t="str">
        <f>IFERROR(__xludf.DUMMYFUNCTION("""COMPUTED_VALUE"""),"10-01-2026")</f>
        <v>10-01-2026</v>
      </c>
      <c r="E2104" s="65" t="str">
        <f>IFERROR(__xludf.DUMMYFUNCTION("""COMPUTED_VALUE"""),"Luis Bautista")</f>
        <v>Luis Bautista</v>
      </c>
      <c r="F2104" s="65" t="str">
        <f>IFERROR(__xludf.DUMMYFUNCTION("""COMPUTED_VALUE"""),"981844784")</f>
        <v>981844784</v>
      </c>
      <c r="G2104" s="65" t="str">
        <f>IFERROR(__xludf.DUMMYFUNCTION("""COMPUTED_VALUE"""),"lbautistaq.86@gmail.com")</f>
        <v>lbautistaq.86@gmail.com</v>
      </c>
      <c r="H2104" s="65"/>
      <c r="I2104" s="65"/>
      <c r="J2104" s="65"/>
      <c r="K2104" s="65" t="str">
        <f>IFERROR(__xludf.DUMMYFUNCTION("""COMPUTED_VALUE"""),"CANCELADO")</f>
        <v>CANCELADO</v>
      </c>
      <c r="L2104" s="65" t="str">
        <f>IFERROR(__xludf.DUMMYFUNCTION("""COMPUTED_VALUE"""),"CON RECAUDO")</f>
        <v>CON RECAUDO</v>
      </c>
      <c r="M2104" s="65" t="str">
        <f>IFERROR(__xludf.DUMMYFUNCTION("""COMPUTED_VALUE"""),"COTOPAXI")</f>
        <v>COTOPAXI</v>
      </c>
      <c r="N2104" s="65" t="str">
        <f>IFERROR(__xludf.DUMMYFUNCTION("""COMPUTED_VALUE"""),"SIGCHOS")</f>
        <v>SIGCHOS</v>
      </c>
      <c r="O2104" s="65" t="str">
        <f>IFERROR(__xludf.DUMMYFUNCTION("""COMPUTED_VALUE"""),"Servientrega Sigchos Parque central -")</f>
        <v>Servientrega Sigchos Parque central -</v>
      </c>
      <c r="P2104" s="65"/>
      <c r="Q2104" s="65" t="str">
        <f>IFERROR(__xludf.DUMMYFUNCTION("""COMPUTED_VALUE"""),"SERVIENTREGA")</f>
        <v>SERVIENTREGA</v>
      </c>
      <c r="R2104" s="65">
        <f>IFERROR(__xludf.DUMMYFUNCTION("""COMPUTED_VALUE"""),22.0)</f>
        <v>22</v>
      </c>
      <c r="S2104" s="65"/>
      <c r="T2104" s="65">
        <f>IFERROR(__xludf.DUMMYFUNCTION("""COMPUTED_VALUE"""),7.7)</f>
        <v>7.7</v>
      </c>
      <c r="U2104" s="65">
        <f>IFERROR(__xludf.DUMMYFUNCTION("""COMPUTED_VALUE"""),0.0)</f>
        <v>0</v>
      </c>
      <c r="V2104" s="65">
        <f>IFERROR(__xludf.DUMMYFUNCTION("""COMPUTED_VALUE"""),0.0)</f>
        <v>0</v>
      </c>
      <c r="W2104" s="65">
        <f>IFERROR(__xludf.DUMMYFUNCTION("""COMPUTED_VALUE"""),0.0)</f>
        <v>0</v>
      </c>
      <c r="X2104" s="65">
        <f>IFERROR(__xludf.DUMMYFUNCTION("""COMPUTED_VALUE"""),2.6)</f>
        <v>2.6</v>
      </c>
      <c r="Y2104" s="65">
        <f>IFERROR(__xludf.DUMMYFUNCTION("""COMPUTED_VALUE"""),5.2)</f>
        <v>5.2</v>
      </c>
      <c r="Z2104" s="65">
        <f>IFERROR(__xludf.DUMMYFUNCTION("""COMPUTED_VALUE"""),121983.0)</f>
        <v>121983</v>
      </c>
      <c r="AA2104" s="65" t="str">
        <f>IFERROR(__xludf.DUMMYFUNCTION("""COMPUTED_VALUE"""),"PROV-CHLLCF")</f>
        <v>PROV-CHLLCF</v>
      </c>
      <c r="AB2104" s="65"/>
      <c r="AC2104" s="65" t="str">
        <f>IFERROR(__xludf.DUMMYFUNCTION("""COMPUTED_VALUE"""),"CUCHILLO PARA CHEF")</f>
        <v>CUCHILLO PARA CHEF</v>
      </c>
      <c r="AD2104" s="65"/>
      <c r="AE2104" s="65">
        <f>IFERROR(__xludf.DUMMYFUNCTION("""COMPUTED_VALUE"""),2.0)</f>
        <v>2</v>
      </c>
      <c r="AF2104" s="65"/>
      <c r="AG2104" s="65"/>
      <c r="AH2104" s="65"/>
      <c r="AI2104" s="65"/>
      <c r="AJ2104" s="65"/>
      <c r="AK2104" s="65"/>
      <c r="AL2104" s="65"/>
      <c r="AM2104" s="65"/>
      <c r="AN2104" s="65"/>
      <c r="AO2104" s="65"/>
      <c r="AP2104" s="65"/>
      <c r="AQ2104" s="65"/>
      <c r="AR2104" s="65"/>
      <c r="AS2104" s="65"/>
      <c r="AT2104" s="65" t="str">
        <f>IFERROR(__xludf.DUMMYFUNCTION("""COMPUTED_VALUE"""),"SHOPIFY")</f>
        <v>SHOPIFY</v>
      </c>
      <c r="AU2104" s="65" t="str">
        <f>IFERROR(__xludf.DUMMYFUNCTION("""COMPUTED_VALUE"""),"IMPORTEX EC")</f>
        <v>IMPORTEX EC</v>
      </c>
      <c r="AV2104" s="65" t="str">
        <f>IFERROR(__xludf.DUMMYFUNCTION("""COMPUTED_VALUE"""),"6405207818284")</f>
        <v>6405207818284</v>
      </c>
      <c r="AW2104" s="65">
        <f>IFERROR(__xludf.DUMMYFUNCTION("""COMPUTED_VALUE"""),4861.0)</f>
        <v>4861</v>
      </c>
      <c r="AX2104" s="65"/>
      <c r="AY2104" s="65"/>
      <c r="AZ2104" s="65"/>
      <c r="BA2104" s="65"/>
    </row>
    <row r="2105">
      <c r="A2105" s="65" t="str">
        <f>IFERROR(__xludf.DUMMYFUNCTION("""COMPUTED_VALUE"""),"27-03-2026")</f>
        <v>27-03-2026</v>
      </c>
      <c r="B2105" s="65">
        <f>IFERROR(__xludf.DUMMYFUNCTION("""COMPUTED_VALUE"""),4097980.0)</f>
        <v>4097980</v>
      </c>
      <c r="C2105" s="65" t="str">
        <f>IFERROR(__xludf.DUMMYFUNCTION("""COMPUTED_VALUE"""),"19:46")</f>
        <v>19:46</v>
      </c>
      <c r="D2105" s="65" t="str">
        <f>IFERROR(__xludf.DUMMYFUNCTION("""COMPUTED_VALUE"""),"10-01-2026")</f>
        <v>10-01-2026</v>
      </c>
      <c r="E2105" s="65" t="str">
        <f>IFERROR(__xludf.DUMMYFUNCTION("""COMPUTED_VALUE"""),"Miler Bravo Azanza")</f>
        <v>Miler Bravo Azanza</v>
      </c>
      <c r="F2105" s="65" t="str">
        <f>IFERROR(__xludf.DUMMYFUNCTION("""COMPUTED_VALUE"""),"997765414")</f>
        <v>997765414</v>
      </c>
      <c r="G2105" s="65" t="str">
        <f>IFERROR(__xludf.DUMMYFUNCTION("""COMPUTED_VALUE"""),"millerbravo402@homail.com")</f>
        <v>millerbravo402@homail.com</v>
      </c>
      <c r="H2105" s="65"/>
      <c r="I2105" s="65"/>
      <c r="J2105" s="65" t="str">
        <f>IFERROR(__xludf.DUMMYFUNCTION("""COMPUTED_VALUE"""),"D001223184")</f>
        <v>D001223184</v>
      </c>
      <c r="K2105" s="65" t="str">
        <f>IFERROR(__xludf.DUMMYFUNCTION("""COMPUTED_VALUE"""),"DEVOLUCION")</f>
        <v>DEVOLUCION</v>
      </c>
      <c r="L2105" s="65" t="str">
        <f>IFERROR(__xludf.DUMMYFUNCTION("""COMPUTED_VALUE"""),"CON RECAUDO")</f>
        <v>CON RECAUDO</v>
      </c>
      <c r="M2105" s="65" t="str">
        <f>IFERROR(__xludf.DUMMYFUNCTION("""COMPUTED_VALUE"""),"ESMERALDAS")</f>
        <v>ESMERALDAS</v>
      </c>
      <c r="N2105" s="65" t="str">
        <f>IFERROR(__xludf.DUMMYFUNCTION("""COMPUTED_VALUE"""),"QUININDE")</f>
        <v>QUININDE</v>
      </c>
      <c r="O2105" s="65" t="str">
        <f>IFERROR(__xludf.DUMMYFUNCTION("""COMPUTED_VALUE"""),"Maclovio Velssco Y Nelson Vale Ex Oficina De Trabsportes Occidentales Al Frente Queda Encebolladis -")</f>
        <v>Maclovio Velssco Y Nelson Vale Ex Oficina De Trabsportes Occidentales Al Frente Queda Encebolladis -</v>
      </c>
      <c r="P2105" s="65"/>
      <c r="Q2105" s="65" t="str">
        <f>IFERROR(__xludf.DUMMYFUNCTION("""COMPUTED_VALUE"""),"GINTRACOM")</f>
        <v>GINTRACOM</v>
      </c>
      <c r="R2105" s="65">
        <f>IFERROR(__xludf.DUMMYFUNCTION("""COMPUTED_VALUE"""),32.0)</f>
        <v>32</v>
      </c>
      <c r="S2105" s="65"/>
      <c r="T2105" s="65">
        <f>IFERROR(__xludf.DUMMYFUNCTION("""COMPUTED_VALUE"""),6.24)</f>
        <v>6.24</v>
      </c>
      <c r="U2105" s="65">
        <f>IFERROR(__xludf.DUMMYFUNCTION("""COMPUTED_VALUE"""),0.0)</f>
        <v>0</v>
      </c>
      <c r="V2105" s="65">
        <f>IFERROR(__xludf.DUMMYFUNCTION("""COMPUTED_VALUE"""),0.0)</f>
        <v>0</v>
      </c>
      <c r="W2105" s="65">
        <f>IFERROR(__xludf.DUMMYFUNCTION("""COMPUTED_VALUE"""),0.0)</f>
        <v>0</v>
      </c>
      <c r="X2105" s="65">
        <f>IFERROR(__xludf.DUMMYFUNCTION("""COMPUTED_VALUE"""),2.6)</f>
        <v>2.6</v>
      </c>
      <c r="Y2105" s="65">
        <f>IFERROR(__xludf.DUMMYFUNCTION("""COMPUTED_VALUE"""),10.4)</f>
        <v>10.4</v>
      </c>
      <c r="Z2105" s="65">
        <f>IFERROR(__xludf.DUMMYFUNCTION("""COMPUTED_VALUE"""),121983.0)</f>
        <v>121983</v>
      </c>
      <c r="AA2105" s="65" t="str">
        <f>IFERROR(__xludf.DUMMYFUNCTION("""COMPUTED_VALUE"""),"PROV-CHLLCF")</f>
        <v>PROV-CHLLCF</v>
      </c>
      <c r="AB2105" s="65"/>
      <c r="AC2105" s="65" t="str">
        <f>IFERROR(__xludf.DUMMYFUNCTION("""COMPUTED_VALUE"""),"CUCHILLO PARA CHEF")</f>
        <v>CUCHILLO PARA CHEF</v>
      </c>
      <c r="AD2105" s="65"/>
      <c r="AE2105" s="65">
        <f>IFERROR(__xludf.DUMMYFUNCTION("""COMPUTED_VALUE"""),4.0)</f>
        <v>4</v>
      </c>
      <c r="AF2105" s="65" t="str">
        <f>IFERROR(__xludf.DUMMYFUNCTION("""COMPUTED_VALUE"""),"DESTINATARIO NO CONTESTA LLAMADAS NI WHATSAPP")</f>
        <v>DESTINATARIO NO CONTESTA LLAMADAS NI WHATSAPP</v>
      </c>
      <c r="AG2105" s="65" t="str">
        <f>IFERROR(__xludf.DUMMYFUNCTION("""COMPUTED_VALUE"""),"SI")</f>
        <v>SI</v>
      </c>
      <c r="AH2105" s="65" t="str">
        <f>IFERROR(__xludf.DUMMYFUNCTION("""COMPUTED_VALUE"""),"09:00")</f>
        <v>09:00</v>
      </c>
      <c r="AI2105" s="65" t="str">
        <f>IFERROR(__xludf.DUMMYFUNCTION("""COMPUTED_VALUE"""),"24-01-2026")</f>
        <v>24-01-2026</v>
      </c>
      <c r="AJ2105" s="65"/>
      <c r="AK2105" s="65"/>
      <c r="AL2105" s="65"/>
      <c r="AM2105" s="65"/>
      <c r="AN2105" s="65" t="str">
        <f>IFERROR(__xludf.DUMMYFUNCTION("""COMPUTED_VALUE"""),"09:39")</f>
        <v>09:39</v>
      </c>
      <c r="AO2105" s="65" t="str">
        <f>IFERROR(__xludf.DUMMYFUNCTION("""COMPUTED_VALUE"""),"10-02-2026")</f>
        <v>10-02-2026</v>
      </c>
      <c r="AP2105" s="65" t="str">
        <f>IFERROR(__xludf.DUMMYFUNCTION("""COMPUTED_VALUE"""),"DEV CONFIRMADA POR BODEGA")</f>
        <v>DEV CONFIRMADA POR BODEGA</v>
      </c>
      <c r="AQ2105" s="65"/>
      <c r="AR2105" s="65" t="str">
        <f>IFERROR(__xludf.DUMMYFUNCTION("""COMPUTED_VALUE"""),"Gestionado por: Moran Daniel, email:danielmorga2005@gmail.com, total de productos en la orden: 1")</f>
        <v>Gestionado por: Moran Daniel, email:danielmorga2005@gmail.com, total de productos en la orden: 1</v>
      </c>
      <c r="AS2105" s="65"/>
      <c r="AT2105" s="65" t="str">
        <f>IFERROR(__xludf.DUMMYFUNCTION("""COMPUTED_VALUE"""),"SHOPIFY")</f>
        <v>SHOPIFY</v>
      </c>
      <c r="AU2105" s="65" t="str">
        <f>IFERROR(__xludf.DUMMYFUNCTION("""COMPUTED_VALUE"""),"IMPORTEX EC")</f>
        <v>IMPORTEX EC</v>
      </c>
      <c r="AV2105" s="65" t="str">
        <f>IFERROR(__xludf.DUMMYFUNCTION("""COMPUTED_VALUE"""),"6405205196844")</f>
        <v>6405205196844</v>
      </c>
      <c r="AW2105" s="65">
        <f>IFERROR(__xludf.DUMMYFUNCTION("""COMPUTED_VALUE"""),4860.0)</f>
        <v>4860</v>
      </c>
      <c r="AX2105" s="65"/>
      <c r="AY2105" s="65" t="str">
        <f>IFERROR(__xludf.DUMMYFUNCTION("""COMPUTED_VALUE"""),"14/01/2026")</f>
        <v>14/01/2026</v>
      </c>
      <c r="AZ2105" s="65"/>
      <c r="BA2105" s="65"/>
    </row>
    <row r="2106">
      <c r="A2106" s="65" t="str">
        <f>IFERROR(__xludf.DUMMYFUNCTION("""COMPUTED_VALUE"""),"27-03-2026")</f>
        <v>27-03-2026</v>
      </c>
      <c r="B2106" s="65">
        <f>IFERROR(__xludf.DUMMYFUNCTION("""COMPUTED_VALUE"""),4097878.0)</f>
        <v>4097878</v>
      </c>
      <c r="C2106" s="65" t="str">
        <f>IFERROR(__xludf.DUMMYFUNCTION("""COMPUTED_VALUE"""),"19:36")</f>
        <v>19:36</v>
      </c>
      <c r="D2106" s="65" t="str">
        <f>IFERROR(__xludf.DUMMYFUNCTION("""COMPUTED_VALUE"""),"10-01-2026")</f>
        <v>10-01-2026</v>
      </c>
      <c r="E2106" s="65" t="str">
        <f>IFERROR(__xludf.DUMMYFUNCTION("""COMPUTED_VALUE"""),"Ysmael Rodriguez")</f>
        <v>Ysmael Rodriguez</v>
      </c>
      <c r="F2106" s="65" t="str">
        <f>IFERROR(__xludf.DUMMYFUNCTION("""COMPUTED_VALUE"""),"985321208")</f>
        <v>985321208</v>
      </c>
      <c r="G2106" s="65" t="str">
        <f>IFERROR(__xludf.DUMMYFUNCTION("""COMPUTED_VALUE"""),"ismaelrh111@gmail.com")</f>
        <v>ismaelrh111@gmail.com</v>
      </c>
      <c r="H2106" s="65"/>
      <c r="I2106" s="65"/>
      <c r="J2106" s="65" t="str">
        <f>IFERROR(__xludf.DUMMYFUNCTION("""COMPUTED_VALUE"""),"D001223187")</f>
        <v>D001223187</v>
      </c>
      <c r="K2106" s="65" t="str">
        <f>IFERROR(__xludf.DUMMYFUNCTION("""COMPUTED_VALUE"""),"ENTREGADO")</f>
        <v>ENTREGADO</v>
      </c>
      <c r="L2106" s="65" t="str">
        <f>IFERROR(__xludf.DUMMYFUNCTION("""COMPUTED_VALUE"""),"CON RECAUDO")</f>
        <v>CON RECAUDO</v>
      </c>
      <c r="M2106" s="65" t="str">
        <f>IFERROR(__xludf.DUMMYFUNCTION("""COMPUTED_VALUE"""),"GUAYAS")</f>
        <v>GUAYAS</v>
      </c>
      <c r="N2106" s="65" t="str">
        <f>IFERROR(__xludf.DUMMYFUNCTION("""COMPUTED_VALUE"""),"DURAN")</f>
        <v>DURAN</v>
      </c>
      <c r="O2106" s="65" t="str">
        <f>IFERROR(__xludf.DUMMYFUNCTION("""COMPUTED_VALUE"""),"Cooperativa hector cobos MZ 13 solar 10 sector 1")</f>
        <v>Cooperativa hector cobos MZ 13 solar 10 sector 1</v>
      </c>
      <c r="P2106" s="65"/>
      <c r="Q2106" s="65" t="str">
        <f>IFERROR(__xludf.DUMMYFUNCTION("""COMPUTED_VALUE"""),"GINTRACOM")</f>
        <v>GINTRACOM</v>
      </c>
      <c r="R2106" s="65">
        <f>IFERROR(__xludf.DUMMYFUNCTION("""COMPUTED_VALUE"""),25.0)</f>
        <v>25</v>
      </c>
      <c r="S2106" s="65">
        <f>IFERROR(__xludf.DUMMYFUNCTION("""COMPUTED_VALUE"""),14.04)</f>
        <v>14.04</v>
      </c>
      <c r="T2106" s="65">
        <f>IFERROR(__xludf.DUMMYFUNCTION("""COMPUTED_VALUE"""),5.38)</f>
        <v>5.38</v>
      </c>
      <c r="U2106" s="65">
        <f>IFERROR(__xludf.DUMMYFUNCTION("""COMPUTED_VALUE"""),0.0)</f>
        <v>0</v>
      </c>
      <c r="V2106" s="65">
        <f>IFERROR(__xludf.DUMMYFUNCTION("""COMPUTED_VALUE"""),0.0)</f>
        <v>0</v>
      </c>
      <c r="W2106" s="65">
        <f>IFERROR(__xludf.DUMMYFUNCTION("""COMPUTED_VALUE"""),0.0)</f>
        <v>0</v>
      </c>
      <c r="X2106" s="65">
        <f>IFERROR(__xludf.DUMMYFUNCTION("""COMPUTED_VALUE"""),2.79)</f>
        <v>2.79</v>
      </c>
      <c r="Y2106" s="65">
        <f>IFERROR(__xludf.DUMMYFUNCTION("""COMPUTED_VALUE"""),5.58)</f>
        <v>5.58</v>
      </c>
      <c r="Z2106" s="65">
        <f>IFERROR(__xludf.DUMMYFUNCTION("""COMPUTED_VALUE"""),120732.0)</f>
        <v>120732</v>
      </c>
      <c r="AA2106" s="65" t="str">
        <f>IFERROR(__xludf.DUMMYFUNCTION("""COMPUTED_VALUE"""),"PROV-LMPVT")</f>
        <v>PROV-LMPVT</v>
      </c>
      <c r="AB2106" s="65"/>
      <c r="AC2106" s="65" t="str">
        <f>IFERROR(__xludf.DUMMYFUNCTION("""COMPUTED_VALUE"""),"LIMPIADOR DE PARABRISAS Y VENTANAS")</f>
        <v>LIMPIADOR DE PARABRISAS Y VENTANAS</v>
      </c>
      <c r="AD2106" s="65"/>
      <c r="AE2106" s="65">
        <f>IFERROR(__xludf.DUMMYFUNCTION("""COMPUTED_VALUE"""),2.0)</f>
        <v>2</v>
      </c>
      <c r="AF2106" s="65"/>
      <c r="AG2106" s="65"/>
      <c r="AH2106" s="65"/>
      <c r="AI2106" s="65"/>
      <c r="AJ2106" s="65"/>
      <c r="AK2106" s="65"/>
      <c r="AL2106" s="65"/>
      <c r="AM2106" s="65"/>
      <c r="AN2106" s="65" t="str">
        <f>IFERROR(__xludf.DUMMYFUNCTION("""COMPUTED_VALUE"""),"14:15")</f>
        <v>14:15</v>
      </c>
      <c r="AO2106" s="65" t="str">
        <f>IFERROR(__xludf.DUMMYFUNCTION("""COMPUTED_VALUE"""),"15-01-2026")</f>
        <v>15-01-2026</v>
      </c>
      <c r="AP2106" s="65" t="str">
        <f>IFERROR(__xludf.DUMMYFUNCTION("""COMPUTED_VALUE"""),"ENTREGADA GINTRACOM")</f>
        <v>ENTREGADA GINTRACOM</v>
      </c>
      <c r="AQ2106" s="65" t="str">
        <f>IFERROR(__xludf.DUMMYFUNCTION("""COMPUTED_VALUE"""),"ENTREGADA GINTRACOM")</f>
        <v>ENTREGADA GINTRACOM</v>
      </c>
      <c r="AR2106" s="65"/>
      <c r="AS2106" s="65"/>
      <c r="AT2106" s="65" t="str">
        <f>IFERROR(__xludf.DUMMYFUNCTION("""COMPUTED_VALUE"""),"SHOPIFY")</f>
        <v>SHOPIFY</v>
      </c>
      <c r="AU2106" s="65" t="str">
        <f>IFERROR(__xludf.DUMMYFUNCTION("""COMPUTED_VALUE"""),"IMPORTEX EC")</f>
        <v>IMPORTEX EC</v>
      </c>
      <c r="AV2106" s="65" t="str">
        <f>IFERROR(__xludf.DUMMYFUNCTION("""COMPUTED_VALUE"""),"6405179670572")</f>
        <v>6405179670572</v>
      </c>
      <c r="AW2106" s="65">
        <f>IFERROR(__xludf.DUMMYFUNCTION("""COMPUTED_VALUE"""),4859.0)</f>
        <v>4859</v>
      </c>
      <c r="AX2106" s="65"/>
      <c r="AY2106" s="65" t="str">
        <f>IFERROR(__xludf.DUMMYFUNCTION("""COMPUTED_VALUE"""),"14/01/2026")</f>
        <v>14/01/2026</v>
      </c>
      <c r="AZ2106" s="65"/>
      <c r="BA2106" s="65"/>
    </row>
    <row r="2107">
      <c r="A2107" s="65" t="str">
        <f>IFERROR(__xludf.DUMMYFUNCTION("""COMPUTED_VALUE"""),"27-03-2026")</f>
        <v>27-03-2026</v>
      </c>
      <c r="B2107" s="65">
        <f>IFERROR(__xludf.DUMMYFUNCTION("""COMPUTED_VALUE"""),4097791.0)</f>
        <v>4097791</v>
      </c>
      <c r="C2107" s="65" t="str">
        <f>IFERROR(__xludf.DUMMYFUNCTION("""COMPUTED_VALUE"""),"19:27")</f>
        <v>19:27</v>
      </c>
      <c r="D2107" s="65" t="str">
        <f>IFERROR(__xludf.DUMMYFUNCTION("""COMPUTED_VALUE"""),"10-01-2026")</f>
        <v>10-01-2026</v>
      </c>
      <c r="E2107" s="65" t="str">
        <f>IFERROR(__xludf.DUMMYFUNCTION("""COMPUTED_VALUE"""),"Cristofher Klinger")</f>
        <v>Cristofher Klinger</v>
      </c>
      <c r="F2107" s="65" t="str">
        <f>IFERROR(__xludf.DUMMYFUNCTION("""COMPUTED_VALUE"""),"978983291")</f>
        <v>978983291</v>
      </c>
      <c r="G2107" s="65" t="str">
        <f>IFERROR(__xludf.DUMMYFUNCTION("""COMPUTED_VALUE"""),"klingercristofher@gmail.com")</f>
        <v>klingercristofher@gmail.com</v>
      </c>
      <c r="H2107" s="65"/>
      <c r="I2107" s="65"/>
      <c r="J2107" s="65" t="str">
        <f>IFERROR(__xludf.DUMMYFUNCTION("""COMPUTED_VALUE"""),"D001223188")</f>
        <v>D001223188</v>
      </c>
      <c r="K2107" s="65" t="str">
        <f>IFERROR(__xludf.DUMMYFUNCTION("""COMPUTED_VALUE"""),"DEVOLUCION")</f>
        <v>DEVOLUCION</v>
      </c>
      <c r="L2107" s="65" t="str">
        <f>IFERROR(__xludf.DUMMYFUNCTION("""COMPUTED_VALUE"""),"CON RECAUDO")</f>
        <v>CON RECAUDO</v>
      </c>
      <c r="M2107" s="65" t="str">
        <f>IFERROR(__xludf.DUMMYFUNCTION("""COMPUTED_VALUE"""),"GUAYAS")</f>
        <v>GUAYAS</v>
      </c>
      <c r="N2107" s="65" t="str">
        <f>IFERROR(__xludf.DUMMYFUNCTION("""COMPUTED_VALUE"""),"DAULE")</f>
        <v>DAULE</v>
      </c>
      <c r="O2107" s="65" t="str">
        <f>IFERROR(__xludf.DUMMYFUNCTION("""COMPUTED_VALUE"""),"Urb.villa club etapa hermes Frente a la mariposa -")</f>
        <v>Urb.villa club etapa hermes Frente a la mariposa -</v>
      </c>
      <c r="P2107" s="65"/>
      <c r="Q2107" s="65" t="str">
        <f>IFERROR(__xludf.DUMMYFUNCTION("""COMPUTED_VALUE"""),"GINTRACOM")</f>
        <v>GINTRACOM</v>
      </c>
      <c r="R2107" s="65">
        <f>IFERROR(__xludf.DUMMYFUNCTION("""COMPUTED_VALUE"""),20.0)</f>
        <v>20</v>
      </c>
      <c r="S2107" s="65"/>
      <c r="T2107" s="65">
        <f>IFERROR(__xludf.DUMMYFUNCTION("""COMPUTED_VALUE"""),5.18)</f>
        <v>5.18</v>
      </c>
      <c r="U2107" s="65">
        <f>IFERROR(__xludf.DUMMYFUNCTION("""COMPUTED_VALUE"""),0.0)</f>
        <v>0</v>
      </c>
      <c r="V2107" s="65">
        <f>IFERROR(__xludf.DUMMYFUNCTION("""COMPUTED_VALUE"""),0.0)</f>
        <v>0</v>
      </c>
      <c r="W2107" s="65">
        <f>IFERROR(__xludf.DUMMYFUNCTION("""COMPUTED_VALUE"""),0.0)</f>
        <v>0</v>
      </c>
      <c r="X2107" s="65">
        <f>IFERROR(__xludf.DUMMYFUNCTION("""COMPUTED_VALUE"""),2.79)</f>
        <v>2.79</v>
      </c>
      <c r="Y2107" s="65">
        <f>IFERROR(__xludf.DUMMYFUNCTION("""COMPUTED_VALUE"""),2.79)</f>
        <v>2.79</v>
      </c>
      <c r="Z2107" s="65">
        <f>IFERROR(__xludf.DUMMYFUNCTION("""COMPUTED_VALUE"""),120732.0)</f>
        <v>120732</v>
      </c>
      <c r="AA2107" s="65" t="str">
        <f>IFERROR(__xludf.DUMMYFUNCTION("""COMPUTED_VALUE"""),"PROV-LMPVT")</f>
        <v>PROV-LMPVT</v>
      </c>
      <c r="AB2107" s="65"/>
      <c r="AC2107" s="65" t="str">
        <f>IFERROR(__xludf.DUMMYFUNCTION("""COMPUTED_VALUE"""),"LIMPIADOR DE PARABRISAS Y VENTANAS")</f>
        <v>LIMPIADOR DE PARABRISAS Y VENTANAS</v>
      </c>
      <c r="AD2107" s="65"/>
      <c r="AE2107" s="65">
        <f>IFERROR(__xludf.DUMMYFUNCTION("""COMPUTED_VALUE"""),1.0)</f>
        <v>1</v>
      </c>
      <c r="AF2107" s="65" t="str">
        <f>IFERROR(__xludf.DUMMYFUNCTION("""COMPUTED_VALUE"""),"DESTINATARIO NO CONTESTA LLAMADAS NI WHATSAPP")</f>
        <v>DESTINATARIO NO CONTESTA LLAMADAS NI WHATSAPP</v>
      </c>
      <c r="AG2107" s="65" t="str">
        <f>IFERROR(__xludf.DUMMYFUNCTION("""COMPUTED_VALUE"""),"NO")</f>
        <v>NO</v>
      </c>
      <c r="AH2107" s="65" t="str">
        <f>IFERROR(__xludf.DUMMYFUNCTION("""COMPUTED_VALUE"""),"09:00")</f>
        <v>09:00</v>
      </c>
      <c r="AI2107" s="65" t="str">
        <f>IFERROR(__xludf.DUMMYFUNCTION("""COMPUTED_VALUE"""),"23-01-2026")</f>
        <v>23-01-2026</v>
      </c>
      <c r="AJ2107" s="65"/>
      <c r="AK2107" s="65"/>
      <c r="AL2107" s="65"/>
      <c r="AM2107" s="65"/>
      <c r="AN2107" s="65" t="str">
        <f>IFERROR(__xludf.DUMMYFUNCTION("""COMPUTED_VALUE"""),"14:11")</f>
        <v>14:11</v>
      </c>
      <c r="AO2107" s="65" t="str">
        <f>IFERROR(__xludf.DUMMYFUNCTION("""COMPUTED_VALUE"""),"05-02-2026")</f>
        <v>05-02-2026</v>
      </c>
      <c r="AP2107" s="65" t="str">
        <f>IFERROR(__xludf.DUMMYFUNCTION("""COMPUTED_VALUE"""),"DEV CONFIRMADA POR BODEGA")</f>
        <v>DEV CONFIRMADA POR BODEGA</v>
      </c>
      <c r="AQ2107" s="65"/>
      <c r="AR2107" s="65" t="str">
        <f>IFERROR(__xludf.DUMMYFUNCTION("""COMPUTED_VALUE"""),"Gestionado por: Moran Daniel, email:danielmorga2005@gmail.com, total de productos en la orden: 1")</f>
        <v>Gestionado por: Moran Daniel, email:danielmorga2005@gmail.com, total de productos en la orden: 1</v>
      </c>
      <c r="AS2107" s="65"/>
      <c r="AT2107" s="65" t="str">
        <f>IFERROR(__xludf.DUMMYFUNCTION("""COMPUTED_VALUE"""),"SHOPIFY")</f>
        <v>SHOPIFY</v>
      </c>
      <c r="AU2107" s="65" t="str">
        <f>IFERROR(__xludf.DUMMYFUNCTION("""COMPUTED_VALUE"""),"IMPORTEX EC")</f>
        <v>IMPORTEX EC</v>
      </c>
      <c r="AV2107" s="65" t="str">
        <f>IFERROR(__xludf.DUMMYFUNCTION("""COMPUTED_VALUE"""),"6405152079916")</f>
        <v>6405152079916</v>
      </c>
      <c r="AW2107" s="65">
        <f>IFERROR(__xludf.DUMMYFUNCTION("""COMPUTED_VALUE"""),4858.0)</f>
        <v>4858</v>
      </c>
      <c r="AX2107" s="65"/>
      <c r="AY2107" s="65" t="str">
        <f>IFERROR(__xludf.DUMMYFUNCTION("""COMPUTED_VALUE"""),"14/01/2026")</f>
        <v>14/01/2026</v>
      </c>
      <c r="AZ2107" s="65"/>
      <c r="BA2107" s="65"/>
    </row>
    <row r="2108">
      <c r="A2108" s="65" t="str">
        <f>IFERROR(__xludf.DUMMYFUNCTION("""COMPUTED_VALUE"""),"27-03-2026")</f>
        <v>27-03-2026</v>
      </c>
      <c r="B2108" s="65">
        <f>IFERROR(__xludf.DUMMYFUNCTION("""COMPUTED_VALUE"""),4097724.0)</f>
        <v>4097724</v>
      </c>
      <c r="C2108" s="65" t="str">
        <f>IFERROR(__xludf.DUMMYFUNCTION("""COMPUTED_VALUE"""),"19:19")</f>
        <v>19:19</v>
      </c>
      <c r="D2108" s="65" t="str">
        <f>IFERROR(__xludf.DUMMYFUNCTION("""COMPUTED_VALUE"""),"10-01-2026")</f>
        <v>10-01-2026</v>
      </c>
      <c r="E2108" s="65" t="str">
        <f>IFERROR(__xludf.DUMMYFUNCTION("""COMPUTED_VALUE"""),"Miguel Mora")</f>
        <v>Miguel Mora</v>
      </c>
      <c r="F2108" s="65" t="str">
        <f>IFERROR(__xludf.DUMMYFUNCTION("""COMPUTED_VALUE"""),"994540079")</f>
        <v>994540079</v>
      </c>
      <c r="G2108" s="65" t="str">
        <f>IFERROR(__xludf.DUMMYFUNCTION("""COMPUTED_VALUE"""),"miguel.iphone12@gmail.com")</f>
        <v>miguel.iphone12@gmail.com</v>
      </c>
      <c r="H2108" s="65"/>
      <c r="I2108" s="65"/>
      <c r="J2108" s="65" t="str">
        <f>IFERROR(__xludf.DUMMYFUNCTION("""COMPUTED_VALUE"""),"186964457")</f>
        <v>186964457</v>
      </c>
      <c r="K2108" s="65" t="str">
        <f>IFERROR(__xludf.DUMMYFUNCTION("""COMPUTED_VALUE"""),"ENTREGADO")</f>
        <v>ENTREGADO</v>
      </c>
      <c r="L2108" s="65" t="str">
        <f>IFERROR(__xludf.DUMMYFUNCTION("""COMPUTED_VALUE"""),"CON RECAUDO")</f>
        <v>CON RECAUDO</v>
      </c>
      <c r="M2108" s="65" t="str">
        <f>IFERROR(__xludf.DUMMYFUNCTION("""COMPUTED_VALUE"""),"LOJA")</f>
        <v>LOJA</v>
      </c>
      <c r="N2108" s="65" t="str">
        <f>IFERROR(__xludf.DUMMYFUNCTION("""COMPUTED_VALUE"""),"MACARA")</f>
        <v>MACARA</v>
      </c>
      <c r="O2108" s="65" t="str">
        <f>IFERROR(__xludf.DUMMYFUNCTION("""COMPUTED_VALUE"""),"Barrio Velasco Ibarra - Calle Cabo Sánchez y Calle Catamayo - Ref. Hospital Básico de Macará")</f>
        <v>Barrio Velasco Ibarra - Calle Cabo Sánchez y Calle Catamayo - Ref. Hospital Básico de Macará</v>
      </c>
      <c r="P2108" s="65"/>
      <c r="Q2108" s="65" t="str">
        <f>IFERROR(__xludf.DUMMYFUNCTION("""COMPUTED_VALUE"""),"SERVIENTREGA")</f>
        <v>SERVIENTREGA</v>
      </c>
      <c r="R2108" s="65">
        <f>IFERROR(__xludf.DUMMYFUNCTION("""COMPUTED_VALUE"""),27.0)</f>
        <v>27</v>
      </c>
      <c r="S2108" s="65">
        <f>IFERROR(__xludf.DUMMYFUNCTION("""COMPUTED_VALUE"""),11.43)</f>
        <v>11.43</v>
      </c>
      <c r="T2108" s="65">
        <f>IFERROR(__xludf.DUMMYFUNCTION("""COMPUTED_VALUE"""),7.77)</f>
        <v>7.77</v>
      </c>
      <c r="U2108" s="65">
        <f>IFERROR(__xludf.DUMMYFUNCTION("""COMPUTED_VALUE"""),0.0)</f>
        <v>0</v>
      </c>
      <c r="V2108" s="65">
        <f>IFERROR(__xludf.DUMMYFUNCTION("""COMPUTED_VALUE"""),0.0)</f>
        <v>0</v>
      </c>
      <c r="W2108" s="65">
        <f>IFERROR(__xludf.DUMMYFUNCTION("""COMPUTED_VALUE"""),0.0)</f>
        <v>0</v>
      </c>
      <c r="X2108" s="65">
        <f>IFERROR(__xludf.DUMMYFUNCTION("""COMPUTED_VALUE"""),2.6)</f>
        <v>2.6</v>
      </c>
      <c r="Y2108" s="65">
        <f>IFERROR(__xludf.DUMMYFUNCTION("""COMPUTED_VALUE"""),7.8)</f>
        <v>7.8</v>
      </c>
      <c r="Z2108" s="65">
        <f>IFERROR(__xludf.DUMMYFUNCTION("""COMPUTED_VALUE"""),121983.0)</f>
        <v>121983</v>
      </c>
      <c r="AA2108" s="65" t="str">
        <f>IFERROR(__xludf.DUMMYFUNCTION("""COMPUTED_VALUE"""),"PROV-CHLLCF")</f>
        <v>PROV-CHLLCF</v>
      </c>
      <c r="AB2108" s="65"/>
      <c r="AC2108" s="65" t="str">
        <f>IFERROR(__xludf.DUMMYFUNCTION("""COMPUTED_VALUE"""),"CUCHILLO PARA CHEF")</f>
        <v>CUCHILLO PARA CHEF</v>
      </c>
      <c r="AD2108" s="65"/>
      <c r="AE2108" s="65">
        <f>IFERROR(__xludf.DUMMYFUNCTION("""COMPUTED_VALUE"""),3.0)</f>
        <v>3</v>
      </c>
      <c r="AF2108" s="65"/>
      <c r="AG2108" s="65"/>
      <c r="AH2108" s="65"/>
      <c r="AI2108" s="65"/>
      <c r="AJ2108" s="65"/>
      <c r="AK2108" s="65"/>
      <c r="AL2108" s="65"/>
      <c r="AM2108" s="65"/>
      <c r="AN2108" s="65" t="str">
        <f>IFERROR(__xludf.DUMMYFUNCTION("""COMPUTED_VALUE"""),"10:23")</f>
        <v>10:23</v>
      </c>
      <c r="AO2108" s="65" t="str">
        <f>IFERROR(__xludf.DUMMYFUNCTION("""COMPUTED_VALUE"""),"05-02-2026")</f>
        <v>05-02-2026</v>
      </c>
      <c r="AP2108" s="65" t="str">
        <f>IFERROR(__xludf.DUMMYFUNCTION("""COMPUTED_VALUE"""),"REPORTADO ENTREGADO EN APP")</f>
        <v>REPORTADO ENTREGADO EN APP</v>
      </c>
      <c r="AQ2108" s="65" t="str">
        <f>IFERROR(__xludf.DUMMYFUNCTION("""COMPUTED_VALUE"""),"MIGUEL MORA")</f>
        <v>MIGUEL MORA</v>
      </c>
      <c r="AR2108" s="65"/>
      <c r="AS2108" s="65"/>
      <c r="AT2108" s="65" t="str">
        <f>IFERROR(__xludf.DUMMYFUNCTION("""COMPUTED_VALUE"""),"SHOPIFY")</f>
        <v>SHOPIFY</v>
      </c>
      <c r="AU2108" s="65" t="str">
        <f>IFERROR(__xludf.DUMMYFUNCTION("""COMPUTED_VALUE"""),"IMPORTEX EC")</f>
        <v>IMPORTEX EC</v>
      </c>
      <c r="AV2108" s="65" t="str">
        <f>IFERROR(__xludf.DUMMYFUNCTION("""COMPUTED_VALUE"""),"6405133336620")</f>
        <v>6405133336620</v>
      </c>
      <c r="AW2108" s="65">
        <f>IFERROR(__xludf.DUMMYFUNCTION("""COMPUTED_VALUE"""),4857.0)</f>
        <v>4857</v>
      </c>
      <c r="AX2108" s="65"/>
      <c r="AY2108" s="65" t="str">
        <f>IFERROR(__xludf.DUMMYFUNCTION("""COMPUTED_VALUE"""),"12/01/2026")</f>
        <v>12/01/2026</v>
      </c>
      <c r="AZ2108" s="65"/>
      <c r="BA2108" s="65"/>
    </row>
    <row r="2109">
      <c r="A2109" s="65" t="str">
        <f>IFERROR(__xludf.DUMMYFUNCTION("""COMPUTED_VALUE"""),"27-03-2026")</f>
        <v>27-03-2026</v>
      </c>
      <c r="B2109" s="65">
        <f>IFERROR(__xludf.DUMMYFUNCTION("""COMPUTED_VALUE"""),4097628.0)</f>
        <v>4097628</v>
      </c>
      <c r="C2109" s="65" t="str">
        <f>IFERROR(__xludf.DUMMYFUNCTION("""COMPUTED_VALUE"""),"19:12")</f>
        <v>19:12</v>
      </c>
      <c r="D2109" s="65" t="str">
        <f>IFERROR(__xludf.DUMMYFUNCTION("""COMPUTED_VALUE"""),"10-01-2026")</f>
        <v>10-01-2026</v>
      </c>
      <c r="E2109" s="65" t="str">
        <f>IFERROR(__xludf.DUMMYFUNCTION("""COMPUTED_VALUE"""),"Héctor Guillermo Baren Valencia")</f>
        <v>Héctor Guillermo Baren Valencia</v>
      </c>
      <c r="F2109" s="65" t="str">
        <f>IFERROR(__xludf.DUMMYFUNCTION("""COMPUTED_VALUE"""),"939076915")</f>
        <v>939076915</v>
      </c>
      <c r="G2109" s="65"/>
      <c r="H2109" s="65"/>
      <c r="I2109" s="65"/>
      <c r="J2109" s="65" t="str">
        <f>IFERROR(__xludf.DUMMYFUNCTION("""COMPUTED_VALUE"""),"D001223193")</f>
        <v>D001223193</v>
      </c>
      <c r="K2109" s="65" t="str">
        <f>IFERROR(__xludf.DUMMYFUNCTION("""COMPUTED_VALUE"""),"ENTREGADO")</f>
        <v>ENTREGADO</v>
      </c>
      <c r="L2109" s="65" t="str">
        <f>IFERROR(__xludf.DUMMYFUNCTION("""COMPUTED_VALUE"""),"CON RECAUDO")</f>
        <v>CON RECAUDO</v>
      </c>
      <c r="M2109" s="65" t="str">
        <f>IFERROR(__xludf.DUMMYFUNCTION("""COMPUTED_VALUE"""),"LOS RIOS")</f>
        <v>LOS RIOS</v>
      </c>
      <c r="N2109" s="65" t="str">
        <f>IFERROR(__xludf.DUMMYFUNCTION("""COMPUTED_VALUE"""),"BUENA FE")</f>
        <v>BUENA FE</v>
      </c>
      <c r="O2109" s="65" t="str">
        <f>IFERROR(__xludf.DUMMYFUNCTION("""COMPUTED_VALUE"""),"7 de agosto Fente del parque infantil -")</f>
        <v>7 de agosto Fente del parque infantil -</v>
      </c>
      <c r="P2109" s="65"/>
      <c r="Q2109" s="65" t="str">
        <f>IFERROR(__xludf.DUMMYFUNCTION("""COMPUTED_VALUE"""),"GINTRACOM")</f>
        <v>GINTRACOM</v>
      </c>
      <c r="R2109" s="65">
        <f>IFERROR(__xludf.DUMMYFUNCTION("""COMPUTED_VALUE"""),20.0)</f>
        <v>20</v>
      </c>
      <c r="S2109" s="65">
        <f>IFERROR(__xludf.DUMMYFUNCTION("""COMPUTED_VALUE"""),10.88)</f>
        <v>10.88</v>
      </c>
      <c r="T2109" s="65">
        <f>IFERROR(__xludf.DUMMYFUNCTION("""COMPUTED_VALUE"""),6.33)</f>
        <v>6.33</v>
      </c>
      <c r="U2109" s="65">
        <f>IFERROR(__xludf.DUMMYFUNCTION("""COMPUTED_VALUE"""),0.0)</f>
        <v>0</v>
      </c>
      <c r="V2109" s="65">
        <f>IFERROR(__xludf.DUMMYFUNCTION("""COMPUTED_VALUE"""),0.0)</f>
        <v>0</v>
      </c>
      <c r="W2109" s="65">
        <f>IFERROR(__xludf.DUMMYFUNCTION("""COMPUTED_VALUE"""),0.0)</f>
        <v>0</v>
      </c>
      <c r="X2109" s="65">
        <f>IFERROR(__xludf.DUMMYFUNCTION("""COMPUTED_VALUE"""),2.79)</f>
        <v>2.79</v>
      </c>
      <c r="Y2109" s="65">
        <f>IFERROR(__xludf.DUMMYFUNCTION("""COMPUTED_VALUE"""),2.79)</f>
        <v>2.79</v>
      </c>
      <c r="Z2109" s="65">
        <f>IFERROR(__xludf.DUMMYFUNCTION("""COMPUTED_VALUE"""),120732.0)</f>
        <v>120732</v>
      </c>
      <c r="AA2109" s="65" t="str">
        <f>IFERROR(__xludf.DUMMYFUNCTION("""COMPUTED_VALUE"""),"PROV-LMPVT")</f>
        <v>PROV-LMPVT</v>
      </c>
      <c r="AB2109" s="65"/>
      <c r="AC2109" s="65" t="str">
        <f>IFERROR(__xludf.DUMMYFUNCTION("""COMPUTED_VALUE"""),"LIMPIADOR DE PARABRISAS Y VENTANAS")</f>
        <v>LIMPIADOR DE PARABRISAS Y VENTANAS</v>
      </c>
      <c r="AD2109" s="65"/>
      <c r="AE2109" s="65">
        <f>IFERROR(__xludf.DUMMYFUNCTION("""COMPUTED_VALUE"""),1.0)</f>
        <v>1</v>
      </c>
      <c r="AF2109" s="65"/>
      <c r="AG2109" s="65"/>
      <c r="AH2109" s="65"/>
      <c r="AI2109" s="65"/>
      <c r="AJ2109" s="65"/>
      <c r="AK2109" s="65"/>
      <c r="AL2109" s="65"/>
      <c r="AM2109" s="65"/>
      <c r="AN2109" s="65" t="str">
        <f>IFERROR(__xludf.DUMMYFUNCTION("""COMPUTED_VALUE"""),"11:50")</f>
        <v>11:50</v>
      </c>
      <c r="AO2109" s="65" t="str">
        <f>IFERROR(__xludf.DUMMYFUNCTION("""COMPUTED_VALUE"""),"17-01-2026")</f>
        <v>17-01-2026</v>
      </c>
      <c r="AP2109" s="65" t="str">
        <f>IFERROR(__xludf.DUMMYFUNCTION("""COMPUTED_VALUE"""),"ENTREGADA GINTRACOM")</f>
        <v>ENTREGADA GINTRACOM</v>
      </c>
      <c r="AQ2109" s="65" t="str">
        <f>IFERROR(__xludf.DUMMYFUNCTION("""COMPUTED_VALUE"""),"ENTREGADA GINTRACOM")</f>
        <v>ENTREGADA GINTRACOM</v>
      </c>
      <c r="AR2109" s="65"/>
      <c r="AS2109" s="65"/>
      <c r="AT2109" s="65" t="str">
        <f>IFERROR(__xludf.DUMMYFUNCTION("""COMPUTED_VALUE"""),"SHOPIFY")</f>
        <v>SHOPIFY</v>
      </c>
      <c r="AU2109" s="65" t="str">
        <f>IFERROR(__xludf.DUMMYFUNCTION("""COMPUTED_VALUE"""),"IMPORTEX EC")</f>
        <v>IMPORTEX EC</v>
      </c>
      <c r="AV2109" s="65" t="str">
        <f>IFERROR(__xludf.DUMMYFUNCTION("""COMPUTED_VALUE"""),"6405109350444")</f>
        <v>6405109350444</v>
      </c>
      <c r="AW2109" s="65">
        <f>IFERROR(__xludf.DUMMYFUNCTION("""COMPUTED_VALUE"""),4856.0)</f>
        <v>4856</v>
      </c>
      <c r="AX2109" s="65"/>
      <c r="AY2109" s="65" t="str">
        <f>IFERROR(__xludf.DUMMYFUNCTION("""COMPUTED_VALUE"""),"14/01/2026")</f>
        <v>14/01/2026</v>
      </c>
      <c r="AZ2109" s="65"/>
      <c r="BA2109" s="65"/>
    </row>
    <row r="2110">
      <c r="A2110" s="65" t="str">
        <f>IFERROR(__xludf.DUMMYFUNCTION("""COMPUTED_VALUE"""),"27-03-2026")</f>
        <v>27-03-2026</v>
      </c>
      <c r="B2110" s="65">
        <f>IFERROR(__xludf.DUMMYFUNCTION("""COMPUTED_VALUE"""),4097562.0)</f>
        <v>4097562</v>
      </c>
      <c r="C2110" s="65" t="str">
        <f>IFERROR(__xludf.DUMMYFUNCTION("""COMPUTED_VALUE"""),"19:05")</f>
        <v>19:05</v>
      </c>
      <c r="D2110" s="65" t="str">
        <f>IFERROR(__xludf.DUMMYFUNCTION("""COMPUTED_VALUE"""),"10-01-2026")</f>
        <v>10-01-2026</v>
      </c>
      <c r="E2110" s="65" t="str">
        <f>IFERROR(__xludf.DUMMYFUNCTION("""COMPUTED_VALUE"""),"Milton Guerrero")</f>
        <v>Milton Guerrero</v>
      </c>
      <c r="F2110" s="65" t="str">
        <f>IFERROR(__xludf.DUMMYFUNCTION("""COMPUTED_VALUE"""),"959778650")</f>
        <v>959778650</v>
      </c>
      <c r="G2110" s="65" t="str">
        <f>IFERROR(__xludf.DUMMYFUNCTION("""COMPUTED_VALUE"""),"vinicioguerrero1990@hotmail.com")</f>
        <v>vinicioguerrero1990@hotmail.com</v>
      </c>
      <c r="H2110" s="65"/>
      <c r="I2110" s="65"/>
      <c r="J2110" s="65" t="str">
        <f>IFERROR(__xludf.DUMMYFUNCTION("""COMPUTED_VALUE"""),"186973352")</f>
        <v>186973352</v>
      </c>
      <c r="K2110" s="65" t="str">
        <f>IFERROR(__xludf.DUMMYFUNCTION("""COMPUTED_VALUE"""),"ENTREGADO")</f>
        <v>ENTREGADO</v>
      </c>
      <c r="L2110" s="65" t="str">
        <f>IFERROR(__xludf.DUMMYFUNCTION("""COMPUTED_VALUE"""),"CON RECAUDO")</f>
        <v>CON RECAUDO</v>
      </c>
      <c r="M2110" s="65" t="str">
        <f>IFERROR(__xludf.DUMMYFUNCTION("""COMPUTED_VALUE"""),"PICHINCHA")</f>
        <v>PICHINCHA</v>
      </c>
      <c r="N2110" s="65" t="str">
        <f>IFERROR(__xludf.DUMMYFUNCTION("""COMPUTED_VALUE"""),"SAN MIGUEL DE LOS BANCOS")</f>
        <v>SAN MIGUEL DE LOS BANCOS</v>
      </c>
      <c r="O2110" s="65" t="str">
        <f>IFERROR(__xludf.DUMMYFUNCTION("""COMPUTED_VALUE"""),"Av 17 de julio y Diagonal al cuerpo bomberos -")</f>
        <v>Av 17 de julio y Diagonal al cuerpo bomberos -</v>
      </c>
      <c r="P2110" s="65"/>
      <c r="Q2110" s="65" t="str">
        <f>IFERROR(__xludf.DUMMYFUNCTION("""COMPUTED_VALUE"""),"SERVIENTREGA")</f>
        <v>SERVIENTREGA</v>
      </c>
      <c r="R2110" s="65">
        <f>IFERROR(__xludf.DUMMYFUNCTION("""COMPUTED_VALUE"""),30.0)</f>
        <v>30</v>
      </c>
      <c r="S2110" s="65">
        <f>IFERROR(__xludf.DUMMYFUNCTION("""COMPUTED_VALUE"""),13.81)</f>
        <v>13.81</v>
      </c>
      <c r="T2110" s="65">
        <f>IFERROR(__xludf.DUMMYFUNCTION("""COMPUTED_VALUE"""),7.82)</f>
        <v>7.82</v>
      </c>
      <c r="U2110" s="65">
        <f>IFERROR(__xludf.DUMMYFUNCTION("""COMPUTED_VALUE"""),0.0)</f>
        <v>0</v>
      </c>
      <c r="V2110" s="65">
        <f>IFERROR(__xludf.DUMMYFUNCTION("""COMPUTED_VALUE"""),0.0)</f>
        <v>0</v>
      </c>
      <c r="W2110" s="65">
        <f>IFERROR(__xludf.DUMMYFUNCTION("""COMPUTED_VALUE"""),0.0)</f>
        <v>0</v>
      </c>
      <c r="X2110" s="65">
        <f>IFERROR(__xludf.DUMMYFUNCTION("""COMPUTED_VALUE"""),2.79)</f>
        <v>2.79</v>
      </c>
      <c r="Y2110" s="65">
        <f>IFERROR(__xludf.DUMMYFUNCTION("""COMPUTED_VALUE"""),8.37)</f>
        <v>8.37</v>
      </c>
      <c r="Z2110" s="65">
        <f>IFERROR(__xludf.DUMMYFUNCTION("""COMPUTED_VALUE"""),120732.0)</f>
        <v>120732</v>
      </c>
      <c r="AA2110" s="65" t="str">
        <f>IFERROR(__xludf.DUMMYFUNCTION("""COMPUTED_VALUE"""),"PROV-LMPVT")</f>
        <v>PROV-LMPVT</v>
      </c>
      <c r="AB2110" s="65"/>
      <c r="AC2110" s="65" t="str">
        <f>IFERROR(__xludf.DUMMYFUNCTION("""COMPUTED_VALUE"""),"LIMPIADOR DE PARABRISAS Y VENTANAS")</f>
        <v>LIMPIADOR DE PARABRISAS Y VENTANAS</v>
      </c>
      <c r="AD2110" s="65"/>
      <c r="AE2110" s="65">
        <f>IFERROR(__xludf.DUMMYFUNCTION("""COMPUTED_VALUE"""),3.0)</f>
        <v>3</v>
      </c>
      <c r="AF2110" s="65"/>
      <c r="AG2110" s="65"/>
      <c r="AH2110" s="65"/>
      <c r="AI2110" s="65"/>
      <c r="AJ2110" s="65"/>
      <c r="AK2110" s="65"/>
      <c r="AL2110" s="65"/>
      <c r="AM2110" s="65"/>
      <c r="AN2110" s="65" t="str">
        <f>IFERROR(__xludf.DUMMYFUNCTION("""COMPUTED_VALUE"""),"15:08")</f>
        <v>15:08</v>
      </c>
      <c r="AO2110" s="65" t="str">
        <f>IFERROR(__xludf.DUMMYFUNCTION("""COMPUTED_VALUE"""),"16-01-2026")</f>
        <v>16-01-2026</v>
      </c>
      <c r="AP2110" s="65" t="str">
        <f>IFERROR(__xludf.DUMMYFUNCTION("""COMPUTED_VALUE"""),"REPORTADO ENTREGADO EN APP")</f>
        <v>REPORTADO ENTREGADO EN APP</v>
      </c>
      <c r="AQ2110" s="65" t="str">
        <f>IFERROR(__xludf.DUMMYFUNCTION("""COMPUTED_VALUE"""),"MILTON GUERRERO")</f>
        <v>MILTON GUERRERO</v>
      </c>
      <c r="AR2110" s="65"/>
      <c r="AS2110" s="65"/>
      <c r="AT2110" s="65" t="str">
        <f>IFERROR(__xludf.DUMMYFUNCTION("""COMPUTED_VALUE"""),"SHOPIFY")</f>
        <v>SHOPIFY</v>
      </c>
      <c r="AU2110" s="65" t="str">
        <f>IFERROR(__xludf.DUMMYFUNCTION("""COMPUTED_VALUE"""),"IMPORTEX EC")</f>
        <v>IMPORTEX EC</v>
      </c>
      <c r="AV2110" s="65" t="str">
        <f>IFERROR(__xludf.DUMMYFUNCTION("""COMPUTED_VALUE"""),"6405094211628")</f>
        <v>6405094211628</v>
      </c>
      <c r="AW2110" s="65">
        <f>IFERROR(__xludf.DUMMYFUNCTION("""COMPUTED_VALUE"""),4855.0)</f>
        <v>4855</v>
      </c>
      <c r="AX2110" s="65"/>
      <c r="AY2110" s="65" t="str">
        <f>IFERROR(__xludf.DUMMYFUNCTION("""COMPUTED_VALUE"""),"14/01/2026")</f>
        <v>14/01/2026</v>
      </c>
      <c r="AZ2110" s="65"/>
      <c r="BA2110" s="65"/>
    </row>
    <row r="2111">
      <c r="A2111" s="65" t="str">
        <f>IFERROR(__xludf.DUMMYFUNCTION("""COMPUTED_VALUE"""),"27-03-2026")</f>
        <v>27-03-2026</v>
      </c>
      <c r="B2111" s="65">
        <f>IFERROR(__xludf.DUMMYFUNCTION("""COMPUTED_VALUE"""),4097507.0)</f>
        <v>4097507</v>
      </c>
      <c r="C2111" s="65" t="str">
        <f>IFERROR(__xludf.DUMMYFUNCTION("""COMPUTED_VALUE"""),"19:00")</f>
        <v>19:00</v>
      </c>
      <c r="D2111" s="65" t="str">
        <f>IFERROR(__xludf.DUMMYFUNCTION("""COMPUTED_VALUE"""),"10-01-2026")</f>
        <v>10-01-2026</v>
      </c>
      <c r="E2111" s="65" t="str">
        <f>IFERROR(__xludf.DUMMYFUNCTION("""COMPUTED_VALUE"""),"Fausto Sánchez")</f>
        <v>Fausto Sánchez</v>
      </c>
      <c r="F2111" s="65" t="str">
        <f>IFERROR(__xludf.DUMMYFUNCTION("""COMPUTED_VALUE"""),"999605691")</f>
        <v>999605691</v>
      </c>
      <c r="G2111" s="65" t="str">
        <f>IFERROR(__xludf.DUMMYFUNCTION("""COMPUTED_VALUE"""),"faustosanchezb@gmail.com")</f>
        <v>faustosanchezb@gmail.com</v>
      </c>
      <c r="H2111" s="65"/>
      <c r="I2111" s="65"/>
      <c r="J2111" s="65" t="str">
        <f>IFERROR(__xludf.DUMMYFUNCTION("""COMPUTED_VALUE"""),"D001223197")</f>
        <v>D001223197</v>
      </c>
      <c r="K2111" s="65" t="str">
        <f>IFERROR(__xludf.DUMMYFUNCTION("""COMPUTED_VALUE"""),"ENTREGADO")</f>
        <v>ENTREGADO</v>
      </c>
      <c r="L2111" s="65" t="str">
        <f>IFERROR(__xludf.DUMMYFUNCTION("""COMPUTED_VALUE"""),"CON RECAUDO")</f>
        <v>CON RECAUDO</v>
      </c>
      <c r="M2111" s="65" t="str">
        <f>IFERROR(__xludf.DUMMYFUNCTION("""COMPUTED_VALUE"""),"GUAYAS")</f>
        <v>GUAYAS</v>
      </c>
      <c r="N2111" s="65" t="str">
        <f>IFERROR(__xludf.DUMMYFUNCTION("""COMPUTED_VALUE"""),"GUAYAQUIL")</f>
        <v>GUAYAQUIL</v>
      </c>
      <c r="O2111" s="65" t="str">
        <f>IFERROR(__xludf.DUMMYFUNCTION("""COMPUTED_VALUE"""),"Calle panorama 823  y avenida olmos Calle sin salida -")</f>
        <v>Calle panorama 823  y avenida olmos Calle sin salida -</v>
      </c>
      <c r="P2111" s="65"/>
      <c r="Q2111" s="65" t="str">
        <f>IFERROR(__xludf.DUMMYFUNCTION("""COMPUTED_VALUE"""),"GINTRACOM")</f>
        <v>GINTRACOM</v>
      </c>
      <c r="R2111" s="65">
        <f>IFERROR(__xludf.DUMMYFUNCTION("""COMPUTED_VALUE"""),30.0)</f>
        <v>30</v>
      </c>
      <c r="S2111" s="65">
        <f>IFERROR(__xludf.DUMMYFUNCTION("""COMPUTED_VALUE"""),17.08)</f>
        <v>17.08</v>
      </c>
      <c r="T2111" s="65">
        <f>IFERROR(__xludf.DUMMYFUNCTION("""COMPUTED_VALUE"""),4.55)</f>
        <v>4.55</v>
      </c>
      <c r="U2111" s="65">
        <f>IFERROR(__xludf.DUMMYFUNCTION("""COMPUTED_VALUE"""),0.0)</f>
        <v>0</v>
      </c>
      <c r="V2111" s="65">
        <f>IFERROR(__xludf.DUMMYFUNCTION("""COMPUTED_VALUE"""),0.0)</f>
        <v>0</v>
      </c>
      <c r="W2111" s="65">
        <f>IFERROR(__xludf.DUMMYFUNCTION("""COMPUTED_VALUE"""),0.0)</f>
        <v>0</v>
      </c>
      <c r="X2111" s="65">
        <f>IFERROR(__xludf.DUMMYFUNCTION("""COMPUTED_VALUE"""),2.79)</f>
        <v>2.79</v>
      </c>
      <c r="Y2111" s="65">
        <f>IFERROR(__xludf.DUMMYFUNCTION("""COMPUTED_VALUE"""),8.37)</f>
        <v>8.37</v>
      </c>
      <c r="Z2111" s="65">
        <f>IFERROR(__xludf.DUMMYFUNCTION("""COMPUTED_VALUE"""),120732.0)</f>
        <v>120732</v>
      </c>
      <c r="AA2111" s="65" t="str">
        <f>IFERROR(__xludf.DUMMYFUNCTION("""COMPUTED_VALUE"""),"PROV-LMPVT")</f>
        <v>PROV-LMPVT</v>
      </c>
      <c r="AB2111" s="65"/>
      <c r="AC2111" s="65" t="str">
        <f>IFERROR(__xludf.DUMMYFUNCTION("""COMPUTED_VALUE"""),"LIMPIADOR DE PARABRISAS Y VENTANAS")</f>
        <v>LIMPIADOR DE PARABRISAS Y VENTANAS</v>
      </c>
      <c r="AD2111" s="65"/>
      <c r="AE2111" s="65">
        <f>IFERROR(__xludf.DUMMYFUNCTION("""COMPUTED_VALUE"""),3.0)</f>
        <v>3</v>
      </c>
      <c r="AF2111" s="65"/>
      <c r="AG2111" s="65"/>
      <c r="AH2111" s="65"/>
      <c r="AI2111" s="65"/>
      <c r="AJ2111" s="65"/>
      <c r="AK2111" s="65"/>
      <c r="AL2111" s="65"/>
      <c r="AM2111" s="65"/>
      <c r="AN2111" s="65" t="str">
        <f>IFERROR(__xludf.DUMMYFUNCTION("""COMPUTED_VALUE"""),"17:32")</f>
        <v>17:32</v>
      </c>
      <c r="AO2111" s="65" t="str">
        <f>IFERROR(__xludf.DUMMYFUNCTION("""COMPUTED_VALUE"""),"15-01-2026")</f>
        <v>15-01-2026</v>
      </c>
      <c r="AP2111" s="65" t="str">
        <f>IFERROR(__xludf.DUMMYFUNCTION("""COMPUTED_VALUE"""),"ENTREGADA GINTRACOM")</f>
        <v>ENTREGADA GINTRACOM</v>
      </c>
      <c r="AQ2111" s="65" t="str">
        <f>IFERROR(__xludf.DUMMYFUNCTION("""COMPUTED_VALUE"""),"ENTREGADA GINTRACOM")</f>
        <v>ENTREGADA GINTRACOM</v>
      </c>
      <c r="AR2111" s="65"/>
      <c r="AS2111" s="65"/>
      <c r="AT2111" s="65" t="str">
        <f>IFERROR(__xludf.DUMMYFUNCTION("""COMPUTED_VALUE"""),"SHOPIFY")</f>
        <v>SHOPIFY</v>
      </c>
      <c r="AU2111" s="65" t="str">
        <f>IFERROR(__xludf.DUMMYFUNCTION("""COMPUTED_VALUE"""),"IMPORTEX EC")</f>
        <v>IMPORTEX EC</v>
      </c>
      <c r="AV2111" s="65" t="str">
        <f>IFERROR(__xludf.DUMMYFUNCTION("""COMPUTED_VALUE"""),"6405084315692")</f>
        <v>6405084315692</v>
      </c>
      <c r="AW2111" s="65">
        <f>IFERROR(__xludf.DUMMYFUNCTION("""COMPUTED_VALUE"""),4854.0)</f>
        <v>4854</v>
      </c>
      <c r="AX2111" s="65"/>
      <c r="AY2111" s="65" t="str">
        <f>IFERROR(__xludf.DUMMYFUNCTION("""COMPUTED_VALUE"""),"14/01/2026")</f>
        <v>14/01/2026</v>
      </c>
      <c r="AZ2111" s="65"/>
      <c r="BA2111" s="65"/>
    </row>
    <row r="2112">
      <c r="A2112" s="65" t="str">
        <f>IFERROR(__xludf.DUMMYFUNCTION("""COMPUTED_VALUE"""),"27-03-2026")</f>
        <v>27-03-2026</v>
      </c>
      <c r="B2112" s="65">
        <f>IFERROR(__xludf.DUMMYFUNCTION("""COMPUTED_VALUE"""),4097492.0)</f>
        <v>4097492</v>
      </c>
      <c r="C2112" s="65" t="str">
        <f>IFERROR(__xludf.DUMMYFUNCTION("""COMPUTED_VALUE"""),"18:59")</f>
        <v>18:59</v>
      </c>
      <c r="D2112" s="65" t="str">
        <f>IFERROR(__xludf.DUMMYFUNCTION("""COMPUTED_VALUE"""),"10-01-2026")</f>
        <v>10-01-2026</v>
      </c>
      <c r="E2112" s="65" t="str">
        <f>IFERROR(__xludf.DUMMYFUNCTION("""COMPUTED_VALUE"""),"Carlos Ortega Matute")</f>
        <v>Carlos Ortega Matute</v>
      </c>
      <c r="F2112" s="65" t="str">
        <f>IFERROR(__xludf.DUMMYFUNCTION("""COMPUTED_VALUE"""),"0983332875")</f>
        <v>0983332875</v>
      </c>
      <c r="G2112" s="65" t="str">
        <f>IFERROR(__xludf.DUMMYFUNCTION("""COMPUTED_VALUE"""),"carlosrubortmat53@hotmail.com")</f>
        <v>carlosrubortmat53@hotmail.com</v>
      </c>
      <c r="H2112" s="65"/>
      <c r="I2112" s="65"/>
      <c r="J2112" s="65" t="str">
        <f>IFERROR(__xludf.DUMMYFUNCTION("""COMPUTED_VALUE"""),"D001215544")</f>
        <v>D001215544</v>
      </c>
      <c r="K2112" s="65" t="str">
        <f>IFERROR(__xludf.DUMMYFUNCTION("""COMPUTED_VALUE"""),"ENTREGADO")</f>
        <v>ENTREGADO</v>
      </c>
      <c r="L2112" s="65" t="str">
        <f>IFERROR(__xludf.DUMMYFUNCTION("""COMPUTED_VALUE"""),"CON RECAUDO")</f>
        <v>CON RECAUDO</v>
      </c>
      <c r="M2112" s="65" t="str">
        <f>IFERROR(__xludf.DUMMYFUNCTION("""COMPUTED_VALUE"""),"CAÑAR")</f>
        <v>CAÑAR</v>
      </c>
      <c r="N2112" s="65" t="str">
        <f>IFERROR(__xludf.DUMMYFUNCTION("""COMPUTED_VALUE"""),"CAÑAR")</f>
        <v>CAÑAR</v>
      </c>
      <c r="O2112" s="65" t="str">
        <f>IFERROR(__xludf.DUMMYFUNCTION("""COMPUTED_VALUE"""),"Calle Quilliganes y Avenida Colón")</f>
        <v>Calle Quilliganes y Avenida Colón</v>
      </c>
      <c r="P2112" s="65" t="str">
        <f>IFERROR(__xludf.DUMMYFUNCTION("""COMPUTED_VALUE"""),"LIMPIADOR DE PARABRISAS Y VENTANAS: Default Title ***")</f>
        <v>LIMPIADOR DE PARABRISAS Y VENTANAS: Default Title ***</v>
      </c>
      <c r="Q2112" s="65" t="str">
        <f>IFERROR(__xludf.DUMMYFUNCTION("""COMPUTED_VALUE"""),"GINTRACOM")</f>
        <v>GINTRACOM</v>
      </c>
      <c r="R2112" s="65">
        <f>IFERROR(__xludf.DUMMYFUNCTION("""COMPUTED_VALUE"""),20.0)</f>
        <v>20</v>
      </c>
      <c r="S2112" s="65">
        <f>IFERROR(__xludf.DUMMYFUNCTION("""COMPUTED_VALUE"""),11.45)</f>
        <v>11.45</v>
      </c>
      <c r="T2112" s="65">
        <f>IFERROR(__xludf.DUMMYFUNCTION("""COMPUTED_VALUE"""),5.76)</f>
        <v>5.76</v>
      </c>
      <c r="U2112" s="65">
        <f>IFERROR(__xludf.DUMMYFUNCTION("""COMPUTED_VALUE"""),0.0)</f>
        <v>0</v>
      </c>
      <c r="V2112" s="65">
        <f>IFERROR(__xludf.DUMMYFUNCTION("""COMPUTED_VALUE"""),0.0)</f>
        <v>0</v>
      </c>
      <c r="W2112" s="65">
        <f>IFERROR(__xludf.DUMMYFUNCTION("""COMPUTED_VALUE"""),0.0)</f>
        <v>0</v>
      </c>
      <c r="X2112" s="65">
        <f>IFERROR(__xludf.DUMMYFUNCTION("""COMPUTED_VALUE"""),2.79)</f>
        <v>2.79</v>
      </c>
      <c r="Y2112" s="65">
        <f>IFERROR(__xludf.DUMMYFUNCTION("""COMPUTED_VALUE"""),2.79)</f>
        <v>2.79</v>
      </c>
      <c r="Z2112" s="65">
        <f>IFERROR(__xludf.DUMMYFUNCTION("""COMPUTED_VALUE"""),120732.0)</f>
        <v>120732</v>
      </c>
      <c r="AA2112" s="65" t="str">
        <f>IFERROR(__xludf.DUMMYFUNCTION("""COMPUTED_VALUE"""),"PROV-LMPVT")</f>
        <v>PROV-LMPVT</v>
      </c>
      <c r="AB2112" s="65"/>
      <c r="AC2112" s="65" t="str">
        <f>IFERROR(__xludf.DUMMYFUNCTION("""COMPUTED_VALUE"""),"LIMPIADOR DE PARABRISAS Y VENTANAS")</f>
        <v>LIMPIADOR DE PARABRISAS Y VENTANAS</v>
      </c>
      <c r="AD2112" s="65"/>
      <c r="AE2112" s="65">
        <f>IFERROR(__xludf.DUMMYFUNCTION("""COMPUTED_VALUE"""),1.0)</f>
        <v>1</v>
      </c>
      <c r="AF2112" s="65"/>
      <c r="AG2112" s="65"/>
      <c r="AH2112" s="65"/>
      <c r="AI2112" s="65"/>
      <c r="AJ2112" s="65"/>
      <c r="AK2112" s="65"/>
      <c r="AL2112" s="65"/>
      <c r="AM2112" s="65"/>
      <c r="AN2112" s="65" t="str">
        <f>IFERROR(__xludf.DUMMYFUNCTION("""COMPUTED_VALUE"""),"15:19")</f>
        <v>15:19</v>
      </c>
      <c r="AO2112" s="65" t="str">
        <f>IFERROR(__xludf.DUMMYFUNCTION("""COMPUTED_VALUE"""),"16-01-2026")</f>
        <v>16-01-2026</v>
      </c>
      <c r="AP2112" s="65" t="str">
        <f>IFERROR(__xludf.DUMMYFUNCTION("""COMPUTED_VALUE"""),"ENTREGADA GINTRACOM")</f>
        <v>ENTREGADA GINTRACOM</v>
      </c>
      <c r="AQ2112" s="65" t="str">
        <f>IFERROR(__xludf.DUMMYFUNCTION("""COMPUTED_VALUE"""),"ENTREGADA GINTRACOM")</f>
        <v>ENTREGADA GINTRACOM</v>
      </c>
      <c r="AR2112" s="65"/>
      <c r="AS2112" s="65"/>
      <c r="AT2112" s="65" t="str">
        <f>IFERROR(__xludf.DUMMYFUNCTION("""COMPUTED_VALUE"""),"SHOPIFY")</f>
        <v>SHOPIFY</v>
      </c>
      <c r="AU2112" s="65" t="str">
        <f>IFERROR(__xludf.DUMMYFUNCTION("""COMPUTED_VALUE"""),"IMPORTEX EC")</f>
        <v>IMPORTEX EC</v>
      </c>
      <c r="AV2112" s="65" t="str">
        <f>IFERROR(__xludf.DUMMYFUNCTION("""COMPUTED_VALUE"""),"6405078614060")</f>
        <v>6405078614060</v>
      </c>
      <c r="AW2112" s="65">
        <f>IFERROR(__xludf.DUMMYFUNCTION("""COMPUTED_VALUE"""),4853.0)</f>
        <v>4853</v>
      </c>
      <c r="AX2112" s="65"/>
      <c r="AY2112" s="65" t="str">
        <f>IFERROR(__xludf.DUMMYFUNCTION("""COMPUTED_VALUE"""),"12/01/2026")</f>
        <v>12/01/2026</v>
      </c>
      <c r="AZ2112" s="65"/>
      <c r="BA2112" s="65"/>
    </row>
    <row r="2113">
      <c r="A2113" s="65" t="str">
        <f>IFERROR(__xludf.DUMMYFUNCTION("""COMPUTED_VALUE"""),"27-03-2026")</f>
        <v>27-03-2026</v>
      </c>
      <c r="B2113" s="65">
        <f>IFERROR(__xludf.DUMMYFUNCTION("""COMPUTED_VALUE"""),4097456.0)</f>
        <v>4097456</v>
      </c>
      <c r="C2113" s="65" t="str">
        <f>IFERROR(__xludf.DUMMYFUNCTION("""COMPUTED_VALUE"""),"18:55")</f>
        <v>18:55</v>
      </c>
      <c r="D2113" s="65" t="str">
        <f>IFERROR(__xludf.DUMMYFUNCTION("""COMPUTED_VALUE"""),"10-01-2026")</f>
        <v>10-01-2026</v>
      </c>
      <c r="E2113" s="65" t="str">
        <f>IFERROR(__xludf.DUMMYFUNCTION("""COMPUTED_VALUE"""),"Jose arturo Zambrano molina")</f>
        <v>Jose arturo Zambrano molina</v>
      </c>
      <c r="F2113" s="65" t="str">
        <f>IFERROR(__xludf.DUMMYFUNCTION("""COMPUTED_VALUE"""),"982717025")</f>
        <v>982717025</v>
      </c>
      <c r="G2113" s="65" t="str">
        <f>IFERROR(__xludf.DUMMYFUNCTION("""COMPUTED_VALUE"""),"josearturozambranomolina@gmail.com")</f>
        <v>josearturozambranomolina@gmail.com</v>
      </c>
      <c r="H2113" s="65"/>
      <c r="I2113" s="65"/>
      <c r="J2113" s="65" t="str">
        <f>IFERROR(__xludf.DUMMYFUNCTION("""COMPUTED_VALUE"""),"186973354")</f>
        <v>186973354</v>
      </c>
      <c r="K2113" s="65" t="str">
        <f>IFERROR(__xludf.DUMMYFUNCTION("""COMPUTED_VALUE"""),"ENTREGADO")</f>
        <v>ENTREGADO</v>
      </c>
      <c r="L2113" s="65" t="str">
        <f>IFERROR(__xludf.DUMMYFUNCTION("""COMPUTED_VALUE"""),"CON RECAUDO")</f>
        <v>CON RECAUDO</v>
      </c>
      <c r="M2113" s="65" t="str">
        <f>IFERROR(__xludf.DUMMYFUNCTION("""COMPUTED_VALUE"""),"MANABI")</f>
        <v>MANABI</v>
      </c>
      <c r="N2113" s="65" t="str">
        <f>IFERROR(__xludf.DUMMYFUNCTION("""COMPUTED_VALUE"""),"SAN VICENTE")</f>
        <v>SAN VICENTE</v>
      </c>
      <c r="O2113" s="65" t="str">
        <f>IFERROR(__xludf.DUMMYFUNCTION("""COMPUTED_VALUE"""),"Centro comercial mi tienda Via san isidro Céntrico comercial terminal de san vicente -")</f>
        <v>Centro comercial mi tienda Via san isidro Céntrico comercial terminal de san vicente -</v>
      </c>
      <c r="P2113" s="65"/>
      <c r="Q2113" s="65" t="str">
        <f>IFERROR(__xludf.DUMMYFUNCTION("""COMPUTED_VALUE"""),"SERVIENTREGA")</f>
        <v>SERVIENTREGA</v>
      </c>
      <c r="R2113" s="65">
        <f>IFERROR(__xludf.DUMMYFUNCTION("""COMPUTED_VALUE"""),25.0)</f>
        <v>25</v>
      </c>
      <c r="S2113" s="65">
        <f>IFERROR(__xludf.DUMMYFUNCTION("""COMPUTED_VALUE"""),11.67)</f>
        <v>11.67</v>
      </c>
      <c r="T2113" s="65">
        <f>IFERROR(__xludf.DUMMYFUNCTION("""COMPUTED_VALUE"""),7.75)</f>
        <v>7.75</v>
      </c>
      <c r="U2113" s="65">
        <f>IFERROR(__xludf.DUMMYFUNCTION("""COMPUTED_VALUE"""),0.0)</f>
        <v>0</v>
      </c>
      <c r="V2113" s="65">
        <f>IFERROR(__xludf.DUMMYFUNCTION("""COMPUTED_VALUE"""),0.0)</f>
        <v>0</v>
      </c>
      <c r="W2113" s="65">
        <f>IFERROR(__xludf.DUMMYFUNCTION("""COMPUTED_VALUE"""),0.0)</f>
        <v>0</v>
      </c>
      <c r="X2113" s="65">
        <f>IFERROR(__xludf.DUMMYFUNCTION("""COMPUTED_VALUE"""),2.79)</f>
        <v>2.79</v>
      </c>
      <c r="Y2113" s="65">
        <f>IFERROR(__xludf.DUMMYFUNCTION("""COMPUTED_VALUE"""),5.58)</f>
        <v>5.58</v>
      </c>
      <c r="Z2113" s="65">
        <f>IFERROR(__xludf.DUMMYFUNCTION("""COMPUTED_VALUE"""),120732.0)</f>
        <v>120732</v>
      </c>
      <c r="AA2113" s="65" t="str">
        <f>IFERROR(__xludf.DUMMYFUNCTION("""COMPUTED_VALUE"""),"PROV-LMPVT")</f>
        <v>PROV-LMPVT</v>
      </c>
      <c r="AB2113" s="65"/>
      <c r="AC2113" s="65" t="str">
        <f>IFERROR(__xludf.DUMMYFUNCTION("""COMPUTED_VALUE"""),"LIMPIADOR DE PARABRISAS Y VENTANAS")</f>
        <v>LIMPIADOR DE PARABRISAS Y VENTANAS</v>
      </c>
      <c r="AD2113" s="65"/>
      <c r="AE2113" s="65">
        <f>IFERROR(__xludf.DUMMYFUNCTION("""COMPUTED_VALUE"""),2.0)</f>
        <v>2</v>
      </c>
      <c r="AF2113" s="65"/>
      <c r="AG2113" s="65"/>
      <c r="AH2113" s="65"/>
      <c r="AI2113" s="65"/>
      <c r="AJ2113" s="65"/>
      <c r="AK2113" s="65"/>
      <c r="AL2113" s="65"/>
      <c r="AM2113" s="65"/>
      <c r="AN2113" s="65" t="str">
        <f>IFERROR(__xludf.DUMMYFUNCTION("""COMPUTED_VALUE"""),"14:06")</f>
        <v>14:06</v>
      </c>
      <c r="AO2113" s="65" t="str">
        <f>IFERROR(__xludf.DUMMYFUNCTION("""COMPUTED_VALUE"""),"29-01-2026")</f>
        <v>29-01-2026</v>
      </c>
      <c r="AP2113" s="65" t="str">
        <f>IFERROR(__xludf.DUMMYFUNCTION("""COMPUTED_VALUE"""),"ENTREGA DIGITALIZADA EN CENTRO LOGISTICO")</f>
        <v>ENTREGA DIGITALIZADA EN CENTRO LOGISTICO</v>
      </c>
      <c r="AQ2113" s="65" t="str">
        <f>IFERROR(__xludf.DUMMYFUNCTION("""COMPUTED_VALUE"""),"RAMON COELLO")</f>
        <v>RAMON COELLO</v>
      </c>
      <c r="AR2113" s="65"/>
      <c r="AS2113" s="65"/>
      <c r="AT2113" s="65" t="str">
        <f>IFERROR(__xludf.DUMMYFUNCTION("""COMPUTED_VALUE"""),"SHOPIFY")</f>
        <v>SHOPIFY</v>
      </c>
      <c r="AU2113" s="65" t="str">
        <f>IFERROR(__xludf.DUMMYFUNCTION("""COMPUTED_VALUE"""),"IMPORTEX EC")</f>
        <v>IMPORTEX EC</v>
      </c>
      <c r="AV2113" s="65" t="str">
        <f>IFERROR(__xludf.DUMMYFUNCTION("""COMPUTED_VALUE"""),"6405074157612")</f>
        <v>6405074157612</v>
      </c>
      <c r="AW2113" s="65">
        <f>IFERROR(__xludf.DUMMYFUNCTION("""COMPUTED_VALUE"""),4852.0)</f>
        <v>4852</v>
      </c>
      <c r="AX2113" s="65"/>
      <c r="AY2113" s="65" t="str">
        <f>IFERROR(__xludf.DUMMYFUNCTION("""COMPUTED_VALUE"""),"14/01/2026")</f>
        <v>14/01/2026</v>
      </c>
      <c r="AZ2113" s="65"/>
      <c r="BA2113" s="65"/>
    </row>
    <row r="2114">
      <c r="A2114" s="65" t="str">
        <f>IFERROR(__xludf.DUMMYFUNCTION("""COMPUTED_VALUE"""),"27-03-2026")</f>
        <v>27-03-2026</v>
      </c>
      <c r="B2114" s="65">
        <f>IFERROR(__xludf.DUMMYFUNCTION("""COMPUTED_VALUE"""),4097388.0)</f>
        <v>4097388</v>
      </c>
      <c r="C2114" s="65" t="str">
        <f>IFERROR(__xludf.DUMMYFUNCTION("""COMPUTED_VALUE"""),"18:48")</f>
        <v>18:48</v>
      </c>
      <c r="D2114" s="65" t="str">
        <f>IFERROR(__xludf.DUMMYFUNCTION("""COMPUTED_VALUE"""),"10-01-2026")</f>
        <v>10-01-2026</v>
      </c>
      <c r="E2114" s="65" t="str">
        <f>IFERROR(__xludf.DUMMYFUNCTION("""COMPUTED_VALUE"""),"Mery Pesantez")</f>
        <v>Mery Pesantez</v>
      </c>
      <c r="F2114" s="65" t="str">
        <f>IFERROR(__xludf.DUMMYFUNCTION("""COMPUTED_VALUE"""),"969828511")</f>
        <v>969828511</v>
      </c>
      <c r="G2114" s="65" t="str">
        <f>IFERROR(__xludf.DUMMYFUNCTION("""COMPUTED_VALUE"""),"pesantezrosmery.rp@gmail.com")</f>
        <v>pesantezrosmery.rp@gmail.com</v>
      </c>
      <c r="H2114" s="65"/>
      <c r="I2114" s="65"/>
      <c r="J2114" s="65"/>
      <c r="K2114" s="65" t="str">
        <f>IFERROR(__xludf.DUMMYFUNCTION("""COMPUTED_VALUE"""),"CANCELADO")</f>
        <v>CANCELADO</v>
      </c>
      <c r="L2114" s="65" t="str">
        <f>IFERROR(__xludf.DUMMYFUNCTION("""COMPUTED_VALUE"""),"CON RECAUDO")</f>
        <v>CON RECAUDO</v>
      </c>
      <c r="M2114" s="65" t="str">
        <f>IFERROR(__xludf.DUMMYFUNCTION("""COMPUTED_VALUE"""),"MORONA SANTIAGO")</f>
        <v>MORONA SANTIAGO</v>
      </c>
      <c r="N2114" s="65" t="str">
        <f>IFERROR(__xludf.DUMMYFUNCTION("""COMPUTED_VALUE"""),"SUCUA")</f>
        <v>SUCUA</v>
      </c>
      <c r="O2114" s="65" t="str">
        <f>IFERROR(__xludf.DUMMYFUNCTION("""COMPUTED_VALUE"""),"Edmundo Carvajal 8 de diciembre -")</f>
        <v>Edmundo Carvajal 8 de diciembre -</v>
      </c>
      <c r="P2114" s="65"/>
      <c r="Q2114" s="65" t="str">
        <f>IFERROR(__xludf.DUMMYFUNCTION("""COMPUTED_VALUE"""),"SERVIENTREGA")</f>
        <v>SERVIENTREGA</v>
      </c>
      <c r="R2114" s="65">
        <f>IFERROR(__xludf.DUMMYFUNCTION("""COMPUTED_VALUE"""),25.0)</f>
        <v>25</v>
      </c>
      <c r="S2114" s="65"/>
      <c r="T2114" s="65">
        <f>IFERROR(__xludf.DUMMYFUNCTION("""COMPUTED_VALUE"""),7.75)</f>
        <v>7.75</v>
      </c>
      <c r="U2114" s="65">
        <f>IFERROR(__xludf.DUMMYFUNCTION("""COMPUTED_VALUE"""),0.0)</f>
        <v>0</v>
      </c>
      <c r="V2114" s="65">
        <f>IFERROR(__xludf.DUMMYFUNCTION("""COMPUTED_VALUE"""),0.0)</f>
        <v>0</v>
      </c>
      <c r="W2114" s="65">
        <f>IFERROR(__xludf.DUMMYFUNCTION("""COMPUTED_VALUE"""),0.0)</f>
        <v>0</v>
      </c>
      <c r="X2114" s="65">
        <f>IFERROR(__xludf.DUMMYFUNCTION("""COMPUTED_VALUE"""),2.79)</f>
        <v>2.79</v>
      </c>
      <c r="Y2114" s="65">
        <f>IFERROR(__xludf.DUMMYFUNCTION("""COMPUTED_VALUE"""),5.58)</f>
        <v>5.58</v>
      </c>
      <c r="Z2114" s="65">
        <f>IFERROR(__xludf.DUMMYFUNCTION("""COMPUTED_VALUE"""),120732.0)</f>
        <v>120732</v>
      </c>
      <c r="AA2114" s="65" t="str">
        <f>IFERROR(__xludf.DUMMYFUNCTION("""COMPUTED_VALUE"""),"PROV-LMPVT")</f>
        <v>PROV-LMPVT</v>
      </c>
      <c r="AB2114" s="65"/>
      <c r="AC2114" s="65" t="str">
        <f>IFERROR(__xludf.DUMMYFUNCTION("""COMPUTED_VALUE"""),"LIMPIADOR DE PARABRISAS Y VENTANAS")</f>
        <v>LIMPIADOR DE PARABRISAS Y VENTANAS</v>
      </c>
      <c r="AD2114" s="65"/>
      <c r="AE2114" s="65">
        <f>IFERROR(__xludf.DUMMYFUNCTION("""COMPUTED_VALUE"""),2.0)</f>
        <v>2</v>
      </c>
      <c r="AF2114" s="65"/>
      <c r="AG2114" s="65"/>
      <c r="AH2114" s="65"/>
      <c r="AI2114" s="65"/>
      <c r="AJ2114" s="65"/>
      <c r="AK2114" s="65"/>
      <c r="AL2114" s="65"/>
      <c r="AM2114" s="65"/>
      <c r="AN2114" s="65"/>
      <c r="AO2114" s="65"/>
      <c r="AP2114" s="65"/>
      <c r="AQ2114" s="65"/>
      <c r="AR2114" s="65"/>
      <c r="AS2114" s="65"/>
      <c r="AT2114" s="65" t="str">
        <f>IFERROR(__xludf.DUMMYFUNCTION("""COMPUTED_VALUE"""),"SHOPIFY")</f>
        <v>SHOPIFY</v>
      </c>
      <c r="AU2114" s="65" t="str">
        <f>IFERROR(__xludf.DUMMYFUNCTION("""COMPUTED_VALUE"""),"IMPORTEX EC")</f>
        <v>IMPORTEX EC</v>
      </c>
      <c r="AV2114" s="65" t="str">
        <f>IFERROR(__xludf.DUMMYFUNCTION("""COMPUTED_VALUE"""),"6405060132908")</f>
        <v>6405060132908</v>
      </c>
      <c r="AW2114" s="65">
        <f>IFERROR(__xludf.DUMMYFUNCTION("""COMPUTED_VALUE"""),4851.0)</f>
        <v>4851</v>
      </c>
      <c r="AX2114" s="65"/>
      <c r="AY2114" s="65"/>
      <c r="AZ2114" s="65"/>
      <c r="BA2114" s="65"/>
    </row>
    <row r="2115">
      <c r="A2115" s="65" t="str">
        <f>IFERROR(__xludf.DUMMYFUNCTION("""COMPUTED_VALUE"""),"27-03-2026")</f>
        <v>27-03-2026</v>
      </c>
      <c r="B2115" s="65">
        <f>IFERROR(__xludf.DUMMYFUNCTION("""COMPUTED_VALUE"""),4097316.0)</f>
        <v>4097316</v>
      </c>
      <c r="C2115" s="65" t="str">
        <f>IFERROR(__xludf.DUMMYFUNCTION("""COMPUTED_VALUE"""),"18:41")</f>
        <v>18:41</v>
      </c>
      <c r="D2115" s="65" t="str">
        <f>IFERROR(__xludf.DUMMYFUNCTION("""COMPUTED_VALUE"""),"10-01-2026")</f>
        <v>10-01-2026</v>
      </c>
      <c r="E2115" s="65" t="str">
        <f>IFERROR(__xludf.DUMMYFUNCTION("""COMPUTED_VALUE"""),"Consuelo Pensilbania Galarza Vera")</f>
        <v>Consuelo Pensilbania Galarza Vera</v>
      </c>
      <c r="F2115" s="65" t="str">
        <f>IFERROR(__xludf.DUMMYFUNCTION("""COMPUTED_VALUE"""),"991775885")</f>
        <v>991775885</v>
      </c>
      <c r="G2115" s="65" t="str">
        <f>IFERROR(__xludf.DUMMYFUNCTION("""COMPUTED_VALUE"""),"pensilb@hotmail.com")</f>
        <v>pensilb@hotmail.com</v>
      </c>
      <c r="H2115" s="65"/>
      <c r="I2115" s="65"/>
      <c r="J2115" s="65" t="str">
        <f>IFERROR(__xludf.DUMMYFUNCTION("""COMPUTED_VALUE"""),"D001223200")</f>
        <v>D001223200</v>
      </c>
      <c r="K2115" s="65" t="str">
        <f>IFERROR(__xludf.DUMMYFUNCTION("""COMPUTED_VALUE"""),"ENTREGADO")</f>
        <v>ENTREGADO</v>
      </c>
      <c r="L2115" s="65" t="str">
        <f>IFERROR(__xludf.DUMMYFUNCTION("""COMPUTED_VALUE"""),"CON RECAUDO")</f>
        <v>CON RECAUDO</v>
      </c>
      <c r="M2115" s="65" t="str">
        <f>IFERROR(__xludf.DUMMYFUNCTION("""COMPUTED_VALUE"""),"LOS RIOS")</f>
        <v>LOS RIOS</v>
      </c>
      <c r="N2115" s="65" t="str">
        <f>IFERROR(__xludf.DUMMYFUNCTION("""COMPUTED_VALUE"""),"QUEVEDO")</f>
        <v>QUEVEDO</v>
      </c>
      <c r="O2115" s="65" t="str">
        <f>IFERROR(__xludf.DUMMYFUNCTION("""COMPUTED_VALUE"""),"Avenida jose joaquin de olmedo Brasil # 400 esquina junto al Hospital basico la cigueña -")</f>
        <v>Avenida jose joaquin de olmedo Brasil # 400 esquina junto al Hospital basico la cigueña -</v>
      </c>
      <c r="P2115" s="65"/>
      <c r="Q2115" s="65" t="str">
        <f>IFERROR(__xludf.DUMMYFUNCTION("""COMPUTED_VALUE"""),"GINTRACOM")</f>
        <v>GINTRACOM</v>
      </c>
      <c r="R2115" s="65">
        <f>IFERROR(__xludf.DUMMYFUNCTION("""COMPUTED_VALUE"""),27.0)</f>
        <v>27</v>
      </c>
      <c r="S2115" s="65">
        <f>IFERROR(__xludf.DUMMYFUNCTION("""COMPUTED_VALUE"""),13.17)</f>
        <v>13.17</v>
      </c>
      <c r="T2115" s="65">
        <f>IFERROR(__xludf.DUMMYFUNCTION("""COMPUTED_VALUE"""),6.03)</f>
        <v>6.03</v>
      </c>
      <c r="U2115" s="65">
        <f>IFERROR(__xludf.DUMMYFUNCTION("""COMPUTED_VALUE"""),0.0)</f>
        <v>0</v>
      </c>
      <c r="V2115" s="65">
        <f>IFERROR(__xludf.DUMMYFUNCTION("""COMPUTED_VALUE"""),0.0)</f>
        <v>0</v>
      </c>
      <c r="W2115" s="65">
        <f>IFERROR(__xludf.DUMMYFUNCTION("""COMPUTED_VALUE"""),0.0)</f>
        <v>0</v>
      </c>
      <c r="X2115" s="65">
        <f>IFERROR(__xludf.DUMMYFUNCTION("""COMPUTED_VALUE"""),2.6)</f>
        <v>2.6</v>
      </c>
      <c r="Y2115" s="65">
        <f>IFERROR(__xludf.DUMMYFUNCTION("""COMPUTED_VALUE"""),7.8)</f>
        <v>7.8</v>
      </c>
      <c r="Z2115" s="65">
        <f>IFERROR(__xludf.DUMMYFUNCTION("""COMPUTED_VALUE"""),121983.0)</f>
        <v>121983</v>
      </c>
      <c r="AA2115" s="65" t="str">
        <f>IFERROR(__xludf.DUMMYFUNCTION("""COMPUTED_VALUE"""),"PROV-CHLLCF")</f>
        <v>PROV-CHLLCF</v>
      </c>
      <c r="AB2115" s="65"/>
      <c r="AC2115" s="65" t="str">
        <f>IFERROR(__xludf.DUMMYFUNCTION("""COMPUTED_VALUE"""),"CUCHILLO PARA CHEF")</f>
        <v>CUCHILLO PARA CHEF</v>
      </c>
      <c r="AD2115" s="65"/>
      <c r="AE2115" s="65">
        <f>IFERROR(__xludf.DUMMYFUNCTION("""COMPUTED_VALUE"""),3.0)</f>
        <v>3</v>
      </c>
      <c r="AF2115" s="65"/>
      <c r="AG2115" s="65"/>
      <c r="AH2115" s="65"/>
      <c r="AI2115" s="65"/>
      <c r="AJ2115" s="65"/>
      <c r="AK2115" s="65"/>
      <c r="AL2115" s="65"/>
      <c r="AM2115" s="65"/>
      <c r="AN2115" s="65" t="str">
        <f>IFERROR(__xludf.DUMMYFUNCTION("""COMPUTED_VALUE"""),"12:46")</f>
        <v>12:46</v>
      </c>
      <c r="AO2115" s="65" t="str">
        <f>IFERROR(__xludf.DUMMYFUNCTION("""COMPUTED_VALUE"""),"16-01-2026")</f>
        <v>16-01-2026</v>
      </c>
      <c r="AP2115" s="65" t="str">
        <f>IFERROR(__xludf.DUMMYFUNCTION("""COMPUTED_VALUE"""),"ENTREGADA GINTRACOM")</f>
        <v>ENTREGADA GINTRACOM</v>
      </c>
      <c r="AQ2115" s="65" t="str">
        <f>IFERROR(__xludf.DUMMYFUNCTION("""COMPUTED_VALUE"""),"ENTREGADA GINTRACOM")</f>
        <v>ENTREGADA GINTRACOM</v>
      </c>
      <c r="AR2115" s="65"/>
      <c r="AS2115" s="65"/>
      <c r="AT2115" s="65" t="str">
        <f>IFERROR(__xludf.DUMMYFUNCTION("""COMPUTED_VALUE"""),"SHOPIFY")</f>
        <v>SHOPIFY</v>
      </c>
      <c r="AU2115" s="65" t="str">
        <f>IFERROR(__xludf.DUMMYFUNCTION("""COMPUTED_VALUE"""),"IMPORTEX EC")</f>
        <v>IMPORTEX EC</v>
      </c>
      <c r="AV2115" s="65" t="str">
        <f>IFERROR(__xludf.DUMMYFUNCTION("""COMPUTED_VALUE"""),"6405044011052")</f>
        <v>6405044011052</v>
      </c>
      <c r="AW2115" s="65">
        <f>IFERROR(__xludf.DUMMYFUNCTION("""COMPUTED_VALUE"""),4850.0)</f>
        <v>4850</v>
      </c>
      <c r="AX2115" s="65"/>
      <c r="AY2115" s="65" t="str">
        <f>IFERROR(__xludf.DUMMYFUNCTION("""COMPUTED_VALUE"""),"14/01/2026")</f>
        <v>14/01/2026</v>
      </c>
      <c r="AZ2115" s="65"/>
      <c r="BA2115" s="65"/>
    </row>
    <row r="2116">
      <c r="A2116" s="65" t="str">
        <f>IFERROR(__xludf.DUMMYFUNCTION("""COMPUTED_VALUE"""),"27-03-2026")</f>
        <v>27-03-2026</v>
      </c>
      <c r="B2116" s="65">
        <f>IFERROR(__xludf.DUMMYFUNCTION("""COMPUTED_VALUE"""),4097126.0)</f>
        <v>4097126</v>
      </c>
      <c r="C2116" s="65" t="str">
        <f>IFERROR(__xludf.DUMMYFUNCTION("""COMPUTED_VALUE"""),"18:17")</f>
        <v>18:17</v>
      </c>
      <c r="D2116" s="65" t="str">
        <f>IFERROR(__xludf.DUMMYFUNCTION("""COMPUTED_VALUE"""),"10-01-2026")</f>
        <v>10-01-2026</v>
      </c>
      <c r="E2116" s="65" t="str">
        <f>IFERROR(__xludf.DUMMYFUNCTION("""COMPUTED_VALUE"""),"Oscar Osvaldo Asas Landa")</f>
        <v>Oscar Osvaldo Asas Landa</v>
      </c>
      <c r="F2116" s="65" t="str">
        <f>IFERROR(__xludf.DUMMYFUNCTION("""COMPUTED_VALUE"""),"983168625")</f>
        <v>983168625</v>
      </c>
      <c r="G2116" s="65" t="str">
        <f>IFERROR(__xludf.DUMMYFUNCTION("""COMPUTED_VALUE"""),"asaslandaoscar@gmail.com")</f>
        <v>asaslandaoscar@gmail.com</v>
      </c>
      <c r="H2116" s="65"/>
      <c r="I2116" s="65"/>
      <c r="J2116" s="65" t="str">
        <f>IFERROR(__xludf.DUMMYFUNCTION("""COMPUTED_VALUE"""),"D001223203")</f>
        <v>D001223203</v>
      </c>
      <c r="K2116" s="65" t="str">
        <f>IFERROR(__xludf.DUMMYFUNCTION("""COMPUTED_VALUE"""),"ENTREGADO")</f>
        <v>ENTREGADO</v>
      </c>
      <c r="L2116" s="65" t="str">
        <f>IFERROR(__xludf.DUMMYFUNCTION("""COMPUTED_VALUE"""),"CON RECAUDO")</f>
        <v>CON RECAUDO</v>
      </c>
      <c r="M2116" s="65" t="str">
        <f>IFERROR(__xludf.DUMMYFUNCTION("""COMPUTED_VALUE"""),"TUNGURAHUA")</f>
        <v>TUNGURAHUA</v>
      </c>
      <c r="N2116" s="65" t="str">
        <f>IFERROR(__xludf.DUMMYFUNCTION("""COMPUTED_VALUE"""),"AMBATO")</f>
        <v>AMBATO</v>
      </c>
      <c r="O2116" s="65" t="str">
        <f>IFERROR(__xludf.DUMMYFUNCTION("""COMPUTED_VALUE"""),"Av. Bolivariana y Paltacalo Ambato -  FRENTE AL POLIDEPORTIVO IVAN VALLEJO...COMERCIAL PAMASA...!!")</f>
        <v>Av. Bolivariana y Paltacalo Ambato -  FRENTE AL POLIDEPORTIVO IVAN VALLEJO...COMERCIAL PAMASA...!!</v>
      </c>
      <c r="P2116" s="65"/>
      <c r="Q2116" s="65" t="str">
        <f>IFERROR(__xludf.DUMMYFUNCTION("""COMPUTED_VALUE"""),"GINTRACOM")</f>
        <v>GINTRACOM</v>
      </c>
      <c r="R2116" s="65">
        <f>IFERROR(__xludf.DUMMYFUNCTION("""COMPUTED_VALUE"""),30.0)</f>
        <v>30</v>
      </c>
      <c r="S2116" s="65">
        <f>IFERROR(__xludf.DUMMYFUNCTION("""COMPUTED_VALUE"""),15.47)</f>
        <v>15.47</v>
      </c>
      <c r="T2116" s="65">
        <f>IFERROR(__xludf.DUMMYFUNCTION("""COMPUTED_VALUE"""),6.16)</f>
        <v>6.16</v>
      </c>
      <c r="U2116" s="65">
        <f>IFERROR(__xludf.DUMMYFUNCTION("""COMPUTED_VALUE"""),0.0)</f>
        <v>0</v>
      </c>
      <c r="V2116" s="65">
        <f>IFERROR(__xludf.DUMMYFUNCTION("""COMPUTED_VALUE"""),0.0)</f>
        <v>0</v>
      </c>
      <c r="W2116" s="65">
        <f>IFERROR(__xludf.DUMMYFUNCTION("""COMPUTED_VALUE"""),0.0)</f>
        <v>0</v>
      </c>
      <c r="X2116" s="65">
        <f>IFERROR(__xludf.DUMMYFUNCTION("""COMPUTED_VALUE"""),2.79)</f>
        <v>2.79</v>
      </c>
      <c r="Y2116" s="65">
        <f>IFERROR(__xludf.DUMMYFUNCTION("""COMPUTED_VALUE"""),8.37)</f>
        <v>8.37</v>
      </c>
      <c r="Z2116" s="65">
        <f>IFERROR(__xludf.DUMMYFUNCTION("""COMPUTED_VALUE"""),120732.0)</f>
        <v>120732</v>
      </c>
      <c r="AA2116" s="65" t="str">
        <f>IFERROR(__xludf.DUMMYFUNCTION("""COMPUTED_VALUE"""),"PROV-LMPVT")</f>
        <v>PROV-LMPVT</v>
      </c>
      <c r="AB2116" s="65"/>
      <c r="AC2116" s="65" t="str">
        <f>IFERROR(__xludf.DUMMYFUNCTION("""COMPUTED_VALUE"""),"LIMPIADOR DE PARABRISAS Y VENTANAS")</f>
        <v>LIMPIADOR DE PARABRISAS Y VENTANAS</v>
      </c>
      <c r="AD2116" s="65"/>
      <c r="AE2116" s="65">
        <f>IFERROR(__xludf.DUMMYFUNCTION("""COMPUTED_VALUE"""),3.0)</f>
        <v>3</v>
      </c>
      <c r="AF2116" s="65"/>
      <c r="AG2116" s="65"/>
      <c r="AH2116" s="65"/>
      <c r="AI2116" s="65"/>
      <c r="AJ2116" s="65"/>
      <c r="AK2116" s="65"/>
      <c r="AL2116" s="65"/>
      <c r="AM2116" s="65"/>
      <c r="AN2116" s="65" t="str">
        <f>IFERROR(__xludf.DUMMYFUNCTION("""COMPUTED_VALUE"""),"14:40")</f>
        <v>14:40</v>
      </c>
      <c r="AO2116" s="65" t="str">
        <f>IFERROR(__xludf.DUMMYFUNCTION("""COMPUTED_VALUE"""),"16-01-2026")</f>
        <v>16-01-2026</v>
      </c>
      <c r="AP2116" s="65" t="str">
        <f>IFERROR(__xludf.DUMMYFUNCTION("""COMPUTED_VALUE"""),"ENTREGADA GINTRACOM")</f>
        <v>ENTREGADA GINTRACOM</v>
      </c>
      <c r="AQ2116" s="65" t="str">
        <f>IFERROR(__xludf.DUMMYFUNCTION("""COMPUTED_VALUE"""),"ENTREGADA GINTRACOM")</f>
        <v>ENTREGADA GINTRACOM</v>
      </c>
      <c r="AR2116" s="65"/>
      <c r="AS2116" s="65"/>
      <c r="AT2116" s="65" t="str">
        <f>IFERROR(__xludf.DUMMYFUNCTION("""COMPUTED_VALUE"""),"SHOPIFY")</f>
        <v>SHOPIFY</v>
      </c>
      <c r="AU2116" s="65" t="str">
        <f>IFERROR(__xludf.DUMMYFUNCTION("""COMPUTED_VALUE"""),"IMPORTEX EC")</f>
        <v>IMPORTEX EC</v>
      </c>
      <c r="AV2116" s="65" t="str">
        <f>IFERROR(__xludf.DUMMYFUNCTION("""COMPUTED_VALUE"""),"6404992925740")</f>
        <v>6404992925740</v>
      </c>
      <c r="AW2116" s="65">
        <f>IFERROR(__xludf.DUMMYFUNCTION("""COMPUTED_VALUE"""),4849.0)</f>
        <v>4849</v>
      </c>
      <c r="AX2116" s="65"/>
      <c r="AY2116" s="65" t="str">
        <f>IFERROR(__xludf.DUMMYFUNCTION("""COMPUTED_VALUE"""),"14/01/2026")</f>
        <v>14/01/2026</v>
      </c>
      <c r="AZ2116" s="65"/>
      <c r="BA2116" s="65"/>
    </row>
    <row r="2117">
      <c r="A2117" s="65" t="str">
        <f>IFERROR(__xludf.DUMMYFUNCTION("""COMPUTED_VALUE"""),"27-03-2026")</f>
        <v>27-03-2026</v>
      </c>
      <c r="B2117" s="65">
        <f>IFERROR(__xludf.DUMMYFUNCTION("""COMPUTED_VALUE"""),4097106.0)</f>
        <v>4097106</v>
      </c>
      <c r="C2117" s="65" t="str">
        <f>IFERROR(__xludf.DUMMYFUNCTION("""COMPUTED_VALUE"""),"18:14")</f>
        <v>18:14</v>
      </c>
      <c r="D2117" s="65" t="str">
        <f>IFERROR(__xludf.DUMMYFUNCTION("""COMPUTED_VALUE"""),"10-01-2026")</f>
        <v>10-01-2026</v>
      </c>
      <c r="E2117" s="65" t="str">
        <f>IFERROR(__xludf.DUMMYFUNCTION("""COMPUTED_VALUE"""),"Raquel Herrera")</f>
        <v>Raquel Herrera</v>
      </c>
      <c r="F2117" s="65" t="str">
        <f>IFERROR(__xludf.DUMMYFUNCTION("""COMPUTED_VALUE"""),"994631036")</f>
        <v>994631036</v>
      </c>
      <c r="G2117" s="65" t="str">
        <f>IFERROR(__xludf.DUMMYFUNCTION("""COMPUTED_VALUE"""),"jraquelherrera@yahoo.es")</f>
        <v>jraquelherrera@yahoo.es</v>
      </c>
      <c r="H2117" s="65"/>
      <c r="I2117" s="65"/>
      <c r="J2117" s="65" t="str">
        <f>IFERROR(__xludf.DUMMYFUNCTION("""COMPUTED_VALUE"""),"D001223206")</f>
        <v>D001223206</v>
      </c>
      <c r="K2117" s="65" t="str">
        <f>IFERROR(__xludf.DUMMYFUNCTION("""COMPUTED_VALUE"""),"DEVOLUCION")</f>
        <v>DEVOLUCION</v>
      </c>
      <c r="L2117" s="65" t="str">
        <f>IFERROR(__xludf.DUMMYFUNCTION("""COMPUTED_VALUE"""),"CON RECAUDO")</f>
        <v>CON RECAUDO</v>
      </c>
      <c r="M2117" s="65" t="str">
        <f>IFERROR(__xludf.DUMMYFUNCTION("""COMPUTED_VALUE"""),"PICHINCHA")</f>
        <v>PICHINCHA</v>
      </c>
      <c r="N2117" s="65" t="str">
        <f>IFERROR(__xludf.DUMMYFUNCTION("""COMPUTED_VALUE"""),"QUITO")</f>
        <v>QUITO</v>
      </c>
      <c r="O2117" s="65" t="str">
        <f>IFERROR(__xludf.DUMMYFUNCTION("""COMPUTED_VALUE"""),"Juan leon mera y veintimilla La mariscal - Unidad judicial de familia la mariscal 6to piso")</f>
        <v>Juan leon mera y veintimilla La mariscal - Unidad judicial de familia la mariscal 6to piso</v>
      </c>
      <c r="P2117" s="65"/>
      <c r="Q2117" s="65" t="str">
        <f>IFERROR(__xludf.DUMMYFUNCTION("""COMPUTED_VALUE"""),"GINTRACOM")</f>
        <v>GINTRACOM</v>
      </c>
      <c r="R2117" s="65">
        <f>IFERROR(__xludf.DUMMYFUNCTION("""COMPUTED_VALUE"""),22.0)</f>
        <v>22</v>
      </c>
      <c r="S2117" s="65"/>
      <c r="T2117" s="65">
        <f>IFERROR(__xludf.DUMMYFUNCTION("""COMPUTED_VALUE"""),5.84)</f>
        <v>5.84</v>
      </c>
      <c r="U2117" s="65">
        <f>IFERROR(__xludf.DUMMYFUNCTION("""COMPUTED_VALUE"""),0.0)</f>
        <v>0</v>
      </c>
      <c r="V2117" s="65">
        <f>IFERROR(__xludf.DUMMYFUNCTION("""COMPUTED_VALUE"""),0.0)</f>
        <v>0</v>
      </c>
      <c r="W2117" s="65">
        <f>IFERROR(__xludf.DUMMYFUNCTION("""COMPUTED_VALUE"""),0.0)</f>
        <v>0</v>
      </c>
      <c r="X2117" s="65">
        <f>IFERROR(__xludf.DUMMYFUNCTION("""COMPUTED_VALUE"""),2.6)</f>
        <v>2.6</v>
      </c>
      <c r="Y2117" s="65">
        <f>IFERROR(__xludf.DUMMYFUNCTION("""COMPUTED_VALUE"""),5.2)</f>
        <v>5.2</v>
      </c>
      <c r="Z2117" s="65">
        <f>IFERROR(__xludf.DUMMYFUNCTION("""COMPUTED_VALUE"""),121983.0)</f>
        <v>121983</v>
      </c>
      <c r="AA2117" s="65" t="str">
        <f>IFERROR(__xludf.DUMMYFUNCTION("""COMPUTED_VALUE"""),"PROV-CHLLCF")</f>
        <v>PROV-CHLLCF</v>
      </c>
      <c r="AB2117" s="65"/>
      <c r="AC2117" s="65" t="str">
        <f>IFERROR(__xludf.DUMMYFUNCTION("""COMPUTED_VALUE"""),"CUCHILLO PARA CHEF")</f>
        <v>CUCHILLO PARA CHEF</v>
      </c>
      <c r="AD2117" s="65"/>
      <c r="AE2117" s="65">
        <f>IFERROR(__xludf.DUMMYFUNCTION("""COMPUTED_VALUE"""),2.0)</f>
        <v>2</v>
      </c>
      <c r="AF2117" s="65" t="str">
        <f>IFERROR(__xludf.DUMMYFUNCTION("""COMPUTED_VALUE"""),"DESTINATARIO INDICA QUE NO ES EL PRODUCTO QUE SOLICITÓ")</f>
        <v>DESTINATARIO INDICA QUE NO ES EL PRODUCTO QUE SOLICITÓ</v>
      </c>
      <c r="AG2117" s="65" t="str">
        <f>IFERROR(__xludf.DUMMYFUNCTION("""COMPUTED_VALUE"""),"NO")</f>
        <v>NO</v>
      </c>
      <c r="AH2117" s="65" t="str">
        <f>IFERROR(__xludf.DUMMYFUNCTION("""COMPUTED_VALUE"""),"11:46")</f>
        <v>11:46</v>
      </c>
      <c r="AI2117" s="65" t="str">
        <f>IFERROR(__xludf.DUMMYFUNCTION("""COMPUTED_VALUE"""),"15-01-2026")</f>
        <v>15-01-2026</v>
      </c>
      <c r="AJ2117" s="65"/>
      <c r="AK2117" s="65"/>
      <c r="AL2117" s="65"/>
      <c r="AM2117" s="65"/>
      <c r="AN2117" s="65" t="str">
        <f>IFERROR(__xludf.DUMMYFUNCTION("""COMPUTED_VALUE"""),"08:42")</f>
        <v>08:42</v>
      </c>
      <c r="AO2117" s="65" t="str">
        <f>IFERROR(__xludf.DUMMYFUNCTION("""COMPUTED_VALUE"""),"10-02-2026")</f>
        <v>10-02-2026</v>
      </c>
      <c r="AP2117" s="65" t="str">
        <f>IFERROR(__xludf.DUMMYFUNCTION("""COMPUTED_VALUE"""),"DEV CONFIRMADA POR BODEGA")</f>
        <v>DEV CONFIRMADA POR BODEGA</v>
      </c>
      <c r="AQ2117" s="65"/>
      <c r="AR2117" s="65" t="str">
        <f>IFERROR(__xludf.DUMMYFUNCTION("""COMPUTED_VALUE"""),"Gestionado por: Moran Daniel, email:danielmorga2005@gmail.com, total de productos en la orden: 1")</f>
        <v>Gestionado por: Moran Daniel, email:danielmorga2005@gmail.com, total de productos en la orden: 1</v>
      </c>
      <c r="AS2117" s="65"/>
      <c r="AT2117" s="65" t="str">
        <f>IFERROR(__xludf.DUMMYFUNCTION("""COMPUTED_VALUE"""),"SHOPIFY")</f>
        <v>SHOPIFY</v>
      </c>
      <c r="AU2117" s="65" t="str">
        <f>IFERROR(__xludf.DUMMYFUNCTION("""COMPUTED_VALUE"""),"IMPORTEX EC")</f>
        <v>IMPORTEX EC</v>
      </c>
      <c r="AV2117" s="65" t="str">
        <f>IFERROR(__xludf.DUMMYFUNCTION("""COMPUTED_VALUE"""),"6404980506668")</f>
        <v>6404980506668</v>
      </c>
      <c r="AW2117" s="65">
        <f>IFERROR(__xludf.DUMMYFUNCTION("""COMPUTED_VALUE"""),4848.0)</f>
        <v>4848</v>
      </c>
      <c r="AX2117" s="65"/>
      <c r="AY2117" s="65" t="str">
        <f>IFERROR(__xludf.DUMMYFUNCTION("""COMPUTED_VALUE"""),"14/01/2026")</f>
        <v>14/01/2026</v>
      </c>
      <c r="AZ2117" s="65"/>
      <c r="BA2117" s="65"/>
    </row>
    <row r="2118">
      <c r="A2118" s="65" t="str">
        <f>IFERROR(__xludf.DUMMYFUNCTION("""COMPUTED_VALUE"""),"27-03-2026")</f>
        <v>27-03-2026</v>
      </c>
      <c r="B2118" s="65">
        <f>IFERROR(__xludf.DUMMYFUNCTION("""COMPUTED_VALUE"""),4097092.0)</f>
        <v>4097092</v>
      </c>
      <c r="C2118" s="65" t="str">
        <f>IFERROR(__xludf.DUMMYFUNCTION("""COMPUTED_VALUE"""),"18:10")</f>
        <v>18:10</v>
      </c>
      <c r="D2118" s="65" t="str">
        <f>IFERROR(__xludf.DUMMYFUNCTION("""COMPUTED_VALUE"""),"10-01-2026")</f>
        <v>10-01-2026</v>
      </c>
      <c r="E2118" s="65" t="str">
        <f>IFERROR(__xludf.DUMMYFUNCTION("""COMPUTED_VALUE"""),"Aldhair Quiñonez")</f>
        <v>Aldhair Quiñonez</v>
      </c>
      <c r="F2118" s="65" t="str">
        <f>IFERROR(__xludf.DUMMYFUNCTION("""COMPUTED_VALUE"""),"961211918")</f>
        <v>961211918</v>
      </c>
      <c r="G2118" s="65" t="str">
        <f>IFERROR(__xludf.DUMMYFUNCTION("""COMPUTED_VALUE"""),"aldhe_barsa@hotmail.com")</f>
        <v>aldhe_barsa@hotmail.com</v>
      </c>
      <c r="H2118" s="65"/>
      <c r="I2118" s="65"/>
      <c r="J2118" s="65" t="str">
        <f>IFERROR(__xludf.DUMMYFUNCTION("""COMPUTED_VALUE"""),"D001223209")</f>
        <v>D001223209</v>
      </c>
      <c r="K2118" s="65" t="str">
        <f>IFERROR(__xludf.DUMMYFUNCTION("""COMPUTED_VALUE"""),"ENTREGADO")</f>
        <v>ENTREGADO</v>
      </c>
      <c r="L2118" s="65" t="str">
        <f>IFERROR(__xludf.DUMMYFUNCTION("""COMPUTED_VALUE"""),"CON RECAUDO")</f>
        <v>CON RECAUDO</v>
      </c>
      <c r="M2118" s="65" t="str">
        <f>IFERROR(__xludf.DUMMYFUNCTION("""COMPUTED_VALUE"""),"NAPO")</f>
        <v>NAPO</v>
      </c>
      <c r="N2118" s="65" t="str">
        <f>IFERROR(__xludf.DUMMYFUNCTION("""COMPUTED_VALUE"""),"TENA")</f>
        <v>TENA</v>
      </c>
      <c r="O2118" s="65" t="str">
        <f>IFERROR(__xludf.DUMMYFUNCTION("""COMPUTED_VALUE"""),"Av. francisco de orellana y calle pano Marisqueria Don Quiño -")</f>
        <v>Av. francisco de orellana y calle pano Marisqueria Don Quiño -</v>
      </c>
      <c r="P2118" s="65"/>
      <c r="Q2118" s="65" t="str">
        <f>IFERROR(__xludf.DUMMYFUNCTION("""COMPUTED_VALUE"""),"GINTRACOM")</f>
        <v>GINTRACOM</v>
      </c>
      <c r="R2118" s="65">
        <f>IFERROR(__xludf.DUMMYFUNCTION("""COMPUTED_VALUE"""),20.0)</f>
        <v>20</v>
      </c>
      <c r="S2118" s="65">
        <f>IFERROR(__xludf.DUMMYFUNCTION("""COMPUTED_VALUE"""),11.45)</f>
        <v>11.45</v>
      </c>
      <c r="T2118" s="65">
        <f>IFERROR(__xludf.DUMMYFUNCTION("""COMPUTED_VALUE"""),5.76)</f>
        <v>5.76</v>
      </c>
      <c r="U2118" s="65">
        <f>IFERROR(__xludf.DUMMYFUNCTION("""COMPUTED_VALUE"""),0.0)</f>
        <v>0</v>
      </c>
      <c r="V2118" s="65">
        <f>IFERROR(__xludf.DUMMYFUNCTION("""COMPUTED_VALUE"""),0.0)</f>
        <v>0</v>
      </c>
      <c r="W2118" s="65">
        <f>IFERROR(__xludf.DUMMYFUNCTION("""COMPUTED_VALUE"""),0.0)</f>
        <v>0</v>
      </c>
      <c r="X2118" s="65">
        <f>IFERROR(__xludf.DUMMYFUNCTION("""COMPUTED_VALUE"""),2.79)</f>
        <v>2.79</v>
      </c>
      <c r="Y2118" s="65">
        <f>IFERROR(__xludf.DUMMYFUNCTION("""COMPUTED_VALUE"""),2.79)</f>
        <v>2.79</v>
      </c>
      <c r="Z2118" s="65">
        <f>IFERROR(__xludf.DUMMYFUNCTION("""COMPUTED_VALUE"""),120732.0)</f>
        <v>120732</v>
      </c>
      <c r="AA2118" s="65" t="str">
        <f>IFERROR(__xludf.DUMMYFUNCTION("""COMPUTED_VALUE"""),"PROV-LMPVT")</f>
        <v>PROV-LMPVT</v>
      </c>
      <c r="AB2118" s="65"/>
      <c r="AC2118" s="65" t="str">
        <f>IFERROR(__xludf.DUMMYFUNCTION("""COMPUTED_VALUE"""),"LIMPIADOR DE PARABRISAS Y VENTANAS")</f>
        <v>LIMPIADOR DE PARABRISAS Y VENTANAS</v>
      </c>
      <c r="AD2118" s="65"/>
      <c r="AE2118" s="65">
        <f>IFERROR(__xludf.DUMMYFUNCTION("""COMPUTED_VALUE"""),1.0)</f>
        <v>1</v>
      </c>
      <c r="AF2118" s="65"/>
      <c r="AG2118" s="65"/>
      <c r="AH2118" s="65"/>
      <c r="AI2118" s="65"/>
      <c r="AJ2118" s="65"/>
      <c r="AK2118" s="65"/>
      <c r="AL2118" s="65"/>
      <c r="AM2118" s="65"/>
      <c r="AN2118" s="65" t="str">
        <f>IFERROR(__xludf.DUMMYFUNCTION("""COMPUTED_VALUE"""),"17:19")</f>
        <v>17:19</v>
      </c>
      <c r="AO2118" s="65" t="str">
        <f>IFERROR(__xludf.DUMMYFUNCTION("""COMPUTED_VALUE"""),"17-01-2026")</f>
        <v>17-01-2026</v>
      </c>
      <c r="AP2118" s="65" t="str">
        <f>IFERROR(__xludf.DUMMYFUNCTION("""COMPUTED_VALUE"""),"ENTREGADA GINTRACOM")</f>
        <v>ENTREGADA GINTRACOM</v>
      </c>
      <c r="AQ2118" s="65" t="str">
        <f>IFERROR(__xludf.DUMMYFUNCTION("""COMPUTED_VALUE"""),"ENTREGADA GINTRACOM")</f>
        <v>ENTREGADA GINTRACOM</v>
      </c>
      <c r="AR2118" s="65"/>
      <c r="AS2118" s="65"/>
      <c r="AT2118" s="65" t="str">
        <f>IFERROR(__xludf.DUMMYFUNCTION("""COMPUTED_VALUE"""),"SHOPIFY")</f>
        <v>SHOPIFY</v>
      </c>
      <c r="AU2118" s="65" t="str">
        <f>IFERROR(__xludf.DUMMYFUNCTION("""COMPUTED_VALUE"""),"IMPORTEX EC")</f>
        <v>IMPORTEX EC</v>
      </c>
      <c r="AV2118" s="65" t="str">
        <f>IFERROR(__xludf.DUMMYFUNCTION("""COMPUTED_VALUE"""),"6404977197100")</f>
        <v>6404977197100</v>
      </c>
      <c r="AW2118" s="65">
        <f>IFERROR(__xludf.DUMMYFUNCTION("""COMPUTED_VALUE"""),4847.0)</f>
        <v>4847</v>
      </c>
      <c r="AX2118" s="65"/>
      <c r="AY2118" s="65" t="str">
        <f>IFERROR(__xludf.DUMMYFUNCTION("""COMPUTED_VALUE"""),"14/01/2026")</f>
        <v>14/01/2026</v>
      </c>
      <c r="AZ2118" s="65"/>
      <c r="BA2118" s="65"/>
    </row>
    <row r="2119">
      <c r="A2119" s="65" t="str">
        <f>IFERROR(__xludf.DUMMYFUNCTION("""COMPUTED_VALUE"""),"27-03-2026")</f>
        <v>27-03-2026</v>
      </c>
      <c r="B2119" s="65">
        <f>IFERROR(__xludf.DUMMYFUNCTION("""COMPUTED_VALUE"""),4097030.0)</f>
        <v>4097030</v>
      </c>
      <c r="C2119" s="65" t="str">
        <f>IFERROR(__xludf.DUMMYFUNCTION("""COMPUTED_VALUE"""),"18:02")</f>
        <v>18:02</v>
      </c>
      <c r="D2119" s="65" t="str">
        <f>IFERROR(__xludf.DUMMYFUNCTION("""COMPUTED_VALUE"""),"10-01-2026")</f>
        <v>10-01-2026</v>
      </c>
      <c r="E2119" s="65" t="str">
        <f>IFERROR(__xludf.DUMMYFUNCTION("""COMPUTED_VALUE"""),"Jairo López")</f>
        <v>Jairo López</v>
      </c>
      <c r="F2119" s="65" t="str">
        <f>IFERROR(__xludf.DUMMYFUNCTION("""COMPUTED_VALUE"""),"997600947")</f>
        <v>997600947</v>
      </c>
      <c r="G2119" s="65" t="str">
        <f>IFERROR(__xludf.DUMMYFUNCTION("""COMPUTED_VALUE"""),"jairo8219lopez@gmail.com")</f>
        <v>jairo8219lopez@gmail.com</v>
      </c>
      <c r="H2119" s="65"/>
      <c r="I2119" s="65"/>
      <c r="J2119" s="65" t="str">
        <f>IFERROR(__xludf.DUMMYFUNCTION("""COMPUTED_VALUE"""),"D001223212")</f>
        <v>D001223212</v>
      </c>
      <c r="K2119" s="65" t="str">
        <f>IFERROR(__xludf.DUMMYFUNCTION("""COMPUTED_VALUE"""),"ENTREGADO")</f>
        <v>ENTREGADO</v>
      </c>
      <c r="L2119" s="65" t="str">
        <f>IFERROR(__xludf.DUMMYFUNCTION("""COMPUTED_VALUE"""),"CON RECAUDO")</f>
        <v>CON RECAUDO</v>
      </c>
      <c r="M2119" s="65" t="str">
        <f>IFERROR(__xludf.DUMMYFUNCTION("""COMPUTED_VALUE"""),"MANABI")</f>
        <v>MANABI</v>
      </c>
      <c r="N2119" s="65" t="str">
        <f>IFERROR(__xludf.DUMMYFUNCTION("""COMPUTED_VALUE"""),"JARAMIJO")</f>
        <v>JARAMIJO</v>
      </c>
      <c r="O2119" s="65" t="str">
        <f>IFERROR(__xludf.DUMMYFUNCTION("""COMPUTED_VALUE"""),"Calle Alajuela Y  Av Naval Frente a Licoreria")</f>
        <v>Calle Alajuela Y  Av Naval Frente a Licoreria</v>
      </c>
      <c r="P2119" s="65"/>
      <c r="Q2119" s="65" t="str">
        <f>IFERROR(__xludf.DUMMYFUNCTION("""COMPUTED_VALUE"""),"GINTRACOM")</f>
        <v>GINTRACOM</v>
      </c>
      <c r="R2119" s="65">
        <f>IFERROR(__xludf.DUMMYFUNCTION("""COMPUTED_VALUE"""),25.0)</f>
        <v>25</v>
      </c>
      <c r="S2119" s="65">
        <f>IFERROR(__xludf.DUMMYFUNCTION("""COMPUTED_VALUE"""),12.89)</f>
        <v>12.89</v>
      </c>
      <c r="T2119" s="65">
        <f>IFERROR(__xludf.DUMMYFUNCTION("""COMPUTED_VALUE"""),6.53)</f>
        <v>6.53</v>
      </c>
      <c r="U2119" s="65">
        <f>IFERROR(__xludf.DUMMYFUNCTION("""COMPUTED_VALUE"""),0.0)</f>
        <v>0</v>
      </c>
      <c r="V2119" s="65">
        <f>IFERROR(__xludf.DUMMYFUNCTION("""COMPUTED_VALUE"""),0.0)</f>
        <v>0</v>
      </c>
      <c r="W2119" s="65">
        <f>IFERROR(__xludf.DUMMYFUNCTION("""COMPUTED_VALUE"""),0.0)</f>
        <v>0</v>
      </c>
      <c r="X2119" s="65">
        <f>IFERROR(__xludf.DUMMYFUNCTION("""COMPUTED_VALUE"""),2.79)</f>
        <v>2.79</v>
      </c>
      <c r="Y2119" s="65">
        <f>IFERROR(__xludf.DUMMYFUNCTION("""COMPUTED_VALUE"""),5.58)</f>
        <v>5.58</v>
      </c>
      <c r="Z2119" s="65">
        <f>IFERROR(__xludf.DUMMYFUNCTION("""COMPUTED_VALUE"""),120732.0)</f>
        <v>120732</v>
      </c>
      <c r="AA2119" s="65" t="str">
        <f>IFERROR(__xludf.DUMMYFUNCTION("""COMPUTED_VALUE"""),"PROV-LMPVT")</f>
        <v>PROV-LMPVT</v>
      </c>
      <c r="AB2119" s="65"/>
      <c r="AC2119" s="65" t="str">
        <f>IFERROR(__xludf.DUMMYFUNCTION("""COMPUTED_VALUE"""),"LIMPIADOR DE PARABRISAS Y VENTANAS")</f>
        <v>LIMPIADOR DE PARABRISAS Y VENTANAS</v>
      </c>
      <c r="AD2119" s="65"/>
      <c r="AE2119" s="65">
        <f>IFERROR(__xludf.DUMMYFUNCTION("""COMPUTED_VALUE"""),2.0)</f>
        <v>2</v>
      </c>
      <c r="AF2119" s="65"/>
      <c r="AG2119" s="65"/>
      <c r="AH2119" s="65"/>
      <c r="AI2119" s="65"/>
      <c r="AJ2119" s="65"/>
      <c r="AK2119" s="65"/>
      <c r="AL2119" s="65"/>
      <c r="AM2119" s="65"/>
      <c r="AN2119" s="65" t="str">
        <f>IFERROR(__xludf.DUMMYFUNCTION("""COMPUTED_VALUE"""),"17:34")</f>
        <v>17:34</v>
      </c>
      <c r="AO2119" s="65" t="str">
        <f>IFERROR(__xludf.DUMMYFUNCTION("""COMPUTED_VALUE"""),"16-01-2026")</f>
        <v>16-01-2026</v>
      </c>
      <c r="AP2119" s="65" t="str">
        <f>IFERROR(__xludf.DUMMYFUNCTION("""COMPUTED_VALUE"""),"ENTREGADA GINTRACOM")</f>
        <v>ENTREGADA GINTRACOM</v>
      </c>
      <c r="AQ2119" s="65" t="str">
        <f>IFERROR(__xludf.DUMMYFUNCTION("""COMPUTED_VALUE"""),"ENTREGADA GINTRACOM")</f>
        <v>ENTREGADA GINTRACOM</v>
      </c>
      <c r="AR2119" s="65"/>
      <c r="AS2119" s="65"/>
      <c r="AT2119" s="65" t="str">
        <f>IFERROR(__xludf.DUMMYFUNCTION("""COMPUTED_VALUE"""),"SHOPIFY")</f>
        <v>SHOPIFY</v>
      </c>
      <c r="AU2119" s="65" t="str">
        <f>IFERROR(__xludf.DUMMYFUNCTION("""COMPUTED_VALUE"""),"IMPORTEX EC")</f>
        <v>IMPORTEX EC</v>
      </c>
      <c r="AV2119" s="65" t="str">
        <f>IFERROR(__xludf.DUMMYFUNCTION("""COMPUTED_VALUE"""),"6404952096812")</f>
        <v>6404952096812</v>
      </c>
      <c r="AW2119" s="65">
        <f>IFERROR(__xludf.DUMMYFUNCTION("""COMPUTED_VALUE"""),4846.0)</f>
        <v>4846</v>
      </c>
      <c r="AX2119" s="65"/>
      <c r="AY2119" s="65" t="str">
        <f>IFERROR(__xludf.DUMMYFUNCTION("""COMPUTED_VALUE"""),"14/01/2026")</f>
        <v>14/01/2026</v>
      </c>
      <c r="AZ2119" s="65"/>
      <c r="BA2119" s="65"/>
    </row>
    <row r="2120">
      <c r="A2120" s="65" t="str">
        <f>IFERROR(__xludf.DUMMYFUNCTION("""COMPUTED_VALUE"""),"27-03-2026")</f>
        <v>27-03-2026</v>
      </c>
      <c r="B2120" s="65">
        <f>IFERROR(__xludf.DUMMYFUNCTION("""COMPUTED_VALUE"""),4096925.0)</f>
        <v>4096925</v>
      </c>
      <c r="C2120" s="65" t="str">
        <f>IFERROR(__xludf.DUMMYFUNCTION("""COMPUTED_VALUE"""),"17:49")</f>
        <v>17:49</v>
      </c>
      <c r="D2120" s="65" t="str">
        <f>IFERROR(__xludf.DUMMYFUNCTION("""COMPUTED_VALUE"""),"10-01-2026")</f>
        <v>10-01-2026</v>
      </c>
      <c r="E2120" s="65" t="str">
        <f>IFERROR(__xludf.DUMMYFUNCTION("""COMPUTED_VALUE"""),"Leonidas Guaman")</f>
        <v>Leonidas Guaman</v>
      </c>
      <c r="F2120" s="65" t="str">
        <f>IFERROR(__xludf.DUMMYFUNCTION("""COMPUTED_VALUE"""),"994721920")</f>
        <v>994721920</v>
      </c>
      <c r="G2120" s="65" t="str">
        <f>IFERROR(__xludf.DUMMYFUNCTION("""COMPUTED_VALUE"""),"leonidasguaman1978@hotmail.com")</f>
        <v>leonidasguaman1978@hotmail.com</v>
      </c>
      <c r="H2120" s="65"/>
      <c r="I2120" s="65"/>
      <c r="J2120" s="65" t="str">
        <f>IFERROR(__xludf.DUMMYFUNCTION("""COMPUTED_VALUE"""),"D001226767")</f>
        <v>D001226767</v>
      </c>
      <c r="K2120" s="65" t="str">
        <f>IFERROR(__xludf.DUMMYFUNCTION("""COMPUTED_VALUE"""),"ENTREGADO")</f>
        <v>ENTREGADO</v>
      </c>
      <c r="L2120" s="65" t="str">
        <f>IFERROR(__xludf.DUMMYFUNCTION("""COMPUTED_VALUE"""),"CON RECAUDO")</f>
        <v>CON RECAUDO</v>
      </c>
      <c r="M2120" s="65" t="str">
        <f>IFERROR(__xludf.DUMMYFUNCTION("""COMPUTED_VALUE"""),"GUAYAS")</f>
        <v>GUAYAS</v>
      </c>
      <c r="N2120" s="65" t="str">
        <f>IFERROR(__xludf.DUMMYFUNCTION("""COMPUTED_VALUE"""),"GUAYAQUIL")</f>
        <v>GUAYAQUIL</v>
      </c>
      <c r="O2120" s="65" t="str">
        <f>IFERROR(__xludf.DUMMYFUNCTION("""COMPUTED_VALUE"""),"Av. 25 de julio y entrada a fertiza Av. Don Bosco los jardines Sur de la ciudad -")</f>
        <v>Av. 25 de julio y entrada a fertiza Av. Don Bosco los jardines Sur de la ciudad -</v>
      </c>
      <c r="P2120" s="65"/>
      <c r="Q2120" s="65" t="str">
        <f>IFERROR(__xludf.DUMMYFUNCTION("""COMPUTED_VALUE"""),"GINTRACOM")</f>
        <v>GINTRACOM</v>
      </c>
      <c r="R2120" s="65">
        <f>IFERROR(__xludf.DUMMYFUNCTION("""COMPUTED_VALUE"""),25.0)</f>
        <v>25</v>
      </c>
      <c r="S2120" s="65">
        <f>IFERROR(__xludf.DUMMYFUNCTION("""COMPUTED_VALUE"""),15.07)</f>
        <v>15.07</v>
      </c>
      <c r="T2120" s="65">
        <f>IFERROR(__xludf.DUMMYFUNCTION("""COMPUTED_VALUE"""),4.35)</f>
        <v>4.35</v>
      </c>
      <c r="U2120" s="65">
        <f>IFERROR(__xludf.DUMMYFUNCTION("""COMPUTED_VALUE"""),0.0)</f>
        <v>0</v>
      </c>
      <c r="V2120" s="65">
        <f>IFERROR(__xludf.DUMMYFUNCTION("""COMPUTED_VALUE"""),0.0)</f>
        <v>0</v>
      </c>
      <c r="W2120" s="65">
        <f>IFERROR(__xludf.DUMMYFUNCTION("""COMPUTED_VALUE"""),0.0)</f>
        <v>0</v>
      </c>
      <c r="X2120" s="65">
        <f>IFERROR(__xludf.DUMMYFUNCTION("""COMPUTED_VALUE"""),2.79)</f>
        <v>2.79</v>
      </c>
      <c r="Y2120" s="65">
        <f>IFERROR(__xludf.DUMMYFUNCTION("""COMPUTED_VALUE"""),5.58)</f>
        <v>5.58</v>
      </c>
      <c r="Z2120" s="65">
        <f>IFERROR(__xludf.DUMMYFUNCTION("""COMPUTED_VALUE"""),120732.0)</f>
        <v>120732</v>
      </c>
      <c r="AA2120" s="65" t="str">
        <f>IFERROR(__xludf.DUMMYFUNCTION("""COMPUTED_VALUE"""),"PROV-LMPVT")</f>
        <v>PROV-LMPVT</v>
      </c>
      <c r="AB2120" s="65"/>
      <c r="AC2120" s="65" t="str">
        <f>IFERROR(__xludf.DUMMYFUNCTION("""COMPUTED_VALUE"""),"LIMPIADOR DE PARABRISAS Y VENTANAS")</f>
        <v>LIMPIADOR DE PARABRISAS Y VENTANAS</v>
      </c>
      <c r="AD2120" s="65"/>
      <c r="AE2120" s="65">
        <f>IFERROR(__xludf.DUMMYFUNCTION("""COMPUTED_VALUE"""),2.0)</f>
        <v>2</v>
      </c>
      <c r="AF2120" s="65"/>
      <c r="AG2120" s="65"/>
      <c r="AH2120" s="65"/>
      <c r="AI2120" s="65"/>
      <c r="AJ2120" s="65"/>
      <c r="AK2120" s="65"/>
      <c r="AL2120" s="65"/>
      <c r="AM2120" s="65"/>
      <c r="AN2120" s="65" t="str">
        <f>IFERROR(__xludf.DUMMYFUNCTION("""COMPUTED_VALUE"""),"14:43")</f>
        <v>14:43</v>
      </c>
      <c r="AO2120" s="65" t="str">
        <f>IFERROR(__xludf.DUMMYFUNCTION("""COMPUTED_VALUE"""),"16-01-2026")</f>
        <v>16-01-2026</v>
      </c>
      <c r="AP2120" s="65" t="str">
        <f>IFERROR(__xludf.DUMMYFUNCTION("""COMPUTED_VALUE"""),"ENTREGADA GINTRACOM")</f>
        <v>ENTREGADA GINTRACOM</v>
      </c>
      <c r="AQ2120" s="65" t="str">
        <f>IFERROR(__xludf.DUMMYFUNCTION("""COMPUTED_VALUE"""),"ENTREGADA GINTRACOM")</f>
        <v>ENTREGADA GINTRACOM</v>
      </c>
      <c r="AR2120" s="65"/>
      <c r="AS2120" s="65"/>
      <c r="AT2120" s="65" t="str">
        <f>IFERROR(__xludf.DUMMYFUNCTION("""COMPUTED_VALUE"""),"SHOPIFY")</f>
        <v>SHOPIFY</v>
      </c>
      <c r="AU2120" s="65" t="str">
        <f>IFERROR(__xludf.DUMMYFUNCTION("""COMPUTED_VALUE"""),"IMPORTEX EC")</f>
        <v>IMPORTEX EC</v>
      </c>
      <c r="AV2120" s="65" t="str">
        <f>IFERROR(__xludf.DUMMYFUNCTION("""COMPUTED_VALUE"""),"6404925751340")</f>
        <v>6404925751340</v>
      </c>
      <c r="AW2120" s="65">
        <f>IFERROR(__xludf.DUMMYFUNCTION("""COMPUTED_VALUE"""),4845.0)</f>
        <v>4845</v>
      </c>
      <c r="AX2120" s="65"/>
      <c r="AY2120" s="65" t="str">
        <f>IFERROR(__xludf.DUMMYFUNCTION("""COMPUTED_VALUE"""),"15/01/2026")</f>
        <v>15/01/2026</v>
      </c>
      <c r="AZ2120" s="65"/>
      <c r="BA2120" s="65"/>
    </row>
    <row r="2121">
      <c r="A2121" s="65" t="str">
        <f>IFERROR(__xludf.DUMMYFUNCTION("""COMPUTED_VALUE"""),"27-03-2026")</f>
        <v>27-03-2026</v>
      </c>
      <c r="B2121" s="65">
        <f>IFERROR(__xludf.DUMMYFUNCTION("""COMPUTED_VALUE"""),4096889.0)</f>
        <v>4096889</v>
      </c>
      <c r="C2121" s="65" t="str">
        <f>IFERROR(__xludf.DUMMYFUNCTION("""COMPUTED_VALUE"""),"17:46")</f>
        <v>17:46</v>
      </c>
      <c r="D2121" s="65" t="str">
        <f>IFERROR(__xludf.DUMMYFUNCTION("""COMPUTED_VALUE"""),"10-01-2026")</f>
        <v>10-01-2026</v>
      </c>
      <c r="E2121" s="65" t="str">
        <f>IFERROR(__xludf.DUMMYFUNCTION("""COMPUTED_VALUE"""),"ANGEL ATIENCIA")</f>
        <v>ANGEL ATIENCIA</v>
      </c>
      <c r="F2121" s="65" t="str">
        <f>IFERROR(__xludf.DUMMYFUNCTION("""COMPUTED_VALUE"""),"995284272")</f>
        <v>995284272</v>
      </c>
      <c r="G2121" s="65" t="str">
        <f>IFERROR(__xludf.DUMMYFUNCTION("""COMPUTED_VALUE"""),"angelatiencia66@hotmail.com")</f>
        <v>angelatiencia66@hotmail.com</v>
      </c>
      <c r="H2121" s="65"/>
      <c r="I2121" s="65"/>
      <c r="J2121" s="65" t="str">
        <f>IFERROR(__xludf.DUMMYFUNCTION("""COMPUTED_VALUE"""),"D001230402")</f>
        <v>D001230402</v>
      </c>
      <c r="K2121" s="65" t="str">
        <f>IFERROR(__xludf.DUMMYFUNCTION("""COMPUTED_VALUE"""),"ENTREGADO")</f>
        <v>ENTREGADO</v>
      </c>
      <c r="L2121" s="65" t="str">
        <f>IFERROR(__xludf.DUMMYFUNCTION("""COMPUTED_VALUE"""),"CON RECAUDO")</f>
        <v>CON RECAUDO</v>
      </c>
      <c r="M2121" s="65" t="str">
        <f>IFERROR(__xludf.DUMMYFUNCTION("""COMPUTED_VALUE"""),"TUNGURAHUA")</f>
        <v>TUNGURAHUA</v>
      </c>
      <c r="N2121" s="65" t="str">
        <f>IFERROR(__xludf.DUMMYFUNCTION("""COMPUTED_VALUE"""),"AMBATO")</f>
        <v>AMBATO</v>
      </c>
      <c r="O2121" s="65" t="str">
        <f>IFERROR(__xludf.DUMMYFUNCTION("""COMPUTED_VALUE"""),"Av. Bolivariana 903  . REF: la casa del calefon y antes de llegar al redondel")</f>
        <v>Av. Bolivariana 903  . REF: la casa del calefon y antes de llegar al redondel</v>
      </c>
      <c r="P2121" s="65"/>
      <c r="Q2121" s="65" t="str">
        <f>IFERROR(__xludf.DUMMYFUNCTION("""COMPUTED_VALUE"""),"GINTRACOM")</f>
        <v>GINTRACOM</v>
      </c>
      <c r="R2121" s="65">
        <f>IFERROR(__xludf.DUMMYFUNCTION("""COMPUTED_VALUE"""),22.0)</f>
        <v>22</v>
      </c>
      <c r="S2121" s="65">
        <f>IFERROR(__xludf.DUMMYFUNCTION("""COMPUTED_VALUE"""),10.96)</f>
        <v>10.96</v>
      </c>
      <c r="T2121" s="65">
        <f>IFERROR(__xludf.DUMMYFUNCTION("""COMPUTED_VALUE"""),5.84)</f>
        <v>5.84</v>
      </c>
      <c r="U2121" s="65">
        <f>IFERROR(__xludf.DUMMYFUNCTION("""COMPUTED_VALUE"""),0.0)</f>
        <v>0</v>
      </c>
      <c r="V2121" s="65">
        <f>IFERROR(__xludf.DUMMYFUNCTION("""COMPUTED_VALUE"""),0.0)</f>
        <v>0</v>
      </c>
      <c r="W2121" s="65">
        <f>IFERROR(__xludf.DUMMYFUNCTION("""COMPUTED_VALUE"""),0.0)</f>
        <v>0</v>
      </c>
      <c r="X2121" s="65">
        <f>IFERROR(__xludf.DUMMYFUNCTION("""COMPUTED_VALUE"""),2.6)</f>
        <v>2.6</v>
      </c>
      <c r="Y2121" s="65">
        <f>IFERROR(__xludf.DUMMYFUNCTION("""COMPUTED_VALUE"""),5.2)</f>
        <v>5.2</v>
      </c>
      <c r="Z2121" s="65">
        <f>IFERROR(__xludf.DUMMYFUNCTION("""COMPUTED_VALUE"""),121983.0)</f>
        <v>121983</v>
      </c>
      <c r="AA2121" s="65" t="str">
        <f>IFERROR(__xludf.DUMMYFUNCTION("""COMPUTED_VALUE"""),"PROV-CHLLCF")</f>
        <v>PROV-CHLLCF</v>
      </c>
      <c r="AB2121" s="65"/>
      <c r="AC2121" s="65" t="str">
        <f>IFERROR(__xludf.DUMMYFUNCTION("""COMPUTED_VALUE"""),"CUCHILLO PARA CHEF")</f>
        <v>CUCHILLO PARA CHEF</v>
      </c>
      <c r="AD2121" s="65"/>
      <c r="AE2121" s="65">
        <f>IFERROR(__xludf.DUMMYFUNCTION("""COMPUTED_VALUE"""),2.0)</f>
        <v>2</v>
      </c>
      <c r="AF2121" s="65"/>
      <c r="AG2121" s="65"/>
      <c r="AH2121" s="65"/>
      <c r="AI2121" s="65"/>
      <c r="AJ2121" s="65"/>
      <c r="AK2121" s="65"/>
      <c r="AL2121" s="65"/>
      <c r="AM2121" s="65"/>
      <c r="AN2121" s="65" t="str">
        <f>IFERROR(__xludf.DUMMYFUNCTION("""COMPUTED_VALUE"""),"13:16")</f>
        <v>13:16</v>
      </c>
      <c r="AO2121" s="65" t="str">
        <f>IFERROR(__xludf.DUMMYFUNCTION("""COMPUTED_VALUE"""),"19-01-2026")</f>
        <v>19-01-2026</v>
      </c>
      <c r="AP2121" s="65" t="str">
        <f>IFERROR(__xludf.DUMMYFUNCTION("""COMPUTED_VALUE"""),"ENTREGADA GINTRACOM")</f>
        <v>ENTREGADA GINTRACOM</v>
      </c>
      <c r="AQ2121" s="65" t="str">
        <f>IFERROR(__xludf.DUMMYFUNCTION("""COMPUTED_VALUE"""),"ENTREGADA GINTRACOM")</f>
        <v>ENTREGADA GINTRACOM</v>
      </c>
      <c r="AR2121" s="65"/>
      <c r="AS2121" s="65"/>
      <c r="AT2121" s="65" t="str">
        <f>IFERROR(__xludf.DUMMYFUNCTION("""COMPUTED_VALUE"""),"SHOPIFY")</f>
        <v>SHOPIFY</v>
      </c>
      <c r="AU2121" s="65" t="str">
        <f>IFERROR(__xludf.DUMMYFUNCTION("""COMPUTED_VALUE"""),"IMPORTEX EC")</f>
        <v>IMPORTEX EC</v>
      </c>
      <c r="AV2121" s="65" t="str">
        <f>IFERROR(__xludf.DUMMYFUNCTION("""COMPUTED_VALUE"""),"6404914249772")</f>
        <v>6404914249772</v>
      </c>
      <c r="AW2121" s="65">
        <f>IFERROR(__xludf.DUMMYFUNCTION("""COMPUTED_VALUE"""),4844.0)</f>
        <v>4844</v>
      </c>
      <c r="AX2121" s="65"/>
      <c r="AY2121" s="65" t="str">
        <f>IFERROR(__xludf.DUMMYFUNCTION("""COMPUTED_VALUE"""),"16/01/2026")</f>
        <v>16/01/2026</v>
      </c>
      <c r="AZ2121" s="65"/>
      <c r="BA2121" s="65"/>
    </row>
    <row r="2122">
      <c r="A2122" s="65" t="str">
        <f>IFERROR(__xludf.DUMMYFUNCTION("""COMPUTED_VALUE"""),"27-03-2026")</f>
        <v>27-03-2026</v>
      </c>
      <c r="B2122" s="65">
        <f>IFERROR(__xludf.DUMMYFUNCTION("""COMPUTED_VALUE"""),4096860.0)</f>
        <v>4096860</v>
      </c>
      <c r="C2122" s="65" t="str">
        <f>IFERROR(__xludf.DUMMYFUNCTION("""COMPUTED_VALUE"""),"17:41")</f>
        <v>17:41</v>
      </c>
      <c r="D2122" s="65" t="str">
        <f>IFERROR(__xludf.DUMMYFUNCTION("""COMPUTED_VALUE"""),"10-01-2026")</f>
        <v>10-01-2026</v>
      </c>
      <c r="E2122" s="65" t="str">
        <f>IFERROR(__xludf.DUMMYFUNCTION("""COMPUTED_VALUE"""),"Jair Zea")</f>
        <v>Jair Zea</v>
      </c>
      <c r="F2122" s="65" t="str">
        <f>IFERROR(__xludf.DUMMYFUNCTION("""COMPUTED_VALUE"""),"992738102")</f>
        <v>992738102</v>
      </c>
      <c r="G2122" s="65" t="str">
        <f>IFERROR(__xludf.DUMMYFUNCTION("""COMPUTED_VALUE"""),"jairzea@yahoo.com")</f>
        <v>jairzea@yahoo.com</v>
      </c>
      <c r="H2122" s="65"/>
      <c r="I2122" s="65"/>
      <c r="J2122" s="65" t="str">
        <f>IFERROR(__xludf.DUMMYFUNCTION("""COMPUTED_VALUE"""),"D001223215")</f>
        <v>D001223215</v>
      </c>
      <c r="K2122" s="65" t="str">
        <f>IFERROR(__xludf.DUMMYFUNCTION("""COMPUTED_VALUE"""),"DEVOLUCION")</f>
        <v>DEVOLUCION</v>
      </c>
      <c r="L2122" s="65" t="str">
        <f>IFERROR(__xludf.DUMMYFUNCTION("""COMPUTED_VALUE"""),"CON RECAUDO")</f>
        <v>CON RECAUDO</v>
      </c>
      <c r="M2122" s="65" t="str">
        <f>IFERROR(__xludf.DUMMYFUNCTION("""COMPUTED_VALUE"""),"PICHINCHA")</f>
        <v>PICHINCHA</v>
      </c>
      <c r="N2122" s="65" t="str">
        <f>IFERROR(__xludf.DUMMYFUNCTION("""COMPUTED_VALUE"""),"QUITO")</f>
        <v>QUITO</v>
      </c>
      <c r="O2122" s="65" t="str">
        <f>IFERROR(__xludf.DUMMYFUNCTION("""COMPUTED_VALUE"""),"Av 18 septiembre y ayacucho Sector Miraflores entrada hospital carlos andrade marin -")</f>
        <v>Av 18 septiembre y ayacucho Sector Miraflores entrada hospital carlos andrade marin -</v>
      </c>
      <c r="P2122" s="65"/>
      <c r="Q2122" s="65" t="str">
        <f>IFERROR(__xludf.DUMMYFUNCTION("""COMPUTED_VALUE"""),"GINTRACOM")</f>
        <v>GINTRACOM</v>
      </c>
      <c r="R2122" s="65">
        <f>IFERROR(__xludf.DUMMYFUNCTION("""COMPUTED_VALUE"""),20.0)</f>
        <v>20</v>
      </c>
      <c r="S2122" s="65"/>
      <c r="T2122" s="65">
        <f>IFERROR(__xludf.DUMMYFUNCTION("""COMPUTED_VALUE"""),5.76)</f>
        <v>5.76</v>
      </c>
      <c r="U2122" s="65">
        <f>IFERROR(__xludf.DUMMYFUNCTION("""COMPUTED_VALUE"""),0.0)</f>
        <v>0</v>
      </c>
      <c r="V2122" s="65">
        <f>IFERROR(__xludf.DUMMYFUNCTION("""COMPUTED_VALUE"""),0.0)</f>
        <v>0</v>
      </c>
      <c r="W2122" s="65">
        <f>IFERROR(__xludf.DUMMYFUNCTION("""COMPUTED_VALUE"""),0.0)</f>
        <v>0</v>
      </c>
      <c r="X2122" s="65">
        <f>IFERROR(__xludf.DUMMYFUNCTION("""COMPUTED_VALUE"""),2.79)</f>
        <v>2.79</v>
      </c>
      <c r="Y2122" s="65">
        <f>IFERROR(__xludf.DUMMYFUNCTION("""COMPUTED_VALUE"""),2.79)</f>
        <v>2.79</v>
      </c>
      <c r="Z2122" s="65">
        <f>IFERROR(__xludf.DUMMYFUNCTION("""COMPUTED_VALUE"""),120732.0)</f>
        <v>120732</v>
      </c>
      <c r="AA2122" s="65" t="str">
        <f>IFERROR(__xludf.DUMMYFUNCTION("""COMPUTED_VALUE"""),"PROV-LMPVT")</f>
        <v>PROV-LMPVT</v>
      </c>
      <c r="AB2122" s="65"/>
      <c r="AC2122" s="65" t="str">
        <f>IFERROR(__xludf.DUMMYFUNCTION("""COMPUTED_VALUE"""),"LIMPIADOR DE PARABRISAS Y VENTANAS")</f>
        <v>LIMPIADOR DE PARABRISAS Y VENTANAS</v>
      </c>
      <c r="AD2122" s="65"/>
      <c r="AE2122" s="65">
        <f>IFERROR(__xludf.DUMMYFUNCTION("""COMPUTED_VALUE"""),1.0)</f>
        <v>1</v>
      </c>
      <c r="AF2122" s="65" t="str">
        <f>IFERROR(__xludf.DUMMYFUNCTION("""COMPUTED_VALUE"""),"DESTINATARIO INDICA QUE YA RECIBIÓ EL PRODUCTO")</f>
        <v>DESTINATARIO INDICA QUE YA RECIBIÓ EL PRODUCTO</v>
      </c>
      <c r="AG2122" s="65" t="str">
        <f>IFERROR(__xludf.DUMMYFUNCTION("""COMPUTED_VALUE"""),"NO")</f>
        <v>NO</v>
      </c>
      <c r="AH2122" s="65" t="str">
        <f>IFERROR(__xludf.DUMMYFUNCTION("""COMPUTED_VALUE"""),"15:25")</f>
        <v>15:25</v>
      </c>
      <c r="AI2122" s="65" t="str">
        <f>IFERROR(__xludf.DUMMYFUNCTION("""COMPUTED_VALUE"""),"14-01-2026")</f>
        <v>14-01-2026</v>
      </c>
      <c r="AJ2122" s="65"/>
      <c r="AK2122" s="65"/>
      <c r="AL2122" s="65"/>
      <c r="AM2122" s="65"/>
      <c r="AN2122" s="65" t="str">
        <f>IFERROR(__xludf.DUMMYFUNCTION("""COMPUTED_VALUE"""),"08:45")</f>
        <v>08:45</v>
      </c>
      <c r="AO2122" s="65" t="str">
        <f>IFERROR(__xludf.DUMMYFUNCTION("""COMPUTED_VALUE"""),"10-02-2026")</f>
        <v>10-02-2026</v>
      </c>
      <c r="AP2122" s="65" t="str">
        <f>IFERROR(__xludf.DUMMYFUNCTION("""COMPUTED_VALUE"""),"DEV CONFIRMADA POR BODEGA")</f>
        <v>DEV CONFIRMADA POR BODEGA</v>
      </c>
      <c r="AQ2122" s="65"/>
      <c r="AR2122" s="65" t="str">
        <f>IFERROR(__xludf.DUMMYFUNCTION("""COMPUTED_VALUE"""),"Gestionado por: Moran Daniel, email:danielmorga2005@gmail.com, total de productos en la orden: 1")</f>
        <v>Gestionado por: Moran Daniel, email:danielmorga2005@gmail.com, total de productos en la orden: 1</v>
      </c>
      <c r="AS2122" s="65"/>
      <c r="AT2122" s="65" t="str">
        <f>IFERROR(__xludf.DUMMYFUNCTION("""COMPUTED_VALUE"""),"SHOPIFY")</f>
        <v>SHOPIFY</v>
      </c>
      <c r="AU2122" s="65" t="str">
        <f>IFERROR(__xludf.DUMMYFUNCTION("""COMPUTED_VALUE"""),"IMPORTEX EC")</f>
        <v>IMPORTEX EC</v>
      </c>
      <c r="AV2122" s="65" t="str">
        <f>IFERROR(__xludf.DUMMYFUNCTION("""COMPUTED_VALUE"""),"6404907434028")</f>
        <v>6404907434028</v>
      </c>
      <c r="AW2122" s="65">
        <f>IFERROR(__xludf.DUMMYFUNCTION("""COMPUTED_VALUE"""),4843.0)</f>
        <v>4843</v>
      </c>
      <c r="AX2122" s="65"/>
      <c r="AY2122" s="65" t="str">
        <f>IFERROR(__xludf.DUMMYFUNCTION("""COMPUTED_VALUE"""),"14/01/2026")</f>
        <v>14/01/2026</v>
      </c>
      <c r="AZ2122" s="65"/>
      <c r="BA2122" s="65"/>
    </row>
    <row r="2123">
      <c r="A2123" s="65" t="str">
        <f>IFERROR(__xludf.DUMMYFUNCTION("""COMPUTED_VALUE"""),"27-03-2026")</f>
        <v>27-03-2026</v>
      </c>
      <c r="B2123" s="65">
        <f>IFERROR(__xludf.DUMMYFUNCTION("""COMPUTED_VALUE"""),4096859.0)</f>
        <v>4096859</v>
      </c>
      <c r="C2123" s="65" t="str">
        <f>IFERROR(__xludf.DUMMYFUNCTION("""COMPUTED_VALUE"""),"17:41")</f>
        <v>17:41</v>
      </c>
      <c r="D2123" s="65" t="str">
        <f>IFERROR(__xludf.DUMMYFUNCTION("""COMPUTED_VALUE"""),"10-01-2026")</f>
        <v>10-01-2026</v>
      </c>
      <c r="E2123" s="65" t="str">
        <f>IFERROR(__xludf.DUMMYFUNCTION("""COMPUTED_VALUE"""),"Oscar Moyano")</f>
        <v>Oscar Moyano</v>
      </c>
      <c r="F2123" s="65" t="str">
        <f>IFERROR(__xludf.DUMMYFUNCTION("""COMPUTED_VALUE"""),"998172451")</f>
        <v>998172451</v>
      </c>
      <c r="G2123" s="65" t="str">
        <f>IFERROR(__xludf.DUMMYFUNCTION("""COMPUTED_VALUE"""),"oscarmoyano2195@gmail.com")</f>
        <v>oscarmoyano2195@gmail.com</v>
      </c>
      <c r="H2123" s="65"/>
      <c r="I2123" s="65"/>
      <c r="J2123" s="65" t="str">
        <f>IFERROR(__xludf.DUMMYFUNCTION("""COMPUTED_VALUE"""),"D001223217")</f>
        <v>D001223217</v>
      </c>
      <c r="K2123" s="65" t="str">
        <f>IFERROR(__xludf.DUMMYFUNCTION("""COMPUTED_VALUE"""),"ENTREGADO")</f>
        <v>ENTREGADO</v>
      </c>
      <c r="L2123" s="65" t="str">
        <f>IFERROR(__xludf.DUMMYFUNCTION("""COMPUTED_VALUE"""),"CON RECAUDO")</f>
        <v>CON RECAUDO</v>
      </c>
      <c r="M2123" s="65" t="str">
        <f>IFERROR(__xludf.DUMMYFUNCTION("""COMPUTED_VALUE"""),"BOLIVAR")</f>
        <v>BOLIVAR</v>
      </c>
      <c r="N2123" s="65" t="str">
        <f>IFERROR(__xludf.DUMMYFUNCTION("""COMPUTED_VALUE"""),"GUARANDA")</f>
        <v>GUARANDA</v>
      </c>
      <c r="O2123" s="65" t="str">
        <f>IFERROR(__xludf.DUMMYFUNCTION("""COMPUTED_VALUE"""),"Convención de 1884 e Isidro Ayora Oficina del FEPP -")</f>
        <v>Convención de 1884 e Isidro Ayora Oficina del FEPP -</v>
      </c>
      <c r="P2123" s="65"/>
      <c r="Q2123" s="65" t="str">
        <f>IFERROR(__xludf.DUMMYFUNCTION("""COMPUTED_VALUE"""),"GINTRACOM")</f>
        <v>GINTRACOM</v>
      </c>
      <c r="R2123" s="65">
        <f>IFERROR(__xludf.DUMMYFUNCTION("""COMPUTED_VALUE"""),25.0)</f>
        <v>25</v>
      </c>
      <c r="S2123" s="65">
        <f>IFERROR(__xludf.DUMMYFUNCTION("""COMPUTED_VALUE"""),13.46)</f>
        <v>13.46</v>
      </c>
      <c r="T2123" s="65">
        <f>IFERROR(__xludf.DUMMYFUNCTION("""COMPUTED_VALUE"""),5.96)</f>
        <v>5.96</v>
      </c>
      <c r="U2123" s="65">
        <f>IFERROR(__xludf.DUMMYFUNCTION("""COMPUTED_VALUE"""),0.0)</f>
        <v>0</v>
      </c>
      <c r="V2123" s="65">
        <f>IFERROR(__xludf.DUMMYFUNCTION("""COMPUTED_VALUE"""),0.0)</f>
        <v>0</v>
      </c>
      <c r="W2123" s="65">
        <f>IFERROR(__xludf.DUMMYFUNCTION("""COMPUTED_VALUE"""),0.0)</f>
        <v>0</v>
      </c>
      <c r="X2123" s="65">
        <f>IFERROR(__xludf.DUMMYFUNCTION("""COMPUTED_VALUE"""),2.79)</f>
        <v>2.79</v>
      </c>
      <c r="Y2123" s="65">
        <f>IFERROR(__xludf.DUMMYFUNCTION("""COMPUTED_VALUE"""),5.58)</f>
        <v>5.58</v>
      </c>
      <c r="Z2123" s="65">
        <f>IFERROR(__xludf.DUMMYFUNCTION("""COMPUTED_VALUE"""),120732.0)</f>
        <v>120732</v>
      </c>
      <c r="AA2123" s="65" t="str">
        <f>IFERROR(__xludf.DUMMYFUNCTION("""COMPUTED_VALUE"""),"PROV-LMPVT")</f>
        <v>PROV-LMPVT</v>
      </c>
      <c r="AB2123" s="65"/>
      <c r="AC2123" s="65" t="str">
        <f>IFERROR(__xludf.DUMMYFUNCTION("""COMPUTED_VALUE"""),"LIMPIADOR DE PARABRISAS Y VENTANAS")</f>
        <v>LIMPIADOR DE PARABRISAS Y VENTANAS</v>
      </c>
      <c r="AD2123" s="65"/>
      <c r="AE2123" s="65">
        <f>IFERROR(__xludf.DUMMYFUNCTION("""COMPUTED_VALUE"""),2.0)</f>
        <v>2</v>
      </c>
      <c r="AF2123" s="65"/>
      <c r="AG2123" s="65"/>
      <c r="AH2123" s="65"/>
      <c r="AI2123" s="65"/>
      <c r="AJ2123" s="65"/>
      <c r="AK2123" s="65"/>
      <c r="AL2123" s="65"/>
      <c r="AM2123" s="65"/>
      <c r="AN2123" s="65" t="str">
        <f>IFERROR(__xludf.DUMMYFUNCTION("""COMPUTED_VALUE"""),"18:52")</f>
        <v>18:52</v>
      </c>
      <c r="AO2123" s="65" t="str">
        <f>IFERROR(__xludf.DUMMYFUNCTION("""COMPUTED_VALUE"""),"16-01-2026")</f>
        <v>16-01-2026</v>
      </c>
      <c r="AP2123" s="65" t="str">
        <f>IFERROR(__xludf.DUMMYFUNCTION("""COMPUTED_VALUE"""),"ENTREGADA GINTRACOM")</f>
        <v>ENTREGADA GINTRACOM</v>
      </c>
      <c r="AQ2123" s="65" t="str">
        <f>IFERROR(__xludf.DUMMYFUNCTION("""COMPUTED_VALUE"""),"ENTREGADA GINTRACOM")</f>
        <v>ENTREGADA GINTRACOM</v>
      </c>
      <c r="AR2123" s="65"/>
      <c r="AS2123" s="65"/>
      <c r="AT2123" s="65" t="str">
        <f>IFERROR(__xludf.DUMMYFUNCTION("""COMPUTED_VALUE"""),"SHOPIFY")</f>
        <v>SHOPIFY</v>
      </c>
      <c r="AU2123" s="65" t="str">
        <f>IFERROR(__xludf.DUMMYFUNCTION("""COMPUTED_VALUE"""),"IMPORTEX EC")</f>
        <v>IMPORTEX EC</v>
      </c>
      <c r="AV2123" s="65" t="str">
        <f>IFERROR(__xludf.DUMMYFUNCTION("""COMPUTED_VALUE"""),"6404906713132")</f>
        <v>6404906713132</v>
      </c>
      <c r="AW2123" s="65">
        <f>IFERROR(__xludf.DUMMYFUNCTION("""COMPUTED_VALUE"""),4842.0)</f>
        <v>4842</v>
      </c>
      <c r="AX2123" s="65"/>
      <c r="AY2123" s="65" t="str">
        <f>IFERROR(__xludf.DUMMYFUNCTION("""COMPUTED_VALUE"""),"14/01/2026")</f>
        <v>14/01/2026</v>
      </c>
      <c r="AZ2123" s="65"/>
      <c r="BA2123" s="65"/>
    </row>
    <row r="2124">
      <c r="A2124" s="65" t="str">
        <f>IFERROR(__xludf.DUMMYFUNCTION("""COMPUTED_VALUE"""),"27-03-2026")</f>
        <v>27-03-2026</v>
      </c>
      <c r="B2124" s="65">
        <f>IFERROR(__xludf.DUMMYFUNCTION("""COMPUTED_VALUE"""),4096809.0)</f>
        <v>4096809</v>
      </c>
      <c r="C2124" s="65" t="str">
        <f>IFERROR(__xludf.DUMMYFUNCTION("""COMPUTED_VALUE"""),"17:34")</f>
        <v>17:34</v>
      </c>
      <c r="D2124" s="65" t="str">
        <f>IFERROR(__xludf.DUMMYFUNCTION("""COMPUTED_VALUE"""),"10-01-2026")</f>
        <v>10-01-2026</v>
      </c>
      <c r="E2124" s="65" t="str">
        <f>IFERROR(__xludf.DUMMYFUNCTION("""COMPUTED_VALUE"""),"Eduardo Efrain Ruiz Murillo")</f>
        <v>Eduardo Efrain Ruiz Murillo</v>
      </c>
      <c r="F2124" s="65" t="str">
        <f>IFERROR(__xludf.DUMMYFUNCTION("""COMPUTED_VALUE"""),"993582952")</f>
        <v>993582952</v>
      </c>
      <c r="G2124" s="65" t="str">
        <f>IFERROR(__xludf.DUMMYFUNCTION("""COMPUTED_VALUE"""),"mirey63@hotmail.com")</f>
        <v>mirey63@hotmail.com</v>
      </c>
      <c r="H2124" s="65"/>
      <c r="I2124" s="65"/>
      <c r="J2124" s="65" t="str">
        <f>IFERROR(__xludf.DUMMYFUNCTION("""COMPUTED_VALUE"""),"D001223220")</f>
        <v>D001223220</v>
      </c>
      <c r="K2124" s="65" t="str">
        <f>IFERROR(__xludf.DUMMYFUNCTION("""COMPUTED_VALUE"""),"DEVOLUCION")</f>
        <v>DEVOLUCION</v>
      </c>
      <c r="L2124" s="65" t="str">
        <f>IFERROR(__xludf.DUMMYFUNCTION("""COMPUTED_VALUE"""),"CON RECAUDO")</f>
        <v>CON RECAUDO</v>
      </c>
      <c r="M2124" s="65" t="str">
        <f>IFERROR(__xludf.DUMMYFUNCTION("""COMPUTED_VALUE"""),"GUAYAS")</f>
        <v>GUAYAS</v>
      </c>
      <c r="N2124" s="65" t="str">
        <f>IFERROR(__xludf.DUMMYFUNCTION("""COMPUTED_VALUE"""),"GUAYAQUIL")</f>
        <v>GUAYAQUIL</v>
      </c>
      <c r="O2124" s="65" t="str">
        <f>IFERROR(__xludf.DUMMYFUNCTION("""COMPUTED_VALUE"""),"Av. Rumichaca 832 y Av. 9 de Octubre")</f>
        <v>Av. Rumichaca 832 y Av. 9 de Octubre</v>
      </c>
      <c r="P2124" s="65"/>
      <c r="Q2124" s="65" t="str">
        <f>IFERROR(__xludf.DUMMYFUNCTION("""COMPUTED_VALUE"""),"GINTRACOM")</f>
        <v>GINTRACOM</v>
      </c>
      <c r="R2124" s="65">
        <f>IFERROR(__xludf.DUMMYFUNCTION("""COMPUTED_VALUE"""),32.0)</f>
        <v>32</v>
      </c>
      <c r="S2124" s="65"/>
      <c r="T2124" s="65">
        <f>IFERROR(__xludf.DUMMYFUNCTION("""COMPUTED_VALUE"""),4.63)</f>
        <v>4.63</v>
      </c>
      <c r="U2124" s="65">
        <f>IFERROR(__xludf.DUMMYFUNCTION("""COMPUTED_VALUE"""),0.0)</f>
        <v>0</v>
      </c>
      <c r="V2124" s="65">
        <f>IFERROR(__xludf.DUMMYFUNCTION("""COMPUTED_VALUE"""),0.0)</f>
        <v>0</v>
      </c>
      <c r="W2124" s="65">
        <f>IFERROR(__xludf.DUMMYFUNCTION("""COMPUTED_VALUE"""),0.0)</f>
        <v>0</v>
      </c>
      <c r="X2124" s="65">
        <f>IFERROR(__xludf.DUMMYFUNCTION("""COMPUTED_VALUE"""),2.6)</f>
        <v>2.6</v>
      </c>
      <c r="Y2124" s="65">
        <f>IFERROR(__xludf.DUMMYFUNCTION("""COMPUTED_VALUE"""),10.4)</f>
        <v>10.4</v>
      </c>
      <c r="Z2124" s="65">
        <f>IFERROR(__xludf.DUMMYFUNCTION("""COMPUTED_VALUE"""),121983.0)</f>
        <v>121983</v>
      </c>
      <c r="AA2124" s="65" t="str">
        <f>IFERROR(__xludf.DUMMYFUNCTION("""COMPUTED_VALUE"""),"PROV-CHLLCF")</f>
        <v>PROV-CHLLCF</v>
      </c>
      <c r="AB2124" s="65"/>
      <c r="AC2124" s="65" t="str">
        <f>IFERROR(__xludf.DUMMYFUNCTION("""COMPUTED_VALUE"""),"CUCHILLO PARA CHEF")</f>
        <v>CUCHILLO PARA CHEF</v>
      </c>
      <c r="AD2124" s="65"/>
      <c r="AE2124" s="65">
        <f>IFERROR(__xludf.DUMMYFUNCTION("""COMPUTED_VALUE"""),4.0)</f>
        <v>4</v>
      </c>
      <c r="AF2124" s="65" t="str">
        <f>IFERROR(__xludf.DUMMYFUNCTION("""COMPUTED_VALUE"""),"DESTINATARIO NO CONTESTA LLAMADAS NI WHATSAPP")</f>
        <v>DESTINATARIO NO CONTESTA LLAMADAS NI WHATSAPP</v>
      </c>
      <c r="AG2124" s="65" t="str">
        <f>IFERROR(__xludf.DUMMYFUNCTION("""COMPUTED_VALUE"""),"NO")</f>
        <v>NO</v>
      </c>
      <c r="AH2124" s="65" t="str">
        <f>IFERROR(__xludf.DUMMYFUNCTION("""COMPUTED_VALUE"""),"10:24")</f>
        <v>10:24</v>
      </c>
      <c r="AI2124" s="65" t="str">
        <f>IFERROR(__xludf.DUMMYFUNCTION("""COMPUTED_VALUE"""),"22-01-2026")</f>
        <v>22-01-2026</v>
      </c>
      <c r="AJ2124" s="65"/>
      <c r="AK2124" s="65"/>
      <c r="AL2124" s="65"/>
      <c r="AM2124" s="65"/>
      <c r="AN2124" s="65" t="str">
        <f>IFERROR(__xludf.DUMMYFUNCTION("""COMPUTED_VALUE"""),"13:45")</f>
        <v>13:45</v>
      </c>
      <c r="AO2124" s="65" t="str">
        <f>IFERROR(__xludf.DUMMYFUNCTION("""COMPUTED_VALUE"""),"05-02-2026")</f>
        <v>05-02-2026</v>
      </c>
      <c r="AP2124" s="65" t="str">
        <f>IFERROR(__xludf.DUMMYFUNCTION("""COMPUTED_VALUE"""),"DEV CONFIRMADA POR BODEGA")</f>
        <v>DEV CONFIRMADA POR BODEGA</v>
      </c>
      <c r="AQ2124" s="65"/>
      <c r="AR2124" s="65" t="str">
        <f>IFERROR(__xludf.DUMMYFUNCTION("""COMPUTED_VALUE"""),"Gestionado por: Moran Daniel, email:danielmorga2005@gmail.com, total de productos en la orden: 1")</f>
        <v>Gestionado por: Moran Daniel, email:danielmorga2005@gmail.com, total de productos en la orden: 1</v>
      </c>
      <c r="AS2124" s="65"/>
      <c r="AT2124" s="65" t="str">
        <f>IFERROR(__xludf.DUMMYFUNCTION("""COMPUTED_VALUE"""),"SHOPIFY")</f>
        <v>SHOPIFY</v>
      </c>
      <c r="AU2124" s="65" t="str">
        <f>IFERROR(__xludf.DUMMYFUNCTION("""COMPUTED_VALUE"""),"IMPORTEX EC")</f>
        <v>IMPORTEX EC</v>
      </c>
      <c r="AV2124" s="65" t="str">
        <f>IFERROR(__xludf.DUMMYFUNCTION("""COMPUTED_VALUE"""),"6404888952876")</f>
        <v>6404888952876</v>
      </c>
      <c r="AW2124" s="65">
        <f>IFERROR(__xludf.DUMMYFUNCTION("""COMPUTED_VALUE"""),4841.0)</f>
        <v>4841</v>
      </c>
      <c r="AX2124" s="65"/>
      <c r="AY2124" s="65" t="str">
        <f>IFERROR(__xludf.DUMMYFUNCTION("""COMPUTED_VALUE"""),"14/01/2026")</f>
        <v>14/01/2026</v>
      </c>
      <c r="AZ2124" s="65"/>
      <c r="BA2124" s="65"/>
    </row>
    <row r="2125">
      <c r="A2125" s="65" t="str">
        <f>IFERROR(__xludf.DUMMYFUNCTION("""COMPUTED_VALUE"""),"27-03-2026")</f>
        <v>27-03-2026</v>
      </c>
      <c r="B2125" s="65">
        <f>IFERROR(__xludf.DUMMYFUNCTION("""COMPUTED_VALUE"""),4096796.0)</f>
        <v>4096796</v>
      </c>
      <c r="C2125" s="65" t="str">
        <f>IFERROR(__xludf.DUMMYFUNCTION("""COMPUTED_VALUE"""),"17:33")</f>
        <v>17:33</v>
      </c>
      <c r="D2125" s="65" t="str">
        <f>IFERROR(__xludf.DUMMYFUNCTION("""COMPUTED_VALUE"""),"10-01-2026")</f>
        <v>10-01-2026</v>
      </c>
      <c r="E2125" s="65" t="str">
        <f>IFERROR(__xludf.DUMMYFUNCTION("""COMPUTED_VALUE"""),"Silvio Alfredo Durán")</f>
        <v>Silvio Alfredo Durán</v>
      </c>
      <c r="F2125" s="65" t="str">
        <f>IFERROR(__xludf.DUMMYFUNCTION("""COMPUTED_VALUE"""),"999747249")</f>
        <v>999747249</v>
      </c>
      <c r="G2125" s="65" t="str">
        <f>IFERROR(__xludf.DUMMYFUNCTION("""COMPUTED_VALUE"""),"alfredoduran1310@gymail.con")</f>
        <v>alfredoduran1310@gymail.con</v>
      </c>
      <c r="H2125" s="65"/>
      <c r="I2125" s="65"/>
      <c r="J2125" s="65" t="str">
        <f>IFERROR(__xludf.DUMMYFUNCTION("""COMPUTED_VALUE"""),"D001223223")</f>
        <v>D001223223</v>
      </c>
      <c r="K2125" s="65" t="str">
        <f>IFERROR(__xludf.DUMMYFUNCTION("""COMPUTED_VALUE"""),"ENTREGADO")</f>
        <v>ENTREGADO</v>
      </c>
      <c r="L2125" s="65" t="str">
        <f>IFERROR(__xludf.DUMMYFUNCTION("""COMPUTED_VALUE"""),"CON RECAUDO")</f>
        <v>CON RECAUDO</v>
      </c>
      <c r="M2125" s="65" t="str">
        <f>IFERROR(__xludf.DUMMYFUNCTION("""COMPUTED_VALUE"""),"MANABI")</f>
        <v>MANABI</v>
      </c>
      <c r="N2125" s="65" t="str">
        <f>IFERROR(__xludf.DUMMYFUNCTION("""COMPUTED_VALUE"""),"PORTOVIEJO")</f>
        <v>PORTOVIEJO</v>
      </c>
      <c r="O2125" s="65" t="str">
        <f>IFERROR(__xludf.DUMMYFUNCTION("""COMPUTED_VALUE"""),"Ciudadela California Urb. San Sebastián Mz.H V.1 - Calle Santa Marianita y Calle San Diego - Portoviejo")</f>
        <v>Ciudadela California Urb. San Sebastián Mz.H V.1 - Calle Santa Marianita y Calle San Diego - Portoviejo</v>
      </c>
      <c r="P2125" s="65"/>
      <c r="Q2125" s="65" t="str">
        <f>IFERROR(__xludf.DUMMYFUNCTION("""COMPUTED_VALUE"""),"GINTRACOM")</f>
        <v>GINTRACOM</v>
      </c>
      <c r="R2125" s="65">
        <f>IFERROR(__xludf.DUMMYFUNCTION("""COMPUTED_VALUE"""),27.0)</f>
        <v>27</v>
      </c>
      <c r="S2125" s="65">
        <f>IFERROR(__xludf.DUMMYFUNCTION("""COMPUTED_VALUE"""),13.17)</f>
        <v>13.17</v>
      </c>
      <c r="T2125" s="65">
        <f>IFERROR(__xludf.DUMMYFUNCTION("""COMPUTED_VALUE"""),6.03)</f>
        <v>6.03</v>
      </c>
      <c r="U2125" s="65">
        <f>IFERROR(__xludf.DUMMYFUNCTION("""COMPUTED_VALUE"""),0.0)</f>
        <v>0</v>
      </c>
      <c r="V2125" s="65">
        <f>IFERROR(__xludf.DUMMYFUNCTION("""COMPUTED_VALUE"""),0.0)</f>
        <v>0</v>
      </c>
      <c r="W2125" s="65">
        <f>IFERROR(__xludf.DUMMYFUNCTION("""COMPUTED_VALUE"""),0.0)</f>
        <v>0</v>
      </c>
      <c r="X2125" s="65">
        <f>IFERROR(__xludf.DUMMYFUNCTION("""COMPUTED_VALUE"""),2.6)</f>
        <v>2.6</v>
      </c>
      <c r="Y2125" s="65">
        <f>IFERROR(__xludf.DUMMYFUNCTION("""COMPUTED_VALUE"""),7.8)</f>
        <v>7.8</v>
      </c>
      <c r="Z2125" s="65">
        <f>IFERROR(__xludf.DUMMYFUNCTION("""COMPUTED_VALUE"""),121983.0)</f>
        <v>121983</v>
      </c>
      <c r="AA2125" s="65" t="str">
        <f>IFERROR(__xludf.DUMMYFUNCTION("""COMPUTED_VALUE"""),"PROV-CHLLCF")</f>
        <v>PROV-CHLLCF</v>
      </c>
      <c r="AB2125" s="65"/>
      <c r="AC2125" s="65" t="str">
        <f>IFERROR(__xludf.DUMMYFUNCTION("""COMPUTED_VALUE"""),"CUCHILLO PARA CHEF")</f>
        <v>CUCHILLO PARA CHEF</v>
      </c>
      <c r="AD2125" s="65"/>
      <c r="AE2125" s="65">
        <f>IFERROR(__xludf.DUMMYFUNCTION("""COMPUTED_VALUE"""),3.0)</f>
        <v>3</v>
      </c>
      <c r="AF2125" s="65"/>
      <c r="AG2125" s="65"/>
      <c r="AH2125" s="65"/>
      <c r="AI2125" s="65"/>
      <c r="AJ2125" s="65"/>
      <c r="AK2125" s="65"/>
      <c r="AL2125" s="65"/>
      <c r="AM2125" s="65"/>
      <c r="AN2125" s="65" t="str">
        <f>IFERROR(__xludf.DUMMYFUNCTION("""COMPUTED_VALUE"""),"08:59")</f>
        <v>08:59</v>
      </c>
      <c r="AO2125" s="65" t="str">
        <f>IFERROR(__xludf.DUMMYFUNCTION("""COMPUTED_VALUE"""),"20-01-2026")</f>
        <v>20-01-2026</v>
      </c>
      <c r="AP2125" s="65" t="str">
        <f>IFERROR(__xludf.DUMMYFUNCTION("""COMPUTED_VALUE"""),"ENTREGADA GINTRACOM")</f>
        <v>ENTREGADA GINTRACOM</v>
      </c>
      <c r="AQ2125" s="65" t="str">
        <f>IFERROR(__xludf.DUMMYFUNCTION("""COMPUTED_VALUE"""),"ENTREGADA GINTRACOM")</f>
        <v>ENTREGADA GINTRACOM</v>
      </c>
      <c r="AR2125" s="65"/>
      <c r="AS2125" s="65"/>
      <c r="AT2125" s="65" t="str">
        <f>IFERROR(__xludf.DUMMYFUNCTION("""COMPUTED_VALUE"""),"SHOPIFY")</f>
        <v>SHOPIFY</v>
      </c>
      <c r="AU2125" s="65" t="str">
        <f>IFERROR(__xludf.DUMMYFUNCTION("""COMPUTED_VALUE"""),"IMPORTEX EC")</f>
        <v>IMPORTEX EC</v>
      </c>
      <c r="AV2125" s="65" t="str">
        <f>IFERROR(__xludf.DUMMYFUNCTION("""COMPUTED_VALUE"""),"6404884496428")</f>
        <v>6404884496428</v>
      </c>
      <c r="AW2125" s="65">
        <f>IFERROR(__xludf.DUMMYFUNCTION("""COMPUTED_VALUE"""),4840.0)</f>
        <v>4840</v>
      </c>
      <c r="AX2125" s="65"/>
      <c r="AY2125" s="65" t="str">
        <f>IFERROR(__xludf.DUMMYFUNCTION("""COMPUTED_VALUE"""),"14/01/2026")</f>
        <v>14/01/2026</v>
      </c>
      <c r="AZ2125" s="65"/>
      <c r="BA2125" s="65"/>
    </row>
    <row r="2126">
      <c r="A2126" s="65" t="str">
        <f>IFERROR(__xludf.DUMMYFUNCTION("""COMPUTED_VALUE"""),"27-03-2026")</f>
        <v>27-03-2026</v>
      </c>
      <c r="B2126" s="65">
        <f>IFERROR(__xludf.DUMMYFUNCTION("""COMPUTED_VALUE"""),4096790.0)</f>
        <v>4096790</v>
      </c>
      <c r="C2126" s="65" t="str">
        <f>IFERROR(__xludf.DUMMYFUNCTION("""COMPUTED_VALUE"""),"17:32")</f>
        <v>17:32</v>
      </c>
      <c r="D2126" s="65" t="str">
        <f>IFERROR(__xludf.DUMMYFUNCTION("""COMPUTED_VALUE"""),"10-01-2026")</f>
        <v>10-01-2026</v>
      </c>
      <c r="E2126" s="65" t="str">
        <f>IFERROR(__xludf.DUMMYFUNCTION("""COMPUTED_VALUE"""),"Miguel Fernando Maldonado Barba Maldonado Barba")</f>
        <v>Miguel Fernando Maldonado Barba Maldonado Barba</v>
      </c>
      <c r="F2126" s="65" t="str">
        <f>IFERROR(__xludf.DUMMYFUNCTION("""COMPUTED_VALUE"""),"993909668")</f>
        <v>993909668</v>
      </c>
      <c r="G2126" s="65" t="str">
        <f>IFERROR(__xludf.DUMMYFUNCTION("""COMPUTED_VALUE"""),"maldonadobar@hotmail.com")</f>
        <v>maldonadobar@hotmail.com</v>
      </c>
      <c r="H2126" s="65"/>
      <c r="I2126" s="65"/>
      <c r="J2126" s="65" t="str">
        <f>IFERROR(__xludf.DUMMYFUNCTION("""COMPUTED_VALUE"""),"186973356")</f>
        <v>186973356</v>
      </c>
      <c r="K2126" s="65" t="str">
        <f>IFERROR(__xludf.DUMMYFUNCTION("""COMPUTED_VALUE"""),"ENTREGADO")</f>
        <v>ENTREGADO</v>
      </c>
      <c r="L2126" s="65" t="str">
        <f>IFERROR(__xludf.DUMMYFUNCTION("""COMPUTED_VALUE"""),"CON RECAUDO")</f>
        <v>CON RECAUDO</v>
      </c>
      <c r="M2126" s="65" t="str">
        <f>IFERROR(__xludf.DUMMYFUNCTION("""COMPUTED_VALUE"""),"ZAMORA CHINCHIPE")</f>
        <v>ZAMORA CHINCHIPE</v>
      </c>
      <c r="N2126" s="65" t="str">
        <f>IFERROR(__xludf.DUMMYFUNCTION("""COMPUTED_VALUE"""),"YANTZAZA")</f>
        <v>YANTZAZA</v>
      </c>
      <c r="O2126" s="65" t="str">
        <f>IFERROR(__xludf.DUMMYFUNCTION("""COMPUTED_VALUE"""),"Sector Barrio San Francisco - Av. IVAN RIOFRIO y Calle ROLANDO COBOS - Ref. Diagonal a la Terminal Terrestre")</f>
        <v>Sector Barrio San Francisco - Av. IVAN RIOFRIO y Calle ROLANDO COBOS - Ref. Diagonal a la Terminal Terrestre</v>
      </c>
      <c r="P2126" s="65"/>
      <c r="Q2126" s="65" t="str">
        <f>IFERROR(__xludf.DUMMYFUNCTION("""COMPUTED_VALUE"""),"SERVIENTREGA")</f>
        <v>SERVIENTREGA</v>
      </c>
      <c r="R2126" s="65">
        <f>IFERROR(__xludf.DUMMYFUNCTION("""COMPUTED_VALUE"""),27.0)</f>
        <v>27</v>
      </c>
      <c r="S2126" s="65">
        <f>IFERROR(__xludf.DUMMYFUNCTION("""COMPUTED_VALUE"""),11.43)</f>
        <v>11.43</v>
      </c>
      <c r="T2126" s="65">
        <f>IFERROR(__xludf.DUMMYFUNCTION("""COMPUTED_VALUE"""),7.77)</f>
        <v>7.77</v>
      </c>
      <c r="U2126" s="65">
        <f>IFERROR(__xludf.DUMMYFUNCTION("""COMPUTED_VALUE"""),0.0)</f>
        <v>0</v>
      </c>
      <c r="V2126" s="65">
        <f>IFERROR(__xludf.DUMMYFUNCTION("""COMPUTED_VALUE"""),0.0)</f>
        <v>0</v>
      </c>
      <c r="W2126" s="65">
        <f>IFERROR(__xludf.DUMMYFUNCTION("""COMPUTED_VALUE"""),0.0)</f>
        <v>0</v>
      </c>
      <c r="X2126" s="65">
        <f>IFERROR(__xludf.DUMMYFUNCTION("""COMPUTED_VALUE"""),2.6)</f>
        <v>2.6</v>
      </c>
      <c r="Y2126" s="65">
        <f>IFERROR(__xludf.DUMMYFUNCTION("""COMPUTED_VALUE"""),7.8)</f>
        <v>7.8</v>
      </c>
      <c r="Z2126" s="65">
        <f>IFERROR(__xludf.DUMMYFUNCTION("""COMPUTED_VALUE"""),121983.0)</f>
        <v>121983</v>
      </c>
      <c r="AA2126" s="65" t="str">
        <f>IFERROR(__xludf.DUMMYFUNCTION("""COMPUTED_VALUE"""),"PROV-CHLLCF")</f>
        <v>PROV-CHLLCF</v>
      </c>
      <c r="AB2126" s="65"/>
      <c r="AC2126" s="65" t="str">
        <f>IFERROR(__xludf.DUMMYFUNCTION("""COMPUTED_VALUE"""),"CUCHILLO PARA CHEF")</f>
        <v>CUCHILLO PARA CHEF</v>
      </c>
      <c r="AD2126" s="65"/>
      <c r="AE2126" s="65">
        <f>IFERROR(__xludf.DUMMYFUNCTION("""COMPUTED_VALUE"""),3.0)</f>
        <v>3</v>
      </c>
      <c r="AF2126" s="65"/>
      <c r="AG2126" s="65"/>
      <c r="AH2126" s="65"/>
      <c r="AI2126" s="65"/>
      <c r="AJ2126" s="65"/>
      <c r="AK2126" s="65"/>
      <c r="AL2126" s="65"/>
      <c r="AM2126" s="65"/>
      <c r="AN2126" s="65" t="str">
        <f>IFERROR(__xludf.DUMMYFUNCTION("""COMPUTED_VALUE"""),"18:36")</f>
        <v>18:36</v>
      </c>
      <c r="AO2126" s="65" t="str">
        <f>IFERROR(__xludf.DUMMYFUNCTION("""COMPUTED_VALUE"""),"28-01-2026")</f>
        <v>28-01-2026</v>
      </c>
      <c r="AP2126" s="65" t="str">
        <f>IFERROR(__xludf.DUMMYFUNCTION("""COMPUTED_VALUE"""),"ENTREGA DIGITALIZADA EN CENTRO LOGISTICO")</f>
        <v>ENTREGA DIGITALIZADA EN CENTRO LOGISTICO</v>
      </c>
      <c r="AQ2126" s="65" t="str">
        <f>IFERROR(__xludf.DUMMYFUNCTION("""COMPUTED_VALUE"""),"miguel")</f>
        <v>miguel</v>
      </c>
      <c r="AR2126" s="65"/>
      <c r="AS2126" s="65"/>
      <c r="AT2126" s="65" t="str">
        <f>IFERROR(__xludf.DUMMYFUNCTION("""COMPUTED_VALUE"""),"SHOPIFY")</f>
        <v>SHOPIFY</v>
      </c>
      <c r="AU2126" s="65" t="str">
        <f>IFERROR(__xludf.DUMMYFUNCTION("""COMPUTED_VALUE"""),"IMPORTEX EC")</f>
        <v>IMPORTEX EC</v>
      </c>
      <c r="AV2126" s="65" t="str">
        <f>IFERROR(__xludf.DUMMYFUNCTION("""COMPUTED_VALUE"""),"6404882432044")</f>
        <v>6404882432044</v>
      </c>
      <c r="AW2126" s="65">
        <f>IFERROR(__xludf.DUMMYFUNCTION("""COMPUTED_VALUE"""),4839.0)</f>
        <v>4839</v>
      </c>
      <c r="AX2126" s="65"/>
      <c r="AY2126" s="65" t="str">
        <f>IFERROR(__xludf.DUMMYFUNCTION("""COMPUTED_VALUE"""),"14/01/2026")</f>
        <v>14/01/2026</v>
      </c>
      <c r="AZ2126" s="65"/>
      <c r="BA2126" s="65"/>
    </row>
    <row r="2127">
      <c r="A2127" s="65" t="str">
        <f>IFERROR(__xludf.DUMMYFUNCTION("""COMPUTED_VALUE"""),"27-03-2026")</f>
        <v>27-03-2026</v>
      </c>
      <c r="B2127" s="65">
        <f>IFERROR(__xludf.DUMMYFUNCTION("""COMPUTED_VALUE"""),4096737.0)</f>
        <v>4096737</v>
      </c>
      <c r="C2127" s="65" t="str">
        <f>IFERROR(__xludf.DUMMYFUNCTION("""COMPUTED_VALUE"""),"17:26")</f>
        <v>17:26</v>
      </c>
      <c r="D2127" s="65" t="str">
        <f>IFERROR(__xludf.DUMMYFUNCTION("""COMPUTED_VALUE"""),"10-01-2026")</f>
        <v>10-01-2026</v>
      </c>
      <c r="E2127" s="65" t="str">
        <f>IFERROR(__xludf.DUMMYFUNCTION("""COMPUTED_VALUE"""),"Ufredo Santamaría")</f>
        <v>Ufredo Santamaría</v>
      </c>
      <c r="F2127" s="65" t="str">
        <f>IFERROR(__xludf.DUMMYFUNCTION("""COMPUTED_VALUE"""),"989168886")</f>
        <v>989168886</v>
      </c>
      <c r="G2127" s="65" t="str">
        <f>IFERROR(__xludf.DUMMYFUNCTION("""COMPUTED_VALUE"""),"santamaria73_@hotmail.com")</f>
        <v>santamaria73_@hotmail.com</v>
      </c>
      <c r="H2127" s="65"/>
      <c r="I2127" s="65"/>
      <c r="J2127" s="65" t="str">
        <f>IFERROR(__xludf.DUMMYFUNCTION("""COMPUTED_VALUE"""),"D001223226")</f>
        <v>D001223226</v>
      </c>
      <c r="K2127" s="65" t="str">
        <f>IFERROR(__xludf.DUMMYFUNCTION("""COMPUTED_VALUE"""),"DEVOLUCION")</f>
        <v>DEVOLUCION</v>
      </c>
      <c r="L2127" s="65" t="str">
        <f>IFERROR(__xludf.DUMMYFUNCTION("""COMPUTED_VALUE"""),"CON RECAUDO")</f>
        <v>CON RECAUDO</v>
      </c>
      <c r="M2127" s="65" t="str">
        <f>IFERROR(__xludf.DUMMYFUNCTION("""COMPUTED_VALUE"""),"LOS RIOS")</f>
        <v>LOS RIOS</v>
      </c>
      <c r="N2127" s="65" t="str">
        <f>IFERROR(__xludf.DUMMYFUNCTION("""COMPUTED_VALUE"""),"VENTANAS")</f>
        <v>VENTANAS</v>
      </c>
      <c r="O2127" s="65" t="str">
        <f>IFERROR(__xludf.DUMMYFUNCTION("""COMPUTED_VALUE"""),"Calle 10 de agosto y Bonilla Polo a pocos pasos del Hotel cochapamba Sector Barrio limón -")</f>
        <v>Calle 10 de agosto y Bonilla Polo a pocos pasos del Hotel cochapamba Sector Barrio limón -</v>
      </c>
      <c r="P2127" s="65"/>
      <c r="Q2127" s="65" t="str">
        <f>IFERROR(__xludf.DUMMYFUNCTION("""COMPUTED_VALUE"""),"GINTRACOM")</f>
        <v>GINTRACOM</v>
      </c>
      <c r="R2127" s="65">
        <f>IFERROR(__xludf.DUMMYFUNCTION("""COMPUTED_VALUE"""),22.0)</f>
        <v>22</v>
      </c>
      <c r="S2127" s="65"/>
      <c r="T2127" s="65">
        <f>IFERROR(__xludf.DUMMYFUNCTION("""COMPUTED_VALUE"""),5.84)</f>
        <v>5.84</v>
      </c>
      <c r="U2127" s="65">
        <f>IFERROR(__xludf.DUMMYFUNCTION("""COMPUTED_VALUE"""),0.0)</f>
        <v>0</v>
      </c>
      <c r="V2127" s="65">
        <f>IFERROR(__xludf.DUMMYFUNCTION("""COMPUTED_VALUE"""),0.0)</f>
        <v>0</v>
      </c>
      <c r="W2127" s="65">
        <f>IFERROR(__xludf.DUMMYFUNCTION("""COMPUTED_VALUE"""),0.0)</f>
        <v>0</v>
      </c>
      <c r="X2127" s="65">
        <f>IFERROR(__xludf.DUMMYFUNCTION("""COMPUTED_VALUE"""),2.6)</f>
        <v>2.6</v>
      </c>
      <c r="Y2127" s="65">
        <f>IFERROR(__xludf.DUMMYFUNCTION("""COMPUTED_VALUE"""),5.2)</f>
        <v>5.2</v>
      </c>
      <c r="Z2127" s="65">
        <f>IFERROR(__xludf.DUMMYFUNCTION("""COMPUTED_VALUE"""),121983.0)</f>
        <v>121983</v>
      </c>
      <c r="AA2127" s="65" t="str">
        <f>IFERROR(__xludf.DUMMYFUNCTION("""COMPUTED_VALUE"""),"PROV-CHLLCF")</f>
        <v>PROV-CHLLCF</v>
      </c>
      <c r="AB2127" s="65"/>
      <c r="AC2127" s="65" t="str">
        <f>IFERROR(__xludf.DUMMYFUNCTION("""COMPUTED_VALUE"""),"CUCHILLO PARA CHEF")</f>
        <v>CUCHILLO PARA CHEF</v>
      </c>
      <c r="AD2127" s="65"/>
      <c r="AE2127" s="65">
        <f>IFERROR(__xludf.DUMMYFUNCTION("""COMPUTED_VALUE"""),2.0)</f>
        <v>2</v>
      </c>
      <c r="AF2127" s="65" t="str">
        <f>IFERROR(__xludf.DUMMYFUNCTION("""COMPUTED_VALUE"""),"DESTINATARIO INDICA QUE ESTÁ INCONFORME CON EL PRODUCTO. (NO RECIBE)")</f>
        <v>DESTINATARIO INDICA QUE ESTÁ INCONFORME CON EL PRODUCTO. (NO RECIBE)</v>
      </c>
      <c r="AG2127" s="65" t="str">
        <f>IFERROR(__xludf.DUMMYFUNCTION("""COMPUTED_VALUE"""),"NO")</f>
        <v>NO</v>
      </c>
      <c r="AH2127" s="65" t="str">
        <f>IFERROR(__xludf.DUMMYFUNCTION("""COMPUTED_VALUE"""),"13:11")</f>
        <v>13:11</v>
      </c>
      <c r="AI2127" s="65" t="str">
        <f>IFERROR(__xludf.DUMMYFUNCTION("""COMPUTED_VALUE"""),"24-01-2026")</f>
        <v>24-01-2026</v>
      </c>
      <c r="AJ2127" s="65"/>
      <c r="AK2127" s="65"/>
      <c r="AL2127" s="65"/>
      <c r="AM2127" s="65"/>
      <c r="AN2127" s="65" t="str">
        <f>IFERROR(__xludf.DUMMYFUNCTION("""COMPUTED_VALUE"""),"16:36")</f>
        <v>16:36</v>
      </c>
      <c r="AO2127" s="65" t="str">
        <f>IFERROR(__xludf.DUMMYFUNCTION("""COMPUTED_VALUE"""),"13-02-2026")</f>
        <v>13-02-2026</v>
      </c>
      <c r="AP2127" s="65" t="str">
        <f>IFERROR(__xludf.DUMMYFUNCTION("""COMPUTED_VALUE"""),"DEV CONFIRMADA POR BODEGA")</f>
        <v>DEV CONFIRMADA POR BODEGA</v>
      </c>
      <c r="AQ2127" s="65"/>
      <c r="AR2127" s="65" t="str">
        <f>IFERROR(__xludf.DUMMYFUNCTION("""COMPUTED_VALUE"""),"Gestionado por: PROVEDIX DAMIAN, email:enviogratisdirecto@gmail.com, total de productos en la orden: 1")</f>
        <v>Gestionado por: PROVEDIX DAMIAN, email:enviogratisdirecto@gmail.com, total de productos en la orden: 1</v>
      </c>
      <c r="AS2127" s="65"/>
      <c r="AT2127" s="65" t="str">
        <f>IFERROR(__xludf.DUMMYFUNCTION("""COMPUTED_VALUE"""),"SHOPIFY")</f>
        <v>SHOPIFY</v>
      </c>
      <c r="AU2127" s="65" t="str">
        <f>IFERROR(__xludf.DUMMYFUNCTION("""COMPUTED_VALUE"""),"IMPORTEX EC")</f>
        <v>IMPORTEX EC</v>
      </c>
      <c r="AV2127" s="65" t="str">
        <f>IFERROR(__xludf.DUMMYFUNCTION("""COMPUTED_VALUE"""),"6404867883052")</f>
        <v>6404867883052</v>
      </c>
      <c r="AW2127" s="65">
        <f>IFERROR(__xludf.DUMMYFUNCTION("""COMPUTED_VALUE"""),4838.0)</f>
        <v>4838</v>
      </c>
      <c r="AX2127" s="65"/>
      <c r="AY2127" s="65" t="str">
        <f>IFERROR(__xludf.DUMMYFUNCTION("""COMPUTED_VALUE"""),"14/01/2026")</f>
        <v>14/01/2026</v>
      </c>
      <c r="AZ2127" s="65"/>
      <c r="BA2127" s="65"/>
    </row>
    <row r="2128">
      <c r="A2128" s="65" t="str">
        <f>IFERROR(__xludf.DUMMYFUNCTION("""COMPUTED_VALUE"""),"27-03-2026")</f>
        <v>27-03-2026</v>
      </c>
      <c r="B2128" s="65">
        <f>IFERROR(__xludf.DUMMYFUNCTION("""COMPUTED_VALUE"""),4096576.0)</f>
        <v>4096576</v>
      </c>
      <c r="C2128" s="65" t="str">
        <f>IFERROR(__xludf.DUMMYFUNCTION("""COMPUTED_VALUE"""),"17:07")</f>
        <v>17:07</v>
      </c>
      <c r="D2128" s="65" t="str">
        <f>IFERROR(__xludf.DUMMYFUNCTION("""COMPUTED_VALUE"""),"10-01-2026")</f>
        <v>10-01-2026</v>
      </c>
      <c r="E2128" s="65" t="str">
        <f>IFERROR(__xludf.DUMMYFUNCTION("""COMPUTED_VALUE"""),"José Suarez")</f>
        <v>José Suarez</v>
      </c>
      <c r="F2128" s="65" t="str">
        <f>IFERROR(__xludf.DUMMYFUNCTION("""COMPUTED_VALUE"""),"995408783")</f>
        <v>995408783</v>
      </c>
      <c r="G2128" s="65" t="str">
        <f>IFERROR(__xludf.DUMMYFUNCTION("""COMPUTED_VALUE"""),"jricardosuarez81@gmail.com")</f>
        <v>jricardosuarez81@gmail.com</v>
      </c>
      <c r="H2128" s="65"/>
      <c r="I2128" s="65"/>
      <c r="J2128" s="65" t="str">
        <f>IFERROR(__xludf.DUMMYFUNCTION("""COMPUTED_VALUE"""),"186973358")</f>
        <v>186973358</v>
      </c>
      <c r="K2128" s="65" t="str">
        <f>IFERROR(__xludf.DUMMYFUNCTION("""COMPUTED_VALUE"""),"DEVOLUCION")</f>
        <v>DEVOLUCION</v>
      </c>
      <c r="L2128" s="65" t="str">
        <f>IFERROR(__xludf.DUMMYFUNCTION("""COMPUTED_VALUE"""),"CON RECAUDO")</f>
        <v>CON RECAUDO</v>
      </c>
      <c r="M2128" s="65" t="str">
        <f>IFERROR(__xludf.DUMMYFUNCTION("""COMPUTED_VALUE"""),"GUAYAS")</f>
        <v>GUAYAS</v>
      </c>
      <c r="N2128" s="65" t="str">
        <f>IFERROR(__xludf.DUMMYFUNCTION("""COMPUTED_VALUE"""),"PLAYAS")</f>
        <v>PLAYAS</v>
      </c>
      <c r="O2128" s="65" t="str">
        <f>IFERROR(__xludf.DUMMYFUNCTION("""COMPUTED_VALUE"""),"Av. 3 de agosto Y Av. 3  de noviembre Color beige con jardinera portón negro y puerta negra -")</f>
        <v>Av. 3 de agosto Y Av. 3  de noviembre Color beige con jardinera portón negro y puerta negra -</v>
      </c>
      <c r="P2128" s="65"/>
      <c r="Q2128" s="65" t="str">
        <f>IFERROR(__xludf.DUMMYFUNCTION("""COMPUTED_VALUE"""),"SERVIENTREGA")</f>
        <v>SERVIENTREGA</v>
      </c>
      <c r="R2128" s="65">
        <f>IFERROR(__xludf.DUMMYFUNCTION("""COMPUTED_VALUE"""),20.0)</f>
        <v>20</v>
      </c>
      <c r="S2128" s="65"/>
      <c r="T2128" s="65">
        <f>IFERROR(__xludf.DUMMYFUNCTION("""COMPUTED_VALUE"""),7.67)</f>
        <v>7.67</v>
      </c>
      <c r="U2128" s="65">
        <f>IFERROR(__xludf.DUMMYFUNCTION("""COMPUTED_VALUE"""),0.0)</f>
        <v>0</v>
      </c>
      <c r="V2128" s="65">
        <f>IFERROR(__xludf.DUMMYFUNCTION("""COMPUTED_VALUE"""),0.0)</f>
        <v>0</v>
      </c>
      <c r="W2128" s="65">
        <f>IFERROR(__xludf.DUMMYFUNCTION("""COMPUTED_VALUE"""),0.0)</f>
        <v>0</v>
      </c>
      <c r="X2128" s="65">
        <f>IFERROR(__xludf.DUMMYFUNCTION("""COMPUTED_VALUE"""),2.79)</f>
        <v>2.79</v>
      </c>
      <c r="Y2128" s="65">
        <f>IFERROR(__xludf.DUMMYFUNCTION("""COMPUTED_VALUE"""),2.79)</f>
        <v>2.79</v>
      </c>
      <c r="Z2128" s="65">
        <f>IFERROR(__xludf.DUMMYFUNCTION("""COMPUTED_VALUE"""),120732.0)</f>
        <v>120732</v>
      </c>
      <c r="AA2128" s="65" t="str">
        <f>IFERROR(__xludf.DUMMYFUNCTION("""COMPUTED_VALUE"""),"PROV-LMPVT")</f>
        <v>PROV-LMPVT</v>
      </c>
      <c r="AB2128" s="65"/>
      <c r="AC2128" s="65" t="str">
        <f>IFERROR(__xludf.DUMMYFUNCTION("""COMPUTED_VALUE"""),"LIMPIADOR DE PARABRISAS Y VENTANAS")</f>
        <v>LIMPIADOR DE PARABRISAS Y VENTANAS</v>
      </c>
      <c r="AD2128" s="65"/>
      <c r="AE2128" s="65">
        <f>IFERROR(__xludf.DUMMYFUNCTION("""COMPUTED_VALUE"""),1.0)</f>
        <v>1</v>
      </c>
      <c r="AF2128" s="65" t="str">
        <f>IFERROR(__xludf.DUMMYFUNCTION("""COMPUTED_VALUE"""),"DEVOLUCION AL REMITENTE")</f>
        <v>DEVOLUCION AL REMITENTE</v>
      </c>
      <c r="AG2128" s="65" t="str">
        <f>IFERROR(__xludf.DUMMYFUNCTION("""COMPUTED_VALUE"""),"NO")</f>
        <v>NO</v>
      </c>
      <c r="AH2128" s="65" t="str">
        <f>IFERROR(__xludf.DUMMYFUNCTION("""COMPUTED_VALUE"""),"15:30")</f>
        <v>15:30</v>
      </c>
      <c r="AI2128" s="65" t="str">
        <f>IFERROR(__xludf.DUMMYFUNCTION("""COMPUTED_VALUE"""),"26-01-2026")</f>
        <v>26-01-2026</v>
      </c>
      <c r="AJ2128" s="65"/>
      <c r="AK2128" s="65"/>
      <c r="AL2128" s="65"/>
      <c r="AM2128" s="65"/>
      <c r="AN2128" s="65" t="str">
        <f>IFERROR(__xludf.DUMMYFUNCTION("""COMPUTED_VALUE"""),"16:56")</f>
        <v>16:56</v>
      </c>
      <c r="AO2128" s="65" t="str">
        <f>IFERROR(__xludf.DUMMYFUNCTION("""COMPUTED_VALUE"""),"29-01-2026")</f>
        <v>29-01-2026</v>
      </c>
      <c r="AP2128" s="65" t="str">
        <f>IFERROR(__xludf.DUMMYFUNCTION("""COMPUTED_VALUE"""),"DEV CONFIRMADA POR BODEGA")</f>
        <v>DEV CONFIRMADA POR BODEGA</v>
      </c>
      <c r="AQ2128" s="65"/>
      <c r="AR2128" s="65" t="str">
        <f>IFERROR(__xludf.DUMMYFUNCTION("""COMPUTED_VALUE"""),"Gestionado por: Moran Daniel, email:danielmorga2005@gmail.com, total de productos en la orden: 1")</f>
        <v>Gestionado por: Moran Daniel, email:danielmorga2005@gmail.com, total de productos en la orden: 1</v>
      </c>
      <c r="AS2128" s="65"/>
      <c r="AT2128" s="65" t="str">
        <f>IFERROR(__xludf.DUMMYFUNCTION("""COMPUTED_VALUE"""),"SHOPIFY")</f>
        <v>SHOPIFY</v>
      </c>
      <c r="AU2128" s="65" t="str">
        <f>IFERROR(__xludf.DUMMYFUNCTION("""COMPUTED_VALUE"""),"IMPORTEX EC")</f>
        <v>IMPORTEX EC</v>
      </c>
      <c r="AV2128" s="65" t="str">
        <f>IFERROR(__xludf.DUMMYFUNCTION("""COMPUTED_VALUE"""),"6404824006700")</f>
        <v>6404824006700</v>
      </c>
      <c r="AW2128" s="65">
        <f>IFERROR(__xludf.DUMMYFUNCTION("""COMPUTED_VALUE"""),4837.0)</f>
        <v>4837</v>
      </c>
      <c r="AX2128" s="65"/>
      <c r="AY2128" s="65" t="str">
        <f>IFERROR(__xludf.DUMMYFUNCTION("""COMPUTED_VALUE"""),"14/01/2026")</f>
        <v>14/01/2026</v>
      </c>
      <c r="AZ2128" s="65"/>
      <c r="BA2128" s="65"/>
    </row>
    <row r="2129">
      <c r="A2129" s="65" t="str">
        <f>IFERROR(__xludf.DUMMYFUNCTION("""COMPUTED_VALUE"""),"27-03-2026")</f>
        <v>27-03-2026</v>
      </c>
      <c r="B2129" s="65">
        <f>IFERROR(__xludf.DUMMYFUNCTION("""COMPUTED_VALUE"""),4096404.0)</f>
        <v>4096404</v>
      </c>
      <c r="C2129" s="65" t="str">
        <f>IFERROR(__xludf.DUMMYFUNCTION("""COMPUTED_VALUE"""),"16:44")</f>
        <v>16:44</v>
      </c>
      <c r="D2129" s="65" t="str">
        <f>IFERROR(__xludf.DUMMYFUNCTION("""COMPUTED_VALUE"""),"10-01-2026")</f>
        <v>10-01-2026</v>
      </c>
      <c r="E2129" s="65" t="str">
        <f>IFERROR(__xludf.DUMMYFUNCTION("""COMPUTED_VALUE"""),"Abel Salazar Salazar")</f>
        <v>Abel Salazar Salazar</v>
      </c>
      <c r="F2129" s="65" t="str">
        <f>IFERROR(__xludf.DUMMYFUNCTION("""COMPUTED_VALUE"""),"990902356")</f>
        <v>990902356</v>
      </c>
      <c r="G2129" s="65" t="str">
        <f>IFERROR(__xludf.DUMMYFUNCTION("""COMPUTED_VALUE"""),"abelsalanov@gmail.com")</f>
        <v>abelsalanov@gmail.com</v>
      </c>
      <c r="H2129" s="65"/>
      <c r="I2129" s="65"/>
      <c r="J2129" s="65" t="str">
        <f>IFERROR(__xludf.DUMMYFUNCTION("""COMPUTED_VALUE"""),"D001215551")</f>
        <v>D001215551</v>
      </c>
      <c r="K2129" s="65" t="str">
        <f>IFERROR(__xludf.DUMMYFUNCTION("""COMPUTED_VALUE"""),"ENTREGADO")</f>
        <v>ENTREGADO</v>
      </c>
      <c r="L2129" s="65" t="str">
        <f>IFERROR(__xludf.DUMMYFUNCTION("""COMPUTED_VALUE"""),"CON RECAUDO")</f>
        <v>CON RECAUDO</v>
      </c>
      <c r="M2129" s="65" t="str">
        <f>IFERROR(__xludf.DUMMYFUNCTION("""COMPUTED_VALUE"""),"GUAYAS")</f>
        <v>GUAYAS</v>
      </c>
      <c r="N2129" s="65" t="str">
        <f>IFERROR(__xludf.DUMMYFUNCTION("""COMPUTED_VALUE"""),"MILAGRO")</f>
        <v>MILAGRO</v>
      </c>
      <c r="O2129" s="65" t="str">
        <f>IFERROR(__xludf.DUMMYFUNCTION("""COMPUTED_VALUE"""),"Calle Jorge Carrera Andrade y Av. Napo Esquina  - casa tres plantas, Ref. Papelería Irene")</f>
        <v>Calle Jorge Carrera Andrade y Av. Napo Esquina  - casa tres plantas, Ref. Papelería Irene</v>
      </c>
      <c r="P2129" s="65"/>
      <c r="Q2129" s="65" t="str">
        <f>IFERROR(__xludf.DUMMYFUNCTION("""COMPUTED_VALUE"""),"GINTRACOM")</f>
        <v>GINTRACOM</v>
      </c>
      <c r="R2129" s="65">
        <f>IFERROR(__xludf.DUMMYFUNCTION("""COMPUTED_VALUE"""),25.0)</f>
        <v>25</v>
      </c>
      <c r="S2129" s="65">
        <f>IFERROR(__xludf.DUMMYFUNCTION("""COMPUTED_VALUE"""),14.04)</f>
        <v>14.04</v>
      </c>
      <c r="T2129" s="65">
        <f>IFERROR(__xludf.DUMMYFUNCTION("""COMPUTED_VALUE"""),5.38)</f>
        <v>5.38</v>
      </c>
      <c r="U2129" s="65">
        <f>IFERROR(__xludf.DUMMYFUNCTION("""COMPUTED_VALUE"""),0.0)</f>
        <v>0</v>
      </c>
      <c r="V2129" s="65">
        <f>IFERROR(__xludf.DUMMYFUNCTION("""COMPUTED_VALUE"""),0.0)</f>
        <v>0</v>
      </c>
      <c r="W2129" s="65">
        <f>IFERROR(__xludf.DUMMYFUNCTION("""COMPUTED_VALUE"""),0.0)</f>
        <v>0</v>
      </c>
      <c r="X2129" s="65">
        <f>IFERROR(__xludf.DUMMYFUNCTION("""COMPUTED_VALUE"""),2.79)</f>
        <v>2.79</v>
      </c>
      <c r="Y2129" s="65">
        <f>IFERROR(__xludf.DUMMYFUNCTION("""COMPUTED_VALUE"""),5.58)</f>
        <v>5.58</v>
      </c>
      <c r="Z2129" s="65">
        <f>IFERROR(__xludf.DUMMYFUNCTION("""COMPUTED_VALUE"""),120732.0)</f>
        <v>120732</v>
      </c>
      <c r="AA2129" s="65" t="str">
        <f>IFERROR(__xludf.DUMMYFUNCTION("""COMPUTED_VALUE"""),"PROV-LMPVT")</f>
        <v>PROV-LMPVT</v>
      </c>
      <c r="AB2129" s="65"/>
      <c r="AC2129" s="65" t="str">
        <f>IFERROR(__xludf.DUMMYFUNCTION("""COMPUTED_VALUE"""),"LIMPIADOR DE PARABRISAS Y VENTANAS")</f>
        <v>LIMPIADOR DE PARABRISAS Y VENTANAS</v>
      </c>
      <c r="AD2129" s="65"/>
      <c r="AE2129" s="65">
        <f>IFERROR(__xludf.DUMMYFUNCTION("""COMPUTED_VALUE"""),2.0)</f>
        <v>2</v>
      </c>
      <c r="AF2129" s="65"/>
      <c r="AG2129" s="65"/>
      <c r="AH2129" s="65"/>
      <c r="AI2129" s="65"/>
      <c r="AJ2129" s="65"/>
      <c r="AK2129" s="65"/>
      <c r="AL2129" s="65"/>
      <c r="AM2129" s="65"/>
      <c r="AN2129" s="65" t="str">
        <f>IFERROR(__xludf.DUMMYFUNCTION("""COMPUTED_VALUE"""),"13:45")</f>
        <v>13:45</v>
      </c>
      <c r="AO2129" s="65" t="str">
        <f>IFERROR(__xludf.DUMMYFUNCTION("""COMPUTED_VALUE"""),"15-01-2026")</f>
        <v>15-01-2026</v>
      </c>
      <c r="AP2129" s="65" t="str">
        <f>IFERROR(__xludf.DUMMYFUNCTION("""COMPUTED_VALUE"""),"ENTREGADA GINTRACOM")</f>
        <v>ENTREGADA GINTRACOM</v>
      </c>
      <c r="AQ2129" s="65" t="str">
        <f>IFERROR(__xludf.DUMMYFUNCTION("""COMPUTED_VALUE"""),"ENTREGADA GINTRACOM")</f>
        <v>ENTREGADA GINTRACOM</v>
      </c>
      <c r="AR2129" s="65"/>
      <c r="AS2129" s="65"/>
      <c r="AT2129" s="65" t="str">
        <f>IFERROR(__xludf.DUMMYFUNCTION("""COMPUTED_VALUE"""),"SHOPIFY")</f>
        <v>SHOPIFY</v>
      </c>
      <c r="AU2129" s="65" t="str">
        <f>IFERROR(__xludf.DUMMYFUNCTION("""COMPUTED_VALUE"""),"IMPORTEX EC")</f>
        <v>IMPORTEX EC</v>
      </c>
      <c r="AV2129" s="65" t="str">
        <f>IFERROR(__xludf.DUMMYFUNCTION("""COMPUTED_VALUE"""),"6404766892076")</f>
        <v>6404766892076</v>
      </c>
      <c r="AW2129" s="65">
        <f>IFERROR(__xludf.DUMMYFUNCTION("""COMPUTED_VALUE"""),4836.0)</f>
        <v>4836</v>
      </c>
      <c r="AX2129" s="65"/>
      <c r="AY2129" s="65" t="str">
        <f>IFERROR(__xludf.DUMMYFUNCTION("""COMPUTED_VALUE"""),"12/01/2026")</f>
        <v>12/01/2026</v>
      </c>
      <c r="AZ2129" s="65"/>
      <c r="BA2129" s="65"/>
    </row>
    <row r="2130">
      <c r="A2130" s="65" t="str">
        <f>IFERROR(__xludf.DUMMYFUNCTION("""COMPUTED_VALUE"""),"27-03-2026")</f>
        <v>27-03-2026</v>
      </c>
      <c r="B2130" s="65">
        <f>IFERROR(__xludf.DUMMYFUNCTION("""COMPUTED_VALUE"""),4096288.0)</f>
        <v>4096288</v>
      </c>
      <c r="C2130" s="65" t="str">
        <f>IFERROR(__xludf.DUMMYFUNCTION("""COMPUTED_VALUE"""),"16:30")</f>
        <v>16:30</v>
      </c>
      <c r="D2130" s="65" t="str">
        <f>IFERROR(__xludf.DUMMYFUNCTION("""COMPUTED_VALUE"""),"10-01-2026")</f>
        <v>10-01-2026</v>
      </c>
      <c r="E2130" s="65" t="str">
        <f>IFERROR(__xludf.DUMMYFUNCTION("""COMPUTED_VALUE"""),"Leon Bosquez")</f>
        <v>Leon Bosquez</v>
      </c>
      <c r="F2130" s="65" t="str">
        <f>IFERROR(__xludf.DUMMYFUNCTION("""COMPUTED_VALUE"""),"986632472")</f>
        <v>986632472</v>
      </c>
      <c r="G2130" s="65" t="str">
        <f>IFERROR(__xludf.DUMMYFUNCTION("""COMPUTED_VALUE"""),"leonbosquez4@gmail.com")</f>
        <v>leonbosquez4@gmail.com</v>
      </c>
      <c r="H2130" s="65"/>
      <c r="I2130" s="65"/>
      <c r="J2130" s="65" t="str">
        <f>IFERROR(__xludf.DUMMYFUNCTION("""COMPUTED_VALUE"""),"186973360")</f>
        <v>186973360</v>
      </c>
      <c r="K2130" s="65" t="str">
        <f>IFERROR(__xludf.DUMMYFUNCTION("""COMPUTED_VALUE"""),"ENTREGADO")</f>
        <v>ENTREGADO</v>
      </c>
      <c r="L2130" s="65" t="str">
        <f>IFERROR(__xludf.DUMMYFUNCTION("""COMPUTED_VALUE"""),"CON RECAUDO")</f>
        <v>CON RECAUDO</v>
      </c>
      <c r="M2130" s="65" t="str">
        <f>IFERROR(__xludf.DUMMYFUNCTION("""COMPUTED_VALUE"""),"LOS RIOS")</f>
        <v>LOS RIOS</v>
      </c>
      <c r="N2130" s="65" t="str">
        <f>IFERROR(__xludf.DUMMYFUNCTION("""COMPUTED_VALUE"""),"MONTALVO")</f>
        <v>MONTALVO</v>
      </c>
      <c r="O2130" s="65" t="str">
        <f>IFERROR(__xludf.DUMMYFUNCTION("""COMPUTED_VALUE"""),"Av. Antonio de las bastidas y 25de abril, frente al Gad municipal, junto a la farmacia cruz azul")</f>
        <v>Av. Antonio de las bastidas y 25de abril, frente al Gad municipal, junto a la farmacia cruz azul</v>
      </c>
      <c r="P2130" s="65"/>
      <c r="Q2130" s="65" t="str">
        <f>IFERROR(__xludf.DUMMYFUNCTION("""COMPUTED_VALUE"""),"SERVIENTREGA")</f>
        <v>SERVIENTREGA</v>
      </c>
      <c r="R2130" s="65">
        <f>IFERROR(__xludf.DUMMYFUNCTION("""COMPUTED_VALUE"""),30.0)</f>
        <v>30</v>
      </c>
      <c r="S2130" s="65">
        <f>IFERROR(__xludf.DUMMYFUNCTION("""COMPUTED_VALUE"""),13.81)</f>
        <v>13.81</v>
      </c>
      <c r="T2130" s="65">
        <f>IFERROR(__xludf.DUMMYFUNCTION("""COMPUTED_VALUE"""),7.82)</f>
        <v>7.82</v>
      </c>
      <c r="U2130" s="65">
        <f>IFERROR(__xludf.DUMMYFUNCTION("""COMPUTED_VALUE"""),0.0)</f>
        <v>0</v>
      </c>
      <c r="V2130" s="65">
        <f>IFERROR(__xludf.DUMMYFUNCTION("""COMPUTED_VALUE"""),0.0)</f>
        <v>0</v>
      </c>
      <c r="W2130" s="65">
        <f>IFERROR(__xludf.DUMMYFUNCTION("""COMPUTED_VALUE"""),0.0)</f>
        <v>0</v>
      </c>
      <c r="X2130" s="65">
        <f>IFERROR(__xludf.DUMMYFUNCTION("""COMPUTED_VALUE"""),2.79)</f>
        <v>2.79</v>
      </c>
      <c r="Y2130" s="65">
        <f>IFERROR(__xludf.DUMMYFUNCTION("""COMPUTED_VALUE"""),8.37)</f>
        <v>8.37</v>
      </c>
      <c r="Z2130" s="65">
        <f>IFERROR(__xludf.DUMMYFUNCTION("""COMPUTED_VALUE"""),120732.0)</f>
        <v>120732</v>
      </c>
      <c r="AA2130" s="65" t="str">
        <f>IFERROR(__xludf.DUMMYFUNCTION("""COMPUTED_VALUE"""),"PROV-LMPVT")</f>
        <v>PROV-LMPVT</v>
      </c>
      <c r="AB2130" s="65"/>
      <c r="AC2130" s="65" t="str">
        <f>IFERROR(__xludf.DUMMYFUNCTION("""COMPUTED_VALUE"""),"LIMPIADOR DE PARABRISAS Y VENTANAS")</f>
        <v>LIMPIADOR DE PARABRISAS Y VENTANAS</v>
      </c>
      <c r="AD2130" s="65"/>
      <c r="AE2130" s="65">
        <f>IFERROR(__xludf.DUMMYFUNCTION("""COMPUTED_VALUE"""),3.0)</f>
        <v>3</v>
      </c>
      <c r="AF2130" s="65"/>
      <c r="AG2130" s="65"/>
      <c r="AH2130" s="65"/>
      <c r="AI2130" s="65"/>
      <c r="AJ2130" s="65"/>
      <c r="AK2130" s="65"/>
      <c r="AL2130" s="65"/>
      <c r="AM2130" s="65"/>
      <c r="AN2130" s="65" t="str">
        <f>IFERROR(__xludf.DUMMYFUNCTION("""COMPUTED_VALUE"""),"14:57")</f>
        <v>14:57</v>
      </c>
      <c r="AO2130" s="65" t="str">
        <f>IFERROR(__xludf.DUMMYFUNCTION("""COMPUTED_VALUE"""),"15-01-2026")</f>
        <v>15-01-2026</v>
      </c>
      <c r="AP2130" s="65" t="str">
        <f>IFERROR(__xludf.DUMMYFUNCTION("""COMPUTED_VALUE"""),"REPORTADO ENTREGADO EN APP")</f>
        <v>REPORTADO ENTREGADO EN APP</v>
      </c>
      <c r="AQ2130" s="65" t="str">
        <f>IFERROR(__xludf.DUMMYFUNCTION("""COMPUTED_VALUE"""),"Leon bosquez")</f>
        <v>Leon bosquez</v>
      </c>
      <c r="AR2130" s="65"/>
      <c r="AS2130" s="65"/>
      <c r="AT2130" s="65" t="str">
        <f>IFERROR(__xludf.DUMMYFUNCTION("""COMPUTED_VALUE"""),"SHOPIFY")</f>
        <v>SHOPIFY</v>
      </c>
      <c r="AU2130" s="65" t="str">
        <f>IFERROR(__xludf.DUMMYFUNCTION("""COMPUTED_VALUE"""),"IMPORTEX EC")</f>
        <v>IMPORTEX EC</v>
      </c>
      <c r="AV2130" s="65" t="str">
        <f>IFERROR(__xludf.DUMMYFUNCTION("""COMPUTED_VALUE"""),"6404726882348")</f>
        <v>6404726882348</v>
      </c>
      <c r="AW2130" s="65">
        <f>IFERROR(__xludf.DUMMYFUNCTION("""COMPUTED_VALUE"""),4835.0)</f>
        <v>4835</v>
      </c>
      <c r="AX2130" s="65"/>
      <c r="AY2130" s="65" t="str">
        <f>IFERROR(__xludf.DUMMYFUNCTION("""COMPUTED_VALUE"""),"14/01/2026")</f>
        <v>14/01/2026</v>
      </c>
      <c r="AZ2130" s="65"/>
      <c r="BA2130" s="65"/>
    </row>
    <row r="2131">
      <c r="A2131" s="65" t="str">
        <f>IFERROR(__xludf.DUMMYFUNCTION("""COMPUTED_VALUE"""),"27-03-2026")</f>
        <v>27-03-2026</v>
      </c>
      <c r="B2131" s="65">
        <f>IFERROR(__xludf.DUMMYFUNCTION("""COMPUTED_VALUE"""),4095886.0)</f>
        <v>4095886</v>
      </c>
      <c r="C2131" s="65" t="str">
        <f>IFERROR(__xludf.DUMMYFUNCTION("""COMPUTED_VALUE"""),"15:48")</f>
        <v>15:48</v>
      </c>
      <c r="D2131" s="65" t="str">
        <f>IFERROR(__xludf.DUMMYFUNCTION("""COMPUTED_VALUE"""),"10-01-2026")</f>
        <v>10-01-2026</v>
      </c>
      <c r="E2131" s="65" t="str">
        <f>IFERROR(__xludf.DUMMYFUNCTION("""COMPUTED_VALUE"""),"Olga paredes Paredes Maldonado")</f>
        <v>Olga paredes Paredes Maldonado</v>
      </c>
      <c r="F2131" s="65" t="str">
        <f>IFERROR(__xludf.DUMMYFUNCTION("""COMPUTED_VALUE"""),"0989917942")</f>
        <v>0989917942</v>
      </c>
      <c r="G2131" s="65"/>
      <c r="H2131" s="65"/>
      <c r="I2131" s="65"/>
      <c r="J2131" s="65"/>
      <c r="K2131" s="65" t="str">
        <f>IFERROR(__xludf.DUMMYFUNCTION("""COMPUTED_VALUE"""),"CANCELADO")</f>
        <v>CANCELADO</v>
      </c>
      <c r="L2131" s="65" t="str">
        <f>IFERROR(__xludf.DUMMYFUNCTION("""COMPUTED_VALUE"""),"CON RECAUDO")</f>
        <v>CON RECAUDO</v>
      </c>
      <c r="M2131" s="65" t="str">
        <f>IFERROR(__xludf.DUMMYFUNCTION("""COMPUTED_VALUE"""),"ZAMORA CHINCHIPE")</f>
        <v>ZAMORA CHINCHIPE</v>
      </c>
      <c r="N2131" s="65" t="str">
        <f>IFERROR(__xludf.DUMMYFUNCTION("""COMPUTED_VALUE"""),"ZAMORA")</f>
        <v>ZAMORA</v>
      </c>
      <c r="O2131" s="65" t="str">
        <f>IFERROR(__xludf.DUMMYFUNCTION("""COMPUTED_VALUE"""),"Parroquia Guadalupe, Barrio San José, cantón Zamora, Via principal al cantón Yacuamby")</f>
        <v>Parroquia Guadalupe, Barrio San José, cantón Zamora, Via principal al cantón Yacuamby</v>
      </c>
      <c r="P2131" s="65" t="str">
        <f>IFERROR(__xludf.DUMMYFUNCTION("""COMPUTED_VALUE"""),"CUCHILLO PARA CHEF: Default Title ***")</f>
        <v>CUCHILLO PARA CHEF: Default Title ***</v>
      </c>
      <c r="Q2131" s="65" t="str">
        <f>IFERROR(__xludf.DUMMYFUNCTION("""COMPUTED_VALUE"""),"GINTRACOM")</f>
        <v>GINTRACOM</v>
      </c>
      <c r="R2131" s="65">
        <f>IFERROR(__xludf.DUMMYFUNCTION("""COMPUTED_VALUE"""),21.99)</f>
        <v>21.99</v>
      </c>
      <c r="S2131" s="65"/>
      <c r="T2131" s="65">
        <f>IFERROR(__xludf.DUMMYFUNCTION("""COMPUTED_VALUE"""),5.84)</f>
        <v>5.84</v>
      </c>
      <c r="U2131" s="65">
        <f>IFERROR(__xludf.DUMMYFUNCTION("""COMPUTED_VALUE"""),0.0)</f>
        <v>0</v>
      </c>
      <c r="V2131" s="65">
        <f>IFERROR(__xludf.DUMMYFUNCTION("""COMPUTED_VALUE"""),0.0)</f>
        <v>0</v>
      </c>
      <c r="W2131" s="65">
        <f>IFERROR(__xludf.DUMMYFUNCTION("""COMPUTED_VALUE"""),0.0)</f>
        <v>0</v>
      </c>
      <c r="X2131" s="65">
        <f>IFERROR(__xludf.DUMMYFUNCTION("""COMPUTED_VALUE"""),2.6)</f>
        <v>2.6</v>
      </c>
      <c r="Y2131" s="65">
        <f>IFERROR(__xludf.DUMMYFUNCTION("""COMPUTED_VALUE"""),2.6)</f>
        <v>2.6</v>
      </c>
      <c r="Z2131" s="65">
        <f>IFERROR(__xludf.DUMMYFUNCTION("""COMPUTED_VALUE"""),121983.0)</f>
        <v>121983</v>
      </c>
      <c r="AA2131" s="65" t="str">
        <f>IFERROR(__xludf.DUMMYFUNCTION("""COMPUTED_VALUE"""),"PROV-CHLLCF")</f>
        <v>PROV-CHLLCF</v>
      </c>
      <c r="AB2131" s="65"/>
      <c r="AC2131" s="65" t="str">
        <f>IFERROR(__xludf.DUMMYFUNCTION("""COMPUTED_VALUE"""),"CUCHILLO PARA CHEF")</f>
        <v>CUCHILLO PARA CHEF</v>
      </c>
      <c r="AD2131" s="65"/>
      <c r="AE2131" s="65">
        <f>IFERROR(__xludf.DUMMYFUNCTION("""COMPUTED_VALUE"""),1.0)</f>
        <v>1</v>
      </c>
      <c r="AF2131" s="65"/>
      <c r="AG2131" s="65"/>
      <c r="AH2131" s="65"/>
      <c r="AI2131" s="65"/>
      <c r="AJ2131" s="65"/>
      <c r="AK2131" s="65"/>
      <c r="AL2131" s="65"/>
      <c r="AM2131" s="65"/>
      <c r="AN2131" s="65"/>
      <c r="AO2131" s="65"/>
      <c r="AP2131" s="65"/>
      <c r="AQ2131" s="65"/>
      <c r="AR2131" s="65"/>
      <c r="AS2131" s="65"/>
      <c r="AT2131" s="65" t="str">
        <f>IFERROR(__xludf.DUMMYFUNCTION("""COMPUTED_VALUE"""),"SHOPIFY")</f>
        <v>SHOPIFY</v>
      </c>
      <c r="AU2131" s="65" t="str">
        <f>IFERROR(__xludf.DUMMYFUNCTION("""COMPUTED_VALUE"""),"IMPORTEX EC")</f>
        <v>IMPORTEX EC</v>
      </c>
      <c r="AV2131" s="65" t="str">
        <f>IFERROR(__xludf.DUMMYFUNCTION("""COMPUTED_VALUE"""),"6404582080556")</f>
        <v>6404582080556</v>
      </c>
      <c r="AW2131" s="65">
        <f>IFERROR(__xludf.DUMMYFUNCTION("""COMPUTED_VALUE"""),4834.0)</f>
        <v>4834</v>
      </c>
      <c r="AX2131" s="65"/>
      <c r="AY2131" s="65"/>
      <c r="AZ2131" s="65"/>
      <c r="BA2131" s="65"/>
    </row>
    <row r="2132">
      <c r="A2132" s="65" t="str">
        <f>IFERROR(__xludf.DUMMYFUNCTION("""COMPUTED_VALUE"""),"27-03-2026")</f>
        <v>27-03-2026</v>
      </c>
      <c r="B2132" s="65">
        <f>IFERROR(__xludf.DUMMYFUNCTION("""COMPUTED_VALUE"""),4095817.0)</f>
        <v>4095817</v>
      </c>
      <c r="C2132" s="65" t="str">
        <f>IFERROR(__xludf.DUMMYFUNCTION("""COMPUTED_VALUE"""),"15:43")</f>
        <v>15:43</v>
      </c>
      <c r="D2132" s="65" t="str">
        <f>IFERROR(__xludf.DUMMYFUNCTION("""COMPUTED_VALUE"""),"10-01-2026")</f>
        <v>10-01-2026</v>
      </c>
      <c r="E2132" s="65" t="str">
        <f>IFERROR(__xludf.DUMMYFUNCTION("""COMPUTED_VALUE"""),"Samuel bagua")</f>
        <v>Samuel bagua</v>
      </c>
      <c r="F2132" s="65" t="str">
        <f>IFERROR(__xludf.DUMMYFUNCTION("""COMPUTED_VALUE"""),"992085793")</f>
        <v>992085793</v>
      </c>
      <c r="G2132" s="65" t="str">
        <f>IFERROR(__xludf.DUMMYFUNCTION("""COMPUTED_VALUE"""),"samuel@outlook.com")</f>
        <v>samuel@outlook.com</v>
      </c>
      <c r="H2132" s="65"/>
      <c r="I2132" s="65"/>
      <c r="J2132" s="65" t="str">
        <f>IFERROR(__xludf.DUMMYFUNCTION("""COMPUTED_VALUE"""),"D001216236")</f>
        <v>D001216236</v>
      </c>
      <c r="K2132" s="65" t="str">
        <f>IFERROR(__xludf.DUMMYFUNCTION("""COMPUTED_VALUE"""),"ENTREGADO")</f>
        <v>ENTREGADO</v>
      </c>
      <c r="L2132" s="65" t="str">
        <f>IFERROR(__xludf.DUMMYFUNCTION("""COMPUTED_VALUE"""),"CON RECAUDO")</f>
        <v>CON RECAUDO</v>
      </c>
      <c r="M2132" s="65" t="str">
        <f>IFERROR(__xludf.DUMMYFUNCTION("""COMPUTED_VALUE"""),"GUAYAS")</f>
        <v>GUAYAS</v>
      </c>
      <c r="N2132" s="65" t="str">
        <f>IFERROR(__xludf.DUMMYFUNCTION("""COMPUTED_VALUE"""),"MILAGRO")</f>
        <v>MILAGRO</v>
      </c>
      <c r="O2132" s="65" t="str">
        <f>IFERROR(__xludf.DUMMYFUNCTION("""COMPUTED_VALUE"""),"Av. Principal Miguel Campodonico y Calle Bienvenido Lescano - Ref. Diagonal al Hospital Cien Camas - Ferri constructor económica")</f>
        <v>Av. Principal Miguel Campodonico y Calle Bienvenido Lescano - Ref. Diagonal al Hospital Cien Camas - Ferri constructor económica</v>
      </c>
      <c r="P2132" s="65"/>
      <c r="Q2132" s="65" t="str">
        <f>IFERROR(__xludf.DUMMYFUNCTION("""COMPUTED_VALUE"""),"GINTRACOM")</f>
        <v>GINTRACOM</v>
      </c>
      <c r="R2132" s="65">
        <f>IFERROR(__xludf.DUMMYFUNCTION("""COMPUTED_VALUE"""),20.0)</f>
        <v>20</v>
      </c>
      <c r="S2132" s="65">
        <f>IFERROR(__xludf.DUMMYFUNCTION("""COMPUTED_VALUE"""),12.03)</f>
        <v>12.03</v>
      </c>
      <c r="T2132" s="65">
        <f>IFERROR(__xludf.DUMMYFUNCTION("""COMPUTED_VALUE"""),5.18)</f>
        <v>5.18</v>
      </c>
      <c r="U2132" s="65">
        <f>IFERROR(__xludf.DUMMYFUNCTION("""COMPUTED_VALUE"""),0.0)</f>
        <v>0</v>
      </c>
      <c r="V2132" s="65">
        <f>IFERROR(__xludf.DUMMYFUNCTION("""COMPUTED_VALUE"""),0.0)</f>
        <v>0</v>
      </c>
      <c r="W2132" s="65">
        <f>IFERROR(__xludf.DUMMYFUNCTION("""COMPUTED_VALUE"""),0.0)</f>
        <v>0</v>
      </c>
      <c r="X2132" s="65">
        <f>IFERROR(__xludf.DUMMYFUNCTION("""COMPUTED_VALUE"""),2.79)</f>
        <v>2.79</v>
      </c>
      <c r="Y2132" s="65">
        <f>IFERROR(__xludf.DUMMYFUNCTION("""COMPUTED_VALUE"""),2.79)</f>
        <v>2.79</v>
      </c>
      <c r="Z2132" s="65">
        <f>IFERROR(__xludf.DUMMYFUNCTION("""COMPUTED_VALUE"""),120732.0)</f>
        <v>120732</v>
      </c>
      <c r="AA2132" s="65" t="str">
        <f>IFERROR(__xludf.DUMMYFUNCTION("""COMPUTED_VALUE"""),"PROV-LMPVT")</f>
        <v>PROV-LMPVT</v>
      </c>
      <c r="AB2132" s="65"/>
      <c r="AC2132" s="65" t="str">
        <f>IFERROR(__xludf.DUMMYFUNCTION("""COMPUTED_VALUE"""),"LIMPIADOR DE PARABRISAS Y VENTANAS")</f>
        <v>LIMPIADOR DE PARABRISAS Y VENTANAS</v>
      </c>
      <c r="AD2132" s="65"/>
      <c r="AE2132" s="65">
        <f>IFERROR(__xludf.DUMMYFUNCTION("""COMPUTED_VALUE"""),1.0)</f>
        <v>1</v>
      </c>
      <c r="AF2132" s="65"/>
      <c r="AG2132" s="65"/>
      <c r="AH2132" s="65"/>
      <c r="AI2132" s="65"/>
      <c r="AJ2132" s="65"/>
      <c r="AK2132" s="65"/>
      <c r="AL2132" s="65"/>
      <c r="AM2132" s="65"/>
      <c r="AN2132" s="65" t="str">
        <f>IFERROR(__xludf.DUMMYFUNCTION("""COMPUTED_VALUE"""),"17:22")</f>
        <v>17:22</v>
      </c>
      <c r="AO2132" s="65" t="str">
        <f>IFERROR(__xludf.DUMMYFUNCTION("""COMPUTED_VALUE"""),"13-01-2026")</f>
        <v>13-01-2026</v>
      </c>
      <c r="AP2132" s="65" t="str">
        <f>IFERROR(__xludf.DUMMYFUNCTION("""COMPUTED_VALUE"""),"ENTREGADA GINTRACOM")</f>
        <v>ENTREGADA GINTRACOM</v>
      </c>
      <c r="AQ2132" s="65" t="str">
        <f>IFERROR(__xludf.DUMMYFUNCTION("""COMPUTED_VALUE"""),"ENTREGADA GINTRACOM")</f>
        <v>ENTREGADA GINTRACOM</v>
      </c>
      <c r="AR2132" s="65"/>
      <c r="AS2132" s="65"/>
      <c r="AT2132" s="65" t="str">
        <f>IFERROR(__xludf.DUMMYFUNCTION("""COMPUTED_VALUE"""),"SHOPIFY")</f>
        <v>SHOPIFY</v>
      </c>
      <c r="AU2132" s="65" t="str">
        <f>IFERROR(__xludf.DUMMYFUNCTION("""COMPUTED_VALUE"""),"IMPORTEX EC")</f>
        <v>IMPORTEX EC</v>
      </c>
      <c r="AV2132" s="65" t="str">
        <f>IFERROR(__xludf.DUMMYFUNCTION("""COMPUTED_VALUE"""),"6404579622956")</f>
        <v>6404579622956</v>
      </c>
      <c r="AW2132" s="65">
        <f>IFERROR(__xludf.DUMMYFUNCTION("""COMPUTED_VALUE"""),4833.0)</f>
        <v>4833</v>
      </c>
      <c r="AX2132" s="65"/>
      <c r="AY2132" s="65" t="str">
        <f>IFERROR(__xludf.DUMMYFUNCTION("""COMPUTED_VALUE"""),"12/01/2026")</f>
        <v>12/01/2026</v>
      </c>
      <c r="AZ2132" s="65"/>
      <c r="BA2132" s="65"/>
    </row>
    <row r="2133">
      <c r="A2133" s="65" t="str">
        <f>IFERROR(__xludf.DUMMYFUNCTION("""COMPUTED_VALUE"""),"27-03-2026")</f>
        <v>27-03-2026</v>
      </c>
      <c r="B2133" s="65">
        <f>IFERROR(__xludf.DUMMYFUNCTION("""COMPUTED_VALUE"""),4095748.0)</f>
        <v>4095748</v>
      </c>
      <c r="C2133" s="65" t="str">
        <f>IFERROR(__xludf.DUMMYFUNCTION("""COMPUTED_VALUE"""),"15:39")</f>
        <v>15:39</v>
      </c>
      <c r="D2133" s="65" t="str">
        <f>IFERROR(__xludf.DUMMYFUNCTION("""COMPUTED_VALUE"""),"10-01-2026")</f>
        <v>10-01-2026</v>
      </c>
      <c r="E2133" s="65" t="str">
        <f>IFERROR(__xludf.DUMMYFUNCTION("""COMPUTED_VALUE"""),"Luis Alejandro Cáceres Benítez")</f>
        <v>Luis Alejandro Cáceres Benítez</v>
      </c>
      <c r="F2133" s="65" t="str">
        <f>IFERROR(__xludf.DUMMYFUNCTION("""COMPUTED_VALUE"""),"984032219")</f>
        <v>984032219</v>
      </c>
      <c r="G2133" s="65" t="str">
        <f>IFERROR(__xludf.DUMMYFUNCTION("""COMPUTED_VALUE"""),"servicio12.09.80@gmail.com")</f>
        <v>servicio12.09.80@gmail.com</v>
      </c>
      <c r="H2133" s="65"/>
      <c r="I2133" s="65"/>
      <c r="J2133" s="65" t="str">
        <f>IFERROR(__xludf.DUMMYFUNCTION("""COMPUTED_VALUE"""),"D001223227")</f>
        <v>D001223227</v>
      </c>
      <c r="K2133" s="65" t="str">
        <f>IFERROR(__xludf.DUMMYFUNCTION("""COMPUTED_VALUE"""),"ENTREGADO")</f>
        <v>ENTREGADO</v>
      </c>
      <c r="L2133" s="65" t="str">
        <f>IFERROR(__xludf.DUMMYFUNCTION("""COMPUTED_VALUE"""),"CON RECAUDO")</f>
        <v>CON RECAUDO</v>
      </c>
      <c r="M2133" s="65" t="str">
        <f>IFERROR(__xludf.DUMMYFUNCTION("""COMPUTED_VALUE"""),"PICHINCHA")</f>
        <v>PICHINCHA</v>
      </c>
      <c r="N2133" s="65" t="str">
        <f>IFERROR(__xludf.DUMMYFUNCTION("""COMPUTED_VALUE"""),"QUITO")</f>
        <v>QUITO</v>
      </c>
      <c r="O2133" s="65" t="str">
        <f>IFERROR(__xludf.DUMMYFUNCTION("""COMPUTED_VALUE"""),"EL morlan y Luis Calisto Sector el eden -")</f>
        <v>EL morlan y Luis Calisto Sector el eden -</v>
      </c>
      <c r="P2133" s="65"/>
      <c r="Q2133" s="65" t="str">
        <f>IFERROR(__xludf.DUMMYFUNCTION("""COMPUTED_VALUE"""),"GINTRACOM")</f>
        <v>GINTRACOM</v>
      </c>
      <c r="R2133" s="65">
        <f>IFERROR(__xludf.DUMMYFUNCTION("""COMPUTED_VALUE"""),22.0)</f>
        <v>22</v>
      </c>
      <c r="S2133" s="65">
        <f>IFERROR(__xludf.DUMMYFUNCTION("""COMPUTED_VALUE"""),10.96)</f>
        <v>10.96</v>
      </c>
      <c r="T2133" s="65">
        <f>IFERROR(__xludf.DUMMYFUNCTION("""COMPUTED_VALUE"""),5.84)</f>
        <v>5.84</v>
      </c>
      <c r="U2133" s="65">
        <f>IFERROR(__xludf.DUMMYFUNCTION("""COMPUTED_VALUE"""),0.0)</f>
        <v>0</v>
      </c>
      <c r="V2133" s="65">
        <f>IFERROR(__xludf.DUMMYFUNCTION("""COMPUTED_VALUE"""),0.0)</f>
        <v>0</v>
      </c>
      <c r="W2133" s="65">
        <f>IFERROR(__xludf.DUMMYFUNCTION("""COMPUTED_VALUE"""),0.0)</f>
        <v>0</v>
      </c>
      <c r="X2133" s="65">
        <f>IFERROR(__xludf.DUMMYFUNCTION("""COMPUTED_VALUE"""),2.6)</f>
        <v>2.6</v>
      </c>
      <c r="Y2133" s="65">
        <f>IFERROR(__xludf.DUMMYFUNCTION("""COMPUTED_VALUE"""),5.2)</f>
        <v>5.2</v>
      </c>
      <c r="Z2133" s="65">
        <f>IFERROR(__xludf.DUMMYFUNCTION("""COMPUTED_VALUE"""),121983.0)</f>
        <v>121983</v>
      </c>
      <c r="AA2133" s="65" t="str">
        <f>IFERROR(__xludf.DUMMYFUNCTION("""COMPUTED_VALUE"""),"PROV-CHLLCF")</f>
        <v>PROV-CHLLCF</v>
      </c>
      <c r="AB2133" s="65"/>
      <c r="AC2133" s="65" t="str">
        <f>IFERROR(__xludf.DUMMYFUNCTION("""COMPUTED_VALUE"""),"CUCHILLO PARA CHEF")</f>
        <v>CUCHILLO PARA CHEF</v>
      </c>
      <c r="AD2133" s="65"/>
      <c r="AE2133" s="65">
        <f>IFERROR(__xludf.DUMMYFUNCTION("""COMPUTED_VALUE"""),2.0)</f>
        <v>2</v>
      </c>
      <c r="AF2133" s="65"/>
      <c r="AG2133" s="65"/>
      <c r="AH2133" s="65"/>
      <c r="AI2133" s="65"/>
      <c r="AJ2133" s="65"/>
      <c r="AK2133" s="65"/>
      <c r="AL2133" s="65"/>
      <c r="AM2133" s="65"/>
      <c r="AN2133" s="65" t="str">
        <f>IFERROR(__xludf.DUMMYFUNCTION("""COMPUTED_VALUE"""),"12:29")</f>
        <v>12:29</v>
      </c>
      <c r="AO2133" s="65" t="str">
        <f>IFERROR(__xludf.DUMMYFUNCTION("""COMPUTED_VALUE"""),"15-01-2026")</f>
        <v>15-01-2026</v>
      </c>
      <c r="AP2133" s="65" t="str">
        <f>IFERROR(__xludf.DUMMYFUNCTION("""COMPUTED_VALUE"""),"ENTREGADA GINTRACOM")</f>
        <v>ENTREGADA GINTRACOM</v>
      </c>
      <c r="AQ2133" s="65" t="str">
        <f>IFERROR(__xludf.DUMMYFUNCTION("""COMPUTED_VALUE"""),"ENTREGADA GINTRACOM")</f>
        <v>ENTREGADA GINTRACOM</v>
      </c>
      <c r="AR2133" s="65"/>
      <c r="AS2133" s="65"/>
      <c r="AT2133" s="65" t="str">
        <f>IFERROR(__xludf.DUMMYFUNCTION("""COMPUTED_VALUE"""),"SHOPIFY")</f>
        <v>SHOPIFY</v>
      </c>
      <c r="AU2133" s="65" t="str">
        <f>IFERROR(__xludf.DUMMYFUNCTION("""COMPUTED_VALUE"""),"IMPORTEX EC")</f>
        <v>IMPORTEX EC</v>
      </c>
      <c r="AV2133" s="65" t="str">
        <f>IFERROR(__xludf.DUMMYFUNCTION("""COMPUTED_VALUE"""),"6404563632172")</f>
        <v>6404563632172</v>
      </c>
      <c r="AW2133" s="65">
        <f>IFERROR(__xludf.DUMMYFUNCTION("""COMPUTED_VALUE"""),4832.0)</f>
        <v>4832</v>
      </c>
      <c r="AX2133" s="65"/>
      <c r="AY2133" s="65" t="str">
        <f>IFERROR(__xludf.DUMMYFUNCTION("""COMPUTED_VALUE"""),"14/01/2026")</f>
        <v>14/01/2026</v>
      </c>
      <c r="AZ2133" s="65"/>
      <c r="BA2133" s="65"/>
    </row>
    <row r="2134">
      <c r="A2134" s="65" t="str">
        <f>IFERROR(__xludf.DUMMYFUNCTION("""COMPUTED_VALUE"""),"27-03-2026")</f>
        <v>27-03-2026</v>
      </c>
      <c r="B2134" s="65">
        <f>IFERROR(__xludf.DUMMYFUNCTION("""COMPUTED_VALUE"""),4095722.0)</f>
        <v>4095722</v>
      </c>
      <c r="C2134" s="65" t="str">
        <f>IFERROR(__xludf.DUMMYFUNCTION("""COMPUTED_VALUE"""),"15:35")</f>
        <v>15:35</v>
      </c>
      <c r="D2134" s="65" t="str">
        <f>IFERROR(__xludf.DUMMYFUNCTION("""COMPUTED_VALUE"""),"10-01-2026")</f>
        <v>10-01-2026</v>
      </c>
      <c r="E2134" s="65" t="str">
        <f>IFERROR(__xludf.DUMMYFUNCTION("""COMPUTED_VALUE"""),"Jose Mullo")</f>
        <v>Jose Mullo</v>
      </c>
      <c r="F2134" s="65" t="str">
        <f>IFERROR(__xludf.DUMMYFUNCTION("""COMPUTED_VALUE"""),"994406370")</f>
        <v>994406370</v>
      </c>
      <c r="G2134" s="65"/>
      <c r="H2134" s="65"/>
      <c r="I2134" s="65"/>
      <c r="J2134" s="65" t="str">
        <f>IFERROR(__xludf.DUMMYFUNCTION("""COMPUTED_VALUE"""),"D001223232")</f>
        <v>D001223232</v>
      </c>
      <c r="K2134" s="65" t="str">
        <f>IFERROR(__xludf.DUMMYFUNCTION("""COMPUTED_VALUE"""),"DEVOLUCION")</f>
        <v>DEVOLUCION</v>
      </c>
      <c r="L2134" s="65" t="str">
        <f>IFERROR(__xludf.DUMMYFUNCTION("""COMPUTED_VALUE"""),"CON RECAUDO")</f>
        <v>CON RECAUDO</v>
      </c>
      <c r="M2134" s="65" t="str">
        <f>IFERROR(__xludf.DUMMYFUNCTION("""COMPUTED_VALUE"""),"TUNGURAHUA")</f>
        <v>TUNGURAHUA</v>
      </c>
      <c r="N2134" s="65" t="str">
        <f>IFERROR(__xludf.DUMMYFUNCTION("""COMPUTED_VALUE"""),"AMBATO")</f>
        <v>AMBATO</v>
      </c>
      <c r="O2134" s="65" t="str">
        <f>IFERROR(__xludf.DUMMYFUNCTION("""COMPUTED_VALUE"""),"Alabama y Missipi Huachi grande -")</f>
        <v>Alabama y Missipi Huachi grande -</v>
      </c>
      <c r="P2134" s="65"/>
      <c r="Q2134" s="65" t="str">
        <f>IFERROR(__xludf.DUMMYFUNCTION("""COMPUTED_VALUE"""),"GINTRACOM")</f>
        <v>GINTRACOM</v>
      </c>
      <c r="R2134" s="65">
        <f>IFERROR(__xludf.DUMMYFUNCTION("""COMPUTED_VALUE"""),32.0)</f>
        <v>32</v>
      </c>
      <c r="S2134" s="65"/>
      <c r="T2134" s="65">
        <f>IFERROR(__xludf.DUMMYFUNCTION("""COMPUTED_VALUE"""),6.24)</f>
        <v>6.24</v>
      </c>
      <c r="U2134" s="65">
        <f>IFERROR(__xludf.DUMMYFUNCTION("""COMPUTED_VALUE"""),0.0)</f>
        <v>0</v>
      </c>
      <c r="V2134" s="65">
        <f>IFERROR(__xludf.DUMMYFUNCTION("""COMPUTED_VALUE"""),0.0)</f>
        <v>0</v>
      </c>
      <c r="W2134" s="65">
        <f>IFERROR(__xludf.DUMMYFUNCTION("""COMPUTED_VALUE"""),0.0)</f>
        <v>0</v>
      </c>
      <c r="X2134" s="65">
        <f>IFERROR(__xludf.DUMMYFUNCTION("""COMPUTED_VALUE"""),2.6)</f>
        <v>2.6</v>
      </c>
      <c r="Y2134" s="65">
        <f>IFERROR(__xludf.DUMMYFUNCTION("""COMPUTED_VALUE"""),10.4)</f>
        <v>10.4</v>
      </c>
      <c r="Z2134" s="65">
        <f>IFERROR(__xludf.DUMMYFUNCTION("""COMPUTED_VALUE"""),121983.0)</f>
        <v>121983</v>
      </c>
      <c r="AA2134" s="65" t="str">
        <f>IFERROR(__xludf.DUMMYFUNCTION("""COMPUTED_VALUE"""),"PROV-CHLLCF")</f>
        <v>PROV-CHLLCF</v>
      </c>
      <c r="AB2134" s="65"/>
      <c r="AC2134" s="65" t="str">
        <f>IFERROR(__xludf.DUMMYFUNCTION("""COMPUTED_VALUE"""),"CUCHILLO PARA CHEF")</f>
        <v>CUCHILLO PARA CHEF</v>
      </c>
      <c r="AD2134" s="65"/>
      <c r="AE2134" s="65">
        <f>IFERROR(__xludf.DUMMYFUNCTION("""COMPUTED_VALUE"""),4.0)</f>
        <v>4</v>
      </c>
      <c r="AF2134" s="65" t="str">
        <f>IFERROR(__xludf.DUMMYFUNCTION("""COMPUTED_VALUE"""),"DIRECCIÓN DE DESTINARIO INCOMPLETA O INCORRECTA Y NO HAY RESPUESTA DEL CLIENTE")</f>
        <v>DIRECCIÓN DE DESTINARIO INCOMPLETA O INCORRECTA Y NO HAY RESPUESTA DEL CLIENTE</v>
      </c>
      <c r="AG2134" s="65" t="str">
        <f>IFERROR(__xludf.DUMMYFUNCTION("""COMPUTED_VALUE"""),"NO")</f>
        <v>NO</v>
      </c>
      <c r="AH2134" s="65" t="str">
        <f>IFERROR(__xludf.DUMMYFUNCTION("""COMPUTED_VALUE"""),"18:39")</f>
        <v>18:39</v>
      </c>
      <c r="AI2134" s="65" t="str">
        <f>IFERROR(__xludf.DUMMYFUNCTION("""COMPUTED_VALUE"""),"24-01-2026")</f>
        <v>24-01-2026</v>
      </c>
      <c r="AJ2134" s="65"/>
      <c r="AK2134" s="65"/>
      <c r="AL2134" s="65"/>
      <c r="AM2134" s="65"/>
      <c r="AN2134" s="65" t="str">
        <f>IFERROR(__xludf.DUMMYFUNCTION("""COMPUTED_VALUE"""),"08:42")</f>
        <v>08:42</v>
      </c>
      <c r="AO2134" s="65" t="str">
        <f>IFERROR(__xludf.DUMMYFUNCTION("""COMPUTED_VALUE"""),"10-02-2026")</f>
        <v>10-02-2026</v>
      </c>
      <c r="AP2134" s="65" t="str">
        <f>IFERROR(__xludf.DUMMYFUNCTION("""COMPUTED_VALUE"""),"DEV CONFIRMADA POR BODEGA")</f>
        <v>DEV CONFIRMADA POR BODEGA</v>
      </c>
      <c r="AQ2134" s="65"/>
      <c r="AR2134" s="65" t="str">
        <f>IFERROR(__xludf.DUMMYFUNCTION("""COMPUTED_VALUE"""),"Gestionado por: Moran Daniel, email:danielmorga2005@gmail.com, total de productos en la orden: 1")</f>
        <v>Gestionado por: Moran Daniel, email:danielmorga2005@gmail.com, total de productos en la orden: 1</v>
      </c>
      <c r="AS2134" s="65"/>
      <c r="AT2134" s="65" t="str">
        <f>IFERROR(__xludf.DUMMYFUNCTION("""COMPUTED_VALUE"""),"SHOPIFY")</f>
        <v>SHOPIFY</v>
      </c>
      <c r="AU2134" s="65" t="str">
        <f>IFERROR(__xludf.DUMMYFUNCTION("""COMPUTED_VALUE"""),"IMPORTEX EC")</f>
        <v>IMPORTEX EC</v>
      </c>
      <c r="AV2134" s="65" t="str">
        <f>IFERROR(__xludf.DUMMYFUNCTION("""COMPUTED_VALUE"""),"6404556521516")</f>
        <v>6404556521516</v>
      </c>
      <c r="AW2134" s="65">
        <f>IFERROR(__xludf.DUMMYFUNCTION("""COMPUTED_VALUE"""),4831.0)</f>
        <v>4831</v>
      </c>
      <c r="AX2134" s="65"/>
      <c r="AY2134" s="65" t="str">
        <f>IFERROR(__xludf.DUMMYFUNCTION("""COMPUTED_VALUE"""),"14/01/2026")</f>
        <v>14/01/2026</v>
      </c>
      <c r="AZ2134" s="65"/>
      <c r="BA2134" s="65"/>
    </row>
    <row r="2135">
      <c r="A2135" s="65" t="str">
        <f>IFERROR(__xludf.DUMMYFUNCTION("""COMPUTED_VALUE"""),"27-03-2026")</f>
        <v>27-03-2026</v>
      </c>
      <c r="B2135" s="65">
        <f>IFERROR(__xludf.DUMMYFUNCTION("""COMPUTED_VALUE"""),4095628.0)</f>
        <v>4095628</v>
      </c>
      <c r="C2135" s="65" t="str">
        <f>IFERROR(__xludf.DUMMYFUNCTION("""COMPUTED_VALUE"""),"15:24")</f>
        <v>15:24</v>
      </c>
      <c r="D2135" s="65" t="str">
        <f>IFERROR(__xludf.DUMMYFUNCTION("""COMPUTED_VALUE"""),"10-01-2026")</f>
        <v>10-01-2026</v>
      </c>
      <c r="E2135" s="65" t="str">
        <f>IFERROR(__xludf.DUMMYFUNCTION("""COMPUTED_VALUE"""),"Diego A. Rincón A.")</f>
        <v>Diego A. Rincón A.</v>
      </c>
      <c r="F2135" s="65" t="str">
        <f>IFERROR(__xludf.DUMMYFUNCTION("""COMPUTED_VALUE"""),"992910278")</f>
        <v>992910278</v>
      </c>
      <c r="G2135" s="65" t="str">
        <f>IFERROR(__xludf.DUMMYFUNCTION("""COMPUTED_VALUE"""),"diegoarincona@gmail.com")</f>
        <v>diegoarincona@gmail.com</v>
      </c>
      <c r="H2135" s="65"/>
      <c r="I2135" s="65"/>
      <c r="J2135" s="65" t="str">
        <f>IFERROR(__xludf.DUMMYFUNCTION("""COMPUTED_VALUE"""),"D001223235")</f>
        <v>D001223235</v>
      </c>
      <c r="K2135" s="65" t="str">
        <f>IFERROR(__xludf.DUMMYFUNCTION("""COMPUTED_VALUE"""),"ENTREGADO")</f>
        <v>ENTREGADO</v>
      </c>
      <c r="L2135" s="65" t="str">
        <f>IFERROR(__xludf.DUMMYFUNCTION("""COMPUTED_VALUE"""),"CON RECAUDO")</f>
        <v>CON RECAUDO</v>
      </c>
      <c r="M2135" s="65" t="str">
        <f>IFERROR(__xludf.DUMMYFUNCTION("""COMPUTED_VALUE"""),"PICHINCHA")</f>
        <v>PICHINCHA</v>
      </c>
      <c r="N2135" s="65" t="str">
        <f>IFERROR(__xludf.DUMMYFUNCTION("""COMPUTED_VALUE"""),"QUITO")</f>
        <v>QUITO</v>
      </c>
      <c r="O2135" s="65" t="str">
        <f>IFERROR(__xludf.DUMMYFUNCTION("""COMPUTED_VALUE"""),"Sexta Transversal e16d y california alta Buenos aires del inca -")</f>
        <v>Sexta Transversal e16d y california alta Buenos aires del inca -</v>
      </c>
      <c r="P2135" s="65"/>
      <c r="Q2135" s="65" t="str">
        <f>IFERROR(__xludf.DUMMYFUNCTION("""COMPUTED_VALUE"""),"GINTRACOM")</f>
        <v>GINTRACOM</v>
      </c>
      <c r="R2135" s="65">
        <f>IFERROR(__xludf.DUMMYFUNCTION("""COMPUTED_VALUE"""),30.0)</f>
        <v>30</v>
      </c>
      <c r="S2135" s="65">
        <f>IFERROR(__xludf.DUMMYFUNCTION("""COMPUTED_VALUE"""),15.47)</f>
        <v>15.47</v>
      </c>
      <c r="T2135" s="65">
        <f>IFERROR(__xludf.DUMMYFUNCTION("""COMPUTED_VALUE"""),6.16)</f>
        <v>6.16</v>
      </c>
      <c r="U2135" s="65">
        <f>IFERROR(__xludf.DUMMYFUNCTION("""COMPUTED_VALUE"""),0.0)</f>
        <v>0</v>
      </c>
      <c r="V2135" s="65">
        <f>IFERROR(__xludf.DUMMYFUNCTION("""COMPUTED_VALUE"""),0.0)</f>
        <v>0</v>
      </c>
      <c r="W2135" s="65">
        <f>IFERROR(__xludf.DUMMYFUNCTION("""COMPUTED_VALUE"""),0.0)</f>
        <v>0</v>
      </c>
      <c r="X2135" s="65">
        <f>IFERROR(__xludf.DUMMYFUNCTION("""COMPUTED_VALUE"""),2.79)</f>
        <v>2.79</v>
      </c>
      <c r="Y2135" s="65">
        <f>IFERROR(__xludf.DUMMYFUNCTION("""COMPUTED_VALUE"""),8.37)</f>
        <v>8.37</v>
      </c>
      <c r="Z2135" s="65">
        <f>IFERROR(__xludf.DUMMYFUNCTION("""COMPUTED_VALUE"""),120732.0)</f>
        <v>120732</v>
      </c>
      <c r="AA2135" s="65" t="str">
        <f>IFERROR(__xludf.DUMMYFUNCTION("""COMPUTED_VALUE"""),"PROV-LMPVT")</f>
        <v>PROV-LMPVT</v>
      </c>
      <c r="AB2135" s="65"/>
      <c r="AC2135" s="65" t="str">
        <f>IFERROR(__xludf.DUMMYFUNCTION("""COMPUTED_VALUE"""),"LIMPIADOR DE PARABRISAS Y VENTANAS")</f>
        <v>LIMPIADOR DE PARABRISAS Y VENTANAS</v>
      </c>
      <c r="AD2135" s="65"/>
      <c r="AE2135" s="65">
        <f>IFERROR(__xludf.DUMMYFUNCTION("""COMPUTED_VALUE"""),3.0)</f>
        <v>3</v>
      </c>
      <c r="AF2135" s="65"/>
      <c r="AG2135" s="65"/>
      <c r="AH2135" s="65"/>
      <c r="AI2135" s="65"/>
      <c r="AJ2135" s="65"/>
      <c r="AK2135" s="65"/>
      <c r="AL2135" s="65"/>
      <c r="AM2135" s="65"/>
      <c r="AN2135" s="65" t="str">
        <f>IFERROR(__xludf.DUMMYFUNCTION("""COMPUTED_VALUE"""),"13:14")</f>
        <v>13:14</v>
      </c>
      <c r="AO2135" s="65" t="str">
        <f>IFERROR(__xludf.DUMMYFUNCTION("""COMPUTED_VALUE"""),"15-01-2026")</f>
        <v>15-01-2026</v>
      </c>
      <c r="AP2135" s="65" t="str">
        <f>IFERROR(__xludf.DUMMYFUNCTION("""COMPUTED_VALUE"""),"ENTREGADA GINTRACOM")</f>
        <v>ENTREGADA GINTRACOM</v>
      </c>
      <c r="AQ2135" s="65" t="str">
        <f>IFERROR(__xludf.DUMMYFUNCTION("""COMPUTED_VALUE"""),"ENTREGADA GINTRACOM")</f>
        <v>ENTREGADA GINTRACOM</v>
      </c>
      <c r="AR2135" s="65"/>
      <c r="AS2135" s="65"/>
      <c r="AT2135" s="65" t="str">
        <f>IFERROR(__xludf.DUMMYFUNCTION("""COMPUTED_VALUE"""),"SHOPIFY")</f>
        <v>SHOPIFY</v>
      </c>
      <c r="AU2135" s="65" t="str">
        <f>IFERROR(__xludf.DUMMYFUNCTION("""COMPUTED_VALUE"""),"IMPORTEX EC")</f>
        <v>IMPORTEX EC</v>
      </c>
      <c r="AV2135" s="65" t="str">
        <f>IFERROR(__xludf.DUMMYFUNCTION("""COMPUTED_VALUE"""),"6404521590828")</f>
        <v>6404521590828</v>
      </c>
      <c r="AW2135" s="65">
        <f>IFERROR(__xludf.DUMMYFUNCTION("""COMPUTED_VALUE"""),4827.0)</f>
        <v>4827</v>
      </c>
      <c r="AX2135" s="65"/>
      <c r="AY2135" s="65" t="str">
        <f>IFERROR(__xludf.DUMMYFUNCTION("""COMPUTED_VALUE"""),"14/01/2026")</f>
        <v>14/01/2026</v>
      </c>
      <c r="AZ2135" s="65"/>
      <c r="BA2135" s="65"/>
    </row>
    <row r="2136">
      <c r="A2136" s="65" t="str">
        <f>IFERROR(__xludf.DUMMYFUNCTION("""COMPUTED_VALUE"""),"27-03-2026")</f>
        <v>27-03-2026</v>
      </c>
      <c r="B2136" s="65">
        <f>IFERROR(__xludf.DUMMYFUNCTION("""COMPUTED_VALUE"""),4095492.0)</f>
        <v>4095492</v>
      </c>
      <c r="C2136" s="65" t="str">
        <f>IFERROR(__xludf.DUMMYFUNCTION("""COMPUTED_VALUE"""),"15:07")</f>
        <v>15:07</v>
      </c>
      <c r="D2136" s="65" t="str">
        <f>IFERROR(__xludf.DUMMYFUNCTION("""COMPUTED_VALUE"""),"10-01-2026")</f>
        <v>10-01-2026</v>
      </c>
      <c r="E2136" s="65" t="str">
        <f>IFERROR(__xludf.DUMMYFUNCTION("""COMPUTED_VALUE"""),"Priscilla Albornoz")</f>
        <v>Priscilla Albornoz</v>
      </c>
      <c r="F2136" s="65" t="str">
        <f>IFERROR(__xludf.DUMMYFUNCTION("""COMPUTED_VALUE"""),"999426415")</f>
        <v>999426415</v>
      </c>
      <c r="G2136" s="65" t="str">
        <f>IFERROR(__xludf.DUMMYFUNCTION("""COMPUTED_VALUE"""),"albornozpriscilla@gmail.com")</f>
        <v>albornozpriscilla@gmail.com</v>
      </c>
      <c r="H2136" s="65"/>
      <c r="I2136" s="65"/>
      <c r="J2136" s="65"/>
      <c r="K2136" s="65" t="str">
        <f>IFERROR(__xludf.DUMMYFUNCTION("""COMPUTED_VALUE"""),"CANCELADO")</f>
        <v>CANCELADO</v>
      </c>
      <c r="L2136" s="65" t="str">
        <f>IFERROR(__xludf.DUMMYFUNCTION("""COMPUTED_VALUE"""),"CON RECAUDO")</f>
        <v>CON RECAUDO</v>
      </c>
      <c r="M2136" s="65" t="str">
        <f>IFERROR(__xludf.DUMMYFUNCTION("""COMPUTED_VALUE"""),"GUAYAS")</f>
        <v>GUAYAS</v>
      </c>
      <c r="N2136" s="65" t="str">
        <f>IFERROR(__xludf.DUMMYFUNCTION("""COMPUTED_VALUE"""),"LA PUNTILLA")</f>
        <v>LA PUNTILLA</v>
      </c>
      <c r="O2136" s="65" t="str">
        <f>IFERROR(__xludf.DUMMYFUNCTION("""COMPUTED_VALUE"""),"Urbanización Lago Sol A8 km 7 via a Samborondon -")</f>
        <v>Urbanización Lago Sol A8 km 7 via a Samborondon -</v>
      </c>
      <c r="P2136" s="65"/>
      <c r="Q2136" s="65" t="str">
        <f>IFERROR(__xludf.DUMMYFUNCTION("""COMPUTED_VALUE"""),"SERVIENTREGA")</f>
        <v>SERVIENTREGA</v>
      </c>
      <c r="R2136" s="65">
        <f>IFERROR(__xludf.DUMMYFUNCTION("""COMPUTED_VALUE"""),22.0)</f>
        <v>22</v>
      </c>
      <c r="S2136" s="65"/>
      <c r="T2136" s="65">
        <f>IFERROR(__xludf.DUMMYFUNCTION("""COMPUTED_VALUE"""),5.67)</f>
        <v>5.67</v>
      </c>
      <c r="U2136" s="65">
        <f>IFERROR(__xludf.DUMMYFUNCTION("""COMPUTED_VALUE"""),0.0)</f>
        <v>0</v>
      </c>
      <c r="V2136" s="65">
        <f>IFERROR(__xludf.DUMMYFUNCTION("""COMPUTED_VALUE"""),0.0)</f>
        <v>0</v>
      </c>
      <c r="W2136" s="65">
        <f>IFERROR(__xludf.DUMMYFUNCTION("""COMPUTED_VALUE"""),0.0)</f>
        <v>0</v>
      </c>
      <c r="X2136" s="65">
        <f>IFERROR(__xludf.DUMMYFUNCTION("""COMPUTED_VALUE"""),2.6)</f>
        <v>2.6</v>
      </c>
      <c r="Y2136" s="65">
        <f>IFERROR(__xludf.DUMMYFUNCTION("""COMPUTED_VALUE"""),5.2)</f>
        <v>5.2</v>
      </c>
      <c r="Z2136" s="65">
        <f>IFERROR(__xludf.DUMMYFUNCTION("""COMPUTED_VALUE"""),121983.0)</f>
        <v>121983</v>
      </c>
      <c r="AA2136" s="65" t="str">
        <f>IFERROR(__xludf.DUMMYFUNCTION("""COMPUTED_VALUE"""),"PROV-CHLLCF")</f>
        <v>PROV-CHLLCF</v>
      </c>
      <c r="AB2136" s="65"/>
      <c r="AC2136" s="65" t="str">
        <f>IFERROR(__xludf.DUMMYFUNCTION("""COMPUTED_VALUE"""),"CUCHILLO PARA CHEF")</f>
        <v>CUCHILLO PARA CHEF</v>
      </c>
      <c r="AD2136" s="65"/>
      <c r="AE2136" s="65">
        <f>IFERROR(__xludf.DUMMYFUNCTION("""COMPUTED_VALUE"""),2.0)</f>
        <v>2</v>
      </c>
      <c r="AF2136" s="65"/>
      <c r="AG2136" s="65"/>
      <c r="AH2136" s="65"/>
      <c r="AI2136" s="65"/>
      <c r="AJ2136" s="65"/>
      <c r="AK2136" s="65"/>
      <c r="AL2136" s="65"/>
      <c r="AM2136" s="65"/>
      <c r="AN2136" s="65"/>
      <c r="AO2136" s="65"/>
      <c r="AP2136" s="65"/>
      <c r="AQ2136" s="65"/>
      <c r="AR2136" s="65"/>
      <c r="AS2136" s="65"/>
      <c r="AT2136" s="65" t="str">
        <f>IFERROR(__xludf.DUMMYFUNCTION("""COMPUTED_VALUE"""),"SHOPIFY")</f>
        <v>SHOPIFY</v>
      </c>
      <c r="AU2136" s="65" t="str">
        <f>IFERROR(__xludf.DUMMYFUNCTION("""COMPUTED_VALUE"""),"IMPORTEX EC")</f>
        <v>IMPORTEX EC</v>
      </c>
      <c r="AV2136" s="65" t="str">
        <f>IFERROR(__xludf.DUMMYFUNCTION("""COMPUTED_VALUE"""),"6404473454636")</f>
        <v>6404473454636</v>
      </c>
      <c r="AW2136" s="65">
        <f>IFERROR(__xludf.DUMMYFUNCTION("""COMPUTED_VALUE"""),4826.0)</f>
        <v>4826</v>
      </c>
      <c r="AX2136" s="65"/>
      <c r="AY2136" s="65"/>
      <c r="AZ2136" s="65"/>
      <c r="BA2136" s="65"/>
    </row>
    <row r="2137">
      <c r="A2137" s="65" t="str">
        <f>IFERROR(__xludf.DUMMYFUNCTION("""COMPUTED_VALUE"""),"27-03-2026")</f>
        <v>27-03-2026</v>
      </c>
      <c r="B2137" s="65">
        <f>IFERROR(__xludf.DUMMYFUNCTION("""COMPUTED_VALUE"""),4095491.0)</f>
        <v>4095491</v>
      </c>
      <c r="C2137" s="65" t="str">
        <f>IFERROR(__xludf.DUMMYFUNCTION("""COMPUTED_VALUE"""),"15:07")</f>
        <v>15:07</v>
      </c>
      <c r="D2137" s="65" t="str">
        <f>IFERROR(__xludf.DUMMYFUNCTION("""COMPUTED_VALUE"""),"10-01-2026")</f>
        <v>10-01-2026</v>
      </c>
      <c r="E2137" s="65" t="str">
        <f>IFERROR(__xludf.DUMMYFUNCTION("""COMPUTED_VALUE"""),"Yolanda Isabel Plaza Garcia")</f>
        <v>Yolanda Isabel Plaza Garcia</v>
      </c>
      <c r="F2137" s="65" t="str">
        <f>IFERROR(__xludf.DUMMYFUNCTION("""COMPUTED_VALUE"""),"998584081")</f>
        <v>998584081</v>
      </c>
      <c r="G2137" s="65" t="str">
        <f>IFERROR(__xludf.DUMMYFUNCTION("""COMPUTED_VALUE"""),"plazagarciayolanda1@gmail.com")</f>
        <v>plazagarciayolanda1@gmail.com</v>
      </c>
      <c r="H2137" s="65"/>
      <c r="I2137" s="65"/>
      <c r="J2137" s="65" t="str">
        <f>IFERROR(__xludf.DUMMYFUNCTION("""COMPUTED_VALUE"""),"D001223237")</f>
        <v>D001223237</v>
      </c>
      <c r="K2137" s="65" t="str">
        <f>IFERROR(__xludf.DUMMYFUNCTION("""COMPUTED_VALUE"""),"DEVOLUCION")</f>
        <v>DEVOLUCION</v>
      </c>
      <c r="L2137" s="65" t="str">
        <f>IFERROR(__xludf.DUMMYFUNCTION("""COMPUTED_VALUE"""),"CON RECAUDO")</f>
        <v>CON RECAUDO</v>
      </c>
      <c r="M2137" s="65" t="str">
        <f>IFERROR(__xludf.DUMMYFUNCTION("""COMPUTED_VALUE"""),"NAPO")</f>
        <v>NAPO</v>
      </c>
      <c r="N2137" s="65" t="str">
        <f>IFERROR(__xludf.DUMMYFUNCTION("""COMPUTED_VALUE"""),"TENA")</f>
        <v>TENA</v>
      </c>
      <c r="O2137" s="65" t="str">
        <f>IFERROR(__xludf.DUMMYFUNCTION("""COMPUTED_VALUE"""),"Dos Rios y Apu Domingo Barrio Dos Rios. En la esquina - La casa  Es de 2 pisos, color gris, con cubierta metalica.")</f>
        <v>Dos Rios y Apu Domingo Barrio Dos Rios. En la esquina - La casa  Es de 2 pisos, color gris, con cubierta metalica.</v>
      </c>
      <c r="P2137" s="65"/>
      <c r="Q2137" s="65" t="str">
        <f>IFERROR(__xludf.DUMMYFUNCTION("""COMPUTED_VALUE"""),"GINTRACOM")</f>
        <v>GINTRACOM</v>
      </c>
      <c r="R2137" s="65">
        <f>IFERROR(__xludf.DUMMYFUNCTION("""COMPUTED_VALUE"""),22.0)</f>
        <v>22</v>
      </c>
      <c r="S2137" s="65"/>
      <c r="T2137" s="65">
        <f>IFERROR(__xludf.DUMMYFUNCTION("""COMPUTED_VALUE"""),5.84)</f>
        <v>5.84</v>
      </c>
      <c r="U2137" s="65">
        <f>IFERROR(__xludf.DUMMYFUNCTION("""COMPUTED_VALUE"""),0.0)</f>
        <v>0</v>
      </c>
      <c r="V2137" s="65">
        <f>IFERROR(__xludf.DUMMYFUNCTION("""COMPUTED_VALUE"""),0.0)</f>
        <v>0</v>
      </c>
      <c r="W2137" s="65">
        <f>IFERROR(__xludf.DUMMYFUNCTION("""COMPUTED_VALUE"""),0.0)</f>
        <v>0</v>
      </c>
      <c r="X2137" s="65">
        <f>IFERROR(__xludf.DUMMYFUNCTION("""COMPUTED_VALUE"""),2.6)</f>
        <v>2.6</v>
      </c>
      <c r="Y2137" s="65">
        <f>IFERROR(__xludf.DUMMYFUNCTION("""COMPUTED_VALUE"""),5.2)</f>
        <v>5.2</v>
      </c>
      <c r="Z2137" s="65">
        <f>IFERROR(__xludf.DUMMYFUNCTION("""COMPUTED_VALUE"""),121983.0)</f>
        <v>121983</v>
      </c>
      <c r="AA2137" s="65" t="str">
        <f>IFERROR(__xludf.DUMMYFUNCTION("""COMPUTED_VALUE"""),"PROV-CHLLCF")</f>
        <v>PROV-CHLLCF</v>
      </c>
      <c r="AB2137" s="65"/>
      <c r="AC2137" s="65" t="str">
        <f>IFERROR(__xludf.DUMMYFUNCTION("""COMPUTED_VALUE"""),"CUCHILLO PARA CHEF")</f>
        <v>CUCHILLO PARA CHEF</v>
      </c>
      <c r="AD2137" s="65"/>
      <c r="AE2137" s="65">
        <f>IFERROR(__xludf.DUMMYFUNCTION("""COMPUTED_VALUE"""),2.0)</f>
        <v>2</v>
      </c>
      <c r="AF2137" s="65" t="str">
        <f>IFERROR(__xludf.DUMMYFUNCTION("""COMPUTED_VALUE"""),"DESTINATARIO INDICA QUE YA NO DESEA EL PRODUCTO")</f>
        <v>DESTINATARIO INDICA QUE YA NO DESEA EL PRODUCTO</v>
      </c>
      <c r="AG2137" s="65" t="str">
        <f>IFERROR(__xludf.DUMMYFUNCTION("""COMPUTED_VALUE"""),"SI")</f>
        <v>SI</v>
      </c>
      <c r="AH2137" s="65" t="str">
        <f>IFERROR(__xludf.DUMMYFUNCTION("""COMPUTED_VALUE"""),"15:56")</f>
        <v>15:56</v>
      </c>
      <c r="AI2137" s="65" t="str">
        <f>IFERROR(__xludf.DUMMYFUNCTION("""COMPUTED_VALUE"""),"14-01-2026")</f>
        <v>14-01-2026</v>
      </c>
      <c r="AJ2137" s="65" t="str">
        <f>IFERROR(__xludf.DUMMYFUNCTION("""COMPUTED_VALUE"""),"DEVOLVER AL REMITENTE")</f>
        <v>DEVOLVER AL REMITENTE</v>
      </c>
      <c r="AK2137" s="65" t="str">
        <f>IFERROR(__xludf.DUMMYFUNCTION("""COMPUTED_VALUE"""),"09:29")</f>
        <v>09:29</v>
      </c>
      <c r="AL2137" s="65" t="str">
        <f>IFERROR(__xludf.DUMMYFUNCTION("""COMPUTED_VALUE"""),"23-01-2026")</f>
        <v>23-01-2026</v>
      </c>
      <c r="AM2137" s="65"/>
      <c r="AN2137" s="65" t="str">
        <f>IFERROR(__xludf.DUMMYFUNCTION("""COMPUTED_VALUE"""),"08:39")</f>
        <v>08:39</v>
      </c>
      <c r="AO2137" s="65" t="str">
        <f>IFERROR(__xludf.DUMMYFUNCTION("""COMPUTED_VALUE"""),"10-02-2026")</f>
        <v>10-02-2026</v>
      </c>
      <c r="AP2137" s="65" t="str">
        <f>IFERROR(__xludf.DUMMYFUNCTION("""COMPUTED_VALUE"""),"DEV CONFIRMADA POR BODEGA")</f>
        <v>DEV CONFIRMADA POR BODEGA</v>
      </c>
      <c r="AQ2137" s="65"/>
      <c r="AR2137" s="65" t="str">
        <f>IFERROR(__xludf.DUMMYFUNCTION("""COMPUTED_VALUE"""),"Gestionado por: Moran Daniel, email:danielmorga2005@gmail.com, total de productos en la orden: 1")</f>
        <v>Gestionado por: Moran Daniel, email:danielmorga2005@gmail.com, total de productos en la orden: 1</v>
      </c>
      <c r="AS2137" s="65"/>
      <c r="AT2137" s="65" t="str">
        <f>IFERROR(__xludf.DUMMYFUNCTION("""COMPUTED_VALUE"""),"SHOPIFY")</f>
        <v>SHOPIFY</v>
      </c>
      <c r="AU2137" s="65" t="str">
        <f>IFERROR(__xludf.DUMMYFUNCTION("""COMPUTED_VALUE"""),"IMPORTEX EC")</f>
        <v>IMPORTEX EC</v>
      </c>
      <c r="AV2137" s="65" t="str">
        <f>IFERROR(__xludf.DUMMYFUNCTION("""COMPUTED_VALUE"""),"6404473356332")</f>
        <v>6404473356332</v>
      </c>
      <c r="AW2137" s="65">
        <f>IFERROR(__xludf.DUMMYFUNCTION("""COMPUTED_VALUE"""),4825.0)</f>
        <v>4825</v>
      </c>
      <c r="AX2137" s="65"/>
      <c r="AY2137" s="65" t="str">
        <f>IFERROR(__xludf.DUMMYFUNCTION("""COMPUTED_VALUE"""),"14/01/2026")</f>
        <v>14/01/2026</v>
      </c>
      <c r="AZ2137" s="65"/>
      <c r="BA2137" s="65"/>
    </row>
    <row r="2138">
      <c r="A2138" s="65" t="str">
        <f>IFERROR(__xludf.DUMMYFUNCTION("""COMPUTED_VALUE"""),"27-03-2026")</f>
        <v>27-03-2026</v>
      </c>
      <c r="B2138" s="65">
        <f>IFERROR(__xludf.DUMMYFUNCTION("""COMPUTED_VALUE"""),4095486.0)</f>
        <v>4095486</v>
      </c>
      <c r="C2138" s="65" t="str">
        <f>IFERROR(__xludf.DUMMYFUNCTION("""COMPUTED_VALUE"""),"15:07")</f>
        <v>15:07</v>
      </c>
      <c r="D2138" s="65" t="str">
        <f>IFERROR(__xludf.DUMMYFUNCTION("""COMPUTED_VALUE"""),"10-01-2026")</f>
        <v>10-01-2026</v>
      </c>
      <c r="E2138" s="65" t="str">
        <f>IFERROR(__xludf.DUMMYFUNCTION("""COMPUTED_VALUE"""),"Marlon Jara")</f>
        <v>Marlon Jara</v>
      </c>
      <c r="F2138" s="65" t="str">
        <f>IFERROR(__xludf.DUMMYFUNCTION("""COMPUTED_VALUE"""),"993089725")</f>
        <v>993089725</v>
      </c>
      <c r="G2138" s="65" t="str">
        <f>IFERROR(__xludf.DUMMYFUNCTION("""COMPUTED_VALUE"""),"marlon_1980@outlook.com")</f>
        <v>marlon_1980@outlook.com</v>
      </c>
      <c r="H2138" s="65"/>
      <c r="I2138" s="65"/>
      <c r="J2138" s="65" t="str">
        <f>IFERROR(__xludf.DUMMYFUNCTION("""COMPUTED_VALUE"""),"D001223240")</f>
        <v>D001223240</v>
      </c>
      <c r="K2138" s="65" t="str">
        <f>IFERROR(__xludf.DUMMYFUNCTION("""COMPUTED_VALUE"""),"ENTREGADO")</f>
        <v>ENTREGADO</v>
      </c>
      <c r="L2138" s="65" t="str">
        <f>IFERROR(__xludf.DUMMYFUNCTION("""COMPUTED_VALUE"""),"CON RECAUDO")</f>
        <v>CON RECAUDO</v>
      </c>
      <c r="M2138" s="65" t="str">
        <f>IFERROR(__xludf.DUMMYFUNCTION("""COMPUTED_VALUE"""),"GUAYAS")</f>
        <v>GUAYAS</v>
      </c>
      <c r="N2138" s="65" t="str">
        <f>IFERROR(__xludf.DUMMYFUNCTION("""COMPUTED_VALUE"""),"MILAGRO")</f>
        <v>MILAGRO</v>
      </c>
      <c r="O2138" s="65" t="str">
        <f>IFERROR(__xludf.DUMMYFUNCTION("""COMPUTED_VALUE"""),"Calixto Jara y Borja fuller Cdla. 22 de noviembre -  vivo a 100 metros del parque de la ciudadela 22 de noviembre")</f>
        <v>Calixto Jara y Borja fuller Cdla. 22 de noviembre -  vivo a 100 metros del parque de la ciudadela 22 de noviembre</v>
      </c>
      <c r="P2138" s="65"/>
      <c r="Q2138" s="65" t="str">
        <f>IFERROR(__xludf.DUMMYFUNCTION("""COMPUTED_VALUE"""),"GINTRACOM")</f>
        <v>GINTRACOM</v>
      </c>
      <c r="R2138" s="65">
        <f>IFERROR(__xludf.DUMMYFUNCTION("""COMPUTED_VALUE"""),22.0)</f>
        <v>22</v>
      </c>
      <c r="S2138" s="65">
        <f>IFERROR(__xludf.DUMMYFUNCTION("""COMPUTED_VALUE"""),11.54)</f>
        <v>11.54</v>
      </c>
      <c r="T2138" s="65">
        <f>IFERROR(__xludf.DUMMYFUNCTION("""COMPUTED_VALUE"""),5.26)</f>
        <v>5.26</v>
      </c>
      <c r="U2138" s="65">
        <f>IFERROR(__xludf.DUMMYFUNCTION("""COMPUTED_VALUE"""),0.0)</f>
        <v>0</v>
      </c>
      <c r="V2138" s="65">
        <f>IFERROR(__xludf.DUMMYFUNCTION("""COMPUTED_VALUE"""),0.0)</f>
        <v>0</v>
      </c>
      <c r="W2138" s="65">
        <f>IFERROR(__xludf.DUMMYFUNCTION("""COMPUTED_VALUE"""),0.0)</f>
        <v>0</v>
      </c>
      <c r="X2138" s="65">
        <f>IFERROR(__xludf.DUMMYFUNCTION("""COMPUTED_VALUE"""),2.6)</f>
        <v>2.6</v>
      </c>
      <c r="Y2138" s="65">
        <f>IFERROR(__xludf.DUMMYFUNCTION("""COMPUTED_VALUE"""),5.2)</f>
        <v>5.2</v>
      </c>
      <c r="Z2138" s="65">
        <f>IFERROR(__xludf.DUMMYFUNCTION("""COMPUTED_VALUE"""),121983.0)</f>
        <v>121983</v>
      </c>
      <c r="AA2138" s="65" t="str">
        <f>IFERROR(__xludf.DUMMYFUNCTION("""COMPUTED_VALUE"""),"PROV-CHLLCF")</f>
        <v>PROV-CHLLCF</v>
      </c>
      <c r="AB2138" s="65"/>
      <c r="AC2138" s="65" t="str">
        <f>IFERROR(__xludf.DUMMYFUNCTION("""COMPUTED_VALUE"""),"CUCHILLO PARA CHEF")</f>
        <v>CUCHILLO PARA CHEF</v>
      </c>
      <c r="AD2138" s="65"/>
      <c r="AE2138" s="65">
        <f>IFERROR(__xludf.DUMMYFUNCTION("""COMPUTED_VALUE"""),2.0)</f>
        <v>2</v>
      </c>
      <c r="AF2138" s="65"/>
      <c r="AG2138" s="65"/>
      <c r="AH2138" s="65"/>
      <c r="AI2138" s="65"/>
      <c r="AJ2138" s="65"/>
      <c r="AK2138" s="65"/>
      <c r="AL2138" s="65"/>
      <c r="AM2138" s="65"/>
      <c r="AN2138" s="65" t="str">
        <f>IFERROR(__xludf.DUMMYFUNCTION("""COMPUTED_VALUE"""),"17:18")</f>
        <v>17:18</v>
      </c>
      <c r="AO2138" s="65" t="str">
        <f>IFERROR(__xludf.DUMMYFUNCTION("""COMPUTED_VALUE"""),"16-01-2026")</f>
        <v>16-01-2026</v>
      </c>
      <c r="AP2138" s="65" t="str">
        <f>IFERROR(__xludf.DUMMYFUNCTION("""COMPUTED_VALUE"""),"ENTREGADA GINTRACOM")</f>
        <v>ENTREGADA GINTRACOM</v>
      </c>
      <c r="AQ2138" s="65" t="str">
        <f>IFERROR(__xludf.DUMMYFUNCTION("""COMPUTED_VALUE"""),"ENTREGADA GINTRACOM")</f>
        <v>ENTREGADA GINTRACOM</v>
      </c>
      <c r="AR2138" s="65"/>
      <c r="AS2138" s="65"/>
      <c r="AT2138" s="65" t="str">
        <f>IFERROR(__xludf.DUMMYFUNCTION("""COMPUTED_VALUE"""),"SHOPIFY")</f>
        <v>SHOPIFY</v>
      </c>
      <c r="AU2138" s="65" t="str">
        <f>IFERROR(__xludf.DUMMYFUNCTION("""COMPUTED_VALUE"""),"IMPORTEX EC")</f>
        <v>IMPORTEX EC</v>
      </c>
      <c r="AV2138" s="65" t="str">
        <f>IFERROR(__xludf.DUMMYFUNCTION("""COMPUTED_VALUE"""),"6404470538284")</f>
        <v>6404470538284</v>
      </c>
      <c r="AW2138" s="65">
        <f>IFERROR(__xludf.DUMMYFUNCTION("""COMPUTED_VALUE"""),4824.0)</f>
        <v>4824</v>
      </c>
      <c r="AX2138" s="65"/>
      <c r="AY2138" s="65" t="str">
        <f>IFERROR(__xludf.DUMMYFUNCTION("""COMPUTED_VALUE"""),"14/01/2026")</f>
        <v>14/01/2026</v>
      </c>
      <c r="AZ2138" s="65"/>
      <c r="BA2138" s="65"/>
    </row>
    <row r="2139">
      <c r="A2139" s="65" t="str">
        <f>IFERROR(__xludf.DUMMYFUNCTION("""COMPUTED_VALUE"""),"27-03-2026")</f>
        <v>27-03-2026</v>
      </c>
      <c r="B2139" s="65">
        <f>IFERROR(__xludf.DUMMYFUNCTION("""COMPUTED_VALUE"""),4095349.0)</f>
        <v>4095349</v>
      </c>
      <c r="C2139" s="65" t="str">
        <f>IFERROR(__xludf.DUMMYFUNCTION("""COMPUTED_VALUE"""),"14:46")</f>
        <v>14:46</v>
      </c>
      <c r="D2139" s="65" t="str">
        <f>IFERROR(__xludf.DUMMYFUNCTION("""COMPUTED_VALUE"""),"10-01-2026")</f>
        <v>10-01-2026</v>
      </c>
      <c r="E2139" s="65" t="str">
        <f>IFERROR(__xludf.DUMMYFUNCTION("""COMPUTED_VALUE"""),"Segundo Miguel Zhañay Piña")</f>
        <v>Segundo Miguel Zhañay Piña</v>
      </c>
      <c r="F2139" s="65" t="str">
        <f>IFERROR(__xludf.DUMMYFUNCTION("""COMPUTED_VALUE"""),"995813935")</f>
        <v>995813935</v>
      </c>
      <c r="G2139" s="65" t="str">
        <f>IFERROR(__xludf.DUMMYFUNCTION("""COMPUTED_VALUE"""),"michel_zp60@hotmail.com")</f>
        <v>michel_zp60@hotmail.com</v>
      </c>
      <c r="H2139" s="65"/>
      <c r="I2139" s="65"/>
      <c r="J2139" s="65" t="str">
        <f>IFERROR(__xludf.DUMMYFUNCTION("""COMPUTED_VALUE"""),"D001216237")</f>
        <v>D001216237</v>
      </c>
      <c r="K2139" s="65" t="str">
        <f>IFERROR(__xludf.DUMMYFUNCTION("""COMPUTED_VALUE"""),"ENTREGADO")</f>
        <v>ENTREGADO</v>
      </c>
      <c r="L2139" s="65" t="str">
        <f>IFERROR(__xludf.DUMMYFUNCTION("""COMPUTED_VALUE"""),"CON RECAUDO")</f>
        <v>CON RECAUDO</v>
      </c>
      <c r="M2139" s="65" t="str">
        <f>IFERROR(__xludf.DUMMYFUNCTION("""COMPUTED_VALUE"""),"CHIMBORAZO")</f>
        <v>CHIMBORAZO</v>
      </c>
      <c r="N2139" s="65" t="str">
        <f>IFERROR(__xludf.DUMMYFUNCTION("""COMPUTED_VALUE"""),"RIOBAMBA")</f>
        <v>RIOBAMBA</v>
      </c>
      <c r="O2139" s="65" t="str">
        <f>IFERROR(__xludf.DUMMYFUNCTION("""COMPUTED_VALUE"""),"Calle Argentina entre Calle Costa Rica y Calle Dominica Florecer - Primer callejón s/n - Ref. Casa dos piso color rojo con gris,")</f>
        <v>Calle Argentina entre Calle Costa Rica y Calle Dominica Florecer - Primer callejón s/n - Ref. Casa dos piso color rojo con gris,</v>
      </c>
      <c r="P2139" s="65"/>
      <c r="Q2139" s="65" t="str">
        <f>IFERROR(__xludf.DUMMYFUNCTION("""COMPUTED_VALUE"""),"GINTRACOM")</f>
        <v>GINTRACOM</v>
      </c>
      <c r="R2139" s="65">
        <f>IFERROR(__xludf.DUMMYFUNCTION("""COMPUTED_VALUE"""),25.0)</f>
        <v>25</v>
      </c>
      <c r="S2139" s="65">
        <f>IFERROR(__xludf.DUMMYFUNCTION("""COMPUTED_VALUE"""),13.46)</f>
        <v>13.46</v>
      </c>
      <c r="T2139" s="65">
        <f>IFERROR(__xludf.DUMMYFUNCTION("""COMPUTED_VALUE"""),5.96)</f>
        <v>5.96</v>
      </c>
      <c r="U2139" s="65">
        <f>IFERROR(__xludf.DUMMYFUNCTION("""COMPUTED_VALUE"""),0.0)</f>
        <v>0</v>
      </c>
      <c r="V2139" s="65">
        <f>IFERROR(__xludf.DUMMYFUNCTION("""COMPUTED_VALUE"""),0.0)</f>
        <v>0</v>
      </c>
      <c r="W2139" s="65">
        <f>IFERROR(__xludf.DUMMYFUNCTION("""COMPUTED_VALUE"""),0.0)</f>
        <v>0</v>
      </c>
      <c r="X2139" s="65">
        <f>IFERROR(__xludf.DUMMYFUNCTION("""COMPUTED_VALUE"""),2.79)</f>
        <v>2.79</v>
      </c>
      <c r="Y2139" s="65">
        <f>IFERROR(__xludf.DUMMYFUNCTION("""COMPUTED_VALUE"""),5.58)</f>
        <v>5.58</v>
      </c>
      <c r="Z2139" s="65">
        <f>IFERROR(__xludf.DUMMYFUNCTION("""COMPUTED_VALUE"""),120732.0)</f>
        <v>120732</v>
      </c>
      <c r="AA2139" s="65" t="str">
        <f>IFERROR(__xludf.DUMMYFUNCTION("""COMPUTED_VALUE"""),"PROV-LMPVT")</f>
        <v>PROV-LMPVT</v>
      </c>
      <c r="AB2139" s="65"/>
      <c r="AC2139" s="65" t="str">
        <f>IFERROR(__xludf.DUMMYFUNCTION("""COMPUTED_VALUE"""),"LIMPIADOR DE PARABRISAS Y VENTANAS")</f>
        <v>LIMPIADOR DE PARABRISAS Y VENTANAS</v>
      </c>
      <c r="AD2139" s="65"/>
      <c r="AE2139" s="65">
        <f>IFERROR(__xludf.DUMMYFUNCTION("""COMPUTED_VALUE"""),2.0)</f>
        <v>2</v>
      </c>
      <c r="AF2139" s="65"/>
      <c r="AG2139" s="65"/>
      <c r="AH2139" s="65"/>
      <c r="AI2139" s="65"/>
      <c r="AJ2139" s="65"/>
      <c r="AK2139" s="65"/>
      <c r="AL2139" s="65"/>
      <c r="AM2139" s="65"/>
      <c r="AN2139" s="65" t="str">
        <f>IFERROR(__xludf.DUMMYFUNCTION("""COMPUTED_VALUE"""),"01:31")</f>
        <v>01:31</v>
      </c>
      <c r="AO2139" s="65" t="str">
        <f>IFERROR(__xludf.DUMMYFUNCTION("""COMPUTED_VALUE"""),"14-01-2026")</f>
        <v>14-01-2026</v>
      </c>
      <c r="AP2139" s="65" t="str">
        <f>IFERROR(__xludf.DUMMYFUNCTION("""COMPUTED_VALUE"""),"EN TRÁNSITO")</f>
        <v>EN TRÁNSITO</v>
      </c>
      <c r="AQ2139" s="65" t="str">
        <f>IFERROR(__xludf.DUMMYFUNCTION("""COMPUTED_VALUE"""),"EN TRÁNSITO")</f>
        <v>EN TRÁNSITO</v>
      </c>
      <c r="AR2139" s="65"/>
      <c r="AS2139" s="65"/>
      <c r="AT2139" s="65" t="str">
        <f>IFERROR(__xludf.DUMMYFUNCTION("""COMPUTED_VALUE"""),"SHOPIFY")</f>
        <v>SHOPIFY</v>
      </c>
      <c r="AU2139" s="65" t="str">
        <f>IFERROR(__xludf.DUMMYFUNCTION("""COMPUTED_VALUE"""),"IMPORTEX EC")</f>
        <v>IMPORTEX EC</v>
      </c>
      <c r="AV2139" s="65" t="str">
        <f>IFERROR(__xludf.DUMMYFUNCTION("""COMPUTED_VALUE"""),"6404418699308")</f>
        <v>6404418699308</v>
      </c>
      <c r="AW2139" s="65">
        <f>IFERROR(__xludf.DUMMYFUNCTION("""COMPUTED_VALUE"""),4823.0)</f>
        <v>4823</v>
      </c>
      <c r="AX2139" s="65"/>
      <c r="AY2139" s="65" t="str">
        <f>IFERROR(__xludf.DUMMYFUNCTION("""COMPUTED_VALUE"""),"12/01/2026")</f>
        <v>12/01/2026</v>
      </c>
      <c r="AZ2139" s="65"/>
      <c r="BA2139" s="65"/>
    </row>
    <row r="2140">
      <c r="A2140" s="65" t="str">
        <f>IFERROR(__xludf.DUMMYFUNCTION("""COMPUTED_VALUE"""),"27-03-2026")</f>
        <v>27-03-2026</v>
      </c>
      <c r="B2140" s="65">
        <f>IFERROR(__xludf.DUMMYFUNCTION("""COMPUTED_VALUE"""),4095219.0)</f>
        <v>4095219</v>
      </c>
      <c r="C2140" s="65" t="str">
        <f>IFERROR(__xludf.DUMMYFUNCTION("""COMPUTED_VALUE"""),"14:27")</f>
        <v>14:27</v>
      </c>
      <c r="D2140" s="65" t="str">
        <f>IFERROR(__xludf.DUMMYFUNCTION("""COMPUTED_VALUE"""),"10-01-2026")</f>
        <v>10-01-2026</v>
      </c>
      <c r="E2140" s="65" t="str">
        <f>IFERROR(__xludf.DUMMYFUNCTION("""COMPUTED_VALUE"""),"Jairo Gabriel Paladines frias")</f>
        <v>Jairo Gabriel Paladines frias</v>
      </c>
      <c r="F2140" s="65" t="str">
        <f>IFERROR(__xludf.DUMMYFUNCTION("""COMPUTED_VALUE"""),"994074726")</f>
        <v>994074726</v>
      </c>
      <c r="G2140" s="65" t="str">
        <f>IFERROR(__xludf.DUMMYFUNCTION("""COMPUTED_VALUE"""),"jairopaladines445@gmail.com")</f>
        <v>jairopaladines445@gmail.com</v>
      </c>
      <c r="H2140" s="65"/>
      <c r="I2140" s="65"/>
      <c r="J2140" s="65"/>
      <c r="K2140" s="65" t="str">
        <f>IFERROR(__xludf.DUMMYFUNCTION("""COMPUTED_VALUE"""),"CANCELADO")</f>
        <v>CANCELADO</v>
      </c>
      <c r="L2140" s="65" t="str">
        <f>IFERROR(__xludf.DUMMYFUNCTION("""COMPUTED_VALUE"""),"CON RECAUDO")</f>
        <v>CON RECAUDO</v>
      </c>
      <c r="M2140" s="65" t="str">
        <f>IFERROR(__xludf.DUMMYFUNCTION("""COMPUTED_VALUE"""),"LOJA")</f>
        <v>LOJA</v>
      </c>
      <c r="N2140" s="65" t="str">
        <f>IFERROR(__xludf.DUMMYFUNCTION("""COMPUTED_VALUE"""),"LOJA")</f>
        <v>LOJA</v>
      </c>
      <c r="O2140" s="65" t="str">
        <f>IFERROR(__xludf.DUMMYFUNCTION("""COMPUTED_VALUE"""),"Casa, De Tres Pisos Casa, De Tres Pisos -")</f>
        <v>Casa, De Tres Pisos Casa, De Tres Pisos -</v>
      </c>
      <c r="P2140" s="65"/>
      <c r="Q2140" s="65" t="str">
        <f>IFERROR(__xludf.DUMMYFUNCTION("""COMPUTED_VALUE"""),"GINTRACOM")</f>
        <v>GINTRACOM</v>
      </c>
      <c r="R2140" s="65">
        <f>IFERROR(__xludf.DUMMYFUNCTION("""COMPUTED_VALUE"""),20.0)</f>
        <v>20</v>
      </c>
      <c r="S2140" s="65"/>
      <c r="T2140" s="65">
        <f>IFERROR(__xludf.DUMMYFUNCTION("""COMPUTED_VALUE"""),5.76)</f>
        <v>5.76</v>
      </c>
      <c r="U2140" s="65">
        <f>IFERROR(__xludf.DUMMYFUNCTION("""COMPUTED_VALUE"""),0.0)</f>
        <v>0</v>
      </c>
      <c r="V2140" s="65">
        <f>IFERROR(__xludf.DUMMYFUNCTION("""COMPUTED_VALUE"""),0.0)</f>
        <v>0</v>
      </c>
      <c r="W2140" s="65">
        <f>IFERROR(__xludf.DUMMYFUNCTION("""COMPUTED_VALUE"""),0.0)</f>
        <v>0</v>
      </c>
      <c r="X2140" s="65">
        <f>IFERROR(__xludf.DUMMYFUNCTION("""COMPUTED_VALUE"""),2.79)</f>
        <v>2.79</v>
      </c>
      <c r="Y2140" s="65">
        <f>IFERROR(__xludf.DUMMYFUNCTION("""COMPUTED_VALUE"""),2.79)</f>
        <v>2.79</v>
      </c>
      <c r="Z2140" s="65">
        <f>IFERROR(__xludf.DUMMYFUNCTION("""COMPUTED_VALUE"""),120732.0)</f>
        <v>120732</v>
      </c>
      <c r="AA2140" s="65" t="str">
        <f>IFERROR(__xludf.DUMMYFUNCTION("""COMPUTED_VALUE"""),"PROV-LMPVT")</f>
        <v>PROV-LMPVT</v>
      </c>
      <c r="AB2140" s="65"/>
      <c r="AC2140" s="65" t="str">
        <f>IFERROR(__xludf.DUMMYFUNCTION("""COMPUTED_VALUE"""),"LIMPIADOR DE PARABRISAS Y VENTANAS")</f>
        <v>LIMPIADOR DE PARABRISAS Y VENTANAS</v>
      </c>
      <c r="AD2140" s="65"/>
      <c r="AE2140" s="65">
        <f>IFERROR(__xludf.DUMMYFUNCTION("""COMPUTED_VALUE"""),1.0)</f>
        <v>1</v>
      </c>
      <c r="AF2140" s="65"/>
      <c r="AG2140" s="65"/>
      <c r="AH2140" s="65"/>
      <c r="AI2140" s="65"/>
      <c r="AJ2140" s="65"/>
      <c r="AK2140" s="65"/>
      <c r="AL2140" s="65"/>
      <c r="AM2140" s="65"/>
      <c r="AN2140" s="65"/>
      <c r="AO2140" s="65"/>
      <c r="AP2140" s="65"/>
      <c r="AQ2140" s="65"/>
      <c r="AR2140" s="65"/>
      <c r="AS2140" s="65"/>
      <c r="AT2140" s="65" t="str">
        <f>IFERROR(__xludf.DUMMYFUNCTION("""COMPUTED_VALUE"""),"SHOPIFY")</f>
        <v>SHOPIFY</v>
      </c>
      <c r="AU2140" s="65" t="str">
        <f>IFERROR(__xludf.DUMMYFUNCTION("""COMPUTED_VALUE"""),"IMPORTEX EC")</f>
        <v>IMPORTEX EC</v>
      </c>
      <c r="AV2140" s="65" t="str">
        <f>IFERROR(__xludf.DUMMYFUNCTION("""COMPUTED_VALUE"""),"6404360273964")</f>
        <v>6404360273964</v>
      </c>
      <c r="AW2140" s="65">
        <f>IFERROR(__xludf.DUMMYFUNCTION("""COMPUTED_VALUE"""),4822.0)</f>
        <v>4822</v>
      </c>
      <c r="AX2140" s="65"/>
      <c r="AY2140" s="65"/>
      <c r="AZ2140" s="65"/>
      <c r="BA2140" s="65"/>
    </row>
    <row r="2141">
      <c r="A2141" s="65" t="str">
        <f>IFERROR(__xludf.DUMMYFUNCTION("""COMPUTED_VALUE"""),"27-03-2026")</f>
        <v>27-03-2026</v>
      </c>
      <c r="B2141" s="65">
        <f>IFERROR(__xludf.DUMMYFUNCTION("""COMPUTED_VALUE"""),4095202.0)</f>
        <v>4095202</v>
      </c>
      <c r="C2141" s="65" t="str">
        <f>IFERROR(__xludf.DUMMYFUNCTION("""COMPUTED_VALUE"""),"14:26")</f>
        <v>14:26</v>
      </c>
      <c r="D2141" s="65" t="str">
        <f>IFERROR(__xludf.DUMMYFUNCTION("""COMPUTED_VALUE"""),"10-01-2026")</f>
        <v>10-01-2026</v>
      </c>
      <c r="E2141" s="65" t="str">
        <f>IFERROR(__xludf.DUMMYFUNCTION("""COMPUTED_VALUE"""),"Angel Ortiz")</f>
        <v>Angel Ortiz</v>
      </c>
      <c r="F2141" s="65" t="str">
        <f>IFERROR(__xludf.DUMMYFUNCTION("""COMPUTED_VALUE"""),"996637646")</f>
        <v>996637646</v>
      </c>
      <c r="G2141" s="65" t="str">
        <f>IFERROR(__xludf.DUMMYFUNCTION("""COMPUTED_VALUE"""),"angel131980@gmail.com")</f>
        <v>angel131980@gmail.com</v>
      </c>
      <c r="H2141" s="65"/>
      <c r="I2141" s="65"/>
      <c r="J2141" s="65" t="str">
        <f>IFERROR(__xludf.DUMMYFUNCTION("""COMPUTED_VALUE"""),"D001223243")</f>
        <v>D001223243</v>
      </c>
      <c r="K2141" s="65" t="str">
        <f>IFERROR(__xludf.DUMMYFUNCTION("""COMPUTED_VALUE"""),"DEVOLUCION")</f>
        <v>DEVOLUCION</v>
      </c>
      <c r="L2141" s="65" t="str">
        <f>IFERROR(__xludf.DUMMYFUNCTION("""COMPUTED_VALUE"""),"CON RECAUDO")</f>
        <v>CON RECAUDO</v>
      </c>
      <c r="M2141" s="65" t="str">
        <f>IFERROR(__xludf.DUMMYFUNCTION("""COMPUTED_VALUE"""),"GUAYAS")</f>
        <v>GUAYAS</v>
      </c>
      <c r="N2141" s="65" t="str">
        <f>IFERROR(__xludf.DUMMYFUNCTION("""COMPUTED_VALUE"""),"SAMBORONDON")</f>
        <v>SAMBORONDON</v>
      </c>
      <c r="O2141" s="65" t="str">
        <f>IFERROR(__xludf.DUMMYFUNCTION("""COMPUTED_VALUE"""),"Emilio valero rojas y cuidadela maria estelbina Los pinuelos -( UBICACION GOOGLE MAPS EN NOTAS)")</f>
        <v>Emilio valero rojas y cuidadela maria estelbina Los pinuelos -( UBICACION GOOGLE MAPS EN NOTAS)</v>
      </c>
      <c r="P2141" s="68" t="str">
        <f>IFERROR(__xludf.DUMMYFUNCTION("""COMPUTED_VALUE"""),"https://www.google.com/maps/place/1%C2%B057'25.0%22S+79%C2%B043'41.2%22W/@-1.9572401,-79.7315454,16.04z/data=!4m4!3m3!8m2!3d-1.9569445!4d-79.7281189?entry=ttu&amp;g_ep=EgoyMDI2MDEwNy4wIKXMDSoASAFQAw%3D%3D")</f>
        <v>https://www.google.com/maps/place/1%C2%B057'25.0%22S+79%C2%B043'41.2%22W/@-1.9572401,-79.7315454,16.04z/data=!4m4!3m3!8m2!3d-1.9569445!4d-79.7281189?entry=ttu&amp;g_ep=EgoyMDI2MDEwNy4wIKXMDSoASAFQAw%3D%3D</v>
      </c>
      <c r="Q2141" s="65" t="str">
        <f>IFERROR(__xludf.DUMMYFUNCTION("""COMPUTED_VALUE"""),"GINTRACOM")</f>
        <v>GINTRACOM</v>
      </c>
      <c r="R2141" s="65">
        <f>IFERROR(__xludf.DUMMYFUNCTION("""COMPUTED_VALUE"""),32.0)</f>
        <v>32</v>
      </c>
      <c r="S2141" s="65"/>
      <c r="T2141" s="65">
        <f>IFERROR(__xludf.DUMMYFUNCTION("""COMPUTED_VALUE"""),5.66)</f>
        <v>5.66</v>
      </c>
      <c r="U2141" s="65">
        <f>IFERROR(__xludf.DUMMYFUNCTION("""COMPUTED_VALUE"""),0.0)</f>
        <v>0</v>
      </c>
      <c r="V2141" s="65">
        <f>IFERROR(__xludf.DUMMYFUNCTION("""COMPUTED_VALUE"""),0.0)</f>
        <v>0</v>
      </c>
      <c r="W2141" s="65">
        <f>IFERROR(__xludf.DUMMYFUNCTION("""COMPUTED_VALUE"""),0.0)</f>
        <v>0</v>
      </c>
      <c r="X2141" s="65">
        <f>IFERROR(__xludf.DUMMYFUNCTION("""COMPUTED_VALUE"""),2.6)</f>
        <v>2.6</v>
      </c>
      <c r="Y2141" s="65">
        <f>IFERROR(__xludf.DUMMYFUNCTION("""COMPUTED_VALUE"""),10.4)</f>
        <v>10.4</v>
      </c>
      <c r="Z2141" s="65">
        <f>IFERROR(__xludf.DUMMYFUNCTION("""COMPUTED_VALUE"""),121983.0)</f>
        <v>121983</v>
      </c>
      <c r="AA2141" s="65" t="str">
        <f>IFERROR(__xludf.DUMMYFUNCTION("""COMPUTED_VALUE"""),"PROV-CHLLCF")</f>
        <v>PROV-CHLLCF</v>
      </c>
      <c r="AB2141" s="65"/>
      <c r="AC2141" s="65" t="str">
        <f>IFERROR(__xludf.DUMMYFUNCTION("""COMPUTED_VALUE"""),"CUCHILLO PARA CHEF")</f>
        <v>CUCHILLO PARA CHEF</v>
      </c>
      <c r="AD2141" s="65"/>
      <c r="AE2141" s="65">
        <f>IFERROR(__xludf.DUMMYFUNCTION("""COMPUTED_VALUE"""),4.0)</f>
        <v>4</v>
      </c>
      <c r="AF2141" s="65" t="str">
        <f>IFERROR(__xludf.DUMMYFUNCTION("""COMPUTED_VALUE"""),"DESTINATARIO NO CONTESTA LLAMADAS NI WHATSAPP")</f>
        <v>DESTINATARIO NO CONTESTA LLAMADAS NI WHATSAPP</v>
      </c>
      <c r="AG2141" s="65" t="str">
        <f>IFERROR(__xludf.DUMMYFUNCTION("""COMPUTED_VALUE"""),"SI")</f>
        <v>SI</v>
      </c>
      <c r="AH2141" s="65" t="str">
        <f>IFERROR(__xludf.DUMMYFUNCTION("""COMPUTED_VALUE"""),"09:00")</f>
        <v>09:00</v>
      </c>
      <c r="AI2141" s="65" t="str">
        <f>IFERROR(__xludf.DUMMYFUNCTION("""COMPUTED_VALUE"""),"20-01-2026")</f>
        <v>20-01-2026</v>
      </c>
      <c r="AJ2141" s="65" t="str">
        <f>IFERROR(__xludf.DUMMYFUNCTION("""COMPUTED_VALUE"""),"DEVOLVER AL REMITENTE")</f>
        <v>DEVOLVER AL REMITENTE</v>
      </c>
      <c r="AK2141" s="65" t="str">
        <f>IFERROR(__xludf.DUMMYFUNCTION("""COMPUTED_VALUE"""),"09:26")</f>
        <v>09:26</v>
      </c>
      <c r="AL2141" s="65" t="str">
        <f>IFERROR(__xludf.DUMMYFUNCTION("""COMPUTED_VALUE"""),"23-01-2026")</f>
        <v>23-01-2026</v>
      </c>
      <c r="AM2141" s="65"/>
      <c r="AN2141" s="65" t="str">
        <f>IFERROR(__xludf.DUMMYFUNCTION("""COMPUTED_VALUE"""),"13:15")</f>
        <v>13:15</v>
      </c>
      <c r="AO2141" s="65" t="str">
        <f>IFERROR(__xludf.DUMMYFUNCTION("""COMPUTED_VALUE"""),"05-02-2026")</f>
        <v>05-02-2026</v>
      </c>
      <c r="AP2141" s="65" t="str">
        <f>IFERROR(__xludf.DUMMYFUNCTION("""COMPUTED_VALUE"""),"DEV CONFIRMADA POR BODEGA")</f>
        <v>DEV CONFIRMADA POR BODEGA</v>
      </c>
      <c r="AQ2141" s="65"/>
      <c r="AR2141" s="65" t="str">
        <f>IFERROR(__xludf.DUMMYFUNCTION("""COMPUTED_VALUE"""),"Gestionado por: PROVEDIX DAMIAN, email:enviogratisdirecto@gmail.com, total de productos en la orden: 1")</f>
        <v>Gestionado por: PROVEDIX DAMIAN, email:enviogratisdirecto@gmail.com, total de productos en la orden: 1</v>
      </c>
      <c r="AS2141" s="65"/>
      <c r="AT2141" s="65" t="str">
        <f>IFERROR(__xludf.DUMMYFUNCTION("""COMPUTED_VALUE"""),"SHOPIFY")</f>
        <v>SHOPIFY</v>
      </c>
      <c r="AU2141" s="65" t="str">
        <f>IFERROR(__xludf.DUMMYFUNCTION("""COMPUTED_VALUE"""),"IMPORTEX EC")</f>
        <v>IMPORTEX EC</v>
      </c>
      <c r="AV2141" s="65" t="str">
        <f>IFERROR(__xludf.DUMMYFUNCTION("""COMPUTED_VALUE"""),"6404353884204")</f>
        <v>6404353884204</v>
      </c>
      <c r="AW2141" s="65">
        <f>IFERROR(__xludf.DUMMYFUNCTION("""COMPUTED_VALUE"""),4821.0)</f>
        <v>4821</v>
      </c>
      <c r="AX2141" s="65"/>
      <c r="AY2141" s="65" t="str">
        <f>IFERROR(__xludf.DUMMYFUNCTION("""COMPUTED_VALUE"""),"14/01/2026")</f>
        <v>14/01/2026</v>
      </c>
      <c r="AZ2141" s="65"/>
      <c r="BA2141" s="65"/>
    </row>
    <row r="2142">
      <c r="A2142" s="65" t="str">
        <f>IFERROR(__xludf.DUMMYFUNCTION("""COMPUTED_VALUE"""),"27-03-2026")</f>
        <v>27-03-2026</v>
      </c>
      <c r="B2142" s="65">
        <f>IFERROR(__xludf.DUMMYFUNCTION("""COMPUTED_VALUE"""),4095053.0)</f>
        <v>4095053</v>
      </c>
      <c r="C2142" s="65" t="str">
        <f>IFERROR(__xludf.DUMMYFUNCTION("""COMPUTED_VALUE"""),"14:07")</f>
        <v>14:07</v>
      </c>
      <c r="D2142" s="65" t="str">
        <f>IFERROR(__xludf.DUMMYFUNCTION("""COMPUTED_VALUE"""),"10-01-2026")</f>
        <v>10-01-2026</v>
      </c>
      <c r="E2142" s="65" t="str">
        <f>IFERROR(__xludf.DUMMYFUNCTION("""COMPUTED_VALUE"""),"Mercedes Macas")</f>
        <v>Mercedes Macas</v>
      </c>
      <c r="F2142" s="65" t="str">
        <f>IFERROR(__xludf.DUMMYFUNCTION("""COMPUTED_VALUE"""),"967639077")</f>
        <v>967639077</v>
      </c>
      <c r="G2142" s="65" t="str">
        <f>IFERROR(__xludf.DUMMYFUNCTION("""COMPUTED_VALUE"""),"mercedes301016@gmail.com")</f>
        <v>mercedes301016@gmail.com</v>
      </c>
      <c r="H2142" s="65"/>
      <c r="I2142" s="65"/>
      <c r="J2142" s="65" t="str">
        <f>IFERROR(__xludf.DUMMYFUNCTION("""COMPUTED_VALUE"""),"D001250505")</f>
        <v>D001250505</v>
      </c>
      <c r="K2142" s="65" t="str">
        <f>IFERROR(__xludf.DUMMYFUNCTION("""COMPUTED_VALUE"""),"DEVOLUCION")</f>
        <v>DEVOLUCION</v>
      </c>
      <c r="L2142" s="65" t="str">
        <f>IFERROR(__xludf.DUMMYFUNCTION("""COMPUTED_VALUE"""),"CON RECAUDO")</f>
        <v>CON RECAUDO</v>
      </c>
      <c r="M2142" s="65" t="str">
        <f>IFERROR(__xludf.DUMMYFUNCTION("""COMPUTED_VALUE"""),"EL ORO")</f>
        <v>EL ORO</v>
      </c>
      <c r="N2142" s="65" t="str">
        <f>IFERROR(__xludf.DUMMYFUNCTION("""COMPUTED_VALUE"""),"MACHALA")</f>
        <v>MACHALA</v>
      </c>
      <c r="O2142" s="65" t="str">
        <f>IFERROR(__xludf.DUMMYFUNCTION("""COMPUTED_VALUE"""),"Puerto Bolivar Barrio Abdón Calderón - Casa #28")</f>
        <v>Puerto Bolivar Barrio Abdón Calderón - Casa #28</v>
      </c>
      <c r="P2142" s="65"/>
      <c r="Q2142" s="65" t="str">
        <f>IFERROR(__xludf.DUMMYFUNCTION("""COMPUTED_VALUE"""),"GINTRACOM")</f>
        <v>GINTRACOM</v>
      </c>
      <c r="R2142" s="65">
        <f>IFERROR(__xludf.DUMMYFUNCTION("""COMPUTED_VALUE"""),32.0)</f>
        <v>32</v>
      </c>
      <c r="S2142" s="65"/>
      <c r="T2142" s="65">
        <f>IFERROR(__xludf.DUMMYFUNCTION("""COMPUTED_VALUE"""),6.24)</f>
        <v>6.24</v>
      </c>
      <c r="U2142" s="65">
        <f>IFERROR(__xludf.DUMMYFUNCTION("""COMPUTED_VALUE"""),0.0)</f>
        <v>0</v>
      </c>
      <c r="V2142" s="65">
        <f>IFERROR(__xludf.DUMMYFUNCTION("""COMPUTED_VALUE"""),0.0)</f>
        <v>0</v>
      </c>
      <c r="W2142" s="65">
        <f>IFERROR(__xludf.DUMMYFUNCTION("""COMPUTED_VALUE"""),0.0)</f>
        <v>0</v>
      </c>
      <c r="X2142" s="65">
        <f>IFERROR(__xludf.DUMMYFUNCTION("""COMPUTED_VALUE"""),2.6)</f>
        <v>2.6</v>
      </c>
      <c r="Y2142" s="65">
        <f>IFERROR(__xludf.DUMMYFUNCTION("""COMPUTED_VALUE"""),10.4)</f>
        <v>10.4</v>
      </c>
      <c r="Z2142" s="65">
        <f>IFERROR(__xludf.DUMMYFUNCTION("""COMPUTED_VALUE"""),121983.0)</f>
        <v>121983</v>
      </c>
      <c r="AA2142" s="65" t="str">
        <f>IFERROR(__xludf.DUMMYFUNCTION("""COMPUTED_VALUE"""),"PROV-CHLLCF")</f>
        <v>PROV-CHLLCF</v>
      </c>
      <c r="AB2142" s="65"/>
      <c r="AC2142" s="65" t="str">
        <f>IFERROR(__xludf.DUMMYFUNCTION("""COMPUTED_VALUE"""),"CUCHILLO PARA CHEF")</f>
        <v>CUCHILLO PARA CHEF</v>
      </c>
      <c r="AD2142" s="65"/>
      <c r="AE2142" s="65">
        <f>IFERROR(__xludf.DUMMYFUNCTION("""COMPUTED_VALUE"""),4.0)</f>
        <v>4</v>
      </c>
      <c r="AF2142" s="65" t="str">
        <f>IFERROR(__xludf.DUMMYFUNCTION("""COMPUTED_VALUE"""),"ZONA PELIGROSA, SE SOLICITA PUNTO DE ENCUENTRO CON CLIENTE Y NO ACEPTA")</f>
        <v>ZONA PELIGROSA, SE SOLICITA PUNTO DE ENCUENTRO CON CLIENTE Y NO ACEPTA</v>
      </c>
      <c r="AG2142" s="65" t="str">
        <f>IFERROR(__xludf.DUMMYFUNCTION("""COMPUTED_VALUE"""),"NO")</f>
        <v>NO</v>
      </c>
      <c r="AH2142" s="65" t="str">
        <f>IFERROR(__xludf.DUMMYFUNCTION("""COMPUTED_VALUE"""),"18:21")</f>
        <v>18:21</v>
      </c>
      <c r="AI2142" s="65" t="str">
        <f>IFERROR(__xludf.DUMMYFUNCTION("""COMPUTED_VALUE"""),"02-02-2026")</f>
        <v>02-02-2026</v>
      </c>
      <c r="AJ2142" s="65"/>
      <c r="AK2142" s="65"/>
      <c r="AL2142" s="65"/>
      <c r="AM2142" s="65"/>
      <c r="AN2142" s="65" t="str">
        <f>IFERROR(__xludf.DUMMYFUNCTION("""COMPUTED_VALUE"""),"10:53")</f>
        <v>10:53</v>
      </c>
      <c r="AO2142" s="65" t="str">
        <f>IFERROR(__xludf.DUMMYFUNCTION("""COMPUTED_VALUE"""),"26-02-2026")</f>
        <v>26-02-2026</v>
      </c>
      <c r="AP2142" s="65" t="str">
        <f>IFERROR(__xludf.DUMMYFUNCTION("""COMPUTED_VALUE"""),"DEV CONFIRMADA POR BODEGA")</f>
        <v>DEV CONFIRMADA POR BODEGA</v>
      </c>
      <c r="AQ2142" s="65"/>
      <c r="AR2142" s="65" t="str">
        <f>IFERROR(__xludf.DUMMYFUNCTION("""COMPUTED_VALUE"""),"Gestionado por: PROVEDIX DAMIAN, email:enviogratisdirecto@gmail.com, total de productos en la orden: 1")</f>
        <v>Gestionado por: PROVEDIX DAMIAN, email:enviogratisdirecto@gmail.com, total de productos en la orden: 1</v>
      </c>
      <c r="AS2142" s="65"/>
      <c r="AT2142" s="65" t="str">
        <f>IFERROR(__xludf.DUMMYFUNCTION("""COMPUTED_VALUE"""),"SHOPIFY")</f>
        <v>SHOPIFY</v>
      </c>
      <c r="AU2142" s="65" t="str">
        <f>IFERROR(__xludf.DUMMYFUNCTION("""COMPUTED_VALUE"""),"IMPORTEX EC")</f>
        <v>IMPORTEX EC</v>
      </c>
      <c r="AV2142" s="65" t="str">
        <f>IFERROR(__xludf.DUMMYFUNCTION("""COMPUTED_VALUE"""),"6404298866732")</f>
        <v>6404298866732</v>
      </c>
      <c r="AW2142" s="65">
        <f>IFERROR(__xludf.DUMMYFUNCTION("""COMPUTED_VALUE"""),4820.0)</f>
        <v>4820</v>
      </c>
      <c r="AX2142" s="65"/>
      <c r="AY2142" s="65" t="str">
        <f>IFERROR(__xludf.DUMMYFUNCTION("""COMPUTED_VALUE"""),"22/01/2026")</f>
        <v>22/01/2026</v>
      </c>
      <c r="AZ2142" s="65"/>
      <c r="BA2142" s="65"/>
    </row>
    <row r="2143">
      <c r="A2143" s="65" t="str">
        <f>IFERROR(__xludf.DUMMYFUNCTION("""COMPUTED_VALUE"""),"27-03-2026")</f>
        <v>27-03-2026</v>
      </c>
      <c r="B2143" s="65">
        <f>IFERROR(__xludf.DUMMYFUNCTION("""COMPUTED_VALUE"""),4094895.0)</f>
        <v>4094895</v>
      </c>
      <c r="C2143" s="65" t="str">
        <f>IFERROR(__xludf.DUMMYFUNCTION("""COMPUTED_VALUE"""),"13:48")</f>
        <v>13:48</v>
      </c>
      <c r="D2143" s="65" t="str">
        <f>IFERROR(__xludf.DUMMYFUNCTION("""COMPUTED_VALUE"""),"10-01-2026")</f>
        <v>10-01-2026</v>
      </c>
      <c r="E2143" s="65" t="str">
        <f>IFERROR(__xludf.DUMMYFUNCTION("""COMPUTED_VALUE"""),"Eugenio Bermeo Arevalo")</f>
        <v>Eugenio Bermeo Arevalo</v>
      </c>
      <c r="F2143" s="65" t="str">
        <f>IFERROR(__xludf.DUMMYFUNCTION("""COMPUTED_VALUE"""),"967959393")</f>
        <v>967959393</v>
      </c>
      <c r="G2143" s="65" t="str">
        <f>IFERROR(__xludf.DUMMYFUNCTION("""COMPUTED_VALUE"""),"kenoba64@aol.com")</f>
        <v>kenoba64@aol.com</v>
      </c>
      <c r="H2143" s="65"/>
      <c r="I2143" s="65"/>
      <c r="J2143" s="65"/>
      <c r="K2143" s="65" t="str">
        <f>IFERROR(__xludf.DUMMYFUNCTION("""COMPUTED_VALUE"""),"CANCELADO")</f>
        <v>CANCELADO</v>
      </c>
      <c r="L2143" s="65" t="str">
        <f>IFERROR(__xludf.DUMMYFUNCTION("""COMPUTED_VALUE"""),"CON RECAUDO")</f>
        <v>CON RECAUDO</v>
      </c>
      <c r="M2143" s="65" t="str">
        <f>IFERROR(__xludf.DUMMYFUNCTION("""COMPUTED_VALUE"""),"AZUAY")</f>
        <v>AZUAY</v>
      </c>
      <c r="N2143" s="65" t="str">
        <f>IFERROR(__xludf.DUMMYFUNCTION("""COMPUTED_VALUE"""),"SIG SIG")</f>
        <v>SIG SIG</v>
      </c>
      <c r="O2143" s="65" t="str">
        <f>IFERROR(__xludf.DUMMYFUNCTION("""COMPUTED_VALUE"""),"16 de abril 1_64 Sucre y Corral -")</f>
        <v>16 de abril 1_64 Sucre y Corral -</v>
      </c>
      <c r="P2143" s="65"/>
      <c r="Q2143" s="65" t="str">
        <f>IFERROR(__xludf.DUMMYFUNCTION("""COMPUTED_VALUE"""),"LAARCOURIER")</f>
        <v>LAARCOURIER</v>
      </c>
      <c r="R2143" s="65">
        <f>IFERROR(__xludf.DUMMYFUNCTION("""COMPUTED_VALUE"""),30.0)</f>
        <v>30</v>
      </c>
      <c r="S2143" s="65"/>
      <c r="T2143" s="65">
        <f>IFERROR(__xludf.DUMMYFUNCTION("""COMPUTED_VALUE"""),9.57)</f>
        <v>9.57</v>
      </c>
      <c r="U2143" s="65">
        <f>IFERROR(__xludf.DUMMYFUNCTION("""COMPUTED_VALUE"""),0.0)</f>
        <v>0</v>
      </c>
      <c r="V2143" s="65">
        <f>IFERROR(__xludf.DUMMYFUNCTION("""COMPUTED_VALUE"""),0.0)</f>
        <v>0</v>
      </c>
      <c r="W2143" s="65">
        <f>IFERROR(__xludf.DUMMYFUNCTION("""COMPUTED_VALUE"""),0.0)</f>
        <v>0</v>
      </c>
      <c r="X2143" s="65">
        <f>IFERROR(__xludf.DUMMYFUNCTION("""COMPUTED_VALUE"""),2.79)</f>
        <v>2.79</v>
      </c>
      <c r="Y2143" s="65">
        <f>IFERROR(__xludf.DUMMYFUNCTION("""COMPUTED_VALUE"""),8.37)</f>
        <v>8.37</v>
      </c>
      <c r="Z2143" s="65">
        <f>IFERROR(__xludf.DUMMYFUNCTION("""COMPUTED_VALUE"""),120732.0)</f>
        <v>120732</v>
      </c>
      <c r="AA2143" s="65" t="str">
        <f>IFERROR(__xludf.DUMMYFUNCTION("""COMPUTED_VALUE"""),"PROV-LMPVT")</f>
        <v>PROV-LMPVT</v>
      </c>
      <c r="AB2143" s="65"/>
      <c r="AC2143" s="65" t="str">
        <f>IFERROR(__xludf.DUMMYFUNCTION("""COMPUTED_VALUE"""),"LIMPIADOR DE PARABRISAS Y VENTANAS")</f>
        <v>LIMPIADOR DE PARABRISAS Y VENTANAS</v>
      </c>
      <c r="AD2143" s="65"/>
      <c r="AE2143" s="65">
        <f>IFERROR(__xludf.DUMMYFUNCTION("""COMPUTED_VALUE"""),3.0)</f>
        <v>3</v>
      </c>
      <c r="AF2143" s="65"/>
      <c r="AG2143" s="65"/>
      <c r="AH2143" s="65"/>
      <c r="AI2143" s="65"/>
      <c r="AJ2143" s="65"/>
      <c r="AK2143" s="65"/>
      <c r="AL2143" s="65"/>
      <c r="AM2143" s="65"/>
      <c r="AN2143" s="65"/>
      <c r="AO2143" s="65"/>
      <c r="AP2143" s="65"/>
      <c r="AQ2143" s="65"/>
      <c r="AR2143" s="65"/>
      <c r="AS2143" s="65"/>
      <c r="AT2143" s="65" t="str">
        <f>IFERROR(__xludf.DUMMYFUNCTION("""COMPUTED_VALUE"""),"SHOPIFY")</f>
        <v>SHOPIFY</v>
      </c>
      <c r="AU2143" s="65" t="str">
        <f>IFERROR(__xludf.DUMMYFUNCTION("""COMPUTED_VALUE"""),"IMPORTEX EC")</f>
        <v>IMPORTEX EC</v>
      </c>
      <c r="AV2143" s="65" t="str">
        <f>IFERROR(__xludf.DUMMYFUNCTION("""COMPUTED_VALUE"""),"6404249190444")</f>
        <v>6404249190444</v>
      </c>
      <c r="AW2143" s="65">
        <f>IFERROR(__xludf.DUMMYFUNCTION("""COMPUTED_VALUE"""),4819.0)</f>
        <v>4819</v>
      </c>
      <c r="AX2143" s="65"/>
      <c r="AY2143" s="65"/>
      <c r="AZ2143" s="65"/>
      <c r="BA2143" s="65"/>
    </row>
    <row r="2144">
      <c r="A2144" s="65" t="str">
        <f>IFERROR(__xludf.DUMMYFUNCTION("""COMPUTED_VALUE"""),"27-03-2026")</f>
        <v>27-03-2026</v>
      </c>
      <c r="B2144" s="65">
        <f>IFERROR(__xludf.DUMMYFUNCTION("""COMPUTED_VALUE"""),4094689.0)</f>
        <v>4094689</v>
      </c>
      <c r="C2144" s="65" t="str">
        <f>IFERROR(__xludf.DUMMYFUNCTION("""COMPUTED_VALUE"""),"13:23")</f>
        <v>13:23</v>
      </c>
      <c r="D2144" s="65" t="str">
        <f>IFERROR(__xludf.DUMMYFUNCTION("""COMPUTED_VALUE"""),"10-01-2026")</f>
        <v>10-01-2026</v>
      </c>
      <c r="E2144" s="65" t="str">
        <f>IFERROR(__xludf.DUMMYFUNCTION("""COMPUTED_VALUE"""),"José  A Tobar R")</f>
        <v>José  A Tobar R</v>
      </c>
      <c r="F2144" s="65" t="str">
        <f>IFERROR(__xludf.DUMMYFUNCTION("""COMPUTED_VALUE"""),"962309056")</f>
        <v>962309056</v>
      </c>
      <c r="G2144" s="65"/>
      <c r="H2144" s="65"/>
      <c r="I2144" s="65"/>
      <c r="J2144" s="65" t="str">
        <f>IFERROR(__xludf.DUMMYFUNCTION("""COMPUTED_VALUE"""),"D001223245")</f>
        <v>D001223245</v>
      </c>
      <c r="K2144" s="65" t="str">
        <f>IFERROR(__xludf.DUMMYFUNCTION("""COMPUTED_VALUE"""),"ENTREGADO")</f>
        <v>ENTREGADO</v>
      </c>
      <c r="L2144" s="65" t="str">
        <f>IFERROR(__xludf.DUMMYFUNCTION("""COMPUTED_VALUE"""),"CON RECAUDO")</f>
        <v>CON RECAUDO</v>
      </c>
      <c r="M2144" s="65" t="str">
        <f>IFERROR(__xludf.DUMMYFUNCTION("""COMPUTED_VALUE"""),"LOS RIOS")</f>
        <v>LOS RIOS</v>
      </c>
      <c r="N2144" s="65" t="str">
        <f>IFERROR(__xludf.DUMMYFUNCTION("""COMPUTED_VALUE"""),"VINCES")</f>
        <v>VINCES</v>
      </c>
      <c r="O2144" s="65" t="str">
        <f>IFERROR(__xludf.DUMMYFUNCTION("""COMPUTED_VALUE"""),"Gran Colombia 134 y 9,de octubre Frente a Comercial  Eriks -")</f>
        <v>Gran Colombia 134 y 9,de octubre Frente a Comercial  Eriks -</v>
      </c>
      <c r="P2144" s="65"/>
      <c r="Q2144" s="65" t="str">
        <f>IFERROR(__xludf.DUMMYFUNCTION("""COMPUTED_VALUE"""),"GINTRACOM")</f>
        <v>GINTRACOM</v>
      </c>
      <c r="R2144" s="65">
        <f>IFERROR(__xludf.DUMMYFUNCTION("""COMPUTED_VALUE"""),27.0)</f>
        <v>27</v>
      </c>
      <c r="S2144" s="65">
        <f>IFERROR(__xludf.DUMMYFUNCTION("""COMPUTED_VALUE"""),13.17)</f>
        <v>13.17</v>
      </c>
      <c r="T2144" s="65">
        <f>IFERROR(__xludf.DUMMYFUNCTION("""COMPUTED_VALUE"""),6.03)</f>
        <v>6.03</v>
      </c>
      <c r="U2144" s="65">
        <f>IFERROR(__xludf.DUMMYFUNCTION("""COMPUTED_VALUE"""),0.0)</f>
        <v>0</v>
      </c>
      <c r="V2144" s="65">
        <f>IFERROR(__xludf.DUMMYFUNCTION("""COMPUTED_VALUE"""),0.0)</f>
        <v>0</v>
      </c>
      <c r="W2144" s="65">
        <f>IFERROR(__xludf.DUMMYFUNCTION("""COMPUTED_VALUE"""),0.0)</f>
        <v>0</v>
      </c>
      <c r="X2144" s="65">
        <f>IFERROR(__xludf.DUMMYFUNCTION("""COMPUTED_VALUE"""),2.6)</f>
        <v>2.6</v>
      </c>
      <c r="Y2144" s="65">
        <f>IFERROR(__xludf.DUMMYFUNCTION("""COMPUTED_VALUE"""),7.8)</f>
        <v>7.8</v>
      </c>
      <c r="Z2144" s="65">
        <f>IFERROR(__xludf.DUMMYFUNCTION("""COMPUTED_VALUE"""),121983.0)</f>
        <v>121983</v>
      </c>
      <c r="AA2144" s="65" t="str">
        <f>IFERROR(__xludf.DUMMYFUNCTION("""COMPUTED_VALUE"""),"PROV-CHLLCF")</f>
        <v>PROV-CHLLCF</v>
      </c>
      <c r="AB2144" s="65"/>
      <c r="AC2144" s="65" t="str">
        <f>IFERROR(__xludf.DUMMYFUNCTION("""COMPUTED_VALUE"""),"CUCHILLO PARA CHEF")</f>
        <v>CUCHILLO PARA CHEF</v>
      </c>
      <c r="AD2144" s="65"/>
      <c r="AE2144" s="65">
        <f>IFERROR(__xludf.DUMMYFUNCTION("""COMPUTED_VALUE"""),3.0)</f>
        <v>3</v>
      </c>
      <c r="AF2144" s="65"/>
      <c r="AG2144" s="65"/>
      <c r="AH2144" s="65"/>
      <c r="AI2144" s="65"/>
      <c r="AJ2144" s="65"/>
      <c r="AK2144" s="65"/>
      <c r="AL2144" s="65"/>
      <c r="AM2144" s="65"/>
      <c r="AN2144" s="65" t="str">
        <f>IFERROR(__xludf.DUMMYFUNCTION("""COMPUTED_VALUE"""),"12:05")</f>
        <v>12:05</v>
      </c>
      <c r="AO2144" s="65" t="str">
        <f>IFERROR(__xludf.DUMMYFUNCTION("""COMPUTED_VALUE"""),"16-01-2026")</f>
        <v>16-01-2026</v>
      </c>
      <c r="AP2144" s="65" t="str">
        <f>IFERROR(__xludf.DUMMYFUNCTION("""COMPUTED_VALUE"""),"EN TRÁNSITO")</f>
        <v>EN TRÁNSITO</v>
      </c>
      <c r="AQ2144" s="65" t="str">
        <f>IFERROR(__xludf.DUMMYFUNCTION("""COMPUTED_VALUE"""),"EN TRÁNSITO")</f>
        <v>EN TRÁNSITO</v>
      </c>
      <c r="AR2144" s="65"/>
      <c r="AS2144" s="65"/>
      <c r="AT2144" s="65" t="str">
        <f>IFERROR(__xludf.DUMMYFUNCTION("""COMPUTED_VALUE"""),"SHOPIFY")</f>
        <v>SHOPIFY</v>
      </c>
      <c r="AU2144" s="65" t="str">
        <f>IFERROR(__xludf.DUMMYFUNCTION("""COMPUTED_VALUE"""),"IMPORTEX EC")</f>
        <v>IMPORTEX EC</v>
      </c>
      <c r="AV2144" s="65" t="str">
        <f>IFERROR(__xludf.DUMMYFUNCTION("""COMPUTED_VALUE"""),"6404178804780")</f>
        <v>6404178804780</v>
      </c>
      <c r="AW2144" s="65">
        <f>IFERROR(__xludf.DUMMYFUNCTION("""COMPUTED_VALUE"""),4818.0)</f>
        <v>4818</v>
      </c>
      <c r="AX2144" s="65"/>
      <c r="AY2144" s="65" t="str">
        <f>IFERROR(__xludf.DUMMYFUNCTION("""COMPUTED_VALUE"""),"14/01/2026")</f>
        <v>14/01/2026</v>
      </c>
      <c r="AZ2144" s="65"/>
      <c r="BA2144" s="65"/>
    </row>
    <row r="2145">
      <c r="A2145" s="65" t="str">
        <f>IFERROR(__xludf.DUMMYFUNCTION("""COMPUTED_VALUE"""),"27-03-2026")</f>
        <v>27-03-2026</v>
      </c>
      <c r="B2145" s="65">
        <f>IFERROR(__xludf.DUMMYFUNCTION("""COMPUTED_VALUE"""),4094637.0)</f>
        <v>4094637</v>
      </c>
      <c r="C2145" s="65" t="str">
        <f>IFERROR(__xludf.DUMMYFUNCTION("""COMPUTED_VALUE"""),"13:16")</f>
        <v>13:16</v>
      </c>
      <c r="D2145" s="65" t="str">
        <f>IFERROR(__xludf.DUMMYFUNCTION("""COMPUTED_VALUE"""),"10-01-2026")</f>
        <v>10-01-2026</v>
      </c>
      <c r="E2145" s="65" t="str">
        <f>IFERROR(__xludf.DUMMYFUNCTION("""COMPUTED_VALUE"""),"Gonzalo Salazar vera")</f>
        <v>Gonzalo Salazar vera</v>
      </c>
      <c r="F2145" s="65" t="str">
        <f>IFERROR(__xludf.DUMMYFUNCTION("""COMPUTED_VALUE"""),"990935223")</f>
        <v>990935223</v>
      </c>
      <c r="G2145" s="65"/>
      <c r="H2145" s="65"/>
      <c r="I2145" s="65"/>
      <c r="J2145" s="65"/>
      <c r="K2145" s="65" t="str">
        <f>IFERROR(__xludf.DUMMYFUNCTION("""COMPUTED_VALUE"""),"CANCELADO")</f>
        <v>CANCELADO</v>
      </c>
      <c r="L2145" s="65" t="str">
        <f>IFERROR(__xludf.DUMMYFUNCTION("""COMPUTED_VALUE"""),"CON RECAUDO")</f>
        <v>CON RECAUDO</v>
      </c>
      <c r="M2145" s="65" t="str">
        <f>IFERROR(__xludf.DUMMYFUNCTION("""COMPUTED_VALUE"""),"GUAYAS")</f>
        <v>GUAYAS</v>
      </c>
      <c r="N2145" s="65" t="str">
        <f>IFERROR(__xludf.DUMMYFUNCTION("""COMPUTED_VALUE"""),"MILAGRO")</f>
        <v>MILAGRO</v>
      </c>
      <c r="O2145" s="65" t="str">
        <f>IFERROR(__xludf.DUMMYFUNCTION("""COMPUTED_VALUE"""),"Galo plaza y la tacunga")</f>
        <v>Galo plaza y la tacunga</v>
      </c>
      <c r="P2145" s="65" t="str">
        <f>IFERROR(__xludf.DUMMYFUNCTION("""COMPUTED_VALUE"""),"CUCHILLO PARA CHEF: Default Title ***")</f>
        <v>CUCHILLO PARA CHEF: Default Title ***</v>
      </c>
      <c r="Q2145" s="65" t="str">
        <f>IFERROR(__xludf.DUMMYFUNCTION("""COMPUTED_VALUE"""),"GINTRACOM")</f>
        <v>GINTRACOM</v>
      </c>
      <c r="R2145" s="65">
        <f>IFERROR(__xludf.DUMMYFUNCTION("""COMPUTED_VALUE"""),22.0)</f>
        <v>22</v>
      </c>
      <c r="S2145" s="65"/>
      <c r="T2145" s="65">
        <f>IFERROR(__xludf.DUMMYFUNCTION("""COMPUTED_VALUE"""),5.26)</f>
        <v>5.26</v>
      </c>
      <c r="U2145" s="65">
        <f>IFERROR(__xludf.DUMMYFUNCTION("""COMPUTED_VALUE"""),0.0)</f>
        <v>0</v>
      </c>
      <c r="V2145" s="65">
        <f>IFERROR(__xludf.DUMMYFUNCTION("""COMPUTED_VALUE"""),0.0)</f>
        <v>0</v>
      </c>
      <c r="W2145" s="65">
        <f>IFERROR(__xludf.DUMMYFUNCTION("""COMPUTED_VALUE"""),0.0)</f>
        <v>0</v>
      </c>
      <c r="X2145" s="65">
        <f>IFERROR(__xludf.DUMMYFUNCTION("""COMPUTED_VALUE"""),2.6)</f>
        <v>2.6</v>
      </c>
      <c r="Y2145" s="65">
        <f>IFERROR(__xludf.DUMMYFUNCTION("""COMPUTED_VALUE"""),2.6)</f>
        <v>2.6</v>
      </c>
      <c r="Z2145" s="65">
        <f>IFERROR(__xludf.DUMMYFUNCTION("""COMPUTED_VALUE"""),121983.0)</f>
        <v>121983</v>
      </c>
      <c r="AA2145" s="65" t="str">
        <f>IFERROR(__xludf.DUMMYFUNCTION("""COMPUTED_VALUE"""),"PROV-CHLLCF")</f>
        <v>PROV-CHLLCF</v>
      </c>
      <c r="AB2145" s="65"/>
      <c r="AC2145" s="65" t="str">
        <f>IFERROR(__xludf.DUMMYFUNCTION("""COMPUTED_VALUE"""),"CUCHILLO PARA CHEF")</f>
        <v>CUCHILLO PARA CHEF</v>
      </c>
      <c r="AD2145" s="65"/>
      <c r="AE2145" s="65">
        <f>IFERROR(__xludf.DUMMYFUNCTION("""COMPUTED_VALUE"""),1.0)</f>
        <v>1</v>
      </c>
      <c r="AF2145" s="65"/>
      <c r="AG2145" s="65"/>
      <c r="AH2145" s="65"/>
      <c r="AI2145" s="65"/>
      <c r="AJ2145" s="65"/>
      <c r="AK2145" s="65"/>
      <c r="AL2145" s="65"/>
      <c r="AM2145" s="65"/>
      <c r="AN2145" s="65"/>
      <c r="AO2145" s="65"/>
      <c r="AP2145" s="65"/>
      <c r="AQ2145" s="65"/>
      <c r="AR2145" s="65"/>
      <c r="AS2145" s="65"/>
      <c r="AT2145" s="65" t="str">
        <f>IFERROR(__xludf.DUMMYFUNCTION("""COMPUTED_VALUE"""),"SHOPIFY")</f>
        <v>SHOPIFY</v>
      </c>
      <c r="AU2145" s="65" t="str">
        <f>IFERROR(__xludf.DUMMYFUNCTION("""COMPUTED_VALUE"""),"IMPORTEX EC")</f>
        <v>IMPORTEX EC</v>
      </c>
      <c r="AV2145" s="65" t="str">
        <f>IFERROR(__xludf.DUMMYFUNCTION("""COMPUTED_VALUE"""),"6404155670572")</f>
        <v>6404155670572</v>
      </c>
      <c r="AW2145" s="65">
        <f>IFERROR(__xludf.DUMMYFUNCTION("""COMPUTED_VALUE"""),4817.0)</f>
        <v>4817</v>
      </c>
      <c r="AX2145" s="65"/>
      <c r="AY2145" s="65"/>
      <c r="AZ2145" s="65"/>
      <c r="BA2145" s="65"/>
    </row>
    <row r="2146">
      <c r="A2146" s="65" t="str">
        <f>IFERROR(__xludf.DUMMYFUNCTION("""COMPUTED_VALUE"""),"27-03-2026")</f>
        <v>27-03-2026</v>
      </c>
      <c r="B2146" s="65">
        <f>IFERROR(__xludf.DUMMYFUNCTION("""COMPUTED_VALUE"""),4094433.0)</f>
        <v>4094433</v>
      </c>
      <c r="C2146" s="65" t="str">
        <f>IFERROR(__xludf.DUMMYFUNCTION("""COMPUTED_VALUE"""),"12:54")</f>
        <v>12:54</v>
      </c>
      <c r="D2146" s="65" t="str">
        <f>IFERROR(__xludf.DUMMYFUNCTION("""COMPUTED_VALUE"""),"10-01-2026")</f>
        <v>10-01-2026</v>
      </c>
      <c r="E2146" s="65" t="str">
        <f>IFERROR(__xludf.DUMMYFUNCTION("""COMPUTED_VALUE"""),"Pedro Vera")</f>
        <v>Pedro Vera</v>
      </c>
      <c r="F2146" s="65" t="str">
        <f>IFERROR(__xludf.DUMMYFUNCTION("""COMPUTED_VALUE"""),"998694370")</f>
        <v>998694370</v>
      </c>
      <c r="G2146" s="65" t="str">
        <f>IFERROR(__xludf.DUMMYFUNCTION("""COMPUTED_VALUE"""),"prvera70@gmail.com")</f>
        <v>prvera70@gmail.com</v>
      </c>
      <c r="H2146" s="65"/>
      <c r="I2146" s="65"/>
      <c r="J2146" s="65" t="str">
        <f>IFERROR(__xludf.DUMMYFUNCTION("""COMPUTED_VALUE"""),"D001223246")</f>
        <v>D001223246</v>
      </c>
      <c r="K2146" s="65" t="str">
        <f>IFERROR(__xludf.DUMMYFUNCTION("""COMPUTED_VALUE"""),"DEVOLUCION")</f>
        <v>DEVOLUCION</v>
      </c>
      <c r="L2146" s="65" t="str">
        <f>IFERROR(__xludf.DUMMYFUNCTION("""COMPUTED_VALUE"""),"CON RECAUDO")</f>
        <v>CON RECAUDO</v>
      </c>
      <c r="M2146" s="65" t="str">
        <f>IFERROR(__xludf.DUMMYFUNCTION("""COMPUTED_VALUE"""),"AZUAY")</f>
        <v>AZUAY</v>
      </c>
      <c r="N2146" s="65" t="str">
        <f>IFERROR(__xludf.DUMMYFUNCTION("""COMPUTED_VALUE"""),"CUENCA")</f>
        <v>CUENCA</v>
      </c>
      <c r="O2146" s="65" t="str">
        <f>IFERROR(__xludf.DUMMYFUNCTION("""COMPUTED_VALUE"""),"Antonio Lloret bastidas  y Monte Cristi Manabí Frente al tecnicentro Maxxis -")</f>
        <v>Antonio Lloret bastidas  y Monte Cristi Manabí Frente al tecnicentro Maxxis -</v>
      </c>
      <c r="P2146" s="65"/>
      <c r="Q2146" s="65" t="str">
        <f>IFERROR(__xludf.DUMMYFUNCTION("""COMPUTED_VALUE"""),"GINTRACOM")</f>
        <v>GINTRACOM</v>
      </c>
      <c r="R2146" s="65">
        <f>IFERROR(__xludf.DUMMYFUNCTION("""COMPUTED_VALUE"""),22.0)</f>
        <v>22</v>
      </c>
      <c r="S2146" s="65"/>
      <c r="T2146" s="65">
        <f>IFERROR(__xludf.DUMMYFUNCTION("""COMPUTED_VALUE"""),5.84)</f>
        <v>5.84</v>
      </c>
      <c r="U2146" s="65">
        <f>IFERROR(__xludf.DUMMYFUNCTION("""COMPUTED_VALUE"""),0.0)</f>
        <v>0</v>
      </c>
      <c r="V2146" s="65">
        <f>IFERROR(__xludf.DUMMYFUNCTION("""COMPUTED_VALUE"""),0.0)</f>
        <v>0</v>
      </c>
      <c r="W2146" s="65">
        <f>IFERROR(__xludf.DUMMYFUNCTION("""COMPUTED_VALUE"""),0.0)</f>
        <v>0</v>
      </c>
      <c r="X2146" s="65">
        <f>IFERROR(__xludf.DUMMYFUNCTION("""COMPUTED_VALUE"""),2.6)</f>
        <v>2.6</v>
      </c>
      <c r="Y2146" s="65">
        <f>IFERROR(__xludf.DUMMYFUNCTION("""COMPUTED_VALUE"""),5.2)</f>
        <v>5.2</v>
      </c>
      <c r="Z2146" s="65">
        <f>IFERROR(__xludf.DUMMYFUNCTION("""COMPUTED_VALUE"""),121983.0)</f>
        <v>121983</v>
      </c>
      <c r="AA2146" s="65" t="str">
        <f>IFERROR(__xludf.DUMMYFUNCTION("""COMPUTED_VALUE"""),"PROV-CHLLCF")</f>
        <v>PROV-CHLLCF</v>
      </c>
      <c r="AB2146" s="65"/>
      <c r="AC2146" s="65" t="str">
        <f>IFERROR(__xludf.DUMMYFUNCTION("""COMPUTED_VALUE"""),"CUCHILLO PARA CHEF")</f>
        <v>CUCHILLO PARA CHEF</v>
      </c>
      <c r="AD2146" s="65"/>
      <c r="AE2146" s="65">
        <f>IFERROR(__xludf.DUMMYFUNCTION("""COMPUTED_VALUE"""),2.0)</f>
        <v>2</v>
      </c>
      <c r="AF2146" s="65" t="str">
        <f>IFERROR(__xludf.DUMMYFUNCTION("""COMPUTED_VALUE"""),"DESTINATARIO INDICA QUE NO ES EL PRODUCTO QUE SOLICITÓ")</f>
        <v>DESTINATARIO INDICA QUE NO ES EL PRODUCTO QUE SOLICITÓ</v>
      </c>
      <c r="AG2146" s="65" t="str">
        <f>IFERROR(__xludf.DUMMYFUNCTION("""COMPUTED_VALUE"""),"NO")</f>
        <v>NO</v>
      </c>
      <c r="AH2146" s="65" t="str">
        <f>IFERROR(__xludf.DUMMYFUNCTION("""COMPUTED_VALUE"""),"23:42")</f>
        <v>23:42</v>
      </c>
      <c r="AI2146" s="65" t="str">
        <f>IFERROR(__xludf.DUMMYFUNCTION("""COMPUTED_VALUE"""),"16-01-2026")</f>
        <v>16-01-2026</v>
      </c>
      <c r="AJ2146" s="65"/>
      <c r="AK2146" s="65"/>
      <c r="AL2146" s="65"/>
      <c r="AM2146" s="65"/>
      <c r="AN2146" s="65" t="str">
        <f>IFERROR(__xludf.DUMMYFUNCTION("""COMPUTED_VALUE"""),"08:41")</f>
        <v>08:41</v>
      </c>
      <c r="AO2146" s="65" t="str">
        <f>IFERROR(__xludf.DUMMYFUNCTION("""COMPUTED_VALUE"""),"10-02-2026")</f>
        <v>10-02-2026</v>
      </c>
      <c r="AP2146" s="65" t="str">
        <f>IFERROR(__xludf.DUMMYFUNCTION("""COMPUTED_VALUE"""),"DEV CONFIRMADA POR BODEGA")</f>
        <v>DEV CONFIRMADA POR BODEGA</v>
      </c>
      <c r="AQ2146" s="65"/>
      <c r="AR2146" s="65" t="str">
        <f>IFERROR(__xludf.DUMMYFUNCTION("""COMPUTED_VALUE"""),"Gestionado por: Moran Daniel, email:danielmorga2005@gmail.com, total de productos en la orden: 1")</f>
        <v>Gestionado por: Moran Daniel, email:danielmorga2005@gmail.com, total de productos en la orden: 1</v>
      </c>
      <c r="AS2146" s="65"/>
      <c r="AT2146" s="65" t="str">
        <f>IFERROR(__xludf.DUMMYFUNCTION("""COMPUTED_VALUE"""),"SHOPIFY")</f>
        <v>SHOPIFY</v>
      </c>
      <c r="AU2146" s="65" t="str">
        <f>IFERROR(__xludf.DUMMYFUNCTION("""COMPUTED_VALUE"""),"IMPORTEX EC")</f>
        <v>IMPORTEX EC</v>
      </c>
      <c r="AV2146" s="65" t="str">
        <f>IFERROR(__xludf.DUMMYFUNCTION("""COMPUTED_VALUE"""),"6404097409068")</f>
        <v>6404097409068</v>
      </c>
      <c r="AW2146" s="65">
        <f>IFERROR(__xludf.DUMMYFUNCTION("""COMPUTED_VALUE"""),4816.0)</f>
        <v>4816</v>
      </c>
      <c r="AX2146" s="65"/>
      <c r="AY2146" s="65" t="str">
        <f>IFERROR(__xludf.DUMMYFUNCTION("""COMPUTED_VALUE"""),"14/01/2026")</f>
        <v>14/01/2026</v>
      </c>
      <c r="AZ2146" s="65"/>
      <c r="BA2146" s="65"/>
    </row>
    <row r="2147">
      <c r="A2147" s="65" t="str">
        <f>IFERROR(__xludf.DUMMYFUNCTION("""COMPUTED_VALUE"""),"27-03-2026")</f>
        <v>27-03-2026</v>
      </c>
      <c r="B2147" s="65">
        <f>IFERROR(__xludf.DUMMYFUNCTION("""COMPUTED_VALUE"""),4094411.0)</f>
        <v>4094411</v>
      </c>
      <c r="C2147" s="65" t="str">
        <f>IFERROR(__xludf.DUMMYFUNCTION("""COMPUTED_VALUE"""),"12:52")</f>
        <v>12:52</v>
      </c>
      <c r="D2147" s="65" t="str">
        <f>IFERROR(__xludf.DUMMYFUNCTION("""COMPUTED_VALUE"""),"10-01-2026")</f>
        <v>10-01-2026</v>
      </c>
      <c r="E2147" s="65" t="str">
        <f>IFERROR(__xludf.DUMMYFUNCTION("""COMPUTED_VALUE"""),"Patrick Pinzon")</f>
        <v>Patrick Pinzon</v>
      </c>
      <c r="F2147" s="65" t="str">
        <f>IFERROR(__xludf.DUMMYFUNCTION("""COMPUTED_VALUE"""),"959233519")</f>
        <v>959233519</v>
      </c>
      <c r="G2147" s="65" t="str">
        <f>IFERROR(__xludf.DUMMYFUNCTION("""COMPUTED_VALUE"""),"da.galarraga@hotmail.com")</f>
        <v>da.galarraga@hotmail.com</v>
      </c>
      <c r="H2147" s="65"/>
      <c r="I2147" s="65"/>
      <c r="J2147" s="65"/>
      <c r="K2147" s="65" t="str">
        <f>IFERROR(__xludf.DUMMYFUNCTION("""COMPUTED_VALUE"""),"CANCELADO")</f>
        <v>CANCELADO</v>
      </c>
      <c r="L2147" s="65" t="str">
        <f>IFERROR(__xludf.DUMMYFUNCTION("""COMPUTED_VALUE"""),"CON RECAUDO")</f>
        <v>CON RECAUDO</v>
      </c>
      <c r="M2147" s="65" t="str">
        <f>IFERROR(__xludf.DUMMYFUNCTION("""COMPUTED_VALUE"""),"PICHINCHA")</f>
        <v>PICHINCHA</v>
      </c>
      <c r="N2147" s="65" t="str">
        <f>IFERROR(__xludf.DUMMYFUNCTION("""COMPUTED_VALUE"""),"QUITO")</f>
        <v>QUITO</v>
      </c>
      <c r="O2147" s="65" t="str">
        <f>IFERROR(__xludf.DUMMYFUNCTION("""COMPUTED_VALUE"""),"Maximiliano Ontaneda y aurelio espinoza polit edificio kindu diseño y color La armenia -")</f>
        <v>Maximiliano Ontaneda y aurelio espinoza polit edificio kindu diseño y color La armenia -</v>
      </c>
      <c r="P2147" s="65"/>
      <c r="Q2147" s="65" t="str">
        <f>IFERROR(__xludf.DUMMYFUNCTION("""COMPUTED_VALUE"""),"GINTRACOM")</f>
        <v>GINTRACOM</v>
      </c>
      <c r="R2147" s="65">
        <f>IFERROR(__xludf.DUMMYFUNCTION("""COMPUTED_VALUE"""),20.0)</f>
        <v>20</v>
      </c>
      <c r="S2147" s="65"/>
      <c r="T2147" s="65">
        <f>IFERROR(__xludf.DUMMYFUNCTION("""COMPUTED_VALUE"""),5.76)</f>
        <v>5.76</v>
      </c>
      <c r="U2147" s="65">
        <f>IFERROR(__xludf.DUMMYFUNCTION("""COMPUTED_VALUE"""),0.0)</f>
        <v>0</v>
      </c>
      <c r="V2147" s="65">
        <f>IFERROR(__xludf.DUMMYFUNCTION("""COMPUTED_VALUE"""),0.0)</f>
        <v>0</v>
      </c>
      <c r="W2147" s="65">
        <f>IFERROR(__xludf.DUMMYFUNCTION("""COMPUTED_VALUE"""),0.0)</f>
        <v>0</v>
      </c>
      <c r="X2147" s="65">
        <f>IFERROR(__xludf.DUMMYFUNCTION("""COMPUTED_VALUE"""),2.79)</f>
        <v>2.79</v>
      </c>
      <c r="Y2147" s="65">
        <f>IFERROR(__xludf.DUMMYFUNCTION("""COMPUTED_VALUE"""),2.79)</f>
        <v>2.79</v>
      </c>
      <c r="Z2147" s="65">
        <f>IFERROR(__xludf.DUMMYFUNCTION("""COMPUTED_VALUE"""),120732.0)</f>
        <v>120732</v>
      </c>
      <c r="AA2147" s="65" t="str">
        <f>IFERROR(__xludf.DUMMYFUNCTION("""COMPUTED_VALUE"""),"PROV-LMPVT")</f>
        <v>PROV-LMPVT</v>
      </c>
      <c r="AB2147" s="65"/>
      <c r="AC2147" s="65" t="str">
        <f>IFERROR(__xludf.DUMMYFUNCTION("""COMPUTED_VALUE"""),"LIMPIADOR DE PARABRISAS Y VENTANAS")</f>
        <v>LIMPIADOR DE PARABRISAS Y VENTANAS</v>
      </c>
      <c r="AD2147" s="65"/>
      <c r="AE2147" s="65">
        <f>IFERROR(__xludf.DUMMYFUNCTION("""COMPUTED_VALUE"""),1.0)</f>
        <v>1</v>
      </c>
      <c r="AF2147" s="65"/>
      <c r="AG2147" s="65"/>
      <c r="AH2147" s="65"/>
      <c r="AI2147" s="65"/>
      <c r="AJ2147" s="65"/>
      <c r="AK2147" s="65"/>
      <c r="AL2147" s="65"/>
      <c r="AM2147" s="65"/>
      <c r="AN2147" s="65"/>
      <c r="AO2147" s="65"/>
      <c r="AP2147" s="65"/>
      <c r="AQ2147" s="65"/>
      <c r="AR2147" s="65"/>
      <c r="AS2147" s="65"/>
      <c r="AT2147" s="65" t="str">
        <f>IFERROR(__xludf.DUMMYFUNCTION("""COMPUTED_VALUE"""),"SHOPIFY")</f>
        <v>SHOPIFY</v>
      </c>
      <c r="AU2147" s="65" t="str">
        <f>IFERROR(__xludf.DUMMYFUNCTION("""COMPUTED_VALUE"""),"IMPORTEX EC")</f>
        <v>IMPORTEX EC</v>
      </c>
      <c r="AV2147" s="65" t="str">
        <f>IFERROR(__xludf.DUMMYFUNCTION("""COMPUTED_VALUE"""),"6404089315372")</f>
        <v>6404089315372</v>
      </c>
      <c r="AW2147" s="65">
        <f>IFERROR(__xludf.DUMMYFUNCTION("""COMPUTED_VALUE"""),4815.0)</f>
        <v>4815</v>
      </c>
      <c r="AX2147" s="65"/>
      <c r="AY2147" s="65"/>
      <c r="AZ2147" s="65"/>
      <c r="BA2147" s="65"/>
    </row>
    <row r="2148">
      <c r="A2148" s="65" t="str">
        <f>IFERROR(__xludf.DUMMYFUNCTION("""COMPUTED_VALUE"""),"27-03-2026")</f>
        <v>27-03-2026</v>
      </c>
      <c r="B2148" s="65">
        <f>IFERROR(__xludf.DUMMYFUNCTION("""COMPUTED_VALUE"""),4094394.0)</f>
        <v>4094394</v>
      </c>
      <c r="C2148" s="65" t="str">
        <f>IFERROR(__xludf.DUMMYFUNCTION("""COMPUTED_VALUE"""),"12:51")</f>
        <v>12:51</v>
      </c>
      <c r="D2148" s="65" t="str">
        <f>IFERROR(__xludf.DUMMYFUNCTION("""COMPUTED_VALUE"""),"10-01-2026")</f>
        <v>10-01-2026</v>
      </c>
      <c r="E2148" s="65" t="str">
        <f>IFERROR(__xludf.DUMMYFUNCTION("""COMPUTED_VALUE"""),"Angel Eduardo Remache")</f>
        <v>Angel Eduardo Remache</v>
      </c>
      <c r="F2148" s="65" t="str">
        <f>IFERROR(__xludf.DUMMYFUNCTION("""COMPUTED_VALUE"""),"967185411")</f>
        <v>967185411</v>
      </c>
      <c r="G2148" s="65" t="str">
        <f>IFERROR(__xludf.DUMMYFUNCTION("""COMPUTED_VALUE"""),"eduremache@outlook.com")</f>
        <v>eduremache@outlook.com</v>
      </c>
      <c r="H2148" s="65"/>
      <c r="I2148" s="65"/>
      <c r="J2148" s="65"/>
      <c r="K2148" s="65" t="str">
        <f>IFERROR(__xludf.DUMMYFUNCTION("""COMPUTED_VALUE"""),"CANCELADO")</f>
        <v>CANCELADO</v>
      </c>
      <c r="L2148" s="65" t="str">
        <f>IFERROR(__xludf.DUMMYFUNCTION("""COMPUTED_VALUE"""),"CON RECAUDO")</f>
        <v>CON RECAUDO</v>
      </c>
      <c r="M2148" s="65" t="str">
        <f>IFERROR(__xludf.DUMMYFUNCTION("""COMPUTED_VALUE"""),"GUAYAS")</f>
        <v>GUAYAS</v>
      </c>
      <c r="N2148" s="65" t="str">
        <f>IFERROR(__xludf.DUMMYFUNCTION("""COMPUTED_VALUE"""),"DURAN")</f>
        <v>DURAN</v>
      </c>
      <c r="O2148" s="65" t="str">
        <f>IFERROR(__xludf.DUMMYFUNCTION("""COMPUTED_VALUE"""),"Panorama Panorama -")</f>
        <v>Panorama Panorama -</v>
      </c>
      <c r="P2148" s="65"/>
      <c r="Q2148" s="65" t="str">
        <f>IFERROR(__xludf.DUMMYFUNCTION("""COMPUTED_VALUE"""),"GINTRACOM")</f>
        <v>GINTRACOM</v>
      </c>
      <c r="R2148" s="65">
        <f>IFERROR(__xludf.DUMMYFUNCTION("""COMPUTED_VALUE"""),27.0)</f>
        <v>27</v>
      </c>
      <c r="S2148" s="65"/>
      <c r="T2148" s="65">
        <f>IFERROR(__xludf.DUMMYFUNCTION("""COMPUTED_VALUE"""),5.45)</f>
        <v>5.45</v>
      </c>
      <c r="U2148" s="65">
        <f>IFERROR(__xludf.DUMMYFUNCTION("""COMPUTED_VALUE"""),0.0)</f>
        <v>0</v>
      </c>
      <c r="V2148" s="65">
        <f>IFERROR(__xludf.DUMMYFUNCTION("""COMPUTED_VALUE"""),0.0)</f>
        <v>0</v>
      </c>
      <c r="W2148" s="65">
        <f>IFERROR(__xludf.DUMMYFUNCTION("""COMPUTED_VALUE"""),0.0)</f>
        <v>0</v>
      </c>
      <c r="X2148" s="65">
        <f>IFERROR(__xludf.DUMMYFUNCTION("""COMPUTED_VALUE"""),2.6)</f>
        <v>2.6</v>
      </c>
      <c r="Y2148" s="65">
        <f>IFERROR(__xludf.DUMMYFUNCTION("""COMPUTED_VALUE"""),7.8)</f>
        <v>7.8</v>
      </c>
      <c r="Z2148" s="65">
        <f>IFERROR(__xludf.DUMMYFUNCTION("""COMPUTED_VALUE"""),121983.0)</f>
        <v>121983</v>
      </c>
      <c r="AA2148" s="65" t="str">
        <f>IFERROR(__xludf.DUMMYFUNCTION("""COMPUTED_VALUE"""),"PROV-CHLLCF")</f>
        <v>PROV-CHLLCF</v>
      </c>
      <c r="AB2148" s="65"/>
      <c r="AC2148" s="65" t="str">
        <f>IFERROR(__xludf.DUMMYFUNCTION("""COMPUTED_VALUE"""),"CUCHILLO PARA CHEF")</f>
        <v>CUCHILLO PARA CHEF</v>
      </c>
      <c r="AD2148" s="65"/>
      <c r="AE2148" s="65">
        <f>IFERROR(__xludf.DUMMYFUNCTION("""COMPUTED_VALUE"""),3.0)</f>
        <v>3</v>
      </c>
      <c r="AF2148" s="65"/>
      <c r="AG2148" s="65"/>
      <c r="AH2148" s="65"/>
      <c r="AI2148" s="65"/>
      <c r="AJ2148" s="65"/>
      <c r="AK2148" s="65"/>
      <c r="AL2148" s="65"/>
      <c r="AM2148" s="65"/>
      <c r="AN2148" s="65"/>
      <c r="AO2148" s="65"/>
      <c r="AP2148" s="65"/>
      <c r="AQ2148" s="65"/>
      <c r="AR2148" s="65"/>
      <c r="AS2148" s="65"/>
      <c r="AT2148" s="65" t="str">
        <f>IFERROR(__xludf.DUMMYFUNCTION("""COMPUTED_VALUE"""),"SHOPIFY")</f>
        <v>SHOPIFY</v>
      </c>
      <c r="AU2148" s="65" t="str">
        <f>IFERROR(__xludf.DUMMYFUNCTION("""COMPUTED_VALUE"""),"IMPORTEX EC")</f>
        <v>IMPORTEX EC</v>
      </c>
      <c r="AV2148" s="65" t="str">
        <f>IFERROR(__xludf.DUMMYFUNCTION("""COMPUTED_VALUE"""),"6404082958380")</f>
        <v>6404082958380</v>
      </c>
      <c r="AW2148" s="65">
        <f>IFERROR(__xludf.DUMMYFUNCTION("""COMPUTED_VALUE"""),4814.0)</f>
        <v>4814</v>
      </c>
      <c r="AX2148" s="65"/>
      <c r="AY2148" s="65"/>
      <c r="AZ2148" s="65"/>
      <c r="BA2148" s="65"/>
    </row>
    <row r="2149">
      <c r="A2149" s="65" t="str">
        <f>IFERROR(__xludf.DUMMYFUNCTION("""COMPUTED_VALUE"""),"27-03-2026")</f>
        <v>27-03-2026</v>
      </c>
      <c r="B2149" s="65">
        <f>IFERROR(__xludf.DUMMYFUNCTION("""COMPUTED_VALUE"""),4094385.0)</f>
        <v>4094385</v>
      </c>
      <c r="C2149" s="65" t="str">
        <f>IFERROR(__xludf.DUMMYFUNCTION("""COMPUTED_VALUE"""),"12:50")</f>
        <v>12:50</v>
      </c>
      <c r="D2149" s="65" t="str">
        <f>IFERROR(__xludf.DUMMYFUNCTION("""COMPUTED_VALUE"""),"10-01-2026")</f>
        <v>10-01-2026</v>
      </c>
      <c r="E2149" s="65" t="str">
        <f>IFERROR(__xludf.DUMMYFUNCTION("""COMPUTED_VALUE"""),"Delfin Nestor Calderon Garcia")</f>
        <v>Delfin Nestor Calderon Garcia</v>
      </c>
      <c r="F2149" s="65" t="str">
        <f>IFERROR(__xludf.DUMMYFUNCTION("""COMPUTED_VALUE"""),"980258349")</f>
        <v>980258349</v>
      </c>
      <c r="G2149" s="65" t="str">
        <f>IFERROR(__xludf.DUMMYFUNCTION("""COMPUTED_VALUE"""),"aloquito.nest@gmail.com")</f>
        <v>aloquito.nest@gmail.com</v>
      </c>
      <c r="H2149" s="65"/>
      <c r="I2149" s="65"/>
      <c r="J2149" s="65" t="str">
        <f>IFERROR(__xludf.DUMMYFUNCTION("""COMPUTED_VALUE"""),"D001223250")</f>
        <v>D001223250</v>
      </c>
      <c r="K2149" s="65" t="str">
        <f>IFERROR(__xludf.DUMMYFUNCTION("""COMPUTED_VALUE"""),"ENTREGADO")</f>
        <v>ENTREGADO</v>
      </c>
      <c r="L2149" s="65" t="str">
        <f>IFERROR(__xludf.DUMMYFUNCTION("""COMPUTED_VALUE"""),"CON RECAUDO")</f>
        <v>CON RECAUDO</v>
      </c>
      <c r="M2149" s="65" t="str">
        <f>IFERROR(__xludf.DUMMYFUNCTION("""COMPUTED_VALUE"""),"GUAYAS")</f>
        <v>GUAYAS</v>
      </c>
      <c r="N2149" s="65" t="str">
        <f>IFERROR(__xludf.DUMMYFUNCTION("""COMPUTED_VALUE"""),"GUAYAQUIL")</f>
        <v>GUAYAQUIL</v>
      </c>
      <c r="O2149" s="65" t="str">
        <f>IFERROR(__xludf.DUMMYFUNCTION("""COMPUTED_VALUE"""),"Guasmo Central, Coop. Virgen Monserrate Mz. B-3 Sl. 8 Frente a un solar vacio, en la esquina Escuela Prospero San Tisteva")</f>
        <v>Guasmo Central, Coop. Virgen Monserrate Mz. B-3 Sl. 8 Frente a un solar vacio, en la esquina Escuela Prospero San Tisteva</v>
      </c>
      <c r="P2149" s="65" t="str">
        <f>IFERROR(__xludf.DUMMYFUNCTION("""COMPUTED_VALUE"""),"Por favor cambie la factura son 2 por $ 25,00")</f>
        <v>Por favor cambie la factura son 2 por $ 25,00</v>
      </c>
      <c r="Q2149" s="65" t="str">
        <f>IFERROR(__xludf.DUMMYFUNCTION("""COMPUTED_VALUE"""),"GINTRACOM")</f>
        <v>GINTRACOM</v>
      </c>
      <c r="R2149" s="65">
        <f>IFERROR(__xludf.DUMMYFUNCTION("""COMPUTED_VALUE"""),20.0)</f>
        <v>20</v>
      </c>
      <c r="S2149" s="65">
        <f>IFERROR(__xludf.DUMMYFUNCTION("""COMPUTED_VALUE"""),13.06)</f>
        <v>13.06</v>
      </c>
      <c r="T2149" s="65">
        <f>IFERROR(__xludf.DUMMYFUNCTION("""COMPUTED_VALUE"""),4.15)</f>
        <v>4.15</v>
      </c>
      <c r="U2149" s="65">
        <f>IFERROR(__xludf.DUMMYFUNCTION("""COMPUTED_VALUE"""),0.0)</f>
        <v>0</v>
      </c>
      <c r="V2149" s="65">
        <f>IFERROR(__xludf.DUMMYFUNCTION("""COMPUTED_VALUE"""),0.0)</f>
        <v>0</v>
      </c>
      <c r="W2149" s="65">
        <f>IFERROR(__xludf.DUMMYFUNCTION("""COMPUTED_VALUE"""),0.0)</f>
        <v>0</v>
      </c>
      <c r="X2149" s="65">
        <f>IFERROR(__xludf.DUMMYFUNCTION("""COMPUTED_VALUE"""),2.79)</f>
        <v>2.79</v>
      </c>
      <c r="Y2149" s="65">
        <f>IFERROR(__xludf.DUMMYFUNCTION("""COMPUTED_VALUE"""),2.79)</f>
        <v>2.79</v>
      </c>
      <c r="Z2149" s="65">
        <f>IFERROR(__xludf.DUMMYFUNCTION("""COMPUTED_VALUE"""),120732.0)</f>
        <v>120732</v>
      </c>
      <c r="AA2149" s="65" t="str">
        <f>IFERROR(__xludf.DUMMYFUNCTION("""COMPUTED_VALUE"""),"PROV-LMPVT")</f>
        <v>PROV-LMPVT</v>
      </c>
      <c r="AB2149" s="65"/>
      <c r="AC2149" s="65" t="str">
        <f>IFERROR(__xludf.DUMMYFUNCTION("""COMPUTED_VALUE"""),"LIMPIADOR DE PARABRISAS Y VENTANAS")</f>
        <v>LIMPIADOR DE PARABRISAS Y VENTANAS</v>
      </c>
      <c r="AD2149" s="65"/>
      <c r="AE2149" s="65">
        <f>IFERROR(__xludf.DUMMYFUNCTION("""COMPUTED_VALUE"""),1.0)</f>
        <v>1</v>
      </c>
      <c r="AF2149" s="65"/>
      <c r="AG2149" s="65"/>
      <c r="AH2149" s="65"/>
      <c r="AI2149" s="65"/>
      <c r="AJ2149" s="65"/>
      <c r="AK2149" s="65"/>
      <c r="AL2149" s="65"/>
      <c r="AM2149" s="65"/>
      <c r="AN2149" s="65" t="str">
        <f>IFERROR(__xludf.DUMMYFUNCTION("""COMPUTED_VALUE"""),"13:29")</f>
        <v>13:29</v>
      </c>
      <c r="AO2149" s="65" t="str">
        <f>IFERROR(__xludf.DUMMYFUNCTION("""COMPUTED_VALUE"""),"17-01-2026")</f>
        <v>17-01-2026</v>
      </c>
      <c r="AP2149" s="65" t="str">
        <f>IFERROR(__xludf.DUMMYFUNCTION("""COMPUTED_VALUE"""),"ENTREGADA GINTRACOM")</f>
        <v>ENTREGADA GINTRACOM</v>
      </c>
      <c r="AQ2149" s="65" t="str">
        <f>IFERROR(__xludf.DUMMYFUNCTION("""COMPUTED_VALUE"""),"ENTREGADA GINTRACOM")</f>
        <v>ENTREGADA GINTRACOM</v>
      </c>
      <c r="AR2149" s="65"/>
      <c r="AS2149" s="65"/>
      <c r="AT2149" s="65" t="str">
        <f>IFERROR(__xludf.DUMMYFUNCTION("""COMPUTED_VALUE"""),"SHOPIFY")</f>
        <v>SHOPIFY</v>
      </c>
      <c r="AU2149" s="65" t="str">
        <f>IFERROR(__xludf.DUMMYFUNCTION("""COMPUTED_VALUE"""),"IMPORTEX EC")</f>
        <v>IMPORTEX EC</v>
      </c>
      <c r="AV2149" s="65" t="str">
        <f>IFERROR(__xludf.DUMMYFUNCTION("""COMPUTED_VALUE"""),"6404081123372")</f>
        <v>6404081123372</v>
      </c>
      <c r="AW2149" s="65">
        <f>IFERROR(__xludf.DUMMYFUNCTION("""COMPUTED_VALUE"""),4813.0)</f>
        <v>4813</v>
      </c>
      <c r="AX2149" s="65"/>
      <c r="AY2149" s="65" t="str">
        <f>IFERROR(__xludf.DUMMYFUNCTION("""COMPUTED_VALUE"""),"14/01/2026")</f>
        <v>14/01/2026</v>
      </c>
      <c r="AZ2149" s="65"/>
      <c r="BA2149" s="65"/>
    </row>
    <row r="2150">
      <c r="A2150" s="65" t="str">
        <f>IFERROR(__xludf.DUMMYFUNCTION("""COMPUTED_VALUE"""),"27-03-2026")</f>
        <v>27-03-2026</v>
      </c>
      <c r="B2150" s="65">
        <f>IFERROR(__xludf.DUMMYFUNCTION("""COMPUTED_VALUE"""),4094254.0)</f>
        <v>4094254</v>
      </c>
      <c r="C2150" s="65" t="str">
        <f>IFERROR(__xludf.DUMMYFUNCTION("""COMPUTED_VALUE"""),"12:37")</f>
        <v>12:37</v>
      </c>
      <c r="D2150" s="65" t="str">
        <f>IFERROR(__xludf.DUMMYFUNCTION("""COMPUTED_VALUE"""),"10-01-2026")</f>
        <v>10-01-2026</v>
      </c>
      <c r="E2150" s="65" t="str">
        <f>IFERROR(__xludf.DUMMYFUNCTION("""COMPUTED_VALUE"""),"Luis López")</f>
        <v>Luis López</v>
      </c>
      <c r="F2150" s="65" t="str">
        <f>IFERROR(__xludf.DUMMYFUNCTION("""COMPUTED_VALUE"""),"959725080")</f>
        <v>959725080</v>
      </c>
      <c r="G2150" s="65" t="str">
        <f>IFERROR(__xludf.DUMMYFUNCTION("""COMPUTED_VALUE"""),"horaciolopez15@yaoo.com")</f>
        <v>horaciolopez15@yaoo.com</v>
      </c>
      <c r="H2150" s="65"/>
      <c r="I2150" s="65"/>
      <c r="J2150" s="65" t="str">
        <f>IFERROR(__xludf.DUMMYFUNCTION("""COMPUTED_VALUE"""),"D001223251")</f>
        <v>D001223251</v>
      </c>
      <c r="K2150" s="65" t="str">
        <f>IFERROR(__xludf.DUMMYFUNCTION("""COMPUTED_VALUE"""),"DEVOLUCION")</f>
        <v>DEVOLUCION</v>
      </c>
      <c r="L2150" s="65" t="str">
        <f>IFERROR(__xludf.DUMMYFUNCTION("""COMPUTED_VALUE"""),"CON RECAUDO")</f>
        <v>CON RECAUDO</v>
      </c>
      <c r="M2150" s="65" t="str">
        <f>IFERROR(__xludf.DUMMYFUNCTION("""COMPUTED_VALUE"""),"ESMERALDAS")</f>
        <v>ESMERALDAS</v>
      </c>
      <c r="N2150" s="65" t="str">
        <f>IFERROR(__xludf.DUMMYFUNCTION("""COMPUTED_VALUE"""),"ESMERALDAS")</f>
        <v>ESMERALDAS</v>
      </c>
      <c r="O2150" s="65" t="str">
        <f>IFERROR(__xludf.DUMMYFUNCTION("""COMPUTED_VALUE"""),"Bolivar y  10 de agosto -")</f>
        <v>Bolivar y  10 de agosto -</v>
      </c>
      <c r="P2150" s="65"/>
      <c r="Q2150" s="65" t="str">
        <f>IFERROR(__xludf.DUMMYFUNCTION("""COMPUTED_VALUE"""),"GINTRACOM")</f>
        <v>GINTRACOM</v>
      </c>
      <c r="R2150" s="65">
        <f>IFERROR(__xludf.DUMMYFUNCTION("""COMPUTED_VALUE"""),22.0)</f>
        <v>22</v>
      </c>
      <c r="S2150" s="65"/>
      <c r="T2150" s="65">
        <f>IFERROR(__xludf.DUMMYFUNCTION("""COMPUTED_VALUE"""),5.84)</f>
        <v>5.84</v>
      </c>
      <c r="U2150" s="65">
        <f>IFERROR(__xludf.DUMMYFUNCTION("""COMPUTED_VALUE"""),0.0)</f>
        <v>0</v>
      </c>
      <c r="V2150" s="65">
        <f>IFERROR(__xludf.DUMMYFUNCTION("""COMPUTED_VALUE"""),0.0)</f>
        <v>0</v>
      </c>
      <c r="W2150" s="65">
        <f>IFERROR(__xludf.DUMMYFUNCTION("""COMPUTED_VALUE"""),0.0)</f>
        <v>0</v>
      </c>
      <c r="X2150" s="65">
        <f>IFERROR(__xludf.DUMMYFUNCTION("""COMPUTED_VALUE"""),2.6)</f>
        <v>2.6</v>
      </c>
      <c r="Y2150" s="65">
        <f>IFERROR(__xludf.DUMMYFUNCTION("""COMPUTED_VALUE"""),5.2)</f>
        <v>5.2</v>
      </c>
      <c r="Z2150" s="65">
        <f>IFERROR(__xludf.DUMMYFUNCTION("""COMPUTED_VALUE"""),121983.0)</f>
        <v>121983</v>
      </c>
      <c r="AA2150" s="65" t="str">
        <f>IFERROR(__xludf.DUMMYFUNCTION("""COMPUTED_VALUE"""),"PROV-CHLLCF")</f>
        <v>PROV-CHLLCF</v>
      </c>
      <c r="AB2150" s="65"/>
      <c r="AC2150" s="65" t="str">
        <f>IFERROR(__xludf.DUMMYFUNCTION("""COMPUTED_VALUE"""),"CUCHILLO PARA CHEF")</f>
        <v>CUCHILLO PARA CHEF</v>
      </c>
      <c r="AD2150" s="65"/>
      <c r="AE2150" s="65">
        <f>IFERROR(__xludf.DUMMYFUNCTION("""COMPUTED_VALUE"""),2.0)</f>
        <v>2</v>
      </c>
      <c r="AF2150" s="65" t="str">
        <f>IFERROR(__xludf.DUMMYFUNCTION("""COMPUTED_VALUE"""),"DESTINATARIO INDICA QUE ESTÁ INCONFORME CON EL PRODUCTO. (NO RECIBE)")</f>
        <v>DESTINATARIO INDICA QUE ESTÁ INCONFORME CON EL PRODUCTO. (NO RECIBE)</v>
      </c>
      <c r="AG2150" s="65" t="str">
        <f>IFERROR(__xludf.DUMMYFUNCTION("""COMPUTED_VALUE"""),"SI")</f>
        <v>SI</v>
      </c>
      <c r="AH2150" s="65" t="str">
        <f>IFERROR(__xludf.DUMMYFUNCTION("""COMPUTED_VALUE"""),"13:18")</f>
        <v>13:18</v>
      </c>
      <c r="AI2150" s="65" t="str">
        <f>IFERROR(__xludf.DUMMYFUNCTION("""COMPUTED_VALUE"""),"16-01-2026")</f>
        <v>16-01-2026</v>
      </c>
      <c r="AJ2150" s="65" t="str">
        <f>IFERROR(__xludf.DUMMYFUNCTION("""COMPUTED_VALUE"""),"DEVOLVER AL REMITENTE")</f>
        <v>DEVOLVER AL REMITENTE</v>
      </c>
      <c r="AK2150" s="65" t="str">
        <f>IFERROR(__xludf.DUMMYFUNCTION("""COMPUTED_VALUE"""),"16:39")</f>
        <v>16:39</v>
      </c>
      <c r="AL2150" s="65" t="str">
        <f>IFERROR(__xludf.DUMMYFUNCTION("""COMPUTED_VALUE"""),"21-01-2026")</f>
        <v>21-01-2026</v>
      </c>
      <c r="AM2150" s="65"/>
      <c r="AN2150" s="65" t="str">
        <f>IFERROR(__xludf.DUMMYFUNCTION("""COMPUTED_VALUE"""),"13:15")</f>
        <v>13:15</v>
      </c>
      <c r="AO2150" s="65" t="str">
        <f>IFERROR(__xludf.DUMMYFUNCTION("""COMPUTED_VALUE"""),"05-02-2026")</f>
        <v>05-02-2026</v>
      </c>
      <c r="AP2150" s="65" t="str">
        <f>IFERROR(__xludf.DUMMYFUNCTION("""COMPUTED_VALUE"""),"DEV CONFIRMADA POR BODEGA")</f>
        <v>DEV CONFIRMADA POR BODEGA</v>
      </c>
      <c r="AQ2150" s="65"/>
      <c r="AR2150" s="65" t="str">
        <f>IFERROR(__xludf.DUMMYFUNCTION("""COMPUTED_VALUE"""),"Gestionado por: PROVEDIX DAMIAN, email:enviogratisdirecto@gmail.com, total de productos en la orden: 1")</f>
        <v>Gestionado por: PROVEDIX DAMIAN, email:enviogratisdirecto@gmail.com, total de productos en la orden: 1</v>
      </c>
      <c r="AS2150" s="65"/>
      <c r="AT2150" s="65" t="str">
        <f>IFERROR(__xludf.DUMMYFUNCTION("""COMPUTED_VALUE"""),"SHOPIFY")</f>
        <v>SHOPIFY</v>
      </c>
      <c r="AU2150" s="65" t="str">
        <f>IFERROR(__xludf.DUMMYFUNCTION("""COMPUTED_VALUE"""),"IMPORTEX EC")</f>
        <v>IMPORTEX EC</v>
      </c>
      <c r="AV2150" s="65" t="str">
        <f>IFERROR(__xludf.DUMMYFUNCTION("""COMPUTED_VALUE"""),"6404046946348")</f>
        <v>6404046946348</v>
      </c>
      <c r="AW2150" s="65">
        <f>IFERROR(__xludf.DUMMYFUNCTION("""COMPUTED_VALUE"""),4812.0)</f>
        <v>4812</v>
      </c>
      <c r="AX2150" s="65"/>
      <c r="AY2150" s="65" t="str">
        <f>IFERROR(__xludf.DUMMYFUNCTION("""COMPUTED_VALUE"""),"14/01/2026")</f>
        <v>14/01/2026</v>
      </c>
      <c r="AZ2150" s="65"/>
      <c r="BA2150" s="65"/>
    </row>
    <row r="2151">
      <c r="A2151" s="65" t="str">
        <f>IFERROR(__xludf.DUMMYFUNCTION("""COMPUTED_VALUE"""),"27-03-2026")</f>
        <v>27-03-2026</v>
      </c>
      <c r="B2151" s="65">
        <f>IFERROR(__xludf.DUMMYFUNCTION("""COMPUTED_VALUE"""),4094225.0)</f>
        <v>4094225</v>
      </c>
      <c r="C2151" s="65" t="str">
        <f>IFERROR(__xludf.DUMMYFUNCTION("""COMPUTED_VALUE"""),"12:35")</f>
        <v>12:35</v>
      </c>
      <c r="D2151" s="65" t="str">
        <f>IFERROR(__xludf.DUMMYFUNCTION("""COMPUTED_VALUE"""),"10-01-2026")</f>
        <v>10-01-2026</v>
      </c>
      <c r="E2151" s="65" t="str">
        <f>IFERROR(__xludf.DUMMYFUNCTION("""COMPUTED_VALUE"""),"Ernesto Wilfrido Flores Mayorga")</f>
        <v>Ernesto Wilfrido Flores Mayorga</v>
      </c>
      <c r="F2151" s="65" t="str">
        <f>IFERROR(__xludf.DUMMYFUNCTION("""COMPUTED_VALUE"""),"993286788")</f>
        <v>993286788</v>
      </c>
      <c r="G2151" s="65"/>
      <c r="H2151" s="65"/>
      <c r="I2151" s="65"/>
      <c r="J2151" s="65"/>
      <c r="K2151" s="65" t="str">
        <f>IFERROR(__xludf.DUMMYFUNCTION("""COMPUTED_VALUE"""),"PENDIENTE CONFIRMACION")</f>
        <v>PENDIENTE CONFIRMACION</v>
      </c>
      <c r="L2151" s="65" t="str">
        <f>IFERROR(__xludf.DUMMYFUNCTION("""COMPUTED_VALUE"""),"CON RECAUDO")</f>
        <v>CON RECAUDO</v>
      </c>
      <c r="M2151" s="65" t="str">
        <f>IFERROR(__xludf.DUMMYFUNCTION("""COMPUTED_VALUE"""),"TUNGURAHUA")</f>
        <v>TUNGURAHUA</v>
      </c>
      <c r="N2151" s="65" t="str">
        <f>IFERROR(__xludf.DUMMYFUNCTION("""COMPUTED_VALUE"""),"CEVALLOS")</f>
        <v>CEVALLOS</v>
      </c>
      <c r="O2151" s="65" t="str">
        <f>IFERROR(__xludf.DUMMYFUNCTION("""COMPUTED_VALUE"""),"av..24 de mayo y eucaliptos barrio José Francisco Arias -")</f>
        <v>av..24 de mayo y eucaliptos barrio José Francisco Arias -</v>
      </c>
      <c r="P2151" s="65"/>
      <c r="Q2151" s="65" t="str">
        <f>IFERROR(__xludf.DUMMYFUNCTION("""COMPUTED_VALUE"""),"GINTRACOM")</f>
        <v>GINTRACOM</v>
      </c>
      <c r="R2151" s="65">
        <f>IFERROR(__xludf.DUMMYFUNCTION("""COMPUTED_VALUE"""),22.0)</f>
        <v>22</v>
      </c>
      <c r="S2151" s="65"/>
      <c r="T2151" s="65">
        <f>IFERROR(__xludf.DUMMYFUNCTION("""COMPUTED_VALUE"""),6.41)</f>
        <v>6.41</v>
      </c>
      <c r="U2151" s="65">
        <f>IFERROR(__xludf.DUMMYFUNCTION("""COMPUTED_VALUE"""),0.0)</f>
        <v>0</v>
      </c>
      <c r="V2151" s="65">
        <f>IFERROR(__xludf.DUMMYFUNCTION("""COMPUTED_VALUE"""),0.0)</f>
        <v>0</v>
      </c>
      <c r="W2151" s="65">
        <f>IFERROR(__xludf.DUMMYFUNCTION("""COMPUTED_VALUE"""),0.0)</f>
        <v>0</v>
      </c>
      <c r="X2151" s="65">
        <f>IFERROR(__xludf.DUMMYFUNCTION("""COMPUTED_VALUE"""),2.6)</f>
        <v>2.6</v>
      </c>
      <c r="Y2151" s="65">
        <f>IFERROR(__xludf.DUMMYFUNCTION("""COMPUTED_VALUE"""),5.2)</f>
        <v>5.2</v>
      </c>
      <c r="Z2151" s="65">
        <f>IFERROR(__xludf.DUMMYFUNCTION("""COMPUTED_VALUE"""),121983.0)</f>
        <v>121983</v>
      </c>
      <c r="AA2151" s="65" t="str">
        <f>IFERROR(__xludf.DUMMYFUNCTION("""COMPUTED_VALUE"""),"PROV-CHLLCF")</f>
        <v>PROV-CHLLCF</v>
      </c>
      <c r="AB2151" s="65"/>
      <c r="AC2151" s="65" t="str">
        <f>IFERROR(__xludf.DUMMYFUNCTION("""COMPUTED_VALUE"""),"CUCHILLO PARA CHEF")</f>
        <v>CUCHILLO PARA CHEF</v>
      </c>
      <c r="AD2151" s="65"/>
      <c r="AE2151" s="65">
        <f>IFERROR(__xludf.DUMMYFUNCTION("""COMPUTED_VALUE"""),2.0)</f>
        <v>2</v>
      </c>
      <c r="AF2151" s="65"/>
      <c r="AG2151" s="65"/>
      <c r="AH2151" s="65"/>
      <c r="AI2151" s="65"/>
      <c r="AJ2151" s="65"/>
      <c r="AK2151" s="65"/>
      <c r="AL2151" s="65"/>
      <c r="AM2151" s="65"/>
      <c r="AN2151" s="65"/>
      <c r="AO2151" s="65"/>
      <c r="AP2151" s="65"/>
      <c r="AQ2151" s="65"/>
      <c r="AR2151" s="65"/>
      <c r="AS2151" s="65"/>
      <c r="AT2151" s="65" t="str">
        <f>IFERROR(__xludf.DUMMYFUNCTION("""COMPUTED_VALUE"""),"SHOPIFY")</f>
        <v>SHOPIFY</v>
      </c>
      <c r="AU2151" s="65" t="str">
        <f>IFERROR(__xludf.DUMMYFUNCTION("""COMPUTED_VALUE"""),"IMPORTEX EC")</f>
        <v>IMPORTEX EC</v>
      </c>
      <c r="AV2151" s="65" t="str">
        <f>IFERROR(__xludf.DUMMYFUNCTION("""COMPUTED_VALUE"""),"6404038852652")</f>
        <v>6404038852652</v>
      </c>
      <c r="AW2151" s="65">
        <f>IFERROR(__xludf.DUMMYFUNCTION("""COMPUTED_VALUE"""),4811.0)</f>
        <v>4811</v>
      </c>
      <c r="AX2151" s="65"/>
      <c r="AY2151" s="65"/>
      <c r="AZ2151" s="65"/>
      <c r="BA2151" s="65"/>
    </row>
    <row r="2152">
      <c r="A2152" s="65" t="str">
        <f>IFERROR(__xludf.DUMMYFUNCTION("""COMPUTED_VALUE"""),"27-03-2026")</f>
        <v>27-03-2026</v>
      </c>
      <c r="B2152" s="65">
        <f>IFERROR(__xludf.DUMMYFUNCTION("""COMPUTED_VALUE"""),4094106.0)</f>
        <v>4094106</v>
      </c>
      <c r="C2152" s="65" t="str">
        <f>IFERROR(__xludf.DUMMYFUNCTION("""COMPUTED_VALUE"""),"12:25")</f>
        <v>12:25</v>
      </c>
      <c r="D2152" s="65" t="str">
        <f>IFERROR(__xludf.DUMMYFUNCTION("""COMPUTED_VALUE"""),"10-01-2026")</f>
        <v>10-01-2026</v>
      </c>
      <c r="E2152" s="65" t="str">
        <f>IFERROR(__xludf.DUMMYFUNCTION("""COMPUTED_VALUE"""),"Washington Granda")</f>
        <v>Washington Granda</v>
      </c>
      <c r="F2152" s="65" t="str">
        <f>IFERROR(__xludf.DUMMYFUNCTION("""COMPUTED_VALUE"""),"981516320")</f>
        <v>981516320</v>
      </c>
      <c r="G2152" s="65" t="str">
        <f>IFERROR(__xludf.DUMMYFUNCTION("""COMPUTED_VALUE"""),"viniciog74@hotmail.com")</f>
        <v>viniciog74@hotmail.com</v>
      </c>
      <c r="H2152" s="65"/>
      <c r="I2152" s="65"/>
      <c r="J2152" s="65" t="str">
        <f>IFERROR(__xludf.DUMMYFUNCTION("""COMPUTED_VALUE"""),"D001216238")</f>
        <v>D001216238</v>
      </c>
      <c r="K2152" s="65" t="str">
        <f>IFERROR(__xludf.DUMMYFUNCTION("""COMPUTED_VALUE"""),"ENTREGADO")</f>
        <v>ENTREGADO</v>
      </c>
      <c r="L2152" s="65" t="str">
        <f>IFERROR(__xludf.DUMMYFUNCTION("""COMPUTED_VALUE"""),"CON RECAUDO")</f>
        <v>CON RECAUDO</v>
      </c>
      <c r="M2152" s="65" t="str">
        <f>IFERROR(__xludf.DUMMYFUNCTION("""COMPUTED_VALUE"""),"SUCUMBIOS")</f>
        <v>SUCUMBIOS</v>
      </c>
      <c r="N2152" s="65" t="str">
        <f>IFERROR(__xludf.DUMMYFUNCTION("""COMPUTED_VALUE"""),"LAGO AGRIO")</f>
        <v>LAGO AGRIO</v>
      </c>
      <c r="O2152" s="65" t="str">
        <f>IFERROR(__xludf.DUMMYFUNCTION("""COMPUTED_VALUE"""),"Sector Lago Agrio - Vía a Quito Km 6,5 y Barrio Jaime Hurtado. Ref. Pasando la cancha de cemento 5 cuadras mano derecha casa esquinera.")</f>
        <v>Sector Lago Agrio - Vía a Quito Km 6,5 y Barrio Jaime Hurtado. Ref. Pasando la cancha de cemento 5 cuadras mano derecha casa esquinera.</v>
      </c>
      <c r="P2152" s="65" t="str">
        <f>IFERROR(__xludf.DUMMYFUNCTION("""COMPUTED_VALUE"""),"Por favor llamar al 0981516320 para la entrega, gracias.")</f>
        <v>Por favor llamar al 0981516320 para la entrega, gracias.</v>
      </c>
      <c r="Q2152" s="65" t="str">
        <f>IFERROR(__xludf.DUMMYFUNCTION("""COMPUTED_VALUE"""),"GINTRACOM")</f>
        <v>GINTRACOM</v>
      </c>
      <c r="R2152" s="65">
        <f>IFERROR(__xludf.DUMMYFUNCTION("""COMPUTED_VALUE"""),22.0)</f>
        <v>22</v>
      </c>
      <c r="S2152" s="65">
        <f>IFERROR(__xludf.DUMMYFUNCTION("""COMPUTED_VALUE"""),10.96)</f>
        <v>10.96</v>
      </c>
      <c r="T2152" s="65">
        <f>IFERROR(__xludf.DUMMYFUNCTION("""COMPUTED_VALUE"""),5.84)</f>
        <v>5.84</v>
      </c>
      <c r="U2152" s="65">
        <f>IFERROR(__xludf.DUMMYFUNCTION("""COMPUTED_VALUE"""),0.0)</f>
        <v>0</v>
      </c>
      <c r="V2152" s="65">
        <f>IFERROR(__xludf.DUMMYFUNCTION("""COMPUTED_VALUE"""),0.0)</f>
        <v>0</v>
      </c>
      <c r="W2152" s="65">
        <f>IFERROR(__xludf.DUMMYFUNCTION("""COMPUTED_VALUE"""),0.0)</f>
        <v>0</v>
      </c>
      <c r="X2152" s="65">
        <f>IFERROR(__xludf.DUMMYFUNCTION("""COMPUTED_VALUE"""),2.6)</f>
        <v>2.6</v>
      </c>
      <c r="Y2152" s="65">
        <f>IFERROR(__xludf.DUMMYFUNCTION("""COMPUTED_VALUE"""),5.2)</f>
        <v>5.2</v>
      </c>
      <c r="Z2152" s="65">
        <f>IFERROR(__xludf.DUMMYFUNCTION("""COMPUTED_VALUE"""),121983.0)</f>
        <v>121983</v>
      </c>
      <c r="AA2152" s="65" t="str">
        <f>IFERROR(__xludf.DUMMYFUNCTION("""COMPUTED_VALUE"""),"PROV-CHLLCF")</f>
        <v>PROV-CHLLCF</v>
      </c>
      <c r="AB2152" s="65"/>
      <c r="AC2152" s="65" t="str">
        <f>IFERROR(__xludf.DUMMYFUNCTION("""COMPUTED_VALUE"""),"CUCHILLO PARA CHEF")</f>
        <v>CUCHILLO PARA CHEF</v>
      </c>
      <c r="AD2152" s="65"/>
      <c r="AE2152" s="65">
        <f>IFERROR(__xludf.DUMMYFUNCTION("""COMPUTED_VALUE"""),2.0)</f>
        <v>2</v>
      </c>
      <c r="AF2152" s="65"/>
      <c r="AG2152" s="65"/>
      <c r="AH2152" s="65"/>
      <c r="AI2152" s="65"/>
      <c r="AJ2152" s="65"/>
      <c r="AK2152" s="65"/>
      <c r="AL2152" s="65"/>
      <c r="AM2152" s="65"/>
      <c r="AN2152" s="65" t="str">
        <f>IFERROR(__xludf.DUMMYFUNCTION("""COMPUTED_VALUE"""),"16:55")</f>
        <v>16:55</v>
      </c>
      <c r="AO2152" s="65" t="str">
        <f>IFERROR(__xludf.DUMMYFUNCTION("""COMPUTED_VALUE"""),"15-01-2026")</f>
        <v>15-01-2026</v>
      </c>
      <c r="AP2152" s="65" t="str">
        <f>IFERROR(__xludf.DUMMYFUNCTION("""COMPUTED_VALUE"""),"ENTREGADA GINTRACOM")</f>
        <v>ENTREGADA GINTRACOM</v>
      </c>
      <c r="AQ2152" s="65" t="str">
        <f>IFERROR(__xludf.DUMMYFUNCTION("""COMPUTED_VALUE"""),"ENTREGADA GINTRACOM")</f>
        <v>ENTREGADA GINTRACOM</v>
      </c>
      <c r="AR2152" s="65"/>
      <c r="AS2152" s="65"/>
      <c r="AT2152" s="65" t="str">
        <f>IFERROR(__xludf.DUMMYFUNCTION("""COMPUTED_VALUE"""),"SHOPIFY")</f>
        <v>SHOPIFY</v>
      </c>
      <c r="AU2152" s="65" t="str">
        <f>IFERROR(__xludf.DUMMYFUNCTION("""COMPUTED_VALUE"""),"IMPORTEX EC")</f>
        <v>IMPORTEX EC</v>
      </c>
      <c r="AV2152" s="65" t="str">
        <f>IFERROR(__xludf.DUMMYFUNCTION("""COMPUTED_VALUE"""),"6404007493676")</f>
        <v>6404007493676</v>
      </c>
      <c r="AW2152" s="65">
        <f>IFERROR(__xludf.DUMMYFUNCTION("""COMPUTED_VALUE"""),4810.0)</f>
        <v>4810</v>
      </c>
      <c r="AX2152" s="65"/>
      <c r="AY2152" s="65" t="str">
        <f>IFERROR(__xludf.DUMMYFUNCTION("""COMPUTED_VALUE"""),"12/01/2026")</f>
        <v>12/01/2026</v>
      </c>
      <c r="AZ2152" s="65"/>
      <c r="BA2152" s="65"/>
    </row>
    <row r="2153">
      <c r="A2153" s="65" t="str">
        <f>IFERROR(__xludf.DUMMYFUNCTION("""COMPUTED_VALUE"""),"27-03-2026")</f>
        <v>27-03-2026</v>
      </c>
      <c r="B2153" s="65">
        <f>IFERROR(__xludf.DUMMYFUNCTION("""COMPUTED_VALUE"""),4094043.0)</f>
        <v>4094043</v>
      </c>
      <c r="C2153" s="65" t="str">
        <f>IFERROR(__xludf.DUMMYFUNCTION("""COMPUTED_VALUE"""),"12:18")</f>
        <v>12:18</v>
      </c>
      <c r="D2153" s="65" t="str">
        <f>IFERROR(__xludf.DUMMYFUNCTION("""COMPUTED_VALUE"""),"10-01-2026")</f>
        <v>10-01-2026</v>
      </c>
      <c r="E2153" s="65" t="str">
        <f>IFERROR(__xludf.DUMMYFUNCTION("""COMPUTED_VALUE"""),"Luis Paredes Cruz")</f>
        <v>Luis Paredes Cruz</v>
      </c>
      <c r="F2153" s="65" t="str">
        <f>IFERROR(__xludf.DUMMYFUNCTION("""COMPUTED_VALUE"""),"993977409")</f>
        <v>993977409</v>
      </c>
      <c r="G2153" s="65" t="str">
        <f>IFERROR(__xludf.DUMMYFUNCTION("""COMPUTED_VALUE"""),"luisparedescruz@yahoo.com")</f>
        <v>luisparedescruz@yahoo.com</v>
      </c>
      <c r="H2153" s="65"/>
      <c r="I2153" s="65"/>
      <c r="J2153" s="65" t="str">
        <f>IFERROR(__xludf.DUMMYFUNCTION("""COMPUTED_VALUE"""),"186959597")</f>
        <v>186959597</v>
      </c>
      <c r="K2153" s="65" t="str">
        <f>IFERROR(__xludf.DUMMYFUNCTION("""COMPUTED_VALUE"""),"ENTREGADO")</f>
        <v>ENTREGADO</v>
      </c>
      <c r="L2153" s="65" t="str">
        <f>IFERROR(__xludf.DUMMYFUNCTION("""COMPUTED_VALUE"""),"CON RECAUDO")</f>
        <v>CON RECAUDO</v>
      </c>
      <c r="M2153" s="65" t="str">
        <f>IFERROR(__xludf.DUMMYFUNCTION("""COMPUTED_VALUE"""),"EL ORO")</f>
        <v>EL ORO</v>
      </c>
      <c r="N2153" s="65" t="str">
        <f>IFERROR(__xludf.DUMMYFUNCTION("""COMPUTED_VALUE"""),"ZARUMA")</f>
        <v>ZARUMA</v>
      </c>
      <c r="O2153" s="65" t="str">
        <f>IFERROR(__xludf.DUMMYFUNCTION("""COMPUTED_VALUE"""),"Urbanización Vizcaya - Calle Boanerges Pereira y Calle 8 de Diciembre - Ref. Farmacia 12H")</f>
        <v>Urbanización Vizcaya - Calle Boanerges Pereira y Calle 8 de Diciembre - Ref. Farmacia 12H</v>
      </c>
      <c r="P2153" s="65"/>
      <c r="Q2153" s="65" t="str">
        <f>IFERROR(__xludf.DUMMYFUNCTION("""COMPUTED_VALUE"""),"SERVIENTREGA")</f>
        <v>SERVIENTREGA</v>
      </c>
      <c r="R2153" s="65">
        <f>IFERROR(__xludf.DUMMYFUNCTION("""COMPUTED_VALUE"""),25.0)</f>
        <v>25</v>
      </c>
      <c r="S2153" s="65">
        <f>IFERROR(__xludf.DUMMYFUNCTION("""COMPUTED_VALUE"""),11.67)</f>
        <v>11.67</v>
      </c>
      <c r="T2153" s="65">
        <f>IFERROR(__xludf.DUMMYFUNCTION("""COMPUTED_VALUE"""),7.75)</f>
        <v>7.75</v>
      </c>
      <c r="U2153" s="65">
        <f>IFERROR(__xludf.DUMMYFUNCTION("""COMPUTED_VALUE"""),0.0)</f>
        <v>0</v>
      </c>
      <c r="V2153" s="65">
        <f>IFERROR(__xludf.DUMMYFUNCTION("""COMPUTED_VALUE"""),0.0)</f>
        <v>0</v>
      </c>
      <c r="W2153" s="65">
        <f>IFERROR(__xludf.DUMMYFUNCTION("""COMPUTED_VALUE"""),0.0)</f>
        <v>0</v>
      </c>
      <c r="X2153" s="65">
        <f>IFERROR(__xludf.DUMMYFUNCTION("""COMPUTED_VALUE"""),2.79)</f>
        <v>2.79</v>
      </c>
      <c r="Y2153" s="65">
        <f>IFERROR(__xludf.DUMMYFUNCTION("""COMPUTED_VALUE"""),5.58)</f>
        <v>5.58</v>
      </c>
      <c r="Z2153" s="65">
        <f>IFERROR(__xludf.DUMMYFUNCTION("""COMPUTED_VALUE"""),120732.0)</f>
        <v>120732</v>
      </c>
      <c r="AA2153" s="65" t="str">
        <f>IFERROR(__xludf.DUMMYFUNCTION("""COMPUTED_VALUE"""),"PROV-LMPVT")</f>
        <v>PROV-LMPVT</v>
      </c>
      <c r="AB2153" s="65"/>
      <c r="AC2153" s="65" t="str">
        <f>IFERROR(__xludf.DUMMYFUNCTION("""COMPUTED_VALUE"""),"LIMPIADOR DE PARABRISAS Y VENTANAS")</f>
        <v>LIMPIADOR DE PARABRISAS Y VENTANAS</v>
      </c>
      <c r="AD2153" s="65"/>
      <c r="AE2153" s="65">
        <f>IFERROR(__xludf.DUMMYFUNCTION("""COMPUTED_VALUE"""),2.0)</f>
        <v>2</v>
      </c>
      <c r="AF2153" s="65"/>
      <c r="AG2153" s="65"/>
      <c r="AH2153" s="65"/>
      <c r="AI2153" s="65"/>
      <c r="AJ2153" s="65"/>
      <c r="AK2153" s="65"/>
      <c r="AL2153" s="65"/>
      <c r="AM2153" s="65"/>
      <c r="AN2153" s="65" t="str">
        <f>IFERROR(__xludf.DUMMYFUNCTION("""COMPUTED_VALUE"""),"16:47")</f>
        <v>16:47</v>
      </c>
      <c r="AO2153" s="65" t="str">
        <f>IFERROR(__xludf.DUMMYFUNCTION("""COMPUTED_VALUE"""),"03-02-2026")</f>
        <v>03-02-2026</v>
      </c>
      <c r="AP2153" s="65" t="str">
        <f>IFERROR(__xludf.DUMMYFUNCTION("""COMPUTED_VALUE"""),"ENTREGA DIGITALIZADA EN CENTRO LOGISTICO")</f>
        <v>ENTREGA DIGITALIZADA EN CENTRO LOGISTICO</v>
      </c>
      <c r="AQ2153" s="65" t="str">
        <f>IFERROR(__xludf.DUMMYFUNCTION("""COMPUTED_VALUE"""),"Luis Paredea")</f>
        <v>Luis Paredea</v>
      </c>
      <c r="AR2153" s="65"/>
      <c r="AS2153" s="65"/>
      <c r="AT2153" s="65" t="str">
        <f>IFERROR(__xludf.DUMMYFUNCTION("""COMPUTED_VALUE"""),"SHOPIFY")</f>
        <v>SHOPIFY</v>
      </c>
      <c r="AU2153" s="65" t="str">
        <f>IFERROR(__xludf.DUMMYFUNCTION("""COMPUTED_VALUE"""),"IMPORTEX EC")</f>
        <v>IMPORTEX EC</v>
      </c>
      <c r="AV2153" s="65" t="str">
        <f>IFERROR(__xludf.DUMMYFUNCTION("""COMPUTED_VALUE"""),"6403986685996")</f>
        <v>6403986685996</v>
      </c>
      <c r="AW2153" s="65">
        <f>IFERROR(__xludf.DUMMYFUNCTION("""COMPUTED_VALUE"""),4809.0)</f>
        <v>4809</v>
      </c>
      <c r="AX2153" s="65"/>
      <c r="AY2153" s="65" t="str">
        <f>IFERROR(__xludf.DUMMYFUNCTION("""COMPUTED_VALUE"""),"12/01/2026")</f>
        <v>12/01/2026</v>
      </c>
      <c r="AZ2153" s="65"/>
      <c r="BA2153" s="65"/>
    </row>
    <row r="2154">
      <c r="A2154" s="65" t="str">
        <f>IFERROR(__xludf.DUMMYFUNCTION("""COMPUTED_VALUE"""),"27-03-2026")</f>
        <v>27-03-2026</v>
      </c>
      <c r="B2154" s="65">
        <f>IFERROR(__xludf.DUMMYFUNCTION("""COMPUTED_VALUE"""),4093954.0)</f>
        <v>4093954</v>
      </c>
      <c r="C2154" s="65" t="str">
        <f>IFERROR(__xludf.DUMMYFUNCTION("""COMPUTED_VALUE"""),"12:09")</f>
        <v>12:09</v>
      </c>
      <c r="D2154" s="65" t="str">
        <f>IFERROR(__xludf.DUMMYFUNCTION("""COMPUTED_VALUE"""),"10-01-2026")</f>
        <v>10-01-2026</v>
      </c>
      <c r="E2154" s="65" t="str">
        <f>IFERROR(__xludf.DUMMYFUNCTION("""COMPUTED_VALUE"""),"Jenny Romero")</f>
        <v>Jenny Romero</v>
      </c>
      <c r="F2154" s="65" t="str">
        <f>IFERROR(__xludf.DUMMYFUNCTION("""COMPUTED_VALUE"""),"992974855")</f>
        <v>992974855</v>
      </c>
      <c r="G2154" s="65"/>
      <c r="H2154" s="65"/>
      <c r="I2154" s="65"/>
      <c r="J2154" s="65" t="str">
        <f>IFERROR(__xludf.DUMMYFUNCTION("""COMPUTED_VALUE"""),"D001223254")</f>
        <v>D001223254</v>
      </c>
      <c r="K2154" s="65" t="str">
        <f>IFERROR(__xludf.DUMMYFUNCTION("""COMPUTED_VALUE"""),"ENTREGADO")</f>
        <v>ENTREGADO</v>
      </c>
      <c r="L2154" s="65" t="str">
        <f>IFERROR(__xludf.DUMMYFUNCTION("""COMPUTED_VALUE"""),"CON RECAUDO")</f>
        <v>CON RECAUDO</v>
      </c>
      <c r="M2154" s="65" t="str">
        <f>IFERROR(__xludf.DUMMYFUNCTION("""COMPUTED_VALUE"""),"PICHINCHA")</f>
        <v>PICHINCHA</v>
      </c>
      <c r="N2154" s="65" t="str">
        <f>IFERROR(__xludf.DUMMYFUNCTION("""COMPUTED_VALUE"""),"QUITO")</f>
        <v>QUITO</v>
      </c>
      <c r="O2154" s="65" t="str">
        <f>IFERROR(__xludf.DUMMYFUNCTION("""COMPUTED_VALUE"""),"Av. 6 de Diciembre Edificio Atelier El Batan diagonal a Unidad Educativa Benalcazar -")</f>
        <v>Av. 6 de Diciembre Edificio Atelier El Batan diagonal a Unidad Educativa Benalcazar -</v>
      </c>
      <c r="P2154" s="65"/>
      <c r="Q2154" s="65" t="str">
        <f>IFERROR(__xludf.DUMMYFUNCTION("""COMPUTED_VALUE"""),"GINTRACOM")</f>
        <v>GINTRACOM</v>
      </c>
      <c r="R2154" s="65">
        <f>IFERROR(__xludf.DUMMYFUNCTION("""COMPUTED_VALUE"""),22.0)</f>
        <v>22</v>
      </c>
      <c r="S2154" s="65">
        <f>IFERROR(__xludf.DUMMYFUNCTION("""COMPUTED_VALUE"""),10.96)</f>
        <v>10.96</v>
      </c>
      <c r="T2154" s="65">
        <f>IFERROR(__xludf.DUMMYFUNCTION("""COMPUTED_VALUE"""),5.84)</f>
        <v>5.84</v>
      </c>
      <c r="U2154" s="65">
        <f>IFERROR(__xludf.DUMMYFUNCTION("""COMPUTED_VALUE"""),0.0)</f>
        <v>0</v>
      </c>
      <c r="V2154" s="65">
        <f>IFERROR(__xludf.DUMMYFUNCTION("""COMPUTED_VALUE"""),0.0)</f>
        <v>0</v>
      </c>
      <c r="W2154" s="65">
        <f>IFERROR(__xludf.DUMMYFUNCTION("""COMPUTED_VALUE"""),0.0)</f>
        <v>0</v>
      </c>
      <c r="X2154" s="65">
        <f>IFERROR(__xludf.DUMMYFUNCTION("""COMPUTED_VALUE"""),2.6)</f>
        <v>2.6</v>
      </c>
      <c r="Y2154" s="65">
        <f>IFERROR(__xludf.DUMMYFUNCTION("""COMPUTED_VALUE"""),5.2)</f>
        <v>5.2</v>
      </c>
      <c r="Z2154" s="65">
        <f>IFERROR(__xludf.DUMMYFUNCTION("""COMPUTED_VALUE"""),121983.0)</f>
        <v>121983</v>
      </c>
      <c r="AA2154" s="65" t="str">
        <f>IFERROR(__xludf.DUMMYFUNCTION("""COMPUTED_VALUE"""),"PROV-CHLLCF")</f>
        <v>PROV-CHLLCF</v>
      </c>
      <c r="AB2154" s="65"/>
      <c r="AC2154" s="65" t="str">
        <f>IFERROR(__xludf.DUMMYFUNCTION("""COMPUTED_VALUE"""),"CUCHILLO PARA CHEF")</f>
        <v>CUCHILLO PARA CHEF</v>
      </c>
      <c r="AD2154" s="65"/>
      <c r="AE2154" s="65">
        <f>IFERROR(__xludf.DUMMYFUNCTION("""COMPUTED_VALUE"""),2.0)</f>
        <v>2</v>
      </c>
      <c r="AF2154" s="65"/>
      <c r="AG2154" s="65"/>
      <c r="AH2154" s="65"/>
      <c r="AI2154" s="65"/>
      <c r="AJ2154" s="65"/>
      <c r="AK2154" s="65"/>
      <c r="AL2154" s="65"/>
      <c r="AM2154" s="65"/>
      <c r="AN2154" s="65" t="str">
        <f>IFERROR(__xludf.DUMMYFUNCTION("""COMPUTED_VALUE"""),"14:33")</f>
        <v>14:33</v>
      </c>
      <c r="AO2154" s="65" t="str">
        <f>IFERROR(__xludf.DUMMYFUNCTION("""COMPUTED_VALUE"""),"15-01-2026")</f>
        <v>15-01-2026</v>
      </c>
      <c r="AP2154" s="65" t="str">
        <f>IFERROR(__xludf.DUMMYFUNCTION("""COMPUTED_VALUE"""),"ENTREGADA GINTRACOM")</f>
        <v>ENTREGADA GINTRACOM</v>
      </c>
      <c r="AQ2154" s="65" t="str">
        <f>IFERROR(__xludf.DUMMYFUNCTION("""COMPUTED_VALUE"""),"ENTREGADA GINTRACOM")</f>
        <v>ENTREGADA GINTRACOM</v>
      </c>
      <c r="AR2154" s="65"/>
      <c r="AS2154" s="65"/>
      <c r="AT2154" s="65" t="str">
        <f>IFERROR(__xludf.DUMMYFUNCTION("""COMPUTED_VALUE"""),"SHOPIFY")</f>
        <v>SHOPIFY</v>
      </c>
      <c r="AU2154" s="65" t="str">
        <f>IFERROR(__xludf.DUMMYFUNCTION("""COMPUTED_VALUE"""),"IMPORTEX EC")</f>
        <v>IMPORTEX EC</v>
      </c>
      <c r="AV2154" s="65" t="str">
        <f>IFERROR(__xludf.DUMMYFUNCTION("""COMPUTED_VALUE"""),"6403961454636")</f>
        <v>6403961454636</v>
      </c>
      <c r="AW2154" s="65">
        <f>IFERROR(__xludf.DUMMYFUNCTION("""COMPUTED_VALUE"""),4808.0)</f>
        <v>4808</v>
      </c>
      <c r="AX2154" s="65"/>
      <c r="AY2154" s="65" t="str">
        <f>IFERROR(__xludf.DUMMYFUNCTION("""COMPUTED_VALUE"""),"14/01/2026")</f>
        <v>14/01/2026</v>
      </c>
      <c r="AZ2154" s="65"/>
      <c r="BA2154" s="65"/>
    </row>
    <row r="2155">
      <c r="A2155" s="65" t="str">
        <f>IFERROR(__xludf.DUMMYFUNCTION("""COMPUTED_VALUE"""),"27-03-2026")</f>
        <v>27-03-2026</v>
      </c>
      <c r="B2155" s="65">
        <f>IFERROR(__xludf.DUMMYFUNCTION("""COMPUTED_VALUE"""),4093677.0)</f>
        <v>4093677</v>
      </c>
      <c r="C2155" s="65" t="str">
        <f>IFERROR(__xludf.DUMMYFUNCTION("""COMPUTED_VALUE"""),"11:44")</f>
        <v>11:44</v>
      </c>
      <c r="D2155" s="65" t="str">
        <f>IFERROR(__xludf.DUMMYFUNCTION("""COMPUTED_VALUE"""),"10-01-2026")</f>
        <v>10-01-2026</v>
      </c>
      <c r="E2155" s="65" t="str">
        <f>IFERROR(__xludf.DUMMYFUNCTION("""COMPUTED_VALUE"""),"Jorge Eladio Mina Balarezo")</f>
        <v>Jorge Eladio Mina Balarezo</v>
      </c>
      <c r="F2155" s="65" t="str">
        <f>IFERROR(__xludf.DUMMYFUNCTION("""COMPUTED_VALUE"""),"984859911")</f>
        <v>984859911</v>
      </c>
      <c r="G2155" s="65" t="str">
        <f>IFERROR(__xludf.DUMMYFUNCTION("""COMPUTED_VALUE"""),"jorge35mina@gmail.com")</f>
        <v>jorge35mina@gmail.com</v>
      </c>
      <c r="H2155" s="65"/>
      <c r="I2155" s="65"/>
      <c r="J2155" s="65" t="str">
        <f>IFERROR(__xludf.DUMMYFUNCTION("""COMPUTED_VALUE"""),"D001215559")</f>
        <v>D001215559</v>
      </c>
      <c r="K2155" s="65" t="str">
        <f>IFERROR(__xludf.DUMMYFUNCTION("""COMPUTED_VALUE"""),"ENTREGADO")</f>
        <v>ENTREGADO</v>
      </c>
      <c r="L2155" s="65" t="str">
        <f>IFERROR(__xludf.DUMMYFUNCTION("""COMPUTED_VALUE"""),"CON RECAUDO")</f>
        <v>CON RECAUDO</v>
      </c>
      <c r="M2155" s="65" t="str">
        <f>IFERROR(__xludf.DUMMYFUNCTION("""COMPUTED_VALUE"""),"PICHINCHA")</f>
        <v>PICHINCHA</v>
      </c>
      <c r="N2155" s="65" t="str">
        <f>IFERROR(__xludf.DUMMYFUNCTION("""COMPUTED_VALUE"""),"CALDERON")</f>
        <v>CALDERON</v>
      </c>
      <c r="O2155" s="65" t="str">
        <f>IFERROR(__xludf.DUMMYFUNCTION("""COMPUTED_VALUE"""),"Sector Marianas (Calderón) - Calle Virgen de Monserrat y Calle Efraín Armas  - Conjunto Santa Marianita")</f>
        <v>Sector Marianas (Calderón) - Calle Virgen de Monserrat y Calle Efraín Armas  - Conjunto Santa Marianita</v>
      </c>
      <c r="P2155" s="65"/>
      <c r="Q2155" s="65" t="str">
        <f>IFERROR(__xludf.DUMMYFUNCTION("""COMPUTED_VALUE"""),"GINTRACOM")</f>
        <v>GINTRACOM</v>
      </c>
      <c r="R2155" s="65">
        <f>IFERROR(__xludf.DUMMYFUNCTION("""COMPUTED_VALUE"""),27.0)</f>
        <v>27</v>
      </c>
      <c r="S2155" s="65">
        <f>IFERROR(__xludf.DUMMYFUNCTION("""COMPUTED_VALUE"""),13.17)</f>
        <v>13.17</v>
      </c>
      <c r="T2155" s="65">
        <f>IFERROR(__xludf.DUMMYFUNCTION("""COMPUTED_VALUE"""),6.03)</f>
        <v>6.03</v>
      </c>
      <c r="U2155" s="65">
        <f>IFERROR(__xludf.DUMMYFUNCTION("""COMPUTED_VALUE"""),0.0)</f>
        <v>0</v>
      </c>
      <c r="V2155" s="65">
        <f>IFERROR(__xludf.DUMMYFUNCTION("""COMPUTED_VALUE"""),0.0)</f>
        <v>0</v>
      </c>
      <c r="W2155" s="65">
        <f>IFERROR(__xludf.DUMMYFUNCTION("""COMPUTED_VALUE"""),0.0)</f>
        <v>0</v>
      </c>
      <c r="X2155" s="65">
        <f>IFERROR(__xludf.DUMMYFUNCTION("""COMPUTED_VALUE"""),2.6)</f>
        <v>2.6</v>
      </c>
      <c r="Y2155" s="65">
        <f>IFERROR(__xludf.DUMMYFUNCTION("""COMPUTED_VALUE"""),7.8)</f>
        <v>7.8</v>
      </c>
      <c r="Z2155" s="65">
        <f>IFERROR(__xludf.DUMMYFUNCTION("""COMPUTED_VALUE"""),121983.0)</f>
        <v>121983</v>
      </c>
      <c r="AA2155" s="65" t="str">
        <f>IFERROR(__xludf.DUMMYFUNCTION("""COMPUTED_VALUE"""),"PROV-CHLLCF")</f>
        <v>PROV-CHLLCF</v>
      </c>
      <c r="AB2155" s="65"/>
      <c r="AC2155" s="65" t="str">
        <f>IFERROR(__xludf.DUMMYFUNCTION("""COMPUTED_VALUE"""),"CUCHILLO PARA CHEF")</f>
        <v>CUCHILLO PARA CHEF</v>
      </c>
      <c r="AD2155" s="65"/>
      <c r="AE2155" s="65">
        <f>IFERROR(__xludf.DUMMYFUNCTION("""COMPUTED_VALUE"""),3.0)</f>
        <v>3</v>
      </c>
      <c r="AF2155" s="65" t="str">
        <f>IFERROR(__xludf.DUMMYFUNCTION("""COMPUTED_VALUE"""),"DESTINATARIO NO SE ENCUENTRA EN LUGAR DE ENTREGA.")</f>
        <v>DESTINATARIO NO SE ENCUENTRA EN LUGAR DE ENTREGA.</v>
      </c>
      <c r="AG2155" s="65" t="str">
        <f>IFERROR(__xludf.DUMMYFUNCTION("""COMPUTED_VALUE"""),"SI")</f>
        <v>SI</v>
      </c>
      <c r="AH2155" s="65" t="str">
        <f>IFERROR(__xludf.DUMMYFUNCTION("""COMPUTED_VALUE"""),"16:44")</f>
        <v>16:44</v>
      </c>
      <c r="AI2155" s="65" t="str">
        <f>IFERROR(__xludf.DUMMYFUNCTION("""COMPUTED_VALUE"""),"13-01-2026")</f>
        <v>13-01-2026</v>
      </c>
      <c r="AJ2155" s="65" t="str">
        <f>IFERROR(__xludf.DUMMYFUNCTION("""COMPUTED_VALUE"""),"Sera posible entregar los dias sábados")</f>
        <v>Sera posible entregar los dias sábados</v>
      </c>
      <c r="AK2155" s="65" t="str">
        <f>IFERROR(__xludf.DUMMYFUNCTION("""COMPUTED_VALUE"""),"17:50")</f>
        <v>17:50</v>
      </c>
      <c r="AL2155" s="65" t="str">
        <f>IFERROR(__xludf.DUMMYFUNCTION("""COMPUTED_VALUE"""),"14-01-2026")</f>
        <v>14-01-2026</v>
      </c>
      <c r="AM2155" s="65"/>
      <c r="AN2155" s="65" t="str">
        <f>IFERROR(__xludf.DUMMYFUNCTION("""COMPUTED_VALUE"""),"15:32")</f>
        <v>15:32</v>
      </c>
      <c r="AO2155" s="65" t="str">
        <f>IFERROR(__xludf.DUMMYFUNCTION("""COMPUTED_VALUE"""),"15-01-2026")</f>
        <v>15-01-2026</v>
      </c>
      <c r="AP2155" s="65" t="str">
        <f>IFERROR(__xludf.DUMMYFUNCTION("""COMPUTED_VALUE"""),"ENTREGADA GINTRACOM")</f>
        <v>ENTREGADA GINTRACOM</v>
      </c>
      <c r="AQ2155" s="65" t="str">
        <f>IFERROR(__xludf.DUMMYFUNCTION("""COMPUTED_VALUE"""),"ENTREGADA GINTRACOM")</f>
        <v>ENTREGADA GINTRACOM</v>
      </c>
      <c r="AR2155" s="65"/>
      <c r="AS2155" s="65"/>
      <c r="AT2155" s="65" t="str">
        <f>IFERROR(__xludf.DUMMYFUNCTION("""COMPUTED_VALUE"""),"SHOPIFY")</f>
        <v>SHOPIFY</v>
      </c>
      <c r="AU2155" s="65" t="str">
        <f>IFERROR(__xludf.DUMMYFUNCTION("""COMPUTED_VALUE"""),"IMPORTEX EC")</f>
        <v>IMPORTEX EC</v>
      </c>
      <c r="AV2155" s="65" t="str">
        <f>IFERROR(__xludf.DUMMYFUNCTION("""COMPUTED_VALUE"""),"6403896541228")</f>
        <v>6403896541228</v>
      </c>
      <c r="AW2155" s="65">
        <f>IFERROR(__xludf.DUMMYFUNCTION("""COMPUTED_VALUE"""),4807.0)</f>
        <v>4807</v>
      </c>
      <c r="AX2155" s="65"/>
      <c r="AY2155" s="65" t="str">
        <f>IFERROR(__xludf.DUMMYFUNCTION("""COMPUTED_VALUE"""),"12/01/2026")</f>
        <v>12/01/2026</v>
      </c>
      <c r="AZ2155" s="65"/>
      <c r="BA2155" s="65"/>
    </row>
    <row r="2156">
      <c r="A2156" s="65" t="str">
        <f>IFERROR(__xludf.DUMMYFUNCTION("""COMPUTED_VALUE"""),"27-03-2026")</f>
        <v>27-03-2026</v>
      </c>
      <c r="B2156" s="65">
        <f>IFERROR(__xludf.DUMMYFUNCTION("""COMPUTED_VALUE"""),4093646.0)</f>
        <v>4093646</v>
      </c>
      <c r="C2156" s="65" t="str">
        <f>IFERROR(__xludf.DUMMYFUNCTION("""COMPUTED_VALUE"""),"11:42")</f>
        <v>11:42</v>
      </c>
      <c r="D2156" s="65" t="str">
        <f>IFERROR(__xludf.DUMMYFUNCTION("""COMPUTED_VALUE"""),"10-01-2026")</f>
        <v>10-01-2026</v>
      </c>
      <c r="E2156" s="65" t="str">
        <f>IFERROR(__xludf.DUMMYFUNCTION("""COMPUTED_VALUE"""),"diego rueda")</f>
        <v>diego rueda</v>
      </c>
      <c r="F2156" s="65" t="str">
        <f>IFERROR(__xludf.DUMMYFUNCTION("""COMPUTED_VALUE"""),"995236877")</f>
        <v>995236877</v>
      </c>
      <c r="G2156" s="65" t="str">
        <f>IFERROR(__xludf.DUMMYFUNCTION("""COMPUTED_VALUE"""),"2boca2ec@gmail.com")</f>
        <v>2boca2ec@gmail.com</v>
      </c>
      <c r="H2156" s="65"/>
      <c r="I2156" s="65"/>
      <c r="J2156" s="65"/>
      <c r="K2156" s="65" t="str">
        <f>IFERROR(__xludf.DUMMYFUNCTION("""COMPUTED_VALUE"""),"CANCELADO")</f>
        <v>CANCELADO</v>
      </c>
      <c r="L2156" s="65" t="str">
        <f>IFERROR(__xludf.DUMMYFUNCTION("""COMPUTED_VALUE"""),"CON RECAUDO")</f>
        <v>CON RECAUDO</v>
      </c>
      <c r="M2156" s="65" t="str">
        <f>IFERROR(__xludf.DUMMYFUNCTION("""COMPUTED_VALUE"""),"PICHINCHA")</f>
        <v>PICHINCHA</v>
      </c>
      <c r="N2156" s="65" t="str">
        <f>IFERROR(__xludf.DUMMYFUNCTION("""COMPUTED_VALUE"""),"QUITO")</f>
        <v>QUITO</v>
      </c>
      <c r="O2156" s="65" t="str">
        <f>IFERROR(__xludf.DUMMYFUNCTION("""COMPUTED_VALUE"""),"Río pita S4-543 y pasaje San Juan Sector playa chica 1 por urgentito -")</f>
        <v>Río pita S4-543 y pasaje San Juan Sector playa chica 1 por urgentito -</v>
      </c>
      <c r="P2156" s="65"/>
      <c r="Q2156" s="65" t="str">
        <f>IFERROR(__xludf.DUMMYFUNCTION("""COMPUTED_VALUE"""),"GINTRACOM")</f>
        <v>GINTRACOM</v>
      </c>
      <c r="R2156" s="65">
        <f>IFERROR(__xludf.DUMMYFUNCTION("""COMPUTED_VALUE"""),32.0)</f>
        <v>32</v>
      </c>
      <c r="S2156" s="65"/>
      <c r="T2156" s="65">
        <f>IFERROR(__xludf.DUMMYFUNCTION("""COMPUTED_VALUE"""),6.24)</f>
        <v>6.24</v>
      </c>
      <c r="U2156" s="65">
        <f>IFERROR(__xludf.DUMMYFUNCTION("""COMPUTED_VALUE"""),0.0)</f>
        <v>0</v>
      </c>
      <c r="V2156" s="65">
        <f>IFERROR(__xludf.DUMMYFUNCTION("""COMPUTED_VALUE"""),0.0)</f>
        <v>0</v>
      </c>
      <c r="W2156" s="65">
        <f>IFERROR(__xludf.DUMMYFUNCTION("""COMPUTED_VALUE"""),0.0)</f>
        <v>0</v>
      </c>
      <c r="X2156" s="65">
        <f>IFERROR(__xludf.DUMMYFUNCTION("""COMPUTED_VALUE"""),2.6)</f>
        <v>2.6</v>
      </c>
      <c r="Y2156" s="65">
        <f>IFERROR(__xludf.DUMMYFUNCTION("""COMPUTED_VALUE"""),10.4)</f>
        <v>10.4</v>
      </c>
      <c r="Z2156" s="65">
        <f>IFERROR(__xludf.DUMMYFUNCTION("""COMPUTED_VALUE"""),121983.0)</f>
        <v>121983</v>
      </c>
      <c r="AA2156" s="65" t="str">
        <f>IFERROR(__xludf.DUMMYFUNCTION("""COMPUTED_VALUE"""),"PROV-CHLLCF")</f>
        <v>PROV-CHLLCF</v>
      </c>
      <c r="AB2156" s="65"/>
      <c r="AC2156" s="65" t="str">
        <f>IFERROR(__xludf.DUMMYFUNCTION("""COMPUTED_VALUE"""),"CUCHILLO PARA CHEF")</f>
        <v>CUCHILLO PARA CHEF</v>
      </c>
      <c r="AD2156" s="65"/>
      <c r="AE2156" s="65">
        <f>IFERROR(__xludf.DUMMYFUNCTION("""COMPUTED_VALUE"""),4.0)</f>
        <v>4</v>
      </c>
      <c r="AF2156" s="65"/>
      <c r="AG2156" s="65"/>
      <c r="AH2156" s="65"/>
      <c r="AI2156" s="65"/>
      <c r="AJ2156" s="65"/>
      <c r="AK2156" s="65"/>
      <c r="AL2156" s="65"/>
      <c r="AM2156" s="65"/>
      <c r="AN2156" s="65"/>
      <c r="AO2156" s="65"/>
      <c r="AP2156" s="65"/>
      <c r="AQ2156" s="65"/>
      <c r="AR2156" s="65"/>
      <c r="AS2156" s="65"/>
      <c r="AT2156" s="65" t="str">
        <f>IFERROR(__xludf.DUMMYFUNCTION("""COMPUTED_VALUE"""),"SHOPIFY")</f>
        <v>SHOPIFY</v>
      </c>
      <c r="AU2156" s="65" t="str">
        <f>IFERROR(__xludf.DUMMYFUNCTION("""COMPUTED_VALUE"""),"IMPORTEX EC")</f>
        <v>IMPORTEX EC</v>
      </c>
      <c r="AV2156" s="65" t="str">
        <f>IFERROR(__xludf.DUMMYFUNCTION("""COMPUTED_VALUE"""),"6403887562796")</f>
        <v>6403887562796</v>
      </c>
      <c r="AW2156" s="65">
        <f>IFERROR(__xludf.DUMMYFUNCTION("""COMPUTED_VALUE"""),4806.0)</f>
        <v>4806</v>
      </c>
      <c r="AX2156" s="65"/>
      <c r="AY2156" s="65"/>
      <c r="AZ2156" s="65"/>
      <c r="BA2156" s="65"/>
    </row>
    <row r="2157">
      <c r="A2157" s="65" t="str">
        <f>IFERROR(__xludf.DUMMYFUNCTION("""COMPUTED_VALUE"""),"27-03-2026")</f>
        <v>27-03-2026</v>
      </c>
      <c r="B2157" s="65">
        <f>IFERROR(__xludf.DUMMYFUNCTION("""COMPUTED_VALUE"""),4093451.0)</f>
        <v>4093451</v>
      </c>
      <c r="C2157" s="65" t="str">
        <f>IFERROR(__xludf.DUMMYFUNCTION("""COMPUTED_VALUE"""),"11:24")</f>
        <v>11:24</v>
      </c>
      <c r="D2157" s="65" t="str">
        <f>IFERROR(__xludf.DUMMYFUNCTION("""COMPUTED_VALUE"""),"10-01-2026")</f>
        <v>10-01-2026</v>
      </c>
      <c r="E2157" s="65" t="str">
        <f>IFERROR(__xludf.DUMMYFUNCTION("""COMPUTED_VALUE"""),"Samuel Tsuink")</f>
        <v>Samuel Tsuink</v>
      </c>
      <c r="F2157" s="65" t="str">
        <f>IFERROR(__xludf.DUMMYFUNCTION("""COMPUTED_VALUE"""),"969865161")</f>
        <v>969865161</v>
      </c>
      <c r="G2157" s="65" t="str">
        <f>IFERROR(__xludf.DUMMYFUNCTION("""COMPUTED_VALUE"""),"samueltsuink6@gmail.com")</f>
        <v>samueltsuink6@gmail.com</v>
      </c>
      <c r="H2157" s="65"/>
      <c r="I2157" s="65"/>
      <c r="J2157" s="65" t="str">
        <f>IFERROR(__xludf.DUMMYFUNCTION("""COMPUTED_VALUE"""),"186973362")</f>
        <v>186973362</v>
      </c>
      <c r="K2157" s="65" t="str">
        <f>IFERROR(__xludf.DUMMYFUNCTION("""COMPUTED_VALUE"""),"DEVOLUCION")</f>
        <v>DEVOLUCION</v>
      </c>
      <c r="L2157" s="65" t="str">
        <f>IFERROR(__xludf.DUMMYFUNCTION("""COMPUTED_VALUE"""),"CON RECAUDO")</f>
        <v>CON RECAUDO</v>
      </c>
      <c r="M2157" s="65" t="str">
        <f>IFERROR(__xludf.DUMMYFUNCTION("""COMPUTED_VALUE"""),"MORONA SANTIAGO")</f>
        <v>MORONA SANTIAGO</v>
      </c>
      <c r="N2157" s="65" t="str">
        <f>IFERROR(__xludf.DUMMYFUNCTION("""COMPUTED_VALUE"""),"LIMON INDANZA")</f>
        <v>LIMON INDANZA</v>
      </c>
      <c r="O2157" s="65" t="str">
        <f>IFERROR(__xludf.DUMMYFUNCTION("""COMPUTED_VALUE"""),"RETIRA EN CS : LIMON INDANZA_PRINCIPAL , 28 DE MAYO S/N Y AV. DEL EJERCITO")</f>
        <v>RETIRA EN CS : LIMON INDANZA_PRINCIPAL , 28 DE MAYO S/N Y AV. DEL EJERCITO</v>
      </c>
      <c r="P2157" s="65"/>
      <c r="Q2157" s="65" t="str">
        <f>IFERROR(__xludf.DUMMYFUNCTION("""COMPUTED_VALUE"""),"SERVIENTREGA")</f>
        <v>SERVIENTREGA</v>
      </c>
      <c r="R2157" s="65">
        <f>IFERROR(__xludf.DUMMYFUNCTION("""COMPUTED_VALUE"""),22.0)</f>
        <v>22</v>
      </c>
      <c r="S2157" s="65"/>
      <c r="T2157" s="65">
        <f>IFERROR(__xludf.DUMMYFUNCTION("""COMPUTED_VALUE"""),7.7)</f>
        <v>7.7</v>
      </c>
      <c r="U2157" s="65">
        <f>IFERROR(__xludf.DUMMYFUNCTION("""COMPUTED_VALUE"""),0.0)</f>
        <v>0</v>
      </c>
      <c r="V2157" s="65">
        <f>IFERROR(__xludf.DUMMYFUNCTION("""COMPUTED_VALUE"""),0.0)</f>
        <v>0</v>
      </c>
      <c r="W2157" s="65">
        <f>IFERROR(__xludf.DUMMYFUNCTION("""COMPUTED_VALUE"""),0.0)</f>
        <v>0</v>
      </c>
      <c r="X2157" s="65">
        <f>IFERROR(__xludf.DUMMYFUNCTION("""COMPUTED_VALUE"""),2.6)</f>
        <v>2.6</v>
      </c>
      <c r="Y2157" s="65">
        <f>IFERROR(__xludf.DUMMYFUNCTION("""COMPUTED_VALUE"""),5.2)</f>
        <v>5.2</v>
      </c>
      <c r="Z2157" s="65">
        <f>IFERROR(__xludf.DUMMYFUNCTION("""COMPUTED_VALUE"""),121983.0)</f>
        <v>121983</v>
      </c>
      <c r="AA2157" s="65" t="str">
        <f>IFERROR(__xludf.DUMMYFUNCTION("""COMPUTED_VALUE"""),"PROV-CHLLCF")</f>
        <v>PROV-CHLLCF</v>
      </c>
      <c r="AB2157" s="65"/>
      <c r="AC2157" s="65" t="str">
        <f>IFERROR(__xludf.DUMMYFUNCTION("""COMPUTED_VALUE"""),"CUCHILLO PARA CHEF")</f>
        <v>CUCHILLO PARA CHEF</v>
      </c>
      <c r="AD2157" s="65"/>
      <c r="AE2157" s="65">
        <f>IFERROR(__xludf.DUMMYFUNCTION("""COMPUTED_VALUE"""),2.0)</f>
        <v>2</v>
      </c>
      <c r="AF2157" s="65" t="str">
        <f>IFERROR(__xludf.DUMMYFUNCTION("""COMPUTED_VALUE"""),"DEVOLUCION AL REMITENTE")</f>
        <v>DEVOLUCION AL REMITENTE</v>
      </c>
      <c r="AG2157" s="65" t="str">
        <f>IFERROR(__xludf.DUMMYFUNCTION("""COMPUTED_VALUE"""),"NO")</f>
        <v>NO</v>
      </c>
      <c r="AH2157" s="65" t="str">
        <f>IFERROR(__xludf.DUMMYFUNCTION("""COMPUTED_VALUE"""),"15:51")</f>
        <v>15:51</v>
      </c>
      <c r="AI2157" s="65" t="str">
        <f>IFERROR(__xludf.DUMMYFUNCTION("""COMPUTED_VALUE"""),"27-01-2026")</f>
        <v>27-01-2026</v>
      </c>
      <c r="AJ2157" s="65"/>
      <c r="AK2157" s="65"/>
      <c r="AL2157" s="65"/>
      <c r="AM2157" s="65"/>
      <c r="AN2157" s="65" t="str">
        <f>IFERROR(__xludf.DUMMYFUNCTION("""COMPUTED_VALUE"""),"17:12")</f>
        <v>17:12</v>
      </c>
      <c r="AO2157" s="65" t="str">
        <f>IFERROR(__xludf.DUMMYFUNCTION("""COMPUTED_VALUE"""),"29-01-2026")</f>
        <v>29-01-2026</v>
      </c>
      <c r="AP2157" s="65" t="str">
        <f>IFERROR(__xludf.DUMMYFUNCTION("""COMPUTED_VALUE"""),"DEV CONFIRMADA POR BODEGA")</f>
        <v>DEV CONFIRMADA POR BODEGA</v>
      </c>
      <c r="AQ2157" s="65"/>
      <c r="AR2157" s="65" t="str">
        <f>IFERROR(__xludf.DUMMYFUNCTION("""COMPUTED_VALUE"""),"Gestionado por: Moran Daniel, email:danielmorga2005@gmail.com, total de productos en la orden: 1")</f>
        <v>Gestionado por: Moran Daniel, email:danielmorga2005@gmail.com, total de productos en la orden: 1</v>
      </c>
      <c r="AS2157" s="65"/>
      <c r="AT2157" s="65" t="str">
        <f>IFERROR(__xludf.DUMMYFUNCTION("""COMPUTED_VALUE"""),"SHOPIFY")</f>
        <v>SHOPIFY</v>
      </c>
      <c r="AU2157" s="65" t="str">
        <f>IFERROR(__xludf.DUMMYFUNCTION("""COMPUTED_VALUE"""),"IMPORTEX EC")</f>
        <v>IMPORTEX EC</v>
      </c>
      <c r="AV2157" s="65" t="str">
        <f>IFERROR(__xludf.DUMMYFUNCTION("""COMPUTED_VALUE"""),"6403841359916")</f>
        <v>6403841359916</v>
      </c>
      <c r="AW2157" s="65">
        <f>IFERROR(__xludf.DUMMYFUNCTION("""COMPUTED_VALUE"""),4804.0)</f>
        <v>4804</v>
      </c>
      <c r="AX2157" s="65"/>
      <c r="AY2157" s="65" t="str">
        <f>IFERROR(__xludf.DUMMYFUNCTION("""COMPUTED_VALUE"""),"14/01/2026")</f>
        <v>14/01/2026</v>
      </c>
      <c r="AZ2157" s="65"/>
      <c r="BA2157" s="65"/>
    </row>
    <row r="2158">
      <c r="A2158" s="65" t="str">
        <f>IFERROR(__xludf.DUMMYFUNCTION("""COMPUTED_VALUE"""),"27-03-2026")</f>
        <v>27-03-2026</v>
      </c>
      <c r="B2158" s="65">
        <f>IFERROR(__xludf.DUMMYFUNCTION("""COMPUTED_VALUE"""),4093448.0)</f>
        <v>4093448</v>
      </c>
      <c r="C2158" s="65" t="str">
        <f>IFERROR(__xludf.DUMMYFUNCTION("""COMPUTED_VALUE"""),"11:24")</f>
        <v>11:24</v>
      </c>
      <c r="D2158" s="65" t="str">
        <f>IFERROR(__xludf.DUMMYFUNCTION("""COMPUTED_VALUE"""),"10-01-2026")</f>
        <v>10-01-2026</v>
      </c>
      <c r="E2158" s="65" t="str">
        <f>IFERROR(__xludf.DUMMYFUNCTION("""COMPUTED_VALUE"""),"Johnny Mendoza")</f>
        <v>Johnny Mendoza</v>
      </c>
      <c r="F2158" s="65" t="str">
        <f>IFERROR(__xludf.DUMMYFUNCTION("""COMPUTED_VALUE"""),"967447212")</f>
        <v>967447212</v>
      </c>
      <c r="G2158" s="65" t="str">
        <f>IFERROR(__xludf.DUMMYFUNCTION("""COMPUTED_VALUE"""),"jhonnypato@hotmail.es")</f>
        <v>jhonnypato@hotmail.es</v>
      </c>
      <c r="H2158" s="65"/>
      <c r="I2158" s="65"/>
      <c r="J2158" s="65" t="str">
        <f>IFERROR(__xludf.DUMMYFUNCTION("""COMPUTED_VALUE"""),"D001223257")</f>
        <v>D001223257</v>
      </c>
      <c r="K2158" s="65" t="str">
        <f>IFERROR(__xludf.DUMMYFUNCTION("""COMPUTED_VALUE"""),"DEVOLUCION")</f>
        <v>DEVOLUCION</v>
      </c>
      <c r="L2158" s="65" t="str">
        <f>IFERROR(__xludf.DUMMYFUNCTION("""COMPUTED_VALUE"""),"CON RECAUDO")</f>
        <v>CON RECAUDO</v>
      </c>
      <c r="M2158" s="65" t="str">
        <f>IFERROR(__xludf.DUMMYFUNCTION("""COMPUTED_VALUE"""),"MANABI")</f>
        <v>MANABI</v>
      </c>
      <c r="N2158" s="65" t="str">
        <f>IFERROR(__xludf.DUMMYFUNCTION("""COMPUTED_VALUE"""),"PORTOVIEJO")</f>
        <v>PORTOVIEJO</v>
      </c>
      <c r="O2158" s="65" t="str">
        <f>IFERROR(__xludf.DUMMYFUNCTION("""COMPUTED_VALUE"""),"Via a santa ana y calle 30 de agosto El Guabito - Entrando por la calle 30 de agosto unos 150 metros al frente del gyn el chino")</f>
        <v>Via a santa ana y calle 30 de agosto El Guabito - Entrando por la calle 30 de agosto unos 150 metros al frente del gyn el chino</v>
      </c>
      <c r="P2158" s="65"/>
      <c r="Q2158" s="65" t="str">
        <f>IFERROR(__xludf.DUMMYFUNCTION("""COMPUTED_VALUE"""),"GINTRACOM")</f>
        <v>GINTRACOM</v>
      </c>
      <c r="R2158" s="65">
        <f>IFERROR(__xludf.DUMMYFUNCTION("""COMPUTED_VALUE"""),22.0)</f>
        <v>22</v>
      </c>
      <c r="S2158" s="65"/>
      <c r="T2158" s="65">
        <f>IFERROR(__xludf.DUMMYFUNCTION("""COMPUTED_VALUE"""),5.84)</f>
        <v>5.84</v>
      </c>
      <c r="U2158" s="65">
        <f>IFERROR(__xludf.DUMMYFUNCTION("""COMPUTED_VALUE"""),0.0)</f>
        <v>0</v>
      </c>
      <c r="V2158" s="65">
        <f>IFERROR(__xludf.DUMMYFUNCTION("""COMPUTED_VALUE"""),0.0)</f>
        <v>0</v>
      </c>
      <c r="W2158" s="65">
        <f>IFERROR(__xludf.DUMMYFUNCTION("""COMPUTED_VALUE"""),0.0)</f>
        <v>0</v>
      </c>
      <c r="X2158" s="65">
        <f>IFERROR(__xludf.DUMMYFUNCTION("""COMPUTED_VALUE"""),2.6)</f>
        <v>2.6</v>
      </c>
      <c r="Y2158" s="65">
        <f>IFERROR(__xludf.DUMMYFUNCTION("""COMPUTED_VALUE"""),5.2)</f>
        <v>5.2</v>
      </c>
      <c r="Z2158" s="65">
        <f>IFERROR(__xludf.DUMMYFUNCTION("""COMPUTED_VALUE"""),121983.0)</f>
        <v>121983</v>
      </c>
      <c r="AA2158" s="65" t="str">
        <f>IFERROR(__xludf.DUMMYFUNCTION("""COMPUTED_VALUE"""),"PROV-CHLLCF")</f>
        <v>PROV-CHLLCF</v>
      </c>
      <c r="AB2158" s="65"/>
      <c r="AC2158" s="65" t="str">
        <f>IFERROR(__xludf.DUMMYFUNCTION("""COMPUTED_VALUE"""),"CUCHILLO PARA CHEF")</f>
        <v>CUCHILLO PARA CHEF</v>
      </c>
      <c r="AD2158" s="65"/>
      <c r="AE2158" s="65">
        <f>IFERROR(__xludf.DUMMYFUNCTION("""COMPUTED_VALUE"""),2.0)</f>
        <v>2</v>
      </c>
      <c r="AF2158" s="65" t="str">
        <f>IFERROR(__xludf.DUMMYFUNCTION("""COMPUTED_VALUE"""),"DESTINATARIO INDICA QUE ESTÁ INCONFORME CON EL PRODUCTO. (NO RECIBE)")</f>
        <v>DESTINATARIO INDICA QUE ESTÁ INCONFORME CON EL PRODUCTO. (NO RECIBE)</v>
      </c>
      <c r="AG2158" s="65" t="str">
        <f>IFERROR(__xludf.DUMMYFUNCTION("""COMPUTED_VALUE"""),"SI")</f>
        <v>SI</v>
      </c>
      <c r="AH2158" s="65" t="str">
        <f>IFERROR(__xludf.DUMMYFUNCTION("""COMPUTED_VALUE"""),"10:57")</f>
        <v>10:57</v>
      </c>
      <c r="AI2158" s="65" t="str">
        <f>IFERROR(__xludf.DUMMYFUNCTION("""COMPUTED_VALUE"""),"16-01-2026")</f>
        <v>16-01-2026</v>
      </c>
      <c r="AJ2158" s="65" t="str">
        <f>IFERROR(__xludf.DUMMYFUNCTION("""COMPUTED_VALUE"""),"DEVOLVER AL REMITENTE")</f>
        <v>DEVOLVER AL REMITENTE</v>
      </c>
      <c r="AK2158" s="65" t="str">
        <f>IFERROR(__xludf.DUMMYFUNCTION("""COMPUTED_VALUE"""),"21:29")</f>
        <v>21:29</v>
      </c>
      <c r="AL2158" s="65" t="str">
        <f>IFERROR(__xludf.DUMMYFUNCTION("""COMPUTED_VALUE"""),"22-01-2026")</f>
        <v>22-01-2026</v>
      </c>
      <c r="AM2158" s="65"/>
      <c r="AN2158" s="65" t="str">
        <f>IFERROR(__xludf.DUMMYFUNCTION("""COMPUTED_VALUE"""),"08:52")</f>
        <v>08:52</v>
      </c>
      <c r="AO2158" s="65" t="str">
        <f>IFERROR(__xludf.DUMMYFUNCTION("""COMPUTED_VALUE"""),"10-02-2026")</f>
        <v>10-02-2026</v>
      </c>
      <c r="AP2158" s="65" t="str">
        <f>IFERROR(__xludf.DUMMYFUNCTION("""COMPUTED_VALUE"""),"DEV CONFIRMADA POR BODEGA")</f>
        <v>DEV CONFIRMADA POR BODEGA</v>
      </c>
      <c r="AQ2158" s="65"/>
      <c r="AR2158" s="65" t="str">
        <f>IFERROR(__xludf.DUMMYFUNCTION("""COMPUTED_VALUE"""),"Gestionado por: Moran Daniel, email:danielmorga2005@gmail.com, total de productos en la orden: 1")</f>
        <v>Gestionado por: Moran Daniel, email:danielmorga2005@gmail.com, total de productos en la orden: 1</v>
      </c>
      <c r="AS2158" s="65"/>
      <c r="AT2158" s="65" t="str">
        <f>IFERROR(__xludf.DUMMYFUNCTION("""COMPUTED_VALUE"""),"SHOPIFY")</f>
        <v>SHOPIFY</v>
      </c>
      <c r="AU2158" s="65" t="str">
        <f>IFERROR(__xludf.DUMMYFUNCTION("""COMPUTED_VALUE"""),"IMPORTEX EC")</f>
        <v>IMPORTEX EC</v>
      </c>
      <c r="AV2158" s="65" t="str">
        <f>IFERROR(__xludf.DUMMYFUNCTION("""COMPUTED_VALUE"""),"6403840507948")</f>
        <v>6403840507948</v>
      </c>
      <c r="AW2158" s="65">
        <f>IFERROR(__xludf.DUMMYFUNCTION("""COMPUTED_VALUE"""),4803.0)</f>
        <v>4803</v>
      </c>
      <c r="AX2158" s="65"/>
      <c r="AY2158" s="65" t="str">
        <f>IFERROR(__xludf.DUMMYFUNCTION("""COMPUTED_VALUE"""),"14/01/2026")</f>
        <v>14/01/2026</v>
      </c>
      <c r="AZ2158" s="65"/>
      <c r="BA2158" s="65"/>
    </row>
    <row r="2159">
      <c r="A2159" s="65" t="str">
        <f>IFERROR(__xludf.DUMMYFUNCTION("""COMPUTED_VALUE"""),"27-03-2026")</f>
        <v>27-03-2026</v>
      </c>
      <c r="B2159" s="65">
        <f>IFERROR(__xludf.DUMMYFUNCTION("""COMPUTED_VALUE"""),4093391.0)</f>
        <v>4093391</v>
      </c>
      <c r="C2159" s="65" t="str">
        <f>IFERROR(__xludf.DUMMYFUNCTION("""COMPUTED_VALUE"""),"11:18")</f>
        <v>11:18</v>
      </c>
      <c r="D2159" s="65" t="str">
        <f>IFERROR(__xludf.DUMMYFUNCTION("""COMPUTED_VALUE"""),"10-01-2026")</f>
        <v>10-01-2026</v>
      </c>
      <c r="E2159" s="65" t="str">
        <f>IFERROR(__xludf.DUMMYFUNCTION("""COMPUTED_VALUE"""),"Raúl Marcelo Cadenas")</f>
        <v>Raúl Marcelo Cadenas</v>
      </c>
      <c r="F2159" s="65" t="str">
        <f>IFERROR(__xludf.DUMMYFUNCTION("""COMPUTED_VALUE"""),"999354210")</f>
        <v>999354210</v>
      </c>
      <c r="G2159" s="65" t="str">
        <f>IFERROR(__xludf.DUMMYFUNCTION("""COMPUTED_VALUE"""),"raulcardenasavila@gmail.com")</f>
        <v>raulcardenasavila@gmail.com</v>
      </c>
      <c r="H2159" s="65"/>
      <c r="I2159" s="65"/>
      <c r="J2159" s="65" t="str">
        <f>IFERROR(__xludf.DUMMYFUNCTION("""COMPUTED_VALUE"""),"D001223260")</f>
        <v>D001223260</v>
      </c>
      <c r="K2159" s="65" t="str">
        <f>IFERROR(__xludf.DUMMYFUNCTION("""COMPUTED_VALUE"""),"ENTREGADO")</f>
        <v>ENTREGADO</v>
      </c>
      <c r="L2159" s="65" t="str">
        <f>IFERROR(__xludf.DUMMYFUNCTION("""COMPUTED_VALUE"""),"CON RECAUDO")</f>
        <v>CON RECAUDO</v>
      </c>
      <c r="M2159" s="65" t="str">
        <f>IFERROR(__xludf.DUMMYFUNCTION("""COMPUTED_VALUE"""),"AZUAY")</f>
        <v>AZUAY</v>
      </c>
      <c r="N2159" s="65" t="str">
        <f>IFERROR(__xludf.DUMMYFUNCTION("""COMPUTED_VALUE"""),"CUENCA")</f>
        <v>CUENCA</v>
      </c>
      <c r="O2159" s="65" t="str">
        <f>IFERROR(__xludf.DUMMYFUNCTION("""COMPUTED_VALUE"""),"Julia bernal y  camino al chaparral -")</f>
        <v>Julia bernal y  camino al chaparral -</v>
      </c>
      <c r="P2159" s="65"/>
      <c r="Q2159" s="65" t="str">
        <f>IFERROR(__xludf.DUMMYFUNCTION("""COMPUTED_VALUE"""),"GINTRACOM")</f>
        <v>GINTRACOM</v>
      </c>
      <c r="R2159" s="65">
        <f>IFERROR(__xludf.DUMMYFUNCTION("""COMPUTED_VALUE"""),22.0)</f>
        <v>22</v>
      </c>
      <c r="S2159" s="65">
        <f>IFERROR(__xludf.DUMMYFUNCTION("""COMPUTED_VALUE"""),10.96)</f>
        <v>10.96</v>
      </c>
      <c r="T2159" s="65">
        <f>IFERROR(__xludf.DUMMYFUNCTION("""COMPUTED_VALUE"""),5.84)</f>
        <v>5.84</v>
      </c>
      <c r="U2159" s="65">
        <f>IFERROR(__xludf.DUMMYFUNCTION("""COMPUTED_VALUE"""),0.0)</f>
        <v>0</v>
      </c>
      <c r="V2159" s="65">
        <f>IFERROR(__xludf.DUMMYFUNCTION("""COMPUTED_VALUE"""),0.0)</f>
        <v>0</v>
      </c>
      <c r="W2159" s="65">
        <f>IFERROR(__xludf.DUMMYFUNCTION("""COMPUTED_VALUE"""),0.0)</f>
        <v>0</v>
      </c>
      <c r="X2159" s="65">
        <f>IFERROR(__xludf.DUMMYFUNCTION("""COMPUTED_VALUE"""),2.6)</f>
        <v>2.6</v>
      </c>
      <c r="Y2159" s="65">
        <f>IFERROR(__xludf.DUMMYFUNCTION("""COMPUTED_VALUE"""),5.2)</f>
        <v>5.2</v>
      </c>
      <c r="Z2159" s="65">
        <f>IFERROR(__xludf.DUMMYFUNCTION("""COMPUTED_VALUE"""),121983.0)</f>
        <v>121983</v>
      </c>
      <c r="AA2159" s="65" t="str">
        <f>IFERROR(__xludf.DUMMYFUNCTION("""COMPUTED_VALUE"""),"PROV-CHLLCF")</f>
        <v>PROV-CHLLCF</v>
      </c>
      <c r="AB2159" s="65"/>
      <c r="AC2159" s="65" t="str">
        <f>IFERROR(__xludf.DUMMYFUNCTION("""COMPUTED_VALUE"""),"CUCHILLO PARA CHEF")</f>
        <v>CUCHILLO PARA CHEF</v>
      </c>
      <c r="AD2159" s="65"/>
      <c r="AE2159" s="65">
        <f>IFERROR(__xludf.DUMMYFUNCTION("""COMPUTED_VALUE"""),2.0)</f>
        <v>2</v>
      </c>
      <c r="AF2159" s="65"/>
      <c r="AG2159" s="65"/>
      <c r="AH2159" s="65"/>
      <c r="AI2159" s="65"/>
      <c r="AJ2159" s="65"/>
      <c r="AK2159" s="65"/>
      <c r="AL2159" s="65"/>
      <c r="AM2159" s="65"/>
      <c r="AN2159" s="65" t="str">
        <f>IFERROR(__xludf.DUMMYFUNCTION("""COMPUTED_VALUE"""),"01:32")</f>
        <v>01:32</v>
      </c>
      <c r="AO2159" s="65" t="str">
        <f>IFERROR(__xludf.DUMMYFUNCTION("""COMPUTED_VALUE"""),"21-01-2026")</f>
        <v>21-01-2026</v>
      </c>
      <c r="AP2159" s="65" t="str">
        <f>IFERROR(__xludf.DUMMYFUNCTION("""COMPUTED_VALUE"""),"ENTREGADA GINTRACOM")</f>
        <v>ENTREGADA GINTRACOM</v>
      </c>
      <c r="AQ2159" s="65" t="str">
        <f>IFERROR(__xludf.DUMMYFUNCTION("""COMPUTED_VALUE"""),"ENTREGADA GINTRACOM")</f>
        <v>ENTREGADA GINTRACOM</v>
      </c>
      <c r="AR2159" s="65"/>
      <c r="AS2159" s="65"/>
      <c r="AT2159" s="65" t="str">
        <f>IFERROR(__xludf.DUMMYFUNCTION("""COMPUTED_VALUE"""),"SHOPIFY")</f>
        <v>SHOPIFY</v>
      </c>
      <c r="AU2159" s="65" t="str">
        <f>IFERROR(__xludf.DUMMYFUNCTION("""COMPUTED_VALUE"""),"IMPORTEX EC")</f>
        <v>IMPORTEX EC</v>
      </c>
      <c r="AV2159" s="65" t="str">
        <f>IFERROR(__xludf.DUMMYFUNCTION("""COMPUTED_VALUE"""),"6403830415404")</f>
        <v>6403830415404</v>
      </c>
      <c r="AW2159" s="65">
        <f>IFERROR(__xludf.DUMMYFUNCTION("""COMPUTED_VALUE"""),4802.0)</f>
        <v>4802</v>
      </c>
      <c r="AX2159" s="65"/>
      <c r="AY2159" s="65" t="str">
        <f>IFERROR(__xludf.DUMMYFUNCTION("""COMPUTED_VALUE"""),"14/01/2026")</f>
        <v>14/01/2026</v>
      </c>
      <c r="AZ2159" s="65"/>
      <c r="BA2159" s="65"/>
    </row>
    <row r="2160">
      <c r="A2160" s="65" t="str">
        <f>IFERROR(__xludf.DUMMYFUNCTION("""COMPUTED_VALUE"""),"27-03-2026")</f>
        <v>27-03-2026</v>
      </c>
      <c r="B2160" s="65">
        <f>IFERROR(__xludf.DUMMYFUNCTION("""COMPUTED_VALUE"""),4093261.0)</f>
        <v>4093261</v>
      </c>
      <c r="C2160" s="65" t="str">
        <f>IFERROR(__xludf.DUMMYFUNCTION("""COMPUTED_VALUE"""),"11:07")</f>
        <v>11:07</v>
      </c>
      <c r="D2160" s="65" t="str">
        <f>IFERROR(__xludf.DUMMYFUNCTION("""COMPUTED_VALUE"""),"10-01-2026")</f>
        <v>10-01-2026</v>
      </c>
      <c r="E2160" s="65" t="str">
        <f>IFERROR(__xludf.DUMMYFUNCTION("""COMPUTED_VALUE"""),"Ana Escudero Escudero Durán")</f>
        <v>Ana Escudero Escudero Durán</v>
      </c>
      <c r="F2160" s="65" t="str">
        <f>IFERROR(__xludf.DUMMYFUNCTION("""COMPUTED_VALUE"""),"999952260")</f>
        <v>999952260</v>
      </c>
      <c r="G2160" s="65" t="str">
        <f>IFERROR(__xludf.DUMMYFUNCTION("""COMPUTED_VALUE"""),"ana20escudero17@gmail.com")</f>
        <v>ana20escudero17@gmail.com</v>
      </c>
      <c r="H2160" s="65"/>
      <c r="I2160" s="65"/>
      <c r="J2160" s="65" t="str">
        <f>IFERROR(__xludf.DUMMYFUNCTION("""COMPUTED_VALUE"""),"D001223263")</f>
        <v>D001223263</v>
      </c>
      <c r="K2160" s="65" t="str">
        <f>IFERROR(__xludf.DUMMYFUNCTION("""COMPUTED_VALUE"""),"DEVOLUCION")</f>
        <v>DEVOLUCION</v>
      </c>
      <c r="L2160" s="65" t="str">
        <f>IFERROR(__xludf.DUMMYFUNCTION("""COMPUTED_VALUE"""),"CON RECAUDO")</f>
        <v>CON RECAUDO</v>
      </c>
      <c r="M2160" s="65" t="str">
        <f>IFERROR(__xludf.DUMMYFUNCTION("""COMPUTED_VALUE"""),"AZUAY")</f>
        <v>AZUAY</v>
      </c>
      <c r="N2160" s="65" t="str">
        <f>IFERROR(__xludf.DUMMYFUNCTION("""COMPUTED_VALUE"""),"CUENCA")</f>
        <v>CUENCA</v>
      </c>
      <c r="O2160" s="65" t="str">
        <f>IFERROR(__xludf.DUMMYFUNCTION("""COMPUTED_VALUE"""),"Urbanización Puertas del sol calle principal Manuel Ulpiano Arizaga 1122 y calle del río Víctor Manuel albornoz casa esquinera amarilla con cerramiento verde")</f>
        <v>Urbanización Puertas del sol calle principal Manuel Ulpiano Arizaga 1122 y calle del río Víctor Manuel albornoz casa esquinera amarilla con cerramiento verde</v>
      </c>
      <c r="P2160" s="65"/>
      <c r="Q2160" s="65" t="str">
        <f>IFERROR(__xludf.DUMMYFUNCTION("""COMPUTED_VALUE"""),"GINTRACOM")</f>
        <v>GINTRACOM</v>
      </c>
      <c r="R2160" s="65">
        <f>IFERROR(__xludf.DUMMYFUNCTION("""COMPUTED_VALUE"""),22.0)</f>
        <v>22</v>
      </c>
      <c r="S2160" s="65"/>
      <c r="T2160" s="65">
        <f>IFERROR(__xludf.DUMMYFUNCTION("""COMPUTED_VALUE"""),5.84)</f>
        <v>5.84</v>
      </c>
      <c r="U2160" s="65">
        <f>IFERROR(__xludf.DUMMYFUNCTION("""COMPUTED_VALUE"""),0.0)</f>
        <v>0</v>
      </c>
      <c r="V2160" s="65">
        <f>IFERROR(__xludf.DUMMYFUNCTION("""COMPUTED_VALUE"""),0.0)</f>
        <v>0</v>
      </c>
      <c r="W2160" s="65">
        <f>IFERROR(__xludf.DUMMYFUNCTION("""COMPUTED_VALUE"""),0.0)</f>
        <v>0</v>
      </c>
      <c r="X2160" s="65">
        <f>IFERROR(__xludf.DUMMYFUNCTION("""COMPUTED_VALUE"""),2.6)</f>
        <v>2.6</v>
      </c>
      <c r="Y2160" s="65">
        <f>IFERROR(__xludf.DUMMYFUNCTION("""COMPUTED_VALUE"""),5.2)</f>
        <v>5.2</v>
      </c>
      <c r="Z2160" s="65">
        <f>IFERROR(__xludf.DUMMYFUNCTION("""COMPUTED_VALUE"""),121983.0)</f>
        <v>121983</v>
      </c>
      <c r="AA2160" s="65" t="str">
        <f>IFERROR(__xludf.DUMMYFUNCTION("""COMPUTED_VALUE"""),"PROV-CHLLCF")</f>
        <v>PROV-CHLLCF</v>
      </c>
      <c r="AB2160" s="65"/>
      <c r="AC2160" s="65" t="str">
        <f>IFERROR(__xludf.DUMMYFUNCTION("""COMPUTED_VALUE"""),"CUCHILLO PARA CHEF")</f>
        <v>CUCHILLO PARA CHEF</v>
      </c>
      <c r="AD2160" s="65"/>
      <c r="AE2160" s="65">
        <f>IFERROR(__xludf.DUMMYFUNCTION("""COMPUTED_VALUE"""),2.0)</f>
        <v>2</v>
      </c>
      <c r="AF2160" s="65" t="str">
        <f>IFERROR(__xludf.DUMMYFUNCTION("""COMPUTED_VALUE"""),"DESTINATARIO INDICA QUE NO ES EL PRODUCTO QUE SOLICITÓ")</f>
        <v>DESTINATARIO INDICA QUE NO ES EL PRODUCTO QUE SOLICITÓ</v>
      </c>
      <c r="AG2160" s="65" t="str">
        <f>IFERROR(__xludf.DUMMYFUNCTION("""COMPUTED_VALUE"""),"SI")</f>
        <v>SI</v>
      </c>
      <c r="AH2160" s="65" t="str">
        <f>IFERROR(__xludf.DUMMYFUNCTION("""COMPUTED_VALUE"""),"13:02")</f>
        <v>13:02</v>
      </c>
      <c r="AI2160" s="65" t="str">
        <f>IFERROR(__xludf.DUMMYFUNCTION("""COMPUTED_VALUE"""),"16-01-2026")</f>
        <v>16-01-2026</v>
      </c>
      <c r="AJ2160" s="65" t="str">
        <f>IFERROR(__xludf.DUMMYFUNCTION("""COMPUTED_VALUE"""),"Cliente indica que aun no llegan a dejar el producto, favor gestionar entrega enseguida.")</f>
        <v>Cliente indica que aun no llegan a dejar el producto, favor gestionar entrega enseguida.</v>
      </c>
      <c r="AK2160" s="65" t="str">
        <f>IFERROR(__xludf.DUMMYFUNCTION("""COMPUTED_VALUE"""),"21:28")</f>
        <v>21:28</v>
      </c>
      <c r="AL2160" s="65" t="str">
        <f>IFERROR(__xludf.DUMMYFUNCTION("""COMPUTED_VALUE"""),"22-01-2026")</f>
        <v>22-01-2026</v>
      </c>
      <c r="AM2160" s="65"/>
      <c r="AN2160" s="65" t="str">
        <f>IFERROR(__xludf.DUMMYFUNCTION("""COMPUTED_VALUE"""),"08:39")</f>
        <v>08:39</v>
      </c>
      <c r="AO2160" s="65" t="str">
        <f>IFERROR(__xludf.DUMMYFUNCTION("""COMPUTED_VALUE"""),"10-02-2026")</f>
        <v>10-02-2026</v>
      </c>
      <c r="AP2160" s="65" t="str">
        <f>IFERROR(__xludf.DUMMYFUNCTION("""COMPUTED_VALUE"""),"DEV CONFIRMADA POR BODEGA")</f>
        <v>DEV CONFIRMADA POR BODEGA</v>
      </c>
      <c r="AQ2160" s="65"/>
      <c r="AR2160" s="65" t="str">
        <f>IFERROR(__xludf.DUMMYFUNCTION("""COMPUTED_VALUE"""),"Gestionado por: Moran Daniel, email:danielmorga2005@gmail.com, total de productos en la orden: 1")</f>
        <v>Gestionado por: Moran Daniel, email:danielmorga2005@gmail.com, total de productos en la orden: 1</v>
      </c>
      <c r="AS2160" s="65"/>
      <c r="AT2160" s="65" t="str">
        <f>IFERROR(__xludf.DUMMYFUNCTION("""COMPUTED_VALUE"""),"SHOPIFY")</f>
        <v>SHOPIFY</v>
      </c>
      <c r="AU2160" s="65" t="str">
        <f>IFERROR(__xludf.DUMMYFUNCTION("""COMPUTED_VALUE"""),"IMPORTEX EC")</f>
        <v>IMPORTEX EC</v>
      </c>
      <c r="AV2160" s="65" t="str">
        <f>IFERROR(__xludf.DUMMYFUNCTION("""COMPUTED_VALUE"""),"6403797647404")</f>
        <v>6403797647404</v>
      </c>
      <c r="AW2160" s="65">
        <f>IFERROR(__xludf.DUMMYFUNCTION("""COMPUTED_VALUE"""),4801.0)</f>
        <v>4801</v>
      </c>
      <c r="AX2160" s="65"/>
      <c r="AY2160" s="65" t="str">
        <f>IFERROR(__xludf.DUMMYFUNCTION("""COMPUTED_VALUE"""),"14/01/2026")</f>
        <v>14/01/2026</v>
      </c>
      <c r="AZ2160" s="65"/>
      <c r="BA2160" s="65"/>
    </row>
    <row r="2161">
      <c r="A2161" s="65" t="str">
        <f>IFERROR(__xludf.DUMMYFUNCTION("""COMPUTED_VALUE"""),"27-03-2026")</f>
        <v>27-03-2026</v>
      </c>
      <c r="B2161" s="65">
        <f>IFERROR(__xludf.DUMMYFUNCTION("""COMPUTED_VALUE"""),4093223.0)</f>
        <v>4093223</v>
      </c>
      <c r="C2161" s="65" t="str">
        <f>IFERROR(__xludf.DUMMYFUNCTION("""COMPUTED_VALUE"""),"11:04")</f>
        <v>11:04</v>
      </c>
      <c r="D2161" s="65" t="str">
        <f>IFERROR(__xludf.DUMMYFUNCTION("""COMPUTED_VALUE"""),"10-01-2026")</f>
        <v>10-01-2026</v>
      </c>
      <c r="E2161" s="65" t="str">
        <f>IFERROR(__xludf.DUMMYFUNCTION("""COMPUTED_VALUE"""),"Jhon Tedy Barreiro Navarrete")</f>
        <v>Jhon Tedy Barreiro Navarrete</v>
      </c>
      <c r="F2161" s="65" t="str">
        <f>IFERROR(__xludf.DUMMYFUNCTION("""COMPUTED_VALUE"""),"986857754")</f>
        <v>986857754</v>
      </c>
      <c r="G2161" s="65" t="str">
        <f>IFERROR(__xludf.DUMMYFUNCTION("""COMPUTED_VALUE"""),"jhotebana@gmail.com")</f>
        <v>jhotebana@gmail.com</v>
      </c>
      <c r="H2161" s="65"/>
      <c r="I2161" s="65"/>
      <c r="J2161" s="65" t="str">
        <f>IFERROR(__xludf.DUMMYFUNCTION("""COMPUTED_VALUE"""),"D001223266")</f>
        <v>D001223266</v>
      </c>
      <c r="K2161" s="65" t="str">
        <f>IFERROR(__xludf.DUMMYFUNCTION("""COMPUTED_VALUE"""),"ENTREGADO")</f>
        <v>ENTREGADO</v>
      </c>
      <c r="L2161" s="65" t="str">
        <f>IFERROR(__xludf.DUMMYFUNCTION("""COMPUTED_VALUE"""),"CON RECAUDO")</f>
        <v>CON RECAUDO</v>
      </c>
      <c r="M2161" s="65" t="str">
        <f>IFERROR(__xludf.DUMMYFUNCTION("""COMPUTED_VALUE"""),"MANABI")</f>
        <v>MANABI</v>
      </c>
      <c r="N2161" s="65" t="str">
        <f>IFERROR(__xludf.DUMMYFUNCTION("""COMPUTED_VALUE"""),"CHONE")</f>
        <v>CHONE</v>
      </c>
      <c r="O2161" s="65" t="str">
        <f>IFERROR(__xludf.DUMMYFUNCTION("""COMPUTED_VALUE"""),"7 de Agosto 200 metros del colegio Juan Cruz Aizprua de la parroquia Boyacá - a 200 metros del UPC")</f>
        <v>7 de Agosto 200 metros del colegio Juan Cruz Aizprua de la parroquia Boyacá - a 200 metros del UPC</v>
      </c>
      <c r="P2161" s="65"/>
      <c r="Q2161" s="65" t="str">
        <f>IFERROR(__xludf.DUMMYFUNCTION("""COMPUTED_VALUE"""),"GINTRACOM")</f>
        <v>GINTRACOM</v>
      </c>
      <c r="R2161" s="65">
        <f>IFERROR(__xludf.DUMMYFUNCTION("""COMPUTED_VALUE"""),25.0)</f>
        <v>25</v>
      </c>
      <c r="S2161" s="65">
        <f>IFERROR(__xludf.DUMMYFUNCTION("""COMPUTED_VALUE"""),13.46)</f>
        <v>13.46</v>
      </c>
      <c r="T2161" s="65">
        <f>IFERROR(__xludf.DUMMYFUNCTION("""COMPUTED_VALUE"""),5.96)</f>
        <v>5.96</v>
      </c>
      <c r="U2161" s="65">
        <f>IFERROR(__xludf.DUMMYFUNCTION("""COMPUTED_VALUE"""),0.0)</f>
        <v>0</v>
      </c>
      <c r="V2161" s="65">
        <f>IFERROR(__xludf.DUMMYFUNCTION("""COMPUTED_VALUE"""),0.0)</f>
        <v>0</v>
      </c>
      <c r="W2161" s="65">
        <f>IFERROR(__xludf.DUMMYFUNCTION("""COMPUTED_VALUE"""),0.0)</f>
        <v>0</v>
      </c>
      <c r="X2161" s="65">
        <f>IFERROR(__xludf.DUMMYFUNCTION("""COMPUTED_VALUE"""),2.79)</f>
        <v>2.79</v>
      </c>
      <c r="Y2161" s="65">
        <f>IFERROR(__xludf.DUMMYFUNCTION("""COMPUTED_VALUE"""),5.58)</f>
        <v>5.58</v>
      </c>
      <c r="Z2161" s="65">
        <f>IFERROR(__xludf.DUMMYFUNCTION("""COMPUTED_VALUE"""),120732.0)</f>
        <v>120732</v>
      </c>
      <c r="AA2161" s="65" t="str">
        <f>IFERROR(__xludf.DUMMYFUNCTION("""COMPUTED_VALUE"""),"PROV-LMPVT")</f>
        <v>PROV-LMPVT</v>
      </c>
      <c r="AB2161" s="65"/>
      <c r="AC2161" s="65" t="str">
        <f>IFERROR(__xludf.DUMMYFUNCTION("""COMPUTED_VALUE"""),"LIMPIADOR DE PARABRISAS Y VENTANAS")</f>
        <v>LIMPIADOR DE PARABRISAS Y VENTANAS</v>
      </c>
      <c r="AD2161" s="65"/>
      <c r="AE2161" s="65">
        <f>IFERROR(__xludf.DUMMYFUNCTION("""COMPUTED_VALUE"""),2.0)</f>
        <v>2</v>
      </c>
      <c r="AF2161" s="65"/>
      <c r="AG2161" s="65"/>
      <c r="AH2161" s="65"/>
      <c r="AI2161" s="65"/>
      <c r="AJ2161" s="65"/>
      <c r="AK2161" s="65"/>
      <c r="AL2161" s="65"/>
      <c r="AM2161" s="65"/>
      <c r="AN2161" s="65" t="str">
        <f>IFERROR(__xludf.DUMMYFUNCTION("""COMPUTED_VALUE"""),"12:49")</f>
        <v>12:49</v>
      </c>
      <c r="AO2161" s="65" t="str">
        <f>IFERROR(__xludf.DUMMYFUNCTION("""COMPUTED_VALUE"""),"16-01-2026")</f>
        <v>16-01-2026</v>
      </c>
      <c r="AP2161" s="65" t="str">
        <f>IFERROR(__xludf.DUMMYFUNCTION("""COMPUTED_VALUE"""),"ENTREGADA GINTRACOM")</f>
        <v>ENTREGADA GINTRACOM</v>
      </c>
      <c r="AQ2161" s="65" t="str">
        <f>IFERROR(__xludf.DUMMYFUNCTION("""COMPUTED_VALUE"""),"ENTREGADA GINTRACOM")</f>
        <v>ENTREGADA GINTRACOM</v>
      </c>
      <c r="AR2161" s="65"/>
      <c r="AS2161" s="65"/>
      <c r="AT2161" s="65" t="str">
        <f>IFERROR(__xludf.DUMMYFUNCTION("""COMPUTED_VALUE"""),"SHOPIFY")</f>
        <v>SHOPIFY</v>
      </c>
      <c r="AU2161" s="65" t="str">
        <f>IFERROR(__xludf.DUMMYFUNCTION("""COMPUTED_VALUE"""),"IMPORTEX EC")</f>
        <v>IMPORTEX EC</v>
      </c>
      <c r="AV2161" s="65" t="str">
        <f>IFERROR(__xludf.DUMMYFUNCTION("""COMPUTED_VALUE"""),"6403788439596")</f>
        <v>6403788439596</v>
      </c>
      <c r="AW2161" s="65">
        <f>IFERROR(__xludf.DUMMYFUNCTION("""COMPUTED_VALUE"""),4800.0)</f>
        <v>4800</v>
      </c>
      <c r="AX2161" s="65"/>
      <c r="AY2161" s="65" t="str">
        <f>IFERROR(__xludf.DUMMYFUNCTION("""COMPUTED_VALUE"""),"14/01/2026")</f>
        <v>14/01/2026</v>
      </c>
      <c r="AZ2161" s="65"/>
      <c r="BA2161" s="65"/>
    </row>
    <row r="2162">
      <c r="A2162" s="65" t="str">
        <f>IFERROR(__xludf.DUMMYFUNCTION("""COMPUTED_VALUE"""),"27-03-2026")</f>
        <v>27-03-2026</v>
      </c>
      <c r="B2162" s="65">
        <f>IFERROR(__xludf.DUMMYFUNCTION("""COMPUTED_VALUE"""),4093222.0)</f>
        <v>4093222</v>
      </c>
      <c r="C2162" s="65" t="str">
        <f>IFERROR(__xludf.DUMMYFUNCTION("""COMPUTED_VALUE"""),"11:04")</f>
        <v>11:04</v>
      </c>
      <c r="D2162" s="65" t="str">
        <f>IFERROR(__xludf.DUMMYFUNCTION("""COMPUTED_VALUE"""),"10-01-2026")</f>
        <v>10-01-2026</v>
      </c>
      <c r="E2162" s="65" t="str">
        <f>IFERROR(__xludf.DUMMYFUNCTION("""COMPUTED_VALUE"""),"Danny Martínez")</f>
        <v>Danny Martínez</v>
      </c>
      <c r="F2162" s="65" t="str">
        <f>IFERROR(__xludf.DUMMYFUNCTION("""COMPUTED_VALUE"""),"999826583")</f>
        <v>999826583</v>
      </c>
      <c r="G2162" s="65" t="str">
        <f>IFERROR(__xludf.DUMMYFUNCTION("""COMPUTED_VALUE"""),"dannymartinezg2000@gmail.com")</f>
        <v>dannymartinezg2000@gmail.com</v>
      </c>
      <c r="H2162" s="65"/>
      <c r="I2162" s="65"/>
      <c r="J2162" s="65" t="str">
        <f>IFERROR(__xludf.DUMMYFUNCTION("""COMPUTED_VALUE"""),"D001223269")</f>
        <v>D001223269</v>
      </c>
      <c r="K2162" s="65" t="str">
        <f>IFERROR(__xludf.DUMMYFUNCTION("""COMPUTED_VALUE"""),"ENTREGADO")</f>
        <v>ENTREGADO</v>
      </c>
      <c r="L2162" s="65" t="str">
        <f>IFERROR(__xludf.DUMMYFUNCTION("""COMPUTED_VALUE"""),"CON RECAUDO")</f>
        <v>CON RECAUDO</v>
      </c>
      <c r="M2162" s="65" t="str">
        <f>IFERROR(__xludf.DUMMYFUNCTION("""COMPUTED_VALUE"""),"PICHINCHA")</f>
        <v>PICHINCHA</v>
      </c>
      <c r="N2162" s="65" t="str">
        <f>IFERROR(__xludf.DUMMYFUNCTION("""COMPUTED_VALUE"""),"QUITO")</f>
        <v>QUITO</v>
      </c>
      <c r="O2162" s="65" t="str">
        <f>IFERROR(__xludf.DUMMYFUNCTION("""COMPUTED_VALUE"""),"JOAQUIN SUMAITA N47-276 Y FELIX VALERINO yFELIX VALERINO CASA ESQUINERA 2 PISOS BLANCA -")</f>
        <v>JOAQUIN SUMAITA N47-276 Y FELIX VALERINO yFELIX VALERINO CASA ESQUINERA 2 PISOS BLANCA -</v>
      </c>
      <c r="P2162" s="65"/>
      <c r="Q2162" s="65" t="str">
        <f>IFERROR(__xludf.DUMMYFUNCTION("""COMPUTED_VALUE"""),"GINTRACOM")</f>
        <v>GINTRACOM</v>
      </c>
      <c r="R2162" s="65">
        <f>IFERROR(__xludf.DUMMYFUNCTION("""COMPUTED_VALUE"""),20.0)</f>
        <v>20</v>
      </c>
      <c r="S2162" s="65">
        <f>IFERROR(__xludf.DUMMYFUNCTION("""COMPUTED_VALUE"""),11.45)</f>
        <v>11.45</v>
      </c>
      <c r="T2162" s="65">
        <f>IFERROR(__xludf.DUMMYFUNCTION("""COMPUTED_VALUE"""),5.76)</f>
        <v>5.76</v>
      </c>
      <c r="U2162" s="65">
        <f>IFERROR(__xludf.DUMMYFUNCTION("""COMPUTED_VALUE"""),0.0)</f>
        <v>0</v>
      </c>
      <c r="V2162" s="65">
        <f>IFERROR(__xludf.DUMMYFUNCTION("""COMPUTED_VALUE"""),0.0)</f>
        <v>0</v>
      </c>
      <c r="W2162" s="65">
        <f>IFERROR(__xludf.DUMMYFUNCTION("""COMPUTED_VALUE"""),0.0)</f>
        <v>0</v>
      </c>
      <c r="X2162" s="65">
        <f>IFERROR(__xludf.DUMMYFUNCTION("""COMPUTED_VALUE"""),2.79)</f>
        <v>2.79</v>
      </c>
      <c r="Y2162" s="65">
        <f>IFERROR(__xludf.DUMMYFUNCTION("""COMPUTED_VALUE"""),2.79)</f>
        <v>2.79</v>
      </c>
      <c r="Z2162" s="65">
        <f>IFERROR(__xludf.DUMMYFUNCTION("""COMPUTED_VALUE"""),120732.0)</f>
        <v>120732</v>
      </c>
      <c r="AA2162" s="65" t="str">
        <f>IFERROR(__xludf.DUMMYFUNCTION("""COMPUTED_VALUE"""),"PROV-LMPVT")</f>
        <v>PROV-LMPVT</v>
      </c>
      <c r="AB2162" s="65"/>
      <c r="AC2162" s="65" t="str">
        <f>IFERROR(__xludf.DUMMYFUNCTION("""COMPUTED_VALUE"""),"LIMPIADOR DE PARABRISAS Y VENTANAS")</f>
        <v>LIMPIADOR DE PARABRISAS Y VENTANAS</v>
      </c>
      <c r="AD2162" s="65"/>
      <c r="AE2162" s="65">
        <f>IFERROR(__xludf.DUMMYFUNCTION("""COMPUTED_VALUE"""),1.0)</f>
        <v>1</v>
      </c>
      <c r="AF2162" s="65"/>
      <c r="AG2162" s="65"/>
      <c r="AH2162" s="65"/>
      <c r="AI2162" s="65"/>
      <c r="AJ2162" s="65"/>
      <c r="AK2162" s="65"/>
      <c r="AL2162" s="65"/>
      <c r="AM2162" s="65"/>
      <c r="AN2162" s="65" t="str">
        <f>IFERROR(__xludf.DUMMYFUNCTION("""COMPUTED_VALUE"""),"12:38")</f>
        <v>12:38</v>
      </c>
      <c r="AO2162" s="65" t="str">
        <f>IFERROR(__xludf.DUMMYFUNCTION("""COMPUTED_VALUE"""),"15-01-2026")</f>
        <v>15-01-2026</v>
      </c>
      <c r="AP2162" s="65" t="str">
        <f>IFERROR(__xludf.DUMMYFUNCTION("""COMPUTED_VALUE"""),"ENTREGADA GINTRACOM")</f>
        <v>ENTREGADA GINTRACOM</v>
      </c>
      <c r="AQ2162" s="65" t="str">
        <f>IFERROR(__xludf.DUMMYFUNCTION("""COMPUTED_VALUE"""),"ENTREGADA GINTRACOM")</f>
        <v>ENTREGADA GINTRACOM</v>
      </c>
      <c r="AR2162" s="65"/>
      <c r="AS2162" s="65"/>
      <c r="AT2162" s="65" t="str">
        <f>IFERROR(__xludf.DUMMYFUNCTION("""COMPUTED_VALUE"""),"SHOPIFY")</f>
        <v>SHOPIFY</v>
      </c>
      <c r="AU2162" s="65" t="str">
        <f>IFERROR(__xludf.DUMMYFUNCTION("""COMPUTED_VALUE"""),"IMPORTEX EC")</f>
        <v>IMPORTEX EC</v>
      </c>
      <c r="AV2162" s="65" t="str">
        <f>IFERROR(__xludf.DUMMYFUNCTION("""COMPUTED_VALUE"""),"6403788308524")</f>
        <v>6403788308524</v>
      </c>
      <c r="AW2162" s="65">
        <f>IFERROR(__xludf.DUMMYFUNCTION("""COMPUTED_VALUE"""),4799.0)</f>
        <v>4799</v>
      </c>
      <c r="AX2162" s="65"/>
      <c r="AY2162" s="65" t="str">
        <f>IFERROR(__xludf.DUMMYFUNCTION("""COMPUTED_VALUE"""),"14/01/2026")</f>
        <v>14/01/2026</v>
      </c>
      <c r="AZ2162" s="65"/>
      <c r="BA2162" s="65"/>
    </row>
    <row r="2163">
      <c r="A2163" s="65" t="str">
        <f>IFERROR(__xludf.DUMMYFUNCTION("""COMPUTED_VALUE"""),"27-03-2026")</f>
        <v>27-03-2026</v>
      </c>
      <c r="B2163" s="65">
        <f>IFERROR(__xludf.DUMMYFUNCTION("""COMPUTED_VALUE"""),4093011.0)</f>
        <v>4093011</v>
      </c>
      <c r="C2163" s="65" t="str">
        <f>IFERROR(__xludf.DUMMYFUNCTION("""COMPUTED_VALUE"""),"10:46")</f>
        <v>10:46</v>
      </c>
      <c r="D2163" s="65" t="str">
        <f>IFERROR(__xludf.DUMMYFUNCTION("""COMPUTED_VALUE"""),"10-01-2026")</f>
        <v>10-01-2026</v>
      </c>
      <c r="E2163" s="65" t="str">
        <f>IFERROR(__xludf.DUMMYFUNCTION("""COMPUTED_VALUE"""),"Delia  lavayen lavayen")</f>
        <v>Delia  lavayen lavayen</v>
      </c>
      <c r="F2163" s="65" t="str">
        <f>IFERROR(__xludf.DUMMYFUNCTION("""COMPUTED_VALUE"""),"991576096")</f>
        <v>991576096</v>
      </c>
      <c r="G2163" s="65" t="str">
        <f>IFERROR(__xludf.DUMMYFUNCTION("""COMPUTED_VALUE"""),"delialavayen30@gmail.com")</f>
        <v>delialavayen30@gmail.com</v>
      </c>
      <c r="H2163" s="65"/>
      <c r="I2163" s="65"/>
      <c r="J2163" s="65"/>
      <c r="K2163" s="65" t="str">
        <f>IFERROR(__xludf.DUMMYFUNCTION("""COMPUTED_VALUE"""),"CANCELADO")</f>
        <v>CANCELADO</v>
      </c>
      <c r="L2163" s="65" t="str">
        <f>IFERROR(__xludf.DUMMYFUNCTION("""COMPUTED_VALUE"""),"CON RECAUDO")</f>
        <v>CON RECAUDO</v>
      </c>
      <c r="M2163" s="65" t="str">
        <f>IFERROR(__xludf.DUMMYFUNCTION("""COMPUTED_VALUE"""),"EL ORO")</f>
        <v>EL ORO</v>
      </c>
      <c r="N2163" s="65" t="str">
        <f>IFERROR(__xludf.DUMMYFUNCTION("""COMPUTED_VALUE"""),"EL GUABO")</f>
        <v>EL GUABO</v>
      </c>
      <c r="O2163" s="65" t="str">
        <f>IFERROR(__xludf.DUMMYFUNCTION("""COMPUTED_VALUE"""),"Por Servientrega alado de Tia")</f>
        <v>Por Servientrega alado de Tia</v>
      </c>
      <c r="P2163" s="65"/>
      <c r="Q2163" s="65" t="str">
        <f>IFERROR(__xludf.DUMMYFUNCTION("""COMPUTED_VALUE"""),"GINTRACOM")</f>
        <v>GINTRACOM</v>
      </c>
      <c r="R2163" s="65">
        <f>IFERROR(__xludf.DUMMYFUNCTION("""COMPUTED_VALUE"""),22.0)</f>
        <v>22</v>
      </c>
      <c r="S2163" s="65"/>
      <c r="T2163" s="65">
        <f>IFERROR(__xludf.DUMMYFUNCTION("""COMPUTED_VALUE"""),6.41)</f>
        <v>6.41</v>
      </c>
      <c r="U2163" s="65">
        <f>IFERROR(__xludf.DUMMYFUNCTION("""COMPUTED_VALUE"""),0.0)</f>
        <v>0</v>
      </c>
      <c r="V2163" s="65">
        <f>IFERROR(__xludf.DUMMYFUNCTION("""COMPUTED_VALUE"""),0.0)</f>
        <v>0</v>
      </c>
      <c r="W2163" s="65">
        <f>IFERROR(__xludf.DUMMYFUNCTION("""COMPUTED_VALUE"""),0.0)</f>
        <v>0</v>
      </c>
      <c r="X2163" s="65">
        <f>IFERROR(__xludf.DUMMYFUNCTION("""COMPUTED_VALUE"""),2.6)</f>
        <v>2.6</v>
      </c>
      <c r="Y2163" s="65">
        <f>IFERROR(__xludf.DUMMYFUNCTION("""COMPUTED_VALUE"""),5.2)</f>
        <v>5.2</v>
      </c>
      <c r="Z2163" s="65">
        <f>IFERROR(__xludf.DUMMYFUNCTION("""COMPUTED_VALUE"""),121983.0)</f>
        <v>121983</v>
      </c>
      <c r="AA2163" s="65" t="str">
        <f>IFERROR(__xludf.DUMMYFUNCTION("""COMPUTED_VALUE"""),"PROV-CHLLCF")</f>
        <v>PROV-CHLLCF</v>
      </c>
      <c r="AB2163" s="65"/>
      <c r="AC2163" s="65" t="str">
        <f>IFERROR(__xludf.DUMMYFUNCTION("""COMPUTED_VALUE"""),"CUCHILLO PARA CHEF")</f>
        <v>CUCHILLO PARA CHEF</v>
      </c>
      <c r="AD2163" s="65"/>
      <c r="AE2163" s="65">
        <f>IFERROR(__xludf.DUMMYFUNCTION("""COMPUTED_VALUE"""),2.0)</f>
        <v>2</v>
      </c>
      <c r="AF2163" s="65"/>
      <c r="AG2163" s="65"/>
      <c r="AH2163" s="65"/>
      <c r="AI2163" s="65"/>
      <c r="AJ2163" s="65"/>
      <c r="AK2163" s="65"/>
      <c r="AL2163" s="65"/>
      <c r="AM2163" s="65"/>
      <c r="AN2163" s="65"/>
      <c r="AO2163" s="65"/>
      <c r="AP2163" s="65"/>
      <c r="AQ2163" s="65"/>
      <c r="AR2163" s="65"/>
      <c r="AS2163" s="65"/>
      <c r="AT2163" s="65" t="str">
        <f>IFERROR(__xludf.DUMMYFUNCTION("""COMPUTED_VALUE"""),"SHOPIFY")</f>
        <v>SHOPIFY</v>
      </c>
      <c r="AU2163" s="65" t="str">
        <f>IFERROR(__xludf.DUMMYFUNCTION("""COMPUTED_VALUE"""),"IMPORTEX EC")</f>
        <v>IMPORTEX EC</v>
      </c>
      <c r="AV2163" s="65" t="str">
        <f>IFERROR(__xludf.DUMMYFUNCTION("""COMPUTED_VALUE"""),"6403746857004")</f>
        <v>6403746857004</v>
      </c>
      <c r="AW2163" s="65">
        <f>IFERROR(__xludf.DUMMYFUNCTION("""COMPUTED_VALUE"""),4798.0)</f>
        <v>4798</v>
      </c>
      <c r="AX2163" s="65"/>
      <c r="AY2163" s="65"/>
      <c r="AZ2163" s="65"/>
      <c r="BA2163" s="65"/>
    </row>
    <row r="2164">
      <c r="A2164" s="65" t="str">
        <f>IFERROR(__xludf.DUMMYFUNCTION("""COMPUTED_VALUE"""),"27-03-2026")</f>
        <v>27-03-2026</v>
      </c>
      <c r="B2164" s="65">
        <f>IFERROR(__xludf.DUMMYFUNCTION("""COMPUTED_VALUE"""),4092536.0)</f>
        <v>4092536</v>
      </c>
      <c r="C2164" s="65" t="str">
        <f>IFERROR(__xludf.DUMMYFUNCTION("""COMPUTED_VALUE"""),"10:13")</f>
        <v>10:13</v>
      </c>
      <c r="D2164" s="65" t="str">
        <f>IFERROR(__xludf.DUMMYFUNCTION("""COMPUTED_VALUE"""),"10-01-2026")</f>
        <v>10-01-2026</v>
      </c>
      <c r="E2164" s="65" t="str">
        <f>IFERROR(__xludf.DUMMYFUNCTION("""COMPUTED_VALUE"""),"fatima garcia")</f>
        <v>fatima garcia</v>
      </c>
      <c r="F2164" s="65" t="str">
        <f>IFERROR(__xludf.DUMMYFUNCTION("""COMPUTED_VALUE"""),"988845518")</f>
        <v>988845518</v>
      </c>
      <c r="G2164" s="65"/>
      <c r="H2164" s="65"/>
      <c r="I2164" s="65"/>
      <c r="J2164" s="65" t="str">
        <f>IFERROR(__xludf.DUMMYFUNCTION("""COMPUTED_VALUE"""),"186973364")</f>
        <v>186973364</v>
      </c>
      <c r="K2164" s="65" t="str">
        <f>IFERROR(__xludf.DUMMYFUNCTION("""COMPUTED_VALUE"""),"ENTREGADO")</f>
        <v>ENTREGADO</v>
      </c>
      <c r="L2164" s="65" t="str">
        <f>IFERROR(__xludf.DUMMYFUNCTION("""COMPUTED_VALUE"""),"CON RECAUDO")</f>
        <v>CON RECAUDO</v>
      </c>
      <c r="M2164" s="65" t="str">
        <f>IFERROR(__xludf.DUMMYFUNCTION("""COMPUTED_VALUE"""),"ORELLANA")</f>
        <v>ORELLANA</v>
      </c>
      <c r="N2164" s="65" t="str">
        <f>IFERROR(__xludf.DUMMYFUNCTION("""COMPUTED_VALUE"""),"LORETO")</f>
        <v>LORETO</v>
      </c>
      <c r="O2164" s="65" t="str">
        <f>IFERROR(__xludf.DUMMYFUNCTION("""COMPUTED_VALUE"""),"RETIRA EN CS : LORETO_PRINCIPAL ,GREGORIO URAPARI S/N Y RAFAEL ANDRADE")</f>
        <v>RETIRA EN CS : LORETO_PRINCIPAL ,GREGORIO URAPARI S/N Y RAFAEL ANDRADE</v>
      </c>
      <c r="P2164" s="65"/>
      <c r="Q2164" s="65" t="str">
        <f>IFERROR(__xludf.DUMMYFUNCTION("""COMPUTED_VALUE"""),"SERVIENTREGA")</f>
        <v>SERVIENTREGA</v>
      </c>
      <c r="R2164" s="65">
        <f>IFERROR(__xludf.DUMMYFUNCTION("""COMPUTED_VALUE"""),32.0)</f>
        <v>32</v>
      </c>
      <c r="S2164" s="65">
        <f>IFERROR(__xludf.DUMMYFUNCTION("""COMPUTED_VALUE"""),13.75)</f>
        <v>13.75</v>
      </c>
      <c r="T2164" s="65">
        <f>IFERROR(__xludf.DUMMYFUNCTION("""COMPUTED_VALUE"""),7.85)</f>
        <v>7.85</v>
      </c>
      <c r="U2164" s="65">
        <f>IFERROR(__xludf.DUMMYFUNCTION("""COMPUTED_VALUE"""),0.0)</f>
        <v>0</v>
      </c>
      <c r="V2164" s="65">
        <f>IFERROR(__xludf.DUMMYFUNCTION("""COMPUTED_VALUE"""),0.0)</f>
        <v>0</v>
      </c>
      <c r="W2164" s="65">
        <f>IFERROR(__xludf.DUMMYFUNCTION("""COMPUTED_VALUE"""),0.0)</f>
        <v>0</v>
      </c>
      <c r="X2164" s="65">
        <f>IFERROR(__xludf.DUMMYFUNCTION("""COMPUTED_VALUE"""),2.6)</f>
        <v>2.6</v>
      </c>
      <c r="Y2164" s="65">
        <f>IFERROR(__xludf.DUMMYFUNCTION("""COMPUTED_VALUE"""),10.4)</f>
        <v>10.4</v>
      </c>
      <c r="Z2164" s="65">
        <f>IFERROR(__xludf.DUMMYFUNCTION("""COMPUTED_VALUE"""),121983.0)</f>
        <v>121983</v>
      </c>
      <c r="AA2164" s="65" t="str">
        <f>IFERROR(__xludf.DUMMYFUNCTION("""COMPUTED_VALUE"""),"PROV-CHLLCF")</f>
        <v>PROV-CHLLCF</v>
      </c>
      <c r="AB2164" s="65"/>
      <c r="AC2164" s="65" t="str">
        <f>IFERROR(__xludf.DUMMYFUNCTION("""COMPUTED_VALUE"""),"CUCHILLO PARA CHEF")</f>
        <v>CUCHILLO PARA CHEF</v>
      </c>
      <c r="AD2164" s="65"/>
      <c r="AE2164" s="65">
        <f>IFERROR(__xludf.DUMMYFUNCTION("""COMPUTED_VALUE"""),4.0)</f>
        <v>4</v>
      </c>
      <c r="AF2164" s="65"/>
      <c r="AG2164" s="65"/>
      <c r="AH2164" s="65"/>
      <c r="AI2164" s="65"/>
      <c r="AJ2164" s="65"/>
      <c r="AK2164" s="65"/>
      <c r="AL2164" s="65"/>
      <c r="AM2164" s="65"/>
      <c r="AN2164" s="65" t="str">
        <f>IFERROR(__xludf.DUMMYFUNCTION("""COMPUTED_VALUE"""),"18:36")</f>
        <v>18:36</v>
      </c>
      <c r="AO2164" s="65" t="str">
        <f>IFERROR(__xludf.DUMMYFUNCTION("""COMPUTED_VALUE"""),"28-01-2026")</f>
        <v>28-01-2026</v>
      </c>
      <c r="AP2164" s="65" t="str">
        <f>IFERROR(__xludf.DUMMYFUNCTION("""COMPUTED_VALUE"""),"ENTREGA DIGITALIZADA EN CENTRO LOGISTICO")</f>
        <v>ENTREGA DIGITALIZADA EN CENTRO LOGISTICO</v>
      </c>
      <c r="AQ2164" s="65" t="str">
        <f>IFERROR(__xludf.DUMMYFUNCTION("""COMPUTED_VALUE"""),"FATIMA GARCIA")</f>
        <v>FATIMA GARCIA</v>
      </c>
      <c r="AR2164" s="65"/>
      <c r="AS2164" s="65"/>
      <c r="AT2164" s="65" t="str">
        <f>IFERROR(__xludf.DUMMYFUNCTION("""COMPUTED_VALUE"""),"SHOPIFY")</f>
        <v>SHOPIFY</v>
      </c>
      <c r="AU2164" s="65" t="str">
        <f>IFERROR(__xludf.DUMMYFUNCTION("""COMPUTED_VALUE"""),"IMPORTEX EC")</f>
        <v>IMPORTEX EC</v>
      </c>
      <c r="AV2164" s="65" t="str">
        <f>IFERROR(__xludf.DUMMYFUNCTION("""COMPUTED_VALUE"""),"6403668148268")</f>
        <v>6403668148268</v>
      </c>
      <c r="AW2164" s="65">
        <f>IFERROR(__xludf.DUMMYFUNCTION("""COMPUTED_VALUE"""),4797.0)</f>
        <v>4797</v>
      </c>
      <c r="AX2164" s="65"/>
      <c r="AY2164" s="65" t="str">
        <f>IFERROR(__xludf.DUMMYFUNCTION("""COMPUTED_VALUE"""),"14/01/2026")</f>
        <v>14/01/2026</v>
      </c>
      <c r="AZ2164" s="65"/>
      <c r="BA2164" s="65"/>
    </row>
    <row r="2165">
      <c r="A2165" s="65" t="str">
        <f>IFERROR(__xludf.DUMMYFUNCTION("""COMPUTED_VALUE"""),"27-03-2026")</f>
        <v>27-03-2026</v>
      </c>
      <c r="B2165" s="65">
        <f>IFERROR(__xludf.DUMMYFUNCTION("""COMPUTED_VALUE"""),4092499.0)</f>
        <v>4092499</v>
      </c>
      <c r="C2165" s="65" t="str">
        <f>IFERROR(__xludf.DUMMYFUNCTION("""COMPUTED_VALUE"""),"10:09")</f>
        <v>10:09</v>
      </c>
      <c r="D2165" s="65" t="str">
        <f>IFERROR(__xludf.DUMMYFUNCTION("""COMPUTED_VALUE"""),"10-01-2026")</f>
        <v>10-01-2026</v>
      </c>
      <c r="E2165" s="65" t="str">
        <f>IFERROR(__xludf.DUMMYFUNCTION("""COMPUTED_VALUE"""),"Armando Baque P")</f>
        <v>Armando Baque P</v>
      </c>
      <c r="F2165" s="65" t="str">
        <f>IFERROR(__xludf.DUMMYFUNCTION("""COMPUTED_VALUE"""),"989561172")</f>
        <v>989561172</v>
      </c>
      <c r="G2165" s="65" t="str">
        <f>IFERROR(__xludf.DUMMYFUNCTION("""COMPUTED_VALUE"""),"armandoeduardo1962@hotmail.com")</f>
        <v>armandoeduardo1962@hotmail.com</v>
      </c>
      <c r="H2165" s="65"/>
      <c r="I2165" s="65"/>
      <c r="J2165" s="65" t="str">
        <f>IFERROR(__xludf.DUMMYFUNCTION("""COMPUTED_VALUE"""),"186973366")</f>
        <v>186973366</v>
      </c>
      <c r="K2165" s="65" t="str">
        <f>IFERROR(__xludf.DUMMYFUNCTION("""COMPUTED_VALUE"""),"ENTREGADO")</f>
        <v>ENTREGADO</v>
      </c>
      <c r="L2165" s="65" t="str">
        <f>IFERROR(__xludf.DUMMYFUNCTION("""COMPUTED_VALUE"""),"CON RECAUDO")</f>
        <v>CON RECAUDO</v>
      </c>
      <c r="M2165" s="65" t="str">
        <f>IFERROR(__xludf.DUMMYFUNCTION("""COMPUTED_VALUE"""),"GUAYAS")</f>
        <v>GUAYAS</v>
      </c>
      <c r="N2165" s="65" t="str">
        <f>IFERROR(__xludf.DUMMYFUNCTION("""COMPUTED_VALUE"""),"POSORJA")</f>
        <v>POSORJA</v>
      </c>
      <c r="O2165" s="65" t="str">
        <f>IFERROR(__xludf.DUMMYFUNCTION("""COMPUTED_VALUE"""),"Posorja avenida principal a 2 cuadra de CTE Frente al Nay clud punto rojo -")</f>
        <v>Posorja avenida principal a 2 cuadra de CTE Frente al Nay clud punto rojo -</v>
      </c>
      <c r="P2165" s="65"/>
      <c r="Q2165" s="65" t="str">
        <f>IFERROR(__xludf.DUMMYFUNCTION("""COMPUTED_VALUE"""),"SERVIENTREGA")</f>
        <v>SERVIENTREGA</v>
      </c>
      <c r="R2165" s="65">
        <f>IFERROR(__xludf.DUMMYFUNCTION("""COMPUTED_VALUE"""),32.0)</f>
        <v>32</v>
      </c>
      <c r="S2165" s="65">
        <f>IFERROR(__xludf.DUMMYFUNCTION("""COMPUTED_VALUE"""),13.75)</f>
        <v>13.75</v>
      </c>
      <c r="T2165" s="65">
        <f>IFERROR(__xludf.DUMMYFUNCTION("""COMPUTED_VALUE"""),7.85)</f>
        <v>7.85</v>
      </c>
      <c r="U2165" s="65">
        <f>IFERROR(__xludf.DUMMYFUNCTION("""COMPUTED_VALUE"""),0.0)</f>
        <v>0</v>
      </c>
      <c r="V2165" s="65">
        <f>IFERROR(__xludf.DUMMYFUNCTION("""COMPUTED_VALUE"""),0.0)</f>
        <v>0</v>
      </c>
      <c r="W2165" s="65">
        <f>IFERROR(__xludf.DUMMYFUNCTION("""COMPUTED_VALUE"""),0.0)</f>
        <v>0</v>
      </c>
      <c r="X2165" s="65">
        <f>IFERROR(__xludf.DUMMYFUNCTION("""COMPUTED_VALUE"""),2.6)</f>
        <v>2.6</v>
      </c>
      <c r="Y2165" s="65">
        <f>IFERROR(__xludf.DUMMYFUNCTION("""COMPUTED_VALUE"""),10.4)</f>
        <v>10.4</v>
      </c>
      <c r="Z2165" s="65">
        <f>IFERROR(__xludf.DUMMYFUNCTION("""COMPUTED_VALUE"""),121983.0)</f>
        <v>121983</v>
      </c>
      <c r="AA2165" s="65" t="str">
        <f>IFERROR(__xludf.DUMMYFUNCTION("""COMPUTED_VALUE"""),"PROV-CHLLCF")</f>
        <v>PROV-CHLLCF</v>
      </c>
      <c r="AB2165" s="65"/>
      <c r="AC2165" s="65" t="str">
        <f>IFERROR(__xludf.DUMMYFUNCTION("""COMPUTED_VALUE"""),"CUCHILLO PARA CHEF")</f>
        <v>CUCHILLO PARA CHEF</v>
      </c>
      <c r="AD2165" s="65"/>
      <c r="AE2165" s="65">
        <f>IFERROR(__xludf.DUMMYFUNCTION("""COMPUTED_VALUE"""),4.0)</f>
        <v>4</v>
      </c>
      <c r="AF2165" s="65" t="str">
        <f>IFERROR(__xludf.DUMMYFUNCTION("""COMPUTED_VALUE"""),"NO HAY QUIEN RECIBA")</f>
        <v>NO HAY QUIEN RECIBA</v>
      </c>
      <c r="AG2165" s="65" t="str">
        <f>IFERROR(__xludf.DUMMYFUNCTION("""COMPUTED_VALUE"""),"NO")</f>
        <v>NO</v>
      </c>
      <c r="AH2165" s="65" t="str">
        <f>IFERROR(__xludf.DUMMYFUNCTION("""COMPUTED_VALUE"""),"10:24")</f>
        <v>10:24</v>
      </c>
      <c r="AI2165" s="65" t="str">
        <f>IFERROR(__xludf.DUMMYFUNCTION("""COMPUTED_VALUE"""),"16-01-2026")</f>
        <v>16-01-2026</v>
      </c>
      <c r="AJ2165" s="65"/>
      <c r="AK2165" s="65"/>
      <c r="AL2165" s="65"/>
      <c r="AM2165" s="65"/>
      <c r="AN2165" s="65" t="str">
        <f>IFERROR(__xludf.DUMMYFUNCTION("""COMPUTED_VALUE"""),"13:08")</f>
        <v>13:08</v>
      </c>
      <c r="AO2165" s="65" t="str">
        <f>IFERROR(__xludf.DUMMYFUNCTION("""COMPUTED_VALUE"""),"05-02-2026")</f>
        <v>05-02-2026</v>
      </c>
      <c r="AP2165" s="65" t="str">
        <f>IFERROR(__xludf.DUMMYFUNCTION("""COMPUTED_VALUE"""),"ENTREGA DIGITALIZADA EN CENTRO LOGISTICO")</f>
        <v>ENTREGA DIGITALIZADA EN CENTRO LOGISTICO</v>
      </c>
      <c r="AQ2165" s="65" t="str">
        <f>IFERROR(__xludf.DUMMYFUNCTION("""COMPUTED_VALUE"""),"Armando Baque")</f>
        <v>Armando Baque</v>
      </c>
      <c r="AR2165" s="65"/>
      <c r="AS2165" s="65"/>
      <c r="AT2165" s="65" t="str">
        <f>IFERROR(__xludf.DUMMYFUNCTION("""COMPUTED_VALUE"""),"SHOPIFY")</f>
        <v>SHOPIFY</v>
      </c>
      <c r="AU2165" s="65" t="str">
        <f>IFERROR(__xludf.DUMMYFUNCTION("""COMPUTED_VALUE"""),"IMPORTEX EC")</f>
        <v>IMPORTEX EC</v>
      </c>
      <c r="AV2165" s="65" t="str">
        <f>IFERROR(__xludf.DUMMYFUNCTION("""COMPUTED_VALUE"""),"6403657695276")</f>
        <v>6403657695276</v>
      </c>
      <c r="AW2165" s="65">
        <f>IFERROR(__xludf.DUMMYFUNCTION("""COMPUTED_VALUE"""),4796.0)</f>
        <v>4796</v>
      </c>
      <c r="AX2165" s="65"/>
      <c r="AY2165" s="65" t="str">
        <f>IFERROR(__xludf.DUMMYFUNCTION("""COMPUTED_VALUE"""),"14/01/2026")</f>
        <v>14/01/2026</v>
      </c>
      <c r="AZ2165" s="65"/>
      <c r="BA2165" s="65"/>
    </row>
    <row r="2166">
      <c r="A2166" s="65" t="str">
        <f>IFERROR(__xludf.DUMMYFUNCTION("""COMPUTED_VALUE"""),"27-03-2026")</f>
        <v>27-03-2026</v>
      </c>
      <c r="B2166" s="65">
        <f>IFERROR(__xludf.DUMMYFUNCTION("""COMPUTED_VALUE"""),4092444.0)</f>
        <v>4092444</v>
      </c>
      <c r="C2166" s="65" t="str">
        <f>IFERROR(__xludf.DUMMYFUNCTION("""COMPUTED_VALUE"""),"10:05")</f>
        <v>10:05</v>
      </c>
      <c r="D2166" s="65" t="str">
        <f>IFERROR(__xludf.DUMMYFUNCTION("""COMPUTED_VALUE"""),"10-01-2026")</f>
        <v>10-01-2026</v>
      </c>
      <c r="E2166" s="65" t="str">
        <f>IFERROR(__xludf.DUMMYFUNCTION("""COMPUTED_VALUE"""),"Segundo guerrero gorozabel")</f>
        <v>Segundo guerrero gorozabel</v>
      </c>
      <c r="F2166" s="65" t="str">
        <f>IFERROR(__xludf.DUMMYFUNCTION("""COMPUTED_VALUE"""),"997274820")</f>
        <v>997274820</v>
      </c>
      <c r="G2166" s="65" t="str">
        <f>IFERROR(__xludf.DUMMYFUNCTION("""COMPUTED_VALUE"""),"segundolaureano.70@gmail.com")</f>
        <v>segundolaureano.70@gmail.com</v>
      </c>
      <c r="H2166" s="65"/>
      <c r="I2166" s="65"/>
      <c r="J2166" s="65"/>
      <c r="K2166" s="65" t="str">
        <f>IFERROR(__xludf.DUMMYFUNCTION("""COMPUTED_VALUE"""),"CANCELADO")</f>
        <v>CANCELADO</v>
      </c>
      <c r="L2166" s="65" t="str">
        <f>IFERROR(__xludf.DUMMYFUNCTION("""COMPUTED_VALUE"""),"CON RECAUDO")</f>
        <v>CON RECAUDO</v>
      </c>
      <c r="M2166" s="65" t="str">
        <f>IFERROR(__xludf.DUMMYFUNCTION("""COMPUTED_VALUE"""),"GUAYAS")</f>
        <v>GUAYAS</v>
      </c>
      <c r="N2166" s="65" t="str">
        <f>IFERROR(__xludf.DUMMYFUNCTION("""COMPUTED_VALUE"""),"GUAYAQUIL")</f>
        <v>GUAYAQUIL</v>
      </c>
      <c r="O2166" s="65" t="str">
        <f>IFERROR(__xludf.DUMMYFUNCTION("""COMPUTED_VALUE"""),"La 43 y la n entre la ñ batallón del surbubio y-por serví entrega parque california -")</f>
        <v>La 43 y la n entre la ñ batallón del surbubio y-por serví entrega parque california -</v>
      </c>
      <c r="P2166" s="65"/>
      <c r="Q2166" s="65" t="str">
        <f>IFERROR(__xludf.DUMMYFUNCTION("""COMPUTED_VALUE"""),"GINTRACOM")</f>
        <v>GINTRACOM</v>
      </c>
      <c r="R2166" s="65">
        <f>IFERROR(__xludf.DUMMYFUNCTION("""COMPUTED_VALUE"""),22.0)</f>
        <v>22</v>
      </c>
      <c r="S2166" s="65"/>
      <c r="T2166" s="65">
        <f>IFERROR(__xludf.DUMMYFUNCTION("""COMPUTED_VALUE"""),4.23)</f>
        <v>4.23</v>
      </c>
      <c r="U2166" s="65">
        <f>IFERROR(__xludf.DUMMYFUNCTION("""COMPUTED_VALUE"""),0.0)</f>
        <v>0</v>
      </c>
      <c r="V2166" s="65">
        <f>IFERROR(__xludf.DUMMYFUNCTION("""COMPUTED_VALUE"""),0.0)</f>
        <v>0</v>
      </c>
      <c r="W2166" s="65">
        <f>IFERROR(__xludf.DUMMYFUNCTION("""COMPUTED_VALUE"""),0.0)</f>
        <v>0</v>
      </c>
      <c r="X2166" s="65">
        <f>IFERROR(__xludf.DUMMYFUNCTION("""COMPUTED_VALUE"""),2.6)</f>
        <v>2.6</v>
      </c>
      <c r="Y2166" s="65">
        <f>IFERROR(__xludf.DUMMYFUNCTION("""COMPUTED_VALUE"""),5.2)</f>
        <v>5.2</v>
      </c>
      <c r="Z2166" s="65">
        <f>IFERROR(__xludf.DUMMYFUNCTION("""COMPUTED_VALUE"""),121983.0)</f>
        <v>121983</v>
      </c>
      <c r="AA2166" s="65" t="str">
        <f>IFERROR(__xludf.DUMMYFUNCTION("""COMPUTED_VALUE"""),"PROV-CHLLCF")</f>
        <v>PROV-CHLLCF</v>
      </c>
      <c r="AB2166" s="65"/>
      <c r="AC2166" s="65" t="str">
        <f>IFERROR(__xludf.DUMMYFUNCTION("""COMPUTED_VALUE"""),"CUCHILLO PARA CHEF")</f>
        <v>CUCHILLO PARA CHEF</v>
      </c>
      <c r="AD2166" s="65"/>
      <c r="AE2166" s="65">
        <f>IFERROR(__xludf.DUMMYFUNCTION("""COMPUTED_VALUE"""),2.0)</f>
        <v>2</v>
      </c>
      <c r="AF2166" s="65"/>
      <c r="AG2166" s="65"/>
      <c r="AH2166" s="65"/>
      <c r="AI2166" s="65"/>
      <c r="AJ2166" s="65"/>
      <c r="AK2166" s="65"/>
      <c r="AL2166" s="65"/>
      <c r="AM2166" s="65"/>
      <c r="AN2166" s="65"/>
      <c r="AO2166" s="65"/>
      <c r="AP2166" s="65"/>
      <c r="AQ2166" s="65"/>
      <c r="AR2166" s="65"/>
      <c r="AS2166" s="65"/>
      <c r="AT2166" s="65" t="str">
        <f>IFERROR(__xludf.DUMMYFUNCTION("""COMPUTED_VALUE"""),"SHOPIFY")</f>
        <v>SHOPIFY</v>
      </c>
      <c r="AU2166" s="65" t="str">
        <f>IFERROR(__xludf.DUMMYFUNCTION("""COMPUTED_VALUE"""),"IMPORTEX EC")</f>
        <v>IMPORTEX EC</v>
      </c>
      <c r="AV2166" s="65" t="str">
        <f>IFERROR(__xludf.DUMMYFUNCTION("""COMPUTED_VALUE"""),"6403647340588")</f>
        <v>6403647340588</v>
      </c>
      <c r="AW2166" s="65">
        <f>IFERROR(__xludf.DUMMYFUNCTION("""COMPUTED_VALUE"""),4795.0)</f>
        <v>4795</v>
      </c>
      <c r="AX2166" s="65"/>
      <c r="AY2166" s="65"/>
      <c r="AZ2166" s="65"/>
      <c r="BA2166" s="65"/>
    </row>
    <row r="2167">
      <c r="A2167" s="65" t="str">
        <f>IFERROR(__xludf.DUMMYFUNCTION("""COMPUTED_VALUE"""),"27-03-2026")</f>
        <v>27-03-2026</v>
      </c>
      <c r="B2167" s="65">
        <f>IFERROR(__xludf.DUMMYFUNCTION("""COMPUTED_VALUE"""),4092436.0)</f>
        <v>4092436</v>
      </c>
      <c r="C2167" s="65" t="str">
        <f>IFERROR(__xludf.DUMMYFUNCTION("""COMPUTED_VALUE"""),"10:05")</f>
        <v>10:05</v>
      </c>
      <c r="D2167" s="65" t="str">
        <f>IFERROR(__xludf.DUMMYFUNCTION("""COMPUTED_VALUE"""),"10-01-2026")</f>
        <v>10-01-2026</v>
      </c>
      <c r="E2167" s="65" t="str">
        <f>IFERROR(__xludf.DUMMYFUNCTION("""COMPUTED_VALUE"""),"Carlos Abril")</f>
        <v>Carlos Abril</v>
      </c>
      <c r="F2167" s="65" t="str">
        <f>IFERROR(__xludf.DUMMYFUNCTION("""COMPUTED_VALUE"""),"984930270")</f>
        <v>984930270</v>
      </c>
      <c r="G2167" s="65" t="str">
        <f>IFERROR(__xludf.DUMMYFUNCTION("""COMPUTED_VALUE"""),"carbril30@hotmail.com")</f>
        <v>carbril30@hotmail.com</v>
      </c>
      <c r="H2167" s="65"/>
      <c r="I2167" s="65"/>
      <c r="J2167" s="65" t="str">
        <f>IFERROR(__xludf.DUMMYFUNCTION("""COMPUTED_VALUE"""),"D001223272")</f>
        <v>D001223272</v>
      </c>
      <c r="K2167" s="65" t="str">
        <f>IFERROR(__xludf.DUMMYFUNCTION("""COMPUTED_VALUE"""),"ENTREGADO")</f>
        <v>ENTREGADO</v>
      </c>
      <c r="L2167" s="65" t="str">
        <f>IFERROR(__xludf.DUMMYFUNCTION("""COMPUTED_VALUE"""),"CON RECAUDO")</f>
        <v>CON RECAUDO</v>
      </c>
      <c r="M2167" s="65" t="str">
        <f>IFERROR(__xludf.DUMMYFUNCTION("""COMPUTED_VALUE"""),"AZUAY")</f>
        <v>AZUAY</v>
      </c>
      <c r="N2167" s="65" t="str">
        <f>IFERROR(__xludf.DUMMYFUNCTION("""COMPUTED_VALUE"""),"CUENCA")</f>
        <v>CUENCA</v>
      </c>
      <c r="O2167" s="65" t="str">
        <f>IFERROR(__xludf.DUMMYFUNCTION("""COMPUTED_VALUE"""),"Ordoñes L Lasso y Los Olivos. - Frente a la peluquería Itale France del Hotel Oro Verde.")</f>
        <v>Ordoñes L Lasso y Los Olivos. - Frente a la peluquería Itale France del Hotel Oro Verde.</v>
      </c>
      <c r="P2167" s="65"/>
      <c r="Q2167" s="65" t="str">
        <f>IFERROR(__xludf.DUMMYFUNCTION("""COMPUTED_VALUE"""),"GINTRACOM")</f>
        <v>GINTRACOM</v>
      </c>
      <c r="R2167" s="65">
        <f>IFERROR(__xludf.DUMMYFUNCTION("""COMPUTED_VALUE"""),20.0)</f>
        <v>20</v>
      </c>
      <c r="S2167" s="65">
        <f>IFERROR(__xludf.DUMMYFUNCTION("""COMPUTED_VALUE"""),11.45)</f>
        <v>11.45</v>
      </c>
      <c r="T2167" s="65">
        <f>IFERROR(__xludf.DUMMYFUNCTION("""COMPUTED_VALUE"""),5.76)</f>
        <v>5.76</v>
      </c>
      <c r="U2167" s="65">
        <f>IFERROR(__xludf.DUMMYFUNCTION("""COMPUTED_VALUE"""),0.0)</f>
        <v>0</v>
      </c>
      <c r="V2167" s="65">
        <f>IFERROR(__xludf.DUMMYFUNCTION("""COMPUTED_VALUE"""),0.0)</f>
        <v>0</v>
      </c>
      <c r="W2167" s="65">
        <f>IFERROR(__xludf.DUMMYFUNCTION("""COMPUTED_VALUE"""),0.0)</f>
        <v>0</v>
      </c>
      <c r="X2167" s="65">
        <f>IFERROR(__xludf.DUMMYFUNCTION("""COMPUTED_VALUE"""),2.79)</f>
        <v>2.79</v>
      </c>
      <c r="Y2167" s="65">
        <f>IFERROR(__xludf.DUMMYFUNCTION("""COMPUTED_VALUE"""),2.79)</f>
        <v>2.79</v>
      </c>
      <c r="Z2167" s="65">
        <f>IFERROR(__xludf.DUMMYFUNCTION("""COMPUTED_VALUE"""),120732.0)</f>
        <v>120732</v>
      </c>
      <c r="AA2167" s="65" t="str">
        <f>IFERROR(__xludf.DUMMYFUNCTION("""COMPUTED_VALUE"""),"PROV-LMPVT")</f>
        <v>PROV-LMPVT</v>
      </c>
      <c r="AB2167" s="65"/>
      <c r="AC2167" s="65" t="str">
        <f>IFERROR(__xludf.DUMMYFUNCTION("""COMPUTED_VALUE"""),"LIMPIADOR DE PARABRISAS Y VENTANAS")</f>
        <v>LIMPIADOR DE PARABRISAS Y VENTANAS</v>
      </c>
      <c r="AD2167" s="65"/>
      <c r="AE2167" s="65">
        <f>IFERROR(__xludf.DUMMYFUNCTION("""COMPUTED_VALUE"""),1.0)</f>
        <v>1</v>
      </c>
      <c r="AF2167" s="65"/>
      <c r="AG2167" s="65"/>
      <c r="AH2167" s="65"/>
      <c r="AI2167" s="65"/>
      <c r="AJ2167" s="65"/>
      <c r="AK2167" s="65"/>
      <c r="AL2167" s="65"/>
      <c r="AM2167" s="65"/>
      <c r="AN2167" s="65" t="str">
        <f>IFERROR(__xludf.DUMMYFUNCTION("""COMPUTED_VALUE"""),"15:53")</f>
        <v>15:53</v>
      </c>
      <c r="AO2167" s="65" t="str">
        <f>IFERROR(__xludf.DUMMYFUNCTION("""COMPUTED_VALUE"""),"16-01-2026")</f>
        <v>16-01-2026</v>
      </c>
      <c r="AP2167" s="65" t="str">
        <f>IFERROR(__xludf.DUMMYFUNCTION("""COMPUTED_VALUE"""),"ENTREGADA GINTRACOM")</f>
        <v>ENTREGADA GINTRACOM</v>
      </c>
      <c r="AQ2167" s="65" t="str">
        <f>IFERROR(__xludf.DUMMYFUNCTION("""COMPUTED_VALUE"""),"ENTREGADA GINTRACOM")</f>
        <v>ENTREGADA GINTRACOM</v>
      </c>
      <c r="AR2167" s="65"/>
      <c r="AS2167" s="65"/>
      <c r="AT2167" s="65" t="str">
        <f>IFERROR(__xludf.DUMMYFUNCTION("""COMPUTED_VALUE"""),"SHOPIFY")</f>
        <v>SHOPIFY</v>
      </c>
      <c r="AU2167" s="65" t="str">
        <f>IFERROR(__xludf.DUMMYFUNCTION("""COMPUTED_VALUE"""),"IMPORTEX EC")</f>
        <v>IMPORTEX EC</v>
      </c>
      <c r="AV2167" s="65" t="str">
        <f>IFERROR(__xludf.DUMMYFUNCTION("""COMPUTED_VALUE"""),"6403646160940")</f>
        <v>6403646160940</v>
      </c>
      <c r="AW2167" s="65">
        <f>IFERROR(__xludf.DUMMYFUNCTION("""COMPUTED_VALUE"""),4794.0)</f>
        <v>4794</v>
      </c>
      <c r="AX2167" s="65"/>
      <c r="AY2167" s="65" t="str">
        <f>IFERROR(__xludf.DUMMYFUNCTION("""COMPUTED_VALUE"""),"14/01/2026")</f>
        <v>14/01/2026</v>
      </c>
      <c r="AZ2167" s="65"/>
      <c r="BA2167" s="65"/>
    </row>
    <row r="2168">
      <c r="A2168" s="65" t="str">
        <f>IFERROR(__xludf.DUMMYFUNCTION("""COMPUTED_VALUE"""),"27-03-2026")</f>
        <v>27-03-2026</v>
      </c>
      <c r="B2168" s="65">
        <f>IFERROR(__xludf.DUMMYFUNCTION("""COMPUTED_VALUE"""),4092315.0)</f>
        <v>4092315</v>
      </c>
      <c r="C2168" s="65" t="str">
        <f>IFERROR(__xludf.DUMMYFUNCTION("""COMPUTED_VALUE"""),"09:55")</f>
        <v>09:55</v>
      </c>
      <c r="D2168" s="65" t="str">
        <f>IFERROR(__xludf.DUMMYFUNCTION("""COMPUTED_VALUE"""),"10-01-2026")</f>
        <v>10-01-2026</v>
      </c>
      <c r="E2168" s="65" t="str">
        <f>IFERROR(__xludf.DUMMYFUNCTION("""COMPUTED_VALUE"""),"Jose vicente Pino Negron")</f>
        <v>Jose vicente Pino Negron</v>
      </c>
      <c r="F2168" s="65" t="str">
        <f>IFERROR(__xludf.DUMMYFUNCTION("""COMPUTED_VALUE"""),"984882187")</f>
        <v>984882187</v>
      </c>
      <c r="G2168" s="65" t="str">
        <f>IFERROR(__xludf.DUMMYFUNCTION("""COMPUTED_VALUE"""),"vichepine@hotmail.com")</f>
        <v>vichepine@hotmail.com</v>
      </c>
      <c r="H2168" s="65"/>
      <c r="I2168" s="65"/>
      <c r="J2168" s="65" t="str">
        <f>IFERROR(__xludf.DUMMYFUNCTION("""COMPUTED_VALUE"""),"D001223273")</f>
        <v>D001223273</v>
      </c>
      <c r="K2168" s="65" t="str">
        <f>IFERROR(__xludf.DUMMYFUNCTION("""COMPUTED_VALUE"""),"ENTREGADO")</f>
        <v>ENTREGADO</v>
      </c>
      <c r="L2168" s="65" t="str">
        <f>IFERROR(__xludf.DUMMYFUNCTION("""COMPUTED_VALUE"""),"CON RECAUDO")</f>
        <v>CON RECAUDO</v>
      </c>
      <c r="M2168" s="65" t="str">
        <f>IFERROR(__xludf.DUMMYFUNCTION("""COMPUTED_VALUE"""),"GUAYAS")</f>
        <v>GUAYAS</v>
      </c>
      <c r="N2168" s="65" t="str">
        <f>IFERROR(__xludf.DUMMYFUNCTION("""COMPUTED_VALUE"""),"DAULE")</f>
        <v>DAULE</v>
      </c>
      <c r="O2168" s="65" t="str">
        <f>IFERROR(__xludf.DUMMYFUNCTION("""COMPUTED_VALUE"""),"Urb. Aura de villa Club , MZ L ViLLA 50 -La piazza Aura de villa club -")</f>
        <v>Urb. Aura de villa Club , MZ L ViLLA 50 -La piazza Aura de villa club -</v>
      </c>
      <c r="P2168" s="65"/>
      <c r="Q2168" s="65" t="str">
        <f>IFERROR(__xludf.DUMMYFUNCTION("""COMPUTED_VALUE"""),"GINTRACOM")</f>
        <v>GINTRACOM</v>
      </c>
      <c r="R2168" s="65">
        <f>IFERROR(__xludf.DUMMYFUNCTION("""COMPUTED_VALUE"""),25.0)</f>
        <v>25</v>
      </c>
      <c r="S2168" s="65">
        <f>IFERROR(__xludf.DUMMYFUNCTION("""COMPUTED_VALUE"""),14.04)</f>
        <v>14.04</v>
      </c>
      <c r="T2168" s="65">
        <f>IFERROR(__xludf.DUMMYFUNCTION("""COMPUTED_VALUE"""),5.38)</f>
        <v>5.38</v>
      </c>
      <c r="U2168" s="65">
        <f>IFERROR(__xludf.DUMMYFUNCTION("""COMPUTED_VALUE"""),0.0)</f>
        <v>0</v>
      </c>
      <c r="V2168" s="65">
        <f>IFERROR(__xludf.DUMMYFUNCTION("""COMPUTED_VALUE"""),0.0)</f>
        <v>0</v>
      </c>
      <c r="W2168" s="65">
        <f>IFERROR(__xludf.DUMMYFUNCTION("""COMPUTED_VALUE"""),0.0)</f>
        <v>0</v>
      </c>
      <c r="X2168" s="65">
        <f>IFERROR(__xludf.DUMMYFUNCTION("""COMPUTED_VALUE"""),2.79)</f>
        <v>2.79</v>
      </c>
      <c r="Y2168" s="65">
        <f>IFERROR(__xludf.DUMMYFUNCTION("""COMPUTED_VALUE"""),5.58)</f>
        <v>5.58</v>
      </c>
      <c r="Z2168" s="65">
        <f>IFERROR(__xludf.DUMMYFUNCTION("""COMPUTED_VALUE"""),120732.0)</f>
        <v>120732</v>
      </c>
      <c r="AA2168" s="65" t="str">
        <f>IFERROR(__xludf.DUMMYFUNCTION("""COMPUTED_VALUE"""),"PROV-LMPVT")</f>
        <v>PROV-LMPVT</v>
      </c>
      <c r="AB2168" s="65"/>
      <c r="AC2168" s="65" t="str">
        <f>IFERROR(__xludf.DUMMYFUNCTION("""COMPUTED_VALUE"""),"LIMPIADOR DE PARABRISAS Y VENTANAS")</f>
        <v>LIMPIADOR DE PARABRISAS Y VENTANAS</v>
      </c>
      <c r="AD2168" s="65"/>
      <c r="AE2168" s="65">
        <f>IFERROR(__xludf.DUMMYFUNCTION("""COMPUTED_VALUE"""),2.0)</f>
        <v>2</v>
      </c>
      <c r="AF2168" s="65"/>
      <c r="AG2168" s="65"/>
      <c r="AH2168" s="65"/>
      <c r="AI2168" s="65"/>
      <c r="AJ2168" s="65"/>
      <c r="AK2168" s="65"/>
      <c r="AL2168" s="65"/>
      <c r="AM2168" s="65"/>
      <c r="AN2168" s="65" t="str">
        <f>IFERROR(__xludf.DUMMYFUNCTION("""COMPUTED_VALUE"""),"11:45")</f>
        <v>11:45</v>
      </c>
      <c r="AO2168" s="65" t="str">
        <f>IFERROR(__xludf.DUMMYFUNCTION("""COMPUTED_VALUE"""),"15-01-2026")</f>
        <v>15-01-2026</v>
      </c>
      <c r="AP2168" s="65" t="str">
        <f>IFERROR(__xludf.DUMMYFUNCTION("""COMPUTED_VALUE"""),"ENTREGADA GINTRACOM")</f>
        <v>ENTREGADA GINTRACOM</v>
      </c>
      <c r="AQ2168" s="65" t="str">
        <f>IFERROR(__xludf.DUMMYFUNCTION("""COMPUTED_VALUE"""),"ENTREGADA GINTRACOM")</f>
        <v>ENTREGADA GINTRACOM</v>
      </c>
      <c r="AR2168" s="65"/>
      <c r="AS2168" s="65"/>
      <c r="AT2168" s="65" t="str">
        <f>IFERROR(__xludf.DUMMYFUNCTION("""COMPUTED_VALUE"""),"SHOPIFY")</f>
        <v>SHOPIFY</v>
      </c>
      <c r="AU2168" s="65" t="str">
        <f>IFERROR(__xludf.DUMMYFUNCTION("""COMPUTED_VALUE"""),"IMPORTEX EC")</f>
        <v>IMPORTEX EC</v>
      </c>
      <c r="AV2168" s="65" t="str">
        <f>IFERROR(__xludf.DUMMYFUNCTION("""COMPUTED_VALUE"""),"6403629580332")</f>
        <v>6403629580332</v>
      </c>
      <c r="AW2168" s="65">
        <f>IFERROR(__xludf.DUMMYFUNCTION("""COMPUTED_VALUE"""),4793.0)</f>
        <v>4793</v>
      </c>
      <c r="AX2168" s="65"/>
      <c r="AY2168" s="65" t="str">
        <f>IFERROR(__xludf.DUMMYFUNCTION("""COMPUTED_VALUE"""),"14/01/2026")</f>
        <v>14/01/2026</v>
      </c>
      <c r="AZ2168" s="65"/>
      <c r="BA2168" s="65"/>
    </row>
    <row r="2169">
      <c r="A2169" s="65" t="str">
        <f>IFERROR(__xludf.DUMMYFUNCTION("""COMPUTED_VALUE"""),"27-03-2026")</f>
        <v>27-03-2026</v>
      </c>
      <c r="B2169" s="65">
        <f>IFERROR(__xludf.DUMMYFUNCTION("""COMPUTED_VALUE"""),4092251.0)</f>
        <v>4092251</v>
      </c>
      <c r="C2169" s="65" t="str">
        <f>IFERROR(__xludf.DUMMYFUNCTION("""COMPUTED_VALUE"""),"09:51")</f>
        <v>09:51</v>
      </c>
      <c r="D2169" s="65" t="str">
        <f>IFERROR(__xludf.DUMMYFUNCTION("""COMPUTED_VALUE"""),"10-01-2026")</f>
        <v>10-01-2026</v>
      </c>
      <c r="E2169" s="65" t="str">
        <f>IFERROR(__xludf.DUMMYFUNCTION("""COMPUTED_VALUE"""),"Miguel Nicolalde Nicolalde")</f>
        <v>Miguel Nicolalde Nicolalde</v>
      </c>
      <c r="F2169" s="65" t="str">
        <f>IFERROR(__xludf.DUMMYFUNCTION("""COMPUTED_VALUE"""),"986668762")</f>
        <v>986668762</v>
      </c>
      <c r="G2169" s="65" t="str">
        <f>IFERROR(__xludf.DUMMYFUNCTION("""COMPUTED_VALUE"""),"miguelnicolalde@outlook.com")</f>
        <v>miguelnicolalde@outlook.com</v>
      </c>
      <c r="H2169" s="65"/>
      <c r="I2169" s="65"/>
      <c r="J2169" s="65" t="str">
        <f>IFERROR(__xludf.DUMMYFUNCTION("""COMPUTED_VALUE"""),"186973368")</f>
        <v>186973368</v>
      </c>
      <c r="K2169" s="65" t="str">
        <f>IFERROR(__xludf.DUMMYFUNCTION("""COMPUTED_VALUE"""),"ENTREGADO")</f>
        <v>ENTREGADO</v>
      </c>
      <c r="L2169" s="65" t="str">
        <f>IFERROR(__xludf.DUMMYFUNCTION("""COMPUTED_VALUE"""),"CON RECAUDO")</f>
        <v>CON RECAUDO</v>
      </c>
      <c r="M2169" s="65" t="str">
        <f>IFERROR(__xludf.DUMMYFUNCTION("""COMPUTED_VALUE"""),"PICHINCHA")</f>
        <v>PICHINCHA</v>
      </c>
      <c r="N2169" s="65" t="str">
        <f>IFERROR(__xludf.DUMMYFUNCTION("""COMPUTED_VALUE"""),"GUAYLLABAMBA")</f>
        <v>GUAYLLABAMBA</v>
      </c>
      <c r="O2169" s="65" t="str">
        <f>IFERROR(__xludf.DUMMYFUNCTION("""COMPUTED_VALUE"""),"-guaylllabamba Via el jordan y vista hermosa -")</f>
        <v>-guaylllabamba Via el jordan y vista hermosa -</v>
      </c>
      <c r="P2169" s="65"/>
      <c r="Q2169" s="65" t="str">
        <f>IFERROR(__xludf.DUMMYFUNCTION("""COMPUTED_VALUE"""),"SERVIENTREGA")</f>
        <v>SERVIENTREGA</v>
      </c>
      <c r="R2169" s="65">
        <f>IFERROR(__xludf.DUMMYFUNCTION("""COMPUTED_VALUE"""),25.0)</f>
        <v>25</v>
      </c>
      <c r="S2169" s="65">
        <f>IFERROR(__xludf.DUMMYFUNCTION("""COMPUTED_VALUE"""),11.67)</f>
        <v>11.67</v>
      </c>
      <c r="T2169" s="65">
        <f>IFERROR(__xludf.DUMMYFUNCTION("""COMPUTED_VALUE"""),7.75)</f>
        <v>7.75</v>
      </c>
      <c r="U2169" s="65">
        <f>IFERROR(__xludf.DUMMYFUNCTION("""COMPUTED_VALUE"""),0.0)</f>
        <v>0</v>
      </c>
      <c r="V2169" s="65">
        <f>IFERROR(__xludf.DUMMYFUNCTION("""COMPUTED_VALUE"""),0.0)</f>
        <v>0</v>
      </c>
      <c r="W2169" s="65">
        <f>IFERROR(__xludf.DUMMYFUNCTION("""COMPUTED_VALUE"""),0.0)</f>
        <v>0</v>
      </c>
      <c r="X2169" s="65">
        <f>IFERROR(__xludf.DUMMYFUNCTION("""COMPUTED_VALUE"""),2.79)</f>
        <v>2.79</v>
      </c>
      <c r="Y2169" s="65">
        <f>IFERROR(__xludf.DUMMYFUNCTION("""COMPUTED_VALUE"""),5.58)</f>
        <v>5.58</v>
      </c>
      <c r="Z2169" s="65">
        <f>IFERROR(__xludf.DUMMYFUNCTION("""COMPUTED_VALUE"""),120732.0)</f>
        <v>120732</v>
      </c>
      <c r="AA2169" s="65" t="str">
        <f>IFERROR(__xludf.DUMMYFUNCTION("""COMPUTED_VALUE"""),"PROV-LMPVT")</f>
        <v>PROV-LMPVT</v>
      </c>
      <c r="AB2169" s="65"/>
      <c r="AC2169" s="65" t="str">
        <f>IFERROR(__xludf.DUMMYFUNCTION("""COMPUTED_VALUE"""),"LIMPIADOR DE PARABRISAS Y VENTANAS")</f>
        <v>LIMPIADOR DE PARABRISAS Y VENTANAS</v>
      </c>
      <c r="AD2169" s="65"/>
      <c r="AE2169" s="65">
        <f>IFERROR(__xludf.DUMMYFUNCTION("""COMPUTED_VALUE"""),2.0)</f>
        <v>2</v>
      </c>
      <c r="AF2169" s="65"/>
      <c r="AG2169" s="65"/>
      <c r="AH2169" s="65"/>
      <c r="AI2169" s="65"/>
      <c r="AJ2169" s="65"/>
      <c r="AK2169" s="65"/>
      <c r="AL2169" s="65"/>
      <c r="AM2169" s="65"/>
      <c r="AN2169" s="65" t="str">
        <f>IFERROR(__xludf.DUMMYFUNCTION("""COMPUTED_VALUE"""),"10:12")</f>
        <v>10:12</v>
      </c>
      <c r="AO2169" s="65" t="str">
        <f>IFERROR(__xludf.DUMMYFUNCTION("""COMPUTED_VALUE"""),"16-01-2026")</f>
        <v>16-01-2026</v>
      </c>
      <c r="AP2169" s="65" t="str">
        <f>IFERROR(__xludf.DUMMYFUNCTION("""COMPUTED_VALUE"""),"REPORTADO ENTREGADO EN APP")</f>
        <v>REPORTADO ENTREGADO EN APP</v>
      </c>
      <c r="AQ2169" s="65" t="str">
        <f>IFERROR(__xludf.DUMMYFUNCTION("""COMPUTED_VALUE"""),"Miguel Nicolalde")</f>
        <v>Miguel Nicolalde</v>
      </c>
      <c r="AR2169" s="65"/>
      <c r="AS2169" s="65"/>
      <c r="AT2169" s="65" t="str">
        <f>IFERROR(__xludf.DUMMYFUNCTION("""COMPUTED_VALUE"""),"SHOPIFY")</f>
        <v>SHOPIFY</v>
      </c>
      <c r="AU2169" s="65" t="str">
        <f>IFERROR(__xludf.DUMMYFUNCTION("""COMPUTED_VALUE"""),"IMPORTEX EC")</f>
        <v>IMPORTEX EC</v>
      </c>
      <c r="AV2169" s="65" t="str">
        <f>IFERROR(__xludf.DUMMYFUNCTION("""COMPUTED_VALUE"""),"6403619192876")</f>
        <v>6403619192876</v>
      </c>
      <c r="AW2169" s="65">
        <f>IFERROR(__xludf.DUMMYFUNCTION("""COMPUTED_VALUE"""),4792.0)</f>
        <v>4792</v>
      </c>
      <c r="AX2169" s="65"/>
      <c r="AY2169" s="65" t="str">
        <f>IFERROR(__xludf.DUMMYFUNCTION("""COMPUTED_VALUE"""),"14/01/2026")</f>
        <v>14/01/2026</v>
      </c>
      <c r="AZ2169" s="65"/>
      <c r="BA2169" s="65"/>
    </row>
    <row r="2170">
      <c r="A2170" s="65" t="str">
        <f>IFERROR(__xludf.DUMMYFUNCTION("""COMPUTED_VALUE"""),"27-03-2026")</f>
        <v>27-03-2026</v>
      </c>
      <c r="B2170" s="65">
        <f>IFERROR(__xludf.DUMMYFUNCTION("""COMPUTED_VALUE"""),4092085.0)</f>
        <v>4092085</v>
      </c>
      <c r="C2170" s="65" t="str">
        <f>IFERROR(__xludf.DUMMYFUNCTION("""COMPUTED_VALUE"""),"09:37")</f>
        <v>09:37</v>
      </c>
      <c r="D2170" s="65" t="str">
        <f>IFERROR(__xludf.DUMMYFUNCTION("""COMPUTED_VALUE"""),"10-01-2026")</f>
        <v>10-01-2026</v>
      </c>
      <c r="E2170" s="65" t="str">
        <f>IFERROR(__xludf.DUMMYFUNCTION("""COMPUTED_VALUE"""),"Roberta Sarango Jiménez Sarango Jiménez")</f>
        <v>Roberta Sarango Jiménez Sarango Jiménez</v>
      </c>
      <c r="F2170" s="65" t="str">
        <f>IFERROR(__xludf.DUMMYFUNCTION("""COMPUTED_VALUE"""),"988096363")</f>
        <v>988096363</v>
      </c>
      <c r="G2170" s="65" t="str">
        <f>IFERROR(__xludf.DUMMYFUNCTION("""COMPUTED_VALUE"""),"robertitasarango@gmail.com")</f>
        <v>robertitasarango@gmail.com</v>
      </c>
      <c r="H2170" s="65"/>
      <c r="I2170" s="65"/>
      <c r="J2170" s="65"/>
      <c r="K2170" s="65" t="str">
        <f>IFERROR(__xludf.DUMMYFUNCTION("""COMPUTED_VALUE"""),"CANCELADO")</f>
        <v>CANCELADO</v>
      </c>
      <c r="L2170" s="65" t="str">
        <f>IFERROR(__xludf.DUMMYFUNCTION("""COMPUTED_VALUE"""),"CON RECAUDO")</f>
        <v>CON RECAUDO</v>
      </c>
      <c r="M2170" s="65" t="str">
        <f>IFERROR(__xludf.DUMMYFUNCTION("""COMPUTED_VALUE"""),"ZAMORA CHINCHIPE")</f>
        <v>ZAMORA CHINCHIPE</v>
      </c>
      <c r="N2170" s="65" t="str">
        <f>IFERROR(__xludf.DUMMYFUNCTION("""COMPUTED_VALUE"""),"YANTZAZA")</f>
        <v>YANTZAZA</v>
      </c>
      <c r="O2170" s="65" t="str">
        <f>IFERROR(__xludf.DUMMYFUNCTION("""COMPUTED_VALUE"""),"Barrio San Francisco, C/ Geranios entre Rio Amazonas y Velazco Ibarra Segundo piso de cerakej eventos -")</f>
        <v>Barrio San Francisco, C/ Geranios entre Rio Amazonas y Velazco Ibarra Segundo piso de cerakej eventos -</v>
      </c>
      <c r="P2170" s="65"/>
      <c r="Q2170" s="65" t="str">
        <f>IFERROR(__xludf.DUMMYFUNCTION("""COMPUTED_VALUE"""),"SERVIENTREGA")</f>
        <v>SERVIENTREGA</v>
      </c>
      <c r="R2170" s="65">
        <f>IFERROR(__xludf.DUMMYFUNCTION("""COMPUTED_VALUE"""),22.0)</f>
        <v>22</v>
      </c>
      <c r="S2170" s="65"/>
      <c r="T2170" s="65">
        <f>IFERROR(__xludf.DUMMYFUNCTION("""COMPUTED_VALUE"""),7.7)</f>
        <v>7.7</v>
      </c>
      <c r="U2170" s="65">
        <f>IFERROR(__xludf.DUMMYFUNCTION("""COMPUTED_VALUE"""),0.0)</f>
        <v>0</v>
      </c>
      <c r="V2170" s="65">
        <f>IFERROR(__xludf.DUMMYFUNCTION("""COMPUTED_VALUE"""),0.0)</f>
        <v>0</v>
      </c>
      <c r="W2170" s="65">
        <f>IFERROR(__xludf.DUMMYFUNCTION("""COMPUTED_VALUE"""),0.0)</f>
        <v>0</v>
      </c>
      <c r="X2170" s="65">
        <f>IFERROR(__xludf.DUMMYFUNCTION("""COMPUTED_VALUE"""),2.6)</f>
        <v>2.6</v>
      </c>
      <c r="Y2170" s="65">
        <f>IFERROR(__xludf.DUMMYFUNCTION("""COMPUTED_VALUE"""),5.2)</f>
        <v>5.2</v>
      </c>
      <c r="Z2170" s="65">
        <f>IFERROR(__xludf.DUMMYFUNCTION("""COMPUTED_VALUE"""),121983.0)</f>
        <v>121983</v>
      </c>
      <c r="AA2170" s="65" t="str">
        <f>IFERROR(__xludf.DUMMYFUNCTION("""COMPUTED_VALUE"""),"PROV-CHLLCF")</f>
        <v>PROV-CHLLCF</v>
      </c>
      <c r="AB2170" s="65"/>
      <c r="AC2170" s="65" t="str">
        <f>IFERROR(__xludf.DUMMYFUNCTION("""COMPUTED_VALUE"""),"CUCHILLO PARA CHEF")</f>
        <v>CUCHILLO PARA CHEF</v>
      </c>
      <c r="AD2170" s="65"/>
      <c r="AE2170" s="65">
        <f>IFERROR(__xludf.DUMMYFUNCTION("""COMPUTED_VALUE"""),2.0)</f>
        <v>2</v>
      </c>
      <c r="AF2170" s="65"/>
      <c r="AG2170" s="65"/>
      <c r="AH2170" s="65"/>
      <c r="AI2170" s="65"/>
      <c r="AJ2170" s="65"/>
      <c r="AK2170" s="65"/>
      <c r="AL2170" s="65"/>
      <c r="AM2170" s="65"/>
      <c r="AN2170" s="65"/>
      <c r="AO2170" s="65"/>
      <c r="AP2170" s="65"/>
      <c r="AQ2170" s="65"/>
      <c r="AR2170" s="65"/>
      <c r="AS2170" s="65"/>
      <c r="AT2170" s="65" t="str">
        <f>IFERROR(__xludf.DUMMYFUNCTION("""COMPUTED_VALUE"""),"SHOPIFY")</f>
        <v>SHOPIFY</v>
      </c>
      <c r="AU2170" s="65" t="str">
        <f>IFERROR(__xludf.DUMMYFUNCTION("""COMPUTED_VALUE"""),"IMPORTEX EC")</f>
        <v>IMPORTEX EC</v>
      </c>
      <c r="AV2170" s="65" t="str">
        <f>IFERROR(__xludf.DUMMYFUNCTION("""COMPUTED_VALUE"""),"6403591176236")</f>
        <v>6403591176236</v>
      </c>
      <c r="AW2170" s="65">
        <f>IFERROR(__xludf.DUMMYFUNCTION("""COMPUTED_VALUE"""),4790.0)</f>
        <v>4790</v>
      </c>
      <c r="AX2170" s="65"/>
      <c r="AY2170" s="65"/>
      <c r="AZ2170" s="65"/>
      <c r="BA2170" s="65"/>
    </row>
    <row r="2171">
      <c r="A2171" s="65" t="str">
        <f>IFERROR(__xludf.DUMMYFUNCTION("""COMPUTED_VALUE"""),"27-03-2026")</f>
        <v>27-03-2026</v>
      </c>
      <c r="B2171" s="65">
        <f>IFERROR(__xludf.DUMMYFUNCTION("""COMPUTED_VALUE"""),4092068.0)</f>
        <v>4092068</v>
      </c>
      <c r="C2171" s="65" t="str">
        <f>IFERROR(__xludf.DUMMYFUNCTION("""COMPUTED_VALUE"""),"09:35")</f>
        <v>09:35</v>
      </c>
      <c r="D2171" s="65" t="str">
        <f>IFERROR(__xludf.DUMMYFUNCTION("""COMPUTED_VALUE"""),"10-01-2026")</f>
        <v>10-01-2026</v>
      </c>
      <c r="E2171" s="65" t="str">
        <f>IFERROR(__xludf.DUMMYFUNCTION("""COMPUTED_VALUE"""),"Yecenia Alexandra Garcia Lopez")</f>
        <v>Yecenia Alexandra Garcia Lopez</v>
      </c>
      <c r="F2171" s="65" t="str">
        <f>IFERROR(__xludf.DUMMYFUNCTION("""COMPUTED_VALUE"""),"999292510")</f>
        <v>999292510</v>
      </c>
      <c r="G2171" s="65" t="str">
        <f>IFERROR(__xludf.DUMMYFUNCTION("""COMPUTED_VALUE"""),"yecenia_garcia_lopez@live.com")</f>
        <v>yecenia_garcia_lopez@live.com</v>
      </c>
      <c r="H2171" s="65"/>
      <c r="I2171" s="65"/>
      <c r="J2171" s="65" t="str">
        <f>IFERROR(__xludf.DUMMYFUNCTION("""COMPUTED_VALUE"""),"D001223278")</f>
        <v>D001223278</v>
      </c>
      <c r="K2171" s="65" t="str">
        <f>IFERROR(__xludf.DUMMYFUNCTION("""COMPUTED_VALUE"""),"DEVOLUCION")</f>
        <v>DEVOLUCION</v>
      </c>
      <c r="L2171" s="65" t="str">
        <f>IFERROR(__xludf.DUMMYFUNCTION("""COMPUTED_VALUE"""),"CON RECAUDO")</f>
        <v>CON RECAUDO</v>
      </c>
      <c r="M2171" s="65" t="str">
        <f>IFERROR(__xludf.DUMMYFUNCTION("""COMPUTED_VALUE"""),"EL ORO")</f>
        <v>EL ORO</v>
      </c>
      <c r="N2171" s="65" t="str">
        <f>IFERROR(__xludf.DUMMYFUNCTION("""COMPUTED_VALUE"""),"MACHALA")</f>
        <v>MACHALA</v>
      </c>
      <c r="O2171" s="65" t="str">
        <f>IFERROR(__xludf.DUMMYFUNCTION("""COMPUTED_VALUE"""),"CL Principal_9 de mayo  entre 12 y 13 sur entre 12 y 13 sus -")</f>
        <v>CL Principal_9 de mayo  entre 12 y 13 sur entre 12 y 13 sus -</v>
      </c>
      <c r="P2171" s="65"/>
      <c r="Q2171" s="65" t="str">
        <f>IFERROR(__xludf.DUMMYFUNCTION("""COMPUTED_VALUE"""),"GINTRACOM")</f>
        <v>GINTRACOM</v>
      </c>
      <c r="R2171" s="65">
        <f>IFERROR(__xludf.DUMMYFUNCTION("""COMPUTED_VALUE"""),32.0)</f>
        <v>32</v>
      </c>
      <c r="S2171" s="65"/>
      <c r="T2171" s="65">
        <f>IFERROR(__xludf.DUMMYFUNCTION("""COMPUTED_VALUE"""),6.24)</f>
        <v>6.24</v>
      </c>
      <c r="U2171" s="65">
        <f>IFERROR(__xludf.DUMMYFUNCTION("""COMPUTED_VALUE"""),0.0)</f>
        <v>0</v>
      </c>
      <c r="V2171" s="65">
        <f>IFERROR(__xludf.DUMMYFUNCTION("""COMPUTED_VALUE"""),0.0)</f>
        <v>0</v>
      </c>
      <c r="W2171" s="65">
        <f>IFERROR(__xludf.DUMMYFUNCTION("""COMPUTED_VALUE"""),0.0)</f>
        <v>0</v>
      </c>
      <c r="X2171" s="65">
        <f>IFERROR(__xludf.DUMMYFUNCTION("""COMPUTED_VALUE"""),2.6)</f>
        <v>2.6</v>
      </c>
      <c r="Y2171" s="65">
        <f>IFERROR(__xludf.DUMMYFUNCTION("""COMPUTED_VALUE"""),10.4)</f>
        <v>10.4</v>
      </c>
      <c r="Z2171" s="65">
        <f>IFERROR(__xludf.DUMMYFUNCTION("""COMPUTED_VALUE"""),121983.0)</f>
        <v>121983</v>
      </c>
      <c r="AA2171" s="65" t="str">
        <f>IFERROR(__xludf.DUMMYFUNCTION("""COMPUTED_VALUE"""),"PROV-CHLLCF")</f>
        <v>PROV-CHLLCF</v>
      </c>
      <c r="AB2171" s="65"/>
      <c r="AC2171" s="65" t="str">
        <f>IFERROR(__xludf.DUMMYFUNCTION("""COMPUTED_VALUE"""),"CUCHILLO PARA CHEF")</f>
        <v>CUCHILLO PARA CHEF</v>
      </c>
      <c r="AD2171" s="65"/>
      <c r="AE2171" s="65">
        <f>IFERROR(__xludf.DUMMYFUNCTION("""COMPUTED_VALUE"""),4.0)</f>
        <v>4</v>
      </c>
      <c r="AF2171" s="65" t="str">
        <f>IFERROR(__xludf.DUMMYFUNCTION("""COMPUTED_VALUE"""),"DESTINATARIO NO CONTESTA LLAMADAS NI WHATSAPP")</f>
        <v>DESTINATARIO NO CONTESTA LLAMADAS NI WHATSAPP</v>
      </c>
      <c r="AG2171" s="65" t="str">
        <f>IFERROR(__xludf.DUMMYFUNCTION("""COMPUTED_VALUE"""),"SI")</f>
        <v>SI</v>
      </c>
      <c r="AH2171" s="65" t="str">
        <f>IFERROR(__xludf.DUMMYFUNCTION("""COMPUTED_VALUE"""),"15:32")</f>
        <v>15:32</v>
      </c>
      <c r="AI2171" s="65" t="str">
        <f>IFERROR(__xludf.DUMMYFUNCTION("""COMPUTED_VALUE"""),"24-01-2026")</f>
        <v>24-01-2026</v>
      </c>
      <c r="AJ2171" s="65"/>
      <c r="AK2171" s="65"/>
      <c r="AL2171" s="65"/>
      <c r="AM2171" s="65"/>
      <c r="AN2171" s="65" t="str">
        <f>IFERROR(__xludf.DUMMYFUNCTION("""COMPUTED_VALUE"""),"08:41")</f>
        <v>08:41</v>
      </c>
      <c r="AO2171" s="65" t="str">
        <f>IFERROR(__xludf.DUMMYFUNCTION("""COMPUTED_VALUE"""),"10-02-2026")</f>
        <v>10-02-2026</v>
      </c>
      <c r="AP2171" s="65" t="str">
        <f>IFERROR(__xludf.DUMMYFUNCTION("""COMPUTED_VALUE"""),"DEV CONFIRMADA POR BODEGA")</f>
        <v>DEV CONFIRMADA POR BODEGA</v>
      </c>
      <c r="AQ2171" s="65"/>
      <c r="AR2171" s="65" t="str">
        <f>IFERROR(__xludf.DUMMYFUNCTION("""COMPUTED_VALUE"""),"Gestionado por: Moran Daniel, email:danielmorga2005@gmail.com, total de productos en la orden: 1")</f>
        <v>Gestionado por: Moran Daniel, email:danielmorga2005@gmail.com, total de productos en la orden: 1</v>
      </c>
      <c r="AS2171" s="65"/>
      <c r="AT2171" s="65" t="str">
        <f>IFERROR(__xludf.DUMMYFUNCTION("""COMPUTED_VALUE"""),"SHOPIFY")</f>
        <v>SHOPIFY</v>
      </c>
      <c r="AU2171" s="65" t="str">
        <f>IFERROR(__xludf.DUMMYFUNCTION("""COMPUTED_VALUE"""),"IMPORTEX EC")</f>
        <v>IMPORTEX EC</v>
      </c>
      <c r="AV2171" s="65" t="str">
        <f>IFERROR(__xludf.DUMMYFUNCTION("""COMPUTED_VALUE"""),"6403588292652")</f>
        <v>6403588292652</v>
      </c>
      <c r="AW2171" s="65">
        <f>IFERROR(__xludf.DUMMYFUNCTION("""COMPUTED_VALUE"""),4789.0)</f>
        <v>4789</v>
      </c>
      <c r="AX2171" s="65"/>
      <c r="AY2171" s="65" t="str">
        <f>IFERROR(__xludf.DUMMYFUNCTION("""COMPUTED_VALUE"""),"14/01/2026")</f>
        <v>14/01/2026</v>
      </c>
      <c r="AZ2171" s="65"/>
      <c r="BA2171" s="65"/>
    </row>
    <row r="2172">
      <c r="A2172" s="65" t="str">
        <f>IFERROR(__xludf.DUMMYFUNCTION("""COMPUTED_VALUE"""),"27-03-2026")</f>
        <v>27-03-2026</v>
      </c>
      <c r="B2172" s="65">
        <f>IFERROR(__xludf.DUMMYFUNCTION("""COMPUTED_VALUE"""),4091966.0)</f>
        <v>4091966</v>
      </c>
      <c r="C2172" s="65" t="str">
        <f>IFERROR(__xludf.DUMMYFUNCTION("""COMPUTED_VALUE"""),"09:27")</f>
        <v>09:27</v>
      </c>
      <c r="D2172" s="65" t="str">
        <f>IFERROR(__xludf.DUMMYFUNCTION("""COMPUTED_VALUE"""),"10-01-2026")</f>
        <v>10-01-2026</v>
      </c>
      <c r="E2172" s="65" t="str">
        <f>IFERROR(__xludf.DUMMYFUNCTION("""COMPUTED_VALUE"""),"Ricardo Ugarte")</f>
        <v>Ricardo Ugarte</v>
      </c>
      <c r="F2172" s="65" t="str">
        <f>IFERROR(__xludf.DUMMYFUNCTION("""COMPUTED_VALUE"""),"996503582")</f>
        <v>996503582</v>
      </c>
      <c r="G2172" s="65" t="str">
        <f>IFERROR(__xludf.DUMMYFUNCTION("""COMPUTED_VALUE"""),"ricsar1418@gmail.com")</f>
        <v>ricsar1418@gmail.com</v>
      </c>
      <c r="H2172" s="65"/>
      <c r="I2172" s="65"/>
      <c r="J2172" s="65" t="str">
        <f>IFERROR(__xludf.DUMMYFUNCTION("""COMPUTED_VALUE"""),"D001250506")</f>
        <v>D001250506</v>
      </c>
      <c r="K2172" s="65" t="str">
        <f>IFERROR(__xludf.DUMMYFUNCTION("""COMPUTED_VALUE"""),"DEVOLUCION")</f>
        <v>DEVOLUCION</v>
      </c>
      <c r="L2172" s="65" t="str">
        <f>IFERROR(__xludf.DUMMYFUNCTION("""COMPUTED_VALUE"""),"CON RECAUDO")</f>
        <v>CON RECAUDO</v>
      </c>
      <c r="M2172" s="65" t="str">
        <f>IFERROR(__xludf.DUMMYFUNCTION("""COMPUTED_VALUE"""),"GUAYAS")</f>
        <v>GUAYAS</v>
      </c>
      <c r="N2172" s="65" t="str">
        <f>IFERROR(__xludf.DUMMYFUNCTION("""COMPUTED_VALUE"""),"GUAYAQUIL")</f>
        <v>GUAYAQUIL</v>
      </c>
      <c r="O2172" s="65" t="str">
        <f>IFERROR(__xludf.DUMMYFUNCTION("""COMPUTED_VALUE"""),"Manzana 454 f25 villa 4 Sauces 8, avenida Gabriel Roldós -")</f>
        <v>Manzana 454 f25 villa 4 Sauces 8, avenida Gabriel Roldós -</v>
      </c>
      <c r="P2172" s="65"/>
      <c r="Q2172" s="65" t="str">
        <f>IFERROR(__xludf.DUMMYFUNCTION("""COMPUTED_VALUE"""),"GINTRACOM")</f>
        <v>GINTRACOM</v>
      </c>
      <c r="R2172" s="65">
        <f>IFERROR(__xludf.DUMMYFUNCTION("""COMPUTED_VALUE"""),25.0)</f>
        <v>25</v>
      </c>
      <c r="S2172" s="65"/>
      <c r="T2172" s="65">
        <f>IFERROR(__xludf.DUMMYFUNCTION("""COMPUTED_VALUE"""),4.35)</f>
        <v>4.35</v>
      </c>
      <c r="U2172" s="65">
        <f>IFERROR(__xludf.DUMMYFUNCTION("""COMPUTED_VALUE"""),0.0)</f>
        <v>0</v>
      </c>
      <c r="V2172" s="65">
        <f>IFERROR(__xludf.DUMMYFUNCTION("""COMPUTED_VALUE"""),0.0)</f>
        <v>0</v>
      </c>
      <c r="W2172" s="65">
        <f>IFERROR(__xludf.DUMMYFUNCTION("""COMPUTED_VALUE"""),0.0)</f>
        <v>0</v>
      </c>
      <c r="X2172" s="65">
        <f>IFERROR(__xludf.DUMMYFUNCTION("""COMPUTED_VALUE"""),2.79)</f>
        <v>2.79</v>
      </c>
      <c r="Y2172" s="65">
        <f>IFERROR(__xludf.DUMMYFUNCTION("""COMPUTED_VALUE"""),5.58)</f>
        <v>5.58</v>
      </c>
      <c r="Z2172" s="65">
        <f>IFERROR(__xludf.DUMMYFUNCTION("""COMPUTED_VALUE"""),120732.0)</f>
        <v>120732</v>
      </c>
      <c r="AA2172" s="65" t="str">
        <f>IFERROR(__xludf.DUMMYFUNCTION("""COMPUTED_VALUE"""),"PROV-LMPVT")</f>
        <v>PROV-LMPVT</v>
      </c>
      <c r="AB2172" s="65"/>
      <c r="AC2172" s="65" t="str">
        <f>IFERROR(__xludf.DUMMYFUNCTION("""COMPUTED_VALUE"""),"LIMPIADOR DE PARABRISAS Y VENTANAS")</f>
        <v>LIMPIADOR DE PARABRISAS Y VENTANAS</v>
      </c>
      <c r="AD2172" s="65"/>
      <c r="AE2172" s="65">
        <f>IFERROR(__xludf.DUMMYFUNCTION("""COMPUTED_VALUE"""),2.0)</f>
        <v>2</v>
      </c>
      <c r="AF2172" s="65" t="str">
        <f>IFERROR(__xludf.DUMMYFUNCTION("""COMPUTED_VALUE"""),"DESTINATARIO NO CONTESTA LLAMADAS NI WHATSAPP")</f>
        <v>DESTINATARIO NO CONTESTA LLAMADAS NI WHATSAPP</v>
      </c>
      <c r="AG2172" s="65" t="str">
        <f>IFERROR(__xludf.DUMMYFUNCTION("""COMPUTED_VALUE"""),"NO")</f>
        <v>NO</v>
      </c>
      <c r="AH2172" s="65" t="str">
        <f>IFERROR(__xludf.DUMMYFUNCTION("""COMPUTED_VALUE"""),"09:00")</f>
        <v>09:00</v>
      </c>
      <c r="AI2172" s="65" t="str">
        <f>IFERROR(__xludf.DUMMYFUNCTION("""COMPUTED_VALUE"""),"31-01-2026")</f>
        <v>31-01-2026</v>
      </c>
      <c r="AJ2172" s="65"/>
      <c r="AK2172" s="65"/>
      <c r="AL2172" s="65"/>
      <c r="AM2172" s="65"/>
      <c r="AN2172" s="65" t="str">
        <f>IFERROR(__xludf.DUMMYFUNCTION("""COMPUTED_VALUE"""),"09:02")</f>
        <v>09:02</v>
      </c>
      <c r="AO2172" s="65" t="str">
        <f>IFERROR(__xludf.DUMMYFUNCTION("""COMPUTED_VALUE"""),"11-02-2026")</f>
        <v>11-02-2026</v>
      </c>
      <c r="AP2172" s="65" t="str">
        <f>IFERROR(__xludf.DUMMYFUNCTION("""COMPUTED_VALUE"""),"DEV CONFIRMADA POR BODEGA")</f>
        <v>DEV CONFIRMADA POR BODEGA</v>
      </c>
      <c r="AQ2172" s="65"/>
      <c r="AR2172" s="65" t="str">
        <f>IFERROR(__xludf.DUMMYFUNCTION("""COMPUTED_VALUE"""),"Gestionado por: Moran Daniel, email:danielmorga2005@gmail.com, total de productos en la orden: 1")</f>
        <v>Gestionado por: Moran Daniel, email:danielmorga2005@gmail.com, total de productos en la orden: 1</v>
      </c>
      <c r="AS2172" s="65"/>
      <c r="AT2172" s="65" t="str">
        <f>IFERROR(__xludf.DUMMYFUNCTION("""COMPUTED_VALUE"""),"SHOPIFY")</f>
        <v>SHOPIFY</v>
      </c>
      <c r="AU2172" s="65" t="str">
        <f>IFERROR(__xludf.DUMMYFUNCTION("""COMPUTED_VALUE"""),"IMPORTEX EC")</f>
        <v>IMPORTEX EC</v>
      </c>
      <c r="AV2172" s="65" t="str">
        <f>IFERROR(__xludf.DUMMYFUNCTION("""COMPUTED_VALUE"""),"6403574956076")</f>
        <v>6403574956076</v>
      </c>
      <c r="AW2172" s="65">
        <f>IFERROR(__xludf.DUMMYFUNCTION("""COMPUTED_VALUE"""),4787.0)</f>
        <v>4787</v>
      </c>
      <c r="AX2172" s="65"/>
      <c r="AY2172" s="65" t="str">
        <f>IFERROR(__xludf.DUMMYFUNCTION("""COMPUTED_VALUE"""),"22/01/2026")</f>
        <v>22/01/2026</v>
      </c>
      <c r="AZ2172" s="65"/>
      <c r="BA2172" s="65"/>
    </row>
    <row r="2173">
      <c r="A2173" s="65" t="str">
        <f>IFERROR(__xludf.DUMMYFUNCTION("""COMPUTED_VALUE"""),"27-03-2026")</f>
        <v>27-03-2026</v>
      </c>
      <c r="B2173" s="65">
        <f>IFERROR(__xludf.DUMMYFUNCTION("""COMPUTED_VALUE"""),4091919.0)</f>
        <v>4091919</v>
      </c>
      <c r="C2173" s="65" t="str">
        <f>IFERROR(__xludf.DUMMYFUNCTION("""COMPUTED_VALUE"""),"09:23")</f>
        <v>09:23</v>
      </c>
      <c r="D2173" s="65" t="str">
        <f>IFERROR(__xludf.DUMMYFUNCTION("""COMPUTED_VALUE"""),"10-01-2026")</f>
        <v>10-01-2026</v>
      </c>
      <c r="E2173" s="65" t="str">
        <f>IFERROR(__xludf.DUMMYFUNCTION("""COMPUTED_VALUE"""),"MILTON SERBANTIO CALLERA NACAIM")</f>
        <v>MILTON SERBANTIO CALLERA NACAIM</v>
      </c>
      <c r="F2173" s="65" t="str">
        <f>IFERROR(__xludf.DUMMYFUNCTION("""COMPUTED_VALUE"""),"961502508")</f>
        <v>961502508</v>
      </c>
      <c r="G2173" s="65" t="str">
        <f>IFERROR(__xludf.DUMMYFUNCTION("""COMPUTED_VALUE"""),"kasak197@gmail.com")</f>
        <v>kasak197@gmail.com</v>
      </c>
      <c r="H2173" s="65"/>
      <c r="I2173" s="65"/>
      <c r="J2173" s="65" t="str">
        <f>IFERROR(__xludf.DUMMYFUNCTION("""COMPUTED_VALUE"""),"D001223281")</f>
        <v>D001223281</v>
      </c>
      <c r="K2173" s="65" t="str">
        <f>IFERROR(__xludf.DUMMYFUNCTION("""COMPUTED_VALUE"""),"ENTREGADO")</f>
        <v>ENTREGADO</v>
      </c>
      <c r="L2173" s="65" t="str">
        <f>IFERROR(__xludf.DUMMYFUNCTION("""COMPUTED_VALUE"""),"CON RECAUDO")</f>
        <v>CON RECAUDO</v>
      </c>
      <c r="M2173" s="65" t="str">
        <f>IFERROR(__xludf.DUMMYFUNCTION("""COMPUTED_VALUE"""),"PASTAZA")</f>
        <v>PASTAZA</v>
      </c>
      <c r="N2173" s="65" t="str">
        <f>IFERROR(__xludf.DUMMYFUNCTION("""COMPUTED_VALUE"""),"PUYO")</f>
        <v>PUYO</v>
      </c>
      <c r="O2173" s="65" t="str">
        <f>IFERROR(__xludf.DUMMYFUNCTION("""COMPUTED_VALUE"""),"Calle: De los helechos y Gugambilla Barrio : El recreo, urbanizacion Pindo Grande -")</f>
        <v>Calle: De los helechos y Gugambilla Barrio : El recreo, urbanizacion Pindo Grande -</v>
      </c>
      <c r="P2173" s="65"/>
      <c r="Q2173" s="65" t="str">
        <f>IFERROR(__xludf.DUMMYFUNCTION("""COMPUTED_VALUE"""),"GINTRACOM")</f>
        <v>GINTRACOM</v>
      </c>
      <c r="R2173" s="65">
        <f>IFERROR(__xludf.DUMMYFUNCTION("""COMPUTED_VALUE"""),27.0)</f>
        <v>27</v>
      </c>
      <c r="S2173" s="65">
        <f>IFERROR(__xludf.DUMMYFUNCTION("""COMPUTED_VALUE"""),13.17)</f>
        <v>13.17</v>
      </c>
      <c r="T2173" s="65">
        <f>IFERROR(__xludf.DUMMYFUNCTION("""COMPUTED_VALUE"""),6.03)</f>
        <v>6.03</v>
      </c>
      <c r="U2173" s="65">
        <f>IFERROR(__xludf.DUMMYFUNCTION("""COMPUTED_VALUE"""),0.0)</f>
        <v>0</v>
      </c>
      <c r="V2173" s="65">
        <f>IFERROR(__xludf.DUMMYFUNCTION("""COMPUTED_VALUE"""),0.0)</f>
        <v>0</v>
      </c>
      <c r="W2173" s="65">
        <f>IFERROR(__xludf.DUMMYFUNCTION("""COMPUTED_VALUE"""),0.0)</f>
        <v>0</v>
      </c>
      <c r="X2173" s="65">
        <f>IFERROR(__xludf.DUMMYFUNCTION("""COMPUTED_VALUE"""),2.6)</f>
        <v>2.6</v>
      </c>
      <c r="Y2173" s="65">
        <f>IFERROR(__xludf.DUMMYFUNCTION("""COMPUTED_VALUE"""),7.8)</f>
        <v>7.8</v>
      </c>
      <c r="Z2173" s="65">
        <f>IFERROR(__xludf.DUMMYFUNCTION("""COMPUTED_VALUE"""),121983.0)</f>
        <v>121983</v>
      </c>
      <c r="AA2173" s="65" t="str">
        <f>IFERROR(__xludf.DUMMYFUNCTION("""COMPUTED_VALUE"""),"PROV-CHLLCF")</f>
        <v>PROV-CHLLCF</v>
      </c>
      <c r="AB2173" s="65"/>
      <c r="AC2173" s="65" t="str">
        <f>IFERROR(__xludf.DUMMYFUNCTION("""COMPUTED_VALUE"""),"CUCHILLO PARA CHEF")</f>
        <v>CUCHILLO PARA CHEF</v>
      </c>
      <c r="AD2173" s="65"/>
      <c r="AE2173" s="65">
        <f>IFERROR(__xludf.DUMMYFUNCTION("""COMPUTED_VALUE"""),3.0)</f>
        <v>3</v>
      </c>
      <c r="AF2173" s="65"/>
      <c r="AG2173" s="65"/>
      <c r="AH2173" s="65"/>
      <c r="AI2173" s="65"/>
      <c r="AJ2173" s="65"/>
      <c r="AK2173" s="65"/>
      <c r="AL2173" s="65"/>
      <c r="AM2173" s="65"/>
      <c r="AN2173" s="65" t="str">
        <f>IFERROR(__xludf.DUMMYFUNCTION("""COMPUTED_VALUE"""),"09:12")</f>
        <v>09:12</v>
      </c>
      <c r="AO2173" s="65" t="str">
        <f>IFERROR(__xludf.DUMMYFUNCTION("""COMPUTED_VALUE"""),"16-01-2026")</f>
        <v>16-01-2026</v>
      </c>
      <c r="AP2173" s="65" t="str">
        <f>IFERROR(__xludf.DUMMYFUNCTION("""COMPUTED_VALUE"""),"EN REPARTO")</f>
        <v>EN REPARTO</v>
      </c>
      <c r="AQ2173" s="65" t="str">
        <f>IFERROR(__xludf.DUMMYFUNCTION("""COMPUTED_VALUE"""),"EN REPARTO")</f>
        <v>EN REPARTO</v>
      </c>
      <c r="AR2173" s="65"/>
      <c r="AS2173" s="65"/>
      <c r="AT2173" s="65" t="str">
        <f>IFERROR(__xludf.DUMMYFUNCTION("""COMPUTED_VALUE"""),"SHOPIFY")</f>
        <v>SHOPIFY</v>
      </c>
      <c r="AU2173" s="65" t="str">
        <f>IFERROR(__xludf.DUMMYFUNCTION("""COMPUTED_VALUE"""),"IMPORTEX EC")</f>
        <v>IMPORTEX EC</v>
      </c>
      <c r="AV2173" s="65" t="str">
        <f>IFERROR(__xludf.DUMMYFUNCTION("""COMPUTED_VALUE"""),"6403566993452")</f>
        <v>6403566993452</v>
      </c>
      <c r="AW2173" s="65">
        <f>IFERROR(__xludf.DUMMYFUNCTION("""COMPUTED_VALUE"""),4786.0)</f>
        <v>4786</v>
      </c>
      <c r="AX2173" s="65"/>
      <c r="AY2173" s="65" t="str">
        <f>IFERROR(__xludf.DUMMYFUNCTION("""COMPUTED_VALUE"""),"14/01/2026")</f>
        <v>14/01/2026</v>
      </c>
      <c r="AZ2173" s="65"/>
      <c r="BA2173" s="65"/>
    </row>
    <row r="2174">
      <c r="A2174" s="65" t="str">
        <f>IFERROR(__xludf.DUMMYFUNCTION("""COMPUTED_VALUE"""),"27-03-2026")</f>
        <v>27-03-2026</v>
      </c>
      <c r="B2174" s="65">
        <f>IFERROR(__xludf.DUMMYFUNCTION("""COMPUTED_VALUE"""),4091874.0)</f>
        <v>4091874</v>
      </c>
      <c r="C2174" s="65" t="str">
        <f>IFERROR(__xludf.DUMMYFUNCTION("""COMPUTED_VALUE"""),"09:20")</f>
        <v>09:20</v>
      </c>
      <c r="D2174" s="65" t="str">
        <f>IFERROR(__xludf.DUMMYFUNCTION("""COMPUTED_VALUE"""),"10-01-2026")</f>
        <v>10-01-2026</v>
      </c>
      <c r="E2174" s="65" t="str">
        <f>IFERROR(__xludf.DUMMYFUNCTION("""COMPUTED_VALUE"""),"Magdalena Ortiz")</f>
        <v>Magdalena Ortiz</v>
      </c>
      <c r="F2174" s="65" t="str">
        <f>IFERROR(__xludf.DUMMYFUNCTION("""COMPUTED_VALUE"""),"999979532")</f>
        <v>999979532</v>
      </c>
      <c r="G2174" s="65" t="str">
        <f>IFERROR(__xludf.DUMMYFUNCTION("""COMPUTED_VALUE"""),"mlourdes.ortiz1403@gmail.com")</f>
        <v>mlourdes.ortiz1403@gmail.com</v>
      </c>
      <c r="H2174" s="65"/>
      <c r="I2174" s="65"/>
      <c r="J2174" s="65" t="str">
        <f>IFERROR(__xludf.DUMMYFUNCTION("""COMPUTED_VALUE"""),"D001218409")</f>
        <v>D001218409</v>
      </c>
      <c r="K2174" s="65" t="str">
        <f>IFERROR(__xludf.DUMMYFUNCTION("""COMPUTED_VALUE"""),"ENTREGADO")</f>
        <v>ENTREGADO</v>
      </c>
      <c r="L2174" s="65" t="str">
        <f>IFERROR(__xludf.DUMMYFUNCTION("""COMPUTED_VALUE"""),"CON RECAUDO")</f>
        <v>CON RECAUDO</v>
      </c>
      <c r="M2174" s="65" t="str">
        <f>IFERROR(__xludf.DUMMYFUNCTION("""COMPUTED_VALUE"""),"TUNGURAHUA")</f>
        <v>TUNGURAHUA</v>
      </c>
      <c r="N2174" s="65" t="str">
        <f>IFERROR(__xludf.DUMMYFUNCTION("""COMPUTED_VALUE"""),"AMBATO")</f>
        <v>AMBATO</v>
      </c>
      <c r="O2174" s="65" t="str">
        <f>IFERROR(__xludf.DUMMYFUNCTION("""COMPUTED_VALUE"""),"Calle Isidro Viteri y pasaje Solanda Letamendi - Ref. Escuela Fe y Alegría")</f>
        <v>Calle Isidro Viteri y pasaje Solanda Letamendi - Ref. Escuela Fe y Alegría</v>
      </c>
      <c r="P2174" s="65"/>
      <c r="Q2174" s="65" t="str">
        <f>IFERROR(__xludf.DUMMYFUNCTION("""COMPUTED_VALUE"""),"GINTRACOM")</f>
        <v>GINTRACOM</v>
      </c>
      <c r="R2174" s="65">
        <f>IFERROR(__xludf.DUMMYFUNCTION("""COMPUTED_VALUE"""),22.0)</f>
        <v>22</v>
      </c>
      <c r="S2174" s="65">
        <f>IFERROR(__xludf.DUMMYFUNCTION("""COMPUTED_VALUE"""),10.96)</f>
        <v>10.96</v>
      </c>
      <c r="T2174" s="65">
        <f>IFERROR(__xludf.DUMMYFUNCTION("""COMPUTED_VALUE"""),5.84)</f>
        <v>5.84</v>
      </c>
      <c r="U2174" s="65">
        <f>IFERROR(__xludf.DUMMYFUNCTION("""COMPUTED_VALUE"""),0.0)</f>
        <v>0</v>
      </c>
      <c r="V2174" s="65">
        <f>IFERROR(__xludf.DUMMYFUNCTION("""COMPUTED_VALUE"""),0.0)</f>
        <v>0</v>
      </c>
      <c r="W2174" s="65">
        <f>IFERROR(__xludf.DUMMYFUNCTION("""COMPUTED_VALUE"""),0.0)</f>
        <v>0</v>
      </c>
      <c r="X2174" s="65">
        <f>IFERROR(__xludf.DUMMYFUNCTION("""COMPUTED_VALUE"""),2.6)</f>
        <v>2.6</v>
      </c>
      <c r="Y2174" s="65">
        <f>IFERROR(__xludf.DUMMYFUNCTION("""COMPUTED_VALUE"""),5.2)</f>
        <v>5.2</v>
      </c>
      <c r="Z2174" s="65">
        <f>IFERROR(__xludf.DUMMYFUNCTION("""COMPUTED_VALUE"""),121983.0)</f>
        <v>121983</v>
      </c>
      <c r="AA2174" s="65" t="str">
        <f>IFERROR(__xludf.DUMMYFUNCTION("""COMPUTED_VALUE"""),"PROV-CHLLCF")</f>
        <v>PROV-CHLLCF</v>
      </c>
      <c r="AB2174" s="65"/>
      <c r="AC2174" s="65" t="str">
        <f>IFERROR(__xludf.DUMMYFUNCTION("""COMPUTED_VALUE"""),"CUCHILLO PARA CHEF")</f>
        <v>CUCHILLO PARA CHEF</v>
      </c>
      <c r="AD2174" s="65"/>
      <c r="AE2174" s="65">
        <f>IFERROR(__xludf.DUMMYFUNCTION("""COMPUTED_VALUE"""),2.0)</f>
        <v>2</v>
      </c>
      <c r="AF2174" s="65"/>
      <c r="AG2174" s="65"/>
      <c r="AH2174" s="65"/>
      <c r="AI2174" s="65"/>
      <c r="AJ2174" s="65"/>
      <c r="AK2174" s="65"/>
      <c r="AL2174" s="65"/>
      <c r="AM2174" s="65"/>
      <c r="AN2174" s="65" t="str">
        <f>IFERROR(__xludf.DUMMYFUNCTION("""COMPUTED_VALUE"""),"12:28")</f>
        <v>12:28</v>
      </c>
      <c r="AO2174" s="65" t="str">
        <f>IFERROR(__xludf.DUMMYFUNCTION("""COMPUTED_VALUE"""),"15-01-2026")</f>
        <v>15-01-2026</v>
      </c>
      <c r="AP2174" s="65" t="str">
        <f>IFERROR(__xludf.DUMMYFUNCTION("""COMPUTED_VALUE"""),"ENTREGADA GINTRACOM")</f>
        <v>ENTREGADA GINTRACOM</v>
      </c>
      <c r="AQ2174" s="65" t="str">
        <f>IFERROR(__xludf.DUMMYFUNCTION("""COMPUTED_VALUE"""),"ENTREGADA GINTRACOM")</f>
        <v>ENTREGADA GINTRACOM</v>
      </c>
      <c r="AR2174" s="65"/>
      <c r="AS2174" s="65"/>
      <c r="AT2174" s="65" t="str">
        <f>IFERROR(__xludf.DUMMYFUNCTION("""COMPUTED_VALUE"""),"SHOPIFY")</f>
        <v>SHOPIFY</v>
      </c>
      <c r="AU2174" s="65" t="str">
        <f>IFERROR(__xludf.DUMMYFUNCTION("""COMPUTED_VALUE"""),"IMPORTEX EC")</f>
        <v>IMPORTEX EC</v>
      </c>
      <c r="AV2174" s="65" t="str">
        <f>IFERROR(__xludf.DUMMYFUNCTION("""COMPUTED_VALUE"""),"6403561816108")</f>
        <v>6403561816108</v>
      </c>
      <c r="AW2174" s="65">
        <f>IFERROR(__xludf.DUMMYFUNCTION("""COMPUTED_VALUE"""),4785.0)</f>
        <v>4785</v>
      </c>
      <c r="AX2174" s="65"/>
      <c r="AY2174" s="65" t="str">
        <f>IFERROR(__xludf.DUMMYFUNCTION("""COMPUTED_VALUE"""),"13/01/2026")</f>
        <v>13/01/2026</v>
      </c>
      <c r="AZ2174" s="65"/>
      <c r="BA2174" s="65"/>
    </row>
    <row r="2175">
      <c r="A2175" s="65" t="str">
        <f>IFERROR(__xludf.DUMMYFUNCTION("""COMPUTED_VALUE"""),"27-03-2026")</f>
        <v>27-03-2026</v>
      </c>
      <c r="B2175" s="65">
        <f>IFERROR(__xludf.DUMMYFUNCTION("""COMPUTED_VALUE"""),4091727.0)</f>
        <v>4091727</v>
      </c>
      <c r="C2175" s="65" t="str">
        <f>IFERROR(__xludf.DUMMYFUNCTION("""COMPUTED_VALUE"""),"09:10")</f>
        <v>09:10</v>
      </c>
      <c r="D2175" s="65" t="str">
        <f>IFERROR(__xludf.DUMMYFUNCTION("""COMPUTED_VALUE"""),"10-01-2026")</f>
        <v>10-01-2026</v>
      </c>
      <c r="E2175" s="65" t="str">
        <f>IFERROR(__xludf.DUMMYFUNCTION("""COMPUTED_VALUE"""),"Maria Elena Oquendo")</f>
        <v>Maria Elena Oquendo</v>
      </c>
      <c r="F2175" s="65" t="str">
        <f>IFERROR(__xludf.DUMMYFUNCTION("""COMPUTED_VALUE"""),"998022264")</f>
        <v>998022264</v>
      </c>
      <c r="G2175" s="65" t="str">
        <f>IFERROR(__xludf.DUMMYFUNCTION("""COMPUTED_VALUE"""),"maeleop@yahoo.es")</f>
        <v>maeleop@yahoo.es</v>
      </c>
      <c r="H2175" s="65"/>
      <c r="I2175" s="65"/>
      <c r="J2175" s="65" t="str">
        <f>IFERROR(__xludf.DUMMYFUNCTION("""COMPUTED_VALUE"""),"D001223284")</f>
        <v>D001223284</v>
      </c>
      <c r="K2175" s="65" t="str">
        <f>IFERROR(__xludf.DUMMYFUNCTION("""COMPUTED_VALUE"""),"ENTREGADO")</f>
        <v>ENTREGADO</v>
      </c>
      <c r="L2175" s="65" t="str">
        <f>IFERROR(__xludf.DUMMYFUNCTION("""COMPUTED_VALUE"""),"CON RECAUDO")</f>
        <v>CON RECAUDO</v>
      </c>
      <c r="M2175" s="65" t="str">
        <f>IFERROR(__xludf.DUMMYFUNCTION("""COMPUTED_VALUE"""),"PICHINCHA")</f>
        <v>PICHINCHA</v>
      </c>
      <c r="N2175" s="65" t="str">
        <f>IFERROR(__xludf.DUMMYFUNCTION("""COMPUTED_VALUE"""),"QUITO")</f>
        <v>QUITO</v>
      </c>
      <c r="O2175" s="65" t="str">
        <f>IFERROR(__xludf.DUMMYFUNCTION("""COMPUTED_VALUE"""),"Rio Santiaguillo S26-57 y las Lajas ciudadela Unión Popular (Guajalo)")</f>
        <v>Rio Santiaguillo S26-57 y las Lajas ciudadela Unión Popular (Guajalo)</v>
      </c>
      <c r="P2175" s="65"/>
      <c r="Q2175" s="65" t="str">
        <f>IFERROR(__xludf.DUMMYFUNCTION("""COMPUTED_VALUE"""),"GINTRACOM")</f>
        <v>GINTRACOM</v>
      </c>
      <c r="R2175" s="65">
        <f>IFERROR(__xludf.DUMMYFUNCTION("""COMPUTED_VALUE"""),22.0)</f>
        <v>22</v>
      </c>
      <c r="S2175" s="65">
        <f>IFERROR(__xludf.DUMMYFUNCTION("""COMPUTED_VALUE"""),10.96)</f>
        <v>10.96</v>
      </c>
      <c r="T2175" s="65">
        <f>IFERROR(__xludf.DUMMYFUNCTION("""COMPUTED_VALUE"""),5.84)</f>
        <v>5.84</v>
      </c>
      <c r="U2175" s="65">
        <f>IFERROR(__xludf.DUMMYFUNCTION("""COMPUTED_VALUE"""),0.0)</f>
        <v>0</v>
      </c>
      <c r="V2175" s="65">
        <f>IFERROR(__xludf.DUMMYFUNCTION("""COMPUTED_VALUE"""),0.0)</f>
        <v>0</v>
      </c>
      <c r="W2175" s="65">
        <f>IFERROR(__xludf.DUMMYFUNCTION("""COMPUTED_VALUE"""),0.0)</f>
        <v>0</v>
      </c>
      <c r="X2175" s="65">
        <f>IFERROR(__xludf.DUMMYFUNCTION("""COMPUTED_VALUE"""),2.6)</f>
        <v>2.6</v>
      </c>
      <c r="Y2175" s="65">
        <f>IFERROR(__xludf.DUMMYFUNCTION("""COMPUTED_VALUE"""),5.2)</f>
        <v>5.2</v>
      </c>
      <c r="Z2175" s="65">
        <f>IFERROR(__xludf.DUMMYFUNCTION("""COMPUTED_VALUE"""),121983.0)</f>
        <v>121983</v>
      </c>
      <c r="AA2175" s="65" t="str">
        <f>IFERROR(__xludf.DUMMYFUNCTION("""COMPUTED_VALUE"""),"PROV-CHLLCF")</f>
        <v>PROV-CHLLCF</v>
      </c>
      <c r="AB2175" s="65"/>
      <c r="AC2175" s="65" t="str">
        <f>IFERROR(__xludf.DUMMYFUNCTION("""COMPUTED_VALUE"""),"CUCHILLO PARA CHEF")</f>
        <v>CUCHILLO PARA CHEF</v>
      </c>
      <c r="AD2175" s="65"/>
      <c r="AE2175" s="65">
        <f>IFERROR(__xludf.DUMMYFUNCTION("""COMPUTED_VALUE"""),2.0)</f>
        <v>2</v>
      </c>
      <c r="AF2175" s="65"/>
      <c r="AG2175" s="65"/>
      <c r="AH2175" s="65"/>
      <c r="AI2175" s="65"/>
      <c r="AJ2175" s="65"/>
      <c r="AK2175" s="65"/>
      <c r="AL2175" s="65"/>
      <c r="AM2175" s="65"/>
      <c r="AN2175" s="65" t="str">
        <f>IFERROR(__xludf.DUMMYFUNCTION("""COMPUTED_VALUE"""),"11:08")</f>
        <v>11:08</v>
      </c>
      <c r="AO2175" s="65" t="str">
        <f>IFERROR(__xludf.DUMMYFUNCTION("""COMPUTED_VALUE"""),"15-01-2026")</f>
        <v>15-01-2026</v>
      </c>
      <c r="AP2175" s="65" t="str">
        <f>IFERROR(__xludf.DUMMYFUNCTION("""COMPUTED_VALUE"""),"ENTREGADA GINTRACOM")</f>
        <v>ENTREGADA GINTRACOM</v>
      </c>
      <c r="AQ2175" s="65" t="str">
        <f>IFERROR(__xludf.DUMMYFUNCTION("""COMPUTED_VALUE"""),"ENTREGADA GINTRACOM")</f>
        <v>ENTREGADA GINTRACOM</v>
      </c>
      <c r="AR2175" s="65"/>
      <c r="AS2175" s="65"/>
      <c r="AT2175" s="65" t="str">
        <f>IFERROR(__xludf.DUMMYFUNCTION("""COMPUTED_VALUE"""),"SHOPIFY")</f>
        <v>SHOPIFY</v>
      </c>
      <c r="AU2175" s="65" t="str">
        <f>IFERROR(__xludf.DUMMYFUNCTION("""COMPUTED_VALUE"""),"IMPORTEX EC")</f>
        <v>IMPORTEX EC</v>
      </c>
      <c r="AV2175" s="65" t="str">
        <f>IFERROR(__xludf.DUMMYFUNCTION("""COMPUTED_VALUE"""),"6403548315692")</f>
        <v>6403548315692</v>
      </c>
      <c r="AW2175" s="65">
        <f>IFERROR(__xludf.DUMMYFUNCTION("""COMPUTED_VALUE"""),4784.0)</f>
        <v>4784</v>
      </c>
      <c r="AX2175" s="65"/>
      <c r="AY2175" s="65" t="str">
        <f>IFERROR(__xludf.DUMMYFUNCTION("""COMPUTED_VALUE"""),"14/01/2026")</f>
        <v>14/01/2026</v>
      </c>
      <c r="AZ2175" s="65"/>
      <c r="BA2175" s="65"/>
    </row>
    <row r="2176">
      <c r="A2176" s="65" t="str">
        <f>IFERROR(__xludf.DUMMYFUNCTION("""COMPUTED_VALUE"""),"27-03-2026")</f>
        <v>27-03-2026</v>
      </c>
      <c r="B2176" s="65">
        <f>IFERROR(__xludf.DUMMYFUNCTION("""COMPUTED_VALUE"""),4091721.0)</f>
        <v>4091721</v>
      </c>
      <c r="C2176" s="65" t="str">
        <f>IFERROR(__xludf.DUMMYFUNCTION("""COMPUTED_VALUE"""),"09:10")</f>
        <v>09:10</v>
      </c>
      <c r="D2176" s="65" t="str">
        <f>IFERROR(__xludf.DUMMYFUNCTION("""COMPUTED_VALUE"""),"10-01-2026")</f>
        <v>10-01-2026</v>
      </c>
      <c r="E2176" s="65" t="str">
        <f>IFERROR(__xludf.DUMMYFUNCTION("""COMPUTED_VALUE"""),"Enrique ZhIrzhan 0996961434")</f>
        <v>Enrique ZhIrzhan 0996961434</v>
      </c>
      <c r="F2176" s="65" t="str">
        <f>IFERROR(__xludf.DUMMYFUNCTION("""COMPUTED_VALUE"""),"996961434")</f>
        <v>996961434</v>
      </c>
      <c r="G2176" s="65"/>
      <c r="H2176" s="65"/>
      <c r="I2176" s="65"/>
      <c r="J2176" s="65" t="str">
        <f>IFERROR(__xludf.DUMMYFUNCTION("""COMPUTED_VALUE"""),"D001250507")</f>
        <v>D001250507</v>
      </c>
      <c r="K2176" s="65" t="str">
        <f>IFERROR(__xludf.DUMMYFUNCTION("""COMPUTED_VALUE"""),"DEVOLUCION")</f>
        <v>DEVOLUCION</v>
      </c>
      <c r="L2176" s="65" t="str">
        <f>IFERROR(__xludf.DUMMYFUNCTION("""COMPUTED_VALUE"""),"CON RECAUDO")</f>
        <v>CON RECAUDO</v>
      </c>
      <c r="M2176" s="65" t="str">
        <f>IFERROR(__xludf.DUMMYFUNCTION("""COMPUTED_VALUE"""),"AZUAY")</f>
        <v>AZUAY</v>
      </c>
      <c r="N2176" s="65" t="str">
        <f>IFERROR(__xludf.DUMMYFUNCTION("""COMPUTED_VALUE"""),"CUENCA")</f>
        <v>CUENCA</v>
      </c>
      <c r="O2176" s="65" t="str">
        <f>IFERROR(__xludf.DUMMYFUNCTION("""COMPUTED_VALUE"""),"Calle sarahurco  y los paltas A lado del complejo -")</f>
        <v>Calle sarahurco  y los paltas A lado del complejo -</v>
      </c>
      <c r="P2176" s="65"/>
      <c r="Q2176" s="65" t="str">
        <f>IFERROR(__xludf.DUMMYFUNCTION("""COMPUTED_VALUE"""),"GINTRACOM")</f>
        <v>GINTRACOM</v>
      </c>
      <c r="R2176" s="65">
        <f>IFERROR(__xludf.DUMMYFUNCTION("""COMPUTED_VALUE"""),20.0)</f>
        <v>20</v>
      </c>
      <c r="S2176" s="65"/>
      <c r="T2176" s="65">
        <f>IFERROR(__xludf.DUMMYFUNCTION("""COMPUTED_VALUE"""),5.76)</f>
        <v>5.76</v>
      </c>
      <c r="U2176" s="65">
        <f>IFERROR(__xludf.DUMMYFUNCTION("""COMPUTED_VALUE"""),0.0)</f>
        <v>0</v>
      </c>
      <c r="V2176" s="65">
        <f>IFERROR(__xludf.DUMMYFUNCTION("""COMPUTED_VALUE"""),0.0)</f>
        <v>0</v>
      </c>
      <c r="W2176" s="65">
        <f>IFERROR(__xludf.DUMMYFUNCTION("""COMPUTED_VALUE"""),0.0)</f>
        <v>0</v>
      </c>
      <c r="X2176" s="65">
        <f>IFERROR(__xludf.DUMMYFUNCTION("""COMPUTED_VALUE"""),2.79)</f>
        <v>2.79</v>
      </c>
      <c r="Y2176" s="65">
        <f>IFERROR(__xludf.DUMMYFUNCTION("""COMPUTED_VALUE"""),2.79)</f>
        <v>2.79</v>
      </c>
      <c r="Z2176" s="65">
        <f>IFERROR(__xludf.DUMMYFUNCTION("""COMPUTED_VALUE"""),120732.0)</f>
        <v>120732</v>
      </c>
      <c r="AA2176" s="65" t="str">
        <f>IFERROR(__xludf.DUMMYFUNCTION("""COMPUTED_VALUE"""),"PROV-LMPVT")</f>
        <v>PROV-LMPVT</v>
      </c>
      <c r="AB2176" s="65"/>
      <c r="AC2176" s="65" t="str">
        <f>IFERROR(__xludf.DUMMYFUNCTION("""COMPUTED_VALUE"""),"LIMPIADOR DE PARABRISAS Y VENTANAS")</f>
        <v>LIMPIADOR DE PARABRISAS Y VENTANAS</v>
      </c>
      <c r="AD2176" s="65"/>
      <c r="AE2176" s="65">
        <f>IFERROR(__xludf.DUMMYFUNCTION("""COMPUTED_VALUE"""),1.0)</f>
        <v>1</v>
      </c>
      <c r="AF2176" s="65" t="str">
        <f>IFERROR(__xludf.DUMMYFUNCTION("""COMPUTED_VALUE"""),"DESTINATARIO NO CONTESTA LLAMADAS NI WHATSAPP")</f>
        <v>DESTINATARIO NO CONTESTA LLAMADAS NI WHATSAPP</v>
      </c>
      <c r="AG2176" s="65" t="str">
        <f>IFERROR(__xludf.DUMMYFUNCTION("""COMPUTED_VALUE"""),"NO")</f>
        <v>NO</v>
      </c>
      <c r="AH2176" s="65" t="str">
        <f>IFERROR(__xludf.DUMMYFUNCTION("""COMPUTED_VALUE"""),"09:00")</f>
        <v>09:00</v>
      </c>
      <c r="AI2176" s="65" t="str">
        <f>IFERROR(__xludf.DUMMYFUNCTION("""COMPUTED_VALUE"""),"01-02-2026")</f>
        <v>01-02-2026</v>
      </c>
      <c r="AJ2176" s="65"/>
      <c r="AK2176" s="65"/>
      <c r="AL2176" s="65"/>
      <c r="AM2176" s="65"/>
      <c r="AN2176" s="65" t="str">
        <f>IFERROR(__xludf.DUMMYFUNCTION("""COMPUTED_VALUE"""),"13:34")</f>
        <v>13:34</v>
      </c>
      <c r="AO2176" s="65" t="str">
        <f>IFERROR(__xludf.DUMMYFUNCTION("""COMPUTED_VALUE"""),"19-02-2026")</f>
        <v>19-02-2026</v>
      </c>
      <c r="AP2176" s="65" t="str">
        <f>IFERROR(__xludf.DUMMYFUNCTION("""COMPUTED_VALUE"""),"DEV CONFIRMADA POR BODEGA")</f>
        <v>DEV CONFIRMADA POR BODEGA</v>
      </c>
      <c r="AQ2176" s="65"/>
      <c r="AR2176" s="65" t="str">
        <f>IFERROR(__xludf.DUMMYFUNCTION("""COMPUTED_VALUE"""),"Gestionado por: PROVEDIX DAMIAN, email:enviogratisdirecto@gmail.com, total de productos en la orden: 1")</f>
        <v>Gestionado por: PROVEDIX DAMIAN, email:enviogratisdirecto@gmail.com, total de productos en la orden: 1</v>
      </c>
      <c r="AS2176" s="65"/>
      <c r="AT2176" s="65" t="str">
        <f>IFERROR(__xludf.DUMMYFUNCTION("""COMPUTED_VALUE"""),"SHOPIFY")</f>
        <v>SHOPIFY</v>
      </c>
      <c r="AU2176" s="65" t="str">
        <f>IFERROR(__xludf.DUMMYFUNCTION("""COMPUTED_VALUE"""),"IMPORTEX EC")</f>
        <v>IMPORTEX EC</v>
      </c>
      <c r="AV2176" s="65" t="str">
        <f>IFERROR(__xludf.DUMMYFUNCTION("""COMPUTED_VALUE"""),"6403547430956")</f>
        <v>6403547430956</v>
      </c>
      <c r="AW2176" s="65">
        <f>IFERROR(__xludf.DUMMYFUNCTION("""COMPUTED_VALUE"""),4783.0)</f>
        <v>4783</v>
      </c>
      <c r="AX2176" s="65"/>
      <c r="AY2176" s="65" t="str">
        <f>IFERROR(__xludf.DUMMYFUNCTION("""COMPUTED_VALUE"""),"22/01/2026")</f>
        <v>22/01/2026</v>
      </c>
      <c r="AZ2176" s="65"/>
      <c r="BA2176" s="65"/>
    </row>
    <row r="2177">
      <c r="A2177" s="65" t="str">
        <f>IFERROR(__xludf.DUMMYFUNCTION("""COMPUTED_VALUE"""),"27-03-2026")</f>
        <v>27-03-2026</v>
      </c>
      <c r="B2177" s="65">
        <f>IFERROR(__xludf.DUMMYFUNCTION("""COMPUTED_VALUE"""),4091671.0)</f>
        <v>4091671</v>
      </c>
      <c r="C2177" s="65" t="str">
        <f>IFERROR(__xludf.DUMMYFUNCTION("""COMPUTED_VALUE"""),"09:06")</f>
        <v>09:06</v>
      </c>
      <c r="D2177" s="65" t="str">
        <f>IFERROR(__xludf.DUMMYFUNCTION("""COMPUTED_VALUE"""),"10-01-2026")</f>
        <v>10-01-2026</v>
      </c>
      <c r="E2177" s="65" t="str">
        <f>IFERROR(__xludf.DUMMYFUNCTION("""COMPUTED_VALUE"""),"Zonnia Armas")</f>
        <v>Zonnia Armas</v>
      </c>
      <c r="F2177" s="65" t="str">
        <f>IFERROR(__xludf.DUMMYFUNCTION("""COMPUTED_VALUE"""),"998585763")</f>
        <v>998585763</v>
      </c>
      <c r="G2177" s="65" t="str">
        <f>IFERROR(__xludf.DUMMYFUNCTION("""COMPUTED_VALUE"""),"zonnita.armas@gmail.com")</f>
        <v>zonnita.armas@gmail.com</v>
      </c>
      <c r="H2177" s="65"/>
      <c r="I2177" s="65"/>
      <c r="J2177" s="65" t="str">
        <f>IFERROR(__xludf.DUMMYFUNCTION("""COMPUTED_VALUE"""),"D001250508")</f>
        <v>D001250508</v>
      </c>
      <c r="K2177" s="65" t="str">
        <f>IFERROR(__xludf.DUMMYFUNCTION("""COMPUTED_VALUE"""),"DEVOLUCION")</f>
        <v>DEVOLUCION</v>
      </c>
      <c r="L2177" s="65" t="str">
        <f>IFERROR(__xludf.DUMMYFUNCTION("""COMPUTED_VALUE"""),"CON RECAUDO")</f>
        <v>CON RECAUDO</v>
      </c>
      <c r="M2177" s="65" t="str">
        <f>IFERROR(__xludf.DUMMYFUNCTION("""COMPUTED_VALUE"""),"PICHINCHA")</f>
        <v>PICHINCHA</v>
      </c>
      <c r="N2177" s="65" t="str">
        <f>IFERROR(__xludf.DUMMYFUNCTION("""COMPUTED_VALUE"""),"QUITO")</f>
        <v>QUITO</v>
      </c>
      <c r="O2177" s="65" t="str">
        <f>IFERROR(__xludf.DUMMYFUNCTION("""COMPUTED_VALUE"""),"Jorge Washington y Y 10 de agosto -")</f>
        <v>Jorge Washington y Y 10 de agosto -</v>
      </c>
      <c r="P2177" s="65"/>
      <c r="Q2177" s="65" t="str">
        <f>IFERROR(__xludf.DUMMYFUNCTION("""COMPUTED_VALUE"""),"GINTRACOM")</f>
        <v>GINTRACOM</v>
      </c>
      <c r="R2177" s="65">
        <f>IFERROR(__xludf.DUMMYFUNCTION("""COMPUTED_VALUE"""),22.0)</f>
        <v>22</v>
      </c>
      <c r="S2177" s="65"/>
      <c r="T2177" s="65">
        <f>IFERROR(__xludf.DUMMYFUNCTION("""COMPUTED_VALUE"""),5.84)</f>
        <v>5.84</v>
      </c>
      <c r="U2177" s="65">
        <f>IFERROR(__xludf.DUMMYFUNCTION("""COMPUTED_VALUE"""),0.0)</f>
        <v>0</v>
      </c>
      <c r="V2177" s="65">
        <f>IFERROR(__xludf.DUMMYFUNCTION("""COMPUTED_VALUE"""),0.0)</f>
        <v>0</v>
      </c>
      <c r="W2177" s="65">
        <f>IFERROR(__xludf.DUMMYFUNCTION("""COMPUTED_VALUE"""),0.0)</f>
        <v>0</v>
      </c>
      <c r="X2177" s="65">
        <f>IFERROR(__xludf.DUMMYFUNCTION("""COMPUTED_VALUE"""),2.6)</f>
        <v>2.6</v>
      </c>
      <c r="Y2177" s="65">
        <f>IFERROR(__xludf.DUMMYFUNCTION("""COMPUTED_VALUE"""),5.2)</f>
        <v>5.2</v>
      </c>
      <c r="Z2177" s="65">
        <f>IFERROR(__xludf.DUMMYFUNCTION("""COMPUTED_VALUE"""),121983.0)</f>
        <v>121983</v>
      </c>
      <c r="AA2177" s="65" t="str">
        <f>IFERROR(__xludf.DUMMYFUNCTION("""COMPUTED_VALUE"""),"PROV-CHLLCF")</f>
        <v>PROV-CHLLCF</v>
      </c>
      <c r="AB2177" s="65"/>
      <c r="AC2177" s="65" t="str">
        <f>IFERROR(__xludf.DUMMYFUNCTION("""COMPUTED_VALUE"""),"CUCHILLO PARA CHEF")</f>
        <v>CUCHILLO PARA CHEF</v>
      </c>
      <c r="AD2177" s="65"/>
      <c r="AE2177" s="65">
        <f>IFERROR(__xludf.DUMMYFUNCTION("""COMPUTED_VALUE"""),2.0)</f>
        <v>2</v>
      </c>
      <c r="AF2177" s="65" t="str">
        <f>IFERROR(__xludf.DUMMYFUNCTION("""COMPUTED_VALUE"""),"DESTINATARIO NO CONTESTA LLAMADAS NI WHATSAPP")</f>
        <v>DESTINATARIO NO CONTESTA LLAMADAS NI WHATSAPP</v>
      </c>
      <c r="AG2177" s="65" t="str">
        <f>IFERROR(__xludf.DUMMYFUNCTION("""COMPUTED_VALUE"""),"NO")</f>
        <v>NO</v>
      </c>
      <c r="AH2177" s="65" t="str">
        <f>IFERROR(__xludf.DUMMYFUNCTION("""COMPUTED_VALUE"""),"09:00")</f>
        <v>09:00</v>
      </c>
      <c r="AI2177" s="65" t="str">
        <f>IFERROR(__xludf.DUMMYFUNCTION("""COMPUTED_VALUE"""),"31-01-2026")</f>
        <v>31-01-2026</v>
      </c>
      <c r="AJ2177" s="65"/>
      <c r="AK2177" s="65"/>
      <c r="AL2177" s="65"/>
      <c r="AM2177" s="65"/>
      <c r="AN2177" s="65" t="str">
        <f>IFERROR(__xludf.DUMMYFUNCTION("""COMPUTED_VALUE"""),"09:39")</f>
        <v>09:39</v>
      </c>
      <c r="AO2177" s="65" t="str">
        <f>IFERROR(__xludf.DUMMYFUNCTION("""COMPUTED_VALUE"""),"10-02-2026")</f>
        <v>10-02-2026</v>
      </c>
      <c r="AP2177" s="65" t="str">
        <f>IFERROR(__xludf.DUMMYFUNCTION("""COMPUTED_VALUE"""),"DEV CONFIRMADA POR BODEGA")</f>
        <v>DEV CONFIRMADA POR BODEGA</v>
      </c>
      <c r="AQ2177" s="65"/>
      <c r="AR2177" s="65" t="str">
        <f>IFERROR(__xludf.DUMMYFUNCTION("""COMPUTED_VALUE"""),"Gestionado por: Moran Daniel, email:danielmorga2005@gmail.com, total de productos en la orden: 1")</f>
        <v>Gestionado por: Moran Daniel, email:danielmorga2005@gmail.com, total de productos en la orden: 1</v>
      </c>
      <c r="AS2177" s="65"/>
      <c r="AT2177" s="65" t="str">
        <f>IFERROR(__xludf.DUMMYFUNCTION("""COMPUTED_VALUE"""),"SHOPIFY")</f>
        <v>SHOPIFY</v>
      </c>
      <c r="AU2177" s="65" t="str">
        <f>IFERROR(__xludf.DUMMYFUNCTION("""COMPUTED_VALUE"""),"IMPORTEX EC")</f>
        <v>IMPORTEX EC</v>
      </c>
      <c r="AV2177" s="65" t="str">
        <f>IFERROR(__xludf.DUMMYFUNCTION("""COMPUTED_VALUE"""),"6403541827628")</f>
        <v>6403541827628</v>
      </c>
      <c r="AW2177" s="65">
        <f>IFERROR(__xludf.DUMMYFUNCTION("""COMPUTED_VALUE"""),4781.0)</f>
        <v>4781</v>
      </c>
      <c r="AX2177" s="65"/>
      <c r="AY2177" s="65" t="str">
        <f>IFERROR(__xludf.DUMMYFUNCTION("""COMPUTED_VALUE"""),"22/01/2026")</f>
        <v>22/01/2026</v>
      </c>
      <c r="AZ2177" s="65"/>
      <c r="BA2177" s="65"/>
    </row>
    <row r="2178">
      <c r="A2178" s="65" t="str">
        <f>IFERROR(__xludf.DUMMYFUNCTION("""COMPUTED_VALUE"""),"27-03-2026")</f>
        <v>27-03-2026</v>
      </c>
      <c r="B2178" s="65">
        <f>IFERROR(__xludf.DUMMYFUNCTION("""COMPUTED_VALUE"""),4091664.0)</f>
        <v>4091664</v>
      </c>
      <c r="C2178" s="65" t="str">
        <f>IFERROR(__xludf.DUMMYFUNCTION("""COMPUTED_VALUE"""),"09:06")</f>
        <v>09:06</v>
      </c>
      <c r="D2178" s="65" t="str">
        <f>IFERROR(__xludf.DUMMYFUNCTION("""COMPUTED_VALUE"""),"10-01-2026")</f>
        <v>10-01-2026</v>
      </c>
      <c r="E2178" s="65" t="str">
        <f>IFERROR(__xludf.DUMMYFUNCTION("""COMPUTED_VALUE"""),"Joffre José Buste Barrio  malecón del rio blanco( aldea)")</f>
        <v>Joffre José Buste Barrio  malecón del rio blanco( aldea)</v>
      </c>
      <c r="F2178" s="65" t="str">
        <f>IFERROR(__xludf.DUMMYFUNCTION("""COMPUTED_VALUE"""),"993211820")</f>
        <v>993211820</v>
      </c>
      <c r="G2178" s="65" t="str">
        <f>IFERROR(__xludf.DUMMYFUNCTION("""COMPUTED_VALUE"""),"josebuste1122@gmail.com")</f>
        <v>josebuste1122@gmail.com</v>
      </c>
      <c r="H2178" s="65"/>
      <c r="I2178" s="65"/>
      <c r="J2178" s="65" t="str">
        <f>IFERROR(__xludf.DUMMYFUNCTION("""COMPUTED_VALUE"""),"D001223285")</f>
        <v>D001223285</v>
      </c>
      <c r="K2178" s="65" t="str">
        <f>IFERROR(__xludf.DUMMYFUNCTION("""COMPUTED_VALUE"""),"ENTREGADO")</f>
        <v>ENTREGADO</v>
      </c>
      <c r="L2178" s="65" t="str">
        <f>IFERROR(__xludf.DUMMYFUNCTION("""COMPUTED_VALUE"""),"CON RECAUDO")</f>
        <v>CON RECAUDO</v>
      </c>
      <c r="M2178" s="65" t="str">
        <f>IFERROR(__xludf.DUMMYFUNCTION("""COMPUTED_VALUE"""),"ESMERALDAS")</f>
        <v>ESMERALDAS</v>
      </c>
      <c r="N2178" s="65" t="str">
        <f>IFERROR(__xludf.DUMMYFUNCTION("""COMPUTED_VALUE"""),"QUININDE")</f>
        <v>QUININDE</v>
      </c>
      <c r="O2178" s="65" t="str">
        <f>IFERROR(__xludf.DUMMYFUNCTION("""COMPUTED_VALUE"""),"9 de octubre y Manuel alman Barrio Malecón río Blanco  junto a la parada de tricimoto Multimarket mi rey -")</f>
        <v>9 de octubre y Manuel alman Barrio Malecón río Blanco  junto a la parada de tricimoto Multimarket mi rey -</v>
      </c>
      <c r="P2178" s="65"/>
      <c r="Q2178" s="65" t="str">
        <f>IFERROR(__xludf.DUMMYFUNCTION("""COMPUTED_VALUE"""),"GINTRACOM")</f>
        <v>GINTRACOM</v>
      </c>
      <c r="R2178" s="65">
        <f>IFERROR(__xludf.DUMMYFUNCTION("""COMPUTED_VALUE"""),32.0)</f>
        <v>32</v>
      </c>
      <c r="S2178" s="65">
        <f>IFERROR(__xludf.DUMMYFUNCTION("""COMPUTED_VALUE"""),15.36)</f>
        <v>15.36</v>
      </c>
      <c r="T2178" s="65">
        <f>IFERROR(__xludf.DUMMYFUNCTION("""COMPUTED_VALUE"""),6.24)</f>
        <v>6.24</v>
      </c>
      <c r="U2178" s="65">
        <f>IFERROR(__xludf.DUMMYFUNCTION("""COMPUTED_VALUE"""),0.0)</f>
        <v>0</v>
      </c>
      <c r="V2178" s="65">
        <f>IFERROR(__xludf.DUMMYFUNCTION("""COMPUTED_VALUE"""),0.0)</f>
        <v>0</v>
      </c>
      <c r="W2178" s="65">
        <f>IFERROR(__xludf.DUMMYFUNCTION("""COMPUTED_VALUE"""),0.0)</f>
        <v>0</v>
      </c>
      <c r="X2178" s="65">
        <f>IFERROR(__xludf.DUMMYFUNCTION("""COMPUTED_VALUE"""),2.6)</f>
        <v>2.6</v>
      </c>
      <c r="Y2178" s="65">
        <f>IFERROR(__xludf.DUMMYFUNCTION("""COMPUTED_VALUE"""),10.4)</f>
        <v>10.4</v>
      </c>
      <c r="Z2178" s="65">
        <f>IFERROR(__xludf.DUMMYFUNCTION("""COMPUTED_VALUE"""),121983.0)</f>
        <v>121983</v>
      </c>
      <c r="AA2178" s="65" t="str">
        <f>IFERROR(__xludf.DUMMYFUNCTION("""COMPUTED_VALUE"""),"PROV-CHLLCF")</f>
        <v>PROV-CHLLCF</v>
      </c>
      <c r="AB2178" s="65"/>
      <c r="AC2178" s="65" t="str">
        <f>IFERROR(__xludf.DUMMYFUNCTION("""COMPUTED_VALUE"""),"CUCHILLO PARA CHEF")</f>
        <v>CUCHILLO PARA CHEF</v>
      </c>
      <c r="AD2178" s="65"/>
      <c r="AE2178" s="65">
        <f>IFERROR(__xludf.DUMMYFUNCTION("""COMPUTED_VALUE"""),4.0)</f>
        <v>4</v>
      </c>
      <c r="AF2178" s="65"/>
      <c r="AG2178" s="65"/>
      <c r="AH2178" s="65"/>
      <c r="AI2178" s="65"/>
      <c r="AJ2178" s="65"/>
      <c r="AK2178" s="65"/>
      <c r="AL2178" s="65"/>
      <c r="AM2178" s="65"/>
      <c r="AN2178" s="65" t="str">
        <f>IFERROR(__xludf.DUMMYFUNCTION("""COMPUTED_VALUE"""),"10:36")</f>
        <v>10:36</v>
      </c>
      <c r="AO2178" s="65" t="str">
        <f>IFERROR(__xludf.DUMMYFUNCTION("""COMPUTED_VALUE"""),"16-01-2026")</f>
        <v>16-01-2026</v>
      </c>
      <c r="AP2178" s="65" t="str">
        <f>IFERROR(__xludf.DUMMYFUNCTION("""COMPUTED_VALUE"""),"EN REPARTO")</f>
        <v>EN REPARTO</v>
      </c>
      <c r="AQ2178" s="65" t="str">
        <f>IFERROR(__xludf.DUMMYFUNCTION("""COMPUTED_VALUE"""),"EN REPARTO")</f>
        <v>EN REPARTO</v>
      </c>
      <c r="AR2178" s="65"/>
      <c r="AS2178" s="65"/>
      <c r="AT2178" s="65" t="str">
        <f>IFERROR(__xludf.DUMMYFUNCTION("""COMPUTED_VALUE"""),"SHOPIFY")</f>
        <v>SHOPIFY</v>
      </c>
      <c r="AU2178" s="65" t="str">
        <f>IFERROR(__xludf.DUMMYFUNCTION("""COMPUTED_VALUE"""),"IMPORTEX EC")</f>
        <v>IMPORTEX EC</v>
      </c>
      <c r="AV2178" s="65" t="str">
        <f>IFERROR(__xludf.DUMMYFUNCTION("""COMPUTED_VALUE"""),"6403541237804")</f>
        <v>6403541237804</v>
      </c>
      <c r="AW2178" s="65">
        <f>IFERROR(__xludf.DUMMYFUNCTION("""COMPUTED_VALUE"""),4780.0)</f>
        <v>4780</v>
      </c>
      <c r="AX2178" s="65"/>
      <c r="AY2178" s="65" t="str">
        <f>IFERROR(__xludf.DUMMYFUNCTION("""COMPUTED_VALUE"""),"14/01/2026")</f>
        <v>14/01/2026</v>
      </c>
      <c r="AZ2178" s="65"/>
      <c r="BA2178" s="65"/>
    </row>
    <row r="2179">
      <c r="A2179" s="65" t="str">
        <f>IFERROR(__xludf.DUMMYFUNCTION("""COMPUTED_VALUE"""),"27-03-2026")</f>
        <v>27-03-2026</v>
      </c>
      <c r="B2179" s="65">
        <f>IFERROR(__xludf.DUMMYFUNCTION("""COMPUTED_VALUE"""),4091651.0)</f>
        <v>4091651</v>
      </c>
      <c r="C2179" s="65" t="str">
        <f>IFERROR(__xludf.DUMMYFUNCTION("""COMPUTED_VALUE"""),"09:05")</f>
        <v>09:05</v>
      </c>
      <c r="D2179" s="65" t="str">
        <f>IFERROR(__xludf.DUMMYFUNCTION("""COMPUTED_VALUE"""),"10-01-2026")</f>
        <v>10-01-2026</v>
      </c>
      <c r="E2179" s="65" t="str">
        <f>IFERROR(__xludf.DUMMYFUNCTION("""COMPUTED_VALUE"""),"Geovanny Llagsha")</f>
        <v>Geovanny Llagsha</v>
      </c>
      <c r="F2179" s="65" t="str">
        <f>IFERROR(__xludf.DUMMYFUNCTION("""COMPUTED_VALUE"""),"982279605")</f>
        <v>982279605</v>
      </c>
      <c r="G2179" s="65" t="str">
        <f>IFERROR(__xludf.DUMMYFUNCTION("""COMPUTED_VALUE"""),"geovannyllagsha1994@gmail.com")</f>
        <v>geovannyllagsha1994@gmail.com</v>
      </c>
      <c r="H2179" s="65"/>
      <c r="I2179" s="65"/>
      <c r="J2179" s="65" t="str">
        <f>IFERROR(__xludf.DUMMYFUNCTION("""COMPUTED_VALUE"""),"D001223289")</f>
        <v>D001223289</v>
      </c>
      <c r="K2179" s="65" t="str">
        <f>IFERROR(__xludf.DUMMYFUNCTION("""COMPUTED_VALUE"""),"ENTREGADO")</f>
        <v>ENTREGADO</v>
      </c>
      <c r="L2179" s="65" t="str">
        <f>IFERROR(__xludf.DUMMYFUNCTION("""COMPUTED_VALUE"""),"CON RECAUDO")</f>
        <v>CON RECAUDO</v>
      </c>
      <c r="M2179" s="65" t="str">
        <f>IFERROR(__xludf.DUMMYFUNCTION("""COMPUTED_VALUE"""),"CARCHI")</f>
        <v>CARCHI</v>
      </c>
      <c r="N2179" s="65" t="str">
        <f>IFERROR(__xludf.DUMMYFUNCTION("""COMPUTED_VALUE"""),"TULCAN")</f>
        <v>TULCAN</v>
      </c>
      <c r="O2179" s="65" t="str">
        <f>IFERROR(__xludf.DUMMYFUNCTION("""COMPUTED_VALUE"""),"Calle Bolívar y atahualpa Edificio Coop. Chibuleo frente a la Coop. La Cacet -")</f>
        <v>Calle Bolívar y atahualpa Edificio Coop. Chibuleo frente a la Coop. La Cacet -</v>
      </c>
      <c r="P2179" s="65"/>
      <c r="Q2179" s="65" t="str">
        <f>IFERROR(__xludf.DUMMYFUNCTION("""COMPUTED_VALUE"""),"GINTRACOM")</f>
        <v>GINTRACOM</v>
      </c>
      <c r="R2179" s="65">
        <f>IFERROR(__xludf.DUMMYFUNCTION("""COMPUTED_VALUE"""),20.0)</f>
        <v>20</v>
      </c>
      <c r="S2179" s="65">
        <f>IFERROR(__xludf.DUMMYFUNCTION("""COMPUTED_VALUE"""),11.45)</f>
        <v>11.45</v>
      </c>
      <c r="T2179" s="65">
        <f>IFERROR(__xludf.DUMMYFUNCTION("""COMPUTED_VALUE"""),5.76)</f>
        <v>5.76</v>
      </c>
      <c r="U2179" s="65">
        <f>IFERROR(__xludf.DUMMYFUNCTION("""COMPUTED_VALUE"""),0.0)</f>
        <v>0</v>
      </c>
      <c r="V2179" s="65">
        <f>IFERROR(__xludf.DUMMYFUNCTION("""COMPUTED_VALUE"""),0.0)</f>
        <v>0</v>
      </c>
      <c r="W2179" s="65">
        <f>IFERROR(__xludf.DUMMYFUNCTION("""COMPUTED_VALUE"""),0.0)</f>
        <v>0</v>
      </c>
      <c r="X2179" s="65">
        <f>IFERROR(__xludf.DUMMYFUNCTION("""COMPUTED_VALUE"""),2.79)</f>
        <v>2.79</v>
      </c>
      <c r="Y2179" s="65">
        <f>IFERROR(__xludf.DUMMYFUNCTION("""COMPUTED_VALUE"""),2.79)</f>
        <v>2.79</v>
      </c>
      <c r="Z2179" s="65">
        <f>IFERROR(__xludf.DUMMYFUNCTION("""COMPUTED_VALUE"""),120732.0)</f>
        <v>120732</v>
      </c>
      <c r="AA2179" s="65" t="str">
        <f>IFERROR(__xludf.DUMMYFUNCTION("""COMPUTED_VALUE"""),"PROV-LMPVT")</f>
        <v>PROV-LMPVT</v>
      </c>
      <c r="AB2179" s="65"/>
      <c r="AC2179" s="65" t="str">
        <f>IFERROR(__xludf.DUMMYFUNCTION("""COMPUTED_VALUE"""),"LIMPIADOR DE PARABRISAS Y VENTANAS")</f>
        <v>LIMPIADOR DE PARABRISAS Y VENTANAS</v>
      </c>
      <c r="AD2179" s="65"/>
      <c r="AE2179" s="65">
        <f>IFERROR(__xludf.DUMMYFUNCTION("""COMPUTED_VALUE"""),1.0)</f>
        <v>1</v>
      </c>
      <c r="AF2179" s="65"/>
      <c r="AG2179" s="65"/>
      <c r="AH2179" s="65"/>
      <c r="AI2179" s="65"/>
      <c r="AJ2179" s="65"/>
      <c r="AK2179" s="65"/>
      <c r="AL2179" s="65"/>
      <c r="AM2179" s="65"/>
      <c r="AN2179" s="65" t="str">
        <f>IFERROR(__xludf.DUMMYFUNCTION("""COMPUTED_VALUE"""),"14:52")</f>
        <v>14:52</v>
      </c>
      <c r="AO2179" s="65" t="str">
        <f>IFERROR(__xludf.DUMMYFUNCTION("""COMPUTED_VALUE"""),"16-01-2026")</f>
        <v>16-01-2026</v>
      </c>
      <c r="AP2179" s="65" t="str">
        <f>IFERROR(__xludf.DUMMYFUNCTION("""COMPUTED_VALUE"""),"EN REPARTO")</f>
        <v>EN REPARTO</v>
      </c>
      <c r="AQ2179" s="65" t="str">
        <f>IFERROR(__xludf.DUMMYFUNCTION("""COMPUTED_VALUE"""),"EN REPARTO")</f>
        <v>EN REPARTO</v>
      </c>
      <c r="AR2179" s="65"/>
      <c r="AS2179" s="65"/>
      <c r="AT2179" s="65" t="str">
        <f>IFERROR(__xludf.DUMMYFUNCTION("""COMPUTED_VALUE"""),"SHOPIFY")</f>
        <v>SHOPIFY</v>
      </c>
      <c r="AU2179" s="65" t="str">
        <f>IFERROR(__xludf.DUMMYFUNCTION("""COMPUTED_VALUE"""),"IMPORTEX EC")</f>
        <v>IMPORTEX EC</v>
      </c>
      <c r="AV2179" s="65" t="str">
        <f>IFERROR(__xludf.DUMMYFUNCTION("""COMPUTED_VALUE"""),"6403539468332")</f>
        <v>6403539468332</v>
      </c>
      <c r="AW2179" s="65">
        <f>IFERROR(__xludf.DUMMYFUNCTION("""COMPUTED_VALUE"""),4779.0)</f>
        <v>4779</v>
      </c>
      <c r="AX2179" s="65"/>
      <c r="AY2179" s="65" t="str">
        <f>IFERROR(__xludf.DUMMYFUNCTION("""COMPUTED_VALUE"""),"14/01/2026")</f>
        <v>14/01/2026</v>
      </c>
      <c r="AZ2179" s="65"/>
      <c r="BA2179" s="65"/>
    </row>
    <row r="2180">
      <c r="A2180" s="65" t="str">
        <f>IFERROR(__xludf.DUMMYFUNCTION("""COMPUTED_VALUE"""),"27-03-2026")</f>
        <v>27-03-2026</v>
      </c>
      <c r="B2180" s="65">
        <f>IFERROR(__xludf.DUMMYFUNCTION("""COMPUTED_VALUE"""),4091574.0)</f>
        <v>4091574</v>
      </c>
      <c r="C2180" s="65" t="str">
        <f>IFERROR(__xludf.DUMMYFUNCTION("""COMPUTED_VALUE"""),"08:57")</f>
        <v>08:57</v>
      </c>
      <c r="D2180" s="65" t="str">
        <f>IFERROR(__xludf.DUMMYFUNCTION("""COMPUTED_VALUE"""),"10-01-2026")</f>
        <v>10-01-2026</v>
      </c>
      <c r="E2180" s="65" t="str">
        <f>IFERROR(__xludf.DUMMYFUNCTION("""COMPUTED_VALUE"""),"Jefferson Chimarro")</f>
        <v>Jefferson Chimarro</v>
      </c>
      <c r="F2180" s="65" t="str">
        <f>IFERROR(__xludf.DUMMYFUNCTION("""COMPUTED_VALUE"""),"998259938")</f>
        <v>998259938</v>
      </c>
      <c r="G2180" s="65" t="str">
        <f>IFERROR(__xludf.DUMMYFUNCTION("""COMPUTED_VALUE"""),"chimarrojefferson@gmail.com")</f>
        <v>chimarrojefferson@gmail.com</v>
      </c>
      <c r="H2180" s="65"/>
      <c r="I2180" s="65"/>
      <c r="J2180" s="65" t="str">
        <f>IFERROR(__xludf.DUMMYFUNCTION("""COMPUTED_VALUE"""),"D001223292")</f>
        <v>D001223292</v>
      </c>
      <c r="K2180" s="65" t="str">
        <f>IFERROR(__xludf.DUMMYFUNCTION("""COMPUTED_VALUE"""),"ENTREGADO")</f>
        <v>ENTREGADO</v>
      </c>
      <c r="L2180" s="65" t="str">
        <f>IFERROR(__xludf.DUMMYFUNCTION("""COMPUTED_VALUE"""),"CON RECAUDO")</f>
        <v>CON RECAUDO</v>
      </c>
      <c r="M2180" s="65" t="str">
        <f>IFERROR(__xludf.DUMMYFUNCTION("""COMPUTED_VALUE"""),"SANTA ELENA")</f>
        <v>SANTA ELENA</v>
      </c>
      <c r="N2180" s="65" t="str">
        <f>IFERROR(__xludf.DUMMYFUNCTION("""COMPUTED_VALUE"""),"SANTA ELENA")</f>
        <v>SANTA ELENA</v>
      </c>
      <c r="O2180" s="65" t="str">
        <f>IFERROR(__xludf.DUMMYFUNCTION("""COMPUTED_VALUE"""),"Santa elena, calle guayaquil y Virgilio drouet y sin nombre - frente a librería la libertad")</f>
        <v>Santa elena, calle guayaquil y Virgilio drouet y sin nombre - frente a librería la libertad</v>
      </c>
      <c r="P2180" s="65"/>
      <c r="Q2180" s="65" t="str">
        <f>IFERROR(__xludf.DUMMYFUNCTION("""COMPUTED_VALUE"""),"GINTRACOM")</f>
        <v>GINTRACOM</v>
      </c>
      <c r="R2180" s="65">
        <f>IFERROR(__xludf.DUMMYFUNCTION("""COMPUTED_VALUE"""),27.0)</f>
        <v>27</v>
      </c>
      <c r="S2180" s="65">
        <f>IFERROR(__xludf.DUMMYFUNCTION("""COMPUTED_VALUE"""),13.17)</f>
        <v>13.17</v>
      </c>
      <c r="T2180" s="65">
        <f>IFERROR(__xludf.DUMMYFUNCTION("""COMPUTED_VALUE"""),6.03)</f>
        <v>6.03</v>
      </c>
      <c r="U2180" s="65">
        <f>IFERROR(__xludf.DUMMYFUNCTION("""COMPUTED_VALUE"""),0.0)</f>
        <v>0</v>
      </c>
      <c r="V2180" s="65">
        <f>IFERROR(__xludf.DUMMYFUNCTION("""COMPUTED_VALUE"""),0.0)</f>
        <v>0</v>
      </c>
      <c r="W2180" s="65">
        <f>IFERROR(__xludf.DUMMYFUNCTION("""COMPUTED_VALUE"""),0.0)</f>
        <v>0</v>
      </c>
      <c r="X2180" s="65">
        <f>IFERROR(__xludf.DUMMYFUNCTION("""COMPUTED_VALUE"""),2.6)</f>
        <v>2.6</v>
      </c>
      <c r="Y2180" s="65">
        <f>IFERROR(__xludf.DUMMYFUNCTION("""COMPUTED_VALUE"""),7.8)</f>
        <v>7.8</v>
      </c>
      <c r="Z2180" s="65">
        <f>IFERROR(__xludf.DUMMYFUNCTION("""COMPUTED_VALUE"""),121983.0)</f>
        <v>121983</v>
      </c>
      <c r="AA2180" s="65" t="str">
        <f>IFERROR(__xludf.DUMMYFUNCTION("""COMPUTED_VALUE"""),"PROV-CHLLCF")</f>
        <v>PROV-CHLLCF</v>
      </c>
      <c r="AB2180" s="65"/>
      <c r="AC2180" s="65" t="str">
        <f>IFERROR(__xludf.DUMMYFUNCTION("""COMPUTED_VALUE"""),"CUCHILLO PARA CHEF")</f>
        <v>CUCHILLO PARA CHEF</v>
      </c>
      <c r="AD2180" s="65"/>
      <c r="AE2180" s="65">
        <f>IFERROR(__xludf.DUMMYFUNCTION("""COMPUTED_VALUE"""),3.0)</f>
        <v>3</v>
      </c>
      <c r="AF2180" s="65"/>
      <c r="AG2180" s="65"/>
      <c r="AH2180" s="65"/>
      <c r="AI2180" s="65"/>
      <c r="AJ2180" s="65"/>
      <c r="AK2180" s="65"/>
      <c r="AL2180" s="65"/>
      <c r="AM2180" s="65"/>
      <c r="AN2180" s="65" t="str">
        <f>IFERROR(__xludf.DUMMYFUNCTION("""COMPUTED_VALUE"""),"11:25")</f>
        <v>11:25</v>
      </c>
      <c r="AO2180" s="65" t="str">
        <f>IFERROR(__xludf.DUMMYFUNCTION("""COMPUTED_VALUE"""),"20-01-2026")</f>
        <v>20-01-2026</v>
      </c>
      <c r="AP2180" s="65" t="str">
        <f>IFERROR(__xludf.DUMMYFUNCTION("""COMPUTED_VALUE"""),"ENTREGADA GINTRACOM")</f>
        <v>ENTREGADA GINTRACOM</v>
      </c>
      <c r="AQ2180" s="65" t="str">
        <f>IFERROR(__xludf.DUMMYFUNCTION("""COMPUTED_VALUE"""),"ENTREGADA GINTRACOM")</f>
        <v>ENTREGADA GINTRACOM</v>
      </c>
      <c r="AR2180" s="65"/>
      <c r="AS2180" s="65"/>
      <c r="AT2180" s="65" t="str">
        <f>IFERROR(__xludf.DUMMYFUNCTION("""COMPUTED_VALUE"""),"SHOPIFY")</f>
        <v>SHOPIFY</v>
      </c>
      <c r="AU2180" s="65" t="str">
        <f>IFERROR(__xludf.DUMMYFUNCTION("""COMPUTED_VALUE"""),"IMPORTEX EC")</f>
        <v>IMPORTEX EC</v>
      </c>
      <c r="AV2180" s="65" t="str">
        <f>IFERROR(__xludf.DUMMYFUNCTION("""COMPUTED_VALUE"""),"6403529080876")</f>
        <v>6403529080876</v>
      </c>
      <c r="AW2180" s="65">
        <f>IFERROR(__xludf.DUMMYFUNCTION("""COMPUTED_VALUE"""),4777.0)</f>
        <v>4777</v>
      </c>
      <c r="AX2180" s="65"/>
      <c r="AY2180" s="65" t="str">
        <f>IFERROR(__xludf.DUMMYFUNCTION("""COMPUTED_VALUE"""),"14/01/2026")</f>
        <v>14/01/2026</v>
      </c>
      <c r="AZ2180" s="65"/>
      <c r="BA2180" s="65"/>
    </row>
    <row r="2181">
      <c r="A2181" s="65" t="str">
        <f>IFERROR(__xludf.DUMMYFUNCTION("""COMPUTED_VALUE"""),"27-03-2026")</f>
        <v>27-03-2026</v>
      </c>
      <c r="B2181" s="65">
        <f>IFERROR(__xludf.DUMMYFUNCTION("""COMPUTED_VALUE"""),4091448.0)</f>
        <v>4091448</v>
      </c>
      <c r="C2181" s="65" t="str">
        <f>IFERROR(__xludf.DUMMYFUNCTION("""COMPUTED_VALUE"""),"08:44")</f>
        <v>08:44</v>
      </c>
      <c r="D2181" s="65" t="str">
        <f>IFERROR(__xludf.DUMMYFUNCTION("""COMPUTED_VALUE"""),"10-01-2026")</f>
        <v>10-01-2026</v>
      </c>
      <c r="E2181" s="65" t="str">
        <f>IFERROR(__xludf.DUMMYFUNCTION("""COMPUTED_VALUE"""),"Mauricio Navarrete Dávila")</f>
        <v>Mauricio Navarrete Dávila</v>
      </c>
      <c r="F2181" s="65" t="str">
        <f>IFERROR(__xludf.DUMMYFUNCTION("""COMPUTED_VALUE"""),"999409246")</f>
        <v>999409246</v>
      </c>
      <c r="G2181" s="65" t="str">
        <f>IFERROR(__xludf.DUMMYFUNCTION("""COMPUTED_VALUE"""),"macanada1007@hotmail.com")</f>
        <v>macanada1007@hotmail.com</v>
      </c>
      <c r="H2181" s="65"/>
      <c r="I2181" s="65"/>
      <c r="J2181" s="65" t="str">
        <f>IFERROR(__xludf.DUMMYFUNCTION("""COMPUTED_VALUE"""),"D001220635")</f>
        <v>D001220635</v>
      </c>
      <c r="K2181" s="65" t="str">
        <f>IFERROR(__xludf.DUMMYFUNCTION("""COMPUTED_VALUE"""),"ENTREGADO")</f>
        <v>ENTREGADO</v>
      </c>
      <c r="L2181" s="65" t="str">
        <f>IFERROR(__xludf.DUMMYFUNCTION("""COMPUTED_VALUE"""),"CON RECAUDO")</f>
        <v>CON RECAUDO</v>
      </c>
      <c r="M2181" s="65" t="str">
        <f>IFERROR(__xludf.DUMMYFUNCTION("""COMPUTED_VALUE"""),"SUCUMBIOS")</f>
        <v>SUCUMBIOS</v>
      </c>
      <c r="N2181" s="65" t="str">
        <f>IFERROR(__xludf.DUMMYFUNCTION("""COMPUTED_VALUE"""),"LAGO AGRIO")</f>
        <v>LAGO AGRIO</v>
      </c>
      <c r="O2181" s="65" t="str">
        <f>IFERROR(__xludf.DUMMYFUNCTION("""COMPUTED_VALUE"""),"Napo 613 y presidente Roldos Nueva espeeanza -")</f>
        <v>Napo 613 y presidente Roldos Nueva espeeanza -</v>
      </c>
      <c r="P2181" s="65"/>
      <c r="Q2181" s="65" t="str">
        <f>IFERROR(__xludf.DUMMYFUNCTION("""COMPUTED_VALUE"""),"GINTRACOM")</f>
        <v>GINTRACOM</v>
      </c>
      <c r="R2181" s="65">
        <f>IFERROR(__xludf.DUMMYFUNCTION("""COMPUTED_VALUE"""),25.0)</f>
        <v>25</v>
      </c>
      <c r="S2181" s="65">
        <f>IFERROR(__xludf.DUMMYFUNCTION("""COMPUTED_VALUE"""),13.46)</f>
        <v>13.46</v>
      </c>
      <c r="T2181" s="65">
        <f>IFERROR(__xludf.DUMMYFUNCTION("""COMPUTED_VALUE"""),5.96)</f>
        <v>5.96</v>
      </c>
      <c r="U2181" s="65">
        <f>IFERROR(__xludf.DUMMYFUNCTION("""COMPUTED_VALUE"""),0.0)</f>
        <v>0</v>
      </c>
      <c r="V2181" s="65">
        <f>IFERROR(__xludf.DUMMYFUNCTION("""COMPUTED_VALUE"""),0.0)</f>
        <v>0</v>
      </c>
      <c r="W2181" s="65">
        <f>IFERROR(__xludf.DUMMYFUNCTION("""COMPUTED_VALUE"""),0.0)</f>
        <v>0</v>
      </c>
      <c r="X2181" s="65">
        <f>IFERROR(__xludf.DUMMYFUNCTION("""COMPUTED_VALUE"""),2.79)</f>
        <v>2.79</v>
      </c>
      <c r="Y2181" s="65">
        <f>IFERROR(__xludf.DUMMYFUNCTION("""COMPUTED_VALUE"""),5.58)</f>
        <v>5.58</v>
      </c>
      <c r="Z2181" s="65">
        <f>IFERROR(__xludf.DUMMYFUNCTION("""COMPUTED_VALUE"""),120732.0)</f>
        <v>120732</v>
      </c>
      <c r="AA2181" s="65" t="str">
        <f>IFERROR(__xludf.DUMMYFUNCTION("""COMPUTED_VALUE"""),"PROV-LMPVT")</f>
        <v>PROV-LMPVT</v>
      </c>
      <c r="AB2181" s="65"/>
      <c r="AC2181" s="65" t="str">
        <f>IFERROR(__xludf.DUMMYFUNCTION("""COMPUTED_VALUE"""),"LIMPIADOR DE PARABRISAS Y VENTANAS")</f>
        <v>LIMPIADOR DE PARABRISAS Y VENTANAS</v>
      </c>
      <c r="AD2181" s="65"/>
      <c r="AE2181" s="65">
        <f>IFERROR(__xludf.DUMMYFUNCTION("""COMPUTED_VALUE"""),2.0)</f>
        <v>2</v>
      </c>
      <c r="AF2181" s="65" t="str">
        <f>IFERROR(__xludf.DUMMYFUNCTION("""COMPUTED_VALUE"""),"DESTINATARIO NO CONTESTA LLAMADAS NI WHATSAPP")</f>
        <v>DESTINATARIO NO CONTESTA LLAMADAS NI WHATSAPP</v>
      </c>
      <c r="AG2181" s="65" t="str">
        <f>IFERROR(__xludf.DUMMYFUNCTION("""COMPUTED_VALUE"""),"NO")</f>
        <v>NO</v>
      </c>
      <c r="AH2181" s="65" t="str">
        <f>IFERROR(__xludf.DUMMYFUNCTION("""COMPUTED_VALUE"""),"18:14")</f>
        <v>18:14</v>
      </c>
      <c r="AI2181" s="65" t="str">
        <f>IFERROR(__xludf.DUMMYFUNCTION("""COMPUTED_VALUE"""),"15-01-2026")</f>
        <v>15-01-2026</v>
      </c>
      <c r="AJ2181" s="65"/>
      <c r="AK2181" s="65"/>
      <c r="AL2181" s="65"/>
      <c r="AM2181" s="65"/>
      <c r="AN2181" s="65" t="str">
        <f>IFERROR(__xludf.DUMMYFUNCTION("""COMPUTED_VALUE"""),"09:29")</f>
        <v>09:29</v>
      </c>
      <c r="AO2181" s="65" t="str">
        <f>IFERROR(__xludf.DUMMYFUNCTION("""COMPUTED_VALUE"""),"17-01-2026")</f>
        <v>17-01-2026</v>
      </c>
      <c r="AP2181" s="65" t="str">
        <f>IFERROR(__xludf.DUMMYFUNCTION("""COMPUTED_VALUE"""),"ENTREGADA GINTRACOM")</f>
        <v>ENTREGADA GINTRACOM</v>
      </c>
      <c r="AQ2181" s="65" t="str">
        <f>IFERROR(__xludf.DUMMYFUNCTION("""COMPUTED_VALUE"""),"ENTREGADA GINTRACOM")</f>
        <v>ENTREGADA GINTRACOM</v>
      </c>
      <c r="AR2181" s="65"/>
      <c r="AS2181" s="65"/>
      <c r="AT2181" s="65" t="str">
        <f>IFERROR(__xludf.DUMMYFUNCTION("""COMPUTED_VALUE"""),"SHOPIFY")</f>
        <v>SHOPIFY</v>
      </c>
      <c r="AU2181" s="65" t="str">
        <f>IFERROR(__xludf.DUMMYFUNCTION("""COMPUTED_VALUE"""),"IMPORTEX EC")</f>
        <v>IMPORTEX EC</v>
      </c>
      <c r="AV2181" s="65" t="str">
        <f>IFERROR(__xludf.DUMMYFUNCTION("""COMPUTED_VALUE"""),"6403511124012")</f>
        <v>6403511124012</v>
      </c>
      <c r="AW2181" s="65">
        <f>IFERROR(__xludf.DUMMYFUNCTION("""COMPUTED_VALUE"""),4776.0)</f>
        <v>4776</v>
      </c>
      <c r="AX2181" s="65"/>
      <c r="AY2181" s="65" t="str">
        <f>IFERROR(__xludf.DUMMYFUNCTION("""COMPUTED_VALUE"""),"13/01/2026")</f>
        <v>13/01/2026</v>
      </c>
      <c r="AZ2181" s="65"/>
      <c r="BA2181" s="65"/>
    </row>
    <row r="2182">
      <c r="A2182" s="65" t="str">
        <f>IFERROR(__xludf.DUMMYFUNCTION("""COMPUTED_VALUE"""),"27-03-2026")</f>
        <v>27-03-2026</v>
      </c>
      <c r="B2182" s="65">
        <f>IFERROR(__xludf.DUMMYFUNCTION("""COMPUTED_VALUE"""),4091264.0)</f>
        <v>4091264</v>
      </c>
      <c r="C2182" s="65" t="str">
        <f>IFERROR(__xludf.DUMMYFUNCTION("""COMPUTED_VALUE"""),"08:27")</f>
        <v>08:27</v>
      </c>
      <c r="D2182" s="65" t="str">
        <f>IFERROR(__xludf.DUMMYFUNCTION("""COMPUTED_VALUE"""),"10-01-2026")</f>
        <v>10-01-2026</v>
      </c>
      <c r="E2182" s="65" t="str">
        <f>IFERROR(__xludf.DUMMYFUNCTION("""COMPUTED_VALUE"""),"Cesar Silva guerrero")</f>
        <v>Cesar Silva guerrero</v>
      </c>
      <c r="F2182" s="65" t="str">
        <f>IFERROR(__xludf.DUMMYFUNCTION("""COMPUTED_VALUE"""),"964194037")</f>
        <v>964194037</v>
      </c>
      <c r="G2182" s="65" t="str">
        <f>IFERROR(__xludf.DUMMYFUNCTION("""COMPUTED_VALUE"""),"cesar_silvag@hotmail.com")</f>
        <v>cesar_silvag@hotmail.com</v>
      </c>
      <c r="H2182" s="65"/>
      <c r="I2182" s="65"/>
      <c r="J2182" s="65" t="str">
        <f>IFERROR(__xludf.DUMMYFUNCTION("""COMPUTED_VALUE"""),"D001223295")</f>
        <v>D001223295</v>
      </c>
      <c r="K2182" s="65" t="str">
        <f>IFERROR(__xludf.DUMMYFUNCTION("""COMPUTED_VALUE"""),"ENTREGADO")</f>
        <v>ENTREGADO</v>
      </c>
      <c r="L2182" s="65" t="str">
        <f>IFERROR(__xludf.DUMMYFUNCTION("""COMPUTED_VALUE"""),"CON RECAUDO")</f>
        <v>CON RECAUDO</v>
      </c>
      <c r="M2182" s="65" t="str">
        <f>IFERROR(__xludf.DUMMYFUNCTION("""COMPUTED_VALUE"""),"GUAYAS")</f>
        <v>GUAYAS</v>
      </c>
      <c r="N2182" s="65" t="str">
        <f>IFERROR(__xludf.DUMMYFUNCTION("""COMPUTED_VALUE"""),"GUAYAQUIL")</f>
        <v>GUAYAQUIL</v>
      </c>
      <c r="O2182" s="65" t="str">
        <f>IFERROR(__xludf.DUMMYFUNCTION("""COMPUTED_VALUE"""),"Sector Urdenor - Calle 16N-O y 1er retorno N-O - Entre Francisco de Orellana y Juan Tanca Marengo - Junto a Aplitec puerta gris - La Herradura -")</f>
        <v>Sector Urdenor - Calle 16N-O y 1er retorno N-O - Entre Francisco de Orellana y Juan Tanca Marengo - Junto a Aplitec puerta gris - La Herradura -</v>
      </c>
      <c r="P2182" s="65"/>
      <c r="Q2182" s="65" t="str">
        <f>IFERROR(__xludf.DUMMYFUNCTION("""COMPUTED_VALUE"""),"GINTRACOM")</f>
        <v>GINTRACOM</v>
      </c>
      <c r="R2182" s="65">
        <f>IFERROR(__xludf.DUMMYFUNCTION("""COMPUTED_VALUE"""),22.0)</f>
        <v>22</v>
      </c>
      <c r="S2182" s="65">
        <f>IFERROR(__xludf.DUMMYFUNCTION("""COMPUTED_VALUE"""),12.57)</f>
        <v>12.57</v>
      </c>
      <c r="T2182" s="65">
        <f>IFERROR(__xludf.DUMMYFUNCTION("""COMPUTED_VALUE"""),4.23)</f>
        <v>4.23</v>
      </c>
      <c r="U2182" s="65">
        <f>IFERROR(__xludf.DUMMYFUNCTION("""COMPUTED_VALUE"""),0.0)</f>
        <v>0</v>
      </c>
      <c r="V2182" s="65">
        <f>IFERROR(__xludf.DUMMYFUNCTION("""COMPUTED_VALUE"""),0.0)</f>
        <v>0</v>
      </c>
      <c r="W2182" s="65">
        <f>IFERROR(__xludf.DUMMYFUNCTION("""COMPUTED_VALUE"""),0.0)</f>
        <v>0</v>
      </c>
      <c r="X2182" s="65">
        <f>IFERROR(__xludf.DUMMYFUNCTION("""COMPUTED_VALUE"""),2.6)</f>
        <v>2.6</v>
      </c>
      <c r="Y2182" s="65">
        <f>IFERROR(__xludf.DUMMYFUNCTION("""COMPUTED_VALUE"""),5.2)</f>
        <v>5.2</v>
      </c>
      <c r="Z2182" s="65">
        <f>IFERROR(__xludf.DUMMYFUNCTION("""COMPUTED_VALUE"""),121983.0)</f>
        <v>121983</v>
      </c>
      <c r="AA2182" s="65" t="str">
        <f>IFERROR(__xludf.DUMMYFUNCTION("""COMPUTED_VALUE"""),"PROV-CHLLCF")</f>
        <v>PROV-CHLLCF</v>
      </c>
      <c r="AB2182" s="65"/>
      <c r="AC2182" s="65" t="str">
        <f>IFERROR(__xludf.DUMMYFUNCTION("""COMPUTED_VALUE"""),"CUCHILLO PARA CHEF")</f>
        <v>CUCHILLO PARA CHEF</v>
      </c>
      <c r="AD2182" s="65"/>
      <c r="AE2182" s="65">
        <f>IFERROR(__xludf.DUMMYFUNCTION("""COMPUTED_VALUE"""),2.0)</f>
        <v>2</v>
      </c>
      <c r="AF2182" s="65"/>
      <c r="AG2182" s="65"/>
      <c r="AH2182" s="65"/>
      <c r="AI2182" s="65"/>
      <c r="AJ2182" s="65"/>
      <c r="AK2182" s="65"/>
      <c r="AL2182" s="65"/>
      <c r="AM2182" s="65"/>
      <c r="AN2182" s="65" t="str">
        <f>IFERROR(__xludf.DUMMYFUNCTION("""COMPUTED_VALUE"""),"12:49")</f>
        <v>12:49</v>
      </c>
      <c r="AO2182" s="65" t="str">
        <f>IFERROR(__xludf.DUMMYFUNCTION("""COMPUTED_VALUE"""),"16-01-2026")</f>
        <v>16-01-2026</v>
      </c>
      <c r="AP2182" s="65" t="str">
        <f>IFERROR(__xludf.DUMMYFUNCTION("""COMPUTED_VALUE"""),"ENTREGADA GINTRACOM")</f>
        <v>ENTREGADA GINTRACOM</v>
      </c>
      <c r="AQ2182" s="65" t="str">
        <f>IFERROR(__xludf.DUMMYFUNCTION("""COMPUTED_VALUE"""),"ENTREGADA GINTRACOM")</f>
        <v>ENTREGADA GINTRACOM</v>
      </c>
      <c r="AR2182" s="65"/>
      <c r="AS2182" s="65"/>
      <c r="AT2182" s="65" t="str">
        <f>IFERROR(__xludf.DUMMYFUNCTION("""COMPUTED_VALUE"""),"SHOPIFY")</f>
        <v>SHOPIFY</v>
      </c>
      <c r="AU2182" s="65" t="str">
        <f>IFERROR(__xludf.DUMMYFUNCTION("""COMPUTED_VALUE"""),"IMPORTEX EC")</f>
        <v>IMPORTEX EC</v>
      </c>
      <c r="AV2182" s="65" t="str">
        <f>IFERROR(__xludf.DUMMYFUNCTION("""COMPUTED_VALUE"""),"6403484942380")</f>
        <v>6403484942380</v>
      </c>
      <c r="AW2182" s="65">
        <f>IFERROR(__xludf.DUMMYFUNCTION("""COMPUTED_VALUE"""),4774.0)</f>
        <v>4774</v>
      </c>
      <c r="AX2182" s="65"/>
      <c r="AY2182" s="65" t="str">
        <f>IFERROR(__xludf.DUMMYFUNCTION("""COMPUTED_VALUE"""),"14/01/2026")</f>
        <v>14/01/2026</v>
      </c>
      <c r="AZ2182" s="65"/>
      <c r="BA2182" s="65"/>
    </row>
    <row r="2183">
      <c r="A2183" s="65" t="str">
        <f>IFERROR(__xludf.DUMMYFUNCTION("""COMPUTED_VALUE"""),"27-03-2026")</f>
        <v>27-03-2026</v>
      </c>
      <c r="B2183" s="65">
        <f>IFERROR(__xludf.DUMMYFUNCTION("""COMPUTED_VALUE"""),4091256.0)</f>
        <v>4091256</v>
      </c>
      <c r="C2183" s="65" t="str">
        <f>IFERROR(__xludf.DUMMYFUNCTION("""COMPUTED_VALUE"""),"08:27")</f>
        <v>08:27</v>
      </c>
      <c r="D2183" s="65" t="str">
        <f>IFERROR(__xludf.DUMMYFUNCTION("""COMPUTED_VALUE"""),"10-01-2026")</f>
        <v>10-01-2026</v>
      </c>
      <c r="E2183" s="65" t="str">
        <f>IFERROR(__xludf.DUMMYFUNCTION("""COMPUTED_VALUE"""),"Alex Acosta")</f>
        <v>Alex Acosta</v>
      </c>
      <c r="F2183" s="65" t="str">
        <f>IFERROR(__xludf.DUMMYFUNCTION("""COMPUTED_VALUE"""),"994759309")</f>
        <v>994759309</v>
      </c>
      <c r="G2183" s="65" t="str">
        <f>IFERROR(__xludf.DUMMYFUNCTION("""COMPUTED_VALUE"""),"alecosta475@hotmail.com")</f>
        <v>alecosta475@hotmail.com</v>
      </c>
      <c r="H2183" s="65"/>
      <c r="I2183" s="65"/>
      <c r="J2183" s="65" t="str">
        <f>IFERROR(__xludf.DUMMYFUNCTION("""COMPUTED_VALUE"""),"D001250509")</f>
        <v>D001250509</v>
      </c>
      <c r="K2183" s="65" t="str">
        <f>IFERROR(__xludf.DUMMYFUNCTION("""COMPUTED_VALUE"""),"ENTREGADO")</f>
        <v>ENTREGADO</v>
      </c>
      <c r="L2183" s="65" t="str">
        <f>IFERROR(__xludf.DUMMYFUNCTION("""COMPUTED_VALUE"""),"CON RECAUDO")</f>
        <v>CON RECAUDO</v>
      </c>
      <c r="M2183" s="65" t="str">
        <f>IFERROR(__xludf.DUMMYFUNCTION("""COMPUTED_VALUE"""),"PICHINCHA")</f>
        <v>PICHINCHA</v>
      </c>
      <c r="N2183" s="65" t="str">
        <f>IFERROR(__xludf.DUMMYFUNCTION("""COMPUTED_VALUE"""),"SANGOLQUI")</f>
        <v>SANGOLQUI</v>
      </c>
      <c r="O2183" s="65" t="str">
        <f>IFERROR(__xludf.DUMMYFUNCTION("""COMPUTED_VALUE"""),"Av Gral Rumiñahui 1445. Plaza novicentro del valle San Rafael -")</f>
        <v>Av Gral Rumiñahui 1445. Plaza novicentro del valle San Rafael -</v>
      </c>
      <c r="P2183" s="65"/>
      <c r="Q2183" s="65" t="str">
        <f>IFERROR(__xludf.DUMMYFUNCTION("""COMPUTED_VALUE"""),"GINTRACOM")</f>
        <v>GINTRACOM</v>
      </c>
      <c r="R2183" s="65">
        <f>IFERROR(__xludf.DUMMYFUNCTION("""COMPUTED_VALUE"""),25.0)</f>
        <v>25</v>
      </c>
      <c r="S2183" s="65">
        <f>IFERROR(__xludf.DUMMYFUNCTION("""COMPUTED_VALUE"""),13.46)</f>
        <v>13.46</v>
      </c>
      <c r="T2183" s="65">
        <f>IFERROR(__xludf.DUMMYFUNCTION("""COMPUTED_VALUE"""),5.96)</f>
        <v>5.96</v>
      </c>
      <c r="U2183" s="65">
        <f>IFERROR(__xludf.DUMMYFUNCTION("""COMPUTED_VALUE"""),0.0)</f>
        <v>0</v>
      </c>
      <c r="V2183" s="65">
        <f>IFERROR(__xludf.DUMMYFUNCTION("""COMPUTED_VALUE"""),0.0)</f>
        <v>0</v>
      </c>
      <c r="W2183" s="65">
        <f>IFERROR(__xludf.DUMMYFUNCTION("""COMPUTED_VALUE"""),0.0)</f>
        <v>0</v>
      </c>
      <c r="X2183" s="65">
        <f>IFERROR(__xludf.DUMMYFUNCTION("""COMPUTED_VALUE"""),2.79)</f>
        <v>2.79</v>
      </c>
      <c r="Y2183" s="65">
        <f>IFERROR(__xludf.DUMMYFUNCTION("""COMPUTED_VALUE"""),5.58)</f>
        <v>5.58</v>
      </c>
      <c r="Z2183" s="65">
        <f>IFERROR(__xludf.DUMMYFUNCTION("""COMPUTED_VALUE"""),120732.0)</f>
        <v>120732</v>
      </c>
      <c r="AA2183" s="65" t="str">
        <f>IFERROR(__xludf.DUMMYFUNCTION("""COMPUTED_VALUE"""),"PROV-LMPVT")</f>
        <v>PROV-LMPVT</v>
      </c>
      <c r="AB2183" s="65"/>
      <c r="AC2183" s="65" t="str">
        <f>IFERROR(__xludf.DUMMYFUNCTION("""COMPUTED_VALUE"""),"LIMPIADOR DE PARABRISAS Y VENTANAS")</f>
        <v>LIMPIADOR DE PARABRISAS Y VENTANAS</v>
      </c>
      <c r="AD2183" s="65"/>
      <c r="AE2183" s="65">
        <f>IFERROR(__xludf.DUMMYFUNCTION("""COMPUTED_VALUE"""),2.0)</f>
        <v>2</v>
      </c>
      <c r="AF2183" s="65"/>
      <c r="AG2183" s="65"/>
      <c r="AH2183" s="65"/>
      <c r="AI2183" s="65"/>
      <c r="AJ2183" s="65"/>
      <c r="AK2183" s="65"/>
      <c r="AL2183" s="65"/>
      <c r="AM2183" s="65"/>
      <c r="AN2183" s="65" t="str">
        <f>IFERROR(__xludf.DUMMYFUNCTION("""COMPUTED_VALUE"""),"12:53")</f>
        <v>12:53</v>
      </c>
      <c r="AO2183" s="65" t="str">
        <f>IFERROR(__xludf.DUMMYFUNCTION("""COMPUTED_VALUE"""),"26-01-2026")</f>
        <v>26-01-2026</v>
      </c>
      <c r="AP2183" s="65" t="str">
        <f>IFERROR(__xludf.DUMMYFUNCTION("""COMPUTED_VALUE"""),"ENTREGADA GINTRACOM")</f>
        <v>ENTREGADA GINTRACOM</v>
      </c>
      <c r="AQ2183" s="65" t="str">
        <f>IFERROR(__xludf.DUMMYFUNCTION("""COMPUTED_VALUE"""),"ENTREGADA GINTRACOM")</f>
        <v>ENTREGADA GINTRACOM</v>
      </c>
      <c r="AR2183" s="65"/>
      <c r="AS2183" s="65"/>
      <c r="AT2183" s="65" t="str">
        <f>IFERROR(__xludf.DUMMYFUNCTION("""COMPUTED_VALUE"""),"SHOPIFY")</f>
        <v>SHOPIFY</v>
      </c>
      <c r="AU2183" s="65" t="str">
        <f>IFERROR(__xludf.DUMMYFUNCTION("""COMPUTED_VALUE"""),"IMPORTEX EC")</f>
        <v>IMPORTEX EC</v>
      </c>
      <c r="AV2183" s="65" t="str">
        <f>IFERROR(__xludf.DUMMYFUNCTION("""COMPUTED_VALUE"""),"6403484287020")</f>
        <v>6403484287020</v>
      </c>
      <c r="AW2183" s="65">
        <f>IFERROR(__xludf.DUMMYFUNCTION("""COMPUTED_VALUE"""),4773.0)</f>
        <v>4773</v>
      </c>
      <c r="AX2183" s="65"/>
      <c r="AY2183" s="65" t="str">
        <f>IFERROR(__xludf.DUMMYFUNCTION("""COMPUTED_VALUE"""),"22/01/2026")</f>
        <v>22/01/2026</v>
      </c>
      <c r="AZ2183" s="65"/>
      <c r="BA2183" s="65"/>
    </row>
    <row r="2184">
      <c r="A2184" s="65" t="str">
        <f>IFERROR(__xludf.DUMMYFUNCTION("""COMPUTED_VALUE"""),"27-03-2026")</f>
        <v>27-03-2026</v>
      </c>
      <c r="B2184" s="65">
        <f>IFERROR(__xludf.DUMMYFUNCTION("""COMPUTED_VALUE"""),4091206.0)</f>
        <v>4091206</v>
      </c>
      <c r="C2184" s="65" t="str">
        <f>IFERROR(__xludf.DUMMYFUNCTION("""COMPUTED_VALUE"""),"08:22")</f>
        <v>08:22</v>
      </c>
      <c r="D2184" s="65" t="str">
        <f>IFERROR(__xludf.DUMMYFUNCTION("""COMPUTED_VALUE"""),"10-01-2026")</f>
        <v>10-01-2026</v>
      </c>
      <c r="E2184" s="65" t="str">
        <f>IFERROR(__xludf.DUMMYFUNCTION("""COMPUTED_VALUE"""),"Juan Guerrero")</f>
        <v>Juan Guerrero</v>
      </c>
      <c r="F2184" s="65" t="str">
        <f>IFERROR(__xludf.DUMMYFUNCTION("""COMPUTED_VALUE"""),"994427029")</f>
        <v>994427029</v>
      </c>
      <c r="G2184" s="65" t="str">
        <f>IFERROR(__xludf.DUMMYFUNCTION("""COMPUTED_VALUE"""),"juankalitos_91@hotmail.com")</f>
        <v>juankalitos_91@hotmail.com</v>
      </c>
      <c r="H2184" s="65"/>
      <c r="I2184" s="65"/>
      <c r="J2184" s="65" t="str">
        <f>IFERROR(__xludf.DUMMYFUNCTION("""COMPUTED_VALUE"""),"186966932")</f>
        <v>186966932</v>
      </c>
      <c r="K2184" s="65" t="str">
        <f>IFERROR(__xludf.DUMMYFUNCTION("""COMPUTED_VALUE"""),"ENTREGADO")</f>
        <v>ENTREGADO</v>
      </c>
      <c r="L2184" s="65" t="str">
        <f>IFERROR(__xludf.DUMMYFUNCTION("""COMPUTED_VALUE"""),"CON RECAUDO")</f>
        <v>CON RECAUDO</v>
      </c>
      <c r="M2184" s="65" t="str">
        <f>IFERROR(__xludf.DUMMYFUNCTION("""COMPUTED_VALUE"""),"EL ORO")</f>
        <v>EL ORO</v>
      </c>
      <c r="N2184" s="65" t="str">
        <f>IFERROR(__xludf.DUMMYFUNCTION("""COMPUTED_VALUE"""),"BALSAS")</f>
        <v>BALSAS</v>
      </c>
      <c r="O2184" s="65" t="str">
        <f>IFERROR(__xludf.DUMMYFUNCTION("""COMPUTED_VALUE"""),"Recinto Cantón Balsas - Ciudadela San Francisco - Parroquia Balsas - Calle Eliseo Romero - Ref. A 100 metros de estancia casa Grande.")</f>
        <v>Recinto Cantón Balsas - Ciudadela San Francisco - Parroquia Balsas - Calle Eliseo Romero - Ref. A 100 metros de estancia casa Grande.</v>
      </c>
      <c r="P2184" s="65"/>
      <c r="Q2184" s="65" t="str">
        <f>IFERROR(__xludf.DUMMYFUNCTION("""COMPUTED_VALUE"""),"SERVIENTREGA")</f>
        <v>SERVIENTREGA</v>
      </c>
      <c r="R2184" s="65">
        <f>IFERROR(__xludf.DUMMYFUNCTION("""COMPUTED_VALUE"""),27.0)</f>
        <v>27</v>
      </c>
      <c r="S2184" s="65">
        <f>IFERROR(__xludf.DUMMYFUNCTION("""COMPUTED_VALUE"""),11.43)</f>
        <v>11.43</v>
      </c>
      <c r="T2184" s="65">
        <f>IFERROR(__xludf.DUMMYFUNCTION("""COMPUTED_VALUE"""),7.77)</f>
        <v>7.77</v>
      </c>
      <c r="U2184" s="65">
        <f>IFERROR(__xludf.DUMMYFUNCTION("""COMPUTED_VALUE"""),0.0)</f>
        <v>0</v>
      </c>
      <c r="V2184" s="65">
        <f>IFERROR(__xludf.DUMMYFUNCTION("""COMPUTED_VALUE"""),0.0)</f>
        <v>0</v>
      </c>
      <c r="W2184" s="65">
        <f>IFERROR(__xludf.DUMMYFUNCTION("""COMPUTED_VALUE"""),0.0)</f>
        <v>0</v>
      </c>
      <c r="X2184" s="65">
        <f>IFERROR(__xludf.DUMMYFUNCTION("""COMPUTED_VALUE"""),2.6)</f>
        <v>2.6</v>
      </c>
      <c r="Y2184" s="65">
        <f>IFERROR(__xludf.DUMMYFUNCTION("""COMPUTED_VALUE"""),7.8)</f>
        <v>7.8</v>
      </c>
      <c r="Z2184" s="65">
        <f>IFERROR(__xludf.DUMMYFUNCTION("""COMPUTED_VALUE"""),121983.0)</f>
        <v>121983</v>
      </c>
      <c r="AA2184" s="65" t="str">
        <f>IFERROR(__xludf.DUMMYFUNCTION("""COMPUTED_VALUE"""),"PROV-CHLLCF")</f>
        <v>PROV-CHLLCF</v>
      </c>
      <c r="AB2184" s="65"/>
      <c r="AC2184" s="65" t="str">
        <f>IFERROR(__xludf.DUMMYFUNCTION("""COMPUTED_VALUE"""),"CUCHILLO PARA CHEF")</f>
        <v>CUCHILLO PARA CHEF</v>
      </c>
      <c r="AD2184" s="65"/>
      <c r="AE2184" s="65">
        <f>IFERROR(__xludf.DUMMYFUNCTION("""COMPUTED_VALUE"""),3.0)</f>
        <v>3</v>
      </c>
      <c r="AF2184" s="65" t="str">
        <f>IFERROR(__xludf.DUMMYFUNCTION("""COMPUTED_VALUE"""),"NO HAY QUIEN RECIBA")</f>
        <v>NO HAY QUIEN RECIBA</v>
      </c>
      <c r="AG2184" s="65" t="str">
        <f>IFERROR(__xludf.DUMMYFUNCTION("""COMPUTED_VALUE"""),"NO")</f>
        <v>NO</v>
      </c>
      <c r="AH2184" s="65" t="str">
        <f>IFERROR(__xludf.DUMMYFUNCTION("""COMPUTED_VALUE"""),"13:16")</f>
        <v>13:16</v>
      </c>
      <c r="AI2184" s="65" t="str">
        <f>IFERROR(__xludf.DUMMYFUNCTION("""COMPUTED_VALUE"""),"15-01-2026")</f>
        <v>15-01-2026</v>
      </c>
      <c r="AJ2184" s="65"/>
      <c r="AK2184" s="65"/>
      <c r="AL2184" s="65"/>
      <c r="AM2184" s="65"/>
      <c r="AN2184" s="65" t="str">
        <f>IFERROR(__xludf.DUMMYFUNCTION("""COMPUTED_VALUE"""),"17:43")</f>
        <v>17:43</v>
      </c>
      <c r="AO2184" s="65" t="str">
        <f>IFERROR(__xludf.DUMMYFUNCTION("""COMPUTED_VALUE"""),"29-01-2026")</f>
        <v>29-01-2026</v>
      </c>
      <c r="AP2184" s="65" t="str">
        <f>IFERROR(__xludf.DUMMYFUNCTION("""COMPUTED_VALUE"""),"ENTREGA DIGITALIZADA EN CENTRO LOGISTICO")</f>
        <v>ENTREGA DIGITALIZADA EN CENTRO LOGISTICO</v>
      </c>
      <c r="AQ2184" s="65" t="str">
        <f>IFERROR(__xludf.DUMMYFUNCTION("""COMPUTED_VALUE"""),"juan guerrero")</f>
        <v>juan guerrero</v>
      </c>
      <c r="AR2184" s="65"/>
      <c r="AS2184" s="65"/>
      <c r="AT2184" s="65" t="str">
        <f>IFERROR(__xludf.DUMMYFUNCTION("""COMPUTED_VALUE"""),"SHOPIFY")</f>
        <v>SHOPIFY</v>
      </c>
      <c r="AU2184" s="65" t="str">
        <f>IFERROR(__xludf.DUMMYFUNCTION("""COMPUTED_VALUE"""),"IMPORTEX EC")</f>
        <v>IMPORTEX EC</v>
      </c>
      <c r="AV2184" s="65" t="str">
        <f>IFERROR(__xludf.DUMMYFUNCTION("""COMPUTED_VALUE"""),"6403480617004")</f>
        <v>6403480617004</v>
      </c>
      <c r="AW2184" s="65">
        <f>IFERROR(__xludf.DUMMYFUNCTION("""COMPUTED_VALUE"""),4772.0)</f>
        <v>4772</v>
      </c>
      <c r="AX2184" s="65"/>
      <c r="AY2184" s="65" t="str">
        <f>IFERROR(__xludf.DUMMYFUNCTION("""COMPUTED_VALUE"""),"13/01/2026")</f>
        <v>13/01/2026</v>
      </c>
      <c r="AZ2184" s="65"/>
      <c r="BA2184" s="65"/>
    </row>
    <row r="2185">
      <c r="A2185" s="65" t="str">
        <f>IFERROR(__xludf.DUMMYFUNCTION("""COMPUTED_VALUE"""),"27-03-2026")</f>
        <v>27-03-2026</v>
      </c>
      <c r="B2185" s="65">
        <f>IFERROR(__xludf.DUMMYFUNCTION("""COMPUTED_VALUE"""),4091134.0)</f>
        <v>4091134</v>
      </c>
      <c r="C2185" s="65" t="str">
        <f>IFERROR(__xludf.DUMMYFUNCTION("""COMPUTED_VALUE"""),"08:16")</f>
        <v>08:16</v>
      </c>
      <c r="D2185" s="65" t="str">
        <f>IFERROR(__xludf.DUMMYFUNCTION("""COMPUTED_VALUE"""),"10-01-2026")</f>
        <v>10-01-2026</v>
      </c>
      <c r="E2185" s="65" t="str">
        <f>IFERROR(__xludf.DUMMYFUNCTION("""COMPUTED_VALUE"""),"Jorge luis Cantos Cedeño")</f>
        <v>Jorge luis Cantos Cedeño</v>
      </c>
      <c r="F2185" s="65" t="str">
        <f>IFERROR(__xludf.DUMMYFUNCTION("""COMPUTED_VALUE"""),"991945516")</f>
        <v>991945516</v>
      </c>
      <c r="G2185" s="65" t="str">
        <f>IFERROR(__xludf.DUMMYFUNCTION("""COMPUTED_VALUE"""),"luis2024jorge@gmail.com")</f>
        <v>luis2024jorge@gmail.com</v>
      </c>
      <c r="H2185" s="65"/>
      <c r="I2185" s="65"/>
      <c r="J2185" s="65" t="str">
        <f>IFERROR(__xludf.DUMMYFUNCTION("""COMPUTED_VALUE"""),"D001223297")</f>
        <v>D001223297</v>
      </c>
      <c r="K2185" s="65" t="str">
        <f>IFERROR(__xludf.DUMMYFUNCTION("""COMPUTED_VALUE"""),"ENTREGADO")</f>
        <v>ENTREGADO</v>
      </c>
      <c r="L2185" s="65" t="str">
        <f>IFERROR(__xludf.DUMMYFUNCTION("""COMPUTED_VALUE"""),"CON RECAUDO")</f>
        <v>CON RECAUDO</v>
      </c>
      <c r="M2185" s="65" t="str">
        <f>IFERROR(__xludf.DUMMYFUNCTION("""COMPUTED_VALUE"""),"GUAYAS")</f>
        <v>GUAYAS</v>
      </c>
      <c r="N2185" s="65" t="str">
        <f>IFERROR(__xludf.DUMMYFUNCTION("""COMPUTED_VALUE"""),"GUAYAQUIL")</f>
        <v>GUAYAQUIL</v>
      </c>
      <c r="O2185" s="65" t="str">
        <f>IFERROR(__xludf.DUMMYFUNCTION("""COMPUTED_VALUE"""),"La Garzota. Restaurante Diagonal a Transportes Ecuador -")</f>
        <v>La Garzota. Restaurante Diagonal a Transportes Ecuador -</v>
      </c>
      <c r="P2185" s="65"/>
      <c r="Q2185" s="65" t="str">
        <f>IFERROR(__xludf.DUMMYFUNCTION("""COMPUTED_VALUE"""),"GINTRACOM")</f>
        <v>GINTRACOM</v>
      </c>
      <c r="R2185" s="65">
        <f>IFERROR(__xludf.DUMMYFUNCTION("""COMPUTED_VALUE"""),32.0)</f>
        <v>32</v>
      </c>
      <c r="S2185" s="65">
        <f>IFERROR(__xludf.DUMMYFUNCTION("""COMPUTED_VALUE"""),16.97)</f>
        <v>16.97</v>
      </c>
      <c r="T2185" s="65">
        <f>IFERROR(__xludf.DUMMYFUNCTION("""COMPUTED_VALUE"""),4.63)</f>
        <v>4.63</v>
      </c>
      <c r="U2185" s="65">
        <f>IFERROR(__xludf.DUMMYFUNCTION("""COMPUTED_VALUE"""),0.0)</f>
        <v>0</v>
      </c>
      <c r="V2185" s="65">
        <f>IFERROR(__xludf.DUMMYFUNCTION("""COMPUTED_VALUE"""),0.0)</f>
        <v>0</v>
      </c>
      <c r="W2185" s="65">
        <f>IFERROR(__xludf.DUMMYFUNCTION("""COMPUTED_VALUE"""),0.0)</f>
        <v>0</v>
      </c>
      <c r="X2185" s="65">
        <f>IFERROR(__xludf.DUMMYFUNCTION("""COMPUTED_VALUE"""),2.6)</f>
        <v>2.6</v>
      </c>
      <c r="Y2185" s="65">
        <f>IFERROR(__xludf.DUMMYFUNCTION("""COMPUTED_VALUE"""),10.4)</f>
        <v>10.4</v>
      </c>
      <c r="Z2185" s="65">
        <f>IFERROR(__xludf.DUMMYFUNCTION("""COMPUTED_VALUE"""),121983.0)</f>
        <v>121983</v>
      </c>
      <c r="AA2185" s="65" t="str">
        <f>IFERROR(__xludf.DUMMYFUNCTION("""COMPUTED_VALUE"""),"PROV-CHLLCF")</f>
        <v>PROV-CHLLCF</v>
      </c>
      <c r="AB2185" s="65"/>
      <c r="AC2185" s="65" t="str">
        <f>IFERROR(__xludf.DUMMYFUNCTION("""COMPUTED_VALUE"""),"CUCHILLO PARA CHEF")</f>
        <v>CUCHILLO PARA CHEF</v>
      </c>
      <c r="AD2185" s="65"/>
      <c r="AE2185" s="65">
        <f>IFERROR(__xludf.DUMMYFUNCTION("""COMPUTED_VALUE"""),4.0)</f>
        <v>4</v>
      </c>
      <c r="AF2185" s="65"/>
      <c r="AG2185" s="65"/>
      <c r="AH2185" s="65"/>
      <c r="AI2185" s="65"/>
      <c r="AJ2185" s="65"/>
      <c r="AK2185" s="65"/>
      <c r="AL2185" s="65"/>
      <c r="AM2185" s="65"/>
      <c r="AN2185" s="65" t="str">
        <f>IFERROR(__xludf.DUMMYFUNCTION("""COMPUTED_VALUE"""),"14:54")</f>
        <v>14:54</v>
      </c>
      <c r="AO2185" s="65" t="str">
        <f>IFERROR(__xludf.DUMMYFUNCTION("""COMPUTED_VALUE"""),"15-01-2026")</f>
        <v>15-01-2026</v>
      </c>
      <c r="AP2185" s="65" t="str">
        <f>IFERROR(__xludf.DUMMYFUNCTION("""COMPUTED_VALUE"""),"ENTREGADA GINTRACOM")</f>
        <v>ENTREGADA GINTRACOM</v>
      </c>
      <c r="AQ2185" s="65" t="str">
        <f>IFERROR(__xludf.DUMMYFUNCTION("""COMPUTED_VALUE"""),"ENTREGADA GINTRACOM")</f>
        <v>ENTREGADA GINTRACOM</v>
      </c>
      <c r="AR2185" s="65"/>
      <c r="AS2185" s="65"/>
      <c r="AT2185" s="65" t="str">
        <f>IFERROR(__xludf.DUMMYFUNCTION("""COMPUTED_VALUE"""),"SHOPIFY")</f>
        <v>SHOPIFY</v>
      </c>
      <c r="AU2185" s="65" t="str">
        <f>IFERROR(__xludf.DUMMYFUNCTION("""COMPUTED_VALUE"""),"IMPORTEX EC")</f>
        <v>IMPORTEX EC</v>
      </c>
      <c r="AV2185" s="65" t="str">
        <f>IFERROR(__xludf.DUMMYFUNCTION("""COMPUTED_VALUE"""),"6403471638572")</f>
        <v>6403471638572</v>
      </c>
      <c r="AW2185" s="65">
        <f>IFERROR(__xludf.DUMMYFUNCTION("""COMPUTED_VALUE"""),4771.0)</f>
        <v>4771</v>
      </c>
      <c r="AX2185" s="65"/>
      <c r="AY2185" s="65" t="str">
        <f>IFERROR(__xludf.DUMMYFUNCTION("""COMPUTED_VALUE"""),"14/01/2026")</f>
        <v>14/01/2026</v>
      </c>
      <c r="AZ2185" s="65"/>
      <c r="BA2185" s="65"/>
    </row>
    <row r="2186">
      <c r="A2186" s="65" t="str">
        <f>IFERROR(__xludf.DUMMYFUNCTION("""COMPUTED_VALUE"""),"27-03-2026")</f>
        <v>27-03-2026</v>
      </c>
      <c r="B2186" s="65">
        <f>IFERROR(__xludf.DUMMYFUNCTION("""COMPUTED_VALUE"""),4091130.0)</f>
        <v>4091130</v>
      </c>
      <c r="C2186" s="65" t="str">
        <f>IFERROR(__xludf.DUMMYFUNCTION("""COMPUTED_VALUE"""),"08:16")</f>
        <v>08:16</v>
      </c>
      <c r="D2186" s="65" t="str">
        <f>IFERROR(__xludf.DUMMYFUNCTION("""COMPUTED_VALUE"""),"10-01-2026")</f>
        <v>10-01-2026</v>
      </c>
      <c r="E2186" s="65" t="str">
        <f>IFERROR(__xludf.DUMMYFUNCTION("""COMPUTED_VALUE"""),"Juan Muñoz")</f>
        <v>Juan Muñoz</v>
      </c>
      <c r="F2186" s="65" t="str">
        <f>IFERROR(__xludf.DUMMYFUNCTION("""COMPUTED_VALUE"""),"991755174")</f>
        <v>991755174</v>
      </c>
      <c r="G2186" s="65" t="str">
        <f>IFERROR(__xludf.DUMMYFUNCTION("""COMPUTED_VALUE"""),"sisoymunoz@gmail.com")</f>
        <v>sisoymunoz@gmail.com</v>
      </c>
      <c r="H2186" s="65"/>
      <c r="I2186" s="65"/>
      <c r="J2186" s="65" t="str">
        <f>IFERROR(__xludf.DUMMYFUNCTION("""COMPUTED_VALUE"""),"D001220636")</f>
        <v>D001220636</v>
      </c>
      <c r="K2186" s="65" t="str">
        <f>IFERROR(__xludf.DUMMYFUNCTION("""COMPUTED_VALUE"""),"ENTREGADO")</f>
        <v>ENTREGADO</v>
      </c>
      <c r="L2186" s="65" t="str">
        <f>IFERROR(__xludf.DUMMYFUNCTION("""COMPUTED_VALUE"""),"CON RECAUDO")</f>
        <v>CON RECAUDO</v>
      </c>
      <c r="M2186" s="65" t="str">
        <f>IFERROR(__xludf.DUMMYFUNCTION("""COMPUTED_VALUE"""),"AZUAY")</f>
        <v>AZUAY</v>
      </c>
      <c r="N2186" s="65" t="str">
        <f>IFERROR(__xludf.DUMMYFUNCTION("""COMPUTED_VALUE"""),"CUENCA")</f>
        <v>CUENCA</v>
      </c>
      <c r="O2186" s="65" t="str">
        <f>IFERROR(__xludf.DUMMYFUNCTION("""COMPUTED_VALUE"""),"Av los Andes 2-114 Shyris - casa con tienda de color café en la calle")</f>
        <v>Av los Andes 2-114 Shyris - casa con tienda de color café en la calle</v>
      </c>
      <c r="P2186" s="65"/>
      <c r="Q2186" s="65" t="str">
        <f>IFERROR(__xludf.DUMMYFUNCTION("""COMPUTED_VALUE"""),"GINTRACOM")</f>
        <v>GINTRACOM</v>
      </c>
      <c r="R2186" s="65">
        <f>IFERROR(__xludf.DUMMYFUNCTION("""COMPUTED_VALUE"""),30.0)</f>
        <v>30</v>
      </c>
      <c r="S2186" s="65">
        <f>IFERROR(__xludf.DUMMYFUNCTION("""COMPUTED_VALUE"""),15.47)</f>
        <v>15.47</v>
      </c>
      <c r="T2186" s="65">
        <f>IFERROR(__xludf.DUMMYFUNCTION("""COMPUTED_VALUE"""),6.16)</f>
        <v>6.16</v>
      </c>
      <c r="U2186" s="65">
        <f>IFERROR(__xludf.DUMMYFUNCTION("""COMPUTED_VALUE"""),0.0)</f>
        <v>0</v>
      </c>
      <c r="V2186" s="65">
        <f>IFERROR(__xludf.DUMMYFUNCTION("""COMPUTED_VALUE"""),0.0)</f>
        <v>0</v>
      </c>
      <c r="W2186" s="65">
        <f>IFERROR(__xludf.DUMMYFUNCTION("""COMPUTED_VALUE"""),0.0)</f>
        <v>0</v>
      </c>
      <c r="X2186" s="65">
        <f>IFERROR(__xludf.DUMMYFUNCTION("""COMPUTED_VALUE"""),2.79)</f>
        <v>2.79</v>
      </c>
      <c r="Y2186" s="65">
        <f>IFERROR(__xludf.DUMMYFUNCTION("""COMPUTED_VALUE"""),8.37)</f>
        <v>8.37</v>
      </c>
      <c r="Z2186" s="65">
        <f>IFERROR(__xludf.DUMMYFUNCTION("""COMPUTED_VALUE"""),120732.0)</f>
        <v>120732</v>
      </c>
      <c r="AA2186" s="65" t="str">
        <f>IFERROR(__xludf.DUMMYFUNCTION("""COMPUTED_VALUE"""),"PROV-LMPVT")</f>
        <v>PROV-LMPVT</v>
      </c>
      <c r="AB2186" s="65"/>
      <c r="AC2186" s="65" t="str">
        <f>IFERROR(__xludf.DUMMYFUNCTION("""COMPUTED_VALUE"""),"LIMPIADOR DE PARABRISAS Y VENTANAS")</f>
        <v>LIMPIADOR DE PARABRISAS Y VENTANAS</v>
      </c>
      <c r="AD2186" s="65"/>
      <c r="AE2186" s="65">
        <f>IFERROR(__xludf.DUMMYFUNCTION("""COMPUTED_VALUE"""),3.0)</f>
        <v>3</v>
      </c>
      <c r="AF2186" s="65"/>
      <c r="AG2186" s="65"/>
      <c r="AH2186" s="65"/>
      <c r="AI2186" s="65"/>
      <c r="AJ2186" s="65"/>
      <c r="AK2186" s="65"/>
      <c r="AL2186" s="65"/>
      <c r="AM2186" s="65"/>
      <c r="AN2186" s="65" t="str">
        <f>IFERROR(__xludf.DUMMYFUNCTION("""COMPUTED_VALUE"""),"12:05")</f>
        <v>12:05</v>
      </c>
      <c r="AO2186" s="65" t="str">
        <f>IFERROR(__xludf.DUMMYFUNCTION("""COMPUTED_VALUE"""),"16-01-2026")</f>
        <v>16-01-2026</v>
      </c>
      <c r="AP2186" s="65" t="str">
        <f>IFERROR(__xludf.DUMMYFUNCTION("""COMPUTED_VALUE"""),"DESTINATARIO RE-PROGRAMA FECHA DE ENTREGA")</f>
        <v>DESTINATARIO RE-PROGRAMA FECHA DE ENTREGA</v>
      </c>
      <c r="AQ2186" s="65" t="str">
        <f>IFERROR(__xludf.DUMMYFUNCTION("""COMPUTED_VALUE"""),"DESTINATARIO RE-PROGRAMA FECHA DE ENTREGA")</f>
        <v>DESTINATARIO RE-PROGRAMA FECHA DE ENTREGA</v>
      </c>
      <c r="AR2186" s="65"/>
      <c r="AS2186" s="65"/>
      <c r="AT2186" s="65" t="str">
        <f>IFERROR(__xludf.DUMMYFUNCTION("""COMPUTED_VALUE"""),"SHOPIFY")</f>
        <v>SHOPIFY</v>
      </c>
      <c r="AU2186" s="65" t="str">
        <f>IFERROR(__xludf.DUMMYFUNCTION("""COMPUTED_VALUE"""),"IMPORTEX EC")</f>
        <v>IMPORTEX EC</v>
      </c>
      <c r="AV2186" s="65" t="str">
        <f>IFERROR(__xludf.DUMMYFUNCTION("""COMPUTED_VALUE"""),"6403471441964")</f>
        <v>6403471441964</v>
      </c>
      <c r="AW2186" s="65">
        <f>IFERROR(__xludf.DUMMYFUNCTION("""COMPUTED_VALUE"""),4770.0)</f>
        <v>4770</v>
      </c>
      <c r="AX2186" s="65"/>
      <c r="AY2186" s="65" t="str">
        <f>IFERROR(__xludf.DUMMYFUNCTION("""COMPUTED_VALUE"""),"13/01/2026")</f>
        <v>13/01/2026</v>
      </c>
      <c r="AZ2186" s="65"/>
      <c r="BA2186" s="65"/>
    </row>
    <row r="2187">
      <c r="A2187" s="65" t="str">
        <f>IFERROR(__xludf.DUMMYFUNCTION("""COMPUTED_VALUE"""),"27-03-2026")</f>
        <v>27-03-2026</v>
      </c>
      <c r="B2187" s="65">
        <f>IFERROR(__xludf.DUMMYFUNCTION("""COMPUTED_VALUE"""),4091008.0)</f>
        <v>4091008</v>
      </c>
      <c r="C2187" s="65" t="str">
        <f>IFERROR(__xludf.DUMMYFUNCTION("""COMPUTED_VALUE"""),"08:04")</f>
        <v>08:04</v>
      </c>
      <c r="D2187" s="65" t="str">
        <f>IFERROR(__xludf.DUMMYFUNCTION("""COMPUTED_VALUE"""),"10-01-2026")</f>
        <v>10-01-2026</v>
      </c>
      <c r="E2187" s="65" t="str">
        <f>IFERROR(__xludf.DUMMYFUNCTION("""COMPUTED_VALUE"""),"Fernando Córdova Gómez")</f>
        <v>Fernando Córdova Gómez</v>
      </c>
      <c r="F2187" s="65" t="str">
        <f>IFERROR(__xludf.DUMMYFUNCTION("""COMPUTED_VALUE"""),"994195097")</f>
        <v>994195097</v>
      </c>
      <c r="G2187" s="65" t="str">
        <f>IFERROR(__xludf.DUMMYFUNCTION("""COMPUTED_VALUE"""),"fernand_ec@hotmail.com")</f>
        <v>fernand_ec@hotmail.com</v>
      </c>
      <c r="H2187" s="65"/>
      <c r="I2187" s="65"/>
      <c r="J2187" s="65" t="str">
        <f>IFERROR(__xludf.DUMMYFUNCTION("""COMPUTED_VALUE"""),"D001220637")</f>
        <v>D001220637</v>
      </c>
      <c r="K2187" s="65" t="str">
        <f>IFERROR(__xludf.DUMMYFUNCTION("""COMPUTED_VALUE"""),"DEVOLUCION")</f>
        <v>DEVOLUCION</v>
      </c>
      <c r="L2187" s="65" t="str">
        <f>IFERROR(__xludf.DUMMYFUNCTION("""COMPUTED_VALUE"""),"CON RECAUDO")</f>
        <v>CON RECAUDO</v>
      </c>
      <c r="M2187" s="65" t="str">
        <f>IFERROR(__xludf.DUMMYFUNCTION("""COMPUTED_VALUE"""),"GUAYAS")</f>
        <v>GUAYAS</v>
      </c>
      <c r="N2187" s="65" t="str">
        <f>IFERROR(__xludf.DUMMYFUNCTION("""COMPUTED_VALUE"""),"GUAYAQUIL")</f>
        <v>GUAYAQUIL</v>
      </c>
      <c r="O2187" s="65" t="str">
        <f>IFERROR(__xludf.DUMMYFUNCTION("""COMPUTED_VALUE"""),"Primera 727 y guayacanes Urdesa central - Casa de dos pisos con palmera en el jardín")</f>
        <v>Primera 727 y guayacanes Urdesa central - Casa de dos pisos con palmera en el jardín</v>
      </c>
      <c r="P2187" s="65"/>
      <c r="Q2187" s="65" t="str">
        <f>IFERROR(__xludf.DUMMYFUNCTION("""COMPUTED_VALUE"""),"GINTRACOM")</f>
        <v>GINTRACOM</v>
      </c>
      <c r="R2187" s="65">
        <f>IFERROR(__xludf.DUMMYFUNCTION("""COMPUTED_VALUE"""),25.0)</f>
        <v>25</v>
      </c>
      <c r="S2187" s="65"/>
      <c r="T2187" s="65">
        <f>IFERROR(__xludf.DUMMYFUNCTION("""COMPUTED_VALUE"""),4.35)</f>
        <v>4.35</v>
      </c>
      <c r="U2187" s="65">
        <f>IFERROR(__xludf.DUMMYFUNCTION("""COMPUTED_VALUE"""),0.0)</f>
        <v>0</v>
      </c>
      <c r="V2187" s="65">
        <f>IFERROR(__xludf.DUMMYFUNCTION("""COMPUTED_VALUE"""),0.0)</f>
        <v>0</v>
      </c>
      <c r="W2187" s="65">
        <f>IFERROR(__xludf.DUMMYFUNCTION("""COMPUTED_VALUE"""),0.0)</f>
        <v>0</v>
      </c>
      <c r="X2187" s="65">
        <f>IFERROR(__xludf.DUMMYFUNCTION("""COMPUTED_VALUE"""),2.79)</f>
        <v>2.79</v>
      </c>
      <c r="Y2187" s="65">
        <f>IFERROR(__xludf.DUMMYFUNCTION("""COMPUTED_VALUE"""),5.58)</f>
        <v>5.58</v>
      </c>
      <c r="Z2187" s="65">
        <f>IFERROR(__xludf.DUMMYFUNCTION("""COMPUTED_VALUE"""),120732.0)</f>
        <v>120732</v>
      </c>
      <c r="AA2187" s="65" t="str">
        <f>IFERROR(__xludf.DUMMYFUNCTION("""COMPUTED_VALUE"""),"PROV-LMPVT")</f>
        <v>PROV-LMPVT</v>
      </c>
      <c r="AB2187" s="65"/>
      <c r="AC2187" s="65" t="str">
        <f>IFERROR(__xludf.DUMMYFUNCTION("""COMPUTED_VALUE"""),"LIMPIADOR DE PARABRISAS Y VENTANAS")</f>
        <v>LIMPIADOR DE PARABRISAS Y VENTANAS</v>
      </c>
      <c r="AD2187" s="65"/>
      <c r="AE2187" s="65">
        <f>IFERROR(__xludf.DUMMYFUNCTION("""COMPUTED_VALUE"""),2.0)</f>
        <v>2</v>
      </c>
      <c r="AF2187" s="65" t="str">
        <f>IFERROR(__xludf.DUMMYFUNCTION("""COMPUTED_VALUE"""),"DESTINATARIO INDICA QUE YA NO DESEA EL PRODUCTO")</f>
        <v>DESTINATARIO INDICA QUE YA NO DESEA EL PRODUCTO</v>
      </c>
      <c r="AG2187" s="65" t="str">
        <f>IFERROR(__xludf.DUMMYFUNCTION("""COMPUTED_VALUE"""),"SI")</f>
        <v>SI</v>
      </c>
      <c r="AH2187" s="65" t="str">
        <f>IFERROR(__xludf.DUMMYFUNCTION("""COMPUTED_VALUE"""),"15:31")</f>
        <v>15:31</v>
      </c>
      <c r="AI2187" s="65" t="str">
        <f>IFERROR(__xludf.DUMMYFUNCTION("""COMPUTED_VALUE"""),"14-01-2026")</f>
        <v>14-01-2026</v>
      </c>
      <c r="AJ2187" s="65" t="str">
        <f>IFERROR(__xludf.DUMMYFUNCTION("""COMPUTED_VALUE"""),"DEVOLVER AL REMITENTE")</f>
        <v>DEVOLVER AL REMITENTE</v>
      </c>
      <c r="AK2187" s="65" t="str">
        <f>IFERROR(__xludf.DUMMYFUNCTION("""COMPUTED_VALUE"""),"11:35")</f>
        <v>11:35</v>
      </c>
      <c r="AL2187" s="65" t="str">
        <f>IFERROR(__xludf.DUMMYFUNCTION("""COMPUTED_VALUE"""),"21-01-2026")</f>
        <v>21-01-2026</v>
      </c>
      <c r="AM2187" s="65"/>
      <c r="AN2187" s="65" t="str">
        <f>IFERROR(__xludf.DUMMYFUNCTION("""COMPUTED_VALUE"""),"13:50")</f>
        <v>13:50</v>
      </c>
      <c r="AO2187" s="65" t="str">
        <f>IFERROR(__xludf.DUMMYFUNCTION("""COMPUTED_VALUE"""),"05-02-2026")</f>
        <v>05-02-2026</v>
      </c>
      <c r="AP2187" s="65" t="str">
        <f>IFERROR(__xludf.DUMMYFUNCTION("""COMPUTED_VALUE"""),"DEV CONFIRMADA POR BODEGA")</f>
        <v>DEV CONFIRMADA POR BODEGA</v>
      </c>
      <c r="AQ2187" s="65"/>
      <c r="AR2187" s="65" t="str">
        <f>IFERROR(__xludf.DUMMYFUNCTION("""COMPUTED_VALUE"""),"Gestionado por: Moran Daniel, email:danielmorga2005@gmail.com, total de productos en la orden: 1")</f>
        <v>Gestionado por: Moran Daniel, email:danielmorga2005@gmail.com, total de productos en la orden: 1</v>
      </c>
      <c r="AS2187" s="65"/>
      <c r="AT2187" s="65" t="str">
        <f>IFERROR(__xludf.DUMMYFUNCTION("""COMPUTED_VALUE"""),"SHOPIFY")</f>
        <v>SHOPIFY</v>
      </c>
      <c r="AU2187" s="65" t="str">
        <f>IFERROR(__xludf.DUMMYFUNCTION("""COMPUTED_VALUE"""),"IMPORTEX EC")</f>
        <v>IMPORTEX EC</v>
      </c>
      <c r="AV2187" s="65" t="str">
        <f>IFERROR(__xludf.DUMMYFUNCTION("""COMPUTED_VALUE"""),"6403457876012")</f>
        <v>6403457876012</v>
      </c>
      <c r="AW2187" s="65">
        <f>IFERROR(__xludf.DUMMYFUNCTION("""COMPUTED_VALUE"""),4769.0)</f>
        <v>4769</v>
      </c>
      <c r="AX2187" s="65"/>
      <c r="AY2187" s="65" t="str">
        <f>IFERROR(__xludf.DUMMYFUNCTION("""COMPUTED_VALUE"""),"13/01/2026")</f>
        <v>13/01/2026</v>
      </c>
      <c r="AZ2187" s="65"/>
      <c r="BA2187" s="65"/>
    </row>
    <row r="2188">
      <c r="A2188" s="65" t="str">
        <f>IFERROR(__xludf.DUMMYFUNCTION("""COMPUTED_VALUE"""),"27-03-2026")</f>
        <v>27-03-2026</v>
      </c>
      <c r="B2188" s="65">
        <f>IFERROR(__xludf.DUMMYFUNCTION("""COMPUTED_VALUE"""),4090717.0)</f>
        <v>4090717</v>
      </c>
      <c r="C2188" s="65" t="str">
        <f>IFERROR(__xludf.DUMMYFUNCTION("""COMPUTED_VALUE"""),"07:34")</f>
        <v>07:34</v>
      </c>
      <c r="D2188" s="65" t="str">
        <f>IFERROR(__xludf.DUMMYFUNCTION("""COMPUTED_VALUE"""),"10-01-2026")</f>
        <v>10-01-2026</v>
      </c>
      <c r="E2188" s="65" t="str">
        <f>IFERROR(__xludf.DUMMYFUNCTION("""COMPUTED_VALUE"""),"Marcelo Barrera")</f>
        <v>Marcelo Barrera</v>
      </c>
      <c r="F2188" s="65" t="str">
        <f>IFERROR(__xludf.DUMMYFUNCTION("""COMPUTED_VALUE"""),"992543732")</f>
        <v>992543732</v>
      </c>
      <c r="G2188" s="65" t="str">
        <f>IFERROR(__xludf.DUMMYFUNCTION("""COMPUTED_VALUE"""),"m_barrera1211@hotmail.es")</f>
        <v>m_barrera1211@hotmail.es</v>
      </c>
      <c r="H2188" s="65"/>
      <c r="I2188" s="65"/>
      <c r="J2188" s="65" t="str">
        <f>IFERROR(__xludf.DUMMYFUNCTION("""COMPUTED_VALUE"""),"D001223299")</f>
        <v>D001223299</v>
      </c>
      <c r="K2188" s="65" t="str">
        <f>IFERROR(__xludf.DUMMYFUNCTION("""COMPUTED_VALUE"""),"ENTREGADO")</f>
        <v>ENTREGADO</v>
      </c>
      <c r="L2188" s="65" t="str">
        <f>IFERROR(__xludf.DUMMYFUNCTION("""COMPUTED_VALUE"""),"CON RECAUDO")</f>
        <v>CON RECAUDO</v>
      </c>
      <c r="M2188" s="65" t="str">
        <f>IFERROR(__xludf.DUMMYFUNCTION("""COMPUTED_VALUE"""),"PICHINCHA")</f>
        <v>PICHINCHA</v>
      </c>
      <c r="N2188" s="65" t="str">
        <f>IFERROR(__xludf.DUMMYFUNCTION("""COMPUTED_VALUE"""),"QUITO")</f>
        <v>QUITO</v>
      </c>
      <c r="O2188" s="65" t="str">
        <f>IFERROR(__xludf.DUMMYFUNCTION("""COMPUTED_VALUE"""),"Carlos Crespi 120 y Flavio Alfaro Quito norte junto al colegio Alvernia -")</f>
        <v>Carlos Crespi 120 y Flavio Alfaro Quito norte junto al colegio Alvernia -</v>
      </c>
      <c r="P2188" s="65"/>
      <c r="Q2188" s="65" t="str">
        <f>IFERROR(__xludf.DUMMYFUNCTION("""COMPUTED_VALUE"""),"GINTRACOM")</f>
        <v>GINTRACOM</v>
      </c>
      <c r="R2188" s="65">
        <f>IFERROR(__xludf.DUMMYFUNCTION("""COMPUTED_VALUE"""),27.0)</f>
        <v>27</v>
      </c>
      <c r="S2188" s="65">
        <f>IFERROR(__xludf.DUMMYFUNCTION("""COMPUTED_VALUE"""),13.17)</f>
        <v>13.17</v>
      </c>
      <c r="T2188" s="65">
        <f>IFERROR(__xludf.DUMMYFUNCTION("""COMPUTED_VALUE"""),6.03)</f>
        <v>6.03</v>
      </c>
      <c r="U2188" s="65">
        <f>IFERROR(__xludf.DUMMYFUNCTION("""COMPUTED_VALUE"""),0.0)</f>
        <v>0</v>
      </c>
      <c r="V2188" s="65">
        <f>IFERROR(__xludf.DUMMYFUNCTION("""COMPUTED_VALUE"""),0.0)</f>
        <v>0</v>
      </c>
      <c r="W2188" s="65">
        <f>IFERROR(__xludf.DUMMYFUNCTION("""COMPUTED_VALUE"""),0.0)</f>
        <v>0</v>
      </c>
      <c r="X2188" s="65">
        <f>IFERROR(__xludf.DUMMYFUNCTION("""COMPUTED_VALUE"""),2.6)</f>
        <v>2.6</v>
      </c>
      <c r="Y2188" s="65">
        <f>IFERROR(__xludf.DUMMYFUNCTION("""COMPUTED_VALUE"""),7.8)</f>
        <v>7.8</v>
      </c>
      <c r="Z2188" s="65">
        <f>IFERROR(__xludf.DUMMYFUNCTION("""COMPUTED_VALUE"""),121983.0)</f>
        <v>121983</v>
      </c>
      <c r="AA2188" s="65" t="str">
        <f>IFERROR(__xludf.DUMMYFUNCTION("""COMPUTED_VALUE"""),"PROV-CHLLCF")</f>
        <v>PROV-CHLLCF</v>
      </c>
      <c r="AB2188" s="65"/>
      <c r="AC2188" s="65" t="str">
        <f>IFERROR(__xludf.DUMMYFUNCTION("""COMPUTED_VALUE"""),"CUCHILLO PARA CHEF")</f>
        <v>CUCHILLO PARA CHEF</v>
      </c>
      <c r="AD2188" s="65"/>
      <c r="AE2188" s="65">
        <f>IFERROR(__xludf.DUMMYFUNCTION("""COMPUTED_VALUE"""),3.0)</f>
        <v>3</v>
      </c>
      <c r="AF2188" s="65"/>
      <c r="AG2188" s="65"/>
      <c r="AH2188" s="65"/>
      <c r="AI2188" s="65"/>
      <c r="AJ2188" s="65"/>
      <c r="AK2188" s="65"/>
      <c r="AL2188" s="65"/>
      <c r="AM2188" s="65"/>
      <c r="AN2188" s="65" t="str">
        <f>IFERROR(__xludf.DUMMYFUNCTION("""COMPUTED_VALUE"""),"13:21")</f>
        <v>13:21</v>
      </c>
      <c r="AO2188" s="65" t="str">
        <f>IFERROR(__xludf.DUMMYFUNCTION("""COMPUTED_VALUE"""),"15-01-2026")</f>
        <v>15-01-2026</v>
      </c>
      <c r="AP2188" s="65" t="str">
        <f>IFERROR(__xludf.DUMMYFUNCTION("""COMPUTED_VALUE"""),"ENTREGADA GINTRACOM")</f>
        <v>ENTREGADA GINTRACOM</v>
      </c>
      <c r="AQ2188" s="65" t="str">
        <f>IFERROR(__xludf.DUMMYFUNCTION("""COMPUTED_VALUE"""),"ENTREGADA GINTRACOM")</f>
        <v>ENTREGADA GINTRACOM</v>
      </c>
      <c r="AR2188" s="65"/>
      <c r="AS2188" s="65"/>
      <c r="AT2188" s="65" t="str">
        <f>IFERROR(__xludf.DUMMYFUNCTION("""COMPUTED_VALUE"""),"SHOPIFY")</f>
        <v>SHOPIFY</v>
      </c>
      <c r="AU2188" s="65" t="str">
        <f>IFERROR(__xludf.DUMMYFUNCTION("""COMPUTED_VALUE"""),"IMPORTEX EC")</f>
        <v>IMPORTEX EC</v>
      </c>
      <c r="AV2188" s="65" t="str">
        <f>IFERROR(__xludf.DUMMYFUNCTION("""COMPUTED_VALUE"""),"6403431727148")</f>
        <v>6403431727148</v>
      </c>
      <c r="AW2188" s="65">
        <f>IFERROR(__xludf.DUMMYFUNCTION("""COMPUTED_VALUE"""),4768.0)</f>
        <v>4768</v>
      </c>
      <c r="AX2188" s="65"/>
      <c r="AY2188" s="65" t="str">
        <f>IFERROR(__xludf.DUMMYFUNCTION("""COMPUTED_VALUE"""),"14/01/2026")</f>
        <v>14/01/2026</v>
      </c>
      <c r="AZ2188" s="65"/>
      <c r="BA2188" s="65"/>
    </row>
    <row r="2189">
      <c r="A2189" s="65" t="str">
        <f>IFERROR(__xludf.DUMMYFUNCTION("""COMPUTED_VALUE"""),"27-03-2026")</f>
        <v>27-03-2026</v>
      </c>
      <c r="B2189" s="65">
        <f>IFERROR(__xludf.DUMMYFUNCTION("""COMPUTED_VALUE"""),4090707.0)</f>
        <v>4090707</v>
      </c>
      <c r="C2189" s="65" t="str">
        <f>IFERROR(__xludf.DUMMYFUNCTION("""COMPUTED_VALUE"""),"07:34")</f>
        <v>07:34</v>
      </c>
      <c r="D2189" s="65" t="str">
        <f>IFERROR(__xludf.DUMMYFUNCTION("""COMPUTED_VALUE"""),"10-01-2026")</f>
        <v>10-01-2026</v>
      </c>
      <c r="E2189" s="65" t="str">
        <f>IFERROR(__xludf.DUMMYFUNCTION("""COMPUTED_VALUE"""),"Nelson Yerovi")</f>
        <v>Nelson Yerovi</v>
      </c>
      <c r="F2189" s="65" t="str">
        <f>IFERROR(__xludf.DUMMYFUNCTION("""COMPUTED_VALUE"""),"997295024")</f>
        <v>997295024</v>
      </c>
      <c r="G2189" s="65" t="str">
        <f>IFERROR(__xludf.DUMMYFUNCTION("""COMPUTED_VALUE"""),"deprimera.nyerovi@gmail.com")</f>
        <v>deprimera.nyerovi@gmail.com</v>
      </c>
      <c r="H2189" s="65"/>
      <c r="I2189" s="65"/>
      <c r="J2189" s="65" t="str">
        <f>IFERROR(__xludf.DUMMYFUNCTION("""COMPUTED_VALUE"""),"D001250512")</f>
        <v>D001250512</v>
      </c>
      <c r="K2189" s="65" t="str">
        <f>IFERROR(__xludf.DUMMYFUNCTION("""COMPUTED_VALUE"""),"DEVOLUCION")</f>
        <v>DEVOLUCION</v>
      </c>
      <c r="L2189" s="65" t="str">
        <f>IFERROR(__xludf.DUMMYFUNCTION("""COMPUTED_VALUE"""),"CON RECAUDO")</f>
        <v>CON RECAUDO</v>
      </c>
      <c r="M2189" s="65" t="str">
        <f>IFERROR(__xludf.DUMMYFUNCTION("""COMPUTED_VALUE"""),"TUNGURAHUA")</f>
        <v>TUNGURAHUA</v>
      </c>
      <c r="N2189" s="65" t="str">
        <f>IFERROR(__xludf.DUMMYFUNCTION("""COMPUTED_VALUE"""),"AMBATO")</f>
        <v>AMBATO</v>
      </c>
      <c r="O2189" s="65" t="str">
        <f>IFERROR(__xludf.DUMMYFUNCTION("""COMPUTED_VALUE"""),"Calle marcos Montalvo y calle jacome clavijo Frente a gym matrix -")</f>
        <v>Calle marcos Montalvo y calle jacome clavijo Frente a gym matrix -</v>
      </c>
      <c r="P2189" s="65"/>
      <c r="Q2189" s="65" t="str">
        <f>IFERROR(__xludf.DUMMYFUNCTION("""COMPUTED_VALUE"""),"GINTRACOM")</f>
        <v>GINTRACOM</v>
      </c>
      <c r="R2189" s="65">
        <f>IFERROR(__xludf.DUMMYFUNCTION("""COMPUTED_VALUE"""),25.0)</f>
        <v>25</v>
      </c>
      <c r="S2189" s="65"/>
      <c r="T2189" s="65">
        <f>IFERROR(__xludf.DUMMYFUNCTION("""COMPUTED_VALUE"""),5.96)</f>
        <v>5.96</v>
      </c>
      <c r="U2189" s="65">
        <f>IFERROR(__xludf.DUMMYFUNCTION("""COMPUTED_VALUE"""),0.0)</f>
        <v>0</v>
      </c>
      <c r="V2189" s="65">
        <f>IFERROR(__xludf.DUMMYFUNCTION("""COMPUTED_VALUE"""),0.0)</f>
        <v>0</v>
      </c>
      <c r="W2189" s="65">
        <f>IFERROR(__xludf.DUMMYFUNCTION("""COMPUTED_VALUE"""),0.0)</f>
        <v>0</v>
      </c>
      <c r="X2189" s="65">
        <f>IFERROR(__xludf.DUMMYFUNCTION("""COMPUTED_VALUE"""),2.79)</f>
        <v>2.79</v>
      </c>
      <c r="Y2189" s="65">
        <f>IFERROR(__xludf.DUMMYFUNCTION("""COMPUTED_VALUE"""),5.58)</f>
        <v>5.58</v>
      </c>
      <c r="Z2189" s="65">
        <f>IFERROR(__xludf.DUMMYFUNCTION("""COMPUTED_VALUE"""),120732.0)</f>
        <v>120732</v>
      </c>
      <c r="AA2189" s="65" t="str">
        <f>IFERROR(__xludf.DUMMYFUNCTION("""COMPUTED_VALUE"""),"PROV-LMPVT")</f>
        <v>PROV-LMPVT</v>
      </c>
      <c r="AB2189" s="65"/>
      <c r="AC2189" s="65" t="str">
        <f>IFERROR(__xludf.DUMMYFUNCTION("""COMPUTED_VALUE"""),"LIMPIADOR DE PARABRISAS Y VENTANAS")</f>
        <v>LIMPIADOR DE PARABRISAS Y VENTANAS</v>
      </c>
      <c r="AD2189" s="65"/>
      <c r="AE2189" s="65">
        <f>IFERROR(__xludf.DUMMYFUNCTION("""COMPUTED_VALUE"""),2.0)</f>
        <v>2</v>
      </c>
      <c r="AF2189" s="65" t="str">
        <f>IFERROR(__xludf.DUMMYFUNCTION("""COMPUTED_VALUE"""),"DESTINATARIO INDICA QUE YA NO DESEA EL PRODUCTO")</f>
        <v>DESTINATARIO INDICA QUE YA NO DESEA EL PRODUCTO</v>
      </c>
      <c r="AG2189" s="65" t="str">
        <f>IFERROR(__xludf.DUMMYFUNCTION("""COMPUTED_VALUE"""),"NO")</f>
        <v>NO</v>
      </c>
      <c r="AH2189" s="65" t="str">
        <f>IFERROR(__xludf.DUMMYFUNCTION("""COMPUTED_VALUE"""),"11:20")</f>
        <v>11:20</v>
      </c>
      <c r="AI2189" s="65" t="str">
        <f>IFERROR(__xludf.DUMMYFUNCTION("""COMPUTED_VALUE"""),"28-01-2026")</f>
        <v>28-01-2026</v>
      </c>
      <c r="AJ2189" s="65"/>
      <c r="AK2189" s="65"/>
      <c r="AL2189" s="65"/>
      <c r="AM2189" s="65"/>
      <c r="AN2189" s="65" t="str">
        <f>IFERROR(__xludf.DUMMYFUNCTION("""COMPUTED_VALUE"""),"13:32")</f>
        <v>13:32</v>
      </c>
      <c r="AO2189" s="65" t="str">
        <f>IFERROR(__xludf.DUMMYFUNCTION("""COMPUTED_VALUE"""),"19-02-2026")</f>
        <v>19-02-2026</v>
      </c>
      <c r="AP2189" s="65" t="str">
        <f>IFERROR(__xludf.DUMMYFUNCTION("""COMPUTED_VALUE"""),"DEV CONFIRMADA POR BODEGA")</f>
        <v>DEV CONFIRMADA POR BODEGA</v>
      </c>
      <c r="AQ2189" s="65"/>
      <c r="AR2189" s="65" t="str">
        <f>IFERROR(__xludf.DUMMYFUNCTION("""COMPUTED_VALUE"""),"Gestionado por: PROVEDIX DAMIAN, email:enviogratisdirecto@gmail.com, total de productos en la orden: 1")</f>
        <v>Gestionado por: PROVEDIX DAMIAN, email:enviogratisdirecto@gmail.com, total de productos en la orden: 1</v>
      </c>
      <c r="AS2189" s="65"/>
      <c r="AT2189" s="65" t="str">
        <f>IFERROR(__xludf.DUMMYFUNCTION("""COMPUTED_VALUE"""),"SHOPIFY")</f>
        <v>SHOPIFY</v>
      </c>
      <c r="AU2189" s="65" t="str">
        <f>IFERROR(__xludf.DUMMYFUNCTION("""COMPUTED_VALUE"""),"IMPORTEX EC")</f>
        <v>IMPORTEX EC</v>
      </c>
      <c r="AV2189" s="65" t="str">
        <f>IFERROR(__xludf.DUMMYFUNCTION("""COMPUTED_VALUE"""),"6403431268396")</f>
        <v>6403431268396</v>
      </c>
      <c r="AW2189" s="65">
        <f>IFERROR(__xludf.DUMMYFUNCTION("""COMPUTED_VALUE"""),4767.0)</f>
        <v>4767</v>
      </c>
      <c r="AX2189" s="65"/>
      <c r="AY2189" s="65" t="str">
        <f>IFERROR(__xludf.DUMMYFUNCTION("""COMPUTED_VALUE"""),"22/01/2026")</f>
        <v>22/01/2026</v>
      </c>
      <c r="AZ2189" s="65"/>
      <c r="BA2189" s="65"/>
    </row>
    <row r="2190">
      <c r="A2190" s="65" t="str">
        <f>IFERROR(__xludf.DUMMYFUNCTION("""COMPUTED_VALUE"""),"27-03-2026")</f>
        <v>27-03-2026</v>
      </c>
      <c r="B2190" s="65">
        <f>IFERROR(__xludf.DUMMYFUNCTION("""COMPUTED_VALUE"""),4090544.0)</f>
        <v>4090544</v>
      </c>
      <c r="C2190" s="65" t="str">
        <f>IFERROR(__xludf.DUMMYFUNCTION("""COMPUTED_VALUE"""),"07:19")</f>
        <v>07:19</v>
      </c>
      <c r="D2190" s="65" t="str">
        <f>IFERROR(__xludf.DUMMYFUNCTION("""COMPUTED_VALUE"""),"10-01-2026")</f>
        <v>10-01-2026</v>
      </c>
      <c r="E2190" s="65" t="str">
        <f>IFERROR(__xludf.DUMMYFUNCTION("""COMPUTED_VALUE"""),"Hilda Pérez Imbaqui")</f>
        <v>Hilda Pérez Imbaqui</v>
      </c>
      <c r="F2190" s="65" t="str">
        <f>IFERROR(__xludf.DUMMYFUNCTION("""COMPUTED_VALUE"""),"968239382")</f>
        <v>968239382</v>
      </c>
      <c r="G2190" s="65" t="str">
        <f>IFERROR(__xludf.DUMMYFUNCTION("""COMPUTED_VALUE"""),"hildaperez1968@hotmail.com")</f>
        <v>hildaperez1968@hotmail.com</v>
      </c>
      <c r="H2190" s="65"/>
      <c r="I2190" s="65"/>
      <c r="J2190" s="65" t="str">
        <f>IFERROR(__xludf.DUMMYFUNCTION("""COMPUTED_VALUE"""),"186509216")</f>
        <v>186509216</v>
      </c>
      <c r="K2190" s="65" t="str">
        <f>IFERROR(__xludf.DUMMYFUNCTION("""COMPUTED_VALUE"""),"ENTREGADO")</f>
        <v>ENTREGADO</v>
      </c>
      <c r="L2190" s="65" t="str">
        <f>IFERROR(__xludf.DUMMYFUNCTION("""COMPUTED_VALUE"""),"CON RECAUDO")</f>
        <v>CON RECAUDO</v>
      </c>
      <c r="M2190" s="65" t="str">
        <f>IFERROR(__xludf.DUMMYFUNCTION("""COMPUTED_VALUE"""),"LOS RIOS")</f>
        <v>LOS RIOS</v>
      </c>
      <c r="N2190" s="65" t="str">
        <f>IFERROR(__xludf.DUMMYFUNCTION("""COMPUTED_VALUE"""),"MONTALVO")</f>
        <v>MONTALVO</v>
      </c>
      <c r="O2190" s="65" t="str">
        <f>IFERROR(__xludf.DUMMYFUNCTION("""COMPUTED_VALUE"""),"La y Montalvo Santa Rosa -")</f>
        <v>La y Montalvo Santa Rosa -</v>
      </c>
      <c r="P2190" s="65"/>
      <c r="Q2190" s="65" t="str">
        <f>IFERROR(__xludf.DUMMYFUNCTION("""COMPUTED_VALUE"""),"SERVIENTREGA")</f>
        <v>SERVIENTREGA</v>
      </c>
      <c r="R2190" s="65">
        <f>IFERROR(__xludf.DUMMYFUNCTION("""COMPUTED_VALUE"""),22.0)</f>
        <v>22</v>
      </c>
      <c r="S2190" s="65">
        <f>IFERROR(__xludf.DUMMYFUNCTION("""COMPUTED_VALUE"""),9.1)</f>
        <v>9.1</v>
      </c>
      <c r="T2190" s="65">
        <f>IFERROR(__xludf.DUMMYFUNCTION("""COMPUTED_VALUE"""),7.7)</f>
        <v>7.7</v>
      </c>
      <c r="U2190" s="65">
        <f>IFERROR(__xludf.DUMMYFUNCTION("""COMPUTED_VALUE"""),0.0)</f>
        <v>0</v>
      </c>
      <c r="V2190" s="65">
        <f>IFERROR(__xludf.DUMMYFUNCTION("""COMPUTED_VALUE"""),0.0)</f>
        <v>0</v>
      </c>
      <c r="W2190" s="65">
        <f>IFERROR(__xludf.DUMMYFUNCTION("""COMPUTED_VALUE"""),0.0)</f>
        <v>0</v>
      </c>
      <c r="X2190" s="65">
        <f>IFERROR(__xludf.DUMMYFUNCTION("""COMPUTED_VALUE"""),2.6)</f>
        <v>2.6</v>
      </c>
      <c r="Y2190" s="65">
        <f>IFERROR(__xludf.DUMMYFUNCTION("""COMPUTED_VALUE"""),5.2)</f>
        <v>5.2</v>
      </c>
      <c r="Z2190" s="65">
        <f>IFERROR(__xludf.DUMMYFUNCTION("""COMPUTED_VALUE"""),121983.0)</f>
        <v>121983</v>
      </c>
      <c r="AA2190" s="65" t="str">
        <f>IFERROR(__xludf.DUMMYFUNCTION("""COMPUTED_VALUE"""),"PROV-CHLLCF")</f>
        <v>PROV-CHLLCF</v>
      </c>
      <c r="AB2190" s="65"/>
      <c r="AC2190" s="65" t="str">
        <f>IFERROR(__xludf.DUMMYFUNCTION("""COMPUTED_VALUE"""),"CUCHILLO PARA CHEF")</f>
        <v>CUCHILLO PARA CHEF</v>
      </c>
      <c r="AD2190" s="65"/>
      <c r="AE2190" s="65">
        <f>IFERROR(__xludf.DUMMYFUNCTION("""COMPUTED_VALUE"""),2.0)</f>
        <v>2</v>
      </c>
      <c r="AF2190" s="65" t="str">
        <f>IFERROR(__xludf.DUMMYFUNCTION("""COMPUTED_VALUE"""),"FALTAN DATOS EN DIRECCION")</f>
        <v>FALTAN DATOS EN DIRECCION</v>
      </c>
      <c r="AG2190" s="65" t="str">
        <f>IFERROR(__xludf.DUMMYFUNCTION("""COMPUTED_VALUE"""),"NO")</f>
        <v>NO</v>
      </c>
      <c r="AH2190" s="65" t="str">
        <f>IFERROR(__xludf.DUMMYFUNCTION("""COMPUTED_VALUE"""),"15:28")</f>
        <v>15:28</v>
      </c>
      <c r="AI2190" s="65" t="str">
        <f>IFERROR(__xludf.DUMMYFUNCTION("""COMPUTED_VALUE"""),"23-01-2026")</f>
        <v>23-01-2026</v>
      </c>
      <c r="AJ2190" s="65"/>
      <c r="AK2190" s="65"/>
      <c r="AL2190" s="65"/>
      <c r="AM2190" s="65"/>
      <c r="AN2190" s="65" t="str">
        <f>IFERROR(__xludf.DUMMYFUNCTION("""COMPUTED_VALUE"""),"12:17")</f>
        <v>12:17</v>
      </c>
      <c r="AO2190" s="65" t="str">
        <f>IFERROR(__xludf.DUMMYFUNCTION("""COMPUTED_VALUE"""),"24-01-2026")</f>
        <v>24-01-2026</v>
      </c>
      <c r="AP2190" s="65" t="str">
        <f>IFERROR(__xludf.DUMMYFUNCTION("""COMPUTED_VALUE"""),"REPORTADO ENTREGADO EN APP")</f>
        <v>REPORTADO ENTREGADO EN APP</v>
      </c>
      <c r="AQ2190" s="65" t="str">
        <f>IFERROR(__xludf.DUMMYFUNCTION("""COMPUTED_VALUE"""),"Hilda Perez")</f>
        <v>Hilda Perez</v>
      </c>
      <c r="AR2190" s="65"/>
      <c r="AS2190" s="65"/>
      <c r="AT2190" s="65" t="str">
        <f>IFERROR(__xludf.DUMMYFUNCTION("""COMPUTED_VALUE"""),"SHOPIFY")</f>
        <v>SHOPIFY</v>
      </c>
      <c r="AU2190" s="65" t="str">
        <f>IFERROR(__xludf.DUMMYFUNCTION("""COMPUTED_VALUE"""),"IMPORTEX EC")</f>
        <v>IMPORTEX EC</v>
      </c>
      <c r="AV2190" s="65" t="str">
        <f>IFERROR(__xludf.DUMMYFUNCTION("""COMPUTED_VALUE"""),"6403421110316")</f>
        <v>6403421110316</v>
      </c>
      <c r="AW2190" s="65">
        <f>IFERROR(__xludf.DUMMYFUNCTION("""COMPUTED_VALUE"""),4766.0)</f>
        <v>4766</v>
      </c>
      <c r="AX2190" s="65"/>
      <c r="AY2190" s="65" t="str">
        <f>IFERROR(__xludf.DUMMYFUNCTION("""COMPUTED_VALUE"""),"21/01/2026")</f>
        <v>21/01/2026</v>
      </c>
      <c r="AZ2190" s="65"/>
      <c r="BA2190" s="65"/>
    </row>
    <row r="2191">
      <c r="A2191" s="65" t="str">
        <f>IFERROR(__xludf.DUMMYFUNCTION("""COMPUTED_VALUE"""),"27-03-2026")</f>
        <v>27-03-2026</v>
      </c>
      <c r="B2191" s="65">
        <f>IFERROR(__xludf.DUMMYFUNCTION("""COMPUTED_VALUE"""),4090524.0)</f>
        <v>4090524</v>
      </c>
      <c r="C2191" s="65" t="str">
        <f>IFERROR(__xludf.DUMMYFUNCTION("""COMPUTED_VALUE"""),"07:17")</f>
        <v>07:17</v>
      </c>
      <c r="D2191" s="65" t="str">
        <f>IFERROR(__xludf.DUMMYFUNCTION("""COMPUTED_VALUE"""),"10-01-2026")</f>
        <v>10-01-2026</v>
      </c>
      <c r="E2191" s="65" t="str">
        <f>IFERROR(__xludf.DUMMYFUNCTION("""COMPUTED_VALUE"""),"Oscar Fernandez")</f>
        <v>Oscar Fernandez</v>
      </c>
      <c r="F2191" s="65" t="str">
        <f>IFERROR(__xludf.DUMMYFUNCTION("""COMPUTED_VALUE"""),"987408163")</f>
        <v>987408163</v>
      </c>
      <c r="G2191" s="65" t="str">
        <f>IFERROR(__xludf.DUMMYFUNCTION("""COMPUTED_VALUE"""),"oskr_197432@hotmail.com")</f>
        <v>oskr_197432@hotmail.com</v>
      </c>
      <c r="H2191" s="65"/>
      <c r="I2191" s="65"/>
      <c r="J2191" s="65" t="str">
        <f>IFERROR(__xludf.DUMMYFUNCTION("""COMPUTED_VALUE"""),"D001220638")</f>
        <v>D001220638</v>
      </c>
      <c r="K2191" s="65" t="str">
        <f>IFERROR(__xludf.DUMMYFUNCTION("""COMPUTED_VALUE"""),"ENTREGADO")</f>
        <v>ENTREGADO</v>
      </c>
      <c r="L2191" s="65" t="str">
        <f>IFERROR(__xludf.DUMMYFUNCTION("""COMPUTED_VALUE"""),"CON RECAUDO")</f>
        <v>CON RECAUDO</v>
      </c>
      <c r="M2191" s="65" t="str">
        <f>IFERROR(__xludf.DUMMYFUNCTION("""COMPUTED_VALUE"""),"EL ORO")</f>
        <v>EL ORO</v>
      </c>
      <c r="N2191" s="65" t="str">
        <f>IFERROR(__xludf.DUMMYFUNCTION("""COMPUTED_VALUE"""),"SANTA ROSA")</f>
        <v>SANTA ROSA</v>
      </c>
      <c r="O2191" s="65" t="str">
        <f>IFERROR(__xludf.DUMMYFUNCTION("""COMPUTED_VALUE"""),"Sector Santa Rosa - Calle Loja y Calle Guillermina Unda de García - Frente al Centro Veterinario FAVET diagonal a la escuela Pérez Guerrero")</f>
        <v>Sector Santa Rosa - Calle Loja y Calle Guillermina Unda de García - Frente al Centro Veterinario FAVET diagonal a la escuela Pérez Guerrero</v>
      </c>
      <c r="P2191" s="65"/>
      <c r="Q2191" s="65" t="str">
        <f>IFERROR(__xludf.DUMMYFUNCTION("""COMPUTED_VALUE"""),"GINTRACOM")</f>
        <v>GINTRACOM</v>
      </c>
      <c r="R2191" s="65">
        <f>IFERROR(__xludf.DUMMYFUNCTION("""COMPUTED_VALUE"""),30.0)</f>
        <v>30</v>
      </c>
      <c r="S2191" s="65">
        <f>IFERROR(__xludf.DUMMYFUNCTION("""COMPUTED_VALUE"""),15.47)</f>
        <v>15.47</v>
      </c>
      <c r="T2191" s="65">
        <f>IFERROR(__xludf.DUMMYFUNCTION("""COMPUTED_VALUE"""),6.16)</f>
        <v>6.16</v>
      </c>
      <c r="U2191" s="65">
        <f>IFERROR(__xludf.DUMMYFUNCTION("""COMPUTED_VALUE"""),0.0)</f>
        <v>0</v>
      </c>
      <c r="V2191" s="65">
        <f>IFERROR(__xludf.DUMMYFUNCTION("""COMPUTED_VALUE"""),0.0)</f>
        <v>0</v>
      </c>
      <c r="W2191" s="65">
        <f>IFERROR(__xludf.DUMMYFUNCTION("""COMPUTED_VALUE"""),0.0)</f>
        <v>0</v>
      </c>
      <c r="X2191" s="65">
        <f>IFERROR(__xludf.DUMMYFUNCTION("""COMPUTED_VALUE"""),2.79)</f>
        <v>2.79</v>
      </c>
      <c r="Y2191" s="65">
        <f>IFERROR(__xludf.DUMMYFUNCTION("""COMPUTED_VALUE"""),8.37)</f>
        <v>8.37</v>
      </c>
      <c r="Z2191" s="65">
        <f>IFERROR(__xludf.DUMMYFUNCTION("""COMPUTED_VALUE"""),120732.0)</f>
        <v>120732</v>
      </c>
      <c r="AA2191" s="65" t="str">
        <f>IFERROR(__xludf.DUMMYFUNCTION("""COMPUTED_VALUE"""),"PROV-LMPVT")</f>
        <v>PROV-LMPVT</v>
      </c>
      <c r="AB2191" s="65"/>
      <c r="AC2191" s="65" t="str">
        <f>IFERROR(__xludf.DUMMYFUNCTION("""COMPUTED_VALUE"""),"LIMPIADOR DE PARABRISAS Y VENTANAS")</f>
        <v>LIMPIADOR DE PARABRISAS Y VENTANAS</v>
      </c>
      <c r="AD2191" s="65"/>
      <c r="AE2191" s="65">
        <f>IFERROR(__xludf.DUMMYFUNCTION("""COMPUTED_VALUE"""),3.0)</f>
        <v>3</v>
      </c>
      <c r="AF2191" s="65" t="str">
        <f>IFERROR(__xludf.DUMMYFUNCTION("""COMPUTED_VALUE"""),"DESTINATARIO NO CONTESTA LLAMADAS NI WHATSAPP")</f>
        <v>DESTINATARIO NO CONTESTA LLAMADAS NI WHATSAPP</v>
      </c>
      <c r="AG2191" s="65" t="str">
        <f>IFERROR(__xludf.DUMMYFUNCTION("""COMPUTED_VALUE"""),"SI")</f>
        <v>SI</v>
      </c>
      <c r="AH2191" s="65" t="str">
        <f>IFERROR(__xludf.DUMMYFUNCTION("""COMPUTED_VALUE"""),"18:46")</f>
        <v>18:46</v>
      </c>
      <c r="AI2191" s="65" t="str">
        <f>IFERROR(__xludf.DUMMYFUNCTION("""COMPUTED_VALUE"""),"16-01-2026")</f>
        <v>16-01-2026</v>
      </c>
      <c r="AJ2191" s="65"/>
      <c r="AK2191" s="65"/>
      <c r="AL2191" s="65"/>
      <c r="AM2191" s="65"/>
      <c r="AN2191" s="65" t="str">
        <f>IFERROR(__xludf.DUMMYFUNCTION("""COMPUTED_VALUE"""),"16:53")</f>
        <v>16:53</v>
      </c>
      <c r="AO2191" s="65" t="str">
        <f>IFERROR(__xludf.DUMMYFUNCTION("""COMPUTED_VALUE"""),"21-01-2026")</f>
        <v>21-01-2026</v>
      </c>
      <c r="AP2191" s="65" t="str">
        <f>IFERROR(__xludf.DUMMYFUNCTION("""COMPUTED_VALUE"""),"ENTREGADA GINTRACOM")</f>
        <v>ENTREGADA GINTRACOM</v>
      </c>
      <c r="AQ2191" s="65" t="str">
        <f>IFERROR(__xludf.DUMMYFUNCTION("""COMPUTED_VALUE"""),"ENTREGADA GINTRACOM")</f>
        <v>ENTREGADA GINTRACOM</v>
      </c>
      <c r="AR2191" s="65"/>
      <c r="AS2191" s="65"/>
      <c r="AT2191" s="65" t="str">
        <f>IFERROR(__xludf.DUMMYFUNCTION("""COMPUTED_VALUE"""),"SHOPIFY")</f>
        <v>SHOPIFY</v>
      </c>
      <c r="AU2191" s="65" t="str">
        <f>IFERROR(__xludf.DUMMYFUNCTION("""COMPUTED_VALUE"""),"IMPORTEX EC")</f>
        <v>IMPORTEX EC</v>
      </c>
      <c r="AV2191" s="65" t="str">
        <f>IFERROR(__xludf.DUMMYFUNCTION("""COMPUTED_VALUE"""),"6403419602988")</f>
        <v>6403419602988</v>
      </c>
      <c r="AW2191" s="65">
        <f>IFERROR(__xludf.DUMMYFUNCTION("""COMPUTED_VALUE"""),4765.0)</f>
        <v>4765</v>
      </c>
      <c r="AX2191" s="65"/>
      <c r="AY2191" s="65" t="str">
        <f>IFERROR(__xludf.DUMMYFUNCTION("""COMPUTED_VALUE"""),"13/01/2026")</f>
        <v>13/01/2026</v>
      </c>
      <c r="AZ2191" s="65"/>
      <c r="BA2191" s="65"/>
    </row>
    <row r="2192">
      <c r="A2192" s="65" t="str">
        <f>IFERROR(__xludf.DUMMYFUNCTION("""COMPUTED_VALUE"""),"27-03-2026")</f>
        <v>27-03-2026</v>
      </c>
      <c r="B2192" s="65">
        <f>IFERROR(__xludf.DUMMYFUNCTION("""COMPUTED_VALUE"""),4090483.0)</f>
        <v>4090483</v>
      </c>
      <c r="C2192" s="65" t="str">
        <f>IFERROR(__xludf.DUMMYFUNCTION("""COMPUTED_VALUE"""),"07:12")</f>
        <v>07:12</v>
      </c>
      <c r="D2192" s="65" t="str">
        <f>IFERROR(__xludf.DUMMYFUNCTION("""COMPUTED_VALUE"""),"10-01-2026")</f>
        <v>10-01-2026</v>
      </c>
      <c r="E2192" s="65" t="str">
        <f>IFERROR(__xludf.DUMMYFUNCTION("""COMPUTED_VALUE"""),"Clarahernandez Clarahernandez")</f>
        <v>Clarahernandez Clarahernandez</v>
      </c>
      <c r="F2192" s="65" t="str">
        <f>IFERROR(__xludf.DUMMYFUNCTION("""COMPUTED_VALUE"""),"989442694")</f>
        <v>989442694</v>
      </c>
      <c r="G2192" s="65" t="str">
        <f>IFERROR(__xludf.DUMMYFUNCTION("""COMPUTED_VALUE"""),"claraluz0515@gmail.com")</f>
        <v>claraluz0515@gmail.com</v>
      </c>
      <c r="H2192" s="65"/>
      <c r="I2192" s="65"/>
      <c r="J2192" s="65"/>
      <c r="K2192" s="65" t="str">
        <f>IFERROR(__xludf.DUMMYFUNCTION("""COMPUTED_VALUE"""),"CANCELADO")</f>
        <v>CANCELADO</v>
      </c>
      <c r="L2192" s="65" t="str">
        <f>IFERROR(__xludf.DUMMYFUNCTION("""COMPUTED_VALUE"""),"CON RECAUDO")</f>
        <v>CON RECAUDO</v>
      </c>
      <c r="M2192" s="65" t="str">
        <f>IFERROR(__xludf.DUMMYFUNCTION("""COMPUTED_VALUE"""),"PICHINCHA")</f>
        <v>PICHINCHA</v>
      </c>
      <c r="N2192" s="65" t="str">
        <f>IFERROR(__xludf.DUMMYFUNCTION("""COMPUTED_VALUE"""),"QUITO")</f>
        <v>QUITO</v>
      </c>
      <c r="O2192" s="65" t="str">
        <f>IFERROR(__xludf.DUMMYFUNCTION("""COMPUTED_VALUE"""),"Lucha de los pobres alto ma")</f>
        <v>Lucha de los pobres alto ma</v>
      </c>
      <c r="P2192" s="65" t="str">
        <f>IFERROR(__xludf.DUMMYFUNCTION("""COMPUTED_VALUE"""),"CUCHILLO PARA CHEF: Default Title ***")</f>
        <v>CUCHILLO PARA CHEF: Default Title ***</v>
      </c>
      <c r="Q2192" s="65" t="str">
        <f>IFERROR(__xludf.DUMMYFUNCTION("""COMPUTED_VALUE"""),"GINTRACOM")</f>
        <v>GINTRACOM</v>
      </c>
      <c r="R2192" s="65">
        <f>IFERROR(__xludf.DUMMYFUNCTION("""COMPUTED_VALUE"""),22.0)</f>
        <v>22</v>
      </c>
      <c r="S2192" s="65"/>
      <c r="T2192" s="65">
        <f>IFERROR(__xludf.DUMMYFUNCTION("""COMPUTED_VALUE"""),5.84)</f>
        <v>5.84</v>
      </c>
      <c r="U2192" s="65">
        <f>IFERROR(__xludf.DUMMYFUNCTION("""COMPUTED_VALUE"""),0.0)</f>
        <v>0</v>
      </c>
      <c r="V2192" s="65">
        <f>IFERROR(__xludf.DUMMYFUNCTION("""COMPUTED_VALUE"""),0.0)</f>
        <v>0</v>
      </c>
      <c r="W2192" s="65">
        <f>IFERROR(__xludf.DUMMYFUNCTION("""COMPUTED_VALUE"""),0.0)</f>
        <v>0</v>
      </c>
      <c r="X2192" s="65">
        <f>IFERROR(__xludf.DUMMYFUNCTION("""COMPUTED_VALUE"""),2.6)</f>
        <v>2.6</v>
      </c>
      <c r="Y2192" s="65">
        <f>IFERROR(__xludf.DUMMYFUNCTION("""COMPUTED_VALUE"""),2.6)</f>
        <v>2.6</v>
      </c>
      <c r="Z2192" s="65">
        <f>IFERROR(__xludf.DUMMYFUNCTION("""COMPUTED_VALUE"""),121983.0)</f>
        <v>121983</v>
      </c>
      <c r="AA2192" s="65" t="str">
        <f>IFERROR(__xludf.DUMMYFUNCTION("""COMPUTED_VALUE"""),"PROV-CHLLCF")</f>
        <v>PROV-CHLLCF</v>
      </c>
      <c r="AB2192" s="65"/>
      <c r="AC2192" s="65" t="str">
        <f>IFERROR(__xludf.DUMMYFUNCTION("""COMPUTED_VALUE"""),"CUCHILLO PARA CHEF")</f>
        <v>CUCHILLO PARA CHEF</v>
      </c>
      <c r="AD2192" s="65"/>
      <c r="AE2192" s="65">
        <f>IFERROR(__xludf.DUMMYFUNCTION("""COMPUTED_VALUE"""),1.0)</f>
        <v>1</v>
      </c>
      <c r="AF2192" s="65"/>
      <c r="AG2192" s="65"/>
      <c r="AH2192" s="65"/>
      <c r="AI2192" s="65"/>
      <c r="AJ2192" s="65"/>
      <c r="AK2192" s="65"/>
      <c r="AL2192" s="65"/>
      <c r="AM2192" s="65"/>
      <c r="AN2192" s="65"/>
      <c r="AO2192" s="65"/>
      <c r="AP2192" s="65"/>
      <c r="AQ2192" s="65"/>
      <c r="AR2192" s="65"/>
      <c r="AS2192" s="65"/>
      <c r="AT2192" s="65" t="str">
        <f>IFERROR(__xludf.DUMMYFUNCTION("""COMPUTED_VALUE"""),"SHOPIFY")</f>
        <v>SHOPIFY</v>
      </c>
      <c r="AU2192" s="65" t="str">
        <f>IFERROR(__xludf.DUMMYFUNCTION("""COMPUTED_VALUE"""),"IMPORTEX EC")</f>
        <v>IMPORTEX EC</v>
      </c>
      <c r="AV2192" s="65" t="str">
        <f>IFERROR(__xludf.DUMMYFUNCTION("""COMPUTED_VALUE"""),"6403414655020")</f>
        <v>6403414655020</v>
      </c>
      <c r="AW2192" s="65">
        <f>IFERROR(__xludf.DUMMYFUNCTION("""COMPUTED_VALUE"""),4764.0)</f>
        <v>4764</v>
      </c>
      <c r="AX2192" s="65"/>
      <c r="AY2192" s="65"/>
      <c r="AZ2192" s="65"/>
      <c r="BA2192" s="65"/>
    </row>
    <row r="2193">
      <c r="A2193" s="65" t="str">
        <f>IFERROR(__xludf.DUMMYFUNCTION("""COMPUTED_VALUE"""),"27-03-2026")</f>
        <v>27-03-2026</v>
      </c>
      <c r="B2193" s="65">
        <f>IFERROR(__xludf.DUMMYFUNCTION("""COMPUTED_VALUE"""),4090304.0)</f>
        <v>4090304</v>
      </c>
      <c r="C2193" s="65" t="str">
        <f>IFERROR(__xludf.DUMMYFUNCTION("""COMPUTED_VALUE"""),"06:55")</f>
        <v>06:55</v>
      </c>
      <c r="D2193" s="65" t="str">
        <f>IFERROR(__xludf.DUMMYFUNCTION("""COMPUTED_VALUE"""),"10-01-2026")</f>
        <v>10-01-2026</v>
      </c>
      <c r="E2193" s="65" t="str">
        <f>IFERROR(__xludf.DUMMYFUNCTION("""COMPUTED_VALUE"""),"Luis Alarcon")</f>
        <v>Luis Alarcon</v>
      </c>
      <c r="F2193" s="65" t="str">
        <f>IFERROR(__xludf.DUMMYFUNCTION("""COMPUTED_VALUE"""),"999822321")</f>
        <v>999822321</v>
      </c>
      <c r="G2193" s="65" t="str">
        <f>IFERROR(__xludf.DUMMYFUNCTION("""COMPUTED_VALUE"""),"lui_rey2000@yahoo.es")</f>
        <v>lui_rey2000@yahoo.es</v>
      </c>
      <c r="H2193" s="65"/>
      <c r="I2193" s="65"/>
      <c r="J2193" s="65" t="str">
        <f>IFERROR(__xludf.DUMMYFUNCTION("""COMPUTED_VALUE"""),"D001220639")</f>
        <v>D001220639</v>
      </c>
      <c r="K2193" s="65" t="str">
        <f>IFERROR(__xludf.DUMMYFUNCTION("""COMPUTED_VALUE"""),"DEVOLUCION")</f>
        <v>DEVOLUCION</v>
      </c>
      <c r="L2193" s="65" t="str">
        <f>IFERROR(__xludf.DUMMYFUNCTION("""COMPUTED_VALUE"""),"CON RECAUDO")</f>
        <v>CON RECAUDO</v>
      </c>
      <c r="M2193" s="65" t="str">
        <f>IFERROR(__xludf.DUMMYFUNCTION("""COMPUTED_VALUE"""),"PICHINCHA")</f>
        <v>PICHINCHA</v>
      </c>
      <c r="N2193" s="65" t="str">
        <f>IFERROR(__xludf.DUMMYFUNCTION("""COMPUTED_VALUE"""),"QUITO")</f>
        <v>QUITO</v>
      </c>
      <c r="O2193" s="65" t="str">
        <f>IFERROR(__xludf.DUMMYFUNCTION("""COMPUTED_VALUE"""),"7ma transversal 594 y av Jaime Roldos Aguilera Frente al  bloque 16 de Conjunto Pioneros -")</f>
        <v>7ma transversal 594 y av Jaime Roldos Aguilera Frente al  bloque 16 de Conjunto Pioneros -</v>
      </c>
      <c r="P2193" s="65"/>
      <c r="Q2193" s="65" t="str">
        <f>IFERROR(__xludf.DUMMYFUNCTION("""COMPUTED_VALUE"""),"GINTRACOM")</f>
        <v>GINTRACOM</v>
      </c>
      <c r="R2193" s="65">
        <f>IFERROR(__xludf.DUMMYFUNCTION("""COMPUTED_VALUE"""),20.0)</f>
        <v>20</v>
      </c>
      <c r="S2193" s="65"/>
      <c r="T2193" s="65">
        <f>IFERROR(__xludf.DUMMYFUNCTION("""COMPUTED_VALUE"""),5.76)</f>
        <v>5.76</v>
      </c>
      <c r="U2193" s="65">
        <f>IFERROR(__xludf.DUMMYFUNCTION("""COMPUTED_VALUE"""),0.0)</f>
        <v>0</v>
      </c>
      <c r="V2193" s="65">
        <f>IFERROR(__xludf.DUMMYFUNCTION("""COMPUTED_VALUE"""),0.0)</f>
        <v>0</v>
      </c>
      <c r="W2193" s="65">
        <f>IFERROR(__xludf.DUMMYFUNCTION("""COMPUTED_VALUE"""),0.0)</f>
        <v>0</v>
      </c>
      <c r="X2193" s="65">
        <f>IFERROR(__xludf.DUMMYFUNCTION("""COMPUTED_VALUE"""),2.79)</f>
        <v>2.79</v>
      </c>
      <c r="Y2193" s="65">
        <f>IFERROR(__xludf.DUMMYFUNCTION("""COMPUTED_VALUE"""),2.79)</f>
        <v>2.79</v>
      </c>
      <c r="Z2193" s="65">
        <f>IFERROR(__xludf.DUMMYFUNCTION("""COMPUTED_VALUE"""),120732.0)</f>
        <v>120732</v>
      </c>
      <c r="AA2193" s="65" t="str">
        <f>IFERROR(__xludf.DUMMYFUNCTION("""COMPUTED_VALUE"""),"PROV-LMPVT")</f>
        <v>PROV-LMPVT</v>
      </c>
      <c r="AB2193" s="65"/>
      <c r="AC2193" s="65" t="str">
        <f>IFERROR(__xludf.DUMMYFUNCTION("""COMPUTED_VALUE"""),"LIMPIADOR DE PARABRISAS Y VENTANAS")</f>
        <v>LIMPIADOR DE PARABRISAS Y VENTANAS</v>
      </c>
      <c r="AD2193" s="65"/>
      <c r="AE2193" s="65">
        <f>IFERROR(__xludf.DUMMYFUNCTION("""COMPUTED_VALUE"""),1.0)</f>
        <v>1</v>
      </c>
      <c r="AF2193" s="65" t="str">
        <f>IFERROR(__xludf.DUMMYFUNCTION("""COMPUTED_VALUE"""),"DESTINATARIO INDICA QUE YA NO DESEA EL PRODUCTO")</f>
        <v>DESTINATARIO INDICA QUE YA NO DESEA EL PRODUCTO</v>
      </c>
      <c r="AG2193" s="65" t="str">
        <f>IFERROR(__xludf.DUMMYFUNCTION("""COMPUTED_VALUE"""),"NO")</f>
        <v>NO</v>
      </c>
      <c r="AH2193" s="65" t="str">
        <f>IFERROR(__xludf.DUMMYFUNCTION("""COMPUTED_VALUE"""),"12:07")</f>
        <v>12:07</v>
      </c>
      <c r="AI2193" s="65" t="str">
        <f>IFERROR(__xludf.DUMMYFUNCTION("""COMPUTED_VALUE"""),"21-01-2026")</f>
        <v>21-01-2026</v>
      </c>
      <c r="AJ2193" s="65"/>
      <c r="AK2193" s="65"/>
      <c r="AL2193" s="65"/>
      <c r="AM2193" s="65"/>
      <c r="AN2193" s="65" t="str">
        <f>IFERROR(__xludf.DUMMYFUNCTION("""COMPUTED_VALUE"""),"13:51")</f>
        <v>13:51</v>
      </c>
      <c r="AO2193" s="65" t="str">
        <f>IFERROR(__xludf.DUMMYFUNCTION("""COMPUTED_VALUE"""),"05-02-2026")</f>
        <v>05-02-2026</v>
      </c>
      <c r="AP2193" s="65" t="str">
        <f>IFERROR(__xludf.DUMMYFUNCTION("""COMPUTED_VALUE"""),"DEV CONFIRMADA POR BODEGA")</f>
        <v>DEV CONFIRMADA POR BODEGA</v>
      </c>
      <c r="AQ2193" s="65"/>
      <c r="AR2193" s="65" t="str">
        <f>IFERROR(__xludf.DUMMYFUNCTION("""COMPUTED_VALUE"""),"Gestionado por: Moran Daniel, email:danielmorga2005@gmail.com, total de productos en la orden: 1")</f>
        <v>Gestionado por: Moran Daniel, email:danielmorga2005@gmail.com, total de productos en la orden: 1</v>
      </c>
      <c r="AS2193" s="65"/>
      <c r="AT2193" s="65" t="str">
        <f>IFERROR(__xludf.DUMMYFUNCTION("""COMPUTED_VALUE"""),"SHOPIFY")</f>
        <v>SHOPIFY</v>
      </c>
      <c r="AU2193" s="65" t="str">
        <f>IFERROR(__xludf.DUMMYFUNCTION("""COMPUTED_VALUE"""),"IMPORTEX EC")</f>
        <v>IMPORTEX EC</v>
      </c>
      <c r="AV2193" s="65" t="str">
        <f>IFERROR(__xludf.DUMMYFUNCTION("""COMPUTED_VALUE"""),"6403401449516")</f>
        <v>6403401449516</v>
      </c>
      <c r="AW2193" s="65">
        <f>IFERROR(__xludf.DUMMYFUNCTION("""COMPUTED_VALUE"""),4763.0)</f>
        <v>4763</v>
      </c>
      <c r="AX2193" s="65"/>
      <c r="AY2193" s="65" t="str">
        <f>IFERROR(__xludf.DUMMYFUNCTION("""COMPUTED_VALUE"""),"13/01/2026")</f>
        <v>13/01/2026</v>
      </c>
      <c r="AZ2193" s="65"/>
      <c r="BA2193" s="65"/>
    </row>
    <row r="2194">
      <c r="A2194" s="65" t="str">
        <f>IFERROR(__xludf.DUMMYFUNCTION("""COMPUTED_VALUE"""),"27-03-2026")</f>
        <v>27-03-2026</v>
      </c>
      <c r="B2194" s="65">
        <f>IFERROR(__xludf.DUMMYFUNCTION("""COMPUTED_VALUE"""),4090295.0)</f>
        <v>4090295</v>
      </c>
      <c r="C2194" s="65" t="str">
        <f>IFERROR(__xludf.DUMMYFUNCTION("""COMPUTED_VALUE"""),"06:54")</f>
        <v>06:54</v>
      </c>
      <c r="D2194" s="65" t="str">
        <f>IFERROR(__xludf.DUMMYFUNCTION("""COMPUTED_VALUE"""),"10-01-2026")</f>
        <v>10-01-2026</v>
      </c>
      <c r="E2194" s="65" t="str">
        <f>IFERROR(__xludf.DUMMYFUNCTION("""COMPUTED_VALUE"""),"Edison Marcelo Matamoros Gavilanes")</f>
        <v>Edison Marcelo Matamoros Gavilanes</v>
      </c>
      <c r="F2194" s="65" t="str">
        <f>IFERROR(__xludf.DUMMYFUNCTION("""COMPUTED_VALUE"""),"990908968")</f>
        <v>990908968</v>
      </c>
      <c r="G2194" s="65" t="str">
        <f>IFERROR(__xludf.DUMMYFUNCTION("""COMPUTED_VALUE"""),"nachirom1980@gmail.com")</f>
        <v>nachirom1980@gmail.com</v>
      </c>
      <c r="H2194" s="65"/>
      <c r="I2194" s="65"/>
      <c r="J2194" s="65" t="str">
        <f>IFERROR(__xludf.DUMMYFUNCTION("""COMPUTED_VALUE"""),"D001220640")</f>
        <v>D001220640</v>
      </c>
      <c r="K2194" s="65" t="str">
        <f>IFERROR(__xludf.DUMMYFUNCTION("""COMPUTED_VALUE"""),"DEVOLUCION")</f>
        <v>DEVOLUCION</v>
      </c>
      <c r="L2194" s="65" t="str">
        <f>IFERROR(__xludf.DUMMYFUNCTION("""COMPUTED_VALUE"""),"CON RECAUDO")</f>
        <v>CON RECAUDO</v>
      </c>
      <c r="M2194" s="65" t="str">
        <f>IFERROR(__xludf.DUMMYFUNCTION("""COMPUTED_VALUE"""),"LOS RIOS")</f>
        <v>LOS RIOS</v>
      </c>
      <c r="N2194" s="65" t="str">
        <f>IFERROR(__xludf.DUMMYFUNCTION("""COMPUTED_VALUE"""),"QUEVEDO")</f>
        <v>QUEVEDO</v>
      </c>
      <c r="O2194" s="65" t="str">
        <f>IFERROR(__xludf.DUMMYFUNCTION("""COMPUTED_VALUE"""),"Av. Quito y callejón san Gabriel Sector concha acustica -")</f>
        <v>Av. Quito y callejón san Gabriel Sector concha acustica -</v>
      </c>
      <c r="P2194" s="65"/>
      <c r="Q2194" s="65" t="str">
        <f>IFERROR(__xludf.DUMMYFUNCTION("""COMPUTED_VALUE"""),"GINTRACOM")</f>
        <v>GINTRACOM</v>
      </c>
      <c r="R2194" s="65">
        <f>IFERROR(__xludf.DUMMYFUNCTION("""COMPUTED_VALUE"""),20.0)</f>
        <v>20</v>
      </c>
      <c r="S2194" s="65"/>
      <c r="T2194" s="65">
        <f>IFERROR(__xludf.DUMMYFUNCTION("""COMPUTED_VALUE"""),5.76)</f>
        <v>5.76</v>
      </c>
      <c r="U2194" s="65">
        <f>IFERROR(__xludf.DUMMYFUNCTION("""COMPUTED_VALUE"""),0.0)</f>
        <v>0</v>
      </c>
      <c r="V2194" s="65">
        <f>IFERROR(__xludf.DUMMYFUNCTION("""COMPUTED_VALUE"""),0.0)</f>
        <v>0</v>
      </c>
      <c r="W2194" s="65">
        <f>IFERROR(__xludf.DUMMYFUNCTION("""COMPUTED_VALUE"""),0.0)</f>
        <v>0</v>
      </c>
      <c r="X2194" s="65">
        <f>IFERROR(__xludf.DUMMYFUNCTION("""COMPUTED_VALUE"""),2.79)</f>
        <v>2.79</v>
      </c>
      <c r="Y2194" s="65">
        <f>IFERROR(__xludf.DUMMYFUNCTION("""COMPUTED_VALUE"""),2.79)</f>
        <v>2.79</v>
      </c>
      <c r="Z2194" s="65">
        <f>IFERROR(__xludf.DUMMYFUNCTION("""COMPUTED_VALUE"""),120732.0)</f>
        <v>120732</v>
      </c>
      <c r="AA2194" s="65" t="str">
        <f>IFERROR(__xludf.DUMMYFUNCTION("""COMPUTED_VALUE"""),"PROV-LMPVT")</f>
        <v>PROV-LMPVT</v>
      </c>
      <c r="AB2194" s="65"/>
      <c r="AC2194" s="65" t="str">
        <f>IFERROR(__xludf.DUMMYFUNCTION("""COMPUTED_VALUE"""),"LIMPIADOR DE PARABRISAS Y VENTANAS")</f>
        <v>LIMPIADOR DE PARABRISAS Y VENTANAS</v>
      </c>
      <c r="AD2194" s="65"/>
      <c r="AE2194" s="65">
        <f>IFERROR(__xludf.DUMMYFUNCTION("""COMPUTED_VALUE"""),1.0)</f>
        <v>1</v>
      </c>
      <c r="AF2194" s="65" t="str">
        <f>IFERROR(__xludf.DUMMYFUNCTION("""COMPUTED_VALUE"""),"DESTINATARIO NO CONTESTA LLAMADAS NI WHATSAPP")</f>
        <v>DESTINATARIO NO CONTESTA LLAMADAS NI WHATSAPP</v>
      </c>
      <c r="AG2194" s="65" t="str">
        <f>IFERROR(__xludf.DUMMYFUNCTION("""COMPUTED_VALUE"""),"NO")</f>
        <v>NO</v>
      </c>
      <c r="AH2194" s="65" t="str">
        <f>IFERROR(__xludf.DUMMYFUNCTION("""COMPUTED_VALUE"""),"09:00")</f>
        <v>09:00</v>
      </c>
      <c r="AI2194" s="65" t="str">
        <f>IFERROR(__xludf.DUMMYFUNCTION("""COMPUTED_VALUE"""),"23-01-2026")</f>
        <v>23-01-2026</v>
      </c>
      <c r="AJ2194" s="65"/>
      <c r="AK2194" s="65"/>
      <c r="AL2194" s="65"/>
      <c r="AM2194" s="65"/>
      <c r="AN2194" s="65" t="str">
        <f>IFERROR(__xludf.DUMMYFUNCTION("""COMPUTED_VALUE"""),"09:03")</f>
        <v>09:03</v>
      </c>
      <c r="AO2194" s="65" t="str">
        <f>IFERROR(__xludf.DUMMYFUNCTION("""COMPUTED_VALUE"""),"11-02-2026")</f>
        <v>11-02-2026</v>
      </c>
      <c r="AP2194" s="65" t="str">
        <f>IFERROR(__xludf.DUMMYFUNCTION("""COMPUTED_VALUE"""),"DEV CONFIRMADA POR BODEGA")</f>
        <v>DEV CONFIRMADA POR BODEGA</v>
      </c>
      <c r="AQ2194" s="65"/>
      <c r="AR2194" s="65" t="str">
        <f>IFERROR(__xludf.DUMMYFUNCTION("""COMPUTED_VALUE"""),"Gestionado por: Moran Daniel, email:danielmorga2005@gmail.com, total de productos en la orden: 1")</f>
        <v>Gestionado por: Moran Daniel, email:danielmorga2005@gmail.com, total de productos en la orden: 1</v>
      </c>
      <c r="AS2194" s="65"/>
      <c r="AT2194" s="65" t="str">
        <f>IFERROR(__xludf.DUMMYFUNCTION("""COMPUTED_VALUE"""),"SHOPIFY")</f>
        <v>SHOPIFY</v>
      </c>
      <c r="AU2194" s="65" t="str">
        <f>IFERROR(__xludf.DUMMYFUNCTION("""COMPUTED_VALUE"""),"IMPORTEX EC")</f>
        <v>IMPORTEX EC</v>
      </c>
      <c r="AV2194" s="65" t="str">
        <f>IFERROR(__xludf.DUMMYFUNCTION("""COMPUTED_VALUE"""),"6403400663084")</f>
        <v>6403400663084</v>
      </c>
      <c r="AW2194" s="65">
        <f>IFERROR(__xludf.DUMMYFUNCTION("""COMPUTED_VALUE"""),4762.0)</f>
        <v>4762</v>
      </c>
      <c r="AX2194" s="65"/>
      <c r="AY2194" s="65" t="str">
        <f>IFERROR(__xludf.DUMMYFUNCTION("""COMPUTED_VALUE"""),"13/01/2026")</f>
        <v>13/01/2026</v>
      </c>
      <c r="AZ2194" s="65"/>
      <c r="BA2194" s="65"/>
    </row>
    <row r="2195">
      <c r="A2195" s="65" t="str">
        <f>IFERROR(__xludf.DUMMYFUNCTION("""COMPUTED_VALUE"""),"27-03-2026")</f>
        <v>27-03-2026</v>
      </c>
      <c r="B2195" s="65">
        <f>IFERROR(__xludf.DUMMYFUNCTION("""COMPUTED_VALUE"""),4090291.0)</f>
        <v>4090291</v>
      </c>
      <c r="C2195" s="65" t="str">
        <f>IFERROR(__xludf.DUMMYFUNCTION("""COMPUTED_VALUE"""),"06:53")</f>
        <v>06:53</v>
      </c>
      <c r="D2195" s="65" t="str">
        <f>IFERROR(__xludf.DUMMYFUNCTION("""COMPUTED_VALUE"""),"10-01-2026")</f>
        <v>10-01-2026</v>
      </c>
      <c r="E2195" s="65" t="str">
        <f>IFERROR(__xludf.DUMMYFUNCTION("""COMPUTED_VALUE"""),"Miguel Herrera")</f>
        <v>Miguel Herrera</v>
      </c>
      <c r="F2195" s="65" t="str">
        <f>IFERROR(__xludf.DUMMYFUNCTION("""COMPUTED_VALUE"""),"987404559")</f>
        <v>987404559</v>
      </c>
      <c r="G2195" s="65" t="str">
        <f>IFERROR(__xludf.DUMMYFUNCTION("""COMPUTED_VALUE"""),"herrera.miguel7@gmail.com")</f>
        <v>herrera.miguel7@gmail.com</v>
      </c>
      <c r="H2195" s="65"/>
      <c r="I2195" s="65"/>
      <c r="J2195" s="65" t="str">
        <f>IFERROR(__xludf.DUMMYFUNCTION("""COMPUTED_VALUE"""),"D001220641")</f>
        <v>D001220641</v>
      </c>
      <c r="K2195" s="65" t="str">
        <f>IFERROR(__xludf.DUMMYFUNCTION("""COMPUTED_VALUE"""),"ENTREGADO")</f>
        <v>ENTREGADO</v>
      </c>
      <c r="L2195" s="65" t="str">
        <f>IFERROR(__xludf.DUMMYFUNCTION("""COMPUTED_VALUE"""),"CON RECAUDO")</f>
        <v>CON RECAUDO</v>
      </c>
      <c r="M2195" s="65" t="str">
        <f>IFERROR(__xludf.DUMMYFUNCTION("""COMPUTED_VALUE"""),"TUNGURAHUA")</f>
        <v>TUNGURAHUA</v>
      </c>
      <c r="N2195" s="65" t="str">
        <f>IFERROR(__xludf.DUMMYFUNCTION("""COMPUTED_VALUE"""),"AMBATO")</f>
        <v>AMBATO</v>
      </c>
      <c r="O2195" s="65" t="str">
        <f>IFERROR(__xludf.DUMMYFUNCTION("""COMPUTED_VALUE"""),"Calle Barraquilla y Sao Paulo Conjunto Las Retamas La Concepcion -")</f>
        <v>Calle Barraquilla y Sao Paulo Conjunto Las Retamas La Concepcion -</v>
      </c>
      <c r="P2195" s="65"/>
      <c r="Q2195" s="65" t="str">
        <f>IFERROR(__xludf.DUMMYFUNCTION("""COMPUTED_VALUE"""),"GINTRACOM")</f>
        <v>GINTRACOM</v>
      </c>
      <c r="R2195" s="65">
        <f>IFERROR(__xludf.DUMMYFUNCTION("""COMPUTED_VALUE"""),25.0)</f>
        <v>25</v>
      </c>
      <c r="S2195" s="65">
        <f>IFERROR(__xludf.DUMMYFUNCTION("""COMPUTED_VALUE"""),13.46)</f>
        <v>13.46</v>
      </c>
      <c r="T2195" s="65">
        <f>IFERROR(__xludf.DUMMYFUNCTION("""COMPUTED_VALUE"""),5.96)</f>
        <v>5.96</v>
      </c>
      <c r="U2195" s="65">
        <f>IFERROR(__xludf.DUMMYFUNCTION("""COMPUTED_VALUE"""),0.0)</f>
        <v>0</v>
      </c>
      <c r="V2195" s="65">
        <f>IFERROR(__xludf.DUMMYFUNCTION("""COMPUTED_VALUE"""),0.0)</f>
        <v>0</v>
      </c>
      <c r="W2195" s="65">
        <f>IFERROR(__xludf.DUMMYFUNCTION("""COMPUTED_VALUE"""),0.0)</f>
        <v>0</v>
      </c>
      <c r="X2195" s="65">
        <f>IFERROR(__xludf.DUMMYFUNCTION("""COMPUTED_VALUE"""),2.79)</f>
        <v>2.79</v>
      </c>
      <c r="Y2195" s="65">
        <f>IFERROR(__xludf.DUMMYFUNCTION("""COMPUTED_VALUE"""),5.58)</f>
        <v>5.58</v>
      </c>
      <c r="Z2195" s="65">
        <f>IFERROR(__xludf.DUMMYFUNCTION("""COMPUTED_VALUE"""),120732.0)</f>
        <v>120732</v>
      </c>
      <c r="AA2195" s="65" t="str">
        <f>IFERROR(__xludf.DUMMYFUNCTION("""COMPUTED_VALUE"""),"PROV-LMPVT")</f>
        <v>PROV-LMPVT</v>
      </c>
      <c r="AB2195" s="65"/>
      <c r="AC2195" s="65" t="str">
        <f>IFERROR(__xludf.DUMMYFUNCTION("""COMPUTED_VALUE"""),"LIMPIADOR DE PARABRISAS Y VENTANAS")</f>
        <v>LIMPIADOR DE PARABRISAS Y VENTANAS</v>
      </c>
      <c r="AD2195" s="65"/>
      <c r="AE2195" s="65">
        <f>IFERROR(__xludf.DUMMYFUNCTION("""COMPUTED_VALUE"""),2.0)</f>
        <v>2</v>
      </c>
      <c r="AF2195" s="65"/>
      <c r="AG2195" s="65"/>
      <c r="AH2195" s="65"/>
      <c r="AI2195" s="65"/>
      <c r="AJ2195" s="65"/>
      <c r="AK2195" s="65"/>
      <c r="AL2195" s="65"/>
      <c r="AM2195" s="65"/>
      <c r="AN2195" s="65" t="str">
        <f>IFERROR(__xludf.DUMMYFUNCTION("""COMPUTED_VALUE"""),"11:59")</f>
        <v>11:59</v>
      </c>
      <c r="AO2195" s="65" t="str">
        <f>IFERROR(__xludf.DUMMYFUNCTION("""COMPUTED_VALUE"""),"16-01-2026")</f>
        <v>16-01-2026</v>
      </c>
      <c r="AP2195" s="65" t="str">
        <f>IFERROR(__xludf.DUMMYFUNCTION("""COMPUTED_VALUE"""),"ENTREGADA GINTRACOM")</f>
        <v>ENTREGADA GINTRACOM</v>
      </c>
      <c r="AQ2195" s="65" t="str">
        <f>IFERROR(__xludf.DUMMYFUNCTION("""COMPUTED_VALUE"""),"ENTREGADA GINTRACOM")</f>
        <v>ENTREGADA GINTRACOM</v>
      </c>
      <c r="AR2195" s="65"/>
      <c r="AS2195" s="65"/>
      <c r="AT2195" s="65" t="str">
        <f>IFERROR(__xludf.DUMMYFUNCTION("""COMPUTED_VALUE"""),"SHOPIFY")</f>
        <v>SHOPIFY</v>
      </c>
      <c r="AU2195" s="65" t="str">
        <f>IFERROR(__xludf.DUMMYFUNCTION("""COMPUTED_VALUE"""),"IMPORTEX EC")</f>
        <v>IMPORTEX EC</v>
      </c>
      <c r="AV2195" s="65" t="str">
        <f>IFERROR(__xludf.DUMMYFUNCTION("""COMPUTED_VALUE"""),"6403400302636")</f>
        <v>6403400302636</v>
      </c>
      <c r="AW2195" s="65">
        <f>IFERROR(__xludf.DUMMYFUNCTION("""COMPUTED_VALUE"""),4761.0)</f>
        <v>4761</v>
      </c>
      <c r="AX2195" s="65"/>
      <c r="AY2195" s="65" t="str">
        <f>IFERROR(__xludf.DUMMYFUNCTION("""COMPUTED_VALUE"""),"13/01/2026")</f>
        <v>13/01/2026</v>
      </c>
      <c r="AZ2195" s="65"/>
      <c r="BA2195" s="65"/>
    </row>
    <row r="2196">
      <c r="A2196" s="65" t="str">
        <f>IFERROR(__xludf.DUMMYFUNCTION("""COMPUTED_VALUE"""),"27-03-2026")</f>
        <v>27-03-2026</v>
      </c>
      <c r="B2196" s="65">
        <f>IFERROR(__xludf.DUMMYFUNCTION("""COMPUTED_VALUE"""),4090275.0)</f>
        <v>4090275</v>
      </c>
      <c r="C2196" s="65" t="str">
        <f>IFERROR(__xludf.DUMMYFUNCTION("""COMPUTED_VALUE"""),"06:51")</f>
        <v>06:51</v>
      </c>
      <c r="D2196" s="65" t="str">
        <f>IFERROR(__xludf.DUMMYFUNCTION("""COMPUTED_VALUE"""),"10-01-2026")</f>
        <v>10-01-2026</v>
      </c>
      <c r="E2196" s="65" t="str">
        <f>IFERROR(__xludf.DUMMYFUNCTION("""COMPUTED_VALUE"""),"Liberato Delgado Delgado")</f>
        <v>Liberato Delgado Delgado</v>
      </c>
      <c r="F2196" s="65" t="str">
        <f>IFERROR(__xludf.DUMMYFUNCTION("""COMPUTED_VALUE"""),"993913655")</f>
        <v>993913655</v>
      </c>
      <c r="G2196" s="65" t="str">
        <f>IFERROR(__xludf.DUMMYFUNCTION("""COMPUTED_VALUE"""),"emirbran62@gmail.com")</f>
        <v>emirbran62@gmail.com</v>
      </c>
      <c r="H2196" s="65"/>
      <c r="I2196" s="65"/>
      <c r="J2196" s="65" t="str">
        <f>IFERROR(__xludf.DUMMYFUNCTION("""COMPUTED_VALUE"""),"D001223303")</f>
        <v>D001223303</v>
      </c>
      <c r="K2196" s="65" t="str">
        <f>IFERROR(__xludf.DUMMYFUNCTION("""COMPUTED_VALUE"""),"DEVOLUCION")</f>
        <v>DEVOLUCION</v>
      </c>
      <c r="L2196" s="65" t="str">
        <f>IFERROR(__xludf.DUMMYFUNCTION("""COMPUTED_VALUE"""),"CON RECAUDO")</f>
        <v>CON RECAUDO</v>
      </c>
      <c r="M2196" s="65" t="str">
        <f>IFERROR(__xludf.DUMMYFUNCTION("""COMPUTED_VALUE"""),"GUAYAS")</f>
        <v>GUAYAS</v>
      </c>
      <c r="N2196" s="65" t="str">
        <f>IFERROR(__xludf.DUMMYFUNCTION("""COMPUTED_VALUE"""),"GUAYAQUIL")</f>
        <v>GUAYAQUIL</v>
      </c>
      <c r="O2196" s="65" t="str">
        <f>IFERROR(__xludf.DUMMYFUNCTION("""COMPUTED_VALUE"""),"Lomas de la florida mz 900 villa 9")</f>
        <v>Lomas de la florida mz 900 villa 9</v>
      </c>
      <c r="P2196" s="65"/>
      <c r="Q2196" s="65" t="str">
        <f>IFERROR(__xludf.DUMMYFUNCTION("""COMPUTED_VALUE"""),"GINTRACOM")</f>
        <v>GINTRACOM</v>
      </c>
      <c r="R2196" s="65">
        <f>IFERROR(__xludf.DUMMYFUNCTION("""COMPUTED_VALUE"""),27.0)</f>
        <v>27</v>
      </c>
      <c r="S2196" s="65"/>
      <c r="T2196" s="65">
        <f>IFERROR(__xludf.DUMMYFUNCTION("""COMPUTED_VALUE"""),4.42)</f>
        <v>4.42</v>
      </c>
      <c r="U2196" s="65">
        <f>IFERROR(__xludf.DUMMYFUNCTION("""COMPUTED_VALUE"""),0.0)</f>
        <v>0</v>
      </c>
      <c r="V2196" s="65">
        <f>IFERROR(__xludf.DUMMYFUNCTION("""COMPUTED_VALUE"""),0.0)</f>
        <v>0</v>
      </c>
      <c r="W2196" s="65">
        <f>IFERROR(__xludf.DUMMYFUNCTION("""COMPUTED_VALUE"""),0.0)</f>
        <v>0</v>
      </c>
      <c r="X2196" s="65">
        <f>IFERROR(__xludf.DUMMYFUNCTION("""COMPUTED_VALUE"""),2.6)</f>
        <v>2.6</v>
      </c>
      <c r="Y2196" s="65">
        <f>IFERROR(__xludf.DUMMYFUNCTION("""COMPUTED_VALUE"""),7.8)</f>
        <v>7.8</v>
      </c>
      <c r="Z2196" s="65">
        <f>IFERROR(__xludf.DUMMYFUNCTION("""COMPUTED_VALUE"""),121983.0)</f>
        <v>121983</v>
      </c>
      <c r="AA2196" s="65" t="str">
        <f>IFERROR(__xludf.DUMMYFUNCTION("""COMPUTED_VALUE"""),"PROV-CHLLCF")</f>
        <v>PROV-CHLLCF</v>
      </c>
      <c r="AB2196" s="65"/>
      <c r="AC2196" s="65" t="str">
        <f>IFERROR(__xludf.DUMMYFUNCTION("""COMPUTED_VALUE"""),"CUCHILLO PARA CHEF")</f>
        <v>CUCHILLO PARA CHEF</v>
      </c>
      <c r="AD2196" s="65"/>
      <c r="AE2196" s="65">
        <f>IFERROR(__xludf.DUMMYFUNCTION("""COMPUTED_VALUE"""),3.0)</f>
        <v>3</v>
      </c>
      <c r="AF2196" s="65" t="str">
        <f>IFERROR(__xludf.DUMMYFUNCTION("""COMPUTED_VALUE"""),"DESTINATARIO NO CONTESTA LLAMADAS NI WHATSAPP")</f>
        <v>DESTINATARIO NO CONTESTA LLAMADAS NI WHATSAPP</v>
      </c>
      <c r="AG2196" s="65" t="str">
        <f>IFERROR(__xludf.DUMMYFUNCTION("""COMPUTED_VALUE"""),"SI")</f>
        <v>SI</v>
      </c>
      <c r="AH2196" s="65" t="str">
        <f>IFERROR(__xludf.DUMMYFUNCTION("""COMPUTED_VALUE"""),"09:00")</f>
        <v>09:00</v>
      </c>
      <c r="AI2196" s="65" t="str">
        <f>IFERROR(__xludf.DUMMYFUNCTION("""COMPUTED_VALUE"""),"20-01-2026")</f>
        <v>20-01-2026</v>
      </c>
      <c r="AJ2196" s="65" t="str">
        <f>IFERROR(__xludf.DUMMYFUNCTION("""COMPUTED_VALUE"""),"Entregar viernes tarde o sábado")</f>
        <v>Entregar viernes tarde o sábado</v>
      </c>
      <c r="AK2196" s="65" t="str">
        <f>IFERROR(__xludf.DUMMYFUNCTION("""COMPUTED_VALUE"""),"11:14")</f>
        <v>11:14</v>
      </c>
      <c r="AL2196" s="65" t="str">
        <f>IFERROR(__xludf.DUMMYFUNCTION("""COMPUTED_VALUE"""),"21-01-2026")</f>
        <v>21-01-2026</v>
      </c>
      <c r="AM2196" s="65"/>
      <c r="AN2196" s="65" t="str">
        <f>IFERROR(__xludf.DUMMYFUNCTION("""COMPUTED_VALUE"""),"13:13")</f>
        <v>13:13</v>
      </c>
      <c r="AO2196" s="65" t="str">
        <f>IFERROR(__xludf.DUMMYFUNCTION("""COMPUTED_VALUE"""),"05-02-2026")</f>
        <v>05-02-2026</v>
      </c>
      <c r="AP2196" s="65" t="str">
        <f>IFERROR(__xludf.DUMMYFUNCTION("""COMPUTED_VALUE"""),"DEV CONFIRMADA POR BODEGA")</f>
        <v>DEV CONFIRMADA POR BODEGA</v>
      </c>
      <c r="AQ2196" s="65"/>
      <c r="AR2196" s="65" t="str">
        <f>IFERROR(__xludf.DUMMYFUNCTION("""COMPUTED_VALUE"""),"Gestionado por: PROVEDIX DAMIAN, email:enviogratisdirecto@gmail.com, total de productos en la orden: 1")</f>
        <v>Gestionado por: PROVEDIX DAMIAN, email:enviogratisdirecto@gmail.com, total de productos en la orden: 1</v>
      </c>
      <c r="AS2196" s="65"/>
      <c r="AT2196" s="65" t="str">
        <f>IFERROR(__xludf.DUMMYFUNCTION("""COMPUTED_VALUE"""),"SHOPIFY")</f>
        <v>SHOPIFY</v>
      </c>
      <c r="AU2196" s="65" t="str">
        <f>IFERROR(__xludf.DUMMYFUNCTION("""COMPUTED_VALUE"""),"IMPORTEX EC")</f>
        <v>IMPORTEX EC</v>
      </c>
      <c r="AV2196" s="65" t="str">
        <f>IFERROR(__xludf.DUMMYFUNCTION("""COMPUTED_VALUE"""),"6403399319596")</f>
        <v>6403399319596</v>
      </c>
      <c r="AW2196" s="65">
        <f>IFERROR(__xludf.DUMMYFUNCTION("""COMPUTED_VALUE"""),4760.0)</f>
        <v>4760</v>
      </c>
      <c r="AX2196" s="65"/>
      <c r="AY2196" s="65" t="str">
        <f>IFERROR(__xludf.DUMMYFUNCTION("""COMPUTED_VALUE"""),"14/01/2026")</f>
        <v>14/01/2026</v>
      </c>
      <c r="AZ2196" s="65"/>
      <c r="BA2196" s="65"/>
    </row>
    <row r="2197">
      <c r="A2197" s="65" t="str">
        <f>IFERROR(__xludf.DUMMYFUNCTION("""COMPUTED_VALUE"""),"27-03-2026")</f>
        <v>27-03-2026</v>
      </c>
      <c r="B2197" s="65">
        <f>IFERROR(__xludf.DUMMYFUNCTION("""COMPUTED_VALUE"""),4090238.0)</f>
        <v>4090238</v>
      </c>
      <c r="C2197" s="65" t="str">
        <f>IFERROR(__xludf.DUMMYFUNCTION("""COMPUTED_VALUE"""),"06:46")</f>
        <v>06:46</v>
      </c>
      <c r="D2197" s="65" t="str">
        <f>IFERROR(__xludf.DUMMYFUNCTION("""COMPUTED_VALUE"""),"10-01-2026")</f>
        <v>10-01-2026</v>
      </c>
      <c r="E2197" s="65" t="str">
        <f>IFERROR(__xludf.DUMMYFUNCTION("""COMPUTED_VALUE"""),"Tamara Janeth Alban martinez")</f>
        <v>Tamara Janeth Alban martinez</v>
      </c>
      <c r="F2197" s="65" t="str">
        <f>IFERROR(__xludf.DUMMYFUNCTION("""COMPUTED_VALUE"""),"997064706")</f>
        <v>997064706</v>
      </c>
      <c r="G2197" s="65" t="str">
        <f>IFERROR(__xludf.DUMMYFUNCTION("""COMPUTED_VALUE"""),"presidencia@coaserlos.net")</f>
        <v>presidencia@coaserlos.net</v>
      </c>
      <c r="H2197" s="65"/>
      <c r="I2197" s="65"/>
      <c r="J2197" s="65" t="str">
        <f>IFERROR(__xludf.DUMMYFUNCTION("""COMPUTED_VALUE"""),"D001223306")</f>
        <v>D001223306</v>
      </c>
      <c r="K2197" s="65" t="str">
        <f>IFERROR(__xludf.DUMMYFUNCTION("""COMPUTED_VALUE"""),"ENTREGADO")</f>
        <v>ENTREGADO</v>
      </c>
      <c r="L2197" s="65" t="str">
        <f>IFERROR(__xludf.DUMMYFUNCTION("""COMPUTED_VALUE"""),"CON RECAUDO")</f>
        <v>CON RECAUDO</v>
      </c>
      <c r="M2197" s="65" t="str">
        <f>IFERROR(__xludf.DUMMYFUNCTION("""COMPUTED_VALUE"""),"PICHINCHA")</f>
        <v>PICHINCHA</v>
      </c>
      <c r="N2197" s="65" t="str">
        <f>IFERROR(__xludf.DUMMYFUNCTION("""COMPUTED_VALUE"""),"QUITO")</f>
        <v>QUITO</v>
      </c>
      <c r="O2197" s="65" t="str">
        <f>IFERROR(__xludf.DUMMYFUNCTION("""COMPUTED_VALUE"""),"Calle Shuaras Oe6 08 y Machala, Edificio de tres pisos color verde")</f>
        <v>Calle Shuaras Oe6 08 y Machala, Edificio de tres pisos color verde</v>
      </c>
      <c r="P2197" s="65"/>
      <c r="Q2197" s="65" t="str">
        <f>IFERROR(__xludf.DUMMYFUNCTION("""COMPUTED_VALUE"""),"GINTRACOM")</f>
        <v>GINTRACOM</v>
      </c>
      <c r="R2197" s="65">
        <f>IFERROR(__xludf.DUMMYFUNCTION("""COMPUTED_VALUE"""),22.0)</f>
        <v>22</v>
      </c>
      <c r="S2197" s="65">
        <f>IFERROR(__xludf.DUMMYFUNCTION("""COMPUTED_VALUE"""),10.96)</f>
        <v>10.96</v>
      </c>
      <c r="T2197" s="65">
        <f>IFERROR(__xludf.DUMMYFUNCTION("""COMPUTED_VALUE"""),5.84)</f>
        <v>5.84</v>
      </c>
      <c r="U2197" s="65">
        <f>IFERROR(__xludf.DUMMYFUNCTION("""COMPUTED_VALUE"""),0.0)</f>
        <v>0</v>
      </c>
      <c r="V2197" s="65">
        <f>IFERROR(__xludf.DUMMYFUNCTION("""COMPUTED_VALUE"""),0.0)</f>
        <v>0</v>
      </c>
      <c r="W2197" s="65">
        <f>IFERROR(__xludf.DUMMYFUNCTION("""COMPUTED_VALUE"""),0.0)</f>
        <v>0</v>
      </c>
      <c r="X2197" s="65">
        <f>IFERROR(__xludf.DUMMYFUNCTION("""COMPUTED_VALUE"""),2.6)</f>
        <v>2.6</v>
      </c>
      <c r="Y2197" s="65">
        <f>IFERROR(__xludf.DUMMYFUNCTION("""COMPUTED_VALUE"""),5.2)</f>
        <v>5.2</v>
      </c>
      <c r="Z2197" s="65">
        <f>IFERROR(__xludf.DUMMYFUNCTION("""COMPUTED_VALUE"""),121983.0)</f>
        <v>121983</v>
      </c>
      <c r="AA2197" s="65" t="str">
        <f>IFERROR(__xludf.DUMMYFUNCTION("""COMPUTED_VALUE"""),"PROV-CHLLCF")</f>
        <v>PROV-CHLLCF</v>
      </c>
      <c r="AB2197" s="65"/>
      <c r="AC2197" s="65" t="str">
        <f>IFERROR(__xludf.DUMMYFUNCTION("""COMPUTED_VALUE"""),"CUCHILLO PARA CHEF")</f>
        <v>CUCHILLO PARA CHEF</v>
      </c>
      <c r="AD2197" s="65"/>
      <c r="AE2197" s="65">
        <f>IFERROR(__xludf.DUMMYFUNCTION("""COMPUTED_VALUE"""),2.0)</f>
        <v>2</v>
      </c>
      <c r="AF2197" s="65"/>
      <c r="AG2197" s="65"/>
      <c r="AH2197" s="65"/>
      <c r="AI2197" s="65"/>
      <c r="AJ2197" s="65"/>
      <c r="AK2197" s="65"/>
      <c r="AL2197" s="65"/>
      <c r="AM2197" s="65"/>
      <c r="AN2197" s="65" t="str">
        <f>IFERROR(__xludf.DUMMYFUNCTION("""COMPUTED_VALUE"""),"12:12")</f>
        <v>12:12</v>
      </c>
      <c r="AO2197" s="65" t="str">
        <f>IFERROR(__xludf.DUMMYFUNCTION("""COMPUTED_VALUE"""),"15-01-2026")</f>
        <v>15-01-2026</v>
      </c>
      <c r="AP2197" s="65" t="str">
        <f>IFERROR(__xludf.DUMMYFUNCTION("""COMPUTED_VALUE"""),"ENTREGADA GINTRACOM")</f>
        <v>ENTREGADA GINTRACOM</v>
      </c>
      <c r="AQ2197" s="65" t="str">
        <f>IFERROR(__xludf.DUMMYFUNCTION("""COMPUTED_VALUE"""),"ENTREGADA GINTRACOM")</f>
        <v>ENTREGADA GINTRACOM</v>
      </c>
      <c r="AR2197" s="65"/>
      <c r="AS2197" s="65"/>
      <c r="AT2197" s="65" t="str">
        <f>IFERROR(__xludf.DUMMYFUNCTION("""COMPUTED_VALUE"""),"SHOPIFY")</f>
        <v>SHOPIFY</v>
      </c>
      <c r="AU2197" s="65" t="str">
        <f>IFERROR(__xludf.DUMMYFUNCTION("""COMPUTED_VALUE"""),"IMPORTEX EC")</f>
        <v>IMPORTEX EC</v>
      </c>
      <c r="AV2197" s="65" t="str">
        <f>IFERROR(__xludf.DUMMYFUNCTION("""COMPUTED_VALUE"""),"6403395616812")</f>
        <v>6403395616812</v>
      </c>
      <c r="AW2197" s="65">
        <f>IFERROR(__xludf.DUMMYFUNCTION("""COMPUTED_VALUE"""),4759.0)</f>
        <v>4759</v>
      </c>
      <c r="AX2197" s="65"/>
      <c r="AY2197" s="65" t="str">
        <f>IFERROR(__xludf.DUMMYFUNCTION("""COMPUTED_VALUE"""),"14/01/2026")</f>
        <v>14/01/2026</v>
      </c>
      <c r="AZ2197" s="65"/>
      <c r="BA2197" s="65"/>
    </row>
    <row r="2198">
      <c r="A2198" s="65" t="str">
        <f>IFERROR(__xludf.DUMMYFUNCTION("""COMPUTED_VALUE"""),"27-03-2026")</f>
        <v>27-03-2026</v>
      </c>
      <c r="B2198" s="65">
        <f>IFERROR(__xludf.DUMMYFUNCTION("""COMPUTED_VALUE"""),4090232.0)</f>
        <v>4090232</v>
      </c>
      <c r="C2198" s="65" t="str">
        <f>IFERROR(__xludf.DUMMYFUNCTION("""COMPUTED_VALUE"""),"06:45")</f>
        <v>06:45</v>
      </c>
      <c r="D2198" s="65" t="str">
        <f>IFERROR(__xludf.DUMMYFUNCTION("""COMPUTED_VALUE"""),"10-01-2026")</f>
        <v>10-01-2026</v>
      </c>
      <c r="E2198" s="65" t="str">
        <f>IFERROR(__xludf.DUMMYFUNCTION("""COMPUTED_VALUE"""),"Maria Ruby Guevara")</f>
        <v>Maria Ruby Guevara</v>
      </c>
      <c r="F2198" s="65" t="str">
        <f>IFERROR(__xludf.DUMMYFUNCTION("""COMPUTED_VALUE"""),"969615827")</f>
        <v>969615827</v>
      </c>
      <c r="G2198" s="65" t="str">
        <f>IFERROR(__xludf.DUMMYFUNCTION("""COMPUTED_VALUE"""),"marirub_6@hotmail.com")</f>
        <v>marirub_6@hotmail.com</v>
      </c>
      <c r="H2198" s="65"/>
      <c r="I2198" s="65"/>
      <c r="J2198" s="65" t="str">
        <f>IFERROR(__xludf.DUMMYFUNCTION("""COMPUTED_VALUE"""),"D001223308")</f>
        <v>D001223308</v>
      </c>
      <c r="K2198" s="65" t="str">
        <f>IFERROR(__xludf.DUMMYFUNCTION("""COMPUTED_VALUE"""),"DEVOLUCION")</f>
        <v>DEVOLUCION</v>
      </c>
      <c r="L2198" s="65" t="str">
        <f>IFERROR(__xludf.DUMMYFUNCTION("""COMPUTED_VALUE"""),"CON RECAUDO")</f>
        <v>CON RECAUDO</v>
      </c>
      <c r="M2198" s="65" t="str">
        <f>IFERROR(__xludf.DUMMYFUNCTION("""COMPUTED_VALUE"""),"GUAYAS")</f>
        <v>GUAYAS</v>
      </c>
      <c r="N2198" s="65" t="str">
        <f>IFERROR(__xludf.DUMMYFUNCTION("""COMPUTED_VALUE"""),"GUAYAQUIL")</f>
        <v>GUAYAQUIL</v>
      </c>
      <c r="O2198" s="65" t="str">
        <f>IFERROR(__xludf.DUMMYFUNCTION("""COMPUTED_VALUE"""),"Belohorizonte manzana 48 villa 19 Vía la costa -")</f>
        <v>Belohorizonte manzana 48 villa 19 Vía la costa -</v>
      </c>
      <c r="P2198" s="65"/>
      <c r="Q2198" s="65" t="str">
        <f>IFERROR(__xludf.DUMMYFUNCTION("""COMPUTED_VALUE"""),"GINTRACOM")</f>
        <v>GINTRACOM</v>
      </c>
      <c r="R2198" s="65">
        <f>IFERROR(__xludf.DUMMYFUNCTION("""COMPUTED_VALUE"""),27.0)</f>
        <v>27</v>
      </c>
      <c r="S2198" s="65"/>
      <c r="T2198" s="65">
        <f>IFERROR(__xludf.DUMMYFUNCTION("""COMPUTED_VALUE"""),4.42)</f>
        <v>4.42</v>
      </c>
      <c r="U2198" s="65">
        <f>IFERROR(__xludf.DUMMYFUNCTION("""COMPUTED_VALUE"""),0.0)</f>
        <v>0</v>
      </c>
      <c r="V2198" s="65">
        <f>IFERROR(__xludf.DUMMYFUNCTION("""COMPUTED_VALUE"""),0.0)</f>
        <v>0</v>
      </c>
      <c r="W2198" s="65">
        <f>IFERROR(__xludf.DUMMYFUNCTION("""COMPUTED_VALUE"""),0.0)</f>
        <v>0</v>
      </c>
      <c r="X2198" s="65">
        <f>IFERROR(__xludf.DUMMYFUNCTION("""COMPUTED_VALUE"""),2.6)</f>
        <v>2.6</v>
      </c>
      <c r="Y2198" s="65">
        <f>IFERROR(__xludf.DUMMYFUNCTION("""COMPUTED_VALUE"""),7.8)</f>
        <v>7.8</v>
      </c>
      <c r="Z2198" s="65">
        <f>IFERROR(__xludf.DUMMYFUNCTION("""COMPUTED_VALUE"""),121983.0)</f>
        <v>121983</v>
      </c>
      <c r="AA2198" s="65" t="str">
        <f>IFERROR(__xludf.DUMMYFUNCTION("""COMPUTED_VALUE"""),"PROV-CHLLCF")</f>
        <v>PROV-CHLLCF</v>
      </c>
      <c r="AB2198" s="65"/>
      <c r="AC2198" s="65" t="str">
        <f>IFERROR(__xludf.DUMMYFUNCTION("""COMPUTED_VALUE"""),"CUCHILLO PARA CHEF")</f>
        <v>CUCHILLO PARA CHEF</v>
      </c>
      <c r="AD2198" s="65"/>
      <c r="AE2198" s="65">
        <f>IFERROR(__xludf.DUMMYFUNCTION("""COMPUTED_VALUE"""),3.0)</f>
        <v>3</v>
      </c>
      <c r="AF2198" s="65" t="str">
        <f>IFERROR(__xludf.DUMMYFUNCTION("""COMPUTED_VALUE"""),"DESTINATARIO NO CONTESTA LLAMADAS NI WHATSAPP")</f>
        <v>DESTINATARIO NO CONTESTA LLAMADAS NI WHATSAPP</v>
      </c>
      <c r="AG2198" s="65" t="str">
        <f>IFERROR(__xludf.DUMMYFUNCTION("""COMPUTED_VALUE"""),"SI")</f>
        <v>SI</v>
      </c>
      <c r="AH2198" s="65" t="str">
        <f>IFERROR(__xludf.DUMMYFUNCTION("""COMPUTED_VALUE"""),"09:00")</f>
        <v>09:00</v>
      </c>
      <c r="AI2198" s="65" t="str">
        <f>IFERROR(__xludf.DUMMYFUNCTION("""COMPUTED_VALUE"""),"20-01-2026")</f>
        <v>20-01-2026</v>
      </c>
      <c r="AJ2198" s="65" t="str">
        <f>IFERROR(__xludf.DUMMYFUNCTION("""COMPUTED_VALUE"""),"Primero, coordinar cita de entrega")</f>
        <v>Primero, coordinar cita de entrega</v>
      </c>
      <c r="AK2198" s="65" t="str">
        <f>IFERROR(__xludf.DUMMYFUNCTION("""COMPUTED_VALUE"""),"11:13")</f>
        <v>11:13</v>
      </c>
      <c r="AL2198" s="65" t="str">
        <f>IFERROR(__xludf.DUMMYFUNCTION("""COMPUTED_VALUE"""),"21-01-2026")</f>
        <v>21-01-2026</v>
      </c>
      <c r="AM2198" s="65"/>
      <c r="AN2198" s="65" t="str">
        <f>IFERROR(__xludf.DUMMYFUNCTION("""COMPUTED_VALUE"""),"14:08")</f>
        <v>14:08</v>
      </c>
      <c r="AO2198" s="65" t="str">
        <f>IFERROR(__xludf.DUMMYFUNCTION("""COMPUTED_VALUE"""),"05-02-2026")</f>
        <v>05-02-2026</v>
      </c>
      <c r="AP2198" s="65" t="str">
        <f>IFERROR(__xludf.DUMMYFUNCTION("""COMPUTED_VALUE"""),"DEV CONFIRMADA POR BODEGA")</f>
        <v>DEV CONFIRMADA POR BODEGA</v>
      </c>
      <c r="AQ2198" s="65"/>
      <c r="AR2198" s="65" t="str">
        <f>IFERROR(__xludf.DUMMYFUNCTION("""COMPUTED_VALUE"""),"Gestionado por: Moran Daniel, email:danielmorga2005@gmail.com, total de productos en la orden: 1")</f>
        <v>Gestionado por: Moran Daniel, email:danielmorga2005@gmail.com, total de productos en la orden: 1</v>
      </c>
      <c r="AS2198" s="65"/>
      <c r="AT2198" s="65" t="str">
        <f>IFERROR(__xludf.DUMMYFUNCTION("""COMPUTED_VALUE"""),"SHOPIFY")</f>
        <v>SHOPIFY</v>
      </c>
      <c r="AU2198" s="65" t="str">
        <f>IFERROR(__xludf.DUMMYFUNCTION("""COMPUTED_VALUE"""),"IMPORTEX EC")</f>
        <v>IMPORTEX EC</v>
      </c>
      <c r="AV2198" s="65" t="str">
        <f>IFERROR(__xludf.DUMMYFUNCTION("""COMPUTED_VALUE"""),"6403394994220")</f>
        <v>6403394994220</v>
      </c>
      <c r="AW2198" s="65">
        <f>IFERROR(__xludf.DUMMYFUNCTION("""COMPUTED_VALUE"""),4758.0)</f>
        <v>4758</v>
      </c>
      <c r="AX2198" s="65"/>
      <c r="AY2198" s="65" t="str">
        <f>IFERROR(__xludf.DUMMYFUNCTION("""COMPUTED_VALUE"""),"14/01/2026")</f>
        <v>14/01/2026</v>
      </c>
      <c r="AZ2198" s="65"/>
      <c r="BA2198" s="65"/>
    </row>
    <row r="2199">
      <c r="A2199" s="65" t="str">
        <f>IFERROR(__xludf.DUMMYFUNCTION("""COMPUTED_VALUE"""),"27-03-2026")</f>
        <v>27-03-2026</v>
      </c>
      <c r="B2199" s="65">
        <f>IFERROR(__xludf.DUMMYFUNCTION("""COMPUTED_VALUE"""),4090197.0)</f>
        <v>4090197</v>
      </c>
      <c r="C2199" s="65" t="str">
        <f>IFERROR(__xludf.DUMMYFUNCTION("""COMPUTED_VALUE"""),"06:40")</f>
        <v>06:40</v>
      </c>
      <c r="D2199" s="65" t="str">
        <f>IFERROR(__xludf.DUMMYFUNCTION("""COMPUTED_VALUE"""),"10-01-2026")</f>
        <v>10-01-2026</v>
      </c>
      <c r="E2199" s="65" t="str">
        <f>IFERROR(__xludf.DUMMYFUNCTION("""COMPUTED_VALUE"""),"Juan CANGUI Cangui")</f>
        <v>Juan CANGUI Cangui</v>
      </c>
      <c r="F2199" s="65" t="str">
        <f>IFERROR(__xludf.DUMMYFUNCTION("""COMPUTED_VALUE"""),"995342540")</f>
        <v>995342540</v>
      </c>
      <c r="G2199" s="65" t="str">
        <f>IFERROR(__xludf.DUMMYFUNCTION("""COMPUTED_VALUE"""),"juancangui907@gmail.com")</f>
        <v>juancangui907@gmail.com</v>
      </c>
      <c r="H2199" s="65"/>
      <c r="I2199" s="65"/>
      <c r="J2199" s="65" t="str">
        <f>IFERROR(__xludf.DUMMYFUNCTION("""COMPUTED_VALUE"""),"D001223312")</f>
        <v>D001223312</v>
      </c>
      <c r="K2199" s="65" t="str">
        <f>IFERROR(__xludf.DUMMYFUNCTION("""COMPUTED_VALUE"""),"DEVOLUCION")</f>
        <v>DEVOLUCION</v>
      </c>
      <c r="L2199" s="65" t="str">
        <f>IFERROR(__xludf.DUMMYFUNCTION("""COMPUTED_VALUE"""),"CON RECAUDO")</f>
        <v>CON RECAUDO</v>
      </c>
      <c r="M2199" s="65" t="str">
        <f>IFERROR(__xludf.DUMMYFUNCTION("""COMPUTED_VALUE"""),"COTOPAXI")</f>
        <v>COTOPAXI</v>
      </c>
      <c r="N2199" s="65" t="str">
        <f>IFERROR(__xludf.DUMMYFUNCTION("""COMPUTED_VALUE"""),"LATACUNGA")</f>
        <v>LATACUNGA</v>
      </c>
      <c r="O2199" s="65" t="str">
        <f>IFERROR(__xludf.DUMMYFUNCTION("""COMPUTED_VALUE"""),"Juan Abelecheberria Belisario Quevedo - 4.86")</f>
        <v>Juan Abelecheberria Belisario Quevedo - 4.86</v>
      </c>
      <c r="P2199" s="65"/>
      <c r="Q2199" s="65" t="str">
        <f>IFERROR(__xludf.DUMMYFUNCTION("""COMPUTED_VALUE"""),"GINTRACOM")</f>
        <v>GINTRACOM</v>
      </c>
      <c r="R2199" s="65">
        <f>IFERROR(__xludf.DUMMYFUNCTION("""COMPUTED_VALUE"""),27.0)</f>
        <v>27</v>
      </c>
      <c r="S2199" s="65"/>
      <c r="T2199" s="65">
        <f>IFERROR(__xludf.DUMMYFUNCTION("""COMPUTED_VALUE"""),6.03)</f>
        <v>6.03</v>
      </c>
      <c r="U2199" s="65">
        <f>IFERROR(__xludf.DUMMYFUNCTION("""COMPUTED_VALUE"""),0.0)</f>
        <v>0</v>
      </c>
      <c r="V2199" s="65">
        <f>IFERROR(__xludf.DUMMYFUNCTION("""COMPUTED_VALUE"""),0.0)</f>
        <v>0</v>
      </c>
      <c r="W2199" s="65">
        <f>IFERROR(__xludf.DUMMYFUNCTION("""COMPUTED_VALUE"""),0.0)</f>
        <v>0</v>
      </c>
      <c r="X2199" s="65">
        <f>IFERROR(__xludf.DUMMYFUNCTION("""COMPUTED_VALUE"""),2.6)</f>
        <v>2.6</v>
      </c>
      <c r="Y2199" s="65">
        <f>IFERROR(__xludf.DUMMYFUNCTION("""COMPUTED_VALUE"""),7.8)</f>
        <v>7.8</v>
      </c>
      <c r="Z2199" s="65">
        <f>IFERROR(__xludf.DUMMYFUNCTION("""COMPUTED_VALUE"""),121983.0)</f>
        <v>121983</v>
      </c>
      <c r="AA2199" s="65" t="str">
        <f>IFERROR(__xludf.DUMMYFUNCTION("""COMPUTED_VALUE"""),"PROV-CHLLCF")</f>
        <v>PROV-CHLLCF</v>
      </c>
      <c r="AB2199" s="65"/>
      <c r="AC2199" s="65" t="str">
        <f>IFERROR(__xludf.DUMMYFUNCTION("""COMPUTED_VALUE"""),"CUCHILLO PARA CHEF")</f>
        <v>CUCHILLO PARA CHEF</v>
      </c>
      <c r="AD2199" s="65"/>
      <c r="AE2199" s="65">
        <f>IFERROR(__xludf.DUMMYFUNCTION("""COMPUTED_VALUE"""),3.0)</f>
        <v>3</v>
      </c>
      <c r="AF2199" s="65" t="str">
        <f>IFERROR(__xludf.DUMMYFUNCTION("""COMPUTED_VALUE"""),"DESTINATARIO NO CONTESTA LLAMADAS NI WHATSAPP")</f>
        <v>DESTINATARIO NO CONTESTA LLAMADAS NI WHATSAPP</v>
      </c>
      <c r="AG2199" s="65" t="str">
        <f>IFERROR(__xludf.DUMMYFUNCTION("""COMPUTED_VALUE"""),"SI")</f>
        <v>SI</v>
      </c>
      <c r="AH2199" s="65" t="str">
        <f>IFERROR(__xludf.DUMMYFUNCTION("""COMPUTED_VALUE"""),"09:00")</f>
        <v>09:00</v>
      </c>
      <c r="AI2199" s="65" t="str">
        <f>IFERROR(__xludf.DUMMYFUNCTION("""COMPUTED_VALUE"""),"24-01-2026")</f>
        <v>24-01-2026</v>
      </c>
      <c r="AJ2199" s="65"/>
      <c r="AK2199" s="65"/>
      <c r="AL2199" s="65"/>
      <c r="AM2199" s="65"/>
      <c r="AN2199" s="65" t="str">
        <f>IFERROR(__xludf.DUMMYFUNCTION("""COMPUTED_VALUE"""),"16:36")</f>
        <v>16:36</v>
      </c>
      <c r="AO2199" s="65" t="str">
        <f>IFERROR(__xludf.DUMMYFUNCTION("""COMPUTED_VALUE"""),"13-02-2026")</f>
        <v>13-02-2026</v>
      </c>
      <c r="AP2199" s="65" t="str">
        <f>IFERROR(__xludf.DUMMYFUNCTION("""COMPUTED_VALUE"""),"DEV CONFIRMADA POR BODEGA")</f>
        <v>DEV CONFIRMADA POR BODEGA</v>
      </c>
      <c r="AQ2199" s="65"/>
      <c r="AR2199" s="65" t="str">
        <f>IFERROR(__xludf.DUMMYFUNCTION("""COMPUTED_VALUE"""),"Gestionado por: PROVEDIX DAMIAN, email:enviogratisdirecto@gmail.com, total de productos en la orden: 1")</f>
        <v>Gestionado por: PROVEDIX DAMIAN, email:enviogratisdirecto@gmail.com, total de productos en la orden: 1</v>
      </c>
      <c r="AS2199" s="65"/>
      <c r="AT2199" s="65" t="str">
        <f>IFERROR(__xludf.DUMMYFUNCTION("""COMPUTED_VALUE"""),"SHOPIFY")</f>
        <v>SHOPIFY</v>
      </c>
      <c r="AU2199" s="65" t="str">
        <f>IFERROR(__xludf.DUMMYFUNCTION("""COMPUTED_VALUE"""),"IMPORTEX EC")</f>
        <v>IMPORTEX EC</v>
      </c>
      <c r="AV2199" s="65" t="str">
        <f>IFERROR(__xludf.DUMMYFUNCTION("""COMPUTED_VALUE"""),"6403391651884")</f>
        <v>6403391651884</v>
      </c>
      <c r="AW2199" s="65">
        <f>IFERROR(__xludf.DUMMYFUNCTION("""COMPUTED_VALUE"""),4757.0)</f>
        <v>4757</v>
      </c>
      <c r="AX2199" s="65"/>
      <c r="AY2199" s="65" t="str">
        <f>IFERROR(__xludf.DUMMYFUNCTION("""COMPUTED_VALUE"""),"14/01/2026")</f>
        <v>14/01/2026</v>
      </c>
      <c r="AZ2199" s="65"/>
      <c r="BA2199" s="65"/>
    </row>
    <row r="2200">
      <c r="A2200" s="65" t="str">
        <f>IFERROR(__xludf.DUMMYFUNCTION("""COMPUTED_VALUE"""),"27-03-2026")</f>
        <v>27-03-2026</v>
      </c>
      <c r="B2200" s="65">
        <f>IFERROR(__xludf.DUMMYFUNCTION("""COMPUTED_VALUE"""),4090150.0)</f>
        <v>4090150</v>
      </c>
      <c r="C2200" s="65" t="str">
        <f>IFERROR(__xludf.DUMMYFUNCTION("""COMPUTED_VALUE"""),"06:34")</f>
        <v>06:34</v>
      </c>
      <c r="D2200" s="65" t="str">
        <f>IFERROR(__xludf.DUMMYFUNCTION("""COMPUTED_VALUE"""),"10-01-2026")</f>
        <v>10-01-2026</v>
      </c>
      <c r="E2200" s="65" t="str">
        <f>IFERROR(__xludf.DUMMYFUNCTION("""COMPUTED_VALUE"""),"Jaime Maldonado")</f>
        <v>Jaime Maldonado</v>
      </c>
      <c r="F2200" s="65" t="str">
        <f>IFERROR(__xludf.DUMMYFUNCTION("""COMPUTED_VALUE"""),"992827094")</f>
        <v>992827094</v>
      </c>
      <c r="G2200" s="65" t="str">
        <f>IFERROR(__xludf.DUMMYFUNCTION("""COMPUTED_VALUE"""),"jaime.maldonado1978@gmail.com")</f>
        <v>jaime.maldonado1978@gmail.com</v>
      </c>
      <c r="H2200" s="65"/>
      <c r="I2200" s="65"/>
      <c r="J2200" s="65" t="str">
        <f>IFERROR(__xludf.DUMMYFUNCTION("""COMPUTED_VALUE"""),"D001218410")</f>
        <v>D001218410</v>
      </c>
      <c r="K2200" s="65" t="str">
        <f>IFERROR(__xludf.DUMMYFUNCTION("""COMPUTED_VALUE"""),"ENTREGADO")</f>
        <v>ENTREGADO</v>
      </c>
      <c r="L2200" s="65" t="str">
        <f>IFERROR(__xludf.DUMMYFUNCTION("""COMPUTED_VALUE"""),"CON RECAUDO")</f>
        <v>CON RECAUDO</v>
      </c>
      <c r="M2200" s="65" t="str">
        <f>IFERROR(__xludf.DUMMYFUNCTION("""COMPUTED_VALUE"""),"AZUAY")</f>
        <v>AZUAY</v>
      </c>
      <c r="N2200" s="65" t="str">
        <f>IFERROR(__xludf.DUMMYFUNCTION("""COMPUTED_VALUE"""),"CUENCA")</f>
        <v>CUENCA</v>
      </c>
      <c r="O2200" s="65" t="str">
        <f>IFERROR(__xludf.DUMMYFUNCTION("""COMPUTED_VALUE"""),"Calle Río Paraná y Calle Río Misisipí - Ref. Una cuadra antes del Colegio Borja, color beige, puerta blanca")</f>
        <v>Calle Río Paraná y Calle Río Misisipí - Ref. Una cuadra antes del Colegio Borja, color beige, puerta blanca</v>
      </c>
      <c r="P2200" s="65"/>
      <c r="Q2200" s="65" t="str">
        <f>IFERROR(__xludf.DUMMYFUNCTION("""COMPUTED_VALUE"""),"GINTRACOM")</f>
        <v>GINTRACOM</v>
      </c>
      <c r="R2200" s="65">
        <f>IFERROR(__xludf.DUMMYFUNCTION("""COMPUTED_VALUE"""),22.0)</f>
        <v>22</v>
      </c>
      <c r="S2200" s="65">
        <f>IFERROR(__xludf.DUMMYFUNCTION("""COMPUTED_VALUE"""),10.96)</f>
        <v>10.96</v>
      </c>
      <c r="T2200" s="65">
        <f>IFERROR(__xludf.DUMMYFUNCTION("""COMPUTED_VALUE"""),5.84)</f>
        <v>5.84</v>
      </c>
      <c r="U2200" s="65">
        <f>IFERROR(__xludf.DUMMYFUNCTION("""COMPUTED_VALUE"""),0.0)</f>
        <v>0</v>
      </c>
      <c r="V2200" s="65">
        <f>IFERROR(__xludf.DUMMYFUNCTION("""COMPUTED_VALUE"""),0.0)</f>
        <v>0</v>
      </c>
      <c r="W2200" s="65">
        <f>IFERROR(__xludf.DUMMYFUNCTION("""COMPUTED_VALUE"""),0.0)</f>
        <v>0</v>
      </c>
      <c r="X2200" s="65">
        <f>IFERROR(__xludf.DUMMYFUNCTION("""COMPUTED_VALUE"""),2.6)</f>
        <v>2.6</v>
      </c>
      <c r="Y2200" s="65">
        <f>IFERROR(__xludf.DUMMYFUNCTION("""COMPUTED_VALUE"""),5.2)</f>
        <v>5.2</v>
      </c>
      <c r="Z2200" s="65">
        <f>IFERROR(__xludf.DUMMYFUNCTION("""COMPUTED_VALUE"""),121983.0)</f>
        <v>121983</v>
      </c>
      <c r="AA2200" s="65" t="str">
        <f>IFERROR(__xludf.DUMMYFUNCTION("""COMPUTED_VALUE"""),"PROV-CHLLCF")</f>
        <v>PROV-CHLLCF</v>
      </c>
      <c r="AB2200" s="65"/>
      <c r="AC2200" s="65" t="str">
        <f>IFERROR(__xludf.DUMMYFUNCTION("""COMPUTED_VALUE"""),"CUCHILLO PARA CHEF")</f>
        <v>CUCHILLO PARA CHEF</v>
      </c>
      <c r="AD2200" s="65"/>
      <c r="AE2200" s="65">
        <f>IFERROR(__xludf.DUMMYFUNCTION("""COMPUTED_VALUE"""),2.0)</f>
        <v>2</v>
      </c>
      <c r="AF2200" s="65" t="str">
        <f>IFERROR(__xludf.DUMMYFUNCTION("""COMPUTED_VALUE"""),"DESTINATARIO INDICA QUE SE ENCUENTRA FUERA DE LA CIUDAD")</f>
        <v>DESTINATARIO INDICA QUE SE ENCUENTRA FUERA DE LA CIUDAD</v>
      </c>
      <c r="AG2200" s="65" t="str">
        <f>IFERROR(__xludf.DUMMYFUNCTION("""COMPUTED_VALUE"""),"SI")</f>
        <v>SI</v>
      </c>
      <c r="AH2200" s="65" t="str">
        <f>IFERROR(__xludf.DUMMYFUNCTION("""COMPUTED_VALUE"""),"08:56")</f>
        <v>08:56</v>
      </c>
      <c r="AI2200" s="65" t="str">
        <f>IFERROR(__xludf.DUMMYFUNCTION("""COMPUTED_VALUE"""),"19-01-2026")</f>
        <v>19-01-2026</v>
      </c>
      <c r="AJ2200" s="65"/>
      <c r="AK2200" s="65"/>
      <c r="AL2200" s="65"/>
      <c r="AM2200" s="65"/>
      <c r="AN2200" s="65" t="str">
        <f>IFERROR(__xludf.DUMMYFUNCTION("""COMPUTED_VALUE"""),"13:36")</f>
        <v>13:36</v>
      </c>
      <c r="AO2200" s="65" t="str">
        <f>IFERROR(__xludf.DUMMYFUNCTION("""COMPUTED_VALUE"""),"20-01-2026")</f>
        <v>20-01-2026</v>
      </c>
      <c r="AP2200" s="65" t="str">
        <f>IFERROR(__xludf.DUMMYFUNCTION("""COMPUTED_VALUE"""),"ENTREGADA GINTRACOM")</f>
        <v>ENTREGADA GINTRACOM</v>
      </c>
      <c r="AQ2200" s="65" t="str">
        <f>IFERROR(__xludf.DUMMYFUNCTION("""COMPUTED_VALUE"""),"ENTREGADA GINTRACOM")</f>
        <v>ENTREGADA GINTRACOM</v>
      </c>
      <c r="AR2200" s="65"/>
      <c r="AS2200" s="65"/>
      <c r="AT2200" s="65" t="str">
        <f>IFERROR(__xludf.DUMMYFUNCTION("""COMPUTED_VALUE"""),"SHOPIFY")</f>
        <v>SHOPIFY</v>
      </c>
      <c r="AU2200" s="65" t="str">
        <f>IFERROR(__xludf.DUMMYFUNCTION("""COMPUTED_VALUE"""),"IMPORTEX EC")</f>
        <v>IMPORTEX EC</v>
      </c>
      <c r="AV2200" s="65" t="str">
        <f>IFERROR(__xludf.DUMMYFUNCTION("""COMPUTED_VALUE"""),"6403387523116")</f>
        <v>6403387523116</v>
      </c>
      <c r="AW2200" s="65">
        <f>IFERROR(__xludf.DUMMYFUNCTION("""COMPUTED_VALUE"""),4756.0)</f>
        <v>4756</v>
      </c>
      <c r="AX2200" s="65"/>
      <c r="AY2200" s="65" t="str">
        <f>IFERROR(__xludf.DUMMYFUNCTION("""COMPUTED_VALUE"""),"13/01/2026")</f>
        <v>13/01/2026</v>
      </c>
      <c r="AZ2200" s="65"/>
      <c r="BA2200" s="65"/>
    </row>
    <row r="2201">
      <c r="A2201" s="65" t="str">
        <f>IFERROR(__xludf.DUMMYFUNCTION("""COMPUTED_VALUE"""),"27-03-2026")</f>
        <v>27-03-2026</v>
      </c>
      <c r="B2201" s="65">
        <f>IFERROR(__xludf.DUMMYFUNCTION("""COMPUTED_VALUE"""),4090118.0)</f>
        <v>4090118</v>
      </c>
      <c r="C2201" s="65" t="str">
        <f>IFERROR(__xludf.DUMMYFUNCTION("""COMPUTED_VALUE"""),"06:29")</f>
        <v>06:29</v>
      </c>
      <c r="D2201" s="65" t="str">
        <f>IFERROR(__xludf.DUMMYFUNCTION("""COMPUTED_VALUE"""),"10-01-2026")</f>
        <v>10-01-2026</v>
      </c>
      <c r="E2201" s="65" t="str">
        <f>IFERROR(__xludf.DUMMYFUNCTION("""COMPUTED_VALUE"""),"Diego Miranda Miranda")</f>
        <v>Diego Miranda Miranda</v>
      </c>
      <c r="F2201" s="65" t="str">
        <f>IFERROR(__xludf.DUMMYFUNCTION("""COMPUTED_VALUE"""),"983347377")</f>
        <v>983347377</v>
      </c>
      <c r="G2201" s="65" t="str">
        <f>IFERROR(__xludf.DUMMYFUNCTION("""COMPUTED_VALUE"""),"diegomiranda799@gmail.com")</f>
        <v>diegomiranda799@gmail.com</v>
      </c>
      <c r="H2201" s="65"/>
      <c r="I2201" s="65"/>
      <c r="J2201" s="65" t="str">
        <f>IFERROR(__xludf.DUMMYFUNCTION("""COMPUTED_VALUE"""),"D001216240")</f>
        <v>D001216240</v>
      </c>
      <c r="K2201" s="65" t="str">
        <f>IFERROR(__xludf.DUMMYFUNCTION("""COMPUTED_VALUE"""),"ENTREGADO")</f>
        <v>ENTREGADO</v>
      </c>
      <c r="L2201" s="65" t="str">
        <f>IFERROR(__xludf.DUMMYFUNCTION("""COMPUTED_VALUE"""),"CON RECAUDO")</f>
        <v>CON RECAUDO</v>
      </c>
      <c r="M2201" s="65" t="str">
        <f>IFERROR(__xludf.DUMMYFUNCTION("""COMPUTED_VALUE"""),"TUNGURAHUA")</f>
        <v>TUNGURAHUA</v>
      </c>
      <c r="N2201" s="65" t="str">
        <f>IFERROR(__xludf.DUMMYFUNCTION("""COMPUTED_VALUE"""),"AMBATO")</f>
        <v>AMBATO</v>
      </c>
      <c r="O2201" s="65" t="str">
        <f>IFERROR(__xludf.DUMMYFUNCTION("""COMPUTED_VALUE"""),"Av. Alberto Valdivieso Casa amarilla - 2 cuadras más arriba de la Empresa Idro-Tecnología.")</f>
        <v>Av. Alberto Valdivieso Casa amarilla - 2 cuadras más arriba de la Empresa Idro-Tecnología.</v>
      </c>
      <c r="P2201" s="65"/>
      <c r="Q2201" s="65" t="str">
        <f>IFERROR(__xludf.DUMMYFUNCTION("""COMPUTED_VALUE"""),"GINTRACOM")</f>
        <v>GINTRACOM</v>
      </c>
      <c r="R2201" s="65">
        <f>IFERROR(__xludf.DUMMYFUNCTION("""COMPUTED_VALUE"""),30.0)</f>
        <v>30</v>
      </c>
      <c r="S2201" s="65">
        <f>IFERROR(__xludf.DUMMYFUNCTION("""COMPUTED_VALUE"""),15.47)</f>
        <v>15.47</v>
      </c>
      <c r="T2201" s="65">
        <f>IFERROR(__xludf.DUMMYFUNCTION("""COMPUTED_VALUE"""),6.16)</f>
        <v>6.16</v>
      </c>
      <c r="U2201" s="65">
        <f>IFERROR(__xludf.DUMMYFUNCTION("""COMPUTED_VALUE"""),0.0)</f>
        <v>0</v>
      </c>
      <c r="V2201" s="65">
        <f>IFERROR(__xludf.DUMMYFUNCTION("""COMPUTED_VALUE"""),0.0)</f>
        <v>0</v>
      </c>
      <c r="W2201" s="65">
        <f>IFERROR(__xludf.DUMMYFUNCTION("""COMPUTED_VALUE"""),0.0)</f>
        <v>0</v>
      </c>
      <c r="X2201" s="65">
        <f>IFERROR(__xludf.DUMMYFUNCTION("""COMPUTED_VALUE"""),2.79)</f>
        <v>2.79</v>
      </c>
      <c r="Y2201" s="65">
        <f>IFERROR(__xludf.DUMMYFUNCTION("""COMPUTED_VALUE"""),8.37)</f>
        <v>8.37</v>
      </c>
      <c r="Z2201" s="65">
        <f>IFERROR(__xludf.DUMMYFUNCTION("""COMPUTED_VALUE"""),120732.0)</f>
        <v>120732</v>
      </c>
      <c r="AA2201" s="65" t="str">
        <f>IFERROR(__xludf.DUMMYFUNCTION("""COMPUTED_VALUE"""),"PROV-LMPVT")</f>
        <v>PROV-LMPVT</v>
      </c>
      <c r="AB2201" s="65"/>
      <c r="AC2201" s="65" t="str">
        <f>IFERROR(__xludf.DUMMYFUNCTION("""COMPUTED_VALUE"""),"LIMPIADOR DE PARABRISAS Y VENTANAS")</f>
        <v>LIMPIADOR DE PARABRISAS Y VENTANAS</v>
      </c>
      <c r="AD2201" s="65"/>
      <c r="AE2201" s="65">
        <f>IFERROR(__xludf.DUMMYFUNCTION("""COMPUTED_VALUE"""),3.0)</f>
        <v>3</v>
      </c>
      <c r="AF2201" s="65"/>
      <c r="AG2201" s="65"/>
      <c r="AH2201" s="65"/>
      <c r="AI2201" s="65"/>
      <c r="AJ2201" s="65"/>
      <c r="AK2201" s="65"/>
      <c r="AL2201" s="65"/>
      <c r="AM2201" s="65"/>
      <c r="AN2201" s="65" t="str">
        <f>IFERROR(__xludf.DUMMYFUNCTION("""COMPUTED_VALUE"""),"18:33")</f>
        <v>18:33</v>
      </c>
      <c r="AO2201" s="65" t="str">
        <f>IFERROR(__xludf.DUMMYFUNCTION("""COMPUTED_VALUE"""),"15-01-2026")</f>
        <v>15-01-2026</v>
      </c>
      <c r="AP2201" s="65" t="str">
        <f>IFERROR(__xludf.DUMMYFUNCTION("""COMPUTED_VALUE"""),"ENTREGADA GINTRACOM")</f>
        <v>ENTREGADA GINTRACOM</v>
      </c>
      <c r="AQ2201" s="65" t="str">
        <f>IFERROR(__xludf.DUMMYFUNCTION("""COMPUTED_VALUE"""),"ENTREGADA GINTRACOM")</f>
        <v>ENTREGADA GINTRACOM</v>
      </c>
      <c r="AR2201" s="65"/>
      <c r="AS2201" s="65"/>
      <c r="AT2201" s="65" t="str">
        <f>IFERROR(__xludf.DUMMYFUNCTION("""COMPUTED_VALUE"""),"SHOPIFY")</f>
        <v>SHOPIFY</v>
      </c>
      <c r="AU2201" s="65" t="str">
        <f>IFERROR(__xludf.DUMMYFUNCTION("""COMPUTED_VALUE"""),"IMPORTEX EC")</f>
        <v>IMPORTEX EC</v>
      </c>
      <c r="AV2201" s="65" t="str">
        <f>IFERROR(__xludf.DUMMYFUNCTION("""COMPUTED_VALUE"""),"6403383787564")</f>
        <v>6403383787564</v>
      </c>
      <c r="AW2201" s="65">
        <f>IFERROR(__xludf.DUMMYFUNCTION("""COMPUTED_VALUE"""),4755.0)</f>
        <v>4755</v>
      </c>
      <c r="AX2201" s="65"/>
      <c r="AY2201" s="65" t="str">
        <f>IFERROR(__xludf.DUMMYFUNCTION("""COMPUTED_VALUE"""),"12/01/2026")</f>
        <v>12/01/2026</v>
      </c>
      <c r="AZ2201" s="65"/>
      <c r="BA2201" s="65"/>
    </row>
    <row r="2202">
      <c r="A2202" s="65" t="str">
        <f>IFERROR(__xludf.DUMMYFUNCTION("""COMPUTED_VALUE"""),"27-03-2026")</f>
        <v>27-03-2026</v>
      </c>
      <c r="B2202" s="65">
        <f>IFERROR(__xludf.DUMMYFUNCTION("""COMPUTED_VALUE"""),4090077.0)</f>
        <v>4090077</v>
      </c>
      <c r="C2202" s="65" t="str">
        <f>IFERROR(__xludf.DUMMYFUNCTION("""COMPUTED_VALUE"""),"06:18")</f>
        <v>06:18</v>
      </c>
      <c r="D2202" s="65" t="str">
        <f>IFERROR(__xludf.DUMMYFUNCTION("""COMPUTED_VALUE"""),"10-01-2026")</f>
        <v>10-01-2026</v>
      </c>
      <c r="E2202" s="65" t="str">
        <f>IFERROR(__xludf.DUMMYFUNCTION("""COMPUTED_VALUE"""),"Jose Paguay Barrionuevo")</f>
        <v>Jose Paguay Barrionuevo</v>
      </c>
      <c r="F2202" s="65" t="str">
        <f>IFERROR(__xludf.DUMMYFUNCTION("""COMPUTED_VALUE"""),"963294445")</f>
        <v>963294445</v>
      </c>
      <c r="G2202" s="65" t="str">
        <f>IFERROR(__xludf.DUMMYFUNCTION("""COMPUTED_VALUE"""),"jpaguayb1965@gmail.com")</f>
        <v>jpaguayb1965@gmail.com</v>
      </c>
      <c r="H2202" s="65"/>
      <c r="I2202" s="65"/>
      <c r="J2202" s="65" t="str">
        <f>IFERROR(__xludf.DUMMYFUNCTION("""COMPUTED_VALUE"""),"D001213549")</f>
        <v>D001213549</v>
      </c>
      <c r="K2202" s="65" t="str">
        <f>IFERROR(__xludf.DUMMYFUNCTION("""COMPUTED_VALUE"""),"ENTREGADO")</f>
        <v>ENTREGADO</v>
      </c>
      <c r="L2202" s="65" t="str">
        <f>IFERROR(__xludf.DUMMYFUNCTION("""COMPUTED_VALUE"""),"CON RECAUDO")</f>
        <v>CON RECAUDO</v>
      </c>
      <c r="M2202" s="65" t="str">
        <f>IFERROR(__xludf.DUMMYFUNCTION("""COMPUTED_VALUE"""),"CHIMBORAZO")</f>
        <v>CHIMBORAZO</v>
      </c>
      <c r="N2202" s="65" t="str">
        <f>IFERROR(__xludf.DUMMYFUNCTION("""COMPUTED_VALUE"""),"RIOBAMBA")</f>
        <v>RIOBAMBA</v>
      </c>
      <c r="O2202" s="65" t="str">
        <f>IFERROR(__xludf.DUMMYFUNCTION("""COMPUTED_VALUE"""),"Ciudadela La Paz - Calle Carondelet entre Calle Morona y Calle Loja - Mz 17 - Casa 5 - Pasaje D - Ref. a media cuadra de la iglesia La Paz")</f>
        <v>Ciudadela La Paz - Calle Carondelet entre Calle Morona y Calle Loja - Mz 17 - Casa 5 - Pasaje D - Ref. a media cuadra de la iglesia La Paz</v>
      </c>
      <c r="P2202" s="65"/>
      <c r="Q2202" s="65" t="str">
        <f>IFERROR(__xludf.DUMMYFUNCTION("""COMPUTED_VALUE"""),"GINTRACOM")</f>
        <v>GINTRACOM</v>
      </c>
      <c r="R2202" s="65">
        <f>IFERROR(__xludf.DUMMYFUNCTION("""COMPUTED_VALUE"""),27.0)</f>
        <v>27</v>
      </c>
      <c r="S2202" s="65">
        <f>IFERROR(__xludf.DUMMYFUNCTION("""COMPUTED_VALUE"""),13.17)</f>
        <v>13.17</v>
      </c>
      <c r="T2202" s="65">
        <f>IFERROR(__xludf.DUMMYFUNCTION("""COMPUTED_VALUE"""),6.03)</f>
        <v>6.03</v>
      </c>
      <c r="U2202" s="65">
        <f>IFERROR(__xludf.DUMMYFUNCTION("""COMPUTED_VALUE"""),0.0)</f>
        <v>0</v>
      </c>
      <c r="V2202" s="65">
        <f>IFERROR(__xludf.DUMMYFUNCTION("""COMPUTED_VALUE"""),0.0)</f>
        <v>0</v>
      </c>
      <c r="W2202" s="65">
        <f>IFERROR(__xludf.DUMMYFUNCTION("""COMPUTED_VALUE"""),0.0)</f>
        <v>0</v>
      </c>
      <c r="X2202" s="65">
        <f>IFERROR(__xludf.DUMMYFUNCTION("""COMPUTED_VALUE"""),2.6)</f>
        <v>2.6</v>
      </c>
      <c r="Y2202" s="65">
        <f>IFERROR(__xludf.DUMMYFUNCTION("""COMPUTED_VALUE"""),7.8)</f>
        <v>7.8</v>
      </c>
      <c r="Z2202" s="65">
        <f>IFERROR(__xludf.DUMMYFUNCTION("""COMPUTED_VALUE"""),121983.0)</f>
        <v>121983</v>
      </c>
      <c r="AA2202" s="65" t="str">
        <f>IFERROR(__xludf.DUMMYFUNCTION("""COMPUTED_VALUE"""),"PROV-CHLLCF")</f>
        <v>PROV-CHLLCF</v>
      </c>
      <c r="AB2202" s="65"/>
      <c r="AC2202" s="65" t="str">
        <f>IFERROR(__xludf.DUMMYFUNCTION("""COMPUTED_VALUE"""),"CUCHILLO PARA CHEF")</f>
        <v>CUCHILLO PARA CHEF</v>
      </c>
      <c r="AD2202" s="65"/>
      <c r="AE2202" s="65">
        <f>IFERROR(__xludf.DUMMYFUNCTION("""COMPUTED_VALUE"""),3.0)</f>
        <v>3</v>
      </c>
      <c r="AF2202" s="65"/>
      <c r="AG2202" s="65"/>
      <c r="AH2202" s="65"/>
      <c r="AI2202" s="65"/>
      <c r="AJ2202" s="65"/>
      <c r="AK2202" s="65"/>
      <c r="AL2202" s="65"/>
      <c r="AM2202" s="65"/>
      <c r="AN2202" s="65" t="str">
        <f>IFERROR(__xludf.DUMMYFUNCTION("""COMPUTED_VALUE"""),"18:08")</f>
        <v>18:08</v>
      </c>
      <c r="AO2202" s="65" t="str">
        <f>IFERROR(__xludf.DUMMYFUNCTION("""COMPUTED_VALUE"""),"14-01-2026")</f>
        <v>14-01-2026</v>
      </c>
      <c r="AP2202" s="65" t="str">
        <f>IFERROR(__xludf.DUMMYFUNCTION("""COMPUTED_VALUE"""),"ENTREGADA GINTRACOM")</f>
        <v>ENTREGADA GINTRACOM</v>
      </c>
      <c r="AQ2202" s="65" t="str">
        <f>IFERROR(__xludf.DUMMYFUNCTION("""COMPUTED_VALUE"""),"ENTREGADA GINTRACOM")</f>
        <v>ENTREGADA GINTRACOM</v>
      </c>
      <c r="AR2202" s="65"/>
      <c r="AS2202" s="65"/>
      <c r="AT2202" s="65" t="str">
        <f>IFERROR(__xludf.DUMMYFUNCTION("""COMPUTED_VALUE"""),"SHOPIFY")</f>
        <v>SHOPIFY</v>
      </c>
      <c r="AU2202" s="65" t="str">
        <f>IFERROR(__xludf.DUMMYFUNCTION("""COMPUTED_VALUE"""),"IMPORTEX EC")</f>
        <v>IMPORTEX EC</v>
      </c>
      <c r="AV2202" s="65" t="str">
        <f>IFERROR(__xludf.DUMMYFUNCTION("""COMPUTED_VALUE"""),"6403376447532")</f>
        <v>6403376447532</v>
      </c>
      <c r="AW2202" s="65">
        <f>IFERROR(__xludf.DUMMYFUNCTION("""COMPUTED_VALUE"""),4754.0)</f>
        <v>4754</v>
      </c>
      <c r="AX2202" s="65"/>
      <c r="AY2202" s="65" t="str">
        <f>IFERROR(__xludf.DUMMYFUNCTION("""COMPUTED_VALUE"""),"12/01/2026")</f>
        <v>12/01/2026</v>
      </c>
      <c r="AZ2202" s="65"/>
      <c r="BA2202" s="65"/>
    </row>
    <row r="2203">
      <c r="A2203" s="65" t="str">
        <f>IFERROR(__xludf.DUMMYFUNCTION("""COMPUTED_VALUE"""),"27-03-2026")</f>
        <v>27-03-2026</v>
      </c>
      <c r="B2203" s="65">
        <f>IFERROR(__xludf.DUMMYFUNCTION("""COMPUTED_VALUE"""),4090046.0)</f>
        <v>4090046</v>
      </c>
      <c r="C2203" s="65" t="str">
        <f>IFERROR(__xludf.DUMMYFUNCTION("""COMPUTED_VALUE"""),"06:08")</f>
        <v>06:08</v>
      </c>
      <c r="D2203" s="65" t="str">
        <f>IFERROR(__xludf.DUMMYFUNCTION("""COMPUTED_VALUE"""),"10-01-2026")</f>
        <v>10-01-2026</v>
      </c>
      <c r="E2203" s="65" t="str">
        <f>IFERROR(__xludf.DUMMYFUNCTION("""COMPUTED_VALUE"""),"Walter Stalin Aguirre Mayo")</f>
        <v>Walter Stalin Aguirre Mayo</v>
      </c>
      <c r="F2203" s="65" t="str">
        <f>IFERROR(__xludf.DUMMYFUNCTION("""COMPUTED_VALUE"""),"959286250")</f>
        <v>959286250</v>
      </c>
      <c r="G2203" s="65" t="str">
        <f>IFERROR(__xludf.DUMMYFUNCTION("""COMPUTED_VALUE"""),"walter.aguirre20@hotmail.com")</f>
        <v>walter.aguirre20@hotmail.com</v>
      </c>
      <c r="H2203" s="65"/>
      <c r="I2203" s="65"/>
      <c r="J2203" s="65"/>
      <c r="K2203" s="65" t="str">
        <f>IFERROR(__xludf.DUMMYFUNCTION("""COMPUTED_VALUE"""),"CANCELADO")</f>
        <v>CANCELADO</v>
      </c>
      <c r="L2203" s="65" t="str">
        <f>IFERROR(__xludf.DUMMYFUNCTION("""COMPUTED_VALUE"""),"CON RECAUDO")</f>
        <v>CON RECAUDO</v>
      </c>
      <c r="M2203" s="65" t="str">
        <f>IFERROR(__xludf.DUMMYFUNCTION("""COMPUTED_VALUE"""),"ZAMORA CHINCHIPE")</f>
        <v>ZAMORA CHINCHIPE</v>
      </c>
      <c r="N2203" s="65" t="str">
        <f>IFERROR(__xludf.DUMMYFUNCTION("""COMPUTED_VALUE"""),"ZUMBA")</f>
        <v>ZUMBA</v>
      </c>
      <c r="O2203" s="65" t="str">
        <f>IFERROR(__xludf.DUMMYFUNCTION("""COMPUTED_VALUE"""),"SAN ANDRÉS  Chinchipe Nuevos Colonizadores -")</f>
        <v>SAN ANDRÉS  Chinchipe Nuevos Colonizadores -</v>
      </c>
      <c r="P2203" s="65"/>
      <c r="Q2203" s="65" t="str">
        <f>IFERROR(__xludf.DUMMYFUNCTION("""COMPUTED_VALUE"""),"SERVIENTREGA")</f>
        <v>SERVIENTREGA</v>
      </c>
      <c r="R2203" s="65">
        <f>IFERROR(__xludf.DUMMYFUNCTION("""COMPUTED_VALUE"""),32.0)</f>
        <v>32</v>
      </c>
      <c r="S2203" s="65"/>
      <c r="T2203" s="65">
        <f>IFERROR(__xludf.DUMMYFUNCTION("""COMPUTED_VALUE"""),7.85)</f>
        <v>7.85</v>
      </c>
      <c r="U2203" s="65">
        <f>IFERROR(__xludf.DUMMYFUNCTION("""COMPUTED_VALUE"""),0.0)</f>
        <v>0</v>
      </c>
      <c r="V2203" s="65">
        <f>IFERROR(__xludf.DUMMYFUNCTION("""COMPUTED_VALUE"""),0.0)</f>
        <v>0</v>
      </c>
      <c r="W2203" s="65">
        <f>IFERROR(__xludf.DUMMYFUNCTION("""COMPUTED_VALUE"""),0.0)</f>
        <v>0</v>
      </c>
      <c r="X2203" s="65">
        <f>IFERROR(__xludf.DUMMYFUNCTION("""COMPUTED_VALUE"""),2.6)</f>
        <v>2.6</v>
      </c>
      <c r="Y2203" s="65">
        <f>IFERROR(__xludf.DUMMYFUNCTION("""COMPUTED_VALUE"""),10.4)</f>
        <v>10.4</v>
      </c>
      <c r="Z2203" s="65">
        <f>IFERROR(__xludf.DUMMYFUNCTION("""COMPUTED_VALUE"""),121983.0)</f>
        <v>121983</v>
      </c>
      <c r="AA2203" s="65" t="str">
        <f>IFERROR(__xludf.DUMMYFUNCTION("""COMPUTED_VALUE"""),"PROV-CHLLCF")</f>
        <v>PROV-CHLLCF</v>
      </c>
      <c r="AB2203" s="65"/>
      <c r="AC2203" s="65" t="str">
        <f>IFERROR(__xludf.DUMMYFUNCTION("""COMPUTED_VALUE"""),"CUCHILLO PARA CHEF")</f>
        <v>CUCHILLO PARA CHEF</v>
      </c>
      <c r="AD2203" s="65"/>
      <c r="AE2203" s="65">
        <f>IFERROR(__xludf.DUMMYFUNCTION("""COMPUTED_VALUE"""),4.0)</f>
        <v>4</v>
      </c>
      <c r="AF2203" s="65"/>
      <c r="AG2203" s="65"/>
      <c r="AH2203" s="65"/>
      <c r="AI2203" s="65"/>
      <c r="AJ2203" s="65"/>
      <c r="AK2203" s="65"/>
      <c r="AL2203" s="65"/>
      <c r="AM2203" s="65"/>
      <c r="AN2203" s="65"/>
      <c r="AO2203" s="65"/>
      <c r="AP2203" s="65"/>
      <c r="AQ2203" s="65"/>
      <c r="AR2203" s="65"/>
      <c r="AS2203" s="65"/>
      <c r="AT2203" s="65" t="str">
        <f>IFERROR(__xludf.DUMMYFUNCTION("""COMPUTED_VALUE"""),"SHOPIFY")</f>
        <v>SHOPIFY</v>
      </c>
      <c r="AU2203" s="65" t="str">
        <f>IFERROR(__xludf.DUMMYFUNCTION("""COMPUTED_VALUE"""),"IMPORTEX EC")</f>
        <v>IMPORTEX EC</v>
      </c>
      <c r="AV2203" s="65" t="str">
        <f>IFERROR(__xludf.DUMMYFUNCTION("""COMPUTED_VALUE"""),"6403369762860")</f>
        <v>6403369762860</v>
      </c>
      <c r="AW2203" s="65">
        <f>IFERROR(__xludf.DUMMYFUNCTION("""COMPUTED_VALUE"""),4753.0)</f>
        <v>4753</v>
      </c>
      <c r="AX2203" s="65"/>
      <c r="AY2203" s="65"/>
      <c r="AZ2203" s="65"/>
      <c r="BA2203" s="65"/>
    </row>
    <row r="2204">
      <c r="A2204" s="65" t="str">
        <f>IFERROR(__xludf.DUMMYFUNCTION("""COMPUTED_VALUE"""),"27-03-2026")</f>
        <v>27-03-2026</v>
      </c>
      <c r="B2204" s="65">
        <f>IFERROR(__xludf.DUMMYFUNCTION("""COMPUTED_VALUE"""),4089973.0)</f>
        <v>4089973</v>
      </c>
      <c r="C2204" s="65" t="str">
        <f>IFERROR(__xludf.DUMMYFUNCTION("""COMPUTED_VALUE"""),"05:44")</f>
        <v>05:44</v>
      </c>
      <c r="D2204" s="65" t="str">
        <f>IFERROR(__xludf.DUMMYFUNCTION("""COMPUTED_VALUE"""),"10-01-2026")</f>
        <v>10-01-2026</v>
      </c>
      <c r="E2204" s="65" t="str">
        <f>IFERROR(__xludf.DUMMYFUNCTION("""COMPUTED_VALUE"""),"FReDDy JaVieR")</f>
        <v>FReDDy JaVieR</v>
      </c>
      <c r="F2204" s="65" t="str">
        <f>IFERROR(__xludf.DUMMYFUNCTION("""COMPUTED_VALUE"""),"995769837")</f>
        <v>995769837</v>
      </c>
      <c r="G2204" s="65" t="str">
        <f>IFERROR(__xludf.DUMMYFUNCTION("""COMPUTED_VALUE"""),"freddyguevara90@gmail.com")</f>
        <v>freddyguevara90@gmail.com</v>
      </c>
      <c r="H2204" s="65"/>
      <c r="I2204" s="65"/>
      <c r="J2204" s="65" t="str">
        <f>IFERROR(__xludf.DUMMYFUNCTION("""COMPUTED_VALUE"""),"D001220163")</f>
        <v>D001220163</v>
      </c>
      <c r="K2204" s="65" t="str">
        <f>IFERROR(__xludf.DUMMYFUNCTION("""COMPUTED_VALUE"""),"DEVOLUCION")</f>
        <v>DEVOLUCION</v>
      </c>
      <c r="L2204" s="65" t="str">
        <f>IFERROR(__xludf.DUMMYFUNCTION("""COMPUTED_VALUE"""),"CON RECAUDO")</f>
        <v>CON RECAUDO</v>
      </c>
      <c r="M2204" s="65" t="str">
        <f>IFERROR(__xludf.DUMMYFUNCTION("""COMPUTED_VALUE"""),"NAPO")</f>
        <v>NAPO</v>
      </c>
      <c r="N2204" s="65" t="str">
        <f>IFERROR(__xludf.DUMMYFUNCTION("""COMPUTED_VALUE"""),"TENA")</f>
        <v>TENA</v>
      </c>
      <c r="O2204" s="65" t="str">
        <f>IFERROR(__xludf.DUMMYFUNCTION("""COMPUTED_VALUE"""),"Tena Av muyuna - Frente ala plaza cívica Tercena Farrukito")</f>
        <v>Tena Av muyuna - Frente ala plaza cívica Tercena Farrukito</v>
      </c>
      <c r="P2204" s="65"/>
      <c r="Q2204" s="65" t="str">
        <f>IFERROR(__xludf.DUMMYFUNCTION("""COMPUTED_VALUE"""),"GINTRACOM")</f>
        <v>GINTRACOM</v>
      </c>
      <c r="R2204" s="65">
        <f>IFERROR(__xludf.DUMMYFUNCTION("""COMPUTED_VALUE"""),20.0)</f>
        <v>20</v>
      </c>
      <c r="S2204" s="65"/>
      <c r="T2204" s="65">
        <f>IFERROR(__xludf.DUMMYFUNCTION("""COMPUTED_VALUE"""),5.76)</f>
        <v>5.76</v>
      </c>
      <c r="U2204" s="65">
        <f>IFERROR(__xludf.DUMMYFUNCTION("""COMPUTED_VALUE"""),0.0)</f>
        <v>0</v>
      </c>
      <c r="V2204" s="65">
        <f>IFERROR(__xludf.DUMMYFUNCTION("""COMPUTED_VALUE"""),0.0)</f>
        <v>0</v>
      </c>
      <c r="W2204" s="65">
        <f>IFERROR(__xludf.DUMMYFUNCTION("""COMPUTED_VALUE"""),0.0)</f>
        <v>0</v>
      </c>
      <c r="X2204" s="65">
        <f>IFERROR(__xludf.DUMMYFUNCTION("""COMPUTED_VALUE"""),2.79)</f>
        <v>2.79</v>
      </c>
      <c r="Y2204" s="65">
        <f>IFERROR(__xludf.DUMMYFUNCTION("""COMPUTED_VALUE"""),2.79)</f>
        <v>2.79</v>
      </c>
      <c r="Z2204" s="65">
        <f>IFERROR(__xludf.DUMMYFUNCTION("""COMPUTED_VALUE"""),120732.0)</f>
        <v>120732</v>
      </c>
      <c r="AA2204" s="65" t="str">
        <f>IFERROR(__xludf.DUMMYFUNCTION("""COMPUTED_VALUE"""),"PROV-LMPVT")</f>
        <v>PROV-LMPVT</v>
      </c>
      <c r="AB2204" s="65"/>
      <c r="AC2204" s="65" t="str">
        <f>IFERROR(__xludf.DUMMYFUNCTION("""COMPUTED_VALUE"""),"LIMPIADOR DE PARABRISAS Y VENTANAS")</f>
        <v>LIMPIADOR DE PARABRISAS Y VENTANAS</v>
      </c>
      <c r="AD2204" s="65"/>
      <c r="AE2204" s="65">
        <f>IFERROR(__xludf.DUMMYFUNCTION("""COMPUTED_VALUE"""),1.0)</f>
        <v>1</v>
      </c>
      <c r="AF2204" s="65" t="str">
        <f>IFERROR(__xludf.DUMMYFUNCTION("""COMPUTED_VALUE"""),"DESTINATARIO NO CONTESTA LLAMADAS NI WHATSAPP")</f>
        <v>DESTINATARIO NO CONTESTA LLAMADAS NI WHATSAPP</v>
      </c>
      <c r="AG2204" s="65" t="str">
        <f>IFERROR(__xludf.DUMMYFUNCTION("""COMPUTED_VALUE"""),"SI")</f>
        <v>SI</v>
      </c>
      <c r="AH2204" s="65" t="str">
        <f>IFERROR(__xludf.DUMMYFUNCTION("""COMPUTED_VALUE"""),"09:00")</f>
        <v>09:00</v>
      </c>
      <c r="AI2204" s="65" t="str">
        <f>IFERROR(__xludf.DUMMYFUNCTION("""COMPUTED_VALUE"""),"20-01-2026")</f>
        <v>20-01-2026</v>
      </c>
      <c r="AJ2204" s="65" t="str">
        <f>IFERROR(__xludf.DUMMYFUNCTION("""COMPUTED_VALUE"""),"si desea el producto")</f>
        <v>si desea el producto</v>
      </c>
      <c r="AK2204" s="65" t="str">
        <f>IFERROR(__xludf.DUMMYFUNCTION("""COMPUTED_VALUE"""),"11:07")</f>
        <v>11:07</v>
      </c>
      <c r="AL2204" s="65" t="str">
        <f>IFERROR(__xludf.DUMMYFUNCTION("""COMPUTED_VALUE"""),"21-01-2026")</f>
        <v>21-01-2026</v>
      </c>
      <c r="AM2204" s="65"/>
      <c r="AN2204" s="65" t="str">
        <f>IFERROR(__xludf.DUMMYFUNCTION("""COMPUTED_VALUE"""),"13:29")</f>
        <v>13:29</v>
      </c>
      <c r="AO2204" s="65" t="str">
        <f>IFERROR(__xludf.DUMMYFUNCTION("""COMPUTED_VALUE"""),"19-02-2026")</f>
        <v>19-02-2026</v>
      </c>
      <c r="AP2204" s="65" t="str">
        <f>IFERROR(__xludf.DUMMYFUNCTION("""COMPUTED_VALUE"""),"DEV CONFIRMADA POR BODEGA")</f>
        <v>DEV CONFIRMADA POR BODEGA</v>
      </c>
      <c r="AQ2204" s="65"/>
      <c r="AR2204" s="65" t="str">
        <f>IFERROR(__xludf.DUMMYFUNCTION("""COMPUTED_VALUE"""),"Gestionado por: PROVEDIX DAMIAN, email:enviogratisdirecto@gmail.com, total de productos en la orden: 1")</f>
        <v>Gestionado por: PROVEDIX DAMIAN, email:enviogratisdirecto@gmail.com, total de productos en la orden: 1</v>
      </c>
      <c r="AS2204" s="65"/>
      <c r="AT2204" s="65" t="str">
        <f>IFERROR(__xludf.DUMMYFUNCTION("""COMPUTED_VALUE"""),"SHOPIFY")</f>
        <v>SHOPIFY</v>
      </c>
      <c r="AU2204" s="65" t="str">
        <f>IFERROR(__xludf.DUMMYFUNCTION("""COMPUTED_VALUE"""),"IMPORTEX EC")</f>
        <v>IMPORTEX EC</v>
      </c>
      <c r="AV2204" s="65" t="str">
        <f>IFERROR(__xludf.DUMMYFUNCTION("""COMPUTED_VALUE"""),"6403357016108")</f>
        <v>6403357016108</v>
      </c>
      <c r="AW2204" s="65">
        <f>IFERROR(__xludf.DUMMYFUNCTION("""COMPUTED_VALUE"""),4752.0)</f>
        <v>4752</v>
      </c>
      <c r="AX2204" s="65"/>
      <c r="AY2204" s="65" t="str">
        <f>IFERROR(__xludf.DUMMYFUNCTION("""COMPUTED_VALUE"""),"13/01/2026")</f>
        <v>13/01/2026</v>
      </c>
      <c r="AZ2204" s="65"/>
      <c r="BA2204" s="65"/>
    </row>
    <row r="2205">
      <c r="A2205" s="65" t="str">
        <f>IFERROR(__xludf.DUMMYFUNCTION("""COMPUTED_VALUE"""),"27-03-2026")</f>
        <v>27-03-2026</v>
      </c>
      <c r="B2205" s="65">
        <f>IFERROR(__xludf.DUMMYFUNCTION("""COMPUTED_VALUE"""),4089919.0)</f>
        <v>4089919</v>
      </c>
      <c r="C2205" s="65" t="str">
        <f>IFERROR(__xludf.DUMMYFUNCTION("""COMPUTED_VALUE"""),"05:29")</f>
        <v>05:29</v>
      </c>
      <c r="D2205" s="65" t="str">
        <f>IFERROR(__xludf.DUMMYFUNCTION("""COMPUTED_VALUE"""),"10-01-2026")</f>
        <v>10-01-2026</v>
      </c>
      <c r="E2205" s="65" t="str">
        <f>IFERROR(__xludf.DUMMYFUNCTION("""COMPUTED_VALUE"""),"JOSE sansur")</f>
        <v>JOSE sansur</v>
      </c>
      <c r="F2205" s="65" t="str">
        <f>IFERROR(__xludf.DUMMYFUNCTION("""COMPUTED_VALUE"""),"963028406")</f>
        <v>963028406</v>
      </c>
      <c r="G2205" s="65" t="str">
        <f>IFERROR(__xludf.DUMMYFUNCTION("""COMPUTED_VALUE"""),"sansurjose@gmail.com")</f>
        <v>sansurjose@gmail.com</v>
      </c>
      <c r="H2205" s="65"/>
      <c r="I2205" s="65"/>
      <c r="J2205" s="65" t="str">
        <f>IFERROR(__xludf.DUMMYFUNCTION("""COMPUTED_VALUE"""),"D001220165")</f>
        <v>D001220165</v>
      </c>
      <c r="K2205" s="65" t="str">
        <f>IFERROR(__xludf.DUMMYFUNCTION("""COMPUTED_VALUE"""),"ENTREGADO")</f>
        <v>ENTREGADO</v>
      </c>
      <c r="L2205" s="65" t="str">
        <f>IFERROR(__xludf.DUMMYFUNCTION("""COMPUTED_VALUE"""),"CON RECAUDO")</f>
        <v>CON RECAUDO</v>
      </c>
      <c r="M2205" s="65" t="str">
        <f>IFERROR(__xludf.DUMMYFUNCTION("""COMPUTED_VALUE"""),"GUAYAS")</f>
        <v>GUAYAS</v>
      </c>
      <c r="N2205" s="65" t="str">
        <f>IFERROR(__xludf.DUMMYFUNCTION("""COMPUTED_VALUE"""),"SAMBORONDON")</f>
        <v>SAMBORONDON</v>
      </c>
      <c r="O2205" s="65" t="str">
        <f>IFERROR(__xludf.DUMMYFUNCTION("""COMPUTED_VALUE"""),"Av Principal URB BIBLOS Y calle tercera -")</f>
        <v>Av Principal URB BIBLOS Y calle tercera -</v>
      </c>
      <c r="P2205" s="65"/>
      <c r="Q2205" s="65" t="str">
        <f>IFERROR(__xludf.DUMMYFUNCTION("""COMPUTED_VALUE"""),"GINTRACOM")</f>
        <v>GINTRACOM</v>
      </c>
      <c r="R2205" s="65">
        <f>IFERROR(__xludf.DUMMYFUNCTION("""COMPUTED_VALUE"""),30.0)</f>
        <v>30</v>
      </c>
      <c r="S2205" s="65">
        <f>IFERROR(__xludf.DUMMYFUNCTION("""COMPUTED_VALUE"""),16.05)</f>
        <v>16.05</v>
      </c>
      <c r="T2205" s="65">
        <f>IFERROR(__xludf.DUMMYFUNCTION("""COMPUTED_VALUE"""),5.58)</f>
        <v>5.58</v>
      </c>
      <c r="U2205" s="65">
        <f>IFERROR(__xludf.DUMMYFUNCTION("""COMPUTED_VALUE"""),0.0)</f>
        <v>0</v>
      </c>
      <c r="V2205" s="65">
        <f>IFERROR(__xludf.DUMMYFUNCTION("""COMPUTED_VALUE"""),0.0)</f>
        <v>0</v>
      </c>
      <c r="W2205" s="65">
        <f>IFERROR(__xludf.DUMMYFUNCTION("""COMPUTED_VALUE"""),0.0)</f>
        <v>0</v>
      </c>
      <c r="X2205" s="65">
        <f>IFERROR(__xludf.DUMMYFUNCTION("""COMPUTED_VALUE"""),2.79)</f>
        <v>2.79</v>
      </c>
      <c r="Y2205" s="65">
        <f>IFERROR(__xludf.DUMMYFUNCTION("""COMPUTED_VALUE"""),8.37)</f>
        <v>8.37</v>
      </c>
      <c r="Z2205" s="65">
        <f>IFERROR(__xludf.DUMMYFUNCTION("""COMPUTED_VALUE"""),120732.0)</f>
        <v>120732</v>
      </c>
      <c r="AA2205" s="65" t="str">
        <f>IFERROR(__xludf.DUMMYFUNCTION("""COMPUTED_VALUE"""),"PROV-LMPVT")</f>
        <v>PROV-LMPVT</v>
      </c>
      <c r="AB2205" s="65"/>
      <c r="AC2205" s="65" t="str">
        <f>IFERROR(__xludf.DUMMYFUNCTION("""COMPUTED_VALUE"""),"LIMPIADOR DE PARABRISAS Y VENTANAS")</f>
        <v>LIMPIADOR DE PARABRISAS Y VENTANAS</v>
      </c>
      <c r="AD2205" s="65"/>
      <c r="AE2205" s="65">
        <f>IFERROR(__xludf.DUMMYFUNCTION("""COMPUTED_VALUE"""),3.0)</f>
        <v>3</v>
      </c>
      <c r="AF2205" s="65"/>
      <c r="AG2205" s="65"/>
      <c r="AH2205" s="65"/>
      <c r="AI2205" s="65"/>
      <c r="AJ2205" s="65"/>
      <c r="AK2205" s="65"/>
      <c r="AL2205" s="65"/>
      <c r="AM2205" s="65"/>
      <c r="AN2205" s="65" t="str">
        <f>IFERROR(__xludf.DUMMYFUNCTION("""COMPUTED_VALUE"""),"09:36")</f>
        <v>09:36</v>
      </c>
      <c r="AO2205" s="65" t="str">
        <f>IFERROR(__xludf.DUMMYFUNCTION("""COMPUTED_VALUE"""),"14-01-2026")</f>
        <v>14-01-2026</v>
      </c>
      <c r="AP2205" s="65" t="str">
        <f>IFERROR(__xludf.DUMMYFUNCTION("""COMPUTED_VALUE"""),"EN REPARTO")</f>
        <v>EN REPARTO</v>
      </c>
      <c r="AQ2205" s="65" t="str">
        <f>IFERROR(__xludf.DUMMYFUNCTION("""COMPUTED_VALUE"""),"EN REPARTO")</f>
        <v>EN REPARTO</v>
      </c>
      <c r="AR2205" s="65"/>
      <c r="AS2205" s="65"/>
      <c r="AT2205" s="65" t="str">
        <f>IFERROR(__xludf.DUMMYFUNCTION("""COMPUTED_VALUE"""),"SHOPIFY")</f>
        <v>SHOPIFY</v>
      </c>
      <c r="AU2205" s="65" t="str">
        <f>IFERROR(__xludf.DUMMYFUNCTION("""COMPUTED_VALUE"""),"IMPORTEX EC")</f>
        <v>IMPORTEX EC</v>
      </c>
      <c r="AV2205" s="65" t="str">
        <f>IFERROR(__xludf.DUMMYFUNCTION("""COMPUTED_VALUE"""),"6403349217324")</f>
        <v>6403349217324</v>
      </c>
      <c r="AW2205" s="65">
        <f>IFERROR(__xludf.DUMMYFUNCTION("""COMPUTED_VALUE"""),4751.0)</f>
        <v>4751</v>
      </c>
      <c r="AX2205" s="65"/>
      <c r="AY2205" s="65" t="str">
        <f>IFERROR(__xludf.DUMMYFUNCTION("""COMPUTED_VALUE"""),"13/01/2026")</f>
        <v>13/01/2026</v>
      </c>
      <c r="AZ2205" s="65"/>
      <c r="BA2205" s="65"/>
    </row>
    <row r="2206">
      <c r="A2206" s="65" t="str">
        <f>IFERROR(__xludf.DUMMYFUNCTION("""COMPUTED_VALUE"""),"27-03-2026")</f>
        <v>27-03-2026</v>
      </c>
      <c r="B2206" s="65">
        <f>IFERROR(__xludf.DUMMYFUNCTION("""COMPUTED_VALUE"""),4089914.0)</f>
        <v>4089914</v>
      </c>
      <c r="C2206" s="65" t="str">
        <f>IFERROR(__xludf.DUMMYFUNCTION("""COMPUTED_VALUE"""),"05:27")</f>
        <v>05:27</v>
      </c>
      <c r="D2206" s="65" t="str">
        <f>IFERROR(__xludf.DUMMYFUNCTION("""COMPUTED_VALUE"""),"10-01-2026")</f>
        <v>10-01-2026</v>
      </c>
      <c r="E2206" s="65" t="str">
        <f>IFERROR(__xludf.DUMMYFUNCTION("""COMPUTED_VALUE"""),"Ruben Jacome Jácome Angueta")</f>
        <v>Ruben Jacome Jácome Angueta</v>
      </c>
      <c r="F2206" s="65" t="str">
        <f>IFERROR(__xludf.DUMMYFUNCTION("""COMPUTED_VALUE"""),"995240766")</f>
        <v>995240766</v>
      </c>
      <c r="G2206" s="65" t="str">
        <f>IFERROR(__xludf.DUMMYFUNCTION("""COMPUTED_VALUE"""),"rjacomeangueta@gmail.com")</f>
        <v>rjacomeangueta@gmail.com</v>
      </c>
      <c r="H2206" s="65"/>
      <c r="I2206" s="65"/>
      <c r="J2206" s="65" t="str">
        <f>IFERROR(__xludf.DUMMYFUNCTION("""COMPUTED_VALUE"""),"D001223315")</f>
        <v>D001223315</v>
      </c>
      <c r="K2206" s="65" t="str">
        <f>IFERROR(__xludf.DUMMYFUNCTION("""COMPUTED_VALUE"""),"DEVOLUCION")</f>
        <v>DEVOLUCION</v>
      </c>
      <c r="L2206" s="65" t="str">
        <f>IFERROR(__xludf.DUMMYFUNCTION("""COMPUTED_VALUE"""),"CON RECAUDO")</f>
        <v>CON RECAUDO</v>
      </c>
      <c r="M2206" s="65" t="str">
        <f>IFERROR(__xludf.DUMMYFUNCTION("""COMPUTED_VALUE"""),"PICHINCHA")</f>
        <v>PICHINCHA</v>
      </c>
      <c r="N2206" s="65" t="str">
        <f>IFERROR(__xludf.DUMMYFUNCTION("""COMPUTED_VALUE"""),"QUITO")</f>
        <v>QUITO</v>
      </c>
      <c r="O2206" s="65" t="str">
        <f>IFERROR(__xludf.DUMMYFUNCTION("""COMPUTED_VALUE"""),"Sector Atucucho - Calle E14 Escalinata N -")</f>
        <v>Sector Atucucho - Calle E14 Escalinata N -</v>
      </c>
      <c r="P2206" s="65" t="str">
        <f>IFERROR(__xludf.DUMMYFUNCTION("""COMPUTED_VALUE"""),"Importante -Por favor me llama para enviar la ubicación y poder recibir, cuestión seguridad.")</f>
        <v>Importante -Por favor me llama para enviar la ubicación y poder recibir, cuestión seguridad.</v>
      </c>
      <c r="Q2206" s="65" t="str">
        <f>IFERROR(__xludf.DUMMYFUNCTION("""COMPUTED_VALUE"""),"GINTRACOM")</f>
        <v>GINTRACOM</v>
      </c>
      <c r="R2206" s="65">
        <f>IFERROR(__xludf.DUMMYFUNCTION("""COMPUTED_VALUE"""),32.0)</f>
        <v>32</v>
      </c>
      <c r="S2206" s="65"/>
      <c r="T2206" s="65">
        <f>IFERROR(__xludf.DUMMYFUNCTION("""COMPUTED_VALUE"""),6.24)</f>
        <v>6.24</v>
      </c>
      <c r="U2206" s="65">
        <f>IFERROR(__xludf.DUMMYFUNCTION("""COMPUTED_VALUE"""),0.0)</f>
        <v>0</v>
      </c>
      <c r="V2206" s="65">
        <f>IFERROR(__xludf.DUMMYFUNCTION("""COMPUTED_VALUE"""),0.0)</f>
        <v>0</v>
      </c>
      <c r="W2206" s="65">
        <f>IFERROR(__xludf.DUMMYFUNCTION("""COMPUTED_VALUE"""),0.0)</f>
        <v>0</v>
      </c>
      <c r="X2206" s="65">
        <f>IFERROR(__xludf.DUMMYFUNCTION("""COMPUTED_VALUE"""),2.6)</f>
        <v>2.6</v>
      </c>
      <c r="Y2206" s="65">
        <f>IFERROR(__xludf.DUMMYFUNCTION("""COMPUTED_VALUE"""),10.4)</f>
        <v>10.4</v>
      </c>
      <c r="Z2206" s="65">
        <f>IFERROR(__xludf.DUMMYFUNCTION("""COMPUTED_VALUE"""),121983.0)</f>
        <v>121983</v>
      </c>
      <c r="AA2206" s="65" t="str">
        <f>IFERROR(__xludf.DUMMYFUNCTION("""COMPUTED_VALUE"""),"PROV-CHLLCF")</f>
        <v>PROV-CHLLCF</v>
      </c>
      <c r="AB2206" s="65"/>
      <c r="AC2206" s="65" t="str">
        <f>IFERROR(__xludf.DUMMYFUNCTION("""COMPUTED_VALUE"""),"CUCHILLO PARA CHEF")</f>
        <v>CUCHILLO PARA CHEF</v>
      </c>
      <c r="AD2206" s="65"/>
      <c r="AE2206" s="65">
        <f>IFERROR(__xludf.DUMMYFUNCTION("""COMPUTED_VALUE"""),4.0)</f>
        <v>4</v>
      </c>
      <c r="AF2206" s="65" t="str">
        <f>IFERROR(__xludf.DUMMYFUNCTION("""COMPUTED_VALUE"""),"DESTINATARIO NO SE ENCUENTRA EN LUGAR DE ENTREGA.")</f>
        <v>DESTINATARIO NO SE ENCUENTRA EN LUGAR DE ENTREGA.</v>
      </c>
      <c r="AG2206" s="65" t="str">
        <f>IFERROR(__xludf.DUMMYFUNCTION("""COMPUTED_VALUE"""),"NO")</f>
        <v>NO</v>
      </c>
      <c r="AH2206" s="65" t="str">
        <f>IFERROR(__xludf.DUMMYFUNCTION("""COMPUTED_VALUE"""),"17:03")</f>
        <v>17:03</v>
      </c>
      <c r="AI2206" s="65" t="str">
        <f>IFERROR(__xludf.DUMMYFUNCTION("""COMPUTED_VALUE"""),"24-01-2026")</f>
        <v>24-01-2026</v>
      </c>
      <c r="AJ2206" s="65"/>
      <c r="AK2206" s="65"/>
      <c r="AL2206" s="65"/>
      <c r="AM2206" s="65"/>
      <c r="AN2206" s="65" t="str">
        <f>IFERROR(__xludf.DUMMYFUNCTION("""COMPUTED_VALUE"""),"16:17")</f>
        <v>16:17</v>
      </c>
      <c r="AO2206" s="65" t="str">
        <f>IFERROR(__xludf.DUMMYFUNCTION("""COMPUTED_VALUE"""),"05-02-2026")</f>
        <v>05-02-2026</v>
      </c>
      <c r="AP2206" s="65" t="str">
        <f>IFERROR(__xludf.DUMMYFUNCTION("""COMPUTED_VALUE"""),"DEV CONFIRMADA POR BODEGA")</f>
        <v>DEV CONFIRMADA POR BODEGA</v>
      </c>
      <c r="AQ2206" s="65"/>
      <c r="AR2206" s="65" t="str">
        <f>IFERROR(__xludf.DUMMYFUNCTION("""COMPUTED_VALUE"""),"Gestionado por: Moran Daniel, email:danielmorga2005@gmail.com, total de productos en la orden: 1")</f>
        <v>Gestionado por: Moran Daniel, email:danielmorga2005@gmail.com, total de productos en la orden: 1</v>
      </c>
      <c r="AS2206" s="65"/>
      <c r="AT2206" s="65" t="str">
        <f>IFERROR(__xludf.DUMMYFUNCTION("""COMPUTED_VALUE"""),"SHOPIFY")</f>
        <v>SHOPIFY</v>
      </c>
      <c r="AU2206" s="65" t="str">
        <f>IFERROR(__xludf.DUMMYFUNCTION("""COMPUTED_VALUE"""),"IMPORTEX EC")</f>
        <v>IMPORTEX EC</v>
      </c>
      <c r="AV2206" s="65" t="str">
        <f>IFERROR(__xludf.DUMMYFUNCTION("""COMPUTED_VALUE"""),"6403348365356")</f>
        <v>6403348365356</v>
      </c>
      <c r="AW2206" s="65">
        <f>IFERROR(__xludf.DUMMYFUNCTION("""COMPUTED_VALUE"""),4750.0)</f>
        <v>4750</v>
      </c>
      <c r="AX2206" s="65"/>
      <c r="AY2206" s="65" t="str">
        <f>IFERROR(__xludf.DUMMYFUNCTION("""COMPUTED_VALUE"""),"14/01/2026")</f>
        <v>14/01/2026</v>
      </c>
      <c r="AZ2206" s="65"/>
      <c r="BA2206" s="65"/>
    </row>
    <row r="2207">
      <c r="A2207" s="65" t="str">
        <f>IFERROR(__xludf.DUMMYFUNCTION("""COMPUTED_VALUE"""),"27-03-2026")</f>
        <v>27-03-2026</v>
      </c>
      <c r="B2207" s="65">
        <f>IFERROR(__xludf.DUMMYFUNCTION("""COMPUTED_VALUE"""),4089899.0)</f>
        <v>4089899</v>
      </c>
      <c r="C2207" s="65" t="str">
        <f>IFERROR(__xludf.DUMMYFUNCTION("""COMPUTED_VALUE"""),"05:19")</f>
        <v>05:19</v>
      </c>
      <c r="D2207" s="65" t="str">
        <f>IFERROR(__xludf.DUMMYFUNCTION("""COMPUTED_VALUE"""),"10-01-2026")</f>
        <v>10-01-2026</v>
      </c>
      <c r="E2207" s="65" t="str">
        <f>IFERROR(__xludf.DUMMYFUNCTION("""COMPUTED_VALUE"""),"Tomas Abarca")</f>
        <v>Tomas Abarca</v>
      </c>
      <c r="F2207" s="65" t="str">
        <f>IFERROR(__xludf.DUMMYFUNCTION("""COMPUTED_VALUE"""),"997007717")</f>
        <v>997007717</v>
      </c>
      <c r="G2207" s="65" t="str">
        <f>IFERROR(__xludf.DUMMYFUNCTION("""COMPUTED_VALUE"""),"tomy-abarcaq@hotmail.com")</f>
        <v>tomy-abarcaq@hotmail.com</v>
      </c>
      <c r="H2207" s="65"/>
      <c r="I2207" s="65"/>
      <c r="J2207" s="65" t="str">
        <f>IFERROR(__xludf.DUMMYFUNCTION("""COMPUTED_VALUE"""),"D001220166")</f>
        <v>D001220166</v>
      </c>
      <c r="K2207" s="65" t="str">
        <f>IFERROR(__xludf.DUMMYFUNCTION("""COMPUTED_VALUE"""),"ENTREGADO")</f>
        <v>ENTREGADO</v>
      </c>
      <c r="L2207" s="65" t="str">
        <f>IFERROR(__xludf.DUMMYFUNCTION("""COMPUTED_VALUE"""),"CON RECAUDO")</f>
        <v>CON RECAUDO</v>
      </c>
      <c r="M2207" s="65" t="str">
        <f>IFERROR(__xludf.DUMMYFUNCTION("""COMPUTED_VALUE"""),"GUAYAS")</f>
        <v>GUAYAS</v>
      </c>
      <c r="N2207" s="65" t="str">
        <f>IFERROR(__xludf.DUMMYFUNCTION("""COMPUTED_VALUE"""),"MILAGRO")</f>
        <v>MILAGRO</v>
      </c>
      <c r="O2207" s="65" t="str">
        <f>IFERROR(__xludf.DUMMYFUNCTION("""COMPUTED_VALUE"""),"Sector Talahua, Ciudadela Soma - Calle Olon y Calle Chimborazo, Ref. puente del camal, orilla del río, a dos cuadras justo detrás del camal municipal, casa esquinera, una planta con loza y cerramiento de tejas color beige.")</f>
        <v>Sector Talahua, Ciudadela Soma - Calle Olon y Calle Chimborazo, Ref. puente del camal, orilla del río, a dos cuadras justo detrás del camal municipal, casa esquinera, una planta con loza y cerramiento de tejas color beige.</v>
      </c>
      <c r="P2207" s="65"/>
      <c r="Q2207" s="65" t="str">
        <f>IFERROR(__xludf.DUMMYFUNCTION("""COMPUTED_VALUE"""),"GINTRACOM")</f>
        <v>GINTRACOM</v>
      </c>
      <c r="R2207" s="65">
        <f>IFERROR(__xludf.DUMMYFUNCTION("""COMPUTED_VALUE"""),25.0)</f>
        <v>25</v>
      </c>
      <c r="S2207" s="65">
        <f>IFERROR(__xludf.DUMMYFUNCTION("""COMPUTED_VALUE"""),14.04)</f>
        <v>14.04</v>
      </c>
      <c r="T2207" s="65">
        <f>IFERROR(__xludf.DUMMYFUNCTION("""COMPUTED_VALUE"""),5.38)</f>
        <v>5.38</v>
      </c>
      <c r="U2207" s="65">
        <f>IFERROR(__xludf.DUMMYFUNCTION("""COMPUTED_VALUE"""),0.0)</f>
        <v>0</v>
      </c>
      <c r="V2207" s="65">
        <f>IFERROR(__xludf.DUMMYFUNCTION("""COMPUTED_VALUE"""),0.0)</f>
        <v>0</v>
      </c>
      <c r="W2207" s="65">
        <f>IFERROR(__xludf.DUMMYFUNCTION("""COMPUTED_VALUE"""),0.0)</f>
        <v>0</v>
      </c>
      <c r="X2207" s="65">
        <f>IFERROR(__xludf.DUMMYFUNCTION("""COMPUTED_VALUE"""),2.79)</f>
        <v>2.79</v>
      </c>
      <c r="Y2207" s="65">
        <f>IFERROR(__xludf.DUMMYFUNCTION("""COMPUTED_VALUE"""),5.58)</f>
        <v>5.58</v>
      </c>
      <c r="Z2207" s="65">
        <f>IFERROR(__xludf.DUMMYFUNCTION("""COMPUTED_VALUE"""),120732.0)</f>
        <v>120732</v>
      </c>
      <c r="AA2207" s="65" t="str">
        <f>IFERROR(__xludf.DUMMYFUNCTION("""COMPUTED_VALUE"""),"PROV-LMPVT")</f>
        <v>PROV-LMPVT</v>
      </c>
      <c r="AB2207" s="65"/>
      <c r="AC2207" s="65" t="str">
        <f>IFERROR(__xludf.DUMMYFUNCTION("""COMPUTED_VALUE"""),"LIMPIADOR DE PARABRISAS Y VENTANAS")</f>
        <v>LIMPIADOR DE PARABRISAS Y VENTANAS</v>
      </c>
      <c r="AD2207" s="65"/>
      <c r="AE2207" s="65">
        <f>IFERROR(__xludf.DUMMYFUNCTION("""COMPUTED_VALUE"""),2.0)</f>
        <v>2</v>
      </c>
      <c r="AF2207" s="65"/>
      <c r="AG2207" s="65"/>
      <c r="AH2207" s="65"/>
      <c r="AI2207" s="65"/>
      <c r="AJ2207" s="65"/>
      <c r="AK2207" s="65"/>
      <c r="AL2207" s="65"/>
      <c r="AM2207" s="65"/>
      <c r="AN2207" s="65" t="str">
        <f>IFERROR(__xludf.DUMMYFUNCTION("""COMPUTED_VALUE"""),"01:30")</f>
        <v>01:30</v>
      </c>
      <c r="AO2207" s="65" t="str">
        <f>IFERROR(__xludf.DUMMYFUNCTION("""COMPUTED_VALUE"""),"18-01-2026")</f>
        <v>18-01-2026</v>
      </c>
      <c r="AP2207" s="65" t="str">
        <f>IFERROR(__xludf.DUMMYFUNCTION("""COMPUTED_VALUE"""),"ENTREGADA GINTRACOM")</f>
        <v>ENTREGADA GINTRACOM</v>
      </c>
      <c r="AQ2207" s="65" t="str">
        <f>IFERROR(__xludf.DUMMYFUNCTION("""COMPUTED_VALUE"""),"ENTREGADA GINTRACOM")</f>
        <v>ENTREGADA GINTRACOM</v>
      </c>
      <c r="AR2207" s="65"/>
      <c r="AS2207" s="65"/>
      <c r="AT2207" s="65" t="str">
        <f>IFERROR(__xludf.DUMMYFUNCTION("""COMPUTED_VALUE"""),"SHOPIFY")</f>
        <v>SHOPIFY</v>
      </c>
      <c r="AU2207" s="65" t="str">
        <f>IFERROR(__xludf.DUMMYFUNCTION("""COMPUTED_VALUE"""),"IMPORTEX EC")</f>
        <v>IMPORTEX EC</v>
      </c>
      <c r="AV2207" s="65" t="str">
        <f>IFERROR(__xludf.DUMMYFUNCTION("""COMPUTED_VALUE"""),"6403343253548")</f>
        <v>6403343253548</v>
      </c>
      <c r="AW2207" s="65">
        <f>IFERROR(__xludf.DUMMYFUNCTION("""COMPUTED_VALUE"""),4749.0)</f>
        <v>4749</v>
      </c>
      <c r="AX2207" s="65"/>
      <c r="AY2207" s="65" t="str">
        <f>IFERROR(__xludf.DUMMYFUNCTION("""COMPUTED_VALUE"""),"13/01/2026")</f>
        <v>13/01/2026</v>
      </c>
      <c r="AZ2207" s="65"/>
      <c r="BA2207" s="65"/>
    </row>
    <row r="2208">
      <c r="A2208" s="65" t="str">
        <f>IFERROR(__xludf.DUMMYFUNCTION("""COMPUTED_VALUE"""),"27-03-2026")</f>
        <v>27-03-2026</v>
      </c>
      <c r="B2208" s="65">
        <f>IFERROR(__xludf.DUMMYFUNCTION("""COMPUTED_VALUE"""),4089749.0)</f>
        <v>4089749</v>
      </c>
      <c r="C2208" s="65" t="str">
        <f>IFERROR(__xludf.DUMMYFUNCTION("""COMPUTED_VALUE"""),"03:42")</f>
        <v>03:42</v>
      </c>
      <c r="D2208" s="65" t="str">
        <f>IFERROR(__xludf.DUMMYFUNCTION("""COMPUTED_VALUE"""),"10-01-2026")</f>
        <v>10-01-2026</v>
      </c>
      <c r="E2208" s="65" t="str">
        <f>IFERROR(__xludf.DUMMYFUNCTION("""COMPUTED_VALUE"""),"FELIPE CORDERO CUEVA")</f>
        <v>FELIPE CORDERO CUEVA</v>
      </c>
      <c r="F2208" s="65" t="str">
        <f>IFERROR(__xludf.DUMMYFUNCTION("""COMPUTED_VALUE"""),"999882314")</f>
        <v>999882314</v>
      </c>
      <c r="G2208" s="65" t="str">
        <f>IFERROR(__xludf.DUMMYFUNCTION("""COMPUTED_VALUE"""),"felicorcue@hotmail.com")</f>
        <v>felicorcue@hotmail.com</v>
      </c>
      <c r="H2208" s="65"/>
      <c r="I2208" s="65"/>
      <c r="J2208" s="65"/>
      <c r="K2208" s="65" t="str">
        <f>IFERROR(__xludf.DUMMYFUNCTION("""COMPUTED_VALUE"""),"PENDIENTE CONFIRMACION")</f>
        <v>PENDIENTE CONFIRMACION</v>
      </c>
      <c r="L2208" s="65" t="str">
        <f>IFERROR(__xludf.DUMMYFUNCTION("""COMPUTED_VALUE"""),"CON RECAUDO")</f>
        <v>CON RECAUDO</v>
      </c>
      <c r="M2208" s="65" t="str">
        <f>IFERROR(__xludf.DUMMYFUNCTION("""COMPUTED_VALUE"""),"AZUAY")</f>
        <v>AZUAY</v>
      </c>
      <c r="N2208" s="65" t="str">
        <f>IFERROR(__xludf.DUMMYFUNCTION("""COMPUTED_VALUE"""),"CUENCA")</f>
        <v>CUENCA</v>
      </c>
      <c r="O2208" s="65" t="str">
        <f>IFERROR(__xludf.DUMMYFUNCTION("""COMPUTED_VALUE"""),"CALLE DEL CHIROTE 108 Y GAVIOTAS")</f>
        <v>CALLE DEL CHIROTE 108 Y GAVIOTAS</v>
      </c>
      <c r="P2208" s="65" t="str">
        <f>IFERROR(__xludf.DUMMYFUNCTION("""COMPUTED_VALUE"""),"LIMPIADOR DE PARABRISAS Y VENTANAS: Default Title ***")</f>
        <v>LIMPIADOR DE PARABRISAS Y VENTANAS: Default Title ***</v>
      </c>
      <c r="Q2208" s="65" t="str">
        <f>IFERROR(__xludf.DUMMYFUNCTION("""COMPUTED_VALUE"""),"GINTRACOM")</f>
        <v>GINTRACOM</v>
      </c>
      <c r="R2208" s="65">
        <f>IFERROR(__xludf.DUMMYFUNCTION("""COMPUTED_VALUE"""),20.0)</f>
        <v>20</v>
      </c>
      <c r="S2208" s="65"/>
      <c r="T2208" s="65">
        <f>IFERROR(__xludf.DUMMYFUNCTION("""COMPUTED_VALUE"""),5.76)</f>
        <v>5.76</v>
      </c>
      <c r="U2208" s="65">
        <f>IFERROR(__xludf.DUMMYFUNCTION("""COMPUTED_VALUE"""),0.0)</f>
        <v>0</v>
      </c>
      <c r="V2208" s="65">
        <f>IFERROR(__xludf.DUMMYFUNCTION("""COMPUTED_VALUE"""),0.0)</f>
        <v>0</v>
      </c>
      <c r="W2208" s="65">
        <f>IFERROR(__xludf.DUMMYFUNCTION("""COMPUTED_VALUE"""),0.0)</f>
        <v>0</v>
      </c>
      <c r="X2208" s="65">
        <f>IFERROR(__xludf.DUMMYFUNCTION("""COMPUTED_VALUE"""),2.79)</f>
        <v>2.79</v>
      </c>
      <c r="Y2208" s="65">
        <f>IFERROR(__xludf.DUMMYFUNCTION("""COMPUTED_VALUE"""),2.79)</f>
        <v>2.79</v>
      </c>
      <c r="Z2208" s="65">
        <f>IFERROR(__xludf.DUMMYFUNCTION("""COMPUTED_VALUE"""),120732.0)</f>
        <v>120732</v>
      </c>
      <c r="AA2208" s="65" t="str">
        <f>IFERROR(__xludf.DUMMYFUNCTION("""COMPUTED_VALUE"""),"PROV-LMPVT")</f>
        <v>PROV-LMPVT</v>
      </c>
      <c r="AB2208" s="65"/>
      <c r="AC2208" s="65" t="str">
        <f>IFERROR(__xludf.DUMMYFUNCTION("""COMPUTED_VALUE"""),"LIMPIADOR DE PARABRISAS Y VENTANAS")</f>
        <v>LIMPIADOR DE PARABRISAS Y VENTANAS</v>
      </c>
      <c r="AD2208" s="65"/>
      <c r="AE2208" s="65">
        <f>IFERROR(__xludf.DUMMYFUNCTION("""COMPUTED_VALUE"""),1.0)</f>
        <v>1</v>
      </c>
      <c r="AF2208" s="65"/>
      <c r="AG2208" s="65"/>
      <c r="AH2208" s="65"/>
      <c r="AI2208" s="65"/>
      <c r="AJ2208" s="65"/>
      <c r="AK2208" s="65"/>
      <c r="AL2208" s="65"/>
      <c r="AM2208" s="65"/>
      <c r="AN2208" s="65"/>
      <c r="AO2208" s="65"/>
      <c r="AP2208" s="65"/>
      <c r="AQ2208" s="65"/>
      <c r="AR2208" s="65"/>
      <c r="AS2208" s="65"/>
      <c r="AT2208" s="65" t="str">
        <f>IFERROR(__xludf.DUMMYFUNCTION("""COMPUTED_VALUE"""),"SHOPIFY")</f>
        <v>SHOPIFY</v>
      </c>
      <c r="AU2208" s="65" t="str">
        <f>IFERROR(__xludf.DUMMYFUNCTION("""COMPUTED_VALUE"""),"IMPORTEX EC")</f>
        <v>IMPORTEX EC</v>
      </c>
      <c r="AV2208" s="65" t="str">
        <f>IFERROR(__xludf.DUMMYFUNCTION("""COMPUTED_VALUE"""),"6403289743404")</f>
        <v>6403289743404</v>
      </c>
      <c r="AW2208" s="65">
        <f>IFERROR(__xludf.DUMMYFUNCTION("""COMPUTED_VALUE"""),4748.0)</f>
        <v>4748</v>
      </c>
      <c r="AX2208" s="65"/>
      <c r="AY2208" s="65"/>
      <c r="AZ2208" s="65"/>
      <c r="BA2208" s="65"/>
    </row>
    <row r="2209">
      <c r="A2209" s="65" t="str">
        <f>IFERROR(__xludf.DUMMYFUNCTION("""COMPUTED_VALUE"""),"27-03-2026")</f>
        <v>27-03-2026</v>
      </c>
      <c r="B2209" s="65">
        <f>IFERROR(__xludf.DUMMYFUNCTION("""COMPUTED_VALUE"""),4087697.0)</f>
        <v>4087697</v>
      </c>
      <c r="C2209" s="65" t="str">
        <f>IFERROR(__xludf.DUMMYFUNCTION("""COMPUTED_VALUE"""),"21:37")</f>
        <v>21:37</v>
      </c>
      <c r="D2209" s="65" t="str">
        <f>IFERROR(__xludf.DUMMYFUNCTION("""COMPUTED_VALUE"""),"09-01-2026")</f>
        <v>09-01-2026</v>
      </c>
      <c r="E2209" s="65" t="str">
        <f>IFERROR(__xludf.DUMMYFUNCTION("""COMPUTED_VALUE"""),"Jimmy Moreira medina")</f>
        <v>Jimmy Moreira medina</v>
      </c>
      <c r="F2209" s="65" t="str">
        <f>IFERROR(__xludf.DUMMYFUNCTION("""COMPUTED_VALUE"""),"997842720")</f>
        <v>997842720</v>
      </c>
      <c r="G2209" s="65" t="str">
        <f>IFERROR(__xludf.DUMMYFUNCTION("""COMPUTED_VALUE"""),"jimmymoreira73@hotmail.com")</f>
        <v>jimmymoreira73@hotmail.com</v>
      </c>
      <c r="H2209" s="65"/>
      <c r="I2209" s="65"/>
      <c r="J2209" s="65"/>
      <c r="K2209" s="65" t="str">
        <f>IFERROR(__xludf.DUMMYFUNCTION("""COMPUTED_VALUE"""),"CANCELADO")</f>
        <v>CANCELADO</v>
      </c>
      <c r="L2209" s="65" t="str">
        <f>IFERROR(__xludf.DUMMYFUNCTION("""COMPUTED_VALUE"""),"CON RECAUDO")</f>
        <v>CON RECAUDO</v>
      </c>
      <c r="M2209" s="65" t="str">
        <f>IFERROR(__xludf.DUMMYFUNCTION("""COMPUTED_VALUE"""),"GUAYAS")</f>
        <v>GUAYAS</v>
      </c>
      <c r="N2209" s="65" t="str">
        <f>IFERROR(__xludf.DUMMYFUNCTION("""COMPUTED_VALUE"""),"GUAYAQUIL")</f>
        <v>GUAYAQUIL</v>
      </c>
      <c r="O2209" s="65" t="str">
        <f>IFERROR(__xludf.DUMMYFUNCTION("""COMPUTED_VALUE"""),"Francisco segura y la 42 ava Parroquia febres cordero -")</f>
        <v>Francisco segura y la 42 ava Parroquia febres cordero -</v>
      </c>
      <c r="P2209" s="65"/>
      <c r="Q2209" s="65" t="str">
        <f>IFERROR(__xludf.DUMMYFUNCTION("""COMPUTED_VALUE"""),"GINTRACOM")</f>
        <v>GINTRACOM</v>
      </c>
      <c r="R2209" s="65">
        <f>IFERROR(__xludf.DUMMYFUNCTION("""COMPUTED_VALUE"""),20.0)</f>
        <v>20</v>
      </c>
      <c r="S2209" s="65"/>
      <c r="T2209" s="65">
        <f>IFERROR(__xludf.DUMMYFUNCTION("""COMPUTED_VALUE"""),4.15)</f>
        <v>4.15</v>
      </c>
      <c r="U2209" s="65">
        <f>IFERROR(__xludf.DUMMYFUNCTION("""COMPUTED_VALUE"""),0.0)</f>
        <v>0</v>
      </c>
      <c r="V2209" s="65">
        <f>IFERROR(__xludf.DUMMYFUNCTION("""COMPUTED_VALUE"""),0.0)</f>
        <v>0</v>
      </c>
      <c r="W2209" s="65">
        <f>IFERROR(__xludf.DUMMYFUNCTION("""COMPUTED_VALUE"""),0.0)</f>
        <v>0</v>
      </c>
      <c r="X2209" s="65">
        <f>IFERROR(__xludf.DUMMYFUNCTION("""COMPUTED_VALUE"""),2.79)</f>
        <v>2.79</v>
      </c>
      <c r="Y2209" s="65">
        <f>IFERROR(__xludf.DUMMYFUNCTION("""COMPUTED_VALUE"""),2.79)</f>
        <v>2.79</v>
      </c>
      <c r="Z2209" s="65">
        <f>IFERROR(__xludf.DUMMYFUNCTION("""COMPUTED_VALUE"""),120732.0)</f>
        <v>120732</v>
      </c>
      <c r="AA2209" s="65" t="str">
        <f>IFERROR(__xludf.DUMMYFUNCTION("""COMPUTED_VALUE"""),"PROV-LMPVT")</f>
        <v>PROV-LMPVT</v>
      </c>
      <c r="AB2209" s="65"/>
      <c r="AC2209" s="65" t="str">
        <f>IFERROR(__xludf.DUMMYFUNCTION("""COMPUTED_VALUE"""),"LIMPIADOR DE PARABRISAS Y VENTANAS")</f>
        <v>LIMPIADOR DE PARABRISAS Y VENTANAS</v>
      </c>
      <c r="AD2209" s="65"/>
      <c r="AE2209" s="65">
        <f>IFERROR(__xludf.DUMMYFUNCTION("""COMPUTED_VALUE"""),1.0)</f>
        <v>1</v>
      </c>
      <c r="AF2209" s="65"/>
      <c r="AG2209" s="65"/>
      <c r="AH2209" s="65"/>
      <c r="AI2209" s="65"/>
      <c r="AJ2209" s="65"/>
      <c r="AK2209" s="65"/>
      <c r="AL2209" s="65"/>
      <c r="AM2209" s="65"/>
      <c r="AN2209" s="65"/>
      <c r="AO2209" s="65"/>
      <c r="AP2209" s="65"/>
      <c r="AQ2209" s="65"/>
      <c r="AR2209" s="65"/>
      <c r="AS2209" s="65"/>
      <c r="AT2209" s="65" t="str">
        <f>IFERROR(__xludf.DUMMYFUNCTION("""COMPUTED_VALUE"""),"SHOPIFY")</f>
        <v>SHOPIFY</v>
      </c>
      <c r="AU2209" s="65" t="str">
        <f>IFERROR(__xludf.DUMMYFUNCTION("""COMPUTED_VALUE"""),"IMPORTEX EC")</f>
        <v>IMPORTEX EC</v>
      </c>
      <c r="AV2209" s="65" t="str">
        <f>IFERROR(__xludf.DUMMYFUNCTION("""COMPUTED_VALUE"""),"6402710405164")</f>
        <v>6402710405164</v>
      </c>
      <c r="AW2209" s="65">
        <f>IFERROR(__xludf.DUMMYFUNCTION("""COMPUTED_VALUE"""),4747.0)</f>
        <v>4747</v>
      </c>
      <c r="AX2209" s="65"/>
      <c r="AY2209" s="65"/>
      <c r="AZ2209" s="65"/>
      <c r="BA2209" s="65"/>
    </row>
    <row r="2210">
      <c r="A2210" s="65" t="str">
        <f>IFERROR(__xludf.DUMMYFUNCTION("""COMPUTED_VALUE"""),"27-03-2026")</f>
        <v>27-03-2026</v>
      </c>
      <c r="B2210" s="65">
        <f>IFERROR(__xludf.DUMMYFUNCTION("""COMPUTED_VALUE"""),4087585.0)</f>
        <v>4087585</v>
      </c>
      <c r="C2210" s="65" t="str">
        <f>IFERROR(__xludf.DUMMYFUNCTION("""COMPUTED_VALUE"""),"21:28")</f>
        <v>21:28</v>
      </c>
      <c r="D2210" s="65" t="str">
        <f>IFERROR(__xludf.DUMMYFUNCTION("""COMPUTED_VALUE"""),"09-01-2026")</f>
        <v>09-01-2026</v>
      </c>
      <c r="E2210" s="65" t="str">
        <f>IFERROR(__xludf.DUMMYFUNCTION("""COMPUTED_VALUE"""),"JUAN CARLOS CARRILLO")</f>
        <v>JUAN CARLOS CARRILLO</v>
      </c>
      <c r="F2210" s="65" t="str">
        <f>IFERROR(__xludf.DUMMYFUNCTION("""COMPUTED_VALUE"""),"986810132")</f>
        <v>986810132</v>
      </c>
      <c r="G2210" s="65" t="str">
        <f>IFERROR(__xludf.DUMMYFUNCTION("""COMPUTED_VALUE"""),"jccarrillo_pazos1973@hotmail.com")</f>
        <v>jccarrillo_pazos1973@hotmail.com</v>
      </c>
      <c r="H2210" s="65"/>
      <c r="I2210" s="65"/>
      <c r="J2210" s="65"/>
      <c r="K2210" s="65" t="str">
        <f>IFERROR(__xludf.DUMMYFUNCTION("""COMPUTED_VALUE"""),"CANCELADO")</f>
        <v>CANCELADO</v>
      </c>
      <c r="L2210" s="65" t="str">
        <f>IFERROR(__xludf.DUMMYFUNCTION("""COMPUTED_VALUE"""),"CON RECAUDO")</f>
        <v>CON RECAUDO</v>
      </c>
      <c r="M2210" s="65" t="str">
        <f>IFERROR(__xludf.DUMMYFUNCTION("""COMPUTED_VALUE"""),"GUAYAS")</f>
        <v>GUAYAS</v>
      </c>
      <c r="N2210" s="65" t="str">
        <f>IFERROR(__xludf.DUMMYFUNCTION("""COMPUTED_VALUE"""),"GUAYAQUIL")</f>
        <v>GUAYAQUIL</v>
      </c>
      <c r="O2210" s="65" t="str">
        <f>IFERROR(__xludf.DUMMYFUNCTION("""COMPUTED_VALUE"""),"FRENTE A DENTAL VASQUEZ y DIAGONAL AL DISENSA -")</f>
        <v>FRENTE A DENTAL VASQUEZ y DIAGONAL AL DISENSA -</v>
      </c>
      <c r="P2210" s="65"/>
      <c r="Q2210" s="65" t="str">
        <f>IFERROR(__xludf.DUMMYFUNCTION("""COMPUTED_VALUE"""),"GINTRACOM")</f>
        <v>GINTRACOM</v>
      </c>
      <c r="R2210" s="65">
        <f>IFERROR(__xludf.DUMMYFUNCTION("""COMPUTED_VALUE"""),20.0)</f>
        <v>20</v>
      </c>
      <c r="S2210" s="65"/>
      <c r="T2210" s="65">
        <f>IFERROR(__xludf.DUMMYFUNCTION("""COMPUTED_VALUE"""),4.15)</f>
        <v>4.15</v>
      </c>
      <c r="U2210" s="65">
        <f>IFERROR(__xludf.DUMMYFUNCTION("""COMPUTED_VALUE"""),0.0)</f>
        <v>0</v>
      </c>
      <c r="V2210" s="65">
        <f>IFERROR(__xludf.DUMMYFUNCTION("""COMPUTED_VALUE"""),0.0)</f>
        <v>0</v>
      </c>
      <c r="W2210" s="65">
        <f>IFERROR(__xludf.DUMMYFUNCTION("""COMPUTED_VALUE"""),0.0)</f>
        <v>0</v>
      </c>
      <c r="X2210" s="65">
        <f>IFERROR(__xludf.DUMMYFUNCTION("""COMPUTED_VALUE"""),2.79)</f>
        <v>2.79</v>
      </c>
      <c r="Y2210" s="65">
        <f>IFERROR(__xludf.DUMMYFUNCTION("""COMPUTED_VALUE"""),2.79)</f>
        <v>2.79</v>
      </c>
      <c r="Z2210" s="65">
        <f>IFERROR(__xludf.DUMMYFUNCTION("""COMPUTED_VALUE"""),120732.0)</f>
        <v>120732</v>
      </c>
      <c r="AA2210" s="65" t="str">
        <f>IFERROR(__xludf.DUMMYFUNCTION("""COMPUTED_VALUE"""),"PROV-LMPVT")</f>
        <v>PROV-LMPVT</v>
      </c>
      <c r="AB2210" s="65"/>
      <c r="AC2210" s="65" t="str">
        <f>IFERROR(__xludf.DUMMYFUNCTION("""COMPUTED_VALUE"""),"LIMPIADOR DE PARABRISAS Y VENTANAS")</f>
        <v>LIMPIADOR DE PARABRISAS Y VENTANAS</v>
      </c>
      <c r="AD2210" s="65"/>
      <c r="AE2210" s="65">
        <f>IFERROR(__xludf.DUMMYFUNCTION("""COMPUTED_VALUE"""),1.0)</f>
        <v>1</v>
      </c>
      <c r="AF2210" s="65"/>
      <c r="AG2210" s="65"/>
      <c r="AH2210" s="65"/>
      <c r="AI2210" s="65"/>
      <c r="AJ2210" s="65"/>
      <c r="AK2210" s="65"/>
      <c r="AL2210" s="65"/>
      <c r="AM2210" s="65"/>
      <c r="AN2210" s="65"/>
      <c r="AO2210" s="65"/>
      <c r="AP2210" s="65"/>
      <c r="AQ2210" s="65"/>
      <c r="AR2210" s="65"/>
      <c r="AS2210" s="65"/>
      <c r="AT2210" s="65" t="str">
        <f>IFERROR(__xludf.DUMMYFUNCTION("""COMPUTED_VALUE"""),"SHOPIFY")</f>
        <v>SHOPIFY</v>
      </c>
      <c r="AU2210" s="65" t="str">
        <f>IFERROR(__xludf.DUMMYFUNCTION("""COMPUTED_VALUE"""),"IMPORTEX EC")</f>
        <v>IMPORTEX EC</v>
      </c>
      <c r="AV2210" s="65" t="str">
        <f>IFERROR(__xludf.DUMMYFUNCTION("""COMPUTED_VALUE"""),"6402694119468")</f>
        <v>6402694119468</v>
      </c>
      <c r="AW2210" s="65">
        <f>IFERROR(__xludf.DUMMYFUNCTION("""COMPUTED_VALUE"""),4746.0)</f>
        <v>4746</v>
      </c>
      <c r="AX2210" s="65"/>
      <c r="AY2210" s="65"/>
      <c r="AZ2210" s="65"/>
      <c r="BA2210" s="65"/>
    </row>
    <row r="2211">
      <c r="A2211" s="65" t="str">
        <f>IFERROR(__xludf.DUMMYFUNCTION("""COMPUTED_VALUE"""),"27-03-2026")</f>
        <v>27-03-2026</v>
      </c>
      <c r="B2211" s="65">
        <f>IFERROR(__xludf.DUMMYFUNCTION("""COMPUTED_VALUE"""),4086953.0)</f>
        <v>4086953</v>
      </c>
      <c r="C2211" s="65" t="str">
        <f>IFERROR(__xludf.DUMMYFUNCTION("""COMPUTED_VALUE"""),"20:29")</f>
        <v>20:29</v>
      </c>
      <c r="D2211" s="65" t="str">
        <f>IFERROR(__xludf.DUMMYFUNCTION("""COMPUTED_VALUE"""),"09-01-2026")</f>
        <v>09-01-2026</v>
      </c>
      <c r="E2211" s="65" t="str">
        <f>IFERROR(__xludf.DUMMYFUNCTION("""COMPUTED_VALUE"""),"Martha Ortiz")</f>
        <v>Martha Ortiz</v>
      </c>
      <c r="F2211" s="65" t="str">
        <f>IFERROR(__xludf.DUMMYFUNCTION("""COMPUTED_VALUE"""),"967544373")</f>
        <v>967544373</v>
      </c>
      <c r="G2211" s="65" t="str">
        <f>IFERROR(__xludf.DUMMYFUNCTION("""COMPUTED_VALUE"""),"0967544373ve@gmail.com")</f>
        <v>0967544373ve@gmail.com</v>
      </c>
      <c r="H2211" s="65"/>
      <c r="I2211" s="65"/>
      <c r="J2211" s="65"/>
      <c r="K2211" s="65" t="str">
        <f>IFERROR(__xludf.DUMMYFUNCTION("""COMPUTED_VALUE"""),"CANCELADO")</f>
        <v>CANCELADO</v>
      </c>
      <c r="L2211" s="65" t="str">
        <f>IFERROR(__xludf.DUMMYFUNCTION("""COMPUTED_VALUE"""),"CON RECAUDO")</f>
        <v>CON RECAUDO</v>
      </c>
      <c r="M2211" s="65" t="str">
        <f>IFERROR(__xludf.DUMMYFUNCTION("""COMPUTED_VALUE"""),"AZUAY")</f>
        <v>AZUAY</v>
      </c>
      <c r="N2211" s="65" t="str">
        <f>IFERROR(__xludf.DUMMYFUNCTION("""COMPUTED_VALUE"""),"CUENCA")</f>
        <v>CUENCA</v>
      </c>
      <c r="O2211" s="65" t="str">
        <f>IFERROR(__xludf.DUMMYFUNCTION("""COMPUTED_VALUE"""),"1 septiembre 𝐸𝑛𝑡𝑟𝑎𝑑𝑎 𝑎 𝑙𝑜𝑠 𝑡𝑖𝑙𝑜𝑠 𝑞𝑢𝑖𝑛𝑡𝑎 mogrobejo -")</f>
        <v>1 septiembre 𝐸𝑛𝑡𝑟𝑎𝑑𝑎 𝑎 𝑙𝑜𝑠 𝑡𝑖𝑙𝑜𝑠 𝑞𝑢𝑖𝑛𝑡𝑎 mogrobejo -</v>
      </c>
      <c r="P2211" s="65"/>
      <c r="Q2211" s="65" t="str">
        <f>IFERROR(__xludf.DUMMYFUNCTION("""COMPUTED_VALUE"""),"GINTRACOM")</f>
        <v>GINTRACOM</v>
      </c>
      <c r="R2211" s="65">
        <f>IFERROR(__xludf.DUMMYFUNCTION("""COMPUTED_VALUE"""),30.0)</f>
        <v>30</v>
      </c>
      <c r="S2211" s="65"/>
      <c r="T2211" s="65">
        <f>IFERROR(__xludf.DUMMYFUNCTION("""COMPUTED_VALUE"""),6.16)</f>
        <v>6.16</v>
      </c>
      <c r="U2211" s="65">
        <f>IFERROR(__xludf.DUMMYFUNCTION("""COMPUTED_VALUE"""),0.0)</f>
        <v>0</v>
      </c>
      <c r="V2211" s="65">
        <f>IFERROR(__xludf.DUMMYFUNCTION("""COMPUTED_VALUE"""),0.0)</f>
        <v>0</v>
      </c>
      <c r="W2211" s="65">
        <f>IFERROR(__xludf.DUMMYFUNCTION("""COMPUTED_VALUE"""),0.0)</f>
        <v>0</v>
      </c>
      <c r="X2211" s="65">
        <f>IFERROR(__xludf.DUMMYFUNCTION("""COMPUTED_VALUE"""),2.79)</f>
        <v>2.79</v>
      </c>
      <c r="Y2211" s="65">
        <f>IFERROR(__xludf.DUMMYFUNCTION("""COMPUTED_VALUE"""),8.37)</f>
        <v>8.37</v>
      </c>
      <c r="Z2211" s="65">
        <f>IFERROR(__xludf.DUMMYFUNCTION("""COMPUTED_VALUE"""),120732.0)</f>
        <v>120732</v>
      </c>
      <c r="AA2211" s="65" t="str">
        <f>IFERROR(__xludf.DUMMYFUNCTION("""COMPUTED_VALUE"""),"PROV-LMPVT")</f>
        <v>PROV-LMPVT</v>
      </c>
      <c r="AB2211" s="65"/>
      <c r="AC2211" s="65" t="str">
        <f>IFERROR(__xludf.DUMMYFUNCTION("""COMPUTED_VALUE"""),"LIMPIADOR DE PARABRISAS Y VENTANAS")</f>
        <v>LIMPIADOR DE PARABRISAS Y VENTANAS</v>
      </c>
      <c r="AD2211" s="65"/>
      <c r="AE2211" s="65">
        <f>IFERROR(__xludf.DUMMYFUNCTION("""COMPUTED_VALUE"""),3.0)</f>
        <v>3</v>
      </c>
      <c r="AF2211" s="65"/>
      <c r="AG2211" s="65"/>
      <c r="AH2211" s="65"/>
      <c r="AI2211" s="65"/>
      <c r="AJ2211" s="65"/>
      <c r="AK2211" s="65"/>
      <c r="AL2211" s="65"/>
      <c r="AM2211" s="65"/>
      <c r="AN2211" s="65"/>
      <c r="AO2211" s="65"/>
      <c r="AP2211" s="65"/>
      <c r="AQ2211" s="65"/>
      <c r="AR2211" s="65"/>
      <c r="AS2211" s="65"/>
      <c r="AT2211" s="65" t="str">
        <f>IFERROR(__xludf.DUMMYFUNCTION("""COMPUTED_VALUE"""),"SHOPIFY")</f>
        <v>SHOPIFY</v>
      </c>
      <c r="AU2211" s="65" t="str">
        <f>IFERROR(__xludf.DUMMYFUNCTION("""COMPUTED_VALUE"""),"IMPORTEX EC")</f>
        <v>IMPORTEX EC</v>
      </c>
      <c r="AV2211" s="65" t="str">
        <f>IFERROR(__xludf.DUMMYFUNCTION("""COMPUTED_VALUE"""),"6402567569452")</f>
        <v>6402567569452</v>
      </c>
      <c r="AW2211" s="65">
        <f>IFERROR(__xludf.DUMMYFUNCTION("""COMPUTED_VALUE"""),4745.0)</f>
        <v>4745</v>
      </c>
      <c r="AX2211" s="65"/>
      <c r="AY2211" s="65"/>
      <c r="AZ2211" s="65"/>
      <c r="BA2211" s="65"/>
    </row>
    <row r="2212">
      <c r="A2212" s="65" t="str">
        <f>IFERROR(__xludf.DUMMYFUNCTION("""COMPUTED_VALUE"""),"27-03-2026")</f>
        <v>27-03-2026</v>
      </c>
      <c r="B2212" s="65">
        <f>IFERROR(__xludf.DUMMYFUNCTION("""COMPUTED_VALUE"""),4086793.0)</f>
        <v>4086793</v>
      </c>
      <c r="C2212" s="65" t="str">
        <f>IFERROR(__xludf.DUMMYFUNCTION("""COMPUTED_VALUE"""),"20:16")</f>
        <v>20:16</v>
      </c>
      <c r="D2212" s="65" t="str">
        <f>IFERROR(__xludf.DUMMYFUNCTION("""COMPUTED_VALUE"""),"09-01-2026")</f>
        <v>09-01-2026</v>
      </c>
      <c r="E2212" s="65" t="str">
        <f>IFERROR(__xludf.DUMMYFUNCTION("""COMPUTED_VALUE"""),"Darwin Aveiga")</f>
        <v>Darwin Aveiga</v>
      </c>
      <c r="F2212" s="65" t="str">
        <f>IFERROR(__xludf.DUMMYFUNCTION("""COMPUTED_VALUE"""),"993861900")</f>
        <v>993861900</v>
      </c>
      <c r="G2212" s="65" t="str">
        <f>IFERROR(__xludf.DUMMYFUNCTION("""COMPUTED_VALUE"""),"aveigad17@gmail.com")</f>
        <v>aveigad17@gmail.com</v>
      </c>
      <c r="H2212" s="65"/>
      <c r="I2212" s="65"/>
      <c r="J2212" s="65"/>
      <c r="K2212" s="65" t="str">
        <f>IFERROR(__xludf.DUMMYFUNCTION("""COMPUTED_VALUE"""),"CANCELADO")</f>
        <v>CANCELADO</v>
      </c>
      <c r="L2212" s="65" t="str">
        <f>IFERROR(__xludf.DUMMYFUNCTION("""COMPUTED_VALUE"""),"CON RECAUDO")</f>
        <v>CON RECAUDO</v>
      </c>
      <c r="M2212" s="65" t="str">
        <f>IFERROR(__xludf.DUMMYFUNCTION("""COMPUTED_VALUE"""),"AZUAY")</f>
        <v>AZUAY</v>
      </c>
      <c r="N2212" s="65" t="str">
        <f>IFERROR(__xludf.DUMMYFUNCTION("""COMPUTED_VALUE"""),"PONCE ENRIQUEZ")</f>
        <v>PONCE ENRIQUEZ</v>
      </c>
      <c r="O2212" s="65" t="str">
        <f>IFERROR(__xludf.DUMMYFUNCTION("""COMPUTED_VALUE"""),"-")</f>
        <v>-</v>
      </c>
      <c r="P2212" s="65" t="str">
        <f>IFERROR(__xludf.DUMMYFUNCTION("""COMPUTED_VALUE"""),"LIMPIADOR DE PARABRISAS Y VENTANAS: Default Title ***")</f>
        <v>LIMPIADOR DE PARABRISAS Y VENTANAS: Default Title ***</v>
      </c>
      <c r="Q2212" s="65" t="str">
        <f>IFERROR(__xludf.DUMMYFUNCTION("""COMPUTED_VALUE"""),"SERVIENTREGA")</f>
        <v>SERVIENTREGA</v>
      </c>
      <c r="R2212" s="65">
        <f>IFERROR(__xludf.DUMMYFUNCTION("""COMPUTED_VALUE"""),20.0)</f>
        <v>20</v>
      </c>
      <c r="S2212" s="65"/>
      <c r="T2212" s="65">
        <f>IFERROR(__xludf.DUMMYFUNCTION("""COMPUTED_VALUE"""),7.67)</f>
        <v>7.67</v>
      </c>
      <c r="U2212" s="65">
        <f>IFERROR(__xludf.DUMMYFUNCTION("""COMPUTED_VALUE"""),0.0)</f>
        <v>0</v>
      </c>
      <c r="V2212" s="65">
        <f>IFERROR(__xludf.DUMMYFUNCTION("""COMPUTED_VALUE"""),0.0)</f>
        <v>0</v>
      </c>
      <c r="W2212" s="65">
        <f>IFERROR(__xludf.DUMMYFUNCTION("""COMPUTED_VALUE"""),0.0)</f>
        <v>0</v>
      </c>
      <c r="X2212" s="65">
        <f>IFERROR(__xludf.DUMMYFUNCTION("""COMPUTED_VALUE"""),2.79)</f>
        <v>2.79</v>
      </c>
      <c r="Y2212" s="65">
        <f>IFERROR(__xludf.DUMMYFUNCTION("""COMPUTED_VALUE"""),2.79)</f>
        <v>2.79</v>
      </c>
      <c r="Z2212" s="65">
        <f>IFERROR(__xludf.DUMMYFUNCTION("""COMPUTED_VALUE"""),120732.0)</f>
        <v>120732</v>
      </c>
      <c r="AA2212" s="65" t="str">
        <f>IFERROR(__xludf.DUMMYFUNCTION("""COMPUTED_VALUE"""),"PROV-LMPVT")</f>
        <v>PROV-LMPVT</v>
      </c>
      <c r="AB2212" s="65"/>
      <c r="AC2212" s="65" t="str">
        <f>IFERROR(__xludf.DUMMYFUNCTION("""COMPUTED_VALUE"""),"LIMPIADOR DE PARABRISAS Y VENTANAS")</f>
        <v>LIMPIADOR DE PARABRISAS Y VENTANAS</v>
      </c>
      <c r="AD2212" s="65"/>
      <c r="AE2212" s="65">
        <f>IFERROR(__xludf.DUMMYFUNCTION("""COMPUTED_VALUE"""),1.0)</f>
        <v>1</v>
      </c>
      <c r="AF2212" s="65"/>
      <c r="AG2212" s="65"/>
      <c r="AH2212" s="65"/>
      <c r="AI2212" s="65"/>
      <c r="AJ2212" s="65"/>
      <c r="AK2212" s="65"/>
      <c r="AL2212" s="65"/>
      <c r="AM2212" s="65"/>
      <c r="AN2212" s="65"/>
      <c r="AO2212" s="65"/>
      <c r="AP2212" s="65"/>
      <c r="AQ2212" s="65"/>
      <c r="AR2212" s="65"/>
      <c r="AS2212" s="65"/>
      <c r="AT2212" s="65" t="str">
        <f>IFERROR(__xludf.DUMMYFUNCTION("""COMPUTED_VALUE"""),"SHOPIFY")</f>
        <v>SHOPIFY</v>
      </c>
      <c r="AU2212" s="65" t="str">
        <f>IFERROR(__xludf.DUMMYFUNCTION("""COMPUTED_VALUE"""),"IMPORTEX EC")</f>
        <v>IMPORTEX EC</v>
      </c>
      <c r="AV2212" s="65" t="str">
        <f>IFERROR(__xludf.DUMMYFUNCTION("""COMPUTED_VALUE"""),"6402532081708")</f>
        <v>6402532081708</v>
      </c>
      <c r="AW2212" s="65">
        <f>IFERROR(__xludf.DUMMYFUNCTION("""COMPUTED_VALUE"""),4744.0)</f>
        <v>4744</v>
      </c>
      <c r="AX2212" s="65"/>
      <c r="AY2212" s="65"/>
      <c r="AZ2212" s="65"/>
      <c r="BA2212" s="65"/>
    </row>
    <row r="2213">
      <c r="A2213" s="65" t="str">
        <f>IFERROR(__xludf.DUMMYFUNCTION("""COMPUTED_VALUE"""),"27-03-2026")</f>
        <v>27-03-2026</v>
      </c>
      <c r="B2213" s="65">
        <f>IFERROR(__xludf.DUMMYFUNCTION("""COMPUTED_VALUE"""),4084131.0)</f>
        <v>4084131</v>
      </c>
      <c r="C2213" s="65" t="str">
        <f>IFERROR(__xludf.DUMMYFUNCTION("""COMPUTED_VALUE"""),"15:39")</f>
        <v>15:39</v>
      </c>
      <c r="D2213" s="65" t="str">
        <f>IFERROR(__xludf.DUMMYFUNCTION("""COMPUTED_VALUE"""),"09-01-2026")</f>
        <v>09-01-2026</v>
      </c>
      <c r="E2213" s="65" t="str">
        <f>IFERROR(__xludf.DUMMYFUNCTION("""COMPUTED_VALUE"""),"Gabriel Bravo")</f>
        <v>Gabriel Bravo</v>
      </c>
      <c r="F2213" s="65" t="str">
        <f>IFERROR(__xludf.DUMMYFUNCTION("""COMPUTED_VALUE"""),"988826246")</f>
        <v>988826246</v>
      </c>
      <c r="G2213" s="65" t="str">
        <f>IFERROR(__xludf.DUMMYFUNCTION("""COMPUTED_VALUE"""),"vdjgabucho70@gmail.com")</f>
        <v>vdjgabucho70@gmail.com</v>
      </c>
      <c r="H2213" s="65"/>
      <c r="I2213" s="65"/>
      <c r="J2213" s="65" t="str">
        <f>IFERROR(__xludf.DUMMYFUNCTION("""COMPUTED_VALUE"""),"D001250514")</f>
        <v>D001250514</v>
      </c>
      <c r="K2213" s="65" t="str">
        <f>IFERROR(__xludf.DUMMYFUNCTION("""COMPUTED_VALUE"""),"ENTREGADO")</f>
        <v>ENTREGADO</v>
      </c>
      <c r="L2213" s="65" t="str">
        <f>IFERROR(__xludf.DUMMYFUNCTION("""COMPUTED_VALUE"""),"CON RECAUDO")</f>
        <v>CON RECAUDO</v>
      </c>
      <c r="M2213" s="65" t="str">
        <f>IFERROR(__xludf.DUMMYFUNCTION("""COMPUTED_VALUE"""),"SANTA ELENA")</f>
        <v>SANTA ELENA</v>
      </c>
      <c r="N2213" s="65" t="str">
        <f>IFERROR(__xludf.DUMMYFUNCTION("""COMPUTED_VALUE"""),"SANTA ELENA")</f>
        <v>SANTA ELENA</v>
      </c>
      <c r="O2213" s="65" t="str">
        <f>IFERROR(__xludf.DUMMYFUNCTION("""COMPUTED_VALUE"""),"Salinas José Luis Tamayo Muey A lado de La panadería y Tienda Cerramiento de maya azul -")</f>
        <v>Salinas José Luis Tamayo Muey A lado de La panadería y Tienda Cerramiento de maya azul -</v>
      </c>
      <c r="P2213" s="65"/>
      <c r="Q2213" s="65" t="str">
        <f>IFERROR(__xludf.DUMMYFUNCTION("""COMPUTED_VALUE"""),"GINTRACOM")</f>
        <v>GINTRACOM</v>
      </c>
      <c r="R2213" s="65">
        <f>IFERROR(__xludf.DUMMYFUNCTION("""COMPUTED_VALUE"""),20.0)</f>
        <v>20</v>
      </c>
      <c r="S2213" s="65">
        <f>IFERROR(__xludf.DUMMYFUNCTION("""COMPUTED_VALUE"""),11.45)</f>
        <v>11.45</v>
      </c>
      <c r="T2213" s="65">
        <f>IFERROR(__xludf.DUMMYFUNCTION("""COMPUTED_VALUE"""),5.76)</f>
        <v>5.76</v>
      </c>
      <c r="U2213" s="65">
        <f>IFERROR(__xludf.DUMMYFUNCTION("""COMPUTED_VALUE"""),0.0)</f>
        <v>0</v>
      </c>
      <c r="V2213" s="65">
        <f>IFERROR(__xludf.DUMMYFUNCTION("""COMPUTED_VALUE"""),0.0)</f>
        <v>0</v>
      </c>
      <c r="W2213" s="65">
        <f>IFERROR(__xludf.DUMMYFUNCTION("""COMPUTED_VALUE"""),0.0)</f>
        <v>0</v>
      </c>
      <c r="X2213" s="65">
        <f>IFERROR(__xludf.DUMMYFUNCTION("""COMPUTED_VALUE"""),2.79)</f>
        <v>2.79</v>
      </c>
      <c r="Y2213" s="65">
        <f>IFERROR(__xludf.DUMMYFUNCTION("""COMPUTED_VALUE"""),2.79)</f>
        <v>2.79</v>
      </c>
      <c r="Z2213" s="65">
        <f>IFERROR(__xludf.DUMMYFUNCTION("""COMPUTED_VALUE"""),120732.0)</f>
        <v>120732</v>
      </c>
      <c r="AA2213" s="65" t="str">
        <f>IFERROR(__xludf.DUMMYFUNCTION("""COMPUTED_VALUE"""),"PROV-LMPVT")</f>
        <v>PROV-LMPVT</v>
      </c>
      <c r="AB2213" s="65"/>
      <c r="AC2213" s="65" t="str">
        <f>IFERROR(__xludf.DUMMYFUNCTION("""COMPUTED_VALUE"""),"LIMPIADOR DE PARABRISAS Y VENTANAS")</f>
        <v>LIMPIADOR DE PARABRISAS Y VENTANAS</v>
      </c>
      <c r="AD2213" s="65"/>
      <c r="AE2213" s="65">
        <f>IFERROR(__xludf.DUMMYFUNCTION("""COMPUTED_VALUE"""),1.0)</f>
        <v>1</v>
      </c>
      <c r="AF2213" s="65"/>
      <c r="AG2213" s="65"/>
      <c r="AH2213" s="65"/>
      <c r="AI2213" s="65"/>
      <c r="AJ2213" s="65"/>
      <c r="AK2213" s="65"/>
      <c r="AL2213" s="65"/>
      <c r="AM2213" s="65"/>
      <c r="AN2213" s="65" t="str">
        <f>IFERROR(__xludf.DUMMYFUNCTION("""COMPUTED_VALUE"""),"18:58")</f>
        <v>18:58</v>
      </c>
      <c r="AO2213" s="65" t="str">
        <f>IFERROR(__xludf.DUMMYFUNCTION("""COMPUTED_VALUE"""),"24-01-2026")</f>
        <v>24-01-2026</v>
      </c>
      <c r="AP2213" s="65" t="str">
        <f>IFERROR(__xludf.DUMMYFUNCTION("""COMPUTED_VALUE"""),"ENTREGADA GINTRACOM")</f>
        <v>ENTREGADA GINTRACOM</v>
      </c>
      <c r="AQ2213" s="65" t="str">
        <f>IFERROR(__xludf.DUMMYFUNCTION("""COMPUTED_VALUE"""),"ENTREGADA GINTRACOM")</f>
        <v>ENTREGADA GINTRACOM</v>
      </c>
      <c r="AR2213" s="65"/>
      <c r="AS2213" s="65"/>
      <c r="AT2213" s="65" t="str">
        <f>IFERROR(__xludf.DUMMYFUNCTION("""COMPUTED_VALUE"""),"SHOPIFY")</f>
        <v>SHOPIFY</v>
      </c>
      <c r="AU2213" s="65" t="str">
        <f>IFERROR(__xludf.DUMMYFUNCTION("""COMPUTED_VALUE"""),"IMPORTEX EC")</f>
        <v>IMPORTEX EC</v>
      </c>
      <c r="AV2213" s="65" t="str">
        <f>IFERROR(__xludf.DUMMYFUNCTION("""COMPUTED_VALUE"""),"6401863450668")</f>
        <v>6401863450668</v>
      </c>
      <c r="AW2213" s="65">
        <f>IFERROR(__xludf.DUMMYFUNCTION("""COMPUTED_VALUE"""),4743.0)</f>
        <v>4743</v>
      </c>
      <c r="AX2213" s="65"/>
      <c r="AY2213" s="65" t="str">
        <f>IFERROR(__xludf.DUMMYFUNCTION("""COMPUTED_VALUE"""),"22/01/2026")</f>
        <v>22/01/2026</v>
      </c>
      <c r="AZ2213" s="65"/>
      <c r="BA2213" s="65"/>
    </row>
    <row r="2214">
      <c r="A2214" s="65" t="str">
        <f>IFERROR(__xludf.DUMMYFUNCTION("""COMPUTED_VALUE"""),"27-03-2026")</f>
        <v>27-03-2026</v>
      </c>
      <c r="B2214" s="65">
        <f>IFERROR(__xludf.DUMMYFUNCTION("""COMPUTED_VALUE"""),4081370.0)</f>
        <v>4081370</v>
      </c>
      <c r="C2214" s="65" t="str">
        <f>IFERROR(__xludf.DUMMYFUNCTION("""COMPUTED_VALUE"""),"11:28")</f>
        <v>11:28</v>
      </c>
      <c r="D2214" s="65" t="str">
        <f>IFERROR(__xludf.DUMMYFUNCTION("""COMPUTED_VALUE"""),"09-01-2026")</f>
        <v>09-01-2026</v>
      </c>
      <c r="E2214" s="65" t="str">
        <f>IFERROR(__xludf.DUMMYFUNCTION("""COMPUTED_VALUE"""),"Carlos Miranda")</f>
        <v>Carlos Miranda</v>
      </c>
      <c r="F2214" s="65" t="str">
        <f>IFERROR(__xludf.DUMMYFUNCTION("""COMPUTED_VALUE"""),"994138366")</f>
        <v>994138366</v>
      </c>
      <c r="G2214" s="65" t="str">
        <f>IFERROR(__xludf.DUMMYFUNCTION("""COMPUTED_VALUE"""),"mirandaccarlos@yahoo.com")</f>
        <v>mirandaccarlos@yahoo.com</v>
      </c>
      <c r="H2214" s="65"/>
      <c r="I2214" s="65"/>
      <c r="J2214" s="65"/>
      <c r="K2214" s="65" t="str">
        <f>IFERROR(__xludf.DUMMYFUNCTION("""COMPUTED_VALUE"""),"PENDIENTE CONFIRMACION")</f>
        <v>PENDIENTE CONFIRMACION</v>
      </c>
      <c r="L2214" s="65" t="str">
        <f>IFERROR(__xludf.DUMMYFUNCTION("""COMPUTED_VALUE"""),"CON RECAUDO")</f>
        <v>CON RECAUDO</v>
      </c>
      <c r="M2214" s="65" t="str">
        <f>IFERROR(__xludf.DUMMYFUNCTION("""COMPUTED_VALUE"""),"MANABI")</f>
        <v>MANABI</v>
      </c>
      <c r="N2214" s="65" t="str">
        <f>IFERROR(__xludf.DUMMYFUNCTION("""COMPUTED_VALUE"""),"PORTOVIEJO")</f>
        <v>PORTOVIEJO</v>
      </c>
      <c r="O2214" s="65" t="str">
        <f>IFERROR(__xludf.DUMMYFUNCTION("""COMPUTED_VALUE"""),"5 de junio  boutique Julieta Torres El papagayo -")</f>
        <v>5 de junio  boutique Julieta Torres El papagayo -</v>
      </c>
      <c r="P2214" s="65"/>
      <c r="Q2214" s="65" t="str">
        <f>IFERROR(__xludf.DUMMYFUNCTION("""COMPUTED_VALUE"""),"GINTRACOM")</f>
        <v>GINTRACOM</v>
      </c>
      <c r="R2214" s="65">
        <f>IFERROR(__xludf.DUMMYFUNCTION("""COMPUTED_VALUE"""),21.99)</f>
        <v>21.99</v>
      </c>
      <c r="S2214" s="65"/>
      <c r="T2214" s="65">
        <f>IFERROR(__xludf.DUMMYFUNCTION("""COMPUTED_VALUE"""),5.84)</f>
        <v>5.84</v>
      </c>
      <c r="U2214" s="65">
        <f>IFERROR(__xludf.DUMMYFUNCTION("""COMPUTED_VALUE"""),0.0)</f>
        <v>0</v>
      </c>
      <c r="V2214" s="65">
        <f>IFERROR(__xludf.DUMMYFUNCTION("""COMPUTED_VALUE"""),0.0)</f>
        <v>0</v>
      </c>
      <c r="W2214" s="65">
        <f>IFERROR(__xludf.DUMMYFUNCTION("""COMPUTED_VALUE"""),0.0)</f>
        <v>0</v>
      </c>
      <c r="X2214" s="65">
        <f>IFERROR(__xludf.DUMMYFUNCTION("""COMPUTED_VALUE"""),5.0)</f>
        <v>5</v>
      </c>
      <c r="Y2214" s="65">
        <f>IFERROR(__xludf.DUMMYFUNCTION("""COMPUTED_VALUE"""),5.0)</f>
        <v>5</v>
      </c>
      <c r="Z2214" s="65">
        <f>IFERROR(__xludf.DUMMYFUNCTION("""COMPUTED_VALUE"""),110064.0)</f>
        <v>110064</v>
      </c>
      <c r="AA2214" s="65" t="str">
        <f>IFERROR(__xludf.DUMMYFUNCTION("""COMPUTED_VALUE"""),"IMX-00001")</f>
        <v>IMX-00001</v>
      </c>
      <c r="AB2214" s="65"/>
      <c r="AC2214" s="65" t="str">
        <f>IFERROR(__xludf.DUMMYFUNCTION("""COMPUTED_VALUE"""),"LLAVE TRINQUETE")</f>
        <v>LLAVE TRINQUETE</v>
      </c>
      <c r="AD2214" s="65"/>
      <c r="AE2214" s="65">
        <f>IFERROR(__xludf.DUMMYFUNCTION("""COMPUTED_VALUE"""),1.0)</f>
        <v>1</v>
      </c>
      <c r="AF2214" s="65"/>
      <c r="AG2214" s="65"/>
      <c r="AH2214" s="65"/>
      <c r="AI2214" s="65"/>
      <c r="AJ2214" s="65"/>
      <c r="AK2214" s="65"/>
      <c r="AL2214" s="65"/>
      <c r="AM2214" s="65"/>
      <c r="AN2214" s="65"/>
      <c r="AO2214" s="65"/>
      <c r="AP2214" s="65"/>
      <c r="AQ2214" s="65"/>
      <c r="AR2214" s="65"/>
      <c r="AS2214" s="65"/>
      <c r="AT2214" s="65" t="str">
        <f>IFERROR(__xludf.DUMMYFUNCTION("""COMPUTED_VALUE"""),"SHOPIFY")</f>
        <v>SHOPIFY</v>
      </c>
      <c r="AU2214" s="65" t="str">
        <f>IFERROR(__xludf.DUMMYFUNCTION("""COMPUTED_VALUE"""),"IMPORTEX EC")</f>
        <v>IMPORTEX EC</v>
      </c>
      <c r="AV2214" s="65" t="str">
        <f>IFERROR(__xludf.DUMMYFUNCTION("""COMPUTED_VALUE"""),"6396693479468")</f>
        <v>6396693479468</v>
      </c>
      <c r="AW2214" s="65">
        <f>IFERROR(__xludf.DUMMYFUNCTION("""COMPUTED_VALUE"""),4722.0)</f>
        <v>4722</v>
      </c>
      <c r="AX2214" s="65"/>
      <c r="AY2214" s="65"/>
      <c r="AZ2214" s="65"/>
      <c r="BA2214" s="65"/>
    </row>
    <row r="2215">
      <c r="A2215" s="65" t="str">
        <f>IFERROR(__xludf.DUMMYFUNCTION("""COMPUTED_VALUE"""),"27-03-2026")</f>
        <v>27-03-2026</v>
      </c>
      <c r="B2215" s="65">
        <f>IFERROR(__xludf.DUMMYFUNCTION("""COMPUTED_VALUE"""),4081294.0)</f>
        <v>4081294</v>
      </c>
      <c r="C2215" s="65" t="str">
        <f>IFERROR(__xludf.DUMMYFUNCTION("""COMPUTED_VALUE"""),"11:23")</f>
        <v>11:23</v>
      </c>
      <c r="D2215" s="65" t="str">
        <f>IFERROR(__xludf.DUMMYFUNCTION("""COMPUTED_VALUE"""),"09-01-2026")</f>
        <v>09-01-2026</v>
      </c>
      <c r="E2215" s="65" t="str">
        <f>IFERROR(__xludf.DUMMYFUNCTION("""COMPUTED_VALUE"""),"Alejandra Gavela")</f>
        <v>Alejandra Gavela</v>
      </c>
      <c r="F2215" s="65" t="str">
        <f>IFERROR(__xludf.DUMMYFUNCTION("""COMPUTED_VALUE"""),"958627035")</f>
        <v>958627035</v>
      </c>
      <c r="G2215" s="65" t="str">
        <f>IFERROR(__xludf.DUMMYFUNCTION("""COMPUTED_VALUE"""),"lobigp@hotmail.com")</f>
        <v>lobigp@hotmail.com</v>
      </c>
      <c r="H2215" s="65"/>
      <c r="I2215" s="65"/>
      <c r="J2215" s="65" t="str">
        <f>IFERROR(__xludf.DUMMYFUNCTION("""COMPUTED_VALUE"""),"D001248492")</f>
        <v>D001248492</v>
      </c>
      <c r="K2215" s="65" t="str">
        <f>IFERROR(__xludf.DUMMYFUNCTION("""COMPUTED_VALUE"""),"DEVOLUCION")</f>
        <v>DEVOLUCION</v>
      </c>
      <c r="L2215" s="65" t="str">
        <f>IFERROR(__xludf.DUMMYFUNCTION("""COMPUTED_VALUE"""),"CON RECAUDO")</f>
        <v>CON RECAUDO</v>
      </c>
      <c r="M2215" s="65" t="str">
        <f>IFERROR(__xludf.DUMMYFUNCTION("""COMPUTED_VALUE"""),"PICHINCHA")</f>
        <v>PICHINCHA</v>
      </c>
      <c r="N2215" s="65" t="str">
        <f>IFERROR(__xludf.DUMMYFUNCTION("""COMPUTED_VALUE"""),"QUITO")</f>
        <v>QUITO</v>
      </c>
      <c r="O2215" s="65" t="str">
        <f>IFERROR(__xludf.DUMMYFUNCTION("""COMPUTED_VALUE"""),"Urbanizacion del condado EL CONDADO - Calle E-f -")</f>
        <v>Urbanizacion del condado EL CONDADO - Calle E-f -</v>
      </c>
      <c r="P2215" s="65"/>
      <c r="Q2215" s="65" t="str">
        <f>IFERROR(__xludf.DUMMYFUNCTION("""COMPUTED_VALUE"""),"GINTRACOM")</f>
        <v>GINTRACOM</v>
      </c>
      <c r="R2215" s="65">
        <f>IFERROR(__xludf.DUMMYFUNCTION("""COMPUTED_VALUE"""),22.0)</f>
        <v>22</v>
      </c>
      <c r="S2215" s="65"/>
      <c r="T2215" s="65">
        <f>IFERROR(__xludf.DUMMYFUNCTION("""COMPUTED_VALUE"""),5.84)</f>
        <v>5.84</v>
      </c>
      <c r="U2215" s="65">
        <f>IFERROR(__xludf.DUMMYFUNCTION("""COMPUTED_VALUE"""),0.0)</f>
        <v>0</v>
      </c>
      <c r="V2215" s="65">
        <f>IFERROR(__xludf.DUMMYFUNCTION("""COMPUTED_VALUE"""),0.0)</f>
        <v>0</v>
      </c>
      <c r="W2215" s="65">
        <f>IFERROR(__xludf.DUMMYFUNCTION("""COMPUTED_VALUE"""),0.0)</f>
        <v>0</v>
      </c>
      <c r="X2215" s="65">
        <f>IFERROR(__xludf.DUMMYFUNCTION("""COMPUTED_VALUE"""),2.5)</f>
        <v>2.5</v>
      </c>
      <c r="Y2215" s="65">
        <f>IFERROR(__xludf.DUMMYFUNCTION("""COMPUTED_VALUE"""),5.0)</f>
        <v>5</v>
      </c>
      <c r="Z2215" s="65">
        <f>IFERROR(__xludf.DUMMYFUNCTION("""COMPUTED_VALUE"""),78123.0)</f>
        <v>78123</v>
      </c>
      <c r="AA2215" s="65" t="str">
        <f>IFERROR(__xludf.DUMMYFUNCTION("""COMPUTED_VALUE"""),"GT1EG5097")</f>
        <v>GT1EG5097</v>
      </c>
      <c r="AB2215" s="65"/>
      <c r="AC2215" s="65" t="str">
        <f>IFERROR(__xludf.DUMMYFUNCTION("""COMPUTED_VALUE"""),"Geles de baño aromaticos inodoro x 1")</f>
        <v>Geles de baño aromaticos inodoro x 1</v>
      </c>
      <c r="AD2215" s="65"/>
      <c r="AE2215" s="65">
        <f>IFERROR(__xludf.DUMMYFUNCTION("""COMPUTED_VALUE"""),2.0)</f>
        <v>2</v>
      </c>
      <c r="AF2215" s="65" t="str">
        <f>IFERROR(__xludf.DUMMYFUNCTION("""COMPUTED_VALUE"""),"DESTINATARIO NO CONTESTA LLAMADAS NI WHATSAPP")</f>
        <v>DESTINATARIO NO CONTESTA LLAMADAS NI WHATSAPP</v>
      </c>
      <c r="AG2215" s="65" t="str">
        <f>IFERROR(__xludf.DUMMYFUNCTION("""COMPUTED_VALUE"""),"NO")</f>
        <v>NO</v>
      </c>
      <c r="AH2215" s="65" t="str">
        <f>IFERROR(__xludf.DUMMYFUNCTION("""COMPUTED_VALUE"""),"09:00")</f>
        <v>09:00</v>
      </c>
      <c r="AI2215" s="65" t="str">
        <f>IFERROR(__xludf.DUMMYFUNCTION("""COMPUTED_VALUE"""),"31-01-2026")</f>
        <v>31-01-2026</v>
      </c>
      <c r="AJ2215" s="65"/>
      <c r="AK2215" s="65"/>
      <c r="AL2215" s="65"/>
      <c r="AM2215" s="65"/>
      <c r="AN2215" s="65" t="str">
        <f>IFERROR(__xludf.DUMMYFUNCTION("""COMPUTED_VALUE"""),"09:01")</f>
        <v>09:01</v>
      </c>
      <c r="AO2215" s="65" t="str">
        <f>IFERROR(__xludf.DUMMYFUNCTION("""COMPUTED_VALUE"""),"28-01-2026")</f>
        <v>28-01-2026</v>
      </c>
      <c r="AP2215" s="65" t="str">
        <f>IFERROR(__xludf.DUMMYFUNCTION("""COMPUTED_VALUE"""),"DESTINATARIO NO CONTESTA LLAMADAS NI WHATSAPP")</f>
        <v>DESTINATARIO NO CONTESTA LLAMADAS NI WHATSAPP</v>
      </c>
      <c r="AQ2215" s="65" t="str">
        <f>IFERROR(__xludf.DUMMYFUNCTION("""COMPUTED_VALUE"""),"DESTINATARIO NO CONTESTA LLAMADAS NI WHATSAPP")</f>
        <v>DESTINATARIO NO CONTESTA LLAMADAS NI WHATSAPP</v>
      </c>
      <c r="AR2215" s="65"/>
      <c r="AS2215" s="65"/>
      <c r="AT2215" s="65" t="str">
        <f>IFERROR(__xludf.DUMMYFUNCTION("""COMPUTED_VALUE"""),"SHOPIFY")</f>
        <v>SHOPIFY</v>
      </c>
      <c r="AU2215" s="65" t="str">
        <f>IFERROR(__xludf.DUMMYFUNCTION("""COMPUTED_VALUE"""),"IMPORTEX EC")</f>
        <v>IMPORTEX EC</v>
      </c>
      <c r="AV2215" s="65" t="str">
        <f>IFERROR(__xludf.DUMMYFUNCTION("""COMPUTED_VALUE"""),"6395319386156")</f>
        <v>6395319386156</v>
      </c>
      <c r="AW2215" s="65">
        <f>IFERROR(__xludf.DUMMYFUNCTION("""COMPUTED_VALUE"""),4711.0)</f>
        <v>4711</v>
      </c>
      <c r="AX2215" s="65"/>
      <c r="AY2215" s="65" t="str">
        <f>IFERROR(__xludf.DUMMYFUNCTION("""COMPUTED_VALUE"""),"21/01/2026")</f>
        <v>21/01/2026</v>
      </c>
      <c r="AZ2215" s="65"/>
      <c r="BA2215" s="65"/>
    </row>
    <row r="2216">
      <c r="A2216" s="65" t="str">
        <f>IFERROR(__xludf.DUMMYFUNCTION("""COMPUTED_VALUE"""),"27-03-2026")</f>
        <v>27-03-2026</v>
      </c>
      <c r="B2216" s="65">
        <f>IFERROR(__xludf.DUMMYFUNCTION("""COMPUTED_VALUE"""),4081210.0)</f>
        <v>4081210</v>
      </c>
      <c r="C2216" s="65" t="str">
        <f>IFERROR(__xludf.DUMMYFUNCTION("""COMPUTED_VALUE"""),"11:16")</f>
        <v>11:16</v>
      </c>
      <c r="D2216" s="65" t="str">
        <f>IFERROR(__xludf.DUMMYFUNCTION("""COMPUTED_VALUE"""),"09-01-2026")</f>
        <v>09-01-2026</v>
      </c>
      <c r="E2216" s="65" t="str">
        <f>IFERROR(__xludf.DUMMYFUNCTION("""COMPUTED_VALUE"""),"Santiago Garrido")</f>
        <v>Santiago Garrido</v>
      </c>
      <c r="F2216" s="65" t="str">
        <f>IFERROR(__xludf.DUMMYFUNCTION("""COMPUTED_VALUE"""),"988958344")</f>
        <v>988958344</v>
      </c>
      <c r="G2216" s="65" t="str">
        <f>IFERROR(__xludf.DUMMYFUNCTION("""COMPUTED_VALUE"""),"fitzgarrido@gmail.com")</f>
        <v>fitzgarrido@gmail.com</v>
      </c>
      <c r="H2216" s="65"/>
      <c r="I2216" s="65"/>
      <c r="J2216" s="65" t="str">
        <f>IFERROR(__xludf.DUMMYFUNCTION("""COMPUTED_VALUE"""),"D001250516")</f>
        <v>D001250516</v>
      </c>
      <c r="K2216" s="65" t="str">
        <f>IFERROR(__xludf.DUMMYFUNCTION("""COMPUTED_VALUE"""),"ENTREGADO")</f>
        <v>ENTREGADO</v>
      </c>
      <c r="L2216" s="65" t="str">
        <f>IFERROR(__xludf.DUMMYFUNCTION("""COMPUTED_VALUE"""),"CON RECAUDO")</f>
        <v>CON RECAUDO</v>
      </c>
      <c r="M2216" s="65" t="str">
        <f>IFERROR(__xludf.DUMMYFUNCTION("""COMPUTED_VALUE"""),"SANTO DOMINGO DE LOS TSACHILAS")</f>
        <v>SANTO DOMINGO DE LOS TSACHILAS</v>
      </c>
      <c r="N2216" s="65" t="str">
        <f>IFERROR(__xludf.DUMMYFUNCTION("""COMPUTED_VALUE"""),"SANTO DOMINGO")</f>
        <v>SANTO DOMINGO</v>
      </c>
      <c r="O2216" s="65" t="str">
        <f>IFERROR(__xludf.DUMMYFUNCTION("""COMPUTED_VALUE"""),"Calle Riobamba entre galapagos y Quito")</f>
        <v>Calle Riobamba entre galapagos y Quito</v>
      </c>
      <c r="P2216" s="65"/>
      <c r="Q2216" s="65" t="str">
        <f>IFERROR(__xludf.DUMMYFUNCTION("""COMPUTED_VALUE"""),"GINTRACOM")</f>
        <v>GINTRACOM</v>
      </c>
      <c r="R2216" s="65">
        <f>IFERROR(__xludf.DUMMYFUNCTION("""COMPUTED_VALUE"""),20.0)</f>
        <v>20</v>
      </c>
      <c r="S2216" s="65">
        <f>IFERROR(__xludf.DUMMYFUNCTION("""COMPUTED_VALUE"""),11.45)</f>
        <v>11.45</v>
      </c>
      <c r="T2216" s="65">
        <f>IFERROR(__xludf.DUMMYFUNCTION("""COMPUTED_VALUE"""),5.76)</f>
        <v>5.76</v>
      </c>
      <c r="U2216" s="65">
        <f>IFERROR(__xludf.DUMMYFUNCTION("""COMPUTED_VALUE"""),0.0)</f>
        <v>0</v>
      </c>
      <c r="V2216" s="65">
        <f>IFERROR(__xludf.DUMMYFUNCTION("""COMPUTED_VALUE"""),0.0)</f>
        <v>0</v>
      </c>
      <c r="W2216" s="65">
        <f>IFERROR(__xludf.DUMMYFUNCTION("""COMPUTED_VALUE"""),0.0)</f>
        <v>0</v>
      </c>
      <c r="X2216" s="65">
        <f>IFERROR(__xludf.DUMMYFUNCTION("""COMPUTED_VALUE"""),2.79)</f>
        <v>2.79</v>
      </c>
      <c r="Y2216" s="65">
        <f>IFERROR(__xludf.DUMMYFUNCTION("""COMPUTED_VALUE"""),2.79)</f>
        <v>2.79</v>
      </c>
      <c r="Z2216" s="65">
        <f>IFERROR(__xludf.DUMMYFUNCTION("""COMPUTED_VALUE"""),120732.0)</f>
        <v>120732</v>
      </c>
      <c r="AA2216" s="65" t="str">
        <f>IFERROR(__xludf.DUMMYFUNCTION("""COMPUTED_VALUE"""),"PROV-LMPVT")</f>
        <v>PROV-LMPVT</v>
      </c>
      <c r="AB2216" s="65"/>
      <c r="AC2216" s="65" t="str">
        <f>IFERROR(__xludf.DUMMYFUNCTION("""COMPUTED_VALUE"""),"LIMPIADOR DE PARABRISAS Y VENTANAS")</f>
        <v>LIMPIADOR DE PARABRISAS Y VENTANAS</v>
      </c>
      <c r="AD2216" s="65"/>
      <c r="AE2216" s="65">
        <f>IFERROR(__xludf.DUMMYFUNCTION("""COMPUTED_VALUE"""),1.0)</f>
        <v>1</v>
      </c>
      <c r="AF2216" s="65"/>
      <c r="AG2216" s="65"/>
      <c r="AH2216" s="65"/>
      <c r="AI2216" s="65"/>
      <c r="AJ2216" s="65"/>
      <c r="AK2216" s="65"/>
      <c r="AL2216" s="65"/>
      <c r="AM2216" s="65"/>
      <c r="AN2216" s="65" t="str">
        <f>IFERROR(__xludf.DUMMYFUNCTION("""COMPUTED_VALUE"""),"09:54")</f>
        <v>09:54</v>
      </c>
      <c r="AO2216" s="65" t="str">
        <f>IFERROR(__xludf.DUMMYFUNCTION("""COMPUTED_VALUE"""),"12-02-2026")</f>
        <v>12-02-2026</v>
      </c>
      <c r="AP2216" s="65" t="str">
        <f>IFERROR(__xludf.DUMMYFUNCTION("""COMPUTED_VALUE"""),"ENTREGADA GINTRACOM")</f>
        <v>ENTREGADA GINTRACOM</v>
      </c>
      <c r="AQ2216" s="65" t="str">
        <f>IFERROR(__xludf.DUMMYFUNCTION("""COMPUTED_VALUE"""),"ENTREGADA GINTRACOM")</f>
        <v>ENTREGADA GINTRACOM</v>
      </c>
      <c r="AR2216" s="65"/>
      <c r="AS2216" s="65"/>
      <c r="AT2216" s="65" t="str">
        <f>IFERROR(__xludf.DUMMYFUNCTION("""COMPUTED_VALUE"""),"SHOPIFY")</f>
        <v>SHOPIFY</v>
      </c>
      <c r="AU2216" s="65" t="str">
        <f>IFERROR(__xludf.DUMMYFUNCTION("""COMPUTED_VALUE"""),"IMPORTEX EC")</f>
        <v>IMPORTEX EC</v>
      </c>
      <c r="AV2216" s="65" t="str">
        <f>IFERROR(__xludf.DUMMYFUNCTION("""COMPUTED_VALUE"""),"6394869088300")</f>
        <v>6394869088300</v>
      </c>
      <c r="AW2216" s="65">
        <f>IFERROR(__xludf.DUMMYFUNCTION("""COMPUTED_VALUE"""),4705.0)</f>
        <v>4705</v>
      </c>
      <c r="AX2216" s="65"/>
      <c r="AY2216" s="65" t="str">
        <f>IFERROR(__xludf.DUMMYFUNCTION("""COMPUTED_VALUE"""),"22/01/2026")</f>
        <v>22/01/2026</v>
      </c>
      <c r="AZ2216" s="65"/>
      <c r="BA2216" s="65"/>
    </row>
    <row r="2217">
      <c r="A2217" s="65" t="str">
        <f>IFERROR(__xludf.DUMMYFUNCTION("""COMPUTED_VALUE"""),"27-03-2026")</f>
        <v>27-03-2026</v>
      </c>
      <c r="B2217" s="65">
        <f>IFERROR(__xludf.DUMMYFUNCTION("""COMPUTED_VALUE"""),4081147.0)</f>
        <v>4081147</v>
      </c>
      <c r="C2217" s="65" t="str">
        <f>IFERROR(__xludf.DUMMYFUNCTION("""COMPUTED_VALUE"""),"11:12")</f>
        <v>11:12</v>
      </c>
      <c r="D2217" s="65" t="str">
        <f>IFERROR(__xludf.DUMMYFUNCTION("""COMPUTED_VALUE"""),"09-01-2026")</f>
        <v>09-01-2026</v>
      </c>
      <c r="E2217" s="65" t="str">
        <f>IFERROR(__xludf.DUMMYFUNCTION("""COMPUTED_VALUE"""),"Rene Moreira Manuel")</f>
        <v>Rene Moreira Manuel</v>
      </c>
      <c r="F2217" s="65" t="str">
        <f>IFERROR(__xludf.DUMMYFUNCTION("""COMPUTED_VALUE"""),"981394499")</f>
        <v>981394499</v>
      </c>
      <c r="G2217" s="65" t="str">
        <f>IFERROR(__xludf.DUMMYFUNCTION("""COMPUTED_VALUE"""),"diazrene480@gmail.com")</f>
        <v>diazrene480@gmail.com</v>
      </c>
      <c r="H2217" s="65"/>
      <c r="I2217" s="65"/>
      <c r="J2217" s="65"/>
      <c r="K2217" s="65" t="str">
        <f>IFERROR(__xludf.DUMMYFUNCTION("""COMPUTED_VALUE"""),"CANCELADO")</f>
        <v>CANCELADO</v>
      </c>
      <c r="L2217" s="65" t="str">
        <f>IFERROR(__xludf.DUMMYFUNCTION("""COMPUTED_VALUE"""),"CON RECAUDO")</f>
        <v>CON RECAUDO</v>
      </c>
      <c r="M2217" s="65" t="str">
        <f>IFERROR(__xludf.DUMMYFUNCTION("""COMPUTED_VALUE"""),"SANTO DOMINGO DE LOS TSACHILAS")</f>
        <v>SANTO DOMINGO DE LOS TSACHILAS</v>
      </c>
      <c r="N2217" s="65" t="str">
        <f>IFERROR(__xludf.DUMMYFUNCTION("""COMPUTED_VALUE"""),"SANTO DOMINGO")</f>
        <v>SANTO DOMINGO</v>
      </c>
      <c r="O2217" s="65" t="str">
        <f>IFERROR(__xludf.DUMMYFUNCTION("""COMPUTED_VALUE"""),"La Concordia yParque central -")</f>
        <v>La Concordia yParque central -</v>
      </c>
      <c r="P2217" s="65"/>
      <c r="Q2217" s="65" t="str">
        <f>IFERROR(__xludf.DUMMYFUNCTION("""COMPUTED_VALUE"""),"GINTRACOM")</f>
        <v>GINTRACOM</v>
      </c>
      <c r="R2217" s="65">
        <f>IFERROR(__xludf.DUMMYFUNCTION("""COMPUTED_VALUE"""),25.0)</f>
        <v>25</v>
      </c>
      <c r="S2217" s="65"/>
      <c r="T2217" s="65">
        <f>IFERROR(__xludf.DUMMYFUNCTION("""COMPUTED_VALUE"""),5.96)</f>
        <v>5.96</v>
      </c>
      <c r="U2217" s="65">
        <f>IFERROR(__xludf.DUMMYFUNCTION("""COMPUTED_VALUE"""),0.0)</f>
        <v>0</v>
      </c>
      <c r="V2217" s="65">
        <f>IFERROR(__xludf.DUMMYFUNCTION("""COMPUTED_VALUE"""),0.0)</f>
        <v>0</v>
      </c>
      <c r="W2217" s="65">
        <f>IFERROR(__xludf.DUMMYFUNCTION("""COMPUTED_VALUE"""),0.0)</f>
        <v>0</v>
      </c>
      <c r="X2217" s="65">
        <f>IFERROR(__xludf.DUMMYFUNCTION("""COMPUTED_VALUE"""),2.79)</f>
        <v>2.79</v>
      </c>
      <c r="Y2217" s="65">
        <f>IFERROR(__xludf.DUMMYFUNCTION("""COMPUTED_VALUE"""),5.58)</f>
        <v>5.58</v>
      </c>
      <c r="Z2217" s="65">
        <f>IFERROR(__xludf.DUMMYFUNCTION("""COMPUTED_VALUE"""),120732.0)</f>
        <v>120732</v>
      </c>
      <c r="AA2217" s="65" t="str">
        <f>IFERROR(__xludf.DUMMYFUNCTION("""COMPUTED_VALUE"""),"PROV-LMPVT")</f>
        <v>PROV-LMPVT</v>
      </c>
      <c r="AB2217" s="65"/>
      <c r="AC2217" s="65" t="str">
        <f>IFERROR(__xludf.DUMMYFUNCTION("""COMPUTED_VALUE"""),"LIMPIADOR DE PARABRISAS Y VENTANAS")</f>
        <v>LIMPIADOR DE PARABRISAS Y VENTANAS</v>
      </c>
      <c r="AD2217" s="65"/>
      <c r="AE2217" s="65">
        <f>IFERROR(__xludf.DUMMYFUNCTION("""COMPUTED_VALUE"""),2.0)</f>
        <v>2</v>
      </c>
      <c r="AF2217" s="65"/>
      <c r="AG2217" s="65"/>
      <c r="AH2217" s="65"/>
      <c r="AI2217" s="65"/>
      <c r="AJ2217" s="65"/>
      <c r="AK2217" s="65"/>
      <c r="AL2217" s="65"/>
      <c r="AM2217" s="65"/>
      <c r="AN2217" s="65"/>
      <c r="AO2217" s="65"/>
      <c r="AP2217" s="65"/>
      <c r="AQ2217" s="65"/>
      <c r="AR2217" s="65"/>
      <c r="AS2217" s="65"/>
      <c r="AT2217" s="65" t="str">
        <f>IFERROR(__xludf.DUMMYFUNCTION("""COMPUTED_VALUE"""),"SHOPIFY")</f>
        <v>SHOPIFY</v>
      </c>
      <c r="AU2217" s="65" t="str">
        <f>IFERROR(__xludf.DUMMYFUNCTION("""COMPUTED_VALUE"""),"IMPORTEX EC")</f>
        <v>IMPORTEX EC</v>
      </c>
      <c r="AV2217" s="65" t="str">
        <f>IFERROR(__xludf.DUMMYFUNCTION("""COMPUTED_VALUE"""),"6394030555180")</f>
        <v>6394030555180</v>
      </c>
      <c r="AW2217" s="65">
        <f>IFERROR(__xludf.DUMMYFUNCTION("""COMPUTED_VALUE"""),4695.0)</f>
        <v>4695</v>
      </c>
      <c r="AX2217" s="65"/>
      <c r="AY2217" s="65"/>
      <c r="AZ2217" s="65"/>
      <c r="BA2217" s="65"/>
    </row>
    <row r="2218">
      <c r="A2218" s="65" t="str">
        <f>IFERROR(__xludf.DUMMYFUNCTION("""COMPUTED_VALUE"""),"27-03-2026")</f>
        <v>27-03-2026</v>
      </c>
      <c r="B2218" s="65">
        <f>IFERROR(__xludf.DUMMYFUNCTION("""COMPUTED_VALUE"""),4081126.0)</f>
        <v>4081126</v>
      </c>
      <c r="C2218" s="65" t="str">
        <f>IFERROR(__xludf.DUMMYFUNCTION("""COMPUTED_VALUE"""),"11:10")</f>
        <v>11:10</v>
      </c>
      <c r="D2218" s="65" t="str">
        <f>IFERROR(__xludf.DUMMYFUNCTION("""COMPUTED_VALUE"""),"09-01-2026")</f>
        <v>09-01-2026</v>
      </c>
      <c r="E2218" s="65" t="str">
        <f>IFERROR(__xludf.DUMMYFUNCTION("""COMPUTED_VALUE"""),"Jajaira Rivera")</f>
        <v>Jajaira Rivera</v>
      </c>
      <c r="F2218" s="65" t="str">
        <f>IFERROR(__xludf.DUMMYFUNCTION("""COMPUTED_VALUE"""),"980093740")</f>
        <v>980093740</v>
      </c>
      <c r="G2218" s="65" t="str">
        <f>IFERROR(__xludf.DUMMYFUNCTION("""COMPUTED_VALUE"""),"asecontable1984@outlook.com")</f>
        <v>asecontable1984@outlook.com</v>
      </c>
      <c r="H2218" s="65"/>
      <c r="I2218" s="65"/>
      <c r="J2218" s="65"/>
      <c r="K2218" s="65" t="str">
        <f>IFERROR(__xludf.DUMMYFUNCTION("""COMPUTED_VALUE"""),"CANCELADO")</f>
        <v>CANCELADO</v>
      </c>
      <c r="L2218" s="65" t="str">
        <f>IFERROR(__xludf.DUMMYFUNCTION("""COMPUTED_VALUE"""),"CON RECAUDO")</f>
        <v>CON RECAUDO</v>
      </c>
      <c r="M2218" s="65" t="str">
        <f>IFERROR(__xludf.DUMMYFUNCTION("""COMPUTED_VALUE"""),"MANABI")</f>
        <v>MANABI</v>
      </c>
      <c r="N2218" s="65" t="str">
        <f>IFERROR(__xludf.DUMMYFUNCTION("""COMPUTED_VALUE"""),"MANTA")</f>
        <v>MANTA</v>
      </c>
      <c r="O2218" s="65" t="str">
        <f>IFERROR(__xludf.DUMMYFUNCTION("""COMPUTED_VALUE"""),"Luis felix lopez EL CARMEN - Frente antiguo edificio naranjales -")</f>
        <v>Luis felix lopez EL CARMEN - Frente antiguo edificio naranjales -</v>
      </c>
      <c r="P2218" s="65"/>
      <c r="Q2218" s="65" t="str">
        <f>IFERROR(__xludf.DUMMYFUNCTION("""COMPUTED_VALUE"""),"GINTRACOM")</f>
        <v>GINTRACOM</v>
      </c>
      <c r="R2218" s="65">
        <f>IFERROR(__xludf.DUMMYFUNCTION("""COMPUTED_VALUE"""),37.0)</f>
        <v>37</v>
      </c>
      <c r="S2218" s="65"/>
      <c r="T2218" s="65">
        <f>IFERROR(__xludf.DUMMYFUNCTION("""COMPUTED_VALUE"""),6.43)</f>
        <v>6.43</v>
      </c>
      <c r="U2218" s="65">
        <f>IFERROR(__xludf.DUMMYFUNCTION("""COMPUTED_VALUE"""),0.0)</f>
        <v>0</v>
      </c>
      <c r="V2218" s="65">
        <f>IFERROR(__xludf.DUMMYFUNCTION("""COMPUTED_VALUE"""),0.0)</f>
        <v>0</v>
      </c>
      <c r="W2218" s="65">
        <f>IFERROR(__xludf.DUMMYFUNCTION("""COMPUTED_VALUE"""),0.0)</f>
        <v>0</v>
      </c>
      <c r="X2218" s="65">
        <f>IFERROR(__xludf.DUMMYFUNCTION("""COMPUTED_VALUE"""),2.5)</f>
        <v>2.5</v>
      </c>
      <c r="Y2218" s="65">
        <f>IFERROR(__xludf.DUMMYFUNCTION("""COMPUTED_VALUE"""),12.5)</f>
        <v>12.5</v>
      </c>
      <c r="Z2218" s="65">
        <f>IFERROR(__xludf.DUMMYFUNCTION("""COMPUTED_VALUE"""),78123.0)</f>
        <v>78123</v>
      </c>
      <c r="AA2218" s="65" t="str">
        <f>IFERROR(__xludf.DUMMYFUNCTION("""COMPUTED_VALUE"""),"GT1EG5097")</f>
        <v>GT1EG5097</v>
      </c>
      <c r="AB2218" s="65"/>
      <c r="AC2218" s="65" t="str">
        <f>IFERROR(__xludf.DUMMYFUNCTION("""COMPUTED_VALUE"""),"Geles de baño aromaticos inodoro x 1")</f>
        <v>Geles de baño aromaticos inodoro x 1</v>
      </c>
      <c r="AD2218" s="65"/>
      <c r="AE2218" s="65">
        <f>IFERROR(__xludf.DUMMYFUNCTION("""COMPUTED_VALUE"""),5.0)</f>
        <v>5</v>
      </c>
      <c r="AF2218" s="65"/>
      <c r="AG2218" s="65"/>
      <c r="AH2218" s="65"/>
      <c r="AI2218" s="65"/>
      <c r="AJ2218" s="65"/>
      <c r="AK2218" s="65"/>
      <c r="AL2218" s="65"/>
      <c r="AM2218" s="65"/>
      <c r="AN2218" s="65"/>
      <c r="AO2218" s="65"/>
      <c r="AP2218" s="65"/>
      <c r="AQ2218" s="65"/>
      <c r="AR2218" s="65"/>
      <c r="AS2218" s="65"/>
      <c r="AT2218" s="65" t="str">
        <f>IFERROR(__xludf.DUMMYFUNCTION("""COMPUTED_VALUE"""),"SHOPIFY")</f>
        <v>SHOPIFY</v>
      </c>
      <c r="AU2218" s="65" t="str">
        <f>IFERROR(__xludf.DUMMYFUNCTION("""COMPUTED_VALUE"""),"IMPORTEX EC")</f>
        <v>IMPORTEX EC</v>
      </c>
      <c r="AV2218" s="65" t="str">
        <f>IFERROR(__xludf.DUMMYFUNCTION("""COMPUTED_VALUE"""),"6390142828588")</f>
        <v>6390142828588</v>
      </c>
      <c r="AW2218" s="65">
        <f>IFERROR(__xludf.DUMMYFUNCTION("""COMPUTED_VALUE"""),4656.0)</f>
        <v>4656</v>
      </c>
      <c r="AX2218" s="65"/>
      <c r="AY2218" s="65"/>
      <c r="AZ2218" s="65"/>
      <c r="BA2218" s="65"/>
    </row>
    <row r="2219">
      <c r="A2219" s="65" t="str">
        <f>IFERROR(__xludf.DUMMYFUNCTION("""COMPUTED_VALUE"""),"27-03-2026")</f>
        <v>27-03-2026</v>
      </c>
      <c r="B2219" s="65">
        <f>IFERROR(__xludf.DUMMYFUNCTION("""COMPUTED_VALUE"""),4080919.0)</f>
        <v>4080919</v>
      </c>
      <c r="C2219" s="65" t="str">
        <f>IFERROR(__xludf.DUMMYFUNCTION("""COMPUTED_VALUE"""),"10:54")</f>
        <v>10:54</v>
      </c>
      <c r="D2219" s="65" t="str">
        <f>IFERROR(__xludf.DUMMYFUNCTION("""COMPUTED_VALUE"""),"09-01-2026")</f>
        <v>09-01-2026</v>
      </c>
      <c r="E2219" s="65" t="str">
        <f>IFERROR(__xludf.DUMMYFUNCTION("""COMPUTED_VALUE"""),"Milena Valdez")</f>
        <v>Milena Valdez</v>
      </c>
      <c r="F2219" s="65" t="str">
        <f>IFERROR(__xludf.DUMMYFUNCTION("""COMPUTED_VALUE"""),"983428433")</f>
        <v>983428433</v>
      </c>
      <c r="G2219" s="65" t="str">
        <f>IFERROR(__xludf.DUMMYFUNCTION("""COMPUTED_VALUE"""),"milevaldez08@hotmail.com")</f>
        <v>milevaldez08@hotmail.com</v>
      </c>
      <c r="H2219" s="65"/>
      <c r="I2219" s="65"/>
      <c r="J2219" s="65" t="str">
        <f>IFERROR(__xludf.DUMMYFUNCTION("""COMPUTED_VALUE"""),"D001232280")</f>
        <v>D001232280</v>
      </c>
      <c r="K2219" s="65" t="str">
        <f>IFERROR(__xludf.DUMMYFUNCTION("""COMPUTED_VALUE"""),"ENTREGADO")</f>
        <v>ENTREGADO</v>
      </c>
      <c r="L2219" s="65" t="str">
        <f>IFERROR(__xludf.DUMMYFUNCTION("""COMPUTED_VALUE"""),"CON RECAUDO")</f>
        <v>CON RECAUDO</v>
      </c>
      <c r="M2219" s="65" t="str">
        <f>IFERROR(__xludf.DUMMYFUNCTION("""COMPUTED_VALUE"""),"PICHINCHA")</f>
        <v>PICHINCHA</v>
      </c>
      <c r="N2219" s="65" t="str">
        <f>IFERROR(__xludf.DUMMYFUNCTION("""COMPUTED_VALUE"""),"QUITO")</f>
        <v>QUITO</v>
      </c>
      <c r="O2219" s="65" t="str">
        <f>IFERROR(__xludf.DUMMYFUNCTION("""COMPUTED_VALUE"""),"Cacha y cotacachi AMAGUAÑA - Chaupitena iglesia señor del jardin -")</f>
        <v>Cacha y cotacachi AMAGUAÑA - Chaupitena iglesia señor del jardin -</v>
      </c>
      <c r="P2219" s="65"/>
      <c r="Q2219" s="65" t="str">
        <f>IFERROR(__xludf.DUMMYFUNCTION("""COMPUTED_VALUE"""),"GINTRACOM")</f>
        <v>GINTRACOM</v>
      </c>
      <c r="R2219" s="65">
        <f>IFERROR(__xludf.DUMMYFUNCTION("""COMPUTED_VALUE"""),32.0)</f>
        <v>32</v>
      </c>
      <c r="S2219" s="65">
        <f>IFERROR(__xludf.DUMMYFUNCTION("""COMPUTED_VALUE"""),15.76)</f>
        <v>15.76</v>
      </c>
      <c r="T2219" s="65">
        <f>IFERROR(__xludf.DUMMYFUNCTION("""COMPUTED_VALUE"""),6.24)</f>
        <v>6.24</v>
      </c>
      <c r="U2219" s="65">
        <f>IFERROR(__xludf.DUMMYFUNCTION("""COMPUTED_VALUE"""),0.0)</f>
        <v>0</v>
      </c>
      <c r="V2219" s="65">
        <f>IFERROR(__xludf.DUMMYFUNCTION("""COMPUTED_VALUE"""),0.0)</f>
        <v>0</v>
      </c>
      <c r="W2219" s="65">
        <f>IFERROR(__xludf.DUMMYFUNCTION("""COMPUTED_VALUE"""),0.0)</f>
        <v>0</v>
      </c>
      <c r="X2219" s="65">
        <f>IFERROR(__xludf.DUMMYFUNCTION("""COMPUTED_VALUE"""),2.5)</f>
        <v>2.5</v>
      </c>
      <c r="Y2219" s="65">
        <f>IFERROR(__xludf.DUMMYFUNCTION("""COMPUTED_VALUE"""),10.0)</f>
        <v>10</v>
      </c>
      <c r="Z2219" s="65">
        <f>IFERROR(__xludf.DUMMYFUNCTION("""COMPUTED_VALUE"""),78123.0)</f>
        <v>78123</v>
      </c>
      <c r="AA2219" s="65" t="str">
        <f>IFERROR(__xludf.DUMMYFUNCTION("""COMPUTED_VALUE"""),"GT1EG5097")</f>
        <v>GT1EG5097</v>
      </c>
      <c r="AB2219" s="65"/>
      <c r="AC2219" s="65" t="str">
        <f>IFERROR(__xludf.DUMMYFUNCTION("""COMPUTED_VALUE"""),"Geles de baño aromaticos inodoro x 1")</f>
        <v>Geles de baño aromaticos inodoro x 1</v>
      </c>
      <c r="AD2219" s="65"/>
      <c r="AE2219" s="65">
        <f>IFERROR(__xludf.DUMMYFUNCTION("""COMPUTED_VALUE"""),4.0)</f>
        <v>4</v>
      </c>
      <c r="AF2219" s="65"/>
      <c r="AG2219" s="65"/>
      <c r="AH2219" s="65"/>
      <c r="AI2219" s="65"/>
      <c r="AJ2219" s="65"/>
      <c r="AK2219" s="65"/>
      <c r="AL2219" s="65"/>
      <c r="AM2219" s="65"/>
      <c r="AN2219" s="65" t="str">
        <f>IFERROR(__xludf.DUMMYFUNCTION("""COMPUTED_VALUE"""),"14:13")</f>
        <v>14:13</v>
      </c>
      <c r="AO2219" s="65" t="str">
        <f>IFERROR(__xludf.DUMMYFUNCTION("""COMPUTED_VALUE"""),"20-01-2026")</f>
        <v>20-01-2026</v>
      </c>
      <c r="AP2219" s="65" t="str">
        <f>IFERROR(__xludf.DUMMYFUNCTION("""COMPUTED_VALUE"""),"ENTREGADA GINTRACOM")</f>
        <v>ENTREGADA GINTRACOM</v>
      </c>
      <c r="AQ2219" s="65" t="str">
        <f>IFERROR(__xludf.DUMMYFUNCTION("""COMPUTED_VALUE"""),"ENTREGADA GINTRACOM")</f>
        <v>ENTREGADA GINTRACOM</v>
      </c>
      <c r="AR2219" s="65"/>
      <c r="AS2219" s="65"/>
      <c r="AT2219" s="65" t="str">
        <f>IFERROR(__xludf.DUMMYFUNCTION("""COMPUTED_VALUE"""),"SHOPIFY")</f>
        <v>SHOPIFY</v>
      </c>
      <c r="AU2219" s="65" t="str">
        <f>IFERROR(__xludf.DUMMYFUNCTION("""COMPUTED_VALUE"""),"IMPORTEX EC")</f>
        <v>IMPORTEX EC</v>
      </c>
      <c r="AV2219" s="65" t="str">
        <f>IFERROR(__xludf.DUMMYFUNCTION("""COMPUTED_VALUE"""),"6389750267948")</f>
        <v>6389750267948</v>
      </c>
      <c r="AW2219" s="65">
        <f>IFERROR(__xludf.DUMMYFUNCTION("""COMPUTED_VALUE"""),4647.0)</f>
        <v>4647</v>
      </c>
      <c r="AX2219" s="65"/>
      <c r="AY2219" s="65" t="str">
        <f>IFERROR(__xludf.DUMMYFUNCTION("""COMPUTED_VALUE"""),"16/01/2026")</f>
        <v>16/01/2026</v>
      </c>
      <c r="AZ2219" s="65"/>
      <c r="BA2219" s="65"/>
    </row>
    <row r="2220">
      <c r="A2220" s="65" t="str">
        <f>IFERROR(__xludf.DUMMYFUNCTION("""COMPUTED_VALUE"""),"27-03-2026")</f>
        <v>27-03-2026</v>
      </c>
      <c r="B2220" s="65">
        <f>IFERROR(__xludf.DUMMYFUNCTION("""COMPUTED_VALUE"""),4080812.0)</f>
        <v>4080812</v>
      </c>
      <c r="C2220" s="65" t="str">
        <f>IFERROR(__xludf.DUMMYFUNCTION("""COMPUTED_VALUE"""),"10:46")</f>
        <v>10:46</v>
      </c>
      <c r="D2220" s="65" t="str">
        <f>IFERROR(__xludf.DUMMYFUNCTION("""COMPUTED_VALUE"""),"09-01-2026")</f>
        <v>09-01-2026</v>
      </c>
      <c r="E2220" s="65" t="str">
        <f>IFERROR(__xludf.DUMMYFUNCTION("""COMPUTED_VALUE"""),"Israel Alexander Carrion Torres")</f>
        <v>Israel Alexander Carrion Torres</v>
      </c>
      <c r="F2220" s="65" t="str">
        <f>IFERROR(__xludf.DUMMYFUNCTION("""COMPUTED_VALUE"""),"985272225")</f>
        <v>985272225</v>
      </c>
      <c r="G2220" s="65" t="str">
        <f>IFERROR(__xludf.DUMMYFUNCTION("""COMPUTED_VALUE"""),"carrion8991@gmail.com")</f>
        <v>carrion8991@gmail.com</v>
      </c>
      <c r="H2220" s="65"/>
      <c r="I2220" s="65"/>
      <c r="J2220" s="65" t="str">
        <f>IFERROR(__xludf.DUMMYFUNCTION("""COMPUTED_VALUE"""),"186973370")</f>
        <v>186973370</v>
      </c>
      <c r="K2220" s="65" t="str">
        <f>IFERROR(__xludf.DUMMYFUNCTION("""COMPUTED_VALUE"""),"ENTREGADO")</f>
        <v>ENTREGADO</v>
      </c>
      <c r="L2220" s="65" t="str">
        <f>IFERROR(__xludf.DUMMYFUNCTION("""COMPUTED_VALUE"""),"CON RECAUDO")</f>
        <v>CON RECAUDO</v>
      </c>
      <c r="M2220" s="65" t="str">
        <f>IFERROR(__xludf.DUMMYFUNCTION("""COMPUTED_VALUE"""),"ZAMORA CHINCHIPE")</f>
        <v>ZAMORA CHINCHIPE</v>
      </c>
      <c r="N2220" s="65" t="str">
        <f>IFERROR(__xludf.DUMMYFUNCTION("""COMPUTED_VALUE"""),"YANTZAZA")</f>
        <v>YANTZAZA</v>
      </c>
      <c r="O2220" s="65" t="str">
        <f>IFERROR(__xludf.DUMMYFUNCTION("""COMPUTED_VALUE"""),"Sector Piedralisa - Yantzaza por el parque central, al lado de la Quinta El Rocío, antes de llegar a la ciudad de Yantzaza")</f>
        <v>Sector Piedralisa - Yantzaza por el parque central, al lado de la Quinta El Rocío, antes de llegar a la ciudad de Yantzaza</v>
      </c>
      <c r="P2220" s="65" t="str">
        <f>IFERROR(__xludf.DUMMYFUNCTION("""COMPUTED_VALUE"""),"Location: -3.8643226623535,-78.762390136719")</f>
        <v>Location: -3.8643226623535,-78.762390136719</v>
      </c>
      <c r="Q2220" s="65" t="str">
        <f>IFERROR(__xludf.DUMMYFUNCTION("""COMPUTED_VALUE"""),"SERVIENTREGA")</f>
        <v>SERVIENTREGA</v>
      </c>
      <c r="R2220" s="65">
        <f>IFERROR(__xludf.DUMMYFUNCTION("""COMPUTED_VALUE"""),20.0)</f>
        <v>20</v>
      </c>
      <c r="S2220" s="65">
        <f>IFERROR(__xludf.DUMMYFUNCTION("""COMPUTED_VALUE"""),9.54)</f>
        <v>9.54</v>
      </c>
      <c r="T2220" s="65">
        <f>IFERROR(__xludf.DUMMYFUNCTION("""COMPUTED_VALUE"""),7.67)</f>
        <v>7.67</v>
      </c>
      <c r="U2220" s="65">
        <f>IFERROR(__xludf.DUMMYFUNCTION("""COMPUTED_VALUE"""),0.0)</f>
        <v>0</v>
      </c>
      <c r="V2220" s="65">
        <f>IFERROR(__xludf.DUMMYFUNCTION("""COMPUTED_VALUE"""),0.0)</f>
        <v>0</v>
      </c>
      <c r="W2220" s="65">
        <f>IFERROR(__xludf.DUMMYFUNCTION("""COMPUTED_VALUE"""),0.0)</f>
        <v>0</v>
      </c>
      <c r="X2220" s="65">
        <f>IFERROR(__xludf.DUMMYFUNCTION("""COMPUTED_VALUE"""),2.79)</f>
        <v>2.79</v>
      </c>
      <c r="Y2220" s="65">
        <f>IFERROR(__xludf.DUMMYFUNCTION("""COMPUTED_VALUE"""),2.79)</f>
        <v>2.79</v>
      </c>
      <c r="Z2220" s="65">
        <f>IFERROR(__xludf.DUMMYFUNCTION("""COMPUTED_VALUE"""),120732.0)</f>
        <v>120732</v>
      </c>
      <c r="AA2220" s="65" t="str">
        <f>IFERROR(__xludf.DUMMYFUNCTION("""COMPUTED_VALUE"""),"PROV-LMPVT")</f>
        <v>PROV-LMPVT</v>
      </c>
      <c r="AB2220" s="65"/>
      <c r="AC2220" s="65" t="str">
        <f>IFERROR(__xludf.DUMMYFUNCTION("""COMPUTED_VALUE"""),"LIMPIADOR DE PARABRISAS Y VENTANAS")</f>
        <v>LIMPIADOR DE PARABRISAS Y VENTANAS</v>
      </c>
      <c r="AD2220" s="65"/>
      <c r="AE2220" s="65">
        <f>IFERROR(__xludf.DUMMYFUNCTION("""COMPUTED_VALUE"""),1.0)</f>
        <v>1</v>
      </c>
      <c r="AF2220" s="65"/>
      <c r="AG2220" s="65"/>
      <c r="AH2220" s="65"/>
      <c r="AI2220" s="65"/>
      <c r="AJ2220" s="65"/>
      <c r="AK2220" s="65"/>
      <c r="AL2220" s="65"/>
      <c r="AM2220" s="65"/>
      <c r="AN2220" s="65" t="str">
        <f>IFERROR(__xludf.DUMMYFUNCTION("""COMPUTED_VALUE"""),"12:36")</f>
        <v>12:36</v>
      </c>
      <c r="AO2220" s="65" t="str">
        <f>IFERROR(__xludf.DUMMYFUNCTION("""COMPUTED_VALUE"""),"03-02-2026")</f>
        <v>03-02-2026</v>
      </c>
      <c r="AP2220" s="65" t="str">
        <f>IFERROR(__xludf.DUMMYFUNCTION("""COMPUTED_VALUE"""),"ENTREGA DIGITALIZADA EN CENTRO LOGISTICO")</f>
        <v>ENTREGA DIGITALIZADA EN CENTRO LOGISTICO</v>
      </c>
      <c r="AQ2220" s="65" t="str">
        <f>IFERROR(__xludf.DUMMYFUNCTION("""COMPUTED_VALUE"""),"ISRAEL ALEXANDER CA")</f>
        <v>ISRAEL ALEXANDER CA</v>
      </c>
      <c r="AR2220" s="65"/>
      <c r="AS2220" s="65"/>
      <c r="AT2220" s="65" t="str">
        <f>IFERROR(__xludf.DUMMYFUNCTION("""COMPUTED_VALUE"""),"SHOPIFY")</f>
        <v>SHOPIFY</v>
      </c>
      <c r="AU2220" s="65" t="str">
        <f>IFERROR(__xludf.DUMMYFUNCTION("""COMPUTED_VALUE"""),"IMPORTEX EC")</f>
        <v>IMPORTEX EC</v>
      </c>
      <c r="AV2220" s="65" t="str">
        <f>IFERROR(__xludf.DUMMYFUNCTION("""COMPUTED_VALUE"""),"6401004306476")</f>
        <v>6401004306476</v>
      </c>
      <c r="AW2220" s="65">
        <f>IFERROR(__xludf.DUMMYFUNCTION("""COMPUTED_VALUE"""),4742.0)</f>
        <v>4742</v>
      </c>
      <c r="AX2220" s="65"/>
      <c r="AY2220" s="65" t="str">
        <f>IFERROR(__xludf.DUMMYFUNCTION("""COMPUTED_VALUE"""),"14/01/2026")</f>
        <v>14/01/2026</v>
      </c>
      <c r="AZ2220" s="65"/>
      <c r="BA2220" s="65"/>
    </row>
    <row r="2221">
      <c r="A2221" s="65" t="str">
        <f>IFERROR(__xludf.DUMMYFUNCTION("""COMPUTED_VALUE"""),"27-03-2026")</f>
        <v>27-03-2026</v>
      </c>
      <c r="B2221" s="65">
        <f>IFERROR(__xludf.DUMMYFUNCTION("""COMPUTED_VALUE"""),4079397.0)</f>
        <v>4079397</v>
      </c>
      <c r="C2221" s="65" t="str">
        <f>IFERROR(__xludf.DUMMYFUNCTION("""COMPUTED_VALUE"""),"09:17")</f>
        <v>09:17</v>
      </c>
      <c r="D2221" s="65" t="str">
        <f>IFERROR(__xludf.DUMMYFUNCTION("""COMPUTED_VALUE"""),"09-01-2026")</f>
        <v>09-01-2026</v>
      </c>
      <c r="E2221" s="65" t="str">
        <f>IFERROR(__xludf.DUMMYFUNCTION("""COMPUTED_VALUE"""),"Dalton Colorado")</f>
        <v>Dalton Colorado</v>
      </c>
      <c r="F2221" s="65" t="str">
        <f>IFERROR(__xludf.DUMMYFUNCTION("""COMPUTED_VALUE"""),"984321568")</f>
        <v>984321568</v>
      </c>
      <c r="G2221" s="65" t="str">
        <f>IFERROR(__xludf.DUMMYFUNCTION("""COMPUTED_VALUE"""),"dcolor14@gmail.com")</f>
        <v>dcolor14@gmail.com</v>
      </c>
      <c r="H2221" s="65"/>
      <c r="I2221" s="65"/>
      <c r="J2221" s="65" t="str">
        <f>IFERROR(__xludf.DUMMYFUNCTION("""COMPUTED_VALUE"""),"D001205989")</f>
        <v>D001205989</v>
      </c>
      <c r="K2221" s="65" t="str">
        <f>IFERROR(__xludf.DUMMYFUNCTION("""COMPUTED_VALUE"""),"ENTREGADO")</f>
        <v>ENTREGADO</v>
      </c>
      <c r="L2221" s="65" t="str">
        <f>IFERROR(__xludf.DUMMYFUNCTION("""COMPUTED_VALUE"""),"CON RECAUDO")</f>
        <v>CON RECAUDO</v>
      </c>
      <c r="M2221" s="65" t="str">
        <f>IFERROR(__xludf.DUMMYFUNCTION("""COMPUTED_VALUE"""),"ESMERALDAS")</f>
        <v>ESMERALDAS</v>
      </c>
      <c r="N2221" s="65" t="str">
        <f>IFERROR(__xludf.DUMMYFUNCTION("""COMPUTED_VALUE"""),"ESMERALDAS")</f>
        <v>ESMERALDAS</v>
      </c>
      <c r="O2221" s="65" t="str">
        <f>IFERROR(__xludf.DUMMYFUNCTION("""COMPUTED_VALUE"""),"Av. Pedro Vicente Maldonado y Calle Rioverde Ref. Junto al AKI de la Plaza Cívica Centro.")</f>
        <v>Av. Pedro Vicente Maldonado y Calle Rioverde Ref. Junto al AKI de la Plaza Cívica Centro.</v>
      </c>
      <c r="P2221" s="65"/>
      <c r="Q2221" s="65" t="str">
        <f>IFERROR(__xludf.DUMMYFUNCTION("""COMPUTED_VALUE"""),"GINTRACOM")</f>
        <v>GINTRACOM</v>
      </c>
      <c r="R2221" s="65">
        <f>IFERROR(__xludf.DUMMYFUNCTION("""COMPUTED_VALUE"""),25.0)</f>
        <v>25</v>
      </c>
      <c r="S2221" s="65">
        <f>IFERROR(__xludf.DUMMYFUNCTION("""COMPUTED_VALUE"""),13.46)</f>
        <v>13.46</v>
      </c>
      <c r="T2221" s="65">
        <f>IFERROR(__xludf.DUMMYFUNCTION("""COMPUTED_VALUE"""),5.96)</f>
        <v>5.96</v>
      </c>
      <c r="U2221" s="65">
        <f>IFERROR(__xludf.DUMMYFUNCTION("""COMPUTED_VALUE"""),0.0)</f>
        <v>0</v>
      </c>
      <c r="V2221" s="65">
        <f>IFERROR(__xludf.DUMMYFUNCTION("""COMPUTED_VALUE"""),0.0)</f>
        <v>0</v>
      </c>
      <c r="W2221" s="65">
        <f>IFERROR(__xludf.DUMMYFUNCTION("""COMPUTED_VALUE"""),0.0)</f>
        <v>0</v>
      </c>
      <c r="X2221" s="65">
        <f>IFERROR(__xludf.DUMMYFUNCTION("""COMPUTED_VALUE"""),2.79)</f>
        <v>2.79</v>
      </c>
      <c r="Y2221" s="65">
        <f>IFERROR(__xludf.DUMMYFUNCTION("""COMPUTED_VALUE"""),5.58)</f>
        <v>5.58</v>
      </c>
      <c r="Z2221" s="65">
        <f>IFERROR(__xludf.DUMMYFUNCTION("""COMPUTED_VALUE"""),120732.0)</f>
        <v>120732</v>
      </c>
      <c r="AA2221" s="65" t="str">
        <f>IFERROR(__xludf.DUMMYFUNCTION("""COMPUTED_VALUE"""),"PROV-LMPVT")</f>
        <v>PROV-LMPVT</v>
      </c>
      <c r="AB2221" s="65"/>
      <c r="AC2221" s="65" t="str">
        <f>IFERROR(__xludf.DUMMYFUNCTION("""COMPUTED_VALUE"""),"LIMPIADOR DE PARABRISAS Y VENTANAS")</f>
        <v>LIMPIADOR DE PARABRISAS Y VENTANAS</v>
      </c>
      <c r="AD2221" s="65"/>
      <c r="AE2221" s="65">
        <f>IFERROR(__xludf.DUMMYFUNCTION("""COMPUTED_VALUE"""),2.0)</f>
        <v>2</v>
      </c>
      <c r="AF2221" s="65"/>
      <c r="AG2221" s="65"/>
      <c r="AH2221" s="65"/>
      <c r="AI2221" s="65"/>
      <c r="AJ2221" s="65"/>
      <c r="AK2221" s="65"/>
      <c r="AL2221" s="65"/>
      <c r="AM2221" s="65"/>
      <c r="AN2221" s="65" t="str">
        <f>IFERROR(__xludf.DUMMYFUNCTION("""COMPUTED_VALUE"""),"17:51")</f>
        <v>17:51</v>
      </c>
      <c r="AO2221" s="65" t="str">
        <f>IFERROR(__xludf.DUMMYFUNCTION("""COMPUTED_VALUE"""),"12-01-2026")</f>
        <v>12-01-2026</v>
      </c>
      <c r="AP2221" s="65" t="str">
        <f>IFERROR(__xludf.DUMMYFUNCTION("""COMPUTED_VALUE"""),"ENTREGADA GINTRACOM")</f>
        <v>ENTREGADA GINTRACOM</v>
      </c>
      <c r="AQ2221" s="65" t="str">
        <f>IFERROR(__xludf.DUMMYFUNCTION("""COMPUTED_VALUE"""),"ENTREGADA GINTRACOM")</f>
        <v>ENTREGADA GINTRACOM</v>
      </c>
      <c r="AR2221" s="65"/>
      <c r="AS2221" s="65"/>
      <c r="AT2221" s="65" t="str">
        <f>IFERROR(__xludf.DUMMYFUNCTION("""COMPUTED_VALUE"""),"SHOPIFY")</f>
        <v>SHOPIFY</v>
      </c>
      <c r="AU2221" s="65" t="str">
        <f>IFERROR(__xludf.DUMMYFUNCTION("""COMPUTED_VALUE"""),"IMPORTEX EC")</f>
        <v>IMPORTEX EC</v>
      </c>
      <c r="AV2221" s="65" t="str">
        <f>IFERROR(__xludf.DUMMYFUNCTION("""COMPUTED_VALUE"""),"6400816185388")</f>
        <v>6400816185388</v>
      </c>
      <c r="AW2221" s="65">
        <f>IFERROR(__xludf.DUMMYFUNCTION("""COMPUTED_VALUE"""),4741.0)</f>
        <v>4741</v>
      </c>
      <c r="AX2221" s="65"/>
      <c r="AY2221" s="65" t="str">
        <f>IFERROR(__xludf.DUMMYFUNCTION("""COMPUTED_VALUE"""),"09/01/2026")</f>
        <v>09/01/2026</v>
      </c>
      <c r="AZ2221" s="65"/>
      <c r="BA2221" s="65"/>
    </row>
    <row r="2222">
      <c r="A2222" s="65" t="str">
        <f>IFERROR(__xludf.DUMMYFUNCTION("""COMPUTED_VALUE"""),"27-03-2026")</f>
        <v>27-03-2026</v>
      </c>
      <c r="B2222" s="65">
        <f>IFERROR(__xludf.DUMMYFUNCTION("""COMPUTED_VALUE"""),4078251.0)</f>
        <v>4078251</v>
      </c>
      <c r="C2222" s="65" t="str">
        <f>IFERROR(__xludf.DUMMYFUNCTION("""COMPUTED_VALUE"""),"07:18")</f>
        <v>07:18</v>
      </c>
      <c r="D2222" s="65" t="str">
        <f>IFERROR(__xludf.DUMMYFUNCTION("""COMPUTED_VALUE"""),"09-01-2026")</f>
        <v>09-01-2026</v>
      </c>
      <c r="E2222" s="65" t="str">
        <f>IFERROR(__xludf.DUMMYFUNCTION("""COMPUTED_VALUE"""),"Marcelo Castanier")</f>
        <v>Marcelo Castanier</v>
      </c>
      <c r="F2222" s="65" t="str">
        <f>IFERROR(__xludf.DUMMYFUNCTION("""COMPUTED_VALUE"""),"959910820")</f>
        <v>959910820</v>
      </c>
      <c r="G2222" s="65" t="str">
        <f>IFERROR(__xludf.DUMMYFUNCTION("""COMPUTED_VALUE"""),"castaniermarcelo@gmail.com")</f>
        <v>castaniermarcelo@gmail.com</v>
      </c>
      <c r="H2222" s="65"/>
      <c r="I2222" s="65"/>
      <c r="J2222" s="65"/>
      <c r="K2222" s="65" t="str">
        <f>IFERROR(__xludf.DUMMYFUNCTION("""COMPUTED_VALUE"""),"CANCELADO")</f>
        <v>CANCELADO</v>
      </c>
      <c r="L2222" s="65" t="str">
        <f>IFERROR(__xludf.DUMMYFUNCTION("""COMPUTED_VALUE"""),"CON RECAUDO")</f>
        <v>CON RECAUDO</v>
      </c>
      <c r="M2222" s="65" t="str">
        <f>IFERROR(__xludf.DUMMYFUNCTION("""COMPUTED_VALUE"""),"CAÑAR")</f>
        <v>CAÑAR</v>
      </c>
      <c r="N2222" s="65" t="str">
        <f>IFERROR(__xludf.DUMMYFUNCTION("""COMPUTED_VALUE"""),"AZOGUES")</f>
        <v>AZOGUES</v>
      </c>
      <c r="O2222" s="65" t="str">
        <f>IFERROR(__xludf.DUMMYFUNCTION("""COMPUTED_VALUE"""),"Calle José de la cuadra y Aurelio Falconi Diagonal a guardería infantil Cecilia cordero El calvario. San Francisco -")</f>
        <v>Calle José de la cuadra y Aurelio Falconi Diagonal a guardería infantil Cecilia cordero El calvario. San Francisco -</v>
      </c>
      <c r="P2222" s="65"/>
      <c r="Q2222" s="65" t="str">
        <f>IFERROR(__xludf.DUMMYFUNCTION("""COMPUTED_VALUE"""),"GINTRACOM")</f>
        <v>GINTRACOM</v>
      </c>
      <c r="R2222" s="65">
        <f>IFERROR(__xludf.DUMMYFUNCTION("""COMPUTED_VALUE"""),37.0)</f>
        <v>37</v>
      </c>
      <c r="S2222" s="65"/>
      <c r="T2222" s="65">
        <f>IFERROR(__xludf.DUMMYFUNCTION("""COMPUTED_VALUE"""),6.43)</f>
        <v>6.43</v>
      </c>
      <c r="U2222" s="65">
        <f>IFERROR(__xludf.DUMMYFUNCTION("""COMPUTED_VALUE"""),0.0)</f>
        <v>0</v>
      </c>
      <c r="V2222" s="65">
        <f>IFERROR(__xludf.DUMMYFUNCTION("""COMPUTED_VALUE"""),0.0)</f>
        <v>0</v>
      </c>
      <c r="W2222" s="65">
        <f>IFERROR(__xludf.DUMMYFUNCTION("""COMPUTED_VALUE"""),0.0)</f>
        <v>0</v>
      </c>
      <c r="X2222" s="65">
        <f>IFERROR(__xludf.DUMMYFUNCTION("""COMPUTED_VALUE"""),2.5)</f>
        <v>2.5</v>
      </c>
      <c r="Y2222" s="65">
        <f>IFERROR(__xludf.DUMMYFUNCTION("""COMPUTED_VALUE"""),12.5)</f>
        <v>12.5</v>
      </c>
      <c r="Z2222" s="65">
        <f>IFERROR(__xludf.DUMMYFUNCTION("""COMPUTED_VALUE"""),78123.0)</f>
        <v>78123</v>
      </c>
      <c r="AA2222" s="65" t="str">
        <f>IFERROR(__xludf.DUMMYFUNCTION("""COMPUTED_VALUE"""),"GT1EG5097")</f>
        <v>GT1EG5097</v>
      </c>
      <c r="AB2222" s="65"/>
      <c r="AC2222" s="65" t="str">
        <f>IFERROR(__xludf.DUMMYFUNCTION("""COMPUTED_VALUE"""),"Geles de baño aromaticos inodoro x 1")</f>
        <v>Geles de baño aromaticos inodoro x 1</v>
      </c>
      <c r="AD2222" s="65"/>
      <c r="AE2222" s="65">
        <f>IFERROR(__xludf.DUMMYFUNCTION("""COMPUTED_VALUE"""),5.0)</f>
        <v>5</v>
      </c>
      <c r="AF2222" s="65"/>
      <c r="AG2222" s="65"/>
      <c r="AH2222" s="65"/>
      <c r="AI2222" s="65"/>
      <c r="AJ2222" s="65"/>
      <c r="AK2222" s="65"/>
      <c r="AL2222" s="65"/>
      <c r="AM2222" s="65"/>
      <c r="AN2222" s="65"/>
      <c r="AO2222" s="65"/>
      <c r="AP2222" s="65"/>
      <c r="AQ2222" s="65"/>
      <c r="AR2222" s="65"/>
      <c r="AS2222" s="65"/>
      <c r="AT2222" s="65" t="str">
        <f>IFERROR(__xludf.DUMMYFUNCTION("""COMPUTED_VALUE"""),"SHOPIFY")</f>
        <v>SHOPIFY</v>
      </c>
      <c r="AU2222" s="65" t="str">
        <f>IFERROR(__xludf.DUMMYFUNCTION("""COMPUTED_VALUE"""),"IMPORTEX EC")</f>
        <v>IMPORTEX EC</v>
      </c>
      <c r="AV2222" s="65" t="str">
        <f>IFERROR(__xludf.DUMMYFUNCTION("""COMPUTED_VALUE"""),"6400659980332")</f>
        <v>6400659980332</v>
      </c>
      <c r="AW2222" s="65">
        <f>IFERROR(__xludf.DUMMYFUNCTION("""COMPUTED_VALUE"""),4740.0)</f>
        <v>4740</v>
      </c>
      <c r="AX2222" s="65"/>
      <c r="AY2222" s="65"/>
      <c r="AZ2222" s="65"/>
      <c r="BA2222" s="65"/>
    </row>
    <row r="2223">
      <c r="A2223" s="65" t="str">
        <f>IFERROR(__xludf.DUMMYFUNCTION("""COMPUTED_VALUE"""),"27-03-2026")</f>
        <v>27-03-2026</v>
      </c>
      <c r="B2223" s="65">
        <f>IFERROR(__xludf.DUMMYFUNCTION("""COMPUTED_VALUE"""),4077917.0)</f>
        <v>4077917</v>
      </c>
      <c r="C2223" s="65" t="str">
        <f>IFERROR(__xludf.DUMMYFUNCTION("""COMPUTED_VALUE"""),"06:37")</f>
        <v>06:37</v>
      </c>
      <c r="D2223" s="65" t="str">
        <f>IFERROR(__xludf.DUMMYFUNCTION("""COMPUTED_VALUE"""),"09-01-2026")</f>
        <v>09-01-2026</v>
      </c>
      <c r="E2223" s="65" t="str">
        <f>IFERROR(__xludf.DUMMYFUNCTION("""COMPUTED_VALUE"""),"Walther Jerry Ortega Veliz")</f>
        <v>Walther Jerry Ortega Veliz</v>
      </c>
      <c r="F2223" s="65" t="str">
        <f>IFERROR(__xludf.DUMMYFUNCTION("""COMPUTED_VALUE"""),"960878520")</f>
        <v>960878520</v>
      </c>
      <c r="G2223" s="65" t="str">
        <f>IFERROR(__xludf.DUMMYFUNCTION("""COMPUTED_VALUE"""),"walther.ortega.veliz@gmail.com")</f>
        <v>walther.ortega.veliz@gmail.com</v>
      </c>
      <c r="H2223" s="65"/>
      <c r="I2223" s="65"/>
      <c r="J2223" s="65" t="str">
        <f>IFERROR(__xludf.DUMMYFUNCTION("""COMPUTED_VALUE"""),"D001205998")</f>
        <v>D001205998</v>
      </c>
      <c r="K2223" s="65" t="str">
        <f>IFERROR(__xludf.DUMMYFUNCTION("""COMPUTED_VALUE"""),"ENTREGADO")</f>
        <v>ENTREGADO</v>
      </c>
      <c r="L2223" s="65" t="str">
        <f>IFERROR(__xludf.DUMMYFUNCTION("""COMPUTED_VALUE"""),"CON RECAUDO")</f>
        <v>CON RECAUDO</v>
      </c>
      <c r="M2223" s="65" t="str">
        <f>IFERROR(__xludf.DUMMYFUNCTION("""COMPUTED_VALUE"""),"PICHINCHA")</f>
        <v>PICHINCHA</v>
      </c>
      <c r="N2223" s="65" t="str">
        <f>IFERROR(__xludf.DUMMYFUNCTION("""COMPUTED_VALUE"""),"QUITO")</f>
        <v>QUITO</v>
      </c>
      <c r="O2223" s="65" t="str">
        <f>IFERROR(__xludf.DUMMYFUNCTION("""COMPUTED_VALUE"""),"Sector Chillogallo El Girón - Calle Carlos Freile y Calle Martin Chiriboga Oe10-360 esquina - Ref. Junto a licorería Infernó.")</f>
        <v>Sector Chillogallo El Girón - Calle Carlos Freile y Calle Martin Chiriboga Oe10-360 esquina - Ref. Junto a licorería Infernó.</v>
      </c>
      <c r="P2223" s="65"/>
      <c r="Q2223" s="65" t="str">
        <f>IFERROR(__xludf.DUMMYFUNCTION("""COMPUTED_VALUE"""),"GINTRACOM")</f>
        <v>GINTRACOM</v>
      </c>
      <c r="R2223" s="65">
        <f>IFERROR(__xludf.DUMMYFUNCTION("""COMPUTED_VALUE"""),20.0)</f>
        <v>20</v>
      </c>
      <c r="S2223" s="65">
        <f>IFERROR(__xludf.DUMMYFUNCTION("""COMPUTED_VALUE"""),11.45)</f>
        <v>11.45</v>
      </c>
      <c r="T2223" s="65">
        <f>IFERROR(__xludf.DUMMYFUNCTION("""COMPUTED_VALUE"""),5.76)</f>
        <v>5.76</v>
      </c>
      <c r="U2223" s="65">
        <f>IFERROR(__xludf.DUMMYFUNCTION("""COMPUTED_VALUE"""),0.0)</f>
        <v>0</v>
      </c>
      <c r="V2223" s="65">
        <f>IFERROR(__xludf.DUMMYFUNCTION("""COMPUTED_VALUE"""),0.0)</f>
        <v>0</v>
      </c>
      <c r="W2223" s="65">
        <f>IFERROR(__xludf.DUMMYFUNCTION("""COMPUTED_VALUE"""),0.0)</f>
        <v>0</v>
      </c>
      <c r="X2223" s="65">
        <f>IFERROR(__xludf.DUMMYFUNCTION("""COMPUTED_VALUE"""),2.79)</f>
        <v>2.79</v>
      </c>
      <c r="Y2223" s="65">
        <f>IFERROR(__xludf.DUMMYFUNCTION("""COMPUTED_VALUE"""),2.79)</f>
        <v>2.79</v>
      </c>
      <c r="Z2223" s="65">
        <f>IFERROR(__xludf.DUMMYFUNCTION("""COMPUTED_VALUE"""),120732.0)</f>
        <v>120732</v>
      </c>
      <c r="AA2223" s="65" t="str">
        <f>IFERROR(__xludf.DUMMYFUNCTION("""COMPUTED_VALUE"""),"PROV-LMPVT")</f>
        <v>PROV-LMPVT</v>
      </c>
      <c r="AB2223" s="65"/>
      <c r="AC2223" s="65" t="str">
        <f>IFERROR(__xludf.DUMMYFUNCTION("""COMPUTED_VALUE"""),"LIMPIADOR DE PARABRISAS Y VENTANAS")</f>
        <v>LIMPIADOR DE PARABRISAS Y VENTANAS</v>
      </c>
      <c r="AD2223" s="65"/>
      <c r="AE2223" s="65">
        <f>IFERROR(__xludf.DUMMYFUNCTION("""COMPUTED_VALUE"""),1.0)</f>
        <v>1</v>
      </c>
      <c r="AF2223" s="65"/>
      <c r="AG2223" s="65"/>
      <c r="AH2223" s="65"/>
      <c r="AI2223" s="65"/>
      <c r="AJ2223" s="65"/>
      <c r="AK2223" s="65"/>
      <c r="AL2223" s="65"/>
      <c r="AM2223" s="65"/>
      <c r="AN2223" s="65" t="str">
        <f>IFERROR(__xludf.DUMMYFUNCTION("""COMPUTED_VALUE"""),"14:41")</f>
        <v>14:41</v>
      </c>
      <c r="AO2223" s="65" t="str">
        <f>IFERROR(__xludf.DUMMYFUNCTION("""COMPUTED_VALUE"""),"10-01-2026")</f>
        <v>10-01-2026</v>
      </c>
      <c r="AP2223" s="65" t="str">
        <f>IFERROR(__xludf.DUMMYFUNCTION("""COMPUTED_VALUE"""),"ENTREGADA GINTRACOM")</f>
        <v>ENTREGADA GINTRACOM</v>
      </c>
      <c r="AQ2223" s="65" t="str">
        <f>IFERROR(__xludf.DUMMYFUNCTION("""COMPUTED_VALUE"""),"ENTREGADA GINTRACOM")</f>
        <v>ENTREGADA GINTRACOM</v>
      </c>
      <c r="AR2223" s="65"/>
      <c r="AS2223" s="65"/>
      <c r="AT2223" s="65" t="str">
        <f>IFERROR(__xludf.DUMMYFUNCTION("""COMPUTED_VALUE"""),"SHOPIFY")</f>
        <v>SHOPIFY</v>
      </c>
      <c r="AU2223" s="65" t="str">
        <f>IFERROR(__xludf.DUMMYFUNCTION("""COMPUTED_VALUE"""),"IMPORTEX EC")</f>
        <v>IMPORTEX EC</v>
      </c>
      <c r="AV2223" s="65" t="str">
        <f>IFERROR(__xludf.DUMMYFUNCTION("""COMPUTED_VALUE"""),"6400617578540")</f>
        <v>6400617578540</v>
      </c>
      <c r="AW2223" s="65">
        <f>IFERROR(__xludf.DUMMYFUNCTION("""COMPUTED_VALUE"""),4739.0)</f>
        <v>4739</v>
      </c>
      <c r="AX2223" s="65"/>
      <c r="AY2223" s="65" t="str">
        <f>IFERROR(__xludf.DUMMYFUNCTION("""COMPUTED_VALUE"""),"09/01/2026")</f>
        <v>09/01/2026</v>
      </c>
      <c r="AZ2223" s="65"/>
      <c r="BA2223" s="65"/>
    </row>
    <row r="2224">
      <c r="A2224" s="65" t="str">
        <f>IFERROR(__xludf.DUMMYFUNCTION("""COMPUTED_VALUE"""),"27-03-2026")</f>
        <v>27-03-2026</v>
      </c>
      <c r="B2224" s="65">
        <f>IFERROR(__xludf.DUMMYFUNCTION("""COMPUTED_VALUE"""),4077822.0)</f>
        <v>4077822</v>
      </c>
      <c r="C2224" s="65" t="str">
        <f>IFERROR(__xludf.DUMMYFUNCTION("""COMPUTED_VALUE"""),"06:17")</f>
        <v>06:17</v>
      </c>
      <c r="D2224" s="65" t="str">
        <f>IFERROR(__xludf.DUMMYFUNCTION("""COMPUTED_VALUE"""),"09-01-2026")</f>
        <v>09-01-2026</v>
      </c>
      <c r="E2224" s="65" t="str">
        <f>IFERROR(__xludf.DUMMYFUNCTION("""COMPUTED_VALUE"""),"José Luis Villavicencio Falcones")</f>
        <v>José Luis Villavicencio Falcones</v>
      </c>
      <c r="F2224" s="65" t="str">
        <f>IFERROR(__xludf.DUMMYFUNCTION("""COMPUTED_VALUE"""),"986456760")</f>
        <v>986456760</v>
      </c>
      <c r="G2224" s="65" t="str">
        <f>IFERROR(__xludf.DUMMYFUNCTION("""COMPUTED_VALUE"""),"joseluisvillavicenciofalcones@hotmail.com")</f>
        <v>joseluisvillavicenciofalcones@hotmail.com</v>
      </c>
      <c r="H2224" s="65"/>
      <c r="I2224" s="65"/>
      <c r="J2224" s="65" t="str">
        <f>IFERROR(__xludf.DUMMYFUNCTION("""COMPUTED_VALUE"""),"186516860")</f>
        <v>186516860</v>
      </c>
      <c r="K2224" s="65" t="str">
        <f>IFERROR(__xludf.DUMMYFUNCTION("""COMPUTED_VALUE"""),"ENTREGADO")</f>
        <v>ENTREGADO</v>
      </c>
      <c r="L2224" s="65" t="str">
        <f>IFERROR(__xludf.DUMMYFUNCTION("""COMPUTED_VALUE"""),"CON RECAUDO")</f>
        <v>CON RECAUDO</v>
      </c>
      <c r="M2224" s="65" t="str">
        <f>IFERROR(__xludf.DUMMYFUNCTION("""COMPUTED_VALUE"""),"MANABI")</f>
        <v>MANABI</v>
      </c>
      <c r="N2224" s="65" t="str">
        <f>IFERROR(__xludf.DUMMYFUNCTION("""COMPUTED_VALUE"""),"BAHIA DE CARAQUEZ")</f>
        <v>BAHIA DE CARAQUEZ</v>
      </c>
      <c r="O2224" s="65" t="str">
        <f>IFERROR(__xludf.DUMMYFUNCTION("""COMPUTED_VALUE"""),"Calle Artimidoro Cevallo, barrio San Jorge Parroquia Leonidas Plaza, Cantón Sucre, Provincia de Manabi 512")</f>
        <v>Calle Artimidoro Cevallo, barrio San Jorge Parroquia Leonidas Plaza, Cantón Sucre, Provincia de Manabi 512</v>
      </c>
      <c r="P2224" s="65"/>
      <c r="Q2224" s="65" t="str">
        <f>IFERROR(__xludf.DUMMYFUNCTION("""COMPUTED_VALUE"""),"SERVIENTREGA")</f>
        <v>SERVIENTREGA</v>
      </c>
      <c r="R2224" s="65">
        <f>IFERROR(__xludf.DUMMYFUNCTION("""COMPUTED_VALUE"""),20.0)</f>
        <v>20</v>
      </c>
      <c r="S2224" s="65">
        <f>IFERROR(__xludf.DUMMYFUNCTION("""COMPUTED_VALUE"""),11.24)</f>
        <v>11.24</v>
      </c>
      <c r="T2224" s="65">
        <f>IFERROR(__xludf.DUMMYFUNCTION("""COMPUTED_VALUE"""),5.97)</f>
        <v>5.97</v>
      </c>
      <c r="U2224" s="65">
        <f>IFERROR(__xludf.DUMMYFUNCTION("""COMPUTED_VALUE"""),0.0)</f>
        <v>0</v>
      </c>
      <c r="V2224" s="65">
        <f>IFERROR(__xludf.DUMMYFUNCTION("""COMPUTED_VALUE"""),0.0)</f>
        <v>0</v>
      </c>
      <c r="W2224" s="65">
        <f>IFERROR(__xludf.DUMMYFUNCTION("""COMPUTED_VALUE"""),0.0)</f>
        <v>0</v>
      </c>
      <c r="X2224" s="65">
        <f>IFERROR(__xludf.DUMMYFUNCTION("""COMPUTED_VALUE"""),2.79)</f>
        <v>2.79</v>
      </c>
      <c r="Y2224" s="65">
        <f>IFERROR(__xludf.DUMMYFUNCTION("""COMPUTED_VALUE"""),2.79)</f>
        <v>2.79</v>
      </c>
      <c r="Z2224" s="65">
        <f>IFERROR(__xludf.DUMMYFUNCTION("""COMPUTED_VALUE"""),120732.0)</f>
        <v>120732</v>
      </c>
      <c r="AA2224" s="65" t="str">
        <f>IFERROR(__xludf.DUMMYFUNCTION("""COMPUTED_VALUE"""),"PROV-LMPVT")</f>
        <v>PROV-LMPVT</v>
      </c>
      <c r="AB2224" s="65"/>
      <c r="AC2224" s="65" t="str">
        <f>IFERROR(__xludf.DUMMYFUNCTION("""COMPUTED_VALUE"""),"LIMPIADOR DE PARABRISAS Y VENTANAS")</f>
        <v>LIMPIADOR DE PARABRISAS Y VENTANAS</v>
      </c>
      <c r="AD2224" s="65"/>
      <c r="AE2224" s="65">
        <f>IFERROR(__xludf.DUMMYFUNCTION("""COMPUTED_VALUE"""),1.0)</f>
        <v>1</v>
      </c>
      <c r="AF2224" s="65"/>
      <c r="AG2224" s="65"/>
      <c r="AH2224" s="65"/>
      <c r="AI2224" s="65"/>
      <c r="AJ2224" s="65"/>
      <c r="AK2224" s="65"/>
      <c r="AL2224" s="65"/>
      <c r="AM2224" s="65"/>
      <c r="AN2224" s="65" t="str">
        <f>IFERROR(__xludf.DUMMYFUNCTION("""COMPUTED_VALUE"""),"09:17")</f>
        <v>09:17</v>
      </c>
      <c r="AO2224" s="65" t="str">
        <f>IFERROR(__xludf.DUMMYFUNCTION("""COMPUTED_VALUE"""),"30-01-2026")</f>
        <v>30-01-2026</v>
      </c>
      <c r="AP2224" s="65" t="str">
        <f>IFERROR(__xludf.DUMMYFUNCTION("""COMPUTED_VALUE"""),"REPORTADO ENTREGADO EN AGENCIA")</f>
        <v>REPORTADO ENTREGADO EN AGENCIA</v>
      </c>
      <c r="AQ2224" s="65" t="str">
        <f>IFERROR(__xludf.DUMMYFUNCTION("""COMPUTED_VALUE"""),"JOSE VILLAVICENCIO")</f>
        <v>JOSE VILLAVICENCIO</v>
      </c>
      <c r="AR2224" s="65"/>
      <c r="AS2224" s="65"/>
      <c r="AT2224" s="65" t="str">
        <f>IFERROR(__xludf.DUMMYFUNCTION("""COMPUTED_VALUE"""),"SHOPIFY")</f>
        <v>SHOPIFY</v>
      </c>
      <c r="AU2224" s="65" t="str">
        <f>IFERROR(__xludf.DUMMYFUNCTION("""COMPUTED_VALUE"""),"IMPORTEX EC")</f>
        <v>IMPORTEX EC</v>
      </c>
      <c r="AV2224" s="65" t="str">
        <f>IFERROR(__xludf.DUMMYFUNCTION("""COMPUTED_VALUE"""),"6400593068076")</f>
        <v>6400593068076</v>
      </c>
      <c r="AW2224" s="65">
        <f>IFERROR(__xludf.DUMMYFUNCTION("""COMPUTED_VALUE"""),4738.0)</f>
        <v>4738</v>
      </c>
      <c r="AX2224" s="65"/>
      <c r="AY2224" s="65" t="str">
        <f>IFERROR(__xludf.DUMMYFUNCTION("""COMPUTED_VALUE"""),"23/01/2026")</f>
        <v>23/01/2026</v>
      </c>
      <c r="AZ2224" s="65"/>
      <c r="BA2224" s="65"/>
    </row>
    <row r="2225">
      <c r="A2225" s="65" t="str">
        <f>IFERROR(__xludf.DUMMYFUNCTION("""COMPUTED_VALUE"""),"27-03-2026")</f>
        <v>27-03-2026</v>
      </c>
      <c r="B2225" s="65">
        <f>IFERROR(__xludf.DUMMYFUNCTION("""COMPUTED_VALUE"""),4076198.0)</f>
        <v>4076198</v>
      </c>
      <c r="C2225" s="65" t="str">
        <f>IFERROR(__xludf.DUMMYFUNCTION("""COMPUTED_VALUE"""),"23:02")</f>
        <v>23:02</v>
      </c>
      <c r="D2225" s="65" t="str">
        <f>IFERROR(__xludf.DUMMYFUNCTION("""COMPUTED_VALUE"""),"08-01-2026")</f>
        <v>08-01-2026</v>
      </c>
      <c r="E2225" s="65" t="str">
        <f>IFERROR(__xludf.DUMMYFUNCTION("""COMPUTED_VALUE"""),"Juan Carlos Rivera")</f>
        <v>Juan Carlos Rivera</v>
      </c>
      <c r="F2225" s="65" t="str">
        <f>IFERROR(__xludf.DUMMYFUNCTION("""COMPUTED_VALUE"""),"994813854")</f>
        <v>994813854</v>
      </c>
      <c r="G2225" s="65" t="str">
        <f>IFERROR(__xludf.DUMMYFUNCTION("""COMPUTED_VALUE"""),"juancarivera.oa@hotmail.com")</f>
        <v>juancarivera.oa@hotmail.com</v>
      </c>
      <c r="H2225" s="65"/>
      <c r="I2225" s="65"/>
      <c r="J2225" s="65" t="str">
        <f>IFERROR(__xludf.DUMMYFUNCTION("""COMPUTED_VALUE"""),"D001206005")</f>
        <v>D001206005</v>
      </c>
      <c r="K2225" s="65" t="str">
        <f>IFERROR(__xludf.DUMMYFUNCTION("""COMPUTED_VALUE"""),"ENTREGADO")</f>
        <v>ENTREGADO</v>
      </c>
      <c r="L2225" s="65" t="str">
        <f>IFERROR(__xludf.DUMMYFUNCTION("""COMPUTED_VALUE"""),"CON RECAUDO")</f>
        <v>CON RECAUDO</v>
      </c>
      <c r="M2225" s="65" t="str">
        <f>IFERROR(__xludf.DUMMYFUNCTION("""COMPUTED_VALUE"""),"SANTO DOMINGO DE LOS TSACHILAS")</f>
        <v>SANTO DOMINGO DE LOS TSACHILAS</v>
      </c>
      <c r="N2225" s="65" t="str">
        <f>IFERROR(__xludf.DUMMYFUNCTION("""COMPUTED_VALUE"""),"SANTO DOMINGO")</f>
        <v>SANTO DOMINGO</v>
      </c>
      <c r="O2225" s="65" t="str">
        <f>IFERROR(__xludf.DUMMYFUNCTION("""COMPUTED_VALUE"""),"Av. Rio Tanti y Calle Londres entre C.H. y C.J. - Casa 17, Ref. Junto a Funeraria Manabí")</f>
        <v>Av. Rio Tanti y Calle Londres entre C.H. y C.J. - Casa 17, Ref. Junto a Funeraria Manabí</v>
      </c>
      <c r="P2225" s="65"/>
      <c r="Q2225" s="65" t="str">
        <f>IFERROR(__xludf.DUMMYFUNCTION("""COMPUTED_VALUE"""),"GINTRACOM")</f>
        <v>GINTRACOM</v>
      </c>
      <c r="R2225" s="65">
        <f>IFERROR(__xludf.DUMMYFUNCTION("""COMPUTED_VALUE"""),20.0)</f>
        <v>20</v>
      </c>
      <c r="S2225" s="65">
        <f>IFERROR(__xludf.DUMMYFUNCTION("""COMPUTED_VALUE"""),11.45)</f>
        <v>11.45</v>
      </c>
      <c r="T2225" s="65">
        <f>IFERROR(__xludf.DUMMYFUNCTION("""COMPUTED_VALUE"""),5.76)</f>
        <v>5.76</v>
      </c>
      <c r="U2225" s="65">
        <f>IFERROR(__xludf.DUMMYFUNCTION("""COMPUTED_VALUE"""),0.0)</f>
        <v>0</v>
      </c>
      <c r="V2225" s="65">
        <f>IFERROR(__xludf.DUMMYFUNCTION("""COMPUTED_VALUE"""),0.0)</f>
        <v>0</v>
      </c>
      <c r="W2225" s="65">
        <f>IFERROR(__xludf.DUMMYFUNCTION("""COMPUTED_VALUE"""),0.0)</f>
        <v>0</v>
      </c>
      <c r="X2225" s="65">
        <f>IFERROR(__xludf.DUMMYFUNCTION("""COMPUTED_VALUE"""),2.79)</f>
        <v>2.79</v>
      </c>
      <c r="Y2225" s="65">
        <f>IFERROR(__xludf.DUMMYFUNCTION("""COMPUTED_VALUE"""),2.79)</f>
        <v>2.79</v>
      </c>
      <c r="Z2225" s="65">
        <f>IFERROR(__xludf.DUMMYFUNCTION("""COMPUTED_VALUE"""),120732.0)</f>
        <v>120732</v>
      </c>
      <c r="AA2225" s="65" t="str">
        <f>IFERROR(__xludf.DUMMYFUNCTION("""COMPUTED_VALUE"""),"PROV-LMPVT")</f>
        <v>PROV-LMPVT</v>
      </c>
      <c r="AB2225" s="65"/>
      <c r="AC2225" s="65" t="str">
        <f>IFERROR(__xludf.DUMMYFUNCTION("""COMPUTED_VALUE"""),"LIMPIADOR DE PARABRISAS Y VENTANAS")</f>
        <v>LIMPIADOR DE PARABRISAS Y VENTANAS</v>
      </c>
      <c r="AD2225" s="65"/>
      <c r="AE2225" s="65">
        <f>IFERROR(__xludf.DUMMYFUNCTION("""COMPUTED_VALUE"""),1.0)</f>
        <v>1</v>
      </c>
      <c r="AF2225" s="65"/>
      <c r="AG2225" s="65"/>
      <c r="AH2225" s="65"/>
      <c r="AI2225" s="65"/>
      <c r="AJ2225" s="65"/>
      <c r="AK2225" s="65"/>
      <c r="AL2225" s="65"/>
      <c r="AM2225" s="65"/>
      <c r="AN2225" s="65" t="str">
        <f>IFERROR(__xludf.DUMMYFUNCTION("""COMPUTED_VALUE"""),"14:40")</f>
        <v>14:40</v>
      </c>
      <c r="AO2225" s="65" t="str">
        <f>IFERROR(__xludf.DUMMYFUNCTION("""COMPUTED_VALUE"""),"12-01-2026")</f>
        <v>12-01-2026</v>
      </c>
      <c r="AP2225" s="65" t="str">
        <f>IFERROR(__xludf.DUMMYFUNCTION("""COMPUTED_VALUE"""),"ENTREGADA GINTRACOM")</f>
        <v>ENTREGADA GINTRACOM</v>
      </c>
      <c r="AQ2225" s="65" t="str">
        <f>IFERROR(__xludf.DUMMYFUNCTION("""COMPUTED_VALUE"""),"ENTREGADA GINTRACOM")</f>
        <v>ENTREGADA GINTRACOM</v>
      </c>
      <c r="AR2225" s="65"/>
      <c r="AS2225" s="65"/>
      <c r="AT2225" s="65" t="str">
        <f>IFERROR(__xludf.DUMMYFUNCTION("""COMPUTED_VALUE"""),"SHOPIFY")</f>
        <v>SHOPIFY</v>
      </c>
      <c r="AU2225" s="65" t="str">
        <f>IFERROR(__xludf.DUMMYFUNCTION("""COMPUTED_VALUE"""),"IMPORTEX EC")</f>
        <v>IMPORTEX EC</v>
      </c>
      <c r="AV2225" s="65" t="str">
        <f>IFERROR(__xludf.DUMMYFUNCTION("""COMPUTED_VALUE"""),"6397337600044")</f>
        <v>6397337600044</v>
      </c>
      <c r="AW2225" s="65">
        <f>IFERROR(__xludf.DUMMYFUNCTION("""COMPUTED_VALUE"""),4725.0)</f>
        <v>4725</v>
      </c>
      <c r="AX2225" s="65"/>
      <c r="AY2225" s="65" t="str">
        <f>IFERROR(__xludf.DUMMYFUNCTION("""COMPUTED_VALUE"""),"09/01/2026")</f>
        <v>09/01/2026</v>
      </c>
      <c r="AZ2225" s="65"/>
      <c r="BA2225" s="65"/>
    </row>
    <row r="2226">
      <c r="A2226" s="65" t="str">
        <f>IFERROR(__xludf.DUMMYFUNCTION("""COMPUTED_VALUE"""),"27-03-2026")</f>
        <v>27-03-2026</v>
      </c>
      <c r="B2226" s="65">
        <f>IFERROR(__xludf.DUMMYFUNCTION("""COMPUTED_VALUE"""),4076142.0)</f>
        <v>4076142</v>
      </c>
      <c r="C2226" s="65" t="str">
        <f>IFERROR(__xludf.DUMMYFUNCTION("""COMPUTED_VALUE"""),"22:56")</f>
        <v>22:56</v>
      </c>
      <c r="D2226" s="65" t="str">
        <f>IFERROR(__xludf.DUMMYFUNCTION("""COMPUTED_VALUE"""),"08-01-2026")</f>
        <v>08-01-2026</v>
      </c>
      <c r="E2226" s="65" t="str">
        <f>IFERROR(__xludf.DUMMYFUNCTION("""COMPUTED_VALUE"""),"Flavio Polivio Andrade Maldonado")</f>
        <v>Flavio Polivio Andrade Maldonado</v>
      </c>
      <c r="F2226" s="65" t="str">
        <f>IFERROR(__xludf.DUMMYFUNCTION("""COMPUTED_VALUE"""),"995962920")</f>
        <v>995962920</v>
      </c>
      <c r="G2226" s="65"/>
      <c r="H2226" s="65"/>
      <c r="I2226" s="65"/>
      <c r="J2226" s="65"/>
      <c r="K2226" s="65" t="str">
        <f>IFERROR(__xludf.DUMMYFUNCTION("""COMPUTED_VALUE"""),"CANCELADO")</f>
        <v>CANCELADO</v>
      </c>
      <c r="L2226" s="65" t="str">
        <f>IFERROR(__xludf.DUMMYFUNCTION("""COMPUTED_VALUE"""),"CON RECAUDO")</f>
        <v>CON RECAUDO</v>
      </c>
      <c r="M2226" s="65" t="str">
        <f>IFERROR(__xludf.DUMMYFUNCTION("""COMPUTED_VALUE"""),"EL ORO")</f>
        <v>EL ORO</v>
      </c>
      <c r="N2226" s="65" t="str">
        <f>IFERROR(__xludf.DUMMYFUNCTION("""COMPUTED_VALUE"""),"PASAJE")</f>
        <v>PASAJE</v>
      </c>
      <c r="O2226" s="65" t="str">
        <f>IFERROR(__xludf.DUMMYFUNCTION("""COMPUTED_VALUE"""),"Sector Villas del Seguro - Ciudadela jubones - Av. Azuay y Calle 9 de Octubre - Frente a los condominios del banco de la vivienda")</f>
        <v>Sector Villas del Seguro - Ciudadela jubones - Av. Azuay y Calle 9 de Octubre - Frente a los condominios del banco de la vivienda</v>
      </c>
      <c r="P2226" s="65"/>
      <c r="Q2226" s="65" t="str">
        <f>IFERROR(__xludf.DUMMYFUNCTION("""COMPUTED_VALUE"""),"GINTRACOM")</f>
        <v>GINTRACOM</v>
      </c>
      <c r="R2226" s="65">
        <f>IFERROR(__xludf.DUMMYFUNCTION("""COMPUTED_VALUE"""),22.0)</f>
        <v>22</v>
      </c>
      <c r="S2226" s="65"/>
      <c r="T2226" s="65">
        <f>IFERROR(__xludf.DUMMYFUNCTION("""COMPUTED_VALUE"""),5.84)</f>
        <v>5.84</v>
      </c>
      <c r="U2226" s="65">
        <f>IFERROR(__xludf.DUMMYFUNCTION("""COMPUTED_VALUE"""),0.0)</f>
        <v>0</v>
      </c>
      <c r="V2226" s="65">
        <f>IFERROR(__xludf.DUMMYFUNCTION("""COMPUTED_VALUE"""),0.0)</f>
        <v>0</v>
      </c>
      <c r="W2226" s="65">
        <f>IFERROR(__xludf.DUMMYFUNCTION("""COMPUTED_VALUE"""),0.0)</f>
        <v>0</v>
      </c>
      <c r="X2226" s="65">
        <f>IFERROR(__xludf.DUMMYFUNCTION("""COMPUTED_VALUE"""),5.0)</f>
        <v>5</v>
      </c>
      <c r="Y2226" s="65">
        <f>IFERROR(__xludf.DUMMYFUNCTION("""COMPUTED_VALUE"""),5.0)</f>
        <v>5</v>
      </c>
      <c r="Z2226" s="65">
        <f>IFERROR(__xludf.DUMMYFUNCTION("""COMPUTED_VALUE"""),110064.0)</f>
        <v>110064</v>
      </c>
      <c r="AA2226" s="65" t="str">
        <f>IFERROR(__xludf.DUMMYFUNCTION("""COMPUTED_VALUE"""),"IMX-00001")</f>
        <v>IMX-00001</v>
      </c>
      <c r="AB2226" s="65"/>
      <c r="AC2226" s="65" t="str">
        <f>IFERROR(__xludf.DUMMYFUNCTION("""COMPUTED_VALUE"""),"LLAVE TRINQUETE")</f>
        <v>LLAVE TRINQUETE</v>
      </c>
      <c r="AD2226" s="65"/>
      <c r="AE2226" s="65">
        <f>IFERROR(__xludf.DUMMYFUNCTION("""COMPUTED_VALUE"""),1.0)</f>
        <v>1</v>
      </c>
      <c r="AF2226" s="65"/>
      <c r="AG2226" s="65"/>
      <c r="AH2226" s="65"/>
      <c r="AI2226" s="65"/>
      <c r="AJ2226" s="65"/>
      <c r="AK2226" s="65"/>
      <c r="AL2226" s="65"/>
      <c r="AM2226" s="65"/>
      <c r="AN2226" s="65"/>
      <c r="AO2226" s="65"/>
      <c r="AP2226" s="65"/>
      <c r="AQ2226" s="65"/>
      <c r="AR2226" s="65"/>
      <c r="AS2226" s="65" t="str">
        <f>IFERROR(__xludf.DUMMYFUNCTION("""COMPUTED_VALUE"""),"Bayron Gomez")</f>
        <v>Bayron Gomez</v>
      </c>
      <c r="AT2226" s="65"/>
      <c r="AU2226" s="65"/>
      <c r="AV2226" s="65"/>
      <c r="AW2226" s="65"/>
      <c r="AX2226" s="65"/>
      <c r="AY2226" s="65"/>
      <c r="AZ2226" s="65"/>
      <c r="BA2226" s="65"/>
    </row>
    <row r="2227">
      <c r="A2227" s="65" t="str">
        <f>IFERROR(__xludf.DUMMYFUNCTION("""COMPUTED_VALUE"""),"27-03-2026")</f>
        <v>27-03-2026</v>
      </c>
      <c r="B2227" s="65">
        <f>IFERROR(__xludf.DUMMYFUNCTION("""COMPUTED_VALUE"""),4075866.0)</f>
        <v>4075866</v>
      </c>
      <c r="C2227" s="65" t="str">
        <f>IFERROR(__xludf.DUMMYFUNCTION("""COMPUTED_VALUE"""),"22:33")</f>
        <v>22:33</v>
      </c>
      <c r="D2227" s="65" t="str">
        <f>IFERROR(__xludf.DUMMYFUNCTION("""COMPUTED_VALUE"""),"08-01-2026")</f>
        <v>08-01-2026</v>
      </c>
      <c r="E2227" s="65" t="str">
        <f>IFERROR(__xludf.DUMMYFUNCTION("""COMPUTED_VALUE"""),"Cesar Cabrera")</f>
        <v>Cesar Cabrera</v>
      </c>
      <c r="F2227" s="65" t="str">
        <f>IFERROR(__xludf.DUMMYFUNCTION("""COMPUTED_VALUE"""),"998159392")</f>
        <v>998159392</v>
      </c>
      <c r="G2227" s="65"/>
      <c r="H2227" s="65"/>
      <c r="I2227" s="65"/>
      <c r="J2227" s="65"/>
      <c r="K2227" s="65" t="str">
        <f>IFERROR(__xludf.DUMMYFUNCTION("""COMPUTED_VALUE"""),"CANCELADO")</f>
        <v>CANCELADO</v>
      </c>
      <c r="L2227" s="65" t="str">
        <f>IFERROR(__xludf.DUMMYFUNCTION("""COMPUTED_VALUE"""),"CON RECAUDO")</f>
        <v>CON RECAUDO</v>
      </c>
      <c r="M2227" s="65" t="str">
        <f>IFERROR(__xludf.DUMMYFUNCTION("""COMPUTED_VALUE"""),"PICHINCHA")</f>
        <v>PICHINCHA</v>
      </c>
      <c r="N2227" s="65" t="str">
        <f>IFERROR(__xludf.DUMMYFUNCTION("""COMPUTED_VALUE"""),"QUITO")</f>
        <v>QUITO</v>
      </c>
      <c r="O2227" s="65" t="str">
        <f>IFERROR(__xludf.DUMMYFUNCTION("""COMPUTED_VALUE"""),"Sector Los arrayanes - Av. José Gallardo Oe5f. Y. S13d")</f>
        <v>Sector Los arrayanes - Av. José Gallardo Oe5f. Y. S13d</v>
      </c>
      <c r="P2227" s="65"/>
      <c r="Q2227" s="65" t="str">
        <f>IFERROR(__xludf.DUMMYFUNCTION("""COMPUTED_VALUE"""),"GINTRACOM")</f>
        <v>GINTRACOM</v>
      </c>
      <c r="R2227" s="65">
        <f>IFERROR(__xludf.DUMMYFUNCTION("""COMPUTED_VALUE"""),20.0)</f>
        <v>20</v>
      </c>
      <c r="S2227" s="65"/>
      <c r="T2227" s="65">
        <f>IFERROR(__xludf.DUMMYFUNCTION("""COMPUTED_VALUE"""),4.15)</f>
        <v>4.15</v>
      </c>
      <c r="U2227" s="65">
        <f>IFERROR(__xludf.DUMMYFUNCTION("""COMPUTED_VALUE"""),0.0)</f>
        <v>0</v>
      </c>
      <c r="V2227" s="65">
        <f>IFERROR(__xludf.DUMMYFUNCTION("""COMPUTED_VALUE"""),0.0)</f>
        <v>0</v>
      </c>
      <c r="W2227" s="65">
        <f>IFERROR(__xludf.DUMMYFUNCTION("""COMPUTED_VALUE"""),0.0)</f>
        <v>0</v>
      </c>
      <c r="X2227" s="65">
        <f>IFERROR(__xludf.DUMMYFUNCTION("""COMPUTED_VALUE"""),5.0)</f>
        <v>5</v>
      </c>
      <c r="Y2227" s="65">
        <f>IFERROR(__xludf.DUMMYFUNCTION("""COMPUTED_VALUE"""),5.0)</f>
        <v>5</v>
      </c>
      <c r="Z2227" s="65">
        <f>IFERROR(__xludf.DUMMYFUNCTION("""COMPUTED_VALUE"""),110064.0)</f>
        <v>110064</v>
      </c>
      <c r="AA2227" s="65" t="str">
        <f>IFERROR(__xludf.DUMMYFUNCTION("""COMPUTED_VALUE"""),"IMX-00001")</f>
        <v>IMX-00001</v>
      </c>
      <c r="AB2227" s="65"/>
      <c r="AC2227" s="65" t="str">
        <f>IFERROR(__xludf.DUMMYFUNCTION("""COMPUTED_VALUE"""),"LLAVE TRINQUETE")</f>
        <v>LLAVE TRINQUETE</v>
      </c>
      <c r="AD2227" s="65"/>
      <c r="AE2227" s="65">
        <f>IFERROR(__xludf.DUMMYFUNCTION("""COMPUTED_VALUE"""),1.0)</f>
        <v>1</v>
      </c>
      <c r="AF2227" s="65"/>
      <c r="AG2227" s="65"/>
      <c r="AH2227" s="65"/>
      <c r="AI2227" s="65"/>
      <c r="AJ2227" s="65"/>
      <c r="AK2227" s="65"/>
      <c r="AL2227" s="65"/>
      <c r="AM2227" s="65"/>
      <c r="AN2227" s="65"/>
      <c r="AO2227" s="65"/>
      <c r="AP2227" s="65"/>
      <c r="AQ2227" s="65"/>
      <c r="AR2227" s="65"/>
      <c r="AS2227" s="65" t="str">
        <f>IFERROR(__xludf.DUMMYFUNCTION("""COMPUTED_VALUE"""),"Bayron Gomez")</f>
        <v>Bayron Gomez</v>
      </c>
      <c r="AT2227" s="65"/>
      <c r="AU2227" s="65"/>
      <c r="AV2227" s="65"/>
      <c r="AW2227" s="65"/>
      <c r="AX2227" s="65"/>
      <c r="AY2227" s="65"/>
      <c r="AZ2227" s="65"/>
      <c r="BA2227" s="65"/>
    </row>
    <row r="2228">
      <c r="A2228" s="65" t="str">
        <f>IFERROR(__xludf.DUMMYFUNCTION("""COMPUTED_VALUE"""),"27-03-2026")</f>
        <v>27-03-2026</v>
      </c>
      <c r="B2228" s="65">
        <f>IFERROR(__xludf.DUMMYFUNCTION("""COMPUTED_VALUE"""),4075733.0)</f>
        <v>4075733</v>
      </c>
      <c r="C2228" s="65" t="str">
        <f>IFERROR(__xludf.DUMMYFUNCTION("""COMPUTED_VALUE"""),"22:23")</f>
        <v>22:23</v>
      </c>
      <c r="D2228" s="65" t="str">
        <f>IFERROR(__xludf.DUMMYFUNCTION("""COMPUTED_VALUE"""),"08-01-2026")</f>
        <v>08-01-2026</v>
      </c>
      <c r="E2228" s="65" t="str">
        <f>IFERROR(__xludf.DUMMYFUNCTION("""COMPUTED_VALUE"""),"Apablo Aguayo")</f>
        <v>Apablo Aguayo</v>
      </c>
      <c r="F2228" s="65" t="str">
        <f>IFERROR(__xludf.DUMMYFUNCTION("""COMPUTED_VALUE"""),"986207466")</f>
        <v>986207466</v>
      </c>
      <c r="G2228" s="65"/>
      <c r="H2228" s="65"/>
      <c r="I2228" s="65"/>
      <c r="J2228" s="65"/>
      <c r="K2228" s="65" t="str">
        <f>IFERROR(__xludf.DUMMYFUNCTION("""COMPUTED_VALUE"""),"CANCELADO")</f>
        <v>CANCELADO</v>
      </c>
      <c r="L2228" s="65" t="str">
        <f>IFERROR(__xludf.DUMMYFUNCTION("""COMPUTED_VALUE"""),"CON RECAUDO")</f>
        <v>CON RECAUDO</v>
      </c>
      <c r="M2228" s="65" t="str">
        <f>IFERROR(__xludf.DUMMYFUNCTION("""COMPUTED_VALUE"""),"PICHINCHA")</f>
        <v>PICHINCHA</v>
      </c>
      <c r="N2228" s="65" t="str">
        <f>IFERROR(__xludf.DUMMYFUNCTION("""COMPUTED_VALUE"""),"QUITO")</f>
        <v>QUITO</v>
      </c>
      <c r="O2228" s="65" t="str">
        <f>IFERROR(__xludf.DUMMYFUNCTION("""COMPUTED_VALUE"""),"Sector San Juan - Calle Guatemala y Calle Sebastián de Benalcázar")</f>
        <v>Sector San Juan - Calle Guatemala y Calle Sebastián de Benalcázar</v>
      </c>
      <c r="P2228" s="65"/>
      <c r="Q2228" s="65" t="str">
        <f>IFERROR(__xludf.DUMMYFUNCTION("""COMPUTED_VALUE"""),"GINTRACOM")</f>
        <v>GINTRACOM</v>
      </c>
      <c r="R2228" s="65">
        <f>IFERROR(__xludf.DUMMYFUNCTION("""COMPUTED_VALUE"""),20.0)</f>
        <v>20</v>
      </c>
      <c r="S2228" s="65"/>
      <c r="T2228" s="65">
        <f>IFERROR(__xludf.DUMMYFUNCTION("""COMPUTED_VALUE"""),4.15)</f>
        <v>4.15</v>
      </c>
      <c r="U2228" s="65">
        <f>IFERROR(__xludf.DUMMYFUNCTION("""COMPUTED_VALUE"""),0.0)</f>
        <v>0</v>
      </c>
      <c r="V2228" s="65">
        <f>IFERROR(__xludf.DUMMYFUNCTION("""COMPUTED_VALUE"""),0.0)</f>
        <v>0</v>
      </c>
      <c r="W2228" s="65">
        <f>IFERROR(__xludf.DUMMYFUNCTION("""COMPUTED_VALUE"""),0.0)</f>
        <v>0</v>
      </c>
      <c r="X2228" s="65">
        <f>IFERROR(__xludf.DUMMYFUNCTION("""COMPUTED_VALUE"""),5.0)</f>
        <v>5</v>
      </c>
      <c r="Y2228" s="65">
        <f>IFERROR(__xludf.DUMMYFUNCTION("""COMPUTED_VALUE"""),5.0)</f>
        <v>5</v>
      </c>
      <c r="Z2228" s="65">
        <f>IFERROR(__xludf.DUMMYFUNCTION("""COMPUTED_VALUE"""),110064.0)</f>
        <v>110064</v>
      </c>
      <c r="AA2228" s="65" t="str">
        <f>IFERROR(__xludf.DUMMYFUNCTION("""COMPUTED_VALUE"""),"IMX-00001")</f>
        <v>IMX-00001</v>
      </c>
      <c r="AB2228" s="65"/>
      <c r="AC2228" s="65" t="str">
        <f>IFERROR(__xludf.DUMMYFUNCTION("""COMPUTED_VALUE"""),"LLAVE TRINQUETE")</f>
        <v>LLAVE TRINQUETE</v>
      </c>
      <c r="AD2228" s="65"/>
      <c r="AE2228" s="65">
        <f>IFERROR(__xludf.DUMMYFUNCTION("""COMPUTED_VALUE"""),1.0)</f>
        <v>1</v>
      </c>
      <c r="AF2228" s="65"/>
      <c r="AG2228" s="65"/>
      <c r="AH2228" s="65"/>
      <c r="AI2228" s="65"/>
      <c r="AJ2228" s="65"/>
      <c r="AK2228" s="65"/>
      <c r="AL2228" s="65"/>
      <c r="AM2228" s="65"/>
      <c r="AN2228" s="65"/>
      <c r="AO2228" s="65"/>
      <c r="AP2228" s="65"/>
      <c r="AQ2228" s="65"/>
      <c r="AR2228" s="65"/>
      <c r="AS2228" s="65" t="str">
        <f>IFERROR(__xludf.DUMMYFUNCTION("""COMPUTED_VALUE"""),"Bayron Gomez")</f>
        <v>Bayron Gomez</v>
      </c>
      <c r="AT2228" s="65"/>
      <c r="AU2228" s="65"/>
      <c r="AV2228" s="65"/>
      <c r="AW2228" s="65"/>
      <c r="AX2228" s="65"/>
      <c r="AY2228" s="65"/>
      <c r="AZ2228" s="65"/>
      <c r="BA2228" s="65"/>
    </row>
    <row r="2229">
      <c r="A2229" s="65" t="str">
        <f>IFERROR(__xludf.DUMMYFUNCTION("""COMPUTED_VALUE"""),"27-03-2026")</f>
        <v>27-03-2026</v>
      </c>
      <c r="B2229" s="65">
        <f>IFERROR(__xludf.DUMMYFUNCTION("""COMPUTED_VALUE"""),4075703.0)</f>
        <v>4075703</v>
      </c>
      <c r="C2229" s="65" t="str">
        <f>IFERROR(__xludf.DUMMYFUNCTION("""COMPUTED_VALUE"""),"22:20")</f>
        <v>22:20</v>
      </c>
      <c r="D2229" s="65" t="str">
        <f>IFERROR(__xludf.DUMMYFUNCTION("""COMPUTED_VALUE"""),"08-01-2026")</f>
        <v>08-01-2026</v>
      </c>
      <c r="E2229" s="65" t="str">
        <f>IFERROR(__xludf.DUMMYFUNCTION("""COMPUTED_VALUE"""),"Ernesto Gallo")</f>
        <v>Ernesto Gallo</v>
      </c>
      <c r="F2229" s="65" t="str">
        <f>IFERROR(__xludf.DUMMYFUNCTION("""COMPUTED_VALUE"""),"999750420")</f>
        <v>999750420</v>
      </c>
      <c r="G2229" s="65"/>
      <c r="H2229" s="65"/>
      <c r="I2229" s="65"/>
      <c r="J2229" s="65"/>
      <c r="K2229" s="65" t="str">
        <f>IFERROR(__xludf.DUMMYFUNCTION("""COMPUTED_VALUE"""),"CANCELADO")</f>
        <v>CANCELADO</v>
      </c>
      <c r="L2229" s="65" t="str">
        <f>IFERROR(__xludf.DUMMYFUNCTION("""COMPUTED_VALUE"""),"CON RECAUDO")</f>
        <v>CON RECAUDO</v>
      </c>
      <c r="M2229" s="65" t="str">
        <f>IFERROR(__xludf.DUMMYFUNCTION("""COMPUTED_VALUE"""),"LOJA")</f>
        <v>LOJA</v>
      </c>
      <c r="N2229" s="65" t="str">
        <f>IFERROR(__xludf.DUMMYFUNCTION("""COMPUTED_VALUE"""),"LOJA")</f>
        <v>LOJA</v>
      </c>
      <c r="O2229" s="65" t="str">
        <f>IFERROR(__xludf.DUMMYFUNCTION("""COMPUTED_VALUE"""),"Sector San Sebastián - Av. Lourdes y Calle Juan José Peña")</f>
        <v>Sector San Sebastián - Av. Lourdes y Calle Juan José Peña</v>
      </c>
      <c r="P2229" s="65"/>
      <c r="Q2229" s="65" t="str">
        <f>IFERROR(__xludf.DUMMYFUNCTION("""COMPUTED_VALUE"""),"GINTRACOM")</f>
        <v>GINTRACOM</v>
      </c>
      <c r="R2229" s="65">
        <f>IFERROR(__xludf.DUMMYFUNCTION("""COMPUTED_VALUE"""),20.0)</f>
        <v>20</v>
      </c>
      <c r="S2229" s="65"/>
      <c r="T2229" s="65">
        <f>IFERROR(__xludf.DUMMYFUNCTION("""COMPUTED_VALUE"""),5.76)</f>
        <v>5.76</v>
      </c>
      <c r="U2229" s="65">
        <f>IFERROR(__xludf.DUMMYFUNCTION("""COMPUTED_VALUE"""),0.0)</f>
        <v>0</v>
      </c>
      <c r="V2229" s="65">
        <f>IFERROR(__xludf.DUMMYFUNCTION("""COMPUTED_VALUE"""),0.0)</f>
        <v>0</v>
      </c>
      <c r="W2229" s="65">
        <f>IFERROR(__xludf.DUMMYFUNCTION("""COMPUTED_VALUE"""),0.0)</f>
        <v>0</v>
      </c>
      <c r="X2229" s="65">
        <f>IFERROR(__xludf.DUMMYFUNCTION("""COMPUTED_VALUE"""),5.0)</f>
        <v>5</v>
      </c>
      <c r="Y2229" s="65">
        <f>IFERROR(__xludf.DUMMYFUNCTION("""COMPUTED_VALUE"""),5.0)</f>
        <v>5</v>
      </c>
      <c r="Z2229" s="65">
        <f>IFERROR(__xludf.DUMMYFUNCTION("""COMPUTED_VALUE"""),110064.0)</f>
        <v>110064</v>
      </c>
      <c r="AA2229" s="65" t="str">
        <f>IFERROR(__xludf.DUMMYFUNCTION("""COMPUTED_VALUE"""),"IMX-00001")</f>
        <v>IMX-00001</v>
      </c>
      <c r="AB2229" s="65"/>
      <c r="AC2229" s="65" t="str">
        <f>IFERROR(__xludf.DUMMYFUNCTION("""COMPUTED_VALUE"""),"LLAVE TRINQUETE")</f>
        <v>LLAVE TRINQUETE</v>
      </c>
      <c r="AD2229" s="65"/>
      <c r="AE2229" s="65">
        <f>IFERROR(__xludf.DUMMYFUNCTION("""COMPUTED_VALUE"""),1.0)</f>
        <v>1</v>
      </c>
      <c r="AF2229" s="65"/>
      <c r="AG2229" s="65"/>
      <c r="AH2229" s="65"/>
      <c r="AI2229" s="65"/>
      <c r="AJ2229" s="65"/>
      <c r="AK2229" s="65"/>
      <c r="AL2229" s="65"/>
      <c r="AM2229" s="65"/>
      <c r="AN2229" s="65"/>
      <c r="AO2229" s="65"/>
      <c r="AP2229" s="65"/>
      <c r="AQ2229" s="65"/>
      <c r="AR2229" s="65"/>
      <c r="AS2229" s="65" t="str">
        <f>IFERROR(__xludf.DUMMYFUNCTION("""COMPUTED_VALUE"""),"Bayron Gomez")</f>
        <v>Bayron Gomez</v>
      </c>
      <c r="AT2229" s="65"/>
      <c r="AU2229" s="65"/>
      <c r="AV2229" s="65"/>
      <c r="AW2229" s="65"/>
      <c r="AX2229" s="65"/>
      <c r="AY2229" s="65"/>
      <c r="AZ2229" s="65"/>
      <c r="BA2229" s="65"/>
    </row>
    <row r="2230">
      <c r="A2230" s="65" t="str">
        <f>IFERROR(__xludf.DUMMYFUNCTION("""COMPUTED_VALUE"""),"27-03-2026")</f>
        <v>27-03-2026</v>
      </c>
      <c r="B2230" s="65">
        <f>IFERROR(__xludf.DUMMYFUNCTION("""COMPUTED_VALUE"""),4075604.0)</f>
        <v>4075604</v>
      </c>
      <c r="C2230" s="65" t="str">
        <f>IFERROR(__xludf.DUMMYFUNCTION("""COMPUTED_VALUE"""),"22:12")</f>
        <v>22:12</v>
      </c>
      <c r="D2230" s="65" t="str">
        <f>IFERROR(__xludf.DUMMYFUNCTION("""COMPUTED_VALUE"""),"08-01-2026")</f>
        <v>08-01-2026</v>
      </c>
      <c r="E2230" s="65" t="str">
        <f>IFERROR(__xludf.DUMMYFUNCTION("""COMPUTED_VALUE"""),"Luis Verdezoto")</f>
        <v>Luis Verdezoto</v>
      </c>
      <c r="F2230" s="65" t="str">
        <f>IFERROR(__xludf.DUMMYFUNCTION("""COMPUTED_VALUE"""),"984149980")</f>
        <v>984149980</v>
      </c>
      <c r="G2230" s="65"/>
      <c r="H2230" s="65"/>
      <c r="I2230" s="65"/>
      <c r="J2230" s="65" t="str">
        <f>IFERROR(__xludf.DUMMYFUNCTION("""COMPUTED_VALUE"""),"D001204682")</f>
        <v>D001204682</v>
      </c>
      <c r="K2230" s="65" t="str">
        <f>IFERROR(__xludf.DUMMYFUNCTION("""COMPUTED_VALUE"""),"ENTREGADO")</f>
        <v>ENTREGADO</v>
      </c>
      <c r="L2230" s="65" t="str">
        <f>IFERROR(__xludf.DUMMYFUNCTION("""COMPUTED_VALUE"""),"CON RECAUDO")</f>
        <v>CON RECAUDO</v>
      </c>
      <c r="M2230" s="65" t="str">
        <f>IFERROR(__xludf.DUMMYFUNCTION("""COMPUTED_VALUE"""),"BOLIVAR")</f>
        <v>BOLIVAR</v>
      </c>
      <c r="N2230" s="65" t="str">
        <f>IFERROR(__xludf.DUMMYFUNCTION("""COMPUTED_VALUE"""),"GUARANDA")</f>
        <v>GUARANDA</v>
      </c>
      <c r="O2230" s="65" t="str">
        <f>IFERROR(__xludf.DUMMYFUNCTION("""COMPUTED_VALUE"""),"Calle Convención de 1884 y Calle Feliza Eguez, Edificio Agripac, S/N")</f>
        <v>Calle Convención de 1884 y Calle Feliza Eguez, Edificio Agripac, S/N</v>
      </c>
      <c r="P2230" s="65"/>
      <c r="Q2230" s="65" t="str">
        <f>IFERROR(__xludf.DUMMYFUNCTION("""COMPUTED_VALUE"""),"GINTRACOM")</f>
        <v>GINTRACOM</v>
      </c>
      <c r="R2230" s="65">
        <f>IFERROR(__xludf.DUMMYFUNCTION("""COMPUTED_VALUE"""),25.0)</f>
        <v>25</v>
      </c>
      <c r="S2230" s="65">
        <f>IFERROR(__xludf.DUMMYFUNCTION("""COMPUTED_VALUE"""),9.04)</f>
        <v>9.04</v>
      </c>
      <c r="T2230" s="65">
        <f>IFERROR(__xludf.DUMMYFUNCTION("""COMPUTED_VALUE"""),5.96)</f>
        <v>5.96</v>
      </c>
      <c r="U2230" s="65">
        <f>IFERROR(__xludf.DUMMYFUNCTION("""COMPUTED_VALUE"""),0.0)</f>
        <v>0</v>
      </c>
      <c r="V2230" s="65">
        <f>IFERROR(__xludf.DUMMYFUNCTION("""COMPUTED_VALUE"""),0.0)</f>
        <v>0</v>
      </c>
      <c r="W2230" s="65">
        <f>IFERROR(__xludf.DUMMYFUNCTION("""COMPUTED_VALUE"""),0.0)</f>
        <v>0</v>
      </c>
      <c r="X2230" s="65">
        <f>IFERROR(__xludf.DUMMYFUNCTION("""COMPUTED_VALUE"""),5.0)</f>
        <v>5</v>
      </c>
      <c r="Y2230" s="65">
        <f>IFERROR(__xludf.DUMMYFUNCTION("""COMPUTED_VALUE"""),10.0)</f>
        <v>10</v>
      </c>
      <c r="Z2230" s="65">
        <f>IFERROR(__xludf.DUMMYFUNCTION("""COMPUTED_VALUE"""),110064.0)</f>
        <v>110064</v>
      </c>
      <c r="AA2230" s="65" t="str">
        <f>IFERROR(__xludf.DUMMYFUNCTION("""COMPUTED_VALUE"""),"IMX-00001")</f>
        <v>IMX-00001</v>
      </c>
      <c r="AB2230" s="65"/>
      <c r="AC2230" s="65" t="str">
        <f>IFERROR(__xludf.DUMMYFUNCTION("""COMPUTED_VALUE"""),"LLAVE TRINQUETE")</f>
        <v>LLAVE TRINQUETE</v>
      </c>
      <c r="AD2230" s="65"/>
      <c r="AE2230" s="65">
        <f>IFERROR(__xludf.DUMMYFUNCTION("""COMPUTED_VALUE"""),2.0)</f>
        <v>2</v>
      </c>
      <c r="AF2230" s="65"/>
      <c r="AG2230" s="65"/>
      <c r="AH2230" s="65"/>
      <c r="AI2230" s="65"/>
      <c r="AJ2230" s="65"/>
      <c r="AK2230" s="65"/>
      <c r="AL2230" s="65"/>
      <c r="AM2230" s="65"/>
      <c r="AN2230" s="65" t="str">
        <f>IFERROR(__xludf.DUMMYFUNCTION("""COMPUTED_VALUE"""),"15:27")</f>
        <v>15:27</v>
      </c>
      <c r="AO2230" s="65" t="str">
        <f>IFERROR(__xludf.DUMMYFUNCTION("""COMPUTED_VALUE"""),"12-01-2026")</f>
        <v>12-01-2026</v>
      </c>
      <c r="AP2230" s="65" t="str">
        <f>IFERROR(__xludf.DUMMYFUNCTION("""COMPUTED_VALUE"""),"ENTREGADA GINTRACOM")</f>
        <v>ENTREGADA GINTRACOM</v>
      </c>
      <c r="AQ2230" s="65" t="str">
        <f>IFERROR(__xludf.DUMMYFUNCTION("""COMPUTED_VALUE"""),"ENTREGADA GINTRACOM")</f>
        <v>ENTREGADA GINTRACOM</v>
      </c>
      <c r="AR2230" s="65"/>
      <c r="AS2230" s="65" t="str">
        <f>IFERROR(__xludf.DUMMYFUNCTION("""COMPUTED_VALUE"""),"Bayron Gomez")</f>
        <v>Bayron Gomez</v>
      </c>
      <c r="AT2230" s="65"/>
      <c r="AU2230" s="65"/>
      <c r="AV2230" s="65"/>
      <c r="AW2230" s="65"/>
      <c r="AX2230" s="65"/>
      <c r="AY2230" s="65" t="str">
        <f>IFERROR(__xludf.DUMMYFUNCTION("""COMPUTED_VALUE"""),"09/01/2026")</f>
        <v>09/01/2026</v>
      </c>
      <c r="AZ2230" s="65"/>
      <c r="BA2230" s="65"/>
    </row>
    <row r="2231">
      <c r="A2231" s="65" t="str">
        <f>IFERROR(__xludf.DUMMYFUNCTION("""COMPUTED_VALUE"""),"27-03-2026")</f>
        <v>27-03-2026</v>
      </c>
      <c r="B2231" s="65">
        <f>IFERROR(__xludf.DUMMYFUNCTION("""COMPUTED_VALUE"""),4075460.0)</f>
        <v>4075460</v>
      </c>
      <c r="C2231" s="65" t="str">
        <f>IFERROR(__xludf.DUMMYFUNCTION("""COMPUTED_VALUE"""),"22:02")</f>
        <v>22:02</v>
      </c>
      <c r="D2231" s="65" t="str">
        <f>IFERROR(__xludf.DUMMYFUNCTION("""COMPUTED_VALUE"""),"08-01-2026")</f>
        <v>08-01-2026</v>
      </c>
      <c r="E2231" s="65" t="str">
        <f>IFERROR(__xludf.DUMMYFUNCTION("""COMPUTED_VALUE"""),"Tomas Hidalgo")</f>
        <v>Tomas Hidalgo</v>
      </c>
      <c r="F2231" s="65" t="str">
        <f>IFERROR(__xludf.DUMMYFUNCTION("""COMPUTED_VALUE"""),"992025991")</f>
        <v>992025991</v>
      </c>
      <c r="G2231" s="65"/>
      <c r="H2231" s="65"/>
      <c r="I2231" s="65"/>
      <c r="J2231" s="65" t="str">
        <f>IFERROR(__xludf.DUMMYFUNCTION("""COMPUTED_VALUE"""),"D001204684")</f>
        <v>D001204684</v>
      </c>
      <c r="K2231" s="65" t="str">
        <f>IFERROR(__xludf.DUMMYFUNCTION("""COMPUTED_VALUE"""),"DEVOLUCION")</f>
        <v>DEVOLUCION</v>
      </c>
      <c r="L2231" s="65" t="str">
        <f>IFERROR(__xludf.DUMMYFUNCTION("""COMPUTED_VALUE"""),"CON RECAUDO")</f>
        <v>CON RECAUDO</v>
      </c>
      <c r="M2231" s="65" t="str">
        <f>IFERROR(__xludf.DUMMYFUNCTION("""COMPUTED_VALUE"""),"CHIMBORAZO")</f>
        <v>CHIMBORAZO</v>
      </c>
      <c r="N2231" s="65" t="str">
        <f>IFERROR(__xludf.DUMMYFUNCTION("""COMPUTED_VALUE"""),"RIOBAMBA")</f>
        <v>RIOBAMBA</v>
      </c>
      <c r="O2231" s="65" t="str">
        <f>IFERROR(__xludf.DUMMYFUNCTION("""COMPUTED_VALUE"""),"Sector La Paz - Esmeraldas #15 41 y Almagro")</f>
        <v>Sector La Paz - Esmeraldas #15 41 y Almagro</v>
      </c>
      <c r="P2231" s="65" t="str">
        <f>IFERROR(__xludf.DUMMYFUNCTION("""COMPUTED_VALUE"""),"la entrega se la realice a partir de las 3 de La tarde")</f>
        <v>la entrega se la realice a partir de las 3 de La tarde</v>
      </c>
      <c r="Q2231" s="65" t="str">
        <f>IFERROR(__xludf.DUMMYFUNCTION("""COMPUTED_VALUE"""),"GINTRACOM")</f>
        <v>GINTRACOM</v>
      </c>
      <c r="R2231" s="65">
        <f>IFERROR(__xludf.DUMMYFUNCTION("""COMPUTED_VALUE"""),25.0)</f>
        <v>25</v>
      </c>
      <c r="S2231" s="65"/>
      <c r="T2231" s="65">
        <f>IFERROR(__xludf.DUMMYFUNCTION("""COMPUTED_VALUE"""),5.96)</f>
        <v>5.96</v>
      </c>
      <c r="U2231" s="65">
        <f>IFERROR(__xludf.DUMMYFUNCTION("""COMPUTED_VALUE"""),0.0)</f>
        <v>0</v>
      </c>
      <c r="V2231" s="65">
        <f>IFERROR(__xludf.DUMMYFUNCTION("""COMPUTED_VALUE"""),0.0)</f>
        <v>0</v>
      </c>
      <c r="W2231" s="65">
        <f>IFERROR(__xludf.DUMMYFUNCTION("""COMPUTED_VALUE"""),0.0)</f>
        <v>0</v>
      </c>
      <c r="X2231" s="65">
        <f>IFERROR(__xludf.DUMMYFUNCTION("""COMPUTED_VALUE"""),5.0)</f>
        <v>5</v>
      </c>
      <c r="Y2231" s="65">
        <f>IFERROR(__xludf.DUMMYFUNCTION("""COMPUTED_VALUE"""),10.0)</f>
        <v>10</v>
      </c>
      <c r="Z2231" s="65">
        <f>IFERROR(__xludf.DUMMYFUNCTION("""COMPUTED_VALUE"""),110064.0)</f>
        <v>110064</v>
      </c>
      <c r="AA2231" s="65" t="str">
        <f>IFERROR(__xludf.DUMMYFUNCTION("""COMPUTED_VALUE"""),"IMX-00001")</f>
        <v>IMX-00001</v>
      </c>
      <c r="AB2231" s="65"/>
      <c r="AC2231" s="65" t="str">
        <f>IFERROR(__xludf.DUMMYFUNCTION("""COMPUTED_VALUE"""),"LLAVE TRINQUETE")</f>
        <v>LLAVE TRINQUETE</v>
      </c>
      <c r="AD2231" s="65"/>
      <c r="AE2231" s="65">
        <f>IFERROR(__xludf.DUMMYFUNCTION("""COMPUTED_VALUE"""),2.0)</f>
        <v>2</v>
      </c>
      <c r="AF2231" s="65" t="str">
        <f>IFERROR(__xludf.DUMMYFUNCTION("""COMPUTED_VALUE"""),"DESTINATARIO INDICA QUE NO ES EL PRODUCTO QUE SOLICITÓ")</f>
        <v>DESTINATARIO INDICA QUE NO ES EL PRODUCTO QUE SOLICITÓ</v>
      </c>
      <c r="AG2231" s="65" t="str">
        <f>IFERROR(__xludf.DUMMYFUNCTION("""COMPUTED_VALUE"""),"SI")</f>
        <v>SI</v>
      </c>
      <c r="AH2231" s="65" t="str">
        <f>IFERROR(__xludf.DUMMYFUNCTION("""COMPUTED_VALUE"""),"14:43")</f>
        <v>14:43</v>
      </c>
      <c r="AI2231" s="65" t="str">
        <f>IFERROR(__xludf.DUMMYFUNCTION("""COMPUTED_VALUE"""),"10-01-2026")</f>
        <v>10-01-2026</v>
      </c>
      <c r="AJ2231" s="65" t="str">
        <f>IFERROR(__xludf.DUMMYFUNCTION("""COMPUTED_VALUE"""),"Permitir abrir el empaque. para que el cliente observe el producto")</f>
        <v>Permitir abrir el empaque. para que el cliente observe el producto</v>
      </c>
      <c r="AK2231" s="65" t="str">
        <f>IFERROR(__xludf.DUMMYFUNCTION("""COMPUTED_VALUE"""),"18:02")</f>
        <v>18:02</v>
      </c>
      <c r="AL2231" s="65" t="str">
        <f>IFERROR(__xludf.DUMMYFUNCTION("""COMPUTED_VALUE"""),"14-01-2026")</f>
        <v>14-01-2026</v>
      </c>
      <c r="AM2231" s="65"/>
      <c r="AN2231" s="65" t="str">
        <f>IFERROR(__xludf.DUMMYFUNCTION("""COMPUTED_VALUE"""),"03:06")</f>
        <v>03:06</v>
      </c>
      <c r="AO2231" s="65" t="str">
        <f>IFERROR(__xludf.DUMMYFUNCTION("""COMPUTED_VALUE"""),"19-01-2026")</f>
        <v>19-01-2026</v>
      </c>
      <c r="AP2231" s="65" t="str">
        <f>IFERROR(__xludf.DUMMYFUNCTION("""COMPUTED_VALUE"""),"DEVOLUCIÓN")</f>
        <v>DEVOLUCIÓN</v>
      </c>
      <c r="AQ2231" s="65" t="str">
        <f>IFERROR(__xludf.DUMMYFUNCTION("""COMPUTED_VALUE"""),"DEVOLUCIÓN")</f>
        <v>DEVOLUCIÓN</v>
      </c>
      <c r="AR2231" s="65"/>
      <c r="AS2231" s="65" t="str">
        <f>IFERROR(__xludf.DUMMYFUNCTION("""COMPUTED_VALUE"""),"Bayron Gomez")</f>
        <v>Bayron Gomez</v>
      </c>
      <c r="AT2231" s="65"/>
      <c r="AU2231" s="65"/>
      <c r="AV2231" s="65"/>
      <c r="AW2231" s="65"/>
      <c r="AX2231" s="65"/>
      <c r="AY2231" s="65" t="str">
        <f>IFERROR(__xludf.DUMMYFUNCTION("""COMPUTED_VALUE"""),"09/01/2026")</f>
        <v>09/01/2026</v>
      </c>
      <c r="AZ2231" s="65"/>
      <c r="BA2231" s="65"/>
    </row>
    <row r="2232">
      <c r="A2232" s="65" t="str">
        <f>IFERROR(__xludf.DUMMYFUNCTION("""COMPUTED_VALUE"""),"27-03-2026")</f>
        <v>27-03-2026</v>
      </c>
      <c r="B2232" s="65">
        <f>IFERROR(__xludf.DUMMYFUNCTION("""COMPUTED_VALUE"""),4075411.0)</f>
        <v>4075411</v>
      </c>
      <c r="C2232" s="65" t="str">
        <f>IFERROR(__xludf.DUMMYFUNCTION("""COMPUTED_VALUE"""),"21:58")</f>
        <v>21:58</v>
      </c>
      <c r="D2232" s="65" t="str">
        <f>IFERROR(__xludf.DUMMYFUNCTION("""COMPUTED_VALUE"""),"08-01-2026")</f>
        <v>08-01-2026</v>
      </c>
      <c r="E2232" s="65" t="str">
        <f>IFERROR(__xludf.DUMMYFUNCTION("""COMPUTED_VALUE"""),"Joaquín Bolívar Parrales Alcívar")</f>
        <v>Joaquín Bolívar Parrales Alcívar</v>
      </c>
      <c r="F2232" s="65" t="str">
        <f>IFERROR(__xludf.DUMMYFUNCTION("""COMPUTED_VALUE"""),"988654302")</f>
        <v>988654302</v>
      </c>
      <c r="G2232" s="65"/>
      <c r="H2232" s="65"/>
      <c r="I2232" s="65"/>
      <c r="J2232" s="65" t="str">
        <f>IFERROR(__xludf.DUMMYFUNCTION("""COMPUTED_VALUE"""),"D001204686")</f>
        <v>D001204686</v>
      </c>
      <c r="K2232" s="65" t="str">
        <f>IFERROR(__xludf.DUMMYFUNCTION("""COMPUTED_VALUE"""),"DEVOLUCION")</f>
        <v>DEVOLUCION</v>
      </c>
      <c r="L2232" s="65" t="str">
        <f>IFERROR(__xludf.DUMMYFUNCTION("""COMPUTED_VALUE"""),"CON RECAUDO")</f>
        <v>CON RECAUDO</v>
      </c>
      <c r="M2232" s="65" t="str">
        <f>IFERROR(__xludf.DUMMYFUNCTION("""COMPUTED_VALUE"""),"MANABI")</f>
        <v>MANABI</v>
      </c>
      <c r="N2232" s="65" t="str">
        <f>IFERROR(__xludf.DUMMYFUNCTION("""COMPUTED_VALUE"""),"PORTOVIEJO")</f>
        <v>PORTOVIEJO</v>
      </c>
      <c r="O2232" s="65" t="str">
        <f>IFERROR(__xludf.DUMMYFUNCTION("""COMPUTED_VALUE"""),"Calle los Amigos y Templo Evan - Primera Transversal")</f>
        <v>Calle los Amigos y Templo Evan - Primera Transversal</v>
      </c>
      <c r="P2232" s="65"/>
      <c r="Q2232" s="65" t="str">
        <f>IFERROR(__xludf.DUMMYFUNCTION("""COMPUTED_VALUE"""),"GINTRACOM")</f>
        <v>GINTRACOM</v>
      </c>
      <c r="R2232" s="65">
        <f>IFERROR(__xludf.DUMMYFUNCTION("""COMPUTED_VALUE"""),20.0)</f>
        <v>20</v>
      </c>
      <c r="S2232" s="65"/>
      <c r="T2232" s="65">
        <f>IFERROR(__xludf.DUMMYFUNCTION("""COMPUTED_VALUE"""),5.76)</f>
        <v>5.76</v>
      </c>
      <c r="U2232" s="65">
        <f>IFERROR(__xludf.DUMMYFUNCTION("""COMPUTED_VALUE"""),0.0)</f>
        <v>0</v>
      </c>
      <c r="V2232" s="65">
        <f>IFERROR(__xludf.DUMMYFUNCTION("""COMPUTED_VALUE"""),0.0)</f>
        <v>0</v>
      </c>
      <c r="W2232" s="65">
        <f>IFERROR(__xludf.DUMMYFUNCTION("""COMPUTED_VALUE"""),0.0)</f>
        <v>0</v>
      </c>
      <c r="X2232" s="65">
        <f>IFERROR(__xludf.DUMMYFUNCTION("""COMPUTED_VALUE"""),5.0)</f>
        <v>5</v>
      </c>
      <c r="Y2232" s="65">
        <f>IFERROR(__xludf.DUMMYFUNCTION("""COMPUTED_VALUE"""),5.0)</f>
        <v>5</v>
      </c>
      <c r="Z2232" s="65">
        <f>IFERROR(__xludf.DUMMYFUNCTION("""COMPUTED_VALUE"""),110064.0)</f>
        <v>110064</v>
      </c>
      <c r="AA2232" s="65" t="str">
        <f>IFERROR(__xludf.DUMMYFUNCTION("""COMPUTED_VALUE"""),"IMX-00001")</f>
        <v>IMX-00001</v>
      </c>
      <c r="AB2232" s="65"/>
      <c r="AC2232" s="65" t="str">
        <f>IFERROR(__xludf.DUMMYFUNCTION("""COMPUTED_VALUE"""),"LLAVE TRINQUETE")</f>
        <v>LLAVE TRINQUETE</v>
      </c>
      <c r="AD2232" s="65"/>
      <c r="AE2232" s="65">
        <f>IFERROR(__xludf.DUMMYFUNCTION("""COMPUTED_VALUE"""),1.0)</f>
        <v>1</v>
      </c>
      <c r="AF2232" s="65" t="str">
        <f>IFERROR(__xludf.DUMMYFUNCTION("""COMPUTED_VALUE"""),"DESTINATARIO NO CONTESTA LLAMADAS NI WHATSAPP")</f>
        <v>DESTINATARIO NO CONTESTA LLAMADAS NI WHATSAPP</v>
      </c>
      <c r="AG2232" s="65" t="str">
        <f>IFERROR(__xludf.DUMMYFUNCTION("""COMPUTED_VALUE"""),"NO")</f>
        <v>NO</v>
      </c>
      <c r="AH2232" s="65" t="str">
        <f>IFERROR(__xludf.DUMMYFUNCTION("""COMPUTED_VALUE"""),"09:00")</f>
        <v>09:00</v>
      </c>
      <c r="AI2232" s="65" t="str">
        <f>IFERROR(__xludf.DUMMYFUNCTION("""COMPUTED_VALUE"""),"18-01-2026")</f>
        <v>18-01-2026</v>
      </c>
      <c r="AJ2232" s="65"/>
      <c r="AK2232" s="65"/>
      <c r="AL2232" s="65"/>
      <c r="AM2232" s="65"/>
      <c r="AN2232" s="65" t="str">
        <f>IFERROR(__xludf.DUMMYFUNCTION("""COMPUTED_VALUE"""),"01:33")</f>
        <v>01:33</v>
      </c>
      <c r="AO2232" s="65" t="str">
        <f>IFERROR(__xludf.DUMMYFUNCTION("""COMPUTED_VALUE"""),"21-01-2026")</f>
        <v>21-01-2026</v>
      </c>
      <c r="AP2232" s="65" t="str">
        <f>IFERROR(__xludf.DUMMYFUNCTION("""COMPUTED_VALUE"""),"DEVOLUCIÓN")</f>
        <v>DEVOLUCIÓN</v>
      </c>
      <c r="AQ2232" s="65" t="str">
        <f>IFERROR(__xludf.DUMMYFUNCTION("""COMPUTED_VALUE"""),"DEVOLUCIÓN")</f>
        <v>DEVOLUCIÓN</v>
      </c>
      <c r="AR2232" s="65"/>
      <c r="AS2232" s="65" t="str">
        <f>IFERROR(__xludf.DUMMYFUNCTION("""COMPUTED_VALUE"""),"Bayron Gomez")</f>
        <v>Bayron Gomez</v>
      </c>
      <c r="AT2232" s="65"/>
      <c r="AU2232" s="65"/>
      <c r="AV2232" s="65"/>
      <c r="AW2232" s="65"/>
      <c r="AX2232" s="65"/>
      <c r="AY2232" s="65" t="str">
        <f>IFERROR(__xludf.DUMMYFUNCTION("""COMPUTED_VALUE"""),"09/01/2026")</f>
        <v>09/01/2026</v>
      </c>
      <c r="AZ2232" s="65"/>
      <c r="BA2232" s="65"/>
    </row>
    <row r="2233">
      <c r="A2233" s="65" t="str">
        <f>IFERROR(__xludf.DUMMYFUNCTION("""COMPUTED_VALUE"""),"27-03-2026")</f>
        <v>27-03-2026</v>
      </c>
      <c r="B2233" s="65">
        <f>IFERROR(__xludf.DUMMYFUNCTION("""COMPUTED_VALUE"""),4075288.0)</f>
        <v>4075288</v>
      </c>
      <c r="C2233" s="65" t="str">
        <f>IFERROR(__xludf.DUMMYFUNCTION("""COMPUTED_VALUE"""),"21:50")</f>
        <v>21:50</v>
      </c>
      <c r="D2233" s="65" t="str">
        <f>IFERROR(__xludf.DUMMYFUNCTION("""COMPUTED_VALUE"""),"08-01-2026")</f>
        <v>08-01-2026</v>
      </c>
      <c r="E2233" s="65" t="str">
        <f>IFERROR(__xludf.DUMMYFUNCTION("""COMPUTED_VALUE"""),"Armando Briones")</f>
        <v>Armando Briones</v>
      </c>
      <c r="F2233" s="65" t="str">
        <f>IFERROR(__xludf.DUMMYFUNCTION("""COMPUTED_VALUE"""),"959649518")</f>
        <v>959649518</v>
      </c>
      <c r="G2233" s="65"/>
      <c r="H2233" s="65"/>
      <c r="I2233" s="65"/>
      <c r="J2233" s="65" t="str">
        <f>IFERROR(__xludf.DUMMYFUNCTION("""COMPUTED_VALUE"""),"186947870")</f>
        <v>186947870</v>
      </c>
      <c r="K2233" s="65" t="str">
        <f>IFERROR(__xludf.DUMMYFUNCTION("""COMPUTED_VALUE"""),"ENTREGADO")</f>
        <v>ENTREGADO</v>
      </c>
      <c r="L2233" s="65" t="str">
        <f>IFERROR(__xludf.DUMMYFUNCTION("""COMPUTED_VALUE"""),"CON RECAUDO")</f>
        <v>CON RECAUDO</v>
      </c>
      <c r="M2233" s="65" t="str">
        <f>IFERROR(__xludf.DUMMYFUNCTION("""COMPUTED_VALUE"""),"LOS RIOS")</f>
        <v>LOS RIOS</v>
      </c>
      <c r="N2233" s="65" t="str">
        <f>IFERROR(__xludf.DUMMYFUNCTION("""COMPUTED_VALUE"""),"ENTRADA DE SAN JUAN")</f>
        <v>ENTRADA DE SAN JUAN</v>
      </c>
      <c r="O2233" s="65" t="str">
        <f>IFERROR(__xludf.DUMMYFUNCTION("""COMPUTED_VALUE"""),"Calle Aurora Estrada y Calle 24 de Mayo - Ref. Almacén Artefacto, Frente a Cruz Azul")</f>
        <v>Calle Aurora Estrada y Calle 24 de Mayo - Ref. Almacén Artefacto, Frente a Cruz Azul</v>
      </c>
      <c r="P2233" s="65"/>
      <c r="Q2233" s="65" t="str">
        <f>IFERROR(__xludf.DUMMYFUNCTION("""COMPUTED_VALUE"""),"SERVIENTREGA")</f>
        <v>SERVIENTREGA</v>
      </c>
      <c r="R2233" s="65">
        <f>IFERROR(__xludf.DUMMYFUNCTION("""COMPUTED_VALUE"""),20.0)</f>
        <v>20</v>
      </c>
      <c r="S2233" s="65">
        <f>IFERROR(__xludf.DUMMYFUNCTION("""COMPUTED_VALUE"""),7.33)</f>
        <v>7.33</v>
      </c>
      <c r="T2233" s="65">
        <f>IFERROR(__xludf.DUMMYFUNCTION("""COMPUTED_VALUE"""),7.67)</f>
        <v>7.67</v>
      </c>
      <c r="U2233" s="65">
        <f>IFERROR(__xludf.DUMMYFUNCTION("""COMPUTED_VALUE"""),0.0)</f>
        <v>0</v>
      </c>
      <c r="V2233" s="65">
        <f>IFERROR(__xludf.DUMMYFUNCTION("""COMPUTED_VALUE"""),0.0)</f>
        <v>0</v>
      </c>
      <c r="W2233" s="65">
        <f>IFERROR(__xludf.DUMMYFUNCTION("""COMPUTED_VALUE"""),0.0)</f>
        <v>0</v>
      </c>
      <c r="X2233" s="65">
        <f>IFERROR(__xludf.DUMMYFUNCTION("""COMPUTED_VALUE"""),5.0)</f>
        <v>5</v>
      </c>
      <c r="Y2233" s="65">
        <f>IFERROR(__xludf.DUMMYFUNCTION("""COMPUTED_VALUE"""),5.0)</f>
        <v>5</v>
      </c>
      <c r="Z2233" s="65">
        <f>IFERROR(__xludf.DUMMYFUNCTION("""COMPUTED_VALUE"""),110064.0)</f>
        <v>110064</v>
      </c>
      <c r="AA2233" s="65" t="str">
        <f>IFERROR(__xludf.DUMMYFUNCTION("""COMPUTED_VALUE"""),"IMX-00001")</f>
        <v>IMX-00001</v>
      </c>
      <c r="AB2233" s="65"/>
      <c r="AC2233" s="65" t="str">
        <f>IFERROR(__xludf.DUMMYFUNCTION("""COMPUTED_VALUE"""),"LLAVE TRINQUETE")</f>
        <v>LLAVE TRINQUETE</v>
      </c>
      <c r="AD2233" s="65"/>
      <c r="AE2233" s="65">
        <f>IFERROR(__xludf.DUMMYFUNCTION("""COMPUTED_VALUE"""),1.0)</f>
        <v>1</v>
      </c>
      <c r="AF2233" s="65"/>
      <c r="AG2233" s="65"/>
      <c r="AH2233" s="65"/>
      <c r="AI2233" s="65"/>
      <c r="AJ2233" s="65"/>
      <c r="AK2233" s="65"/>
      <c r="AL2233" s="65"/>
      <c r="AM2233" s="65"/>
      <c r="AN2233" s="65" t="str">
        <f>IFERROR(__xludf.DUMMYFUNCTION("""COMPUTED_VALUE"""),"10:23")</f>
        <v>10:23</v>
      </c>
      <c r="AO2233" s="65" t="str">
        <f>IFERROR(__xludf.DUMMYFUNCTION("""COMPUTED_VALUE"""),"10-01-2026")</f>
        <v>10-01-2026</v>
      </c>
      <c r="AP2233" s="65" t="str">
        <f>IFERROR(__xludf.DUMMYFUNCTION("""COMPUTED_VALUE"""),"EN RUTA A CONCESION")</f>
        <v>EN RUTA A CONCESION</v>
      </c>
      <c r="AQ2233" s="65" t="str">
        <f>IFERROR(__xludf.DUMMYFUNCTION("""COMPUTED_VALUE"""),".")</f>
        <v>.</v>
      </c>
      <c r="AR2233" s="65"/>
      <c r="AS2233" s="65" t="str">
        <f>IFERROR(__xludf.DUMMYFUNCTION("""COMPUTED_VALUE"""),"Bayron Gomez")</f>
        <v>Bayron Gomez</v>
      </c>
      <c r="AT2233" s="65"/>
      <c r="AU2233" s="65"/>
      <c r="AV2233" s="65"/>
      <c r="AW2233" s="65"/>
      <c r="AX2233" s="65"/>
      <c r="AY2233" s="65" t="str">
        <f>IFERROR(__xludf.DUMMYFUNCTION("""COMPUTED_VALUE"""),"09/01/2026")</f>
        <v>09/01/2026</v>
      </c>
      <c r="AZ2233" s="65"/>
      <c r="BA2233" s="65"/>
    </row>
    <row r="2234">
      <c r="A2234" s="65" t="str">
        <f>IFERROR(__xludf.DUMMYFUNCTION("""COMPUTED_VALUE"""),"27-03-2026")</f>
        <v>27-03-2026</v>
      </c>
      <c r="B2234" s="65">
        <f>IFERROR(__xludf.DUMMYFUNCTION("""COMPUTED_VALUE"""),4075153.0)</f>
        <v>4075153</v>
      </c>
      <c r="C2234" s="65" t="str">
        <f>IFERROR(__xludf.DUMMYFUNCTION("""COMPUTED_VALUE"""),"21:38")</f>
        <v>21:38</v>
      </c>
      <c r="D2234" s="65" t="str">
        <f>IFERROR(__xludf.DUMMYFUNCTION("""COMPUTED_VALUE"""),"08-01-2026")</f>
        <v>08-01-2026</v>
      </c>
      <c r="E2234" s="65" t="str">
        <f>IFERROR(__xludf.DUMMYFUNCTION("""COMPUTED_VALUE"""),"Gerardo Haro")</f>
        <v>Gerardo Haro</v>
      </c>
      <c r="F2234" s="65" t="str">
        <f>IFERROR(__xludf.DUMMYFUNCTION("""COMPUTED_VALUE"""),"981308216")</f>
        <v>981308216</v>
      </c>
      <c r="G2234" s="65"/>
      <c r="H2234" s="65"/>
      <c r="I2234" s="65"/>
      <c r="J2234" s="65" t="str">
        <f>IFERROR(__xludf.DUMMYFUNCTION("""COMPUTED_VALUE"""),"186947872")</f>
        <v>186947872</v>
      </c>
      <c r="K2234" s="65" t="str">
        <f>IFERROR(__xludf.DUMMYFUNCTION("""COMPUTED_VALUE"""),"DEVOLUCION")</f>
        <v>DEVOLUCION</v>
      </c>
      <c r="L2234" s="65" t="str">
        <f>IFERROR(__xludf.DUMMYFUNCTION("""COMPUTED_VALUE"""),"CON RECAUDO")</f>
        <v>CON RECAUDO</v>
      </c>
      <c r="M2234" s="65" t="str">
        <f>IFERROR(__xludf.DUMMYFUNCTION("""COMPUTED_VALUE"""),"TUNGURAHUA")</f>
        <v>TUNGURAHUA</v>
      </c>
      <c r="N2234" s="65" t="str">
        <f>IFERROR(__xludf.DUMMYFUNCTION("""COMPUTED_VALUE"""),"TISALEO")</f>
        <v>TISALEO</v>
      </c>
      <c r="O2234" s="65" t="str">
        <f>IFERROR(__xludf.DUMMYFUNCTION("""COMPUTED_VALUE"""),"CS: TISALEO_PRINCIPAL / ANTONIO CLAVIJO S/N Y SUCRE")</f>
        <v>CS: TISALEO_PRINCIPAL / ANTONIO CLAVIJO S/N Y SUCRE</v>
      </c>
      <c r="P2234" s="65" t="str">
        <f>IFERROR(__xludf.DUMMYFUNCTION("""COMPUTED_VALUE"""),"(SERVIENTREGA) CS: TISALEO_PRINCIPAL / ANTONIO CLAVIJO S/N Y SUCRE")</f>
        <v>(SERVIENTREGA) CS: TISALEO_PRINCIPAL / ANTONIO CLAVIJO S/N Y SUCRE</v>
      </c>
      <c r="Q2234" s="65" t="str">
        <f>IFERROR(__xludf.DUMMYFUNCTION("""COMPUTED_VALUE"""),"SERVIENTREGA")</f>
        <v>SERVIENTREGA</v>
      </c>
      <c r="R2234" s="65">
        <f>IFERROR(__xludf.DUMMYFUNCTION("""COMPUTED_VALUE"""),20.0)</f>
        <v>20</v>
      </c>
      <c r="S2234" s="65"/>
      <c r="T2234" s="65">
        <f>IFERROR(__xludf.DUMMYFUNCTION("""COMPUTED_VALUE"""),7.67)</f>
        <v>7.67</v>
      </c>
      <c r="U2234" s="65">
        <f>IFERROR(__xludf.DUMMYFUNCTION("""COMPUTED_VALUE"""),0.0)</f>
        <v>0</v>
      </c>
      <c r="V2234" s="65">
        <f>IFERROR(__xludf.DUMMYFUNCTION("""COMPUTED_VALUE"""),0.0)</f>
        <v>0</v>
      </c>
      <c r="W2234" s="65">
        <f>IFERROR(__xludf.DUMMYFUNCTION("""COMPUTED_VALUE"""),0.0)</f>
        <v>0</v>
      </c>
      <c r="X2234" s="65">
        <f>IFERROR(__xludf.DUMMYFUNCTION("""COMPUTED_VALUE"""),5.0)</f>
        <v>5</v>
      </c>
      <c r="Y2234" s="65">
        <f>IFERROR(__xludf.DUMMYFUNCTION("""COMPUTED_VALUE"""),5.0)</f>
        <v>5</v>
      </c>
      <c r="Z2234" s="65">
        <f>IFERROR(__xludf.DUMMYFUNCTION("""COMPUTED_VALUE"""),110064.0)</f>
        <v>110064</v>
      </c>
      <c r="AA2234" s="65" t="str">
        <f>IFERROR(__xludf.DUMMYFUNCTION("""COMPUTED_VALUE"""),"IMX-00001")</f>
        <v>IMX-00001</v>
      </c>
      <c r="AB2234" s="65"/>
      <c r="AC2234" s="65" t="str">
        <f>IFERROR(__xludf.DUMMYFUNCTION("""COMPUTED_VALUE"""),"LLAVE TRINQUETE")</f>
        <v>LLAVE TRINQUETE</v>
      </c>
      <c r="AD2234" s="65"/>
      <c r="AE2234" s="65">
        <f>IFERROR(__xludf.DUMMYFUNCTION("""COMPUTED_VALUE"""),1.0)</f>
        <v>1</v>
      </c>
      <c r="AF2234" s="65" t="str">
        <f>IFERROR(__xludf.DUMMYFUNCTION("""COMPUTED_VALUE"""),"DEVOLUCION AL REMITENTE")</f>
        <v>DEVOLUCION AL REMITENTE</v>
      </c>
      <c r="AG2234" s="65" t="str">
        <f>IFERROR(__xludf.DUMMYFUNCTION("""COMPUTED_VALUE"""),"NO")</f>
        <v>NO</v>
      </c>
      <c r="AH2234" s="65" t="str">
        <f>IFERROR(__xludf.DUMMYFUNCTION("""COMPUTED_VALUE"""),"14:06")</f>
        <v>14:06</v>
      </c>
      <c r="AI2234" s="65" t="str">
        <f>IFERROR(__xludf.DUMMYFUNCTION("""COMPUTED_VALUE"""),"27-01-2026")</f>
        <v>27-01-2026</v>
      </c>
      <c r="AJ2234" s="65"/>
      <c r="AK2234" s="65"/>
      <c r="AL2234" s="65"/>
      <c r="AM2234" s="65"/>
      <c r="AN2234" s="65" t="str">
        <f>IFERROR(__xludf.DUMMYFUNCTION("""COMPUTED_VALUE"""),"16:31")</f>
        <v>16:31</v>
      </c>
      <c r="AO2234" s="65" t="str">
        <f>IFERROR(__xludf.DUMMYFUNCTION("""COMPUTED_VALUE"""),"27-01-2026")</f>
        <v>27-01-2026</v>
      </c>
      <c r="AP2234" s="65" t="str">
        <f>IFERROR(__xludf.DUMMYFUNCTION("""COMPUTED_VALUE"""),"DEVOLUCION AL REMITENTE")</f>
        <v>DEVOLUCION AL REMITENTE</v>
      </c>
      <c r="AQ2234" s="65" t="str">
        <f>IFERROR(__xludf.DUMMYFUNCTION("""COMPUTED_VALUE"""),"Paul Borja")</f>
        <v>Paul Borja</v>
      </c>
      <c r="AR2234" s="65"/>
      <c r="AS2234" s="65" t="str">
        <f>IFERROR(__xludf.DUMMYFUNCTION("""COMPUTED_VALUE"""),"Bayron Gomez")</f>
        <v>Bayron Gomez</v>
      </c>
      <c r="AT2234" s="65"/>
      <c r="AU2234" s="65"/>
      <c r="AV2234" s="65"/>
      <c r="AW2234" s="65"/>
      <c r="AX2234" s="65"/>
      <c r="AY2234" s="65" t="str">
        <f>IFERROR(__xludf.DUMMYFUNCTION("""COMPUTED_VALUE"""),"09/01/2026")</f>
        <v>09/01/2026</v>
      </c>
      <c r="AZ2234" s="65"/>
      <c r="BA2234" s="65"/>
    </row>
    <row r="2235">
      <c r="A2235" s="65" t="str">
        <f>IFERROR(__xludf.DUMMYFUNCTION("""COMPUTED_VALUE"""),"27-03-2026")</f>
        <v>27-03-2026</v>
      </c>
      <c r="B2235" s="65">
        <f>IFERROR(__xludf.DUMMYFUNCTION("""COMPUTED_VALUE"""),4075080.0)</f>
        <v>4075080</v>
      </c>
      <c r="C2235" s="65" t="str">
        <f>IFERROR(__xludf.DUMMYFUNCTION("""COMPUTED_VALUE"""),"21:30")</f>
        <v>21:30</v>
      </c>
      <c r="D2235" s="65" t="str">
        <f>IFERROR(__xludf.DUMMYFUNCTION("""COMPUTED_VALUE"""),"08-01-2026")</f>
        <v>08-01-2026</v>
      </c>
      <c r="E2235" s="65" t="str">
        <f>IFERROR(__xludf.DUMMYFUNCTION("""COMPUTED_VALUE"""),"Carlos Cuasquer")</f>
        <v>Carlos Cuasquer</v>
      </c>
      <c r="F2235" s="65" t="str">
        <f>IFERROR(__xludf.DUMMYFUNCTION("""COMPUTED_VALUE"""),"985118523")</f>
        <v>985118523</v>
      </c>
      <c r="G2235" s="65" t="str">
        <f>IFERROR(__xludf.DUMMYFUNCTION("""COMPUTED_VALUE"""),"carlocuasquer59@gmail.com")</f>
        <v>carlocuasquer59@gmail.com</v>
      </c>
      <c r="H2235" s="65"/>
      <c r="I2235" s="65"/>
      <c r="J2235" s="65" t="str">
        <f>IFERROR(__xludf.DUMMYFUNCTION("""COMPUTED_VALUE"""),"186947240")</f>
        <v>186947240</v>
      </c>
      <c r="K2235" s="65" t="str">
        <f>IFERROR(__xludf.DUMMYFUNCTION("""COMPUTED_VALUE"""),"ENTREGADO")</f>
        <v>ENTREGADO</v>
      </c>
      <c r="L2235" s="65" t="str">
        <f>IFERROR(__xludf.DUMMYFUNCTION("""COMPUTED_VALUE"""),"CON RECAUDO")</f>
        <v>CON RECAUDO</v>
      </c>
      <c r="M2235" s="65" t="str">
        <f>IFERROR(__xludf.DUMMYFUNCTION("""COMPUTED_VALUE"""),"IMBABURA")</f>
        <v>IMBABURA</v>
      </c>
      <c r="N2235" s="65" t="str">
        <f>IFERROR(__xludf.DUMMYFUNCTION("""COMPUTED_VALUE"""),"PIMAMPIRO")</f>
        <v>PIMAMPIRO</v>
      </c>
      <c r="O2235" s="65" t="str">
        <f>IFERROR(__xludf.DUMMYFUNCTION("""COMPUTED_VALUE"""),"E 35 y Santa Cecilia  vía pimampiro  El Juncal Barrio comercial  Minimarket D Karlo -")</f>
        <v>E 35 y Santa Cecilia  vía pimampiro  El Juncal Barrio comercial  Minimarket D Karlo -</v>
      </c>
      <c r="P2235" s="65"/>
      <c r="Q2235" s="65" t="str">
        <f>IFERROR(__xludf.DUMMYFUNCTION("""COMPUTED_VALUE"""),"SERVIENTREGA")</f>
        <v>SERVIENTREGA</v>
      </c>
      <c r="R2235" s="65">
        <f>IFERROR(__xludf.DUMMYFUNCTION("""COMPUTED_VALUE"""),30.0)</f>
        <v>30</v>
      </c>
      <c r="S2235" s="65">
        <f>IFERROR(__xludf.DUMMYFUNCTION("""COMPUTED_VALUE"""),13.81)</f>
        <v>13.81</v>
      </c>
      <c r="T2235" s="65">
        <f>IFERROR(__xludf.DUMMYFUNCTION("""COMPUTED_VALUE"""),7.82)</f>
        <v>7.82</v>
      </c>
      <c r="U2235" s="65">
        <f>IFERROR(__xludf.DUMMYFUNCTION("""COMPUTED_VALUE"""),0.0)</f>
        <v>0</v>
      </c>
      <c r="V2235" s="65">
        <f>IFERROR(__xludf.DUMMYFUNCTION("""COMPUTED_VALUE"""),0.0)</f>
        <v>0</v>
      </c>
      <c r="W2235" s="65">
        <f>IFERROR(__xludf.DUMMYFUNCTION("""COMPUTED_VALUE"""),0.0)</f>
        <v>0</v>
      </c>
      <c r="X2235" s="65">
        <f>IFERROR(__xludf.DUMMYFUNCTION("""COMPUTED_VALUE"""),2.79)</f>
        <v>2.79</v>
      </c>
      <c r="Y2235" s="65">
        <f>IFERROR(__xludf.DUMMYFUNCTION("""COMPUTED_VALUE"""),8.37)</f>
        <v>8.37</v>
      </c>
      <c r="Z2235" s="65">
        <f>IFERROR(__xludf.DUMMYFUNCTION("""COMPUTED_VALUE"""),120732.0)</f>
        <v>120732</v>
      </c>
      <c r="AA2235" s="65" t="str">
        <f>IFERROR(__xludf.DUMMYFUNCTION("""COMPUTED_VALUE"""),"PROV-LMPVT")</f>
        <v>PROV-LMPVT</v>
      </c>
      <c r="AB2235" s="65"/>
      <c r="AC2235" s="65" t="str">
        <f>IFERROR(__xludf.DUMMYFUNCTION("""COMPUTED_VALUE"""),"LIMPIADOR DE PARABRISAS Y VENTANAS")</f>
        <v>LIMPIADOR DE PARABRISAS Y VENTANAS</v>
      </c>
      <c r="AD2235" s="65"/>
      <c r="AE2235" s="65">
        <f>IFERROR(__xludf.DUMMYFUNCTION("""COMPUTED_VALUE"""),3.0)</f>
        <v>3</v>
      </c>
      <c r="AF2235" s="65"/>
      <c r="AG2235" s="65"/>
      <c r="AH2235" s="65"/>
      <c r="AI2235" s="65"/>
      <c r="AJ2235" s="65"/>
      <c r="AK2235" s="65"/>
      <c r="AL2235" s="65"/>
      <c r="AM2235" s="65"/>
      <c r="AN2235" s="65" t="str">
        <f>IFERROR(__xludf.DUMMYFUNCTION("""COMPUTED_VALUE"""),"23:33")</f>
        <v>23:33</v>
      </c>
      <c r="AO2235" s="65" t="str">
        <f>IFERROR(__xludf.DUMMYFUNCTION("""COMPUTED_VALUE"""),"29-01-2026")</f>
        <v>29-01-2026</v>
      </c>
      <c r="AP2235" s="65" t="str">
        <f>IFERROR(__xludf.DUMMYFUNCTION("""COMPUTED_VALUE"""),"ENTREGA DIGITALIZADA EN CENTRO LOGISTICO")</f>
        <v>ENTREGA DIGITALIZADA EN CENTRO LOGISTICO</v>
      </c>
      <c r="AQ2235" s="65" t="str">
        <f>IFERROR(__xludf.DUMMYFUNCTION("""COMPUTED_VALUE"""),"CARLOS CUASQUER")</f>
        <v>CARLOS CUASQUER</v>
      </c>
      <c r="AR2235" s="65"/>
      <c r="AS2235" s="65"/>
      <c r="AT2235" s="65" t="str">
        <f>IFERROR(__xludf.DUMMYFUNCTION("""COMPUTED_VALUE"""),"SHOPIFY")</f>
        <v>SHOPIFY</v>
      </c>
      <c r="AU2235" s="65" t="str">
        <f>IFERROR(__xludf.DUMMYFUNCTION("""COMPUTED_VALUE"""),"IMPORTEX EC")</f>
        <v>IMPORTEX EC</v>
      </c>
      <c r="AV2235" s="65" t="str">
        <f>IFERROR(__xludf.DUMMYFUNCTION("""COMPUTED_VALUE"""),"6399950848044")</f>
        <v>6399950848044</v>
      </c>
      <c r="AW2235" s="65">
        <f>IFERROR(__xludf.DUMMYFUNCTION("""COMPUTED_VALUE"""),4737.0)</f>
        <v>4737</v>
      </c>
      <c r="AX2235" s="65"/>
      <c r="AY2235" s="65" t="str">
        <f>IFERROR(__xludf.DUMMYFUNCTION("""COMPUTED_VALUE"""),"09/01/2026")</f>
        <v>09/01/2026</v>
      </c>
      <c r="AZ2235" s="65"/>
      <c r="BA2235" s="65"/>
    </row>
    <row r="2236">
      <c r="A2236" s="65" t="str">
        <f>IFERROR(__xludf.DUMMYFUNCTION("""COMPUTED_VALUE"""),"27-03-2026")</f>
        <v>27-03-2026</v>
      </c>
      <c r="B2236" s="65">
        <f>IFERROR(__xludf.DUMMYFUNCTION("""COMPUTED_VALUE"""),4075065.0)</f>
        <v>4075065</v>
      </c>
      <c r="C2236" s="65" t="str">
        <f>IFERROR(__xludf.DUMMYFUNCTION("""COMPUTED_VALUE"""),"21:29")</f>
        <v>21:29</v>
      </c>
      <c r="D2236" s="65" t="str">
        <f>IFERROR(__xludf.DUMMYFUNCTION("""COMPUTED_VALUE"""),"08-01-2026")</f>
        <v>08-01-2026</v>
      </c>
      <c r="E2236" s="65" t="str">
        <f>IFERROR(__xludf.DUMMYFUNCTION("""COMPUTED_VALUE"""),"Regulo Perea Tello")</f>
        <v>Regulo Perea Tello</v>
      </c>
      <c r="F2236" s="65" t="str">
        <f>IFERROR(__xludf.DUMMYFUNCTION("""COMPUTED_VALUE"""),"979306477")</f>
        <v>979306477</v>
      </c>
      <c r="G2236" s="65"/>
      <c r="H2236" s="65"/>
      <c r="I2236" s="65"/>
      <c r="J2236" s="65" t="str">
        <f>IFERROR(__xludf.DUMMYFUNCTION("""COMPUTED_VALUE"""),"D001204687")</f>
        <v>D001204687</v>
      </c>
      <c r="K2236" s="65" t="str">
        <f>IFERROR(__xludf.DUMMYFUNCTION("""COMPUTED_VALUE"""),"DEVOLUCION")</f>
        <v>DEVOLUCION</v>
      </c>
      <c r="L2236" s="65" t="str">
        <f>IFERROR(__xludf.DUMMYFUNCTION("""COMPUTED_VALUE"""),"CON RECAUDO")</f>
        <v>CON RECAUDO</v>
      </c>
      <c r="M2236" s="65" t="str">
        <f>IFERROR(__xludf.DUMMYFUNCTION("""COMPUTED_VALUE"""),"SUCUMBIOS")</f>
        <v>SUCUMBIOS</v>
      </c>
      <c r="N2236" s="65" t="str">
        <f>IFERROR(__xludf.DUMMYFUNCTION("""COMPUTED_VALUE"""),"LAGO AGRIO")</f>
        <v>LAGO AGRIO</v>
      </c>
      <c r="O2236" s="65" t="str">
        <f>IFERROR(__xludf.DUMMYFUNCTION("""COMPUTED_VALUE"""),"Sector Barrio Patria Unida - Calle Cofanes y Calle 6 de Enero")</f>
        <v>Sector Barrio Patria Unida - Calle Cofanes y Calle 6 de Enero</v>
      </c>
      <c r="P2236" s="65"/>
      <c r="Q2236" s="65" t="str">
        <f>IFERROR(__xludf.DUMMYFUNCTION("""COMPUTED_VALUE"""),"GINTRACOM")</f>
        <v>GINTRACOM</v>
      </c>
      <c r="R2236" s="65">
        <f>IFERROR(__xludf.DUMMYFUNCTION("""COMPUTED_VALUE"""),25.0)</f>
        <v>25</v>
      </c>
      <c r="S2236" s="65"/>
      <c r="T2236" s="65">
        <f>IFERROR(__xludf.DUMMYFUNCTION("""COMPUTED_VALUE"""),5.96)</f>
        <v>5.96</v>
      </c>
      <c r="U2236" s="65">
        <f>IFERROR(__xludf.DUMMYFUNCTION("""COMPUTED_VALUE"""),0.0)</f>
        <v>0</v>
      </c>
      <c r="V2236" s="65">
        <f>IFERROR(__xludf.DUMMYFUNCTION("""COMPUTED_VALUE"""),0.0)</f>
        <v>0</v>
      </c>
      <c r="W2236" s="65">
        <f>IFERROR(__xludf.DUMMYFUNCTION("""COMPUTED_VALUE"""),0.0)</f>
        <v>0</v>
      </c>
      <c r="X2236" s="65">
        <f>IFERROR(__xludf.DUMMYFUNCTION("""COMPUTED_VALUE"""),5.0)</f>
        <v>5</v>
      </c>
      <c r="Y2236" s="65">
        <f>IFERROR(__xludf.DUMMYFUNCTION("""COMPUTED_VALUE"""),10.0)</f>
        <v>10</v>
      </c>
      <c r="Z2236" s="65">
        <f>IFERROR(__xludf.DUMMYFUNCTION("""COMPUTED_VALUE"""),110064.0)</f>
        <v>110064</v>
      </c>
      <c r="AA2236" s="65" t="str">
        <f>IFERROR(__xludf.DUMMYFUNCTION("""COMPUTED_VALUE"""),"IMX-00001")</f>
        <v>IMX-00001</v>
      </c>
      <c r="AB2236" s="65"/>
      <c r="AC2236" s="65" t="str">
        <f>IFERROR(__xludf.DUMMYFUNCTION("""COMPUTED_VALUE"""),"LLAVE TRINQUETE")</f>
        <v>LLAVE TRINQUETE</v>
      </c>
      <c r="AD2236" s="65"/>
      <c r="AE2236" s="65">
        <f>IFERROR(__xludf.DUMMYFUNCTION("""COMPUTED_VALUE"""),2.0)</f>
        <v>2</v>
      </c>
      <c r="AF2236" s="65" t="str">
        <f>IFERROR(__xludf.DUMMYFUNCTION("""COMPUTED_VALUE"""),"DESTINATARIO INDICA QUE YA NO DESEA EL PRODUCTO")</f>
        <v>DESTINATARIO INDICA QUE YA NO DESEA EL PRODUCTO</v>
      </c>
      <c r="AG2236" s="65" t="str">
        <f>IFERROR(__xludf.DUMMYFUNCTION("""COMPUTED_VALUE"""),"NO")</f>
        <v>NO</v>
      </c>
      <c r="AH2236" s="65" t="str">
        <f>IFERROR(__xludf.DUMMYFUNCTION("""COMPUTED_VALUE"""),"10:44")</f>
        <v>10:44</v>
      </c>
      <c r="AI2236" s="65" t="str">
        <f>IFERROR(__xludf.DUMMYFUNCTION("""COMPUTED_VALUE"""),"14-01-2026")</f>
        <v>14-01-2026</v>
      </c>
      <c r="AJ2236" s="65"/>
      <c r="AK2236" s="65"/>
      <c r="AL2236" s="65"/>
      <c r="AM2236" s="65"/>
      <c r="AN2236" s="65" t="str">
        <f>IFERROR(__xludf.DUMMYFUNCTION("""COMPUTED_VALUE"""),"01:33")</f>
        <v>01:33</v>
      </c>
      <c r="AO2236" s="65" t="str">
        <f>IFERROR(__xludf.DUMMYFUNCTION("""COMPUTED_VALUE"""),"21-01-2026")</f>
        <v>21-01-2026</v>
      </c>
      <c r="AP2236" s="65" t="str">
        <f>IFERROR(__xludf.DUMMYFUNCTION("""COMPUTED_VALUE"""),"DEVOLUCIÓN")</f>
        <v>DEVOLUCIÓN</v>
      </c>
      <c r="AQ2236" s="65" t="str">
        <f>IFERROR(__xludf.DUMMYFUNCTION("""COMPUTED_VALUE"""),"DEVOLUCIÓN")</f>
        <v>DEVOLUCIÓN</v>
      </c>
      <c r="AR2236" s="65"/>
      <c r="AS2236" s="65" t="str">
        <f>IFERROR(__xludf.DUMMYFUNCTION("""COMPUTED_VALUE"""),"Bayron Gomez")</f>
        <v>Bayron Gomez</v>
      </c>
      <c r="AT2236" s="65"/>
      <c r="AU2236" s="65"/>
      <c r="AV2236" s="65"/>
      <c r="AW2236" s="65"/>
      <c r="AX2236" s="65"/>
      <c r="AY2236" s="65" t="str">
        <f>IFERROR(__xludf.DUMMYFUNCTION("""COMPUTED_VALUE"""),"09/01/2026")</f>
        <v>09/01/2026</v>
      </c>
      <c r="AZ2236" s="65"/>
      <c r="BA2236" s="65"/>
    </row>
    <row r="2237">
      <c r="A2237" s="65" t="str">
        <f>IFERROR(__xludf.DUMMYFUNCTION("""COMPUTED_VALUE"""),"27-03-2026")</f>
        <v>27-03-2026</v>
      </c>
      <c r="B2237" s="65">
        <f>IFERROR(__xludf.DUMMYFUNCTION("""COMPUTED_VALUE"""),4074995.0)</f>
        <v>4074995</v>
      </c>
      <c r="C2237" s="65" t="str">
        <f>IFERROR(__xludf.DUMMYFUNCTION("""COMPUTED_VALUE"""),"21:25")</f>
        <v>21:25</v>
      </c>
      <c r="D2237" s="65" t="str">
        <f>IFERROR(__xludf.DUMMYFUNCTION("""COMPUTED_VALUE"""),"08-01-2026")</f>
        <v>08-01-2026</v>
      </c>
      <c r="E2237" s="65" t="str">
        <f>IFERROR(__xludf.DUMMYFUNCTION("""COMPUTED_VALUE"""),"Jorge Sánchez")</f>
        <v>Jorge Sánchez</v>
      </c>
      <c r="F2237" s="65" t="str">
        <f>IFERROR(__xludf.DUMMYFUNCTION("""COMPUTED_VALUE"""),"992485791")</f>
        <v>992485791</v>
      </c>
      <c r="G2237" s="65"/>
      <c r="H2237" s="65"/>
      <c r="I2237" s="65"/>
      <c r="J2237" s="65" t="str">
        <f>IFERROR(__xludf.DUMMYFUNCTION("""COMPUTED_VALUE"""),"WYB164912752")</f>
        <v>WYB164912752</v>
      </c>
      <c r="K2237" s="65" t="str">
        <f>IFERROR(__xludf.DUMMYFUNCTION("""COMPUTED_VALUE"""),"RECHAZADO")</f>
        <v>RECHAZADO</v>
      </c>
      <c r="L2237" s="65" t="str">
        <f>IFERROR(__xludf.DUMMYFUNCTION("""COMPUTED_VALUE"""),"CON RECAUDO")</f>
        <v>CON RECAUDO</v>
      </c>
      <c r="M2237" s="65" t="str">
        <f>IFERROR(__xludf.DUMMYFUNCTION("""COMPUTED_VALUE"""),"GUAYAS")</f>
        <v>GUAYAS</v>
      </c>
      <c r="N2237" s="65" t="str">
        <f>IFERROR(__xludf.DUMMYFUNCTION("""COMPUTED_VALUE"""),"PASCUALES")</f>
        <v>PASCUALES</v>
      </c>
      <c r="O2237" s="65" t="str">
        <f>IFERROR(__xludf.DUMMYFUNCTION("""COMPUTED_VALUE"""),"Sector Centro de Pascuales - Av. La Joya de los Sachas y Av. 38E Colimes")</f>
        <v>Sector Centro de Pascuales - Av. La Joya de los Sachas y Av. 38E Colimes</v>
      </c>
      <c r="P2237" s="65"/>
      <c r="Q2237" s="65" t="str">
        <f>IFERROR(__xludf.DUMMYFUNCTION("""COMPUTED_VALUE"""),"URBANO")</f>
        <v>URBANO</v>
      </c>
      <c r="R2237" s="65">
        <f>IFERROR(__xludf.DUMMYFUNCTION("""COMPUTED_VALUE"""),20.0)</f>
        <v>20</v>
      </c>
      <c r="S2237" s="65"/>
      <c r="T2237" s="65">
        <f>IFERROR(__xludf.DUMMYFUNCTION("""COMPUTED_VALUE"""),4.26)</f>
        <v>4.26</v>
      </c>
      <c r="U2237" s="65">
        <f>IFERROR(__xludf.DUMMYFUNCTION("""COMPUTED_VALUE"""),0.0)</f>
        <v>0</v>
      </c>
      <c r="V2237" s="65">
        <f>IFERROR(__xludf.DUMMYFUNCTION("""COMPUTED_VALUE"""),0.0)</f>
        <v>0</v>
      </c>
      <c r="W2237" s="65">
        <f>IFERROR(__xludf.DUMMYFUNCTION("""COMPUTED_VALUE"""),0.0)</f>
        <v>0</v>
      </c>
      <c r="X2237" s="65">
        <f>IFERROR(__xludf.DUMMYFUNCTION("""COMPUTED_VALUE"""),5.0)</f>
        <v>5</v>
      </c>
      <c r="Y2237" s="65">
        <f>IFERROR(__xludf.DUMMYFUNCTION("""COMPUTED_VALUE"""),5.0)</f>
        <v>5</v>
      </c>
      <c r="Z2237" s="65">
        <f>IFERROR(__xludf.DUMMYFUNCTION("""COMPUTED_VALUE"""),110064.0)</f>
        <v>110064</v>
      </c>
      <c r="AA2237" s="65" t="str">
        <f>IFERROR(__xludf.DUMMYFUNCTION("""COMPUTED_VALUE"""),"IMX-00001")</f>
        <v>IMX-00001</v>
      </c>
      <c r="AB2237" s="65"/>
      <c r="AC2237" s="65" t="str">
        <f>IFERROR(__xludf.DUMMYFUNCTION("""COMPUTED_VALUE"""),"LLAVE TRINQUETE")</f>
        <v>LLAVE TRINQUETE</v>
      </c>
      <c r="AD2237" s="65"/>
      <c r="AE2237" s="65">
        <f>IFERROR(__xludf.DUMMYFUNCTION("""COMPUTED_VALUE"""),1.0)</f>
        <v>1</v>
      </c>
      <c r="AF2237" s="65"/>
      <c r="AG2237" s="65"/>
      <c r="AH2237" s="65"/>
      <c r="AI2237" s="65"/>
      <c r="AJ2237" s="65"/>
      <c r="AK2237" s="65"/>
      <c r="AL2237" s="65"/>
      <c r="AM2237" s="65"/>
      <c r="AN2237" s="65"/>
      <c r="AO2237" s="65"/>
      <c r="AP2237" s="65"/>
      <c r="AQ2237" s="65"/>
      <c r="AR2237" s="65"/>
      <c r="AS2237" s="65" t="str">
        <f>IFERROR(__xludf.DUMMYFUNCTION("""COMPUTED_VALUE"""),"Bayron Gomez")</f>
        <v>Bayron Gomez</v>
      </c>
      <c r="AT2237" s="65"/>
      <c r="AU2237" s="65"/>
      <c r="AV2237" s="65"/>
      <c r="AW2237" s="65"/>
      <c r="AX2237" s="65"/>
      <c r="AY2237" s="65" t="str">
        <f>IFERROR(__xludf.DUMMYFUNCTION("""COMPUTED_VALUE"""),"09/01/2026")</f>
        <v>09/01/2026</v>
      </c>
      <c r="AZ2237" s="65"/>
      <c r="BA2237" s="65"/>
    </row>
    <row r="2238">
      <c r="A2238" s="65" t="str">
        <f>IFERROR(__xludf.DUMMYFUNCTION("""COMPUTED_VALUE"""),"27-03-2026")</f>
        <v>27-03-2026</v>
      </c>
      <c r="B2238" s="65">
        <f>IFERROR(__xludf.DUMMYFUNCTION("""COMPUTED_VALUE"""),4074389.0)</f>
        <v>4074389</v>
      </c>
      <c r="C2238" s="65" t="str">
        <f>IFERROR(__xludf.DUMMYFUNCTION("""COMPUTED_VALUE"""),"20:29")</f>
        <v>20:29</v>
      </c>
      <c r="D2238" s="65" t="str">
        <f>IFERROR(__xludf.DUMMYFUNCTION("""COMPUTED_VALUE"""),"08-01-2026")</f>
        <v>08-01-2026</v>
      </c>
      <c r="E2238" s="65" t="str">
        <f>IFERROR(__xludf.DUMMYFUNCTION("""COMPUTED_VALUE"""),"Rodriguez Rubén")</f>
        <v>Rodriguez Rubén</v>
      </c>
      <c r="F2238" s="65" t="str">
        <f>IFERROR(__xludf.DUMMYFUNCTION("""COMPUTED_VALUE"""),"990144216")</f>
        <v>990144216</v>
      </c>
      <c r="G2238" s="65" t="str">
        <f>IFERROR(__xludf.DUMMYFUNCTION("""COMPUTED_VALUE"""),"rubenito_dj.1683@hotmail.com")</f>
        <v>rubenito_dj.1683@hotmail.com</v>
      </c>
      <c r="H2238" s="65"/>
      <c r="I2238" s="65"/>
      <c r="J2238" s="65" t="str">
        <f>IFERROR(__xludf.DUMMYFUNCTION("""COMPUTED_VALUE"""),"D001203838")</f>
        <v>D001203838</v>
      </c>
      <c r="K2238" s="65" t="str">
        <f>IFERROR(__xludf.DUMMYFUNCTION("""COMPUTED_VALUE"""),"DEVOLUCION")</f>
        <v>DEVOLUCION</v>
      </c>
      <c r="L2238" s="65" t="str">
        <f>IFERROR(__xludf.DUMMYFUNCTION("""COMPUTED_VALUE"""),"CON RECAUDO")</f>
        <v>CON RECAUDO</v>
      </c>
      <c r="M2238" s="65" t="str">
        <f>IFERROR(__xludf.DUMMYFUNCTION("""COMPUTED_VALUE"""),"SANTA ELENA")</f>
        <v>SANTA ELENA</v>
      </c>
      <c r="N2238" s="65" t="str">
        <f>IFERROR(__xludf.DUMMYFUNCTION("""COMPUTED_VALUE"""),"LA LIBERTAD")</f>
        <v>LA LIBERTAD</v>
      </c>
      <c r="O2238" s="65" t="str">
        <f>IFERROR(__xludf.DUMMYFUNCTION("""COMPUTED_VALUE"""),"Av 30 calle 20 y 21 Sector 5 de junio - aún costado de la escuela Antonio García cando, La Libertad, barrio 5 de junio")</f>
        <v>Av 30 calle 20 y 21 Sector 5 de junio - aún costado de la escuela Antonio García cando, La Libertad, barrio 5 de junio</v>
      </c>
      <c r="P2238" s="65"/>
      <c r="Q2238" s="65" t="str">
        <f>IFERROR(__xludf.DUMMYFUNCTION("""COMPUTED_VALUE"""),"GINTRACOM")</f>
        <v>GINTRACOM</v>
      </c>
      <c r="R2238" s="65">
        <f>IFERROR(__xludf.DUMMYFUNCTION("""COMPUTED_VALUE"""),20.0)</f>
        <v>20</v>
      </c>
      <c r="S2238" s="65"/>
      <c r="T2238" s="65">
        <f>IFERROR(__xludf.DUMMYFUNCTION("""COMPUTED_VALUE"""),5.76)</f>
        <v>5.76</v>
      </c>
      <c r="U2238" s="65">
        <f>IFERROR(__xludf.DUMMYFUNCTION("""COMPUTED_VALUE"""),0.0)</f>
        <v>0</v>
      </c>
      <c r="V2238" s="65">
        <f>IFERROR(__xludf.DUMMYFUNCTION("""COMPUTED_VALUE"""),0.0)</f>
        <v>0</v>
      </c>
      <c r="W2238" s="65">
        <f>IFERROR(__xludf.DUMMYFUNCTION("""COMPUTED_VALUE"""),0.0)</f>
        <v>0</v>
      </c>
      <c r="X2238" s="65">
        <f>IFERROR(__xludf.DUMMYFUNCTION("""COMPUTED_VALUE"""),2.79)</f>
        <v>2.79</v>
      </c>
      <c r="Y2238" s="65">
        <f>IFERROR(__xludf.DUMMYFUNCTION("""COMPUTED_VALUE"""),2.79)</f>
        <v>2.79</v>
      </c>
      <c r="Z2238" s="65">
        <f>IFERROR(__xludf.DUMMYFUNCTION("""COMPUTED_VALUE"""),120732.0)</f>
        <v>120732</v>
      </c>
      <c r="AA2238" s="65" t="str">
        <f>IFERROR(__xludf.DUMMYFUNCTION("""COMPUTED_VALUE"""),"PROV-LMPVT")</f>
        <v>PROV-LMPVT</v>
      </c>
      <c r="AB2238" s="65"/>
      <c r="AC2238" s="65" t="str">
        <f>IFERROR(__xludf.DUMMYFUNCTION("""COMPUTED_VALUE"""),"LIMPIADOR DE PARABRISAS Y VENTANAS")</f>
        <v>LIMPIADOR DE PARABRISAS Y VENTANAS</v>
      </c>
      <c r="AD2238" s="65"/>
      <c r="AE2238" s="65">
        <f>IFERROR(__xludf.DUMMYFUNCTION("""COMPUTED_VALUE"""),1.0)</f>
        <v>1</v>
      </c>
      <c r="AF2238" s="65" t="str">
        <f>IFERROR(__xludf.DUMMYFUNCTION("""COMPUTED_VALUE"""),"DESTINATARIO INDICA QUE NO ES EL PRODUCTO QUE SOLICITÓ")</f>
        <v>DESTINATARIO INDICA QUE NO ES EL PRODUCTO QUE SOLICITÓ</v>
      </c>
      <c r="AG2238" s="65" t="str">
        <f>IFERROR(__xludf.DUMMYFUNCTION("""COMPUTED_VALUE"""),"NO")</f>
        <v>NO</v>
      </c>
      <c r="AH2238" s="65" t="str">
        <f>IFERROR(__xludf.DUMMYFUNCTION("""COMPUTED_VALUE"""),"15:55")</f>
        <v>15:55</v>
      </c>
      <c r="AI2238" s="65" t="str">
        <f>IFERROR(__xludf.DUMMYFUNCTION("""COMPUTED_VALUE"""),"12-01-2026")</f>
        <v>12-01-2026</v>
      </c>
      <c r="AJ2238" s="65"/>
      <c r="AK2238" s="65"/>
      <c r="AL2238" s="65"/>
      <c r="AM2238" s="65"/>
      <c r="AN2238" s="65" t="str">
        <f>IFERROR(__xludf.DUMMYFUNCTION("""COMPUTED_VALUE"""),"14:08")</f>
        <v>14:08</v>
      </c>
      <c r="AO2238" s="65" t="str">
        <f>IFERROR(__xludf.DUMMYFUNCTION("""COMPUTED_VALUE"""),"05-02-2026")</f>
        <v>05-02-2026</v>
      </c>
      <c r="AP2238" s="65" t="str">
        <f>IFERROR(__xludf.DUMMYFUNCTION("""COMPUTED_VALUE"""),"DEV CONFIRMADA POR BODEGA")</f>
        <v>DEV CONFIRMADA POR BODEGA</v>
      </c>
      <c r="AQ2238" s="65"/>
      <c r="AR2238" s="65" t="str">
        <f>IFERROR(__xludf.DUMMYFUNCTION("""COMPUTED_VALUE"""),"Gestionado por: Moran Daniel, email:danielmorga2005@gmail.com, total de productos en la orden: 1")</f>
        <v>Gestionado por: Moran Daniel, email:danielmorga2005@gmail.com, total de productos en la orden: 1</v>
      </c>
      <c r="AS2238" s="65"/>
      <c r="AT2238" s="65" t="str">
        <f>IFERROR(__xludf.DUMMYFUNCTION("""COMPUTED_VALUE"""),"SHOPIFY")</f>
        <v>SHOPIFY</v>
      </c>
      <c r="AU2238" s="65" t="str">
        <f>IFERROR(__xludf.DUMMYFUNCTION("""COMPUTED_VALUE"""),"IMPORTEX EC")</f>
        <v>IMPORTEX EC</v>
      </c>
      <c r="AV2238" s="65" t="str">
        <f>IFERROR(__xludf.DUMMYFUNCTION("""COMPUTED_VALUE"""),"6399831081004")</f>
        <v>6399831081004</v>
      </c>
      <c r="AW2238" s="65">
        <f>IFERROR(__xludf.DUMMYFUNCTION("""COMPUTED_VALUE"""),4736.0)</f>
        <v>4736</v>
      </c>
      <c r="AX2238" s="65"/>
      <c r="AY2238" s="65" t="str">
        <f>IFERROR(__xludf.DUMMYFUNCTION("""COMPUTED_VALUE"""),"09/01/2026")</f>
        <v>09/01/2026</v>
      </c>
      <c r="AZ2238" s="65"/>
      <c r="BA2238" s="65"/>
    </row>
    <row r="2239">
      <c r="A2239" s="65" t="str">
        <f>IFERROR(__xludf.DUMMYFUNCTION("""COMPUTED_VALUE"""),"27-03-2026")</f>
        <v>27-03-2026</v>
      </c>
      <c r="B2239" s="65">
        <f>IFERROR(__xludf.DUMMYFUNCTION("""COMPUTED_VALUE"""),4074226.0)</f>
        <v>4074226</v>
      </c>
      <c r="C2239" s="65" t="str">
        <f>IFERROR(__xludf.DUMMYFUNCTION("""COMPUTED_VALUE"""),"20:14")</f>
        <v>20:14</v>
      </c>
      <c r="D2239" s="65" t="str">
        <f>IFERROR(__xludf.DUMMYFUNCTION("""COMPUTED_VALUE"""),"08-01-2026")</f>
        <v>08-01-2026</v>
      </c>
      <c r="E2239" s="65" t="str">
        <f>IFERROR(__xludf.DUMMYFUNCTION("""COMPUTED_VALUE"""),"Wladimir malave")</f>
        <v>Wladimir malave</v>
      </c>
      <c r="F2239" s="65" t="str">
        <f>IFERROR(__xludf.DUMMYFUNCTION("""COMPUTED_VALUE"""),"962745726")</f>
        <v>962745726</v>
      </c>
      <c r="G2239" s="65" t="str">
        <f>IFERROR(__xludf.DUMMYFUNCTION("""COMPUTED_VALUE"""),"leylis.malave@hotmail.com")</f>
        <v>leylis.malave@hotmail.com</v>
      </c>
      <c r="H2239" s="65"/>
      <c r="I2239" s="65"/>
      <c r="J2239" s="65" t="str">
        <f>IFERROR(__xludf.DUMMYFUNCTION("""COMPUTED_VALUE"""),"186947256")</f>
        <v>186947256</v>
      </c>
      <c r="K2239" s="65" t="str">
        <f>IFERROR(__xludf.DUMMYFUNCTION("""COMPUTED_VALUE"""),"ENTREGADO")</f>
        <v>ENTREGADO</v>
      </c>
      <c r="L2239" s="65" t="str">
        <f>IFERROR(__xludf.DUMMYFUNCTION("""COMPUTED_VALUE"""),"CON RECAUDO")</f>
        <v>CON RECAUDO</v>
      </c>
      <c r="M2239" s="65" t="str">
        <f>IFERROR(__xludf.DUMMYFUNCTION("""COMPUTED_VALUE"""),"GUAYAS")</f>
        <v>GUAYAS</v>
      </c>
      <c r="N2239" s="65" t="str">
        <f>IFERROR(__xludf.DUMMYFUNCTION("""COMPUTED_VALUE"""),"EL DESEO")</f>
        <v>EL DESEO</v>
      </c>
      <c r="O2239" s="65" t="str">
        <f>IFERROR(__xludf.DUMMYFUNCTION("""COMPUTED_VALUE"""),"Recinto el deseo frente al seguro campesino, parroquia Milagro")</f>
        <v>Recinto el deseo frente al seguro campesino, parroquia Milagro</v>
      </c>
      <c r="P2239" s="65"/>
      <c r="Q2239" s="65" t="str">
        <f>IFERROR(__xludf.DUMMYFUNCTION("""COMPUTED_VALUE"""),"SERVIENTREGA")</f>
        <v>SERVIENTREGA</v>
      </c>
      <c r="R2239" s="65">
        <f>IFERROR(__xludf.DUMMYFUNCTION("""COMPUTED_VALUE"""),30.0)</f>
        <v>30</v>
      </c>
      <c r="S2239" s="65">
        <f>IFERROR(__xludf.DUMMYFUNCTION("""COMPUTED_VALUE"""),13.81)</f>
        <v>13.81</v>
      </c>
      <c r="T2239" s="65">
        <f>IFERROR(__xludf.DUMMYFUNCTION("""COMPUTED_VALUE"""),7.82)</f>
        <v>7.82</v>
      </c>
      <c r="U2239" s="65">
        <f>IFERROR(__xludf.DUMMYFUNCTION("""COMPUTED_VALUE"""),0.0)</f>
        <v>0</v>
      </c>
      <c r="V2239" s="65">
        <f>IFERROR(__xludf.DUMMYFUNCTION("""COMPUTED_VALUE"""),0.0)</f>
        <v>0</v>
      </c>
      <c r="W2239" s="65">
        <f>IFERROR(__xludf.DUMMYFUNCTION("""COMPUTED_VALUE"""),0.0)</f>
        <v>0</v>
      </c>
      <c r="X2239" s="65">
        <f>IFERROR(__xludf.DUMMYFUNCTION("""COMPUTED_VALUE"""),2.79)</f>
        <v>2.79</v>
      </c>
      <c r="Y2239" s="65">
        <f>IFERROR(__xludf.DUMMYFUNCTION("""COMPUTED_VALUE"""),8.37)</f>
        <v>8.37</v>
      </c>
      <c r="Z2239" s="65">
        <f>IFERROR(__xludf.DUMMYFUNCTION("""COMPUTED_VALUE"""),120732.0)</f>
        <v>120732</v>
      </c>
      <c r="AA2239" s="65" t="str">
        <f>IFERROR(__xludf.DUMMYFUNCTION("""COMPUTED_VALUE"""),"PROV-LMPVT")</f>
        <v>PROV-LMPVT</v>
      </c>
      <c r="AB2239" s="65"/>
      <c r="AC2239" s="65" t="str">
        <f>IFERROR(__xludf.DUMMYFUNCTION("""COMPUTED_VALUE"""),"LIMPIADOR DE PARABRISAS Y VENTANAS")</f>
        <v>LIMPIADOR DE PARABRISAS Y VENTANAS</v>
      </c>
      <c r="AD2239" s="65"/>
      <c r="AE2239" s="65">
        <f>IFERROR(__xludf.DUMMYFUNCTION("""COMPUTED_VALUE"""),3.0)</f>
        <v>3</v>
      </c>
      <c r="AF2239" s="65"/>
      <c r="AG2239" s="65"/>
      <c r="AH2239" s="65"/>
      <c r="AI2239" s="65"/>
      <c r="AJ2239" s="65"/>
      <c r="AK2239" s="65"/>
      <c r="AL2239" s="65"/>
      <c r="AM2239" s="65"/>
      <c r="AN2239" s="65" t="str">
        <f>IFERROR(__xludf.DUMMYFUNCTION("""COMPUTED_VALUE"""),"20:12")</f>
        <v>20:12</v>
      </c>
      <c r="AO2239" s="65" t="str">
        <f>IFERROR(__xludf.DUMMYFUNCTION("""COMPUTED_VALUE"""),"12-01-2026")</f>
        <v>12-01-2026</v>
      </c>
      <c r="AP2239" s="65" t="str">
        <f>IFERROR(__xludf.DUMMYFUNCTION("""COMPUTED_VALUE"""),"REPORTADO ENTREGADO EN AGENCIA")</f>
        <v>REPORTADO ENTREGADO EN AGENCIA</v>
      </c>
      <c r="AQ2239" s="65" t="str">
        <f>IFERROR(__xludf.DUMMYFUNCTION("""COMPUTED_VALUE"""),"WLADIMIR MALAVE")</f>
        <v>WLADIMIR MALAVE</v>
      </c>
      <c r="AR2239" s="65"/>
      <c r="AS2239" s="65"/>
      <c r="AT2239" s="65" t="str">
        <f>IFERROR(__xludf.DUMMYFUNCTION("""COMPUTED_VALUE"""),"SHOPIFY")</f>
        <v>SHOPIFY</v>
      </c>
      <c r="AU2239" s="65" t="str">
        <f>IFERROR(__xludf.DUMMYFUNCTION("""COMPUTED_VALUE"""),"IMPORTEX EC")</f>
        <v>IMPORTEX EC</v>
      </c>
      <c r="AV2239" s="65" t="str">
        <f>IFERROR(__xludf.DUMMYFUNCTION("""COMPUTED_VALUE"""),"6399796248620")</f>
        <v>6399796248620</v>
      </c>
      <c r="AW2239" s="65">
        <f>IFERROR(__xludf.DUMMYFUNCTION("""COMPUTED_VALUE"""),4735.0)</f>
        <v>4735</v>
      </c>
      <c r="AX2239" s="65"/>
      <c r="AY2239" s="65" t="str">
        <f>IFERROR(__xludf.DUMMYFUNCTION("""COMPUTED_VALUE"""),"09/01/2026")</f>
        <v>09/01/2026</v>
      </c>
      <c r="AZ2239" s="65"/>
      <c r="BA2239" s="65"/>
    </row>
    <row r="2240">
      <c r="A2240" s="65" t="str">
        <f>IFERROR(__xludf.DUMMYFUNCTION("""COMPUTED_VALUE"""),"27-03-2026")</f>
        <v>27-03-2026</v>
      </c>
      <c r="B2240" s="65">
        <f>IFERROR(__xludf.DUMMYFUNCTION("""COMPUTED_VALUE"""),4074136.0)</f>
        <v>4074136</v>
      </c>
      <c r="C2240" s="65" t="str">
        <f>IFERROR(__xludf.DUMMYFUNCTION("""COMPUTED_VALUE"""),"20:05")</f>
        <v>20:05</v>
      </c>
      <c r="D2240" s="65" t="str">
        <f>IFERROR(__xludf.DUMMYFUNCTION("""COMPUTED_VALUE"""),"08-01-2026")</f>
        <v>08-01-2026</v>
      </c>
      <c r="E2240" s="65" t="str">
        <f>IFERROR(__xludf.DUMMYFUNCTION("""COMPUTED_VALUE"""),"Sandy Jose")</f>
        <v>Sandy Jose</v>
      </c>
      <c r="F2240" s="65" t="str">
        <f>IFERROR(__xludf.DUMMYFUNCTION("""COMPUTED_VALUE"""),"986365446")</f>
        <v>986365446</v>
      </c>
      <c r="G2240" s="65" t="str">
        <f>IFERROR(__xludf.DUMMYFUNCTION("""COMPUTED_VALUE"""),"fabianafigueroq1@gmail.com")</f>
        <v>fabianafigueroq1@gmail.com</v>
      </c>
      <c r="H2240" s="65"/>
      <c r="I2240" s="65"/>
      <c r="J2240" s="65" t="str">
        <f>IFERROR(__xludf.DUMMYFUNCTION("""COMPUTED_VALUE"""),"D001213521")</f>
        <v>D001213521</v>
      </c>
      <c r="K2240" s="65" t="str">
        <f>IFERROR(__xludf.DUMMYFUNCTION("""COMPUTED_VALUE"""),"DEVOLUCION")</f>
        <v>DEVOLUCION</v>
      </c>
      <c r="L2240" s="65" t="str">
        <f>IFERROR(__xludf.DUMMYFUNCTION("""COMPUTED_VALUE"""),"CON RECAUDO")</f>
        <v>CON RECAUDO</v>
      </c>
      <c r="M2240" s="65" t="str">
        <f>IFERROR(__xludf.DUMMYFUNCTION("""COMPUTED_VALUE"""),"SANTA ELENA")</f>
        <v>SANTA ELENA</v>
      </c>
      <c r="N2240" s="65" t="str">
        <f>IFERROR(__xludf.DUMMYFUNCTION("""COMPUTED_VALUE"""),"LA LIBERTAD")</f>
        <v>LA LIBERTAD</v>
      </c>
      <c r="O2240" s="65" t="str">
        <f>IFERROR(__xludf.DUMMYFUNCTION("""COMPUTED_VALUE"""),"Sector La Libertad - Ciudadela San Vicente - Av. 33 y Calles 37A y 40 - Ref. Cancha del Ernesto Gonzalez")</f>
        <v>Sector La Libertad - Ciudadela San Vicente - Av. 33 y Calles 37A y 40 - Ref. Cancha del Ernesto Gonzalez</v>
      </c>
      <c r="P2240" s="65"/>
      <c r="Q2240" s="65" t="str">
        <f>IFERROR(__xludf.DUMMYFUNCTION("""COMPUTED_VALUE"""),"GINTRACOM")</f>
        <v>GINTRACOM</v>
      </c>
      <c r="R2240" s="65">
        <f>IFERROR(__xludf.DUMMYFUNCTION("""COMPUTED_VALUE"""),20.0)</f>
        <v>20</v>
      </c>
      <c r="S2240" s="65"/>
      <c r="T2240" s="65">
        <f>IFERROR(__xludf.DUMMYFUNCTION("""COMPUTED_VALUE"""),5.76)</f>
        <v>5.76</v>
      </c>
      <c r="U2240" s="65">
        <f>IFERROR(__xludf.DUMMYFUNCTION("""COMPUTED_VALUE"""),0.0)</f>
        <v>0</v>
      </c>
      <c r="V2240" s="65">
        <f>IFERROR(__xludf.DUMMYFUNCTION("""COMPUTED_VALUE"""),0.0)</f>
        <v>0</v>
      </c>
      <c r="W2240" s="65">
        <f>IFERROR(__xludf.DUMMYFUNCTION("""COMPUTED_VALUE"""),0.0)</f>
        <v>0</v>
      </c>
      <c r="X2240" s="65">
        <f>IFERROR(__xludf.DUMMYFUNCTION("""COMPUTED_VALUE"""),2.79)</f>
        <v>2.79</v>
      </c>
      <c r="Y2240" s="65">
        <f>IFERROR(__xludf.DUMMYFUNCTION("""COMPUTED_VALUE"""),2.79)</f>
        <v>2.79</v>
      </c>
      <c r="Z2240" s="65">
        <f>IFERROR(__xludf.DUMMYFUNCTION("""COMPUTED_VALUE"""),120732.0)</f>
        <v>120732</v>
      </c>
      <c r="AA2240" s="65" t="str">
        <f>IFERROR(__xludf.DUMMYFUNCTION("""COMPUTED_VALUE"""),"PROV-LMPVT")</f>
        <v>PROV-LMPVT</v>
      </c>
      <c r="AB2240" s="65"/>
      <c r="AC2240" s="65" t="str">
        <f>IFERROR(__xludf.DUMMYFUNCTION("""COMPUTED_VALUE"""),"LIMPIADOR DE PARABRISAS Y VENTANAS")</f>
        <v>LIMPIADOR DE PARABRISAS Y VENTANAS</v>
      </c>
      <c r="AD2240" s="65"/>
      <c r="AE2240" s="65">
        <f>IFERROR(__xludf.DUMMYFUNCTION("""COMPUTED_VALUE"""),1.0)</f>
        <v>1</v>
      </c>
      <c r="AF2240" s="65" t="str">
        <f>IFERROR(__xludf.DUMMYFUNCTION("""COMPUTED_VALUE"""),"DESTINATARIO NO CONTESTA LLAMADAS NI WHATSAPP")</f>
        <v>DESTINATARIO NO CONTESTA LLAMADAS NI WHATSAPP</v>
      </c>
      <c r="AG2240" s="65" t="str">
        <f>IFERROR(__xludf.DUMMYFUNCTION("""COMPUTED_VALUE"""),"NO")</f>
        <v>NO</v>
      </c>
      <c r="AH2240" s="65" t="str">
        <f>IFERROR(__xludf.DUMMYFUNCTION("""COMPUTED_VALUE"""),"09:00")</f>
        <v>09:00</v>
      </c>
      <c r="AI2240" s="65" t="str">
        <f>IFERROR(__xludf.DUMMYFUNCTION("""COMPUTED_VALUE"""),"22-01-2026")</f>
        <v>22-01-2026</v>
      </c>
      <c r="AJ2240" s="65"/>
      <c r="AK2240" s="65"/>
      <c r="AL2240" s="65"/>
      <c r="AM2240" s="65"/>
      <c r="AN2240" s="65" t="str">
        <f>IFERROR(__xludf.DUMMYFUNCTION("""COMPUTED_VALUE"""),"14:12")</f>
        <v>14:12</v>
      </c>
      <c r="AO2240" s="65" t="str">
        <f>IFERROR(__xludf.DUMMYFUNCTION("""COMPUTED_VALUE"""),"05-02-2026")</f>
        <v>05-02-2026</v>
      </c>
      <c r="AP2240" s="65" t="str">
        <f>IFERROR(__xludf.DUMMYFUNCTION("""COMPUTED_VALUE"""),"DEV CONFIRMADA POR BODEGA")</f>
        <v>DEV CONFIRMADA POR BODEGA</v>
      </c>
      <c r="AQ2240" s="65"/>
      <c r="AR2240" s="65" t="str">
        <f>IFERROR(__xludf.DUMMYFUNCTION("""COMPUTED_VALUE"""),"Gestionado por: Moran Daniel, email:danielmorga2005@gmail.com, total de productos en la orden: 1")</f>
        <v>Gestionado por: Moran Daniel, email:danielmorga2005@gmail.com, total de productos en la orden: 1</v>
      </c>
      <c r="AS2240" s="65"/>
      <c r="AT2240" s="65" t="str">
        <f>IFERROR(__xludf.DUMMYFUNCTION("""COMPUTED_VALUE"""),"SHOPIFY")</f>
        <v>SHOPIFY</v>
      </c>
      <c r="AU2240" s="65" t="str">
        <f>IFERROR(__xludf.DUMMYFUNCTION("""COMPUTED_VALUE"""),"IMPORTEX EC")</f>
        <v>IMPORTEX EC</v>
      </c>
      <c r="AV2240" s="65" t="str">
        <f>IFERROR(__xludf.DUMMYFUNCTION("""COMPUTED_VALUE"""),"6399778553900")</f>
        <v>6399778553900</v>
      </c>
      <c r="AW2240" s="65">
        <f>IFERROR(__xludf.DUMMYFUNCTION("""COMPUTED_VALUE"""),4734.0)</f>
        <v>4734</v>
      </c>
      <c r="AX2240" s="65"/>
      <c r="AY2240" s="65" t="str">
        <f>IFERROR(__xludf.DUMMYFUNCTION("""COMPUTED_VALUE"""),"12/01/2026")</f>
        <v>12/01/2026</v>
      </c>
      <c r="AZ2240" s="65"/>
      <c r="BA2240" s="65"/>
    </row>
    <row r="2241">
      <c r="A2241" s="65" t="str">
        <f>IFERROR(__xludf.DUMMYFUNCTION("""COMPUTED_VALUE"""),"27-03-2026")</f>
        <v>27-03-2026</v>
      </c>
      <c r="B2241" s="65">
        <f>IFERROR(__xludf.DUMMYFUNCTION("""COMPUTED_VALUE"""),4072980.0)</f>
        <v>4072980</v>
      </c>
      <c r="C2241" s="65" t="str">
        <f>IFERROR(__xludf.DUMMYFUNCTION("""COMPUTED_VALUE"""),"18:03")</f>
        <v>18:03</v>
      </c>
      <c r="D2241" s="65" t="str">
        <f>IFERROR(__xludf.DUMMYFUNCTION("""COMPUTED_VALUE"""),"08-01-2026")</f>
        <v>08-01-2026</v>
      </c>
      <c r="E2241" s="65" t="str">
        <f>IFERROR(__xludf.DUMMYFUNCTION("""COMPUTED_VALUE"""),"Alvaro Maximiliano Tutiven Rodríguez")</f>
        <v>Alvaro Maximiliano Tutiven Rodríguez</v>
      </c>
      <c r="F2241" s="65" t="str">
        <f>IFERROR(__xludf.DUMMYFUNCTION("""COMPUTED_VALUE"""),"993520827")</f>
        <v>993520827</v>
      </c>
      <c r="G2241" s="65" t="str">
        <f>IFERROR(__xludf.DUMMYFUNCTION("""COMPUTED_VALUE"""),"alvaro17tutiven@gmail.com")</f>
        <v>alvaro17tutiven@gmail.com</v>
      </c>
      <c r="H2241" s="65"/>
      <c r="I2241" s="65"/>
      <c r="J2241" s="65" t="str">
        <f>IFERROR(__xludf.DUMMYFUNCTION("""COMPUTED_VALUE"""),"186947291")</f>
        <v>186947291</v>
      </c>
      <c r="K2241" s="65" t="str">
        <f>IFERROR(__xludf.DUMMYFUNCTION("""COMPUTED_VALUE"""),"ENTREGADO")</f>
        <v>ENTREGADO</v>
      </c>
      <c r="L2241" s="65" t="str">
        <f>IFERROR(__xludf.DUMMYFUNCTION("""COMPUTED_VALUE"""),"CON RECAUDO")</f>
        <v>CON RECAUDO</v>
      </c>
      <c r="M2241" s="65" t="str">
        <f>IFERROR(__xludf.DUMMYFUNCTION("""COMPUTED_VALUE"""),"GUAYAS")</f>
        <v>GUAYAS</v>
      </c>
      <c r="N2241" s="65" t="str">
        <f>IFERROR(__xludf.DUMMYFUNCTION("""COMPUTED_VALUE"""),"PEDRO CARBO")</f>
        <v>PEDRO CARBO</v>
      </c>
      <c r="O2241" s="65" t="str">
        <f>IFERROR(__xludf.DUMMYFUNCTION("""COMPUTED_VALUE"""),"Calle Rocafuerte y Calle 9 de octubre  - Frente al municipio del cantón Pedro Carbo")</f>
        <v>Calle Rocafuerte y Calle 9 de octubre  - Frente al municipio del cantón Pedro Carbo</v>
      </c>
      <c r="P2241" s="65"/>
      <c r="Q2241" s="65" t="str">
        <f>IFERROR(__xludf.DUMMYFUNCTION("""COMPUTED_VALUE"""),"SERVIENTREGA")</f>
        <v>SERVIENTREGA</v>
      </c>
      <c r="R2241" s="65">
        <f>IFERROR(__xludf.DUMMYFUNCTION("""COMPUTED_VALUE"""),25.0)</f>
        <v>25</v>
      </c>
      <c r="S2241" s="65">
        <f>IFERROR(__xludf.DUMMYFUNCTION("""COMPUTED_VALUE"""),11.67)</f>
        <v>11.67</v>
      </c>
      <c r="T2241" s="65">
        <f>IFERROR(__xludf.DUMMYFUNCTION("""COMPUTED_VALUE"""),7.75)</f>
        <v>7.75</v>
      </c>
      <c r="U2241" s="65">
        <f>IFERROR(__xludf.DUMMYFUNCTION("""COMPUTED_VALUE"""),0.0)</f>
        <v>0</v>
      </c>
      <c r="V2241" s="65">
        <f>IFERROR(__xludf.DUMMYFUNCTION("""COMPUTED_VALUE"""),0.0)</f>
        <v>0</v>
      </c>
      <c r="W2241" s="65">
        <f>IFERROR(__xludf.DUMMYFUNCTION("""COMPUTED_VALUE"""),0.0)</f>
        <v>0</v>
      </c>
      <c r="X2241" s="65">
        <f>IFERROR(__xludf.DUMMYFUNCTION("""COMPUTED_VALUE"""),2.79)</f>
        <v>2.79</v>
      </c>
      <c r="Y2241" s="65">
        <f>IFERROR(__xludf.DUMMYFUNCTION("""COMPUTED_VALUE"""),5.58)</f>
        <v>5.58</v>
      </c>
      <c r="Z2241" s="65">
        <f>IFERROR(__xludf.DUMMYFUNCTION("""COMPUTED_VALUE"""),120732.0)</f>
        <v>120732</v>
      </c>
      <c r="AA2241" s="65" t="str">
        <f>IFERROR(__xludf.DUMMYFUNCTION("""COMPUTED_VALUE"""),"PROV-LMPVT")</f>
        <v>PROV-LMPVT</v>
      </c>
      <c r="AB2241" s="65"/>
      <c r="AC2241" s="65" t="str">
        <f>IFERROR(__xludf.DUMMYFUNCTION("""COMPUTED_VALUE"""),"LIMPIADOR DE PARABRISAS Y VENTANAS")</f>
        <v>LIMPIADOR DE PARABRISAS Y VENTANAS</v>
      </c>
      <c r="AD2241" s="65"/>
      <c r="AE2241" s="65">
        <f>IFERROR(__xludf.DUMMYFUNCTION("""COMPUTED_VALUE"""),2.0)</f>
        <v>2</v>
      </c>
      <c r="AF2241" s="65"/>
      <c r="AG2241" s="65"/>
      <c r="AH2241" s="65"/>
      <c r="AI2241" s="65"/>
      <c r="AJ2241" s="65"/>
      <c r="AK2241" s="65"/>
      <c r="AL2241" s="65"/>
      <c r="AM2241" s="65"/>
      <c r="AN2241" s="65" t="str">
        <f>IFERROR(__xludf.DUMMYFUNCTION("""COMPUTED_VALUE"""),"00:06")</f>
        <v>00:06</v>
      </c>
      <c r="AO2241" s="65" t="str">
        <f>IFERROR(__xludf.DUMMYFUNCTION("""COMPUTED_VALUE"""),"19-01-2026")</f>
        <v>19-01-2026</v>
      </c>
      <c r="AP2241" s="65" t="str">
        <f>IFERROR(__xludf.DUMMYFUNCTION("""COMPUTED_VALUE"""),"REPORTADO ENTREGADO EN APP")</f>
        <v>REPORTADO ENTREGADO EN APP</v>
      </c>
      <c r="AQ2241" s="65" t="str">
        <f>IFERROR(__xludf.DUMMYFUNCTION("""COMPUTED_VALUE"""),"Maximiliana Lopez")</f>
        <v>Maximiliana Lopez</v>
      </c>
      <c r="AR2241" s="65"/>
      <c r="AS2241" s="65"/>
      <c r="AT2241" s="65" t="str">
        <f>IFERROR(__xludf.DUMMYFUNCTION("""COMPUTED_VALUE"""),"SHOPIFY")</f>
        <v>SHOPIFY</v>
      </c>
      <c r="AU2241" s="65" t="str">
        <f>IFERROR(__xludf.DUMMYFUNCTION("""COMPUTED_VALUE"""),"IMPORTEX EC")</f>
        <v>IMPORTEX EC</v>
      </c>
      <c r="AV2241" s="65" t="str">
        <f>IFERROR(__xludf.DUMMYFUNCTION("""COMPUTED_VALUE"""),"6399553830956")</f>
        <v>6399553830956</v>
      </c>
      <c r="AW2241" s="65">
        <f>IFERROR(__xludf.DUMMYFUNCTION("""COMPUTED_VALUE"""),4733.0)</f>
        <v>4733</v>
      </c>
      <c r="AX2241" s="65"/>
      <c r="AY2241" s="65" t="str">
        <f>IFERROR(__xludf.DUMMYFUNCTION("""COMPUTED_VALUE"""),"09/01/2026")</f>
        <v>09/01/2026</v>
      </c>
      <c r="AZ2241" s="65"/>
      <c r="BA2241" s="65"/>
    </row>
    <row r="2242">
      <c r="A2242" s="65" t="str">
        <f>IFERROR(__xludf.DUMMYFUNCTION("""COMPUTED_VALUE"""),"27-03-2026")</f>
        <v>27-03-2026</v>
      </c>
      <c r="B2242" s="65">
        <f>IFERROR(__xludf.DUMMYFUNCTION("""COMPUTED_VALUE"""),4070054.0)</f>
        <v>4070054</v>
      </c>
      <c r="C2242" s="65" t="str">
        <f>IFERROR(__xludf.DUMMYFUNCTION("""COMPUTED_VALUE"""),"13:37")</f>
        <v>13:37</v>
      </c>
      <c r="D2242" s="65" t="str">
        <f>IFERROR(__xludf.DUMMYFUNCTION("""COMPUTED_VALUE"""),"08-01-2026")</f>
        <v>08-01-2026</v>
      </c>
      <c r="E2242" s="65" t="str">
        <f>IFERROR(__xludf.DUMMYFUNCTION("""COMPUTED_VALUE"""),"Kevin Aguirre")</f>
        <v>Kevin Aguirre</v>
      </c>
      <c r="F2242" s="65" t="str">
        <f>IFERROR(__xludf.DUMMYFUNCTION("""COMPUTED_VALUE"""),"967798875")</f>
        <v>967798875</v>
      </c>
      <c r="G2242" s="65" t="str">
        <f>IFERROR(__xludf.DUMMYFUNCTION("""COMPUTED_VALUE"""),"kevaguirre91@gmail.com")</f>
        <v>kevaguirre91@gmail.com</v>
      </c>
      <c r="H2242" s="65"/>
      <c r="I2242" s="65"/>
      <c r="J2242" s="65"/>
      <c r="K2242" s="65" t="str">
        <f>IFERROR(__xludf.DUMMYFUNCTION("""COMPUTED_VALUE"""),"CANCELADO")</f>
        <v>CANCELADO</v>
      </c>
      <c r="L2242" s="65" t="str">
        <f>IFERROR(__xludf.DUMMYFUNCTION("""COMPUTED_VALUE"""),"CON RECAUDO")</f>
        <v>CON RECAUDO</v>
      </c>
      <c r="M2242" s="65" t="str">
        <f>IFERROR(__xludf.DUMMYFUNCTION("""COMPUTED_VALUE"""),"LOJA")</f>
        <v>LOJA</v>
      </c>
      <c r="N2242" s="65" t="str">
        <f>IFERROR(__xludf.DUMMYFUNCTION("""COMPUTED_VALUE"""),"LOJA")</f>
        <v>LOJA</v>
      </c>
      <c r="O2242" s="65" t="str">
        <f>IFERROR(__xludf.DUMMYFUNCTION("""COMPUTED_VALUE"""),"C. Garcia Moreno Loja -")</f>
        <v>C. Garcia Moreno Loja -</v>
      </c>
      <c r="P2242" s="65"/>
      <c r="Q2242" s="65" t="str">
        <f>IFERROR(__xludf.DUMMYFUNCTION("""COMPUTED_VALUE"""),"GINTRACOM")</f>
        <v>GINTRACOM</v>
      </c>
      <c r="R2242" s="65">
        <f>IFERROR(__xludf.DUMMYFUNCTION("""COMPUTED_VALUE"""),20.0)</f>
        <v>20</v>
      </c>
      <c r="S2242" s="65"/>
      <c r="T2242" s="65">
        <f>IFERROR(__xludf.DUMMYFUNCTION("""COMPUTED_VALUE"""),5.76)</f>
        <v>5.76</v>
      </c>
      <c r="U2242" s="65">
        <f>IFERROR(__xludf.DUMMYFUNCTION("""COMPUTED_VALUE"""),0.0)</f>
        <v>0</v>
      </c>
      <c r="V2242" s="65">
        <f>IFERROR(__xludf.DUMMYFUNCTION("""COMPUTED_VALUE"""),0.0)</f>
        <v>0</v>
      </c>
      <c r="W2242" s="65">
        <f>IFERROR(__xludf.DUMMYFUNCTION("""COMPUTED_VALUE"""),0.0)</f>
        <v>0</v>
      </c>
      <c r="X2242" s="65">
        <f>IFERROR(__xludf.DUMMYFUNCTION("""COMPUTED_VALUE"""),2.79)</f>
        <v>2.79</v>
      </c>
      <c r="Y2242" s="65">
        <f>IFERROR(__xludf.DUMMYFUNCTION("""COMPUTED_VALUE"""),2.79)</f>
        <v>2.79</v>
      </c>
      <c r="Z2242" s="65">
        <f>IFERROR(__xludf.DUMMYFUNCTION("""COMPUTED_VALUE"""),120732.0)</f>
        <v>120732</v>
      </c>
      <c r="AA2242" s="65" t="str">
        <f>IFERROR(__xludf.DUMMYFUNCTION("""COMPUTED_VALUE"""),"PROV-LMPVT")</f>
        <v>PROV-LMPVT</v>
      </c>
      <c r="AB2242" s="65"/>
      <c r="AC2242" s="65" t="str">
        <f>IFERROR(__xludf.DUMMYFUNCTION("""COMPUTED_VALUE"""),"LIMPIADOR DE PARABRISAS Y VENTANAS")</f>
        <v>LIMPIADOR DE PARABRISAS Y VENTANAS</v>
      </c>
      <c r="AD2242" s="65"/>
      <c r="AE2242" s="65">
        <f>IFERROR(__xludf.DUMMYFUNCTION("""COMPUTED_VALUE"""),1.0)</f>
        <v>1</v>
      </c>
      <c r="AF2242" s="65"/>
      <c r="AG2242" s="65"/>
      <c r="AH2242" s="65"/>
      <c r="AI2242" s="65"/>
      <c r="AJ2242" s="65"/>
      <c r="AK2242" s="65"/>
      <c r="AL2242" s="65"/>
      <c r="AM2242" s="65"/>
      <c r="AN2242" s="65"/>
      <c r="AO2242" s="65"/>
      <c r="AP2242" s="65"/>
      <c r="AQ2242" s="65"/>
      <c r="AR2242" s="65"/>
      <c r="AS2242" s="65"/>
      <c r="AT2242" s="65" t="str">
        <f>IFERROR(__xludf.DUMMYFUNCTION("""COMPUTED_VALUE"""),"SHOPIFY")</f>
        <v>SHOPIFY</v>
      </c>
      <c r="AU2242" s="65" t="str">
        <f>IFERROR(__xludf.DUMMYFUNCTION("""COMPUTED_VALUE"""),"IMPORTEX EC")</f>
        <v>IMPORTEX EC</v>
      </c>
      <c r="AV2242" s="65" t="str">
        <f>IFERROR(__xludf.DUMMYFUNCTION("""COMPUTED_VALUE"""),"6398988091436")</f>
        <v>6398988091436</v>
      </c>
      <c r="AW2242" s="65">
        <f>IFERROR(__xludf.DUMMYFUNCTION("""COMPUTED_VALUE"""),4732.0)</f>
        <v>4732</v>
      </c>
      <c r="AX2242" s="65"/>
      <c r="AY2242" s="65"/>
      <c r="AZ2242" s="65"/>
      <c r="BA2242" s="65"/>
    </row>
    <row r="2243">
      <c r="A2243" s="65" t="str">
        <f>IFERROR(__xludf.DUMMYFUNCTION("""COMPUTED_VALUE"""),"27-03-2026")</f>
        <v>27-03-2026</v>
      </c>
      <c r="B2243" s="65">
        <f>IFERROR(__xludf.DUMMYFUNCTION("""COMPUTED_VALUE"""),4069008.0)</f>
        <v>4069008</v>
      </c>
      <c r="C2243" s="65" t="str">
        <f>IFERROR(__xludf.DUMMYFUNCTION("""COMPUTED_VALUE"""),"12:11")</f>
        <v>12:11</v>
      </c>
      <c r="D2243" s="65" t="str">
        <f>IFERROR(__xludf.DUMMYFUNCTION("""COMPUTED_VALUE"""),"08-01-2026")</f>
        <v>08-01-2026</v>
      </c>
      <c r="E2243" s="65" t="str">
        <f>IFERROR(__xludf.DUMMYFUNCTION("""COMPUTED_VALUE"""),"Jaime Tiro Encalada")</f>
        <v>Jaime Tiro Encalada</v>
      </c>
      <c r="F2243" s="65" t="str">
        <f>IFERROR(__xludf.DUMMYFUNCTION("""COMPUTED_VALUE"""),"959893367")</f>
        <v>959893367</v>
      </c>
      <c r="G2243" s="65"/>
      <c r="H2243" s="65"/>
      <c r="I2243" s="65"/>
      <c r="J2243" s="65" t="str">
        <f>IFERROR(__xludf.DUMMYFUNCTION("""COMPUTED_VALUE"""),"186950216")</f>
        <v>186950216</v>
      </c>
      <c r="K2243" s="65" t="str">
        <f>IFERROR(__xludf.DUMMYFUNCTION("""COMPUTED_VALUE"""),"ENTREGADO")</f>
        <v>ENTREGADO</v>
      </c>
      <c r="L2243" s="65" t="str">
        <f>IFERROR(__xludf.DUMMYFUNCTION("""COMPUTED_VALUE"""),"CON RECAUDO")</f>
        <v>CON RECAUDO</v>
      </c>
      <c r="M2243" s="65" t="str">
        <f>IFERROR(__xludf.DUMMYFUNCTION("""COMPUTED_VALUE"""),"LOJA")</f>
        <v>LOJA</v>
      </c>
      <c r="N2243" s="65" t="str">
        <f>IFERROR(__xludf.DUMMYFUNCTION("""COMPUTED_VALUE"""),"ALAMOR")</f>
        <v>ALAMOR</v>
      </c>
      <c r="O2243" s="65" t="str">
        <f>IFERROR(__xludf.DUMMYFUNCTION("""COMPUTED_VALUE"""),"CS: ALAMOR_ALAMOR_CANONIGO / SIMON BOLIVAR Y CANONIGO AGUIRRE")</f>
        <v>CS: ALAMOR_ALAMOR_CANONIGO / SIMON BOLIVAR Y CANONIGO AGUIRRE</v>
      </c>
      <c r="P2243" s="65" t="str">
        <f>IFERROR(__xludf.DUMMYFUNCTION("""COMPUTED_VALUE"""),"(SERVIENTREGA) CS: ALAMOR_ALAMOR_CANONIGO / SIMON BOLIVAR Y CANONIGO AGUIRRE")</f>
        <v>(SERVIENTREGA) CS: ALAMOR_ALAMOR_CANONIGO / SIMON BOLIVAR Y CANONIGO AGUIRRE</v>
      </c>
      <c r="Q2243" s="65" t="str">
        <f>IFERROR(__xludf.DUMMYFUNCTION("""COMPUTED_VALUE"""),"SERVIENTREGA")</f>
        <v>SERVIENTREGA</v>
      </c>
      <c r="R2243" s="65">
        <f>IFERROR(__xludf.DUMMYFUNCTION("""COMPUTED_VALUE"""),25.0)</f>
        <v>25</v>
      </c>
      <c r="S2243" s="65">
        <f>IFERROR(__xludf.DUMMYFUNCTION("""COMPUTED_VALUE"""),12.55)</f>
        <v>12.55</v>
      </c>
      <c r="T2243" s="65">
        <f>IFERROR(__xludf.DUMMYFUNCTION("""COMPUTED_VALUE"""),7.75)</f>
        <v>7.75</v>
      </c>
      <c r="U2243" s="65">
        <f>IFERROR(__xludf.DUMMYFUNCTION("""COMPUTED_VALUE"""),0.0)</f>
        <v>0</v>
      </c>
      <c r="V2243" s="65">
        <f>IFERROR(__xludf.DUMMYFUNCTION("""COMPUTED_VALUE"""),0.0)</f>
        <v>0</v>
      </c>
      <c r="W2243" s="65">
        <f>IFERROR(__xludf.DUMMYFUNCTION("""COMPUTED_VALUE"""),0.0)</f>
        <v>0</v>
      </c>
      <c r="X2243" s="65">
        <f>IFERROR(__xludf.DUMMYFUNCTION("""COMPUTED_VALUE"""),2.35)</f>
        <v>2.35</v>
      </c>
      <c r="Y2243" s="65">
        <f>IFERROR(__xludf.DUMMYFUNCTION("""COMPUTED_VALUE"""),4.7)</f>
        <v>4.7</v>
      </c>
      <c r="Z2243" s="65">
        <f>IFERROR(__xludf.DUMMYFUNCTION("""COMPUTED_VALUE"""),116679.0)</f>
        <v>116679</v>
      </c>
      <c r="AA2243" s="65" t="str">
        <f>IFERROR(__xludf.DUMMYFUNCTION("""COMPUTED_VALUE"""),"AMC-2738")</f>
        <v>AMC-2738</v>
      </c>
      <c r="AB2243" s="65"/>
      <c r="AC2243" s="65" t="str">
        <f>IFERROR(__xludf.DUMMYFUNCTION("""COMPUTED_VALUE"""),"ESPONJA ANTILLUVIA DE PARABRISAS")</f>
        <v>ESPONJA ANTILLUVIA DE PARABRISAS</v>
      </c>
      <c r="AD2243" s="65"/>
      <c r="AE2243" s="65">
        <f>IFERROR(__xludf.DUMMYFUNCTION("""COMPUTED_VALUE"""),2.0)</f>
        <v>2</v>
      </c>
      <c r="AF2243" s="65"/>
      <c r="AG2243" s="65"/>
      <c r="AH2243" s="65"/>
      <c r="AI2243" s="65"/>
      <c r="AJ2243" s="65"/>
      <c r="AK2243" s="65"/>
      <c r="AL2243" s="65"/>
      <c r="AM2243" s="65"/>
      <c r="AN2243" s="65" t="str">
        <f>IFERROR(__xludf.DUMMYFUNCTION("""COMPUTED_VALUE"""),"13:03")</f>
        <v>13:03</v>
      </c>
      <c r="AO2243" s="65" t="str">
        <f>IFERROR(__xludf.DUMMYFUNCTION("""COMPUTED_VALUE"""),"02-02-2026")</f>
        <v>02-02-2026</v>
      </c>
      <c r="AP2243" s="65" t="str">
        <f>IFERROR(__xludf.DUMMYFUNCTION("""COMPUTED_VALUE"""),"ENTREGA DIGITALIZADA EN CENTRO LOGISTICO")</f>
        <v>ENTREGA DIGITALIZADA EN CENTRO LOGISTICO</v>
      </c>
      <c r="AQ2243" s="65" t="str">
        <f>IFERROR(__xludf.DUMMYFUNCTION("""COMPUTED_VALUE"""),"JAIME ENCALADA")</f>
        <v>JAIME ENCALADA</v>
      </c>
      <c r="AR2243" s="65"/>
      <c r="AS2243" s="65" t="str">
        <f>IFERROR(__xludf.DUMMYFUNCTION("""COMPUTED_VALUE"""),"Bayron Gomez")</f>
        <v>Bayron Gomez</v>
      </c>
      <c r="AT2243" s="65"/>
      <c r="AU2243" s="65"/>
      <c r="AV2243" s="65"/>
      <c r="AW2243" s="65"/>
      <c r="AX2243" s="65"/>
      <c r="AY2243" s="65" t="str">
        <f>IFERROR(__xludf.DUMMYFUNCTION("""COMPUTED_VALUE"""),"09/01/2026")</f>
        <v>09/01/2026</v>
      </c>
      <c r="AZ2243" s="65"/>
      <c r="BA2243" s="65"/>
    </row>
    <row r="2244">
      <c r="A2244" s="65" t="str">
        <f>IFERROR(__xludf.DUMMYFUNCTION("""COMPUTED_VALUE"""),"27-03-2026")</f>
        <v>27-03-2026</v>
      </c>
      <c r="B2244" s="65">
        <f>IFERROR(__xludf.DUMMYFUNCTION("""COMPUTED_VALUE"""),4068764.0)</f>
        <v>4068764</v>
      </c>
      <c r="C2244" s="65" t="str">
        <f>IFERROR(__xludf.DUMMYFUNCTION("""COMPUTED_VALUE"""),"11:53")</f>
        <v>11:53</v>
      </c>
      <c r="D2244" s="65" t="str">
        <f>IFERROR(__xludf.DUMMYFUNCTION("""COMPUTED_VALUE"""),"08-01-2026")</f>
        <v>08-01-2026</v>
      </c>
      <c r="E2244" s="65" t="str">
        <f>IFERROR(__xludf.DUMMYFUNCTION("""COMPUTED_VALUE"""),"Vicente Miguel Albán Muñoz")</f>
        <v>Vicente Miguel Albán Muñoz</v>
      </c>
      <c r="F2244" s="65" t="str">
        <f>IFERROR(__xludf.DUMMYFUNCTION("""COMPUTED_VALUE"""),"995456838")</f>
        <v>995456838</v>
      </c>
      <c r="G2244" s="65"/>
      <c r="H2244" s="65"/>
      <c r="I2244" s="65"/>
      <c r="J2244" s="65" t="str">
        <f>IFERROR(__xludf.DUMMYFUNCTION("""COMPUTED_VALUE"""),"D001204689")</f>
        <v>D001204689</v>
      </c>
      <c r="K2244" s="65" t="str">
        <f>IFERROR(__xludf.DUMMYFUNCTION("""COMPUTED_VALUE"""),"ENTREGADO")</f>
        <v>ENTREGADO</v>
      </c>
      <c r="L2244" s="65" t="str">
        <f>IFERROR(__xludf.DUMMYFUNCTION("""COMPUTED_VALUE"""),"CON RECAUDO")</f>
        <v>CON RECAUDO</v>
      </c>
      <c r="M2244" s="65" t="str">
        <f>IFERROR(__xludf.DUMMYFUNCTION("""COMPUTED_VALUE"""),"NAPO")</f>
        <v>NAPO</v>
      </c>
      <c r="N2244" s="65" t="str">
        <f>IFERROR(__xludf.DUMMYFUNCTION("""COMPUTED_VALUE"""),"TENA")</f>
        <v>TENA</v>
      </c>
      <c r="O2244" s="65" t="str">
        <f>IFERROR(__xludf.DUMMYFUNCTION("""COMPUTED_VALUE"""),"TENA - Sector El Uglo - Av. Antonio Vallejo - Ref. Distribuidora Ramasan")</f>
        <v>TENA - Sector El Uglo - Av. Antonio Vallejo - Ref. Distribuidora Ramasan</v>
      </c>
      <c r="P2244" s="65"/>
      <c r="Q2244" s="65" t="str">
        <f>IFERROR(__xludf.DUMMYFUNCTION("""COMPUTED_VALUE"""),"GINTRACOM")</f>
        <v>GINTRACOM</v>
      </c>
      <c r="R2244" s="65">
        <f>IFERROR(__xludf.DUMMYFUNCTION("""COMPUTED_VALUE"""),30.0)</f>
        <v>30</v>
      </c>
      <c r="S2244" s="65">
        <f>IFERROR(__xludf.DUMMYFUNCTION("""COMPUTED_VALUE"""),8.84)</f>
        <v>8.84</v>
      </c>
      <c r="T2244" s="65">
        <f>IFERROR(__xludf.DUMMYFUNCTION("""COMPUTED_VALUE"""),6.16)</f>
        <v>6.16</v>
      </c>
      <c r="U2244" s="65">
        <f>IFERROR(__xludf.DUMMYFUNCTION("""COMPUTED_VALUE"""),0.0)</f>
        <v>0</v>
      </c>
      <c r="V2244" s="65">
        <f>IFERROR(__xludf.DUMMYFUNCTION("""COMPUTED_VALUE"""),0.0)</f>
        <v>0</v>
      </c>
      <c r="W2244" s="65">
        <f>IFERROR(__xludf.DUMMYFUNCTION("""COMPUTED_VALUE"""),0.0)</f>
        <v>0</v>
      </c>
      <c r="X2244" s="65">
        <f>IFERROR(__xludf.DUMMYFUNCTION("""COMPUTED_VALUE"""),5.0)</f>
        <v>5</v>
      </c>
      <c r="Y2244" s="65">
        <f>IFERROR(__xludf.DUMMYFUNCTION("""COMPUTED_VALUE"""),15.0)</f>
        <v>15</v>
      </c>
      <c r="Z2244" s="65">
        <f>IFERROR(__xludf.DUMMYFUNCTION("""COMPUTED_VALUE"""),110064.0)</f>
        <v>110064</v>
      </c>
      <c r="AA2244" s="65" t="str">
        <f>IFERROR(__xludf.DUMMYFUNCTION("""COMPUTED_VALUE"""),"IMX-00001")</f>
        <v>IMX-00001</v>
      </c>
      <c r="AB2244" s="65"/>
      <c r="AC2244" s="65" t="str">
        <f>IFERROR(__xludf.DUMMYFUNCTION("""COMPUTED_VALUE"""),"LLAVE TRINQUETE")</f>
        <v>LLAVE TRINQUETE</v>
      </c>
      <c r="AD2244" s="65"/>
      <c r="AE2244" s="65">
        <f>IFERROR(__xludf.DUMMYFUNCTION("""COMPUTED_VALUE"""),3.0)</f>
        <v>3</v>
      </c>
      <c r="AF2244" s="65"/>
      <c r="AG2244" s="65"/>
      <c r="AH2244" s="65"/>
      <c r="AI2244" s="65"/>
      <c r="AJ2244" s="65"/>
      <c r="AK2244" s="65"/>
      <c r="AL2244" s="65"/>
      <c r="AM2244" s="65"/>
      <c r="AN2244" s="65" t="str">
        <f>IFERROR(__xludf.DUMMYFUNCTION("""COMPUTED_VALUE"""),"15:14")</f>
        <v>15:14</v>
      </c>
      <c r="AO2244" s="65" t="str">
        <f>IFERROR(__xludf.DUMMYFUNCTION("""COMPUTED_VALUE"""),"12-01-2026")</f>
        <v>12-01-2026</v>
      </c>
      <c r="AP2244" s="65" t="str">
        <f>IFERROR(__xludf.DUMMYFUNCTION("""COMPUTED_VALUE"""),"ENTREGADA GINTRACOM")</f>
        <v>ENTREGADA GINTRACOM</v>
      </c>
      <c r="AQ2244" s="65" t="str">
        <f>IFERROR(__xludf.DUMMYFUNCTION("""COMPUTED_VALUE"""),"ENTREGADA GINTRACOM")</f>
        <v>ENTREGADA GINTRACOM</v>
      </c>
      <c r="AR2244" s="65"/>
      <c r="AS2244" s="65" t="str">
        <f>IFERROR(__xludf.DUMMYFUNCTION("""COMPUTED_VALUE"""),"Bayron Gomez")</f>
        <v>Bayron Gomez</v>
      </c>
      <c r="AT2244" s="65"/>
      <c r="AU2244" s="65"/>
      <c r="AV2244" s="65"/>
      <c r="AW2244" s="65"/>
      <c r="AX2244" s="65"/>
      <c r="AY2244" s="65" t="str">
        <f>IFERROR(__xludf.DUMMYFUNCTION("""COMPUTED_VALUE"""),"09/01/2026")</f>
        <v>09/01/2026</v>
      </c>
      <c r="AZ2244" s="65"/>
      <c r="BA2244" s="65"/>
    </row>
    <row r="2245">
      <c r="A2245" s="65" t="str">
        <f>IFERROR(__xludf.DUMMYFUNCTION("""COMPUTED_VALUE"""),"27-03-2026")</f>
        <v>27-03-2026</v>
      </c>
      <c r="B2245" s="65">
        <f>IFERROR(__xludf.DUMMYFUNCTION("""COMPUTED_VALUE"""),4068625.0)</f>
        <v>4068625</v>
      </c>
      <c r="C2245" s="65" t="str">
        <f>IFERROR(__xludf.DUMMYFUNCTION("""COMPUTED_VALUE"""),"11:43")</f>
        <v>11:43</v>
      </c>
      <c r="D2245" s="65" t="str">
        <f>IFERROR(__xludf.DUMMYFUNCTION("""COMPUTED_VALUE"""),"08-01-2026")</f>
        <v>08-01-2026</v>
      </c>
      <c r="E2245" s="65" t="str">
        <f>IFERROR(__xludf.DUMMYFUNCTION("""COMPUTED_VALUE"""),"Juan Chimborazo")</f>
        <v>Juan Chimborazo</v>
      </c>
      <c r="F2245" s="65" t="str">
        <f>IFERROR(__xludf.DUMMYFUNCTION("""COMPUTED_VALUE"""),"986396141")</f>
        <v>986396141</v>
      </c>
      <c r="G2245" s="65"/>
      <c r="H2245" s="65"/>
      <c r="I2245" s="65"/>
      <c r="J2245" s="65" t="str">
        <f>IFERROR(__xludf.DUMMYFUNCTION("""COMPUTED_VALUE"""),"D001204691")</f>
        <v>D001204691</v>
      </c>
      <c r="K2245" s="65" t="str">
        <f>IFERROR(__xludf.DUMMYFUNCTION("""COMPUTED_VALUE"""),"DEVOLUCION")</f>
        <v>DEVOLUCION</v>
      </c>
      <c r="L2245" s="65" t="str">
        <f>IFERROR(__xludf.DUMMYFUNCTION("""COMPUTED_VALUE"""),"CON RECAUDO")</f>
        <v>CON RECAUDO</v>
      </c>
      <c r="M2245" s="65" t="str">
        <f>IFERROR(__xludf.DUMMYFUNCTION("""COMPUTED_VALUE"""),"CAÑAR")</f>
        <v>CAÑAR</v>
      </c>
      <c r="N2245" s="65" t="str">
        <f>IFERROR(__xludf.DUMMYFUNCTION("""COMPUTED_VALUE"""),"CAÑAR")</f>
        <v>CAÑAR</v>
      </c>
      <c r="O2245" s="65" t="str">
        <f>IFERROR(__xludf.DUMMYFUNCTION("""COMPUTED_VALUE"""),"Sector El Tambo - AV. Troncal de la Sierra y Calle Ramón Borrero - Ref. Frente a Farmacias Económicas, Parada de Taxis Transbañinca")</f>
        <v>Sector El Tambo - AV. Troncal de la Sierra y Calle Ramón Borrero - Ref. Frente a Farmacias Económicas, Parada de Taxis Transbañinca</v>
      </c>
      <c r="P2245" s="65"/>
      <c r="Q2245" s="65" t="str">
        <f>IFERROR(__xludf.DUMMYFUNCTION("""COMPUTED_VALUE"""),"GINTRACOM")</f>
        <v>GINTRACOM</v>
      </c>
      <c r="R2245" s="65">
        <f>IFERROR(__xludf.DUMMYFUNCTION("""COMPUTED_VALUE"""),20.0)</f>
        <v>20</v>
      </c>
      <c r="S2245" s="65"/>
      <c r="T2245" s="65">
        <f>IFERROR(__xludf.DUMMYFUNCTION("""COMPUTED_VALUE"""),5.76)</f>
        <v>5.76</v>
      </c>
      <c r="U2245" s="65">
        <f>IFERROR(__xludf.DUMMYFUNCTION("""COMPUTED_VALUE"""),0.0)</f>
        <v>0</v>
      </c>
      <c r="V2245" s="65">
        <f>IFERROR(__xludf.DUMMYFUNCTION("""COMPUTED_VALUE"""),0.0)</f>
        <v>0</v>
      </c>
      <c r="W2245" s="65">
        <f>IFERROR(__xludf.DUMMYFUNCTION("""COMPUTED_VALUE"""),0.0)</f>
        <v>0</v>
      </c>
      <c r="X2245" s="65">
        <f>IFERROR(__xludf.DUMMYFUNCTION("""COMPUTED_VALUE"""),5.0)</f>
        <v>5</v>
      </c>
      <c r="Y2245" s="65">
        <f>IFERROR(__xludf.DUMMYFUNCTION("""COMPUTED_VALUE"""),5.0)</f>
        <v>5</v>
      </c>
      <c r="Z2245" s="65">
        <f>IFERROR(__xludf.DUMMYFUNCTION("""COMPUTED_VALUE"""),110064.0)</f>
        <v>110064</v>
      </c>
      <c r="AA2245" s="65" t="str">
        <f>IFERROR(__xludf.DUMMYFUNCTION("""COMPUTED_VALUE"""),"IMX-00001")</f>
        <v>IMX-00001</v>
      </c>
      <c r="AB2245" s="65"/>
      <c r="AC2245" s="65" t="str">
        <f>IFERROR(__xludf.DUMMYFUNCTION("""COMPUTED_VALUE"""),"LLAVE TRINQUETE")</f>
        <v>LLAVE TRINQUETE</v>
      </c>
      <c r="AD2245" s="65"/>
      <c r="AE2245" s="65">
        <f>IFERROR(__xludf.DUMMYFUNCTION("""COMPUTED_VALUE"""),1.0)</f>
        <v>1</v>
      </c>
      <c r="AF2245" s="65" t="str">
        <f>IFERROR(__xludf.DUMMYFUNCTION("""COMPUTED_VALUE"""),"DESTINATARIO NO CONTESTA LLAMADAS NI WHATSAPP")</f>
        <v>DESTINATARIO NO CONTESTA LLAMADAS NI WHATSAPP</v>
      </c>
      <c r="AG2245" s="65" t="str">
        <f>IFERROR(__xludf.DUMMYFUNCTION("""COMPUTED_VALUE"""),"NO")</f>
        <v>NO</v>
      </c>
      <c r="AH2245" s="65" t="str">
        <f>IFERROR(__xludf.DUMMYFUNCTION("""COMPUTED_VALUE"""),"09:00")</f>
        <v>09:00</v>
      </c>
      <c r="AI2245" s="65" t="str">
        <f>IFERROR(__xludf.DUMMYFUNCTION("""COMPUTED_VALUE"""),"18-01-2026")</f>
        <v>18-01-2026</v>
      </c>
      <c r="AJ2245" s="65"/>
      <c r="AK2245" s="65"/>
      <c r="AL2245" s="65"/>
      <c r="AM2245" s="65"/>
      <c r="AN2245" s="65" t="str">
        <f>IFERROR(__xludf.DUMMYFUNCTION("""COMPUTED_VALUE"""),"01:33")</f>
        <v>01:33</v>
      </c>
      <c r="AO2245" s="65" t="str">
        <f>IFERROR(__xludf.DUMMYFUNCTION("""COMPUTED_VALUE"""),"21-01-2026")</f>
        <v>21-01-2026</v>
      </c>
      <c r="AP2245" s="65" t="str">
        <f>IFERROR(__xludf.DUMMYFUNCTION("""COMPUTED_VALUE"""),"DEVOLUCIÓN")</f>
        <v>DEVOLUCIÓN</v>
      </c>
      <c r="AQ2245" s="65" t="str">
        <f>IFERROR(__xludf.DUMMYFUNCTION("""COMPUTED_VALUE"""),"DEVOLUCIÓN")</f>
        <v>DEVOLUCIÓN</v>
      </c>
      <c r="AR2245" s="65"/>
      <c r="AS2245" s="65" t="str">
        <f>IFERROR(__xludf.DUMMYFUNCTION("""COMPUTED_VALUE"""),"Bayron Gomez")</f>
        <v>Bayron Gomez</v>
      </c>
      <c r="AT2245" s="65"/>
      <c r="AU2245" s="65"/>
      <c r="AV2245" s="65"/>
      <c r="AW2245" s="65"/>
      <c r="AX2245" s="65"/>
      <c r="AY2245" s="65" t="str">
        <f>IFERROR(__xludf.DUMMYFUNCTION("""COMPUTED_VALUE"""),"09/01/2026")</f>
        <v>09/01/2026</v>
      </c>
      <c r="AZ2245" s="65"/>
      <c r="BA2245" s="65"/>
    </row>
    <row r="2246">
      <c r="A2246" s="65" t="str">
        <f>IFERROR(__xludf.DUMMYFUNCTION("""COMPUTED_VALUE"""),"27-03-2026")</f>
        <v>27-03-2026</v>
      </c>
      <c r="B2246" s="65">
        <f>IFERROR(__xludf.DUMMYFUNCTION("""COMPUTED_VALUE"""),4068246.0)</f>
        <v>4068246</v>
      </c>
      <c r="C2246" s="65" t="str">
        <f>IFERROR(__xludf.DUMMYFUNCTION("""COMPUTED_VALUE"""),"11:14")</f>
        <v>11:14</v>
      </c>
      <c r="D2246" s="65" t="str">
        <f>IFERROR(__xludf.DUMMYFUNCTION("""COMPUTED_VALUE"""),"08-01-2026")</f>
        <v>08-01-2026</v>
      </c>
      <c r="E2246" s="65" t="str">
        <f>IFERROR(__xludf.DUMMYFUNCTION("""COMPUTED_VALUE"""),"Washington Díaz")</f>
        <v>Washington Díaz</v>
      </c>
      <c r="F2246" s="65" t="str">
        <f>IFERROR(__xludf.DUMMYFUNCTION("""COMPUTED_VALUE"""),"986346840")</f>
        <v>986346840</v>
      </c>
      <c r="G2246" s="65"/>
      <c r="H2246" s="65"/>
      <c r="I2246" s="65"/>
      <c r="J2246" s="65"/>
      <c r="K2246" s="65" t="str">
        <f>IFERROR(__xludf.DUMMYFUNCTION("""COMPUTED_VALUE"""),"CANCELADO")</f>
        <v>CANCELADO</v>
      </c>
      <c r="L2246" s="65" t="str">
        <f>IFERROR(__xludf.DUMMYFUNCTION("""COMPUTED_VALUE"""),"CON RECAUDO")</f>
        <v>CON RECAUDO</v>
      </c>
      <c r="M2246" s="65" t="str">
        <f>IFERROR(__xludf.DUMMYFUNCTION("""COMPUTED_VALUE"""),"GUAYAS")</f>
        <v>GUAYAS</v>
      </c>
      <c r="N2246" s="65" t="str">
        <f>IFERROR(__xludf.DUMMYFUNCTION("""COMPUTED_VALUE"""),"CHONGON")</f>
        <v>CHONGON</v>
      </c>
      <c r="O2246" s="65" t="str">
        <f>IFERROR(__xludf.DUMMYFUNCTION("""COMPUTED_VALUE"""),"CS: GUAYAQUIL_CHONGON / KM 24 VIA A LA COSTA SAN GREGORIO 2 MZ 458 V1")</f>
        <v>CS: GUAYAQUIL_CHONGON / KM 24 VIA A LA COSTA SAN GREGORIO 2 MZ 458 V1</v>
      </c>
      <c r="P2246" s="65"/>
      <c r="Q2246" s="65" t="str">
        <f>IFERROR(__xludf.DUMMYFUNCTION("""COMPUTED_VALUE"""),"SERVIENTREGA")</f>
        <v>SERVIENTREGA</v>
      </c>
      <c r="R2246" s="65">
        <f>IFERROR(__xludf.DUMMYFUNCTION("""COMPUTED_VALUE"""),22.0)</f>
        <v>22</v>
      </c>
      <c r="S2246" s="65"/>
      <c r="T2246" s="65">
        <f>IFERROR(__xludf.DUMMYFUNCTION("""COMPUTED_VALUE"""),6.26)</f>
        <v>6.26</v>
      </c>
      <c r="U2246" s="65">
        <f>IFERROR(__xludf.DUMMYFUNCTION("""COMPUTED_VALUE"""),0.0)</f>
        <v>0</v>
      </c>
      <c r="V2246" s="65">
        <f>IFERROR(__xludf.DUMMYFUNCTION("""COMPUTED_VALUE"""),0.0)</f>
        <v>0</v>
      </c>
      <c r="W2246" s="65">
        <f>IFERROR(__xludf.DUMMYFUNCTION("""COMPUTED_VALUE"""),0.0)</f>
        <v>0</v>
      </c>
      <c r="X2246" s="65">
        <f>IFERROR(__xludf.DUMMYFUNCTION("""COMPUTED_VALUE"""),5.0)</f>
        <v>5</v>
      </c>
      <c r="Y2246" s="65">
        <f>IFERROR(__xludf.DUMMYFUNCTION("""COMPUTED_VALUE"""),5.0)</f>
        <v>5</v>
      </c>
      <c r="Z2246" s="65">
        <f>IFERROR(__xludf.DUMMYFUNCTION("""COMPUTED_VALUE"""),110064.0)</f>
        <v>110064</v>
      </c>
      <c r="AA2246" s="65" t="str">
        <f>IFERROR(__xludf.DUMMYFUNCTION("""COMPUTED_VALUE"""),"IMX-00001")</f>
        <v>IMX-00001</v>
      </c>
      <c r="AB2246" s="65"/>
      <c r="AC2246" s="65" t="str">
        <f>IFERROR(__xludf.DUMMYFUNCTION("""COMPUTED_VALUE"""),"LLAVE TRINQUETE")</f>
        <v>LLAVE TRINQUETE</v>
      </c>
      <c r="AD2246" s="65"/>
      <c r="AE2246" s="65">
        <f>IFERROR(__xludf.DUMMYFUNCTION("""COMPUTED_VALUE"""),1.0)</f>
        <v>1</v>
      </c>
      <c r="AF2246" s="65"/>
      <c r="AG2246" s="65"/>
      <c r="AH2246" s="65"/>
      <c r="AI2246" s="65"/>
      <c r="AJ2246" s="65"/>
      <c r="AK2246" s="65"/>
      <c r="AL2246" s="65"/>
      <c r="AM2246" s="65"/>
      <c r="AN2246" s="65"/>
      <c r="AO2246" s="65"/>
      <c r="AP2246" s="65"/>
      <c r="AQ2246" s="65"/>
      <c r="AR2246" s="65"/>
      <c r="AS2246" s="65" t="str">
        <f>IFERROR(__xludf.DUMMYFUNCTION("""COMPUTED_VALUE"""),"Bayron Gomez")</f>
        <v>Bayron Gomez</v>
      </c>
      <c r="AT2246" s="65"/>
      <c r="AU2246" s="65"/>
      <c r="AV2246" s="65"/>
      <c r="AW2246" s="65"/>
      <c r="AX2246" s="65"/>
      <c r="AY2246" s="65"/>
      <c r="AZ2246" s="65"/>
      <c r="BA2246" s="65"/>
    </row>
    <row r="2247">
      <c r="A2247" s="65" t="str">
        <f>IFERROR(__xludf.DUMMYFUNCTION("""COMPUTED_VALUE"""),"27-03-2026")</f>
        <v>27-03-2026</v>
      </c>
      <c r="B2247" s="65">
        <f>IFERROR(__xludf.DUMMYFUNCTION("""COMPUTED_VALUE"""),4068157.0)</f>
        <v>4068157</v>
      </c>
      <c r="C2247" s="65" t="str">
        <f>IFERROR(__xludf.DUMMYFUNCTION("""COMPUTED_VALUE"""),"11:07")</f>
        <v>11:07</v>
      </c>
      <c r="D2247" s="65" t="str">
        <f>IFERROR(__xludf.DUMMYFUNCTION("""COMPUTED_VALUE"""),"08-01-2026")</f>
        <v>08-01-2026</v>
      </c>
      <c r="E2247" s="65" t="str">
        <f>IFERROR(__xludf.DUMMYFUNCTION("""COMPUTED_VALUE"""),"Klever Eduardo Cedeño Párraga")</f>
        <v>Klever Eduardo Cedeño Párraga</v>
      </c>
      <c r="F2247" s="65" t="str">
        <f>IFERROR(__xludf.DUMMYFUNCTION("""COMPUTED_VALUE"""),"979559960")</f>
        <v>979559960</v>
      </c>
      <c r="G2247" s="65"/>
      <c r="H2247" s="65"/>
      <c r="I2247" s="65"/>
      <c r="J2247" s="65" t="str">
        <f>IFERROR(__xludf.DUMMYFUNCTION("""COMPUTED_VALUE"""),"186944663")</f>
        <v>186944663</v>
      </c>
      <c r="K2247" s="65" t="str">
        <f>IFERROR(__xludf.DUMMYFUNCTION("""COMPUTED_VALUE"""),"ENTREGADO")</f>
        <v>ENTREGADO</v>
      </c>
      <c r="L2247" s="65" t="str">
        <f>IFERROR(__xludf.DUMMYFUNCTION("""COMPUTED_VALUE"""),"CON RECAUDO")</f>
        <v>CON RECAUDO</v>
      </c>
      <c r="M2247" s="65" t="str">
        <f>IFERROR(__xludf.DUMMYFUNCTION("""COMPUTED_VALUE"""),"ESMERALDAS")</f>
        <v>ESMERALDAS</v>
      </c>
      <c r="N2247" s="65" t="str">
        <f>IFERROR(__xludf.DUMMYFUNCTION("""COMPUTED_VALUE"""),"QUININDE")</f>
        <v>QUININDE</v>
      </c>
      <c r="O2247" s="65" t="str">
        <f>IFERROR(__xludf.DUMMYFUNCTION("""COMPUTED_VALUE"""),"CS: QUININDE_PRINCIPAL / AV. 6 DE DICIEMBRE S/N Y GUSTAVO BECERRA")</f>
        <v>CS: QUININDE_PRINCIPAL / AV. 6 DE DICIEMBRE S/N Y GUSTAVO BECERRA</v>
      </c>
      <c r="P2247" s="65"/>
      <c r="Q2247" s="65" t="str">
        <f>IFERROR(__xludf.DUMMYFUNCTION("""COMPUTED_VALUE"""),"SERVIENTREGA")</f>
        <v>SERVIENTREGA</v>
      </c>
      <c r="R2247" s="65">
        <f>IFERROR(__xludf.DUMMYFUNCTION("""COMPUTED_VALUE"""),25.0)</f>
        <v>25</v>
      </c>
      <c r="S2247" s="65">
        <f>IFERROR(__xludf.DUMMYFUNCTION("""COMPUTED_VALUE"""),12.55)</f>
        <v>12.55</v>
      </c>
      <c r="T2247" s="65">
        <f>IFERROR(__xludf.DUMMYFUNCTION("""COMPUTED_VALUE"""),7.75)</f>
        <v>7.75</v>
      </c>
      <c r="U2247" s="65">
        <f>IFERROR(__xludf.DUMMYFUNCTION("""COMPUTED_VALUE"""),0.0)</f>
        <v>0</v>
      </c>
      <c r="V2247" s="65">
        <f>IFERROR(__xludf.DUMMYFUNCTION("""COMPUTED_VALUE"""),0.0)</f>
        <v>0</v>
      </c>
      <c r="W2247" s="65">
        <f>IFERROR(__xludf.DUMMYFUNCTION("""COMPUTED_VALUE"""),0.0)</f>
        <v>0</v>
      </c>
      <c r="X2247" s="65">
        <f>IFERROR(__xludf.DUMMYFUNCTION("""COMPUTED_VALUE"""),2.35)</f>
        <v>2.35</v>
      </c>
      <c r="Y2247" s="65">
        <f>IFERROR(__xludf.DUMMYFUNCTION("""COMPUTED_VALUE"""),4.7)</f>
        <v>4.7</v>
      </c>
      <c r="Z2247" s="65">
        <f>IFERROR(__xludf.DUMMYFUNCTION("""COMPUTED_VALUE"""),116679.0)</f>
        <v>116679</v>
      </c>
      <c r="AA2247" s="65" t="str">
        <f>IFERROR(__xludf.DUMMYFUNCTION("""COMPUTED_VALUE"""),"AMC-2738")</f>
        <v>AMC-2738</v>
      </c>
      <c r="AB2247" s="65"/>
      <c r="AC2247" s="65" t="str">
        <f>IFERROR(__xludf.DUMMYFUNCTION("""COMPUTED_VALUE"""),"ESPONJA ANTILLUVIA DE PARABRISAS")</f>
        <v>ESPONJA ANTILLUVIA DE PARABRISAS</v>
      </c>
      <c r="AD2247" s="65"/>
      <c r="AE2247" s="65">
        <f>IFERROR(__xludf.DUMMYFUNCTION("""COMPUTED_VALUE"""),2.0)</f>
        <v>2</v>
      </c>
      <c r="AF2247" s="65"/>
      <c r="AG2247" s="65"/>
      <c r="AH2247" s="65"/>
      <c r="AI2247" s="65"/>
      <c r="AJ2247" s="65"/>
      <c r="AK2247" s="65"/>
      <c r="AL2247" s="65"/>
      <c r="AM2247" s="65"/>
      <c r="AN2247" s="65" t="str">
        <f>IFERROR(__xludf.DUMMYFUNCTION("""COMPUTED_VALUE"""),"13:58")</f>
        <v>13:58</v>
      </c>
      <c r="AO2247" s="65" t="str">
        <f>IFERROR(__xludf.DUMMYFUNCTION("""COMPUTED_VALUE"""),"28-01-2026")</f>
        <v>28-01-2026</v>
      </c>
      <c r="AP2247" s="65" t="str">
        <f>IFERROR(__xludf.DUMMYFUNCTION("""COMPUTED_VALUE"""),"ENTREGA DIGITALIZADA EN CENTRO LOGISTICO")</f>
        <v>ENTREGA DIGITALIZADA EN CENTRO LOGISTICO</v>
      </c>
      <c r="AQ2247" s="65" t="str">
        <f>IFERROR(__xludf.DUMMYFUNCTION("""COMPUTED_VALUE"""),"JACINTA CANTOS")</f>
        <v>JACINTA CANTOS</v>
      </c>
      <c r="AR2247" s="65"/>
      <c r="AS2247" s="65" t="str">
        <f>IFERROR(__xludf.DUMMYFUNCTION("""COMPUTED_VALUE"""),"Bayron Gomez")</f>
        <v>Bayron Gomez</v>
      </c>
      <c r="AT2247" s="65"/>
      <c r="AU2247" s="65"/>
      <c r="AV2247" s="65"/>
      <c r="AW2247" s="65"/>
      <c r="AX2247" s="65"/>
      <c r="AY2247" s="65" t="str">
        <f>IFERROR(__xludf.DUMMYFUNCTION("""COMPUTED_VALUE"""),"08/01/2026")</f>
        <v>08/01/2026</v>
      </c>
      <c r="AZ2247" s="65"/>
      <c r="BA2247" s="65"/>
    </row>
    <row r="2248">
      <c r="A2248" s="65" t="str">
        <f>IFERROR(__xludf.DUMMYFUNCTION("""COMPUTED_VALUE"""),"27-03-2026")</f>
        <v>27-03-2026</v>
      </c>
      <c r="B2248" s="65">
        <f>IFERROR(__xludf.DUMMYFUNCTION("""COMPUTED_VALUE"""),4067863.0)</f>
        <v>4067863</v>
      </c>
      <c r="C2248" s="65" t="str">
        <f>IFERROR(__xludf.DUMMYFUNCTION("""COMPUTED_VALUE"""),"10:46")</f>
        <v>10:46</v>
      </c>
      <c r="D2248" s="65" t="str">
        <f>IFERROR(__xludf.DUMMYFUNCTION("""COMPUTED_VALUE"""),"08-01-2026")</f>
        <v>08-01-2026</v>
      </c>
      <c r="E2248" s="65" t="str">
        <f>IFERROR(__xludf.DUMMYFUNCTION("""COMPUTED_VALUE"""),"Luis Álvaro Ricaurte Vélez")</f>
        <v>Luis Álvaro Ricaurte Vélez</v>
      </c>
      <c r="F2248" s="65" t="str">
        <f>IFERROR(__xludf.DUMMYFUNCTION("""COMPUTED_VALUE"""),"999299654")</f>
        <v>999299654</v>
      </c>
      <c r="G2248" s="65"/>
      <c r="H2248" s="65"/>
      <c r="I2248" s="65"/>
      <c r="J2248" s="65"/>
      <c r="K2248" s="65" t="str">
        <f>IFERROR(__xludf.DUMMYFUNCTION("""COMPUTED_VALUE"""),"PENDIENTE CONFIRMACION")</f>
        <v>PENDIENTE CONFIRMACION</v>
      </c>
      <c r="L2248" s="65" t="str">
        <f>IFERROR(__xludf.DUMMYFUNCTION("""COMPUTED_VALUE"""),"CON RECAUDO")</f>
        <v>CON RECAUDO</v>
      </c>
      <c r="M2248" s="65" t="str">
        <f>IFERROR(__xludf.DUMMYFUNCTION("""COMPUTED_VALUE"""),"MANABI")</f>
        <v>MANABI</v>
      </c>
      <c r="N2248" s="65" t="str">
        <f>IFERROR(__xludf.DUMMYFUNCTION("""COMPUTED_VALUE"""),"PEDERNALES")</f>
        <v>PEDERNALES</v>
      </c>
      <c r="O2248" s="65" t="str">
        <f>IFERROR(__xludf.DUMMYFUNCTION("""COMPUTED_VALUE"""),"CS: PEDERNALES_PRINCIPAL / GARCIA MORENO S/N Y MARIA AUXILIADORA")</f>
        <v>CS: PEDERNALES_PRINCIPAL / GARCIA MORENO S/N Y MARIA AUXILIADORA</v>
      </c>
      <c r="P2248" s="65"/>
      <c r="Q2248" s="65" t="str">
        <f>IFERROR(__xludf.DUMMYFUNCTION("""COMPUTED_VALUE"""),"SERVIENTREGA")</f>
        <v>SERVIENTREGA</v>
      </c>
      <c r="R2248" s="65">
        <f>IFERROR(__xludf.DUMMYFUNCTION("""COMPUTED_VALUE"""),30.0)</f>
        <v>30</v>
      </c>
      <c r="S2248" s="65"/>
      <c r="T2248" s="65">
        <f>IFERROR(__xludf.DUMMYFUNCTION("""COMPUTED_VALUE"""),7.82)</f>
        <v>7.82</v>
      </c>
      <c r="U2248" s="65">
        <f>IFERROR(__xludf.DUMMYFUNCTION("""COMPUTED_VALUE"""),0.0)</f>
        <v>0</v>
      </c>
      <c r="V2248" s="65">
        <f>IFERROR(__xludf.DUMMYFUNCTION("""COMPUTED_VALUE"""),0.0)</f>
        <v>0</v>
      </c>
      <c r="W2248" s="65">
        <f>IFERROR(__xludf.DUMMYFUNCTION("""COMPUTED_VALUE"""),0.0)</f>
        <v>0</v>
      </c>
      <c r="X2248" s="65">
        <f>IFERROR(__xludf.DUMMYFUNCTION("""COMPUTED_VALUE"""),2.35)</f>
        <v>2.35</v>
      </c>
      <c r="Y2248" s="65">
        <f>IFERROR(__xludf.DUMMYFUNCTION("""COMPUTED_VALUE"""),7.05)</f>
        <v>7.05</v>
      </c>
      <c r="Z2248" s="65">
        <f>IFERROR(__xludf.DUMMYFUNCTION("""COMPUTED_VALUE"""),116679.0)</f>
        <v>116679</v>
      </c>
      <c r="AA2248" s="65" t="str">
        <f>IFERROR(__xludf.DUMMYFUNCTION("""COMPUTED_VALUE"""),"AMC-2738")</f>
        <v>AMC-2738</v>
      </c>
      <c r="AB2248" s="65"/>
      <c r="AC2248" s="65" t="str">
        <f>IFERROR(__xludf.DUMMYFUNCTION("""COMPUTED_VALUE"""),"ESPONJA ANTILLUVIA DE PARABRISAS")</f>
        <v>ESPONJA ANTILLUVIA DE PARABRISAS</v>
      </c>
      <c r="AD2248" s="65"/>
      <c r="AE2248" s="65">
        <f>IFERROR(__xludf.DUMMYFUNCTION("""COMPUTED_VALUE"""),3.0)</f>
        <v>3</v>
      </c>
      <c r="AF2248" s="65"/>
      <c r="AG2248" s="65"/>
      <c r="AH2248" s="65"/>
      <c r="AI2248" s="65"/>
      <c r="AJ2248" s="65"/>
      <c r="AK2248" s="65"/>
      <c r="AL2248" s="65"/>
      <c r="AM2248" s="65"/>
      <c r="AN2248" s="65"/>
      <c r="AO2248" s="65"/>
      <c r="AP2248" s="65"/>
      <c r="AQ2248" s="65"/>
      <c r="AR2248" s="65"/>
      <c r="AS2248" s="65" t="str">
        <f>IFERROR(__xludf.DUMMYFUNCTION("""COMPUTED_VALUE"""),"Bayron Gomez")</f>
        <v>Bayron Gomez</v>
      </c>
      <c r="AT2248" s="65"/>
      <c r="AU2248" s="65"/>
      <c r="AV2248" s="65"/>
      <c r="AW2248" s="65"/>
      <c r="AX2248" s="65"/>
      <c r="AY2248" s="65"/>
      <c r="AZ2248" s="65"/>
      <c r="BA2248" s="65"/>
    </row>
    <row r="2249">
      <c r="A2249" s="65" t="str">
        <f>IFERROR(__xludf.DUMMYFUNCTION("""COMPUTED_VALUE"""),"27-03-2026")</f>
        <v>27-03-2026</v>
      </c>
      <c r="B2249" s="65">
        <f>IFERROR(__xludf.DUMMYFUNCTION("""COMPUTED_VALUE"""),4067753.0)</f>
        <v>4067753</v>
      </c>
      <c r="C2249" s="65" t="str">
        <f>IFERROR(__xludf.DUMMYFUNCTION("""COMPUTED_VALUE"""),"10:38")</f>
        <v>10:38</v>
      </c>
      <c r="D2249" s="65" t="str">
        <f>IFERROR(__xludf.DUMMYFUNCTION("""COMPUTED_VALUE"""),"08-01-2026")</f>
        <v>08-01-2026</v>
      </c>
      <c r="E2249" s="65" t="str">
        <f>IFERROR(__xludf.DUMMYFUNCTION("""COMPUTED_VALUE"""),"Alfonso Roldan")</f>
        <v>Alfonso Roldan</v>
      </c>
      <c r="F2249" s="65" t="str">
        <f>IFERROR(__xludf.DUMMYFUNCTION("""COMPUTED_VALUE"""),"983590621")</f>
        <v>983590621</v>
      </c>
      <c r="G2249" s="65"/>
      <c r="H2249" s="65"/>
      <c r="I2249" s="65"/>
      <c r="J2249" s="65" t="str">
        <f>IFERROR(__xludf.DUMMYFUNCTION("""COMPUTED_VALUE"""),"186944664")</f>
        <v>186944664</v>
      </c>
      <c r="K2249" s="65" t="str">
        <f>IFERROR(__xludf.DUMMYFUNCTION("""COMPUTED_VALUE"""),"ENTREGADO")</f>
        <v>ENTREGADO</v>
      </c>
      <c r="L2249" s="65" t="str">
        <f>IFERROR(__xludf.DUMMYFUNCTION("""COMPUTED_VALUE"""),"CON RECAUDO")</f>
        <v>CON RECAUDO</v>
      </c>
      <c r="M2249" s="65" t="str">
        <f>IFERROR(__xludf.DUMMYFUNCTION("""COMPUTED_VALUE"""),"CHIMBORAZO")</f>
        <v>CHIMBORAZO</v>
      </c>
      <c r="N2249" s="65" t="str">
        <f>IFERROR(__xludf.DUMMYFUNCTION("""COMPUTED_VALUE"""),"GUAMOTE")</f>
        <v>GUAMOTE</v>
      </c>
      <c r="O2249" s="65" t="str">
        <f>IFERROR(__xludf.DUMMYFUNCTION("""COMPUTED_VALUE"""),"CS: GUAMOTE_PRINCIPAL / 10 DE AGOSTO S/N Y GONZALEZ SUAREZ")</f>
        <v>CS: GUAMOTE_PRINCIPAL / 10 DE AGOSTO S/N Y GONZALEZ SUAREZ</v>
      </c>
      <c r="P2249" s="65"/>
      <c r="Q2249" s="65" t="str">
        <f>IFERROR(__xludf.DUMMYFUNCTION("""COMPUTED_VALUE"""),"SERVIENTREGA")</f>
        <v>SERVIENTREGA</v>
      </c>
      <c r="R2249" s="65">
        <f>IFERROR(__xludf.DUMMYFUNCTION("""COMPUTED_VALUE"""),30.0)</f>
        <v>30</v>
      </c>
      <c r="S2249" s="65">
        <f>IFERROR(__xludf.DUMMYFUNCTION("""COMPUTED_VALUE"""),15.13)</f>
        <v>15.13</v>
      </c>
      <c r="T2249" s="65">
        <f>IFERROR(__xludf.DUMMYFUNCTION("""COMPUTED_VALUE"""),7.82)</f>
        <v>7.82</v>
      </c>
      <c r="U2249" s="65">
        <f>IFERROR(__xludf.DUMMYFUNCTION("""COMPUTED_VALUE"""),0.0)</f>
        <v>0</v>
      </c>
      <c r="V2249" s="65">
        <f>IFERROR(__xludf.DUMMYFUNCTION("""COMPUTED_VALUE"""),0.0)</f>
        <v>0</v>
      </c>
      <c r="W2249" s="65">
        <f>IFERROR(__xludf.DUMMYFUNCTION("""COMPUTED_VALUE"""),0.0)</f>
        <v>0</v>
      </c>
      <c r="X2249" s="65">
        <f>IFERROR(__xludf.DUMMYFUNCTION("""COMPUTED_VALUE"""),2.35)</f>
        <v>2.35</v>
      </c>
      <c r="Y2249" s="65">
        <f>IFERROR(__xludf.DUMMYFUNCTION("""COMPUTED_VALUE"""),7.05)</f>
        <v>7.05</v>
      </c>
      <c r="Z2249" s="65">
        <f>IFERROR(__xludf.DUMMYFUNCTION("""COMPUTED_VALUE"""),116679.0)</f>
        <v>116679</v>
      </c>
      <c r="AA2249" s="65" t="str">
        <f>IFERROR(__xludf.DUMMYFUNCTION("""COMPUTED_VALUE"""),"AMC-2738")</f>
        <v>AMC-2738</v>
      </c>
      <c r="AB2249" s="65"/>
      <c r="AC2249" s="65" t="str">
        <f>IFERROR(__xludf.DUMMYFUNCTION("""COMPUTED_VALUE"""),"ESPONJA ANTILLUVIA DE PARABRISAS")</f>
        <v>ESPONJA ANTILLUVIA DE PARABRISAS</v>
      </c>
      <c r="AD2249" s="65"/>
      <c r="AE2249" s="65">
        <f>IFERROR(__xludf.DUMMYFUNCTION("""COMPUTED_VALUE"""),3.0)</f>
        <v>3</v>
      </c>
      <c r="AF2249" s="65"/>
      <c r="AG2249" s="65"/>
      <c r="AH2249" s="65"/>
      <c r="AI2249" s="65"/>
      <c r="AJ2249" s="65"/>
      <c r="AK2249" s="65"/>
      <c r="AL2249" s="65"/>
      <c r="AM2249" s="65"/>
      <c r="AN2249" s="65" t="str">
        <f>IFERROR(__xludf.DUMMYFUNCTION("""COMPUTED_VALUE"""),"17:08")</f>
        <v>17:08</v>
      </c>
      <c r="AO2249" s="65" t="str">
        <f>IFERROR(__xludf.DUMMYFUNCTION("""COMPUTED_VALUE"""),"13-01-2026")</f>
        <v>13-01-2026</v>
      </c>
      <c r="AP2249" s="65" t="str">
        <f>IFERROR(__xludf.DUMMYFUNCTION("""COMPUTED_VALUE"""),"REPORTADO ENTREGADO EN AGENCIA")</f>
        <v>REPORTADO ENTREGADO EN AGENCIA</v>
      </c>
      <c r="AQ2249" s="65" t="str">
        <f>IFERROR(__xludf.DUMMYFUNCTION("""COMPUTED_VALUE"""),"ALFONSO ROLDAN")</f>
        <v>ALFONSO ROLDAN</v>
      </c>
      <c r="AR2249" s="65"/>
      <c r="AS2249" s="65" t="str">
        <f>IFERROR(__xludf.DUMMYFUNCTION("""COMPUTED_VALUE"""),"Bayron Gomez")</f>
        <v>Bayron Gomez</v>
      </c>
      <c r="AT2249" s="65"/>
      <c r="AU2249" s="65"/>
      <c r="AV2249" s="65"/>
      <c r="AW2249" s="65"/>
      <c r="AX2249" s="65"/>
      <c r="AY2249" s="65" t="str">
        <f>IFERROR(__xludf.DUMMYFUNCTION("""COMPUTED_VALUE"""),"08/01/2026")</f>
        <v>08/01/2026</v>
      </c>
      <c r="AZ2249" s="65"/>
      <c r="BA2249" s="65"/>
    </row>
    <row r="2250">
      <c r="A2250" s="65" t="str">
        <f>IFERROR(__xludf.DUMMYFUNCTION("""COMPUTED_VALUE"""),"27-03-2026")</f>
        <v>27-03-2026</v>
      </c>
      <c r="B2250" s="65">
        <f>IFERROR(__xludf.DUMMYFUNCTION("""COMPUTED_VALUE"""),4067264.0)</f>
        <v>4067264</v>
      </c>
      <c r="C2250" s="65" t="str">
        <f>IFERROR(__xludf.DUMMYFUNCTION("""COMPUTED_VALUE"""),"10:06")</f>
        <v>10:06</v>
      </c>
      <c r="D2250" s="65" t="str">
        <f>IFERROR(__xludf.DUMMYFUNCTION("""COMPUTED_VALUE"""),"08-01-2026")</f>
        <v>08-01-2026</v>
      </c>
      <c r="E2250" s="65" t="str">
        <f>IFERROR(__xludf.DUMMYFUNCTION("""COMPUTED_VALUE"""),"Francisco Javier Espinoza")</f>
        <v>Francisco Javier Espinoza</v>
      </c>
      <c r="F2250" s="65" t="str">
        <f>IFERROR(__xludf.DUMMYFUNCTION("""COMPUTED_VALUE"""),"988237216")</f>
        <v>988237216</v>
      </c>
      <c r="G2250" s="65"/>
      <c r="H2250" s="65"/>
      <c r="I2250" s="65"/>
      <c r="J2250" s="65" t="str">
        <f>IFERROR(__xludf.DUMMYFUNCTION("""COMPUTED_VALUE"""),"186948120")</f>
        <v>186948120</v>
      </c>
      <c r="K2250" s="65" t="str">
        <f>IFERROR(__xludf.DUMMYFUNCTION("""COMPUTED_VALUE"""),"ENTREGADO")</f>
        <v>ENTREGADO</v>
      </c>
      <c r="L2250" s="65" t="str">
        <f>IFERROR(__xludf.DUMMYFUNCTION("""COMPUTED_VALUE"""),"CON RECAUDO")</f>
        <v>CON RECAUDO</v>
      </c>
      <c r="M2250" s="65" t="str">
        <f>IFERROR(__xludf.DUMMYFUNCTION("""COMPUTED_VALUE"""),"EL ORO")</f>
        <v>EL ORO</v>
      </c>
      <c r="N2250" s="65" t="str">
        <f>IFERROR(__xludf.DUMMYFUNCTION("""COMPUTED_VALUE"""),"PORTOVELO")</f>
        <v>PORTOVELO</v>
      </c>
      <c r="O2250" s="65" t="str">
        <f>IFERROR(__xludf.DUMMYFUNCTION("""COMPUTED_VALUE"""),"CS: PORTOVELO URBANIZACION EL ORO 1")</f>
        <v>CS: PORTOVELO URBANIZACION EL ORO 1</v>
      </c>
      <c r="P2250" s="65"/>
      <c r="Q2250" s="65" t="str">
        <f>IFERROR(__xludf.DUMMYFUNCTION("""COMPUTED_VALUE"""),"SERVIENTREGA")</f>
        <v>SERVIENTREGA</v>
      </c>
      <c r="R2250" s="65">
        <f>IFERROR(__xludf.DUMMYFUNCTION("""COMPUTED_VALUE"""),20.0)</f>
        <v>20</v>
      </c>
      <c r="S2250" s="65">
        <f>IFERROR(__xludf.DUMMYFUNCTION("""COMPUTED_VALUE"""),7.33)</f>
        <v>7.33</v>
      </c>
      <c r="T2250" s="65">
        <f>IFERROR(__xludf.DUMMYFUNCTION("""COMPUTED_VALUE"""),7.67)</f>
        <v>7.67</v>
      </c>
      <c r="U2250" s="65">
        <f>IFERROR(__xludf.DUMMYFUNCTION("""COMPUTED_VALUE"""),0.0)</f>
        <v>0</v>
      </c>
      <c r="V2250" s="65">
        <f>IFERROR(__xludf.DUMMYFUNCTION("""COMPUTED_VALUE"""),0.0)</f>
        <v>0</v>
      </c>
      <c r="W2250" s="65">
        <f>IFERROR(__xludf.DUMMYFUNCTION("""COMPUTED_VALUE"""),0.0)</f>
        <v>0</v>
      </c>
      <c r="X2250" s="65">
        <f>IFERROR(__xludf.DUMMYFUNCTION("""COMPUTED_VALUE"""),5.0)</f>
        <v>5</v>
      </c>
      <c r="Y2250" s="65">
        <f>IFERROR(__xludf.DUMMYFUNCTION("""COMPUTED_VALUE"""),5.0)</f>
        <v>5</v>
      </c>
      <c r="Z2250" s="65">
        <f>IFERROR(__xludf.DUMMYFUNCTION("""COMPUTED_VALUE"""),110064.0)</f>
        <v>110064</v>
      </c>
      <c r="AA2250" s="65" t="str">
        <f>IFERROR(__xludf.DUMMYFUNCTION("""COMPUTED_VALUE"""),"IMX-00001")</f>
        <v>IMX-00001</v>
      </c>
      <c r="AB2250" s="65"/>
      <c r="AC2250" s="65" t="str">
        <f>IFERROR(__xludf.DUMMYFUNCTION("""COMPUTED_VALUE"""),"LLAVE TRINQUETE")</f>
        <v>LLAVE TRINQUETE</v>
      </c>
      <c r="AD2250" s="65"/>
      <c r="AE2250" s="65">
        <f>IFERROR(__xludf.DUMMYFUNCTION("""COMPUTED_VALUE"""),1.0)</f>
        <v>1</v>
      </c>
      <c r="AF2250" s="65"/>
      <c r="AG2250" s="65"/>
      <c r="AH2250" s="65"/>
      <c r="AI2250" s="65"/>
      <c r="AJ2250" s="65"/>
      <c r="AK2250" s="65"/>
      <c r="AL2250" s="65"/>
      <c r="AM2250" s="65"/>
      <c r="AN2250" s="65" t="str">
        <f>IFERROR(__xludf.DUMMYFUNCTION("""COMPUTED_VALUE"""),"12:23")</f>
        <v>12:23</v>
      </c>
      <c r="AO2250" s="65" t="str">
        <f>IFERROR(__xludf.DUMMYFUNCTION("""COMPUTED_VALUE"""),"09-02-2026")</f>
        <v>09-02-2026</v>
      </c>
      <c r="AP2250" s="65" t="str">
        <f>IFERROR(__xludf.DUMMYFUNCTION("""COMPUTED_VALUE"""),"ENTREGA DIGITALIZADA EN CENTRO LOGISTICO")</f>
        <v>ENTREGA DIGITALIZADA EN CENTRO LOGISTICO</v>
      </c>
      <c r="AQ2250" s="65" t="str">
        <f>IFERROR(__xludf.DUMMYFUNCTION("""COMPUTED_VALUE"""),"FRANCISCO ESPINOZA")</f>
        <v>FRANCISCO ESPINOZA</v>
      </c>
      <c r="AR2250" s="65"/>
      <c r="AS2250" s="65" t="str">
        <f>IFERROR(__xludf.DUMMYFUNCTION("""COMPUTED_VALUE"""),"Bayron Gomez")</f>
        <v>Bayron Gomez</v>
      </c>
      <c r="AT2250" s="65"/>
      <c r="AU2250" s="65"/>
      <c r="AV2250" s="65"/>
      <c r="AW2250" s="65"/>
      <c r="AX2250" s="65"/>
      <c r="AY2250" s="65" t="str">
        <f>IFERROR(__xludf.DUMMYFUNCTION("""COMPUTED_VALUE"""),"09/01/2026")</f>
        <v>09/01/2026</v>
      </c>
      <c r="AZ2250" s="65"/>
      <c r="BA2250" s="65"/>
    </row>
    <row r="2251">
      <c r="A2251" s="65" t="str">
        <f>IFERROR(__xludf.DUMMYFUNCTION("""COMPUTED_VALUE"""),"27-03-2026")</f>
        <v>27-03-2026</v>
      </c>
      <c r="B2251" s="65">
        <f>IFERROR(__xludf.DUMMYFUNCTION("""COMPUTED_VALUE"""),4067178.0)</f>
        <v>4067178</v>
      </c>
      <c r="C2251" s="65" t="str">
        <f>IFERROR(__xludf.DUMMYFUNCTION("""COMPUTED_VALUE"""),"09:59")</f>
        <v>09:59</v>
      </c>
      <c r="D2251" s="65" t="str">
        <f>IFERROR(__xludf.DUMMYFUNCTION("""COMPUTED_VALUE"""),"08-01-2026")</f>
        <v>08-01-2026</v>
      </c>
      <c r="E2251" s="65" t="str">
        <f>IFERROR(__xludf.DUMMYFUNCTION("""COMPUTED_VALUE"""),"Hernan Ricaurte")</f>
        <v>Hernan Ricaurte</v>
      </c>
      <c r="F2251" s="65" t="str">
        <f>IFERROR(__xludf.DUMMYFUNCTION("""COMPUTED_VALUE"""),"991813529")</f>
        <v>991813529</v>
      </c>
      <c r="G2251" s="65"/>
      <c r="H2251" s="65"/>
      <c r="I2251" s="65"/>
      <c r="J2251" s="65" t="str">
        <f>IFERROR(__xludf.DUMMYFUNCTION("""COMPUTED_VALUE"""),"D001204834")</f>
        <v>D001204834</v>
      </c>
      <c r="K2251" s="65" t="str">
        <f>IFERROR(__xludf.DUMMYFUNCTION("""COMPUTED_VALUE"""),"ENTREGADO")</f>
        <v>ENTREGADO</v>
      </c>
      <c r="L2251" s="65" t="str">
        <f>IFERROR(__xludf.DUMMYFUNCTION("""COMPUTED_VALUE"""),"CON RECAUDO")</f>
        <v>CON RECAUDO</v>
      </c>
      <c r="M2251" s="65" t="str">
        <f>IFERROR(__xludf.DUMMYFUNCTION("""COMPUTED_VALUE"""),"CHIMBORAZO")</f>
        <v>CHIMBORAZO</v>
      </c>
      <c r="N2251" s="65" t="str">
        <f>IFERROR(__xludf.DUMMYFUNCTION("""COMPUTED_VALUE"""),"RIOBAMBA")</f>
        <v>RIOBAMBA</v>
      </c>
      <c r="O2251" s="65" t="str">
        <f>IFERROR(__xludf.DUMMYFUNCTION("""COMPUTED_VALUE"""),"Sector Bellavista - Calle La Paz y Calle Buenos Aires - Ref. Casa de dos pisos con columnas blancas")</f>
        <v>Sector Bellavista - Calle La Paz y Calle Buenos Aires - Ref. Casa de dos pisos con columnas blancas</v>
      </c>
      <c r="P2251" s="65"/>
      <c r="Q2251" s="65" t="str">
        <f>IFERROR(__xludf.DUMMYFUNCTION("""COMPUTED_VALUE"""),"GINTRACOM")</f>
        <v>GINTRACOM</v>
      </c>
      <c r="R2251" s="65">
        <f>IFERROR(__xludf.DUMMYFUNCTION("""COMPUTED_VALUE"""),30.0)</f>
        <v>30</v>
      </c>
      <c r="S2251" s="65">
        <f>IFERROR(__xludf.DUMMYFUNCTION("""COMPUTED_VALUE"""),8.84)</f>
        <v>8.84</v>
      </c>
      <c r="T2251" s="65">
        <f>IFERROR(__xludf.DUMMYFUNCTION("""COMPUTED_VALUE"""),6.16)</f>
        <v>6.16</v>
      </c>
      <c r="U2251" s="65">
        <f>IFERROR(__xludf.DUMMYFUNCTION("""COMPUTED_VALUE"""),0.0)</f>
        <v>0</v>
      </c>
      <c r="V2251" s="65">
        <f>IFERROR(__xludf.DUMMYFUNCTION("""COMPUTED_VALUE"""),0.0)</f>
        <v>0</v>
      </c>
      <c r="W2251" s="65">
        <f>IFERROR(__xludf.DUMMYFUNCTION("""COMPUTED_VALUE"""),0.0)</f>
        <v>0</v>
      </c>
      <c r="X2251" s="65">
        <f>IFERROR(__xludf.DUMMYFUNCTION("""COMPUTED_VALUE"""),5.0)</f>
        <v>5</v>
      </c>
      <c r="Y2251" s="65">
        <f>IFERROR(__xludf.DUMMYFUNCTION("""COMPUTED_VALUE"""),15.0)</f>
        <v>15</v>
      </c>
      <c r="Z2251" s="65">
        <f>IFERROR(__xludf.DUMMYFUNCTION("""COMPUTED_VALUE"""),110064.0)</f>
        <v>110064</v>
      </c>
      <c r="AA2251" s="65" t="str">
        <f>IFERROR(__xludf.DUMMYFUNCTION("""COMPUTED_VALUE"""),"IMX-00001")</f>
        <v>IMX-00001</v>
      </c>
      <c r="AB2251" s="65"/>
      <c r="AC2251" s="65" t="str">
        <f>IFERROR(__xludf.DUMMYFUNCTION("""COMPUTED_VALUE"""),"LLAVE TRINQUETE")</f>
        <v>LLAVE TRINQUETE</v>
      </c>
      <c r="AD2251" s="65"/>
      <c r="AE2251" s="65">
        <f>IFERROR(__xludf.DUMMYFUNCTION("""COMPUTED_VALUE"""),3.0)</f>
        <v>3</v>
      </c>
      <c r="AF2251" s="65"/>
      <c r="AG2251" s="65"/>
      <c r="AH2251" s="65"/>
      <c r="AI2251" s="65"/>
      <c r="AJ2251" s="65"/>
      <c r="AK2251" s="65"/>
      <c r="AL2251" s="65"/>
      <c r="AM2251" s="65"/>
      <c r="AN2251" s="65" t="str">
        <f>IFERROR(__xludf.DUMMYFUNCTION("""COMPUTED_VALUE"""),"15:13")</f>
        <v>15:13</v>
      </c>
      <c r="AO2251" s="65" t="str">
        <f>IFERROR(__xludf.DUMMYFUNCTION("""COMPUTED_VALUE"""),"10-01-2026")</f>
        <v>10-01-2026</v>
      </c>
      <c r="AP2251" s="65" t="str">
        <f>IFERROR(__xludf.DUMMYFUNCTION("""COMPUTED_VALUE"""),"ENTREGADA GINTRACOM")</f>
        <v>ENTREGADA GINTRACOM</v>
      </c>
      <c r="AQ2251" s="65" t="str">
        <f>IFERROR(__xludf.DUMMYFUNCTION("""COMPUTED_VALUE"""),"ENTREGADA GINTRACOM")</f>
        <v>ENTREGADA GINTRACOM</v>
      </c>
      <c r="AR2251" s="65"/>
      <c r="AS2251" s="65" t="str">
        <f>IFERROR(__xludf.DUMMYFUNCTION("""COMPUTED_VALUE"""),"Bayron Gomez")</f>
        <v>Bayron Gomez</v>
      </c>
      <c r="AT2251" s="65"/>
      <c r="AU2251" s="65"/>
      <c r="AV2251" s="65"/>
      <c r="AW2251" s="65"/>
      <c r="AX2251" s="65"/>
      <c r="AY2251" s="65" t="str">
        <f>IFERROR(__xludf.DUMMYFUNCTION("""COMPUTED_VALUE"""),"09/01/2026")</f>
        <v>09/01/2026</v>
      </c>
      <c r="AZ2251" s="65"/>
      <c r="BA2251" s="65"/>
    </row>
    <row r="2252">
      <c r="A2252" s="65" t="str">
        <f>IFERROR(__xludf.DUMMYFUNCTION("""COMPUTED_VALUE"""),"27-03-2026")</f>
        <v>27-03-2026</v>
      </c>
      <c r="B2252" s="65">
        <f>IFERROR(__xludf.DUMMYFUNCTION("""COMPUTED_VALUE"""),4066961.0)</f>
        <v>4066961</v>
      </c>
      <c r="C2252" s="65" t="str">
        <f>IFERROR(__xludf.DUMMYFUNCTION("""COMPUTED_VALUE"""),"09:45")</f>
        <v>09:45</v>
      </c>
      <c r="D2252" s="65" t="str">
        <f>IFERROR(__xludf.DUMMYFUNCTION("""COMPUTED_VALUE"""),"08-01-2026")</f>
        <v>08-01-2026</v>
      </c>
      <c r="E2252" s="65" t="str">
        <f>IFERROR(__xludf.DUMMYFUNCTION("""COMPUTED_VALUE"""),"Rolando Castro Alvarado")</f>
        <v>Rolando Castro Alvarado</v>
      </c>
      <c r="F2252" s="65" t="str">
        <f>IFERROR(__xludf.DUMMYFUNCTION("""COMPUTED_VALUE"""),"996223100")</f>
        <v>996223100</v>
      </c>
      <c r="G2252" s="65"/>
      <c r="H2252" s="65"/>
      <c r="I2252" s="65"/>
      <c r="J2252" s="65" t="str">
        <f>IFERROR(__xludf.DUMMYFUNCTION("""COMPUTED_VALUE"""),"186944684")</f>
        <v>186944684</v>
      </c>
      <c r="K2252" s="65" t="str">
        <f>IFERROR(__xludf.DUMMYFUNCTION("""COMPUTED_VALUE"""),"ENTREGADO")</f>
        <v>ENTREGADO</v>
      </c>
      <c r="L2252" s="65" t="str">
        <f>IFERROR(__xludf.DUMMYFUNCTION("""COMPUTED_VALUE"""),"CON RECAUDO")</f>
        <v>CON RECAUDO</v>
      </c>
      <c r="M2252" s="65" t="str">
        <f>IFERROR(__xludf.DUMMYFUNCTION("""COMPUTED_VALUE"""),"GUAYAS")</f>
        <v>GUAYAS</v>
      </c>
      <c r="N2252" s="65" t="str">
        <f>IFERROR(__xludf.DUMMYFUNCTION("""COMPUTED_VALUE"""),"EL EMPALME")</f>
        <v>EL EMPALME</v>
      </c>
      <c r="O2252" s="65" t="str">
        <f>IFERROR(__xludf.DUMMYFUNCTION("""COMPUTED_VALUE"""),"CS: EL EMPALME_AV. GUAYAQUIL ENTRE SALINAS Y SIMON BOLIVAR")</f>
        <v>CS: EL EMPALME_AV. GUAYAQUIL ENTRE SALINAS Y SIMON BOLIVAR</v>
      </c>
      <c r="P2252" s="65"/>
      <c r="Q2252" s="65" t="str">
        <f>IFERROR(__xludf.DUMMYFUNCTION("""COMPUTED_VALUE"""),"SERVIENTREGA")</f>
        <v>SERVIENTREGA</v>
      </c>
      <c r="R2252" s="65">
        <f>IFERROR(__xludf.DUMMYFUNCTION("""COMPUTED_VALUE"""),30.0)</f>
        <v>30</v>
      </c>
      <c r="S2252" s="65">
        <f>IFERROR(__xludf.DUMMYFUNCTION("""COMPUTED_VALUE"""),15.13)</f>
        <v>15.13</v>
      </c>
      <c r="T2252" s="65">
        <f>IFERROR(__xludf.DUMMYFUNCTION("""COMPUTED_VALUE"""),7.82)</f>
        <v>7.82</v>
      </c>
      <c r="U2252" s="65">
        <f>IFERROR(__xludf.DUMMYFUNCTION("""COMPUTED_VALUE"""),0.0)</f>
        <v>0</v>
      </c>
      <c r="V2252" s="65">
        <f>IFERROR(__xludf.DUMMYFUNCTION("""COMPUTED_VALUE"""),0.0)</f>
        <v>0</v>
      </c>
      <c r="W2252" s="65">
        <f>IFERROR(__xludf.DUMMYFUNCTION("""COMPUTED_VALUE"""),0.0)</f>
        <v>0</v>
      </c>
      <c r="X2252" s="65">
        <f>IFERROR(__xludf.DUMMYFUNCTION("""COMPUTED_VALUE"""),2.35)</f>
        <v>2.35</v>
      </c>
      <c r="Y2252" s="65">
        <f>IFERROR(__xludf.DUMMYFUNCTION("""COMPUTED_VALUE"""),7.05)</f>
        <v>7.05</v>
      </c>
      <c r="Z2252" s="65">
        <f>IFERROR(__xludf.DUMMYFUNCTION("""COMPUTED_VALUE"""),116679.0)</f>
        <v>116679</v>
      </c>
      <c r="AA2252" s="65" t="str">
        <f>IFERROR(__xludf.DUMMYFUNCTION("""COMPUTED_VALUE"""),"AMC-2738")</f>
        <v>AMC-2738</v>
      </c>
      <c r="AB2252" s="65"/>
      <c r="AC2252" s="65" t="str">
        <f>IFERROR(__xludf.DUMMYFUNCTION("""COMPUTED_VALUE"""),"ESPONJA ANTILLUVIA DE PARABRISAS")</f>
        <v>ESPONJA ANTILLUVIA DE PARABRISAS</v>
      </c>
      <c r="AD2252" s="65"/>
      <c r="AE2252" s="65">
        <f>IFERROR(__xludf.DUMMYFUNCTION("""COMPUTED_VALUE"""),3.0)</f>
        <v>3</v>
      </c>
      <c r="AF2252" s="65"/>
      <c r="AG2252" s="65"/>
      <c r="AH2252" s="65"/>
      <c r="AI2252" s="65"/>
      <c r="AJ2252" s="65"/>
      <c r="AK2252" s="65"/>
      <c r="AL2252" s="65"/>
      <c r="AM2252" s="65"/>
      <c r="AN2252" s="65" t="str">
        <f>IFERROR(__xludf.DUMMYFUNCTION("""COMPUTED_VALUE"""),"14:34")</f>
        <v>14:34</v>
      </c>
      <c r="AO2252" s="65" t="str">
        <f>IFERROR(__xludf.DUMMYFUNCTION("""COMPUTED_VALUE"""),"16-01-2026")</f>
        <v>16-01-2026</v>
      </c>
      <c r="AP2252" s="65" t="str">
        <f>IFERROR(__xludf.DUMMYFUNCTION("""COMPUTED_VALUE"""),"REPORTADO ENTREGADO EN AGENCIA")</f>
        <v>REPORTADO ENTREGADO EN AGENCIA</v>
      </c>
      <c r="AQ2252" s="65" t="str">
        <f>IFERROR(__xludf.DUMMYFUNCTION("""COMPUTED_VALUE"""),"ROLANDO CASTRO")</f>
        <v>ROLANDO CASTRO</v>
      </c>
      <c r="AR2252" s="65"/>
      <c r="AS2252" s="65" t="str">
        <f>IFERROR(__xludf.DUMMYFUNCTION("""COMPUTED_VALUE"""),"Bayron Gomez")</f>
        <v>Bayron Gomez</v>
      </c>
      <c r="AT2252" s="65"/>
      <c r="AU2252" s="65"/>
      <c r="AV2252" s="65"/>
      <c r="AW2252" s="65"/>
      <c r="AX2252" s="65"/>
      <c r="AY2252" s="65" t="str">
        <f>IFERROR(__xludf.DUMMYFUNCTION("""COMPUTED_VALUE"""),"08/01/2026")</f>
        <v>08/01/2026</v>
      </c>
      <c r="AZ2252" s="65"/>
      <c r="BA2252" s="65"/>
    </row>
    <row r="2253">
      <c r="A2253" s="65" t="str">
        <f>IFERROR(__xludf.DUMMYFUNCTION("""COMPUTED_VALUE"""),"27-03-2026")</f>
        <v>27-03-2026</v>
      </c>
      <c r="B2253" s="65">
        <f>IFERROR(__xludf.DUMMYFUNCTION("""COMPUTED_VALUE"""),4066860.0)</f>
        <v>4066860</v>
      </c>
      <c r="C2253" s="65" t="str">
        <f>IFERROR(__xludf.DUMMYFUNCTION("""COMPUTED_VALUE"""),"09:36")</f>
        <v>09:36</v>
      </c>
      <c r="D2253" s="65" t="str">
        <f>IFERROR(__xludf.DUMMYFUNCTION("""COMPUTED_VALUE"""),"08-01-2026")</f>
        <v>08-01-2026</v>
      </c>
      <c r="E2253" s="65" t="str">
        <f>IFERROR(__xludf.DUMMYFUNCTION("""COMPUTED_VALUE"""),"Mireya Caiza")</f>
        <v>Mireya Caiza</v>
      </c>
      <c r="F2253" s="65" t="str">
        <f>IFERROR(__xludf.DUMMYFUNCTION("""COMPUTED_VALUE"""),"998496887")</f>
        <v>998496887</v>
      </c>
      <c r="G2253" s="65" t="str">
        <f>IFERROR(__xludf.DUMMYFUNCTION("""COMPUTED_VALUE"""),"sole0161@hotmail.com")</f>
        <v>sole0161@hotmail.com</v>
      </c>
      <c r="H2253" s="65"/>
      <c r="I2253" s="65"/>
      <c r="J2253" s="65" t="str">
        <f>IFERROR(__xludf.DUMMYFUNCTION("""COMPUTED_VALUE"""),"186945153")</f>
        <v>186945153</v>
      </c>
      <c r="K2253" s="65" t="str">
        <f>IFERROR(__xludf.DUMMYFUNCTION("""COMPUTED_VALUE"""),"ENTREGADO")</f>
        <v>ENTREGADO</v>
      </c>
      <c r="L2253" s="65" t="str">
        <f>IFERROR(__xludf.DUMMYFUNCTION("""COMPUTED_VALUE"""),"CON RECAUDO")</f>
        <v>CON RECAUDO</v>
      </c>
      <c r="M2253" s="65" t="str">
        <f>IFERROR(__xludf.DUMMYFUNCTION("""COMPUTED_VALUE"""),"PICHINCHA")</f>
        <v>PICHINCHA</v>
      </c>
      <c r="N2253" s="65" t="str">
        <f>IFERROR(__xludf.DUMMYFUNCTION("""COMPUTED_VALUE"""),"MACHACHI")</f>
        <v>MACHACHI</v>
      </c>
      <c r="O2253" s="65" t="str">
        <f>IFERROR(__xludf.DUMMYFUNCTION("""COMPUTED_VALUE"""),"Calle García Moreno y Rumiñahui E2-256 Machachi -")</f>
        <v>Calle García Moreno y Rumiñahui E2-256 Machachi -</v>
      </c>
      <c r="P2253" s="65"/>
      <c r="Q2253" s="65" t="str">
        <f>IFERROR(__xludf.DUMMYFUNCTION("""COMPUTED_VALUE"""),"SERVIENTREGA")</f>
        <v>SERVIENTREGA</v>
      </c>
      <c r="R2253" s="65">
        <f>IFERROR(__xludf.DUMMYFUNCTION("""COMPUTED_VALUE"""),27.0)</f>
        <v>27</v>
      </c>
      <c r="S2253" s="65">
        <f>IFERROR(__xludf.DUMMYFUNCTION("""COMPUTED_VALUE"""),13.16)</f>
        <v>13.16</v>
      </c>
      <c r="T2253" s="65">
        <f>IFERROR(__xludf.DUMMYFUNCTION("""COMPUTED_VALUE"""),6.34)</f>
        <v>6.34</v>
      </c>
      <c r="U2253" s="65">
        <f>IFERROR(__xludf.DUMMYFUNCTION("""COMPUTED_VALUE"""),0.0)</f>
        <v>0</v>
      </c>
      <c r="V2253" s="65">
        <f>IFERROR(__xludf.DUMMYFUNCTION("""COMPUTED_VALUE"""),0.0)</f>
        <v>0</v>
      </c>
      <c r="W2253" s="65">
        <f>IFERROR(__xludf.DUMMYFUNCTION("""COMPUTED_VALUE"""),0.0)</f>
        <v>0</v>
      </c>
      <c r="X2253" s="65">
        <f>IFERROR(__xludf.DUMMYFUNCTION("""COMPUTED_VALUE"""),2.5)</f>
        <v>2.5</v>
      </c>
      <c r="Y2253" s="65">
        <f>IFERROR(__xludf.DUMMYFUNCTION("""COMPUTED_VALUE"""),7.5)</f>
        <v>7.5</v>
      </c>
      <c r="Z2253" s="65">
        <f>IFERROR(__xludf.DUMMYFUNCTION("""COMPUTED_VALUE"""),78123.0)</f>
        <v>78123</v>
      </c>
      <c r="AA2253" s="65" t="str">
        <f>IFERROR(__xludf.DUMMYFUNCTION("""COMPUTED_VALUE"""),"GT1EG5097")</f>
        <v>GT1EG5097</v>
      </c>
      <c r="AB2253" s="65"/>
      <c r="AC2253" s="65" t="str">
        <f>IFERROR(__xludf.DUMMYFUNCTION("""COMPUTED_VALUE"""),"Geles de baño aromaticos inodoro x 1")</f>
        <v>Geles de baño aromaticos inodoro x 1</v>
      </c>
      <c r="AD2253" s="65"/>
      <c r="AE2253" s="65">
        <f>IFERROR(__xludf.DUMMYFUNCTION("""COMPUTED_VALUE"""),3.0)</f>
        <v>3</v>
      </c>
      <c r="AF2253" s="65"/>
      <c r="AG2253" s="65"/>
      <c r="AH2253" s="65"/>
      <c r="AI2253" s="65"/>
      <c r="AJ2253" s="65"/>
      <c r="AK2253" s="65"/>
      <c r="AL2253" s="65"/>
      <c r="AM2253" s="65"/>
      <c r="AN2253" s="65" t="str">
        <f>IFERROR(__xludf.DUMMYFUNCTION("""COMPUTED_VALUE"""),"15:16")</f>
        <v>15:16</v>
      </c>
      <c r="AO2253" s="65" t="str">
        <f>IFERROR(__xludf.DUMMYFUNCTION("""COMPUTED_VALUE"""),"26-01-2026")</f>
        <v>26-01-2026</v>
      </c>
      <c r="AP2253" s="65" t="str">
        <f>IFERROR(__xludf.DUMMYFUNCTION("""COMPUTED_VALUE"""),"ENTREGA DIGITALIZADA EN CENTRO LOGISTICO")</f>
        <v>ENTREGA DIGITALIZADA EN CENTRO LOGISTICO</v>
      </c>
      <c r="AQ2253" s="65" t="str">
        <f>IFERROR(__xludf.DUMMYFUNCTION("""COMPUTED_VALUE"""),"Mireya Caiza")</f>
        <v>Mireya Caiza</v>
      </c>
      <c r="AR2253" s="65"/>
      <c r="AS2253" s="65"/>
      <c r="AT2253" s="65" t="str">
        <f>IFERROR(__xludf.DUMMYFUNCTION("""COMPUTED_VALUE"""),"SHOPIFY")</f>
        <v>SHOPIFY</v>
      </c>
      <c r="AU2253" s="65" t="str">
        <f>IFERROR(__xludf.DUMMYFUNCTION("""COMPUTED_VALUE"""),"IMPORTEX EC")</f>
        <v>IMPORTEX EC</v>
      </c>
      <c r="AV2253" s="65" t="str">
        <f>IFERROR(__xludf.DUMMYFUNCTION("""COMPUTED_VALUE"""),"6398336827436")</f>
        <v>6398336827436</v>
      </c>
      <c r="AW2253" s="65">
        <f>IFERROR(__xludf.DUMMYFUNCTION("""COMPUTED_VALUE"""),4731.0)</f>
        <v>4731</v>
      </c>
      <c r="AX2253" s="65"/>
      <c r="AY2253" s="65" t="str">
        <f>IFERROR(__xludf.DUMMYFUNCTION("""COMPUTED_VALUE"""),"08/01/2026")</f>
        <v>08/01/2026</v>
      </c>
      <c r="AZ2253" s="65"/>
      <c r="BA2253" s="65"/>
    </row>
    <row r="2254">
      <c r="A2254" s="65" t="str">
        <f>IFERROR(__xludf.DUMMYFUNCTION("""COMPUTED_VALUE"""),"27-03-2026")</f>
        <v>27-03-2026</v>
      </c>
      <c r="B2254" s="65">
        <f>IFERROR(__xludf.DUMMYFUNCTION("""COMPUTED_VALUE"""),4066610.0)</f>
        <v>4066610</v>
      </c>
      <c r="C2254" s="65" t="str">
        <f>IFERROR(__xludf.DUMMYFUNCTION("""COMPUTED_VALUE"""),"09:17")</f>
        <v>09:17</v>
      </c>
      <c r="D2254" s="65" t="str">
        <f>IFERROR(__xludf.DUMMYFUNCTION("""COMPUTED_VALUE"""),"08-01-2026")</f>
        <v>08-01-2026</v>
      </c>
      <c r="E2254" s="65" t="str">
        <f>IFERROR(__xludf.DUMMYFUNCTION("""COMPUTED_VALUE"""),"Andrés Valarezo")</f>
        <v>Andrés Valarezo</v>
      </c>
      <c r="F2254" s="65" t="str">
        <f>IFERROR(__xludf.DUMMYFUNCTION("""COMPUTED_VALUE"""),"996524194")</f>
        <v>996524194</v>
      </c>
      <c r="G2254" s="65" t="str">
        <f>IFERROR(__xludf.DUMMYFUNCTION("""COMPUTED_VALUE"""),"afevani@hotmail.com")</f>
        <v>afevani@hotmail.com</v>
      </c>
      <c r="H2254" s="65"/>
      <c r="I2254" s="65"/>
      <c r="J2254" s="65" t="str">
        <f>IFERROR(__xludf.DUMMYFUNCTION("""COMPUTED_VALUE"""),"D001202879")</f>
        <v>D001202879</v>
      </c>
      <c r="K2254" s="65" t="str">
        <f>IFERROR(__xludf.DUMMYFUNCTION("""COMPUTED_VALUE"""),"ENTREGADO")</f>
        <v>ENTREGADO</v>
      </c>
      <c r="L2254" s="65" t="str">
        <f>IFERROR(__xludf.DUMMYFUNCTION("""COMPUTED_VALUE"""),"CON RECAUDO")</f>
        <v>CON RECAUDO</v>
      </c>
      <c r="M2254" s="65" t="str">
        <f>IFERROR(__xludf.DUMMYFUNCTION("""COMPUTED_VALUE"""),"MORONA SANTIAGO")</f>
        <v>MORONA SANTIAGO</v>
      </c>
      <c r="N2254" s="65" t="str">
        <f>IFERROR(__xludf.DUMMYFUNCTION("""COMPUTED_VALUE"""),"MACAS")</f>
        <v>MACAS</v>
      </c>
      <c r="O2254" s="65" t="str">
        <f>IFERROR(__xludf.DUMMYFUNCTION("""COMPUTED_VALUE"""),"Pasaje la Guayusa  y Pasaje La Randimpa Parque Recreacional -")</f>
        <v>Pasaje la Guayusa  y Pasaje La Randimpa Parque Recreacional -</v>
      </c>
      <c r="P2254" s="65"/>
      <c r="Q2254" s="65" t="str">
        <f>IFERROR(__xludf.DUMMYFUNCTION("""COMPUTED_VALUE"""),"GINTRACOM")</f>
        <v>GINTRACOM</v>
      </c>
      <c r="R2254" s="65">
        <f>IFERROR(__xludf.DUMMYFUNCTION("""COMPUTED_VALUE"""),30.0)</f>
        <v>30</v>
      </c>
      <c r="S2254" s="65">
        <f>IFERROR(__xludf.DUMMYFUNCTION("""COMPUTED_VALUE"""),15.47)</f>
        <v>15.47</v>
      </c>
      <c r="T2254" s="65">
        <f>IFERROR(__xludf.DUMMYFUNCTION("""COMPUTED_VALUE"""),6.16)</f>
        <v>6.16</v>
      </c>
      <c r="U2254" s="65">
        <f>IFERROR(__xludf.DUMMYFUNCTION("""COMPUTED_VALUE"""),0.0)</f>
        <v>0</v>
      </c>
      <c r="V2254" s="65">
        <f>IFERROR(__xludf.DUMMYFUNCTION("""COMPUTED_VALUE"""),0.0)</f>
        <v>0</v>
      </c>
      <c r="W2254" s="65">
        <f>IFERROR(__xludf.DUMMYFUNCTION("""COMPUTED_VALUE"""),0.0)</f>
        <v>0</v>
      </c>
      <c r="X2254" s="65">
        <f>IFERROR(__xludf.DUMMYFUNCTION("""COMPUTED_VALUE"""),2.79)</f>
        <v>2.79</v>
      </c>
      <c r="Y2254" s="65">
        <f>IFERROR(__xludf.DUMMYFUNCTION("""COMPUTED_VALUE"""),8.37)</f>
        <v>8.37</v>
      </c>
      <c r="Z2254" s="65">
        <f>IFERROR(__xludf.DUMMYFUNCTION("""COMPUTED_VALUE"""),120732.0)</f>
        <v>120732</v>
      </c>
      <c r="AA2254" s="65" t="str">
        <f>IFERROR(__xludf.DUMMYFUNCTION("""COMPUTED_VALUE"""),"PROV-LMPVT")</f>
        <v>PROV-LMPVT</v>
      </c>
      <c r="AB2254" s="65"/>
      <c r="AC2254" s="65" t="str">
        <f>IFERROR(__xludf.DUMMYFUNCTION("""COMPUTED_VALUE"""),"LIMPIADOR DE PARABRISAS Y VENTANAS")</f>
        <v>LIMPIADOR DE PARABRISAS Y VENTANAS</v>
      </c>
      <c r="AD2254" s="65"/>
      <c r="AE2254" s="65">
        <f>IFERROR(__xludf.DUMMYFUNCTION("""COMPUTED_VALUE"""),3.0)</f>
        <v>3</v>
      </c>
      <c r="AF2254" s="65"/>
      <c r="AG2254" s="65"/>
      <c r="AH2254" s="65"/>
      <c r="AI2254" s="65"/>
      <c r="AJ2254" s="65"/>
      <c r="AK2254" s="65"/>
      <c r="AL2254" s="65"/>
      <c r="AM2254" s="65"/>
      <c r="AN2254" s="65" t="str">
        <f>IFERROR(__xludf.DUMMYFUNCTION("""COMPUTED_VALUE"""),"13:53")</f>
        <v>13:53</v>
      </c>
      <c r="AO2254" s="65" t="str">
        <f>IFERROR(__xludf.DUMMYFUNCTION("""COMPUTED_VALUE"""),"12-01-2026")</f>
        <v>12-01-2026</v>
      </c>
      <c r="AP2254" s="65" t="str">
        <f>IFERROR(__xludf.DUMMYFUNCTION("""COMPUTED_VALUE"""),"ENTREGADA GINTRACOM")</f>
        <v>ENTREGADA GINTRACOM</v>
      </c>
      <c r="AQ2254" s="65" t="str">
        <f>IFERROR(__xludf.DUMMYFUNCTION("""COMPUTED_VALUE"""),"ENTREGADA GINTRACOM")</f>
        <v>ENTREGADA GINTRACOM</v>
      </c>
      <c r="AR2254" s="65"/>
      <c r="AS2254" s="65"/>
      <c r="AT2254" s="65" t="str">
        <f>IFERROR(__xludf.DUMMYFUNCTION("""COMPUTED_VALUE"""),"SHOPIFY")</f>
        <v>SHOPIFY</v>
      </c>
      <c r="AU2254" s="65" t="str">
        <f>IFERROR(__xludf.DUMMYFUNCTION("""COMPUTED_VALUE"""),"IMPORTEX EC")</f>
        <v>IMPORTEX EC</v>
      </c>
      <c r="AV2254" s="65" t="str">
        <f>IFERROR(__xludf.DUMMYFUNCTION("""COMPUTED_VALUE"""),"6398295277612")</f>
        <v>6398295277612</v>
      </c>
      <c r="AW2254" s="65">
        <f>IFERROR(__xludf.DUMMYFUNCTION("""COMPUTED_VALUE"""),4730.0)</f>
        <v>4730</v>
      </c>
      <c r="AX2254" s="65"/>
      <c r="AY2254" s="65" t="str">
        <f>IFERROR(__xludf.DUMMYFUNCTION("""COMPUTED_VALUE"""),"08/01/2026")</f>
        <v>08/01/2026</v>
      </c>
      <c r="AZ2254" s="65"/>
      <c r="BA2254" s="65"/>
    </row>
    <row r="2255">
      <c r="A2255" s="65" t="str">
        <f>IFERROR(__xludf.DUMMYFUNCTION("""COMPUTED_VALUE"""),"27-03-2026")</f>
        <v>27-03-2026</v>
      </c>
      <c r="B2255" s="65">
        <f>IFERROR(__xludf.DUMMYFUNCTION("""COMPUTED_VALUE"""),4065701.0)</f>
        <v>4065701</v>
      </c>
      <c r="C2255" s="65" t="str">
        <f>IFERROR(__xludf.DUMMYFUNCTION("""COMPUTED_VALUE"""),"08:01")</f>
        <v>08:01</v>
      </c>
      <c r="D2255" s="65" t="str">
        <f>IFERROR(__xludf.DUMMYFUNCTION("""COMPUTED_VALUE"""),"08-01-2026")</f>
        <v>08-01-2026</v>
      </c>
      <c r="E2255" s="65" t="str">
        <f>IFERROR(__xludf.DUMMYFUNCTION("""COMPUTED_VALUE"""),"Jaime Tiro Encalada Guerrero")</f>
        <v>Jaime Tiro Encalada Guerrero</v>
      </c>
      <c r="F2255" s="65" t="str">
        <f>IFERROR(__xludf.DUMMYFUNCTION("""COMPUTED_VALUE"""),"959893367")</f>
        <v>959893367</v>
      </c>
      <c r="G2255" s="65" t="str">
        <f>IFERROR(__xludf.DUMMYFUNCTION("""COMPUTED_VALUE"""),"titoeg76@hotmail.com")</f>
        <v>titoeg76@hotmail.com</v>
      </c>
      <c r="H2255" s="65"/>
      <c r="I2255" s="65"/>
      <c r="J2255" s="65"/>
      <c r="K2255" s="65" t="str">
        <f>IFERROR(__xludf.DUMMYFUNCTION("""COMPUTED_VALUE"""),"CANCELADO")</f>
        <v>CANCELADO</v>
      </c>
      <c r="L2255" s="65" t="str">
        <f>IFERROR(__xludf.DUMMYFUNCTION("""COMPUTED_VALUE"""),"CON RECAUDO")</f>
        <v>CON RECAUDO</v>
      </c>
      <c r="M2255" s="65" t="str">
        <f>IFERROR(__xludf.DUMMYFUNCTION("""COMPUTED_VALUE"""),"LOJA")</f>
        <v>LOJA</v>
      </c>
      <c r="N2255" s="65" t="str">
        <f>IFERROR(__xludf.DUMMYFUNCTION("""COMPUTED_VALUE"""),"ALAMOR")</f>
        <v>ALAMOR</v>
      </c>
      <c r="O2255" s="65" t="str">
        <f>IFERROR(__xludf.DUMMYFUNCTION("""COMPUTED_VALUE"""),"Km 1 vía a la costa Frente quinta Macas -")</f>
        <v>Km 1 vía a la costa Frente quinta Macas -</v>
      </c>
      <c r="P2255" s="65" t="str">
        <f>IFERROR(__xludf.DUMMYFUNCTION("""COMPUTED_VALUE"""),"(SERVIENTREGA) CS: ALAMOR_ALAMOR_CANONIGO / SIMON BOLIVAR Y CANONIGO AGUIRRE")</f>
        <v>(SERVIENTREGA) CS: ALAMOR_ALAMOR_CANONIGO / SIMON BOLIVAR Y CANONIGO AGUIRRE</v>
      </c>
      <c r="Q2255" s="65" t="str">
        <f>IFERROR(__xludf.DUMMYFUNCTION("""COMPUTED_VALUE"""),"SERVIENTREGA")</f>
        <v>SERVIENTREGA</v>
      </c>
      <c r="R2255" s="65">
        <f>IFERROR(__xludf.DUMMYFUNCTION("""COMPUTED_VALUE"""),25.0)</f>
        <v>25</v>
      </c>
      <c r="S2255" s="65"/>
      <c r="T2255" s="65">
        <f>IFERROR(__xludf.DUMMYFUNCTION("""COMPUTED_VALUE"""),7.75)</f>
        <v>7.75</v>
      </c>
      <c r="U2255" s="65">
        <f>IFERROR(__xludf.DUMMYFUNCTION("""COMPUTED_VALUE"""),0.0)</f>
        <v>0</v>
      </c>
      <c r="V2255" s="65">
        <f>IFERROR(__xludf.DUMMYFUNCTION("""COMPUTED_VALUE"""),0.0)</f>
        <v>0</v>
      </c>
      <c r="W2255" s="65">
        <f>IFERROR(__xludf.DUMMYFUNCTION("""COMPUTED_VALUE"""),0.0)</f>
        <v>0</v>
      </c>
      <c r="X2255" s="65">
        <f>IFERROR(__xludf.DUMMYFUNCTION("""COMPUTED_VALUE"""),2.79)</f>
        <v>2.79</v>
      </c>
      <c r="Y2255" s="65">
        <f>IFERROR(__xludf.DUMMYFUNCTION("""COMPUTED_VALUE"""),5.58)</f>
        <v>5.58</v>
      </c>
      <c r="Z2255" s="65">
        <f>IFERROR(__xludf.DUMMYFUNCTION("""COMPUTED_VALUE"""),120732.0)</f>
        <v>120732</v>
      </c>
      <c r="AA2255" s="65" t="str">
        <f>IFERROR(__xludf.DUMMYFUNCTION("""COMPUTED_VALUE"""),"PROV-LMPVT")</f>
        <v>PROV-LMPVT</v>
      </c>
      <c r="AB2255" s="65"/>
      <c r="AC2255" s="65" t="str">
        <f>IFERROR(__xludf.DUMMYFUNCTION("""COMPUTED_VALUE"""),"LIMPIADOR DE PARABRISAS Y VENTANAS")</f>
        <v>LIMPIADOR DE PARABRISAS Y VENTANAS</v>
      </c>
      <c r="AD2255" s="65"/>
      <c r="AE2255" s="65">
        <f>IFERROR(__xludf.DUMMYFUNCTION("""COMPUTED_VALUE"""),2.0)</f>
        <v>2</v>
      </c>
      <c r="AF2255" s="65"/>
      <c r="AG2255" s="65"/>
      <c r="AH2255" s="65"/>
      <c r="AI2255" s="65"/>
      <c r="AJ2255" s="65"/>
      <c r="AK2255" s="65"/>
      <c r="AL2255" s="65"/>
      <c r="AM2255" s="65"/>
      <c r="AN2255" s="65"/>
      <c r="AO2255" s="65"/>
      <c r="AP2255" s="65"/>
      <c r="AQ2255" s="65"/>
      <c r="AR2255" s="65"/>
      <c r="AS2255" s="65"/>
      <c r="AT2255" s="65" t="str">
        <f>IFERROR(__xludf.DUMMYFUNCTION("""COMPUTED_VALUE"""),"SHOPIFY")</f>
        <v>SHOPIFY</v>
      </c>
      <c r="AU2255" s="65" t="str">
        <f>IFERROR(__xludf.DUMMYFUNCTION("""COMPUTED_VALUE"""),"IMPORTEX EC")</f>
        <v>IMPORTEX EC</v>
      </c>
      <c r="AV2255" s="65" t="str">
        <f>IFERROR(__xludf.DUMMYFUNCTION("""COMPUTED_VALUE"""),"6398166695980")</f>
        <v>6398166695980</v>
      </c>
      <c r="AW2255" s="65">
        <f>IFERROR(__xludf.DUMMYFUNCTION("""COMPUTED_VALUE"""),4729.0)</f>
        <v>4729</v>
      </c>
      <c r="AX2255" s="65"/>
      <c r="AY2255" s="65"/>
      <c r="AZ2255" s="65"/>
      <c r="BA2255" s="65"/>
    </row>
    <row r="2256">
      <c r="A2256" s="65" t="str">
        <f>IFERROR(__xludf.DUMMYFUNCTION("""COMPUTED_VALUE"""),"27-03-2026")</f>
        <v>27-03-2026</v>
      </c>
      <c r="B2256" s="65">
        <f>IFERROR(__xludf.DUMMYFUNCTION("""COMPUTED_VALUE"""),4065320.0)</f>
        <v>4065320</v>
      </c>
      <c r="C2256" s="65" t="str">
        <f>IFERROR(__xludf.DUMMYFUNCTION("""COMPUTED_VALUE"""),"07:23")</f>
        <v>07:23</v>
      </c>
      <c r="D2256" s="65" t="str">
        <f>IFERROR(__xludf.DUMMYFUNCTION("""COMPUTED_VALUE"""),"08-01-2026")</f>
        <v>08-01-2026</v>
      </c>
      <c r="E2256" s="65" t="str">
        <f>IFERROR(__xludf.DUMMYFUNCTION("""COMPUTED_VALUE"""),"Juan orellana")</f>
        <v>Juan orellana</v>
      </c>
      <c r="F2256" s="65" t="str">
        <f>IFERROR(__xludf.DUMMYFUNCTION("""COMPUTED_VALUE"""),"962962819")</f>
        <v>962962819</v>
      </c>
      <c r="G2256" s="65" t="str">
        <f>IFERROR(__xludf.DUMMYFUNCTION("""COMPUTED_VALUE"""),"jko944@hotmail.com")</f>
        <v>jko944@hotmail.com</v>
      </c>
      <c r="H2256" s="65"/>
      <c r="I2256" s="65"/>
      <c r="J2256" s="65" t="str">
        <f>IFERROR(__xludf.DUMMYFUNCTION("""COMPUTED_VALUE"""),"D001202881")</f>
        <v>D001202881</v>
      </c>
      <c r="K2256" s="65" t="str">
        <f>IFERROR(__xludf.DUMMYFUNCTION("""COMPUTED_VALUE"""),"ENTREGADO")</f>
        <v>ENTREGADO</v>
      </c>
      <c r="L2256" s="65" t="str">
        <f>IFERROR(__xludf.DUMMYFUNCTION("""COMPUTED_VALUE"""),"CON RECAUDO")</f>
        <v>CON RECAUDO</v>
      </c>
      <c r="M2256" s="65" t="str">
        <f>IFERROR(__xludf.DUMMYFUNCTION("""COMPUTED_VALUE"""),"AZUAY")</f>
        <v>AZUAY</v>
      </c>
      <c r="N2256" s="65" t="str">
        <f>IFERROR(__xludf.DUMMYFUNCTION("""COMPUTED_VALUE"""),"CUENCA")</f>
        <v>CUENCA</v>
      </c>
      <c r="O2256" s="65" t="str">
        <f>IFERROR(__xludf.DUMMYFUNCTION("""COMPUTED_VALUE"""),"Nuñez de Bonilla 5-186 Local braap motos frente ANETA -")</f>
        <v>Nuñez de Bonilla 5-186 Local braap motos frente ANETA -</v>
      </c>
      <c r="P2256" s="65"/>
      <c r="Q2256" s="65" t="str">
        <f>IFERROR(__xludf.DUMMYFUNCTION("""COMPUTED_VALUE"""),"GINTRACOM")</f>
        <v>GINTRACOM</v>
      </c>
      <c r="R2256" s="65">
        <f>IFERROR(__xludf.DUMMYFUNCTION("""COMPUTED_VALUE"""),20.0)</f>
        <v>20</v>
      </c>
      <c r="S2256" s="65">
        <f>IFERROR(__xludf.DUMMYFUNCTION("""COMPUTED_VALUE"""),11.45)</f>
        <v>11.45</v>
      </c>
      <c r="T2256" s="65">
        <f>IFERROR(__xludf.DUMMYFUNCTION("""COMPUTED_VALUE"""),5.76)</f>
        <v>5.76</v>
      </c>
      <c r="U2256" s="65">
        <f>IFERROR(__xludf.DUMMYFUNCTION("""COMPUTED_VALUE"""),0.0)</f>
        <v>0</v>
      </c>
      <c r="V2256" s="65">
        <f>IFERROR(__xludf.DUMMYFUNCTION("""COMPUTED_VALUE"""),0.0)</f>
        <v>0</v>
      </c>
      <c r="W2256" s="65">
        <f>IFERROR(__xludf.DUMMYFUNCTION("""COMPUTED_VALUE"""),0.0)</f>
        <v>0</v>
      </c>
      <c r="X2256" s="65">
        <f>IFERROR(__xludf.DUMMYFUNCTION("""COMPUTED_VALUE"""),2.79)</f>
        <v>2.79</v>
      </c>
      <c r="Y2256" s="65">
        <f>IFERROR(__xludf.DUMMYFUNCTION("""COMPUTED_VALUE"""),2.79)</f>
        <v>2.79</v>
      </c>
      <c r="Z2256" s="65">
        <f>IFERROR(__xludf.DUMMYFUNCTION("""COMPUTED_VALUE"""),120732.0)</f>
        <v>120732</v>
      </c>
      <c r="AA2256" s="65" t="str">
        <f>IFERROR(__xludf.DUMMYFUNCTION("""COMPUTED_VALUE"""),"PROV-LMPVT")</f>
        <v>PROV-LMPVT</v>
      </c>
      <c r="AB2256" s="65"/>
      <c r="AC2256" s="65" t="str">
        <f>IFERROR(__xludf.DUMMYFUNCTION("""COMPUTED_VALUE"""),"LIMPIADOR DE PARABRISAS Y VENTANAS")</f>
        <v>LIMPIADOR DE PARABRISAS Y VENTANAS</v>
      </c>
      <c r="AD2256" s="65"/>
      <c r="AE2256" s="65">
        <f>IFERROR(__xludf.DUMMYFUNCTION("""COMPUTED_VALUE"""),1.0)</f>
        <v>1</v>
      </c>
      <c r="AF2256" s="65"/>
      <c r="AG2256" s="65"/>
      <c r="AH2256" s="65"/>
      <c r="AI2256" s="65"/>
      <c r="AJ2256" s="65"/>
      <c r="AK2256" s="65"/>
      <c r="AL2256" s="65"/>
      <c r="AM2256" s="65"/>
      <c r="AN2256" s="65" t="str">
        <f>IFERROR(__xludf.DUMMYFUNCTION("""COMPUTED_VALUE"""),"09:46")</f>
        <v>09:46</v>
      </c>
      <c r="AO2256" s="65" t="str">
        <f>IFERROR(__xludf.DUMMYFUNCTION("""COMPUTED_VALUE"""),"10-01-2026")</f>
        <v>10-01-2026</v>
      </c>
      <c r="AP2256" s="65" t="str">
        <f>IFERROR(__xludf.DUMMYFUNCTION("""COMPUTED_VALUE"""),"ENTREGADA GINTRACOM")</f>
        <v>ENTREGADA GINTRACOM</v>
      </c>
      <c r="AQ2256" s="65" t="str">
        <f>IFERROR(__xludf.DUMMYFUNCTION("""COMPUTED_VALUE"""),"ENTREGADA GINTRACOM")</f>
        <v>ENTREGADA GINTRACOM</v>
      </c>
      <c r="AR2256" s="65"/>
      <c r="AS2256" s="65"/>
      <c r="AT2256" s="65" t="str">
        <f>IFERROR(__xludf.DUMMYFUNCTION("""COMPUTED_VALUE"""),"SHOPIFY")</f>
        <v>SHOPIFY</v>
      </c>
      <c r="AU2256" s="65" t="str">
        <f>IFERROR(__xludf.DUMMYFUNCTION("""COMPUTED_VALUE"""),"IMPORTEX EC")</f>
        <v>IMPORTEX EC</v>
      </c>
      <c r="AV2256" s="65" t="str">
        <f>IFERROR(__xludf.DUMMYFUNCTION("""COMPUTED_VALUE"""),"6398127505452")</f>
        <v>6398127505452</v>
      </c>
      <c r="AW2256" s="65">
        <f>IFERROR(__xludf.DUMMYFUNCTION("""COMPUTED_VALUE"""),4728.0)</f>
        <v>4728</v>
      </c>
      <c r="AX2256" s="65"/>
      <c r="AY2256" s="65" t="str">
        <f>IFERROR(__xludf.DUMMYFUNCTION("""COMPUTED_VALUE"""),"08/01/2026")</f>
        <v>08/01/2026</v>
      </c>
      <c r="AZ2256" s="65"/>
      <c r="BA2256" s="65"/>
    </row>
    <row r="2257">
      <c r="A2257" s="65" t="str">
        <f>IFERROR(__xludf.DUMMYFUNCTION("""COMPUTED_VALUE"""),"27-03-2026")</f>
        <v>27-03-2026</v>
      </c>
      <c r="B2257" s="65">
        <f>IFERROR(__xludf.DUMMYFUNCTION("""COMPUTED_VALUE"""),4061881.0)</f>
        <v>4061881</v>
      </c>
      <c r="C2257" s="65" t="str">
        <f>IFERROR(__xludf.DUMMYFUNCTION("""COMPUTED_VALUE"""),"21:39")</f>
        <v>21:39</v>
      </c>
      <c r="D2257" s="65" t="str">
        <f>IFERROR(__xludf.DUMMYFUNCTION("""COMPUTED_VALUE"""),"07-01-2026")</f>
        <v>07-01-2026</v>
      </c>
      <c r="E2257" s="65" t="str">
        <f>IFERROR(__xludf.DUMMYFUNCTION("""COMPUTED_VALUE"""),"Cristian Sigcha")</f>
        <v>Cristian Sigcha</v>
      </c>
      <c r="F2257" s="65" t="str">
        <f>IFERROR(__xludf.DUMMYFUNCTION("""COMPUTED_VALUE"""),"985481837")</f>
        <v>985481837</v>
      </c>
      <c r="G2257" s="65" t="str">
        <f>IFERROR(__xludf.DUMMYFUNCTION("""COMPUTED_VALUE"""),"davidsigcha2016@gmail.com")</f>
        <v>davidsigcha2016@gmail.com</v>
      </c>
      <c r="H2257" s="65"/>
      <c r="I2257" s="65"/>
      <c r="J2257" s="65" t="str">
        <f>IFERROR(__xludf.DUMMYFUNCTION("""COMPUTED_VALUE"""),"D001201079")</f>
        <v>D001201079</v>
      </c>
      <c r="K2257" s="65" t="str">
        <f>IFERROR(__xludf.DUMMYFUNCTION("""COMPUTED_VALUE"""),"ENTREGADO")</f>
        <v>ENTREGADO</v>
      </c>
      <c r="L2257" s="65" t="str">
        <f>IFERROR(__xludf.DUMMYFUNCTION("""COMPUTED_VALUE"""),"CON RECAUDO")</f>
        <v>CON RECAUDO</v>
      </c>
      <c r="M2257" s="65" t="str">
        <f>IFERROR(__xludf.DUMMYFUNCTION("""COMPUTED_VALUE"""),"PICHINCHA")</f>
        <v>PICHINCHA</v>
      </c>
      <c r="N2257" s="65" t="str">
        <f>IFERROR(__xludf.DUMMYFUNCTION("""COMPUTED_VALUE"""),"QUITO")</f>
        <v>QUITO</v>
      </c>
      <c r="O2257" s="65" t="str">
        <f>IFERROR(__xludf.DUMMYFUNCTION("""COMPUTED_VALUE"""),"C.11 y Calle 13. Oe4-106 La.ofelia -")</f>
        <v>C.11 y Calle 13. Oe4-106 La.ofelia -</v>
      </c>
      <c r="P2257" s="65"/>
      <c r="Q2257" s="65" t="str">
        <f>IFERROR(__xludf.DUMMYFUNCTION("""COMPUTED_VALUE"""),"GINTRACOM")</f>
        <v>GINTRACOM</v>
      </c>
      <c r="R2257" s="65">
        <f>IFERROR(__xludf.DUMMYFUNCTION("""COMPUTED_VALUE"""),20.0)</f>
        <v>20</v>
      </c>
      <c r="S2257" s="65">
        <f>IFERROR(__xludf.DUMMYFUNCTION("""COMPUTED_VALUE"""),10.85)</f>
        <v>10.85</v>
      </c>
      <c r="T2257" s="65">
        <f>IFERROR(__xludf.DUMMYFUNCTION("""COMPUTED_VALUE"""),4.15)</f>
        <v>4.15</v>
      </c>
      <c r="U2257" s="65">
        <f>IFERROR(__xludf.DUMMYFUNCTION("""COMPUTED_VALUE"""),0.0)</f>
        <v>0</v>
      </c>
      <c r="V2257" s="65">
        <f>IFERROR(__xludf.DUMMYFUNCTION("""COMPUTED_VALUE"""),0.0)</f>
        <v>0</v>
      </c>
      <c r="W2257" s="65">
        <f>IFERROR(__xludf.DUMMYFUNCTION("""COMPUTED_VALUE"""),0.0)</f>
        <v>0</v>
      </c>
      <c r="X2257" s="65">
        <f>IFERROR(__xludf.DUMMYFUNCTION("""COMPUTED_VALUE"""),5.0)</f>
        <v>5</v>
      </c>
      <c r="Y2257" s="65">
        <f>IFERROR(__xludf.DUMMYFUNCTION("""COMPUTED_VALUE"""),5.0)</f>
        <v>5</v>
      </c>
      <c r="Z2257" s="65">
        <f>IFERROR(__xludf.DUMMYFUNCTION("""COMPUTED_VALUE"""),110064.0)</f>
        <v>110064</v>
      </c>
      <c r="AA2257" s="65" t="str">
        <f>IFERROR(__xludf.DUMMYFUNCTION("""COMPUTED_VALUE"""),"IMX-00001")</f>
        <v>IMX-00001</v>
      </c>
      <c r="AB2257" s="65"/>
      <c r="AC2257" s="65" t="str">
        <f>IFERROR(__xludf.DUMMYFUNCTION("""COMPUTED_VALUE"""),"LLAVE TRINQUETE")</f>
        <v>LLAVE TRINQUETE</v>
      </c>
      <c r="AD2257" s="65"/>
      <c r="AE2257" s="65">
        <f>IFERROR(__xludf.DUMMYFUNCTION("""COMPUTED_VALUE"""),1.0)</f>
        <v>1</v>
      </c>
      <c r="AF2257" s="65"/>
      <c r="AG2257" s="65"/>
      <c r="AH2257" s="65"/>
      <c r="AI2257" s="65"/>
      <c r="AJ2257" s="65"/>
      <c r="AK2257" s="65"/>
      <c r="AL2257" s="65"/>
      <c r="AM2257" s="65"/>
      <c r="AN2257" s="65" t="str">
        <f>IFERROR(__xludf.DUMMYFUNCTION("""COMPUTED_VALUE"""),"11:57")</f>
        <v>11:57</v>
      </c>
      <c r="AO2257" s="65" t="str">
        <f>IFERROR(__xludf.DUMMYFUNCTION("""COMPUTED_VALUE"""),"09-01-2026")</f>
        <v>09-01-2026</v>
      </c>
      <c r="AP2257" s="65" t="str">
        <f>IFERROR(__xludf.DUMMYFUNCTION("""COMPUTED_VALUE"""),"ENTREGADA GINTRACOM")</f>
        <v>ENTREGADA GINTRACOM</v>
      </c>
      <c r="AQ2257" s="65" t="str">
        <f>IFERROR(__xludf.DUMMYFUNCTION("""COMPUTED_VALUE"""),"ENTREGADA GINTRACOM")</f>
        <v>ENTREGADA GINTRACOM</v>
      </c>
      <c r="AR2257" s="65"/>
      <c r="AS2257" s="65"/>
      <c r="AT2257" s="65" t="str">
        <f>IFERROR(__xludf.DUMMYFUNCTION("""COMPUTED_VALUE"""),"SHOPIFY")</f>
        <v>SHOPIFY</v>
      </c>
      <c r="AU2257" s="65" t="str">
        <f>IFERROR(__xludf.DUMMYFUNCTION("""COMPUTED_VALUE"""),"IMPORTEX EC")</f>
        <v>IMPORTEX EC</v>
      </c>
      <c r="AV2257" s="65" t="str">
        <f>IFERROR(__xludf.DUMMYFUNCTION("""COMPUTED_VALUE"""),"6392750604332")</f>
        <v>6392750604332</v>
      </c>
      <c r="AW2257" s="65">
        <f>IFERROR(__xludf.DUMMYFUNCTION("""COMPUTED_VALUE"""),4676.0)</f>
        <v>4676</v>
      </c>
      <c r="AX2257" s="65"/>
      <c r="AY2257" s="65" t="str">
        <f>IFERROR(__xludf.DUMMYFUNCTION("""COMPUTED_VALUE"""),"08/01/2026")</f>
        <v>08/01/2026</v>
      </c>
      <c r="AZ2257" s="65"/>
      <c r="BA2257" s="65"/>
    </row>
    <row r="2258">
      <c r="A2258" s="65" t="str">
        <f>IFERROR(__xludf.DUMMYFUNCTION("""COMPUTED_VALUE"""),"27-03-2026")</f>
        <v>27-03-2026</v>
      </c>
      <c r="B2258" s="65">
        <f>IFERROR(__xludf.DUMMYFUNCTION("""COMPUTED_VALUE"""),4061797.0)</f>
        <v>4061797</v>
      </c>
      <c r="C2258" s="65" t="str">
        <f>IFERROR(__xludf.DUMMYFUNCTION("""COMPUTED_VALUE"""),"21:33")</f>
        <v>21:33</v>
      </c>
      <c r="D2258" s="65" t="str">
        <f>IFERROR(__xludf.DUMMYFUNCTION("""COMPUTED_VALUE"""),"07-01-2026")</f>
        <v>07-01-2026</v>
      </c>
      <c r="E2258" s="65" t="str">
        <f>IFERROR(__xludf.DUMMYFUNCTION("""COMPUTED_VALUE"""),"César Augusto LLUMIQUINGA")</f>
        <v>César Augusto LLUMIQUINGA</v>
      </c>
      <c r="F2258" s="65" t="str">
        <f>IFERROR(__xludf.DUMMYFUNCTION("""COMPUTED_VALUE"""),"999553837")</f>
        <v>999553837</v>
      </c>
      <c r="G2258" s="65" t="str">
        <f>IFERROR(__xludf.DUMMYFUNCTION("""COMPUTED_VALUE"""),"llumiquingacesar220@gmail.com")</f>
        <v>llumiquingacesar220@gmail.com</v>
      </c>
      <c r="H2258" s="65"/>
      <c r="I2258" s="65"/>
      <c r="J2258" s="65" t="str">
        <f>IFERROR(__xludf.DUMMYFUNCTION("""COMPUTED_VALUE"""),"D001201082")</f>
        <v>D001201082</v>
      </c>
      <c r="K2258" s="65" t="str">
        <f>IFERROR(__xludf.DUMMYFUNCTION("""COMPUTED_VALUE"""),"ENTREGADO")</f>
        <v>ENTREGADO</v>
      </c>
      <c r="L2258" s="65" t="str">
        <f>IFERROR(__xludf.DUMMYFUNCTION("""COMPUTED_VALUE"""),"CON RECAUDO")</f>
        <v>CON RECAUDO</v>
      </c>
      <c r="M2258" s="65" t="str">
        <f>IFERROR(__xludf.DUMMYFUNCTION("""COMPUTED_VALUE"""),"PICHINCHA")</f>
        <v>PICHINCHA</v>
      </c>
      <c r="N2258" s="65" t="str">
        <f>IFERROR(__xludf.DUMMYFUNCTION("""COMPUTED_VALUE"""),"SANGOLQUI")</f>
        <v>SANGOLQUI</v>
      </c>
      <c r="O2258" s="65" t="str">
        <f>IFERROR(__xludf.DUMMYFUNCTION("""COMPUTED_VALUE"""),"Toa Huaynacapa -")</f>
        <v>Toa Huaynacapa -</v>
      </c>
      <c r="P2258" s="65"/>
      <c r="Q2258" s="65" t="str">
        <f>IFERROR(__xludf.DUMMYFUNCTION("""COMPUTED_VALUE"""),"GINTRACOM")</f>
        <v>GINTRACOM</v>
      </c>
      <c r="R2258" s="65">
        <f>IFERROR(__xludf.DUMMYFUNCTION("""COMPUTED_VALUE"""),25.0)</f>
        <v>25</v>
      </c>
      <c r="S2258" s="65">
        <f>IFERROR(__xludf.DUMMYFUNCTION("""COMPUTED_VALUE"""),10.08)</f>
        <v>10.08</v>
      </c>
      <c r="T2258" s="65">
        <f>IFERROR(__xludf.DUMMYFUNCTION("""COMPUTED_VALUE"""),4.92)</f>
        <v>4.92</v>
      </c>
      <c r="U2258" s="65">
        <f>IFERROR(__xludf.DUMMYFUNCTION("""COMPUTED_VALUE"""),0.0)</f>
        <v>0</v>
      </c>
      <c r="V2258" s="65">
        <f>IFERROR(__xludf.DUMMYFUNCTION("""COMPUTED_VALUE"""),0.0)</f>
        <v>0</v>
      </c>
      <c r="W2258" s="65">
        <f>IFERROR(__xludf.DUMMYFUNCTION("""COMPUTED_VALUE"""),0.0)</f>
        <v>0</v>
      </c>
      <c r="X2258" s="65">
        <f>IFERROR(__xludf.DUMMYFUNCTION("""COMPUTED_VALUE"""),5.0)</f>
        <v>5</v>
      </c>
      <c r="Y2258" s="65">
        <f>IFERROR(__xludf.DUMMYFUNCTION("""COMPUTED_VALUE"""),10.0)</f>
        <v>10</v>
      </c>
      <c r="Z2258" s="65">
        <f>IFERROR(__xludf.DUMMYFUNCTION("""COMPUTED_VALUE"""),110064.0)</f>
        <v>110064</v>
      </c>
      <c r="AA2258" s="65" t="str">
        <f>IFERROR(__xludf.DUMMYFUNCTION("""COMPUTED_VALUE"""),"IMX-00001")</f>
        <v>IMX-00001</v>
      </c>
      <c r="AB2258" s="65"/>
      <c r="AC2258" s="65" t="str">
        <f>IFERROR(__xludf.DUMMYFUNCTION("""COMPUTED_VALUE"""),"LLAVE TRINQUETE")</f>
        <v>LLAVE TRINQUETE</v>
      </c>
      <c r="AD2258" s="65"/>
      <c r="AE2258" s="65">
        <f>IFERROR(__xludf.DUMMYFUNCTION("""COMPUTED_VALUE"""),2.0)</f>
        <v>2</v>
      </c>
      <c r="AF2258" s="65" t="str">
        <f>IFERROR(__xludf.DUMMYFUNCTION("""COMPUTED_VALUE"""),"DESTINATARIO NO SE ENCUENTRA EN LUGAR DE ENTREGA.")</f>
        <v>DESTINATARIO NO SE ENCUENTRA EN LUGAR DE ENTREGA.</v>
      </c>
      <c r="AG2258" s="65" t="str">
        <f>IFERROR(__xludf.DUMMYFUNCTION("""COMPUTED_VALUE"""),"NO")</f>
        <v>NO</v>
      </c>
      <c r="AH2258" s="65" t="str">
        <f>IFERROR(__xludf.DUMMYFUNCTION("""COMPUTED_VALUE"""),"10:57")</f>
        <v>10:57</v>
      </c>
      <c r="AI2258" s="65" t="str">
        <f>IFERROR(__xludf.DUMMYFUNCTION("""COMPUTED_VALUE"""),"09-01-2026")</f>
        <v>09-01-2026</v>
      </c>
      <c r="AJ2258" s="65"/>
      <c r="AK2258" s="65"/>
      <c r="AL2258" s="65"/>
      <c r="AM2258" s="65"/>
      <c r="AN2258" s="65" t="str">
        <f>IFERROR(__xludf.DUMMYFUNCTION("""COMPUTED_VALUE"""),"11:24")</f>
        <v>11:24</v>
      </c>
      <c r="AO2258" s="65" t="str">
        <f>IFERROR(__xludf.DUMMYFUNCTION("""COMPUTED_VALUE"""),"09-01-2026")</f>
        <v>09-01-2026</v>
      </c>
      <c r="AP2258" s="65" t="str">
        <f>IFERROR(__xludf.DUMMYFUNCTION("""COMPUTED_VALUE"""),"ENTREGADA GINTRACOM")</f>
        <v>ENTREGADA GINTRACOM</v>
      </c>
      <c r="AQ2258" s="65" t="str">
        <f>IFERROR(__xludf.DUMMYFUNCTION("""COMPUTED_VALUE"""),"ENTREGADA GINTRACOM")</f>
        <v>ENTREGADA GINTRACOM</v>
      </c>
      <c r="AR2258" s="65"/>
      <c r="AS2258" s="65"/>
      <c r="AT2258" s="65" t="str">
        <f>IFERROR(__xludf.DUMMYFUNCTION("""COMPUTED_VALUE"""),"SHOPIFY")</f>
        <v>SHOPIFY</v>
      </c>
      <c r="AU2258" s="65" t="str">
        <f>IFERROR(__xludf.DUMMYFUNCTION("""COMPUTED_VALUE"""),"IMPORTEX EC")</f>
        <v>IMPORTEX EC</v>
      </c>
      <c r="AV2258" s="65" t="str">
        <f>IFERROR(__xludf.DUMMYFUNCTION("""COMPUTED_VALUE"""),"6392705679404")</f>
        <v>6392705679404</v>
      </c>
      <c r="AW2258" s="65">
        <f>IFERROR(__xludf.DUMMYFUNCTION("""COMPUTED_VALUE"""),4675.0)</f>
        <v>4675</v>
      </c>
      <c r="AX2258" s="65"/>
      <c r="AY2258" s="65" t="str">
        <f>IFERROR(__xludf.DUMMYFUNCTION("""COMPUTED_VALUE"""),"08/01/2026")</f>
        <v>08/01/2026</v>
      </c>
      <c r="AZ2258" s="65"/>
      <c r="BA2258" s="65"/>
    </row>
    <row r="2259">
      <c r="A2259" s="65" t="str">
        <f>IFERROR(__xludf.DUMMYFUNCTION("""COMPUTED_VALUE"""),"27-03-2026")</f>
        <v>27-03-2026</v>
      </c>
      <c r="B2259" s="65">
        <f>IFERROR(__xludf.DUMMYFUNCTION("""COMPUTED_VALUE"""),4061743.0)</f>
        <v>4061743</v>
      </c>
      <c r="C2259" s="65" t="str">
        <f>IFERROR(__xludf.DUMMYFUNCTION("""COMPUTED_VALUE"""),"21:30")</f>
        <v>21:30</v>
      </c>
      <c r="D2259" s="65" t="str">
        <f>IFERROR(__xludf.DUMMYFUNCTION("""COMPUTED_VALUE"""),"07-01-2026")</f>
        <v>07-01-2026</v>
      </c>
      <c r="E2259" s="65" t="str">
        <f>IFERROR(__xludf.DUMMYFUNCTION("""COMPUTED_VALUE"""),"Jose segundo Castaneda potosi")</f>
        <v>Jose segundo Castaneda potosi</v>
      </c>
      <c r="F2259" s="65" t="str">
        <f>IFERROR(__xludf.DUMMYFUNCTION("""COMPUTED_VALUE"""),"980773544")</f>
        <v>980773544</v>
      </c>
      <c r="G2259" s="65" t="str">
        <f>IFERROR(__xludf.DUMMYFUNCTION("""COMPUTED_VALUE"""),"jc5999357@gmail.com")</f>
        <v>jc5999357@gmail.com</v>
      </c>
      <c r="H2259" s="65"/>
      <c r="I2259" s="65"/>
      <c r="J2259" s="65" t="str">
        <f>IFERROR(__xludf.DUMMYFUNCTION("""COMPUTED_VALUE"""),"D001201083")</f>
        <v>D001201083</v>
      </c>
      <c r="K2259" s="65" t="str">
        <f>IFERROR(__xludf.DUMMYFUNCTION("""COMPUTED_VALUE"""),"ENTREGADO")</f>
        <v>ENTREGADO</v>
      </c>
      <c r="L2259" s="65" t="str">
        <f>IFERROR(__xludf.DUMMYFUNCTION("""COMPUTED_VALUE"""),"CON RECAUDO")</f>
        <v>CON RECAUDO</v>
      </c>
      <c r="M2259" s="65" t="str">
        <f>IFERROR(__xludf.DUMMYFUNCTION("""COMPUTED_VALUE"""),"IMBABURA")</f>
        <v>IMBABURA</v>
      </c>
      <c r="N2259" s="65" t="str">
        <f>IFERROR(__xludf.DUMMYFUNCTION("""COMPUTED_VALUE"""),"OTAVALO")</f>
        <v>OTAVALO</v>
      </c>
      <c r="O2259" s="65" t="str">
        <f>IFERROR(__xludf.DUMMYFUNCTION("""COMPUTED_VALUE"""),"Calle Modesto Jaramillo y Calle Antonio José de Sucre Copacabana -")</f>
        <v>Calle Modesto Jaramillo y Calle Antonio José de Sucre Copacabana -</v>
      </c>
      <c r="P2259" s="65"/>
      <c r="Q2259" s="65" t="str">
        <f>IFERROR(__xludf.DUMMYFUNCTION("""COMPUTED_VALUE"""),"GINTRACOM")</f>
        <v>GINTRACOM</v>
      </c>
      <c r="R2259" s="65">
        <f>IFERROR(__xludf.DUMMYFUNCTION("""COMPUTED_VALUE"""),30.0)</f>
        <v>30</v>
      </c>
      <c r="S2259" s="65">
        <f>IFERROR(__xludf.DUMMYFUNCTION("""COMPUTED_VALUE"""),8.84)</f>
        <v>8.84</v>
      </c>
      <c r="T2259" s="65">
        <f>IFERROR(__xludf.DUMMYFUNCTION("""COMPUTED_VALUE"""),6.16)</f>
        <v>6.16</v>
      </c>
      <c r="U2259" s="65">
        <f>IFERROR(__xludf.DUMMYFUNCTION("""COMPUTED_VALUE"""),0.0)</f>
        <v>0</v>
      </c>
      <c r="V2259" s="65">
        <f>IFERROR(__xludf.DUMMYFUNCTION("""COMPUTED_VALUE"""),0.0)</f>
        <v>0</v>
      </c>
      <c r="W2259" s="65">
        <f>IFERROR(__xludf.DUMMYFUNCTION("""COMPUTED_VALUE"""),0.0)</f>
        <v>0</v>
      </c>
      <c r="X2259" s="65">
        <f>IFERROR(__xludf.DUMMYFUNCTION("""COMPUTED_VALUE"""),5.0)</f>
        <v>5</v>
      </c>
      <c r="Y2259" s="65">
        <f>IFERROR(__xludf.DUMMYFUNCTION("""COMPUTED_VALUE"""),15.0)</f>
        <v>15</v>
      </c>
      <c r="Z2259" s="65">
        <f>IFERROR(__xludf.DUMMYFUNCTION("""COMPUTED_VALUE"""),110064.0)</f>
        <v>110064</v>
      </c>
      <c r="AA2259" s="65" t="str">
        <f>IFERROR(__xludf.DUMMYFUNCTION("""COMPUTED_VALUE"""),"IMX-00001")</f>
        <v>IMX-00001</v>
      </c>
      <c r="AB2259" s="65"/>
      <c r="AC2259" s="65" t="str">
        <f>IFERROR(__xludf.DUMMYFUNCTION("""COMPUTED_VALUE"""),"LLAVE TRINQUETE")</f>
        <v>LLAVE TRINQUETE</v>
      </c>
      <c r="AD2259" s="65"/>
      <c r="AE2259" s="65">
        <f>IFERROR(__xludf.DUMMYFUNCTION("""COMPUTED_VALUE"""),3.0)</f>
        <v>3</v>
      </c>
      <c r="AF2259" s="65"/>
      <c r="AG2259" s="65"/>
      <c r="AH2259" s="65"/>
      <c r="AI2259" s="65"/>
      <c r="AJ2259" s="65"/>
      <c r="AK2259" s="65"/>
      <c r="AL2259" s="65"/>
      <c r="AM2259" s="65"/>
      <c r="AN2259" s="65" t="str">
        <f>IFERROR(__xludf.DUMMYFUNCTION("""COMPUTED_VALUE"""),"15:22")</f>
        <v>15:22</v>
      </c>
      <c r="AO2259" s="65" t="str">
        <f>IFERROR(__xludf.DUMMYFUNCTION("""COMPUTED_VALUE"""),"09-01-2026")</f>
        <v>09-01-2026</v>
      </c>
      <c r="AP2259" s="65" t="str">
        <f>IFERROR(__xludf.DUMMYFUNCTION("""COMPUTED_VALUE"""),"ENTREGADA GINTRACOM")</f>
        <v>ENTREGADA GINTRACOM</v>
      </c>
      <c r="AQ2259" s="65" t="str">
        <f>IFERROR(__xludf.DUMMYFUNCTION("""COMPUTED_VALUE"""),"ENTREGADA GINTRACOM")</f>
        <v>ENTREGADA GINTRACOM</v>
      </c>
      <c r="AR2259" s="65"/>
      <c r="AS2259" s="65"/>
      <c r="AT2259" s="65" t="str">
        <f>IFERROR(__xludf.DUMMYFUNCTION("""COMPUTED_VALUE"""),"SHOPIFY")</f>
        <v>SHOPIFY</v>
      </c>
      <c r="AU2259" s="65" t="str">
        <f>IFERROR(__xludf.DUMMYFUNCTION("""COMPUTED_VALUE"""),"IMPORTEX EC")</f>
        <v>IMPORTEX EC</v>
      </c>
      <c r="AV2259" s="65" t="str">
        <f>IFERROR(__xludf.DUMMYFUNCTION("""COMPUTED_VALUE"""),"6392626741292")</f>
        <v>6392626741292</v>
      </c>
      <c r="AW2259" s="65">
        <f>IFERROR(__xludf.DUMMYFUNCTION("""COMPUTED_VALUE"""),4673.0)</f>
        <v>4673</v>
      </c>
      <c r="AX2259" s="65"/>
      <c r="AY2259" s="65" t="str">
        <f>IFERROR(__xludf.DUMMYFUNCTION("""COMPUTED_VALUE"""),"08/01/2026")</f>
        <v>08/01/2026</v>
      </c>
      <c r="AZ2259" s="65"/>
      <c r="BA2259" s="65"/>
    </row>
    <row r="2260">
      <c r="A2260" s="65" t="str">
        <f>IFERROR(__xludf.DUMMYFUNCTION("""COMPUTED_VALUE"""),"27-03-2026")</f>
        <v>27-03-2026</v>
      </c>
      <c r="B2260" s="65">
        <f>IFERROR(__xludf.DUMMYFUNCTION("""COMPUTED_VALUE"""),4061651.0)</f>
        <v>4061651</v>
      </c>
      <c r="C2260" s="65" t="str">
        <f>IFERROR(__xludf.DUMMYFUNCTION("""COMPUTED_VALUE"""),"21:24")</f>
        <v>21:24</v>
      </c>
      <c r="D2260" s="65" t="str">
        <f>IFERROR(__xludf.DUMMYFUNCTION("""COMPUTED_VALUE"""),"07-01-2026")</f>
        <v>07-01-2026</v>
      </c>
      <c r="E2260" s="65" t="str">
        <f>IFERROR(__xludf.DUMMYFUNCTION("""COMPUTED_VALUE"""),"Enrique Vasconez")</f>
        <v>Enrique Vasconez</v>
      </c>
      <c r="F2260" s="65" t="str">
        <f>IFERROR(__xludf.DUMMYFUNCTION("""COMPUTED_VALUE"""),"997926510")</f>
        <v>997926510</v>
      </c>
      <c r="G2260" s="65" t="str">
        <f>IFERROR(__xludf.DUMMYFUNCTION("""COMPUTED_VALUE"""),"e-vasconez@hotmail.com")</f>
        <v>e-vasconez@hotmail.com</v>
      </c>
      <c r="H2260" s="65"/>
      <c r="I2260" s="65"/>
      <c r="J2260" s="65" t="str">
        <f>IFERROR(__xludf.DUMMYFUNCTION("""COMPUTED_VALUE"""),"D001201084")</f>
        <v>D001201084</v>
      </c>
      <c r="K2260" s="65" t="str">
        <f>IFERROR(__xludf.DUMMYFUNCTION("""COMPUTED_VALUE"""),"ENTREGADO")</f>
        <v>ENTREGADO</v>
      </c>
      <c r="L2260" s="65" t="str">
        <f>IFERROR(__xludf.DUMMYFUNCTION("""COMPUTED_VALUE"""),"CON RECAUDO")</f>
        <v>CON RECAUDO</v>
      </c>
      <c r="M2260" s="65" t="str">
        <f>IFERROR(__xludf.DUMMYFUNCTION("""COMPUTED_VALUE"""),"PICHINCHA")</f>
        <v>PICHINCHA</v>
      </c>
      <c r="N2260" s="65" t="str">
        <f>IFERROR(__xludf.DUMMYFUNCTION("""COMPUTED_VALUE"""),"QUITO")</f>
        <v>QUITO</v>
      </c>
      <c r="O2260" s="65" t="str">
        <f>IFERROR(__xludf.DUMMYFUNCTION("""COMPUTED_VALUE"""),"Calle Las Fresas Los laureles -")</f>
        <v>Calle Las Fresas Los laureles -</v>
      </c>
      <c r="P2260" s="65"/>
      <c r="Q2260" s="65" t="str">
        <f>IFERROR(__xludf.DUMMYFUNCTION("""COMPUTED_VALUE"""),"GINTRACOM")</f>
        <v>GINTRACOM</v>
      </c>
      <c r="R2260" s="65">
        <f>IFERROR(__xludf.DUMMYFUNCTION("""COMPUTED_VALUE"""),25.0)</f>
        <v>25</v>
      </c>
      <c r="S2260" s="65">
        <f>IFERROR(__xludf.DUMMYFUNCTION("""COMPUTED_VALUE"""),10.65)</f>
        <v>10.65</v>
      </c>
      <c r="T2260" s="65">
        <f>IFERROR(__xludf.DUMMYFUNCTION("""COMPUTED_VALUE"""),4.35)</f>
        <v>4.35</v>
      </c>
      <c r="U2260" s="65">
        <f>IFERROR(__xludf.DUMMYFUNCTION("""COMPUTED_VALUE"""),0.0)</f>
        <v>0</v>
      </c>
      <c r="V2260" s="65">
        <f>IFERROR(__xludf.DUMMYFUNCTION("""COMPUTED_VALUE"""),0.0)</f>
        <v>0</v>
      </c>
      <c r="W2260" s="65">
        <f>IFERROR(__xludf.DUMMYFUNCTION("""COMPUTED_VALUE"""),0.0)</f>
        <v>0</v>
      </c>
      <c r="X2260" s="65">
        <f>IFERROR(__xludf.DUMMYFUNCTION("""COMPUTED_VALUE"""),5.0)</f>
        <v>5</v>
      </c>
      <c r="Y2260" s="65">
        <f>IFERROR(__xludf.DUMMYFUNCTION("""COMPUTED_VALUE"""),10.0)</f>
        <v>10</v>
      </c>
      <c r="Z2260" s="65">
        <f>IFERROR(__xludf.DUMMYFUNCTION("""COMPUTED_VALUE"""),110064.0)</f>
        <v>110064</v>
      </c>
      <c r="AA2260" s="65" t="str">
        <f>IFERROR(__xludf.DUMMYFUNCTION("""COMPUTED_VALUE"""),"IMX-00001")</f>
        <v>IMX-00001</v>
      </c>
      <c r="AB2260" s="65"/>
      <c r="AC2260" s="65" t="str">
        <f>IFERROR(__xludf.DUMMYFUNCTION("""COMPUTED_VALUE"""),"LLAVE TRINQUETE")</f>
        <v>LLAVE TRINQUETE</v>
      </c>
      <c r="AD2260" s="65"/>
      <c r="AE2260" s="65">
        <f>IFERROR(__xludf.DUMMYFUNCTION("""COMPUTED_VALUE"""),2.0)</f>
        <v>2</v>
      </c>
      <c r="AF2260" s="65"/>
      <c r="AG2260" s="65"/>
      <c r="AH2260" s="65"/>
      <c r="AI2260" s="65"/>
      <c r="AJ2260" s="65"/>
      <c r="AK2260" s="65"/>
      <c r="AL2260" s="65"/>
      <c r="AM2260" s="65"/>
      <c r="AN2260" s="65" t="str">
        <f>IFERROR(__xludf.DUMMYFUNCTION("""COMPUTED_VALUE"""),"09:46")</f>
        <v>09:46</v>
      </c>
      <c r="AO2260" s="65" t="str">
        <f>IFERROR(__xludf.DUMMYFUNCTION("""COMPUTED_VALUE"""),"10-01-2026")</f>
        <v>10-01-2026</v>
      </c>
      <c r="AP2260" s="65" t="str">
        <f>IFERROR(__xludf.DUMMYFUNCTION("""COMPUTED_VALUE"""),"EN REPARTO")</f>
        <v>EN REPARTO</v>
      </c>
      <c r="AQ2260" s="65" t="str">
        <f>IFERROR(__xludf.DUMMYFUNCTION("""COMPUTED_VALUE"""),"EN REPARTO")</f>
        <v>EN REPARTO</v>
      </c>
      <c r="AR2260" s="65"/>
      <c r="AS2260" s="65"/>
      <c r="AT2260" s="65" t="str">
        <f>IFERROR(__xludf.DUMMYFUNCTION("""COMPUTED_VALUE"""),"SHOPIFY")</f>
        <v>SHOPIFY</v>
      </c>
      <c r="AU2260" s="65" t="str">
        <f>IFERROR(__xludf.DUMMYFUNCTION("""COMPUTED_VALUE"""),"IMPORTEX EC")</f>
        <v>IMPORTEX EC</v>
      </c>
      <c r="AV2260" s="65" t="str">
        <f>IFERROR(__xludf.DUMMYFUNCTION("""COMPUTED_VALUE"""),"6392315772972")</f>
        <v>6392315772972</v>
      </c>
      <c r="AW2260" s="65">
        <f>IFERROR(__xludf.DUMMYFUNCTION("""COMPUTED_VALUE"""),4669.0)</f>
        <v>4669</v>
      </c>
      <c r="AX2260" s="65"/>
      <c r="AY2260" s="65" t="str">
        <f>IFERROR(__xludf.DUMMYFUNCTION("""COMPUTED_VALUE"""),"08/01/2026")</f>
        <v>08/01/2026</v>
      </c>
      <c r="AZ2260" s="65"/>
      <c r="BA2260" s="65"/>
    </row>
    <row r="2261">
      <c r="A2261" s="65" t="str">
        <f>IFERROR(__xludf.DUMMYFUNCTION("""COMPUTED_VALUE"""),"27-03-2026")</f>
        <v>27-03-2026</v>
      </c>
      <c r="B2261" s="65">
        <f>IFERROR(__xludf.DUMMYFUNCTION("""COMPUTED_VALUE"""),4061575.0)</f>
        <v>4061575</v>
      </c>
      <c r="C2261" s="65" t="str">
        <f>IFERROR(__xludf.DUMMYFUNCTION("""COMPUTED_VALUE"""),"21:18")</f>
        <v>21:18</v>
      </c>
      <c r="D2261" s="65" t="str">
        <f>IFERROR(__xludf.DUMMYFUNCTION("""COMPUTED_VALUE"""),"07-01-2026")</f>
        <v>07-01-2026</v>
      </c>
      <c r="E2261" s="65" t="str">
        <f>IFERROR(__xludf.DUMMYFUNCTION("""COMPUTED_VALUE"""),"Jorge Washington Figueroa Hernández")</f>
        <v>Jorge Washington Figueroa Hernández</v>
      </c>
      <c r="F2261" s="65" t="str">
        <f>IFERROR(__xludf.DUMMYFUNCTION("""COMPUTED_VALUE"""),"988311144")</f>
        <v>988311144</v>
      </c>
      <c r="G2261" s="65" t="str">
        <f>IFERROR(__xludf.DUMMYFUNCTION("""COMPUTED_VALUE"""),"jorfighet@hotmail.com")</f>
        <v>jorfighet@hotmail.com</v>
      </c>
      <c r="H2261" s="65"/>
      <c r="I2261" s="65"/>
      <c r="J2261" s="65" t="str">
        <f>IFERROR(__xludf.DUMMYFUNCTION("""COMPUTED_VALUE"""),"D001204835")</f>
        <v>D001204835</v>
      </c>
      <c r="K2261" s="65" t="str">
        <f>IFERROR(__xludf.DUMMYFUNCTION("""COMPUTED_VALUE"""),"ENTREGADO")</f>
        <v>ENTREGADO</v>
      </c>
      <c r="L2261" s="65" t="str">
        <f>IFERROR(__xludf.DUMMYFUNCTION("""COMPUTED_VALUE"""),"CON RECAUDO")</f>
        <v>CON RECAUDO</v>
      </c>
      <c r="M2261" s="65" t="str">
        <f>IFERROR(__xludf.DUMMYFUNCTION("""COMPUTED_VALUE"""),"SUCUMBIOS")</f>
        <v>SUCUMBIOS</v>
      </c>
      <c r="N2261" s="65" t="str">
        <f>IFERROR(__xludf.DUMMYFUNCTION("""COMPUTED_VALUE"""),"LAGO AGRIO")</f>
        <v>LAGO AGRIO</v>
      </c>
      <c r="O2261" s="65" t="str">
        <f>IFERROR(__xludf.DUMMYFUNCTION("""COMPUTED_VALUE"""),"Sector Barrio Milena - Calle Ignacio de Veintimilla y Calle Posorja -")</f>
        <v>Sector Barrio Milena - Calle Ignacio de Veintimilla y Calle Posorja -</v>
      </c>
      <c r="P2261" s="65"/>
      <c r="Q2261" s="65" t="str">
        <f>IFERROR(__xludf.DUMMYFUNCTION("""COMPUTED_VALUE"""),"GINTRACOM")</f>
        <v>GINTRACOM</v>
      </c>
      <c r="R2261" s="65">
        <f>IFERROR(__xludf.DUMMYFUNCTION("""COMPUTED_VALUE"""),21.99)</f>
        <v>21.99</v>
      </c>
      <c r="S2261" s="65">
        <f>IFERROR(__xludf.DUMMYFUNCTION("""COMPUTED_VALUE"""),11.15)</f>
        <v>11.15</v>
      </c>
      <c r="T2261" s="65">
        <f>IFERROR(__xludf.DUMMYFUNCTION("""COMPUTED_VALUE"""),5.84)</f>
        <v>5.84</v>
      </c>
      <c r="U2261" s="65">
        <f>IFERROR(__xludf.DUMMYFUNCTION("""COMPUTED_VALUE"""),0.0)</f>
        <v>0</v>
      </c>
      <c r="V2261" s="65">
        <f>IFERROR(__xludf.DUMMYFUNCTION("""COMPUTED_VALUE"""),0.0)</f>
        <v>0</v>
      </c>
      <c r="W2261" s="65">
        <f>IFERROR(__xludf.DUMMYFUNCTION("""COMPUTED_VALUE"""),0.0)</f>
        <v>0</v>
      </c>
      <c r="X2261" s="65">
        <f>IFERROR(__xludf.DUMMYFUNCTION("""COMPUTED_VALUE"""),5.0)</f>
        <v>5</v>
      </c>
      <c r="Y2261" s="65">
        <f>IFERROR(__xludf.DUMMYFUNCTION("""COMPUTED_VALUE"""),5.0)</f>
        <v>5</v>
      </c>
      <c r="Z2261" s="65">
        <f>IFERROR(__xludf.DUMMYFUNCTION("""COMPUTED_VALUE"""),110064.0)</f>
        <v>110064</v>
      </c>
      <c r="AA2261" s="65" t="str">
        <f>IFERROR(__xludf.DUMMYFUNCTION("""COMPUTED_VALUE"""),"IMX-00001")</f>
        <v>IMX-00001</v>
      </c>
      <c r="AB2261" s="65"/>
      <c r="AC2261" s="65" t="str">
        <f>IFERROR(__xludf.DUMMYFUNCTION("""COMPUTED_VALUE"""),"LLAVE TRINQUETE")</f>
        <v>LLAVE TRINQUETE</v>
      </c>
      <c r="AD2261" s="65"/>
      <c r="AE2261" s="65">
        <f>IFERROR(__xludf.DUMMYFUNCTION("""COMPUTED_VALUE"""),1.0)</f>
        <v>1</v>
      </c>
      <c r="AF2261" s="65"/>
      <c r="AG2261" s="65"/>
      <c r="AH2261" s="65"/>
      <c r="AI2261" s="65"/>
      <c r="AJ2261" s="65"/>
      <c r="AK2261" s="65"/>
      <c r="AL2261" s="65"/>
      <c r="AM2261" s="65"/>
      <c r="AN2261" s="65" t="str">
        <f>IFERROR(__xludf.DUMMYFUNCTION("""COMPUTED_VALUE"""),"10:13")</f>
        <v>10:13</v>
      </c>
      <c r="AO2261" s="65" t="str">
        <f>IFERROR(__xludf.DUMMYFUNCTION("""COMPUTED_VALUE"""),"10-01-2026")</f>
        <v>10-01-2026</v>
      </c>
      <c r="AP2261" s="65" t="str">
        <f>IFERROR(__xludf.DUMMYFUNCTION("""COMPUTED_VALUE"""),"EN REPARTO")</f>
        <v>EN REPARTO</v>
      </c>
      <c r="AQ2261" s="65" t="str">
        <f>IFERROR(__xludf.DUMMYFUNCTION("""COMPUTED_VALUE"""),"EN REPARTO")</f>
        <v>EN REPARTO</v>
      </c>
      <c r="AR2261" s="65"/>
      <c r="AS2261" s="65"/>
      <c r="AT2261" s="65" t="str">
        <f>IFERROR(__xludf.DUMMYFUNCTION("""COMPUTED_VALUE"""),"SHOPIFY")</f>
        <v>SHOPIFY</v>
      </c>
      <c r="AU2261" s="65" t="str">
        <f>IFERROR(__xludf.DUMMYFUNCTION("""COMPUTED_VALUE"""),"IMPORTEX EC")</f>
        <v>IMPORTEX EC</v>
      </c>
      <c r="AV2261" s="65" t="str">
        <f>IFERROR(__xludf.DUMMYFUNCTION("""COMPUTED_VALUE"""),"6397411786796")</f>
        <v>6397411786796</v>
      </c>
      <c r="AW2261" s="65">
        <f>IFERROR(__xludf.DUMMYFUNCTION("""COMPUTED_VALUE"""),4727.0)</f>
        <v>4727</v>
      </c>
      <c r="AX2261" s="65"/>
      <c r="AY2261" s="65" t="str">
        <f>IFERROR(__xludf.DUMMYFUNCTION("""COMPUTED_VALUE"""),"09/01/2026")</f>
        <v>09/01/2026</v>
      </c>
      <c r="AZ2261" s="65"/>
      <c r="BA2261" s="65"/>
    </row>
    <row r="2262">
      <c r="A2262" s="65" t="str">
        <f>IFERROR(__xludf.DUMMYFUNCTION("""COMPUTED_VALUE"""),"27-03-2026")</f>
        <v>27-03-2026</v>
      </c>
      <c r="B2262" s="65">
        <f>IFERROR(__xludf.DUMMYFUNCTION("""COMPUTED_VALUE"""),4061410.0)</f>
        <v>4061410</v>
      </c>
      <c r="C2262" s="65" t="str">
        <f>IFERROR(__xludf.DUMMYFUNCTION("""COMPUTED_VALUE"""),"21:04")</f>
        <v>21:04</v>
      </c>
      <c r="D2262" s="65" t="str">
        <f>IFERROR(__xludf.DUMMYFUNCTION("""COMPUTED_VALUE"""),"07-01-2026")</f>
        <v>07-01-2026</v>
      </c>
      <c r="E2262" s="65" t="str">
        <f>IFERROR(__xludf.DUMMYFUNCTION("""COMPUTED_VALUE"""),"Patricio Rodriguez Rodriguez")</f>
        <v>Patricio Rodriguez Rodriguez</v>
      </c>
      <c r="F2262" s="65" t="str">
        <f>IFERROR(__xludf.DUMMYFUNCTION("""COMPUTED_VALUE"""),"984974892")</f>
        <v>984974892</v>
      </c>
      <c r="G2262" s="65" t="str">
        <f>IFERROR(__xludf.DUMMYFUNCTION("""COMPUTED_VALUE"""),"prodrigu@etapa.net.dc")</f>
        <v>prodrigu@etapa.net.dc</v>
      </c>
      <c r="H2262" s="65"/>
      <c r="I2262" s="65"/>
      <c r="J2262" s="65" t="str">
        <f>IFERROR(__xludf.DUMMYFUNCTION("""COMPUTED_VALUE"""),"D001204836")</f>
        <v>D001204836</v>
      </c>
      <c r="K2262" s="65" t="str">
        <f>IFERROR(__xludf.DUMMYFUNCTION("""COMPUTED_VALUE"""),"ENTREGADO")</f>
        <v>ENTREGADO</v>
      </c>
      <c r="L2262" s="65" t="str">
        <f>IFERROR(__xludf.DUMMYFUNCTION("""COMPUTED_VALUE"""),"CON RECAUDO")</f>
        <v>CON RECAUDO</v>
      </c>
      <c r="M2262" s="65" t="str">
        <f>IFERROR(__xludf.DUMMYFUNCTION("""COMPUTED_VALUE"""),"AZUAY")</f>
        <v>AZUAY</v>
      </c>
      <c r="N2262" s="65" t="str">
        <f>IFERROR(__xludf.DUMMYFUNCTION("""COMPUTED_VALUE"""),"CUENCA")</f>
        <v>CUENCA</v>
      </c>
      <c r="O2262" s="65" t="str">
        <f>IFERROR(__xludf.DUMMYFUNCTION("""COMPUTED_VALUE"""),"Sector San Marcos - Av. Pedro Berrueta  1_ 651 - Ref. Parque San Marcos")</f>
        <v>Sector San Marcos - Av. Pedro Berrueta  1_ 651 - Ref. Parque San Marcos</v>
      </c>
      <c r="P2262" s="65"/>
      <c r="Q2262" s="65" t="str">
        <f>IFERROR(__xludf.DUMMYFUNCTION("""COMPUTED_VALUE"""),"GINTRACOM")</f>
        <v>GINTRACOM</v>
      </c>
      <c r="R2262" s="65">
        <f>IFERROR(__xludf.DUMMYFUNCTION("""COMPUTED_VALUE"""),21.99)</f>
        <v>21.99</v>
      </c>
      <c r="S2262" s="65">
        <f>IFERROR(__xludf.DUMMYFUNCTION("""COMPUTED_VALUE"""),11.15)</f>
        <v>11.15</v>
      </c>
      <c r="T2262" s="65">
        <f>IFERROR(__xludf.DUMMYFUNCTION("""COMPUTED_VALUE"""),5.84)</f>
        <v>5.84</v>
      </c>
      <c r="U2262" s="65">
        <f>IFERROR(__xludf.DUMMYFUNCTION("""COMPUTED_VALUE"""),0.0)</f>
        <v>0</v>
      </c>
      <c r="V2262" s="65">
        <f>IFERROR(__xludf.DUMMYFUNCTION("""COMPUTED_VALUE"""),0.0)</f>
        <v>0</v>
      </c>
      <c r="W2262" s="65">
        <f>IFERROR(__xludf.DUMMYFUNCTION("""COMPUTED_VALUE"""),0.0)</f>
        <v>0</v>
      </c>
      <c r="X2262" s="65">
        <f>IFERROR(__xludf.DUMMYFUNCTION("""COMPUTED_VALUE"""),5.0)</f>
        <v>5</v>
      </c>
      <c r="Y2262" s="65">
        <f>IFERROR(__xludf.DUMMYFUNCTION("""COMPUTED_VALUE"""),5.0)</f>
        <v>5</v>
      </c>
      <c r="Z2262" s="65">
        <f>IFERROR(__xludf.DUMMYFUNCTION("""COMPUTED_VALUE"""),110064.0)</f>
        <v>110064</v>
      </c>
      <c r="AA2262" s="65" t="str">
        <f>IFERROR(__xludf.DUMMYFUNCTION("""COMPUTED_VALUE"""),"IMX-00001")</f>
        <v>IMX-00001</v>
      </c>
      <c r="AB2262" s="65"/>
      <c r="AC2262" s="65" t="str">
        <f>IFERROR(__xludf.DUMMYFUNCTION("""COMPUTED_VALUE"""),"LLAVE TRINQUETE")</f>
        <v>LLAVE TRINQUETE</v>
      </c>
      <c r="AD2262" s="65"/>
      <c r="AE2262" s="65">
        <f>IFERROR(__xludf.DUMMYFUNCTION("""COMPUTED_VALUE"""),1.0)</f>
        <v>1</v>
      </c>
      <c r="AF2262" s="65"/>
      <c r="AG2262" s="65"/>
      <c r="AH2262" s="65"/>
      <c r="AI2262" s="65"/>
      <c r="AJ2262" s="65"/>
      <c r="AK2262" s="65"/>
      <c r="AL2262" s="65"/>
      <c r="AM2262" s="65"/>
      <c r="AN2262" s="65" t="str">
        <f>IFERROR(__xludf.DUMMYFUNCTION("""COMPUTED_VALUE"""),"13:10")</f>
        <v>13:10</v>
      </c>
      <c r="AO2262" s="65" t="str">
        <f>IFERROR(__xludf.DUMMYFUNCTION("""COMPUTED_VALUE"""),"10-01-2026")</f>
        <v>10-01-2026</v>
      </c>
      <c r="AP2262" s="65" t="str">
        <f>IFERROR(__xludf.DUMMYFUNCTION("""COMPUTED_VALUE"""),"ENTREGADA GINTRACOM")</f>
        <v>ENTREGADA GINTRACOM</v>
      </c>
      <c r="AQ2262" s="65" t="str">
        <f>IFERROR(__xludf.DUMMYFUNCTION("""COMPUTED_VALUE"""),"ENTREGADA GINTRACOM")</f>
        <v>ENTREGADA GINTRACOM</v>
      </c>
      <c r="AR2262" s="65"/>
      <c r="AS2262" s="65"/>
      <c r="AT2262" s="65" t="str">
        <f>IFERROR(__xludf.DUMMYFUNCTION("""COMPUTED_VALUE"""),"SHOPIFY")</f>
        <v>SHOPIFY</v>
      </c>
      <c r="AU2262" s="65" t="str">
        <f>IFERROR(__xludf.DUMMYFUNCTION("""COMPUTED_VALUE"""),"IMPORTEX EC")</f>
        <v>IMPORTEX EC</v>
      </c>
      <c r="AV2262" s="65" t="str">
        <f>IFERROR(__xludf.DUMMYFUNCTION("""COMPUTED_VALUE"""),"6397387407404")</f>
        <v>6397387407404</v>
      </c>
      <c r="AW2262" s="65">
        <f>IFERROR(__xludf.DUMMYFUNCTION("""COMPUTED_VALUE"""),4726.0)</f>
        <v>4726</v>
      </c>
      <c r="AX2262" s="65"/>
      <c r="AY2262" s="65" t="str">
        <f>IFERROR(__xludf.DUMMYFUNCTION("""COMPUTED_VALUE"""),"09/01/2026")</f>
        <v>09/01/2026</v>
      </c>
      <c r="AZ2262" s="65"/>
      <c r="BA2262" s="65"/>
    </row>
    <row r="2263">
      <c r="A2263" s="65" t="str">
        <f>IFERROR(__xludf.DUMMYFUNCTION("""COMPUTED_VALUE"""),"27-03-2026")</f>
        <v>27-03-2026</v>
      </c>
      <c r="B2263" s="65">
        <f>IFERROR(__xludf.DUMMYFUNCTION("""COMPUTED_VALUE"""),4061341.0)</f>
        <v>4061341</v>
      </c>
      <c r="C2263" s="65" t="str">
        <f>IFERROR(__xludf.DUMMYFUNCTION("""COMPUTED_VALUE"""),"21:00")</f>
        <v>21:00</v>
      </c>
      <c r="D2263" s="65" t="str">
        <f>IFERROR(__xludf.DUMMYFUNCTION("""COMPUTED_VALUE"""),"07-01-2026")</f>
        <v>07-01-2026</v>
      </c>
      <c r="E2263" s="65" t="str">
        <f>IFERROR(__xludf.DUMMYFUNCTION("""COMPUTED_VALUE"""),"EDISON TAPIA")</f>
        <v>EDISON TAPIA</v>
      </c>
      <c r="F2263" s="65" t="str">
        <f>IFERROR(__xludf.DUMMYFUNCTION("""COMPUTED_VALUE"""),"996604443")</f>
        <v>996604443</v>
      </c>
      <c r="G2263" s="65"/>
      <c r="H2263" s="65"/>
      <c r="I2263" s="65"/>
      <c r="J2263" s="65" t="str">
        <f>IFERROR(__xludf.DUMMYFUNCTION("""COMPUTED_VALUE"""),"186942486")</f>
        <v>186942486</v>
      </c>
      <c r="K2263" s="65" t="str">
        <f>IFERROR(__xludf.DUMMYFUNCTION("""COMPUTED_VALUE"""),"ENTREGADO")</f>
        <v>ENTREGADO</v>
      </c>
      <c r="L2263" s="65" t="str">
        <f>IFERROR(__xludf.DUMMYFUNCTION("""COMPUTED_VALUE"""),"CON RECAUDO")</f>
        <v>CON RECAUDO</v>
      </c>
      <c r="M2263" s="65" t="str">
        <f>IFERROR(__xludf.DUMMYFUNCTION("""COMPUTED_VALUE"""),"LOJA")</f>
        <v>LOJA</v>
      </c>
      <c r="N2263" s="65" t="str">
        <f>IFERROR(__xludf.DUMMYFUNCTION("""COMPUTED_VALUE"""),"LOJA")</f>
        <v>LOJA</v>
      </c>
      <c r="O2263" s="65" t="str">
        <f>IFERROR(__xludf.DUMMYFUNCTION("""COMPUTED_VALUE"""),"CS: LOJA_ FRANCISCO LECARO Y JAIME ROLDOS ESQUINA")</f>
        <v>CS: LOJA_ FRANCISCO LECARO Y JAIME ROLDOS ESQUINA</v>
      </c>
      <c r="P2263" s="65"/>
      <c r="Q2263" s="65" t="str">
        <f>IFERROR(__xludf.DUMMYFUNCTION("""COMPUTED_VALUE"""),"SERVIENTREGA")</f>
        <v>SERVIENTREGA</v>
      </c>
      <c r="R2263" s="65">
        <f>IFERROR(__xludf.DUMMYFUNCTION("""COMPUTED_VALUE"""),25.0)</f>
        <v>25</v>
      </c>
      <c r="S2263" s="65">
        <f>IFERROR(__xludf.DUMMYFUNCTION("""COMPUTED_VALUE"""),8.69)</f>
        <v>8.69</v>
      </c>
      <c r="T2263" s="65">
        <f>IFERROR(__xludf.DUMMYFUNCTION("""COMPUTED_VALUE"""),6.31)</f>
        <v>6.31</v>
      </c>
      <c r="U2263" s="65">
        <f>IFERROR(__xludf.DUMMYFUNCTION("""COMPUTED_VALUE"""),0.0)</f>
        <v>0</v>
      </c>
      <c r="V2263" s="65">
        <f>IFERROR(__xludf.DUMMYFUNCTION("""COMPUTED_VALUE"""),0.0)</f>
        <v>0</v>
      </c>
      <c r="W2263" s="65">
        <f>IFERROR(__xludf.DUMMYFUNCTION("""COMPUTED_VALUE"""),0.0)</f>
        <v>0</v>
      </c>
      <c r="X2263" s="65">
        <f>IFERROR(__xludf.DUMMYFUNCTION("""COMPUTED_VALUE"""),5.0)</f>
        <v>5</v>
      </c>
      <c r="Y2263" s="65">
        <f>IFERROR(__xludf.DUMMYFUNCTION("""COMPUTED_VALUE"""),10.0)</f>
        <v>10</v>
      </c>
      <c r="Z2263" s="65">
        <f>IFERROR(__xludf.DUMMYFUNCTION("""COMPUTED_VALUE"""),110064.0)</f>
        <v>110064</v>
      </c>
      <c r="AA2263" s="65" t="str">
        <f>IFERROR(__xludf.DUMMYFUNCTION("""COMPUTED_VALUE"""),"IMX-00001")</f>
        <v>IMX-00001</v>
      </c>
      <c r="AB2263" s="65"/>
      <c r="AC2263" s="65" t="str">
        <f>IFERROR(__xludf.DUMMYFUNCTION("""COMPUTED_VALUE"""),"LLAVE TRINQUETE")</f>
        <v>LLAVE TRINQUETE</v>
      </c>
      <c r="AD2263" s="65"/>
      <c r="AE2263" s="65">
        <f>IFERROR(__xludf.DUMMYFUNCTION("""COMPUTED_VALUE"""),2.0)</f>
        <v>2</v>
      </c>
      <c r="AF2263" s="65"/>
      <c r="AG2263" s="65"/>
      <c r="AH2263" s="65"/>
      <c r="AI2263" s="65"/>
      <c r="AJ2263" s="65"/>
      <c r="AK2263" s="65"/>
      <c r="AL2263" s="65"/>
      <c r="AM2263" s="65"/>
      <c r="AN2263" s="65" t="str">
        <f>IFERROR(__xludf.DUMMYFUNCTION("""COMPUTED_VALUE"""),"17:57")</f>
        <v>17:57</v>
      </c>
      <c r="AO2263" s="65" t="str">
        <f>IFERROR(__xludf.DUMMYFUNCTION("""COMPUTED_VALUE"""),"27-01-2026")</f>
        <v>27-01-2026</v>
      </c>
      <c r="AP2263" s="65" t="str">
        <f>IFERROR(__xludf.DUMMYFUNCTION("""COMPUTED_VALUE"""),"ENTREGA DIGITALIZADA EN CENTRO LOGISTICO")</f>
        <v>ENTREGA DIGITALIZADA EN CENTRO LOGISTICO</v>
      </c>
      <c r="AQ2263" s="65" t="str">
        <f>IFERROR(__xludf.DUMMYFUNCTION("""COMPUTED_VALUE"""),"TITULAR")</f>
        <v>TITULAR</v>
      </c>
      <c r="AR2263" s="65"/>
      <c r="AS2263" s="65" t="str">
        <f>IFERROR(__xludf.DUMMYFUNCTION("""COMPUTED_VALUE"""),"Bayron Gomez")</f>
        <v>Bayron Gomez</v>
      </c>
      <c r="AT2263" s="65"/>
      <c r="AU2263" s="65"/>
      <c r="AV2263" s="65"/>
      <c r="AW2263" s="65"/>
      <c r="AX2263" s="65"/>
      <c r="AY2263" s="65" t="str">
        <f>IFERROR(__xludf.DUMMYFUNCTION("""COMPUTED_VALUE"""),"08/01/2026")</f>
        <v>08/01/2026</v>
      </c>
      <c r="AZ2263" s="65"/>
      <c r="BA2263" s="65"/>
    </row>
    <row r="2264">
      <c r="A2264" s="65" t="str">
        <f>IFERROR(__xludf.DUMMYFUNCTION("""COMPUTED_VALUE"""),"27-03-2026")</f>
        <v>27-03-2026</v>
      </c>
      <c r="B2264" s="65">
        <f>IFERROR(__xludf.DUMMYFUNCTION("""COMPUTED_VALUE"""),4058578.0)</f>
        <v>4058578</v>
      </c>
      <c r="C2264" s="65" t="str">
        <f>IFERROR(__xludf.DUMMYFUNCTION("""COMPUTED_VALUE"""),"16:41")</f>
        <v>16:41</v>
      </c>
      <c r="D2264" s="65" t="str">
        <f>IFERROR(__xludf.DUMMYFUNCTION("""COMPUTED_VALUE"""),"07-01-2026")</f>
        <v>07-01-2026</v>
      </c>
      <c r="E2264" s="65" t="str">
        <f>IFERROR(__xludf.DUMMYFUNCTION("""COMPUTED_VALUE"""),"LUIS Vinueza")</f>
        <v>LUIS Vinueza</v>
      </c>
      <c r="F2264" s="65" t="str">
        <f>IFERROR(__xludf.DUMMYFUNCTION("""COMPUTED_VALUE"""),"992738490")</f>
        <v>992738490</v>
      </c>
      <c r="G2264" s="65" t="str">
        <f>IFERROR(__xludf.DUMMYFUNCTION("""COMPUTED_VALUE"""),"galojr2@hotmail.com")</f>
        <v>galojr2@hotmail.com</v>
      </c>
      <c r="H2264" s="65"/>
      <c r="I2264" s="65"/>
      <c r="J2264" s="65" t="str">
        <f>IFERROR(__xludf.DUMMYFUNCTION("""COMPUTED_VALUE"""),"D001204837")</f>
        <v>D001204837</v>
      </c>
      <c r="K2264" s="65" t="str">
        <f>IFERROR(__xludf.DUMMYFUNCTION("""COMPUTED_VALUE"""),"DEVOLUCION")</f>
        <v>DEVOLUCION</v>
      </c>
      <c r="L2264" s="65" t="str">
        <f>IFERROR(__xludf.DUMMYFUNCTION("""COMPUTED_VALUE"""),"CON RECAUDO")</f>
        <v>CON RECAUDO</v>
      </c>
      <c r="M2264" s="65" t="str">
        <f>IFERROR(__xludf.DUMMYFUNCTION("""COMPUTED_VALUE"""),"PICHINCHA")</f>
        <v>PICHINCHA</v>
      </c>
      <c r="N2264" s="65" t="str">
        <f>IFERROR(__xludf.DUMMYFUNCTION("""COMPUTED_VALUE"""),"QUITO")</f>
        <v>QUITO</v>
      </c>
      <c r="O2264" s="65" t="str">
        <f>IFERROR(__xludf.DUMMYFUNCTION("""COMPUTED_VALUE"""),"Sector Chillogallo - Conjunto Chillogallo Bloque 37 Dpto. 2b - Av. Mariscal Sucre y Av. Moran Valverde - Ref. Frente al Puente de Chillogallo Cajero de la JET.")</f>
        <v>Sector Chillogallo - Conjunto Chillogallo Bloque 37 Dpto. 2b - Av. Mariscal Sucre y Av. Moran Valverde - Ref. Frente al Puente de Chillogallo Cajero de la JET.</v>
      </c>
      <c r="P2264" s="65"/>
      <c r="Q2264" s="65" t="str">
        <f>IFERROR(__xludf.DUMMYFUNCTION("""COMPUTED_VALUE"""),"GINTRACOM")</f>
        <v>GINTRACOM</v>
      </c>
      <c r="R2264" s="65">
        <f>IFERROR(__xludf.DUMMYFUNCTION("""COMPUTED_VALUE"""),21.99)</f>
        <v>21.99</v>
      </c>
      <c r="S2264" s="65"/>
      <c r="T2264" s="65">
        <f>IFERROR(__xludf.DUMMYFUNCTION("""COMPUTED_VALUE"""),4.23)</f>
        <v>4.23</v>
      </c>
      <c r="U2264" s="65">
        <f>IFERROR(__xludf.DUMMYFUNCTION("""COMPUTED_VALUE"""),0.0)</f>
        <v>0</v>
      </c>
      <c r="V2264" s="65">
        <f>IFERROR(__xludf.DUMMYFUNCTION("""COMPUTED_VALUE"""),0.0)</f>
        <v>0</v>
      </c>
      <c r="W2264" s="65">
        <f>IFERROR(__xludf.DUMMYFUNCTION("""COMPUTED_VALUE"""),0.0)</f>
        <v>0</v>
      </c>
      <c r="X2264" s="65">
        <f>IFERROR(__xludf.DUMMYFUNCTION("""COMPUTED_VALUE"""),5.0)</f>
        <v>5</v>
      </c>
      <c r="Y2264" s="65">
        <f>IFERROR(__xludf.DUMMYFUNCTION("""COMPUTED_VALUE"""),5.0)</f>
        <v>5</v>
      </c>
      <c r="Z2264" s="65">
        <f>IFERROR(__xludf.DUMMYFUNCTION("""COMPUTED_VALUE"""),110064.0)</f>
        <v>110064</v>
      </c>
      <c r="AA2264" s="65" t="str">
        <f>IFERROR(__xludf.DUMMYFUNCTION("""COMPUTED_VALUE"""),"IMX-00001")</f>
        <v>IMX-00001</v>
      </c>
      <c r="AB2264" s="65"/>
      <c r="AC2264" s="65" t="str">
        <f>IFERROR(__xludf.DUMMYFUNCTION("""COMPUTED_VALUE"""),"LLAVE TRINQUETE")</f>
        <v>LLAVE TRINQUETE</v>
      </c>
      <c r="AD2264" s="65"/>
      <c r="AE2264" s="65">
        <f>IFERROR(__xludf.DUMMYFUNCTION("""COMPUTED_VALUE"""),1.0)</f>
        <v>1</v>
      </c>
      <c r="AF2264" s="65" t="str">
        <f>IFERROR(__xludf.DUMMYFUNCTION("""COMPUTED_VALUE"""),"DESTINATARIO INDICA QUE YA NO DESEA EL PRODUCTO")</f>
        <v>DESTINATARIO INDICA QUE YA NO DESEA EL PRODUCTO</v>
      </c>
      <c r="AG2264" s="65" t="str">
        <f>IFERROR(__xludf.DUMMYFUNCTION("""COMPUTED_VALUE"""),"SI")</f>
        <v>SI</v>
      </c>
      <c r="AH2264" s="65" t="str">
        <f>IFERROR(__xludf.DUMMYFUNCTION("""COMPUTED_VALUE"""),"16:02")</f>
        <v>16:02</v>
      </c>
      <c r="AI2264" s="65" t="str">
        <f>IFERROR(__xludf.DUMMYFUNCTION("""COMPUTED_VALUE"""),"12-01-2026")</f>
        <v>12-01-2026</v>
      </c>
      <c r="AJ2264" s="65" t="str">
        <f>IFERROR(__xludf.DUMMYFUNCTION("""COMPUTED_VALUE"""),"Location: -0.2775889,-78.5523812 4:35 PM / REALIZAR ENTREGA / Llego a casa y mando la ubicación gracias")</f>
        <v>Location: -0.2775889,-78.5523812 4:35 PM / REALIZAR ENTREGA / Llego a casa y mando la ubicación gracias</v>
      </c>
      <c r="AK2264" s="65" t="str">
        <f>IFERROR(__xludf.DUMMYFUNCTION("""COMPUTED_VALUE"""),"10:00")</f>
        <v>10:00</v>
      </c>
      <c r="AL2264" s="65" t="str">
        <f>IFERROR(__xludf.DUMMYFUNCTION("""COMPUTED_VALUE"""),"14-01-2026")</f>
        <v>14-01-2026</v>
      </c>
      <c r="AM2264" s="65"/>
      <c r="AN2264" s="65" t="str">
        <f>IFERROR(__xludf.DUMMYFUNCTION("""COMPUTED_VALUE"""),"01:33")</f>
        <v>01:33</v>
      </c>
      <c r="AO2264" s="65" t="str">
        <f>IFERROR(__xludf.DUMMYFUNCTION("""COMPUTED_VALUE"""),"21-01-2026")</f>
        <v>21-01-2026</v>
      </c>
      <c r="AP2264" s="65" t="str">
        <f>IFERROR(__xludf.DUMMYFUNCTION("""COMPUTED_VALUE"""),"DEVOLUCIÓN")</f>
        <v>DEVOLUCIÓN</v>
      </c>
      <c r="AQ2264" s="65" t="str">
        <f>IFERROR(__xludf.DUMMYFUNCTION("""COMPUTED_VALUE"""),"DEVOLUCIÓN")</f>
        <v>DEVOLUCIÓN</v>
      </c>
      <c r="AR2264" s="65"/>
      <c r="AS2264" s="65"/>
      <c r="AT2264" s="65" t="str">
        <f>IFERROR(__xludf.DUMMYFUNCTION("""COMPUTED_VALUE"""),"SHOPIFY")</f>
        <v>SHOPIFY</v>
      </c>
      <c r="AU2264" s="65" t="str">
        <f>IFERROR(__xludf.DUMMYFUNCTION("""COMPUTED_VALUE"""),"IMPORTEX EC")</f>
        <v>IMPORTEX EC</v>
      </c>
      <c r="AV2264" s="65" t="str">
        <f>IFERROR(__xludf.DUMMYFUNCTION("""COMPUTED_VALUE"""),"6396895232044")</f>
        <v>6396895232044</v>
      </c>
      <c r="AW2264" s="65">
        <f>IFERROR(__xludf.DUMMYFUNCTION("""COMPUTED_VALUE"""),4724.0)</f>
        <v>4724</v>
      </c>
      <c r="AX2264" s="65"/>
      <c r="AY2264" s="65" t="str">
        <f>IFERROR(__xludf.DUMMYFUNCTION("""COMPUTED_VALUE"""),"09/01/2026")</f>
        <v>09/01/2026</v>
      </c>
      <c r="AZ2264" s="65"/>
      <c r="BA2264" s="65"/>
    </row>
    <row r="2265">
      <c r="A2265" s="65" t="str">
        <f>IFERROR(__xludf.DUMMYFUNCTION("""COMPUTED_VALUE"""),"27-03-2026")</f>
        <v>27-03-2026</v>
      </c>
      <c r="B2265" s="65">
        <f>IFERROR(__xludf.DUMMYFUNCTION("""COMPUTED_VALUE"""),4058295.0)</f>
        <v>4058295</v>
      </c>
      <c r="C2265" s="65" t="str">
        <f>IFERROR(__xludf.DUMMYFUNCTION("""COMPUTED_VALUE"""),"16:10")</f>
        <v>16:10</v>
      </c>
      <c r="D2265" s="65" t="str">
        <f>IFERROR(__xludf.DUMMYFUNCTION("""COMPUTED_VALUE"""),"07-01-2026")</f>
        <v>07-01-2026</v>
      </c>
      <c r="E2265" s="65" t="str">
        <f>IFERROR(__xludf.DUMMYFUNCTION("""COMPUTED_VALUE"""),"Jose Elias Vallejo Montoya")</f>
        <v>Jose Elias Vallejo Montoya</v>
      </c>
      <c r="F2265" s="65" t="str">
        <f>IFERROR(__xludf.DUMMYFUNCTION("""COMPUTED_VALUE"""),"992003110")</f>
        <v>992003110</v>
      </c>
      <c r="G2265" s="65" t="str">
        <f>IFERROR(__xludf.DUMMYFUNCTION("""COMPUTED_VALUE"""),"eliasvallejo1952@gmail.com")</f>
        <v>eliasvallejo1952@gmail.com</v>
      </c>
      <c r="H2265" s="65"/>
      <c r="I2265" s="65"/>
      <c r="J2265" s="65" t="str">
        <f>IFERROR(__xludf.DUMMYFUNCTION("""COMPUTED_VALUE"""),"D001201085")</f>
        <v>D001201085</v>
      </c>
      <c r="K2265" s="65" t="str">
        <f>IFERROR(__xludf.DUMMYFUNCTION("""COMPUTED_VALUE"""),"DEVOLUCION")</f>
        <v>DEVOLUCION</v>
      </c>
      <c r="L2265" s="65" t="str">
        <f>IFERROR(__xludf.DUMMYFUNCTION("""COMPUTED_VALUE"""),"CON RECAUDO")</f>
        <v>CON RECAUDO</v>
      </c>
      <c r="M2265" s="65" t="str">
        <f>IFERROR(__xludf.DUMMYFUNCTION("""COMPUTED_VALUE"""),"CHIMBORAZO")</f>
        <v>CHIMBORAZO</v>
      </c>
      <c r="N2265" s="65" t="str">
        <f>IFERROR(__xludf.DUMMYFUNCTION("""COMPUTED_VALUE"""),"RIOBAMBA")</f>
        <v>RIOBAMBA</v>
      </c>
      <c r="O2265" s="65" t="str">
        <f>IFERROR(__xludf.DUMMYFUNCTION("""COMPUTED_VALUE"""),"Calle Isidro Gallegos y Juan Romualdo frente casa de 5 pisos no tiene número casa 3 pisos sin pintar, ciudadela Juan Montalvo")</f>
        <v>Calle Isidro Gallegos y Juan Romualdo frente casa de 5 pisos no tiene número casa 3 pisos sin pintar, ciudadela Juan Montalvo</v>
      </c>
      <c r="P2265" s="65"/>
      <c r="Q2265" s="65" t="str">
        <f>IFERROR(__xludf.DUMMYFUNCTION("""COMPUTED_VALUE"""),"GINTRACOM")</f>
        <v>GINTRACOM</v>
      </c>
      <c r="R2265" s="65">
        <f>IFERROR(__xludf.DUMMYFUNCTION("""COMPUTED_VALUE"""),32.0)</f>
        <v>32</v>
      </c>
      <c r="S2265" s="65"/>
      <c r="T2265" s="65">
        <f>IFERROR(__xludf.DUMMYFUNCTION("""COMPUTED_VALUE"""),6.24)</f>
        <v>6.24</v>
      </c>
      <c r="U2265" s="65">
        <f>IFERROR(__xludf.DUMMYFUNCTION("""COMPUTED_VALUE"""),0.0)</f>
        <v>0</v>
      </c>
      <c r="V2265" s="65">
        <f>IFERROR(__xludf.DUMMYFUNCTION("""COMPUTED_VALUE"""),0.0)</f>
        <v>0</v>
      </c>
      <c r="W2265" s="65">
        <f>IFERROR(__xludf.DUMMYFUNCTION("""COMPUTED_VALUE"""),0.0)</f>
        <v>0</v>
      </c>
      <c r="X2265" s="65">
        <f>IFERROR(__xludf.DUMMYFUNCTION("""COMPUTED_VALUE"""),5.0)</f>
        <v>5</v>
      </c>
      <c r="Y2265" s="65">
        <f>IFERROR(__xludf.DUMMYFUNCTION("""COMPUTED_VALUE"""),10.0)</f>
        <v>10</v>
      </c>
      <c r="Z2265" s="65">
        <f>IFERROR(__xludf.DUMMYFUNCTION("""COMPUTED_VALUE"""),110064.0)</f>
        <v>110064</v>
      </c>
      <c r="AA2265" s="65" t="str">
        <f>IFERROR(__xludf.DUMMYFUNCTION("""COMPUTED_VALUE"""),"IMX-00001")</f>
        <v>IMX-00001</v>
      </c>
      <c r="AB2265" s="65"/>
      <c r="AC2265" s="65" t="str">
        <f>IFERROR(__xludf.DUMMYFUNCTION("""COMPUTED_VALUE"""),"LLAVE TRINQUETE")</f>
        <v>LLAVE TRINQUETE</v>
      </c>
      <c r="AD2265" s="65"/>
      <c r="AE2265" s="65">
        <f>IFERROR(__xludf.DUMMYFUNCTION("""COMPUTED_VALUE"""),2.0)</f>
        <v>2</v>
      </c>
      <c r="AF2265" s="65" t="str">
        <f>IFERROR(__xludf.DUMMYFUNCTION("""COMPUTED_VALUE"""),"DESTINATARIO NO CONTESTA LLAMADAS NI WHATSAPP")</f>
        <v>DESTINATARIO NO CONTESTA LLAMADAS NI WHATSAPP</v>
      </c>
      <c r="AG2265" s="65" t="str">
        <f>IFERROR(__xludf.DUMMYFUNCTION("""COMPUTED_VALUE"""),"NO")</f>
        <v>NO</v>
      </c>
      <c r="AH2265" s="65" t="str">
        <f>IFERROR(__xludf.DUMMYFUNCTION("""COMPUTED_VALUE"""),"09:00")</f>
        <v>09:00</v>
      </c>
      <c r="AI2265" s="65" t="str">
        <f>IFERROR(__xludf.DUMMYFUNCTION("""COMPUTED_VALUE"""),"18-01-2026")</f>
        <v>18-01-2026</v>
      </c>
      <c r="AJ2265" s="65"/>
      <c r="AK2265" s="65"/>
      <c r="AL2265" s="65"/>
      <c r="AM2265" s="65"/>
      <c r="AN2265" s="65" t="str">
        <f>IFERROR(__xludf.DUMMYFUNCTION("""COMPUTED_VALUE"""),"01:33")</f>
        <v>01:33</v>
      </c>
      <c r="AO2265" s="65" t="str">
        <f>IFERROR(__xludf.DUMMYFUNCTION("""COMPUTED_VALUE"""),"21-01-2026")</f>
        <v>21-01-2026</v>
      </c>
      <c r="AP2265" s="65" t="str">
        <f>IFERROR(__xludf.DUMMYFUNCTION("""COMPUTED_VALUE"""),"DEVOLUCIÓN")</f>
        <v>DEVOLUCIÓN</v>
      </c>
      <c r="AQ2265" s="65" t="str">
        <f>IFERROR(__xludf.DUMMYFUNCTION("""COMPUTED_VALUE"""),"DEVOLUCIÓN")</f>
        <v>DEVOLUCIÓN</v>
      </c>
      <c r="AR2265" s="65"/>
      <c r="AS2265" s="65"/>
      <c r="AT2265" s="65" t="str">
        <f>IFERROR(__xludf.DUMMYFUNCTION("""COMPUTED_VALUE"""),"SHOPIFY")</f>
        <v>SHOPIFY</v>
      </c>
      <c r="AU2265" s="65" t="str">
        <f>IFERROR(__xludf.DUMMYFUNCTION("""COMPUTED_VALUE"""),"IMPORTEX EC")</f>
        <v>IMPORTEX EC</v>
      </c>
      <c r="AV2265" s="65" t="str">
        <f>IFERROR(__xludf.DUMMYFUNCTION("""COMPUTED_VALUE"""),"6396832514092")</f>
        <v>6396832514092</v>
      </c>
      <c r="AW2265" s="65">
        <f>IFERROR(__xludf.DUMMYFUNCTION("""COMPUTED_VALUE"""),4723.0)</f>
        <v>4723</v>
      </c>
      <c r="AX2265" s="65"/>
      <c r="AY2265" s="65" t="str">
        <f>IFERROR(__xludf.DUMMYFUNCTION("""COMPUTED_VALUE"""),"08/01/2026")</f>
        <v>08/01/2026</v>
      </c>
      <c r="AZ2265" s="65"/>
      <c r="BA2265" s="65"/>
    </row>
    <row r="2266">
      <c r="A2266" s="65" t="str">
        <f>IFERROR(__xludf.DUMMYFUNCTION("""COMPUTED_VALUE"""),"27-03-2026")</f>
        <v>27-03-2026</v>
      </c>
      <c r="B2266" s="65">
        <f>IFERROR(__xludf.DUMMYFUNCTION("""COMPUTED_VALUE"""),4057880.0)</f>
        <v>4057880</v>
      </c>
      <c r="C2266" s="65" t="str">
        <f>IFERROR(__xludf.DUMMYFUNCTION("""COMPUTED_VALUE"""),"15:34")</f>
        <v>15:34</v>
      </c>
      <c r="D2266" s="65" t="str">
        <f>IFERROR(__xludf.DUMMYFUNCTION("""COMPUTED_VALUE"""),"07-01-2026")</f>
        <v>07-01-2026</v>
      </c>
      <c r="E2266" s="65" t="str">
        <f>IFERROR(__xludf.DUMMYFUNCTION("""COMPUTED_VALUE"""),"Carlos Rea")</f>
        <v>Carlos Rea</v>
      </c>
      <c r="F2266" s="65" t="str">
        <f>IFERROR(__xludf.DUMMYFUNCTION("""COMPUTED_VALUE"""),"990302303")</f>
        <v>990302303</v>
      </c>
      <c r="G2266" s="65" t="str">
        <f>IFERROR(__xludf.DUMMYFUNCTION("""COMPUTED_VALUE"""),"cerp_23@hotmail.com")</f>
        <v>cerp_23@hotmail.com</v>
      </c>
      <c r="H2266" s="65"/>
      <c r="I2266" s="65"/>
      <c r="J2266" s="65" t="str">
        <f>IFERROR(__xludf.DUMMYFUNCTION("""COMPUTED_VALUE"""),"D001250518")</f>
        <v>D001250518</v>
      </c>
      <c r="K2266" s="65" t="str">
        <f>IFERROR(__xludf.DUMMYFUNCTION("""COMPUTED_VALUE"""),"DEVOLUCION")</f>
        <v>DEVOLUCION</v>
      </c>
      <c r="L2266" s="65" t="str">
        <f>IFERROR(__xludf.DUMMYFUNCTION("""COMPUTED_VALUE"""),"CON RECAUDO")</f>
        <v>CON RECAUDO</v>
      </c>
      <c r="M2266" s="65" t="str">
        <f>IFERROR(__xludf.DUMMYFUNCTION("""COMPUTED_VALUE"""),"GUAYAS")</f>
        <v>GUAYAS</v>
      </c>
      <c r="N2266" s="65" t="str">
        <f>IFERROR(__xludf.DUMMYFUNCTION("""COMPUTED_VALUE"""),"GUAYAQUIL")</f>
        <v>GUAYAQUIL</v>
      </c>
      <c r="O2266" s="65" t="str">
        <f>IFERROR(__xludf.DUMMYFUNCTION("""COMPUTED_VALUE"""),"ROSALES 2 MZ.J1 V7 NORTE -")</f>
        <v>ROSALES 2 MZ.J1 V7 NORTE -</v>
      </c>
      <c r="P2266" s="65"/>
      <c r="Q2266" s="65" t="str">
        <f>IFERROR(__xludf.DUMMYFUNCTION("""COMPUTED_VALUE"""),"GINTRACOM")</f>
        <v>GINTRACOM</v>
      </c>
      <c r="R2266" s="65">
        <f>IFERROR(__xludf.DUMMYFUNCTION("""COMPUTED_VALUE"""),30.0)</f>
        <v>30</v>
      </c>
      <c r="S2266" s="65"/>
      <c r="T2266" s="65">
        <f>IFERROR(__xludf.DUMMYFUNCTION("""COMPUTED_VALUE"""),4.55)</f>
        <v>4.55</v>
      </c>
      <c r="U2266" s="65">
        <f>IFERROR(__xludf.DUMMYFUNCTION("""COMPUTED_VALUE"""),0.0)</f>
        <v>0</v>
      </c>
      <c r="V2266" s="65">
        <f>IFERROR(__xludf.DUMMYFUNCTION("""COMPUTED_VALUE"""),0.0)</f>
        <v>0</v>
      </c>
      <c r="W2266" s="65">
        <f>IFERROR(__xludf.DUMMYFUNCTION("""COMPUTED_VALUE"""),0.0)</f>
        <v>0</v>
      </c>
      <c r="X2266" s="65">
        <f>IFERROR(__xludf.DUMMYFUNCTION("""COMPUTED_VALUE"""),2.79)</f>
        <v>2.79</v>
      </c>
      <c r="Y2266" s="65">
        <f>IFERROR(__xludf.DUMMYFUNCTION("""COMPUTED_VALUE"""),8.37)</f>
        <v>8.37</v>
      </c>
      <c r="Z2266" s="65">
        <f>IFERROR(__xludf.DUMMYFUNCTION("""COMPUTED_VALUE"""),120732.0)</f>
        <v>120732</v>
      </c>
      <c r="AA2266" s="65" t="str">
        <f>IFERROR(__xludf.DUMMYFUNCTION("""COMPUTED_VALUE"""),"PROV-LMPVT")</f>
        <v>PROV-LMPVT</v>
      </c>
      <c r="AB2266" s="65"/>
      <c r="AC2266" s="65" t="str">
        <f>IFERROR(__xludf.DUMMYFUNCTION("""COMPUTED_VALUE"""),"LIMPIADOR DE PARABRISAS Y VENTANAS")</f>
        <v>LIMPIADOR DE PARABRISAS Y VENTANAS</v>
      </c>
      <c r="AD2266" s="65"/>
      <c r="AE2266" s="65">
        <f>IFERROR(__xludf.DUMMYFUNCTION("""COMPUTED_VALUE"""),3.0)</f>
        <v>3</v>
      </c>
      <c r="AF2266" s="65" t="str">
        <f>IFERROR(__xludf.DUMMYFUNCTION("""COMPUTED_VALUE"""),"DESTINATARIO NO CONTESTA LLAMADAS NI WHATSAPP")</f>
        <v>DESTINATARIO NO CONTESTA LLAMADAS NI WHATSAPP</v>
      </c>
      <c r="AG2266" s="65" t="str">
        <f>IFERROR(__xludf.DUMMYFUNCTION("""COMPUTED_VALUE"""),"NO")</f>
        <v>NO</v>
      </c>
      <c r="AH2266" s="65" t="str">
        <f>IFERROR(__xludf.DUMMYFUNCTION("""COMPUTED_VALUE"""),"09:00")</f>
        <v>09:00</v>
      </c>
      <c r="AI2266" s="65" t="str">
        <f>IFERROR(__xludf.DUMMYFUNCTION("""COMPUTED_VALUE"""),"31-01-2026")</f>
        <v>31-01-2026</v>
      </c>
      <c r="AJ2266" s="65"/>
      <c r="AK2266" s="65"/>
      <c r="AL2266" s="65"/>
      <c r="AM2266" s="65"/>
      <c r="AN2266" s="65" t="str">
        <f>IFERROR(__xludf.DUMMYFUNCTION("""COMPUTED_VALUE"""),"09:02")</f>
        <v>09:02</v>
      </c>
      <c r="AO2266" s="65" t="str">
        <f>IFERROR(__xludf.DUMMYFUNCTION("""COMPUTED_VALUE"""),"11-02-2026")</f>
        <v>11-02-2026</v>
      </c>
      <c r="AP2266" s="65" t="str">
        <f>IFERROR(__xludf.DUMMYFUNCTION("""COMPUTED_VALUE"""),"DEV CONFIRMADA POR BODEGA")</f>
        <v>DEV CONFIRMADA POR BODEGA</v>
      </c>
      <c r="AQ2266" s="65"/>
      <c r="AR2266" s="65" t="str">
        <f>IFERROR(__xludf.DUMMYFUNCTION("""COMPUTED_VALUE"""),"Gestionado por: Moran Daniel, email:danielmorga2005@gmail.com, total de productos en la orden: 1")</f>
        <v>Gestionado por: Moran Daniel, email:danielmorga2005@gmail.com, total de productos en la orden: 1</v>
      </c>
      <c r="AS2266" s="65"/>
      <c r="AT2266" s="65" t="str">
        <f>IFERROR(__xludf.DUMMYFUNCTION("""COMPUTED_VALUE"""),"SHOPIFY")</f>
        <v>SHOPIFY</v>
      </c>
      <c r="AU2266" s="65" t="str">
        <f>IFERROR(__xludf.DUMMYFUNCTION("""COMPUTED_VALUE"""),"IMPORTEX EC")</f>
        <v>IMPORTEX EC</v>
      </c>
      <c r="AV2266" s="65" t="str">
        <f>IFERROR(__xludf.DUMMYFUNCTION("""COMPUTED_VALUE"""),"6396350267436")</f>
        <v>6396350267436</v>
      </c>
      <c r="AW2266" s="65">
        <f>IFERROR(__xludf.DUMMYFUNCTION("""COMPUTED_VALUE"""),4720.0)</f>
        <v>4720</v>
      </c>
      <c r="AX2266" s="65"/>
      <c r="AY2266" s="65" t="str">
        <f>IFERROR(__xludf.DUMMYFUNCTION("""COMPUTED_VALUE"""),"22/01/2026")</f>
        <v>22/01/2026</v>
      </c>
      <c r="AZ2266" s="65"/>
      <c r="BA2266" s="65"/>
    </row>
    <row r="2267">
      <c r="A2267" s="65" t="str">
        <f>IFERROR(__xludf.DUMMYFUNCTION("""COMPUTED_VALUE"""),"27-03-2026")</f>
        <v>27-03-2026</v>
      </c>
      <c r="B2267" s="65">
        <f>IFERROR(__xludf.DUMMYFUNCTION("""COMPUTED_VALUE"""),4056866.0)</f>
        <v>4056866</v>
      </c>
      <c r="C2267" s="65" t="str">
        <f>IFERROR(__xludf.DUMMYFUNCTION("""COMPUTED_VALUE"""),"14:06")</f>
        <v>14:06</v>
      </c>
      <c r="D2267" s="65" t="str">
        <f>IFERROR(__xludf.DUMMYFUNCTION("""COMPUTED_VALUE"""),"07-01-2026")</f>
        <v>07-01-2026</v>
      </c>
      <c r="E2267" s="65" t="str">
        <f>IFERROR(__xludf.DUMMYFUNCTION("""COMPUTED_VALUE"""),"Franklin Espinoza")</f>
        <v>Franklin Espinoza</v>
      </c>
      <c r="F2267" s="65" t="str">
        <f>IFERROR(__xludf.DUMMYFUNCTION("""COMPUTED_VALUE"""),"985696423")</f>
        <v>985696423</v>
      </c>
      <c r="G2267" s="65" t="str">
        <f>IFERROR(__xludf.DUMMYFUNCTION("""COMPUTED_VALUE"""),"espinozafranklin673@gmail.com")</f>
        <v>espinozafranklin673@gmail.com</v>
      </c>
      <c r="H2267" s="65"/>
      <c r="I2267" s="65"/>
      <c r="J2267" s="65" t="str">
        <f>IFERROR(__xludf.DUMMYFUNCTION("""COMPUTED_VALUE"""),"D001201086")</f>
        <v>D001201086</v>
      </c>
      <c r="K2267" s="65" t="str">
        <f>IFERROR(__xludf.DUMMYFUNCTION("""COMPUTED_VALUE"""),"DEVOLUCION")</f>
        <v>DEVOLUCION</v>
      </c>
      <c r="L2267" s="65" t="str">
        <f>IFERROR(__xludf.DUMMYFUNCTION("""COMPUTED_VALUE"""),"CON RECAUDO")</f>
        <v>CON RECAUDO</v>
      </c>
      <c r="M2267" s="65" t="str">
        <f>IFERROR(__xludf.DUMMYFUNCTION("""COMPUTED_VALUE"""),"LOS RIOS")</f>
        <v>LOS RIOS</v>
      </c>
      <c r="N2267" s="65" t="str">
        <f>IFERROR(__xludf.DUMMYFUNCTION("""COMPUTED_VALUE"""),"BUENA FE")</f>
        <v>BUENA FE</v>
      </c>
      <c r="O2267" s="65" t="str">
        <f>IFERROR(__xludf.DUMMYFUNCTION("""COMPUTED_VALUE"""),"Calle Lucia Gilces y Av. Felipe Álvarez esquina")</f>
        <v>Calle Lucia Gilces y Av. Felipe Álvarez esquina</v>
      </c>
      <c r="P2267" s="65"/>
      <c r="Q2267" s="65" t="str">
        <f>IFERROR(__xludf.DUMMYFUNCTION("""COMPUTED_VALUE"""),"GINTRACOM")</f>
        <v>GINTRACOM</v>
      </c>
      <c r="R2267" s="65">
        <f>IFERROR(__xludf.DUMMYFUNCTION("""COMPUTED_VALUE"""),21.99)</f>
        <v>21.99</v>
      </c>
      <c r="S2267" s="65"/>
      <c r="T2267" s="65">
        <f>IFERROR(__xludf.DUMMYFUNCTION("""COMPUTED_VALUE"""),6.41)</f>
        <v>6.41</v>
      </c>
      <c r="U2267" s="65">
        <f>IFERROR(__xludf.DUMMYFUNCTION("""COMPUTED_VALUE"""),0.0)</f>
        <v>0</v>
      </c>
      <c r="V2267" s="65">
        <f>IFERROR(__xludf.DUMMYFUNCTION("""COMPUTED_VALUE"""),0.0)</f>
        <v>0</v>
      </c>
      <c r="W2267" s="65">
        <f>IFERROR(__xludf.DUMMYFUNCTION("""COMPUTED_VALUE"""),0.0)</f>
        <v>0</v>
      </c>
      <c r="X2267" s="65">
        <f>IFERROR(__xludf.DUMMYFUNCTION("""COMPUTED_VALUE"""),5.0)</f>
        <v>5</v>
      </c>
      <c r="Y2267" s="65">
        <f>IFERROR(__xludf.DUMMYFUNCTION("""COMPUTED_VALUE"""),5.0)</f>
        <v>5</v>
      </c>
      <c r="Z2267" s="65">
        <f>IFERROR(__xludf.DUMMYFUNCTION("""COMPUTED_VALUE"""),110064.0)</f>
        <v>110064</v>
      </c>
      <c r="AA2267" s="65" t="str">
        <f>IFERROR(__xludf.DUMMYFUNCTION("""COMPUTED_VALUE"""),"IMX-00001")</f>
        <v>IMX-00001</v>
      </c>
      <c r="AB2267" s="65"/>
      <c r="AC2267" s="65" t="str">
        <f>IFERROR(__xludf.DUMMYFUNCTION("""COMPUTED_VALUE"""),"LLAVE TRINQUETE")</f>
        <v>LLAVE TRINQUETE</v>
      </c>
      <c r="AD2267" s="65"/>
      <c r="AE2267" s="65">
        <f>IFERROR(__xludf.DUMMYFUNCTION("""COMPUTED_VALUE"""),1.0)</f>
        <v>1</v>
      </c>
      <c r="AF2267" s="65" t="str">
        <f>IFERROR(__xludf.DUMMYFUNCTION("""COMPUTED_VALUE"""),"DESTINATARIO NO CONTESTA LLAMADAS NI WHATSAPP")</f>
        <v>DESTINATARIO NO CONTESTA LLAMADAS NI WHATSAPP</v>
      </c>
      <c r="AG2267" s="65" t="str">
        <f>IFERROR(__xludf.DUMMYFUNCTION("""COMPUTED_VALUE"""),"NO")</f>
        <v>NO</v>
      </c>
      <c r="AH2267" s="65" t="str">
        <f>IFERROR(__xludf.DUMMYFUNCTION("""COMPUTED_VALUE"""),"09:00")</f>
        <v>09:00</v>
      </c>
      <c r="AI2267" s="65" t="str">
        <f>IFERROR(__xludf.DUMMYFUNCTION("""COMPUTED_VALUE"""),"18-01-2026")</f>
        <v>18-01-2026</v>
      </c>
      <c r="AJ2267" s="65"/>
      <c r="AK2267" s="65"/>
      <c r="AL2267" s="65"/>
      <c r="AM2267" s="65"/>
      <c r="AN2267" s="65" t="str">
        <f>IFERROR(__xludf.DUMMYFUNCTION("""COMPUTED_VALUE"""),"14:47")</f>
        <v>14:47</v>
      </c>
      <c r="AO2267" s="65" t="str">
        <f>IFERROR(__xludf.DUMMYFUNCTION("""COMPUTED_VALUE"""),"09-02-2026")</f>
        <v>09-02-2026</v>
      </c>
      <c r="AP2267" s="65" t="str">
        <f>IFERROR(__xludf.DUMMYFUNCTION("""COMPUTED_VALUE"""),"DEVOLUCIÓN ENTREGADA A ORIGEN")</f>
        <v>DEVOLUCIÓN ENTREGADA A ORIGEN</v>
      </c>
      <c r="AQ2267" s="65" t="str">
        <f>IFERROR(__xludf.DUMMYFUNCTION("""COMPUTED_VALUE"""),"DEVOLUCIÓN ENTREGADA A ORIGEN")</f>
        <v>DEVOLUCIÓN ENTREGADA A ORIGEN</v>
      </c>
      <c r="AR2267" s="65"/>
      <c r="AS2267" s="65"/>
      <c r="AT2267" s="65" t="str">
        <f>IFERROR(__xludf.DUMMYFUNCTION("""COMPUTED_VALUE"""),"SHOPIFY")</f>
        <v>SHOPIFY</v>
      </c>
      <c r="AU2267" s="65" t="str">
        <f>IFERROR(__xludf.DUMMYFUNCTION("""COMPUTED_VALUE"""),"IMPORTEX EC")</f>
        <v>IMPORTEX EC</v>
      </c>
      <c r="AV2267" s="65" t="str">
        <f>IFERROR(__xludf.DUMMYFUNCTION("""COMPUTED_VALUE"""),"6396589899820")</f>
        <v>6396589899820</v>
      </c>
      <c r="AW2267" s="65">
        <f>IFERROR(__xludf.DUMMYFUNCTION("""COMPUTED_VALUE"""),4721.0)</f>
        <v>4721</v>
      </c>
      <c r="AX2267" s="65"/>
      <c r="AY2267" s="65" t="str">
        <f>IFERROR(__xludf.DUMMYFUNCTION("""COMPUTED_VALUE"""),"08/01/2026")</f>
        <v>08/01/2026</v>
      </c>
      <c r="AZ2267" s="65"/>
      <c r="BA2267" s="65"/>
    </row>
    <row r="2268">
      <c r="A2268" s="65" t="str">
        <f>IFERROR(__xludf.DUMMYFUNCTION("""COMPUTED_VALUE"""),"27-03-2026")</f>
        <v>27-03-2026</v>
      </c>
      <c r="B2268" s="65">
        <f>IFERROR(__xludf.DUMMYFUNCTION("""COMPUTED_VALUE"""),4055943.0)</f>
        <v>4055943</v>
      </c>
      <c r="C2268" s="65" t="str">
        <f>IFERROR(__xludf.DUMMYFUNCTION("""COMPUTED_VALUE"""),"12:52")</f>
        <v>12:52</v>
      </c>
      <c r="D2268" s="65" t="str">
        <f>IFERROR(__xludf.DUMMYFUNCTION("""COMPUTED_VALUE"""),"07-01-2026")</f>
        <v>07-01-2026</v>
      </c>
      <c r="E2268" s="65" t="str">
        <f>IFERROR(__xludf.DUMMYFUNCTION("""COMPUTED_VALUE"""),"Yuli Intriago")</f>
        <v>Yuli Intriago</v>
      </c>
      <c r="F2268" s="65" t="str">
        <f>IFERROR(__xludf.DUMMYFUNCTION("""COMPUTED_VALUE"""),"989000341")</f>
        <v>989000341</v>
      </c>
      <c r="G2268" s="65"/>
      <c r="H2268" s="65"/>
      <c r="I2268" s="65"/>
      <c r="J2268" s="65" t="str">
        <f>IFERROR(__xludf.DUMMYFUNCTION("""COMPUTED_VALUE"""),"D001201087")</f>
        <v>D001201087</v>
      </c>
      <c r="K2268" s="65" t="str">
        <f>IFERROR(__xludf.DUMMYFUNCTION("""COMPUTED_VALUE"""),"ENTREGADO")</f>
        <v>ENTREGADO</v>
      </c>
      <c r="L2268" s="65" t="str">
        <f>IFERROR(__xludf.DUMMYFUNCTION("""COMPUTED_VALUE"""),"CON RECAUDO")</f>
        <v>CON RECAUDO</v>
      </c>
      <c r="M2268" s="65" t="str">
        <f>IFERROR(__xludf.DUMMYFUNCTION("""COMPUTED_VALUE"""),"SANTO DOMINGO DE LOS TSACHILAS")</f>
        <v>SANTO DOMINGO DE LOS TSACHILAS</v>
      </c>
      <c r="N2268" s="65" t="str">
        <f>IFERROR(__xludf.DUMMYFUNCTION("""COMPUTED_VALUE"""),"SANTO DOMINGO")</f>
        <v>SANTO DOMINGO</v>
      </c>
      <c r="O2268" s="65" t="str">
        <f>IFERROR(__xludf.DUMMYFUNCTION("""COMPUTED_VALUE"""),"Av. Quito y Calle Rio Mulaute Ref. Cerca de la Pizzería los Tíos -")</f>
        <v>Av. Quito y Calle Rio Mulaute Ref. Cerca de la Pizzería los Tíos -</v>
      </c>
      <c r="P2268" s="65"/>
      <c r="Q2268" s="65" t="str">
        <f>IFERROR(__xludf.DUMMYFUNCTION("""COMPUTED_VALUE"""),"GINTRACOM")</f>
        <v>GINTRACOM</v>
      </c>
      <c r="R2268" s="65">
        <f>IFERROR(__xludf.DUMMYFUNCTION("""COMPUTED_VALUE"""),20.0)</f>
        <v>20</v>
      </c>
      <c r="S2268" s="65">
        <f>IFERROR(__xludf.DUMMYFUNCTION("""COMPUTED_VALUE"""),9.24)</f>
        <v>9.24</v>
      </c>
      <c r="T2268" s="65">
        <f>IFERROR(__xludf.DUMMYFUNCTION("""COMPUTED_VALUE"""),5.76)</f>
        <v>5.76</v>
      </c>
      <c r="U2268" s="65">
        <f>IFERROR(__xludf.DUMMYFUNCTION("""COMPUTED_VALUE"""),0.0)</f>
        <v>0</v>
      </c>
      <c r="V2268" s="65">
        <f>IFERROR(__xludf.DUMMYFUNCTION("""COMPUTED_VALUE"""),0.0)</f>
        <v>0</v>
      </c>
      <c r="W2268" s="65">
        <f>IFERROR(__xludf.DUMMYFUNCTION("""COMPUTED_VALUE"""),0.0)</f>
        <v>0</v>
      </c>
      <c r="X2268" s="65">
        <f>IFERROR(__xludf.DUMMYFUNCTION("""COMPUTED_VALUE"""),5.0)</f>
        <v>5</v>
      </c>
      <c r="Y2268" s="65">
        <f>IFERROR(__xludf.DUMMYFUNCTION("""COMPUTED_VALUE"""),5.0)</f>
        <v>5</v>
      </c>
      <c r="Z2268" s="65">
        <f>IFERROR(__xludf.DUMMYFUNCTION("""COMPUTED_VALUE"""),110064.0)</f>
        <v>110064</v>
      </c>
      <c r="AA2268" s="65" t="str">
        <f>IFERROR(__xludf.DUMMYFUNCTION("""COMPUTED_VALUE"""),"IMX-00001")</f>
        <v>IMX-00001</v>
      </c>
      <c r="AB2268" s="65"/>
      <c r="AC2268" s="65" t="str">
        <f>IFERROR(__xludf.DUMMYFUNCTION("""COMPUTED_VALUE"""),"LLAVE TRINQUETE")</f>
        <v>LLAVE TRINQUETE</v>
      </c>
      <c r="AD2268" s="65"/>
      <c r="AE2268" s="65">
        <f>IFERROR(__xludf.DUMMYFUNCTION("""COMPUTED_VALUE"""),1.0)</f>
        <v>1</v>
      </c>
      <c r="AF2268" s="65"/>
      <c r="AG2268" s="65"/>
      <c r="AH2268" s="65"/>
      <c r="AI2268" s="65"/>
      <c r="AJ2268" s="65"/>
      <c r="AK2268" s="65"/>
      <c r="AL2268" s="65"/>
      <c r="AM2268" s="65"/>
      <c r="AN2268" s="65" t="str">
        <f>IFERROR(__xludf.DUMMYFUNCTION("""COMPUTED_VALUE"""),"16:26")</f>
        <v>16:26</v>
      </c>
      <c r="AO2268" s="65" t="str">
        <f>IFERROR(__xludf.DUMMYFUNCTION("""COMPUTED_VALUE"""),"12-01-2026")</f>
        <v>12-01-2026</v>
      </c>
      <c r="AP2268" s="65" t="str">
        <f>IFERROR(__xludf.DUMMYFUNCTION("""COMPUTED_VALUE"""),"ENTREGADA GINTRACOM")</f>
        <v>ENTREGADA GINTRACOM</v>
      </c>
      <c r="AQ2268" s="65" t="str">
        <f>IFERROR(__xludf.DUMMYFUNCTION("""COMPUTED_VALUE"""),"ENTREGADA GINTRACOM")</f>
        <v>ENTREGADA GINTRACOM</v>
      </c>
      <c r="AR2268" s="65"/>
      <c r="AS2268" s="65"/>
      <c r="AT2268" s="65" t="str">
        <f>IFERROR(__xludf.DUMMYFUNCTION("""COMPUTED_VALUE"""),"SHOPIFY")</f>
        <v>SHOPIFY</v>
      </c>
      <c r="AU2268" s="65" t="str">
        <f>IFERROR(__xludf.DUMMYFUNCTION("""COMPUTED_VALUE"""),"IMPORTEX EC")</f>
        <v>IMPORTEX EC</v>
      </c>
      <c r="AV2268" s="65" t="str">
        <f>IFERROR(__xludf.DUMMYFUNCTION("""COMPUTED_VALUE"""),"6389601566764")</f>
        <v>6389601566764</v>
      </c>
      <c r="AW2268" s="65">
        <f>IFERROR(__xludf.DUMMYFUNCTION("""COMPUTED_VALUE"""),4640.0)</f>
        <v>4640</v>
      </c>
      <c r="AX2268" s="65"/>
      <c r="AY2268" s="65" t="str">
        <f>IFERROR(__xludf.DUMMYFUNCTION("""COMPUTED_VALUE"""),"08/01/2026")</f>
        <v>08/01/2026</v>
      </c>
      <c r="AZ2268" s="65"/>
      <c r="BA2268" s="65"/>
    </row>
    <row r="2269">
      <c r="A2269" s="65" t="str">
        <f>IFERROR(__xludf.DUMMYFUNCTION("""COMPUTED_VALUE"""),"27-03-2026")</f>
        <v>27-03-2026</v>
      </c>
      <c r="B2269" s="65">
        <f>IFERROR(__xludf.DUMMYFUNCTION("""COMPUTED_VALUE"""),4055672.0)</f>
        <v>4055672</v>
      </c>
      <c r="C2269" s="65" t="str">
        <f>IFERROR(__xludf.DUMMYFUNCTION("""COMPUTED_VALUE"""),"12:39")</f>
        <v>12:39</v>
      </c>
      <c r="D2269" s="65" t="str">
        <f>IFERROR(__xludf.DUMMYFUNCTION("""COMPUTED_VALUE"""),"07-01-2026")</f>
        <v>07-01-2026</v>
      </c>
      <c r="E2269" s="65" t="str">
        <f>IFERROR(__xludf.DUMMYFUNCTION("""COMPUTED_VALUE"""),"Patricia Janeth Rojas")</f>
        <v>Patricia Janeth Rojas</v>
      </c>
      <c r="F2269" s="65" t="str">
        <f>IFERROR(__xludf.DUMMYFUNCTION("""COMPUTED_VALUE"""),"999428143")</f>
        <v>999428143</v>
      </c>
      <c r="G2269" s="65"/>
      <c r="H2269" s="65"/>
      <c r="I2269" s="65"/>
      <c r="J2269" s="65" t="str">
        <f>IFERROR(__xludf.DUMMYFUNCTION("""COMPUTED_VALUE"""),"D001199210")</f>
        <v>D001199210</v>
      </c>
      <c r="K2269" s="65" t="str">
        <f>IFERROR(__xludf.DUMMYFUNCTION("""COMPUTED_VALUE"""),"DEVOLUCION")</f>
        <v>DEVOLUCION</v>
      </c>
      <c r="L2269" s="65" t="str">
        <f>IFERROR(__xludf.DUMMYFUNCTION("""COMPUTED_VALUE"""),"CON RECAUDO")</f>
        <v>CON RECAUDO</v>
      </c>
      <c r="M2269" s="65" t="str">
        <f>IFERROR(__xludf.DUMMYFUNCTION("""COMPUTED_VALUE"""),"LOJA")</f>
        <v>LOJA</v>
      </c>
      <c r="N2269" s="65" t="str">
        <f>IFERROR(__xludf.DUMMYFUNCTION("""COMPUTED_VALUE"""),"LOJA")</f>
        <v>LOJA</v>
      </c>
      <c r="O2269" s="65" t="str">
        <f>IFERROR(__xludf.DUMMYFUNCTION("""COMPUTED_VALUE"""),"AV. Gran Colombia y Av. Guayaquil - Sector La Y")</f>
        <v>AV. Gran Colombia y Av. Guayaquil - Sector La Y</v>
      </c>
      <c r="P2269" s="65"/>
      <c r="Q2269" s="65" t="str">
        <f>IFERROR(__xludf.DUMMYFUNCTION("""COMPUTED_VALUE"""),"GINTRACOM")</f>
        <v>GINTRACOM</v>
      </c>
      <c r="R2269" s="65">
        <f>IFERROR(__xludf.DUMMYFUNCTION("""COMPUTED_VALUE"""),37.0)</f>
        <v>37</v>
      </c>
      <c r="S2269" s="65"/>
      <c r="T2269" s="65">
        <f>IFERROR(__xludf.DUMMYFUNCTION("""COMPUTED_VALUE"""),6.45)</f>
        <v>6.45</v>
      </c>
      <c r="U2269" s="65">
        <f>IFERROR(__xludf.DUMMYFUNCTION("""COMPUTED_VALUE"""),0.0)</f>
        <v>0</v>
      </c>
      <c r="V2269" s="65">
        <f>IFERROR(__xludf.DUMMYFUNCTION("""COMPUTED_VALUE"""),0.0)</f>
        <v>0</v>
      </c>
      <c r="W2269" s="65">
        <f>IFERROR(__xludf.DUMMYFUNCTION("""COMPUTED_VALUE"""),0.0)</f>
        <v>0</v>
      </c>
      <c r="X2269" s="65">
        <f>IFERROR(__xludf.DUMMYFUNCTION("""COMPUTED_VALUE"""),2.5)</f>
        <v>2.5</v>
      </c>
      <c r="Y2269" s="65">
        <f>IFERROR(__xludf.DUMMYFUNCTION("""COMPUTED_VALUE"""),12.5)</f>
        <v>12.5</v>
      </c>
      <c r="Z2269" s="65">
        <f>IFERROR(__xludf.DUMMYFUNCTION("""COMPUTED_VALUE"""),78123.0)</f>
        <v>78123</v>
      </c>
      <c r="AA2269" s="65" t="str">
        <f>IFERROR(__xludf.DUMMYFUNCTION("""COMPUTED_VALUE"""),"GT1EG5097")</f>
        <v>GT1EG5097</v>
      </c>
      <c r="AB2269" s="65"/>
      <c r="AC2269" s="65" t="str">
        <f>IFERROR(__xludf.DUMMYFUNCTION("""COMPUTED_VALUE"""),"Geles de baño aromaticos inodoro x 1")</f>
        <v>Geles de baño aromaticos inodoro x 1</v>
      </c>
      <c r="AD2269" s="65"/>
      <c r="AE2269" s="65">
        <f>IFERROR(__xludf.DUMMYFUNCTION("""COMPUTED_VALUE"""),5.0)</f>
        <v>5</v>
      </c>
      <c r="AF2269" s="65" t="str">
        <f>IFERROR(__xludf.DUMMYFUNCTION("""COMPUTED_VALUE"""),"DESTINATARIO INDICA QUE YA NO DESEA EL PRODUCTO")</f>
        <v>DESTINATARIO INDICA QUE YA NO DESEA EL PRODUCTO</v>
      </c>
      <c r="AG2269" s="65" t="str">
        <f>IFERROR(__xludf.DUMMYFUNCTION("""COMPUTED_VALUE"""),"NO")</f>
        <v>NO</v>
      </c>
      <c r="AH2269" s="65" t="str">
        <f>IFERROR(__xludf.DUMMYFUNCTION("""COMPUTED_VALUE"""),"20:31")</f>
        <v>20:31</v>
      </c>
      <c r="AI2269" s="65" t="str">
        <f>IFERROR(__xludf.DUMMYFUNCTION("""COMPUTED_VALUE"""),"09-01-2026")</f>
        <v>09-01-2026</v>
      </c>
      <c r="AJ2269" s="65"/>
      <c r="AK2269" s="65"/>
      <c r="AL2269" s="65"/>
      <c r="AM2269" s="65"/>
      <c r="AN2269" s="65" t="str">
        <f>IFERROR(__xludf.DUMMYFUNCTION("""COMPUTED_VALUE"""),"03:03")</f>
        <v>03:03</v>
      </c>
      <c r="AO2269" s="65" t="str">
        <f>IFERROR(__xludf.DUMMYFUNCTION("""COMPUTED_VALUE"""),"19-01-2026")</f>
        <v>19-01-2026</v>
      </c>
      <c r="AP2269" s="65" t="str">
        <f>IFERROR(__xludf.DUMMYFUNCTION("""COMPUTED_VALUE"""),"DEVOLUCIÓN")</f>
        <v>DEVOLUCIÓN</v>
      </c>
      <c r="AQ2269" s="65" t="str">
        <f>IFERROR(__xludf.DUMMYFUNCTION("""COMPUTED_VALUE"""),"DEVOLUCIÓN")</f>
        <v>DEVOLUCIÓN</v>
      </c>
      <c r="AR2269" s="65"/>
      <c r="AS2269" s="65" t="str">
        <f>IFERROR(__xludf.DUMMYFUNCTION("""COMPUTED_VALUE"""),"Bayron Gomez")</f>
        <v>Bayron Gomez</v>
      </c>
      <c r="AT2269" s="65"/>
      <c r="AU2269" s="65"/>
      <c r="AV2269" s="65"/>
      <c r="AW2269" s="65"/>
      <c r="AX2269" s="65"/>
      <c r="AY2269" s="65" t="str">
        <f>IFERROR(__xludf.DUMMYFUNCTION("""COMPUTED_VALUE"""),"07/01/2026")</f>
        <v>07/01/2026</v>
      </c>
      <c r="AZ2269" s="65"/>
      <c r="BA2269" s="65"/>
    </row>
    <row r="2270">
      <c r="A2270" s="65" t="str">
        <f>IFERROR(__xludf.DUMMYFUNCTION("""COMPUTED_VALUE"""),"27-03-2026")</f>
        <v>27-03-2026</v>
      </c>
      <c r="B2270" s="65">
        <f>IFERROR(__xludf.DUMMYFUNCTION("""COMPUTED_VALUE"""),4054987.0)</f>
        <v>4054987</v>
      </c>
      <c r="C2270" s="65" t="str">
        <f>IFERROR(__xludf.DUMMYFUNCTION("""COMPUTED_VALUE"""),"11:41")</f>
        <v>11:41</v>
      </c>
      <c r="D2270" s="65" t="str">
        <f>IFERROR(__xludf.DUMMYFUNCTION("""COMPUTED_VALUE"""),"07-01-2026")</f>
        <v>07-01-2026</v>
      </c>
      <c r="E2270" s="65" t="str">
        <f>IFERROR(__xludf.DUMMYFUNCTION("""COMPUTED_VALUE"""),"Edwing Santillan")</f>
        <v>Edwing Santillan</v>
      </c>
      <c r="F2270" s="65" t="str">
        <f>IFERROR(__xludf.DUMMYFUNCTION("""COMPUTED_VALUE"""),"979649117")</f>
        <v>979649117</v>
      </c>
      <c r="G2270" s="65" t="str">
        <f>IFERROR(__xludf.DUMMYFUNCTION("""COMPUTED_VALUE"""),"edwin1356@gmail.com")</f>
        <v>edwin1356@gmail.com</v>
      </c>
      <c r="H2270" s="65"/>
      <c r="I2270" s="65"/>
      <c r="J2270" s="65" t="str">
        <f>IFERROR(__xludf.DUMMYFUNCTION("""COMPUTED_VALUE"""),"D001201089")</f>
        <v>D001201089</v>
      </c>
      <c r="K2270" s="65" t="str">
        <f>IFERROR(__xludf.DUMMYFUNCTION("""COMPUTED_VALUE"""),"ENTREGADO")</f>
        <v>ENTREGADO</v>
      </c>
      <c r="L2270" s="65" t="str">
        <f>IFERROR(__xludf.DUMMYFUNCTION("""COMPUTED_VALUE"""),"CON RECAUDO")</f>
        <v>CON RECAUDO</v>
      </c>
      <c r="M2270" s="65" t="str">
        <f>IFERROR(__xludf.DUMMYFUNCTION("""COMPUTED_VALUE"""),"PICHINCHA")</f>
        <v>PICHINCHA</v>
      </c>
      <c r="N2270" s="65" t="str">
        <f>IFERROR(__xludf.DUMMYFUNCTION("""COMPUTED_VALUE"""),"QUITO")</f>
        <v>QUITO</v>
      </c>
      <c r="O2270" s="65" t="str">
        <f>IFERROR(__xludf.DUMMYFUNCTION("""COMPUTED_VALUE"""),"De Los Jazmines y De los Pinos. Anturios 3  Ref. Sector Solca - Diagonal al Santa María -")</f>
        <v>De Los Jazmines y De los Pinos. Anturios 3  Ref. Sector Solca - Diagonal al Santa María -</v>
      </c>
      <c r="P2270" s="65"/>
      <c r="Q2270" s="65" t="str">
        <f>IFERROR(__xludf.DUMMYFUNCTION("""COMPUTED_VALUE"""),"GINTRACOM")</f>
        <v>GINTRACOM</v>
      </c>
      <c r="R2270" s="65">
        <f>IFERROR(__xludf.DUMMYFUNCTION("""COMPUTED_VALUE"""),32.0)</f>
        <v>32</v>
      </c>
      <c r="S2270" s="65">
        <f>IFERROR(__xludf.DUMMYFUNCTION("""COMPUTED_VALUE"""),17.37)</f>
        <v>17.37</v>
      </c>
      <c r="T2270" s="65">
        <f>IFERROR(__xludf.DUMMYFUNCTION("""COMPUTED_VALUE"""),4.63)</f>
        <v>4.63</v>
      </c>
      <c r="U2270" s="65">
        <f>IFERROR(__xludf.DUMMYFUNCTION("""COMPUTED_VALUE"""),0.0)</f>
        <v>0</v>
      </c>
      <c r="V2270" s="65">
        <f>IFERROR(__xludf.DUMMYFUNCTION("""COMPUTED_VALUE"""),0.0)</f>
        <v>0</v>
      </c>
      <c r="W2270" s="65">
        <f>IFERROR(__xludf.DUMMYFUNCTION("""COMPUTED_VALUE"""),0.0)</f>
        <v>0</v>
      </c>
      <c r="X2270" s="65">
        <f>IFERROR(__xludf.DUMMYFUNCTION("""COMPUTED_VALUE"""),5.0)</f>
        <v>5</v>
      </c>
      <c r="Y2270" s="65">
        <f>IFERROR(__xludf.DUMMYFUNCTION("""COMPUTED_VALUE"""),10.0)</f>
        <v>10</v>
      </c>
      <c r="Z2270" s="65">
        <f>IFERROR(__xludf.DUMMYFUNCTION("""COMPUTED_VALUE"""),110064.0)</f>
        <v>110064</v>
      </c>
      <c r="AA2270" s="65" t="str">
        <f>IFERROR(__xludf.DUMMYFUNCTION("""COMPUTED_VALUE"""),"IMX-00001")</f>
        <v>IMX-00001</v>
      </c>
      <c r="AB2270" s="65"/>
      <c r="AC2270" s="65" t="str">
        <f>IFERROR(__xludf.DUMMYFUNCTION("""COMPUTED_VALUE"""),"LLAVE TRINQUETE")</f>
        <v>LLAVE TRINQUETE</v>
      </c>
      <c r="AD2270" s="65"/>
      <c r="AE2270" s="65">
        <f>IFERROR(__xludf.DUMMYFUNCTION("""COMPUTED_VALUE"""),2.0)</f>
        <v>2</v>
      </c>
      <c r="AF2270" s="65"/>
      <c r="AG2270" s="65"/>
      <c r="AH2270" s="65"/>
      <c r="AI2270" s="65"/>
      <c r="AJ2270" s="65"/>
      <c r="AK2270" s="65"/>
      <c r="AL2270" s="65"/>
      <c r="AM2270" s="65"/>
      <c r="AN2270" s="65" t="str">
        <f>IFERROR(__xludf.DUMMYFUNCTION("""COMPUTED_VALUE"""),"09:26")</f>
        <v>09:26</v>
      </c>
      <c r="AO2270" s="65" t="str">
        <f>IFERROR(__xludf.DUMMYFUNCTION("""COMPUTED_VALUE"""),"10-01-2026")</f>
        <v>10-01-2026</v>
      </c>
      <c r="AP2270" s="65" t="str">
        <f>IFERROR(__xludf.DUMMYFUNCTION("""COMPUTED_VALUE"""),"EN REPARTO")</f>
        <v>EN REPARTO</v>
      </c>
      <c r="AQ2270" s="65" t="str">
        <f>IFERROR(__xludf.DUMMYFUNCTION("""COMPUTED_VALUE"""),"EN REPARTO")</f>
        <v>EN REPARTO</v>
      </c>
      <c r="AR2270" s="65"/>
      <c r="AS2270" s="65"/>
      <c r="AT2270" s="65" t="str">
        <f>IFERROR(__xludf.DUMMYFUNCTION("""COMPUTED_VALUE"""),"SHOPIFY")</f>
        <v>SHOPIFY</v>
      </c>
      <c r="AU2270" s="65" t="str">
        <f>IFERROR(__xludf.DUMMYFUNCTION("""COMPUTED_VALUE"""),"IMPORTEX EC")</f>
        <v>IMPORTEX EC</v>
      </c>
      <c r="AV2270" s="65" t="str">
        <f>IFERROR(__xludf.DUMMYFUNCTION("""COMPUTED_VALUE"""),"6395871789100")</f>
        <v>6395871789100</v>
      </c>
      <c r="AW2270" s="65">
        <f>IFERROR(__xludf.DUMMYFUNCTION("""COMPUTED_VALUE"""),4718.0)</f>
        <v>4718</v>
      </c>
      <c r="AX2270" s="65"/>
      <c r="AY2270" s="65" t="str">
        <f>IFERROR(__xludf.DUMMYFUNCTION("""COMPUTED_VALUE"""),"08/01/2026")</f>
        <v>08/01/2026</v>
      </c>
      <c r="AZ2270" s="65"/>
      <c r="BA2270" s="65"/>
    </row>
    <row r="2271">
      <c r="A2271" s="65" t="str">
        <f>IFERROR(__xludf.DUMMYFUNCTION("""COMPUTED_VALUE"""),"27-03-2026")</f>
        <v>27-03-2026</v>
      </c>
      <c r="B2271" s="65">
        <f>IFERROR(__xludf.DUMMYFUNCTION("""COMPUTED_VALUE"""),4054983.0)</f>
        <v>4054983</v>
      </c>
      <c r="C2271" s="65" t="str">
        <f>IFERROR(__xludf.DUMMYFUNCTION("""COMPUTED_VALUE"""),"11:41")</f>
        <v>11:41</v>
      </c>
      <c r="D2271" s="65" t="str">
        <f>IFERROR(__xludf.DUMMYFUNCTION("""COMPUTED_VALUE"""),"07-01-2026")</f>
        <v>07-01-2026</v>
      </c>
      <c r="E2271" s="65" t="str">
        <f>IFERROR(__xludf.DUMMYFUNCTION("""COMPUTED_VALUE"""),"Ramon Andres Normand Santana Normand Santana")</f>
        <v>Ramon Andres Normand Santana Normand Santana</v>
      </c>
      <c r="F2271" s="65" t="str">
        <f>IFERROR(__xludf.DUMMYFUNCTION("""COMPUTED_VALUE"""),"999778149")</f>
        <v>999778149</v>
      </c>
      <c r="G2271" s="65" t="str">
        <f>IFERROR(__xludf.DUMMYFUNCTION("""COMPUTED_VALUE"""),"anormand2005@yahoo.com")</f>
        <v>anormand2005@yahoo.com</v>
      </c>
      <c r="H2271" s="65"/>
      <c r="I2271" s="65"/>
      <c r="J2271" s="65"/>
      <c r="K2271" s="65" t="str">
        <f>IFERROR(__xludf.DUMMYFUNCTION("""COMPUTED_VALUE"""),"RECHAZADO")</f>
        <v>RECHAZADO</v>
      </c>
      <c r="L2271" s="65" t="str">
        <f>IFERROR(__xludf.DUMMYFUNCTION("""COMPUTED_VALUE"""),"CON RECAUDO")</f>
        <v>CON RECAUDO</v>
      </c>
      <c r="M2271" s="65" t="str">
        <f>IFERROR(__xludf.DUMMYFUNCTION("""COMPUTED_VALUE"""),"GUAYAS")</f>
        <v>GUAYAS</v>
      </c>
      <c r="N2271" s="65" t="str">
        <f>IFERROR(__xludf.DUMMYFUNCTION("""COMPUTED_VALUE"""),"GUAYAQUIL")</f>
        <v>GUAYAQUIL</v>
      </c>
      <c r="O2271" s="65" t="str">
        <f>IFERROR(__xludf.DUMMYFUNCTION("""COMPUTED_VALUE"""),"Urbanizqcion la saiba mz L vilaa 11 Diagonal al parque -")</f>
        <v>Urbanizqcion la saiba mz L vilaa 11 Diagonal al parque -</v>
      </c>
      <c r="P2271" s="65"/>
      <c r="Q2271" s="65" t="str">
        <f>IFERROR(__xludf.DUMMYFUNCTION("""COMPUTED_VALUE"""),"GINTRACOM")</f>
        <v>GINTRACOM</v>
      </c>
      <c r="R2271" s="65">
        <f>IFERROR(__xludf.DUMMYFUNCTION("""COMPUTED_VALUE"""),21.99)</f>
        <v>21.99</v>
      </c>
      <c r="S2271" s="65"/>
      <c r="T2271" s="65">
        <f>IFERROR(__xludf.DUMMYFUNCTION("""COMPUTED_VALUE"""),5.84)</f>
        <v>5.84</v>
      </c>
      <c r="U2271" s="65">
        <f>IFERROR(__xludf.DUMMYFUNCTION("""COMPUTED_VALUE"""),0.0)</f>
        <v>0</v>
      </c>
      <c r="V2271" s="65">
        <f>IFERROR(__xludf.DUMMYFUNCTION("""COMPUTED_VALUE"""),0.0)</f>
        <v>0</v>
      </c>
      <c r="W2271" s="65">
        <f>IFERROR(__xludf.DUMMYFUNCTION("""COMPUTED_VALUE"""),0.0)</f>
        <v>0</v>
      </c>
      <c r="X2271" s="65">
        <f>IFERROR(__xludf.DUMMYFUNCTION("""COMPUTED_VALUE"""),5.0)</f>
        <v>5</v>
      </c>
      <c r="Y2271" s="65">
        <f>IFERROR(__xludf.DUMMYFUNCTION("""COMPUTED_VALUE"""),5.0)</f>
        <v>5</v>
      </c>
      <c r="Z2271" s="65">
        <f>IFERROR(__xludf.DUMMYFUNCTION("""COMPUTED_VALUE"""),110064.0)</f>
        <v>110064</v>
      </c>
      <c r="AA2271" s="65" t="str">
        <f>IFERROR(__xludf.DUMMYFUNCTION("""COMPUTED_VALUE"""),"IMX-00001")</f>
        <v>IMX-00001</v>
      </c>
      <c r="AB2271" s="65"/>
      <c r="AC2271" s="65" t="str">
        <f>IFERROR(__xludf.DUMMYFUNCTION("""COMPUTED_VALUE"""),"LLAVE TRINQUETE")</f>
        <v>LLAVE TRINQUETE</v>
      </c>
      <c r="AD2271" s="65"/>
      <c r="AE2271" s="65">
        <f>IFERROR(__xludf.DUMMYFUNCTION("""COMPUTED_VALUE"""),1.0)</f>
        <v>1</v>
      </c>
      <c r="AF2271" s="65"/>
      <c r="AG2271" s="65"/>
      <c r="AH2271" s="65"/>
      <c r="AI2271" s="65"/>
      <c r="AJ2271" s="65"/>
      <c r="AK2271" s="65"/>
      <c r="AL2271" s="65"/>
      <c r="AM2271" s="65"/>
      <c r="AN2271" s="65"/>
      <c r="AO2271" s="65"/>
      <c r="AP2271" s="65"/>
      <c r="AQ2271" s="65"/>
      <c r="AR2271" s="65"/>
      <c r="AS2271" s="65"/>
      <c r="AT2271" s="65" t="str">
        <f>IFERROR(__xludf.DUMMYFUNCTION("""COMPUTED_VALUE"""),"SHOPIFY")</f>
        <v>SHOPIFY</v>
      </c>
      <c r="AU2271" s="65" t="str">
        <f>IFERROR(__xludf.DUMMYFUNCTION("""COMPUTED_VALUE"""),"IMPORTEX EC")</f>
        <v>IMPORTEX EC</v>
      </c>
      <c r="AV2271" s="65" t="str">
        <f>IFERROR(__xludf.DUMMYFUNCTION("""COMPUTED_VALUE"""),"6396234465324")</f>
        <v>6396234465324</v>
      </c>
      <c r="AW2271" s="65">
        <f>IFERROR(__xludf.DUMMYFUNCTION("""COMPUTED_VALUE"""),4719.0)</f>
        <v>4719</v>
      </c>
      <c r="AX2271" s="65"/>
      <c r="AY2271" s="65"/>
      <c r="AZ2271" s="65"/>
      <c r="BA2271" s="65"/>
    </row>
    <row r="2272">
      <c r="A2272" s="65" t="str">
        <f>IFERROR(__xludf.DUMMYFUNCTION("""COMPUTED_VALUE"""),"27-03-2026")</f>
        <v>27-03-2026</v>
      </c>
      <c r="B2272" s="65">
        <f>IFERROR(__xludf.DUMMYFUNCTION("""COMPUTED_VALUE"""),4054620.0)</f>
        <v>4054620</v>
      </c>
      <c r="C2272" s="65" t="str">
        <f>IFERROR(__xludf.DUMMYFUNCTION("""COMPUTED_VALUE"""),"11:01")</f>
        <v>11:01</v>
      </c>
      <c r="D2272" s="65" t="str">
        <f>IFERROR(__xludf.DUMMYFUNCTION("""COMPUTED_VALUE"""),"07-01-2026")</f>
        <v>07-01-2026</v>
      </c>
      <c r="E2272" s="65" t="str">
        <f>IFERROR(__xludf.DUMMYFUNCTION("""COMPUTED_VALUE"""),"Iván Trujillo")</f>
        <v>Iván Trujillo</v>
      </c>
      <c r="F2272" s="65" t="str">
        <f>IFERROR(__xludf.DUMMYFUNCTION("""COMPUTED_VALUE"""),"963815248")</f>
        <v>963815248</v>
      </c>
      <c r="G2272" s="65" t="str">
        <f>IFERROR(__xludf.DUMMYFUNCTION("""COMPUTED_VALUE"""),"it720627@gmail.com")</f>
        <v>it720627@gmail.com</v>
      </c>
      <c r="H2272" s="65"/>
      <c r="I2272" s="65"/>
      <c r="J2272" s="65" t="str">
        <f>IFERROR(__xludf.DUMMYFUNCTION("""COMPUTED_VALUE"""),"D001201090")</f>
        <v>D001201090</v>
      </c>
      <c r="K2272" s="65" t="str">
        <f>IFERROR(__xludf.DUMMYFUNCTION("""COMPUTED_VALUE"""),"DEVOLUCION")</f>
        <v>DEVOLUCION</v>
      </c>
      <c r="L2272" s="65" t="str">
        <f>IFERROR(__xludf.DUMMYFUNCTION("""COMPUTED_VALUE"""),"CON RECAUDO")</f>
        <v>CON RECAUDO</v>
      </c>
      <c r="M2272" s="65" t="str">
        <f>IFERROR(__xludf.DUMMYFUNCTION("""COMPUTED_VALUE"""),"PICHINCHA")</f>
        <v>PICHINCHA</v>
      </c>
      <c r="N2272" s="65" t="str">
        <f>IFERROR(__xludf.DUMMYFUNCTION("""COMPUTED_VALUE"""),"QUITO")</f>
        <v>QUITO</v>
      </c>
      <c r="O2272" s="65" t="str">
        <f>IFERROR(__xludf.DUMMYFUNCTION("""COMPUTED_VALUE"""),"Avenida del Maestro y Sebastián Buara Sector La Rumiñahui -")</f>
        <v>Avenida del Maestro y Sebastián Buara Sector La Rumiñahui -</v>
      </c>
      <c r="P2272" s="65"/>
      <c r="Q2272" s="65" t="str">
        <f>IFERROR(__xludf.DUMMYFUNCTION("""COMPUTED_VALUE"""),"GINTRACOM")</f>
        <v>GINTRACOM</v>
      </c>
      <c r="R2272" s="65">
        <f>IFERROR(__xludf.DUMMYFUNCTION("""COMPUTED_VALUE"""),21.99)</f>
        <v>21.99</v>
      </c>
      <c r="S2272" s="65"/>
      <c r="T2272" s="65">
        <f>IFERROR(__xludf.DUMMYFUNCTION("""COMPUTED_VALUE"""),4.23)</f>
        <v>4.23</v>
      </c>
      <c r="U2272" s="65">
        <f>IFERROR(__xludf.DUMMYFUNCTION("""COMPUTED_VALUE"""),0.0)</f>
        <v>0</v>
      </c>
      <c r="V2272" s="65">
        <f>IFERROR(__xludf.DUMMYFUNCTION("""COMPUTED_VALUE"""),0.0)</f>
        <v>0</v>
      </c>
      <c r="W2272" s="65">
        <f>IFERROR(__xludf.DUMMYFUNCTION("""COMPUTED_VALUE"""),0.0)</f>
        <v>0</v>
      </c>
      <c r="X2272" s="65">
        <f>IFERROR(__xludf.DUMMYFUNCTION("""COMPUTED_VALUE"""),5.0)</f>
        <v>5</v>
      </c>
      <c r="Y2272" s="65">
        <f>IFERROR(__xludf.DUMMYFUNCTION("""COMPUTED_VALUE"""),5.0)</f>
        <v>5</v>
      </c>
      <c r="Z2272" s="65">
        <f>IFERROR(__xludf.DUMMYFUNCTION("""COMPUTED_VALUE"""),110064.0)</f>
        <v>110064</v>
      </c>
      <c r="AA2272" s="65" t="str">
        <f>IFERROR(__xludf.DUMMYFUNCTION("""COMPUTED_VALUE"""),"IMX-00001")</f>
        <v>IMX-00001</v>
      </c>
      <c r="AB2272" s="65"/>
      <c r="AC2272" s="65" t="str">
        <f>IFERROR(__xludf.DUMMYFUNCTION("""COMPUTED_VALUE"""),"LLAVE TRINQUETE")</f>
        <v>LLAVE TRINQUETE</v>
      </c>
      <c r="AD2272" s="65"/>
      <c r="AE2272" s="65">
        <f>IFERROR(__xludf.DUMMYFUNCTION("""COMPUTED_VALUE"""),1.0)</f>
        <v>1</v>
      </c>
      <c r="AF2272" s="65" t="str">
        <f>IFERROR(__xludf.DUMMYFUNCTION("""COMPUTED_VALUE"""),"DESTINATARIO INDICA QUE SE ENCUENTRA FUERA DE LA CIUDAD")</f>
        <v>DESTINATARIO INDICA QUE SE ENCUENTRA FUERA DE LA CIUDAD</v>
      </c>
      <c r="AG2272" s="65" t="str">
        <f>IFERROR(__xludf.DUMMYFUNCTION("""COMPUTED_VALUE"""),"NO")</f>
        <v>NO</v>
      </c>
      <c r="AH2272" s="65" t="str">
        <f>IFERROR(__xludf.DUMMYFUNCTION("""COMPUTED_VALUE"""),"13:37")</f>
        <v>13:37</v>
      </c>
      <c r="AI2272" s="65" t="str">
        <f>IFERROR(__xludf.DUMMYFUNCTION("""COMPUTED_VALUE"""),"18-01-2026")</f>
        <v>18-01-2026</v>
      </c>
      <c r="AJ2272" s="65"/>
      <c r="AK2272" s="65"/>
      <c r="AL2272" s="65"/>
      <c r="AM2272" s="65"/>
      <c r="AN2272" s="65" t="str">
        <f>IFERROR(__xludf.DUMMYFUNCTION("""COMPUTED_VALUE"""),"07:28")</f>
        <v>07:28</v>
      </c>
      <c r="AO2272" s="65" t="str">
        <f>IFERROR(__xludf.DUMMYFUNCTION("""COMPUTED_VALUE"""),"27-01-2026")</f>
        <v>27-01-2026</v>
      </c>
      <c r="AP2272" s="65" t="str">
        <f>IFERROR(__xludf.DUMMYFUNCTION("""COMPUTED_VALUE"""),"DEVOLUCIÓN")</f>
        <v>DEVOLUCIÓN</v>
      </c>
      <c r="AQ2272" s="65" t="str">
        <f>IFERROR(__xludf.DUMMYFUNCTION("""COMPUTED_VALUE"""),"DEVOLUCIÓN")</f>
        <v>DEVOLUCIÓN</v>
      </c>
      <c r="AR2272" s="65"/>
      <c r="AS2272" s="65"/>
      <c r="AT2272" s="65" t="str">
        <f>IFERROR(__xludf.DUMMYFUNCTION("""COMPUTED_VALUE"""),"SHOPIFY")</f>
        <v>SHOPIFY</v>
      </c>
      <c r="AU2272" s="65" t="str">
        <f>IFERROR(__xludf.DUMMYFUNCTION("""COMPUTED_VALUE"""),"IMPORTEX EC")</f>
        <v>IMPORTEX EC</v>
      </c>
      <c r="AV2272" s="65" t="str">
        <f>IFERROR(__xludf.DUMMYFUNCTION("""COMPUTED_VALUE"""),"6394701545516")</f>
        <v>6394701545516</v>
      </c>
      <c r="AW2272" s="65">
        <f>IFERROR(__xludf.DUMMYFUNCTION("""COMPUTED_VALUE"""),4700.0)</f>
        <v>4700</v>
      </c>
      <c r="AX2272" s="65"/>
      <c r="AY2272" s="65" t="str">
        <f>IFERROR(__xludf.DUMMYFUNCTION("""COMPUTED_VALUE"""),"08/01/2026")</f>
        <v>08/01/2026</v>
      </c>
      <c r="AZ2272" s="65"/>
      <c r="BA2272" s="65"/>
    </row>
    <row r="2273">
      <c r="A2273" s="65" t="str">
        <f>IFERROR(__xludf.DUMMYFUNCTION("""COMPUTED_VALUE"""),"27-03-2026")</f>
        <v>27-03-2026</v>
      </c>
      <c r="B2273" s="65">
        <f>IFERROR(__xludf.DUMMYFUNCTION("""COMPUTED_VALUE"""),4054504.0)</f>
        <v>4054504</v>
      </c>
      <c r="C2273" s="65" t="str">
        <f>IFERROR(__xludf.DUMMYFUNCTION("""COMPUTED_VALUE"""),"10:50")</f>
        <v>10:50</v>
      </c>
      <c r="D2273" s="65" t="str">
        <f>IFERROR(__xludf.DUMMYFUNCTION("""COMPUTED_VALUE"""),"07-01-2026")</f>
        <v>07-01-2026</v>
      </c>
      <c r="E2273" s="65" t="str">
        <f>IFERROR(__xludf.DUMMYFUNCTION("""COMPUTED_VALUE"""),"Ricardo King")</f>
        <v>Ricardo King</v>
      </c>
      <c r="F2273" s="65" t="str">
        <f>IFERROR(__xludf.DUMMYFUNCTION("""COMPUTED_VALUE"""),"999475577")</f>
        <v>999475577</v>
      </c>
      <c r="G2273" s="65" t="str">
        <f>IFERROR(__xludf.DUMMYFUNCTION("""COMPUTED_VALUE"""),"rkingyerovi@hotmail.com")</f>
        <v>rkingyerovi@hotmail.com</v>
      </c>
      <c r="H2273" s="65"/>
      <c r="I2273" s="65"/>
      <c r="J2273" s="65" t="str">
        <f>IFERROR(__xludf.DUMMYFUNCTION("""COMPUTED_VALUE"""),"D001201095")</f>
        <v>D001201095</v>
      </c>
      <c r="K2273" s="65" t="str">
        <f>IFERROR(__xludf.DUMMYFUNCTION("""COMPUTED_VALUE"""),"ENTREGADO")</f>
        <v>ENTREGADO</v>
      </c>
      <c r="L2273" s="65" t="str">
        <f>IFERROR(__xludf.DUMMYFUNCTION("""COMPUTED_VALUE"""),"CON RECAUDO")</f>
        <v>CON RECAUDO</v>
      </c>
      <c r="M2273" s="65" t="str">
        <f>IFERROR(__xludf.DUMMYFUNCTION("""COMPUTED_VALUE"""),"PICHINCHA")</f>
        <v>PICHINCHA</v>
      </c>
      <c r="N2273" s="65" t="str">
        <f>IFERROR(__xludf.DUMMYFUNCTION("""COMPUTED_VALUE"""),"QUITO")</f>
        <v>QUITO</v>
      </c>
      <c r="O2273" s="65" t="str">
        <f>IFERROR(__xludf.DUMMYFUNCTION("""COMPUTED_VALUE"""),"Tumbaco - Pasaje King s/n y Barbara Alfaro  Ingresando por la Av. Oswaldo Guayasamín -")</f>
        <v>Tumbaco - Pasaje King s/n y Barbara Alfaro  Ingresando por la Av. Oswaldo Guayasamín -</v>
      </c>
      <c r="P2273" s="65"/>
      <c r="Q2273" s="65" t="str">
        <f>IFERROR(__xludf.DUMMYFUNCTION("""COMPUTED_VALUE"""),"GINTRACOM")</f>
        <v>GINTRACOM</v>
      </c>
      <c r="R2273" s="65">
        <f>IFERROR(__xludf.DUMMYFUNCTION("""COMPUTED_VALUE"""),32.0)</f>
        <v>32</v>
      </c>
      <c r="S2273" s="65">
        <f>IFERROR(__xludf.DUMMYFUNCTION("""COMPUTED_VALUE"""),17.37)</f>
        <v>17.37</v>
      </c>
      <c r="T2273" s="65">
        <f>IFERROR(__xludf.DUMMYFUNCTION("""COMPUTED_VALUE"""),4.63)</f>
        <v>4.63</v>
      </c>
      <c r="U2273" s="65">
        <f>IFERROR(__xludf.DUMMYFUNCTION("""COMPUTED_VALUE"""),0.0)</f>
        <v>0</v>
      </c>
      <c r="V2273" s="65">
        <f>IFERROR(__xludf.DUMMYFUNCTION("""COMPUTED_VALUE"""),0.0)</f>
        <v>0</v>
      </c>
      <c r="W2273" s="65">
        <f>IFERROR(__xludf.DUMMYFUNCTION("""COMPUTED_VALUE"""),0.0)</f>
        <v>0</v>
      </c>
      <c r="X2273" s="65">
        <f>IFERROR(__xludf.DUMMYFUNCTION("""COMPUTED_VALUE"""),5.0)</f>
        <v>5</v>
      </c>
      <c r="Y2273" s="65">
        <f>IFERROR(__xludf.DUMMYFUNCTION("""COMPUTED_VALUE"""),10.0)</f>
        <v>10</v>
      </c>
      <c r="Z2273" s="65">
        <f>IFERROR(__xludf.DUMMYFUNCTION("""COMPUTED_VALUE"""),110064.0)</f>
        <v>110064</v>
      </c>
      <c r="AA2273" s="65" t="str">
        <f>IFERROR(__xludf.DUMMYFUNCTION("""COMPUTED_VALUE"""),"IMX-00001")</f>
        <v>IMX-00001</v>
      </c>
      <c r="AB2273" s="65"/>
      <c r="AC2273" s="65" t="str">
        <f>IFERROR(__xludf.DUMMYFUNCTION("""COMPUTED_VALUE"""),"LLAVE TRINQUETE")</f>
        <v>LLAVE TRINQUETE</v>
      </c>
      <c r="AD2273" s="65"/>
      <c r="AE2273" s="65">
        <f>IFERROR(__xludf.DUMMYFUNCTION("""COMPUTED_VALUE"""),2.0)</f>
        <v>2</v>
      </c>
      <c r="AF2273" s="65"/>
      <c r="AG2273" s="65"/>
      <c r="AH2273" s="65"/>
      <c r="AI2273" s="65"/>
      <c r="AJ2273" s="65"/>
      <c r="AK2273" s="65"/>
      <c r="AL2273" s="65"/>
      <c r="AM2273" s="65"/>
      <c r="AN2273" s="65" t="str">
        <f>IFERROR(__xludf.DUMMYFUNCTION("""COMPUTED_VALUE"""),"11:32")</f>
        <v>11:32</v>
      </c>
      <c r="AO2273" s="65" t="str">
        <f>IFERROR(__xludf.DUMMYFUNCTION("""COMPUTED_VALUE"""),"12-01-2026")</f>
        <v>12-01-2026</v>
      </c>
      <c r="AP2273" s="65" t="str">
        <f>IFERROR(__xludf.DUMMYFUNCTION("""COMPUTED_VALUE"""),"ENTREGADA GINTRACOM")</f>
        <v>ENTREGADA GINTRACOM</v>
      </c>
      <c r="AQ2273" s="65" t="str">
        <f>IFERROR(__xludf.DUMMYFUNCTION("""COMPUTED_VALUE"""),"ENTREGADA GINTRACOM")</f>
        <v>ENTREGADA GINTRACOM</v>
      </c>
      <c r="AR2273" s="65"/>
      <c r="AS2273" s="65"/>
      <c r="AT2273" s="65" t="str">
        <f>IFERROR(__xludf.DUMMYFUNCTION("""COMPUTED_VALUE"""),"SHOPIFY")</f>
        <v>SHOPIFY</v>
      </c>
      <c r="AU2273" s="65" t="str">
        <f>IFERROR(__xludf.DUMMYFUNCTION("""COMPUTED_VALUE"""),"IMPORTEX EC")</f>
        <v>IMPORTEX EC</v>
      </c>
      <c r="AV2273" s="65" t="str">
        <f>IFERROR(__xludf.DUMMYFUNCTION("""COMPUTED_VALUE"""),"6394850639916")</f>
        <v>6394850639916</v>
      </c>
      <c r="AW2273" s="65">
        <f>IFERROR(__xludf.DUMMYFUNCTION("""COMPUTED_VALUE"""),4703.0)</f>
        <v>4703</v>
      </c>
      <c r="AX2273" s="65"/>
      <c r="AY2273" s="65" t="str">
        <f>IFERROR(__xludf.DUMMYFUNCTION("""COMPUTED_VALUE"""),"08/01/2026")</f>
        <v>08/01/2026</v>
      </c>
      <c r="AZ2273" s="65"/>
      <c r="BA2273" s="65"/>
    </row>
    <row r="2274">
      <c r="A2274" s="65" t="str">
        <f>IFERROR(__xludf.DUMMYFUNCTION("""COMPUTED_VALUE"""),"27-03-2026")</f>
        <v>27-03-2026</v>
      </c>
      <c r="B2274" s="65">
        <f>IFERROR(__xludf.DUMMYFUNCTION("""COMPUTED_VALUE"""),4054021.0)</f>
        <v>4054021</v>
      </c>
      <c r="C2274" s="65" t="str">
        <f>IFERROR(__xludf.DUMMYFUNCTION("""COMPUTED_VALUE"""),"10:11")</f>
        <v>10:11</v>
      </c>
      <c r="D2274" s="65" t="str">
        <f>IFERROR(__xludf.DUMMYFUNCTION("""COMPUTED_VALUE"""),"07-01-2026")</f>
        <v>07-01-2026</v>
      </c>
      <c r="E2274" s="65" t="str">
        <f>IFERROR(__xludf.DUMMYFUNCTION("""COMPUTED_VALUE"""),"Wendy Tatiana Alvarado Vargas")</f>
        <v>Wendy Tatiana Alvarado Vargas</v>
      </c>
      <c r="F2274" s="65" t="str">
        <f>IFERROR(__xludf.DUMMYFUNCTION("""COMPUTED_VALUE"""),"983939324")</f>
        <v>983939324</v>
      </c>
      <c r="G2274" s="65" t="str">
        <f>IFERROR(__xludf.DUMMYFUNCTION("""COMPUTED_VALUE"""),"ponluisaedwin@gmail.com")</f>
        <v>ponluisaedwin@gmail.com</v>
      </c>
      <c r="H2274" s="65"/>
      <c r="I2274" s="65"/>
      <c r="J2274" s="65" t="str">
        <f>IFERROR(__xludf.DUMMYFUNCTION("""COMPUTED_VALUE"""),"D001201096")</f>
        <v>D001201096</v>
      </c>
      <c r="K2274" s="65" t="str">
        <f>IFERROR(__xludf.DUMMYFUNCTION("""COMPUTED_VALUE"""),"DEVOLUCION")</f>
        <v>DEVOLUCION</v>
      </c>
      <c r="L2274" s="65" t="str">
        <f>IFERROR(__xludf.DUMMYFUNCTION("""COMPUTED_VALUE"""),"CON RECAUDO")</f>
        <v>CON RECAUDO</v>
      </c>
      <c r="M2274" s="65" t="str">
        <f>IFERROR(__xludf.DUMMYFUNCTION("""COMPUTED_VALUE"""),"PASTAZA")</f>
        <v>PASTAZA</v>
      </c>
      <c r="N2274" s="65" t="str">
        <f>IFERROR(__xludf.DUMMYFUNCTION("""COMPUTED_VALUE"""),"PUYO")</f>
        <v>PUYO</v>
      </c>
      <c r="O2274" s="65" t="str">
        <f>IFERROR(__xludf.DUMMYFUNCTION("""COMPUTED_VALUE"""),"Av. Cristóbal Colón y Av. Eugenio Espejo  Ref. Diagonal a la Ferretería Fersamax -")</f>
        <v>Av. Cristóbal Colón y Av. Eugenio Espejo  Ref. Diagonal a la Ferretería Fersamax -</v>
      </c>
      <c r="P2274" s="65"/>
      <c r="Q2274" s="65" t="str">
        <f>IFERROR(__xludf.DUMMYFUNCTION("""COMPUTED_VALUE"""),"GINTRACOM")</f>
        <v>GINTRACOM</v>
      </c>
      <c r="R2274" s="65">
        <f>IFERROR(__xludf.DUMMYFUNCTION("""COMPUTED_VALUE"""),21.99)</f>
        <v>21.99</v>
      </c>
      <c r="S2274" s="65"/>
      <c r="T2274" s="65">
        <f>IFERROR(__xludf.DUMMYFUNCTION("""COMPUTED_VALUE"""),5.84)</f>
        <v>5.84</v>
      </c>
      <c r="U2274" s="65">
        <f>IFERROR(__xludf.DUMMYFUNCTION("""COMPUTED_VALUE"""),0.0)</f>
        <v>0</v>
      </c>
      <c r="V2274" s="65">
        <f>IFERROR(__xludf.DUMMYFUNCTION("""COMPUTED_VALUE"""),0.0)</f>
        <v>0</v>
      </c>
      <c r="W2274" s="65">
        <f>IFERROR(__xludf.DUMMYFUNCTION("""COMPUTED_VALUE"""),0.0)</f>
        <v>0</v>
      </c>
      <c r="X2274" s="65">
        <f>IFERROR(__xludf.DUMMYFUNCTION("""COMPUTED_VALUE"""),5.0)</f>
        <v>5</v>
      </c>
      <c r="Y2274" s="65">
        <f>IFERROR(__xludf.DUMMYFUNCTION("""COMPUTED_VALUE"""),5.0)</f>
        <v>5</v>
      </c>
      <c r="Z2274" s="65">
        <f>IFERROR(__xludf.DUMMYFUNCTION("""COMPUTED_VALUE"""),110064.0)</f>
        <v>110064</v>
      </c>
      <c r="AA2274" s="65" t="str">
        <f>IFERROR(__xludf.DUMMYFUNCTION("""COMPUTED_VALUE"""),"IMX-00001")</f>
        <v>IMX-00001</v>
      </c>
      <c r="AB2274" s="65"/>
      <c r="AC2274" s="65" t="str">
        <f>IFERROR(__xludf.DUMMYFUNCTION("""COMPUTED_VALUE"""),"LLAVE TRINQUETE")</f>
        <v>LLAVE TRINQUETE</v>
      </c>
      <c r="AD2274" s="65"/>
      <c r="AE2274" s="65">
        <f>IFERROR(__xludf.DUMMYFUNCTION("""COMPUTED_VALUE"""),1.0)</f>
        <v>1</v>
      </c>
      <c r="AF2274" s="65" t="str">
        <f>IFERROR(__xludf.DUMMYFUNCTION("""COMPUTED_VALUE"""),"DESTINATARIO NO CONTESTA LLAMADAS NI WHATSAPP")</f>
        <v>DESTINATARIO NO CONTESTA LLAMADAS NI WHATSAPP</v>
      </c>
      <c r="AG2274" s="65" t="str">
        <f>IFERROR(__xludf.DUMMYFUNCTION("""COMPUTED_VALUE"""),"NO")</f>
        <v>NO</v>
      </c>
      <c r="AH2274" s="65" t="str">
        <f>IFERROR(__xludf.DUMMYFUNCTION("""COMPUTED_VALUE"""),"09:00")</f>
        <v>09:00</v>
      </c>
      <c r="AI2274" s="65" t="str">
        <f>IFERROR(__xludf.DUMMYFUNCTION("""COMPUTED_VALUE"""),"17-01-2026")</f>
        <v>17-01-2026</v>
      </c>
      <c r="AJ2274" s="65"/>
      <c r="AK2274" s="65"/>
      <c r="AL2274" s="65"/>
      <c r="AM2274" s="65"/>
      <c r="AN2274" s="65" t="str">
        <f>IFERROR(__xludf.DUMMYFUNCTION("""COMPUTED_VALUE"""),"03:04")</f>
        <v>03:04</v>
      </c>
      <c r="AO2274" s="65" t="str">
        <f>IFERROR(__xludf.DUMMYFUNCTION("""COMPUTED_VALUE"""),"19-01-2026")</f>
        <v>19-01-2026</v>
      </c>
      <c r="AP2274" s="65" t="str">
        <f>IFERROR(__xludf.DUMMYFUNCTION("""COMPUTED_VALUE"""),"DEVOLUCIÓN")</f>
        <v>DEVOLUCIÓN</v>
      </c>
      <c r="AQ2274" s="65" t="str">
        <f>IFERROR(__xludf.DUMMYFUNCTION("""COMPUTED_VALUE"""),"DEVOLUCIÓN")</f>
        <v>DEVOLUCIÓN</v>
      </c>
      <c r="AR2274" s="65"/>
      <c r="AS2274" s="65"/>
      <c r="AT2274" s="65" t="str">
        <f>IFERROR(__xludf.DUMMYFUNCTION("""COMPUTED_VALUE"""),"SHOPIFY")</f>
        <v>SHOPIFY</v>
      </c>
      <c r="AU2274" s="65" t="str">
        <f>IFERROR(__xludf.DUMMYFUNCTION("""COMPUTED_VALUE"""),"IMPORTEX EC")</f>
        <v>IMPORTEX EC</v>
      </c>
      <c r="AV2274" s="65" t="str">
        <f>IFERROR(__xludf.DUMMYFUNCTION("""COMPUTED_VALUE"""),"6394993016876")</f>
        <v>6394993016876</v>
      </c>
      <c r="AW2274" s="65">
        <f>IFERROR(__xludf.DUMMYFUNCTION("""COMPUTED_VALUE"""),4706.0)</f>
        <v>4706</v>
      </c>
      <c r="AX2274" s="65"/>
      <c r="AY2274" s="65" t="str">
        <f>IFERROR(__xludf.DUMMYFUNCTION("""COMPUTED_VALUE"""),"08/01/2026")</f>
        <v>08/01/2026</v>
      </c>
      <c r="AZ2274" s="65"/>
      <c r="BA2274" s="65"/>
    </row>
    <row r="2275">
      <c r="A2275" s="65" t="str">
        <f>IFERROR(__xludf.DUMMYFUNCTION("""COMPUTED_VALUE"""),"27-03-2026")</f>
        <v>27-03-2026</v>
      </c>
      <c r="B2275" s="65">
        <f>IFERROR(__xludf.DUMMYFUNCTION("""COMPUTED_VALUE"""),4053813.0)</f>
        <v>4053813</v>
      </c>
      <c r="C2275" s="65" t="str">
        <f>IFERROR(__xludf.DUMMYFUNCTION("""COMPUTED_VALUE"""),"09:57")</f>
        <v>09:57</v>
      </c>
      <c r="D2275" s="65" t="str">
        <f>IFERROR(__xludf.DUMMYFUNCTION("""COMPUTED_VALUE"""),"07-01-2026")</f>
        <v>07-01-2026</v>
      </c>
      <c r="E2275" s="65" t="str">
        <f>IFERROR(__xludf.DUMMYFUNCTION("""COMPUTED_VALUE"""),"Wilson Javier Toro Alava Toro Alava")</f>
        <v>Wilson Javier Toro Alava Toro Alava</v>
      </c>
      <c r="F2275" s="65" t="str">
        <f>IFERROR(__xludf.DUMMYFUNCTION("""COMPUTED_VALUE"""),"992140044")</f>
        <v>992140044</v>
      </c>
      <c r="G2275" s="65" t="str">
        <f>IFERROR(__xludf.DUMMYFUNCTION("""COMPUTED_VALUE"""),"javi.tor@hotmail.com")</f>
        <v>javi.tor@hotmail.com</v>
      </c>
      <c r="H2275" s="65"/>
      <c r="I2275" s="65"/>
      <c r="J2275" s="65" t="str">
        <f>IFERROR(__xludf.DUMMYFUNCTION("""COMPUTED_VALUE"""),"D001201097")</f>
        <v>D001201097</v>
      </c>
      <c r="K2275" s="65" t="str">
        <f>IFERROR(__xludf.DUMMYFUNCTION("""COMPUTED_VALUE"""),"ENTREGADO")</f>
        <v>ENTREGADO</v>
      </c>
      <c r="L2275" s="65" t="str">
        <f>IFERROR(__xludf.DUMMYFUNCTION("""COMPUTED_VALUE"""),"CON RECAUDO")</f>
        <v>CON RECAUDO</v>
      </c>
      <c r="M2275" s="65" t="str">
        <f>IFERROR(__xludf.DUMMYFUNCTION("""COMPUTED_VALUE"""),"SANTA ELENA")</f>
        <v>SANTA ELENA</v>
      </c>
      <c r="N2275" s="65" t="str">
        <f>IFERROR(__xludf.DUMMYFUNCTION("""COMPUTED_VALUE"""),"LA LIBERTAD")</f>
        <v>LA LIBERTAD</v>
      </c>
      <c r="O2275" s="65" t="str">
        <f>IFERROR(__xludf.DUMMYFUNCTION("""COMPUTED_VALUE"""),"Av. Eleodoro Solorzano y Sector de la U Ref. UPSE  -")</f>
        <v>Av. Eleodoro Solorzano y Sector de la U Ref. UPSE  -</v>
      </c>
      <c r="P2275" s="65"/>
      <c r="Q2275" s="65" t="str">
        <f>IFERROR(__xludf.DUMMYFUNCTION("""COMPUTED_VALUE"""),"GINTRACOM")</f>
        <v>GINTRACOM</v>
      </c>
      <c r="R2275" s="65">
        <f>IFERROR(__xludf.DUMMYFUNCTION("""COMPUTED_VALUE"""),21.99)</f>
        <v>21.99</v>
      </c>
      <c r="S2275" s="65">
        <f>IFERROR(__xludf.DUMMYFUNCTION("""COMPUTED_VALUE"""),11.15)</f>
        <v>11.15</v>
      </c>
      <c r="T2275" s="65">
        <f>IFERROR(__xludf.DUMMYFUNCTION("""COMPUTED_VALUE"""),5.84)</f>
        <v>5.84</v>
      </c>
      <c r="U2275" s="65">
        <f>IFERROR(__xludf.DUMMYFUNCTION("""COMPUTED_VALUE"""),0.0)</f>
        <v>0</v>
      </c>
      <c r="V2275" s="65">
        <f>IFERROR(__xludf.DUMMYFUNCTION("""COMPUTED_VALUE"""),0.0)</f>
        <v>0</v>
      </c>
      <c r="W2275" s="65">
        <f>IFERROR(__xludf.DUMMYFUNCTION("""COMPUTED_VALUE"""),0.0)</f>
        <v>0</v>
      </c>
      <c r="X2275" s="65">
        <f>IFERROR(__xludf.DUMMYFUNCTION("""COMPUTED_VALUE"""),5.0)</f>
        <v>5</v>
      </c>
      <c r="Y2275" s="65">
        <f>IFERROR(__xludf.DUMMYFUNCTION("""COMPUTED_VALUE"""),5.0)</f>
        <v>5</v>
      </c>
      <c r="Z2275" s="65">
        <f>IFERROR(__xludf.DUMMYFUNCTION("""COMPUTED_VALUE"""),110064.0)</f>
        <v>110064</v>
      </c>
      <c r="AA2275" s="65" t="str">
        <f>IFERROR(__xludf.DUMMYFUNCTION("""COMPUTED_VALUE"""),"IMX-00001")</f>
        <v>IMX-00001</v>
      </c>
      <c r="AB2275" s="65"/>
      <c r="AC2275" s="65" t="str">
        <f>IFERROR(__xludf.DUMMYFUNCTION("""COMPUTED_VALUE"""),"LLAVE TRINQUETE")</f>
        <v>LLAVE TRINQUETE</v>
      </c>
      <c r="AD2275" s="65"/>
      <c r="AE2275" s="65">
        <f>IFERROR(__xludf.DUMMYFUNCTION("""COMPUTED_VALUE"""),1.0)</f>
        <v>1</v>
      </c>
      <c r="AF2275" s="65"/>
      <c r="AG2275" s="65"/>
      <c r="AH2275" s="65"/>
      <c r="AI2275" s="65"/>
      <c r="AJ2275" s="65"/>
      <c r="AK2275" s="65"/>
      <c r="AL2275" s="65"/>
      <c r="AM2275" s="65"/>
      <c r="AN2275" s="65" t="str">
        <f>IFERROR(__xludf.DUMMYFUNCTION("""COMPUTED_VALUE"""),"18:27")</f>
        <v>18:27</v>
      </c>
      <c r="AO2275" s="65" t="str">
        <f>IFERROR(__xludf.DUMMYFUNCTION("""COMPUTED_VALUE"""),"09-01-2026")</f>
        <v>09-01-2026</v>
      </c>
      <c r="AP2275" s="65" t="str">
        <f>IFERROR(__xludf.DUMMYFUNCTION("""COMPUTED_VALUE"""),"ENTREGADA GINTRACOM")</f>
        <v>ENTREGADA GINTRACOM</v>
      </c>
      <c r="AQ2275" s="65" t="str">
        <f>IFERROR(__xludf.DUMMYFUNCTION("""COMPUTED_VALUE"""),"ENTREGADA GINTRACOM")</f>
        <v>ENTREGADA GINTRACOM</v>
      </c>
      <c r="AR2275" s="65"/>
      <c r="AS2275" s="65"/>
      <c r="AT2275" s="65" t="str">
        <f>IFERROR(__xludf.DUMMYFUNCTION("""COMPUTED_VALUE"""),"SHOPIFY")</f>
        <v>SHOPIFY</v>
      </c>
      <c r="AU2275" s="65" t="str">
        <f>IFERROR(__xludf.DUMMYFUNCTION("""COMPUTED_VALUE"""),"IMPORTEX EC")</f>
        <v>IMPORTEX EC</v>
      </c>
      <c r="AV2275" s="65" t="str">
        <f>IFERROR(__xludf.DUMMYFUNCTION("""COMPUTED_VALUE"""),"6395017953324")</f>
        <v>6395017953324</v>
      </c>
      <c r="AW2275" s="65">
        <f>IFERROR(__xludf.DUMMYFUNCTION("""COMPUTED_VALUE"""),4707.0)</f>
        <v>4707</v>
      </c>
      <c r="AX2275" s="65"/>
      <c r="AY2275" s="65" t="str">
        <f>IFERROR(__xludf.DUMMYFUNCTION("""COMPUTED_VALUE"""),"08/01/2026")</f>
        <v>08/01/2026</v>
      </c>
      <c r="AZ2275" s="65"/>
      <c r="BA2275" s="65"/>
    </row>
    <row r="2276">
      <c r="A2276" s="65" t="str">
        <f>IFERROR(__xludf.DUMMYFUNCTION("""COMPUTED_VALUE"""),"27-03-2026")</f>
        <v>27-03-2026</v>
      </c>
      <c r="B2276" s="65">
        <f>IFERROR(__xludf.DUMMYFUNCTION("""COMPUTED_VALUE"""),4053649.0)</f>
        <v>4053649</v>
      </c>
      <c r="C2276" s="65" t="str">
        <f>IFERROR(__xludf.DUMMYFUNCTION("""COMPUTED_VALUE"""),"09:45")</f>
        <v>09:45</v>
      </c>
      <c r="D2276" s="65" t="str">
        <f>IFERROR(__xludf.DUMMYFUNCTION("""COMPUTED_VALUE"""),"07-01-2026")</f>
        <v>07-01-2026</v>
      </c>
      <c r="E2276" s="65" t="str">
        <f>IFERROR(__xludf.DUMMYFUNCTION("""COMPUTED_VALUE"""),"Monica Lopez Caicedo")</f>
        <v>Monica Lopez Caicedo</v>
      </c>
      <c r="F2276" s="65" t="str">
        <f>IFERROR(__xludf.DUMMYFUNCTION("""COMPUTED_VALUE"""),"994693796")</f>
        <v>994693796</v>
      </c>
      <c r="G2276" s="65" t="str">
        <f>IFERROR(__xludf.DUMMYFUNCTION("""COMPUTED_VALUE"""),"mlopez@bolivariano.com")</f>
        <v>mlopez@bolivariano.com</v>
      </c>
      <c r="H2276" s="65"/>
      <c r="I2276" s="65"/>
      <c r="J2276" s="65" t="str">
        <f>IFERROR(__xludf.DUMMYFUNCTION("""COMPUTED_VALUE"""),"D001199221")</f>
        <v>D001199221</v>
      </c>
      <c r="K2276" s="65" t="str">
        <f>IFERROR(__xludf.DUMMYFUNCTION("""COMPUTED_VALUE"""),"DEVOLUCION")</f>
        <v>DEVOLUCION</v>
      </c>
      <c r="L2276" s="65" t="str">
        <f>IFERROR(__xludf.DUMMYFUNCTION("""COMPUTED_VALUE"""),"CON RECAUDO")</f>
        <v>CON RECAUDO</v>
      </c>
      <c r="M2276" s="65" t="str">
        <f>IFERROR(__xludf.DUMMYFUNCTION("""COMPUTED_VALUE"""),"GUAYAS")</f>
        <v>GUAYAS</v>
      </c>
      <c r="N2276" s="65" t="str">
        <f>IFERROR(__xludf.DUMMYFUNCTION("""COMPUTED_VALUE"""),"GUAYAQUIL")</f>
        <v>GUAYAQUIL</v>
      </c>
      <c r="O2276" s="65" t="str">
        <f>IFERROR(__xludf.DUMMYFUNCTION("""COMPUTED_VALUE"""),"Calle 3NE Junín y Calle Panamá esquina Ref. A una cuadra del Malecón Simón Bolívar -")</f>
        <v>Calle 3NE Junín y Calle Panamá esquina Ref. A una cuadra del Malecón Simón Bolívar -</v>
      </c>
      <c r="P2276" s="65"/>
      <c r="Q2276" s="65" t="str">
        <f>IFERROR(__xludf.DUMMYFUNCTION("""COMPUTED_VALUE"""),"GINTRACOM")</f>
        <v>GINTRACOM</v>
      </c>
      <c r="R2276" s="65">
        <f>IFERROR(__xludf.DUMMYFUNCTION("""COMPUTED_VALUE"""),32.0)</f>
        <v>32</v>
      </c>
      <c r="S2276" s="65"/>
      <c r="T2276" s="65">
        <f>IFERROR(__xludf.DUMMYFUNCTION("""COMPUTED_VALUE"""),4.63)</f>
        <v>4.63</v>
      </c>
      <c r="U2276" s="65">
        <f>IFERROR(__xludf.DUMMYFUNCTION("""COMPUTED_VALUE"""),0.0)</f>
        <v>0</v>
      </c>
      <c r="V2276" s="65">
        <f>IFERROR(__xludf.DUMMYFUNCTION("""COMPUTED_VALUE"""),0.0)</f>
        <v>0</v>
      </c>
      <c r="W2276" s="65">
        <f>IFERROR(__xludf.DUMMYFUNCTION("""COMPUTED_VALUE"""),0.0)</f>
        <v>0</v>
      </c>
      <c r="X2276" s="65">
        <f>IFERROR(__xludf.DUMMYFUNCTION("""COMPUTED_VALUE"""),2.5)</f>
        <v>2.5</v>
      </c>
      <c r="Y2276" s="65">
        <f>IFERROR(__xludf.DUMMYFUNCTION("""COMPUTED_VALUE"""),10.0)</f>
        <v>10</v>
      </c>
      <c r="Z2276" s="65">
        <f>IFERROR(__xludf.DUMMYFUNCTION("""COMPUTED_VALUE"""),78123.0)</f>
        <v>78123</v>
      </c>
      <c r="AA2276" s="65" t="str">
        <f>IFERROR(__xludf.DUMMYFUNCTION("""COMPUTED_VALUE"""),"GT1EG5097")</f>
        <v>GT1EG5097</v>
      </c>
      <c r="AB2276" s="65"/>
      <c r="AC2276" s="65" t="str">
        <f>IFERROR(__xludf.DUMMYFUNCTION("""COMPUTED_VALUE"""),"Geles de baño aromaticos inodoro x 1")</f>
        <v>Geles de baño aromaticos inodoro x 1</v>
      </c>
      <c r="AD2276" s="65"/>
      <c r="AE2276" s="65">
        <f>IFERROR(__xludf.DUMMYFUNCTION("""COMPUTED_VALUE"""),4.0)</f>
        <v>4</v>
      </c>
      <c r="AF2276" s="65" t="str">
        <f>IFERROR(__xludf.DUMMYFUNCTION("""COMPUTED_VALUE"""),"DESTINATARIO NO CONTESTA LLAMADAS NI WHATSAPP")</f>
        <v>DESTINATARIO NO CONTESTA LLAMADAS NI WHATSAPP</v>
      </c>
      <c r="AG2276" s="65" t="str">
        <f>IFERROR(__xludf.DUMMYFUNCTION("""COMPUTED_VALUE"""),"NO")</f>
        <v>NO</v>
      </c>
      <c r="AH2276" s="65" t="str">
        <f>IFERROR(__xludf.DUMMYFUNCTION("""COMPUTED_VALUE"""),"09:00")</f>
        <v>09:00</v>
      </c>
      <c r="AI2276" s="65" t="str">
        <f>IFERROR(__xludf.DUMMYFUNCTION("""COMPUTED_VALUE"""),"17-01-2026")</f>
        <v>17-01-2026</v>
      </c>
      <c r="AJ2276" s="65"/>
      <c r="AK2276" s="65"/>
      <c r="AL2276" s="65"/>
      <c r="AM2276" s="65"/>
      <c r="AN2276" s="65" t="str">
        <f>IFERROR(__xludf.DUMMYFUNCTION("""COMPUTED_VALUE"""),"15:34")</f>
        <v>15:34</v>
      </c>
      <c r="AO2276" s="65" t="str">
        <f>IFERROR(__xludf.DUMMYFUNCTION("""COMPUTED_VALUE"""),"27-01-2026")</f>
        <v>27-01-2026</v>
      </c>
      <c r="AP2276" s="65" t="str">
        <f>IFERROR(__xludf.DUMMYFUNCTION("""COMPUTED_VALUE"""),"DEVOLUCIÓN ENTREGADA A ORIGEN")</f>
        <v>DEVOLUCIÓN ENTREGADA A ORIGEN</v>
      </c>
      <c r="AQ2276" s="65" t="str">
        <f>IFERROR(__xludf.DUMMYFUNCTION("""COMPUTED_VALUE"""),"DEVOLUCIÓN ENTREGADA A ORIGEN")</f>
        <v>DEVOLUCIÓN ENTREGADA A ORIGEN</v>
      </c>
      <c r="AR2276" s="65"/>
      <c r="AS2276" s="65"/>
      <c r="AT2276" s="65" t="str">
        <f>IFERROR(__xludf.DUMMYFUNCTION("""COMPUTED_VALUE"""),"SHOPIFY")</f>
        <v>SHOPIFY</v>
      </c>
      <c r="AU2276" s="65" t="str">
        <f>IFERROR(__xludf.DUMMYFUNCTION("""COMPUTED_VALUE"""),"IMPORTEX EC")</f>
        <v>IMPORTEX EC</v>
      </c>
      <c r="AV2276" s="65" t="str">
        <f>IFERROR(__xludf.DUMMYFUNCTION("""COMPUTED_VALUE"""),"6389655699500")</f>
        <v>6389655699500</v>
      </c>
      <c r="AW2276" s="65">
        <f>IFERROR(__xludf.DUMMYFUNCTION("""COMPUTED_VALUE"""),4641.0)</f>
        <v>4641</v>
      </c>
      <c r="AX2276" s="65"/>
      <c r="AY2276" s="65" t="str">
        <f>IFERROR(__xludf.DUMMYFUNCTION("""COMPUTED_VALUE"""),"07/01/2026")</f>
        <v>07/01/2026</v>
      </c>
      <c r="AZ2276" s="65"/>
      <c r="BA2276" s="65"/>
    </row>
    <row r="2277">
      <c r="A2277" s="65" t="str">
        <f>IFERROR(__xludf.DUMMYFUNCTION("""COMPUTED_VALUE"""),"27-03-2026")</f>
        <v>27-03-2026</v>
      </c>
      <c r="B2277" s="65">
        <f>IFERROR(__xludf.DUMMYFUNCTION("""COMPUTED_VALUE"""),4051601.0)</f>
        <v>4051601</v>
      </c>
      <c r="C2277" s="65" t="str">
        <f>IFERROR(__xludf.DUMMYFUNCTION("""COMPUTED_VALUE"""),"06:26")</f>
        <v>06:26</v>
      </c>
      <c r="D2277" s="65" t="str">
        <f>IFERROR(__xludf.DUMMYFUNCTION("""COMPUTED_VALUE"""),"07-01-2026")</f>
        <v>07-01-2026</v>
      </c>
      <c r="E2277" s="65" t="str">
        <f>IFERROR(__xludf.DUMMYFUNCTION("""COMPUTED_VALUE"""),"Ángel Cuenca")</f>
        <v>Ángel Cuenca</v>
      </c>
      <c r="F2277" s="65" t="str">
        <f>IFERROR(__xludf.DUMMYFUNCTION("""COMPUTED_VALUE"""),"991293792")</f>
        <v>991293792</v>
      </c>
      <c r="G2277" s="65" t="str">
        <f>IFERROR(__xludf.DUMMYFUNCTION("""COMPUTED_VALUE"""),"tallartecuador@gmail.com")</f>
        <v>tallartecuador@gmail.com</v>
      </c>
      <c r="H2277" s="65"/>
      <c r="I2277" s="65"/>
      <c r="J2277" s="65" t="str">
        <f>IFERROR(__xludf.DUMMYFUNCTION("""COMPUTED_VALUE"""),"D001201350")</f>
        <v>D001201350</v>
      </c>
      <c r="K2277" s="65" t="str">
        <f>IFERROR(__xludf.DUMMYFUNCTION("""COMPUTED_VALUE"""),"ENTREGADO")</f>
        <v>ENTREGADO</v>
      </c>
      <c r="L2277" s="65" t="str">
        <f>IFERROR(__xludf.DUMMYFUNCTION("""COMPUTED_VALUE"""),"CON RECAUDO")</f>
        <v>CON RECAUDO</v>
      </c>
      <c r="M2277" s="65" t="str">
        <f>IFERROR(__xludf.DUMMYFUNCTION("""COMPUTED_VALUE"""),"BOLIVAR")</f>
        <v>BOLIVAR</v>
      </c>
      <c r="N2277" s="65" t="str">
        <f>IFERROR(__xludf.DUMMYFUNCTION("""COMPUTED_VALUE"""),"GUARANDA")</f>
        <v>GUARANDA</v>
      </c>
      <c r="O2277" s="65" t="str">
        <f>IFERROR(__xludf.DUMMYFUNCTION("""COMPUTED_VALUE"""),"Calle Roberto Arregui y Av. Elisa Mariño de Carvajal Entrada a la ciudadela La Playa - 0991293792")</f>
        <v>Calle Roberto Arregui y Av. Elisa Mariño de Carvajal Entrada a la ciudadela La Playa - 0991293792</v>
      </c>
      <c r="P2277" s="65"/>
      <c r="Q2277" s="65" t="str">
        <f>IFERROR(__xludf.DUMMYFUNCTION("""COMPUTED_VALUE"""),"GINTRACOM")</f>
        <v>GINTRACOM</v>
      </c>
      <c r="R2277" s="65">
        <f>IFERROR(__xludf.DUMMYFUNCTION("""COMPUTED_VALUE"""),30.0)</f>
        <v>30</v>
      </c>
      <c r="S2277" s="65">
        <f>IFERROR(__xludf.DUMMYFUNCTION("""COMPUTED_VALUE"""),15.47)</f>
        <v>15.47</v>
      </c>
      <c r="T2277" s="65">
        <f>IFERROR(__xludf.DUMMYFUNCTION("""COMPUTED_VALUE"""),6.16)</f>
        <v>6.16</v>
      </c>
      <c r="U2277" s="65">
        <f>IFERROR(__xludf.DUMMYFUNCTION("""COMPUTED_VALUE"""),0.0)</f>
        <v>0</v>
      </c>
      <c r="V2277" s="65">
        <f>IFERROR(__xludf.DUMMYFUNCTION("""COMPUTED_VALUE"""),0.0)</f>
        <v>0</v>
      </c>
      <c r="W2277" s="65">
        <f>IFERROR(__xludf.DUMMYFUNCTION("""COMPUTED_VALUE"""),0.0)</f>
        <v>0</v>
      </c>
      <c r="X2277" s="65">
        <f>IFERROR(__xludf.DUMMYFUNCTION("""COMPUTED_VALUE"""),2.79)</f>
        <v>2.79</v>
      </c>
      <c r="Y2277" s="65">
        <f>IFERROR(__xludf.DUMMYFUNCTION("""COMPUTED_VALUE"""),8.37)</f>
        <v>8.37</v>
      </c>
      <c r="Z2277" s="65">
        <f>IFERROR(__xludf.DUMMYFUNCTION("""COMPUTED_VALUE"""),120732.0)</f>
        <v>120732</v>
      </c>
      <c r="AA2277" s="65" t="str">
        <f>IFERROR(__xludf.DUMMYFUNCTION("""COMPUTED_VALUE"""),"PROV-LMPVT")</f>
        <v>PROV-LMPVT</v>
      </c>
      <c r="AB2277" s="65"/>
      <c r="AC2277" s="65" t="str">
        <f>IFERROR(__xludf.DUMMYFUNCTION("""COMPUTED_VALUE"""),"LIMPIADOR DE PARABRISAS Y VENTANAS")</f>
        <v>LIMPIADOR DE PARABRISAS Y VENTANAS</v>
      </c>
      <c r="AD2277" s="65"/>
      <c r="AE2277" s="65">
        <f>IFERROR(__xludf.DUMMYFUNCTION("""COMPUTED_VALUE"""),3.0)</f>
        <v>3</v>
      </c>
      <c r="AF2277" s="65"/>
      <c r="AG2277" s="65"/>
      <c r="AH2277" s="65"/>
      <c r="AI2277" s="65"/>
      <c r="AJ2277" s="65"/>
      <c r="AK2277" s="65"/>
      <c r="AL2277" s="65"/>
      <c r="AM2277" s="65"/>
      <c r="AN2277" s="65" t="str">
        <f>IFERROR(__xludf.DUMMYFUNCTION("""COMPUTED_VALUE"""),"15:27")</f>
        <v>15:27</v>
      </c>
      <c r="AO2277" s="65" t="str">
        <f>IFERROR(__xludf.DUMMYFUNCTION("""COMPUTED_VALUE"""),"12-01-2026")</f>
        <v>12-01-2026</v>
      </c>
      <c r="AP2277" s="65" t="str">
        <f>IFERROR(__xludf.DUMMYFUNCTION("""COMPUTED_VALUE"""),"ENTREGADA GINTRACOM")</f>
        <v>ENTREGADA GINTRACOM</v>
      </c>
      <c r="AQ2277" s="65" t="str">
        <f>IFERROR(__xludf.DUMMYFUNCTION("""COMPUTED_VALUE"""),"ENTREGADA GINTRACOM")</f>
        <v>ENTREGADA GINTRACOM</v>
      </c>
      <c r="AR2277" s="65"/>
      <c r="AS2277" s="65"/>
      <c r="AT2277" s="65" t="str">
        <f>IFERROR(__xludf.DUMMYFUNCTION("""COMPUTED_VALUE"""),"SHOPIFY")</f>
        <v>SHOPIFY</v>
      </c>
      <c r="AU2277" s="65" t="str">
        <f>IFERROR(__xludf.DUMMYFUNCTION("""COMPUTED_VALUE"""),"IMPORTEX EC")</f>
        <v>IMPORTEX EC</v>
      </c>
      <c r="AV2277" s="65" t="str">
        <f>IFERROR(__xludf.DUMMYFUNCTION("""COMPUTED_VALUE"""),"6395776204844")</f>
        <v>6395776204844</v>
      </c>
      <c r="AW2277" s="65">
        <f>IFERROR(__xludf.DUMMYFUNCTION("""COMPUTED_VALUE"""),4717.0)</f>
        <v>4717</v>
      </c>
      <c r="AX2277" s="65"/>
      <c r="AY2277" s="65" t="str">
        <f>IFERROR(__xludf.DUMMYFUNCTION("""COMPUTED_VALUE"""),"08/01/2026")</f>
        <v>08/01/2026</v>
      </c>
      <c r="AZ2277" s="65"/>
      <c r="BA2277" s="65"/>
    </row>
    <row r="2278">
      <c r="A2278" s="65" t="str">
        <f>IFERROR(__xludf.DUMMYFUNCTION("""COMPUTED_VALUE"""),"27-03-2026")</f>
        <v>27-03-2026</v>
      </c>
      <c r="B2278" s="65">
        <f>IFERROR(__xludf.DUMMYFUNCTION("""COMPUTED_VALUE"""),4051432.0)</f>
        <v>4051432</v>
      </c>
      <c r="C2278" s="65" t="str">
        <f>IFERROR(__xludf.DUMMYFUNCTION("""COMPUTED_VALUE"""),"05:40")</f>
        <v>05:40</v>
      </c>
      <c r="D2278" s="65" t="str">
        <f>IFERROR(__xludf.DUMMYFUNCTION("""COMPUTED_VALUE"""),"07-01-2026")</f>
        <v>07-01-2026</v>
      </c>
      <c r="E2278" s="65" t="str">
        <f>IFERROR(__xludf.DUMMYFUNCTION("""COMPUTED_VALUE"""),"Luis Alvaro Ricaurte Velez")</f>
        <v>Luis Alvaro Ricaurte Velez</v>
      </c>
      <c r="F2278" s="65" t="str">
        <f>IFERROR(__xludf.DUMMYFUNCTION("""COMPUTED_VALUE"""),"999299654")</f>
        <v>999299654</v>
      </c>
      <c r="G2278" s="65" t="str">
        <f>IFERROR(__xludf.DUMMYFUNCTION("""COMPUTED_VALUE"""),"luricaurt_@hotmail.com")</f>
        <v>luricaurt_@hotmail.com</v>
      </c>
      <c r="H2278" s="65"/>
      <c r="I2278" s="65"/>
      <c r="J2278" s="65" t="str">
        <f>IFERROR(__xludf.DUMMYFUNCTION("""COMPUTED_VALUE"""),"186944439")</f>
        <v>186944439</v>
      </c>
      <c r="K2278" s="65" t="str">
        <f>IFERROR(__xludf.DUMMYFUNCTION("""COMPUTED_VALUE"""),"ENTREGADO")</f>
        <v>ENTREGADO</v>
      </c>
      <c r="L2278" s="65" t="str">
        <f>IFERROR(__xludf.DUMMYFUNCTION("""COMPUTED_VALUE"""),"CON RECAUDO")</f>
        <v>CON RECAUDO</v>
      </c>
      <c r="M2278" s="65" t="str">
        <f>IFERROR(__xludf.DUMMYFUNCTION("""COMPUTED_VALUE"""),"MANABI")</f>
        <v>MANABI</v>
      </c>
      <c r="N2278" s="65" t="str">
        <f>IFERROR(__xludf.DUMMYFUNCTION("""COMPUTED_VALUE"""),"PEDERNALES")</f>
        <v>PEDERNALES</v>
      </c>
      <c r="O2278" s="65" t="str">
        <f>IFERROR(__xludf.DUMMYFUNCTION("""COMPUTED_VALUE"""),"Garcia Moreno y  Maria Auxiliadora -")</f>
        <v>Garcia Moreno y  Maria Auxiliadora -</v>
      </c>
      <c r="P2278" s="65"/>
      <c r="Q2278" s="65" t="str">
        <f>IFERROR(__xludf.DUMMYFUNCTION("""COMPUTED_VALUE"""),"SERVIENTREGA")</f>
        <v>SERVIENTREGA</v>
      </c>
      <c r="R2278" s="65">
        <f>IFERROR(__xludf.DUMMYFUNCTION("""COMPUTED_VALUE"""),30.0)</f>
        <v>30</v>
      </c>
      <c r="S2278" s="65">
        <f>IFERROR(__xludf.DUMMYFUNCTION("""COMPUTED_VALUE"""),13.81)</f>
        <v>13.81</v>
      </c>
      <c r="T2278" s="65">
        <f>IFERROR(__xludf.DUMMYFUNCTION("""COMPUTED_VALUE"""),7.82)</f>
        <v>7.82</v>
      </c>
      <c r="U2278" s="65">
        <f>IFERROR(__xludf.DUMMYFUNCTION("""COMPUTED_VALUE"""),0.0)</f>
        <v>0</v>
      </c>
      <c r="V2278" s="65">
        <f>IFERROR(__xludf.DUMMYFUNCTION("""COMPUTED_VALUE"""),0.0)</f>
        <v>0</v>
      </c>
      <c r="W2278" s="65">
        <f>IFERROR(__xludf.DUMMYFUNCTION("""COMPUTED_VALUE"""),0.0)</f>
        <v>0</v>
      </c>
      <c r="X2278" s="65">
        <f>IFERROR(__xludf.DUMMYFUNCTION("""COMPUTED_VALUE"""),2.79)</f>
        <v>2.79</v>
      </c>
      <c r="Y2278" s="65">
        <f>IFERROR(__xludf.DUMMYFUNCTION("""COMPUTED_VALUE"""),8.37)</f>
        <v>8.37</v>
      </c>
      <c r="Z2278" s="65">
        <f>IFERROR(__xludf.DUMMYFUNCTION("""COMPUTED_VALUE"""),120732.0)</f>
        <v>120732</v>
      </c>
      <c r="AA2278" s="65" t="str">
        <f>IFERROR(__xludf.DUMMYFUNCTION("""COMPUTED_VALUE"""),"PROV-LMPVT")</f>
        <v>PROV-LMPVT</v>
      </c>
      <c r="AB2278" s="65"/>
      <c r="AC2278" s="65" t="str">
        <f>IFERROR(__xludf.DUMMYFUNCTION("""COMPUTED_VALUE"""),"LIMPIADOR DE PARABRISAS Y VENTANAS")</f>
        <v>LIMPIADOR DE PARABRISAS Y VENTANAS</v>
      </c>
      <c r="AD2278" s="65"/>
      <c r="AE2278" s="65">
        <f>IFERROR(__xludf.DUMMYFUNCTION("""COMPUTED_VALUE"""),3.0)</f>
        <v>3</v>
      </c>
      <c r="AF2278" s="65"/>
      <c r="AG2278" s="65"/>
      <c r="AH2278" s="65"/>
      <c r="AI2278" s="65"/>
      <c r="AJ2278" s="65"/>
      <c r="AK2278" s="65"/>
      <c r="AL2278" s="65"/>
      <c r="AM2278" s="65"/>
      <c r="AN2278" s="65" t="str">
        <f>IFERROR(__xludf.DUMMYFUNCTION("""COMPUTED_VALUE"""),"09:08")</f>
        <v>09:08</v>
      </c>
      <c r="AO2278" s="65" t="str">
        <f>IFERROR(__xludf.DUMMYFUNCTION("""COMPUTED_VALUE"""),"28-01-2026")</f>
        <v>28-01-2026</v>
      </c>
      <c r="AP2278" s="65" t="str">
        <f>IFERROR(__xludf.DUMMYFUNCTION("""COMPUTED_VALUE"""),"ENTREGA DIGITALIZADA EN CENTRO LOGISTICO")</f>
        <v>ENTREGA DIGITALIZADA EN CENTRO LOGISTICO</v>
      </c>
      <c r="AQ2278" s="65" t="str">
        <f>IFERROR(__xludf.DUMMYFUNCTION("""COMPUTED_VALUE"""),"Luis Ricaurte")</f>
        <v>Luis Ricaurte</v>
      </c>
      <c r="AR2278" s="65"/>
      <c r="AS2278" s="65"/>
      <c r="AT2278" s="65" t="str">
        <f>IFERROR(__xludf.DUMMYFUNCTION("""COMPUTED_VALUE"""),"SHOPIFY")</f>
        <v>SHOPIFY</v>
      </c>
      <c r="AU2278" s="65" t="str">
        <f>IFERROR(__xludf.DUMMYFUNCTION("""COMPUTED_VALUE"""),"IMPORTEX EC")</f>
        <v>IMPORTEX EC</v>
      </c>
      <c r="AV2278" s="65" t="str">
        <f>IFERROR(__xludf.DUMMYFUNCTION("""COMPUTED_VALUE"""),"6395746451500")</f>
        <v>6395746451500</v>
      </c>
      <c r="AW2278" s="65">
        <f>IFERROR(__xludf.DUMMYFUNCTION("""COMPUTED_VALUE"""),4716.0)</f>
        <v>4716</v>
      </c>
      <c r="AX2278" s="65"/>
      <c r="AY2278" s="65" t="str">
        <f>IFERROR(__xludf.DUMMYFUNCTION("""COMPUTED_VALUE"""),"08/01/2026")</f>
        <v>08/01/2026</v>
      </c>
      <c r="AZ2278" s="65"/>
      <c r="BA2278" s="65"/>
    </row>
    <row r="2279">
      <c r="A2279" s="65" t="str">
        <f>IFERROR(__xludf.DUMMYFUNCTION("""COMPUTED_VALUE"""),"27-03-2026")</f>
        <v>27-03-2026</v>
      </c>
      <c r="B2279" s="65">
        <f>IFERROR(__xludf.DUMMYFUNCTION("""COMPUTED_VALUE"""),4051232.0)</f>
        <v>4051232</v>
      </c>
      <c r="C2279" s="65" t="str">
        <f>IFERROR(__xludf.DUMMYFUNCTION("""COMPUTED_VALUE"""),"03:45")</f>
        <v>03:45</v>
      </c>
      <c r="D2279" s="65" t="str">
        <f>IFERROR(__xludf.DUMMYFUNCTION("""COMPUTED_VALUE"""),"07-01-2026")</f>
        <v>07-01-2026</v>
      </c>
      <c r="E2279" s="65" t="str">
        <f>IFERROR(__xludf.DUMMYFUNCTION("""COMPUTED_VALUE"""),"Yohanna Rosales")</f>
        <v>Yohanna Rosales</v>
      </c>
      <c r="F2279" s="65" t="str">
        <f>IFERROR(__xludf.DUMMYFUNCTION("""COMPUTED_VALUE"""),"960939277")</f>
        <v>960939277</v>
      </c>
      <c r="G2279" s="65" t="str">
        <f>IFERROR(__xludf.DUMMYFUNCTION("""COMPUTED_VALUE"""),"alexa_josette@hotmail.com")</f>
        <v>alexa_josette@hotmail.com</v>
      </c>
      <c r="H2279" s="65"/>
      <c r="I2279" s="65"/>
      <c r="J2279" s="65" t="str">
        <f>IFERROR(__xludf.DUMMYFUNCTION("""COMPUTED_VALUE"""),"D001248493")</f>
        <v>D001248493</v>
      </c>
      <c r="K2279" s="65" t="str">
        <f>IFERROR(__xludf.DUMMYFUNCTION("""COMPUTED_VALUE"""),"DEVOLUCION")</f>
        <v>DEVOLUCION</v>
      </c>
      <c r="L2279" s="65" t="str">
        <f>IFERROR(__xludf.DUMMYFUNCTION("""COMPUTED_VALUE"""),"CON RECAUDO")</f>
        <v>CON RECAUDO</v>
      </c>
      <c r="M2279" s="65" t="str">
        <f>IFERROR(__xludf.DUMMYFUNCTION("""COMPUTED_VALUE"""),"EL ORO")</f>
        <v>EL ORO</v>
      </c>
      <c r="N2279" s="65" t="str">
        <f>IFERROR(__xludf.DUMMYFUNCTION("""COMPUTED_VALUE"""),"MACHALA")</f>
        <v>MACHALA</v>
      </c>
      <c r="O2279" s="65" t="str">
        <f>IFERROR(__xludf.DUMMYFUNCTION("""COMPUTED_VALUE"""),"25 de junio Atras del shopping machala -")</f>
        <v>25 de junio Atras del shopping machala -</v>
      </c>
      <c r="P2279" s="65"/>
      <c r="Q2279" s="65" t="str">
        <f>IFERROR(__xludf.DUMMYFUNCTION("""COMPUTED_VALUE"""),"GINTRACOM")</f>
        <v>GINTRACOM</v>
      </c>
      <c r="R2279" s="65">
        <f>IFERROR(__xludf.DUMMYFUNCTION("""COMPUTED_VALUE"""),22.0)</f>
        <v>22</v>
      </c>
      <c r="S2279" s="65"/>
      <c r="T2279" s="65">
        <f>IFERROR(__xludf.DUMMYFUNCTION("""COMPUTED_VALUE"""),5.84)</f>
        <v>5.84</v>
      </c>
      <c r="U2279" s="65">
        <f>IFERROR(__xludf.DUMMYFUNCTION("""COMPUTED_VALUE"""),0.0)</f>
        <v>0</v>
      </c>
      <c r="V2279" s="65">
        <f>IFERROR(__xludf.DUMMYFUNCTION("""COMPUTED_VALUE"""),0.0)</f>
        <v>0</v>
      </c>
      <c r="W2279" s="65">
        <f>IFERROR(__xludf.DUMMYFUNCTION("""COMPUTED_VALUE"""),0.0)</f>
        <v>0</v>
      </c>
      <c r="X2279" s="65">
        <f>IFERROR(__xludf.DUMMYFUNCTION("""COMPUTED_VALUE"""),2.5)</f>
        <v>2.5</v>
      </c>
      <c r="Y2279" s="65">
        <f>IFERROR(__xludf.DUMMYFUNCTION("""COMPUTED_VALUE"""),5.0)</f>
        <v>5</v>
      </c>
      <c r="Z2279" s="65">
        <f>IFERROR(__xludf.DUMMYFUNCTION("""COMPUTED_VALUE"""),78123.0)</f>
        <v>78123</v>
      </c>
      <c r="AA2279" s="65" t="str">
        <f>IFERROR(__xludf.DUMMYFUNCTION("""COMPUTED_VALUE"""),"GT1EG5097")</f>
        <v>GT1EG5097</v>
      </c>
      <c r="AB2279" s="65"/>
      <c r="AC2279" s="65" t="str">
        <f>IFERROR(__xludf.DUMMYFUNCTION("""COMPUTED_VALUE"""),"Geles de baño aromaticos inodoro x 1")</f>
        <v>Geles de baño aromaticos inodoro x 1</v>
      </c>
      <c r="AD2279" s="65"/>
      <c r="AE2279" s="65">
        <f>IFERROR(__xludf.DUMMYFUNCTION("""COMPUTED_VALUE"""),2.0)</f>
        <v>2</v>
      </c>
      <c r="AF2279" s="65" t="str">
        <f>IFERROR(__xludf.DUMMYFUNCTION("""COMPUTED_VALUE"""),"DESTINATARIO NO CONTESTA LLAMADAS NI WHATSAPP")</f>
        <v>DESTINATARIO NO CONTESTA LLAMADAS NI WHATSAPP</v>
      </c>
      <c r="AG2279" s="65" t="str">
        <f>IFERROR(__xludf.DUMMYFUNCTION("""COMPUTED_VALUE"""),"NO")</f>
        <v>NO</v>
      </c>
      <c r="AH2279" s="65" t="str">
        <f>IFERROR(__xludf.DUMMYFUNCTION("""COMPUTED_VALUE"""),"09:00")</f>
        <v>09:00</v>
      </c>
      <c r="AI2279" s="65" t="str">
        <f>IFERROR(__xludf.DUMMYFUNCTION("""COMPUTED_VALUE"""),"31-01-2026")</f>
        <v>31-01-2026</v>
      </c>
      <c r="AJ2279" s="65"/>
      <c r="AK2279" s="65"/>
      <c r="AL2279" s="65"/>
      <c r="AM2279" s="65"/>
      <c r="AN2279" s="65" t="str">
        <f>IFERROR(__xludf.DUMMYFUNCTION("""COMPUTED_VALUE"""),"10:20")</f>
        <v>10:20</v>
      </c>
      <c r="AO2279" s="65" t="str">
        <f>IFERROR(__xludf.DUMMYFUNCTION("""COMPUTED_VALUE"""),"27-02-2026")</f>
        <v>27-02-2026</v>
      </c>
      <c r="AP2279" s="65" t="str">
        <f>IFERROR(__xludf.DUMMYFUNCTION("""COMPUTED_VALUE"""),"DEVOLUCIÓN ENTREGADA A ORIGEN")</f>
        <v>DEVOLUCIÓN ENTREGADA A ORIGEN</v>
      </c>
      <c r="AQ2279" s="65" t="str">
        <f>IFERROR(__xludf.DUMMYFUNCTION("""COMPUTED_VALUE"""),"DEVOLUCIÓN ENTREGADA A ORIGEN")</f>
        <v>DEVOLUCIÓN ENTREGADA A ORIGEN</v>
      </c>
      <c r="AR2279" s="65"/>
      <c r="AS2279" s="65"/>
      <c r="AT2279" s="65" t="str">
        <f>IFERROR(__xludf.DUMMYFUNCTION("""COMPUTED_VALUE"""),"SHOPIFY")</f>
        <v>SHOPIFY</v>
      </c>
      <c r="AU2279" s="65" t="str">
        <f>IFERROR(__xludf.DUMMYFUNCTION("""COMPUTED_VALUE"""),"IMPORTEX EC")</f>
        <v>IMPORTEX EC</v>
      </c>
      <c r="AV2279" s="65" t="str">
        <f>IFERROR(__xludf.DUMMYFUNCTION("""COMPUTED_VALUE"""),"6395679670316")</f>
        <v>6395679670316</v>
      </c>
      <c r="AW2279" s="65">
        <f>IFERROR(__xludf.DUMMYFUNCTION("""COMPUTED_VALUE"""),4715.0)</f>
        <v>4715</v>
      </c>
      <c r="AX2279" s="65"/>
      <c r="AY2279" s="65" t="str">
        <f>IFERROR(__xludf.DUMMYFUNCTION("""COMPUTED_VALUE"""),"21/01/2026")</f>
        <v>21/01/2026</v>
      </c>
      <c r="AZ2279" s="65"/>
      <c r="BA2279" s="65"/>
    </row>
    <row r="2280">
      <c r="A2280" s="65" t="str">
        <f>IFERROR(__xludf.DUMMYFUNCTION("""COMPUTED_VALUE"""),"27-03-2026")</f>
        <v>27-03-2026</v>
      </c>
      <c r="B2280" s="65">
        <f>IFERROR(__xludf.DUMMYFUNCTION("""COMPUTED_VALUE"""),4051220.0)</f>
        <v>4051220</v>
      </c>
      <c r="C2280" s="65" t="str">
        <f>IFERROR(__xludf.DUMMYFUNCTION("""COMPUTED_VALUE"""),"03:24")</f>
        <v>03:24</v>
      </c>
      <c r="D2280" s="65" t="str">
        <f>IFERROR(__xludf.DUMMYFUNCTION("""COMPUTED_VALUE"""),"07-01-2026")</f>
        <v>07-01-2026</v>
      </c>
      <c r="E2280" s="65" t="str">
        <f>IFERROR(__xludf.DUMMYFUNCTION("""COMPUTED_VALUE"""),"Washington Díaz")</f>
        <v>Washington Díaz</v>
      </c>
      <c r="F2280" s="65" t="str">
        <f>IFERROR(__xludf.DUMMYFUNCTION("""COMPUTED_VALUE"""),"0986346840")</f>
        <v>0986346840</v>
      </c>
      <c r="G2280" s="65" t="str">
        <f>IFERROR(__xludf.DUMMYFUNCTION("""COMPUTED_VALUE"""),"facturas.marielaleon@hotmail.com")</f>
        <v>facturas.marielaleon@hotmail.com</v>
      </c>
      <c r="H2280" s="65"/>
      <c r="I2280" s="65"/>
      <c r="J2280" s="65" t="str">
        <f>IFERROR(__xludf.DUMMYFUNCTION("""COMPUTED_VALUE"""),"186942561")</f>
        <v>186942561</v>
      </c>
      <c r="K2280" s="65" t="str">
        <f>IFERROR(__xludf.DUMMYFUNCTION("""COMPUTED_VALUE"""),"ENTREGADO")</f>
        <v>ENTREGADO</v>
      </c>
      <c r="L2280" s="65" t="str">
        <f>IFERROR(__xludf.DUMMYFUNCTION("""COMPUTED_VALUE"""),"CON RECAUDO")</f>
        <v>CON RECAUDO</v>
      </c>
      <c r="M2280" s="65" t="str">
        <f>IFERROR(__xludf.DUMMYFUNCTION("""COMPUTED_VALUE"""),"GUAYAS")</f>
        <v>GUAYAS</v>
      </c>
      <c r="N2280" s="65" t="str">
        <f>IFERROR(__xludf.DUMMYFUNCTION("""COMPUTED_VALUE"""),"CHONGON")</f>
        <v>CHONGON</v>
      </c>
      <c r="O2280" s="65" t="str">
        <f>IFERROR(__xludf.DUMMYFUNCTION("""COMPUTED_VALUE"""),"Servientrega")</f>
        <v>Servientrega</v>
      </c>
      <c r="P2280" s="65" t="str">
        <f>IFERROR(__xludf.DUMMYFUNCTION("""COMPUTED_VALUE"""),"LLAVE TRINQUETE: Default Title ***")</f>
        <v>LLAVE TRINQUETE: Default Title ***</v>
      </c>
      <c r="Q2280" s="65" t="str">
        <f>IFERROR(__xludf.DUMMYFUNCTION("""COMPUTED_VALUE"""),"SERVIENTREGA")</f>
        <v>SERVIENTREGA</v>
      </c>
      <c r="R2280" s="65">
        <f>IFERROR(__xludf.DUMMYFUNCTION("""COMPUTED_VALUE"""),21.99)</f>
        <v>21.99</v>
      </c>
      <c r="S2280" s="65">
        <f>IFERROR(__xludf.DUMMYFUNCTION("""COMPUTED_VALUE"""),10.73)</f>
        <v>10.73</v>
      </c>
      <c r="T2280" s="65">
        <f>IFERROR(__xludf.DUMMYFUNCTION("""COMPUTED_VALUE"""),6.26)</f>
        <v>6.26</v>
      </c>
      <c r="U2280" s="65">
        <f>IFERROR(__xludf.DUMMYFUNCTION("""COMPUTED_VALUE"""),0.0)</f>
        <v>0</v>
      </c>
      <c r="V2280" s="65">
        <f>IFERROR(__xludf.DUMMYFUNCTION("""COMPUTED_VALUE"""),0.0)</f>
        <v>0</v>
      </c>
      <c r="W2280" s="65">
        <f>IFERROR(__xludf.DUMMYFUNCTION("""COMPUTED_VALUE"""),0.0)</f>
        <v>0</v>
      </c>
      <c r="X2280" s="65">
        <f>IFERROR(__xludf.DUMMYFUNCTION("""COMPUTED_VALUE"""),5.0)</f>
        <v>5</v>
      </c>
      <c r="Y2280" s="65">
        <f>IFERROR(__xludf.DUMMYFUNCTION("""COMPUTED_VALUE"""),5.0)</f>
        <v>5</v>
      </c>
      <c r="Z2280" s="65">
        <f>IFERROR(__xludf.DUMMYFUNCTION("""COMPUTED_VALUE"""),110064.0)</f>
        <v>110064</v>
      </c>
      <c r="AA2280" s="65" t="str">
        <f>IFERROR(__xludf.DUMMYFUNCTION("""COMPUTED_VALUE"""),"IMX-00001")</f>
        <v>IMX-00001</v>
      </c>
      <c r="AB2280" s="65"/>
      <c r="AC2280" s="65" t="str">
        <f>IFERROR(__xludf.DUMMYFUNCTION("""COMPUTED_VALUE"""),"LLAVE TRINQUETE")</f>
        <v>LLAVE TRINQUETE</v>
      </c>
      <c r="AD2280" s="65"/>
      <c r="AE2280" s="65">
        <f>IFERROR(__xludf.DUMMYFUNCTION("""COMPUTED_VALUE"""),1.0)</f>
        <v>1</v>
      </c>
      <c r="AF2280" s="65"/>
      <c r="AG2280" s="65"/>
      <c r="AH2280" s="65"/>
      <c r="AI2280" s="65"/>
      <c r="AJ2280" s="65"/>
      <c r="AK2280" s="65"/>
      <c r="AL2280" s="65"/>
      <c r="AM2280" s="65"/>
      <c r="AN2280" s="65" t="str">
        <f>IFERROR(__xludf.DUMMYFUNCTION("""COMPUTED_VALUE"""),"10:12")</f>
        <v>10:12</v>
      </c>
      <c r="AO2280" s="65" t="str">
        <f>IFERROR(__xludf.DUMMYFUNCTION("""COMPUTED_VALUE"""),"26-01-2026")</f>
        <v>26-01-2026</v>
      </c>
      <c r="AP2280" s="65" t="str">
        <f>IFERROR(__xludf.DUMMYFUNCTION("""COMPUTED_VALUE"""),"ENTREGA DIGITALIZADA EN CENTRO LOGISTICO")</f>
        <v>ENTREGA DIGITALIZADA EN CENTRO LOGISTICO</v>
      </c>
      <c r="AQ2280" s="65" t="str">
        <f>IFERROR(__xludf.DUMMYFUNCTION("""COMPUTED_VALUE"""),"WASHINGTON DIAZ")</f>
        <v>WASHINGTON DIAZ</v>
      </c>
      <c r="AR2280" s="65"/>
      <c r="AS2280" s="65"/>
      <c r="AT2280" s="65" t="str">
        <f>IFERROR(__xludf.DUMMYFUNCTION("""COMPUTED_VALUE"""),"SHOPIFY")</f>
        <v>SHOPIFY</v>
      </c>
      <c r="AU2280" s="65" t="str">
        <f>IFERROR(__xludf.DUMMYFUNCTION("""COMPUTED_VALUE"""),"IMPORTEX EC")</f>
        <v>IMPORTEX EC</v>
      </c>
      <c r="AV2280" s="65" t="str">
        <f>IFERROR(__xludf.DUMMYFUNCTION("""COMPUTED_VALUE"""),"6395667578924")</f>
        <v>6395667578924</v>
      </c>
      <c r="AW2280" s="65">
        <f>IFERROR(__xludf.DUMMYFUNCTION("""COMPUTED_VALUE"""),4714.0)</f>
        <v>4714</v>
      </c>
      <c r="AX2280" s="65"/>
      <c r="AY2280" s="65" t="str">
        <f>IFERROR(__xludf.DUMMYFUNCTION("""COMPUTED_VALUE"""),"08/01/2026")</f>
        <v>08/01/2026</v>
      </c>
      <c r="AZ2280" s="65"/>
      <c r="BA2280" s="65"/>
    </row>
    <row r="2281">
      <c r="A2281" s="65" t="str">
        <f>IFERROR(__xludf.DUMMYFUNCTION("""COMPUTED_VALUE"""),"27-03-2026")</f>
        <v>27-03-2026</v>
      </c>
      <c r="B2281" s="65">
        <f>IFERROR(__xludf.DUMMYFUNCTION("""COMPUTED_VALUE"""),4051217.0)</f>
        <v>4051217</v>
      </c>
      <c r="C2281" s="65" t="str">
        <f>IFERROR(__xludf.DUMMYFUNCTION("""COMPUTED_VALUE"""),"03:21")</f>
        <v>03:21</v>
      </c>
      <c r="D2281" s="65" t="str">
        <f>IFERROR(__xludf.DUMMYFUNCTION("""COMPUTED_VALUE"""),"07-01-2026")</f>
        <v>07-01-2026</v>
      </c>
      <c r="E2281" s="65" t="str">
        <f>IFERROR(__xludf.DUMMYFUNCTION("""COMPUTED_VALUE"""),"Alfonso Roldan")</f>
        <v>Alfonso Roldan</v>
      </c>
      <c r="F2281" s="65" t="str">
        <f>IFERROR(__xludf.DUMMYFUNCTION("""COMPUTED_VALUE"""),"983590621")</f>
        <v>983590621</v>
      </c>
      <c r="G2281" s="65" t="str">
        <f>IFERROR(__xludf.DUMMYFUNCTION("""COMPUTED_VALUE"""),"alfonsoroldan1982@gmail.com")</f>
        <v>alfonsoroldan1982@gmail.com</v>
      </c>
      <c r="H2281" s="65"/>
      <c r="I2281" s="65"/>
      <c r="J2281" s="65"/>
      <c r="K2281" s="65" t="str">
        <f>IFERROR(__xludf.DUMMYFUNCTION("""COMPUTED_VALUE"""),"CANCELADO")</f>
        <v>CANCELADO</v>
      </c>
      <c r="L2281" s="65" t="str">
        <f>IFERROR(__xludf.DUMMYFUNCTION("""COMPUTED_VALUE"""),"CON RECAUDO")</f>
        <v>CON RECAUDO</v>
      </c>
      <c r="M2281" s="65" t="str">
        <f>IFERROR(__xludf.DUMMYFUNCTION("""COMPUTED_VALUE"""),"CHIMBORAZO")</f>
        <v>CHIMBORAZO</v>
      </c>
      <c r="N2281" s="65" t="str">
        <f>IFERROR(__xludf.DUMMYFUNCTION("""COMPUTED_VALUE"""),"GUAMOTE")</f>
        <v>GUAMOTE</v>
      </c>
      <c r="O2281" s="65" t="str">
        <f>IFERROR(__xludf.DUMMYFUNCTION("""COMPUTED_VALUE"""),"Via cuenca Oficina Servientrega -")</f>
        <v>Via cuenca Oficina Servientrega -</v>
      </c>
      <c r="P2281" s="65"/>
      <c r="Q2281" s="65" t="str">
        <f>IFERROR(__xludf.DUMMYFUNCTION("""COMPUTED_VALUE"""),"SERVIENTREGA")</f>
        <v>SERVIENTREGA</v>
      </c>
      <c r="R2281" s="65">
        <f>IFERROR(__xludf.DUMMYFUNCTION("""COMPUTED_VALUE"""),30.0)</f>
        <v>30</v>
      </c>
      <c r="S2281" s="65"/>
      <c r="T2281" s="65">
        <f>IFERROR(__xludf.DUMMYFUNCTION("""COMPUTED_VALUE"""),7.82)</f>
        <v>7.82</v>
      </c>
      <c r="U2281" s="65">
        <f>IFERROR(__xludf.DUMMYFUNCTION("""COMPUTED_VALUE"""),0.0)</f>
        <v>0</v>
      </c>
      <c r="V2281" s="65">
        <f>IFERROR(__xludf.DUMMYFUNCTION("""COMPUTED_VALUE"""),0.0)</f>
        <v>0</v>
      </c>
      <c r="W2281" s="65">
        <f>IFERROR(__xludf.DUMMYFUNCTION("""COMPUTED_VALUE"""),0.0)</f>
        <v>0</v>
      </c>
      <c r="X2281" s="65">
        <f>IFERROR(__xludf.DUMMYFUNCTION("""COMPUTED_VALUE"""),2.79)</f>
        <v>2.79</v>
      </c>
      <c r="Y2281" s="65">
        <f>IFERROR(__xludf.DUMMYFUNCTION("""COMPUTED_VALUE"""),8.37)</f>
        <v>8.37</v>
      </c>
      <c r="Z2281" s="65">
        <f>IFERROR(__xludf.DUMMYFUNCTION("""COMPUTED_VALUE"""),120732.0)</f>
        <v>120732</v>
      </c>
      <c r="AA2281" s="65" t="str">
        <f>IFERROR(__xludf.DUMMYFUNCTION("""COMPUTED_VALUE"""),"PROV-LMPVT")</f>
        <v>PROV-LMPVT</v>
      </c>
      <c r="AB2281" s="65"/>
      <c r="AC2281" s="65" t="str">
        <f>IFERROR(__xludf.DUMMYFUNCTION("""COMPUTED_VALUE"""),"LIMPIADOR DE PARABRISAS Y VENTANAS")</f>
        <v>LIMPIADOR DE PARABRISAS Y VENTANAS</v>
      </c>
      <c r="AD2281" s="65"/>
      <c r="AE2281" s="65">
        <f>IFERROR(__xludf.DUMMYFUNCTION("""COMPUTED_VALUE"""),3.0)</f>
        <v>3</v>
      </c>
      <c r="AF2281" s="65"/>
      <c r="AG2281" s="65"/>
      <c r="AH2281" s="65"/>
      <c r="AI2281" s="65"/>
      <c r="AJ2281" s="65"/>
      <c r="AK2281" s="65"/>
      <c r="AL2281" s="65"/>
      <c r="AM2281" s="65"/>
      <c r="AN2281" s="65"/>
      <c r="AO2281" s="65"/>
      <c r="AP2281" s="65"/>
      <c r="AQ2281" s="65"/>
      <c r="AR2281" s="65"/>
      <c r="AS2281" s="65"/>
      <c r="AT2281" s="65" t="str">
        <f>IFERROR(__xludf.DUMMYFUNCTION("""COMPUTED_VALUE"""),"SHOPIFY")</f>
        <v>SHOPIFY</v>
      </c>
      <c r="AU2281" s="65" t="str">
        <f>IFERROR(__xludf.DUMMYFUNCTION("""COMPUTED_VALUE"""),"IMPORTEX EC")</f>
        <v>IMPORTEX EC</v>
      </c>
      <c r="AV2281" s="65" t="str">
        <f>IFERROR(__xludf.DUMMYFUNCTION("""COMPUTED_VALUE"""),"6395665940524")</f>
        <v>6395665940524</v>
      </c>
      <c r="AW2281" s="65">
        <f>IFERROR(__xludf.DUMMYFUNCTION("""COMPUTED_VALUE"""),4713.0)</f>
        <v>4713</v>
      </c>
      <c r="AX2281" s="65"/>
      <c r="AY2281" s="65"/>
      <c r="AZ2281" s="65"/>
      <c r="BA2281" s="65"/>
    </row>
    <row r="2282">
      <c r="A2282" s="65" t="str">
        <f>IFERROR(__xludf.DUMMYFUNCTION("""COMPUTED_VALUE"""),"27-03-2026")</f>
        <v>27-03-2026</v>
      </c>
      <c r="B2282" s="65">
        <f>IFERROR(__xludf.DUMMYFUNCTION("""COMPUTED_VALUE"""),4051216.0)</f>
        <v>4051216</v>
      </c>
      <c r="C2282" s="65" t="str">
        <f>IFERROR(__xludf.DUMMYFUNCTION("""COMPUTED_VALUE"""),"03:20")</f>
        <v>03:20</v>
      </c>
      <c r="D2282" s="65" t="str">
        <f>IFERROR(__xludf.DUMMYFUNCTION("""COMPUTED_VALUE"""),"07-01-2026")</f>
        <v>07-01-2026</v>
      </c>
      <c r="E2282" s="65" t="str">
        <f>IFERROR(__xludf.DUMMYFUNCTION("""COMPUTED_VALUE"""),"Klever Eduardo cedeño parraga")</f>
        <v>Klever Eduardo cedeño parraga</v>
      </c>
      <c r="F2282" s="65" t="str">
        <f>IFERROR(__xludf.DUMMYFUNCTION("""COMPUTED_VALUE"""),"979559960")</f>
        <v>979559960</v>
      </c>
      <c r="G2282" s="65" t="str">
        <f>IFERROR(__xludf.DUMMYFUNCTION("""COMPUTED_VALUE"""),"klebercedeno08@gmail.com")</f>
        <v>klebercedeno08@gmail.com</v>
      </c>
      <c r="H2282" s="65"/>
      <c r="I2282" s="65"/>
      <c r="J2282" s="65"/>
      <c r="K2282" s="65" t="str">
        <f>IFERROR(__xludf.DUMMYFUNCTION("""COMPUTED_VALUE"""),"CANCELADO")</f>
        <v>CANCELADO</v>
      </c>
      <c r="L2282" s="65" t="str">
        <f>IFERROR(__xludf.DUMMYFUNCTION("""COMPUTED_VALUE"""),"CON RECAUDO")</f>
        <v>CON RECAUDO</v>
      </c>
      <c r="M2282" s="65" t="str">
        <f>IFERROR(__xludf.DUMMYFUNCTION("""COMPUTED_VALUE"""),"ESMERALDAS")</f>
        <v>ESMERALDAS</v>
      </c>
      <c r="N2282" s="65" t="str">
        <f>IFERROR(__xludf.DUMMYFUNCTION("""COMPUTED_VALUE"""),"QUININDE")</f>
        <v>QUININDE</v>
      </c>
      <c r="O2282" s="65" t="str">
        <f>IFERROR(__xludf.DUMMYFUNCTION("""COMPUTED_VALUE"""),"Resivir por Servientrega Frente al asadero de pollo -")</f>
        <v>Resivir por Servientrega Frente al asadero de pollo -</v>
      </c>
      <c r="P2282" s="65"/>
      <c r="Q2282" s="65" t="str">
        <f>IFERROR(__xludf.DUMMYFUNCTION("""COMPUTED_VALUE"""),"GINTRACOM")</f>
        <v>GINTRACOM</v>
      </c>
      <c r="R2282" s="65">
        <f>IFERROR(__xludf.DUMMYFUNCTION("""COMPUTED_VALUE"""),25.0)</f>
        <v>25</v>
      </c>
      <c r="S2282" s="65"/>
      <c r="T2282" s="65">
        <f>IFERROR(__xludf.DUMMYFUNCTION("""COMPUTED_VALUE"""),5.96)</f>
        <v>5.96</v>
      </c>
      <c r="U2282" s="65">
        <f>IFERROR(__xludf.DUMMYFUNCTION("""COMPUTED_VALUE"""),0.0)</f>
        <v>0</v>
      </c>
      <c r="V2282" s="65">
        <f>IFERROR(__xludf.DUMMYFUNCTION("""COMPUTED_VALUE"""),0.0)</f>
        <v>0</v>
      </c>
      <c r="W2282" s="65">
        <f>IFERROR(__xludf.DUMMYFUNCTION("""COMPUTED_VALUE"""),0.0)</f>
        <v>0</v>
      </c>
      <c r="X2282" s="65">
        <f>IFERROR(__xludf.DUMMYFUNCTION("""COMPUTED_VALUE"""),2.79)</f>
        <v>2.79</v>
      </c>
      <c r="Y2282" s="65">
        <f>IFERROR(__xludf.DUMMYFUNCTION("""COMPUTED_VALUE"""),5.58)</f>
        <v>5.58</v>
      </c>
      <c r="Z2282" s="65">
        <f>IFERROR(__xludf.DUMMYFUNCTION("""COMPUTED_VALUE"""),120732.0)</f>
        <v>120732</v>
      </c>
      <c r="AA2282" s="65" t="str">
        <f>IFERROR(__xludf.DUMMYFUNCTION("""COMPUTED_VALUE"""),"PROV-LMPVT")</f>
        <v>PROV-LMPVT</v>
      </c>
      <c r="AB2282" s="65"/>
      <c r="AC2282" s="65" t="str">
        <f>IFERROR(__xludf.DUMMYFUNCTION("""COMPUTED_VALUE"""),"LIMPIADOR DE PARABRISAS Y VENTANAS")</f>
        <v>LIMPIADOR DE PARABRISAS Y VENTANAS</v>
      </c>
      <c r="AD2282" s="65"/>
      <c r="AE2282" s="65">
        <f>IFERROR(__xludf.DUMMYFUNCTION("""COMPUTED_VALUE"""),2.0)</f>
        <v>2</v>
      </c>
      <c r="AF2282" s="65"/>
      <c r="AG2282" s="65"/>
      <c r="AH2282" s="65"/>
      <c r="AI2282" s="65"/>
      <c r="AJ2282" s="65"/>
      <c r="AK2282" s="65"/>
      <c r="AL2282" s="65"/>
      <c r="AM2282" s="65"/>
      <c r="AN2282" s="65"/>
      <c r="AO2282" s="65"/>
      <c r="AP2282" s="65"/>
      <c r="AQ2282" s="65"/>
      <c r="AR2282" s="65"/>
      <c r="AS2282" s="65"/>
      <c r="AT2282" s="65" t="str">
        <f>IFERROR(__xludf.DUMMYFUNCTION("""COMPUTED_VALUE"""),"SHOPIFY")</f>
        <v>SHOPIFY</v>
      </c>
      <c r="AU2282" s="65" t="str">
        <f>IFERROR(__xludf.DUMMYFUNCTION("""COMPUTED_VALUE"""),"IMPORTEX EC")</f>
        <v>IMPORTEX EC</v>
      </c>
      <c r="AV2282" s="65" t="str">
        <f>IFERROR(__xludf.DUMMYFUNCTION("""COMPUTED_VALUE"""),"6395664859180")</f>
        <v>6395664859180</v>
      </c>
      <c r="AW2282" s="65">
        <f>IFERROR(__xludf.DUMMYFUNCTION("""COMPUTED_VALUE"""),4712.0)</f>
        <v>4712</v>
      </c>
      <c r="AX2282" s="65"/>
      <c r="AY2282" s="65"/>
      <c r="AZ2282" s="65"/>
      <c r="BA2282" s="65"/>
    </row>
    <row r="2283">
      <c r="A2283" s="65" t="str">
        <f>IFERROR(__xludf.DUMMYFUNCTION("""COMPUTED_VALUE"""),"27-03-2026")</f>
        <v>27-03-2026</v>
      </c>
      <c r="B2283" s="65">
        <f>IFERROR(__xludf.DUMMYFUNCTION("""COMPUTED_VALUE"""),4050324.0)</f>
        <v>4050324</v>
      </c>
      <c r="C2283" s="65" t="str">
        <f>IFERROR(__xludf.DUMMYFUNCTION("""COMPUTED_VALUE"""),"23:33")</f>
        <v>23:33</v>
      </c>
      <c r="D2283" s="65" t="str">
        <f>IFERROR(__xludf.DUMMYFUNCTION("""COMPUTED_VALUE"""),"06-01-2026")</f>
        <v>06-01-2026</v>
      </c>
      <c r="E2283" s="65" t="str">
        <f>IFERROR(__xludf.DUMMYFUNCTION("""COMPUTED_VALUE"""),"Luis Zuniga")</f>
        <v>Luis Zuniga</v>
      </c>
      <c r="F2283" s="65" t="str">
        <f>IFERROR(__xludf.DUMMYFUNCTION("""COMPUTED_VALUE"""),"969967083")</f>
        <v>969967083</v>
      </c>
      <c r="G2283" s="65" t="str">
        <f>IFERROR(__xludf.DUMMYFUNCTION("""COMPUTED_VALUE"""),"luiszunigavargas4@gmail.com")</f>
        <v>luiszunigavargas4@gmail.com</v>
      </c>
      <c r="H2283" s="65"/>
      <c r="I2283" s="65"/>
      <c r="J2283" s="65" t="str">
        <f>IFERROR(__xludf.DUMMYFUNCTION("""COMPUTED_VALUE"""),"D001201098")</f>
        <v>D001201098</v>
      </c>
      <c r="K2283" s="65" t="str">
        <f>IFERROR(__xludf.DUMMYFUNCTION("""COMPUTED_VALUE"""),"ENTREGADO")</f>
        <v>ENTREGADO</v>
      </c>
      <c r="L2283" s="65" t="str">
        <f>IFERROR(__xludf.DUMMYFUNCTION("""COMPUTED_VALUE"""),"CON RECAUDO")</f>
        <v>CON RECAUDO</v>
      </c>
      <c r="M2283" s="65" t="str">
        <f>IFERROR(__xludf.DUMMYFUNCTION("""COMPUTED_VALUE"""),"PICHINCHA")</f>
        <v>PICHINCHA</v>
      </c>
      <c r="N2283" s="65" t="str">
        <f>IFERROR(__xludf.DUMMYFUNCTION("""COMPUTED_VALUE"""),"QUITO")</f>
        <v>QUITO</v>
      </c>
      <c r="O2283" s="65" t="str">
        <f>IFERROR(__xludf.DUMMYFUNCTION("""COMPUTED_VALUE"""),"Av. Ana Paredes de Alfaro S9_95 y Calle Hernando de Quiroz - Ref. Av. Ana Paredes de Alfaro S9_95 y Calle Hernando de Quiroz - Ref. Los pollos Tungurahua en la esquina a la izquierda una casa de 3 pisos de baldosa")</f>
        <v>Av. Ana Paredes de Alfaro S9_95 y Calle Hernando de Quiroz - Ref. Av. Ana Paredes de Alfaro S9_95 y Calle Hernando de Quiroz - Ref. Los pollos Tungurahua en la esquina a la izquierda una casa de 3 pisos de baldosa</v>
      </c>
      <c r="P2283" s="65" t="str">
        <f>IFERROR(__xludf.DUMMYFUNCTION("""COMPUTED_VALUE"""),"Location: -0.2506643,-78.5155967")</f>
        <v>Location: -0.2506643,-78.5155967</v>
      </c>
      <c r="Q2283" s="65" t="str">
        <f>IFERROR(__xludf.DUMMYFUNCTION("""COMPUTED_VALUE"""),"GINTRACOM")</f>
        <v>GINTRACOM</v>
      </c>
      <c r="R2283" s="65">
        <f>IFERROR(__xludf.DUMMYFUNCTION("""COMPUTED_VALUE"""),30.0)</f>
        <v>30</v>
      </c>
      <c r="S2283" s="65">
        <f>IFERROR(__xludf.DUMMYFUNCTION("""COMPUTED_VALUE"""),10.45)</f>
        <v>10.45</v>
      </c>
      <c r="T2283" s="65">
        <f>IFERROR(__xludf.DUMMYFUNCTION("""COMPUTED_VALUE"""),4.55)</f>
        <v>4.55</v>
      </c>
      <c r="U2283" s="65">
        <f>IFERROR(__xludf.DUMMYFUNCTION("""COMPUTED_VALUE"""),0.0)</f>
        <v>0</v>
      </c>
      <c r="V2283" s="65">
        <f>IFERROR(__xludf.DUMMYFUNCTION("""COMPUTED_VALUE"""),0.0)</f>
        <v>0</v>
      </c>
      <c r="W2283" s="65">
        <f>IFERROR(__xludf.DUMMYFUNCTION("""COMPUTED_VALUE"""),0.0)</f>
        <v>0</v>
      </c>
      <c r="X2283" s="65">
        <f>IFERROR(__xludf.DUMMYFUNCTION("""COMPUTED_VALUE"""),5.0)</f>
        <v>5</v>
      </c>
      <c r="Y2283" s="65">
        <f>IFERROR(__xludf.DUMMYFUNCTION("""COMPUTED_VALUE"""),15.0)</f>
        <v>15</v>
      </c>
      <c r="Z2283" s="65">
        <f>IFERROR(__xludf.DUMMYFUNCTION("""COMPUTED_VALUE"""),110064.0)</f>
        <v>110064</v>
      </c>
      <c r="AA2283" s="65" t="str">
        <f>IFERROR(__xludf.DUMMYFUNCTION("""COMPUTED_VALUE"""),"IMX-00001")</f>
        <v>IMX-00001</v>
      </c>
      <c r="AB2283" s="65"/>
      <c r="AC2283" s="65" t="str">
        <f>IFERROR(__xludf.DUMMYFUNCTION("""COMPUTED_VALUE"""),"LLAVE TRINQUETE")</f>
        <v>LLAVE TRINQUETE</v>
      </c>
      <c r="AD2283" s="65"/>
      <c r="AE2283" s="65">
        <f>IFERROR(__xludf.DUMMYFUNCTION("""COMPUTED_VALUE"""),3.0)</f>
        <v>3</v>
      </c>
      <c r="AF2283" s="65"/>
      <c r="AG2283" s="65"/>
      <c r="AH2283" s="65"/>
      <c r="AI2283" s="65"/>
      <c r="AJ2283" s="65"/>
      <c r="AK2283" s="65"/>
      <c r="AL2283" s="65"/>
      <c r="AM2283" s="65"/>
      <c r="AN2283" s="65" t="str">
        <f>IFERROR(__xludf.DUMMYFUNCTION("""COMPUTED_VALUE"""),"13:56")</f>
        <v>13:56</v>
      </c>
      <c r="AO2283" s="65" t="str">
        <f>IFERROR(__xludf.DUMMYFUNCTION("""COMPUTED_VALUE"""),"14-01-2026")</f>
        <v>14-01-2026</v>
      </c>
      <c r="AP2283" s="65" t="str">
        <f>IFERROR(__xludf.DUMMYFUNCTION("""COMPUTED_VALUE"""),"ENTREGADA GINTRACOM")</f>
        <v>ENTREGADA GINTRACOM</v>
      </c>
      <c r="AQ2283" s="65" t="str">
        <f>IFERROR(__xludf.DUMMYFUNCTION("""COMPUTED_VALUE"""),"ENTREGADA GINTRACOM")</f>
        <v>ENTREGADA GINTRACOM</v>
      </c>
      <c r="AR2283" s="65"/>
      <c r="AS2283" s="65"/>
      <c r="AT2283" s="65" t="str">
        <f>IFERROR(__xludf.DUMMYFUNCTION("""COMPUTED_VALUE"""),"SHOPIFY")</f>
        <v>SHOPIFY</v>
      </c>
      <c r="AU2283" s="65" t="str">
        <f>IFERROR(__xludf.DUMMYFUNCTION("""COMPUTED_VALUE"""),"IMPORTEX EC")</f>
        <v>IMPORTEX EC</v>
      </c>
      <c r="AV2283" s="65" t="str">
        <f>IFERROR(__xludf.DUMMYFUNCTION("""COMPUTED_VALUE"""),"6392032034860")</f>
        <v>6392032034860</v>
      </c>
      <c r="AW2283" s="65">
        <f>IFERROR(__xludf.DUMMYFUNCTION("""COMPUTED_VALUE"""),4665.0)</f>
        <v>4665</v>
      </c>
      <c r="AX2283" s="65"/>
      <c r="AY2283" s="65" t="str">
        <f>IFERROR(__xludf.DUMMYFUNCTION("""COMPUTED_VALUE"""),"08/01/2026")</f>
        <v>08/01/2026</v>
      </c>
      <c r="AZ2283" s="65"/>
      <c r="BA2283" s="65"/>
    </row>
    <row r="2284">
      <c r="A2284" s="65" t="str">
        <f>IFERROR(__xludf.DUMMYFUNCTION("""COMPUTED_VALUE"""),"27-03-2026")</f>
        <v>27-03-2026</v>
      </c>
      <c r="B2284" s="65">
        <f>IFERROR(__xludf.DUMMYFUNCTION("""COMPUTED_VALUE"""),4049718.0)</f>
        <v>4049718</v>
      </c>
      <c r="C2284" s="65" t="str">
        <f>IFERROR(__xludf.DUMMYFUNCTION("""COMPUTED_VALUE"""),"22:40")</f>
        <v>22:40</v>
      </c>
      <c r="D2284" s="65" t="str">
        <f>IFERROR(__xludf.DUMMYFUNCTION("""COMPUTED_VALUE"""),"06-01-2026")</f>
        <v>06-01-2026</v>
      </c>
      <c r="E2284" s="65" t="str">
        <f>IFERROR(__xludf.DUMMYFUNCTION("""COMPUTED_VALUE"""),"Milton Armando")</f>
        <v>Milton Armando</v>
      </c>
      <c r="F2284" s="65" t="str">
        <f>IFERROR(__xludf.DUMMYFUNCTION("""COMPUTED_VALUE"""),"992041037")</f>
        <v>992041037</v>
      </c>
      <c r="G2284" s="65"/>
      <c r="H2284" s="65"/>
      <c r="I2284" s="65"/>
      <c r="J2284" s="65" t="str">
        <f>IFERROR(__xludf.DUMMYFUNCTION("""COMPUTED_VALUE"""),"186942567")</f>
        <v>186942567</v>
      </c>
      <c r="K2284" s="65" t="str">
        <f>IFERROR(__xludf.DUMMYFUNCTION("""COMPUTED_VALUE"""),"ENTREGADO")</f>
        <v>ENTREGADO</v>
      </c>
      <c r="L2284" s="65" t="str">
        <f>IFERROR(__xludf.DUMMYFUNCTION("""COMPUTED_VALUE"""),"CON RECAUDO")</f>
        <v>CON RECAUDO</v>
      </c>
      <c r="M2284" s="65" t="str">
        <f>IFERROR(__xludf.DUMMYFUNCTION("""COMPUTED_VALUE"""),"PICHINCHA")</f>
        <v>PICHINCHA</v>
      </c>
      <c r="N2284" s="65" t="str">
        <f>IFERROR(__xludf.DUMMYFUNCTION("""COMPUTED_VALUE"""),"QUITO")</f>
        <v>QUITO</v>
      </c>
      <c r="O2284" s="65" t="str">
        <f>IFERROR(__xludf.DUMMYFUNCTION("""COMPUTED_VALUE"""),"CS: QUITO_QUITUMBE / OE2C S33-05 CALLE QUIPUS")</f>
        <v>CS: QUITO_QUITUMBE / OE2C S33-05 CALLE QUIPUS</v>
      </c>
      <c r="P2284" s="65"/>
      <c r="Q2284" s="65" t="str">
        <f>IFERROR(__xludf.DUMMYFUNCTION("""COMPUTED_VALUE"""),"SERVIENTREGA")</f>
        <v>SERVIENTREGA</v>
      </c>
      <c r="R2284" s="65">
        <f>IFERROR(__xludf.DUMMYFUNCTION("""COMPUTED_VALUE"""),30.0)</f>
        <v>30</v>
      </c>
      <c r="S2284" s="65">
        <f>IFERROR(__xludf.DUMMYFUNCTION("""COMPUTED_VALUE"""),10.11)</f>
        <v>10.11</v>
      </c>
      <c r="T2284" s="65">
        <f>IFERROR(__xludf.DUMMYFUNCTION("""COMPUTED_VALUE"""),4.89)</f>
        <v>4.89</v>
      </c>
      <c r="U2284" s="65">
        <f>IFERROR(__xludf.DUMMYFUNCTION("""COMPUTED_VALUE"""),0.0)</f>
        <v>0</v>
      </c>
      <c r="V2284" s="65">
        <f>IFERROR(__xludf.DUMMYFUNCTION("""COMPUTED_VALUE"""),0.0)</f>
        <v>0</v>
      </c>
      <c r="W2284" s="65">
        <f>IFERROR(__xludf.DUMMYFUNCTION("""COMPUTED_VALUE"""),0.0)</f>
        <v>0</v>
      </c>
      <c r="X2284" s="65">
        <f>IFERROR(__xludf.DUMMYFUNCTION("""COMPUTED_VALUE"""),5.0)</f>
        <v>5</v>
      </c>
      <c r="Y2284" s="65">
        <f>IFERROR(__xludf.DUMMYFUNCTION("""COMPUTED_VALUE"""),15.0)</f>
        <v>15</v>
      </c>
      <c r="Z2284" s="65">
        <f>IFERROR(__xludf.DUMMYFUNCTION("""COMPUTED_VALUE"""),110064.0)</f>
        <v>110064</v>
      </c>
      <c r="AA2284" s="65" t="str">
        <f>IFERROR(__xludf.DUMMYFUNCTION("""COMPUTED_VALUE"""),"IMX-00001")</f>
        <v>IMX-00001</v>
      </c>
      <c r="AB2284" s="65"/>
      <c r="AC2284" s="65" t="str">
        <f>IFERROR(__xludf.DUMMYFUNCTION("""COMPUTED_VALUE"""),"LLAVE TRINQUETE")</f>
        <v>LLAVE TRINQUETE</v>
      </c>
      <c r="AD2284" s="65"/>
      <c r="AE2284" s="65">
        <f>IFERROR(__xludf.DUMMYFUNCTION("""COMPUTED_VALUE"""),3.0)</f>
        <v>3</v>
      </c>
      <c r="AF2284" s="65"/>
      <c r="AG2284" s="65"/>
      <c r="AH2284" s="65"/>
      <c r="AI2284" s="65"/>
      <c r="AJ2284" s="65"/>
      <c r="AK2284" s="65"/>
      <c r="AL2284" s="65"/>
      <c r="AM2284" s="65"/>
      <c r="AN2284" s="65" t="str">
        <f>IFERROR(__xludf.DUMMYFUNCTION("""COMPUTED_VALUE"""),"16:08")</f>
        <v>16:08</v>
      </c>
      <c r="AO2284" s="65" t="str">
        <f>IFERROR(__xludf.DUMMYFUNCTION("""COMPUTED_VALUE"""),"12-01-2026")</f>
        <v>12-01-2026</v>
      </c>
      <c r="AP2284" s="65" t="str">
        <f>IFERROR(__xludf.DUMMYFUNCTION("""COMPUTED_VALUE"""),"REPORTADO ENTREGADO EN AGENCIA")</f>
        <v>REPORTADO ENTREGADO EN AGENCIA</v>
      </c>
      <c r="AQ2284" s="65" t="str">
        <f>IFERROR(__xludf.DUMMYFUNCTION("""COMPUTED_VALUE"""),"MILTON ARMANDO")</f>
        <v>MILTON ARMANDO</v>
      </c>
      <c r="AR2284" s="65"/>
      <c r="AS2284" s="65" t="str">
        <f>IFERROR(__xludf.DUMMYFUNCTION("""COMPUTED_VALUE"""),"Bayron Gomez")</f>
        <v>Bayron Gomez</v>
      </c>
      <c r="AT2284" s="65"/>
      <c r="AU2284" s="65"/>
      <c r="AV2284" s="65"/>
      <c r="AW2284" s="65"/>
      <c r="AX2284" s="65"/>
      <c r="AY2284" s="65" t="str">
        <f>IFERROR(__xludf.DUMMYFUNCTION("""COMPUTED_VALUE"""),"08/01/2026")</f>
        <v>08/01/2026</v>
      </c>
      <c r="AZ2284" s="65"/>
      <c r="BA2284" s="65"/>
    </row>
    <row r="2285">
      <c r="A2285" s="65" t="str">
        <f>IFERROR(__xludf.DUMMYFUNCTION("""COMPUTED_VALUE"""),"27-03-2026")</f>
        <v>27-03-2026</v>
      </c>
      <c r="B2285" s="65">
        <f>IFERROR(__xludf.DUMMYFUNCTION("""COMPUTED_VALUE"""),4048651.0)</f>
        <v>4048651</v>
      </c>
      <c r="C2285" s="65" t="str">
        <f>IFERROR(__xludf.DUMMYFUNCTION("""COMPUTED_VALUE"""),"21:15")</f>
        <v>21:15</v>
      </c>
      <c r="D2285" s="65" t="str">
        <f>IFERROR(__xludf.DUMMYFUNCTION("""COMPUTED_VALUE"""),"06-01-2026")</f>
        <v>06-01-2026</v>
      </c>
      <c r="E2285" s="65" t="str">
        <f>IFERROR(__xludf.DUMMYFUNCTION("""COMPUTED_VALUE"""),"Victor arguello Arguello")</f>
        <v>Victor arguello Arguello</v>
      </c>
      <c r="F2285" s="65" t="str">
        <f>IFERROR(__xludf.DUMMYFUNCTION("""COMPUTED_VALUE"""),"992673821")</f>
        <v>992673821</v>
      </c>
      <c r="G2285" s="65" t="str">
        <f>IFERROR(__xludf.DUMMYFUNCTION("""COMPUTED_VALUE"""),"victor_arguello@hotmail.es")</f>
        <v>victor_arguello@hotmail.es</v>
      </c>
      <c r="H2285" s="65"/>
      <c r="I2285" s="65"/>
      <c r="J2285" s="65" t="str">
        <f>IFERROR(__xludf.DUMMYFUNCTION("""COMPUTED_VALUE"""),"D001202893")</f>
        <v>D001202893</v>
      </c>
      <c r="K2285" s="65" t="str">
        <f>IFERROR(__xludf.DUMMYFUNCTION("""COMPUTED_VALUE"""),"ENTREGADO")</f>
        <v>ENTREGADO</v>
      </c>
      <c r="L2285" s="65" t="str">
        <f>IFERROR(__xludf.DUMMYFUNCTION("""COMPUTED_VALUE"""),"CON RECAUDO")</f>
        <v>CON RECAUDO</v>
      </c>
      <c r="M2285" s="65" t="str">
        <f>IFERROR(__xludf.DUMMYFUNCTION("""COMPUTED_VALUE"""),"PASTAZA")</f>
        <v>PASTAZA</v>
      </c>
      <c r="N2285" s="65" t="str">
        <f>IFERROR(__xludf.DUMMYFUNCTION("""COMPUTED_VALUE"""),"PUYO")</f>
        <v>PUYO</v>
      </c>
      <c r="O2285" s="65" t="str">
        <f>IFERROR(__xludf.DUMMYFUNCTION("""COMPUTED_VALUE"""),"Sector Puyo - Av. Ceslao Marín y Calle Juan de Velasco, Esquina")</f>
        <v>Sector Puyo - Av. Ceslao Marín y Calle Juan de Velasco, Esquina</v>
      </c>
      <c r="P2285" s="65"/>
      <c r="Q2285" s="65" t="str">
        <f>IFERROR(__xludf.DUMMYFUNCTION("""COMPUTED_VALUE"""),"GINTRACOM")</f>
        <v>GINTRACOM</v>
      </c>
      <c r="R2285" s="65">
        <f>IFERROR(__xludf.DUMMYFUNCTION("""COMPUTED_VALUE"""),30.0)</f>
        <v>30</v>
      </c>
      <c r="S2285" s="65">
        <f>IFERROR(__xludf.DUMMYFUNCTION("""COMPUTED_VALUE"""),15.47)</f>
        <v>15.47</v>
      </c>
      <c r="T2285" s="65">
        <f>IFERROR(__xludf.DUMMYFUNCTION("""COMPUTED_VALUE"""),6.16)</f>
        <v>6.16</v>
      </c>
      <c r="U2285" s="65">
        <f>IFERROR(__xludf.DUMMYFUNCTION("""COMPUTED_VALUE"""),0.0)</f>
        <v>0</v>
      </c>
      <c r="V2285" s="65">
        <f>IFERROR(__xludf.DUMMYFUNCTION("""COMPUTED_VALUE"""),0.0)</f>
        <v>0</v>
      </c>
      <c r="W2285" s="65">
        <f>IFERROR(__xludf.DUMMYFUNCTION("""COMPUTED_VALUE"""),0.0)</f>
        <v>0</v>
      </c>
      <c r="X2285" s="65">
        <f>IFERROR(__xludf.DUMMYFUNCTION("""COMPUTED_VALUE"""),2.79)</f>
        <v>2.79</v>
      </c>
      <c r="Y2285" s="65">
        <f>IFERROR(__xludf.DUMMYFUNCTION("""COMPUTED_VALUE"""),8.37)</f>
        <v>8.37</v>
      </c>
      <c r="Z2285" s="65">
        <f>IFERROR(__xludf.DUMMYFUNCTION("""COMPUTED_VALUE"""),120732.0)</f>
        <v>120732</v>
      </c>
      <c r="AA2285" s="65" t="str">
        <f>IFERROR(__xludf.DUMMYFUNCTION("""COMPUTED_VALUE"""),"PROV-LMPVT")</f>
        <v>PROV-LMPVT</v>
      </c>
      <c r="AB2285" s="65"/>
      <c r="AC2285" s="65" t="str">
        <f>IFERROR(__xludf.DUMMYFUNCTION("""COMPUTED_VALUE"""),"LIMPIADOR DE PARABRISAS Y VENTANAS")</f>
        <v>LIMPIADOR DE PARABRISAS Y VENTANAS</v>
      </c>
      <c r="AD2285" s="65"/>
      <c r="AE2285" s="65">
        <f>IFERROR(__xludf.DUMMYFUNCTION("""COMPUTED_VALUE"""),3.0)</f>
        <v>3</v>
      </c>
      <c r="AF2285" s="65" t="str">
        <f>IFERROR(__xludf.DUMMYFUNCTION("""COMPUTED_VALUE"""),"DESTINATARIO NO CONTESTA LLAMADAS NI WHATSAPP")</f>
        <v>DESTINATARIO NO CONTESTA LLAMADAS NI WHATSAPP</v>
      </c>
      <c r="AG2285" s="65" t="str">
        <f>IFERROR(__xludf.DUMMYFUNCTION("""COMPUTED_VALUE"""),"NO")</f>
        <v>NO</v>
      </c>
      <c r="AH2285" s="65" t="str">
        <f>IFERROR(__xludf.DUMMYFUNCTION("""COMPUTED_VALUE"""),"15:19")</f>
        <v>15:19</v>
      </c>
      <c r="AI2285" s="65" t="str">
        <f>IFERROR(__xludf.DUMMYFUNCTION("""COMPUTED_VALUE"""),"11-01-2026")</f>
        <v>11-01-2026</v>
      </c>
      <c r="AJ2285" s="65"/>
      <c r="AK2285" s="65"/>
      <c r="AL2285" s="65"/>
      <c r="AM2285" s="65"/>
      <c r="AN2285" s="65" t="str">
        <f>IFERROR(__xludf.DUMMYFUNCTION("""COMPUTED_VALUE"""),"14:00")</f>
        <v>14:00</v>
      </c>
      <c r="AO2285" s="65" t="str">
        <f>IFERROR(__xludf.DUMMYFUNCTION("""COMPUTED_VALUE"""),"13-01-2026")</f>
        <v>13-01-2026</v>
      </c>
      <c r="AP2285" s="65" t="str">
        <f>IFERROR(__xludf.DUMMYFUNCTION("""COMPUTED_VALUE"""),"ENTREGADA GINTRACOM")</f>
        <v>ENTREGADA GINTRACOM</v>
      </c>
      <c r="AQ2285" s="65" t="str">
        <f>IFERROR(__xludf.DUMMYFUNCTION("""COMPUTED_VALUE"""),"ENTREGADA GINTRACOM")</f>
        <v>ENTREGADA GINTRACOM</v>
      </c>
      <c r="AR2285" s="65"/>
      <c r="AS2285" s="65"/>
      <c r="AT2285" s="65" t="str">
        <f>IFERROR(__xludf.DUMMYFUNCTION("""COMPUTED_VALUE"""),"SHOPIFY")</f>
        <v>SHOPIFY</v>
      </c>
      <c r="AU2285" s="65" t="str">
        <f>IFERROR(__xludf.DUMMYFUNCTION("""COMPUTED_VALUE"""),"IMPORTEX EC")</f>
        <v>IMPORTEX EC</v>
      </c>
      <c r="AV2285" s="65" t="str">
        <f>IFERROR(__xludf.DUMMYFUNCTION("""COMPUTED_VALUE"""),"6395129757740")</f>
        <v>6395129757740</v>
      </c>
      <c r="AW2285" s="65">
        <f>IFERROR(__xludf.DUMMYFUNCTION("""COMPUTED_VALUE"""),4710.0)</f>
        <v>4710</v>
      </c>
      <c r="AX2285" s="65"/>
      <c r="AY2285" s="65" t="str">
        <f>IFERROR(__xludf.DUMMYFUNCTION("""COMPUTED_VALUE"""),"08/01/2026")</f>
        <v>08/01/2026</v>
      </c>
      <c r="AZ2285" s="65"/>
      <c r="BA2285" s="65"/>
    </row>
    <row r="2286">
      <c r="A2286" s="65" t="str">
        <f>IFERROR(__xludf.DUMMYFUNCTION("""COMPUTED_VALUE"""),"27-03-2026")</f>
        <v>27-03-2026</v>
      </c>
      <c r="B2286" s="65">
        <f>IFERROR(__xludf.DUMMYFUNCTION("""COMPUTED_VALUE"""),4048599.0)</f>
        <v>4048599</v>
      </c>
      <c r="C2286" s="65" t="str">
        <f>IFERROR(__xludf.DUMMYFUNCTION("""COMPUTED_VALUE"""),"21:12")</f>
        <v>21:12</v>
      </c>
      <c r="D2286" s="65" t="str">
        <f>IFERROR(__xludf.DUMMYFUNCTION("""COMPUTED_VALUE"""),"06-01-2026")</f>
        <v>06-01-2026</v>
      </c>
      <c r="E2286" s="65" t="str">
        <f>IFERROR(__xludf.DUMMYFUNCTION("""COMPUTED_VALUE"""),"GUSTAVO Luna")</f>
        <v>GUSTAVO Luna</v>
      </c>
      <c r="F2286" s="65" t="str">
        <f>IFERROR(__xludf.DUMMYFUNCTION("""COMPUTED_VALUE"""),"990770865")</f>
        <v>990770865</v>
      </c>
      <c r="G2286" s="65" t="str">
        <f>IFERROR(__xludf.DUMMYFUNCTION("""COMPUTED_VALUE"""),"tavoluna88@gmail.com")</f>
        <v>tavoluna88@gmail.com</v>
      </c>
      <c r="H2286" s="65"/>
      <c r="I2286" s="65"/>
      <c r="J2286" s="65" t="str">
        <f>IFERROR(__xludf.DUMMYFUNCTION("""COMPUTED_VALUE"""),"186939949")</f>
        <v>186939949</v>
      </c>
      <c r="K2286" s="65" t="str">
        <f>IFERROR(__xludf.DUMMYFUNCTION("""COMPUTED_VALUE"""),"DEVOLUCION")</f>
        <v>DEVOLUCION</v>
      </c>
      <c r="L2286" s="65" t="str">
        <f>IFERROR(__xludf.DUMMYFUNCTION("""COMPUTED_VALUE"""),"CON RECAUDO")</f>
        <v>CON RECAUDO</v>
      </c>
      <c r="M2286" s="65" t="str">
        <f>IFERROR(__xludf.DUMMYFUNCTION("""COMPUTED_VALUE"""),"GUAYAS")</f>
        <v>GUAYAS</v>
      </c>
      <c r="N2286" s="65" t="str">
        <f>IFERROR(__xludf.DUMMYFUNCTION("""COMPUTED_VALUE"""),"BALZAR")</f>
        <v>BALZAR</v>
      </c>
      <c r="O2286" s="65" t="str">
        <f>IFERROR(__xludf.DUMMYFUNCTION("""COMPUTED_VALUE"""),"Av. Del Estudiante y 27 de Marzo Balzar SPORT -")</f>
        <v>Av. Del Estudiante y 27 de Marzo Balzar SPORT -</v>
      </c>
      <c r="P2286" s="65"/>
      <c r="Q2286" s="65" t="str">
        <f>IFERROR(__xludf.DUMMYFUNCTION("""COMPUTED_VALUE"""),"SERVIENTREGA")</f>
        <v>SERVIENTREGA</v>
      </c>
      <c r="R2286" s="65">
        <f>IFERROR(__xludf.DUMMYFUNCTION("""COMPUTED_VALUE"""),25.0)</f>
        <v>25</v>
      </c>
      <c r="S2286" s="65"/>
      <c r="T2286" s="65">
        <f>IFERROR(__xludf.DUMMYFUNCTION("""COMPUTED_VALUE"""),7.75)</f>
        <v>7.75</v>
      </c>
      <c r="U2286" s="65">
        <f>IFERROR(__xludf.DUMMYFUNCTION("""COMPUTED_VALUE"""),0.0)</f>
        <v>0</v>
      </c>
      <c r="V2286" s="65">
        <f>IFERROR(__xludf.DUMMYFUNCTION("""COMPUTED_VALUE"""),0.0)</f>
        <v>0</v>
      </c>
      <c r="W2286" s="65">
        <f>IFERROR(__xludf.DUMMYFUNCTION("""COMPUTED_VALUE"""),0.0)</f>
        <v>0</v>
      </c>
      <c r="X2286" s="65">
        <f>IFERROR(__xludf.DUMMYFUNCTION("""COMPUTED_VALUE"""),2.79)</f>
        <v>2.79</v>
      </c>
      <c r="Y2286" s="65">
        <f>IFERROR(__xludf.DUMMYFUNCTION("""COMPUTED_VALUE"""),5.58)</f>
        <v>5.58</v>
      </c>
      <c r="Z2286" s="65">
        <f>IFERROR(__xludf.DUMMYFUNCTION("""COMPUTED_VALUE"""),120732.0)</f>
        <v>120732</v>
      </c>
      <c r="AA2286" s="65" t="str">
        <f>IFERROR(__xludf.DUMMYFUNCTION("""COMPUTED_VALUE"""),"PROV-LMPVT")</f>
        <v>PROV-LMPVT</v>
      </c>
      <c r="AB2286" s="65"/>
      <c r="AC2286" s="65" t="str">
        <f>IFERROR(__xludf.DUMMYFUNCTION("""COMPUTED_VALUE"""),"LIMPIADOR DE PARABRISAS Y VENTANAS")</f>
        <v>LIMPIADOR DE PARABRISAS Y VENTANAS</v>
      </c>
      <c r="AD2286" s="65"/>
      <c r="AE2286" s="65">
        <f>IFERROR(__xludf.DUMMYFUNCTION("""COMPUTED_VALUE"""),2.0)</f>
        <v>2</v>
      </c>
      <c r="AF2286" s="65" t="str">
        <f>IFERROR(__xludf.DUMMYFUNCTION("""COMPUTED_VALUE"""),"DEVOLUCION AL REMITENTE")</f>
        <v>DEVOLUCION AL REMITENTE</v>
      </c>
      <c r="AG2286" s="65" t="str">
        <f>IFERROR(__xludf.DUMMYFUNCTION("""COMPUTED_VALUE"""),"NO")</f>
        <v>NO</v>
      </c>
      <c r="AH2286" s="65" t="str">
        <f>IFERROR(__xludf.DUMMYFUNCTION("""COMPUTED_VALUE"""),"14:13")</f>
        <v>14:13</v>
      </c>
      <c r="AI2286" s="65" t="str">
        <f>IFERROR(__xludf.DUMMYFUNCTION("""COMPUTED_VALUE"""),"19-01-2026")</f>
        <v>19-01-2026</v>
      </c>
      <c r="AJ2286" s="65"/>
      <c r="AK2286" s="65"/>
      <c r="AL2286" s="65"/>
      <c r="AM2286" s="65"/>
      <c r="AN2286" s="65" t="str">
        <f>IFERROR(__xludf.DUMMYFUNCTION("""COMPUTED_VALUE"""),"10:15")</f>
        <v>10:15</v>
      </c>
      <c r="AO2286" s="65" t="str">
        <f>IFERROR(__xludf.DUMMYFUNCTION("""COMPUTED_VALUE"""),"23-01-2026")</f>
        <v>23-01-2026</v>
      </c>
      <c r="AP2286" s="65" t="str">
        <f>IFERROR(__xludf.DUMMYFUNCTION("""COMPUTED_VALUE"""),"DEVOLUCION AL REMITENTE")</f>
        <v>DEVOLUCION AL REMITENTE</v>
      </c>
      <c r="AQ2286" s="65" t="str">
        <f>IFERROR(__xludf.DUMMYFUNCTION("""COMPUTED_VALUE"""),"{}")</f>
        <v>{}</v>
      </c>
      <c r="AR2286" s="65"/>
      <c r="AS2286" s="65"/>
      <c r="AT2286" s="65" t="str">
        <f>IFERROR(__xludf.DUMMYFUNCTION("""COMPUTED_VALUE"""),"SHOPIFY")</f>
        <v>SHOPIFY</v>
      </c>
      <c r="AU2286" s="65" t="str">
        <f>IFERROR(__xludf.DUMMYFUNCTION("""COMPUTED_VALUE"""),"IMPORTEX EC")</f>
        <v>IMPORTEX EC</v>
      </c>
      <c r="AV2286" s="65" t="str">
        <f>IFERROR(__xludf.DUMMYFUNCTION("""COMPUTED_VALUE"""),"6395120549932")</f>
        <v>6395120549932</v>
      </c>
      <c r="AW2286" s="65">
        <f>IFERROR(__xludf.DUMMYFUNCTION("""COMPUTED_VALUE"""),4708.0)</f>
        <v>4708</v>
      </c>
      <c r="AX2286" s="65"/>
      <c r="AY2286" s="65" t="str">
        <f>IFERROR(__xludf.DUMMYFUNCTION("""COMPUTED_VALUE"""),"07/01/2026")</f>
        <v>07/01/2026</v>
      </c>
      <c r="AZ2286" s="65"/>
      <c r="BA2286" s="65"/>
    </row>
    <row r="2287">
      <c r="A2287" s="65" t="str">
        <f>IFERROR(__xludf.DUMMYFUNCTION("""COMPUTED_VALUE"""),"27-03-2026")</f>
        <v>27-03-2026</v>
      </c>
      <c r="B2287" s="65">
        <f>IFERROR(__xludf.DUMMYFUNCTION("""COMPUTED_VALUE"""),4046403.0)</f>
        <v>4046403</v>
      </c>
      <c r="C2287" s="65" t="str">
        <f>IFERROR(__xludf.DUMMYFUNCTION("""COMPUTED_VALUE"""),"17:25")</f>
        <v>17:25</v>
      </c>
      <c r="D2287" s="65" t="str">
        <f>IFERROR(__xludf.DUMMYFUNCTION("""COMPUTED_VALUE"""),"06-01-2026")</f>
        <v>06-01-2026</v>
      </c>
      <c r="E2287" s="65" t="str">
        <f>IFERROR(__xludf.DUMMYFUNCTION("""COMPUTED_VALUE"""),"Marco antonio Alvarado roman")</f>
        <v>Marco antonio Alvarado roman</v>
      </c>
      <c r="F2287" s="65" t="str">
        <f>IFERROR(__xludf.DUMMYFUNCTION("""COMPUTED_VALUE"""),"986207947")</f>
        <v>986207947</v>
      </c>
      <c r="G2287" s="65" t="str">
        <f>IFERROR(__xludf.DUMMYFUNCTION("""COMPUTED_VALUE"""),"marcoalvarado2701@hotmai.com")</f>
        <v>marcoalvarado2701@hotmai.com</v>
      </c>
      <c r="H2287" s="65"/>
      <c r="I2287" s="65"/>
      <c r="J2287" s="65" t="str">
        <f>IFERROR(__xludf.DUMMYFUNCTION("""COMPUTED_VALUE"""),"D001201356")</f>
        <v>D001201356</v>
      </c>
      <c r="K2287" s="65" t="str">
        <f>IFERROR(__xludf.DUMMYFUNCTION("""COMPUTED_VALUE"""),"ENTREGADO")</f>
        <v>ENTREGADO</v>
      </c>
      <c r="L2287" s="65" t="str">
        <f>IFERROR(__xludf.DUMMYFUNCTION("""COMPUTED_VALUE"""),"CON RECAUDO")</f>
        <v>CON RECAUDO</v>
      </c>
      <c r="M2287" s="65" t="str">
        <f>IFERROR(__xludf.DUMMYFUNCTION("""COMPUTED_VALUE"""),"PICHINCHA")</f>
        <v>PICHINCHA</v>
      </c>
      <c r="N2287" s="65" t="str">
        <f>IFERROR(__xludf.DUMMYFUNCTION("""COMPUTED_VALUE"""),"QUITO")</f>
        <v>QUITO</v>
      </c>
      <c r="O2287" s="65" t="str">
        <f>IFERROR(__xludf.DUMMYFUNCTION("""COMPUTED_VALUE"""),"Matías Bigo S10 29 y José Azañero")</f>
        <v>Matías Bigo S10 29 y José Azañero</v>
      </c>
      <c r="P2287" s="65"/>
      <c r="Q2287" s="65" t="str">
        <f>IFERROR(__xludf.DUMMYFUNCTION("""COMPUTED_VALUE"""),"GINTRACOM")</f>
        <v>GINTRACOM</v>
      </c>
      <c r="R2287" s="65">
        <f>IFERROR(__xludf.DUMMYFUNCTION("""COMPUTED_VALUE"""),30.0)</f>
        <v>30</v>
      </c>
      <c r="S2287" s="65">
        <f>IFERROR(__xludf.DUMMYFUNCTION("""COMPUTED_VALUE"""),15.47)</f>
        <v>15.47</v>
      </c>
      <c r="T2287" s="65">
        <f>IFERROR(__xludf.DUMMYFUNCTION("""COMPUTED_VALUE"""),6.16)</f>
        <v>6.16</v>
      </c>
      <c r="U2287" s="65">
        <f>IFERROR(__xludf.DUMMYFUNCTION("""COMPUTED_VALUE"""),0.0)</f>
        <v>0</v>
      </c>
      <c r="V2287" s="65">
        <f>IFERROR(__xludf.DUMMYFUNCTION("""COMPUTED_VALUE"""),0.0)</f>
        <v>0</v>
      </c>
      <c r="W2287" s="65">
        <f>IFERROR(__xludf.DUMMYFUNCTION("""COMPUTED_VALUE"""),0.0)</f>
        <v>0</v>
      </c>
      <c r="X2287" s="65">
        <f>IFERROR(__xludf.DUMMYFUNCTION("""COMPUTED_VALUE"""),2.79)</f>
        <v>2.79</v>
      </c>
      <c r="Y2287" s="65">
        <f>IFERROR(__xludf.DUMMYFUNCTION("""COMPUTED_VALUE"""),8.37)</f>
        <v>8.37</v>
      </c>
      <c r="Z2287" s="65">
        <f>IFERROR(__xludf.DUMMYFUNCTION("""COMPUTED_VALUE"""),120732.0)</f>
        <v>120732</v>
      </c>
      <c r="AA2287" s="65" t="str">
        <f>IFERROR(__xludf.DUMMYFUNCTION("""COMPUTED_VALUE"""),"PROV-LMPVT")</f>
        <v>PROV-LMPVT</v>
      </c>
      <c r="AB2287" s="65"/>
      <c r="AC2287" s="65" t="str">
        <f>IFERROR(__xludf.DUMMYFUNCTION("""COMPUTED_VALUE"""),"LIMPIADOR DE PARABRISAS Y VENTANAS")</f>
        <v>LIMPIADOR DE PARABRISAS Y VENTANAS</v>
      </c>
      <c r="AD2287" s="65"/>
      <c r="AE2287" s="65">
        <f>IFERROR(__xludf.DUMMYFUNCTION("""COMPUTED_VALUE"""),3.0)</f>
        <v>3</v>
      </c>
      <c r="AF2287" s="65"/>
      <c r="AG2287" s="65"/>
      <c r="AH2287" s="65"/>
      <c r="AI2287" s="65"/>
      <c r="AJ2287" s="65"/>
      <c r="AK2287" s="65"/>
      <c r="AL2287" s="65"/>
      <c r="AM2287" s="65"/>
      <c r="AN2287" s="65" t="str">
        <f>IFERROR(__xludf.DUMMYFUNCTION("""COMPUTED_VALUE"""),"16:14")</f>
        <v>16:14</v>
      </c>
      <c r="AO2287" s="65" t="str">
        <f>IFERROR(__xludf.DUMMYFUNCTION("""COMPUTED_VALUE"""),"09-01-2026")</f>
        <v>09-01-2026</v>
      </c>
      <c r="AP2287" s="65" t="str">
        <f>IFERROR(__xludf.DUMMYFUNCTION("""COMPUTED_VALUE"""),"ENTREGADA GINTRACOM")</f>
        <v>ENTREGADA GINTRACOM</v>
      </c>
      <c r="AQ2287" s="65" t="str">
        <f>IFERROR(__xludf.DUMMYFUNCTION("""COMPUTED_VALUE"""),"ENTREGADA GINTRACOM")</f>
        <v>ENTREGADA GINTRACOM</v>
      </c>
      <c r="AR2287" s="65"/>
      <c r="AS2287" s="65"/>
      <c r="AT2287" s="65" t="str">
        <f>IFERROR(__xludf.DUMMYFUNCTION("""COMPUTED_VALUE"""),"SHOPIFY")</f>
        <v>SHOPIFY</v>
      </c>
      <c r="AU2287" s="65" t="str">
        <f>IFERROR(__xludf.DUMMYFUNCTION("""COMPUTED_VALUE"""),"IMPORTEX EC")</f>
        <v>IMPORTEX EC</v>
      </c>
      <c r="AV2287" s="65" t="str">
        <f>IFERROR(__xludf.DUMMYFUNCTION("""COMPUTED_VALUE"""),"6394722385964")</f>
        <v>6394722385964</v>
      </c>
      <c r="AW2287" s="65">
        <f>IFERROR(__xludf.DUMMYFUNCTION("""COMPUTED_VALUE"""),4702.0)</f>
        <v>4702</v>
      </c>
      <c r="AX2287" s="65"/>
      <c r="AY2287" s="65" t="str">
        <f>IFERROR(__xludf.DUMMYFUNCTION("""COMPUTED_VALUE"""),"08/01/2026")</f>
        <v>08/01/2026</v>
      </c>
      <c r="AZ2287" s="65"/>
      <c r="BA2287" s="65"/>
    </row>
    <row r="2288">
      <c r="A2288" s="65" t="str">
        <f>IFERROR(__xludf.DUMMYFUNCTION("""COMPUTED_VALUE"""),"27-03-2026")</f>
        <v>27-03-2026</v>
      </c>
      <c r="B2288" s="65">
        <f>IFERROR(__xludf.DUMMYFUNCTION("""COMPUTED_VALUE"""),4046351.0)</f>
        <v>4046351</v>
      </c>
      <c r="C2288" s="65" t="str">
        <f>IFERROR(__xludf.DUMMYFUNCTION("""COMPUTED_VALUE"""),"17:20")</f>
        <v>17:20</v>
      </c>
      <c r="D2288" s="65" t="str">
        <f>IFERROR(__xludf.DUMMYFUNCTION("""COMPUTED_VALUE"""),"06-01-2026")</f>
        <v>06-01-2026</v>
      </c>
      <c r="E2288" s="65" t="str">
        <f>IFERROR(__xludf.DUMMYFUNCTION("""COMPUTED_VALUE"""),"rolando Castro Alvarado")</f>
        <v>rolando Castro Alvarado</v>
      </c>
      <c r="F2288" s="65" t="str">
        <f>IFERROR(__xludf.DUMMYFUNCTION("""COMPUTED_VALUE"""),"996223100")</f>
        <v>996223100</v>
      </c>
      <c r="G2288" s="65" t="str">
        <f>IFERROR(__xludf.DUMMYFUNCTION("""COMPUTED_VALUE"""),"rolandc1979@hotmail.com")</f>
        <v>rolandc1979@hotmail.com</v>
      </c>
      <c r="H2288" s="65"/>
      <c r="I2288" s="65"/>
      <c r="J2288" s="65"/>
      <c r="K2288" s="65" t="str">
        <f>IFERROR(__xludf.DUMMYFUNCTION("""COMPUTED_VALUE"""),"CANCELADO")</f>
        <v>CANCELADO</v>
      </c>
      <c r="L2288" s="65" t="str">
        <f>IFERROR(__xludf.DUMMYFUNCTION("""COMPUTED_VALUE"""),"CON RECAUDO")</f>
        <v>CON RECAUDO</v>
      </c>
      <c r="M2288" s="65" t="str">
        <f>IFERROR(__xludf.DUMMYFUNCTION("""COMPUTED_VALUE"""),"GUAYAS")</f>
        <v>GUAYAS</v>
      </c>
      <c r="N2288" s="65" t="str">
        <f>IFERROR(__xludf.DUMMYFUNCTION("""COMPUTED_VALUE"""),"EL EMPALME")</f>
        <v>EL EMPALME</v>
      </c>
      <c r="O2288" s="65" t="str">
        <f>IFERROR(__xludf.DUMMYFUNCTION("""COMPUTED_VALUE"""),"Servientrega Servientrega -")</f>
        <v>Servientrega Servientrega -</v>
      </c>
      <c r="P2288" s="65"/>
      <c r="Q2288" s="65" t="str">
        <f>IFERROR(__xludf.DUMMYFUNCTION("""COMPUTED_VALUE"""),"GINTRACOM")</f>
        <v>GINTRACOM</v>
      </c>
      <c r="R2288" s="65">
        <f>IFERROR(__xludf.DUMMYFUNCTION("""COMPUTED_VALUE"""),30.0)</f>
        <v>30</v>
      </c>
      <c r="S2288" s="65"/>
      <c r="T2288" s="65">
        <f>IFERROR(__xludf.DUMMYFUNCTION("""COMPUTED_VALUE"""),6.16)</f>
        <v>6.16</v>
      </c>
      <c r="U2288" s="65">
        <f>IFERROR(__xludf.DUMMYFUNCTION("""COMPUTED_VALUE"""),0.0)</f>
        <v>0</v>
      </c>
      <c r="V2288" s="65">
        <f>IFERROR(__xludf.DUMMYFUNCTION("""COMPUTED_VALUE"""),0.0)</f>
        <v>0</v>
      </c>
      <c r="W2288" s="65">
        <f>IFERROR(__xludf.DUMMYFUNCTION("""COMPUTED_VALUE"""),0.0)</f>
        <v>0</v>
      </c>
      <c r="X2288" s="65">
        <f>IFERROR(__xludf.DUMMYFUNCTION("""COMPUTED_VALUE"""),2.79)</f>
        <v>2.79</v>
      </c>
      <c r="Y2288" s="65">
        <f>IFERROR(__xludf.DUMMYFUNCTION("""COMPUTED_VALUE"""),8.37)</f>
        <v>8.37</v>
      </c>
      <c r="Z2288" s="65">
        <f>IFERROR(__xludf.DUMMYFUNCTION("""COMPUTED_VALUE"""),120732.0)</f>
        <v>120732</v>
      </c>
      <c r="AA2288" s="65" t="str">
        <f>IFERROR(__xludf.DUMMYFUNCTION("""COMPUTED_VALUE"""),"PROV-LMPVT")</f>
        <v>PROV-LMPVT</v>
      </c>
      <c r="AB2288" s="65"/>
      <c r="AC2288" s="65" t="str">
        <f>IFERROR(__xludf.DUMMYFUNCTION("""COMPUTED_VALUE"""),"LIMPIADOR DE PARABRISAS Y VENTANAS")</f>
        <v>LIMPIADOR DE PARABRISAS Y VENTANAS</v>
      </c>
      <c r="AD2288" s="65"/>
      <c r="AE2288" s="65">
        <f>IFERROR(__xludf.DUMMYFUNCTION("""COMPUTED_VALUE"""),3.0)</f>
        <v>3</v>
      </c>
      <c r="AF2288" s="65"/>
      <c r="AG2288" s="65"/>
      <c r="AH2288" s="65"/>
      <c r="AI2288" s="65"/>
      <c r="AJ2288" s="65"/>
      <c r="AK2288" s="65"/>
      <c r="AL2288" s="65"/>
      <c r="AM2288" s="65"/>
      <c r="AN2288" s="65"/>
      <c r="AO2288" s="65"/>
      <c r="AP2288" s="65"/>
      <c r="AQ2288" s="65"/>
      <c r="AR2288" s="65"/>
      <c r="AS2288" s="65"/>
      <c r="AT2288" s="65" t="str">
        <f>IFERROR(__xludf.DUMMYFUNCTION("""COMPUTED_VALUE"""),"SHOPIFY")</f>
        <v>SHOPIFY</v>
      </c>
      <c r="AU2288" s="65" t="str">
        <f>IFERROR(__xludf.DUMMYFUNCTION("""COMPUTED_VALUE"""),"IMPORTEX EC")</f>
        <v>IMPORTEX EC</v>
      </c>
      <c r="AV2288" s="65" t="str">
        <f>IFERROR(__xludf.DUMMYFUNCTION("""COMPUTED_VALUE"""),"6394716749868")</f>
        <v>6394716749868</v>
      </c>
      <c r="AW2288" s="65">
        <f>IFERROR(__xludf.DUMMYFUNCTION("""COMPUTED_VALUE"""),4701.0)</f>
        <v>4701</v>
      </c>
      <c r="AX2288" s="65"/>
      <c r="AY2288" s="65"/>
      <c r="AZ2288" s="65"/>
      <c r="BA2288" s="65"/>
    </row>
    <row r="2289">
      <c r="A2289" s="65" t="str">
        <f>IFERROR(__xludf.DUMMYFUNCTION("""COMPUTED_VALUE"""),"27-03-2026")</f>
        <v>27-03-2026</v>
      </c>
      <c r="B2289" s="65">
        <f>IFERROR(__xludf.DUMMYFUNCTION("""COMPUTED_VALUE"""),4046238.0)</f>
        <v>4046238</v>
      </c>
      <c r="C2289" s="65" t="str">
        <f>IFERROR(__xludf.DUMMYFUNCTION("""COMPUTED_VALUE"""),"17:10")</f>
        <v>17:10</v>
      </c>
      <c r="D2289" s="65" t="str">
        <f>IFERROR(__xludf.DUMMYFUNCTION("""COMPUTED_VALUE"""),"06-01-2026")</f>
        <v>06-01-2026</v>
      </c>
      <c r="E2289" s="65" t="str">
        <f>IFERROR(__xludf.DUMMYFUNCTION("""COMPUTED_VALUE"""),"Antonio García")</f>
        <v>Antonio García</v>
      </c>
      <c r="F2289" s="65" t="str">
        <f>IFERROR(__xludf.DUMMYFUNCTION("""COMPUTED_VALUE"""),"990971692")</f>
        <v>990971692</v>
      </c>
      <c r="G2289" s="65" t="str">
        <f>IFERROR(__xludf.DUMMYFUNCTION("""COMPUTED_VALUE"""),"toninhogarciaduque@hotmail.com")</f>
        <v>toninhogarciaduque@hotmail.com</v>
      </c>
      <c r="H2289" s="65"/>
      <c r="I2289" s="65"/>
      <c r="J2289" s="65" t="str">
        <f>IFERROR(__xludf.DUMMYFUNCTION("""COMPUTED_VALUE"""),"D001197663")</f>
        <v>D001197663</v>
      </c>
      <c r="K2289" s="65" t="str">
        <f>IFERROR(__xludf.DUMMYFUNCTION("""COMPUTED_VALUE"""),"ENTREGADO")</f>
        <v>ENTREGADO</v>
      </c>
      <c r="L2289" s="65" t="str">
        <f>IFERROR(__xludf.DUMMYFUNCTION("""COMPUTED_VALUE"""),"CON RECAUDO")</f>
        <v>CON RECAUDO</v>
      </c>
      <c r="M2289" s="65" t="str">
        <f>IFERROR(__xludf.DUMMYFUNCTION("""COMPUTED_VALUE"""),"GUAYAS")</f>
        <v>GUAYAS</v>
      </c>
      <c r="N2289" s="65" t="str">
        <f>IFERROR(__xludf.DUMMYFUNCTION("""COMPUTED_VALUE"""),"GUAYAQUIL")</f>
        <v>GUAYAQUIL</v>
      </c>
      <c r="O2289" s="65" t="str">
        <f>IFERROR(__xludf.DUMMYFUNCTION("""COMPUTED_VALUE"""),"Calle José María Roura  y 14ta Peatonal 3NE - Mz F90 V19 - Ref. Frente a Tía GO Sauces VII")</f>
        <v>Calle José María Roura  y 14ta Peatonal 3NE - Mz F90 V19 - Ref. Frente a Tía GO Sauces VII</v>
      </c>
      <c r="P2289" s="65"/>
      <c r="Q2289" s="65" t="str">
        <f>IFERROR(__xludf.DUMMYFUNCTION("""COMPUTED_VALUE"""),"GINTRACOM")</f>
        <v>GINTRACOM</v>
      </c>
      <c r="R2289" s="65">
        <f>IFERROR(__xludf.DUMMYFUNCTION("""COMPUTED_VALUE"""),25.0)</f>
        <v>25</v>
      </c>
      <c r="S2289" s="65">
        <f>IFERROR(__xludf.DUMMYFUNCTION("""COMPUTED_VALUE"""),15.07)</f>
        <v>15.07</v>
      </c>
      <c r="T2289" s="65">
        <f>IFERROR(__xludf.DUMMYFUNCTION("""COMPUTED_VALUE"""),4.35)</f>
        <v>4.35</v>
      </c>
      <c r="U2289" s="65">
        <f>IFERROR(__xludf.DUMMYFUNCTION("""COMPUTED_VALUE"""),0.0)</f>
        <v>0</v>
      </c>
      <c r="V2289" s="65">
        <f>IFERROR(__xludf.DUMMYFUNCTION("""COMPUTED_VALUE"""),0.0)</f>
        <v>0</v>
      </c>
      <c r="W2289" s="65">
        <f>IFERROR(__xludf.DUMMYFUNCTION("""COMPUTED_VALUE"""),0.0)</f>
        <v>0</v>
      </c>
      <c r="X2289" s="65">
        <f>IFERROR(__xludf.DUMMYFUNCTION("""COMPUTED_VALUE"""),2.79)</f>
        <v>2.79</v>
      </c>
      <c r="Y2289" s="65">
        <f>IFERROR(__xludf.DUMMYFUNCTION("""COMPUTED_VALUE"""),5.58)</f>
        <v>5.58</v>
      </c>
      <c r="Z2289" s="65">
        <f>IFERROR(__xludf.DUMMYFUNCTION("""COMPUTED_VALUE"""),120732.0)</f>
        <v>120732</v>
      </c>
      <c r="AA2289" s="65" t="str">
        <f>IFERROR(__xludf.DUMMYFUNCTION("""COMPUTED_VALUE"""),"PROV-LMPVT")</f>
        <v>PROV-LMPVT</v>
      </c>
      <c r="AB2289" s="65"/>
      <c r="AC2289" s="65" t="str">
        <f>IFERROR(__xludf.DUMMYFUNCTION("""COMPUTED_VALUE"""),"LIMPIADOR DE PARABRISAS Y VENTANAS")</f>
        <v>LIMPIADOR DE PARABRISAS Y VENTANAS</v>
      </c>
      <c r="AD2289" s="65"/>
      <c r="AE2289" s="65">
        <f>IFERROR(__xludf.DUMMYFUNCTION("""COMPUTED_VALUE"""),2.0)</f>
        <v>2</v>
      </c>
      <c r="AF2289" s="65"/>
      <c r="AG2289" s="65"/>
      <c r="AH2289" s="65"/>
      <c r="AI2289" s="65"/>
      <c r="AJ2289" s="65"/>
      <c r="AK2289" s="65"/>
      <c r="AL2289" s="65"/>
      <c r="AM2289" s="65"/>
      <c r="AN2289" s="65" t="str">
        <f>IFERROR(__xludf.DUMMYFUNCTION("""COMPUTED_VALUE"""),"17:33")</f>
        <v>17:33</v>
      </c>
      <c r="AO2289" s="65" t="str">
        <f>IFERROR(__xludf.DUMMYFUNCTION("""COMPUTED_VALUE"""),"08-01-2026")</f>
        <v>08-01-2026</v>
      </c>
      <c r="AP2289" s="65" t="str">
        <f>IFERROR(__xludf.DUMMYFUNCTION("""COMPUTED_VALUE"""),"ENTREGADA GINTRACOM")</f>
        <v>ENTREGADA GINTRACOM</v>
      </c>
      <c r="AQ2289" s="65" t="str">
        <f>IFERROR(__xludf.DUMMYFUNCTION("""COMPUTED_VALUE"""),"ENTREGADA GINTRACOM")</f>
        <v>ENTREGADA GINTRACOM</v>
      </c>
      <c r="AR2289" s="65"/>
      <c r="AS2289" s="65"/>
      <c r="AT2289" s="65" t="str">
        <f>IFERROR(__xludf.DUMMYFUNCTION("""COMPUTED_VALUE"""),"SHOPIFY")</f>
        <v>SHOPIFY</v>
      </c>
      <c r="AU2289" s="65" t="str">
        <f>IFERROR(__xludf.DUMMYFUNCTION("""COMPUTED_VALUE"""),"IMPORTEX EC")</f>
        <v>IMPORTEX EC</v>
      </c>
      <c r="AV2289" s="65" t="str">
        <f>IFERROR(__xludf.DUMMYFUNCTION("""COMPUTED_VALUE"""),"6394692141100")</f>
        <v>6394692141100</v>
      </c>
      <c r="AW2289" s="65">
        <f>IFERROR(__xludf.DUMMYFUNCTION("""COMPUTED_VALUE"""),4699.0)</f>
        <v>4699</v>
      </c>
      <c r="AX2289" s="65"/>
      <c r="AY2289" s="65" t="str">
        <f>IFERROR(__xludf.DUMMYFUNCTION("""COMPUTED_VALUE"""),"07/01/2026")</f>
        <v>07/01/2026</v>
      </c>
      <c r="AZ2289" s="65"/>
      <c r="BA2289" s="65"/>
    </row>
    <row r="2290">
      <c r="A2290" s="65" t="str">
        <f>IFERROR(__xludf.DUMMYFUNCTION("""COMPUTED_VALUE"""),"27-03-2026")</f>
        <v>27-03-2026</v>
      </c>
      <c r="B2290" s="65">
        <f>IFERROR(__xludf.DUMMYFUNCTION("""COMPUTED_VALUE"""),4045739.0)</f>
        <v>4045739</v>
      </c>
      <c r="C2290" s="65" t="str">
        <f>IFERROR(__xludf.DUMMYFUNCTION("""COMPUTED_VALUE"""),"16:30")</f>
        <v>16:30</v>
      </c>
      <c r="D2290" s="65" t="str">
        <f>IFERROR(__xludf.DUMMYFUNCTION("""COMPUTED_VALUE"""),"06-01-2026")</f>
        <v>06-01-2026</v>
      </c>
      <c r="E2290" s="65" t="str">
        <f>IFERROR(__xludf.DUMMYFUNCTION("""COMPUTED_VALUE"""),"Marco Flores")</f>
        <v>Marco Flores</v>
      </c>
      <c r="F2290" s="65" t="str">
        <f>IFERROR(__xludf.DUMMYFUNCTION("""COMPUTED_VALUE"""),"996246648")</f>
        <v>996246648</v>
      </c>
      <c r="G2290" s="65" t="str">
        <f>IFERROR(__xludf.DUMMYFUNCTION("""COMPUTED_VALUE"""),"marco.maflope@gmail.com")</f>
        <v>marco.maflope@gmail.com</v>
      </c>
      <c r="H2290" s="65"/>
      <c r="I2290" s="65"/>
      <c r="J2290" s="65" t="str">
        <f>IFERROR(__xludf.DUMMYFUNCTION("""COMPUTED_VALUE"""),"D001201099")</f>
        <v>D001201099</v>
      </c>
      <c r="K2290" s="65" t="str">
        <f>IFERROR(__xludf.DUMMYFUNCTION("""COMPUTED_VALUE"""),"ENTREGADO")</f>
        <v>ENTREGADO</v>
      </c>
      <c r="L2290" s="65" t="str">
        <f>IFERROR(__xludf.DUMMYFUNCTION("""COMPUTED_VALUE"""),"CON RECAUDO")</f>
        <v>CON RECAUDO</v>
      </c>
      <c r="M2290" s="65" t="str">
        <f>IFERROR(__xludf.DUMMYFUNCTION("""COMPUTED_VALUE"""),"PICHINCHA")</f>
        <v>PICHINCHA</v>
      </c>
      <c r="N2290" s="65" t="str">
        <f>IFERROR(__xludf.DUMMYFUNCTION("""COMPUTED_VALUE"""),"SANGOLQUI")</f>
        <v>SANGOLQUI</v>
      </c>
      <c r="O2290" s="65" t="str">
        <f>IFERROR(__xludf.DUMMYFUNCTION("""COMPUTED_VALUE"""),"Sector Sangolquí - Av. Machachi y Av. General Rumiñahui  Conjunto Casales San Luis frente al Hotel Colibrí Monumento al Colibrí -")</f>
        <v>Sector Sangolquí - Av. Machachi y Av. General Rumiñahui  Conjunto Casales San Luis frente al Hotel Colibrí Monumento al Colibrí -</v>
      </c>
      <c r="P2290" s="65"/>
      <c r="Q2290" s="65" t="str">
        <f>IFERROR(__xludf.DUMMYFUNCTION("""COMPUTED_VALUE"""),"GINTRACOM")</f>
        <v>GINTRACOM</v>
      </c>
      <c r="R2290" s="65">
        <f>IFERROR(__xludf.DUMMYFUNCTION("""COMPUTED_VALUE"""),21.99)</f>
        <v>21.99</v>
      </c>
      <c r="S2290" s="65">
        <f>IFERROR(__xludf.DUMMYFUNCTION("""COMPUTED_VALUE"""),12.19)</f>
        <v>12.19</v>
      </c>
      <c r="T2290" s="65">
        <f>IFERROR(__xludf.DUMMYFUNCTION("""COMPUTED_VALUE"""),4.8)</f>
        <v>4.8</v>
      </c>
      <c r="U2290" s="65">
        <f>IFERROR(__xludf.DUMMYFUNCTION("""COMPUTED_VALUE"""),0.0)</f>
        <v>0</v>
      </c>
      <c r="V2290" s="65">
        <f>IFERROR(__xludf.DUMMYFUNCTION("""COMPUTED_VALUE"""),0.0)</f>
        <v>0</v>
      </c>
      <c r="W2290" s="65">
        <f>IFERROR(__xludf.DUMMYFUNCTION("""COMPUTED_VALUE"""),0.0)</f>
        <v>0</v>
      </c>
      <c r="X2290" s="65">
        <f>IFERROR(__xludf.DUMMYFUNCTION("""COMPUTED_VALUE"""),5.0)</f>
        <v>5</v>
      </c>
      <c r="Y2290" s="65">
        <f>IFERROR(__xludf.DUMMYFUNCTION("""COMPUTED_VALUE"""),5.0)</f>
        <v>5</v>
      </c>
      <c r="Z2290" s="65">
        <f>IFERROR(__xludf.DUMMYFUNCTION("""COMPUTED_VALUE"""),110064.0)</f>
        <v>110064</v>
      </c>
      <c r="AA2290" s="65" t="str">
        <f>IFERROR(__xludf.DUMMYFUNCTION("""COMPUTED_VALUE"""),"IMX-00001")</f>
        <v>IMX-00001</v>
      </c>
      <c r="AB2290" s="65"/>
      <c r="AC2290" s="65" t="str">
        <f>IFERROR(__xludf.DUMMYFUNCTION("""COMPUTED_VALUE"""),"LLAVE TRINQUETE")</f>
        <v>LLAVE TRINQUETE</v>
      </c>
      <c r="AD2290" s="65"/>
      <c r="AE2290" s="65">
        <f>IFERROR(__xludf.DUMMYFUNCTION("""COMPUTED_VALUE"""),1.0)</f>
        <v>1</v>
      </c>
      <c r="AF2290" s="65"/>
      <c r="AG2290" s="65"/>
      <c r="AH2290" s="65"/>
      <c r="AI2290" s="65"/>
      <c r="AJ2290" s="65"/>
      <c r="AK2290" s="65"/>
      <c r="AL2290" s="65"/>
      <c r="AM2290" s="65"/>
      <c r="AN2290" s="65" t="str">
        <f>IFERROR(__xludf.DUMMYFUNCTION("""COMPUTED_VALUE"""),"13:28")</f>
        <v>13:28</v>
      </c>
      <c r="AO2290" s="65" t="str">
        <f>IFERROR(__xludf.DUMMYFUNCTION("""COMPUTED_VALUE"""),"10-01-2026")</f>
        <v>10-01-2026</v>
      </c>
      <c r="AP2290" s="65" t="str">
        <f>IFERROR(__xludf.DUMMYFUNCTION("""COMPUTED_VALUE"""),"ENTREGADA GINTRACOM")</f>
        <v>ENTREGADA GINTRACOM</v>
      </c>
      <c r="AQ2290" s="65" t="str">
        <f>IFERROR(__xludf.DUMMYFUNCTION("""COMPUTED_VALUE"""),"ENTREGADA GINTRACOM")</f>
        <v>ENTREGADA GINTRACOM</v>
      </c>
      <c r="AR2290" s="65"/>
      <c r="AS2290" s="65"/>
      <c r="AT2290" s="65" t="str">
        <f>IFERROR(__xludf.DUMMYFUNCTION("""COMPUTED_VALUE"""),"SHOPIFY")</f>
        <v>SHOPIFY</v>
      </c>
      <c r="AU2290" s="65" t="str">
        <f>IFERROR(__xludf.DUMMYFUNCTION("""COMPUTED_VALUE"""),"IMPORTEX EC")</f>
        <v>IMPORTEX EC</v>
      </c>
      <c r="AV2290" s="65" t="str">
        <f>IFERROR(__xludf.DUMMYFUNCTION("""COMPUTED_VALUE"""),"6394607370284")</f>
        <v>6394607370284</v>
      </c>
      <c r="AW2290" s="65">
        <f>IFERROR(__xludf.DUMMYFUNCTION("""COMPUTED_VALUE"""),4698.0)</f>
        <v>4698</v>
      </c>
      <c r="AX2290" s="65"/>
      <c r="AY2290" s="65" t="str">
        <f>IFERROR(__xludf.DUMMYFUNCTION("""COMPUTED_VALUE"""),"08/01/2026")</f>
        <v>08/01/2026</v>
      </c>
      <c r="AZ2290" s="65"/>
      <c r="BA2290" s="65"/>
    </row>
    <row r="2291">
      <c r="A2291" s="65" t="str">
        <f>IFERROR(__xludf.DUMMYFUNCTION("""COMPUTED_VALUE"""),"27-03-2026")</f>
        <v>27-03-2026</v>
      </c>
      <c r="B2291" s="65">
        <f>IFERROR(__xludf.DUMMYFUNCTION("""COMPUTED_VALUE"""),4044974.0)</f>
        <v>4044974</v>
      </c>
      <c r="C2291" s="65" t="str">
        <f>IFERROR(__xludf.DUMMYFUNCTION("""COMPUTED_VALUE"""),"15:29")</f>
        <v>15:29</v>
      </c>
      <c r="D2291" s="65" t="str">
        <f>IFERROR(__xludf.DUMMYFUNCTION("""COMPUTED_VALUE"""),"06-01-2026")</f>
        <v>06-01-2026</v>
      </c>
      <c r="E2291" s="65" t="str">
        <f>IFERROR(__xludf.DUMMYFUNCTION("""COMPUTED_VALUE"""),"Walter Mendoza Navarro Mendoza Navarro")</f>
        <v>Walter Mendoza Navarro Mendoza Navarro</v>
      </c>
      <c r="F2291" s="65" t="str">
        <f>IFERROR(__xludf.DUMMYFUNCTION("""COMPUTED_VALUE"""),"994750705")</f>
        <v>994750705</v>
      </c>
      <c r="G2291" s="65" t="str">
        <f>IFERROR(__xludf.DUMMYFUNCTION("""COMPUTED_VALUE"""),"walterbailoton@hotmail.com")</f>
        <v>walterbailoton@hotmail.com</v>
      </c>
      <c r="H2291" s="65"/>
      <c r="I2291" s="65"/>
      <c r="J2291" s="65" t="str">
        <f>IFERROR(__xludf.DUMMYFUNCTION("""COMPUTED_VALUE"""),"D001201100")</f>
        <v>D001201100</v>
      </c>
      <c r="K2291" s="65" t="str">
        <f>IFERROR(__xludf.DUMMYFUNCTION("""COMPUTED_VALUE"""),"ENTREGADO")</f>
        <v>ENTREGADO</v>
      </c>
      <c r="L2291" s="65" t="str">
        <f>IFERROR(__xludf.DUMMYFUNCTION("""COMPUTED_VALUE"""),"CON RECAUDO")</f>
        <v>CON RECAUDO</v>
      </c>
      <c r="M2291" s="65" t="str">
        <f>IFERROR(__xludf.DUMMYFUNCTION("""COMPUTED_VALUE"""),"GUAYAS")</f>
        <v>GUAYAS</v>
      </c>
      <c r="N2291" s="65" t="str">
        <f>IFERROR(__xludf.DUMMYFUNCTION("""COMPUTED_VALUE"""),"GUAYAQUIL")</f>
        <v>GUAYAQUIL</v>
      </c>
      <c r="O2291" s="65" t="str">
        <f>IFERROR(__xludf.DUMMYFUNCTION("""COMPUTED_VALUE"""),"Avenida Rosales y Av. Los Shyris - Ref. a una cuadra del Tía")</f>
        <v>Avenida Rosales y Av. Los Shyris - Ref. a una cuadra del Tía</v>
      </c>
      <c r="P2291" s="65"/>
      <c r="Q2291" s="65" t="str">
        <f>IFERROR(__xludf.DUMMYFUNCTION("""COMPUTED_VALUE"""),"GINTRACOM")</f>
        <v>GINTRACOM</v>
      </c>
      <c r="R2291" s="65">
        <f>IFERROR(__xludf.DUMMYFUNCTION("""COMPUTED_VALUE"""),21.99)</f>
        <v>21.99</v>
      </c>
      <c r="S2291" s="65">
        <f>IFERROR(__xludf.DUMMYFUNCTION("""COMPUTED_VALUE"""),11.15)</f>
        <v>11.15</v>
      </c>
      <c r="T2291" s="65">
        <f>IFERROR(__xludf.DUMMYFUNCTION("""COMPUTED_VALUE"""),5.84)</f>
        <v>5.84</v>
      </c>
      <c r="U2291" s="65">
        <f>IFERROR(__xludf.DUMMYFUNCTION("""COMPUTED_VALUE"""),0.0)</f>
        <v>0</v>
      </c>
      <c r="V2291" s="65">
        <f>IFERROR(__xludf.DUMMYFUNCTION("""COMPUTED_VALUE"""),0.0)</f>
        <v>0</v>
      </c>
      <c r="W2291" s="65">
        <f>IFERROR(__xludf.DUMMYFUNCTION("""COMPUTED_VALUE"""),0.0)</f>
        <v>0</v>
      </c>
      <c r="X2291" s="65">
        <f>IFERROR(__xludf.DUMMYFUNCTION("""COMPUTED_VALUE"""),5.0)</f>
        <v>5</v>
      </c>
      <c r="Y2291" s="65">
        <f>IFERROR(__xludf.DUMMYFUNCTION("""COMPUTED_VALUE"""),5.0)</f>
        <v>5</v>
      </c>
      <c r="Z2291" s="65">
        <f>IFERROR(__xludf.DUMMYFUNCTION("""COMPUTED_VALUE"""),110064.0)</f>
        <v>110064</v>
      </c>
      <c r="AA2291" s="65" t="str">
        <f>IFERROR(__xludf.DUMMYFUNCTION("""COMPUTED_VALUE"""),"IMX-00001")</f>
        <v>IMX-00001</v>
      </c>
      <c r="AB2291" s="65"/>
      <c r="AC2291" s="65" t="str">
        <f>IFERROR(__xludf.DUMMYFUNCTION("""COMPUTED_VALUE"""),"LLAVE TRINQUETE")</f>
        <v>LLAVE TRINQUETE</v>
      </c>
      <c r="AD2291" s="65"/>
      <c r="AE2291" s="65">
        <f>IFERROR(__xludf.DUMMYFUNCTION("""COMPUTED_VALUE"""),1.0)</f>
        <v>1</v>
      </c>
      <c r="AF2291" s="65"/>
      <c r="AG2291" s="65"/>
      <c r="AH2291" s="65"/>
      <c r="AI2291" s="65"/>
      <c r="AJ2291" s="65"/>
      <c r="AK2291" s="65"/>
      <c r="AL2291" s="65"/>
      <c r="AM2291" s="65"/>
      <c r="AN2291" s="65" t="str">
        <f>IFERROR(__xludf.DUMMYFUNCTION("""COMPUTED_VALUE"""),"17:38")</f>
        <v>17:38</v>
      </c>
      <c r="AO2291" s="65" t="str">
        <f>IFERROR(__xludf.DUMMYFUNCTION("""COMPUTED_VALUE"""),"09-01-2026")</f>
        <v>09-01-2026</v>
      </c>
      <c r="AP2291" s="65" t="str">
        <f>IFERROR(__xludf.DUMMYFUNCTION("""COMPUTED_VALUE"""),"ENTREGADA GINTRACOM")</f>
        <v>ENTREGADA GINTRACOM</v>
      </c>
      <c r="AQ2291" s="65" t="str">
        <f>IFERROR(__xludf.DUMMYFUNCTION("""COMPUTED_VALUE"""),"ENTREGADA GINTRACOM")</f>
        <v>ENTREGADA GINTRACOM</v>
      </c>
      <c r="AR2291" s="65"/>
      <c r="AS2291" s="65"/>
      <c r="AT2291" s="65" t="str">
        <f>IFERROR(__xludf.DUMMYFUNCTION("""COMPUTED_VALUE"""),"SHOPIFY")</f>
        <v>SHOPIFY</v>
      </c>
      <c r="AU2291" s="65" t="str">
        <f>IFERROR(__xludf.DUMMYFUNCTION("""COMPUTED_VALUE"""),"IMPORTEX EC")</f>
        <v>IMPORTEX EC</v>
      </c>
      <c r="AV2291" s="65" t="str">
        <f>IFERROR(__xludf.DUMMYFUNCTION("""COMPUTED_VALUE"""),"6394476757036")</f>
        <v>6394476757036</v>
      </c>
      <c r="AW2291" s="65">
        <f>IFERROR(__xludf.DUMMYFUNCTION("""COMPUTED_VALUE"""),4697.0)</f>
        <v>4697</v>
      </c>
      <c r="AX2291" s="65"/>
      <c r="AY2291" s="65" t="str">
        <f>IFERROR(__xludf.DUMMYFUNCTION("""COMPUTED_VALUE"""),"08/01/2026")</f>
        <v>08/01/2026</v>
      </c>
      <c r="AZ2291" s="65"/>
      <c r="BA2291" s="65"/>
    </row>
    <row r="2292">
      <c r="A2292" s="65" t="str">
        <f>IFERROR(__xludf.DUMMYFUNCTION("""COMPUTED_VALUE"""),"27-03-2026")</f>
        <v>27-03-2026</v>
      </c>
      <c r="B2292" s="65">
        <f>IFERROR(__xludf.DUMMYFUNCTION("""COMPUTED_VALUE"""),4044804.0)</f>
        <v>4044804</v>
      </c>
      <c r="C2292" s="65" t="str">
        <f>IFERROR(__xludf.DUMMYFUNCTION("""COMPUTED_VALUE"""),"15:17")</f>
        <v>15:17</v>
      </c>
      <c r="D2292" s="65" t="str">
        <f>IFERROR(__xludf.DUMMYFUNCTION("""COMPUTED_VALUE"""),"06-01-2026")</f>
        <v>06-01-2026</v>
      </c>
      <c r="E2292" s="65" t="str">
        <f>IFERROR(__xludf.DUMMYFUNCTION("""COMPUTED_VALUE"""),"Carlos Cotacachi")</f>
        <v>Carlos Cotacachi</v>
      </c>
      <c r="F2292" s="65" t="str">
        <f>IFERROR(__xludf.DUMMYFUNCTION("""COMPUTED_VALUE"""),"988234631")</f>
        <v>988234631</v>
      </c>
      <c r="G2292" s="65" t="str">
        <f>IFERROR(__xludf.DUMMYFUNCTION("""COMPUTED_VALUE"""),"charlycotacachi@gmail.com")</f>
        <v>charlycotacachi@gmail.com</v>
      </c>
      <c r="H2292" s="65"/>
      <c r="I2292" s="65"/>
      <c r="J2292" s="65" t="str">
        <f>IFERROR(__xludf.DUMMYFUNCTION("""COMPUTED_VALUE"""),"D001197670")</f>
        <v>D001197670</v>
      </c>
      <c r="K2292" s="65" t="str">
        <f>IFERROR(__xludf.DUMMYFUNCTION("""COMPUTED_VALUE"""),"ENTREGADO")</f>
        <v>ENTREGADO</v>
      </c>
      <c r="L2292" s="65" t="str">
        <f>IFERROR(__xludf.DUMMYFUNCTION("""COMPUTED_VALUE"""),"CON RECAUDO")</f>
        <v>CON RECAUDO</v>
      </c>
      <c r="M2292" s="65" t="str">
        <f>IFERROR(__xludf.DUMMYFUNCTION("""COMPUTED_VALUE"""),"IMBABURA")</f>
        <v>IMBABURA</v>
      </c>
      <c r="N2292" s="65" t="str">
        <f>IFERROR(__xludf.DUMMYFUNCTION("""COMPUTED_VALUE"""),"OTAVALO")</f>
        <v>OTAVALO</v>
      </c>
      <c r="O2292" s="65" t="str">
        <f>IFERROR(__xludf.DUMMYFUNCTION("""COMPUTED_VALUE"""),"Calle Shirys y Calle Daquilema. Ref. Cerca a la parada de buses -")</f>
        <v>Calle Shirys y Calle Daquilema. Ref. Cerca a la parada de buses -</v>
      </c>
      <c r="P2292" s="65" t="str">
        <f>IFERROR(__xludf.DUMMYFUNCTION("""COMPUTED_VALUE"""),"Se adjunta ubicación:
Location: 0.28139097,-78.23260123")</f>
        <v>Se adjunta ubicación:
Location: 0.28139097,-78.23260123</v>
      </c>
      <c r="Q2292" s="65" t="str">
        <f>IFERROR(__xludf.DUMMYFUNCTION("""COMPUTED_VALUE"""),"GINTRACOM")</f>
        <v>GINTRACOM</v>
      </c>
      <c r="R2292" s="65">
        <f>IFERROR(__xludf.DUMMYFUNCTION("""COMPUTED_VALUE"""),20.0)</f>
        <v>20</v>
      </c>
      <c r="S2292" s="65">
        <f>IFERROR(__xludf.DUMMYFUNCTION("""COMPUTED_VALUE"""),11.45)</f>
        <v>11.45</v>
      </c>
      <c r="T2292" s="65">
        <f>IFERROR(__xludf.DUMMYFUNCTION("""COMPUTED_VALUE"""),5.76)</f>
        <v>5.76</v>
      </c>
      <c r="U2292" s="65">
        <f>IFERROR(__xludf.DUMMYFUNCTION("""COMPUTED_VALUE"""),0.0)</f>
        <v>0</v>
      </c>
      <c r="V2292" s="65">
        <f>IFERROR(__xludf.DUMMYFUNCTION("""COMPUTED_VALUE"""),0.0)</f>
        <v>0</v>
      </c>
      <c r="W2292" s="65">
        <f>IFERROR(__xludf.DUMMYFUNCTION("""COMPUTED_VALUE"""),0.0)</f>
        <v>0</v>
      </c>
      <c r="X2292" s="65">
        <f>IFERROR(__xludf.DUMMYFUNCTION("""COMPUTED_VALUE"""),2.79)</f>
        <v>2.79</v>
      </c>
      <c r="Y2292" s="65">
        <f>IFERROR(__xludf.DUMMYFUNCTION("""COMPUTED_VALUE"""),2.79)</f>
        <v>2.79</v>
      </c>
      <c r="Z2292" s="65">
        <f>IFERROR(__xludf.DUMMYFUNCTION("""COMPUTED_VALUE"""),120732.0)</f>
        <v>120732</v>
      </c>
      <c r="AA2292" s="65" t="str">
        <f>IFERROR(__xludf.DUMMYFUNCTION("""COMPUTED_VALUE"""),"PROV-LMPVT")</f>
        <v>PROV-LMPVT</v>
      </c>
      <c r="AB2292" s="65"/>
      <c r="AC2292" s="65" t="str">
        <f>IFERROR(__xludf.DUMMYFUNCTION("""COMPUTED_VALUE"""),"LIMPIADOR DE PARABRISAS Y VENTANAS")</f>
        <v>LIMPIADOR DE PARABRISAS Y VENTANAS</v>
      </c>
      <c r="AD2292" s="65"/>
      <c r="AE2292" s="65">
        <f>IFERROR(__xludf.DUMMYFUNCTION("""COMPUTED_VALUE"""),1.0)</f>
        <v>1</v>
      </c>
      <c r="AF2292" s="65"/>
      <c r="AG2292" s="65"/>
      <c r="AH2292" s="65"/>
      <c r="AI2292" s="65"/>
      <c r="AJ2292" s="65"/>
      <c r="AK2292" s="65"/>
      <c r="AL2292" s="65"/>
      <c r="AM2292" s="65"/>
      <c r="AN2292" s="65" t="str">
        <f>IFERROR(__xludf.DUMMYFUNCTION("""COMPUTED_VALUE"""),"18:32")</f>
        <v>18:32</v>
      </c>
      <c r="AO2292" s="65" t="str">
        <f>IFERROR(__xludf.DUMMYFUNCTION("""COMPUTED_VALUE"""),"09-01-2026")</f>
        <v>09-01-2026</v>
      </c>
      <c r="AP2292" s="65" t="str">
        <f>IFERROR(__xludf.DUMMYFUNCTION("""COMPUTED_VALUE"""),"ENTREGADA GINTRACOM")</f>
        <v>ENTREGADA GINTRACOM</v>
      </c>
      <c r="AQ2292" s="65" t="str">
        <f>IFERROR(__xludf.DUMMYFUNCTION("""COMPUTED_VALUE"""),"ENTREGADA GINTRACOM")</f>
        <v>ENTREGADA GINTRACOM</v>
      </c>
      <c r="AR2292" s="65"/>
      <c r="AS2292" s="65"/>
      <c r="AT2292" s="65" t="str">
        <f>IFERROR(__xludf.DUMMYFUNCTION("""COMPUTED_VALUE"""),"SHOPIFY")</f>
        <v>SHOPIFY</v>
      </c>
      <c r="AU2292" s="65" t="str">
        <f>IFERROR(__xludf.DUMMYFUNCTION("""COMPUTED_VALUE"""),"IMPORTEX EC")</f>
        <v>IMPORTEX EC</v>
      </c>
      <c r="AV2292" s="65" t="str">
        <f>IFERROR(__xludf.DUMMYFUNCTION("""COMPUTED_VALUE"""),"6394448576556")</f>
        <v>6394448576556</v>
      </c>
      <c r="AW2292" s="65">
        <f>IFERROR(__xludf.DUMMYFUNCTION("""COMPUTED_VALUE"""),4696.0)</f>
        <v>4696</v>
      </c>
      <c r="AX2292" s="65"/>
      <c r="AY2292" s="65" t="str">
        <f>IFERROR(__xludf.DUMMYFUNCTION("""COMPUTED_VALUE"""),"07/01/2026")</f>
        <v>07/01/2026</v>
      </c>
      <c r="AZ2292" s="65"/>
      <c r="BA2292" s="65"/>
    </row>
    <row r="2293">
      <c r="A2293" s="65" t="str">
        <f>IFERROR(__xludf.DUMMYFUNCTION("""COMPUTED_VALUE"""),"27-03-2026")</f>
        <v>27-03-2026</v>
      </c>
      <c r="B2293" s="65">
        <f>IFERROR(__xludf.DUMMYFUNCTION("""COMPUTED_VALUE"""),4040194.0)</f>
        <v>4040194</v>
      </c>
      <c r="C2293" s="65" t="str">
        <f>IFERROR(__xludf.DUMMYFUNCTION("""COMPUTED_VALUE"""),"09:26")</f>
        <v>09:26</v>
      </c>
      <c r="D2293" s="65" t="str">
        <f>IFERROR(__xludf.DUMMYFUNCTION("""COMPUTED_VALUE"""),"06-01-2026")</f>
        <v>06-01-2026</v>
      </c>
      <c r="E2293" s="65" t="str">
        <f>IFERROR(__xludf.DUMMYFUNCTION("""COMPUTED_VALUE"""),"Andres Verswyvel")</f>
        <v>Andres Verswyvel</v>
      </c>
      <c r="F2293" s="65" t="str">
        <f>IFERROR(__xludf.DUMMYFUNCTION("""COMPUTED_VALUE"""),"994281154")</f>
        <v>994281154</v>
      </c>
      <c r="G2293" s="65" t="str">
        <f>IFERROR(__xludf.DUMMYFUNCTION("""COMPUTED_VALUE"""),"andresverswyvel@gmail.com")</f>
        <v>andresverswyvel@gmail.com</v>
      </c>
      <c r="H2293" s="65"/>
      <c r="I2293" s="65"/>
      <c r="J2293" s="65" t="str">
        <f>IFERROR(__xludf.DUMMYFUNCTION("""COMPUTED_VALUE"""),"D001197676")</f>
        <v>D001197676</v>
      </c>
      <c r="K2293" s="65" t="str">
        <f>IFERROR(__xludf.DUMMYFUNCTION("""COMPUTED_VALUE"""),"ENTREGADO")</f>
        <v>ENTREGADO</v>
      </c>
      <c r="L2293" s="65" t="str">
        <f>IFERROR(__xludf.DUMMYFUNCTION("""COMPUTED_VALUE"""),"CON RECAUDO")</f>
        <v>CON RECAUDO</v>
      </c>
      <c r="M2293" s="65" t="str">
        <f>IFERROR(__xludf.DUMMYFUNCTION("""COMPUTED_VALUE"""),"PICHINCHA")</f>
        <v>PICHINCHA</v>
      </c>
      <c r="N2293" s="65" t="str">
        <f>IFERROR(__xludf.DUMMYFUNCTION("""COMPUTED_VALUE"""),"QUITO")</f>
        <v>QUITO</v>
      </c>
      <c r="O2293" s="65" t="str">
        <f>IFERROR(__xludf.DUMMYFUNCTION("""COMPUTED_VALUE"""),"Sector Lumbisi - Av. Alfonso Lamiña y Av. 23 de Abril , Conjunto Parques Andalucía - Casa 14, Familia Verswyvel")</f>
        <v>Sector Lumbisi - Av. Alfonso Lamiña y Av. 23 de Abril , Conjunto Parques Andalucía - Casa 14, Familia Verswyvel</v>
      </c>
      <c r="P2293" s="65"/>
      <c r="Q2293" s="65" t="str">
        <f>IFERROR(__xludf.DUMMYFUNCTION("""COMPUTED_VALUE"""),"GINTRACOM")</f>
        <v>GINTRACOM</v>
      </c>
      <c r="R2293" s="65">
        <f>IFERROR(__xludf.DUMMYFUNCTION("""COMPUTED_VALUE"""),25.0)</f>
        <v>25</v>
      </c>
      <c r="S2293" s="65">
        <f>IFERROR(__xludf.DUMMYFUNCTION("""COMPUTED_VALUE"""),13.46)</f>
        <v>13.46</v>
      </c>
      <c r="T2293" s="65">
        <f>IFERROR(__xludf.DUMMYFUNCTION("""COMPUTED_VALUE"""),5.96)</f>
        <v>5.96</v>
      </c>
      <c r="U2293" s="65">
        <f>IFERROR(__xludf.DUMMYFUNCTION("""COMPUTED_VALUE"""),0.0)</f>
        <v>0</v>
      </c>
      <c r="V2293" s="65">
        <f>IFERROR(__xludf.DUMMYFUNCTION("""COMPUTED_VALUE"""),0.0)</f>
        <v>0</v>
      </c>
      <c r="W2293" s="65">
        <f>IFERROR(__xludf.DUMMYFUNCTION("""COMPUTED_VALUE"""),0.0)</f>
        <v>0</v>
      </c>
      <c r="X2293" s="65">
        <f>IFERROR(__xludf.DUMMYFUNCTION("""COMPUTED_VALUE"""),2.79)</f>
        <v>2.79</v>
      </c>
      <c r="Y2293" s="65">
        <f>IFERROR(__xludf.DUMMYFUNCTION("""COMPUTED_VALUE"""),5.58)</f>
        <v>5.58</v>
      </c>
      <c r="Z2293" s="65">
        <f>IFERROR(__xludf.DUMMYFUNCTION("""COMPUTED_VALUE"""),120732.0)</f>
        <v>120732</v>
      </c>
      <c r="AA2293" s="65" t="str">
        <f>IFERROR(__xludf.DUMMYFUNCTION("""COMPUTED_VALUE"""),"PROV-LMPVT")</f>
        <v>PROV-LMPVT</v>
      </c>
      <c r="AB2293" s="65"/>
      <c r="AC2293" s="65" t="str">
        <f>IFERROR(__xludf.DUMMYFUNCTION("""COMPUTED_VALUE"""),"LIMPIADOR DE PARABRISAS Y VENTANAS")</f>
        <v>LIMPIADOR DE PARABRISAS Y VENTANAS</v>
      </c>
      <c r="AD2293" s="65"/>
      <c r="AE2293" s="65">
        <f>IFERROR(__xludf.DUMMYFUNCTION("""COMPUTED_VALUE"""),2.0)</f>
        <v>2</v>
      </c>
      <c r="AF2293" s="65"/>
      <c r="AG2293" s="65"/>
      <c r="AH2293" s="65"/>
      <c r="AI2293" s="65"/>
      <c r="AJ2293" s="65"/>
      <c r="AK2293" s="65"/>
      <c r="AL2293" s="65"/>
      <c r="AM2293" s="65"/>
      <c r="AN2293" s="65" t="str">
        <f>IFERROR(__xludf.DUMMYFUNCTION("""COMPUTED_VALUE"""),"17:02")</f>
        <v>17:02</v>
      </c>
      <c r="AO2293" s="65" t="str">
        <f>IFERROR(__xludf.DUMMYFUNCTION("""COMPUTED_VALUE"""),"08-01-2026")</f>
        <v>08-01-2026</v>
      </c>
      <c r="AP2293" s="65" t="str">
        <f>IFERROR(__xludf.DUMMYFUNCTION("""COMPUTED_VALUE"""),"ENTREGADA GINTRACOM")</f>
        <v>ENTREGADA GINTRACOM</v>
      </c>
      <c r="AQ2293" s="65" t="str">
        <f>IFERROR(__xludf.DUMMYFUNCTION("""COMPUTED_VALUE"""),"ENTREGADA GINTRACOM")</f>
        <v>ENTREGADA GINTRACOM</v>
      </c>
      <c r="AR2293" s="65"/>
      <c r="AS2293" s="65"/>
      <c r="AT2293" s="65" t="str">
        <f>IFERROR(__xludf.DUMMYFUNCTION("""COMPUTED_VALUE"""),"SHOPIFY")</f>
        <v>SHOPIFY</v>
      </c>
      <c r="AU2293" s="65" t="str">
        <f>IFERROR(__xludf.DUMMYFUNCTION("""COMPUTED_VALUE"""),"IMPORTEX EC")</f>
        <v>IMPORTEX EC</v>
      </c>
      <c r="AV2293" s="65" t="str">
        <f>IFERROR(__xludf.DUMMYFUNCTION("""COMPUTED_VALUE"""),"6393671319596")</f>
        <v>6393671319596</v>
      </c>
      <c r="AW2293" s="65">
        <f>IFERROR(__xludf.DUMMYFUNCTION("""COMPUTED_VALUE"""),4691.0)</f>
        <v>4691</v>
      </c>
      <c r="AX2293" s="65"/>
      <c r="AY2293" s="65" t="str">
        <f>IFERROR(__xludf.DUMMYFUNCTION("""COMPUTED_VALUE"""),"07/01/2026")</f>
        <v>07/01/2026</v>
      </c>
      <c r="AZ2293" s="65"/>
      <c r="BA2293" s="65"/>
    </row>
    <row r="2294">
      <c r="A2294" s="65" t="str">
        <f>IFERROR(__xludf.DUMMYFUNCTION("""COMPUTED_VALUE"""),"27-03-2026")</f>
        <v>27-03-2026</v>
      </c>
      <c r="B2294" s="65">
        <f>IFERROR(__xludf.DUMMYFUNCTION("""COMPUTED_VALUE"""),4039891.0)</f>
        <v>4039891</v>
      </c>
      <c r="C2294" s="65" t="str">
        <f>IFERROR(__xludf.DUMMYFUNCTION("""COMPUTED_VALUE"""),"09:05")</f>
        <v>09:05</v>
      </c>
      <c r="D2294" s="65" t="str">
        <f>IFERROR(__xludf.DUMMYFUNCTION("""COMPUTED_VALUE"""),"06-01-2026")</f>
        <v>06-01-2026</v>
      </c>
      <c r="E2294" s="65" t="str">
        <f>IFERROR(__xludf.DUMMYFUNCTION("""COMPUTED_VALUE"""),"Mayra Gamboa")</f>
        <v>Mayra Gamboa</v>
      </c>
      <c r="F2294" s="65" t="str">
        <f>IFERROR(__xludf.DUMMYFUNCTION("""COMPUTED_VALUE"""),"958982290")</f>
        <v>958982290</v>
      </c>
      <c r="G2294" s="65" t="str">
        <f>IFERROR(__xludf.DUMMYFUNCTION("""COMPUTED_VALUE"""),"dayamor.ec@gmail.com")</f>
        <v>dayamor.ec@gmail.com</v>
      </c>
      <c r="H2294" s="65"/>
      <c r="I2294" s="65"/>
      <c r="J2294" s="65" t="str">
        <f>IFERROR(__xludf.DUMMYFUNCTION("""COMPUTED_VALUE"""),"D001197022")</f>
        <v>D001197022</v>
      </c>
      <c r="K2294" s="65" t="str">
        <f>IFERROR(__xludf.DUMMYFUNCTION("""COMPUTED_VALUE"""),"ENTREGADO")</f>
        <v>ENTREGADO</v>
      </c>
      <c r="L2294" s="65" t="str">
        <f>IFERROR(__xludf.DUMMYFUNCTION("""COMPUTED_VALUE"""),"CON RECAUDO")</f>
        <v>CON RECAUDO</v>
      </c>
      <c r="M2294" s="65" t="str">
        <f>IFERROR(__xludf.DUMMYFUNCTION("""COMPUTED_VALUE"""),"TUNGURAHUA")</f>
        <v>TUNGURAHUA</v>
      </c>
      <c r="N2294" s="65" t="str">
        <f>IFERROR(__xludf.DUMMYFUNCTION("""COMPUTED_VALUE"""),"AMBATO")</f>
        <v>AMBATO</v>
      </c>
      <c r="O2294" s="65" t="str">
        <f>IFERROR(__xludf.DUMMYFUNCTION("""COMPUTED_VALUE"""),"Av. Indoamérica Ne15-93 Y Av. Pedro Vásco - Ref. Dayamor")</f>
        <v>Av. Indoamérica Ne15-93 Y Av. Pedro Vásco - Ref. Dayamor</v>
      </c>
      <c r="P2294" s="65"/>
      <c r="Q2294" s="65" t="str">
        <f>IFERROR(__xludf.DUMMYFUNCTION("""COMPUTED_VALUE"""),"GINTRACOM")</f>
        <v>GINTRACOM</v>
      </c>
      <c r="R2294" s="65">
        <f>IFERROR(__xludf.DUMMYFUNCTION("""COMPUTED_VALUE"""),22.0)</f>
        <v>22</v>
      </c>
      <c r="S2294" s="65">
        <f>IFERROR(__xludf.DUMMYFUNCTION("""COMPUTED_VALUE"""),11.16)</f>
        <v>11.16</v>
      </c>
      <c r="T2294" s="65">
        <f>IFERROR(__xludf.DUMMYFUNCTION("""COMPUTED_VALUE"""),5.84)</f>
        <v>5.84</v>
      </c>
      <c r="U2294" s="65">
        <f>IFERROR(__xludf.DUMMYFUNCTION("""COMPUTED_VALUE"""),0.0)</f>
        <v>0</v>
      </c>
      <c r="V2294" s="65">
        <f>IFERROR(__xludf.DUMMYFUNCTION("""COMPUTED_VALUE"""),0.0)</f>
        <v>0</v>
      </c>
      <c r="W2294" s="65">
        <f>IFERROR(__xludf.DUMMYFUNCTION("""COMPUTED_VALUE"""),0.0)</f>
        <v>0</v>
      </c>
      <c r="X2294" s="65">
        <f>IFERROR(__xludf.DUMMYFUNCTION("""COMPUTED_VALUE"""),2.5)</f>
        <v>2.5</v>
      </c>
      <c r="Y2294" s="65">
        <f>IFERROR(__xludf.DUMMYFUNCTION("""COMPUTED_VALUE"""),5.0)</f>
        <v>5</v>
      </c>
      <c r="Z2294" s="65">
        <f>IFERROR(__xludf.DUMMYFUNCTION("""COMPUTED_VALUE"""),78123.0)</f>
        <v>78123</v>
      </c>
      <c r="AA2294" s="65" t="str">
        <f>IFERROR(__xludf.DUMMYFUNCTION("""COMPUTED_VALUE"""),"GT1EG5097")</f>
        <v>GT1EG5097</v>
      </c>
      <c r="AB2294" s="65"/>
      <c r="AC2294" s="65" t="str">
        <f>IFERROR(__xludf.DUMMYFUNCTION("""COMPUTED_VALUE"""),"Geles de baño aromaticos inodoro x 1")</f>
        <v>Geles de baño aromaticos inodoro x 1</v>
      </c>
      <c r="AD2294" s="65"/>
      <c r="AE2294" s="65">
        <f>IFERROR(__xludf.DUMMYFUNCTION("""COMPUTED_VALUE"""),2.0)</f>
        <v>2</v>
      </c>
      <c r="AF2294" s="65"/>
      <c r="AG2294" s="65"/>
      <c r="AH2294" s="65"/>
      <c r="AI2294" s="65"/>
      <c r="AJ2294" s="65"/>
      <c r="AK2294" s="65"/>
      <c r="AL2294" s="65"/>
      <c r="AM2294" s="65"/>
      <c r="AN2294" s="65" t="str">
        <f>IFERROR(__xludf.DUMMYFUNCTION("""COMPUTED_VALUE"""),"23:10")</f>
        <v>23:10</v>
      </c>
      <c r="AO2294" s="65" t="str">
        <f>IFERROR(__xludf.DUMMYFUNCTION("""COMPUTED_VALUE"""),"09-01-2026")</f>
        <v>09-01-2026</v>
      </c>
      <c r="AP2294" s="65" t="str">
        <f>IFERROR(__xludf.DUMMYFUNCTION("""COMPUTED_VALUE"""),"ENTREGADA GINTRACOM")</f>
        <v>ENTREGADA GINTRACOM</v>
      </c>
      <c r="AQ2294" s="65" t="str">
        <f>IFERROR(__xludf.DUMMYFUNCTION("""COMPUTED_VALUE"""),"ENTREGADA GINTRACOM")</f>
        <v>ENTREGADA GINTRACOM</v>
      </c>
      <c r="AR2294" s="65"/>
      <c r="AS2294" s="65"/>
      <c r="AT2294" s="65" t="str">
        <f>IFERROR(__xludf.DUMMYFUNCTION("""COMPUTED_VALUE"""),"SHOPIFY")</f>
        <v>SHOPIFY</v>
      </c>
      <c r="AU2294" s="65" t="str">
        <f>IFERROR(__xludf.DUMMYFUNCTION("""COMPUTED_VALUE"""),"IMPORTEX EC")</f>
        <v>IMPORTEX EC</v>
      </c>
      <c r="AV2294" s="65" t="str">
        <f>IFERROR(__xludf.DUMMYFUNCTION("""COMPUTED_VALUE"""),"6393635405868")</f>
        <v>6393635405868</v>
      </c>
      <c r="AW2294" s="65">
        <f>IFERROR(__xludf.DUMMYFUNCTION("""COMPUTED_VALUE"""),4690.0)</f>
        <v>4690</v>
      </c>
      <c r="AX2294" s="65"/>
      <c r="AY2294" s="65" t="str">
        <f>IFERROR(__xludf.DUMMYFUNCTION("""COMPUTED_VALUE"""),"07/01/2026")</f>
        <v>07/01/2026</v>
      </c>
      <c r="AZ2294" s="65"/>
      <c r="BA2294" s="65"/>
    </row>
    <row r="2295">
      <c r="A2295" s="65" t="str">
        <f>IFERROR(__xludf.DUMMYFUNCTION("""COMPUTED_VALUE"""),"27-03-2026")</f>
        <v>27-03-2026</v>
      </c>
      <c r="B2295" s="65">
        <f>IFERROR(__xludf.DUMMYFUNCTION("""COMPUTED_VALUE"""),4038540.0)</f>
        <v>4038540</v>
      </c>
      <c r="C2295" s="65" t="str">
        <f>IFERROR(__xludf.DUMMYFUNCTION("""COMPUTED_VALUE"""),"07:04")</f>
        <v>07:04</v>
      </c>
      <c r="D2295" s="65" t="str">
        <f>IFERROR(__xludf.DUMMYFUNCTION("""COMPUTED_VALUE"""),"06-01-2026")</f>
        <v>06-01-2026</v>
      </c>
      <c r="E2295" s="65" t="str">
        <f>IFERROR(__xludf.DUMMYFUNCTION("""COMPUTED_VALUE"""),"Marcelo Castanier")</f>
        <v>Marcelo Castanier</v>
      </c>
      <c r="F2295" s="65" t="str">
        <f>IFERROR(__xludf.DUMMYFUNCTION("""COMPUTED_VALUE"""),"959910820")</f>
        <v>959910820</v>
      </c>
      <c r="G2295" s="65" t="str">
        <f>IFERROR(__xludf.DUMMYFUNCTION("""COMPUTED_VALUE"""),"castaniermarcelo@gmail.com")</f>
        <v>castaniermarcelo@gmail.com</v>
      </c>
      <c r="H2295" s="65"/>
      <c r="I2295" s="65"/>
      <c r="J2295" s="65" t="str">
        <f>IFERROR(__xludf.DUMMYFUNCTION("""COMPUTED_VALUE"""),"D001195806")</f>
        <v>D001195806</v>
      </c>
      <c r="K2295" s="65" t="str">
        <f>IFERROR(__xludf.DUMMYFUNCTION("""COMPUTED_VALUE"""),"ENTREGADO")</f>
        <v>ENTREGADO</v>
      </c>
      <c r="L2295" s="65" t="str">
        <f>IFERROR(__xludf.DUMMYFUNCTION("""COMPUTED_VALUE"""),"CON RECAUDO")</f>
        <v>CON RECAUDO</v>
      </c>
      <c r="M2295" s="65" t="str">
        <f>IFERROR(__xludf.DUMMYFUNCTION("""COMPUTED_VALUE"""),"CAÑAR")</f>
        <v>CAÑAR</v>
      </c>
      <c r="N2295" s="65" t="str">
        <f>IFERROR(__xludf.DUMMYFUNCTION("""COMPUTED_VALUE"""),"AZOGUES")</f>
        <v>AZOGUES</v>
      </c>
      <c r="O2295" s="65" t="str">
        <f>IFERROR(__xludf.DUMMYFUNCTION("""COMPUTED_VALUE"""),"Calle José De La Cuadra Y Aurelio Falconi. El Calvario. San Francisco. Casa Blanca Diagonal Guardería Cecilia Cordero.")</f>
        <v>Calle José De La Cuadra Y Aurelio Falconi. El Calvario. San Francisco. Casa Blanca Diagonal Guardería Cecilia Cordero.</v>
      </c>
      <c r="P2295" s="65"/>
      <c r="Q2295" s="65" t="str">
        <f>IFERROR(__xludf.DUMMYFUNCTION("""COMPUTED_VALUE"""),"GINTRACOM")</f>
        <v>GINTRACOM</v>
      </c>
      <c r="R2295" s="65">
        <f>IFERROR(__xludf.DUMMYFUNCTION("""COMPUTED_VALUE"""),37.0)</f>
        <v>37</v>
      </c>
      <c r="S2295" s="65">
        <f>IFERROR(__xludf.DUMMYFUNCTION("""COMPUTED_VALUE"""),18.07)</f>
        <v>18.07</v>
      </c>
      <c r="T2295" s="65">
        <f>IFERROR(__xludf.DUMMYFUNCTION("""COMPUTED_VALUE"""),6.43)</f>
        <v>6.43</v>
      </c>
      <c r="U2295" s="65">
        <f>IFERROR(__xludf.DUMMYFUNCTION("""COMPUTED_VALUE"""),0.0)</f>
        <v>0</v>
      </c>
      <c r="V2295" s="65">
        <f>IFERROR(__xludf.DUMMYFUNCTION("""COMPUTED_VALUE"""),0.0)</f>
        <v>0</v>
      </c>
      <c r="W2295" s="65">
        <f>IFERROR(__xludf.DUMMYFUNCTION("""COMPUTED_VALUE"""),0.0)</f>
        <v>0</v>
      </c>
      <c r="X2295" s="65">
        <f>IFERROR(__xludf.DUMMYFUNCTION("""COMPUTED_VALUE"""),2.5)</f>
        <v>2.5</v>
      </c>
      <c r="Y2295" s="65">
        <f>IFERROR(__xludf.DUMMYFUNCTION("""COMPUTED_VALUE"""),12.5)</f>
        <v>12.5</v>
      </c>
      <c r="Z2295" s="65">
        <f>IFERROR(__xludf.DUMMYFUNCTION("""COMPUTED_VALUE"""),78123.0)</f>
        <v>78123</v>
      </c>
      <c r="AA2295" s="65" t="str">
        <f>IFERROR(__xludf.DUMMYFUNCTION("""COMPUTED_VALUE"""),"GT1EG5097")</f>
        <v>GT1EG5097</v>
      </c>
      <c r="AB2295" s="65"/>
      <c r="AC2295" s="65" t="str">
        <f>IFERROR(__xludf.DUMMYFUNCTION("""COMPUTED_VALUE"""),"Geles de baño aromaticos inodoro x 1")</f>
        <v>Geles de baño aromaticos inodoro x 1</v>
      </c>
      <c r="AD2295" s="65"/>
      <c r="AE2295" s="65">
        <f>IFERROR(__xludf.DUMMYFUNCTION("""COMPUTED_VALUE"""),5.0)</f>
        <v>5</v>
      </c>
      <c r="AF2295" s="65"/>
      <c r="AG2295" s="65"/>
      <c r="AH2295" s="65"/>
      <c r="AI2295" s="65"/>
      <c r="AJ2295" s="65"/>
      <c r="AK2295" s="65"/>
      <c r="AL2295" s="65"/>
      <c r="AM2295" s="65"/>
      <c r="AN2295" s="65" t="str">
        <f>IFERROR(__xludf.DUMMYFUNCTION("""COMPUTED_VALUE"""),"11:39")</f>
        <v>11:39</v>
      </c>
      <c r="AO2295" s="65" t="str">
        <f>IFERROR(__xludf.DUMMYFUNCTION("""COMPUTED_VALUE"""),"09-01-2026")</f>
        <v>09-01-2026</v>
      </c>
      <c r="AP2295" s="65" t="str">
        <f>IFERROR(__xludf.DUMMYFUNCTION("""COMPUTED_VALUE"""),"ENTREGADA GINTRACOM")</f>
        <v>ENTREGADA GINTRACOM</v>
      </c>
      <c r="AQ2295" s="65" t="str">
        <f>IFERROR(__xludf.DUMMYFUNCTION("""COMPUTED_VALUE"""),"ENTREGADA GINTRACOM")</f>
        <v>ENTREGADA GINTRACOM</v>
      </c>
      <c r="AR2295" s="65"/>
      <c r="AS2295" s="65"/>
      <c r="AT2295" s="65" t="str">
        <f>IFERROR(__xludf.DUMMYFUNCTION("""COMPUTED_VALUE"""),"SHOPIFY")</f>
        <v>SHOPIFY</v>
      </c>
      <c r="AU2295" s="65" t="str">
        <f>IFERROR(__xludf.DUMMYFUNCTION("""COMPUTED_VALUE"""),"IMPORTEX EC")</f>
        <v>IMPORTEX EC</v>
      </c>
      <c r="AV2295" s="65" t="str">
        <f>IFERROR(__xludf.DUMMYFUNCTION("""COMPUTED_VALUE"""),"6393481035820")</f>
        <v>6393481035820</v>
      </c>
      <c r="AW2295" s="65">
        <f>IFERROR(__xludf.DUMMYFUNCTION("""COMPUTED_VALUE"""),4688.0)</f>
        <v>4688</v>
      </c>
      <c r="AX2295" s="65"/>
      <c r="AY2295" s="65" t="str">
        <f>IFERROR(__xludf.DUMMYFUNCTION("""COMPUTED_VALUE"""),"06/01/2026")</f>
        <v>06/01/2026</v>
      </c>
      <c r="AZ2295" s="65"/>
      <c r="BA2295" s="65"/>
    </row>
    <row r="2296">
      <c r="A2296" s="65" t="str">
        <f>IFERROR(__xludf.DUMMYFUNCTION("""COMPUTED_VALUE"""),"27-03-2026")</f>
        <v>27-03-2026</v>
      </c>
      <c r="B2296" s="65">
        <f>IFERROR(__xludf.DUMMYFUNCTION("""COMPUTED_VALUE"""),4038499.0)</f>
        <v>4038499</v>
      </c>
      <c r="C2296" s="65" t="str">
        <f>IFERROR(__xludf.DUMMYFUNCTION("""COMPUTED_VALUE"""),"06:57")</f>
        <v>06:57</v>
      </c>
      <c r="D2296" s="65" t="str">
        <f>IFERROR(__xludf.DUMMYFUNCTION("""COMPUTED_VALUE"""),"06-01-2026")</f>
        <v>06-01-2026</v>
      </c>
      <c r="E2296" s="65" t="str">
        <f>IFERROR(__xludf.DUMMYFUNCTION("""COMPUTED_VALUE"""),"Almir Sancán")</f>
        <v>Almir Sancán</v>
      </c>
      <c r="F2296" s="65" t="str">
        <f>IFERROR(__xludf.DUMMYFUNCTION("""COMPUTED_VALUE"""),"997525509")</f>
        <v>997525509</v>
      </c>
      <c r="G2296" s="65" t="str">
        <f>IFERROR(__xludf.DUMMYFUNCTION("""COMPUTED_VALUE"""),"tsancan7@hotmail.com")</f>
        <v>tsancan7@hotmail.com</v>
      </c>
      <c r="H2296" s="65"/>
      <c r="I2296" s="65"/>
      <c r="J2296" s="65" t="str">
        <f>IFERROR(__xludf.DUMMYFUNCTION("""COMPUTED_VALUE"""),"D001197678")</f>
        <v>D001197678</v>
      </c>
      <c r="K2296" s="65" t="str">
        <f>IFERROR(__xludf.DUMMYFUNCTION("""COMPUTED_VALUE"""),"DEVOLUCION")</f>
        <v>DEVOLUCION</v>
      </c>
      <c r="L2296" s="65" t="str">
        <f>IFERROR(__xludf.DUMMYFUNCTION("""COMPUTED_VALUE"""),"CON RECAUDO")</f>
        <v>CON RECAUDO</v>
      </c>
      <c r="M2296" s="65" t="str">
        <f>IFERROR(__xludf.DUMMYFUNCTION("""COMPUTED_VALUE"""),"GUAYAS")</f>
        <v>GUAYAS</v>
      </c>
      <c r="N2296" s="65" t="str">
        <f>IFERROR(__xludf.DUMMYFUNCTION("""COMPUTED_VALUE"""),"GUAYAQUIL")</f>
        <v>GUAYAQUIL</v>
      </c>
      <c r="O2296" s="65" t="str">
        <f>IFERROR(__xludf.DUMMYFUNCTION("""COMPUTED_VALUE"""),"Sector Kennedy Norte - Av. Miguel H. Alcívar y Nahim Isaías Barquet. Ed. Torres del Norte A, Piso 8, Ofi. 810")</f>
        <v>Sector Kennedy Norte - Av. Miguel H. Alcívar y Nahim Isaías Barquet. Ed. Torres del Norte A, Piso 8, Ofi. 810</v>
      </c>
      <c r="P2296" s="65"/>
      <c r="Q2296" s="65" t="str">
        <f>IFERROR(__xludf.DUMMYFUNCTION("""COMPUTED_VALUE"""),"GINTRACOM")</f>
        <v>GINTRACOM</v>
      </c>
      <c r="R2296" s="65">
        <f>IFERROR(__xludf.DUMMYFUNCTION("""COMPUTED_VALUE"""),25.0)</f>
        <v>25</v>
      </c>
      <c r="S2296" s="65"/>
      <c r="T2296" s="65">
        <f>IFERROR(__xludf.DUMMYFUNCTION("""COMPUTED_VALUE"""),4.35)</f>
        <v>4.35</v>
      </c>
      <c r="U2296" s="65">
        <f>IFERROR(__xludf.DUMMYFUNCTION("""COMPUTED_VALUE"""),0.0)</f>
        <v>0</v>
      </c>
      <c r="V2296" s="65">
        <f>IFERROR(__xludf.DUMMYFUNCTION("""COMPUTED_VALUE"""),0.0)</f>
        <v>0</v>
      </c>
      <c r="W2296" s="65">
        <f>IFERROR(__xludf.DUMMYFUNCTION("""COMPUTED_VALUE"""),0.0)</f>
        <v>0</v>
      </c>
      <c r="X2296" s="65">
        <f>IFERROR(__xludf.DUMMYFUNCTION("""COMPUTED_VALUE"""),2.79)</f>
        <v>2.79</v>
      </c>
      <c r="Y2296" s="65">
        <f>IFERROR(__xludf.DUMMYFUNCTION("""COMPUTED_VALUE"""),5.58)</f>
        <v>5.58</v>
      </c>
      <c r="Z2296" s="65">
        <f>IFERROR(__xludf.DUMMYFUNCTION("""COMPUTED_VALUE"""),120732.0)</f>
        <v>120732</v>
      </c>
      <c r="AA2296" s="65" t="str">
        <f>IFERROR(__xludf.DUMMYFUNCTION("""COMPUTED_VALUE"""),"PROV-LMPVT")</f>
        <v>PROV-LMPVT</v>
      </c>
      <c r="AB2296" s="65"/>
      <c r="AC2296" s="65" t="str">
        <f>IFERROR(__xludf.DUMMYFUNCTION("""COMPUTED_VALUE"""),"LIMPIADOR DE PARABRISAS Y VENTANAS")</f>
        <v>LIMPIADOR DE PARABRISAS Y VENTANAS</v>
      </c>
      <c r="AD2296" s="65"/>
      <c r="AE2296" s="65">
        <f>IFERROR(__xludf.DUMMYFUNCTION("""COMPUTED_VALUE"""),2.0)</f>
        <v>2</v>
      </c>
      <c r="AF2296" s="65" t="str">
        <f>IFERROR(__xludf.DUMMYFUNCTION("""COMPUTED_VALUE"""),"DESTINATARIO NO CONTESTA LLAMADAS NI WHATSAPP")</f>
        <v>DESTINATARIO NO CONTESTA LLAMADAS NI WHATSAPP</v>
      </c>
      <c r="AG2296" s="65" t="str">
        <f>IFERROR(__xludf.DUMMYFUNCTION("""COMPUTED_VALUE"""),"NO")</f>
        <v>NO</v>
      </c>
      <c r="AH2296" s="65" t="str">
        <f>IFERROR(__xludf.DUMMYFUNCTION("""COMPUTED_VALUE"""),"09:00")</f>
        <v>09:00</v>
      </c>
      <c r="AI2296" s="65" t="str">
        <f>IFERROR(__xludf.DUMMYFUNCTION("""COMPUTED_VALUE"""),"16-01-2026")</f>
        <v>16-01-2026</v>
      </c>
      <c r="AJ2296" s="65"/>
      <c r="AK2296" s="65"/>
      <c r="AL2296" s="65"/>
      <c r="AM2296" s="65"/>
      <c r="AN2296" s="65" t="str">
        <f>IFERROR(__xludf.DUMMYFUNCTION("""COMPUTED_VALUE"""),"16:31")</f>
        <v>16:31</v>
      </c>
      <c r="AO2296" s="65" t="str">
        <f>IFERROR(__xludf.DUMMYFUNCTION("""COMPUTED_VALUE"""),"29-01-2026")</f>
        <v>29-01-2026</v>
      </c>
      <c r="AP2296" s="65" t="str">
        <f>IFERROR(__xludf.DUMMYFUNCTION("""COMPUTED_VALUE"""),"DEV CONFIRMADA POR BODEGA")</f>
        <v>DEV CONFIRMADA POR BODEGA</v>
      </c>
      <c r="AQ2296" s="65"/>
      <c r="AR2296" s="65" t="str">
        <f>IFERROR(__xludf.DUMMYFUNCTION("""COMPUTED_VALUE"""),"Gestionado por: Moran Daniel, email:danielmorga2005@gmail.com, total de productos en la orden: 1")</f>
        <v>Gestionado por: Moran Daniel, email:danielmorga2005@gmail.com, total de productos en la orden: 1</v>
      </c>
      <c r="AS2296" s="65"/>
      <c r="AT2296" s="65" t="str">
        <f>IFERROR(__xludf.DUMMYFUNCTION("""COMPUTED_VALUE"""),"SHOPIFY")</f>
        <v>SHOPIFY</v>
      </c>
      <c r="AU2296" s="65" t="str">
        <f>IFERROR(__xludf.DUMMYFUNCTION("""COMPUTED_VALUE"""),"IMPORTEX EC")</f>
        <v>IMPORTEX EC</v>
      </c>
      <c r="AV2296" s="65" t="str">
        <f>IFERROR(__xludf.DUMMYFUNCTION("""COMPUTED_VALUE"""),"6393473630252")</f>
        <v>6393473630252</v>
      </c>
      <c r="AW2296" s="65">
        <f>IFERROR(__xludf.DUMMYFUNCTION("""COMPUTED_VALUE"""),4687.0)</f>
        <v>4687</v>
      </c>
      <c r="AX2296" s="65"/>
      <c r="AY2296" s="65" t="str">
        <f>IFERROR(__xludf.DUMMYFUNCTION("""COMPUTED_VALUE"""),"07/01/2026")</f>
        <v>07/01/2026</v>
      </c>
      <c r="AZ2296" s="65"/>
      <c r="BA2296" s="65"/>
    </row>
    <row r="2297">
      <c r="A2297" s="65" t="str">
        <f>IFERROR(__xludf.DUMMYFUNCTION("""COMPUTED_VALUE"""),"27-03-2026")</f>
        <v>27-03-2026</v>
      </c>
      <c r="B2297" s="65">
        <f>IFERROR(__xludf.DUMMYFUNCTION("""COMPUTED_VALUE"""),4038396.0)</f>
        <v>4038396</v>
      </c>
      <c r="C2297" s="65" t="str">
        <f>IFERROR(__xludf.DUMMYFUNCTION("""COMPUTED_VALUE"""),"06:42")</f>
        <v>06:42</v>
      </c>
      <c r="D2297" s="65" t="str">
        <f>IFERROR(__xludf.DUMMYFUNCTION("""COMPUTED_VALUE"""),"06-01-2026")</f>
        <v>06-01-2026</v>
      </c>
      <c r="E2297" s="65" t="str">
        <f>IFERROR(__xludf.DUMMYFUNCTION("""COMPUTED_VALUE"""),"Fernando Medina")</f>
        <v>Fernando Medina</v>
      </c>
      <c r="F2297" s="65" t="str">
        <f>IFERROR(__xludf.DUMMYFUNCTION("""COMPUTED_VALUE"""),"967615580")</f>
        <v>967615580</v>
      </c>
      <c r="G2297" s="65" t="str">
        <f>IFERROR(__xludf.DUMMYFUNCTION("""COMPUTED_VALUE"""),"fernandogilse1978@gmail.com")</f>
        <v>fernandogilse1978@gmail.com</v>
      </c>
      <c r="H2297" s="65"/>
      <c r="I2297" s="65"/>
      <c r="J2297" s="65" t="str">
        <f>IFERROR(__xludf.DUMMYFUNCTION("""COMPUTED_VALUE"""),"D001195907")</f>
        <v>D001195907</v>
      </c>
      <c r="K2297" s="65" t="str">
        <f>IFERROR(__xludf.DUMMYFUNCTION("""COMPUTED_VALUE"""),"ENTREGADO")</f>
        <v>ENTREGADO</v>
      </c>
      <c r="L2297" s="65" t="str">
        <f>IFERROR(__xludf.DUMMYFUNCTION("""COMPUTED_VALUE"""),"CON RECAUDO")</f>
        <v>CON RECAUDO</v>
      </c>
      <c r="M2297" s="65" t="str">
        <f>IFERROR(__xludf.DUMMYFUNCTION("""COMPUTED_VALUE"""),"PICHINCHA")</f>
        <v>PICHINCHA</v>
      </c>
      <c r="N2297" s="65" t="str">
        <f>IFERROR(__xludf.DUMMYFUNCTION("""COMPUTED_VALUE"""),"QUITO")</f>
        <v>QUITO</v>
      </c>
      <c r="O2297" s="65" t="str">
        <f>IFERROR(__xludf.DUMMYFUNCTION("""COMPUTED_VALUE"""),"Sector Comité del Pueblo - Av. Jorge Garcés y Calle Francisco Reboledo - Frente a Farmacia Sana Sana")</f>
        <v>Sector Comité del Pueblo - Av. Jorge Garcés y Calle Francisco Reboledo - Frente a Farmacia Sana Sana</v>
      </c>
      <c r="P2297" s="65"/>
      <c r="Q2297" s="65" t="str">
        <f>IFERROR(__xludf.DUMMYFUNCTION("""COMPUTED_VALUE"""),"GINTRACOM")</f>
        <v>GINTRACOM</v>
      </c>
      <c r="R2297" s="65">
        <f>IFERROR(__xludf.DUMMYFUNCTION("""COMPUTED_VALUE"""),20.0)</f>
        <v>20</v>
      </c>
      <c r="S2297" s="65">
        <f>IFERROR(__xludf.DUMMYFUNCTION("""COMPUTED_VALUE"""),11.45)</f>
        <v>11.45</v>
      </c>
      <c r="T2297" s="65">
        <f>IFERROR(__xludf.DUMMYFUNCTION("""COMPUTED_VALUE"""),5.76)</f>
        <v>5.76</v>
      </c>
      <c r="U2297" s="65">
        <f>IFERROR(__xludf.DUMMYFUNCTION("""COMPUTED_VALUE"""),0.0)</f>
        <v>0</v>
      </c>
      <c r="V2297" s="65">
        <f>IFERROR(__xludf.DUMMYFUNCTION("""COMPUTED_VALUE"""),0.0)</f>
        <v>0</v>
      </c>
      <c r="W2297" s="65">
        <f>IFERROR(__xludf.DUMMYFUNCTION("""COMPUTED_VALUE"""),0.0)</f>
        <v>0</v>
      </c>
      <c r="X2297" s="65">
        <f>IFERROR(__xludf.DUMMYFUNCTION("""COMPUTED_VALUE"""),2.79)</f>
        <v>2.79</v>
      </c>
      <c r="Y2297" s="65">
        <f>IFERROR(__xludf.DUMMYFUNCTION("""COMPUTED_VALUE"""),2.79)</f>
        <v>2.79</v>
      </c>
      <c r="Z2297" s="65">
        <f>IFERROR(__xludf.DUMMYFUNCTION("""COMPUTED_VALUE"""),120732.0)</f>
        <v>120732</v>
      </c>
      <c r="AA2297" s="65" t="str">
        <f>IFERROR(__xludf.DUMMYFUNCTION("""COMPUTED_VALUE"""),"PROV-LMPVT")</f>
        <v>PROV-LMPVT</v>
      </c>
      <c r="AB2297" s="65"/>
      <c r="AC2297" s="65" t="str">
        <f>IFERROR(__xludf.DUMMYFUNCTION("""COMPUTED_VALUE"""),"LIMPIADOR DE PARABRISAS Y VENTANAS")</f>
        <v>LIMPIADOR DE PARABRISAS Y VENTANAS</v>
      </c>
      <c r="AD2297" s="65"/>
      <c r="AE2297" s="65">
        <f>IFERROR(__xludf.DUMMYFUNCTION("""COMPUTED_VALUE"""),1.0)</f>
        <v>1</v>
      </c>
      <c r="AF2297" s="65"/>
      <c r="AG2297" s="65"/>
      <c r="AH2297" s="65"/>
      <c r="AI2297" s="65"/>
      <c r="AJ2297" s="65"/>
      <c r="AK2297" s="65"/>
      <c r="AL2297" s="65"/>
      <c r="AM2297" s="65"/>
      <c r="AN2297" s="65" t="str">
        <f>IFERROR(__xludf.DUMMYFUNCTION("""COMPUTED_VALUE"""),"01:31")</f>
        <v>01:31</v>
      </c>
      <c r="AO2297" s="65" t="str">
        <f>IFERROR(__xludf.DUMMYFUNCTION("""COMPUTED_VALUE"""),"09-01-2026")</f>
        <v>09-01-2026</v>
      </c>
      <c r="AP2297" s="65" t="str">
        <f>IFERROR(__xludf.DUMMYFUNCTION("""COMPUTED_VALUE"""),"ENTREGADA GINTRACOM")</f>
        <v>ENTREGADA GINTRACOM</v>
      </c>
      <c r="AQ2297" s="65" t="str">
        <f>IFERROR(__xludf.DUMMYFUNCTION("""COMPUTED_VALUE"""),"ENTREGADA GINTRACOM")</f>
        <v>ENTREGADA GINTRACOM</v>
      </c>
      <c r="AR2297" s="65"/>
      <c r="AS2297" s="65"/>
      <c r="AT2297" s="65" t="str">
        <f>IFERROR(__xludf.DUMMYFUNCTION("""COMPUTED_VALUE"""),"SHOPIFY")</f>
        <v>SHOPIFY</v>
      </c>
      <c r="AU2297" s="65" t="str">
        <f>IFERROR(__xludf.DUMMYFUNCTION("""COMPUTED_VALUE"""),"IMPORTEX EC")</f>
        <v>IMPORTEX EC</v>
      </c>
      <c r="AV2297" s="65" t="str">
        <f>IFERROR(__xludf.DUMMYFUNCTION("""COMPUTED_VALUE"""),"6393456984108")</f>
        <v>6393456984108</v>
      </c>
      <c r="AW2297" s="65">
        <f>IFERROR(__xludf.DUMMYFUNCTION("""COMPUTED_VALUE"""),4685.0)</f>
        <v>4685</v>
      </c>
      <c r="AX2297" s="65"/>
      <c r="AY2297" s="65" t="str">
        <f>IFERROR(__xludf.DUMMYFUNCTION("""COMPUTED_VALUE"""),"06/01/2026")</f>
        <v>06/01/2026</v>
      </c>
      <c r="AZ2297" s="65"/>
      <c r="BA2297" s="65"/>
    </row>
    <row r="2298">
      <c r="A2298" s="65" t="str">
        <f>IFERROR(__xludf.DUMMYFUNCTION("""COMPUTED_VALUE"""),"27-03-2026")</f>
        <v>27-03-2026</v>
      </c>
      <c r="B2298" s="65">
        <f>IFERROR(__xludf.DUMMYFUNCTION("""COMPUTED_VALUE"""),4037533.0)</f>
        <v>4037533</v>
      </c>
      <c r="C2298" s="65" t="str">
        <f>IFERROR(__xludf.DUMMYFUNCTION("""COMPUTED_VALUE"""),"00:09")</f>
        <v>00:09</v>
      </c>
      <c r="D2298" s="65" t="str">
        <f>IFERROR(__xludf.DUMMYFUNCTION("""COMPUTED_VALUE"""),"06-01-2026")</f>
        <v>06-01-2026</v>
      </c>
      <c r="E2298" s="65" t="str">
        <f>IFERROR(__xludf.DUMMYFUNCTION("""COMPUTED_VALUE"""),"Ingri martinez 0992226503")</f>
        <v>Ingri martinez 0992226503</v>
      </c>
      <c r="F2298" s="65" t="str">
        <f>IFERROR(__xludf.DUMMYFUNCTION("""COMPUTED_VALUE"""),"992226503")</f>
        <v>992226503</v>
      </c>
      <c r="G2298" s="65" t="str">
        <f>IFERROR(__xludf.DUMMYFUNCTION("""COMPUTED_VALUE"""),"mayibeortiz804@gmail.com")</f>
        <v>mayibeortiz804@gmail.com</v>
      </c>
      <c r="H2298" s="65"/>
      <c r="I2298" s="65"/>
      <c r="J2298" s="65" t="str">
        <f>IFERROR(__xludf.DUMMYFUNCTION("""COMPUTED_VALUE"""),"D001195814")</f>
        <v>D001195814</v>
      </c>
      <c r="K2298" s="65" t="str">
        <f>IFERROR(__xludf.DUMMYFUNCTION("""COMPUTED_VALUE"""),"DEVOLUCION")</f>
        <v>DEVOLUCION</v>
      </c>
      <c r="L2298" s="65" t="str">
        <f>IFERROR(__xludf.DUMMYFUNCTION("""COMPUTED_VALUE"""),"CON RECAUDO")</f>
        <v>CON RECAUDO</v>
      </c>
      <c r="M2298" s="65" t="str">
        <f>IFERROR(__xludf.DUMMYFUNCTION("""COMPUTED_VALUE"""),"SUCUMBIOS")</f>
        <v>SUCUMBIOS</v>
      </c>
      <c r="N2298" s="65" t="str">
        <f>IFERROR(__xludf.DUMMYFUNCTION("""COMPUTED_VALUE"""),"LAGO AGRIO")</f>
        <v>LAGO AGRIO</v>
      </c>
      <c r="O2298" s="65" t="str">
        <f>IFERROR(__xludf.DUMMYFUNCTION("""COMPUTED_VALUE"""),"Av. Circunvalación y Av. Jorge González Granda, Frente Ropa Americana Lole, Ref. por los tanques de agua.")</f>
        <v>Av. Circunvalación y Av. Jorge González Granda, Frente Ropa Americana Lole, Ref. por los tanques de agua.</v>
      </c>
      <c r="P2298" s="65"/>
      <c r="Q2298" s="65" t="str">
        <f>IFERROR(__xludf.DUMMYFUNCTION("""COMPUTED_VALUE"""),"GINTRACOM")</f>
        <v>GINTRACOM</v>
      </c>
      <c r="R2298" s="65">
        <f>IFERROR(__xludf.DUMMYFUNCTION("""COMPUTED_VALUE"""),32.0)</f>
        <v>32</v>
      </c>
      <c r="S2298" s="65"/>
      <c r="T2298" s="65">
        <f>IFERROR(__xludf.DUMMYFUNCTION("""COMPUTED_VALUE"""),6.24)</f>
        <v>6.24</v>
      </c>
      <c r="U2298" s="65">
        <f>IFERROR(__xludf.DUMMYFUNCTION("""COMPUTED_VALUE"""),0.0)</f>
        <v>0</v>
      </c>
      <c r="V2298" s="65">
        <f>IFERROR(__xludf.DUMMYFUNCTION("""COMPUTED_VALUE"""),0.0)</f>
        <v>0</v>
      </c>
      <c r="W2298" s="65">
        <f>IFERROR(__xludf.DUMMYFUNCTION("""COMPUTED_VALUE"""),0.0)</f>
        <v>0</v>
      </c>
      <c r="X2298" s="65">
        <f>IFERROR(__xludf.DUMMYFUNCTION("""COMPUTED_VALUE"""),2.5)</f>
        <v>2.5</v>
      </c>
      <c r="Y2298" s="65">
        <f>IFERROR(__xludf.DUMMYFUNCTION("""COMPUTED_VALUE"""),10.0)</f>
        <v>10</v>
      </c>
      <c r="Z2298" s="65">
        <f>IFERROR(__xludf.DUMMYFUNCTION("""COMPUTED_VALUE"""),78123.0)</f>
        <v>78123</v>
      </c>
      <c r="AA2298" s="65" t="str">
        <f>IFERROR(__xludf.DUMMYFUNCTION("""COMPUTED_VALUE"""),"GT1EG5097")</f>
        <v>GT1EG5097</v>
      </c>
      <c r="AB2298" s="65"/>
      <c r="AC2298" s="65" t="str">
        <f>IFERROR(__xludf.DUMMYFUNCTION("""COMPUTED_VALUE"""),"Geles de baño aromaticos inodoro x 1")</f>
        <v>Geles de baño aromaticos inodoro x 1</v>
      </c>
      <c r="AD2298" s="65"/>
      <c r="AE2298" s="65">
        <f>IFERROR(__xludf.DUMMYFUNCTION("""COMPUTED_VALUE"""),4.0)</f>
        <v>4</v>
      </c>
      <c r="AF2298" s="65" t="str">
        <f>IFERROR(__xludf.DUMMYFUNCTION("""COMPUTED_VALUE"""),"DESTINATARIO NO CONTESTA LLAMADAS NI WHATSAPP")</f>
        <v>DESTINATARIO NO CONTESTA LLAMADAS NI WHATSAPP</v>
      </c>
      <c r="AG2298" s="65" t="str">
        <f>IFERROR(__xludf.DUMMYFUNCTION("""COMPUTED_VALUE"""),"NO")</f>
        <v>NO</v>
      </c>
      <c r="AH2298" s="65" t="str">
        <f>IFERROR(__xludf.DUMMYFUNCTION("""COMPUTED_VALUE"""),"09:00")</f>
        <v>09:00</v>
      </c>
      <c r="AI2298" s="65" t="str">
        <f>IFERROR(__xludf.DUMMYFUNCTION("""COMPUTED_VALUE"""),"17-01-2026")</f>
        <v>17-01-2026</v>
      </c>
      <c r="AJ2298" s="65"/>
      <c r="AK2298" s="65"/>
      <c r="AL2298" s="65"/>
      <c r="AM2298" s="65"/>
      <c r="AN2298" s="65" t="str">
        <f>IFERROR(__xludf.DUMMYFUNCTION("""COMPUTED_VALUE"""),"03:02")</f>
        <v>03:02</v>
      </c>
      <c r="AO2298" s="65" t="str">
        <f>IFERROR(__xludf.DUMMYFUNCTION("""COMPUTED_VALUE"""),"19-01-2026")</f>
        <v>19-01-2026</v>
      </c>
      <c r="AP2298" s="65" t="str">
        <f>IFERROR(__xludf.DUMMYFUNCTION("""COMPUTED_VALUE"""),"DEVOLUCIÓN")</f>
        <v>DEVOLUCIÓN</v>
      </c>
      <c r="AQ2298" s="65" t="str">
        <f>IFERROR(__xludf.DUMMYFUNCTION("""COMPUTED_VALUE"""),"DEVOLUCIÓN")</f>
        <v>DEVOLUCIÓN</v>
      </c>
      <c r="AR2298" s="65"/>
      <c r="AS2298" s="65"/>
      <c r="AT2298" s="65" t="str">
        <f>IFERROR(__xludf.DUMMYFUNCTION("""COMPUTED_VALUE"""),"SHOPIFY")</f>
        <v>SHOPIFY</v>
      </c>
      <c r="AU2298" s="65" t="str">
        <f>IFERROR(__xludf.DUMMYFUNCTION("""COMPUTED_VALUE"""),"IMPORTEX EC")</f>
        <v>IMPORTEX EC</v>
      </c>
      <c r="AV2298" s="65" t="str">
        <f>IFERROR(__xludf.DUMMYFUNCTION("""COMPUTED_VALUE"""),"6393064685612")</f>
        <v>6393064685612</v>
      </c>
      <c r="AW2298" s="65">
        <f>IFERROR(__xludf.DUMMYFUNCTION("""COMPUTED_VALUE"""),4684.0)</f>
        <v>4684</v>
      </c>
      <c r="AX2298" s="65"/>
      <c r="AY2298" s="65" t="str">
        <f>IFERROR(__xludf.DUMMYFUNCTION("""COMPUTED_VALUE"""),"06/01/2026")</f>
        <v>06/01/2026</v>
      </c>
      <c r="AZ2298" s="65"/>
      <c r="BA2298" s="65"/>
    </row>
    <row r="2299">
      <c r="A2299" s="65" t="str">
        <f>IFERROR(__xludf.DUMMYFUNCTION("""COMPUTED_VALUE"""),"27-03-2026")</f>
        <v>27-03-2026</v>
      </c>
      <c r="B2299" s="65">
        <f>IFERROR(__xludf.DUMMYFUNCTION("""COMPUTED_VALUE"""),4033377.0)</f>
        <v>4033377</v>
      </c>
      <c r="C2299" s="65" t="str">
        <f>IFERROR(__xludf.DUMMYFUNCTION("""COMPUTED_VALUE"""),"17:53")</f>
        <v>17:53</v>
      </c>
      <c r="D2299" s="65" t="str">
        <f>IFERROR(__xludf.DUMMYFUNCTION("""COMPUTED_VALUE"""),"05-01-2026")</f>
        <v>05-01-2026</v>
      </c>
      <c r="E2299" s="65" t="str">
        <f>IFERROR(__xludf.DUMMYFUNCTION("""COMPUTED_VALUE"""),"Betsabeth Gonzalez")</f>
        <v>Betsabeth Gonzalez</v>
      </c>
      <c r="F2299" s="65" t="str">
        <f>IFERROR(__xludf.DUMMYFUNCTION("""COMPUTED_VALUE"""),"988857137")</f>
        <v>988857137</v>
      </c>
      <c r="G2299" s="65" t="str">
        <f>IFERROR(__xludf.DUMMYFUNCTION("""COMPUTED_VALUE"""),"gonzalezsantamariabetsabethpil@gmail.com")</f>
        <v>gonzalezsantamariabetsabethpil@gmail.com</v>
      </c>
      <c r="H2299" s="65"/>
      <c r="I2299" s="65"/>
      <c r="J2299" s="65" t="str">
        <f>IFERROR(__xludf.DUMMYFUNCTION("""COMPUTED_VALUE"""),"D001195833")</f>
        <v>D001195833</v>
      </c>
      <c r="K2299" s="65" t="str">
        <f>IFERROR(__xludf.DUMMYFUNCTION("""COMPUTED_VALUE"""),"DEVOLUCION")</f>
        <v>DEVOLUCION</v>
      </c>
      <c r="L2299" s="65" t="str">
        <f>IFERROR(__xludf.DUMMYFUNCTION("""COMPUTED_VALUE"""),"CON RECAUDO")</f>
        <v>CON RECAUDO</v>
      </c>
      <c r="M2299" s="65" t="str">
        <f>IFERROR(__xludf.DUMMYFUNCTION("""COMPUTED_VALUE"""),"PICHINCHA")</f>
        <v>PICHINCHA</v>
      </c>
      <c r="N2299" s="65" t="str">
        <f>IFERROR(__xludf.DUMMYFUNCTION("""COMPUTED_VALUE"""),"CUMBAYA")</f>
        <v>CUMBAYA</v>
      </c>
      <c r="O2299" s="65" t="str">
        <f>IFERROR(__xludf.DUMMYFUNCTION("""COMPUTED_VALUE"""),"Sector Cumbayá - Calle Federico González Suarez y Calle Francisco de Orellana - Viña del Este - Villa 18")</f>
        <v>Sector Cumbayá - Calle Federico González Suarez y Calle Francisco de Orellana - Viña del Este - Villa 18</v>
      </c>
      <c r="P2299" s="65"/>
      <c r="Q2299" s="65" t="str">
        <f>IFERROR(__xludf.DUMMYFUNCTION("""COMPUTED_VALUE"""),"GINTRACOM")</f>
        <v>GINTRACOM</v>
      </c>
      <c r="R2299" s="65">
        <f>IFERROR(__xludf.DUMMYFUNCTION("""COMPUTED_VALUE"""),37.0)</f>
        <v>37</v>
      </c>
      <c r="S2299" s="65"/>
      <c r="T2299" s="65">
        <f>IFERROR(__xludf.DUMMYFUNCTION("""COMPUTED_VALUE"""),6.43)</f>
        <v>6.43</v>
      </c>
      <c r="U2299" s="65">
        <f>IFERROR(__xludf.DUMMYFUNCTION("""COMPUTED_VALUE"""),0.0)</f>
        <v>0</v>
      </c>
      <c r="V2299" s="65">
        <f>IFERROR(__xludf.DUMMYFUNCTION("""COMPUTED_VALUE"""),0.0)</f>
        <v>0</v>
      </c>
      <c r="W2299" s="65">
        <f>IFERROR(__xludf.DUMMYFUNCTION("""COMPUTED_VALUE"""),0.0)</f>
        <v>0</v>
      </c>
      <c r="X2299" s="65">
        <f>IFERROR(__xludf.DUMMYFUNCTION("""COMPUTED_VALUE"""),2.5)</f>
        <v>2.5</v>
      </c>
      <c r="Y2299" s="65">
        <f>IFERROR(__xludf.DUMMYFUNCTION("""COMPUTED_VALUE"""),12.5)</f>
        <v>12.5</v>
      </c>
      <c r="Z2299" s="65">
        <f>IFERROR(__xludf.DUMMYFUNCTION("""COMPUTED_VALUE"""),78123.0)</f>
        <v>78123</v>
      </c>
      <c r="AA2299" s="65" t="str">
        <f>IFERROR(__xludf.DUMMYFUNCTION("""COMPUTED_VALUE"""),"GT1EG5097")</f>
        <v>GT1EG5097</v>
      </c>
      <c r="AB2299" s="65"/>
      <c r="AC2299" s="65" t="str">
        <f>IFERROR(__xludf.DUMMYFUNCTION("""COMPUTED_VALUE"""),"Geles de baño aromaticos inodoro x 1")</f>
        <v>Geles de baño aromaticos inodoro x 1</v>
      </c>
      <c r="AD2299" s="65"/>
      <c r="AE2299" s="65">
        <f>IFERROR(__xludf.DUMMYFUNCTION("""COMPUTED_VALUE"""),5.0)</f>
        <v>5</v>
      </c>
      <c r="AF2299" s="65" t="str">
        <f>IFERROR(__xludf.DUMMYFUNCTION("""COMPUTED_VALUE"""),"DESTINATARIO NO CONTESTA LLAMADAS NI WHATSAPP")</f>
        <v>DESTINATARIO NO CONTESTA LLAMADAS NI WHATSAPP</v>
      </c>
      <c r="AG2299" s="65" t="str">
        <f>IFERROR(__xludf.DUMMYFUNCTION("""COMPUTED_VALUE"""),"NO")</f>
        <v>NO</v>
      </c>
      <c r="AH2299" s="65" t="str">
        <f>IFERROR(__xludf.DUMMYFUNCTION("""COMPUTED_VALUE"""),"09:00")</f>
        <v>09:00</v>
      </c>
      <c r="AI2299" s="65" t="str">
        <f>IFERROR(__xludf.DUMMYFUNCTION("""COMPUTED_VALUE"""),"16-01-2026")</f>
        <v>16-01-2026</v>
      </c>
      <c r="AJ2299" s="65"/>
      <c r="AK2299" s="65"/>
      <c r="AL2299" s="65"/>
      <c r="AM2299" s="65"/>
      <c r="AN2299" s="65" t="str">
        <f>IFERROR(__xludf.DUMMYFUNCTION("""COMPUTED_VALUE"""),"03:05")</f>
        <v>03:05</v>
      </c>
      <c r="AO2299" s="65" t="str">
        <f>IFERROR(__xludf.DUMMYFUNCTION("""COMPUTED_VALUE"""),"18-01-2026")</f>
        <v>18-01-2026</v>
      </c>
      <c r="AP2299" s="65" t="str">
        <f>IFERROR(__xludf.DUMMYFUNCTION("""COMPUTED_VALUE"""),"DEVOLUCIÓN")</f>
        <v>DEVOLUCIÓN</v>
      </c>
      <c r="AQ2299" s="65" t="str">
        <f>IFERROR(__xludf.DUMMYFUNCTION("""COMPUTED_VALUE"""),"DEVOLUCIÓN")</f>
        <v>DEVOLUCIÓN</v>
      </c>
      <c r="AR2299" s="65"/>
      <c r="AS2299" s="65"/>
      <c r="AT2299" s="65" t="str">
        <f>IFERROR(__xludf.DUMMYFUNCTION("""COMPUTED_VALUE"""),"SHOPIFY")</f>
        <v>SHOPIFY</v>
      </c>
      <c r="AU2299" s="65" t="str">
        <f>IFERROR(__xludf.DUMMYFUNCTION("""COMPUTED_VALUE"""),"IMPORTEX EC")</f>
        <v>IMPORTEX EC</v>
      </c>
      <c r="AV2299" s="65" t="str">
        <f>IFERROR(__xludf.DUMMYFUNCTION("""COMPUTED_VALUE"""),"6392461426732")</f>
        <v>6392461426732</v>
      </c>
      <c r="AW2299" s="65">
        <f>IFERROR(__xludf.DUMMYFUNCTION("""COMPUTED_VALUE"""),4671.0)</f>
        <v>4671</v>
      </c>
      <c r="AX2299" s="65"/>
      <c r="AY2299" s="65" t="str">
        <f>IFERROR(__xludf.DUMMYFUNCTION("""COMPUTED_VALUE"""),"06/01/2026")</f>
        <v>06/01/2026</v>
      </c>
      <c r="AZ2299" s="65"/>
      <c r="BA2299" s="65"/>
    </row>
    <row r="2300">
      <c r="A2300" s="65" t="str">
        <f>IFERROR(__xludf.DUMMYFUNCTION("""COMPUTED_VALUE"""),"27-03-2026")</f>
        <v>27-03-2026</v>
      </c>
      <c r="B2300" s="65">
        <f>IFERROR(__xludf.DUMMYFUNCTION("""COMPUTED_VALUE"""),4033136.0)</f>
        <v>4033136</v>
      </c>
      <c r="C2300" s="65" t="str">
        <f>IFERROR(__xludf.DUMMYFUNCTION("""COMPUTED_VALUE"""),"17:32")</f>
        <v>17:32</v>
      </c>
      <c r="D2300" s="65" t="str">
        <f>IFERROR(__xludf.DUMMYFUNCTION("""COMPUTED_VALUE"""),"05-01-2026")</f>
        <v>05-01-2026</v>
      </c>
      <c r="E2300" s="65" t="str">
        <f>IFERROR(__xludf.DUMMYFUNCTION("""COMPUTED_VALUE"""),"RAMIRO MENESES")</f>
        <v>RAMIRO MENESES</v>
      </c>
      <c r="F2300" s="65" t="str">
        <f>IFERROR(__xludf.DUMMYFUNCTION("""COMPUTED_VALUE"""),"0982616783")</f>
        <v>0982616783</v>
      </c>
      <c r="G2300" s="65" t="str">
        <f>IFERROR(__xludf.DUMMYFUNCTION("""COMPUTED_VALUE"""),"rammendav1@yahoo.es")</f>
        <v>rammendav1@yahoo.es</v>
      </c>
      <c r="H2300" s="65"/>
      <c r="I2300" s="65"/>
      <c r="J2300" s="65" t="str">
        <f>IFERROR(__xludf.DUMMYFUNCTION("""COMPUTED_VALUE"""),"D001201102")</f>
        <v>D001201102</v>
      </c>
      <c r="K2300" s="65" t="str">
        <f>IFERROR(__xludf.DUMMYFUNCTION("""COMPUTED_VALUE"""),"ENTREGADO")</f>
        <v>ENTREGADO</v>
      </c>
      <c r="L2300" s="65" t="str">
        <f>IFERROR(__xludf.DUMMYFUNCTION("""COMPUTED_VALUE"""),"CON RECAUDO")</f>
        <v>CON RECAUDO</v>
      </c>
      <c r="M2300" s="65" t="str">
        <f>IFERROR(__xludf.DUMMYFUNCTION("""COMPUTED_VALUE"""),"IMBABURA")</f>
        <v>IMBABURA</v>
      </c>
      <c r="N2300" s="65" t="str">
        <f>IFERROR(__xludf.DUMMYFUNCTION("""COMPUTED_VALUE"""),"IBARRA")</f>
        <v>IBARRA</v>
      </c>
      <c r="O2300" s="65" t="str">
        <f>IFERROR(__xludf.DUMMYFUNCTION("""COMPUTED_VALUE"""),"Calle QUILAGO y Av. EL RETORNO")</f>
        <v>Calle QUILAGO y Av. EL RETORNO</v>
      </c>
      <c r="P2300" s="65" t="str">
        <f>IFERROR(__xludf.DUMMYFUNCTION("""COMPUTED_VALUE"""),"LLAVE TRINQUETE: Default Title ***")</f>
        <v>LLAVE TRINQUETE: Default Title ***</v>
      </c>
      <c r="Q2300" s="65" t="str">
        <f>IFERROR(__xludf.DUMMYFUNCTION("""COMPUTED_VALUE"""),"GINTRACOM")</f>
        <v>GINTRACOM</v>
      </c>
      <c r="R2300" s="65">
        <f>IFERROR(__xludf.DUMMYFUNCTION("""COMPUTED_VALUE"""),20.0)</f>
        <v>20</v>
      </c>
      <c r="S2300" s="65">
        <f>IFERROR(__xludf.DUMMYFUNCTION("""COMPUTED_VALUE"""),9.24)</f>
        <v>9.24</v>
      </c>
      <c r="T2300" s="65">
        <f>IFERROR(__xludf.DUMMYFUNCTION("""COMPUTED_VALUE"""),5.76)</f>
        <v>5.76</v>
      </c>
      <c r="U2300" s="65">
        <f>IFERROR(__xludf.DUMMYFUNCTION("""COMPUTED_VALUE"""),0.0)</f>
        <v>0</v>
      </c>
      <c r="V2300" s="65">
        <f>IFERROR(__xludf.DUMMYFUNCTION("""COMPUTED_VALUE"""),0.0)</f>
        <v>0</v>
      </c>
      <c r="W2300" s="65">
        <f>IFERROR(__xludf.DUMMYFUNCTION("""COMPUTED_VALUE"""),0.0)</f>
        <v>0</v>
      </c>
      <c r="X2300" s="65">
        <f>IFERROR(__xludf.DUMMYFUNCTION("""COMPUTED_VALUE"""),5.0)</f>
        <v>5</v>
      </c>
      <c r="Y2300" s="65">
        <f>IFERROR(__xludf.DUMMYFUNCTION("""COMPUTED_VALUE"""),5.0)</f>
        <v>5</v>
      </c>
      <c r="Z2300" s="65">
        <f>IFERROR(__xludf.DUMMYFUNCTION("""COMPUTED_VALUE"""),110064.0)</f>
        <v>110064</v>
      </c>
      <c r="AA2300" s="65" t="str">
        <f>IFERROR(__xludf.DUMMYFUNCTION("""COMPUTED_VALUE"""),"IMX-00001")</f>
        <v>IMX-00001</v>
      </c>
      <c r="AB2300" s="65"/>
      <c r="AC2300" s="65" t="str">
        <f>IFERROR(__xludf.DUMMYFUNCTION("""COMPUTED_VALUE"""),"LLAVE TRINQUETE")</f>
        <v>LLAVE TRINQUETE</v>
      </c>
      <c r="AD2300" s="65"/>
      <c r="AE2300" s="65">
        <f>IFERROR(__xludf.DUMMYFUNCTION("""COMPUTED_VALUE"""),1.0)</f>
        <v>1</v>
      </c>
      <c r="AF2300" s="65"/>
      <c r="AG2300" s="65"/>
      <c r="AH2300" s="65"/>
      <c r="AI2300" s="65"/>
      <c r="AJ2300" s="65"/>
      <c r="AK2300" s="65"/>
      <c r="AL2300" s="65"/>
      <c r="AM2300" s="65"/>
      <c r="AN2300" s="65" t="str">
        <f>IFERROR(__xludf.DUMMYFUNCTION("""COMPUTED_VALUE"""),"19:36")</f>
        <v>19:36</v>
      </c>
      <c r="AO2300" s="65" t="str">
        <f>IFERROR(__xludf.DUMMYFUNCTION("""COMPUTED_VALUE"""),"09-01-2026")</f>
        <v>09-01-2026</v>
      </c>
      <c r="AP2300" s="65" t="str">
        <f>IFERROR(__xludf.DUMMYFUNCTION("""COMPUTED_VALUE"""),"ENTREGADA GINTRACOM")</f>
        <v>ENTREGADA GINTRACOM</v>
      </c>
      <c r="AQ2300" s="65" t="str">
        <f>IFERROR(__xludf.DUMMYFUNCTION("""COMPUTED_VALUE"""),"ENTREGADA GINTRACOM")</f>
        <v>ENTREGADA GINTRACOM</v>
      </c>
      <c r="AR2300" s="65"/>
      <c r="AS2300" s="65"/>
      <c r="AT2300" s="65" t="str">
        <f>IFERROR(__xludf.DUMMYFUNCTION("""COMPUTED_VALUE"""),"SHOPIFY")</f>
        <v>SHOPIFY</v>
      </c>
      <c r="AU2300" s="65" t="str">
        <f>IFERROR(__xludf.DUMMYFUNCTION("""COMPUTED_VALUE"""),"IMPORTEX EC")</f>
        <v>IMPORTEX EC</v>
      </c>
      <c r="AV2300" s="65" t="str">
        <f>IFERROR(__xludf.DUMMYFUNCTION("""COMPUTED_VALUE"""),"6392413159468")</f>
        <v>6392413159468</v>
      </c>
      <c r="AW2300" s="65">
        <f>IFERROR(__xludf.DUMMYFUNCTION("""COMPUTED_VALUE"""),4670.0)</f>
        <v>4670</v>
      </c>
      <c r="AX2300" s="65"/>
      <c r="AY2300" s="65" t="str">
        <f>IFERROR(__xludf.DUMMYFUNCTION("""COMPUTED_VALUE"""),"08/01/2026")</f>
        <v>08/01/2026</v>
      </c>
      <c r="AZ2300" s="65"/>
      <c r="BA2300" s="65"/>
    </row>
    <row r="2301">
      <c r="A2301" s="65" t="str">
        <f>IFERROR(__xludf.DUMMYFUNCTION("""COMPUTED_VALUE"""),"27-03-2026")</f>
        <v>27-03-2026</v>
      </c>
      <c r="B2301" s="65">
        <f>IFERROR(__xludf.DUMMYFUNCTION("""COMPUTED_VALUE"""),4032097.0)</f>
        <v>4032097</v>
      </c>
      <c r="C2301" s="65" t="str">
        <f>IFERROR(__xludf.DUMMYFUNCTION("""COMPUTED_VALUE"""),"16:04")</f>
        <v>16:04</v>
      </c>
      <c r="D2301" s="65" t="str">
        <f>IFERROR(__xludf.DUMMYFUNCTION("""COMPUTED_VALUE"""),"05-01-2026")</f>
        <v>05-01-2026</v>
      </c>
      <c r="E2301" s="65" t="str">
        <f>IFERROR(__xludf.DUMMYFUNCTION("""COMPUTED_VALUE"""),"Isabel Cueva arias")</f>
        <v>Isabel Cueva arias</v>
      </c>
      <c r="F2301" s="65" t="str">
        <f>IFERROR(__xludf.DUMMYFUNCTION("""COMPUTED_VALUE"""),"992996178")</f>
        <v>992996178</v>
      </c>
      <c r="G2301" s="65" t="str">
        <f>IFERROR(__xludf.DUMMYFUNCTION("""COMPUTED_VALUE"""),"isabel313@outlook.es")</f>
        <v>isabel313@outlook.es</v>
      </c>
      <c r="H2301" s="65"/>
      <c r="I2301" s="65"/>
      <c r="J2301" s="65" t="str">
        <f>IFERROR(__xludf.DUMMYFUNCTION("""COMPUTED_VALUE"""),"D001201103")</f>
        <v>D001201103</v>
      </c>
      <c r="K2301" s="65" t="str">
        <f>IFERROR(__xludf.DUMMYFUNCTION("""COMPUTED_VALUE"""),"DEVOLUCION")</f>
        <v>DEVOLUCION</v>
      </c>
      <c r="L2301" s="65" t="str">
        <f>IFERROR(__xludf.DUMMYFUNCTION("""COMPUTED_VALUE"""),"CON RECAUDO")</f>
        <v>CON RECAUDO</v>
      </c>
      <c r="M2301" s="65" t="str">
        <f>IFERROR(__xludf.DUMMYFUNCTION("""COMPUTED_VALUE"""),"PICHINCHA")</f>
        <v>PICHINCHA</v>
      </c>
      <c r="N2301" s="65" t="str">
        <f>IFERROR(__xludf.DUMMYFUNCTION("""COMPUTED_VALUE"""),"CONOCOTO")</f>
        <v>CONOCOTO</v>
      </c>
      <c r="O2301" s="65" t="str">
        <f>IFERROR(__xludf.DUMMYFUNCTION("""COMPUTED_VALUE"""),"CONOCOTO - Sector Monserrat - Conjunto  Alba azul - Calle E y Calles Antonio Flores y José  Cuero")</f>
        <v>CONOCOTO - Sector Monserrat - Conjunto  Alba azul - Calle E y Calles Antonio Flores y José  Cuero</v>
      </c>
      <c r="P2301" s="65"/>
      <c r="Q2301" s="65" t="str">
        <f>IFERROR(__xludf.DUMMYFUNCTION("""COMPUTED_VALUE"""),"GINTRACOM")</f>
        <v>GINTRACOM</v>
      </c>
      <c r="R2301" s="65">
        <f>IFERROR(__xludf.DUMMYFUNCTION("""COMPUTED_VALUE"""),20.0)</f>
        <v>20</v>
      </c>
      <c r="S2301" s="65"/>
      <c r="T2301" s="65">
        <f>IFERROR(__xludf.DUMMYFUNCTION("""COMPUTED_VALUE"""),4.72)</f>
        <v>4.72</v>
      </c>
      <c r="U2301" s="65">
        <f>IFERROR(__xludf.DUMMYFUNCTION("""COMPUTED_VALUE"""),0.0)</f>
        <v>0</v>
      </c>
      <c r="V2301" s="65">
        <f>IFERROR(__xludf.DUMMYFUNCTION("""COMPUTED_VALUE"""),0.0)</f>
        <v>0</v>
      </c>
      <c r="W2301" s="65">
        <f>IFERROR(__xludf.DUMMYFUNCTION("""COMPUTED_VALUE"""),0.0)</f>
        <v>0</v>
      </c>
      <c r="X2301" s="65">
        <f>IFERROR(__xludf.DUMMYFUNCTION("""COMPUTED_VALUE"""),5.0)</f>
        <v>5</v>
      </c>
      <c r="Y2301" s="65">
        <f>IFERROR(__xludf.DUMMYFUNCTION("""COMPUTED_VALUE"""),5.0)</f>
        <v>5</v>
      </c>
      <c r="Z2301" s="65">
        <f>IFERROR(__xludf.DUMMYFUNCTION("""COMPUTED_VALUE"""),110064.0)</f>
        <v>110064</v>
      </c>
      <c r="AA2301" s="65" t="str">
        <f>IFERROR(__xludf.DUMMYFUNCTION("""COMPUTED_VALUE"""),"IMX-00001")</f>
        <v>IMX-00001</v>
      </c>
      <c r="AB2301" s="65"/>
      <c r="AC2301" s="65" t="str">
        <f>IFERROR(__xludf.DUMMYFUNCTION("""COMPUTED_VALUE"""),"LLAVE TRINQUETE")</f>
        <v>LLAVE TRINQUETE</v>
      </c>
      <c r="AD2301" s="65"/>
      <c r="AE2301" s="65">
        <f>IFERROR(__xludf.DUMMYFUNCTION("""COMPUTED_VALUE"""),1.0)</f>
        <v>1</v>
      </c>
      <c r="AF2301" s="65" t="str">
        <f>IFERROR(__xludf.DUMMYFUNCTION("""COMPUTED_VALUE"""),"NÚMERO TELEFÓNICO INCORRECTO")</f>
        <v>NÚMERO TELEFÓNICO INCORRECTO</v>
      </c>
      <c r="AG2301" s="65" t="str">
        <f>IFERROR(__xludf.DUMMYFUNCTION("""COMPUTED_VALUE"""),"NO")</f>
        <v>NO</v>
      </c>
      <c r="AH2301" s="65" t="str">
        <f>IFERROR(__xludf.DUMMYFUNCTION("""COMPUTED_VALUE"""),"15:05")</f>
        <v>15:05</v>
      </c>
      <c r="AI2301" s="65" t="str">
        <f>IFERROR(__xludf.DUMMYFUNCTION("""COMPUTED_VALUE"""),"15-01-2026")</f>
        <v>15-01-2026</v>
      </c>
      <c r="AJ2301" s="65"/>
      <c r="AK2301" s="65"/>
      <c r="AL2301" s="65"/>
      <c r="AM2301" s="65"/>
      <c r="AN2301" s="65" t="str">
        <f>IFERROR(__xludf.DUMMYFUNCTION("""COMPUTED_VALUE"""),"03:04")</f>
        <v>03:04</v>
      </c>
      <c r="AO2301" s="65" t="str">
        <f>IFERROR(__xludf.DUMMYFUNCTION("""COMPUTED_VALUE"""),"19-01-2026")</f>
        <v>19-01-2026</v>
      </c>
      <c r="AP2301" s="65" t="str">
        <f>IFERROR(__xludf.DUMMYFUNCTION("""COMPUTED_VALUE"""),"DEVOLUCIÓN")</f>
        <v>DEVOLUCIÓN</v>
      </c>
      <c r="AQ2301" s="65" t="str">
        <f>IFERROR(__xludf.DUMMYFUNCTION("""COMPUTED_VALUE"""),"DEVOLUCIÓN")</f>
        <v>DEVOLUCIÓN</v>
      </c>
      <c r="AR2301" s="65"/>
      <c r="AS2301" s="65"/>
      <c r="AT2301" s="65" t="str">
        <f>IFERROR(__xludf.DUMMYFUNCTION("""COMPUTED_VALUE"""),"SHOPIFY")</f>
        <v>SHOPIFY</v>
      </c>
      <c r="AU2301" s="65" t="str">
        <f>IFERROR(__xludf.DUMMYFUNCTION("""COMPUTED_VALUE"""),"IMPORTEX EC")</f>
        <v>IMPORTEX EC</v>
      </c>
      <c r="AV2301" s="65" t="str">
        <f>IFERROR(__xludf.DUMMYFUNCTION("""COMPUTED_VALUE"""),"6392245354540")</f>
        <v>6392245354540</v>
      </c>
      <c r="AW2301" s="65">
        <f>IFERROR(__xludf.DUMMYFUNCTION("""COMPUTED_VALUE"""),4667.0)</f>
        <v>4667</v>
      </c>
      <c r="AX2301" s="65"/>
      <c r="AY2301" s="65" t="str">
        <f>IFERROR(__xludf.DUMMYFUNCTION("""COMPUTED_VALUE"""),"08/01/2026")</f>
        <v>08/01/2026</v>
      </c>
      <c r="AZ2301" s="65"/>
      <c r="BA2301" s="65"/>
    </row>
    <row r="2302">
      <c r="A2302" s="65" t="str">
        <f>IFERROR(__xludf.DUMMYFUNCTION("""COMPUTED_VALUE"""),"27-03-2026")</f>
        <v>27-03-2026</v>
      </c>
      <c r="B2302" s="65">
        <f>IFERROR(__xludf.DUMMYFUNCTION("""COMPUTED_VALUE"""),4031303.0)</f>
        <v>4031303</v>
      </c>
      <c r="C2302" s="65" t="str">
        <f>IFERROR(__xludf.DUMMYFUNCTION("""COMPUTED_VALUE"""),"14:56")</f>
        <v>14:56</v>
      </c>
      <c r="D2302" s="65" t="str">
        <f>IFERROR(__xludf.DUMMYFUNCTION("""COMPUTED_VALUE"""),"05-01-2026")</f>
        <v>05-01-2026</v>
      </c>
      <c r="E2302" s="65" t="str">
        <f>IFERROR(__xludf.DUMMYFUNCTION("""COMPUTED_VALUE"""),"JUAN RAMÍREZ")</f>
        <v>JUAN RAMÍREZ</v>
      </c>
      <c r="F2302" s="65" t="str">
        <f>IFERROR(__xludf.DUMMYFUNCTION("""COMPUTED_VALUE"""),"990162317")</f>
        <v>990162317</v>
      </c>
      <c r="G2302" s="65" t="str">
        <f>IFERROR(__xludf.DUMMYFUNCTION("""COMPUTED_VALUE"""),"chiramirez070@gmail.com")</f>
        <v>chiramirez070@gmail.com</v>
      </c>
      <c r="H2302" s="65"/>
      <c r="I2302" s="65"/>
      <c r="J2302" s="65" t="str">
        <f>IFERROR(__xludf.DUMMYFUNCTION("""COMPUTED_VALUE"""),"WYB164555941")</f>
        <v>WYB164555941</v>
      </c>
      <c r="K2302" s="65" t="str">
        <f>IFERROR(__xludf.DUMMYFUNCTION("""COMPUTED_VALUE"""),"RECHAZADO")</f>
        <v>RECHAZADO</v>
      </c>
      <c r="L2302" s="65" t="str">
        <f>IFERROR(__xludf.DUMMYFUNCTION("""COMPUTED_VALUE"""),"CON RECAUDO")</f>
        <v>CON RECAUDO</v>
      </c>
      <c r="M2302" s="65" t="str">
        <f>IFERROR(__xludf.DUMMYFUNCTION("""COMPUTED_VALUE"""),"EL ORO")</f>
        <v>EL ORO</v>
      </c>
      <c r="N2302" s="65" t="str">
        <f>IFERROR(__xludf.DUMMYFUNCTION("""COMPUTED_VALUE"""),"PIÑAS")</f>
        <v>PIÑAS</v>
      </c>
      <c r="O2302" s="65" t="str">
        <f>IFERROR(__xludf.DUMMYFUNCTION("""COMPUTED_VALUE"""),"AV. ABDON CALDERON y AV. JUAN LEON MERA")</f>
        <v>AV. ABDON CALDERON y AV. JUAN LEON MERA</v>
      </c>
      <c r="P2302" s="65"/>
      <c r="Q2302" s="65" t="str">
        <f>IFERROR(__xludf.DUMMYFUNCTION("""COMPUTED_VALUE"""),"URBANO")</f>
        <v>URBANO</v>
      </c>
      <c r="R2302" s="65">
        <f>IFERROR(__xludf.DUMMYFUNCTION("""COMPUTED_VALUE"""),25.0)</f>
        <v>25</v>
      </c>
      <c r="S2302" s="65"/>
      <c r="T2302" s="65">
        <f>IFERROR(__xludf.DUMMYFUNCTION("""COMPUTED_VALUE"""),5.61)</f>
        <v>5.61</v>
      </c>
      <c r="U2302" s="65">
        <f>IFERROR(__xludf.DUMMYFUNCTION("""COMPUTED_VALUE"""),0.0)</f>
        <v>0</v>
      </c>
      <c r="V2302" s="65">
        <f>IFERROR(__xludf.DUMMYFUNCTION("""COMPUTED_VALUE"""),0.0)</f>
        <v>0</v>
      </c>
      <c r="W2302" s="65">
        <f>IFERROR(__xludf.DUMMYFUNCTION("""COMPUTED_VALUE"""),0.0)</f>
        <v>0</v>
      </c>
      <c r="X2302" s="65">
        <f>IFERROR(__xludf.DUMMYFUNCTION("""COMPUTED_VALUE"""),5.0)</f>
        <v>5</v>
      </c>
      <c r="Y2302" s="65">
        <f>IFERROR(__xludf.DUMMYFUNCTION("""COMPUTED_VALUE"""),10.0)</f>
        <v>10</v>
      </c>
      <c r="Z2302" s="65">
        <f>IFERROR(__xludf.DUMMYFUNCTION("""COMPUTED_VALUE"""),110064.0)</f>
        <v>110064</v>
      </c>
      <c r="AA2302" s="65" t="str">
        <f>IFERROR(__xludf.DUMMYFUNCTION("""COMPUTED_VALUE"""),"IMX-00001")</f>
        <v>IMX-00001</v>
      </c>
      <c r="AB2302" s="65"/>
      <c r="AC2302" s="65" t="str">
        <f>IFERROR(__xludf.DUMMYFUNCTION("""COMPUTED_VALUE"""),"LLAVE TRINQUETE")</f>
        <v>LLAVE TRINQUETE</v>
      </c>
      <c r="AD2302" s="65"/>
      <c r="AE2302" s="65">
        <f>IFERROR(__xludf.DUMMYFUNCTION("""COMPUTED_VALUE"""),2.0)</f>
        <v>2</v>
      </c>
      <c r="AF2302" s="65"/>
      <c r="AG2302" s="65"/>
      <c r="AH2302" s="65"/>
      <c r="AI2302" s="65"/>
      <c r="AJ2302" s="65"/>
      <c r="AK2302" s="65"/>
      <c r="AL2302" s="65"/>
      <c r="AM2302" s="65"/>
      <c r="AN2302" s="65"/>
      <c r="AO2302" s="65"/>
      <c r="AP2302" s="65"/>
      <c r="AQ2302" s="65"/>
      <c r="AR2302" s="65"/>
      <c r="AS2302" s="65"/>
      <c r="AT2302" s="65" t="str">
        <f>IFERROR(__xludf.DUMMYFUNCTION("""COMPUTED_VALUE"""),"SHOPIFY")</f>
        <v>SHOPIFY</v>
      </c>
      <c r="AU2302" s="65" t="str">
        <f>IFERROR(__xludf.DUMMYFUNCTION("""COMPUTED_VALUE"""),"IMPORTEX EC")</f>
        <v>IMPORTEX EC</v>
      </c>
      <c r="AV2302" s="65" t="str">
        <f>IFERROR(__xludf.DUMMYFUNCTION("""COMPUTED_VALUE"""),"6392095604780")</f>
        <v>6392095604780</v>
      </c>
      <c r="AW2302" s="65">
        <f>IFERROR(__xludf.DUMMYFUNCTION("""COMPUTED_VALUE"""),4666.0)</f>
        <v>4666</v>
      </c>
      <c r="AX2302" s="65"/>
      <c r="AY2302" s="65" t="str">
        <f>IFERROR(__xludf.DUMMYFUNCTION("""COMPUTED_VALUE"""),"06/01/2026")</f>
        <v>06/01/2026</v>
      </c>
      <c r="AZ2302" s="65"/>
      <c r="BA2302" s="65"/>
    </row>
    <row r="2303">
      <c r="A2303" s="65" t="str">
        <f>IFERROR(__xludf.DUMMYFUNCTION("""COMPUTED_VALUE"""),"27-03-2026")</f>
        <v>27-03-2026</v>
      </c>
      <c r="B2303" s="65">
        <f>IFERROR(__xludf.DUMMYFUNCTION("""COMPUTED_VALUE"""),4030898.0)</f>
        <v>4030898</v>
      </c>
      <c r="C2303" s="65" t="str">
        <f>IFERROR(__xludf.DUMMYFUNCTION("""COMPUTED_VALUE"""),"14:21")</f>
        <v>14:21</v>
      </c>
      <c r="D2303" s="65" t="str">
        <f>IFERROR(__xludf.DUMMYFUNCTION("""COMPUTED_VALUE"""),"05-01-2026")</f>
        <v>05-01-2026</v>
      </c>
      <c r="E2303" s="65" t="str">
        <f>IFERROR(__xludf.DUMMYFUNCTION("""COMPUTED_VALUE"""),"Feliz chavez Chavez")</f>
        <v>Feliz chavez Chavez</v>
      </c>
      <c r="F2303" s="65" t="str">
        <f>IFERROR(__xludf.DUMMYFUNCTION("""COMPUTED_VALUE"""),"963388523")</f>
        <v>963388523</v>
      </c>
      <c r="G2303" s="65"/>
      <c r="H2303" s="65"/>
      <c r="I2303" s="65"/>
      <c r="J2303" s="65" t="str">
        <f>IFERROR(__xludf.DUMMYFUNCTION("""COMPUTED_VALUE"""),"D001201376")</f>
        <v>D001201376</v>
      </c>
      <c r="K2303" s="65" t="str">
        <f>IFERROR(__xludf.DUMMYFUNCTION("""COMPUTED_VALUE"""),"ENTREGADO")</f>
        <v>ENTREGADO</v>
      </c>
      <c r="L2303" s="65" t="str">
        <f>IFERROR(__xludf.DUMMYFUNCTION("""COMPUTED_VALUE"""),"CON RECAUDO")</f>
        <v>CON RECAUDO</v>
      </c>
      <c r="M2303" s="65" t="str">
        <f>IFERROR(__xludf.DUMMYFUNCTION("""COMPUTED_VALUE"""),"MANABI")</f>
        <v>MANABI</v>
      </c>
      <c r="N2303" s="65" t="str">
        <f>IFERROR(__xludf.DUMMYFUNCTION("""COMPUTED_VALUE"""),"MANTA")</f>
        <v>MANTA</v>
      </c>
      <c r="O2303" s="65" t="str">
        <f>IFERROR(__xludf.DUMMYFUNCTION("""COMPUTED_VALUE"""),"Barrio Paraíso - Calle 121, Avenida 106 - Ref. Funeraria Virgen de los Remedios")</f>
        <v>Barrio Paraíso - Calle 121, Avenida 106 - Ref. Funeraria Virgen de los Remedios</v>
      </c>
      <c r="P2303" s="65"/>
      <c r="Q2303" s="65" t="str">
        <f>IFERROR(__xludf.DUMMYFUNCTION("""COMPUTED_VALUE"""),"GINTRACOM")</f>
        <v>GINTRACOM</v>
      </c>
      <c r="R2303" s="65">
        <f>IFERROR(__xludf.DUMMYFUNCTION("""COMPUTED_VALUE"""),20.0)</f>
        <v>20</v>
      </c>
      <c r="S2303" s="65">
        <f>IFERROR(__xludf.DUMMYFUNCTION("""COMPUTED_VALUE"""),9.24)</f>
        <v>9.24</v>
      </c>
      <c r="T2303" s="65">
        <f>IFERROR(__xludf.DUMMYFUNCTION("""COMPUTED_VALUE"""),5.76)</f>
        <v>5.76</v>
      </c>
      <c r="U2303" s="65">
        <f>IFERROR(__xludf.DUMMYFUNCTION("""COMPUTED_VALUE"""),0.0)</f>
        <v>0</v>
      </c>
      <c r="V2303" s="65">
        <f>IFERROR(__xludf.DUMMYFUNCTION("""COMPUTED_VALUE"""),0.0)</f>
        <v>0</v>
      </c>
      <c r="W2303" s="65">
        <f>IFERROR(__xludf.DUMMYFUNCTION("""COMPUTED_VALUE"""),0.0)</f>
        <v>0</v>
      </c>
      <c r="X2303" s="65">
        <f>IFERROR(__xludf.DUMMYFUNCTION("""COMPUTED_VALUE"""),5.0)</f>
        <v>5</v>
      </c>
      <c r="Y2303" s="65">
        <f>IFERROR(__xludf.DUMMYFUNCTION("""COMPUTED_VALUE"""),5.0)</f>
        <v>5</v>
      </c>
      <c r="Z2303" s="65">
        <f>IFERROR(__xludf.DUMMYFUNCTION("""COMPUTED_VALUE"""),110064.0)</f>
        <v>110064</v>
      </c>
      <c r="AA2303" s="65" t="str">
        <f>IFERROR(__xludf.DUMMYFUNCTION("""COMPUTED_VALUE"""),"IMX-00001")</f>
        <v>IMX-00001</v>
      </c>
      <c r="AB2303" s="65"/>
      <c r="AC2303" s="65" t="str">
        <f>IFERROR(__xludf.DUMMYFUNCTION("""COMPUTED_VALUE"""),"LLAVE TRINQUETE")</f>
        <v>LLAVE TRINQUETE</v>
      </c>
      <c r="AD2303" s="65"/>
      <c r="AE2303" s="65">
        <f>IFERROR(__xludf.DUMMYFUNCTION("""COMPUTED_VALUE"""),1.0)</f>
        <v>1</v>
      </c>
      <c r="AF2303" s="65"/>
      <c r="AG2303" s="65"/>
      <c r="AH2303" s="65"/>
      <c r="AI2303" s="65"/>
      <c r="AJ2303" s="65"/>
      <c r="AK2303" s="65"/>
      <c r="AL2303" s="65"/>
      <c r="AM2303" s="65"/>
      <c r="AN2303" s="65" t="str">
        <f>IFERROR(__xludf.DUMMYFUNCTION("""COMPUTED_VALUE"""),"15:13")</f>
        <v>15:13</v>
      </c>
      <c r="AO2303" s="65" t="str">
        <f>IFERROR(__xludf.DUMMYFUNCTION("""COMPUTED_VALUE"""),"09-01-2026")</f>
        <v>09-01-2026</v>
      </c>
      <c r="AP2303" s="65" t="str">
        <f>IFERROR(__xludf.DUMMYFUNCTION("""COMPUTED_VALUE"""),"ENTREGADA GINTRACOM")</f>
        <v>ENTREGADA GINTRACOM</v>
      </c>
      <c r="AQ2303" s="65" t="str">
        <f>IFERROR(__xludf.DUMMYFUNCTION("""COMPUTED_VALUE"""),"ENTREGADA GINTRACOM")</f>
        <v>ENTREGADA GINTRACOM</v>
      </c>
      <c r="AR2303" s="65"/>
      <c r="AS2303" s="65"/>
      <c r="AT2303" s="65" t="str">
        <f>IFERROR(__xludf.DUMMYFUNCTION("""COMPUTED_VALUE"""),"SHOPIFY")</f>
        <v>SHOPIFY</v>
      </c>
      <c r="AU2303" s="65" t="str">
        <f>IFERROR(__xludf.DUMMYFUNCTION("""COMPUTED_VALUE"""),"IMPORTEX EC")</f>
        <v>IMPORTEX EC</v>
      </c>
      <c r="AV2303" s="65" t="str">
        <f>IFERROR(__xludf.DUMMYFUNCTION("""COMPUTED_VALUE"""),"6392000151596")</f>
        <v>6392000151596</v>
      </c>
      <c r="AW2303" s="65">
        <f>IFERROR(__xludf.DUMMYFUNCTION("""COMPUTED_VALUE"""),4664.0)</f>
        <v>4664</v>
      </c>
      <c r="AX2303" s="65"/>
      <c r="AY2303" s="65" t="str">
        <f>IFERROR(__xludf.DUMMYFUNCTION("""COMPUTED_VALUE"""),"08/01/2026")</f>
        <v>08/01/2026</v>
      </c>
      <c r="AZ2303" s="65"/>
      <c r="BA2303" s="65"/>
    </row>
    <row r="2304">
      <c r="A2304" s="65" t="str">
        <f>IFERROR(__xludf.DUMMYFUNCTION("""COMPUTED_VALUE"""),"27-03-2026")</f>
        <v>27-03-2026</v>
      </c>
      <c r="B2304" s="65">
        <f>IFERROR(__xludf.DUMMYFUNCTION("""COMPUTED_VALUE"""),4027724.0)</f>
        <v>4027724</v>
      </c>
      <c r="C2304" s="65" t="str">
        <f>IFERROR(__xludf.DUMMYFUNCTION("""COMPUTED_VALUE"""),"10:51")</f>
        <v>10:51</v>
      </c>
      <c r="D2304" s="65" t="str">
        <f>IFERROR(__xludf.DUMMYFUNCTION("""COMPUTED_VALUE"""),"05-01-2026")</f>
        <v>05-01-2026</v>
      </c>
      <c r="E2304" s="65" t="str">
        <f>IFERROR(__xludf.DUMMYFUNCTION("""COMPUTED_VALUE"""),"Ninon Quintero Castillo")</f>
        <v>Ninon Quintero Castillo</v>
      </c>
      <c r="F2304" s="65" t="str">
        <f>IFERROR(__xludf.DUMMYFUNCTION("""COMPUTED_VALUE"""),"996430308")</f>
        <v>996430308</v>
      </c>
      <c r="G2304" s="65"/>
      <c r="H2304" s="65"/>
      <c r="I2304" s="65"/>
      <c r="J2304" s="65" t="str">
        <f>IFERROR(__xludf.DUMMYFUNCTION("""COMPUTED_VALUE"""),"186932100")</f>
        <v>186932100</v>
      </c>
      <c r="K2304" s="65" t="str">
        <f>IFERROR(__xludf.DUMMYFUNCTION("""COMPUTED_VALUE"""),"ENTREGADO")</f>
        <v>ENTREGADO</v>
      </c>
      <c r="L2304" s="65" t="str">
        <f>IFERROR(__xludf.DUMMYFUNCTION("""COMPUTED_VALUE"""),"CON RECAUDO")</f>
        <v>CON RECAUDO</v>
      </c>
      <c r="M2304" s="65" t="str">
        <f>IFERROR(__xludf.DUMMYFUNCTION("""COMPUTED_VALUE"""),"ESMERALDAS")</f>
        <v>ESMERALDAS</v>
      </c>
      <c r="N2304" s="65" t="str">
        <f>IFERROR(__xludf.DUMMYFUNCTION("""COMPUTED_VALUE"""),"BORBON")</f>
        <v>BORBON</v>
      </c>
      <c r="O2304" s="65" t="str">
        <f>IFERROR(__xludf.DUMMYFUNCTION("""COMPUTED_VALUE"""),"CS:BORBON_PRINCIPAL / HUMBERTO OBANDO SOLAR 17 Y RIO VERDE")</f>
        <v>CS:BORBON_PRINCIPAL / HUMBERTO OBANDO SOLAR 17 Y RIO VERDE</v>
      </c>
      <c r="P2304" s="65"/>
      <c r="Q2304" s="65" t="str">
        <f>IFERROR(__xludf.DUMMYFUNCTION("""COMPUTED_VALUE"""),"SERVIENTREGA")</f>
        <v>SERVIENTREGA</v>
      </c>
      <c r="R2304" s="65">
        <f>IFERROR(__xludf.DUMMYFUNCTION("""COMPUTED_VALUE"""),30.0)</f>
        <v>30</v>
      </c>
      <c r="S2304" s="65">
        <f>IFERROR(__xludf.DUMMYFUNCTION("""COMPUTED_VALUE"""),7.18)</f>
        <v>7.18</v>
      </c>
      <c r="T2304" s="65">
        <f>IFERROR(__xludf.DUMMYFUNCTION("""COMPUTED_VALUE"""),7.82)</f>
        <v>7.82</v>
      </c>
      <c r="U2304" s="65">
        <f>IFERROR(__xludf.DUMMYFUNCTION("""COMPUTED_VALUE"""),0.0)</f>
        <v>0</v>
      </c>
      <c r="V2304" s="65">
        <f>IFERROR(__xludf.DUMMYFUNCTION("""COMPUTED_VALUE"""),0.0)</f>
        <v>0</v>
      </c>
      <c r="W2304" s="65">
        <f>IFERROR(__xludf.DUMMYFUNCTION("""COMPUTED_VALUE"""),0.0)</f>
        <v>0</v>
      </c>
      <c r="X2304" s="65">
        <f>IFERROR(__xludf.DUMMYFUNCTION("""COMPUTED_VALUE"""),5.0)</f>
        <v>5</v>
      </c>
      <c r="Y2304" s="65">
        <f>IFERROR(__xludf.DUMMYFUNCTION("""COMPUTED_VALUE"""),15.0)</f>
        <v>15</v>
      </c>
      <c r="Z2304" s="65">
        <f>IFERROR(__xludf.DUMMYFUNCTION("""COMPUTED_VALUE"""),110064.0)</f>
        <v>110064</v>
      </c>
      <c r="AA2304" s="65" t="str">
        <f>IFERROR(__xludf.DUMMYFUNCTION("""COMPUTED_VALUE"""),"IMX-00001")</f>
        <v>IMX-00001</v>
      </c>
      <c r="AB2304" s="65"/>
      <c r="AC2304" s="65" t="str">
        <f>IFERROR(__xludf.DUMMYFUNCTION("""COMPUTED_VALUE"""),"LLAVE TRINQUETE")</f>
        <v>LLAVE TRINQUETE</v>
      </c>
      <c r="AD2304" s="65"/>
      <c r="AE2304" s="65">
        <f>IFERROR(__xludf.DUMMYFUNCTION("""COMPUTED_VALUE"""),3.0)</f>
        <v>3</v>
      </c>
      <c r="AF2304" s="65"/>
      <c r="AG2304" s="65"/>
      <c r="AH2304" s="65"/>
      <c r="AI2304" s="65"/>
      <c r="AJ2304" s="65"/>
      <c r="AK2304" s="65"/>
      <c r="AL2304" s="65"/>
      <c r="AM2304" s="65"/>
      <c r="AN2304" s="65" t="str">
        <f>IFERROR(__xludf.DUMMYFUNCTION("""COMPUTED_VALUE"""),"17:06")</f>
        <v>17:06</v>
      </c>
      <c r="AO2304" s="65" t="str">
        <f>IFERROR(__xludf.DUMMYFUNCTION("""COMPUTED_VALUE"""),"07-01-2026")</f>
        <v>07-01-2026</v>
      </c>
      <c r="AP2304" s="65" t="str">
        <f>IFERROR(__xludf.DUMMYFUNCTION("""COMPUTED_VALUE"""),"REPORTADO ENTREGADO EN AGENCIA")</f>
        <v>REPORTADO ENTREGADO EN AGENCIA</v>
      </c>
      <c r="AQ2304" s="65" t="str">
        <f>IFERROR(__xludf.DUMMYFUNCTION("""COMPUTED_VALUE"""),"NINON QUINTERO CASTI")</f>
        <v>NINON QUINTERO CASTI</v>
      </c>
      <c r="AR2304" s="65"/>
      <c r="AS2304" s="65" t="str">
        <f>IFERROR(__xludf.DUMMYFUNCTION("""COMPUTED_VALUE"""),"Bayron Gomez")</f>
        <v>Bayron Gomez</v>
      </c>
      <c r="AT2304" s="65"/>
      <c r="AU2304" s="65"/>
      <c r="AV2304" s="65"/>
      <c r="AW2304" s="65"/>
      <c r="AX2304" s="65"/>
      <c r="AY2304" s="65" t="str">
        <f>IFERROR(__xludf.DUMMYFUNCTION("""COMPUTED_VALUE"""),"06/01/2026")</f>
        <v>06/01/2026</v>
      </c>
      <c r="AZ2304" s="65"/>
      <c r="BA2304" s="65"/>
    </row>
    <row r="2305">
      <c r="A2305" s="65" t="str">
        <f>IFERROR(__xludf.DUMMYFUNCTION("""COMPUTED_VALUE"""),"27-03-2026")</f>
        <v>27-03-2026</v>
      </c>
      <c r="B2305" s="65">
        <f>IFERROR(__xludf.DUMMYFUNCTION("""COMPUTED_VALUE"""),4026555.0)</f>
        <v>4026555</v>
      </c>
      <c r="C2305" s="65" t="str">
        <f>IFERROR(__xludf.DUMMYFUNCTION("""COMPUTED_VALUE"""),"09:47")</f>
        <v>09:47</v>
      </c>
      <c r="D2305" s="65" t="str">
        <f>IFERROR(__xludf.DUMMYFUNCTION("""COMPUTED_VALUE"""),"05-01-2026")</f>
        <v>05-01-2026</v>
      </c>
      <c r="E2305" s="65" t="str">
        <f>IFERROR(__xludf.DUMMYFUNCTION("""COMPUTED_VALUE"""),"Jhonny Demera")</f>
        <v>Jhonny Demera</v>
      </c>
      <c r="F2305" s="65" t="str">
        <f>IFERROR(__xludf.DUMMYFUNCTION("""COMPUTED_VALUE"""),"993076850")</f>
        <v>993076850</v>
      </c>
      <c r="G2305" s="65" t="str">
        <f>IFERROR(__xludf.DUMMYFUNCTION("""COMPUTED_VALUE"""),"iiisssssjhonyny@hotmail.com")</f>
        <v>iiisssssjhonyny@hotmail.com</v>
      </c>
      <c r="H2305" s="65"/>
      <c r="I2305" s="65"/>
      <c r="J2305" s="65"/>
      <c r="K2305" s="65" t="str">
        <f>IFERROR(__xludf.DUMMYFUNCTION("""COMPUTED_VALUE"""),"CANCELADO")</f>
        <v>CANCELADO</v>
      </c>
      <c r="L2305" s="65" t="str">
        <f>IFERROR(__xludf.DUMMYFUNCTION("""COMPUTED_VALUE"""),"CON RECAUDO")</f>
        <v>CON RECAUDO</v>
      </c>
      <c r="M2305" s="65" t="str">
        <f>IFERROR(__xludf.DUMMYFUNCTION("""COMPUTED_VALUE"""),"ESMERALDAS")</f>
        <v>ESMERALDAS</v>
      </c>
      <c r="N2305" s="65" t="str">
        <f>IFERROR(__xludf.DUMMYFUNCTION("""COMPUTED_VALUE"""),"LA CONCORDIA")</f>
        <v>LA CONCORDIA</v>
      </c>
      <c r="O2305" s="65" t="str">
        <f>IFERROR(__xludf.DUMMYFUNCTION("""COMPUTED_VALUE"""),"Calle A  y   OH Sector #3 de la nueva Concordia -")</f>
        <v>Calle A  y   OH Sector #3 de la nueva Concordia -</v>
      </c>
      <c r="P2305" s="65"/>
      <c r="Q2305" s="65" t="str">
        <f>IFERROR(__xludf.DUMMYFUNCTION("""COMPUTED_VALUE"""),"SERVIENTREGA")</f>
        <v>SERVIENTREGA</v>
      </c>
      <c r="R2305" s="65">
        <f>IFERROR(__xludf.DUMMYFUNCTION("""COMPUTED_VALUE"""),20.0)</f>
        <v>20</v>
      </c>
      <c r="S2305" s="65"/>
      <c r="T2305" s="65">
        <f>IFERROR(__xludf.DUMMYFUNCTION("""COMPUTED_VALUE"""),7.67)</f>
        <v>7.67</v>
      </c>
      <c r="U2305" s="65">
        <f>IFERROR(__xludf.DUMMYFUNCTION("""COMPUTED_VALUE"""),0.0)</f>
        <v>0</v>
      </c>
      <c r="V2305" s="65">
        <f>IFERROR(__xludf.DUMMYFUNCTION("""COMPUTED_VALUE"""),0.0)</f>
        <v>0</v>
      </c>
      <c r="W2305" s="65">
        <f>IFERROR(__xludf.DUMMYFUNCTION("""COMPUTED_VALUE"""),0.0)</f>
        <v>0</v>
      </c>
      <c r="X2305" s="65">
        <f>IFERROR(__xludf.DUMMYFUNCTION("""COMPUTED_VALUE"""),5.0)</f>
        <v>5</v>
      </c>
      <c r="Y2305" s="65">
        <f>IFERROR(__xludf.DUMMYFUNCTION("""COMPUTED_VALUE"""),5.0)</f>
        <v>5</v>
      </c>
      <c r="Z2305" s="65">
        <f>IFERROR(__xludf.DUMMYFUNCTION("""COMPUTED_VALUE"""),110064.0)</f>
        <v>110064</v>
      </c>
      <c r="AA2305" s="65" t="str">
        <f>IFERROR(__xludf.DUMMYFUNCTION("""COMPUTED_VALUE"""),"IMX-00001")</f>
        <v>IMX-00001</v>
      </c>
      <c r="AB2305" s="65"/>
      <c r="AC2305" s="65" t="str">
        <f>IFERROR(__xludf.DUMMYFUNCTION("""COMPUTED_VALUE"""),"LLAVE TRINQUETE")</f>
        <v>LLAVE TRINQUETE</v>
      </c>
      <c r="AD2305" s="65"/>
      <c r="AE2305" s="65">
        <f>IFERROR(__xludf.DUMMYFUNCTION("""COMPUTED_VALUE"""),1.0)</f>
        <v>1</v>
      </c>
      <c r="AF2305" s="65"/>
      <c r="AG2305" s="65"/>
      <c r="AH2305" s="65"/>
      <c r="AI2305" s="65"/>
      <c r="AJ2305" s="65"/>
      <c r="AK2305" s="65"/>
      <c r="AL2305" s="65"/>
      <c r="AM2305" s="65"/>
      <c r="AN2305" s="65"/>
      <c r="AO2305" s="65"/>
      <c r="AP2305" s="65"/>
      <c r="AQ2305" s="65"/>
      <c r="AR2305" s="65"/>
      <c r="AS2305" s="65"/>
      <c r="AT2305" s="65" t="str">
        <f>IFERROR(__xludf.DUMMYFUNCTION("""COMPUTED_VALUE"""),"SHOPIFY")</f>
        <v>SHOPIFY</v>
      </c>
      <c r="AU2305" s="65" t="str">
        <f>IFERROR(__xludf.DUMMYFUNCTION("""COMPUTED_VALUE"""),"IMPORTEX EC")</f>
        <v>IMPORTEX EC</v>
      </c>
      <c r="AV2305" s="65" t="str">
        <f>IFERROR(__xludf.DUMMYFUNCTION("""COMPUTED_VALUE"""),"6391418880044")</f>
        <v>6391418880044</v>
      </c>
      <c r="AW2305" s="65">
        <f>IFERROR(__xludf.DUMMYFUNCTION("""COMPUTED_VALUE"""),4663.0)</f>
        <v>4663</v>
      </c>
      <c r="AX2305" s="65"/>
      <c r="AY2305" s="65"/>
      <c r="AZ2305" s="65"/>
      <c r="BA2305" s="65"/>
    </row>
    <row r="2306">
      <c r="A2306" s="65" t="str">
        <f>IFERROR(__xludf.DUMMYFUNCTION("""COMPUTED_VALUE"""),"27-03-2026")</f>
        <v>27-03-2026</v>
      </c>
      <c r="B2306" s="65">
        <f>IFERROR(__xludf.DUMMYFUNCTION("""COMPUTED_VALUE"""),4026435.0)</f>
        <v>4026435</v>
      </c>
      <c r="C2306" s="65" t="str">
        <f>IFERROR(__xludf.DUMMYFUNCTION("""COMPUTED_VALUE"""),"09:39")</f>
        <v>09:39</v>
      </c>
      <c r="D2306" s="65" t="str">
        <f>IFERROR(__xludf.DUMMYFUNCTION("""COMPUTED_VALUE"""),"05-01-2026")</f>
        <v>05-01-2026</v>
      </c>
      <c r="E2306" s="65" t="str">
        <f>IFERROR(__xludf.DUMMYFUNCTION("""COMPUTED_VALUE"""),"María Alexandra Guerrero Valarezo")</f>
        <v>María Alexandra Guerrero Valarezo</v>
      </c>
      <c r="F2306" s="65" t="str">
        <f>IFERROR(__xludf.DUMMYFUNCTION("""COMPUTED_VALUE"""),"967642367")</f>
        <v>967642367</v>
      </c>
      <c r="G2306" s="65"/>
      <c r="H2306" s="65"/>
      <c r="I2306" s="65"/>
      <c r="J2306" s="65"/>
      <c r="K2306" s="65" t="str">
        <f>IFERROR(__xludf.DUMMYFUNCTION("""COMPUTED_VALUE"""),"CANCELADO")</f>
        <v>CANCELADO</v>
      </c>
      <c r="L2306" s="65" t="str">
        <f>IFERROR(__xludf.DUMMYFUNCTION("""COMPUTED_VALUE"""),"CON RECAUDO")</f>
        <v>CON RECAUDO</v>
      </c>
      <c r="M2306" s="65" t="str">
        <f>IFERROR(__xludf.DUMMYFUNCTION("""COMPUTED_VALUE"""),"LOJA")</f>
        <v>LOJA</v>
      </c>
      <c r="N2306" s="65" t="str">
        <f>IFERROR(__xludf.DUMMYFUNCTION("""COMPUTED_VALUE"""),"MACARA")</f>
        <v>MACARA</v>
      </c>
      <c r="O2306" s="65" t="str">
        <f>IFERROR(__xludf.DUMMYFUNCTION("""COMPUTED_VALUE"""),"CS: MACARA_BOLIVAR Y ABDON CALDERON")</f>
        <v>CS: MACARA_BOLIVAR Y ABDON CALDERON</v>
      </c>
      <c r="P2306" s="65"/>
      <c r="Q2306" s="65" t="str">
        <f>IFERROR(__xludf.DUMMYFUNCTION("""COMPUTED_VALUE"""),"SERVIENTREGA")</f>
        <v>SERVIENTREGA</v>
      </c>
      <c r="R2306" s="65">
        <f>IFERROR(__xludf.DUMMYFUNCTION("""COMPUTED_VALUE"""),25.0)</f>
        <v>25</v>
      </c>
      <c r="S2306" s="65"/>
      <c r="T2306" s="65">
        <f>IFERROR(__xludf.DUMMYFUNCTION("""COMPUTED_VALUE"""),7.75)</f>
        <v>7.75</v>
      </c>
      <c r="U2306" s="65">
        <f>IFERROR(__xludf.DUMMYFUNCTION("""COMPUTED_VALUE"""),0.0)</f>
        <v>0</v>
      </c>
      <c r="V2306" s="65">
        <f>IFERROR(__xludf.DUMMYFUNCTION("""COMPUTED_VALUE"""),0.0)</f>
        <v>0</v>
      </c>
      <c r="W2306" s="65">
        <f>IFERROR(__xludf.DUMMYFUNCTION("""COMPUTED_VALUE"""),0.0)</f>
        <v>0</v>
      </c>
      <c r="X2306" s="65">
        <f>IFERROR(__xludf.DUMMYFUNCTION("""COMPUTED_VALUE"""),5.0)</f>
        <v>5</v>
      </c>
      <c r="Y2306" s="65">
        <f>IFERROR(__xludf.DUMMYFUNCTION("""COMPUTED_VALUE"""),10.0)</f>
        <v>10</v>
      </c>
      <c r="Z2306" s="65">
        <f>IFERROR(__xludf.DUMMYFUNCTION("""COMPUTED_VALUE"""),110064.0)</f>
        <v>110064</v>
      </c>
      <c r="AA2306" s="65" t="str">
        <f>IFERROR(__xludf.DUMMYFUNCTION("""COMPUTED_VALUE"""),"IMX-00001")</f>
        <v>IMX-00001</v>
      </c>
      <c r="AB2306" s="65"/>
      <c r="AC2306" s="65" t="str">
        <f>IFERROR(__xludf.DUMMYFUNCTION("""COMPUTED_VALUE"""),"LLAVE TRINQUETE")</f>
        <v>LLAVE TRINQUETE</v>
      </c>
      <c r="AD2306" s="65"/>
      <c r="AE2306" s="65">
        <f>IFERROR(__xludf.DUMMYFUNCTION("""COMPUTED_VALUE"""),2.0)</f>
        <v>2</v>
      </c>
      <c r="AF2306" s="65"/>
      <c r="AG2306" s="65"/>
      <c r="AH2306" s="65"/>
      <c r="AI2306" s="65"/>
      <c r="AJ2306" s="65"/>
      <c r="AK2306" s="65"/>
      <c r="AL2306" s="65"/>
      <c r="AM2306" s="65"/>
      <c r="AN2306" s="65"/>
      <c r="AO2306" s="65"/>
      <c r="AP2306" s="65"/>
      <c r="AQ2306" s="65"/>
      <c r="AR2306" s="65"/>
      <c r="AS2306" s="65" t="str">
        <f>IFERROR(__xludf.DUMMYFUNCTION("""COMPUTED_VALUE"""),"Bayron Gomez")</f>
        <v>Bayron Gomez</v>
      </c>
      <c r="AT2306" s="65"/>
      <c r="AU2306" s="65"/>
      <c r="AV2306" s="65"/>
      <c r="AW2306" s="65"/>
      <c r="AX2306" s="65"/>
      <c r="AY2306" s="65"/>
      <c r="AZ2306" s="65"/>
      <c r="BA2306" s="65"/>
    </row>
    <row r="2307">
      <c r="A2307" s="65" t="str">
        <f>IFERROR(__xludf.DUMMYFUNCTION("""COMPUTED_VALUE"""),"27-03-2026")</f>
        <v>27-03-2026</v>
      </c>
      <c r="B2307" s="65">
        <f>IFERROR(__xludf.DUMMYFUNCTION("""COMPUTED_VALUE"""),4026059.0)</f>
        <v>4026059</v>
      </c>
      <c r="C2307" s="65" t="str">
        <f>IFERROR(__xludf.DUMMYFUNCTION("""COMPUTED_VALUE"""),"09:13")</f>
        <v>09:13</v>
      </c>
      <c r="D2307" s="65" t="str">
        <f>IFERROR(__xludf.DUMMYFUNCTION("""COMPUTED_VALUE"""),"05-01-2026")</f>
        <v>05-01-2026</v>
      </c>
      <c r="E2307" s="65" t="str">
        <f>IFERROR(__xludf.DUMMYFUNCTION("""COMPUTED_VALUE"""),"Cardenas Diego")</f>
        <v>Cardenas Diego</v>
      </c>
      <c r="F2307" s="65" t="str">
        <f>IFERROR(__xludf.DUMMYFUNCTION("""COMPUTED_VALUE"""),"987367306")</f>
        <v>987367306</v>
      </c>
      <c r="G2307" s="65" t="str">
        <f>IFERROR(__xludf.DUMMYFUNCTION("""COMPUTED_VALUE"""),"diegofadeout@hotmail.com")</f>
        <v>diegofadeout@hotmail.com</v>
      </c>
      <c r="H2307" s="65"/>
      <c r="I2307" s="65"/>
      <c r="J2307" s="65" t="str">
        <f>IFERROR(__xludf.DUMMYFUNCTION("""COMPUTED_VALUE"""),"D001194572")</f>
        <v>D001194572</v>
      </c>
      <c r="K2307" s="65" t="str">
        <f>IFERROR(__xludf.DUMMYFUNCTION("""COMPUTED_VALUE"""),"DEVOLUCION")</f>
        <v>DEVOLUCION</v>
      </c>
      <c r="L2307" s="65" t="str">
        <f>IFERROR(__xludf.DUMMYFUNCTION("""COMPUTED_VALUE"""),"CON RECAUDO")</f>
        <v>CON RECAUDO</v>
      </c>
      <c r="M2307" s="65" t="str">
        <f>IFERROR(__xludf.DUMMYFUNCTION("""COMPUTED_VALUE"""),"PICHINCHA")</f>
        <v>PICHINCHA</v>
      </c>
      <c r="N2307" s="65" t="str">
        <f>IFERROR(__xludf.DUMMYFUNCTION("""COMPUTED_VALUE"""),"QUITO")</f>
        <v>QUITO</v>
      </c>
      <c r="O2307" s="65" t="str">
        <f>IFERROR(__xludf.DUMMYFUNCTION("""COMPUTED_VALUE"""),"Sector Carcelén. AV. Rafael Carvajal y AV. Ramon de la Barrera.")</f>
        <v>Sector Carcelén. AV. Rafael Carvajal y AV. Ramon de la Barrera.</v>
      </c>
      <c r="P2307" s="65"/>
      <c r="Q2307" s="65" t="str">
        <f>IFERROR(__xludf.DUMMYFUNCTION("""COMPUTED_VALUE"""),"GINTRACOM")</f>
        <v>GINTRACOM</v>
      </c>
      <c r="R2307" s="65">
        <f>IFERROR(__xludf.DUMMYFUNCTION("""COMPUTED_VALUE"""),25.0)</f>
        <v>25</v>
      </c>
      <c r="S2307" s="65"/>
      <c r="T2307" s="65">
        <f>IFERROR(__xludf.DUMMYFUNCTION("""COMPUTED_VALUE"""),4.35)</f>
        <v>4.35</v>
      </c>
      <c r="U2307" s="65">
        <f>IFERROR(__xludf.DUMMYFUNCTION("""COMPUTED_VALUE"""),0.0)</f>
        <v>0</v>
      </c>
      <c r="V2307" s="65">
        <f>IFERROR(__xludf.DUMMYFUNCTION("""COMPUTED_VALUE"""),0.0)</f>
        <v>0</v>
      </c>
      <c r="W2307" s="65">
        <f>IFERROR(__xludf.DUMMYFUNCTION("""COMPUTED_VALUE"""),0.0)</f>
        <v>0</v>
      </c>
      <c r="X2307" s="65">
        <f>IFERROR(__xludf.DUMMYFUNCTION("""COMPUTED_VALUE"""),5.0)</f>
        <v>5</v>
      </c>
      <c r="Y2307" s="65">
        <f>IFERROR(__xludf.DUMMYFUNCTION("""COMPUTED_VALUE"""),10.0)</f>
        <v>10</v>
      </c>
      <c r="Z2307" s="65">
        <f>IFERROR(__xludf.DUMMYFUNCTION("""COMPUTED_VALUE"""),110064.0)</f>
        <v>110064</v>
      </c>
      <c r="AA2307" s="65" t="str">
        <f>IFERROR(__xludf.DUMMYFUNCTION("""COMPUTED_VALUE"""),"IMX-00001")</f>
        <v>IMX-00001</v>
      </c>
      <c r="AB2307" s="65"/>
      <c r="AC2307" s="65" t="str">
        <f>IFERROR(__xludf.DUMMYFUNCTION("""COMPUTED_VALUE"""),"LLAVE TRINQUETE")</f>
        <v>LLAVE TRINQUETE</v>
      </c>
      <c r="AD2307" s="65"/>
      <c r="AE2307" s="65">
        <f>IFERROR(__xludf.DUMMYFUNCTION("""COMPUTED_VALUE"""),2.0)</f>
        <v>2</v>
      </c>
      <c r="AF2307" s="65" t="str">
        <f>IFERROR(__xludf.DUMMYFUNCTION("""COMPUTED_VALUE"""),"DESTINATARIO INDICA QUE NO HA COMPRADO NINGÚN PRODUCTO")</f>
        <v>DESTINATARIO INDICA QUE NO HA COMPRADO NINGÚN PRODUCTO</v>
      </c>
      <c r="AG2307" s="65" t="str">
        <f>IFERROR(__xludf.DUMMYFUNCTION("""COMPUTED_VALUE"""),"NO")</f>
        <v>NO</v>
      </c>
      <c r="AH2307" s="65" t="str">
        <f>IFERROR(__xludf.DUMMYFUNCTION("""COMPUTED_VALUE"""),"15:59")</f>
        <v>15:59</v>
      </c>
      <c r="AI2307" s="65" t="str">
        <f>IFERROR(__xludf.DUMMYFUNCTION("""COMPUTED_VALUE"""),"07-01-2026")</f>
        <v>07-01-2026</v>
      </c>
      <c r="AJ2307" s="65"/>
      <c r="AK2307" s="65"/>
      <c r="AL2307" s="65"/>
      <c r="AM2307" s="65"/>
      <c r="AN2307" s="65" t="str">
        <f>IFERROR(__xludf.DUMMYFUNCTION("""COMPUTED_VALUE"""),"03:09")</f>
        <v>03:09</v>
      </c>
      <c r="AO2307" s="65" t="str">
        <f>IFERROR(__xludf.DUMMYFUNCTION("""COMPUTED_VALUE"""),"17-01-2026")</f>
        <v>17-01-2026</v>
      </c>
      <c r="AP2307" s="65" t="str">
        <f>IFERROR(__xludf.DUMMYFUNCTION("""COMPUTED_VALUE"""),"DEVOLUCIÓN")</f>
        <v>DEVOLUCIÓN</v>
      </c>
      <c r="AQ2307" s="65" t="str">
        <f>IFERROR(__xludf.DUMMYFUNCTION("""COMPUTED_VALUE"""),"DEVOLUCIÓN")</f>
        <v>DEVOLUCIÓN</v>
      </c>
      <c r="AR2307" s="65"/>
      <c r="AS2307" s="65"/>
      <c r="AT2307" s="65" t="str">
        <f>IFERROR(__xludf.DUMMYFUNCTION("""COMPUTED_VALUE"""),"SHOPIFY")</f>
        <v>SHOPIFY</v>
      </c>
      <c r="AU2307" s="65" t="str">
        <f>IFERROR(__xludf.DUMMYFUNCTION("""COMPUTED_VALUE"""),"IMPORTEX EC")</f>
        <v>IMPORTEX EC</v>
      </c>
      <c r="AV2307" s="65" t="str">
        <f>IFERROR(__xludf.DUMMYFUNCTION("""COMPUTED_VALUE"""),"6389773959212")</f>
        <v>6389773959212</v>
      </c>
      <c r="AW2307" s="65">
        <f>IFERROR(__xludf.DUMMYFUNCTION("""COMPUTED_VALUE"""),4648.0)</f>
        <v>4648</v>
      </c>
      <c r="AX2307" s="65"/>
      <c r="AY2307" s="65" t="str">
        <f>IFERROR(__xludf.DUMMYFUNCTION("""COMPUTED_VALUE"""),"06/01/2026")</f>
        <v>06/01/2026</v>
      </c>
      <c r="AZ2307" s="65"/>
      <c r="BA2307" s="65"/>
    </row>
    <row r="2308">
      <c r="A2308" s="65" t="str">
        <f>IFERROR(__xludf.DUMMYFUNCTION("""COMPUTED_VALUE"""),"27-03-2026")</f>
        <v>27-03-2026</v>
      </c>
      <c r="B2308" s="65">
        <f>IFERROR(__xludf.DUMMYFUNCTION("""COMPUTED_VALUE"""),4025940.0)</f>
        <v>4025940</v>
      </c>
      <c r="C2308" s="65" t="str">
        <f>IFERROR(__xludf.DUMMYFUNCTION("""COMPUTED_VALUE"""),"09:06")</f>
        <v>09:06</v>
      </c>
      <c r="D2308" s="65" t="str">
        <f>IFERROR(__xludf.DUMMYFUNCTION("""COMPUTED_VALUE"""),"05-01-2026")</f>
        <v>05-01-2026</v>
      </c>
      <c r="E2308" s="65" t="str">
        <f>IFERROR(__xludf.DUMMYFUNCTION("""COMPUTED_VALUE"""),"Harold Alava Lopez")</f>
        <v>Harold Alava Lopez</v>
      </c>
      <c r="F2308" s="65" t="str">
        <f>IFERROR(__xludf.DUMMYFUNCTION("""COMPUTED_VALUE"""),"992357288")</f>
        <v>992357288</v>
      </c>
      <c r="G2308" s="65"/>
      <c r="H2308" s="65"/>
      <c r="I2308" s="65"/>
      <c r="J2308" s="65" t="str">
        <f>IFERROR(__xludf.DUMMYFUNCTION("""COMPUTED_VALUE"""),"D001194573")</f>
        <v>D001194573</v>
      </c>
      <c r="K2308" s="65" t="str">
        <f>IFERROR(__xludf.DUMMYFUNCTION("""COMPUTED_VALUE"""),"ENTREGADO")</f>
        <v>ENTREGADO</v>
      </c>
      <c r="L2308" s="65" t="str">
        <f>IFERROR(__xludf.DUMMYFUNCTION("""COMPUTED_VALUE"""),"CON RECAUDO")</f>
        <v>CON RECAUDO</v>
      </c>
      <c r="M2308" s="65" t="str">
        <f>IFERROR(__xludf.DUMMYFUNCTION("""COMPUTED_VALUE"""),"GUAYAS")</f>
        <v>GUAYAS</v>
      </c>
      <c r="N2308" s="65" t="str">
        <f>IFERROR(__xludf.DUMMYFUNCTION("""COMPUTED_VALUE"""),"GUAYAQUIL")</f>
        <v>GUAYAQUIL</v>
      </c>
      <c r="O2308" s="65" t="str">
        <f>IFERROR(__xludf.DUMMYFUNCTION("""COMPUTED_VALUE"""),"Vía a la Costa km14. Urbanización Terranostra. Conjunto Mallorca Mz. 862 V19")</f>
        <v>Vía a la Costa km14. Urbanización Terranostra. Conjunto Mallorca Mz. 862 V19</v>
      </c>
      <c r="P2308" s="65"/>
      <c r="Q2308" s="65" t="str">
        <f>IFERROR(__xludf.DUMMYFUNCTION("""COMPUTED_VALUE"""),"GINTRACOM")</f>
        <v>GINTRACOM</v>
      </c>
      <c r="R2308" s="65">
        <f>IFERROR(__xludf.DUMMYFUNCTION("""COMPUTED_VALUE"""),30.0)</f>
        <v>30</v>
      </c>
      <c r="S2308" s="65">
        <f>IFERROR(__xludf.DUMMYFUNCTION("""COMPUTED_VALUE"""),8.84)</f>
        <v>8.84</v>
      </c>
      <c r="T2308" s="65">
        <f>IFERROR(__xludf.DUMMYFUNCTION("""COMPUTED_VALUE"""),6.16)</f>
        <v>6.16</v>
      </c>
      <c r="U2308" s="65">
        <f>IFERROR(__xludf.DUMMYFUNCTION("""COMPUTED_VALUE"""),0.0)</f>
        <v>0</v>
      </c>
      <c r="V2308" s="65">
        <f>IFERROR(__xludf.DUMMYFUNCTION("""COMPUTED_VALUE"""),0.0)</f>
        <v>0</v>
      </c>
      <c r="W2308" s="65">
        <f>IFERROR(__xludf.DUMMYFUNCTION("""COMPUTED_VALUE"""),0.0)</f>
        <v>0</v>
      </c>
      <c r="X2308" s="65">
        <f>IFERROR(__xludf.DUMMYFUNCTION("""COMPUTED_VALUE"""),5.0)</f>
        <v>5</v>
      </c>
      <c r="Y2308" s="65">
        <f>IFERROR(__xludf.DUMMYFUNCTION("""COMPUTED_VALUE"""),15.0)</f>
        <v>15</v>
      </c>
      <c r="Z2308" s="65">
        <f>IFERROR(__xludf.DUMMYFUNCTION("""COMPUTED_VALUE"""),110064.0)</f>
        <v>110064</v>
      </c>
      <c r="AA2308" s="65" t="str">
        <f>IFERROR(__xludf.DUMMYFUNCTION("""COMPUTED_VALUE"""),"IMX-00001")</f>
        <v>IMX-00001</v>
      </c>
      <c r="AB2308" s="65"/>
      <c r="AC2308" s="65" t="str">
        <f>IFERROR(__xludf.DUMMYFUNCTION("""COMPUTED_VALUE"""),"LLAVE TRINQUETE")</f>
        <v>LLAVE TRINQUETE</v>
      </c>
      <c r="AD2308" s="65"/>
      <c r="AE2308" s="65">
        <f>IFERROR(__xludf.DUMMYFUNCTION("""COMPUTED_VALUE"""),3.0)</f>
        <v>3</v>
      </c>
      <c r="AF2308" s="65" t="str">
        <f>IFERROR(__xludf.DUMMYFUNCTION("""COMPUTED_VALUE"""),"DESTINATARIO NO CONTESTA LLAMADAS NI WHATSAPP")</f>
        <v>DESTINATARIO NO CONTESTA LLAMADAS NI WHATSAPP</v>
      </c>
      <c r="AG2308" s="65" t="str">
        <f>IFERROR(__xludf.DUMMYFUNCTION("""COMPUTED_VALUE"""),"NO")</f>
        <v>NO</v>
      </c>
      <c r="AH2308" s="65" t="str">
        <f>IFERROR(__xludf.DUMMYFUNCTION("""COMPUTED_VALUE"""),"09:09")</f>
        <v>09:09</v>
      </c>
      <c r="AI2308" s="65" t="str">
        <f>IFERROR(__xludf.DUMMYFUNCTION("""COMPUTED_VALUE"""),"13-01-2026")</f>
        <v>13-01-2026</v>
      </c>
      <c r="AJ2308" s="65"/>
      <c r="AK2308" s="65"/>
      <c r="AL2308" s="65"/>
      <c r="AM2308" s="65"/>
      <c r="AN2308" s="65" t="str">
        <f>IFERROR(__xludf.DUMMYFUNCTION("""COMPUTED_VALUE"""),"12:06")</f>
        <v>12:06</v>
      </c>
      <c r="AO2308" s="65" t="str">
        <f>IFERROR(__xludf.DUMMYFUNCTION("""COMPUTED_VALUE"""),"13-01-2026")</f>
        <v>13-01-2026</v>
      </c>
      <c r="AP2308" s="65" t="str">
        <f>IFERROR(__xludf.DUMMYFUNCTION("""COMPUTED_VALUE"""),"ENTREGADA GINTRACOM")</f>
        <v>ENTREGADA GINTRACOM</v>
      </c>
      <c r="AQ2308" s="65" t="str">
        <f>IFERROR(__xludf.DUMMYFUNCTION("""COMPUTED_VALUE"""),"ENTREGADA GINTRACOM")</f>
        <v>ENTREGADA GINTRACOM</v>
      </c>
      <c r="AR2308" s="65"/>
      <c r="AS2308" s="65" t="str">
        <f>IFERROR(__xludf.DUMMYFUNCTION("""COMPUTED_VALUE"""),"Bayron Gomez")</f>
        <v>Bayron Gomez</v>
      </c>
      <c r="AT2308" s="65"/>
      <c r="AU2308" s="65"/>
      <c r="AV2308" s="65"/>
      <c r="AW2308" s="65"/>
      <c r="AX2308" s="65"/>
      <c r="AY2308" s="65" t="str">
        <f>IFERROR(__xludf.DUMMYFUNCTION("""COMPUTED_VALUE"""),"06/01/2026")</f>
        <v>06/01/2026</v>
      </c>
      <c r="AZ2308" s="65"/>
      <c r="BA2308" s="65"/>
    </row>
    <row r="2309">
      <c r="A2309" s="65" t="str">
        <f>IFERROR(__xludf.DUMMYFUNCTION("""COMPUTED_VALUE"""),"27-03-2026")</f>
        <v>27-03-2026</v>
      </c>
      <c r="B2309" s="65">
        <f>IFERROR(__xludf.DUMMYFUNCTION("""COMPUTED_VALUE"""),4024220.0)</f>
        <v>4024220</v>
      </c>
      <c r="C2309" s="65" t="str">
        <f>IFERROR(__xludf.DUMMYFUNCTION("""COMPUTED_VALUE"""),"06:27")</f>
        <v>06:27</v>
      </c>
      <c r="D2309" s="65" t="str">
        <f>IFERROR(__xludf.DUMMYFUNCTION("""COMPUTED_VALUE"""),"05-01-2026")</f>
        <v>05-01-2026</v>
      </c>
      <c r="E2309" s="65" t="str">
        <f>IFERROR(__xludf.DUMMYFUNCTION("""COMPUTED_VALUE"""),"María Chávez Chávez")</f>
        <v>María Chávez Chávez</v>
      </c>
      <c r="F2309" s="65" t="str">
        <f>IFERROR(__xludf.DUMMYFUNCTION("""COMPUTED_VALUE"""),"993474065")</f>
        <v>993474065</v>
      </c>
      <c r="G2309" s="65" t="str">
        <f>IFERROR(__xludf.DUMMYFUNCTION("""COMPUTED_VALUE"""),"eugeniachavvez1995@gaim.com")</f>
        <v>eugeniachavvez1995@gaim.com</v>
      </c>
      <c r="H2309" s="65"/>
      <c r="I2309" s="65"/>
      <c r="J2309" s="65" t="str">
        <f>IFERROR(__xludf.DUMMYFUNCTION("""COMPUTED_VALUE"""),"186936294")</f>
        <v>186936294</v>
      </c>
      <c r="K2309" s="65" t="str">
        <f>IFERROR(__xludf.DUMMYFUNCTION("""COMPUTED_VALUE"""),"ENTREGADO")</f>
        <v>ENTREGADO</v>
      </c>
      <c r="L2309" s="65" t="str">
        <f>IFERROR(__xludf.DUMMYFUNCTION("""COMPUTED_VALUE"""),"CON RECAUDO")</f>
        <v>CON RECAUDO</v>
      </c>
      <c r="M2309" s="65" t="str">
        <f>IFERROR(__xludf.DUMMYFUNCTION("""COMPUTED_VALUE"""),"AZUAY")</f>
        <v>AZUAY</v>
      </c>
      <c r="N2309" s="65" t="str">
        <f>IFERROR(__xludf.DUMMYFUNCTION("""COMPUTED_VALUE"""),"GUALACEO")</f>
        <v>GUALACEO</v>
      </c>
      <c r="O2309" s="65" t="str">
        <f>IFERROR(__xludf.DUMMYFUNCTION("""COMPUTED_VALUE"""),"Sector Centro de Gualaceo - Av. Jaime Roldós y Av. 3 de Noviembre esquina.")</f>
        <v>Sector Centro de Gualaceo - Av. Jaime Roldós y Av. 3 de Noviembre esquina.</v>
      </c>
      <c r="P2309" s="65"/>
      <c r="Q2309" s="65" t="str">
        <f>IFERROR(__xludf.DUMMYFUNCTION("""COMPUTED_VALUE"""),"SERVIENTREGA")</f>
        <v>SERVIENTREGA</v>
      </c>
      <c r="R2309" s="65">
        <f>IFERROR(__xludf.DUMMYFUNCTION("""COMPUTED_VALUE"""),27.0)</f>
        <v>27</v>
      </c>
      <c r="S2309" s="65">
        <f>IFERROR(__xludf.DUMMYFUNCTION("""COMPUTED_VALUE"""),13.43)</f>
        <v>13.43</v>
      </c>
      <c r="T2309" s="65">
        <f>IFERROR(__xludf.DUMMYFUNCTION("""COMPUTED_VALUE"""),6.07)</f>
        <v>6.07</v>
      </c>
      <c r="U2309" s="65">
        <f>IFERROR(__xludf.DUMMYFUNCTION("""COMPUTED_VALUE"""),0.0)</f>
        <v>0</v>
      </c>
      <c r="V2309" s="65">
        <f>IFERROR(__xludf.DUMMYFUNCTION("""COMPUTED_VALUE"""),0.0)</f>
        <v>0</v>
      </c>
      <c r="W2309" s="65">
        <f>IFERROR(__xludf.DUMMYFUNCTION("""COMPUTED_VALUE"""),0.0)</f>
        <v>0</v>
      </c>
      <c r="X2309" s="65">
        <f>IFERROR(__xludf.DUMMYFUNCTION("""COMPUTED_VALUE"""),2.5)</f>
        <v>2.5</v>
      </c>
      <c r="Y2309" s="65">
        <f>IFERROR(__xludf.DUMMYFUNCTION("""COMPUTED_VALUE"""),7.5)</f>
        <v>7.5</v>
      </c>
      <c r="Z2309" s="65">
        <f>IFERROR(__xludf.DUMMYFUNCTION("""COMPUTED_VALUE"""),78123.0)</f>
        <v>78123</v>
      </c>
      <c r="AA2309" s="65" t="str">
        <f>IFERROR(__xludf.DUMMYFUNCTION("""COMPUTED_VALUE"""),"GT1EG5097")</f>
        <v>GT1EG5097</v>
      </c>
      <c r="AB2309" s="65"/>
      <c r="AC2309" s="65" t="str">
        <f>IFERROR(__xludf.DUMMYFUNCTION("""COMPUTED_VALUE"""),"Geles de baño aromaticos inodoro x 1")</f>
        <v>Geles de baño aromaticos inodoro x 1</v>
      </c>
      <c r="AD2309" s="65"/>
      <c r="AE2309" s="65">
        <f>IFERROR(__xludf.DUMMYFUNCTION("""COMPUTED_VALUE"""),3.0)</f>
        <v>3</v>
      </c>
      <c r="AF2309" s="65"/>
      <c r="AG2309" s="65"/>
      <c r="AH2309" s="65"/>
      <c r="AI2309" s="65"/>
      <c r="AJ2309" s="65"/>
      <c r="AK2309" s="65"/>
      <c r="AL2309" s="65"/>
      <c r="AM2309" s="65"/>
      <c r="AN2309" s="65" t="str">
        <f>IFERROR(__xludf.DUMMYFUNCTION("""COMPUTED_VALUE"""),"14:04")</f>
        <v>14:04</v>
      </c>
      <c r="AO2309" s="65" t="str">
        <f>IFERROR(__xludf.DUMMYFUNCTION("""COMPUTED_VALUE"""),"16-01-2026")</f>
        <v>16-01-2026</v>
      </c>
      <c r="AP2309" s="65" t="str">
        <f>IFERROR(__xludf.DUMMYFUNCTION("""COMPUTED_VALUE"""),"ENTREGA DIGITALIZADA EN CENTRO LOGISTICO")</f>
        <v>ENTREGA DIGITALIZADA EN CENTRO LOGISTICO</v>
      </c>
      <c r="AQ2309" s="65" t="str">
        <f>IFERROR(__xludf.DUMMYFUNCTION("""COMPUTED_VALUE"""),"mari chavez")</f>
        <v>mari chavez</v>
      </c>
      <c r="AR2309" s="65"/>
      <c r="AS2309" s="65"/>
      <c r="AT2309" s="65" t="str">
        <f>IFERROR(__xludf.DUMMYFUNCTION("""COMPUTED_VALUE"""),"SHOPIFY")</f>
        <v>SHOPIFY</v>
      </c>
      <c r="AU2309" s="65" t="str">
        <f>IFERROR(__xludf.DUMMYFUNCTION("""COMPUTED_VALUE"""),"IMPORTEX EC")</f>
        <v>IMPORTEX EC</v>
      </c>
      <c r="AV2309" s="65" t="str">
        <f>IFERROR(__xludf.DUMMYFUNCTION("""COMPUTED_VALUE"""),"6391197040684")</f>
        <v>6391197040684</v>
      </c>
      <c r="AW2309" s="65">
        <f>IFERROR(__xludf.DUMMYFUNCTION("""COMPUTED_VALUE"""),4662.0)</f>
        <v>4662</v>
      </c>
      <c r="AX2309" s="65"/>
      <c r="AY2309" s="65" t="str">
        <f>IFERROR(__xludf.DUMMYFUNCTION("""COMPUTED_VALUE"""),"07/01/2026")</f>
        <v>07/01/2026</v>
      </c>
      <c r="AZ2309" s="65"/>
      <c r="BA2309" s="65"/>
    </row>
    <row r="2310">
      <c r="A2310" s="65" t="str">
        <f>IFERROR(__xludf.DUMMYFUNCTION("""COMPUTED_VALUE"""),"27-03-2026")</f>
        <v>27-03-2026</v>
      </c>
      <c r="B2310" s="65">
        <f>IFERROR(__xludf.DUMMYFUNCTION("""COMPUTED_VALUE"""),4022093.0)</f>
        <v>4022093</v>
      </c>
      <c r="C2310" s="65" t="str">
        <f>IFERROR(__xludf.DUMMYFUNCTION("""COMPUTED_VALUE"""),"22:39")</f>
        <v>22:39</v>
      </c>
      <c r="D2310" s="65" t="str">
        <f>IFERROR(__xludf.DUMMYFUNCTION("""COMPUTED_VALUE"""),"04-01-2026")</f>
        <v>04-01-2026</v>
      </c>
      <c r="E2310" s="65" t="str">
        <f>IFERROR(__xludf.DUMMYFUNCTION("""COMPUTED_VALUE"""),"Freya Pazmiño")</f>
        <v>Freya Pazmiño</v>
      </c>
      <c r="F2310" s="65" t="str">
        <f>IFERROR(__xludf.DUMMYFUNCTION("""COMPUTED_VALUE"""),"997364508")</f>
        <v>997364508</v>
      </c>
      <c r="G2310" s="65" t="str">
        <f>IFERROR(__xludf.DUMMYFUNCTION("""COMPUTED_VALUE"""),"distribuidoraespinoza.matriz@outlook.com")</f>
        <v>distribuidoraespinoza.matriz@outlook.com</v>
      </c>
      <c r="H2310" s="65"/>
      <c r="I2310" s="65"/>
      <c r="J2310" s="65" t="str">
        <f>IFERROR(__xludf.DUMMYFUNCTION("""COMPUTED_VALUE"""),"D001197046")</f>
        <v>D001197046</v>
      </c>
      <c r="K2310" s="65" t="str">
        <f>IFERROR(__xludf.DUMMYFUNCTION("""COMPUTED_VALUE"""),"ENTREGADO")</f>
        <v>ENTREGADO</v>
      </c>
      <c r="L2310" s="65" t="str">
        <f>IFERROR(__xludf.DUMMYFUNCTION("""COMPUTED_VALUE"""),"CON RECAUDO")</f>
        <v>CON RECAUDO</v>
      </c>
      <c r="M2310" s="65" t="str">
        <f>IFERROR(__xludf.DUMMYFUNCTION("""COMPUTED_VALUE"""),"ORELLANA")</f>
        <v>ORELLANA</v>
      </c>
      <c r="N2310" s="65" t="str">
        <f>IFERROR(__xludf.DUMMYFUNCTION("""COMPUTED_VALUE"""),"EL COCA")</f>
        <v>EL COCA</v>
      </c>
      <c r="O2310" s="65" t="str">
        <f>IFERROR(__xludf.DUMMYFUNCTION("""COMPUTED_VALUE"""),"Calle Huayna Cápac y Calle Ruminiahui - Distribuidora Espinoza. Sector Aeropuerto Francisco de Orellana")</f>
        <v>Calle Huayna Cápac y Calle Ruminiahui - Distribuidora Espinoza. Sector Aeropuerto Francisco de Orellana</v>
      </c>
      <c r="P2310" s="65"/>
      <c r="Q2310" s="65" t="str">
        <f>IFERROR(__xludf.DUMMYFUNCTION("""COMPUTED_VALUE"""),"GINTRACOM")</f>
        <v>GINTRACOM</v>
      </c>
      <c r="R2310" s="65">
        <f>IFERROR(__xludf.DUMMYFUNCTION("""COMPUTED_VALUE"""),27.0)</f>
        <v>27</v>
      </c>
      <c r="S2310" s="65">
        <f>IFERROR(__xludf.DUMMYFUNCTION("""COMPUTED_VALUE"""),13.47)</f>
        <v>13.47</v>
      </c>
      <c r="T2310" s="65">
        <f>IFERROR(__xludf.DUMMYFUNCTION("""COMPUTED_VALUE"""),6.03)</f>
        <v>6.03</v>
      </c>
      <c r="U2310" s="65">
        <f>IFERROR(__xludf.DUMMYFUNCTION("""COMPUTED_VALUE"""),0.0)</f>
        <v>0</v>
      </c>
      <c r="V2310" s="65">
        <f>IFERROR(__xludf.DUMMYFUNCTION("""COMPUTED_VALUE"""),0.0)</f>
        <v>0</v>
      </c>
      <c r="W2310" s="65">
        <f>IFERROR(__xludf.DUMMYFUNCTION("""COMPUTED_VALUE"""),0.0)</f>
        <v>0</v>
      </c>
      <c r="X2310" s="65">
        <f>IFERROR(__xludf.DUMMYFUNCTION("""COMPUTED_VALUE"""),2.5)</f>
        <v>2.5</v>
      </c>
      <c r="Y2310" s="65">
        <f>IFERROR(__xludf.DUMMYFUNCTION("""COMPUTED_VALUE"""),7.5)</f>
        <v>7.5</v>
      </c>
      <c r="Z2310" s="65">
        <f>IFERROR(__xludf.DUMMYFUNCTION("""COMPUTED_VALUE"""),78123.0)</f>
        <v>78123</v>
      </c>
      <c r="AA2310" s="65" t="str">
        <f>IFERROR(__xludf.DUMMYFUNCTION("""COMPUTED_VALUE"""),"GT1EG5097")</f>
        <v>GT1EG5097</v>
      </c>
      <c r="AB2310" s="65"/>
      <c r="AC2310" s="65" t="str">
        <f>IFERROR(__xludf.DUMMYFUNCTION("""COMPUTED_VALUE"""),"Geles de baño aromaticos inodoro x 1")</f>
        <v>Geles de baño aromaticos inodoro x 1</v>
      </c>
      <c r="AD2310" s="65"/>
      <c r="AE2310" s="65">
        <f>IFERROR(__xludf.DUMMYFUNCTION("""COMPUTED_VALUE"""),3.0)</f>
        <v>3</v>
      </c>
      <c r="AF2310" s="65"/>
      <c r="AG2310" s="65"/>
      <c r="AH2310" s="65"/>
      <c r="AI2310" s="65"/>
      <c r="AJ2310" s="65"/>
      <c r="AK2310" s="65"/>
      <c r="AL2310" s="65"/>
      <c r="AM2310" s="65"/>
      <c r="AN2310" s="65" t="str">
        <f>IFERROR(__xludf.DUMMYFUNCTION("""COMPUTED_VALUE"""),"18:02")</f>
        <v>18:02</v>
      </c>
      <c r="AO2310" s="65" t="str">
        <f>IFERROR(__xludf.DUMMYFUNCTION("""COMPUTED_VALUE"""),"09-01-2026")</f>
        <v>09-01-2026</v>
      </c>
      <c r="AP2310" s="65" t="str">
        <f>IFERROR(__xludf.DUMMYFUNCTION("""COMPUTED_VALUE"""),"ENTREGADA GINTRACOM")</f>
        <v>ENTREGADA GINTRACOM</v>
      </c>
      <c r="AQ2310" s="65" t="str">
        <f>IFERROR(__xludf.DUMMYFUNCTION("""COMPUTED_VALUE"""),"ENTREGADA GINTRACOM")</f>
        <v>ENTREGADA GINTRACOM</v>
      </c>
      <c r="AR2310" s="65"/>
      <c r="AS2310" s="65"/>
      <c r="AT2310" s="65" t="str">
        <f>IFERROR(__xludf.DUMMYFUNCTION("""COMPUTED_VALUE"""),"SHOPIFY")</f>
        <v>SHOPIFY</v>
      </c>
      <c r="AU2310" s="65" t="str">
        <f>IFERROR(__xludf.DUMMYFUNCTION("""COMPUTED_VALUE"""),"IMPORTEX EC")</f>
        <v>IMPORTEX EC</v>
      </c>
      <c r="AV2310" s="65" t="str">
        <f>IFERROR(__xludf.DUMMYFUNCTION("""COMPUTED_VALUE"""),"6390687694892")</f>
        <v>6390687694892</v>
      </c>
      <c r="AW2310" s="65">
        <f>IFERROR(__xludf.DUMMYFUNCTION("""COMPUTED_VALUE"""),4660.0)</f>
        <v>4660</v>
      </c>
      <c r="AX2310" s="65"/>
      <c r="AY2310" s="65" t="str">
        <f>IFERROR(__xludf.DUMMYFUNCTION("""COMPUTED_VALUE"""),"07/01/2026")</f>
        <v>07/01/2026</v>
      </c>
      <c r="AZ2310" s="65"/>
      <c r="BA2310" s="65"/>
    </row>
    <row r="2311">
      <c r="A2311" s="65" t="str">
        <f>IFERROR(__xludf.DUMMYFUNCTION("""COMPUTED_VALUE"""),"27-03-2026")</f>
        <v>27-03-2026</v>
      </c>
      <c r="B2311" s="65">
        <f>IFERROR(__xludf.DUMMYFUNCTION("""COMPUTED_VALUE"""),4021467.0)</f>
        <v>4021467</v>
      </c>
      <c r="C2311" s="65" t="str">
        <f>IFERROR(__xludf.DUMMYFUNCTION("""COMPUTED_VALUE"""),"21:59")</f>
        <v>21:59</v>
      </c>
      <c r="D2311" s="65" t="str">
        <f>IFERROR(__xludf.DUMMYFUNCTION("""COMPUTED_VALUE"""),"04-01-2026")</f>
        <v>04-01-2026</v>
      </c>
      <c r="E2311" s="65" t="str">
        <f>IFERROR(__xludf.DUMMYFUNCTION("""COMPUTED_VALUE"""),"Susana Aguirre Maldonado Aguirre Maldonado")</f>
        <v>Susana Aguirre Maldonado Aguirre Maldonado</v>
      </c>
      <c r="F2311" s="65" t="str">
        <f>IFERROR(__xludf.DUMMYFUNCTION("""COMPUTED_VALUE"""),"984068555")</f>
        <v>984068555</v>
      </c>
      <c r="G2311" s="65" t="str">
        <f>IFERROR(__xludf.DUMMYFUNCTION("""COMPUTED_VALUE"""),"dsusanagui@gmail.com")</f>
        <v>dsusanagui@gmail.com</v>
      </c>
      <c r="H2311" s="65"/>
      <c r="I2311" s="65"/>
      <c r="J2311" s="65" t="str">
        <f>IFERROR(__xludf.DUMMYFUNCTION("""COMPUTED_VALUE"""),"D001195820")</f>
        <v>D001195820</v>
      </c>
      <c r="K2311" s="65" t="str">
        <f>IFERROR(__xludf.DUMMYFUNCTION("""COMPUTED_VALUE"""),"ENTREGADO")</f>
        <v>ENTREGADO</v>
      </c>
      <c r="L2311" s="65" t="str">
        <f>IFERROR(__xludf.DUMMYFUNCTION("""COMPUTED_VALUE"""),"CON RECAUDO")</f>
        <v>CON RECAUDO</v>
      </c>
      <c r="M2311" s="65" t="str">
        <f>IFERROR(__xludf.DUMMYFUNCTION("""COMPUTED_VALUE"""),"PICHINCHA")</f>
        <v>PICHINCHA</v>
      </c>
      <c r="N2311" s="65" t="str">
        <f>IFERROR(__xludf.DUMMYFUNCTION("""COMPUTED_VALUE"""),"SANGOLQUI")</f>
        <v>SANGOLQUI</v>
      </c>
      <c r="O2311" s="65" t="str">
        <f>IFERROR(__xludf.DUMMYFUNCTION("""COMPUTED_VALUE"""),"Sector Sangolquí - Av. Juan de Salinas y Cale Nicolás Peña - Ref. Grupo F&amp;C Material.")</f>
        <v>Sector Sangolquí - Av. Juan de Salinas y Cale Nicolás Peña - Ref. Grupo F&amp;C Material.</v>
      </c>
      <c r="P2311" s="65"/>
      <c r="Q2311" s="65" t="str">
        <f>IFERROR(__xludf.DUMMYFUNCTION("""COMPUTED_VALUE"""),"GINTRACOM")</f>
        <v>GINTRACOM</v>
      </c>
      <c r="R2311" s="65">
        <f>IFERROR(__xludf.DUMMYFUNCTION("""COMPUTED_VALUE"""),22.0)</f>
        <v>22</v>
      </c>
      <c r="S2311" s="65">
        <f>IFERROR(__xludf.DUMMYFUNCTION("""COMPUTED_VALUE"""),11.16)</f>
        <v>11.16</v>
      </c>
      <c r="T2311" s="65">
        <f>IFERROR(__xludf.DUMMYFUNCTION("""COMPUTED_VALUE"""),5.84)</f>
        <v>5.84</v>
      </c>
      <c r="U2311" s="65">
        <f>IFERROR(__xludf.DUMMYFUNCTION("""COMPUTED_VALUE"""),0.0)</f>
        <v>0</v>
      </c>
      <c r="V2311" s="65">
        <f>IFERROR(__xludf.DUMMYFUNCTION("""COMPUTED_VALUE"""),0.0)</f>
        <v>0</v>
      </c>
      <c r="W2311" s="65">
        <f>IFERROR(__xludf.DUMMYFUNCTION("""COMPUTED_VALUE"""),0.0)</f>
        <v>0</v>
      </c>
      <c r="X2311" s="65">
        <f>IFERROR(__xludf.DUMMYFUNCTION("""COMPUTED_VALUE"""),2.5)</f>
        <v>2.5</v>
      </c>
      <c r="Y2311" s="65">
        <f>IFERROR(__xludf.DUMMYFUNCTION("""COMPUTED_VALUE"""),5.0)</f>
        <v>5</v>
      </c>
      <c r="Z2311" s="65">
        <f>IFERROR(__xludf.DUMMYFUNCTION("""COMPUTED_VALUE"""),78123.0)</f>
        <v>78123</v>
      </c>
      <c r="AA2311" s="65" t="str">
        <f>IFERROR(__xludf.DUMMYFUNCTION("""COMPUTED_VALUE"""),"GT1EG5097")</f>
        <v>GT1EG5097</v>
      </c>
      <c r="AB2311" s="65"/>
      <c r="AC2311" s="65" t="str">
        <f>IFERROR(__xludf.DUMMYFUNCTION("""COMPUTED_VALUE"""),"Geles de baño aromaticos inodoro x 1")</f>
        <v>Geles de baño aromaticos inodoro x 1</v>
      </c>
      <c r="AD2311" s="65"/>
      <c r="AE2311" s="65">
        <f>IFERROR(__xludf.DUMMYFUNCTION("""COMPUTED_VALUE"""),2.0)</f>
        <v>2</v>
      </c>
      <c r="AF2311" s="65"/>
      <c r="AG2311" s="65"/>
      <c r="AH2311" s="65"/>
      <c r="AI2311" s="65"/>
      <c r="AJ2311" s="65"/>
      <c r="AK2311" s="65"/>
      <c r="AL2311" s="65"/>
      <c r="AM2311" s="65"/>
      <c r="AN2311" s="65" t="str">
        <f>IFERROR(__xludf.DUMMYFUNCTION("""COMPUTED_VALUE"""),"01:31")</f>
        <v>01:31</v>
      </c>
      <c r="AO2311" s="65" t="str">
        <f>IFERROR(__xludf.DUMMYFUNCTION("""COMPUTED_VALUE"""),"09-01-2026")</f>
        <v>09-01-2026</v>
      </c>
      <c r="AP2311" s="65" t="str">
        <f>IFERROR(__xludf.DUMMYFUNCTION("""COMPUTED_VALUE"""),"ENTREGADA GINTRACOM")</f>
        <v>ENTREGADA GINTRACOM</v>
      </c>
      <c r="AQ2311" s="65" t="str">
        <f>IFERROR(__xludf.DUMMYFUNCTION("""COMPUTED_VALUE"""),"ENTREGADA GINTRACOM")</f>
        <v>ENTREGADA GINTRACOM</v>
      </c>
      <c r="AR2311" s="65"/>
      <c r="AS2311" s="65"/>
      <c r="AT2311" s="65" t="str">
        <f>IFERROR(__xludf.DUMMYFUNCTION("""COMPUTED_VALUE"""),"SHOPIFY")</f>
        <v>SHOPIFY</v>
      </c>
      <c r="AU2311" s="65" t="str">
        <f>IFERROR(__xludf.DUMMYFUNCTION("""COMPUTED_VALUE"""),"IMPORTEX EC")</f>
        <v>IMPORTEX EC</v>
      </c>
      <c r="AV2311" s="65" t="str">
        <f>IFERROR(__xludf.DUMMYFUNCTION("""COMPUTED_VALUE"""),"6390600663084")</f>
        <v>6390600663084</v>
      </c>
      <c r="AW2311" s="65">
        <f>IFERROR(__xludf.DUMMYFUNCTION("""COMPUTED_VALUE"""),4659.0)</f>
        <v>4659</v>
      </c>
      <c r="AX2311" s="65"/>
      <c r="AY2311" s="65" t="str">
        <f>IFERROR(__xludf.DUMMYFUNCTION("""COMPUTED_VALUE"""),"06/01/2026")</f>
        <v>06/01/2026</v>
      </c>
      <c r="AZ2311" s="65"/>
      <c r="BA2311" s="65"/>
    </row>
    <row r="2312">
      <c r="A2312" s="65" t="str">
        <f>IFERROR(__xludf.DUMMYFUNCTION("""COMPUTED_VALUE"""),"27-03-2026")</f>
        <v>27-03-2026</v>
      </c>
      <c r="B2312" s="65">
        <f>IFERROR(__xludf.DUMMYFUNCTION("""COMPUTED_VALUE"""),4020519.0)</f>
        <v>4020519</v>
      </c>
      <c r="C2312" s="65" t="str">
        <f>IFERROR(__xludf.DUMMYFUNCTION("""COMPUTED_VALUE"""),"20:58")</f>
        <v>20:58</v>
      </c>
      <c r="D2312" s="65" t="str">
        <f>IFERROR(__xludf.DUMMYFUNCTION("""COMPUTED_VALUE"""),"04-01-2026")</f>
        <v>04-01-2026</v>
      </c>
      <c r="E2312" s="65" t="str">
        <f>IFERROR(__xludf.DUMMYFUNCTION("""COMPUTED_VALUE"""),"Cenia Yadira Choez Jiménez")</f>
        <v>Cenia Yadira Choez Jiménez</v>
      </c>
      <c r="F2312" s="65" t="str">
        <f>IFERROR(__xludf.DUMMYFUNCTION("""COMPUTED_VALUE"""),"989117974")</f>
        <v>989117974</v>
      </c>
      <c r="G2312" s="65" t="str">
        <f>IFERROR(__xludf.DUMMYFUNCTION("""COMPUTED_VALUE"""),"cenita473@gmail.com")</f>
        <v>cenita473@gmail.com</v>
      </c>
      <c r="H2312" s="65"/>
      <c r="I2312" s="65"/>
      <c r="J2312" s="65" t="str">
        <f>IFERROR(__xludf.DUMMYFUNCTION("""COMPUTED_VALUE"""),"D001195822")</f>
        <v>D001195822</v>
      </c>
      <c r="K2312" s="65" t="str">
        <f>IFERROR(__xludf.DUMMYFUNCTION("""COMPUTED_VALUE"""),"DEVOLUCION")</f>
        <v>DEVOLUCION</v>
      </c>
      <c r="L2312" s="65" t="str">
        <f>IFERROR(__xludf.DUMMYFUNCTION("""COMPUTED_VALUE"""),"CON RECAUDO")</f>
        <v>CON RECAUDO</v>
      </c>
      <c r="M2312" s="65" t="str">
        <f>IFERROR(__xludf.DUMMYFUNCTION("""COMPUTED_VALUE"""),"MANABI")</f>
        <v>MANABI</v>
      </c>
      <c r="N2312" s="65" t="str">
        <f>IFERROR(__xludf.DUMMYFUNCTION("""COMPUTED_VALUE"""),"EL CARMEN")</f>
        <v>EL CARMEN</v>
      </c>
      <c r="O2312" s="65" t="str">
        <f>IFERROR(__xludf.DUMMYFUNCTION("""COMPUTED_VALUE"""),"Av. Chone y Cale García Moreno. Ref. Cementerio General. Primera Villa.")</f>
        <v>Av. Chone y Cale García Moreno. Ref. Cementerio General. Primera Villa.</v>
      </c>
      <c r="P2312" s="65"/>
      <c r="Q2312" s="65" t="str">
        <f>IFERROR(__xludf.DUMMYFUNCTION("""COMPUTED_VALUE"""),"GINTRACOM")</f>
        <v>GINTRACOM</v>
      </c>
      <c r="R2312" s="65">
        <f>IFERROR(__xludf.DUMMYFUNCTION("""COMPUTED_VALUE"""),22.0)</f>
        <v>22</v>
      </c>
      <c r="S2312" s="65"/>
      <c r="T2312" s="65">
        <f>IFERROR(__xludf.DUMMYFUNCTION("""COMPUTED_VALUE"""),5.84)</f>
        <v>5.84</v>
      </c>
      <c r="U2312" s="65">
        <f>IFERROR(__xludf.DUMMYFUNCTION("""COMPUTED_VALUE"""),0.0)</f>
        <v>0</v>
      </c>
      <c r="V2312" s="65">
        <f>IFERROR(__xludf.DUMMYFUNCTION("""COMPUTED_VALUE"""),0.0)</f>
        <v>0</v>
      </c>
      <c r="W2312" s="65">
        <f>IFERROR(__xludf.DUMMYFUNCTION("""COMPUTED_VALUE"""),0.0)</f>
        <v>0</v>
      </c>
      <c r="X2312" s="65">
        <f>IFERROR(__xludf.DUMMYFUNCTION("""COMPUTED_VALUE"""),2.5)</f>
        <v>2.5</v>
      </c>
      <c r="Y2312" s="65">
        <f>IFERROR(__xludf.DUMMYFUNCTION("""COMPUTED_VALUE"""),5.0)</f>
        <v>5</v>
      </c>
      <c r="Z2312" s="65">
        <f>IFERROR(__xludf.DUMMYFUNCTION("""COMPUTED_VALUE"""),78123.0)</f>
        <v>78123</v>
      </c>
      <c r="AA2312" s="65" t="str">
        <f>IFERROR(__xludf.DUMMYFUNCTION("""COMPUTED_VALUE"""),"GT1EG5097")</f>
        <v>GT1EG5097</v>
      </c>
      <c r="AB2312" s="65"/>
      <c r="AC2312" s="65" t="str">
        <f>IFERROR(__xludf.DUMMYFUNCTION("""COMPUTED_VALUE"""),"Geles de baño aromaticos inodoro x 1")</f>
        <v>Geles de baño aromaticos inodoro x 1</v>
      </c>
      <c r="AD2312" s="65"/>
      <c r="AE2312" s="65">
        <f>IFERROR(__xludf.DUMMYFUNCTION("""COMPUTED_VALUE"""),2.0)</f>
        <v>2</v>
      </c>
      <c r="AF2312" s="65" t="str">
        <f>IFERROR(__xludf.DUMMYFUNCTION("""COMPUTED_VALUE"""),"DESTINATARIO NO CONTESTA LLAMADAS NI WHATSAPP")</f>
        <v>DESTINATARIO NO CONTESTA LLAMADAS NI WHATSAPP</v>
      </c>
      <c r="AG2312" s="65" t="str">
        <f>IFERROR(__xludf.DUMMYFUNCTION("""COMPUTED_VALUE"""),"NO")</f>
        <v>NO</v>
      </c>
      <c r="AH2312" s="65" t="str">
        <f>IFERROR(__xludf.DUMMYFUNCTION("""COMPUTED_VALUE"""),"15:12")</f>
        <v>15:12</v>
      </c>
      <c r="AI2312" s="65" t="str">
        <f>IFERROR(__xludf.DUMMYFUNCTION("""COMPUTED_VALUE"""),"15-01-2026")</f>
        <v>15-01-2026</v>
      </c>
      <c r="AJ2312" s="65"/>
      <c r="AK2312" s="65"/>
      <c r="AL2312" s="65"/>
      <c r="AM2312" s="65"/>
      <c r="AN2312" s="65" t="str">
        <f>IFERROR(__xludf.DUMMYFUNCTION("""COMPUTED_VALUE"""),"03:05")</f>
        <v>03:05</v>
      </c>
      <c r="AO2312" s="65" t="str">
        <f>IFERROR(__xludf.DUMMYFUNCTION("""COMPUTED_VALUE"""),"18-01-2026")</f>
        <v>18-01-2026</v>
      </c>
      <c r="AP2312" s="65" t="str">
        <f>IFERROR(__xludf.DUMMYFUNCTION("""COMPUTED_VALUE"""),"DEVOLUCIÓN")</f>
        <v>DEVOLUCIÓN</v>
      </c>
      <c r="AQ2312" s="65" t="str">
        <f>IFERROR(__xludf.DUMMYFUNCTION("""COMPUTED_VALUE"""),"DEVOLUCIÓN")</f>
        <v>DEVOLUCIÓN</v>
      </c>
      <c r="AR2312" s="65"/>
      <c r="AS2312" s="65"/>
      <c r="AT2312" s="65" t="str">
        <f>IFERROR(__xludf.DUMMYFUNCTION("""COMPUTED_VALUE"""),"SHOPIFY")</f>
        <v>SHOPIFY</v>
      </c>
      <c r="AU2312" s="65" t="str">
        <f>IFERROR(__xludf.DUMMYFUNCTION("""COMPUTED_VALUE"""),"IMPORTEX EC")</f>
        <v>IMPORTEX EC</v>
      </c>
      <c r="AV2312" s="65" t="str">
        <f>IFERROR(__xludf.DUMMYFUNCTION("""COMPUTED_VALUE"""),"6390449373228")</f>
        <v>6390449373228</v>
      </c>
      <c r="AW2312" s="65">
        <f>IFERROR(__xludf.DUMMYFUNCTION("""COMPUTED_VALUE"""),4658.0)</f>
        <v>4658</v>
      </c>
      <c r="AX2312" s="65"/>
      <c r="AY2312" s="65" t="str">
        <f>IFERROR(__xludf.DUMMYFUNCTION("""COMPUTED_VALUE"""),"06/01/2026")</f>
        <v>06/01/2026</v>
      </c>
      <c r="AZ2312" s="65"/>
      <c r="BA2312" s="65"/>
    </row>
    <row r="2313">
      <c r="A2313" s="65" t="str">
        <f>IFERROR(__xludf.DUMMYFUNCTION("""COMPUTED_VALUE"""),"27-03-2026")</f>
        <v>27-03-2026</v>
      </c>
      <c r="B2313" s="65">
        <f>IFERROR(__xludf.DUMMYFUNCTION("""COMPUTED_VALUE"""),4019253.0)</f>
        <v>4019253</v>
      </c>
      <c r="C2313" s="65" t="str">
        <f>IFERROR(__xludf.DUMMYFUNCTION("""COMPUTED_VALUE"""),"19:14")</f>
        <v>19:14</v>
      </c>
      <c r="D2313" s="65" t="str">
        <f>IFERROR(__xludf.DUMMYFUNCTION("""COMPUTED_VALUE"""),"04-01-2026")</f>
        <v>04-01-2026</v>
      </c>
      <c r="E2313" s="65" t="str">
        <f>IFERROR(__xludf.DUMMYFUNCTION("""COMPUTED_VALUE"""),"José Chicaiza")</f>
        <v>José Chicaiza</v>
      </c>
      <c r="F2313" s="65" t="str">
        <f>IFERROR(__xludf.DUMMYFUNCTION("""COMPUTED_VALUE"""),"962903217")</f>
        <v>962903217</v>
      </c>
      <c r="G2313" s="65" t="str">
        <f>IFERROR(__xludf.DUMMYFUNCTION("""COMPUTED_VALUE"""),"chicaizazuly@gmail.com")</f>
        <v>chicaizazuly@gmail.com</v>
      </c>
      <c r="H2313" s="65"/>
      <c r="I2313" s="65"/>
      <c r="J2313" s="65"/>
      <c r="K2313" s="65" t="str">
        <f>IFERROR(__xludf.DUMMYFUNCTION("""COMPUTED_VALUE"""),"CANCELADO")</f>
        <v>CANCELADO</v>
      </c>
      <c r="L2313" s="65" t="str">
        <f>IFERROR(__xludf.DUMMYFUNCTION("""COMPUTED_VALUE"""),"CON RECAUDO")</f>
        <v>CON RECAUDO</v>
      </c>
      <c r="M2313" s="65" t="str">
        <f>IFERROR(__xludf.DUMMYFUNCTION("""COMPUTED_VALUE"""),"PICHINCHA")</f>
        <v>PICHINCHA</v>
      </c>
      <c r="N2313" s="65" t="str">
        <f>IFERROR(__xludf.DUMMYFUNCTION("""COMPUTED_VALUE"""),"QUITO")</f>
        <v>QUITO</v>
      </c>
      <c r="O2313" s="65" t="str">
        <f>IFERROR(__xludf.DUMMYFUNCTION("""COMPUTED_VALUE"""),"Isabel Herreria y pasaje A Chillogallo el trancito -")</f>
        <v>Isabel Herreria y pasaje A Chillogallo el trancito -</v>
      </c>
      <c r="P2313" s="65"/>
      <c r="Q2313" s="65" t="str">
        <f>IFERROR(__xludf.DUMMYFUNCTION("""COMPUTED_VALUE"""),"GINTRACOM")</f>
        <v>GINTRACOM</v>
      </c>
      <c r="R2313" s="65">
        <f>IFERROR(__xludf.DUMMYFUNCTION("""COMPUTED_VALUE"""),20.0)</f>
        <v>20</v>
      </c>
      <c r="S2313" s="65"/>
      <c r="T2313" s="65">
        <f>IFERROR(__xludf.DUMMYFUNCTION("""COMPUTED_VALUE"""),4.15)</f>
        <v>4.15</v>
      </c>
      <c r="U2313" s="65">
        <f>IFERROR(__xludf.DUMMYFUNCTION("""COMPUTED_VALUE"""),0.0)</f>
        <v>0</v>
      </c>
      <c r="V2313" s="65">
        <f>IFERROR(__xludf.DUMMYFUNCTION("""COMPUTED_VALUE"""),0.0)</f>
        <v>0</v>
      </c>
      <c r="W2313" s="65">
        <f>IFERROR(__xludf.DUMMYFUNCTION("""COMPUTED_VALUE"""),0.0)</f>
        <v>0</v>
      </c>
      <c r="X2313" s="65">
        <f>IFERROR(__xludf.DUMMYFUNCTION("""COMPUTED_VALUE"""),5.0)</f>
        <v>5</v>
      </c>
      <c r="Y2313" s="65">
        <f>IFERROR(__xludf.DUMMYFUNCTION("""COMPUTED_VALUE"""),5.0)</f>
        <v>5</v>
      </c>
      <c r="Z2313" s="65">
        <f>IFERROR(__xludf.DUMMYFUNCTION("""COMPUTED_VALUE"""),110064.0)</f>
        <v>110064</v>
      </c>
      <c r="AA2313" s="65" t="str">
        <f>IFERROR(__xludf.DUMMYFUNCTION("""COMPUTED_VALUE"""),"IMX-00001")</f>
        <v>IMX-00001</v>
      </c>
      <c r="AB2313" s="65"/>
      <c r="AC2313" s="65" t="str">
        <f>IFERROR(__xludf.DUMMYFUNCTION("""COMPUTED_VALUE"""),"LLAVE TRINQUETE")</f>
        <v>LLAVE TRINQUETE</v>
      </c>
      <c r="AD2313" s="65"/>
      <c r="AE2313" s="65">
        <f>IFERROR(__xludf.DUMMYFUNCTION("""COMPUTED_VALUE"""),1.0)</f>
        <v>1</v>
      </c>
      <c r="AF2313" s="65"/>
      <c r="AG2313" s="65"/>
      <c r="AH2313" s="65"/>
      <c r="AI2313" s="65"/>
      <c r="AJ2313" s="65"/>
      <c r="AK2313" s="65"/>
      <c r="AL2313" s="65"/>
      <c r="AM2313" s="65"/>
      <c r="AN2313" s="65"/>
      <c r="AO2313" s="65"/>
      <c r="AP2313" s="65"/>
      <c r="AQ2313" s="65"/>
      <c r="AR2313" s="65"/>
      <c r="AS2313" s="65"/>
      <c r="AT2313" s="65" t="str">
        <f>IFERROR(__xludf.DUMMYFUNCTION("""COMPUTED_VALUE"""),"SHOPIFY")</f>
        <v>SHOPIFY</v>
      </c>
      <c r="AU2313" s="65" t="str">
        <f>IFERROR(__xludf.DUMMYFUNCTION("""COMPUTED_VALUE"""),"IMPORTEX EC")</f>
        <v>IMPORTEX EC</v>
      </c>
      <c r="AV2313" s="65" t="str">
        <f>IFERROR(__xludf.DUMMYFUNCTION("""COMPUTED_VALUE"""),"6390250373164")</f>
        <v>6390250373164</v>
      </c>
      <c r="AW2313" s="65">
        <f>IFERROR(__xludf.DUMMYFUNCTION("""COMPUTED_VALUE"""),4657.0)</f>
        <v>4657</v>
      </c>
      <c r="AX2313" s="65"/>
      <c r="AY2313" s="65"/>
      <c r="AZ2313" s="65"/>
      <c r="BA2313" s="65"/>
    </row>
    <row r="2314">
      <c r="A2314" s="65" t="str">
        <f>IFERROR(__xludf.DUMMYFUNCTION("""COMPUTED_VALUE"""),"27-03-2026")</f>
        <v>27-03-2026</v>
      </c>
      <c r="B2314" s="65">
        <f>IFERROR(__xludf.DUMMYFUNCTION("""COMPUTED_VALUE"""),4018399.0)</f>
        <v>4018399</v>
      </c>
      <c r="C2314" s="65" t="str">
        <f>IFERROR(__xludf.DUMMYFUNCTION("""COMPUTED_VALUE"""),"17:57")</f>
        <v>17:57</v>
      </c>
      <c r="D2314" s="65" t="str">
        <f>IFERROR(__xludf.DUMMYFUNCTION("""COMPUTED_VALUE"""),"04-01-2026")</f>
        <v>04-01-2026</v>
      </c>
      <c r="E2314" s="65" t="str">
        <f>IFERROR(__xludf.DUMMYFUNCTION("""COMPUTED_VALUE"""),"Isaías Poveda")</f>
        <v>Isaías Poveda</v>
      </c>
      <c r="F2314" s="65" t="str">
        <f>IFERROR(__xludf.DUMMYFUNCTION("""COMPUTED_VALUE"""),"992156384")</f>
        <v>992156384</v>
      </c>
      <c r="G2314" s="65" t="str">
        <f>IFERROR(__xludf.DUMMYFUNCTION("""COMPUTED_VALUE"""),"jisaiaspoveda@gmail.com")</f>
        <v>jisaiaspoveda@gmail.com</v>
      </c>
      <c r="H2314" s="65"/>
      <c r="I2314" s="65"/>
      <c r="J2314" s="65" t="str">
        <f>IFERROR(__xludf.DUMMYFUNCTION("""COMPUTED_VALUE"""),"D001194575")</f>
        <v>D001194575</v>
      </c>
      <c r="K2314" s="65" t="str">
        <f>IFERROR(__xludf.DUMMYFUNCTION("""COMPUTED_VALUE"""),"ENTREGADO")</f>
        <v>ENTREGADO</v>
      </c>
      <c r="L2314" s="65" t="str">
        <f>IFERROR(__xludf.DUMMYFUNCTION("""COMPUTED_VALUE"""),"CON RECAUDO")</f>
        <v>CON RECAUDO</v>
      </c>
      <c r="M2314" s="65" t="str">
        <f>IFERROR(__xludf.DUMMYFUNCTION("""COMPUTED_VALUE"""),"GUAYAS")</f>
        <v>GUAYAS</v>
      </c>
      <c r="N2314" s="65" t="str">
        <f>IFERROR(__xludf.DUMMYFUNCTION("""COMPUTED_VALUE"""),"GUAYAQUIL")</f>
        <v>GUAYAQUIL</v>
      </c>
      <c r="O2314" s="65" t="str">
        <f>IFERROR(__xludf.DUMMYFUNCTION("""COMPUTED_VALUE"""),"Sector La Aurora - Urbanización La Joya, Etapa Diamante Mz8 V20 -Calle Vial 8")</f>
        <v>Sector La Aurora - Urbanización La Joya, Etapa Diamante Mz8 V20 -Calle Vial 8</v>
      </c>
      <c r="P2314" s="65"/>
      <c r="Q2314" s="65" t="str">
        <f>IFERROR(__xludf.DUMMYFUNCTION("""COMPUTED_VALUE"""),"GINTRACOM")</f>
        <v>GINTRACOM</v>
      </c>
      <c r="R2314" s="65">
        <f>IFERROR(__xludf.DUMMYFUNCTION("""COMPUTED_VALUE"""),30.0)</f>
        <v>30</v>
      </c>
      <c r="S2314" s="65">
        <f>IFERROR(__xludf.DUMMYFUNCTION("""COMPUTED_VALUE"""),8.84)</f>
        <v>8.84</v>
      </c>
      <c r="T2314" s="65">
        <f>IFERROR(__xludf.DUMMYFUNCTION("""COMPUTED_VALUE"""),6.16)</f>
        <v>6.16</v>
      </c>
      <c r="U2314" s="65">
        <f>IFERROR(__xludf.DUMMYFUNCTION("""COMPUTED_VALUE"""),0.0)</f>
        <v>0</v>
      </c>
      <c r="V2314" s="65">
        <f>IFERROR(__xludf.DUMMYFUNCTION("""COMPUTED_VALUE"""),0.0)</f>
        <v>0</v>
      </c>
      <c r="W2314" s="65">
        <f>IFERROR(__xludf.DUMMYFUNCTION("""COMPUTED_VALUE"""),0.0)</f>
        <v>0</v>
      </c>
      <c r="X2314" s="65">
        <f>IFERROR(__xludf.DUMMYFUNCTION("""COMPUTED_VALUE"""),5.0)</f>
        <v>5</v>
      </c>
      <c r="Y2314" s="65">
        <f>IFERROR(__xludf.DUMMYFUNCTION("""COMPUTED_VALUE"""),15.0)</f>
        <v>15</v>
      </c>
      <c r="Z2314" s="65">
        <f>IFERROR(__xludf.DUMMYFUNCTION("""COMPUTED_VALUE"""),110064.0)</f>
        <v>110064</v>
      </c>
      <c r="AA2314" s="65" t="str">
        <f>IFERROR(__xludf.DUMMYFUNCTION("""COMPUTED_VALUE"""),"IMX-00001")</f>
        <v>IMX-00001</v>
      </c>
      <c r="AB2314" s="65"/>
      <c r="AC2314" s="65" t="str">
        <f>IFERROR(__xludf.DUMMYFUNCTION("""COMPUTED_VALUE"""),"LLAVE TRINQUETE")</f>
        <v>LLAVE TRINQUETE</v>
      </c>
      <c r="AD2314" s="65"/>
      <c r="AE2314" s="65">
        <f>IFERROR(__xludf.DUMMYFUNCTION("""COMPUTED_VALUE"""),3.0)</f>
        <v>3</v>
      </c>
      <c r="AF2314" s="65" t="str">
        <f>IFERROR(__xludf.DUMMYFUNCTION("""COMPUTED_VALUE"""),"DESTINATARIO NO CONTESTA LLAMADAS NI WHATSAPP")</f>
        <v>DESTINATARIO NO CONTESTA LLAMADAS NI WHATSAPP</v>
      </c>
      <c r="AG2314" s="65" t="str">
        <f>IFERROR(__xludf.DUMMYFUNCTION("""COMPUTED_VALUE"""),"NO")</f>
        <v>NO</v>
      </c>
      <c r="AH2314" s="65" t="str">
        <f>IFERROR(__xludf.DUMMYFUNCTION("""COMPUTED_VALUE"""),"16:10")</f>
        <v>16:10</v>
      </c>
      <c r="AI2314" s="65" t="str">
        <f>IFERROR(__xludf.DUMMYFUNCTION("""COMPUTED_VALUE"""),"08-01-2026")</f>
        <v>08-01-2026</v>
      </c>
      <c r="AJ2314" s="65"/>
      <c r="AK2314" s="65"/>
      <c r="AL2314" s="65"/>
      <c r="AM2314" s="65"/>
      <c r="AN2314" s="65" t="str">
        <f>IFERROR(__xludf.DUMMYFUNCTION("""COMPUTED_VALUE"""),"18:00")</f>
        <v>18:00</v>
      </c>
      <c r="AO2314" s="65" t="str">
        <f>IFERROR(__xludf.DUMMYFUNCTION("""COMPUTED_VALUE"""),"09-01-2026")</f>
        <v>09-01-2026</v>
      </c>
      <c r="AP2314" s="65" t="str">
        <f>IFERROR(__xludf.DUMMYFUNCTION("""COMPUTED_VALUE"""),"ENTREGADA GINTRACOM")</f>
        <v>ENTREGADA GINTRACOM</v>
      </c>
      <c r="AQ2314" s="65" t="str">
        <f>IFERROR(__xludf.DUMMYFUNCTION("""COMPUTED_VALUE"""),"ENTREGADA GINTRACOM")</f>
        <v>ENTREGADA GINTRACOM</v>
      </c>
      <c r="AR2314" s="65"/>
      <c r="AS2314" s="65"/>
      <c r="AT2314" s="65" t="str">
        <f>IFERROR(__xludf.DUMMYFUNCTION("""COMPUTED_VALUE"""),"SHOPIFY")</f>
        <v>SHOPIFY</v>
      </c>
      <c r="AU2314" s="65" t="str">
        <f>IFERROR(__xludf.DUMMYFUNCTION("""COMPUTED_VALUE"""),"IMPORTEX EC")</f>
        <v>IMPORTEX EC</v>
      </c>
      <c r="AV2314" s="65" t="str">
        <f>IFERROR(__xludf.DUMMYFUNCTION("""COMPUTED_VALUE"""),"6390111535148")</f>
        <v>6390111535148</v>
      </c>
      <c r="AW2314" s="65">
        <f>IFERROR(__xludf.DUMMYFUNCTION("""COMPUTED_VALUE"""),4655.0)</f>
        <v>4655</v>
      </c>
      <c r="AX2314" s="65"/>
      <c r="AY2314" s="65" t="str">
        <f>IFERROR(__xludf.DUMMYFUNCTION("""COMPUTED_VALUE"""),"06/01/2026")</f>
        <v>06/01/2026</v>
      </c>
      <c r="AZ2314" s="65"/>
      <c r="BA2314" s="65"/>
    </row>
    <row r="2315">
      <c r="A2315" s="65" t="str">
        <f>IFERROR(__xludf.DUMMYFUNCTION("""COMPUTED_VALUE"""),"27-03-2026")</f>
        <v>27-03-2026</v>
      </c>
      <c r="B2315" s="65">
        <f>IFERROR(__xludf.DUMMYFUNCTION("""COMPUTED_VALUE"""),4018274.0)</f>
        <v>4018274</v>
      </c>
      <c r="C2315" s="65" t="str">
        <f>IFERROR(__xludf.DUMMYFUNCTION("""COMPUTED_VALUE"""),"17:45")</f>
        <v>17:45</v>
      </c>
      <c r="D2315" s="65" t="str">
        <f>IFERROR(__xludf.DUMMYFUNCTION("""COMPUTED_VALUE"""),"04-01-2026")</f>
        <v>04-01-2026</v>
      </c>
      <c r="E2315" s="65" t="str">
        <f>IFERROR(__xludf.DUMMYFUNCTION("""COMPUTED_VALUE"""),"Víctor Holguin")</f>
        <v>Víctor Holguin</v>
      </c>
      <c r="F2315" s="65" t="str">
        <f>IFERROR(__xludf.DUMMYFUNCTION("""COMPUTED_VALUE"""),"979820373")</f>
        <v>979820373</v>
      </c>
      <c r="G2315" s="65" t="str">
        <f>IFERROR(__xludf.DUMMYFUNCTION("""COMPUTED_VALUE"""),"vicmanhol@hotmail.com")</f>
        <v>vicmanhol@hotmail.com</v>
      </c>
      <c r="H2315" s="65"/>
      <c r="I2315" s="65"/>
      <c r="J2315" s="65" t="str">
        <f>IFERROR(__xludf.DUMMYFUNCTION("""COMPUTED_VALUE"""),"D001201377")</f>
        <v>D001201377</v>
      </c>
      <c r="K2315" s="65" t="str">
        <f>IFERROR(__xludf.DUMMYFUNCTION("""COMPUTED_VALUE"""),"ENTREGADO")</f>
        <v>ENTREGADO</v>
      </c>
      <c r="L2315" s="65" t="str">
        <f>IFERROR(__xludf.DUMMYFUNCTION("""COMPUTED_VALUE"""),"CON RECAUDO")</f>
        <v>CON RECAUDO</v>
      </c>
      <c r="M2315" s="65" t="str">
        <f>IFERROR(__xludf.DUMMYFUNCTION("""COMPUTED_VALUE"""),"GUAYAS")</f>
        <v>GUAYAS</v>
      </c>
      <c r="N2315" s="65" t="str">
        <f>IFERROR(__xludf.DUMMYFUNCTION("""COMPUTED_VALUE"""),"GUAYAQUIL")</f>
        <v>GUAYAQUIL</v>
      </c>
      <c r="O2315" s="65" t="str">
        <f>IFERROR(__xludf.DUMMYFUNCTION("""COMPUTED_VALUE"""),"Km 19.5 vía a Daule - Ciudad Santiago - Etapa El Astillero - Mz. 2075 - Villa 33")</f>
        <v>Km 19.5 vía a Daule - Ciudad Santiago - Etapa El Astillero - Mz. 2075 - Villa 33</v>
      </c>
      <c r="P2315" s="65"/>
      <c r="Q2315" s="65" t="str">
        <f>IFERROR(__xludf.DUMMYFUNCTION("""COMPUTED_VALUE"""),"GINTRACOM")</f>
        <v>GINTRACOM</v>
      </c>
      <c r="R2315" s="65">
        <f>IFERROR(__xludf.DUMMYFUNCTION("""COMPUTED_VALUE"""),30.0)</f>
        <v>30</v>
      </c>
      <c r="S2315" s="65">
        <f>IFERROR(__xludf.DUMMYFUNCTION("""COMPUTED_VALUE"""),8.84)</f>
        <v>8.84</v>
      </c>
      <c r="T2315" s="65">
        <f>IFERROR(__xludf.DUMMYFUNCTION("""COMPUTED_VALUE"""),6.16)</f>
        <v>6.16</v>
      </c>
      <c r="U2315" s="65">
        <f>IFERROR(__xludf.DUMMYFUNCTION("""COMPUTED_VALUE"""),0.0)</f>
        <v>0</v>
      </c>
      <c r="V2315" s="65">
        <f>IFERROR(__xludf.DUMMYFUNCTION("""COMPUTED_VALUE"""),0.0)</f>
        <v>0</v>
      </c>
      <c r="W2315" s="65">
        <f>IFERROR(__xludf.DUMMYFUNCTION("""COMPUTED_VALUE"""),0.0)</f>
        <v>0</v>
      </c>
      <c r="X2315" s="65">
        <f>IFERROR(__xludf.DUMMYFUNCTION("""COMPUTED_VALUE"""),5.0)</f>
        <v>5</v>
      </c>
      <c r="Y2315" s="65">
        <f>IFERROR(__xludf.DUMMYFUNCTION("""COMPUTED_VALUE"""),15.0)</f>
        <v>15</v>
      </c>
      <c r="Z2315" s="65">
        <f>IFERROR(__xludf.DUMMYFUNCTION("""COMPUTED_VALUE"""),110064.0)</f>
        <v>110064</v>
      </c>
      <c r="AA2315" s="65" t="str">
        <f>IFERROR(__xludf.DUMMYFUNCTION("""COMPUTED_VALUE"""),"IMX-00001")</f>
        <v>IMX-00001</v>
      </c>
      <c r="AB2315" s="65"/>
      <c r="AC2315" s="65" t="str">
        <f>IFERROR(__xludf.DUMMYFUNCTION("""COMPUTED_VALUE"""),"LLAVE TRINQUETE")</f>
        <v>LLAVE TRINQUETE</v>
      </c>
      <c r="AD2315" s="65"/>
      <c r="AE2315" s="65">
        <f>IFERROR(__xludf.DUMMYFUNCTION("""COMPUTED_VALUE"""),3.0)</f>
        <v>3</v>
      </c>
      <c r="AF2315" s="65"/>
      <c r="AG2315" s="65"/>
      <c r="AH2315" s="65"/>
      <c r="AI2315" s="65"/>
      <c r="AJ2315" s="65"/>
      <c r="AK2315" s="65"/>
      <c r="AL2315" s="65"/>
      <c r="AM2315" s="65"/>
      <c r="AN2315" s="65" t="str">
        <f>IFERROR(__xludf.DUMMYFUNCTION("""COMPUTED_VALUE"""),"12:43")</f>
        <v>12:43</v>
      </c>
      <c r="AO2315" s="65" t="str">
        <f>IFERROR(__xludf.DUMMYFUNCTION("""COMPUTED_VALUE"""),"09-01-2026")</f>
        <v>09-01-2026</v>
      </c>
      <c r="AP2315" s="65" t="str">
        <f>IFERROR(__xludf.DUMMYFUNCTION("""COMPUTED_VALUE"""),"ENTREGADA GINTRACOM")</f>
        <v>ENTREGADA GINTRACOM</v>
      </c>
      <c r="AQ2315" s="65" t="str">
        <f>IFERROR(__xludf.DUMMYFUNCTION("""COMPUTED_VALUE"""),"ENTREGADA GINTRACOM")</f>
        <v>ENTREGADA GINTRACOM</v>
      </c>
      <c r="AR2315" s="65"/>
      <c r="AS2315" s="65"/>
      <c r="AT2315" s="65" t="str">
        <f>IFERROR(__xludf.DUMMYFUNCTION("""COMPUTED_VALUE"""),"SHOPIFY")</f>
        <v>SHOPIFY</v>
      </c>
      <c r="AU2315" s="65" t="str">
        <f>IFERROR(__xludf.DUMMYFUNCTION("""COMPUTED_VALUE"""),"IMPORTEX EC")</f>
        <v>IMPORTEX EC</v>
      </c>
      <c r="AV2315" s="65" t="str">
        <f>IFERROR(__xludf.DUMMYFUNCTION("""COMPUTED_VALUE"""),"6390085746732")</f>
        <v>6390085746732</v>
      </c>
      <c r="AW2315" s="65">
        <f>IFERROR(__xludf.DUMMYFUNCTION("""COMPUTED_VALUE"""),4654.0)</f>
        <v>4654</v>
      </c>
      <c r="AX2315" s="65"/>
      <c r="AY2315" s="65" t="str">
        <f>IFERROR(__xludf.DUMMYFUNCTION("""COMPUTED_VALUE"""),"08/01/2026")</f>
        <v>08/01/2026</v>
      </c>
      <c r="AZ2315" s="65"/>
      <c r="BA2315" s="65"/>
    </row>
    <row r="2316">
      <c r="A2316" s="65" t="str">
        <f>IFERROR(__xludf.DUMMYFUNCTION("""COMPUTED_VALUE"""),"27-03-2026")</f>
        <v>27-03-2026</v>
      </c>
      <c r="B2316" s="65">
        <f>IFERROR(__xludf.DUMMYFUNCTION("""COMPUTED_VALUE"""),4018039.0)</f>
        <v>4018039</v>
      </c>
      <c r="C2316" s="65" t="str">
        <f>IFERROR(__xludf.DUMMYFUNCTION("""COMPUTED_VALUE"""),"17:22")</f>
        <v>17:22</v>
      </c>
      <c r="D2316" s="65" t="str">
        <f>IFERROR(__xludf.DUMMYFUNCTION("""COMPUTED_VALUE"""),"04-01-2026")</f>
        <v>04-01-2026</v>
      </c>
      <c r="E2316" s="65" t="str">
        <f>IFERROR(__xludf.DUMMYFUNCTION("""COMPUTED_VALUE"""),"Ninon Quintero Castillo")</f>
        <v>Ninon Quintero Castillo</v>
      </c>
      <c r="F2316" s="65" t="str">
        <f>IFERROR(__xludf.DUMMYFUNCTION("""COMPUTED_VALUE"""),"996430308")</f>
        <v>996430308</v>
      </c>
      <c r="G2316" s="65" t="str">
        <f>IFERROR(__xludf.DUMMYFUNCTION("""COMPUTED_VALUE"""),"ramonquinte61@gmail.com")</f>
        <v>ramonquinte61@gmail.com</v>
      </c>
      <c r="H2316" s="65"/>
      <c r="I2316" s="65"/>
      <c r="J2316" s="65"/>
      <c r="K2316" s="65" t="str">
        <f>IFERROR(__xludf.DUMMYFUNCTION("""COMPUTED_VALUE"""),"CANCELADO")</f>
        <v>CANCELADO</v>
      </c>
      <c r="L2316" s="65" t="str">
        <f>IFERROR(__xludf.DUMMYFUNCTION("""COMPUTED_VALUE"""),"CON RECAUDO")</f>
        <v>CON RECAUDO</v>
      </c>
      <c r="M2316" s="65" t="str">
        <f>IFERROR(__xludf.DUMMYFUNCTION("""COMPUTED_VALUE"""),"ESMERALDAS")</f>
        <v>ESMERALDAS</v>
      </c>
      <c r="N2316" s="65" t="str">
        <f>IFERROR(__xludf.DUMMYFUNCTION("""COMPUTED_VALUE"""),"BORBON")</f>
        <v>BORBON</v>
      </c>
      <c r="O2316" s="65" t="str">
        <f>IFERROR(__xludf.DUMMYFUNCTION("""COMPUTED_VALUE"""),"Nueva esperanza frente al estadio de borbon casa color ladrillo y blanco")</f>
        <v>Nueva esperanza frente al estadio de borbon casa color ladrillo y blanco</v>
      </c>
      <c r="P2316" s="65"/>
      <c r="Q2316" s="65" t="str">
        <f>IFERROR(__xludf.DUMMYFUNCTION("""COMPUTED_VALUE"""),"SERVIENTREGA")</f>
        <v>SERVIENTREGA</v>
      </c>
      <c r="R2316" s="65">
        <f>IFERROR(__xludf.DUMMYFUNCTION("""COMPUTED_VALUE"""),30.0)</f>
        <v>30</v>
      </c>
      <c r="S2316" s="65"/>
      <c r="T2316" s="65">
        <f>IFERROR(__xludf.DUMMYFUNCTION("""COMPUTED_VALUE"""),7.82)</f>
        <v>7.82</v>
      </c>
      <c r="U2316" s="65">
        <f>IFERROR(__xludf.DUMMYFUNCTION("""COMPUTED_VALUE"""),0.0)</f>
        <v>0</v>
      </c>
      <c r="V2316" s="65">
        <f>IFERROR(__xludf.DUMMYFUNCTION("""COMPUTED_VALUE"""),0.0)</f>
        <v>0</v>
      </c>
      <c r="W2316" s="65">
        <f>IFERROR(__xludf.DUMMYFUNCTION("""COMPUTED_VALUE"""),0.0)</f>
        <v>0</v>
      </c>
      <c r="X2316" s="65">
        <f>IFERROR(__xludf.DUMMYFUNCTION("""COMPUTED_VALUE"""),5.0)</f>
        <v>5</v>
      </c>
      <c r="Y2316" s="65">
        <f>IFERROR(__xludf.DUMMYFUNCTION("""COMPUTED_VALUE"""),15.0)</f>
        <v>15</v>
      </c>
      <c r="Z2316" s="65">
        <f>IFERROR(__xludf.DUMMYFUNCTION("""COMPUTED_VALUE"""),110064.0)</f>
        <v>110064</v>
      </c>
      <c r="AA2316" s="65" t="str">
        <f>IFERROR(__xludf.DUMMYFUNCTION("""COMPUTED_VALUE"""),"IMX-00001")</f>
        <v>IMX-00001</v>
      </c>
      <c r="AB2316" s="65"/>
      <c r="AC2316" s="65" t="str">
        <f>IFERROR(__xludf.DUMMYFUNCTION("""COMPUTED_VALUE"""),"LLAVE TRINQUETE")</f>
        <v>LLAVE TRINQUETE</v>
      </c>
      <c r="AD2316" s="65"/>
      <c r="AE2316" s="65">
        <f>IFERROR(__xludf.DUMMYFUNCTION("""COMPUTED_VALUE"""),3.0)</f>
        <v>3</v>
      </c>
      <c r="AF2316" s="65"/>
      <c r="AG2316" s="65"/>
      <c r="AH2316" s="65"/>
      <c r="AI2316" s="65"/>
      <c r="AJ2316" s="65"/>
      <c r="AK2316" s="65"/>
      <c r="AL2316" s="65"/>
      <c r="AM2316" s="65"/>
      <c r="AN2316" s="65"/>
      <c r="AO2316" s="65"/>
      <c r="AP2316" s="65"/>
      <c r="AQ2316" s="65"/>
      <c r="AR2316" s="65"/>
      <c r="AS2316" s="65"/>
      <c r="AT2316" s="65" t="str">
        <f>IFERROR(__xludf.DUMMYFUNCTION("""COMPUTED_VALUE"""),"SHOPIFY")</f>
        <v>SHOPIFY</v>
      </c>
      <c r="AU2316" s="65" t="str">
        <f>IFERROR(__xludf.DUMMYFUNCTION("""COMPUTED_VALUE"""),"IMPORTEX EC")</f>
        <v>IMPORTEX EC</v>
      </c>
      <c r="AV2316" s="65" t="str">
        <f>IFERROR(__xludf.DUMMYFUNCTION("""COMPUTED_VALUE"""),"6390034726956")</f>
        <v>6390034726956</v>
      </c>
      <c r="AW2316" s="65">
        <f>IFERROR(__xludf.DUMMYFUNCTION("""COMPUTED_VALUE"""),4653.0)</f>
        <v>4653</v>
      </c>
      <c r="AX2316" s="65"/>
      <c r="AY2316" s="65"/>
      <c r="AZ2316" s="65"/>
      <c r="BA2316" s="65"/>
    </row>
    <row r="2317">
      <c r="A2317" s="65" t="str">
        <f>IFERROR(__xludf.DUMMYFUNCTION("""COMPUTED_VALUE"""),"27-03-2026")</f>
        <v>27-03-2026</v>
      </c>
      <c r="B2317" s="65">
        <f>IFERROR(__xludf.DUMMYFUNCTION("""COMPUTED_VALUE"""),4018011.0)</f>
        <v>4018011</v>
      </c>
      <c r="C2317" s="65" t="str">
        <f>IFERROR(__xludf.DUMMYFUNCTION("""COMPUTED_VALUE"""),"17:20")</f>
        <v>17:20</v>
      </c>
      <c r="D2317" s="65" t="str">
        <f>IFERROR(__xludf.DUMMYFUNCTION("""COMPUTED_VALUE"""),"04-01-2026")</f>
        <v>04-01-2026</v>
      </c>
      <c r="E2317" s="65" t="str">
        <f>IFERROR(__xludf.DUMMYFUNCTION("""COMPUTED_VALUE"""),"Víctor Guerrero Guerrero")</f>
        <v>Víctor Guerrero Guerrero</v>
      </c>
      <c r="F2317" s="65" t="str">
        <f>IFERROR(__xludf.DUMMYFUNCTION("""COMPUTED_VALUE"""),"969301125")</f>
        <v>969301125</v>
      </c>
      <c r="G2317" s="65" t="str">
        <f>IFERROR(__xludf.DUMMYFUNCTION("""COMPUTED_VALUE"""),"vguerrero_c@hotmail.com")</f>
        <v>vguerrero_c@hotmail.com</v>
      </c>
      <c r="H2317" s="65"/>
      <c r="I2317" s="65"/>
      <c r="J2317" s="65" t="str">
        <f>IFERROR(__xludf.DUMMYFUNCTION("""COMPUTED_VALUE"""),"D001194576")</f>
        <v>D001194576</v>
      </c>
      <c r="K2317" s="65" t="str">
        <f>IFERROR(__xludf.DUMMYFUNCTION("""COMPUTED_VALUE"""),"ENTREGADO")</f>
        <v>ENTREGADO</v>
      </c>
      <c r="L2317" s="65" t="str">
        <f>IFERROR(__xludf.DUMMYFUNCTION("""COMPUTED_VALUE"""),"CON RECAUDO")</f>
        <v>CON RECAUDO</v>
      </c>
      <c r="M2317" s="65" t="str">
        <f>IFERROR(__xludf.DUMMYFUNCTION("""COMPUTED_VALUE"""),"GUAYAS")</f>
        <v>GUAYAS</v>
      </c>
      <c r="N2317" s="65" t="str">
        <f>IFERROR(__xludf.DUMMYFUNCTION("""COMPUTED_VALUE"""),"GUAYAQUIL")</f>
        <v>GUAYAQUIL</v>
      </c>
      <c r="O2317" s="65" t="str">
        <f>IFERROR(__xludf.DUMMYFUNCTION("""COMPUTED_VALUE"""),"Sector Malecón Simón Bolívar - Calle 3NEJunín 200 y Calle Panamá")</f>
        <v>Sector Malecón Simón Bolívar - Calle 3NEJunín 200 y Calle Panamá</v>
      </c>
      <c r="P2317" s="65"/>
      <c r="Q2317" s="65" t="str">
        <f>IFERROR(__xludf.DUMMYFUNCTION("""COMPUTED_VALUE"""),"GINTRACOM")</f>
        <v>GINTRACOM</v>
      </c>
      <c r="R2317" s="65">
        <f>IFERROR(__xludf.DUMMYFUNCTION("""COMPUTED_VALUE"""),25.0)</f>
        <v>25</v>
      </c>
      <c r="S2317" s="65">
        <f>IFERROR(__xludf.DUMMYFUNCTION("""COMPUTED_VALUE"""),9.04)</f>
        <v>9.04</v>
      </c>
      <c r="T2317" s="65">
        <f>IFERROR(__xludf.DUMMYFUNCTION("""COMPUTED_VALUE"""),5.96)</f>
        <v>5.96</v>
      </c>
      <c r="U2317" s="65">
        <f>IFERROR(__xludf.DUMMYFUNCTION("""COMPUTED_VALUE"""),0.0)</f>
        <v>0</v>
      </c>
      <c r="V2317" s="65">
        <f>IFERROR(__xludf.DUMMYFUNCTION("""COMPUTED_VALUE"""),0.0)</f>
        <v>0</v>
      </c>
      <c r="W2317" s="65">
        <f>IFERROR(__xludf.DUMMYFUNCTION("""COMPUTED_VALUE"""),0.0)</f>
        <v>0</v>
      </c>
      <c r="X2317" s="65">
        <f>IFERROR(__xludf.DUMMYFUNCTION("""COMPUTED_VALUE"""),5.0)</f>
        <v>5</v>
      </c>
      <c r="Y2317" s="65">
        <f>IFERROR(__xludf.DUMMYFUNCTION("""COMPUTED_VALUE"""),10.0)</f>
        <v>10</v>
      </c>
      <c r="Z2317" s="65">
        <f>IFERROR(__xludf.DUMMYFUNCTION("""COMPUTED_VALUE"""),110064.0)</f>
        <v>110064</v>
      </c>
      <c r="AA2317" s="65" t="str">
        <f>IFERROR(__xludf.DUMMYFUNCTION("""COMPUTED_VALUE"""),"IMX-00001")</f>
        <v>IMX-00001</v>
      </c>
      <c r="AB2317" s="65"/>
      <c r="AC2317" s="65" t="str">
        <f>IFERROR(__xludf.DUMMYFUNCTION("""COMPUTED_VALUE"""),"LLAVE TRINQUETE")</f>
        <v>LLAVE TRINQUETE</v>
      </c>
      <c r="AD2317" s="65"/>
      <c r="AE2317" s="65">
        <f>IFERROR(__xludf.DUMMYFUNCTION("""COMPUTED_VALUE"""),2.0)</f>
        <v>2</v>
      </c>
      <c r="AF2317" s="65"/>
      <c r="AG2317" s="65"/>
      <c r="AH2317" s="65"/>
      <c r="AI2317" s="65"/>
      <c r="AJ2317" s="65"/>
      <c r="AK2317" s="65"/>
      <c r="AL2317" s="65"/>
      <c r="AM2317" s="65"/>
      <c r="AN2317" s="65" t="str">
        <f>IFERROR(__xludf.DUMMYFUNCTION("""COMPUTED_VALUE"""),"17:06")</f>
        <v>17:06</v>
      </c>
      <c r="AO2317" s="65" t="str">
        <f>IFERROR(__xludf.DUMMYFUNCTION("""COMPUTED_VALUE"""),"08-01-2026")</f>
        <v>08-01-2026</v>
      </c>
      <c r="AP2317" s="65" t="str">
        <f>IFERROR(__xludf.DUMMYFUNCTION("""COMPUTED_VALUE"""),"ENTREGADA GINTRACOM")</f>
        <v>ENTREGADA GINTRACOM</v>
      </c>
      <c r="AQ2317" s="65" t="str">
        <f>IFERROR(__xludf.DUMMYFUNCTION("""COMPUTED_VALUE"""),"ENTREGADA GINTRACOM")</f>
        <v>ENTREGADA GINTRACOM</v>
      </c>
      <c r="AR2317" s="65"/>
      <c r="AS2317" s="65"/>
      <c r="AT2317" s="65" t="str">
        <f>IFERROR(__xludf.DUMMYFUNCTION("""COMPUTED_VALUE"""),"SHOPIFY")</f>
        <v>SHOPIFY</v>
      </c>
      <c r="AU2317" s="65" t="str">
        <f>IFERROR(__xludf.DUMMYFUNCTION("""COMPUTED_VALUE"""),"IMPORTEX EC")</f>
        <v>IMPORTEX EC</v>
      </c>
      <c r="AV2317" s="65" t="str">
        <f>IFERROR(__xludf.DUMMYFUNCTION("""COMPUTED_VALUE"""),"6390022864940")</f>
        <v>6390022864940</v>
      </c>
      <c r="AW2317" s="65">
        <f>IFERROR(__xludf.DUMMYFUNCTION("""COMPUTED_VALUE"""),4652.0)</f>
        <v>4652</v>
      </c>
      <c r="AX2317" s="65"/>
      <c r="AY2317" s="65" t="str">
        <f>IFERROR(__xludf.DUMMYFUNCTION("""COMPUTED_VALUE"""),"06/01/2026")</f>
        <v>06/01/2026</v>
      </c>
      <c r="AZ2317" s="65"/>
      <c r="BA2317" s="65"/>
    </row>
    <row r="2318">
      <c r="A2318" s="65" t="str">
        <f>IFERROR(__xludf.DUMMYFUNCTION("""COMPUTED_VALUE"""),"27-03-2026")</f>
        <v>27-03-2026</v>
      </c>
      <c r="B2318" s="65">
        <f>IFERROR(__xludf.DUMMYFUNCTION("""COMPUTED_VALUE"""),4017323.0)</f>
        <v>4017323</v>
      </c>
      <c r="C2318" s="65" t="str">
        <f>IFERROR(__xludf.DUMMYFUNCTION("""COMPUTED_VALUE"""),"16:06")</f>
        <v>16:06</v>
      </c>
      <c r="D2318" s="65" t="str">
        <f>IFERROR(__xludf.DUMMYFUNCTION("""COMPUTED_VALUE"""),"04-01-2026")</f>
        <v>04-01-2026</v>
      </c>
      <c r="E2318" s="65" t="str">
        <f>IFERROR(__xludf.DUMMYFUNCTION("""COMPUTED_VALUE"""),"ORLY jose Rivera Burnhan")</f>
        <v>ORLY jose Rivera Burnhan</v>
      </c>
      <c r="F2318" s="65" t="str">
        <f>IFERROR(__xludf.DUMMYFUNCTION("""COMPUTED_VALUE"""),"990185363")</f>
        <v>990185363</v>
      </c>
      <c r="G2318" s="65" t="str">
        <f>IFERROR(__xludf.DUMMYFUNCTION("""COMPUTED_VALUE"""),"riveraburnhan@gmail.com")</f>
        <v>riveraburnhan@gmail.com</v>
      </c>
      <c r="H2318" s="65"/>
      <c r="I2318" s="65"/>
      <c r="J2318" s="65" t="str">
        <f>IFERROR(__xludf.DUMMYFUNCTION("""COMPUTED_VALUE"""),"D001201383")</f>
        <v>D001201383</v>
      </c>
      <c r="K2318" s="65" t="str">
        <f>IFERROR(__xludf.DUMMYFUNCTION("""COMPUTED_VALUE"""),"ENTREGADO")</f>
        <v>ENTREGADO</v>
      </c>
      <c r="L2318" s="65" t="str">
        <f>IFERROR(__xludf.DUMMYFUNCTION("""COMPUTED_VALUE"""),"CON RECAUDO")</f>
        <v>CON RECAUDO</v>
      </c>
      <c r="M2318" s="65" t="str">
        <f>IFERROR(__xludf.DUMMYFUNCTION("""COMPUTED_VALUE"""),"GUAYAS")</f>
        <v>GUAYAS</v>
      </c>
      <c r="N2318" s="65" t="str">
        <f>IFERROR(__xludf.DUMMYFUNCTION("""COMPUTED_VALUE"""),"GUAYAQUIL")</f>
        <v>GUAYAQUIL</v>
      </c>
      <c r="O2318" s="65" t="str">
        <f>IFERROR(__xludf.DUMMYFUNCTION("""COMPUTED_VALUE"""),"Sector Sur - Ciudadela Luis Morejón Almeida - Mz B5 - Villa17")</f>
        <v>Sector Sur - Ciudadela Luis Morejón Almeida - Mz B5 - Villa17</v>
      </c>
      <c r="P2318" s="65"/>
      <c r="Q2318" s="65" t="str">
        <f>IFERROR(__xludf.DUMMYFUNCTION("""COMPUTED_VALUE"""),"GINTRACOM")</f>
        <v>GINTRACOM</v>
      </c>
      <c r="R2318" s="65">
        <f>IFERROR(__xludf.DUMMYFUNCTION("""COMPUTED_VALUE"""),20.0)</f>
        <v>20</v>
      </c>
      <c r="S2318" s="65">
        <f>IFERROR(__xludf.DUMMYFUNCTION("""COMPUTED_VALUE"""),9.24)</f>
        <v>9.24</v>
      </c>
      <c r="T2318" s="65">
        <f>IFERROR(__xludf.DUMMYFUNCTION("""COMPUTED_VALUE"""),5.76)</f>
        <v>5.76</v>
      </c>
      <c r="U2318" s="65">
        <f>IFERROR(__xludf.DUMMYFUNCTION("""COMPUTED_VALUE"""),0.0)</f>
        <v>0</v>
      </c>
      <c r="V2318" s="65">
        <f>IFERROR(__xludf.DUMMYFUNCTION("""COMPUTED_VALUE"""),0.0)</f>
        <v>0</v>
      </c>
      <c r="W2318" s="65">
        <f>IFERROR(__xludf.DUMMYFUNCTION("""COMPUTED_VALUE"""),0.0)</f>
        <v>0</v>
      </c>
      <c r="X2318" s="65">
        <f>IFERROR(__xludf.DUMMYFUNCTION("""COMPUTED_VALUE"""),5.0)</f>
        <v>5</v>
      </c>
      <c r="Y2318" s="65">
        <f>IFERROR(__xludf.DUMMYFUNCTION("""COMPUTED_VALUE"""),5.0)</f>
        <v>5</v>
      </c>
      <c r="Z2318" s="65">
        <f>IFERROR(__xludf.DUMMYFUNCTION("""COMPUTED_VALUE"""),110064.0)</f>
        <v>110064</v>
      </c>
      <c r="AA2318" s="65" t="str">
        <f>IFERROR(__xludf.DUMMYFUNCTION("""COMPUTED_VALUE"""),"IMX-00001")</f>
        <v>IMX-00001</v>
      </c>
      <c r="AB2318" s="65"/>
      <c r="AC2318" s="65" t="str">
        <f>IFERROR(__xludf.DUMMYFUNCTION("""COMPUTED_VALUE"""),"LLAVE TRINQUETE")</f>
        <v>LLAVE TRINQUETE</v>
      </c>
      <c r="AD2318" s="65"/>
      <c r="AE2318" s="65">
        <f>IFERROR(__xludf.DUMMYFUNCTION("""COMPUTED_VALUE"""),1.0)</f>
        <v>1</v>
      </c>
      <c r="AF2318" s="65"/>
      <c r="AG2318" s="65"/>
      <c r="AH2318" s="65"/>
      <c r="AI2318" s="65"/>
      <c r="AJ2318" s="65"/>
      <c r="AK2318" s="65"/>
      <c r="AL2318" s="65"/>
      <c r="AM2318" s="65"/>
      <c r="AN2318" s="65" t="str">
        <f>IFERROR(__xludf.DUMMYFUNCTION("""COMPUTED_VALUE"""),"15:26")</f>
        <v>15:26</v>
      </c>
      <c r="AO2318" s="65" t="str">
        <f>IFERROR(__xludf.DUMMYFUNCTION("""COMPUTED_VALUE"""),"12-01-2026")</f>
        <v>12-01-2026</v>
      </c>
      <c r="AP2318" s="65" t="str">
        <f>IFERROR(__xludf.DUMMYFUNCTION("""COMPUTED_VALUE"""),"ENTREGADA GINTRACOM")</f>
        <v>ENTREGADA GINTRACOM</v>
      </c>
      <c r="AQ2318" s="65" t="str">
        <f>IFERROR(__xludf.DUMMYFUNCTION("""COMPUTED_VALUE"""),"ENTREGADA GINTRACOM")</f>
        <v>ENTREGADA GINTRACOM</v>
      </c>
      <c r="AR2318" s="65"/>
      <c r="AS2318" s="65"/>
      <c r="AT2318" s="65" t="str">
        <f>IFERROR(__xludf.DUMMYFUNCTION("""COMPUTED_VALUE"""),"SHOPIFY")</f>
        <v>SHOPIFY</v>
      </c>
      <c r="AU2318" s="65" t="str">
        <f>IFERROR(__xludf.DUMMYFUNCTION("""COMPUTED_VALUE"""),"IMPORTEX EC")</f>
        <v>IMPORTEX EC</v>
      </c>
      <c r="AV2318" s="65" t="str">
        <f>IFERROR(__xludf.DUMMYFUNCTION("""COMPUTED_VALUE"""),"6389845688364")</f>
        <v>6389845688364</v>
      </c>
      <c r="AW2318" s="65">
        <f>IFERROR(__xludf.DUMMYFUNCTION("""COMPUTED_VALUE"""),4651.0)</f>
        <v>4651</v>
      </c>
      <c r="AX2318" s="65"/>
      <c r="AY2318" s="65" t="str">
        <f>IFERROR(__xludf.DUMMYFUNCTION("""COMPUTED_VALUE"""),"08/01/2026")</f>
        <v>08/01/2026</v>
      </c>
      <c r="AZ2318" s="65"/>
      <c r="BA2318" s="65"/>
    </row>
    <row r="2319">
      <c r="A2319" s="65" t="str">
        <f>IFERROR(__xludf.DUMMYFUNCTION("""COMPUTED_VALUE"""),"27-03-2026")</f>
        <v>27-03-2026</v>
      </c>
      <c r="B2319" s="65">
        <f>IFERROR(__xludf.DUMMYFUNCTION("""COMPUTED_VALUE"""),4017260.0)</f>
        <v>4017260</v>
      </c>
      <c r="C2319" s="65" t="str">
        <f>IFERROR(__xludf.DUMMYFUNCTION("""COMPUTED_VALUE"""),"15:58")</f>
        <v>15:58</v>
      </c>
      <c r="D2319" s="65" t="str">
        <f>IFERROR(__xludf.DUMMYFUNCTION("""COMPUTED_VALUE"""),"04-01-2026")</f>
        <v>04-01-2026</v>
      </c>
      <c r="E2319" s="65" t="str">
        <f>IFERROR(__xludf.DUMMYFUNCTION("""COMPUTED_VALUE"""),"Luis Pilataxi")</f>
        <v>Luis Pilataxi</v>
      </c>
      <c r="F2319" s="65" t="str">
        <f>IFERROR(__xludf.DUMMYFUNCTION("""COMPUTED_VALUE"""),"981338282")</f>
        <v>981338282</v>
      </c>
      <c r="G2319" s="65" t="str">
        <f>IFERROR(__xludf.DUMMYFUNCTION("""COMPUTED_VALUE"""),"lualpial@gmail.com")</f>
        <v>lualpial@gmail.com</v>
      </c>
      <c r="H2319" s="65"/>
      <c r="I2319" s="65"/>
      <c r="J2319" s="65" t="str">
        <f>IFERROR(__xludf.DUMMYFUNCTION("""COMPUTED_VALUE"""),"D001187704")</f>
        <v>D001187704</v>
      </c>
      <c r="K2319" s="65" t="str">
        <f>IFERROR(__xludf.DUMMYFUNCTION("""COMPUTED_VALUE"""),"ENTREGADO")</f>
        <v>ENTREGADO</v>
      </c>
      <c r="L2319" s="65" t="str">
        <f>IFERROR(__xludf.DUMMYFUNCTION("""COMPUTED_VALUE"""),"CON RECAUDO")</f>
        <v>CON RECAUDO</v>
      </c>
      <c r="M2319" s="65" t="str">
        <f>IFERROR(__xludf.DUMMYFUNCTION("""COMPUTED_VALUE"""),"PICHINCHA")</f>
        <v>PICHINCHA</v>
      </c>
      <c r="N2319" s="65" t="str">
        <f>IFERROR(__xludf.DUMMYFUNCTION("""COMPUTED_VALUE"""),"CALDERON")</f>
        <v>CALDERON</v>
      </c>
      <c r="O2319" s="65" t="str">
        <f>IFERROR(__xludf.DUMMYFUNCTION("""COMPUTED_VALUE"""),"Sector Carapungo. Av. Alberto Spencer y Av. CARLOS Julio Arosemena. Ref. Frente de la tribuna Estadio Barrial Carapungo.")</f>
        <v>Sector Carapungo. Av. Alberto Spencer y Av. CARLOS Julio Arosemena. Ref. Frente de la tribuna Estadio Barrial Carapungo.</v>
      </c>
      <c r="P2319" s="65"/>
      <c r="Q2319" s="65" t="str">
        <f>IFERROR(__xludf.DUMMYFUNCTION("""COMPUTED_VALUE"""),"GINTRACOM")</f>
        <v>GINTRACOM</v>
      </c>
      <c r="R2319" s="65">
        <f>IFERROR(__xludf.DUMMYFUNCTION("""COMPUTED_VALUE"""),25.0)</f>
        <v>25</v>
      </c>
      <c r="S2319" s="65">
        <f>IFERROR(__xludf.DUMMYFUNCTION("""COMPUTED_VALUE"""),10.08)</f>
        <v>10.08</v>
      </c>
      <c r="T2319" s="65">
        <f>IFERROR(__xludf.DUMMYFUNCTION("""COMPUTED_VALUE"""),4.92)</f>
        <v>4.92</v>
      </c>
      <c r="U2319" s="65">
        <f>IFERROR(__xludf.DUMMYFUNCTION("""COMPUTED_VALUE"""),0.0)</f>
        <v>0</v>
      </c>
      <c r="V2319" s="65">
        <f>IFERROR(__xludf.DUMMYFUNCTION("""COMPUTED_VALUE"""),0.0)</f>
        <v>0</v>
      </c>
      <c r="W2319" s="65">
        <f>IFERROR(__xludf.DUMMYFUNCTION("""COMPUTED_VALUE"""),0.0)</f>
        <v>0</v>
      </c>
      <c r="X2319" s="65">
        <f>IFERROR(__xludf.DUMMYFUNCTION("""COMPUTED_VALUE"""),5.0)</f>
        <v>5</v>
      </c>
      <c r="Y2319" s="65">
        <f>IFERROR(__xludf.DUMMYFUNCTION("""COMPUTED_VALUE"""),10.0)</f>
        <v>10</v>
      </c>
      <c r="Z2319" s="65">
        <f>IFERROR(__xludf.DUMMYFUNCTION("""COMPUTED_VALUE"""),110064.0)</f>
        <v>110064</v>
      </c>
      <c r="AA2319" s="65" t="str">
        <f>IFERROR(__xludf.DUMMYFUNCTION("""COMPUTED_VALUE"""),"IMX-00001")</f>
        <v>IMX-00001</v>
      </c>
      <c r="AB2319" s="65"/>
      <c r="AC2319" s="65" t="str">
        <f>IFERROR(__xludf.DUMMYFUNCTION("""COMPUTED_VALUE"""),"LLAVE TRINQUETE")</f>
        <v>LLAVE TRINQUETE</v>
      </c>
      <c r="AD2319" s="65"/>
      <c r="AE2319" s="65">
        <f>IFERROR(__xludf.DUMMYFUNCTION("""COMPUTED_VALUE"""),2.0)</f>
        <v>2</v>
      </c>
      <c r="AF2319" s="65"/>
      <c r="AG2319" s="65"/>
      <c r="AH2319" s="65"/>
      <c r="AI2319" s="65"/>
      <c r="AJ2319" s="65"/>
      <c r="AK2319" s="65"/>
      <c r="AL2319" s="65"/>
      <c r="AM2319" s="65"/>
      <c r="AN2319" s="65" t="str">
        <f>IFERROR(__xludf.DUMMYFUNCTION("""COMPUTED_VALUE"""),"14:06")</f>
        <v>14:06</v>
      </c>
      <c r="AO2319" s="65" t="str">
        <f>IFERROR(__xludf.DUMMYFUNCTION("""COMPUTED_VALUE"""),"09-01-2026")</f>
        <v>09-01-2026</v>
      </c>
      <c r="AP2319" s="65" t="str">
        <f>IFERROR(__xludf.DUMMYFUNCTION("""COMPUTED_VALUE"""),"ENTREGADA GINTRACOM")</f>
        <v>ENTREGADA GINTRACOM</v>
      </c>
      <c r="AQ2319" s="65" t="str">
        <f>IFERROR(__xludf.DUMMYFUNCTION("""COMPUTED_VALUE"""),"ENTREGADA GINTRACOM")</f>
        <v>ENTREGADA GINTRACOM</v>
      </c>
      <c r="AR2319" s="65"/>
      <c r="AS2319" s="65"/>
      <c r="AT2319" s="65" t="str">
        <f>IFERROR(__xludf.DUMMYFUNCTION("""COMPUTED_VALUE"""),"SHOPIFY")</f>
        <v>SHOPIFY</v>
      </c>
      <c r="AU2319" s="65" t="str">
        <f>IFERROR(__xludf.DUMMYFUNCTION("""COMPUTED_VALUE"""),"IMPORTEX EC")</f>
        <v>IMPORTEX EC</v>
      </c>
      <c r="AV2319" s="65" t="str">
        <f>IFERROR(__xludf.DUMMYFUNCTION("""COMPUTED_VALUE"""),"6389830254636")</f>
        <v>6389830254636</v>
      </c>
      <c r="AW2319" s="65">
        <f>IFERROR(__xludf.DUMMYFUNCTION("""COMPUTED_VALUE"""),4650.0)</f>
        <v>4650</v>
      </c>
      <c r="AX2319" s="65"/>
      <c r="AY2319" s="65" t="str">
        <f>IFERROR(__xludf.DUMMYFUNCTION("""COMPUTED_VALUE"""),"05/01/2026")</f>
        <v>05/01/2026</v>
      </c>
      <c r="AZ2319" s="65"/>
      <c r="BA2319" s="65"/>
    </row>
    <row r="2320">
      <c r="A2320" s="65" t="str">
        <f>IFERROR(__xludf.DUMMYFUNCTION("""COMPUTED_VALUE"""),"27-03-2026")</f>
        <v>27-03-2026</v>
      </c>
      <c r="B2320" s="65">
        <f>IFERROR(__xludf.DUMMYFUNCTION("""COMPUTED_VALUE"""),4017118.0)</f>
        <v>4017118</v>
      </c>
      <c r="C2320" s="65" t="str">
        <f>IFERROR(__xludf.DUMMYFUNCTION("""COMPUTED_VALUE"""),"15:43")</f>
        <v>15:43</v>
      </c>
      <c r="D2320" s="65" t="str">
        <f>IFERROR(__xludf.DUMMYFUNCTION("""COMPUTED_VALUE"""),"04-01-2026")</f>
        <v>04-01-2026</v>
      </c>
      <c r="E2320" s="65" t="str">
        <f>IFERROR(__xludf.DUMMYFUNCTION("""COMPUTED_VALUE"""),"Edison Tapia")</f>
        <v>Edison Tapia</v>
      </c>
      <c r="F2320" s="65" t="str">
        <f>IFERROR(__xludf.DUMMYFUNCTION("""COMPUTED_VALUE"""),"996604443")</f>
        <v>996604443</v>
      </c>
      <c r="G2320" s="65" t="str">
        <f>IFERROR(__xludf.DUMMYFUNCTION("""COMPUTED_VALUE"""),"edisonvitaluot@hotmail.com")</f>
        <v>edisonvitaluot@hotmail.com</v>
      </c>
      <c r="H2320" s="65"/>
      <c r="I2320" s="65"/>
      <c r="J2320" s="65"/>
      <c r="K2320" s="65" t="str">
        <f>IFERROR(__xludf.DUMMYFUNCTION("""COMPUTED_VALUE"""),"CANCELADO")</f>
        <v>CANCELADO</v>
      </c>
      <c r="L2320" s="65" t="str">
        <f>IFERROR(__xludf.DUMMYFUNCTION("""COMPUTED_VALUE"""),"CON RECAUDO")</f>
        <v>CON RECAUDO</v>
      </c>
      <c r="M2320" s="65" t="str">
        <f>IFERROR(__xludf.DUMMYFUNCTION("""COMPUTED_VALUE"""),"LOJA")</f>
        <v>LOJA</v>
      </c>
      <c r="N2320" s="65" t="str">
        <f>IFERROR(__xludf.DUMMYFUNCTION("""COMPUTED_VALUE"""),"LOJA")</f>
        <v>LOJA</v>
      </c>
      <c r="O2320" s="65" t="str">
        <f>IFERROR(__xludf.DUMMYFUNCTION("""COMPUTED_VALUE"""),"Vicente Rojas 89-35 Junto a un lote vacio sin cerramiento a 50 m. Del.parque -")</f>
        <v>Vicente Rojas 89-35 Junto a un lote vacio sin cerramiento a 50 m. Del.parque -</v>
      </c>
      <c r="P2320" s="65"/>
      <c r="Q2320" s="65" t="str">
        <f>IFERROR(__xludf.DUMMYFUNCTION("""COMPUTED_VALUE"""),"GINTRACOM")</f>
        <v>GINTRACOM</v>
      </c>
      <c r="R2320" s="65">
        <f>IFERROR(__xludf.DUMMYFUNCTION("""COMPUTED_VALUE"""),25.0)</f>
        <v>25</v>
      </c>
      <c r="S2320" s="65"/>
      <c r="T2320" s="65">
        <f>IFERROR(__xludf.DUMMYFUNCTION("""COMPUTED_VALUE"""),5.96)</f>
        <v>5.96</v>
      </c>
      <c r="U2320" s="65">
        <f>IFERROR(__xludf.DUMMYFUNCTION("""COMPUTED_VALUE"""),0.0)</f>
        <v>0</v>
      </c>
      <c r="V2320" s="65">
        <f>IFERROR(__xludf.DUMMYFUNCTION("""COMPUTED_VALUE"""),0.0)</f>
        <v>0</v>
      </c>
      <c r="W2320" s="65">
        <f>IFERROR(__xludf.DUMMYFUNCTION("""COMPUTED_VALUE"""),0.0)</f>
        <v>0</v>
      </c>
      <c r="X2320" s="65">
        <f>IFERROR(__xludf.DUMMYFUNCTION("""COMPUTED_VALUE"""),5.0)</f>
        <v>5</v>
      </c>
      <c r="Y2320" s="65">
        <f>IFERROR(__xludf.DUMMYFUNCTION("""COMPUTED_VALUE"""),10.0)</f>
        <v>10</v>
      </c>
      <c r="Z2320" s="65">
        <f>IFERROR(__xludf.DUMMYFUNCTION("""COMPUTED_VALUE"""),110064.0)</f>
        <v>110064</v>
      </c>
      <c r="AA2320" s="65" t="str">
        <f>IFERROR(__xludf.DUMMYFUNCTION("""COMPUTED_VALUE"""),"IMX-00001")</f>
        <v>IMX-00001</v>
      </c>
      <c r="AB2320" s="65"/>
      <c r="AC2320" s="65" t="str">
        <f>IFERROR(__xludf.DUMMYFUNCTION("""COMPUTED_VALUE"""),"LLAVE TRINQUETE")</f>
        <v>LLAVE TRINQUETE</v>
      </c>
      <c r="AD2320" s="65"/>
      <c r="AE2320" s="65">
        <f>IFERROR(__xludf.DUMMYFUNCTION("""COMPUTED_VALUE"""),2.0)</f>
        <v>2</v>
      </c>
      <c r="AF2320" s="65"/>
      <c r="AG2320" s="65"/>
      <c r="AH2320" s="65"/>
      <c r="AI2320" s="65"/>
      <c r="AJ2320" s="65"/>
      <c r="AK2320" s="65"/>
      <c r="AL2320" s="65"/>
      <c r="AM2320" s="65"/>
      <c r="AN2320" s="65"/>
      <c r="AO2320" s="65"/>
      <c r="AP2320" s="65"/>
      <c r="AQ2320" s="65"/>
      <c r="AR2320" s="65"/>
      <c r="AS2320" s="65"/>
      <c r="AT2320" s="65" t="str">
        <f>IFERROR(__xludf.DUMMYFUNCTION("""COMPUTED_VALUE"""),"SHOPIFY")</f>
        <v>SHOPIFY</v>
      </c>
      <c r="AU2320" s="65" t="str">
        <f>IFERROR(__xludf.DUMMYFUNCTION("""COMPUTED_VALUE"""),"IMPORTEX EC")</f>
        <v>IMPORTEX EC</v>
      </c>
      <c r="AV2320" s="65" t="str">
        <f>IFERROR(__xludf.DUMMYFUNCTION("""COMPUTED_VALUE"""),"6389793030188")</f>
        <v>6389793030188</v>
      </c>
      <c r="AW2320" s="65">
        <f>IFERROR(__xludf.DUMMYFUNCTION("""COMPUTED_VALUE"""),4649.0)</f>
        <v>4649</v>
      </c>
      <c r="AX2320" s="65"/>
      <c r="AY2320" s="65"/>
      <c r="AZ2320" s="65"/>
      <c r="BA2320" s="65"/>
    </row>
    <row r="2321">
      <c r="A2321" s="65" t="str">
        <f>IFERROR(__xludf.DUMMYFUNCTION("""COMPUTED_VALUE"""),"27-03-2026")</f>
        <v>27-03-2026</v>
      </c>
      <c r="B2321" s="65">
        <f>IFERROR(__xludf.DUMMYFUNCTION("""COMPUTED_VALUE"""),4016910.0)</f>
        <v>4016910</v>
      </c>
      <c r="C2321" s="65" t="str">
        <f>IFERROR(__xludf.DUMMYFUNCTION("""COMPUTED_VALUE"""),"15:19")</f>
        <v>15:19</v>
      </c>
      <c r="D2321" s="65" t="str">
        <f>IFERROR(__xludf.DUMMYFUNCTION("""COMPUTED_VALUE"""),"04-01-2026")</f>
        <v>04-01-2026</v>
      </c>
      <c r="E2321" s="65" t="str">
        <f>IFERROR(__xludf.DUMMYFUNCTION("""COMPUTED_VALUE"""),"Edgar Marcelo Rodríguez")</f>
        <v>Edgar Marcelo Rodríguez</v>
      </c>
      <c r="F2321" s="65" t="str">
        <f>IFERROR(__xludf.DUMMYFUNCTION("""COMPUTED_VALUE"""),"987146522")</f>
        <v>987146522</v>
      </c>
      <c r="G2321" s="65"/>
      <c r="H2321" s="65"/>
      <c r="I2321" s="65"/>
      <c r="J2321" s="65" t="str">
        <f>IFERROR(__xludf.DUMMYFUNCTION("""COMPUTED_VALUE"""),"186943070")</f>
        <v>186943070</v>
      </c>
      <c r="K2321" s="65" t="str">
        <f>IFERROR(__xludf.DUMMYFUNCTION("""COMPUTED_VALUE"""),"ENTREGADO")</f>
        <v>ENTREGADO</v>
      </c>
      <c r="L2321" s="65" t="str">
        <f>IFERROR(__xludf.DUMMYFUNCTION("""COMPUTED_VALUE"""),"CON RECAUDO")</f>
        <v>CON RECAUDO</v>
      </c>
      <c r="M2321" s="65" t="str">
        <f>IFERROR(__xludf.DUMMYFUNCTION("""COMPUTED_VALUE"""),"PASTAZA")</f>
        <v>PASTAZA</v>
      </c>
      <c r="N2321" s="65" t="str">
        <f>IFERROR(__xludf.DUMMYFUNCTION("""COMPUTED_VALUE"""),"SHELL (EL PUYO)")</f>
        <v>SHELL (EL PUYO)</v>
      </c>
      <c r="O2321" s="65" t="str">
        <f>IFERROR(__xludf.DUMMYFUNCTION("""COMPUTED_VALUE"""),"Barrio 10 de Noviembre - Av. Zulay y Av. Luis Carrión - Ref. Tras el Coliseo de Shell y Frente al Gimnasio de pesas - Casa esquinera de un piso")</f>
        <v>Barrio 10 de Noviembre - Av. Zulay y Av. Luis Carrión - Ref. Tras el Coliseo de Shell y Frente al Gimnasio de pesas - Casa esquinera de un piso</v>
      </c>
      <c r="P2321" s="65"/>
      <c r="Q2321" s="65" t="str">
        <f>IFERROR(__xludf.DUMMYFUNCTION("""COMPUTED_VALUE"""),"SERVIENTREGA")</f>
        <v>SERVIENTREGA</v>
      </c>
      <c r="R2321" s="65">
        <f>IFERROR(__xludf.DUMMYFUNCTION("""COMPUTED_VALUE"""),30.0)</f>
        <v>30</v>
      </c>
      <c r="S2321" s="65">
        <f>IFERROR(__xludf.DUMMYFUNCTION("""COMPUTED_VALUE"""),7.18)</f>
        <v>7.18</v>
      </c>
      <c r="T2321" s="65">
        <f>IFERROR(__xludf.DUMMYFUNCTION("""COMPUTED_VALUE"""),7.82)</f>
        <v>7.82</v>
      </c>
      <c r="U2321" s="65">
        <f>IFERROR(__xludf.DUMMYFUNCTION("""COMPUTED_VALUE"""),0.0)</f>
        <v>0</v>
      </c>
      <c r="V2321" s="65">
        <f>IFERROR(__xludf.DUMMYFUNCTION("""COMPUTED_VALUE"""),0.0)</f>
        <v>0</v>
      </c>
      <c r="W2321" s="65">
        <f>IFERROR(__xludf.DUMMYFUNCTION("""COMPUTED_VALUE"""),0.0)</f>
        <v>0</v>
      </c>
      <c r="X2321" s="65">
        <f>IFERROR(__xludf.DUMMYFUNCTION("""COMPUTED_VALUE"""),5.0)</f>
        <v>5</v>
      </c>
      <c r="Y2321" s="65">
        <f>IFERROR(__xludf.DUMMYFUNCTION("""COMPUTED_VALUE"""),15.0)</f>
        <v>15</v>
      </c>
      <c r="Z2321" s="65">
        <f>IFERROR(__xludf.DUMMYFUNCTION("""COMPUTED_VALUE"""),110064.0)</f>
        <v>110064</v>
      </c>
      <c r="AA2321" s="65" t="str">
        <f>IFERROR(__xludf.DUMMYFUNCTION("""COMPUTED_VALUE"""),"IMX-00001")</f>
        <v>IMX-00001</v>
      </c>
      <c r="AB2321" s="65"/>
      <c r="AC2321" s="65" t="str">
        <f>IFERROR(__xludf.DUMMYFUNCTION("""COMPUTED_VALUE"""),"LLAVE TRINQUETE")</f>
        <v>LLAVE TRINQUETE</v>
      </c>
      <c r="AD2321" s="65"/>
      <c r="AE2321" s="65">
        <f>IFERROR(__xludf.DUMMYFUNCTION("""COMPUTED_VALUE"""),3.0)</f>
        <v>3</v>
      </c>
      <c r="AF2321" s="65" t="str">
        <f>IFERROR(__xludf.DUMMYFUNCTION("""COMPUTED_VALUE"""),"CLIENTE SOLICITA RETIRAR EN CS")</f>
        <v>CLIENTE SOLICITA RETIRAR EN CS</v>
      </c>
      <c r="AG2321" s="65" t="str">
        <f>IFERROR(__xludf.DUMMYFUNCTION("""COMPUTED_VALUE"""),"NO")</f>
        <v>NO</v>
      </c>
      <c r="AH2321" s="65" t="str">
        <f>IFERROR(__xludf.DUMMYFUNCTION("""COMPUTED_VALUE"""),"09:24")</f>
        <v>09:24</v>
      </c>
      <c r="AI2321" s="65" t="str">
        <f>IFERROR(__xludf.DUMMYFUNCTION("""COMPUTED_VALUE"""),"12-01-2026")</f>
        <v>12-01-2026</v>
      </c>
      <c r="AJ2321" s="65"/>
      <c r="AK2321" s="65"/>
      <c r="AL2321" s="65"/>
      <c r="AM2321" s="65"/>
      <c r="AN2321" s="65" t="str">
        <f>IFERROR(__xludf.DUMMYFUNCTION("""COMPUTED_VALUE"""),"01:02")</f>
        <v>01:02</v>
      </c>
      <c r="AO2321" s="65" t="str">
        <f>IFERROR(__xludf.DUMMYFUNCTION("""COMPUTED_VALUE"""),"14-01-2026")</f>
        <v>14-01-2026</v>
      </c>
      <c r="AP2321" s="65" t="str">
        <f>IFERROR(__xludf.DUMMYFUNCTION("""COMPUTED_VALUE"""),"En Distribucion para Entrega en Agencia")</f>
        <v>En Distribucion para Entrega en Agencia</v>
      </c>
      <c r="AQ2321" s="65" t="str">
        <f>IFERROR(__xludf.DUMMYFUNCTION("""COMPUTED_VALUE"""),"{}")</f>
        <v>{}</v>
      </c>
      <c r="AR2321" s="65"/>
      <c r="AS2321" s="65"/>
      <c r="AT2321" s="65" t="str">
        <f>IFERROR(__xludf.DUMMYFUNCTION("""COMPUTED_VALUE"""),"SHOPIFY")</f>
        <v>SHOPIFY</v>
      </c>
      <c r="AU2321" s="65" t="str">
        <f>IFERROR(__xludf.DUMMYFUNCTION("""COMPUTED_VALUE"""),"IMPORTEX EC")</f>
        <v>IMPORTEX EC</v>
      </c>
      <c r="AV2321" s="65" t="str">
        <f>IFERROR(__xludf.DUMMYFUNCTION("""COMPUTED_VALUE"""),"6389742698540")</f>
        <v>6389742698540</v>
      </c>
      <c r="AW2321" s="65">
        <f>IFERROR(__xludf.DUMMYFUNCTION("""COMPUTED_VALUE"""),4646.0)</f>
        <v>4646</v>
      </c>
      <c r="AX2321" s="65"/>
      <c r="AY2321" s="65" t="str">
        <f>IFERROR(__xludf.DUMMYFUNCTION("""COMPUTED_VALUE"""),"08/01/2026")</f>
        <v>08/01/2026</v>
      </c>
      <c r="AZ2321" s="65"/>
      <c r="BA2321" s="65"/>
    </row>
    <row r="2322">
      <c r="A2322" s="65" t="str">
        <f>IFERROR(__xludf.DUMMYFUNCTION("""COMPUTED_VALUE"""),"27-03-2026")</f>
        <v>27-03-2026</v>
      </c>
      <c r="B2322" s="65">
        <f>IFERROR(__xludf.DUMMYFUNCTION("""COMPUTED_VALUE"""),4016817.0)</f>
        <v>4016817</v>
      </c>
      <c r="C2322" s="65" t="str">
        <f>IFERROR(__xludf.DUMMYFUNCTION("""COMPUTED_VALUE"""),"15:08")</f>
        <v>15:08</v>
      </c>
      <c r="D2322" s="65" t="str">
        <f>IFERROR(__xludf.DUMMYFUNCTION("""COMPUTED_VALUE"""),"04-01-2026")</f>
        <v>04-01-2026</v>
      </c>
      <c r="E2322" s="65" t="str">
        <f>IFERROR(__xludf.DUMMYFUNCTION("""COMPUTED_VALUE"""),"Milton Armando")</f>
        <v>Milton Armando</v>
      </c>
      <c r="F2322" s="65" t="str">
        <f>IFERROR(__xludf.DUMMYFUNCTION("""COMPUTED_VALUE"""),"992041037")</f>
        <v>992041037</v>
      </c>
      <c r="G2322" s="65" t="str">
        <f>IFERROR(__xludf.DUMMYFUNCTION("""COMPUTED_VALUE"""),"mortegarm@gmail.com")</f>
        <v>mortegarm@gmail.com</v>
      </c>
      <c r="H2322" s="65"/>
      <c r="I2322" s="65"/>
      <c r="J2322" s="65"/>
      <c r="K2322" s="65" t="str">
        <f>IFERROR(__xludf.DUMMYFUNCTION("""COMPUTED_VALUE"""),"CANCELADO")</f>
        <v>CANCELADO</v>
      </c>
      <c r="L2322" s="65" t="str">
        <f>IFERROR(__xludf.DUMMYFUNCTION("""COMPUTED_VALUE"""),"CON RECAUDO")</f>
        <v>CON RECAUDO</v>
      </c>
      <c r="M2322" s="65" t="str">
        <f>IFERROR(__xludf.DUMMYFUNCTION("""COMPUTED_VALUE"""),"PICHINCHA")</f>
        <v>PICHINCHA</v>
      </c>
      <c r="N2322" s="65" t="str">
        <f>IFERROR(__xludf.DUMMYFUNCTION("""COMPUTED_VALUE"""),"QUITO")</f>
        <v>QUITO</v>
      </c>
      <c r="O2322" s="65" t="str">
        <f>IFERROR(__xludf.DUMMYFUNCTION("""COMPUTED_VALUE"""),"Calle QUIPU ( SERVIENTREGA QUITUMBE) Calle S33 -")</f>
        <v>Calle QUIPU ( SERVIENTREGA QUITUMBE) Calle S33 -</v>
      </c>
      <c r="P2322" s="65"/>
      <c r="Q2322" s="65" t="str">
        <f>IFERROR(__xludf.DUMMYFUNCTION("""COMPUTED_VALUE"""),"GINTRACOM")</f>
        <v>GINTRACOM</v>
      </c>
      <c r="R2322" s="65">
        <f>IFERROR(__xludf.DUMMYFUNCTION("""COMPUTED_VALUE"""),30.0)</f>
        <v>30</v>
      </c>
      <c r="S2322" s="65"/>
      <c r="T2322" s="65">
        <f>IFERROR(__xludf.DUMMYFUNCTION("""COMPUTED_VALUE"""),4.55)</f>
        <v>4.55</v>
      </c>
      <c r="U2322" s="65">
        <f>IFERROR(__xludf.DUMMYFUNCTION("""COMPUTED_VALUE"""),0.0)</f>
        <v>0</v>
      </c>
      <c r="V2322" s="65">
        <f>IFERROR(__xludf.DUMMYFUNCTION("""COMPUTED_VALUE"""),0.0)</f>
        <v>0</v>
      </c>
      <c r="W2322" s="65">
        <f>IFERROR(__xludf.DUMMYFUNCTION("""COMPUTED_VALUE"""),0.0)</f>
        <v>0</v>
      </c>
      <c r="X2322" s="65">
        <f>IFERROR(__xludf.DUMMYFUNCTION("""COMPUTED_VALUE"""),5.0)</f>
        <v>5</v>
      </c>
      <c r="Y2322" s="65">
        <f>IFERROR(__xludf.DUMMYFUNCTION("""COMPUTED_VALUE"""),15.0)</f>
        <v>15</v>
      </c>
      <c r="Z2322" s="65">
        <f>IFERROR(__xludf.DUMMYFUNCTION("""COMPUTED_VALUE"""),110064.0)</f>
        <v>110064</v>
      </c>
      <c r="AA2322" s="65" t="str">
        <f>IFERROR(__xludf.DUMMYFUNCTION("""COMPUTED_VALUE"""),"IMX-00001")</f>
        <v>IMX-00001</v>
      </c>
      <c r="AB2322" s="65"/>
      <c r="AC2322" s="65" t="str">
        <f>IFERROR(__xludf.DUMMYFUNCTION("""COMPUTED_VALUE"""),"LLAVE TRINQUETE")</f>
        <v>LLAVE TRINQUETE</v>
      </c>
      <c r="AD2322" s="65"/>
      <c r="AE2322" s="65">
        <f>IFERROR(__xludf.DUMMYFUNCTION("""COMPUTED_VALUE"""),3.0)</f>
        <v>3</v>
      </c>
      <c r="AF2322" s="65"/>
      <c r="AG2322" s="65"/>
      <c r="AH2322" s="65"/>
      <c r="AI2322" s="65"/>
      <c r="AJ2322" s="65"/>
      <c r="AK2322" s="65"/>
      <c r="AL2322" s="65"/>
      <c r="AM2322" s="65"/>
      <c r="AN2322" s="65"/>
      <c r="AO2322" s="65"/>
      <c r="AP2322" s="65"/>
      <c r="AQ2322" s="65"/>
      <c r="AR2322" s="65"/>
      <c r="AS2322" s="65"/>
      <c r="AT2322" s="65" t="str">
        <f>IFERROR(__xludf.DUMMYFUNCTION("""COMPUTED_VALUE"""),"SHOPIFY")</f>
        <v>SHOPIFY</v>
      </c>
      <c r="AU2322" s="65" t="str">
        <f>IFERROR(__xludf.DUMMYFUNCTION("""COMPUTED_VALUE"""),"IMPORTEX EC")</f>
        <v>IMPORTEX EC</v>
      </c>
      <c r="AV2322" s="65" t="str">
        <f>IFERROR(__xludf.DUMMYFUNCTION("""COMPUTED_VALUE"""),"6389715140652")</f>
        <v>6389715140652</v>
      </c>
      <c r="AW2322" s="65">
        <f>IFERROR(__xludf.DUMMYFUNCTION("""COMPUTED_VALUE"""),4645.0)</f>
        <v>4645</v>
      </c>
      <c r="AX2322" s="65"/>
      <c r="AY2322" s="65"/>
      <c r="AZ2322" s="65"/>
      <c r="BA2322" s="65"/>
    </row>
    <row r="2323">
      <c r="A2323" s="65" t="str">
        <f>IFERROR(__xludf.DUMMYFUNCTION("""COMPUTED_VALUE"""),"27-03-2026")</f>
        <v>27-03-2026</v>
      </c>
      <c r="B2323" s="65">
        <f>IFERROR(__xludf.DUMMYFUNCTION("""COMPUTED_VALUE"""),4016709.0)</f>
        <v>4016709</v>
      </c>
      <c r="C2323" s="65" t="str">
        <f>IFERROR(__xludf.DUMMYFUNCTION("""COMPUTED_VALUE"""),"15:00")</f>
        <v>15:00</v>
      </c>
      <c r="D2323" s="65" t="str">
        <f>IFERROR(__xludf.DUMMYFUNCTION("""COMPUTED_VALUE"""),"04-01-2026")</f>
        <v>04-01-2026</v>
      </c>
      <c r="E2323" s="65" t="str">
        <f>IFERROR(__xludf.DUMMYFUNCTION("""COMPUTED_VALUE"""),"Patricio schettino Faubla Schettino faubla")</f>
        <v>Patricio schettino Faubla Schettino faubla</v>
      </c>
      <c r="F2323" s="65" t="str">
        <f>IFERROR(__xludf.DUMMYFUNCTION("""COMPUTED_VALUE"""),"993104956")</f>
        <v>993104956</v>
      </c>
      <c r="G2323" s="65"/>
      <c r="H2323" s="65"/>
      <c r="I2323" s="65"/>
      <c r="J2323" s="65" t="str">
        <f>IFERROR(__xludf.DUMMYFUNCTION("""COMPUTED_VALUE"""),"D001201384")</f>
        <v>D001201384</v>
      </c>
      <c r="K2323" s="65" t="str">
        <f>IFERROR(__xludf.DUMMYFUNCTION("""COMPUTED_VALUE"""),"ENTREGADO")</f>
        <v>ENTREGADO</v>
      </c>
      <c r="L2323" s="65" t="str">
        <f>IFERROR(__xludf.DUMMYFUNCTION("""COMPUTED_VALUE"""),"CON RECAUDO")</f>
        <v>CON RECAUDO</v>
      </c>
      <c r="M2323" s="65" t="str">
        <f>IFERROR(__xludf.DUMMYFUNCTION("""COMPUTED_VALUE"""),"MANABI")</f>
        <v>MANABI</v>
      </c>
      <c r="N2323" s="65" t="str">
        <f>IFERROR(__xludf.DUMMYFUNCTION("""COMPUTED_VALUE"""),"CALCETA")</f>
        <v>CALCETA</v>
      </c>
      <c r="O2323" s="65" t="str">
        <f>IFERROR(__xludf.DUMMYFUNCTION("""COMPUTED_VALUE"""),"Calceta Centro - Calle 10 de Agosto y Calle Calderón - Ref. Frente a Dulcería Marialy")</f>
        <v>Calceta Centro - Calle 10 de Agosto y Calle Calderón - Ref. Frente a Dulcería Marialy</v>
      </c>
      <c r="P2323" s="65"/>
      <c r="Q2323" s="65" t="str">
        <f>IFERROR(__xludf.DUMMYFUNCTION("""COMPUTED_VALUE"""),"GINTRACOM")</f>
        <v>GINTRACOM</v>
      </c>
      <c r="R2323" s="65">
        <f>IFERROR(__xludf.DUMMYFUNCTION("""COMPUTED_VALUE"""),25.0)</f>
        <v>25</v>
      </c>
      <c r="S2323" s="65">
        <f>IFERROR(__xludf.DUMMYFUNCTION("""COMPUTED_VALUE"""),8.47)</f>
        <v>8.47</v>
      </c>
      <c r="T2323" s="65">
        <f>IFERROR(__xludf.DUMMYFUNCTION("""COMPUTED_VALUE"""),6.53)</f>
        <v>6.53</v>
      </c>
      <c r="U2323" s="65">
        <f>IFERROR(__xludf.DUMMYFUNCTION("""COMPUTED_VALUE"""),0.0)</f>
        <v>0</v>
      </c>
      <c r="V2323" s="65">
        <f>IFERROR(__xludf.DUMMYFUNCTION("""COMPUTED_VALUE"""),0.0)</f>
        <v>0</v>
      </c>
      <c r="W2323" s="65">
        <f>IFERROR(__xludf.DUMMYFUNCTION("""COMPUTED_VALUE"""),0.0)</f>
        <v>0</v>
      </c>
      <c r="X2323" s="65">
        <f>IFERROR(__xludf.DUMMYFUNCTION("""COMPUTED_VALUE"""),5.0)</f>
        <v>5</v>
      </c>
      <c r="Y2323" s="65">
        <f>IFERROR(__xludf.DUMMYFUNCTION("""COMPUTED_VALUE"""),10.0)</f>
        <v>10</v>
      </c>
      <c r="Z2323" s="65">
        <f>IFERROR(__xludf.DUMMYFUNCTION("""COMPUTED_VALUE"""),110064.0)</f>
        <v>110064</v>
      </c>
      <c r="AA2323" s="65" t="str">
        <f>IFERROR(__xludf.DUMMYFUNCTION("""COMPUTED_VALUE"""),"IMX-00001")</f>
        <v>IMX-00001</v>
      </c>
      <c r="AB2323" s="65"/>
      <c r="AC2323" s="65" t="str">
        <f>IFERROR(__xludf.DUMMYFUNCTION("""COMPUTED_VALUE"""),"LLAVE TRINQUETE")</f>
        <v>LLAVE TRINQUETE</v>
      </c>
      <c r="AD2323" s="65"/>
      <c r="AE2323" s="65">
        <f>IFERROR(__xludf.DUMMYFUNCTION("""COMPUTED_VALUE"""),2.0)</f>
        <v>2</v>
      </c>
      <c r="AF2323" s="65"/>
      <c r="AG2323" s="65"/>
      <c r="AH2323" s="65"/>
      <c r="AI2323" s="65"/>
      <c r="AJ2323" s="65"/>
      <c r="AK2323" s="65"/>
      <c r="AL2323" s="65"/>
      <c r="AM2323" s="65"/>
      <c r="AN2323" s="65" t="str">
        <f>IFERROR(__xludf.DUMMYFUNCTION("""COMPUTED_VALUE"""),"07:53")</f>
        <v>07:53</v>
      </c>
      <c r="AO2323" s="65" t="str">
        <f>IFERROR(__xludf.DUMMYFUNCTION("""COMPUTED_VALUE"""),"10-01-2026")</f>
        <v>10-01-2026</v>
      </c>
      <c r="AP2323" s="65" t="str">
        <f>IFERROR(__xludf.DUMMYFUNCTION("""COMPUTED_VALUE"""),"EN REPARTO")</f>
        <v>EN REPARTO</v>
      </c>
      <c r="AQ2323" s="65" t="str">
        <f>IFERROR(__xludf.DUMMYFUNCTION("""COMPUTED_VALUE"""),"EN REPARTO")</f>
        <v>EN REPARTO</v>
      </c>
      <c r="AR2323" s="65"/>
      <c r="AS2323" s="65"/>
      <c r="AT2323" s="65" t="str">
        <f>IFERROR(__xludf.DUMMYFUNCTION("""COMPUTED_VALUE"""),"SHOPIFY")</f>
        <v>SHOPIFY</v>
      </c>
      <c r="AU2323" s="65" t="str">
        <f>IFERROR(__xludf.DUMMYFUNCTION("""COMPUTED_VALUE"""),"IMPORTEX EC")</f>
        <v>IMPORTEX EC</v>
      </c>
      <c r="AV2323" s="65" t="str">
        <f>IFERROR(__xludf.DUMMYFUNCTION("""COMPUTED_VALUE"""),"6389699510316")</f>
        <v>6389699510316</v>
      </c>
      <c r="AW2323" s="65">
        <f>IFERROR(__xludf.DUMMYFUNCTION("""COMPUTED_VALUE"""),4644.0)</f>
        <v>4644</v>
      </c>
      <c r="AX2323" s="65"/>
      <c r="AY2323" s="65" t="str">
        <f>IFERROR(__xludf.DUMMYFUNCTION("""COMPUTED_VALUE"""),"08/01/2026")</f>
        <v>08/01/2026</v>
      </c>
      <c r="AZ2323" s="65"/>
      <c r="BA2323" s="65"/>
    </row>
    <row r="2324">
      <c r="A2324" s="65" t="str">
        <f>IFERROR(__xludf.DUMMYFUNCTION("""COMPUTED_VALUE"""),"27-03-2026")</f>
        <v>27-03-2026</v>
      </c>
      <c r="B2324" s="65">
        <f>IFERROR(__xludf.DUMMYFUNCTION("""COMPUTED_VALUE"""),4016658.0)</f>
        <v>4016658</v>
      </c>
      <c r="C2324" s="65" t="str">
        <f>IFERROR(__xludf.DUMMYFUNCTION("""COMPUTED_VALUE"""),"14:53")</f>
        <v>14:53</v>
      </c>
      <c r="D2324" s="65" t="str">
        <f>IFERROR(__xludf.DUMMYFUNCTION("""COMPUTED_VALUE"""),"04-01-2026")</f>
        <v>04-01-2026</v>
      </c>
      <c r="E2324" s="65" t="str">
        <f>IFERROR(__xludf.DUMMYFUNCTION("""COMPUTED_VALUE"""),"Franklin Cueva Rodríguez")</f>
        <v>Franklin Cueva Rodríguez</v>
      </c>
      <c r="F2324" s="65" t="str">
        <f>IFERROR(__xludf.DUMMYFUNCTION("""COMPUTED_VALUE"""),"982906509")</f>
        <v>982906509</v>
      </c>
      <c r="G2324" s="65" t="str">
        <f>IFERROR(__xludf.DUMMYFUNCTION("""COMPUTED_VALUE"""),"frankcueva1977@hotmail.com")</f>
        <v>frankcueva1977@hotmail.com</v>
      </c>
      <c r="H2324" s="65"/>
      <c r="I2324" s="65"/>
      <c r="J2324" s="65"/>
      <c r="K2324" s="65" t="str">
        <f>IFERROR(__xludf.DUMMYFUNCTION("""COMPUTED_VALUE"""),"CANCELADO")</f>
        <v>CANCELADO</v>
      </c>
      <c r="L2324" s="65" t="str">
        <f>IFERROR(__xludf.DUMMYFUNCTION("""COMPUTED_VALUE"""),"CON RECAUDO")</f>
        <v>CON RECAUDO</v>
      </c>
      <c r="M2324" s="65" t="str">
        <f>IFERROR(__xludf.DUMMYFUNCTION("""COMPUTED_VALUE"""),"GUAYAS")</f>
        <v>GUAYAS</v>
      </c>
      <c r="N2324" s="65" t="str">
        <f>IFERROR(__xludf.DUMMYFUNCTION("""COMPUTED_VALUE"""),"GUAYAQUIL")</f>
        <v>GUAYAQUIL</v>
      </c>
      <c r="O2324" s="65" t="str">
        <f>IFERROR(__xludf.DUMMYFUNCTION("""COMPUTED_VALUE"""),"Pedro Carbo 531 y 9 de octubre Frente a la iglesia san francisco -")</f>
        <v>Pedro Carbo 531 y 9 de octubre Frente a la iglesia san francisco -</v>
      </c>
      <c r="P2324" s="65"/>
      <c r="Q2324" s="65" t="str">
        <f>IFERROR(__xludf.DUMMYFUNCTION("""COMPUTED_VALUE"""),"GINTRACOM")</f>
        <v>GINTRACOM</v>
      </c>
      <c r="R2324" s="65">
        <f>IFERROR(__xludf.DUMMYFUNCTION("""COMPUTED_VALUE"""),20.0)</f>
        <v>20</v>
      </c>
      <c r="S2324" s="65"/>
      <c r="T2324" s="65">
        <f>IFERROR(__xludf.DUMMYFUNCTION("""COMPUTED_VALUE"""),5.76)</f>
        <v>5.76</v>
      </c>
      <c r="U2324" s="65">
        <f>IFERROR(__xludf.DUMMYFUNCTION("""COMPUTED_VALUE"""),0.0)</f>
        <v>0</v>
      </c>
      <c r="V2324" s="65">
        <f>IFERROR(__xludf.DUMMYFUNCTION("""COMPUTED_VALUE"""),0.0)</f>
        <v>0</v>
      </c>
      <c r="W2324" s="65">
        <f>IFERROR(__xludf.DUMMYFUNCTION("""COMPUTED_VALUE"""),0.0)</f>
        <v>0</v>
      </c>
      <c r="X2324" s="65">
        <f>IFERROR(__xludf.DUMMYFUNCTION("""COMPUTED_VALUE"""),5.0)</f>
        <v>5</v>
      </c>
      <c r="Y2324" s="65">
        <f>IFERROR(__xludf.DUMMYFUNCTION("""COMPUTED_VALUE"""),5.0)</f>
        <v>5</v>
      </c>
      <c r="Z2324" s="65">
        <f>IFERROR(__xludf.DUMMYFUNCTION("""COMPUTED_VALUE"""),110064.0)</f>
        <v>110064</v>
      </c>
      <c r="AA2324" s="65" t="str">
        <f>IFERROR(__xludf.DUMMYFUNCTION("""COMPUTED_VALUE"""),"IMX-00001")</f>
        <v>IMX-00001</v>
      </c>
      <c r="AB2324" s="65"/>
      <c r="AC2324" s="65" t="str">
        <f>IFERROR(__xludf.DUMMYFUNCTION("""COMPUTED_VALUE"""),"LLAVE TRINQUETE")</f>
        <v>LLAVE TRINQUETE</v>
      </c>
      <c r="AD2324" s="65"/>
      <c r="AE2324" s="65">
        <f>IFERROR(__xludf.DUMMYFUNCTION("""COMPUTED_VALUE"""),1.0)</f>
        <v>1</v>
      </c>
      <c r="AF2324" s="65"/>
      <c r="AG2324" s="65"/>
      <c r="AH2324" s="65"/>
      <c r="AI2324" s="65"/>
      <c r="AJ2324" s="65"/>
      <c r="AK2324" s="65"/>
      <c r="AL2324" s="65"/>
      <c r="AM2324" s="65"/>
      <c r="AN2324" s="65"/>
      <c r="AO2324" s="65"/>
      <c r="AP2324" s="65"/>
      <c r="AQ2324" s="65"/>
      <c r="AR2324" s="65"/>
      <c r="AS2324" s="65"/>
      <c r="AT2324" s="65" t="str">
        <f>IFERROR(__xludf.DUMMYFUNCTION("""COMPUTED_VALUE"""),"SHOPIFY")</f>
        <v>SHOPIFY</v>
      </c>
      <c r="AU2324" s="65" t="str">
        <f>IFERROR(__xludf.DUMMYFUNCTION("""COMPUTED_VALUE"""),"IMPORTEX EC")</f>
        <v>IMPORTEX EC</v>
      </c>
      <c r="AV2324" s="65" t="str">
        <f>IFERROR(__xludf.DUMMYFUNCTION("""COMPUTED_VALUE"""),"6389689483308")</f>
        <v>6389689483308</v>
      </c>
      <c r="AW2324" s="65">
        <f>IFERROR(__xludf.DUMMYFUNCTION("""COMPUTED_VALUE"""),4643.0)</f>
        <v>4643</v>
      </c>
      <c r="AX2324" s="65"/>
      <c r="AY2324" s="65"/>
      <c r="AZ2324" s="65"/>
      <c r="BA2324" s="65"/>
    </row>
    <row r="2325">
      <c r="A2325" s="65" t="str">
        <f>IFERROR(__xludf.DUMMYFUNCTION("""COMPUTED_VALUE"""),"27-03-2026")</f>
        <v>27-03-2026</v>
      </c>
      <c r="B2325" s="65">
        <f>IFERROR(__xludf.DUMMYFUNCTION("""COMPUTED_VALUE"""),4016650.0)</f>
        <v>4016650</v>
      </c>
      <c r="C2325" s="65" t="str">
        <f>IFERROR(__xludf.DUMMYFUNCTION("""COMPUTED_VALUE"""),"14:53")</f>
        <v>14:53</v>
      </c>
      <c r="D2325" s="65" t="str">
        <f>IFERROR(__xludf.DUMMYFUNCTION("""COMPUTED_VALUE"""),"04-01-2026")</f>
        <v>04-01-2026</v>
      </c>
      <c r="E2325" s="65" t="str">
        <f>IFERROR(__xludf.DUMMYFUNCTION("""COMPUTED_VALUE"""),"Luis Alfonso Cedeño Palacios")</f>
        <v>Luis Alfonso Cedeño Palacios</v>
      </c>
      <c r="F2325" s="65" t="str">
        <f>IFERROR(__xludf.DUMMYFUNCTION("""COMPUTED_VALUE"""),"960187126")</f>
        <v>960187126</v>
      </c>
      <c r="G2325" s="65"/>
      <c r="H2325" s="65"/>
      <c r="I2325" s="65"/>
      <c r="J2325" s="65" t="str">
        <f>IFERROR(__xludf.DUMMYFUNCTION("""COMPUTED_VALUE"""),"D001201385")</f>
        <v>D001201385</v>
      </c>
      <c r="K2325" s="65" t="str">
        <f>IFERROR(__xludf.DUMMYFUNCTION("""COMPUTED_VALUE"""),"ENTREGADO")</f>
        <v>ENTREGADO</v>
      </c>
      <c r="L2325" s="65" t="str">
        <f>IFERROR(__xludf.DUMMYFUNCTION("""COMPUTED_VALUE"""),"CON RECAUDO")</f>
        <v>CON RECAUDO</v>
      </c>
      <c r="M2325" s="65" t="str">
        <f>IFERROR(__xludf.DUMMYFUNCTION("""COMPUTED_VALUE"""),"GUAYAS")</f>
        <v>GUAYAS</v>
      </c>
      <c r="N2325" s="65" t="str">
        <f>IFERROR(__xludf.DUMMYFUNCTION("""COMPUTED_VALUE"""),"EL TRIUNFO")</f>
        <v>EL TRIUNFO</v>
      </c>
      <c r="O2325" s="65" t="str">
        <f>IFERROR(__xludf.DUMMYFUNCTION("""COMPUTED_VALUE"""),"Sector Centro - Av. Telmo Tejada y Calle Antonio José de Sucre. El Triunfo")</f>
        <v>Sector Centro - Av. Telmo Tejada y Calle Antonio José de Sucre. El Triunfo</v>
      </c>
      <c r="P2325" s="65"/>
      <c r="Q2325" s="65" t="str">
        <f>IFERROR(__xludf.DUMMYFUNCTION("""COMPUTED_VALUE"""),"GINTRACOM")</f>
        <v>GINTRACOM</v>
      </c>
      <c r="R2325" s="65">
        <f>IFERROR(__xludf.DUMMYFUNCTION("""COMPUTED_VALUE"""),25.0)</f>
        <v>25</v>
      </c>
      <c r="S2325" s="65">
        <f>IFERROR(__xludf.DUMMYFUNCTION("""COMPUTED_VALUE"""),8.47)</f>
        <v>8.47</v>
      </c>
      <c r="T2325" s="65">
        <f>IFERROR(__xludf.DUMMYFUNCTION("""COMPUTED_VALUE"""),6.53)</f>
        <v>6.53</v>
      </c>
      <c r="U2325" s="65">
        <f>IFERROR(__xludf.DUMMYFUNCTION("""COMPUTED_VALUE"""),0.0)</f>
        <v>0</v>
      </c>
      <c r="V2325" s="65">
        <f>IFERROR(__xludf.DUMMYFUNCTION("""COMPUTED_VALUE"""),0.0)</f>
        <v>0</v>
      </c>
      <c r="W2325" s="65">
        <f>IFERROR(__xludf.DUMMYFUNCTION("""COMPUTED_VALUE"""),0.0)</f>
        <v>0</v>
      </c>
      <c r="X2325" s="65">
        <f>IFERROR(__xludf.DUMMYFUNCTION("""COMPUTED_VALUE"""),5.0)</f>
        <v>5</v>
      </c>
      <c r="Y2325" s="65">
        <f>IFERROR(__xludf.DUMMYFUNCTION("""COMPUTED_VALUE"""),10.0)</f>
        <v>10</v>
      </c>
      <c r="Z2325" s="65">
        <f>IFERROR(__xludf.DUMMYFUNCTION("""COMPUTED_VALUE"""),110064.0)</f>
        <v>110064</v>
      </c>
      <c r="AA2325" s="65" t="str">
        <f>IFERROR(__xludf.DUMMYFUNCTION("""COMPUTED_VALUE"""),"IMX-00001")</f>
        <v>IMX-00001</v>
      </c>
      <c r="AB2325" s="65"/>
      <c r="AC2325" s="65" t="str">
        <f>IFERROR(__xludf.DUMMYFUNCTION("""COMPUTED_VALUE"""),"LLAVE TRINQUETE")</f>
        <v>LLAVE TRINQUETE</v>
      </c>
      <c r="AD2325" s="65"/>
      <c r="AE2325" s="65">
        <f>IFERROR(__xludf.DUMMYFUNCTION("""COMPUTED_VALUE"""),2.0)</f>
        <v>2</v>
      </c>
      <c r="AF2325" s="65" t="str">
        <f>IFERROR(__xludf.DUMMYFUNCTION("""COMPUTED_VALUE"""),"DESTINATARIO INDICA QUE SE ENCUENTRA FUERA DE LA CIUDAD")</f>
        <v>DESTINATARIO INDICA QUE SE ENCUENTRA FUERA DE LA CIUDAD</v>
      </c>
      <c r="AG2325" s="65" t="str">
        <f>IFERROR(__xludf.DUMMYFUNCTION("""COMPUTED_VALUE"""),"NO")</f>
        <v>NO</v>
      </c>
      <c r="AH2325" s="65" t="str">
        <f>IFERROR(__xludf.DUMMYFUNCTION("""COMPUTED_VALUE"""),"12:08")</f>
        <v>12:08</v>
      </c>
      <c r="AI2325" s="65" t="str">
        <f>IFERROR(__xludf.DUMMYFUNCTION("""COMPUTED_VALUE"""),"12-01-2026")</f>
        <v>12-01-2026</v>
      </c>
      <c r="AJ2325" s="65"/>
      <c r="AK2325" s="65"/>
      <c r="AL2325" s="65"/>
      <c r="AM2325" s="65"/>
      <c r="AN2325" s="65" t="str">
        <f>IFERROR(__xludf.DUMMYFUNCTION("""COMPUTED_VALUE"""),"12:08")</f>
        <v>12:08</v>
      </c>
      <c r="AO2325" s="65" t="str">
        <f>IFERROR(__xludf.DUMMYFUNCTION("""COMPUTED_VALUE"""),"12-01-2026")</f>
        <v>12-01-2026</v>
      </c>
      <c r="AP2325" s="65" t="str">
        <f>IFERROR(__xludf.DUMMYFUNCTION("""COMPUTED_VALUE"""),"DESTINATARIO INDICA QUE SE ENCUENTRA FUERA DE LA CIUDAD")</f>
        <v>DESTINATARIO INDICA QUE SE ENCUENTRA FUERA DE LA CIUDAD</v>
      </c>
      <c r="AQ2325" s="65" t="str">
        <f>IFERROR(__xludf.DUMMYFUNCTION("""COMPUTED_VALUE"""),"DESTINATARIO INDICA QUE SE ENCUENTRA FUERA DE LA CIUDAD")</f>
        <v>DESTINATARIO INDICA QUE SE ENCUENTRA FUERA DE LA CIUDAD</v>
      </c>
      <c r="AR2325" s="65"/>
      <c r="AS2325" s="65"/>
      <c r="AT2325" s="65" t="str">
        <f>IFERROR(__xludf.DUMMYFUNCTION("""COMPUTED_VALUE"""),"SHOPIFY")</f>
        <v>SHOPIFY</v>
      </c>
      <c r="AU2325" s="65" t="str">
        <f>IFERROR(__xludf.DUMMYFUNCTION("""COMPUTED_VALUE"""),"IMPORTEX EC")</f>
        <v>IMPORTEX EC</v>
      </c>
      <c r="AV2325" s="65" t="str">
        <f>IFERROR(__xludf.DUMMYFUNCTION("""COMPUTED_VALUE"""),"6389686829100")</f>
        <v>6389686829100</v>
      </c>
      <c r="AW2325" s="65">
        <f>IFERROR(__xludf.DUMMYFUNCTION("""COMPUTED_VALUE"""),4642.0)</f>
        <v>4642</v>
      </c>
      <c r="AX2325" s="65"/>
      <c r="AY2325" s="65" t="str">
        <f>IFERROR(__xludf.DUMMYFUNCTION("""COMPUTED_VALUE"""),"08/01/2026")</f>
        <v>08/01/2026</v>
      </c>
      <c r="AZ2325" s="65"/>
      <c r="BA2325" s="65"/>
    </row>
    <row r="2326">
      <c r="A2326" s="65" t="str">
        <f>IFERROR(__xludf.DUMMYFUNCTION("""COMPUTED_VALUE"""),"27-03-2026")</f>
        <v>27-03-2026</v>
      </c>
      <c r="B2326" s="65">
        <f>IFERROR(__xludf.DUMMYFUNCTION("""COMPUTED_VALUE"""),4016252.0)</f>
        <v>4016252</v>
      </c>
      <c r="C2326" s="65" t="str">
        <f>IFERROR(__xludf.DUMMYFUNCTION("""COMPUTED_VALUE"""),"14:10")</f>
        <v>14:10</v>
      </c>
      <c r="D2326" s="65" t="str">
        <f>IFERROR(__xludf.DUMMYFUNCTION("""COMPUTED_VALUE"""),"04-01-2026")</f>
        <v>04-01-2026</v>
      </c>
      <c r="E2326" s="65" t="str">
        <f>IFERROR(__xludf.DUMMYFUNCTION("""COMPUTED_VALUE"""),"Ronald Jackson Álvarez Bravo")</f>
        <v>Ronald Jackson Álvarez Bravo</v>
      </c>
      <c r="F2326" s="65" t="str">
        <f>IFERROR(__xludf.DUMMYFUNCTION("""COMPUTED_VALUE"""),"984090710")</f>
        <v>984090710</v>
      </c>
      <c r="G2326" s="65" t="str">
        <f>IFERROR(__xludf.DUMMYFUNCTION("""COMPUTED_VALUE"""),"ronaldjackson010@gmail.com")</f>
        <v>ronaldjackson010@gmail.com</v>
      </c>
      <c r="H2326" s="65"/>
      <c r="I2326" s="65"/>
      <c r="J2326" s="65" t="str">
        <f>IFERROR(__xludf.DUMMYFUNCTION("""COMPUTED_VALUE"""),"D001201386")</f>
        <v>D001201386</v>
      </c>
      <c r="K2326" s="65" t="str">
        <f>IFERROR(__xludf.DUMMYFUNCTION("""COMPUTED_VALUE"""),"ENTREGADO")</f>
        <v>ENTREGADO</v>
      </c>
      <c r="L2326" s="65" t="str">
        <f>IFERROR(__xludf.DUMMYFUNCTION("""COMPUTED_VALUE"""),"CON RECAUDO")</f>
        <v>CON RECAUDO</v>
      </c>
      <c r="M2326" s="65" t="str">
        <f>IFERROR(__xludf.DUMMYFUNCTION("""COMPUTED_VALUE"""),"GUAYAS")</f>
        <v>GUAYAS</v>
      </c>
      <c r="N2326" s="65" t="str">
        <f>IFERROR(__xludf.DUMMYFUNCTION("""COMPUTED_VALUE"""),"EL TRIUNFO")</f>
        <v>EL TRIUNFO</v>
      </c>
      <c r="O2326" s="65" t="str">
        <f>IFERROR(__xludf.DUMMYFUNCTION("""COMPUTED_VALUE"""),"Cantón el triunfó, ciudadela la primavera, entrando por el parque las letras el triunfo")</f>
        <v>Cantón el triunfó, ciudadela la primavera, entrando por el parque las letras el triunfo</v>
      </c>
      <c r="P2326" s="65"/>
      <c r="Q2326" s="65" t="str">
        <f>IFERROR(__xludf.DUMMYFUNCTION("""COMPUTED_VALUE"""),"GINTRACOM")</f>
        <v>GINTRACOM</v>
      </c>
      <c r="R2326" s="65">
        <f>IFERROR(__xludf.DUMMYFUNCTION("""COMPUTED_VALUE"""),25.0)</f>
        <v>25</v>
      </c>
      <c r="S2326" s="65">
        <f>IFERROR(__xludf.DUMMYFUNCTION("""COMPUTED_VALUE"""),8.47)</f>
        <v>8.47</v>
      </c>
      <c r="T2326" s="65">
        <f>IFERROR(__xludf.DUMMYFUNCTION("""COMPUTED_VALUE"""),6.53)</f>
        <v>6.53</v>
      </c>
      <c r="U2326" s="65">
        <f>IFERROR(__xludf.DUMMYFUNCTION("""COMPUTED_VALUE"""),0.0)</f>
        <v>0</v>
      </c>
      <c r="V2326" s="65">
        <f>IFERROR(__xludf.DUMMYFUNCTION("""COMPUTED_VALUE"""),0.0)</f>
        <v>0</v>
      </c>
      <c r="W2326" s="65">
        <f>IFERROR(__xludf.DUMMYFUNCTION("""COMPUTED_VALUE"""),0.0)</f>
        <v>0</v>
      </c>
      <c r="X2326" s="65">
        <f>IFERROR(__xludf.DUMMYFUNCTION("""COMPUTED_VALUE"""),5.0)</f>
        <v>5</v>
      </c>
      <c r="Y2326" s="65">
        <f>IFERROR(__xludf.DUMMYFUNCTION("""COMPUTED_VALUE"""),10.0)</f>
        <v>10</v>
      </c>
      <c r="Z2326" s="65">
        <f>IFERROR(__xludf.DUMMYFUNCTION("""COMPUTED_VALUE"""),110064.0)</f>
        <v>110064</v>
      </c>
      <c r="AA2326" s="65" t="str">
        <f>IFERROR(__xludf.DUMMYFUNCTION("""COMPUTED_VALUE"""),"IMX-00001")</f>
        <v>IMX-00001</v>
      </c>
      <c r="AB2326" s="65"/>
      <c r="AC2326" s="65" t="str">
        <f>IFERROR(__xludf.DUMMYFUNCTION("""COMPUTED_VALUE"""),"LLAVE TRINQUETE")</f>
        <v>LLAVE TRINQUETE</v>
      </c>
      <c r="AD2326" s="65"/>
      <c r="AE2326" s="65">
        <f>IFERROR(__xludf.DUMMYFUNCTION("""COMPUTED_VALUE"""),2.0)</f>
        <v>2</v>
      </c>
      <c r="AF2326" s="65"/>
      <c r="AG2326" s="65"/>
      <c r="AH2326" s="65"/>
      <c r="AI2326" s="65"/>
      <c r="AJ2326" s="65"/>
      <c r="AK2326" s="65"/>
      <c r="AL2326" s="65"/>
      <c r="AM2326" s="65"/>
      <c r="AN2326" s="65" t="str">
        <f>IFERROR(__xludf.DUMMYFUNCTION("""COMPUTED_VALUE"""),"14:58")</f>
        <v>14:58</v>
      </c>
      <c r="AO2326" s="65" t="str">
        <f>IFERROR(__xludf.DUMMYFUNCTION("""COMPUTED_VALUE"""),"14-01-2026")</f>
        <v>14-01-2026</v>
      </c>
      <c r="AP2326" s="65" t="str">
        <f>IFERROR(__xludf.DUMMYFUNCTION("""COMPUTED_VALUE"""),"ENTREGADA GINTRACOM")</f>
        <v>ENTREGADA GINTRACOM</v>
      </c>
      <c r="AQ2326" s="65" t="str">
        <f>IFERROR(__xludf.DUMMYFUNCTION("""COMPUTED_VALUE"""),"ENTREGADA GINTRACOM")</f>
        <v>ENTREGADA GINTRACOM</v>
      </c>
      <c r="AR2326" s="65"/>
      <c r="AS2326" s="65"/>
      <c r="AT2326" s="65" t="str">
        <f>IFERROR(__xludf.DUMMYFUNCTION("""COMPUTED_VALUE"""),"SHOPIFY")</f>
        <v>SHOPIFY</v>
      </c>
      <c r="AU2326" s="65" t="str">
        <f>IFERROR(__xludf.DUMMYFUNCTION("""COMPUTED_VALUE"""),"IMPORTEX EC")</f>
        <v>IMPORTEX EC</v>
      </c>
      <c r="AV2326" s="65" t="str">
        <f>IFERROR(__xludf.DUMMYFUNCTION("""COMPUTED_VALUE"""),"6389584429100")</f>
        <v>6389584429100</v>
      </c>
      <c r="AW2326" s="65">
        <f>IFERROR(__xludf.DUMMYFUNCTION("""COMPUTED_VALUE"""),4638.0)</f>
        <v>4638</v>
      </c>
      <c r="AX2326" s="65"/>
      <c r="AY2326" s="65" t="str">
        <f>IFERROR(__xludf.DUMMYFUNCTION("""COMPUTED_VALUE"""),"08/01/2026")</f>
        <v>08/01/2026</v>
      </c>
      <c r="AZ2326" s="65"/>
      <c r="BA2326" s="65"/>
    </row>
    <row r="2327">
      <c r="A2327" s="65" t="str">
        <f>IFERROR(__xludf.DUMMYFUNCTION("""COMPUTED_VALUE"""),"27-03-2026")</f>
        <v>27-03-2026</v>
      </c>
      <c r="B2327" s="65">
        <f>IFERROR(__xludf.DUMMYFUNCTION("""COMPUTED_VALUE"""),4015886.0)</f>
        <v>4015886</v>
      </c>
      <c r="C2327" s="65" t="str">
        <f>IFERROR(__xludf.DUMMYFUNCTION("""COMPUTED_VALUE"""),"13:27")</f>
        <v>13:27</v>
      </c>
      <c r="D2327" s="65" t="str">
        <f>IFERROR(__xludf.DUMMYFUNCTION("""COMPUTED_VALUE"""),"04-01-2026")</f>
        <v>04-01-2026</v>
      </c>
      <c r="E2327" s="65" t="str">
        <f>IFERROR(__xludf.DUMMYFUNCTION("""COMPUTED_VALUE"""),"Diego Leonardo Capurro grefa")</f>
        <v>Diego Leonardo Capurro grefa</v>
      </c>
      <c r="F2327" s="65" t="str">
        <f>IFERROR(__xludf.DUMMYFUNCTION("""COMPUTED_VALUE"""),"992651217")</f>
        <v>992651217</v>
      </c>
      <c r="G2327" s="65" t="str">
        <f>IFERROR(__xludf.DUMMYFUNCTION("""COMPUTED_VALUE"""),"diegocapurro80@yahoo.com")</f>
        <v>diegocapurro80@yahoo.com</v>
      </c>
      <c r="H2327" s="65"/>
      <c r="I2327" s="65"/>
      <c r="J2327" s="65" t="str">
        <f>IFERROR(__xludf.DUMMYFUNCTION("""COMPUTED_VALUE"""),"D001194581")</f>
        <v>D001194581</v>
      </c>
      <c r="K2327" s="65" t="str">
        <f>IFERROR(__xludf.DUMMYFUNCTION("""COMPUTED_VALUE"""),"ENTREGADO")</f>
        <v>ENTREGADO</v>
      </c>
      <c r="L2327" s="65" t="str">
        <f>IFERROR(__xludf.DUMMYFUNCTION("""COMPUTED_VALUE"""),"CON RECAUDO")</f>
        <v>CON RECAUDO</v>
      </c>
      <c r="M2327" s="65" t="str">
        <f>IFERROR(__xludf.DUMMYFUNCTION("""COMPUTED_VALUE"""),"NAPO")</f>
        <v>NAPO</v>
      </c>
      <c r="N2327" s="65" t="str">
        <f>IFERROR(__xludf.DUMMYFUNCTION("""COMPUTED_VALUE"""),"TENA")</f>
        <v>TENA</v>
      </c>
      <c r="O2327" s="65" t="str">
        <f>IFERROR(__xludf.DUMMYFUNCTION("""COMPUTED_VALUE"""),"Sector Tena - Barrio Central - Calle Juan Montalvo y Calle Simón Bolívar - Referencia Frente al MIESS - Tienda color rosado")</f>
        <v>Sector Tena - Barrio Central - Calle Juan Montalvo y Calle Simón Bolívar - Referencia Frente al MIESS - Tienda color rosado</v>
      </c>
      <c r="P2327" s="65"/>
      <c r="Q2327" s="65" t="str">
        <f>IFERROR(__xludf.DUMMYFUNCTION("""COMPUTED_VALUE"""),"GINTRACOM")</f>
        <v>GINTRACOM</v>
      </c>
      <c r="R2327" s="65">
        <f>IFERROR(__xludf.DUMMYFUNCTION("""COMPUTED_VALUE"""),20.0)</f>
        <v>20</v>
      </c>
      <c r="S2327" s="65">
        <f>IFERROR(__xludf.DUMMYFUNCTION("""COMPUTED_VALUE"""),9.24)</f>
        <v>9.24</v>
      </c>
      <c r="T2327" s="65">
        <f>IFERROR(__xludf.DUMMYFUNCTION("""COMPUTED_VALUE"""),5.76)</f>
        <v>5.76</v>
      </c>
      <c r="U2327" s="65">
        <f>IFERROR(__xludf.DUMMYFUNCTION("""COMPUTED_VALUE"""),0.0)</f>
        <v>0</v>
      </c>
      <c r="V2327" s="65">
        <f>IFERROR(__xludf.DUMMYFUNCTION("""COMPUTED_VALUE"""),0.0)</f>
        <v>0</v>
      </c>
      <c r="W2327" s="65">
        <f>IFERROR(__xludf.DUMMYFUNCTION("""COMPUTED_VALUE"""),0.0)</f>
        <v>0</v>
      </c>
      <c r="X2327" s="65">
        <f>IFERROR(__xludf.DUMMYFUNCTION("""COMPUTED_VALUE"""),5.0)</f>
        <v>5</v>
      </c>
      <c r="Y2327" s="65">
        <f>IFERROR(__xludf.DUMMYFUNCTION("""COMPUTED_VALUE"""),5.0)</f>
        <v>5</v>
      </c>
      <c r="Z2327" s="65">
        <f>IFERROR(__xludf.DUMMYFUNCTION("""COMPUTED_VALUE"""),110064.0)</f>
        <v>110064</v>
      </c>
      <c r="AA2327" s="65" t="str">
        <f>IFERROR(__xludf.DUMMYFUNCTION("""COMPUTED_VALUE"""),"IMX-00001")</f>
        <v>IMX-00001</v>
      </c>
      <c r="AB2327" s="65"/>
      <c r="AC2327" s="65" t="str">
        <f>IFERROR(__xludf.DUMMYFUNCTION("""COMPUTED_VALUE"""),"LLAVE TRINQUETE")</f>
        <v>LLAVE TRINQUETE</v>
      </c>
      <c r="AD2327" s="65"/>
      <c r="AE2327" s="65">
        <f>IFERROR(__xludf.DUMMYFUNCTION("""COMPUTED_VALUE"""),1.0)</f>
        <v>1</v>
      </c>
      <c r="AF2327" s="65"/>
      <c r="AG2327" s="65"/>
      <c r="AH2327" s="65"/>
      <c r="AI2327" s="65"/>
      <c r="AJ2327" s="65"/>
      <c r="AK2327" s="65"/>
      <c r="AL2327" s="65"/>
      <c r="AM2327" s="65"/>
      <c r="AN2327" s="65" t="str">
        <f>IFERROR(__xludf.DUMMYFUNCTION("""COMPUTED_VALUE"""),"17:06")</f>
        <v>17:06</v>
      </c>
      <c r="AO2327" s="65" t="str">
        <f>IFERROR(__xludf.DUMMYFUNCTION("""COMPUTED_VALUE"""),"08-01-2026")</f>
        <v>08-01-2026</v>
      </c>
      <c r="AP2327" s="65" t="str">
        <f>IFERROR(__xludf.DUMMYFUNCTION("""COMPUTED_VALUE"""),"ENTREGADA GINTRACOM")</f>
        <v>ENTREGADA GINTRACOM</v>
      </c>
      <c r="AQ2327" s="65" t="str">
        <f>IFERROR(__xludf.DUMMYFUNCTION("""COMPUTED_VALUE"""),"ENTREGADA GINTRACOM")</f>
        <v>ENTREGADA GINTRACOM</v>
      </c>
      <c r="AR2327" s="65"/>
      <c r="AS2327" s="65"/>
      <c r="AT2327" s="65" t="str">
        <f>IFERROR(__xludf.DUMMYFUNCTION("""COMPUTED_VALUE"""),"SHOPIFY")</f>
        <v>SHOPIFY</v>
      </c>
      <c r="AU2327" s="65" t="str">
        <f>IFERROR(__xludf.DUMMYFUNCTION("""COMPUTED_VALUE"""),"IMPORTEX EC")</f>
        <v>IMPORTEX EC</v>
      </c>
      <c r="AV2327" s="65" t="str">
        <f>IFERROR(__xludf.DUMMYFUNCTION("""COMPUTED_VALUE"""),"6389484585004")</f>
        <v>6389484585004</v>
      </c>
      <c r="AW2327" s="65">
        <f>IFERROR(__xludf.DUMMYFUNCTION("""COMPUTED_VALUE"""),4637.0)</f>
        <v>4637</v>
      </c>
      <c r="AX2327" s="65"/>
      <c r="AY2327" s="65" t="str">
        <f>IFERROR(__xludf.DUMMYFUNCTION("""COMPUTED_VALUE"""),"06/01/2026")</f>
        <v>06/01/2026</v>
      </c>
      <c r="AZ2327" s="65"/>
      <c r="BA2327" s="65"/>
    </row>
    <row r="2328">
      <c r="A2328" s="65" t="str">
        <f>IFERROR(__xludf.DUMMYFUNCTION("""COMPUTED_VALUE"""),"27-03-2026")</f>
        <v>27-03-2026</v>
      </c>
      <c r="B2328" s="65">
        <f>IFERROR(__xludf.DUMMYFUNCTION("""COMPUTED_VALUE"""),4015709.0)</f>
        <v>4015709</v>
      </c>
      <c r="C2328" s="65" t="str">
        <f>IFERROR(__xludf.DUMMYFUNCTION("""COMPUTED_VALUE"""),"13:05")</f>
        <v>13:05</v>
      </c>
      <c r="D2328" s="65" t="str">
        <f>IFERROR(__xludf.DUMMYFUNCTION("""COMPUTED_VALUE"""),"04-01-2026")</f>
        <v>04-01-2026</v>
      </c>
      <c r="E2328" s="65" t="str">
        <f>IFERROR(__xludf.DUMMYFUNCTION("""COMPUTED_VALUE"""),"Roberto Cantos")</f>
        <v>Roberto Cantos</v>
      </c>
      <c r="F2328" s="65" t="str">
        <f>IFERROR(__xludf.DUMMYFUNCTION("""COMPUTED_VALUE"""),"991214872")</f>
        <v>991214872</v>
      </c>
      <c r="G2328" s="65" t="str">
        <f>IFERROR(__xludf.DUMMYFUNCTION("""COMPUTED_VALUE"""),"jarvin61@hotmail.com")</f>
        <v>jarvin61@hotmail.com</v>
      </c>
      <c r="H2328" s="65"/>
      <c r="I2328" s="65"/>
      <c r="J2328" s="65"/>
      <c r="K2328" s="65" t="str">
        <f>IFERROR(__xludf.DUMMYFUNCTION("""COMPUTED_VALUE"""),"CANCELADO")</f>
        <v>CANCELADO</v>
      </c>
      <c r="L2328" s="65" t="str">
        <f>IFERROR(__xludf.DUMMYFUNCTION("""COMPUTED_VALUE"""),"CON RECAUDO")</f>
        <v>CON RECAUDO</v>
      </c>
      <c r="M2328" s="65" t="str">
        <f>IFERROR(__xludf.DUMMYFUNCTION("""COMPUTED_VALUE"""),"MANABI")</f>
        <v>MANABI</v>
      </c>
      <c r="N2328" s="65" t="str">
        <f>IFERROR(__xludf.DUMMYFUNCTION("""COMPUTED_VALUE"""),"MANTA")</f>
        <v>MANTA</v>
      </c>
      <c r="O2328" s="65" t="str">
        <f>IFERROR(__xludf.DUMMYFUNCTION("""COMPUTED_VALUE"""),"Calle 9 AVENIDA 34 -")</f>
        <v>Calle 9 AVENIDA 34 -</v>
      </c>
      <c r="P2328" s="65"/>
      <c r="Q2328" s="65" t="str">
        <f>IFERROR(__xludf.DUMMYFUNCTION("""COMPUTED_VALUE"""),"GINTRACOM")</f>
        <v>GINTRACOM</v>
      </c>
      <c r="R2328" s="65">
        <f>IFERROR(__xludf.DUMMYFUNCTION("""COMPUTED_VALUE"""),30.0)</f>
        <v>30</v>
      </c>
      <c r="S2328" s="65"/>
      <c r="T2328" s="65">
        <f>IFERROR(__xludf.DUMMYFUNCTION("""COMPUTED_VALUE"""),6.16)</f>
        <v>6.16</v>
      </c>
      <c r="U2328" s="65">
        <f>IFERROR(__xludf.DUMMYFUNCTION("""COMPUTED_VALUE"""),0.0)</f>
        <v>0</v>
      </c>
      <c r="V2328" s="65">
        <f>IFERROR(__xludf.DUMMYFUNCTION("""COMPUTED_VALUE"""),0.0)</f>
        <v>0</v>
      </c>
      <c r="W2328" s="65">
        <f>IFERROR(__xludf.DUMMYFUNCTION("""COMPUTED_VALUE"""),0.0)</f>
        <v>0</v>
      </c>
      <c r="X2328" s="65">
        <f>IFERROR(__xludf.DUMMYFUNCTION("""COMPUTED_VALUE"""),2.79)</f>
        <v>2.79</v>
      </c>
      <c r="Y2328" s="65">
        <f>IFERROR(__xludf.DUMMYFUNCTION("""COMPUTED_VALUE"""),8.37)</f>
        <v>8.37</v>
      </c>
      <c r="Z2328" s="65">
        <f>IFERROR(__xludf.DUMMYFUNCTION("""COMPUTED_VALUE"""),120732.0)</f>
        <v>120732</v>
      </c>
      <c r="AA2328" s="65" t="str">
        <f>IFERROR(__xludf.DUMMYFUNCTION("""COMPUTED_VALUE"""),"PROV-LMPVT")</f>
        <v>PROV-LMPVT</v>
      </c>
      <c r="AB2328" s="65"/>
      <c r="AC2328" s="65" t="str">
        <f>IFERROR(__xludf.DUMMYFUNCTION("""COMPUTED_VALUE"""),"LIMPIADOR DE PARABRISAS Y VENTANAS")</f>
        <v>LIMPIADOR DE PARABRISAS Y VENTANAS</v>
      </c>
      <c r="AD2328" s="65"/>
      <c r="AE2328" s="65">
        <f>IFERROR(__xludf.DUMMYFUNCTION("""COMPUTED_VALUE"""),3.0)</f>
        <v>3</v>
      </c>
      <c r="AF2328" s="65"/>
      <c r="AG2328" s="65"/>
      <c r="AH2328" s="65"/>
      <c r="AI2328" s="65"/>
      <c r="AJ2328" s="65"/>
      <c r="AK2328" s="65"/>
      <c r="AL2328" s="65"/>
      <c r="AM2328" s="65"/>
      <c r="AN2328" s="65"/>
      <c r="AO2328" s="65"/>
      <c r="AP2328" s="65"/>
      <c r="AQ2328" s="65"/>
      <c r="AR2328" s="65"/>
      <c r="AS2328" s="65"/>
      <c r="AT2328" s="65" t="str">
        <f>IFERROR(__xludf.DUMMYFUNCTION("""COMPUTED_VALUE"""),"SHOPIFY")</f>
        <v>SHOPIFY</v>
      </c>
      <c r="AU2328" s="65" t="str">
        <f>IFERROR(__xludf.DUMMYFUNCTION("""COMPUTED_VALUE"""),"IMPORTEX EC")</f>
        <v>IMPORTEX EC</v>
      </c>
      <c r="AV2328" s="65" t="str">
        <f>IFERROR(__xludf.DUMMYFUNCTION("""COMPUTED_VALUE"""),"6389430714412")</f>
        <v>6389430714412</v>
      </c>
      <c r="AW2328" s="65">
        <f>IFERROR(__xludf.DUMMYFUNCTION("""COMPUTED_VALUE"""),4636.0)</f>
        <v>4636</v>
      </c>
      <c r="AX2328" s="65"/>
      <c r="AY2328" s="65"/>
      <c r="AZ2328" s="65"/>
      <c r="BA2328" s="65"/>
    </row>
    <row r="2329">
      <c r="A2329" s="65" t="str">
        <f>IFERROR(__xludf.DUMMYFUNCTION("""COMPUTED_VALUE"""),"27-03-2026")</f>
        <v>27-03-2026</v>
      </c>
      <c r="B2329" s="65">
        <f>IFERROR(__xludf.DUMMYFUNCTION("""COMPUTED_VALUE"""),4014210.0)</f>
        <v>4014210</v>
      </c>
      <c r="C2329" s="65" t="str">
        <f>IFERROR(__xludf.DUMMYFUNCTION("""COMPUTED_VALUE"""),"10:25")</f>
        <v>10:25</v>
      </c>
      <c r="D2329" s="65" t="str">
        <f>IFERROR(__xludf.DUMMYFUNCTION("""COMPUTED_VALUE"""),"04-01-2026")</f>
        <v>04-01-2026</v>
      </c>
      <c r="E2329" s="65" t="str">
        <f>IFERROR(__xludf.DUMMYFUNCTION("""COMPUTED_VALUE"""),"Segundo Edgar Morejon  Salazar")</f>
        <v>Segundo Edgar Morejon  Salazar</v>
      </c>
      <c r="F2329" s="65" t="str">
        <f>IFERROR(__xludf.DUMMYFUNCTION("""COMPUTED_VALUE"""),"982268700")</f>
        <v>982268700</v>
      </c>
      <c r="G2329" s="65" t="str">
        <f>IFERROR(__xludf.DUMMYFUNCTION("""COMPUTED_VALUE"""),"semorejon@hotmail.com")</f>
        <v>semorejon@hotmail.com</v>
      </c>
      <c r="H2329" s="65"/>
      <c r="I2329" s="65"/>
      <c r="J2329" s="65"/>
      <c r="K2329" s="65" t="str">
        <f>IFERROR(__xludf.DUMMYFUNCTION("""COMPUTED_VALUE"""),"CANCELADO")</f>
        <v>CANCELADO</v>
      </c>
      <c r="L2329" s="65" t="str">
        <f>IFERROR(__xludf.DUMMYFUNCTION("""COMPUTED_VALUE"""),"CON RECAUDO")</f>
        <v>CON RECAUDO</v>
      </c>
      <c r="M2329" s="65" t="str">
        <f>IFERROR(__xludf.DUMMYFUNCTION("""COMPUTED_VALUE"""),"COTOPAXI")</f>
        <v>COTOPAXI</v>
      </c>
      <c r="N2329" s="65" t="str">
        <f>IFERROR(__xludf.DUMMYFUNCTION("""COMPUTED_VALUE"""),"LATACUNGA")</f>
        <v>LATACUNGA</v>
      </c>
      <c r="O2329" s="65" t="str">
        <f>IFERROR(__xludf.DUMMYFUNCTION("""COMPUTED_VALUE"""),"Fernando Davalos Emilio Alvarez -")</f>
        <v>Fernando Davalos Emilio Alvarez -</v>
      </c>
      <c r="P2329" s="65"/>
      <c r="Q2329" s="65" t="str">
        <f>IFERROR(__xludf.DUMMYFUNCTION("""COMPUTED_VALUE"""),"GINTRACOM")</f>
        <v>GINTRACOM</v>
      </c>
      <c r="R2329" s="65">
        <f>IFERROR(__xludf.DUMMYFUNCTION("""COMPUTED_VALUE"""),25.0)</f>
        <v>25</v>
      </c>
      <c r="S2329" s="65"/>
      <c r="T2329" s="65">
        <f>IFERROR(__xludf.DUMMYFUNCTION("""COMPUTED_VALUE"""),5.96)</f>
        <v>5.96</v>
      </c>
      <c r="U2329" s="65">
        <f>IFERROR(__xludf.DUMMYFUNCTION("""COMPUTED_VALUE"""),0.0)</f>
        <v>0</v>
      </c>
      <c r="V2329" s="65">
        <f>IFERROR(__xludf.DUMMYFUNCTION("""COMPUTED_VALUE"""),0.0)</f>
        <v>0</v>
      </c>
      <c r="W2329" s="65">
        <f>IFERROR(__xludf.DUMMYFUNCTION("""COMPUTED_VALUE"""),0.0)</f>
        <v>0</v>
      </c>
      <c r="X2329" s="65">
        <f>IFERROR(__xludf.DUMMYFUNCTION("""COMPUTED_VALUE"""),5.0)</f>
        <v>5</v>
      </c>
      <c r="Y2329" s="65">
        <f>IFERROR(__xludf.DUMMYFUNCTION("""COMPUTED_VALUE"""),10.0)</f>
        <v>10</v>
      </c>
      <c r="Z2329" s="65">
        <f>IFERROR(__xludf.DUMMYFUNCTION("""COMPUTED_VALUE"""),110064.0)</f>
        <v>110064</v>
      </c>
      <c r="AA2329" s="65" t="str">
        <f>IFERROR(__xludf.DUMMYFUNCTION("""COMPUTED_VALUE"""),"IMX-00001")</f>
        <v>IMX-00001</v>
      </c>
      <c r="AB2329" s="65"/>
      <c r="AC2329" s="65" t="str">
        <f>IFERROR(__xludf.DUMMYFUNCTION("""COMPUTED_VALUE"""),"LLAVE TRINQUETE")</f>
        <v>LLAVE TRINQUETE</v>
      </c>
      <c r="AD2329" s="65"/>
      <c r="AE2329" s="65">
        <f>IFERROR(__xludf.DUMMYFUNCTION("""COMPUTED_VALUE"""),2.0)</f>
        <v>2</v>
      </c>
      <c r="AF2329" s="65"/>
      <c r="AG2329" s="65"/>
      <c r="AH2329" s="65"/>
      <c r="AI2329" s="65"/>
      <c r="AJ2329" s="65"/>
      <c r="AK2329" s="65"/>
      <c r="AL2329" s="65"/>
      <c r="AM2329" s="65"/>
      <c r="AN2329" s="65"/>
      <c r="AO2329" s="65"/>
      <c r="AP2329" s="65"/>
      <c r="AQ2329" s="65"/>
      <c r="AR2329" s="65"/>
      <c r="AS2329" s="65"/>
      <c r="AT2329" s="65" t="str">
        <f>IFERROR(__xludf.DUMMYFUNCTION("""COMPUTED_VALUE"""),"SHOPIFY")</f>
        <v>SHOPIFY</v>
      </c>
      <c r="AU2329" s="65" t="str">
        <f>IFERROR(__xludf.DUMMYFUNCTION("""COMPUTED_VALUE"""),"IMPORTEX EC")</f>
        <v>IMPORTEX EC</v>
      </c>
      <c r="AV2329" s="65" t="str">
        <f>IFERROR(__xludf.DUMMYFUNCTION("""COMPUTED_VALUE"""),"6389080096812")</f>
        <v>6389080096812</v>
      </c>
      <c r="AW2329" s="65">
        <f>IFERROR(__xludf.DUMMYFUNCTION("""COMPUTED_VALUE"""),4635.0)</f>
        <v>4635</v>
      </c>
      <c r="AX2329" s="65"/>
      <c r="AY2329" s="65"/>
      <c r="AZ2329" s="65"/>
      <c r="BA2329" s="65"/>
    </row>
    <row r="2330">
      <c r="A2330" s="65" t="str">
        <f>IFERROR(__xludf.DUMMYFUNCTION("""COMPUTED_VALUE"""),"27-03-2026")</f>
        <v>27-03-2026</v>
      </c>
      <c r="B2330" s="65">
        <f>IFERROR(__xludf.DUMMYFUNCTION("""COMPUTED_VALUE"""),4014082.0)</f>
        <v>4014082</v>
      </c>
      <c r="C2330" s="65" t="str">
        <f>IFERROR(__xludf.DUMMYFUNCTION("""COMPUTED_VALUE"""),"10:10")</f>
        <v>10:10</v>
      </c>
      <c r="D2330" s="65" t="str">
        <f>IFERROR(__xludf.DUMMYFUNCTION("""COMPUTED_VALUE"""),"04-01-2026")</f>
        <v>04-01-2026</v>
      </c>
      <c r="E2330" s="65" t="str">
        <f>IFERROR(__xludf.DUMMYFUNCTION("""COMPUTED_VALUE"""),"Jorge Washington Arias Espín")</f>
        <v>Jorge Washington Arias Espín</v>
      </c>
      <c r="F2330" s="65" t="str">
        <f>IFERROR(__xludf.DUMMYFUNCTION("""COMPUTED_VALUE"""),"992947229")</f>
        <v>992947229</v>
      </c>
      <c r="G2330" s="65" t="str">
        <f>IFERROR(__xludf.DUMMYFUNCTION("""COMPUTED_VALUE"""),"jorgearias1234@hotmail.com")</f>
        <v>jorgearias1234@hotmail.com</v>
      </c>
      <c r="H2330" s="65"/>
      <c r="I2330" s="65"/>
      <c r="J2330" s="65" t="str">
        <f>IFERROR(__xludf.DUMMYFUNCTION("""COMPUTED_VALUE"""),"D001194582")</f>
        <v>D001194582</v>
      </c>
      <c r="K2330" s="65" t="str">
        <f>IFERROR(__xludf.DUMMYFUNCTION("""COMPUTED_VALUE"""),"ENTREGADO")</f>
        <v>ENTREGADO</v>
      </c>
      <c r="L2330" s="65" t="str">
        <f>IFERROR(__xludf.DUMMYFUNCTION("""COMPUTED_VALUE"""),"CON RECAUDO")</f>
        <v>CON RECAUDO</v>
      </c>
      <c r="M2330" s="65" t="str">
        <f>IFERROR(__xludf.DUMMYFUNCTION("""COMPUTED_VALUE"""),"TUNGURAHUA")</f>
        <v>TUNGURAHUA</v>
      </c>
      <c r="N2330" s="65" t="str">
        <f>IFERROR(__xludf.DUMMYFUNCTION("""COMPUTED_VALUE"""),"AMBATO")</f>
        <v>AMBATO</v>
      </c>
      <c r="O2330" s="65" t="str">
        <f>IFERROR(__xludf.DUMMYFUNCTION("""COMPUTED_VALUE"""),"Sector Ciudadela Hospitalaria. Calle Patrulla Atahualpa y Calle Héroes del Cenepa. Referencia Entrada a Macasto")</f>
        <v>Sector Ciudadela Hospitalaria. Calle Patrulla Atahualpa y Calle Héroes del Cenepa. Referencia Entrada a Macasto</v>
      </c>
      <c r="P2330" s="65"/>
      <c r="Q2330" s="65" t="str">
        <f>IFERROR(__xludf.DUMMYFUNCTION("""COMPUTED_VALUE"""),"GINTRACOM")</f>
        <v>GINTRACOM</v>
      </c>
      <c r="R2330" s="65">
        <f>IFERROR(__xludf.DUMMYFUNCTION("""COMPUTED_VALUE"""),25.0)</f>
        <v>25</v>
      </c>
      <c r="S2330" s="65">
        <f>IFERROR(__xludf.DUMMYFUNCTION("""COMPUTED_VALUE"""),9.04)</f>
        <v>9.04</v>
      </c>
      <c r="T2330" s="65">
        <f>IFERROR(__xludf.DUMMYFUNCTION("""COMPUTED_VALUE"""),5.96)</f>
        <v>5.96</v>
      </c>
      <c r="U2330" s="65">
        <f>IFERROR(__xludf.DUMMYFUNCTION("""COMPUTED_VALUE"""),0.0)</f>
        <v>0</v>
      </c>
      <c r="V2330" s="65">
        <f>IFERROR(__xludf.DUMMYFUNCTION("""COMPUTED_VALUE"""),0.0)</f>
        <v>0</v>
      </c>
      <c r="W2330" s="65">
        <f>IFERROR(__xludf.DUMMYFUNCTION("""COMPUTED_VALUE"""),0.0)</f>
        <v>0</v>
      </c>
      <c r="X2330" s="65">
        <f>IFERROR(__xludf.DUMMYFUNCTION("""COMPUTED_VALUE"""),5.0)</f>
        <v>5</v>
      </c>
      <c r="Y2330" s="65">
        <f>IFERROR(__xludf.DUMMYFUNCTION("""COMPUTED_VALUE"""),10.0)</f>
        <v>10</v>
      </c>
      <c r="Z2330" s="65">
        <f>IFERROR(__xludf.DUMMYFUNCTION("""COMPUTED_VALUE"""),110064.0)</f>
        <v>110064</v>
      </c>
      <c r="AA2330" s="65" t="str">
        <f>IFERROR(__xludf.DUMMYFUNCTION("""COMPUTED_VALUE"""),"IMX-00001")</f>
        <v>IMX-00001</v>
      </c>
      <c r="AB2330" s="65"/>
      <c r="AC2330" s="65" t="str">
        <f>IFERROR(__xludf.DUMMYFUNCTION("""COMPUTED_VALUE"""),"LLAVE TRINQUETE")</f>
        <v>LLAVE TRINQUETE</v>
      </c>
      <c r="AD2330" s="65"/>
      <c r="AE2330" s="65">
        <f>IFERROR(__xludf.DUMMYFUNCTION("""COMPUTED_VALUE"""),2.0)</f>
        <v>2</v>
      </c>
      <c r="AF2330" s="65"/>
      <c r="AG2330" s="65"/>
      <c r="AH2330" s="65"/>
      <c r="AI2330" s="65"/>
      <c r="AJ2330" s="65"/>
      <c r="AK2330" s="65"/>
      <c r="AL2330" s="65"/>
      <c r="AM2330" s="65"/>
      <c r="AN2330" s="65" t="str">
        <f>IFERROR(__xludf.DUMMYFUNCTION("""COMPUTED_VALUE"""),"17:06")</f>
        <v>17:06</v>
      </c>
      <c r="AO2330" s="65" t="str">
        <f>IFERROR(__xludf.DUMMYFUNCTION("""COMPUTED_VALUE"""),"08-01-2026")</f>
        <v>08-01-2026</v>
      </c>
      <c r="AP2330" s="65" t="str">
        <f>IFERROR(__xludf.DUMMYFUNCTION("""COMPUTED_VALUE"""),"ENTREGADA GINTRACOM")</f>
        <v>ENTREGADA GINTRACOM</v>
      </c>
      <c r="AQ2330" s="65" t="str">
        <f>IFERROR(__xludf.DUMMYFUNCTION("""COMPUTED_VALUE"""),"ENTREGADA GINTRACOM")</f>
        <v>ENTREGADA GINTRACOM</v>
      </c>
      <c r="AR2330" s="65"/>
      <c r="AS2330" s="65"/>
      <c r="AT2330" s="65" t="str">
        <f>IFERROR(__xludf.DUMMYFUNCTION("""COMPUTED_VALUE"""),"SHOPIFY")</f>
        <v>SHOPIFY</v>
      </c>
      <c r="AU2330" s="65" t="str">
        <f>IFERROR(__xludf.DUMMYFUNCTION("""COMPUTED_VALUE"""),"IMPORTEX EC")</f>
        <v>IMPORTEX EC</v>
      </c>
      <c r="AV2330" s="65" t="str">
        <f>IFERROR(__xludf.DUMMYFUNCTION("""COMPUTED_VALUE"""),"6389050409004")</f>
        <v>6389050409004</v>
      </c>
      <c r="AW2330" s="65">
        <f>IFERROR(__xludf.DUMMYFUNCTION("""COMPUTED_VALUE"""),4634.0)</f>
        <v>4634</v>
      </c>
      <c r="AX2330" s="65"/>
      <c r="AY2330" s="65" t="str">
        <f>IFERROR(__xludf.DUMMYFUNCTION("""COMPUTED_VALUE"""),"06/01/2026")</f>
        <v>06/01/2026</v>
      </c>
      <c r="AZ2330" s="65"/>
      <c r="BA2330" s="65"/>
    </row>
    <row r="2331">
      <c r="A2331" s="65" t="str">
        <f>IFERROR(__xludf.DUMMYFUNCTION("""COMPUTED_VALUE"""),"27-03-2026")</f>
        <v>27-03-2026</v>
      </c>
      <c r="B2331" s="65">
        <f>IFERROR(__xludf.DUMMYFUNCTION("""COMPUTED_VALUE"""),4013976.0)</f>
        <v>4013976</v>
      </c>
      <c r="C2331" s="65" t="str">
        <f>IFERROR(__xludf.DUMMYFUNCTION("""COMPUTED_VALUE"""),"09:56")</f>
        <v>09:56</v>
      </c>
      <c r="D2331" s="65" t="str">
        <f>IFERROR(__xludf.DUMMYFUNCTION("""COMPUTED_VALUE"""),"04-01-2026")</f>
        <v>04-01-2026</v>
      </c>
      <c r="E2331" s="65" t="str">
        <f>IFERROR(__xludf.DUMMYFUNCTION("""COMPUTED_VALUE"""),"Luis Robayo")</f>
        <v>Luis Robayo</v>
      </c>
      <c r="F2331" s="65" t="str">
        <f>IFERROR(__xludf.DUMMYFUNCTION("""COMPUTED_VALUE"""),"959413792")</f>
        <v>959413792</v>
      </c>
      <c r="G2331" s="65" t="str">
        <f>IFERROR(__xludf.DUMMYFUNCTION("""COMPUTED_VALUE"""),"papiluis.50@mail.com")</f>
        <v>papiluis.50@mail.com</v>
      </c>
      <c r="H2331" s="65"/>
      <c r="I2331" s="65"/>
      <c r="J2331" s="65" t="str">
        <f>IFERROR(__xludf.DUMMYFUNCTION("""COMPUTED_VALUE"""),"D001187705")</f>
        <v>D001187705</v>
      </c>
      <c r="K2331" s="65" t="str">
        <f>IFERROR(__xludf.DUMMYFUNCTION("""COMPUTED_VALUE"""),"ENTREGADO")</f>
        <v>ENTREGADO</v>
      </c>
      <c r="L2331" s="65" t="str">
        <f>IFERROR(__xludf.DUMMYFUNCTION("""COMPUTED_VALUE"""),"CON RECAUDO")</f>
        <v>CON RECAUDO</v>
      </c>
      <c r="M2331" s="65" t="str">
        <f>IFERROR(__xludf.DUMMYFUNCTION("""COMPUTED_VALUE"""),"PICHINCHA")</f>
        <v>PICHINCHA</v>
      </c>
      <c r="N2331" s="65" t="str">
        <f>IFERROR(__xludf.DUMMYFUNCTION("""COMPUTED_VALUE"""),"QUITO")</f>
        <v>QUITO</v>
      </c>
      <c r="O2331" s="65" t="str">
        <f>IFERROR(__xludf.DUMMYFUNCTION("""COMPUTED_VALUE"""),"Sector Barrio Carapungo. Av. Sangay N:15 135 y Av. Carihuirazo")</f>
        <v>Sector Barrio Carapungo. Av. Sangay N:15 135 y Av. Carihuirazo</v>
      </c>
      <c r="P2331" s="65"/>
      <c r="Q2331" s="65" t="str">
        <f>IFERROR(__xludf.DUMMYFUNCTION("""COMPUTED_VALUE"""),"GINTRACOM")</f>
        <v>GINTRACOM</v>
      </c>
      <c r="R2331" s="65">
        <f>IFERROR(__xludf.DUMMYFUNCTION("""COMPUTED_VALUE"""),20.0)</f>
        <v>20</v>
      </c>
      <c r="S2331" s="65">
        <f>IFERROR(__xludf.DUMMYFUNCTION("""COMPUTED_VALUE"""),10.85)</f>
        <v>10.85</v>
      </c>
      <c r="T2331" s="65">
        <f>IFERROR(__xludf.DUMMYFUNCTION("""COMPUTED_VALUE"""),4.15)</f>
        <v>4.15</v>
      </c>
      <c r="U2331" s="65">
        <f>IFERROR(__xludf.DUMMYFUNCTION("""COMPUTED_VALUE"""),0.0)</f>
        <v>0</v>
      </c>
      <c r="V2331" s="65">
        <f>IFERROR(__xludf.DUMMYFUNCTION("""COMPUTED_VALUE"""),0.0)</f>
        <v>0</v>
      </c>
      <c r="W2331" s="65">
        <f>IFERROR(__xludf.DUMMYFUNCTION("""COMPUTED_VALUE"""),0.0)</f>
        <v>0</v>
      </c>
      <c r="X2331" s="65">
        <f>IFERROR(__xludf.DUMMYFUNCTION("""COMPUTED_VALUE"""),5.0)</f>
        <v>5</v>
      </c>
      <c r="Y2331" s="65">
        <f>IFERROR(__xludf.DUMMYFUNCTION("""COMPUTED_VALUE"""),5.0)</f>
        <v>5</v>
      </c>
      <c r="Z2331" s="65">
        <f>IFERROR(__xludf.DUMMYFUNCTION("""COMPUTED_VALUE"""),110064.0)</f>
        <v>110064</v>
      </c>
      <c r="AA2331" s="65" t="str">
        <f>IFERROR(__xludf.DUMMYFUNCTION("""COMPUTED_VALUE"""),"IMX-00001")</f>
        <v>IMX-00001</v>
      </c>
      <c r="AB2331" s="65"/>
      <c r="AC2331" s="65" t="str">
        <f>IFERROR(__xludf.DUMMYFUNCTION("""COMPUTED_VALUE"""),"LLAVE TRINQUETE")</f>
        <v>LLAVE TRINQUETE</v>
      </c>
      <c r="AD2331" s="65"/>
      <c r="AE2331" s="65">
        <f>IFERROR(__xludf.DUMMYFUNCTION("""COMPUTED_VALUE"""),1.0)</f>
        <v>1</v>
      </c>
      <c r="AF2331" s="65"/>
      <c r="AG2331" s="65"/>
      <c r="AH2331" s="65"/>
      <c r="AI2331" s="65"/>
      <c r="AJ2331" s="65"/>
      <c r="AK2331" s="65"/>
      <c r="AL2331" s="65"/>
      <c r="AM2331" s="65"/>
      <c r="AN2331" s="65"/>
      <c r="AO2331" s="65"/>
      <c r="AP2331" s="65"/>
      <c r="AQ2331" s="65"/>
      <c r="AR2331" s="65"/>
      <c r="AS2331" s="65"/>
      <c r="AT2331" s="65" t="str">
        <f>IFERROR(__xludf.DUMMYFUNCTION("""COMPUTED_VALUE"""),"SHOPIFY")</f>
        <v>SHOPIFY</v>
      </c>
      <c r="AU2331" s="65" t="str">
        <f>IFERROR(__xludf.DUMMYFUNCTION("""COMPUTED_VALUE"""),"IMPORTEX EC")</f>
        <v>IMPORTEX EC</v>
      </c>
      <c r="AV2331" s="65" t="str">
        <f>IFERROR(__xludf.DUMMYFUNCTION("""COMPUTED_VALUE"""),"6389028782124")</f>
        <v>6389028782124</v>
      </c>
      <c r="AW2331" s="65">
        <f>IFERROR(__xludf.DUMMYFUNCTION("""COMPUTED_VALUE"""),4633.0)</f>
        <v>4633</v>
      </c>
      <c r="AX2331" s="65"/>
      <c r="AY2331" s="65" t="str">
        <f>IFERROR(__xludf.DUMMYFUNCTION("""COMPUTED_VALUE"""),"05/01/2026")</f>
        <v>05/01/2026</v>
      </c>
      <c r="AZ2331" s="65"/>
      <c r="BA2331" s="65"/>
    </row>
    <row r="2332">
      <c r="A2332" s="65" t="str">
        <f>IFERROR(__xludf.DUMMYFUNCTION("""COMPUTED_VALUE"""),"27-03-2026")</f>
        <v>27-03-2026</v>
      </c>
      <c r="B2332" s="65">
        <f>IFERROR(__xludf.DUMMYFUNCTION("""COMPUTED_VALUE"""),4013938.0)</f>
        <v>4013938</v>
      </c>
      <c r="C2332" s="65" t="str">
        <f>IFERROR(__xludf.DUMMYFUNCTION("""COMPUTED_VALUE"""),"09:52")</f>
        <v>09:52</v>
      </c>
      <c r="D2332" s="65" t="str">
        <f>IFERROR(__xludf.DUMMYFUNCTION("""COMPUTED_VALUE"""),"04-01-2026")</f>
        <v>04-01-2026</v>
      </c>
      <c r="E2332" s="65" t="str">
        <f>IFERROR(__xludf.DUMMYFUNCTION("""COMPUTED_VALUE"""),"Cristian Gabriel Alcivar loor")</f>
        <v>Cristian Gabriel Alcivar loor</v>
      </c>
      <c r="F2332" s="65" t="str">
        <f>IFERROR(__xludf.DUMMYFUNCTION("""COMPUTED_VALUE"""),"959658447")</f>
        <v>959658447</v>
      </c>
      <c r="G2332" s="65" t="str">
        <f>IFERROR(__xludf.DUMMYFUNCTION("""COMPUTED_VALUE"""),"cristhianalcivarloor@gmail.com")</f>
        <v>cristhianalcivarloor@gmail.com</v>
      </c>
      <c r="H2332" s="65"/>
      <c r="I2332" s="65"/>
      <c r="J2332" s="65"/>
      <c r="K2332" s="65" t="str">
        <f>IFERROR(__xludf.DUMMYFUNCTION("""COMPUTED_VALUE"""),"CANCELADO")</f>
        <v>CANCELADO</v>
      </c>
      <c r="L2332" s="65" t="str">
        <f>IFERROR(__xludf.DUMMYFUNCTION("""COMPUTED_VALUE"""),"CON RECAUDO")</f>
        <v>CON RECAUDO</v>
      </c>
      <c r="M2332" s="65" t="str">
        <f>IFERROR(__xludf.DUMMYFUNCTION("""COMPUTED_VALUE"""),"LOS RIOS")</f>
        <v>LOS RIOS</v>
      </c>
      <c r="N2332" s="65" t="str">
        <f>IFERROR(__xludf.DUMMYFUNCTION("""COMPUTED_VALUE"""),"BUENA FE")</f>
        <v>BUENA FE</v>
      </c>
      <c r="O2332" s="65" t="str">
        <f>IFERROR(__xludf.DUMMYFUNCTION("""COMPUTED_VALUE"""),"Segunda Nueba buenafe -")</f>
        <v>Segunda Nueba buenafe -</v>
      </c>
      <c r="P2332" s="65"/>
      <c r="Q2332" s="65" t="str">
        <f>IFERROR(__xludf.DUMMYFUNCTION("""COMPUTED_VALUE"""),"GINTRACOM")</f>
        <v>GINTRACOM</v>
      </c>
      <c r="R2332" s="65">
        <f>IFERROR(__xludf.DUMMYFUNCTION("""COMPUTED_VALUE"""),25.0)</f>
        <v>25</v>
      </c>
      <c r="S2332" s="65"/>
      <c r="T2332" s="65">
        <f>IFERROR(__xludf.DUMMYFUNCTION("""COMPUTED_VALUE"""),6.53)</f>
        <v>6.53</v>
      </c>
      <c r="U2332" s="65">
        <f>IFERROR(__xludf.DUMMYFUNCTION("""COMPUTED_VALUE"""),0.0)</f>
        <v>0</v>
      </c>
      <c r="V2332" s="65">
        <f>IFERROR(__xludf.DUMMYFUNCTION("""COMPUTED_VALUE"""),0.0)</f>
        <v>0</v>
      </c>
      <c r="W2332" s="65">
        <f>IFERROR(__xludf.DUMMYFUNCTION("""COMPUTED_VALUE"""),0.0)</f>
        <v>0</v>
      </c>
      <c r="X2332" s="65">
        <f>IFERROR(__xludf.DUMMYFUNCTION("""COMPUTED_VALUE"""),5.0)</f>
        <v>5</v>
      </c>
      <c r="Y2332" s="65">
        <f>IFERROR(__xludf.DUMMYFUNCTION("""COMPUTED_VALUE"""),10.0)</f>
        <v>10</v>
      </c>
      <c r="Z2332" s="65">
        <f>IFERROR(__xludf.DUMMYFUNCTION("""COMPUTED_VALUE"""),110064.0)</f>
        <v>110064</v>
      </c>
      <c r="AA2332" s="65" t="str">
        <f>IFERROR(__xludf.DUMMYFUNCTION("""COMPUTED_VALUE"""),"IMX-00001")</f>
        <v>IMX-00001</v>
      </c>
      <c r="AB2332" s="65"/>
      <c r="AC2332" s="65" t="str">
        <f>IFERROR(__xludf.DUMMYFUNCTION("""COMPUTED_VALUE"""),"LLAVE TRINQUETE")</f>
        <v>LLAVE TRINQUETE</v>
      </c>
      <c r="AD2332" s="65"/>
      <c r="AE2332" s="65">
        <f>IFERROR(__xludf.DUMMYFUNCTION("""COMPUTED_VALUE"""),2.0)</f>
        <v>2</v>
      </c>
      <c r="AF2332" s="65"/>
      <c r="AG2332" s="65"/>
      <c r="AH2332" s="65"/>
      <c r="AI2332" s="65"/>
      <c r="AJ2332" s="65"/>
      <c r="AK2332" s="65"/>
      <c r="AL2332" s="65"/>
      <c r="AM2332" s="65"/>
      <c r="AN2332" s="65"/>
      <c r="AO2332" s="65"/>
      <c r="AP2332" s="65"/>
      <c r="AQ2332" s="65"/>
      <c r="AR2332" s="65"/>
      <c r="AS2332" s="65"/>
      <c r="AT2332" s="65" t="str">
        <f>IFERROR(__xludf.DUMMYFUNCTION("""COMPUTED_VALUE"""),"SHOPIFY")</f>
        <v>SHOPIFY</v>
      </c>
      <c r="AU2332" s="65" t="str">
        <f>IFERROR(__xludf.DUMMYFUNCTION("""COMPUTED_VALUE"""),"IMPORTEX EC")</f>
        <v>IMPORTEX EC</v>
      </c>
      <c r="AV2332" s="65" t="str">
        <f>IFERROR(__xludf.DUMMYFUNCTION("""COMPUTED_VALUE"""),"6389020459052")</f>
        <v>6389020459052</v>
      </c>
      <c r="AW2332" s="65">
        <f>IFERROR(__xludf.DUMMYFUNCTION("""COMPUTED_VALUE"""),4632.0)</f>
        <v>4632</v>
      </c>
      <c r="AX2332" s="65"/>
      <c r="AY2332" s="65"/>
      <c r="AZ2332" s="65"/>
      <c r="BA2332" s="65"/>
    </row>
  </sheetData>
  <hyperlinks>
    <hyperlink r:id="rId1" ref="P1119"/>
    <hyperlink r:id="rId2" ref="P1142"/>
    <hyperlink r:id="rId3" ref="P1154"/>
    <hyperlink r:id="rId4" ref="P1205"/>
    <hyperlink r:id="rId5" ref="P1206"/>
    <hyperlink r:id="rId6" ref="P1592"/>
    <hyperlink r:id="rId7" ref="P1636"/>
    <hyperlink r:id="rId8" ref="P1842"/>
    <hyperlink r:id="rId9" ref="P1944"/>
    <hyperlink r:id="rId10" ref="P2031"/>
    <hyperlink r:id="rId11" ref="P2141"/>
  </hyperlinks>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4.5"/>
    <col customWidth="1" min="3" max="3" width="16.25"/>
    <col customWidth="1" min="4" max="4" width="17.38"/>
    <col customWidth="1" min="5" max="5" width="42.13"/>
    <col customWidth="1" min="6" max="6" width="24.38"/>
    <col customWidth="1" min="7" max="7" width="22.13"/>
    <col customWidth="1" min="8" max="8" width="29.63"/>
    <col customWidth="1" min="9" max="9" width="15.25"/>
    <col customWidth="1" min="11" max="11" width="53.5"/>
  </cols>
  <sheetData>
    <row r="1">
      <c r="A1" s="69" t="s">
        <v>3683</v>
      </c>
      <c r="B1" s="70" t="s">
        <v>3384</v>
      </c>
      <c r="C1" s="71" t="s">
        <v>3388</v>
      </c>
      <c r="D1" s="70" t="s">
        <v>3684</v>
      </c>
      <c r="E1" s="70" t="s">
        <v>3390</v>
      </c>
      <c r="F1" s="70" t="s">
        <v>3685</v>
      </c>
      <c r="G1" s="72" t="s">
        <v>1</v>
      </c>
      <c r="H1" s="70" t="s">
        <v>3686</v>
      </c>
      <c r="I1" s="70" t="s">
        <v>3687</v>
      </c>
      <c r="J1" s="73"/>
      <c r="K1" s="74" t="s">
        <v>3688</v>
      </c>
      <c r="L1" s="73"/>
      <c r="M1" s="73"/>
      <c r="N1" s="73"/>
      <c r="O1" s="73"/>
      <c r="P1" s="73"/>
      <c r="Q1" s="73"/>
      <c r="R1" s="73"/>
      <c r="S1" s="73"/>
      <c r="T1" s="73"/>
      <c r="U1" s="73"/>
      <c r="V1" s="73"/>
      <c r="W1" s="73"/>
      <c r="X1" s="73"/>
      <c r="Y1" s="73"/>
      <c r="Z1" s="73"/>
      <c r="AA1" s="73"/>
    </row>
    <row r="2">
      <c r="A2" s="75">
        <v>1.0</v>
      </c>
      <c r="B2" s="76">
        <v>46042.0</v>
      </c>
      <c r="C2" s="11">
        <v>9.81192602E8</v>
      </c>
      <c r="D2" s="77" t="s">
        <v>3689</v>
      </c>
      <c r="E2" s="78" t="s">
        <v>3690</v>
      </c>
      <c r="F2" s="11" t="s">
        <v>3691</v>
      </c>
      <c r="G2" s="11"/>
      <c r="H2" s="15"/>
      <c r="I2" s="18"/>
      <c r="K2" s="42" t="s">
        <v>3692</v>
      </c>
    </row>
    <row r="3">
      <c r="A3" s="75">
        <v>2.0</v>
      </c>
      <c r="B3" s="76">
        <v>46042.0</v>
      </c>
      <c r="C3" s="13">
        <v>9.29696035E8</v>
      </c>
      <c r="D3" s="77" t="s">
        <v>3689</v>
      </c>
      <c r="E3" s="78" t="s">
        <v>3690</v>
      </c>
      <c r="F3" s="11" t="s">
        <v>3693</v>
      </c>
      <c r="G3" s="11"/>
      <c r="H3" s="15"/>
      <c r="I3" s="18"/>
      <c r="K3" s="42" t="s">
        <v>3694</v>
      </c>
    </row>
    <row r="4">
      <c r="A4" s="75">
        <v>3.0</v>
      </c>
      <c r="B4" s="76">
        <v>46042.0</v>
      </c>
      <c r="C4" s="11">
        <v>9.82297206E8</v>
      </c>
      <c r="D4" s="77" t="s">
        <v>3689</v>
      </c>
      <c r="E4" s="78" t="s">
        <v>3690</v>
      </c>
      <c r="F4" s="11" t="s">
        <v>3695</v>
      </c>
      <c r="G4" s="11"/>
      <c r="H4" s="15"/>
      <c r="I4" s="18"/>
      <c r="K4" s="42" t="s">
        <v>3696</v>
      </c>
    </row>
    <row r="5">
      <c r="A5" s="75">
        <v>4.0</v>
      </c>
      <c r="B5" s="76">
        <v>46042.0</v>
      </c>
      <c r="C5" s="11">
        <v>9.84432775E8</v>
      </c>
      <c r="D5" s="77" t="s">
        <v>3689</v>
      </c>
      <c r="E5" s="78" t="s">
        <v>3690</v>
      </c>
      <c r="F5" s="11" t="s">
        <v>3697</v>
      </c>
      <c r="G5" s="11"/>
      <c r="H5" s="15"/>
      <c r="I5" s="18"/>
    </row>
    <row r="6">
      <c r="A6" s="75">
        <v>5.0</v>
      </c>
      <c r="B6" s="76">
        <v>46042.0</v>
      </c>
      <c r="C6" s="11">
        <v>9.98894991E8</v>
      </c>
      <c r="D6" s="77" t="s">
        <v>3689</v>
      </c>
      <c r="E6" s="78" t="s">
        <v>3690</v>
      </c>
      <c r="F6" s="11" t="s">
        <v>3698</v>
      </c>
      <c r="G6" s="11"/>
      <c r="H6" s="15"/>
      <c r="I6" s="18"/>
    </row>
    <row r="7">
      <c r="A7" s="75">
        <v>6.0</v>
      </c>
      <c r="B7" s="76">
        <v>46042.0</v>
      </c>
      <c r="C7" s="11">
        <v>9.82895324E8</v>
      </c>
      <c r="D7" s="77" t="s">
        <v>3689</v>
      </c>
      <c r="E7" s="78" t="s">
        <v>3690</v>
      </c>
      <c r="F7" s="11" t="s">
        <v>3699</v>
      </c>
      <c r="G7" s="11"/>
      <c r="H7" s="15"/>
      <c r="I7" s="18"/>
    </row>
    <row r="8">
      <c r="A8" s="75">
        <v>7.0</v>
      </c>
      <c r="B8" s="76">
        <v>46042.0</v>
      </c>
      <c r="C8" s="78">
        <v>9.80395878E8</v>
      </c>
      <c r="D8" s="77" t="s">
        <v>3689</v>
      </c>
      <c r="E8" s="78" t="s">
        <v>3690</v>
      </c>
      <c r="F8" s="79"/>
      <c r="G8" s="11"/>
      <c r="H8" s="15"/>
      <c r="I8" s="18"/>
    </row>
    <row r="9">
      <c r="A9" s="75">
        <v>8.0</v>
      </c>
      <c r="B9" s="76">
        <v>46042.0</v>
      </c>
      <c r="C9" s="13">
        <v>9.83962186E8</v>
      </c>
      <c r="D9" s="77" t="s">
        <v>3689</v>
      </c>
      <c r="E9" s="78" t="s">
        <v>3690</v>
      </c>
      <c r="F9" s="79"/>
      <c r="G9" s="11"/>
      <c r="H9" s="15"/>
      <c r="I9" s="18"/>
    </row>
    <row r="10">
      <c r="A10" s="75">
        <v>9.0</v>
      </c>
      <c r="B10" s="76">
        <v>46042.0</v>
      </c>
      <c r="C10" s="13">
        <v>9.83829125E8</v>
      </c>
      <c r="D10" s="77" t="s">
        <v>3689</v>
      </c>
      <c r="E10" s="78" t="s">
        <v>3690</v>
      </c>
      <c r="F10" s="79"/>
      <c r="G10" s="11"/>
      <c r="H10" s="15"/>
      <c r="I10" s="18"/>
    </row>
    <row r="11">
      <c r="A11" s="75">
        <v>10.0</v>
      </c>
      <c r="B11" s="76">
        <v>46042.0</v>
      </c>
      <c r="C11" s="11">
        <v>9.69653441E8</v>
      </c>
      <c r="D11" s="77" t="s">
        <v>3689</v>
      </c>
      <c r="E11" s="78" t="s">
        <v>3690</v>
      </c>
      <c r="F11" s="79"/>
      <c r="G11" s="11"/>
      <c r="H11" s="15"/>
      <c r="I11" s="18"/>
    </row>
    <row r="12">
      <c r="A12" s="75">
        <v>11.0</v>
      </c>
      <c r="B12" s="76">
        <v>46042.0</v>
      </c>
      <c r="C12" s="13">
        <v>9.87070497E8</v>
      </c>
      <c r="D12" s="77" t="s">
        <v>3689</v>
      </c>
      <c r="E12" s="78" t="s">
        <v>3690</v>
      </c>
      <c r="F12" s="79"/>
      <c r="G12" s="11"/>
      <c r="H12" s="15"/>
      <c r="I12" s="18"/>
    </row>
    <row r="13">
      <c r="A13" s="75">
        <v>12.0</v>
      </c>
      <c r="B13" s="76">
        <v>46042.0</v>
      </c>
      <c r="C13" s="13">
        <v>9.67754829E8</v>
      </c>
      <c r="D13" s="77" t="s">
        <v>3689</v>
      </c>
      <c r="E13" s="78" t="s">
        <v>3690</v>
      </c>
      <c r="F13" s="79"/>
      <c r="G13" s="11"/>
      <c r="H13" s="15"/>
      <c r="I13" s="18"/>
    </row>
    <row r="14">
      <c r="A14" s="75">
        <v>13.0</v>
      </c>
      <c r="B14" s="76">
        <v>46042.0</v>
      </c>
      <c r="C14" s="80">
        <v>9.59167418E8</v>
      </c>
      <c r="D14" s="81" t="s">
        <v>3700</v>
      </c>
      <c r="E14" s="81" t="s">
        <v>3701</v>
      </c>
      <c r="F14" s="79"/>
      <c r="G14" s="11"/>
      <c r="H14" s="15"/>
      <c r="I14" s="18"/>
    </row>
    <row r="15">
      <c r="A15" s="75">
        <v>14.0</v>
      </c>
      <c r="B15" s="76">
        <v>46042.0</v>
      </c>
      <c r="C15" s="13">
        <v>9.39069001E8</v>
      </c>
      <c r="D15" s="77" t="s">
        <v>3689</v>
      </c>
      <c r="E15" s="78" t="s">
        <v>3690</v>
      </c>
      <c r="F15" s="79"/>
      <c r="G15" s="11"/>
      <c r="H15" s="15"/>
      <c r="I15" s="18"/>
    </row>
    <row r="16">
      <c r="A16" s="75">
        <v>15.0</v>
      </c>
      <c r="B16" s="76">
        <v>46042.0</v>
      </c>
      <c r="C16" s="13">
        <v>9.90682187E8</v>
      </c>
      <c r="D16" s="77" t="s">
        <v>3689</v>
      </c>
      <c r="E16" s="78" t="s">
        <v>3690</v>
      </c>
      <c r="F16" s="79"/>
      <c r="G16" s="11"/>
      <c r="H16" s="15"/>
      <c r="I16" s="18"/>
    </row>
    <row r="17">
      <c r="A17" s="75">
        <v>16.0</v>
      </c>
      <c r="B17" s="76">
        <v>46042.0</v>
      </c>
      <c r="C17" s="13">
        <v>9.78626625E8</v>
      </c>
      <c r="D17" s="77" t="s">
        <v>3689</v>
      </c>
      <c r="E17" s="78" t="s">
        <v>3690</v>
      </c>
      <c r="F17" s="79"/>
      <c r="G17" s="11"/>
      <c r="H17" s="15"/>
      <c r="I17" s="18"/>
    </row>
    <row r="18">
      <c r="A18" s="75">
        <v>17.0</v>
      </c>
      <c r="B18" s="76">
        <v>46042.0</v>
      </c>
      <c r="C18" s="13">
        <v>9.89035163E8</v>
      </c>
      <c r="D18" s="77" t="s">
        <v>3689</v>
      </c>
      <c r="E18" s="78" t="s">
        <v>3690</v>
      </c>
      <c r="F18" s="79"/>
      <c r="G18" s="11"/>
      <c r="H18" s="15"/>
      <c r="I18" s="18"/>
    </row>
    <row r="19">
      <c r="A19" s="75">
        <v>18.0</v>
      </c>
      <c r="B19" s="76">
        <v>46042.0</v>
      </c>
      <c r="C19" s="80">
        <v>9.92508498E8</v>
      </c>
      <c r="D19" s="81" t="s">
        <v>3700</v>
      </c>
      <c r="E19" s="81" t="s">
        <v>3701</v>
      </c>
      <c r="F19" s="79"/>
      <c r="G19" s="11"/>
      <c r="H19" s="15"/>
      <c r="I19" s="18"/>
    </row>
    <row r="20">
      <c r="A20" s="75">
        <v>19.0</v>
      </c>
      <c r="B20" s="76">
        <v>46042.0</v>
      </c>
      <c r="C20" s="13">
        <v>9.84695504E8</v>
      </c>
      <c r="D20" s="77" t="s">
        <v>3689</v>
      </c>
      <c r="E20" s="78" t="s">
        <v>3690</v>
      </c>
      <c r="F20" s="79"/>
      <c r="G20" s="11"/>
      <c r="H20" s="15"/>
      <c r="I20" s="18"/>
    </row>
    <row r="21">
      <c r="A21" s="75">
        <v>20.0</v>
      </c>
      <c r="B21" s="76">
        <v>46042.0</v>
      </c>
      <c r="C21" s="13">
        <v>9.89475681E8</v>
      </c>
      <c r="D21" s="77" t="s">
        <v>3689</v>
      </c>
      <c r="E21" s="78" t="s">
        <v>3690</v>
      </c>
      <c r="F21" s="79"/>
      <c r="G21" s="11"/>
      <c r="H21" s="15"/>
      <c r="I21" s="18"/>
    </row>
    <row r="22">
      <c r="A22" s="75">
        <v>21.0</v>
      </c>
      <c r="B22" s="76">
        <v>46042.0</v>
      </c>
      <c r="C22" s="11">
        <v>9.92202579E8</v>
      </c>
      <c r="D22" s="82" t="s">
        <v>3689</v>
      </c>
      <c r="E22" s="78" t="s">
        <v>3690</v>
      </c>
      <c r="F22" s="79"/>
      <c r="G22" s="11"/>
      <c r="H22" s="15"/>
      <c r="I22" s="18"/>
    </row>
    <row r="23">
      <c r="A23" s="75">
        <v>22.0</v>
      </c>
      <c r="B23" s="76">
        <v>46042.0</v>
      </c>
      <c r="C23" s="83">
        <v>9.99805609E8</v>
      </c>
      <c r="D23" s="84" t="s">
        <v>3689</v>
      </c>
      <c r="E23" s="84" t="s">
        <v>3702</v>
      </c>
      <c r="F23" s="79"/>
      <c r="G23" s="15"/>
      <c r="H23" s="15"/>
      <c r="I23" s="18"/>
    </row>
    <row r="24">
      <c r="A24" s="85"/>
      <c r="B24" s="86"/>
      <c r="C24" s="87"/>
      <c r="D24" s="88"/>
      <c r="E24" s="89"/>
      <c r="F24" s="90"/>
      <c r="G24" s="15"/>
      <c r="H24" s="15"/>
      <c r="I24" s="18"/>
    </row>
    <row r="25">
      <c r="A25" s="75">
        <v>23.0</v>
      </c>
      <c r="B25" s="91">
        <v>46043.0</v>
      </c>
      <c r="C25" s="11">
        <v>9.98172265E8</v>
      </c>
      <c r="D25" s="77" t="s">
        <v>3689</v>
      </c>
      <c r="E25" s="78" t="s">
        <v>3690</v>
      </c>
      <c r="F25" s="92"/>
      <c r="G25" s="15"/>
      <c r="H25" s="15"/>
      <c r="I25" s="18"/>
    </row>
    <row r="26">
      <c r="A26" s="75">
        <v>24.0</v>
      </c>
      <c r="B26" s="91">
        <v>46043.0</v>
      </c>
      <c r="C26" s="93">
        <v>9.39298604E8</v>
      </c>
      <c r="D26" s="81" t="s">
        <v>3703</v>
      </c>
      <c r="E26" s="81" t="s">
        <v>3701</v>
      </c>
      <c r="F26" s="92"/>
      <c r="G26" s="15"/>
      <c r="H26" s="15"/>
      <c r="I26" s="18"/>
    </row>
    <row r="27">
      <c r="A27" s="75">
        <v>25.0</v>
      </c>
      <c r="B27" s="91">
        <v>46043.0</v>
      </c>
      <c r="C27" s="11">
        <v>9.59257009E8</v>
      </c>
      <c r="D27" s="77" t="s">
        <v>3689</v>
      </c>
      <c r="E27" s="78" t="s">
        <v>3690</v>
      </c>
      <c r="F27" s="92"/>
      <c r="G27" s="15"/>
      <c r="H27" s="15"/>
      <c r="I27" s="18"/>
    </row>
    <row r="28">
      <c r="A28" s="75">
        <v>26.0</v>
      </c>
      <c r="B28" s="91">
        <v>46043.0</v>
      </c>
      <c r="C28" s="11">
        <v>9.9680006E8</v>
      </c>
      <c r="D28" s="77" t="s">
        <v>3689</v>
      </c>
      <c r="E28" s="78" t="s">
        <v>3690</v>
      </c>
      <c r="F28" s="92"/>
      <c r="G28" s="15"/>
      <c r="H28" s="15"/>
      <c r="I28" s="18"/>
    </row>
    <row r="29">
      <c r="A29" s="75">
        <v>27.0</v>
      </c>
      <c r="B29" s="91">
        <v>46043.0</v>
      </c>
      <c r="C29" s="93">
        <v>9.63368175E8</v>
      </c>
      <c r="D29" s="81" t="s">
        <v>3703</v>
      </c>
      <c r="E29" s="81" t="s">
        <v>3701</v>
      </c>
      <c r="F29" s="92"/>
      <c r="G29" s="15"/>
      <c r="H29" s="15"/>
      <c r="I29" s="18"/>
    </row>
    <row r="30">
      <c r="A30" s="75">
        <v>28.0</v>
      </c>
      <c r="B30" s="91">
        <v>46043.0</v>
      </c>
      <c r="C30" s="93">
        <v>9.80735829E8</v>
      </c>
      <c r="D30" s="81" t="s">
        <v>3703</v>
      </c>
      <c r="E30" s="94" t="s">
        <v>3701</v>
      </c>
      <c r="F30" s="92"/>
      <c r="G30" s="15"/>
      <c r="H30" s="15"/>
      <c r="I30" s="18"/>
    </row>
    <row r="31">
      <c r="A31" s="75">
        <v>29.0</v>
      </c>
      <c r="B31" s="91">
        <v>46043.0</v>
      </c>
      <c r="C31" s="95">
        <v>9.67490619E8</v>
      </c>
      <c r="D31" s="96" t="s">
        <v>3703</v>
      </c>
      <c r="E31" s="97" t="s">
        <v>3704</v>
      </c>
      <c r="F31" s="92"/>
      <c r="G31" s="15"/>
      <c r="H31" s="15"/>
      <c r="I31" s="18"/>
    </row>
    <row r="32">
      <c r="A32" s="75">
        <v>30.0</v>
      </c>
      <c r="B32" s="91">
        <v>46043.0</v>
      </c>
      <c r="C32" s="11">
        <v>9.97917239E8</v>
      </c>
      <c r="D32" s="77" t="s">
        <v>3689</v>
      </c>
      <c r="E32" s="78" t="s">
        <v>3690</v>
      </c>
      <c r="F32" s="92"/>
      <c r="G32" s="15"/>
      <c r="H32" s="15"/>
      <c r="I32" s="18"/>
    </row>
    <row r="33">
      <c r="A33" s="75">
        <v>31.0</v>
      </c>
      <c r="B33" s="91">
        <v>46043.0</v>
      </c>
      <c r="C33" s="93">
        <v>9.80050786E8</v>
      </c>
      <c r="D33" s="81" t="s">
        <v>3703</v>
      </c>
      <c r="E33" s="81" t="s">
        <v>3701</v>
      </c>
      <c r="F33" s="92"/>
      <c r="G33" s="15"/>
      <c r="H33" s="15"/>
      <c r="I33" s="18"/>
    </row>
    <row r="34">
      <c r="A34" s="75">
        <v>32.0</v>
      </c>
      <c r="B34" s="91">
        <v>46043.0</v>
      </c>
      <c r="C34" s="83">
        <v>9.9214614E8</v>
      </c>
      <c r="D34" s="84" t="s">
        <v>3689</v>
      </c>
      <c r="E34" s="98" t="s">
        <v>3702</v>
      </c>
      <c r="F34" s="92"/>
      <c r="G34" s="15"/>
      <c r="H34" s="15"/>
      <c r="I34" s="18"/>
    </row>
    <row r="35">
      <c r="A35" s="75">
        <v>33.0</v>
      </c>
      <c r="B35" s="91">
        <v>46043.0</v>
      </c>
      <c r="C35" s="11">
        <v>9.85954016E8</v>
      </c>
      <c r="D35" s="77" t="s">
        <v>3689</v>
      </c>
      <c r="E35" s="78" t="s">
        <v>3690</v>
      </c>
      <c r="F35" s="18"/>
      <c r="G35" s="15"/>
      <c r="H35" s="15"/>
      <c r="I35" s="18"/>
    </row>
    <row r="36">
      <c r="A36" s="75">
        <v>34.0</v>
      </c>
      <c r="B36" s="91">
        <v>46043.0</v>
      </c>
      <c r="C36" s="11">
        <v>9.39875091E8</v>
      </c>
      <c r="D36" s="77" t="s">
        <v>3689</v>
      </c>
      <c r="E36" s="78" t="s">
        <v>3690</v>
      </c>
      <c r="F36" s="18"/>
      <c r="G36" s="15"/>
      <c r="H36" s="15"/>
      <c r="I36" s="18"/>
    </row>
    <row r="37">
      <c r="A37" s="75">
        <v>35.0</v>
      </c>
      <c r="B37" s="91">
        <v>46043.0</v>
      </c>
      <c r="C37" s="11">
        <v>9.67265002E8</v>
      </c>
      <c r="D37" s="77" t="s">
        <v>3689</v>
      </c>
      <c r="E37" s="78" t="s">
        <v>3690</v>
      </c>
      <c r="F37" s="18"/>
      <c r="G37" s="15"/>
      <c r="H37" s="15"/>
      <c r="I37" s="18"/>
    </row>
    <row r="38">
      <c r="A38" s="75">
        <v>36.0</v>
      </c>
      <c r="B38" s="91">
        <v>46043.0</v>
      </c>
      <c r="C38" s="11">
        <v>9.99606032E8</v>
      </c>
      <c r="D38" s="77" t="s">
        <v>3689</v>
      </c>
      <c r="E38" s="78" t="s">
        <v>3690</v>
      </c>
      <c r="F38" s="18"/>
      <c r="G38" s="15"/>
      <c r="H38" s="15"/>
      <c r="I38" s="18"/>
    </row>
    <row r="39">
      <c r="A39" s="75">
        <v>37.0</v>
      </c>
      <c r="B39" s="91">
        <v>46043.0</v>
      </c>
      <c r="C39" s="11">
        <v>9.85500879E8</v>
      </c>
      <c r="D39" s="77" t="s">
        <v>3689</v>
      </c>
      <c r="E39" s="78" t="s">
        <v>3690</v>
      </c>
      <c r="F39" s="18"/>
      <c r="G39" s="15"/>
      <c r="H39" s="15"/>
      <c r="I39" s="18"/>
    </row>
    <row r="40">
      <c r="A40" s="75">
        <v>38.0</v>
      </c>
      <c r="B40" s="91">
        <v>46043.0</v>
      </c>
      <c r="C40" s="95">
        <v>9.80982835E8</v>
      </c>
      <c r="D40" s="99" t="s">
        <v>3703</v>
      </c>
      <c r="E40" s="97" t="s">
        <v>3704</v>
      </c>
      <c r="F40" s="18"/>
      <c r="G40" s="15"/>
      <c r="H40" s="15"/>
      <c r="I40" s="18"/>
    </row>
    <row r="41">
      <c r="A41" s="75">
        <v>39.0</v>
      </c>
      <c r="B41" s="91">
        <v>46043.0</v>
      </c>
      <c r="C41" s="11">
        <v>9.62937508E8</v>
      </c>
      <c r="D41" s="77" t="s">
        <v>3689</v>
      </c>
      <c r="E41" s="78" t="s">
        <v>3690</v>
      </c>
      <c r="F41" s="18"/>
      <c r="G41" s="15"/>
      <c r="H41" s="15"/>
      <c r="I41" s="18"/>
    </row>
    <row r="42">
      <c r="A42" s="75">
        <v>40.0</v>
      </c>
      <c r="B42" s="91">
        <v>46043.0</v>
      </c>
      <c r="C42" s="11">
        <v>9.85194691E8</v>
      </c>
      <c r="D42" s="77" t="s">
        <v>3689</v>
      </c>
      <c r="E42" s="78" t="s">
        <v>3690</v>
      </c>
      <c r="F42" s="18"/>
      <c r="G42" s="15"/>
      <c r="H42" s="15"/>
      <c r="I42" s="18"/>
    </row>
    <row r="43">
      <c r="A43" s="75">
        <v>41.0</v>
      </c>
      <c r="B43" s="91">
        <v>46043.0</v>
      </c>
      <c r="C43" s="11">
        <v>9.79082628E8</v>
      </c>
      <c r="D43" s="77" t="s">
        <v>3689</v>
      </c>
      <c r="E43" s="78" t="s">
        <v>3690</v>
      </c>
      <c r="F43" s="18"/>
      <c r="G43" s="15"/>
      <c r="H43" s="15"/>
      <c r="I43" s="18"/>
    </row>
    <row r="44">
      <c r="A44" s="75">
        <v>42.0</v>
      </c>
      <c r="B44" s="91">
        <v>46043.0</v>
      </c>
      <c r="C44" s="83">
        <v>9.68455895E8</v>
      </c>
      <c r="D44" s="84" t="s">
        <v>3689</v>
      </c>
      <c r="E44" s="84" t="s">
        <v>3702</v>
      </c>
      <c r="F44" s="18"/>
      <c r="G44" s="15"/>
      <c r="H44" s="15"/>
      <c r="I44" s="18"/>
    </row>
    <row r="45">
      <c r="A45" s="75">
        <v>43.0</v>
      </c>
      <c r="B45" s="91">
        <v>46043.0</v>
      </c>
      <c r="C45" s="11">
        <v>9.92471593E8</v>
      </c>
      <c r="D45" s="77" t="s">
        <v>3689</v>
      </c>
      <c r="E45" s="64" t="s">
        <v>3690</v>
      </c>
      <c r="F45" s="18"/>
      <c r="G45" s="15"/>
      <c r="H45" s="15"/>
      <c r="I45" s="18"/>
    </row>
    <row r="46">
      <c r="A46" s="75">
        <v>44.0</v>
      </c>
      <c r="B46" s="91">
        <v>46043.0</v>
      </c>
      <c r="C46" s="11">
        <v>9.88067677E8</v>
      </c>
      <c r="D46" s="77" t="s">
        <v>3689</v>
      </c>
      <c r="E46" s="64" t="s">
        <v>3690</v>
      </c>
      <c r="F46" s="18"/>
      <c r="G46" s="15"/>
      <c r="H46" s="15"/>
      <c r="I46" s="18"/>
    </row>
    <row r="47">
      <c r="A47" s="75">
        <v>45.0</v>
      </c>
      <c r="B47" s="91">
        <v>46043.0</v>
      </c>
      <c r="C47" s="11">
        <v>9.90412508E8</v>
      </c>
      <c r="D47" s="77" t="s">
        <v>3689</v>
      </c>
      <c r="E47" s="64" t="s">
        <v>3690</v>
      </c>
      <c r="F47" s="18"/>
      <c r="G47" s="15"/>
      <c r="H47" s="15"/>
      <c r="I47" s="18"/>
    </row>
    <row r="48">
      <c r="A48" s="75">
        <v>46.0</v>
      </c>
      <c r="B48" s="91">
        <v>46043.0</v>
      </c>
      <c r="C48" s="11">
        <v>9.97246273E8</v>
      </c>
      <c r="D48" s="77" t="s">
        <v>3689</v>
      </c>
      <c r="E48" s="64" t="s">
        <v>3690</v>
      </c>
      <c r="F48" s="18"/>
      <c r="G48" s="15"/>
      <c r="H48" s="15"/>
      <c r="I48" s="18"/>
    </row>
    <row r="49">
      <c r="A49" s="75">
        <v>47.0</v>
      </c>
      <c r="B49" s="91">
        <v>46043.0</v>
      </c>
      <c r="C49" s="83">
        <v>9.79719896E8</v>
      </c>
      <c r="D49" s="84" t="s">
        <v>3689</v>
      </c>
      <c r="E49" s="84" t="s">
        <v>3702</v>
      </c>
      <c r="F49" s="18"/>
      <c r="G49" s="15"/>
      <c r="H49" s="15"/>
      <c r="I49" s="18"/>
    </row>
    <row r="50">
      <c r="A50" s="75">
        <v>48.0</v>
      </c>
      <c r="B50" s="91">
        <v>46043.0</v>
      </c>
      <c r="C50" s="93">
        <v>9.87573883E8</v>
      </c>
      <c r="D50" s="81" t="s">
        <v>3703</v>
      </c>
      <c r="E50" s="94" t="s">
        <v>3701</v>
      </c>
      <c r="F50" s="18"/>
      <c r="G50" s="15"/>
      <c r="H50" s="15"/>
      <c r="I50" s="18"/>
    </row>
    <row r="51">
      <c r="A51" s="75">
        <v>49.0</v>
      </c>
      <c r="B51" s="91">
        <v>46043.0</v>
      </c>
      <c r="C51" s="93">
        <v>9.81209205E8</v>
      </c>
      <c r="D51" s="81" t="s">
        <v>3703</v>
      </c>
      <c r="E51" s="94" t="s">
        <v>3701</v>
      </c>
      <c r="F51" s="18"/>
      <c r="G51" s="15"/>
      <c r="H51" s="15"/>
      <c r="I51" s="18"/>
    </row>
    <row r="52">
      <c r="A52" s="75">
        <v>50.0</v>
      </c>
      <c r="B52" s="91">
        <v>46043.0</v>
      </c>
      <c r="C52" s="11">
        <v>9.84877084E8</v>
      </c>
      <c r="D52" s="77" t="s">
        <v>3689</v>
      </c>
      <c r="E52" s="64" t="s">
        <v>3690</v>
      </c>
      <c r="F52" s="18"/>
      <c r="G52" s="15"/>
      <c r="H52" s="15"/>
      <c r="I52" s="18"/>
    </row>
    <row r="53">
      <c r="A53" s="75">
        <v>51.0</v>
      </c>
      <c r="B53" s="91">
        <v>46043.0</v>
      </c>
      <c r="C53" s="93">
        <v>5.93985799197E11</v>
      </c>
      <c r="D53" s="81" t="s">
        <v>3703</v>
      </c>
      <c r="E53" s="94" t="s">
        <v>3701</v>
      </c>
      <c r="F53" s="18"/>
      <c r="G53" s="15"/>
      <c r="H53" s="15"/>
      <c r="I53" s="18"/>
    </row>
    <row r="54">
      <c r="A54" s="85"/>
      <c r="B54" s="86"/>
      <c r="C54" s="87"/>
      <c r="D54" s="88"/>
      <c r="E54" s="100"/>
      <c r="F54" s="101"/>
      <c r="G54" s="15"/>
      <c r="H54" s="15"/>
      <c r="I54" s="18"/>
    </row>
    <row r="55">
      <c r="A55" s="75">
        <v>52.0</v>
      </c>
      <c r="B55" s="91">
        <v>46044.0</v>
      </c>
      <c r="C55" s="11">
        <v>5.93962169109E11</v>
      </c>
      <c r="D55" s="77" t="s">
        <v>3689</v>
      </c>
      <c r="E55" s="78" t="s">
        <v>3690</v>
      </c>
      <c r="F55" s="18"/>
      <c r="G55" s="15"/>
      <c r="H55" s="15"/>
      <c r="I55" s="18"/>
    </row>
    <row r="56">
      <c r="A56" s="75">
        <v>53.0</v>
      </c>
      <c r="B56" s="91">
        <v>46044.0</v>
      </c>
      <c r="C56" s="11">
        <v>5.93939722956E11</v>
      </c>
      <c r="D56" s="77" t="s">
        <v>3689</v>
      </c>
      <c r="E56" s="78" t="s">
        <v>3690</v>
      </c>
      <c r="F56" s="18"/>
      <c r="G56" s="15"/>
      <c r="H56" s="15"/>
      <c r="I56" s="18"/>
    </row>
    <row r="57">
      <c r="A57" s="75">
        <v>54.0</v>
      </c>
      <c r="B57" s="91">
        <v>46044.0</v>
      </c>
      <c r="C57" s="78">
        <v>5.93980354954E11</v>
      </c>
      <c r="D57" s="77" t="s">
        <v>3689</v>
      </c>
      <c r="E57" s="78" t="s">
        <v>3690</v>
      </c>
      <c r="F57" s="18"/>
      <c r="G57" s="15"/>
      <c r="H57" s="15"/>
      <c r="I57" s="18"/>
    </row>
    <row r="58">
      <c r="A58" s="75">
        <v>55.0</v>
      </c>
      <c r="B58" s="91">
        <v>46044.0</v>
      </c>
      <c r="C58" s="78">
        <v>5.93984488599E11</v>
      </c>
      <c r="D58" s="77" t="s">
        <v>3689</v>
      </c>
      <c r="E58" s="78" t="s">
        <v>3690</v>
      </c>
      <c r="F58" s="18"/>
      <c r="G58" s="15"/>
      <c r="H58" s="15"/>
      <c r="I58" s="18"/>
    </row>
    <row r="59">
      <c r="A59" s="75">
        <v>56.0</v>
      </c>
      <c r="B59" s="91">
        <v>46044.0</v>
      </c>
      <c r="C59" s="102">
        <v>5.93985961683E11</v>
      </c>
      <c r="D59" s="102" t="s">
        <v>3705</v>
      </c>
      <c r="E59" s="103" t="s">
        <v>3706</v>
      </c>
      <c r="F59" s="104"/>
      <c r="G59" s="103" t="s">
        <v>3707</v>
      </c>
      <c r="H59" s="102" t="s">
        <v>3708</v>
      </c>
      <c r="I59" s="105" t="s">
        <v>3709</v>
      </c>
    </row>
    <row r="60">
      <c r="A60" s="75">
        <v>57.0</v>
      </c>
      <c r="B60" s="91">
        <v>46044.0</v>
      </c>
      <c r="C60" s="78">
        <v>5.93981893839E11</v>
      </c>
      <c r="D60" s="77" t="s">
        <v>3689</v>
      </c>
      <c r="E60" s="78" t="s">
        <v>3690</v>
      </c>
      <c r="F60" s="18"/>
      <c r="G60" s="15"/>
      <c r="H60" s="15"/>
      <c r="I60" s="18"/>
    </row>
    <row r="61">
      <c r="A61" s="75">
        <v>58.0</v>
      </c>
      <c r="B61" s="91">
        <v>46044.0</v>
      </c>
      <c r="C61" s="78">
        <v>5.93998623906E11</v>
      </c>
      <c r="D61" s="77" t="s">
        <v>3689</v>
      </c>
      <c r="E61" s="78" t="s">
        <v>3690</v>
      </c>
      <c r="F61" s="18"/>
      <c r="G61" s="15"/>
      <c r="H61" s="15"/>
      <c r="I61" s="18"/>
    </row>
    <row r="62">
      <c r="A62" s="106">
        <v>59.0</v>
      </c>
      <c r="B62" s="107">
        <v>46044.0</v>
      </c>
      <c r="C62" s="108">
        <v>9.81893839E8</v>
      </c>
      <c r="D62" s="77" t="s">
        <v>3689</v>
      </c>
      <c r="E62" s="78" t="s">
        <v>3690</v>
      </c>
      <c r="F62" s="109"/>
      <c r="G62" s="110"/>
      <c r="H62" s="110"/>
      <c r="I62" s="109"/>
      <c r="J62" s="111"/>
      <c r="K62" s="111"/>
      <c r="L62" s="111"/>
      <c r="M62" s="111"/>
      <c r="N62" s="111"/>
      <c r="O62" s="111"/>
      <c r="P62" s="111"/>
      <c r="Q62" s="111"/>
      <c r="R62" s="111"/>
      <c r="S62" s="111"/>
      <c r="T62" s="111"/>
      <c r="U62" s="111"/>
      <c r="V62" s="111"/>
      <c r="W62" s="111"/>
      <c r="X62" s="111"/>
      <c r="Y62" s="111"/>
      <c r="Z62" s="111"/>
      <c r="AA62" s="111"/>
    </row>
    <row r="63">
      <c r="A63" s="75">
        <v>60.0</v>
      </c>
      <c r="B63" s="91">
        <v>46044.0</v>
      </c>
      <c r="C63" s="11">
        <v>9.84488599E8</v>
      </c>
      <c r="D63" s="77" t="s">
        <v>3689</v>
      </c>
      <c r="E63" s="78" t="s">
        <v>3690</v>
      </c>
      <c r="F63" s="18"/>
      <c r="G63" s="15"/>
      <c r="H63" s="15"/>
      <c r="I63" s="18"/>
    </row>
    <row r="64">
      <c r="A64" s="75">
        <v>61.0</v>
      </c>
      <c r="B64" s="91">
        <v>46044.0</v>
      </c>
      <c r="C64" s="11">
        <v>9.80354954E8</v>
      </c>
      <c r="D64" s="77" t="s">
        <v>3689</v>
      </c>
      <c r="E64" s="78" t="s">
        <v>3690</v>
      </c>
      <c r="F64" s="18"/>
      <c r="G64" s="15"/>
      <c r="H64" s="15"/>
      <c r="I64" s="18"/>
    </row>
    <row r="65">
      <c r="A65" s="75">
        <v>62.0</v>
      </c>
      <c r="B65" s="91">
        <v>46044.0</v>
      </c>
      <c r="C65" s="11">
        <v>9.39722956E8</v>
      </c>
      <c r="D65" s="77" t="s">
        <v>3689</v>
      </c>
      <c r="E65" s="78" t="s">
        <v>3690</v>
      </c>
      <c r="F65" s="18"/>
      <c r="G65" s="15"/>
      <c r="H65" s="15"/>
      <c r="I65" s="18"/>
    </row>
    <row r="66">
      <c r="A66" s="75">
        <v>63.0</v>
      </c>
      <c r="B66" s="91">
        <v>46044.0</v>
      </c>
      <c r="C66" s="11">
        <v>9.62169109E8</v>
      </c>
      <c r="D66" s="77" t="s">
        <v>3689</v>
      </c>
      <c r="E66" s="78" t="s">
        <v>3690</v>
      </c>
      <c r="F66" s="18"/>
      <c r="G66" s="15"/>
      <c r="H66" s="15"/>
      <c r="I66" s="18"/>
    </row>
    <row r="67">
      <c r="A67" s="75">
        <v>64.0</v>
      </c>
      <c r="B67" s="91">
        <v>46044.0</v>
      </c>
      <c r="C67" s="11">
        <v>9.98623906E8</v>
      </c>
      <c r="D67" s="77" t="s">
        <v>3689</v>
      </c>
      <c r="E67" s="78" t="s">
        <v>3690</v>
      </c>
      <c r="F67" s="18"/>
      <c r="G67" s="15"/>
      <c r="H67" s="15"/>
      <c r="I67" s="18"/>
    </row>
    <row r="68">
      <c r="A68" s="75">
        <v>65.0</v>
      </c>
      <c r="B68" s="91">
        <v>46044.0</v>
      </c>
      <c r="C68" s="11">
        <v>9.91101584E8</v>
      </c>
      <c r="D68" s="77" t="s">
        <v>3689</v>
      </c>
      <c r="E68" s="78" t="s">
        <v>3690</v>
      </c>
      <c r="F68" s="18"/>
      <c r="G68" s="15"/>
      <c r="H68" s="15"/>
      <c r="I68" s="18"/>
    </row>
    <row r="69">
      <c r="A69" s="75">
        <v>66.0</v>
      </c>
      <c r="B69" s="91">
        <v>46044.0</v>
      </c>
      <c r="C69" s="11">
        <v>9.63731557E8</v>
      </c>
      <c r="D69" s="77" t="s">
        <v>3689</v>
      </c>
      <c r="E69" s="78" t="s">
        <v>3690</v>
      </c>
      <c r="F69" s="18"/>
      <c r="G69" s="15"/>
      <c r="H69" s="15"/>
      <c r="I69" s="18"/>
    </row>
    <row r="70">
      <c r="A70" s="75">
        <v>67.0</v>
      </c>
      <c r="B70" s="91"/>
      <c r="C70" s="79"/>
      <c r="D70" s="18"/>
      <c r="E70" s="15"/>
      <c r="F70" s="18"/>
      <c r="G70" s="15"/>
      <c r="H70" s="15"/>
      <c r="I70" s="18"/>
    </row>
    <row r="71">
      <c r="A71" s="75">
        <v>68.0</v>
      </c>
      <c r="B71" s="91"/>
      <c r="C71" s="79"/>
      <c r="D71" s="18"/>
      <c r="E71" s="15"/>
      <c r="F71" s="18"/>
      <c r="G71" s="15"/>
      <c r="H71" s="15"/>
      <c r="I71" s="18"/>
    </row>
    <row r="72">
      <c r="A72" s="75">
        <v>69.0</v>
      </c>
      <c r="B72" s="91"/>
      <c r="C72" s="79"/>
      <c r="D72" s="18"/>
      <c r="E72" s="15"/>
      <c r="F72" s="18"/>
      <c r="G72" s="15"/>
      <c r="H72" s="15"/>
      <c r="I72" s="18"/>
    </row>
    <row r="73">
      <c r="A73" s="75">
        <v>70.0</v>
      </c>
      <c r="B73" s="91"/>
      <c r="C73" s="79"/>
      <c r="D73" s="18"/>
      <c r="E73" s="15"/>
      <c r="F73" s="18"/>
      <c r="G73" s="15"/>
      <c r="H73" s="15"/>
      <c r="I73" s="18"/>
    </row>
    <row r="74">
      <c r="A74" s="75">
        <v>71.0</v>
      </c>
      <c r="B74" s="91"/>
      <c r="C74" s="79"/>
      <c r="D74" s="18"/>
      <c r="E74" s="15"/>
      <c r="F74" s="18"/>
      <c r="G74" s="15"/>
      <c r="H74" s="15"/>
      <c r="I74" s="18"/>
    </row>
    <row r="75">
      <c r="A75" s="75">
        <v>72.0</v>
      </c>
      <c r="B75" s="91"/>
      <c r="C75" s="79"/>
      <c r="D75" s="18"/>
      <c r="E75" s="15"/>
      <c r="F75" s="18"/>
      <c r="G75" s="15"/>
      <c r="H75" s="15"/>
      <c r="I75" s="18"/>
    </row>
    <row r="76">
      <c r="A76" s="75">
        <v>73.0</v>
      </c>
      <c r="B76" s="91"/>
      <c r="C76" s="79"/>
      <c r="D76" s="18"/>
      <c r="E76" s="15"/>
      <c r="F76" s="18"/>
      <c r="G76" s="15"/>
      <c r="H76" s="15"/>
      <c r="I76" s="18"/>
    </row>
    <row r="77">
      <c r="A77" s="75">
        <v>74.0</v>
      </c>
      <c r="B77" s="91"/>
      <c r="C77" s="79"/>
      <c r="D77" s="18"/>
      <c r="E77" s="15"/>
      <c r="F77" s="18"/>
      <c r="G77" s="15"/>
      <c r="H77" s="15"/>
      <c r="I77" s="18"/>
    </row>
    <row r="78">
      <c r="A78" s="75">
        <v>75.0</v>
      </c>
      <c r="B78" s="91"/>
      <c r="C78" s="79"/>
      <c r="D78" s="18"/>
      <c r="E78" s="15"/>
      <c r="F78" s="18"/>
      <c r="G78" s="15"/>
      <c r="H78" s="15"/>
      <c r="I78" s="18"/>
    </row>
    <row r="79">
      <c r="A79" s="75">
        <v>76.0</v>
      </c>
      <c r="B79" s="91"/>
      <c r="C79" s="79"/>
      <c r="D79" s="18"/>
      <c r="E79" s="15"/>
      <c r="F79" s="18"/>
      <c r="G79" s="15"/>
      <c r="H79" s="15"/>
      <c r="I79" s="18"/>
    </row>
    <row r="80">
      <c r="A80" s="75">
        <v>77.0</v>
      </c>
      <c r="B80" s="91"/>
      <c r="C80" s="79"/>
      <c r="D80" s="18"/>
      <c r="E80" s="15"/>
      <c r="F80" s="18"/>
      <c r="G80" s="15"/>
      <c r="H80" s="15"/>
      <c r="I80" s="18"/>
    </row>
    <row r="81">
      <c r="A81" s="75">
        <v>78.0</v>
      </c>
      <c r="B81" s="91"/>
      <c r="C81" s="79"/>
      <c r="D81" s="18"/>
      <c r="E81" s="15"/>
      <c r="F81" s="18"/>
      <c r="G81" s="15"/>
      <c r="H81" s="15"/>
      <c r="I81" s="18"/>
    </row>
    <row r="82">
      <c r="A82" s="75">
        <v>79.0</v>
      </c>
      <c r="B82" s="91"/>
      <c r="C82" s="79"/>
      <c r="D82" s="18"/>
      <c r="E82" s="15"/>
      <c r="F82" s="18"/>
      <c r="G82" s="15"/>
      <c r="H82" s="15"/>
      <c r="I82" s="18"/>
    </row>
    <row r="83">
      <c r="A83" s="75">
        <v>80.0</v>
      </c>
      <c r="B83" s="91"/>
      <c r="C83" s="79"/>
      <c r="D83" s="18"/>
      <c r="E83" s="15"/>
      <c r="F83" s="18"/>
      <c r="G83" s="15"/>
      <c r="H83" s="15"/>
      <c r="I83" s="18"/>
    </row>
    <row r="84">
      <c r="A84" s="75">
        <v>81.0</v>
      </c>
      <c r="B84" s="91"/>
      <c r="C84" s="79"/>
      <c r="D84" s="18"/>
      <c r="E84" s="15"/>
      <c r="F84" s="18"/>
      <c r="G84" s="15"/>
      <c r="H84" s="15"/>
      <c r="I84" s="18"/>
    </row>
    <row r="85">
      <c r="A85" s="75">
        <v>82.0</v>
      </c>
      <c r="B85" s="91"/>
      <c r="C85" s="79"/>
      <c r="D85" s="18"/>
      <c r="E85" s="15"/>
      <c r="F85" s="18"/>
      <c r="G85" s="15"/>
      <c r="H85" s="15"/>
      <c r="I85" s="18"/>
    </row>
    <row r="86">
      <c r="A86" s="75">
        <v>83.0</v>
      </c>
      <c r="B86" s="91"/>
      <c r="C86" s="79"/>
      <c r="D86" s="18"/>
      <c r="E86" s="15"/>
      <c r="F86" s="18"/>
      <c r="G86" s="15"/>
      <c r="H86" s="15"/>
      <c r="I86" s="18"/>
    </row>
    <row r="87">
      <c r="A87" s="75">
        <v>84.0</v>
      </c>
      <c r="B87" s="91"/>
      <c r="C87" s="79"/>
      <c r="D87" s="18"/>
      <c r="E87" s="15"/>
      <c r="F87" s="18"/>
      <c r="G87" s="15"/>
      <c r="H87" s="15"/>
      <c r="I87" s="18"/>
    </row>
    <row r="88">
      <c r="A88" s="75">
        <v>85.0</v>
      </c>
      <c r="B88" s="91"/>
      <c r="C88" s="79"/>
      <c r="D88" s="18"/>
      <c r="E88" s="15"/>
      <c r="F88" s="18"/>
      <c r="G88" s="15"/>
      <c r="H88" s="15"/>
      <c r="I88" s="18"/>
    </row>
    <row r="89">
      <c r="A89" s="75">
        <v>86.0</v>
      </c>
      <c r="B89" s="91"/>
      <c r="C89" s="79"/>
      <c r="D89" s="18"/>
      <c r="E89" s="15"/>
      <c r="F89" s="18"/>
      <c r="G89" s="15"/>
      <c r="H89" s="15"/>
      <c r="I89" s="18"/>
    </row>
    <row r="90">
      <c r="A90" s="75">
        <v>87.0</v>
      </c>
      <c r="B90" s="91"/>
      <c r="C90" s="79"/>
      <c r="D90" s="18"/>
      <c r="E90" s="15"/>
      <c r="F90" s="18"/>
      <c r="G90" s="15"/>
      <c r="H90" s="15"/>
      <c r="I90" s="18"/>
    </row>
    <row r="91">
      <c r="A91" s="75">
        <v>88.0</v>
      </c>
      <c r="B91" s="91"/>
      <c r="C91" s="79"/>
      <c r="D91" s="18"/>
      <c r="E91" s="15"/>
      <c r="F91" s="18"/>
      <c r="G91" s="15"/>
      <c r="H91" s="15"/>
      <c r="I91" s="18"/>
    </row>
    <row r="92">
      <c r="A92" s="75">
        <v>89.0</v>
      </c>
      <c r="B92" s="91"/>
      <c r="C92" s="79"/>
      <c r="D92" s="18"/>
      <c r="E92" s="15"/>
      <c r="F92" s="18"/>
      <c r="G92" s="15"/>
      <c r="H92" s="15"/>
      <c r="I92" s="18"/>
    </row>
    <row r="93">
      <c r="A93" s="75">
        <v>90.0</v>
      </c>
      <c r="B93" s="91"/>
      <c r="C93" s="79"/>
      <c r="D93" s="18"/>
      <c r="E93" s="15"/>
      <c r="F93" s="18"/>
      <c r="G93" s="15"/>
      <c r="H93" s="15"/>
      <c r="I93" s="18"/>
    </row>
    <row r="94">
      <c r="A94" s="75">
        <v>91.0</v>
      </c>
      <c r="B94" s="91"/>
      <c r="C94" s="79"/>
      <c r="D94" s="18"/>
      <c r="E94" s="15"/>
      <c r="F94" s="18"/>
      <c r="G94" s="15"/>
      <c r="H94" s="15"/>
      <c r="I94" s="18"/>
    </row>
    <row r="95">
      <c r="A95" s="75">
        <v>92.0</v>
      </c>
      <c r="B95" s="91"/>
      <c r="C95" s="79"/>
      <c r="D95" s="18"/>
      <c r="E95" s="15"/>
      <c r="F95" s="18"/>
      <c r="G95" s="15"/>
      <c r="H95" s="15"/>
      <c r="I95" s="18"/>
    </row>
    <row r="96">
      <c r="A96" s="75">
        <v>93.0</v>
      </c>
      <c r="B96" s="91"/>
      <c r="C96" s="79"/>
      <c r="D96" s="18"/>
      <c r="E96" s="15"/>
      <c r="F96" s="18"/>
      <c r="G96" s="15"/>
      <c r="H96" s="15"/>
      <c r="I96" s="18"/>
    </row>
    <row r="97">
      <c r="A97" s="75">
        <v>94.0</v>
      </c>
      <c r="B97" s="91"/>
      <c r="C97" s="79"/>
      <c r="D97" s="18"/>
      <c r="E97" s="15"/>
      <c r="F97" s="18"/>
      <c r="G97" s="15"/>
      <c r="H97" s="15"/>
      <c r="I97" s="18"/>
    </row>
    <row r="98">
      <c r="A98" s="75">
        <v>95.0</v>
      </c>
      <c r="B98" s="91"/>
      <c r="C98" s="79"/>
      <c r="D98" s="18"/>
      <c r="E98" s="15"/>
      <c r="F98" s="18"/>
      <c r="G98" s="15"/>
      <c r="H98" s="15"/>
      <c r="I98" s="18"/>
    </row>
    <row r="99">
      <c r="A99" s="75">
        <v>96.0</v>
      </c>
      <c r="B99" s="91"/>
      <c r="C99" s="79"/>
      <c r="D99" s="18"/>
      <c r="E99" s="15"/>
      <c r="F99" s="18"/>
      <c r="G99" s="15"/>
      <c r="H99" s="15"/>
      <c r="I99" s="18"/>
    </row>
    <row r="100">
      <c r="A100" s="75">
        <v>97.0</v>
      </c>
      <c r="B100" s="91"/>
      <c r="C100" s="79"/>
      <c r="D100" s="18"/>
      <c r="E100" s="15"/>
      <c r="F100" s="18"/>
      <c r="G100" s="15"/>
      <c r="H100" s="15"/>
      <c r="I100" s="18"/>
    </row>
    <row r="101">
      <c r="A101" s="75">
        <v>98.0</v>
      </c>
      <c r="B101" s="91"/>
      <c r="C101" s="79"/>
      <c r="D101" s="18"/>
      <c r="E101" s="15"/>
      <c r="F101" s="18"/>
      <c r="G101" s="15"/>
      <c r="H101" s="15"/>
      <c r="I101" s="18"/>
    </row>
    <row r="102">
      <c r="A102" s="75">
        <v>99.0</v>
      </c>
      <c r="B102" s="91"/>
      <c r="C102" s="79"/>
      <c r="D102" s="18"/>
      <c r="E102" s="15"/>
      <c r="F102" s="18"/>
      <c r="G102" s="15"/>
      <c r="H102" s="15"/>
      <c r="I102" s="18"/>
    </row>
    <row r="103">
      <c r="A103" s="75">
        <v>100.0</v>
      </c>
      <c r="B103" s="91"/>
      <c r="C103" s="79"/>
      <c r="D103" s="18"/>
      <c r="E103" s="15"/>
      <c r="F103" s="18"/>
      <c r="G103" s="15"/>
      <c r="H103" s="15"/>
      <c r="I103" s="18"/>
    </row>
    <row r="104">
      <c r="A104" s="75">
        <v>101.0</v>
      </c>
      <c r="B104" s="91"/>
      <c r="C104" s="79"/>
      <c r="D104" s="18"/>
      <c r="E104" s="15"/>
      <c r="F104" s="18"/>
      <c r="G104" s="15"/>
      <c r="H104" s="15"/>
      <c r="I104" s="18"/>
    </row>
    <row r="105">
      <c r="A105" s="75">
        <v>102.0</v>
      </c>
      <c r="B105" s="91"/>
      <c r="C105" s="79"/>
      <c r="D105" s="18"/>
      <c r="E105" s="15"/>
      <c r="F105" s="18"/>
      <c r="G105" s="15"/>
      <c r="H105" s="15"/>
      <c r="I105" s="18"/>
    </row>
    <row r="106">
      <c r="A106" s="75">
        <v>103.0</v>
      </c>
      <c r="B106" s="91"/>
      <c r="C106" s="79"/>
      <c r="D106" s="18"/>
      <c r="E106" s="15"/>
      <c r="F106" s="18"/>
      <c r="G106" s="15"/>
      <c r="H106" s="15"/>
      <c r="I106" s="18"/>
    </row>
    <row r="107">
      <c r="A107" s="75">
        <v>104.0</v>
      </c>
      <c r="B107" s="91"/>
      <c r="C107" s="79"/>
      <c r="D107" s="18"/>
      <c r="E107" s="15"/>
      <c r="F107" s="18"/>
      <c r="G107" s="15"/>
      <c r="H107" s="15"/>
      <c r="I107" s="18"/>
    </row>
    <row r="108">
      <c r="A108" s="75">
        <v>105.0</v>
      </c>
      <c r="B108" s="91"/>
      <c r="C108" s="79"/>
      <c r="D108" s="18"/>
      <c r="E108" s="15"/>
      <c r="F108" s="18"/>
      <c r="G108" s="15"/>
      <c r="H108" s="15"/>
      <c r="I108" s="18"/>
    </row>
    <row r="109">
      <c r="A109" s="75">
        <v>106.0</v>
      </c>
      <c r="B109" s="91"/>
      <c r="C109" s="79"/>
      <c r="D109" s="18"/>
      <c r="E109" s="15"/>
      <c r="F109" s="18"/>
      <c r="G109" s="15"/>
      <c r="H109" s="15"/>
      <c r="I109" s="18"/>
    </row>
    <row r="110">
      <c r="A110" s="75">
        <v>107.0</v>
      </c>
      <c r="B110" s="91"/>
      <c r="C110" s="79"/>
      <c r="D110" s="18"/>
      <c r="E110" s="15"/>
      <c r="F110" s="18"/>
      <c r="G110" s="15"/>
      <c r="H110" s="15"/>
      <c r="I110" s="18"/>
    </row>
    <row r="111">
      <c r="A111" s="75">
        <v>108.0</v>
      </c>
      <c r="B111" s="91"/>
      <c r="C111" s="79"/>
      <c r="D111" s="18"/>
      <c r="E111" s="15"/>
      <c r="F111" s="18"/>
      <c r="G111" s="15"/>
      <c r="H111" s="15"/>
      <c r="I111" s="18"/>
    </row>
    <row r="112">
      <c r="A112" s="75">
        <v>109.0</v>
      </c>
      <c r="B112" s="91"/>
      <c r="C112" s="79"/>
      <c r="D112" s="18"/>
      <c r="E112" s="15"/>
      <c r="F112" s="18"/>
      <c r="G112" s="15"/>
      <c r="H112" s="15"/>
      <c r="I112" s="18"/>
    </row>
    <row r="113">
      <c r="A113" s="75">
        <v>110.0</v>
      </c>
      <c r="B113" s="91"/>
      <c r="C113" s="79"/>
      <c r="D113" s="18"/>
      <c r="E113" s="15"/>
      <c r="F113" s="18"/>
      <c r="G113" s="15"/>
      <c r="H113" s="15"/>
      <c r="I113" s="18"/>
    </row>
    <row r="114">
      <c r="A114" s="75">
        <v>111.0</v>
      </c>
      <c r="B114" s="91"/>
      <c r="C114" s="79"/>
      <c r="D114" s="18"/>
      <c r="E114" s="15"/>
      <c r="F114" s="18"/>
      <c r="G114" s="15"/>
      <c r="H114" s="15"/>
      <c r="I114" s="18"/>
    </row>
    <row r="115">
      <c r="A115" s="75">
        <v>112.0</v>
      </c>
      <c r="B115" s="91"/>
      <c r="C115" s="79"/>
      <c r="D115" s="18"/>
      <c r="E115" s="15"/>
      <c r="F115" s="18"/>
      <c r="G115" s="15"/>
      <c r="H115" s="15"/>
      <c r="I115" s="18"/>
    </row>
    <row r="116">
      <c r="A116" s="75">
        <v>113.0</v>
      </c>
      <c r="B116" s="91"/>
      <c r="C116" s="79"/>
      <c r="D116" s="18"/>
      <c r="E116" s="15"/>
      <c r="F116" s="18"/>
      <c r="G116" s="15"/>
      <c r="H116" s="15"/>
      <c r="I116" s="18"/>
    </row>
    <row r="117">
      <c r="A117" s="75">
        <v>114.0</v>
      </c>
      <c r="B117" s="91"/>
      <c r="C117" s="79"/>
      <c r="D117" s="18"/>
      <c r="E117" s="15"/>
      <c r="F117" s="18"/>
      <c r="G117" s="15"/>
      <c r="H117" s="15"/>
      <c r="I117" s="18"/>
    </row>
    <row r="118">
      <c r="A118" s="75">
        <v>115.0</v>
      </c>
      <c r="B118" s="91"/>
      <c r="C118" s="79"/>
      <c r="D118" s="18"/>
      <c r="E118" s="15"/>
      <c r="F118" s="18"/>
      <c r="G118" s="15"/>
      <c r="H118" s="15"/>
      <c r="I118" s="18"/>
    </row>
    <row r="119">
      <c r="A119" s="75">
        <v>116.0</v>
      </c>
      <c r="B119" s="91"/>
      <c r="C119" s="79"/>
      <c r="D119" s="18"/>
      <c r="E119" s="15"/>
      <c r="F119" s="18"/>
      <c r="G119" s="15"/>
      <c r="H119" s="15"/>
      <c r="I119" s="18"/>
    </row>
    <row r="120">
      <c r="A120" s="75">
        <v>117.0</v>
      </c>
      <c r="B120" s="91"/>
      <c r="C120" s="79"/>
      <c r="D120" s="18"/>
      <c r="E120" s="15"/>
      <c r="F120" s="18"/>
      <c r="G120" s="15"/>
      <c r="H120" s="15"/>
      <c r="I120" s="18"/>
    </row>
    <row r="121">
      <c r="A121" s="75">
        <v>118.0</v>
      </c>
      <c r="B121" s="91"/>
      <c r="C121" s="79"/>
      <c r="D121" s="18"/>
      <c r="E121" s="15"/>
      <c r="F121" s="18"/>
      <c r="G121" s="15"/>
      <c r="H121" s="15"/>
      <c r="I121" s="18"/>
    </row>
    <row r="122">
      <c r="A122" s="75">
        <v>119.0</v>
      </c>
      <c r="B122" s="91"/>
      <c r="C122" s="79"/>
      <c r="D122" s="18"/>
      <c r="E122" s="15"/>
      <c r="F122" s="18"/>
      <c r="G122" s="15"/>
      <c r="H122" s="15"/>
      <c r="I122" s="18"/>
    </row>
    <row r="123">
      <c r="A123" s="75">
        <v>120.0</v>
      </c>
      <c r="B123" s="91"/>
      <c r="C123" s="79"/>
      <c r="D123" s="18"/>
      <c r="E123" s="15"/>
      <c r="F123" s="18"/>
      <c r="G123" s="15"/>
      <c r="H123" s="15"/>
      <c r="I123" s="18"/>
    </row>
    <row r="124">
      <c r="A124" s="75">
        <v>121.0</v>
      </c>
      <c r="B124" s="91"/>
      <c r="C124" s="79"/>
      <c r="D124" s="18"/>
      <c r="E124" s="15"/>
      <c r="F124" s="18"/>
      <c r="G124" s="15"/>
      <c r="H124" s="15"/>
      <c r="I124" s="18"/>
    </row>
    <row r="125">
      <c r="A125" s="75">
        <v>122.0</v>
      </c>
      <c r="B125" s="91"/>
      <c r="C125" s="79"/>
      <c r="D125" s="18"/>
      <c r="E125" s="15"/>
      <c r="F125" s="18"/>
      <c r="G125" s="15"/>
      <c r="H125" s="15"/>
      <c r="I125" s="18"/>
    </row>
    <row r="126">
      <c r="A126" s="75">
        <v>123.0</v>
      </c>
      <c r="B126" s="91"/>
      <c r="C126" s="79"/>
      <c r="D126" s="18"/>
      <c r="E126" s="15"/>
      <c r="F126" s="18"/>
      <c r="G126" s="15"/>
      <c r="H126" s="15"/>
      <c r="I126" s="18"/>
    </row>
    <row r="127">
      <c r="A127" s="75">
        <v>124.0</v>
      </c>
      <c r="B127" s="91"/>
      <c r="C127" s="79"/>
      <c r="D127" s="18"/>
      <c r="E127" s="15"/>
      <c r="F127" s="18"/>
      <c r="G127" s="15"/>
      <c r="H127" s="15"/>
      <c r="I127" s="18"/>
    </row>
    <row r="128">
      <c r="A128" s="75">
        <v>125.0</v>
      </c>
      <c r="B128" s="91"/>
      <c r="C128" s="79"/>
      <c r="D128" s="18"/>
      <c r="E128" s="15"/>
      <c r="F128" s="18"/>
      <c r="G128" s="15"/>
      <c r="H128" s="15"/>
      <c r="I128" s="18"/>
    </row>
    <row r="129">
      <c r="A129" s="75">
        <v>126.0</v>
      </c>
      <c r="B129" s="91"/>
      <c r="C129" s="79"/>
      <c r="D129" s="18"/>
      <c r="E129" s="15"/>
      <c r="F129" s="18"/>
      <c r="G129" s="15"/>
      <c r="H129" s="15"/>
      <c r="I129" s="18"/>
    </row>
    <row r="130">
      <c r="A130" s="75">
        <v>127.0</v>
      </c>
      <c r="B130" s="91"/>
      <c r="C130" s="79"/>
      <c r="D130" s="18"/>
      <c r="E130" s="15"/>
      <c r="F130" s="18"/>
      <c r="G130" s="15"/>
      <c r="H130" s="15"/>
      <c r="I130" s="18"/>
    </row>
    <row r="131">
      <c r="A131" s="75">
        <v>128.0</v>
      </c>
      <c r="B131" s="91"/>
      <c r="C131" s="79"/>
      <c r="D131" s="18"/>
      <c r="E131" s="15"/>
      <c r="F131" s="18"/>
      <c r="G131" s="15"/>
      <c r="H131" s="15"/>
      <c r="I131" s="18"/>
    </row>
    <row r="132">
      <c r="A132" s="75">
        <v>129.0</v>
      </c>
      <c r="B132" s="91"/>
      <c r="C132" s="79"/>
      <c r="D132" s="18"/>
      <c r="E132" s="15"/>
      <c r="F132" s="18"/>
      <c r="G132" s="15"/>
      <c r="H132" s="15"/>
      <c r="I132" s="18"/>
    </row>
    <row r="133">
      <c r="A133" s="75">
        <v>130.0</v>
      </c>
      <c r="B133" s="91"/>
      <c r="C133" s="79"/>
      <c r="D133" s="18"/>
      <c r="E133" s="15"/>
      <c r="F133" s="18"/>
      <c r="G133" s="15"/>
      <c r="H133" s="15"/>
      <c r="I133" s="18"/>
    </row>
    <row r="134">
      <c r="A134" s="75">
        <v>131.0</v>
      </c>
      <c r="B134" s="91"/>
      <c r="C134" s="79"/>
      <c r="D134" s="18"/>
      <c r="E134" s="15"/>
      <c r="F134" s="18"/>
      <c r="G134" s="15"/>
      <c r="H134" s="15"/>
      <c r="I134" s="18"/>
    </row>
    <row r="135">
      <c r="A135" s="75">
        <v>132.0</v>
      </c>
      <c r="B135" s="91"/>
      <c r="C135" s="79"/>
      <c r="D135" s="18"/>
      <c r="E135" s="15"/>
      <c r="F135" s="18"/>
      <c r="G135" s="15"/>
      <c r="H135" s="15"/>
      <c r="I135" s="18"/>
    </row>
    <row r="136">
      <c r="A136" s="75">
        <v>133.0</v>
      </c>
      <c r="B136" s="91"/>
      <c r="C136" s="79"/>
      <c r="D136" s="18"/>
      <c r="E136" s="15"/>
      <c r="F136" s="18"/>
      <c r="G136" s="15"/>
      <c r="H136" s="15"/>
      <c r="I136" s="18"/>
    </row>
    <row r="137">
      <c r="A137" s="75">
        <v>134.0</v>
      </c>
      <c r="B137" s="91"/>
      <c r="C137" s="79"/>
      <c r="D137" s="18"/>
      <c r="E137" s="15"/>
      <c r="F137" s="18"/>
      <c r="G137" s="15"/>
      <c r="H137" s="15"/>
      <c r="I137" s="18"/>
    </row>
    <row r="138">
      <c r="A138" s="75">
        <v>135.0</v>
      </c>
      <c r="B138" s="91"/>
      <c r="C138" s="79"/>
      <c r="D138" s="18"/>
      <c r="E138" s="15"/>
      <c r="F138" s="18"/>
      <c r="G138" s="15"/>
      <c r="H138" s="15"/>
      <c r="I138" s="18"/>
    </row>
    <row r="139">
      <c r="A139" s="75">
        <v>136.0</v>
      </c>
      <c r="B139" s="91"/>
      <c r="C139" s="79"/>
      <c r="D139" s="18"/>
      <c r="E139" s="15"/>
      <c r="F139" s="18"/>
      <c r="G139" s="15"/>
      <c r="H139" s="15"/>
      <c r="I139" s="18"/>
    </row>
    <row r="140">
      <c r="A140" s="75">
        <v>137.0</v>
      </c>
      <c r="B140" s="91"/>
      <c r="C140" s="79"/>
      <c r="D140" s="18"/>
      <c r="E140" s="15"/>
      <c r="F140" s="18"/>
      <c r="G140" s="15"/>
      <c r="H140" s="15"/>
      <c r="I140" s="18"/>
    </row>
    <row r="141">
      <c r="A141" s="75">
        <v>138.0</v>
      </c>
      <c r="B141" s="91"/>
      <c r="C141" s="79"/>
      <c r="D141" s="18"/>
      <c r="E141" s="15"/>
      <c r="F141" s="18"/>
      <c r="G141" s="15"/>
      <c r="H141" s="15"/>
      <c r="I141" s="18"/>
    </row>
    <row r="142">
      <c r="A142" s="75">
        <v>139.0</v>
      </c>
      <c r="B142" s="91"/>
      <c r="C142" s="79"/>
      <c r="D142" s="18"/>
      <c r="E142" s="15"/>
      <c r="F142" s="18"/>
      <c r="G142" s="15"/>
      <c r="H142" s="15"/>
      <c r="I142" s="18"/>
    </row>
    <row r="143">
      <c r="A143" s="75">
        <v>140.0</v>
      </c>
      <c r="B143" s="91"/>
      <c r="C143" s="79"/>
      <c r="D143" s="18"/>
      <c r="E143" s="15"/>
      <c r="F143" s="18"/>
      <c r="G143" s="15"/>
      <c r="H143" s="15"/>
      <c r="I143" s="18"/>
    </row>
    <row r="144">
      <c r="A144" s="75">
        <v>141.0</v>
      </c>
      <c r="B144" s="91"/>
      <c r="C144" s="79"/>
      <c r="D144" s="18"/>
      <c r="E144" s="15"/>
      <c r="F144" s="18"/>
      <c r="G144" s="15"/>
      <c r="H144" s="15"/>
      <c r="I144" s="18"/>
    </row>
    <row r="145">
      <c r="A145" s="75">
        <v>142.0</v>
      </c>
      <c r="B145" s="91"/>
      <c r="C145" s="79"/>
      <c r="D145" s="18"/>
      <c r="E145" s="15"/>
      <c r="F145" s="18"/>
      <c r="G145" s="15"/>
      <c r="H145" s="15"/>
      <c r="I145" s="18"/>
    </row>
    <row r="146">
      <c r="A146" s="75">
        <v>143.0</v>
      </c>
      <c r="B146" s="91"/>
      <c r="C146" s="79"/>
      <c r="D146" s="18"/>
      <c r="E146" s="15"/>
      <c r="F146" s="18"/>
      <c r="G146" s="15"/>
      <c r="H146" s="15"/>
      <c r="I146" s="18"/>
    </row>
    <row r="147">
      <c r="A147" s="75">
        <v>144.0</v>
      </c>
      <c r="B147" s="91"/>
      <c r="C147" s="79"/>
      <c r="D147" s="18"/>
      <c r="E147" s="15"/>
      <c r="F147" s="18"/>
      <c r="G147" s="15"/>
      <c r="H147" s="15"/>
      <c r="I147" s="18"/>
    </row>
    <row r="148">
      <c r="A148" s="75">
        <v>145.0</v>
      </c>
      <c r="B148" s="91"/>
      <c r="C148" s="79"/>
      <c r="D148" s="18"/>
      <c r="E148" s="15"/>
      <c r="F148" s="18"/>
      <c r="G148" s="15"/>
      <c r="H148" s="15"/>
      <c r="I148" s="18"/>
    </row>
    <row r="149">
      <c r="A149" s="75">
        <v>146.0</v>
      </c>
      <c r="B149" s="91"/>
      <c r="C149" s="79"/>
      <c r="D149" s="18"/>
      <c r="E149" s="15"/>
      <c r="F149" s="18"/>
      <c r="G149" s="15"/>
      <c r="H149" s="15"/>
      <c r="I149" s="18"/>
    </row>
    <row r="150">
      <c r="A150" s="75">
        <v>147.0</v>
      </c>
      <c r="B150" s="91"/>
      <c r="C150" s="79"/>
      <c r="D150" s="18"/>
      <c r="E150" s="15"/>
      <c r="F150" s="18"/>
      <c r="G150" s="15"/>
      <c r="H150" s="15"/>
      <c r="I150" s="18"/>
    </row>
    <row r="151">
      <c r="A151" s="75">
        <v>148.0</v>
      </c>
      <c r="B151" s="91"/>
      <c r="C151" s="79"/>
      <c r="D151" s="18"/>
      <c r="E151" s="15"/>
      <c r="F151" s="18"/>
      <c r="G151" s="15"/>
      <c r="H151" s="15"/>
      <c r="I151" s="18"/>
    </row>
    <row r="152">
      <c r="A152" s="75">
        <v>149.0</v>
      </c>
      <c r="B152" s="91"/>
      <c r="C152" s="79"/>
      <c r="D152" s="18"/>
      <c r="E152" s="15"/>
      <c r="F152" s="18"/>
      <c r="G152" s="15"/>
      <c r="H152" s="15"/>
      <c r="I152" s="18"/>
    </row>
    <row r="153">
      <c r="A153" s="75">
        <v>150.0</v>
      </c>
      <c r="B153" s="91"/>
      <c r="C153" s="79"/>
      <c r="D153" s="18"/>
      <c r="E153" s="15"/>
      <c r="F153" s="18"/>
      <c r="G153" s="15"/>
      <c r="H153" s="15"/>
      <c r="I153" s="18"/>
    </row>
    <row r="154">
      <c r="A154" s="75">
        <v>151.0</v>
      </c>
      <c r="B154" s="91"/>
      <c r="C154" s="79"/>
      <c r="D154" s="18"/>
      <c r="E154" s="15"/>
      <c r="F154" s="18"/>
      <c r="G154" s="15"/>
      <c r="H154" s="15"/>
      <c r="I154" s="18"/>
    </row>
    <row r="155">
      <c r="A155" s="75">
        <v>152.0</v>
      </c>
      <c r="B155" s="91"/>
      <c r="C155" s="79"/>
      <c r="D155" s="18"/>
      <c r="E155" s="15"/>
      <c r="F155" s="18"/>
      <c r="G155" s="15"/>
      <c r="H155" s="15"/>
      <c r="I155" s="18"/>
    </row>
    <row r="156">
      <c r="A156" s="75">
        <v>153.0</v>
      </c>
      <c r="B156" s="91"/>
      <c r="C156" s="79"/>
      <c r="D156" s="18"/>
      <c r="E156" s="15"/>
      <c r="F156" s="18"/>
      <c r="G156" s="15"/>
      <c r="H156" s="15"/>
      <c r="I156" s="18"/>
    </row>
    <row r="157">
      <c r="A157" s="75">
        <v>154.0</v>
      </c>
      <c r="B157" s="91"/>
      <c r="C157" s="79"/>
      <c r="D157" s="18"/>
      <c r="E157" s="15"/>
      <c r="F157" s="18"/>
      <c r="G157" s="15"/>
      <c r="H157" s="15"/>
      <c r="I157" s="18"/>
    </row>
    <row r="158">
      <c r="A158" s="75">
        <v>155.0</v>
      </c>
      <c r="B158" s="91"/>
      <c r="C158" s="79"/>
      <c r="D158" s="18"/>
      <c r="E158" s="15"/>
      <c r="F158" s="18"/>
      <c r="G158" s="15"/>
      <c r="H158" s="15"/>
      <c r="I158" s="18"/>
    </row>
    <row r="159">
      <c r="A159" s="75">
        <v>156.0</v>
      </c>
      <c r="B159" s="91"/>
      <c r="C159" s="79"/>
      <c r="D159" s="18"/>
      <c r="E159" s="15"/>
      <c r="F159" s="18"/>
      <c r="G159" s="15"/>
      <c r="H159" s="15"/>
      <c r="I159" s="18"/>
    </row>
    <row r="160">
      <c r="A160" s="75">
        <v>157.0</v>
      </c>
      <c r="B160" s="91"/>
      <c r="C160" s="79"/>
      <c r="D160" s="18"/>
      <c r="E160" s="15"/>
      <c r="F160" s="18"/>
      <c r="G160" s="15"/>
      <c r="H160" s="15"/>
      <c r="I160" s="18"/>
    </row>
    <row r="161">
      <c r="A161" s="75">
        <v>158.0</v>
      </c>
      <c r="B161" s="91"/>
      <c r="C161" s="79"/>
      <c r="D161" s="18"/>
      <c r="E161" s="15"/>
      <c r="F161" s="18"/>
      <c r="G161" s="15"/>
      <c r="H161" s="15"/>
      <c r="I161" s="18"/>
    </row>
    <row r="162">
      <c r="A162" s="75">
        <v>159.0</v>
      </c>
      <c r="B162" s="91"/>
      <c r="C162" s="79"/>
      <c r="D162" s="18"/>
      <c r="E162" s="15"/>
      <c r="F162" s="18"/>
      <c r="G162" s="15"/>
      <c r="H162" s="15"/>
      <c r="I162" s="18"/>
    </row>
    <row r="163">
      <c r="A163" s="75">
        <v>160.0</v>
      </c>
      <c r="B163" s="91"/>
      <c r="C163" s="79"/>
      <c r="D163" s="18"/>
      <c r="E163" s="15"/>
      <c r="F163" s="18"/>
      <c r="G163" s="15"/>
      <c r="H163" s="15"/>
      <c r="I163" s="18"/>
    </row>
    <row r="164">
      <c r="A164" s="75">
        <v>161.0</v>
      </c>
      <c r="B164" s="91"/>
      <c r="C164" s="79"/>
      <c r="D164" s="18"/>
      <c r="E164" s="15"/>
      <c r="F164" s="18"/>
      <c r="G164" s="15"/>
      <c r="H164" s="15"/>
      <c r="I164" s="18"/>
    </row>
    <row r="165">
      <c r="A165" s="75">
        <v>162.0</v>
      </c>
      <c r="B165" s="91"/>
      <c r="C165" s="79"/>
      <c r="D165" s="18"/>
      <c r="E165" s="15"/>
      <c r="F165" s="18"/>
      <c r="G165" s="15"/>
      <c r="H165" s="15"/>
      <c r="I165" s="18"/>
    </row>
    <row r="166">
      <c r="A166" s="75">
        <v>163.0</v>
      </c>
      <c r="B166" s="91"/>
      <c r="C166" s="79"/>
      <c r="D166" s="18"/>
      <c r="E166" s="15"/>
      <c r="F166" s="18"/>
      <c r="G166" s="15"/>
      <c r="H166" s="15"/>
      <c r="I166" s="18"/>
    </row>
    <row r="167">
      <c r="A167" s="75">
        <v>164.0</v>
      </c>
      <c r="B167" s="91"/>
      <c r="C167" s="79"/>
      <c r="D167" s="18"/>
      <c r="E167" s="15"/>
      <c r="F167" s="18"/>
      <c r="G167" s="15"/>
      <c r="H167" s="15"/>
      <c r="I167" s="18"/>
    </row>
    <row r="168">
      <c r="A168" s="75">
        <v>165.0</v>
      </c>
      <c r="B168" s="91"/>
      <c r="C168" s="79"/>
      <c r="D168" s="18"/>
      <c r="E168" s="15"/>
      <c r="F168" s="18"/>
      <c r="G168" s="15"/>
      <c r="H168" s="15"/>
      <c r="I168" s="18"/>
    </row>
    <row r="169">
      <c r="A169" s="75">
        <v>166.0</v>
      </c>
      <c r="B169" s="91"/>
      <c r="C169" s="79"/>
      <c r="D169" s="18"/>
      <c r="E169" s="15"/>
      <c r="F169" s="18"/>
      <c r="G169" s="15"/>
      <c r="H169" s="15"/>
      <c r="I169" s="18"/>
    </row>
    <row r="170">
      <c r="A170" s="75">
        <v>167.0</v>
      </c>
      <c r="B170" s="91"/>
      <c r="C170" s="79"/>
      <c r="D170" s="18"/>
      <c r="E170" s="15"/>
      <c r="F170" s="18"/>
      <c r="G170" s="15"/>
      <c r="H170" s="15"/>
      <c r="I170" s="18"/>
    </row>
    <row r="171">
      <c r="A171" s="75">
        <v>168.0</v>
      </c>
      <c r="B171" s="91"/>
      <c r="C171" s="79"/>
      <c r="D171" s="18"/>
      <c r="E171" s="15"/>
      <c r="F171" s="18"/>
      <c r="G171" s="15"/>
      <c r="H171" s="15"/>
      <c r="I171" s="18"/>
    </row>
    <row r="172">
      <c r="A172" s="75">
        <v>169.0</v>
      </c>
      <c r="B172" s="91"/>
      <c r="C172" s="79"/>
      <c r="D172" s="18"/>
      <c r="E172" s="15"/>
      <c r="F172" s="18"/>
      <c r="G172" s="15"/>
      <c r="H172" s="15"/>
      <c r="I172" s="18"/>
    </row>
    <row r="173">
      <c r="A173" s="75">
        <v>170.0</v>
      </c>
      <c r="B173" s="91"/>
      <c r="C173" s="79"/>
      <c r="D173" s="18"/>
      <c r="E173" s="15"/>
      <c r="F173" s="18"/>
      <c r="G173" s="15"/>
      <c r="H173" s="15"/>
      <c r="I173" s="18"/>
    </row>
    <row r="174">
      <c r="A174" s="75">
        <v>171.0</v>
      </c>
      <c r="B174" s="91"/>
      <c r="C174" s="79"/>
      <c r="D174" s="18"/>
      <c r="E174" s="15"/>
      <c r="F174" s="18"/>
      <c r="G174" s="15"/>
      <c r="H174" s="15"/>
      <c r="I174" s="18"/>
    </row>
    <row r="175">
      <c r="A175" s="75">
        <v>172.0</v>
      </c>
      <c r="B175" s="91"/>
      <c r="C175" s="79"/>
      <c r="D175" s="18"/>
      <c r="E175" s="15"/>
      <c r="F175" s="18"/>
      <c r="G175" s="15"/>
      <c r="H175" s="15"/>
      <c r="I175" s="18"/>
    </row>
    <row r="176">
      <c r="A176" s="75">
        <v>173.0</v>
      </c>
      <c r="B176" s="91"/>
      <c r="C176" s="79"/>
      <c r="D176" s="18"/>
      <c r="E176" s="15"/>
      <c r="F176" s="18"/>
      <c r="G176" s="15"/>
      <c r="H176" s="15"/>
      <c r="I176" s="18"/>
    </row>
    <row r="177">
      <c r="A177" s="75">
        <v>174.0</v>
      </c>
      <c r="B177" s="91"/>
      <c r="C177" s="79"/>
      <c r="D177" s="18"/>
      <c r="E177" s="15"/>
      <c r="F177" s="18"/>
      <c r="G177" s="15"/>
      <c r="H177" s="15"/>
      <c r="I177" s="18"/>
    </row>
    <row r="178">
      <c r="A178" s="75">
        <v>175.0</v>
      </c>
      <c r="B178" s="91"/>
      <c r="C178" s="79"/>
      <c r="D178" s="18"/>
      <c r="E178" s="15"/>
      <c r="F178" s="18"/>
      <c r="G178" s="15"/>
      <c r="H178" s="15"/>
      <c r="I178" s="18"/>
    </row>
    <row r="179">
      <c r="A179" s="75">
        <v>176.0</v>
      </c>
      <c r="B179" s="91"/>
      <c r="C179" s="79"/>
      <c r="D179" s="18"/>
      <c r="E179" s="15"/>
      <c r="F179" s="18"/>
      <c r="G179" s="15"/>
      <c r="H179" s="15"/>
      <c r="I179" s="18"/>
    </row>
    <row r="180">
      <c r="A180" s="75">
        <v>177.0</v>
      </c>
      <c r="B180" s="91"/>
      <c r="C180" s="79"/>
      <c r="D180" s="18"/>
      <c r="E180" s="15"/>
      <c r="F180" s="18"/>
      <c r="G180" s="15"/>
      <c r="H180" s="15"/>
      <c r="I180" s="18"/>
    </row>
    <row r="181">
      <c r="A181" s="75">
        <v>178.0</v>
      </c>
      <c r="B181" s="91"/>
      <c r="C181" s="79"/>
      <c r="D181" s="18"/>
      <c r="E181" s="15"/>
      <c r="F181" s="18"/>
      <c r="G181" s="15"/>
      <c r="H181" s="15"/>
      <c r="I181" s="18"/>
    </row>
    <row r="182">
      <c r="A182" s="75">
        <v>179.0</v>
      </c>
      <c r="B182" s="91"/>
      <c r="C182" s="79"/>
      <c r="D182" s="18"/>
      <c r="E182" s="15"/>
      <c r="F182" s="18"/>
      <c r="G182" s="15"/>
      <c r="H182" s="15"/>
      <c r="I182" s="18"/>
    </row>
    <row r="183">
      <c r="A183" s="75">
        <v>180.0</v>
      </c>
      <c r="B183" s="91"/>
      <c r="C183" s="79"/>
      <c r="D183" s="18"/>
      <c r="E183" s="15"/>
      <c r="F183" s="18"/>
      <c r="G183" s="15"/>
      <c r="H183" s="15"/>
      <c r="I183" s="18"/>
    </row>
    <row r="184">
      <c r="A184" s="75">
        <v>181.0</v>
      </c>
      <c r="B184" s="91"/>
      <c r="C184" s="79"/>
      <c r="D184" s="18"/>
      <c r="E184" s="15"/>
      <c r="F184" s="18"/>
      <c r="G184" s="15"/>
      <c r="H184" s="15"/>
      <c r="I184" s="18"/>
    </row>
    <row r="185">
      <c r="A185" s="75">
        <v>182.0</v>
      </c>
      <c r="B185" s="91"/>
      <c r="C185" s="79"/>
      <c r="D185" s="18"/>
      <c r="E185" s="15"/>
      <c r="F185" s="18"/>
      <c r="G185" s="15"/>
      <c r="H185" s="15"/>
      <c r="I185" s="18"/>
    </row>
    <row r="186">
      <c r="A186" s="75">
        <v>183.0</v>
      </c>
      <c r="B186" s="91"/>
      <c r="C186" s="79"/>
      <c r="D186" s="18"/>
      <c r="E186" s="15"/>
      <c r="F186" s="18"/>
      <c r="G186" s="15"/>
      <c r="H186" s="15"/>
      <c r="I186" s="18"/>
    </row>
    <row r="187">
      <c r="A187" s="75">
        <v>184.0</v>
      </c>
      <c r="B187" s="91"/>
      <c r="C187" s="79"/>
      <c r="D187" s="18"/>
      <c r="E187" s="15"/>
      <c r="F187" s="18"/>
      <c r="G187" s="15"/>
      <c r="H187" s="15"/>
      <c r="I187" s="18"/>
    </row>
    <row r="188">
      <c r="A188" s="75">
        <v>185.0</v>
      </c>
      <c r="B188" s="91"/>
      <c r="C188" s="79"/>
      <c r="D188" s="18"/>
      <c r="E188" s="15"/>
      <c r="F188" s="18"/>
      <c r="G188" s="15"/>
      <c r="H188" s="15"/>
      <c r="I188" s="18"/>
    </row>
    <row r="189">
      <c r="A189" s="75">
        <v>186.0</v>
      </c>
      <c r="B189" s="91"/>
      <c r="C189" s="79"/>
      <c r="D189" s="18"/>
      <c r="E189" s="15"/>
      <c r="F189" s="18"/>
      <c r="G189" s="15"/>
      <c r="H189" s="15"/>
      <c r="I189" s="18"/>
    </row>
    <row r="190">
      <c r="A190" s="75">
        <v>187.0</v>
      </c>
      <c r="B190" s="91"/>
      <c r="C190" s="79"/>
      <c r="D190" s="18"/>
      <c r="E190" s="15"/>
      <c r="F190" s="18"/>
      <c r="G190" s="15"/>
      <c r="H190" s="15"/>
      <c r="I190" s="18"/>
    </row>
    <row r="191">
      <c r="A191" s="75">
        <v>188.0</v>
      </c>
      <c r="B191" s="91"/>
      <c r="C191" s="79"/>
      <c r="D191" s="18"/>
      <c r="E191" s="15"/>
      <c r="F191" s="18"/>
      <c r="G191" s="15"/>
      <c r="H191" s="15"/>
      <c r="I191" s="18"/>
    </row>
    <row r="192">
      <c r="A192" s="75">
        <v>189.0</v>
      </c>
      <c r="B192" s="91"/>
      <c r="C192" s="79"/>
      <c r="D192" s="18"/>
      <c r="E192" s="15"/>
      <c r="F192" s="18"/>
      <c r="G192" s="15"/>
      <c r="H192" s="15"/>
      <c r="I192" s="18"/>
    </row>
    <row r="193">
      <c r="A193" s="75">
        <v>190.0</v>
      </c>
      <c r="B193" s="91"/>
      <c r="C193" s="79"/>
      <c r="D193" s="18"/>
      <c r="E193" s="15"/>
      <c r="F193" s="18"/>
      <c r="G193" s="15"/>
      <c r="H193" s="15"/>
      <c r="I193" s="18"/>
    </row>
    <row r="194">
      <c r="A194" s="75">
        <v>191.0</v>
      </c>
      <c r="B194" s="91"/>
      <c r="C194" s="79"/>
      <c r="D194" s="18"/>
      <c r="E194" s="15"/>
      <c r="F194" s="18"/>
      <c r="G194" s="15"/>
      <c r="H194" s="15"/>
      <c r="I194" s="18"/>
    </row>
    <row r="195">
      <c r="A195" s="75">
        <v>192.0</v>
      </c>
      <c r="B195" s="91"/>
      <c r="C195" s="79"/>
      <c r="D195" s="18"/>
      <c r="E195" s="15"/>
      <c r="F195" s="18"/>
      <c r="G195" s="15"/>
      <c r="H195" s="15"/>
      <c r="I195" s="18"/>
    </row>
    <row r="196">
      <c r="A196" s="75">
        <v>193.0</v>
      </c>
      <c r="B196" s="91"/>
      <c r="C196" s="79"/>
      <c r="D196" s="18"/>
      <c r="E196" s="15"/>
      <c r="F196" s="18"/>
      <c r="G196" s="15"/>
      <c r="H196" s="15"/>
      <c r="I196" s="18"/>
    </row>
    <row r="197">
      <c r="A197" s="75">
        <v>194.0</v>
      </c>
      <c r="B197" s="91"/>
      <c r="C197" s="79"/>
      <c r="D197" s="18"/>
      <c r="E197" s="15"/>
      <c r="F197" s="18"/>
      <c r="G197" s="15"/>
      <c r="H197" s="15"/>
      <c r="I197" s="18"/>
    </row>
    <row r="198">
      <c r="A198" s="75">
        <v>195.0</v>
      </c>
      <c r="B198" s="91"/>
      <c r="C198" s="79"/>
      <c r="D198" s="18"/>
      <c r="E198" s="15"/>
      <c r="F198" s="18"/>
      <c r="G198" s="15"/>
      <c r="H198" s="15"/>
      <c r="I198" s="18"/>
    </row>
    <row r="199">
      <c r="A199" s="75">
        <v>196.0</v>
      </c>
      <c r="B199" s="91"/>
      <c r="C199" s="79"/>
      <c r="D199" s="18"/>
      <c r="E199" s="15"/>
      <c r="F199" s="18"/>
      <c r="G199" s="15"/>
      <c r="H199" s="15"/>
      <c r="I199" s="18"/>
    </row>
    <row r="200">
      <c r="A200" s="75">
        <v>197.0</v>
      </c>
      <c r="B200" s="91"/>
      <c r="C200" s="79"/>
      <c r="D200" s="18"/>
      <c r="E200" s="15"/>
      <c r="F200" s="18"/>
      <c r="G200" s="15"/>
      <c r="H200" s="15"/>
      <c r="I200" s="18"/>
    </row>
    <row r="201">
      <c r="A201" s="75">
        <v>198.0</v>
      </c>
      <c r="B201" s="91"/>
      <c r="C201" s="79"/>
      <c r="D201" s="18"/>
      <c r="E201" s="15"/>
      <c r="F201" s="18"/>
      <c r="G201" s="15"/>
      <c r="H201" s="15"/>
      <c r="I201" s="18"/>
    </row>
    <row r="202">
      <c r="A202" s="75">
        <v>199.0</v>
      </c>
      <c r="B202" s="91"/>
      <c r="C202" s="79"/>
      <c r="D202" s="18"/>
      <c r="E202" s="15"/>
      <c r="F202" s="18"/>
      <c r="G202" s="15"/>
      <c r="H202" s="15"/>
      <c r="I202" s="18"/>
    </row>
    <row r="203">
      <c r="A203" s="75">
        <v>200.0</v>
      </c>
      <c r="B203" s="91"/>
      <c r="C203" s="79"/>
      <c r="D203" s="18"/>
      <c r="E203" s="15"/>
      <c r="F203" s="18"/>
      <c r="G203" s="15"/>
      <c r="H203" s="15"/>
      <c r="I203" s="18"/>
    </row>
    <row r="204">
      <c r="A204" s="112"/>
      <c r="B204" s="18"/>
      <c r="C204" s="79"/>
      <c r="D204" s="18"/>
      <c r="E204" s="15"/>
      <c r="F204" s="18"/>
      <c r="G204" s="15"/>
      <c r="H204" s="15"/>
      <c r="I204" s="18"/>
    </row>
    <row r="205">
      <c r="A205" s="112"/>
      <c r="B205" s="18"/>
      <c r="C205" s="79"/>
      <c r="D205" s="18"/>
      <c r="E205" s="15"/>
      <c r="F205" s="18"/>
      <c r="G205" s="15"/>
      <c r="H205" s="15"/>
      <c r="I205" s="18"/>
    </row>
    <row r="206">
      <c r="A206" s="112"/>
      <c r="B206" s="18"/>
      <c r="C206" s="79"/>
      <c r="D206" s="18"/>
      <c r="E206" s="15"/>
      <c r="F206" s="18"/>
      <c r="G206" s="15"/>
      <c r="H206" s="15"/>
      <c r="I206" s="18"/>
    </row>
    <row r="207">
      <c r="A207" s="112"/>
      <c r="B207" s="18"/>
      <c r="C207" s="79"/>
      <c r="D207" s="18"/>
      <c r="E207" s="15"/>
      <c r="F207" s="18"/>
      <c r="G207" s="15"/>
      <c r="H207" s="15"/>
      <c r="I207" s="18"/>
    </row>
    <row r="208">
      <c r="A208" s="112"/>
      <c r="B208" s="18"/>
      <c r="C208" s="79"/>
      <c r="D208" s="18"/>
      <c r="E208" s="15"/>
      <c r="F208" s="18"/>
      <c r="G208" s="15"/>
      <c r="H208" s="15"/>
      <c r="I208" s="18"/>
    </row>
    <row r="209">
      <c r="A209" s="112"/>
      <c r="B209" s="18"/>
      <c r="C209" s="79"/>
      <c r="D209" s="18"/>
      <c r="E209" s="15"/>
      <c r="F209" s="18"/>
      <c r="G209" s="15"/>
      <c r="H209" s="15"/>
      <c r="I209" s="18"/>
    </row>
    <row r="210">
      <c r="A210" s="112"/>
      <c r="B210" s="18"/>
      <c r="C210" s="79"/>
      <c r="D210" s="18"/>
      <c r="E210" s="15"/>
      <c r="F210" s="18"/>
      <c r="G210" s="15"/>
      <c r="H210" s="15"/>
      <c r="I210" s="18"/>
    </row>
    <row r="211">
      <c r="A211" s="112"/>
      <c r="B211" s="18"/>
      <c r="C211" s="79"/>
      <c r="D211" s="18"/>
      <c r="E211" s="15"/>
      <c r="F211" s="18"/>
      <c r="G211" s="15"/>
      <c r="H211" s="15"/>
      <c r="I211" s="18"/>
    </row>
    <row r="212">
      <c r="A212" s="112"/>
      <c r="B212" s="18"/>
      <c r="C212" s="79"/>
      <c r="D212" s="18"/>
      <c r="E212" s="15"/>
      <c r="F212" s="18"/>
      <c r="G212" s="15"/>
      <c r="H212" s="15"/>
      <c r="I212" s="18"/>
    </row>
    <row r="213">
      <c r="A213" s="112"/>
      <c r="B213" s="18"/>
      <c r="C213" s="79"/>
      <c r="D213" s="18"/>
      <c r="E213" s="15"/>
      <c r="F213" s="18"/>
      <c r="G213" s="15"/>
      <c r="H213" s="15"/>
      <c r="I213" s="18"/>
    </row>
    <row r="214">
      <c r="A214" s="112"/>
      <c r="B214" s="18"/>
      <c r="C214" s="79"/>
      <c r="D214" s="18"/>
      <c r="E214" s="15"/>
      <c r="F214" s="18"/>
      <c r="G214" s="15"/>
      <c r="H214" s="15"/>
      <c r="I214" s="18"/>
    </row>
    <row r="215">
      <c r="A215" s="112"/>
      <c r="B215" s="18"/>
      <c r="C215" s="79"/>
      <c r="D215" s="18"/>
      <c r="E215" s="15"/>
      <c r="F215" s="18"/>
      <c r="G215" s="15"/>
      <c r="H215" s="15"/>
      <c r="I215" s="18"/>
    </row>
    <row r="216">
      <c r="A216" s="112"/>
      <c r="B216" s="18"/>
      <c r="C216" s="79"/>
      <c r="D216" s="18"/>
      <c r="E216" s="15"/>
      <c r="F216" s="18"/>
      <c r="G216" s="15"/>
      <c r="H216" s="15"/>
      <c r="I216" s="18"/>
    </row>
    <row r="217">
      <c r="A217" s="112"/>
      <c r="B217" s="18"/>
      <c r="C217" s="79"/>
      <c r="D217" s="18"/>
      <c r="E217" s="15"/>
      <c r="F217" s="18"/>
      <c r="G217" s="15"/>
      <c r="H217" s="15"/>
      <c r="I217" s="18"/>
    </row>
    <row r="218">
      <c r="A218" s="112"/>
      <c r="B218" s="18"/>
      <c r="C218" s="79"/>
      <c r="D218" s="18"/>
      <c r="E218" s="15"/>
      <c r="F218" s="18"/>
      <c r="G218" s="15"/>
      <c r="H218" s="15"/>
      <c r="I218" s="18"/>
    </row>
    <row r="219">
      <c r="A219" s="112"/>
      <c r="B219" s="18"/>
      <c r="C219" s="79"/>
      <c r="D219" s="18"/>
      <c r="E219" s="15"/>
      <c r="F219" s="18"/>
      <c r="G219" s="15"/>
      <c r="H219" s="15"/>
      <c r="I219" s="18"/>
    </row>
    <row r="220">
      <c r="A220" s="112"/>
      <c r="B220" s="18"/>
      <c r="C220" s="79"/>
      <c r="D220" s="18"/>
      <c r="E220" s="15"/>
      <c r="F220" s="18"/>
      <c r="G220" s="15"/>
      <c r="H220" s="15"/>
      <c r="I220" s="18"/>
    </row>
    <row r="221">
      <c r="A221" s="112"/>
      <c r="B221" s="18"/>
      <c r="C221" s="79"/>
      <c r="D221" s="18"/>
      <c r="E221" s="15"/>
      <c r="F221" s="18"/>
      <c r="G221" s="15"/>
      <c r="H221" s="15"/>
      <c r="I221" s="18"/>
    </row>
    <row r="222">
      <c r="A222" s="112"/>
      <c r="B222" s="18"/>
      <c r="C222" s="79"/>
      <c r="D222" s="18"/>
      <c r="E222" s="15"/>
      <c r="F222" s="18"/>
      <c r="G222" s="15"/>
      <c r="H222" s="15"/>
      <c r="I222" s="18"/>
    </row>
    <row r="223">
      <c r="A223" s="112"/>
      <c r="B223" s="18"/>
      <c r="C223" s="79"/>
      <c r="D223" s="18"/>
      <c r="E223" s="15"/>
      <c r="F223" s="18"/>
      <c r="G223" s="15"/>
      <c r="H223" s="15"/>
      <c r="I223" s="18"/>
    </row>
    <row r="224">
      <c r="A224" s="112"/>
      <c r="B224" s="18"/>
      <c r="C224" s="79"/>
      <c r="D224" s="18"/>
      <c r="E224" s="15"/>
      <c r="F224" s="18"/>
      <c r="G224" s="15"/>
      <c r="H224" s="15"/>
      <c r="I224" s="18"/>
    </row>
    <row r="225">
      <c r="A225" s="112"/>
      <c r="B225" s="18"/>
      <c r="C225" s="79"/>
      <c r="D225" s="18"/>
      <c r="E225" s="15"/>
      <c r="F225" s="18"/>
      <c r="G225" s="15"/>
      <c r="H225" s="15"/>
      <c r="I225" s="18"/>
    </row>
    <row r="226">
      <c r="A226" s="112"/>
      <c r="B226" s="18"/>
      <c r="C226" s="79"/>
      <c r="D226" s="18"/>
      <c r="E226" s="15"/>
      <c r="F226" s="18"/>
      <c r="G226" s="15"/>
      <c r="H226" s="15"/>
      <c r="I226" s="18"/>
    </row>
    <row r="227">
      <c r="A227" s="112"/>
      <c r="B227" s="18"/>
      <c r="C227" s="79"/>
      <c r="D227" s="18"/>
      <c r="E227" s="15"/>
      <c r="F227" s="18"/>
      <c r="G227" s="15"/>
      <c r="H227" s="15"/>
      <c r="I227" s="18"/>
    </row>
    <row r="228">
      <c r="A228" s="112"/>
      <c r="B228" s="18"/>
      <c r="C228" s="79"/>
      <c r="D228" s="18"/>
      <c r="E228" s="15"/>
      <c r="F228" s="18"/>
      <c r="G228" s="15"/>
      <c r="H228" s="15"/>
      <c r="I228" s="18"/>
    </row>
    <row r="229">
      <c r="A229" s="112"/>
      <c r="B229" s="18"/>
      <c r="C229" s="79"/>
      <c r="D229" s="18"/>
      <c r="E229" s="15"/>
      <c r="F229" s="18"/>
      <c r="G229" s="15"/>
      <c r="H229" s="15"/>
      <c r="I229" s="18"/>
    </row>
    <row r="230">
      <c r="A230" s="112"/>
      <c r="B230" s="18"/>
      <c r="C230" s="79"/>
      <c r="D230" s="18"/>
      <c r="E230" s="15"/>
      <c r="F230" s="18"/>
      <c r="G230" s="15"/>
      <c r="H230" s="15"/>
      <c r="I230" s="18"/>
    </row>
    <row r="231">
      <c r="A231" s="112"/>
      <c r="B231" s="18"/>
      <c r="C231" s="79"/>
      <c r="D231" s="18"/>
      <c r="E231" s="15"/>
      <c r="F231" s="18"/>
      <c r="G231" s="15"/>
      <c r="H231" s="15"/>
      <c r="I231" s="18"/>
    </row>
    <row r="232">
      <c r="A232" s="112"/>
      <c r="B232" s="18"/>
      <c r="C232" s="79"/>
      <c r="D232" s="18"/>
      <c r="E232" s="15"/>
      <c r="F232" s="18"/>
      <c r="G232" s="15"/>
      <c r="H232" s="15"/>
      <c r="I232" s="18"/>
    </row>
    <row r="233">
      <c r="A233" s="112"/>
      <c r="B233" s="18"/>
      <c r="C233" s="79"/>
      <c r="D233" s="18"/>
      <c r="E233" s="15"/>
      <c r="F233" s="18"/>
      <c r="G233" s="15"/>
      <c r="H233" s="15"/>
      <c r="I233" s="18"/>
    </row>
    <row r="234">
      <c r="A234" s="112"/>
      <c r="B234" s="18"/>
      <c r="C234" s="79"/>
      <c r="D234" s="18"/>
      <c r="E234" s="15"/>
      <c r="F234" s="18"/>
      <c r="G234" s="15"/>
      <c r="H234" s="15"/>
      <c r="I234" s="18"/>
    </row>
    <row r="235">
      <c r="A235" s="112"/>
      <c r="B235" s="18"/>
      <c r="C235" s="79"/>
      <c r="D235" s="18"/>
      <c r="E235" s="15"/>
      <c r="F235" s="18"/>
      <c r="G235" s="15"/>
      <c r="H235" s="15"/>
      <c r="I235" s="18"/>
    </row>
    <row r="236">
      <c r="A236" s="112"/>
      <c r="B236" s="18"/>
      <c r="C236" s="79"/>
      <c r="D236" s="18"/>
      <c r="E236" s="15"/>
      <c r="F236" s="18"/>
      <c r="G236" s="15"/>
      <c r="H236" s="15"/>
      <c r="I236" s="18"/>
    </row>
    <row r="237">
      <c r="A237" s="112"/>
      <c r="B237" s="18"/>
      <c r="C237" s="79"/>
      <c r="D237" s="18"/>
      <c r="E237" s="15"/>
      <c r="F237" s="18"/>
      <c r="G237" s="15"/>
      <c r="H237" s="15"/>
      <c r="I237" s="18"/>
    </row>
    <row r="238">
      <c r="A238" s="112"/>
      <c r="B238" s="18"/>
      <c r="C238" s="79"/>
      <c r="D238" s="18"/>
      <c r="E238" s="15"/>
      <c r="F238" s="18"/>
      <c r="G238" s="15"/>
      <c r="H238" s="15"/>
      <c r="I238" s="18"/>
    </row>
    <row r="239">
      <c r="A239" s="112"/>
      <c r="B239" s="18"/>
      <c r="C239" s="79"/>
      <c r="D239" s="18"/>
      <c r="E239" s="15"/>
      <c r="F239" s="18"/>
      <c r="G239" s="15"/>
      <c r="H239" s="15"/>
      <c r="I239" s="18"/>
    </row>
    <row r="240">
      <c r="A240" s="112"/>
      <c r="B240" s="18"/>
      <c r="C240" s="79"/>
      <c r="D240" s="18"/>
      <c r="E240" s="15"/>
      <c r="F240" s="18"/>
      <c r="G240" s="15"/>
      <c r="H240" s="15"/>
      <c r="I240" s="18"/>
    </row>
    <row r="241">
      <c r="A241" s="112"/>
      <c r="B241" s="18"/>
      <c r="C241" s="79"/>
      <c r="D241" s="18"/>
      <c r="E241" s="15"/>
      <c r="F241" s="18"/>
      <c r="G241" s="15"/>
      <c r="H241" s="15"/>
      <c r="I241" s="18"/>
    </row>
    <row r="242">
      <c r="A242" s="112"/>
      <c r="B242" s="18"/>
      <c r="C242" s="79"/>
      <c r="D242" s="18"/>
      <c r="E242" s="15"/>
      <c r="F242" s="18"/>
      <c r="G242" s="15"/>
      <c r="H242" s="15"/>
      <c r="I242" s="18"/>
    </row>
    <row r="243">
      <c r="A243" s="112"/>
      <c r="B243" s="18"/>
      <c r="C243" s="79"/>
      <c r="D243" s="18"/>
      <c r="E243" s="15"/>
      <c r="F243" s="18"/>
      <c r="G243" s="15"/>
      <c r="H243" s="15"/>
      <c r="I243" s="18"/>
    </row>
    <row r="244">
      <c r="A244" s="112"/>
      <c r="B244" s="18"/>
      <c r="C244" s="79"/>
      <c r="D244" s="18"/>
      <c r="E244" s="15"/>
      <c r="F244" s="18"/>
      <c r="G244" s="15"/>
      <c r="H244" s="15"/>
      <c r="I244" s="18"/>
    </row>
    <row r="245">
      <c r="A245" s="112"/>
      <c r="B245" s="18"/>
      <c r="C245" s="79"/>
      <c r="D245" s="18"/>
      <c r="E245" s="15"/>
      <c r="F245" s="18"/>
      <c r="G245" s="15"/>
      <c r="H245" s="15"/>
      <c r="I245" s="18"/>
    </row>
    <row r="246">
      <c r="A246" s="112"/>
      <c r="B246" s="18"/>
      <c r="C246" s="79"/>
      <c r="D246" s="18"/>
      <c r="E246" s="15"/>
      <c r="F246" s="18"/>
      <c r="G246" s="15"/>
      <c r="H246" s="15"/>
      <c r="I246" s="18"/>
    </row>
    <row r="247">
      <c r="A247" s="112"/>
      <c r="B247" s="18"/>
      <c r="C247" s="79"/>
      <c r="D247" s="18"/>
      <c r="E247" s="15"/>
      <c r="F247" s="18"/>
      <c r="G247" s="15"/>
      <c r="H247" s="15"/>
      <c r="I247" s="18"/>
    </row>
    <row r="248">
      <c r="A248" s="112"/>
      <c r="B248" s="18"/>
      <c r="C248" s="79"/>
      <c r="D248" s="18"/>
      <c r="E248" s="15"/>
      <c r="F248" s="18"/>
      <c r="G248" s="15"/>
      <c r="H248" s="15"/>
      <c r="I248" s="18"/>
    </row>
    <row r="249">
      <c r="A249" s="112"/>
      <c r="B249" s="18"/>
      <c r="C249" s="79"/>
      <c r="D249" s="18"/>
      <c r="E249" s="15"/>
      <c r="F249" s="18"/>
      <c r="G249" s="15"/>
      <c r="H249" s="15"/>
      <c r="I249" s="18"/>
    </row>
    <row r="250">
      <c r="A250" s="112"/>
      <c r="B250" s="18"/>
      <c r="C250" s="79"/>
      <c r="D250" s="18"/>
      <c r="E250" s="15"/>
      <c r="F250" s="18"/>
      <c r="G250" s="15"/>
      <c r="H250" s="15"/>
      <c r="I250" s="18"/>
    </row>
    <row r="251">
      <c r="A251" s="112"/>
      <c r="B251" s="18"/>
      <c r="C251" s="79"/>
      <c r="D251" s="18"/>
      <c r="E251" s="15"/>
      <c r="F251" s="18"/>
      <c r="G251" s="15"/>
      <c r="H251" s="15"/>
      <c r="I251" s="18"/>
    </row>
    <row r="252">
      <c r="A252" s="112"/>
      <c r="B252" s="18"/>
      <c r="C252" s="79"/>
      <c r="D252" s="18"/>
      <c r="E252" s="15"/>
      <c r="F252" s="18"/>
      <c r="G252" s="15"/>
      <c r="H252" s="15"/>
      <c r="I252" s="18"/>
    </row>
    <row r="253">
      <c r="A253" s="112"/>
      <c r="B253" s="18"/>
      <c r="C253" s="79"/>
      <c r="D253" s="18"/>
      <c r="E253" s="15"/>
      <c r="F253" s="18"/>
      <c r="G253" s="15"/>
      <c r="H253" s="15"/>
      <c r="I253" s="18"/>
    </row>
    <row r="254">
      <c r="A254" s="112"/>
      <c r="B254" s="18"/>
      <c r="C254" s="79"/>
      <c r="D254" s="18"/>
      <c r="E254" s="15"/>
      <c r="F254" s="18"/>
      <c r="G254" s="15"/>
      <c r="H254" s="15"/>
      <c r="I254" s="18"/>
    </row>
    <row r="255">
      <c r="A255" s="112"/>
      <c r="B255" s="18"/>
      <c r="C255" s="79"/>
      <c r="D255" s="18"/>
      <c r="E255" s="15"/>
      <c r="F255" s="18"/>
      <c r="G255" s="15"/>
      <c r="H255" s="15"/>
      <c r="I255" s="18"/>
    </row>
    <row r="256">
      <c r="A256" s="112"/>
      <c r="B256" s="18"/>
      <c r="C256" s="79"/>
      <c r="D256" s="18"/>
      <c r="E256" s="15"/>
      <c r="F256" s="18"/>
      <c r="G256" s="15"/>
      <c r="H256" s="15"/>
      <c r="I256" s="18"/>
    </row>
    <row r="257">
      <c r="A257" s="112"/>
      <c r="B257" s="18"/>
      <c r="C257" s="79"/>
      <c r="D257" s="18"/>
      <c r="E257" s="15"/>
      <c r="F257" s="18"/>
      <c r="G257" s="15"/>
      <c r="H257" s="15"/>
      <c r="I257" s="18"/>
    </row>
    <row r="258">
      <c r="A258" s="112"/>
      <c r="B258" s="18"/>
      <c r="C258" s="79"/>
      <c r="D258" s="18"/>
      <c r="E258" s="15"/>
      <c r="F258" s="18"/>
      <c r="G258" s="15"/>
      <c r="H258" s="15"/>
      <c r="I258" s="18"/>
    </row>
    <row r="259">
      <c r="A259" s="112"/>
      <c r="B259" s="18"/>
      <c r="C259" s="79"/>
      <c r="D259" s="18"/>
      <c r="E259" s="15"/>
      <c r="F259" s="18"/>
      <c r="G259" s="15"/>
      <c r="H259" s="15"/>
      <c r="I259" s="18"/>
    </row>
    <row r="260">
      <c r="A260" s="112"/>
      <c r="B260" s="18"/>
      <c r="C260" s="79"/>
      <c r="D260" s="18"/>
      <c r="E260" s="15"/>
      <c r="F260" s="18"/>
      <c r="G260" s="15"/>
      <c r="H260" s="15"/>
      <c r="I260" s="18"/>
    </row>
    <row r="261">
      <c r="A261" s="112"/>
      <c r="B261" s="18"/>
      <c r="C261" s="79"/>
      <c r="D261" s="18"/>
      <c r="E261" s="15"/>
      <c r="F261" s="18"/>
      <c r="G261" s="15"/>
      <c r="H261" s="15"/>
      <c r="I261" s="18"/>
    </row>
    <row r="262">
      <c r="A262" s="112"/>
      <c r="B262" s="18"/>
      <c r="C262" s="79"/>
      <c r="D262" s="18"/>
      <c r="E262" s="15"/>
      <c r="F262" s="18"/>
      <c r="G262" s="15"/>
      <c r="H262" s="15"/>
      <c r="I262" s="18"/>
    </row>
    <row r="263">
      <c r="A263" s="112"/>
      <c r="B263" s="18"/>
      <c r="C263" s="79"/>
      <c r="D263" s="18"/>
      <c r="E263" s="15"/>
      <c r="F263" s="18"/>
      <c r="G263" s="15"/>
      <c r="H263" s="15"/>
      <c r="I263" s="18"/>
    </row>
    <row r="264">
      <c r="A264" s="112"/>
      <c r="B264" s="18"/>
      <c r="C264" s="79"/>
      <c r="D264" s="18"/>
      <c r="E264" s="15"/>
      <c r="F264" s="18"/>
      <c r="G264" s="15"/>
      <c r="H264" s="15"/>
      <c r="I264" s="18"/>
    </row>
    <row r="265">
      <c r="A265" s="112"/>
      <c r="B265" s="18"/>
      <c r="C265" s="79"/>
      <c r="D265" s="18"/>
      <c r="E265" s="15"/>
      <c r="F265" s="18"/>
      <c r="G265" s="15"/>
      <c r="H265" s="15"/>
      <c r="I265" s="18"/>
    </row>
    <row r="266">
      <c r="A266" s="112"/>
      <c r="B266" s="18"/>
      <c r="C266" s="79"/>
      <c r="D266" s="18"/>
      <c r="E266" s="15"/>
      <c r="F266" s="18"/>
      <c r="G266" s="15"/>
      <c r="H266" s="15"/>
      <c r="I266" s="18"/>
    </row>
    <row r="267">
      <c r="A267" s="112"/>
      <c r="B267" s="18"/>
      <c r="C267" s="79"/>
      <c r="D267" s="18"/>
      <c r="E267" s="15"/>
      <c r="F267" s="18"/>
      <c r="G267" s="15"/>
      <c r="H267" s="15"/>
      <c r="I267" s="18"/>
    </row>
    <row r="268">
      <c r="A268" s="112"/>
      <c r="B268" s="18"/>
      <c r="C268" s="79"/>
      <c r="D268" s="18"/>
      <c r="E268" s="15"/>
      <c r="F268" s="18"/>
      <c r="G268" s="15"/>
      <c r="H268" s="15"/>
      <c r="I268" s="18"/>
    </row>
    <row r="269">
      <c r="A269" s="112"/>
      <c r="B269" s="18"/>
      <c r="C269" s="79"/>
      <c r="D269" s="18"/>
      <c r="E269" s="15"/>
      <c r="F269" s="18"/>
      <c r="G269" s="15"/>
      <c r="H269" s="15"/>
      <c r="I269" s="18"/>
    </row>
    <row r="270">
      <c r="A270" s="112"/>
      <c r="B270" s="18"/>
      <c r="C270" s="79"/>
      <c r="D270" s="18"/>
      <c r="E270" s="15"/>
      <c r="F270" s="18"/>
      <c r="G270" s="15"/>
      <c r="H270" s="15"/>
      <c r="I270" s="18"/>
    </row>
    <row r="271">
      <c r="A271" s="112"/>
      <c r="B271" s="18"/>
      <c r="C271" s="79"/>
      <c r="D271" s="18"/>
      <c r="E271" s="15"/>
      <c r="F271" s="18"/>
      <c r="G271" s="15"/>
      <c r="H271" s="15"/>
      <c r="I271" s="18"/>
    </row>
    <row r="272">
      <c r="A272" s="112"/>
      <c r="B272" s="18"/>
      <c r="C272" s="79"/>
      <c r="D272" s="18"/>
      <c r="E272" s="15"/>
      <c r="F272" s="18"/>
      <c r="G272" s="15"/>
      <c r="H272" s="15"/>
      <c r="I272" s="18"/>
    </row>
    <row r="273">
      <c r="A273" s="112"/>
      <c r="B273" s="18"/>
      <c r="C273" s="79"/>
      <c r="D273" s="18"/>
      <c r="E273" s="15"/>
      <c r="F273" s="18"/>
      <c r="G273" s="15"/>
      <c r="H273" s="15"/>
      <c r="I273" s="18"/>
    </row>
    <row r="274">
      <c r="A274" s="112"/>
      <c r="B274" s="18"/>
      <c r="C274" s="79"/>
      <c r="D274" s="18"/>
      <c r="E274" s="15"/>
      <c r="F274" s="18"/>
      <c r="G274" s="15"/>
      <c r="H274" s="15"/>
      <c r="I274" s="18"/>
    </row>
    <row r="275">
      <c r="A275" s="112"/>
      <c r="B275" s="18"/>
      <c r="C275" s="79"/>
      <c r="D275" s="18"/>
      <c r="E275" s="15"/>
      <c r="F275" s="18"/>
      <c r="G275" s="15"/>
      <c r="H275" s="15"/>
      <c r="I275" s="18"/>
    </row>
    <row r="276">
      <c r="A276" s="112"/>
      <c r="B276" s="18"/>
      <c r="C276" s="79"/>
      <c r="D276" s="18"/>
      <c r="E276" s="15"/>
      <c r="F276" s="18"/>
      <c r="G276" s="15"/>
      <c r="H276" s="15"/>
      <c r="I276" s="18"/>
    </row>
    <row r="277">
      <c r="A277" s="112"/>
      <c r="B277" s="18"/>
      <c r="C277" s="79"/>
      <c r="D277" s="18"/>
      <c r="E277" s="15"/>
      <c r="F277" s="18"/>
      <c r="G277" s="15"/>
      <c r="H277" s="15"/>
      <c r="I277" s="18"/>
    </row>
    <row r="278">
      <c r="A278" s="112"/>
      <c r="B278" s="18"/>
      <c r="C278" s="79"/>
      <c r="D278" s="18"/>
      <c r="E278" s="15"/>
      <c r="F278" s="18"/>
      <c r="G278" s="15"/>
      <c r="H278" s="15"/>
      <c r="I278" s="18"/>
    </row>
    <row r="279">
      <c r="A279" s="112"/>
      <c r="B279" s="18"/>
      <c r="C279" s="79"/>
      <c r="D279" s="18"/>
      <c r="E279" s="15"/>
      <c r="F279" s="18"/>
      <c r="G279" s="15"/>
      <c r="H279" s="15"/>
      <c r="I279" s="18"/>
    </row>
    <row r="280">
      <c r="A280" s="112"/>
      <c r="B280" s="18"/>
      <c r="C280" s="79"/>
      <c r="D280" s="18"/>
      <c r="E280" s="15"/>
      <c r="F280" s="18"/>
      <c r="G280" s="15"/>
      <c r="H280" s="15"/>
      <c r="I280" s="18"/>
    </row>
    <row r="281">
      <c r="A281" s="112"/>
      <c r="B281" s="18"/>
      <c r="C281" s="79"/>
      <c r="D281" s="18"/>
      <c r="E281" s="15"/>
      <c r="F281" s="18"/>
      <c r="G281" s="15"/>
      <c r="H281" s="15"/>
      <c r="I281" s="18"/>
    </row>
    <row r="282">
      <c r="A282" s="112"/>
      <c r="B282" s="18"/>
      <c r="C282" s="79"/>
      <c r="D282" s="18"/>
      <c r="E282" s="15"/>
      <c r="F282" s="18"/>
      <c r="G282" s="15"/>
      <c r="H282" s="15"/>
      <c r="I282" s="18"/>
    </row>
    <row r="283">
      <c r="A283" s="112"/>
      <c r="B283" s="18"/>
      <c r="C283" s="79"/>
      <c r="D283" s="18"/>
      <c r="E283" s="15"/>
      <c r="F283" s="18"/>
      <c r="G283" s="15"/>
      <c r="H283" s="15"/>
      <c r="I283" s="18"/>
    </row>
    <row r="284">
      <c r="A284" s="112"/>
      <c r="B284" s="18"/>
      <c r="C284" s="79"/>
      <c r="D284" s="18"/>
      <c r="E284" s="15"/>
      <c r="F284" s="18"/>
      <c r="G284" s="15"/>
      <c r="H284" s="15"/>
      <c r="I284" s="18"/>
    </row>
    <row r="285">
      <c r="A285" s="112"/>
      <c r="B285" s="18"/>
      <c r="C285" s="79"/>
      <c r="D285" s="18"/>
      <c r="E285" s="15"/>
      <c r="F285" s="18"/>
      <c r="G285" s="15"/>
      <c r="H285" s="15"/>
      <c r="I285" s="18"/>
    </row>
    <row r="286">
      <c r="A286" s="112"/>
      <c r="B286" s="18"/>
      <c r="C286" s="79"/>
      <c r="D286" s="18"/>
      <c r="E286" s="15"/>
      <c r="F286" s="18"/>
      <c r="G286" s="15"/>
      <c r="H286" s="15"/>
      <c r="I286" s="18"/>
    </row>
    <row r="287">
      <c r="A287" s="112"/>
      <c r="B287" s="18"/>
      <c r="C287" s="79"/>
      <c r="D287" s="18"/>
      <c r="E287" s="15"/>
      <c r="F287" s="18"/>
      <c r="G287" s="15"/>
      <c r="H287" s="15"/>
      <c r="I287" s="18"/>
    </row>
    <row r="288">
      <c r="A288" s="112"/>
      <c r="B288" s="18"/>
      <c r="C288" s="79"/>
      <c r="D288" s="18"/>
      <c r="E288" s="15"/>
      <c r="F288" s="18"/>
      <c r="G288" s="15"/>
      <c r="H288" s="15"/>
      <c r="I288" s="18"/>
    </row>
    <row r="289">
      <c r="A289" s="112"/>
      <c r="B289" s="18"/>
      <c r="C289" s="79"/>
      <c r="D289" s="18"/>
      <c r="E289" s="15"/>
      <c r="F289" s="18"/>
      <c r="G289" s="15"/>
      <c r="H289" s="15"/>
      <c r="I289" s="18"/>
    </row>
    <row r="290">
      <c r="A290" s="112"/>
      <c r="B290" s="18"/>
      <c r="C290" s="79"/>
      <c r="D290" s="18"/>
      <c r="E290" s="15"/>
      <c r="F290" s="18"/>
      <c r="G290" s="15"/>
      <c r="H290" s="15"/>
      <c r="I290" s="18"/>
    </row>
    <row r="291">
      <c r="A291" s="112"/>
      <c r="B291" s="18"/>
      <c r="C291" s="79"/>
      <c r="D291" s="18"/>
      <c r="E291" s="15"/>
      <c r="F291" s="18"/>
      <c r="G291" s="15"/>
      <c r="H291" s="15"/>
      <c r="I291" s="18"/>
    </row>
    <row r="292">
      <c r="A292" s="112"/>
      <c r="B292" s="18"/>
      <c r="C292" s="79"/>
      <c r="D292" s="18"/>
      <c r="E292" s="15"/>
      <c r="F292" s="18"/>
      <c r="G292" s="15"/>
      <c r="H292" s="15"/>
      <c r="I292" s="18"/>
    </row>
    <row r="293">
      <c r="A293" s="112"/>
      <c r="B293" s="18"/>
      <c r="C293" s="79"/>
      <c r="D293" s="18"/>
      <c r="E293" s="15"/>
      <c r="F293" s="18"/>
      <c r="G293" s="15"/>
      <c r="H293" s="15"/>
      <c r="I293" s="18"/>
    </row>
    <row r="294">
      <c r="A294" s="112"/>
      <c r="B294" s="18"/>
      <c r="C294" s="79"/>
      <c r="D294" s="18"/>
      <c r="E294" s="15"/>
      <c r="F294" s="18"/>
      <c r="G294" s="15"/>
      <c r="H294" s="15"/>
      <c r="I294" s="18"/>
    </row>
    <row r="295">
      <c r="A295" s="112"/>
      <c r="B295" s="18"/>
      <c r="C295" s="79"/>
      <c r="D295" s="18"/>
      <c r="E295" s="15"/>
      <c r="F295" s="18"/>
      <c r="G295" s="15"/>
      <c r="H295" s="15"/>
      <c r="I295" s="18"/>
    </row>
    <row r="296">
      <c r="A296" s="112"/>
      <c r="B296" s="18"/>
      <c r="C296" s="79"/>
      <c r="D296" s="18"/>
      <c r="E296" s="15"/>
      <c r="F296" s="18"/>
      <c r="G296" s="15"/>
      <c r="H296" s="15"/>
      <c r="I296" s="18"/>
    </row>
    <row r="297">
      <c r="A297" s="112"/>
      <c r="B297" s="18"/>
      <c r="C297" s="79"/>
      <c r="D297" s="18"/>
      <c r="E297" s="15"/>
      <c r="F297" s="18"/>
      <c r="G297" s="15"/>
      <c r="H297" s="15"/>
      <c r="I297" s="18"/>
    </row>
    <row r="298">
      <c r="A298" s="112"/>
      <c r="B298" s="18"/>
      <c r="C298" s="79"/>
      <c r="D298" s="18"/>
      <c r="E298" s="15"/>
      <c r="F298" s="18"/>
      <c r="G298" s="15"/>
      <c r="H298" s="15"/>
      <c r="I298" s="18"/>
    </row>
    <row r="299">
      <c r="A299" s="112"/>
      <c r="B299" s="18"/>
      <c r="C299" s="79"/>
      <c r="D299" s="18"/>
      <c r="E299" s="15"/>
      <c r="F299" s="18"/>
      <c r="G299" s="15"/>
      <c r="H299" s="15"/>
      <c r="I299" s="18"/>
    </row>
    <row r="300">
      <c r="A300" s="112"/>
      <c r="B300" s="18"/>
      <c r="C300" s="79"/>
      <c r="D300" s="18"/>
      <c r="E300" s="15"/>
      <c r="F300" s="18"/>
      <c r="G300" s="15"/>
      <c r="H300" s="15"/>
      <c r="I300" s="18"/>
    </row>
    <row r="301">
      <c r="A301" s="112"/>
      <c r="B301" s="18"/>
      <c r="C301" s="79"/>
      <c r="D301" s="18"/>
      <c r="E301" s="15"/>
      <c r="F301" s="18"/>
      <c r="G301" s="15"/>
      <c r="H301" s="15"/>
      <c r="I301" s="18"/>
    </row>
    <row r="302">
      <c r="A302" s="112"/>
      <c r="B302" s="18"/>
      <c r="C302" s="79"/>
      <c r="D302" s="18"/>
      <c r="E302" s="15"/>
      <c r="F302" s="18"/>
      <c r="G302" s="15"/>
      <c r="H302" s="15"/>
      <c r="I302" s="18"/>
    </row>
    <row r="303">
      <c r="A303" s="112"/>
      <c r="B303" s="18"/>
      <c r="C303" s="79"/>
      <c r="D303" s="18"/>
      <c r="E303" s="15"/>
      <c r="F303" s="18"/>
      <c r="G303" s="15"/>
      <c r="H303" s="15"/>
      <c r="I303" s="18"/>
    </row>
    <row r="304">
      <c r="A304" s="112"/>
      <c r="B304" s="18"/>
      <c r="C304" s="79"/>
      <c r="D304" s="18"/>
      <c r="E304" s="15"/>
      <c r="F304" s="18"/>
      <c r="G304" s="15"/>
      <c r="H304" s="15"/>
      <c r="I304" s="18"/>
    </row>
    <row r="305">
      <c r="A305" s="112"/>
      <c r="B305" s="18"/>
      <c r="C305" s="79"/>
      <c r="D305" s="18"/>
      <c r="E305" s="15"/>
      <c r="F305" s="18"/>
      <c r="G305" s="15"/>
      <c r="H305" s="15"/>
      <c r="I305" s="18"/>
    </row>
    <row r="306">
      <c r="A306" s="112"/>
      <c r="B306" s="18"/>
      <c r="C306" s="79"/>
      <c r="D306" s="18"/>
      <c r="E306" s="15"/>
      <c r="F306" s="18"/>
      <c r="G306" s="15"/>
      <c r="H306" s="15"/>
      <c r="I306" s="18"/>
    </row>
    <row r="307">
      <c r="A307" s="112"/>
      <c r="B307" s="18"/>
      <c r="C307" s="79"/>
      <c r="D307" s="18"/>
      <c r="E307" s="15"/>
      <c r="F307" s="18"/>
      <c r="G307" s="15"/>
      <c r="H307" s="15"/>
      <c r="I307" s="18"/>
    </row>
    <row r="308">
      <c r="A308" s="112"/>
      <c r="B308" s="18"/>
      <c r="C308" s="79"/>
      <c r="D308" s="18"/>
      <c r="E308" s="15"/>
      <c r="F308" s="18"/>
      <c r="G308" s="15"/>
      <c r="H308" s="15"/>
      <c r="I308" s="18"/>
    </row>
    <row r="309">
      <c r="A309" s="112"/>
      <c r="B309" s="18"/>
      <c r="C309" s="79"/>
      <c r="D309" s="18"/>
      <c r="E309" s="15"/>
      <c r="F309" s="18"/>
      <c r="G309" s="15"/>
      <c r="H309" s="15"/>
      <c r="I309" s="18"/>
    </row>
    <row r="310">
      <c r="A310" s="112"/>
      <c r="B310" s="18"/>
      <c r="C310" s="79"/>
      <c r="D310" s="18"/>
      <c r="E310" s="15"/>
      <c r="F310" s="18"/>
      <c r="G310" s="15"/>
      <c r="H310" s="15"/>
      <c r="I310" s="18"/>
    </row>
    <row r="311">
      <c r="A311" s="112"/>
      <c r="B311" s="18"/>
      <c r="C311" s="79"/>
      <c r="D311" s="18"/>
      <c r="E311" s="15"/>
      <c r="F311" s="18"/>
      <c r="G311" s="15"/>
      <c r="H311" s="15"/>
      <c r="I311" s="18"/>
    </row>
    <row r="312">
      <c r="A312" s="112"/>
      <c r="B312" s="18"/>
      <c r="C312" s="79"/>
      <c r="D312" s="18"/>
      <c r="E312" s="15"/>
      <c r="F312" s="18"/>
      <c r="G312" s="15"/>
      <c r="H312" s="15"/>
      <c r="I312" s="18"/>
    </row>
    <row r="313">
      <c r="A313" s="112"/>
      <c r="B313" s="18"/>
      <c r="C313" s="79"/>
      <c r="D313" s="18"/>
      <c r="E313" s="15"/>
      <c r="F313" s="18"/>
      <c r="G313" s="15"/>
      <c r="H313" s="15"/>
      <c r="I313" s="18"/>
    </row>
    <row r="314">
      <c r="A314" s="112"/>
      <c r="B314" s="18"/>
      <c r="C314" s="79"/>
      <c r="D314" s="18"/>
      <c r="E314" s="15"/>
      <c r="F314" s="18"/>
      <c r="G314" s="15"/>
      <c r="H314" s="15"/>
      <c r="I314" s="18"/>
    </row>
    <row r="315">
      <c r="A315" s="112"/>
      <c r="B315" s="18"/>
      <c r="C315" s="79"/>
      <c r="D315" s="18"/>
      <c r="E315" s="15"/>
      <c r="F315" s="18"/>
      <c r="G315" s="15"/>
      <c r="H315" s="15"/>
      <c r="I315" s="18"/>
    </row>
    <row r="316">
      <c r="A316" s="112"/>
      <c r="B316" s="18"/>
      <c r="C316" s="79"/>
      <c r="D316" s="18"/>
      <c r="E316" s="15"/>
      <c r="F316" s="18"/>
      <c r="G316" s="15"/>
      <c r="H316" s="15"/>
      <c r="I316" s="18"/>
    </row>
    <row r="317">
      <c r="A317" s="112"/>
      <c r="B317" s="18"/>
      <c r="C317" s="79"/>
      <c r="D317" s="18"/>
      <c r="E317" s="15"/>
      <c r="F317" s="18"/>
      <c r="G317" s="15"/>
      <c r="H317" s="15"/>
      <c r="I317" s="18"/>
    </row>
    <row r="318">
      <c r="A318" s="112"/>
      <c r="B318" s="18"/>
      <c r="C318" s="79"/>
      <c r="D318" s="18"/>
      <c r="E318" s="15"/>
      <c r="F318" s="18"/>
      <c r="G318" s="15"/>
      <c r="H318" s="15"/>
      <c r="I318" s="18"/>
    </row>
    <row r="319">
      <c r="A319" s="112"/>
      <c r="B319" s="18"/>
      <c r="C319" s="79"/>
      <c r="D319" s="18"/>
      <c r="E319" s="15"/>
      <c r="F319" s="18"/>
      <c r="G319" s="15"/>
      <c r="H319" s="15"/>
      <c r="I319" s="18"/>
    </row>
    <row r="320">
      <c r="A320" s="112"/>
      <c r="B320" s="18"/>
      <c r="C320" s="79"/>
      <c r="D320" s="18"/>
      <c r="E320" s="15"/>
      <c r="F320" s="18"/>
      <c r="G320" s="15"/>
      <c r="H320" s="15"/>
      <c r="I320" s="18"/>
    </row>
    <row r="321">
      <c r="A321" s="112"/>
      <c r="B321" s="18"/>
      <c r="C321" s="79"/>
      <c r="D321" s="18"/>
      <c r="E321" s="15"/>
      <c r="F321" s="18"/>
      <c r="G321" s="15"/>
      <c r="H321" s="15"/>
      <c r="I321" s="18"/>
    </row>
    <row r="322">
      <c r="A322" s="112"/>
      <c r="B322" s="18"/>
      <c r="C322" s="79"/>
      <c r="D322" s="18"/>
      <c r="E322" s="15"/>
      <c r="F322" s="18"/>
      <c r="G322" s="15"/>
      <c r="H322" s="15"/>
      <c r="I322" s="18"/>
    </row>
    <row r="323">
      <c r="A323" s="112"/>
      <c r="B323" s="18"/>
      <c r="C323" s="79"/>
      <c r="D323" s="18"/>
      <c r="E323" s="15"/>
      <c r="F323" s="18"/>
      <c r="G323" s="15"/>
      <c r="H323" s="15"/>
      <c r="I323" s="18"/>
    </row>
    <row r="324">
      <c r="A324" s="112"/>
      <c r="B324" s="18"/>
      <c r="C324" s="79"/>
      <c r="D324" s="18"/>
      <c r="E324" s="15"/>
      <c r="F324" s="18"/>
      <c r="G324" s="15"/>
      <c r="H324" s="15"/>
      <c r="I324" s="18"/>
    </row>
    <row r="325">
      <c r="A325" s="112"/>
      <c r="B325" s="18"/>
      <c r="C325" s="79"/>
      <c r="D325" s="18"/>
      <c r="E325" s="15"/>
      <c r="F325" s="18"/>
      <c r="G325" s="15"/>
      <c r="H325" s="15"/>
      <c r="I325" s="18"/>
    </row>
    <row r="326">
      <c r="A326" s="112"/>
      <c r="B326" s="18"/>
      <c r="C326" s="79"/>
      <c r="D326" s="18"/>
      <c r="E326" s="15"/>
      <c r="F326" s="18"/>
      <c r="G326" s="15"/>
      <c r="H326" s="15"/>
      <c r="I326" s="18"/>
    </row>
    <row r="327">
      <c r="A327" s="112"/>
      <c r="B327" s="18"/>
      <c r="C327" s="79"/>
      <c r="D327" s="18"/>
      <c r="E327" s="15"/>
      <c r="F327" s="18"/>
      <c r="G327" s="15"/>
      <c r="H327" s="15"/>
      <c r="I327" s="18"/>
    </row>
    <row r="328">
      <c r="A328" s="112"/>
      <c r="B328" s="18"/>
      <c r="C328" s="79"/>
      <c r="D328" s="18"/>
      <c r="E328" s="15"/>
      <c r="F328" s="18"/>
      <c r="G328" s="15"/>
      <c r="H328" s="15"/>
      <c r="I328" s="18"/>
    </row>
    <row r="329">
      <c r="A329" s="112"/>
      <c r="B329" s="18"/>
      <c r="C329" s="79"/>
      <c r="D329" s="18"/>
      <c r="E329" s="15"/>
      <c r="F329" s="18"/>
      <c r="G329" s="15"/>
      <c r="H329" s="15"/>
      <c r="I329" s="18"/>
    </row>
    <row r="330">
      <c r="A330" s="112"/>
      <c r="B330" s="18"/>
      <c r="C330" s="79"/>
      <c r="D330" s="18"/>
      <c r="E330" s="15"/>
      <c r="F330" s="18"/>
      <c r="G330" s="15"/>
      <c r="H330" s="15"/>
      <c r="I330" s="18"/>
    </row>
    <row r="331">
      <c r="A331" s="112"/>
      <c r="B331" s="18"/>
      <c r="C331" s="79"/>
      <c r="D331" s="18"/>
      <c r="E331" s="15"/>
      <c r="F331" s="18"/>
      <c r="G331" s="15"/>
      <c r="H331" s="15"/>
      <c r="I331" s="18"/>
    </row>
    <row r="332">
      <c r="A332" s="112"/>
      <c r="B332" s="18"/>
      <c r="C332" s="79"/>
      <c r="D332" s="18"/>
      <c r="E332" s="15"/>
      <c r="F332" s="18"/>
      <c r="G332" s="15"/>
      <c r="H332" s="15"/>
      <c r="I332" s="18"/>
    </row>
    <row r="333">
      <c r="A333" s="112"/>
      <c r="B333" s="18"/>
      <c r="C333" s="79"/>
      <c r="D333" s="18"/>
      <c r="E333" s="15"/>
      <c r="F333" s="18"/>
      <c r="G333" s="15"/>
      <c r="H333" s="15"/>
      <c r="I333" s="18"/>
    </row>
    <row r="334">
      <c r="A334" s="112"/>
      <c r="B334" s="18"/>
      <c r="C334" s="79"/>
      <c r="D334" s="18"/>
      <c r="E334" s="15"/>
      <c r="F334" s="18"/>
      <c r="G334" s="15"/>
      <c r="H334" s="15"/>
      <c r="I334" s="18"/>
    </row>
    <row r="335">
      <c r="A335" s="112"/>
      <c r="B335" s="18"/>
      <c r="C335" s="79"/>
      <c r="D335" s="18"/>
      <c r="E335" s="15"/>
      <c r="F335" s="18"/>
      <c r="G335" s="15"/>
      <c r="H335" s="15"/>
      <c r="I335" s="18"/>
    </row>
    <row r="336">
      <c r="A336" s="112"/>
      <c r="B336" s="18"/>
      <c r="C336" s="79"/>
      <c r="D336" s="18"/>
      <c r="E336" s="15"/>
      <c r="F336" s="18"/>
      <c r="G336" s="15"/>
      <c r="H336" s="15"/>
      <c r="I336" s="18"/>
    </row>
    <row r="337">
      <c r="A337" s="112"/>
      <c r="B337" s="18"/>
      <c r="C337" s="79"/>
      <c r="D337" s="18"/>
      <c r="E337" s="15"/>
      <c r="F337" s="18"/>
      <c r="G337" s="15"/>
      <c r="H337" s="15"/>
      <c r="I337" s="18"/>
    </row>
    <row r="338">
      <c r="A338" s="112"/>
      <c r="B338" s="18"/>
      <c r="C338" s="79"/>
      <c r="D338" s="18"/>
      <c r="E338" s="15"/>
      <c r="F338" s="18"/>
      <c r="G338" s="15"/>
      <c r="H338" s="15"/>
      <c r="I338" s="18"/>
    </row>
    <row r="339">
      <c r="A339" s="112"/>
      <c r="B339" s="18"/>
      <c r="C339" s="79"/>
      <c r="D339" s="18"/>
      <c r="E339" s="15"/>
      <c r="F339" s="18"/>
      <c r="G339" s="15"/>
      <c r="H339" s="15"/>
      <c r="I339" s="18"/>
    </row>
    <row r="340">
      <c r="A340" s="112"/>
      <c r="B340" s="18"/>
      <c r="C340" s="79"/>
      <c r="D340" s="18"/>
      <c r="E340" s="15"/>
      <c r="F340" s="18"/>
      <c r="G340" s="15"/>
      <c r="H340" s="15"/>
      <c r="I340" s="18"/>
    </row>
    <row r="341">
      <c r="A341" s="112"/>
      <c r="B341" s="18"/>
      <c r="C341" s="79"/>
      <c r="D341" s="18"/>
      <c r="E341" s="15"/>
      <c r="F341" s="18"/>
      <c r="G341" s="15"/>
      <c r="H341" s="15"/>
      <c r="I341" s="18"/>
    </row>
    <row r="342">
      <c r="A342" s="112"/>
      <c r="B342" s="18"/>
      <c r="C342" s="79"/>
      <c r="D342" s="18"/>
      <c r="E342" s="15"/>
      <c r="F342" s="18"/>
      <c r="G342" s="15"/>
      <c r="H342" s="15"/>
      <c r="I342" s="18"/>
    </row>
    <row r="343">
      <c r="A343" s="112"/>
      <c r="B343" s="18"/>
      <c r="C343" s="79"/>
      <c r="D343" s="18"/>
      <c r="E343" s="15"/>
      <c r="F343" s="18"/>
      <c r="G343" s="15"/>
      <c r="H343" s="15"/>
      <c r="I343" s="18"/>
    </row>
    <row r="344">
      <c r="A344" s="112"/>
      <c r="B344" s="18"/>
      <c r="C344" s="79"/>
      <c r="D344" s="18"/>
      <c r="E344" s="15"/>
      <c r="F344" s="18"/>
      <c r="G344" s="15"/>
      <c r="H344" s="15"/>
      <c r="I344" s="18"/>
    </row>
    <row r="345">
      <c r="A345" s="112"/>
      <c r="B345" s="18"/>
      <c r="C345" s="79"/>
      <c r="D345" s="18"/>
      <c r="E345" s="15"/>
      <c r="F345" s="18"/>
      <c r="G345" s="15"/>
      <c r="H345" s="15"/>
      <c r="I345" s="18"/>
    </row>
    <row r="346">
      <c r="A346" s="112"/>
      <c r="B346" s="18"/>
      <c r="C346" s="79"/>
      <c r="D346" s="18"/>
      <c r="E346" s="15"/>
      <c r="F346" s="18"/>
      <c r="G346" s="15"/>
      <c r="H346" s="15"/>
      <c r="I346" s="18"/>
    </row>
    <row r="347">
      <c r="A347" s="112"/>
      <c r="B347" s="18"/>
      <c r="C347" s="79"/>
      <c r="D347" s="18"/>
      <c r="E347" s="15"/>
      <c r="F347" s="18"/>
      <c r="G347" s="15"/>
      <c r="H347" s="15"/>
      <c r="I347" s="18"/>
    </row>
    <row r="348">
      <c r="A348" s="112"/>
      <c r="B348" s="18"/>
      <c r="C348" s="79"/>
      <c r="D348" s="18"/>
      <c r="E348" s="15"/>
      <c r="F348" s="18"/>
      <c r="G348" s="15"/>
      <c r="H348" s="15"/>
      <c r="I348" s="18"/>
    </row>
    <row r="349">
      <c r="A349" s="112"/>
      <c r="B349" s="18"/>
      <c r="C349" s="79"/>
      <c r="D349" s="18"/>
      <c r="E349" s="15"/>
      <c r="F349" s="18"/>
      <c r="G349" s="15"/>
      <c r="H349" s="15"/>
      <c r="I349" s="18"/>
    </row>
    <row r="350">
      <c r="A350" s="112"/>
      <c r="B350" s="18"/>
      <c r="C350" s="79"/>
      <c r="D350" s="18"/>
      <c r="E350" s="15"/>
      <c r="F350" s="18"/>
      <c r="G350" s="15"/>
      <c r="H350" s="15"/>
      <c r="I350" s="18"/>
    </row>
    <row r="351">
      <c r="A351" s="112"/>
      <c r="B351" s="18"/>
      <c r="C351" s="79"/>
      <c r="D351" s="18"/>
      <c r="E351" s="15"/>
      <c r="F351" s="18"/>
      <c r="G351" s="15"/>
      <c r="H351" s="15"/>
      <c r="I351" s="18"/>
    </row>
    <row r="352">
      <c r="A352" s="112"/>
      <c r="B352" s="18"/>
      <c r="C352" s="79"/>
      <c r="D352" s="18"/>
      <c r="E352" s="15"/>
      <c r="F352" s="18"/>
      <c r="G352" s="15"/>
      <c r="H352" s="15"/>
      <c r="I352" s="18"/>
    </row>
    <row r="353">
      <c r="A353" s="112"/>
      <c r="B353" s="18"/>
      <c r="C353" s="79"/>
      <c r="D353" s="18"/>
      <c r="E353" s="15"/>
      <c r="F353" s="18"/>
      <c r="G353" s="15"/>
      <c r="H353" s="15"/>
      <c r="I353" s="18"/>
    </row>
    <row r="354">
      <c r="A354" s="112"/>
      <c r="B354" s="18"/>
      <c r="C354" s="79"/>
      <c r="D354" s="18"/>
      <c r="E354" s="15"/>
      <c r="F354" s="18"/>
      <c r="G354" s="15"/>
      <c r="H354" s="15"/>
      <c r="I354" s="18"/>
    </row>
    <row r="355">
      <c r="A355" s="112"/>
      <c r="B355" s="18"/>
      <c r="C355" s="79"/>
      <c r="D355" s="18"/>
      <c r="E355" s="15"/>
      <c r="F355" s="18"/>
      <c r="G355" s="15"/>
      <c r="H355" s="15"/>
      <c r="I355" s="18"/>
    </row>
    <row r="356">
      <c r="A356" s="112"/>
      <c r="B356" s="18"/>
      <c r="C356" s="79"/>
      <c r="D356" s="18"/>
      <c r="E356" s="15"/>
      <c r="F356" s="18"/>
      <c r="G356" s="15"/>
      <c r="H356" s="15"/>
      <c r="I356" s="18"/>
    </row>
    <row r="357">
      <c r="A357" s="112"/>
      <c r="B357" s="18"/>
      <c r="C357" s="79"/>
      <c r="D357" s="18"/>
      <c r="E357" s="15"/>
      <c r="F357" s="18"/>
      <c r="G357" s="15"/>
      <c r="H357" s="15"/>
      <c r="I357" s="18"/>
    </row>
    <row r="358">
      <c r="A358" s="112"/>
      <c r="B358" s="18"/>
      <c r="C358" s="79"/>
      <c r="D358" s="18"/>
      <c r="E358" s="15"/>
      <c r="F358" s="18"/>
      <c r="G358" s="15"/>
      <c r="H358" s="15"/>
      <c r="I358" s="18"/>
    </row>
    <row r="359">
      <c r="A359" s="112"/>
      <c r="B359" s="18"/>
      <c r="C359" s="79"/>
      <c r="D359" s="18"/>
      <c r="E359" s="15"/>
      <c r="F359" s="18"/>
      <c r="G359" s="15"/>
      <c r="H359" s="15"/>
      <c r="I359" s="18"/>
    </row>
    <row r="360">
      <c r="A360" s="112"/>
      <c r="B360" s="18"/>
      <c r="C360" s="79"/>
      <c r="D360" s="18"/>
      <c r="E360" s="15"/>
      <c r="F360" s="18"/>
      <c r="G360" s="15"/>
      <c r="H360" s="15"/>
      <c r="I360" s="18"/>
    </row>
    <row r="361">
      <c r="A361" s="112"/>
      <c r="B361" s="18"/>
      <c r="C361" s="79"/>
      <c r="D361" s="18"/>
      <c r="E361" s="15"/>
      <c r="F361" s="18"/>
      <c r="G361" s="15"/>
      <c r="H361" s="15"/>
      <c r="I361" s="18"/>
    </row>
    <row r="362">
      <c r="A362" s="112"/>
      <c r="B362" s="18"/>
      <c r="C362" s="79"/>
      <c r="D362" s="18"/>
      <c r="E362" s="15"/>
      <c r="F362" s="18"/>
      <c r="G362" s="15"/>
      <c r="H362" s="15"/>
      <c r="I362" s="18"/>
    </row>
    <row r="363">
      <c r="A363" s="112"/>
      <c r="B363" s="18"/>
      <c r="C363" s="79"/>
      <c r="D363" s="18"/>
      <c r="E363" s="15"/>
      <c r="F363" s="18"/>
      <c r="G363" s="15"/>
      <c r="H363" s="15"/>
      <c r="I363" s="18"/>
    </row>
    <row r="364">
      <c r="A364" s="112"/>
      <c r="B364" s="18"/>
      <c r="C364" s="79"/>
      <c r="D364" s="18"/>
      <c r="E364" s="15"/>
      <c r="F364" s="18"/>
      <c r="G364" s="15"/>
      <c r="H364" s="15"/>
      <c r="I364" s="18"/>
    </row>
    <row r="365">
      <c r="A365" s="112"/>
      <c r="B365" s="18"/>
      <c r="C365" s="79"/>
      <c r="D365" s="18"/>
      <c r="E365" s="15"/>
      <c r="F365" s="18"/>
      <c r="G365" s="15"/>
      <c r="H365" s="15"/>
      <c r="I365" s="18"/>
    </row>
    <row r="366">
      <c r="A366" s="112"/>
      <c r="B366" s="18"/>
      <c r="C366" s="79"/>
      <c r="D366" s="18"/>
      <c r="E366" s="15"/>
      <c r="F366" s="18"/>
      <c r="G366" s="15"/>
      <c r="H366" s="15"/>
      <c r="I366" s="18"/>
    </row>
    <row r="367">
      <c r="A367" s="112"/>
      <c r="B367" s="18"/>
      <c r="C367" s="79"/>
      <c r="D367" s="18"/>
      <c r="E367" s="15"/>
      <c r="F367" s="18"/>
      <c r="G367" s="15"/>
      <c r="H367" s="15"/>
      <c r="I367" s="18"/>
    </row>
    <row r="368">
      <c r="A368" s="112"/>
      <c r="B368" s="18"/>
      <c r="C368" s="79"/>
      <c r="D368" s="18"/>
      <c r="E368" s="15"/>
      <c r="F368" s="18"/>
      <c r="G368" s="15"/>
      <c r="H368" s="15"/>
      <c r="I368" s="18"/>
    </row>
    <row r="369">
      <c r="A369" s="112"/>
      <c r="B369" s="18"/>
      <c r="C369" s="79"/>
      <c r="D369" s="18"/>
      <c r="E369" s="15"/>
      <c r="F369" s="18"/>
      <c r="G369" s="15"/>
      <c r="H369" s="15"/>
      <c r="I369" s="18"/>
    </row>
    <row r="370">
      <c r="A370" s="112"/>
      <c r="B370" s="18"/>
      <c r="C370" s="79"/>
      <c r="D370" s="18"/>
      <c r="E370" s="15"/>
      <c r="F370" s="18"/>
      <c r="G370" s="15"/>
      <c r="H370" s="15"/>
      <c r="I370" s="18"/>
    </row>
    <row r="371">
      <c r="A371" s="112"/>
      <c r="B371" s="18"/>
      <c r="C371" s="79"/>
      <c r="D371" s="18"/>
      <c r="E371" s="15"/>
      <c r="F371" s="18"/>
      <c r="G371" s="15"/>
      <c r="H371" s="15"/>
      <c r="I371" s="18"/>
    </row>
    <row r="372">
      <c r="A372" s="112"/>
      <c r="B372" s="18"/>
      <c r="C372" s="79"/>
      <c r="D372" s="18"/>
      <c r="E372" s="15"/>
      <c r="F372" s="18"/>
      <c r="G372" s="15"/>
      <c r="H372" s="15"/>
      <c r="I372" s="18"/>
    </row>
    <row r="373">
      <c r="A373" s="112"/>
      <c r="B373" s="18"/>
      <c r="C373" s="79"/>
      <c r="D373" s="18"/>
      <c r="E373" s="15"/>
      <c r="F373" s="18"/>
      <c r="G373" s="15"/>
      <c r="H373" s="15"/>
      <c r="I373" s="18"/>
    </row>
    <row r="374">
      <c r="A374" s="112"/>
      <c r="B374" s="18"/>
      <c r="C374" s="79"/>
      <c r="D374" s="18"/>
      <c r="E374" s="15"/>
      <c r="F374" s="18"/>
      <c r="G374" s="15"/>
      <c r="H374" s="15"/>
      <c r="I374" s="18"/>
    </row>
    <row r="375">
      <c r="A375" s="112"/>
      <c r="B375" s="18"/>
      <c r="C375" s="79"/>
      <c r="D375" s="18"/>
      <c r="E375" s="15"/>
      <c r="F375" s="18"/>
      <c r="G375" s="15"/>
      <c r="H375" s="15"/>
      <c r="I375" s="18"/>
    </row>
    <row r="376">
      <c r="A376" s="112"/>
      <c r="B376" s="18"/>
      <c r="C376" s="79"/>
      <c r="D376" s="18"/>
      <c r="E376" s="15"/>
      <c r="F376" s="18"/>
      <c r="G376" s="15"/>
      <c r="H376" s="15"/>
      <c r="I376" s="18"/>
    </row>
    <row r="377">
      <c r="A377" s="112"/>
      <c r="B377" s="18"/>
      <c r="C377" s="79"/>
      <c r="D377" s="18"/>
      <c r="E377" s="15"/>
      <c r="F377" s="18"/>
      <c r="G377" s="15"/>
      <c r="H377" s="15"/>
      <c r="I377" s="18"/>
    </row>
    <row r="378">
      <c r="A378" s="112"/>
      <c r="B378" s="18"/>
      <c r="C378" s="79"/>
      <c r="D378" s="18"/>
      <c r="E378" s="15"/>
      <c r="F378" s="18"/>
      <c r="G378" s="15"/>
      <c r="H378" s="15"/>
      <c r="I378" s="18"/>
    </row>
    <row r="379">
      <c r="A379" s="112"/>
      <c r="B379" s="18"/>
      <c r="C379" s="79"/>
      <c r="D379" s="18"/>
      <c r="E379" s="15"/>
      <c r="F379" s="18"/>
      <c r="G379" s="15"/>
      <c r="H379" s="15"/>
      <c r="I379" s="18"/>
    </row>
    <row r="380">
      <c r="A380" s="112"/>
      <c r="B380" s="18"/>
      <c r="C380" s="79"/>
      <c r="D380" s="18"/>
      <c r="E380" s="15"/>
      <c r="F380" s="18"/>
      <c r="G380" s="15"/>
      <c r="H380" s="15"/>
      <c r="I380" s="18"/>
    </row>
    <row r="381">
      <c r="A381" s="112"/>
      <c r="B381" s="18"/>
      <c r="C381" s="79"/>
      <c r="D381" s="18"/>
      <c r="E381" s="15"/>
      <c r="F381" s="18"/>
      <c r="G381" s="15"/>
      <c r="H381" s="15"/>
      <c r="I381" s="18"/>
    </row>
    <row r="382">
      <c r="A382" s="112"/>
      <c r="B382" s="18"/>
      <c r="C382" s="79"/>
      <c r="D382" s="18"/>
      <c r="E382" s="15"/>
      <c r="F382" s="18"/>
      <c r="G382" s="15"/>
      <c r="H382" s="15"/>
      <c r="I382" s="18"/>
    </row>
    <row r="383">
      <c r="A383" s="112"/>
      <c r="B383" s="18"/>
      <c r="C383" s="79"/>
      <c r="D383" s="18"/>
      <c r="E383" s="15"/>
      <c r="F383" s="18"/>
      <c r="G383" s="15"/>
      <c r="H383" s="15"/>
      <c r="I383" s="18"/>
    </row>
    <row r="384">
      <c r="A384" s="112"/>
      <c r="B384" s="18"/>
      <c r="C384" s="79"/>
      <c r="D384" s="18"/>
      <c r="E384" s="15"/>
      <c r="F384" s="18"/>
      <c r="G384" s="15"/>
      <c r="H384" s="15"/>
      <c r="I384" s="18"/>
    </row>
    <row r="385">
      <c r="A385" s="112"/>
      <c r="B385" s="18"/>
      <c r="C385" s="79"/>
      <c r="D385" s="18"/>
      <c r="E385" s="15"/>
      <c r="F385" s="18"/>
      <c r="G385" s="15"/>
      <c r="H385" s="15"/>
      <c r="I385" s="18"/>
    </row>
    <row r="386">
      <c r="A386" s="112"/>
      <c r="B386" s="18"/>
      <c r="C386" s="79"/>
      <c r="D386" s="18"/>
      <c r="E386" s="15"/>
      <c r="F386" s="18"/>
      <c r="G386" s="15"/>
      <c r="H386" s="15"/>
      <c r="I386" s="18"/>
    </row>
    <row r="387">
      <c r="A387" s="112"/>
      <c r="B387" s="18"/>
      <c r="C387" s="79"/>
      <c r="D387" s="18"/>
      <c r="E387" s="15"/>
      <c r="F387" s="18"/>
      <c r="G387" s="15"/>
      <c r="H387" s="15"/>
      <c r="I387" s="18"/>
    </row>
    <row r="388">
      <c r="A388" s="112"/>
      <c r="B388" s="18"/>
      <c r="C388" s="79"/>
      <c r="D388" s="18"/>
      <c r="E388" s="15"/>
      <c r="F388" s="18"/>
      <c r="G388" s="15"/>
      <c r="H388" s="15"/>
      <c r="I388" s="18"/>
    </row>
    <row r="389">
      <c r="A389" s="112"/>
      <c r="B389" s="18"/>
      <c r="C389" s="79"/>
      <c r="D389" s="18"/>
      <c r="E389" s="15"/>
      <c r="F389" s="18"/>
      <c r="G389" s="15"/>
      <c r="H389" s="15"/>
      <c r="I389" s="18"/>
    </row>
    <row r="390">
      <c r="A390" s="112"/>
      <c r="B390" s="18"/>
      <c r="C390" s="79"/>
      <c r="D390" s="18"/>
      <c r="E390" s="15"/>
      <c r="F390" s="18"/>
      <c r="G390" s="15"/>
      <c r="H390" s="15"/>
      <c r="I390" s="18"/>
    </row>
    <row r="391">
      <c r="A391" s="112"/>
      <c r="B391" s="18"/>
      <c r="C391" s="79"/>
      <c r="D391" s="18"/>
      <c r="E391" s="15"/>
      <c r="F391" s="18"/>
      <c r="G391" s="15"/>
      <c r="H391" s="15"/>
      <c r="I391" s="18"/>
    </row>
    <row r="392">
      <c r="A392" s="112"/>
      <c r="B392" s="18"/>
      <c r="C392" s="79"/>
      <c r="D392" s="18"/>
      <c r="E392" s="15"/>
      <c r="F392" s="18"/>
      <c r="G392" s="15"/>
      <c r="H392" s="15"/>
      <c r="I392" s="18"/>
    </row>
    <row r="393">
      <c r="A393" s="112"/>
      <c r="B393" s="18"/>
      <c r="C393" s="79"/>
      <c r="D393" s="18"/>
      <c r="E393" s="15"/>
      <c r="F393" s="18"/>
      <c r="G393" s="15"/>
      <c r="H393" s="15"/>
      <c r="I393" s="18"/>
    </row>
    <row r="394">
      <c r="A394" s="112"/>
      <c r="B394" s="18"/>
      <c r="C394" s="79"/>
      <c r="D394" s="18"/>
      <c r="E394" s="15"/>
      <c r="F394" s="18"/>
      <c r="G394" s="15"/>
      <c r="H394" s="15"/>
      <c r="I394" s="18"/>
    </row>
    <row r="395">
      <c r="A395" s="112"/>
      <c r="B395" s="18"/>
      <c r="C395" s="79"/>
      <c r="D395" s="18"/>
      <c r="E395" s="15"/>
      <c r="F395" s="18"/>
      <c r="G395" s="15"/>
      <c r="H395" s="15"/>
      <c r="I395" s="18"/>
    </row>
    <row r="396">
      <c r="A396" s="112"/>
      <c r="B396" s="18"/>
      <c r="C396" s="79"/>
      <c r="D396" s="18"/>
      <c r="E396" s="15"/>
      <c r="F396" s="18"/>
      <c r="G396" s="15"/>
      <c r="H396" s="15"/>
      <c r="I396" s="18"/>
    </row>
    <row r="397">
      <c r="A397" s="112"/>
      <c r="B397" s="18"/>
      <c r="C397" s="79"/>
      <c r="D397" s="18"/>
      <c r="E397" s="15"/>
      <c r="F397" s="18"/>
      <c r="G397" s="15"/>
      <c r="H397" s="15"/>
      <c r="I397" s="18"/>
    </row>
    <row r="398">
      <c r="A398" s="112"/>
      <c r="B398" s="18"/>
      <c r="C398" s="79"/>
      <c r="D398" s="18"/>
      <c r="E398" s="15"/>
      <c r="F398" s="18"/>
      <c r="G398" s="15"/>
      <c r="H398" s="15"/>
      <c r="I398" s="18"/>
    </row>
    <row r="399">
      <c r="A399" s="112"/>
      <c r="B399" s="18"/>
      <c r="C399" s="79"/>
      <c r="D399" s="18"/>
      <c r="E399" s="15"/>
      <c r="F399" s="18"/>
      <c r="G399" s="15"/>
      <c r="H399" s="15"/>
      <c r="I399" s="18"/>
    </row>
    <row r="400">
      <c r="A400" s="112"/>
      <c r="B400" s="18"/>
      <c r="C400" s="79"/>
      <c r="D400" s="18"/>
      <c r="E400" s="15"/>
      <c r="F400" s="18"/>
      <c r="G400" s="15"/>
      <c r="H400" s="15"/>
      <c r="I400" s="18"/>
    </row>
    <row r="401">
      <c r="A401" s="112"/>
      <c r="B401" s="18"/>
      <c r="C401" s="79"/>
      <c r="D401" s="18"/>
      <c r="E401" s="15"/>
      <c r="F401" s="18"/>
      <c r="G401" s="15"/>
      <c r="H401" s="15"/>
      <c r="I401" s="18"/>
    </row>
    <row r="402">
      <c r="A402" s="112"/>
      <c r="B402" s="18"/>
      <c r="C402" s="79"/>
      <c r="D402" s="18"/>
      <c r="E402" s="15"/>
      <c r="F402" s="18"/>
      <c r="G402" s="15"/>
      <c r="H402" s="15"/>
      <c r="I402" s="18"/>
    </row>
    <row r="403">
      <c r="A403" s="112"/>
      <c r="B403" s="18"/>
      <c r="C403" s="79"/>
      <c r="D403" s="18"/>
      <c r="E403" s="15"/>
      <c r="F403" s="18"/>
      <c r="G403" s="15"/>
      <c r="H403" s="15"/>
      <c r="I403" s="18"/>
    </row>
    <row r="404">
      <c r="A404" s="112"/>
      <c r="B404" s="18"/>
      <c r="C404" s="79"/>
      <c r="D404" s="18"/>
      <c r="E404" s="15"/>
      <c r="F404" s="18"/>
      <c r="G404" s="15"/>
      <c r="H404" s="15"/>
      <c r="I404" s="18"/>
    </row>
    <row r="405">
      <c r="A405" s="112"/>
      <c r="B405" s="18"/>
      <c r="C405" s="79"/>
      <c r="D405" s="18"/>
      <c r="E405" s="15"/>
      <c r="F405" s="18"/>
      <c r="G405" s="15"/>
      <c r="H405" s="15"/>
      <c r="I405" s="18"/>
    </row>
    <row r="406">
      <c r="A406" s="112"/>
      <c r="B406" s="18"/>
      <c r="C406" s="79"/>
      <c r="D406" s="18"/>
      <c r="E406" s="15"/>
      <c r="F406" s="18"/>
      <c r="G406" s="15"/>
      <c r="H406" s="15"/>
      <c r="I406" s="18"/>
    </row>
    <row r="407">
      <c r="A407" s="112"/>
      <c r="B407" s="18"/>
      <c r="C407" s="79"/>
      <c r="D407" s="18"/>
      <c r="E407" s="15"/>
      <c r="F407" s="18"/>
      <c r="G407" s="15"/>
      <c r="H407" s="15"/>
      <c r="I407" s="18"/>
    </row>
    <row r="408">
      <c r="A408" s="112"/>
      <c r="B408" s="18"/>
      <c r="C408" s="79"/>
      <c r="D408" s="18"/>
      <c r="E408" s="15"/>
      <c r="F408" s="18"/>
      <c r="G408" s="15"/>
      <c r="H408" s="15"/>
      <c r="I408" s="18"/>
    </row>
    <row r="409">
      <c r="A409" s="112"/>
      <c r="B409" s="18"/>
      <c r="C409" s="79"/>
      <c r="D409" s="18"/>
      <c r="E409" s="15"/>
      <c r="F409" s="18"/>
      <c r="G409" s="15"/>
      <c r="H409" s="15"/>
      <c r="I409" s="18"/>
    </row>
    <row r="410">
      <c r="A410" s="112"/>
      <c r="B410" s="18"/>
      <c r="C410" s="79"/>
      <c r="D410" s="18"/>
      <c r="E410" s="15"/>
      <c r="F410" s="18"/>
      <c r="G410" s="15"/>
      <c r="H410" s="15"/>
      <c r="I410" s="18"/>
    </row>
    <row r="411">
      <c r="A411" s="112"/>
      <c r="B411" s="18"/>
      <c r="C411" s="79"/>
      <c r="D411" s="18"/>
      <c r="E411" s="15"/>
      <c r="F411" s="18"/>
      <c r="G411" s="15"/>
      <c r="H411" s="15"/>
      <c r="I411" s="18"/>
    </row>
    <row r="412">
      <c r="A412" s="112"/>
      <c r="B412" s="18"/>
      <c r="C412" s="79"/>
      <c r="D412" s="18"/>
      <c r="E412" s="15"/>
      <c r="F412" s="18"/>
      <c r="G412" s="15"/>
      <c r="H412" s="15"/>
      <c r="I412" s="18"/>
    </row>
    <row r="413">
      <c r="A413" s="112"/>
      <c r="B413" s="18"/>
      <c r="C413" s="79"/>
      <c r="D413" s="18"/>
      <c r="E413" s="15"/>
      <c r="F413" s="18"/>
      <c r="G413" s="15"/>
      <c r="H413" s="15"/>
      <c r="I413" s="18"/>
    </row>
    <row r="414">
      <c r="A414" s="112"/>
      <c r="B414" s="18"/>
      <c r="C414" s="79"/>
      <c r="D414" s="18"/>
      <c r="E414" s="15"/>
      <c r="F414" s="18"/>
      <c r="G414" s="15"/>
      <c r="H414" s="15"/>
      <c r="I414" s="18"/>
    </row>
    <row r="415">
      <c r="A415" s="112"/>
      <c r="B415" s="18"/>
      <c r="C415" s="79"/>
      <c r="D415" s="18"/>
      <c r="E415" s="15"/>
      <c r="F415" s="18"/>
      <c r="G415" s="15"/>
      <c r="H415" s="15"/>
      <c r="I415" s="18"/>
    </row>
    <row r="416">
      <c r="A416" s="112"/>
      <c r="B416" s="18"/>
      <c r="C416" s="79"/>
      <c r="D416" s="18"/>
      <c r="E416" s="15"/>
      <c r="F416" s="18"/>
      <c r="G416" s="15"/>
      <c r="H416" s="15"/>
      <c r="I416" s="18"/>
    </row>
    <row r="417">
      <c r="A417" s="112"/>
      <c r="B417" s="18"/>
      <c r="C417" s="79"/>
      <c r="D417" s="18"/>
      <c r="E417" s="15"/>
      <c r="F417" s="18"/>
      <c r="G417" s="15"/>
      <c r="H417" s="15"/>
      <c r="I417" s="18"/>
    </row>
    <row r="418">
      <c r="A418" s="112"/>
      <c r="B418" s="18"/>
      <c r="C418" s="79"/>
      <c r="D418" s="18"/>
      <c r="E418" s="15"/>
      <c r="F418" s="18"/>
      <c r="G418" s="15"/>
      <c r="H418" s="15"/>
      <c r="I418" s="18"/>
    </row>
    <row r="419">
      <c r="A419" s="112"/>
      <c r="B419" s="18"/>
      <c r="C419" s="79"/>
      <c r="D419" s="18"/>
      <c r="E419" s="15"/>
      <c r="F419" s="18"/>
      <c r="G419" s="15"/>
      <c r="H419" s="15"/>
      <c r="I419" s="18"/>
    </row>
    <row r="420">
      <c r="A420" s="112"/>
      <c r="B420" s="18"/>
      <c r="C420" s="79"/>
      <c r="D420" s="18"/>
      <c r="E420" s="15"/>
      <c r="F420" s="18"/>
      <c r="G420" s="15"/>
      <c r="H420" s="15"/>
      <c r="I420" s="18"/>
    </row>
    <row r="421">
      <c r="A421" s="112"/>
      <c r="B421" s="18"/>
      <c r="C421" s="79"/>
      <c r="D421" s="18"/>
      <c r="E421" s="15"/>
      <c r="F421" s="18"/>
      <c r="G421" s="15"/>
      <c r="H421" s="15"/>
      <c r="I421" s="18"/>
    </row>
    <row r="422">
      <c r="A422" s="112"/>
      <c r="B422" s="18"/>
      <c r="C422" s="79"/>
      <c r="D422" s="18"/>
      <c r="E422" s="15"/>
      <c r="F422" s="18"/>
      <c r="G422" s="15"/>
      <c r="H422" s="15"/>
      <c r="I422" s="18"/>
    </row>
    <row r="423">
      <c r="A423" s="112"/>
      <c r="B423" s="18"/>
      <c r="C423" s="79"/>
      <c r="D423" s="18"/>
      <c r="E423" s="15"/>
      <c r="F423" s="18"/>
      <c r="G423" s="15"/>
      <c r="H423" s="15"/>
      <c r="I423" s="18"/>
    </row>
    <row r="424">
      <c r="A424" s="112"/>
      <c r="B424" s="18"/>
      <c r="C424" s="79"/>
      <c r="D424" s="18"/>
      <c r="E424" s="15"/>
      <c r="F424" s="18"/>
      <c r="G424" s="15"/>
      <c r="H424" s="15"/>
      <c r="I424" s="18"/>
    </row>
    <row r="425">
      <c r="A425" s="112"/>
      <c r="B425" s="18"/>
      <c r="C425" s="79"/>
      <c r="D425" s="18"/>
      <c r="E425" s="15"/>
      <c r="F425" s="18"/>
      <c r="G425" s="15"/>
      <c r="H425" s="15"/>
      <c r="I425" s="18"/>
    </row>
    <row r="426">
      <c r="A426" s="112"/>
      <c r="B426" s="18"/>
      <c r="C426" s="79"/>
      <c r="D426" s="18"/>
      <c r="E426" s="15"/>
      <c r="F426" s="18"/>
      <c r="G426" s="15"/>
      <c r="H426" s="15"/>
      <c r="I426" s="18"/>
    </row>
    <row r="427">
      <c r="A427" s="112"/>
      <c r="B427" s="18"/>
      <c r="C427" s="79"/>
      <c r="D427" s="18"/>
      <c r="E427" s="15"/>
      <c r="F427" s="18"/>
      <c r="G427" s="15"/>
      <c r="H427" s="15"/>
      <c r="I427" s="18"/>
    </row>
    <row r="428">
      <c r="A428" s="112"/>
      <c r="B428" s="18"/>
      <c r="C428" s="79"/>
      <c r="D428" s="18"/>
      <c r="E428" s="15"/>
      <c r="F428" s="18"/>
      <c r="G428" s="15"/>
      <c r="H428" s="15"/>
      <c r="I428" s="18"/>
    </row>
    <row r="429">
      <c r="A429" s="112"/>
      <c r="B429" s="18"/>
      <c r="C429" s="79"/>
      <c r="D429" s="18"/>
      <c r="E429" s="15"/>
      <c r="F429" s="18"/>
      <c r="G429" s="15"/>
      <c r="H429" s="15"/>
      <c r="I429" s="18"/>
    </row>
    <row r="430">
      <c r="A430" s="112"/>
      <c r="B430" s="18"/>
      <c r="C430" s="79"/>
      <c r="D430" s="18"/>
      <c r="E430" s="15"/>
      <c r="F430" s="18"/>
      <c r="G430" s="15"/>
      <c r="H430" s="15"/>
      <c r="I430" s="18"/>
    </row>
    <row r="431">
      <c r="A431" s="112"/>
      <c r="B431" s="18"/>
      <c r="C431" s="79"/>
      <c r="D431" s="18"/>
      <c r="E431" s="15"/>
      <c r="F431" s="18"/>
      <c r="G431" s="15"/>
      <c r="H431" s="15"/>
      <c r="I431" s="18"/>
    </row>
    <row r="432">
      <c r="A432" s="112"/>
      <c r="B432" s="18"/>
      <c r="C432" s="79"/>
      <c r="D432" s="18"/>
      <c r="E432" s="15"/>
      <c r="F432" s="18"/>
      <c r="G432" s="15"/>
      <c r="H432" s="15"/>
      <c r="I432" s="18"/>
    </row>
    <row r="433">
      <c r="A433" s="112"/>
      <c r="B433" s="18"/>
      <c r="C433" s="79"/>
      <c r="D433" s="18"/>
      <c r="E433" s="15"/>
      <c r="F433" s="18"/>
      <c r="G433" s="15"/>
      <c r="H433" s="15"/>
      <c r="I433" s="18"/>
    </row>
    <row r="434">
      <c r="A434" s="112"/>
      <c r="B434" s="18"/>
      <c r="C434" s="79"/>
      <c r="D434" s="18"/>
      <c r="E434" s="15"/>
      <c r="F434" s="18"/>
      <c r="G434" s="15"/>
      <c r="H434" s="15"/>
      <c r="I434" s="18"/>
    </row>
    <row r="435">
      <c r="A435" s="112"/>
      <c r="B435" s="18"/>
      <c r="C435" s="79"/>
      <c r="D435" s="18"/>
      <c r="E435" s="15"/>
      <c r="F435" s="18"/>
      <c r="G435" s="15"/>
      <c r="H435" s="15"/>
      <c r="I435" s="18"/>
    </row>
    <row r="436">
      <c r="A436" s="112"/>
      <c r="B436" s="18"/>
      <c r="C436" s="79"/>
      <c r="D436" s="18"/>
      <c r="E436" s="15"/>
      <c r="F436" s="18"/>
      <c r="G436" s="15"/>
      <c r="H436" s="15"/>
      <c r="I436" s="18"/>
    </row>
    <row r="437">
      <c r="A437" s="112"/>
      <c r="B437" s="18"/>
      <c r="C437" s="79"/>
      <c r="D437" s="18"/>
      <c r="E437" s="15"/>
      <c r="F437" s="18"/>
      <c r="G437" s="15"/>
      <c r="H437" s="15"/>
      <c r="I437" s="18"/>
    </row>
    <row r="438">
      <c r="A438" s="112"/>
      <c r="B438" s="18"/>
      <c r="C438" s="79"/>
      <c r="D438" s="18"/>
      <c r="E438" s="15"/>
      <c r="F438" s="18"/>
      <c r="G438" s="15"/>
      <c r="H438" s="15"/>
      <c r="I438" s="18"/>
    </row>
    <row r="439">
      <c r="A439" s="112"/>
      <c r="B439" s="18"/>
      <c r="C439" s="79"/>
      <c r="D439" s="18"/>
      <c r="E439" s="15"/>
      <c r="F439" s="18"/>
      <c r="G439" s="15"/>
      <c r="H439" s="15"/>
      <c r="I439" s="18"/>
    </row>
    <row r="440">
      <c r="A440" s="112"/>
      <c r="B440" s="18"/>
      <c r="C440" s="79"/>
      <c r="D440" s="18"/>
      <c r="E440" s="15"/>
      <c r="F440" s="18"/>
      <c r="G440" s="15"/>
      <c r="H440" s="15"/>
      <c r="I440" s="18"/>
    </row>
    <row r="441">
      <c r="A441" s="112"/>
      <c r="B441" s="18"/>
      <c r="C441" s="79"/>
      <c r="D441" s="18"/>
      <c r="E441" s="15"/>
      <c r="F441" s="18"/>
      <c r="G441" s="15"/>
      <c r="H441" s="15"/>
      <c r="I441" s="18"/>
    </row>
    <row r="442">
      <c r="A442" s="112"/>
      <c r="B442" s="18"/>
      <c r="C442" s="79"/>
      <c r="D442" s="18"/>
      <c r="E442" s="15"/>
      <c r="F442" s="18"/>
      <c r="G442" s="15"/>
      <c r="H442" s="15"/>
      <c r="I442" s="18"/>
    </row>
    <row r="443">
      <c r="A443" s="112"/>
      <c r="B443" s="18"/>
      <c r="C443" s="79"/>
      <c r="D443" s="18"/>
      <c r="E443" s="15"/>
      <c r="F443" s="18"/>
      <c r="G443" s="15"/>
      <c r="H443" s="15"/>
      <c r="I443" s="18"/>
    </row>
    <row r="444">
      <c r="A444" s="112"/>
      <c r="B444" s="18"/>
      <c r="C444" s="79"/>
      <c r="D444" s="18"/>
      <c r="E444" s="15"/>
      <c r="F444" s="18"/>
      <c r="G444" s="15"/>
      <c r="H444" s="15"/>
      <c r="I444" s="18"/>
    </row>
    <row r="445">
      <c r="A445" s="112"/>
      <c r="B445" s="18"/>
      <c r="C445" s="79"/>
      <c r="D445" s="18"/>
      <c r="E445" s="15"/>
      <c r="F445" s="18"/>
      <c r="G445" s="15"/>
      <c r="H445" s="15"/>
      <c r="I445" s="18"/>
    </row>
    <row r="446">
      <c r="A446" s="112"/>
      <c r="B446" s="18"/>
      <c r="C446" s="79"/>
      <c r="D446" s="18"/>
      <c r="E446" s="15"/>
      <c r="F446" s="18"/>
      <c r="G446" s="15"/>
      <c r="H446" s="15"/>
      <c r="I446" s="18"/>
    </row>
    <row r="447">
      <c r="A447" s="112"/>
      <c r="B447" s="18"/>
      <c r="C447" s="79"/>
      <c r="D447" s="18"/>
      <c r="E447" s="15"/>
      <c r="F447" s="18"/>
      <c r="G447" s="15"/>
      <c r="H447" s="15"/>
      <c r="I447" s="18"/>
    </row>
    <row r="448">
      <c r="A448" s="112"/>
      <c r="B448" s="18"/>
      <c r="C448" s="79"/>
      <c r="D448" s="18"/>
      <c r="E448" s="15"/>
      <c r="F448" s="18"/>
      <c r="G448" s="15"/>
      <c r="H448" s="15"/>
      <c r="I448" s="18"/>
    </row>
    <row r="449">
      <c r="A449" s="112"/>
      <c r="B449" s="18"/>
      <c r="C449" s="79"/>
      <c r="D449" s="18"/>
      <c r="E449" s="15"/>
      <c r="F449" s="18"/>
      <c r="G449" s="15"/>
      <c r="H449" s="15"/>
      <c r="I449" s="18"/>
    </row>
    <row r="450">
      <c r="A450" s="112"/>
      <c r="B450" s="18"/>
      <c r="C450" s="79"/>
      <c r="D450" s="18"/>
      <c r="E450" s="15"/>
      <c r="F450" s="18"/>
      <c r="G450" s="15"/>
      <c r="H450" s="15"/>
      <c r="I450" s="18"/>
    </row>
    <row r="451">
      <c r="A451" s="112"/>
      <c r="B451" s="18"/>
      <c r="C451" s="79"/>
      <c r="D451" s="18"/>
      <c r="E451" s="15"/>
      <c r="F451" s="18"/>
      <c r="G451" s="15"/>
      <c r="H451" s="15"/>
      <c r="I451" s="18"/>
    </row>
    <row r="452">
      <c r="A452" s="112"/>
      <c r="B452" s="18"/>
      <c r="C452" s="79"/>
      <c r="D452" s="18"/>
      <c r="E452" s="15"/>
      <c r="F452" s="18"/>
      <c r="G452" s="15"/>
      <c r="H452" s="15"/>
      <c r="I452" s="18"/>
    </row>
    <row r="453">
      <c r="A453" s="112"/>
      <c r="B453" s="18"/>
      <c r="C453" s="79"/>
      <c r="D453" s="18"/>
      <c r="E453" s="15"/>
      <c r="F453" s="18"/>
      <c r="G453" s="15"/>
      <c r="H453" s="15"/>
      <c r="I453" s="18"/>
    </row>
    <row r="454">
      <c r="A454" s="112"/>
      <c r="B454" s="18"/>
      <c r="C454" s="79"/>
      <c r="D454" s="18"/>
      <c r="E454" s="15"/>
      <c r="F454" s="18"/>
      <c r="G454" s="15"/>
      <c r="H454" s="15"/>
      <c r="I454" s="18"/>
    </row>
    <row r="455">
      <c r="A455" s="112"/>
      <c r="B455" s="18"/>
      <c r="C455" s="79"/>
      <c r="D455" s="18"/>
      <c r="E455" s="15"/>
      <c r="F455" s="18"/>
      <c r="G455" s="15"/>
      <c r="H455" s="15"/>
      <c r="I455" s="18"/>
    </row>
    <row r="456">
      <c r="A456" s="112"/>
      <c r="B456" s="18"/>
      <c r="C456" s="79"/>
      <c r="D456" s="18"/>
      <c r="E456" s="15"/>
      <c r="F456" s="18"/>
      <c r="G456" s="15"/>
      <c r="H456" s="15"/>
      <c r="I456" s="18"/>
    </row>
    <row r="457">
      <c r="A457" s="112"/>
      <c r="B457" s="18"/>
      <c r="C457" s="79"/>
      <c r="D457" s="18"/>
      <c r="E457" s="15"/>
      <c r="F457" s="18"/>
      <c r="G457" s="15"/>
      <c r="H457" s="15"/>
      <c r="I457" s="18"/>
    </row>
    <row r="458">
      <c r="A458" s="112"/>
      <c r="B458" s="18"/>
      <c r="C458" s="79"/>
      <c r="D458" s="18"/>
      <c r="E458" s="15"/>
      <c r="F458" s="18"/>
      <c r="G458" s="15"/>
      <c r="H458" s="15"/>
      <c r="I458" s="18"/>
    </row>
    <row r="459">
      <c r="A459" s="112"/>
      <c r="B459" s="18"/>
      <c r="C459" s="79"/>
      <c r="D459" s="18"/>
      <c r="E459" s="15"/>
      <c r="F459" s="18"/>
      <c r="G459" s="15"/>
      <c r="H459" s="15"/>
      <c r="I459" s="18"/>
    </row>
    <row r="460">
      <c r="A460" s="112"/>
      <c r="B460" s="18"/>
      <c r="C460" s="79"/>
      <c r="D460" s="18"/>
      <c r="E460" s="15"/>
      <c r="F460" s="18"/>
      <c r="G460" s="15"/>
      <c r="H460" s="15"/>
      <c r="I460" s="18"/>
    </row>
    <row r="461">
      <c r="A461" s="112"/>
      <c r="B461" s="18"/>
      <c r="C461" s="79"/>
      <c r="D461" s="18"/>
      <c r="E461" s="15"/>
      <c r="F461" s="18"/>
      <c r="G461" s="15"/>
      <c r="H461" s="15"/>
      <c r="I461" s="18"/>
    </row>
    <row r="462">
      <c r="A462" s="112"/>
      <c r="B462" s="18"/>
      <c r="C462" s="79"/>
      <c r="D462" s="18"/>
      <c r="E462" s="15"/>
      <c r="F462" s="18"/>
      <c r="G462" s="15"/>
      <c r="H462" s="15"/>
      <c r="I462" s="18"/>
    </row>
    <row r="463">
      <c r="A463" s="112"/>
      <c r="B463" s="18"/>
      <c r="C463" s="79"/>
      <c r="D463" s="18"/>
      <c r="E463" s="15"/>
      <c r="F463" s="18"/>
      <c r="G463" s="15"/>
      <c r="H463" s="15"/>
      <c r="I463" s="18"/>
    </row>
    <row r="464">
      <c r="A464" s="112"/>
      <c r="B464" s="18"/>
      <c r="C464" s="79"/>
      <c r="D464" s="18"/>
      <c r="E464" s="15"/>
      <c r="F464" s="18"/>
      <c r="G464" s="15"/>
      <c r="H464" s="15"/>
      <c r="I464" s="18"/>
    </row>
    <row r="465">
      <c r="A465" s="112"/>
      <c r="B465" s="18"/>
      <c r="C465" s="79"/>
      <c r="D465" s="18"/>
      <c r="E465" s="15"/>
      <c r="F465" s="18"/>
      <c r="G465" s="15"/>
      <c r="H465" s="15"/>
      <c r="I465" s="18"/>
    </row>
    <row r="466">
      <c r="A466" s="112"/>
      <c r="B466" s="18"/>
      <c r="C466" s="79"/>
      <c r="D466" s="18"/>
      <c r="E466" s="15"/>
      <c r="F466" s="18"/>
      <c r="G466" s="15"/>
      <c r="H466" s="15"/>
      <c r="I466" s="18"/>
    </row>
    <row r="467">
      <c r="A467" s="112"/>
      <c r="B467" s="18"/>
      <c r="C467" s="79"/>
      <c r="D467" s="18"/>
      <c r="E467" s="15"/>
      <c r="F467" s="18"/>
      <c r="G467" s="15"/>
      <c r="H467" s="15"/>
      <c r="I467" s="18"/>
    </row>
    <row r="468">
      <c r="A468" s="112"/>
      <c r="B468" s="18"/>
      <c r="C468" s="79"/>
      <c r="D468" s="18"/>
      <c r="E468" s="15"/>
      <c r="F468" s="18"/>
      <c r="G468" s="15"/>
      <c r="H468" s="15"/>
      <c r="I468" s="18"/>
    </row>
    <row r="469">
      <c r="A469" s="112"/>
      <c r="B469" s="18"/>
      <c r="C469" s="79"/>
      <c r="D469" s="18"/>
      <c r="E469" s="15"/>
      <c r="F469" s="18"/>
      <c r="G469" s="15"/>
      <c r="H469" s="15"/>
      <c r="I469" s="18"/>
    </row>
    <row r="470">
      <c r="A470" s="112"/>
      <c r="B470" s="18"/>
      <c r="C470" s="79"/>
      <c r="D470" s="18"/>
      <c r="E470" s="15"/>
      <c r="F470" s="18"/>
      <c r="G470" s="15"/>
      <c r="H470" s="15"/>
      <c r="I470" s="18"/>
    </row>
    <row r="471">
      <c r="A471" s="112"/>
      <c r="B471" s="18"/>
      <c r="C471" s="79"/>
      <c r="D471" s="18"/>
      <c r="E471" s="15"/>
      <c r="F471" s="18"/>
      <c r="G471" s="15"/>
      <c r="H471" s="15"/>
      <c r="I471" s="18"/>
    </row>
    <row r="472">
      <c r="A472" s="112"/>
      <c r="B472" s="18"/>
      <c r="C472" s="79"/>
      <c r="D472" s="18"/>
      <c r="E472" s="15"/>
      <c r="F472" s="18"/>
      <c r="G472" s="15"/>
      <c r="H472" s="15"/>
      <c r="I472" s="18"/>
    </row>
    <row r="473">
      <c r="A473" s="112"/>
      <c r="B473" s="18"/>
      <c r="C473" s="79"/>
      <c r="D473" s="18"/>
      <c r="E473" s="15"/>
      <c r="F473" s="18"/>
      <c r="G473" s="15"/>
      <c r="H473" s="15"/>
      <c r="I473" s="18"/>
    </row>
    <row r="474">
      <c r="A474" s="112"/>
      <c r="B474" s="18"/>
      <c r="C474" s="79"/>
      <c r="D474" s="18"/>
      <c r="E474" s="15"/>
      <c r="F474" s="18"/>
      <c r="G474" s="15"/>
      <c r="H474" s="15"/>
      <c r="I474" s="18"/>
    </row>
    <row r="475">
      <c r="A475" s="112"/>
      <c r="B475" s="18"/>
      <c r="C475" s="79"/>
      <c r="D475" s="18"/>
      <c r="E475" s="15"/>
      <c r="F475" s="18"/>
      <c r="G475" s="15"/>
      <c r="H475" s="15"/>
      <c r="I475" s="18"/>
    </row>
    <row r="476">
      <c r="A476" s="112"/>
      <c r="B476" s="18"/>
      <c r="C476" s="79"/>
      <c r="D476" s="18"/>
      <c r="E476" s="15"/>
      <c r="F476" s="18"/>
      <c r="G476" s="15"/>
      <c r="H476" s="15"/>
      <c r="I476" s="18"/>
    </row>
    <row r="477">
      <c r="A477" s="112"/>
      <c r="B477" s="18"/>
      <c r="C477" s="79"/>
      <c r="D477" s="18"/>
      <c r="E477" s="15"/>
      <c r="F477" s="18"/>
      <c r="G477" s="15"/>
      <c r="H477" s="15"/>
      <c r="I477" s="18"/>
    </row>
    <row r="478">
      <c r="A478" s="112"/>
      <c r="B478" s="18"/>
      <c r="C478" s="79"/>
      <c r="D478" s="18"/>
      <c r="E478" s="15"/>
      <c r="F478" s="18"/>
      <c r="G478" s="15"/>
      <c r="H478" s="15"/>
      <c r="I478" s="18"/>
    </row>
    <row r="479">
      <c r="A479" s="112"/>
      <c r="B479" s="18"/>
      <c r="C479" s="79"/>
      <c r="D479" s="18"/>
      <c r="E479" s="15"/>
      <c r="F479" s="18"/>
      <c r="G479" s="15"/>
      <c r="H479" s="15"/>
      <c r="I479" s="18"/>
    </row>
    <row r="480">
      <c r="A480" s="112"/>
      <c r="B480" s="18"/>
      <c r="C480" s="79"/>
      <c r="D480" s="18"/>
      <c r="E480" s="15"/>
      <c r="F480" s="18"/>
      <c r="G480" s="15"/>
      <c r="H480" s="15"/>
      <c r="I480" s="18"/>
    </row>
    <row r="481">
      <c r="A481" s="112"/>
      <c r="B481" s="18"/>
      <c r="C481" s="79"/>
      <c r="D481" s="18"/>
      <c r="E481" s="15"/>
      <c r="F481" s="18"/>
      <c r="G481" s="15"/>
      <c r="H481" s="15"/>
      <c r="I481" s="18"/>
    </row>
    <row r="482">
      <c r="A482" s="112"/>
      <c r="B482" s="18"/>
      <c r="C482" s="79"/>
      <c r="D482" s="18"/>
      <c r="E482" s="15"/>
      <c r="F482" s="18"/>
      <c r="G482" s="15"/>
      <c r="H482" s="15"/>
      <c r="I482" s="18"/>
    </row>
    <row r="483">
      <c r="A483" s="112"/>
      <c r="B483" s="18"/>
      <c r="C483" s="79"/>
      <c r="D483" s="18"/>
      <c r="E483" s="15"/>
      <c r="F483" s="18"/>
      <c r="G483" s="15"/>
      <c r="H483" s="15"/>
      <c r="I483" s="18"/>
    </row>
    <row r="484">
      <c r="A484" s="112"/>
      <c r="B484" s="18"/>
      <c r="C484" s="79"/>
      <c r="D484" s="18"/>
      <c r="E484" s="15"/>
      <c r="F484" s="18"/>
      <c r="G484" s="15"/>
      <c r="H484" s="15"/>
      <c r="I484" s="18"/>
    </row>
    <row r="485">
      <c r="A485" s="112"/>
      <c r="B485" s="18"/>
      <c r="C485" s="79"/>
      <c r="D485" s="18"/>
      <c r="E485" s="15"/>
      <c r="F485" s="18"/>
      <c r="G485" s="15"/>
      <c r="H485" s="15"/>
      <c r="I485" s="18"/>
    </row>
    <row r="486">
      <c r="A486" s="112"/>
      <c r="B486" s="18"/>
      <c r="C486" s="79"/>
      <c r="D486" s="18"/>
      <c r="E486" s="15"/>
      <c r="F486" s="18"/>
      <c r="G486" s="15"/>
      <c r="H486" s="15"/>
      <c r="I486" s="18"/>
    </row>
    <row r="487">
      <c r="A487" s="112"/>
      <c r="B487" s="18"/>
      <c r="C487" s="79"/>
      <c r="D487" s="18"/>
      <c r="E487" s="15"/>
      <c r="F487" s="18"/>
      <c r="G487" s="15"/>
      <c r="H487" s="15"/>
      <c r="I487" s="18"/>
    </row>
    <row r="488">
      <c r="A488" s="112"/>
      <c r="B488" s="18"/>
      <c r="C488" s="79"/>
      <c r="D488" s="18"/>
      <c r="E488" s="15"/>
      <c r="F488" s="18"/>
      <c r="G488" s="15"/>
      <c r="H488" s="15"/>
      <c r="I488" s="18"/>
    </row>
    <row r="489">
      <c r="A489" s="112"/>
      <c r="B489" s="18"/>
      <c r="C489" s="79"/>
      <c r="D489" s="18"/>
      <c r="E489" s="15"/>
      <c r="F489" s="18"/>
      <c r="G489" s="15"/>
      <c r="H489" s="15"/>
      <c r="I489" s="18"/>
    </row>
    <row r="490">
      <c r="A490" s="112"/>
      <c r="B490" s="18"/>
      <c r="C490" s="79"/>
      <c r="D490" s="18"/>
      <c r="E490" s="15"/>
      <c r="F490" s="18"/>
      <c r="G490" s="15"/>
      <c r="H490" s="15"/>
      <c r="I490" s="18"/>
    </row>
    <row r="491">
      <c r="A491" s="112"/>
      <c r="B491" s="18"/>
      <c r="C491" s="79"/>
      <c r="D491" s="18"/>
      <c r="E491" s="15"/>
      <c r="F491" s="18"/>
      <c r="G491" s="15"/>
      <c r="H491" s="15"/>
      <c r="I491" s="18"/>
    </row>
    <row r="492">
      <c r="A492" s="112"/>
      <c r="B492" s="18"/>
      <c r="C492" s="79"/>
      <c r="D492" s="18"/>
      <c r="E492" s="15"/>
      <c r="F492" s="18"/>
      <c r="G492" s="15"/>
      <c r="H492" s="15"/>
      <c r="I492" s="18"/>
    </row>
    <row r="493">
      <c r="A493" s="112"/>
      <c r="B493" s="18"/>
      <c r="C493" s="79"/>
      <c r="D493" s="18"/>
      <c r="E493" s="15"/>
      <c r="F493" s="18"/>
      <c r="G493" s="15"/>
      <c r="H493" s="15"/>
      <c r="I493" s="18"/>
    </row>
    <row r="494">
      <c r="A494" s="112"/>
      <c r="B494" s="18"/>
      <c r="C494" s="79"/>
      <c r="D494" s="18"/>
      <c r="E494" s="15"/>
      <c r="F494" s="18"/>
      <c r="G494" s="15"/>
      <c r="H494" s="15"/>
      <c r="I494" s="18"/>
    </row>
    <row r="495">
      <c r="A495" s="112"/>
      <c r="B495" s="18"/>
      <c r="C495" s="79"/>
      <c r="D495" s="18"/>
      <c r="E495" s="15"/>
      <c r="F495" s="18"/>
      <c r="G495" s="15"/>
      <c r="H495" s="15"/>
      <c r="I495" s="18"/>
    </row>
    <row r="496">
      <c r="A496" s="112"/>
      <c r="B496" s="18"/>
      <c r="C496" s="79"/>
      <c r="D496" s="18"/>
      <c r="E496" s="15"/>
      <c r="F496" s="18"/>
      <c r="G496" s="15"/>
      <c r="H496" s="15"/>
      <c r="I496" s="18"/>
    </row>
    <row r="497">
      <c r="A497" s="112"/>
      <c r="B497" s="18"/>
      <c r="C497" s="79"/>
      <c r="D497" s="18"/>
      <c r="E497" s="15"/>
      <c r="F497" s="18"/>
      <c r="G497" s="15"/>
      <c r="H497" s="15"/>
      <c r="I497" s="18"/>
    </row>
    <row r="498">
      <c r="A498" s="112"/>
      <c r="B498" s="18"/>
      <c r="C498" s="79"/>
      <c r="D498" s="18"/>
      <c r="E498" s="15"/>
      <c r="F498" s="18"/>
      <c r="G498" s="15"/>
      <c r="H498" s="15"/>
      <c r="I498" s="18"/>
    </row>
    <row r="499">
      <c r="A499" s="112"/>
      <c r="B499" s="18"/>
      <c r="C499" s="79"/>
      <c r="D499" s="18"/>
      <c r="E499" s="15"/>
      <c r="F499" s="18"/>
      <c r="G499" s="15"/>
      <c r="H499" s="15"/>
      <c r="I499" s="18"/>
    </row>
    <row r="500">
      <c r="A500" s="112"/>
      <c r="B500" s="18"/>
      <c r="C500" s="79"/>
      <c r="D500" s="18"/>
      <c r="E500" s="15"/>
      <c r="F500" s="18"/>
      <c r="G500" s="15"/>
      <c r="H500" s="15"/>
      <c r="I500" s="18"/>
    </row>
    <row r="501">
      <c r="A501" s="112"/>
      <c r="B501" s="18"/>
      <c r="C501" s="79"/>
      <c r="D501" s="18"/>
      <c r="E501" s="15"/>
      <c r="F501" s="18"/>
      <c r="G501" s="15"/>
      <c r="H501" s="15"/>
      <c r="I501" s="18"/>
    </row>
    <row r="502">
      <c r="A502" s="112"/>
      <c r="B502" s="18"/>
      <c r="C502" s="79"/>
      <c r="D502" s="18"/>
      <c r="E502" s="15"/>
      <c r="F502" s="18"/>
      <c r="G502" s="15"/>
      <c r="H502" s="15"/>
      <c r="I502" s="18"/>
    </row>
    <row r="503">
      <c r="A503" s="112"/>
      <c r="B503" s="18"/>
      <c r="C503" s="79"/>
      <c r="D503" s="18"/>
      <c r="E503" s="15"/>
      <c r="F503" s="18"/>
      <c r="G503" s="15"/>
      <c r="H503" s="15"/>
      <c r="I503" s="18"/>
    </row>
    <row r="504">
      <c r="A504" s="112"/>
      <c r="B504" s="18"/>
      <c r="C504" s="79"/>
      <c r="D504" s="18"/>
      <c r="E504" s="15"/>
      <c r="F504" s="18"/>
      <c r="G504" s="15"/>
      <c r="H504" s="15"/>
      <c r="I504" s="18"/>
    </row>
    <row r="505">
      <c r="A505" s="112"/>
      <c r="B505" s="18"/>
      <c r="C505" s="79"/>
      <c r="D505" s="18"/>
      <c r="E505" s="15"/>
      <c r="F505" s="18"/>
      <c r="G505" s="15"/>
      <c r="H505" s="15"/>
      <c r="I505" s="18"/>
    </row>
    <row r="506">
      <c r="A506" s="112"/>
      <c r="B506" s="18"/>
      <c r="C506" s="79"/>
      <c r="D506" s="18"/>
      <c r="E506" s="15"/>
      <c r="F506" s="18"/>
      <c r="G506" s="15"/>
      <c r="H506" s="15"/>
      <c r="I506" s="18"/>
    </row>
    <row r="507">
      <c r="A507" s="112"/>
      <c r="B507" s="18"/>
      <c r="C507" s="79"/>
      <c r="D507" s="18"/>
      <c r="E507" s="15"/>
      <c r="F507" s="18"/>
      <c r="G507" s="15"/>
      <c r="H507" s="15"/>
      <c r="I507" s="18"/>
    </row>
    <row r="508">
      <c r="A508" s="112"/>
      <c r="B508" s="18"/>
      <c r="C508" s="79"/>
      <c r="D508" s="18"/>
      <c r="E508" s="15"/>
      <c r="F508" s="18"/>
      <c r="G508" s="15"/>
      <c r="H508" s="15"/>
      <c r="I508" s="18"/>
    </row>
    <row r="509">
      <c r="A509" s="112"/>
      <c r="B509" s="18"/>
      <c r="C509" s="79"/>
      <c r="D509" s="18"/>
      <c r="E509" s="15"/>
      <c r="F509" s="18"/>
      <c r="G509" s="15"/>
      <c r="H509" s="15"/>
      <c r="I509" s="18"/>
    </row>
    <row r="510">
      <c r="A510" s="112"/>
      <c r="B510" s="18"/>
      <c r="C510" s="79"/>
      <c r="D510" s="18"/>
      <c r="E510" s="15"/>
      <c r="F510" s="18"/>
      <c r="G510" s="15"/>
      <c r="H510" s="15"/>
      <c r="I510" s="18"/>
    </row>
    <row r="511">
      <c r="A511" s="112"/>
      <c r="B511" s="18"/>
      <c r="C511" s="79"/>
      <c r="D511" s="18"/>
      <c r="E511" s="15"/>
      <c r="F511" s="18"/>
      <c r="G511" s="15"/>
      <c r="H511" s="15"/>
      <c r="I511" s="18"/>
    </row>
    <row r="512">
      <c r="A512" s="112"/>
      <c r="B512" s="18"/>
      <c r="C512" s="79"/>
      <c r="D512" s="18"/>
      <c r="E512" s="15"/>
      <c r="F512" s="18"/>
      <c r="G512" s="15"/>
      <c r="H512" s="15"/>
      <c r="I512" s="18"/>
    </row>
    <row r="513">
      <c r="A513" s="112"/>
      <c r="B513" s="18"/>
      <c r="C513" s="79"/>
      <c r="D513" s="18"/>
      <c r="E513" s="15"/>
      <c r="F513" s="18"/>
      <c r="G513" s="15"/>
      <c r="H513" s="15"/>
      <c r="I513" s="18"/>
    </row>
    <row r="514">
      <c r="A514" s="112"/>
      <c r="B514" s="18"/>
      <c r="C514" s="79"/>
      <c r="D514" s="18"/>
      <c r="E514" s="15"/>
      <c r="F514" s="18"/>
      <c r="G514" s="15"/>
      <c r="H514" s="15"/>
      <c r="I514" s="18"/>
    </row>
    <row r="515">
      <c r="A515" s="112"/>
      <c r="B515" s="18"/>
      <c r="C515" s="79"/>
      <c r="D515" s="18"/>
      <c r="E515" s="15"/>
      <c r="F515" s="18"/>
      <c r="G515" s="15"/>
      <c r="H515" s="15"/>
      <c r="I515" s="18"/>
    </row>
    <row r="516">
      <c r="A516" s="112"/>
      <c r="B516" s="18"/>
      <c r="C516" s="79"/>
      <c r="D516" s="18"/>
      <c r="E516" s="15"/>
      <c r="F516" s="18"/>
      <c r="G516" s="15"/>
      <c r="H516" s="15"/>
      <c r="I516" s="18"/>
    </row>
    <row r="517">
      <c r="A517" s="112"/>
      <c r="B517" s="18"/>
      <c r="C517" s="79"/>
      <c r="D517" s="18"/>
      <c r="E517" s="15"/>
      <c r="F517" s="18"/>
      <c r="G517" s="15"/>
      <c r="H517" s="15"/>
      <c r="I517" s="18"/>
    </row>
    <row r="518">
      <c r="A518" s="112"/>
      <c r="B518" s="18"/>
      <c r="C518" s="79"/>
      <c r="D518" s="18"/>
      <c r="E518" s="15"/>
      <c r="F518" s="18"/>
      <c r="G518" s="15"/>
      <c r="H518" s="15"/>
      <c r="I518" s="18"/>
    </row>
    <row r="519">
      <c r="A519" s="112"/>
      <c r="B519" s="18"/>
      <c r="C519" s="79"/>
      <c r="D519" s="18"/>
      <c r="E519" s="15"/>
      <c r="F519" s="18"/>
      <c r="G519" s="15"/>
      <c r="H519" s="15"/>
      <c r="I519" s="18"/>
    </row>
    <row r="520">
      <c r="A520" s="112"/>
      <c r="B520" s="18"/>
      <c r="C520" s="79"/>
      <c r="D520" s="18"/>
      <c r="E520" s="15"/>
      <c r="F520" s="18"/>
      <c r="G520" s="15"/>
      <c r="H520" s="15"/>
      <c r="I520" s="18"/>
    </row>
    <row r="521">
      <c r="A521" s="112"/>
      <c r="B521" s="18"/>
      <c r="C521" s="79"/>
      <c r="D521" s="18"/>
      <c r="E521" s="15"/>
      <c r="F521" s="18"/>
      <c r="G521" s="15"/>
      <c r="H521" s="15"/>
      <c r="I521" s="18"/>
    </row>
    <row r="522">
      <c r="A522" s="112"/>
      <c r="B522" s="18"/>
      <c r="C522" s="79"/>
      <c r="D522" s="18"/>
      <c r="E522" s="15"/>
      <c r="F522" s="18"/>
      <c r="G522" s="15"/>
      <c r="H522" s="15"/>
      <c r="I522" s="18"/>
    </row>
    <row r="523">
      <c r="A523" s="112"/>
      <c r="B523" s="18"/>
      <c r="C523" s="79"/>
      <c r="D523" s="18"/>
      <c r="E523" s="15"/>
      <c r="F523" s="18"/>
      <c r="G523" s="15"/>
      <c r="H523" s="15"/>
      <c r="I523" s="18"/>
    </row>
    <row r="524">
      <c r="A524" s="112"/>
      <c r="B524" s="18"/>
      <c r="C524" s="79"/>
      <c r="D524" s="18"/>
      <c r="E524" s="15"/>
      <c r="F524" s="18"/>
      <c r="G524" s="15"/>
      <c r="H524" s="15"/>
      <c r="I524" s="18"/>
    </row>
    <row r="525">
      <c r="A525" s="112"/>
      <c r="B525" s="18"/>
      <c r="C525" s="79"/>
      <c r="D525" s="18"/>
      <c r="E525" s="15"/>
      <c r="F525" s="18"/>
      <c r="G525" s="15"/>
      <c r="H525" s="15"/>
      <c r="I525" s="18"/>
    </row>
    <row r="526">
      <c r="A526" s="112"/>
      <c r="B526" s="18"/>
      <c r="C526" s="79"/>
      <c r="D526" s="18"/>
      <c r="E526" s="15"/>
      <c r="F526" s="18"/>
      <c r="G526" s="15"/>
      <c r="H526" s="15"/>
      <c r="I526" s="18"/>
    </row>
    <row r="527">
      <c r="A527" s="112"/>
      <c r="B527" s="18"/>
      <c r="C527" s="79"/>
      <c r="D527" s="18"/>
      <c r="E527" s="15"/>
      <c r="F527" s="18"/>
      <c r="G527" s="15"/>
      <c r="H527" s="15"/>
      <c r="I527" s="18"/>
    </row>
    <row r="528">
      <c r="A528" s="112"/>
      <c r="B528" s="18"/>
      <c r="C528" s="79"/>
      <c r="D528" s="18"/>
      <c r="E528" s="15"/>
      <c r="F528" s="18"/>
      <c r="G528" s="15"/>
      <c r="H528" s="15"/>
      <c r="I528" s="18"/>
    </row>
    <row r="529">
      <c r="A529" s="112"/>
      <c r="B529" s="18"/>
      <c r="C529" s="79"/>
      <c r="D529" s="18"/>
      <c r="E529" s="15"/>
      <c r="F529" s="18"/>
      <c r="G529" s="15"/>
      <c r="H529" s="15"/>
      <c r="I529" s="18"/>
    </row>
    <row r="530">
      <c r="A530" s="112"/>
      <c r="B530" s="18"/>
      <c r="C530" s="79"/>
      <c r="D530" s="18"/>
      <c r="E530" s="15"/>
      <c r="F530" s="18"/>
      <c r="G530" s="15"/>
      <c r="H530" s="15"/>
      <c r="I530" s="18"/>
    </row>
    <row r="531">
      <c r="A531" s="112"/>
      <c r="B531" s="18"/>
      <c r="C531" s="79"/>
      <c r="D531" s="18"/>
      <c r="E531" s="15"/>
      <c r="F531" s="18"/>
      <c r="G531" s="15"/>
      <c r="H531" s="15"/>
      <c r="I531" s="18"/>
    </row>
    <row r="532">
      <c r="A532" s="112"/>
      <c r="B532" s="18"/>
      <c r="C532" s="79"/>
      <c r="D532" s="18"/>
      <c r="E532" s="15"/>
      <c r="F532" s="18"/>
      <c r="G532" s="15"/>
      <c r="H532" s="15"/>
      <c r="I532" s="18"/>
    </row>
    <row r="533">
      <c r="A533" s="112"/>
      <c r="B533" s="18"/>
      <c r="C533" s="79"/>
      <c r="D533" s="18"/>
      <c r="E533" s="15"/>
      <c r="F533" s="18"/>
      <c r="G533" s="15"/>
      <c r="H533" s="15"/>
      <c r="I533" s="18"/>
    </row>
    <row r="534">
      <c r="A534" s="112"/>
      <c r="B534" s="18"/>
      <c r="C534" s="79"/>
      <c r="D534" s="18"/>
      <c r="E534" s="15"/>
      <c r="F534" s="18"/>
      <c r="G534" s="15"/>
      <c r="H534" s="15"/>
      <c r="I534" s="18"/>
    </row>
    <row r="535">
      <c r="A535" s="112"/>
      <c r="B535" s="18"/>
      <c r="C535" s="79"/>
      <c r="D535" s="18"/>
      <c r="E535" s="15"/>
      <c r="F535" s="18"/>
      <c r="G535" s="15"/>
      <c r="H535" s="15"/>
      <c r="I535" s="18"/>
    </row>
    <row r="536">
      <c r="A536" s="112"/>
      <c r="B536" s="18"/>
      <c r="C536" s="79"/>
      <c r="D536" s="18"/>
      <c r="E536" s="15"/>
      <c r="F536" s="18"/>
      <c r="G536" s="15"/>
      <c r="H536" s="15"/>
      <c r="I536" s="18"/>
    </row>
    <row r="537">
      <c r="A537" s="112"/>
      <c r="B537" s="18"/>
      <c r="C537" s="79"/>
      <c r="D537" s="18"/>
      <c r="E537" s="15"/>
      <c r="F537" s="18"/>
      <c r="G537" s="15"/>
      <c r="H537" s="15"/>
      <c r="I537" s="18"/>
    </row>
    <row r="538">
      <c r="A538" s="112"/>
      <c r="B538" s="18"/>
      <c r="C538" s="79"/>
      <c r="D538" s="18"/>
      <c r="E538" s="15"/>
      <c r="F538" s="18"/>
      <c r="G538" s="15"/>
      <c r="H538" s="15"/>
      <c r="I538" s="18"/>
    </row>
    <row r="539">
      <c r="A539" s="112"/>
      <c r="B539" s="18"/>
      <c r="C539" s="79"/>
      <c r="D539" s="18"/>
      <c r="E539" s="15"/>
      <c r="F539" s="18"/>
      <c r="G539" s="15"/>
      <c r="H539" s="15"/>
      <c r="I539" s="18"/>
    </row>
    <row r="540">
      <c r="A540" s="112"/>
      <c r="B540" s="18"/>
      <c r="C540" s="79"/>
      <c r="D540" s="18"/>
      <c r="E540" s="15"/>
      <c r="F540" s="18"/>
      <c r="G540" s="15"/>
      <c r="H540" s="15"/>
      <c r="I540" s="18"/>
    </row>
    <row r="541">
      <c r="A541" s="112"/>
      <c r="B541" s="18"/>
      <c r="C541" s="79"/>
      <c r="D541" s="18"/>
      <c r="E541" s="15"/>
      <c r="F541" s="18"/>
      <c r="G541" s="15"/>
      <c r="H541" s="15"/>
      <c r="I541" s="18"/>
    </row>
    <row r="542">
      <c r="A542" s="112"/>
      <c r="B542" s="18"/>
      <c r="C542" s="79"/>
      <c r="D542" s="18"/>
      <c r="E542" s="15"/>
      <c r="F542" s="18"/>
      <c r="G542" s="15"/>
      <c r="H542" s="15"/>
      <c r="I542" s="18"/>
    </row>
    <row r="543">
      <c r="A543" s="112"/>
      <c r="B543" s="18"/>
      <c r="C543" s="79"/>
      <c r="D543" s="18"/>
      <c r="E543" s="15"/>
      <c r="F543" s="18"/>
      <c r="G543" s="15"/>
      <c r="H543" s="15"/>
      <c r="I543" s="18"/>
    </row>
    <row r="544">
      <c r="A544" s="112"/>
      <c r="B544" s="18"/>
      <c r="C544" s="79"/>
      <c r="D544" s="18"/>
      <c r="E544" s="15"/>
      <c r="F544" s="18"/>
      <c r="G544" s="15"/>
      <c r="H544" s="15"/>
      <c r="I544" s="18"/>
    </row>
    <row r="545">
      <c r="A545" s="112"/>
      <c r="B545" s="18"/>
      <c r="C545" s="79"/>
      <c r="D545" s="18"/>
      <c r="E545" s="15"/>
      <c r="F545" s="18"/>
      <c r="G545" s="15"/>
      <c r="H545" s="15"/>
      <c r="I545" s="18"/>
    </row>
    <row r="546">
      <c r="A546" s="112"/>
      <c r="B546" s="18"/>
      <c r="C546" s="79"/>
      <c r="D546" s="18"/>
      <c r="E546" s="15"/>
      <c r="F546" s="18"/>
      <c r="G546" s="15"/>
      <c r="H546" s="15"/>
      <c r="I546" s="18"/>
    </row>
    <row r="547">
      <c r="A547" s="112"/>
      <c r="B547" s="18"/>
      <c r="C547" s="79"/>
      <c r="D547" s="18"/>
      <c r="E547" s="15"/>
      <c r="F547" s="18"/>
      <c r="G547" s="15"/>
      <c r="H547" s="15"/>
      <c r="I547" s="18"/>
    </row>
    <row r="548">
      <c r="A548" s="112"/>
      <c r="B548" s="18"/>
      <c r="C548" s="79"/>
      <c r="D548" s="18"/>
      <c r="E548" s="15"/>
      <c r="F548" s="18"/>
      <c r="G548" s="15"/>
      <c r="H548" s="15"/>
      <c r="I548" s="18"/>
    </row>
    <row r="549">
      <c r="A549" s="112"/>
      <c r="B549" s="18"/>
      <c r="C549" s="79"/>
      <c r="D549" s="18"/>
      <c r="E549" s="15"/>
      <c r="F549" s="18"/>
      <c r="G549" s="15"/>
      <c r="H549" s="15"/>
      <c r="I549" s="18"/>
    </row>
    <row r="550">
      <c r="A550" s="112"/>
      <c r="B550" s="18"/>
      <c r="C550" s="79"/>
      <c r="D550" s="18"/>
      <c r="E550" s="15"/>
      <c r="F550" s="18"/>
      <c r="G550" s="15"/>
      <c r="H550" s="15"/>
      <c r="I550" s="18"/>
    </row>
    <row r="551">
      <c r="A551" s="112"/>
      <c r="B551" s="18"/>
      <c r="C551" s="79"/>
      <c r="D551" s="18"/>
      <c r="E551" s="15"/>
      <c r="F551" s="18"/>
      <c r="G551" s="15"/>
      <c r="H551" s="15"/>
      <c r="I551" s="18"/>
    </row>
    <row r="552">
      <c r="A552" s="112"/>
      <c r="B552" s="18"/>
      <c r="C552" s="79"/>
      <c r="D552" s="18"/>
      <c r="E552" s="15"/>
      <c r="F552" s="18"/>
      <c r="G552" s="15"/>
      <c r="H552" s="15"/>
      <c r="I552" s="18"/>
    </row>
    <row r="553">
      <c r="A553" s="112"/>
      <c r="B553" s="18"/>
      <c r="C553" s="79"/>
      <c r="D553" s="18"/>
      <c r="E553" s="15"/>
      <c r="F553" s="18"/>
      <c r="G553" s="15"/>
      <c r="H553" s="15"/>
      <c r="I553" s="18"/>
    </row>
    <row r="554">
      <c r="A554" s="112"/>
      <c r="B554" s="18"/>
      <c r="C554" s="79"/>
      <c r="D554" s="18"/>
      <c r="E554" s="15"/>
      <c r="F554" s="18"/>
      <c r="G554" s="15"/>
      <c r="H554" s="15"/>
      <c r="I554" s="18"/>
    </row>
    <row r="555">
      <c r="A555" s="112"/>
      <c r="B555" s="18"/>
      <c r="C555" s="79"/>
      <c r="D555" s="18"/>
      <c r="E555" s="15"/>
      <c r="F555" s="18"/>
      <c r="G555" s="15"/>
      <c r="H555" s="15"/>
      <c r="I555" s="18"/>
    </row>
    <row r="556">
      <c r="A556" s="112"/>
      <c r="B556" s="18"/>
      <c r="C556" s="79"/>
      <c r="D556" s="18"/>
      <c r="E556" s="15"/>
      <c r="F556" s="18"/>
      <c r="G556" s="15"/>
      <c r="H556" s="15"/>
      <c r="I556" s="18"/>
    </row>
    <row r="557">
      <c r="A557" s="112"/>
      <c r="B557" s="18"/>
      <c r="C557" s="79"/>
      <c r="D557" s="18"/>
      <c r="E557" s="15"/>
      <c r="F557" s="18"/>
      <c r="G557" s="15"/>
      <c r="H557" s="15"/>
      <c r="I557" s="18"/>
    </row>
    <row r="558">
      <c r="A558" s="112"/>
      <c r="B558" s="18"/>
      <c r="C558" s="79"/>
      <c r="D558" s="18"/>
      <c r="E558" s="15"/>
      <c r="F558" s="18"/>
      <c r="G558" s="15"/>
      <c r="H558" s="15"/>
      <c r="I558" s="18"/>
    </row>
    <row r="559">
      <c r="A559" s="112"/>
      <c r="B559" s="18"/>
      <c r="C559" s="79"/>
      <c r="D559" s="18"/>
      <c r="E559" s="15"/>
      <c r="F559" s="18"/>
      <c r="G559" s="15"/>
      <c r="H559" s="15"/>
      <c r="I559" s="18"/>
    </row>
    <row r="560">
      <c r="A560" s="112"/>
      <c r="B560" s="18"/>
      <c r="C560" s="79"/>
      <c r="D560" s="18"/>
      <c r="E560" s="15"/>
      <c r="F560" s="18"/>
      <c r="G560" s="15"/>
      <c r="H560" s="15"/>
      <c r="I560" s="18"/>
    </row>
    <row r="561">
      <c r="A561" s="112"/>
      <c r="B561" s="18"/>
      <c r="C561" s="79"/>
      <c r="D561" s="18"/>
      <c r="E561" s="15"/>
      <c r="F561" s="18"/>
      <c r="G561" s="15"/>
      <c r="H561" s="15"/>
      <c r="I561" s="18"/>
    </row>
    <row r="562">
      <c r="A562" s="112"/>
      <c r="B562" s="18"/>
      <c r="C562" s="79"/>
      <c r="D562" s="18"/>
      <c r="E562" s="15"/>
      <c r="F562" s="18"/>
      <c r="G562" s="15"/>
      <c r="H562" s="15"/>
      <c r="I562" s="18"/>
    </row>
    <row r="563">
      <c r="A563" s="112"/>
      <c r="B563" s="18"/>
      <c r="C563" s="79"/>
      <c r="D563" s="18"/>
      <c r="E563" s="15"/>
      <c r="F563" s="18"/>
      <c r="G563" s="15"/>
      <c r="H563" s="15"/>
      <c r="I563" s="18"/>
    </row>
    <row r="564">
      <c r="A564" s="112"/>
      <c r="B564" s="18"/>
      <c r="C564" s="79"/>
      <c r="D564" s="18"/>
      <c r="E564" s="15"/>
      <c r="F564" s="18"/>
      <c r="G564" s="15"/>
      <c r="H564" s="15"/>
      <c r="I564" s="18"/>
    </row>
    <row r="565">
      <c r="A565" s="112"/>
      <c r="B565" s="18"/>
      <c r="C565" s="79"/>
      <c r="D565" s="18"/>
      <c r="E565" s="15"/>
      <c r="F565" s="18"/>
      <c r="G565" s="15"/>
      <c r="H565" s="15"/>
      <c r="I565" s="18"/>
    </row>
    <row r="566">
      <c r="A566" s="112"/>
      <c r="B566" s="18"/>
      <c r="C566" s="79"/>
      <c r="D566" s="18"/>
      <c r="E566" s="15"/>
      <c r="F566" s="18"/>
      <c r="G566" s="15"/>
      <c r="H566" s="15"/>
      <c r="I566" s="18"/>
    </row>
    <row r="567">
      <c r="A567" s="112"/>
      <c r="B567" s="18"/>
      <c r="C567" s="79"/>
      <c r="D567" s="18"/>
      <c r="E567" s="15"/>
      <c r="F567" s="18"/>
      <c r="G567" s="15"/>
      <c r="H567" s="15"/>
      <c r="I567" s="18"/>
    </row>
    <row r="568">
      <c r="A568" s="112"/>
      <c r="B568" s="18"/>
      <c r="C568" s="79"/>
      <c r="D568" s="18"/>
      <c r="E568" s="15"/>
      <c r="F568" s="18"/>
      <c r="G568" s="15"/>
      <c r="H568" s="15"/>
      <c r="I568" s="18"/>
    </row>
    <row r="569">
      <c r="A569" s="112"/>
      <c r="B569" s="18"/>
      <c r="C569" s="79"/>
      <c r="D569" s="18"/>
      <c r="E569" s="15"/>
      <c r="F569" s="18"/>
      <c r="G569" s="15"/>
      <c r="H569" s="15"/>
      <c r="I569" s="18"/>
    </row>
    <row r="570">
      <c r="A570" s="112"/>
      <c r="B570" s="18"/>
      <c r="C570" s="79"/>
      <c r="D570" s="18"/>
      <c r="E570" s="15"/>
      <c r="F570" s="18"/>
      <c r="G570" s="15"/>
      <c r="H570" s="15"/>
      <c r="I570" s="18"/>
    </row>
    <row r="571">
      <c r="A571" s="112"/>
      <c r="B571" s="18"/>
      <c r="C571" s="79"/>
      <c r="D571" s="18"/>
      <c r="E571" s="15"/>
      <c r="F571" s="18"/>
      <c r="G571" s="15"/>
      <c r="H571" s="15"/>
      <c r="I571" s="18"/>
    </row>
    <row r="572">
      <c r="A572" s="112"/>
      <c r="B572" s="18"/>
      <c r="C572" s="79"/>
      <c r="D572" s="18"/>
      <c r="E572" s="15"/>
      <c r="F572" s="18"/>
      <c r="G572" s="15"/>
      <c r="H572" s="15"/>
      <c r="I572" s="18"/>
    </row>
    <row r="573">
      <c r="A573" s="112"/>
      <c r="B573" s="18"/>
      <c r="C573" s="79"/>
      <c r="D573" s="18"/>
      <c r="E573" s="15"/>
      <c r="F573" s="18"/>
      <c r="G573" s="15"/>
      <c r="H573" s="15"/>
      <c r="I573" s="18"/>
    </row>
    <row r="574">
      <c r="A574" s="112"/>
      <c r="B574" s="18"/>
      <c r="C574" s="79"/>
      <c r="D574" s="18"/>
      <c r="E574" s="15"/>
      <c r="F574" s="18"/>
      <c r="G574" s="15"/>
      <c r="H574" s="15"/>
      <c r="I574" s="18"/>
    </row>
    <row r="575">
      <c r="A575" s="112"/>
      <c r="B575" s="18"/>
      <c r="C575" s="79"/>
      <c r="D575" s="18"/>
      <c r="E575" s="15"/>
      <c r="F575" s="18"/>
      <c r="G575" s="15"/>
      <c r="H575" s="15"/>
      <c r="I575" s="18"/>
    </row>
    <row r="576">
      <c r="A576" s="112"/>
      <c r="B576" s="18"/>
      <c r="C576" s="79"/>
      <c r="D576" s="18"/>
      <c r="E576" s="15"/>
      <c r="F576" s="18"/>
      <c r="G576" s="15"/>
      <c r="H576" s="15"/>
      <c r="I576" s="18"/>
    </row>
    <row r="577">
      <c r="A577" s="112"/>
      <c r="B577" s="18"/>
      <c r="C577" s="79"/>
      <c r="D577" s="18"/>
      <c r="E577" s="15"/>
      <c r="F577" s="18"/>
      <c r="G577" s="15"/>
      <c r="H577" s="15"/>
      <c r="I577" s="18"/>
    </row>
    <row r="578">
      <c r="A578" s="112"/>
      <c r="B578" s="18"/>
      <c r="C578" s="79"/>
      <c r="D578" s="18"/>
      <c r="E578" s="15"/>
      <c r="F578" s="18"/>
      <c r="G578" s="15"/>
      <c r="H578" s="15"/>
      <c r="I578" s="18"/>
    </row>
    <row r="579">
      <c r="A579" s="112"/>
      <c r="B579" s="18"/>
      <c r="C579" s="79"/>
      <c r="D579" s="18"/>
      <c r="E579" s="15"/>
      <c r="F579" s="18"/>
      <c r="G579" s="15"/>
      <c r="H579" s="15"/>
      <c r="I579" s="18"/>
    </row>
    <row r="580">
      <c r="A580" s="112"/>
      <c r="B580" s="18"/>
      <c r="C580" s="79"/>
      <c r="D580" s="18"/>
      <c r="E580" s="15"/>
      <c r="F580" s="18"/>
      <c r="G580" s="15"/>
      <c r="H580" s="15"/>
      <c r="I580" s="18"/>
    </row>
    <row r="581">
      <c r="A581" s="112"/>
      <c r="B581" s="18"/>
      <c r="C581" s="79"/>
      <c r="D581" s="18"/>
      <c r="E581" s="15"/>
      <c r="F581" s="18"/>
      <c r="G581" s="15"/>
      <c r="H581" s="15"/>
      <c r="I581" s="18"/>
    </row>
    <row r="582">
      <c r="A582" s="112"/>
      <c r="B582" s="18"/>
      <c r="C582" s="79"/>
      <c r="D582" s="18"/>
      <c r="E582" s="15"/>
      <c r="F582" s="18"/>
      <c r="G582" s="15"/>
      <c r="H582" s="15"/>
      <c r="I582" s="18"/>
    </row>
    <row r="583">
      <c r="A583" s="112"/>
      <c r="B583" s="18"/>
      <c r="C583" s="79"/>
      <c r="D583" s="18"/>
      <c r="E583" s="15"/>
      <c r="F583" s="18"/>
      <c r="G583" s="15"/>
      <c r="H583" s="15"/>
      <c r="I583" s="18"/>
    </row>
    <row r="584">
      <c r="A584" s="112"/>
      <c r="B584" s="18"/>
      <c r="C584" s="79"/>
      <c r="D584" s="18"/>
      <c r="E584" s="15"/>
      <c r="F584" s="18"/>
      <c r="G584" s="15"/>
      <c r="H584" s="15"/>
      <c r="I584" s="18"/>
    </row>
    <row r="585">
      <c r="A585" s="112"/>
      <c r="B585" s="18"/>
      <c r="C585" s="79"/>
      <c r="D585" s="18"/>
      <c r="E585" s="15"/>
      <c r="F585" s="18"/>
      <c r="G585" s="15"/>
      <c r="H585" s="15"/>
      <c r="I585" s="18"/>
    </row>
    <row r="586">
      <c r="A586" s="112"/>
      <c r="B586" s="18"/>
      <c r="C586" s="79"/>
      <c r="D586" s="18"/>
      <c r="E586" s="15"/>
      <c r="F586" s="18"/>
      <c r="G586" s="15"/>
      <c r="H586" s="15"/>
      <c r="I586" s="18"/>
    </row>
    <row r="587">
      <c r="A587" s="112"/>
      <c r="B587" s="18"/>
      <c r="C587" s="79"/>
      <c r="D587" s="18"/>
      <c r="E587" s="15"/>
      <c r="F587" s="18"/>
      <c r="G587" s="15"/>
      <c r="H587" s="15"/>
      <c r="I587" s="18"/>
    </row>
    <row r="588">
      <c r="A588" s="112"/>
      <c r="B588" s="18"/>
      <c r="C588" s="79"/>
      <c r="D588" s="18"/>
      <c r="E588" s="15"/>
      <c r="F588" s="18"/>
      <c r="G588" s="15"/>
      <c r="H588" s="15"/>
      <c r="I588" s="18"/>
    </row>
    <row r="589">
      <c r="A589" s="112"/>
      <c r="B589" s="18"/>
      <c r="C589" s="79"/>
      <c r="D589" s="18"/>
      <c r="E589" s="15"/>
      <c r="F589" s="18"/>
      <c r="G589" s="15"/>
      <c r="H589" s="15"/>
      <c r="I589" s="18"/>
    </row>
    <row r="590">
      <c r="A590" s="112"/>
      <c r="B590" s="18"/>
      <c r="C590" s="79"/>
      <c r="D590" s="18"/>
      <c r="E590" s="15"/>
      <c r="F590" s="18"/>
      <c r="G590" s="15"/>
      <c r="H590" s="15"/>
      <c r="I590" s="18"/>
    </row>
    <row r="591">
      <c r="A591" s="112"/>
      <c r="B591" s="18"/>
      <c r="C591" s="79"/>
      <c r="D591" s="18"/>
      <c r="E591" s="15"/>
      <c r="F591" s="18"/>
      <c r="G591" s="15"/>
      <c r="H591" s="15"/>
      <c r="I591" s="18"/>
    </row>
    <row r="592">
      <c r="A592" s="112"/>
      <c r="B592" s="18"/>
      <c r="C592" s="79"/>
      <c r="D592" s="18"/>
      <c r="E592" s="15"/>
      <c r="F592" s="18"/>
      <c r="G592" s="15"/>
      <c r="H592" s="15"/>
      <c r="I592" s="18"/>
    </row>
    <row r="593">
      <c r="A593" s="112"/>
      <c r="B593" s="18"/>
      <c r="C593" s="79"/>
      <c r="D593" s="18"/>
      <c r="E593" s="15"/>
      <c r="F593" s="18"/>
      <c r="G593" s="15"/>
      <c r="H593" s="15"/>
      <c r="I593" s="18"/>
    </row>
    <row r="594">
      <c r="A594" s="112"/>
      <c r="B594" s="18"/>
      <c r="C594" s="79"/>
      <c r="D594" s="18"/>
      <c r="E594" s="15"/>
      <c r="F594" s="18"/>
      <c r="G594" s="15"/>
      <c r="H594" s="15"/>
      <c r="I594" s="18"/>
    </row>
    <row r="595">
      <c r="A595" s="112"/>
      <c r="B595" s="18"/>
      <c r="C595" s="79"/>
      <c r="D595" s="18"/>
      <c r="E595" s="15"/>
      <c r="F595" s="18"/>
      <c r="G595" s="15"/>
      <c r="H595" s="15"/>
      <c r="I595" s="18"/>
    </row>
    <row r="596">
      <c r="A596" s="112"/>
      <c r="B596" s="18"/>
      <c r="C596" s="79"/>
      <c r="D596" s="18"/>
      <c r="E596" s="15"/>
      <c r="F596" s="18"/>
      <c r="G596" s="15"/>
      <c r="H596" s="15"/>
      <c r="I596" s="18"/>
    </row>
    <row r="597">
      <c r="A597" s="112"/>
      <c r="B597" s="18"/>
      <c r="C597" s="79"/>
      <c r="D597" s="18"/>
      <c r="E597" s="15"/>
      <c r="F597" s="18"/>
      <c r="G597" s="15"/>
      <c r="H597" s="15"/>
      <c r="I597" s="18"/>
    </row>
    <row r="598">
      <c r="A598" s="112"/>
      <c r="B598" s="18"/>
      <c r="C598" s="79"/>
      <c r="D598" s="18"/>
      <c r="E598" s="15"/>
      <c r="F598" s="18"/>
      <c r="G598" s="15"/>
      <c r="H598" s="15"/>
      <c r="I598" s="18"/>
    </row>
    <row r="599">
      <c r="A599" s="112"/>
      <c r="B599" s="18"/>
      <c r="C599" s="79"/>
      <c r="D599" s="18"/>
      <c r="E599" s="15"/>
      <c r="F599" s="18"/>
      <c r="G599" s="15"/>
      <c r="H599" s="15"/>
      <c r="I599" s="18"/>
    </row>
    <row r="600">
      <c r="A600" s="112"/>
      <c r="B600" s="18"/>
      <c r="C600" s="79"/>
      <c r="D600" s="18"/>
      <c r="E600" s="15"/>
      <c r="F600" s="18"/>
      <c r="G600" s="15"/>
      <c r="H600" s="15"/>
      <c r="I600" s="18"/>
    </row>
    <row r="601">
      <c r="A601" s="112"/>
      <c r="B601" s="18"/>
      <c r="C601" s="79"/>
      <c r="D601" s="18"/>
      <c r="E601" s="15"/>
      <c r="F601" s="18"/>
      <c r="G601" s="15"/>
      <c r="H601" s="15"/>
      <c r="I601" s="18"/>
    </row>
    <row r="602">
      <c r="A602" s="112"/>
      <c r="B602" s="18"/>
      <c r="C602" s="79"/>
      <c r="D602" s="18"/>
      <c r="E602" s="15"/>
      <c r="F602" s="18"/>
      <c r="G602" s="15"/>
      <c r="H602" s="15"/>
      <c r="I602" s="18"/>
    </row>
    <row r="603">
      <c r="A603" s="112"/>
      <c r="B603" s="18"/>
      <c r="C603" s="79"/>
      <c r="D603" s="18"/>
      <c r="E603" s="15"/>
      <c r="F603" s="18"/>
      <c r="G603" s="15"/>
      <c r="H603" s="15"/>
      <c r="I603" s="18"/>
    </row>
    <row r="604">
      <c r="A604" s="112"/>
      <c r="B604" s="18"/>
      <c r="C604" s="79"/>
      <c r="D604" s="18"/>
      <c r="E604" s="15"/>
      <c r="F604" s="18"/>
      <c r="G604" s="15"/>
      <c r="H604" s="15"/>
      <c r="I604" s="18"/>
    </row>
    <row r="605">
      <c r="A605" s="112"/>
      <c r="B605" s="18"/>
      <c r="C605" s="79"/>
      <c r="D605" s="18"/>
      <c r="E605" s="15"/>
      <c r="F605" s="18"/>
      <c r="G605" s="15"/>
      <c r="H605" s="15"/>
      <c r="I605" s="18"/>
    </row>
    <row r="606">
      <c r="A606" s="112"/>
      <c r="B606" s="18"/>
      <c r="C606" s="79"/>
      <c r="D606" s="18"/>
      <c r="E606" s="15"/>
      <c r="F606" s="18"/>
      <c r="G606" s="15"/>
      <c r="H606" s="15"/>
      <c r="I606" s="18"/>
    </row>
    <row r="607">
      <c r="A607" s="112"/>
      <c r="B607" s="18"/>
      <c r="C607" s="79"/>
      <c r="D607" s="18"/>
      <c r="E607" s="15"/>
      <c r="F607" s="18"/>
      <c r="G607" s="15"/>
      <c r="H607" s="15"/>
      <c r="I607" s="18"/>
    </row>
    <row r="608">
      <c r="A608" s="112"/>
      <c r="B608" s="18"/>
      <c r="C608" s="79"/>
      <c r="D608" s="18"/>
      <c r="E608" s="15"/>
      <c r="F608" s="18"/>
      <c r="G608" s="15"/>
      <c r="H608" s="15"/>
      <c r="I608" s="18"/>
    </row>
    <row r="609">
      <c r="A609" s="112"/>
      <c r="B609" s="18"/>
      <c r="C609" s="79"/>
      <c r="D609" s="18"/>
      <c r="E609" s="15"/>
      <c r="F609" s="18"/>
      <c r="G609" s="15"/>
      <c r="H609" s="15"/>
      <c r="I609" s="18"/>
    </row>
    <row r="610">
      <c r="A610" s="112"/>
      <c r="B610" s="18"/>
      <c r="C610" s="79"/>
      <c r="D610" s="18"/>
      <c r="E610" s="15"/>
      <c r="F610" s="18"/>
      <c r="G610" s="15"/>
      <c r="H610" s="15"/>
      <c r="I610" s="18"/>
    </row>
    <row r="611">
      <c r="A611" s="112"/>
      <c r="B611" s="18"/>
      <c r="C611" s="79"/>
      <c r="D611" s="18"/>
      <c r="E611" s="15"/>
      <c r="F611" s="18"/>
      <c r="G611" s="15"/>
      <c r="H611" s="15"/>
      <c r="I611" s="18"/>
    </row>
    <row r="612">
      <c r="A612" s="112"/>
      <c r="B612" s="18"/>
      <c r="C612" s="79"/>
      <c r="D612" s="18"/>
      <c r="E612" s="15"/>
      <c r="F612" s="18"/>
      <c r="G612" s="15"/>
      <c r="H612" s="15"/>
      <c r="I612" s="18"/>
    </row>
    <row r="613">
      <c r="A613" s="112"/>
      <c r="B613" s="18"/>
      <c r="C613" s="79"/>
      <c r="D613" s="18"/>
      <c r="E613" s="15"/>
      <c r="F613" s="18"/>
      <c r="G613" s="15"/>
      <c r="H613" s="15"/>
      <c r="I613" s="18"/>
    </row>
    <row r="614">
      <c r="A614" s="112"/>
      <c r="B614" s="18"/>
      <c r="C614" s="79"/>
      <c r="D614" s="18"/>
      <c r="E614" s="15"/>
      <c r="F614" s="18"/>
      <c r="G614" s="15"/>
      <c r="H614" s="15"/>
      <c r="I614" s="18"/>
    </row>
    <row r="615">
      <c r="A615" s="112"/>
      <c r="B615" s="18"/>
      <c r="C615" s="79"/>
      <c r="D615" s="18"/>
      <c r="E615" s="15"/>
      <c r="F615" s="18"/>
      <c r="G615" s="15"/>
      <c r="H615" s="15"/>
      <c r="I615" s="18"/>
    </row>
    <row r="616">
      <c r="A616" s="112"/>
      <c r="B616" s="18"/>
      <c r="C616" s="79"/>
      <c r="D616" s="18"/>
      <c r="E616" s="15"/>
      <c r="F616" s="18"/>
      <c r="G616" s="15"/>
      <c r="H616" s="15"/>
      <c r="I616" s="18"/>
    </row>
    <row r="617">
      <c r="A617" s="112"/>
      <c r="B617" s="18"/>
      <c r="C617" s="79"/>
      <c r="D617" s="18"/>
      <c r="E617" s="15"/>
      <c r="F617" s="18"/>
      <c r="G617" s="15"/>
      <c r="H617" s="15"/>
      <c r="I617" s="18"/>
    </row>
    <row r="618">
      <c r="A618" s="112"/>
      <c r="B618" s="18"/>
      <c r="C618" s="79"/>
      <c r="D618" s="18"/>
      <c r="E618" s="15"/>
      <c r="F618" s="18"/>
      <c r="G618" s="15"/>
      <c r="H618" s="15"/>
      <c r="I618" s="18"/>
    </row>
    <row r="619">
      <c r="A619" s="112"/>
      <c r="B619" s="18"/>
      <c r="C619" s="79"/>
      <c r="D619" s="18"/>
      <c r="E619" s="15"/>
      <c r="F619" s="18"/>
      <c r="G619" s="15"/>
      <c r="H619" s="15"/>
      <c r="I619" s="18"/>
    </row>
    <row r="620">
      <c r="A620" s="112"/>
      <c r="B620" s="18"/>
      <c r="C620" s="79"/>
      <c r="D620" s="18"/>
      <c r="E620" s="15"/>
      <c r="F620" s="18"/>
      <c r="G620" s="15"/>
      <c r="H620" s="15"/>
      <c r="I620" s="18"/>
    </row>
    <row r="621">
      <c r="A621" s="112"/>
      <c r="B621" s="18"/>
      <c r="C621" s="79"/>
      <c r="D621" s="18"/>
      <c r="E621" s="15"/>
      <c r="F621" s="18"/>
      <c r="G621" s="15"/>
      <c r="H621" s="15"/>
      <c r="I621" s="18"/>
    </row>
    <row r="622">
      <c r="A622" s="112"/>
      <c r="B622" s="18"/>
      <c r="C622" s="79"/>
      <c r="D622" s="18"/>
      <c r="E622" s="15"/>
      <c r="F622" s="18"/>
      <c r="G622" s="15"/>
      <c r="H622" s="15"/>
      <c r="I622" s="18"/>
    </row>
    <row r="623">
      <c r="A623" s="112"/>
      <c r="B623" s="18"/>
      <c r="C623" s="79"/>
      <c r="D623" s="18"/>
      <c r="E623" s="15"/>
      <c r="F623" s="18"/>
      <c r="G623" s="15"/>
      <c r="H623" s="15"/>
      <c r="I623" s="18"/>
    </row>
    <row r="624">
      <c r="A624" s="112"/>
      <c r="B624" s="18"/>
      <c r="C624" s="79"/>
      <c r="D624" s="18"/>
      <c r="E624" s="15"/>
      <c r="F624" s="18"/>
      <c r="G624" s="15"/>
      <c r="H624" s="15"/>
      <c r="I624" s="18"/>
    </row>
    <row r="625">
      <c r="A625" s="112"/>
      <c r="B625" s="18"/>
      <c r="C625" s="79"/>
      <c r="D625" s="18"/>
      <c r="E625" s="15"/>
      <c r="F625" s="18"/>
      <c r="G625" s="15"/>
      <c r="H625" s="15"/>
      <c r="I625" s="18"/>
    </row>
    <row r="626">
      <c r="A626" s="112"/>
      <c r="B626" s="18"/>
      <c r="C626" s="79"/>
      <c r="D626" s="18"/>
      <c r="E626" s="15"/>
      <c r="F626" s="18"/>
      <c r="G626" s="15"/>
      <c r="H626" s="15"/>
      <c r="I626" s="18"/>
    </row>
    <row r="627">
      <c r="A627" s="112"/>
      <c r="B627" s="18"/>
      <c r="C627" s="79"/>
      <c r="D627" s="18"/>
      <c r="E627" s="15"/>
      <c r="F627" s="18"/>
      <c r="G627" s="15"/>
      <c r="H627" s="15"/>
      <c r="I627" s="18"/>
    </row>
    <row r="628">
      <c r="A628" s="112"/>
      <c r="B628" s="18"/>
      <c r="C628" s="79"/>
      <c r="D628" s="18"/>
      <c r="E628" s="15"/>
      <c r="F628" s="18"/>
      <c r="G628" s="15"/>
      <c r="H628" s="15"/>
      <c r="I628" s="18"/>
    </row>
    <row r="629">
      <c r="A629" s="112"/>
      <c r="B629" s="18"/>
      <c r="C629" s="79"/>
      <c r="D629" s="18"/>
      <c r="E629" s="15"/>
      <c r="F629" s="18"/>
      <c r="G629" s="15"/>
      <c r="H629" s="15"/>
      <c r="I629" s="18"/>
    </row>
    <row r="630">
      <c r="A630" s="112"/>
      <c r="B630" s="18"/>
      <c r="C630" s="79"/>
      <c r="D630" s="18"/>
      <c r="E630" s="15"/>
      <c r="F630" s="18"/>
      <c r="G630" s="15"/>
      <c r="H630" s="15"/>
      <c r="I630" s="18"/>
    </row>
    <row r="631">
      <c r="A631" s="112"/>
      <c r="B631" s="18"/>
      <c r="C631" s="79"/>
      <c r="D631" s="18"/>
      <c r="E631" s="15"/>
      <c r="F631" s="18"/>
      <c r="G631" s="15"/>
      <c r="H631" s="15"/>
      <c r="I631" s="18"/>
    </row>
    <row r="632">
      <c r="A632" s="112"/>
      <c r="B632" s="18"/>
      <c r="C632" s="79"/>
      <c r="D632" s="18"/>
      <c r="E632" s="15"/>
      <c r="F632" s="18"/>
      <c r="G632" s="15"/>
      <c r="H632" s="15"/>
      <c r="I632" s="18"/>
    </row>
    <row r="633">
      <c r="A633" s="112"/>
      <c r="B633" s="18"/>
      <c r="C633" s="79"/>
      <c r="D633" s="18"/>
      <c r="E633" s="15"/>
      <c r="F633" s="18"/>
      <c r="G633" s="15"/>
      <c r="H633" s="15"/>
      <c r="I633" s="18"/>
    </row>
    <row r="634">
      <c r="A634" s="112"/>
      <c r="B634" s="18"/>
      <c r="C634" s="79"/>
      <c r="D634" s="18"/>
      <c r="E634" s="15"/>
      <c r="F634" s="18"/>
      <c r="G634" s="15"/>
      <c r="H634" s="15"/>
      <c r="I634" s="18"/>
    </row>
    <row r="635">
      <c r="A635" s="112"/>
      <c r="B635" s="18"/>
      <c r="C635" s="79"/>
      <c r="D635" s="18"/>
      <c r="E635" s="15"/>
      <c r="F635" s="18"/>
      <c r="G635" s="15"/>
      <c r="H635" s="15"/>
      <c r="I635" s="18"/>
    </row>
    <row r="636">
      <c r="A636" s="112"/>
      <c r="B636" s="18"/>
      <c r="C636" s="79"/>
      <c r="D636" s="18"/>
      <c r="E636" s="15"/>
      <c r="F636" s="18"/>
      <c r="G636" s="15"/>
      <c r="H636" s="15"/>
      <c r="I636" s="18"/>
    </row>
    <row r="637">
      <c r="A637" s="112"/>
      <c r="B637" s="18"/>
      <c r="C637" s="79"/>
      <c r="D637" s="18"/>
      <c r="E637" s="15"/>
      <c r="F637" s="18"/>
      <c r="G637" s="15"/>
      <c r="H637" s="15"/>
      <c r="I637" s="18"/>
    </row>
    <row r="638">
      <c r="A638" s="112"/>
      <c r="B638" s="18"/>
      <c r="C638" s="79"/>
      <c r="D638" s="18"/>
      <c r="E638" s="15"/>
      <c r="F638" s="18"/>
      <c r="G638" s="15"/>
      <c r="H638" s="15"/>
      <c r="I638" s="18"/>
    </row>
    <row r="639">
      <c r="A639" s="112"/>
      <c r="B639" s="18"/>
      <c r="C639" s="79"/>
      <c r="D639" s="18"/>
      <c r="E639" s="15"/>
      <c r="F639" s="18"/>
      <c r="G639" s="15"/>
      <c r="H639" s="15"/>
      <c r="I639" s="18"/>
    </row>
    <row r="640">
      <c r="A640" s="112"/>
      <c r="B640" s="18"/>
      <c r="C640" s="79"/>
      <c r="D640" s="18"/>
      <c r="E640" s="15"/>
      <c r="F640" s="18"/>
      <c r="G640" s="15"/>
      <c r="H640" s="15"/>
      <c r="I640" s="18"/>
    </row>
    <row r="641">
      <c r="A641" s="112"/>
      <c r="B641" s="18"/>
      <c r="C641" s="79"/>
      <c r="D641" s="18"/>
      <c r="E641" s="15"/>
      <c r="F641" s="18"/>
      <c r="G641" s="15"/>
      <c r="H641" s="15"/>
      <c r="I641" s="18"/>
    </row>
    <row r="642">
      <c r="A642" s="112"/>
      <c r="B642" s="18"/>
      <c r="C642" s="79"/>
      <c r="D642" s="18"/>
      <c r="E642" s="15"/>
      <c r="F642" s="18"/>
      <c r="G642" s="15"/>
      <c r="H642" s="15"/>
      <c r="I642" s="18"/>
    </row>
    <row r="643">
      <c r="A643" s="112"/>
      <c r="B643" s="18"/>
      <c r="C643" s="79"/>
      <c r="D643" s="18"/>
      <c r="E643" s="15"/>
      <c r="F643" s="18"/>
      <c r="G643" s="15"/>
      <c r="H643" s="15"/>
      <c r="I643" s="18"/>
    </row>
    <row r="644">
      <c r="A644" s="112"/>
      <c r="B644" s="18"/>
      <c r="C644" s="79"/>
      <c r="D644" s="18"/>
      <c r="E644" s="15"/>
      <c r="F644" s="18"/>
      <c r="G644" s="15"/>
      <c r="H644" s="15"/>
      <c r="I644" s="18"/>
    </row>
    <row r="645">
      <c r="A645" s="112"/>
      <c r="B645" s="18"/>
      <c r="C645" s="79"/>
      <c r="D645" s="18"/>
      <c r="E645" s="15"/>
      <c r="F645" s="18"/>
      <c r="G645" s="15"/>
      <c r="H645" s="15"/>
      <c r="I645" s="18"/>
    </row>
    <row r="646">
      <c r="A646" s="112"/>
      <c r="B646" s="18"/>
      <c r="C646" s="79"/>
      <c r="D646" s="18"/>
      <c r="E646" s="15"/>
      <c r="F646" s="18"/>
      <c r="G646" s="15"/>
      <c r="H646" s="15"/>
      <c r="I646" s="18"/>
    </row>
    <row r="647">
      <c r="A647" s="112"/>
      <c r="B647" s="18"/>
      <c r="C647" s="79"/>
      <c r="D647" s="18"/>
      <c r="E647" s="15"/>
      <c r="F647" s="18"/>
      <c r="G647" s="15"/>
      <c r="H647" s="15"/>
      <c r="I647" s="18"/>
    </row>
    <row r="648">
      <c r="A648" s="112"/>
      <c r="B648" s="18"/>
      <c r="C648" s="79"/>
      <c r="D648" s="18"/>
      <c r="E648" s="15"/>
      <c r="F648" s="18"/>
      <c r="G648" s="15"/>
      <c r="H648" s="15"/>
      <c r="I648" s="18"/>
    </row>
    <row r="649">
      <c r="A649" s="112"/>
      <c r="B649" s="18"/>
      <c r="C649" s="79"/>
      <c r="D649" s="18"/>
      <c r="E649" s="15"/>
      <c r="F649" s="18"/>
      <c r="G649" s="15"/>
      <c r="H649" s="15"/>
      <c r="I649" s="18"/>
    </row>
    <row r="650">
      <c r="A650" s="112"/>
      <c r="B650" s="18"/>
      <c r="C650" s="79"/>
      <c r="D650" s="18"/>
      <c r="E650" s="15"/>
      <c r="F650" s="18"/>
      <c r="G650" s="15"/>
      <c r="H650" s="15"/>
      <c r="I650" s="18"/>
    </row>
    <row r="651">
      <c r="A651" s="112"/>
      <c r="B651" s="18"/>
      <c r="C651" s="79"/>
      <c r="D651" s="18"/>
      <c r="E651" s="15"/>
      <c r="F651" s="18"/>
      <c r="G651" s="15"/>
      <c r="H651" s="15"/>
      <c r="I651" s="18"/>
    </row>
    <row r="652">
      <c r="A652" s="112"/>
      <c r="B652" s="18"/>
      <c r="C652" s="79"/>
      <c r="D652" s="18"/>
      <c r="E652" s="15"/>
      <c r="F652" s="18"/>
      <c r="G652" s="15"/>
      <c r="H652" s="15"/>
      <c r="I652" s="18"/>
    </row>
    <row r="653">
      <c r="A653" s="112"/>
      <c r="B653" s="18"/>
      <c r="C653" s="79"/>
      <c r="D653" s="18"/>
      <c r="E653" s="15"/>
      <c r="F653" s="18"/>
      <c r="G653" s="15"/>
      <c r="H653" s="15"/>
      <c r="I653" s="18"/>
    </row>
    <row r="654">
      <c r="A654" s="112"/>
      <c r="B654" s="18"/>
      <c r="C654" s="79"/>
      <c r="D654" s="18"/>
      <c r="E654" s="15"/>
      <c r="F654" s="18"/>
      <c r="G654" s="15"/>
      <c r="H654" s="15"/>
      <c r="I654" s="18"/>
    </row>
    <row r="655">
      <c r="A655" s="112"/>
      <c r="B655" s="18"/>
      <c r="C655" s="79"/>
      <c r="D655" s="18"/>
      <c r="E655" s="15"/>
      <c r="F655" s="18"/>
      <c r="G655" s="15"/>
      <c r="H655" s="15"/>
      <c r="I655" s="18"/>
    </row>
    <row r="656">
      <c r="A656" s="112"/>
      <c r="B656" s="18"/>
      <c r="C656" s="79"/>
      <c r="D656" s="18"/>
      <c r="E656" s="15"/>
      <c r="F656" s="18"/>
      <c r="G656" s="15"/>
      <c r="H656" s="15"/>
      <c r="I656" s="18"/>
    </row>
    <row r="657">
      <c r="A657" s="112"/>
      <c r="B657" s="18"/>
      <c r="C657" s="79"/>
      <c r="D657" s="18"/>
      <c r="E657" s="15"/>
      <c r="F657" s="18"/>
      <c r="G657" s="15"/>
      <c r="H657" s="15"/>
      <c r="I657" s="18"/>
    </row>
    <row r="658">
      <c r="A658" s="112"/>
      <c r="B658" s="18"/>
      <c r="C658" s="79"/>
      <c r="D658" s="18"/>
      <c r="E658" s="15"/>
      <c r="F658" s="18"/>
      <c r="G658" s="15"/>
      <c r="H658" s="15"/>
      <c r="I658" s="18"/>
    </row>
    <row r="659">
      <c r="A659" s="112"/>
      <c r="B659" s="18"/>
      <c r="C659" s="79"/>
      <c r="D659" s="18"/>
      <c r="E659" s="15"/>
      <c r="F659" s="18"/>
      <c r="G659" s="15"/>
      <c r="H659" s="15"/>
      <c r="I659" s="18"/>
    </row>
    <row r="660">
      <c r="A660" s="112"/>
      <c r="B660" s="18"/>
      <c r="C660" s="79"/>
      <c r="D660" s="18"/>
      <c r="E660" s="15"/>
      <c r="F660" s="18"/>
      <c r="G660" s="15"/>
      <c r="H660" s="15"/>
      <c r="I660" s="18"/>
    </row>
    <row r="661">
      <c r="A661" s="112"/>
      <c r="B661" s="18"/>
      <c r="C661" s="79"/>
      <c r="D661" s="18"/>
      <c r="E661" s="15"/>
      <c r="F661" s="18"/>
      <c r="G661" s="15"/>
      <c r="H661" s="15"/>
      <c r="I661" s="18"/>
    </row>
    <row r="662">
      <c r="A662" s="112"/>
      <c r="B662" s="18"/>
      <c r="C662" s="79"/>
      <c r="D662" s="18"/>
      <c r="E662" s="15"/>
      <c r="F662" s="18"/>
      <c r="G662" s="15"/>
      <c r="H662" s="15"/>
      <c r="I662" s="18"/>
    </row>
    <row r="663">
      <c r="A663" s="112"/>
      <c r="B663" s="18"/>
      <c r="C663" s="79"/>
      <c r="D663" s="18"/>
      <c r="E663" s="15"/>
      <c r="F663" s="18"/>
      <c r="G663" s="15"/>
      <c r="H663" s="15"/>
      <c r="I663" s="18"/>
    </row>
    <row r="664">
      <c r="A664" s="112"/>
      <c r="B664" s="18"/>
      <c r="C664" s="79"/>
      <c r="D664" s="18"/>
      <c r="E664" s="15"/>
      <c r="F664" s="18"/>
      <c r="G664" s="15"/>
      <c r="H664" s="15"/>
      <c r="I664" s="18"/>
    </row>
    <row r="665">
      <c r="A665" s="112"/>
      <c r="B665" s="18"/>
      <c r="C665" s="79"/>
      <c r="D665" s="18"/>
      <c r="E665" s="15"/>
      <c r="F665" s="18"/>
      <c r="G665" s="15"/>
      <c r="H665" s="15"/>
      <c r="I665" s="18"/>
    </row>
    <row r="666">
      <c r="A666" s="112"/>
      <c r="B666" s="18"/>
      <c r="C666" s="79"/>
      <c r="D666" s="18"/>
      <c r="E666" s="15"/>
      <c r="F666" s="18"/>
      <c r="G666" s="15"/>
      <c r="H666" s="15"/>
      <c r="I666" s="18"/>
    </row>
    <row r="667">
      <c r="A667" s="112"/>
      <c r="B667" s="18"/>
      <c r="C667" s="79"/>
      <c r="D667" s="18"/>
      <c r="E667" s="15"/>
      <c r="F667" s="18"/>
      <c r="G667" s="15"/>
      <c r="H667" s="15"/>
      <c r="I667" s="18"/>
    </row>
    <row r="668">
      <c r="A668" s="112"/>
      <c r="B668" s="18"/>
      <c r="C668" s="79"/>
      <c r="D668" s="18"/>
      <c r="E668" s="15"/>
      <c r="F668" s="18"/>
      <c r="G668" s="15"/>
      <c r="H668" s="15"/>
      <c r="I668" s="18"/>
    </row>
    <row r="669">
      <c r="A669" s="112"/>
      <c r="B669" s="18"/>
      <c r="C669" s="79"/>
      <c r="D669" s="18"/>
      <c r="E669" s="15"/>
      <c r="F669" s="18"/>
      <c r="G669" s="15"/>
      <c r="H669" s="15"/>
      <c r="I669" s="18"/>
    </row>
    <row r="670">
      <c r="A670" s="112"/>
      <c r="B670" s="18"/>
      <c r="C670" s="79"/>
      <c r="D670" s="18"/>
      <c r="E670" s="15"/>
      <c r="F670" s="18"/>
      <c r="G670" s="15"/>
      <c r="H670" s="15"/>
      <c r="I670" s="18"/>
    </row>
    <row r="671">
      <c r="A671" s="112"/>
      <c r="B671" s="18"/>
      <c r="C671" s="79"/>
      <c r="D671" s="18"/>
      <c r="E671" s="15"/>
      <c r="F671" s="18"/>
      <c r="G671" s="15"/>
      <c r="H671" s="15"/>
      <c r="I671" s="18"/>
    </row>
    <row r="672">
      <c r="A672" s="112"/>
      <c r="B672" s="18"/>
      <c r="C672" s="79"/>
      <c r="D672" s="18"/>
      <c r="E672" s="15"/>
      <c r="F672" s="18"/>
      <c r="G672" s="15"/>
      <c r="H672" s="15"/>
      <c r="I672" s="18"/>
    </row>
    <row r="673">
      <c r="A673" s="112"/>
      <c r="B673" s="18"/>
      <c r="C673" s="79"/>
      <c r="D673" s="18"/>
      <c r="E673" s="15"/>
      <c r="F673" s="18"/>
      <c r="G673" s="15"/>
      <c r="H673" s="15"/>
      <c r="I673" s="18"/>
    </row>
    <row r="674">
      <c r="A674" s="112"/>
      <c r="B674" s="18"/>
      <c r="C674" s="79"/>
      <c r="D674" s="18"/>
      <c r="E674" s="15"/>
      <c r="F674" s="18"/>
      <c r="G674" s="15"/>
      <c r="H674" s="15"/>
      <c r="I674" s="18"/>
    </row>
    <row r="675">
      <c r="A675" s="112"/>
      <c r="B675" s="18"/>
      <c r="C675" s="79"/>
      <c r="D675" s="18"/>
      <c r="E675" s="15"/>
      <c r="F675" s="18"/>
      <c r="G675" s="15"/>
      <c r="H675" s="15"/>
      <c r="I675" s="18"/>
    </row>
    <row r="676">
      <c r="A676" s="112"/>
      <c r="B676" s="18"/>
      <c r="C676" s="79"/>
      <c r="D676" s="18"/>
      <c r="E676" s="15"/>
      <c r="F676" s="18"/>
      <c r="G676" s="15"/>
      <c r="H676" s="15"/>
      <c r="I676" s="18"/>
    </row>
    <row r="677">
      <c r="A677" s="112"/>
      <c r="B677" s="18"/>
      <c r="C677" s="79"/>
      <c r="D677" s="18"/>
      <c r="E677" s="15"/>
      <c r="F677" s="18"/>
      <c r="G677" s="15"/>
      <c r="H677" s="15"/>
      <c r="I677" s="18"/>
    </row>
    <row r="678">
      <c r="A678" s="112"/>
      <c r="B678" s="18"/>
      <c r="C678" s="79"/>
      <c r="D678" s="18"/>
      <c r="E678" s="15"/>
      <c r="F678" s="18"/>
      <c r="G678" s="15"/>
      <c r="H678" s="15"/>
      <c r="I678" s="18"/>
    </row>
    <row r="679">
      <c r="A679" s="112"/>
      <c r="B679" s="18"/>
      <c r="C679" s="79"/>
      <c r="D679" s="18"/>
      <c r="E679" s="15"/>
      <c r="F679" s="18"/>
      <c r="G679" s="15"/>
      <c r="H679" s="15"/>
      <c r="I679" s="18"/>
    </row>
    <row r="680">
      <c r="A680" s="112"/>
      <c r="B680" s="18"/>
      <c r="C680" s="79"/>
      <c r="D680" s="18"/>
      <c r="E680" s="15"/>
      <c r="F680" s="18"/>
      <c r="G680" s="15"/>
      <c r="H680" s="15"/>
      <c r="I680" s="18"/>
    </row>
    <row r="681">
      <c r="A681" s="112"/>
      <c r="B681" s="18"/>
      <c r="C681" s="79"/>
      <c r="D681" s="18"/>
      <c r="E681" s="15"/>
      <c r="F681" s="18"/>
      <c r="G681" s="15"/>
      <c r="H681" s="15"/>
      <c r="I681" s="18"/>
    </row>
    <row r="682">
      <c r="A682" s="112"/>
      <c r="B682" s="18"/>
      <c r="C682" s="79"/>
      <c r="D682" s="18"/>
      <c r="E682" s="15"/>
      <c r="F682" s="18"/>
      <c r="G682" s="15"/>
      <c r="H682" s="15"/>
      <c r="I682" s="18"/>
    </row>
    <row r="683">
      <c r="A683" s="112"/>
      <c r="B683" s="18"/>
      <c r="C683" s="79"/>
      <c r="D683" s="18"/>
      <c r="E683" s="15"/>
      <c r="F683" s="18"/>
      <c r="G683" s="15"/>
      <c r="H683" s="15"/>
      <c r="I683" s="18"/>
    </row>
    <row r="684">
      <c r="A684" s="112"/>
      <c r="B684" s="18"/>
      <c r="C684" s="79"/>
      <c r="D684" s="18"/>
      <c r="E684" s="15"/>
      <c r="F684" s="18"/>
      <c r="G684" s="15"/>
      <c r="H684" s="15"/>
      <c r="I684" s="18"/>
    </row>
    <row r="685">
      <c r="A685" s="112"/>
      <c r="B685" s="18"/>
      <c r="C685" s="79"/>
      <c r="D685" s="18"/>
      <c r="E685" s="15"/>
      <c r="F685" s="18"/>
      <c r="G685" s="15"/>
      <c r="H685" s="15"/>
      <c r="I685" s="18"/>
    </row>
    <row r="686">
      <c r="A686" s="112"/>
      <c r="B686" s="18"/>
      <c r="C686" s="79"/>
      <c r="D686" s="18"/>
      <c r="E686" s="15"/>
      <c r="F686" s="18"/>
      <c r="G686" s="15"/>
      <c r="H686" s="15"/>
      <c r="I686" s="18"/>
    </row>
    <row r="687">
      <c r="A687" s="112"/>
      <c r="B687" s="18"/>
      <c r="C687" s="79"/>
      <c r="D687" s="18"/>
      <c r="E687" s="15"/>
      <c r="F687" s="18"/>
      <c r="G687" s="15"/>
      <c r="H687" s="15"/>
      <c r="I687" s="18"/>
    </row>
    <row r="688">
      <c r="A688" s="112"/>
      <c r="B688" s="18"/>
      <c r="C688" s="79"/>
      <c r="D688" s="18"/>
      <c r="E688" s="15"/>
      <c r="F688" s="18"/>
      <c r="G688" s="15"/>
      <c r="H688" s="15"/>
      <c r="I688" s="18"/>
    </row>
    <row r="689">
      <c r="A689" s="112"/>
      <c r="B689" s="18"/>
      <c r="C689" s="79"/>
      <c r="D689" s="18"/>
      <c r="E689" s="15"/>
      <c r="F689" s="18"/>
      <c r="G689" s="15"/>
      <c r="H689" s="15"/>
      <c r="I689" s="18"/>
    </row>
    <row r="690">
      <c r="A690" s="112"/>
      <c r="B690" s="18"/>
      <c r="C690" s="79"/>
      <c r="D690" s="18"/>
      <c r="E690" s="15"/>
      <c r="F690" s="18"/>
      <c r="G690" s="15"/>
      <c r="H690" s="15"/>
      <c r="I690" s="18"/>
    </row>
    <row r="691">
      <c r="A691" s="112"/>
      <c r="B691" s="18"/>
      <c r="C691" s="79"/>
      <c r="D691" s="18"/>
      <c r="E691" s="15"/>
      <c r="F691" s="18"/>
      <c r="G691" s="15"/>
      <c r="H691" s="15"/>
      <c r="I691" s="18"/>
    </row>
    <row r="692">
      <c r="A692" s="112"/>
      <c r="B692" s="18"/>
      <c r="C692" s="79"/>
      <c r="D692" s="18"/>
      <c r="E692" s="15"/>
      <c r="F692" s="18"/>
      <c r="G692" s="15"/>
      <c r="H692" s="15"/>
      <c r="I692" s="18"/>
    </row>
    <row r="693">
      <c r="A693" s="112"/>
      <c r="B693" s="18"/>
      <c r="C693" s="79"/>
      <c r="D693" s="18"/>
      <c r="E693" s="15"/>
      <c r="F693" s="18"/>
      <c r="G693" s="15"/>
      <c r="H693" s="15"/>
      <c r="I693" s="18"/>
    </row>
    <row r="694">
      <c r="A694" s="112"/>
      <c r="B694" s="18"/>
      <c r="C694" s="79"/>
      <c r="D694" s="18"/>
      <c r="E694" s="15"/>
      <c r="F694" s="18"/>
      <c r="G694" s="15"/>
      <c r="H694" s="15"/>
      <c r="I694" s="18"/>
    </row>
    <row r="695">
      <c r="A695" s="112"/>
      <c r="B695" s="18"/>
      <c r="C695" s="79"/>
      <c r="D695" s="18"/>
      <c r="E695" s="15"/>
      <c r="F695" s="18"/>
      <c r="G695" s="15"/>
      <c r="H695" s="15"/>
      <c r="I695" s="18"/>
    </row>
    <row r="696">
      <c r="A696" s="112"/>
      <c r="B696" s="18"/>
      <c r="C696" s="79"/>
      <c r="D696" s="18"/>
      <c r="E696" s="15"/>
      <c r="F696" s="18"/>
      <c r="G696" s="15"/>
      <c r="H696" s="15"/>
      <c r="I696" s="18"/>
    </row>
    <row r="697">
      <c r="A697" s="112"/>
      <c r="B697" s="18"/>
      <c r="C697" s="79"/>
      <c r="D697" s="18"/>
      <c r="E697" s="15"/>
      <c r="F697" s="18"/>
      <c r="G697" s="15"/>
      <c r="H697" s="15"/>
      <c r="I697" s="18"/>
    </row>
    <row r="698">
      <c r="A698" s="112"/>
      <c r="B698" s="18"/>
      <c r="C698" s="79"/>
      <c r="D698" s="18"/>
      <c r="E698" s="15"/>
      <c r="F698" s="18"/>
      <c r="G698" s="15"/>
      <c r="H698" s="15"/>
      <c r="I698" s="18"/>
    </row>
    <row r="699">
      <c r="A699" s="112"/>
      <c r="B699" s="18"/>
      <c r="C699" s="79"/>
      <c r="D699" s="18"/>
      <c r="E699" s="15"/>
      <c r="F699" s="18"/>
      <c r="G699" s="15"/>
      <c r="H699" s="15"/>
      <c r="I699" s="18"/>
    </row>
    <row r="700">
      <c r="A700" s="112"/>
      <c r="B700" s="18"/>
      <c r="C700" s="79"/>
      <c r="D700" s="18"/>
      <c r="E700" s="15"/>
      <c r="F700" s="18"/>
      <c r="G700" s="15"/>
      <c r="H700" s="15"/>
      <c r="I700" s="18"/>
    </row>
    <row r="701">
      <c r="A701" s="112"/>
      <c r="B701" s="18"/>
      <c r="C701" s="79"/>
      <c r="D701" s="18"/>
      <c r="E701" s="15"/>
      <c r="F701" s="18"/>
      <c r="G701" s="15"/>
      <c r="H701" s="15"/>
      <c r="I701" s="18"/>
    </row>
    <row r="702">
      <c r="A702" s="112"/>
      <c r="B702" s="18"/>
      <c r="C702" s="79"/>
      <c r="D702" s="18"/>
      <c r="E702" s="15"/>
      <c r="F702" s="18"/>
      <c r="G702" s="15"/>
      <c r="H702" s="15"/>
      <c r="I702" s="18"/>
    </row>
    <row r="703">
      <c r="A703" s="112"/>
      <c r="B703" s="18"/>
      <c r="C703" s="79"/>
      <c r="D703" s="18"/>
      <c r="E703" s="15"/>
      <c r="F703" s="18"/>
      <c r="G703" s="15"/>
      <c r="H703" s="15"/>
      <c r="I703" s="18"/>
    </row>
    <row r="704">
      <c r="A704" s="112"/>
      <c r="B704" s="18"/>
      <c r="C704" s="79"/>
      <c r="D704" s="18"/>
      <c r="E704" s="15"/>
      <c r="F704" s="18"/>
      <c r="G704" s="15"/>
      <c r="H704" s="15"/>
      <c r="I704" s="18"/>
    </row>
    <row r="705">
      <c r="A705" s="112"/>
      <c r="B705" s="18"/>
      <c r="C705" s="79"/>
      <c r="D705" s="18"/>
      <c r="E705" s="15"/>
      <c r="F705" s="18"/>
      <c r="G705" s="15"/>
      <c r="H705" s="15"/>
      <c r="I705" s="18"/>
    </row>
    <row r="706">
      <c r="A706" s="112"/>
      <c r="B706" s="18"/>
      <c r="C706" s="79"/>
      <c r="D706" s="18"/>
      <c r="E706" s="15"/>
      <c r="F706" s="18"/>
      <c r="G706" s="15"/>
      <c r="H706" s="15"/>
      <c r="I706" s="18"/>
    </row>
    <row r="707">
      <c r="A707" s="112"/>
      <c r="B707" s="18"/>
      <c r="C707" s="79"/>
      <c r="D707" s="18"/>
      <c r="E707" s="15"/>
      <c r="F707" s="18"/>
      <c r="G707" s="15"/>
      <c r="H707" s="15"/>
      <c r="I707" s="18"/>
    </row>
    <row r="708">
      <c r="A708" s="112"/>
      <c r="B708" s="18"/>
      <c r="C708" s="79"/>
      <c r="D708" s="18"/>
      <c r="E708" s="15"/>
      <c r="F708" s="18"/>
      <c r="G708" s="15"/>
      <c r="H708" s="15"/>
      <c r="I708" s="18"/>
    </row>
    <row r="709">
      <c r="A709" s="112"/>
      <c r="B709" s="18"/>
      <c r="C709" s="79"/>
      <c r="D709" s="18"/>
      <c r="E709" s="15"/>
      <c r="F709" s="18"/>
      <c r="G709" s="15"/>
      <c r="H709" s="15"/>
      <c r="I709" s="18"/>
    </row>
    <row r="710">
      <c r="A710" s="112"/>
      <c r="B710" s="18"/>
      <c r="C710" s="79"/>
      <c r="D710" s="18"/>
      <c r="E710" s="15"/>
      <c r="F710" s="18"/>
      <c r="G710" s="15"/>
      <c r="H710" s="15"/>
      <c r="I710" s="18"/>
    </row>
    <row r="711">
      <c r="A711" s="112"/>
      <c r="B711" s="18"/>
      <c r="C711" s="79"/>
      <c r="D711" s="18"/>
      <c r="E711" s="15"/>
      <c r="F711" s="18"/>
      <c r="G711" s="15"/>
      <c r="H711" s="15"/>
      <c r="I711" s="18"/>
    </row>
    <row r="712">
      <c r="A712" s="112"/>
      <c r="B712" s="18"/>
      <c r="C712" s="79"/>
      <c r="D712" s="18"/>
      <c r="E712" s="15"/>
      <c r="F712" s="18"/>
      <c r="G712" s="15"/>
      <c r="H712" s="15"/>
      <c r="I712" s="18"/>
    </row>
    <row r="713">
      <c r="A713" s="112"/>
      <c r="B713" s="18"/>
      <c r="C713" s="79"/>
      <c r="D713" s="18"/>
      <c r="E713" s="15"/>
      <c r="F713" s="18"/>
      <c r="G713" s="15"/>
      <c r="H713" s="15"/>
      <c r="I713" s="18"/>
    </row>
    <row r="714">
      <c r="A714" s="112"/>
      <c r="B714" s="18"/>
      <c r="C714" s="79"/>
      <c r="D714" s="18"/>
      <c r="E714" s="15"/>
      <c r="F714" s="18"/>
      <c r="G714" s="15"/>
      <c r="H714" s="15"/>
      <c r="I714" s="18"/>
    </row>
    <row r="715">
      <c r="A715" s="112"/>
      <c r="B715" s="18"/>
      <c r="C715" s="79"/>
      <c r="D715" s="18"/>
      <c r="E715" s="15"/>
      <c r="F715" s="18"/>
      <c r="G715" s="15"/>
      <c r="H715" s="15"/>
      <c r="I715" s="18"/>
    </row>
    <row r="716">
      <c r="A716" s="112"/>
      <c r="B716" s="18"/>
      <c r="C716" s="79"/>
      <c r="D716" s="18"/>
      <c r="E716" s="15"/>
      <c r="F716" s="18"/>
      <c r="G716" s="15"/>
      <c r="H716" s="15"/>
      <c r="I716" s="18"/>
    </row>
    <row r="717">
      <c r="A717" s="112"/>
      <c r="B717" s="18"/>
      <c r="C717" s="79"/>
      <c r="D717" s="18"/>
      <c r="E717" s="15"/>
      <c r="F717" s="18"/>
      <c r="G717" s="15"/>
      <c r="H717" s="15"/>
      <c r="I717" s="18"/>
    </row>
    <row r="718">
      <c r="A718" s="112"/>
      <c r="B718" s="18"/>
      <c r="C718" s="79"/>
      <c r="D718" s="18"/>
      <c r="E718" s="15"/>
      <c r="F718" s="18"/>
      <c r="G718" s="15"/>
      <c r="H718" s="15"/>
      <c r="I718" s="18"/>
    </row>
    <row r="719">
      <c r="A719" s="112"/>
      <c r="B719" s="18"/>
      <c r="C719" s="79"/>
      <c r="D719" s="18"/>
      <c r="E719" s="15"/>
      <c r="F719" s="18"/>
      <c r="G719" s="15"/>
      <c r="H719" s="15"/>
      <c r="I719" s="18"/>
    </row>
    <row r="720">
      <c r="A720" s="112"/>
      <c r="B720" s="18"/>
      <c r="C720" s="79"/>
      <c r="D720" s="18"/>
      <c r="E720" s="15"/>
      <c r="F720" s="18"/>
      <c r="G720" s="15"/>
      <c r="H720" s="15"/>
      <c r="I720" s="18"/>
    </row>
    <row r="721">
      <c r="A721" s="112"/>
      <c r="B721" s="18"/>
      <c r="C721" s="79"/>
      <c r="D721" s="18"/>
      <c r="E721" s="15"/>
      <c r="F721" s="18"/>
      <c r="G721" s="15"/>
      <c r="H721" s="15"/>
      <c r="I721" s="18"/>
    </row>
    <row r="722">
      <c r="A722" s="112"/>
      <c r="B722" s="18"/>
      <c r="C722" s="79"/>
      <c r="D722" s="18"/>
      <c r="E722" s="15"/>
      <c r="F722" s="18"/>
      <c r="G722" s="15"/>
      <c r="H722" s="15"/>
      <c r="I722" s="18"/>
    </row>
    <row r="723">
      <c r="A723" s="112"/>
      <c r="B723" s="18"/>
      <c r="C723" s="79"/>
      <c r="D723" s="18"/>
      <c r="E723" s="15"/>
      <c r="F723" s="18"/>
      <c r="G723" s="15"/>
      <c r="H723" s="15"/>
      <c r="I723" s="18"/>
    </row>
    <row r="724">
      <c r="A724" s="112"/>
      <c r="B724" s="18"/>
      <c r="C724" s="79"/>
      <c r="D724" s="18"/>
      <c r="E724" s="15"/>
      <c r="F724" s="18"/>
      <c r="G724" s="15"/>
      <c r="H724" s="15"/>
      <c r="I724" s="18"/>
    </row>
    <row r="725">
      <c r="A725" s="112"/>
      <c r="B725" s="18"/>
      <c r="C725" s="79"/>
      <c r="D725" s="18"/>
      <c r="E725" s="15"/>
      <c r="F725" s="18"/>
      <c r="G725" s="15"/>
      <c r="H725" s="15"/>
      <c r="I725" s="18"/>
    </row>
    <row r="726">
      <c r="A726" s="112"/>
      <c r="B726" s="18"/>
      <c r="C726" s="79"/>
      <c r="D726" s="18"/>
      <c r="E726" s="15"/>
      <c r="F726" s="18"/>
      <c r="G726" s="15"/>
      <c r="H726" s="15"/>
      <c r="I726" s="18"/>
    </row>
    <row r="727">
      <c r="A727" s="112"/>
      <c r="B727" s="18"/>
      <c r="C727" s="79"/>
      <c r="D727" s="18"/>
      <c r="E727" s="15"/>
      <c r="F727" s="18"/>
      <c r="G727" s="15"/>
      <c r="H727" s="15"/>
      <c r="I727" s="18"/>
    </row>
    <row r="728">
      <c r="A728" s="112"/>
      <c r="B728" s="18"/>
      <c r="C728" s="79"/>
      <c r="D728" s="18"/>
      <c r="E728" s="15"/>
      <c r="F728" s="18"/>
      <c r="G728" s="15"/>
      <c r="H728" s="15"/>
      <c r="I728" s="18"/>
    </row>
    <row r="729">
      <c r="A729" s="112"/>
      <c r="B729" s="18"/>
      <c r="C729" s="79"/>
      <c r="D729" s="18"/>
      <c r="E729" s="15"/>
      <c r="F729" s="18"/>
      <c r="G729" s="15"/>
      <c r="H729" s="15"/>
      <c r="I729" s="18"/>
    </row>
    <row r="730">
      <c r="A730" s="112"/>
      <c r="B730" s="18"/>
      <c r="C730" s="79"/>
      <c r="D730" s="18"/>
      <c r="E730" s="15"/>
      <c r="F730" s="18"/>
      <c r="G730" s="15"/>
      <c r="H730" s="15"/>
      <c r="I730" s="18"/>
    </row>
    <row r="731">
      <c r="A731" s="112"/>
      <c r="B731" s="18"/>
      <c r="C731" s="79"/>
      <c r="D731" s="18"/>
      <c r="E731" s="15"/>
      <c r="F731" s="18"/>
      <c r="G731" s="15"/>
      <c r="H731" s="15"/>
      <c r="I731" s="18"/>
    </row>
    <row r="732">
      <c r="A732" s="112"/>
      <c r="B732" s="18"/>
      <c r="C732" s="79"/>
      <c r="D732" s="18"/>
      <c r="E732" s="15"/>
      <c r="F732" s="18"/>
      <c r="G732" s="15"/>
      <c r="H732" s="15"/>
      <c r="I732" s="18"/>
    </row>
    <row r="733">
      <c r="A733" s="112"/>
      <c r="B733" s="18"/>
      <c r="C733" s="79"/>
      <c r="D733" s="18"/>
      <c r="E733" s="15"/>
      <c r="F733" s="18"/>
      <c r="G733" s="15"/>
      <c r="H733" s="15"/>
      <c r="I733" s="18"/>
    </row>
    <row r="734">
      <c r="A734" s="112"/>
      <c r="B734" s="18"/>
      <c r="C734" s="79"/>
      <c r="D734" s="18"/>
      <c r="E734" s="15"/>
      <c r="F734" s="18"/>
      <c r="G734" s="15"/>
      <c r="H734" s="15"/>
      <c r="I734" s="18"/>
    </row>
    <row r="735">
      <c r="A735" s="112"/>
      <c r="B735" s="18"/>
      <c r="C735" s="79"/>
      <c r="D735" s="18"/>
      <c r="E735" s="15"/>
      <c r="F735" s="18"/>
      <c r="G735" s="15"/>
      <c r="H735" s="15"/>
      <c r="I735" s="18"/>
    </row>
    <row r="736">
      <c r="A736" s="112"/>
      <c r="B736" s="18"/>
      <c r="C736" s="79"/>
      <c r="D736" s="18"/>
      <c r="E736" s="15"/>
      <c r="F736" s="18"/>
      <c r="G736" s="15"/>
      <c r="H736" s="15"/>
      <c r="I736" s="18"/>
    </row>
    <row r="737">
      <c r="A737" s="112"/>
      <c r="B737" s="18"/>
      <c r="C737" s="79"/>
      <c r="D737" s="18"/>
      <c r="E737" s="15"/>
      <c r="F737" s="18"/>
      <c r="G737" s="15"/>
      <c r="H737" s="15"/>
      <c r="I737" s="18"/>
    </row>
    <row r="738">
      <c r="A738" s="112"/>
      <c r="B738" s="18"/>
      <c r="C738" s="79"/>
      <c r="D738" s="18"/>
      <c r="E738" s="15"/>
      <c r="F738" s="18"/>
      <c r="G738" s="15"/>
      <c r="H738" s="15"/>
      <c r="I738" s="18"/>
    </row>
    <row r="739">
      <c r="A739" s="112"/>
      <c r="B739" s="18"/>
      <c r="C739" s="79"/>
      <c r="D739" s="18"/>
      <c r="E739" s="15"/>
      <c r="F739" s="18"/>
      <c r="G739" s="15"/>
      <c r="H739" s="15"/>
      <c r="I739" s="18"/>
    </row>
    <row r="740">
      <c r="A740" s="112"/>
      <c r="B740" s="18"/>
      <c r="C740" s="79"/>
      <c r="D740" s="18"/>
      <c r="E740" s="15"/>
      <c r="F740" s="18"/>
      <c r="G740" s="15"/>
      <c r="H740" s="15"/>
      <c r="I740" s="18"/>
    </row>
    <row r="741">
      <c r="A741" s="112"/>
      <c r="B741" s="18"/>
      <c r="C741" s="79"/>
      <c r="D741" s="18"/>
      <c r="E741" s="15"/>
      <c r="F741" s="18"/>
      <c r="G741" s="15"/>
      <c r="H741" s="15"/>
      <c r="I741" s="18"/>
    </row>
    <row r="742">
      <c r="A742" s="112"/>
      <c r="B742" s="18"/>
      <c r="C742" s="79"/>
      <c r="D742" s="18"/>
      <c r="E742" s="15"/>
      <c r="F742" s="18"/>
      <c r="G742" s="15"/>
      <c r="H742" s="15"/>
      <c r="I742" s="18"/>
    </row>
    <row r="743">
      <c r="A743" s="112"/>
      <c r="B743" s="18"/>
      <c r="C743" s="79"/>
      <c r="D743" s="18"/>
      <c r="E743" s="15"/>
      <c r="F743" s="18"/>
      <c r="G743" s="15"/>
      <c r="H743" s="15"/>
      <c r="I743" s="18"/>
    </row>
    <row r="744">
      <c r="A744" s="112"/>
      <c r="B744" s="18"/>
      <c r="C744" s="79"/>
      <c r="D744" s="18"/>
      <c r="E744" s="15"/>
      <c r="F744" s="18"/>
      <c r="G744" s="15"/>
      <c r="H744" s="15"/>
      <c r="I744" s="18"/>
    </row>
    <row r="745">
      <c r="A745" s="112"/>
      <c r="B745" s="18"/>
      <c r="C745" s="79"/>
      <c r="D745" s="18"/>
      <c r="E745" s="15"/>
      <c r="F745" s="18"/>
      <c r="G745" s="15"/>
      <c r="H745" s="15"/>
      <c r="I745" s="18"/>
    </row>
    <row r="746">
      <c r="A746" s="112"/>
      <c r="B746" s="18"/>
      <c r="C746" s="79"/>
      <c r="D746" s="18"/>
      <c r="E746" s="15"/>
      <c r="F746" s="18"/>
      <c r="G746" s="15"/>
      <c r="H746" s="15"/>
      <c r="I746" s="18"/>
    </row>
    <row r="747">
      <c r="A747" s="112"/>
      <c r="B747" s="18"/>
      <c r="C747" s="79"/>
      <c r="D747" s="18"/>
      <c r="E747" s="15"/>
      <c r="F747" s="18"/>
      <c r="G747" s="15"/>
      <c r="H747" s="15"/>
      <c r="I747" s="18"/>
    </row>
    <row r="748">
      <c r="A748" s="112"/>
      <c r="B748" s="18"/>
      <c r="C748" s="79"/>
      <c r="D748" s="18"/>
      <c r="E748" s="15"/>
      <c r="F748" s="18"/>
      <c r="G748" s="15"/>
      <c r="H748" s="15"/>
      <c r="I748" s="18"/>
    </row>
    <row r="749">
      <c r="A749" s="112"/>
      <c r="B749" s="18"/>
      <c r="C749" s="79"/>
      <c r="D749" s="18"/>
      <c r="E749" s="15"/>
      <c r="F749" s="18"/>
      <c r="G749" s="15"/>
      <c r="H749" s="15"/>
      <c r="I749" s="18"/>
    </row>
    <row r="750">
      <c r="A750" s="112"/>
      <c r="B750" s="18"/>
      <c r="C750" s="79"/>
      <c r="D750" s="18"/>
      <c r="E750" s="15"/>
      <c r="F750" s="18"/>
      <c r="G750" s="15"/>
      <c r="H750" s="15"/>
      <c r="I750" s="18"/>
    </row>
    <row r="751">
      <c r="A751" s="112"/>
      <c r="B751" s="18"/>
      <c r="C751" s="79"/>
      <c r="D751" s="18"/>
      <c r="E751" s="15"/>
      <c r="F751" s="18"/>
      <c r="G751" s="15"/>
      <c r="H751" s="15"/>
      <c r="I751" s="18"/>
    </row>
    <row r="752">
      <c r="A752" s="112"/>
      <c r="B752" s="18"/>
      <c r="C752" s="79"/>
      <c r="D752" s="18"/>
      <c r="E752" s="15"/>
      <c r="F752" s="18"/>
      <c r="G752" s="15"/>
      <c r="H752" s="15"/>
      <c r="I752" s="18"/>
    </row>
    <row r="753">
      <c r="A753" s="112"/>
      <c r="B753" s="18"/>
      <c r="C753" s="79"/>
      <c r="D753" s="18"/>
      <c r="E753" s="15"/>
      <c r="F753" s="18"/>
      <c r="G753" s="15"/>
      <c r="H753" s="15"/>
      <c r="I753" s="18"/>
    </row>
    <row r="754">
      <c r="A754" s="112"/>
      <c r="B754" s="18"/>
      <c r="C754" s="79"/>
      <c r="D754" s="18"/>
      <c r="E754" s="15"/>
      <c r="F754" s="18"/>
      <c r="G754" s="15"/>
      <c r="H754" s="15"/>
      <c r="I754" s="18"/>
    </row>
    <row r="755">
      <c r="A755" s="112"/>
      <c r="B755" s="18"/>
      <c r="C755" s="79"/>
      <c r="D755" s="18"/>
      <c r="E755" s="15"/>
      <c r="F755" s="18"/>
      <c r="G755" s="15"/>
      <c r="H755" s="15"/>
      <c r="I755" s="18"/>
    </row>
    <row r="756">
      <c r="A756" s="112"/>
      <c r="B756" s="18"/>
      <c r="C756" s="79"/>
      <c r="D756" s="18"/>
      <c r="E756" s="15"/>
      <c r="F756" s="18"/>
      <c r="G756" s="15"/>
      <c r="H756" s="15"/>
      <c r="I756" s="18"/>
    </row>
    <row r="757">
      <c r="A757" s="112"/>
      <c r="B757" s="18"/>
      <c r="C757" s="79"/>
      <c r="D757" s="18"/>
      <c r="E757" s="15"/>
      <c r="F757" s="18"/>
      <c r="G757" s="15"/>
      <c r="H757" s="15"/>
      <c r="I757" s="18"/>
    </row>
    <row r="758">
      <c r="A758" s="112"/>
      <c r="B758" s="18"/>
      <c r="C758" s="79"/>
      <c r="D758" s="18"/>
      <c r="E758" s="15"/>
      <c r="F758" s="18"/>
      <c r="G758" s="15"/>
      <c r="H758" s="15"/>
      <c r="I758" s="18"/>
    </row>
    <row r="759">
      <c r="A759" s="112"/>
      <c r="B759" s="18"/>
      <c r="C759" s="79"/>
      <c r="D759" s="18"/>
      <c r="E759" s="15"/>
      <c r="F759" s="18"/>
      <c r="G759" s="15"/>
      <c r="H759" s="15"/>
      <c r="I759" s="18"/>
    </row>
    <row r="760">
      <c r="A760" s="112"/>
      <c r="B760" s="18"/>
      <c r="C760" s="79"/>
      <c r="D760" s="18"/>
      <c r="E760" s="15"/>
      <c r="F760" s="18"/>
      <c r="G760" s="15"/>
      <c r="H760" s="15"/>
      <c r="I760" s="18"/>
    </row>
    <row r="761">
      <c r="A761" s="112"/>
      <c r="B761" s="18"/>
      <c r="C761" s="79"/>
      <c r="D761" s="18"/>
      <c r="E761" s="15"/>
      <c r="F761" s="18"/>
      <c r="G761" s="15"/>
      <c r="H761" s="15"/>
      <c r="I761" s="18"/>
    </row>
    <row r="762">
      <c r="A762" s="112"/>
      <c r="B762" s="18"/>
      <c r="C762" s="79"/>
      <c r="D762" s="18"/>
      <c r="E762" s="15"/>
      <c r="F762" s="18"/>
      <c r="G762" s="15"/>
      <c r="H762" s="15"/>
      <c r="I762" s="18"/>
    </row>
    <row r="763">
      <c r="A763" s="112"/>
      <c r="B763" s="18"/>
      <c r="C763" s="79"/>
      <c r="D763" s="18"/>
      <c r="E763" s="15"/>
      <c r="F763" s="18"/>
      <c r="G763" s="15"/>
      <c r="H763" s="15"/>
      <c r="I763" s="18"/>
    </row>
    <row r="764">
      <c r="A764" s="112"/>
      <c r="B764" s="18"/>
      <c r="C764" s="79"/>
      <c r="D764" s="18"/>
      <c r="E764" s="15"/>
      <c r="F764" s="18"/>
      <c r="G764" s="15"/>
      <c r="H764" s="15"/>
      <c r="I764" s="18"/>
    </row>
    <row r="765">
      <c r="A765" s="112"/>
      <c r="B765" s="18"/>
      <c r="C765" s="79"/>
      <c r="D765" s="18"/>
      <c r="E765" s="15"/>
      <c r="F765" s="18"/>
      <c r="G765" s="15"/>
      <c r="H765" s="15"/>
      <c r="I765" s="18"/>
    </row>
    <row r="766">
      <c r="A766" s="112"/>
      <c r="B766" s="18"/>
      <c r="C766" s="79"/>
      <c r="D766" s="18"/>
      <c r="E766" s="15"/>
      <c r="F766" s="18"/>
      <c r="G766" s="15"/>
      <c r="H766" s="15"/>
      <c r="I766" s="18"/>
    </row>
    <row r="767">
      <c r="A767" s="112"/>
      <c r="B767" s="18"/>
      <c r="C767" s="79"/>
      <c r="D767" s="18"/>
      <c r="E767" s="15"/>
      <c r="F767" s="18"/>
      <c r="G767" s="15"/>
      <c r="H767" s="15"/>
      <c r="I767" s="18"/>
    </row>
    <row r="768">
      <c r="A768" s="112"/>
      <c r="B768" s="18"/>
      <c r="C768" s="79"/>
      <c r="D768" s="18"/>
      <c r="E768" s="15"/>
      <c r="F768" s="18"/>
      <c r="G768" s="15"/>
      <c r="H768" s="15"/>
      <c r="I768" s="18"/>
    </row>
    <row r="769">
      <c r="A769" s="112"/>
      <c r="B769" s="18"/>
      <c r="C769" s="79"/>
      <c r="D769" s="18"/>
      <c r="E769" s="15"/>
      <c r="F769" s="18"/>
      <c r="G769" s="15"/>
      <c r="H769" s="15"/>
      <c r="I769" s="18"/>
    </row>
    <row r="770">
      <c r="A770" s="112"/>
      <c r="B770" s="18"/>
      <c r="C770" s="79"/>
      <c r="D770" s="18"/>
      <c r="E770" s="15"/>
      <c r="F770" s="18"/>
      <c r="G770" s="15"/>
      <c r="H770" s="15"/>
      <c r="I770" s="18"/>
    </row>
    <row r="771">
      <c r="A771" s="112"/>
      <c r="B771" s="18"/>
      <c r="C771" s="79"/>
      <c r="D771" s="18"/>
      <c r="E771" s="15"/>
      <c r="F771" s="18"/>
      <c r="G771" s="15"/>
      <c r="H771" s="15"/>
      <c r="I771" s="18"/>
    </row>
    <row r="772">
      <c r="A772" s="112"/>
      <c r="B772" s="18"/>
      <c r="C772" s="79"/>
      <c r="D772" s="18"/>
      <c r="E772" s="15"/>
      <c r="F772" s="18"/>
      <c r="G772" s="15"/>
      <c r="H772" s="15"/>
      <c r="I772" s="18"/>
    </row>
    <row r="773">
      <c r="A773" s="112"/>
      <c r="B773" s="18"/>
      <c r="C773" s="79"/>
      <c r="D773" s="18"/>
      <c r="E773" s="15"/>
      <c r="F773" s="18"/>
      <c r="G773" s="15"/>
      <c r="H773" s="15"/>
      <c r="I773" s="18"/>
    </row>
    <row r="774">
      <c r="A774" s="112"/>
      <c r="B774" s="18"/>
      <c r="C774" s="79"/>
      <c r="D774" s="18"/>
      <c r="E774" s="15"/>
      <c r="F774" s="18"/>
      <c r="G774" s="15"/>
      <c r="H774" s="15"/>
      <c r="I774" s="18"/>
    </row>
    <row r="775">
      <c r="A775" s="112"/>
      <c r="B775" s="18"/>
      <c r="C775" s="79"/>
      <c r="D775" s="18"/>
      <c r="E775" s="15"/>
      <c r="F775" s="18"/>
      <c r="G775" s="15"/>
      <c r="H775" s="15"/>
      <c r="I775" s="18"/>
    </row>
    <row r="776">
      <c r="A776" s="112"/>
      <c r="B776" s="18"/>
      <c r="C776" s="79"/>
      <c r="D776" s="18"/>
      <c r="E776" s="15"/>
      <c r="F776" s="18"/>
      <c r="G776" s="15"/>
      <c r="H776" s="15"/>
      <c r="I776" s="18"/>
    </row>
    <row r="777">
      <c r="A777" s="112"/>
      <c r="B777" s="18"/>
      <c r="C777" s="79"/>
      <c r="D777" s="18"/>
      <c r="E777" s="15"/>
      <c r="F777" s="18"/>
      <c r="G777" s="15"/>
      <c r="H777" s="15"/>
      <c r="I777" s="18"/>
    </row>
    <row r="778">
      <c r="A778" s="112"/>
      <c r="B778" s="18"/>
      <c r="C778" s="79"/>
      <c r="D778" s="18"/>
      <c r="E778" s="15"/>
      <c r="F778" s="18"/>
      <c r="G778" s="15"/>
      <c r="H778" s="15"/>
      <c r="I778" s="18"/>
    </row>
    <row r="779">
      <c r="A779" s="112"/>
      <c r="B779" s="18"/>
      <c r="C779" s="79"/>
      <c r="D779" s="18"/>
      <c r="E779" s="15"/>
      <c r="F779" s="18"/>
      <c r="G779" s="15"/>
      <c r="H779" s="15"/>
      <c r="I779" s="18"/>
    </row>
    <row r="780">
      <c r="A780" s="112"/>
      <c r="B780" s="18"/>
      <c r="C780" s="79"/>
      <c r="D780" s="18"/>
      <c r="E780" s="15"/>
      <c r="F780" s="18"/>
      <c r="G780" s="15"/>
      <c r="H780" s="15"/>
      <c r="I780" s="18"/>
    </row>
    <row r="781">
      <c r="A781" s="112"/>
      <c r="B781" s="18"/>
      <c r="C781" s="79"/>
      <c r="D781" s="18"/>
      <c r="E781" s="15"/>
      <c r="F781" s="18"/>
      <c r="G781" s="15"/>
      <c r="H781" s="15"/>
      <c r="I781" s="18"/>
    </row>
    <row r="782">
      <c r="A782" s="112"/>
      <c r="B782" s="18"/>
      <c r="C782" s="79"/>
      <c r="D782" s="18"/>
      <c r="E782" s="15"/>
      <c r="F782" s="18"/>
      <c r="G782" s="15"/>
      <c r="H782" s="15"/>
      <c r="I782" s="18"/>
    </row>
    <row r="783">
      <c r="A783" s="112"/>
      <c r="B783" s="18"/>
      <c r="C783" s="79"/>
      <c r="D783" s="18"/>
      <c r="E783" s="15"/>
      <c r="F783" s="18"/>
      <c r="G783" s="15"/>
      <c r="H783" s="15"/>
      <c r="I783" s="18"/>
    </row>
    <row r="784">
      <c r="A784" s="112"/>
      <c r="B784" s="18"/>
      <c r="C784" s="79"/>
      <c r="D784" s="18"/>
      <c r="E784" s="15"/>
      <c r="F784" s="18"/>
      <c r="G784" s="15"/>
      <c r="H784" s="15"/>
      <c r="I784" s="18"/>
    </row>
    <row r="785">
      <c r="A785" s="112"/>
      <c r="B785" s="18"/>
      <c r="C785" s="79"/>
      <c r="D785" s="18"/>
      <c r="E785" s="15"/>
      <c r="F785" s="18"/>
      <c r="G785" s="15"/>
      <c r="H785" s="15"/>
      <c r="I785" s="18"/>
    </row>
    <row r="786">
      <c r="A786" s="112"/>
      <c r="B786" s="18"/>
      <c r="C786" s="79"/>
      <c r="D786" s="18"/>
      <c r="E786" s="15"/>
      <c r="F786" s="18"/>
      <c r="G786" s="15"/>
      <c r="H786" s="15"/>
      <c r="I786" s="18"/>
    </row>
    <row r="787">
      <c r="A787" s="112"/>
      <c r="B787" s="18"/>
      <c r="C787" s="79"/>
      <c r="D787" s="18"/>
      <c r="E787" s="15"/>
      <c r="F787" s="18"/>
      <c r="G787" s="15"/>
      <c r="H787" s="15"/>
      <c r="I787" s="18"/>
    </row>
    <row r="788">
      <c r="A788" s="112"/>
      <c r="B788" s="18"/>
      <c r="C788" s="79"/>
      <c r="D788" s="18"/>
      <c r="E788" s="15"/>
      <c r="F788" s="18"/>
      <c r="G788" s="15"/>
      <c r="H788" s="15"/>
      <c r="I788" s="18"/>
    </row>
    <row r="789">
      <c r="A789" s="112"/>
      <c r="B789" s="18"/>
      <c r="C789" s="79"/>
      <c r="D789" s="18"/>
      <c r="E789" s="15"/>
      <c r="F789" s="18"/>
      <c r="G789" s="15"/>
      <c r="H789" s="15"/>
      <c r="I789" s="18"/>
    </row>
    <row r="790">
      <c r="A790" s="112"/>
      <c r="B790" s="18"/>
      <c r="C790" s="79"/>
      <c r="D790" s="18"/>
      <c r="E790" s="15"/>
      <c r="F790" s="18"/>
      <c r="G790" s="15"/>
      <c r="H790" s="15"/>
      <c r="I790" s="18"/>
    </row>
    <row r="791">
      <c r="A791" s="112"/>
      <c r="B791" s="18"/>
      <c r="C791" s="79"/>
      <c r="D791" s="18"/>
      <c r="E791" s="15"/>
      <c r="F791" s="18"/>
      <c r="G791" s="15"/>
      <c r="H791" s="15"/>
      <c r="I791" s="18"/>
    </row>
    <row r="792">
      <c r="A792" s="112"/>
      <c r="B792" s="18"/>
      <c r="C792" s="79"/>
      <c r="D792" s="18"/>
      <c r="E792" s="15"/>
      <c r="F792" s="18"/>
      <c r="G792" s="15"/>
      <c r="H792" s="15"/>
      <c r="I792" s="18"/>
    </row>
    <row r="793">
      <c r="A793" s="112"/>
      <c r="B793" s="18"/>
      <c r="C793" s="79"/>
      <c r="D793" s="18"/>
      <c r="E793" s="15"/>
      <c r="F793" s="18"/>
      <c r="G793" s="15"/>
      <c r="H793" s="15"/>
      <c r="I793" s="18"/>
    </row>
    <row r="794">
      <c r="A794" s="112"/>
      <c r="B794" s="18"/>
      <c r="C794" s="79"/>
      <c r="D794" s="18"/>
      <c r="E794" s="15"/>
      <c r="F794" s="18"/>
      <c r="G794" s="15"/>
      <c r="H794" s="15"/>
      <c r="I794" s="18"/>
    </row>
    <row r="795">
      <c r="A795" s="112"/>
      <c r="B795" s="18"/>
      <c r="C795" s="79"/>
      <c r="D795" s="18"/>
      <c r="E795" s="15"/>
      <c r="F795" s="18"/>
      <c r="G795" s="15"/>
      <c r="H795" s="15"/>
      <c r="I795" s="18"/>
    </row>
    <row r="796">
      <c r="A796" s="112"/>
      <c r="B796" s="18"/>
      <c r="C796" s="79"/>
      <c r="D796" s="18"/>
      <c r="E796" s="15"/>
      <c r="F796" s="18"/>
      <c r="G796" s="15"/>
      <c r="H796" s="15"/>
      <c r="I796" s="18"/>
    </row>
    <row r="797">
      <c r="A797" s="112"/>
      <c r="B797" s="18"/>
      <c r="C797" s="79"/>
      <c r="D797" s="18"/>
      <c r="E797" s="15"/>
      <c r="F797" s="18"/>
      <c r="G797" s="15"/>
      <c r="H797" s="15"/>
      <c r="I797" s="18"/>
    </row>
    <row r="798">
      <c r="A798" s="112"/>
      <c r="B798" s="18"/>
      <c r="C798" s="79"/>
      <c r="D798" s="18"/>
      <c r="E798" s="15"/>
      <c r="F798" s="18"/>
      <c r="G798" s="15"/>
      <c r="H798" s="15"/>
      <c r="I798" s="18"/>
    </row>
    <row r="799">
      <c r="A799" s="112"/>
      <c r="B799" s="18"/>
      <c r="C799" s="79"/>
      <c r="D799" s="18"/>
      <c r="E799" s="15"/>
      <c r="F799" s="18"/>
      <c r="G799" s="15"/>
      <c r="H799" s="15"/>
      <c r="I799" s="18"/>
    </row>
    <row r="800">
      <c r="A800" s="112"/>
      <c r="B800" s="18"/>
      <c r="C800" s="79"/>
      <c r="D800" s="18"/>
      <c r="E800" s="15"/>
      <c r="F800" s="18"/>
      <c r="G800" s="15"/>
      <c r="H800" s="15"/>
      <c r="I800" s="18"/>
    </row>
    <row r="801">
      <c r="A801" s="112"/>
      <c r="B801" s="18"/>
      <c r="C801" s="79"/>
      <c r="D801" s="18"/>
      <c r="E801" s="15"/>
      <c r="F801" s="18"/>
      <c r="G801" s="15"/>
      <c r="H801" s="15"/>
      <c r="I801" s="18"/>
    </row>
    <row r="802">
      <c r="A802" s="112"/>
      <c r="B802" s="18"/>
      <c r="C802" s="79"/>
      <c r="D802" s="18"/>
      <c r="E802" s="15"/>
      <c r="F802" s="18"/>
      <c r="G802" s="15"/>
      <c r="H802" s="15"/>
      <c r="I802" s="18"/>
    </row>
    <row r="803">
      <c r="A803" s="112"/>
      <c r="B803" s="18"/>
      <c r="C803" s="79"/>
      <c r="D803" s="18"/>
      <c r="E803" s="15"/>
      <c r="F803" s="18"/>
      <c r="G803" s="15"/>
      <c r="H803" s="15"/>
      <c r="I803" s="18"/>
    </row>
    <row r="804">
      <c r="A804" s="112"/>
      <c r="B804" s="18"/>
      <c r="C804" s="79"/>
      <c r="D804" s="18"/>
      <c r="E804" s="15"/>
      <c r="F804" s="18"/>
      <c r="G804" s="15"/>
      <c r="H804" s="15"/>
      <c r="I804" s="18"/>
    </row>
    <row r="805">
      <c r="A805" s="112"/>
      <c r="B805" s="18"/>
      <c r="C805" s="79"/>
      <c r="D805" s="18"/>
      <c r="E805" s="15"/>
      <c r="F805" s="18"/>
      <c r="G805" s="15"/>
      <c r="H805" s="15"/>
      <c r="I805" s="18"/>
    </row>
    <row r="806">
      <c r="A806" s="112"/>
      <c r="B806" s="18"/>
      <c r="C806" s="79"/>
      <c r="D806" s="18"/>
      <c r="E806" s="15"/>
      <c r="F806" s="18"/>
      <c r="G806" s="15"/>
      <c r="H806" s="15"/>
      <c r="I806" s="18"/>
    </row>
    <row r="807">
      <c r="A807" s="112"/>
      <c r="B807" s="18"/>
      <c r="C807" s="79"/>
      <c r="D807" s="18"/>
      <c r="E807" s="15"/>
      <c r="F807" s="18"/>
      <c r="G807" s="15"/>
      <c r="H807" s="15"/>
      <c r="I807" s="18"/>
    </row>
    <row r="808">
      <c r="A808" s="112"/>
      <c r="B808" s="18"/>
      <c r="C808" s="79"/>
      <c r="D808" s="18"/>
      <c r="E808" s="15"/>
      <c r="F808" s="18"/>
      <c r="G808" s="15"/>
      <c r="H808" s="15"/>
      <c r="I808" s="18"/>
    </row>
    <row r="809">
      <c r="A809" s="112"/>
      <c r="B809" s="18"/>
      <c r="C809" s="79"/>
      <c r="D809" s="18"/>
      <c r="E809" s="15"/>
      <c r="F809" s="18"/>
      <c r="G809" s="15"/>
      <c r="H809" s="15"/>
      <c r="I809" s="18"/>
    </row>
    <row r="810">
      <c r="A810" s="112"/>
      <c r="B810" s="18"/>
      <c r="C810" s="79"/>
      <c r="D810" s="18"/>
      <c r="E810" s="15"/>
      <c r="F810" s="18"/>
      <c r="G810" s="15"/>
      <c r="H810" s="15"/>
      <c r="I810" s="18"/>
    </row>
    <row r="811">
      <c r="A811" s="112"/>
      <c r="B811" s="18"/>
      <c r="C811" s="79"/>
      <c r="D811" s="18"/>
      <c r="E811" s="15"/>
      <c r="F811" s="18"/>
      <c r="G811" s="15"/>
      <c r="H811" s="15"/>
      <c r="I811" s="18"/>
    </row>
    <row r="812">
      <c r="A812" s="112"/>
      <c r="B812" s="18"/>
      <c r="C812" s="79"/>
      <c r="D812" s="18"/>
      <c r="E812" s="15"/>
      <c r="F812" s="18"/>
      <c r="G812" s="15"/>
      <c r="H812" s="15"/>
      <c r="I812" s="18"/>
    </row>
    <row r="813">
      <c r="A813" s="112"/>
      <c r="B813" s="18"/>
      <c r="C813" s="79"/>
      <c r="D813" s="18"/>
      <c r="E813" s="15"/>
      <c r="F813" s="18"/>
      <c r="G813" s="15"/>
      <c r="H813" s="15"/>
      <c r="I813" s="18"/>
    </row>
    <row r="814">
      <c r="A814" s="112"/>
      <c r="B814" s="18"/>
      <c r="C814" s="79"/>
      <c r="D814" s="18"/>
      <c r="E814" s="15"/>
      <c r="F814" s="18"/>
      <c r="G814" s="15"/>
      <c r="H814" s="15"/>
      <c r="I814" s="18"/>
    </row>
    <row r="815">
      <c r="A815" s="112"/>
      <c r="B815" s="18"/>
      <c r="C815" s="79"/>
      <c r="D815" s="18"/>
      <c r="E815" s="15"/>
      <c r="F815" s="18"/>
      <c r="G815" s="15"/>
      <c r="H815" s="15"/>
      <c r="I815" s="18"/>
    </row>
    <row r="816">
      <c r="A816" s="112"/>
      <c r="B816" s="18"/>
      <c r="C816" s="79"/>
      <c r="D816" s="18"/>
      <c r="E816" s="15"/>
      <c r="F816" s="18"/>
      <c r="G816" s="15"/>
      <c r="H816" s="15"/>
      <c r="I816" s="18"/>
    </row>
    <row r="817">
      <c r="A817" s="112"/>
      <c r="B817" s="18"/>
      <c r="C817" s="79"/>
      <c r="D817" s="18"/>
      <c r="E817" s="15"/>
      <c r="F817" s="18"/>
      <c r="G817" s="15"/>
      <c r="H817" s="15"/>
      <c r="I817" s="18"/>
    </row>
    <row r="818">
      <c r="A818" s="112"/>
      <c r="B818" s="18"/>
      <c r="C818" s="79"/>
      <c r="D818" s="18"/>
      <c r="E818" s="15"/>
      <c r="F818" s="18"/>
      <c r="G818" s="15"/>
      <c r="H818" s="15"/>
      <c r="I818" s="18"/>
    </row>
    <row r="819">
      <c r="A819" s="112"/>
      <c r="B819" s="18"/>
      <c r="C819" s="79"/>
      <c r="D819" s="18"/>
      <c r="E819" s="15"/>
      <c r="F819" s="18"/>
      <c r="G819" s="15"/>
      <c r="H819" s="15"/>
      <c r="I819" s="18"/>
    </row>
    <row r="820">
      <c r="A820" s="112"/>
      <c r="B820" s="18"/>
      <c r="C820" s="79"/>
      <c r="D820" s="18"/>
      <c r="E820" s="15"/>
      <c r="F820" s="18"/>
      <c r="G820" s="15"/>
      <c r="H820" s="15"/>
      <c r="I820" s="18"/>
    </row>
    <row r="821">
      <c r="A821" s="112"/>
      <c r="B821" s="18"/>
      <c r="C821" s="79"/>
      <c r="D821" s="18"/>
      <c r="E821" s="15"/>
      <c r="F821" s="18"/>
      <c r="G821" s="15"/>
      <c r="H821" s="15"/>
      <c r="I821" s="18"/>
    </row>
    <row r="822">
      <c r="A822" s="112"/>
      <c r="B822" s="18"/>
      <c r="C822" s="79"/>
      <c r="D822" s="18"/>
      <c r="E822" s="15"/>
      <c r="F822" s="18"/>
      <c r="G822" s="15"/>
      <c r="H822" s="15"/>
      <c r="I822" s="18"/>
    </row>
    <row r="823">
      <c r="A823" s="112"/>
      <c r="B823" s="18"/>
      <c r="C823" s="79"/>
      <c r="D823" s="18"/>
      <c r="E823" s="15"/>
      <c r="F823" s="18"/>
      <c r="G823" s="15"/>
      <c r="H823" s="15"/>
      <c r="I823" s="18"/>
    </row>
    <row r="824">
      <c r="A824" s="112"/>
      <c r="B824" s="18"/>
      <c r="C824" s="79"/>
      <c r="D824" s="18"/>
      <c r="E824" s="15"/>
      <c r="F824" s="18"/>
      <c r="G824" s="15"/>
      <c r="H824" s="15"/>
      <c r="I824" s="18"/>
    </row>
    <row r="825">
      <c r="A825" s="112"/>
      <c r="B825" s="18"/>
      <c r="C825" s="79"/>
      <c r="D825" s="18"/>
      <c r="E825" s="15"/>
      <c r="F825" s="18"/>
      <c r="G825" s="15"/>
      <c r="H825" s="15"/>
      <c r="I825" s="18"/>
    </row>
    <row r="826">
      <c r="A826" s="112"/>
      <c r="B826" s="18"/>
      <c r="C826" s="79"/>
      <c r="D826" s="18"/>
      <c r="E826" s="15"/>
      <c r="F826" s="18"/>
      <c r="G826" s="15"/>
      <c r="H826" s="15"/>
      <c r="I826" s="18"/>
    </row>
    <row r="827">
      <c r="A827" s="112"/>
      <c r="B827" s="18"/>
      <c r="C827" s="79"/>
      <c r="D827" s="18"/>
      <c r="E827" s="15"/>
      <c r="F827" s="18"/>
      <c r="G827" s="15"/>
      <c r="H827" s="15"/>
      <c r="I827" s="18"/>
    </row>
    <row r="828">
      <c r="A828" s="112"/>
      <c r="B828" s="18"/>
      <c r="C828" s="79"/>
      <c r="D828" s="18"/>
      <c r="E828" s="15"/>
      <c r="F828" s="18"/>
      <c r="G828" s="15"/>
      <c r="H828" s="15"/>
      <c r="I828" s="18"/>
    </row>
    <row r="829">
      <c r="A829" s="112"/>
      <c r="B829" s="18"/>
      <c r="C829" s="79"/>
      <c r="D829" s="18"/>
      <c r="E829" s="15"/>
      <c r="F829" s="18"/>
      <c r="G829" s="15"/>
      <c r="H829" s="15"/>
      <c r="I829" s="18"/>
    </row>
    <row r="830">
      <c r="A830" s="112"/>
      <c r="B830" s="18"/>
      <c r="C830" s="79"/>
      <c r="D830" s="18"/>
      <c r="E830" s="15"/>
      <c r="F830" s="18"/>
      <c r="G830" s="15"/>
      <c r="H830" s="15"/>
      <c r="I830" s="18"/>
    </row>
    <row r="831">
      <c r="A831" s="112"/>
      <c r="B831" s="18"/>
      <c r="C831" s="79"/>
      <c r="D831" s="18"/>
      <c r="E831" s="15"/>
      <c r="F831" s="18"/>
      <c r="G831" s="15"/>
      <c r="H831" s="15"/>
      <c r="I831" s="18"/>
    </row>
    <row r="832">
      <c r="A832" s="112"/>
      <c r="B832" s="18"/>
      <c r="C832" s="79"/>
      <c r="D832" s="18"/>
      <c r="E832" s="15"/>
      <c r="F832" s="18"/>
      <c r="G832" s="15"/>
      <c r="H832" s="15"/>
      <c r="I832" s="18"/>
    </row>
    <row r="833">
      <c r="A833" s="112"/>
      <c r="B833" s="18"/>
      <c r="C833" s="79"/>
      <c r="D833" s="18"/>
      <c r="E833" s="15"/>
      <c r="F833" s="18"/>
      <c r="G833" s="15"/>
      <c r="H833" s="15"/>
      <c r="I833" s="18"/>
    </row>
    <row r="834">
      <c r="A834" s="112"/>
      <c r="B834" s="18"/>
      <c r="C834" s="79"/>
      <c r="D834" s="18"/>
      <c r="E834" s="15"/>
      <c r="F834" s="18"/>
      <c r="G834" s="15"/>
      <c r="H834" s="15"/>
      <c r="I834" s="18"/>
    </row>
    <row r="835">
      <c r="A835" s="112"/>
      <c r="B835" s="18"/>
      <c r="C835" s="79"/>
      <c r="D835" s="18"/>
      <c r="E835" s="15"/>
      <c r="F835" s="18"/>
      <c r="G835" s="15"/>
      <c r="H835" s="15"/>
      <c r="I835" s="18"/>
    </row>
    <row r="836">
      <c r="A836" s="112"/>
      <c r="B836" s="18"/>
      <c r="C836" s="79"/>
      <c r="D836" s="18"/>
      <c r="E836" s="15"/>
      <c r="F836" s="18"/>
      <c r="G836" s="15"/>
      <c r="H836" s="15"/>
      <c r="I836" s="18"/>
    </row>
    <row r="837">
      <c r="A837" s="112"/>
      <c r="B837" s="18"/>
      <c r="C837" s="79"/>
      <c r="D837" s="18"/>
      <c r="E837" s="15"/>
      <c r="F837" s="18"/>
      <c r="G837" s="15"/>
      <c r="H837" s="15"/>
      <c r="I837" s="18"/>
    </row>
    <row r="838">
      <c r="A838" s="112"/>
      <c r="B838" s="18"/>
      <c r="C838" s="79"/>
      <c r="D838" s="18"/>
      <c r="E838" s="15"/>
      <c r="F838" s="18"/>
      <c r="G838" s="15"/>
      <c r="H838" s="15"/>
      <c r="I838" s="18"/>
    </row>
    <row r="839">
      <c r="A839" s="112"/>
      <c r="B839" s="18"/>
      <c r="C839" s="79"/>
      <c r="D839" s="18"/>
      <c r="E839" s="15"/>
      <c r="F839" s="18"/>
      <c r="G839" s="15"/>
      <c r="H839" s="15"/>
      <c r="I839" s="18"/>
    </row>
    <row r="840">
      <c r="A840" s="112"/>
      <c r="B840" s="18"/>
      <c r="C840" s="79"/>
      <c r="D840" s="18"/>
      <c r="E840" s="15"/>
      <c r="F840" s="18"/>
      <c r="G840" s="15"/>
      <c r="H840" s="15"/>
      <c r="I840" s="18"/>
    </row>
    <row r="841">
      <c r="A841" s="112"/>
      <c r="B841" s="18"/>
      <c r="C841" s="79"/>
      <c r="D841" s="18"/>
      <c r="E841" s="15"/>
      <c r="F841" s="18"/>
      <c r="G841" s="15"/>
      <c r="H841" s="15"/>
      <c r="I841" s="18"/>
    </row>
    <row r="842">
      <c r="A842" s="112"/>
      <c r="B842" s="18"/>
      <c r="C842" s="79"/>
      <c r="D842" s="18"/>
      <c r="E842" s="15"/>
      <c r="F842" s="18"/>
      <c r="G842" s="15"/>
      <c r="H842" s="15"/>
      <c r="I842" s="18"/>
    </row>
    <row r="843">
      <c r="A843" s="112"/>
      <c r="B843" s="18"/>
      <c r="C843" s="79"/>
      <c r="D843" s="18"/>
      <c r="E843" s="15"/>
      <c r="F843" s="18"/>
      <c r="G843" s="15"/>
      <c r="H843" s="15"/>
      <c r="I843" s="18"/>
    </row>
    <row r="844">
      <c r="A844" s="112"/>
      <c r="B844" s="18"/>
      <c r="C844" s="79"/>
      <c r="D844" s="18"/>
      <c r="E844" s="15"/>
      <c r="F844" s="18"/>
      <c r="G844" s="15"/>
      <c r="H844" s="15"/>
      <c r="I844" s="18"/>
    </row>
    <row r="845">
      <c r="A845" s="112"/>
      <c r="B845" s="18"/>
      <c r="C845" s="79"/>
      <c r="D845" s="18"/>
      <c r="E845" s="15"/>
      <c r="F845" s="18"/>
      <c r="G845" s="15"/>
      <c r="H845" s="15"/>
      <c r="I845" s="18"/>
    </row>
    <row r="846">
      <c r="A846" s="112"/>
      <c r="B846" s="18"/>
      <c r="C846" s="79"/>
      <c r="D846" s="18"/>
      <c r="E846" s="15"/>
      <c r="F846" s="18"/>
      <c r="G846" s="15"/>
      <c r="H846" s="15"/>
      <c r="I846" s="18"/>
    </row>
    <row r="847">
      <c r="A847" s="112"/>
      <c r="B847" s="18"/>
      <c r="C847" s="79"/>
      <c r="D847" s="18"/>
      <c r="E847" s="15"/>
      <c r="F847" s="18"/>
      <c r="G847" s="15"/>
      <c r="H847" s="15"/>
      <c r="I847" s="18"/>
    </row>
    <row r="848">
      <c r="A848" s="112"/>
      <c r="B848" s="18"/>
      <c r="C848" s="79"/>
      <c r="D848" s="18"/>
      <c r="E848" s="15"/>
      <c r="F848" s="18"/>
      <c r="G848" s="15"/>
      <c r="H848" s="15"/>
      <c r="I848" s="18"/>
    </row>
    <row r="849">
      <c r="A849" s="112"/>
      <c r="B849" s="18"/>
      <c r="C849" s="79"/>
      <c r="D849" s="18"/>
      <c r="E849" s="15"/>
      <c r="F849" s="18"/>
      <c r="G849" s="15"/>
      <c r="H849" s="15"/>
      <c r="I849" s="18"/>
    </row>
    <row r="850">
      <c r="A850" s="112"/>
      <c r="B850" s="18"/>
      <c r="C850" s="79"/>
      <c r="D850" s="18"/>
      <c r="E850" s="15"/>
      <c r="F850" s="18"/>
      <c r="G850" s="15"/>
      <c r="H850" s="15"/>
      <c r="I850" s="18"/>
    </row>
    <row r="851">
      <c r="A851" s="112"/>
      <c r="B851" s="18"/>
      <c r="C851" s="79"/>
      <c r="D851" s="18"/>
      <c r="E851" s="15"/>
      <c r="F851" s="18"/>
      <c r="G851" s="15"/>
      <c r="H851" s="15"/>
      <c r="I851" s="18"/>
    </row>
    <row r="852">
      <c r="A852" s="112"/>
      <c r="B852" s="18"/>
      <c r="C852" s="79"/>
      <c r="D852" s="18"/>
      <c r="E852" s="15"/>
      <c r="F852" s="18"/>
      <c r="G852" s="15"/>
      <c r="H852" s="15"/>
      <c r="I852" s="18"/>
    </row>
    <row r="853">
      <c r="A853" s="112"/>
      <c r="B853" s="18"/>
      <c r="C853" s="79"/>
      <c r="D853" s="18"/>
      <c r="E853" s="15"/>
      <c r="F853" s="18"/>
      <c r="G853" s="15"/>
      <c r="H853" s="15"/>
      <c r="I853" s="18"/>
    </row>
    <row r="854">
      <c r="A854" s="112"/>
      <c r="B854" s="18"/>
      <c r="C854" s="79"/>
      <c r="D854" s="18"/>
      <c r="E854" s="15"/>
      <c r="F854" s="18"/>
      <c r="G854" s="15"/>
      <c r="H854" s="15"/>
      <c r="I854" s="18"/>
    </row>
    <row r="855">
      <c r="A855" s="112"/>
      <c r="B855" s="18"/>
      <c r="C855" s="79"/>
      <c r="D855" s="18"/>
      <c r="E855" s="15"/>
      <c r="F855" s="18"/>
      <c r="G855" s="15"/>
      <c r="H855" s="15"/>
      <c r="I855" s="18"/>
    </row>
    <row r="856">
      <c r="A856" s="112"/>
      <c r="B856" s="18"/>
      <c r="C856" s="79"/>
      <c r="D856" s="18"/>
      <c r="E856" s="15"/>
      <c r="F856" s="18"/>
      <c r="G856" s="15"/>
      <c r="H856" s="15"/>
      <c r="I856" s="18"/>
    </row>
    <row r="857">
      <c r="A857" s="112"/>
      <c r="B857" s="18"/>
      <c r="C857" s="79"/>
      <c r="D857" s="18"/>
      <c r="E857" s="15"/>
      <c r="F857" s="18"/>
      <c r="G857" s="15"/>
      <c r="H857" s="15"/>
      <c r="I857" s="18"/>
    </row>
    <row r="858">
      <c r="A858" s="112"/>
      <c r="B858" s="18"/>
      <c r="C858" s="79"/>
      <c r="D858" s="18"/>
      <c r="E858" s="15"/>
      <c r="F858" s="18"/>
      <c r="G858" s="15"/>
      <c r="H858" s="15"/>
      <c r="I858" s="18"/>
    </row>
    <row r="859">
      <c r="A859" s="112"/>
      <c r="B859" s="18"/>
      <c r="C859" s="79"/>
      <c r="D859" s="18"/>
      <c r="E859" s="15"/>
      <c r="F859" s="18"/>
      <c r="G859" s="15"/>
      <c r="H859" s="15"/>
      <c r="I859" s="18"/>
    </row>
    <row r="860">
      <c r="A860" s="112"/>
      <c r="B860" s="18"/>
      <c r="C860" s="79"/>
      <c r="D860" s="18"/>
      <c r="E860" s="15"/>
      <c r="F860" s="18"/>
      <c r="G860" s="15"/>
      <c r="H860" s="15"/>
      <c r="I860" s="18"/>
    </row>
    <row r="861">
      <c r="A861" s="112"/>
      <c r="B861" s="18"/>
      <c r="C861" s="79"/>
      <c r="D861" s="18"/>
      <c r="E861" s="15"/>
      <c r="F861" s="18"/>
      <c r="G861" s="15"/>
      <c r="H861" s="15"/>
      <c r="I861" s="18"/>
    </row>
    <row r="862">
      <c r="A862" s="112"/>
      <c r="B862" s="18"/>
      <c r="C862" s="79"/>
      <c r="D862" s="18"/>
      <c r="E862" s="15"/>
      <c r="F862" s="18"/>
      <c r="G862" s="15"/>
      <c r="H862" s="15"/>
      <c r="I862" s="18"/>
    </row>
    <row r="863">
      <c r="A863" s="112"/>
      <c r="B863" s="18"/>
      <c r="C863" s="79"/>
      <c r="D863" s="18"/>
      <c r="E863" s="15"/>
      <c r="F863" s="18"/>
      <c r="G863" s="15"/>
      <c r="H863" s="15"/>
      <c r="I863" s="18"/>
    </row>
    <row r="864">
      <c r="A864" s="112"/>
      <c r="B864" s="18"/>
      <c r="C864" s="79"/>
      <c r="D864" s="18"/>
      <c r="E864" s="15"/>
      <c r="F864" s="18"/>
      <c r="G864" s="15"/>
      <c r="H864" s="15"/>
      <c r="I864" s="18"/>
    </row>
    <row r="865">
      <c r="A865" s="112"/>
      <c r="B865" s="18"/>
      <c r="C865" s="79"/>
      <c r="D865" s="18"/>
      <c r="E865" s="15"/>
      <c r="F865" s="18"/>
      <c r="G865" s="15"/>
      <c r="H865" s="15"/>
      <c r="I865" s="18"/>
    </row>
    <row r="866">
      <c r="A866" s="112"/>
      <c r="B866" s="18"/>
      <c r="C866" s="79"/>
      <c r="D866" s="18"/>
      <c r="E866" s="15"/>
      <c r="F866" s="18"/>
      <c r="G866" s="15"/>
      <c r="H866" s="15"/>
      <c r="I866" s="18"/>
    </row>
    <row r="867">
      <c r="A867" s="112"/>
      <c r="B867" s="18"/>
      <c r="C867" s="79"/>
      <c r="D867" s="18"/>
      <c r="E867" s="15"/>
      <c r="F867" s="18"/>
      <c r="G867" s="15"/>
      <c r="H867" s="15"/>
      <c r="I867" s="18"/>
    </row>
    <row r="868">
      <c r="A868" s="112"/>
      <c r="B868" s="18"/>
      <c r="C868" s="79"/>
      <c r="D868" s="18"/>
      <c r="E868" s="15"/>
      <c r="F868" s="18"/>
      <c r="G868" s="15"/>
      <c r="H868" s="15"/>
      <c r="I868" s="18"/>
    </row>
    <row r="869">
      <c r="A869" s="112"/>
      <c r="B869" s="18"/>
      <c r="C869" s="79"/>
      <c r="D869" s="18"/>
      <c r="E869" s="15"/>
      <c r="F869" s="18"/>
      <c r="G869" s="15"/>
      <c r="H869" s="15"/>
      <c r="I869" s="18"/>
    </row>
    <row r="870">
      <c r="A870" s="112"/>
      <c r="B870" s="18"/>
      <c r="C870" s="79"/>
      <c r="D870" s="18"/>
      <c r="E870" s="15"/>
      <c r="F870" s="18"/>
      <c r="G870" s="15"/>
      <c r="H870" s="15"/>
      <c r="I870" s="18"/>
    </row>
    <row r="871">
      <c r="A871" s="112"/>
      <c r="B871" s="18"/>
      <c r="C871" s="79"/>
      <c r="D871" s="18"/>
      <c r="E871" s="15"/>
      <c r="F871" s="18"/>
      <c r="G871" s="15"/>
      <c r="H871" s="15"/>
      <c r="I871" s="18"/>
    </row>
    <row r="872">
      <c r="A872" s="112"/>
      <c r="B872" s="18"/>
      <c r="C872" s="79"/>
      <c r="D872" s="18"/>
      <c r="E872" s="15"/>
      <c r="F872" s="18"/>
      <c r="G872" s="15"/>
      <c r="H872" s="15"/>
      <c r="I872" s="18"/>
    </row>
    <row r="873">
      <c r="A873" s="112"/>
      <c r="B873" s="18"/>
      <c r="C873" s="79"/>
      <c r="D873" s="18"/>
      <c r="E873" s="15"/>
      <c r="F873" s="18"/>
      <c r="G873" s="15"/>
      <c r="H873" s="15"/>
      <c r="I873" s="18"/>
    </row>
    <row r="874">
      <c r="A874" s="112"/>
      <c r="B874" s="18"/>
      <c r="C874" s="79"/>
      <c r="D874" s="18"/>
      <c r="E874" s="15"/>
      <c r="F874" s="18"/>
      <c r="G874" s="15"/>
      <c r="H874" s="15"/>
      <c r="I874" s="18"/>
    </row>
    <row r="875">
      <c r="A875" s="112"/>
      <c r="B875" s="18"/>
      <c r="C875" s="79"/>
      <c r="D875" s="18"/>
      <c r="E875" s="15"/>
      <c r="F875" s="18"/>
      <c r="G875" s="15"/>
      <c r="H875" s="15"/>
      <c r="I875" s="18"/>
    </row>
    <row r="876">
      <c r="A876" s="112"/>
      <c r="B876" s="18"/>
      <c r="C876" s="79"/>
      <c r="D876" s="18"/>
      <c r="E876" s="15"/>
      <c r="F876" s="18"/>
      <c r="G876" s="15"/>
      <c r="H876" s="15"/>
      <c r="I876" s="18"/>
    </row>
    <row r="877">
      <c r="A877" s="112"/>
      <c r="B877" s="18"/>
      <c r="C877" s="79"/>
      <c r="D877" s="18"/>
      <c r="E877" s="15"/>
      <c r="F877" s="18"/>
      <c r="G877" s="15"/>
      <c r="H877" s="15"/>
      <c r="I877" s="18"/>
    </row>
    <row r="878">
      <c r="A878" s="112"/>
      <c r="B878" s="18"/>
      <c r="C878" s="79"/>
      <c r="D878" s="18"/>
      <c r="E878" s="15"/>
      <c r="F878" s="18"/>
      <c r="G878" s="15"/>
      <c r="H878" s="15"/>
      <c r="I878" s="18"/>
    </row>
    <row r="879">
      <c r="A879" s="112"/>
      <c r="B879" s="18"/>
      <c r="C879" s="79"/>
      <c r="D879" s="18"/>
      <c r="E879" s="15"/>
      <c r="F879" s="18"/>
      <c r="G879" s="15"/>
      <c r="H879" s="15"/>
      <c r="I879" s="18"/>
    </row>
    <row r="880">
      <c r="A880" s="112"/>
      <c r="B880" s="18"/>
      <c r="C880" s="79"/>
      <c r="D880" s="18"/>
      <c r="E880" s="15"/>
      <c r="F880" s="18"/>
      <c r="G880" s="15"/>
      <c r="H880" s="15"/>
      <c r="I880" s="18"/>
    </row>
    <row r="881">
      <c r="A881" s="112"/>
      <c r="B881" s="18"/>
      <c r="C881" s="79"/>
      <c r="D881" s="18"/>
      <c r="E881" s="15"/>
      <c r="F881" s="18"/>
      <c r="G881" s="15"/>
      <c r="H881" s="15"/>
      <c r="I881" s="18"/>
    </row>
    <row r="882">
      <c r="A882" s="112"/>
      <c r="B882" s="18"/>
      <c r="C882" s="79"/>
      <c r="D882" s="18"/>
      <c r="E882" s="15"/>
      <c r="F882" s="18"/>
      <c r="G882" s="15"/>
      <c r="H882" s="15"/>
      <c r="I882" s="18"/>
    </row>
    <row r="883">
      <c r="A883" s="112"/>
      <c r="B883" s="18"/>
      <c r="C883" s="79"/>
      <c r="D883" s="18"/>
      <c r="E883" s="15"/>
      <c r="F883" s="18"/>
      <c r="G883" s="15"/>
      <c r="H883" s="15"/>
      <c r="I883" s="18"/>
    </row>
    <row r="884">
      <c r="A884" s="112"/>
      <c r="B884" s="18"/>
      <c r="C884" s="79"/>
      <c r="D884" s="18"/>
      <c r="E884" s="15"/>
      <c r="F884" s="18"/>
      <c r="G884" s="15"/>
      <c r="H884" s="15"/>
      <c r="I884" s="18"/>
    </row>
    <row r="885">
      <c r="A885" s="112"/>
      <c r="B885" s="18"/>
      <c r="C885" s="79"/>
      <c r="D885" s="18"/>
      <c r="E885" s="15"/>
      <c r="F885" s="18"/>
      <c r="G885" s="15"/>
      <c r="H885" s="15"/>
      <c r="I885" s="18"/>
    </row>
    <row r="886">
      <c r="A886" s="112"/>
      <c r="B886" s="18"/>
      <c r="C886" s="79"/>
      <c r="D886" s="18"/>
      <c r="E886" s="15"/>
      <c r="F886" s="18"/>
      <c r="G886" s="15"/>
      <c r="H886" s="15"/>
      <c r="I886" s="18"/>
    </row>
    <row r="887">
      <c r="A887" s="112"/>
      <c r="B887" s="18"/>
      <c r="C887" s="79"/>
      <c r="D887" s="18"/>
      <c r="E887" s="15"/>
      <c r="F887" s="18"/>
      <c r="G887" s="15"/>
      <c r="H887" s="15"/>
      <c r="I887" s="18"/>
    </row>
    <row r="888">
      <c r="A888" s="112"/>
      <c r="B888" s="18"/>
      <c r="C888" s="79"/>
      <c r="D888" s="18"/>
      <c r="E888" s="15"/>
      <c r="F888" s="18"/>
      <c r="G888" s="15"/>
      <c r="H888" s="15"/>
      <c r="I888" s="18"/>
    </row>
    <row r="889">
      <c r="A889" s="112"/>
      <c r="B889" s="18"/>
      <c r="C889" s="79"/>
      <c r="D889" s="18"/>
      <c r="E889" s="15"/>
      <c r="F889" s="18"/>
      <c r="G889" s="15"/>
      <c r="H889" s="15"/>
      <c r="I889" s="18"/>
    </row>
    <row r="890">
      <c r="A890" s="112"/>
      <c r="B890" s="18"/>
      <c r="C890" s="79"/>
      <c r="D890" s="18"/>
      <c r="E890" s="15"/>
      <c r="F890" s="18"/>
      <c r="G890" s="15"/>
      <c r="H890" s="15"/>
      <c r="I890" s="18"/>
    </row>
    <row r="891">
      <c r="A891" s="112"/>
      <c r="B891" s="18"/>
      <c r="C891" s="79"/>
      <c r="D891" s="18"/>
      <c r="E891" s="15"/>
      <c r="F891" s="18"/>
      <c r="G891" s="15"/>
      <c r="H891" s="15"/>
      <c r="I891" s="18"/>
    </row>
    <row r="892">
      <c r="A892" s="112"/>
      <c r="B892" s="18"/>
      <c r="C892" s="79"/>
      <c r="D892" s="18"/>
      <c r="E892" s="15"/>
      <c r="F892" s="18"/>
      <c r="G892" s="15"/>
      <c r="H892" s="15"/>
      <c r="I892" s="18"/>
    </row>
    <row r="893">
      <c r="A893" s="112"/>
      <c r="B893" s="18"/>
      <c r="C893" s="79"/>
      <c r="D893" s="18"/>
      <c r="E893" s="15"/>
      <c r="F893" s="18"/>
      <c r="G893" s="15"/>
      <c r="H893" s="15"/>
      <c r="I893" s="18"/>
    </row>
    <row r="894">
      <c r="A894" s="112"/>
      <c r="B894" s="18"/>
      <c r="C894" s="79"/>
      <c r="D894" s="18"/>
      <c r="E894" s="15"/>
      <c r="F894" s="18"/>
      <c r="G894" s="15"/>
      <c r="H894" s="15"/>
      <c r="I894" s="18"/>
    </row>
    <row r="895">
      <c r="A895" s="112"/>
      <c r="B895" s="18"/>
      <c r="C895" s="79"/>
      <c r="D895" s="18"/>
      <c r="E895" s="15"/>
      <c r="F895" s="18"/>
      <c r="G895" s="15"/>
      <c r="H895" s="15"/>
      <c r="I895" s="18"/>
    </row>
    <row r="896">
      <c r="A896" s="112"/>
      <c r="B896" s="18"/>
      <c r="C896" s="79"/>
      <c r="D896" s="18"/>
      <c r="E896" s="15"/>
      <c r="F896" s="18"/>
      <c r="G896" s="15"/>
      <c r="H896" s="15"/>
      <c r="I896" s="18"/>
    </row>
    <row r="897">
      <c r="A897" s="112"/>
      <c r="B897" s="18"/>
      <c r="C897" s="79"/>
      <c r="D897" s="18"/>
      <c r="E897" s="15"/>
      <c r="F897" s="18"/>
      <c r="G897" s="15"/>
      <c r="H897" s="15"/>
      <c r="I897" s="18"/>
    </row>
    <row r="898">
      <c r="A898" s="112"/>
      <c r="B898" s="18"/>
      <c r="C898" s="79"/>
      <c r="D898" s="18"/>
      <c r="E898" s="15"/>
      <c r="F898" s="18"/>
      <c r="G898" s="15"/>
      <c r="H898" s="15"/>
      <c r="I898" s="18"/>
    </row>
    <row r="899">
      <c r="A899" s="112"/>
      <c r="B899" s="18"/>
      <c r="C899" s="79"/>
      <c r="D899" s="18"/>
      <c r="E899" s="15"/>
      <c r="F899" s="18"/>
      <c r="G899" s="15"/>
      <c r="H899" s="15"/>
      <c r="I899" s="18"/>
    </row>
    <row r="900">
      <c r="A900" s="112"/>
      <c r="B900" s="18"/>
      <c r="C900" s="79"/>
      <c r="D900" s="18"/>
      <c r="E900" s="15"/>
      <c r="F900" s="18"/>
      <c r="G900" s="15"/>
      <c r="H900" s="15"/>
      <c r="I900" s="18"/>
    </row>
    <row r="901">
      <c r="A901" s="112"/>
      <c r="B901" s="18"/>
      <c r="C901" s="79"/>
      <c r="D901" s="18"/>
      <c r="E901" s="15"/>
      <c r="F901" s="18"/>
      <c r="G901" s="15"/>
      <c r="H901" s="15"/>
      <c r="I901" s="18"/>
    </row>
    <row r="902">
      <c r="A902" s="112"/>
      <c r="B902" s="18"/>
      <c r="C902" s="79"/>
      <c r="D902" s="18"/>
      <c r="E902" s="15"/>
      <c r="F902" s="18"/>
      <c r="G902" s="15"/>
      <c r="H902" s="15"/>
      <c r="I902" s="18"/>
    </row>
    <row r="903">
      <c r="A903" s="112"/>
      <c r="B903" s="18"/>
      <c r="C903" s="79"/>
      <c r="D903" s="18"/>
      <c r="E903" s="15"/>
      <c r="F903" s="18"/>
      <c r="G903" s="15"/>
      <c r="H903" s="15"/>
      <c r="I903" s="18"/>
    </row>
    <row r="904">
      <c r="A904" s="112"/>
      <c r="B904" s="18"/>
      <c r="C904" s="79"/>
      <c r="D904" s="18"/>
      <c r="E904" s="15"/>
      <c r="F904" s="18"/>
      <c r="G904" s="15"/>
      <c r="H904" s="15"/>
      <c r="I904" s="18"/>
    </row>
    <row r="905">
      <c r="A905" s="112"/>
      <c r="B905" s="18"/>
      <c r="C905" s="79"/>
      <c r="D905" s="18"/>
      <c r="E905" s="15"/>
      <c r="F905" s="18"/>
      <c r="G905" s="15"/>
      <c r="H905" s="15"/>
      <c r="I905" s="18"/>
    </row>
    <row r="906">
      <c r="A906" s="112"/>
      <c r="B906" s="18"/>
      <c r="C906" s="79"/>
      <c r="D906" s="18"/>
      <c r="E906" s="15"/>
      <c r="F906" s="18"/>
      <c r="G906" s="15"/>
      <c r="H906" s="15"/>
      <c r="I906" s="18"/>
    </row>
    <row r="907">
      <c r="A907" s="112"/>
      <c r="B907" s="18"/>
      <c r="C907" s="79"/>
      <c r="D907" s="18"/>
      <c r="E907" s="15"/>
      <c r="F907" s="18"/>
      <c r="G907" s="15"/>
      <c r="H907" s="15"/>
      <c r="I907" s="18"/>
    </row>
    <row r="908">
      <c r="A908" s="112"/>
      <c r="B908" s="18"/>
      <c r="C908" s="79"/>
      <c r="D908" s="18"/>
      <c r="E908" s="15"/>
      <c r="F908" s="18"/>
      <c r="G908" s="15"/>
      <c r="H908" s="15"/>
      <c r="I908" s="18"/>
    </row>
    <row r="909">
      <c r="A909" s="112"/>
      <c r="B909" s="18"/>
      <c r="C909" s="79"/>
      <c r="D909" s="18"/>
      <c r="E909" s="15"/>
      <c r="F909" s="18"/>
      <c r="G909" s="15"/>
      <c r="H909" s="15"/>
      <c r="I909" s="18"/>
    </row>
    <row r="910">
      <c r="A910" s="112"/>
      <c r="B910" s="18"/>
      <c r="C910" s="79"/>
      <c r="D910" s="18"/>
      <c r="E910" s="15"/>
      <c r="F910" s="18"/>
      <c r="G910" s="15"/>
      <c r="H910" s="15"/>
      <c r="I910" s="18"/>
    </row>
    <row r="911">
      <c r="A911" s="112"/>
      <c r="B911" s="18"/>
      <c r="C911" s="79"/>
      <c r="D911" s="18"/>
      <c r="E911" s="15"/>
      <c r="F911" s="18"/>
      <c r="G911" s="15"/>
      <c r="H911" s="15"/>
      <c r="I911" s="18"/>
    </row>
    <row r="912">
      <c r="A912" s="112"/>
      <c r="B912" s="18"/>
      <c r="C912" s="79"/>
      <c r="D912" s="18"/>
      <c r="E912" s="15"/>
      <c r="F912" s="18"/>
      <c r="G912" s="15"/>
      <c r="H912" s="15"/>
      <c r="I912" s="18"/>
    </row>
    <row r="913">
      <c r="A913" s="112"/>
      <c r="B913" s="18"/>
      <c r="C913" s="79"/>
      <c r="D913" s="18"/>
      <c r="E913" s="15"/>
      <c r="F913" s="18"/>
      <c r="G913" s="15"/>
      <c r="H913" s="15"/>
      <c r="I913" s="18"/>
    </row>
    <row r="914">
      <c r="A914" s="112"/>
      <c r="B914" s="18"/>
      <c r="C914" s="79"/>
      <c r="D914" s="18"/>
      <c r="E914" s="15"/>
      <c r="F914" s="18"/>
      <c r="G914" s="15"/>
      <c r="H914" s="15"/>
      <c r="I914" s="18"/>
    </row>
    <row r="915">
      <c r="A915" s="112"/>
      <c r="B915" s="18"/>
      <c r="C915" s="79"/>
      <c r="D915" s="18"/>
      <c r="E915" s="15"/>
      <c r="F915" s="18"/>
      <c r="G915" s="15"/>
      <c r="H915" s="15"/>
      <c r="I915" s="18"/>
    </row>
    <row r="916">
      <c r="A916" s="112"/>
      <c r="B916" s="18"/>
      <c r="C916" s="79"/>
      <c r="D916" s="18"/>
      <c r="E916" s="15"/>
      <c r="F916" s="18"/>
      <c r="G916" s="15"/>
      <c r="H916" s="15"/>
      <c r="I916" s="18"/>
    </row>
    <row r="917">
      <c r="A917" s="112"/>
      <c r="B917" s="18"/>
      <c r="C917" s="79"/>
      <c r="D917" s="18"/>
      <c r="E917" s="15"/>
      <c r="F917" s="18"/>
      <c r="G917" s="15"/>
      <c r="H917" s="15"/>
      <c r="I917" s="18"/>
    </row>
    <row r="918">
      <c r="A918" s="112"/>
      <c r="B918" s="18"/>
      <c r="C918" s="79"/>
      <c r="D918" s="18"/>
      <c r="E918" s="15"/>
      <c r="F918" s="18"/>
      <c r="G918" s="15"/>
      <c r="H918" s="15"/>
      <c r="I918" s="18"/>
    </row>
    <row r="919">
      <c r="A919" s="112"/>
      <c r="B919" s="18"/>
      <c r="C919" s="79"/>
      <c r="D919" s="18"/>
      <c r="E919" s="15"/>
      <c r="F919" s="18"/>
      <c r="G919" s="15"/>
      <c r="H919" s="15"/>
      <c r="I919" s="18"/>
    </row>
    <row r="920">
      <c r="A920" s="112"/>
      <c r="B920" s="18"/>
      <c r="C920" s="79"/>
      <c r="D920" s="18"/>
      <c r="E920" s="15"/>
      <c r="F920" s="18"/>
      <c r="G920" s="15"/>
      <c r="H920" s="15"/>
      <c r="I920" s="18"/>
    </row>
    <row r="921">
      <c r="A921" s="112"/>
      <c r="B921" s="18"/>
      <c r="C921" s="79"/>
      <c r="D921" s="18"/>
      <c r="E921" s="15"/>
      <c r="F921" s="18"/>
      <c r="G921" s="15"/>
      <c r="H921" s="15"/>
      <c r="I921" s="18"/>
    </row>
    <row r="922">
      <c r="A922" s="112"/>
      <c r="B922" s="18"/>
      <c r="C922" s="79"/>
      <c r="D922" s="18"/>
      <c r="E922" s="15"/>
      <c r="F922" s="18"/>
      <c r="G922" s="15"/>
      <c r="H922" s="15"/>
      <c r="I922" s="18"/>
    </row>
    <row r="923">
      <c r="A923" s="112"/>
      <c r="B923" s="18"/>
      <c r="C923" s="79"/>
      <c r="D923" s="18"/>
      <c r="E923" s="15"/>
      <c r="F923" s="18"/>
      <c r="G923" s="15"/>
      <c r="H923" s="15"/>
      <c r="I923" s="18"/>
    </row>
    <row r="924">
      <c r="A924" s="112"/>
      <c r="B924" s="18"/>
      <c r="C924" s="79"/>
      <c r="D924" s="18"/>
      <c r="E924" s="15"/>
      <c r="F924" s="18"/>
      <c r="G924" s="15"/>
      <c r="H924" s="15"/>
      <c r="I924" s="18"/>
    </row>
    <row r="925">
      <c r="A925" s="112"/>
      <c r="B925" s="18"/>
      <c r="C925" s="79"/>
      <c r="D925" s="18"/>
      <c r="E925" s="15"/>
      <c r="F925" s="18"/>
      <c r="G925" s="15"/>
      <c r="H925" s="15"/>
      <c r="I925" s="18"/>
    </row>
    <row r="926">
      <c r="A926" s="112"/>
      <c r="B926" s="18"/>
      <c r="C926" s="79"/>
      <c r="D926" s="18"/>
      <c r="E926" s="15"/>
      <c r="F926" s="18"/>
      <c r="G926" s="15"/>
      <c r="H926" s="15"/>
      <c r="I926" s="18"/>
    </row>
    <row r="927">
      <c r="A927" s="112"/>
      <c r="B927" s="18"/>
      <c r="C927" s="79"/>
      <c r="D927" s="18"/>
      <c r="E927" s="15"/>
      <c r="F927" s="18"/>
      <c r="G927" s="15"/>
      <c r="H927" s="15"/>
      <c r="I927" s="18"/>
    </row>
    <row r="928">
      <c r="A928" s="112"/>
      <c r="B928" s="18"/>
      <c r="C928" s="79"/>
      <c r="D928" s="18"/>
      <c r="E928" s="15"/>
      <c r="F928" s="18"/>
      <c r="G928" s="15"/>
      <c r="H928" s="15"/>
      <c r="I928" s="18"/>
    </row>
    <row r="929">
      <c r="A929" s="112"/>
      <c r="B929" s="18"/>
      <c r="C929" s="79"/>
      <c r="D929" s="18"/>
      <c r="E929" s="15"/>
      <c r="F929" s="18"/>
      <c r="G929" s="15"/>
      <c r="H929" s="15"/>
      <c r="I929" s="18"/>
    </row>
    <row r="930">
      <c r="A930" s="112"/>
      <c r="B930" s="18"/>
      <c r="C930" s="79"/>
      <c r="D930" s="18"/>
      <c r="E930" s="15"/>
      <c r="F930" s="18"/>
      <c r="G930" s="15"/>
      <c r="H930" s="15"/>
      <c r="I930" s="18"/>
    </row>
    <row r="931">
      <c r="A931" s="112"/>
      <c r="B931" s="18"/>
      <c r="C931" s="79"/>
      <c r="D931" s="18"/>
      <c r="E931" s="15"/>
      <c r="F931" s="18"/>
      <c r="G931" s="15"/>
      <c r="H931" s="15"/>
      <c r="I931" s="18"/>
    </row>
    <row r="932">
      <c r="A932" s="112"/>
      <c r="B932" s="18"/>
      <c r="C932" s="79"/>
      <c r="D932" s="18"/>
      <c r="E932" s="15"/>
      <c r="F932" s="18"/>
      <c r="G932" s="15"/>
      <c r="H932" s="15"/>
      <c r="I932" s="18"/>
    </row>
    <row r="933">
      <c r="A933" s="112"/>
      <c r="B933" s="18"/>
      <c r="C933" s="79"/>
      <c r="D933" s="18"/>
      <c r="E933" s="15"/>
      <c r="F933" s="18"/>
      <c r="G933" s="15"/>
      <c r="H933" s="15"/>
      <c r="I933" s="18"/>
    </row>
    <row r="934">
      <c r="A934" s="112"/>
      <c r="B934" s="18"/>
      <c r="C934" s="79"/>
      <c r="D934" s="18"/>
      <c r="E934" s="15"/>
      <c r="F934" s="18"/>
      <c r="G934" s="15"/>
      <c r="H934" s="15"/>
      <c r="I934" s="18"/>
    </row>
    <row r="935">
      <c r="A935" s="112"/>
      <c r="B935" s="18"/>
      <c r="C935" s="79"/>
      <c r="D935" s="18"/>
      <c r="E935" s="15"/>
      <c r="F935" s="18"/>
      <c r="G935" s="15"/>
      <c r="H935" s="15"/>
      <c r="I935" s="18"/>
    </row>
    <row r="936">
      <c r="A936" s="112"/>
      <c r="B936" s="18"/>
      <c r="C936" s="79"/>
      <c r="D936" s="18"/>
      <c r="E936" s="15"/>
      <c r="F936" s="18"/>
      <c r="G936" s="15"/>
      <c r="H936" s="15"/>
      <c r="I936" s="18"/>
    </row>
    <row r="937">
      <c r="A937" s="112"/>
      <c r="B937" s="18"/>
      <c r="C937" s="79"/>
      <c r="D937" s="18"/>
      <c r="E937" s="15"/>
      <c r="F937" s="18"/>
      <c r="G937" s="15"/>
      <c r="H937" s="15"/>
      <c r="I937" s="18"/>
    </row>
    <row r="938">
      <c r="A938" s="112"/>
      <c r="B938" s="18"/>
      <c r="C938" s="79"/>
      <c r="D938" s="18"/>
      <c r="E938" s="15"/>
      <c r="F938" s="18"/>
      <c r="G938" s="15"/>
      <c r="H938" s="15"/>
      <c r="I938" s="18"/>
    </row>
    <row r="939">
      <c r="A939" s="112"/>
      <c r="B939" s="18"/>
      <c r="C939" s="79"/>
      <c r="D939" s="18"/>
      <c r="E939" s="15"/>
      <c r="F939" s="18"/>
      <c r="G939" s="15"/>
      <c r="H939" s="15"/>
      <c r="I939" s="18"/>
    </row>
    <row r="940">
      <c r="A940" s="112"/>
      <c r="B940" s="18"/>
      <c r="C940" s="79"/>
      <c r="D940" s="18"/>
      <c r="E940" s="15"/>
      <c r="F940" s="18"/>
      <c r="G940" s="15"/>
      <c r="H940" s="15"/>
      <c r="I940" s="18"/>
    </row>
    <row r="941">
      <c r="A941" s="112"/>
      <c r="B941" s="18"/>
      <c r="C941" s="79"/>
      <c r="D941" s="18"/>
      <c r="E941" s="15"/>
      <c r="F941" s="18"/>
      <c r="G941" s="15"/>
      <c r="H941" s="15"/>
      <c r="I941" s="18"/>
    </row>
    <row r="942">
      <c r="A942" s="112"/>
      <c r="B942" s="18"/>
      <c r="C942" s="79"/>
      <c r="D942" s="18"/>
      <c r="E942" s="15"/>
      <c r="F942" s="18"/>
      <c r="G942" s="15"/>
      <c r="H942" s="15"/>
      <c r="I942" s="18"/>
    </row>
    <row r="943">
      <c r="A943" s="112"/>
      <c r="B943" s="18"/>
      <c r="C943" s="79"/>
      <c r="D943" s="18"/>
      <c r="E943" s="15"/>
      <c r="F943" s="18"/>
      <c r="G943" s="15"/>
      <c r="H943" s="15"/>
      <c r="I943" s="18"/>
    </row>
    <row r="944">
      <c r="A944" s="112"/>
      <c r="B944" s="18"/>
      <c r="C944" s="79"/>
      <c r="D944" s="18"/>
      <c r="E944" s="15"/>
      <c r="F944" s="18"/>
      <c r="G944" s="15"/>
      <c r="H944" s="15"/>
      <c r="I944" s="18"/>
    </row>
    <row r="945">
      <c r="A945" s="112"/>
      <c r="B945" s="18"/>
      <c r="C945" s="79"/>
      <c r="D945" s="18"/>
      <c r="E945" s="15"/>
      <c r="F945" s="18"/>
      <c r="G945" s="15"/>
      <c r="H945" s="15"/>
      <c r="I945" s="18"/>
    </row>
    <row r="946">
      <c r="A946" s="112"/>
      <c r="B946" s="18"/>
      <c r="C946" s="79"/>
      <c r="D946" s="18"/>
      <c r="E946" s="15"/>
      <c r="F946" s="18"/>
      <c r="G946" s="15"/>
      <c r="H946" s="15"/>
      <c r="I946" s="18"/>
    </row>
    <row r="947">
      <c r="A947" s="112"/>
      <c r="B947" s="18"/>
      <c r="C947" s="79"/>
      <c r="D947" s="18"/>
      <c r="E947" s="15"/>
      <c r="F947" s="18"/>
      <c r="G947" s="15"/>
      <c r="H947" s="15"/>
      <c r="I947" s="18"/>
    </row>
    <row r="948">
      <c r="A948" s="112"/>
      <c r="B948" s="18"/>
      <c r="C948" s="79"/>
      <c r="D948" s="18"/>
      <c r="E948" s="15"/>
      <c r="F948" s="18"/>
      <c r="G948" s="15"/>
      <c r="H948" s="15"/>
      <c r="I948" s="18"/>
    </row>
    <row r="949">
      <c r="A949" s="112"/>
      <c r="B949" s="18"/>
      <c r="C949" s="79"/>
      <c r="D949" s="18"/>
      <c r="E949" s="15"/>
      <c r="F949" s="18"/>
      <c r="G949" s="15"/>
      <c r="H949" s="15"/>
      <c r="I949" s="18"/>
    </row>
    <row r="950">
      <c r="A950" s="112"/>
      <c r="B950" s="18"/>
      <c r="C950" s="79"/>
      <c r="D950" s="18"/>
      <c r="E950" s="15"/>
      <c r="F950" s="18"/>
      <c r="G950" s="15"/>
      <c r="H950" s="15"/>
      <c r="I950" s="18"/>
    </row>
    <row r="951">
      <c r="A951" s="112"/>
      <c r="B951" s="18"/>
      <c r="C951" s="79"/>
      <c r="D951" s="18"/>
      <c r="E951" s="15"/>
      <c r="F951" s="18"/>
      <c r="G951" s="15"/>
      <c r="H951" s="15"/>
      <c r="I951" s="18"/>
    </row>
    <row r="952">
      <c r="A952" s="112"/>
      <c r="B952" s="18"/>
      <c r="C952" s="79"/>
      <c r="D952" s="18"/>
      <c r="E952" s="15"/>
      <c r="F952" s="18"/>
      <c r="G952" s="15"/>
      <c r="H952" s="15"/>
      <c r="I952" s="18"/>
    </row>
    <row r="953">
      <c r="A953" s="112"/>
      <c r="B953" s="18"/>
      <c r="C953" s="79"/>
      <c r="D953" s="18"/>
      <c r="E953" s="15"/>
      <c r="F953" s="18"/>
      <c r="G953" s="15"/>
      <c r="H953" s="15"/>
      <c r="I953" s="18"/>
    </row>
    <row r="954">
      <c r="A954" s="112"/>
      <c r="B954" s="18"/>
      <c r="C954" s="79"/>
      <c r="D954" s="18"/>
      <c r="E954" s="15"/>
      <c r="F954" s="18"/>
      <c r="G954" s="15"/>
      <c r="H954" s="15"/>
      <c r="I954" s="18"/>
    </row>
    <row r="955">
      <c r="A955" s="112"/>
      <c r="B955" s="18"/>
      <c r="C955" s="79"/>
      <c r="D955" s="18"/>
      <c r="E955" s="15"/>
      <c r="F955" s="18"/>
      <c r="G955" s="15"/>
      <c r="H955" s="15"/>
      <c r="I955" s="18"/>
    </row>
    <row r="956">
      <c r="A956" s="112"/>
      <c r="B956" s="18"/>
      <c r="C956" s="79"/>
      <c r="D956" s="18"/>
      <c r="E956" s="15"/>
      <c r="F956" s="18"/>
      <c r="G956" s="15"/>
      <c r="H956" s="15"/>
      <c r="I956" s="18"/>
    </row>
    <row r="957">
      <c r="A957" s="112"/>
      <c r="B957" s="18"/>
      <c r="C957" s="79"/>
      <c r="D957" s="18"/>
      <c r="E957" s="15"/>
      <c r="F957" s="18"/>
      <c r="G957" s="15"/>
      <c r="H957" s="15"/>
      <c r="I957" s="18"/>
    </row>
    <row r="958">
      <c r="A958" s="112"/>
      <c r="B958" s="18"/>
      <c r="C958" s="79"/>
      <c r="D958" s="18"/>
      <c r="E958" s="15"/>
      <c r="F958" s="18"/>
      <c r="G958" s="15"/>
      <c r="H958" s="15"/>
      <c r="I958" s="18"/>
    </row>
    <row r="959">
      <c r="A959" s="112"/>
      <c r="B959" s="18"/>
      <c r="C959" s="79"/>
      <c r="D959" s="18"/>
      <c r="E959" s="15"/>
      <c r="F959" s="18"/>
      <c r="G959" s="15"/>
      <c r="H959" s="15"/>
      <c r="I959" s="18"/>
    </row>
    <row r="960">
      <c r="A960" s="112"/>
      <c r="B960" s="18"/>
      <c r="C960" s="79"/>
      <c r="D960" s="18"/>
      <c r="E960" s="15"/>
      <c r="F960" s="18"/>
      <c r="G960" s="15"/>
      <c r="H960" s="15"/>
      <c r="I960" s="18"/>
    </row>
    <row r="961">
      <c r="A961" s="112"/>
      <c r="B961" s="18"/>
      <c r="C961" s="79"/>
      <c r="D961" s="18"/>
      <c r="E961" s="15"/>
      <c r="F961" s="18"/>
      <c r="G961" s="15"/>
      <c r="H961" s="15"/>
      <c r="I961" s="18"/>
    </row>
    <row r="962">
      <c r="A962" s="112"/>
      <c r="B962" s="18"/>
      <c r="C962" s="79"/>
      <c r="D962" s="18"/>
      <c r="E962" s="15"/>
      <c r="F962" s="18"/>
      <c r="G962" s="15"/>
      <c r="H962" s="15"/>
      <c r="I962" s="18"/>
    </row>
    <row r="963">
      <c r="A963" s="112"/>
      <c r="B963" s="18"/>
      <c r="C963" s="79"/>
      <c r="D963" s="18"/>
      <c r="E963" s="15"/>
      <c r="F963" s="18"/>
      <c r="G963" s="15"/>
      <c r="H963" s="15"/>
      <c r="I963" s="18"/>
    </row>
    <row r="964">
      <c r="A964" s="112"/>
      <c r="B964" s="18"/>
      <c r="C964" s="79"/>
      <c r="D964" s="18"/>
      <c r="E964" s="15"/>
      <c r="F964" s="18"/>
      <c r="G964" s="15"/>
      <c r="H964" s="15"/>
      <c r="I964" s="18"/>
    </row>
    <row r="965">
      <c r="A965" s="112"/>
      <c r="B965" s="18"/>
      <c r="C965" s="79"/>
      <c r="D965" s="18"/>
      <c r="E965" s="15"/>
      <c r="F965" s="18"/>
      <c r="G965" s="15"/>
      <c r="H965" s="15"/>
      <c r="I965" s="18"/>
    </row>
    <row r="966">
      <c r="A966" s="112"/>
      <c r="B966" s="18"/>
      <c r="C966" s="79"/>
      <c r="D966" s="18"/>
      <c r="E966" s="15"/>
      <c r="F966" s="18"/>
      <c r="G966" s="15"/>
      <c r="H966" s="15"/>
      <c r="I966" s="18"/>
    </row>
    <row r="967">
      <c r="A967" s="112"/>
      <c r="B967" s="18"/>
      <c r="C967" s="79"/>
      <c r="D967" s="18"/>
      <c r="E967" s="15"/>
      <c r="F967" s="18"/>
      <c r="G967" s="15"/>
      <c r="H967" s="15"/>
      <c r="I967" s="18"/>
    </row>
    <row r="968">
      <c r="A968" s="112"/>
      <c r="B968" s="18"/>
      <c r="C968" s="79"/>
      <c r="D968" s="18"/>
      <c r="E968" s="15"/>
      <c r="F968" s="18"/>
      <c r="G968" s="15"/>
      <c r="H968" s="15"/>
      <c r="I968" s="18"/>
    </row>
    <row r="969">
      <c r="A969" s="112"/>
      <c r="B969" s="18"/>
      <c r="C969" s="79"/>
      <c r="D969" s="18"/>
      <c r="E969" s="15"/>
      <c r="F969" s="18"/>
      <c r="G969" s="15"/>
      <c r="H969" s="15"/>
      <c r="I969" s="18"/>
    </row>
    <row r="970">
      <c r="A970" s="112"/>
      <c r="B970" s="18"/>
      <c r="C970" s="79"/>
      <c r="D970" s="18"/>
      <c r="E970" s="15"/>
      <c r="F970" s="18"/>
      <c r="G970" s="15"/>
      <c r="H970" s="15"/>
      <c r="I970" s="18"/>
    </row>
    <row r="971">
      <c r="A971" s="112"/>
      <c r="B971" s="18"/>
      <c r="C971" s="79"/>
      <c r="D971" s="18"/>
      <c r="E971" s="15"/>
      <c r="F971" s="18"/>
      <c r="G971" s="15"/>
      <c r="H971" s="15"/>
      <c r="I971" s="18"/>
    </row>
    <row r="972">
      <c r="A972" s="112"/>
      <c r="B972" s="18"/>
      <c r="C972" s="79"/>
      <c r="D972" s="18"/>
      <c r="E972" s="15"/>
      <c r="F972" s="18"/>
      <c r="G972" s="15"/>
      <c r="H972" s="15"/>
      <c r="I972" s="18"/>
    </row>
    <row r="973">
      <c r="A973" s="112"/>
      <c r="B973" s="18"/>
      <c r="C973" s="79"/>
      <c r="D973" s="18"/>
      <c r="E973" s="15"/>
      <c r="F973" s="18"/>
      <c r="G973" s="15"/>
      <c r="H973" s="15"/>
      <c r="I973" s="18"/>
    </row>
    <row r="974">
      <c r="A974" s="112"/>
      <c r="B974" s="18"/>
      <c r="C974" s="79"/>
      <c r="D974" s="18"/>
      <c r="E974" s="15"/>
      <c r="F974" s="18"/>
      <c r="G974" s="15"/>
      <c r="H974" s="15"/>
      <c r="I974" s="18"/>
    </row>
    <row r="975">
      <c r="A975" s="112"/>
      <c r="B975" s="18"/>
      <c r="C975" s="79"/>
      <c r="D975" s="18"/>
      <c r="E975" s="15"/>
      <c r="F975" s="18"/>
      <c r="G975" s="15"/>
      <c r="H975" s="15"/>
      <c r="I975" s="18"/>
    </row>
    <row r="976">
      <c r="A976" s="112"/>
      <c r="B976" s="18"/>
      <c r="C976" s="79"/>
      <c r="D976" s="18"/>
      <c r="E976" s="15"/>
      <c r="F976" s="18"/>
      <c r="G976" s="15"/>
      <c r="H976" s="15"/>
      <c r="I976" s="18"/>
    </row>
    <row r="977">
      <c r="A977" s="112"/>
      <c r="B977" s="18"/>
      <c r="C977" s="79"/>
      <c r="D977" s="18"/>
      <c r="E977" s="15"/>
      <c r="F977" s="18"/>
      <c r="G977" s="15"/>
      <c r="H977" s="15"/>
      <c r="I977" s="18"/>
    </row>
    <row r="978">
      <c r="A978" s="112"/>
      <c r="B978" s="18"/>
      <c r="C978" s="79"/>
      <c r="D978" s="18"/>
      <c r="E978" s="15"/>
      <c r="F978" s="18"/>
      <c r="G978" s="15"/>
      <c r="H978" s="15"/>
      <c r="I978" s="18"/>
    </row>
    <row r="979">
      <c r="A979" s="112"/>
      <c r="B979" s="18"/>
      <c r="C979" s="79"/>
      <c r="D979" s="18"/>
      <c r="E979" s="15"/>
      <c r="F979" s="18"/>
      <c r="G979" s="15"/>
      <c r="H979" s="15"/>
      <c r="I979" s="18"/>
    </row>
    <row r="980">
      <c r="A980" s="112"/>
      <c r="B980" s="18"/>
      <c r="C980" s="79"/>
      <c r="D980" s="18"/>
      <c r="E980" s="15"/>
      <c r="F980" s="18"/>
      <c r="G980" s="15"/>
      <c r="H980" s="15"/>
      <c r="I980" s="18"/>
    </row>
    <row r="981">
      <c r="A981" s="112"/>
      <c r="B981" s="18"/>
      <c r="C981" s="79"/>
      <c r="D981" s="18"/>
      <c r="E981" s="15"/>
      <c r="F981" s="18"/>
      <c r="G981" s="15"/>
      <c r="H981" s="15"/>
      <c r="I981" s="18"/>
    </row>
    <row r="982">
      <c r="A982" s="112"/>
      <c r="B982" s="18"/>
      <c r="C982" s="79"/>
      <c r="D982" s="18"/>
      <c r="E982" s="15"/>
      <c r="F982" s="18"/>
      <c r="G982" s="15"/>
      <c r="H982" s="15"/>
      <c r="I982" s="18"/>
    </row>
    <row r="983">
      <c r="A983" s="112"/>
      <c r="B983" s="18"/>
      <c r="C983" s="79"/>
      <c r="D983" s="18"/>
      <c r="E983" s="15"/>
      <c r="F983" s="18"/>
      <c r="G983" s="15"/>
      <c r="H983" s="15"/>
      <c r="I983" s="18"/>
    </row>
    <row r="984">
      <c r="A984" s="112"/>
      <c r="B984" s="18"/>
      <c r="C984" s="79"/>
      <c r="D984" s="18"/>
      <c r="E984" s="15"/>
      <c r="F984" s="18"/>
      <c r="G984" s="15"/>
      <c r="H984" s="15"/>
      <c r="I984" s="18"/>
    </row>
    <row r="985">
      <c r="A985" s="112"/>
      <c r="B985" s="18"/>
      <c r="C985" s="79"/>
      <c r="D985" s="18"/>
      <c r="E985" s="15"/>
      <c r="F985" s="18"/>
      <c r="G985" s="15"/>
      <c r="H985" s="15"/>
      <c r="I985" s="18"/>
    </row>
    <row r="986">
      <c r="A986" s="112"/>
      <c r="B986" s="18"/>
      <c r="C986" s="79"/>
      <c r="D986" s="18"/>
      <c r="E986" s="15"/>
      <c r="F986" s="18"/>
      <c r="G986" s="15"/>
      <c r="H986" s="15"/>
      <c r="I986" s="18"/>
    </row>
    <row r="987">
      <c r="A987" s="112"/>
      <c r="B987" s="18"/>
      <c r="C987" s="79"/>
      <c r="D987" s="18"/>
      <c r="E987" s="15"/>
      <c r="F987" s="18"/>
      <c r="G987" s="15"/>
      <c r="H987" s="15"/>
      <c r="I987" s="18"/>
    </row>
    <row r="988">
      <c r="A988" s="112"/>
      <c r="B988" s="18"/>
      <c r="C988" s="79"/>
      <c r="D988" s="18"/>
      <c r="E988" s="15"/>
      <c r="F988" s="18"/>
      <c r="G988" s="15"/>
      <c r="H988" s="15"/>
      <c r="I988" s="18"/>
    </row>
    <row r="989">
      <c r="A989" s="112"/>
      <c r="B989" s="18"/>
      <c r="C989" s="79"/>
      <c r="D989" s="18"/>
      <c r="E989" s="15"/>
      <c r="F989" s="18"/>
      <c r="G989" s="15"/>
      <c r="H989" s="15"/>
      <c r="I989" s="18"/>
    </row>
    <row r="990">
      <c r="A990" s="112"/>
      <c r="B990" s="18"/>
      <c r="C990" s="79"/>
      <c r="D990" s="18"/>
      <c r="E990" s="15"/>
      <c r="F990" s="18"/>
      <c r="G990" s="15"/>
      <c r="H990" s="15"/>
      <c r="I990" s="18"/>
    </row>
    <row r="991">
      <c r="A991" s="112"/>
      <c r="B991" s="18"/>
      <c r="C991" s="79"/>
      <c r="D991" s="18"/>
      <c r="E991" s="15"/>
      <c r="F991" s="18"/>
      <c r="G991" s="15"/>
      <c r="H991" s="15"/>
      <c r="I991" s="18"/>
    </row>
    <row r="992">
      <c r="A992" s="112"/>
      <c r="B992" s="18"/>
      <c r="C992" s="79"/>
      <c r="D992" s="18"/>
      <c r="E992" s="15"/>
      <c r="F992" s="18"/>
      <c r="G992" s="15"/>
      <c r="H992" s="15"/>
      <c r="I992" s="18"/>
    </row>
    <row r="993">
      <c r="A993" s="112"/>
      <c r="B993" s="18"/>
      <c r="C993" s="79"/>
      <c r="D993" s="18"/>
      <c r="E993" s="15"/>
      <c r="F993" s="18"/>
      <c r="G993" s="15"/>
      <c r="H993" s="15"/>
      <c r="I993" s="18"/>
    </row>
    <row r="994">
      <c r="A994" s="112"/>
      <c r="B994" s="18"/>
      <c r="C994" s="79"/>
      <c r="D994" s="18"/>
      <c r="E994" s="15"/>
      <c r="F994" s="18"/>
      <c r="G994" s="15"/>
      <c r="H994" s="15"/>
      <c r="I994" s="18"/>
    </row>
    <row r="995">
      <c r="A995" s="112"/>
      <c r="B995" s="18"/>
      <c r="C995" s="79"/>
      <c r="D995" s="18"/>
      <c r="E995" s="15"/>
      <c r="F995" s="18"/>
      <c r="G995" s="15"/>
      <c r="H995" s="15"/>
      <c r="I995" s="18"/>
    </row>
    <row r="996">
      <c r="A996" s="112"/>
      <c r="B996" s="18"/>
      <c r="C996" s="79"/>
      <c r="D996" s="18"/>
      <c r="E996" s="15"/>
      <c r="F996" s="18"/>
      <c r="G996" s="15"/>
      <c r="H996" s="15"/>
      <c r="I996" s="18"/>
    </row>
    <row r="997">
      <c r="A997" s="112"/>
      <c r="B997" s="18"/>
      <c r="C997" s="79"/>
      <c r="D997" s="18"/>
      <c r="E997" s="15"/>
      <c r="F997" s="18"/>
      <c r="G997" s="15"/>
      <c r="H997" s="15"/>
      <c r="I997" s="18"/>
    </row>
    <row r="998">
      <c r="A998" s="112"/>
      <c r="B998" s="18"/>
      <c r="C998" s="79"/>
      <c r="D998" s="18"/>
      <c r="E998" s="15"/>
      <c r="F998" s="18"/>
      <c r="G998" s="15"/>
      <c r="H998" s="15"/>
      <c r="I998" s="18"/>
    </row>
    <row r="999">
      <c r="A999" s="112"/>
      <c r="B999" s="18"/>
      <c r="C999" s="79"/>
      <c r="D999" s="18"/>
      <c r="E999" s="15"/>
      <c r="F999" s="18"/>
      <c r="G999" s="15"/>
      <c r="H999" s="15"/>
      <c r="I999" s="18"/>
    </row>
    <row r="1000">
      <c r="A1000" s="112"/>
      <c r="B1000" s="18"/>
      <c r="C1000" s="79"/>
      <c r="D1000" s="18"/>
      <c r="E1000" s="15"/>
      <c r="F1000" s="18"/>
      <c r="G1000" s="15"/>
      <c r="H1000" s="15"/>
      <c r="I1000" s="18"/>
    </row>
    <row r="1001">
      <c r="A1001" s="112"/>
      <c r="B1001" s="18"/>
      <c r="C1001" s="79"/>
      <c r="D1001" s="18"/>
      <c r="E1001" s="15"/>
      <c r="F1001" s="18"/>
      <c r="G1001" s="15"/>
      <c r="H1001" s="15"/>
      <c r="I1001" s="18"/>
    </row>
    <row r="1002">
      <c r="A1002" s="112"/>
      <c r="B1002" s="18"/>
      <c r="C1002" s="79"/>
      <c r="D1002" s="18"/>
      <c r="E1002" s="15"/>
      <c r="F1002" s="18"/>
      <c r="G1002" s="15"/>
      <c r="H1002" s="15"/>
      <c r="I1002" s="18"/>
    </row>
    <row r="1003">
      <c r="A1003" s="112"/>
      <c r="B1003" s="18"/>
      <c r="C1003" s="79"/>
      <c r="D1003" s="18"/>
      <c r="E1003" s="15"/>
      <c r="F1003" s="18"/>
      <c r="G1003" s="15"/>
      <c r="H1003" s="15"/>
      <c r="I1003" s="18"/>
    </row>
  </sheetData>
  <conditionalFormatting sqref="A62:C62 F62:AA62">
    <cfRule type="notContainsBlanks" dxfId="1" priority="1">
      <formula>LEN(TRIM(A62))&gt;0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5.0"/>
    <col customWidth="1" min="3" max="3" width="31.0"/>
    <col customWidth="1" min="4" max="4" width="30.88"/>
    <col customWidth="1" min="5" max="5" width="17.25"/>
    <col customWidth="1" min="6" max="6" width="12.5"/>
    <col customWidth="1" min="7" max="7" width="11.88"/>
    <col customWidth="1" min="8" max="8" width="16.13"/>
    <col customWidth="1" min="9" max="9" width="22.38"/>
    <col customWidth="1" min="10" max="10" width="13.38"/>
    <col customWidth="1" min="11" max="11" width="11.5"/>
    <col customWidth="1" min="12" max="12" width="11.25"/>
    <col customWidth="1" min="13" max="13" width="14.75"/>
    <col customWidth="1" min="14" max="14" width="11.75"/>
    <col customWidth="1" min="15" max="15" width="17.0"/>
    <col customWidth="1" min="16" max="16" width="35.5"/>
    <col customWidth="1" min="17" max="17" width="17.38"/>
    <col customWidth="1" min="18" max="18" width="21.0"/>
    <col customWidth="1" min="21" max="21" width="16.13"/>
    <col customWidth="1" min="22" max="22" width="15.88"/>
  </cols>
  <sheetData>
    <row r="1" ht="22.5" customHeight="1">
      <c r="A1" s="113" t="s">
        <v>3683</v>
      </c>
      <c r="B1" s="113" t="s">
        <v>3384</v>
      </c>
      <c r="C1" s="114" t="s">
        <v>3710</v>
      </c>
      <c r="D1" s="113" t="s">
        <v>3376</v>
      </c>
      <c r="E1" s="115" t="s">
        <v>3711</v>
      </c>
      <c r="F1" s="113" t="s">
        <v>3712</v>
      </c>
      <c r="G1" s="116" t="s">
        <v>3713</v>
      </c>
      <c r="H1" s="113" t="s">
        <v>3714</v>
      </c>
      <c r="I1" s="113" t="s">
        <v>3715</v>
      </c>
      <c r="J1" s="113" t="s">
        <v>3716</v>
      </c>
      <c r="K1" s="113" t="s">
        <v>9</v>
      </c>
      <c r="L1" s="113" t="s">
        <v>3717</v>
      </c>
      <c r="M1" s="113" t="s">
        <v>3718</v>
      </c>
      <c r="N1" s="113" t="s">
        <v>3719</v>
      </c>
      <c r="O1" s="113" t="s">
        <v>3720</v>
      </c>
      <c r="P1" s="113" t="s">
        <v>3721</v>
      </c>
      <c r="Q1" s="113" t="s">
        <v>3722</v>
      </c>
      <c r="R1" s="113" t="s">
        <v>3723</v>
      </c>
      <c r="S1" s="113" t="s">
        <v>3724</v>
      </c>
      <c r="T1" s="113" t="s">
        <v>199</v>
      </c>
      <c r="U1" s="113" t="s">
        <v>3725</v>
      </c>
      <c r="V1" s="117"/>
      <c r="W1" s="117"/>
      <c r="X1" s="117"/>
      <c r="Y1" s="117"/>
      <c r="Z1" s="117"/>
    </row>
    <row r="2" ht="29.25" customHeight="1">
      <c r="A2" s="118">
        <v>1.0</v>
      </c>
      <c r="B2" s="119">
        <v>46026.0</v>
      </c>
      <c r="C2" s="118" t="s">
        <v>3726</v>
      </c>
      <c r="D2" s="118" t="str">
        <f>IFERROR(__xludf.DUMMYFUNCTION("IFERROR(
  INDEX(
    FILTER(
      'NOMBRE DE PRODUCTOS'!B:B,
      REGEXMATCH(
        UPPER(
          INDEX(
            REPORTE_DROPI!AC:AC,
            MATCH(T2, REPORTE_DROPI!B:B, 0)
          )
        ),
        UPPER('NOMBRE DE PRODUCTOS'!A:A)
 "&amp;"     )
    ),
    1
  ),
  ""REVISAR""
)
"),"Llave Multifuncional 360™")</f>
        <v>Llave Multifuncional 360™</v>
      </c>
      <c r="E2" s="120" t="str">
        <f t="array" ref="E2">IF(
UPPER(TRIM(CLEAN($O2)))="ENTREGADO",
IFERROR(
INDEX(REPORTE_DROPI!Y:Y,
MATCH($T2, REPORTE_DROPI!B:B, 0)
),
""
),
""
)
</f>
        <v/>
      </c>
      <c r="F2" s="121">
        <v>2.0</v>
      </c>
      <c r="G2" s="122" t="str">
        <f t="array" ref="G2">IF(
UPPER(TRIM(CLEAN($O2)))="ENTREGADO",
IFERROR(
INDEX(REPORTE_DROPI!R:R,
MATCH($T2, REPORTE_DROPI!B:B, 0)
),
""
),
""
)
</f>
        <v/>
      </c>
      <c r="H2" s="118" t="s">
        <v>3727</v>
      </c>
      <c r="I2" s="118" t="s">
        <v>3728</v>
      </c>
      <c r="J2" s="121" t="str">
        <f t="array" ref="J2">IF(
UPPER(TRIM(CLEAN($O2)))="ENTREGADO",
IFERROR(
INDEX(REPORTE_DROPI!T:T,
MATCH($T2, REPORTE_DROPI!B:B, 0)
),
""
),
""
)
</f>
        <v/>
      </c>
      <c r="K2" s="118" t="str">
        <f t="array" ref="K2">IFERROR(
INDEX(REPORTE_DROPI!S:S,
MATCH($T2, REPORTE_DROPI!B:B, 0)
),
""
)
</f>
        <v/>
      </c>
      <c r="L2" s="118"/>
      <c r="M2" s="123" t="s">
        <v>3729</v>
      </c>
      <c r="N2" s="118">
        <v>4632.0</v>
      </c>
      <c r="O2" s="118" t="str">
        <f t="array" ref="O2">IFERROR(
VLOOKUP(
TRIM(CLEAN(
INDEX(REPORTE_DROPI!K:K,
MATCH(T2, REPORTE_DROPI!B:B, 0)
))),
{
TRIM(CLEAN(MAPA_ESTADOS!A:A)) ,
MAPA_ESTADOS!B:B
},
2,
FALSE
),
"REVISAR"
)
</f>
        <v>CANCELADO</v>
      </c>
      <c r="P2" s="118"/>
      <c r="Q2" s="122">
        <f t="shared" ref="Q2:Q649" si="1">G2-E2-J2-K2</f>
        <v>0</v>
      </c>
      <c r="R2" s="118"/>
      <c r="S2" s="118"/>
      <c r="T2" s="118">
        <f t="array" ref="T2">IFERROR(
INDEX(REPORTE_DROPI!B:B,
MATCH(
CLEAN(TRIM(C2)),
CLEAN(TRIM(REPORTE_DROPI!E:E)),
0
)
),
""
)
</f>
        <v>4013938</v>
      </c>
      <c r="U2" s="118"/>
      <c r="V2" s="124"/>
      <c r="W2" s="124"/>
      <c r="X2" s="124"/>
      <c r="Y2" s="124"/>
      <c r="Z2" s="124"/>
    </row>
    <row r="3" ht="22.5" customHeight="1">
      <c r="A3" s="118">
        <v>2.0</v>
      </c>
      <c r="B3" s="119">
        <v>46026.0</v>
      </c>
      <c r="C3" s="118" t="s">
        <v>3730</v>
      </c>
      <c r="D3" s="118" t="str">
        <f>IFERROR(__xludf.DUMMYFUNCTION("IFERROR(
  INDEX(
    FILTER(
      'NOMBRE DE PRODUCTOS'!B:B,
      REGEXMATCH(
        UPPER(
          INDEX(
            REPORTE_DROPI!AC:AC,
            MATCH(T3, REPORTE_DROPI!B:B, 0)
          )
        ),
        UPPER('NOMBRE DE PRODUCTOS'!A:A)
 "&amp;"     )
    ),
    1
  ),
  ""REVISAR""
)
"),"Llave Multifuncional 360™")</f>
        <v>Llave Multifuncional 360™</v>
      </c>
      <c r="E3" s="120">
        <f t="array" ref="E3">IF(
UPPER(TRIM(CLEAN($O3)))="ENTREGADO",
IFERROR(
INDEX(REPORTE_DROPI!Y:Y,
MATCH($T3, REPORTE_DROPI!B:B, 0)
),
""
),
""
)
</f>
        <v>5</v>
      </c>
      <c r="F3" s="121">
        <v>1.0</v>
      </c>
      <c r="G3" s="122">
        <f t="array" ref="G3">IF(
UPPER(TRIM(CLEAN($O3)))="ENTREGADO",
IFERROR(
INDEX(REPORTE_DROPI!R:R,
MATCH($T3, REPORTE_DROPI!B:B, 0)
),
""
),
""
)
</f>
        <v>20</v>
      </c>
      <c r="H3" s="118" t="s">
        <v>3727</v>
      </c>
      <c r="I3" s="118" t="s">
        <v>3731</v>
      </c>
      <c r="J3" s="121">
        <f t="array" ref="J3">IF(
UPPER(TRIM(CLEAN($O3)))="ENTREGADO",
IFERROR(
INDEX(REPORTE_DROPI!T:T,
MATCH($T3, REPORTE_DROPI!B:B, 0)
),
""
),
""
)
</f>
        <v>4.15</v>
      </c>
      <c r="K3" s="118">
        <f t="array" ref="K3">IFERROR(
INDEX(REPORTE_DROPI!S:S,
MATCH($T3, REPORTE_DROPI!B:B, 0)
),
""
)
</f>
        <v>10.85</v>
      </c>
      <c r="L3" s="118"/>
      <c r="M3" s="123" t="s">
        <v>3729</v>
      </c>
      <c r="N3" s="118">
        <v>4633.0</v>
      </c>
      <c r="O3" s="118" t="str">
        <f t="array" ref="O3">IFERROR(
VLOOKUP(
TRIM(CLEAN(
INDEX(REPORTE_DROPI!K:K,
MATCH(T3, REPORTE_DROPI!B:B, 0)
))),
{
TRIM(CLEAN(MAPA_ESTADOS!A:A)) ,
MAPA_ESTADOS!B:B
},
2,
FALSE
),
"REVISAR"
)
</f>
        <v>ENTREGADO</v>
      </c>
      <c r="P3" s="118"/>
      <c r="Q3" s="122">
        <f t="shared" si="1"/>
        <v>0</v>
      </c>
      <c r="R3" s="118"/>
      <c r="S3" s="118"/>
      <c r="T3" s="118">
        <f t="array" ref="T3">IFERROR(
INDEX(REPORTE_DROPI!B:B,
MATCH(
CLEAN(TRIM(C3)),
CLEAN(TRIM(REPORTE_DROPI!E:E)),
0
)
),
""
)
</f>
        <v>4013976</v>
      </c>
      <c r="U3" s="118"/>
      <c r="V3" s="124"/>
      <c r="W3" s="124"/>
      <c r="X3" s="124"/>
      <c r="Y3" s="124"/>
      <c r="Z3" s="124"/>
    </row>
    <row r="4" ht="22.5" customHeight="1">
      <c r="A4" s="118">
        <v>3.0</v>
      </c>
      <c r="B4" s="119">
        <v>46026.0</v>
      </c>
      <c r="C4" s="118" t="s">
        <v>3732</v>
      </c>
      <c r="D4" s="118" t="str">
        <f>IFERROR(__xludf.DUMMYFUNCTION("IFERROR(
  INDEX(
    FILTER(
      'NOMBRE DE PRODUCTOS'!B:B,
      REGEXMATCH(
        UPPER(
          INDEX(
            REPORTE_DROPI!AC:AC,
            MATCH(T4, REPORTE_DROPI!B:B, 0)
          )
        ),
        UPPER('NOMBRE DE PRODUCTOS'!A:A)
 "&amp;"     )
    ),
    1
  ),
  ""REVISAR""
)
"),"Llave Multifuncional 360™")</f>
        <v>Llave Multifuncional 360™</v>
      </c>
      <c r="E4" s="120">
        <f t="array" ref="E4">IF(
UPPER(TRIM(CLEAN($O4)))="ENTREGADO",
IFERROR(
INDEX(REPORTE_DROPI!Y:Y,
MATCH($T4, REPORTE_DROPI!B:B, 0)
),
""
),
""
)
</f>
        <v>10</v>
      </c>
      <c r="F4" s="121">
        <v>2.0</v>
      </c>
      <c r="G4" s="122">
        <f t="array" ref="G4">IF(
UPPER(TRIM(CLEAN($O4)))="ENTREGADO",
IFERROR(
INDEX(REPORTE_DROPI!R:R,
MATCH($T4, REPORTE_DROPI!B:B, 0)
),
""
),
""
)
</f>
        <v>25</v>
      </c>
      <c r="H4" s="118" t="s">
        <v>3727</v>
      </c>
      <c r="I4" s="118" t="s">
        <v>3733</v>
      </c>
      <c r="J4" s="121">
        <f t="array" ref="J4">IF(
UPPER(TRIM(CLEAN($O4)))="ENTREGADO",
IFERROR(
INDEX(REPORTE_DROPI!T:T,
MATCH($T4, REPORTE_DROPI!B:B, 0)
),
""
),
""
)
</f>
        <v>5.96</v>
      </c>
      <c r="K4" s="118">
        <f t="array" ref="K4">IFERROR(
INDEX(REPORTE_DROPI!S:S,
MATCH($T4, REPORTE_DROPI!B:B, 0)
),
""
)
</f>
        <v>9.04</v>
      </c>
      <c r="L4" s="118"/>
      <c r="M4" s="123" t="s">
        <v>3729</v>
      </c>
      <c r="N4" s="118">
        <v>4634.0</v>
      </c>
      <c r="O4" s="118" t="str">
        <f t="array" ref="O4">IFERROR(
VLOOKUP(
TRIM(CLEAN(
INDEX(REPORTE_DROPI!K:K,
MATCH(T4, REPORTE_DROPI!B:B, 0)
))),
{
TRIM(CLEAN(MAPA_ESTADOS!A:A)) ,
MAPA_ESTADOS!B:B
},
2,
FALSE
),
"REVISAR"
)
</f>
        <v>ENTREGADO</v>
      </c>
      <c r="P4" s="118"/>
      <c r="Q4" s="122">
        <f t="shared" si="1"/>
        <v>0</v>
      </c>
      <c r="R4" s="118"/>
      <c r="S4" s="118"/>
      <c r="T4" s="118">
        <f t="array" ref="T4">IFERROR(
INDEX(REPORTE_DROPI!B:B,
MATCH(
CLEAN(TRIM(C4)),
CLEAN(TRIM(REPORTE_DROPI!E:E)),
0
)
),
""
)
</f>
        <v>4014082</v>
      </c>
      <c r="U4" s="118"/>
      <c r="V4" s="124"/>
      <c r="W4" s="124"/>
      <c r="X4" s="124"/>
      <c r="Y4" s="124"/>
      <c r="Z4" s="124"/>
    </row>
    <row r="5" ht="22.5" customHeight="1">
      <c r="A5" s="118">
        <v>4.0</v>
      </c>
      <c r="B5" s="119">
        <v>46026.0</v>
      </c>
      <c r="C5" s="118" t="s">
        <v>3734</v>
      </c>
      <c r="D5" s="118" t="str">
        <f>IFERROR(__xludf.DUMMYFUNCTION("IFERROR(
  INDEX(
    FILTER(
      'NOMBRE DE PRODUCTOS'!B:B,
      REGEXMATCH(
        UPPER(
          INDEX(
            REPORTE_DROPI!AC:AC,
            MATCH(T5, REPORTE_DROPI!B:B, 0)
          )
        ),
        UPPER('NOMBRE DE PRODUCTOS'!A:A)
 "&amp;"     )
    ),
    1
  ),
  ""REVISAR""
)
"),"Llave Multifuncional 360™")</f>
        <v>Llave Multifuncional 360™</v>
      </c>
      <c r="E5" s="120" t="str">
        <f t="array" ref="E5">IF(
UPPER(TRIM(CLEAN($O5)))="ENTREGADO",
IFERROR(
INDEX(REPORTE_DROPI!Y:Y,
MATCH($T5, REPORTE_DROPI!B:B, 0)
),
""
),
""
)
</f>
        <v/>
      </c>
      <c r="F5" s="121">
        <v>2.0</v>
      </c>
      <c r="G5" s="122" t="str">
        <f t="array" ref="G5">IF(
UPPER(TRIM(CLEAN($O5)))="ENTREGADO",
IFERROR(
INDEX(REPORTE_DROPI!R:R,
MATCH($T5, REPORTE_DROPI!B:B, 0)
),
""
),
""
)
</f>
        <v/>
      </c>
      <c r="H5" s="118" t="s">
        <v>3727</v>
      </c>
      <c r="I5" s="118" t="s">
        <v>3735</v>
      </c>
      <c r="J5" s="121" t="str">
        <f t="array" ref="J5">IF(
UPPER(TRIM(CLEAN($O5)))="ENTREGADO",
IFERROR(
INDEX(REPORTE_DROPI!T:T,
MATCH($T5, REPORTE_DROPI!B:B, 0)
),
""
),
""
)
</f>
        <v/>
      </c>
      <c r="K5" s="118" t="str">
        <f t="array" ref="K5">IFERROR(
INDEX(REPORTE_DROPI!S:S,
MATCH($T5, REPORTE_DROPI!B:B, 0)
),
""
)
</f>
        <v/>
      </c>
      <c r="L5" s="118"/>
      <c r="M5" s="123" t="s">
        <v>3729</v>
      </c>
      <c r="N5" s="118">
        <v>4635.0</v>
      </c>
      <c r="O5" s="118" t="str">
        <f t="array" ref="O5">IFERROR(
VLOOKUP(
TRIM(CLEAN(
INDEX(REPORTE_DROPI!K:K,
MATCH(T5, REPORTE_DROPI!B:B, 0)
))),
{
TRIM(CLEAN(MAPA_ESTADOS!A:A)) ,
MAPA_ESTADOS!B:B
},
2,
FALSE
),
"REVISAR"
)
</f>
        <v>CANCELADO</v>
      </c>
      <c r="P5" s="118"/>
      <c r="Q5" s="122">
        <f t="shared" si="1"/>
        <v>0</v>
      </c>
      <c r="R5" s="118"/>
      <c r="S5" s="118"/>
      <c r="T5" s="118">
        <f t="array" ref="T5">IFERROR(
INDEX(REPORTE_DROPI!B:B,
MATCH(
CLEAN(TRIM(C5)),
CLEAN(TRIM(REPORTE_DROPI!E:E)),
0
)
),
""
)
</f>
        <v>4014210</v>
      </c>
      <c r="U5" s="118"/>
      <c r="V5" s="124"/>
      <c r="W5" s="124"/>
      <c r="X5" s="124"/>
      <c r="Y5" s="124"/>
      <c r="Z5" s="124"/>
    </row>
    <row r="6" ht="22.5" customHeight="1">
      <c r="A6" s="118">
        <v>5.0</v>
      </c>
      <c r="B6" s="119">
        <v>46026.0</v>
      </c>
      <c r="C6" s="118" t="s">
        <v>3736</v>
      </c>
      <c r="D6" s="118" t="str">
        <f>IFERROR(__xludf.DUMMYFUNCTION("IFERROR(
  INDEX(
    FILTER(
      'NOMBRE DE PRODUCTOS'!B:B,
      REGEXMATCH(
        UPPER(
          INDEX(
            REPORTE_DROPI!AC:AC,
            MATCH(T6, REPORTE_DROPI!B:B, 0)
          )
        ),
        UPPER('NOMBRE DE PRODUCTOS'!A:A)
 "&amp;"     )
    ),
    1
  ),
  ""REVISAR""
)
"),"FilmPro®")</f>
        <v>FilmPro®</v>
      </c>
      <c r="E6" s="120" t="str">
        <f t="array" ref="E6">IF(
UPPER(TRIM(CLEAN($O6)))="ENTREGADO",
IFERROR(
INDEX(REPORTE_DROPI!Y:Y,
MATCH($T6, REPORTE_DROPI!B:B, 0)
),
""
),
""
)
</f>
        <v/>
      </c>
      <c r="F6" s="121">
        <v>3.0</v>
      </c>
      <c r="G6" s="122" t="str">
        <f t="array" ref="G6">IF(
UPPER(TRIM(CLEAN($O6)))="ENTREGADO",
IFERROR(
INDEX(REPORTE_DROPI!R:R,
MATCH($T6, REPORTE_DROPI!B:B, 0)
),
""
),
""
)
</f>
        <v/>
      </c>
      <c r="H6" s="118" t="s">
        <v>3727</v>
      </c>
      <c r="I6" s="118" t="s">
        <v>3728</v>
      </c>
      <c r="J6" s="121" t="str">
        <f t="array" ref="J6">IF(
UPPER(TRIM(CLEAN($O6)))="ENTREGADO",
IFERROR(
INDEX(REPORTE_DROPI!T:T,
MATCH($T6, REPORTE_DROPI!B:B, 0)
),
""
),
""
)
</f>
        <v/>
      </c>
      <c r="K6" s="118" t="str">
        <f t="array" ref="K6">IFERROR(
INDEX(REPORTE_DROPI!S:S,
MATCH($T6, REPORTE_DROPI!B:B, 0)
),
""
)
</f>
        <v/>
      </c>
      <c r="L6" s="118"/>
      <c r="M6" s="123" t="s">
        <v>3718</v>
      </c>
      <c r="N6" s="118">
        <v>4636.0</v>
      </c>
      <c r="O6" s="118" t="str">
        <f t="array" ref="O6">IFERROR(
VLOOKUP(
TRIM(CLEAN(
INDEX(REPORTE_DROPI!K:K,
MATCH(T6, REPORTE_DROPI!B:B, 0)
))),
{
TRIM(CLEAN(MAPA_ESTADOS!A:A)) ,
MAPA_ESTADOS!B:B
},
2,
FALSE
),
"REVISAR"
)
</f>
        <v>CANCELADO</v>
      </c>
      <c r="P6" s="118"/>
      <c r="Q6" s="122">
        <f t="shared" si="1"/>
        <v>0</v>
      </c>
      <c r="R6" s="118"/>
      <c r="S6" s="118"/>
      <c r="T6" s="118">
        <f t="array" ref="T6">IFERROR(
INDEX(REPORTE_DROPI!B:B,
MATCH(
CLEAN(TRIM(C6)),
CLEAN(TRIM(REPORTE_DROPI!E:E)),
0
)
),
""
)
</f>
        <v>4015709</v>
      </c>
      <c r="U6" s="118"/>
      <c r="V6" s="124"/>
      <c r="W6" s="124"/>
      <c r="X6" s="124"/>
      <c r="Y6" s="124"/>
      <c r="Z6" s="124"/>
    </row>
    <row r="7" ht="22.5" customHeight="1">
      <c r="A7" s="118">
        <v>6.0</v>
      </c>
      <c r="B7" s="119">
        <v>46026.0</v>
      </c>
      <c r="C7" s="118" t="s">
        <v>3737</v>
      </c>
      <c r="D7" s="118" t="str">
        <f>IFERROR(__xludf.DUMMYFUNCTION("IFERROR(
  INDEX(
    FILTER(
      'NOMBRE DE PRODUCTOS'!B:B,
      REGEXMATCH(
        UPPER(
          INDEX(
            REPORTE_DROPI!AC:AC,
            MATCH(T7, REPORTE_DROPI!B:B, 0)
          )
        ),
        UPPER('NOMBRE DE PRODUCTOS'!A:A)
 "&amp;"     )
    ),
    1
  ),
  ""REVISAR""
)
"),"Llave Multifuncional 360™")</f>
        <v>Llave Multifuncional 360™</v>
      </c>
      <c r="E7" s="120">
        <f t="array" ref="E7">IF(
UPPER(TRIM(CLEAN($O7)))="ENTREGADO",
IFERROR(
INDEX(REPORTE_DROPI!Y:Y,
MATCH($T7, REPORTE_DROPI!B:B, 0)
),
""
),
""
)
</f>
        <v>5</v>
      </c>
      <c r="F7" s="121">
        <v>1.0</v>
      </c>
      <c r="G7" s="122">
        <f t="array" ref="G7">IF(
UPPER(TRIM(CLEAN($O7)))="ENTREGADO",
IFERROR(
INDEX(REPORTE_DROPI!R:R,
MATCH($T7, REPORTE_DROPI!B:B, 0)
),
""
),
""
)
</f>
        <v>20</v>
      </c>
      <c r="H7" s="118" t="s">
        <v>3727</v>
      </c>
      <c r="I7" s="118" t="s">
        <v>3738</v>
      </c>
      <c r="J7" s="121">
        <f t="array" ref="J7">IF(
UPPER(TRIM(CLEAN($O7)))="ENTREGADO",
IFERROR(
INDEX(REPORTE_DROPI!T:T,
MATCH($T7, REPORTE_DROPI!B:B, 0)
),
""
),
""
)
</f>
        <v>5.76</v>
      </c>
      <c r="K7" s="118">
        <f t="array" ref="K7">IFERROR(
INDEX(REPORTE_DROPI!S:S,
MATCH($T7, REPORTE_DROPI!B:B, 0)
),
""
)
</f>
        <v>9.24</v>
      </c>
      <c r="L7" s="118"/>
      <c r="M7" s="123" t="s">
        <v>3729</v>
      </c>
      <c r="N7" s="118">
        <v>4637.0</v>
      </c>
      <c r="O7" s="118" t="str">
        <f t="array" ref="O7">IFERROR(
VLOOKUP(
TRIM(CLEAN(
INDEX(REPORTE_DROPI!K:K,
MATCH(T7, REPORTE_DROPI!B:B, 0)
))),
{
TRIM(CLEAN(MAPA_ESTADOS!A:A)) ,
MAPA_ESTADOS!B:B
},
2,
FALSE
),
"REVISAR"
)
</f>
        <v>ENTREGADO</v>
      </c>
      <c r="P7" s="118"/>
      <c r="Q7" s="122">
        <f t="shared" si="1"/>
        <v>0</v>
      </c>
      <c r="R7" s="118"/>
      <c r="S7" s="118"/>
      <c r="T7" s="118">
        <f t="array" ref="T7">IFERROR(
INDEX(REPORTE_DROPI!B:B,
MATCH(
CLEAN(TRIM(C7)),
CLEAN(TRIM(REPORTE_DROPI!E:E)),
0
)
),
""
)
</f>
        <v>4015886</v>
      </c>
      <c r="U7" s="118"/>
      <c r="V7" s="124"/>
      <c r="W7" s="124"/>
      <c r="X7" s="124"/>
      <c r="Y7" s="124"/>
      <c r="Z7" s="124"/>
    </row>
    <row r="8" ht="22.5" customHeight="1">
      <c r="A8" s="118">
        <v>7.0</v>
      </c>
      <c r="B8" s="119">
        <v>46026.0</v>
      </c>
      <c r="C8" s="118" t="s">
        <v>3739</v>
      </c>
      <c r="D8" s="118" t="str">
        <f>IFERROR(__xludf.DUMMYFUNCTION("IFERROR(
  INDEX(
    FILTER(
      'NOMBRE DE PRODUCTOS'!B:B,
      REGEXMATCH(
        UPPER(
          INDEX(
            REPORTE_DROPI!AC:AC,
            MATCH(T8, REPORTE_DROPI!B:B, 0)
          )
        ),
        UPPER('NOMBRE DE PRODUCTOS'!A:A)
 "&amp;"     )
    ),
    1
  ),
  ""REVISAR""
)
"),"Llave Multifuncional 360™")</f>
        <v>Llave Multifuncional 360™</v>
      </c>
      <c r="E8" s="120">
        <f t="array" ref="E8">IF(
UPPER(TRIM(CLEAN($O8)))="ENTREGADO",
IFERROR(
INDEX(REPORTE_DROPI!Y:Y,
MATCH($T8, REPORTE_DROPI!B:B, 0)
),
""
),
""
)
</f>
        <v>10</v>
      </c>
      <c r="F8" s="121">
        <v>2.0</v>
      </c>
      <c r="G8" s="122">
        <f t="array" ref="G8">IF(
UPPER(TRIM(CLEAN($O8)))="ENTREGADO",
IFERROR(
INDEX(REPORTE_DROPI!R:R,
MATCH($T8, REPORTE_DROPI!B:B, 0)
),
""
),
""
)
</f>
        <v>25</v>
      </c>
      <c r="H8" s="118" t="s">
        <v>3727</v>
      </c>
      <c r="I8" s="118" t="s">
        <v>3740</v>
      </c>
      <c r="J8" s="121">
        <f t="array" ref="J8">IF(
UPPER(TRIM(CLEAN($O8)))="ENTREGADO",
IFERROR(
INDEX(REPORTE_DROPI!T:T,
MATCH($T8, REPORTE_DROPI!B:B, 0)
),
""
),
""
)
</f>
        <v>6.53</v>
      </c>
      <c r="K8" s="118">
        <f t="array" ref="K8">IFERROR(
INDEX(REPORTE_DROPI!S:S,
MATCH($T8, REPORTE_DROPI!B:B, 0)
),
""
)
</f>
        <v>8.47</v>
      </c>
      <c r="L8" s="118"/>
      <c r="M8" s="123" t="s">
        <v>3729</v>
      </c>
      <c r="N8" s="118">
        <v>4638.0</v>
      </c>
      <c r="O8" s="118" t="str">
        <f t="array" ref="O8">IFERROR(
VLOOKUP(
TRIM(CLEAN(
INDEX(REPORTE_DROPI!K:K,
MATCH(T8, REPORTE_DROPI!B:B, 0)
))),
{
TRIM(CLEAN(MAPA_ESTADOS!A:A)) ,
MAPA_ESTADOS!B:B
},
2,
FALSE
),
"REVISAR"
)
</f>
        <v>ENTREGADO</v>
      </c>
      <c r="P8" s="118"/>
      <c r="Q8" s="122">
        <f t="shared" si="1"/>
        <v>0</v>
      </c>
      <c r="R8" s="118"/>
      <c r="S8" s="118"/>
      <c r="T8" s="118">
        <f t="array" ref="T8">IFERROR(
INDEX(REPORTE_DROPI!B:B,
MATCH(
CLEAN(TRIM(C8)),
CLEAN(TRIM(REPORTE_DROPI!E:E)),
0
)
),
""
)
</f>
        <v>4016252</v>
      </c>
      <c r="U8" s="118"/>
      <c r="V8" s="124"/>
      <c r="W8" s="124"/>
      <c r="X8" s="124"/>
      <c r="Y8" s="124"/>
      <c r="Z8" s="124"/>
    </row>
    <row r="9" ht="22.5" customHeight="1">
      <c r="A9" s="118">
        <v>8.0</v>
      </c>
      <c r="B9" s="119">
        <v>46026.0</v>
      </c>
      <c r="C9" s="118" t="s">
        <v>3741</v>
      </c>
      <c r="D9" s="118" t="str">
        <f>IFERROR(__xludf.DUMMYFUNCTION("IFERROR(
  INDEX(
    FILTER(
      'NOMBRE DE PRODUCTOS'!B:B,
      REGEXMATCH(
        UPPER(
          INDEX(
            REPORTE_DROPI!AC:AC,
            MATCH(T9, REPORTE_DROPI!B:B, 0)
          )
        ),
        UPPER('NOMBRE DE PRODUCTOS'!A:A)
 "&amp;"     )
    ),
    1
  ),
  ""REVISAR""
)
"),"FLORA FRESH PRO™")</f>
        <v>FLORA FRESH PRO™</v>
      </c>
      <c r="E9" s="120" t="str">
        <f t="array" ref="E9">IF(
UPPER(TRIM(CLEAN($O9)))="ENTREGADO",
IFERROR(
INDEX(REPORTE_DROPI!Y:Y,
MATCH($T9, REPORTE_DROPI!B:B, 0)
),
""
),
""
)
</f>
        <v/>
      </c>
      <c r="F9" s="121">
        <v>5.0</v>
      </c>
      <c r="G9" s="122" t="str">
        <f t="array" ref="G9">IF(
UPPER(TRIM(CLEAN($O9)))="ENTREGADO",
IFERROR(
INDEX(REPORTE_DROPI!R:R,
MATCH($T9, REPORTE_DROPI!B:B, 0)
),
""
),
""
)
</f>
        <v/>
      </c>
      <c r="H9" s="118" t="s">
        <v>3727</v>
      </c>
      <c r="I9" s="118" t="s">
        <v>3742</v>
      </c>
      <c r="J9" s="121" t="str">
        <f t="array" ref="J9">IF(
UPPER(TRIM(CLEAN($O9)))="ENTREGADO",
IFERROR(
INDEX(REPORTE_DROPI!T:T,
MATCH($T9, REPORTE_DROPI!B:B, 0)
),
""
),
""
)
</f>
        <v/>
      </c>
      <c r="K9" s="118" t="str">
        <f t="array" ref="K9">IFERROR(
INDEX(REPORTE_DROPI!S:S,
MATCH($T9, REPORTE_DROPI!B:B, 0)
),
""
)
</f>
        <v/>
      </c>
      <c r="L9" s="118">
        <f>IF(
  O9&lt;&gt;"DEVOLUCION",
  "",
  IF(
    T9="",
    "",
    SUMIF(DEVOLUCION!F:F, T9, DEVOLUCION!D:D)
  )
)
</f>
        <v>5.16</v>
      </c>
      <c r="M9" s="123" t="s">
        <v>3729</v>
      </c>
      <c r="N9" s="118">
        <v>4639.0</v>
      </c>
      <c r="O9" s="118" t="str">
        <f t="array" ref="O9">IFERROR(
VLOOKUP(
TRIM(CLEAN(
INDEX(REPORTE_DROPI!K:K,
MATCH(T9, REPORTE_DROPI!B:B, 0)
))),
{
TRIM(CLEAN(MAPA_ESTADOS!A:A)) ,
MAPA_ESTADOS!B:B
},
2,
FALSE
),
"REVISAR"
)
</f>
        <v>DEVOLUCION</v>
      </c>
      <c r="P9" s="118"/>
      <c r="Q9" s="122">
        <f t="shared" si="1"/>
        <v>0</v>
      </c>
      <c r="R9" s="118"/>
      <c r="S9" s="118"/>
      <c r="T9" s="118">
        <f t="array" ref="T9">IFERROR(
INDEX(REPORTE_DROPI!B:B,
MATCH(
CLEAN(TRIM(C9)),
CLEAN(TRIM(REPORTE_DROPI!E:E)),
0
)
),
""
)
</f>
        <v>4055672</v>
      </c>
      <c r="U9" s="118"/>
      <c r="V9" s="125"/>
      <c r="W9" s="125"/>
      <c r="X9" s="125"/>
      <c r="Y9" s="125"/>
      <c r="Z9" s="125"/>
    </row>
    <row r="10" ht="22.5" customHeight="1">
      <c r="A10" s="118">
        <v>9.0</v>
      </c>
      <c r="B10" s="119">
        <v>46026.0</v>
      </c>
      <c r="C10" s="118" t="s">
        <v>3743</v>
      </c>
      <c r="D10" s="118" t="str">
        <f>IFERROR(__xludf.DUMMYFUNCTION("IFERROR(
  INDEX(
    FILTER(
      'NOMBRE DE PRODUCTOS'!B:B,
      REGEXMATCH(
        UPPER(
          INDEX(
            REPORTE_DROPI!AC:AC,
            MATCH(T10, REPORTE_DROPI!B:B, 0)
          )
        ),
        UPPER('NOMBRE DE PRODUCTOS'!A:A)
"&amp;"      )
    ),
    1
  ),
  ""REVISAR""
)
"),"Llave Multifuncional 360™")</f>
        <v>Llave Multifuncional 360™</v>
      </c>
      <c r="E10" s="120">
        <f t="array" ref="E10">IF(
UPPER(TRIM(CLEAN($O10)))="ENTREGADO",
IFERROR(
INDEX(REPORTE_DROPI!Y:Y,
MATCH($T10, REPORTE_DROPI!B:B, 0)
),
""
),
""
)
</f>
        <v>5</v>
      </c>
      <c r="F10" s="121">
        <v>1.0</v>
      </c>
      <c r="G10" s="122">
        <f t="array" ref="G10">IF(
UPPER(TRIM(CLEAN($O10)))="ENTREGADO",
IFERROR(
INDEX(REPORTE_DROPI!R:R,
MATCH($T10, REPORTE_DROPI!B:B, 0)
),
""
),
""
)
</f>
        <v>20</v>
      </c>
      <c r="H10" s="118" t="s">
        <v>3727</v>
      </c>
      <c r="I10" s="118" t="s">
        <v>3744</v>
      </c>
      <c r="J10" s="121">
        <f t="array" ref="J10">IF(
UPPER(TRIM(CLEAN($O10)))="ENTREGADO",
IFERROR(
INDEX(REPORTE_DROPI!T:T,
MATCH($T10, REPORTE_DROPI!B:B, 0)
),
""
),
""
)
</f>
        <v>5.76</v>
      </c>
      <c r="K10" s="118">
        <f t="array" ref="K10">IFERROR(
INDEX(REPORTE_DROPI!S:S,
MATCH($T10, REPORTE_DROPI!B:B, 0)
),
""
)
</f>
        <v>9.24</v>
      </c>
      <c r="L10" s="118" t="str">
        <f>IF(
  O10&lt;&gt;"DEVOLUCION",
  "",
  IF(
    T10="",
    "",
    SUMIF(DEVOLUCION!F:F, T10, DEVOLUCION!D:D)
  )
)
</f>
        <v/>
      </c>
      <c r="M10" s="123" t="s">
        <v>3729</v>
      </c>
      <c r="N10" s="118">
        <v>4640.0</v>
      </c>
      <c r="O10" s="118" t="str">
        <f t="array" ref="O10">IFERROR(
VLOOKUP(
TRIM(CLEAN(
INDEX(REPORTE_DROPI!K:K,
MATCH(T10, REPORTE_DROPI!B:B, 0)
))),
{
TRIM(CLEAN(MAPA_ESTADOS!A:A)) ,
MAPA_ESTADOS!B:B
},
2,
FALSE
),
"REVISAR"
)
</f>
        <v>ENTREGADO</v>
      </c>
      <c r="P10" s="118"/>
      <c r="Q10" s="122">
        <f t="shared" si="1"/>
        <v>0</v>
      </c>
      <c r="R10" s="118"/>
      <c r="S10" s="118"/>
      <c r="T10" s="118">
        <f t="array" ref="T10">IFERROR(
INDEX(REPORTE_DROPI!B:B,
MATCH(
CLEAN(TRIM(C10)),
CLEAN(TRIM(REPORTE_DROPI!E:E)),
0
)
),
""
)
</f>
        <v>4055943</v>
      </c>
      <c r="U10" s="118"/>
      <c r="V10" s="78"/>
      <c r="W10" s="78"/>
      <c r="X10" s="78"/>
      <c r="Y10" s="78"/>
      <c r="Z10" s="78"/>
    </row>
    <row r="11" ht="22.5" customHeight="1">
      <c r="A11" s="118">
        <v>10.0</v>
      </c>
      <c r="B11" s="119">
        <v>46026.0</v>
      </c>
      <c r="C11" s="118" t="s">
        <v>3745</v>
      </c>
      <c r="D11" s="118" t="str">
        <f>IFERROR(__xludf.DUMMYFUNCTION("IFERROR(
  INDEX(
    FILTER(
      'NOMBRE DE PRODUCTOS'!B:B,
      REGEXMATCH(
        UPPER(
          INDEX(
            REPORTE_DROPI!AC:AC,
            MATCH(T11, REPORTE_DROPI!B:B, 0)
          )
        ),
        UPPER('NOMBRE DE PRODUCTOS'!A:A)
"&amp;"      )
    ),
    1
  ),
  ""REVISAR""
)
"),"FLORA FRESH PRO™")</f>
        <v>FLORA FRESH PRO™</v>
      </c>
      <c r="E11" s="120" t="str">
        <f t="array" ref="E11">IF(
UPPER(TRIM(CLEAN($O11)))="ENTREGADO",
IFERROR(
INDEX(REPORTE_DROPI!Y:Y,
MATCH($T11, REPORTE_DROPI!B:B, 0)
),
""
),
""
)
</f>
        <v/>
      </c>
      <c r="F11" s="121">
        <v>4.0</v>
      </c>
      <c r="G11" s="122" t="str">
        <f t="array" ref="G11">IF(
UPPER(TRIM(CLEAN($O11)))="ENTREGADO",
IFERROR(
INDEX(REPORTE_DROPI!R:R,
MATCH($T11, REPORTE_DROPI!B:B, 0)
),
""
),
""
)
</f>
        <v/>
      </c>
      <c r="H11" s="118" t="s">
        <v>3727</v>
      </c>
      <c r="I11" s="118" t="s">
        <v>3740</v>
      </c>
      <c r="J11" s="121" t="str">
        <f t="array" ref="J11">IF(
UPPER(TRIM(CLEAN($O11)))="ENTREGADO",
IFERROR(
INDEX(REPORTE_DROPI!T:T,
MATCH($T11, REPORTE_DROPI!B:B, 0)
),
""
),
""
)
</f>
        <v/>
      </c>
      <c r="K11" s="118" t="str">
        <f t="array" ref="K11">IFERROR(
INDEX(REPORTE_DROPI!S:S,
MATCH($T11, REPORTE_DROPI!B:B, 0)
),
""
)
</f>
        <v/>
      </c>
      <c r="L11" s="118">
        <f>IF(
  O11&lt;&gt;"DEVOLUCION",
  "",
  IF(
    T11="",
    "",
    SUMIF(DEVOLUCION!F:F, T11, DEVOLUCION!D:D)
  )
)
</f>
        <v>3.52</v>
      </c>
      <c r="M11" s="123" t="s">
        <v>3729</v>
      </c>
      <c r="N11" s="118">
        <v>4641.0</v>
      </c>
      <c r="O11" s="118" t="str">
        <f t="array" ref="O11">IFERROR(
VLOOKUP(
TRIM(CLEAN(
INDEX(REPORTE_DROPI!K:K,
MATCH(T11, REPORTE_DROPI!B:B, 0)
))),
{
TRIM(CLEAN(MAPA_ESTADOS!A:A)) ,
MAPA_ESTADOS!B:B
},
2,
FALSE
),
"REVISAR"
)
</f>
        <v>DEVOLUCION</v>
      </c>
      <c r="P11" s="118"/>
      <c r="Q11" s="122">
        <f t="shared" si="1"/>
        <v>0</v>
      </c>
      <c r="R11" s="118"/>
      <c r="S11" s="118"/>
      <c r="T11" s="118">
        <f t="array" ref="T11">IFERROR(
INDEX(REPORTE_DROPI!B:B,
MATCH(
CLEAN(TRIM(C11)),
CLEAN(TRIM(REPORTE_DROPI!E:E)),
0
)
),
""
)
</f>
        <v>4053649</v>
      </c>
      <c r="U11" s="118"/>
      <c r="V11" s="78"/>
      <c r="W11" s="78"/>
      <c r="X11" s="78"/>
      <c r="Y11" s="78"/>
      <c r="Z11" s="78"/>
    </row>
    <row r="12" ht="22.5" customHeight="1">
      <c r="A12" s="118">
        <v>11.0</v>
      </c>
      <c r="B12" s="119">
        <v>46026.0</v>
      </c>
      <c r="C12" s="118" t="s">
        <v>3746</v>
      </c>
      <c r="D12" s="118" t="str">
        <f>IFERROR(__xludf.DUMMYFUNCTION("IFERROR(
  INDEX(
    FILTER(
      'NOMBRE DE PRODUCTOS'!B:B,
      REGEXMATCH(
        UPPER(
          INDEX(
            REPORTE_DROPI!AC:AC,
            MATCH(T12, REPORTE_DROPI!B:B, 0)
          )
        ),
        UPPER('NOMBRE DE PRODUCTOS'!A:A)
"&amp;"      )
    ),
    1
  ),
  ""REVISAR""
)
"),"Llave Multifuncional 360™")</f>
        <v>Llave Multifuncional 360™</v>
      </c>
      <c r="E12" s="120">
        <f t="array" ref="E12">IF(
UPPER(TRIM(CLEAN($O12)))="ENTREGADO",
IFERROR(
INDEX(REPORTE_DROPI!Y:Y,
MATCH($T12, REPORTE_DROPI!B:B, 0)
),
""
),
""
)
</f>
        <v>10</v>
      </c>
      <c r="F12" s="121">
        <v>2.0</v>
      </c>
      <c r="G12" s="122">
        <f t="array" ref="G12">IF(
UPPER(TRIM(CLEAN($O12)))="ENTREGADO",
IFERROR(
INDEX(REPORTE_DROPI!R:R,
MATCH($T12, REPORTE_DROPI!B:B, 0)
),
""
),
""
)
</f>
        <v>25</v>
      </c>
      <c r="H12" s="118" t="s">
        <v>3727</v>
      </c>
      <c r="I12" s="118" t="s">
        <v>3740</v>
      </c>
      <c r="J12" s="121">
        <f t="array" ref="J12">IF(
UPPER(TRIM(CLEAN($O12)))="ENTREGADO",
IFERROR(
INDEX(REPORTE_DROPI!T:T,
MATCH($T12, REPORTE_DROPI!B:B, 0)
),
""
),
""
)
</f>
        <v>6.53</v>
      </c>
      <c r="K12" s="118">
        <f t="array" ref="K12">IFERROR(
INDEX(REPORTE_DROPI!S:S,
MATCH($T12, REPORTE_DROPI!B:B, 0)
),
""
)
</f>
        <v>8.47</v>
      </c>
      <c r="L12" s="118" t="str">
        <f>IF(
  O12&lt;&gt;"DEVOLUCION",
  "",
  IF(
    T12="",
    "",
    SUMIF(DEVOLUCION!F:F, T12, DEVOLUCION!D:D)
  )
)
</f>
        <v/>
      </c>
      <c r="M12" s="123" t="s">
        <v>3729</v>
      </c>
      <c r="N12" s="118">
        <v>4642.0</v>
      </c>
      <c r="O12" s="118" t="str">
        <f t="array" ref="O12">IFERROR(
VLOOKUP(
TRIM(CLEAN(
INDEX(REPORTE_DROPI!K:K,
MATCH(T12, REPORTE_DROPI!B:B, 0)
))),
{
TRIM(CLEAN(MAPA_ESTADOS!A:A)) ,
MAPA_ESTADOS!B:B
},
2,
FALSE
),
"REVISAR"
)
</f>
        <v>ENTREGADO</v>
      </c>
      <c r="P12" s="118"/>
      <c r="Q12" s="122">
        <f t="shared" si="1"/>
        <v>0</v>
      </c>
      <c r="R12" s="118"/>
      <c r="S12" s="118"/>
      <c r="T12" s="118">
        <f t="array" ref="T12">IFERROR(
INDEX(REPORTE_DROPI!B:B,
MATCH(
CLEAN(TRIM(C12)),
CLEAN(TRIM(REPORTE_DROPI!E:E)),
0
)
),
""
)
</f>
        <v>4016650</v>
      </c>
      <c r="U12" s="118"/>
      <c r="V12" s="78"/>
      <c r="W12" s="78"/>
      <c r="X12" s="78"/>
      <c r="Y12" s="78"/>
      <c r="Z12" s="78"/>
    </row>
    <row r="13" ht="22.5" customHeight="1">
      <c r="A13" s="118">
        <v>12.0</v>
      </c>
      <c r="B13" s="119">
        <v>46026.0</v>
      </c>
      <c r="C13" s="118" t="s">
        <v>3747</v>
      </c>
      <c r="D13" s="118" t="str">
        <f>IFERROR(__xludf.DUMMYFUNCTION("IFERROR(
  INDEX(
    FILTER(
      'NOMBRE DE PRODUCTOS'!B:B,
      REGEXMATCH(
        UPPER(
          INDEX(
            REPORTE_DROPI!AC:AC,
            MATCH(T13, REPORTE_DROPI!B:B, 0)
          )
        ),
        UPPER('NOMBRE DE PRODUCTOS'!A:A)
"&amp;"      )
    ),
    1
  ),
  ""REVISAR""
)
"),"Llave Multifuncional 360™")</f>
        <v>Llave Multifuncional 360™</v>
      </c>
      <c r="E13" s="120" t="str">
        <f t="array" ref="E13">IF(
UPPER(TRIM(CLEAN($O13)))="ENTREGADO",
IFERROR(
INDEX(REPORTE_DROPI!Y:Y,
MATCH($T13, REPORTE_DROPI!B:B, 0)
),
""
),
""
)
</f>
        <v/>
      </c>
      <c r="F13" s="121">
        <v>1.0</v>
      </c>
      <c r="G13" s="122" t="str">
        <f t="array" ref="G13">IF(
UPPER(TRIM(CLEAN($O13)))="ENTREGADO",
IFERROR(
INDEX(REPORTE_DROPI!R:R,
MATCH($T13, REPORTE_DROPI!B:B, 0)
),
""
),
""
)
</f>
        <v/>
      </c>
      <c r="H13" s="118" t="s">
        <v>3727</v>
      </c>
      <c r="I13" s="118" t="s">
        <v>3740</v>
      </c>
      <c r="J13" s="121" t="str">
        <f t="array" ref="J13">IF(
UPPER(TRIM(CLEAN($O13)))="ENTREGADO",
IFERROR(
INDEX(REPORTE_DROPI!T:T,
MATCH($T13, REPORTE_DROPI!B:B, 0)
),
""
),
""
)
</f>
        <v/>
      </c>
      <c r="K13" s="118" t="str">
        <f t="array" ref="K13">IFERROR(
INDEX(REPORTE_DROPI!S:S,
MATCH($T13, REPORTE_DROPI!B:B, 0)
),
""
)
</f>
        <v/>
      </c>
      <c r="L13" s="118" t="str">
        <f>IF(
  O13&lt;&gt;"DEVOLUCION",
  "",
  IF(
    T13="",
    "",
    SUMIF(DEVOLUCION!F:F, T13, DEVOLUCION!D:D)
  )
)
</f>
        <v/>
      </c>
      <c r="M13" s="123" t="s">
        <v>3729</v>
      </c>
      <c r="N13" s="118">
        <v>4643.0</v>
      </c>
      <c r="O13" s="118" t="str">
        <f t="array" ref="O13">IFERROR(
VLOOKUP(
TRIM(CLEAN(
INDEX(REPORTE_DROPI!K:K,
MATCH(T13, REPORTE_DROPI!B:B, 0)
))),
{
TRIM(CLEAN(MAPA_ESTADOS!A:A)) ,
MAPA_ESTADOS!B:B
},
2,
FALSE
),
"REVISAR"
)
</f>
        <v>CANCELADO</v>
      </c>
      <c r="P13" s="118"/>
      <c r="Q13" s="122">
        <f t="shared" si="1"/>
        <v>0</v>
      </c>
      <c r="R13" s="118"/>
      <c r="S13" s="118"/>
      <c r="T13" s="118">
        <f t="array" ref="T13">IFERROR(
INDEX(REPORTE_DROPI!B:B,
MATCH(
CLEAN(TRIM(C13)),
CLEAN(TRIM(REPORTE_DROPI!E:E)),
0
)
),
""
)
</f>
        <v>4016658</v>
      </c>
      <c r="U13" s="118"/>
      <c r="V13" s="78"/>
      <c r="W13" s="78"/>
      <c r="X13" s="78"/>
      <c r="Y13" s="78"/>
      <c r="Z13" s="78"/>
    </row>
    <row r="14" ht="22.5" customHeight="1">
      <c r="A14" s="118">
        <v>13.0</v>
      </c>
      <c r="B14" s="119">
        <v>46026.0</v>
      </c>
      <c r="C14" s="118" t="s">
        <v>3748</v>
      </c>
      <c r="D14" s="118" t="str">
        <f>IFERROR(__xludf.DUMMYFUNCTION("IFERROR(
  INDEX(
    FILTER(
      'NOMBRE DE PRODUCTOS'!B:B,
      REGEXMATCH(
        UPPER(
          INDEX(
            REPORTE_DROPI!AC:AC,
            MATCH(T14, REPORTE_DROPI!B:B, 0)
          )
        ),
        UPPER('NOMBRE DE PRODUCTOS'!A:A)
"&amp;"      )
    ),
    1
  ),
  ""REVISAR""
)
"),"Llave Multifuncional 360™")</f>
        <v>Llave Multifuncional 360™</v>
      </c>
      <c r="E14" s="120">
        <f t="array" ref="E14">IF(
UPPER(TRIM(CLEAN($O14)))="ENTREGADO",
IFERROR(
INDEX(REPORTE_DROPI!Y:Y,
MATCH($T14, REPORTE_DROPI!B:B, 0)
),
""
),
""
)
</f>
        <v>10</v>
      </c>
      <c r="F14" s="121">
        <v>2.0</v>
      </c>
      <c r="G14" s="122">
        <f t="array" ref="G14">IF(
UPPER(TRIM(CLEAN($O14)))="ENTREGADO",
IFERROR(
INDEX(REPORTE_DROPI!R:R,
MATCH($T14, REPORTE_DROPI!B:B, 0)
),
""
),
""
)
</f>
        <v>25</v>
      </c>
      <c r="H14" s="118" t="s">
        <v>3727</v>
      </c>
      <c r="I14" s="118" t="s">
        <v>3728</v>
      </c>
      <c r="J14" s="121">
        <f t="array" ref="J14">IF(
UPPER(TRIM(CLEAN($O14)))="ENTREGADO",
IFERROR(
INDEX(REPORTE_DROPI!T:T,
MATCH($T14, REPORTE_DROPI!B:B, 0)
),
""
),
""
)
</f>
        <v>6.53</v>
      </c>
      <c r="K14" s="118">
        <f t="array" ref="K14">IFERROR(
INDEX(REPORTE_DROPI!S:S,
MATCH($T14, REPORTE_DROPI!B:B, 0)
),
""
)
</f>
        <v>8.47</v>
      </c>
      <c r="L14" s="118" t="str">
        <f>IF(
  O14&lt;&gt;"DEVOLUCION",
  "",
  IF(
    T14="",
    "",
    SUMIF(DEVOLUCION!F:F, T14, DEVOLUCION!D:D)
  )
)
</f>
        <v/>
      </c>
      <c r="M14" s="123" t="s">
        <v>3729</v>
      </c>
      <c r="N14" s="118">
        <v>4644.0</v>
      </c>
      <c r="O14" s="118" t="str">
        <f t="array" ref="O14">IFERROR(
VLOOKUP(
TRIM(CLEAN(
INDEX(REPORTE_DROPI!K:K,
MATCH(T14, REPORTE_DROPI!B:B, 0)
))),
{
TRIM(CLEAN(MAPA_ESTADOS!A:A)) ,
MAPA_ESTADOS!B:B
},
2,
FALSE
),
"REVISAR"
)
</f>
        <v>ENTREGADO</v>
      </c>
      <c r="P14" s="118"/>
      <c r="Q14" s="122">
        <f t="shared" si="1"/>
        <v>0</v>
      </c>
      <c r="R14" s="118"/>
      <c r="S14" s="118"/>
      <c r="T14" s="118">
        <f t="array" ref="T14">IFERROR(
INDEX(REPORTE_DROPI!B:B,
MATCH(
CLEAN(TRIM(C14)),
CLEAN(TRIM(REPORTE_DROPI!E:E)),
0
)
),
""
)
</f>
        <v>4016709</v>
      </c>
      <c r="U14" s="118"/>
      <c r="V14" s="78"/>
      <c r="W14" s="78"/>
      <c r="X14" s="78"/>
      <c r="Y14" s="78"/>
      <c r="Z14" s="78"/>
    </row>
    <row r="15" ht="22.5" customHeight="1">
      <c r="A15" s="118">
        <v>14.0</v>
      </c>
      <c r="B15" s="119">
        <v>46026.0</v>
      </c>
      <c r="C15" s="118" t="s">
        <v>3749</v>
      </c>
      <c r="D15" s="118" t="str">
        <f>IFERROR(__xludf.DUMMYFUNCTION("IFERROR(
  INDEX(
    FILTER(
      'NOMBRE DE PRODUCTOS'!B:B,
      REGEXMATCH(
        UPPER(
          INDEX(
            REPORTE_DROPI!AC:AC,
            MATCH(T15, REPORTE_DROPI!B:B, 0)
          )
        ),
        UPPER('NOMBRE DE PRODUCTOS'!A:A)
"&amp;"      )
    ),
    1
  ),
  ""REVISAR""
)
"),"Llave Multifuncional 360™")</f>
        <v>Llave Multifuncional 360™</v>
      </c>
      <c r="E15" s="120">
        <f t="array" ref="E15">IF(
UPPER(TRIM(CLEAN($O15)))="ENTREGADO",
IFERROR(
INDEX(REPORTE_DROPI!Y:Y,
MATCH($T15, REPORTE_DROPI!B:B, 0)
),
""
),
""
)
</f>
        <v>15</v>
      </c>
      <c r="F15" s="121">
        <v>3.0</v>
      </c>
      <c r="G15" s="122">
        <f t="array" ref="G15">IF(
UPPER(TRIM(CLEAN($O15)))="ENTREGADO",
IFERROR(
INDEX(REPORTE_DROPI!R:R,
MATCH($T15, REPORTE_DROPI!B:B, 0)
),
""
),
""
)
</f>
        <v>30</v>
      </c>
      <c r="H15" s="118" t="s">
        <v>3727</v>
      </c>
      <c r="I15" s="118" t="s">
        <v>3731</v>
      </c>
      <c r="J15" s="121">
        <f t="array" ref="J15">IF(
UPPER(TRIM(CLEAN($O15)))="ENTREGADO",
IFERROR(
INDEX(REPORTE_DROPI!T:T,
MATCH($T15, REPORTE_DROPI!B:B, 0)
),
""
),
""
)
</f>
        <v>4.89</v>
      </c>
      <c r="K15" s="118">
        <f t="array" ref="K15">IFERROR(
INDEX(REPORTE_DROPI!S:S,
MATCH($T15, REPORTE_DROPI!B:B, 0)
),
""
)
</f>
        <v>10.11</v>
      </c>
      <c r="L15" s="118" t="str">
        <f>IF(
  O15&lt;&gt;"DEVOLUCION",
  "",
  IF(
    T15="",
    "",
    SUMIF(DEVOLUCION!F:F, T15, DEVOLUCION!D:D)
  )
)
</f>
        <v/>
      </c>
      <c r="M15" s="123" t="s">
        <v>3729</v>
      </c>
      <c r="N15" s="118">
        <v>4645.0</v>
      </c>
      <c r="O15" s="118" t="str">
        <f t="array" ref="O15">IFERROR(
VLOOKUP(
TRIM(CLEAN(
INDEX(REPORTE_DROPI!K:K,
MATCH(T15, REPORTE_DROPI!B:B, 0)
))),
{
TRIM(CLEAN(MAPA_ESTADOS!A:A)) ,
MAPA_ESTADOS!B:B
},
2,
FALSE
),
"REVISAR"
)
</f>
        <v>ENTREGADO</v>
      </c>
      <c r="P15" s="118"/>
      <c r="Q15" s="122">
        <f t="shared" si="1"/>
        <v>0</v>
      </c>
      <c r="R15" s="118"/>
      <c r="S15" s="118"/>
      <c r="T15" s="118">
        <f t="array" ref="T15">IFERROR(
INDEX(REPORTE_DROPI!B:B,
MATCH(
CLEAN(TRIM(C15)),
CLEAN(TRIM(REPORTE_DROPI!E:E)),
0
)
),
""
)
</f>
        <v>4049718</v>
      </c>
      <c r="U15" s="118"/>
      <c r="V15" s="78"/>
      <c r="W15" s="78"/>
      <c r="X15" s="78"/>
      <c r="Y15" s="78"/>
      <c r="Z15" s="78"/>
    </row>
    <row r="16" ht="22.5" customHeight="1">
      <c r="A16" s="118">
        <v>15.0</v>
      </c>
      <c r="B16" s="119">
        <v>46026.0</v>
      </c>
      <c r="C16" s="118" t="s">
        <v>3750</v>
      </c>
      <c r="D16" s="118" t="str">
        <f>IFERROR(__xludf.DUMMYFUNCTION("IFERROR(
  INDEX(
    FILTER(
      'NOMBRE DE PRODUCTOS'!B:B,
      REGEXMATCH(
        UPPER(
          INDEX(
            REPORTE_DROPI!AC:AC,
            MATCH(T16, REPORTE_DROPI!B:B, 0)
          )
        ),
        UPPER('NOMBRE DE PRODUCTOS'!A:A)
"&amp;"      )
    ),
    1
  ),
  ""REVISAR""
)
"),"Llave Multifuncional 360™")</f>
        <v>Llave Multifuncional 360™</v>
      </c>
      <c r="E16" s="120">
        <f t="array" ref="E16">IF(
UPPER(TRIM(CLEAN($O16)))="ENTREGADO",
IFERROR(
INDEX(REPORTE_DROPI!Y:Y,
MATCH($T16, REPORTE_DROPI!B:B, 0)
),
""
),
""
)
</f>
        <v>15</v>
      </c>
      <c r="F16" s="121">
        <v>3.0</v>
      </c>
      <c r="G16" s="122">
        <f t="array" ref="G16">IF(
UPPER(TRIM(CLEAN($O16)))="ENTREGADO",
IFERROR(
INDEX(REPORTE_DROPI!R:R,
MATCH($T16, REPORTE_DROPI!B:B, 0)
),
""
),
""
)
</f>
        <v>30</v>
      </c>
      <c r="H16" s="118" t="s">
        <v>3727</v>
      </c>
      <c r="I16" s="118" t="s">
        <v>3751</v>
      </c>
      <c r="J16" s="121">
        <f t="array" ref="J16">IF(
UPPER(TRIM(CLEAN($O16)))="ENTREGADO",
IFERROR(
INDEX(REPORTE_DROPI!T:T,
MATCH($T16, REPORTE_DROPI!B:B, 0)
),
""
),
""
)
</f>
        <v>7.82</v>
      </c>
      <c r="K16" s="118">
        <f t="array" ref="K16">IFERROR(
INDEX(REPORTE_DROPI!S:S,
MATCH($T16, REPORTE_DROPI!B:B, 0)
),
""
)
</f>
        <v>7.18</v>
      </c>
      <c r="L16" s="118" t="str">
        <f>IF(
  O16&lt;&gt;"DEVOLUCION",
  "",
  IF(
    T16="",
    "",
    SUMIF(DEVOLUCION!F:F, T16, DEVOLUCION!D:D)
  )
)
</f>
        <v/>
      </c>
      <c r="M16" s="123" t="s">
        <v>3729</v>
      </c>
      <c r="N16" s="118">
        <v>4646.0</v>
      </c>
      <c r="O16" s="118" t="str">
        <f t="array" ref="O16">IFERROR(
VLOOKUP(
TRIM(CLEAN(
INDEX(REPORTE_DROPI!K:K,
MATCH(T16, REPORTE_DROPI!B:B, 0)
))),
{
TRIM(CLEAN(MAPA_ESTADOS!A:A)) ,
MAPA_ESTADOS!B:B
},
2,
FALSE
),
"REVISAR"
)
</f>
        <v>ENTREGADO</v>
      </c>
      <c r="P16" s="118"/>
      <c r="Q16" s="122">
        <f t="shared" si="1"/>
        <v>0</v>
      </c>
      <c r="R16" s="118"/>
      <c r="S16" s="118"/>
      <c r="T16" s="118">
        <f t="array" ref="T16">IFERROR(
INDEX(REPORTE_DROPI!B:B,
MATCH(
CLEAN(TRIM(C16)),
CLEAN(TRIM(REPORTE_DROPI!E:E)),
0
)
),
""
)
</f>
        <v>4016910</v>
      </c>
      <c r="U16" s="118"/>
      <c r="V16" s="78"/>
      <c r="W16" s="78"/>
      <c r="X16" s="78"/>
      <c r="Y16" s="78"/>
      <c r="Z16" s="78"/>
    </row>
    <row r="17" ht="31.5" customHeight="1">
      <c r="A17" s="118">
        <v>16.0</v>
      </c>
      <c r="B17" s="119">
        <v>46026.0</v>
      </c>
      <c r="C17" s="118" t="s">
        <v>3752</v>
      </c>
      <c r="D17" s="118" t="str">
        <f>IFERROR(__xludf.DUMMYFUNCTION("IFERROR(
  INDEX(
    FILTER(
      'NOMBRE DE PRODUCTOS'!B:B,
      REGEXMATCH(
        UPPER(
          INDEX(
            REPORTE_DROPI!AC:AC,
            MATCH(T17, REPORTE_DROPI!B:B, 0)
          )
        ),
        UPPER('NOMBRE DE PRODUCTOS'!A:A)
"&amp;"      )
    ),
    1
  ),
  ""REVISAR""
)
"),"FLORA FRESH PRO™")</f>
        <v>FLORA FRESH PRO™</v>
      </c>
      <c r="E17" s="120">
        <f t="array" ref="E17">IF(
UPPER(TRIM(CLEAN($O17)))="ENTREGADO",
IFERROR(
INDEX(REPORTE_DROPI!Y:Y,
MATCH($T17, REPORTE_DROPI!B:B, 0)
),
""
),
""
)
</f>
        <v>10</v>
      </c>
      <c r="F17" s="121">
        <v>4.0</v>
      </c>
      <c r="G17" s="122">
        <f t="array" ref="G17">IF(
UPPER(TRIM(CLEAN($O17)))="ENTREGADO",
IFERROR(
INDEX(REPORTE_DROPI!R:R,
MATCH($T17, REPORTE_DROPI!B:B, 0)
),
""
),
""
)
</f>
        <v>32</v>
      </c>
      <c r="H17" s="118" t="s">
        <v>3727</v>
      </c>
      <c r="I17" s="118" t="s">
        <v>3731</v>
      </c>
      <c r="J17" s="121">
        <f t="array" ref="J17">IF(
UPPER(TRIM(CLEAN($O17)))="ENTREGADO",
IFERROR(
INDEX(REPORTE_DROPI!T:T,
MATCH($T17, REPORTE_DROPI!B:B, 0)
),
""
),
""
)
</f>
        <v>6.24</v>
      </c>
      <c r="K17" s="118">
        <f t="array" ref="K17">IFERROR(
INDEX(REPORTE_DROPI!S:S,
MATCH($T17, REPORTE_DROPI!B:B, 0)
),
""
)
</f>
        <v>15.76</v>
      </c>
      <c r="L17" s="118" t="str">
        <f>IF(
  O17&lt;&gt;"DEVOLUCION",
  "",
  IF(
    T17="",
    "",
    SUMIF(DEVOLUCION!F:F, T17, DEVOLUCION!D:D)
  )
)
</f>
        <v/>
      </c>
      <c r="M17" s="123" t="s">
        <v>3729</v>
      </c>
      <c r="N17" s="118">
        <v>4647.0</v>
      </c>
      <c r="O17" s="118" t="str">
        <f t="array" ref="O17">IFERROR(
VLOOKUP(
TRIM(CLEAN(
INDEX(REPORTE_DROPI!K:K,
MATCH(T17, REPORTE_DROPI!B:B, 0)
))),
{
TRIM(CLEAN(MAPA_ESTADOS!A:A)) ,
MAPA_ESTADOS!B:B
},
2,
FALSE
),
"REVISAR"
)
</f>
        <v>ENTREGADO</v>
      </c>
      <c r="P17" s="118"/>
      <c r="Q17" s="122">
        <f t="shared" si="1"/>
        <v>0</v>
      </c>
      <c r="R17" s="118"/>
      <c r="S17" s="118"/>
      <c r="T17" s="118">
        <f t="array" ref="T17">IFERROR(
INDEX(REPORTE_DROPI!B:B,
MATCH(
CLEAN(TRIM(C17)),
CLEAN(TRIM(REPORTE_DROPI!E:E)),
0
)
),
""
)
</f>
        <v>4080919</v>
      </c>
      <c r="U17" s="118"/>
      <c r="V17" s="78"/>
      <c r="W17" s="78"/>
      <c r="X17" s="78"/>
      <c r="Y17" s="78"/>
      <c r="Z17" s="78"/>
    </row>
    <row r="18" ht="22.5" customHeight="1">
      <c r="A18" s="118">
        <v>17.0</v>
      </c>
      <c r="B18" s="119">
        <v>46026.0</v>
      </c>
      <c r="C18" s="118" t="s">
        <v>3753</v>
      </c>
      <c r="D18" s="118" t="str">
        <f>IFERROR(__xludf.DUMMYFUNCTION("IFERROR(
  INDEX(
    FILTER(
      'NOMBRE DE PRODUCTOS'!B:B,
      REGEXMATCH(
        UPPER(
          INDEX(
            REPORTE_DROPI!AC:AC,
            MATCH(T18, REPORTE_DROPI!B:B, 0)
          )
        ),
        UPPER('NOMBRE DE PRODUCTOS'!A:A)
"&amp;"      )
    ),
    1
  ),
  ""REVISAR""
)
"),"Llave Multifuncional 360™")</f>
        <v>Llave Multifuncional 360™</v>
      </c>
      <c r="E18" s="120" t="str">
        <f t="array" ref="E18">IF(
UPPER(TRIM(CLEAN($O18)))="ENTREGADO",
IFERROR(
INDEX(REPORTE_DROPI!Y:Y,
MATCH($T18, REPORTE_DROPI!B:B, 0)
),
""
),
""
)
</f>
        <v/>
      </c>
      <c r="F18" s="121">
        <v>2.0</v>
      </c>
      <c r="G18" s="122" t="str">
        <f t="array" ref="G18">IF(
UPPER(TRIM(CLEAN($O18)))="ENTREGADO",
IFERROR(
INDEX(REPORTE_DROPI!R:R,
MATCH($T18, REPORTE_DROPI!B:B, 0)
),
""
),
""
)
</f>
        <v/>
      </c>
      <c r="H18" s="118" t="s">
        <v>3727</v>
      </c>
      <c r="I18" s="118" t="s">
        <v>3731</v>
      </c>
      <c r="J18" s="121" t="str">
        <f t="array" ref="J18">IF(
UPPER(TRIM(CLEAN($O18)))="ENTREGADO",
IFERROR(
INDEX(REPORTE_DROPI!T:T,
MATCH($T18, REPORTE_DROPI!B:B, 0)
),
""
),
""
)
</f>
        <v/>
      </c>
      <c r="K18" s="118" t="str">
        <f t="array" ref="K18">IFERROR(
INDEX(REPORTE_DROPI!S:S,
MATCH($T18, REPORTE_DROPI!B:B, 0)
),
""
)
</f>
        <v/>
      </c>
      <c r="L18" s="118">
        <f>IF(
  O18&lt;&gt;"DEVOLUCION",
  "",
  IF(
    T18="",
    "",
    SUMIF(DEVOLUCION!F:F, T18, DEVOLUCION!D:D)
  )
)
</f>
        <v>3.48</v>
      </c>
      <c r="M18" s="123" t="s">
        <v>3729</v>
      </c>
      <c r="N18" s="118">
        <v>4648.0</v>
      </c>
      <c r="O18" s="118" t="str">
        <f t="array" ref="O18">IFERROR(
VLOOKUP(
TRIM(CLEAN(
INDEX(REPORTE_DROPI!K:K,
MATCH(T18, REPORTE_DROPI!B:B, 0)
))),
{
TRIM(CLEAN(MAPA_ESTADOS!A:A)) ,
MAPA_ESTADOS!B:B
},
2,
FALSE
),
"REVISAR"
)
</f>
        <v>DEVOLUCION</v>
      </c>
      <c r="P18" s="118"/>
      <c r="Q18" s="122">
        <f t="shared" si="1"/>
        <v>0</v>
      </c>
      <c r="R18" s="118"/>
      <c r="S18" s="118"/>
      <c r="T18" s="118">
        <f t="array" ref="T18">IFERROR(
INDEX(REPORTE_DROPI!B:B,
MATCH(
CLEAN(TRIM(C18)),
CLEAN(TRIM(REPORTE_DROPI!E:E)),
0
)
),
""
)
</f>
        <v>4026059</v>
      </c>
      <c r="U18" s="118"/>
      <c r="V18" s="78"/>
      <c r="W18" s="78"/>
      <c r="X18" s="78"/>
      <c r="Y18" s="78"/>
      <c r="Z18" s="78"/>
    </row>
    <row r="19" ht="22.5" customHeight="1">
      <c r="A19" s="118">
        <v>18.0</v>
      </c>
      <c r="B19" s="119">
        <v>46026.0</v>
      </c>
      <c r="C19" s="118" t="s">
        <v>3754</v>
      </c>
      <c r="D19" s="118" t="str">
        <f>IFERROR(__xludf.DUMMYFUNCTION("IFERROR(
  INDEX(
    FILTER(
      'NOMBRE DE PRODUCTOS'!B:B,
      REGEXMATCH(
        UPPER(
          INDEX(
            REPORTE_DROPI!AC:AC,
            MATCH(T19, REPORTE_DROPI!B:B, 0)
          )
        ),
        UPPER('NOMBRE DE PRODUCTOS'!A:A)
"&amp;"      )
    ),
    1
  ),
  ""REVISAR""
)
"),"Llave Multifuncional 360™")</f>
        <v>Llave Multifuncional 360™</v>
      </c>
      <c r="E19" s="120">
        <f t="array" ref="E19">IF(
UPPER(TRIM(CLEAN($O19)))="ENTREGADO",
IFERROR(
INDEX(REPORTE_DROPI!Y:Y,
MATCH($T19, REPORTE_DROPI!B:B, 0)
),
""
),
""
)
</f>
        <v>10</v>
      </c>
      <c r="F19" s="121">
        <v>2.0</v>
      </c>
      <c r="G19" s="122">
        <f t="array" ref="G19">IF(
UPPER(TRIM(CLEAN($O19)))="ENTREGADO",
IFERROR(
INDEX(REPORTE_DROPI!R:R,
MATCH($T19, REPORTE_DROPI!B:B, 0)
),
""
),
""
)
</f>
        <v>25</v>
      </c>
      <c r="H19" s="118" t="s">
        <v>3727</v>
      </c>
      <c r="I19" s="118" t="s">
        <v>3731</v>
      </c>
      <c r="J19" s="121">
        <f t="array" ref="J19">IF(
UPPER(TRIM(CLEAN($O19)))="ENTREGADO",
IFERROR(
INDEX(REPORTE_DROPI!T:T,
MATCH($T19, REPORTE_DROPI!B:B, 0)
),
""
),
""
)
</f>
        <v>6.31</v>
      </c>
      <c r="K19" s="118">
        <f t="array" ref="K19">IFERROR(
INDEX(REPORTE_DROPI!S:S,
MATCH($T19, REPORTE_DROPI!B:B, 0)
),
""
)
</f>
        <v>8.69</v>
      </c>
      <c r="L19" s="118" t="str">
        <f>IF(
  O19&lt;&gt;"DEVOLUCION",
  "",
  IF(
    T19="",
    "",
    SUMIF(DEVOLUCION!F:F, T19, DEVOLUCION!D:D)
  )
)
</f>
        <v/>
      </c>
      <c r="M19" s="123" t="s">
        <v>3729</v>
      </c>
      <c r="N19" s="118">
        <v>4649.0</v>
      </c>
      <c r="O19" s="118" t="str">
        <f t="array" ref="O19">IFERROR(
VLOOKUP(
TRIM(CLEAN(
INDEX(REPORTE_DROPI!K:K,
MATCH(T19, REPORTE_DROPI!B:B, 0)
))),
{
TRIM(CLEAN(MAPA_ESTADOS!A:A)) ,
MAPA_ESTADOS!B:B
},
2,
FALSE
),
"REVISAR"
)
</f>
        <v>ENTREGADO</v>
      </c>
      <c r="P19" s="118"/>
      <c r="Q19" s="122">
        <f t="shared" si="1"/>
        <v>0</v>
      </c>
      <c r="R19" s="118"/>
      <c r="S19" s="118"/>
      <c r="T19" s="118">
        <f t="array" ref="T19">IFERROR(
INDEX(REPORTE_DROPI!B:B,
MATCH(
CLEAN(TRIM(C19)),
CLEAN(TRIM(REPORTE_DROPI!E:E)),
0
)
),
""
)
</f>
        <v>4061341</v>
      </c>
      <c r="U19" s="118"/>
      <c r="V19" s="78"/>
      <c r="W19" s="78"/>
      <c r="X19" s="78"/>
      <c r="Y19" s="78"/>
      <c r="Z19" s="78"/>
    </row>
    <row r="20" ht="22.5" customHeight="1">
      <c r="A20" s="118">
        <v>19.0</v>
      </c>
      <c r="B20" s="119">
        <v>46026.0</v>
      </c>
      <c r="C20" s="118" t="s">
        <v>3755</v>
      </c>
      <c r="D20" s="118" t="str">
        <f>IFERROR(__xludf.DUMMYFUNCTION("IFERROR(
  INDEX(
    FILTER(
      'NOMBRE DE PRODUCTOS'!B:B,
      REGEXMATCH(
        UPPER(
          INDEX(
            REPORTE_DROPI!AC:AC,
            MATCH(T20, REPORTE_DROPI!B:B, 0)
          )
        ),
        UPPER('NOMBRE DE PRODUCTOS'!A:A)
"&amp;"      )
    ),
    1
  ),
  ""REVISAR""
)
"),"Llave Multifuncional 360™")</f>
        <v>Llave Multifuncional 360™</v>
      </c>
      <c r="E20" s="120">
        <f t="array" ref="E20">IF(
UPPER(TRIM(CLEAN($O20)))="ENTREGADO",
IFERROR(
INDEX(REPORTE_DROPI!Y:Y,
MATCH($T20, REPORTE_DROPI!B:B, 0)
),
""
),
""
)
</f>
        <v>10</v>
      </c>
      <c r="F20" s="121">
        <v>2.0</v>
      </c>
      <c r="G20" s="122">
        <f t="array" ref="G20">IF(
UPPER(TRIM(CLEAN($O20)))="ENTREGADO",
IFERROR(
INDEX(REPORTE_DROPI!R:R,
MATCH($T20, REPORTE_DROPI!B:B, 0)
),
""
),
""
)
</f>
        <v>25</v>
      </c>
      <c r="H20" s="118" t="s">
        <v>3727</v>
      </c>
      <c r="I20" s="118" t="s">
        <v>3731</v>
      </c>
      <c r="J20" s="121">
        <f t="array" ref="J20">IF(
UPPER(TRIM(CLEAN($O20)))="ENTREGADO",
IFERROR(
INDEX(REPORTE_DROPI!T:T,
MATCH($T20, REPORTE_DROPI!B:B, 0)
),
""
),
""
)
</f>
        <v>4.92</v>
      </c>
      <c r="K20" s="118">
        <f t="array" ref="K20">IFERROR(
INDEX(REPORTE_DROPI!S:S,
MATCH($T20, REPORTE_DROPI!B:B, 0)
),
""
)
</f>
        <v>10.08</v>
      </c>
      <c r="L20" s="118" t="str">
        <f>IF(
  O20&lt;&gt;"DEVOLUCION",
  "",
  IF(
    T20="",
    "",
    SUMIF(DEVOLUCION!F:F, T20, DEVOLUCION!D:D)
  )
)
</f>
        <v/>
      </c>
      <c r="M20" s="123" t="s">
        <v>3729</v>
      </c>
      <c r="N20" s="118">
        <v>4650.0</v>
      </c>
      <c r="O20" s="118" t="str">
        <f t="array" ref="O20">IFERROR(
VLOOKUP(
TRIM(CLEAN(
INDEX(REPORTE_DROPI!K:K,
MATCH(T20, REPORTE_DROPI!B:B, 0)
))),
{
TRIM(CLEAN(MAPA_ESTADOS!A:A)) ,
MAPA_ESTADOS!B:B
},
2,
FALSE
),
"REVISAR"
)
</f>
        <v>ENTREGADO</v>
      </c>
      <c r="P20" s="118"/>
      <c r="Q20" s="122">
        <f t="shared" si="1"/>
        <v>0</v>
      </c>
      <c r="R20" s="118"/>
      <c r="S20" s="118"/>
      <c r="T20" s="118">
        <f t="array" ref="T20">IFERROR(
INDEX(REPORTE_DROPI!B:B,
MATCH(
CLEAN(TRIM(C20)),
CLEAN(TRIM(REPORTE_DROPI!E:E)),
0
)
),
""
)
</f>
        <v>4017260</v>
      </c>
      <c r="U20" s="118"/>
      <c r="V20" s="78"/>
      <c r="W20" s="78"/>
      <c r="X20" s="78"/>
      <c r="Y20" s="78"/>
      <c r="Z20" s="78"/>
    </row>
    <row r="21" ht="22.5" customHeight="1">
      <c r="A21" s="118">
        <v>20.0</v>
      </c>
      <c r="B21" s="119">
        <v>46026.0</v>
      </c>
      <c r="C21" s="118" t="s">
        <v>3756</v>
      </c>
      <c r="D21" s="118" t="str">
        <f>IFERROR(__xludf.DUMMYFUNCTION("IFERROR(
  INDEX(
    FILTER(
      'NOMBRE DE PRODUCTOS'!B:B,
      REGEXMATCH(
        UPPER(
          INDEX(
            REPORTE_DROPI!AC:AC,
            MATCH(T21, REPORTE_DROPI!B:B, 0)
          )
        ),
        UPPER('NOMBRE DE PRODUCTOS'!A:A)
"&amp;"      )
    ),
    1
  ),
  ""REVISAR""
)
"),"Llave Multifuncional 360™")</f>
        <v>Llave Multifuncional 360™</v>
      </c>
      <c r="E21" s="120">
        <f t="array" ref="E21">IF(
UPPER(TRIM(CLEAN($O21)))="ENTREGADO",
IFERROR(
INDEX(REPORTE_DROPI!Y:Y,
MATCH($T21, REPORTE_DROPI!B:B, 0)
),
""
),
""
)
</f>
        <v>5</v>
      </c>
      <c r="F21" s="121">
        <v>1.0</v>
      </c>
      <c r="G21" s="122">
        <f t="array" ref="G21">IF(
UPPER(TRIM(CLEAN($O21)))="ENTREGADO",
IFERROR(
INDEX(REPORTE_DROPI!R:R,
MATCH($T21, REPORTE_DROPI!B:B, 0)
),
""
),
""
)
</f>
        <v>20</v>
      </c>
      <c r="H21" s="118" t="s">
        <v>3727</v>
      </c>
      <c r="I21" s="118" t="s">
        <v>3740</v>
      </c>
      <c r="J21" s="121">
        <f t="array" ref="J21">IF(
UPPER(TRIM(CLEAN($O21)))="ENTREGADO",
IFERROR(
INDEX(REPORTE_DROPI!T:T,
MATCH($T21, REPORTE_DROPI!B:B, 0)
),
""
),
""
)
</f>
        <v>5.76</v>
      </c>
      <c r="K21" s="118">
        <f t="array" ref="K21">IFERROR(
INDEX(REPORTE_DROPI!S:S,
MATCH($T21, REPORTE_DROPI!B:B, 0)
),
""
)
</f>
        <v>9.24</v>
      </c>
      <c r="L21" s="118" t="str">
        <f>IF(
  O21&lt;&gt;"DEVOLUCION",
  "",
  IF(
    T21="",
    "",
    SUMIF(DEVOLUCION!F:F, T21, DEVOLUCION!D:D)
  )
)
</f>
        <v/>
      </c>
      <c r="M21" s="123" t="s">
        <v>3729</v>
      </c>
      <c r="N21" s="118">
        <v>4651.0</v>
      </c>
      <c r="O21" s="118" t="str">
        <f t="array" ref="O21">IFERROR(
VLOOKUP(
TRIM(CLEAN(
INDEX(REPORTE_DROPI!K:K,
MATCH(T21, REPORTE_DROPI!B:B, 0)
))),
{
TRIM(CLEAN(MAPA_ESTADOS!A:A)) ,
MAPA_ESTADOS!B:B
},
2,
FALSE
),
"REVISAR"
)
</f>
        <v>ENTREGADO</v>
      </c>
      <c r="P21" s="118"/>
      <c r="Q21" s="122">
        <f t="shared" si="1"/>
        <v>0</v>
      </c>
      <c r="R21" s="118"/>
      <c r="S21" s="118"/>
      <c r="T21" s="118">
        <f t="array" ref="T21">IFERROR(
INDEX(REPORTE_DROPI!B:B,
MATCH(
CLEAN(TRIM(C21)),
CLEAN(TRIM(REPORTE_DROPI!E:E)),
0
)
),
""
)
</f>
        <v>4017323</v>
      </c>
      <c r="U21" s="118"/>
      <c r="V21" s="78"/>
      <c r="W21" s="78"/>
      <c r="X21" s="78"/>
      <c r="Y21" s="78"/>
      <c r="Z21" s="78"/>
    </row>
    <row r="22" ht="22.5" customHeight="1">
      <c r="A22" s="118">
        <v>21.0</v>
      </c>
      <c r="B22" s="119">
        <v>46026.0</v>
      </c>
      <c r="C22" s="118" t="s">
        <v>3757</v>
      </c>
      <c r="D22" s="118" t="str">
        <f>IFERROR(__xludf.DUMMYFUNCTION("IFERROR(
  INDEX(
    FILTER(
      'NOMBRE DE PRODUCTOS'!B:B,
      REGEXMATCH(
        UPPER(
          INDEX(
            REPORTE_DROPI!AC:AC,
            MATCH(T22, REPORTE_DROPI!B:B, 0)
          )
        ),
        UPPER('NOMBRE DE PRODUCTOS'!A:A)
"&amp;"      )
    ),
    1
  ),
  ""REVISAR""
)
"),"Llave Multifuncional 360™")</f>
        <v>Llave Multifuncional 360™</v>
      </c>
      <c r="E22" s="120">
        <f t="array" ref="E22">IF(
UPPER(TRIM(CLEAN($O22)))="ENTREGADO",
IFERROR(
INDEX(REPORTE_DROPI!Y:Y,
MATCH($T22, REPORTE_DROPI!B:B, 0)
),
""
),
""
)
</f>
        <v>10</v>
      </c>
      <c r="F22" s="121">
        <v>2.0</v>
      </c>
      <c r="G22" s="122">
        <f t="array" ref="G22">IF(
UPPER(TRIM(CLEAN($O22)))="ENTREGADO",
IFERROR(
INDEX(REPORTE_DROPI!R:R,
MATCH($T22, REPORTE_DROPI!B:B, 0)
),
""
),
""
)
</f>
        <v>25</v>
      </c>
      <c r="H22" s="118" t="s">
        <v>3727</v>
      </c>
      <c r="I22" s="118" t="s">
        <v>3740</v>
      </c>
      <c r="J22" s="121">
        <f t="array" ref="J22">IF(
UPPER(TRIM(CLEAN($O22)))="ENTREGADO",
IFERROR(
INDEX(REPORTE_DROPI!T:T,
MATCH($T22, REPORTE_DROPI!B:B, 0)
),
""
),
""
)
</f>
        <v>5.96</v>
      </c>
      <c r="K22" s="118">
        <f t="array" ref="K22">IFERROR(
INDEX(REPORTE_DROPI!S:S,
MATCH($T22, REPORTE_DROPI!B:B, 0)
),
""
)
</f>
        <v>9.04</v>
      </c>
      <c r="L22" s="118" t="str">
        <f>IF(
  O22&lt;&gt;"DEVOLUCION",
  "",
  IF(
    T22="",
    "",
    SUMIF(DEVOLUCION!F:F, T22, DEVOLUCION!D:D)
  )
)
</f>
        <v/>
      </c>
      <c r="M22" s="123" t="s">
        <v>3729</v>
      </c>
      <c r="N22" s="118">
        <v>4652.0</v>
      </c>
      <c r="O22" s="118" t="str">
        <f t="array" ref="O22">IFERROR(
VLOOKUP(
TRIM(CLEAN(
INDEX(REPORTE_DROPI!K:K,
MATCH(T22, REPORTE_DROPI!B:B, 0)
))),
{
TRIM(CLEAN(MAPA_ESTADOS!A:A)) ,
MAPA_ESTADOS!B:B
},
2,
FALSE
),
"REVISAR"
)
</f>
        <v>ENTREGADO</v>
      </c>
      <c r="P22" s="118"/>
      <c r="Q22" s="122">
        <f t="shared" si="1"/>
        <v>0</v>
      </c>
      <c r="R22" s="118"/>
      <c r="S22" s="118"/>
      <c r="T22" s="118">
        <f t="array" ref="T22">IFERROR(
INDEX(REPORTE_DROPI!B:B,
MATCH(
CLEAN(TRIM(C22)),
CLEAN(TRIM(REPORTE_DROPI!E:E)),
0
)
),
""
)
</f>
        <v>4018011</v>
      </c>
      <c r="U22" s="118"/>
      <c r="V22" s="78"/>
      <c r="W22" s="78"/>
      <c r="X22" s="78"/>
      <c r="Y22" s="78"/>
      <c r="Z22" s="78"/>
    </row>
    <row r="23" ht="22.5" customHeight="1">
      <c r="A23" s="118">
        <v>22.0</v>
      </c>
      <c r="B23" s="119">
        <v>46026.0</v>
      </c>
      <c r="C23" s="118" t="s">
        <v>3758</v>
      </c>
      <c r="D23" s="118" t="str">
        <f>IFERROR(__xludf.DUMMYFUNCTION("IFERROR(
  INDEX(
    FILTER(
      'NOMBRE DE PRODUCTOS'!B:B,
      REGEXMATCH(
        UPPER(
          INDEX(
            REPORTE_DROPI!AC:AC,
            MATCH(T23, REPORTE_DROPI!B:B, 0)
          )
        ),
        UPPER('NOMBRE DE PRODUCTOS'!A:A)
"&amp;"      )
    ),
    1
  ),
  ""REVISAR""
)
"),"Llave Multifuncional 360™")</f>
        <v>Llave Multifuncional 360™</v>
      </c>
      <c r="E23" s="120">
        <f t="array" ref="E23">IF(
UPPER(TRIM(CLEAN($O23)))="ENTREGADO",
IFERROR(
INDEX(REPORTE_DROPI!Y:Y,
MATCH($T23, REPORTE_DROPI!B:B, 0)
),
""
),
""
)
</f>
        <v>15</v>
      </c>
      <c r="F23" s="121">
        <v>3.0</v>
      </c>
      <c r="G23" s="122">
        <f t="array" ref="G23">IF(
UPPER(TRIM(CLEAN($O23)))="ENTREGADO",
IFERROR(
INDEX(REPORTE_DROPI!R:R,
MATCH($T23, REPORTE_DROPI!B:B, 0)
),
""
),
""
)
</f>
        <v>30</v>
      </c>
      <c r="H23" s="118" t="s">
        <v>3727</v>
      </c>
      <c r="I23" s="118" t="s">
        <v>3759</v>
      </c>
      <c r="J23" s="121">
        <f t="array" ref="J23">IF(
UPPER(TRIM(CLEAN($O23)))="ENTREGADO",
IFERROR(
INDEX(REPORTE_DROPI!T:T,
MATCH($T23, REPORTE_DROPI!B:B, 0)
),
""
),
""
)
</f>
        <v>7.82</v>
      </c>
      <c r="K23" s="118">
        <f t="array" ref="K23">IFERROR(
INDEX(REPORTE_DROPI!S:S,
MATCH($T23, REPORTE_DROPI!B:B, 0)
),
""
)
</f>
        <v>7.18</v>
      </c>
      <c r="L23" s="118" t="str">
        <f>IF(
  O23&lt;&gt;"DEVOLUCION",
  "",
  IF(
    T23="",
    "",
    SUMIF(DEVOLUCION!F:F, T23, DEVOLUCION!D:D)
  )
)
</f>
        <v/>
      </c>
      <c r="M23" s="123" t="s">
        <v>3729</v>
      </c>
      <c r="N23" s="118">
        <v>4653.0</v>
      </c>
      <c r="O23" s="118" t="str">
        <f t="array" ref="O23">IFERROR(
VLOOKUP(
TRIM(CLEAN(
INDEX(REPORTE_DROPI!K:K,
MATCH(T23, REPORTE_DROPI!B:B, 0)
))),
{
TRIM(CLEAN(MAPA_ESTADOS!A:A)) ,
MAPA_ESTADOS!B:B
},
2,
FALSE
),
"REVISAR"
)
</f>
        <v>ENTREGADO</v>
      </c>
      <c r="P23" s="118"/>
      <c r="Q23" s="122">
        <f t="shared" si="1"/>
        <v>0</v>
      </c>
      <c r="R23" s="118"/>
      <c r="S23" s="118"/>
      <c r="T23" s="118">
        <f t="array" ref="T23">IFERROR(
INDEX(REPORTE_DROPI!B:B,
MATCH(
CLEAN(TRIM(C23)),
CLEAN(TRIM(REPORTE_DROPI!E:E)),
0
)
),
""
)
</f>
        <v>4027724</v>
      </c>
      <c r="U23" s="118"/>
      <c r="V23" s="78"/>
      <c r="W23" s="78"/>
      <c r="X23" s="78"/>
      <c r="Y23" s="78"/>
      <c r="Z23" s="78"/>
    </row>
    <row r="24" ht="22.5" customHeight="1">
      <c r="A24" s="118">
        <v>23.0</v>
      </c>
      <c r="B24" s="119">
        <v>46026.0</v>
      </c>
      <c r="C24" s="118" t="s">
        <v>3760</v>
      </c>
      <c r="D24" s="118" t="str">
        <f>IFERROR(__xludf.DUMMYFUNCTION("IFERROR(
  INDEX(
    FILTER(
      'NOMBRE DE PRODUCTOS'!B:B,
      REGEXMATCH(
        UPPER(
          INDEX(
            REPORTE_DROPI!AC:AC,
            MATCH(T24, REPORTE_DROPI!B:B, 0)
          )
        ),
        UPPER('NOMBRE DE PRODUCTOS'!A:A)
"&amp;"      )
    ),
    1
  ),
  ""REVISAR""
)
"),"Llave Multifuncional 360™")</f>
        <v>Llave Multifuncional 360™</v>
      </c>
      <c r="E24" s="120">
        <f t="array" ref="E24">IF(
UPPER(TRIM(CLEAN($O24)))="ENTREGADO",
IFERROR(
INDEX(REPORTE_DROPI!Y:Y,
MATCH($T24, REPORTE_DROPI!B:B, 0)
),
""
),
""
)
</f>
        <v>15</v>
      </c>
      <c r="F24" s="121">
        <v>3.0</v>
      </c>
      <c r="G24" s="122">
        <f t="array" ref="G24">IF(
UPPER(TRIM(CLEAN($O24)))="ENTREGADO",
IFERROR(
INDEX(REPORTE_DROPI!R:R,
MATCH($T24, REPORTE_DROPI!B:B, 0)
),
""
),
""
)
</f>
        <v>30</v>
      </c>
      <c r="H24" s="118" t="s">
        <v>3727</v>
      </c>
      <c r="I24" s="118" t="s">
        <v>3740</v>
      </c>
      <c r="J24" s="121">
        <f t="array" ref="J24">IF(
UPPER(TRIM(CLEAN($O24)))="ENTREGADO",
IFERROR(
INDEX(REPORTE_DROPI!T:T,
MATCH($T24, REPORTE_DROPI!B:B, 0)
),
""
),
""
)
</f>
        <v>6.16</v>
      </c>
      <c r="K24" s="118">
        <f t="array" ref="K24">IFERROR(
INDEX(REPORTE_DROPI!S:S,
MATCH($T24, REPORTE_DROPI!B:B, 0)
),
""
)
</f>
        <v>8.84</v>
      </c>
      <c r="L24" s="118" t="str">
        <f>IF(
  O24&lt;&gt;"DEVOLUCION",
  "",
  IF(
    T24="",
    "",
    SUMIF(DEVOLUCION!F:F, T24, DEVOLUCION!D:D)
  )
)
</f>
        <v/>
      </c>
      <c r="M24" s="123" t="s">
        <v>3729</v>
      </c>
      <c r="N24" s="118">
        <v>4654.0</v>
      </c>
      <c r="O24" s="118" t="str">
        <f t="array" ref="O24">IFERROR(
VLOOKUP(
TRIM(CLEAN(
INDEX(REPORTE_DROPI!K:K,
MATCH(T24, REPORTE_DROPI!B:B, 0)
))),
{
TRIM(CLEAN(MAPA_ESTADOS!A:A)) ,
MAPA_ESTADOS!B:B
},
2,
FALSE
),
"REVISAR"
)
</f>
        <v>ENTREGADO</v>
      </c>
      <c r="P24" s="118"/>
      <c r="Q24" s="122">
        <f t="shared" si="1"/>
        <v>0</v>
      </c>
      <c r="R24" s="118"/>
      <c r="S24" s="118"/>
      <c r="T24" s="118">
        <f t="array" ref="T24">IFERROR(
INDEX(REPORTE_DROPI!B:B,
MATCH(
CLEAN(TRIM(C24)),
CLEAN(TRIM(REPORTE_DROPI!E:E)),
0
)
),
""
)
</f>
        <v>4018274</v>
      </c>
      <c r="U24" s="118"/>
      <c r="V24" s="78"/>
      <c r="W24" s="78"/>
      <c r="X24" s="78"/>
      <c r="Y24" s="78"/>
      <c r="Z24" s="78"/>
    </row>
    <row r="25" ht="22.5" customHeight="1">
      <c r="A25" s="118">
        <v>24.0</v>
      </c>
      <c r="B25" s="119">
        <v>46026.0</v>
      </c>
      <c r="C25" s="118" t="s">
        <v>3761</v>
      </c>
      <c r="D25" s="118" t="str">
        <f>IFERROR(__xludf.DUMMYFUNCTION("IFERROR(
  INDEX(
    FILTER(
      'NOMBRE DE PRODUCTOS'!B:B,
      REGEXMATCH(
        UPPER(
          INDEX(
            REPORTE_DROPI!AC:AC,
            MATCH(T25, REPORTE_DROPI!B:B, 0)
          )
        ),
        UPPER('NOMBRE DE PRODUCTOS'!A:A)
"&amp;"      )
    ),
    1
  ),
  ""REVISAR""
)
"),"Llave Multifuncional 360™")</f>
        <v>Llave Multifuncional 360™</v>
      </c>
      <c r="E25" s="120">
        <f t="array" ref="E25">IF(
UPPER(TRIM(CLEAN($O25)))="ENTREGADO",
IFERROR(
INDEX(REPORTE_DROPI!Y:Y,
MATCH($T25, REPORTE_DROPI!B:B, 0)
),
""
),
""
)
</f>
        <v>15</v>
      </c>
      <c r="F25" s="121">
        <v>3.0</v>
      </c>
      <c r="G25" s="122">
        <f t="array" ref="G25">IF(
UPPER(TRIM(CLEAN($O25)))="ENTREGADO",
IFERROR(
INDEX(REPORTE_DROPI!R:R,
MATCH($T25, REPORTE_DROPI!B:B, 0)
),
""
),
""
)
</f>
        <v>30</v>
      </c>
      <c r="H25" s="118" t="s">
        <v>3727</v>
      </c>
      <c r="I25" s="118" t="s">
        <v>3740</v>
      </c>
      <c r="J25" s="121">
        <f t="array" ref="J25">IF(
UPPER(TRIM(CLEAN($O25)))="ENTREGADO",
IFERROR(
INDEX(REPORTE_DROPI!T:T,
MATCH($T25, REPORTE_DROPI!B:B, 0)
),
""
),
""
)
</f>
        <v>6.16</v>
      </c>
      <c r="K25" s="118">
        <f t="array" ref="K25">IFERROR(
INDEX(REPORTE_DROPI!S:S,
MATCH($T25, REPORTE_DROPI!B:B, 0)
),
""
)
</f>
        <v>8.84</v>
      </c>
      <c r="L25" s="118" t="str">
        <f>IF(
  O25&lt;&gt;"DEVOLUCION",
  "",
  IF(
    T25="",
    "",
    SUMIF(DEVOLUCION!F:F, T25, DEVOLUCION!D:D)
  )
)
</f>
        <v/>
      </c>
      <c r="M25" s="123" t="s">
        <v>3729</v>
      </c>
      <c r="N25" s="118">
        <v>4655.0</v>
      </c>
      <c r="O25" s="118" t="str">
        <f t="array" ref="O25">IFERROR(
VLOOKUP(
TRIM(CLEAN(
INDEX(REPORTE_DROPI!K:K,
MATCH(T25, REPORTE_DROPI!B:B, 0)
))),
{
TRIM(CLEAN(MAPA_ESTADOS!A:A)) ,
MAPA_ESTADOS!B:B
},
2,
FALSE
),
"REVISAR"
)
</f>
        <v>ENTREGADO</v>
      </c>
      <c r="P25" s="118"/>
      <c r="Q25" s="122">
        <f t="shared" si="1"/>
        <v>0</v>
      </c>
      <c r="R25" s="118"/>
      <c r="S25" s="118"/>
      <c r="T25" s="118">
        <f t="array" ref="T25">IFERROR(
INDEX(REPORTE_DROPI!B:B,
MATCH(
CLEAN(TRIM(C25)),
CLEAN(TRIM(REPORTE_DROPI!E:E)),
0
)
),
""
)
</f>
        <v>4018399</v>
      </c>
      <c r="U25" s="118"/>
      <c r="V25" s="78"/>
      <c r="W25" s="78"/>
      <c r="X25" s="78"/>
      <c r="Y25" s="78"/>
      <c r="Z25" s="78"/>
    </row>
    <row r="26" ht="22.5" customHeight="1">
      <c r="A26" s="118">
        <v>25.0</v>
      </c>
      <c r="B26" s="119">
        <v>46026.0</v>
      </c>
      <c r="C26" s="118" t="s">
        <v>3762</v>
      </c>
      <c r="D26" s="118" t="str">
        <f>IFERROR(__xludf.DUMMYFUNCTION("IFERROR(
  INDEX(
    FILTER(
      'NOMBRE DE PRODUCTOS'!B:B,
      REGEXMATCH(
        UPPER(
          INDEX(
            REPORTE_DROPI!AC:AC,
            MATCH(T26, REPORTE_DROPI!B:B, 0)
          )
        ),
        UPPER('NOMBRE DE PRODUCTOS'!A:A)
"&amp;"      )
    ),
    1
  ),
  ""REVISAR""
)
"),"FLORA FRESH PRO™")</f>
        <v>FLORA FRESH PRO™</v>
      </c>
      <c r="E26" s="120" t="str">
        <f t="array" ref="E26">IF(
UPPER(TRIM(CLEAN($O26)))="ENTREGADO",
IFERROR(
INDEX(REPORTE_DROPI!Y:Y,
MATCH($T26, REPORTE_DROPI!B:B, 0)
),
""
),
""
)
</f>
        <v/>
      </c>
      <c r="F26" s="121">
        <v>5.0</v>
      </c>
      <c r="G26" s="122" t="str">
        <f t="array" ref="G26">IF(
UPPER(TRIM(CLEAN($O26)))="ENTREGADO",
IFERROR(
INDEX(REPORTE_DROPI!R:R,
MATCH($T26, REPORTE_DROPI!B:B, 0)
),
""
),
""
)
</f>
        <v/>
      </c>
      <c r="H26" s="118" t="s">
        <v>3727</v>
      </c>
      <c r="I26" s="118" t="s">
        <v>3728</v>
      </c>
      <c r="J26" s="121" t="str">
        <f t="array" ref="J26">IF(
UPPER(TRIM(CLEAN($O26)))="ENTREGADO",
IFERROR(
INDEX(REPORTE_DROPI!T:T,
MATCH($T26, REPORTE_DROPI!B:B, 0)
),
""
),
""
)
</f>
        <v/>
      </c>
      <c r="K26" s="118" t="str">
        <f t="array" ref="K26">IFERROR(
INDEX(REPORTE_DROPI!S:S,
MATCH($T26, REPORTE_DROPI!B:B, 0)
),
""
)
</f>
        <v/>
      </c>
      <c r="L26" s="118" t="str">
        <f>IF(
  O26&lt;&gt;"DEVOLUCION",
  "",
  IF(
    T26="",
    "",
    SUMIF(DEVOLUCION!F:F, T26, DEVOLUCION!D:D)
  )
)
</f>
        <v/>
      </c>
      <c r="M26" s="123" t="s">
        <v>3729</v>
      </c>
      <c r="N26" s="118">
        <v>4656.0</v>
      </c>
      <c r="O26" s="118" t="str">
        <f t="array" ref="O26">IFERROR(
VLOOKUP(
TRIM(CLEAN(
INDEX(REPORTE_DROPI!K:K,
MATCH(T26, REPORTE_DROPI!B:B, 0)
))),
{
TRIM(CLEAN(MAPA_ESTADOS!A:A)) ,
MAPA_ESTADOS!B:B
},
2,
FALSE
),
"REVISAR"
)
</f>
        <v>CANCELADO</v>
      </c>
      <c r="P26" s="118" t="s">
        <v>3763</v>
      </c>
      <c r="Q26" s="122">
        <f t="shared" si="1"/>
        <v>0</v>
      </c>
      <c r="R26" s="118"/>
      <c r="S26" s="118"/>
      <c r="T26" s="118">
        <f t="array" ref="T26">IFERROR(
INDEX(REPORTE_DROPI!B:B,
MATCH(
CLEAN(TRIM(C26)),
CLEAN(TRIM(REPORTE_DROPI!E:E)),
0
)
),
""
)
</f>
        <v>4081126</v>
      </c>
      <c r="U26" s="118"/>
      <c r="V26" s="78"/>
      <c r="W26" s="78"/>
      <c r="X26" s="78"/>
      <c r="Y26" s="78"/>
      <c r="Z26" s="78"/>
    </row>
    <row r="27" ht="22.5" customHeight="1">
      <c r="A27" s="118">
        <v>26.0</v>
      </c>
      <c r="B27" s="119">
        <v>46026.0</v>
      </c>
      <c r="C27" s="118" t="s">
        <v>3764</v>
      </c>
      <c r="D27" s="118" t="str">
        <f>IFERROR(__xludf.DUMMYFUNCTION("IFERROR(
  INDEX(
    FILTER(
      'NOMBRE DE PRODUCTOS'!B:B,
      REGEXMATCH(
        UPPER(
          INDEX(
            REPORTE_DROPI!AC:AC,
            MATCH(T27, REPORTE_DROPI!B:B, 0)
          )
        ),
        UPPER('NOMBRE DE PRODUCTOS'!A:A)
"&amp;"      )
    ),
    1
  ),
  ""REVISAR""
)
"),"FilmPro®")</f>
        <v>FilmPro®</v>
      </c>
      <c r="E27" s="120" t="str">
        <f t="array" ref="E27">IF(
UPPER(TRIM(CLEAN($O27)))="ENTREGADO",
IFERROR(
INDEX(REPORTE_DROPI!Y:Y,
MATCH($T27, REPORTE_DROPI!B:B, 0)
),
""
),
""
)
</f>
        <v/>
      </c>
      <c r="F27" s="121">
        <v>1.0</v>
      </c>
      <c r="G27" s="122" t="str">
        <f t="array" ref="G27">IF(
UPPER(TRIM(CLEAN($O27)))="ENTREGADO",
IFERROR(
INDEX(REPORTE_DROPI!R:R,
MATCH($T27, REPORTE_DROPI!B:B, 0)
),
""
),
""
)
</f>
        <v/>
      </c>
      <c r="H27" s="118" t="s">
        <v>3727</v>
      </c>
      <c r="I27" s="118" t="s">
        <v>3731</v>
      </c>
      <c r="J27" s="121" t="str">
        <f t="array" ref="J27">IF(
UPPER(TRIM(CLEAN($O27)))="ENTREGADO",
IFERROR(
INDEX(REPORTE_DROPI!T:T,
MATCH($T27, REPORTE_DROPI!B:B, 0)
),
""
),
""
)
</f>
        <v/>
      </c>
      <c r="K27" s="118" t="str">
        <f t="array" ref="K27">IFERROR(
INDEX(REPORTE_DROPI!S:S,
MATCH($T27, REPORTE_DROPI!B:B, 0)
),
""
)
</f>
        <v/>
      </c>
      <c r="L27" s="118" t="str">
        <f>IF(
  O27&lt;&gt;"DEVOLUCION",
  "",
  IF(
    T27="",
    "",
    SUMIF(DEVOLUCION!F:F, T27, DEVOLUCION!D:D)
  )
)
</f>
        <v/>
      </c>
      <c r="M27" s="123" t="s">
        <v>3729</v>
      </c>
      <c r="N27" s="118">
        <v>4657.0</v>
      </c>
      <c r="O27" s="118" t="str">
        <f t="array" ref="O27">IFERROR(
VLOOKUP(
TRIM(CLEAN(
INDEX(REPORTE_DROPI!K:K,
MATCH(T27, REPORTE_DROPI!B:B, 0)
))),
{
TRIM(CLEAN(MAPA_ESTADOS!A:A)) ,
MAPA_ESTADOS!B:B
},
2,
FALSE
),
"REVISAR"
)
</f>
        <v>PENDIENTE</v>
      </c>
      <c r="P27" s="118"/>
      <c r="Q27" s="122">
        <f t="shared" si="1"/>
        <v>0</v>
      </c>
      <c r="R27" s="118"/>
      <c r="S27" s="118"/>
      <c r="T27" s="118">
        <f t="array" ref="T27">IFERROR(
INDEX(REPORTE_DROPI!B:B,
MATCH(
CLEAN(TRIM(C27)),
CLEAN(TRIM(REPORTE_DROPI!E:E)),
0
)
),
""
)
</f>
        <v>4366108</v>
      </c>
      <c r="U27" s="118"/>
      <c r="V27" s="78"/>
      <c r="W27" s="78"/>
      <c r="X27" s="78"/>
      <c r="Y27" s="78"/>
      <c r="Z27" s="78"/>
    </row>
    <row r="28" ht="22.5" customHeight="1">
      <c r="A28" s="118">
        <v>27.0</v>
      </c>
      <c r="B28" s="119">
        <v>46026.0</v>
      </c>
      <c r="C28" s="118" t="s">
        <v>3765</v>
      </c>
      <c r="D28" s="118" t="str">
        <f>IFERROR(__xludf.DUMMYFUNCTION("IFERROR(
  INDEX(
    FILTER(
      'NOMBRE DE PRODUCTOS'!B:B,
      REGEXMATCH(
        UPPER(
          INDEX(
            REPORTE_DROPI!AC:AC,
            MATCH(T28, REPORTE_DROPI!B:B, 0)
          )
        ),
        UPPER('NOMBRE DE PRODUCTOS'!A:A)
"&amp;"      )
    ),
    1
  ),
  ""REVISAR""
)
"),"FLORA FRESH PRO™")</f>
        <v>FLORA FRESH PRO™</v>
      </c>
      <c r="E28" s="120" t="str">
        <f t="array" ref="E28">IF(
UPPER(TRIM(CLEAN($O28)))="ENTREGADO",
IFERROR(
INDEX(REPORTE_DROPI!Y:Y,
MATCH($T28, REPORTE_DROPI!B:B, 0)
),
""
),
""
)
</f>
        <v/>
      </c>
      <c r="F28" s="121">
        <v>2.0</v>
      </c>
      <c r="G28" s="122" t="str">
        <f t="array" ref="G28">IF(
UPPER(TRIM(CLEAN($O28)))="ENTREGADO",
IFERROR(
INDEX(REPORTE_DROPI!R:R,
MATCH($T28, REPORTE_DROPI!B:B, 0)
),
""
),
""
)
</f>
        <v/>
      </c>
      <c r="H28" s="118" t="s">
        <v>3727</v>
      </c>
      <c r="I28" s="118" t="s">
        <v>3728</v>
      </c>
      <c r="J28" s="121" t="str">
        <f t="array" ref="J28">IF(
UPPER(TRIM(CLEAN($O28)))="ENTREGADO",
IFERROR(
INDEX(REPORTE_DROPI!T:T,
MATCH($T28, REPORTE_DROPI!B:B, 0)
),
""
),
""
)
</f>
        <v/>
      </c>
      <c r="K28" s="118" t="str">
        <f t="array" ref="K28">IFERROR(
INDEX(REPORTE_DROPI!S:S,
MATCH($T28, REPORTE_DROPI!B:B, 0)
),
""
)
</f>
        <v/>
      </c>
      <c r="L28" s="118">
        <f>IF(
  O28&lt;&gt;"DEVOLUCION",
  "",
  IF(
    T28="",
    "",
    SUMIF(DEVOLUCION!F:F, T28, DEVOLUCION!D:D)
  )
)
</f>
        <v>5.07</v>
      </c>
      <c r="M28" s="123" t="s">
        <v>3729</v>
      </c>
      <c r="N28" s="118">
        <v>4658.0</v>
      </c>
      <c r="O28" s="118" t="str">
        <f t="array" ref="O28">IFERROR(
VLOOKUP(
TRIM(CLEAN(
INDEX(REPORTE_DROPI!K:K,
MATCH(T28, REPORTE_DROPI!B:B, 0)
))),
{
TRIM(CLEAN(MAPA_ESTADOS!A:A)) ,
MAPA_ESTADOS!B:B
},
2,
FALSE
),
"REVISAR"
)
</f>
        <v>DEVOLUCION</v>
      </c>
      <c r="P28" s="118" t="s">
        <v>3763</v>
      </c>
      <c r="Q28" s="122">
        <f t="shared" si="1"/>
        <v>0</v>
      </c>
      <c r="R28" s="118"/>
      <c r="S28" s="118"/>
      <c r="T28" s="118">
        <f t="array" ref="T28">IFERROR(
INDEX(REPORTE_DROPI!B:B,
MATCH(
CLEAN(TRIM(C28)),
CLEAN(TRIM(REPORTE_DROPI!E:E)),
0
)
),
""
)
</f>
        <v>4020519</v>
      </c>
      <c r="U28" s="118"/>
      <c r="V28" s="78"/>
      <c r="W28" s="78"/>
      <c r="X28" s="78"/>
      <c r="Y28" s="78"/>
      <c r="Z28" s="78"/>
    </row>
    <row r="29" ht="22.5" customHeight="1">
      <c r="A29" s="118">
        <v>28.0</v>
      </c>
      <c r="B29" s="119">
        <v>46026.0</v>
      </c>
      <c r="C29" s="118" t="s">
        <v>3766</v>
      </c>
      <c r="D29" s="118" t="str">
        <f>IFERROR(__xludf.DUMMYFUNCTION("IFERROR(
  INDEX(
    FILTER(
      'NOMBRE DE PRODUCTOS'!B:B,
      REGEXMATCH(
        UPPER(
          INDEX(
            REPORTE_DROPI!AC:AC,
            MATCH(T29, REPORTE_DROPI!B:B, 0)
          )
        ),
        UPPER('NOMBRE DE PRODUCTOS'!A:A)
"&amp;"      )
    ),
    1
  ),
  ""REVISAR""
)
"),"FLORA FRESH PRO™")</f>
        <v>FLORA FRESH PRO™</v>
      </c>
      <c r="E29" s="120">
        <f t="array" ref="E29">IF(
UPPER(TRIM(CLEAN($O29)))="ENTREGADO",
IFERROR(
INDEX(REPORTE_DROPI!Y:Y,
MATCH($T29, REPORTE_DROPI!B:B, 0)
),
""
),
""
)
</f>
        <v>5</v>
      </c>
      <c r="F29" s="121">
        <v>2.0</v>
      </c>
      <c r="G29" s="122">
        <f t="array" ref="G29">IF(
UPPER(TRIM(CLEAN($O29)))="ENTREGADO",
IFERROR(
INDEX(REPORTE_DROPI!R:R,
MATCH($T29, REPORTE_DROPI!B:B, 0)
),
""
),
""
)
</f>
        <v>22</v>
      </c>
      <c r="H29" s="118" t="s">
        <v>3727</v>
      </c>
      <c r="I29" s="118" t="s">
        <v>3731</v>
      </c>
      <c r="J29" s="121">
        <f t="array" ref="J29">IF(
UPPER(TRIM(CLEAN($O29)))="ENTREGADO",
IFERROR(
INDEX(REPORTE_DROPI!T:T,
MATCH($T29, REPORTE_DROPI!B:B, 0)
),
""
),
""
)
</f>
        <v>5.84</v>
      </c>
      <c r="K29" s="118">
        <f t="array" ref="K29">IFERROR(
INDEX(REPORTE_DROPI!S:S,
MATCH($T29, REPORTE_DROPI!B:B, 0)
),
""
)
</f>
        <v>11.16</v>
      </c>
      <c r="L29" s="118" t="str">
        <f>IF(
  O29&lt;&gt;"DEVOLUCION",
  "",
  IF(
    T29="",
    "",
    SUMIF(DEVOLUCION!F:F, T29, DEVOLUCION!D:D)
  )
)
</f>
        <v/>
      </c>
      <c r="M29" s="123" t="s">
        <v>3729</v>
      </c>
      <c r="N29" s="118">
        <v>4659.0</v>
      </c>
      <c r="O29" s="118" t="str">
        <f t="array" ref="O29">IFERROR(
VLOOKUP(
TRIM(CLEAN(
INDEX(REPORTE_DROPI!K:K,
MATCH(T29, REPORTE_DROPI!B:B, 0)
))),
{
TRIM(CLEAN(MAPA_ESTADOS!A:A)) ,
MAPA_ESTADOS!B:B
},
2,
FALSE
),
"REVISAR"
)
</f>
        <v>ENTREGADO</v>
      </c>
      <c r="P29" s="118"/>
      <c r="Q29" s="122">
        <f t="shared" si="1"/>
        <v>0</v>
      </c>
      <c r="R29" s="118"/>
      <c r="S29" s="118"/>
      <c r="T29" s="118">
        <f t="array" ref="T29">IFERROR(
INDEX(REPORTE_DROPI!B:B,
MATCH(
CLEAN(TRIM(C29)),
CLEAN(TRIM(REPORTE_DROPI!E:E)),
0
)
),
""
)
</f>
        <v>4021467</v>
      </c>
      <c r="U29" s="118"/>
      <c r="V29" s="78"/>
      <c r="W29" s="78"/>
      <c r="X29" s="78"/>
      <c r="Y29" s="78"/>
      <c r="Z29" s="78"/>
    </row>
    <row r="30" ht="22.5" customHeight="1">
      <c r="A30" s="118">
        <v>29.0</v>
      </c>
      <c r="B30" s="119">
        <v>46026.0</v>
      </c>
      <c r="C30" s="118" t="s">
        <v>3767</v>
      </c>
      <c r="D30" s="118" t="str">
        <f>IFERROR(__xludf.DUMMYFUNCTION("IFERROR(
  INDEX(
    FILTER(
      'NOMBRE DE PRODUCTOS'!B:B,
      REGEXMATCH(
        UPPER(
          INDEX(
            REPORTE_DROPI!AC:AC,
            MATCH(T30, REPORTE_DROPI!B:B, 0)
          )
        ),
        UPPER('NOMBRE DE PRODUCTOS'!A:A)
"&amp;"      )
    ),
    1
  ),
  ""REVISAR""
)
"),"FLORA FRESH PRO™")</f>
        <v>FLORA FRESH PRO™</v>
      </c>
      <c r="E30" s="120">
        <f t="array" ref="E30">IF(
UPPER(TRIM(CLEAN($O30)))="ENTREGADO",
IFERROR(
INDEX(REPORTE_DROPI!Y:Y,
MATCH($T30, REPORTE_DROPI!B:B, 0)
),
""
),
""
)
</f>
        <v>7.5</v>
      </c>
      <c r="F30" s="121">
        <v>3.0</v>
      </c>
      <c r="G30" s="122">
        <f t="array" ref="G30">IF(
UPPER(TRIM(CLEAN($O30)))="ENTREGADO",
IFERROR(
INDEX(REPORTE_DROPI!R:R,
MATCH($T30, REPORTE_DROPI!B:B, 0)
),
""
),
""
)
</f>
        <v>27</v>
      </c>
      <c r="H30" s="118" t="s">
        <v>3727</v>
      </c>
      <c r="I30" s="118" t="s">
        <v>3768</v>
      </c>
      <c r="J30" s="121">
        <f t="array" ref="J30">IF(
UPPER(TRIM(CLEAN($O30)))="ENTREGADO",
IFERROR(
INDEX(REPORTE_DROPI!T:T,
MATCH($T30, REPORTE_DROPI!B:B, 0)
),
""
),
""
)
</f>
        <v>6.03</v>
      </c>
      <c r="K30" s="118">
        <f t="array" ref="K30">IFERROR(
INDEX(REPORTE_DROPI!S:S,
MATCH($T30, REPORTE_DROPI!B:B, 0)
),
""
)
</f>
        <v>13.47</v>
      </c>
      <c r="L30" s="118" t="str">
        <f>IF(
  O30&lt;&gt;"DEVOLUCION",
  "",
  IF(
    T30="",
    "",
    SUMIF(DEVOLUCION!F:F, T30, DEVOLUCION!D:D)
  )
)
</f>
        <v/>
      </c>
      <c r="M30" s="123" t="s">
        <v>3729</v>
      </c>
      <c r="N30" s="118">
        <v>4660.0</v>
      </c>
      <c r="O30" s="118" t="str">
        <f t="array" ref="O30">IFERROR(
VLOOKUP(
TRIM(CLEAN(
INDEX(REPORTE_DROPI!K:K,
MATCH(T30, REPORTE_DROPI!B:B, 0)
))),
{
TRIM(CLEAN(MAPA_ESTADOS!A:A)) ,
MAPA_ESTADOS!B:B
},
2,
FALSE
),
"REVISAR"
)
</f>
        <v>ENTREGADO</v>
      </c>
      <c r="P30" s="118"/>
      <c r="Q30" s="122">
        <f t="shared" si="1"/>
        <v>0</v>
      </c>
      <c r="R30" s="118"/>
      <c r="S30" s="118"/>
      <c r="T30" s="118">
        <f t="array" ref="T30">IFERROR(
INDEX(REPORTE_DROPI!B:B,
MATCH(
CLEAN(TRIM(C30)),
CLEAN(TRIM(REPORTE_DROPI!E:E)),
0
)
),
""
)
</f>
        <v>4022093</v>
      </c>
      <c r="U30" s="118"/>
      <c r="V30" s="78"/>
      <c r="W30" s="78"/>
      <c r="X30" s="78"/>
      <c r="Y30" s="78"/>
      <c r="Z30" s="78"/>
    </row>
    <row r="31" ht="22.5" customHeight="1">
      <c r="A31" s="118">
        <v>30.0</v>
      </c>
      <c r="B31" s="119">
        <v>46027.0</v>
      </c>
      <c r="C31" s="118" t="s">
        <v>3769</v>
      </c>
      <c r="D31" s="118" t="str">
        <f>IFERROR(__xludf.DUMMYFUNCTION("IFERROR(
  INDEX(
    FILTER(
      'NOMBRE DE PRODUCTOS'!B:B,
      REGEXMATCH(
        UPPER(
          INDEX(
            REPORTE_DROPI!AC:AC,
            MATCH(T31, REPORTE_DROPI!B:B, 0)
          )
        ),
        UPPER('NOMBRE DE PRODUCTOS'!A:A)
"&amp;"      )
    ),
    1
  ),
  ""REVISAR""
)
"),"FLORA FRESH PRO™")</f>
        <v>FLORA FRESH PRO™</v>
      </c>
      <c r="E31" s="120" t="str">
        <f t="array" ref="E31">IF(
UPPER(TRIM(CLEAN($O31)))="ENTREGADO",
IFERROR(
INDEX(REPORTE_DROPI!Y:Y,
MATCH($T31, REPORTE_DROPI!B:B, 0)
),
""
),
""
)
</f>
        <v/>
      </c>
      <c r="F31" s="121">
        <v>5.0</v>
      </c>
      <c r="G31" s="122" t="str">
        <f t="array" ref="G31">IF(
UPPER(TRIM(CLEAN($O31)))="ENTREGADO",
IFERROR(
INDEX(REPORTE_DROPI!R:R,
MATCH($T31, REPORTE_DROPI!B:B, 0)
),
""
),
""
)
</f>
        <v/>
      </c>
      <c r="H31" s="118" t="s">
        <v>3727</v>
      </c>
      <c r="I31" s="118" t="s">
        <v>3770</v>
      </c>
      <c r="J31" s="121" t="str">
        <f t="array" ref="J31">IF(
UPPER(TRIM(CLEAN($O31)))="ENTREGADO",
IFERROR(
INDEX(REPORTE_DROPI!T:T,
MATCH($T31, REPORTE_DROPI!B:B, 0)
),
""
),
""
)
</f>
        <v/>
      </c>
      <c r="K31" s="118" t="str">
        <f t="array" ref="K31">IFERROR(
INDEX(REPORTE_DROPI!S:S,
MATCH($T31, REPORTE_DROPI!B:B, 0)
),
""
)
</f>
        <v/>
      </c>
      <c r="L31" s="118" t="str">
        <f>IF(
  O31&lt;&gt;"DEVOLUCION",
  "",
  IF(
    T31="",
    "",
    SUMIF(DEVOLUCION!F:F, T31, DEVOLUCION!D:D)
  )
)
</f>
        <v/>
      </c>
      <c r="M31" s="123" t="s">
        <v>3729</v>
      </c>
      <c r="N31" s="118">
        <v>4661.0</v>
      </c>
      <c r="O31" s="118" t="str">
        <f t="array" ref="O31">IFERROR(
VLOOKUP(
TRIM(CLEAN(
INDEX(REPORTE_DROPI!K:K,
MATCH(T31, REPORTE_DROPI!B:B, 0)
))),
{
TRIM(CLEAN(MAPA_ESTADOS!A:A)) ,
MAPA_ESTADOS!B:B
},
2,
FALSE
),
"REVISAR"
)
</f>
        <v>CANCELADO</v>
      </c>
      <c r="P31" s="118"/>
      <c r="Q31" s="122">
        <f t="shared" si="1"/>
        <v>0</v>
      </c>
      <c r="R31" s="118"/>
      <c r="S31" s="118"/>
      <c r="T31" s="118">
        <f t="array" ref="T31">IFERROR(
INDEX(REPORTE_DROPI!B:B,
MATCH(
CLEAN(TRIM(C31)),
CLEAN(TRIM(REPORTE_DROPI!E:E)),
0
)
),
""
)
</f>
        <v>4078251</v>
      </c>
      <c r="U31" s="118"/>
      <c r="V31" s="78"/>
      <c r="W31" s="78"/>
      <c r="X31" s="78"/>
      <c r="Y31" s="78"/>
      <c r="Z31" s="78"/>
    </row>
    <row r="32" ht="22.5" customHeight="1">
      <c r="A32" s="118">
        <v>31.0</v>
      </c>
      <c r="B32" s="119">
        <v>46027.0</v>
      </c>
      <c r="C32" s="118" t="s">
        <v>3771</v>
      </c>
      <c r="D32" s="118" t="str">
        <f>IFERROR(__xludf.DUMMYFUNCTION("IFERROR(
  INDEX(
    FILTER(
      'NOMBRE DE PRODUCTOS'!B:B,
      REGEXMATCH(
        UPPER(
          INDEX(
            REPORTE_DROPI!AC:AC,
            MATCH(T32, REPORTE_DROPI!B:B, 0)
          )
        ),
        UPPER('NOMBRE DE PRODUCTOS'!A:A)
"&amp;"      )
    ),
    1
  ),
  ""REVISAR""
)
"),"FLORA FRESH PRO™")</f>
        <v>FLORA FRESH PRO™</v>
      </c>
      <c r="E32" s="120">
        <f t="array" ref="E32">IF(
UPPER(TRIM(CLEAN($O32)))="ENTREGADO",
IFERROR(
INDEX(REPORTE_DROPI!Y:Y,
MATCH($T32, REPORTE_DROPI!B:B, 0)
),
""
),
""
)
</f>
        <v>7.5</v>
      </c>
      <c r="F32" s="121">
        <v>3.0</v>
      </c>
      <c r="G32" s="122">
        <f t="array" ref="G32">IF(
UPPER(TRIM(CLEAN($O32)))="ENTREGADO",
IFERROR(
INDEX(REPORTE_DROPI!R:R,
MATCH($T32, REPORTE_DROPI!B:B, 0)
),
""
),
""
)
</f>
        <v>27</v>
      </c>
      <c r="H32" s="118" t="s">
        <v>3727</v>
      </c>
      <c r="I32" s="118" t="s">
        <v>3772</v>
      </c>
      <c r="J32" s="121">
        <f t="array" ref="J32">IF(
UPPER(TRIM(CLEAN($O32)))="ENTREGADO",
IFERROR(
INDEX(REPORTE_DROPI!T:T,
MATCH($T32, REPORTE_DROPI!B:B, 0)
),
""
),
""
)
</f>
        <v>6.07</v>
      </c>
      <c r="K32" s="118">
        <f t="array" ref="K32">IFERROR(
INDEX(REPORTE_DROPI!S:S,
MATCH($T32, REPORTE_DROPI!B:B, 0)
),
""
)
</f>
        <v>13.43</v>
      </c>
      <c r="L32" s="118" t="str">
        <f>IF(
  O32&lt;&gt;"DEVOLUCION",
  "",
  IF(
    T32="",
    "",
    SUMIF(DEVOLUCION!F:F, T32, DEVOLUCION!D:D)
  )
)
</f>
        <v/>
      </c>
      <c r="M32" s="123" t="s">
        <v>3729</v>
      </c>
      <c r="N32" s="118">
        <v>4662.0</v>
      </c>
      <c r="O32" s="118" t="str">
        <f t="array" ref="O32">IFERROR(
VLOOKUP(
TRIM(CLEAN(
INDEX(REPORTE_DROPI!K:K,
MATCH(T32, REPORTE_DROPI!B:B, 0)
))),
{
TRIM(CLEAN(MAPA_ESTADOS!A:A)) ,
MAPA_ESTADOS!B:B
},
2,
FALSE
),
"REVISAR"
)
</f>
        <v>ENTREGADO</v>
      </c>
      <c r="P32" s="118"/>
      <c r="Q32" s="122">
        <f t="shared" si="1"/>
        <v>0</v>
      </c>
      <c r="R32" s="118"/>
      <c r="S32" s="118"/>
      <c r="T32" s="118">
        <f t="array" ref="T32">IFERROR(
INDEX(REPORTE_DROPI!B:B,
MATCH(
CLEAN(TRIM(C32)),
CLEAN(TRIM(REPORTE_DROPI!E:E)),
0
)
),
""
)
</f>
        <v>4024220</v>
      </c>
      <c r="U32" s="118"/>
      <c r="V32" s="78"/>
      <c r="W32" s="78"/>
      <c r="X32" s="78"/>
      <c r="Y32" s="78"/>
      <c r="Z32" s="78"/>
    </row>
    <row r="33" ht="22.5" customHeight="1">
      <c r="A33" s="118">
        <v>32.0</v>
      </c>
      <c r="B33" s="119">
        <v>46027.0</v>
      </c>
      <c r="C33" s="118" t="s">
        <v>3773</v>
      </c>
      <c r="D33" s="118" t="str">
        <f>IFERROR(__xludf.DUMMYFUNCTION("IFERROR(
  INDEX(
    FILTER(
      'NOMBRE DE PRODUCTOS'!B:B,
      REGEXMATCH(
        UPPER(
          INDEX(
            REPORTE_DROPI!AC:AC,
            MATCH(T33, REPORTE_DROPI!B:B, 0)
          )
        ),
        UPPER('NOMBRE DE PRODUCTOS'!A:A)
"&amp;"      )
    ),
    1
  ),
  ""REVISAR""
)
"),"Llave Multifuncional 360™")</f>
        <v>Llave Multifuncional 360™</v>
      </c>
      <c r="E33" s="120" t="str">
        <f t="array" ref="E33">IF(
UPPER(TRIM(CLEAN($O33)))="ENTREGADO",
IFERROR(
INDEX(REPORTE_DROPI!Y:Y,
MATCH($T33, REPORTE_DROPI!B:B, 0)
),
""
),
""
)
</f>
        <v/>
      </c>
      <c r="F33" s="121">
        <v>1.0</v>
      </c>
      <c r="G33" s="122" t="str">
        <f t="array" ref="G33">IF(
UPPER(TRIM(CLEAN($O33)))="ENTREGADO",
IFERROR(
INDEX(REPORTE_DROPI!R:R,
MATCH($T33, REPORTE_DROPI!B:B, 0)
),
""
),
""
)
</f>
        <v/>
      </c>
      <c r="H33" s="118" t="s">
        <v>3727</v>
      </c>
      <c r="I33" s="118" t="s">
        <v>3759</v>
      </c>
      <c r="J33" s="121" t="str">
        <f t="array" ref="J33">IF(
UPPER(TRIM(CLEAN($O33)))="ENTREGADO",
IFERROR(
INDEX(REPORTE_DROPI!T:T,
MATCH($T33, REPORTE_DROPI!B:B, 0)
),
""
),
""
)
</f>
        <v/>
      </c>
      <c r="K33" s="118" t="str">
        <f t="array" ref="K33">IFERROR(
INDEX(REPORTE_DROPI!S:S,
MATCH($T33, REPORTE_DROPI!B:B, 0)
),
""
)
</f>
        <v/>
      </c>
      <c r="L33" s="118" t="str">
        <f>IF(
  O33&lt;&gt;"DEVOLUCION",
  "",
  IF(
    T33="",
    "",
    SUMIF(DEVOLUCION!F:F, T33, DEVOLUCION!D:D)
  )
)
</f>
        <v/>
      </c>
      <c r="M33" s="123" t="s">
        <v>3729</v>
      </c>
      <c r="N33" s="118">
        <v>4663.0</v>
      </c>
      <c r="O33" s="118" t="str">
        <f t="array" ref="O33">IFERROR(
VLOOKUP(
TRIM(CLEAN(
INDEX(REPORTE_DROPI!K:K,
MATCH(T33, REPORTE_DROPI!B:B, 0)
))),
{
TRIM(CLEAN(MAPA_ESTADOS!A:A)) ,
MAPA_ESTADOS!B:B
},
2,
FALSE
),
"REVISAR"
)
</f>
        <v>CANCELADO</v>
      </c>
      <c r="P33" s="118" t="s">
        <v>3763</v>
      </c>
      <c r="Q33" s="122">
        <f t="shared" si="1"/>
        <v>0</v>
      </c>
      <c r="R33" s="118"/>
      <c r="S33" s="118"/>
      <c r="T33" s="118">
        <f t="array" ref="T33">IFERROR(
INDEX(REPORTE_DROPI!B:B,
MATCH(
CLEAN(TRIM(C33)),
CLEAN(TRIM(REPORTE_DROPI!E:E)),
0
)
),
""
)
</f>
        <v>4026555</v>
      </c>
      <c r="U33" s="118"/>
      <c r="V33" s="78"/>
      <c r="W33" s="78"/>
      <c r="X33" s="78"/>
      <c r="Y33" s="78"/>
      <c r="Z33" s="78"/>
    </row>
    <row r="34" ht="22.5" customHeight="1">
      <c r="A34" s="118">
        <v>33.0</v>
      </c>
      <c r="B34" s="119">
        <v>46027.0</v>
      </c>
      <c r="C34" s="118" t="s">
        <v>3774</v>
      </c>
      <c r="D34" s="118" t="str">
        <f>IFERROR(__xludf.DUMMYFUNCTION("IFERROR(
  INDEX(
    FILTER(
      'NOMBRE DE PRODUCTOS'!B:B,
      REGEXMATCH(
        UPPER(
          INDEX(
            REPORTE_DROPI!AC:AC,
            MATCH(T34, REPORTE_DROPI!B:B, 0)
          )
        ),
        UPPER('NOMBRE DE PRODUCTOS'!A:A)
"&amp;"      )
    ),
    1
  ),
  ""REVISAR""
)
"),"Llave Multifuncional 360™")</f>
        <v>Llave Multifuncional 360™</v>
      </c>
      <c r="E34" s="120">
        <f t="array" ref="E34">IF(
UPPER(TRIM(CLEAN($O34)))="ENTREGADO",
IFERROR(
INDEX(REPORTE_DROPI!Y:Y,
MATCH($T34, REPORTE_DROPI!B:B, 0)
),
""
),
""
)
</f>
        <v>5</v>
      </c>
      <c r="F34" s="121">
        <v>1.0</v>
      </c>
      <c r="G34" s="122">
        <f t="array" ref="G34">IF(
UPPER(TRIM(CLEAN($O34)))="ENTREGADO",
IFERROR(
INDEX(REPORTE_DROPI!R:R,
MATCH($T34, REPORTE_DROPI!B:B, 0)
),
""
),
""
)
</f>
        <v>20</v>
      </c>
      <c r="H34" s="118" t="s">
        <v>3727</v>
      </c>
      <c r="I34" s="118" t="s">
        <v>3775</v>
      </c>
      <c r="J34" s="121">
        <f t="array" ref="J34">IF(
UPPER(TRIM(CLEAN($O34)))="ENTREGADO",
IFERROR(
INDEX(REPORTE_DROPI!T:T,
MATCH($T34, REPORTE_DROPI!B:B, 0)
),
""
),
""
)
</f>
        <v>5.76</v>
      </c>
      <c r="K34" s="118">
        <f t="array" ref="K34">IFERROR(
INDEX(REPORTE_DROPI!S:S,
MATCH($T34, REPORTE_DROPI!B:B, 0)
),
""
)
</f>
        <v>9.24</v>
      </c>
      <c r="L34" s="118" t="str">
        <f>IF(
  O34&lt;&gt;"DEVOLUCION",
  "",
  IF(
    T34="",
    "",
    SUMIF(DEVOLUCION!F:F, T34, DEVOLUCION!D:D)
  )
)
</f>
        <v/>
      </c>
      <c r="M34" s="123" t="s">
        <v>3729</v>
      </c>
      <c r="N34" s="118">
        <v>4664.0</v>
      </c>
      <c r="O34" s="118" t="str">
        <f t="array" ref="O34">IFERROR(
VLOOKUP(
TRIM(CLEAN(
INDEX(REPORTE_DROPI!K:K,
MATCH(T34, REPORTE_DROPI!B:B, 0)
))),
{
TRIM(CLEAN(MAPA_ESTADOS!A:A)) ,
MAPA_ESTADOS!B:B
},
2,
FALSE
),
"REVISAR"
)
</f>
        <v>ENTREGADO</v>
      </c>
      <c r="P34" s="118"/>
      <c r="Q34" s="122">
        <f t="shared" si="1"/>
        <v>0</v>
      </c>
      <c r="R34" s="118"/>
      <c r="S34" s="118"/>
      <c r="T34" s="118">
        <f t="array" ref="T34">IFERROR(
INDEX(REPORTE_DROPI!B:B,
MATCH(
CLEAN(TRIM(C34)),
CLEAN(TRIM(REPORTE_DROPI!E:E)),
0
)
),
""
)
</f>
        <v>4030898</v>
      </c>
      <c r="U34" s="118"/>
      <c r="V34" s="78"/>
      <c r="W34" s="78"/>
      <c r="X34" s="78"/>
      <c r="Y34" s="78"/>
      <c r="Z34" s="78"/>
    </row>
    <row r="35" ht="22.5" customHeight="1">
      <c r="A35" s="118">
        <v>34.0</v>
      </c>
      <c r="B35" s="119">
        <v>46027.0</v>
      </c>
      <c r="C35" s="118" t="s">
        <v>3776</v>
      </c>
      <c r="D35" s="118" t="str">
        <f>IFERROR(__xludf.DUMMYFUNCTION("IFERROR(
  INDEX(
    FILTER(
      'NOMBRE DE PRODUCTOS'!B:B,
      REGEXMATCH(
        UPPER(
          INDEX(
            REPORTE_DROPI!AC:AC,
            MATCH(T35, REPORTE_DROPI!B:B, 0)
          )
        ),
        UPPER('NOMBRE DE PRODUCTOS'!A:A)
"&amp;"      )
    ),
    1
  ),
  ""REVISAR""
)
"),"Llave Multifuncional 360™")</f>
        <v>Llave Multifuncional 360™</v>
      </c>
      <c r="E35" s="120">
        <f t="array" ref="E35">IF(
UPPER(TRIM(CLEAN($O35)))="ENTREGADO",
IFERROR(
INDEX(REPORTE_DROPI!Y:Y,
MATCH($T35, REPORTE_DROPI!B:B, 0)
),
""
),
""
)
</f>
        <v>15</v>
      </c>
      <c r="F35" s="121">
        <v>3.0</v>
      </c>
      <c r="G35" s="122">
        <f t="array" ref="G35">IF(
UPPER(TRIM(CLEAN($O35)))="ENTREGADO",
IFERROR(
INDEX(REPORTE_DROPI!R:R,
MATCH($T35, REPORTE_DROPI!B:B, 0)
),
""
),
""
)
</f>
        <v>30</v>
      </c>
      <c r="H35" s="118" t="s">
        <v>3727</v>
      </c>
      <c r="I35" s="118" t="s">
        <v>3731</v>
      </c>
      <c r="J35" s="121">
        <f t="array" ref="J35">IF(
UPPER(TRIM(CLEAN($O35)))="ENTREGADO",
IFERROR(
INDEX(REPORTE_DROPI!T:T,
MATCH($T35, REPORTE_DROPI!B:B, 0)
),
""
),
""
)
</f>
        <v>4.55</v>
      </c>
      <c r="K35" s="118">
        <f t="array" ref="K35">IFERROR(
INDEX(REPORTE_DROPI!S:S,
MATCH($T35, REPORTE_DROPI!B:B, 0)
),
""
)
</f>
        <v>10.45</v>
      </c>
      <c r="L35" s="118" t="str">
        <f>IF(
  O35&lt;&gt;"DEVOLUCION",
  "",
  IF(
    T35="",
    "",
    SUMIF(DEVOLUCION!F:F, T35, DEVOLUCION!D:D)
  )
)
</f>
        <v/>
      </c>
      <c r="M35" s="123" t="s">
        <v>3729</v>
      </c>
      <c r="N35" s="118">
        <v>4665.0</v>
      </c>
      <c r="O35" s="118" t="str">
        <f t="array" ref="O35">IFERROR(
VLOOKUP(
TRIM(CLEAN(
INDEX(REPORTE_DROPI!K:K,
MATCH(T35, REPORTE_DROPI!B:B, 0)
))),
{
TRIM(CLEAN(MAPA_ESTADOS!A:A)) ,
MAPA_ESTADOS!B:B
},
2,
FALSE
),
"REVISAR"
)
</f>
        <v>ENTREGADO</v>
      </c>
      <c r="P35" s="118"/>
      <c r="Q35" s="122">
        <f t="shared" si="1"/>
        <v>0</v>
      </c>
      <c r="R35" s="118"/>
      <c r="S35" s="118"/>
      <c r="T35" s="118">
        <f t="array" ref="T35">IFERROR(
INDEX(REPORTE_DROPI!B:B,
MATCH(
CLEAN(TRIM(C35)),
CLEAN(TRIM(REPORTE_DROPI!E:E)),
0
)
),
""
)
</f>
        <v>4050324</v>
      </c>
      <c r="U35" s="118"/>
      <c r="V35" s="78"/>
      <c r="W35" s="78"/>
      <c r="X35" s="78"/>
      <c r="Y35" s="78"/>
      <c r="Z35" s="78"/>
    </row>
    <row r="36" ht="22.5" customHeight="1">
      <c r="A36" s="118">
        <v>35.0</v>
      </c>
      <c r="B36" s="119">
        <v>46027.0</v>
      </c>
      <c r="C36" s="126" t="s">
        <v>3777</v>
      </c>
      <c r="D36" s="118" t="str">
        <f>IFERROR(__xludf.DUMMYFUNCTION("IFERROR(
  INDEX(
    FILTER(
      'NOMBRE DE PRODUCTOS'!B:B,
      REGEXMATCH(
        UPPER(
          INDEX(
            REPORTE_DROPI!AC:AC,
            MATCH(T36, REPORTE_DROPI!B:B, 0)
          )
        ),
        UPPER('NOMBRE DE PRODUCTOS'!A:A)
"&amp;"      )
    ),
    1
  ),
  ""REVISAR""
)
"),"Llave Multifuncional 360™")</f>
        <v>Llave Multifuncional 360™</v>
      </c>
      <c r="E36" s="120">
        <f t="array" ref="E36">IF(
UPPER(TRIM(CLEAN($O36)))="ENTREGADO",
IFERROR(
INDEX(REPORTE_DROPI!Y:Y,
MATCH($T36, REPORTE_DROPI!B:B, 0)
),
""
),
""
)
</f>
        <v>10</v>
      </c>
      <c r="F36" s="121">
        <v>2.0</v>
      </c>
      <c r="G36" s="122">
        <f t="array" ref="G36">IF(
UPPER(TRIM(CLEAN($O36)))="ENTREGADO",
IFERROR(
INDEX(REPORTE_DROPI!R:R,
MATCH($T36, REPORTE_DROPI!B:B, 0)
),
""
),
""
)
</f>
        <v>32</v>
      </c>
      <c r="H36" s="118" t="s">
        <v>3727</v>
      </c>
      <c r="I36" s="118" t="s">
        <v>3778</v>
      </c>
      <c r="J36" s="121">
        <f t="array" ref="J36">IF(
UPPER(TRIM(CLEAN($O36)))="ENTREGADO",
IFERROR(
INDEX(REPORTE_DROPI!T:T,
MATCH($T36, REPORTE_DROPI!B:B, 0)
),
""
),
""
)
</f>
        <v>5.89</v>
      </c>
      <c r="K36" s="118">
        <f t="array" ref="K36">IFERROR(
INDEX(REPORTE_DROPI!S:S,
MATCH($T36, REPORTE_DROPI!B:B, 0)
),
""
)
</f>
        <v>16.11</v>
      </c>
      <c r="L36" s="118" t="str">
        <f>IF(
  O36&lt;&gt;"DEVOLUCION",
  "",
  IF(
    T36="",
    "",
    SUMIF(DEVOLUCION!F:F, T36, DEVOLUCION!D:D)
  )
)
</f>
        <v/>
      </c>
      <c r="M36" s="123" t="s">
        <v>3729</v>
      </c>
      <c r="N36" s="118">
        <v>4666.0</v>
      </c>
      <c r="O36" s="118" t="str">
        <f t="array" ref="O36">IFERROR(
VLOOKUP(
TRIM(CLEAN(
INDEX(REPORTE_DROPI!K:K,
MATCH(T36, REPORTE_DROPI!B:B, 0)
))),
{
TRIM(CLEAN(MAPA_ESTADOS!A:A)) ,
MAPA_ESTADOS!B:B
},
2,
FALSE
),
"REVISAR"
)
</f>
        <v>ENTREGADO</v>
      </c>
      <c r="P36" s="118"/>
      <c r="Q36" s="122">
        <f t="shared" si="1"/>
        <v>0</v>
      </c>
      <c r="R36" s="118"/>
      <c r="S36" s="118"/>
      <c r="T36" s="118">
        <f t="array" ref="T36">IFERROR(
INDEX(REPORTE_DROPI!B:B,
MATCH(
CLEAN(TRIM(C36)),
CLEAN(TRIM(REPORTE_DROPI!E:E)),
0
)
),
""
)
</f>
        <v>4273607</v>
      </c>
      <c r="U36" s="118"/>
      <c r="V36" s="78"/>
      <c r="W36" s="78"/>
      <c r="X36" s="78"/>
      <c r="Y36" s="78"/>
      <c r="Z36" s="78"/>
    </row>
    <row r="37" ht="22.5" customHeight="1">
      <c r="A37" s="118">
        <v>36.0</v>
      </c>
      <c r="B37" s="119">
        <v>46027.0</v>
      </c>
      <c r="C37" s="118" t="s">
        <v>3779</v>
      </c>
      <c r="D37" s="118" t="str">
        <f>IFERROR(__xludf.DUMMYFUNCTION("IFERROR(
  INDEX(
    FILTER(
      'NOMBRE DE PRODUCTOS'!B:B,
      REGEXMATCH(
        UPPER(
          INDEX(
            REPORTE_DROPI!AC:AC,
            MATCH(T37, REPORTE_DROPI!B:B, 0)
          )
        ),
        UPPER('NOMBRE DE PRODUCTOS'!A:A)
"&amp;"      )
    ),
    1
  ),
  ""REVISAR""
)
"),"Llave Multifuncional 360™")</f>
        <v>Llave Multifuncional 360™</v>
      </c>
      <c r="E37" s="120" t="str">
        <f t="array" ref="E37">IF(
UPPER(TRIM(CLEAN($O37)))="ENTREGADO",
IFERROR(
INDEX(REPORTE_DROPI!Y:Y,
MATCH($T37, REPORTE_DROPI!B:B, 0)
),
""
),
""
)
</f>
        <v/>
      </c>
      <c r="F37" s="121">
        <v>1.0</v>
      </c>
      <c r="G37" s="122" t="str">
        <f t="array" ref="G37">IF(
UPPER(TRIM(CLEAN($O37)))="ENTREGADO",
IFERROR(
INDEX(REPORTE_DROPI!R:R,
MATCH($T37, REPORTE_DROPI!B:B, 0)
),
""
),
""
)
</f>
        <v/>
      </c>
      <c r="H37" s="118" t="s">
        <v>3727</v>
      </c>
      <c r="I37" s="118" t="s">
        <v>3731</v>
      </c>
      <c r="J37" s="121" t="str">
        <f t="array" ref="J37">IF(
UPPER(TRIM(CLEAN($O37)))="ENTREGADO",
IFERROR(
INDEX(REPORTE_DROPI!T:T,
MATCH($T37, REPORTE_DROPI!B:B, 0)
),
""
),
""
)
</f>
        <v/>
      </c>
      <c r="K37" s="118" t="str">
        <f t="array" ref="K37">IFERROR(
INDEX(REPORTE_DROPI!S:S,
MATCH($T37, REPORTE_DROPI!B:B, 0)
),
""
)
</f>
        <v/>
      </c>
      <c r="L37" s="118">
        <f>IF(
  O37&lt;&gt;"DEVOLUCION",
  "",
  IF(
    T37="",
    "",
    SUMIF(DEVOLUCION!F:F, T37, DEVOLUCION!D:D)
  )
)
</f>
        <v>4.03</v>
      </c>
      <c r="M37" s="123" t="s">
        <v>3729</v>
      </c>
      <c r="N37" s="118">
        <v>4667.0</v>
      </c>
      <c r="O37" s="118" t="str">
        <f t="array" ref="O37">IFERROR(
VLOOKUP(
TRIM(CLEAN(
INDEX(REPORTE_DROPI!K:K,
MATCH(T37, REPORTE_DROPI!B:B, 0)
))),
{
TRIM(CLEAN(MAPA_ESTADOS!A:A)) ,
MAPA_ESTADOS!B:B
},
2,
FALSE
),
"REVISAR"
)
</f>
        <v>DEVOLUCION</v>
      </c>
      <c r="P37" s="118"/>
      <c r="Q37" s="122">
        <f t="shared" si="1"/>
        <v>0</v>
      </c>
      <c r="R37" s="118" t="s">
        <v>3675</v>
      </c>
      <c r="S37" s="118">
        <v>1.0</v>
      </c>
      <c r="T37" s="118">
        <f t="array" ref="T37">IFERROR(
INDEX(REPORTE_DROPI!B:B,
MATCH(
CLEAN(TRIM(C37)),
CLEAN(TRIM(REPORTE_DROPI!E:E)),
0
)
),
""
)
</f>
        <v>4032097</v>
      </c>
      <c r="U37" s="118"/>
      <c r="V37" s="78"/>
      <c r="W37" s="78"/>
      <c r="X37" s="78"/>
      <c r="Y37" s="78"/>
      <c r="Z37" s="78"/>
    </row>
    <row r="38" ht="22.5" customHeight="1">
      <c r="A38" s="118">
        <v>37.0</v>
      </c>
      <c r="B38" s="119">
        <v>46027.0</v>
      </c>
      <c r="C38" s="126" t="s">
        <v>3780</v>
      </c>
      <c r="D38" s="118" t="s">
        <v>184</v>
      </c>
      <c r="E38" s="120" t="str">
        <f t="array" ref="E38">IF(
UPPER(TRIM(CLEAN($O38)))="ENTREGADO",
IFERROR(
INDEX(REPORTE_DROPI!Y:Y,
MATCH($T38, REPORTE_DROPI!B:B, 0)
),
""
),
""
)
</f>
        <v/>
      </c>
      <c r="F38" s="121">
        <v>2.0</v>
      </c>
      <c r="G38" s="122" t="str">
        <f t="array" ref="G38">IF(
UPPER(TRIM(CLEAN($O38)))="ENTREGADO",
IFERROR(
INDEX(REPORTE_DROPI!R:R,
MATCH($T38, REPORTE_DROPI!B:B, 0)
),
""
),
""
)
</f>
        <v/>
      </c>
      <c r="H38" s="118" t="s">
        <v>3727</v>
      </c>
      <c r="I38" s="118" t="s">
        <v>3778</v>
      </c>
      <c r="J38" s="121" t="str">
        <f t="array" ref="J38">IF(
UPPER(TRIM(CLEAN($O38)))="ENTREGADO",
IFERROR(
INDEX(REPORTE_DROPI!T:T,
MATCH($T38, REPORTE_DROPI!B:B, 0)
),
""
),
""
)
</f>
        <v/>
      </c>
      <c r="K38" s="118" t="str">
        <f t="array" ref="K38">IFERROR(
INDEX(REPORTE_DROPI!S:S,
MATCH($T38, REPORTE_DROPI!B:B, 0)
),
""
)
</f>
        <v/>
      </c>
      <c r="L38" s="118" t="str">
        <f>IF(
  O38&lt;&gt;"DEVOLUCION",
  "",
  IF(
    T38="",
    "",
    SUMIF(DEVOLUCION!F:F, T38, DEVOLUCION!D:D)
  )
)
</f>
        <v/>
      </c>
      <c r="M38" s="123" t="s">
        <v>3729</v>
      </c>
      <c r="N38" s="118">
        <v>4668.0</v>
      </c>
      <c r="O38" s="118" t="str">
        <f t="array" ref="O38">IFERROR(
VLOOKUP(
TRIM(CLEAN(
INDEX(REPORTE_DROPI!K:K,
MATCH(T38, REPORTE_DROPI!B:B, 0)
))),
{
TRIM(CLEAN(MAPA_ESTADOS!A:A)) ,
MAPA_ESTADOS!B:B
},
2,
FALSE
),
"REVISAR"
)
</f>
        <v>REVISAR</v>
      </c>
      <c r="P38" s="118" t="s">
        <v>3781</v>
      </c>
      <c r="Q38" s="122">
        <f t="shared" si="1"/>
        <v>0</v>
      </c>
      <c r="R38" s="118"/>
      <c r="S38" s="118"/>
      <c r="T38" s="118" t="str">
        <f t="array" ref="T38">IFERROR(
INDEX(REPORTE_DROPI!B:B,
MATCH(
CLEAN(TRIM(C38)),
CLEAN(TRIM(REPORTE_DROPI!E:E)),
0
)
),
""
)
</f>
        <v/>
      </c>
      <c r="U38" s="118"/>
      <c r="V38" s="78"/>
      <c r="W38" s="78"/>
      <c r="X38" s="78"/>
      <c r="Y38" s="78"/>
      <c r="Z38" s="78"/>
    </row>
    <row r="39" ht="22.5" customHeight="1">
      <c r="A39" s="118">
        <v>38.0</v>
      </c>
      <c r="B39" s="119">
        <v>46027.0</v>
      </c>
      <c r="C39" s="118" t="s">
        <v>3782</v>
      </c>
      <c r="D39" s="118" t="str">
        <f>IFERROR(__xludf.DUMMYFUNCTION("IFERROR(
  INDEX(
    FILTER(
      'NOMBRE DE PRODUCTOS'!B:B,
      REGEXMATCH(
        UPPER(
          INDEX(
            REPORTE_DROPI!AC:AC,
            MATCH(T39, REPORTE_DROPI!B:B, 0)
          )
        ),
        UPPER('NOMBRE DE PRODUCTOS'!A:A)
"&amp;"      )
    ),
    1
  ),
  ""REVISAR""
)
"),"Llave Multifuncional 360™")</f>
        <v>Llave Multifuncional 360™</v>
      </c>
      <c r="E39" s="120">
        <f t="array" ref="E39">IF(
UPPER(TRIM(CLEAN($O39)))="ENTREGADO",
IFERROR(
INDEX(REPORTE_DROPI!Y:Y,
MATCH($T39, REPORTE_DROPI!B:B, 0)
),
""
),
""
)
</f>
        <v>10</v>
      </c>
      <c r="F39" s="121">
        <v>2.0</v>
      </c>
      <c r="G39" s="122">
        <f t="array" ref="G39">IF(
UPPER(TRIM(CLEAN($O39)))="ENTREGADO",
IFERROR(
INDEX(REPORTE_DROPI!R:R,
MATCH($T39, REPORTE_DROPI!B:B, 0)
),
""
),
""
)
</f>
        <v>25</v>
      </c>
      <c r="H39" s="118" t="s">
        <v>3727</v>
      </c>
      <c r="I39" s="118" t="s">
        <v>3731</v>
      </c>
      <c r="J39" s="121">
        <f t="array" ref="J39">IF(
UPPER(TRIM(CLEAN($O39)))="ENTREGADO",
IFERROR(
INDEX(REPORTE_DROPI!T:T,
MATCH($T39, REPORTE_DROPI!B:B, 0)
),
""
),
""
)
</f>
        <v>4.35</v>
      </c>
      <c r="K39" s="118">
        <f t="array" ref="K39">IFERROR(
INDEX(REPORTE_DROPI!S:S,
MATCH($T39, REPORTE_DROPI!B:B, 0)
),
""
)
</f>
        <v>10.65</v>
      </c>
      <c r="L39" s="118" t="str">
        <f>IF(
  O39&lt;&gt;"DEVOLUCION",
  "",
  IF(
    T39="",
    "",
    SUMIF(DEVOLUCION!F:F, T39, DEVOLUCION!D:D)
  )
)
</f>
        <v/>
      </c>
      <c r="M39" s="123" t="s">
        <v>3729</v>
      </c>
      <c r="N39" s="118">
        <v>4669.0</v>
      </c>
      <c r="O39" s="118" t="str">
        <f t="array" ref="O39">IFERROR(
VLOOKUP(
TRIM(CLEAN(
INDEX(REPORTE_DROPI!K:K,
MATCH(T39, REPORTE_DROPI!B:B, 0)
))),
{
TRIM(CLEAN(MAPA_ESTADOS!A:A)) ,
MAPA_ESTADOS!B:B
},
2,
FALSE
),
"REVISAR"
)
</f>
        <v>ENTREGADO</v>
      </c>
      <c r="P39" s="118"/>
      <c r="Q39" s="122">
        <f t="shared" si="1"/>
        <v>0</v>
      </c>
      <c r="R39" s="118"/>
      <c r="S39" s="118"/>
      <c r="T39" s="118">
        <f t="array" ref="T39">IFERROR(
INDEX(REPORTE_DROPI!B:B,
MATCH(
CLEAN(TRIM(C39)),
CLEAN(TRIM(REPORTE_DROPI!E:E)),
0
)
),
""
)
</f>
        <v>4061651</v>
      </c>
      <c r="U39" s="118"/>
      <c r="V39" s="78"/>
      <c r="W39" s="78"/>
      <c r="X39" s="78"/>
      <c r="Y39" s="78"/>
      <c r="Z39" s="78"/>
    </row>
    <row r="40" ht="22.5" customHeight="1">
      <c r="A40" s="118">
        <v>39.0</v>
      </c>
      <c r="B40" s="119">
        <v>46027.0</v>
      </c>
      <c r="C40" s="118" t="s">
        <v>3783</v>
      </c>
      <c r="D40" s="118" t="str">
        <f>IFERROR(__xludf.DUMMYFUNCTION("IFERROR(
  INDEX(
    FILTER(
      'NOMBRE DE PRODUCTOS'!B:B,
      REGEXMATCH(
        UPPER(
          INDEX(
            REPORTE_DROPI!AC:AC,
            MATCH(T40, REPORTE_DROPI!B:B, 0)
          )
        ),
        UPPER('NOMBRE DE PRODUCTOS'!A:A)
"&amp;"      )
    ),
    1
  ),
  ""REVISAR""
)
"),"Llave Multifuncional 360™")</f>
        <v>Llave Multifuncional 360™</v>
      </c>
      <c r="E40" s="120">
        <f t="array" ref="E40">IF(
UPPER(TRIM(CLEAN($O40)))="ENTREGADO",
IFERROR(
INDEX(REPORTE_DROPI!Y:Y,
MATCH($T40, REPORTE_DROPI!B:B, 0)
),
""
),
""
)
</f>
        <v>5</v>
      </c>
      <c r="F40" s="121">
        <v>1.0</v>
      </c>
      <c r="G40" s="122">
        <f t="array" ref="G40">IF(
UPPER(TRIM(CLEAN($O40)))="ENTREGADO",
IFERROR(
INDEX(REPORTE_DROPI!R:R,
MATCH($T40, REPORTE_DROPI!B:B, 0)
),
""
),
""
)
</f>
        <v>20</v>
      </c>
      <c r="H40" s="118" t="s">
        <v>3727</v>
      </c>
      <c r="I40" s="118" t="s">
        <v>3784</v>
      </c>
      <c r="J40" s="121">
        <f t="array" ref="J40">IF(
UPPER(TRIM(CLEAN($O40)))="ENTREGADO",
IFERROR(
INDEX(REPORTE_DROPI!T:T,
MATCH($T40, REPORTE_DROPI!B:B, 0)
),
""
),
""
)
</f>
        <v>5.76</v>
      </c>
      <c r="K40" s="118">
        <f t="array" ref="K40">IFERROR(
INDEX(REPORTE_DROPI!S:S,
MATCH($T40, REPORTE_DROPI!B:B, 0)
),
""
)
</f>
        <v>9.24</v>
      </c>
      <c r="L40" s="118" t="str">
        <f>IF(
  O40&lt;&gt;"DEVOLUCION",
  "",
  IF(
    T40="",
    "",
    SUMIF(DEVOLUCION!F:F, T40, DEVOLUCION!D:D)
  )
)
</f>
        <v/>
      </c>
      <c r="M40" s="123" t="s">
        <v>3729</v>
      </c>
      <c r="N40" s="118">
        <v>4670.0</v>
      </c>
      <c r="O40" s="118" t="str">
        <f t="array" ref="O40">IFERROR(
VLOOKUP(
TRIM(CLEAN(
INDEX(REPORTE_DROPI!K:K,
MATCH(T40, REPORTE_DROPI!B:B, 0)
))),
{
TRIM(CLEAN(MAPA_ESTADOS!A:A)) ,
MAPA_ESTADOS!B:B
},
2,
FALSE
),
"REVISAR"
)
</f>
        <v>ENTREGADO</v>
      </c>
      <c r="P40" s="118"/>
      <c r="Q40" s="122">
        <f t="shared" si="1"/>
        <v>0</v>
      </c>
      <c r="R40" s="118"/>
      <c r="S40" s="118"/>
      <c r="T40" s="118">
        <f t="array" ref="T40">IFERROR(
INDEX(REPORTE_DROPI!B:B,
MATCH(
CLEAN(TRIM(C40)),
CLEAN(TRIM(REPORTE_DROPI!E:E)),
0
)
),
""
)
</f>
        <v>4033136</v>
      </c>
      <c r="U40" s="118"/>
      <c r="V40" s="78"/>
      <c r="W40" s="78"/>
      <c r="X40" s="78"/>
      <c r="Y40" s="78"/>
      <c r="Z40" s="78"/>
    </row>
    <row r="41" ht="22.5" customHeight="1">
      <c r="A41" s="118">
        <v>40.0</v>
      </c>
      <c r="B41" s="119">
        <v>46027.0</v>
      </c>
      <c r="C41" s="118" t="s">
        <v>3785</v>
      </c>
      <c r="D41" s="118" t="str">
        <f>IFERROR(__xludf.DUMMYFUNCTION("IFERROR(
  INDEX(
    FILTER(
      'NOMBRE DE PRODUCTOS'!B:B,
      REGEXMATCH(
        UPPER(
          INDEX(
            REPORTE_DROPI!AC:AC,
            MATCH(T41, REPORTE_DROPI!B:B, 0)
          )
        ),
        UPPER('NOMBRE DE PRODUCTOS'!A:A)
"&amp;"      )
    ),
    1
  ),
  ""REVISAR""
)
"),"FLORA FRESH PRO™")</f>
        <v>FLORA FRESH PRO™</v>
      </c>
      <c r="E41" s="120" t="str">
        <f t="array" ref="E41">IF(
UPPER(TRIM(CLEAN($O41)))="ENTREGADO",
IFERROR(
INDEX(REPORTE_DROPI!Y:Y,
MATCH($T41, REPORTE_DROPI!B:B, 0)
),
""
),
""
)
</f>
        <v/>
      </c>
      <c r="F41" s="121">
        <v>5.0</v>
      </c>
      <c r="G41" s="122" t="str">
        <f t="array" ref="G41">IF(
UPPER(TRIM(CLEAN($O41)))="ENTREGADO",
IFERROR(
INDEX(REPORTE_DROPI!R:R,
MATCH($T41, REPORTE_DROPI!B:B, 0)
),
""
),
""
)
</f>
        <v/>
      </c>
      <c r="H41" s="118" t="s">
        <v>3727</v>
      </c>
      <c r="I41" s="118" t="s">
        <v>3731</v>
      </c>
      <c r="J41" s="121" t="str">
        <f t="array" ref="J41">IF(
UPPER(TRIM(CLEAN($O41)))="ENTREGADO",
IFERROR(
INDEX(REPORTE_DROPI!T:T,
MATCH($T41, REPORTE_DROPI!B:B, 0)
),
""
),
""
)
</f>
        <v/>
      </c>
      <c r="K41" s="118" t="str">
        <f t="array" ref="K41">IFERROR(
INDEX(REPORTE_DROPI!S:S,
MATCH($T41, REPORTE_DROPI!B:B, 0)
),
""
)
</f>
        <v/>
      </c>
      <c r="L41" s="118">
        <f>IF(
  O41&lt;&gt;"DEVOLUCION",
  "",
  IF(
    T41="",
    "",
    SUMIF(DEVOLUCION!F:F, T41, DEVOLUCION!D:D)
  )
)
</f>
        <v>5.15</v>
      </c>
      <c r="M41" s="123" t="s">
        <v>3729</v>
      </c>
      <c r="N41" s="118">
        <v>4671.0</v>
      </c>
      <c r="O41" s="118" t="str">
        <f t="array" ref="O41">IFERROR(
VLOOKUP(
TRIM(CLEAN(
INDEX(REPORTE_DROPI!K:K,
MATCH(T41, REPORTE_DROPI!B:B, 0)
))),
{
TRIM(CLEAN(MAPA_ESTADOS!A:A)) ,
MAPA_ESTADOS!B:B
},
2,
FALSE
),
"REVISAR"
)
</f>
        <v>DEVOLUCION</v>
      </c>
      <c r="P41" s="118"/>
      <c r="Q41" s="122">
        <f t="shared" si="1"/>
        <v>0</v>
      </c>
      <c r="R41" s="118"/>
      <c r="S41" s="118"/>
      <c r="T41" s="118">
        <f t="array" ref="T41">IFERROR(
INDEX(REPORTE_DROPI!B:B,
MATCH(
CLEAN(TRIM(C41)),
CLEAN(TRIM(REPORTE_DROPI!E:E)),
0
)
),
""
)
</f>
        <v>4033377</v>
      </c>
      <c r="U41" s="118"/>
      <c r="V41" s="78"/>
      <c r="W41" s="78"/>
      <c r="X41" s="78"/>
      <c r="Y41" s="78"/>
      <c r="Z41" s="78"/>
    </row>
    <row r="42" ht="22.5" customHeight="1">
      <c r="A42" s="118">
        <v>41.0</v>
      </c>
      <c r="B42" s="119">
        <v>46027.0</v>
      </c>
      <c r="C42" s="118" t="s">
        <v>3786</v>
      </c>
      <c r="D42" s="118" t="str">
        <f>IFERROR(__xludf.DUMMYFUNCTION("IFERROR(
  INDEX(
    FILTER(
      'NOMBRE DE PRODUCTOS'!B:B,
      REGEXMATCH(
        UPPER(
          INDEX(
            REPORTE_DROPI!AC:AC,
            MATCH(T42, REPORTE_DROPI!B:B, 0)
          )
        ),
        UPPER('NOMBRE DE PRODUCTOS'!A:A)
"&amp;"      )
    ),
    1
  ),
  ""REVISAR""
)
"),"Llave Multifuncional 360™")</f>
        <v>Llave Multifuncional 360™</v>
      </c>
      <c r="E42" s="120" t="str">
        <f t="array" ref="E42">IF(
UPPER(TRIM(CLEAN($O42)))="ENTREGADO",
IFERROR(
INDEX(REPORTE_DROPI!Y:Y,
MATCH($T42, REPORTE_DROPI!B:B, 0)
),
""
),
""
)
</f>
        <v/>
      </c>
      <c r="F42" s="121">
        <v>1.0</v>
      </c>
      <c r="G42" s="122" t="str">
        <f t="array" ref="G42">IF(
UPPER(TRIM(CLEAN($O42)))="ENTREGADO",
IFERROR(
INDEX(REPORTE_DROPI!R:R,
MATCH($T42, REPORTE_DROPI!B:B, 0)
),
""
),
""
)
</f>
        <v/>
      </c>
      <c r="H42" s="118" t="s">
        <v>3727</v>
      </c>
      <c r="I42" s="118" t="s">
        <v>3740</v>
      </c>
      <c r="J42" s="121" t="str">
        <f t="array" ref="J42">IF(
UPPER(TRIM(CLEAN($O42)))="ENTREGADO",
IFERROR(
INDEX(REPORTE_DROPI!T:T,
MATCH($T42, REPORTE_DROPI!B:B, 0)
),
""
),
""
)
</f>
        <v/>
      </c>
      <c r="K42" s="118" t="str">
        <f t="array" ref="K42">IFERROR(
INDEX(REPORTE_DROPI!S:S,
MATCH($T42, REPORTE_DROPI!B:B, 0)
),
""
)
</f>
        <v/>
      </c>
      <c r="L42" s="118" t="str">
        <f>IF(
  O42&lt;&gt;"DEVOLUCION",
  "",
  IF(
    T42="",
    "",
    SUMIF(DEVOLUCION!F:F, T42, DEVOLUCION!D:D)
  )
)
</f>
        <v/>
      </c>
      <c r="M42" s="123" t="s">
        <v>3729</v>
      </c>
      <c r="N42" s="118">
        <v>4672.0</v>
      </c>
      <c r="O42" s="118" t="str">
        <f t="array" ref="O42">IFERROR(
VLOOKUP(
TRIM(CLEAN(
INDEX(REPORTE_DROPI!K:K,
MATCH(T42, REPORTE_DROPI!B:B, 0)
))),
{
TRIM(CLEAN(MAPA_ESTADOS!A:A)) ,
MAPA_ESTADOS!B:B
},
2,
FALSE
),
"REVISAR"
)
</f>
        <v>REVISAR</v>
      </c>
      <c r="P42" s="118"/>
      <c r="Q42" s="122">
        <f t="shared" si="1"/>
        <v>0</v>
      </c>
      <c r="R42" s="118"/>
      <c r="S42" s="118"/>
      <c r="T42" s="118">
        <f t="array" ref="T42">IFERROR(
INDEX(REPORTE_DROPI!B:B,
MATCH(
CLEAN(TRIM(C42)),
CLEAN(TRIM(REPORTE_DROPI!E:E)),
0
)
),
""
)
</f>
        <v>4074995</v>
      </c>
      <c r="U42" s="118"/>
      <c r="V42" s="78"/>
      <c r="W42" s="78"/>
      <c r="X42" s="78"/>
      <c r="Y42" s="78"/>
      <c r="Z42" s="78"/>
    </row>
    <row r="43" ht="22.5" customHeight="1">
      <c r="A43" s="118">
        <v>42.0</v>
      </c>
      <c r="B43" s="119">
        <v>46027.0</v>
      </c>
      <c r="C43" s="118" t="s">
        <v>3787</v>
      </c>
      <c r="D43" s="118" t="str">
        <f>IFERROR(__xludf.DUMMYFUNCTION("IFERROR(
  INDEX(
    FILTER(
      'NOMBRE DE PRODUCTOS'!B:B,
      REGEXMATCH(
        UPPER(
          INDEX(
            REPORTE_DROPI!AC:AC,
            MATCH(T43, REPORTE_DROPI!B:B, 0)
          )
        ),
        UPPER('NOMBRE DE PRODUCTOS'!A:A)
"&amp;"      )
    ),
    1
  ),
  ""REVISAR""
)
"),"Llave Multifuncional 360™")</f>
        <v>Llave Multifuncional 360™</v>
      </c>
      <c r="E43" s="120">
        <f t="array" ref="E43">IF(
UPPER(TRIM(CLEAN($O43)))="ENTREGADO",
IFERROR(
INDEX(REPORTE_DROPI!Y:Y,
MATCH($T43, REPORTE_DROPI!B:B, 0)
),
""
),
""
)
</f>
        <v>15</v>
      </c>
      <c r="F43" s="121">
        <v>3.0</v>
      </c>
      <c r="G43" s="122">
        <f t="array" ref="G43">IF(
UPPER(TRIM(CLEAN($O43)))="ENTREGADO",
IFERROR(
INDEX(REPORTE_DROPI!R:R,
MATCH($T43, REPORTE_DROPI!B:B, 0)
),
""
),
""
)
</f>
        <v>30</v>
      </c>
      <c r="H43" s="118" t="s">
        <v>3727</v>
      </c>
      <c r="I43" s="118" t="s">
        <v>3784</v>
      </c>
      <c r="J43" s="121">
        <f t="array" ref="J43">IF(
UPPER(TRIM(CLEAN($O43)))="ENTREGADO",
IFERROR(
INDEX(REPORTE_DROPI!T:T,
MATCH($T43, REPORTE_DROPI!B:B, 0)
),
""
),
""
)
</f>
        <v>6.16</v>
      </c>
      <c r="K43" s="118">
        <f t="array" ref="K43">IFERROR(
INDEX(REPORTE_DROPI!S:S,
MATCH($T43, REPORTE_DROPI!B:B, 0)
),
""
)
</f>
        <v>8.84</v>
      </c>
      <c r="L43" s="118" t="str">
        <f>IF(
  O43&lt;&gt;"DEVOLUCION",
  "",
  IF(
    T43="",
    "",
    SUMIF(DEVOLUCION!F:F, T43, DEVOLUCION!D:D)
  )
)
</f>
        <v/>
      </c>
      <c r="M43" s="123" t="s">
        <v>3729</v>
      </c>
      <c r="N43" s="118">
        <v>4673.0</v>
      </c>
      <c r="O43" s="118" t="str">
        <f t="array" ref="O43">IFERROR(
VLOOKUP(
TRIM(CLEAN(
INDEX(REPORTE_DROPI!K:K,
MATCH(T43, REPORTE_DROPI!B:B, 0)
))),
{
TRIM(CLEAN(MAPA_ESTADOS!A:A)) ,
MAPA_ESTADOS!B:B
},
2,
FALSE
),
"REVISAR"
)
</f>
        <v>ENTREGADO</v>
      </c>
      <c r="P43" s="118"/>
      <c r="Q43" s="122">
        <f t="shared" si="1"/>
        <v>0</v>
      </c>
      <c r="R43" s="118"/>
      <c r="S43" s="118"/>
      <c r="T43" s="118">
        <f t="array" ref="T43">IFERROR(
INDEX(REPORTE_DROPI!B:B,
MATCH(
CLEAN(TRIM(C43)),
CLEAN(TRIM(REPORTE_DROPI!E:E)),
0
)
),
""
)
</f>
        <v>4061743</v>
      </c>
      <c r="U43" s="118"/>
      <c r="V43" s="78"/>
      <c r="W43" s="78"/>
      <c r="X43" s="78"/>
      <c r="Y43" s="78"/>
      <c r="Z43" s="78"/>
    </row>
    <row r="44" ht="22.5" customHeight="1">
      <c r="A44" s="118">
        <v>43.0</v>
      </c>
      <c r="B44" s="119">
        <v>46027.0</v>
      </c>
      <c r="C44" s="118" t="s">
        <v>3788</v>
      </c>
      <c r="D44" s="118" t="str">
        <f>IFERROR(__xludf.DUMMYFUNCTION("IFERROR(
  INDEX(
    FILTER(
      'NOMBRE DE PRODUCTOS'!B:B,
      REGEXMATCH(
        UPPER(
          INDEX(
            REPORTE_DROPI!AC:AC,
            MATCH(T44, REPORTE_DROPI!B:B, 0)
          )
        ),
        UPPER('NOMBRE DE PRODUCTOS'!A:A)
"&amp;"      )
    ),
    1
  ),
  ""REVISAR""
)
"),"Llave Multifuncional 360™")</f>
        <v>Llave Multifuncional 360™</v>
      </c>
      <c r="E44" s="120" t="str">
        <f t="array" ref="E44">IF(
UPPER(TRIM(CLEAN($O44)))="ENTREGADO",
IFERROR(
INDEX(REPORTE_DROPI!Y:Y,
MATCH($T44, REPORTE_DROPI!B:B, 0)
),
""
),
""
)
</f>
        <v/>
      </c>
      <c r="F44" s="121">
        <v>2.0</v>
      </c>
      <c r="G44" s="122" t="str">
        <f t="array" ref="G44">IF(
UPPER(TRIM(CLEAN($O44)))="ENTREGADO",
IFERROR(
INDEX(REPORTE_DROPI!R:R,
MATCH($T44, REPORTE_DROPI!B:B, 0)
),
""
),
""
)
</f>
        <v/>
      </c>
      <c r="H44" s="118" t="s">
        <v>3727</v>
      </c>
      <c r="I44" s="118" t="s">
        <v>3789</v>
      </c>
      <c r="J44" s="121" t="str">
        <f t="array" ref="J44">IF(
UPPER(TRIM(CLEAN($O44)))="ENTREGADO",
IFERROR(
INDEX(REPORTE_DROPI!T:T,
MATCH($T44, REPORTE_DROPI!B:B, 0)
),
""
),
""
)
</f>
        <v/>
      </c>
      <c r="K44" s="118" t="str">
        <f t="array" ref="K44">IFERROR(
INDEX(REPORTE_DROPI!S:S,
MATCH($T44, REPORTE_DROPI!B:B, 0)
),
""
)
</f>
        <v/>
      </c>
      <c r="L44" s="118">
        <f>IF(
  O44&lt;&gt;"DEVOLUCION",
  "",
  IF(
    T44="",
    "",
    SUMIF(DEVOLUCION!F:F, T44, DEVOLUCION!D:D)
  )
)
</f>
        <v>5.09</v>
      </c>
      <c r="M44" s="123" t="s">
        <v>3729</v>
      </c>
      <c r="N44" s="118">
        <v>4674.0</v>
      </c>
      <c r="O44" s="118" t="str">
        <f t="array" ref="O44">IFERROR(
VLOOKUP(
TRIM(CLEAN(
INDEX(REPORTE_DROPI!K:K,
MATCH(T44, REPORTE_DROPI!B:B, 0)
))),
{
TRIM(CLEAN(MAPA_ESTADOS!A:A)) ,
MAPA_ESTADOS!B:B
},
2,
FALSE
),
"REVISAR"
)
</f>
        <v>DEVOLUCION</v>
      </c>
      <c r="P44" s="118" t="s">
        <v>3790</v>
      </c>
      <c r="Q44" s="122">
        <f t="shared" si="1"/>
        <v>0</v>
      </c>
      <c r="R44" s="118" t="s">
        <v>3675</v>
      </c>
      <c r="S44" s="118">
        <v>2.0</v>
      </c>
      <c r="T44" s="118">
        <f t="array" ref="T44">IFERROR(
INDEX(REPORTE_DROPI!B:B,
MATCH(
CLEAN(TRIM(C44)),
CLEAN(TRIM(REPORTE_DROPI!E:E)),
0
)
),
""
)
</f>
        <v>4075065</v>
      </c>
      <c r="U44" s="118"/>
      <c r="V44" s="78"/>
      <c r="W44" s="78"/>
      <c r="X44" s="78"/>
      <c r="Y44" s="78"/>
      <c r="Z44" s="78"/>
    </row>
    <row r="45" ht="22.5" customHeight="1">
      <c r="A45" s="118">
        <v>44.0</v>
      </c>
      <c r="B45" s="119">
        <v>46027.0</v>
      </c>
      <c r="C45" s="118" t="s">
        <v>3791</v>
      </c>
      <c r="D45" s="118" t="str">
        <f>IFERROR(__xludf.DUMMYFUNCTION("IFERROR(
  INDEX(
    FILTER(
      'NOMBRE DE PRODUCTOS'!B:B,
      REGEXMATCH(
        UPPER(
          INDEX(
            REPORTE_DROPI!AC:AC,
            MATCH(T45, REPORTE_DROPI!B:B, 0)
          )
        ),
        UPPER('NOMBRE DE PRODUCTOS'!A:A)
"&amp;"      )
    ),
    1
  ),
  ""REVISAR""
)
"),"Llave Multifuncional 360™")</f>
        <v>Llave Multifuncional 360™</v>
      </c>
      <c r="E45" s="120">
        <f t="array" ref="E45">IF(
UPPER(TRIM(CLEAN($O45)))="ENTREGADO",
IFERROR(
INDEX(REPORTE_DROPI!Y:Y,
MATCH($T45, REPORTE_DROPI!B:B, 0)
),
""
),
""
)
</f>
        <v>10</v>
      </c>
      <c r="F45" s="121">
        <v>2.0</v>
      </c>
      <c r="G45" s="122">
        <f t="array" ref="G45">IF(
UPPER(TRIM(CLEAN($O45)))="ENTREGADO",
IFERROR(
INDEX(REPORTE_DROPI!R:R,
MATCH($T45, REPORTE_DROPI!B:B, 0)
),
""
),
""
)
</f>
        <v>25</v>
      </c>
      <c r="H45" s="118" t="s">
        <v>3727</v>
      </c>
      <c r="I45" s="118" t="s">
        <v>3731</v>
      </c>
      <c r="J45" s="121">
        <f t="array" ref="J45">IF(
UPPER(TRIM(CLEAN($O45)))="ENTREGADO",
IFERROR(
INDEX(REPORTE_DROPI!T:T,
MATCH($T45, REPORTE_DROPI!B:B, 0)
),
""
),
""
)
</f>
        <v>4.92</v>
      </c>
      <c r="K45" s="118">
        <f t="array" ref="K45">IFERROR(
INDEX(REPORTE_DROPI!S:S,
MATCH($T45, REPORTE_DROPI!B:B, 0)
),
""
)
</f>
        <v>10.08</v>
      </c>
      <c r="L45" s="118" t="str">
        <f>IF(
  O45&lt;&gt;"DEVOLUCION",
  "",
  IF(
    T45="",
    "",
    SUMIF(DEVOLUCION!F:F, T45, DEVOLUCION!D:D)
  )
)
</f>
        <v/>
      </c>
      <c r="M45" s="123" t="s">
        <v>3729</v>
      </c>
      <c r="N45" s="118">
        <v>4675.0</v>
      </c>
      <c r="O45" s="118" t="str">
        <f t="array" ref="O45">IFERROR(
VLOOKUP(
TRIM(CLEAN(
INDEX(REPORTE_DROPI!K:K,
MATCH(T45, REPORTE_DROPI!B:B, 0)
))),
{
TRIM(CLEAN(MAPA_ESTADOS!A:A)) ,
MAPA_ESTADOS!B:B
},
2,
FALSE
),
"REVISAR"
)
</f>
        <v>ENTREGADO</v>
      </c>
      <c r="P45" s="118"/>
      <c r="Q45" s="122">
        <f t="shared" si="1"/>
        <v>0</v>
      </c>
      <c r="R45" s="118"/>
      <c r="S45" s="118"/>
      <c r="T45" s="118">
        <f t="array" ref="T45">IFERROR(
INDEX(REPORTE_DROPI!B:B,
MATCH(
CLEAN(TRIM(C45)),
CLEAN(TRIM(REPORTE_DROPI!E:E)),
0
)
),
""
)
</f>
        <v>4061797</v>
      </c>
      <c r="U45" s="118"/>
      <c r="V45" s="78"/>
      <c r="W45" s="78"/>
      <c r="X45" s="78"/>
      <c r="Y45" s="78"/>
      <c r="Z45" s="78"/>
    </row>
    <row r="46" ht="22.5" customHeight="1">
      <c r="A46" s="118">
        <v>45.0</v>
      </c>
      <c r="B46" s="119">
        <v>46027.0</v>
      </c>
      <c r="C46" s="118" t="s">
        <v>3792</v>
      </c>
      <c r="D46" s="118" t="str">
        <f>IFERROR(__xludf.DUMMYFUNCTION("IFERROR(
  INDEX(
    FILTER(
      'NOMBRE DE PRODUCTOS'!B:B,
      REGEXMATCH(
        UPPER(
          INDEX(
            REPORTE_DROPI!AC:AC,
            MATCH(T46, REPORTE_DROPI!B:B, 0)
          )
        ),
        UPPER('NOMBRE DE PRODUCTOS'!A:A)
"&amp;"      )
    ),
    1
  ),
  ""REVISAR""
)
"),"Llave Multifuncional 360™")</f>
        <v>Llave Multifuncional 360™</v>
      </c>
      <c r="E46" s="120">
        <f t="array" ref="E46">IF(
UPPER(TRIM(CLEAN($O46)))="ENTREGADO",
IFERROR(
INDEX(REPORTE_DROPI!Y:Y,
MATCH($T46, REPORTE_DROPI!B:B, 0)
),
""
),
""
)
</f>
        <v>5</v>
      </c>
      <c r="F46" s="121">
        <v>1.0</v>
      </c>
      <c r="G46" s="122">
        <f t="array" ref="G46">IF(
UPPER(TRIM(CLEAN($O46)))="ENTREGADO",
IFERROR(
INDEX(REPORTE_DROPI!R:R,
MATCH($T46, REPORTE_DROPI!B:B, 0)
),
""
),
""
)
</f>
        <v>20</v>
      </c>
      <c r="H46" s="118" t="s">
        <v>3727</v>
      </c>
      <c r="I46" s="118" t="s">
        <v>3731</v>
      </c>
      <c r="J46" s="121">
        <f t="array" ref="J46">IF(
UPPER(TRIM(CLEAN($O46)))="ENTREGADO",
IFERROR(
INDEX(REPORTE_DROPI!T:T,
MATCH($T46, REPORTE_DROPI!B:B, 0)
),
""
),
""
)
</f>
        <v>4.15</v>
      </c>
      <c r="K46" s="118">
        <f t="array" ref="K46">IFERROR(
INDEX(REPORTE_DROPI!S:S,
MATCH($T46, REPORTE_DROPI!B:B, 0)
),
""
)
</f>
        <v>10.85</v>
      </c>
      <c r="L46" s="118" t="str">
        <f>IF(
  O46&lt;&gt;"DEVOLUCION",
  "",
  IF(
    T46="",
    "",
    SUMIF(DEVOLUCION!F:F, T46, DEVOLUCION!D:D)
  )
)
</f>
        <v/>
      </c>
      <c r="M46" s="123" t="s">
        <v>3729</v>
      </c>
      <c r="N46" s="118">
        <v>4676.0</v>
      </c>
      <c r="O46" s="118" t="str">
        <f t="array" ref="O46">IFERROR(
VLOOKUP(
TRIM(CLEAN(
INDEX(REPORTE_DROPI!K:K,
MATCH(T46, REPORTE_DROPI!B:B, 0)
))),
{
TRIM(CLEAN(MAPA_ESTADOS!A:A)) ,
MAPA_ESTADOS!B:B
},
2,
FALSE
),
"REVISAR"
)
</f>
        <v>ENTREGADO</v>
      </c>
      <c r="P46" s="118"/>
      <c r="Q46" s="122">
        <f t="shared" si="1"/>
        <v>0</v>
      </c>
      <c r="R46" s="118"/>
      <c r="S46" s="118"/>
      <c r="T46" s="118">
        <f t="array" ref="T46">IFERROR(
INDEX(REPORTE_DROPI!B:B,
MATCH(
CLEAN(TRIM(C46)),
CLEAN(TRIM(REPORTE_DROPI!E:E)),
0
)
),
""
)
</f>
        <v>4061881</v>
      </c>
      <c r="U46" s="118"/>
      <c r="V46" s="78"/>
      <c r="W46" s="78"/>
      <c r="X46" s="78"/>
      <c r="Y46" s="78"/>
      <c r="Z46" s="78"/>
    </row>
    <row r="47" ht="22.5" customHeight="1">
      <c r="A47" s="118">
        <v>46.0</v>
      </c>
      <c r="B47" s="119">
        <v>46027.0</v>
      </c>
      <c r="C47" s="126" t="s">
        <v>3793</v>
      </c>
      <c r="D47" s="118" t="s">
        <v>184</v>
      </c>
      <c r="E47" s="120" t="str">
        <f t="array" ref="E47">IF(
UPPER(TRIM(CLEAN($O47)))="ENTREGADO",
IFERROR(
INDEX(REPORTE_DROPI!Y:Y,
MATCH($T47, REPORTE_DROPI!B:B, 0)
),
""
),
""
)
</f>
        <v/>
      </c>
      <c r="F47" s="121">
        <v>1.0</v>
      </c>
      <c r="G47" s="122" t="str">
        <f t="array" ref="G47">IF(
UPPER(TRIM(CLEAN($O47)))="ENTREGADO",
IFERROR(
INDEX(REPORTE_DROPI!R:R,
MATCH($T47, REPORTE_DROPI!B:B, 0)
),
""
),
""
)
</f>
        <v/>
      </c>
      <c r="H47" s="118" t="s">
        <v>3727</v>
      </c>
      <c r="I47" s="118" t="s">
        <v>3740</v>
      </c>
      <c r="J47" s="121" t="str">
        <f t="array" ref="J47">IF(
UPPER(TRIM(CLEAN($O47)))="ENTREGADO",
IFERROR(
INDEX(REPORTE_DROPI!T:T,
MATCH($T47, REPORTE_DROPI!B:B, 0)
),
""
),
""
)
</f>
        <v/>
      </c>
      <c r="K47" s="118" t="str">
        <f t="array" ref="K47">IFERROR(
INDEX(REPORTE_DROPI!S:S,
MATCH($T47, REPORTE_DROPI!B:B, 0)
),
""
)
</f>
        <v/>
      </c>
      <c r="L47" s="118" t="str">
        <f>IF(
  O47&lt;&gt;"DEVOLUCION",
  "",
  IF(
    T47="",
    "",
    SUMIF(DEVOLUCION!F:F, T47, DEVOLUCION!D:D)
  )
)
</f>
        <v/>
      </c>
      <c r="M47" s="123" t="s">
        <v>3729</v>
      </c>
      <c r="N47" s="118">
        <v>4677.0</v>
      </c>
      <c r="O47" s="118" t="str">
        <f t="array" ref="O47">IFERROR(
VLOOKUP(
TRIM(CLEAN(
INDEX(REPORTE_DROPI!K:K,
MATCH(T47, REPORTE_DROPI!B:B, 0)
))),
{
TRIM(CLEAN(MAPA_ESTADOS!A:A)) ,
MAPA_ESTADOS!B:B
},
2,
FALSE
),
"REVISAR"
)
</f>
        <v>REVISAR</v>
      </c>
      <c r="P47" s="118" t="s">
        <v>3794</v>
      </c>
      <c r="Q47" s="122">
        <f t="shared" si="1"/>
        <v>0</v>
      </c>
      <c r="R47" s="118"/>
      <c r="S47" s="118"/>
      <c r="T47" s="118" t="str">
        <f t="array" ref="T47">IFERROR(
INDEX(REPORTE_DROPI!B:B,
MATCH(
CLEAN(TRIM(C47)),
CLEAN(TRIM(REPORTE_DROPI!E:E)),
0
)
),
""
)
</f>
        <v/>
      </c>
      <c r="U47" s="118"/>
      <c r="V47" s="78"/>
      <c r="W47" s="78"/>
      <c r="X47" s="78"/>
      <c r="Y47" s="78"/>
      <c r="Z47" s="78"/>
    </row>
    <row r="48" ht="22.5" customHeight="1">
      <c r="A48" s="118">
        <v>47.0</v>
      </c>
      <c r="B48" s="119">
        <v>46027.0</v>
      </c>
      <c r="C48" s="118" t="s">
        <v>3795</v>
      </c>
      <c r="D48" s="118" t="str">
        <f>IFERROR(__xludf.DUMMYFUNCTION("IFERROR(
  INDEX(
    FILTER(
      'NOMBRE DE PRODUCTOS'!B:B,
      REGEXMATCH(
        UPPER(
          INDEX(
            REPORTE_DROPI!AC:AC,
            MATCH(T48, REPORTE_DROPI!B:B, 0)
          )
        ),
        UPPER('NOMBRE DE PRODUCTOS'!A:A)
"&amp;"      )
    ),
    1
  ),
  ""REVISAR""
)
"),"Llave Multifuncional 360™")</f>
        <v>Llave Multifuncional 360™</v>
      </c>
      <c r="E48" s="120" t="str">
        <f t="array" ref="E48">IF(
UPPER(TRIM(CLEAN($O48)))="ENTREGADO",
IFERROR(
INDEX(REPORTE_DROPI!Y:Y,
MATCH($T48, REPORTE_DROPI!B:B, 0)
),
""
),
""
)
</f>
        <v/>
      </c>
      <c r="F48" s="121">
        <v>1.0</v>
      </c>
      <c r="G48" s="122" t="str">
        <f t="array" ref="G48">IF(
UPPER(TRIM(CLEAN($O48)))="ENTREGADO",
IFERROR(
INDEX(REPORTE_DROPI!R:R,
MATCH($T48, REPORTE_DROPI!B:B, 0)
),
""
),
""
)
</f>
        <v/>
      </c>
      <c r="H48" s="118" t="s">
        <v>3727</v>
      </c>
      <c r="I48" s="118" t="s">
        <v>3731</v>
      </c>
      <c r="J48" s="121" t="str">
        <f t="array" ref="J48">IF(
UPPER(TRIM(CLEAN($O48)))="ENTREGADO",
IFERROR(
INDEX(REPORTE_DROPI!T:T,
MATCH($T48, REPORTE_DROPI!B:B, 0)
),
""
),
""
)
</f>
        <v/>
      </c>
      <c r="K48" s="118" t="str">
        <f t="array" ref="K48">IFERROR(
INDEX(REPORTE_DROPI!S:S,
MATCH($T48, REPORTE_DROPI!B:B, 0)
),
""
)
</f>
        <v/>
      </c>
      <c r="L48" s="118">
        <f>IF(
  O48&lt;&gt;"DEVOLUCION",
  "",
  IF(
    T48="",
    "",
    SUMIF(DEVOLUCION!F:F, T48, DEVOLUCION!D:D)
  )
)
</f>
        <v>3.46</v>
      </c>
      <c r="M48" s="123" t="s">
        <v>3729</v>
      </c>
      <c r="N48" s="118">
        <v>4678.0</v>
      </c>
      <c r="O48" s="118" t="str">
        <f t="array" ref="O48">IFERROR(
VLOOKUP(
TRIM(CLEAN(
INDEX(REPORTE_DROPI!K:K,
MATCH(T48, REPORTE_DROPI!B:B, 0)
))),
{
TRIM(CLEAN(MAPA_ESTADOS!A:A)) ,
MAPA_ESTADOS!B:B
},
2,
FALSE
),
"REVISAR"
)
</f>
        <v>DEVOLUCION</v>
      </c>
      <c r="P48" s="118"/>
      <c r="Q48" s="122">
        <f t="shared" si="1"/>
        <v>0</v>
      </c>
      <c r="R48" s="118"/>
      <c r="S48" s="118"/>
      <c r="T48" s="118">
        <f t="array" ref="T48">IFERROR(
INDEX(REPORTE_DROPI!B:B,
MATCH(
CLEAN(TRIM(C48)),
CLEAN(TRIM(REPORTE_DROPI!E:E)),
0
)
),
""
)
</f>
        <v>4058578</v>
      </c>
      <c r="U48" s="118"/>
      <c r="V48" s="78"/>
      <c r="W48" s="78"/>
      <c r="X48" s="78"/>
      <c r="Y48" s="78"/>
      <c r="Z48" s="78"/>
    </row>
    <row r="49" ht="22.5" customHeight="1">
      <c r="A49" s="118">
        <v>48.0</v>
      </c>
      <c r="B49" s="119">
        <v>46027.0</v>
      </c>
      <c r="C49" s="118" t="s">
        <v>3796</v>
      </c>
      <c r="D49" s="118" t="str">
        <f>IFERROR(__xludf.DUMMYFUNCTION("IFERROR(
  INDEX(
    FILTER(
      'NOMBRE DE PRODUCTOS'!B:B,
      REGEXMATCH(
        UPPER(
          INDEX(
            REPORTE_DROPI!AC:AC,
            MATCH(T49, REPORTE_DROPI!B:B, 0)
          )
        ),
        UPPER('NOMBRE DE PRODUCTOS'!A:A)
"&amp;"      )
    ),
    1
  ),
  ""REVISAR""
)
"),"Llave Multifuncional 360™")</f>
        <v>Llave Multifuncional 360™</v>
      </c>
      <c r="E49" s="120" t="str">
        <f t="array" ref="E49">IF(
UPPER(TRIM(CLEAN($O49)))="ENTREGADO",
IFERROR(
INDEX(REPORTE_DROPI!Y:Y,
MATCH($T49, REPORTE_DROPI!B:B, 0)
),
""
),
""
)
</f>
        <v/>
      </c>
      <c r="F49" s="121">
        <v>1.0</v>
      </c>
      <c r="G49" s="122" t="str">
        <f t="array" ref="G49">IF(
UPPER(TRIM(CLEAN($O49)))="ENTREGADO",
IFERROR(
INDEX(REPORTE_DROPI!R:R,
MATCH($T49, REPORTE_DROPI!B:B, 0)
),
""
),
""
)
</f>
        <v/>
      </c>
      <c r="H49" s="118" t="s">
        <v>3727</v>
      </c>
      <c r="I49" s="118" t="s">
        <v>3733</v>
      </c>
      <c r="J49" s="121" t="str">
        <f t="array" ref="J49">IF(
UPPER(TRIM(CLEAN($O49)))="ENTREGADO",
IFERROR(
INDEX(REPORTE_DROPI!T:T,
MATCH($T49, REPORTE_DROPI!B:B, 0)
),
""
),
""
)
</f>
        <v/>
      </c>
      <c r="K49" s="118" t="str">
        <f t="array" ref="K49">IFERROR(
INDEX(REPORTE_DROPI!S:S,
MATCH($T49, REPORTE_DROPI!B:B, 0)
),
""
)
</f>
        <v/>
      </c>
      <c r="L49" s="118">
        <f>IF(
  O49&lt;&gt;"DEVOLUCION",
  "",
  IF(
    T49="",
    "",
    SUMIF(DEVOLUCION!F:F, T49, DEVOLUCION!D:D)
  )
)
</f>
        <v>7.67</v>
      </c>
      <c r="M49" s="123" t="s">
        <v>3729</v>
      </c>
      <c r="N49" s="118">
        <v>4679.0</v>
      </c>
      <c r="O49" s="118" t="str">
        <f t="array" ref="O49">IFERROR(
VLOOKUP(
TRIM(CLEAN(
INDEX(REPORTE_DROPI!K:K,
MATCH(T49, REPORTE_DROPI!B:B, 0)
))),
{
TRIM(CLEAN(MAPA_ESTADOS!A:A)) ,
MAPA_ESTADOS!B:B
},
2,
FALSE
),
"REVISAR"
)
</f>
        <v>DEVOLUCION</v>
      </c>
      <c r="P49" s="118"/>
      <c r="Q49" s="122">
        <f t="shared" si="1"/>
        <v>0</v>
      </c>
      <c r="R49" s="118" t="s">
        <v>3675</v>
      </c>
      <c r="S49" s="118">
        <v>1.0</v>
      </c>
      <c r="T49" s="118">
        <f t="array" ref="T49">IFERROR(
INDEX(REPORTE_DROPI!B:B,
MATCH(
CLEAN(TRIM(C49)),
CLEAN(TRIM(REPORTE_DROPI!E:E)),
0
)
),
""
)
</f>
        <v>4075153</v>
      </c>
      <c r="U49" s="118"/>
      <c r="V49" s="78"/>
      <c r="W49" s="78"/>
      <c r="X49" s="78"/>
      <c r="Y49" s="78"/>
      <c r="Z49" s="78"/>
    </row>
    <row r="50" ht="22.5" customHeight="1">
      <c r="A50" s="118">
        <v>49.0</v>
      </c>
      <c r="B50" s="119">
        <v>46027.0</v>
      </c>
      <c r="C50" s="126" t="s">
        <v>3797</v>
      </c>
      <c r="D50" s="118" t="s">
        <v>184</v>
      </c>
      <c r="E50" s="120" t="str">
        <f t="array" ref="E50">IF(
UPPER(TRIM(CLEAN($O50)))="ENTREGADO",
IFERROR(
INDEX(REPORTE_DROPI!Y:Y,
MATCH($T50, REPORTE_DROPI!B:B, 0)
),
""
),
""
)
</f>
        <v/>
      </c>
      <c r="F50" s="121">
        <v>1.0</v>
      </c>
      <c r="G50" s="122" t="str">
        <f t="array" ref="G50">IF(
UPPER(TRIM(CLEAN($O50)))="ENTREGADO",
IFERROR(
INDEX(REPORTE_DROPI!R:R,
MATCH($T50, REPORTE_DROPI!B:B, 0)
),
""
),
""
)
</f>
        <v/>
      </c>
      <c r="H50" s="118" t="s">
        <v>3727</v>
      </c>
      <c r="I50" s="118" t="s">
        <v>3798</v>
      </c>
      <c r="J50" s="121" t="str">
        <f t="array" ref="J50">IF(
UPPER(TRIM(CLEAN($O50)))="ENTREGADO",
IFERROR(
INDEX(REPORTE_DROPI!T:T,
MATCH($T50, REPORTE_DROPI!B:B, 0)
),
""
),
""
)
</f>
        <v/>
      </c>
      <c r="K50" s="118" t="str">
        <f t="array" ref="K50">IFERROR(
INDEX(REPORTE_DROPI!S:S,
MATCH($T50, REPORTE_DROPI!B:B, 0)
),
""
)
</f>
        <v/>
      </c>
      <c r="L50" s="118" t="str">
        <f>IF(
  O50&lt;&gt;"DEVOLUCION",
  "",
  IF(
    T50="",
    "",
    SUMIF(DEVOLUCION!F:F, T50, DEVOLUCION!D:D)
  )
)
</f>
        <v/>
      </c>
      <c r="M50" s="123" t="s">
        <v>3729</v>
      </c>
      <c r="N50" s="118">
        <v>4680.0</v>
      </c>
      <c r="O50" s="118" t="str">
        <f t="array" ref="O50">IFERROR(
VLOOKUP(
TRIM(CLEAN(
INDEX(REPORTE_DROPI!K:K,
MATCH(T50, REPORTE_DROPI!B:B, 0)
))),
{
TRIM(CLEAN(MAPA_ESTADOS!A:A)) ,
MAPA_ESTADOS!B:B
},
2,
FALSE
),
"REVISAR"
)
</f>
        <v>REVISAR</v>
      </c>
      <c r="P50" s="118" t="s">
        <v>3799</v>
      </c>
      <c r="Q50" s="122">
        <f t="shared" si="1"/>
        <v>0</v>
      </c>
      <c r="R50" s="118"/>
      <c r="S50" s="118"/>
      <c r="T50" s="118" t="str">
        <f t="array" ref="T50">IFERROR(
INDEX(REPORTE_DROPI!B:B,
MATCH(
CLEAN(TRIM(C50)),
CLEAN(TRIM(REPORTE_DROPI!E:E)),
0
)
),
""
)
</f>
        <v/>
      </c>
      <c r="U50" s="118"/>
      <c r="V50" s="78"/>
      <c r="W50" s="78"/>
      <c r="X50" s="78"/>
      <c r="Y50" s="78"/>
      <c r="Z50" s="78"/>
    </row>
    <row r="51" ht="22.5" customHeight="1">
      <c r="A51" s="118">
        <v>50.0</v>
      </c>
      <c r="B51" s="119">
        <v>46027.0</v>
      </c>
      <c r="C51" s="118" t="s">
        <v>3800</v>
      </c>
      <c r="D51" s="118" t="str">
        <f>IFERROR(__xludf.DUMMYFUNCTION("IFERROR(
  INDEX(
    FILTER(
      'NOMBRE DE PRODUCTOS'!B:B,
      REGEXMATCH(
        UPPER(
          INDEX(
            REPORTE_DROPI!AC:AC,
            MATCH(T51, REPORTE_DROPI!B:B, 0)
          )
        ),
        UPPER('NOMBRE DE PRODUCTOS'!A:A)
"&amp;"      )
    ),
    1
  ),
  ""REVISAR""
)
"),"Llave Multifuncional 360™")</f>
        <v>Llave Multifuncional 360™</v>
      </c>
      <c r="E51" s="120">
        <f t="array" ref="E51">IF(
UPPER(TRIM(CLEAN($O51)))="ENTREGADO",
IFERROR(
INDEX(REPORTE_DROPI!Y:Y,
MATCH($T51, REPORTE_DROPI!B:B, 0)
),
""
),
""
)
</f>
        <v>5</v>
      </c>
      <c r="F51" s="121">
        <v>1.0</v>
      </c>
      <c r="G51" s="122">
        <f t="array" ref="G51">IF(
UPPER(TRIM(CLEAN($O51)))="ENTREGADO",
IFERROR(
INDEX(REPORTE_DROPI!R:R,
MATCH($T51, REPORTE_DROPI!B:B, 0)
),
""
),
""
)
</f>
        <v>20</v>
      </c>
      <c r="H51" s="118" t="s">
        <v>3727</v>
      </c>
      <c r="I51" s="118" t="s">
        <v>3801</v>
      </c>
      <c r="J51" s="121">
        <f t="array" ref="J51">IF(
UPPER(TRIM(CLEAN($O51)))="ENTREGADO",
IFERROR(
INDEX(REPORTE_DROPI!T:T,
MATCH($T51, REPORTE_DROPI!B:B, 0)
),
""
),
""
)
</f>
        <v>7.67</v>
      </c>
      <c r="K51" s="118">
        <f t="array" ref="K51">IFERROR(
INDEX(REPORTE_DROPI!S:S,
MATCH($T51, REPORTE_DROPI!B:B, 0)
),
""
)
</f>
        <v>7.33</v>
      </c>
      <c r="L51" s="118" t="str">
        <f>IF(
  O51&lt;&gt;"DEVOLUCION",
  "",
  IF(
    T51="",
    "",
    SUMIF(DEVOLUCION!F:F, T51, DEVOLUCION!D:D)
  )
)
</f>
        <v/>
      </c>
      <c r="M51" s="123" t="s">
        <v>3729</v>
      </c>
      <c r="N51" s="118">
        <v>4681.0</v>
      </c>
      <c r="O51" s="118" t="str">
        <f t="array" ref="O51">IFERROR(
VLOOKUP(
TRIM(CLEAN(
INDEX(REPORTE_DROPI!K:K,
MATCH(T51, REPORTE_DROPI!B:B, 0)
))),
{
TRIM(CLEAN(MAPA_ESTADOS!A:A)) ,
MAPA_ESTADOS!B:B
},
2,
FALSE
),
"REVISAR"
)
</f>
        <v>ENTREGADO</v>
      </c>
      <c r="P51" s="118"/>
      <c r="Q51" s="122">
        <f t="shared" si="1"/>
        <v>0</v>
      </c>
      <c r="R51" s="118"/>
      <c r="S51" s="118"/>
      <c r="T51" s="118">
        <f t="array" ref="T51">IFERROR(
INDEX(REPORTE_DROPI!B:B,
MATCH(
CLEAN(TRIM(C51)),
CLEAN(TRIM(REPORTE_DROPI!E:E)),
0
)
),
""
)
</f>
        <v>4075288</v>
      </c>
      <c r="U51" s="118"/>
      <c r="V51" s="78"/>
      <c r="W51" s="78"/>
      <c r="X51" s="78"/>
      <c r="Y51" s="78"/>
      <c r="Z51" s="78"/>
    </row>
    <row r="52" ht="22.5" customHeight="1">
      <c r="A52" s="118">
        <v>51.0</v>
      </c>
      <c r="B52" s="119">
        <v>46027.0</v>
      </c>
      <c r="C52" s="118" t="s">
        <v>3802</v>
      </c>
      <c r="D52" s="118" t="str">
        <f>IFERROR(__xludf.DUMMYFUNCTION("IFERROR(
  INDEX(
    FILTER(
      'NOMBRE DE PRODUCTOS'!B:B,
      REGEXMATCH(
        UPPER(
          INDEX(
            REPORTE_DROPI!AC:AC,
            MATCH(T52, REPORTE_DROPI!B:B, 0)
          )
        ),
        UPPER('NOMBRE DE PRODUCTOS'!A:A)
"&amp;"      )
    ),
    1
  ),
  ""REVISAR""
)
"),"Llave Multifuncional 360™")</f>
        <v>Llave Multifuncional 360™</v>
      </c>
      <c r="E52" s="120" t="str">
        <f t="array" ref="E52">IF(
UPPER(TRIM(CLEAN($O52)))="ENTREGADO",
IFERROR(
INDEX(REPORTE_DROPI!Y:Y,
MATCH($T52, REPORTE_DROPI!B:B, 0)
),
""
),
""
)
</f>
        <v/>
      </c>
      <c r="F52" s="121">
        <v>1.0</v>
      </c>
      <c r="G52" s="122" t="str">
        <f t="array" ref="G52">IF(
UPPER(TRIM(CLEAN($O52)))="ENTREGADO",
IFERROR(
INDEX(REPORTE_DROPI!R:R,
MATCH($T52, REPORTE_DROPI!B:B, 0)
),
""
),
""
)
</f>
        <v/>
      </c>
      <c r="H52" s="118" t="s">
        <v>3727</v>
      </c>
      <c r="I52" s="118" t="s">
        <v>3728</v>
      </c>
      <c r="J52" s="121" t="str">
        <f t="array" ref="J52">IF(
UPPER(TRIM(CLEAN($O52)))="ENTREGADO",
IFERROR(
INDEX(REPORTE_DROPI!T:T,
MATCH($T52, REPORTE_DROPI!B:B, 0)
),
""
),
""
)
</f>
        <v/>
      </c>
      <c r="K52" s="118" t="str">
        <f t="array" ref="K52">IFERROR(
INDEX(REPORTE_DROPI!S:S,
MATCH($T52, REPORTE_DROPI!B:B, 0)
),
""
)
</f>
        <v/>
      </c>
      <c r="L52" s="118">
        <f>IF(
  O52&lt;&gt;"DEVOLUCION",
  "",
  IF(
    T52="",
    "",
    SUMIF(DEVOLUCION!F:F, T52, DEVOLUCION!D:D)
  )
)
</f>
        <v>5.06</v>
      </c>
      <c r="M52" s="123" t="s">
        <v>3729</v>
      </c>
      <c r="N52" s="118">
        <v>4682.0</v>
      </c>
      <c r="O52" s="118" t="str">
        <f t="array" ref="O52">IFERROR(
VLOOKUP(
TRIM(CLEAN(
INDEX(REPORTE_DROPI!K:K,
MATCH(T52, REPORTE_DROPI!B:B, 0)
))),
{
TRIM(CLEAN(MAPA_ESTADOS!A:A)) ,
MAPA_ESTADOS!B:B
},
2,
FALSE
),
"REVISAR"
)
</f>
        <v>DEVOLUCION</v>
      </c>
      <c r="P52" s="118"/>
      <c r="Q52" s="122">
        <f t="shared" si="1"/>
        <v>0</v>
      </c>
      <c r="R52" s="118" t="s">
        <v>3675</v>
      </c>
      <c r="S52" s="118">
        <v>1.0</v>
      </c>
      <c r="T52" s="118">
        <f t="array" ref="T52">IFERROR(
INDEX(REPORTE_DROPI!B:B,
MATCH(
CLEAN(TRIM(C52)),
CLEAN(TRIM(REPORTE_DROPI!E:E)),
0
)
),
""
)
</f>
        <v>4075411</v>
      </c>
      <c r="U52" s="118"/>
      <c r="V52" s="78"/>
      <c r="W52" s="78"/>
      <c r="X52" s="78"/>
      <c r="Y52" s="78"/>
      <c r="Z52" s="78"/>
    </row>
    <row r="53" ht="22.5" customHeight="1">
      <c r="A53" s="118">
        <v>52.0</v>
      </c>
      <c r="B53" s="119">
        <v>46027.0</v>
      </c>
      <c r="C53" s="118" t="s">
        <v>3803</v>
      </c>
      <c r="D53" s="118" t="str">
        <f>IFERROR(__xludf.DUMMYFUNCTION("IFERROR(
  INDEX(
    FILTER(
      'NOMBRE DE PRODUCTOS'!B:B,
      REGEXMATCH(
        UPPER(
          INDEX(
            REPORTE_DROPI!AC:AC,
            MATCH(T53, REPORTE_DROPI!B:B, 0)
          )
        ),
        UPPER('NOMBRE DE PRODUCTOS'!A:A)
"&amp;"      )
    ),
    1
  ),
  ""REVISAR""
)
"),"Llave Multifuncional 360™")</f>
        <v>Llave Multifuncional 360™</v>
      </c>
      <c r="E53" s="120" t="str">
        <f t="array" ref="E53">IF(
UPPER(TRIM(CLEAN($O53)))="ENTREGADO",
IFERROR(
INDEX(REPORTE_DROPI!Y:Y,
MATCH($T53, REPORTE_DROPI!B:B, 0)
),
""
),
""
)
</f>
        <v/>
      </c>
      <c r="F53" s="121">
        <v>2.0</v>
      </c>
      <c r="G53" s="122" t="str">
        <f t="array" ref="G53">IF(
UPPER(TRIM(CLEAN($O53)))="ENTREGADO",
IFERROR(
INDEX(REPORTE_DROPI!R:R,
MATCH($T53, REPORTE_DROPI!B:B, 0)
),
""
),
""
)
</f>
        <v/>
      </c>
      <c r="H53" s="118" t="s">
        <v>3727</v>
      </c>
      <c r="I53" s="118" t="s">
        <v>3804</v>
      </c>
      <c r="J53" s="121" t="str">
        <f t="array" ref="J53">IF(
UPPER(TRIM(CLEAN($O53)))="ENTREGADO",
IFERROR(
INDEX(REPORTE_DROPI!T:T,
MATCH($T53, REPORTE_DROPI!B:B, 0)
),
""
),
""
)
</f>
        <v/>
      </c>
      <c r="K53" s="118" t="str">
        <f t="array" ref="K53">IFERROR(
INDEX(REPORTE_DROPI!S:S,
MATCH($T53, REPORTE_DROPI!B:B, 0)
),
""
)
</f>
        <v/>
      </c>
      <c r="L53" s="118">
        <f>IF(
  O53&lt;&gt;"DEVOLUCION",
  "",
  IF(
    T53="",
    "",
    SUMIF(DEVOLUCION!F:F, T53, DEVOLUCION!D:D)
  )
)
</f>
        <v>5.09</v>
      </c>
      <c r="M53" s="123" t="s">
        <v>3729</v>
      </c>
      <c r="N53" s="118">
        <v>4683.0</v>
      </c>
      <c r="O53" s="118" t="str">
        <f t="array" ref="O53">IFERROR(
VLOOKUP(
TRIM(CLEAN(
INDEX(REPORTE_DROPI!K:K,
MATCH(T53, REPORTE_DROPI!B:B, 0)
))),
{
TRIM(CLEAN(MAPA_ESTADOS!A:A)) ,
MAPA_ESTADOS!B:B
},
2,
FALSE
),
"REVISAR"
)
</f>
        <v>DEVOLUCION</v>
      </c>
      <c r="P53" s="118" t="s">
        <v>3805</v>
      </c>
      <c r="Q53" s="122">
        <f t="shared" si="1"/>
        <v>0</v>
      </c>
      <c r="R53" s="118"/>
      <c r="S53" s="118"/>
      <c r="T53" s="118">
        <f t="array" ref="T53">IFERROR(
INDEX(REPORTE_DROPI!B:B,
MATCH(
CLEAN(TRIM(C53)),
CLEAN(TRIM(REPORTE_DROPI!E:E)),
0
)
),
""
)
</f>
        <v>4075460</v>
      </c>
      <c r="U53" s="118"/>
      <c r="V53" s="78"/>
      <c r="W53" s="78"/>
      <c r="X53" s="78"/>
      <c r="Y53" s="78"/>
      <c r="Z53" s="78"/>
    </row>
    <row r="54" ht="22.5" customHeight="1">
      <c r="A54" s="118">
        <v>53.0</v>
      </c>
      <c r="B54" s="119">
        <v>46028.0</v>
      </c>
      <c r="C54" s="118" t="s">
        <v>3806</v>
      </c>
      <c r="D54" s="118" t="str">
        <f>IFERROR(__xludf.DUMMYFUNCTION("IFERROR(
  INDEX(
    FILTER(
      'NOMBRE DE PRODUCTOS'!B:B,
      REGEXMATCH(
        UPPER(
          INDEX(
            REPORTE_DROPI!AC:AC,
            MATCH(T54, REPORTE_DROPI!B:B, 0)
          )
        ),
        UPPER('NOMBRE DE PRODUCTOS'!A:A)
"&amp;"      )
    ),
    1
  ),
  ""REVISAR""
)
"),"FLORA FRESH PRO™")</f>
        <v>FLORA FRESH PRO™</v>
      </c>
      <c r="E54" s="120" t="str">
        <f t="array" ref="E54">IF(
UPPER(TRIM(CLEAN($O54)))="ENTREGADO",
IFERROR(
INDEX(REPORTE_DROPI!Y:Y,
MATCH($T54, REPORTE_DROPI!B:B, 0)
),
""
),
""
)
</f>
        <v/>
      </c>
      <c r="F54" s="121">
        <v>4.0</v>
      </c>
      <c r="G54" s="122" t="str">
        <f t="array" ref="G54">IF(
UPPER(TRIM(CLEAN($O54)))="ENTREGADO",
IFERROR(
INDEX(REPORTE_DROPI!R:R,
MATCH($T54, REPORTE_DROPI!B:B, 0)
),
""
),
""
)
</f>
        <v/>
      </c>
      <c r="H54" s="118" t="s">
        <v>3727</v>
      </c>
      <c r="I54" s="118" t="s">
        <v>3789</v>
      </c>
      <c r="J54" s="121" t="str">
        <f t="array" ref="J54">IF(
UPPER(TRIM(CLEAN($O54)))="ENTREGADO",
IFERROR(
INDEX(REPORTE_DROPI!T:T,
MATCH($T54, REPORTE_DROPI!B:B, 0)
),
""
),
""
)
</f>
        <v/>
      </c>
      <c r="K54" s="118" t="str">
        <f t="array" ref="K54">IFERROR(
INDEX(REPORTE_DROPI!S:S,
MATCH($T54, REPORTE_DROPI!B:B, 0)
),
""
)
</f>
        <v/>
      </c>
      <c r="L54" s="118">
        <f>IF(
  O54&lt;&gt;"DEVOLUCION",
  "",
  IF(
    T54="",
    "",
    SUMIF(DEVOLUCION!F:F, T54, DEVOLUCION!D:D)
  )
)
</f>
        <v>5.13</v>
      </c>
      <c r="M54" s="123" t="s">
        <v>3729</v>
      </c>
      <c r="N54" s="118">
        <v>4684.0</v>
      </c>
      <c r="O54" s="118" t="str">
        <f t="array" ref="O54">IFERROR(
VLOOKUP(
TRIM(CLEAN(
INDEX(REPORTE_DROPI!K:K,
MATCH(T54, REPORTE_DROPI!B:B, 0)
))),
{
TRIM(CLEAN(MAPA_ESTADOS!A:A)) ,
MAPA_ESTADOS!B:B
},
2,
FALSE
),
"REVISAR"
)
</f>
        <v>DEVOLUCION</v>
      </c>
      <c r="P54" s="118"/>
      <c r="Q54" s="122">
        <f t="shared" si="1"/>
        <v>0</v>
      </c>
      <c r="R54" s="118"/>
      <c r="S54" s="118"/>
      <c r="T54" s="118">
        <f t="array" ref="T54">IFERROR(
INDEX(REPORTE_DROPI!B:B,
MATCH(
CLEAN(TRIM(C54)),
CLEAN(TRIM(REPORTE_DROPI!E:E)),
0
)
),
""
)
</f>
        <v>4037533</v>
      </c>
      <c r="U54" s="118"/>
      <c r="V54" s="78"/>
      <c r="W54" s="78"/>
      <c r="X54" s="78"/>
      <c r="Y54" s="78"/>
      <c r="Z54" s="78"/>
    </row>
    <row r="55" ht="22.5" customHeight="1">
      <c r="A55" s="118">
        <v>54.0</v>
      </c>
      <c r="B55" s="119">
        <v>46028.0</v>
      </c>
      <c r="C55" s="118" t="s">
        <v>3807</v>
      </c>
      <c r="D55" s="118" t="str">
        <f>IFERROR(__xludf.DUMMYFUNCTION("IFERROR(
  INDEX(
    FILTER(
      'NOMBRE DE PRODUCTOS'!B:B,
      REGEXMATCH(
        UPPER(
          INDEX(
            REPORTE_DROPI!AC:AC,
            MATCH(T55, REPORTE_DROPI!B:B, 0)
          )
        ),
        UPPER('NOMBRE DE PRODUCTOS'!A:A)
"&amp;"      )
    ),
    1
  ),
  ""REVISAR""
)
"),"FilmPro®")</f>
        <v>FilmPro®</v>
      </c>
      <c r="E55" s="120">
        <f t="array" ref="E55">IF(
UPPER(TRIM(CLEAN($O55)))="ENTREGADO",
IFERROR(
INDEX(REPORTE_DROPI!Y:Y,
MATCH($T55, REPORTE_DROPI!B:B, 0)
),
""
),
""
)
</f>
        <v>2.79</v>
      </c>
      <c r="F55" s="121">
        <v>1.0</v>
      </c>
      <c r="G55" s="122">
        <f t="array" ref="G55">IF(
UPPER(TRIM(CLEAN($O55)))="ENTREGADO",
IFERROR(
INDEX(REPORTE_DROPI!R:R,
MATCH($T55, REPORTE_DROPI!B:B, 0)
),
""
),
""
)
</f>
        <v>20</v>
      </c>
      <c r="H55" s="118" t="s">
        <v>3727</v>
      </c>
      <c r="I55" s="118" t="s">
        <v>3731</v>
      </c>
      <c r="J55" s="121">
        <f t="array" ref="J55">IF(
UPPER(TRIM(CLEAN($O55)))="ENTREGADO",
IFERROR(
INDEX(REPORTE_DROPI!T:T,
MATCH($T55, REPORTE_DROPI!B:B, 0)
),
""
),
""
)
</f>
        <v>5.76</v>
      </c>
      <c r="K55" s="118">
        <f t="array" ref="K55">IFERROR(
INDEX(REPORTE_DROPI!S:S,
MATCH($T55, REPORTE_DROPI!B:B, 0)
),
""
)
</f>
        <v>11.45</v>
      </c>
      <c r="L55" s="118" t="str">
        <f>IF(
  O55&lt;&gt;"DEVOLUCION",
  "",
  IF(
    T55="",
    "",
    SUMIF(DEVOLUCION!F:F, T55, DEVOLUCION!D:D)
  )
)
</f>
        <v/>
      </c>
      <c r="M55" s="123" t="s">
        <v>3729</v>
      </c>
      <c r="N55" s="118">
        <v>4685.0</v>
      </c>
      <c r="O55" s="118" t="str">
        <f t="array" ref="O55">IFERROR(
VLOOKUP(
TRIM(CLEAN(
INDEX(REPORTE_DROPI!K:K,
MATCH(T55, REPORTE_DROPI!B:B, 0)
))),
{
TRIM(CLEAN(MAPA_ESTADOS!A:A)) ,
MAPA_ESTADOS!B:B
},
2,
FALSE
),
"REVISAR"
)
</f>
        <v>ENTREGADO</v>
      </c>
      <c r="P55" s="118"/>
      <c r="Q55" s="122">
        <f t="shared" si="1"/>
        <v>0</v>
      </c>
      <c r="R55" s="118"/>
      <c r="S55" s="118"/>
      <c r="T55" s="118">
        <f t="array" ref="T55">IFERROR(
INDEX(REPORTE_DROPI!B:B,
MATCH(
CLEAN(TRIM(C55)),
CLEAN(TRIM(REPORTE_DROPI!E:E)),
0
)
),
""
)
</f>
        <v>4038396</v>
      </c>
      <c r="U55" s="118"/>
      <c r="V55" s="78"/>
      <c r="W55" s="78"/>
      <c r="X55" s="78"/>
      <c r="Y55" s="78"/>
      <c r="Z55" s="78"/>
    </row>
    <row r="56" ht="22.5" customHeight="1">
      <c r="A56" s="118">
        <v>55.0</v>
      </c>
      <c r="B56" s="119">
        <v>46028.0</v>
      </c>
      <c r="C56" s="118" t="s">
        <v>3808</v>
      </c>
      <c r="D56" s="118" t="str">
        <f>IFERROR(__xludf.DUMMYFUNCTION("IFERROR(
  INDEX(
    FILTER(
      'NOMBRE DE PRODUCTOS'!B:B,
      REGEXMATCH(
        UPPER(
          INDEX(
            REPORTE_DROPI!AC:AC,
            MATCH(T56, REPORTE_DROPI!B:B, 0)
          )
        ),
        UPPER('NOMBRE DE PRODUCTOS'!A:A)
"&amp;"      )
    ),
    1
  ),
  ""REVISAR""
)
"),"Llave Multifuncional 360™")</f>
        <v>Llave Multifuncional 360™</v>
      </c>
      <c r="E56" s="120">
        <f t="array" ref="E56">IF(
UPPER(TRIM(CLEAN($O56)))="ENTREGADO",
IFERROR(
INDEX(REPORTE_DROPI!Y:Y,
MATCH($T56, REPORTE_DROPI!B:B, 0)
),
""
),
""
)
</f>
        <v>10</v>
      </c>
      <c r="F56" s="121">
        <v>2.0</v>
      </c>
      <c r="G56" s="122">
        <f t="array" ref="G56">IF(
UPPER(TRIM(CLEAN($O56)))="ENTREGADO",
IFERROR(
INDEX(REPORTE_DROPI!R:R,
MATCH($T56, REPORTE_DROPI!B:B, 0)
),
""
),
""
)
</f>
        <v>25</v>
      </c>
      <c r="H56" s="118" t="s">
        <v>3727</v>
      </c>
      <c r="I56" s="118" t="s">
        <v>3809</v>
      </c>
      <c r="J56" s="121">
        <f t="array" ref="J56">IF(
UPPER(TRIM(CLEAN($O56)))="ENTREGADO",
IFERROR(
INDEX(REPORTE_DROPI!T:T,
MATCH($T56, REPORTE_DROPI!B:B, 0)
),
""
),
""
)
</f>
        <v>5.96</v>
      </c>
      <c r="K56" s="118">
        <f t="array" ref="K56">IFERROR(
INDEX(REPORTE_DROPI!S:S,
MATCH($T56, REPORTE_DROPI!B:B, 0)
),
""
)
</f>
        <v>9.04</v>
      </c>
      <c r="L56" s="118" t="str">
        <f>IF(
  O56&lt;&gt;"DEVOLUCION",
  "",
  IF(
    T56="",
    "",
    SUMIF(DEVOLUCION!F:F, T56, DEVOLUCION!D:D)
  )
)
</f>
        <v/>
      </c>
      <c r="M56" s="123" t="s">
        <v>3729</v>
      </c>
      <c r="N56" s="118">
        <v>4686.0</v>
      </c>
      <c r="O56" s="118" t="str">
        <f t="array" ref="O56">IFERROR(
VLOOKUP(
TRIM(CLEAN(
INDEX(REPORTE_DROPI!K:K,
MATCH(T56, REPORTE_DROPI!B:B, 0)
))),
{
TRIM(CLEAN(MAPA_ESTADOS!A:A)) ,
MAPA_ESTADOS!B:B
},
2,
FALSE
),
"REVISAR"
)
</f>
        <v>ENTREGADO</v>
      </c>
      <c r="P56" s="118"/>
      <c r="Q56" s="122">
        <f t="shared" si="1"/>
        <v>0</v>
      </c>
      <c r="R56" s="118"/>
      <c r="S56" s="118"/>
      <c r="T56" s="118">
        <f t="array" ref="T56">IFERROR(
INDEX(REPORTE_DROPI!B:B,
MATCH(
CLEAN(TRIM(C56)),
CLEAN(TRIM(REPORTE_DROPI!E:E)),
0
)
),
""
)
</f>
        <v>4075604</v>
      </c>
      <c r="U56" s="118"/>
      <c r="V56" s="78"/>
      <c r="W56" s="78"/>
      <c r="X56" s="78"/>
      <c r="Y56" s="78"/>
      <c r="Z56" s="78"/>
    </row>
    <row r="57" ht="22.5" customHeight="1">
      <c r="A57" s="118">
        <v>56.0</v>
      </c>
      <c r="B57" s="119">
        <v>46028.0</v>
      </c>
      <c r="C57" s="118" t="s">
        <v>3810</v>
      </c>
      <c r="D57" s="118" t="str">
        <f>IFERROR(__xludf.DUMMYFUNCTION("IFERROR(
  INDEX(
    FILTER(
      'NOMBRE DE PRODUCTOS'!B:B,
      REGEXMATCH(
        UPPER(
          INDEX(
            REPORTE_DROPI!AC:AC,
            MATCH(T57, REPORTE_DROPI!B:B, 0)
          )
        ),
        UPPER('NOMBRE DE PRODUCTOS'!A:A)
"&amp;"      )
    ),
    1
  ),
  ""REVISAR""
)
"),"FilmPro®")</f>
        <v>FilmPro®</v>
      </c>
      <c r="E57" s="120" t="str">
        <f t="array" ref="E57">IF(
UPPER(TRIM(CLEAN($O57)))="ENTREGADO",
IFERROR(
INDEX(REPORTE_DROPI!Y:Y,
MATCH($T57, REPORTE_DROPI!B:B, 0)
),
""
),
""
)
</f>
        <v/>
      </c>
      <c r="F57" s="121">
        <v>2.0</v>
      </c>
      <c r="G57" s="122" t="str">
        <f t="array" ref="G57">IF(
UPPER(TRIM(CLEAN($O57)))="ENTREGADO",
IFERROR(
INDEX(REPORTE_DROPI!R:R,
MATCH($T57, REPORTE_DROPI!B:B, 0)
),
""
),
""
)
</f>
        <v/>
      </c>
      <c r="H57" s="118" t="s">
        <v>3727</v>
      </c>
      <c r="I57" s="118" t="s">
        <v>3740</v>
      </c>
      <c r="J57" s="121" t="str">
        <f t="array" ref="J57">IF(
UPPER(TRIM(CLEAN($O57)))="ENTREGADO",
IFERROR(
INDEX(REPORTE_DROPI!T:T,
MATCH($T57, REPORTE_DROPI!B:B, 0)
),
""
),
""
)
</f>
        <v/>
      </c>
      <c r="K57" s="118" t="str">
        <f t="array" ref="K57">IFERROR(
INDEX(REPORTE_DROPI!S:S,
MATCH($T57, REPORTE_DROPI!B:B, 0)
),
""
)
</f>
        <v/>
      </c>
      <c r="L57" s="118">
        <f>IF(
  O57&lt;&gt;"DEVOLUCION",
  "",
  IF(
    T57="",
    "",
    SUMIF(DEVOLUCION!F:F, T57, DEVOLUCION!D:D)
  )
)
</f>
        <v>3.48</v>
      </c>
      <c r="M57" s="123" t="s">
        <v>3729</v>
      </c>
      <c r="N57" s="118">
        <v>4687.0</v>
      </c>
      <c r="O57" s="118" t="str">
        <f t="array" ref="O57">IFERROR(
VLOOKUP(
TRIM(CLEAN(
INDEX(REPORTE_DROPI!K:K,
MATCH(T57, REPORTE_DROPI!B:B, 0)
))),
{
TRIM(CLEAN(MAPA_ESTADOS!A:A)) ,
MAPA_ESTADOS!B:B
},
2,
FALSE
),
"REVISAR"
)
</f>
        <v>DEVOLUCION</v>
      </c>
      <c r="P57" s="118"/>
      <c r="Q57" s="122">
        <f t="shared" si="1"/>
        <v>0</v>
      </c>
      <c r="R57" s="118"/>
      <c r="S57" s="118"/>
      <c r="T57" s="118">
        <f t="array" ref="T57">IFERROR(
INDEX(REPORTE_DROPI!B:B,
MATCH(
CLEAN(TRIM(C57)),
CLEAN(TRIM(REPORTE_DROPI!E:E)),
0
)
),
""
)
</f>
        <v>4038499</v>
      </c>
      <c r="U57" s="118"/>
      <c r="V57" s="78"/>
      <c r="W57" s="78"/>
      <c r="X57" s="78"/>
      <c r="Y57" s="78"/>
      <c r="Z57" s="78"/>
    </row>
    <row r="58" ht="22.5" customHeight="1">
      <c r="A58" s="118">
        <v>57.0</v>
      </c>
      <c r="B58" s="119">
        <v>46028.0</v>
      </c>
      <c r="C58" s="118" t="s">
        <v>3769</v>
      </c>
      <c r="D58" s="118" t="str">
        <f>IFERROR(__xludf.DUMMYFUNCTION("IFERROR(
  INDEX(
    FILTER(
      'NOMBRE DE PRODUCTOS'!B:B,
      REGEXMATCH(
        UPPER(
          INDEX(
            REPORTE_DROPI!AC:AC,
            MATCH(T58, REPORTE_DROPI!B:B, 0)
          )
        ),
        UPPER('NOMBRE DE PRODUCTOS'!A:A)
"&amp;"      )
    ),
    1
  ),
  ""REVISAR""
)
"),"FLORA FRESH PRO™")</f>
        <v>FLORA FRESH PRO™</v>
      </c>
      <c r="E58" s="120">
        <f t="array" ref="E58">IF(
UPPER(TRIM(CLEAN($O58)))="ENTREGADO",
IFERROR(
INDEX(REPORTE_DROPI!Y:Y,
MATCH($T58, REPORTE_DROPI!B:B, 0)
),
""
),
""
)
</f>
        <v>12.5</v>
      </c>
      <c r="F58" s="121">
        <v>5.0</v>
      </c>
      <c r="G58" s="122">
        <f t="array" ref="G58">IF(
UPPER(TRIM(CLEAN($O58)))="ENTREGADO",
IFERROR(
INDEX(REPORTE_DROPI!R:R,
MATCH($T58, REPORTE_DROPI!B:B, 0)
),
""
),
""
)
</f>
        <v>37</v>
      </c>
      <c r="H58" s="118" t="s">
        <v>3727</v>
      </c>
      <c r="I58" s="118" t="s">
        <v>3770</v>
      </c>
      <c r="J58" s="121">
        <f t="array" ref="J58">IF(
UPPER(TRIM(CLEAN($O58)))="ENTREGADO",
IFERROR(
INDEX(REPORTE_DROPI!T:T,
MATCH($T58, REPORTE_DROPI!B:B, 0)
),
""
),
""
)
</f>
        <v>6.43</v>
      </c>
      <c r="K58" s="118">
        <f t="array" ref="K58">IFERROR(
INDEX(REPORTE_DROPI!S:S,
MATCH($T58, REPORTE_DROPI!B:B, 0)
),
""
)
</f>
        <v>18.07</v>
      </c>
      <c r="L58" s="118" t="str">
        <f>IF(
  O58&lt;&gt;"DEVOLUCION",
  "",
  IF(
    T58="",
    "",
    SUMIF(DEVOLUCION!F:F, T58, DEVOLUCION!D:D)
  )
)
</f>
        <v/>
      </c>
      <c r="M58" s="123" t="s">
        <v>3729</v>
      </c>
      <c r="N58" s="118">
        <v>4688.0</v>
      </c>
      <c r="O58" s="118" t="str">
        <f t="array" ref="O58">IFERROR(
VLOOKUP(
TRIM(CLEAN(
INDEX(REPORTE_DROPI!K:K,
MATCH(T58, REPORTE_DROPI!B:B, 0)
))),
{
TRIM(CLEAN(MAPA_ESTADOS!A:A)) ,
MAPA_ESTADOS!B:B
},
2,
FALSE
),
"REVISAR"
)
</f>
        <v>ENTREGADO</v>
      </c>
      <c r="P58" s="118"/>
      <c r="Q58" s="122">
        <f t="shared" si="1"/>
        <v>0</v>
      </c>
      <c r="R58" s="118"/>
      <c r="S58" s="118"/>
      <c r="T58" s="118">
        <v>4038540.0</v>
      </c>
      <c r="U58" s="118"/>
      <c r="V58" s="78"/>
      <c r="W58" s="78"/>
      <c r="X58" s="78"/>
      <c r="Y58" s="78"/>
      <c r="Z58" s="78"/>
    </row>
    <row r="59" ht="22.5" customHeight="1">
      <c r="A59" s="118">
        <v>58.0</v>
      </c>
      <c r="B59" s="119">
        <v>46028.0</v>
      </c>
      <c r="C59" s="118" t="s">
        <v>3776</v>
      </c>
      <c r="D59" s="118" t="str">
        <f>IFERROR(__xludf.DUMMYFUNCTION("IFERROR(
  INDEX(
    FILTER(
      'NOMBRE DE PRODUCTOS'!B:B,
      REGEXMATCH(
        UPPER(
          INDEX(
            REPORTE_DROPI!AC:AC,
            MATCH(T59, REPORTE_DROPI!B:B, 0)
          )
        ),
        UPPER('NOMBRE DE PRODUCTOS'!A:A)
"&amp;"      )
    ),
    1
  ),
  ""REVISAR""
)
"),"Llave Multifuncional 360™")</f>
        <v>Llave Multifuncional 360™</v>
      </c>
      <c r="E59" s="120">
        <f t="array" ref="E59">IF(
UPPER(TRIM(CLEAN($O59)))="ENTREGADO",
IFERROR(
INDEX(REPORTE_DROPI!Y:Y,
MATCH($T59, REPORTE_DROPI!B:B, 0)
),
""
),
""
)
</f>
        <v>15</v>
      </c>
      <c r="F59" s="121">
        <v>3.0</v>
      </c>
      <c r="G59" s="122">
        <f t="array" ref="G59">IF(
UPPER(TRIM(CLEAN($O59)))="ENTREGADO",
IFERROR(
INDEX(REPORTE_DROPI!R:R,
MATCH($T59, REPORTE_DROPI!B:B, 0)
),
""
),
""
)
</f>
        <v>30</v>
      </c>
      <c r="H59" s="118" t="s">
        <v>3727</v>
      </c>
      <c r="I59" s="118" t="s">
        <v>3731</v>
      </c>
      <c r="J59" s="121">
        <f t="array" ref="J59">IF(
UPPER(TRIM(CLEAN($O59)))="ENTREGADO",
IFERROR(
INDEX(REPORTE_DROPI!T:T,
MATCH($T59, REPORTE_DROPI!B:B, 0)
),
""
),
""
)
</f>
        <v>4.55</v>
      </c>
      <c r="K59" s="118">
        <f t="array" ref="K59">IFERROR(
INDEX(REPORTE_DROPI!S:S,
MATCH($T59, REPORTE_DROPI!B:B, 0)
),
""
)
</f>
        <v>10.45</v>
      </c>
      <c r="L59" s="118" t="str">
        <f>IF(
  O59&lt;&gt;"DEVOLUCION",
  "",
  IF(
    T59="",
    "",
    SUMIF(DEVOLUCION!F:F, T59, DEVOLUCION!D:D)
  )
)
</f>
        <v/>
      </c>
      <c r="M59" s="123" t="s">
        <v>3729</v>
      </c>
      <c r="N59" s="118">
        <v>4689.0</v>
      </c>
      <c r="O59" s="118" t="str">
        <f t="array" ref="O59">IFERROR(
VLOOKUP(
TRIM(CLEAN(
INDEX(REPORTE_DROPI!K:K,
MATCH(T59, REPORTE_DROPI!B:B, 0)
))),
{
TRIM(CLEAN(MAPA_ESTADOS!A:A)) ,
MAPA_ESTADOS!B:B
},
2,
FALSE
),
"REVISAR"
)
</f>
        <v>ENTREGADO</v>
      </c>
      <c r="P59" s="118"/>
      <c r="Q59" s="122">
        <f t="shared" si="1"/>
        <v>0</v>
      </c>
      <c r="R59" s="118"/>
      <c r="S59" s="118"/>
      <c r="T59" s="118">
        <f t="array" ref="T59">IFERROR(
INDEX(REPORTE_DROPI!B:B,
MATCH(
CLEAN(TRIM(C59)),
CLEAN(TRIM(REPORTE_DROPI!E:E)),
0
)
),
""
)
</f>
        <v>4050324</v>
      </c>
      <c r="U59" s="118"/>
      <c r="V59" s="78"/>
      <c r="W59" s="78"/>
      <c r="X59" s="78"/>
      <c r="Y59" s="78"/>
      <c r="Z59" s="78"/>
    </row>
    <row r="60" ht="22.5" customHeight="1">
      <c r="A60" s="118">
        <v>59.0</v>
      </c>
      <c r="B60" s="119">
        <v>46028.0</v>
      </c>
      <c r="C60" s="118" t="s">
        <v>3811</v>
      </c>
      <c r="D60" s="118" t="str">
        <f>IFERROR(__xludf.DUMMYFUNCTION("IFERROR(
  INDEX(
    FILTER(
      'NOMBRE DE PRODUCTOS'!B:B,
      REGEXMATCH(
        UPPER(
          INDEX(
            REPORTE_DROPI!AC:AC,
            MATCH(T60, REPORTE_DROPI!B:B, 0)
          )
        ),
        UPPER('NOMBRE DE PRODUCTOS'!A:A)
"&amp;"      )
    ),
    1
  ),
  ""REVISAR""
)
"),"FLORA FRESH PRO™")</f>
        <v>FLORA FRESH PRO™</v>
      </c>
      <c r="E60" s="120">
        <f t="array" ref="E60">IF(
UPPER(TRIM(CLEAN($O60)))="ENTREGADO",
IFERROR(
INDEX(REPORTE_DROPI!Y:Y,
MATCH($T60, REPORTE_DROPI!B:B, 0)
),
""
),
""
)
</f>
        <v>5</v>
      </c>
      <c r="F60" s="121">
        <v>2.0</v>
      </c>
      <c r="G60" s="122">
        <f t="array" ref="G60">IF(
UPPER(TRIM(CLEAN($O60)))="ENTREGADO",
IFERROR(
INDEX(REPORTE_DROPI!R:R,
MATCH($T60, REPORTE_DROPI!B:B, 0)
),
""
),
""
)
</f>
        <v>22</v>
      </c>
      <c r="H60" s="118" t="s">
        <v>3727</v>
      </c>
      <c r="I60" s="118" t="s">
        <v>3733</v>
      </c>
      <c r="J60" s="121">
        <f t="array" ref="J60">IF(
UPPER(TRIM(CLEAN($O60)))="ENTREGADO",
IFERROR(
INDEX(REPORTE_DROPI!T:T,
MATCH($T60, REPORTE_DROPI!B:B, 0)
),
""
),
""
)
</f>
        <v>5.84</v>
      </c>
      <c r="K60" s="118">
        <f t="array" ref="K60">IFERROR(
INDEX(REPORTE_DROPI!S:S,
MATCH($T60, REPORTE_DROPI!B:B, 0)
),
""
)
</f>
        <v>11.16</v>
      </c>
      <c r="L60" s="118" t="str">
        <f>IF(
  O60&lt;&gt;"DEVOLUCION",
  "",
  IF(
    T60="",
    "",
    SUMIF(DEVOLUCION!F:F, T60, DEVOLUCION!D:D)
  )
)
</f>
        <v/>
      </c>
      <c r="M60" s="123" t="s">
        <v>3729</v>
      </c>
      <c r="N60" s="118">
        <v>4690.0</v>
      </c>
      <c r="O60" s="118" t="str">
        <f t="array" ref="O60">IFERROR(
VLOOKUP(
TRIM(CLEAN(
INDEX(REPORTE_DROPI!K:K,
MATCH(T60, REPORTE_DROPI!B:B, 0)
))),
{
TRIM(CLEAN(MAPA_ESTADOS!A:A)) ,
MAPA_ESTADOS!B:B
},
2,
FALSE
),
"REVISAR"
)
</f>
        <v>ENTREGADO</v>
      </c>
      <c r="P60" s="118"/>
      <c r="Q60" s="122">
        <f t="shared" si="1"/>
        <v>0</v>
      </c>
      <c r="R60" s="118"/>
      <c r="S60" s="118"/>
      <c r="T60" s="118">
        <f t="array" ref="T60">IFERROR(
INDEX(REPORTE_DROPI!B:B,
MATCH(
CLEAN(TRIM(C60)),
CLEAN(TRIM(REPORTE_DROPI!E:E)),
0
)
),
""
)
</f>
        <v>4039891</v>
      </c>
      <c r="U60" s="118"/>
      <c r="V60" s="78"/>
      <c r="W60" s="78"/>
      <c r="X60" s="78"/>
      <c r="Y60" s="78"/>
      <c r="Z60" s="78"/>
    </row>
    <row r="61" ht="22.5" customHeight="1">
      <c r="A61" s="118">
        <v>60.0</v>
      </c>
      <c r="B61" s="119">
        <v>46028.0</v>
      </c>
      <c r="C61" s="118" t="s">
        <v>3812</v>
      </c>
      <c r="D61" s="118" t="str">
        <f>IFERROR(__xludf.DUMMYFUNCTION("IFERROR(
  INDEX(
    FILTER(
      'NOMBRE DE PRODUCTOS'!B:B,
      REGEXMATCH(
        UPPER(
          INDEX(
            REPORTE_DROPI!AC:AC,
            MATCH(T61, REPORTE_DROPI!B:B, 0)
          )
        ),
        UPPER('NOMBRE DE PRODUCTOS'!A:A)
"&amp;"      )
    ),
    1
  ),
  ""REVISAR""
)
"),"FilmPro®")</f>
        <v>FilmPro®</v>
      </c>
      <c r="E61" s="120">
        <f t="array" ref="E61">IF(
UPPER(TRIM(CLEAN($O61)))="ENTREGADO",
IFERROR(
INDEX(REPORTE_DROPI!Y:Y,
MATCH($T61, REPORTE_DROPI!B:B, 0)
),
""
),
""
)
</f>
        <v>5.58</v>
      </c>
      <c r="F61" s="121">
        <v>2.0</v>
      </c>
      <c r="G61" s="122">
        <f t="array" ref="G61">IF(
UPPER(TRIM(CLEAN($O61)))="ENTREGADO",
IFERROR(
INDEX(REPORTE_DROPI!R:R,
MATCH($T61, REPORTE_DROPI!B:B, 0)
),
""
),
""
)
</f>
        <v>25</v>
      </c>
      <c r="H61" s="118" t="s">
        <v>3727</v>
      </c>
      <c r="I61" s="118" t="s">
        <v>3731</v>
      </c>
      <c r="J61" s="121">
        <f t="array" ref="J61">IF(
UPPER(TRIM(CLEAN($O61)))="ENTREGADO",
IFERROR(
INDEX(REPORTE_DROPI!T:T,
MATCH($T61, REPORTE_DROPI!B:B, 0)
),
""
),
""
)
</f>
        <v>5.96</v>
      </c>
      <c r="K61" s="118">
        <f t="array" ref="K61">IFERROR(
INDEX(REPORTE_DROPI!S:S,
MATCH($T61, REPORTE_DROPI!B:B, 0)
),
""
)
</f>
        <v>13.46</v>
      </c>
      <c r="L61" s="118" t="str">
        <f>IF(
  O61&lt;&gt;"DEVOLUCION",
  "",
  IF(
    T61="",
    "",
    SUMIF(DEVOLUCION!F:F, T61, DEVOLUCION!D:D)
  )
)
</f>
        <v/>
      </c>
      <c r="M61" s="123" t="s">
        <v>3729</v>
      </c>
      <c r="N61" s="118">
        <v>4691.0</v>
      </c>
      <c r="O61" s="118" t="str">
        <f t="array" ref="O61">IFERROR(
VLOOKUP(
TRIM(CLEAN(
INDEX(REPORTE_DROPI!K:K,
MATCH(T61, REPORTE_DROPI!B:B, 0)
))),
{
TRIM(CLEAN(MAPA_ESTADOS!A:A)) ,
MAPA_ESTADOS!B:B
},
2,
FALSE
),
"REVISAR"
)
</f>
        <v>ENTREGADO</v>
      </c>
      <c r="P61" s="118"/>
      <c r="Q61" s="122">
        <f t="shared" si="1"/>
        <v>0</v>
      </c>
      <c r="R61" s="118"/>
      <c r="S61" s="118"/>
      <c r="T61" s="118">
        <f t="array" ref="T61">IFERROR(
INDEX(REPORTE_DROPI!B:B,
MATCH(
CLEAN(TRIM(C61)),
CLEAN(TRIM(REPORTE_DROPI!E:E)),
0
)
),
""
)
</f>
        <v>4040194</v>
      </c>
      <c r="U61" s="118"/>
      <c r="V61" s="78"/>
      <c r="W61" s="78"/>
      <c r="X61" s="78"/>
      <c r="Y61" s="78"/>
      <c r="Z61" s="78"/>
    </row>
    <row r="62" ht="22.5" customHeight="1">
      <c r="A62" s="118">
        <v>61.0</v>
      </c>
      <c r="B62" s="119">
        <v>46028.0</v>
      </c>
      <c r="C62" s="118" t="s">
        <v>3813</v>
      </c>
      <c r="D62" s="118" t="str">
        <f>IFERROR(__xludf.DUMMYFUNCTION("IFERROR(
  INDEX(
    FILTER(
      'NOMBRE DE PRODUCTOS'!B:B,
      REGEXMATCH(
        UPPER(
          INDEX(
            REPORTE_DROPI!AC:AC,
            MATCH(T62, REPORTE_DROPI!B:B, 0)
          )
        ),
        UPPER('NOMBRE DE PRODUCTOS'!A:A)
"&amp;"      )
    ),
    1
  ),
  ""REVISAR""
)
"),"Llave Multifuncional 360™")</f>
        <v>Llave Multifuncional 360™</v>
      </c>
      <c r="E62" s="120" t="str">
        <f t="array" ref="E62">IF(
UPPER(TRIM(CLEAN($O62)))="ENTREGADO",
IFERROR(
INDEX(REPORTE_DROPI!Y:Y,
MATCH($T62, REPORTE_DROPI!B:B, 0)
),
""
),
""
)
</f>
        <v/>
      </c>
      <c r="F62" s="121">
        <v>1.0</v>
      </c>
      <c r="G62" s="122" t="str">
        <f t="array" ref="G62">IF(
UPPER(TRIM(CLEAN($O62)))="ENTREGADO",
IFERROR(
INDEX(REPORTE_DROPI!R:R,
MATCH($T62, REPORTE_DROPI!B:B, 0)
),
""
),
""
)
</f>
        <v/>
      </c>
      <c r="H62" s="118" t="s">
        <v>3727</v>
      </c>
      <c r="I62" s="118" t="s">
        <v>3742</v>
      </c>
      <c r="J62" s="121" t="str">
        <f t="array" ref="J62">IF(
UPPER(TRIM(CLEAN($O62)))="ENTREGADO",
IFERROR(
INDEX(REPORTE_DROPI!T:T,
MATCH($T62, REPORTE_DROPI!B:B, 0)
),
""
),
""
)
</f>
        <v/>
      </c>
      <c r="K62" s="118" t="str">
        <f t="array" ref="K62">IFERROR(
INDEX(REPORTE_DROPI!S:S,
MATCH($T62, REPORTE_DROPI!B:B, 0)
),
""
)
</f>
        <v/>
      </c>
      <c r="L62" s="118" t="str">
        <f>IF(
  O62&lt;&gt;"DEVOLUCION",
  "",
  IF(
    T62="",
    "",
    SUMIF(DEVOLUCION!F:F, T62, DEVOLUCION!D:D)
  )
)
</f>
        <v/>
      </c>
      <c r="M62" s="123" t="s">
        <v>3718</v>
      </c>
      <c r="N62" s="118">
        <v>4692.0</v>
      </c>
      <c r="O62" s="118" t="str">
        <f t="array" ref="O62">IFERROR(
VLOOKUP(
TRIM(CLEAN(
INDEX(REPORTE_DROPI!K:K,
MATCH(T62, REPORTE_DROPI!B:B, 0)
))),
{
TRIM(CLEAN(MAPA_ESTADOS!A:A)) ,
MAPA_ESTADOS!B:B
},
2,
FALSE
),
"REVISAR"
)
</f>
        <v>CANCELADO</v>
      </c>
      <c r="P62" s="118"/>
      <c r="Q62" s="122">
        <f t="shared" si="1"/>
        <v>0</v>
      </c>
      <c r="R62" s="118"/>
      <c r="S62" s="118"/>
      <c r="T62" s="118">
        <f t="array" ref="T62">IFERROR(
INDEX(REPORTE_DROPI!B:B,
MATCH(
CLEAN(TRIM(C62)),
CLEAN(TRIM(REPORTE_DROPI!E:E)),
0
)
),
""
)
</f>
        <v>4075703</v>
      </c>
      <c r="U62" s="118"/>
      <c r="V62" s="78"/>
      <c r="W62" s="78"/>
      <c r="X62" s="78"/>
      <c r="Y62" s="78"/>
      <c r="Z62" s="78"/>
    </row>
    <row r="63" ht="22.5" customHeight="1">
      <c r="A63" s="118">
        <v>62.0</v>
      </c>
      <c r="B63" s="119">
        <v>46028.0</v>
      </c>
      <c r="C63" s="118" t="s">
        <v>3814</v>
      </c>
      <c r="D63" s="118" t="str">
        <f>IFERROR(__xludf.DUMMYFUNCTION("IFERROR(
  INDEX(
    FILTER(
      'NOMBRE DE PRODUCTOS'!B:B,
      REGEXMATCH(
        UPPER(
          INDEX(
            REPORTE_DROPI!AC:AC,
            MATCH(T63, REPORTE_DROPI!B:B, 0)
          )
        ),
        UPPER('NOMBRE DE PRODUCTOS'!A:A)
"&amp;"      )
    ),
    1
  ),
  ""REVISAR""
)
"),"Llave Multifuncional 360™")</f>
        <v>Llave Multifuncional 360™</v>
      </c>
      <c r="E63" s="120" t="str">
        <f t="array" ref="E63">IF(
UPPER(TRIM(CLEAN($O63)))="ENTREGADO",
IFERROR(
INDEX(REPORTE_DROPI!Y:Y,
MATCH($T63, REPORTE_DROPI!B:B, 0)
),
""
),
""
)
</f>
        <v/>
      </c>
      <c r="F63" s="121">
        <v>1.0</v>
      </c>
      <c r="G63" s="122" t="str">
        <f t="array" ref="G63">IF(
UPPER(TRIM(CLEAN($O63)))="ENTREGADO",
IFERROR(
INDEX(REPORTE_DROPI!R:R,
MATCH($T63, REPORTE_DROPI!B:B, 0)
),
""
),
""
)
</f>
        <v/>
      </c>
      <c r="H63" s="118" t="s">
        <v>3727</v>
      </c>
      <c r="I63" s="118" t="s">
        <v>3731</v>
      </c>
      <c r="J63" s="121" t="str">
        <f t="array" ref="J63">IF(
UPPER(TRIM(CLEAN($O63)))="ENTREGADO",
IFERROR(
INDEX(REPORTE_DROPI!T:T,
MATCH($T63, REPORTE_DROPI!B:B, 0)
),
""
),
""
)
</f>
        <v/>
      </c>
      <c r="K63" s="118" t="str">
        <f t="array" ref="K63">IFERROR(
INDEX(REPORTE_DROPI!S:S,
MATCH($T63, REPORTE_DROPI!B:B, 0)
),
""
)
</f>
        <v/>
      </c>
      <c r="L63" s="118" t="str">
        <f>IF(
  O63&lt;&gt;"DEVOLUCION",
  "",
  IF(
    T63="",
    "",
    SUMIF(DEVOLUCION!F:F, T63, DEVOLUCION!D:D)
  )
)
</f>
        <v/>
      </c>
      <c r="M63" s="123" t="s">
        <v>3729</v>
      </c>
      <c r="N63" s="118">
        <v>4693.0</v>
      </c>
      <c r="O63" s="118" t="str">
        <f t="array" ref="O63">IFERROR(
VLOOKUP(
TRIM(CLEAN(
INDEX(REPORTE_DROPI!K:K,
MATCH(T63, REPORTE_DROPI!B:B, 0)
))),
{
TRIM(CLEAN(MAPA_ESTADOS!A:A)) ,
MAPA_ESTADOS!B:B
},
2,
FALSE
),
"REVISAR"
)
</f>
        <v>CANCELADO</v>
      </c>
      <c r="P63" s="118"/>
      <c r="Q63" s="122">
        <f t="shared" si="1"/>
        <v>0</v>
      </c>
      <c r="R63" s="118"/>
      <c r="S63" s="118"/>
      <c r="T63" s="118">
        <f t="array" ref="T63">IFERROR(
INDEX(REPORTE_DROPI!B:B,
MATCH(
CLEAN(TRIM(C63)),
CLEAN(TRIM(REPORTE_DROPI!E:E)),
0
)
),
""
)
</f>
        <v>4075733</v>
      </c>
      <c r="U63" s="118"/>
      <c r="V63" s="78"/>
      <c r="W63" s="78"/>
      <c r="X63" s="78"/>
      <c r="Y63" s="78"/>
      <c r="Z63" s="78"/>
    </row>
    <row r="64" ht="22.5" customHeight="1">
      <c r="A64" s="118">
        <v>63.0</v>
      </c>
      <c r="B64" s="119">
        <v>46028.0</v>
      </c>
      <c r="C64" s="118" t="s">
        <v>3815</v>
      </c>
      <c r="D64" s="118" t="str">
        <f>IFERROR(__xludf.DUMMYFUNCTION("IFERROR(
  INDEX(
    FILTER(
      'NOMBRE DE PRODUCTOS'!B:B,
      REGEXMATCH(
        UPPER(
          INDEX(
            REPORTE_DROPI!AC:AC,
            MATCH(T64, REPORTE_DROPI!B:B, 0)
          )
        ),
        UPPER('NOMBRE DE PRODUCTOS'!A:A)
"&amp;"      )
    ),
    1
  ),
  ""REVISAR""
)
"),"Llave Multifuncional 360™")</f>
        <v>Llave Multifuncional 360™</v>
      </c>
      <c r="E64" s="120" t="str">
        <f t="array" ref="E64">IF(
UPPER(TRIM(CLEAN($O64)))="ENTREGADO",
IFERROR(
INDEX(REPORTE_DROPI!Y:Y,
MATCH($T64, REPORTE_DROPI!B:B, 0)
),
""
),
""
)
</f>
        <v/>
      </c>
      <c r="F64" s="121">
        <v>1.0</v>
      </c>
      <c r="G64" s="122" t="str">
        <f t="array" ref="G64">IF(
UPPER(TRIM(CLEAN($O64)))="ENTREGADO",
IFERROR(
INDEX(REPORTE_DROPI!R:R,
MATCH($T64, REPORTE_DROPI!B:B, 0)
),
""
),
""
)
</f>
        <v/>
      </c>
      <c r="H64" s="118" t="s">
        <v>3727</v>
      </c>
      <c r="I64" s="118" t="s">
        <v>3731</v>
      </c>
      <c r="J64" s="121" t="str">
        <f t="array" ref="J64">IF(
UPPER(TRIM(CLEAN($O64)))="ENTREGADO",
IFERROR(
INDEX(REPORTE_DROPI!T:T,
MATCH($T64, REPORTE_DROPI!B:B, 0)
),
""
),
""
)
</f>
        <v/>
      </c>
      <c r="K64" s="118" t="str">
        <f t="array" ref="K64">IFERROR(
INDEX(REPORTE_DROPI!S:S,
MATCH($T64, REPORTE_DROPI!B:B, 0)
),
""
)
</f>
        <v/>
      </c>
      <c r="L64" s="118" t="str">
        <f>IF(
  O64&lt;&gt;"DEVOLUCION",
  "",
  IF(
    T64="",
    "",
    SUMIF(DEVOLUCION!F:F, T64, DEVOLUCION!D:D)
  )
)
</f>
        <v/>
      </c>
      <c r="M64" s="123" t="s">
        <v>3718</v>
      </c>
      <c r="N64" s="118">
        <v>4694.0</v>
      </c>
      <c r="O64" s="118" t="str">
        <f t="array" ref="O64">IFERROR(
VLOOKUP(
TRIM(CLEAN(
INDEX(REPORTE_DROPI!K:K,
MATCH(T64, REPORTE_DROPI!B:B, 0)
))),
{
TRIM(CLEAN(MAPA_ESTADOS!A:A)) ,
MAPA_ESTADOS!B:B
},
2,
FALSE
),
"REVISAR"
)
</f>
        <v>CANCELADO</v>
      </c>
      <c r="P64" s="118"/>
      <c r="Q64" s="122">
        <f t="shared" si="1"/>
        <v>0</v>
      </c>
      <c r="R64" s="118"/>
      <c r="S64" s="118"/>
      <c r="T64" s="118">
        <f t="array" ref="T64">IFERROR(
INDEX(REPORTE_DROPI!B:B,
MATCH(
CLEAN(TRIM(C64)),
CLEAN(TRIM(REPORTE_DROPI!E:E)),
0
)
),
""
)
</f>
        <v>4075866</v>
      </c>
      <c r="U64" s="118"/>
      <c r="V64" s="78"/>
      <c r="W64" s="78"/>
      <c r="X64" s="78"/>
      <c r="Y64" s="78"/>
      <c r="Z64" s="78"/>
    </row>
    <row r="65" ht="22.5" customHeight="1">
      <c r="A65" s="118">
        <v>64.0</v>
      </c>
      <c r="B65" s="119">
        <v>46028.0</v>
      </c>
      <c r="C65" s="118" t="s">
        <v>3816</v>
      </c>
      <c r="D65" s="118" t="str">
        <f>IFERROR(__xludf.DUMMYFUNCTION("IFERROR(
  INDEX(
    FILTER(
      'NOMBRE DE PRODUCTOS'!B:B,
      REGEXMATCH(
        UPPER(
          INDEX(
            REPORTE_DROPI!AC:AC,
            MATCH(T65, REPORTE_DROPI!B:B, 0)
          )
        ),
        UPPER('NOMBRE DE PRODUCTOS'!A:A)
"&amp;"      )
    ),
    1
  ),
  ""REVISAR""
)
"),"FilmPro®")</f>
        <v>FilmPro®</v>
      </c>
      <c r="E65" s="120" t="str">
        <f t="array" ref="E65">IF(
UPPER(TRIM(CLEAN($O65)))="ENTREGADO",
IFERROR(
INDEX(REPORTE_DROPI!Y:Y,
MATCH($T65, REPORTE_DROPI!B:B, 0)
),
""
),
""
)
</f>
        <v/>
      </c>
      <c r="F65" s="121">
        <v>2.0</v>
      </c>
      <c r="G65" s="122" t="str">
        <f t="array" ref="G65">IF(
UPPER(TRIM(CLEAN($O65)))="ENTREGADO",
IFERROR(
INDEX(REPORTE_DROPI!R:R,
MATCH($T65, REPORTE_DROPI!B:B, 0)
),
""
),
""
)
</f>
        <v/>
      </c>
      <c r="H65" s="118" t="s">
        <v>3727</v>
      </c>
      <c r="I65" s="118" t="s">
        <v>3744</v>
      </c>
      <c r="J65" s="121" t="str">
        <f t="array" ref="J65">IF(
UPPER(TRIM(CLEAN($O65)))="ENTREGADO",
IFERROR(
INDEX(REPORTE_DROPI!T:T,
MATCH($T65, REPORTE_DROPI!B:B, 0)
),
""
),
""
)
</f>
        <v/>
      </c>
      <c r="K65" s="118" t="str">
        <f t="array" ref="K65">IFERROR(
INDEX(REPORTE_DROPI!S:S,
MATCH($T65, REPORTE_DROPI!B:B, 0)
),
""
)
</f>
        <v/>
      </c>
      <c r="L65" s="118" t="str">
        <f>IF(
  O65&lt;&gt;"DEVOLUCION",
  "",
  IF(
    T65="",
    "",
    SUMIF(DEVOLUCION!F:F, T65, DEVOLUCION!D:D)
  )
)
</f>
        <v/>
      </c>
      <c r="M65" s="123" t="s">
        <v>3729</v>
      </c>
      <c r="N65" s="118">
        <v>4695.0</v>
      </c>
      <c r="O65" s="118" t="str">
        <f t="array" ref="O65">IFERROR(
VLOOKUP(
TRIM(CLEAN(
INDEX(REPORTE_DROPI!K:K,
MATCH(T65, REPORTE_DROPI!B:B, 0)
))),
{
TRIM(CLEAN(MAPA_ESTADOS!A:A)) ,
MAPA_ESTADOS!B:B
},
2,
FALSE
),
"REVISAR"
)
</f>
        <v>CANCELADO</v>
      </c>
      <c r="P65" s="118"/>
      <c r="Q65" s="122">
        <f t="shared" si="1"/>
        <v>0</v>
      </c>
      <c r="R65" s="118"/>
      <c r="S65" s="118"/>
      <c r="T65" s="118">
        <f t="array" ref="T65">IFERROR(
INDEX(REPORTE_DROPI!B:B,
MATCH(
CLEAN(TRIM(C65)),
CLEAN(TRIM(REPORTE_DROPI!E:E)),
0
)
),
""
)
</f>
        <v>4081147</v>
      </c>
      <c r="U65" s="118"/>
      <c r="V65" s="78"/>
      <c r="W65" s="78"/>
      <c r="X65" s="78"/>
      <c r="Y65" s="78"/>
      <c r="Z65" s="78"/>
    </row>
    <row r="66" ht="22.5" customHeight="1">
      <c r="A66" s="118">
        <v>65.0</v>
      </c>
      <c r="B66" s="119">
        <v>46028.0</v>
      </c>
      <c r="C66" s="118" t="s">
        <v>3817</v>
      </c>
      <c r="D66" s="118" t="str">
        <f>IFERROR(__xludf.DUMMYFUNCTION("IFERROR(
  INDEX(
    FILTER(
      'NOMBRE DE PRODUCTOS'!B:B,
      REGEXMATCH(
        UPPER(
          INDEX(
            REPORTE_DROPI!AC:AC,
            MATCH(T66, REPORTE_DROPI!B:B, 0)
          )
        ),
        UPPER('NOMBRE DE PRODUCTOS'!A:A)
"&amp;"      )
    ),
    1
  ),
  ""REVISAR""
)
"),"FilmPro®")</f>
        <v>FilmPro®</v>
      </c>
      <c r="E66" s="120">
        <f t="array" ref="E66">IF(
UPPER(TRIM(CLEAN($O66)))="ENTREGADO",
IFERROR(
INDEX(REPORTE_DROPI!Y:Y,
MATCH($T66, REPORTE_DROPI!B:B, 0)
),
""
),
""
)
</f>
        <v>2.79</v>
      </c>
      <c r="F66" s="121">
        <v>1.0</v>
      </c>
      <c r="G66" s="122">
        <f t="array" ref="G66">IF(
UPPER(TRIM(CLEAN($O66)))="ENTREGADO",
IFERROR(
INDEX(REPORTE_DROPI!R:R,
MATCH($T66, REPORTE_DROPI!B:B, 0)
),
""
),
""
)
</f>
        <v>20</v>
      </c>
      <c r="H66" s="118" t="s">
        <v>3727</v>
      </c>
      <c r="I66" s="118" t="s">
        <v>3784</v>
      </c>
      <c r="J66" s="121">
        <f t="array" ref="J66">IF(
UPPER(TRIM(CLEAN($O66)))="ENTREGADO",
IFERROR(
INDEX(REPORTE_DROPI!T:T,
MATCH($T66, REPORTE_DROPI!B:B, 0)
),
""
),
""
)
</f>
        <v>5.76</v>
      </c>
      <c r="K66" s="118">
        <f t="array" ref="K66">IFERROR(
INDEX(REPORTE_DROPI!S:S,
MATCH($T66, REPORTE_DROPI!B:B, 0)
),
""
)
</f>
        <v>11.45</v>
      </c>
      <c r="L66" s="118" t="str">
        <f>IF(
  O66&lt;&gt;"DEVOLUCION",
  "",
  IF(
    T66="",
    "",
    SUMIF(DEVOLUCION!F:F, T66, DEVOLUCION!D:D)
  )
)
</f>
        <v/>
      </c>
      <c r="M66" s="123" t="s">
        <v>3729</v>
      </c>
      <c r="N66" s="118">
        <v>4696.0</v>
      </c>
      <c r="O66" s="118" t="str">
        <f t="array" ref="O66">IFERROR(
VLOOKUP(
TRIM(CLEAN(
INDEX(REPORTE_DROPI!K:K,
MATCH(T66, REPORTE_DROPI!B:B, 0)
))),
{
TRIM(CLEAN(MAPA_ESTADOS!A:A)) ,
MAPA_ESTADOS!B:B
},
2,
FALSE
),
"REVISAR"
)
</f>
        <v>ENTREGADO</v>
      </c>
      <c r="P66" s="118"/>
      <c r="Q66" s="122">
        <f t="shared" si="1"/>
        <v>0</v>
      </c>
      <c r="R66" s="118"/>
      <c r="S66" s="118"/>
      <c r="T66" s="118">
        <f t="array" ref="T66">IFERROR(
INDEX(REPORTE_DROPI!B:B,
MATCH(
CLEAN(TRIM(C66)),
CLEAN(TRIM(REPORTE_DROPI!E:E)),
0
)
),
""
)
</f>
        <v>4044804</v>
      </c>
      <c r="U66" s="118"/>
      <c r="V66" s="78"/>
      <c r="W66" s="78"/>
      <c r="X66" s="78"/>
      <c r="Y66" s="78"/>
      <c r="Z66" s="78"/>
    </row>
    <row r="67" ht="22.5" customHeight="1">
      <c r="A67" s="118">
        <v>66.0</v>
      </c>
      <c r="B67" s="119">
        <v>46028.0</v>
      </c>
      <c r="C67" s="118" t="s">
        <v>3818</v>
      </c>
      <c r="D67" s="118" t="str">
        <f>IFERROR(__xludf.DUMMYFUNCTION("IFERROR(
  INDEX(
    FILTER(
      'NOMBRE DE PRODUCTOS'!B:B,
      REGEXMATCH(
        UPPER(
          INDEX(
            REPORTE_DROPI!AC:AC,
            MATCH(T67, REPORTE_DROPI!B:B, 0)
          )
        ),
        UPPER('NOMBRE DE PRODUCTOS'!A:A)
"&amp;"      )
    ),
    1
  ),
  ""REVISAR""
)
"),"Llave Multifuncional 360™")</f>
        <v>Llave Multifuncional 360™</v>
      </c>
      <c r="E67" s="120">
        <f t="array" ref="E67">IF(
UPPER(TRIM(CLEAN($O67)))="ENTREGADO",
IFERROR(
INDEX(REPORTE_DROPI!Y:Y,
MATCH($T67, REPORTE_DROPI!B:B, 0)
),
""
),
""
)
</f>
        <v>5</v>
      </c>
      <c r="F67" s="121">
        <v>1.0</v>
      </c>
      <c r="G67" s="122">
        <f t="array" ref="G67">IF(
UPPER(TRIM(CLEAN($O67)))="ENTREGADO",
IFERROR(
INDEX(REPORTE_DROPI!R:R,
MATCH($T67, REPORTE_DROPI!B:B, 0)
),
""
),
""
)
</f>
        <v>21.99</v>
      </c>
      <c r="H67" s="118" t="s">
        <v>3727</v>
      </c>
      <c r="I67" s="118" t="s">
        <v>3740</v>
      </c>
      <c r="J67" s="121">
        <f t="array" ref="J67">IF(
UPPER(TRIM(CLEAN($O67)))="ENTREGADO",
IFERROR(
INDEX(REPORTE_DROPI!T:T,
MATCH($T67, REPORTE_DROPI!B:B, 0)
),
""
),
""
)
</f>
        <v>5.84</v>
      </c>
      <c r="K67" s="118">
        <f t="array" ref="K67">IFERROR(
INDEX(REPORTE_DROPI!S:S,
MATCH($T67, REPORTE_DROPI!B:B, 0)
),
""
)
</f>
        <v>11.15</v>
      </c>
      <c r="L67" s="118" t="str">
        <f>IF(
  O67&lt;&gt;"DEVOLUCION",
  "",
  IF(
    T67="",
    "",
    SUMIF(DEVOLUCION!F:F, T67, DEVOLUCION!D:D)
  )
)
</f>
        <v/>
      </c>
      <c r="M67" s="123" t="s">
        <v>3729</v>
      </c>
      <c r="N67" s="118">
        <v>4697.0</v>
      </c>
      <c r="O67" s="118" t="str">
        <f t="array" ref="O67">IFERROR(
VLOOKUP(
TRIM(CLEAN(
INDEX(REPORTE_DROPI!K:K,
MATCH(T67, REPORTE_DROPI!B:B, 0)
))),
{
TRIM(CLEAN(MAPA_ESTADOS!A:A)) ,
MAPA_ESTADOS!B:B
},
2,
FALSE
),
"REVISAR"
)
</f>
        <v>ENTREGADO</v>
      </c>
      <c r="P67" s="118"/>
      <c r="Q67" s="122">
        <f t="shared" si="1"/>
        <v>0</v>
      </c>
      <c r="R67" s="118"/>
      <c r="S67" s="118"/>
      <c r="T67" s="118">
        <f t="array" ref="T67">IFERROR(
INDEX(REPORTE_DROPI!B:B,
MATCH(
CLEAN(TRIM(C67)),
CLEAN(TRIM(REPORTE_DROPI!E:E)),
0
)
),
""
)
</f>
        <v>4044974</v>
      </c>
      <c r="U67" s="118"/>
      <c r="V67" s="78"/>
      <c r="W67" s="78"/>
      <c r="X67" s="78"/>
      <c r="Y67" s="78"/>
      <c r="Z67" s="78"/>
    </row>
    <row r="68" ht="22.5" customHeight="1">
      <c r="A68" s="118">
        <v>67.0</v>
      </c>
      <c r="B68" s="119">
        <v>46028.0</v>
      </c>
      <c r="C68" s="118" t="s">
        <v>3819</v>
      </c>
      <c r="D68" s="118" t="str">
        <f>IFERROR(__xludf.DUMMYFUNCTION("IFERROR(
  INDEX(
    FILTER(
      'NOMBRE DE PRODUCTOS'!B:B,
      REGEXMATCH(
        UPPER(
          INDEX(
            REPORTE_DROPI!AC:AC,
            MATCH(T68, REPORTE_DROPI!B:B, 0)
          )
        ),
        UPPER('NOMBRE DE PRODUCTOS'!A:A)
"&amp;"      )
    ),
    1
  ),
  ""REVISAR""
)
"),"Llave Multifuncional 360™")</f>
        <v>Llave Multifuncional 360™</v>
      </c>
      <c r="E68" s="120">
        <f t="array" ref="E68">IF(
UPPER(TRIM(CLEAN($O68)))="ENTREGADO",
IFERROR(
INDEX(REPORTE_DROPI!Y:Y,
MATCH($T68, REPORTE_DROPI!B:B, 0)
),
""
),
""
)
</f>
        <v>5</v>
      </c>
      <c r="F68" s="121">
        <v>1.0</v>
      </c>
      <c r="G68" s="122">
        <f t="array" ref="G68">IF(
UPPER(TRIM(CLEAN($O68)))="ENTREGADO",
IFERROR(
INDEX(REPORTE_DROPI!R:R,
MATCH($T68, REPORTE_DROPI!B:B, 0)
),
""
),
""
)
</f>
        <v>21.99</v>
      </c>
      <c r="H68" s="118" t="s">
        <v>3727</v>
      </c>
      <c r="I68" s="118" t="s">
        <v>3731</v>
      </c>
      <c r="J68" s="121">
        <f t="array" ref="J68">IF(
UPPER(TRIM(CLEAN($O68)))="ENTREGADO",
IFERROR(
INDEX(REPORTE_DROPI!T:T,
MATCH($T68, REPORTE_DROPI!B:B, 0)
),
""
),
""
)
</f>
        <v>4.8</v>
      </c>
      <c r="K68" s="118">
        <f t="array" ref="K68">IFERROR(
INDEX(REPORTE_DROPI!S:S,
MATCH($T68, REPORTE_DROPI!B:B, 0)
),
""
)
</f>
        <v>12.19</v>
      </c>
      <c r="L68" s="118" t="str">
        <f>IF(
  O68&lt;&gt;"DEVOLUCION",
  "",
  IF(
    T68="",
    "",
    SUMIF(DEVOLUCION!F:F, T68, DEVOLUCION!D:D)
  )
)
</f>
        <v/>
      </c>
      <c r="M68" s="123" t="s">
        <v>3729</v>
      </c>
      <c r="N68" s="118">
        <v>4698.0</v>
      </c>
      <c r="O68" s="118" t="str">
        <f t="array" ref="O68">IFERROR(
VLOOKUP(
TRIM(CLEAN(
INDEX(REPORTE_DROPI!K:K,
MATCH(T68, REPORTE_DROPI!B:B, 0)
))),
{
TRIM(CLEAN(MAPA_ESTADOS!A:A)) ,
MAPA_ESTADOS!B:B
},
2,
FALSE
),
"REVISAR"
)
</f>
        <v>ENTREGADO</v>
      </c>
      <c r="P68" s="118"/>
      <c r="Q68" s="122">
        <f t="shared" si="1"/>
        <v>0</v>
      </c>
      <c r="R68" s="118"/>
      <c r="S68" s="118"/>
      <c r="T68" s="118">
        <f t="array" ref="T68">IFERROR(
INDEX(REPORTE_DROPI!B:B,
MATCH(
CLEAN(TRIM(C68)),
CLEAN(TRIM(REPORTE_DROPI!E:E)),
0
)
),
""
)
</f>
        <v>4045739</v>
      </c>
      <c r="U68" s="118"/>
      <c r="V68" s="78"/>
      <c r="W68" s="78"/>
      <c r="X68" s="78"/>
      <c r="Y68" s="78"/>
      <c r="Z68" s="78"/>
    </row>
    <row r="69" ht="22.5" customHeight="1">
      <c r="A69" s="118">
        <v>68.0</v>
      </c>
      <c r="B69" s="119">
        <v>46028.0</v>
      </c>
      <c r="C69" s="118" t="s">
        <v>3820</v>
      </c>
      <c r="D69" s="118" t="str">
        <f>IFERROR(__xludf.DUMMYFUNCTION("IFERROR(
  INDEX(
    FILTER(
      'NOMBRE DE PRODUCTOS'!B:B,
      REGEXMATCH(
        UPPER(
          INDEX(
            REPORTE_DROPI!AC:AC,
            MATCH(T69, REPORTE_DROPI!B:B, 0)
          )
        ),
        UPPER('NOMBRE DE PRODUCTOS'!A:A)
"&amp;"      )
    ),
    1
  ),
  ""REVISAR""
)
"),"FilmPro®")</f>
        <v>FilmPro®</v>
      </c>
      <c r="E69" s="120">
        <f t="array" ref="E69">IF(
UPPER(TRIM(CLEAN($O69)))="ENTREGADO",
IFERROR(
INDEX(REPORTE_DROPI!Y:Y,
MATCH($T69, REPORTE_DROPI!B:B, 0)
),
""
),
""
)
</f>
        <v>5.58</v>
      </c>
      <c r="F69" s="121">
        <v>2.0</v>
      </c>
      <c r="G69" s="122">
        <f t="array" ref="G69">IF(
UPPER(TRIM(CLEAN($O69)))="ENTREGADO",
IFERROR(
INDEX(REPORTE_DROPI!R:R,
MATCH($T69, REPORTE_DROPI!B:B, 0)
),
""
),
""
)
</f>
        <v>25</v>
      </c>
      <c r="H69" s="118" t="s">
        <v>3727</v>
      </c>
      <c r="I69" s="118" t="s">
        <v>3740</v>
      </c>
      <c r="J69" s="121">
        <f t="array" ref="J69">IF(
UPPER(TRIM(CLEAN($O69)))="ENTREGADO",
IFERROR(
INDEX(REPORTE_DROPI!T:T,
MATCH($T69, REPORTE_DROPI!B:B, 0)
),
""
),
""
)
</f>
        <v>4.35</v>
      </c>
      <c r="K69" s="118">
        <f t="array" ref="K69">IFERROR(
INDEX(REPORTE_DROPI!S:S,
MATCH($T69, REPORTE_DROPI!B:B, 0)
),
""
)
</f>
        <v>15.07</v>
      </c>
      <c r="L69" s="118" t="str">
        <f>IF(
  O69&lt;&gt;"DEVOLUCION",
  "",
  IF(
    T69="",
    "",
    SUMIF(DEVOLUCION!F:F, T69, DEVOLUCION!D:D)
  )
)
</f>
        <v/>
      </c>
      <c r="M69" s="123" t="s">
        <v>3729</v>
      </c>
      <c r="N69" s="118">
        <v>4699.0</v>
      </c>
      <c r="O69" s="118" t="str">
        <f t="array" ref="O69">IFERROR(
VLOOKUP(
TRIM(CLEAN(
INDEX(REPORTE_DROPI!K:K,
MATCH(T69, REPORTE_DROPI!B:B, 0)
))),
{
TRIM(CLEAN(MAPA_ESTADOS!A:A)) ,
MAPA_ESTADOS!B:B
},
2,
FALSE
),
"REVISAR"
)
</f>
        <v>ENTREGADO</v>
      </c>
      <c r="P69" s="118"/>
      <c r="Q69" s="122">
        <f t="shared" si="1"/>
        <v>0</v>
      </c>
      <c r="R69" s="118"/>
      <c r="S69" s="118"/>
      <c r="T69" s="118">
        <f t="array" ref="T69">IFERROR(
INDEX(REPORTE_DROPI!B:B,
MATCH(
CLEAN(TRIM(C69)),
CLEAN(TRIM(REPORTE_DROPI!E:E)),
0
)
),
""
)
</f>
        <v>4046238</v>
      </c>
      <c r="U69" s="118"/>
      <c r="V69" s="78"/>
      <c r="W69" s="78"/>
      <c r="X69" s="78"/>
      <c r="Y69" s="78"/>
      <c r="Z69" s="78"/>
    </row>
    <row r="70" ht="22.5" customHeight="1">
      <c r="A70" s="118">
        <v>69.0</v>
      </c>
      <c r="B70" s="119">
        <v>46028.0</v>
      </c>
      <c r="C70" s="118" t="s">
        <v>3821</v>
      </c>
      <c r="D70" s="118" t="str">
        <f>IFERROR(__xludf.DUMMYFUNCTION("IFERROR(
  INDEX(
    FILTER(
      'NOMBRE DE PRODUCTOS'!B:B,
      REGEXMATCH(
        UPPER(
          INDEX(
            REPORTE_DROPI!AC:AC,
            MATCH(T70, REPORTE_DROPI!B:B, 0)
          )
        ),
        UPPER('NOMBRE DE PRODUCTOS'!A:A)
"&amp;"      )
    ),
    1
  ),
  ""REVISAR""
)
"),"Llave Multifuncional 360™")</f>
        <v>Llave Multifuncional 360™</v>
      </c>
      <c r="E70" s="120" t="str">
        <f t="array" ref="E70">IF(
UPPER(TRIM(CLEAN($O70)))="ENTREGADO",
IFERROR(
INDEX(REPORTE_DROPI!Y:Y,
MATCH($T70, REPORTE_DROPI!B:B, 0)
),
""
),
""
)
</f>
        <v/>
      </c>
      <c r="F70" s="121">
        <v>1.0</v>
      </c>
      <c r="G70" s="122" t="str">
        <f t="array" ref="G70">IF(
UPPER(TRIM(CLEAN($O70)))="ENTREGADO",
IFERROR(
INDEX(REPORTE_DROPI!R:R,
MATCH($T70, REPORTE_DROPI!B:B, 0)
),
""
),
""
)
</f>
        <v/>
      </c>
      <c r="H70" s="118" t="s">
        <v>3727</v>
      </c>
      <c r="I70" s="118" t="s">
        <v>3731</v>
      </c>
      <c r="J70" s="121" t="str">
        <f t="array" ref="J70">IF(
UPPER(TRIM(CLEAN($O70)))="ENTREGADO",
IFERROR(
INDEX(REPORTE_DROPI!T:T,
MATCH($T70, REPORTE_DROPI!B:B, 0)
),
""
),
""
)
</f>
        <v/>
      </c>
      <c r="K70" s="118" t="str">
        <f t="array" ref="K70">IFERROR(
INDEX(REPORTE_DROPI!S:S,
MATCH($T70, REPORTE_DROPI!B:B, 0)
),
""
)
</f>
        <v/>
      </c>
      <c r="L70" s="118">
        <f>IF(
  O70&lt;&gt;"DEVOLUCION",
  "",
  IF(
    T70="",
    "",
    SUMIF(DEVOLUCION!F:F, T70, DEVOLUCION!D:D)
  )
)
</f>
        <v>3.46</v>
      </c>
      <c r="M70" s="123" t="s">
        <v>3729</v>
      </c>
      <c r="N70" s="118">
        <v>4700.0</v>
      </c>
      <c r="O70" s="118" t="str">
        <f t="array" ref="O70">IFERROR(
VLOOKUP(
TRIM(CLEAN(
INDEX(REPORTE_DROPI!K:K,
MATCH(T70, REPORTE_DROPI!B:B, 0)
))),
{
TRIM(CLEAN(MAPA_ESTADOS!A:A)) ,
MAPA_ESTADOS!B:B
},
2,
FALSE
),
"REVISAR"
)
</f>
        <v>DEVOLUCION</v>
      </c>
      <c r="P70" s="118" t="s">
        <v>3655</v>
      </c>
      <c r="Q70" s="122">
        <f t="shared" si="1"/>
        <v>0</v>
      </c>
      <c r="R70" s="118"/>
      <c r="S70" s="118"/>
      <c r="T70" s="118">
        <v>4054620.0</v>
      </c>
      <c r="U70" s="118"/>
      <c r="V70" s="78"/>
      <c r="W70" s="78"/>
      <c r="X70" s="78"/>
      <c r="Y70" s="78"/>
      <c r="Z70" s="78"/>
    </row>
    <row r="71" ht="22.5" customHeight="1">
      <c r="A71" s="118">
        <v>70.0</v>
      </c>
      <c r="B71" s="119">
        <v>46028.0</v>
      </c>
      <c r="C71" s="118" t="s">
        <v>3822</v>
      </c>
      <c r="D71" s="118" t="str">
        <f>IFERROR(__xludf.DUMMYFUNCTION("IFERROR(
  INDEX(
    FILTER(
      'NOMBRE DE PRODUCTOS'!B:B,
      REGEXMATCH(
        UPPER(
          INDEX(
            REPORTE_DROPI!AC:AC,
            MATCH(T71, REPORTE_DROPI!B:B, 0)
          )
        ),
        UPPER('NOMBRE DE PRODUCTOS'!A:A)
"&amp;"      )
    ),
    1
  ),
  ""REVISAR""
)
"),"FilmPro®")</f>
        <v>FilmPro®</v>
      </c>
      <c r="E71" s="120">
        <f t="array" ref="E71">IF(
UPPER(TRIM(CLEAN($O71)))="ENTREGADO",
IFERROR(
INDEX(REPORTE_DROPI!Y:Y,
MATCH($T71, REPORTE_DROPI!B:B, 0)
),
""
),
""
)
</f>
        <v>7.05</v>
      </c>
      <c r="F71" s="121">
        <v>3.0</v>
      </c>
      <c r="G71" s="122">
        <f t="array" ref="G71">IF(
UPPER(TRIM(CLEAN($O71)))="ENTREGADO",
IFERROR(
INDEX(REPORTE_DROPI!R:R,
MATCH($T71, REPORTE_DROPI!B:B, 0)
),
""
),
""
)
</f>
        <v>30</v>
      </c>
      <c r="H71" s="118" t="s">
        <v>3727</v>
      </c>
      <c r="I71" s="118" t="s">
        <v>3740</v>
      </c>
      <c r="J71" s="121">
        <f t="array" ref="J71">IF(
UPPER(TRIM(CLEAN($O71)))="ENTREGADO",
IFERROR(
INDEX(REPORTE_DROPI!T:T,
MATCH($T71, REPORTE_DROPI!B:B, 0)
),
""
),
""
)
</f>
        <v>7.82</v>
      </c>
      <c r="K71" s="118">
        <f t="array" ref="K71">IFERROR(
INDEX(REPORTE_DROPI!S:S,
MATCH($T71, REPORTE_DROPI!B:B, 0)
),
""
)
</f>
        <v>15.13</v>
      </c>
      <c r="L71" s="118" t="str">
        <f>IF(
  O71&lt;&gt;"DEVOLUCION",
  "",
  IF(
    T71="",
    "",
    SUMIF(DEVOLUCION!F:F, T71, DEVOLUCION!D:D)
  )
)
</f>
        <v/>
      </c>
      <c r="M71" s="123" t="s">
        <v>3729</v>
      </c>
      <c r="N71" s="118">
        <v>4701.0</v>
      </c>
      <c r="O71" s="118" t="str">
        <f t="array" ref="O71">IFERROR(
VLOOKUP(
TRIM(CLEAN(
INDEX(REPORTE_DROPI!K:K,
MATCH(T71, REPORTE_DROPI!B:B, 0)
))),
{
TRIM(CLEAN(MAPA_ESTADOS!A:A)) ,
MAPA_ESTADOS!B:B
},
2,
FALSE
),
"REVISAR"
)
</f>
        <v>ENTREGADO</v>
      </c>
      <c r="P71" s="118"/>
      <c r="Q71" s="122">
        <f t="shared" si="1"/>
        <v>0</v>
      </c>
      <c r="R71" s="118"/>
      <c r="S71" s="118"/>
      <c r="T71" s="118">
        <f t="array" ref="T71">IFERROR(
INDEX(REPORTE_DROPI!B:B,
MATCH(
CLEAN(TRIM(C71)),
CLEAN(TRIM(REPORTE_DROPI!E:E)),
0
)
),
""
)
</f>
        <v>4066961</v>
      </c>
      <c r="U71" s="118"/>
      <c r="V71" s="78"/>
      <c r="W71" s="78"/>
      <c r="X71" s="78"/>
      <c r="Y71" s="78"/>
      <c r="Z71" s="78"/>
    </row>
    <row r="72" ht="22.5" customHeight="1">
      <c r="A72" s="118">
        <v>71.0</v>
      </c>
      <c r="B72" s="119">
        <v>46028.0</v>
      </c>
      <c r="C72" s="118" t="s">
        <v>3823</v>
      </c>
      <c r="D72" s="118" t="str">
        <f>IFERROR(__xludf.DUMMYFUNCTION("IFERROR(
  INDEX(
    FILTER(
      'NOMBRE DE PRODUCTOS'!B:B,
      REGEXMATCH(
        UPPER(
          INDEX(
            REPORTE_DROPI!AC:AC,
            MATCH(T72, REPORTE_DROPI!B:B, 0)
          )
        ),
        UPPER('NOMBRE DE PRODUCTOS'!A:A)
"&amp;"      )
    ),
    1
  ),
  ""REVISAR""
)
"),"FilmPro®")</f>
        <v>FilmPro®</v>
      </c>
      <c r="E72" s="120">
        <f t="array" ref="E72">IF(
UPPER(TRIM(CLEAN($O72)))="ENTREGADO",
IFERROR(
INDEX(REPORTE_DROPI!Y:Y,
MATCH($T72, REPORTE_DROPI!B:B, 0)
),
""
),
""
)
</f>
        <v>8.37</v>
      </c>
      <c r="F72" s="121">
        <v>3.0</v>
      </c>
      <c r="G72" s="122">
        <f t="array" ref="G72">IF(
UPPER(TRIM(CLEAN($O72)))="ENTREGADO",
IFERROR(
INDEX(REPORTE_DROPI!R:R,
MATCH($T72, REPORTE_DROPI!B:B, 0)
),
""
),
""
)
</f>
        <v>30</v>
      </c>
      <c r="H72" s="118" t="s">
        <v>3727</v>
      </c>
      <c r="I72" s="118" t="s">
        <v>3731</v>
      </c>
      <c r="J72" s="121">
        <f t="array" ref="J72">IF(
UPPER(TRIM(CLEAN($O72)))="ENTREGADO",
IFERROR(
INDEX(REPORTE_DROPI!T:T,
MATCH($T72, REPORTE_DROPI!B:B, 0)
),
""
),
""
)
</f>
        <v>6.16</v>
      </c>
      <c r="K72" s="118">
        <f t="array" ref="K72">IFERROR(
INDEX(REPORTE_DROPI!S:S,
MATCH($T72, REPORTE_DROPI!B:B, 0)
),
""
)
</f>
        <v>15.47</v>
      </c>
      <c r="L72" s="118" t="str">
        <f>IF(
  O72&lt;&gt;"DEVOLUCION",
  "",
  IF(
    T72="",
    "",
    SUMIF(DEVOLUCION!F:F, T72, DEVOLUCION!D:D)
  )
)
</f>
        <v/>
      </c>
      <c r="M72" s="123" t="s">
        <v>3729</v>
      </c>
      <c r="N72" s="118">
        <v>4702.0</v>
      </c>
      <c r="O72" s="118" t="str">
        <f t="array" ref="O72">IFERROR(
VLOOKUP(
TRIM(CLEAN(
INDEX(REPORTE_DROPI!K:K,
MATCH(T72, REPORTE_DROPI!B:B, 0)
))),
{
TRIM(CLEAN(MAPA_ESTADOS!A:A)) ,
MAPA_ESTADOS!B:B
},
2,
FALSE
),
"REVISAR"
)
</f>
        <v>ENTREGADO</v>
      </c>
      <c r="P72" s="118"/>
      <c r="Q72" s="122">
        <f t="shared" si="1"/>
        <v>0</v>
      </c>
      <c r="R72" s="118"/>
      <c r="S72" s="118"/>
      <c r="T72" s="118">
        <f t="array" ref="T72">IFERROR(
INDEX(REPORTE_DROPI!B:B,
MATCH(
CLEAN(TRIM(C72)),
CLEAN(TRIM(REPORTE_DROPI!E:E)),
0
)
),
""
)
</f>
        <v>4046403</v>
      </c>
      <c r="U72" s="118"/>
      <c r="V72" s="78"/>
      <c r="W72" s="78"/>
      <c r="X72" s="78"/>
      <c r="Y72" s="78"/>
      <c r="Z72" s="78"/>
    </row>
    <row r="73" ht="22.5" customHeight="1">
      <c r="A73" s="118">
        <v>72.0</v>
      </c>
      <c r="B73" s="119">
        <v>46028.0</v>
      </c>
      <c r="C73" s="118" t="s">
        <v>3824</v>
      </c>
      <c r="D73" s="118" t="str">
        <f>IFERROR(__xludf.DUMMYFUNCTION("IFERROR(
  INDEX(
    FILTER(
      'NOMBRE DE PRODUCTOS'!B:B,
      REGEXMATCH(
        UPPER(
          INDEX(
            REPORTE_DROPI!AC:AC,
            MATCH(T73, REPORTE_DROPI!B:B, 0)
          )
        ),
        UPPER('NOMBRE DE PRODUCTOS'!A:A)
"&amp;"      )
    ),
    1
  ),
  ""REVISAR""
)
"),"Llave Multifuncional 360™")</f>
        <v>Llave Multifuncional 360™</v>
      </c>
      <c r="E73" s="120">
        <f t="array" ref="E73">IF(
UPPER(TRIM(CLEAN($O73)))="ENTREGADO",
IFERROR(
INDEX(REPORTE_DROPI!Y:Y,
MATCH($T73, REPORTE_DROPI!B:B, 0)
),
""
),
""
)
</f>
        <v>10</v>
      </c>
      <c r="F73" s="121">
        <v>2.0</v>
      </c>
      <c r="G73" s="122">
        <f t="array" ref="G73">IF(
UPPER(TRIM(CLEAN($O73)))="ENTREGADO",
IFERROR(
INDEX(REPORTE_DROPI!R:R,
MATCH($T73, REPORTE_DROPI!B:B, 0)
),
""
),
""
)
</f>
        <v>32</v>
      </c>
      <c r="H73" s="118" t="s">
        <v>3727</v>
      </c>
      <c r="I73" s="118" t="s">
        <v>3731</v>
      </c>
      <c r="J73" s="121">
        <f t="array" ref="J73">IF(
UPPER(TRIM(CLEAN($O73)))="ENTREGADO",
IFERROR(
INDEX(REPORTE_DROPI!T:T,
MATCH($T73, REPORTE_DROPI!B:B, 0)
),
""
),
""
)
</f>
        <v>4.63</v>
      </c>
      <c r="K73" s="118">
        <f t="array" ref="K73">IFERROR(
INDEX(REPORTE_DROPI!S:S,
MATCH($T73, REPORTE_DROPI!B:B, 0)
),
""
)
</f>
        <v>17.37</v>
      </c>
      <c r="L73" s="118" t="str">
        <f>IF(
  O73&lt;&gt;"DEVOLUCION",
  "",
  IF(
    T73="",
    "",
    SUMIF(DEVOLUCION!F:F, T73, DEVOLUCION!D:D)
  )
)
</f>
        <v/>
      </c>
      <c r="M73" s="123" t="s">
        <v>3729</v>
      </c>
      <c r="N73" s="118">
        <v>4703.0</v>
      </c>
      <c r="O73" s="118" t="str">
        <f t="array" ref="O73">IFERROR(
VLOOKUP(
TRIM(CLEAN(
INDEX(REPORTE_DROPI!K:K,
MATCH(T73, REPORTE_DROPI!B:B, 0)
))),
{
TRIM(CLEAN(MAPA_ESTADOS!A:A)) ,
MAPA_ESTADOS!B:B
},
2,
FALSE
),
"REVISAR"
)
</f>
        <v>ENTREGADO</v>
      </c>
      <c r="P73" s="118"/>
      <c r="Q73" s="122">
        <f t="shared" si="1"/>
        <v>0</v>
      </c>
      <c r="R73" s="118"/>
      <c r="S73" s="118"/>
      <c r="T73" s="118">
        <f t="array" ref="T73">IFERROR(
INDEX(REPORTE_DROPI!B:B,
MATCH(
CLEAN(TRIM(C73)),
CLEAN(TRIM(REPORTE_DROPI!E:E)),
0
)
),
""
)
</f>
        <v>4054504</v>
      </c>
      <c r="U73" s="118"/>
      <c r="V73" s="78"/>
      <c r="W73" s="78"/>
      <c r="X73" s="78"/>
      <c r="Y73" s="78"/>
      <c r="Z73" s="78"/>
    </row>
    <row r="74" ht="22.5" customHeight="1">
      <c r="A74" s="118">
        <v>73.0</v>
      </c>
      <c r="B74" s="119">
        <v>46028.0</v>
      </c>
      <c r="C74" s="126" t="s">
        <v>3825</v>
      </c>
      <c r="D74" s="118" t="s">
        <v>184</v>
      </c>
      <c r="E74" s="120" t="str">
        <f t="array" ref="E74">IF(
UPPER(TRIM(CLEAN($O74)))="ENTREGADO",
IFERROR(
INDEX(REPORTE_DROPI!Y:Y,
MATCH($T74, REPORTE_DROPI!B:B, 0)
),
""
),
""
)
</f>
        <v/>
      </c>
      <c r="F74" s="121">
        <v>1.0</v>
      </c>
      <c r="G74" s="122" t="str">
        <f t="array" ref="G74">IF(
UPPER(TRIM(CLEAN($O74)))="ENTREGADO",
IFERROR(
INDEX(REPORTE_DROPI!R:R,
MATCH($T74, REPORTE_DROPI!B:B, 0)
),
""
),
""
)
</f>
        <v/>
      </c>
      <c r="H74" s="118" t="s">
        <v>3727</v>
      </c>
      <c r="I74" s="118" t="s">
        <v>3778</v>
      </c>
      <c r="J74" s="121" t="str">
        <f t="array" ref="J74">IF(
UPPER(TRIM(CLEAN($O74)))="ENTREGADO",
IFERROR(
INDEX(REPORTE_DROPI!T:T,
MATCH($T74, REPORTE_DROPI!B:B, 0)
),
""
),
""
)
</f>
        <v/>
      </c>
      <c r="K74" s="118" t="str">
        <f t="array" ref="K74">IFERROR(
INDEX(REPORTE_DROPI!S:S,
MATCH($T74, REPORTE_DROPI!B:B, 0)
),
""
)
</f>
        <v/>
      </c>
      <c r="L74" s="118" t="str">
        <f>IF(
  O74&lt;&gt;"DEVOLUCION",
  "",
  IF(
    T74="",
    "",
    SUMIF(DEVOLUCION!F:F, T74, DEVOLUCION!D:D)
  )
)
</f>
        <v/>
      </c>
      <c r="M74" s="123" t="s">
        <v>3718</v>
      </c>
      <c r="N74" s="118">
        <v>4704.0</v>
      </c>
      <c r="O74" s="118" t="str">
        <f t="array" ref="O74">IFERROR(
VLOOKUP(
TRIM(CLEAN(
INDEX(REPORTE_DROPI!K:K,
MATCH(T74, REPORTE_DROPI!B:B, 0)
))),
{
TRIM(CLEAN(MAPA_ESTADOS!A:A)) ,
MAPA_ESTADOS!B:B
},
2,
FALSE
),
"REVISAR"
)
</f>
        <v>REVISAR</v>
      </c>
      <c r="P74" s="118"/>
      <c r="Q74" s="122">
        <f t="shared" si="1"/>
        <v>0</v>
      </c>
      <c r="R74" s="118"/>
      <c r="S74" s="118"/>
      <c r="T74" s="118"/>
      <c r="U74" s="118"/>
      <c r="V74" s="78"/>
      <c r="W74" s="78"/>
      <c r="X74" s="78"/>
      <c r="Y74" s="78"/>
      <c r="Z74" s="78"/>
    </row>
    <row r="75" ht="22.5" customHeight="1">
      <c r="A75" s="118">
        <v>74.0</v>
      </c>
      <c r="B75" s="119">
        <v>46028.0</v>
      </c>
      <c r="C75" s="126" t="s">
        <v>3826</v>
      </c>
      <c r="D75" s="118" t="s">
        <v>3827</v>
      </c>
      <c r="E75" s="120" t="str">
        <f t="array" ref="E75">IF(
UPPER(TRIM(CLEAN($O75)))="ENTREGADO",
IFERROR(
INDEX(REPORTE_DROPI!Y:Y,
MATCH($T75, REPORTE_DROPI!B:B, 0)
),
""
),
""
)
</f>
        <v/>
      </c>
      <c r="F75" s="121">
        <v>1.0</v>
      </c>
      <c r="G75" s="122" t="str">
        <f t="array" ref="G75">IF(
UPPER(TRIM(CLEAN($O75)))="ENTREGADO",
IFERROR(
INDEX(REPORTE_DROPI!R:R,
MATCH($T75, REPORTE_DROPI!B:B, 0)
),
""
),
""
)
</f>
        <v/>
      </c>
      <c r="H75" s="118" t="s">
        <v>3727</v>
      </c>
      <c r="I75" s="118" t="s">
        <v>3744</v>
      </c>
      <c r="J75" s="121" t="str">
        <f t="array" ref="J75">IF(
UPPER(TRIM(CLEAN($O75)))="ENTREGADO",
IFERROR(
INDEX(REPORTE_DROPI!T:T,
MATCH($T75, REPORTE_DROPI!B:B, 0)
),
""
),
""
)
</f>
        <v/>
      </c>
      <c r="K75" s="118" t="str">
        <f t="array" ref="K75">IFERROR(
INDEX(REPORTE_DROPI!S:S,
MATCH($T75, REPORTE_DROPI!B:B, 0)
),
""
)
</f>
        <v/>
      </c>
      <c r="L75" s="118" t="str">
        <f>IF(
  O75&lt;&gt;"DEVOLUCION",
  "",
  IF(
    T75="",
    "",
    SUMIF(DEVOLUCION!F:F, T75, DEVOLUCION!D:D)
  )
)
</f>
        <v/>
      </c>
      <c r="M75" s="123" t="s">
        <v>3729</v>
      </c>
      <c r="N75" s="118">
        <v>4705.0</v>
      </c>
      <c r="O75" s="118" t="str">
        <f t="array" ref="O75">IFERROR(
VLOOKUP(
TRIM(CLEAN(
INDEX(REPORTE_DROPI!K:K,
MATCH(T75, REPORTE_DROPI!B:B, 0)
))),
{
TRIM(CLEAN(MAPA_ESTADOS!A:A)) ,
MAPA_ESTADOS!B:B
},
2,
FALSE
),
"REVISAR"
)
</f>
        <v>REVISAR</v>
      </c>
      <c r="P75" s="118"/>
      <c r="Q75" s="122">
        <f t="shared" si="1"/>
        <v>0</v>
      </c>
      <c r="R75" s="118"/>
      <c r="S75" s="118"/>
      <c r="T75" s="118"/>
      <c r="U75" s="118"/>
      <c r="V75" s="78"/>
      <c r="W75" s="78"/>
      <c r="X75" s="78"/>
      <c r="Y75" s="78"/>
      <c r="Z75" s="78"/>
    </row>
    <row r="76" ht="22.5" customHeight="1">
      <c r="A76" s="118">
        <v>75.0</v>
      </c>
      <c r="B76" s="119">
        <v>46028.0</v>
      </c>
      <c r="C76" s="118" t="s">
        <v>3828</v>
      </c>
      <c r="D76" s="118" t="str">
        <f>IFERROR(__xludf.DUMMYFUNCTION("IFERROR(
  INDEX(
    FILTER(
      'NOMBRE DE PRODUCTOS'!B:B,
      REGEXMATCH(
        UPPER(
          INDEX(
            REPORTE_DROPI!AC:AC,
            MATCH(T76, REPORTE_DROPI!B:B, 0)
          )
        ),
        UPPER('NOMBRE DE PRODUCTOS'!A:A)
"&amp;"      )
    ),
    1
  ),
  ""REVISAR""
)
"),"Llave Multifuncional 360™")</f>
        <v>Llave Multifuncional 360™</v>
      </c>
      <c r="E76" s="120" t="str">
        <f t="array" ref="E76">IF(
UPPER(TRIM(CLEAN($O76)))="ENTREGADO",
IFERROR(
INDEX(REPORTE_DROPI!Y:Y,
MATCH($T76, REPORTE_DROPI!B:B, 0)
),
""
),
""
)
</f>
        <v/>
      </c>
      <c r="F76" s="121">
        <v>1.0</v>
      </c>
      <c r="G76" s="122" t="str">
        <f t="array" ref="G76">IF(
UPPER(TRIM(CLEAN($O76)))="ENTREGADO",
IFERROR(
INDEX(REPORTE_DROPI!R:R,
MATCH($T76, REPORTE_DROPI!B:B, 0)
),
""
),
""
)
</f>
        <v/>
      </c>
      <c r="H76" s="118" t="s">
        <v>3727</v>
      </c>
      <c r="I76" s="118" t="s">
        <v>3751</v>
      </c>
      <c r="J76" s="121" t="str">
        <f t="array" ref="J76">IF(
UPPER(TRIM(CLEAN($O76)))="ENTREGADO",
IFERROR(
INDEX(REPORTE_DROPI!T:T,
MATCH($T76, REPORTE_DROPI!B:B, 0)
),
""
),
""
)
</f>
        <v/>
      </c>
      <c r="K76" s="118" t="str">
        <f t="array" ref="K76">IFERROR(
INDEX(REPORTE_DROPI!S:S,
MATCH($T76, REPORTE_DROPI!B:B, 0)
),
""
)
</f>
        <v/>
      </c>
      <c r="L76" s="118">
        <f>IF(
  O76&lt;&gt;"DEVOLUCION",
  "",
  IF(
    T76="",
    "",
    SUMIF(DEVOLUCION!F:F, T76, DEVOLUCION!D:D)
  )
)
</f>
        <v>5.07</v>
      </c>
      <c r="M76" s="123" t="s">
        <v>3729</v>
      </c>
      <c r="N76" s="118">
        <v>4706.0</v>
      </c>
      <c r="O76" s="118" t="str">
        <f t="array" ref="O76">IFERROR(
VLOOKUP(
TRIM(CLEAN(
INDEX(REPORTE_DROPI!K:K,
MATCH(T76, REPORTE_DROPI!B:B, 0)
))),
{
TRIM(CLEAN(MAPA_ESTADOS!A:A)) ,
MAPA_ESTADOS!B:B
},
2,
FALSE
),
"REVISAR"
)
</f>
        <v>DEVOLUCION</v>
      </c>
      <c r="P76" s="118"/>
      <c r="Q76" s="122">
        <f t="shared" si="1"/>
        <v>0</v>
      </c>
      <c r="R76" s="118" t="s">
        <v>3675</v>
      </c>
      <c r="S76" s="118">
        <v>1.0</v>
      </c>
      <c r="T76" s="118">
        <f t="array" ref="T76">IFERROR(
INDEX(REPORTE_DROPI!B:B,
MATCH(
CLEAN(TRIM(C76)),
CLEAN(TRIM(REPORTE_DROPI!E:E)),
0
)
),
""
)
</f>
        <v>4054021</v>
      </c>
      <c r="U76" s="118"/>
      <c r="V76" s="78"/>
      <c r="W76" s="78"/>
      <c r="X76" s="78"/>
      <c r="Y76" s="78"/>
      <c r="Z76" s="78"/>
    </row>
    <row r="77" ht="22.5" customHeight="1">
      <c r="A77" s="118">
        <v>76.0</v>
      </c>
      <c r="B77" s="119">
        <v>46028.0</v>
      </c>
      <c r="C77" s="118" t="s">
        <v>3829</v>
      </c>
      <c r="D77" s="118" t="str">
        <f>IFERROR(__xludf.DUMMYFUNCTION("IFERROR(
  INDEX(
    FILTER(
      'NOMBRE DE PRODUCTOS'!B:B,
      REGEXMATCH(
        UPPER(
          INDEX(
            REPORTE_DROPI!AC:AC,
            MATCH(T77, REPORTE_DROPI!B:B, 0)
          )
        ),
        UPPER('NOMBRE DE PRODUCTOS'!A:A)
"&amp;"      )
    ),
    1
  ),
  ""REVISAR""
)
"),"Llave Multifuncional 360™")</f>
        <v>Llave Multifuncional 360™</v>
      </c>
      <c r="E77" s="120">
        <f t="array" ref="E77">IF(
UPPER(TRIM(CLEAN($O77)))="ENTREGADO",
IFERROR(
INDEX(REPORTE_DROPI!Y:Y,
MATCH($T77, REPORTE_DROPI!B:B, 0)
),
""
),
""
)
</f>
        <v>5</v>
      </c>
      <c r="F77" s="121">
        <v>1.0</v>
      </c>
      <c r="G77" s="122">
        <f t="array" ref="G77">IF(
UPPER(TRIM(CLEAN($O77)))="ENTREGADO",
IFERROR(
INDEX(REPORTE_DROPI!R:R,
MATCH($T77, REPORTE_DROPI!B:B, 0)
),
""
),
""
)
</f>
        <v>21.99</v>
      </c>
      <c r="H77" s="118" t="s">
        <v>3727</v>
      </c>
      <c r="I77" s="118" t="s">
        <v>3830</v>
      </c>
      <c r="J77" s="121">
        <f t="array" ref="J77">IF(
UPPER(TRIM(CLEAN($O77)))="ENTREGADO",
IFERROR(
INDEX(REPORTE_DROPI!T:T,
MATCH($T77, REPORTE_DROPI!B:B, 0)
),
""
),
""
)
</f>
        <v>5.84</v>
      </c>
      <c r="K77" s="118">
        <f t="array" ref="K77">IFERROR(
INDEX(REPORTE_DROPI!S:S,
MATCH($T77, REPORTE_DROPI!B:B, 0)
),
""
)
</f>
        <v>11.15</v>
      </c>
      <c r="L77" s="118" t="str">
        <f>IF(
  O77&lt;&gt;"DEVOLUCION",
  "",
  IF(
    T77="",
    "",
    SUMIF(DEVOLUCION!F:F, T77, DEVOLUCION!D:D)
  )
)
</f>
        <v/>
      </c>
      <c r="M77" s="123" t="s">
        <v>3729</v>
      </c>
      <c r="N77" s="118">
        <v>4707.0</v>
      </c>
      <c r="O77" s="118" t="str">
        <f t="array" ref="O77">IFERROR(
VLOOKUP(
TRIM(CLEAN(
INDEX(REPORTE_DROPI!K:K,
MATCH(T77, REPORTE_DROPI!B:B, 0)
))),
{
TRIM(CLEAN(MAPA_ESTADOS!A:A)) ,
MAPA_ESTADOS!B:B
},
2,
FALSE
),
"REVISAR"
)
</f>
        <v>ENTREGADO</v>
      </c>
      <c r="P77" s="118"/>
      <c r="Q77" s="122">
        <f t="shared" si="1"/>
        <v>0</v>
      </c>
      <c r="R77" s="118"/>
      <c r="S77" s="118"/>
      <c r="T77" s="118">
        <f t="array" ref="T77">IFERROR(
INDEX(REPORTE_DROPI!B:B,
MATCH(
CLEAN(TRIM(C77)),
CLEAN(TRIM(REPORTE_DROPI!E:E)),
0
)
),
""
)
</f>
        <v>4053813</v>
      </c>
      <c r="U77" s="118"/>
      <c r="V77" s="78"/>
      <c r="W77" s="78"/>
      <c r="X77" s="78"/>
      <c r="Y77" s="78"/>
      <c r="Z77" s="78"/>
    </row>
    <row r="78" ht="22.5" customHeight="1">
      <c r="A78" s="118">
        <v>77.0</v>
      </c>
      <c r="B78" s="119">
        <v>46028.0</v>
      </c>
      <c r="C78" s="118" t="s">
        <v>3831</v>
      </c>
      <c r="D78" s="118" t="str">
        <f>IFERROR(__xludf.DUMMYFUNCTION("IFERROR(
  INDEX(
    FILTER(
      'NOMBRE DE PRODUCTOS'!B:B,
      REGEXMATCH(
        UPPER(
          INDEX(
            REPORTE_DROPI!AC:AC,
            MATCH(T78, REPORTE_DROPI!B:B, 0)
          )
        ),
        UPPER('NOMBRE DE PRODUCTOS'!A:A)
"&amp;"      )
    ),
    1
  ),
  ""REVISAR""
)
"),"FilmPro®")</f>
        <v>FilmPro®</v>
      </c>
      <c r="E78" s="120" t="str">
        <f t="array" ref="E78">IF(
UPPER(TRIM(CLEAN($O78)))="ENTREGADO",
IFERROR(
INDEX(REPORTE_DROPI!Y:Y,
MATCH($T78, REPORTE_DROPI!B:B, 0)
),
""
),
""
)
</f>
        <v/>
      </c>
      <c r="F78" s="121">
        <v>2.0</v>
      </c>
      <c r="G78" s="122" t="str">
        <f t="array" ref="G78">IF(
UPPER(TRIM(CLEAN($O78)))="ENTREGADO",
IFERROR(
INDEX(REPORTE_DROPI!R:R,
MATCH($T78, REPORTE_DROPI!B:B, 0)
),
""
),
""
)
</f>
        <v/>
      </c>
      <c r="H78" s="118" t="s">
        <v>3727</v>
      </c>
      <c r="I78" s="118" t="s">
        <v>3740</v>
      </c>
      <c r="J78" s="121" t="str">
        <f t="array" ref="J78">IF(
UPPER(TRIM(CLEAN($O78)))="ENTREGADO",
IFERROR(
INDEX(REPORTE_DROPI!T:T,
MATCH($T78, REPORTE_DROPI!B:B, 0)
),
""
),
""
)
</f>
        <v/>
      </c>
      <c r="K78" s="118" t="str">
        <f t="array" ref="K78">IFERROR(
INDEX(REPORTE_DROPI!S:S,
MATCH($T78, REPORTE_DROPI!B:B, 0)
),
""
)
</f>
        <v/>
      </c>
      <c r="L78" s="118">
        <f>IF(
  O78&lt;&gt;"DEVOLUCION",
  "",
  IF(
    T78="",
    "",
    SUMIF(DEVOLUCION!F:F, T78, DEVOLUCION!D:D)
  )
)
</f>
        <v>7.75</v>
      </c>
      <c r="M78" s="123" t="s">
        <v>3729</v>
      </c>
      <c r="N78" s="118">
        <v>4708.0</v>
      </c>
      <c r="O78" s="118" t="str">
        <f t="array" ref="O78">IFERROR(
VLOOKUP(
TRIM(CLEAN(
INDEX(REPORTE_DROPI!K:K,
MATCH(T78, REPORTE_DROPI!B:B, 0)
))),
{
TRIM(CLEAN(MAPA_ESTADOS!A:A)) ,
MAPA_ESTADOS!B:B
},
2,
FALSE
),
"REVISAR"
)
</f>
        <v>DEVOLUCION</v>
      </c>
      <c r="P78" s="118"/>
      <c r="Q78" s="122">
        <f t="shared" si="1"/>
        <v>0</v>
      </c>
      <c r="R78" s="118"/>
      <c r="S78" s="118"/>
      <c r="T78" s="118">
        <f t="array" ref="T78">IFERROR(
INDEX(REPORTE_DROPI!B:B,
MATCH(
CLEAN(TRIM(C78)),
CLEAN(TRIM(REPORTE_DROPI!E:E)),
0
)
),
""
)
</f>
        <v>4048599</v>
      </c>
      <c r="U78" s="118"/>
      <c r="V78" s="78"/>
      <c r="W78" s="78"/>
      <c r="X78" s="78"/>
      <c r="Y78" s="78"/>
      <c r="Z78" s="78"/>
    </row>
    <row r="79" ht="22.5" customHeight="1">
      <c r="A79" s="118">
        <v>78.0</v>
      </c>
      <c r="B79" s="119">
        <v>46028.0</v>
      </c>
      <c r="C79" s="126" t="s">
        <v>3832</v>
      </c>
      <c r="D79" s="118" t="s">
        <v>184</v>
      </c>
      <c r="E79" s="120" t="str">
        <f t="array" ref="E79">IF(
UPPER(TRIM(CLEAN($O79)))="ENTREGADO",
IFERROR(
INDEX(REPORTE_DROPI!Y:Y,
MATCH($T79, REPORTE_DROPI!B:B, 0)
),
""
),
""
)
</f>
        <v/>
      </c>
      <c r="F79" s="121">
        <v>1.0</v>
      </c>
      <c r="G79" s="122" t="str">
        <f t="array" ref="G79">IF(
UPPER(TRIM(CLEAN($O79)))="ENTREGADO",
IFERROR(
INDEX(REPORTE_DROPI!R:R,
MATCH($T79, REPORTE_DROPI!B:B, 0)
),
""
),
""
)
</f>
        <v/>
      </c>
      <c r="H79" s="118" t="s">
        <v>3727</v>
      </c>
      <c r="I79" s="118" t="s">
        <v>3728</v>
      </c>
      <c r="J79" s="121" t="str">
        <f t="array" ref="J79">IF(
UPPER(TRIM(CLEAN($O79)))="ENTREGADO",
IFERROR(
INDEX(REPORTE_DROPI!T:T,
MATCH($T79, REPORTE_DROPI!B:B, 0)
),
""
),
""
)
</f>
        <v/>
      </c>
      <c r="K79" s="118" t="str">
        <f t="array" ref="K79">IFERROR(
INDEX(REPORTE_DROPI!S:S,
MATCH($T79, REPORTE_DROPI!B:B, 0)
),
""
)
</f>
        <v/>
      </c>
      <c r="L79" s="118" t="str">
        <f>IF(
  O79&lt;&gt;"DEVOLUCION",
  "",
  IF(
    T79="",
    "",
    SUMIF(DEVOLUCION!F:F, T79, DEVOLUCION!D:D)
  )
)
</f>
        <v/>
      </c>
      <c r="M79" s="123" t="s">
        <v>3729</v>
      </c>
      <c r="N79" s="118">
        <v>4709.0</v>
      </c>
      <c r="O79" s="118" t="str">
        <f t="array" ref="O79">IFERROR(
VLOOKUP(
TRIM(CLEAN(
INDEX(REPORTE_DROPI!K:K,
MATCH(T79, REPORTE_DROPI!B:B, 0)
))),
{
TRIM(CLEAN(MAPA_ESTADOS!A:A)) ,
MAPA_ESTADOS!B:B
},
2,
FALSE
),
"REVISAR"
)
</f>
        <v>REVISAR</v>
      </c>
      <c r="P79" s="118" t="s">
        <v>3799</v>
      </c>
      <c r="Q79" s="122">
        <f t="shared" si="1"/>
        <v>0</v>
      </c>
      <c r="R79" s="118"/>
      <c r="S79" s="118"/>
      <c r="T79" s="118" t="str">
        <f t="array" ref="T79">IFERROR(
INDEX(REPORTE_DROPI!B:B,
MATCH(
CLEAN(TRIM(C79)),
CLEAN(TRIM(REPORTE_DROPI!E:E)),
0
)
),
""
)
</f>
        <v/>
      </c>
      <c r="U79" s="118"/>
      <c r="V79" s="78"/>
      <c r="W79" s="78"/>
      <c r="X79" s="78"/>
      <c r="Y79" s="78"/>
      <c r="Z79" s="78"/>
    </row>
    <row r="80" ht="22.5" customHeight="1">
      <c r="A80" s="118">
        <v>79.0</v>
      </c>
      <c r="B80" s="119">
        <v>46028.0</v>
      </c>
      <c r="C80" s="118" t="s">
        <v>3833</v>
      </c>
      <c r="D80" s="118" t="str">
        <f>IFERROR(__xludf.DUMMYFUNCTION("IFERROR(
  INDEX(
    FILTER(
      'NOMBRE DE PRODUCTOS'!B:B,
      REGEXMATCH(
        UPPER(
          INDEX(
            REPORTE_DROPI!AC:AC,
            MATCH(T80, REPORTE_DROPI!B:B, 0)
          )
        ),
        UPPER('NOMBRE DE PRODUCTOS'!A:A)
"&amp;"      )
    ),
    1
  ),
  ""REVISAR""
)
"),"FilmPro®")</f>
        <v>FilmPro®</v>
      </c>
      <c r="E80" s="120">
        <f t="array" ref="E80">IF(
UPPER(TRIM(CLEAN($O80)))="ENTREGADO",
IFERROR(
INDEX(REPORTE_DROPI!Y:Y,
MATCH($T80, REPORTE_DROPI!B:B, 0)
),
""
),
""
)
</f>
        <v>8.37</v>
      </c>
      <c r="F80" s="121">
        <v>3.0</v>
      </c>
      <c r="G80" s="122">
        <f t="array" ref="G80">IF(
UPPER(TRIM(CLEAN($O80)))="ENTREGADO",
IFERROR(
INDEX(REPORTE_DROPI!R:R,
MATCH($T80, REPORTE_DROPI!B:B, 0)
),
""
),
""
)
</f>
        <v>30</v>
      </c>
      <c r="H80" s="118" t="s">
        <v>3727</v>
      </c>
      <c r="I80" s="118" t="s">
        <v>3751</v>
      </c>
      <c r="J80" s="121">
        <f t="array" ref="J80">IF(
UPPER(TRIM(CLEAN($O80)))="ENTREGADO",
IFERROR(
INDEX(REPORTE_DROPI!T:T,
MATCH($T80, REPORTE_DROPI!B:B, 0)
),
""
),
""
)
</f>
        <v>6.16</v>
      </c>
      <c r="K80" s="118">
        <f t="array" ref="K80">IFERROR(
INDEX(REPORTE_DROPI!S:S,
MATCH($T80, REPORTE_DROPI!B:B, 0)
),
""
)
</f>
        <v>15.47</v>
      </c>
      <c r="L80" s="118" t="str">
        <f>IF(
  O80&lt;&gt;"DEVOLUCION",
  "",
  IF(
    T80="",
    "",
    SUMIF(DEVOLUCION!F:F, T80, DEVOLUCION!D:D)
  )
)
</f>
        <v/>
      </c>
      <c r="M80" s="123" t="s">
        <v>3729</v>
      </c>
      <c r="N80" s="118">
        <v>4710.0</v>
      </c>
      <c r="O80" s="118" t="str">
        <f t="array" ref="O80">IFERROR(
VLOOKUP(
TRIM(CLEAN(
INDEX(REPORTE_DROPI!K:K,
MATCH(T80, REPORTE_DROPI!B:B, 0)
))),
{
TRIM(CLEAN(MAPA_ESTADOS!A:A)) ,
MAPA_ESTADOS!B:B
},
2,
FALSE
),
"REVISAR"
)
</f>
        <v>ENTREGADO</v>
      </c>
      <c r="P80" s="118"/>
      <c r="Q80" s="122">
        <f t="shared" si="1"/>
        <v>0</v>
      </c>
      <c r="R80" s="118"/>
      <c r="S80" s="118"/>
      <c r="T80" s="118">
        <f t="array" ref="T80">IFERROR(
INDEX(REPORTE_DROPI!B:B,
MATCH(
CLEAN(TRIM(C80)),
CLEAN(TRIM(REPORTE_DROPI!E:E)),
0
)
),
""
)
</f>
        <v>4048651</v>
      </c>
      <c r="U80" s="118"/>
      <c r="V80" s="78"/>
      <c r="W80" s="78"/>
      <c r="X80" s="78"/>
      <c r="Y80" s="78"/>
      <c r="Z80" s="78"/>
    </row>
    <row r="81" ht="22.5" customHeight="1">
      <c r="A81" s="118">
        <v>80.0</v>
      </c>
      <c r="B81" s="119">
        <v>46028.0</v>
      </c>
      <c r="C81" s="126" t="s">
        <v>3834</v>
      </c>
      <c r="D81" s="118" t="str">
        <f>IFERROR(__xludf.DUMMYFUNCTION("IFERROR(
  INDEX(
    FILTER(
      'NOMBRE DE PRODUCTOS'!B:B,
      REGEXMATCH(
        UPPER(
          INDEX(
            REPORTE_DROPI!AC:AC,
            MATCH(T81, REPORTE_DROPI!B:B, 0)
          )
        ),
        UPPER('NOMBRE DE PRODUCTOS'!A:A)
"&amp;"      )
    ),
    1
  ),
  ""REVISAR""
)
"),"FLORA FRESH PRO™")</f>
        <v>FLORA FRESH PRO™</v>
      </c>
      <c r="E81" s="120" t="str">
        <f t="array" ref="E81">IF(
UPPER(TRIM(CLEAN($O81)))="ENTREGADO",
IFERROR(
INDEX(REPORTE_DROPI!Y:Y,
MATCH($T81, REPORTE_DROPI!B:B, 0)
),
""
),
""
)
</f>
        <v/>
      </c>
      <c r="F81" s="121">
        <v>2.0</v>
      </c>
      <c r="G81" s="122" t="str">
        <f t="array" ref="G81">IF(
UPPER(TRIM(CLEAN($O81)))="ENTREGADO",
IFERROR(
INDEX(REPORTE_DROPI!R:R,
MATCH($T81, REPORTE_DROPI!B:B, 0)
),
""
),
""
)
</f>
        <v/>
      </c>
      <c r="H81" s="118" t="s">
        <v>3727</v>
      </c>
      <c r="I81" s="118" t="s">
        <v>3731</v>
      </c>
      <c r="J81" s="121" t="str">
        <f t="array" ref="J81">IF(
UPPER(TRIM(CLEAN($O81)))="ENTREGADO",
IFERROR(
INDEX(REPORTE_DROPI!T:T,
MATCH($T81, REPORTE_DROPI!B:B, 0)
),
""
),
""
)
</f>
        <v/>
      </c>
      <c r="K81" s="118" t="str">
        <f t="array" ref="K81">IFERROR(
INDEX(REPORTE_DROPI!S:S,
MATCH($T81, REPORTE_DROPI!B:B, 0)
),
""
)
</f>
        <v/>
      </c>
      <c r="L81" s="118">
        <f>IF(
  O81&lt;&gt;"DEVOLUCION",
  "",
  IF(
    T81="",
    "",
    SUMIF(DEVOLUCION!F:F, T81, DEVOLUCION!D:D)
  )
)
</f>
        <v>5.07</v>
      </c>
      <c r="M81" s="123" t="s">
        <v>3729</v>
      </c>
      <c r="N81" s="118">
        <v>4711.0</v>
      </c>
      <c r="O81" s="118" t="str">
        <f t="array" ref="O81">IFERROR(
VLOOKUP(
TRIM(CLEAN(
INDEX(REPORTE_DROPI!K:K,
MATCH(T81, REPORTE_DROPI!B:B, 0)
))),
{
TRIM(CLEAN(MAPA_ESTADOS!A:A)) ,
MAPA_ESTADOS!B:B
},
2,
FALSE
),
"REVISAR"
)
</f>
        <v>DEVOLUCION</v>
      </c>
      <c r="P81" s="118"/>
      <c r="Q81" s="122">
        <f t="shared" si="1"/>
        <v>0</v>
      </c>
      <c r="R81" s="118"/>
      <c r="S81" s="118"/>
      <c r="T81" s="118">
        <f t="array" ref="T81">IFERROR(
INDEX(REPORTE_DROPI!B:B,
MATCH(
CLEAN(TRIM(C81)),
CLEAN(TRIM(REPORTE_DROPI!E:E)),
0
)
),
""
)
</f>
        <v>4081294</v>
      </c>
      <c r="U81" s="118"/>
      <c r="V81" s="78"/>
      <c r="W81" s="78"/>
      <c r="X81" s="78"/>
      <c r="Y81" s="78"/>
      <c r="Z81" s="78"/>
    </row>
    <row r="82" ht="22.5" customHeight="1">
      <c r="A82" s="118">
        <v>81.0</v>
      </c>
      <c r="B82" s="119">
        <v>46029.0</v>
      </c>
      <c r="C82" s="118" t="s">
        <v>3835</v>
      </c>
      <c r="D82" s="118" t="str">
        <f>IFERROR(__xludf.DUMMYFUNCTION("IFERROR(
  INDEX(
    FILTER(
      'NOMBRE DE PRODUCTOS'!B:B,
      REGEXMATCH(
        UPPER(
          INDEX(
            REPORTE_DROPI!AC:AC,
            MATCH(T82, REPORTE_DROPI!B:B, 0)
          )
        ),
        UPPER('NOMBRE DE PRODUCTOS'!A:A)
"&amp;"      )
    ),
    1
  ),
  ""REVISAR""
)
"),"FilmPro®")</f>
        <v>FilmPro®</v>
      </c>
      <c r="E82" s="120">
        <f t="array" ref="E82">IF(
UPPER(TRIM(CLEAN($O82)))="ENTREGADO",
IFERROR(
INDEX(REPORTE_DROPI!Y:Y,
MATCH($T82, REPORTE_DROPI!B:B, 0)
),
""
),
""
)
</f>
        <v>4.7</v>
      </c>
      <c r="F82" s="121">
        <v>2.0</v>
      </c>
      <c r="G82" s="122">
        <f t="array" ref="G82">IF(
UPPER(TRIM(CLEAN($O82)))="ENTREGADO",
IFERROR(
INDEX(REPORTE_DROPI!R:R,
MATCH($T82, REPORTE_DROPI!B:B, 0)
),
""
),
""
)
</f>
        <v>25</v>
      </c>
      <c r="H82" s="118" t="s">
        <v>3727</v>
      </c>
      <c r="I82" s="118" t="s">
        <v>3759</v>
      </c>
      <c r="J82" s="121">
        <f t="array" ref="J82">IF(
UPPER(TRIM(CLEAN($O82)))="ENTREGADO",
IFERROR(
INDEX(REPORTE_DROPI!T:T,
MATCH($T82, REPORTE_DROPI!B:B, 0)
),
""
),
""
)
</f>
        <v>7.75</v>
      </c>
      <c r="K82" s="118">
        <f t="array" ref="K82">IFERROR(
INDEX(REPORTE_DROPI!S:S,
MATCH($T82, REPORTE_DROPI!B:B, 0)
),
""
)
</f>
        <v>12.55</v>
      </c>
      <c r="L82" s="118" t="str">
        <f>IF(
  O82&lt;&gt;"DEVOLUCION",
  "",
  IF(
    T82="",
    "",
    SUMIF(DEVOLUCION!F:F, T82, DEVOLUCION!D:D)
  )
)
</f>
        <v/>
      </c>
      <c r="M82" s="123" t="s">
        <v>3729</v>
      </c>
      <c r="N82" s="118">
        <v>4712.0</v>
      </c>
      <c r="O82" s="118" t="str">
        <f t="array" ref="O82">IFERROR(
VLOOKUP(
TRIM(CLEAN(
INDEX(REPORTE_DROPI!K:K,
MATCH(T82, REPORTE_DROPI!B:B, 0)
))),
{
TRIM(CLEAN(MAPA_ESTADOS!A:A)) ,
MAPA_ESTADOS!B:B
},
2,
FALSE
),
"REVISAR"
)
</f>
        <v>ENTREGADO</v>
      </c>
      <c r="P82" s="118"/>
      <c r="Q82" s="122">
        <f t="shared" si="1"/>
        <v>0</v>
      </c>
      <c r="R82" s="118"/>
      <c r="S82" s="118"/>
      <c r="T82" s="118">
        <v>4068157.0</v>
      </c>
      <c r="U82" s="118"/>
      <c r="V82" s="78"/>
      <c r="W82" s="78"/>
      <c r="X82" s="78"/>
      <c r="Y82" s="78"/>
      <c r="Z82" s="78"/>
    </row>
    <row r="83" ht="22.5" customHeight="1">
      <c r="A83" s="118">
        <v>82.0</v>
      </c>
      <c r="B83" s="119">
        <v>46029.0</v>
      </c>
      <c r="C83" s="118" t="s">
        <v>3836</v>
      </c>
      <c r="D83" s="118" t="str">
        <f>IFERROR(__xludf.DUMMYFUNCTION("IFERROR(
  INDEX(
    FILTER(
      'NOMBRE DE PRODUCTOS'!B:B,
      REGEXMATCH(
        UPPER(
          INDEX(
            REPORTE_DROPI!AC:AC,
            MATCH(T83, REPORTE_DROPI!B:B, 0)
          )
        ),
        UPPER('NOMBRE DE PRODUCTOS'!A:A)
"&amp;"      )
    ),
    1
  ),
  ""REVISAR""
)
"),"FilmPro®")</f>
        <v>FilmPro®</v>
      </c>
      <c r="E83" s="120">
        <f t="array" ref="E83">IF(
UPPER(TRIM(CLEAN($O83)))="ENTREGADO",
IFERROR(
INDEX(REPORTE_DROPI!Y:Y,
MATCH($T83, REPORTE_DROPI!B:B, 0)
),
""
),
""
)
</f>
        <v>7.05</v>
      </c>
      <c r="F83" s="121">
        <v>3.0</v>
      </c>
      <c r="G83" s="122">
        <f t="array" ref="G83">IF(
UPPER(TRIM(CLEAN($O83)))="ENTREGADO",
IFERROR(
INDEX(REPORTE_DROPI!R:R,
MATCH($T83, REPORTE_DROPI!B:B, 0)
),
""
),
""
)
</f>
        <v>30</v>
      </c>
      <c r="H83" s="118" t="s">
        <v>3727</v>
      </c>
      <c r="I83" s="118" t="s">
        <v>3804</v>
      </c>
      <c r="J83" s="121">
        <f t="array" ref="J83">IF(
UPPER(TRIM(CLEAN($O83)))="ENTREGADO",
IFERROR(
INDEX(REPORTE_DROPI!T:T,
MATCH($T83, REPORTE_DROPI!B:B, 0)
),
""
),
""
)
</f>
        <v>7.82</v>
      </c>
      <c r="K83" s="118">
        <f t="array" ref="K83">IFERROR(
INDEX(REPORTE_DROPI!S:S,
MATCH($T83, REPORTE_DROPI!B:B, 0)
),
""
)
</f>
        <v>15.13</v>
      </c>
      <c r="L83" s="118" t="str">
        <f>IF(
  O83&lt;&gt;"DEVOLUCION",
  "",
  IF(
    T83="",
    "",
    SUMIF(DEVOLUCION!F:F, T83, DEVOLUCION!D:D)
  )
)
</f>
        <v/>
      </c>
      <c r="M83" s="123" t="s">
        <v>3729</v>
      </c>
      <c r="N83" s="118">
        <v>4713.0</v>
      </c>
      <c r="O83" s="118" t="str">
        <f t="array" ref="O83">IFERROR(
VLOOKUP(
TRIM(CLEAN(
INDEX(REPORTE_DROPI!K:K,
MATCH(T83, REPORTE_DROPI!B:B, 0)
))),
{
TRIM(CLEAN(MAPA_ESTADOS!A:A)) ,
MAPA_ESTADOS!B:B
},
2,
FALSE
),
"REVISAR"
)
</f>
        <v>ENTREGADO</v>
      </c>
      <c r="P83" s="118"/>
      <c r="Q83" s="122">
        <f t="shared" si="1"/>
        <v>0</v>
      </c>
      <c r="R83" s="118"/>
      <c r="S83" s="118"/>
      <c r="T83" s="118">
        <f t="array" ref="T83">IFERROR(
INDEX(REPORTE_DROPI!B:B,
MATCH(
CLEAN(TRIM(C83)),
CLEAN(TRIM(REPORTE_DROPI!E:E)),
0
)
),
""
)
</f>
        <v>4067753</v>
      </c>
      <c r="U83" s="118"/>
      <c r="V83" s="78"/>
      <c r="W83" s="78"/>
      <c r="X83" s="78"/>
      <c r="Y83" s="78"/>
      <c r="Z83" s="78"/>
    </row>
    <row r="84" ht="22.5" customHeight="1">
      <c r="A84" s="118">
        <v>83.0</v>
      </c>
      <c r="B84" s="119">
        <v>46029.0</v>
      </c>
      <c r="C84" s="118" t="s">
        <v>3837</v>
      </c>
      <c r="D84" s="118" t="str">
        <f>IFERROR(__xludf.DUMMYFUNCTION("IFERROR(
  INDEX(
    FILTER(
      'NOMBRE DE PRODUCTOS'!B:B,
      REGEXMATCH(
        UPPER(
          INDEX(
            REPORTE_DROPI!AC:AC,
            MATCH(T84, REPORTE_DROPI!B:B, 0)
          )
        ),
        UPPER('NOMBRE DE PRODUCTOS'!A:A)
"&amp;"      )
    ),
    1
  ),
  ""REVISAR""
)
"),"Llave Multifuncional 360™")</f>
        <v>Llave Multifuncional 360™</v>
      </c>
      <c r="E84" s="120">
        <f t="array" ref="E84">IF(
UPPER(TRIM(CLEAN($O84)))="ENTREGADO",
IFERROR(
INDEX(REPORTE_DROPI!Y:Y,
MATCH($T84, REPORTE_DROPI!B:B, 0)
),
""
),
""
)
</f>
        <v>5</v>
      </c>
      <c r="F84" s="121">
        <v>1.0</v>
      </c>
      <c r="G84" s="122">
        <f t="array" ref="G84">IF(
UPPER(TRIM(CLEAN($O84)))="ENTREGADO",
IFERROR(
INDEX(REPORTE_DROPI!R:R,
MATCH($T84, REPORTE_DROPI!B:B, 0)
),
""
),
""
)
</f>
        <v>21.99</v>
      </c>
      <c r="H84" s="118" t="s">
        <v>3727</v>
      </c>
      <c r="I84" s="118" t="s">
        <v>3740</v>
      </c>
      <c r="J84" s="121">
        <f t="array" ref="J84">IF(
UPPER(TRIM(CLEAN($O84)))="ENTREGADO",
IFERROR(
INDEX(REPORTE_DROPI!T:T,
MATCH($T84, REPORTE_DROPI!B:B, 0)
),
""
),
""
)
</f>
        <v>6.26</v>
      </c>
      <c r="K84" s="118">
        <f t="array" ref="K84">IFERROR(
INDEX(REPORTE_DROPI!S:S,
MATCH($T84, REPORTE_DROPI!B:B, 0)
),
""
)
</f>
        <v>10.73</v>
      </c>
      <c r="L84" s="118" t="str">
        <f>IF(
  O84&lt;&gt;"DEVOLUCION",
  "",
  IF(
    T84="",
    "",
    SUMIF(DEVOLUCION!F:F, T84, DEVOLUCION!D:D)
  )
)
</f>
        <v/>
      </c>
      <c r="M84" s="123" t="s">
        <v>3729</v>
      </c>
      <c r="N84" s="118">
        <v>4714.0</v>
      </c>
      <c r="O84" s="118" t="str">
        <f t="array" ref="O84">IFERROR(
VLOOKUP(
TRIM(CLEAN(
INDEX(REPORTE_DROPI!K:K,
MATCH(T84, REPORTE_DROPI!B:B, 0)
))),
{
TRIM(CLEAN(MAPA_ESTADOS!A:A)) ,
MAPA_ESTADOS!B:B
},
2,
FALSE
),
"REVISAR"
)
</f>
        <v>ENTREGADO</v>
      </c>
      <c r="P84" s="118"/>
      <c r="Q84" s="122">
        <f t="shared" si="1"/>
        <v>0</v>
      </c>
      <c r="R84" s="118"/>
      <c r="S84" s="118"/>
      <c r="T84" s="118">
        <v>4051220.0</v>
      </c>
      <c r="U84" s="118"/>
      <c r="V84" s="78"/>
      <c r="W84" s="78"/>
      <c r="X84" s="78"/>
      <c r="Y84" s="78"/>
      <c r="Z84" s="78"/>
    </row>
    <row r="85" ht="22.5" customHeight="1">
      <c r="A85" s="118">
        <v>84.0</v>
      </c>
      <c r="B85" s="119">
        <v>46029.0</v>
      </c>
      <c r="C85" s="126" t="s">
        <v>3838</v>
      </c>
      <c r="D85" s="118" t="str">
        <f>IFERROR(__xludf.DUMMYFUNCTION("IFERROR(
  INDEX(
    FILTER(
      'NOMBRE DE PRODUCTOS'!B:B,
      REGEXMATCH(
        UPPER(
          INDEX(
            REPORTE_DROPI!AC:AC,
            MATCH(T85, REPORTE_DROPI!B:B, 0)
          )
        ),
        UPPER('NOMBRE DE PRODUCTOS'!A:A)
"&amp;"      )
    ),
    1
  ),
  ""REVISAR""
)
"),"FLORA FRESH PRO™")</f>
        <v>FLORA FRESH PRO™</v>
      </c>
      <c r="E85" s="120" t="str">
        <f t="array" ref="E85">IF(
UPPER(TRIM(CLEAN($O85)))="ENTREGADO",
IFERROR(
INDEX(REPORTE_DROPI!Y:Y,
MATCH($T85, REPORTE_DROPI!B:B, 0)
),
""
),
""
)
</f>
        <v/>
      </c>
      <c r="F85" s="121">
        <v>2.0</v>
      </c>
      <c r="G85" s="122" t="str">
        <f t="array" ref="G85">IF(
UPPER(TRIM(CLEAN($O85)))="ENTREGADO",
IFERROR(
INDEX(REPORTE_DROPI!R:R,
MATCH($T85, REPORTE_DROPI!B:B, 0)
),
""
),
""
)
</f>
        <v/>
      </c>
      <c r="H85" s="118" t="s">
        <v>3727</v>
      </c>
      <c r="I85" s="118" t="s">
        <v>3839</v>
      </c>
      <c r="J85" s="121" t="str">
        <f t="array" ref="J85">IF(
UPPER(TRIM(CLEAN($O85)))="ENTREGADO",
IFERROR(
INDEX(REPORTE_DROPI!T:T,
MATCH($T85, REPORTE_DROPI!B:B, 0)
),
""
),
""
)
</f>
        <v/>
      </c>
      <c r="K85" s="118" t="str">
        <f t="array" ref="K85">IFERROR(
INDEX(REPORTE_DROPI!S:S,
MATCH($T85, REPORTE_DROPI!B:B, 0)
),
""
)
</f>
        <v/>
      </c>
      <c r="L85" s="118">
        <f>IF(
  O85&lt;&gt;"DEVOLUCION",
  "",
  IF(
    T85="",
    "",
    SUMIF(DEVOLUCION!F:F, T85, DEVOLUCION!D:D)
  )
)
</f>
        <v>5.07</v>
      </c>
      <c r="M85" s="123" t="s">
        <v>3729</v>
      </c>
      <c r="N85" s="118">
        <v>4715.0</v>
      </c>
      <c r="O85" s="118" t="str">
        <f t="array" ref="O85">IFERROR(
VLOOKUP(
TRIM(CLEAN(
INDEX(REPORTE_DROPI!K:K,
MATCH(T85, REPORTE_DROPI!B:B, 0)
))),
{
TRIM(CLEAN(MAPA_ESTADOS!A:A)) ,
MAPA_ESTADOS!B:B
},
2,
FALSE
),
"REVISAR"
)
</f>
        <v>DEVOLUCION</v>
      </c>
      <c r="P85" s="118"/>
      <c r="Q85" s="122">
        <f t="shared" si="1"/>
        <v>0</v>
      </c>
      <c r="R85" s="118"/>
      <c r="S85" s="118"/>
      <c r="T85" s="118">
        <f t="array" ref="T85">IFERROR(
INDEX(REPORTE_DROPI!B:B,
MATCH(
CLEAN(TRIM(C85)),
CLEAN(TRIM(REPORTE_DROPI!E:E)),
0
)
),
""
)
</f>
        <v>4051232</v>
      </c>
      <c r="U85" s="118"/>
      <c r="V85" s="78"/>
      <c r="W85" s="78"/>
      <c r="X85" s="78"/>
      <c r="Y85" s="78"/>
      <c r="Z85" s="78"/>
    </row>
    <row r="86" ht="22.5" customHeight="1">
      <c r="A86" s="118">
        <v>85.0</v>
      </c>
      <c r="B86" s="119">
        <v>46029.0</v>
      </c>
      <c r="C86" s="118" t="s">
        <v>3840</v>
      </c>
      <c r="D86" s="118" t="str">
        <f>IFERROR(__xludf.DUMMYFUNCTION("IFERROR(
  INDEX(
    FILTER(
      'NOMBRE DE PRODUCTOS'!B:B,
      REGEXMATCH(
        UPPER(
          INDEX(
            REPORTE_DROPI!AC:AC,
            MATCH(T86, REPORTE_DROPI!B:B, 0)
          )
        ),
        UPPER('NOMBRE DE PRODUCTOS'!A:A)
"&amp;"      )
    ),
    1
  ),
  ""REVISAR""
)
"),"FilmPro®")</f>
        <v>FilmPro®</v>
      </c>
      <c r="E86" s="120">
        <f t="array" ref="E86">IF(
UPPER(TRIM(CLEAN($O86)))="ENTREGADO",
IFERROR(
INDEX(REPORTE_DROPI!Y:Y,
MATCH($T86, REPORTE_DROPI!B:B, 0)
),
""
),
""
)
</f>
        <v>8.37</v>
      </c>
      <c r="F86" s="121">
        <v>3.0</v>
      </c>
      <c r="G86" s="122">
        <f t="array" ref="G86">IF(
UPPER(TRIM(CLEAN($O86)))="ENTREGADO",
IFERROR(
INDEX(REPORTE_DROPI!R:R,
MATCH($T86, REPORTE_DROPI!B:B, 0)
),
""
),
""
)
</f>
        <v>30</v>
      </c>
      <c r="H86" s="118" t="s">
        <v>3727</v>
      </c>
      <c r="I86" s="118" t="s">
        <v>3728</v>
      </c>
      <c r="J86" s="121">
        <f t="array" ref="J86">IF(
UPPER(TRIM(CLEAN($O86)))="ENTREGADO",
IFERROR(
INDEX(REPORTE_DROPI!T:T,
MATCH($T86, REPORTE_DROPI!B:B, 0)
),
""
),
""
)
</f>
        <v>7.82</v>
      </c>
      <c r="K86" s="118">
        <f t="array" ref="K86">IFERROR(
INDEX(REPORTE_DROPI!S:S,
MATCH($T86, REPORTE_DROPI!B:B, 0)
),
""
)
</f>
        <v>13.81</v>
      </c>
      <c r="L86" s="118" t="str">
        <f>IF(
  O86&lt;&gt;"DEVOLUCION",
  "",
  IF(
    T86="",
    "",
    SUMIF(DEVOLUCION!F:F, T86, DEVOLUCION!D:D)
  )
)
</f>
        <v/>
      </c>
      <c r="M86" s="123" t="s">
        <v>3729</v>
      </c>
      <c r="N86" s="118">
        <v>4716.0</v>
      </c>
      <c r="O86" s="118" t="str">
        <f t="array" ref="O86">IFERROR(
VLOOKUP(
TRIM(CLEAN(
INDEX(REPORTE_DROPI!K:K,
MATCH(T86, REPORTE_DROPI!B:B, 0)
))),
{
TRIM(CLEAN(MAPA_ESTADOS!A:A)) ,
MAPA_ESTADOS!B:B
},
2,
FALSE
),
"REVISAR"
)
</f>
        <v>ENTREGADO</v>
      </c>
      <c r="P86" s="118"/>
      <c r="Q86" s="122">
        <f t="shared" si="1"/>
        <v>0</v>
      </c>
      <c r="R86" s="118"/>
      <c r="S86" s="118"/>
      <c r="T86" s="118">
        <f t="array" ref="T86">IFERROR(
INDEX(REPORTE_DROPI!B:B,
MATCH(
CLEAN(TRIM(C86)),
CLEAN(TRIM(REPORTE_DROPI!E:E)),
0
)
),
""
)
</f>
        <v>4051432</v>
      </c>
      <c r="U86" s="118"/>
      <c r="V86" s="78"/>
      <c r="W86" s="78"/>
      <c r="X86" s="78"/>
      <c r="Y86" s="78"/>
      <c r="Z86" s="78"/>
    </row>
    <row r="87" ht="22.5" customHeight="1">
      <c r="A87" s="118">
        <v>86.0</v>
      </c>
      <c r="B87" s="119">
        <v>46029.0</v>
      </c>
      <c r="C87" s="118" t="s">
        <v>3841</v>
      </c>
      <c r="D87" s="118" t="str">
        <f>IFERROR(__xludf.DUMMYFUNCTION("IFERROR(
  INDEX(
    FILTER(
      'NOMBRE DE PRODUCTOS'!B:B,
      REGEXMATCH(
        UPPER(
          INDEX(
            REPORTE_DROPI!AC:AC,
            MATCH(T87, REPORTE_DROPI!B:B, 0)
          )
        ),
        UPPER('NOMBRE DE PRODUCTOS'!A:A)
"&amp;"      )
    ),
    1
  ),
  ""REVISAR""
)
"),"FilmPro®")</f>
        <v>FilmPro®</v>
      </c>
      <c r="E87" s="120">
        <f t="array" ref="E87">IF(
UPPER(TRIM(CLEAN($O87)))="ENTREGADO",
IFERROR(
INDEX(REPORTE_DROPI!Y:Y,
MATCH($T87, REPORTE_DROPI!B:B, 0)
),
""
),
""
)
</f>
        <v>8.37</v>
      </c>
      <c r="F87" s="121">
        <v>3.0</v>
      </c>
      <c r="G87" s="122">
        <f t="array" ref="G87">IF(
UPPER(TRIM(CLEAN($O87)))="ENTREGADO",
IFERROR(
INDEX(REPORTE_DROPI!R:R,
MATCH($T87, REPORTE_DROPI!B:B, 0)
),
""
),
""
)
</f>
        <v>30</v>
      </c>
      <c r="H87" s="118" t="s">
        <v>3727</v>
      </c>
      <c r="I87" s="118" t="s">
        <v>3809</v>
      </c>
      <c r="J87" s="121">
        <f t="array" ref="J87">IF(
UPPER(TRIM(CLEAN($O87)))="ENTREGADO",
IFERROR(
INDEX(REPORTE_DROPI!T:T,
MATCH($T87, REPORTE_DROPI!B:B, 0)
),
""
),
""
)
</f>
        <v>6.16</v>
      </c>
      <c r="K87" s="118">
        <f t="array" ref="K87">IFERROR(
INDEX(REPORTE_DROPI!S:S,
MATCH($T87, REPORTE_DROPI!B:B, 0)
),
""
)
</f>
        <v>15.47</v>
      </c>
      <c r="L87" s="118" t="str">
        <f>IF(
  O87&lt;&gt;"DEVOLUCION",
  "",
  IF(
    T87="",
    "",
    SUMIF(DEVOLUCION!F:F, T87, DEVOLUCION!D:D)
  )
)
</f>
        <v/>
      </c>
      <c r="M87" s="123" t="s">
        <v>3729</v>
      </c>
      <c r="N87" s="118">
        <v>4717.0</v>
      </c>
      <c r="O87" s="118" t="str">
        <f t="array" ref="O87">IFERROR(
VLOOKUP(
TRIM(CLEAN(
INDEX(REPORTE_DROPI!K:K,
MATCH(T87, REPORTE_DROPI!B:B, 0)
))),
{
TRIM(CLEAN(MAPA_ESTADOS!A:A)) ,
MAPA_ESTADOS!B:B
},
2,
FALSE
),
"REVISAR"
)
</f>
        <v>ENTREGADO</v>
      </c>
      <c r="P87" s="118"/>
      <c r="Q87" s="122">
        <f t="shared" si="1"/>
        <v>0</v>
      </c>
      <c r="R87" s="118"/>
      <c r="S87" s="118"/>
      <c r="T87" s="118">
        <f t="array" ref="T87">IFERROR(
INDEX(REPORTE_DROPI!B:B,
MATCH(
CLEAN(TRIM(C87)),
CLEAN(TRIM(REPORTE_DROPI!E:E)),
0
)
),
""
)
</f>
        <v>4051601</v>
      </c>
      <c r="U87" s="118"/>
      <c r="V87" s="78"/>
      <c r="W87" s="78"/>
      <c r="X87" s="78"/>
      <c r="Y87" s="78"/>
      <c r="Z87" s="78"/>
    </row>
    <row r="88" ht="22.5" customHeight="1">
      <c r="A88" s="118">
        <v>87.0</v>
      </c>
      <c r="B88" s="119">
        <v>46029.0</v>
      </c>
      <c r="C88" s="118" t="s">
        <v>3842</v>
      </c>
      <c r="D88" s="118" t="str">
        <f>IFERROR(__xludf.DUMMYFUNCTION("IFERROR(
  INDEX(
    FILTER(
      'NOMBRE DE PRODUCTOS'!B:B,
      REGEXMATCH(
        UPPER(
          INDEX(
            REPORTE_DROPI!AC:AC,
            MATCH(T88, REPORTE_DROPI!B:B, 0)
          )
        ),
        UPPER('NOMBRE DE PRODUCTOS'!A:A)
"&amp;"      )
    ),
    1
  ),
  ""REVISAR""
)
"),"Llave Multifuncional 360™")</f>
        <v>Llave Multifuncional 360™</v>
      </c>
      <c r="E88" s="120">
        <f t="array" ref="E88">IF(
UPPER(TRIM(CLEAN($O88)))="ENTREGADO",
IFERROR(
INDEX(REPORTE_DROPI!Y:Y,
MATCH($T88, REPORTE_DROPI!B:B, 0)
),
""
),
""
)
</f>
        <v>10</v>
      </c>
      <c r="F88" s="121">
        <v>2.0</v>
      </c>
      <c r="G88" s="122">
        <f t="array" ref="G88">IF(
UPPER(TRIM(CLEAN($O88)))="ENTREGADO",
IFERROR(
INDEX(REPORTE_DROPI!R:R,
MATCH($T88, REPORTE_DROPI!B:B, 0)
),
""
),
""
)
</f>
        <v>32</v>
      </c>
      <c r="H88" s="118" t="s">
        <v>3727</v>
      </c>
      <c r="I88" s="118" t="s">
        <v>3731</v>
      </c>
      <c r="J88" s="121">
        <f t="array" ref="J88">IF(
UPPER(TRIM(CLEAN($O88)))="ENTREGADO",
IFERROR(
INDEX(REPORTE_DROPI!T:T,
MATCH($T88, REPORTE_DROPI!B:B, 0)
),
""
),
""
)
</f>
        <v>4.63</v>
      </c>
      <c r="K88" s="118">
        <f t="array" ref="K88">IFERROR(
INDEX(REPORTE_DROPI!S:S,
MATCH($T88, REPORTE_DROPI!B:B, 0)
),
""
)
</f>
        <v>17.37</v>
      </c>
      <c r="L88" s="118" t="str">
        <f>IF(
  O88&lt;&gt;"DEVOLUCION",
  "",
  IF(
    T88="",
    "",
    SUMIF(DEVOLUCION!F:F, T88, DEVOLUCION!D:D)
  )
)
</f>
        <v/>
      </c>
      <c r="M88" s="123" t="s">
        <v>3729</v>
      </c>
      <c r="N88" s="118">
        <v>4718.0</v>
      </c>
      <c r="O88" s="118" t="str">
        <f t="array" ref="O88">IFERROR(
VLOOKUP(
TRIM(CLEAN(
INDEX(REPORTE_DROPI!K:K,
MATCH(T88, REPORTE_DROPI!B:B, 0)
))),
{
TRIM(CLEAN(MAPA_ESTADOS!A:A)) ,
MAPA_ESTADOS!B:B
},
2,
FALSE
),
"REVISAR"
)
</f>
        <v>ENTREGADO</v>
      </c>
      <c r="P88" s="118"/>
      <c r="Q88" s="122">
        <f t="shared" si="1"/>
        <v>0</v>
      </c>
      <c r="R88" s="118"/>
      <c r="S88" s="118"/>
      <c r="T88" s="118">
        <f t="array" ref="T88">IFERROR(
INDEX(REPORTE_DROPI!B:B,
MATCH(
CLEAN(TRIM(C88)),
CLEAN(TRIM(REPORTE_DROPI!E:E)),
0
)
),
""
)
</f>
        <v>4054987</v>
      </c>
      <c r="U88" s="118"/>
      <c r="V88" s="78"/>
      <c r="W88" s="78"/>
      <c r="X88" s="78"/>
      <c r="Y88" s="78"/>
      <c r="Z88" s="78"/>
    </row>
    <row r="89" ht="22.5" customHeight="1">
      <c r="A89" s="118">
        <v>88.0</v>
      </c>
      <c r="B89" s="119">
        <v>46029.0</v>
      </c>
      <c r="C89" s="118" t="s">
        <v>3843</v>
      </c>
      <c r="D89" s="118" t="str">
        <f>IFERROR(__xludf.DUMMYFUNCTION("IFERROR(
  INDEX(
    FILTER(
      'NOMBRE DE PRODUCTOS'!B:B,
      REGEXMATCH(
        UPPER(
          INDEX(
            REPORTE_DROPI!AC:AC,
            MATCH(T89, REPORTE_DROPI!B:B, 0)
          )
        ),
        UPPER('NOMBRE DE PRODUCTOS'!A:A)
"&amp;"      )
    ),
    1
  ),
  ""REVISAR""
)
"),"Llave Multifuncional 360™")</f>
        <v>Llave Multifuncional 360™</v>
      </c>
      <c r="E89" s="120" t="str">
        <f t="array" ref="E89">IF(
UPPER(TRIM(CLEAN($O89)))="ENTREGADO",
IFERROR(
INDEX(REPORTE_DROPI!Y:Y,
MATCH($T89, REPORTE_DROPI!B:B, 0)
),
""
),
""
)
</f>
        <v/>
      </c>
      <c r="F89" s="121">
        <v>1.0</v>
      </c>
      <c r="G89" s="122" t="str">
        <f t="array" ref="G89">IF(
UPPER(TRIM(CLEAN($O89)))="ENTREGADO",
IFERROR(
INDEX(REPORTE_DROPI!R:R,
MATCH($T89, REPORTE_DROPI!B:B, 0)
),
""
),
""
)
</f>
        <v/>
      </c>
      <c r="H89" s="118" t="s">
        <v>3727</v>
      </c>
      <c r="I89" s="118" t="s">
        <v>3740</v>
      </c>
      <c r="J89" s="121" t="str">
        <f t="array" ref="J89">IF(
UPPER(TRIM(CLEAN($O89)))="ENTREGADO",
IFERROR(
INDEX(REPORTE_DROPI!T:T,
MATCH($T89, REPORTE_DROPI!B:B, 0)
),
""
),
""
)
</f>
        <v/>
      </c>
      <c r="K89" s="118" t="str">
        <f t="array" ref="K89">IFERROR(
INDEX(REPORTE_DROPI!S:S,
MATCH($T89, REPORTE_DROPI!B:B, 0)
),
""
)
</f>
        <v/>
      </c>
      <c r="L89" s="118" t="str">
        <f>IF(
  O89&lt;&gt;"DEVOLUCION",
  "",
  IF(
    T89="",
    "",
    SUMIF(DEVOLUCION!F:F, T89, DEVOLUCION!D:D)
  )
)
</f>
        <v/>
      </c>
      <c r="M89" s="123" t="s">
        <v>3729</v>
      </c>
      <c r="N89" s="118">
        <v>4719.0</v>
      </c>
      <c r="O89" s="118" t="str">
        <f t="array" ref="O89">IFERROR(
VLOOKUP(
TRIM(CLEAN(
INDEX(REPORTE_DROPI!K:K,
MATCH(T89, REPORTE_DROPI!B:B, 0)
))),
{
TRIM(CLEAN(MAPA_ESTADOS!A:A)) ,
MAPA_ESTADOS!B:B
},
2,
FALSE
),
"REVISAR"
)
</f>
        <v>REVISAR</v>
      </c>
      <c r="P89" s="118"/>
      <c r="Q89" s="122">
        <f t="shared" si="1"/>
        <v>0</v>
      </c>
      <c r="R89" s="118"/>
      <c r="S89" s="118"/>
      <c r="T89" s="118">
        <f t="array" ref="T89">IFERROR(
INDEX(REPORTE_DROPI!B:B,
MATCH(
CLEAN(TRIM(C89)),
CLEAN(TRIM(REPORTE_DROPI!E:E)),
0
)
),
""
)
</f>
        <v>4054983</v>
      </c>
      <c r="U89" s="118"/>
      <c r="V89" s="78"/>
      <c r="W89" s="78"/>
      <c r="X89" s="78"/>
      <c r="Y89" s="78"/>
      <c r="Z89" s="78"/>
    </row>
    <row r="90" ht="22.5" customHeight="1">
      <c r="A90" s="118">
        <v>89.0</v>
      </c>
      <c r="B90" s="119">
        <v>46029.0</v>
      </c>
      <c r="C90" s="126" t="s">
        <v>3844</v>
      </c>
      <c r="D90" s="118" t="str">
        <f>IFERROR(__xludf.DUMMYFUNCTION("IFERROR(
  INDEX(
    FILTER(
      'NOMBRE DE PRODUCTOS'!B:B,
      REGEXMATCH(
        UPPER(
          INDEX(
            REPORTE_DROPI!AC:AC,
            MATCH(T90, REPORTE_DROPI!B:B, 0)
          )
        ),
        UPPER('NOMBRE DE PRODUCTOS'!A:A)
"&amp;"      )
    ),
    1
  ),
  ""REVISAR""
)
"),"FilmPro®")</f>
        <v>FilmPro®</v>
      </c>
      <c r="E90" s="120" t="str">
        <f t="array" ref="E90">IF(
UPPER(TRIM(CLEAN($O90)))="ENTREGADO",
IFERROR(
INDEX(REPORTE_DROPI!Y:Y,
MATCH($T90, REPORTE_DROPI!B:B, 0)
),
""
),
""
)
</f>
        <v/>
      </c>
      <c r="F90" s="121">
        <v>3.0</v>
      </c>
      <c r="G90" s="122" t="str">
        <f t="array" ref="G90">IF(
UPPER(TRIM(CLEAN($O90)))="ENTREGADO",
IFERROR(
INDEX(REPORTE_DROPI!R:R,
MATCH($T90, REPORTE_DROPI!B:B, 0)
),
""
),
""
)
</f>
        <v/>
      </c>
      <c r="H90" s="118" t="s">
        <v>3727</v>
      </c>
      <c r="I90" s="118" t="s">
        <v>3740</v>
      </c>
      <c r="J90" s="121" t="str">
        <f t="array" ref="J90">IF(
UPPER(TRIM(CLEAN($O90)))="ENTREGADO",
IFERROR(
INDEX(REPORTE_DROPI!T:T,
MATCH($T90, REPORTE_DROPI!B:B, 0)
),
""
),
""
)
</f>
        <v/>
      </c>
      <c r="K90" s="118" t="str">
        <f t="array" ref="K90">IFERROR(
INDEX(REPORTE_DROPI!S:S,
MATCH($T90, REPORTE_DROPI!B:B, 0)
),
""
)
</f>
        <v/>
      </c>
      <c r="L90" s="118">
        <f>IF(
  O90&lt;&gt;"DEVOLUCION",
  "",
  IF(
    T90="",
    "",
    SUMIF(DEVOLUCION!F:F, T90, DEVOLUCION!D:D)
  )
)
</f>
        <v>3.51</v>
      </c>
      <c r="M90" s="123" t="s">
        <v>3729</v>
      </c>
      <c r="N90" s="118">
        <v>4720.0</v>
      </c>
      <c r="O90" s="118" t="str">
        <f t="array" ref="O90">IFERROR(
VLOOKUP(
TRIM(CLEAN(
INDEX(REPORTE_DROPI!K:K,
MATCH(T90, REPORTE_DROPI!B:B, 0)
))),
{
TRIM(CLEAN(MAPA_ESTADOS!A:A)) ,
MAPA_ESTADOS!B:B
},
2,
FALSE
),
"REVISAR"
)
</f>
        <v>DEVOLUCION</v>
      </c>
      <c r="P90" s="118"/>
      <c r="Q90" s="122">
        <f t="shared" si="1"/>
        <v>0</v>
      </c>
      <c r="R90" s="118"/>
      <c r="S90" s="118"/>
      <c r="T90" s="118">
        <f t="array" ref="T90">IFERROR(
INDEX(REPORTE_DROPI!B:B,
MATCH(
CLEAN(TRIM(C90)),
CLEAN(TRIM(REPORTE_DROPI!E:E)),
0
)
),
""
)
</f>
        <v>4057880</v>
      </c>
      <c r="U90" s="118"/>
      <c r="V90" s="78"/>
      <c r="W90" s="78"/>
      <c r="X90" s="78"/>
      <c r="Y90" s="78"/>
      <c r="Z90" s="78"/>
    </row>
    <row r="91" ht="22.5" customHeight="1">
      <c r="A91" s="118">
        <v>90.0</v>
      </c>
      <c r="B91" s="119">
        <v>46029.0</v>
      </c>
      <c r="C91" s="118" t="s">
        <v>3845</v>
      </c>
      <c r="D91" s="118" t="str">
        <f>IFERROR(__xludf.DUMMYFUNCTION("IFERROR(
  INDEX(
    FILTER(
      'NOMBRE DE PRODUCTOS'!B:B,
      REGEXMATCH(
        UPPER(
          INDEX(
            REPORTE_DROPI!AC:AC,
            MATCH(T91, REPORTE_DROPI!B:B, 0)
          )
        ),
        UPPER('NOMBRE DE PRODUCTOS'!A:A)
"&amp;"      )
    ),
    1
  ),
  ""REVISAR""
)
"),"Llave Multifuncional 360™")</f>
        <v>Llave Multifuncional 360™</v>
      </c>
      <c r="E91" s="120" t="str">
        <f t="array" ref="E91">IF(
UPPER(TRIM(CLEAN($O91)))="ENTREGADO",
IFERROR(
INDEX(REPORTE_DROPI!Y:Y,
MATCH($T91, REPORTE_DROPI!B:B, 0)
),
""
),
""
)
</f>
        <v/>
      </c>
      <c r="F91" s="121">
        <v>1.0</v>
      </c>
      <c r="G91" s="122" t="str">
        <f t="array" ref="G91">IF(
UPPER(TRIM(CLEAN($O91)))="ENTREGADO",
IFERROR(
INDEX(REPORTE_DROPI!R:R,
MATCH($T91, REPORTE_DROPI!B:B, 0)
),
""
),
""
)
</f>
        <v/>
      </c>
      <c r="H91" s="118" t="s">
        <v>3727</v>
      </c>
      <c r="I91" s="118" t="s">
        <v>3728</v>
      </c>
      <c r="J91" s="121" t="str">
        <f t="array" ref="J91">IF(
UPPER(TRIM(CLEAN($O91)))="ENTREGADO",
IFERROR(
INDEX(REPORTE_DROPI!T:T,
MATCH($T91, REPORTE_DROPI!B:B, 0)
),
""
),
""
)
</f>
        <v/>
      </c>
      <c r="K91" s="118" t="str">
        <f t="array" ref="K91">IFERROR(
INDEX(REPORTE_DROPI!S:S,
MATCH($T91, REPORTE_DROPI!B:B, 0)
),
""
)
</f>
        <v/>
      </c>
      <c r="L91" s="118">
        <f>IF(
  O91&lt;&gt;"DEVOLUCION",
  "",
  IF(
    T91="",
    "",
    SUMIF(DEVOLUCION!F:F, T91, DEVOLUCION!D:D)
  )
)
</f>
        <v>5.65</v>
      </c>
      <c r="M91" s="123" t="s">
        <v>3729</v>
      </c>
      <c r="N91" s="118">
        <v>4721.0</v>
      </c>
      <c r="O91" s="118" t="str">
        <f t="array" ref="O91">IFERROR(
VLOOKUP(
TRIM(CLEAN(
INDEX(REPORTE_DROPI!K:K,
MATCH(T91, REPORTE_DROPI!B:B, 0)
))),
{
TRIM(CLEAN(MAPA_ESTADOS!A:A)) ,
MAPA_ESTADOS!B:B
},
2,
FALSE
),
"REVISAR"
)
</f>
        <v>DEVOLUCION</v>
      </c>
      <c r="P91" s="118" t="s">
        <v>3763</v>
      </c>
      <c r="Q91" s="122">
        <f t="shared" si="1"/>
        <v>0</v>
      </c>
      <c r="R91" s="118"/>
      <c r="S91" s="118"/>
      <c r="T91" s="118">
        <v>4056866.0</v>
      </c>
      <c r="U91" s="118"/>
      <c r="V91" s="78"/>
      <c r="W91" s="78"/>
      <c r="X91" s="78"/>
      <c r="Y91" s="78"/>
      <c r="Z91" s="78"/>
    </row>
    <row r="92" ht="22.5" customHeight="1">
      <c r="A92" s="118">
        <v>91.0</v>
      </c>
      <c r="B92" s="119">
        <v>46029.0</v>
      </c>
      <c r="C92" s="118" t="s">
        <v>3846</v>
      </c>
      <c r="D92" s="118" t="str">
        <f>IFERROR(__xludf.DUMMYFUNCTION("IFERROR(
  INDEX(
    FILTER(
      'NOMBRE DE PRODUCTOS'!B:B,
      REGEXMATCH(
        UPPER(
          INDEX(
            REPORTE_DROPI!AC:AC,
            MATCH(T92, REPORTE_DROPI!B:B, 0)
          )
        ),
        UPPER('NOMBRE DE PRODUCTOS'!A:A)
"&amp;"      )
    ),
    1
  ),
  ""REVISAR""
)
"),"Cuchillo Tazaki™")</f>
        <v>Cuchillo Tazaki™</v>
      </c>
      <c r="E92" s="120">
        <f t="array" ref="E92">IF(
UPPER(TRIM(CLEAN($O92)))="ENTREGADO",
IFERROR(
INDEX(REPORTE_DROPI!Y:Y,
MATCH($T92, REPORTE_DROPI!B:B, 0)
),
""
),
""
)
</f>
        <v>5.2</v>
      </c>
      <c r="F92" s="121">
        <v>1.0</v>
      </c>
      <c r="G92" s="122">
        <f t="array" ref="G92">IF(
UPPER(TRIM(CLEAN($O92)))="ENTREGADO",
IFERROR(
INDEX(REPORTE_DROPI!R:R,
MATCH($T92, REPORTE_DROPI!B:B, 0)
),
""
),
""
)
</f>
        <v>22</v>
      </c>
      <c r="H92" s="118" t="s">
        <v>3727</v>
      </c>
      <c r="I92" s="118" t="s">
        <v>3847</v>
      </c>
      <c r="J92" s="121">
        <f t="array" ref="J92">IF(
UPPER(TRIM(CLEAN($O92)))="ENTREGADO",
IFERROR(
INDEX(REPORTE_DROPI!T:T,
MATCH($T92, REPORTE_DROPI!B:B, 0)
),
""
),
""
)
</f>
        <v>5.84</v>
      </c>
      <c r="K92" s="118">
        <f t="array" ref="K92">IFERROR(
INDEX(REPORTE_DROPI!S:S,
MATCH($T92, REPORTE_DROPI!B:B, 0)
),
""
)
</f>
        <v>10.96</v>
      </c>
      <c r="L92" s="118" t="str">
        <f>IF(
  O92&lt;&gt;"DEVOLUCION",
  "",
  IF(
    T92="",
    "",
    SUMIF(DEVOLUCION!F:F, T92, DEVOLUCION!D:D)
  )
)
</f>
        <v/>
      </c>
      <c r="M92" s="123" t="s">
        <v>3729</v>
      </c>
      <c r="N92" s="118">
        <v>4722.0</v>
      </c>
      <c r="O92" s="118" t="str">
        <f t="array" ref="O92">IFERROR(
VLOOKUP(
TRIM(CLEAN(
INDEX(REPORTE_DROPI!K:K,
MATCH(T92, REPORTE_DROPI!B:B, 0)
))),
{
TRIM(CLEAN(MAPA_ESTADOS!A:A)) ,
MAPA_ESTADOS!B:B
},
2,
FALSE
),
"REVISAR"
)
</f>
        <v>ENTREGADO</v>
      </c>
      <c r="P92" s="118"/>
      <c r="Q92" s="122">
        <f t="shared" si="1"/>
        <v>0</v>
      </c>
      <c r="R92" s="118"/>
      <c r="S92" s="118"/>
      <c r="T92" s="118">
        <f t="array" ref="T92">IFERROR(
INDEX(REPORTE_DROPI!B:B,
MATCH(
CLEAN(TRIM(C92)),
CLEAN(TRIM(REPORTE_DROPI!E:E)),
0
)
),
""
)
</f>
        <v>4130907</v>
      </c>
      <c r="U92" s="118"/>
      <c r="V92" s="78"/>
      <c r="W92" s="78"/>
      <c r="X92" s="78"/>
      <c r="Y92" s="78"/>
      <c r="Z92" s="78"/>
    </row>
    <row r="93" ht="22.5" customHeight="1">
      <c r="A93" s="118">
        <v>92.0</v>
      </c>
      <c r="B93" s="119">
        <v>46029.0</v>
      </c>
      <c r="C93" s="118" t="s">
        <v>3848</v>
      </c>
      <c r="D93" s="118" t="str">
        <f>IFERROR(__xludf.DUMMYFUNCTION("IFERROR(
  INDEX(
    FILTER(
      'NOMBRE DE PRODUCTOS'!B:B,
      REGEXMATCH(
        UPPER(
          INDEX(
            REPORTE_DROPI!AC:AC,
            MATCH(T93, REPORTE_DROPI!B:B, 0)
          )
        ),
        UPPER('NOMBRE DE PRODUCTOS'!A:A)
"&amp;"      )
    ),
    1
  ),
  ""REVISAR""
)
"),"Llave Multifuncional 360™")</f>
        <v>Llave Multifuncional 360™</v>
      </c>
      <c r="E93" s="120" t="str">
        <f t="array" ref="E93">IF(
UPPER(TRIM(CLEAN($O93)))="ENTREGADO",
IFERROR(
INDEX(REPORTE_DROPI!Y:Y,
MATCH($T93, REPORTE_DROPI!B:B, 0)
),
""
),
""
)
</f>
        <v/>
      </c>
      <c r="F93" s="121">
        <v>2.0</v>
      </c>
      <c r="G93" s="122" t="str">
        <f t="array" ref="G93">IF(
UPPER(TRIM(CLEAN($O93)))="ENTREGADO",
IFERROR(
INDEX(REPORTE_DROPI!R:R,
MATCH($T93, REPORTE_DROPI!B:B, 0)
),
""
),
""
)
</f>
        <v/>
      </c>
      <c r="H93" s="118" t="s">
        <v>3727</v>
      </c>
      <c r="I93" s="118" t="s">
        <v>3804</v>
      </c>
      <c r="J93" s="121" t="str">
        <f t="array" ref="J93">IF(
UPPER(TRIM(CLEAN($O93)))="ENTREGADO",
IFERROR(
INDEX(REPORTE_DROPI!T:T,
MATCH($T93, REPORTE_DROPI!B:B, 0)
),
""
),
""
)
</f>
        <v/>
      </c>
      <c r="K93" s="118" t="str">
        <f t="array" ref="K93">IFERROR(
INDEX(REPORTE_DROPI!S:S,
MATCH($T93, REPORTE_DROPI!B:B, 0)
),
""
)
</f>
        <v/>
      </c>
      <c r="L93" s="118">
        <f>IF(
  O93&lt;&gt;"DEVOLUCION",
  "",
  IF(
    T93="",
    "",
    SUMIF(DEVOLUCION!F:F, T93, DEVOLUCION!D:D)
  )
)
</f>
        <v>5.13</v>
      </c>
      <c r="M93" s="123" t="s">
        <v>3729</v>
      </c>
      <c r="N93" s="118">
        <v>4723.0</v>
      </c>
      <c r="O93" s="118" t="str">
        <f t="array" ref="O93">IFERROR(
VLOOKUP(
TRIM(CLEAN(
INDEX(REPORTE_DROPI!K:K,
MATCH(T93, REPORTE_DROPI!B:B, 0)
))),
{
TRIM(CLEAN(MAPA_ESTADOS!A:A)) ,
MAPA_ESTADOS!B:B
},
2,
FALSE
),
"REVISAR"
)
</f>
        <v>DEVOLUCION</v>
      </c>
      <c r="P93" s="118" t="s">
        <v>3849</v>
      </c>
      <c r="Q93" s="122">
        <f t="shared" si="1"/>
        <v>0</v>
      </c>
      <c r="R93" s="118" t="s">
        <v>3675</v>
      </c>
      <c r="S93" s="118">
        <v>2.0</v>
      </c>
      <c r="T93" s="118">
        <f t="array" ref="T93">IFERROR(
INDEX(REPORTE_DROPI!B:B,
MATCH(
CLEAN(TRIM(C93)),
CLEAN(TRIM(REPORTE_DROPI!E:E)),
0
)
),
""
)
</f>
        <v>4058295</v>
      </c>
      <c r="U93" s="118"/>
      <c r="V93" s="78"/>
      <c r="W93" s="78"/>
      <c r="X93" s="78"/>
      <c r="Y93" s="78"/>
      <c r="Z93" s="78"/>
    </row>
    <row r="94" ht="22.5" customHeight="1">
      <c r="A94" s="118">
        <v>93.0</v>
      </c>
      <c r="B94" s="119">
        <v>46029.0</v>
      </c>
      <c r="C94" s="118" t="s">
        <v>3795</v>
      </c>
      <c r="D94" s="118" t="str">
        <f>IFERROR(__xludf.DUMMYFUNCTION("IFERROR(
  INDEX(
    FILTER(
      'NOMBRE DE PRODUCTOS'!B:B,
      REGEXMATCH(
        UPPER(
          INDEX(
            REPORTE_DROPI!AC:AC,
            MATCH(T94, REPORTE_DROPI!B:B, 0)
          )
        ),
        UPPER('NOMBRE DE PRODUCTOS'!A:A)
"&amp;"      )
    ),
    1
  ),
  ""REVISAR""
)
"),"Llave Multifuncional 360™")</f>
        <v>Llave Multifuncional 360™</v>
      </c>
      <c r="E94" s="120" t="str">
        <f t="array" ref="E94">IF(
UPPER(TRIM(CLEAN($O94)))="ENTREGADO",
IFERROR(
INDEX(REPORTE_DROPI!Y:Y,
MATCH($T94, REPORTE_DROPI!B:B, 0)
),
""
),
""
)
</f>
        <v/>
      </c>
      <c r="F94" s="121">
        <v>1.0</v>
      </c>
      <c r="G94" s="122" t="str">
        <f t="array" ref="G94">IF(
UPPER(TRIM(CLEAN($O94)))="ENTREGADO",
IFERROR(
INDEX(REPORTE_DROPI!R:R,
MATCH($T94, REPORTE_DROPI!B:B, 0)
),
""
),
""
)
</f>
        <v/>
      </c>
      <c r="H94" s="118" t="s">
        <v>3727</v>
      </c>
      <c r="I94" s="118" t="s">
        <v>3731</v>
      </c>
      <c r="J94" s="121" t="str">
        <f t="array" ref="J94">IF(
UPPER(TRIM(CLEAN($O94)))="ENTREGADO",
IFERROR(
INDEX(REPORTE_DROPI!T:T,
MATCH($T94, REPORTE_DROPI!B:B, 0)
),
""
),
""
)
</f>
        <v/>
      </c>
      <c r="K94" s="118" t="str">
        <f t="array" ref="K94">IFERROR(
INDEX(REPORTE_DROPI!S:S,
MATCH($T94, REPORTE_DROPI!B:B, 0)
),
""
)
</f>
        <v/>
      </c>
      <c r="L94" s="118">
        <f>IF(
  O94&lt;&gt;"DEVOLUCION",
  "",
  IF(
    T94="",
    "",
    SUMIF(DEVOLUCION!F:F, T94, DEVOLUCION!D:D)
  )
)
</f>
        <v>3.46</v>
      </c>
      <c r="M94" s="123" t="s">
        <v>3729</v>
      </c>
      <c r="N94" s="118">
        <v>4724.0</v>
      </c>
      <c r="O94" s="118" t="str">
        <f t="array" ref="O94">IFERROR(
VLOOKUP(
TRIM(CLEAN(
INDEX(REPORTE_DROPI!K:K,
MATCH(T94, REPORTE_DROPI!B:B, 0)
))),
{
TRIM(CLEAN(MAPA_ESTADOS!A:A)) ,
MAPA_ESTADOS!B:B
},
2,
FALSE
),
"REVISAR"
)
</f>
        <v>DEVOLUCION</v>
      </c>
      <c r="P94" s="118" t="s">
        <v>3850</v>
      </c>
      <c r="Q94" s="122">
        <f t="shared" si="1"/>
        <v>0</v>
      </c>
      <c r="R94" s="118" t="s">
        <v>3675</v>
      </c>
      <c r="S94" s="118">
        <v>1.0</v>
      </c>
      <c r="T94" s="118">
        <f t="array" ref="T94">IFERROR(
INDEX(REPORTE_DROPI!B:B,
MATCH(
CLEAN(TRIM(C94)),
CLEAN(TRIM(REPORTE_DROPI!E:E)),
0
)
),
""
)
</f>
        <v>4058578</v>
      </c>
      <c r="U94" s="118"/>
      <c r="V94" s="78"/>
      <c r="W94" s="78"/>
      <c r="X94" s="78"/>
      <c r="Y94" s="78"/>
      <c r="Z94" s="78"/>
    </row>
    <row r="95" ht="22.5" customHeight="1">
      <c r="A95" s="118">
        <v>94.0</v>
      </c>
      <c r="B95" s="119">
        <v>46029.0</v>
      </c>
      <c r="C95" s="118" t="s">
        <v>3851</v>
      </c>
      <c r="D95" s="118" t="str">
        <f>IFERROR(__xludf.DUMMYFUNCTION("IFERROR(
  INDEX(
    FILTER(
      'NOMBRE DE PRODUCTOS'!B:B,
      REGEXMATCH(
        UPPER(
          INDEX(
            REPORTE_DROPI!AC:AC,
            MATCH(T95, REPORTE_DROPI!B:B, 0)
          )
        ),
        UPPER('NOMBRE DE PRODUCTOS'!A:A)
"&amp;"      )
    ),
    1
  ),
  ""REVISAR""
)
"),"FilmPro®")</f>
        <v>FilmPro®</v>
      </c>
      <c r="E95" s="120">
        <f t="array" ref="E95">IF(
UPPER(TRIM(CLEAN($O95)))="ENTREGADO",
IFERROR(
INDEX(REPORTE_DROPI!Y:Y,
MATCH($T95, REPORTE_DROPI!B:B, 0)
),
""
),
""
)
</f>
        <v>2.79</v>
      </c>
      <c r="F95" s="121">
        <v>1.0</v>
      </c>
      <c r="G95" s="122">
        <f t="array" ref="G95">IF(
UPPER(TRIM(CLEAN($O95)))="ENTREGADO",
IFERROR(
INDEX(REPORTE_DROPI!R:R,
MATCH($T95, REPORTE_DROPI!B:B, 0)
),
""
),
""
)
</f>
        <v>20</v>
      </c>
      <c r="H95" s="118" t="s">
        <v>3727</v>
      </c>
      <c r="I95" s="118" t="s">
        <v>3852</v>
      </c>
      <c r="J95" s="121">
        <f t="array" ref="J95">IF(
UPPER(TRIM(CLEAN($O95)))="ENTREGADO",
IFERROR(
INDEX(REPORTE_DROPI!T:T,
MATCH($T95, REPORTE_DROPI!B:B, 0)
),
""
),
""
)
</f>
        <v>5.76</v>
      </c>
      <c r="K95" s="118">
        <f t="array" ref="K95">IFERROR(
INDEX(REPORTE_DROPI!S:S,
MATCH($T95, REPORTE_DROPI!B:B, 0)
),
""
)
</f>
        <v>11.45</v>
      </c>
      <c r="L95" s="118" t="str">
        <f>IF(
  O95&lt;&gt;"DEVOLUCION",
  "",
  IF(
    T95="",
    "",
    SUMIF(DEVOLUCION!F:F, T95, DEVOLUCION!D:D)
  )
)
</f>
        <v/>
      </c>
      <c r="M95" s="123" t="s">
        <v>3729</v>
      </c>
      <c r="N95" s="118">
        <v>4725.0</v>
      </c>
      <c r="O95" s="118" t="str">
        <f t="array" ref="O95">IFERROR(
VLOOKUP(
TRIM(CLEAN(
INDEX(REPORTE_DROPI!K:K,
MATCH(T95, REPORTE_DROPI!B:B, 0)
))),
{
TRIM(CLEAN(MAPA_ESTADOS!A:A)) ,
MAPA_ESTADOS!B:B
},
2,
FALSE
),
"REVISAR"
)
</f>
        <v>ENTREGADO</v>
      </c>
      <c r="P95" s="118"/>
      <c r="Q95" s="122">
        <f t="shared" si="1"/>
        <v>0</v>
      </c>
      <c r="R95" s="118"/>
      <c r="S95" s="118"/>
      <c r="T95" s="118">
        <f t="array" ref="T95">IFERROR(
INDEX(REPORTE_DROPI!B:B,
MATCH(
CLEAN(TRIM(C95)),
CLEAN(TRIM(REPORTE_DROPI!E:E)),
0
)
),
""
)
</f>
        <v>4076198</v>
      </c>
      <c r="U95" s="118"/>
      <c r="V95" s="78"/>
      <c r="W95" s="78"/>
      <c r="X95" s="78"/>
      <c r="Y95" s="78"/>
      <c r="Z95" s="78"/>
    </row>
    <row r="96" ht="22.5" customHeight="1">
      <c r="A96" s="118">
        <v>95.0</v>
      </c>
      <c r="B96" s="119">
        <v>46029.0</v>
      </c>
      <c r="C96" s="118" t="s">
        <v>3853</v>
      </c>
      <c r="D96" s="118" t="str">
        <f>IFERROR(__xludf.DUMMYFUNCTION("IFERROR(
  INDEX(
    FILTER(
      'NOMBRE DE PRODUCTOS'!B:B,
      REGEXMATCH(
        UPPER(
          INDEX(
            REPORTE_DROPI!AC:AC,
            MATCH(T96, REPORTE_DROPI!B:B, 0)
          )
        ),
        UPPER('NOMBRE DE PRODUCTOS'!A:A)
"&amp;"      )
    ),
    1
  ),
  ""REVISAR""
)
"),"Llave Multifuncional 360™")</f>
        <v>Llave Multifuncional 360™</v>
      </c>
      <c r="E96" s="120">
        <f t="array" ref="E96">IF(
UPPER(TRIM(CLEAN($O96)))="ENTREGADO",
IFERROR(
INDEX(REPORTE_DROPI!Y:Y,
MATCH($T96, REPORTE_DROPI!B:B, 0)
),
""
),
""
)
</f>
        <v>5</v>
      </c>
      <c r="F96" s="121">
        <v>1.0</v>
      </c>
      <c r="G96" s="122">
        <f t="array" ref="G96">IF(
UPPER(TRIM(CLEAN($O96)))="ENTREGADO",
IFERROR(
INDEX(REPORTE_DROPI!R:R,
MATCH($T96, REPORTE_DROPI!B:B, 0)
),
""
),
""
)
</f>
        <v>21.99</v>
      </c>
      <c r="H96" s="118" t="s">
        <v>3727</v>
      </c>
      <c r="I96" s="118" t="s">
        <v>3772</v>
      </c>
      <c r="J96" s="121">
        <f t="array" ref="J96">IF(
UPPER(TRIM(CLEAN($O96)))="ENTREGADO",
IFERROR(
INDEX(REPORTE_DROPI!T:T,
MATCH($T96, REPORTE_DROPI!B:B, 0)
),
""
),
""
)
</f>
        <v>5.84</v>
      </c>
      <c r="K96" s="118">
        <f t="array" ref="K96">IFERROR(
INDEX(REPORTE_DROPI!S:S,
MATCH($T96, REPORTE_DROPI!B:B, 0)
),
""
)
</f>
        <v>11.15</v>
      </c>
      <c r="L96" s="118" t="str">
        <f>IF(
  O96&lt;&gt;"DEVOLUCION",
  "",
  IF(
    T96="",
    "",
    SUMIF(DEVOLUCION!F:F, T96, DEVOLUCION!D:D)
  )
)
</f>
        <v/>
      </c>
      <c r="M96" s="123" t="s">
        <v>3729</v>
      </c>
      <c r="N96" s="118">
        <v>4726.0</v>
      </c>
      <c r="O96" s="118" t="str">
        <f t="array" ref="O96">IFERROR(
VLOOKUP(
TRIM(CLEAN(
INDEX(REPORTE_DROPI!K:K,
MATCH(T96, REPORTE_DROPI!B:B, 0)
))),
{
TRIM(CLEAN(MAPA_ESTADOS!A:A)) ,
MAPA_ESTADOS!B:B
},
2,
FALSE
),
"REVISAR"
)
</f>
        <v>ENTREGADO</v>
      </c>
      <c r="P96" s="118"/>
      <c r="Q96" s="122">
        <f t="shared" si="1"/>
        <v>0</v>
      </c>
      <c r="R96" s="118"/>
      <c r="S96" s="118"/>
      <c r="T96" s="118">
        <f t="array" ref="T96">IFERROR(
INDEX(REPORTE_DROPI!B:B,
MATCH(
CLEAN(TRIM(C96)),
CLEAN(TRIM(REPORTE_DROPI!E:E)),
0
)
),
""
)
</f>
        <v>4061410</v>
      </c>
      <c r="U96" s="118"/>
      <c r="V96" s="78"/>
      <c r="W96" s="78"/>
      <c r="X96" s="78"/>
      <c r="Y96" s="78"/>
      <c r="Z96" s="78"/>
    </row>
    <row r="97" ht="22.5" customHeight="1">
      <c r="A97" s="118">
        <v>96.0</v>
      </c>
      <c r="B97" s="119">
        <v>46029.0</v>
      </c>
      <c r="C97" s="118" t="s">
        <v>3854</v>
      </c>
      <c r="D97" s="118" t="str">
        <f>IFERROR(__xludf.DUMMYFUNCTION("IFERROR(
  INDEX(
    FILTER(
      'NOMBRE DE PRODUCTOS'!B:B,
      REGEXMATCH(
        UPPER(
          INDEX(
            REPORTE_DROPI!AC:AC,
            MATCH(T97, REPORTE_DROPI!B:B, 0)
          )
        ),
        UPPER('NOMBRE DE PRODUCTOS'!A:A)
"&amp;"      )
    ),
    1
  ),
  ""REVISAR""
)
"),"Llave Multifuncional 360™")</f>
        <v>Llave Multifuncional 360™</v>
      </c>
      <c r="E97" s="120">
        <f t="array" ref="E97">IF(
UPPER(TRIM(CLEAN($O97)))="ENTREGADO",
IFERROR(
INDEX(REPORTE_DROPI!Y:Y,
MATCH($T97, REPORTE_DROPI!B:B, 0)
),
""
),
""
)
</f>
        <v>5</v>
      </c>
      <c r="F97" s="121">
        <v>1.0</v>
      </c>
      <c r="G97" s="122">
        <f t="array" ref="G97">IF(
UPPER(TRIM(CLEAN($O97)))="ENTREGADO",
IFERROR(
INDEX(REPORTE_DROPI!R:R,
MATCH($T97, REPORTE_DROPI!B:B, 0)
),
""
),
""
)
</f>
        <v>21.99</v>
      </c>
      <c r="H97" s="118" t="s">
        <v>3727</v>
      </c>
      <c r="I97" s="118" t="s">
        <v>3855</v>
      </c>
      <c r="J97" s="121">
        <f t="array" ref="J97">IF(
UPPER(TRIM(CLEAN($O97)))="ENTREGADO",
IFERROR(
INDEX(REPORTE_DROPI!T:T,
MATCH($T97, REPORTE_DROPI!B:B, 0)
),
""
),
""
)
</f>
        <v>5.84</v>
      </c>
      <c r="K97" s="118">
        <f t="array" ref="K97">IFERROR(
INDEX(REPORTE_DROPI!S:S,
MATCH($T97, REPORTE_DROPI!B:B, 0)
),
""
)
</f>
        <v>11.15</v>
      </c>
      <c r="L97" s="118" t="str">
        <f>IF(
  O97&lt;&gt;"DEVOLUCION",
  "",
  IF(
    T97="",
    "",
    SUMIF(DEVOLUCION!F:F, T97, DEVOLUCION!D:D)
  )
)
</f>
        <v/>
      </c>
      <c r="M97" s="123" t="s">
        <v>3729</v>
      </c>
      <c r="N97" s="118">
        <v>4727.0</v>
      </c>
      <c r="O97" s="118" t="str">
        <f t="array" ref="O97">IFERROR(
VLOOKUP(
TRIM(CLEAN(
INDEX(REPORTE_DROPI!K:K,
MATCH(T97, REPORTE_DROPI!B:B, 0)
))),
{
TRIM(CLEAN(MAPA_ESTADOS!A:A)) ,
MAPA_ESTADOS!B:B
},
2,
FALSE
),
"REVISAR"
)
</f>
        <v>ENTREGADO</v>
      </c>
      <c r="P97" s="118"/>
      <c r="Q97" s="122">
        <f t="shared" si="1"/>
        <v>0</v>
      </c>
      <c r="R97" s="118"/>
      <c r="S97" s="118"/>
      <c r="T97" s="118">
        <f t="array" ref="T97">IFERROR(
INDEX(REPORTE_DROPI!B:B,
MATCH(
CLEAN(TRIM(C97)),
CLEAN(TRIM(REPORTE_DROPI!E:E)),
0
)
),
""
)
</f>
        <v>4061575</v>
      </c>
      <c r="U97" s="118"/>
      <c r="V97" s="78"/>
      <c r="W97" s="78"/>
      <c r="X97" s="78"/>
      <c r="Y97" s="78"/>
      <c r="Z97" s="78"/>
    </row>
    <row r="98" ht="22.5" customHeight="1">
      <c r="A98" s="118">
        <v>97.0</v>
      </c>
      <c r="B98" s="119">
        <v>46030.0</v>
      </c>
      <c r="C98" s="118" t="s">
        <v>3856</v>
      </c>
      <c r="D98" s="118" t="str">
        <f>IFERROR(__xludf.DUMMYFUNCTION("IFERROR(
  INDEX(
    FILTER(
      'NOMBRE DE PRODUCTOS'!B:B,
      REGEXMATCH(
        UPPER(
          INDEX(
            REPORTE_DROPI!AC:AC,
            MATCH(T98, REPORTE_DROPI!B:B, 0)
          )
        ),
        UPPER('NOMBRE DE PRODUCTOS'!A:A)
"&amp;"      )
    ),
    1
  ),
  ""REVISAR""
)
"),"FilmPro®")</f>
        <v>FilmPro®</v>
      </c>
      <c r="E98" s="120">
        <f t="array" ref="E98">IF(
UPPER(TRIM(CLEAN($O98)))="ENTREGADO",
IFERROR(
INDEX(REPORTE_DROPI!Y:Y,
MATCH($T98, REPORTE_DROPI!B:B, 0)
),
""
),
""
)
</f>
        <v>2.79</v>
      </c>
      <c r="F98" s="121">
        <v>1.0</v>
      </c>
      <c r="G98" s="122">
        <f t="array" ref="G98">IF(
UPPER(TRIM(CLEAN($O98)))="ENTREGADO",
IFERROR(
INDEX(REPORTE_DROPI!R:R,
MATCH($T98, REPORTE_DROPI!B:B, 0)
),
""
),
""
)
</f>
        <v>20</v>
      </c>
      <c r="H98" s="118" t="s">
        <v>3727</v>
      </c>
      <c r="I98" s="118" t="s">
        <v>3772</v>
      </c>
      <c r="J98" s="121">
        <f t="array" ref="J98">IF(
UPPER(TRIM(CLEAN($O98)))="ENTREGADO",
IFERROR(
INDEX(REPORTE_DROPI!T:T,
MATCH($T98, REPORTE_DROPI!B:B, 0)
),
""
),
""
)
</f>
        <v>5.76</v>
      </c>
      <c r="K98" s="118">
        <f t="array" ref="K98">IFERROR(
INDEX(REPORTE_DROPI!S:S,
MATCH($T98, REPORTE_DROPI!B:B, 0)
),
""
)
</f>
        <v>11.45</v>
      </c>
      <c r="L98" s="118" t="str">
        <f>IF(
  O98&lt;&gt;"DEVOLUCION",
  "",
  IF(
    T98="",
    "",
    SUMIF(DEVOLUCION!F:F, T98, DEVOLUCION!D:D)
  )
)
</f>
        <v/>
      </c>
      <c r="M98" s="123" t="s">
        <v>3729</v>
      </c>
      <c r="N98" s="118">
        <v>4728.0</v>
      </c>
      <c r="O98" s="118" t="str">
        <f t="array" ref="O98">IFERROR(
VLOOKUP(
TRIM(CLEAN(
INDEX(REPORTE_DROPI!K:K,
MATCH(T98, REPORTE_DROPI!B:B, 0)
))),
{
TRIM(CLEAN(MAPA_ESTADOS!A:A)) ,
MAPA_ESTADOS!B:B
},
2,
FALSE
),
"REVISAR"
)
</f>
        <v>ENTREGADO</v>
      </c>
      <c r="P98" s="118"/>
      <c r="Q98" s="122">
        <f t="shared" si="1"/>
        <v>0</v>
      </c>
      <c r="R98" s="118"/>
      <c r="S98" s="118"/>
      <c r="T98" s="118">
        <f t="array" ref="T98">IFERROR(
INDEX(REPORTE_DROPI!B:B,
MATCH(
CLEAN(TRIM(C98)),
CLEAN(TRIM(REPORTE_DROPI!E:E)),
0
)
),
""
)
</f>
        <v>4065320</v>
      </c>
      <c r="U98" s="118"/>
      <c r="V98" s="78"/>
      <c r="W98" s="78"/>
      <c r="X98" s="78"/>
      <c r="Y98" s="78"/>
      <c r="Z98" s="78"/>
    </row>
    <row r="99" ht="22.5" customHeight="1">
      <c r="A99" s="118">
        <v>98.0</v>
      </c>
      <c r="B99" s="119">
        <v>46030.0</v>
      </c>
      <c r="C99" s="118" t="s">
        <v>3857</v>
      </c>
      <c r="D99" s="118" t="str">
        <f>IFERROR(__xludf.DUMMYFUNCTION("IFERROR(
  INDEX(
    FILTER(
      'NOMBRE DE PRODUCTOS'!B:B,
      REGEXMATCH(
        UPPER(
          INDEX(
            REPORTE_DROPI!AC:AC,
            MATCH(T99, REPORTE_DROPI!B:B, 0)
          )
        ),
        UPPER('NOMBRE DE PRODUCTOS'!A:A)
"&amp;"      )
    ),
    1
  ),
  ""REVISAR""
)
"),"FilmPro®")</f>
        <v>FilmPro®</v>
      </c>
      <c r="E99" s="120" t="str">
        <f t="array" ref="E99">IF(
UPPER(TRIM(CLEAN($O99)))="ENTREGADO",
IFERROR(
INDEX(REPORTE_DROPI!Y:Y,
MATCH($T99, REPORTE_DROPI!B:B, 0)
),
""
),
""
)
</f>
        <v/>
      </c>
      <c r="F99" s="121">
        <v>2.0</v>
      </c>
      <c r="G99" s="122" t="str">
        <f t="array" ref="G99">IF(
UPPER(TRIM(CLEAN($O99)))="ENTREGADO",
IFERROR(
INDEX(REPORTE_DROPI!R:R,
MATCH($T99, REPORTE_DROPI!B:B, 0)
),
""
),
""
)
</f>
        <v/>
      </c>
      <c r="H99" s="118" t="s">
        <v>3727</v>
      </c>
      <c r="I99" s="118" t="s">
        <v>3742</v>
      </c>
      <c r="J99" s="121" t="str">
        <f t="array" ref="J99">IF(
UPPER(TRIM(CLEAN($O99)))="ENTREGADO",
IFERROR(
INDEX(REPORTE_DROPI!T:T,
MATCH($T99, REPORTE_DROPI!B:B, 0)
),
""
),
""
)
</f>
        <v/>
      </c>
      <c r="K99" s="118" t="str">
        <f t="array" ref="K99">IFERROR(
INDEX(REPORTE_DROPI!S:S,
MATCH($T99, REPORTE_DROPI!B:B, 0)
),
""
)
</f>
        <v/>
      </c>
      <c r="L99" s="118" t="str">
        <f>IF(
  O99&lt;&gt;"DEVOLUCION",
  "",
  IF(
    T99="",
    "",
    SUMIF(DEVOLUCION!F:F, T99, DEVOLUCION!D:D)
  )
)
</f>
        <v/>
      </c>
      <c r="M99" s="123" t="s">
        <v>3729</v>
      </c>
      <c r="N99" s="118">
        <v>4729.0</v>
      </c>
      <c r="O99" s="118" t="str">
        <f t="array" ref="O99">IFERROR(
VLOOKUP(
TRIM(CLEAN(
INDEX(REPORTE_DROPI!K:K,
MATCH(T99, REPORTE_DROPI!B:B, 0)
))),
{
TRIM(CLEAN(MAPA_ESTADOS!A:A)) ,
MAPA_ESTADOS!B:B
},
2,
FALSE
),
"REVISAR"
)
</f>
        <v>CANCELADO</v>
      </c>
      <c r="P99" s="118"/>
      <c r="Q99" s="122">
        <f t="shared" si="1"/>
        <v>0</v>
      </c>
      <c r="R99" s="118"/>
      <c r="S99" s="118"/>
      <c r="T99" s="118">
        <f t="array" ref="T99">IFERROR(
INDEX(REPORTE_DROPI!B:B,
MATCH(
CLEAN(TRIM(C99)),
CLEAN(TRIM(REPORTE_DROPI!E:E)),
0
)
),
""
)
</f>
        <v>4065701</v>
      </c>
      <c r="U99" s="118"/>
      <c r="V99" s="78"/>
      <c r="W99" s="78"/>
      <c r="X99" s="78"/>
      <c r="Y99" s="78"/>
      <c r="Z99" s="78"/>
    </row>
    <row r="100" ht="22.5" customHeight="1">
      <c r="A100" s="118">
        <v>99.0</v>
      </c>
      <c r="B100" s="119">
        <v>46030.0</v>
      </c>
      <c r="C100" s="118" t="s">
        <v>3858</v>
      </c>
      <c r="D100" s="118" t="str">
        <f>IFERROR(__xludf.DUMMYFUNCTION("IFERROR(
  INDEX(
    FILTER(
      'NOMBRE DE PRODUCTOS'!B:B,
      REGEXMATCH(
        UPPER(
          INDEX(
            REPORTE_DROPI!AC:AC,
            MATCH(T100, REPORTE_DROPI!B:B, 0)
          )
        ),
        UPPER('NOMBRE DE PRODUCTOS'!A:A)"&amp;"
      )
    ),
    1
  ),
  ""REVISAR""
)
"),"FilmPro®")</f>
        <v>FilmPro®</v>
      </c>
      <c r="E100" s="120">
        <f t="array" ref="E100">IF(
UPPER(TRIM(CLEAN($O100)))="ENTREGADO",
IFERROR(
INDEX(REPORTE_DROPI!Y:Y,
MATCH($T100, REPORTE_DROPI!B:B, 0)
),
""
),
""
)
</f>
        <v>8.37</v>
      </c>
      <c r="F100" s="121">
        <v>3.0</v>
      </c>
      <c r="G100" s="122">
        <f t="array" ref="G100">IF(
UPPER(TRIM(CLEAN($O100)))="ENTREGADO",
IFERROR(
INDEX(REPORTE_DROPI!R:R,
MATCH($T100, REPORTE_DROPI!B:B, 0)
),
""
),
""
)
</f>
        <v>30</v>
      </c>
      <c r="H100" s="118" t="s">
        <v>3727</v>
      </c>
      <c r="I100" s="118" t="s">
        <v>3798</v>
      </c>
      <c r="J100" s="121">
        <f t="array" ref="J100">IF(
UPPER(TRIM(CLEAN($O100)))="ENTREGADO",
IFERROR(
INDEX(REPORTE_DROPI!T:T,
MATCH($T100, REPORTE_DROPI!B:B, 0)
),
""
),
""
)
</f>
        <v>6.16</v>
      </c>
      <c r="K100" s="118">
        <f t="array" ref="K100">IFERROR(
INDEX(REPORTE_DROPI!S:S,
MATCH($T100, REPORTE_DROPI!B:B, 0)
),
""
)
</f>
        <v>15.47</v>
      </c>
      <c r="L100" s="118" t="str">
        <f>IF(
  O100&lt;&gt;"DEVOLUCION",
  "",
  IF(
    T100="",
    "",
    SUMIF(DEVOLUCION!F:F, T100, DEVOLUCION!D:D)
  )
)
</f>
        <v/>
      </c>
      <c r="M100" s="123" t="s">
        <v>3729</v>
      </c>
      <c r="N100" s="118">
        <v>4730.0</v>
      </c>
      <c r="O100" s="118" t="str">
        <f t="array" ref="O100">IFERROR(
VLOOKUP(
TRIM(CLEAN(
INDEX(REPORTE_DROPI!K:K,
MATCH(T100, REPORTE_DROPI!B:B, 0)
))),
{
TRIM(CLEAN(MAPA_ESTADOS!A:A)) ,
MAPA_ESTADOS!B:B
},
2,
FALSE
),
"REVISAR"
)
</f>
        <v>ENTREGADO</v>
      </c>
      <c r="P100" s="118"/>
      <c r="Q100" s="122">
        <f t="shared" si="1"/>
        <v>0</v>
      </c>
      <c r="R100" s="118"/>
      <c r="S100" s="118"/>
      <c r="T100" s="118">
        <f t="array" ref="T100">IFERROR(
INDEX(REPORTE_DROPI!B:B,
MATCH(
CLEAN(TRIM(C100)),
CLEAN(TRIM(REPORTE_DROPI!E:E)),
0
)
),
""
)
</f>
        <v>4066610</v>
      </c>
      <c r="U100" s="118"/>
      <c r="V100" s="78"/>
      <c r="W100" s="78"/>
      <c r="X100" s="78"/>
      <c r="Y100" s="78"/>
      <c r="Z100" s="78"/>
    </row>
    <row r="101" ht="22.5" customHeight="1">
      <c r="A101" s="118">
        <v>100.0</v>
      </c>
      <c r="B101" s="119">
        <v>46030.0</v>
      </c>
      <c r="C101" s="118" t="s">
        <v>3859</v>
      </c>
      <c r="D101" s="118" t="str">
        <f>IFERROR(__xludf.DUMMYFUNCTION("IFERROR(
  INDEX(
    FILTER(
      'NOMBRE DE PRODUCTOS'!B:B,
      REGEXMATCH(
        UPPER(
          INDEX(
            REPORTE_DROPI!AC:AC,
            MATCH(T101, REPORTE_DROPI!B:B, 0)
          )
        ),
        UPPER('NOMBRE DE PRODUCTOS'!A:A)"&amp;"
      )
    ),
    1
  ),
  ""REVISAR""
)
"),"FLORA FRESH PRO™")</f>
        <v>FLORA FRESH PRO™</v>
      </c>
      <c r="E101" s="120">
        <f t="array" ref="E101">IF(
UPPER(TRIM(CLEAN($O101)))="ENTREGADO",
IFERROR(
INDEX(REPORTE_DROPI!Y:Y,
MATCH($T101, REPORTE_DROPI!B:B, 0)
),
""
),
""
)
</f>
        <v>7.5</v>
      </c>
      <c r="F101" s="121">
        <v>3.0</v>
      </c>
      <c r="G101" s="122">
        <f t="array" ref="G101">IF(
UPPER(TRIM(CLEAN($O101)))="ENTREGADO",
IFERROR(
INDEX(REPORTE_DROPI!R:R,
MATCH($T101, REPORTE_DROPI!B:B, 0)
),
""
),
""
)
</f>
        <v>27</v>
      </c>
      <c r="H101" s="118" t="s">
        <v>3727</v>
      </c>
      <c r="I101" s="118" t="s">
        <v>3731</v>
      </c>
      <c r="J101" s="121">
        <f t="array" ref="J101">IF(
UPPER(TRIM(CLEAN($O101)))="ENTREGADO",
IFERROR(
INDEX(REPORTE_DROPI!T:T,
MATCH($T101, REPORTE_DROPI!B:B, 0)
),
""
),
""
)
</f>
        <v>6.34</v>
      </c>
      <c r="K101" s="118">
        <f t="array" ref="K101">IFERROR(
INDEX(REPORTE_DROPI!S:S,
MATCH($T101, REPORTE_DROPI!B:B, 0)
),
""
)
</f>
        <v>13.16</v>
      </c>
      <c r="L101" s="118" t="str">
        <f>IF(
  O101&lt;&gt;"DEVOLUCION",
  "",
  IF(
    T101="",
    "",
    SUMIF(DEVOLUCION!F:F, T101, DEVOLUCION!D:D)
  )
)
</f>
        <v/>
      </c>
      <c r="M101" s="123" t="s">
        <v>3729</v>
      </c>
      <c r="N101" s="118">
        <v>4731.0</v>
      </c>
      <c r="O101" s="118" t="str">
        <f t="array" ref="O101">IFERROR(
VLOOKUP(
TRIM(CLEAN(
INDEX(REPORTE_DROPI!K:K,
MATCH(T101, REPORTE_DROPI!B:B, 0)
))),
{
TRIM(CLEAN(MAPA_ESTADOS!A:A)) ,
MAPA_ESTADOS!B:B
},
2,
FALSE
),
"REVISAR"
)
</f>
        <v>ENTREGADO</v>
      </c>
      <c r="P101" s="118"/>
      <c r="Q101" s="122">
        <f t="shared" si="1"/>
        <v>0</v>
      </c>
      <c r="R101" s="118"/>
      <c r="S101" s="118"/>
      <c r="T101" s="118">
        <f t="array" ref="T101">IFERROR(
INDEX(REPORTE_DROPI!B:B,
MATCH(
CLEAN(TRIM(C101)),
CLEAN(TRIM(REPORTE_DROPI!E:E)),
0
)
),
""
)
</f>
        <v>4066860</v>
      </c>
      <c r="U101" s="118"/>
      <c r="V101" s="78"/>
      <c r="W101" s="78"/>
      <c r="X101" s="78"/>
      <c r="Y101" s="78"/>
      <c r="Z101" s="78"/>
    </row>
    <row r="102" ht="22.5" customHeight="1">
      <c r="A102" s="118">
        <v>101.0</v>
      </c>
      <c r="B102" s="119">
        <v>46030.0</v>
      </c>
      <c r="C102" s="118" t="s">
        <v>3860</v>
      </c>
      <c r="D102" s="118" t="str">
        <f>IFERROR(__xludf.DUMMYFUNCTION("IFERROR(
  INDEX(
    FILTER(
      'NOMBRE DE PRODUCTOS'!B:B,
      REGEXMATCH(
        UPPER(
          INDEX(
            REPORTE_DROPI!AC:AC,
            MATCH(T102, REPORTE_DROPI!B:B, 0)
          )
        ),
        UPPER('NOMBRE DE PRODUCTOS'!A:A)"&amp;"
      )
    ),
    1
  ),
  ""REVISAR""
)
"),"FilmPro®")</f>
        <v>FilmPro®</v>
      </c>
      <c r="E102" s="120" t="str">
        <f t="array" ref="E102">IF(
UPPER(TRIM(CLEAN($O102)))="ENTREGADO",
IFERROR(
INDEX(REPORTE_DROPI!Y:Y,
MATCH($T102, REPORTE_DROPI!B:B, 0)
),
""
),
""
)
</f>
        <v/>
      </c>
      <c r="F102" s="121">
        <v>1.0</v>
      </c>
      <c r="G102" s="122" t="str">
        <f t="array" ref="G102">IF(
UPPER(TRIM(CLEAN($O102)))="ENTREGADO",
IFERROR(
INDEX(REPORTE_DROPI!R:R,
MATCH($T102, REPORTE_DROPI!B:B, 0)
),
""
),
""
)
</f>
        <v/>
      </c>
      <c r="H102" s="118" t="s">
        <v>3727</v>
      </c>
      <c r="I102" s="118" t="s">
        <v>3742</v>
      </c>
      <c r="J102" s="121" t="str">
        <f t="array" ref="J102">IF(
UPPER(TRIM(CLEAN($O102)))="ENTREGADO",
IFERROR(
INDEX(REPORTE_DROPI!T:T,
MATCH($T102, REPORTE_DROPI!B:B, 0)
),
""
),
""
)
</f>
        <v/>
      </c>
      <c r="K102" s="118" t="str">
        <f t="array" ref="K102">IFERROR(
INDEX(REPORTE_DROPI!S:S,
MATCH($T102, REPORTE_DROPI!B:B, 0)
),
""
)
</f>
        <v/>
      </c>
      <c r="L102" s="118" t="str">
        <f>IF(
  O102&lt;&gt;"DEVOLUCION",
  "",
  IF(
    T102="",
    "",
    SUMIF(DEVOLUCION!F:F, T102, DEVOLUCION!D:D)
  )
)
</f>
        <v/>
      </c>
      <c r="M102" s="123" t="s">
        <v>3729</v>
      </c>
      <c r="N102" s="118">
        <v>4732.0</v>
      </c>
      <c r="O102" s="118" t="str">
        <f t="array" ref="O102">IFERROR(
VLOOKUP(
TRIM(CLEAN(
INDEX(REPORTE_DROPI!K:K,
MATCH(T102, REPORTE_DROPI!B:B, 0)
))),
{
TRIM(CLEAN(MAPA_ESTADOS!A:A)) ,
MAPA_ESTADOS!B:B
},
2,
FALSE
),
"REVISAR"
)
</f>
        <v>CANCELADO</v>
      </c>
      <c r="P102" s="118"/>
      <c r="Q102" s="122">
        <f t="shared" si="1"/>
        <v>0</v>
      </c>
      <c r="R102" s="118"/>
      <c r="S102" s="118"/>
      <c r="T102" s="118">
        <f t="array" ref="T102">IFERROR(
INDEX(REPORTE_DROPI!B:B,
MATCH(
CLEAN(TRIM(C102)),
CLEAN(TRIM(REPORTE_DROPI!E:E)),
0
)
),
""
)
</f>
        <v>4070054</v>
      </c>
      <c r="U102" s="118"/>
      <c r="V102" s="78"/>
      <c r="W102" s="78"/>
      <c r="X102" s="78"/>
      <c r="Y102" s="78"/>
      <c r="Z102" s="78"/>
    </row>
    <row r="103" ht="22.5" customHeight="1">
      <c r="A103" s="118">
        <v>102.0</v>
      </c>
      <c r="B103" s="119">
        <v>46030.0</v>
      </c>
      <c r="C103" s="118" t="s">
        <v>3861</v>
      </c>
      <c r="D103" s="118" t="str">
        <f>IFERROR(__xludf.DUMMYFUNCTION("IFERROR(
  INDEX(
    FILTER(
      'NOMBRE DE PRODUCTOS'!B:B,
      REGEXMATCH(
        UPPER(
          INDEX(
            REPORTE_DROPI!AC:AC,
            MATCH(T103, REPORTE_DROPI!B:B, 0)
          )
        ),
        UPPER('NOMBRE DE PRODUCTOS'!A:A)"&amp;"
      )
    ),
    1
  ),
  ""REVISAR""
)
"),"FilmPro®")</f>
        <v>FilmPro®</v>
      </c>
      <c r="E103" s="120">
        <f t="array" ref="E103">IF(
UPPER(TRIM(CLEAN($O103)))="ENTREGADO",
IFERROR(
INDEX(REPORTE_DROPI!Y:Y,
MATCH($T103, REPORTE_DROPI!B:B, 0)
),
""
),
""
)
</f>
        <v>5.58</v>
      </c>
      <c r="F103" s="121">
        <v>2.0</v>
      </c>
      <c r="G103" s="122">
        <f t="array" ref="G103">IF(
UPPER(TRIM(CLEAN($O103)))="ENTREGADO",
IFERROR(
INDEX(REPORTE_DROPI!R:R,
MATCH($T103, REPORTE_DROPI!B:B, 0)
),
""
),
""
)
</f>
        <v>25</v>
      </c>
      <c r="H103" s="118" t="s">
        <v>3727</v>
      </c>
      <c r="I103" s="118" t="s">
        <v>3740</v>
      </c>
      <c r="J103" s="121">
        <f t="array" ref="J103">IF(
UPPER(TRIM(CLEAN($O103)))="ENTREGADO",
IFERROR(
INDEX(REPORTE_DROPI!T:T,
MATCH($T103, REPORTE_DROPI!B:B, 0)
),
""
),
""
)
</f>
        <v>7.75</v>
      </c>
      <c r="K103" s="118">
        <f t="array" ref="K103">IFERROR(
INDEX(REPORTE_DROPI!S:S,
MATCH($T103, REPORTE_DROPI!B:B, 0)
),
""
)
</f>
        <v>11.67</v>
      </c>
      <c r="L103" s="118" t="str">
        <f>IF(
  O103&lt;&gt;"DEVOLUCION",
  "",
  IF(
    T103="",
    "",
    SUMIF(DEVOLUCION!F:F, T103, DEVOLUCION!D:D)
  )
)
</f>
        <v/>
      </c>
      <c r="M103" s="123" t="s">
        <v>3729</v>
      </c>
      <c r="N103" s="118" t="s">
        <v>3862</v>
      </c>
      <c r="O103" s="118" t="str">
        <f t="array" ref="O103">IFERROR(
VLOOKUP(
TRIM(CLEAN(
INDEX(REPORTE_DROPI!K:K,
MATCH(T103, REPORTE_DROPI!B:B, 0)
))),
{
TRIM(CLEAN(MAPA_ESTADOS!A:A)) ,
MAPA_ESTADOS!B:B
},
2,
FALSE
),
"REVISAR"
)
</f>
        <v>ENTREGADO</v>
      </c>
      <c r="P103" s="118"/>
      <c r="Q103" s="122">
        <f t="shared" si="1"/>
        <v>0</v>
      </c>
      <c r="R103" s="118"/>
      <c r="S103" s="118"/>
      <c r="T103" s="118">
        <f t="array" ref="T103">IFERROR(
INDEX(REPORTE_DROPI!B:B,
MATCH(
CLEAN(TRIM(C103)),
CLEAN(TRIM(REPORTE_DROPI!E:E)),
0
)
),
""
)
</f>
        <v>4072980</v>
      </c>
      <c r="U103" s="118"/>
      <c r="V103" s="78"/>
      <c r="W103" s="78"/>
      <c r="X103" s="78"/>
      <c r="Y103" s="78"/>
      <c r="Z103" s="78"/>
    </row>
    <row r="104" ht="22.5" customHeight="1">
      <c r="A104" s="118">
        <v>103.0</v>
      </c>
      <c r="B104" s="119">
        <v>46030.0</v>
      </c>
      <c r="C104" s="118" t="s">
        <v>3863</v>
      </c>
      <c r="D104" s="118" t="str">
        <f>IFERROR(__xludf.DUMMYFUNCTION("IFERROR(
  INDEX(
    FILTER(
      'NOMBRE DE PRODUCTOS'!B:B,
      REGEXMATCH(
        UPPER(
          INDEX(
            REPORTE_DROPI!AC:AC,
            MATCH(T104, REPORTE_DROPI!B:B, 0)
          )
        ),
        UPPER('NOMBRE DE PRODUCTOS'!A:A)"&amp;"
      )
    ),
    1
  ),
  ""REVISAR""
)
"),"FilmPro®")</f>
        <v>FilmPro®</v>
      </c>
      <c r="E104" s="120" t="str">
        <f t="array" ref="E104">IF(
UPPER(TRIM(CLEAN($O104)))="ENTREGADO",
IFERROR(
INDEX(REPORTE_DROPI!Y:Y,
MATCH($T104, REPORTE_DROPI!B:B, 0)
),
""
),
""
)
</f>
        <v/>
      </c>
      <c r="F104" s="121">
        <v>1.0</v>
      </c>
      <c r="G104" s="122" t="str">
        <f t="array" ref="G104">IF(
UPPER(TRIM(CLEAN($O104)))="ENTREGADO",
IFERROR(
INDEX(REPORTE_DROPI!R:R,
MATCH($T104, REPORTE_DROPI!B:B, 0)
),
""
),
""
)
</f>
        <v/>
      </c>
      <c r="H104" s="118" t="s">
        <v>3727</v>
      </c>
      <c r="I104" s="118" t="s">
        <v>3864</v>
      </c>
      <c r="J104" s="121" t="str">
        <f t="array" ref="J104">IF(
UPPER(TRIM(CLEAN($O104)))="ENTREGADO",
IFERROR(
INDEX(REPORTE_DROPI!T:T,
MATCH($T104, REPORTE_DROPI!B:B, 0)
),
""
),
""
)
</f>
        <v/>
      </c>
      <c r="K104" s="118" t="str">
        <f t="array" ref="K104">IFERROR(
INDEX(REPORTE_DROPI!S:S,
MATCH($T104, REPORTE_DROPI!B:B, 0)
),
""
)
</f>
        <v/>
      </c>
      <c r="L104" s="118">
        <f>IF(
  O104&lt;&gt;"DEVOLUCION",
  "",
  IF(
    T104="",
    "",
    SUMIF(DEVOLUCION!F:F, T104, DEVOLUCION!D:D)
  )
)
</f>
        <v>5.06</v>
      </c>
      <c r="M104" s="123" t="s">
        <v>3729</v>
      </c>
      <c r="N104" s="118" t="s">
        <v>3865</v>
      </c>
      <c r="O104" s="118" t="str">
        <f t="array" ref="O104">IFERROR(
VLOOKUP(
TRIM(CLEAN(
INDEX(REPORTE_DROPI!K:K,
MATCH(T104, REPORTE_DROPI!B:B, 0)
))),
{
TRIM(CLEAN(MAPA_ESTADOS!A:A)) ,
MAPA_ESTADOS!B:B
},
2,
FALSE
),
"REVISAR"
)
</f>
        <v>DEVOLUCION</v>
      </c>
      <c r="P104" s="118" t="s">
        <v>3866</v>
      </c>
      <c r="Q104" s="122">
        <f t="shared" si="1"/>
        <v>0</v>
      </c>
      <c r="R104" s="118"/>
      <c r="S104" s="118"/>
      <c r="T104" s="118">
        <f t="array" ref="T104">IFERROR(
INDEX(REPORTE_DROPI!B:B,
MATCH(
CLEAN(TRIM(C104)),
CLEAN(TRIM(REPORTE_DROPI!E:E)),
0
)
),
""
)
</f>
        <v>4074136</v>
      </c>
      <c r="U104" s="118">
        <v>6.3997785539E12</v>
      </c>
      <c r="V104" s="78"/>
      <c r="W104" s="78"/>
      <c r="X104" s="78"/>
      <c r="Y104" s="78"/>
      <c r="Z104" s="78"/>
    </row>
    <row r="105" ht="22.5" customHeight="1">
      <c r="A105" s="118">
        <v>104.0</v>
      </c>
      <c r="B105" s="119">
        <v>46030.0</v>
      </c>
      <c r="C105" s="118" t="s">
        <v>3867</v>
      </c>
      <c r="D105" s="118" t="str">
        <f>IFERROR(__xludf.DUMMYFUNCTION("IFERROR(
  INDEX(
    FILTER(
      'NOMBRE DE PRODUCTOS'!B:B,
      REGEXMATCH(
        UPPER(
          INDEX(
            REPORTE_DROPI!AC:AC,
            MATCH(T105, REPORTE_DROPI!B:B, 0)
          )
        ),
        UPPER('NOMBRE DE PRODUCTOS'!A:A)"&amp;"
      )
    ),
    1
  ),
  ""REVISAR""
)
"),"FilmPro®")</f>
        <v>FilmPro®</v>
      </c>
      <c r="E105" s="120">
        <f t="array" ref="E105">IF(
UPPER(TRIM(CLEAN($O105)))="ENTREGADO",
IFERROR(
INDEX(REPORTE_DROPI!Y:Y,
MATCH($T105, REPORTE_DROPI!B:B, 0)
),
""
),
""
)
</f>
        <v>8.37</v>
      </c>
      <c r="F105" s="121">
        <v>3.0</v>
      </c>
      <c r="G105" s="122">
        <f t="array" ref="G105">IF(
UPPER(TRIM(CLEAN($O105)))="ENTREGADO",
IFERROR(
INDEX(REPORTE_DROPI!R:R,
MATCH($T105, REPORTE_DROPI!B:B, 0)
),
""
),
""
)
</f>
        <v>30</v>
      </c>
      <c r="H105" s="118" t="s">
        <v>3727</v>
      </c>
      <c r="I105" s="118" t="s">
        <v>3740</v>
      </c>
      <c r="J105" s="121">
        <f t="array" ref="J105">IF(
UPPER(TRIM(CLEAN($O105)))="ENTREGADO",
IFERROR(
INDEX(REPORTE_DROPI!T:T,
MATCH($T105, REPORTE_DROPI!B:B, 0)
),
""
),
""
)
</f>
        <v>7.82</v>
      </c>
      <c r="K105" s="118">
        <f t="array" ref="K105">IFERROR(
INDEX(REPORTE_DROPI!S:S,
MATCH($T105, REPORTE_DROPI!B:B, 0)
),
""
)
</f>
        <v>13.81</v>
      </c>
      <c r="L105" s="118" t="str">
        <f>IF(
  O105&lt;&gt;"DEVOLUCION",
  "",
  IF(
    T105="",
    "",
    SUMIF(DEVOLUCION!F:F, T105, DEVOLUCION!D:D)
  )
)
</f>
        <v/>
      </c>
      <c r="M105" s="118" t="str">
        <f t="array" ref="M105">IFERROR(
INDEX(REPORTE_DROPI!AS:AS,
MATCH(T105, REPORTE_DROPI!B:B, 0)
),
""
)
</f>
        <v/>
      </c>
      <c r="N105" s="118" t="s">
        <v>3868</v>
      </c>
      <c r="O105" s="118" t="str">
        <f t="array" ref="O105">IFERROR(
VLOOKUP(
TRIM(CLEAN(
INDEX(REPORTE_DROPI!K:K,
MATCH(T105, REPORTE_DROPI!B:B, 0)
))),
{
TRIM(CLEAN(MAPA_ESTADOS!A:A)) ,
MAPA_ESTADOS!B:B
},
2,
FALSE
),
"REVISAR"
)
</f>
        <v>ENTREGADO</v>
      </c>
      <c r="P105" s="118"/>
      <c r="Q105" s="122">
        <f t="shared" si="1"/>
        <v>0</v>
      </c>
      <c r="R105" s="118"/>
      <c r="S105" s="118"/>
      <c r="T105" s="118">
        <f t="array" ref="T105">IFERROR(
INDEX(REPORTE_DROPI!B:B,
MATCH(
CLEAN(TRIM(C105)),
CLEAN(TRIM(REPORTE_DROPI!E:E)),
0
)
),
""
)
</f>
        <v>4074226</v>
      </c>
      <c r="U105" s="118">
        <v>6.39979624862E12</v>
      </c>
      <c r="V105" s="78"/>
      <c r="W105" s="78"/>
      <c r="X105" s="78"/>
      <c r="Y105" s="78"/>
      <c r="Z105" s="78"/>
    </row>
    <row r="106" ht="22.5" customHeight="1">
      <c r="A106" s="118">
        <v>105.0</v>
      </c>
      <c r="B106" s="119">
        <v>46030.0</v>
      </c>
      <c r="C106" s="118" t="s">
        <v>3869</v>
      </c>
      <c r="D106" s="118" t="str">
        <f>IFERROR(__xludf.DUMMYFUNCTION("IFERROR(
  INDEX(
    FILTER(
      'NOMBRE DE PRODUCTOS'!B:B,
      REGEXMATCH(
        UPPER(
          INDEX(
            REPORTE_DROPI!AC:AC,
            MATCH(T106, REPORTE_DROPI!B:B, 0)
          )
        ),
        UPPER('NOMBRE DE PRODUCTOS'!A:A)"&amp;"
      )
    ),
    1
  ),
  ""REVISAR""
)
"),"FilmPro®")</f>
        <v>FilmPro®</v>
      </c>
      <c r="E106" s="120" t="str">
        <f t="array" ref="E106">IF(
UPPER(TRIM(CLEAN($O106)))="ENTREGADO",
IFERROR(
INDEX(REPORTE_DROPI!Y:Y,
MATCH($T106, REPORTE_DROPI!B:B, 0)
),
""
),
""
)
</f>
        <v/>
      </c>
      <c r="F106" s="121">
        <v>1.0</v>
      </c>
      <c r="G106" s="122" t="str">
        <f t="array" ref="G106">IF(
UPPER(TRIM(CLEAN($O106)))="ENTREGADO",
IFERROR(
INDEX(REPORTE_DROPI!R:R,
MATCH($T106, REPORTE_DROPI!B:B, 0)
),
""
),
""
)
</f>
        <v/>
      </c>
      <c r="H106" s="118" t="s">
        <v>3727</v>
      </c>
      <c r="I106" s="118" t="s">
        <v>3864</v>
      </c>
      <c r="J106" s="121" t="str">
        <f t="array" ref="J106">IF(
UPPER(TRIM(CLEAN($O106)))="ENTREGADO",
IFERROR(
INDEX(REPORTE_DROPI!T:T,
MATCH($T106, REPORTE_DROPI!B:B, 0)
),
""
),
""
)
</f>
        <v/>
      </c>
      <c r="K106" s="118" t="str">
        <f t="array" ref="K106">IFERROR(
INDEX(REPORTE_DROPI!S:S,
MATCH($T106, REPORTE_DROPI!B:B, 0)
),
""
)
</f>
        <v/>
      </c>
      <c r="L106" s="118">
        <f>IF(
  O106&lt;&gt;"DEVOLUCION",
  "",
  IF(
    T106="",
    "",
    SUMIF(DEVOLUCION!F:F, T106, DEVOLUCION!D:D)
  )
)
</f>
        <v>5.06</v>
      </c>
      <c r="M106" s="118" t="s">
        <v>3870</v>
      </c>
      <c r="N106" s="118" t="s">
        <v>3871</v>
      </c>
      <c r="O106" s="118" t="str">
        <f t="array" ref="O106">IFERROR(
VLOOKUP(
TRIM(CLEAN(
INDEX(REPORTE_DROPI!K:K,
MATCH(T106, REPORTE_DROPI!B:B, 0)
))),
{
TRIM(CLEAN(MAPA_ESTADOS!A:A)) ,
MAPA_ESTADOS!B:B
},
2,
FALSE
),
"REVISAR"
)
</f>
        <v>DEVOLUCION</v>
      </c>
      <c r="P106" s="118" t="s">
        <v>3805</v>
      </c>
      <c r="Q106" s="122">
        <f t="shared" si="1"/>
        <v>0</v>
      </c>
      <c r="R106" s="118"/>
      <c r="S106" s="118"/>
      <c r="T106" s="118">
        <f t="array" ref="T106">IFERROR(
INDEX(REPORTE_DROPI!B:B,
MATCH(
CLEAN(TRIM(C106)),
CLEAN(TRIM(REPORTE_DROPI!E:E)),
0
)
),
""
)
</f>
        <v>4074389</v>
      </c>
      <c r="U106" s="118">
        <v>6.399831081004E12</v>
      </c>
      <c r="V106" s="78"/>
      <c r="W106" s="78"/>
      <c r="X106" s="78"/>
      <c r="Y106" s="78"/>
      <c r="Z106" s="78"/>
    </row>
    <row r="107" ht="22.5" customHeight="1">
      <c r="A107" s="118">
        <v>106.0</v>
      </c>
      <c r="B107" s="119">
        <v>46030.0</v>
      </c>
      <c r="C107" s="118" t="s">
        <v>3872</v>
      </c>
      <c r="D107" s="118" t="str">
        <f>IFERROR(__xludf.DUMMYFUNCTION("IFERROR(
  INDEX(
    FILTER(
      'NOMBRE DE PRODUCTOS'!B:B,
      REGEXMATCH(
        UPPER(
          INDEX(
            REPORTE_DROPI!AC:AC,
            MATCH(T107, REPORTE_DROPI!B:B, 0)
          )
        ),
        UPPER('NOMBRE DE PRODUCTOS'!A:A)"&amp;"
      )
    ),
    1
  ),
  ""REVISAR""
)
"),"FilmPro®")</f>
        <v>FilmPro®</v>
      </c>
      <c r="E107" s="120">
        <f t="array" ref="E107">IF(
UPPER(TRIM(CLEAN($O107)))="ENTREGADO",
IFERROR(
INDEX(REPORTE_DROPI!Y:Y,
MATCH($T107, REPORTE_DROPI!B:B, 0)
),
""
),
""
)
</f>
        <v>8.37</v>
      </c>
      <c r="F107" s="121">
        <v>3.0</v>
      </c>
      <c r="G107" s="122">
        <f t="array" ref="G107">IF(
UPPER(TRIM(CLEAN($O107)))="ENTREGADO",
IFERROR(
INDEX(REPORTE_DROPI!R:R,
MATCH($T107, REPORTE_DROPI!B:B, 0)
),
""
),
""
)
</f>
        <v>30</v>
      </c>
      <c r="H107" s="118" t="s">
        <v>3727</v>
      </c>
      <c r="I107" s="118" t="s">
        <v>3784</v>
      </c>
      <c r="J107" s="121">
        <f t="array" ref="J107">IF(
UPPER(TRIM(CLEAN($O107)))="ENTREGADO",
IFERROR(
INDEX(REPORTE_DROPI!T:T,
MATCH($T107, REPORTE_DROPI!B:B, 0)
),
""
),
""
)
</f>
        <v>7.82</v>
      </c>
      <c r="K107" s="118">
        <f t="array" ref="K107">IFERROR(
INDEX(REPORTE_DROPI!S:S,
MATCH($T107, REPORTE_DROPI!B:B, 0)
),
""
)
</f>
        <v>13.81</v>
      </c>
      <c r="L107" s="118" t="str">
        <f>IF(
  O107&lt;&gt;"DEVOLUCION",
  "",
  IF(
    T107="",
    "",
    SUMIF(DEVOLUCION!F:F, T107, DEVOLUCION!D:D)
  )
)
</f>
        <v/>
      </c>
      <c r="M107" s="118" t="str">
        <f t="array" ref="M107">IFERROR(
INDEX(REPORTE_DROPI!AS:AS,
MATCH(T107, REPORTE_DROPI!B:B, 0)
),
""
)
</f>
        <v/>
      </c>
      <c r="N107" s="118" t="s">
        <v>3873</v>
      </c>
      <c r="O107" s="118" t="str">
        <f t="array" ref="O107">IFERROR(
VLOOKUP(
TRIM(CLEAN(
INDEX(REPORTE_DROPI!K:K,
MATCH(T107, REPORTE_DROPI!B:B, 0)
))),
{
TRIM(CLEAN(MAPA_ESTADOS!A:A)) ,
MAPA_ESTADOS!B:B
},
2,
FALSE
),
"REVISAR"
)
</f>
        <v>ENTREGADO</v>
      </c>
      <c r="P107" s="118"/>
      <c r="Q107" s="122">
        <f t="shared" si="1"/>
        <v>0</v>
      </c>
      <c r="R107" s="118"/>
      <c r="S107" s="118"/>
      <c r="T107" s="118">
        <f t="array" ref="T107">IFERROR(
INDEX(REPORTE_DROPI!B:B,
MATCH(
CLEAN(TRIM(C107)),
CLEAN(TRIM(REPORTE_DROPI!E:E)),
0
)
),
""
)
</f>
        <v>4075080</v>
      </c>
      <c r="U107" s="118">
        <v>6.399950848044E12</v>
      </c>
      <c r="V107" s="78"/>
      <c r="W107" s="78"/>
      <c r="X107" s="78"/>
      <c r="Y107" s="78"/>
      <c r="Z107" s="78"/>
    </row>
    <row r="108" ht="22.5" customHeight="1">
      <c r="A108" s="118">
        <v>107.0</v>
      </c>
      <c r="B108" s="119">
        <v>46031.0</v>
      </c>
      <c r="C108" s="118" t="s">
        <v>3874</v>
      </c>
      <c r="D108" s="118" t="str">
        <f>IFERROR(__xludf.DUMMYFUNCTION("IFERROR(
  INDEX(
    FILTER(
      'NOMBRE DE PRODUCTOS'!B:B,
      REGEXMATCH(
        UPPER(
          INDEX(
            REPORTE_DROPI!AC:AC,
            MATCH(T108, REPORTE_DROPI!B:B, 0)
          )
        ),
        UPPER('NOMBRE DE PRODUCTOS'!A:A)"&amp;"
      )
    ),
    1
  ),
  ""REVISAR""
)
"),"FilmPro®")</f>
        <v>FilmPro®</v>
      </c>
      <c r="E108" s="120">
        <f t="array" ref="E108">IF(
UPPER(TRIM(CLEAN($O108)))="ENTREGADO",
IFERROR(
INDEX(REPORTE_DROPI!Y:Y,
MATCH($T108, REPORTE_DROPI!B:B, 0)
),
""
),
""
)
</f>
        <v>2.79</v>
      </c>
      <c r="F108" s="121">
        <v>1.0</v>
      </c>
      <c r="G108" s="122">
        <f t="array" ref="G108">IF(
UPPER(TRIM(CLEAN($O108)))="ENTREGADO",
IFERROR(
INDEX(REPORTE_DROPI!R:R,
MATCH($T108, REPORTE_DROPI!B:B, 0)
),
""
),
""
)
</f>
        <v>20</v>
      </c>
      <c r="H108" s="118" t="s">
        <v>3727</v>
      </c>
      <c r="I108" s="118" t="s">
        <v>3728</v>
      </c>
      <c r="J108" s="121">
        <f t="array" ref="J108">IF(
UPPER(TRIM(CLEAN($O108)))="ENTREGADO",
IFERROR(
INDEX(REPORTE_DROPI!T:T,
MATCH($T108, REPORTE_DROPI!B:B, 0)
),
""
),
""
)
</f>
        <v>5.97</v>
      </c>
      <c r="K108" s="118">
        <f t="array" ref="K108">IFERROR(
INDEX(REPORTE_DROPI!S:S,
MATCH($T108, REPORTE_DROPI!B:B, 0)
),
""
)
</f>
        <v>11.24</v>
      </c>
      <c r="L108" s="118" t="str">
        <f>IF(
  O108&lt;&gt;"DEVOLUCION",
  "",
  IF(
    T108="",
    "",
    SUMIF(DEVOLUCION!F:F, T108, DEVOLUCION!D:D)
  )
)
</f>
        <v/>
      </c>
      <c r="M108" s="118" t="s">
        <v>3870</v>
      </c>
      <c r="N108" s="118" t="s">
        <v>3875</v>
      </c>
      <c r="O108" s="118" t="str">
        <f t="array" ref="O108">IFERROR(
VLOOKUP(
TRIM(CLEAN(
INDEX(REPORTE_DROPI!K:K,
MATCH(T108, REPORTE_DROPI!B:B, 0)
))),
{
TRIM(CLEAN(MAPA_ESTADOS!A:A)) ,
MAPA_ESTADOS!B:B
},
2,
FALSE
),
"REVISAR"
)
</f>
        <v>ENTREGADO</v>
      </c>
      <c r="P108" s="118" t="s">
        <v>3655</v>
      </c>
      <c r="Q108" s="122">
        <f t="shared" si="1"/>
        <v>0</v>
      </c>
      <c r="R108" s="118"/>
      <c r="S108" s="118"/>
      <c r="T108" s="118">
        <f t="array" ref="T108">IFERROR(
INDEX(REPORTE_DROPI!B:B,
MATCH(
CLEAN(TRIM(C108)),
CLEAN(TRIM(REPORTE_DROPI!E:E)),
0
)
),
""
)
</f>
        <v>4077822</v>
      </c>
      <c r="U108" s="118">
        <v>6.400593068076E12</v>
      </c>
      <c r="V108" s="78"/>
      <c r="W108" s="78"/>
      <c r="X108" s="78"/>
      <c r="Y108" s="78"/>
      <c r="Z108" s="78"/>
    </row>
    <row r="109" ht="22.5" customHeight="1">
      <c r="A109" s="118">
        <v>108.0</v>
      </c>
      <c r="B109" s="119">
        <v>46031.0</v>
      </c>
      <c r="C109" s="118" t="s">
        <v>3876</v>
      </c>
      <c r="D109" s="118" t="str">
        <f>IFERROR(__xludf.DUMMYFUNCTION("IFERROR(
  INDEX(
    FILTER(
      'NOMBRE DE PRODUCTOS'!B:B,
      REGEXMATCH(
        UPPER(
          INDEX(
            REPORTE_DROPI!AC:AC,
            MATCH(T109, REPORTE_DROPI!B:B, 0)
          )
        ),
        UPPER('NOMBRE DE PRODUCTOS'!A:A)"&amp;"
      )
    ),
    1
  ),
  ""REVISAR""
)
"),"FilmPro®")</f>
        <v>FilmPro®</v>
      </c>
      <c r="E109" s="120">
        <f t="array" ref="E109">IF(
UPPER(TRIM(CLEAN($O109)))="ENTREGADO",
IFERROR(
INDEX(REPORTE_DROPI!Y:Y,
MATCH($T109, REPORTE_DROPI!B:B, 0)
),
""
),
""
)
</f>
        <v>2.79</v>
      </c>
      <c r="F109" s="121">
        <v>1.0</v>
      </c>
      <c r="G109" s="122">
        <f t="array" ref="G109">IF(
UPPER(TRIM(CLEAN($O109)))="ENTREGADO",
IFERROR(
INDEX(REPORTE_DROPI!R:R,
MATCH($T109, REPORTE_DROPI!B:B, 0)
),
""
),
""
)
</f>
        <v>20</v>
      </c>
      <c r="H109" s="118" t="s">
        <v>3727</v>
      </c>
      <c r="I109" s="118" t="s">
        <v>3731</v>
      </c>
      <c r="J109" s="121">
        <f t="array" ref="J109">IF(
UPPER(TRIM(CLEAN($O109)))="ENTREGADO",
IFERROR(
INDEX(REPORTE_DROPI!T:T,
MATCH($T109, REPORTE_DROPI!B:B, 0)
),
""
),
""
)
</f>
        <v>5.76</v>
      </c>
      <c r="K109" s="118">
        <f t="array" ref="K109">IFERROR(
INDEX(REPORTE_DROPI!S:S,
MATCH($T109, REPORTE_DROPI!B:B, 0)
),
""
)
</f>
        <v>11.45</v>
      </c>
      <c r="L109" s="118" t="str">
        <f>IF(
  O109&lt;&gt;"DEVOLUCION",
  "",
  IF(
    T109="",
    "",
    SUMIF(DEVOLUCION!F:F, T109, DEVOLUCION!D:D)
  )
)
</f>
        <v/>
      </c>
      <c r="M109" s="118"/>
      <c r="N109" s="118" t="s">
        <v>3877</v>
      </c>
      <c r="O109" s="118" t="str">
        <f t="array" ref="O109">IFERROR(
VLOOKUP(
TRIM(CLEAN(
INDEX(REPORTE_DROPI!K:K,
MATCH(T109, REPORTE_DROPI!B:B, 0)
))),
{
TRIM(CLEAN(MAPA_ESTADOS!A:A)) ,
MAPA_ESTADOS!B:B
},
2,
FALSE
),
"REVISAR"
)
</f>
        <v>ENTREGADO</v>
      </c>
      <c r="P109" s="118"/>
      <c r="Q109" s="122">
        <f t="shared" si="1"/>
        <v>0</v>
      </c>
      <c r="R109" s="118"/>
      <c r="S109" s="118"/>
      <c r="T109" s="118">
        <f t="array" ref="T109">IFERROR(
INDEX(REPORTE_DROPI!B:B,
MATCH(
CLEAN(TRIM(C109)),
CLEAN(TRIM(REPORTE_DROPI!E:E)),
0
)
),
""
)
</f>
        <v>4077917</v>
      </c>
      <c r="U109" s="118">
        <v>6.40061757854E12</v>
      </c>
      <c r="V109" s="78"/>
      <c r="W109" s="78"/>
      <c r="X109" s="78"/>
      <c r="Y109" s="78"/>
      <c r="Z109" s="78"/>
    </row>
    <row r="110" ht="22.5" customHeight="1">
      <c r="A110" s="118">
        <v>109.0</v>
      </c>
      <c r="B110" s="119">
        <v>46031.0</v>
      </c>
      <c r="C110" s="118" t="s">
        <v>3769</v>
      </c>
      <c r="D110" s="118" t="str">
        <f>IFERROR(__xludf.DUMMYFUNCTION("IFERROR(
  INDEX(
    FILTER(
      'NOMBRE DE PRODUCTOS'!B:B,
      REGEXMATCH(
        UPPER(
          INDEX(
            REPORTE_DROPI!AC:AC,
            MATCH(T110, REPORTE_DROPI!B:B, 0)
          )
        ),
        UPPER('NOMBRE DE PRODUCTOS'!A:A)"&amp;"
      )
    ),
    1
  ),
  ""REVISAR""
)
"),"FLORA FRESH PRO™")</f>
        <v>FLORA FRESH PRO™</v>
      </c>
      <c r="E110" s="120" t="str">
        <f t="array" ref="E110">IF(
UPPER(TRIM(CLEAN($O110)))="ENTREGADO",
IFERROR(
INDEX(REPORTE_DROPI!Y:Y,
MATCH($T110, REPORTE_DROPI!B:B, 0)
),
""
),
""
)
</f>
        <v/>
      </c>
      <c r="F110" s="121">
        <v>5.0</v>
      </c>
      <c r="G110" s="122" t="str">
        <f t="array" ref="G110">IF(
UPPER(TRIM(CLEAN($O110)))="ENTREGADO",
IFERROR(
INDEX(REPORTE_DROPI!R:R,
MATCH($T110, REPORTE_DROPI!B:B, 0)
),
""
),
""
)
</f>
        <v/>
      </c>
      <c r="H110" s="118" t="s">
        <v>3727</v>
      </c>
      <c r="I110" s="118" t="s">
        <v>3770</v>
      </c>
      <c r="J110" s="121" t="str">
        <f t="array" ref="J110">IF(
UPPER(TRIM(CLEAN($O110)))="ENTREGADO",
IFERROR(
INDEX(REPORTE_DROPI!T:T,
MATCH($T110, REPORTE_DROPI!B:B, 0)
),
""
),
""
)
</f>
        <v/>
      </c>
      <c r="K110" s="118" t="str">
        <f t="array" ref="K110">IFERROR(
INDEX(REPORTE_DROPI!S:S,
MATCH($T110, REPORTE_DROPI!B:B, 0)
),
""
)
</f>
        <v/>
      </c>
      <c r="L110" s="118" t="str">
        <f>IF(
  O110&lt;&gt;"DEVOLUCION",
  "",
  IF(
    T110="",
    "",
    SUMIF(DEVOLUCION!F:F, T110, DEVOLUCION!D:D)
  )
)
</f>
        <v/>
      </c>
      <c r="M110" s="118"/>
      <c r="N110" s="118" t="s">
        <v>3878</v>
      </c>
      <c r="O110" s="118" t="str">
        <f t="array" ref="O110">IFERROR(
VLOOKUP(
TRIM(CLEAN(
INDEX(REPORTE_DROPI!K:K,
MATCH(T110, REPORTE_DROPI!B:B, 0)
))),
{
TRIM(CLEAN(MAPA_ESTADOS!A:A)) ,
MAPA_ESTADOS!B:B
},
2,
FALSE
),
"REVISAR"
)
</f>
        <v>CANCELADO</v>
      </c>
      <c r="P110" s="118"/>
      <c r="Q110" s="122">
        <f t="shared" si="1"/>
        <v>0</v>
      </c>
      <c r="R110" s="118"/>
      <c r="S110" s="118"/>
      <c r="T110" s="118">
        <f t="array" ref="T110">IFERROR(
INDEX(REPORTE_DROPI!B:B,
MATCH(
CLEAN(TRIM(C110)),
CLEAN(TRIM(REPORTE_DROPI!E:E)),
0
)
),
""
)
</f>
        <v>4078251</v>
      </c>
      <c r="U110" s="118">
        <v>6.400659980332E12</v>
      </c>
      <c r="V110" s="78"/>
      <c r="W110" s="78"/>
      <c r="X110" s="78"/>
      <c r="Y110" s="78"/>
      <c r="Z110" s="78"/>
    </row>
    <row r="111" ht="22.5" customHeight="1">
      <c r="A111" s="118">
        <v>110.0</v>
      </c>
      <c r="B111" s="119">
        <v>46031.0</v>
      </c>
      <c r="C111" s="118" t="s">
        <v>3879</v>
      </c>
      <c r="D111" s="118" t="str">
        <f>IFERROR(__xludf.DUMMYFUNCTION("IFERROR(
  INDEX(
    FILTER(
      'NOMBRE DE PRODUCTOS'!B:B,
      REGEXMATCH(
        UPPER(
          INDEX(
            REPORTE_DROPI!AC:AC,
            MATCH(T111, REPORTE_DROPI!B:B, 0)
          )
        ),
        UPPER('NOMBRE DE PRODUCTOS'!A:A)"&amp;"
      )
    ),
    1
  ),
  ""REVISAR""
)
"),"FilmPro®")</f>
        <v>FilmPro®</v>
      </c>
      <c r="E111" s="120">
        <f t="array" ref="E111">IF(
UPPER(TRIM(CLEAN($O111)))="ENTREGADO",
IFERROR(
INDEX(REPORTE_DROPI!Y:Y,
MATCH($T111, REPORTE_DROPI!B:B, 0)
),
""
),
""
)
</f>
        <v>5.58</v>
      </c>
      <c r="F111" s="121">
        <v>2.0</v>
      </c>
      <c r="G111" s="122">
        <f t="array" ref="G111">IF(
UPPER(TRIM(CLEAN($O111)))="ENTREGADO",
IFERROR(
INDEX(REPORTE_DROPI!R:R,
MATCH($T111, REPORTE_DROPI!B:B, 0)
),
""
),
""
)
</f>
        <v>25</v>
      </c>
      <c r="H111" s="118" t="s">
        <v>3727</v>
      </c>
      <c r="I111" s="118" t="s">
        <v>3759</v>
      </c>
      <c r="J111" s="121">
        <f t="array" ref="J111">IF(
UPPER(TRIM(CLEAN($O111)))="ENTREGADO",
IFERROR(
INDEX(REPORTE_DROPI!T:T,
MATCH($T111, REPORTE_DROPI!B:B, 0)
),
""
),
""
)
</f>
        <v>5.96</v>
      </c>
      <c r="K111" s="118">
        <f t="array" ref="K111">IFERROR(
INDEX(REPORTE_DROPI!S:S,
MATCH($T111, REPORTE_DROPI!B:B, 0)
),
""
)
</f>
        <v>13.46</v>
      </c>
      <c r="L111" s="118" t="str">
        <f>IF(
  O111&lt;&gt;"DEVOLUCION",
  "",
  IF(
    T111="",
    "",
    SUMIF(DEVOLUCION!F:F, T111, DEVOLUCION!D:D)
  )
)
</f>
        <v/>
      </c>
      <c r="M111" s="118"/>
      <c r="N111" s="118" t="s">
        <v>3880</v>
      </c>
      <c r="O111" s="118" t="str">
        <f t="array" ref="O111">IFERROR(
VLOOKUP(
TRIM(CLEAN(
INDEX(REPORTE_DROPI!K:K,
MATCH(T111, REPORTE_DROPI!B:B, 0)
))),
{
TRIM(CLEAN(MAPA_ESTADOS!A:A)) ,
MAPA_ESTADOS!B:B
},
2,
FALSE
),
"REVISAR"
)
</f>
        <v>ENTREGADO</v>
      </c>
      <c r="P111" s="118"/>
      <c r="Q111" s="122">
        <f t="shared" si="1"/>
        <v>0</v>
      </c>
      <c r="R111" s="118"/>
      <c r="S111" s="118"/>
      <c r="T111" s="118">
        <f t="array" ref="T111">IFERROR(
INDEX(REPORTE_DROPI!B:B,
MATCH(
CLEAN(TRIM(C111)),
CLEAN(TRIM(REPORTE_DROPI!E:E)),
0
)
),
""
)
</f>
        <v>4079397</v>
      </c>
      <c r="U111" s="118">
        <v>6.400816185388E12</v>
      </c>
      <c r="V111" s="78"/>
      <c r="W111" s="78"/>
      <c r="X111" s="78"/>
      <c r="Y111" s="78"/>
      <c r="Z111" s="78"/>
    </row>
    <row r="112" ht="22.5" customHeight="1">
      <c r="A112" s="118">
        <v>111.0</v>
      </c>
      <c r="B112" s="119">
        <v>46031.0</v>
      </c>
      <c r="C112" s="118" t="s">
        <v>3881</v>
      </c>
      <c r="D112" s="118" t="str">
        <f>IFERROR(__xludf.DUMMYFUNCTION("IFERROR(
  INDEX(
    FILTER(
      'NOMBRE DE PRODUCTOS'!B:B,
      REGEXMATCH(
        UPPER(
          INDEX(
            REPORTE_DROPI!AC:AC,
            MATCH(T112, REPORTE_DROPI!B:B, 0)
          )
        ),
        UPPER('NOMBRE DE PRODUCTOS'!A:A)"&amp;"
      )
    ),
    1
  ),
  ""REVISAR""
)
"),"FilmPro®")</f>
        <v>FilmPro®</v>
      </c>
      <c r="E112" s="120">
        <f t="array" ref="E112">IF(
UPPER(TRIM(CLEAN($O112)))="ENTREGADO",
IFERROR(
INDEX(REPORTE_DROPI!Y:Y,
MATCH($T112, REPORTE_DROPI!B:B, 0)
),
""
),
""
)
</f>
        <v>2.79</v>
      </c>
      <c r="F112" s="121">
        <v>1.0</v>
      </c>
      <c r="G112" s="122">
        <f t="array" ref="G112">IF(
UPPER(TRIM(CLEAN($O112)))="ENTREGADO",
IFERROR(
INDEX(REPORTE_DROPI!R:R,
MATCH($T112, REPORTE_DROPI!B:B, 0)
),
""
),
""
)
</f>
        <v>20</v>
      </c>
      <c r="H112" s="118" t="s">
        <v>3727</v>
      </c>
      <c r="I112" s="118" t="s">
        <v>3882</v>
      </c>
      <c r="J112" s="121">
        <f t="array" ref="J112">IF(
UPPER(TRIM(CLEAN($O112)))="ENTREGADO",
IFERROR(
INDEX(REPORTE_DROPI!T:T,
MATCH($T112, REPORTE_DROPI!B:B, 0)
),
""
),
""
)
</f>
        <v>7.67</v>
      </c>
      <c r="K112" s="118">
        <f t="array" ref="K112">IFERROR(
INDEX(REPORTE_DROPI!S:S,
MATCH($T112, REPORTE_DROPI!B:B, 0)
),
""
)
</f>
        <v>9.54</v>
      </c>
      <c r="L112" s="118" t="str">
        <f>IF(
  O112&lt;&gt;"DEVOLUCION",
  "",
  IF(
    T112="",
    "",
    SUMIF(DEVOLUCION!F:F, T112, DEVOLUCION!D:D)
  )
)
</f>
        <v/>
      </c>
      <c r="M112" s="118" t="s">
        <v>3870</v>
      </c>
      <c r="N112" s="118" t="s">
        <v>3883</v>
      </c>
      <c r="O112" s="118" t="str">
        <f t="array" ref="O112">IFERROR(
VLOOKUP(
TRIM(CLEAN(
INDEX(REPORTE_DROPI!K:K,
MATCH(T112, REPORTE_DROPI!B:B, 0)
))),
{
TRIM(CLEAN(MAPA_ESTADOS!A:A)) ,
MAPA_ESTADOS!B:B
},
2,
FALSE
),
"REVISAR"
)
</f>
        <v>ENTREGADO</v>
      </c>
      <c r="P112" s="118"/>
      <c r="Q112" s="122">
        <f t="shared" si="1"/>
        <v>0</v>
      </c>
      <c r="R112" s="118"/>
      <c r="S112" s="118"/>
      <c r="T112" s="118">
        <f t="array" ref="T112">IFERROR(
INDEX(REPORTE_DROPI!B:B,
MATCH(
CLEAN(TRIM(C112)),
CLEAN(TRIM(REPORTE_DROPI!E:E)),
0
)
),
""
)
</f>
        <v>4080812</v>
      </c>
      <c r="U112" s="118">
        <v>6.401004306476E12</v>
      </c>
      <c r="V112" s="78"/>
      <c r="W112" s="78"/>
      <c r="X112" s="78"/>
      <c r="Y112" s="78"/>
      <c r="Z112" s="78"/>
    </row>
    <row r="113" ht="22.5" customHeight="1">
      <c r="A113" s="118">
        <v>112.0</v>
      </c>
      <c r="B113" s="119">
        <v>46031.0</v>
      </c>
      <c r="C113" s="118" t="s">
        <v>3884</v>
      </c>
      <c r="D113" s="118" t="str">
        <f>IFERROR(__xludf.DUMMYFUNCTION("IFERROR(
  INDEX(
    FILTER(
      'NOMBRE DE PRODUCTOS'!B:B,
      REGEXMATCH(
        UPPER(
          INDEX(
            REPORTE_DROPI!AC:AC,
            MATCH(T113, REPORTE_DROPI!B:B, 0)
          )
        ),
        UPPER('NOMBRE DE PRODUCTOS'!A:A)"&amp;"
      )
    ),
    1
  ),
  ""REVISAR""
)
"),"FilmPro®")</f>
        <v>FilmPro®</v>
      </c>
      <c r="E113" s="120">
        <f t="array" ref="E113">IF(
UPPER(TRIM(CLEAN($O113)))="ENTREGADO",
IFERROR(
INDEX(REPORTE_DROPI!Y:Y,
MATCH($T113, REPORTE_DROPI!B:B, 0)
),
""
),
""
)
</f>
        <v>2.79</v>
      </c>
      <c r="F113" s="121">
        <v>1.0</v>
      </c>
      <c r="G113" s="122">
        <f t="array" ref="G113">IF(
UPPER(TRIM(CLEAN($O113)))="ENTREGADO",
IFERROR(
INDEX(REPORTE_DROPI!R:R,
MATCH($T113, REPORTE_DROPI!B:B, 0)
),
""
),
""
)
</f>
        <v>20</v>
      </c>
      <c r="H113" s="118" t="s">
        <v>3727</v>
      </c>
      <c r="I113" s="118" t="s">
        <v>3864</v>
      </c>
      <c r="J113" s="121">
        <f t="array" ref="J113">IF(
UPPER(TRIM(CLEAN($O113)))="ENTREGADO",
IFERROR(
INDEX(REPORTE_DROPI!T:T,
MATCH($T113, REPORTE_DROPI!B:B, 0)
),
""
),
""
)
</f>
        <v>5.76</v>
      </c>
      <c r="K113" s="118">
        <f t="array" ref="K113">IFERROR(
INDEX(REPORTE_DROPI!S:S,
MATCH($T113, REPORTE_DROPI!B:B, 0)
),
""
)
</f>
        <v>11.45</v>
      </c>
      <c r="L113" s="118" t="str">
        <f>IF(
  O113&lt;&gt;"DEVOLUCION",
  "",
  IF(
    T113="",
    "",
    SUMIF(DEVOLUCION!F:F, T113, DEVOLUCION!D:D)
  )
)
</f>
        <v/>
      </c>
      <c r="M113" s="118" t="s">
        <v>3870</v>
      </c>
      <c r="N113" s="118" t="s">
        <v>3885</v>
      </c>
      <c r="O113" s="118" t="str">
        <f t="array" ref="O113">IFERROR(
VLOOKUP(
TRIM(CLEAN(
INDEX(REPORTE_DROPI!K:K,
MATCH(T113, REPORTE_DROPI!B:B, 0)
))),
{
TRIM(CLEAN(MAPA_ESTADOS!A:A)) ,
MAPA_ESTADOS!B:B
},
2,
FALSE
),
"REVISAR"
)
</f>
        <v>ENTREGADO</v>
      </c>
      <c r="P113" s="118"/>
      <c r="Q113" s="122">
        <f t="shared" si="1"/>
        <v>0</v>
      </c>
      <c r="R113" s="118"/>
      <c r="S113" s="118"/>
      <c r="T113" s="118">
        <f t="array" ref="T113">IFERROR(
INDEX(REPORTE_DROPI!B:B,
MATCH(
CLEAN(TRIM(C113)),
CLEAN(TRIM(REPORTE_DROPI!E:E)),
0
)
),
""
)
</f>
        <v>4084131</v>
      </c>
      <c r="U113" s="118">
        <v>6.401863450668E12</v>
      </c>
      <c r="V113" s="78"/>
      <c r="W113" s="78"/>
      <c r="X113" s="78"/>
      <c r="Y113" s="78"/>
      <c r="Z113" s="78"/>
    </row>
    <row r="114" ht="25.5" customHeight="1">
      <c r="A114" s="118">
        <v>113.0</v>
      </c>
      <c r="B114" s="119">
        <v>46031.0</v>
      </c>
      <c r="C114" s="118" t="s">
        <v>3886</v>
      </c>
      <c r="D114" s="118" t="str">
        <f>IFERROR(__xludf.DUMMYFUNCTION("IFERROR(
  INDEX(
    FILTER(
      'NOMBRE DE PRODUCTOS'!B:B,
      REGEXMATCH(
        UPPER(
          INDEX(
            REPORTE_DROPI!AC:AC,
            MATCH(T114, REPORTE_DROPI!B:B, 0)
          )
        ),
        UPPER('NOMBRE DE PRODUCTOS'!A:A)"&amp;"
      )
    ),
    1
  ),
  ""REVISAR""
)
"),"FilmPro®")</f>
        <v>FilmPro®</v>
      </c>
      <c r="E114" s="120">
        <f t="array" ref="E114">IF(
UPPER(TRIM(CLEAN($O114)))="ENTREGADO",
IFERROR(
INDEX(REPORTE_DROPI!Y:Y,
MATCH($T114, REPORTE_DROPI!B:B, 0)
),
""
),
""
)
</f>
        <v>4.7</v>
      </c>
      <c r="F114" s="121">
        <v>2.0</v>
      </c>
      <c r="G114" s="122">
        <f t="array" ref="G114">IF(
UPPER(TRIM(CLEAN($O114)))="ENTREGADO",
IFERROR(
INDEX(REPORTE_DROPI!R:R,
MATCH($T114, REPORTE_DROPI!B:B, 0)
),
""
),
""
)
</f>
        <v>25</v>
      </c>
      <c r="H114" s="118" t="s">
        <v>3727</v>
      </c>
      <c r="I114" s="118" t="s">
        <v>3772</v>
      </c>
      <c r="J114" s="121">
        <f t="array" ref="J114">IF(
UPPER(TRIM(CLEAN($O114)))="ENTREGADO",
IFERROR(
INDEX(REPORTE_DROPI!T:T,
MATCH($T114, REPORTE_DROPI!B:B, 0)
),
""
),
""
)
</f>
        <v>7.75</v>
      </c>
      <c r="K114" s="118">
        <f t="array" ref="K114">IFERROR(
INDEX(REPORTE_DROPI!S:S,
MATCH($T114, REPORTE_DROPI!B:B, 0)
),
""
)
</f>
        <v>12.55</v>
      </c>
      <c r="L114" s="118" t="str">
        <f>IF(
  O114&lt;&gt;"DEVOLUCION",
  "",
  IF(
    T114="",
    "",
    SUMIF(DEVOLUCION!F:F, T114, DEVOLUCION!D:D)
  )
)
</f>
        <v/>
      </c>
      <c r="M114" s="118" t="s">
        <v>3870</v>
      </c>
      <c r="N114" s="118" t="s">
        <v>3887</v>
      </c>
      <c r="O114" s="118" t="str">
        <f t="array" ref="O114">IFERROR(
VLOOKUP(
TRIM(CLEAN(
INDEX(REPORTE_DROPI!K:K,
MATCH(T114, REPORTE_DROPI!B:B, 0)
))),
{
TRIM(CLEAN(MAPA_ESTADOS!A:A)) ,
MAPA_ESTADOS!B:B
},
2,
FALSE
),
"REVISAR"
)
</f>
        <v>ENTREGADO</v>
      </c>
      <c r="P114" s="118" t="s">
        <v>3888</v>
      </c>
      <c r="Q114" s="122">
        <f t="shared" si="1"/>
        <v>0</v>
      </c>
      <c r="R114" s="118"/>
      <c r="S114" s="118"/>
      <c r="T114" s="118">
        <f t="array" ref="T114">IFERROR(
INDEX(REPORTE_DROPI!B:B,
MATCH(
CLEAN(TRIM(C114)),
CLEAN(TRIM(REPORTE_DROPI!E:E)),
0
)
),
""
)
</f>
        <v>4117132</v>
      </c>
      <c r="U114" s="118"/>
      <c r="V114" s="78"/>
      <c r="W114" s="78"/>
      <c r="X114" s="78"/>
      <c r="Y114" s="78"/>
      <c r="Z114" s="78"/>
    </row>
    <row r="115" ht="22.5" customHeight="1">
      <c r="A115" s="118">
        <v>114.0</v>
      </c>
      <c r="B115" s="119">
        <v>46031.0</v>
      </c>
      <c r="C115" s="118" t="s">
        <v>3889</v>
      </c>
      <c r="D115" s="118" t="str">
        <f>IFERROR(__xludf.DUMMYFUNCTION("IFERROR(
  INDEX(
    FILTER(
      'NOMBRE DE PRODUCTOS'!B:B,
      REGEXMATCH(
        UPPER(
          INDEX(
            REPORTE_DROPI!AC:AC,
            MATCH(T115, REPORTE_DROPI!B:B, 0)
          )
        ),
        UPPER('NOMBRE DE PRODUCTOS'!A:A)"&amp;"
      )
    ),
    1
  ),
  ""REVISAR""
)
"),"FilmPro®")</f>
        <v>FilmPro®</v>
      </c>
      <c r="E115" s="120" t="str">
        <f t="array" ref="E115">IF(
UPPER(TRIM(CLEAN($O115)))="ENTREGADO",
IFERROR(
INDEX(REPORTE_DROPI!Y:Y,
MATCH($T115, REPORTE_DROPI!B:B, 0)
),
""
),
""
)
</f>
        <v/>
      </c>
      <c r="F115" s="121">
        <v>3.0</v>
      </c>
      <c r="G115" s="122" t="str">
        <f t="array" ref="G115">IF(
UPPER(TRIM(CLEAN($O115)))="ENTREGADO",
IFERROR(
INDEX(REPORTE_DROPI!R:R,
MATCH($T115, REPORTE_DROPI!B:B, 0)
),
""
),
""
)
</f>
        <v/>
      </c>
      <c r="H115" s="118" t="s">
        <v>3727</v>
      </c>
      <c r="I115" s="118" t="s">
        <v>3772</v>
      </c>
      <c r="J115" s="121" t="str">
        <f t="array" ref="J115">IF(
UPPER(TRIM(CLEAN($O115)))="ENTREGADO",
IFERROR(
INDEX(REPORTE_DROPI!T:T,
MATCH($T115, REPORTE_DROPI!B:B, 0)
),
""
),
""
)
</f>
        <v/>
      </c>
      <c r="K115" s="118" t="str">
        <f t="array" ref="K115">IFERROR(
INDEX(REPORTE_DROPI!S:S,
MATCH($T115, REPORTE_DROPI!B:B, 0)
),
""
)
</f>
        <v/>
      </c>
      <c r="L115" s="118" t="str">
        <f>IF(
  O115&lt;&gt;"DEVOLUCION",
  "",
  IF(
    T115="",
    "",
    SUMIF(DEVOLUCION!F:F, T115, DEVOLUCION!D:D)
  )
)
</f>
        <v/>
      </c>
      <c r="M115" s="118" t="s">
        <v>3870</v>
      </c>
      <c r="N115" s="118" t="s">
        <v>3890</v>
      </c>
      <c r="O115" s="118" t="str">
        <f t="array" ref="O115">IFERROR(
VLOOKUP(
TRIM(CLEAN(
INDEX(REPORTE_DROPI!K:K,
MATCH(T115, REPORTE_DROPI!B:B, 0)
))),
{
TRIM(CLEAN(MAPA_ESTADOS!A:A)) ,
MAPA_ESTADOS!B:B
},
2,
FALSE
),
"REVISAR"
)
</f>
        <v>CANCELADO</v>
      </c>
      <c r="P115" s="118" t="s">
        <v>3891</v>
      </c>
      <c r="Q115" s="122">
        <f t="shared" si="1"/>
        <v>0</v>
      </c>
      <c r="R115" s="118"/>
      <c r="S115" s="118"/>
      <c r="T115" s="118">
        <f t="array" ref="T115">IFERROR(
INDEX(REPORTE_DROPI!B:B,
MATCH(
CLEAN(TRIM(C115)),
CLEAN(TRIM(REPORTE_DROPI!E:E)),
0
)
),
""
)
</f>
        <v>4086953</v>
      </c>
      <c r="U115" s="118">
        <v>6.402567569452E12</v>
      </c>
      <c r="V115" s="78"/>
      <c r="W115" s="78"/>
      <c r="X115" s="78"/>
      <c r="Y115" s="78"/>
      <c r="Z115" s="78"/>
    </row>
    <row r="116" ht="22.5" customHeight="1">
      <c r="A116" s="118">
        <v>115.0</v>
      </c>
      <c r="B116" s="119">
        <v>46031.0</v>
      </c>
      <c r="C116" s="118" t="s">
        <v>3892</v>
      </c>
      <c r="D116" s="118" t="str">
        <f>IFERROR(__xludf.DUMMYFUNCTION("IFERROR(
  INDEX(
    FILTER(
      'NOMBRE DE PRODUCTOS'!B:B,
      REGEXMATCH(
        UPPER(
          INDEX(
            REPORTE_DROPI!AC:AC,
            MATCH(T116, REPORTE_DROPI!B:B, 0)
          )
        ),
        UPPER('NOMBRE DE PRODUCTOS'!A:A)"&amp;"
      )
    ),
    1
  ),
  ""REVISAR""
)
"),"FilmPro®")</f>
        <v>FilmPro®</v>
      </c>
      <c r="E116" s="120" t="str">
        <f t="array" ref="E116">IF(
UPPER(TRIM(CLEAN($O116)))="ENTREGADO",
IFERROR(
INDEX(REPORTE_DROPI!Y:Y,
MATCH($T116, REPORTE_DROPI!B:B, 0)
),
""
),
""
)
</f>
        <v/>
      </c>
      <c r="F116" s="121">
        <v>1.0</v>
      </c>
      <c r="G116" s="122" t="str">
        <f t="array" ref="G116">IF(
UPPER(TRIM(CLEAN($O116)))="ENTREGADO",
IFERROR(
INDEX(REPORTE_DROPI!R:R,
MATCH($T116, REPORTE_DROPI!B:B, 0)
),
""
),
""
)
</f>
        <v/>
      </c>
      <c r="H116" s="118" t="s">
        <v>3727</v>
      </c>
      <c r="I116" s="118" t="s">
        <v>3740</v>
      </c>
      <c r="J116" s="121" t="str">
        <f t="array" ref="J116">IF(
UPPER(TRIM(CLEAN($O116)))="ENTREGADO",
IFERROR(
INDEX(REPORTE_DROPI!T:T,
MATCH($T116, REPORTE_DROPI!B:B, 0)
),
""
),
""
)
</f>
        <v/>
      </c>
      <c r="K116" s="118" t="str">
        <f t="array" ref="K116">IFERROR(
INDEX(REPORTE_DROPI!S:S,
MATCH($T116, REPORTE_DROPI!B:B, 0)
),
""
)
</f>
        <v/>
      </c>
      <c r="L116" s="118" t="str">
        <f>IF(
  O116&lt;&gt;"DEVOLUCION",
  "",
  IF(
    T116="",
    "",
    SUMIF(DEVOLUCION!F:F, T116, DEVOLUCION!D:D)
  )
)
</f>
        <v/>
      </c>
      <c r="M116" s="118" t="s">
        <v>3870</v>
      </c>
      <c r="N116" s="118" t="s">
        <v>3893</v>
      </c>
      <c r="O116" s="118" t="str">
        <f t="array" ref="O116">IFERROR(
VLOOKUP(
TRIM(CLEAN(
INDEX(REPORTE_DROPI!K:K,
MATCH(T116, REPORTE_DROPI!B:B, 0)
))),
{
TRIM(CLEAN(MAPA_ESTADOS!A:A)) ,
MAPA_ESTADOS!B:B
},
2,
FALSE
),
"REVISAR"
)
</f>
        <v>CANCELADO</v>
      </c>
      <c r="P116" s="118" t="s">
        <v>3891</v>
      </c>
      <c r="Q116" s="122">
        <f t="shared" si="1"/>
        <v>0</v>
      </c>
      <c r="R116" s="118"/>
      <c r="S116" s="118"/>
      <c r="T116" s="118">
        <f t="array" ref="T116">IFERROR(
INDEX(REPORTE_DROPI!B:B,
MATCH(
CLEAN(TRIM(C116)),
CLEAN(TRIM(REPORTE_DROPI!E:E)),
0
)
),
""
)
</f>
        <v>4087585</v>
      </c>
      <c r="U116" s="118">
        <v>6.402694119468E12</v>
      </c>
      <c r="V116" s="78"/>
      <c r="W116" s="78"/>
      <c r="X116" s="78"/>
      <c r="Y116" s="78"/>
      <c r="Z116" s="78"/>
    </row>
    <row r="117" ht="22.5" customHeight="1">
      <c r="A117" s="118">
        <v>116.0</v>
      </c>
      <c r="B117" s="119">
        <v>46031.0</v>
      </c>
      <c r="C117" s="118" t="s">
        <v>3894</v>
      </c>
      <c r="D117" s="118" t="str">
        <f>IFERROR(__xludf.DUMMYFUNCTION("IFERROR(
  INDEX(
    FILTER(
      'NOMBRE DE PRODUCTOS'!B:B,
      REGEXMATCH(
        UPPER(
          INDEX(
            REPORTE_DROPI!AC:AC,
            MATCH(T117, REPORTE_DROPI!B:B, 0)
          )
        ),
        UPPER('NOMBRE DE PRODUCTOS'!A:A)"&amp;"
      )
    ),
    1
  ),
  ""REVISAR""
)
"),"FilmPro®")</f>
        <v>FilmPro®</v>
      </c>
      <c r="E117" s="120" t="str">
        <f t="array" ref="E117">IF(
UPPER(TRIM(CLEAN($O117)))="ENTREGADO",
IFERROR(
INDEX(REPORTE_DROPI!Y:Y,
MATCH($T117, REPORTE_DROPI!B:B, 0)
),
""
),
""
)
</f>
        <v/>
      </c>
      <c r="F117" s="121">
        <v>1.0</v>
      </c>
      <c r="G117" s="122" t="str">
        <f t="array" ref="G117">IF(
UPPER(TRIM(CLEAN($O117)))="ENTREGADO",
IFERROR(
INDEX(REPORTE_DROPI!R:R,
MATCH($T117, REPORTE_DROPI!B:B, 0)
),
""
),
""
)
</f>
        <v/>
      </c>
      <c r="H117" s="118" t="s">
        <v>3727</v>
      </c>
      <c r="I117" s="118" t="s">
        <v>3740</v>
      </c>
      <c r="J117" s="121" t="str">
        <f t="array" ref="J117">IF(
UPPER(TRIM(CLEAN($O117)))="ENTREGADO",
IFERROR(
INDEX(REPORTE_DROPI!T:T,
MATCH($T117, REPORTE_DROPI!B:B, 0)
),
""
),
""
)
</f>
        <v/>
      </c>
      <c r="K117" s="118" t="str">
        <f t="array" ref="K117">IFERROR(
INDEX(REPORTE_DROPI!S:S,
MATCH($T117, REPORTE_DROPI!B:B, 0)
),
""
)
</f>
        <v/>
      </c>
      <c r="L117" s="118" t="str">
        <f>IF(
  O117&lt;&gt;"DEVOLUCION",
  "",
  IF(
    T117="",
    "",
    SUMIF(DEVOLUCION!F:F, T117, DEVOLUCION!D:D)
  )
)
</f>
        <v/>
      </c>
      <c r="M117" s="118" t="s">
        <v>3870</v>
      </c>
      <c r="N117" s="118" t="s">
        <v>3895</v>
      </c>
      <c r="O117" s="118" t="str">
        <f t="array" ref="O117">IFERROR(
VLOOKUP(
TRIM(CLEAN(
INDEX(REPORTE_DROPI!K:K,
MATCH(T117, REPORTE_DROPI!B:B, 0)
))),
{
TRIM(CLEAN(MAPA_ESTADOS!A:A)) ,
MAPA_ESTADOS!B:B
},
2,
FALSE
),
"REVISAR"
)
</f>
        <v>CANCELADO</v>
      </c>
      <c r="P117" s="118" t="s">
        <v>3896</v>
      </c>
      <c r="Q117" s="122">
        <f t="shared" si="1"/>
        <v>0</v>
      </c>
      <c r="R117" s="118"/>
      <c r="S117" s="118"/>
      <c r="T117" s="118">
        <f t="array" ref="T117">IFERROR(
INDEX(REPORTE_DROPI!B:B,
MATCH(
CLEAN(TRIM(C117)),
CLEAN(TRIM(REPORTE_DROPI!E:E)),
0
)
),
""
)
</f>
        <v>4087697</v>
      </c>
      <c r="U117" s="118">
        <v>6.402710405164E12</v>
      </c>
      <c r="V117" s="78"/>
      <c r="W117" s="78"/>
      <c r="X117" s="78"/>
      <c r="Y117" s="78"/>
      <c r="Z117" s="78"/>
    </row>
    <row r="118" ht="22.5" customHeight="1">
      <c r="A118" s="118">
        <v>117.0</v>
      </c>
      <c r="B118" s="119">
        <v>46031.0</v>
      </c>
      <c r="C118" s="118" t="s">
        <v>3897</v>
      </c>
      <c r="D118" s="118" t="str">
        <f>IFERROR(__xludf.DUMMYFUNCTION("IFERROR(
  INDEX(
    FILTER(
      'NOMBRE DE PRODUCTOS'!B:B,
      REGEXMATCH(
        UPPER(
          INDEX(
            REPORTE_DROPI!AC:AC,
            MATCH(T118, REPORTE_DROPI!B:B, 0)
          )
        ),
        UPPER('NOMBRE DE PRODUCTOS'!A:A)"&amp;"
      )
    ),
    1
  ),
  ""REVISAR""
)
"),"Cuchillo Tazaki™")</f>
        <v>Cuchillo Tazaki™</v>
      </c>
      <c r="E118" s="120">
        <f t="array" ref="E118">IF(
UPPER(TRIM(CLEAN($O118)))="ENTREGADO",
IFERROR(
INDEX(REPORTE_DROPI!Y:Y,
MATCH($T118, REPORTE_DROPI!B:B, 0)
),
""
),
""
)
</f>
        <v>7.8</v>
      </c>
      <c r="F118" s="121">
        <v>2.0</v>
      </c>
      <c r="G118" s="122">
        <f t="array" ref="G118">IF(
UPPER(TRIM(CLEAN($O118)))="ENTREGADO",
IFERROR(
INDEX(REPORTE_DROPI!R:R,
MATCH($T118, REPORTE_DROPI!B:B, 0)
),
""
),
""
)
</f>
        <v>27</v>
      </c>
      <c r="H118" s="118" t="s">
        <v>3727</v>
      </c>
      <c r="I118" s="118" t="s">
        <v>3731</v>
      </c>
      <c r="J118" s="121">
        <f t="array" ref="J118">IF(
UPPER(TRIM(CLEAN($O118)))="ENTREGADO",
IFERROR(
INDEX(REPORTE_DROPI!T:T,
MATCH($T118, REPORTE_DROPI!B:B, 0)
),
""
),
""
)
</f>
        <v>6.04</v>
      </c>
      <c r="K118" s="118">
        <f t="array" ref="K118">IFERROR(
INDEX(REPORTE_DROPI!S:S,
MATCH($T118, REPORTE_DROPI!B:B, 0)
),
""
)
</f>
        <v>13.16</v>
      </c>
      <c r="L118" s="118" t="str">
        <f>IF(
  O118&lt;&gt;"DEVOLUCION",
  "",
  IF(
    T118="",
    "",
    SUMIF(DEVOLUCION!F:F, T118, DEVOLUCION!D:D)
  )
)
</f>
        <v/>
      </c>
      <c r="M118" s="118" t="s">
        <v>3870</v>
      </c>
      <c r="N118" s="118" t="s">
        <v>3898</v>
      </c>
      <c r="O118" s="118" t="str">
        <f t="array" ref="O118">IFERROR(
VLOOKUP(
TRIM(CLEAN(
INDEX(REPORTE_DROPI!K:K,
MATCH(T118, REPORTE_DROPI!B:B, 0)
))),
{
TRIM(CLEAN(MAPA_ESTADOS!A:A)) ,
MAPA_ESTADOS!B:B
},
2,
FALSE
),
"REVISAR"
)
</f>
        <v>ENTREGADO</v>
      </c>
      <c r="P118" s="118"/>
      <c r="Q118" s="122">
        <f t="shared" si="1"/>
        <v>0</v>
      </c>
      <c r="R118" s="118"/>
      <c r="S118" s="118"/>
      <c r="T118" s="118">
        <f t="array" ref="T118">IFERROR(
INDEX(REPORTE_DROPI!B:B,
MATCH(
CLEAN(TRIM(C118)),
CLEAN(TRIM(REPORTE_DROPI!E:E)),
0
)
),
""
)
</f>
        <v>4118592</v>
      </c>
      <c r="U118" s="118"/>
      <c r="V118" s="78"/>
      <c r="W118" s="78"/>
      <c r="X118" s="78"/>
      <c r="Y118" s="78"/>
      <c r="Z118" s="78"/>
    </row>
    <row r="119" ht="22.5" customHeight="1">
      <c r="A119" s="118">
        <v>118.0</v>
      </c>
      <c r="B119" s="119">
        <v>46032.0</v>
      </c>
      <c r="C119" s="118" t="s">
        <v>3899</v>
      </c>
      <c r="D119" s="118" t="str">
        <f>IFERROR(__xludf.DUMMYFUNCTION("IFERROR(
  INDEX(
    FILTER(
      'NOMBRE DE PRODUCTOS'!B:B,
      REGEXMATCH(
        UPPER(
          INDEX(
            REPORTE_DROPI!AC:AC,
            MATCH(T119, REPORTE_DROPI!B:B, 0)
          )
        ),
        UPPER('NOMBRE DE PRODUCTOS'!A:A)"&amp;"
      )
    ),
    1
  ),
  ""REVISAR""
)
"),"FilmPro®")</f>
        <v>FilmPro®</v>
      </c>
      <c r="E119" s="120">
        <f t="array" ref="E119">IF(
UPPER(TRIM(CLEAN($O119)))="ENTREGADO",
IFERROR(
INDEX(REPORTE_DROPI!Y:Y,
MATCH($T119, REPORTE_DROPI!B:B, 0)
),
""
),
""
)
</f>
        <v>5.58</v>
      </c>
      <c r="F119" s="121">
        <v>2.0</v>
      </c>
      <c r="G119" s="122">
        <f t="array" ref="G119">IF(
UPPER(TRIM(CLEAN($O119)))="ENTREGADO",
IFERROR(
INDEX(REPORTE_DROPI!R:R,
MATCH($T119, REPORTE_DROPI!B:B, 0)
),
""
),
""
)
</f>
        <v>25</v>
      </c>
      <c r="H119" s="118" t="s">
        <v>3727</v>
      </c>
      <c r="I119" s="118" t="s">
        <v>3740</v>
      </c>
      <c r="J119" s="121">
        <f t="array" ref="J119">IF(
UPPER(TRIM(CLEAN($O119)))="ENTREGADO",
IFERROR(
INDEX(REPORTE_DROPI!T:T,
MATCH($T119, REPORTE_DROPI!B:B, 0)
),
""
),
""
)
</f>
        <v>5.38</v>
      </c>
      <c r="K119" s="118">
        <f t="array" ref="K119">IFERROR(
INDEX(REPORTE_DROPI!S:S,
MATCH($T119, REPORTE_DROPI!B:B, 0)
),
""
)
</f>
        <v>14.04</v>
      </c>
      <c r="L119" s="118" t="str">
        <f>IF(
  O119&lt;&gt;"DEVOLUCION",
  "",
  IF(
    T119="",
    "",
    SUMIF(DEVOLUCION!F:F, T119, DEVOLUCION!D:D)
  )
)
</f>
        <v/>
      </c>
      <c r="M119" s="118" t="s">
        <v>3870</v>
      </c>
      <c r="N119" s="118" t="s">
        <v>3900</v>
      </c>
      <c r="O119" s="118" t="str">
        <f t="array" ref="O119">IFERROR(
VLOOKUP(
TRIM(CLEAN(
INDEX(REPORTE_DROPI!K:K,
MATCH(T119, REPORTE_DROPI!B:B, 0)
))),
{
TRIM(CLEAN(MAPA_ESTADOS!A:A)) ,
MAPA_ESTADOS!B:B
},
2,
FALSE
),
"REVISAR"
)
</f>
        <v>ENTREGADO</v>
      </c>
      <c r="P119" s="118"/>
      <c r="Q119" s="122">
        <f t="shared" si="1"/>
        <v>0</v>
      </c>
      <c r="R119" s="118"/>
      <c r="S119" s="118"/>
      <c r="T119" s="118">
        <f t="array" ref="T119">IFERROR(
INDEX(REPORTE_DROPI!B:B,
MATCH(
CLEAN(TRIM(C119)),
CLEAN(TRIM(REPORTE_DROPI!E:E)),
0
)
),
""
)
</f>
        <v>4089899</v>
      </c>
      <c r="U119" s="118">
        <v>6.403343253548E12</v>
      </c>
      <c r="V119" s="78"/>
      <c r="W119" s="78"/>
      <c r="X119" s="78"/>
      <c r="Y119" s="78"/>
      <c r="Z119" s="78"/>
    </row>
    <row r="120" ht="22.5" customHeight="1">
      <c r="A120" s="118">
        <v>119.0</v>
      </c>
      <c r="B120" s="119">
        <v>46032.0</v>
      </c>
      <c r="C120" s="118" t="s">
        <v>3901</v>
      </c>
      <c r="D120" s="118" t="str">
        <f>IFERROR(__xludf.DUMMYFUNCTION("IFERROR(
  INDEX(
    FILTER(
      'NOMBRE DE PRODUCTOS'!B:B,
      REGEXMATCH(
        UPPER(
          INDEX(
            REPORTE_DROPI!AC:AC,
            MATCH(T120, REPORTE_DROPI!B:B, 0)
          )
        ),
        UPPER('NOMBRE DE PRODUCTOS'!A:A)"&amp;"
      )
    ),
    1
  ),
  ""REVISAR""
)
"),"Cuchillo Tazaki™")</f>
        <v>Cuchillo Tazaki™</v>
      </c>
      <c r="E120" s="120" t="str">
        <f t="array" ref="E120">IF(
UPPER(TRIM(CLEAN($O120)))="ENTREGADO",
IFERROR(
INDEX(REPORTE_DROPI!Y:Y,
MATCH($T120, REPORTE_DROPI!B:B, 0)
),
""
),
""
)
</f>
        <v/>
      </c>
      <c r="F120" s="121">
        <v>4.0</v>
      </c>
      <c r="G120" s="122" t="str">
        <f t="array" ref="G120">IF(
UPPER(TRIM(CLEAN($O120)))="ENTREGADO",
IFERROR(
INDEX(REPORTE_DROPI!R:R,
MATCH($T120, REPORTE_DROPI!B:B, 0)
),
""
),
""
)
</f>
        <v/>
      </c>
      <c r="H120" s="118" t="s">
        <v>3727</v>
      </c>
      <c r="I120" s="118" t="s">
        <v>3731</v>
      </c>
      <c r="J120" s="121" t="str">
        <f t="array" ref="J120">IF(
UPPER(TRIM(CLEAN($O120)))="ENTREGADO",
IFERROR(
INDEX(REPORTE_DROPI!T:T,
MATCH($T120, REPORTE_DROPI!B:B, 0)
),
""
),
""
)
</f>
        <v/>
      </c>
      <c r="K120" s="118" t="str">
        <f t="array" ref="K120">IFERROR(
INDEX(REPORTE_DROPI!S:S,
MATCH($T120, REPORTE_DROPI!B:B, 0)
),
""
)
</f>
        <v/>
      </c>
      <c r="L120" s="118">
        <f>IF(
  O120&lt;&gt;"DEVOLUCION",
  "",
  IF(
    T120="",
    "",
    SUMIF(DEVOLUCION!F:F, T120, DEVOLUCION!D:D)
  )
)
</f>
        <v>5.13</v>
      </c>
      <c r="M120" s="118" t="s">
        <v>3870</v>
      </c>
      <c r="N120" s="118" t="s">
        <v>3902</v>
      </c>
      <c r="O120" s="118" t="str">
        <f t="array" ref="O120">IFERROR(
VLOOKUP(
TRIM(CLEAN(
INDEX(REPORTE_DROPI!K:K,
MATCH(T120, REPORTE_DROPI!B:B, 0)
))),
{
TRIM(CLEAN(MAPA_ESTADOS!A:A)) ,
MAPA_ESTADOS!B:B
},
2,
FALSE
),
"REVISAR"
)
</f>
        <v>DEVOLUCION</v>
      </c>
      <c r="P120" s="118"/>
      <c r="Q120" s="122">
        <f t="shared" si="1"/>
        <v>0</v>
      </c>
      <c r="R120" s="118"/>
      <c r="S120" s="118"/>
      <c r="T120" s="118">
        <f t="array" ref="T120">IFERROR(
INDEX(REPORTE_DROPI!B:B,
MATCH(
CLEAN(TRIM(C120)),
CLEAN(TRIM(REPORTE_DROPI!E:E)),
0
)
),
""
)
</f>
        <v>4089914</v>
      </c>
      <c r="U120" s="118">
        <v>6.403348365356E12</v>
      </c>
      <c r="V120" s="78"/>
      <c r="W120" s="78"/>
      <c r="X120" s="78"/>
      <c r="Y120" s="78"/>
      <c r="Z120" s="78"/>
    </row>
    <row r="121" ht="22.5" customHeight="1">
      <c r="A121" s="118">
        <v>120.0</v>
      </c>
      <c r="B121" s="119">
        <v>46032.0</v>
      </c>
      <c r="C121" s="118" t="s">
        <v>3903</v>
      </c>
      <c r="D121" s="118" t="str">
        <f>IFERROR(__xludf.DUMMYFUNCTION("IFERROR(
  INDEX(
    FILTER(
      'NOMBRE DE PRODUCTOS'!B:B,
      REGEXMATCH(
        UPPER(
          INDEX(
            REPORTE_DROPI!AC:AC,
            MATCH(T121, REPORTE_DROPI!B:B, 0)
          )
        ),
        UPPER('NOMBRE DE PRODUCTOS'!A:A)"&amp;"
      )
    ),
    1
  ),
  ""REVISAR""
)
"),"FilmPro®")</f>
        <v>FilmPro®</v>
      </c>
      <c r="E121" s="120">
        <f t="array" ref="E121">IF(
UPPER(TRIM(CLEAN($O121)))="ENTREGADO",
IFERROR(
INDEX(REPORTE_DROPI!Y:Y,
MATCH($T121, REPORTE_DROPI!B:B, 0)
),
""
),
""
)
</f>
        <v>8.37</v>
      </c>
      <c r="F121" s="121">
        <v>3.0</v>
      </c>
      <c r="G121" s="122">
        <f t="array" ref="G121">IF(
UPPER(TRIM(CLEAN($O121)))="ENTREGADO",
IFERROR(
INDEX(REPORTE_DROPI!R:R,
MATCH($T121, REPORTE_DROPI!B:B, 0)
),
""
),
""
)
</f>
        <v>30</v>
      </c>
      <c r="H121" s="118" t="s">
        <v>3727</v>
      </c>
      <c r="I121" s="118" t="s">
        <v>3740</v>
      </c>
      <c r="J121" s="121">
        <f t="array" ref="J121">IF(
UPPER(TRIM(CLEAN($O121)))="ENTREGADO",
IFERROR(
INDEX(REPORTE_DROPI!T:T,
MATCH($T121, REPORTE_DROPI!B:B, 0)
),
""
),
""
)
</f>
        <v>5.58</v>
      </c>
      <c r="K121" s="118">
        <f t="array" ref="K121">IFERROR(
INDEX(REPORTE_DROPI!S:S,
MATCH($T121, REPORTE_DROPI!B:B, 0)
),
""
)
</f>
        <v>16.05</v>
      </c>
      <c r="L121" s="118" t="str">
        <f>IF(
  O121&lt;&gt;"DEVOLUCION",
  "",
  IF(
    T121="",
    "",
    SUMIF(DEVOLUCION!F:F, T121, DEVOLUCION!D:D)
  )
)
</f>
        <v/>
      </c>
      <c r="M121" s="118" t="s">
        <v>3870</v>
      </c>
      <c r="N121" s="118" t="s">
        <v>3904</v>
      </c>
      <c r="O121" s="118" t="str">
        <f t="array" ref="O121">IFERROR(
VLOOKUP(
TRIM(CLEAN(
INDEX(REPORTE_DROPI!K:K,
MATCH(T121, REPORTE_DROPI!B:B, 0)
))),
{
TRIM(CLEAN(MAPA_ESTADOS!A:A)) ,
MAPA_ESTADOS!B:B
},
2,
FALSE
),
"REVISAR"
)
</f>
        <v>ENTREGADO</v>
      </c>
      <c r="P121" s="118"/>
      <c r="Q121" s="122">
        <f t="shared" si="1"/>
        <v>0</v>
      </c>
      <c r="R121" s="118"/>
      <c r="S121" s="118"/>
      <c r="T121" s="118">
        <f t="array" ref="T121">IFERROR(
INDEX(REPORTE_DROPI!B:B,
MATCH(
CLEAN(TRIM(C121)),
CLEAN(TRIM(REPORTE_DROPI!E:E)),
0
)
),
""
)
</f>
        <v>4089919</v>
      </c>
      <c r="U121" s="118">
        <v>6.403349217324E12</v>
      </c>
      <c r="V121" s="78"/>
      <c r="W121" s="78"/>
      <c r="X121" s="78"/>
      <c r="Y121" s="78"/>
      <c r="Z121" s="78"/>
    </row>
    <row r="122" ht="22.5" customHeight="1">
      <c r="A122" s="118">
        <v>121.0</v>
      </c>
      <c r="B122" s="119">
        <v>46032.0</v>
      </c>
      <c r="C122" s="118" t="s">
        <v>3905</v>
      </c>
      <c r="D122" s="118" t="str">
        <f>IFERROR(__xludf.DUMMYFUNCTION("IFERROR(
  INDEX(
    FILTER(
      'NOMBRE DE PRODUCTOS'!B:B,
      REGEXMATCH(
        UPPER(
          INDEX(
            REPORTE_DROPI!AC:AC,
            MATCH(T122, REPORTE_DROPI!B:B, 0)
          )
        ),
        UPPER('NOMBRE DE PRODUCTOS'!A:A)"&amp;"
      )
    ),
    1
  ),
  ""REVISAR""
)
"),"FilmPro®")</f>
        <v>FilmPro®</v>
      </c>
      <c r="E122" s="120" t="str">
        <f t="array" ref="E122">IF(
UPPER(TRIM(CLEAN($O122)))="ENTREGADO",
IFERROR(
INDEX(REPORTE_DROPI!Y:Y,
MATCH($T122, REPORTE_DROPI!B:B, 0)
),
""
),
""
)
</f>
        <v/>
      </c>
      <c r="F122" s="121">
        <v>1.0</v>
      </c>
      <c r="G122" s="122" t="str">
        <f t="array" ref="G122">IF(
UPPER(TRIM(CLEAN($O122)))="ENTREGADO",
IFERROR(
INDEX(REPORTE_DROPI!R:R,
MATCH($T122, REPORTE_DROPI!B:B, 0)
),
""
),
""
)
</f>
        <v/>
      </c>
      <c r="H122" s="118" t="s">
        <v>3727</v>
      </c>
      <c r="I122" s="118" t="s">
        <v>3738</v>
      </c>
      <c r="J122" s="121" t="str">
        <f t="array" ref="J122">IF(
UPPER(TRIM(CLEAN($O122)))="ENTREGADO",
IFERROR(
INDEX(REPORTE_DROPI!T:T,
MATCH($T122, REPORTE_DROPI!B:B, 0)
),
""
),
""
)
</f>
        <v/>
      </c>
      <c r="K122" s="118" t="str">
        <f t="array" ref="K122">IFERROR(
INDEX(REPORTE_DROPI!S:S,
MATCH($T122, REPORTE_DROPI!B:B, 0)
),
""
)
</f>
        <v/>
      </c>
      <c r="L122" s="118">
        <f>IF(
  O122&lt;&gt;"DEVOLUCION",
  "",
  IF(
    T122="",
    "",
    SUMIF(DEVOLUCION!F:F, T122, DEVOLUCION!D:D)
  )
)
</f>
        <v>5.06</v>
      </c>
      <c r="M122" s="118" t="s">
        <v>3870</v>
      </c>
      <c r="N122" s="118" t="s">
        <v>3906</v>
      </c>
      <c r="O122" s="118" t="str">
        <f t="array" ref="O122">IFERROR(
VLOOKUP(
TRIM(CLEAN(
INDEX(REPORTE_DROPI!K:K,
MATCH(T122, REPORTE_DROPI!B:B, 0)
))),
{
TRIM(CLEAN(MAPA_ESTADOS!A:A)) ,
MAPA_ESTADOS!B:B
},
2,
FALSE
),
"REVISAR"
)
</f>
        <v>DEVOLUCION</v>
      </c>
      <c r="P122" s="118"/>
      <c r="Q122" s="122">
        <f t="shared" si="1"/>
        <v>0</v>
      </c>
      <c r="R122" s="118"/>
      <c r="S122" s="118"/>
      <c r="T122" s="118">
        <f t="array" ref="T122">IFERROR(
INDEX(REPORTE_DROPI!B:B,
MATCH(
CLEAN(TRIM(C122)),
CLEAN(TRIM(REPORTE_DROPI!E:E)),
0
)
),
""
)
</f>
        <v>4089973</v>
      </c>
      <c r="U122" s="118">
        <v>6.403357016108E12</v>
      </c>
      <c r="V122" s="78"/>
      <c r="W122" s="78"/>
      <c r="X122" s="78"/>
      <c r="Y122" s="78"/>
      <c r="Z122" s="78"/>
    </row>
    <row r="123" ht="22.5" customHeight="1">
      <c r="A123" s="118">
        <v>122.0</v>
      </c>
      <c r="B123" s="119">
        <v>46032.0</v>
      </c>
      <c r="C123" s="118" t="s">
        <v>3907</v>
      </c>
      <c r="D123" s="118" t="str">
        <f>IFERROR(__xludf.DUMMYFUNCTION("IFERROR(
  INDEX(
    FILTER(
      'NOMBRE DE PRODUCTOS'!B:B,
      REGEXMATCH(
        UPPER(
          INDEX(
            REPORTE_DROPI!AC:AC,
            MATCH(T123, REPORTE_DROPI!B:B, 0)
          )
        ),
        UPPER('NOMBRE DE PRODUCTOS'!A:A)"&amp;"
      )
    ),
    1
  ),
  ""REVISAR""
)
"),"Cuchillo Tazaki™")</f>
        <v>Cuchillo Tazaki™</v>
      </c>
      <c r="E123" s="120">
        <f t="array" ref="E123">IF(
UPPER(TRIM(CLEAN($O123)))="ENTREGADO",
IFERROR(
INDEX(REPORTE_DROPI!Y:Y,
MATCH($T123, REPORTE_DROPI!B:B, 0)
),
""
),
""
)
</f>
        <v>10.4</v>
      </c>
      <c r="F123" s="121">
        <v>4.0</v>
      </c>
      <c r="G123" s="122">
        <f t="array" ref="G123">IF(
UPPER(TRIM(CLEAN($O123)))="ENTREGADO",
IFERROR(
INDEX(REPORTE_DROPI!R:R,
MATCH($T123, REPORTE_DROPI!B:B, 0)
),
""
),
""
)
</f>
        <v>32</v>
      </c>
      <c r="H123" s="118" t="s">
        <v>3727</v>
      </c>
      <c r="I123" s="118" t="s">
        <v>3882</v>
      </c>
      <c r="J123" s="121">
        <f t="array" ref="J123">IF(
UPPER(TRIM(CLEAN($O123)))="ENTREGADO",
IFERROR(
INDEX(REPORTE_DROPI!T:T,
MATCH($T123, REPORTE_DROPI!B:B, 0)
),
""
),
""
)
</f>
        <v>7.85</v>
      </c>
      <c r="K123" s="118">
        <f t="array" ref="K123">IFERROR(
INDEX(REPORTE_DROPI!S:S,
MATCH($T123, REPORTE_DROPI!B:B, 0)
),
""
)
</f>
        <v>13.75</v>
      </c>
      <c r="L123" s="118" t="str">
        <f>IF(
  O123&lt;&gt;"DEVOLUCION",
  "",
  IF(
    T123="",
    "",
    SUMIF(DEVOLUCION!F:F, T123, DEVOLUCION!D:D)
  )
)
</f>
        <v/>
      </c>
      <c r="M123" s="118" t="s">
        <v>3870</v>
      </c>
      <c r="N123" s="118" t="s">
        <v>3908</v>
      </c>
      <c r="O123" s="118" t="str">
        <f t="array" ref="O123">IFERROR(
VLOOKUP(
TRIM(CLEAN(
INDEX(REPORTE_DROPI!K:K,
MATCH(T123, REPORTE_DROPI!B:B, 0)
))),
{
TRIM(CLEAN(MAPA_ESTADOS!A:A)) ,
MAPA_ESTADOS!B:B
},
2,
FALSE
),
"REVISAR"
)
</f>
        <v>ENTREGADO</v>
      </c>
      <c r="P123" s="118" t="s">
        <v>3888</v>
      </c>
      <c r="Q123" s="122">
        <f t="shared" si="1"/>
        <v>0</v>
      </c>
      <c r="R123" s="118"/>
      <c r="S123" s="118"/>
      <c r="T123" s="118">
        <f t="array" ref="T123">IFERROR(
INDEX(REPORTE_DROPI!B:B,
MATCH(
CLEAN(TRIM(C123)),
CLEAN(TRIM(REPORTE_DROPI!E:E)),
0
)
),
""
)
</f>
        <v>4129827</v>
      </c>
      <c r="U123" s="118">
        <v>6.40336976286E12</v>
      </c>
      <c r="V123" s="78"/>
      <c r="W123" s="78"/>
      <c r="X123" s="78"/>
      <c r="Y123" s="78"/>
      <c r="Z123" s="78"/>
    </row>
    <row r="124" ht="22.5" customHeight="1">
      <c r="A124" s="118">
        <v>123.0</v>
      </c>
      <c r="B124" s="119">
        <v>46032.0</v>
      </c>
      <c r="C124" s="118" t="s">
        <v>3909</v>
      </c>
      <c r="D124" s="118" t="str">
        <f>IFERROR(__xludf.DUMMYFUNCTION("IFERROR(
  INDEX(
    FILTER(
      'NOMBRE DE PRODUCTOS'!B:B,
      REGEXMATCH(
        UPPER(
          INDEX(
            REPORTE_DROPI!AC:AC,
            MATCH(T124, REPORTE_DROPI!B:B, 0)
          )
        ),
        UPPER('NOMBRE DE PRODUCTOS'!A:A)"&amp;"
      )
    ),
    1
  ),
  ""REVISAR""
)
"),"Cuchillo Tazaki™")</f>
        <v>Cuchillo Tazaki™</v>
      </c>
      <c r="E124" s="120">
        <f t="array" ref="E124">IF(
UPPER(TRIM(CLEAN($O124)))="ENTREGADO",
IFERROR(
INDEX(REPORTE_DROPI!Y:Y,
MATCH($T124, REPORTE_DROPI!B:B, 0)
),
""
),
""
)
</f>
        <v>7.8</v>
      </c>
      <c r="F124" s="121">
        <v>3.0</v>
      </c>
      <c r="G124" s="122">
        <f t="array" ref="G124">IF(
UPPER(TRIM(CLEAN($O124)))="ENTREGADO",
IFERROR(
INDEX(REPORTE_DROPI!R:R,
MATCH($T124, REPORTE_DROPI!B:B, 0)
),
""
),
""
)
</f>
        <v>27</v>
      </c>
      <c r="H124" s="118" t="s">
        <v>3727</v>
      </c>
      <c r="I124" s="118" t="s">
        <v>3804</v>
      </c>
      <c r="J124" s="121">
        <f t="array" ref="J124">IF(
UPPER(TRIM(CLEAN($O124)))="ENTREGADO",
IFERROR(
INDEX(REPORTE_DROPI!T:T,
MATCH($T124, REPORTE_DROPI!B:B, 0)
),
""
),
""
)
</f>
        <v>6.03</v>
      </c>
      <c r="K124" s="118">
        <f t="array" ref="K124">IFERROR(
INDEX(REPORTE_DROPI!S:S,
MATCH($T124, REPORTE_DROPI!B:B, 0)
),
""
)
</f>
        <v>13.17</v>
      </c>
      <c r="L124" s="118" t="str">
        <f>IF(
  O124&lt;&gt;"DEVOLUCION",
  "",
  IF(
    T124="",
    "",
    SUMIF(DEVOLUCION!F:F, T124, DEVOLUCION!D:D)
  )
)
</f>
        <v/>
      </c>
      <c r="M124" s="118" t="s">
        <v>3870</v>
      </c>
      <c r="N124" s="118" t="s">
        <v>3910</v>
      </c>
      <c r="O124" s="118" t="str">
        <f t="array" ref="O124">IFERROR(
VLOOKUP(
TRIM(CLEAN(
INDEX(REPORTE_DROPI!K:K,
MATCH(T124, REPORTE_DROPI!B:B, 0)
))),
{
TRIM(CLEAN(MAPA_ESTADOS!A:A)) ,
MAPA_ESTADOS!B:B
},
2,
FALSE
),
"REVISAR"
)
</f>
        <v>ENTREGADO</v>
      </c>
      <c r="P124" s="118"/>
      <c r="Q124" s="122">
        <f t="shared" si="1"/>
        <v>0</v>
      </c>
      <c r="R124" s="118"/>
      <c r="S124" s="118"/>
      <c r="T124" s="118">
        <f t="array" ref="T124">IFERROR(
INDEX(REPORTE_DROPI!B:B,
MATCH(
CLEAN(TRIM(C124)),
CLEAN(TRIM(REPORTE_DROPI!E:E)),
0
)
),
""
)
</f>
        <v>4090077</v>
      </c>
      <c r="U124" s="118">
        <v>6.403376447532E12</v>
      </c>
      <c r="V124" s="78"/>
      <c r="W124" s="78"/>
      <c r="X124" s="78"/>
      <c r="Y124" s="78"/>
      <c r="Z124" s="78"/>
    </row>
    <row r="125" ht="22.5" customHeight="1">
      <c r="A125" s="118">
        <v>124.0</v>
      </c>
      <c r="B125" s="119">
        <v>46032.0</v>
      </c>
      <c r="C125" s="118" t="s">
        <v>3911</v>
      </c>
      <c r="D125" s="118" t="str">
        <f>IFERROR(__xludf.DUMMYFUNCTION("IFERROR(
  INDEX(
    FILTER(
      'NOMBRE DE PRODUCTOS'!B:B,
      REGEXMATCH(
        UPPER(
          INDEX(
            REPORTE_DROPI!AC:AC,
            MATCH(T125, REPORTE_DROPI!B:B, 0)
          )
        ),
        UPPER('NOMBRE DE PRODUCTOS'!A:A)"&amp;"
      )
    ),
    1
  ),
  ""REVISAR""
)
"),"FilmPro®")</f>
        <v>FilmPro®</v>
      </c>
      <c r="E125" s="120">
        <f t="array" ref="E125">IF(
UPPER(TRIM(CLEAN($O125)))="ENTREGADO",
IFERROR(
INDEX(REPORTE_DROPI!Y:Y,
MATCH($T125, REPORTE_DROPI!B:B, 0)
),
""
),
""
)
</f>
        <v>8.37</v>
      </c>
      <c r="F125" s="121">
        <v>3.0</v>
      </c>
      <c r="G125" s="122">
        <f t="array" ref="G125">IF(
UPPER(TRIM(CLEAN($O125)))="ENTREGADO",
IFERROR(
INDEX(REPORTE_DROPI!R:R,
MATCH($T125, REPORTE_DROPI!B:B, 0)
),
""
),
""
)
</f>
        <v>30</v>
      </c>
      <c r="H125" s="118" t="s">
        <v>3727</v>
      </c>
      <c r="I125" s="118" t="s">
        <v>3912</v>
      </c>
      <c r="J125" s="121">
        <f t="array" ref="J125">IF(
UPPER(TRIM(CLEAN($O125)))="ENTREGADO",
IFERROR(
INDEX(REPORTE_DROPI!T:T,
MATCH($T125, REPORTE_DROPI!B:B, 0)
),
""
),
""
)
</f>
        <v>6.16</v>
      </c>
      <c r="K125" s="118">
        <f t="array" ref="K125">IFERROR(
INDEX(REPORTE_DROPI!S:S,
MATCH($T125, REPORTE_DROPI!B:B, 0)
),
""
)
</f>
        <v>15.47</v>
      </c>
      <c r="L125" s="118" t="str">
        <f>IF(
  O125&lt;&gt;"DEVOLUCION",
  "",
  IF(
    T125="",
    "",
    SUMIF(DEVOLUCION!F:F, T125, DEVOLUCION!D:D)
  )
)
</f>
        <v/>
      </c>
      <c r="M125" s="118" t="s">
        <v>3870</v>
      </c>
      <c r="N125" s="118" t="s">
        <v>3913</v>
      </c>
      <c r="O125" s="118" t="str">
        <f t="array" ref="O125">IFERROR(
VLOOKUP(
TRIM(CLEAN(
INDEX(REPORTE_DROPI!K:K,
MATCH(T125, REPORTE_DROPI!B:B, 0)
))),
{
TRIM(CLEAN(MAPA_ESTADOS!A:A)) ,
MAPA_ESTADOS!B:B
},
2,
FALSE
),
"REVISAR"
)
</f>
        <v>ENTREGADO</v>
      </c>
      <c r="P125" s="118"/>
      <c r="Q125" s="122">
        <f t="shared" si="1"/>
        <v>0</v>
      </c>
      <c r="R125" s="118"/>
      <c r="S125" s="118"/>
      <c r="T125" s="118">
        <f t="array" ref="T125">IFERROR(
INDEX(REPORTE_DROPI!B:B,
MATCH(
CLEAN(TRIM(C125)),
CLEAN(TRIM(REPORTE_DROPI!E:E)),
0
)
),
""
)
</f>
        <v>4090118</v>
      </c>
      <c r="U125" s="118">
        <v>6.403383787564E12</v>
      </c>
      <c r="V125" s="78"/>
      <c r="W125" s="78"/>
      <c r="X125" s="78"/>
      <c r="Y125" s="78"/>
      <c r="Z125" s="78"/>
    </row>
    <row r="126" ht="22.5" customHeight="1">
      <c r="A126" s="118">
        <v>125.0</v>
      </c>
      <c r="B126" s="119">
        <v>46032.0</v>
      </c>
      <c r="C126" s="118" t="s">
        <v>3914</v>
      </c>
      <c r="D126" s="118" t="str">
        <f>IFERROR(__xludf.DUMMYFUNCTION("IFERROR(
  INDEX(
    FILTER(
      'NOMBRE DE PRODUCTOS'!B:B,
      REGEXMATCH(
        UPPER(
          INDEX(
            REPORTE_DROPI!AC:AC,
            MATCH(T126, REPORTE_DROPI!B:B, 0)
          )
        ),
        UPPER('NOMBRE DE PRODUCTOS'!A:A)"&amp;"
      )
    ),
    1
  ),
  ""REVISAR""
)
"),"Cuchillo Tazaki™")</f>
        <v>Cuchillo Tazaki™</v>
      </c>
      <c r="E126" s="120">
        <f t="array" ref="E126">IF(
UPPER(TRIM(CLEAN($O126)))="ENTREGADO",
IFERROR(
INDEX(REPORTE_DROPI!Y:Y,
MATCH($T126, REPORTE_DROPI!B:B, 0)
),
""
),
""
)
</f>
        <v>5.2</v>
      </c>
      <c r="F126" s="121">
        <v>2.0</v>
      </c>
      <c r="G126" s="122">
        <f t="array" ref="G126">IF(
UPPER(TRIM(CLEAN($O126)))="ENTREGADO",
IFERROR(
INDEX(REPORTE_DROPI!R:R,
MATCH($T126, REPORTE_DROPI!B:B, 0)
),
""
),
""
)
</f>
        <v>22</v>
      </c>
      <c r="H126" s="118" t="s">
        <v>3727</v>
      </c>
      <c r="I126" s="118" t="s">
        <v>3772</v>
      </c>
      <c r="J126" s="121">
        <f t="array" ref="J126">IF(
UPPER(TRIM(CLEAN($O126)))="ENTREGADO",
IFERROR(
INDEX(REPORTE_DROPI!T:T,
MATCH($T126, REPORTE_DROPI!B:B, 0)
),
""
),
""
)
</f>
        <v>5.84</v>
      </c>
      <c r="K126" s="118">
        <f t="array" ref="K126">IFERROR(
INDEX(REPORTE_DROPI!S:S,
MATCH($T126, REPORTE_DROPI!B:B, 0)
),
""
)
</f>
        <v>10.96</v>
      </c>
      <c r="L126" s="118" t="str">
        <f>IF(
  O126&lt;&gt;"DEVOLUCION",
  "",
  IF(
    T126="",
    "",
    SUMIF(DEVOLUCION!F:F, T126, DEVOLUCION!D:D)
  )
)
</f>
        <v/>
      </c>
      <c r="M126" s="118" t="s">
        <v>3870</v>
      </c>
      <c r="N126" s="118" t="s">
        <v>3915</v>
      </c>
      <c r="O126" s="118" t="str">
        <f t="array" ref="O126">IFERROR(
VLOOKUP(
TRIM(CLEAN(
INDEX(REPORTE_DROPI!K:K,
MATCH(T126, REPORTE_DROPI!B:B, 0)
))),
{
TRIM(CLEAN(MAPA_ESTADOS!A:A)) ,
MAPA_ESTADOS!B:B
},
2,
FALSE
),
"REVISAR"
)
</f>
        <v>ENTREGADO</v>
      </c>
      <c r="P126" s="118"/>
      <c r="Q126" s="122">
        <f t="shared" si="1"/>
        <v>0</v>
      </c>
      <c r="R126" s="118"/>
      <c r="S126" s="118"/>
      <c r="T126" s="118">
        <f t="array" ref="T126">IFERROR(
INDEX(REPORTE_DROPI!B:B,
MATCH(
CLEAN(TRIM(C126)),
CLEAN(TRIM(REPORTE_DROPI!E:E)),
0
)
),
""
)
</f>
        <v>4090150</v>
      </c>
      <c r="U126" s="118">
        <v>6.403387523116E12</v>
      </c>
      <c r="V126" s="78"/>
      <c r="W126" s="78"/>
      <c r="X126" s="78"/>
      <c r="Y126" s="78"/>
      <c r="Z126" s="78"/>
    </row>
    <row r="127" ht="22.5" customHeight="1">
      <c r="A127" s="118">
        <v>126.0</v>
      </c>
      <c r="B127" s="119">
        <v>46032.0</v>
      </c>
      <c r="C127" s="118" t="s">
        <v>3916</v>
      </c>
      <c r="D127" s="118" t="str">
        <f>IFERROR(__xludf.DUMMYFUNCTION("IFERROR(
  INDEX(
    FILTER(
      'NOMBRE DE PRODUCTOS'!B:B,
      REGEXMATCH(
        UPPER(
          INDEX(
            REPORTE_DROPI!AC:AC,
            MATCH(T127, REPORTE_DROPI!B:B, 0)
          )
        ),
        UPPER('NOMBRE DE PRODUCTOS'!A:A)"&amp;"
      )
    ),
    1
  ),
  ""REVISAR""
)
"),"Cuchillo Tazaki™")</f>
        <v>Cuchillo Tazaki™</v>
      </c>
      <c r="E127" s="120" t="str">
        <f t="array" ref="E127">IF(
UPPER(TRIM(CLEAN($O127)))="ENTREGADO",
IFERROR(
INDEX(REPORTE_DROPI!Y:Y,
MATCH($T127, REPORTE_DROPI!B:B, 0)
),
""
),
""
)
</f>
        <v/>
      </c>
      <c r="F127" s="121">
        <v>3.0</v>
      </c>
      <c r="G127" s="122" t="str">
        <f t="array" ref="G127">IF(
UPPER(TRIM(CLEAN($O127)))="ENTREGADO",
IFERROR(
INDEX(REPORTE_DROPI!R:R,
MATCH($T127, REPORTE_DROPI!B:B, 0)
),
""
),
""
)
</f>
        <v/>
      </c>
      <c r="H127" s="118" t="s">
        <v>3727</v>
      </c>
      <c r="I127" s="118" t="s">
        <v>3735</v>
      </c>
      <c r="J127" s="121" t="str">
        <f t="array" ref="J127">IF(
UPPER(TRIM(CLEAN($O127)))="ENTREGADO",
IFERROR(
INDEX(REPORTE_DROPI!T:T,
MATCH($T127, REPORTE_DROPI!B:B, 0)
),
""
),
""
)
</f>
        <v/>
      </c>
      <c r="K127" s="118" t="str">
        <f t="array" ref="K127">IFERROR(
INDEX(REPORTE_DROPI!S:S,
MATCH($T127, REPORTE_DROPI!B:B, 0)
),
""
)
</f>
        <v/>
      </c>
      <c r="L127" s="118">
        <f>IF(
  O127&lt;&gt;"DEVOLUCION",
  "",
  IF(
    T127="",
    "",
    SUMIF(DEVOLUCION!F:F, T127, DEVOLUCION!D:D)
  )
)
</f>
        <v>5.09</v>
      </c>
      <c r="M127" s="118" t="s">
        <v>3870</v>
      </c>
      <c r="N127" s="118" t="s">
        <v>3917</v>
      </c>
      <c r="O127" s="118" t="str">
        <f t="array" ref="O127">IFERROR(
VLOOKUP(
TRIM(CLEAN(
INDEX(REPORTE_DROPI!K:K,
MATCH(T127, REPORTE_DROPI!B:B, 0)
))),
{
TRIM(CLEAN(MAPA_ESTADOS!A:A)) ,
MAPA_ESTADOS!B:B
},
2,
FALSE
),
"REVISAR"
)
</f>
        <v>DEVOLUCION</v>
      </c>
      <c r="P127" s="118"/>
      <c r="Q127" s="122">
        <f t="shared" si="1"/>
        <v>0</v>
      </c>
      <c r="R127" s="118"/>
      <c r="S127" s="118"/>
      <c r="T127" s="118">
        <f t="array" ref="T127">IFERROR(
INDEX(REPORTE_DROPI!B:B,
MATCH(
CLEAN(TRIM(C127)),
CLEAN(TRIM(REPORTE_DROPI!E:E)),
0
)
),
""
)
</f>
        <v>4090197</v>
      </c>
      <c r="U127" s="118">
        <v>6.403391651884E12</v>
      </c>
      <c r="V127" s="78"/>
      <c r="W127" s="78"/>
      <c r="X127" s="78"/>
      <c r="Y127" s="78"/>
      <c r="Z127" s="78"/>
    </row>
    <row r="128" ht="22.5" customHeight="1">
      <c r="A128" s="118">
        <v>127.0</v>
      </c>
      <c r="B128" s="119">
        <v>46032.0</v>
      </c>
      <c r="C128" s="118" t="s">
        <v>3918</v>
      </c>
      <c r="D128" s="118" t="str">
        <f>IFERROR(__xludf.DUMMYFUNCTION("IFERROR(
  INDEX(
    FILTER(
      'NOMBRE DE PRODUCTOS'!B:B,
      REGEXMATCH(
        UPPER(
          INDEX(
            REPORTE_DROPI!AC:AC,
            MATCH(T128, REPORTE_DROPI!B:B, 0)
          )
        ),
        UPPER('NOMBRE DE PRODUCTOS'!A:A)"&amp;"
      )
    ),
    1
  ),
  ""REVISAR""
)
"),"Cuchillo Tazaki™")</f>
        <v>Cuchillo Tazaki™</v>
      </c>
      <c r="E128" s="120" t="str">
        <f t="array" ref="E128">IF(
UPPER(TRIM(CLEAN($O128)))="ENTREGADO",
IFERROR(
INDEX(REPORTE_DROPI!Y:Y,
MATCH($T128, REPORTE_DROPI!B:B, 0)
),
""
),
""
)
</f>
        <v/>
      </c>
      <c r="F128" s="121">
        <v>3.0</v>
      </c>
      <c r="G128" s="122" t="str">
        <f t="array" ref="G128">IF(
UPPER(TRIM(CLEAN($O128)))="ENTREGADO",
IFERROR(
INDEX(REPORTE_DROPI!R:R,
MATCH($T128, REPORTE_DROPI!B:B, 0)
),
""
),
""
)
</f>
        <v/>
      </c>
      <c r="H128" s="118" t="s">
        <v>3727</v>
      </c>
      <c r="I128" s="118" t="s">
        <v>3740</v>
      </c>
      <c r="J128" s="121" t="str">
        <f t="array" ref="J128">IF(
UPPER(TRIM(CLEAN($O128)))="ENTREGADO",
IFERROR(
INDEX(REPORTE_DROPI!T:T,
MATCH($T128, REPORTE_DROPI!B:B, 0)
),
""
),
""
)
</f>
        <v/>
      </c>
      <c r="K128" s="118" t="str">
        <f t="array" ref="K128">IFERROR(
INDEX(REPORTE_DROPI!S:S,
MATCH($T128, REPORTE_DROPI!B:B, 0)
),
""
)
</f>
        <v/>
      </c>
      <c r="L128" s="118">
        <f>IF(
  O128&lt;&gt;"DEVOLUCION",
  "",
  IF(
    T128="",
    "",
    SUMIF(DEVOLUCION!F:F, T128, DEVOLUCION!D:D)
  )
)
</f>
        <v>3.48</v>
      </c>
      <c r="M128" s="118" t="s">
        <v>3870</v>
      </c>
      <c r="N128" s="118" t="s">
        <v>3919</v>
      </c>
      <c r="O128" s="118" t="str">
        <f t="array" ref="O128">IFERROR(
VLOOKUP(
TRIM(CLEAN(
INDEX(REPORTE_DROPI!K:K,
MATCH(T128, REPORTE_DROPI!B:B, 0)
))),
{
TRIM(CLEAN(MAPA_ESTADOS!A:A)) ,
MAPA_ESTADOS!B:B
},
2,
FALSE
),
"REVISAR"
)
</f>
        <v>DEVOLUCION</v>
      </c>
      <c r="P128" s="118"/>
      <c r="Q128" s="122">
        <f t="shared" si="1"/>
        <v>0</v>
      </c>
      <c r="R128" s="118"/>
      <c r="S128" s="118"/>
      <c r="T128" s="118">
        <f t="array" ref="T128">IFERROR(
INDEX(REPORTE_DROPI!B:B,
MATCH(
CLEAN(TRIM(C128)),
CLEAN(TRIM(REPORTE_DROPI!E:E)),
0
)
),
""
)
</f>
        <v>4090232</v>
      </c>
      <c r="U128" s="118">
        <v>6.40339499422E12</v>
      </c>
      <c r="V128" s="78"/>
      <c r="W128" s="78"/>
      <c r="X128" s="78"/>
      <c r="Y128" s="78"/>
      <c r="Z128" s="78"/>
    </row>
    <row r="129" ht="22.5" customHeight="1">
      <c r="A129" s="118">
        <v>128.0</v>
      </c>
      <c r="B129" s="119">
        <v>46032.0</v>
      </c>
      <c r="C129" s="118" t="s">
        <v>3920</v>
      </c>
      <c r="D129" s="118" t="str">
        <f>IFERROR(__xludf.DUMMYFUNCTION("IFERROR(
  INDEX(
    FILTER(
      'NOMBRE DE PRODUCTOS'!B:B,
      REGEXMATCH(
        UPPER(
          INDEX(
            REPORTE_DROPI!AC:AC,
            MATCH(T129, REPORTE_DROPI!B:B, 0)
          )
        ),
        UPPER('NOMBRE DE PRODUCTOS'!A:A)"&amp;"
      )
    ),
    1
  ),
  ""REVISAR""
)
"),"Cuchillo Tazaki™")</f>
        <v>Cuchillo Tazaki™</v>
      </c>
      <c r="E129" s="120">
        <f t="array" ref="E129">IF(
UPPER(TRIM(CLEAN($O129)))="ENTREGADO",
IFERROR(
INDEX(REPORTE_DROPI!Y:Y,
MATCH($T129, REPORTE_DROPI!B:B, 0)
),
""
),
""
)
</f>
        <v>5.2</v>
      </c>
      <c r="F129" s="121">
        <v>2.0</v>
      </c>
      <c r="G129" s="122">
        <f t="array" ref="G129">IF(
UPPER(TRIM(CLEAN($O129)))="ENTREGADO",
IFERROR(
INDEX(REPORTE_DROPI!R:R,
MATCH($T129, REPORTE_DROPI!B:B, 0)
),
""
),
""
)
</f>
        <v>22</v>
      </c>
      <c r="H129" s="118" t="s">
        <v>3727</v>
      </c>
      <c r="I129" s="118" t="s">
        <v>3731</v>
      </c>
      <c r="J129" s="121">
        <f t="array" ref="J129">IF(
UPPER(TRIM(CLEAN($O129)))="ENTREGADO",
IFERROR(
INDEX(REPORTE_DROPI!T:T,
MATCH($T129, REPORTE_DROPI!B:B, 0)
),
""
),
""
)
</f>
        <v>5.84</v>
      </c>
      <c r="K129" s="118">
        <f t="array" ref="K129">IFERROR(
INDEX(REPORTE_DROPI!S:S,
MATCH($T129, REPORTE_DROPI!B:B, 0)
),
""
)
</f>
        <v>10.96</v>
      </c>
      <c r="L129" s="118" t="str">
        <f>IF(
  O129&lt;&gt;"DEVOLUCION",
  "",
  IF(
    T129="",
    "",
    SUMIF(DEVOLUCION!F:F, T129, DEVOLUCION!D:D)
  )
)
</f>
        <v/>
      </c>
      <c r="M129" s="118" t="s">
        <v>3870</v>
      </c>
      <c r="N129" s="118" t="s">
        <v>3921</v>
      </c>
      <c r="O129" s="118" t="str">
        <f t="array" ref="O129">IFERROR(
VLOOKUP(
TRIM(CLEAN(
INDEX(REPORTE_DROPI!K:K,
MATCH(T129, REPORTE_DROPI!B:B, 0)
))),
{
TRIM(CLEAN(MAPA_ESTADOS!A:A)) ,
MAPA_ESTADOS!B:B
},
2,
FALSE
),
"REVISAR"
)
</f>
        <v>ENTREGADO</v>
      </c>
      <c r="P129" s="118"/>
      <c r="Q129" s="122">
        <f t="shared" si="1"/>
        <v>0</v>
      </c>
      <c r="R129" s="118"/>
      <c r="S129" s="118"/>
      <c r="T129" s="118">
        <f t="array" ref="T129">IFERROR(
INDEX(REPORTE_DROPI!B:B,
MATCH(
CLEAN(TRIM(C129)),
CLEAN(TRIM(REPORTE_DROPI!E:E)),
0
)
),
""
)
</f>
        <v>4090238</v>
      </c>
      <c r="U129" s="118">
        <v>6.403395616812E12</v>
      </c>
      <c r="V129" s="78"/>
      <c r="W129" s="78"/>
      <c r="X129" s="78"/>
      <c r="Y129" s="78"/>
      <c r="Z129" s="78"/>
    </row>
    <row r="130" ht="22.5" customHeight="1">
      <c r="A130" s="118">
        <v>129.0</v>
      </c>
      <c r="B130" s="119">
        <v>46032.0</v>
      </c>
      <c r="C130" s="118" t="s">
        <v>3922</v>
      </c>
      <c r="D130" s="118" t="str">
        <f>IFERROR(__xludf.DUMMYFUNCTION("IFERROR(
  INDEX(
    FILTER(
      'NOMBRE DE PRODUCTOS'!B:B,
      REGEXMATCH(
        UPPER(
          INDEX(
            REPORTE_DROPI!AC:AC,
            MATCH(T130, REPORTE_DROPI!B:B, 0)
          )
        ),
        UPPER('NOMBRE DE PRODUCTOS'!A:A)"&amp;"
      )
    ),
    1
  ),
  ""REVISAR""
)
"),"Cuchillo Tazaki™")</f>
        <v>Cuchillo Tazaki™</v>
      </c>
      <c r="E130" s="120" t="str">
        <f t="array" ref="E130">IF(
UPPER(TRIM(CLEAN($O130)))="ENTREGADO",
IFERROR(
INDEX(REPORTE_DROPI!Y:Y,
MATCH($T130, REPORTE_DROPI!B:B, 0)
),
""
),
""
)
</f>
        <v/>
      </c>
      <c r="F130" s="121">
        <v>3.0</v>
      </c>
      <c r="G130" s="122" t="str">
        <f t="array" ref="G130">IF(
UPPER(TRIM(CLEAN($O130)))="ENTREGADO",
IFERROR(
INDEX(REPORTE_DROPI!R:R,
MATCH($T130, REPORTE_DROPI!B:B, 0)
),
""
),
""
)
</f>
        <v/>
      </c>
      <c r="H130" s="118" t="s">
        <v>3727</v>
      </c>
      <c r="I130" s="118" t="s">
        <v>3740</v>
      </c>
      <c r="J130" s="121" t="str">
        <f t="array" ref="J130">IF(
UPPER(TRIM(CLEAN($O130)))="ENTREGADO",
IFERROR(
INDEX(REPORTE_DROPI!T:T,
MATCH($T130, REPORTE_DROPI!B:B, 0)
),
""
),
""
)
</f>
        <v/>
      </c>
      <c r="K130" s="118" t="str">
        <f t="array" ref="K130">IFERROR(
INDEX(REPORTE_DROPI!S:S,
MATCH($T130, REPORTE_DROPI!B:B, 0)
),
""
)
</f>
        <v/>
      </c>
      <c r="L130" s="118">
        <f>IF(
  O130&lt;&gt;"DEVOLUCION",
  "",
  IF(
    T130="",
    "",
    SUMIF(DEVOLUCION!F:F, T130, DEVOLUCION!D:D)
  )
)
</f>
        <v>3.48</v>
      </c>
      <c r="M130" s="118" t="s">
        <v>3870</v>
      </c>
      <c r="N130" s="118" t="s">
        <v>3923</v>
      </c>
      <c r="O130" s="118" t="str">
        <f t="array" ref="O130">IFERROR(
VLOOKUP(
TRIM(CLEAN(
INDEX(REPORTE_DROPI!K:K,
MATCH(T130, REPORTE_DROPI!B:B, 0)
))),
{
TRIM(CLEAN(MAPA_ESTADOS!A:A)) ,
MAPA_ESTADOS!B:B
},
2,
FALSE
),
"REVISAR"
)
</f>
        <v>DEVOLUCION</v>
      </c>
      <c r="P130" s="118"/>
      <c r="Q130" s="122">
        <f t="shared" si="1"/>
        <v>0</v>
      </c>
      <c r="R130" s="118"/>
      <c r="S130" s="118"/>
      <c r="T130" s="118">
        <f t="array" ref="T130">IFERROR(
INDEX(REPORTE_DROPI!B:B,
MATCH(
CLEAN(TRIM(C130)),
CLEAN(TRIM(REPORTE_DROPI!E:E)),
0
)
),
""
)
</f>
        <v>4090275</v>
      </c>
      <c r="U130" s="118">
        <v>6.403399319596E12</v>
      </c>
      <c r="V130" s="78"/>
      <c r="W130" s="78"/>
      <c r="X130" s="78"/>
      <c r="Y130" s="78"/>
      <c r="Z130" s="78"/>
    </row>
    <row r="131" ht="22.5" customHeight="1">
      <c r="A131" s="118">
        <v>130.0</v>
      </c>
      <c r="B131" s="119">
        <v>46032.0</v>
      </c>
      <c r="C131" s="118" t="s">
        <v>3924</v>
      </c>
      <c r="D131" s="118" t="str">
        <f>IFERROR(__xludf.DUMMYFUNCTION("IFERROR(
  INDEX(
    FILTER(
      'NOMBRE DE PRODUCTOS'!B:B,
      REGEXMATCH(
        UPPER(
          INDEX(
            REPORTE_DROPI!AC:AC,
            MATCH(T131, REPORTE_DROPI!B:B, 0)
          )
        ),
        UPPER('NOMBRE DE PRODUCTOS'!A:A)"&amp;"
      )
    ),
    1
  ),
  ""REVISAR""
)
"),"FilmPro®")</f>
        <v>FilmPro®</v>
      </c>
      <c r="E131" s="120">
        <f t="array" ref="E131">IF(
UPPER(TRIM(CLEAN($O131)))="ENTREGADO",
IFERROR(
INDEX(REPORTE_DROPI!Y:Y,
MATCH($T131, REPORTE_DROPI!B:B, 0)
),
""
),
""
)
</f>
        <v>5.58</v>
      </c>
      <c r="F131" s="121">
        <v>2.0</v>
      </c>
      <c r="G131" s="122">
        <f t="array" ref="G131">IF(
UPPER(TRIM(CLEAN($O131)))="ENTREGADO",
IFERROR(
INDEX(REPORTE_DROPI!R:R,
MATCH($T131, REPORTE_DROPI!B:B, 0)
),
""
),
""
)
</f>
        <v>25</v>
      </c>
      <c r="H131" s="118" t="s">
        <v>3727</v>
      </c>
      <c r="I131" s="118" t="s">
        <v>3912</v>
      </c>
      <c r="J131" s="121">
        <f t="array" ref="J131">IF(
UPPER(TRIM(CLEAN($O131)))="ENTREGADO",
IFERROR(
INDEX(REPORTE_DROPI!T:T,
MATCH($T131, REPORTE_DROPI!B:B, 0)
),
""
),
""
)
</f>
        <v>5.96</v>
      </c>
      <c r="K131" s="118">
        <f t="array" ref="K131">IFERROR(
INDEX(REPORTE_DROPI!S:S,
MATCH($T131, REPORTE_DROPI!B:B, 0)
),
""
)
</f>
        <v>13.46</v>
      </c>
      <c r="L131" s="118" t="str">
        <f>IF(
  O131&lt;&gt;"DEVOLUCION",
  "",
  IF(
    T131="",
    "",
    SUMIF(DEVOLUCION!F:F, T131, DEVOLUCION!D:D)
  )
)
</f>
        <v/>
      </c>
      <c r="M131" s="118" t="s">
        <v>3870</v>
      </c>
      <c r="N131" s="118" t="s">
        <v>3925</v>
      </c>
      <c r="O131" s="118" t="str">
        <f t="array" ref="O131">IFERROR(
VLOOKUP(
TRIM(CLEAN(
INDEX(REPORTE_DROPI!K:K,
MATCH(T131, REPORTE_DROPI!B:B, 0)
))),
{
TRIM(CLEAN(MAPA_ESTADOS!A:A)) ,
MAPA_ESTADOS!B:B
},
2,
FALSE
),
"REVISAR"
)
</f>
        <v>ENTREGADO</v>
      </c>
      <c r="P131" s="118"/>
      <c r="Q131" s="122">
        <f t="shared" si="1"/>
        <v>0</v>
      </c>
      <c r="R131" s="118"/>
      <c r="S131" s="118"/>
      <c r="T131" s="118">
        <f t="array" ref="T131">IFERROR(
INDEX(REPORTE_DROPI!B:B,
MATCH(
CLEAN(TRIM(C131)),
CLEAN(TRIM(REPORTE_DROPI!E:E)),
0
)
),
""
)
</f>
        <v>4090291</v>
      </c>
      <c r="U131" s="118">
        <v>6.403400302636E12</v>
      </c>
      <c r="V131" s="78"/>
      <c r="W131" s="78"/>
      <c r="X131" s="78"/>
      <c r="Y131" s="78"/>
      <c r="Z131" s="78"/>
    </row>
    <row r="132" ht="22.5" customHeight="1">
      <c r="A132" s="118">
        <v>131.0</v>
      </c>
      <c r="B132" s="119">
        <v>46032.0</v>
      </c>
      <c r="C132" s="118" t="s">
        <v>3926</v>
      </c>
      <c r="D132" s="118" t="str">
        <f>IFERROR(__xludf.DUMMYFUNCTION("IFERROR(
  INDEX(
    FILTER(
      'NOMBRE DE PRODUCTOS'!B:B,
      REGEXMATCH(
        UPPER(
          INDEX(
            REPORTE_DROPI!AC:AC,
            MATCH(T132, REPORTE_DROPI!B:B, 0)
          )
        ),
        UPPER('NOMBRE DE PRODUCTOS'!A:A)"&amp;"
      )
    ),
    1
  ),
  ""REVISAR""
)
"),"FilmPro®")</f>
        <v>FilmPro®</v>
      </c>
      <c r="E132" s="120" t="str">
        <f t="array" ref="E132">IF(
UPPER(TRIM(CLEAN($O132)))="ENTREGADO",
IFERROR(
INDEX(REPORTE_DROPI!Y:Y,
MATCH($T132, REPORTE_DROPI!B:B, 0)
),
""
),
""
)
</f>
        <v/>
      </c>
      <c r="F132" s="121">
        <v>1.0</v>
      </c>
      <c r="G132" s="122" t="str">
        <f t="array" ref="G132">IF(
UPPER(TRIM(CLEAN($O132)))="ENTREGADO",
IFERROR(
INDEX(REPORTE_DROPI!R:R,
MATCH($T132, REPORTE_DROPI!B:B, 0)
),
""
),
""
)
</f>
        <v/>
      </c>
      <c r="H132" s="118" t="s">
        <v>3727</v>
      </c>
      <c r="I132" s="118" t="s">
        <v>3801</v>
      </c>
      <c r="J132" s="121" t="str">
        <f t="array" ref="J132">IF(
UPPER(TRIM(CLEAN($O132)))="ENTREGADO",
IFERROR(
INDEX(REPORTE_DROPI!T:T,
MATCH($T132, REPORTE_DROPI!B:B, 0)
),
""
),
""
)
</f>
        <v/>
      </c>
      <c r="K132" s="118" t="str">
        <f t="array" ref="K132">IFERROR(
INDEX(REPORTE_DROPI!S:S,
MATCH($T132, REPORTE_DROPI!B:B, 0)
),
""
)
</f>
        <v/>
      </c>
      <c r="L132" s="118">
        <f>IF(
  O132&lt;&gt;"DEVOLUCION",
  "",
  IF(
    T132="",
    "",
    SUMIF(DEVOLUCION!F:F, T132, DEVOLUCION!D:D)
  )
)
</f>
        <v>5.06</v>
      </c>
      <c r="M132" s="118" t="s">
        <v>3870</v>
      </c>
      <c r="N132" s="118" t="s">
        <v>3927</v>
      </c>
      <c r="O132" s="118" t="str">
        <f t="array" ref="O132">IFERROR(
VLOOKUP(
TRIM(CLEAN(
INDEX(REPORTE_DROPI!K:K,
MATCH(T132, REPORTE_DROPI!B:B, 0)
))),
{
TRIM(CLEAN(MAPA_ESTADOS!A:A)) ,
MAPA_ESTADOS!B:B
},
2,
FALSE
),
"REVISAR"
)
</f>
        <v>DEVOLUCION</v>
      </c>
      <c r="P132" s="118"/>
      <c r="Q132" s="122">
        <f t="shared" si="1"/>
        <v>0</v>
      </c>
      <c r="R132" s="118"/>
      <c r="S132" s="118"/>
      <c r="T132" s="118">
        <f t="array" ref="T132">IFERROR(
INDEX(REPORTE_DROPI!B:B,
MATCH(
CLEAN(TRIM(C132)),
CLEAN(TRIM(REPORTE_DROPI!E:E)),
0
)
),
""
)
</f>
        <v>4090295</v>
      </c>
      <c r="U132" s="118">
        <v>6.403400663084E12</v>
      </c>
      <c r="V132" s="78"/>
      <c r="W132" s="78"/>
      <c r="X132" s="78"/>
      <c r="Y132" s="78"/>
      <c r="Z132" s="78"/>
    </row>
    <row r="133" ht="22.5" customHeight="1">
      <c r="A133" s="118">
        <v>132.0</v>
      </c>
      <c r="B133" s="119">
        <v>46032.0</v>
      </c>
      <c r="C133" s="118" t="s">
        <v>3928</v>
      </c>
      <c r="D133" s="118" t="str">
        <f>IFERROR(__xludf.DUMMYFUNCTION("IFERROR(
  INDEX(
    FILTER(
      'NOMBRE DE PRODUCTOS'!B:B,
      REGEXMATCH(
        UPPER(
          INDEX(
            REPORTE_DROPI!AC:AC,
            MATCH(T133, REPORTE_DROPI!B:B, 0)
          )
        ),
        UPPER('NOMBRE DE PRODUCTOS'!A:A)"&amp;"
      )
    ),
    1
  ),
  ""REVISAR""
)
"),"FilmPro®")</f>
        <v>FilmPro®</v>
      </c>
      <c r="E133" s="120" t="str">
        <f t="array" ref="E133">IF(
UPPER(TRIM(CLEAN($O133)))="ENTREGADO",
IFERROR(
INDEX(REPORTE_DROPI!Y:Y,
MATCH($T133, REPORTE_DROPI!B:B, 0)
),
""
),
""
)
</f>
        <v/>
      </c>
      <c r="F133" s="121">
        <v>1.0</v>
      </c>
      <c r="G133" s="122" t="str">
        <f t="array" ref="G133">IF(
UPPER(TRIM(CLEAN($O133)))="ENTREGADO",
IFERROR(
INDEX(REPORTE_DROPI!R:R,
MATCH($T133, REPORTE_DROPI!B:B, 0)
),
""
),
""
)
</f>
        <v/>
      </c>
      <c r="H133" s="118" t="s">
        <v>3727</v>
      </c>
      <c r="I133" s="118" t="s">
        <v>3731</v>
      </c>
      <c r="J133" s="121" t="str">
        <f t="array" ref="J133">IF(
UPPER(TRIM(CLEAN($O133)))="ENTREGADO",
IFERROR(
INDEX(REPORTE_DROPI!T:T,
MATCH($T133, REPORTE_DROPI!B:B, 0)
),
""
),
""
)
</f>
        <v/>
      </c>
      <c r="K133" s="118" t="str">
        <f t="array" ref="K133">IFERROR(
INDEX(REPORTE_DROPI!S:S,
MATCH($T133, REPORTE_DROPI!B:B, 0)
),
""
)
</f>
        <v/>
      </c>
      <c r="L133" s="118">
        <f>IF(
  O133&lt;&gt;"DEVOLUCION",
  "",
  IF(
    T133="",
    "",
    SUMIF(DEVOLUCION!F:F, T133, DEVOLUCION!D:D)
  )
)
</f>
        <v>5.06</v>
      </c>
      <c r="M133" s="118" t="s">
        <v>3870</v>
      </c>
      <c r="N133" s="118" t="s">
        <v>3929</v>
      </c>
      <c r="O133" s="118" t="str">
        <f t="array" ref="O133">IFERROR(
VLOOKUP(
TRIM(CLEAN(
INDEX(REPORTE_DROPI!K:K,
MATCH(T133, REPORTE_DROPI!B:B, 0)
))),
{
TRIM(CLEAN(MAPA_ESTADOS!A:A)) ,
MAPA_ESTADOS!B:B
},
2,
FALSE
),
"REVISAR"
)
</f>
        <v>DEVOLUCION</v>
      </c>
      <c r="P133" s="118"/>
      <c r="Q133" s="122">
        <f t="shared" si="1"/>
        <v>0</v>
      </c>
      <c r="R133" s="118"/>
      <c r="S133" s="118"/>
      <c r="T133" s="118">
        <f t="array" ref="T133">IFERROR(
INDEX(REPORTE_DROPI!B:B,
MATCH(
CLEAN(TRIM(C133)),
CLEAN(TRIM(REPORTE_DROPI!E:E)),
0
)
),
""
)
</f>
        <v>4090304</v>
      </c>
      <c r="U133" s="118">
        <v>6.403401449516E12</v>
      </c>
      <c r="V133" s="78"/>
      <c r="W133" s="78"/>
      <c r="X133" s="78"/>
      <c r="Y133" s="78"/>
      <c r="Z133" s="78"/>
    </row>
    <row r="134" ht="22.5" customHeight="1">
      <c r="A134" s="118">
        <v>133.0</v>
      </c>
      <c r="B134" s="119">
        <v>46032.0</v>
      </c>
      <c r="C134" s="118" t="s">
        <v>3930</v>
      </c>
      <c r="D134" s="118" t="str">
        <f>IFERROR(__xludf.DUMMYFUNCTION("IFERROR(
  INDEX(
    FILTER(
      'NOMBRE DE PRODUCTOS'!B:B,
      REGEXMATCH(
        UPPER(
          INDEX(
            REPORTE_DROPI!AC:AC,
            MATCH(T134, REPORTE_DROPI!B:B, 0)
          )
        ),
        UPPER('NOMBRE DE PRODUCTOS'!A:A)"&amp;"
      )
    ),
    1
  ),
  ""REVISAR""
)
"),"FilmPro®")</f>
        <v>FilmPro®</v>
      </c>
      <c r="E134" s="120">
        <f t="array" ref="E134">IF(
UPPER(TRIM(CLEAN($O134)))="ENTREGADO",
IFERROR(
INDEX(REPORTE_DROPI!Y:Y,
MATCH($T134, REPORTE_DROPI!B:B, 0)
),
""
),
""
)
</f>
        <v>8.37</v>
      </c>
      <c r="F134" s="121">
        <v>3.0</v>
      </c>
      <c r="G134" s="122">
        <f t="array" ref="G134">IF(
UPPER(TRIM(CLEAN($O134)))="ENTREGADO",
IFERROR(
INDEX(REPORTE_DROPI!R:R,
MATCH($T134, REPORTE_DROPI!B:B, 0)
),
""
),
""
)
</f>
        <v>30</v>
      </c>
      <c r="H134" s="118" t="s">
        <v>3727</v>
      </c>
      <c r="I134" s="118" t="s">
        <v>3778</v>
      </c>
      <c r="J134" s="121">
        <f t="array" ref="J134">IF(
UPPER(TRIM(CLEAN($O134)))="ENTREGADO",
IFERROR(
INDEX(REPORTE_DROPI!T:T,
MATCH($T134, REPORTE_DROPI!B:B, 0)
),
""
),
""
)
</f>
        <v>6.16</v>
      </c>
      <c r="K134" s="118">
        <f t="array" ref="K134">IFERROR(
INDEX(REPORTE_DROPI!S:S,
MATCH($T134, REPORTE_DROPI!B:B, 0)
),
""
)
</f>
        <v>15.47</v>
      </c>
      <c r="L134" s="118" t="str">
        <f>IF(
  O134&lt;&gt;"DEVOLUCION",
  "",
  IF(
    T134="",
    "",
    SUMIF(DEVOLUCION!F:F, T134, DEVOLUCION!D:D)
  )
)
</f>
        <v/>
      </c>
      <c r="M134" s="118" t="s">
        <v>3870</v>
      </c>
      <c r="N134" s="118" t="s">
        <v>3931</v>
      </c>
      <c r="O134" s="118" t="str">
        <f t="array" ref="O134">IFERROR(
VLOOKUP(
TRIM(CLEAN(
INDEX(REPORTE_DROPI!K:K,
MATCH(T134, REPORTE_DROPI!B:B, 0)
))),
{
TRIM(CLEAN(MAPA_ESTADOS!A:A)) ,
MAPA_ESTADOS!B:B
},
2,
FALSE
),
"REVISAR"
)
</f>
        <v>ENTREGADO</v>
      </c>
      <c r="P134" s="118"/>
      <c r="Q134" s="122">
        <f t="shared" si="1"/>
        <v>0</v>
      </c>
      <c r="R134" s="118"/>
      <c r="S134" s="118"/>
      <c r="T134" s="118">
        <f t="array" ref="T134">IFERROR(
INDEX(REPORTE_DROPI!B:B,
MATCH(
CLEAN(TRIM(C134)),
CLEAN(TRIM(REPORTE_DROPI!E:E)),
0
)
),
""
)
</f>
        <v>4090524</v>
      </c>
      <c r="U134" s="118">
        <v>6.403419602988E12</v>
      </c>
      <c r="V134" s="78"/>
      <c r="W134" s="78"/>
      <c r="X134" s="78"/>
      <c r="Y134" s="78"/>
      <c r="Z134" s="78"/>
    </row>
    <row r="135" ht="22.5" customHeight="1">
      <c r="A135" s="118">
        <v>134.0</v>
      </c>
      <c r="B135" s="119">
        <v>46032.0</v>
      </c>
      <c r="C135" s="118" t="s">
        <v>3932</v>
      </c>
      <c r="D135" s="118" t="str">
        <f>IFERROR(__xludf.DUMMYFUNCTION("IFERROR(
  INDEX(
    FILTER(
      'NOMBRE DE PRODUCTOS'!B:B,
      REGEXMATCH(
        UPPER(
          INDEX(
            REPORTE_DROPI!AC:AC,
            MATCH(T135, REPORTE_DROPI!B:B, 0)
          )
        ),
        UPPER('NOMBRE DE PRODUCTOS'!A:A)"&amp;"
      )
    ),
    1
  ),
  ""REVISAR""
)
"),"Cuchillo Tazaki™")</f>
        <v>Cuchillo Tazaki™</v>
      </c>
      <c r="E135" s="120">
        <f t="array" ref="E135">IF(
UPPER(TRIM(CLEAN($O135)))="ENTREGADO",
IFERROR(
INDEX(REPORTE_DROPI!Y:Y,
MATCH($T135, REPORTE_DROPI!B:B, 0)
),
""
),
""
)
</f>
        <v>5.2</v>
      </c>
      <c r="F135" s="121">
        <v>2.0</v>
      </c>
      <c r="G135" s="122">
        <f t="array" ref="G135">IF(
UPPER(TRIM(CLEAN($O135)))="ENTREGADO",
IFERROR(
INDEX(REPORTE_DROPI!R:R,
MATCH($T135, REPORTE_DROPI!B:B, 0)
),
""
),
""
)
</f>
        <v>22</v>
      </c>
      <c r="H135" s="118" t="s">
        <v>3727</v>
      </c>
      <c r="I135" s="118" t="s">
        <v>3801</v>
      </c>
      <c r="J135" s="121">
        <f t="array" ref="J135">IF(
UPPER(TRIM(CLEAN($O135)))="ENTREGADO",
IFERROR(
INDEX(REPORTE_DROPI!T:T,
MATCH($T135, REPORTE_DROPI!B:B, 0)
),
""
),
""
)
</f>
        <v>7.7</v>
      </c>
      <c r="K135" s="118">
        <f t="array" ref="K135">IFERROR(
INDEX(REPORTE_DROPI!S:S,
MATCH($T135, REPORTE_DROPI!B:B, 0)
),
""
)
</f>
        <v>9.1</v>
      </c>
      <c r="L135" s="118" t="str">
        <f>IF(
  O135&lt;&gt;"DEVOLUCION",
  "",
  IF(
    T135="",
    "",
    SUMIF(DEVOLUCION!F:F, T135, DEVOLUCION!D:D)
  )
)
</f>
        <v/>
      </c>
      <c r="M135" s="118" t="s">
        <v>3870</v>
      </c>
      <c r="N135" s="118" t="s">
        <v>3933</v>
      </c>
      <c r="O135" s="118" t="str">
        <f t="array" ref="O135">IFERROR(
VLOOKUP(
TRIM(CLEAN(
INDEX(REPORTE_DROPI!K:K,
MATCH(T135, REPORTE_DROPI!B:B, 0)
))),
{
TRIM(CLEAN(MAPA_ESTADOS!A:A)) ,
MAPA_ESTADOS!B:B
},
2,
FALSE
),
"REVISAR"
)
</f>
        <v>ENTREGADO</v>
      </c>
      <c r="P135" s="118"/>
      <c r="Q135" s="122">
        <f t="shared" si="1"/>
        <v>0</v>
      </c>
      <c r="R135" s="118"/>
      <c r="S135" s="118"/>
      <c r="T135" s="118">
        <f t="array" ref="T135">IFERROR(
INDEX(REPORTE_DROPI!B:B,
MATCH(
CLEAN(TRIM(C135)),
CLEAN(TRIM(REPORTE_DROPI!E:E)),
0
)
),
""
)
</f>
        <v>4090544</v>
      </c>
      <c r="U135" s="118">
        <v>6.403421110316E12</v>
      </c>
      <c r="V135" s="78"/>
      <c r="W135" s="78"/>
      <c r="X135" s="78"/>
      <c r="Y135" s="78"/>
      <c r="Z135" s="78"/>
    </row>
    <row r="136" ht="22.5" customHeight="1">
      <c r="A136" s="118">
        <v>135.0</v>
      </c>
      <c r="B136" s="119">
        <v>46032.0</v>
      </c>
      <c r="C136" s="126" t="s">
        <v>3934</v>
      </c>
      <c r="D136" s="118" t="str">
        <f>IFERROR(__xludf.DUMMYFUNCTION("IFERROR(
  INDEX(
    FILTER(
      'NOMBRE DE PRODUCTOS'!B:B,
      REGEXMATCH(
        UPPER(
          INDEX(
            REPORTE_DROPI!AC:AC,
            MATCH(T136, REPORTE_DROPI!B:B, 0)
          )
        ),
        UPPER('NOMBRE DE PRODUCTOS'!A:A)"&amp;"
      )
    ),
    1
  ),
  ""REVISAR""
)
"),"FilmPro®")</f>
        <v>FilmPro®</v>
      </c>
      <c r="E136" s="120" t="str">
        <f t="array" ref="E136">IF(
UPPER(TRIM(CLEAN($O136)))="ENTREGADO",
IFERROR(
INDEX(REPORTE_DROPI!Y:Y,
MATCH($T136, REPORTE_DROPI!B:B, 0)
),
""
),
""
)
</f>
        <v/>
      </c>
      <c r="F136" s="121">
        <v>2.0</v>
      </c>
      <c r="G136" s="122" t="str">
        <f t="array" ref="G136">IF(
UPPER(TRIM(CLEAN($O136)))="ENTREGADO",
IFERROR(
INDEX(REPORTE_DROPI!R:R,
MATCH($T136, REPORTE_DROPI!B:B, 0)
),
""
),
""
)
</f>
        <v/>
      </c>
      <c r="H136" s="118" t="s">
        <v>3727</v>
      </c>
      <c r="I136" s="118" t="s">
        <v>3912</v>
      </c>
      <c r="J136" s="121" t="str">
        <f t="array" ref="J136">IF(
UPPER(TRIM(CLEAN($O136)))="ENTREGADO",
IFERROR(
INDEX(REPORTE_DROPI!T:T,
MATCH($T136, REPORTE_DROPI!B:B, 0)
),
""
),
""
)
</f>
        <v/>
      </c>
      <c r="K136" s="118" t="str">
        <f t="array" ref="K136">IFERROR(
INDEX(REPORTE_DROPI!S:S,
MATCH($T136, REPORTE_DROPI!B:B, 0)
),
""
)
</f>
        <v/>
      </c>
      <c r="L136" s="118">
        <f>IF(
  O136&lt;&gt;"DEVOLUCION",
  "",
  IF(
    T136="",
    "",
    SUMIF(DEVOLUCION!F:F, T136, DEVOLUCION!D:D)
  )
)
</f>
        <v>5.09</v>
      </c>
      <c r="M136" s="118" t="s">
        <v>3870</v>
      </c>
      <c r="N136" s="118" t="s">
        <v>3935</v>
      </c>
      <c r="O136" s="118" t="str">
        <f t="array" ref="O136">IFERROR(
VLOOKUP(
TRIM(CLEAN(
INDEX(REPORTE_DROPI!K:K,
MATCH(T136, REPORTE_DROPI!B:B, 0)
))),
{
TRIM(CLEAN(MAPA_ESTADOS!A:A)) ,
MAPA_ESTADOS!B:B
},
2,
FALSE
),
"REVISAR"
)
</f>
        <v>DEVOLUCION</v>
      </c>
      <c r="P136" s="118"/>
      <c r="Q136" s="122">
        <f t="shared" si="1"/>
        <v>0</v>
      </c>
      <c r="R136" s="118"/>
      <c r="S136" s="118"/>
      <c r="T136" s="118">
        <f t="array" ref="T136">IFERROR(
INDEX(REPORTE_DROPI!B:B,
MATCH(
CLEAN(TRIM(C136)),
CLEAN(TRIM(REPORTE_DROPI!E:E)),
0
)
),
""
)
</f>
        <v>4090707</v>
      </c>
      <c r="U136" s="118">
        <v>6.403431268396E12</v>
      </c>
      <c r="V136" s="78"/>
      <c r="W136" s="78"/>
      <c r="X136" s="78"/>
      <c r="Y136" s="78"/>
      <c r="Z136" s="78"/>
    </row>
    <row r="137" ht="22.5" customHeight="1">
      <c r="A137" s="118">
        <v>136.0</v>
      </c>
      <c r="B137" s="119">
        <v>46032.0</v>
      </c>
      <c r="C137" s="118" t="s">
        <v>3936</v>
      </c>
      <c r="D137" s="118" t="str">
        <f>IFERROR(__xludf.DUMMYFUNCTION("IFERROR(
  INDEX(
    FILTER(
      'NOMBRE DE PRODUCTOS'!B:B,
      REGEXMATCH(
        UPPER(
          INDEX(
            REPORTE_DROPI!AC:AC,
            MATCH(T137, REPORTE_DROPI!B:B, 0)
          )
        ),
        UPPER('NOMBRE DE PRODUCTOS'!A:A)"&amp;"
      )
    ),
    1
  ),
  ""REVISAR""
)
"),"Cuchillo Tazaki™")</f>
        <v>Cuchillo Tazaki™</v>
      </c>
      <c r="E137" s="120">
        <f t="array" ref="E137">IF(
UPPER(TRIM(CLEAN($O137)))="ENTREGADO",
IFERROR(
INDEX(REPORTE_DROPI!Y:Y,
MATCH($T137, REPORTE_DROPI!B:B, 0)
),
""
),
""
)
</f>
        <v>7.8</v>
      </c>
      <c r="F137" s="121">
        <v>3.0</v>
      </c>
      <c r="G137" s="122">
        <f t="array" ref="G137">IF(
UPPER(TRIM(CLEAN($O137)))="ENTREGADO",
IFERROR(
INDEX(REPORTE_DROPI!R:R,
MATCH($T137, REPORTE_DROPI!B:B, 0)
),
""
),
""
)
</f>
        <v>27</v>
      </c>
      <c r="H137" s="118" t="s">
        <v>3727</v>
      </c>
      <c r="I137" s="118" t="s">
        <v>3731</v>
      </c>
      <c r="J137" s="121">
        <f t="array" ref="J137">IF(
UPPER(TRIM(CLEAN($O137)))="ENTREGADO",
IFERROR(
INDEX(REPORTE_DROPI!T:T,
MATCH($T137, REPORTE_DROPI!B:B, 0)
),
""
),
""
)
</f>
        <v>6.03</v>
      </c>
      <c r="K137" s="118">
        <f t="array" ref="K137">IFERROR(
INDEX(REPORTE_DROPI!S:S,
MATCH($T137, REPORTE_DROPI!B:B, 0)
),
""
)
</f>
        <v>13.17</v>
      </c>
      <c r="L137" s="118" t="str">
        <f>IF(
  O137&lt;&gt;"DEVOLUCION",
  "",
  IF(
    T137="",
    "",
    SUMIF(DEVOLUCION!F:F, T137, DEVOLUCION!D:D)
  )
)
</f>
        <v/>
      </c>
      <c r="M137" s="118" t="s">
        <v>3870</v>
      </c>
      <c r="N137" s="118" t="s">
        <v>3937</v>
      </c>
      <c r="O137" s="118" t="str">
        <f t="array" ref="O137">IFERROR(
VLOOKUP(
TRIM(CLEAN(
INDEX(REPORTE_DROPI!K:K,
MATCH(T137, REPORTE_DROPI!B:B, 0)
))),
{
TRIM(CLEAN(MAPA_ESTADOS!A:A)) ,
MAPA_ESTADOS!B:B
},
2,
FALSE
),
"REVISAR"
)
</f>
        <v>ENTREGADO</v>
      </c>
      <c r="P137" s="118"/>
      <c r="Q137" s="122">
        <f t="shared" si="1"/>
        <v>0</v>
      </c>
      <c r="R137" s="118"/>
      <c r="S137" s="118"/>
      <c r="T137" s="118">
        <f t="array" ref="T137">IFERROR(
INDEX(REPORTE_DROPI!B:B,
MATCH(
CLEAN(TRIM(C137)),
CLEAN(TRIM(REPORTE_DROPI!E:E)),
0
)
),
""
)
</f>
        <v>4090717</v>
      </c>
      <c r="U137" s="118">
        <v>6.403431727148E12</v>
      </c>
      <c r="V137" s="78"/>
      <c r="W137" s="78"/>
      <c r="X137" s="78"/>
      <c r="Y137" s="78"/>
      <c r="Z137" s="78"/>
    </row>
    <row r="138" ht="22.5" customHeight="1">
      <c r="A138" s="118">
        <v>137.0</v>
      </c>
      <c r="B138" s="119">
        <v>46032.0</v>
      </c>
      <c r="C138" s="118" t="s">
        <v>3938</v>
      </c>
      <c r="D138" s="118" t="str">
        <f>IFERROR(__xludf.DUMMYFUNCTION("IFERROR(
  INDEX(
    FILTER(
      'NOMBRE DE PRODUCTOS'!B:B,
      REGEXMATCH(
        UPPER(
          INDEX(
            REPORTE_DROPI!AC:AC,
            MATCH(T138, REPORTE_DROPI!B:B, 0)
          )
        ),
        UPPER('NOMBRE DE PRODUCTOS'!A:A)"&amp;"
      )
    ),
    1
  ),
  ""REVISAR""
)
"),"FilmPro®")</f>
        <v>FilmPro®</v>
      </c>
      <c r="E138" s="120" t="str">
        <f t="array" ref="E138">IF(
UPPER(TRIM(CLEAN($O138)))="ENTREGADO",
IFERROR(
INDEX(REPORTE_DROPI!Y:Y,
MATCH($T138, REPORTE_DROPI!B:B, 0)
),
""
),
""
)
</f>
        <v/>
      </c>
      <c r="F138" s="121">
        <v>2.0</v>
      </c>
      <c r="G138" s="122" t="str">
        <f t="array" ref="G138">IF(
UPPER(TRIM(CLEAN($O138)))="ENTREGADO",
IFERROR(
INDEX(REPORTE_DROPI!R:R,
MATCH($T138, REPORTE_DROPI!B:B, 0)
),
""
),
""
)
</f>
        <v/>
      </c>
      <c r="H138" s="118" t="s">
        <v>3727</v>
      </c>
      <c r="I138" s="118" t="s">
        <v>3740</v>
      </c>
      <c r="J138" s="121" t="str">
        <f t="array" ref="J138">IF(
UPPER(TRIM(CLEAN($O138)))="ENTREGADO",
IFERROR(
INDEX(REPORTE_DROPI!T:T,
MATCH($T138, REPORTE_DROPI!B:B, 0)
),
""
),
""
)
</f>
        <v/>
      </c>
      <c r="K138" s="118" t="str">
        <f t="array" ref="K138">IFERROR(
INDEX(REPORTE_DROPI!S:S,
MATCH($T138, REPORTE_DROPI!B:B, 0)
),
""
)
</f>
        <v/>
      </c>
      <c r="L138" s="118">
        <f>IF(
  O138&lt;&gt;"DEVOLUCION",
  "",
  IF(
    T138="",
    "",
    SUMIF(DEVOLUCION!F:F, T138, DEVOLUCION!D:D)
  )
)
</f>
        <v>3.48</v>
      </c>
      <c r="M138" s="118" t="s">
        <v>3870</v>
      </c>
      <c r="N138" s="118" t="s">
        <v>3939</v>
      </c>
      <c r="O138" s="118" t="str">
        <f t="array" ref="O138">IFERROR(
VLOOKUP(
TRIM(CLEAN(
INDEX(REPORTE_DROPI!K:K,
MATCH(T138, REPORTE_DROPI!B:B, 0)
))),
{
TRIM(CLEAN(MAPA_ESTADOS!A:A)) ,
MAPA_ESTADOS!B:B
},
2,
FALSE
),
"REVISAR"
)
</f>
        <v>DEVOLUCION</v>
      </c>
      <c r="P138" s="118"/>
      <c r="Q138" s="122">
        <f t="shared" si="1"/>
        <v>0</v>
      </c>
      <c r="R138" s="118"/>
      <c r="S138" s="118"/>
      <c r="T138" s="118">
        <f t="array" ref="T138">IFERROR(
INDEX(REPORTE_DROPI!B:B,
MATCH(
CLEAN(TRIM(C138)),
CLEAN(TRIM(REPORTE_DROPI!E:E)),
0
)
),
""
)
</f>
        <v>4091008</v>
      </c>
      <c r="U138" s="118">
        <v>6.403457876012E12</v>
      </c>
      <c r="V138" s="78"/>
      <c r="W138" s="78"/>
      <c r="X138" s="78"/>
      <c r="Y138" s="78"/>
      <c r="Z138" s="78"/>
    </row>
    <row r="139" ht="22.5" customHeight="1">
      <c r="A139" s="118">
        <v>138.0</v>
      </c>
      <c r="B139" s="119">
        <v>46032.0</v>
      </c>
      <c r="C139" s="118" t="s">
        <v>3940</v>
      </c>
      <c r="D139" s="118" t="str">
        <f>IFERROR(__xludf.DUMMYFUNCTION("IFERROR(
  INDEX(
    FILTER(
      'NOMBRE DE PRODUCTOS'!B:B,
      REGEXMATCH(
        UPPER(
          INDEX(
            REPORTE_DROPI!AC:AC,
            MATCH(T139, REPORTE_DROPI!B:B, 0)
          )
        ),
        UPPER('NOMBRE DE PRODUCTOS'!A:A)"&amp;"
      )
    ),
    1
  ),
  ""REVISAR""
)
"),"FilmPro®")</f>
        <v>FilmPro®</v>
      </c>
      <c r="E139" s="120">
        <f t="array" ref="E139">IF(
UPPER(TRIM(CLEAN($O139)))="ENTREGADO",
IFERROR(
INDEX(REPORTE_DROPI!Y:Y,
MATCH($T139, REPORTE_DROPI!B:B, 0)
),
""
),
""
)
</f>
        <v>8.37</v>
      </c>
      <c r="F139" s="121">
        <v>3.0</v>
      </c>
      <c r="G139" s="122">
        <f t="array" ref="G139">IF(
UPPER(TRIM(CLEAN($O139)))="ENTREGADO",
IFERROR(
INDEX(REPORTE_DROPI!R:R,
MATCH($T139, REPORTE_DROPI!B:B, 0)
),
""
),
""
)
</f>
        <v>30</v>
      </c>
      <c r="H139" s="118" t="s">
        <v>3727</v>
      </c>
      <c r="I139" s="118" t="s">
        <v>3772</v>
      </c>
      <c r="J139" s="121">
        <f t="array" ref="J139">IF(
UPPER(TRIM(CLEAN($O139)))="ENTREGADO",
IFERROR(
INDEX(REPORTE_DROPI!T:T,
MATCH($T139, REPORTE_DROPI!B:B, 0)
),
""
),
""
)
</f>
        <v>6.16</v>
      </c>
      <c r="K139" s="118">
        <f t="array" ref="K139">IFERROR(
INDEX(REPORTE_DROPI!S:S,
MATCH($T139, REPORTE_DROPI!B:B, 0)
),
""
)
</f>
        <v>15.47</v>
      </c>
      <c r="L139" s="118" t="str">
        <f>IF(
  O139&lt;&gt;"DEVOLUCION",
  "",
  IF(
    T139="",
    "",
    SUMIF(DEVOLUCION!F:F, T139, DEVOLUCION!D:D)
  )
)
</f>
        <v/>
      </c>
      <c r="M139" s="118" t="s">
        <v>3870</v>
      </c>
      <c r="N139" s="118" t="s">
        <v>3941</v>
      </c>
      <c r="O139" s="118" t="str">
        <f t="array" ref="O139">IFERROR(
VLOOKUP(
TRIM(CLEAN(
INDEX(REPORTE_DROPI!K:K,
MATCH(T139, REPORTE_DROPI!B:B, 0)
))),
{
TRIM(CLEAN(MAPA_ESTADOS!A:A)) ,
MAPA_ESTADOS!B:B
},
2,
FALSE
),
"REVISAR"
)
</f>
        <v>ENTREGADO</v>
      </c>
      <c r="P139" s="118"/>
      <c r="Q139" s="122">
        <f t="shared" si="1"/>
        <v>0</v>
      </c>
      <c r="R139" s="118"/>
      <c r="S139" s="118"/>
      <c r="T139" s="118">
        <f t="array" ref="T139">IFERROR(
INDEX(REPORTE_DROPI!B:B,
MATCH(
CLEAN(TRIM(C139)),
CLEAN(TRIM(REPORTE_DROPI!E:E)),
0
)
),
""
)
</f>
        <v>4091130</v>
      </c>
      <c r="U139" s="118">
        <v>6.403471441964E12</v>
      </c>
      <c r="V139" s="78"/>
      <c r="W139" s="78"/>
      <c r="X139" s="78"/>
      <c r="Y139" s="78"/>
      <c r="Z139" s="78"/>
    </row>
    <row r="140" ht="22.5" customHeight="1">
      <c r="A140" s="118">
        <v>139.0</v>
      </c>
      <c r="B140" s="119">
        <v>46032.0</v>
      </c>
      <c r="C140" s="118" t="s">
        <v>3942</v>
      </c>
      <c r="D140" s="118" t="str">
        <f>IFERROR(__xludf.DUMMYFUNCTION("IFERROR(
  INDEX(
    FILTER(
      'NOMBRE DE PRODUCTOS'!B:B,
      REGEXMATCH(
        UPPER(
          INDEX(
            REPORTE_DROPI!AC:AC,
            MATCH(T140, REPORTE_DROPI!B:B, 0)
          )
        ),
        UPPER('NOMBRE DE PRODUCTOS'!A:A)"&amp;"
      )
    ),
    1
  ),
  ""REVISAR""
)
"),"Cuchillo Tazaki™")</f>
        <v>Cuchillo Tazaki™</v>
      </c>
      <c r="E140" s="120">
        <f t="array" ref="E140">IF(
UPPER(TRIM(CLEAN($O140)))="ENTREGADO",
IFERROR(
INDEX(REPORTE_DROPI!Y:Y,
MATCH($T140, REPORTE_DROPI!B:B, 0)
),
""
),
""
)
</f>
        <v>10.4</v>
      </c>
      <c r="F140" s="121">
        <v>4.0</v>
      </c>
      <c r="G140" s="122">
        <f t="array" ref="G140">IF(
UPPER(TRIM(CLEAN($O140)))="ENTREGADO",
IFERROR(
INDEX(REPORTE_DROPI!R:R,
MATCH($T140, REPORTE_DROPI!B:B, 0)
),
""
),
""
)
</f>
        <v>32</v>
      </c>
      <c r="H140" s="118" t="s">
        <v>3727</v>
      </c>
      <c r="I140" s="118" t="s">
        <v>3740</v>
      </c>
      <c r="J140" s="121">
        <f t="array" ref="J140">IF(
UPPER(TRIM(CLEAN($O140)))="ENTREGADO",
IFERROR(
INDEX(REPORTE_DROPI!T:T,
MATCH($T140, REPORTE_DROPI!B:B, 0)
),
""
),
""
)
</f>
        <v>4.63</v>
      </c>
      <c r="K140" s="118">
        <f t="array" ref="K140">IFERROR(
INDEX(REPORTE_DROPI!S:S,
MATCH($T140, REPORTE_DROPI!B:B, 0)
),
""
)
</f>
        <v>16.97</v>
      </c>
      <c r="L140" s="118" t="str">
        <f>IF(
  O140&lt;&gt;"DEVOLUCION",
  "",
  IF(
    T140="",
    "",
    SUMIF(DEVOLUCION!F:F, T140, DEVOLUCION!D:D)
  )
)
</f>
        <v/>
      </c>
      <c r="M140" s="118" t="s">
        <v>3870</v>
      </c>
      <c r="N140" s="118" t="s">
        <v>3943</v>
      </c>
      <c r="O140" s="118" t="str">
        <f t="array" ref="O140">IFERROR(
VLOOKUP(
TRIM(CLEAN(
INDEX(REPORTE_DROPI!K:K,
MATCH(T140, REPORTE_DROPI!B:B, 0)
))),
{
TRIM(CLEAN(MAPA_ESTADOS!A:A)) ,
MAPA_ESTADOS!B:B
},
2,
FALSE
),
"REVISAR"
)
</f>
        <v>ENTREGADO</v>
      </c>
      <c r="P140" s="118"/>
      <c r="Q140" s="122">
        <f t="shared" si="1"/>
        <v>0</v>
      </c>
      <c r="R140" s="118"/>
      <c r="S140" s="118"/>
      <c r="T140" s="118">
        <f t="array" ref="T140">IFERROR(
INDEX(REPORTE_DROPI!B:B,
MATCH(
CLEAN(TRIM(C140)),
CLEAN(TRIM(REPORTE_DROPI!E:E)),
0
)
),
""
)
</f>
        <v>4091134</v>
      </c>
      <c r="U140" s="118">
        <v>6.403471638572E12</v>
      </c>
      <c r="V140" s="78"/>
      <c r="W140" s="78"/>
      <c r="X140" s="78"/>
      <c r="Y140" s="78"/>
      <c r="Z140" s="78"/>
    </row>
    <row r="141" ht="22.5" customHeight="1">
      <c r="A141" s="118">
        <v>140.0</v>
      </c>
      <c r="B141" s="119">
        <v>46032.0</v>
      </c>
      <c r="C141" s="118" t="s">
        <v>3944</v>
      </c>
      <c r="D141" s="118" t="str">
        <f>IFERROR(__xludf.DUMMYFUNCTION("IFERROR(
  INDEX(
    FILTER(
      'NOMBRE DE PRODUCTOS'!B:B,
      REGEXMATCH(
        UPPER(
          INDEX(
            REPORTE_DROPI!AC:AC,
            MATCH(T141, REPORTE_DROPI!B:B, 0)
          )
        ),
        UPPER('NOMBRE DE PRODUCTOS'!A:A)"&amp;"
      )
    ),
    1
  ),
  ""REVISAR""
)
"),"Cuchillo Tazaki™")</f>
        <v>Cuchillo Tazaki™</v>
      </c>
      <c r="E141" s="120">
        <f t="array" ref="E141">IF(
UPPER(TRIM(CLEAN($O141)))="ENTREGADO",
IFERROR(
INDEX(REPORTE_DROPI!Y:Y,
MATCH($T141, REPORTE_DROPI!B:B, 0)
),
""
),
""
)
</f>
        <v>7.8</v>
      </c>
      <c r="F141" s="121">
        <v>3.0</v>
      </c>
      <c r="G141" s="122">
        <f t="array" ref="G141">IF(
UPPER(TRIM(CLEAN($O141)))="ENTREGADO",
IFERROR(
INDEX(REPORTE_DROPI!R:R,
MATCH($T141, REPORTE_DROPI!B:B, 0)
),
""
),
""
)
</f>
        <v>27</v>
      </c>
      <c r="H141" s="118" t="s">
        <v>3727</v>
      </c>
      <c r="I141" s="118" t="s">
        <v>3778</v>
      </c>
      <c r="J141" s="121">
        <f t="array" ref="J141">IF(
UPPER(TRIM(CLEAN($O141)))="ENTREGADO",
IFERROR(
INDEX(REPORTE_DROPI!T:T,
MATCH($T141, REPORTE_DROPI!B:B, 0)
),
""
),
""
)
</f>
        <v>7.77</v>
      </c>
      <c r="K141" s="118">
        <f t="array" ref="K141">IFERROR(
INDEX(REPORTE_DROPI!S:S,
MATCH($T141, REPORTE_DROPI!B:B, 0)
),
""
)
</f>
        <v>11.43</v>
      </c>
      <c r="L141" s="118" t="str">
        <f>IF(
  O141&lt;&gt;"DEVOLUCION",
  "",
  IF(
    T141="",
    "",
    SUMIF(DEVOLUCION!F:F, T141, DEVOLUCION!D:D)
  )
)
</f>
        <v/>
      </c>
      <c r="M141" s="118" t="s">
        <v>3870</v>
      </c>
      <c r="N141" s="118" t="s">
        <v>3945</v>
      </c>
      <c r="O141" s="118" t="str">
        <f t="array" ref="O141">IFERROR(
VLOOKUP(
TRIM(CLEAN(
INDEX(REPORTE_DROPI!K:K,
MATCH(T141, REPORTE_DROPI!B:B, 0)
))),
{
TRIM(CLEAN(MAPA_ESTADOS!A:A)) ,
MAPA_ESTADOS!B:B
},
2,
FALSE
),
"REVISAR"
)
</f>
        <v>ENTREGADO</v>
      </c>
      <c r="P141" s="118"/>
      <c r="Q141" s="122">
        <f t="shared" si="1"/>
        <v>0</v>
      </c>
      <c r="R141" s="118"/>
      <c r="S141" s="118"/>
      <c r="T141" s="118">
        <f t="array" ref="T141">IFERROR(
INDEX(REPORTE_DROPI!B:B,
MATCH(
CLEAN(TRIM(C141)),
CLEAN(TRIM(REPORTE_DROPI!E:E)),
0
)
),
""
)
</f>
        <v>4091206</v>
      </c>
      <c r="U141" s="118">
        <v>6.403480617004E12</v>
      </c>
      <c r="V141" s="78"/>
      <c r="W141" s="78"/>
      <c r="X141" s="78"/>
      <c r="Y141" s="78"/>
      <c r="Z141" s="78"/>
    </row>
    <row r="142" ht="22.5" customHeight="1">
      <c r="A142" s="118">
        <v>141.0</v>
      </c>
      <c r="B142" s="119">
        <v>46032.0</v>
      </c>
      <c r="C142" s="118" t="s">
        <v>3946</v>
      </c>
      <c r="D142" s="118" t="str">
        <f>IFERROR(__xludf.DUMMYFUNCTION("IFERROR(
  INDEX(
    FILTER(
      'NOMBRE DE PRODUCTOS'!B:B,
      REGEXMATCH(
        UPPER(
          INDEX(
            REPORTE_DROPI!AC:AC,
            MATCH(T142, REPORTE_DROPI!B:B, 0)
          )
        ),
        UPPER('NOMBRE DE PRODUCTOS'!A:A)"&amp;"
      )
    ),
    1
  ),
  ""REVISAR""
)
"),"FilmPro®")</f>
        <v>FilmPro®</v>
      </c>
      <c r="E142" s="120">
        <f t="array" ref="E142">IF(
UPPER(TRIM(CLEAN($O142)))="ENTREGADO",
IFERROR(
INDEX(REPORTE_DROPI!Y:Y,
MATCH($T142, REPORTE_DROPI!B:B, 0)
),
""
),
""
)
</f>
        <v>5.58</v>
      </c>
      <c r="F142" s="121">
        <v>2.0</v>
      </c>
      <c r="G142" s="122">
        <f t="array" ref="G142">IF(
UPPER(TRIM(CLEAN($O142)))="ENTREGADO",
IFERROR(
INDEX(REPORTE_DROPI!R:R,
MATCH($T142, REPORTE_DROPI!B:B, 0)
),
""
),
""
)
</f>
        <v>25</v>
      </c>
      <c r="H142" s="118" t="s">
        <v>3727</v>
      </c>
      <c r="I142" s="118" t="s">
        <v>3731</v>
      </c>
      <c r="J142" s="121">
        <f t="array" ref="J142">IF(
UPPER(TRIM(CLEAN($O142)))="ENTREGADO",
IFERROR(
INDEX(REPORTE_DROPI!T:T,
MATCH($T142, REPORTE_DROPI!B:B, 0)
),
""
),
""
)
</f>
        <v>5.96</v>
      </c>
      <c r="K142" s="118">
        <f t="array" ref="K142">IFERROR(
INDEX(REPORTE_DROPI!S:S,
MATCH($T142, REPORTE_DROPI!B:B, 0)
),
""
)
</f>
        <v>13.46</v>
      </c>
      <c r="L142" s="118" t="str">
        <f>IF(
  O142&lt;&gt;"DEVOLUCION",
  "",
  IF(
    T142="",
    "",
    SUMIF(DEVOLUCION!F:F, T142, DEVOLUCION!D:D)
  )
)
</f>
        <v/>
      </c>
      <c r="M142" s="118" t="s">
        <v>3870</v>
      </c>
      <c r="N142" s="118" t="s">
        <v>3947</v>
      </c>
      <c r="O142" s="118" t="str">
        <f t="array" ref="O142">IFERROR(
VLOOKUP(
TRIM(CLEAN(
INDEX(REPORTE_DROPI!K:K,
MATCH(T142, REPORTE_DROPI!B:B, 0)
))),
{
TRIM(CLEAN(MAPA_ESTADOS!A:A)) ,
MAPA_ESTADOS!B:B
},
2,
FALSE
),
"REVISAR"
)
</f>
        <v>ENTREGADO</v>
      </c>
      <c r="P142" s="118"/>
      <c r="Q142" s="122">
        <f t="shared" si="1"/>
        <v>0</v>
      </c>
      <c r="R142" s="118"/>
      <c r="S142" s="118"/>
      <c r="T142" s="118">
        <f t="array" ref="T142">IFERROR(
INDEX(REPORTE_DROPI!B:B,
MATCH(
CLEAN(TRIM(C142)),
CLEAN(TRIM(REPORTE_DROPI!E:E)),
0
)
),
""
)
</f>
        <v>4091256</v>
      </c>
      <c r="U142" s="118">
        <v>6.40348428702E12</v>
      </c>
      <c r="V142" s="78"/>
      <c r="W142" s="78"/>
      <c r="X142" s="78"/>
      <c r="Y142" s="78"/>
      <c r="Z142" s="78"/>
    </row>
    <row r="143" ht="22.5" customHeight="1">
      <c r="A143" s="118">
        <v>142.0</v>
      </c>
      <c r="B143" s="119">
        <v>46032.0</v>
      </c>
      <c r="C143" s="118" t="s">
        <v>3948</v>
      </c>
      <c r="D143" s="118" t="str">
        <f>IFERROR(__xludf.DUMMYFUNCTION("IFERROR(
  INDEX(
    FILTER(
      'NOMBRE DE PRODUCTOS'!B:B,
      REGEXMATCH(
        UPPER(
          INDEX(
            REPORTE_DROPI!AC:AC,
            MATCH(T143, REPORTE_DROPI!B:B, 0)
          )
        ),
        UPPER('NOMBRE DE PRODUCTOS'!A:A)"&amp;"
      )
    ),
    1
  ),
  ""REVISAR""
)
"),"Cuchillo Tazaki™")</f>
        <v>Cuchillo Tazaki™</v>
      </c>
      <c r="E143" s="120">
        <f t="array" ref="E143">IF(
UPPER(TRIM(CLEAN($O143)))="ENTREGADO",
IFERROR(
INDEX(REPORTE_DROPI!Y:Y,
MATCH($T143, REPORTE_DROPI!B:B, 0)
),
""
),
""
)
</f>
        <v>5.2</v>
      </c>
      <c r="F143" s="121">
        <v>2.0</v>
      </c>
      <c r="G143" s="122">
        <f t="array" ref="G143">IF(
UPPER(TRIM(CLEAN($O143)))="ENTREGADO",
IFERROR(
INDEX(REPORTE_DROPI!R:R,
MATCH($T143, REPORTE_DROPI!B:B, 0)
),
""
),
""
)
</f>
        <v>22</v>
      </c>
      <c r="H143" s="118" t="s">
        <v>3727</v>
      </c>
      <c r="I143" s="118" t="s">
        <v>3740</v>
      </c>
      <c r="J143" s="121">
        <f t="array" ref="J143">IF(
UPPER(TRIM(CLEAN($O143)))="ENTREGADO",
IFERROR(
INDEX(REPORTE_DROPI!T:T,
MATCH($T143, REPORTE_DROPI!B:B, 0)
),
""
),
""
)
</f>
        <v>4.23</v>
      </c>
      <c r="K143" s="118">
        <f t="array" ref="K143">IFERROR(
INDEX(REPORTE_DROPI!S:S,
MATCH($T143, REPORTE_DROPI!B:B, 0)
),
""
)
</f>
        <v>12.57</v>
      </c>
      <c r="L143" s="118" t="str">
        <f>IF(
  O143&lt;&gt;"DEVOLUCION",
  "",
  IF(
    T143="",
    "",
    SUMIF(DEVOLUCION!F:F, T143, DEVOLUCION!D:D)
  )
)
</f>
        <v/>
      </c>
      <c r="M143" s="118" t="s">
        <v>3870</v>
      </c>
      <c r="N143" s="118" t="s">
        <v>3949</v>
      </c>
      <c r="O143" s="118" t="str">
        <f t="array" ref="O143">IFERROR(
VLOOKUP(
TRIM(CLEAN(
INDEX(REPORTE_DROPI!K:K,
MATCH(T143, REPORTE_DROPI!B:B, 0)
))),
{
TRIM(CLEAN(MAPA_ESTADOS!A:A)) ,
MAPA_ESTADOS!B:B
},
2,
FALSE
),
"REVISAR"
)
</f>
        <v>ENTREGADO</v>
      </c>
      <c r="P143" s="118"/>
      <c r="Q143" s="122">
        <f t="shared" si="1"/>
        <v>0</v>
      </c>
      <c r="R143" s="118"/>
      <c r="S143" s="118"/>
      <c r="T143" s="118">
        <f t="array" ref="T143">IFERROR(
INDEX(REPORTE_DROPI!B:B,
MATCH(
CLEAN(TRIM(C143)),
CLEAN(TRIM(REPORTE_DROPI!E:E)),
0
)
),
""
)
</f>
        <v>4091264</v>
      </c>
      <c r="U143" s="118">
        <v>6.40348494238E12</v>
      </c>
      <c r="V143" s="78"/>
      <c r="W143" s="78"/>
      <c r="X143" s="78"/>
      <c r="Y143" s="78"/>
      <c r="Z143" s="78"/>
    </row>
    <row r="144" ht="22.5" customHeight="1">
      <c r="A144" s="118">
        <v>143.0</v>
      </c>
      <c r="B144" s="119">
        <v>46032.0</v>
      </c>
      <c r="C144" s="118" t="s">
        <v>3950</v>
      </c>
      <c r="D144" s="118" t="str">
        <f>IFERROR(__xludf.DUMMYFUNCTION("IFERROR(
  INDEX(
    FILTER(
      'NOMBRE DE PRODUCTOS'!B:B,
      REGEXMATCH(
        UPPER(
          INDEX(
            REPORTE_DROPI!AC:AC,
            MATCH(T144, REPORTE_DROPI!B:B, 0)
          )
        ),
        UPPER('NOMBRE DE PRODUCTOS'!A:A)"&amp;"
      )
    ),
    1
  ),
  ""REVISAR""
)
"),"Cuchillo Tazaki™")</f>
        <v>Cuchillo Tazaki™</v>
      </c>
      <c r="E144" s="120">
        <f t="array" ref="E144">IF(
UPPER(TRIM(CLEAN($O144)))="ENTREGADO",
IFERROR(
INDEX(REPORTE_DROPI!Y:Y,
MATCH($T144, REPORTE_DROPI!B:B, 0)
),
""
),
""
)
</f>
        <v>5.2</v>
      </c>
      <c r="F144" s="121">
        <v>2.0</v>
      </c>
      <c r="G144" s="122">
        <f t="array" ref="G144">IF(
UPPER(TRIM(CLEAN($O144)))="ENTREGADO",
IFERROR(
INDEX(REPORTE_DROPI!R:R,
MATCH($T144, REPORTE_DROPI!B:B, 0)
),
""
),
""
)
</f>
        <v>22</v>
      </c>
      <c r="H144" s="118" t="s">
        <v>3727</v>
      </c>
      <c r="I144" s="118" t="s">
        <v>3951</v>
      </c>
      <c r="J144" s="121">
        <f t="array" ref="J144">IF(
UPPER(TRIM(CLEAN($O144)))="ENTREGADO",
IFERROR(
INDEX(REPORTE_DROPI!T:T,
MATCH($T144, REPORTE_DROPI!B:B, 0)
),
""
),
""
)
</f>
        <v>5.84</v>
      </c>
      <c r="K144" s="118">
        <f t="array" ref="K144">IFERROR(
INDEX(REPORTE_DROPI!S:S,
MATCH($T144, REPORTE_DROPI!B:B, 0)
),
""
)
</f>
        <v>10.96</v>
      </c>
      <c r="L144" s="118" t="str">
        <f>IF(
  O144&lt;&gt;"DEVOLUCION",
  "",
  IF(
    T144="",
    "",
    SUMIF(DEVOLUCION!F:F, T144, DEVOLUCION!D:D)
  )
)
</f>
        <v/>
      </c>
      <c r="M144" s="118"/>
      <c r="N144" s="118" t="s">
        <v>3952</v>
      </c>
      <c r="O144" s="118" t="str">
        <f t="array" ref="O144">IFERROR(
VLOOKUP(
TRIM(CLEAN(
INDEX(REPORTE_DROPI!K:K,
MATCH(T144, REPORTE_DROPI!B:B, 0)
))),
{
TRIM(CLEAN(MAPA_ESTADOS!A:A)) ,
MAPA_ESTADOS!B:B
},
2,
FALSE
),
"REVISAR"
)
</f>
        <v>ENTREGADO</v>
      </c>
      <c r="P144" s="118"/>
      <c r="Q144" s="122">
        <f t="shared" si="1"/>
        <v>0</v>
      </c>
      <c r="R144" s="118"/>
      <c r="S144" s="118"/>
      <c r="T144" s="118">
        <f t="array" ref="T144">IFERROR(
INDEX(REPORTE_DROPI!B:B,
MATCH(
CLEAN(TRIM(C144)),
CLEAN(TRIM(REPORTE_DROPI!E:E)),
0
)
),
""
)
</f>
        <v>4141346</v>
      </c>
      <c r="U144" s="118">
        <v>6.403504308268E12</v>
      </c>
      <c r="V144" s="78"/>
      <c r="W144" s="78"/>
      <c r="X144" s="78"/>
      <c r="Y144" s="78"/>
      <c r="Z144" s="78"/>
    </row>
    <row r="145" ht="22.5" customHeight="1">
      <c r="A145" s="118">
        <v>144.0</v>
      </c>
      <c r="B145" s="119">
        <v>46032.0</v>
      </c>
      <c r="C145" s="118" t="s">
        <v>3953</v>
      </c>
      <c r="D145" s="118" t="str">
        <f>IFERROR(__xludf.DUMMYFUNCTION("IFERROR(
  INDEX(
    FILTER(
      'NOMBRE DE PRODUCTOS'!B:B,
      REGEXMATCH(
        UPPER(
          INDEX(
            REPORTE_DROPI!AC:AC,
            MATCH(T145, REPORTE_DROPI!B:B, 0)
          )
        ),
        UPPER('NOMBRE DE PRODUCTOS'!A:A)"&amp;"
      )
    ),
    1
  ),
  ""REVISAR""
)
"),"FilmPro®")</f>
        <v>FilmPro®</v>
      </c>
      <c r="E145" s="120">
        <f t="array" ref="E145">IF(
UPPER(TRIM(CLEAN($O145)))="ENTREGADO",
IFERROR(
INDEX(REPORTE_DROPI!Y:Y,
MATCH($T145, REPORTE_DROPI!B:B, 0)
),
""
),
""
)
</f>
        <v>5.58</v>
      </c>
      <c r="F145" s="121">
        <v>2.0</v>
      </c>
      <c r="G145" s="122">
        <f t="array" ref="G145">IF(
UPPER(TRIM(CLEAN($O145)))="ENTREGADO",
IFERROR(
INDEX(REPORTE_DROPI!R:R,
MATCH($T145, REPORTE_DROPI!B:B, 0)
),
""
),
""
)
</f>
        <v>25</v>
      </c>
      <c r="H145" s="118" t="s">
        <v>3727</v>
      </c>
      <c r="I145" s="118" t="s">
        <v>3855</v>
      </c>
      <c r="J145" s="121">
        <f t="array" ref="J145">IF(
UPPER(TRIM(CLEAN($O145)))="ENTREGADO",
IFERROR(
INDEX(REPORTE_DROPI!T:T,
MATCH($T145, REPORTE_DROPI!B:B, 0)
),
""
),
""
)
</f>
        <v>5.96</v>
      </c>
      <c r="K145" s="118">
        <f t="array" ref="K145">IFERROR(
INDEX(REPORTE_DROPI!S:S,
MATCH($T145, REPORTE_DROPI!B:B, 0)
),
""
)
</f>
        <v>13.46</v>
      </c>
      <c r="L145" s="118" t="str">
        <f>IF(
  O145&lt;&gt;"DEVOLUCION",
  "",
  IF(
    T145="",
    "",
    SUMIF(DEVOLUCION!F:F, T145, DEVOLUCION!D:D)
  )
)
</f>
        <v/>
      </c>
      <c r="M145" s="118"/>
      <c r="N145" s="118" t="s">
        <v>3954</v>
      </c>
      <c r="O145" s="118" t="str">
        <f t="array" ref="O145">IFERROR(
VLOOKUP(
TRIM(CLEAN(
INDEX(REPORTE_DROPI!K:K,
MATCH(T145, REPORTE_DROPI!B:B, 0)
))),
{
TRIM(CLEAN(MAPA_ESTADOS!A:A)) ,
MAPA_ESTADOS!B:B
},
2,
FALSE
),
"REVISAR"
)
</f>
        <v>ENTREGADO</v>
      </c>
      <c r="P145" s="118" t="s">
        <v>3955</v>
      </c>
      <c r="Q145" s="122">
        <f t="shared" si="1"/>
        <v>0</v>
      </c>
      <c r="R145" s="118"/>
      <c r="S145" s="118"/>
      <c r="T145" s="118">
        <f t="array" ref="T145">IFERROR(
INDEX(REPORTE_DROPI!B:B,
MATCH(
CLEAN(TRIM(C145)),
CLEAN(TRIM(REPORTE_DROPI!E:E)),
0
)
),
""
)
</f>
        <v>4091448</v>
      </c>
      <c r="U145" s="118">
        <v>6.403511124012E12</v>
      </c>
      <c r="V145" s="78"/>
      <c r="W145" s="78"/>
      <c r="X145" s="78"/>
      <c r="Y145" s="78"/>
      <c r="Z145" s="78"/>
    </row>
    <row r="146" ht="22.5" customHeight="1">
      <c r="A146" s="118">
        <v>145.0</v>
      </c>
      <c r="B146" s="119">
        <v>46032.0</v>
      </c>
      <c r="C146" s="118" t="s">
        <v>3956</v>
      </c>
      <c r="D146" s="118" t="str">
        <f>IFERROR(__xludf.DUMMYFUNCTION("IFERROR(
  INDEX(
    FILTER(
      'NOMBRE DE PRODUCTOS'!B:B,
      REGEXMATCH(
        UPPER(
          INDEX(
            REPORTE_DROPI!AC:AC,
            MATCH(T146, REPORTE_DROPI!B:B, 0)
          )
        ),
        UPPER('NOMBRE DE PRODUCTOS'!A:A)"&amp;"
      )
    ),
    1
  ),
  ""REVISAR""
)
"),"Cuchillo Tazaki™")</f>
        <v>Cuchillo Tazaki™</v>
      </c>
      <c r="E146" s="120">
        <f t="array" ref="E146">IF(
UPPER(TRIM(CLEAN($O146)))="ENTREGADO",
IFERROR(
INDEX(REPORTE_DROPI!Y:Y,
MATCH($T146, REPORTE_DROPI!B:B, 0)
),
""
),
""
)
</f>
        <v>7.8</v>
      </c>
      <c r="F146" s="121">
        <v>3.0</v>
      </c>
      <c r="G146" s="122">
        <f t="array" ref="G146">IF(
UPPER(TRIM(CLEAN($O146)))="ENTREGADO",
IFERROR(
INDEX(REPORTE_DROPI!R:R,
MATCH($T146, REPORTE_DROPI!B:B, 0)
),
""
),
""
)
</f>
        <v>27</v>
      </c>
      <c r="H146" s="118" t="s">
        <v>3727</v>
      </c>
      <c r="I146" s="118" t="s">
        <v>3864</v>
      </c>
      <c r="J146" s="121">
        <f t="array" ref="J146">IF(
UPPER(TRIM(CLEAN($O146)))="ENTREGADO",
IFERROR(
INDEX(REPORTE_DROPI!T:T,
MATCH($T146, REPORTE_DROPI!B:B, 0)
),
""
),
""
)
</f>
        <v>6.03</v>
      </c>
      <c r="K146" s="118">
        <f t="array" ref="K146">IFERROR(
INDEX(REPORTE_DROPI!S:S,
MATCH($T146, REPORTE_DROPI!B:B, 0)
),
""
)
</f>
        <v>13.17</v>
      </c>
      <c r="L146" s="118" t="str">
        <f>IF(
  O146&lt;&gt;"DEVOLUCION",
  "",
  IF(
    T146="",
    "",
    SUMIF(DEVOLUCION!F:F, T146, DEVOLUCION!D:D)
  )
)
</f>
        <v/>
      </c>
      <c r="M146" s="118" t="s">
        <v>3870</v>
      </c>
      <c r="N146" s="118" t="s">
        <v>3957</v>
      </c>
      <c r="O146" s="118" t="str">
        <f t="array" ref="O146">IFERROR(
VLOOKUP(
TRIM(CLEAN(
INDEX(REPORTE_DROPI!K:K,
MATCH(T146, REPORTE_DROPI!B:B, 0)
))),
{
TRIM(CLEAN(MAPA_ESTADOS!A:A)) ,
MAPA_ESTADOS!B:B
},
2,
FALSE
),
"REVISAR"
)
</f>
        <v>ENTREGADO</v>
      </c>
      <c r="P146" s="118"/>
      <c r="Q146" s="122">
        <f t="shared" si="1"/>
        <v>0</v>
      </c>
      <c r="R146" s="118"/>
      <c r="S146" s="118"/>
      <c r="T146" s="118">
        <f t="array" ref="T146">IFERROR(
INDEX(REPORTE_DROPI!B:B,
MATCH(
CLEAN(TRIM(C146)),
CLEAN(TRIM(REPORTE_DROPI!E:E)),
0
)
),
""
)
</f>
        <v>4091574</v>
      </c>
      <c r="U146" s="118">
        <v>6.403529080876E12</v>
      </c>
      <c r="V146" s="78"/>
      <c r="W146" s="78"/>
      <c r="X146" s="78"/>
      <c r="Y146" s="78"/>
      <c r="Z146" s="78"/>
    </row>
    <row r="147" ht="22.5" customHeight="1">
      <c r="A147" s="118">
        <v>146.0</v>
      </c>
      <c r="B147" s="119">
        <v>46032.0</v>
      </c>
      <c r="C147" s="118" t="s">
        <v>3958</v>
      </c>
      <c r="D147" s="118" t="str">
        <f>IFERROR(__xludf.DUMMYFUNCTION("IFERROR(
  INDEX(
    FILTER(
      'NOMBRE DE PRODUCTOS'!B:B,
      REGEXMATCH(
        UPPER(
          INDEX(
            REPORTE_DROPI!AC:AC,
            MATCH(T147, REPORTE_DROPI!B:B, 0)
          )
        ),
        UPPER('NOMBRE DE PRODUCTOS'!A:A)"&amp;"
      )
    ),
    1
  ),
  ""REVISAR""
)
"),"FilmPro®")</f>
        <v>FilmPro®</v>
      </c>
      <c r="E147" s="120" t="str">
        <f t="array" ref="E147">IF(
UPPER(TRIM(CLEAN($O147)))="ENTREGADO",
IFERROR(
INDEX(REPORTE_DROPI!Y:Y,
MATCH($T147, REPORTE_DROPI!B:B, 0)
),
""
),
""
)
</f>
        <v/>
      </c>
      <c r="F147" s="121">
        <v>3.0</v>
      </c>
      <c r="G147" s="122" t="str">
        <f t="array" ref="G147">IF(
UPPER(TRIM(CLEAN($O147)))="ENTREGADO",
IFERROR(
INDEX(REPORTE_DROPI!R:R,
MATCH($T147, REPORTE_DROPI!B:B, 0)
),
""
),
""
)
</f>
        <v/>
      </c>
      <c r="H147" s="118" t="s">
        <v>3727</v>
      </c>
      <c r="I147" s="118" t="s">
        <v>3731</v>
      </c>
      <c r="J147" s="121" t="str">
        <f t="array" ref="J147">IF(
UPPER(TRIM(CLEAN($O147)))="ENTREGADO",
IFERROR(
INDEX(REPORTE_DROPI!T:T,
MATCH($T147, REPORTE_DROPI!B:B, 0)
),
""
),
""
)
</f>
        <v/>
      </c>
      <c r="K147" s="118" t="str">
        <f t="array" ref="K147">IFERROR(
INDEX(REPORTE_DROPI!S:S,
MATCH($T147, REPORTE_DROPI!B:B, 0)
),
""
)
</f>
        <v/>
      </c>
      <c r="L147" s="118" t="str">
        <f>IF(
  O147&lt;&gt;"DEVOLUCION",
  "",
  IF(
    T147="",
    "",
    SUMIF(DEVOLUCION!F:F, T147, DEVOLUCION!D:D)
  )
)
</f>
        <v/>
      </c>
      <c r="M147" s="118"/>
      <c r="N147" s="118" t="s">
        <v>3959</v>
      </c>
      <c r="O147" s="118" t="str">
        <f t="array" ref="O147">IFERROR(
VLOOKUP(
TRIM(CLEAN(
INDEX(REPORTE_DROPI!K:K,
MATCH(T147, REPORTE_DROPI!B:B, 0)
))),
{
TRIM(CLEAN(MAPA_ESTADOS!A:A)) ,
MAPA_ESTADOS!B:B
},
2,
FALSE
),
"REVISAR"
)
</f>
        <v>CANCELADO</v>
      </c>
      <c r="P147" s="118" t="s">
        <v>3960</v>
      </c>
      <c r="Q147" s="122">
        <f t="shared" si="1"/>
        <v>0</v>
      </c>
      <c r="R147" s="118"/>
      <c r="S147" s="118"/>
      <c r="T147" s="118">
        <f t="array" ref="T147">IFERROR(
INDEX(REPORTE_DROPI!B:B,
MATCH(
CLEAN(TRIM(C147)),
CLEAN(TRIM(REPORTE_DROPI!E:E)),
0
)
),
""
)
</f>
        <v>4121858</v>
      </c>
      <c r="U147" s="118">
        <v>6.40353327518E12</v>
      </c>
      <c r="V147" s="78"/>
      <c r="W147" s="78"/>
      <c r="X147" s="78"/>
      <c r="Y147" s="78"/>
      <c r="Z147" s="78"/>
    </row>
    <row r="148" ht="22.5" customHeight="1">
      <c r="A148" s="118">
        <v>147.0</v>
      </c>
      <c r="B148" s="119">
        <v>46032.0</v>
      </c>
      <c r="C148" s="118" t="s">
        <v>3961</v>
      </c>
      <c r="D148" s="118" t="str">
        <f>IFERROR(__xludf.DUMMYFUNCTION("IFERROR(
  INDEX(
    FILTER(
      'NOMBRE DE PRODUCTOS'!B:B,
      REGEXMATCH(
        UPPER(
          INDEX(
            REPORTE_DROPI!AC:AC,
            MATCH(T148, REPORTE_DROPI!B:B, 0)
          )
        ),
        UPPER('NOMBRE DE PRODUCTOS'!A:A)"&amp;"
      )
    ),
    1
  ),
  ""REVISAR""
)
"),"FilmPro®")</f>
        <v>FilmPro®</v>
      </c>
      <c r="E148" s="120">
        <f t="array" ref="E148">IF(
UPPER(TRIM(CLEAN($O148)))="ENTREGADO",
IFERROR(
INDEX(REPORTE_DROPI!Y:Y,
MATCH($T148, REPORTE_DROPI!B:B, 0)
),
""
),
""
)
</f>
        <v>2.79</v>
      </c>
      <c r="F148" s="121">
        <v>1.0</v>
      </c>
      <c r="G148" s="122">
        <f t="array" ref="G148">IF(
UPPER(TRIM(CLEAN($O148)))="ENTREGADO",
IFERROR(
INDEX(REPORTE_DROPI!R:R,
MATCH($T148, REPORTE_DROPI!B:B, 0)
),
""
),
""
)
</f>
        <v>20</v>
      </c>
      <c r="H148" s="118" t="s">
        <v>3727</v>
      </c>
      <c r="I148" s="118" t="s">
        <v>3962</v>
      </c>
      <c r="J148" s="121">
        <f t="array" ref="J148">IF(
UPPER(TRIM(CLEAN($O148)))="ENTREGADO",
IFERROR(
INDEX(REPORTE_DROPI!T:T,
MATCH($T148, REPORTE_DROPI!B:B, 0)
),
""
),
""
)
</f>
        <v>5.76</v>
      </c>
      <c r="K148" s="118">
        <f t="array" ref="K148">IFERROR(
INDEX(REPORTE_DROPI!S:S,
MATCH($T148, REPORTE_DROPI!B:B, 0)
),
""
)
</f>
        <v>11.45</v>
      </c>
      <c r="L148" s="118" t="str">
        <f>IF(
  O148&lt;&gt;"DEVOLUCION",
  "",
  IF(
    T148="",
    "",
    SUMIF(DEVOLUCION!F:F, T148, DEVOLUCION!D:D)
  )
)
</f>
        <v/>
      </c>
      <c r="M148" s="118" t="s">
        <v>3870</v>
      </c>
      <c r="N148" s="118" t="s">
        <v>3963</v>
      </c>
      <c r="O148" s="118" t="str">
        <f t="array" ref="O148">IFERROR(
VLOOKUP(
TRIM(CLEAN(
INDEX(REPORTE_DROPI!K:K,
MATCH(T148, REPORTE_DROPI!B:B, 0)
))),
{
TRIM(CLEAN(MAPA_ESTADOS!A:A)) ,
MAPA_ESTADOS!B:B
},
2,
FALSE
),
"REVISAR"
)
</f>
        <v>ENTREGADO</v>
      </c>
      <c r="P148" s="118"/>
      <c r="Q148" s="122">
        <f t="shared" si="1"/>
        <v>0</v>
      </c>
      <c r="R148" s="118"/>
      <c r="S148" s="118"/>
      <c r="T148" s="118">
        <f t="array" ref="T148">IFERROR(
INDEX(REPORTE_DROPI!B:B,
MATCH(
CLEAN(TRIM(C148)),
CLEAN(TRIM(REPORTE_DROPI!E:E)),
0
)
),
""
)
</f>
        <v>4091651</v>
      </c>
      <c r="U148" s="118">
        <v>6.403539468332E12</v>
      </c>
      <c r="V148" s="78"/>
      <c r="W148" s="78"/>
      <c r="X148" s="78"/>
      <c r="Y148" s="78"/>
      <c r="Z148" s="78"/>
    </row>
    <row r="149" ht="22.5" customHeight="1">
      <c r="A149" s="118">
        <v>148.0</v>
      </c>
      <c r="B149" s="119">
        <v>46032.0</v>
      </c>
      <c r="C149" s="118" t="s">
        <v>3964</v>
      </c>
      <c r="D149" s="118" t="str">
        <f>IFERROR(__xludf.DUMMYFUNCTION("IFERROR(
  INDEX(
    FILTER(
      'NOMBRE DE PRODUCTOS'!B:B,
      REGEXMATCH(
        UPPER(
          INDEX(
            REPORTE_DROPI!AC:AC,
            MATCH(T149, REPORTE_DROPI!B:B, 0)
          )
        ),
        UPPER('NOMBRE DE PRODUCTOS'!A:A)"&amp;"
      )
    ),
    1
  ),
  ""REVISAR""
)
"),"Cuchillo Tazaki™")</f>
        <v>Cuchillo Tazaki™</v>
      </c>
      <c r="E149" s="120">
        <f t="array" ref="E149">IF(
UPPER(TRIM(CLEAN($O149)))="ENTREGADO",
IFERROR(
INDEX(REPORTE_DROPI!Y:Y,
MATCH($T149, REPORTE_DROPI!B:B, 0)
),
""
),
""
)
</f>
        <v>10.4</v>
      </c>
      <c r="F149" s="121">
        <v>4.0</v>
      </c>
      <c r="G149" s="122">
        <f t="array" ref="G149">IF(
UPPER(TRIM(CLEAN($O149)))="ENTREGADO",
IFERROR(
INDEX(REPORTE_DROPI!R:R,
MATCH($T149, REPORTE_DROPI!B:B, 0)
),
""
),
""
)
</f>
        <v>32</v>
      </c>
      <c r="H149" s="118" t="s">
        <v>3727</v>
      </c>
      <c r="I149" s="118" t="s">
        <v>3759</v>
      </c>
      <c r="J149" s="121">
        <f t="array" ref="J149">IF(
UPPER(TRIM(CLEAN($O149)))="ENTREGADO",
IFERROR(
INDEX(REPORTE_DROPI!T:T,
MATCH($T149, REPORTE_DROPI!B:B, 0)
),
""
),
""
)
</f>
        <v>6.24</v>
      </c>
      <c r="K149" s="118">
        <f t="array" ref="K149">IFERROR(
INDEX(REPORTE_DROPI!S:S,
MATCH($T149, REPORTE_DROPI!B:B, 0)
),
""
)
</f>
        <v>15.36</v>
      </c>
      <c r="L149" s="118" t="str">
        <f>IF(
  O149&lt;&gt;"DEVOLUCION",
  "",
  IF(
    T149="",
    "",
    SUMIF(DEVOLUCION!F:F, T149, DEVOLUCION!D:D)
  )
)
</f>
        <v/>
      </c>
      <c r="M149" s="118" t="s">
        <v>3870</v>
      </c>
      <c r="N149" s="118" t="s">
        <v>3965</v>
      </c>
      <c r="O149" s="118" t="str">
        <f t="array" ref="O149">IFERROR(
VLOOKUP(
TRIM(CLEAN(
INDEX(REPORTE_DROPI!K:K,
MATCH(T149, REPORTE_DROPI!B:B, 0)
))),
{
TRIM(CLEAN(MAPA_ESTADOS!A:A)) ,
MAPA_ESTADOS!B:B
},
2,
FALSE
),
"REVISAR"
)
</f>
        <v>ENTREGADO</v>
      </c>
      <c r="P149" s="118"/>
      <c r="Q149" s="122">
        <f t="shared" si="1"/>
        <v>0</v>
      </c>
      <c r="R149" s="118"/>
      <c r="S149" s="118"/>
      <c r="T149" s="118">
        <f t="array" ref="T149">IFERROR(
INDEX(REPORTE_DROPI!B:B,
MATCH(
CLEAN(TRIM(C149)),
CLEAN(TRIM(REPORTE_DROPI!E:E)),
0
)
),
""
)
</f>
        <v>4091664</v>
      </c>
      <c r="U149" s="118">
        <v>6.403541237804E12</v>
      </c>
      <c r="V149" s="78"/>
      <c r="W149" s="78"/>
      <c r="X149" s="78"/>
      <c r="Y149" s="78"/>
      <c r="Z149" s="78"/>
    </row>
    <row r="150" ht="22.5" customHeight="1">
      <c r="A150" s="118">
        <v>149.0</v>
      </c>
      <c r="B150" s="119">
        <v>46032.0</v>
      </c>
      <c r="C150" s="126" t="s">
        <v>3966</v>
      </c>
      <c r="D150" s="118" t="str">
        <f>IFERROR(__xludf.DUMMYFUNCTION("IFERROR(
  INDEX(
    FILTER(
      'NOMBRE DE PRODUCTOS'!B:B,
      REGEXMATCH(
        UPPER(
          INDEX(
            REPORTE_DROPI!AC:AC,
            MATCH(T150, REPORTE_DROPI!B:B, 0)
          )
        ),
        UPPER('NOMBRE DE PRODUCTOS'!A:A)"&amp;"
      )
    ),
    1
  ),
  ""REVISAR""
)
"),"Cuchillo Tazaki™")</f>
        <v>Cuchillo Tazaki™</v>
      </c>
      <c r="E150" s="120" t="str">
        <f t="array" ref="E150">IF(
UPPER(TRIM(CLEAN($O150)))="ENTREGADO",
IFERROR(
INDEX(REPORTE_DROPI!Y:Y,
MATCH($T150, REPORTE_DROPI!B:B, 0)
),
""
),
""
)
</f>
        <v/>
      </c>
      <c r="F150" s="121">
        <v>2.0</v>
      </c>
      <c r="G150" s="122" t="str">
        <f t="array" ref="G150">IF(
UPPER(TRIM(CLEAN($O150)))="ENTREGADO",
IFERROR(
INDEX(REPORTE_DROPI!R:R,
MATCH($T150, REPORTE_DROPI!B:B, 0)
),
""
),
""
)
</f>
        <v/>
      </c>
      <c r="H150" s="118" t="s">
        <v>3727</v>
      </c>
      <c r="I150" s="118" t="s">
        <v>3731</v>
      </c>
      <c r="J150" s="121" t="str">
        <f t="array" ref="J150">IF(
UPPER(TRIM(CLEAN($O150)))="ENTREGADO",
IFERROR(
INDEX(REPORTE_DROPI!T:T,
MATCH($T150, REPORTE_DROPI!B:B, 0)
),
""
),
""
)
</f>
        <v/>
      </c>
      <c r="K150" s="118" t="str">
        <f t="array" ref="K150">IFERROR(
INDEX(REPORTE_DROPI!S:S,
MATCH($T150, REPORTE_DROPI!B:B, 0)
),
""
)
</f>
        <v/>
      </c>
      <c r="L150" s="118">
        <f>IF(
  O150&lt;&gt;"DEVOLUCION",
  "",
  IF(
    T150="",
    "",
    SUMIF(DEVOLUCION!F:F, T150, DEVOLUCION!D:D)
  )
)
</f>
        <v>5.07</v>
      </c>
      <c r="M150" s="118" t="s">
        <v>3870</v>
      </c>
      <c r="N150" s="118" t="s">
        <v>3967</v>
      </c>
      <c r="O150" s="118" t="str">
        <f t="array" ref="O150">IFERROR(
VLOOKUP(
TRIM(CLEAN(
INDEX(REPORTE_DROPI!K:K,
MATCH(T150, REPORTE_DROPI!B:B, 0)
))),
{
TRIM(CLEAN(MAPA_ESTADOS!A:A)) ,
MAPA_ESTADOS!B:B
},
2,
FALSE
),
"REVISAR"
)
</f>
        <v>DEVOLUCION</v>
      </c>
      <c r="P150" s="118"/>
      <c r="Q150" s="122">
        <f t="shared" si="1"/>
        <v>0</v>
      </c>
      <c r="R150" s="118"/>
      <c r="S150" s="118"/>
      <c r="T150" s="118">
        <f t="array" ref="T150">IFERROR(
INDEX(REPORTE_DROPI!B:B,
MATCH(
CLEAN(TRIM(C150)),
CLEAN(TRIM(REPORTE_DROPI!E:E)),
0
)
),
""
)
</f>
        <v>4091671</v>
      </c>
      <c r="U150" s="118">
        <v>6.403541827628E12</v>
      </c>
      <c r="V150" s="78"/>
      <c r="W150" s="78"/>
      <c r="X150" s="78"/>
      <c r="Y150" s="78"/>
      <c r="Z150" s="78"/>
    </row>
    <row r="151" ht="22.5" customHeight="1">
      <c r="A151" s="118">
        <v>150.0</v>
      </c>
      <c r="B151" s="119">
        <v>46032.0</v>
      </c>
      <c r="C151" s="118" t="s">
        <v>3968</v>
      </c>
      <c r="D151" s="118" t="str">
        <f>IFERROR(__xludf.DUMMYFUNCTION("IFERROR(
  INDEX(
    FILTER(
      'NOMBRE DE PRODUCTOS'!B:B,
      REGEXMATCH(
        UPPER(
          INDEX(
            REPORTE_DROPI!AC:AC,
            MATCH(T151, REPORTE_DROPI!B:B, 0)
          )
        ),
        UPPER('NOMBRE DE PRODUCTOS'!A:A)"&amp;"
      )
    ),
    1
  ),
  ""REVISAR""
)
"),"Cuchillo Tazaki™")</f>
        <v>Cuchillo Tazaki™</v>
      </c>
      <c r="E151" s="120" t="str">
        <f t="array" ref="E151">IF(
UPPER(TRIM(CLEAN($O151)))="ENTREGADO",
IFERROR(
INDEX(REPORTE_DROPI!Y:Y,
MATCH($T151, REPORTE_DROPI!B:B, 0)
),
""
),
""
)
</f>
        <v/>
      </c>
      <c r="F151" s="121">
        <v>3.0</v>
      </c>
      <c r="G151" s="122" t="str">
        <f t="array" ref="G151">IF(
UPPER(TRIM(CLEAN($O151)))="ENTREGADO",
IFERROR(
INDEX(REPORTE_DROPI!R:R,
MATCH($T151, REPORTE_DROPI!B:B, 0)
),
""
),
""
)
</f>
        <v/>
      </c>
      <c r="H151" s="118" t="s">
        <v>3727</v>
      </c>
      <c r="I151" s="118" t="s">
        <v>3969</v>
      </c>
      <c r="J151" s="121" t="str">
        <f t="array" ref="J151">IF(
UPPER(TRIM(CLEAN($O151)))="ENTREGADO",
IFERROR(
INDEX(REPORTE_DROPI!T:T,
MATCH($T151, REPORTE_DROPI!B:B, 0)
),
""
),
""
)
</f>
        <v/>
      </c>
      <c r="K151" s="118" t="str">
        <f t="array" ref="K151">IFERROR(
INDEX(REPORTE_DROPI!S:S,
MATCH($T151, REPORTE_DROPI!B:B, 0)
),
""
)
</f>
        <v/>
      </c>
      <c r="L151" s="118" t="str">
        <f>IF(
  O151&lt;&gt;"DEVOLUCION",
  "",
  IF(
    T151="",
    "",
    SUMIF(DEVOLUCION!F:F, T151, DEVOLUCION!D:D)
  )
)
</f>
        <v/>
      </c>
      <c r="M151" s="118" t="s">
        <v>3870</v>
      </c>
      <c r="N151" s="118" t="s">
        <v>3970</v>
      </c>
      <c r="O151" s="118" t="str">
        <f t="array" ref="O151">IFERROR(
VLOOKUP(
TRIM(CLEAN(
INDEX(REPORTE_DROPI!K:K,
MATCH(T151, REPORTE_DROPI!B:B, 0)
))),
{
TRIM(CLEAN(MAPA_ESTADOS!A:A)) ,
MAPA_ESTADOS!B:B
},
2,
FALSE
),
"REVISAR"
)
</f>
        <v>CANCELADO</v>
      </c>
      <c r="P151" s="118" t="s">
        <v>3971</v>
      </c>
      <c r="Q151" s="122">
        <f t="shared" si="1"/>
        <v>0</v>
      </c>
      <c r="R151" s="118"/>
      <c r="S151" s="118"/>
      <c r="T151" s="118">
        <f t="array" ref="T151">IFERROR(
INDEX(REPORTE_DROPI!B:B,
MATCH(
CLEAN(TRIM(C151)),
CLEAN(TRIM(REPORTE_DROPI!E:E)),
0
)
),
""
)
</f>
        <v>4121988</v>
      </c>
      <c r="U151" s="118">
        <v>6.403543990316E12</v>
      </c>
      <c r="V151" s="78"/>
      <c r="W151" s="78"/>
      <c r="X151" s="78"/>
      <c r="Y151" s="78"/>
      <c r="Z151" s="78"/>
    </row>
    <row r="152" ht="22.5" customHeight="1">
      <c r="A152" s="118">
        <v>151.0</v>
      </c>
      <c r="B152" s="119">
        <v>46032.0</v>
      </c>
      <c r="C152" s="126" t="s">
        <v>3972</v>
      </c>
      <c r="D152" s="118" t="str">
        <f>IFERROR(__xludf.DUMMYFUNCTION("IFERROR(
  INDEX(
    FILTER(
      'NOMBRE DE PRODUCTOS'!B:B,
      REGEXMATCH(
        UPPER(
          INDEX(
            REPORTE_DROPI!AC:AC,
            MATCH(T152, REPORTE_DROPI!B:B, 0)
          )
        ),
        UPPER('NOMBRE DE PRODUCTOS'!A:A)"&amp;"
      )
    ),
    1
  ),
  ""REVISAR""
)
"),"FilmPro®")</f>
        <v>FilmPro®</v>
      </c>
      <c r="E152" s="120" t="str">
        <f t="array" ref="E152">IF(
UPPER(TRIM(CLEAN($O152)))="ENTREGADO",
IFERROR(
INDEX(REPORTE_DROPI!Y:Y,
MATCH($T152, REPORTE_DROPI!B:B, 0)
),
""
),
""
)
</f>
        <v/>
      </c>
      <c r="F152" s="121">
        <v>1.0</v>
      </c>
      <c r="G152" s="122" t="str">
        <f t="array" ref="G152">IF(
UPPER(TRIM(CLEAN($O152)))="ENTREGADO",
IFERROR(
INDEX(REPORTE_DROPI!R:R,
MATCH($T152, REPORTE_DROPI!B:B, 0)
),
""
),
""
)
</f>
        <v/>
      </c>
      <c r="H152" s="118" t="s">
        <v>3727</v>
      </c>
      <c r="I152" s="118" t="s">
        <v>3772</v>
      </c>
      <c r="J152" s="121" t="str">
        <f t="array" ref="J152">IF(
UPPER(TRIM(CLEAN($O152)))="ENTREGADO",
IFERROR(
INDEX(REPORTE_DROPI!T:T,
MATCH($T152, REPORTE_DROPI!B:B, 0)
),
""
),
""
)
</f>
        <v/>
      </c>
      <c r="K152" s="118" t="str">
        <f t="array" ref="K152">IFERROR(
INDEX(REPORTE_DROPI!S:S,
MATCH($T152, REPORTE_DROPI!B:B, 0)
),
""
)
</f>
        <v/>
      </c>
      <c r="L152" s="118">
        <f>IF(
  O152&lt;&gt;"DEVOLUCION",
  "",
  IF(
    T152="",
    "",
    SUMIF(DEVOLUCION!F:F, T152, DEVOLUCION!D:D)
  )
)
</f>
        <v>5.06</v>
      </c>
      <c r="M152" s="118" t="s">
        <v>3870</v>
      </c>
      <c r="N152" s="118" t="s">
        <v>3973</v>
      </c>
      <c r="O152" s="118" t="str">
        <f t="array" ref="O152">IFERROR(
VLOOKUP(
TRIM(CLEAN(
INDEX(REPORTE_DROPI!K:K,
MATCH(T152, REPORTE_DROPI!B:B, 0)
))),
{
TRIM(CLEAN(MAPA_ESTADOS!A:A)) ,
MAPA_ESTADOS!B:B
},
2,
FALSE
),
"REVISAR"
)
</f>
        <v>DEVOLUCION</v>
      </c>
      <c r="P152" s="118"/>
      <c r="Q152" s="122">
        <f t="shared" si="1"/>
        <v>0</v>
      </c>
      <c r="R152" s="118"/>
      <c r="S152" s="118"/>
      <c r="T152" s="118">
        <f t="array" ref="T152">IFERROR(
INDEX(REPORTE_DROPI!B:B,
MATCH(
CLEAN(TRIM(C152)),
CLEAN(TRIM(REPORTE_DROPI!E:E)),
0
)
),
""
)
</f>
        <v>4091721</v>
      </c>
      <c r="U152" s="118">
        <v>6.403547430956E12</v>
      </c>
      <c r="V152" s="78"/>
      <c r="W152" s="78"/>
      <c r="X152" s="78"/>
      <c r="Y152" s="78"/>
      <c r="Z152" s="78"/>
    </row>
    <row r="153" ht="22.5" customHeight="1">
      <c r="A153" s="118">
        <v>152.0</v>
      </c>
      <c r="B153" s="119">
        <v>46032.0</v>
      </c>
      <c r="C153" s="118" t="s">
        <v>3974</v>
      </c>
      <c r="D153" s="118" t="str">
        <f>IFERROR(__xludf.DUMMYFUNCTION("IFERROR(
  INDEX(
    FILTER(
      'NOMBRE DE PRODUCTOS'!B:B,
      REGEXMATCH(
        UPPER(
          INDEX(
            REPORTE_DROPI!AC:AC,
            MATCH(T153, REPORTE_DROPI!B:B, 0)
          )
        ),
        UPPER('NOMBRE DE PRODUCTOS'!A:A)"&amp;"
      )
    ),
    1
  ),
  ""REVISAR""
)
"),"Cuchillo Tazaki™")</f>
        <v>Cuchillo Tazaki™</v>
      </c>
      <c r="E153" s="120">
        <f t="array" ref="E153">IF(
UPPER(TRIM(CLEAN($O153)))="ENTREGADO",
IFERROR(
INDEX(REPORTE_DROPI!Y:Y,
MATCH($T153, REPORTE_DROPI!B:B, 0)
),
""
),
""
)
</f>
        <v>5.2</v>
      </c>
      <c r="F153" s="121">
        <v>2.0</v>
      </c>
      <c r="G153" s="122">
        <f t="array" ref="G153">IF(
UPPER(TRIM(CLEAN($O153)))="ENTREGADO",
IFERROR(
INDEX(REPORTE_DROPI!R:R,
MATCH($T153, REPORTE_DROPI!B:B, 0)
),
""
),
""
)
</f>
        <v>22</v>
      </c>
      <c r="H153" s="118" t="s">
        <v>3727</v>
      </c>
      <c r="I153" s="118" t="s">
        <v>3731</v>
      </c>
      <c r="J153" s="121">
        <f t="array" ref="J153">IF(
UPPER(TRIM(CLEAN($O153)))="ENTREGADO",
IFERROR(
INDEX(REPORTE_DROPI!T:T,
MATCH($T153, REPORTE_DROPI!B:B, 0)
),
""
),
""
)
</f>
        <v>5.84</v>
      </c>
      <c r="K153" s="118">
        <f t="array" ref="K153">IFERROR(
INDEX(REPORTE_DROPI!S:S,
MATCH($T153, REPORTE_DROPI!B:B, 0)
),
""
)
</f>
        <v>10.96</v>
      </c>
      <c r="L153" s="118" t="str">
        <f>IF(
  O153&lt;&gt;"DEVOLUCION",
  "",
  IF(
    T153="",
    "",
    SUMIF(DEVOLUCION!F:F, T153, DEVOLUCION!D:D)
  )
)
</f>
        <v/>
      </c>
      <c r="M153" s="118" t="s">
        <v>3870</v>
      </c>
      <c r="N153" s="118" t="s">
        <v>3975</v>
      </c>
      <c r="O153" s="118" t="str">
        <f t="array" ref="O153">IFERROR(
VLOOKUP(
TRIM(CLEAN(
INDEX(REPORTE_DROPI!K:K,
MATCH(T153, REPORTE_DROPI!B:B, 0)
))),
{
TRIM(CLEAN(MAPA_ESTADOS!A:A)) ,
MAPA_ESTADOS!B:B
},
2,
FALSE
),
"REVISAR"
)
</f>
        <v>ENTREGADO</v>
      </c>
      <c r="P153" s="118"/>
      <c r="Q153" s="122">
        <f t="shared" si="1"/>
        <v>0</v>
      </c>
      <c r="R153" s="118"/>
      <c r="S153" s="118"/>
      <c r="T153" s="118">
        <f t="array" ref="T153">IFERROR(
INDEX(REPORTE_DROPI!B:B,
MATCH(
CLEAN(TRIM(C153)),
CLEAN(TRIM(REPORTE_DROPI!E:E)),
0
)
),
""
)
</f>
        <v>4091727</v>
      </c>
      <c r="U153" s="118">
        <v>6.403548315692E12</v>
      </c>
      <c r="V153" s="78"/>
      <c r="W153" s="78"/>
      <c r="X153" s="78"/>
      <c r="Y153" s="78"/>
      <c r="Z153" s="78"/>
    </row>
    <row r="154" ht="22.5" customHeight="1">
      <c r="A154" s="118">
        <v>153.0</v>
      </c>
      <c r="B154" s="119">
        <v>46032.0</v>
      </c>
      <c r="C154" s="118" t="s">
        <v>3976</v>
      </c>
      <c r="D154" s="118" t="str">
        <f>IFERROR(__xludf.DUMMYFUNCTION("IFERROR(
  INDEX(
    FILTER(
      'NOMBRE DE PRODUCTOS'!B:B,
      REGEXMATCH(
        UPPER(
          INDEX(
            REPORTE_DROPI!AC:AC,
            MATCH(T154, REPORTE_DROPI!B:B, 0)
          )
        ),
        UPPER('NOMBRE DE PRODUCTOS'!A:A)"&amp;"
      )
    ),
    1
  ),
  ""REVISAR""
)
"),"Cuchillo Tazaki™")</f>
        <v>Cuchillo Tazaki™</v>
      </c>
      <c r="E154" s="120">
        <f t="array" ref="E154">IF(
UPPER(TRIM(CLEAN($O154)))="ENTREGADO",
IFERROR(
INDEX(REPORTE_DROPI!Y:Y,
MATCH($T154, REPORTE_DROPI!B:B, 0)
),
""
),
""
)
</f>
        <v>5.2</v>
      </c>
      <c r="F154" s="121">
        <v>2.0</v>
      </c>
      <c r="G154" s="122">
        <f t="array" ref="G154">IF(
UPPER(TRIM(CLEAN($O154)))="ENTREGADO",
IFERROR(
INDEX(REPORTE_DROPI!R:R,
MATCH($T154, REPORTE_DROPI!B:B, 0)
),
""
),
""
)
</f>
        <v>22</v>
      </c>
      <c r="H154" s="118" t="s">
        <v>3727</v>
      </c>
      <c r="I154" s="118" t="s">
        <v>3912</v>
      </c>
      <c r="J154" s="121">
        <f t="array" ref="J154">IF(
UPPER(TRIM(CLEAN($O154)))="ENTREGADO",
IFERROR(
INDEX(REPORTE_DROPI!T:T,
MATCH($T154, REPORTE_DROPI!B:B, 0)
),
""
),
""
)
</f>
        <v>5.84</v>
      </c>
      <c r="K154" s="118">
        <f t="array" ref="K154">IFERROR(
INDEX(REPORTE_DROPI!S:S,
MATCH($T154, REPORTE_DROPI!B:B, 0)
),
""
)
</f>
        <v>10.96</v>
      </c>
      <c r="L154" s="118" t="str">
        <f>IF(
  O154&lt;&gt;"DEVOLUCION",
  "",
  IF(
    T154="",
    "",
    SUMIF(DEVOLUCION!F:F, T154, DEVOLUCION!D:D)
  )
)
</f>
        <v/>
      </c>
      <c r="M154" s="118" t="s">
        <v>3870</v>
      </c>
      <c r="N154" s="118" t="s">
        <v>3977</v>
      </c>
      <c r="O154" s="118" t="str">
        <f t="array" ref="O154">IFERROR(
VLOOKUP(
TRIM(CLEAN(
INDEX(REPORTE_DROPI!K:K,
MATCH(T154, REPORTE_DROPI!B:B, 0)
))),
{
TRIM(CLEAN(MAPA_ESTADOS!A:A)) ,
MAPA_ESTADOS!B:B
},
2,
FALSE
),
"REVISAR"
)
</f>
        <v>ENTREGADO</v>
      </c>
      <c r="P154" s="118"/>
      <c r="Q154" s="122">
        <f t="shared" si="1"/>
        <v>0</v>
      </c>
      <c r="R154" s="118"/>
      <c r="S154" s="118"/>
      <c r="T154" s="118">
        <f t="array" ref="T154">IFERROR(
INDEX(REPORTE_DROPI!B:B,
MATCH(
CLEAN(TRIM(C154)),
CLEAN(TRIM(REPORTE_DROPI!E:E)),
0
)
),
""
)
</f>
        <v>4091874</v>
      </c>
      <c r="U154" s="118">
        <v>6.403561816108E12</v>
      </c>
      <c r="V154" s="78"/>
      <c r="W154" s="78"/>
      <c r="X154" s="78"/>
      <c r="Y154" s="78"/>
      <c r="Z154" s="78"/>
    </row>
    <row r="155" ht="22.5" customHeight="1">
      <c r="A155" s="118">
        <v>154.0</v>
      </c>
      <c r="B155" s="119">
        <v>46032.0</v>
      </c>
      <c r="C155" s="118" t="s">
        <v>3978</v>
      </c>
      <c r="D155" s="118" t="str">
        <f>IFERROR(__xludf.DUMMYFUNCTION("IFERROR(
  INDEX(
    FILTER(
      'NOMBRE DE PRODUCTOS'!B:B,
      REGEXMATCH(
        UPPER(
          INDEX(
            REPORTE_DROPI!AC:AC,
            MATCH(T155, REPORTE_DROPI!B:B, 0)
          )
        ),
        UPPER('NOMBRE DE PRODUCTOS'!A:A)"&amp;"
      )
    ),
    1
  ),
  ""REVISAR""
)
"),"Cuchillo Tazaki™")</f>
        <v>Cuchillo Tazaki™</v>
      </c>
      <c r="E155" s="120">
        <f t="array" ref="E155">IF(
UPPER(TRIM(CLEAN($O155)))="ENTREGADO",
IFERROR(
INDEX(REPORTE_DROPI!Y:Y,
MATCH($T155, REPORTE_DROPI!B:B, 0)
),
""
),
""
)
</f>
        <v>7.8</v>
      </c>
      <c r="F155" s="121">
        <v>3.0</v>
      </c>
      <c r="G155" s="122">
        <f t="array" ref="G155">IF(
UPPER(TRIM(CLEAN($O155)))="ENTREGADO",
IFERROR(
INDEX(REPORTE_DROPI!R:R,
MATCH($T155, REPORTE_DROPI!B:B, 0)
),
""
),
""
)
</f>
        <v>27</v>
      </c>
      <c r="H155" s="118" t="s">
        <v>3727</v>
      </c>
      <c r="I155" s="118" t="s">
        <v>3979</v>
      </c>
      <c r="J155" s="121">
        <f t="array" ref="J155">IF(
UPPER(TRIM(CLEAN($O155)))="ENTREGADO",
IFERROR(
INDEX(REPORTE_DROPI!T:T,
MATCH($T155, REPORTE_DROPI!B:B, 0)
),
""
),
""
)
</f>
        <v>6.03</v>
      </c>
      <c r="K155" s="118">
        <f t="array" ref="K155">IFERROR(
INDEX(REPORTE_DROPI!S:S,
MATCH($T155, REPORTE_DROPI!B:B, 0)
),
""
)
</f>
        <v>13.17</v>
      </c>
      <c r="L155" s="118" t="str">
        <f>IF(
  O155&lt;&gt;"DEVOLUCION",
  "",
  IF(
    T155="",
    "",
    SUMIF(DEVOLUCION!F:F, T155, DEVOLUCION!D:D)
  )
)
</f>
        <v/>
      </c>
      <c r="M155" s="118"/>
      <c r="N155" s="118" t="s">
        <v>3980</v>
      </c>
      <c r="O155" s="118" t="str">
        <f t="array" ref="O155">IFERROR(
VLOOKUP(
TRIM(CLEAN(
INDEX(REPORTE_DROPI!K:K,
MATCH(T155, REPORTE_DROPI!B:B, 0)
))),
{
TRIM(CLEAN(MAPA_ESTADOS!A:A)) ,
MAPA_ESTADOS!B:B
},
2,
FALSE
),
"REVISAR"
)
</f>
        <v>ENTREGADO</v>
      </c>
      <c r="P155" s="118"/>
      <c r="Q155" s="122">
        <f t="shared" si="1"/>
        <v>0</v>
      </c>
      <c r="R155" s="118"/>
      <c r="S155" s="118"/>
      <c r="T155" s="118">
        <f t="array" ref="T155">IFERROR(
INDEX(REPORTE_DROPI!B:B,
MATCH(
CLEAN(TRIM(C155)),
CLEAN(TRIM(REPORTE_DROPI!E:E)),
0
)
),
""
)
</f>
        <v>4091919</v>
      </c>
      <c r="U155" s="118">
        <v>6.403566993452E12</v>
      </c>
      <c r="V155" s="78"/>
      <c r="W155" s="78"/>
      <c r="X155" s="78"/>
      <c r="Y155" s="78"/>
      <c r="Z155" s="78"/>
    </row>
    <row r="156" ht="22.5" customHeight="1">
      <c r="A156" s="118">
        <v>155.0</v>
      </c>
      <c r="B156" s="119">
        <v>46032.0</v>
      </c>
      <c r="C156" s="126" t="s">
        <v>3981</v>
      </c>
      <c r="D156" s="118" t="str">
        <f>IFERROR(__xludf.DUMMYFUNCTION("IFERROR(
  INDEX(
    FILTER(
      'NOMBRE DE PRODUCTOS'!B:B,
      REGEXMATCH(
        UPPER(
          INDEX(
            REPORTE_DROPI!AC:AC,
            MATCH(T156, REPORTE_DROPI!B:B, 0)
          )
        ),
        UPPER('NOMBRE DE PRODUCTOS'!A:A)"&amp;"
      )
    ),
    1
  ),
  ""REVISAR""
)
"),"FilmPro®")</f>
        <v>FilmPro®</v>
      </c>
      <c r="E156" s="120" t="str">
        <f t="array" ref="E156">IF(
UPPER(TRIM(CLEAN($O156)))="ENTREGADO",
IFERROR(
INDEX(REPORTE_DROPI!Y:Y,
MATCH($T156, REPORTE_DROPI!B:B, 0)
),
""
),
""
)
</f>
        <v/>
      </c>
      <c r="F156" s="121">
        <v>2.0</v>
      </c>
      <c r="G156" s="122" t="str">
        <f t="array" ref="G156">IF(
UPPER(TRIM(CLEAN($O156)))="ENTREGADO",
IFERROR(
INDEX(REPORTE_DROPI!R:R,
MATCH($T156, REPORTE_DROPI!B:B, 0)
),
""
),
""
)
</f>
        <v/>
      </c>
      <c r="H156" s="118" t="s">
        <v>3727</v>
      </c>
      <c r="I156" s="118" t="s">
        <v>3740</v>
      </c>
      <c r="J156" s="121" t="str">
        <f t="array" ref="J156">IF(
UPPER(TRIM(CLEAN($O156)))="ENTREGADO",
IFERROR(
INDEX(REPORTE_DROPI!T:T,
MATCH($T156, REPORTE_DROPI!B:B, 0)
),
""
),
""
)
</f>
        <v/>
      </c>
      <c r="K156" s="118" t="str">
        <f t="array" ref="K156">IFERROR(
INDEX(REPORTE_DROPI!S:S,
MATCH($T156, REPORTE_DROPI!B:B, 0)
),
""
)
</f>
        <v/>
      </c>
      <c r="L156" s="118">
        <f>IF(
  O156&lt;&gt;"DEVOLUCION",
  "",
  IF(
    T156="",
    "",
    SUMIF(DEVOLUCION!F:F, T156, DEVOLUCION!D:D)
  )
)
</f>
        <v>3.48</v>
      </c>
      <c r="M156" s="118" t="s">
        <v>3870</v>
      </c>
      <c r="N156" s="118" t="s">
        <v>3982</v>
      </c>
      <c r="O156" s="118" t="str">
        <f t="array" ref="O156">IFERROR(
VLOOKUP(
TRIM(CLEAN(
INDEX(REPORTE_DROPI!K:K,
MATCH(T156, REPORTE_DROPI!B:B, 0)
))),
{
TRIM(CLEAN(MAPA_ESTADOS!A:A)) ,
MAPA_ESTADOS!B:B
},
2,
FALSE
),
"REVISAR"
)
</f>
        <v>DEVOLUCION</v>
      </c>
      <c r="P156" s="118"/>
      <c r="Q156" s="122">
        <f t="shared" si="1"/>
        <v>0</v>
      </c>
      <c r="R156" s="118"/>
      <c r="S156" s="118"/>
      <c r="T156" s="118">
        <f t="array" ref="T156">IFERROR(
INDEX(REPORTE_DROPI!B:B,
MATCH(
CLEAN(TRIM(C156)),
CLEAN(TRIM(REPORTE_DROPI!E:E)),
0
)
),
""
)
</f>
        <v>4091966</v>
      </c>
      <c r="U156" s="118">
        <v>6.403574956076E12</v>
      </c>
      <c r="V156" s="78"/>
      <c r="W156" s="78"/>
      <c r="X156" s="78"/>
      <c r="Y156" s="78"/>
      <c r="Z156" s="78"/>
    </row>
    <row r="157" ht="22.5" customHeight="1">
      <c r="A157" s="118">
        <v>156.0</v>
      </c>
      <c r="B157" s="119">
        <v>46032.0</v>
      </c>
      <c r="C157" s="118" t="s">
        <v>3983</v>
      </c>
      <c r="D157" s="118" t="str">
        <f>IFERROR(__xludf.DUMMYFUNCTION("IFERROR(
  INDEX(
    FILTER(
      'NOMBRE DE PRODUCTOS'!B:B,
      REGEXMATCH(
        UPPER(
          INDEX(
            REPORTE_DROPI!AC:AC,
            MATCH(T157, REPORTE_DROPI!B:B, 0)
          )
        ),
        UPPER('NOMBRE DE PRODUCTOS'!A:A)"&amp;"
      )
    ),
    1
  ),
  ""REVISAR""
)
"),"Cuchillo Tazaki™")</f>
        <v>Cuchillo Tazaki™</v>
      </c>
      <c r="E157" s="120">
        <f t="array" ref="E157">IF(
UPPER(TRIM(CLEAN($O157)))="ENTREGADO",
IFERROR(
INDEX(REPORTE_DROPI!Y:Y,
MATCH($T157, REPORTE_DROPI!B:B, 0)
),
""
),
""
)
</f>
        <v>7.8</v>
      </c>
      <c r="F157" s="121">
        <v>3.0</v>
      </c>
      <c r="G157" s="122">
        <f t="array" ref="G157">IF(
UPPER(TRIM(CLEAN($O157)))="ENTREGADO",
IFERROR(
INDEX(REPORTE_DROPI!R:R,
MATCH($T157, REPORTE_DROPI!B:B, 0)
),
""
),
""
)
</f>
        <v>27</v>
      </c>
      <c r="H157" s="118" t="s">
        <v>3727</v>
      </c>
      <c r="I157" s="118" t="s">
        <v>3951</v>
      </c>
      <c r="J157" s="121">
        <f t="array" ref="J157">IF(
UPPER(TRIM(CLEAN($O157)))="ENTREGADO",
IFERROR(
INDEX(REPORTE_DROPI!T:T,
MATCH($T157, REPORTE_DROPI!B:B, 0)
),
""
),
""
)
</f>
        <v>6.03</v>
      </c>
      <c r="K157" s="118">
        <f t="array" ref="K157">IFERROR(
INDEX(REPORTE_DROPI!S:S,
MATCH($T157, REPORTE_DROPI!B:B, 0)
),
""
)
</f>
        <v>13.17</v>
      </c>
      <c r="L157" s="118" t="str">
        <f>IF(
  O157&lt;&gt;"DEVOLUCION",
  "",
  IF(
    T157="",
    "",
    SUMIF(DEVOLUCION!F:F, T157, DEVOLUCION!D:D)
  )
)
</f>
        <v/>
      </c>
      <c r="M157" s="118" t="s">
        <v>3870</v>
      </c>
      <c r="N157" s="118" t="s">
        <v>3984</v>
      </c>
      <c r="O157" s="118" t="str">
        <f t="array" ref="O157">IFERROR(
VLOOKUP(
TRIM(CLEAN(
INDEX(REPORTE_DROPI!K:K,
MATCH(T157, REPORTE_DROPI!B:B, 0)
))),
{
TRIM(CLEAN(MAPA_ESTADOS!A:A)) ,
MAPA_ESTADOS!B:B
},
2,
FALSE
),
"REVISAR"
)
</f>
        <v>ENTREGADO</v>
      </c>
      <c r="P157" s="118" t="s">
        <v>3655</v>
      </c>
      <c r="Q157" s="122">
        <f t="shared" si="1"/>
        <v>0</v>
      </c>
      <c r="R157" s="118"/>
      <c r="S157" s="118"/>
      <c r="T157" s="118">
        <f t="array" ref="T157">IFERROR(
INDEX(REPORTE_DROPI!B:B,
MATCH(
CLEAN(TRIM(C157)),
CLEAN(TRIM(REPORTE_DROPI!E:E)),
0
)
),
""
)
</f>
        <v>4122001</v>
      </c>
      <c r="U157" s="118">
        <v>6.403580756012E12</v>
      </c>
      <c r="V157" s="78"/>
      <c r="W157" s="78"/>
      <c r="X157" s="78"/>
      <c r="Y157" s="78"/>
      <c r="Z157" s="78"/>
    </row>
    <row r="158" ht="22.5" customHeight="1">
      <c r="A158" s="118">
        <v>157.0</v>
      </c>
      <c r="B158" s="119">
        <v>46032.0</v>
      </c>
      <c r="C158" s="118" t="s">
        <v>3985</v>
      </c>
      <c r="D158" s="118" t="str">
        <f>IFERROR(__xludf.DUMMYFUNCTION("IFERROR(
  INDEX(
    FILTER(
      'NOMBRE DE PRODUCTOS'!B:B,
      REGEXMATCH(
        UPPER(
          INDEX(
            REPORTE_DROPI!AC:AC,
            MATCH(T158, REPORTE_DROPI!B:B, 0)
          )
        ),
        UPPER('NOMBRE DE PRODUCTOS'!A:A)"&amp;"
      )
    ),
    1
  ),
  ""REVISAR""
)
"),"Cuchillo Tazaki™")</f>
        <v>Cuchillo Tazaki™</v>
      </c>
      <c r="E158" s="120" t="str">
        <f t="array" ref="E158">IF(
UPPER(TRIM(CLEAN($O158)))="ENTREGADO",
IFERROR(
INDEX(REPORTE_DROPI!Y:Y,
MATCH($T158, REPORTE_DROPI!B:B, 0)
),
""
),
""
)
</f>
        <v/>
      </c>
      <c r="F158" s="121">
        <v>4.0</v>
      </c>
      <c r="G158" s="122" t="str">
        <f t="array" ref="G158">IF(
UPPER(TRIM(CLEAN($O158)))="ENTREGADO",
IFERROR(
INDEX(REPORTE_DROPI!R:R,
MATCH($T158, REPORTE_DROPI!B:B, 0)
),
""
),
""
)
</f>
        <v/>
      </c>
      <c r="H158" s="118" t="s">
        <v>3727</v>
      </c>
      <c r="I158" s="118" t="s">
        <v>3778</v>
      </c>
      <c r="J158" s="121" t="str">
        <f t="array" ref="J158">IF(
UPPER(TRIM(CLEAN($O158)))="ENTREGADO",
IFERROR(
INDEX(REPORTE_DROPI!T:T,
MATCH($T158, REPORTE_DROPI!B:B, 0)
),
""
),
""
)
</f>
        <v/>
      </c>
      <c r="K158" s="118" t="str">
        <f t="array" ref="K158">IFERROR(
INDEX(REPORTE_DROPI!S:S,
MATCH($T158, REPORTE_DROPI!B:B, 0)
),
""
)
</f>
        <v/>
      </c>
      <c r="L158" s="118">
        <f>IF(
  O158&lt;&gt;"DEVOLUCION",
  "",
  IF(
    T158="",
    "",
    SUMIF(DEVOLUCION!F:F, T158, DEVOLUCION!D:D)
  )
)
</f>
        <v>5.13</v>
      </c>
      <c r="M158" s="118" t="s">
        <v>3870</v>
      </c>
      <c r="N158" s="118" t="s">
        <v>3986</v>
      </c>
      <c r="O158" s="118" t="str">
        <f t="array" ref="O158">IFERROR(
VLOOKUP(
TRIM(CLEAN(
INDEX(REPORTE_DROPI!K:K,
MATCH(T158, REPORTE_DROPI!B:B, 0)
))),
{
TRIM(CLEAN(MAPA_ESTADOS!A:A)) ,
MAPA_ESTADOS!B:B
},
2,
FALSE
),
"REVISAR"
)
</f>
        <v>DEVOLUCION</v>
      </c>
      <c r="P158" s="118" t="s">
        <v>3987</v>
      </c>
      <c r="Q158" s="122">
        <f t="shared" si="1"/>
        <v>0</v>
      </c>
      <c r="R158" s="118"/>
      <c r="S158" s="118"/>
      <c r="T158" s="118">
        <f t="array" ref="T158">IFERROR(
INDEX(REPORTE_DROPI!B:B,
MATCH(
CLEAN(TRIM(C158)),
CLEAN(TRIM(REPORTE_DROPI!E:E)),
0
)
),
""
)
</f>
        <v>4092068</v>
      </c>
      <c r="U158" s="118">
        <v>6.403588292652E12</v>
      </c>
      <c r="V158" s="78"/>
      <c r="W158" s="78"/>
      <c r="X158" s="78"/>
      <c r="Y158" s="78"/>
      <c r="Z158" s="78"/>
    </row>
    <row r="159" ht="22.5" customHeight="1">
      <c r="A159" s="118">
        <v>158.0</v>
      </c>
      <c r="B159" s="119">
        <v>46032.0</v>
      </c>
      <c r="C159" s="118" t="s">
        <v>3988</v>
      </c>
      <c r="D159" s="118" t="str">
        <f>IFERROR(__xludf.DUMMYFUNCTION("IFERROR(
  INDEX(
    FILTER(
      'NOMBRE DE PRODUCTOS'!B:B,
      REGEXMATCH(
        UPPER(
          INDEX(
            REPORTE_DROPI!AC:AC,
            MATCH(T159, REPORTE_DROPI!B:B, 0)
          )
        ),
        UPPER('NOMBRE DE PRODUCTOS'!A:A)"&amp;"
      )
    ),
    1
  ),
  ""REVISAR""
)
"),"Cuchillo Tazaki™")</f>
        <v>Cuchillo Tazaki™</v>
      </c>
      <c r="E159" s="120" t="str">
        <f t="array" ref="E159">IF(
UPPER(TRIM(CLEAN($O159)))="ENTREGADO",
IFERROR(
INDEX(REPORTE_DROPI!Y:Y,
MATCH($T159, REPORTE_DROPI!B:B, 0)
),
""
),
""
)
</f>
        <v/>
      </c>
      <c r="F159" s="121">
        <v>2.0</v>
      </c>
      <c r="G159" s="122" t="str">
        <f t="array" ref="G159">IF(
UPPER(TRIM(CLEAN($O159)))="ENTREGADO",
IFERROR(
INDEX(REPORTE_DROPI!R:R,
MATCH($T159, REPORTE_DROPI!B:B, 0)
),
""
),
""
)
</f>
        <v/>
      </c>
      <c r="H159" s="118" t="s">
        <v>3727</v>
      </c>
      <c r="I159" s="118" t="s">
        <v>3882</v>
      </c>
      <c r="J159" s="121" t="str">
        <f t="array" ref="J159">IF(
UPPER(TRIM(CLEAN($O159)))="ENTREGADO",
IFERROR(
INDEX(REPORTE_DROPI!T:T,
MATCH($T159, REPORTE_DROPI!B:B, 0)
),
""
),
""
)
</f>
        <v/>
      </c>
      <c r="K159" s="118" t="str">
        <f t="array" ref="K159">IFERROR(
INDEX(REPORTE_DROPI!S:S,
MATCH($T159, REPORTE_DROPI!B:B, 0)
),
""
)
</f>
        <v/>
      </c>
      <c r="L159" s="118" t="str">
        <f>IF(
  O159&lt;&gt;"DEVOLUCION",
  "",
  IF(
    T159="",
    "",
    SUMIF(DEVOLUCION!F:F, T159, DEVOLUCION!D:D)
  )
)
</f>
        <v/>
      </c>
      <c r="M159" s="118" t="s">
        <v>3870</v>
      </c>
      <c r="N159" s="118" t="s">
        <v>3989</v>
      </c>
      <c r="O159" s="118" t="str">
        <f t="array" ref="O159">IFERROR(
VLOOKUP(
TRIM(CLEAN(
INDEX(REPORTE_DROPI!K:K,
MATCH(T159, REPORTE_DROPI!B:B, 0)
))),
{
TRIM(CLEAN(MAPA_ESTADOS!A:A)) ,
MAPA_ESTADOS!B:B
},
2,
FALSE
),
"REVISAR"
)
</f>
        <v>CANCELADO</v>
      </c>
      <c r="P159" s="118" t="s">
        <v>3990</v>
      </c>
      <c r="Q159" s="122">
        <f t="shared" si="1"/>
        <v>0</v>
      </c>
      <c r="R159" s="118"/>
      <c r="S159" s="118"/>
      <c r="T159" s="118">
        <f t="array" ref="T159">IFERROR(
INDEX(REPORTE_DROPI!B:B,
MATCH(
CLEAN(TRIM(C159)),
CLEAN(TRIM(REPORTE_DROPI!E:E)),
0
)
),
""
)
</f>
        <v>4092085</v>
      </c>
      <c r="U159" s="118">
        <v>6.403591176236E12</v>
      </c>
      <c r="V159" s="78"/>
      <c r="W159" s="78"/>
      <c r="X159" s="78"/>
      <c r="Y159" s="78"/>
      <c r="Z159" s="78"/>
    </row>
    <row r="160" ht="22.5" customHeight="1">
      <c r="A160" s="118">
        <v>159.0</v>
      </c>
      <c r="B160" s="119">
        <v>46032.0</v>
      </c>
      <c r="C160" s="126" t="s">
        <v>3991</v>
      </c>
      <c r="D160" s="118" t="str">
        <f>IFERROR(__xludf.DUMMYFUNCTION("IFERROR(
  INDEX(
    FILTER(
      'NOMBRE DE PRODUCTOS'!B:B,
      REGEXMATCH(
        UPPER(
          INDEX(
            REPORTE_DROPI!AC:AC,
            MATCH(T160, REPORTE_DROPI!B:B, 0)
          )
        ),
        UPPER('NOMBRE DE PRODUCTOS'!A:A)"&amp;"
      )
    ),
    1
  ),
  ""REVISAR""
)
"),"Cuchillo Tazaki™")</f>
        <v>Cuchillo Tazaki™</v>
      </c>
      <c r="E160" s="120" t="str">
        <f t="array" ref="E160">IF(
UPPER(TRIM(CLEAN($O160)))="ENTREGADO",
IFERROR(
INDEX(REPORTE_DROPI!Y:Y,
MATCH($T160, REPORTE_DROPI!B:B, 0)
),
""
),
""
)
</f>
        <v/>
      </c>
      <c r="F160" s="121">
        <v>3.0</v>
      </c>
      <c r="G160" s="122" t="str">
        <f t="array" ref="G160">IF(
UPPER(TRIM(CLEAN($O160)))="ENTREGADO",
IFERROR(
INDEX(REPORTE_DROPI!R:R,
MATCH($T160, REPORTE_DROPI!B:B, 0)
),
""
),
""
)
</f>
        <v/>
      </c>
      <c r="H160" s="118" t="s">
        <v>3727</v>
      </c>
      <c r="I160" s="118" t="s">
        <v>3731</v>
      </c>
      <c r="J160" s="121" t="str">
        <f t="array" ref="J160">IF(
UPPER(TRIM(CLEAN($O160)))="ENTREGADO",
IFERROR(
INDEX(REPORTE_DROPI!T:T,
MATCH($T160, REPORTE_DROPI!B:B, 0)
),
""
),
""
)
</f>
        <v/>
      </c>
      <c r="K160" s="118" t="str">
        <f t="array" ref="K160">IFERROR(
INDEX(REPORTE_DROPI!S:S,
MATCH($T160, REPORTE_DROPI!B:B, 0)
),
""
)
</f>
        <v/>
      </c>
      <c r="L160" s="118">
        <f>IF(
  O160&lt;&gt;"DEVOLUCION",
  "",
  IF(
    T160="",
    "",
    SUMIF(DEVOLUCION!F:F, T160, DEVOLUCION!D:D)
  )
)
</f>
        <v>5.09</v>
      </c>
      <c r="M160" s="118"/>
      <c r="N160" s="118" t="s">
        <v>3992</v>
      </c>
      <c r="O160" s="118" t="str">
        <f t="array" ref="O160">IFERROR(
VLOOKUP(
TRIM(CLEAN(
INDEX(REPORTE_DROPI!K:K,
MATCH(T160, REPORTE_DROPI!B:B, 0)
))),
{
TRIM(CLEAN(MAPA_ESTADOS!A:A)) ,
MAPA_ESTADOS!B:B
},
2,
FALSE
),
"REVISAR"
)
</f>
        <v>DEVOLUCION</v>
      </c>
      <c r="P160" s="118"/>
      <c r="Q160" s="122">
        <f t="shared" si="1"/>
        <v>0</v>
      </c>
      <c r="R160" s="118"/>
      <c r="S160" s="118"/>
      <c r="T160" s="118">
        <f t="array" ref="T160">IFERROR(
INDEX(REPORTE_DROPI!B:B,
MATCH(
CLEAN(TRIM(C160)),
CLEAN(TRIM(REPORTE_DROPI!E:E)),
0
)
),
""
)
</f>
        <v>4122017</v>
      </c>
      <c r="U160" s="118">
        <v>6.403594584108E12</v>
      </c>
      <c r="V160" s="78"/>
      <c r="W160" s="78"/>
      <c r="X160" s="78"/>
      <c r="Y160" s="78"/>
      <c r="Z160" s="78"/>
    </row>
    <row r="161" ht="22.5" customHeight="1">
      <c r="A161" s="118">
        <v>160.0</v>
      </c>
      <c r="B161" s="119">
        <v>46032.0</v>
      </c>
      <c r="C161" s="118" t="s">
        <v>3993</v>
      </c>
      <c r="D161" s="118" t="str">
        <f>IFERROR(__xludf.DUMMYFUNCTION("IFERROR(
  INDEX(
    FILTER(
      'NOMBRE DE PRODUCTOS'!B:B,
      REGEXMATCH(
        UPPER(
          INDEX(
            REPORTE_DROPI!AC:AC,
            MATCH(T161, REPORTE_DROPI!B:B, 0)
          )
        ),
        UPPER('NOMBRE DE PRODUCTOS'!A:A)"&amp;"
      )
    ),
    1
  ),
  ""REVISAR""
)
"),"FilmPro®")</f>
        <v>FilmPro®</v>
      </c>
      <c r="E161" s="120">
        <f t="array" ref="E161">IF(
UPPER(TRIM(CLEAN($O161)))="ENTREGADO",
IFERROR(
INDEX(REPORTE_DROPI!Y:Y,
MATCH($T161, REPORTE_DROPI!B:B, 0)
),
""
),
""
)
</f>
        <v>5.58</v>
      </c>
      <c r="F161" s="121">
        <v>2.0</v>
      </c>
      <c r="G161" s="122">
        <f t="array" ref="G161">IF(
UPPER(TRIM(CLEAN($O161)))="ENTREGADO",
IFERROR(
INDEX(REPORTE_DROPI!R:R,
MATCH($T161, REPORTE_DROPI!B:B, 0)
),
""
),
""
)
</f>
        <v>25</v>
      </c>
      <c r="H161" s="118" t="s">
        <v>3727</v>
      </c>
      <c r="I161" s="118" t="s">
        <v>3731</v>
      </c>
      <c r="J161" s="121">
        <f t="array" ref="J161">IF(
UPPER(TRIM(CLEAN($O161)))="ENTREGADO",
IFERROR(
INDEX(REPORTE_DROPI!T:T,
MATCH($T161, REPORTE_DROPI!B:B, 0)
),
""
),
""
)
</f>
        <v>7.75</v>
      </c>
      <c r="K161" s="118">
        <f t="array" ref="K161">IFERROR(
INDEX(REPORTE_DROPI!S:S,
MATCH($T161, REPORTE_DROPI!B:B, 0)
),
""
)
</f>
        <v>11.67</v>
      </c>
      <c r="L161" s="118" t="str">
        <f>IF(
  O161&lt;&gt;"DEVOLUCION",
  "",
  IF(
    T161="",
    "",
    SUMIF(DEVOLUCION!F:F, T161, DEVOLUCION!D:D)
  )
)
</f>
        <v/>
      </c>
      <c r="M161" s="118"/>
      <c r="N161" s="118" t="s">
        <v>3994</v>
      </c>
      <c r="O161" s="118" t="str">
        <f t="array" ref="O161">IFERROR(
VLOOKUP(
TRIM(CLEAN(
INDEX(REPORTE_DROPI!K:K,
MATCH(T161, REPORTE_DROPI!B:B, 0)
))),
{
TRIM(CLEAN(MAPA_ESTADOS!A:A)) ,
MAPA_ESTADOS!B:B
},
2,
FALSE
),
"REVISAR"
)
</f>
        <v>ENTREGADO</v>
      </c>
      <c r="P161" s="118"/>
      <c r="Q161" s="122">
        <f t="shared" si="1"/>
        <v>0</v>
      </c>
      <c r="R161" s="118"/>
      <c r="S161" s="118"/>
      <c r="T161" s="118">
        <f t="array" ref="T161">IFERROR(
INDEX(REPORTE_DROPI!B:B,
MATCH(
CLEAN(TRIM(C161)),
CLEAN(TRIM(REPORTE_DROPI!E:E)),
0
)
),
""
)
</f>
        <v>4092251</v>
      </c>
      <c r="U161" s="118">
        <v>6.403619192876E12</v>
      </c>
      <c r="V161" s="78"/>
      <c r="W161" s="78"/>
      <c r="X161" s="78"/>
      <c r="Y161" s="78"/>
      <c r="Z161" s="78"/>
    </row>
    <row r="162" ht="22.5" customHeight="1">
      <c r="A162" s="118">
        <v>161.0</v>
      </c>
      <c r="B162" s="119">
        <v>46032.0</v>
      </c>
      <c r="C162" s="118" t="s">
        <v>3995</v>
      </c>
      <c r="D162" s="118" t="str">
        <f>IFERROR(__xludf.DUMMYFUNCTION("IFERROR(
  INDEX(
    FILTER(
      'NOMBRE DE PRODUCTOS'!B:B,
      REGEXMATCH(
        UPPER(
          INDEX(
            REPORTE_DROPI!AC:AC,
            MATCH(T162, REPORTE_DROPI!B:B, 0)
          )
        ),
        UPPER('NOMBRE DE PRODUCTOS'!A:A)"&amp;"
      )
    ),
    1
  ),
  ""REVISAR""
)
"),"FilmPro®")</f>
        <v>FilmPro®</v>
      </c>
      <c r="E162" s="120">
        <f t="array" ref="E162">IF(
UPPER(TRIM(CLEAN($O162)))="ENTREGADO",
IFERROR(
INDEX(REPORTE_DROPI!Y:Y,
MATCH($T162, REPORTE_DROPI!B:B, 0)
),
""
),
""
)
</f>
        <v>5.58</v>
      </c>
      <c r="F162" s="121">
        <v>2.0</v>
      </c>
      <c r="G162" s="122">
        <f t="array" ref="G162">IF(
UPPER(TRIM(CLEAN($O162)))="ENTREGADO",
IFERROR(
INDEX(REPORTE_DROPI!R:R,
MATCH($T162, REPORTE_DROPI!B:B, 0)
),
""
),
""
)
</f>
        <v>25</v>
      </c>
      <c r="H162" s="118" t="s">
        <v>3727</v>
      </c>
      <c r="I162" s="118" t="s">
        <v>3740</v>
      </c>
      <c r="J162" s="121">
        <f t="array" ref="J162">IF(
UPPER(TRIM(CLEAN($O162)))="ENTREGADO",
IFERROR(
INDEX(REPORTE_DROPI!T:T,
MATCH($T162, REPORTE_DROPI!B:B, 0)
),
""
),
""
)
</f>
        <v>5.38</v>
      </c>
      <c r="K162" s="118">
        <f t="array" ref="K162">IFERROR(
INDEX(REPORTE_DROPI!S:S,
MATCH($T162, REPORTE_DROPI!B:B, 0)
),
""
)
</f>
        <v>14.04</v>
      </c>
      <c r="L162" s="118" t="str">
        <f>IF(
  O162&lt;&gt;"DEVOLUCION",
  "",
  IF(
    T162="",
    "",
    SUMIF(DEVOLUCION!F:F, T162, DEVOLUCION!D:D)
  )
)
</f>
        <v/>
      </c>
      <c r="M162" s="118"/>
      <c r="N162" s="118" t="s">
        <v>3996</v>
      </c>
      <c r="O162" s="118" t="str">
        <f t="array" ref="O162">IFERROR(
VLOOKUP(
TRIM(CLEAN(
INDEX(REPORTE_DROPI!K:K,
MATCH(T162, REPORTE_DROPI!B:B, 0)
))),
{
TRIM(CLEAN(MAPA_ESTADOS!A:A)) ,
MAPA_ESTADOS!B:B
},
2,
FALSE
),
"REVISAR"
)
</f>
        <v>ENTREGADO</v>
      </c>
      <c r="P162" s="118"/>
      <c r="Q162" s="122">
        <f t="shared" si="1"/>
        <v>0</v>
      </c>
      <c r="R162" s="118"/>
      <c r="S162" s="118"/>
      <c r="T162" s="118">
        <f t="array" ref="T162">IFERROR(
INDEX(REPORTE_DROPI!B:B,
MATCH(
CLEAN(TRIM(C162)),
CLEAN(TRIM(REPORTE_DROPI!E:E)),
0
)
),
""
)
</f>
        <v>4092315</v>
      </c>
      <c r="U162" s="118">
        <v>6.403629580332E12</v>
      </c>
      <c r="V162" s="78"/>
      <c r="W162" s="78"/>
      <c r="X162" s="78"/>
      <c r="Y162" s="78"/>
      <c r="Z162" s="78"/>
    </row>
    <row r="163" ht="22.5" customHeight="1">
      <c r="A163" s="118">
        <v>162.0</v>
      </c>
      <c r="B163" s="119">
        <v>46032.0</v>
      </c>
      <c r="C163" s="118" t="s">
        <v>3997</v>
      </c>
      <c r="D163" s="118" t="str">
        <f>IFERROR(__xludf.DUMMYFUNCTION("IFERROR(
  INDEX(
    FILTER(
      'NOMBRE DE PRODUCTOS'!B:B,
      REGEXMATCH(
        UPPER(
          INDEX(
            REPORTE_DROPI!AC:AC,
            MATCH(T163, REPORTE_DROPI!B:B, 0)
          )
        ),
        UPPER('NOMBRE DE PRODUCTOS'!A:A)"&amp;"
      )
    ),
    1
  ),
  ""REVISAR""
)
"),"FilmPro®")</f>
        <v>FilmPro®</v>
      </c>
      <c r="E163" s="120">
        <f t="array" ref="E163">IF(
UPPER(TRIM(CLEAN($O163)))="ENTREGADO",
IFERROR(
INDEX(REPORTE_DROPI!Y:Y,
MATCH($T163, REPORTE_DROPI!B:B, 0)
),
""
),
""
)
</f>
        <v>2.79</v>
      </c>
      <c r="F163" s="121">
        <v>1.0</v>
      </c>
      <c r="G163" s="122">
        <f t="array" ref="G163">IF(
UPPER(TRIM(CLEAN($O163)))="ENTREGADO",
IFERROR(
INDEX(REPORTE_DROPI!R:R,
MATCH($T163, REPORTE_DROPI!B:B, 0)
),
""
),
""
)
</f>
        <v>20</v>
      </c>
      <c r="H163" s="118" t="s">
        <v>3727</v>
      </c>
      <c r="I163" s="118" t="s">
        <v>3772</v>
      </c>
      <c r="J163" s="121">
        <f t="array" ref="J163">IF(
UPPER(TRIM(CLEAN($O163)))="ENTREGADO",
IFERROR(
INDEX(REPORTE_DROPI!T:T,
MATCH($T163, REPORTE_DROPI!B:B, 0)
),
""
),
""
)
</f>
        <v>5.76</v>
      </c>
      <c r="K163" s="118">
        <f t="array" ref="K163">IFERROR(
INDEX(REPORTE_DROPI!S:S,
MATCH($T163, REPORTE_DROPI!B:B, 0)
),
""
)
</f>
        <v>11.45</v>
      </c>
      <c r="L163" s="118" t="str">
        <f>IF(
  O163&lt;&gt;"DEVOLUCION",
  "",
  IF(
    T163="",
    "",
    SUMIF(DEVOLUCION!F:F, T163, DEVOLUCION!D:D)
  )
)
</f>
        <v/>
      </c>
      <c r="M163" s="118"/>
      <c r="N163" s="118" t="s">
        <v>3998</v>
      </c>
      <c r="O163" s="118" t="str">
        <f t="array" ref="O163">IFERROR(
VLOOKUP(
TRIM(CLEAN(
INDEX(REPORTE_DROPI!K:K,
MATCH(T163, REPORTE_DROPI!B:B, 0)
))),
{
TRIM(CLEAN(MAPA_ESTADOS!A:A)) ,
MAPA_ESTADOS!B:B
},
2,
FALSE
),
"REVISAR"
)
</f>
        <v>ENTREGADO</v>
      </c>
      <c r="P163" s="118"/>
      <c r="Q163" s="122">
        <f t="shared" si="1"/>
        <v>0</v>
      </c>
      <c r="R163" s="118"/>
      <c r="S163" s="118"/>
      <c r="T163" s="118">
        <f t="array" ref="T163">IFERROR(
INDEX(REPORTE_DROPI!B:B,
MATCH(
CLEAN(TRIM(C163)),
CLEAN(TRIM(REPORTE_DROPI!E:E)),
0
)
),
""
)
</f>
        <v>4092436</v>
      </c>
      <c r="U163" s="118">
        <v>6.40364616094E12</v>
      </c>
      <c r="V163" s="78"/>
      <c r="W163" s="78"/>
      <c r="X163" s="78"/>
      <c r="Y163" s="78"/>
      <c r="Z163" s="78"/>
    </row>
    <row r="164" ht="22.5" customHeight="1">
      <c r="A164" s="118">
        <v>163.0</v>
      </c>
      <c r="B164" s="119">
        <v>46032.0</v>
      </c>
      <c r="C164" s="118" t="s">
        <v>3999</v>
      </c>
      <c r="D164" s="118" t="str">
        <f>IFERROR(__xludf.DUMMYFUNCTION("IFERROR(
  INDEX(
    FILTER(
      'NOMBRE DE PRODUCTOS'!B:B,
      REGEXMATCH(
        UPPER(
          INDEX(
            REPORTE_DROPI!AC:AC,
            MATCH(T164, REPORTE_DROPI!B:B, 0)
          )
        ),
        UPPER('NOMBRE DE PRODUCTOS'!A:A)"&amp;"
      )
    ),
    1
  ),
  ""REVISAR""
)
"),"Cuchillo Tazaki™")</f>
        <v>Cuchillo Tazaki™</v>
      </c>
      <c r="E164" s="120" t="str">
        <f t="array" ref="E164">IF(
UPPER(TRIM(CLEAN($O164)))="ENTREGADO",
IFERROR(
INDEX(REPORTE_DROPI!Y:Y,
MATCH($T164, REPORTE_DROPI!B:B, 0)
),
""
),
""
)
</f>
        <v/>
      </c>
      <c r="F164" s="121">
        <v>2.0</v>
      </c>
      <c r="G164" s="122" t="str">
        <f t="array" ref="G164">IF(
UPPER(TRIM(CLEAN($O164)))="ENTREGADO",
IFERROR(
INDEX(REPORTE_DROPI!R:R,
MATCH($T164, REPORTE_DROPI!B:B, 0)
),
""
),
""
)
</f>
        <v/>
      </c>
      <c r="H164" s="118" t="s">
        <v>3727</v>
      </c>
      <c r="I164" s="118" t="s">
        <v>3740</v>
      </c>
      <c r="J164" s="121" t="str">
        <f t="array" ref="J164">IF(
UPPER(TRIM(CLEAN($O164)))="ENTREGADO",
IFERROR(
INDEX(REPORTE_DROPI!T:T,
MATCH($T164, REPORTE_DROPI!B:B, 0)
),
""
),
""
)
</f>
        <v/>
      </c>
      <c r="K164" s="118" t="str">
        <f t="array" ref="K164">IFERROR(
INDEX(REPORTE_DROPI!S:S,
MATCH($T164, REPORTE_DROPI!B:B, 0)
),
""
)
</f>
        <v/>
      </c>
      <c r="L164" s="118" t="str">
        <f>IF(
  O164&lt;&gt;"DEVOLUCION",
  "",
  IF(
    T164="",
    "",
    SUMIF(DEVOLUCION!F:F, T164, DEVOLUCION!D:D)
  )
)
</f>
        <v/>
      </c>
      <c r="M164" s="118"/>
      <c r="N164" s="118" t="s">
        <v>4000</v>
      </c>
      <c r="O164" s="118" t="str">
        <f t="array" ref="O164">IFERROR(
VLOOKUP(
TRIM(CLEAN(
INDEX(REPORTE_DROPI!K:K,
MATCH(T164, REPORTE_DROPI!B:B, 0)
))),
{
TRIM(CLEAN(MAPA_ESTADOS!A:A)) ,
MAPA_ESTADOS!B:B
},
2,
FALSE
),
"REVISAR"
)
</f>
        <v>CANCELADO</v>
      </c>
      <c r="P164" s="118" t="s">
        <v>4001</v>
      </c>
      <c r="Q164" s="122">
        <f t="shared" si="1"/>
        <v>0</v>
      </c>
      <c r="R164" s="118"/>
      <c r="S164" s="118"/>
      <c r="T164" s="118">
        <f t="array" ref="T164">IFERROR(
INDEX(REPORTE_DROPI!B:B,
MATCH(
CLEAN(TRIM(C164)),
CLEAN(TRIM(REPORTE_DROPI!E:E)),
0
)
),
""
)
</f>
        <v>4092444</v>
      </c>
      <c r="U164" s="118">
        <v>6.403647340588E12</v>
      </c>
      <c r="V164" s="78"/>
      <c r="W164" s="78"/>
      <c r="X164" s="78"/>
      <c r="Y164" s="78"/>
      <c r="Z164" s="78"/>
    </row>
    <row r="165" ht="22.5" customHeight="1">
      <c r="A165" s="118">
        <v>164.0</v>
      </c>
      <c r="B165" s="119">
        <v>46032.0</v>
      </c>
      <c r="C165" s="118" t="s">
        <v>4002</v>
      </c>
      <c r="D165" s="118" t="str">
        <f>IFERROR(__xludf.DUMMYFUNCTION("IFERROR(
  INDEX(
    FILTER(
      'NOMBRE DE PRODUCTOS'!B:B,
      REGEXMATCH(
        UPPER(
          INDEX(
            REPORTE_DROPI!AC:AC,
            MATCH(T165, REPORTE_DROPI!B:B, 0)
          )
        ),
        UPPER('NOMBRE DE PRODUCTOS'!A:A)"&amp;"
      )
    ),
    1
  ),
  ""REVISAR""
)
"),"Cuchillo Tazaki™")</f>
        <v>Cuchillo Tazaki™</v>
      </c>
      <c r="E165" s="120">
        <f t="array" ref="E165">IF(
UPPER(TRIM(CLEAN($O165)))="ENTREGADO",
IFERROR(
INDEX(REPORTE_DROPI!Y:Y,
MATCH($T165, REPORTE_DROPI!B:B, 0)
),
""
),
""
)
</f>
        <v>10.4</v>
      </c>
      <c r="F165" s="121">
        <v>4.0</v>
      </c>
      <c r="G165" s="122">
        <f t="array" ref="G165">IF(
UPPER(TRIM(CLEAN($O165)))="ENTREGADO",
IFERROR(
INDEX(REPORTE_DROPI!R:R,
MATCH($T165, REPORTE_DROPI!B:B, 0)
),
""
),
""
)
</f>
        <v>32</v>
      </c>
      <c r="H165" s="118" t="s">
        <v>3727</v>
      </c>
      <c r="I165" s="118" t="s">
        <v>3740</v>
      </c>
      <c r="J165" s="121">
        <f t="array" ref="J165">IF(
UPPER(TRIM(CLEAN($O165)))="ENTREGADO",
IFERROR(
INDEX(REPORTE_DROPI!T:T,
MATCH($T165, REPORTE_DROPI!B:B, 0)
),
""
),
""
)
</f>
        <v>7.85</v>
      </c>
      <c r="K165" s="118">
        <f t="array" ref="K165">IFERROR(
INDEX(REPORTE_DROPI!S:S,
MATCH($T165, REPORTE_DROPI!B:B, 0)
),
""
)
</f>
        <v>13.75</v>
      </c>
      <c r="L165" s="118" t="str">
        <f>IF(
  O165&lt;&gt;"DEVOLUCION",
  "",
  IF(
    T165="",
    "",
    SUMIF(DEVOLUCION!F:F, T165, DEVOLUCION!D:D)
  )
)
</f>
        <v/>
      </c>
      <c r="M165" s="118"/>
      <c r="N165" s="118" t="s">
        <v>4003</v>
      </c>
      <c r="O165" s="118" t="str">
        <f t="array" ref="O165">IFERROR(
VLOOKUP(
TRIM(CLEAN(
INDEX(REPORTE_DROPI!K:K,
MATCH(T165, REPORTE_DROPI!B:B, 0)
))),
{
TRIM(CLEAN(MAPA_ESTADOS!A:A)) ,
MAPA_ESTADOS!B:B
},
2,
FALSE
),
"REVISAR"
)
</f>
        <v>ENTREGADO</v>
      </c>
      <c r="P165" s="118"/>
      <c r="Q165" s="122">
        <f t="shared" si="1"/>
        <v>0</v>
      </c>
      <c r="R165" s="118"/>
      <c r="S165" s="118"/>
      <c r="T165" s="118">
        <f t="array" ref="T165">IFERROR(
INDEX(REPORTE_DROPI!B:B,
MATCH(
CLEAN(TRIM(C165)),
CLEAN(TRIM(REPORTE_DROPI!E:E)),
0
)
),
""
)
</f>
        <v>4092499</v>
      </c>
      <c r="U165" s="118">
        <v>6.403657695276E12</v>
      </c>
      <c r="V165" s="78"/>
      <c r="W165" s="78"/>
      <c r="X165" s="78"/>
      <c r="Y165" s="78"/>
      <c r="Z165" s="78"/>
    </row>
    <row r="166" ht="22.5" customHeight="1">
      <c r="A166" s="118">
        <v>165.0</v>
      </c>
      <c r="B166" s="119">
        <v>46032.0</v>
      </c>
      <c r="C166" s="118" t="s">
        <v>4004</v>
      </c>
      <c r="D166" s="118" t="str">
        <f>IFERROR(__xludf.DUMMYFUNCTION("IFERROR(
  INDEX(
    FILTER(
      'NOMBRE DE PRODUCTOS'!B:B,
      REGEXMATCH(
        UPPER(
          INDEX(
            REPORTE_DROPI!AC:AC,
            MATCH(T166, REPORTE_DROPI!B:B, 0)
          )
        ),
        UPPER('NOMBRE DE PRODUCTOS'!A:A)"&amp;"
      )
    ),
    1
  ),
  ""REVISAR""
)
"),"Cuchillo Tazaki™")</f>
        <v>Cuchillo Tazaki™</v>
      </c>
      <c r="E166" s="120">
        <f t="array" ref="E166">IF(
UPPER(TRIM(CLEAN($O166)))="ENTREGADO",
IFERROR(
INDEX(REPORTE_DROPI!Y:Y,
MATCH($T166, REPORTE_DROPI!B:B, 0)
),
""
),
""
)
</f>
        <v>10.4</v>
      </c>
      <c r="F166" s="121">
        <v>4.0</v>
      </c>
      <c r="G166" s="122">
        <f t="array" ref="G166">IF(
UPPER(TRIM(CLEAN($O166)))="ENTREGADO",
IFERROR(
INDEX(REPORTE_DROPI!R:R,
MATCH($T166, REPORTE_DROPI!B:B, 0)
),
""
),
""
)
</f>
        <v>32</v>
      </c>
      <c r="H166" s="118" t="s">
        <v>3727</v>
      </c>
      <c r="I166" s="118" t="s">
        <v>3969</v>
      </c>
      <c r="J166" s="121">
        <f t="array" ref="J166">IF(
UPPER(TRIM(CLEAN($O166)))="ENTREGADO",
IFERROR(
INDEX(REPORTE_DROPI!T:T,
MATCH($T166, REPORTE_DROPI!B:B, 0)
),
""
),
""
)
</f>
        <v>7.85</v>
      </c>
      <c r="K166" s="118">
        <f t="array" ref="K166">IFERROR(
INDEX(REPORTE_DROPI!S:S,
MATCH($T166, REPORTE_DROPI!B:B, 0)
),
""
)
</f>
        <v>13.75</v>
      </c>
      <c r="L166" s="118" t="str">
        <f>IF(
  O166&lt;&gt;"DEVOLUCION",
  "",
  IF(
    T166="",
    "",
    SUMIF(DEVOLUCION!F:F, T166, DEVOLUCION!D:D)
  )
)
</f>
        <v/>
      </c>
      <c r="M166" s="118"/>
      <c r="N166" s="118" t="s">
        <v>4005</v>
      </c>
      <c r="O166" s="118" t="str">
        <f t="array" ref="O166">IFERROR(
VLOOKUP(
TRIM(CLEAN(
INDEX(REPORTE_DROPI!K:K,
MATCH(T166, REPORTE_DROPI!B:B, 0)
))),
{
TRIM(CLEAN(MAPA_ESTADOS!A:A)) ,
MAPA_ESTADOS!B:B
},
2,
FALSE
),
"REVISAR"
)
</f>
        <v>ENTREGADO</v>
      </c>
      <c r="P166" s="118"/>
      <c r="Q166" s="122">
        <f t="shared" si="1"/>
        <v>0</v>
      </c>
      <c r="R166" s="118"/>
      <c r="S166" s="118"/>
      <c r="T166" s="118">
        <f t="array" ref="T166">IFERROR(
INDEX(REPORTE_DROPI!B:B,
MATCH(
CLEAN(TRIM(C166)),
CLEAN(TRIM(REPORTE_DROPI!E:E)),
0
)
),
""
)
</f>
        <v>4092536</v>
      </c>
      <c r="U166" s="118">
        <v>6.403668148268E12</v>
      </c>
      <c r="V166" s="78"/>
      <c r="W166" s="78"/>
      <c r="X166" s="78"/>
      <c r="Y166" s="78"/>
      <c r="Z166" s="78"/>
    </row>
    <row r="167" ht="22.5" customHeight="1">
      <c r="A167" s="118">
        <v>166.0</v>
      </c>
      <c r="B167" s="119">
        <v>46032.0</v>
      </c>
      <c r="C167" s="118" t="s">
        <v>4006</v>
      </c>
      <c r="D167" s="118" t="str">
        <f>IFERROR(__xludf.DUMMYFUNCTION("IFERROR(
  INDEX(
    FILTER(
      'NOMBRE DE PRODUCTOS'!B:B,
      REGEXMATCH(
        UPPER(
          INDEX(
            REPORTE_DROPI!AC:AC,
            MATCH(T167, REPORTE_DROPI!B:B, 0)
          )
        ),
        UPPER('NOMBRE DE PRODUCTOS'!A:A)"&amp;"
      )
    ),
    1
  ),
  ""REVISAR""
)
"),"Cuchillo Tazaki™")</f>
        <v>Cuchillo Tazaki™</v>
      </c>
      <c r="E167" s="120">
        <f t="array" ref="E167">IF(
UPPER(TRIM(CLEAN($O167)))="ENTREGADO",
IFERROR(
INDEX(REPORTE_DROPI!Y:Y,
MATCH($T167, REPORTE_DROPI!B:B, 0)
),
""
),
""
)
</f>
        <v>5.2</v>
      </c>
      <c r="F167" s="121">
        <v>2.0</v>
      </c>
      <c r="G167" s="122">
        <f t="array" ref="G167">IF(
UPPER(TRIM(CLEAN($O167)))="ENTREGADO",
IFERROR(
INDEX(REPORTE_DROPI!R:R,
MATCH($T167, REPORTE_DROPI!B:B, 0)
),
""
),
""
)
</f>
        <v>22</v>
      </c>
      <c r="H167" s="118" t="s">
        <v>3727</v>
      </c>
      <c r="I167" s="118" t="s">
        <v>3778</v>
      </c>
      <c r="J167" s="121">
        <f t="array" ref="J167">IF(
UPPER(TRIM(CLEAN($O167)))="ENTREGADO",
IFERROR(
INDEX(REPORTE_DROPI!T:T,
MATCH($T167, REPORTE_DROPI!B:B, 0)
),
""
),
""
)
</f>
        <v>7.7</v>
      </c>
      <c r="K167" s="118">
        <f t="array" ref="K167">IFERROR(
INDEX(REPORTE_DROPI!S:S,
MATCH($T167, REPORTE_DROPI!B:B, 0)
),
""
)
</f>
        <v>9.1</v>
      </c>
      <c r="L167" s="118" t="str">
        <f>IF(
  O167&lt;&gt;"DEVOLUCION",
  "",
  IF(
    T167="",
    "",
    SUMIF(DEVOLUCION!F:F, T167, DEVOLUCION!D:D)
  )
)
</f>
        <v/>
      </c>
      <c r="M167" s="118" t="s">
        <v>3870</v>
      </c>
      <c r="N167" s="118" t="s">
        <v>4007</v>
      </c>
      <c r="O167" s="118" t="str">
        <f t="array" ref="O167">IFERROR(
VLOOKUP(
TRIM(CLEAN(
INDEX(REPORTE_DROPI!K:K,
MATCH(T167, REPORTE_DROPI!B:B, 0)
))),
{
TRIM(CLEAN(MAPA_ESTADOS!A:A)) ,
MAPA_ESTADOS!B:B
},
2,
FALSE
),
"REVISAR"
)
</f>
        <v>ENTREGADO</v>
      </c>
      <c r="P167" s="118" t="s">
        <v>3888</v>
      </c>
      <c r="Q167" s="122">
        <f t="shared" si="1"/>
        <v>0</v>
      </c>
      <c r="R167" s="118"/>
      <c r="S167" s="118"/>
      <c r="T167" s="118">
        <f t="array" ref="T167">IFERROR(
INDEX(REPORTE_DROPI!B:B,
MATCH(
CLEAN(TRIM(C167)),
CLEAN(TRIM(REPORTE_DROPI!E:E)),
0
)
),
""
)
</f>
        <v>4118141</v>
      </c>
      <c r="U167" s="118">
        <v>6.403746857004E12</v>
      </c>
      <c r="V167" s="78"/>
      <c r="W167" s="78"/>
      <c r="X167" s="78"/>
      <c r="Y167" s="78"/>
      <c r="Z167" s="78"/>
    </row>
    <row r="168" ht="22.5" customHeight="1">
      <c r="A168" s="118">
        <v>167.0</v>
      </c>
      <c r="B168" s="119">
        <v>46032.0</v>
      </c>
      <c r="C168" s="118" t="s">
        <v>4008</v>
      </c>
      <c r="D168" s="118" t="str">
        <f>IFERROR(__xludf.DUMMYFUNCTION("IFERROR(
  INDEX(
    FILTER(
      'NOMBRE DE PRODUCTOS'!B:B,
      REGEXMATCH(
        UPPER(
          INDEX(
            REPORTE_DROPI!AC:AC,
            MATCH(T168, REPORTE_DROPI!B:B, 0)
          )
        ),
        UPPER('NOMBRE DE PRODUCTOS'!A:A)"&amp;"
      )
    ),
    1
  ),
  ""REVISAR""
)
"),"FilmPro®")</f>
        <v>FilmPro®</v>
      </c>
      <c r="E168" s="120">
        <f t="array" ref="E168">IF(
UPPER(TRIM(CLEAN($O168)))="ENTREGADO",
IFERROR(
INDEX(REPORTE_DROPI!Y:Y,
MATCH($T168, REPORTE_DROPI!B:B, 0)
),
""
),
""
)
</f>
        <v>2.79</v>
      </c>
      <c r="F168" s="121">
        <v>1.0</v>
      </c>
      <c r="G168" s="122">
        <f t="array" ref="G168">IF(
UPPER(TRIM(CLEAN($O168)))="ENTREGADO",
IFERROR(
INDEX(REPORTE_DROPI!R:R,
MATCH($T168, REPORTE_DROPI!B:B, 0)
),
""
),
""
)
</f>
        <v>20</v>
      </c>
      <c r="H168" s="118" t="s">
        <v>3727</v>
      </c>
      <c r="I168" s="118" t="s">
        <v>3731</v>
      </c>
      <c r="J168" s="121">
        <f t="array" ref="J168">IF(
UPPER(TRIM(CLEAN($O168)))="ENTREGADO",
IFERROR(
INDEX(REPORTE_DROPI!T:T,
MATCH($T168, REPORTE_DROPI!B:B, 0)
),
""
),
""
)
</f>
        <v>5.76</v>
      </c>
      <c r="K168" s="118">
        <f t="array" ref="K168">IFERROR(
INDEX(REPORTE_DROPI!S:S,
MATCH($T168, REPORTE_DROPI!B:B, 0)
),
""
)
</f>
        <v>11.45</v>
      </c>
      <c r="L168" s="118" t="str">
        <f>IF(
  O168&lt;&gt;"DEVOLUCION",
  "",
  IF(
    T168="",
    "",
    SUMIF(DEVOLUCION!F:F, T168, DEVOLUCION!D:D)
  )
)
</f>
        <v/>
      </c>
      <c r="M168" s="118"/>
      <c r="N168" s="118" t="s">
        <v>4009</v>
      </c>
      <c r="O168" s="118" t="str">
        <f t="array" ref="O168">IFERROR(
VLOOKUP(
TRIM(CLEAN(
INDEX(REPORTE_DROPI!K:K,
MATCH(T168, REPORTE_DROPI!B:B, 0)
))),
{
TRIM(CLEAN(MAPA_ESTADOS!A:A)) ,
MAPA_ESTADOS!B:B
},
2,
FALSE
),
"REVISAR"
)
</f>
        <v>ENTREGADO</v>
      </c>
      <c r="P168" s="118"/>
      <c r="Q168" s="122">
        <f t="shared" si="1"/>
        <v>0</v>
      </c>
      <c r="R168" s="118"/>
      <c r="S168" s="118"/>
      <c r="T168" s="118">
        <f t="array" ref="T168">IFERROR(
INDEX(REPORTE_DROPI!B:B,
MATCH(
CLEAN(TRIM(C168)),
CLEAN(TRIM(REPORTE_DROPI!E:E)),
0
)
),
""
)
</f>
        <v>4093222</v>
      </c>
      <c r="U168" s="118">
        <v>6.403788308524E12</v>
      </c>
      <c r="V168" s="78"/>
      <c r="W168" s="78"/>
      <c r="X168" s="78"/>
      <c r="Y168" s="78"/>
      <c r="Z168" s="78"/>
    </row>
    <row r="169" ht="22.5" customHeight="1">
      <c r="A169" s="118">
        <v>168.0</v>
      </c>
      <c r="B169" s="119">
        <v>46032.0</v>
      </c>
      <c r="C169" s="118" t="s">
        <v>4010</v>
      </c>
      <c r="D169" s="118" t="str">
        <f>IFERROR(__xludf.DUMMYFUNCTION("IFERROR(
  INDEX(
    FILTER(
      'NOMBRE DE PRODUCTOS'!B:B,
      REGEXMATCH(
        UPPER(
          INDEX(
            REPORTE_DROPI!AC:AC,
            MATCH(T169, REPORTE_DROPI!B:B, 0)
          )
        ),
        UPPER('NOMBRE DE PRODUCTOS'!A:A)"&amp;"
      )
    ),
    1
  ),
  ""REVISAR""
)
"),"FilmPro®")</f>
        <v>FilmPro®</v>
      </c>
      <c r="E169" s="120">
        <f t="array" ref="E169">IF(
UPPER(TRIM(CLEAN($O169)))="ENTREGADO",
IFERROR(
INDEX(REPORTE_DROPI!Y:Y,
MATCH($T169, REPORTE_DROPI!B:B, 0)
),
""
),
""
)
</f>
        <v>5.58</v>
      </c>
      <c r="F169" s="121">
        <v>2.0</v>
      </c>
      <c r="G169" s="122">
        <f t="array" ref="G169">IF(
UPPER(TRIM(CLEAN($O169)))="ENTREGADO",
IFERROR(
INDEX(REPORTE_DROPI!R:R,
MATCH($T169, REPORTE_DROPI!B:B, 0)
),
""
),
""
)
</f>
        <v>25</v>
      </c>
      <c r="H169" s="118" t="s">
        <v>3727</v>
      </c>
      <c r="I169" s="118" t="s">
        <v>3728</v>
      </c>
      <c r="J169" s="121">
        <f t="array" ref="J169">IF(
UPPER(TRIM(CLEAN($O169)))="ENTREGADO",
IFERROR(
INDEX(REPORTE_DROPI!T:T,
MATCH($T169, REPORTE_DROPI!B:B, 0)
),
""
),
""
)
</f>
        <v>5.96</v>
      </c>
      <c r="K169" s="118">
        <f t="array" ref="K169">IFERROR(
INDEX(REPORTE_DROPI!S:S,
MATCH($T169, REPORTE_DROPI!B:B, 0)
),
""
)
</f>
        <v>13.46</v>
      </c>
      <c r="L169" s="118" t="str">
        <f>IF(
  O169&lt;&gt;"DEVOLUCION",
  "",
  IF(
    T169="",
    "",
    SUMIF(DEVOLUCION!F:F, T169, DEVOLUCION!D:D)
  )
)
</f>
        <v/>
      </c>
      <c r="M169" s="118"/>
      <c r="N169" s="118" t="s">
        <v>4011</v>
      </c>
      <c r="O169" s="118" t="str">
        <f t="array" ref="O169">IFERROR(
VLOOKUP(
TRIM(CLEAN(
INDEX(REPORTE_DROPI!K:K,
MATCH(T169, REPORTE_DROPI!B:B, 0)
))),
{
TRIM(CLEAN(MAPA_ESTADOS!A:A)) ,
MAPA_ESTADOS!B:B
},
2,
FALSE
),
"REVISAR"
)
</f>
        <v>ENTREGADO</v>
      </c>
      <c r="P169" s="118"/>
      <c r="Q169" s="122">
        <f t="shared" si="1"/>
        <v>0</v>
      </c>
      <c r="R169" s="118"/>
      <c r="S169" s="118"/>
      <c r="T169" s="118">
        <f t="array" ref="T169">IFERROR(
INDEX(REPORTE_DROPI!B:B,
MATCH(
CLEAN(TRIM(C169)),
CLEAN(TRIM(REPORTE_DROPI!E:E)),
0
)
),
""
)
</f>
        <v>4093223</v>
      </c>
      <c r="U169" s="118">
        <v>6.403788439596E12</v>
      </c>
      <c r="V169" s="78"/>
      <c r="W169" s="78"/>
      <c r="X169" s="78"/>
      <c r="Y169" s="78"/>
      <c r="Z169" s="78"/>
    </row>
    <row r="170" ht="22.5" customHeight="1">
      <c r="A170" s="118">
        <v>169.0</v>
      </c>
      <c r="B170" s="119">
        <v>46032.0</v>
      </c>
      <c r="C170" s="118" t="s">
        <v>4012</v>
      </c>
      <c r="D170" s="118" t="str">
        <f>IFERROR(__xludf.DUMMYFUNCTION("IFERROR(
  INDEX(
    FILTER(
      'NOMBRE DE PRODUCTOS'!B:B,
      REGEXMATCH(
        UPPER(
          INDEX(
            REPORTE_DROPI!AC:AC,
            MATCH(T170, REPORTE_DROPI!B:B, 0)
          )
        ),
        UPPER('NOMBRE DE PRODUCTOS'!A:A)"&amp;"
      )
    ),
    1
  ),
  ""REVISAR""
)
"),"Cuchillo Tazaki™")</f>
        <v>Cuchillo Tazaki™</v>
      </c>
      <c r="E170" s="120" t="str">
        <f t="array" ref="E170">IF(
UPPER(TRIM(CLEAN($O170)))="ENTREGADO",
IFERROR(
INDEX(REPORTE_DROPI!Y:Y,
MATCH($T170, REPORTE_DROPI!B:B, 0)
),
""
),
""
)
</f>
        <v/>
      </c>
      <c r="F170" s="121">
        <v>2.0</v>
      </c>
      <c r="G170" s="122" t="str">
        <f t="array" ref="G170">IF(
UPPER(TRIM(CLEAN($O170)))="ENTREGADO",
IFERROR(
INDEX(REPORTE_DROPI!R:R,
MATCH($T170, REPORTE_DROPI!B:B, 0)
),
""
),
""
)
</f>
        <v/>
      </c>
      <c r="H170" s="118" t="s">
        <v>3727</v>
      </c>
      <c r="I170" s="118" t="s">
        <v>3772</v>
      </c>
      <c r="J170" s="121" t="str">
        <f t="array" ref="J170">IF(
UPPER(TRIM(CLEAN($O170)))="ENTREGADO",
IFERROR(
INDEX(REPORTE_DROPI!T:T,
MATCH($T170, REPORTE_DROPI!B:B, 0)
),
""
),
""
)
</f>
        <v/>
      </c>
      <c r="K170" s="118" t="str">
        <f t="array" ref="K170">IFERROR(
INDEX(REPORTE_DROPI!S:S,
MATCH($T170, REPORTE_DROPI!B:B, 0)
),
""
)
</f>
        <v/>
      </c>
      <c r="L170" s="118">
        <f>IF(
  O170&lt;&gt;"DEVOLUCION",
  "",
  IF(
    T170="",
    "",
    SUMIF(DEVOLUCION!F:F, T170, DEVOLUCION!D:D)
  )
)
</f>
        <v>5.07</v>
      </c>
      <c r="M170" s="118" t="s">
        <v>3870</v>
      </c>
      <c r="N170" s="118" t="s">
        <v>4013</v>
      </c>
      <c r="O170" s="118" t="str">
        <f t="array" ref="O170">IFERROR(
VLOOKUP(
TRIM(CLEAN(
INDEX(REPORTE_DROPI!K:K,
MATCH(T170, REPORTE_DROPI!B:B, 0)
))),
{
TRIM(CLEAN(MAPA_ESTADOS!A:A)) ,
MAPA_ESTADOS!B:B
},
2,
FALSE
),
"REVISAR"
)
</f>
        <v>DEVOLUCION</v>
      </c>
      <c r="P170" s="118" t="s">
        <v>3655</v>
      </c>
      <c r="Q170" s="122">
        <f t="shared" si="1"/>
        <v>0</v>
      </c>
      <c r="R170" s="118"/>
      <c r="S170" s="118"/>
      <c r="T170" s="118">
        <f t="array" ref="T170">IFERROR(
INDEX(REPORTE_DROPI!B:B,
MATCH(
CLEAN(TRIM(C170)),
CLEAN(TRIM(REPORTE_DROPI!E:E)),
0
)
),
""
)
</f>
        <v>4093261</v>
      </c>
      <c r="U170" s="118">
        <v>6.403797647404E12</v>
      </c>
      <c r="V170" s="78"/>
      <c r="W170" s="78"/>
      <c r="X170" s="78"/>
      <c r="Y170" s="78"/>
      <c r="Z170" s="78"/>
    </row>
    <row r="171" ht="22.5" customHeight="1">
      <c r="A171" s="118">
        <v>170.0</v>
      </c>
      <c r="B171" s="119">
        <v>46032.0</v>
      </c>
      <c r="C171" s="118" t="s">
        <v>4014</v>
      </c>
      <c r="D171" s="118" t="str">
        <f>IFERROR(__xludf.DUMMYFUNCTION("IFERROR(
  INDEX(
    FILTER(
      'NOMBRE DE PRODUCTOS'!B:B,
      REGEXMATCH(
        UPPER(
          INDEX(
            REPORTE_DROPI!AC:AC,
            MATCH(T171, REPORTE_DROPI!B:B, 0)
          )
        ),
        UPPER('NOMBRE DE PRODUCTOS'!A:A)"&amp;"
      )
    ),
    1
  ),
  ""REVISAR""
)
"),"Cuchillo Tazaki™")</f>
        <v>Cuchillo Tazaki™</v>
      </c>
      <c r="E171" s="120">
        <f t="array" ref="E171">IF(
UPPER(TRIM(CLEAN($O171)))="ENTREGADO",
IFERROR(
INDEX(REPORTE_DROPI!Y:Y,
MATCH($T171, REPORTE_DROPI!B:B, 0)
),
""
),
""
)
</f>
        <v>5.2</v>
      </c>
      <c r="F171" s="121">
        <v>2.0</v>
      </c>
      <c r="G171" s="122">
        <f t="array" ref="G171">IF(
UPPER(TRIM(CLEAN($O171)))="ENTREGADO",
IFERROR(
INDEX(REPORTE_DROPI!R:R,
MATCH($T171, REPORTE_DROPI!B:B, 0)
),
""
),
""
)
</f>
        <v>22</v>
      </c>
      <c r="H171" s="118" t="s">
        <v>3727</v>
      </c>
      <c r="I171" s="118" t="s">
        <v>3772</v>
      </c>
      <c r="J171" s="121">
        <f t="array" ref="J171">IF(
UPPER(TRIM(CLEAN($O171)))="ENTREGADO",
IFERROR(
INDEX(REPORTE_DROPI!T:T,
MATCH($T171, REPORTE_DROPI!B:B, 0)
),
""
),
""
)
</f>
        <v>5.84</v>
      </c>
      <c r="K171" s="118">
        <f t="array" ref="K171">IFERROR(
INDEX(REPORTE_DROPI!S:S,
MATCH($T171, REPORTE_DROPI!B:B, 0)
),
""
)
</f>
        <v>10.96</v>
      </c>
      <c r="L171" s="118" t="str">
        <f>IF(
  O171&lt;&gt;"DEVOLUCION",
  "",
  IF(
    T171="",
    "",
    SUMIF(DEVOLUCION!F:F, T171, DEVOLUCION!D:D)
  )
)
</f>
        <v/>
      </c>
      <c r="M171" s="118"/>
      <c r="N171" s="118" t="s">
        <v>4015</v>
      </c>
      <c r="O171" s="118" t="str">
        <f t="array" ref="O171">IFERROR(
VLOOKUP(
TRIM(CLEAN(
INDEX(REPORTE_DROPI!K:K,
MATCH(T171, REPORTE_DROPI!B:B, 0)
))),
{
TRIM(CLEAN(MAPA_ESTADOS!A:A)) ,
MAPA_ESTADOS!B:B
},
2,
FALSE
),
"REVISAR"
)
</f>
        <v>ENTREGADO</v>
      </c>
      <c r="P171" s="118"/>
      <c r="Q171" s="122">
        <f t="shared" si="1"/>
        <v>0</v>
      </c>
      <c r="R171" s="118"/>
      <c r="S171" s="118"/>
      <c r="T171" s="118">
        <f t="array" ref="T171">IFERROR(
INDEX(REPORTE_DROPI!B:B,
MATCH(
CLEAN(TRIM(C171)),
CLEAN(TRIM(REPORTE_DROPI!E:E)),
0
)
),
""
)
</f>
        <v>4093391</v>
      </c>
      <c r="U171" s="118">
        <v>6.403830415404E12</v>
      </c>
      <c r="V171" s="78"/>
      <c r="W171" s="78"/>
      <c r="X171" s="78"/>
      <c r="Y171" s="78"/>
      <c r="Z171" s="78"/>
    </row>
    <row r="172" ht="22.5" customHeight="1">
      <c r="A172" s="118">
        <v>171.0</v>
      </c>
      <c r="B172" s="119">
        <v>46032.0</v>
      </c>
      <c r="C172" s="118" t="s">
        <v>4016</v>
      </c>
      <c r="D172" s="118" t="str">
        <f>IFERROR(__xludf.DUMMYFUNCTION("IFERROR(
  INDEX(
    FILTER(
      'NOMBRE DE PRODUCTOS'!B:B,
      REGEXMATCH(
        UPPER(
          INDEX(
            REPORTE_DROPI!AC:AC,
            MATCH(T172, REPORTE_DROPI!B:B, 0)
          )
        ),
        UPPER('NOMBRE DE PRODUCTOS'!A:A)"&amp;"
      )
    ),
    1
  ),
  ""REVISAR""
)
"),"FilmPro®")</f>
        <v>FilmPro®</v>
      </c>
      <c r="E172" s="120">
        <f t="array" ref="E172">IF(
UPPER(TRIM(CLEAN($O172)))="ENTREGADO",
IFERROR(
INDEX(REPORTE_DROPI!Y:Y,
MATCH($T172, REPORTE_DROPI!B:B, 0)
),
""
),
""
)
</f>
        <v>2.35</v>
      </c>
      <c r="F172" s="121">
        <v>2.0</v>
      </c>
      <c r="G172" s="122">
        <f t="array" ref="G172">IF(
UPPER(TRIM(CLEAN($O172)))="ENTREGADO",
IFERROR(
INDEX(REPORTE_DROPI!R:R,
MATCH($T172, REPORTE_DROPI!B:B, 0)
),
""
),
""
)
</f>
        <v>20</v>
      </c>
      <c r="H172" s="118" t="s">
        <v>3727</v>
      </c>
      <c r="I172" s="118" t="s">
        <v>3728</v>
      </c>
      <c r="J172" s="121">
        <f t="array" ref="J172">IF(
UPPER(TRIM(CLEAN($O172)))="ENTREGADO",
IFERROR(
INDEX(REPORTE_DROPI!T:T,
MATCH($T172, REPORTE_DROPI!B:B, 0)
),
""
),
""
)
</f>
        <v>7.67</v>
      </c>
      <c r="K172" s="118">
        <f t="array" ref="K172">IFERROR(
INDEX(REPORTE_DROPI!S:S,
MATCH($T172, REPORTE_DROPI!B:B, 0)
),
""
)
</f>
        <v>9.98</v>
      </c>
      <c r="L172" s="118" t="str">
        <f>IF(
  O172&lt;&gt;"DEVOLUCION",
  "",
  IF(
    T172="",
    "",
    SUMIF(DEVOLUCION!F:F, T172, DEVOLUCION!D:D)
  )
)
</f>
        <v/>
      </c>
      <c r="M172" s="118" t="s">
        <v>3870</v>
      </c>
      <c r="N172" s="118" t="s">
        <v>4017</v>
      </c>
      <c r="O172" s="118" t="str">
        <f t="array" ref="O172">IFERROR(
VLOOKUP(
TRIM(CLEAN(
INDEX(REPORTE_DROPI!K:K,
MATCH(T172, REPORTE_DROPI!B:B, 0)
))),
{
TRIM(CLEAN(MAPA_ESTADOS!A:A)) ,
MAPA_ESTADOS!B:B
},
2,
FALSE
),
"REVISAR"
)
</f>
        <v>ENTREGADO</v>
      </c>
      <c r="P172" s="118" t="s">
        <v>4018</v>
      </c>
      <c r="Q172" s="122">
        <f t="shared" si="1"/>
        <v>0</v>
      </c>
      <c r="R172" s="118"/>
      <c r="S172" s="118"/>
      <c r="T172" s="118">
        <f t="array" ref="T172">IFERROR(
INDEX(REPORTE_DROPI!B:B,
MATCH(
CLEAN(TRIM(C172)),
CLEAN(TRIM(REPORTE_DROPI!E:E)),
0
)
),
""
)
</f>
        <v>4299478</v>
      </c>
      <c r="U172" s="118">
        <v>6.403840507948E12</v>
      </c>
      <c r="V172" s="78"/>
      <c r="W172" s="78"/>
      <c r="X172" s="78"/>
      <c r="Y172" s="78"/>
      <c r="Z172" s="78"/>
    </row>
    <row r="173" ht="22.5" customHeight="1">
      <c r="A173" s="118">
        <v>172.0</v>
      </c>
      <c r="B173" s="119">
        <v>46032.0</v>
      </c>
      <c r="C173" s="118" t="s">
        <v>4019</v>
      </c>
      <c r="D173" s="118" t="str">
        <f>IFERROR(__xludf.DUMMYFUNCTION("IFERROR(
  INDEX(
    FILTER(
      'NOMBRE DE PRODUCTOS'!B:B,
      REGEXMATCH(
        UPPER(
          INDEX(
            REPORTE_DROPI!AC:AC,
            MATCH(T173, REPORTE_DROPI!B:B, 0)
          )
        ),
        UPPER('NOMBRE DE PRODUCTOS'!A:A)"&amp;"
      )
    ),
    1
  ),
  ""REVISAR""
)
"),"Cuchillo Tazaki™")</f>
        <v>Cuchillo Tazaki™</v>
      </c>
      <c r="E173" s="120" t="str">
        <f t="array" ref="E173">IF(
UPPER(TRIM(CLEAN($O173)))="ENTREGADO",
IFERROR(
INDEX(REPORTE_DROPI!Y:Y,
MATCH($T173, REPORTE_DROPI!B:B, 0)
),
""
),
""
)
</f>
        <v/>
      </c>
      <c r="F173" s="121">
        <v>2.0</v>
      </c>
      <c r="G173" s="122" t="str">
        <f t="array" ref="G173">IF(
UPPER(TRIM(CLEAN($O173)))="ENTREGADO",
IFERROR(
INDEX(REPORTE_DROPI!R:R,
MATCH($T173, REPORTE_DROPI!B:B, 0)
),
""
),
""
)
</f>
        <v/>
      </c>
      <c r="H173" s="118" t="s">
        <v>3727</v>
      </c>
      <c r="I173" s="118" t="s">
        <v>3798</v>
      </c>
      <c r="J173" s="121" t="str">
        <f t="array" ref="J173">IF(
UPPER(TRIM(CLEAN($O173)))="ENTREGADO",
IFERROR(
INDEX(REPORTE_DROPI!T:T,
MATCH($T173, REPORTE_DROPI!B:B, 0)
),
""
),
""
)
</f>
        <v/>
      </c>
      <c r="K173" s="118" t="str">
        <f t="array" ref="K173">IFERROR(
INDEX(REPORTE_DROPI!S:S,
MATCH($T173, REPORTE_DROPI!B:B, 0)
),
""
)
</f>
        <v/>
      </c>
      <c r="L173" s="118">
        <f>IF(
  O173&lt;&gt;"DEVOLUCION",
  "",
  IF(
    T173="",
    "",
    SUMIF(DEVOLUCION!F:F, T173, DEVOLUCION!D:D)
  )
)
</f>
        <v>7.7</v>
      </c>
      <c r="M173" s="118"/>
      <c r="N173" s="118" t="s">
        <v>4020</v>
      </c>
      <c r="O173" s="118" t="str">
        <f t="array" ref="O173">IFERROR(
VLOOKUP(
TRIM(CLEAN(
INDEX(REPORTE_DROPI!K:K,
MATCH(T173, REPORTE_DROPI!B:B, 0)
))),
{
TRIM(CLEAN(MAPA_ESTADOS!A:A)) ,
MAPA_ESTADOS!B:B
},
2,
FALSE
),
"REVISAR"
)
</f>
        <v>DEVOLUCION</v>
      </c>
      <c r="P173" s="118"/>
      <c r="Q173" s="122">
        <f t="shared" si="1"/>
        <v>0</v>
      </c>
      <c r="R173" s="118"/>
      <c r="S173" s="118"/>
      <c r="T173" s="118">
        <f t="array" ref="T173">IFERROR(
INDEX(REPORTE_DROPI!B:B,
MATCH(
CLEAN(TRIM(C173)),
CLEAN(TRIM(REPORTE_DROPI!E:E)),
0
)
),
""
)
</f>
        <v>4093451</v>
      </c>
      <c r="U173" s="118">
        <v>6.403841359916E12</v>
      </c>
      <c r="V173" s="78"/>
      <c r="W173" s="78"/>
      <c r="X173" s="78"/>
      <c r="Y173" s="78"/>
      <c r="Z173" s="78"/>
    </row>
    <row r="174" ht="22.5" customHeight="1">
      <c r="A174" s="118">
        <v>173.0</v>
      </c>
      <c r="B174" s="119">
        <v>46032.0</v>
      </c>
      <c r="C174" s="118" t="s">
        <v>4021</v>
      </c>
      <c r="D174" s="118" t="str">
        <f>IFERROR(__xludf.DUMMYFUNCTION("IFERROR(
  INDEX(
    FILTER(
      'NOMBRE DE PRODUCTOS'!B:B,
      REGEXMATCH(
        UPPER(
          INDEX(
            REPORTE_DROPI!AC:AC,
            MATCH(T174, REPORTE_DROPI!B:B, 0)
          )
        ),
        UPPER('NOMBRE DE PRODUCTOS'!A:A)"&amp;"
      )
    ),
    1
  ),
  ""REVISAR""
)
"),"Cuchillo Tazaki™")</f>
        <v>Cuchillo Tazaki™</v>
      </c>
      <c r="E174" s="120">
        <f t="array" ref="E174">IF(
UPPER(TRIM(CLEAN($O174)))="ENTREGADO",
IFERROR(
INDEX(REPORTE_DROPI!Y:Y,
MATCH($T174, REPORTE_DROPI!B:B, 0)
),
""
),
""
)
</f>
        <v>5.2</v>
      </c>
      <c r="F174" s="121">
        <v>2.0</v>
      </c>
      <c r="G174" s="122">
        <f t="array" ref="G174">IF(
UPPER(TRIM(CLEAN($O174)))="ENTREGADO",
IFERROR(
INDEX(REPORTE_DROPI!R:R,
MATCH($T174, REPORTE_DROPI!B:B, 0)
),
""
),
""
)
</f>
        <v>22</v>
      </c>
      <c r="H174" s="118" t="s">
        <v>3727</v>
      </c>
      <c r="I174" s="118" t="s">
        <v>3951</v>
      </c>
      <c r="J174" s="121">
        <f t="array" ref="J174">IF(
UPPER(TRIM(CLEAN($O174)))="ENTREGADO",
IFERROR(
INDEX(REPORTE_DROPI!T:T,
MATCH($T174, REPORTE_DROPI!B:B, 0)
),
""
),
""
)
</f>
        <v>5.84</v>
      </c>
      <c r="K174" s="118">
        <f t="array" ref="K174">IFERROR(
INDEX(REPORTE_DROPI!S:S,
MATCH($T174, REPORTE_DROPI!B:B, 0)
),
""
)
</f>
        <v>10.96</v>
      </c>
      <c r="L174" s="118" t="str">
        <f>IF(
  O174&lt;&gt;"DEVOLUCION",
  "",
  IF(
    T174="",
    "",
    SUMIF(DEVOLUCION!F:F, T174, DEVOLUCION!D:D)
  )
)
</f>
        <v/>
      </c>
      <c r="M174" s="118" t="s">
        <v>3870</v>
      </c>
      <c r="N174" s="118" t="s">
        <v>4022</v>
      </c>
      <c r="O174" s="118" t="str">
        <f t="array" ref="O174">IFERROR(
VLOOKUP(
TRIM(CLEAN(
INDEX(REPORTE_DROPI!K:K,
MATCH(T174, REPORTE_DROPI!B:B, 0)
))),
{
TRIM(CLEAN(MAPA_ESTADOS!A:A)) ,
MAPA_ESTADOS!B:B
},
2,
FALSE
),
"REVISAR"
)
</f>
        <v>ENTREGADO</v>
      </c>
      <c r="P174" s="118"/>
      <c r="Q174" s="122">
        <f t="shared" si="1"/>
        <v>0</v>
      </c>
      <c r="R174" s="118"/>
      <c r="S174" s="118"/>
      <c r="T174" s="118">
        <f t="array" ref="T174">IFERROR(
INDEX(REPORTE_DROPI!B:B,
MATCH(
CLEAN(TRIM(C174)),
CLEAN(TRIM(REPORTE_DROPI!E:E)),
0
)
),
""
)
</f>
        <v>4122164</v>
      </c>
      <c r="U174" s="118">
        <v>6.403850108972E12</v>
      </c>
      <c r="V174" s="78"/>
      <c r="W174" s="78"/>
      <c r="X174" s="78"/>
      <c r="Y174" s="78"/>
      <c r="Z174" s="78"/>
    </row>
    <row r="175" ht="22.5" customHeight="1">
      <c r="A175" s="118">
        <v>174.0</v>
      </c>
      <c r="B175" s="119">
        <v>46032.0</v>
      </c>
      <c r="C175" s="118" t="s">
        <v>4023</v>
      </c>
      <c r="D175" s="118" t="str">
        <f>IFERROR(__xludf.DUMMYFUNCTION("IFERROR(
  INDEX(
    FILTER(
      'NOMBRE DE PRODUCTOS'!B:B,
      REGEXMATCH(
        UPPER(
          INDEX(
            REPORTE_DROPI!AC:AC,
            MATCH(T175, REPORTE_DROPI!B:B, 0)
          )
        ),
        UPPER('NOMBRE DE PRODUCTOS'!A:A)"&amp;"
      )
    ),
    1
  ),
  ""REVISAR""
)
"),"Cuchillo Tazaki™")</f>
        <v>Cuchillo Tazaki™</v>
      </c>
      <c r="E175" s="120" t="str">
        <f t="array" ref="E175">IF(
UPPER(TRIM(CLEAN($O175)))="ENTREGADO",
IFERROR(
INDEX(REPORTE_DROPI!Y:Y,
MATCH($T175, REPORTE_DROPI!B:B, 0)
),
""
),
""
)
</f>
        <v/>
      </c>
      <c r="F175" s="121">
        <v>4.0</v>
      </c>
      <c r="G175" s="122" t="str">
        <f t="array" ref="G175">IF(
UPPER(TRIM(CLEAN($O175)))="ENTREGADO",
IFERROR(
INDEX(REPORTE_DROPI!R:R,
MATCH($T175, REPORTE_DROPI!B:B, 0)
),
""
),
""
)
</f>
        <v/>
      </c>
      <c r="H175" s="118" t="s">
        <v>3727</v>
      </c>
      <c r="I175" s="118" t="s">
        <v>3731</v>
      </c>
      <c r="J175" s="121" t="str">
        <f t="array" ref="J175">IF(
UPPER(TRIM(CLEAN($O175)))="ENTREGADO",
IFERROR(
INDEX(REPORTE_DROPI!T:T,
MATCH($T175, REPORTE_DROPI!B:B, 0)
),
""
),
""
)
</f>
        <v/>
      </c>
      <c r="K175" s="118" t="str">
        <f t="array" ref="K175">IFERROR(
INDEX(REPORTE_DROPI!S:S,
MATCH($T175, REPORTE_DROPI!B:B, 0)
),
""
)
</f>
        <v/>
      </c>
      <c r="L175" s="118" t="str">
        <f>IF(
  O175&lt;&gt;"DEVOLUCION",
  "",
  IF(
    T175="",
    "",
    SUMIF(DEVOLUCION!F:F, T175, DEVOLUCION!D:D)
  )
)
</f>
        <v/>
      </c>
      <c r="M175" s="118"/>
      <c r="N175" s="118" t="s">
        <v>4024</v>
      </c>
      <c r="O175" s="118" t="str">
        <f t="array" ref="O175">IFERROR(
VLOOKUP(
TRIM(CLEAN(
INDEX(REPORTE_DROPI!K:K,
MATCH(T175, REPORTE_DROPI!B:B, 0)
))),
{
TRIM(CLEAN(MAPA_ESTADOS!A:A)) ,
MAPA_ESTADOS!B:B
},
2,
FALSE
),
"REVISAR"
)
</f>
        <v>CANCELADO</v>
      </c>
      <c r="P175" s="118" t="s">
        <v>4025</v>
      </c>
      <c r="Q175" s="122">
        <f t="shared" si="1"/>
        <v>0</v>
      </c>
      <c r="R175" s="118"/>
      <c r="S175" s="118"/>
      <c r="T175" s="118">
        <f t="array" ref="T175">IFERROR(
INDEX(REPORTE_DROPI!B:B,
MATCH(
CLEAN(TRIM(C175)),
CLEAN(TRIM(REPORTE_DROPI!E:E)),
0
)
),
""
)
</f>
        <v>4093646</v>
      </c>
      <c r="U175" s="118">
        <v>6.403887562796E12</v>
      </c>
      <c r="V175" s="78"/>
      <c r="W175" s="78"/>
      <c r="X175" s="78"/>
      <c r="Y175" s="78"/>
      <c r="Z175" s="78"/>
    </row>
    <row r="176" ht="22.5" customHeight="1">
      <c r="A176" s="118">
        <v>175.0</v>
      </c>
      <c r="B176" s="119">
        <v>46032.0</v>
      </c>
      <c r="C176" s="118" t="s">
        <v>4026</v>
      </c>
      <c r="D176" s="118" t="str">
        <f>IFERROR(__xludf.DUMMYFUNCTION("IFERROR(
  INDEX(
    FILTER(
      'NOMBRE DE PRODUCTOS'!B:B,
      REGEXMATCH(
        UPPER(
          INDEX(
            REPORTE_DROPI!AC:AC,
            MATCH(T176, REPORTE_DROPI!B:B, 0)
          )
        ),
        UPPER('NOMBRE DE PRODUCTOS'!A:A)"&amp;"
      )
    ),
    1
  ),
  ""REVISAR""
)
"),"Cuchillo Tazaki™")</f>
        <v>Cuchillo Tazaki™</v>
      </c>
      <c r="E176" s="120">
        <f t="array" ref="E176">IF(
UPPER(TRIM(CLEAN($O176)))="ENTREGADO",
IFERROR(
INDEX(REPORTE_DROPI!Y:Y,
MATCH($T176, REPORTE_DROPI!B:B, 0)
),
""
),
""
)
</f>
        <v>7.8</v>
      </c>
      <c r="F176" s="121">
        <v>3.0</v>
      </c>
      <c r="G176" s="122">
        <f t="array" ref="G176">IF(
UPPER(TRIM(CLEAN($O176)))="ENTREGADO",
IFERROR(
INDEX(REPORTE_DROPI!R:R,
MATCH($T176, REPORTE_DROPI!B:B, 0)
),
""
),
""
)
</f>
        <v>27</v>
      </c>
      <c r="H176" s="118" t="s">
        <v>3727</v>
      </c>
      <c r="I176" s="118" t="s">
        <v>3731</v>
      </c>
      <c r="J176" s="121">
        <f t="array" ref="J176">IF(
UPPER(TRIM(CLEAN($O176)))="ENTREGADO",
IFERROR(
INDEX(REPORTE_DROPI!T:T,
MATCH($T176, REPORTE_DROPI!B:B, 0)
),
""
),
""
)
</f>
        <v>6.03</v>
      </c>
      <c r="K176" s="118">
        <f t="array" ref="K176">IFERROR(
INDEX(REPORTE_DROPI!S:S,
MATCH($T176, REPORTE_DROPI!B:B, 0)
),
""
)
</f>
        <v>13.17</v>
      </c>
      <c r="L176" s="118" t="str">
        <f>IF(
  O176&lt;&gt;"DEVOLUCION",
  "",
  IF(
    T176="",
    "",
    SUMIF(DEVOLUCION!F:F, T176, DEVOLUCION!D:D)
  )
)
</f>
        <v/>
      </c>
      <c r="M176" s="118" t="s">
        <v>3870</v>
      </c>
      <c r="N176" s="118" t="s">
        <v>4027</v>
      </c>
      <c r="O176" s="118" t="str">
        <f t="array" ref="O176">IFERROR(
VLOOKUP(
TRIM(CLEAN(
INDEX(REPORTE_DROPI!K:K,
MATCH(T176, REPORTE_DROPI!B:B, 0)
))),
{
TRIM(CLEAN(MAPA_ESTADOS!A:A)) ,
MAPA_ESTADOS!B:B
},
2,
FALSE
),
"REVISAR"
)
</f>
        <v>ENTREGADO</v>
      </c>
      <c r="P176" s="118"/>
      <c r="Q176" s="122">
        <f t="shared" si="1"/>
        <v>0</v>
      </c>
      <c r="R176" s="118"/>
      <c r="S176" s="118"/>
      <c r="T176" s="118">
        <f t="array" ref="T176">IFERROR(
INDEX(REPORTE_DROPI!B:B,
MATCH(
CLEAN(TRIM(C176)),
CLEAN(TRIM(REPORTE_DROPI!E:E)),
0
)
),
""
)
</f>
        <v>4093677</v>
      </c>
      <c r="U176" s="118">
        <v>6.403896541228E12</v>
      </c>
      <c r="V176" s="78"/>
      <c r="W176" s="78"/>
      <c r="X176" s="78"/>
      <c r="Y176" s="78"/>
      <c r="Z176" s="78"/>
    </row>
    <row r="177" ht="22.5" customHeight="1">
      <c r="A177" s="118">
        <v>176.0</v>
      </c>
      <c r="B177" s="119">
        <v>46032.0</v>
      </c>
      <c r="C177" s="118" t="s">
        <v>4028</v>
      </c>
      <c r="D177" s="118" t="str">
        <f>IFERROR(__xludf.DUMMYFUNCTION("IFERROR(
  INDEX(
    FILTER(
      'NOMBRE DE PRODUCTOS'!B:B,
      REGEXMATCH(
        UPPER(
          INDEX(
            REPORTE_DROPI!AC:AC,
            MATCH(T177, REPORTE_DROPI!B:B, 0)
          )
        ),
        UPPER('NOMBRE DE PRODUCTOS'!A:A)"&amp;"
      )
    ),
    1
  ),
  ""REVISAR""
)
"),"Cuchillo Tazaki™")</f>
        <v>Cuchillo Tazaki™</v>
      </c>
      <c r="E177" s="120">
        <f t="array" ref="E177">IF(
UPPER(TRIM(CLEAN($O177)))="ENTREGADO",
IFERROR(
INDEX(REPORTE_DROPI!Y:Y,
MATCH($T177, REPORTE_DROPI!B:B, 0)
),
""
),
""
)
</f>
        <v>5.2</v>
      </c>
      <c r="F177" s="121">
        <v>2.0</v>
      </c>
      <c r="G177" s="122">
        <f t="array" ref="G177">IF(
UPPER(TRIM(CLEAN($O177)))="ENTREGADO",
IFERROR(
INDEX(REPORTE_DROPI!R:R,
MATCH($T177, REPORTE_DROPI!B:B, 0)
),
""
),
""
)
</f>
        <v>22</v>
      </c>
      <c r="H177" s="118" t="s">
        <v>3727</v>
      </c>
      <c r="I177" s="118" t="s">
        <v>3731</v>
      </c>
      <c r="J177" s="121">
        <f t="array" ref="J177">IF(
UPPER(TRIM(CLEAN($O177)))="ENTREGADO",
IFERROR(
INDEX(REPORTE_DROPI!T:T,
MATCH($T177, REPORTE_DROPI!B:B, 0)
),
""
),
""
)
</f>
        <v>5.84</v>
      </c>
      <c r="K177" s="118">
        <f t="array" ref="K177">IFERROR(
INDEX(REPORTE_DROPI!S:S,
MATCH($T177, REPORTE_DROPI!B:B, 0)
),
""
)
</f>
        <v>10.96</v>
      </c>
      <c r="L177" s="118" t="str">
        <f>IF(
  O177&lt;&gt;"DEVOLUCION",
  "",
  IF(
    T177="",
    "",
    SUMIF(DEVOLUCION!F:F, T177, DEVOLUCION!D:D)
  )
)
</f>
        <v/>
      </c>
      <c r="M177" s="118"/>
      <c r="N177" s="118" t="s">
        <v>4029</v>
      </c>
      <c r="O177" s="118" t="str">
        <f t="array" ref="O177">IFERROR(
VLOOKUP(
TRIM(CLEAN(
INDEX(REPORTE_DROPI!K:K,
MATCH(T177, REPORTE_DROPI!B:B, 0)
))),
{
TRIM(CLEAN(MAPA_ESTADOS!A:A)) ,
MAPA_ESTADOS!B:B
},
2,
FALSE
),
"REVISAR"
)
</f>
        <v>ENTREGADO</v>
      </c>
      <c r="P177" s="118"/>
      <c r="Q177" s="122">
        <f t="shared" si="1"/>
        <v>0</v>
      </c>
      <c r="R177" s="118"/>
      <c r="S177" s="118"/>
      <c r="T177" s="118">
        <f t="array" ref="T177">IFERROR(
INDEX(REPORTE_DROPI!B:B,
MATCH(
CLEAN(TRIM(C177)),
CLEAN(TRIM(REPORTE_DROPI!E:E)),
0
)
),
""
)
</f>
        <v>4093954</v>
      </c>
      <c r="U177" s="118">
        <v>6.403961454636E12</v>
      </c>
      <c r="V177" s="78"/>
      <c r="W177" s="78"/>
      <c r="X177" s="78"/>
      <c r="Y177" s="78"/>
      <c r="Z177" s="78"/>
    </row>
    <row r="178" ht="22.5" customHeight="1">
      <c r="A178" s="118">
        <v>177.0</v>
      </c>
      <c r="B178" s="119">
        <v>46032.0</v>
      </c>
      <c r="C178" s="118" t="s">
        <v>4030</v>
      </c>
      <c r="D178" s="118" t="str">
        <f>IFERROR(__xludf.DUMMYFUNCTION("IFERROR(
  INDEX(
    FILTER(
      'NOMBRE DE PRODUCTOS'!B:B,
      REGEXMATCH(
        UPPER(
          INDEX(
            REPORTE_DROPI!AC:AC,
            MATCH(T178, REPORTE_DROPI!B:B, 0)
          )
        ),
        UPPER('NOMBRE DE PRODUCTOS'!A:A)"&amp;"
      )
    ),
    1
  ),
  ""REVISAR""
)
"),"FilmPro®")</f>
        <v>FilmPro®</v>
      </c>
      <c r="E178" s="120">
        <f t="array" ref="E178">IF(
UPPER(TRIM(CLEAN($O178)))="ENTREGADO",
IFERROR(
INDEX(REPORTE_DROPI!Y:Y,
MATCH($T178, REPORTE_DROPI!B:B, 0)
),
""
),
""
)
</f>
        <v>5.58</v>
      </c>
      <c r="F178" s="121">
        <v>2.0</v>
      </c>
      <c r="G178" s="122">
        <f t="array" ref="G178">IF(
UPPER(TRIM(CLEAN($O178)))="ENTREGADO",
IFERROR(
INDEX(REPORTE_DROPI!R:R,
MATCH($T178, REPORTE_DROPI!B:B, 0)
),
""
),
""
)
</f>
        <v>25</v>
      </c>
      <c r="H178" s="118" t="s">
        <v>3727</v>
      </c>
      <c r="I178" s="118" t="s">
        <v>3778</v>
      </c>
      <c r="J178" s="121">
        <f t="array" ref="J178">IF(
UPPER(TRIM(CLEAN($O178)))="ENTREGADO",
IFERROR(
INDEX(REPORTE_DROPI!T:T,
MATCH($T178, REPORTE_DROPI!B:B, 0)
),
""
),
""
)
</f>
        <v>7.75</v>
      </c>
      <c r="K178" s="118">
        <f t="array" ref="K178">IFERROR(
INDEX(REPORTE_DROPI!S:S,
MATCH($T178, REPORTE_DROPI!B:B, 0)
),
""
)
</f>
        <v>11.67</v>
      </c>
      <c r="L178" s="118" t="str">
        <f>IF(
  O178&lt;&gt;"DEVOLUCION",
  "",
  IF(
    T178="",
    "",
    SUMIF(DEVOLUCION!F:F, T178, DEVOLUCION!D:D)
  )
)
</f>
        <v/>
      </c>
      <c r="M178" s="118" t="s">
        <v>3870</v>
      </c>
      <c r="N178" s="118" t="s">
        <v>4031</v>
      </c>
      <c r="O178" s="118" t="str">
        <f t="array" ref="O178">IFERROR(
VLOOKUP(
TRIM(CLEAN(
INDEX(REPORTE_DROPI!K:K,
MATCH(T178, REPORTE_DROPI!B:B, 0)
))),
{
TRIM(CLEAN(MAPA_ESTADOS!A:A)) ,
MAPA_ESTADOS!B:B
},
2,
FALSE
),
"REVISAR"
)
</f>
        <v>ENTREGADO</v>
      </c>
      <c r="P178" s="118"/>
      <c r="Q178" s="122">
        <f t="shared" si="1"/>
        <v>0</v>
      </c>
      <c r="R178" s="118"/>
      <c r="S178" s="118"/>
      <c r="T178" s="118">
        <f t="array" ref="T178">IFERROR(
INDEX(REPORTE_DROPI!B:B,
MATCH(
CLEAN(TRIM(C178)),
CLEAN(TRIM(REPORTE_DROPI!E:E)),
0
)
),
""
)
</f>
        <v>4094043</v>
      </c>
      <c r="U178" s="118">
        <v>6.403986685996E12</v>
      </c>
      <c r="V178" s="78"/>
      <c r="W178" s="78"/>
      <c r="X178" s="78"/>
      <c r="Y178" s="78"/>
      <c r="Z178" s="78"/>
    </row>
    <row r="179" ht="22.5" customHeight="1">
      <c r="A179" s="118">
        <v>178.0</v>
      </c>
      <c r="B179" s="119">
        <v>46032.0</v>
      </c>
      <c r="C179" s="118" t="s">
        <v>4032</v>
      </c>
      <c r="D179" s="118" t="str">
        <f>IFERROR(__xludf.DUMMYFUNCTION("IFERROR(
  INDEX(
    FILTER(
      'NOMBRE DE PRODUCTOS'!B:B,
      REGEXMATCH(
        UPPER(
          INDEX(
            REPORTE_DROPI!AC:AC,
            MATCH(T179, REPORTE_DROPI!B:B, 0)
          )
        ),
        UPPER('NOMBRE DE PRODUCTOS'!A:A)"&amp;"
      )
    ),
    1
  ),
  ""REVISAR""
)
"),"Cuchillo Tazaki™")</f>
        <v>Cuchillo Tazaki™</v>
      </c>
      <c r="E179" s="120">
        <f t="array" ref="E179">IF(
UPPER(TRIM(CLEAN($O179)))="ENTREGADO",
IFERROR(
INDEX(REPORTE_DROPI!Y:Y,
MATCH($T179, REPORTE_DROPI!B:B, 0)
),
""
),
""
)
</f>
        <v>5.2</v>
      </c>
      <c r="F179" s="121">
        <v>2.0</v>
      </c>
      <c r="G179" s="122">
        <f t="array" ref="G179">IF(
UPPER(TRIM(CLEAN($O179)))="ENTREGADO",
IFERROR(
INDEX(REPORTE_DROPI!R:R,
MATCH($T179, REPORTE_DROPI!B:B, 0)
),
""
),
""
)
</f>
        <v>22</v>
      </c>
      <c r="H179" s="118" t="s">
        <v>3727</v>
      </c>
      <c r="I179" s="118" t="s">
        <v>3855</v>
      </c>
      <c r="J179" s="121">
        <f t="array" ref="J179">IF(
UPPER(TRIM(CLEAN($O179)))="ENTREGADO",
IFERROR(
INDEX(REPORTE_DROPI!T:T,
MATCH($T179, REPORTE_DROPI!B:B, 0)
),
""
),
""
)
</f>
        <v>5.84</v>
      </c>
      <c r="K179" s="118">
        <f t="array" ref="K179">IFERROR(
INDEX(REPORTE_DROPI!S:S,
MATCH($T179, REPORTE_DROPI!B:B, 0)
),
""
)
</f>
        <v>10.96</v>
      </c>
      <c r="L179" s="118" t="str">
        <f>IF(
  O179&lt;&gt;"DEVOLUCION",
  "",
  IF(
    T179="",
    "",
    SUMIF(DEVOLUCION!F:F, T179, DEVOLUCION!D:D)
  )
)
</f>
        <v/>
      </c>
      <c r="M179" s="118" t="s">
        <v>3870</v>
      </c>
      <c r="N179" s="118" t="s">
        <v>4033</v>
      </c>
      <c r="O179" s="118" t="str">
        <f t="array" ref="O179">IFERROR(
VLOOKUP(
TRIM(CLEAN(
INDEX(REPORTE_DROPI!K:K,
MATCH(T179, REPORTE_DROPI!B:B, 0)
))),
{
TRIM(CLEAN(MAPA_ESTADOS!A:A)) ,
MAPA_ESTADOS!B:B
},
2,
FALSE
),
"REVISAR"
)
</f>
        <v>ENTREGADO</v>
      </c>
      <c r="P179" s="118"/>
      <c r="Q179" s="122">
        <f t="shared" si="1"/>
        <v>0</v>
      </c>
      <c r="R179" s="118"/>
      <c r="S179" s="118"/>
      <c r="T179" s="118">
        <f t="array" ref="T179">IFERROR(
INDEX(REPORTE_DROPI!B:B,
MATCH(
CLEAN(TRIM(C179)),
CLEAN(TRIM(REPORTE_DROPI!E:E)),
0
)
),
""
)
</f>
        <v>4094106</v>
      </c>
      <c r="U179" s="118">
        <v>6.404007493676E12</v>
      </c>
      <c r="V179" s="78"/>
      <c r="W179" s="78"/>
      <c r="X179" s="78"/>
      <c r="Y179" s="78"/>
      <c r="Z179" s="78"/>
    </row>
    <row r="180" ht="22.5" customHeight="1">
      <c r="A180" s="118">
        <v>179.0</v>
      </c>
      <c r="B180" s="119">
        <v>46032.0</v>
      </c>
      <c r="C180" s="118" t="s">
        <v>4034</v>
      </c>
      <c r="D180" s="118" t="str">
        <f>IFERROR(__xludf.DUMMYFUNCTION("IFERROR(
  INDEX(
    FILTER(
      'NOMBRE DE PRODUCTOS'!B:B,
      REGEXMATCH(
        UPPER(
          INDEX(
            REPORTE_DROPI!AC:AC,
            MATCH(T180, REPORTE_DROPI!B:B, 0)
          )
        ),
        UPPER('NOMBRE DE PRODUCTOS'!A:A)"&amp;"
      )
    ),
    1
  ),
  ""REVISAR""
)
"),"Cuchillo Tazaki™")</f>
        <v>Cuchillo Tazaki™</v>
      </c>
      <c r="E180" s="120">
        <f t="array" ref="E180">IF(
UPPER(TRIM(CLEAN($O180)))="ENTREGADO",
IFERROR(
INDEX(REPORTE_DROPI!Y:Y,
MATCH($T180, REPORTE_DROPI!B:B, 0)
),
""
),
""
)
</f>
        <v>7.8</v>
      </c>
      <c r="F180" s="121">
        <v>3.0</v>
      </c>
      <c r="G180" s="122">
        <f t="array" ref="G180">IF(
UPPER(TRIM(CLEAN($O180)))="ENTREGADO",
IFERROR(
INDEX(REPORTE_DROPI!R:R,
MATCH($T180, REPORTE_DROPI!B:B, 0)
),
""
),
""
)
</f>
        <v>27</v>
      </c>
      <c r="H180" s="118" t="s">
        <v>3727</v>
      </c>
      <c r="I180" s="118" t="s">
        <v>3912</v>
      </c>
      <c r="J180" s="121">
        <f t="array" ref="J180">IF(
UPPER(TRIM(CLEAN($O180)))="ENTREGADO",
IFERROR(
INDEX(REPORTE_DROPI!T:T,
MATCH($T180, REPORTE_DROPI!B:B, 0)
),
""
),
""
)
</f>
        <v>6.61</v>
      </c>
      <c r="K180" s="118">
        <f t="array" ref="K180">IFERROR(
INDEX(REPORTE_DROPI!S:S,
MATCH($T180, REPORTE_DROPI!B:B, 0)
),
""
)
</f>
        <v>12.59</v>
      </c>
      <c r="L180" s="118" t="str">
        <f>IF(
  O180&lt;&gt;"DEVOLUCION",
  "",
  IF(
    T180="",
    "",
    SUMIF(DEVOLUCION!F:F, T180, DEVOLUCION!D:D)
  )
)
</f>
        <v/>
      </c>
      <c r="M180" s="118" t="s">
        <v>3870</v>
      </c>
      <c r="N180" s="118" t="s">
        <v>4035</v>
      </c>
      <c r="O180" s="118" t="str">
        <f t="array" ref="O180">IFERROR(
VLOOKUP(
TRIM(CLEAN(
INDEX(REPORTE_DROPI!K:K,
MATCH(T180, REPORTE_DROPI!B:B, 0)
))),
{
TRIM(CLEAN(MAPA_ESTADOS!A:A)) ,
MAPA_ESTADOS!B:B
},
2,
FALSE
),
"REVISAR"
)
</f>
        <v>ENTREGADO</v>
      </c>
      <c r="P180" s="118" t="s">
        <v>3655</v>
      </c>
      <c r="Q180" s="122">
        <f t="shared" si="1"/>
        <v>0</v>
      </c>
      <c r="R180" s="118"/>
      <c r="S180" s="118"/>
      <c r="T180" s="118">
        <f t="array" ref="T180">IFERROR(
INDEX(REPORTE_DROPI!B:B,
MATCH(
CLEAN(TRIM(C180)),
CLEAN(TRIM(REPORTE_DROPI!E:E)),
0
)
),
""
)
</f>
        <v>4135930</v>
      </c>
      <c r="U180" s="118">
        <v>6.404038852652E12</v>
      </c>
      <c r="V180" s="78"/>
      <c r="W180" s="78"/>
      <c r="X180" s="78"/>
      <c r="Y180" s="78"/>
      <c r="Z180" s="78"/>
    </row>
    <row r="181" ht="22.5" customHeight="1">
      <c r="A181" s="118">
        <v>180.0</v>
      </c>
      <c r="B181" s="119">
        <v>46032.0</v>
      </c>
      <c r="C181" s="126" t="s">
        <v>4036</v>
      </c>
      <c r="D181" s="118" t="str">
        <f>IFERROR(__xludf.DUMMYFUNCTION("IFERROR(
  INDEX(
    FILTER(
      'NOMBRE DE PRODUCTOS'!B:B,
      REGEXMATCH(
        UPPER(
          INDEX(
            REPORTE_DROPI!AC:AC,
            MATCH(T181, REPORTE_DROPI!B:B, 0)
          )
        ),
        UPPER('NOMBRE DE PRODUCTOS'!A:A)"&amp;"
      )
    ),
    1
  ),
  ""REVISAR""
)
"),"Cuchillo Tazaki™")</f>
        <v>Cuchillo Tazaki™</v>
      </c>
      <c r="E181" s="120" t="str">
        <f t="array" ref="E181">IF(
UPPER(TRIM(CLEAN($O181)))="ENTREGADO",
IFERROR(
INDEX(REPORTE_DROPI!Y:Y,
MATCH($T181, REPORTE_DROPI!B:B, 0)
),
""
),
""
)
</f>
        <v/>
      </c>
      <c r="F181" s="121">
        <v>2.0</v>
      </c>
      <c r="G181" s="122" t="str">
        <f t="array" ref="G181">IF(
UPPER(TRIM(CLEAN($O181)))="ENTREGADO",
IFERROR(
INDEX(REPORTE_DROPI!R:R,
MATCH($T181, REPORTE_DROPI!B:B, 0)
),
""
),
""
)
</f>
        <v/>
      </c>
      <c r="H181" s="118" t="s">
        <v>3727</v>
      </c>
      <c r="I181" s="118" t="s">
        <v>3759</v>
      </c>
      <c r="J181" s="121" t="str">
        <f t="array" ref="J181">IF(
UPPER(TRIM(CLEAN($O181)))="ENTREGADO",
IFERROR(
INDEX(REPORTE_DROPI!T:T,
MATCH($T181, REPORTE_DROPI!B:B, 0)
),
""
),
""
)
</f>
        <v/>
      </c>
      <c r="K181" s="118" t="str">
        <f t="array" ref="K181">IFERROR(
INDEX(REPORTE_DROPI!S:S,
MATCH($T181, REPORTE_DROPI!B:B, 0)
),
""
)
</f>
        <v/>
      </c>
      <c r="L181" s="118">
        <f>IF(
  O181&lt;&gt;"DEVOLUCION",
  "",
  IF(
    T181="",
    "",
    SUMIF(DEVOLUCION!F:F, T181, DEVOLUCION!D:D)
  )
)
</f>
        <v>5.07</v>
      </c>
      <c r="M181" s="118" t="s">
        <v>3870</v>
      </c>
      <c r="N181" s="118" t="s">
        <v>4037</v>
      </c>
      <c r="O181" s="118" t="str">
        <f t="array" ref="O181">IFERROR(
VLOOKUP(
TRIM(CLEAN(
INDEX(REPORTE_DROPI!K:K,
MATCH(T181, REPORTE_DROPI!B:B, 0)
))),
{
TRIM(CLEAN(MAPA_ESTADOS!A:A)) ,
MAPA_ESTADOS!B:B
},
2,
FALSE
),
"REVISAR"
)
</f>
        <v>DEVOLUCION</v>
      </c>
      <c r="P181" s="118" t="s">
        <v>4038</v>
      </c>
      <c r="Q181" s="122">
        <f t="shared" si="1"/>
        <v>0</v>
      </c>
      <c r="R181" s="118"/>
      <c r="S181" s="118"/>
      <c r="T181" s="118">
        <f t="array" ref="T181">IFERROR(
INDEX(REPORTE_DROPI!B:B,
MATCH(
CLEAN(TRIM(C181)),
CLEAN(TRIM(REPORTE_DROPI!E:E)),
0
)
),
""
)
</f>
        <v>4094254</v>
      </c>
      <c r="U181" s="118">
        <v>6.404046946348E12</v>
      </c>
      <c r="V181" s="78"/>
      <c r="W181" s="78"/>
      <c r="X181" s="78"/>
      <c r="Y181" s="78"/>
      <c r="Z181" s="78"/>
    </row>
    <row r="182" ht="22.5" customHeight="1">
      <c r="A182" s="118">
        <v>181.0</v>
      </c>
      <c r="B182" s="119">
        <v>46032.0</v>
      </c>
      <c r="C182" s="118" t="s">
        <v>4039</v>
      </c>
      <c r="D182" s="118" t="str">
        <f>IFERROR(__xludf.DUMMYFUNCTION("IFERROR(
  INDEX(
    FILTER(
      'NOMBRE DE PRODUCTOS'!B:B,
      REGEXMATCH(
        UPPER(
          INDEX(
            REPORTE_DROPI!AC:AC,
            MATCH(T182, REPORTE_DROPI!B:B, 0)
          )
        ),
        UPPER('NOMBRE DE PRODUCTOS'!A:A)"&amp;"
      )
    ),
    1
  ),
  ""REVISAR""
)
"),"FilmPro®")</f>
        <v>FilmPro®</v>
      </c>
      <c r="E182" s="120">
        <f t="array" ref="E182">IF(
UPPER(TRIM(CLEAN($O182)))="ENTREGADO",
IFERROR(
INDEX(REPORTE_DROPI!Y:Y,
MATCH($T182, REPORTE_DROPI!B:B, 0)
),
""
),
""
)
</f>
        <v>2.79</v>
      </c>
      <c r="F182" s="121">
        <v>2.0</v>
      </c>
      <c r="G182" s="122">
        <f t="array" ref="G182">IF(
UPPER(TRIM(CLEAN($O182)))="ENTREGADO",
IFERROR(
INDEX(REPORTE_DROPI!R:R,
MATCH($T182, REPORTE_DROPI!B:B, 0)
),
""
),
""
)
</f>
        <v>20</v>
      </c>
      <c r="H182" s="118" t="s">
        <v>3727</v>
      </c>
      <c r="I182" s="118" t="s">
        <v>3740</v>
      </c>
      <c r="J182" s="121">
        <f t="array" ref="J182">IF(
UPPER(TRIM(CLEAN($O182)))="ENTREGADO",
IFERROR(
INDEX(REPORTE_DROPI!T:T,
MATCH($T182, REPORTE_DROPI!B:B, 0)
),
""
),
""
)
</f>
        <v>4.15</v>
      </c>
      <c r="K182" s="118">
        <f t="array" ref="K182">IFERROR(
INDEX(REPORTE_DROPI!S:S,
MATCH($T182, REPORTE_DROPI!B:B, 0)
),
""
)
</f>
        <v>13.06</v>
      </c>
      <c r="L182" s="118" t="str">
        <f>IF(
  O182&lt;&gt;"DEVOLUCION",
  "",
  IF(
    T182="",
    "",
    SUMIF(DEVOLUCION!F:F, T182, DEVOLUCION!D:D)
  )
)
</f>
        <v/>
      </c>
      <c r="M182" s="118" t="s">
        <v>3870</v>
      </c>
      <c r="N182" s="118" t="s">
        <v>4040</v>
      </c>
      <c r="O182" s="118" t="str">
        <f t="array" ref="O182">IFERROR(
VLOOKUP(
TRIM(CLEAN(
INDEX(REPORTE_DROPI!K:K,
MATCH(T182, REPORTE_DROPI!B:B, 0)
))),
{
TRIM(CLEAN(MAPA_ESTADOS!A:A)) ,
MAPA_ESTADOS!B:B
},
2,
FALSE
),
"REVISAR"
)
</f>
        <v>ENTREGADO</v>
      </c>
      <c r="P182" s="118"/>
      <c r="Q182" s="122">
        <f t="shared" si="1"/>
        <v>0</v>
      </c>
      <c r="R182" s="118"/>
      <c r="S182" s="118"/>
      <c r="T182" s="118">
        <f t="array" ref="T182">IFERROR(
INDEX(REPORTE_DROPI!B:B,
MATCH(
CLEAN(TRIM(C182)),
CLEAN(TRIM(REPORTE_DROPI!E:E)),
0
)
),
""
)
</f>
        <v>4094385</v>
      </c>
      <c r="U182" s="118">
        <v>6.404081123372E12</v>
      </c>
      <c r="V182" s="78"/>
      <c r="W182" s="78"/>
      <c r="X182" s="78"/>
      <c r="Y182" s="78"/>
      <c r="Z182" s="78"/>
    </row>
    <row r="183" ht="22.5" customHeight="1">
      <c r="A183" s="118">
        <v>182.0</v>
      </c>
      <c r="B183" s="119">
        <v>46032.0</v>
      </c>
      <c r="C183" s="118" t="s">
        <v>4041</v>
      </c>
      <c r="D183" s="118" t="str">
        <f>IFERROR(__xludf.DUMMYFUNCTION("IFERROR(
  INDEX(
    FILTER(
      'NOMBRE DE PRODUCTOS'!B:B,
      REGEXMATCH(
        UPPER(
          INDEX(
            REPORTE_DROPI!AC:AC,
            MATCH(T183, REPORTE_DROPI!B:B, 0)
          )
        ),
        UPPER('NOMBRE DE PRODUCTOS'!A:A)"&amp;"
      )
    ),
    1
  ),
  ""REVISAR""
)
"),"Cuchillo Tazaki™")</f>
        <v>Cuchillo Tazaki™</v>
      </c>
      <c r="E183" s="120" t="str">
        <f t="array" ref="E183">IF(
UPPER(TRIM(CLEAN($O183)))="ENTREGADO",
IFERROR(
INDEX(REPORTE_DROPI!Y:Y,
MATCH($T183, REPORTE_DROPI!B:B, 0)
),
""
),
""
)
</f>
        <v/>
      </c>
      <c r="F183" s="121">
        <v>3.0</v>
      </c>
      <c r="G183" s="122" t="str">
        <f t="array" ref="G183">IF(
UPPER(TRIM(CLEAN($O183)))="ENTREGADO",
IFERROR(
INDEX(REPORTE_DROPI!R:R,
MATCH($T183, REPORTE_DROPI!B:B, 0)
),
""
),
""
)
</f>
        <v/>
      </c>
      <c r="H183" s="118" t="s">
        <v>3727</v>
      </c>
      <c r="I183" s="118" t="s">
        <v>3740</v>
      </c>
      <c r="J183" s="121" t="str">
        <f t="array" ref="J183">IF(
UPPER(TRIM(CLEAN($O183)))="ENTREGADO",
IFERROR(
INDEX(REPORTE_DROPI!T:T,
MATCH($T183, REPORTE_DROPI!B:B, 0)
),
""
),
""
)
</f>
        <v/>
      </c>
      <c r="K183" s="118" t="str">
        <f t="array" ref="K183">IFERROR(
INDEX(REPORTE_DROPI!S:S,
MATCH($T183, REPORTE_DROPI!B:B, 0)
),
""
)
</f>
        <v/>
      </c>
      <c r="L183" s="118" t="str">
        <f>IF(
  O183&lt;&gt;"DEVOLUCION",
  "",
  IF(
    T183="",
    "",
    SUMIF(DEVOLUCION!F:F, T183, DEVOLUCION!D:D)
  )
)
</f>
        <v/>
      </c>
      <c r="M183" s="118" t="s">
        <v>3870</v>
      </c>
      <c r="N183" s="118" t="s">
        <v>4042</v>
      </c>
      <c r="O183" s="118" t="str">
        <f t="array" ref="O183">IFERROR(
VLOOKUP(
TRIM(CLEAN(
INDEX(REPORTE_DROPI!K:K,
MATCH(T183, REPORTE_DROPI!B:B, 0)
))),
{
TRIM(CLEAN(MAPA_ESTADOS!A:A)) ,
MAPA_ESTADOS!B:B
},
2,
FALSE
),
"REVISAR"
)
</f>
        <v>CANCELADO</v>
      </c>
      <c r="P183" s="118" t="s">
        <v>3888</v>
      </c>
      <c r="Q183" s="122">
        <f t="shared" si="1"/>
        <v>0</v>
      </c>
      <c r="R183" s="118"/>
      <c r="S183" s="118"/>
      <c r="T183" s="118">
        <f t="array" ref="T183">IFERROR(
INDEX(REPORTE_DROPI!B:B,
MATCH(
CLEAN(TRIM(C183)),
CLEAN(TRIM(REPORTE_DROPI!E:E)),
0
)
),
""
)
</f>
        <v>4094394</v>
      </c>
      <c r="U183" s="118">
        <v>6.40408295838E12</v>
      </c>
      <c r="V183" s="78"/>
      <c r="W183" s="78"/>
      <c r="X183" s="78"/>
      <c r="Y183" s="78"/>
      <c r="Z183" s="78"/>
    </row>
    <row r="184" ht="22.5" customHeight="1">
      <c r="A184" s="118">
        <v>183.0</v>
      </c>
      <c r="B184" s="119">
        <v>46032.0</v>
      </c>
      <c r="C184" s="118" t="s">
        <v>4043</v>
      </c>
      <c r="D184" s="118" t="str">
        <f>IFERROR(__xludf.DUMMYFUNCTION("IFERROR(
  INDEX(
    FILTER(
      'NOMBRE DE PRODUCTOS'!B:B,
      REGEXMATCH(
        UPPER(
          INDEX(
            REPORTE_DROPI!AC:AC,
            MATCH(T184, REPORTE_DROPI!B:B, 0)
          )
        ),
        UPPER('NOMBRE DE PRODUCTOS'!A:A)"&amp;"
      )
    ),
    1
  ),
  ""REVISAR""
)
"),"FilmPro®")</f>
        <v>FilmPro®</v>
      </c>
      <c r="E184" s="120" t="str">
        <f t="array" ref="E184">IF(
UPPER(TRIM(CLEAN($O184)))="ENTREGADO",
IFERROR(
INDEX(REPORTE_DROPI!Y:Y,
MATCH($T184, REPORTE_DROPI!B:B, 0)
),
""
),
""
)
</f>
        <v/>
      </c>
      <c r="F184" s="121">
        <v>1.0</v>
      </c>
      <c r="G184" s="122" t="str">
        <f t="array" ref="G184">IF(
UPPER(TRIM(CLEAN($O184)))="ENTREGADO",
IFERROR(
INDEX(REPORTE_DROPI!R:R,
MATCH($T184, REPORTE_DROPI!B:B, 0)
),
""
),
""
)
</f>
        <v/>
      </c>
      <c r="H184" s="118" t="s">
        <v>3727</v>
      </c>
      <c r="I184" s="118" t="s">
        <v>3731</v>
      </c>
      <c r="J184" s="121" t="str">
        <f t="array" ref="J184">IF(
UPPER(TRIM(CLEAN($O184)))="ENTREGADO",
IFERROR(
INDEX(REPORTE_DROPI!T:T,
MATCH($T184, REPORTE_DROPI!B:B, 0)
),
""
),
""
)
</f>
        <v/>
      </c>
      <c r="K184" s="118" t="str">
        <f t="array" ref="K184">IFERROR(
INDEX(REPORTE_DROPI!S:S,
MATCH($T184, REPORTE_DROPI!B:B, 0)
),
""
)
</f>
        <v/>
      </c>
      <c r="L184" s="118" t="str">
        <f>IF(
  O184&lt;&gt;"DEVOLUCION",
  "",
  IF(
    T184="",
    "",
    SUMIF(DEVOLUCION!F:F, T184, DEVOLUCION!D:D)
  )
)
</f>
        <v/>
      </c>
      <c r="M184" s="118"/>
      <c r="N184" s="118" t="s">
        <v>4044</v>
      </c>
      <c r="O184" s="118" t="str">
        <f t="array" ref="O184">IFERROR(
VLOOKUP(
TRIM(CLEAN(
INDEX(REPORTE_DROPI!K:K,
MATCH(T184, REPORTE_DROPI!B:B, 0)
))),
{
TRIM(CLEAN(MAPA_ESTADOS!A:A)) ,
MAPA_ESTADOS!B:B
},
2,
FALSE
),
"REVISAR"
)
</f>
        <v>CANCELADO</v>
      </c>
      <c r="P184" s="118" t="s">
        <v>4045</v>
      </c>
      <c r="Q184" s="122">
        <f t="shared" si="1"/>
        <v>0</v>
      </c>
      <c r="R184" s="118"/>
      <c r="S184" s="118"/>
      <c r="T184" s="118">
        <f t="array" ref="T184">IFERROR(
INDEX(REPORTE_DROPI!B:B,
MATCH(
CLEAN(TRIM(C184)),
CLEAN(TRIM(REPORTE_DROPI!E:E)),
0
)
),
""
)
</f>
        <v>4094411</v>
      </c>
      <c r="U184" s="118">
        <v>6.404089315372E12</v>
      </c>
      <c r="V184" s="78"/>
      <c r="W184" s="78"/>
      <c r="X184" s="78"/>
      <c r="Y184" s="78"/>
      <c r="Z184" s="78"/>
    </row>
    <row r="185" ht="22.5" customHeight="1">
      <c r="A185" s="118">
        <v>184.0</v>
      </c>
      <c r="B185" s="119">
        <v>46032.0</v>
      </c>
      <c r="C185" s="118" t="s">
        <v>4046</v>
      </c>
      <c r="D185" s="118" t="str">
        <f>IFERROR(__xludf.DUMMYFUNCTION("IFERROR(
  INDEX(
    FILTER(
      'NOMBRE DE PRODUCTOS'!B:B,
      REGEXMATCH(
        UPPER(
          INDEX(
            REPORTE_DROPI!AC:AC,
            MATCH(T185, REPORTE_DROPI!B:B, 0)
          )
        ),
        UPPER('NOMBRE DE PRODUCTOS'!A:A)"&amp;"
      )
    ),
    1
  ),
  ""REVISAR""
)
"),"Cuchillo Tazaki™")</f>
        <v>Cuchillo Tazaki™</v>
      </c>
      <c r="E185" s="120" t="str">
        <f t="array" ref="E185">IF(
UPPER(TRIM(CLEAN($O185)))="ENTREGADO",
IFERROR(
INDEX(REPORTE_DROPI!Y:Y,
MATCH($T185, REPORTE_DROPI!B:B, 0)
),
""
),
""
)
</f>
        <v/>
      </c>
      <c r="F185" s="121">
        <v>2.0</v>
      </c>
      <c r="G185" s="122" t="str">
        <f t="array" ref="G185">IF(
UPPER(TRIM(CLEAN($O185)))="ENTREGADO",
IFERROR(
INDEX(REPORTE_DROPI!R:R,
MATCH($T185, REPORTE_DROPI!B:B, 0)
),
""
),
""
)
</f>
        <v/>
      </c>
      <c r="H185" s="118" t="s">
        <v>3727</v>
      </c>
      <c r="I185" s="118" t="s">
        <v>3772</v>
      </c>
      <c r="J185" s="121" t="str">
        <f t="array" ref="J185">IF(
UPPER(TRIM(CLEAN($O185)))="ENTREGADO",
IFERROR(
INDEX(REPORTE_DROPI!T:T,
MATCH($T185, REPORTE_DROPI!B:B, 0)
),
""
),
""
)
</f>
        <v/>
      </c>
      <c r="K185" s="118" t="str">
        <f t="array" ref="K185">IFERROR(
INDEX(REPORTE_DROPI!S:S,
MATCH($T185, REPORTE_DROPI!B:B, 0)
),
""
)
</f>
        <v/>
      </c>
      <c r="L185" s="118">
        <f>IF(
  O185&lt;&gt;"DEVOLUCION",
  "",
  IF(
    T185="",
    "",
    SUMIF(DEVOLUCION!F:F, T185, DEVOLUCION!D:D)
  )
)
</f>
        <v>5.07</v>
      </c>
      <c r="M185" s="118" t="s">
        <v>3870</v>
      </c>
      <c r="N185" s="118" t="s">
        <v>4047</v>
      </c>
      <c r="O185" s="118" t="str">
        <f t="array" ref="O185">IFERROR(
VLOOKUP(
TRIM(CLEAN(
INDEX(REPORTE_DROPI!K:K,
MATCH(T185, REPORTE_DROPI!B:B, 0)
))),
{
TRIM(CLEAN(MAPA_ESTADOS!A:A)) ,
MAPA_ESTADOS!B:B
},
2,
FALSE
),
"REVISAR"
)
</f>
        <v>DEVOLUCION</v>
      </c>
      <c r="P185" s="118" t="s">
        <v>3891</v>
      </c>
      <c r="Q185" s="122">
        <f t="shared" si="1"/>
        <v>0</v>
      </c>
      <c r="R185" s="118"/>
      <c r="S185" s="118"/>
      <c r="T185" s="118">
        <f t="array" ref="T185">IFERROR(
INDEX(REPORTE_DROPI!B:B,
MATCH(
CLEAN(TRIM(C185)),
CLEAN(TRIM(REPORTE_DROPI!E:E)),
0
)
),
""
)
</f>
        <v>4094433</v>
      </c>
      <c r="U185" s="118">
        <v>6.404097409068E12</v>
      </c>
      <c r="V185" s="78"/>
      <c r="W185" s="78"/>
      <c r="X185" s="78"/>
      <c r="Y185" s="78"/>
      <c r="Z185" s="78"/>
    </row>
    <row r="186" ht="22.5" customHeight="1">
      <c r="A186" s="118">
        <v>185.0</v>
      </c>
      <c r="B186" s="119">
        <v>46032.0</v>
      </c>
      <c r="C186" s="118" t="s">
        <v>4048</v>
      </c>
      <c r="D186" s="118" t="str">
        <f>IFERROR(__xludf.DUMMYFUNCTION("IFERROR(
  INDEX(
    FILTER(
      'NOMBRE DE PRODUCTOS'!B:B,
      REGEXMATCH(
        UPPER(
          INDEX(
            REPORTE_DROPI!AC:AC,
            MATCH(T186, REPORTE_DROPI!B:B, 0)
          )
        ),
        UPPER('NOMBRE DE PRODUCTOS'!A:A)"&amp;"
      )
    ),
    1
  ),
  ""REVISAR""
)
"),"Cuchillo Tazaki™")</f>
        <v>Cuchillo Tazaki™</v>
      </c>
      <c r="E186" s="120" t="str">
        <f t="array" ref="E186">IF(
UPPER(TRIM(CLEAN($O186)))="ENTREGADO",
IFERROR(
INDEX(REPORTE_DROPI!Y:Y,
MATCH($T186, REPORTE_DROPI!B:B, 0)
),
""
),
""
)
</f>
        <v/>
      </c>
      <c r="F186" s="121">
        <v>2.0</v>
      </c>
      <c r="G186" s="122" t="str">
        <f t="array" ref="G186">IF(
UPPER(TRIM(CLEAN($O186)))="ENTREGADO",
IFERROR(
INDEX(REPORTE_DROPI!R:R,
MATCH($T186, REPORTE_DROPI!B:B, 0)
),
""
),
""
)
</f>
        <v/>
      </c>
      <c r="H186" s="118" t="s">
        <v>3727</v>
      </c>
      <c r="I186" s="118" t="s">
        <v>3740</v>
      </c>
      <c r="J186" s="121" t="str">
        <f t="array" ref="J186">IF(
UPPER(TRIM(CLEAN($O186)))="ENTREGADO",
IFERROR(
INDEX(REPORTE_DROPI!T:T,
MATCH($T186, REPORTE_DROPI!B:B, 0)
),
""
),
""
)
</f>
        <v/>
      </c>
      <c r="K186" s="118" t="str">
        <f t="array" ref="K186">IFERROR(
INDEX(REPORTE_DROPI!S:S,
MATCH($T186, REPORTE_DROPI!B:B, 0)
),
""
)
</f>
        <v/>
      </c>
      <c r="L186" s="118">
        <f>IF(
  O186&lt;&gt;"DEVOLUCION",
  "",
  IF(
    T186="",
    "",
    SUMIF(DEVOLUCION!F:F, T186, DEVOLUCION!D:D)
  )
)
</f>
        <v>4.5</v>
      </c>
      <c r="M186" s="118" t="s">
        <v>3870</v>
      </c>
      <c r="N186" s="118">
        <v>4817.0</v>
      </c>
      <c r="O186" s="118" t="str">
        <f t="array" ref="O186">IFERROR(
VLOOKUP(
TRIM(CLEAN(
INDEX(REPORTE_DROPI!K:K,
MATCH(T186, REPORTE_DROPI!B:B, 0)
))),
{
TRIM(CLEAN(MAPA_ESTADOS!A:A)) ,
MAPA_ESTADOS!B:B
},
2,
FALSE
),
"REVISAR"
)
</f>
        <v>DEVOLUCION</v>
      </c>
      <c r="P186" s="118" t="s">
        <v>3891</v>
      </c>
      <c r="Q186" s="122">
        <f t="shared" si="1"/>
        <v>0</v>
      </c>
      <c r="R186" s="118"/>
      <c r="S186" s="118"/>
      <c r="T186" s="118">
        <f t="array" ref="T186">IFERROR(
INDEX(REPORTE_DROPI!B:B,
MATCH(
CLEAN(TRIM(C186)),
CLEAN(TRIM(REPORTE_DROPI!E:E)),
0
)
),
""
)
</f>
        <v>4118031</v>
      </c>
      <c r="U186" s="118"/>
      <c r="V186" s="78"/>
      <c r="W186" s="78"/>
      <c r="X186" s="78"/>
      <c r="Y186" s="78"/>
      <c r="Z186" s="78"/>
    </row>
    <row r="187" ht="22.5" customHeight="1">
      <c r="A187" s="118">
        <v>186.0</v>
      </c>
      <c r="B187" s="119">
        <v>46032.0</v>
      </c>
      <c r="C187" s="118" t="s">
        <v>4049</v>
      </c>
      <c r="D187" s="118" t="str">
        <f>IFERROR(__xludf.DUMMYFUNCTION("IFERROR(
  INDEX(
    FILTER(
      'NOMBRE DE PRODUCTOS'!B:B,
      REGEXMATCH(
        UPPER(
          INDEX(
            REPORTE_DROPI!AC:AC,
            MATCH(T187, REPORTE_DROPI!B:B, 0)
          )
        ),
        UPPER('NOMBRE DE PRODUCTOS'!A:A)"&amp;"
      )
    ),
    1
  ),
  ""REVISAR""
)
"),"Cuchillo Tazaki™")</f>
        <v>Cuchillo Tazaki™</v>
      </c>
      <c r="E187" s="120">
        <f t="array" ref="E187">IF(
UPPER(TRIM(CLEAN($O187)))="ENTREGADO",
IFERROR(
INDEX(REPORTE_DROPI!Y:Y,
MATCH($T187, REPORTE_DROPI!B:B, 0)
),
""
),
""
)
</f>
        <v>7.8</v>
      </c>
      <c r="F187" s="121">
        <v>3.0</v>
      </c>
      <c r="G187" s="122">
        <f t="array" ref="G187">IF(
UPPER(TRIM(CLEAN($O187)))="ENTREGADO",
IFERROR(
INDEX(REPORTE_DROPI!R:R,
MATCH($T187, REPORTE_DROPI!B:B, 0)
),
""
),
""
)
</f>
        <v>27</v>
      </c>
      <c r="H187" s="118" t="s">
        <v>3727</v>
      </c>
      <c r="I187" s="118" t="s">
        <v>3801</v>
      </c>
      <c r="J187" s="121">
        <f t="array" ref="J187">IF(
UPPER(TRIM(CLEAN($O187)))="ENTREGADO",
IFERROR(
INDEX(REPORTE_DROPI!T:T,
MATCH($T187, REPORTE_DROPI!B:B, 0)
),
""
),
""
)
</f>
        <v>6.03</v>
      </c>
      <c r="K187" s="118">
        <f t="array" ref="K187">IFERROR(
INDEX(REPORTE_DROPI!S:S,
MATCH($T187, REPORTE_DROPI!B:B, 0)
),
""
)
</f>
        <v>13.17</v>
      </c>
      <c r="L187" s="118" t="str">
        <f>IF(
  O187&lt;&gt;"DEVOLUCION",
  "",
  IF(
    T187="",
    "",
    SUMIF(DEVOLUCION!F:F, T187, DEVOLUCION!D:D)
  )
)
</f>
        <v/>
      </c>
      <c r="M187" s="118"/>
      <c r="N187" s="118" t="s">
        <v>4050</v>
      </c>
      <c r="O187" s="118" t="str">
        <f t="array" ref="O187">IFERROR(
VLOOKUP(
TRIM(CLEAN(
INDEX(REPORTE_DROPI!K:K,
MATCH(T187, REPORTE_DROPI!B:B, 0)
))),
{
TRIM(CLEAN(MAPA_ESTADOS!A:A)) ,
MAPA_ESTADOS!B:B
},
2,
FALSE
),
"REVISAR"
)
</f>
        <v>ENTREGADO</v>
      </c>
      <c r="P187" s="118"/>
      <c r="Q187" s="122">
        <f t="shared" si="1"/>
        <v>0</v>
      </c>
      <c r="R187" s="118"/>
      <c r="S187" s="118"/>
      <c r="T187" s="118">
        <f t="array" ref="T187">IFERROR(
INDEX(REPORTE_DROPI!B:B,
MATCH(
CLEAN(TRIM(C187)),
CLEAN(TRIM(REPORTE_DROPI!E:E)),
0
)
),
""
)
</f>
        <v>4094689</v>
      </c>
      <c r="U187" s="118">
        <v>6.40417880478E12</v>
      </c>
      <c r="V187" s="78"/>
      <c r="W187" s="78"/>
      <c r="X187" s="78"/>
      <c r="Y187" s="78"/>
      <c r="Z187" s="78"/>
    </row>
    <row r="188" ht="22.5" customHeight="1">
      <c r="A188" s="118">
        <v>187.0</v>
      </c>
      <c r="B188" s="119">
        <v>46032.0</v>
      </c>
      <c r="C188" s="118" t="s">
        <v>4051</v>
      </c>
      <c r="D188" s="118" t="str">
        <f>IFERROR(__xludf.DUMMYFUNCTION("IFERROR(
  INDEX(
    FILTER(
      'NOMBRE DE PRODUCTOS'!B:B,
      REGEXMATCH(
        UPPER(
          INDEX(
            REPORTE_DROPI!AC:AC,
            MATCH(T188, REPORTE_DROPI!B:B, 0)
          )
        ),
        UPPER('NOMBRE DE PRODUCTOS'!A:A)"&amp;"
      )
    ),
    1
  ),
  ""REVISAR""
)
"),"FilmPro®")</f>
        <v>FilmPro®</v>
      </c>
      <c r="E188" s="120" t="str">
        <f t="array" ref="E188">IF(
UPPER(TRIM(CLEAN($O188)))="ENTREGADO",
IFERROR(
INDEX(REPORTE_DROPI!Y:Y,
MATCH($T188, REPORTE_DROPI!B:B, 0)
),
""
),
""
)
</f>
        <v/>
      </c>
      <c r="F188" s="121">
        <v>3.0</v>
      </c>
      <c r="G188" s="122" t="str">
        <f t="array" ref="G188">IF(
UPPER(TRIM(CLEAN($O188)))="ENTREGADO",
IFERROR(
INDEX(REPORTE_DROPI!R:R,
MATCH($T188, REPORTE_DROPI!B:B, 0)
),
""
),
""
)
</f>
        <v/>
      </c>
      <c r="H188" s="118" t="s">
        <v>3727</v>
      </c>
      <c r="I188" s="118" t="s">
        <v>3772</v>
      </c>
      <c r="J188" s="121" t="str">
        <f t="array" ref="J188">IF(
UPPER(TRIM(CLEAN($O188)))="ENTREGADO",
IFERROR(
INDEX(REPORTE_DROPI!T:T,
MATCH($T188, REPORTE_DROPI!B:B, 0)
),
""
),
""
)
</f>
        <v/>
      </c>
      <c r="K188" s="118" t="str">
        <f t="array" ref="K188">IFERROR(
INDEX(REPORTE_DROPI!S:S,
MATCH($T188, REPORTE_DROPI!B:B, 0)
),
""
)
</f>
        <v/>
      </c>
      <c r="L188" s="118" t="str">
        <f>IF(
  O188&lt;&gt;"DEVOLUCION",
  "",
  IF(
    T188="",
    "",
    SUMIF(DEVOLUCION!F:F, T188, DEVOLUCION!D:D)
  )
)
</f>
        <v/>
      </c>
      <c r="M188" s="118" t="s">
        <v>3870</v>
      </c>
      <c r="N188" s="118" t="s">
        <v>4052</v>
      </c>
      <c r="O188" s="118" t="str">
        <f t="array" ref="O188">IFERROR(
VLOOKUP(
TRIM(CLEAN(
INDEX(REPORTE_DROPI!K:K,
MATCH(T188, REPORTE_DROPI!B:B, 0)
))),
{
TRIM(CLEAN(MAPA_ESTADOS!A:A)) ,
MAPA_ESTADOS!B:B
},
2,
FALSE
),
"REVISAR"
)
</f>
        <v>CANCELADO</v>
      </c>
      <c r="P188" s="118" t="s">
        <v>4053</v>
      </c>
      <c r="Q188" s="122">
        <f t="shared" si="1"/>
        <v>0</v>
      </c>
      <c r="R188" s="118"/>
      <c r="S188" s="118"/>
      <c r="T188" s="118">
        <f t="array" ref="T188">IFERROR(
INDEX(REPORTE_DROPI!B:B,
MATCH(
CLEAN(TRIM(C188)),
CLEAN(TRIM(REPORTE_DROPI!E:E)),
0
)
),
""
)
</f>
        <v>4094895</v>
      </c>
      <c r="U188" s="118">
        <v>6.404249190444E12</v>
      </c>
      <c r="V188" s="78"/>
      <c r="W188" s="78"/>
      <c r="X188" s="78"/>
      <c r="Y188" s="78"/>
      <c r="Z188" s="78"/>
    </row>
    <row r="189" ht="22.5" customHeight="1">
      <c r="A189" s="118">
        <v>188.0</v>
      </c>
      <c r="B189" s="119">
        <v>46032.0</v>
      </c>
      <c r="C189" s="126" t="s">
        <v>4054</v>
      </c>
      <c r="D189" s="118" t="str">
        <f>IFERROR(__xludf.DUMMYFUNCTION("IFERROR(
  INDEX(
    FILTER(
      'NOMBRE DE PRODUCTOS'!B:B,
      REGEXMATCH(
        UPPER(
          INDEX(
            REPORTE_DROPI!AC:AC,
            MATCH(T189, REPORTE_DROPI!B:B, 0)
          )
        ),
        UPPER('NOMBRE DE PRODUCTOS'!A:A)"&amp;"
      )
    ),
    1
  ),
  ""REVISAR""
)
"),"Cuchillo Tazaki™")</f>
        <v>Cuchillo Tazaki™</v>
      </c>
      <c r="E189" s="120" t="str">
        <f t="array" ref="E189">IF(
UPPER(TRIM(CLEAN($O189)))="ENTREGADO",
IFERROR(
INDEX(REPORTE_DROPI!Y:Y,
MATCH($T189, REPORTE_DROPI!B:B, 0)
),
""
),
""
)
</f>
        <v/>
      </c>
      <c r="F189" s="121">
        <v>4.0</v>
      </c>
      <c r="G189" s="122" t="str">
        <f t="array" ref="G189">IF(
UPPER(TRIM(CLEAN($O189)))="ENTREGADO",
IFERROR(
INDEX(REPORTE_DROPI!R:R,
MATCH($T189, REPORTE_DROPI!B:B, 0)
),
""
),
""
)
</f>
        <v/>
      </c>
      <c r="H189" s="118" t="s">
        <v>3727</v>
      </c>
      <c r="I189" s="118" t="s">
        <v>3778</v>
      </c>
      <c r="J189" s="121" t="str">
        <f t="array" ref="J189">IF(
UPPER(TRIM(CLEAN($O189)))="ENTREGADO",
IFERROR(
INDEX(REPORTE_DROPI!T:T,
MATCH($T189, REPORTE_DROPI!B:B, 0)
),
""
),
""
)
</f>
        <v/>
      </c>
      <c r="K189" s="118" t="str">
        <f t="array" ref="K189">IFERROR(
INDEX(REPORTE_DROPI!S:S,
MATCH($T189, REPORTE_DROPI!B:B, 0)
),
""
)
</f>
        <v/>
      </c>
      <c r="L189" s="118">
        <f>IF(
  O189&lt;&gt;"DEVOLUCION",
  "",
  IF(
    T189="",
    "",
    SUMIF(DEVOLUCION!F:F, T189, DEVOLUCION!D:D)
  )
)
</f>
        <v>5.13</v>
      </c>
      <c r="M189" s="118"/>
      <c r="N189" s="118" t="s">
        <v>4055</v>
      </c>
      <c r="O189" s="118" t="str">
        <f t="array" ref="O189">IFERROR(
VLOOKUP(
TRIM(CLEAN(
INDEX(REPORTE_DROPI!K:K,
MATCH(T189, REPORTE_DROPI!B:B, 0)
))),
{
TRIM(CLEAN(MAPA_ESTADOS!A:A)) ,
MAPA_ESTADOS!B:B
},
2,
FALSE
),
"REVISAR"
)
</f>
        <v>DEVOLUCION</v>
      </c>
      <c r="P189" s="118" t="s">
        <v>4056</v>
      </c>
      <c r="Q189" s="122">
        <f t="shared" si="1"/>
        <v>0</v>
      </c>
      <c r="R189" s="118"/>
      <c r="S189" s="118"/>
      <c r="T189" s="118">
        <f t="array" ref="T189">IFERROR(
INDEX(REPORTE_DROPI!B:B,
MATCH(
CLEAN(TRIM(C189)),
CLEAN(TRIM(REPORTE_DROPI!E:E)),
0
)
),
""
)
</f>
        <v>4095053</v>
      </c>
      <c r="U189" s="118">
        <v>6.404298866732E12</v>
      </c>
      <c r="V189" s="78"/>
      <c r="W189" s="78"/>
      <c r="X189" s="78"/>
      <c r="Y189" s="78"/>
      <c r="Z189" s="78"/>
    </row>
    <row r="190" ht="22.5" customHeight="1">
      <c r="A190" s="118">
        <v>189.0</v>
      </c>
      <c r="B190" s="119">
        <v>46032.0</v>
      </c>
      <c r="C190" s="118" t="s">
        <v>4057</v>
      </c>
      <c r="D190" s="118" t="str">
        <f>IFERROR(__xludf.DUMMYFUNCTION("IFERROR(
  INDEX(
    FILTER(
      'NOMBRE DE PRODUCTOS'!B:B,
      REGEXMATCH(
        UPPER(
          INDEX(
            REPORTE_DROPI!AC:AC,
            MATCH(T190, REPORTE_DROPI!B:B, 0)
          )
        ),
        UPPER('NOMBRE DE PRODUCTOS'!A:A)"&amp;"
      )
    ),
    1
  ),
  ""REVISAR""
)
"),"Cuchillo Tazaki™")</f>
        <v>Cuchillo Tazaki™</v>
      </c>
      <c r="E190" s="120" t="str">
        <f t="array" ref="E190">IF(
UPPER(TRIM(CLEAN($O190)))="ENTREGADO",
IFERROR(
INDEX(REPORTE_DROPI!Y:Y,
MATCH($T190, REPORTE_DROPI!B:B, 0)
),
""
),
""
)
</f>
        <v/>
      </c>
      <c r="F190" s="121">
        <v>4.0</v>
      </c>
      <c r="G190" s="122" t="str">
        <f t="array" ref="G190">IF(
UPPER(TRIM(CLEAN($O190)))="ENTREGADO",
IFERROR(
INDEX(REPORTE_DROPI!R:R,
MATCH($T190, REPORTE_DROPI!B:B, 0)
),
""
),
""
)
</f>
        <v/>
      </c>
      <c r="H190" s="118" t="s">
        <v>3727</v>
      </c>
      <c r="I190" s="118" t="s">
        <v>3740</v>
      </c>
      <c r="J190" s="121" t="str">
        <f t="array" ref="J190">IF(
UPPER(TRIM(CLEAN($O190)))="ENTREGADO",
IFERROR(
INDEX(REPORTE_DROPI!T:T,
MATCH($T190, REPORTE_DROPI!B:B, 0)
),
""
),
""
)
</f>
        <v/>
      </c>
      <c r="K190" s="118" t="str">
        <f t="array" ref="K190">IFERROR(
INDEX(REPORTE_DROPI!S:S,
MATCH($T190, REPORTE_DROPI!B:B, 0)
),
""
)
</f>
        <v/>
      </c>
      <c r="L190" s="118">
        <f>IF(
  O190&lt;&gt;"DEVOLUCION",
  "",
  IF(
    T190="",
    "",
    SUMIF(DEVOLUCION!F:F, T190, DEVOLUCION!D:D)
  )
)
</f>
        <v>4.55</v>
      </c>
      <c r="M190" s="118" t="s">
        <v>3870</v>
      </c>
      <c r="N190" s="118" t="s">
        <v>4058</v>
      </c>
      <c r="O190" s="118" t="str">
        <f t="array" ref="O190">IFERROR(
VLOOKUP(
TRIM(CLEAN(
INDEX(REPORTE_DROPI!K:K,
MATCH(T190, REPORTE_DROPI!B:B, 0)
))),
{
TRIM(CLEAN(MAPA_ESTADOS!A:A)) ,
MAPA_ESTADOS!B:B
},
2,
FALSE
),
"REVISAR"
)
</f>
        <v>DEVOLUCION</v>
      </c>
      <c r="P190" s="118" t="s">
        <v>4059</v>
      </c>
      <c r="Q190" s="122">
        <f t="shared" si="1"/>
        <v>0</v>
      </c>
      <c r="R190" s="118"/>
      <c r="S190" s="118"/>
      <c r="T190" s="118">
        <f t="array" ref="T190">IFERROR(
INDEX(REPORTE_DROPI!B:B,
MATCH(
CLEAN(TRIM(C190)),
CLEAN(TRIM(REPORTE_DROPI!E:E)),
0
)
),
""
)
</f>
        <v>4095202</v>
      </c>
      <c r="U190" s="118">
        <v>6.404353884204E12</v>
      </c>
      <c r="V190" s="78"/>
      <c r="W190" s="78"/>
      <c r="X190" s="78"/>
      <c r="Y190" s="78"/>
      <c r="Z190" s="78"/>
    </row>
    <row r="191" ht="22.5" customHeight="1">
      <c r="A191" s="118">
        <v>190.0</v>
      </c>
      <c r="B191" s="119">
        <v>46032.0</v>
      </c>
      <c r="C191" s="118" t="s">
        <v>4060</v>
      </c>
      <c r="D191" s="118" t="str">
        <f>IFERROR(__xludf.DUMMYFUNCTION("IFERROR(
  INDEX(
    FILTER(
      'NOMBRE DE PRODUCTOS'!B:B,
      REGEXMATCH(
        UPPER(
          INDEX(
            REPORTE_DROPI!AC:AC,
            MATCH(T191, REPORTE_DROPI!B:B, 0)
          )
        ),
        UPPER('NOMBRE DE PRODUCTOS'!A:A)"&amp;"
      )
    ),
    1
  ),
  ""REVISAR""
)
"),"FilmPro®")</f>
        <v>FilmPro®</v>
      </c>
      <c r="E191" s="120" t="str">
        <f t="array" ref="E191">IF(
UPPER(TRIM(CLEAN($O191)))="ENTREGADO",
IFERROR(
INDEX(REPORTE_DROPI!Y:Y,
MATCH($T191, REPORTE_DROPI!B:B, 0)
),
""
),
""
)
</f>
        <v/>
      </c>
      <c r="F191" s="121">
        <v>1.0</v>
      </c>
      <c r="G191" s="122" t="str">
        <f t="array" ref="G191">IF(
UPPER(TRIM(CLEAN($O191)))="ENTREGADO",
IFERROR(
INDEX(REPORTE_DROPI!R:R,
MATCH($T191, REPORTE_DROPI!B:B, 0)
),
""
),
""
)
</f>
        <v/>
      </c>
      <c r="H191" s="118" t="s">
        <v>3727</v>
      </c>
      <c r="I191" s="118" t="s">
        <v>3742</v>
      </c>
      <c r="J191" s="121" t="str">
        <f t="array" ref="J191">IF(
UPPER(TRIM(CLEAN($O191)))="ENTREGADO",
IFERROR(
INDEX(REPORTE_DROPI!T:T,
MATCH($T191, REPORTE_DROPI!B:B, 0)
),
""
),
""
)
</f>
        <v/>
      </c>
      <c r="K191" s="118" t="str">
        <f t="array" ref="K191">IFERROR(
INDEX(REPORTE_DROPI!S:S,
MATCH($T191, REPORTE_DROPI!B:B, 0)
),
""
)
</f>
        <v/>
      </c>
      <c r="L191" s="118" t="str">
        <f>IF(
  O191&lt;&gt;"DEVOLUCION",
  "",
  IF(
    T191="",
    "",
    SUMIF(DEVOLUCION!F:F, T191, DEVOLUCION!D:D)
  )
)
</f>
        <v/>
      </c>
      <c r="M191" s="118" t="s">
        <v>3870</v>
      </c>
      <c r="N191" s="118" t="s">
        <v>4061</v>
      </c>
      <c r="O191" s="118" t="str">
        <f t="array" ref="O191">IFERROR(
VLOOKUP(
TRIM(CLEAN(
INDEX(REPORTE_DROPI!K:K,
MATCH(T191, REPORTE_DROPI!B:B, 0)
))),
{
TRIM(CLEAN(MAPA_ESTADOS!A:A)) ,
MAPA_ESTADOS!B:B
},
2,
FALSE
),
"REVISAR"
)
</f>
        <v>CANCELADO</v>
      </c>
      <c r="P191" s="118" t="s">
        <v>4062</v>
      </c>
      <c r="Q191" s="122">
        <f t="shared" si="1"/>
        <v>0</v>
      </c>
      <c r="R191" s="118"/>
      <c r="S191" s="118"/>
      <c r="T191" s="118">
        <f t="array" ref="T191">IFERROR(
INDEX(REPORTE_DROPI!B:B,
MATCH(
CLEAN(TRIM(C191)),
CLEAN(TRIM(REPORTE_DROPI!E:E)),
0
)
),
""
)
</f>
        <v>4095219</v>
      </c>
      <c r="U191" s="118">
        <v>6.404360273964E12</v>
      </c>
      <c r="V191" s="78"/>
      <c r="W191" s="78"/>
      <c r="X191" s="78"/>
      <c r="Y191" s="78"/>
      <c r="Z191" s="78"/>
    </row>
    <row r="192" ht="22.5" customHeight="1">
      <c r="A192" s="118">
        <v>191.0</v>
      </c>
      <c r="B192" s="119">
        <v>46032.0</v>
      </c>
      <c r="C192" s="118" t="s">
        <v>4063</v>
      </c>
      <c r="D192" s="118" t="str">
        <f>IFERROR(__xludf.DUMMYFUNCTION("IFERROR(
  INDEX(
    FILTER(
      'NOMBRE DE PRODUCTOS'!B:B,
      REGEXMATCH(
        UPPER(
          INDEX(
            REPORTE_DROPI!AC:AC,
            MATCH(T192, REPORTE_DROPI!B:B, 0)
          )
        ),
        UPPER('NOMBRE DE PRODUCTOS'!A:A)"&amp;"
      )
    ),
    1
  ),
  ""REVISAR""
)
"),"FilmPro®")</f>
        <v>FilmPro®</v>
      </c>
      <c r="E192" s="120">
        <f t="array" ref="E192">IF(
UPPER(TRIM(CLEAN($O192)))="ENTREGADO",
IFERROR(
INDEX(REPORTE_DROPI!Y:Y,
MATCH($T192, REPORTE_DROPI!B:B, 0)
),
""
),
""
)
</f>
        <v>5.58</v>
      </c>
      <c r="F192" s="121">
        <v>2.0</v>
      </c>
      <c r="G192" s="122">
        <f t="array" ref="G192">IF(
UPPER(TRIM(CLEAN($O192)))="ENTREGADO",
IFERROR(
INDEX(REPORTE_DROPI!R:R,
MATCH($T192, REPORTE_DROPI!B:B, 0)
),
""
),
""
)
</f>
        <v>25</v>
      </c>
      <c r="H192" s="118" t="s">
        <v>3727</v>
      </c>
      <c r="I192" s="118" t="s">
        <v>3804</v>
      </c>
      <c r="J192" s="121">
        <f t="array" ref="J192">IF(
UPPER(TRIM(CLEAN($O192)))="ENTREGADO",
IFERROR(
INDEX(REPORTE_DROPI!T:T,
MATCH($T192, REPORTE_DROPI!B:B, 0)
),
""
),
""
)
</f>
        <v>5.96</v>
      </c>
      <c r="K192" s="118">
        <f t="array" ref="K192">IFERROR(
INDEX(REPORTE_DROPI!S:S,
MATCH($T192, REPORTE_DROPI!B:B, 0)
),
""
)
</f>
        <v>13.46</v>
      </c>
      <c r="L192" s="118" t="str">
        <f>IF(
  O192&lt;&gt;"DEVOLUCION",
  "",
  IF(
    T192="",
    "",
    SUMIF(DEVOLUCION!F:F, T192, DEVOLUCION!D:D)
  )
)
</f>
        <v/>
      </c>
      <c r="M192" s="118" t="s">
        <v>3870</v>
      </c>
      <c r="N192" s="118" t="s">
        <v>4064</v>
      </c>
      <c r="O192" s="118" t="str">
        <f t="array" ref="O192">IFERROR(
VLOOKUP(
TRIM(CLEAN(
INDEX(REPORTE_DROPI!K:K,
MATCH(T192, REPORTE_DROPI!B:B, 0)
))),
{
TRIM(CLEAN(MAPA_ESTADOS!A:A)) ,
MAPA_ESTADOS!B:B
},
2,
FALSE
),
"REVISAR"
)
</f>
        <v>ENTREGADO</v>
      </c>
      <c r="P192" s="118"/>
      <c r="Q192" s="122">
        <f t="shared" si="1"/>
        <v>0</v>
      </c>
      <c r="R192" s="118"/>
      <c r="S192" s="118"/>
      <c r="T192" s="118">
        <f t="array" ref="T192">IFERROR(
INDEX(REPORTE_DROPI!B:B,
MATCH(
CLEAN(TRIM(C192)),
CLEAN(TRIM(REPORTE_DROPI!E:E)),
0
)
),
""
)
</f>
        <v>4095349</v>
      </c>
      <c r="U192" s="118">
        <v>6.404418699308E12</v>
      </c>
      <c r="V192" s="78"/>
      <c r="W192" s="78"/>
      <c r="X192" s="78"/>
      <c r="Y192" s="78"/>
      <c r="Z192" s="78"/>
    </row>
    <row r="193" ht="22.5" customHeight="1">
      <c r="A193" s="118">
        <v>192.0</v>
      </c>
      <c r="B193" s="119">
        <v>46032.0</v>
      </c>
      <c r="C193" s="118" t="s">
        <v>4065</v>
      </c>
      <c r="D193" s="118" t="str">
        <f>IFERROR(__xludf.DUMMYFUNCTION("IFERROR(
  INDEX(
    FILTER(
      'NOMBRE DE PRODUCTOS'!B:B,
      REGEXMATCH(
        UPPER(
          INDEX(
            REPORTE_DROPI!AC:AC,
            MATCH(T193, REPORTE_DROPI!B:B, 0)
          )
        ),
        UPPER('NOMBRE DE PRODUCTOS'!A:A)"&amp;"
      )
    ),
    1
  ),
  ""REVISAR""
)
"),"Cuchillo Tazaki™")</f>
        <v>Cuchillo Tazaki™</v>
      </c>
      <c r="E193" s="120">
        <f t="array" ref="E193">IF(
UPPER(TRIM(CLEAN($O193)))="ENTREGADO",
IFERROR(
INDEX(REPORTE_DROPI!Y:Y,
MATCH($T193, REPORTE_DROPI!B:B, 0)
),
""
),
""
)
</f>
        <v>5.2</v>
      </c>
      <c r="F193" s="121">
        <v>2.0</v>
      </c>
      <c r="G193" s="122">
        <f t="array" ref="G193">IF(
UPPER(TRIM(CLEAN($O193)))="ENTREGADO",
IFERROR(
INDEX(REPORTE_DROPI!R:R,
MATCH($T193, REPORTE_DROPI!B:B, 0)
),
""
),
""
)
</f>
        <v>22</v>
      </c>
      <c r="H193" s="118" t="s">
        <v>3727</v>
      </c>
      <c r="I193" s="118" t="s">
        <v>3740</v>
      </c>
      <c r="J193" s="121">
        <f t="array" ref="J193">IF(
UPPER(TRIM(CLEAN($O193)))="ENTREGADO",
IFERROR(
INDEX(REPORTE_DROPI!T:T,
MATCH($T193, REPORTE_DROPI!B:B, 0)
),
""
),
""
)
</f>
        <v>5.26</v>
      </c>
      <c r="K193" s="118">
        <f t="array" ref="K193">IFERROR(
INDEX(REPORTE_DROPI!S:S,
MATCH($T193, REPORTE_DROPI!B:B, 0)
),
""
)
</f>
        <v>11.54</v>
      </c>
      <c r="L193" s="118" t="str">
        <f>IF(
  O193&lt;&gt;"DEVOLUCION",
  "",
  IF(
    T193="",
    "",
    SUMIF(DEVOLUCION!F:F, T193, DEVOLUCION!D:D)
  )
)
</f>
        <v/>
      </c>
      <c r="M193" s="118"/>
      <c r="N193" s="118" t="s">
        <v>4066</v>
      </c>
      <c r="O193" s="118" t="str">
        <f t="array" ref="O193">IFERROR(
VLOOKUP(
TRIM(CLEAN(
INDEX(REPORTE_DROPI!K:K,
MATCH(T193, REPORTE_DROPI!B:B, 0)
))),
{
TRIM(CLEAN(MAPA_ESTADOS!A:A)) ,
MAPA_ESTADOS!B:B
},
2,
FALSE
),
"REVISAR"
)
</f>
        <v>ENTREGADO</v>
      </c>
      <c r="P193" s="118"/>
      <c r="Q193" s="122">
        <f t="shared" si="1"/>
        <v>0</v>
      </c>
      <c r="R193" s="118"/>
      <c r="S193" s="118"/>
      <c r="T193" s="118">
        <f t="array" ref="T193">IFERROR(
INDEX(REPORTE_DROPI!B:B,
MATCH(
CLEAN(TRIM(C193)),
CLEAN(TRIM(REPORTE_DROPI!E:E)),
0
)
),
""
)
</f>
        <v>4095486</v>
      </c>
      <c r="U193" s="118">
        <v>6.404470538284E12</v>
      </c>
      <c r="V193" s="78"/>
      <c r="W193" s="78"/>
      <c r="X193" s="78"/>
      <c r="Y193" s="78"/>
      <c r="Z193" s="78"/>
    </row>
    <row r="194" ht="22.5" customHeight="1">
      <c r="A194" s="118">
        <v>193.0</v>
      </c>
      <c r="B194" s="119">
        <v>46032.0</v>
      </c>
      <c r="C194" s="118" t="s">
        <v>4067</v>
      </c>
      <c r="D194" s="118" t="str">
        <f>IFERROR(__xludf.DUMMYFUNCTION("IFERROR(
  INDEX(
    FILTER(
      'NOMBRE DE PRODUCTOS'!B:B,
      REGEXMATCH(
        UPPER(
          INDEX(
            REPORTE_DROPI!AC:AC,
            MATCH(T194, REPORTE_DROPI!B:B, 0)
          )
        ),
        UPPER('NOMBRE DE PRODUCTOS'!A:A)"&amp;"
      )
    ),
    1
  ),
  ""REVISAR""
)
"),"Cuchillo Tazaki™")</f>
        <v>Cuchillo Tazaki™</v>
      </c>
      <c r="E194" s="120" t="str">
        <f t="array" ref="E194">IF(
UPPER(TRIM(CLEAN($O194)))="ENTREGADO",
IFERROR(
INDEX(REPORTE_DROPI!Y:Y,
MATCH($T194, REPORTE_DROPI!B:B, 0)
),
""
),
""
)
</f>
        <v/>
      </c>
      <c r="F194" s="121">
        <v>2.0</v>
      </c>
      <c r="G194" s="122" t="str">
        <f t="array" ref="G194">IF(
UPPER(TRIM(CLEAN($O194)))="ENTREGADO",
IFERROR(
INDEX(REPORTE_DROPI!R:R,
MATCH($T194, REPORTE_DROPI!B:B, 0)
),
""
),
""
)
</f>
        <v/>
      </c>
      <c r="H194" s="118" t="s">
        <v>3727</v>
      </c>
      <c r="I194" s="118" t="s">
        <v>3738</v>
      </c>
      <c r="J194" s="121" t="str">
        <f t="array" ref="J194">IF(
UPPER(TRIM(CLEAN($O194)))="ENTREGADO",
IFERROR(
INDEX(REPORTE_DROPI!T:T,
MATCH($T194, REPORTE_DROPI!B:B, 0)
),
""
),
""
)
</f>
        <v/>
      </c>
      <c r="K194" s="118" t="str">
        <f t="array" ref="K194">IFERROR(
INDEX(REPORTE_DROPI!S:S,
MATCH($T194, REPORTE_DROPI!B:B, 0)
),
""
)
</f>
        <v/>
      </c>
      <c r="L194" s="118">
        <f>IF(
  O194&lt;&gt;"DEVOLUCION",
  "",
  IF(
    T194="",
    "",
    SUMIF(DEVOLUCION!F:F, T194, DEVOLUCION!D:D)
  )
)
</f>
        <v>5.07</v>
      </c>
      <c r="M194" s="118" t="s">
        <v>3870</v>
      </c>
      <c r="N194" s="118" t="s">
        <v>4068</v>
      </c>
      <c r="O194" s="118" t="str">
        <f t="array" ref="O194">IFERROR(
VLOOKUP(
TRIM(CLEAN(
INDEX(REPORTE_DROPI!K:K,
MATCH(T194, REPORTE_DROPI!B:B, 0)
))),
{
TRIM(CLEAN(MAPA_ESTADOS!A:A)) ,
MAPA_ESTADOS!B:B
},
2,
FALSE
),
"REVISAR"
)
</f>
        <v>DEVOLUCION</v>
      </c>
      <c r="P194" s="118" t="s">
        <v>4069</v>
      </c>
      <c r="Q194" s="122">
        <f t="shared" si="1"/>
        <v>0</v>
      </c>
      <c r="R194" s="118"/>
      <c r="S194" s="118"/>
      <c r="T194" s="118">
        <f t="array" ref="T194">IFERROR(
INDEX(REPORTE_DROPI!B:B,
MATCH(
CLEAN(TRIM(C194)),
CLEAN(TRIM(REPORTE_DROPI!E:E)),
0
)
),
""
)
</f>
        <v>4095491</v>
      </c>
      <c r="U194" s="118">
        <v>6.404473356332E12</v>
      </c>
      <c r="V194" s="78"/>
      <c r="W194" s="78"/>
      <c r="X194" s="78"/>
      <c r="Y194" s="78"/>
      <c r="Z194" s="78"/>
    </row>
    <row r="195" ht="22.5" customHeight="1">
      <c r="A195" s="118">
        <v>194.0</v>
      </c>
      <c r="B195" s="119">
        <v>46032.0</v>
      </c>
      <c r="C195" s="118" t="s">
        <v>4070</v>
      </c>
      <c r="D195" s="118" t="str">
        <f>IFERROR(__xludf.DUMMYFUNCTION("IFERROR(
  INDEX(
    FILTER(
      'NOMBRE DE PRODUCTOS'!B:B,
      REGEXMATCH(
        UPPER(
          INDEX(
            REPORTE_DROPI!AC:AC,
            MATCH(T195, REPORTE_DROPI!B:B, 0)
          )
        ),
        UPPER('NOMBRE DE PRODUCTOS'!A:A)"&amp;"
      )
    ),
    1
  ),
  ""REVISAR""
)
"),"Cuchillo Tazaki™")</f>
        <v>Cuchillo Tazaki™</v>
      </c>
      <c r="E195" s="120" t="str">
        <f t="array" ref="E195">IF(
UPPER(TRIM(CLEAN($O195)))="ENTREGADO",
IFERROR(
INDEX(REPORTE_DROPI!Y:Y,
MATCH($T195, REPORTE_DROPI!B:B, 0)
),
""
),
""
)
</f>
        <v/>
      </c>
      <c r="F195" s="121">
        <v>2.0</v>
      </c>
      <c r="G195" s="122" t="str">
        <f t="array" ref="G195">IF(
UPPER(TRIM(CLEAN($O195)))="ENTREGADO",
IFERROR(
INDEX(REPORTE_DROPI!R:R,
MATCH($T195, REPORTE_DROPI!B:B, 0)
),
""
),
""
)
</f>
        <v/>
      </c>
      <c r="H195" s="118" t="s">
        <v>3727</v>
      </c>
      <c r="I195" s="118" t="s">
        <v>3740</v>
      </c>
      <c r="J195" s="121" t="str">
        <f t="array" ref="J195">IF(
UPPER(TRIM(CLEAN($O195)))="ENTREGADO",
IFERROR(
INDEX(REPORTE_DROPI!T:T,
MATCH($T195, REPORTE_DROPI!B:B, 0)
),
""
),
""
)
</f>
        <v/>
      </c>
      <c r="K195" s="118" t="str">
        <f t="array" ref="K195">IFERROR(
INDEX(REPORTE_DROPI!S:S,
MATCH($T195, REPORTE_DROPI!B:B, 0)
),
""
)
</f>
        <v/>
      </c>
      <c r="L195" s="118" t="str">
        <f>IF(
  O195&lt;&gt;"DEVOLUCION",
  "",
  IF(
    T195="",
    "",
    SUMIF(DEVOLUCION!F:F, T195, DEVOLUCION!D:D)
  )
)
</f>
        <v/>
      </c>
      <c r="M195" s="118"/>
      <c r="N195" s="118" t="s">
        <v>4071</v>
      </c>
      <c r="O195" s="118" t="str">
        <f t="array" ref="O195">IFERROR(
VLOOKUP(
TRIM(CLEAN(
INDEX(REPORTE_DROPI!K:K,
MATCH(T195, REPORTE_DROPI!B:B, 0)
))),
{
TRIM(CLEAN(MAPA_ESTADOS!A:A)) ,
MAPA_ESTADOS!B:B
},
2,
FALSE
),
"REVISAR"
)
</f>
        <v>CANCELADO</v>
      </c>
      <c r="P195" s="118" t="s">
        <v>4072</v>
      </c>
      <c r="Q195" s="122">
        <f t="shared" si="1"/>
        <v>0</v>
      </c>
      <c r="R195" s="118"/>
      <c r="S195" s="118"/>
      <c r="T195" s="118">
        <f t="array" ref="T195">IFERROR(
INDEX(REPORTE_DROPI!B:B,
MATCH(
CLEAN(TRIM(C195)),
CLEAN(TRIM(REPORTE_DROPI!E:E)),
0
)
),
""
)
</f>
        <v>4095492</v>
      </c>
      <c r="U195" s="118">
        <v>6.404473454636E12</v>
      </c>
      <c r="V195" s="78"/>
      <c r="W195" s="78"/>
      <c r="X195" s="78"/>
      <c r="Y195" s="78"/>
      <c r="Z195" s="78"/>
    </row>
    <row r="196" ht="22.5" customHeight="1">
      <c r="A196" s="118">
        <v>195.0</v>
      </c>
      <c r="B196" s="119">
        <v>46032.0</v>
      </c>
      <c r="C196" s="118" t="s">
        <v>4073</v>
      </c>
      <c r="D196" s="118" t="str">
        <f>IFERROR(__xludf.DUMMYFUNCTION("IFERROR(
  INDEX(
    FILTER(
      'NOMBRE DE PRODUCTOS'!B:B,
      REGEXMATCH(
        UPPER(
          INDEX(
            REPORTE_DROPI!AC:AC,
            MATCH(T196, REPORTE_DROPI!B:B, 0)
          )
        ),
        UPPER('NOMBRE DE PRODUCTOS'!A:A)"&amp;"
      )
    ),
    1
  ),
  ""REVISAR""
)
"),"FilmPro®")</f>
        <v>FilmPro®</v>
      </c>
      <c r="E196" s="120">
        <f t="array" ref="E196">IF(
UPPER(TRIM(CLEAN($O196)))="ENTREGADO",
IFERROR(
INDEX(REPORTE_DROPI!Y:Y,
MATCH($T196, REPORTE_DROPI!B:B, 0)
),
""
),
""
)
</f>
        <v>8.37</v>
      </c>
      <c r="F196" s="121">
        <v>3.0</v>
      </c>
      <c r="G196" s="122">
        <f t="array" ref="G196">IF(
UPPER(TRIM(CLEAN($O196)))="ENTREGADO",
IFERROR(
INDEX(REPORTE_DROPI!R:R,
MATCH($T196, REPORTE_DROPI!B:B, 0)
),
""
),
""
)
</f>
        <v>30</v>
      </c>
      <c r="H196" s="118" t="s">
        <v>3727</v>
      </c>
      <c r="I196" s="118" t="s">
        <v>3731</v>
      </c>
      <c r="J196" s="121">
        <f t="array" ref="J196">IF(
UPPER(TRIM(CLEAN($O196)))="ENTREGADO",
IFERROR(
INDEX(REPORTE_DROPI!T:T,
MATCH($T196, REPORTE_DROPI!B:B, 0)
),
""
),
""
)
</f>
        <v>6.16</v>
      </c>
      <c r="K196" s="118">
        <f t="array" ref="K196">IFERROR(
INDEX(REPORTE_DROPI!S:S,
MATCH($T196, REPORTE_DROPI!B:B, 0)
),
""
)
</f>
        <v>15.47</v>
      </c>
      <c r="L196" s="118" t="str">
        <f>IF(
  O196&lt;&gt;"DEVOLUCION",
  "",
  IF(
    T196="",
    "",
    SUMIF(DEVOLUCION!F:F, T196, DEVOLUCION!D:D)
  )
)
</f>
        <v/>
      </c>
      <c r="M196" s="118"/>
      <c r="N196" s="118" t="s">
        <v>4074</v>
      </c>
      <c r="O196" s="118" t="str">
        <f t="array" ref="O196">IFERROR(
VLOOKUP(
TRIM(CLEAN(
INDEX(REPORTE_DROPI!K:K,
MATCH(T196, REPORTE_DROPI!B:B, 0)
))),
{
TRIM(CLEAN(MAPA_ESTADOS!A:A)) ,
MAPA_ESTADOS!B:B
},
2,
FALSE
),
"REVISAR"
)
</f>
        <v>ENTREGADO</v>
      </c>
      <c r="P196" s="118"/>
      <c r="Q196" s="122">
        <f t="shared" si="1"/>
        <v>0</v>
      </c>
      <c r="R196" s="118"/>
      <c r="S196" s="118"/>
      <c r="T196" s="118">
        <f t="array" ref="T196">IFERROR(
INDEX(REPORTE_DROPI!B:B,
MATCH(
CLEAN(TRIM(C196)),
CLEAN(TRIM(REPORTE_DROPI!E:E)),
0
)
),
""
)
</f>
        <v>4095628</v>
      </c>
      <c r="U196" s="118">
        <v>6.404521590828E12</v>
      </c>
      <c r="V196" s="78"/>
      <c r="W196" s="78"/>
      <c r="X196" s="78"/>
      <c r="Y196" s="78"/>
      <c r="Z196" s="78"/>
    </row>
    <row r="197" ht="22.5" customHeight="1">
      <c r="A197" s="118">
        <v>196.0</v>
      </c>
      <c r="B197" s="119">
        <v>46032.0</v>
      </c>
      <c r="C197" s="126" t="s">
        <v>4075</v>
      </c>
      <c r="D197" s="118" t="s">
        <v>3827</v>
      </c>
      <c r="E197" s="120" t="str">
        <f t="array" ref="E197">IF(
UPPER(TRIM(CLEAN($O197)))="ENTREGADO",
IFERROR(
INDEX(REPORTE_DROPI!Y:Y,
MATCH($T197, REPORTE_DROPI!B:B, 0)
),
""
),
""
)
</f>
        <v/>
      </c>
      <c r="F197" s="121">
        <v>2.0</v>
      </c>
      <c r="G197" s="122" t="str">
        <f t="array" ref="G197">IF(
UPPER(TRIM(CLEAN($O197)))="ENTREGADO",
IFERROR(
INDEX(REPORTE_DROPI!R:R,
MATCH($T197, REPORTE_DROPI!B:B, 0)
),
""
),
""
)
</f>
        <v/>
      </c>
      <c r="H197" s="118" t="s">
        <v>3727</v>
      </c>
      <c r="I197" s="118" t="s">
        <v>3784</v>
      </c>
      <c r="J197" s="121" t="str">
        <f t="array" ref="J197">IF(
UPPER(TRIM(CLEAN($O197)))="ENTREGADO",
IFERROR(
INDEX(REPORTE_DROPI!T:T,
MATCH($T197, REPORTE_DROPI!B:B, 0)
),
""
),
""
)
</f>
        <v/>
      </c>
      <c r="K197" s="118" t="str">
        <f t="array" ref="K197">IFERROR(
INDEX(REPORTE_DROPI!S:S,
MATCH($T197, REPORTE_DROPI!B:B, 0)
),
""
)
</f>
        <v/>
      </c>
      <c r="L197" s="118">
        <f>IF(
  O197&lt;&gt;"DEVOLUCION",
  "",
  IF(
    T197="",
    "",
    SUMIF(DEVOLUCION!F:F, T197, DEVOLUCION!D:D)
  )
)
</f>
        <v>0</v>
      </c>
      <c r="M197" s="118"/>
      <c r="N197" s="118" t="s">
        <v>4076</v>
      </c>
      <c r="O197" s="118" t="str">
        <f t="array" ref="O197">IFERROR(
VLOOKUP(
TRIM(CLEAN(
INDEX(REPORTE_DROPI!K:K,
MATCH(T197, REPORTE_DROPI!B:B, 0)
))),
{
TRIM(CLEAN(MAPA_ESTADOS!A:A)) ,
MAPA_ESTADOS!B:B
},
2,
FALSE
),
"REVISAR"
)
</f>
        <v>DEVOLUCION</v>
      </c>
      <c r="P197" s="127" t="s">
        <v>4077</v>
      </c>
      <c r="Q197" s="122">
        <f t="shared" si="1"/>
        <v>0</v>
      </c>
      <c r="R197" s="118"/>
      <c r="S197" s="118"/>
      <c r="T197" s="118">
        <f t="array" ref="T197">IFERROR(
INDEX(REPORTE_DROPI!B:B,
MATCH(
CLEAN(TRIM(C197)),
CLEAN(TRIM(REPORTE_DROPI!E:E)),
0
)
),
""
)
</f>
        <v>4626822</v>
      </c>
      <c r="U197" s="118">
        <v>6.404531159084E12</v>
      </c>
      <c r="V197" s="78"/>
      <c r="W197" s="78"/>
      <c r="X197" s="78"/>
      <c r="Y197" s="78"/>
      <c r="Z197" s="78"/>
    </row>
    <row r="198" ht="25.5" customHeight="1">
      <c r="A198" s="118">
        <v>197.0</v>
      </c>
      <c r="B198" s="119">
        <v>46032.0</v>
      </c>
      <c r="C198" s="126" t="s">
        <v>4078</v>
      </c>
      <c r="D198" s="118" t="s">
        <v>3827</v>
      </c>
      <c r="E198" s="120" t="str">
        <f t="array" ref="E198">IF(
UPPER(TRIM(CLEAN($O198)))="ENTREGADO",
IFERROR(
INDEX(REPORTE_DROPI!Y:Y,
MATCH($T198, REPORTE_DROPI!B:B, 0)
),
""
),
""
)
</f>
        <v/>
      </c>
      <c r="F198" s="121">
        <v>2.0</v>
      </c>
      <c r="G198" s="122" t="str">
        <f t="array" ref="G198">IF(
UPPER(TRIM(CLEAN($O198)))="ENTREGADO",
IFERROR(
INDEX(REPORTE_DROPI!R:R,
MATCH($T198, REPORTE_DROPI!B:B, 0)
),
""
),
""
)
</f>
        <v/>
      </c>
      <c r="H198" s="118" t="s">
        <v>3727</v>
      </c>
      <c r="I198" s="118" t="s">
        <v>3784</v>
      </c>
      <c r="J198" s="121" t="str">
        <f t="array" ref="J198">IF(
UPPER(TRIM(CLEAN($O198)))="ENTREGADO",
IFERROR(
INDEX(REPORTE_DROPI!T:T,
MATCH($T198, REPORTE_DROPI!B:B, 0)
),
""
),
""
)
</f>
        <v/>
      </c>
      <c r="K198" s="118" t="str">
        <f t="array" ref="K198">IFERROR(
INDEX(REPORTE_DROPI!S:S,
MATCH($T198, REPORTE_DROPI!B:B, 0)
),
""
)
</f>
        <v/>
      </c>
      <c r="L198" s="118">
        <f>IF(
  O198&lt;&gt;"DEVOLUCION",
  "",
  IF(
    T198="",
    "",
    SUMIF(DEVOLUCION!F:F, T198, DEVOLUCION!D:D)
  )
)
</f>
        <v>0</v>
      </c>
      <c r="M198" s="118"/>
      <c r="N198" s="118" t="s">
        <v>4079</v>
      </c>
      <c r="O198" s="118" t="str">
        <f t="array" ref="O198">IFERROR(
VLOOKUP(
TRIM(CLEAN(
INDEX(REPORTE_DROPI!K:K,
MATCH(T198, REPORTE_DROPI!B:B, 0)
))),
{
TRIM(CLEAN(MAPA_ESTADOS!A:A)) ,
MAPA_ESTADOS!B:B
},
2,
FALSE
),
"REVISAR"
)
</f>
        <v>DEVOLUCION</v>
      </c>
      <c r="P198" s="127" t="s">
        <v>4080</v>
      </c>
      <c r="Q198" s="122">
        <f t="shared" si="1"/>
        <v>0</v>
      </c>
      <c r="R198" s="118"/>
      <c r="S198" s="118"/>
      <c r="T198" s="118">
        <f t="array" ref="T198">IFERROR(
INDEX(REPORTE_DROPI!B:B,
MATCH(
CLEAN(TRIM(C198)),
CLEAN(TRIM(REPORTE_DROPI!E:E)),
0
)
),
""
)
</f>
        <v>4626822</v>
      </c>
      <c r="U198" s="118"/>
      <c r="V198" s="78"/>
      <c r="W198" s="78"/>
      <c r="X198" s="78"/>
      <c r="Y198" s="78"/>
      <c r="Z198" s="78"/>
    </row>
    <row r="199" ht="22.5" customHeight="1">
      <c r="A199" s="118">
        <v>198.0</v>
      </c>
      <c r="B199" s="119">
        <v>46032.0</v>
      </c>
      <c r="C199" s="126" t="s">
        <v>4081</v>
      </c>
      <c r="D199" s="118" t="str">
        <f>IFERROR(__xludf.DUMMYFUNCTION("IFERROR(
  INDEX(
    FILTER(
      'NOMBRE DE PRODUCTOS'!B:B,
      REGEXMATCH(
        UPPER(
          INDEX(
            REPORTE_DROPI!AC:AC,
            MATCH(T199, REPORTE_DROPI!B:B, 0)
          )
        ),
        UPPER('NOMBRE DE PRODUCTOS'!A:A)"&amp;"
      )
    ),
    1
  ),
  ""REVISAR""
)
"),"FilmPro®")</f>
        <v>FilmPro®</v>
      </c>
      <c r="E199" s="120" t="str">
        <f t="array" ref="E199">IF(
UPPER(TRIM(CLEAN($O199)))="ENTREGADO",
IFERROR(
INDEX(REPORTE_DROPI!Y:Y,
MATCH($T199, REPORTE_DROPI!B:B, 0)
),
""
),
""
)
</f>
        <v/>
      </c>
      <c r="F199" s="121">
        <v>2.0</v>
      </c>
      <c r="G199" s="122" t="str">
        <f t="array" ref="G199">IF(
UPPER(TRIM(CLEAN($O199)))="ENTREGADO",
IFERROR(
INDEX(REPORTE_DROPI!R:R,
MATCH($T199, REPORTE_DROPI!B:B, 0)
),
""
),
""
)
</f>
        <v/>
      </c>
      <c r="H199" s="118" t="s">
        <v>3727</v>
      </c>
      <c r="I199" s="118" t="s">
        <v>3969</v>
      </c>
      <c r="J199" s="121" t="str">
        <f t="array" ref="J199">IF(
UPPER(TRIM(CLEAN($O199)))="ENTREGADO",
IFERROR(
INDEX(REPORTE_DROPI!T:T,
MATCH($T199, REPORTE_DROPI!B:B, 0)
),
""
),
""
)
</f>
        <v/>
      </c>
      <c r="K199" s="118" t="str">
        <f t="array" ref="K199">IFERROR(
INDEX(REPORTE_DROPI!S:S,
MATCH($T199, REPORTE_DROPI!B:B, 0)
),
""
)
</f>
        <v/>
      </c>
      <c r="L199" s="118">
        <f>IF(
  O199&lt;&gt;"DEVOLUCION",
  "",
  IF(
    T199="",
    "",
    SUMIF(DEVOLUCION!F:F, T199, DEVOLUCION!D:D)
  )
)
</f>
        <v>5.09</v>
      </c>
      <c r="M199" s="118"/>
      <c r="N199" s="118" t="s">
        <v>4082</v>
      </c>
      <c r="O199" s="118" t="str">
        <f t="array" ref="O199">IFERROR(
VLOOKUP(
TRIM(CLEAN(
INDEX(REPORTE_DROPI!K:K,
MATCH(T199, REPORTE_DROPI!B:B, 0)
))),
{
TRIM(CLEAN(MAPA_ESTADOS!A:A)) ,
MAPA_ESTADOS!B:B
},
2,
FALSE
),
"REVISAR"
)
</f>
        <v>DEVOLUCION</v>
      </c>
      <c r="P199" s="118" t="s">
        <v>3960</v>
      </c>
      <c r="Q199" s="122">
        <f t="shared" si="1"/>
        <v>0</v>
      </c>
      <c r="R199" s="118"/>
      <c r="S199" s="118"/>
      <c r="T199" s="118">
        <f t="array" ref="T199">IFERROR(
INDEX(REPORTE_DROPI!B:B,
MATCH(
CLEAN(TRIM(C199)),
CLEAN(TRIM(REPORTE_DROPI!E:E)),
0
)
),
""
)
</f>
        <v>4122077</v>
      </c>
      <c r="U199" s="118">
        <v>6.404552818732E12</v>
      </c>
      <c r="V199" s="78"/>
      <c r="W199" s="78"/>
      <c r="X199" s="78"/>
      <c r="Y199" s="78"/>
      <c r="Z199" s="78"/>
    </row>
    <row r="200" ht="22.5" customHeight="1">
      <c r="A200" s="118">
        <v>199.0</v>
      </c>
      <c r="B200" s="119">
        <v>46032.0</v>
      </c>
      <c r="C200" s="118" t="s">
        <v>4083</v>
      </c>
      <c r="D200" s="118" t="str">
        <f>IFERROR(__xludf.DUMMYFUNCTION("IFERROR(
  INDEX(
    FILTER(
      'NOMBRE DE PRODUCTOS'!B:B,
      REGEXMATCH(
        UPPER(
          INDEX(
            REPORTE_DROPI!AC:AC,
            MATCH(T200, REPORTE_DROPI!B:B, 0)
          )
        ),
        UPPER('NOMBRE DE PRODUCTOS'!A:A)"&amp;"
      )
    ),
    1
  ),
  ""REVISAR""
)
"),"Cuchillo Tazaki™")</f>
        <v>Cuchillo Tazaki™</v>
      </c>
      <c r="E200" s="120" t="str">
        <f t="array" ref="E200">IF(
UPPER(TRIM(CLEAN($O200)))="ENTREGADO",
IFERROR(
INDEX(REPORTE_DROPI!Y:Y,
MATCH($T200, REPORTE_DROPI!B:B, 0)
),
""
),
""
)
</f>
        <v/>
      </c>
      <c r="F200" s="121">
        <v>4.0</v>
      </c>
      <c r="G200" s="122" t="str">
        <f t="array" ref="G200">IF(
UPPER(TRIM(CLEAN($O200)))="ENTREGADO",
IFERROR(
INDEX(REPORTE_DROPI!R:R,
MATCH($T200, REPORTE_DROPI!B:B, 0)
),
""
),
""
)
</f>
        <v/>
      </c>
      <c r="H200" s="118" t="s">
        <v>3727</v>
      </c>
      <c r="I200" s="118" t="s">
        <v>3912</v>
      </c>
      <c r="J200" s="121" t="str">
        <f t="array" ref="J200">IF(
UPPER(TRIM(CLEAN($O200)))="ENTREGADO",
IFERROR(
INDEX(REPORTE_DROPI!T:T,
MATCH($T200, REPORTE_DROPI!B:B, 0)
),
""
),
""
)
</f>
        <v/>
      </c>
      <c r="K200" s="118" t="str">
        <f t="array" ref="K200">IFERROR(
INDEX(REPORTE_DROPI!S:S,
MATCH($T200, REPORTE_DROPI!B:B, 0)
),
""
)
</f>
        <v/>
      </c>
      <c r="L200" s="118">
        <f>IF(
  O200&lt;&gt;"DEVOLUCION",
  "",
  IF(
    T200="",
    "",
    SUMIF(DEVOLUCION!F:F, T200, DEVOLUCION!D:D)
  )
)
</f>
        <v>5.13</v>
      </c>
      <c r="M200" s="118"/>
      <c r="N200" s="118" t="s">
        <v>4084</v>
      </c>
      <c r="O200" s="118" t="str">
        <f t="array" ref="O200">IFERROR(
VLOOKUP(
TRIM(CLEAN(
INDEX(REPORTE_DROPI!K:K,
MATCH(T200, REPORTE_DROPI!B:B, 0)
))),
{
TRIM(CLEAN(MAPA_ESTADOS!A:A)) ,
MAPA_ESTADOS!B:B
},
2,
FALSE
),
"REVISAR"
)
</f>
        <v>DEVOLUCION</v>
      </c>
      <c r="P200" s="118"/>
      <c r="Q200" s="122">
        <f t="shared" si="1"/>
        <v>0</v>
      </c>
      <c r="R200" s="118"/>
      <c r="S200" s="118"/>
      <c r="T200" s="118">
        <f t="array" ref="T200">IFERROR(
INDEX(REPORTE_DROPI!B:B,
MATCH(
CLEAN(TRIM(C200)),
CLEAN(TRIM(REPORTE_DROPI!E:E)),
0
)
),
""
)
</f>
        <v>4095722</v>
      </c>
      <c r="U200" s="118">
        <v>6.404556521516E12</v>
      </c>
      <c r="V200" s="78"/>
      <c r="W200" s="78"/>
      <c r="X200" s="78"/>
      <c r="Y200" s="78"/>
      <c r="Z200" s="78"/>
    </row>
    <row r="201" ht="22.5" customHeight="1">
      <c r="A201" s="118">
        <v>200.0</v>
      </c>
      <c r="B201" s="119">
        <v>46032.0</v>
      </c>
      <c r="C201" s="118" t="s">
        <v>4085</v>
      </c>
      <c r="D201" s="118" t="str">
        <f>IFERROR(__xludf.DUMMYFUNCTION("IFERROR(
  INDEX(
    FILTER(
      'NOMBRE DE PRODUCTOS'!B:B,
      REGEXMATCH(
        UPPER(
          INDEX(
            REPORTE_DROPI!AC:AC,
            MATCH(T201, REPORTE_DROPI!B:B, 0)
          )
        ),
        UPPER('NOMBRE DE PRODUCTOS'!A:A)"&amp;"
      )
    ),
    1
  ),
  ""REVISAR""
)
"),"Cuchillo Tazaki™")</f>
        <v>Cuchillo Tazaki™</v>
      </c>
      <c r="E201" s="120">
        <f t="array" ref="E201">IF(
UPPER(TRIM(CLEAN($O201)))="ENTREGADO",
IFERROR(
INDEX(REPORTE_DROPI!Y:Y,
MATCH($T201, REPORTE_DROPI!B:B, 0)
),
""
),
""
)
</f>
        <v>5.2</v>
      </c>
      <c r="F201" s="121">
        <v>2.0</v>
      </c>
      <c r="G201" s="122">
        <f t="array" ref="G201">IF(
UPPER(TRIM(CLEAN($O201)))="ENTREGADO",
IFERROR(
INDEX(REPORTE_DROPI!R:R,
MATCH($T201, REPORTE_DROPI!B:B, 0)
),
""
),
""
)
</f>
        <v>22</v>
      </c>
      <c r="H201" s="118" t="s">
        <v>3727</v>
      </c>
      <c r="I201" s="118" t="s">
        <v>3731</v>
      </c>
      <c r="J201" s="121">
        <f t="array" ref="J201">IF(
UPPER(TRIM(CLEAN($O201)))="ENTREGADO",
IFERROR(
INDEX(REPORTE_DROPI!T:T,
MATCH($T201, REPORTE_DROPI!B:B, 0)
),
""
),
""
)
</f>
        <v>5.84</v>
      </c>
      <c r="K201" s="118">
        <f t="array" ref="K201">IFERROR(
INDEX(REPORTE_DROPI!S:S,
MATCH($T201, REPORTE_DROPI!B:B, 0)
),
""
)
</f>
        <v>10.96</v>
      </c>
      <c r="L201" s="118" t="str">
        <f>IF(
  O201&lt;&gt;"DEVOLUCION",
  "",
  IF(
    T201="",
    "",
    SUMIF(DEVOLUCION!F:F, T201, DEVOLUCION!D:D)
  )
)
</f>
        <v/>
      </c>
      <c r="M201" s="118"/>
      <c r="N201" s="118" t="s">
        <v>4086</v>
      </c>
      <c r="O201" s="118" t="str">
        <f t="array" ref="O201">IFERROR(
VLOOKUP(
TRIM(CLEAN(
INDEX(REPORTE_DROPI!K:K,
MATCH(T201, REPORTE_DROPI!B:B, 0)
))),
{
TRIM(CLEAN(MAPA_ESTADOS!A:A)) ,
MAPA_ESTADOS!B:B
},
2,
FALSE
),
"REVISAR"
)
</f>
        <v>ENTREGADO</v>
      </c>
      <c r="P201" s="118"/>
      <c r="Q201" s="122">
        <f t="shared" si="1"/>
        <v>0</v>
      </c>
      <c r="R201" s="118"/>
      <c r="S201" s="118"/>
      <c r="T201" s="118">
        <f t="array" ref="T201">IFERROR(
INDEX(REPORTE_DROPI!B:B,
MATCH(
CLEAN(TRIM(C201)),
CLEAN(TRIM(REPORTE_DROPI!E:E)),
0
)
),
""
)
</f>
        <v>4095748</v>
      </c>
      <c r="U201" s="118">
        <v>6.404563632172E12</v>
      </c>
      <c r="V201" s="78"/>
      <c r="W201" s="78"/>
      <c r="X201" s="78"/>
      <c r="Y201" s="78"/>
      <c r="Z201" s="78"/>
    </row>
    <row r="202" ht="22.5" customHeight="1">
      <c r="A202" s="118">
        <v>201.0</v>
      </c>
      <c r="B202" s="119">
        <v>46032.0</v>
      </c>
      <c r="C202" s="118" t="s">
        <v>4087</v>
      </c>
      <c r="D202" s="118" t="str">
        <f>IFERROR(__xludf.DUMMYFUNCTION("IFERROR(
  INDEX(
    FILTER(
      'NOMBRE DE PRODUCTOS'!B:B,
      REGEXMATCH(
        UPPER(
          INDEX(
            REPORTE_DROPI!AC:AC,
            MATCH(T202, REPORTE_DROPI!B:B, 0)
          )
        ),
        UPPER('NOMBRE DE PRODUCTOS'!A:A)"&amp;"
      )
    ),
    1
  ),
  ""REVISAR""
)
"),"FilmPro®")</f>
        <v>FilmPro®</v>
      </c>
      <c r="E202" s="120">
        <f t="array" ref="E202">IF(
UPPER(TRIM(CLEAN($O202)))="ENTREGADO",
IFERROR(
INDEX(REPORTE_DROPI!Y:Y,
MATCH($T202, REPORTE_DROPI!B:B, 0)
),
""
),
""
)
</f>
        <v>2.79</v>
      </c>
      <c r="F202" s="121">
        <v>1.0</v>
      </c>
      <c r="G202" s="122">
        <f t="array" ref="G202">IF(
UPPER(TRIM(CLEAN($O202)))="ENTREGADO",
IFERROR(
INDEX(REPORTE_DROPI!R:R,
MATCH($T202, REPORTE_DROPI!B:B, 0)
),
""
),
""
)
</f>
        <v>20</v>
      </c>
      <c r="H202" s="118" t="s">
        <v>3727</v>
      </c>
      <c r="I202" s="118" t="s">
        <v>3740</v>
      </c>
      <c r="J202" s="121">
        <f t="array" ref="J202">IF(
UPPER(TRIM(CLEAN($O202)))="ENTREGADO",
IFERROR(
INDEX(REPORTE_DROPI!T:T,
MATCH($T202, REPORTE_DROPI!B:B, 0)
),
""
),
""
)
</f>
        <v>5.18</v>
      </c>
      <c r="K202" s="118">
        <f t="array" ref="K202">IFERROR(
INDEX(REPORTE_DROPI!S:S,
MATCH($T202, REPORTE_DROPI!B:B, 0)
),
""
)
</f>
        <v>12.03</v>
      </c>
      <c r="L202" s="118" t="str">
        <f>IF(
  O202&lt;&gt;"DEVOLUCION",
  "",
  IF(
    T202="",
    "",
    SUMIF(DEVOLUCION!F:F, T202, DEVOLUCION!D:D)
  )
)
</f>
        <v/>
      </c>
      <c r="M202" s="118" t="s">
        <v>3870</v>
      </c>
      <c r="N202" s="118" t="s">
        <v>4088</v>
      </c>
      <c r="O202" s="118" t="str">
        <f t="array" ref="O202">IFERROR(
VLOOKUP(
TRIM(CLEAN(
INDEX(REPORTE_DROPI!K:K,
MATCH(T202, REPORTE_DROPI!B:B, 0)
))),
{
TRIM(CLEAN(MAPA_ESTADOS!A:A)) ,
MAPA_ESTADOS!B:B
},
2,
FALSE
),
"REVISAR"
)
</f>
        <v>ENTREGADO</v>
      </c>
      <c r="P202" s="118"/>
      <c r="Q202" s="122">
        <f t="shared" si="1"/>
        <v>0</v>
      </c>
      <c r="R202" s="118"/>
      <c r="S202" s="118"/>
      <c r="T202" s="118">
        <f t="array" ref="T202">IFERROR(
INDEX(REPORTE_DROPI!B:B,
MATCH(
CLEAN(TRIM(C202)),
CLEAN(TRIM(REPORTE_DROPI!E:E)),
0
)
),
""
)
</f>
        <v>4095817</v>
      </c>
      <c r="U202" s="118">
        <v>6.404579622956E12</v>
      </c>
      <c r="V202" s="78"/>
      <c r="W202" s="78"/>
      <c r="X202" s="78"/>
      <c r="Y202" s="78"/>
      <c r="Z202" s="78"/>
    </row>
    <row r="203" ht="24.75" customHeight="1">
      <c r="A203" s="118">
        <v>202.0</v>
      </c>
      <c r="B203" s="119">
        <v>46032.0</v>
      </c>
      <c r="C203" s="126" t="s">
        <v>4089</v>
      </c>
      <c r="D203" s="118" t="s">
        <v>190</v>
      </c>
      <c r="E203" s="120" t="str">
        <f t="array" ref="E203">IF(
UPPER(TRIM(CLEAN($O203)))="ENTREGADO",
IFERROR(
INDEX(REPORTE_DROPI!Y:Y,
MATCH($T203, REPORTE_DROPI!B:B, 0)
),
""
),
""
)
</f>
        <v/>
      </c>
      <c r="F203" s="121">
        <v>2.0</v>
      </c>
      <c r="G203" s="122" t="str">
        <f t="array" ref="G203">IF(
UPPER(TRIM(CLEAN($O203)))="ENTREGADO",
IFERROR(
INDEX(REPORTE_DROPI!R:R,
MATCH($T203, REPORTE_DROPI!B:B, 0)
),
""
),
""
)
</f>
        <v/>
      </c>
      <c r="H203" s="118" t="s">
        <v>3727</v>
      </c>
      <c r="I203" s="118" t="s">
        <v>3882</v>
      </c>
      <c r="J203" s="121" t="str">
        <f t="array" ref="J203">IF(
UPPER(TRIM(CLEAN($O203)))="ENTREGADO",
IFERROR(
INDEX(REPORTE_DROPI!T:T,
MATCH($T203, REPORTE_DROPI!B:B, 0)
),
""
),
""
)
</f>
        <v/>
      </c>
      <c r="K203" s="118" t="str">
        <f t="array" ref="K203">IFERROR(
INDEX(REPORTE_DROPI!S:S,
MATCH($T203, REPORTE_DROPI!B:B, 0)
),
""
)
</f>
        <v/>
      </c>
      <c r="L203" s="118" t="str">
        <f>IF(
  O203&lt;&gt;"DEVOLUCION",
  "",
  IF(
    T203="",
    "",
    SUMIF(DEVOLUCION!F:F, T203, DEVOLUCION!D:D)
  )
)
</f>
        <v/>
      </c>
      <c r="M203" s="118"/>
      <c r="N203" s="118" t="s">
        <v>4090</v>
      </c>
      <c r="O203" s="118" t="str">
        <f t="array" ref="O203">IFERROR(
VLOOKUP(
TRIM(CLEAN(
INDEX(REPORTE_DROPI!K:K,
MATCH(T203, REPORTE_DROPI!B:B, 0)
))),
{
TRIM(CLEAN(MAPA_ESTADOS!A:A)) ,
MAPA_ESTADOS!B:B
},
2,
FALSE
),
"REVISAR"
)
</f>
        <v>REVISAR</v>
      </c>
      <c r="P203" s="127" t="s">
        <v>3673</v>
      </c>
      <c r="Q203" s="122">
        <f t="shared" si="1"/>
        <v>0</v>
      </c>
      <c r="R203" s="118"/>
      <c r="S203" s="118"/>
      <c r="T203" s="118" t="str">
        <f t="array" ref="T203">IFERROR(
INDEX(REPORTE_DROPI!B:B,
MATCH(
CLEAN(TRIM(C203)),
CLEAN(TRIM(REPORTE_DROPI!E:E)),
0
)
),
""
)
</f>
        <v/>
      </c>
      <c r="U203" s="118"/>
      <c r="V203" s="78"/>
      <c r="W203" s="78"/>
      <c r="X203" s="78"/>
      <c r="Y203" s="78"/>
      <c r="Z203" s="78"/>
    </row>
    <row r="204" ht="22.5" customHeight="1">
      <c r="A204" s="118">
        <v>203.0</v>
      </c>
      <c r="B204" s="119">
        <v>46032.0</v>
      </c>
      <c r="C204" s="118" t="s">
        <v>4091</v>
      </c>
      <c r="D204" s="118" t="str">
        <f>IFERROR(__xludf.DUMMYFUNCTION("IFERROR(
  INDEX(
    FILTER(
      'NOMBRE DE PRODUCTOS'!B:B,
      REGEXMATCH(
        UPPER(
          INDEX(
            REPORTE_DROPI!AC:AC,
            MATCH(T204, REPORTE_DROPI!B:B, 0)
          )
        ),
        UPPER('NOMBRE DE PRODUCTOS'!A:A)"&amp;"
      )
    ),
    1
  ),
  ""REVISAR""
)
"),"FilmPro®")</f>
        <v>FilmPro®</v>
      </c>
      <c r="E204" s="120">
        <f t="array" ref="E204">IF(
UPPER(TRIM(CLEAN($O204)))="ENTREGADO",
IFERROR(
INDEX(REPORTE_DROPI!Y:Y,
MATCH($T204, REPORTE_DROPI!B:B, 0)
),
""
),
""
)
</f>
        <v>8.37</v>
      </c>
      <c r="F204" s="121">
        <v>3.0</v>
      </c>
      <c r="G204" s="122">
        <f t="array" ref="G204">IF(
UPPER(TRIM(CLEAN($O204)))="ENTREGADO",
IFERROR(
INDEX(REPORTE_DROPI!R:R,
MATCH($T204, REPORTE_DROPI!B:B, 0)
),
""
),
""
)
</f>
        <v>30</v>
      </c>
      <c r="H204" s="118" t="s">
        <v>3727</v>
      </c>
      <c r="I204" s="118" t="s">
        <v>3801</v>
      </c>
      <c r="J204" s="121">
        <f t="array" ref="J204">IF(
UPPER(TRIM(CLEAN($O204)))="ENTREGADO",
IFERROR(
INDEX(REPORTE_DROPI!T:T,
MATCH($T204, REPORTE_DROPI!B:B, 0)
),
""
),
""
)
</f>
        <v>7.82</v>
      </c>
      <c r="K204" s="118">
        <f t="array" ref="K204">IFERROR(
INDEX(REPORTE_DROPI!S:S,
MATCH($T204, REPORTE_DROPI!B:B, 0)
),
""
)
</f>
        <v>13.81</v>
      </c>
      <c r="L204" s="118" t="str">
        <f>IF(
  O204&lt;&gt;"DEVOLUCION",
  "",
  IF(
    T204="",
    "",
    SUMIF(DEVOLUCION!F:F, T204, DEVOLUCION!D:D)
  )
)
</f>
        <v/>
      </c>
      <c r="M204" s="118" t="s">
        <v>3870</v>
      </c>
      <c r="N204" s="118" t="s">
        <v>4092</v>
      </c>
      <c r="O204" s="118" t="str">
        <f t="array" ref="O204">IFERROR(
VLOOKUP(
TRIM(CLEAN(
INDEX(REPORTE_DROPI!K:K,
MATCH(T204, REPORTE_DROPI!B:B, 0)
))),
{
TRIM(CLEAN(MAPA_ESTADOS!A:A)) ,
MAPA_ESTADOS!B:B
},
2,
FALSE
),
"REVISAR"
)
</f>
        <v>ENTREGADO</v>
      </c>
      <c r="P204" s="118"/>
      <c r="Q204" s="122">
        <f t="shared" si="1"/>
        <v>0</v>
      </c>
      <c r="R204" s="118"/>
      <c r="S204" s="118"/>
      <c r="T204" s="118">
        <f t="array" ref="T204">IFERROR(
INDEX(REPORTE_DROPI!B:B,
MATCH(
CLEAN(TRIM(C204)),
CLEAN(TRIM(REPORTE_DROPI!E:E)),
0
)
),
""
)
</f>
        <v>4096288</v>
      </c>
      <c r="U204" s="118">
        <v>6.404726882348E12</v>
      </c>
      <c r="V204" s="78"/>
      <c r="W204" s="78"/>
      <c r="X204" s="78"/>
      <c r="Y204" s="78"/>
      <c r="Z204" s="78"/>
    </row>
    <row r="205" ht="22.5" customHeight="1">
      <c r="A205" s="118">
        <v>204.0</v>
      </c>
      <c r="B205" s="119">
        <v>46032.0</v>
      </c>
      <c r="C205" s="118" t="s">
        <v>4093</v>
      </c>
      <c r="D205" s="118" t="str">
        <f>IFERROR(__xludf.DUMMYFUNCTION("IFERROR(
  INDEX(
    FILTER(
      'NOMBRE DE PRODUCTOS'!B:B,
      REGEXMATCH(
        UPPER(
          INDEX(
            REPORTE_DROPI!AC:AC,
            MATCH(T205, REPORTE_DROPI!B:B, 0)
          )
        ),
        UPPER('NOMBRE DE PRODUCTOS'!A:A)"&amp;"
      )
    ),
    1
  ),
  ""REVISAR""
)
"),"FilmPro®")</f>
        <v>FilmPro®</v>
      </c>
      <c r="E205" s="120">
        <f t="array" ref="E205">IF(
UPPER(TRIM(CLEAN($O205)))="ENTREGADO",
IFERROR(
INDEX(REPORTE_DROPI!Y:Y,
MATCH($T205, REPORTE_DROPI!B:B, 0)
),
""
),
""
)
</f>
        <v>5.58</v>
      </c>
      <c r="F205" s="121">
        <v>2.0</v>
      </c>
      <c r="G205" s="122">
        <f t="array" ref="G205">IF(
UPPER(TRIM(CLEAN($O205)))="ENTREGADO",
IFERROR(
INDEX(REPORTE_DROPI!R:R,
MATCH($T205, REPORTE_DROPI!B:B, 0)
),
""
),
""
)
</f>
        <v>25</v>
      </c>
      <c r="H205" s="118" t="s">
        <v>3727</v>
      </c>
      <c r="I205" s="118" t="s">
        <v>3740</v>
      </c>
      <c r="J205" s="121">
        <f t="array" ref="J205">IF(
UPPER(TRIM(CLEAN($O205)))="ENTREGADO",
IFERROR(
INDEX(REPORTE_DROPI!T:T,
MATCH($T205, REPORTE_DROPI!B:B, 0)
),
""
),
""
)
</f>
        <v>5.38</v>
      </c>
      <c r="K205" s="118">
        <f t="array" ref="K205">IFERROR(
INDEX(REPORTE_DROPI!S:S,
MATCH($T205, REPORTE_DROPI!B:B, 0)
),
""
)
</f>
        <v>14.04</v>
      </c>
      <c r="L205" s="118" t="str">
        <f>IF(
  O205&lt;&gt;"DEVOLUCION",
  "",
  IF(
    T205="",
    "",
    SUMIF(DEVOLUCION!F:F, T205, DEVOLUCION!D:D)
  )
)
</f>
        <v/>
      </c>
      <c r="M205" s="118" t="s">
        <v>3870</v>
      </c>
      <c r="N205" s="118" t="s">
        <v>4094</v>
      </c>
      <c r="O205" s="118" t="str">
        <f t="array" ref="O205">IFERROR(
VLOOKUP(
TRIM(CLEAN(
INDEX(REPORTE_DROPI!K:K,
MATCH(T205, REPORTE_DROPI!B:B, 0)
))),
{
TRIM(CLEAN(MAPA_ESTADOS!A:A)) ,
MAPA_ESTADOS!B:B
},
2,
FALSE
),
"REVISAR"
)
</f>
        <v>ENTREGADO</v>
      </c>
      <c r="P205" s="127"/>
      <c r="Q205" s="122">
        <f t="shared" si="1"/>
        <v>0</v>
      </c>
      <c r="R205" s="118"/>
      <c r="S205" s="118"/>
      <c r="T205" s="118">
        <f t="array" ref="T205">IFERROR(
INDEX(REPORTE_DROPI!B:B,
MATCH(
CLEAN(TRIM(C205)),
CLEAN(TRIM(REPORTE_DROPI!E:E)),
0
)
),
""
)
</f>
        <v>4096404</v>
      </c>
      <c r="U205" s="118">
        <v>6.404766892076E12</v>
      </c>
      <c r="V205" s="78"/>
      <c r="W205" s="78"/>
      <c r="X205" s="78"/>
      <c r="Y205" s="78"/>
      <c r="Z205" s="78"/>
    </row>
    <row r="206" ht="22.5" customHeight="1">
      <c r="A206" s="118">
        <v>205.0</v>
      </c>
      <c r="B206" s="119">
        <v>46032.0</v>
      </c>
      <c r="C206" s="118" t="s">
        <v>4095</v>
      </c>
      <c r="D206" s="118" t="str">
        <f>IFERROR(__xludf.DUMMYFUNCTION("IFERROR(
  INDEX(
    FILTER(
      'NOMBRE DE PRODUCTOS'!B:B,
      REGEXMATCH(
        UPPER(
          INDEX(
            REPORTE_DROPI!AC:AC,
            MATCH(T206, REPORTE_DROPI!B:B, 0)
          )
        ),
        UPPER('NOMBRE DE PRODUCTOS'!A:A)"&amp;"
      )
    ),
    1
  ),
  ""REVISAR""
)
"),"FilmPro®")</f>
        <v>FilmPro®</v>
      </c>
      <c r="E206" s="120" t="str">
        <f t="array" ref="E206">IF(
UPPER(TRIM(CLEAN($O206)))="ENTREGADO",
IFERROR(
INDEX(REPORTE_DROPI!Y:Y,
MATCH($T206, REPORTE_DROPI!B:B, 0)
),
""
),
""
)
</f>
        <v/>
      </c>
      <c r="F206" s="121">
        <v>1.0</v>
      </c>
      <c r="G206" s="122" t="str">
        <f t="array" ref="G206">IF(
UPPER(TRIM(CLEAN($O206)))="ENTREGADO",
IFERROR(
INDEX(REPORTE_DROPI!R:R,
MATCH($T206, REPORTE_DROPI!B:B, 0)
),
""
),
""
)
</f>
        <v/>
      </c>
      <c r="H206" s="118" t="s">
        <v>3727</v>
      </c>
      <c r="I206" s="118" t="s">
        <v>3740</v>
      </c>
      <c r="J206" s="121" t="str">
        <f t="array" ref="J206">IF(
UPPER(TRIM(CLEAN($O206)))="ENTREGADO",
IFERROR(
INDEX(REPORTE_DROPI!T:T,
MATCH($T206, REPORTE_DROPI!B:B, 0)
),
""
),
""
)
</f>
        <v/>
      </c>
      <c r="K206" s="118" t="str">
        <f t="array" ref="K206">IFERROR(
INDEX(REPORTE_DROPI!S:S,
MATCH($T206, REPORTE_DROPI!B:B, 0)
),
""
)
</f>
        <v/>
      </c>
      <c r="L206" s="118">
        <f>IF(
  O206&lt;&gt;"DEVOLUCION",
  "",
  IF(
    T206="",
    "",
    SUMIF(DEVOLUCION!F:F, T206, DEVOLUCION!D:D)
  )
)
</f>
        <v>7.67</v>
      </c>
      <c r="M206" s="118"/>
      <c r="N206" s="118" t="s">
        <v>4096</v>
      </c>
      <c r="O206" s="118" t="str">
        <f t="array" ref="O206">IFERROR(
VLOOKUP(
TRIM(CLEAN(
INDEX(REPORTE_DROPI!K:K,
MATCH(T206, REPORTE_DROPI!B:B, 0)
))),
{
TRIM(CLEAN(MAPA_ESTADOS!A:A)) ,
MAPA_ESTADOS!B:B
},
2,
FALSE
),
"REVISAR"
)
</f>
        <v>DEVOLUCION</v>
      </c>
      <c r="P206" s="118"/>
      <c r="Q206" s="122">
        <f t="shared" si="1"/>
        <v>0</v>
      </c>
      <c r="R206" s="118"/>
      <c r="S206" s="118"/>
      <c r="T206" s="118">
        <f t="array" ref="T206">IFERROR(
INDEX(REPORTE_DROPI!B:B,
MATCH(
CLEAN(TRIM(C206)),
CLEAN(TRIM(REPORTE_DROPI!E:E)),
0
)
),
""
)
</f>
        <v>4096576</v>
      </c>
      <c r="U206" s="118">
        <v>6.4048240067E12</v>
      </c>
      <c r="V206" s="78"/>
      <c r="W206" s="78"/>
      <c r="X206" s="78"/>
      <c r="Y206" s="78"/>
      <c r="Z206" s="78"/>
    </row>
    <row r="207" ht="22.5" customHeight="1">
      <c r="A207" s="118">
        <v>206.0</v>
      </c>
      <c r="B207" s="119">
        <v>46032.0</v>
      </c>
      <c r="C207" s="118" t="s">
        <v>4097</v>
      </c>
      <c r="D207" s="118" t="str">
        <f>IFERROR(__xludf.DUMMYFUNCTION("IFERROR(
  INDEX(
    FILTER(
      'NOMBRE DE PRODUCTOS'!B:B,
      REGEXMATCH(
        UPPER(
          INDEX(
            REPORTE_DROPI!AC:AC,
            MATCH(T207, REPORTE_DROPI!B:B, 0)
          )
        ),
        UPPER('NOMBRE DE PRODUCTOS'!A:A)"&amp;"
      )
    ),
    1
  ),
  ""REVISAR""
)
"),"Cuchillo Tazaki™")</f>
        <v>Cuchillo Tazaki™</v>
      </c>
      <c r="E207" s="120" t="str">
        <f t="array" ref="E207">IF(
UPPER(TRIM(CLEAN($O207)))="ENTREGADO",
IFERROR(
INDEX(REPORTE_DROPI!Y:Y,
MATCH($T207, REPORTE_DROPI!B:B, 0)
),
""
),
""
)
</f>
        <v/>
      </c>
      <c r="F207" s="121">
        <v>2.0</v>
      </c>
      <c r="G207" s="122" t="str">
        <f t="array" ref="G207">IF(
UPPER(TRIM(CLEAN($O207)))="ENTREGADO",
IFERROR(
INDEX(REPORTE_DROPI!R:R,
MATCH($T207, REPORTE_DROPI!B:B, 0)
),
""
),
""
)
</f>
        <v/>
      </c>
      <c r="H207" s="118" t="s">
        <v>3727</v>
      </c>
      <c r="I207" s="118" t="s">
        <v>3801</v>
      </c>
      <c r="J207" s="121" t="str">
        <f t="array" ref="J207">IF(
UPPER(TRIM(CLEAN($O207)))="ENTREGADO",
IFERROR(
INDEX(REPORTE_DROPI!T:T,
MATCH($T207, REPORTE_DROPI!B:B, 0)
),
""
),
""
)
</f>
        <v/>
      </c>
      <c r="K207" s="118" t="str">
        <f t="array" ref="K207">IFERROR(
INDEX(REPORTE_DROPI!S:S,
MATCH($T207, REPORTE_DROPI!B:B, 0)
),
""
)
</f>
        <v/>
      </c>
      <c r="L207" s="118">
        <f>IF(
  O207&lt;&gt;"DEVOLUCION",
  "",
  IF(
    T207="",
    "",
    SUMIF(DEVOLUCION!F:F, T207, DEVOLUCION!D:D)
  )
)
</f>
        <v>5.07</v>
      </c>
      <c r="M207" s="118"/>
      <c r="N207" s="118" t="s">
        <v>4098</v>
      </c>
      <c r="O207" s="118" t="str">
        <f t="array" ref="O207">IFERROR(
VLOOKUP(
TRIM(CLEAN(
INDEX(REPORTE_DROPI!K:K,
MATCH(T207, REPORTE_DROPI!B:B, 0)
))),
{
TRIM(CLEAN(MAPA_ESTADOS!A:A)) ,
MAPA_ESTADOS!B:B
},
2,
FALSE
),
"REVISAR"
)
</f>
        <v>DEVOLUCION</v>
      </c>
      <c r="P207" s="118"/>
      <c r="Q207" s="122">
        <f t="shared" si="1"/>
        <v>0</v>
      </c>
      <c r="R207" s="118"/>
      <c r="S207" s="118"/>
      <c r="T207" s="118">
        <f t="array" ref="T207">IFERROR(
INDEX(REPORTE_DROPI!B:B,
MATCH(
CLEAN(TRIM(C207)),
CLEAN(TRIM(REPORTE_DROPI!E:E)),
0
)
),
""
)
</f>
        <v>4096737</v>
      </c>
      <c r="U207" s="118">
        <v>6.404867883052E12</v>
      </c>
      <c r="V207" s="78"/>
      <c r="W207" s="78"/>
      <c r="X207" s="78"/>
      <c r="Y207" s="78"/>
      <c r="Z207" s="78"/>
    </row>
    <row r="208" ht="22.5" customHeight="1">
      <c r="A208" s="118">
        <v>207.0</v>
      </c>
      <c r="B208" s="119">
        <v>46032.0</v>
      </c>
      <c r="C208" s="118" t="s">
        <v>4099</v>
      </c>
      <c r="D208" s="118" t="str">
        <f>IFERROR(__xludf.DUMMYFUNCTION("IFERROR(
  INDEX(
    FILTER(
      'NOMBRE DE PRODUCTOS'!B:B,
      REGEXMATCH(
        UPPER(
          INDEX(
            REPORTE_DROPI!AC:AC,
            MATCH(T208, REPORTE_DROPI!B:B, 0)
          )
        ),
        UPPER('NOMBRE DE PRODUCTOS'!A:A)"&amp;"
      )
    ),
    1
  ),
  ""REVISAR""
)
"),"Cuchillo Tazaki™")</f>
        <v>Cuchillo Tazaki™</v>
      </c>
      <c r="E208" s="120">
        <f t="array" ref="E208">IF(
UPPER(TRIM(CLEAN($O208)))="ENTREGADO",
IFERROR(
INDEX(REPORTE_DROPI!Y:Y,
MATCH($T208, REPORTE_DROPI!B:B, 0)
),
""
),
""
)
</f>
        <v>7.8</v>
      </c>
      <c r="F208" s="121">
        <v>3.0</v>
      </c>
      <c r="G208" s="122">
        <f t="array" ref="G208">IF(
UPPER(TRIM(CLEAN($O208)))="ENTREGADO",
IFERROR(
INDEX(REPORTE_DROPI!R:R,
MATCH($T208, REPORTE_DROPI!B:B, 0)
),
""
),
""
)
</f>
        <v>27</v>
      </c>
      <c r="H208" s="118" t="s">
        <v>3727</v>
      </c>
      <c r="I208" s="118" t="s">
        <v>3882</v>
      </c>
      <c r="J208" s="121">
        <f t="array" ref="J208">IF(
UPPER(TRIM(CLEAN($O208)))="ENTREGADO",
IFERROR(
INDEX(REPORTE_DROPI!T:T,
MATCH($T208, REPORTE_DROPI!B:B, 0)
),
""
),
""
)
</f>
        <v>7.77</v>
      </c>
      <c r="K208" s="118">
        <f t="array" ref="K208">IFERROR(
INDEX(REPORTE_DROPI!S:S,
MATCH($T208, REPORTE_DROPI!B:B, 0)
),
""
)
</f>
        <v>11.43</v>
      </c>
      <c r="L208" s="118" t="str">
        <f>IF(
  O208&lt;&gt;"DEVOLUCION",
  "",
  IF(
    T208="",
    "",
    SUMIF(DEVOLUCION!F:F, T208, DEVOLUCION!D:D)
  )
)
</f>
        <v/>
      </c>
      <c r="M208" s="118" t="s">
        <v>3870</v>
      </c>
      <c r="N208" s="118" t="s">
        <v>4100</v>
      </c>
      <c r="O208" s="118" t="str">
        <f t="array" ref="O208">IFERROR(
VLOOKUP(
TRIM(CLEAN(
INDEX(REPORTE_DROPI!K:K,
MATCH(T208, REPORTE_DROPI!B:B, 0)
))),
{
TRIM(CLEAN(MAPA_ESTADOS!A:A)) ,
MAPA_ESTADOS!B:B
},
2,
FALSE
),
"REVISAR"
)
</f>
        <v>ENTREGADO</v>
      </c>
      <c r="P208" s="118"/>
      <c r="Q208" s="122">
        <f t="shared" si="1"/>
        <v>0</v>
      </c>
      <c r="R208" s="118"/>
      <c r="S208" s="118"/>
      <c r="T208" s="118">
        <f t="array" ref="T208">IFERROR(
INDEX(REPORTE_DROPI!B:B,
MATCH(
CLEAN(TRIM(C208)),
CLEAN(TRIM(REPORTE_DROPI!E:E)),
0
)
),
""
)
</f>
        <v>4096790</v>
      </c>
      <c r="U208" s="118">
        <v>6.404882432044E12</v>
      </c>
      <c r="V208" s="78"/>
      <c r="W208" s="78"/>
      <c r="X208" s="78"/>
      <c r="Y208" s="78"/>
      <c r="Z208" s="78"/>
    </row>
    <row r="209" ht="22.5" customHeight="1">
      <c r="A209" s="118">
        <v>208.0</v>
      </c>
      <c r="B209" s="119">
        <v>46032.0</v>
      </c>
      <c r="C209" s="118" t="s">
        <v>4101</v>
      </c>
      <c r="D209" s="118" t="str">
        <f>IFERROR(__xludf.DUMMYFUNCTION("IFERROR(
  INDEX(
    FILTER(
      'NOMBRE DE PRODUCTOS'!B:B,
      REGEXMATCH(
        UPPER(
          INDEX(
            REPORTE_DROPI!AC:AC,
            MATCH(T209, REPORTE_DROPI!B:B, 0)
          )
        ),
        UPPER('NOMBRE DE PRODUCTOS'!A:A)"&amp;"
      )
    ),
    1
  ),
  ""REVISAR""
)
"),"Cuchillo Tazaki™")</f>
        <v>Cuchillo Tazaki™</v>
      </c>
      <c r="E209" s="120">
        <f t="array" ref="E209">IF(
UPPER(TRIM(CLEAN($O209)))="ENTREGADO",
IFERROR(
INDEX(REPORTE_DROPI!Y:Y,
MATCH($T209, REPORTE_DROPI!B:B, 0)
),
""
),
""
)
</f>
        <v>7.8</v>
      </c>
      <c r="F209" s="121">
        <v>3.0</v>
      </c>
      <c r="G209" s="122">
        <f t="array" ref="G209">IF(
UPPER(TRIM(CLEAN($O209)))="ENTREGADO",
IFERROR(
INDEX(REPORTE_DROPI!R:R,
MATCH($T209, REPORTE_DROPI!B:B, 0)
),
""
),
""
)
</f>
        <v>27</v>
      </c>
      <c r="H209" s="118" t="s">
        <v>3727</v>
      </c>
      <c r="I209" s="118" t="s">
        <v>3728</v>
      </c>
      <c r="J209" s="121">
        <f t="array" ref="J209">IF(
UPPER(TRIM(CLEAN($O209)))="ENTREGADO",
IFERROR(
INDEX(REPORTE_DROPI!T:T,
MATCH($T209, REPORTE_DROPI!B:B, 0)
),
""
),
""
)
</f>
        <v>6.03</v>
      </c>
      <c r="K209" s="118">
        <f t="array" ref="K209">IFERROR(
INDEX(REPORTE_DROPI!S:S,
MATCH($T209, REPORTE_DROPI!B:B, 0)
),
""
)
</f>
        <v>13.17</v>
      </c>
      <c r="L209" s="118" t="str">
        <f>IF(
  O209&lt;&gt;"DEVOLUCION",
  "",
  IF(
    T209="",
    "",
    SUMIF(DEVOLUCION!F:F, T209, DEVOLUCION!D:D)
  )
)
</f>
        <v/>
      </c>
      <c r="M209" s="118" t="s">
        <v>3870</v>
      </c>
      <c r="N209" s="118" t="s">
        <v>4102</v>
      </c>
      <c r="O209" s="118" t="str">
        <f t="array" ref="O209">IFERROR(
VLOOKUP(
TRIM(CLEAN(
INDEX(REPORTE_DROPI!K:K,
MATCH(T209, REPORTE_DROPI!B:B, 0)
))),
{
TRIM(CLEAN(MAPA_ESTADOS!A:A)) ,
MAPA_ESTADOS!B:B
},
2,
FALSE
),
"REVISAR"
)
</f>
        <v>ENTREGADO</v>
      </c>
      <c r="P209" s="118"/>
      <c r="Q209" s="122">
        <f t="shared" si="1"/>
        <v>0</v>
      </c>
      <c r="R209" s="118"/>
      <c r="S209" s="118"/>
      <c r="T209" s="118">
        <f t="array" ref="T209">IFERROR(
INDEX(REPORTE_DROPI!B:B,
MATCH(
CLEAN(TRIM(C209)),
CLEAN(TRIM(REPORTE_DROPI!E:E)),
0
)
),
""
)
</f>
        <v>4096796</v>
      </c>
      <c r="U209" s="118">
        <v>6.404884496428E12</v>
      </c>
      <c r="V209" s="78"/>
      <c r="W209" s="78"/>
      <c r="X209" s="78"/>
      <c r="Y209" s="78"/>
      <c r="Z209" s="78"/>
    </row>
    <row r="210" ht="22.5" customHeight="1">
      <c r="A210" s="118">
        <v>209.0</v>
      </c>
      <c r="B210" s="119">
        <v>46032.0</v>
      </c>
      <c r="C210" s="118" t="s">
        <v>4103</v>
      </c>
      <c r="D210" s="118" t="str">
        <f>IFERROR(__xludf.DUMMYFUNCTION("IFERROR(
  INDEX(
    FILTER(
      'NOMBRE DE PRODUCTOS'!B:B,
      REGEXMATCH(
        UPPER(
          INDEX(
            REPORTE_DROPI!AC:AC,
            MATCH(T210, REPORTE_DROPI!B:B, 0)
          )
        ),
        UPPER('NOMBRE DE PRODUCTOS'!A:A)"&amp;"
      )
    ),
    1
  ),
  ""REVISAR""
)
"),"Cuchillo Tazaki™")</f>
        <v>Cuchillo Tazaki™</v>
      </c>
      <c r="E210" s="120" t="str">
        <f t="array" ref="E210">IF(
UPPER(TRIM(CLEAN($O210)))="ENTREGADO",
IFERROR(
INDEX(REPORTE_DROPI!Y:Y,
MATCH($T210, REPORTE_DROPI!B:B, 0)
),
""
),
""
)
</f>
        <v/>
      </c>
      <c r="F210" s="121">
        <v>4.0</v>
      </c>
      <c r="G210" s="122" t="str">
        <f t="array" ref="G210">IF(
UPPER(TRIM(CLEAN($O210)))="ENTREGADO",
IFERROR(
INDEX(REPORTE_DROPI!R:R,
MATCH($T210, REPORTE_DROPI!B:B, 0)
),
""
),
""
)
</f>
        <v/>
      </c>
      <c r="H210" s="118" t="s">
        <v>3727</v>
      </c>
      <c r="I210" s="118" t="s">
        <v>3740</v>
      </c>
      <c r="J210" s="121" t="str">
        <f t="array" ref="J210">IF(
UPPER(TRIM(CLEAN($O210)))="ENTREGADO",
IFERROR(
INDEX(REPORTE_DROPI!T:T,
MATCH($T210, REPORTE_DROPI!B:B, 0)
),
""
),
""
)
</f>
        <v/>
      </c>
      <c r="K210" s="118" t="str">
        <f t="array" ref="K210">IFERROR(
INDEX(REPORTE_DROPI!S:S,
MATCH($T210, REPORTE_DROPI!B:B, 0)
),
""
)
</f>
        <v/>
      </c>
      <c r="L210" s="118">
        <f>IF(
  O210&lt;&gt;"DEVOLUCION",
  "",
  IF(
    T210="",
    "",
    SUMIF(DEVOLUCION!F:F, T210, DEVOLUCION!D:D)
  )
)
</f>
        <v>3.52</v>
      </c>
      <c r="M210" s="118" t="s">
        <v>3870</v>
      </c>
      <c r="N210" s="118" t="s">
        <v>4104</v>
      </c>
      <c r="O210" s="118" t="str">
        <f t="array" ref="O210">IFERROR(
VLOOKUP(
TRIM(CLEAN(
INDEX(REPORTE_DROPI!K:K,
MATCH(T210, REPORTE_DROPI!B:B, 0)
))),
{
TRIM(CLEAN(MAPA_ESTADOS!A:A)) ,
MAPA_ESTADOS!B:B
},
2,
FALSE
),
"REVISAR"
)
</f>
        <v>DEVOLUCION</v>
      </c>
      <c r="P210" s="118"/>
      <c r="Q210" s="122">
        <f t="shared" si="1"/>
        <v>0</v>
      </c>
      <c r="R210" s="118"/>
      <c r="S210" s="118"/>
      <c r="T210" s="118">
        <f t="array" ref="T210">IFERROR(
INDEX(REPORTE_DROPI!B:B,
MATCH(
CLEAN(TRIM(C210)),
CLEAN(TRIM(REPORTE_DROPI!E:E)),
0
)
),
""
)
</f>
        <v>4096809</v>
      </c>
      <c r="U210" s="118">
        <v>6.404888952876E12</v>
      </c>
      <c r="V210" s="78"/>
      <c r="W210" s="78"/>
      <c r="X210" s="78"/>
      <c r="Y210" s="78"/>
      <c r="Z210" s="78"/>
    </row>
    <row r="211" ht="22.5" customHeight="1">
      <c r="A211" s="118">
        <v>210.0</v>
      </c>
      <c r="B211" s="119">
        <v>46032.0</v>
      </c>
      <c r="C211" s="118" t="s">
        <v>4105</v>
      </c>
      <c r="D211" s="118" t="str">
        <f>IFERROR(__xludf.DUMMYFUNCTION("IFERROR(
  INDEX(
    FILTER(
      'NOMBRE DE PRODUCTOS'!B:B,
      REGEXMATCH(
        UPPER(
          INDEX(
            REPORTE_DROPI!AC:AC,
            MATCH(T211, REPORTE_DROPI!B:B, 0)
          )
        ),
        UPPER('NOMBRE DE PRODUCTOS'!A:A)"&amp;"
      )
    ),
    1
  ),
  ""REVISAR""
)
"),"FilmPro®")</f>
        <v>FilmPro®</v>
      </c>
      <c r="E211" s="120">
        <f t="array" ref="E211">IF(
UPPER(TRIM(CLEAN($O211)))="ENTREGADO",
IFERROR(
INDEX(REPORTE_DROPI!Y:Y,
MATCH($T211, REPORTE_DROPI!B:B, 0)
),
""
),
""
)
</f>
        <v>5.58</v>
      </c>
      <c r="F211" s="121">
        <v>2.0</v>
      </c>
      <c r="G211" s="122">
        <f t="array" ref="G211">IF(
UPPER(TRIM(CLEAN($O211)))="ENTREGADO",
IFERROR(
INDEX(REPORTE_DROPI!R:R,
MATCH($T211, REPORTE_DROPI!B:B, 0)
),
""
),
""
)
</f>
        <v>25</v>
      </c>
      <c r="H211" s="118" t="s">
        <v>3727</v>
      </c>
      <c r="I211" s="118" t="s">
        <v>3809</v>
      </c>
      <c r="J211" s="121">
        <f t="array" ref="J211">IF(
UPPER(TRIM(CLEAN($O211)))="ENTREGADO",
IFERROR(
INDEX(REPORTE_DROPI!T:T,
MATCH($T211, REPORTE_DROPI!B:B, 0)
),
""
),
""
)
</f>
        <v>5.96</v>
      </c>
      <c r="K211" s="118">
        <f t="array" ref="K211">IFERROR(
INDEX(REPORTE_DROPI!S:S,
MATCH($T211, REPORTE_DROPI!B:B, 0)
),
""
)
</f>
        <v>13.46</v>
      </c>
      <c r="L211" s="118" t="str">
        <f>IF(
  O211&lt;&gt;"DEVOLUCION",
  "",
  IF(
    T211="",
    "",
    SUMIF(DEVOLUCION!F:F, T211, DEVOLUCION!D:D)
  )
)
</f>
        <v/>
      </c>
      <c r="M211" s="118"/>
      <c r="N211" s="118" t="s">
        <v>4106</v>
      </c>
      <c r="O211" s="118" t="str">
        <f t="array" ref="O211">IFERROR(
VLOOKUP(
TRIM(CLEAN(
INDEX(REPORTE_DROPI!K:K,
MATCH(T211, REPORTE_DROPI!B:B, 0)
))),
{
TRIM(CLEAN(MAPA_ESTADOS!A:A)) ,
MAPA_ESTADOS!B:B
},
2,
FALSE
),
"REVISAR"
)
</f>
        <v>ENTREGADO</v>
      </c>
      <c r="P211" s="118"/>
      <c r="Q211" s="122">
        <f t="shared" si="1"/>
        <v>0</v>
      </c>
      <c r="R211" s="118"/>
      <c r="S211" s="118"/>
      <c r="T211" s="118">
        <f t="array" ref="T211">IFERROR(
INDEX(REPORTE_DROPI!B:B,
MATCH(
CLEAN(TRIM(C211)),
CLEAN(TRIM(REPORTE_DROPI!E:E)),
0
)
),
""
)
</f>
        <v>4096859</v>
      </c>
      <c r="U211" s="118">
        <v>6.404906713132E12</v>
      </c>
      <c r="V211" s="78"/>
      <c r="W211" s="78"/>
      <c r="X211" s="78"/>
      <c r="Y211" s="78"/>
      <c r="Z211" s="78"/>
    </row>
    <row r="212" ht="22.5" customHeight="1">
      <c r="A212" s="118">
        <v>211.0</v>
      </c>
      <c r="B212" s="119">
        <v>46032.0</v>
      </c>
      <c r="C212" s="118" t="s">
        <v>4107</v>
      </c>
      <c r="D212" s="118" t="str">
        <f>IFERROR(__xludf.DUMMYFUNCTION("IFERROR(
  INDEX(
    FILTER(
      'NOMBRE DE PRODUCTOS'!B:B,
      REGEXMATCH(
        UPPER(
          INDEX(
            REPORTE_DROPI!AC:AC,
            MATCH(T212, REPORTE_DROPI!B:B, 0)
          )
        ),
        UPPER('NOMBRE DE PRODUCTOS'!A:A)"&amp;"
      )
    ),
    1
  ),
  ""REVISAR""
)
"),"FilmPro®")</f>
        <v>FilmPro®</v>
      </c>
      <c r="E212" s="120" t="str">
        <f t="array" ref="E212">IF(
UPPER(TRIM(CLEAN($O212)))="ENTREGADO",
IFERROR(
INDEX(REPORTE_DROPI!Y:Y,
MATCH($T212, REPORTE_DROPI!B:B, 0)
),
""
),
""
)
</f>
        <v/>
      </c>
      <c r="F212" s="121">
        <v>1.0</v>
      </c>
      <c r="G212" s="122" t="str">
        <f t="array" ref="G212">IF(
UPPER(TRIM(CLEAN($O212)))="ENTREGADO",
IFERROR(
INDEX(REPORTE_DROPI!R:R,
MATCH($T212, REPORTE_DROPI!B:B, 0)
),
""
),
""
)
</f>
        <v/>
      </c>
      <c r="H212" s="118" t="s">
        <v>3727</v>
      </c>
      <c r="I212" s="118" t="s">
        <v>3731</v>
      </c>
      <c r="J212" s="121" t="str">
        <f t="array" ref="J212">IF(
UPPER(TRIM(CLEAN($O212)))="ENTREGADO",
IFERROR(
INDEX(REPORTE_DROPI!T:T,
MATCH($T212, REPORTE_DROPI!B:B, 0)
),
""
),
""
)
</f>
        <v/>
      </c>
      <c r="K212" s="118" t="str">
        <f t="array" ref="K212">IFERROR(
INDEX(REPORTE_DROPI!S:S,
MATCH($T212, REPORTE_DROPI!B:B, 0)
),
""
)
</f>
        <v/>
      </c>
      <c r="L212" s="118">
        <f>IF(
  O212&lt;&gt;"DEVOLUCION",
  "",
  IF(
    T212="",
    "",
    SUMIF(DEVOLUCION!F:F, T212, DEVOLUCION!D:D)
  )
)
</f>
        <v>5.06</v>
      </c>
      <c r="M212" s="118"/>
      <c r="N212" s="118" t="s">
        <v>4108</v>
      </c>
      <c r="O212" s="118" t="str">
        <f t="array" ref="O212">IFERROR(
VLOOKUP(
TRIM(CLEAN(
INDEX(REPORTE_DROPI!K:K,
MATCH(T212, REPORTE_DROPI!B:B, 0)
))),
{
TRIM(CLEAN(MAPA_ESTADOS!A:A)) ,
MAPA_ESTADOS!B:B
},
2,
FALSE
),
"REVISAR"
)
</f>
        <v>DEVOLUCION</v>
      </c>
      <c r="P212" s="118"/>
      <c r="Q212" s="122">
        <f t="shared" si="1"/>
        <v>0</v>
      </c>
      <c r="R212" s="118"/>
      <c r="S212" s="118"/>
      <c r="T212" s="118">
        <f t="array" ref="T212">IFERROR(
INDEX(REPORTE_DROPI!B:B,
MATCH(
CLEAN(TRIM(C212)),
CLEAN(TRIM(REPORTE_DROPI!E:E)),
0
)
),
""
)
</f>
        <v>4096860</v>
      </c>
      <c r="U212" s="118">
        <v>6.404907434028E12</v>
      </c>
      <c r="V212" s="78"/>
      <c r="W212" s="78"/>
      <c r="X212" s="78"/>
      <c r="Y212" s="78"/>
      <c r="Z212" s="78"/>
    </row>
    <row r="213" ht="22.5" customHeight="1">
      <c r="A213" s="118">
        <v>212.0</v>
      </c>
      <c r="B213" s="119">
        <v>46032.0</v>
      </c>
      <c r="C213" s="128" t="s">
        <v>4109</v>
      </c>
      <c r="D213" s="118" t="str">
        <f>IFERROR(__xludf.DUMMYFUNCTION("IFERROR(
  INDEX(
    FILTER(
      'NOMBRE DE PRODUCTOS'!B:B,
      REGEXMATCH(
        UPPER(
          INDEX(
            REPORTE_DROPI!AC:AC,
            MATCH(T213, REPORTE_DROPI!B:B, 0)
          )
        ),
        UPPER('NOMBRE DE PRODUCTOS'!A:A)"&amp;"
      )
    ),
    1
  ),
  ""REVISAR""
)
"),"Cuchillo Tazaki™")</f>
        <v>Cuchillo Tazaki™</v>
      </c>
      <c r="E213" s="120">
        <f t="array" ref="E213">IF(
UPPER(TRIM(CLEAN($O213)))="ENTREGADO",
IFERROR(
INDEX(REPORTE_DROPI!Y:Y,
MATCH($T213, REPORTE_DROPI!B:B, 0)
),
""
),
""
)
</f>
        <v>5.2</v>
      </c>
      <c r="F213" s="121">
        <v>2.0</v>
      </c>
      <c r="G213" s="122">
        <f t="array" ref="G213">IF(
UPPER(TRIM(CLEAN($O213)))="ENTREGADO",
IFERROR(
INDEX(REPORTE_DROPI!R:R,
MATCH($T213, REPORTE_DROPI!B:B, 0)
),
""
),
""
)
</f>
        <v>22</v>
      </c>
      <c r="H213" s="118" t="s">
        <v>3727</v>
      </c>
      <c r="I213" s="118" t="s">
        <v>3912</v>
      </c>
      <c r="J213" s="121">
        <f t="array" ref="J213">IF(
UPPER(TRIM(CLEAN($O213)))="ENTREGADO",
IFERROR(
INDEX(REPORTE_DROPI!T:T,
MATCH($T213, REPORTE_DROPI!B:B, 0)
),
""
),
""
)
</f>
        <v>5.84</v>
      </c>
      <c r="K213" s="118">
        <f t="array" ref="K213">IFERROR(
INDEX(REPORTE_DROPI!S:S,
MATCH($T213, REPORTE_DROPI!B:B, 0)
),
""
)
</f>
        <v>10.96</v>
      </c>
      <c r="L213" s="118" t="str">
        <f>IF(
  O213&lt;&gt;"DEVOLUCION",
  "",
  IF(
    T213="",
    "",
    SUMIF(DEVOLUCION!F:F, T213, DEVOLUCION!D:D)
  )
)
</f>
        <v/>
      </c>
      <c r="M213" s="118"/>
      <c r="N213" s="118" t="s">
        <v>4110</v>
      </c>
      <c r="O213" s="118" t="str">
        <f t="array" ref="O213">IFERROR(
VLOOKUP(
TRIM(CLEAN(
INDEX(REPORTE_DROPI!K:K,
MATCH(T213, REPORTE_DROPI!B:B, 0)
))),
{
TRIM(CLEAN(MAPA_ESTADOS!A:A)) ,
MAPA_ESTADOS!B:B
},
2,
FALSE
),
"REVISAR"
)
</f>
        <v>ENTREGADO</v>
      </c>
      <c r="P213" s="118"/>
      <c r="Q213" s="122">
        <f t="shared" si="1"/>
        <v>0</v>
      </c>
      <c r="R213" s="118"/>
      <c r="S213" s="118"/>
      <c r="T213" s="118">
        <f t="array" ref="T213">IFERROR(
INDEX(REPORTE_DROPI!B:B,
MATCH(
CLEAN(TRIM(C213)),
CLEAN(TRIM(REPORTE_DROPI!E:E)),
0
)
),
""
)
</f>
        <v>4096889</v>
      </c>
      <c r="U213" s="118">
        <v>6.404914249772E12</v>
      </c>
      <c r="V213" s="78"/>
      <c r="W213" s="78"/>
      <c r="X213" s="78"/>
      <c r="Y213" s="78"/>
      <c r="Z213" s="78"/>
    </row>
    <row r="214" ht="22.5" customHeight="1">
      <c r="A214" s="118">
        <v>213.0</v>
      </c>
      <c r="B214" s="119">
        <v>46032.0</v>
      </c>
      <c r="C214" s="118" t="s">
        <v>4111</v>
      </c>
      <c r="D214" s="118" t="str">
        <f>IFERROR(__xludf.DUMMYFUNCTION("IFERROR(
  INDEX(
    FILTER(
      'NOMBRE DE PRODUCTOS'!B:B,
      REGEXMATCH(
        UPPER(
          INDEX(
            REPORTE_DROPI!AC:AC,
            MATCH(T214, REPORTE_DROPI!B:B, 0)
          )
        ),
        UPPER('NOMBRE DE PRODUCTOS'!A:A)"&amp;"
      )
    ),
    1
  ),
  ""REVISAR""
)
"),"FilmPro®")</f>
        <v>FilmPro®</v>
      </c>
      <c r="E214" s="120">
        <f t="array" ref="E214">IF(
UPPER(TRIM(CLEAN($O214)))="ENTREGADO",
IFERROR(
INDEX(REPORTE_DROPI!Y:Y,
MATCH($T214, REPORTE_DROPI!B:B, 0)
),
""
),
""
)
</f>
        <v>5.58</v>
      </c>
      <c r="F214" s="121">
        <v>2.0</v>
      </c>
      <c r="G214" s="122">
        <f t="array" ref="G214">IF(
UPPER(TRIM(CLEAN($O214)))="ENTREGADO",
IFERROR(
INDEX(REPORTE_DROPI!R:R,
MATCH($T214, REPORTE_DROPI!B:B, 0)
),
""
),
""
)
</f>
        <v>25</v>
      </c>
      <c r="H214" s="118" t="s">
        <v>3727</v>
      </c>
      <c r="I214" s="118" t="s">
        <v>3740</v>
      </c>
      <c r="J214" s="121">
        <f t="array" ref="J214">IF(
UPPER(TRIM(CLEAN($O214)))="ENTREGADO",
IFERROR(
INDEX(REPORTE_DROPI!T:T,
MATCH($T214, REPORTE_DROPI!B:B, 0)
),
""
),
""
)
</f>
        <v>4.35</v>
      </c>
      <c r="K214" s="118">
        <f t="array" ref="K214">IFERROR(
INDEX(REPORTE_DROPI!S:S,
MATCH($T214, REPORTE_DROPI!B:B, 0)
),
""
)
</f>
        <v>15.07</v>
      </c>
      <c r="L214" s="118" t="str">
        <f>IF(
  O214&lt;&gt;"DEVOLUCION",
  "",
  IF(
    T214="",
    "",
    SUMIF(DEVOLUCION!F:F, T214, DEVOLUCION!D:D)
  )
)
</f>
        <v/>
      </c>
      <c r="M214" s="118"/>
      <c r="N214" s="118" t="s">
        <v>4112</v>
      </c>
      <c r="O214" s="118" t="str">
        <f t="array" ref="O214">IFERROR(
VLOOKUP(
TRIM(CLEAN(
INDEX(REPORTE_DROPI!K:K,
MATCH(T214, REPORTE_DROPI!B:B, 0)
))),
{
TRIM(CLEAN(MAPA_ESTADOS!A:A)) ,
MAPA_ESTADOS!B:B
},
2,
FALSE
),
"REVISAR"
)
</f>
        <v>ENTREGADO</v>
      </c>
      <c r="P214" s="118"/>
      <c r="Q214" s="122">
        <f t="shared" si="1"/>
        <v>0</v>
      </c>
      <c r="R214" s="118"/>
      <c r="S214" s="118"/>
      <c r="T214" s="118">
        <f t="array" ref="T214">IFERROR(
INDEX(REPORTE_DROPI!B:B,
MATCH(
CLEAN(TRIM(C214)),
CLEAN(TRIM(REPORTE_DROPI!E:E)),
0
)
),
""
)
</f>
        <v>4096925</v>
      </c>
      <c r="U214" s="118">
        <v>6.40492575134E12</v>
      </c>
      <c r="V214" s="78"/>
      <c r="W214" s="78"/>
      <c r="X214" s="78"/>
      <c r="Y214" s="78"/>
      <c r="Z214" s="78"/>
    </row>
    <row r="215" ht="22.5" customHeight="1">
      <c r="A215" s="118">
        <v>214.0</v>
      </c>
      <c r="B215" s="119">
        <v>46032.0</v>
      </c>
      <c r="C215" s="118" t="s">
        <v>4113</v>
      </c>
      <c r="D215" s="118" t="str">
        <f>IFERROR(__xludf.DUMMYFUNCTION("IFERROR(
  INDEX(
    FILTER(
      'NOMBRE DE PRODUCTOS'!B:B,
      REGEXMATCH(
        UPPER(
          INDEX(
            REPORTE_DROPI!AC:AC,
            MATCH(T215, REPORTE_DROPI!B:B, 0)
          )
        ),
        UPPER('NOMBRE DE PRODUCTOS'!A:A)"&amp;"
      )
    ),
    1
  ),
  ""REVISAR""
)
"),"FilmPro®")</f>
        <v>FilmPro®</v>
      </c>
      <c r="E215" s="120">
        <f t="array" ref="E215">IF(
UPPER(TRIM(CLEAN($O215)))="ENTREGADO",
IFERROR(
INDEX(REPORTE_DROPI!Y:Y,
MATCH($T215, REPORTE_DROPI!B:B, 0)
),
""
),
""
)
</f>
        <v>5.58</v>
      </c>
      <c r="F215" s="121">
        <v>2.0</v>
      </c>
      <c r="G215" s="122">
        <f t="array" ref="G215">IF(
UPPER(TRIM(CLEAN($O215)))="ENTREGADO",
IFERROR(
INDEX(REPORTE_DROPI!R:R,
MATCH($T215, REPORTE_DROPI!B:B, 0)
),
""
),
""
)
</f>
        <v>25</v>
      </c>
      <c r="H215" s="118" t="s">
        <v>3727</v>
      </c>
      <c r="I215" s="118" t="s">
        <v>3728</v>
      </c>
      <c r="J215" s="121">
        <f t="array" ref="J215">IF(
UPPER(TRIM(CLEAN($O215)))="ENTREGADO",
IFERROR(
INDEX(REPORTE_DROPI!T:T,
MATCH($T215, REPORTE_DROPI!B:B, 0)
),
""
),
""
)
</f>
        <v>6.53</v>
      </c>
      <c r="K215" s="118">
        <f t="array" ref="K215">IFERROR(
INDEX(REPORTE_DROPI!S:S,
MATCH($T215, REPORTE_DROPI!B:B, 0)
),
""
)
</f>
        <v>12.89</v>
      </c>
      <c r="L215" s="118" t="str">
        <f>IF(
  O215&lt;&gt;"DEVOLUCION",
  "",
  IF(
    T215="",
    "",
    SUMIF(DEVOLUCION!F:F, T215, DEVOLUCION!D:D)
  )
)
</f>
        <v/>
      </c>
      <c r="M215" s="118"/>
      <c r="N215" s="118" t="s">
        <v>4114</v>
      </c>
      <c r="O215" s="118" t="str">
        <f t="array" ref="O215">IFERROR(
VLOOKUP(
TRIM(CLEAN(
INDEX(REPORTE_DROPI!K:K,
MATCH(T215, REPORTE_DROPI!B:B, 0)
))),
{
TRIM(CLEAN(MAPA_ESTADOS!A:A)) ,
MAPA_ESTADOS!B:B
},
2,
FALSE
),
"REVISAR"
)
</f>
        <v>ENTREGADO</v>
      </c>
      <c r="P215" s="118"/>
      <c r="Q215" s="122">
        <f t="shared" si="1"/>
        <v>0</v>
      </c>
      <c r="R215" s="118"/>
      <c r="S215" s="118"/>
      <c r="T215" s="118">
        <f t="array" ref="T215">IFERROR(
INDEX(REPORTE_DROPI!B:B,
MATCH(
CLEAN(TRIM(C215)),
CLEAN(TRIM(REPORTE_DROPI!E:E)),
0
)
),
""
)
</f>
        <v>4097030</v>
      </c>
      <c r="U215" s="118">
        <v>6.404952096812E12</v>
      </c>
      <c r="V215" s="78"/>
      <c r="W215" s="78"/>
      <c r="X215" s="78"/>
      <c r="Y215" s="78"/>
      <c r="Z215" s="78"/>
    </row>
    <row r="216" ht="22.5" customHeight="1">
      <c r="A216" s="118">
        <v>215.0</v>
      </c>
      <c r="B216" s="119">
        <v>46032.0</v>
      </c>
      <c r="C216" s="118" t="s">
        <v>4115</v>
      </c>
      <c r="D216" s="118" t="str">
        <f>IFERROR(__xludf.DUMMYFUNCTION("IFERROR(
  INDEX(
    FILTER(
      'NOMBRE DE PRODUCTOS'!B:B,
      REGEXMATCH(
        UPPER(
          INDEX(
            REPORTE_DROPI!AC:AC,
            MATCH(T216, REPORTE_DROPI!B:B, 0)
          )
        ),
        UPPER('NOMBRE DE PRODUCTOS'!A:A)"&amp;"
      )
    ),
    1
  ),
  ""REVISAR""
)
"),"FilmPro®")</f>
        <v>FilmPro®</v>
      </c>
      <c r="E216" s="120">
        <f t="array" ref="E216">IF(
UPPER(TRIM(CLEAN($O216)))="ENTREGADO",
IFERROR(
INDEX(REPORTE_DROPI!Y:Y,
MATCH($T216, REPORTE_DROPI!B:B, 0)
),
""
),
""
)
</f>
        <v>2.79</v>
      </c>
      <c r="F216" s="121">
        <v>1.0</v>
      </c>
      <c r="G216" s="122">
        <f t="array" ref="G216">IF(
UPPER(TRIM(CLEAN($O216)))="ENTREGADO",
IFERROR(
INDEX(REPORTE_DROPI!R:R,
MATCH($T216, REPORTE_DROPI!B:B, 0)
),
""
),
""
)
</f>
        <v>20</v>
      </c>
      <c r="H216" s="118" t="s">
        <v>3727</v>
      </c>
      <c r="I216" s="118" t="s">
        <v>3738</v>
      </c>
      <c r="J216" s="121">
        <f t="array" ref="J216">IF(
UPPER(TRIM(CLEAN($O216)))="ENTREGADO",
IFERROR(
INDEX(REPORTE_DROPI!T:T,
MATCH($T216, REPORTE_DROPI!B:B, 0)
),
""
),
""
)
</f>
        <v>5.76</v>
      </c>
      <c r="K216" s="118">
        <f t="array" ref="K216">IFERROR(
INDEX(REPORTE_DROPI!S:S,
MATCH($T216, REPORTE_DROPI!B:B, 0)
),
""
)
</f>
        <v>11.45</v>
      </c>
      <c r="L216" s="118" t="str">
        <f>IF(
  O216&lt;&gt;"DEVOLUCION",
  "",
  IF(
    T216="",
    "",
    SUMIF(DEVOLUCION!F:F, T216, DEVOLUCION!D:D)
  )
)
</f>
        <v/>
      </c>
      <c r="M216" s="118"/>
      <c r="N216" s="118" t="s">
        <v>4116</v>
      </c>
      <c r="O216" s="118" t="str">
        <f t="array" ref="O216">IFERROR(
VLOOKUP(
TRIM(CLEAN(
INDEX(REPORTE_DROPI!K:K,
MATCH(T216, REPORTE_DROPI!B:B, 0)
))),
{
TRIM(CLEAN(MAPA_ESTADOS!A:A)) ,
MAPA_ESTADOS!B:B
},
2,
FALSE
),
"REVISAR"
)
</f>
        <v>ENTREGADO</v>
      </c>
      <c r="P216" s="118"/>
      <c r="Q216" s="122">
        <f t="shared" si="1"/>
        <v>0</v>
      </c>
      <c r="R216" s="118"/>
      <c r="S216" s="118"/>
      <c r="T216" s="118">
        <f t="array" ref="T216">IFERROR(
INDEX(REPORTE_DROPI!B:B,
MATCH(
CLEAN(TRIM(C216)),
CLEAN(TRIM(REPORTE_DROPI!E:E)),
0
)
),
""
)
</f>
        <v>4097092</v>
      </c>
      <c r="U216" s="118">
        <v>6.4049771971E12</v>
      </c>
      <c r="V216" s="78"/>
      <c r="W216" s="78"/>
      <c r="X216" s="78"/>
      <c r="Y216" s="78"/>
      <c r="Z216" s="78"/>
    </row>
    <row r="217" ht="22.5" customHeight="1">
      <c r="A217" s="118">
        <v>216.0</v>
      </c>
      <c r="B217" s="119">
        <v>46032.0</v>
      </c>
      <c r="C217" s="118" t="s">
        <v>4117</v>
      </c>
      <c r="D217" s="118" t="str">
        <f>IFERROR(__xludf.DUMMYFUNCTION("IFERROR(
  INDEX(
    FILTER(
      'NOMBRE DE PRODUCTOS'!B:B,
      REGEXMATCH(
        UPPER(
          INDEX(
            REPORTE_DROPI!AC:AC,
            MATCH(T217, REPORTE_DROPI!B:B, 0)
          )
        ),
        UPPER('NOMBRE DE PRODUCTOS'!A:A)"&amp;"
      )
    ),
    1
  ),
  ""REVISAR""
)
"),"Cuchillo Tazaki™")</f>
        <v>Cuchillo Tazaki™</v>
      </c>
      <c r="E217" s="120" t="str">
        <f t="array" ref="E217">IF(
UPPER(TRIM(CLEAN($O217)))="ENTREGADO",
IFERROR(
INDEX(REPORTE_DROPI!Y:Y,
MATCH($T217, REPORTE_DROPI!B:B, 0)
),
""
),
""
)
</f>
        <v/>
      </c>
      <c r="F217" s="121">
        <v>2.0</v>
      </c>
      <c r="G217" s="122" t="str">
        <f t="array" ref="G217">IF(
UPPER(TRIM(CLEAN($O217)))="ENTREGADO",
IFERROR(
INDEX(REPORTE_DROPI!R:R,
MATCH($T217, REPORTE_DROPI!B:B, 0)
),
""
),
""
)
</f>
        <v/>
      </c>
      <c r="H217" s="118" t="s">
        <v>3727</v>
      </c>
      <c r="I217" s="118" t="s">
        <v>3731</v>
      </c>
      <c r="J217" s="121" t="str">
        <f t="array" ref="J217">IF(
UPPER(TRIM(CLEAN($O217)))="ENTREGADO",
IFERROR(
INDEX(REPORTE_DROPI!T:T,
MATCH($T217, REPORTE_DROPI!B:B, 0)
),
""
),
""
)
</f>
        <v/>
      </c>
      <c r="K217" s="118" t="str">
        <f t="array" ref="K217">IFERROR(
INDEX(REPORTE_DROPI!S:S,
MATCH($T217, REPORTE_DROPI!B:B, 0)
),
""
)
</f>
        <v/>
      </c>
      <c r="L217" s="118">
        <f>IF(
  O217&lt;&gt;"DEVOLUCION",
  "",
  IF(
    T217="",
    "",
    SUMIF(DEVOLUCION!F:F, T217, DEVOLUCION!D:D)
  )
)
</f>
        <v>5.07</v>
      </c>
      <c r="M217" s="118"/>
      <c r="N217" s="118" t="s">
        <v>4118</v>
      </c>
      <c r="O217" s="118" t="str">
        <f t="array" ref="O217">IFERROR(
VLOOKUP(
TRIM(CLEAN(
INDEX(REPORTE_DROPI!K:K,
MATCH(T217, REPORTE_DROPI!B:B, 0)
))),
{
TRIM(CLEAN(MAPA_ESTADOS!A:A)) ,
MAPA_ESTADOS!B:B
},
2,
FALSE
),
"REVISAR"
)
</f>
        <v>DEVOLUCION</v>
      </c>
      <c r="P217" s="118" t="s">
        <v>3955</v>
      </c>
      <c r="Q217" s="122">
        <f t="shared" si="1"/>
        <v>0</v>
      </c>
      <c r="R217" s="118"/>
      <c r="S217" s="118"/>
      <c r="T217" s="118">
        <f t="array" ref="T217">IFERROR(
INDEX(REPORTE_DROPI!B:B,
MATCH(
CLEAN(TRIM(C217)),
CLEAN(TRIM(REPORTE_DROPI!E:E)),
0
)
),
""
)
</f>
        <v>4097106</v>
      </c>
      <c r="U217" s="118">
        <v>6.404980506668E12</v>
      </c>
      <c r="V217" s="78"/>
      <c r="W217" s="78"/>
      <c r="X217" s="78"/>
      <c r="Y217" s="78"/>
      <c r="Z217" s="78"/>
    </row>
    <row r="218" ht="22.5" customHeight="1">
      <c r="A218" s="118">
        <v>217.0</v>
      </c>
      <c r="B218" s="119">
        <v>46032.0</v>
      </c>
      <c r="C218" s="118" t="s">
        <v>4119</v>
      </c>
      <c r="D218" s="118" t="str">
        <f>IFERROR(__xludf.DUMMYFUNCTION("IFERROR(
  INDEX(
    FILTER(
      'NOMBRE DE PRODUCTOS'!B:B,
      REGEXMATCH(
        UPPER(
          INDEX(
            REPORTE_DROPI!AC:AC,
            MATCH(T218, REPORTE_DROPI!B:B, 0)
          )
        ),
        UPPER('NOMBRE DE PRODUCTOS'!A:A)"&amp;"
      )
    ),
    1
  ),
  ""REVISAR""
)
"),"FilmPro®")</f>
        <v>FilmPro®</v>
      </c>
      <c r="E218" s="120">
        <f t="array" ref="E218">IF(
UPPER(TRIM(CLEAN($O218)))="ENTREGADO",
IFERROR(
INDEX(REPORTE_DROPI!Y:Y,
MATCH($T218, REPORTE_DROPI!B:B, 0)
),
""
),
""
)
</f>
        <v>8.37</v>
      </c>
      <c r="F218" s="121">
        <v>3.0</v>
      </c>
      <c r="G218" s="122">
        <f t="array" ref="G218">IF(
UPPER(TRIM(CLEAN($O218)))="ENTREGADO",
IFERROR(
INDEX(REPORTE_DROPI!R:R,
MATCH($T218, REPORTE_DROPI!B:B, 0)
),
""
),
""
)
</f>
        <v>30</v>
      </c>
      <c r="H218" s="118" t="s">
        <v>3727</v>
      </c>
      <c r="I218" s="118" t="s">
        <v>3912</v>
      </c>
      <c r="J218" s="121">
        <f t="array" ref="J218">IF(
UPPER(TRIM(CLEAN($O218)))="ENTREGADO",
IFERROR(
INDEX(REPORTE_DROPI!T:T,
MATCH($T218, REPORTE_DROPI!B:B, 0)
),
""
),
""
)
</f>
        <v>6.16</v>
      </c>
      <c r="K218" s="118">
        <f t="array" ref="K218">IFERROR(
INDEX(REPORTE_DROPI!S:S,
MATCH($T218, REPORTE_DROPI!B:B, 0)
),
""
)
</f>
        <v>15.47</v>
      </c>
      <c r="L218" s="118" t="str">
        <f>IF(
  O218&lt;&gt;"DEVOLUCION",
  "",
  IF(
    T218="",
    "",
    SUMIF(DEVOLUCION!F:F, T218, DEVOLUCION!D:D)
  )
)
</f>
        <v/>
      </c>
      <c r="M218" s="118"/>
      <c r="N218" s="118" t="s">
        <v>4120</v>
      </c>
      <c r="O218" s="118" t="str">
        <f t="array" ref="O218">IFERROR(
VLOOKUP(
TRIM(CLEAN(
INDEX(REPORTE_DROPI!K:K,
MATCH(T218, REPORTE_DROPI!B:B, 0)
))),
{
TRIM(CLEAN(MAPA_ESTADOS!A:A)) ,
MAPA_ESTADOS!B:B
},
2,
FALSE
),
"REVISAR"
)
</f>
        <v>ENTREGADO</v>
      </c>
      <c r="P218" s="118"/>
      <c r="Q218" s="122">
        <f t="shared" si="1"/>
        <v>0</v>
      </c>
      <c r="R218" s="118"/>
      <c r="S218" s="118"/>
      <c r="T218" s="118">
        <f t="array" ref="T218">IFERROR(
INDEX(REPORTE_DROPI!B:B,
MATCH(
CLEAN(TRIM(C218)),
CLEAN(TRIM(REPORTE_DROPI!E:E)),
0
)
),
""
)
</f>
        <v>4097126</v>
      </c>
      <c r="U218" s="118">
        <v>6.40499292574E12</v>
      </c>
      <c r="V218" s="78"/>
      <c r="W218" s="78"/>
      <c r="X218" s="78"/>
      <c r="Y218" s="78"/>
      <c r="Z218" s="78"/>
    </row>
    <row r="219" ht="22.5" customHeight="1">
      <c r="A219" s="118">
        <v>218.0</v>
      </c>
      <c r="B219" s="119">
        <v>46032.0</v>
      </c>
      <c r="C219" s="118" t="s">
        <v>4121</v>
      </c>
      <c r="D219" s="118" t="str">
        <f>IFERROR(__xludf.DUMMYFUNCTION("IFERROR(
  INDEX(
    FILTER(
      'NOMBRE DE PRODUCTOS'!B:B,
      REGEXMATCH(
        UPPER(
          INDEX(
            REPORTE_DROPI!AC:AC,
            MATCH(T219, REPORTE_DROPI!B:B, 0)
          )
        ),
        UPPER('NOMBRE DE PRODUCTOS'!A:A)"&amp;"
      )
    ),
    1
  ),
  ""REVISAR""
)
"),"Cuchillo Tazaki™")</f>
        <v>Cuchillo Tazaki™</v>
      </c>
      <c r="E219" s="120">
        <f t="array" ref="E219">IF(
UPPER(TRIM(CLEAN($O219)))="ENTREGADO",
IFERROR(
INDEX(REPORTE_DROPI!Y:Y,
MATCH($T219, REPORTE_DROPI!B:B, 0)
),
""
),
""
)
</f>
        <v>7.8</v>
      </c>
      <c r="F219" s="121">
        <v>3.0</v>
      </c>
      <c r="G219" s="122">
        <f t="array" ref="G219">IF(
UPPER(TRIM(CLEAN($O219)))="ENTREGADO",
IFERROR(
INDEX(REPORTE_DROPI!R:R,
MATCH($T219, REPORTE_DROPI!B:B, 0)
),
""
),
""
)
</f>
        <v>27</v>
      </c>
      <c r="H219" s="118" t="s">
        <v>3727</v>
      </c>
      <c r="I219" s="118" t="s">
        <v>3801</v>
      </c>
      <c r="J219" s="121">
        <f t="array" ref="J219">IF(
UPPER(TRIM(CLEAN($O219)))="ENTREGADO",
IFERROR(
INDEX(REPORTE_DROPI!T:T,
MATCH($T219, REPORTE_DROPI!B:B, 0)
),
""
),
""
)
</f>
        <v>6.03</v>
      </c>
      <c r="K219" s="118">
        <f t="array" ref="K219">IFERROR(
INDEX(REPORTE_DROPI!S:S,
MATCH($T219, REPORTE_DROPI!B:B, 0)
),
""
)
</f>
        <v>13.17</v>
      </c>
      <c r="L219" s="118" t="str">
        <f>IF(
  O219&lt;&gt;"DEVOLUCION",
  "",
  IF(
    T219="",
    "",
    SUMIF(DEVOLUCION!F:F, T219, DEVOLUCION!D:D)
  )
)
</f>
        <v/>
      </c>
      <c r="M219" s="118"/>
      <c r="N219" s="118" t="s">
        <v>4122</v>
      </c>
      <c r="O219" s="118" t="str">
        <f t="array" ref="O219">IFERROR(
VLOOKUP(
TRIM(CLEAN(
INDEX(REPORTE_DROPI!K:K,
MATCH(T219, REPORTE_DROPI!B:B, 0)
))),
{
TRIM(CLEAN(MAPA_ESTADOS!A:A)) ,
MAPA_ESTADOS!B:B
},
2,
FALSE
),
"REVISAR"
)
</f>
        <v>ENTREGADO</v>
      </c>
      <c r="P219" s="118"/>
      <c r="Q219" s="122">
        <f t="shared" si="1"/>
        <v>0</v>
      </c>
      <c r="R219" s="118"/>
      <c r="S219" s="118"/>
      <c r="T219" s="118">
        <f t="array" ref="T219">IFERROR(
INDEX(REPORTE_DROPI!B:B,
MATCH(
CLEAN(TRIM(C219)),
CLEAN(TRIM(REPORTE_DROPI!E:E)),
0
)
),
""
)
</f>
        <v>4097316</v>
      </c>
      <c r="U219" s="118">
        <v>6.405044011052E12</v>
      </c>
      <c r="V219" s="78"/>
      <c r="W219" s="78"/>
      <c r="X219" s="78"/>
      <c r="Y219" s="78"/>
      <c r="Z219" s="78"/>
    </row>
    <row r="220" ht="22.5" customHeight="1">
      <c r="A220" s="118">
        <v>219.0</v>
      </c>
      <c r="B220" s="119">
        <v>46032.0</v>
      </c>
      <c r="C220" s="118" t="s">
        <v>4123</v>
      </c>
      <c r="D220" s="118" t="str">
        <f>IFERROR(__xludf.DUMMYFUNCTION("IFERROR(
  INDEX(
    FILTER(
      'NOMBRE DE PRODUCTOS'!B:B,
      REGEXMATCH(
        UPPER(
          INDEX(
            REPORTE_DROPI!AC:AC,
            MATCH(T220, REPORTE_DROPI!B:B, 0)
          )
        ),
        UPPER('NOMBRE DE PRODUCTOS'!A:A)"&amp;"
      )
    ),
    1
  ),
  ""REVISAR""
)
"),"FilmPro®")</f>
        <v>FilmPro®</v>
      </c>
      <c r="E220" s="120" t="str">
        <f t="array" ref="E220">IF(
UPPER(TRIM(CLEAN($O220)))="ENTREGADO",
IFERROR(
INDEX(REPORTE_DROPI!Y:Y,
MATCH($T220, REPORTE_DROPI!B:B, 0)
),
""
),
""
)
</f>
        <v/>
      </c>
      <c r="F220" s="121">
        <v>2.0</v>
      </c>
      <c r="G220" s="122" t="str">
        <f t="array" ref="G220">IF(
UPPER(TRIM(CLEAN($O220)))="ENTREGADO",
IFERROR(
INDEX(REPORTE_DROPI!R:R,
MATCH($T220, REPORTE_DROPI!B:B, 0)
),
""
),
""
)
</f>
        <v/>
      </c>
      <c r="H220" s="118" t="s">
        <v>3727</v>
      </c>
      <c r="I220" s="118" t="s">
        <v>3798</v>
      </c>
      <c r="J220" s="121" t="str">
        <f t="array" ref="J220">IF(
UPPER(TRIM(CLEAN($O220)))="ENTREGADO",
IFERROR(
INDEX(REPORTE_DROPI!T:T,
MATCH($T220, REPORTE_DROPI!B:B, 0)
),
""
),
""
)
</f>
        <v/>
      </c>
      <c r="K220" s="118" t="str">
        <f t="array" ref="K220">IFERROR(
INDEX(REPORTE_DROPI!S:S,
MATCH($T220, REPORTE_DROPI!B:B, 0)
),
""
)
</f>
        <v/>
      </c>
      <c r="L220" s="118" t="str">
        <f>IF(
  O220&lt;&gt;"DEVOLUCION",
  "",
  IF(
    T220="",
    "",
    SUMIF(DEVOLUCION!F:F, T220, DEVOLUCION!D:D)
  )
)
</f>
        <v/>
      </c>
      <c r="M220" s="118"/>
      <c r="N220" s="118" t="s">
        <v>4124</v>
      </c>
      <c r="O220" s="118" t="str">
        <f t="array" ref="O220">IFERROR(
VLOOKUP(
TRIM(CLEAN(
INDEX(REPORTE_DROPI!K:K,
MATCH(T220, REPORTE_DROPI!B:B, 0)
))),
{
TRIM(CLEAN(MAPA_ESTADOS!A:A)) ,
MAPA_ESTADOS!B:B
},
2,
FALSE
),
"REVISAR"
)
</f>
        <v>CANCELADO</v>
      </c>
      <c r="P220" s="118" t="s">
        <v>4125</v>
      </c>
      <c r="Q220" s="122">
        <f t="shared" si="1"/>
        <v>0</v>
      </c>
      <c r="R220" s="118"/>
      <c r="S220" s="118"/>
      <c r="T220" s="118">
        <f t="array" ref="T220">IFERROR(
INDEX(REPORTE_DROPI!B:B,
MATCH(
CLEAN(TRIM(C220)),
CLEAN(TRIM(REPORTE_DROPI!E:E)),
0
)
),
""
)
</f>
        <v>4097388</v>
      </c>
      <c r="U220" s="118">
        <v>6.405060132908E12</v>
      </c>
      <c r="V220" s="78"/>
      <c r="W220" s="78"/>
      <c r="X220" s="78"/>
      <c r="Y220" s="78"/>
      <c r="Z220" s="78"/>
    </row>
    <row r="221" ht="22.5" customHeight="1">
      <c r="A221" s="118">
        <v>220.0</v>
      </c>
      <c r="B221" s="119">
        <v>46032.0</v>
      </c>
      <c r="C221" s="118" t="s">
        <v>4126</v>
      </c>
      <c r="D221" s="118" t="str">
        <f>IFERROR(__xludf.DUMMYFUNCTION("IFERROR(
  INDEX(
    FILTER(
      'NOMBRE DE PRODUCTOS'!B:B,
      REGEXMATCH(
        UPPER(
          INDEX(
            REPORTE_DROPI!AC:AC,
            MATCH(T221, REPORTE_DROPI!B:B, 0)
          )
        ),
        UPPER('NOMBRE DE PRODUCTOS'!A:A)"&amp;"
      )
    ),
    1
  ),
  ""REVISAR""
)
"),"FilmPro®")</f>
        <v>FilmPro®</v>
      </c>
      <c r="E221" s="120">
        <f t="array" ref="E221">IF(
UPPER(TRIM(CLEAN($O221)))="ENTREGADO",
IFERROR(
INDEX(REPORTE_DROPI!Y:Y,
MATCH($T221, REPORTE_DROPI!B:B, 0)
),
""
),
""
)
</f>
        <v>5.58</v>
      </c>
      <c r="F221" s="121">
        <v>2.0</v>
      </c>
      <c r="G221" s="122">
        <f t="array" ref="G221">IF(
UPPER(TRIM(CLEAN($O221)))="ENTREGADO",
IFERROR(
INDEX(REPORTE_DROPI!R:R,
MATCH($T221, REPORTE_DROPI!B:B, 0)
),
""
),
""
)
</f>
        <v>25</v>
      </c>
      <c r="H221" s="118" t="s">
        <v>3727</v>
      </c>
      <c r="I221" s="118" t="s">
        <v>3728</v>
      </c>
      <c r="J221" s="121">
        <f t="array" ref="J221">IF(
UPPER(TRIM(CLEAN($O221)))="ENTREGADO",
IFERROR(
INDEX(REPORTE_DROPI!T:T,
MATCH($T221, REPORTE_DROPI!B:B, 0)
),
""
),
""
)
</f>
        <v>7.75</v>
      </c>
      <c r="K221" s="118">
        <f t="array" ref="K221">IFERROR(
INDEX(REPORTE_DROPI!S:S,
MATCH($T221, REPORTE_DROPI!B:B, 0)
),
""
)
</f>
        <v>11.67</v>
      </c>
      <c r="L221" s="118" t="str">
        <f>IF(
  O221&lt;&gt;"DEVOLUCION",
  "",
  IF(
    T221="",
    "",
    SUMIF(DEVOLUCION!F:F, T221, DEVOLUCION!D:D)
  )
)
</f>
        <v/>
      </c>
      <c r="M221" s="118"/>
      <c r="N221" s="118" t="s">
        <v>4127</v>
      </c>
      <c r="O221" s="118" t="str">
        <f t="array" ref="O221">IFERROR(
VLOOKUP(
TRIM(CLEAN(
INDEX(REPORTE_DROPI!K:K,
MATCH(T221, REPORTE_DROPI!B:B, 0)
))),
{
TRIM(CLEAN(MAPA_ESTADOS!A:A)) ,
MAPA_ESTADOS!B:B
},
2,
FALSE
),
"REVISAR"
)
</f>
        <v>ENTREGADO</v>
      </c>
      <c r="P221" s="118"/>
      <c r="Q221" s="122">
        <f t="shared" si="1"/>
        <v>0</v>
      </c>
      <c r="R221" s="118"/>
      <c r="S221" s="118"/>
      <c r="T221" s="118">
        <f t="array" ref="T221">IFERROR(
INDEX(REPORTE_DROPI!B:B,
MATCH(
CLEAN(TRIM(C221)),
CLEAN(TRIM(REPORTE_DROPI!E:E)),
0
)
),
""
)
</f>
        <v>4097456</v>
      </c>
      <c r="U221" s="118">
        <v>6.405074157612E12</v>
      </c>
      <c r="V221" s="78"/>
      <c r="W221" s="78"/>
      <c r="X221" s="78"/>
      <c r="Y221" s="78"/>
      <c r="Z221" s="78"/>
    </row>
    <row r="222" ht="22.5" customHeight="1">
      <c r="A222" s="118">
        <v>221.0</v>
      </c>
      <c r="B222" s="119">
        <v>46033.0</v>
      </c>
      <c r="C222" s="118" t="s">
        <v>4128</v>
      </c>
      <c r="D222" s="118" t="str">
        <f>IFERROR(__xludf.DUMMYFUNCTION("IFERROR(
  INDEX(
    FILTER(
      'NOMBRE DE PRODUCTOS'!B:B,
      REGEXMATCH(
        UPPER(
          INDEX(
            REPORTE_DROPI!AC:AC,
            MATCH(T222, REPORTE_DROPI!B:B, 0)
          )
        ),
        UPPER('NOMBRE DE PRODUCTOS'!A:A)"&amp;"
      )
    ),
    1
  ),
  ""REVISAR""
)
"),"FilmPro®")</f>
        <v>FilmPro®</v>
      </c>
      <c r="E222" s="120">
        <f t="array" ref="E222">IF(
UPPER(TRIM(CLEAN($O222)))="ENTREGADO",
IFERROR(
INDEX(REPORTE_DROPI!Y:Y,
MATCH($T222, REPORTE_DROPI!B:B, 0)
),
""
),
""
)
</f>
        <v>2.79</v>
      </c>
      <c r="F222" s="121">
        <v>1.0</v>
      </c>
      <c r="G222" s="122">
        <f t="array" ref="G222">IF(
UPPER(TRIM(CLEAN($O222)))="ENTREGADO",
IFERROR(
INDEX(REPORTE_DROPI!R:R,
MATCH($T222, REPORTE_DROPI!B:B, 0)
),
""
),
""
)
</f>
        <v>20</v>
      </c>
      <c r="H222" s="118" t="s">
        <v>3727</v>
      </c>
      <c r="I222" s="118" t="s">
        <v>3770</v>
      </c>
      <c r="J222" s="121">
        <f t="array" ref="J222">IF(
UPPER(TRIM(CLEAN($O222)))="ENTREGADO",
IFERROR(
INDEX(REPORTE_DROPI!T:T,
MATCH($T222, REPORTE_DROPI!B:B, 0)
),
""
),
""
)
</f>
        <v>5.76</v>
      </c>
      <c r="K222" s="118">
        <f t="array" ref="K222">IFERROR(
INDEX(REPORTE_DROPI!S:S,
MATCH($T222, REPORTE_DROPI!B:B, 0)
),
""
)
</f>
        <v>11.45</v>
      </c>
      <c r="L222" s="118" t="str">
        <f>IF(
  O222&lt;&gt;"DEVOLUCION",
  "",
  IF(
    T222="",
    "",
    SUMIF(DEVOLUCION!F:F, T222, DEVOLUCION!D:D)
  )
)
</f>
        <v/>
      </c>
      <c r="M222" s="118" t="s">
        <v>3870</v>
      </c>
      <c r="N222" s="118" t="s">
        <v>4129</v>
      </c>
      <c r="O222" s="118" t="str">
        <f t="array" ref="O222">IFERROR(
VLOOKUP(
TRIM(CLEAN(
INDEX(REPORTE_DROPI!K:K,
MATCH(T222, REPORTE_DROPI!B:B, 0)
))),
{
TRIM(CLEAN(MAPA_ESTADOS!A:A)) ,
MAPA_ESTADOS!B:B
},
2,
FALSE
),
"REVISAR"
)
</f>
        <v>ENTREGADO</v>
      </c>
      <c r="P222" s="118"/>
      <c r="Q222" s="122">
        <f t="shared" si="1"/>
        <v>0</v>
      </c>
      <c r="R222" s="118"/>
      <c r="S222" s="118"/>
      <c r="T222" s="118">
        <f t="array" ref="T222">IFERROR(
INDEX(REPORTE_DROPI!B:B,
MATCH(
CLEAN(TRIM(C222)),
CLEAN(TRIM(REPORTE_DROPI!E:E)),
0
)
),
""
)
</f>
        <v>4097492</v>
      </c>
      <c r="U222" s="118"/>
      <c r="V222" s="78"/>
      <c r="W222" s="78"/>
      <c r="X222" s="78"/>
      <c r="Y222" s="78"/>
      <c r="Z222" s="78"/>
    </row>
    <row r="223" ht="22.5" customHeight="1">
      <c r="A223" s="118">
        <v>222.0</v>
      </c>
      <c r="B223" s="119">
        <v>46032.0</v>
      </c>
      <c r="C223" s="118" t="s">
        <v>4130</v>
      </c>
      <c r="D223" s="118" t="str">
        <f>IFERROR(__xludf.DUMMYFUNCTION("IFERROR(
  INDEX(
    FILTER(
      'NOMBRE DE PRODUCTOS'!B:B,
      REGEXMATCH(
        UPPER(
          INDEX(
            REPORTE_DROPI!AC:AC,
            MATCH(T223, REPORTE_DROPI!B:B, 0)
          )
        ),
        UPPER('NOMBRE DE PRODUCTOS'!A:A)"&amp;"
      )
    ),
    1
  ),
  ""REVISAR""
)
"),"FilmPro®")</f>
        <v>FilmPro®</v>
      </c>
      <c r="E223" s="120">
        <f t="array" ref="E223">IF(
UPPER(TRIM(CLEAN($O223)))="ENTREGADO",
IFERROR(
INDEX(REPORTE_DROPI!Y:Y,
MATCH($T223, REPORTE_DROPI!B:B, 0)
),
""
),
""
)
</f>
        <v>8.37</v>
      </c>
      <c r="F223" s="121">
        <v>3.0</v>
      </c>
      <c r="G223" s="122">
        <f t="array" ref="G223">IF(
UPPER(TRIM(CLEAN($O223)))="ENTREGADO",
IFERROR(
INDEX(REPORTE_DROPI!R:R,
MATCH($T223, REPORTE_DROPI!B:B, 0)
),
""
),
""
)
</f>
        <v>30</v>
      </c>
      <c r="H223" s="118" t="s">
        <v>3727</v>
      </c>
      <c r="I223" s="118" t="s">
        <v>3740</v>
      </c>
      <c r="J223" s="121">
        <f t="array" ref="J223">IF(
UPPER(TRIM(CLEAN($O223)))="ENTREGADO",
IFERROR(
INDEX(REPORTE_DROPI!T:T,
MATCH($T223, REPORTE_DROPI!B:B, 0)
),
""
),
""
)
</f>
        <v>4.55</v>
      </c>
      <c r="K223" s="118">
        <f t="array" ref="K223">IFERROR(
INDEX(REPORTE_DROPI!S:S,
MATCH($T223, REPORTE_DROPI!B:B, 0)
),
""
)
</f>
        <v>17.08</v>
      </c>
      <c r="L223" s="118" t="str">
        <f>IF(
  O223&lt;&gt;"DEVOLUCION",
  "",
  IF(
    T223="",
    "",
    SUMIF(DEVOLUCION!F:F, T223, DEVOLUCION!D:D)
  )
)
</f>
        <v/>
      </c>
      <c r="M223" s="118"/>
      <c r="N223" s="118" t="s">
        <v>4131</v>
      </c>
      <c r="O223" s="118" t="str">
        <f t="array" ref="O223">IFERROR(
VLOOKUP(
TRIM(CLEAN(
INDEX(REPORTE_DROPI!K:K,
MATCH(T223, REPORTE_DROPI!B:B, 0)
))),
{
TRIM(CLEAN(MAPA_ESTADOS!A:A)) ,
MAPA_ESTADOS!B:B
},
2,
FALSE
),
"REVISAR"
)
</f>
        <v>ENTREGADO</v>
      </c>
      <c r="P223" s="118"/>
      <c r="Q223" s="122">
        <f t="shared" si="1"/>
        <v>0</v>
      </c>
      <c r="R223" s="118"/>
      <c r="S223" s="118"/>
      <c r="T223" s="118">
        <f t="array" ref="T223">IFERROR(
INDEX(REPORTE_DROPI!B:B,
MATCH(
CLEAN(TRIM(C223)),
CLEAN(TRIM(REPORTE_DROPI!E:E)),
0
)
),
""
)
</f>
        <v>4097507</v>
      </c>
      <c r="U223" s="118">
        <v>6.405084315692E12</v>
      </c>
      <c r="V223" s="78"/>
      <c r="W223" s="78"/>
      <c r="X223" s="78"/>
      <c r="Y223" s="78"/>
      <c r="Z223" s="78"/>
    </row>
    <row r="224" ht="22.5" customHeight="1">
      <c r="A224" s="118">
        <v>223.0</v>
      </c>
      <c r="B224" s="119">
        <v>46032.0</v>
      </c>
      <c r="C224" s="118" t="s">
        <v>4132</v>
      </c>
      <c r="D224" s="118" t="str">
        <f>IFERROR(__xludf.DUMMYFUNCTION("IFERROR(
  INDEX(
    FILTER(
      'NOMBRE DE PRODUCTOS'!B:B,
      REGEXMATCH(
        UPPER(
          INDEX(
            REPORTE_DROPI!AC:AC,
            MATCH(T224, REPORTE_DROPI!B:B, 0)
          )
        ),
        UPPER('NOMBRE DE PRODUCTOS'!A:A)"&amp;"
      )
    ),
    1
  ),
  ""REVISAR""
)
"),"FilmPro®")</f>
        <v>FilmPro®</v>
      </c>
      <c r="E224" s="120">
        <f t="array" ref="E224">IF(
UPPER(TRIM(CLEAN($O224)))="ENTREGADO",
IFERROR(
INDEX(REPORTE_DROPI!Y:Y,
MATCH($T224, REPORTE_DROPI!B:B, 0)
),
""
),
""
)
</f>
        <v>8.37</v>
      </c>
      <c r="F224" s="121">
        <v>3.0</v>
      </c>
      <c r="G224" s="122">
        <f t="array" ref="G224">IF(
UPPER(TRIM(CLEAN($O224)))="ENTREGADO",
IFERROR(
INDEX(REPORTE_DROPI!R:R,
MATCH($T224, REPORTE_DROPI!B:B, 0)
),
""
),
""
)
</f>
        <v>30</v>
      </c>
      <c r="H224" s="118" t="s">
        <v>3727</v>
      </c>
      <c r="I224" s="118" t="s">
        <v>3731</v>
      </c>
      <c r="J224" s="121">
        <f t="array" ref="J224">IF(
UPPER(TRIM(CLEAN($O224)))="ENTREGADO",
IFERROR(
INDEX(REPORTE_DROPI!T:T,
MATCH($T224, REPORTE_DROPI!B:B, 0)
),
""
),
""
)
</f>
        <v>7.82</v>
      </c>
      <c r="K224" s="118">
        <f t="array" ref="K224">IFERROR(
INDEX(REPORTE_DROPI!S:S,
MATCH($T224, REPORTE_DROPI!B:B, 0)
),
""
)
</f>
        <v>13.81</v>
      </c>
      <c r="L224" s="118" t="str">
        <f>IF(
  O224&lt;&gt;"DEVOLUCION",
  "",
  IF(
    T224="",
    "",
    SUMIF(DEVOLUCION!F:F, T224, DEVOLUCION!D:D)
  )
)
</f>
        <v/>
      </c>
      <c r="M224" s="118"/>
      <c r="N224" s="118" t="s">
        <v>4133</v>
      </c>
      <c r="O224" s="118" t="str">
        <f t="array" ref="O224">IFERROR(
VLOOKUP(
TRIM(CLEAN(
INDEX(REPORTE_DROPI!K:K,
MATCH(T224, REPORTE_DROPI!B:B, 0)
))),
{
TRIM(CLEAN(MAPA_ESTADOS!A:A)) ,
MAPA_ESTADOS!B:B
},
2,
FALSE
),
"REVISAR"
)
</f>
        <v>ENTREGADO</v>
      </c>
      <c r="P224" s="118"/>
      <c r="Q224" s="122">
        <f t="shared" si="1"/>
        <v>0</v>
      </c>
      <c r="R224" s="118"/>
      <c r="S224" s="118"/>
      <c r="T224" s="118">
        <f t="array" ref="T224">IFERROR(
INDEX(REPORTE_DROPI!B:B,
MATCH(
CLEAN(TRIM(C224)),
CLEAN(TRIM(REPORTE_DROPI!E:E)),
0
)
),
""
)
</f>
        <v>4097562</v>
      </c>
      <c r="U224" s="118">
        <v>6.405094211628E12</v>
      </c>
      <c r="V224" s="78"/>
      <c r="W224" s="78"/>
      <c r="X224" s="78"/>
      <c r="Y224" s="78"/>
      <c r="Z224" s="78"/>
    </row>
    <row r="225" ht="22.5" customHeight="1">
      <c r="A225" s="118">
        <v>224.0</v>
      </c>
      <c r="B225" s="119">
        <v>46032.0</v>
      </c>
      <c r="C225" s="118" t="s">
        <v>4134</v>
      </c>
      <c r="D225" s="118" t="str">
        <f>IFERROR(__xludf.DUMMYFUNCTION("IFERROR(
  INDEX(
    FILTER(
      'NOMBRE DE PRODUCTOS'!B:B,
      REGEXMATCH(
        UPPER(
          INDEX(
            REPORTE_DROPI!AC:AC,
            MATCH(T225, REPORTE_DROPI!B:B, 0)
          )
        ),
        UPPER('NOMBRE DE PRODUCTOS'!A:A)"&amp;"
      )
    ),
    1
  ),
  ""REVISAR""
)
"),"FilmPro®")</f>
        <v>FilmPro®</v>
      </c>
      <c r="E225" s="120">
        <f t="array" ref="E225">IF(
UPPER(TRIM(CLEAN($O225)))="ENTREGADO",
IFERROR(
INDEX(REPORTE_DROPI!Y:Y,
MATCH($T225, REPORTE_DROPI!B:B, 0)
),
""
),
""
)
</f>
        <v>2.79</v>
      </c>
      <c r="F225" s="121">
        <v>1.0</v>
      </c>
      <c r="G225" s="122">
        <f t="array" ref="G225">IF(
UPPER(TRIM(CLEAN($O225)))="ENTREGADO",
IFERROR(
INDEX(REPORTE_DROPI!R:R,
MATCH($T225, REPORTE_DROPI!B:B, 0)
),
""
),
""
)
</f>
        <v>20</v>
      </c>
      <c r="H225" s="118" t="s">
        <v>3727</v>
      </c>
      <c r="I225" s="118" t="s">
        <v>3801</v>
      </c>
      <c r="J225" s="121">
        <f t="array" ref="J225">IF(
UPPER(TRIM(CLEAN($O225)))="ENTREGADO",
IFERROR(
INDEX(REPORTE_DROPI!T:T,
MATCH($T225, REPORTE_DROPI!B:B, 0)
),
""
),
""
)
</f>
        <v>6.33</v>
      </c>
      <c r="K225" s="118">
        <f t="array" ref="K225">IFERROR(
INDEX(REPORTE_DROPI!S:S,
MATCH($T225, REPORTE_DROPI!B:B, 0)
),
""
)
</f>
        <v>10.88</v>
      </c>
      <c r="L225" s="118" t="str">
        <f>IF(
  O225&lt;&gt;"DEVOLUCION",
  "",
  IF(
    T225="",
    "",
    SUMIF(DEVOLUCION!F:F, T225, DEVOLUCION!D:D)
  )
)
</f>
        <v/>
      </c>
      <c r="M225" s="118"/>
      <c r="N225" s="118" t="s">
        <v>4135</v>
      </c>
      <c r="O225" s="118" t="str">
        <f t="array" ref="O225">IFERROR(
VLOOKUP(
TRIM(CLEAN(
INDEX(REPORTE_DROPI!K:K,
MATCH(T225, REPORTE_DROPI!B:B, 0)
))),
{
TRIM(CLEAN(MAPA_ESTADOS!A:A)) ,
MAPA_ESTADOS!B:B
},
2,
FALSE
),
"REVISAR"
)
</f>
        <v>ENTREGADO</v>
      </c>
      <c r="P225" s="118"/>
      <c r="Q225" s="122">
        <f t="shared" si="1"/>
        <v>0</v>
      </c>
      <c r="R225" s="118"/>
      <c r="S225" s="118"/>
      <c r="T225" s="118">
        <f t="array" ref="T225">IFERROR(
INDEX(REPORTE_DROPI!B:B,
MATCH(
CLEAN(TRIM(C225)),
CLEAN(TRIM(REPORTE_DROPI!E:E)),
0
)
),
""
)
</f>
        <v>4097628</v>
      </c>
      <c r="U225" s="118">
        <v>6.405109350444E12</v>
      </c>
      <c r="V225" s="78"/>
      <c r="W225" s="78"/>
      <c r="X225" s="78"/>
      <c r="Y225" s="78"/>
      <c r="Z225" s="78"/>
    </row>
    <row r="226" ht="22.5" customHeight="1">
      <c r="A226" s="118">
        <v>225.0</v>
      </c>
      <c r="B226" s="119">
        <v>46032.0</v>
      </c>
      <c r="C226" s="126" t="s">
        <v>4136</v>
      </c>
      <c r="D226" s="118" t="str">
        <f>IFERROR(__xludf.DUMMYFUNCTION("IFERROR(
  INDEX(
    FILTER(
      'NOMBRE DE PRODUCTOS'!B:B,
      REGEXMATCH(
        UPPER(
          INDEX(
            REPORTE_DROPI!AC:AC,
            MATCH(T226, REPORTE_DROPI!B:B, 0)
          )
        ),
        UPPER('NOMBRE DE PRODUCTOS'!A:A)"&amp;"
      )
    ),
    1
  ),
  ""REVISAR""
)
"),"Cuchillo Tazaki™")</f>
        <v>Cuchillo Tazaki™</v>
      </c>
      <c r="E226" s="120">
        <f t="array" ref="E226">IF(
UPPER(TRIM(CLEAN($O226)))="ENTREGADO",
IFERROR(
INDEX(REPORTE_DROPI!Y:Y,
MATCH($T226, REPORTE_DROPI!B:B, 0)
),
""
),
""
)
</f>
        <v>7.8</v>
      </c>
      <c r="F226" s="121">
        <v>3.0</v>
      </c>
      <c r="G226" s="122">
        <f t="array" ref="G226">IF(
UPPER(TRIM(CLEAN($O226)))="ENTREGADO",
IFERROR(
INDEX(REPORTE_DROPI!R:R,
MATCH($T226, REPORTE_DROPI!B:B, 0)
),
""
),
""
)
</f>
        <v>27</v>
      </c>
      <c r="H226" s="118" t="s">
        <v>3727</v>
      </c>
      <c r="I226" s="118" t="s">
        <v>3742</v>
      </c>
      <c r="J226" s="121">
        <f t="array" ref="J226">IF(
UPPER(TRIM(CLEAN($O226)))="ENTREGADO",
IFERROR(
INDEX(REPORTE_DROPI!T:T,
MATCH($T226, REPORTE_DROPI!B:B, 0)
),
""
),
""
)
</f>
        <v>7.77</v>
      </c>
      <c r="K226" s="118">
        <f t="array" ref="K226">IFERROR(
INDEX(REPORTE_DROPI!S:S,
MATCH($T226, REPORTE_DROPI!B:B, 0)
),
""
)
</f>
        <v>11.43</v>
      </c>
      <c r="L226" s="118" t="str">
        <f>IF(
  O226&lt;&gt;"DEVOLUCION",
  "",
  IF(
    T226="",
    "",
    SUMIF(DEVOLUCION!F:F, T226, DEVOLUCION!D:D)
  )
)
</f>
        <v/>
      </c>
      <c r="M226" s="118" t="s">
        <v>3870</v>
      </c>
      <c r="N226" s="118" t="s">
        <v>4137</v>
      </c>
      <c r="O226" s="118" t="str">
        <f t="array" ref="O226">IFERROR(
VLOOKUP(
TRIM(CLEAN(
INDEX(REPORTE_DROPI!K:K,
MATCH(T226, REPORTE_DROPI!B:B, 0)
))),
{
TRIM(CLEAN(MAPA_ESTADOS!A:A)) ,
MAPA_ESTADOS!B:B
},
2,
FALSE
),
"REVISAR"
)
</f>
        <v>ENTREGADO</v>
      </c>
      <c r="P226" s="118"/>
      <c r="Q226" s="122">
        <f t="shared" si="1"/>
        <v>0</v>
      </c>
      <c r="R226" s="118"/>
      <c r="S226" s="118"/>
      <c r="T226" s="118">
        <f t="array" ref="T226">IFERROR(
INDEX(REPORTE_DROPI!B:B,
MATCH(
CLEAN(TRIM(C226)),
CLEAN(TRIM(REPORTE_DROPI!E:E)),
0
)
),
""
)
</f>
        <v>4097724</v>
      </c>
      <c r="U226" s="118">
        <v>6.40513333662E12</v>
      </c>
      <c r="V226" s="78"/>
      <c r="W226" s="78"/>
      <c r="X226" s="78"/>
      <c r="Y226" s="78"/>
      <c r="Z226" s="78"/>
    </row>
    <row r="227" ht="22.5" customHeight="1">
      <c r="A227" s="118">
        <v>226.0</v>
      </c>
      <c r="B227" s="119">
        <v>46032.0</v>
      </c>
      <c r="C227" s="118" t="s">
        <v>4138</v>
      </c>
      <c r="D227" s="118" t="str">
        <f>IFERROR(__xludf.DUMMYFUNCTION("IFERROR(
  INDEX(
    FILTER(
      'NOMBRE DE PRODUCTOS'!B:B,
      REGEXMATCH(
        UPPER(
          INDEX(
            REPORTE_DROPI!AC:AC,
            MATCH(T227, REPORTE_DROPI!B:B, 0)
          )
        ),
        UPPER('NOMBRE DE PRODUCTOS'!A:A)"&amp;"
      )
    ),
    1
  ),
  ""REVISAR""
)
"),"FilmPro®")</f>
        <v>FilmPro®</v>
      </c>
      <c r="E227" s="120">
        <f t="array" ref="E227">IF(
UPPER(TRIM(CLEAN($O227)))="ENTREGADO",
IFERROR(
INDEX(REPORTE_DROPI!Y:Y,
MATCH($T227, REPORTE_DROPI!B:B, 0)
),
""
),
""
)
</f>
        <v>2.35</v>
      </c>
      <c r="F227" s="121">
        <v>1.0</v>
      </c>
      <c r="G227" s="122">
        <f t="array" ref="G227">IF(
UPPER(TRIM(CLEAN($O227)))="ENTREGADO",
IFERROR(
INDEX(REPORTE_DROPI!R:R,
MATCH($T227, REPORTE_DROPI!B:B, 0)
),
""
),
""
)
</f>
        <v>20</v>
      </c>
      <c r="H227" s="118" t="s">
        <v>3727</v>
      </c>
      <c r="I227" s="118" t="s">
        <v>3740</v>
      </c>
      <c r="J227" s="121">
        <f t="array" ref="J227">IF(
UPPER(TRIM(CLEAN($O227)))="ENTREGADO",
IFERROR(
INDEX(REPORTE_DROPI!T:T,
MATCH($T227, REPORTE_DROPI!B:B, 0)
),
""
),
""
)
</f>
        <v>5.76</v>
      </c>
      <c r="K227" s="118">
        <f t="array" ref="K227">IFERROR(
INDEX(REPORTE_DROPI!S:S,
MATCH($T227, REPORTE_DROPI!B:B, 0)
),
""
)
</f>
        <v>11.89</v>
      </c>
      <c r="L227" s="118" t="str">
        <f>IF(
  O227&lt;&gt;"DEVOLUCION",
  "",
  IF(
    T227="",
    "",
    SUMIF(DEVOLUCION!F:F, T227, DEVOLUCION!D:D)
  )
)
</f>
        <v/>
      </c>
      <c r="M227" s="118"/>
      <c r="N227" s="118" t="s">
        <v>4139</v>
      </c>
      <c r="O227" s="118" t="str">
        <f t="array" ref="O227">IFERROR(
VLOOKUP(
TRIM(CLEAN(
INDEX(REPORTE_DROPI!K:K,
MATCH(T227, REPORTE_DROPI!B:B, 0)
))),
{
TRIM(CLEAN(MAPA_ESTADOS!A:A)) ,
MAPA_ESTADOS!B:B
},
2,
FALSE
),
"REVISAR"
)
</f>
        <v>ENTREGADO</v>
      </c>
      <c r="P227" s="118" t="s">
        <v>3955</v>
      </c>
      <c r="Q227" s="122">
        <f t="shared" si="1"/>
        <v>0</v>
      </c>
      <c r="R227" s="118"/>
      <c r="S227" s="118"/>
      <c r="T227" s="118">
        <f t="array" ref="T227">IFERROR(
INDEX(REPORTE_DROPI!B:B,
MATCH(
CLEAN(TRIM(C227)),
CLEAN(TRIM(REPORTE_DROPI!E:E)),
0
)
),
""
)
</f>
        <v>4654106</v>
      </c>
      <c r="U227" s="118">
        <v>6.405152079916E12</v>
      </c>
      <c r="V227" s="78"/>
      <c r="W227" s="78"/>
      <c r="X227" s="78"/>
      <c r="Y227" s="78"/>
      <c r="Z227" s="78"/>
    </row>
    <row r="228" ht="22.5" customHeight="1">
      <c r="A228" s="118">
        <v>227.0</v>
      </c>
      <c r="B228" s="119">
        <v>46032.0</v>
      </c>
      <c r="C228" s="118" t="s">
        <v>4140</v>
      </c>
      <c r="D228" s="118" t="str">
        <f>IFERROR(__xludf.DUMMYFUNCTION("IFERROR(
  INDEX(
    FILTER(
      'NOMBRE DE PRODUCTOS'!B:B,
      REGEXMATCH(
        UPPER(
          INDEX(
            REPORTE_DROPI!AC:AC,
            MATCH(T228, REPORTE_DROPI!B:B, 0)
          )
        ),
        UPPER('NOMBRE DE PRODUCTOS'!A:A)"&amp;"
      )
    ),
    1
  ),
  ""REVISAR""
)
"),"FilmPro®")</f>
        <v>FilmPro®</v>
      </c>
      <c r="E228" s="120">
        <f t="array" ref="E228">IF(
UPPER(TRIM(CLEAN($O228)))="ENTREGADO",
IFERROR(
INDEX(REPORTE_DROPI!Y:Y,
MATCH($T228, REPORTE_DROPI!B:B, 0)
),
""
),
""
)
</f>
        <v>5.58</v>
      </c>
      <c r="F228" s="121">
        <v>2.0</v>
      </c>
      <c r="G228" s="122">
        <f t="array" ref="G228">IF(
UPPER(TRIM(CLEAN($O228)))="ENTREGADO",
IFERROR(
INDEX(REPORTE_DROPI!R:R,
MATCH($T228, REPORTE_DROPI!B:B, 0)
),
""
),
""
)
</f>
        <v>25</v>
      </c>
      <c r="H228" s="118" t="s">
        <v>3727</v>
      </c>
      <c r="I228" s="118" t="s">
        <v>3740</v>
      </c>
      <c r="J228" s="121">
        <f t="array" ref="J228">IF(
UPPER(TRIM(CLEAN($O228)))="ENTREGADO",
IFERROR(
INDEX(REPORTE_DROPI!T:T,
MATCH($T228, REPORTE_DROPI!B:B, 0)
),
""
),
""
)
</f>
        <v>5.38</v>
      </c>
      <c r="K228" s="118">
        <f t="array" ref="K228">IFERROR(
INDEX(REPORTE_DROPI!S:S,
MATCH($T228, REPORTE_DROPI!B:B, 0)
),
""
)
</f>
        <v>14.04</v>
      </c>
      <c r="L228" s="118" t="str">
        <f>IF(
  O228&lt;&gt;"DEVOLUCION",
  "",
  IF(
    T228="",
    "",
    SUMIF(DEVOLUCION!F:F, T228, DEVOLUCION!D:D)
  )
)
</f>
        <v/>
      </c>
      <c r="M228" s="118"/>
      <c r="N228" s="118" t="s">
        <v>4141</v>
      </c>
      <c r="O228" s="118" t="str">
        <f t="array" ref="O228">IFERROR(
VLOOKUP(
TRIM(CLEAN(
INDEX(REPORTE_DROPI!K:K,
MATCH(T228, REPORTE_DROPI!B:B, 0)
))),
{
TRIM(CLEAN(MAPA_ESTADOS!A:A)) ,
MAPA_ESTADOS!B:B
},
2,
FALSE
),
"REVISAR"
)
</f>
        <v>ENTREGADO</v>
      </c>
      <c r="P228" s="118"/>
      <c r="Q228" s="122">
        <f t="shared" si="1"/>
        <v>0</v>
      </c>
      <c r="R228" s="118"/>
      <c r="S228" s="118"/>
      <c r="T228" s="118">
        <f t="array" ref="T228">IFERROR(
INDEX(REPORTE_DROPI!B:B,
MATCH(
CLEAN(TRIM(C228)),
CLEAN(TRIM(REPORTE_DROPI!E:E)),
0
)
),
""
)
</f>
        <v>4097878</v>
      </c>
      <c r="U228" s="118">
        <v>6.405179670572E12</v>
      </c>
      <c r="V228" s="78"/>
      <c r="W228" s="78"/>
      <c r="X228" s="78"/>
      <c r="Y228" s="78"/>
      <c r="Z228" s="78"/>
    </row>
    <row r="229" ht="22.5" customHeight="1">
      <c r="A229" s="118">
        <v>228.0</v>
      </c>
      <c r="B229" s="119">
        <v>46032.0</v>
      </c>
      <c r="C229" s="118" t="s">
        <v>4142</v>
      </c>
      <c r="D229" s="118" t="str">
        <f>IFERROR(__xludf.DUMMYFUNCTION("IFERROR(
  INDEX(
    FILTER(
      'NOMBRE DE PRODUCTOS'!B:B,
      REGEXMATCH(
        UPPER(
          INDEX(
            REPORTE_DROPI!AC:AC,
            MATCH(T229, REPORTE_DROPI!B:B, 0)
          )
        ),
        UPPER('NOMBRE DE PRODUCTOS'!A:A)"&amp;"
      )
    ),
    1
  ),
  ""REVISAR""
)
"),"Cuchillo Tazaki™")</f>
        <v>Cuchillo Tazaki™</v>
      </c>
      <c r="E229" s="120" t="str">
        <f t="array" ref="E229">IF(
UPPER(TRIM(CLEAN($O229)))="ENTREGADO",
IFERROR(
INDEX(REPORTE_DROPI!Y:Y,
MATCH($T229, REPORTE_DROPI!B:B, 0)
),
""
),
""
)
</f>
        <v/>
      </c>
      <c r="F229" s="121">
        <v>4.0</v>
      </c>
      <c r="G229" s="122" t="str">
        <f t="array" ref="G229">IF(
UPPER(TRIM(CLEAN($O229)))="ENTREGADO",
IFERROR(
INDEX(REPORTE_DROPI!R:R,
MATCH($T229, REPORTE_DROPI!B:B, 0)
),
""
),
""
)
</f>
        <v/>
      </c>
      <c r="H229" s="118" t="s">
        <v>3727</v>
      </c>
      <c r="I229" s="118" t="s">
        <v>3759</v>
      </c>
      <c r="J229" s="121" t="str">
        <f t="array" ref="J229">IF(
UPPER(TRIM(CLEAN($O229)))="ENTREGADO",
IFERROR(
INDEX(REPORTE_DROPI!T:T,
MATCH($T229, REPORTE_DROPI!B:B, 0)
),
""
),
""
)
</f>
        <v/>
      </c>
      <c r="K229" s="118" t="str">
        <f t="array" ref="K229">IFERROR(
INDEX(REPORTE_DROPI!S:S,
MATCH($T229, REPORTE_DROPI!B:B, 0)
),
""
)
</f>
        <v/>
      </c>
      <c r="L229" s="118">
        <f>IF(
  O229&lt;&gt;"DEVOLUCION",
  "",
  IF(
    T229="",
    "",
    SUMIF(DEVOLUCION!F:F, T229, DEVOLUCION!D:D)
  )
)
</f>
        <v>5.13</v>
      </c>
      <c r="M229" s="118"/>
      <c r="N229" s="118" t="s">
        <v>4143</v>
      </c>
      <c r="O229" s="118" t="str">
        <f t="array" ref="O229">IFERROR(
VLOOKUP(
TRIM(CLEAN(
INDEX(REPORTE_DROPI!K:K,
MATCH(T229, REPORTE_DROPI!B:B, 0)
))),
{
TRIM(CLEAN(MAPA_ESTADOS!A:A)) ,
MAPA_ESTADOS!B:B
},
2,
FALSE
),
"REVISAR"
)
</f>
        <v>DEVOLUCION</v>
      </c>
      <c r="P229" s="118"/>
      <c r="Q229" s="122">
        <f t="shared" si="1"/>
        <v>0</v>
      </c>
      <c r="R229" s="118"/>
      <c r="S229" s="118"/>
      <c r="T229" s="118">
        <f t="array" ref="T229">IFERROR(
INDEX(REPORTE_DROPI!B:B,
MATCH(
CLEAN(TRIM(C229)),
CLEAN(TRIM(REPORTE_DROPI!E:E)),
0
)
),
""
)
</f>
        <v>4097980</v>
      </c>
      <c r="U229" s="118">
        <v>6.405205196844E12</v>
      </c>
      <c r="V229" s="78"/>
      <c r="W229" s="78"/>
      <c r="X229" s="78"/>
      <c r="Y229" s="78"/>
      <c r="Z229" s="78"/>
    </row>
    <row r="230" ht="22.5" customHeight="1">
      <c r="A230" s="118">
        <v>229.0</v>
      </c>
      <c r="B230" s="119">
        <v>46032.0</v>
      </c>
      <c r="C230" s="118" t="s">
        <v>4144</v>
      </c>
      <c r="D230" s="118" t="str">
        <f>IFERROR(__xludf.DUMMYFUNCTION("IFERROR(
  INDEX(
    FILTER(
      'NOMBRE DE PRODUCTOS'!B:B,
      REGEXMATCH(
        UPPER(
          INDEX(
            REPORTE_DROPI!AC:AC,
            MATCH(T230, REPORTE_DROPI!B:B, 0)
          )
        ),
        UPPER('NOMBRE DE PRODUCTOS'!A:A)"&amp;"
      )
    ),
    1
  ),
  ""REVISAR""
)
"),"Cuchillo Tazaki™")</f>
        <v>Cuchillo Tazaki™</v>
      </c>
      <c r="E230" s="120">
        <f t="array" ref="E230">IF(
UPPER(TRIM(CLEAN($O230)))="ENTREGADO",
IFERROR(
INDEX(REPORTE_DROPI!Y:Y,
MATCH($T230, REPORTE_DROPI!B:B, 0)
),
""
),
""
)
</f>
        <v>5.2</v>
      </c>
      <c r="F230" s="121">
        <v>2.0</v>
      </c>
      <c r="G230" s="122">
        <f t="array" ref="G230">IF(
UPPER(TRIM(CLEAN($O230)))="ENTREGADO",
IFERROR(
INDEX(REPORTE_DROPI!R:R,
MATCH($T230, REPORTE_DROPI!B:B, 0)
),
""
),
""
)
</f>
        <v>22</v>
      </c>
      <c r="H230" s="118" t="s">
        <v>3727</v>
      </c>
      <c r="I230" s="118" t="s">
        <v>3735</v>
      </c>
      <c r="J230" s="121">
        <f t="array" ref="J230">IF(
UPPER(TRIM(CLEAN($O230)))="ENTREGADO",
IFERROR(
INDEX(REPORTE_DROPI!T:T,
MATCH($T230, REPORTE_DROPI!B:B, 0)
),
""
),
""
)
</f>
        <v>7.7</v>
      </c>
      <c r="K230" s="118">
        <f t="array" ref="K230">IFERROR(
INDEX(REPORTE_DROPI!S:S,
MATCH($T230, REPORTE_DROPI!B:B, 0)
),
""
)
</f>
        <v>9.1</v>
      </c>
      <c r="L230" s="118" t="str">
        <f>IF(
  O230&lt;&gt;"DEVOLUCION",
  "",
  IF(
    T230="",
    "",
    SUMIF(DEVOLUCION!F:F, T230, DEVOLUCION!D:D)
  )
)
</f>
        <v/>
      </c>
      <c r="M230" s="118" t="s">
        <v>3870</v>
      </c>
      <c r="N230" s="118" t="s">
        <v>4145</v>
      </c>
      <c r="O230" s="118" t="str">
        <f t="array" ref="O230">IFERROR(
VLOOKUP(
TRIM(CLEAN(
INDEX(REPORTE_DROPI!K:K,
MATCH(T230, REPORTE_DROPI!B:B, 0)
))),
{
TRIM(CLEAN(MAPA_ESTADOS!A:A)) ,
MAPA_ESTADOS!B:B
},
2,
FALSE
),
"REVISAR"
)
</f>
        <v>ENTREGADO</v>
      </c>
      <c r="P230" s="118" t="s">
        <v>3888</v>
      </c>
      <c r="Q230" s="122">
        <f t="shared" si="1"/>
        <v>0</v>
      </c>
      <c r="R230" s="118"/>
      <c r="S230" s="118"/>
      <c r="T230" s="118">
        <f t="array" ref="T230">IFERROR(
INDEX(REPORTE_DROPI!B:B,
MATCH(
CLEAN(TRIM(C230)),
CLEAN(TRIM(REPORTE_DROPI!E:E)),
0
)
),
""
)
</f>
        <v>4122686</v>
      </c>
      <c r="U230" s="118">
        <v>6.405207818284E12</v>
      </c>
      <c r="V230" s="78"/>
      <c r="W230" s="78"/>
      <c r="X230" s="78"/>
      <c r="Y230" s="78"/>
      <c r="Z230" s="78"/>
    </row>
    <row r="231" ht="22.5" customHeight="1">
      <c r="A231" s="118">
        <v>230.0</v>
      </c>
      <c r="B231" s="119">
        <v>46032.0</v>
      </c>
      <c r="C231" s="118" t="s">
        <v>4146</v>
      </c>
      <c r="D231" s="118" t="str">
        <f>IFERROR(__xludf.DUMMYFUNCTION("IFERROR(
  INDEX(
    FILTER(
      'NOMBRE DE PRODUCTOS'!B:B,
      REGEXMATCH(
        UPPER(
          INDEX(
            REPORTE_DROPI!AC:AC,
            MATCH(T231, REPORTE_DROPI!B:B, 0)
          )
        ),
        UPPER('NOMBRE DE PRODUCTOS'!A:A)"&amp;"
      )
    ),
    1
  ),
  ""REVISAR""
)
"),"Cuchillo Tazaki™")</f>
        <v>Cuchillo Tazaki™</v>
      </c>
      <c r="E231" s="120">
        <f t="array" ref="E231">IF(
UPPER(TRIM(CLEAN($O231)))="ENTREGADO",
IFERROR(
INDEX(REPORTE_DROPI!Y:Y,
MATCH($T231, REPORTE_DROPI!B:B, 0)
),
""
),
""
)
</f>
        <v>10.4</v>
      </c>
      <c r="F231" s="121">
        <v>4.0</v>
      </c>
      <c r="G231" s="122">
        <f t="array" ref="G231">IF(
UPPER(TRIM(CLEAN($O231)))="ENTREGADO",
IFERROR(
INDEX(REPORTE_DROPI!R:R,
MATCH($T231, REPORTE_DROPI!B:B, 0)
),
""
),
""
)
</f>
        <v>32</v>
      </c>
      <c r="H231" s="118" t="s">
        <v>3727</v>
      </c>
      <c r="I231" s="118" t="s">
        <v>3740</v>
      </c>
      <c r="J231" s="121">
        <f t="array" ref="J231">IF(
UPPER(TRIM(CLEAN($O231)))="ENTREGADO",
IFERROR(
INDEX(REPORTE_DROPI!T:T,
MATCH($T231, REPORTE_DROPI!B:B, 0)
),
""
),
""
)
</f>
        <v>5.66</v>
      </c>
      <c r="K231" s="118">
        <f t="array" ref="K231">IFERROR(
INDEX(REPORTE_DROPI!S:S,
MATCH($T231, REPORTE_DROPI!B:B, 0)
),
""
)
</f>
        <v>15.94</v>
      </c>
      <c r="L231" s="118" t="str">
        <f>IF(
  O231&lt;&gt;"DEVOLUCION",
  "",
  IF(
    T231="",
    "",
    SUMIF(DEVOLUCION!F:F, T231, DEVOLUCION!D:D)
  )
)
</f>
        <v/>
      </c>
      <c r="M231" s="118"/>
      <c r="N231" s="118" t="s">
        <v>4147</v>
      </c>
      <c r="O231" s="118" t="str">
        <f t="array" ref="O231">IFERROR(
VLOOKUP(
TRIM(CLEAN(
INDEX(REPORTE_DROPI!K:K,
MATCH(T231, REPORTE_DROPI!B:B, 0)
))),
{
TRIM(CLEAN(MAPA_ESTADOS!A:A)) ,
MAPA_ESTADOS!B:B
},
2,
FALSE
),
"REVISAR"
)
</f>
        <v>ENTREGADO</v>
      </c>
      <c r="P231" s="118"/>
      <c r="Q231" s="122">
        <f t="shared" si="1"/>
        <v>0</v>
      </c>
      <c r="R231" s="118"/>
      <c r="S231" s="118"/>
      <c r="T231" s="118">
        <f t="array" ref="T231">IFERROR(
INDEX(REPORTE_DROPI!B:B,
MATCH(
CLEAN(TRIM(C231)),
CLEAN(TRIM(REPORTE_DROPI!E:E)),
0
)
),
""
)
</f>
        <v>4098082</v>
      </c>
      <c r="U231" s="118">
        <v>6.405228232748E12</v>
      </c>
      <c r="V231" s="78"/>
      <c r="W231" s="78"/>
      <c r="X231" s="78"/>
      <c r="Y231" s="78"/>
      <c r="Z231" s="78"/>
    </row>
    <row r="232" ht="22.5" customHeight="1">
      <c r="A232" s="118">
        <v>231.0</v>
      </c>
      <c r="B232" s="119">
        <v>46032.0</v>
      </c>
      <c r="C232" s="118" t="s">
        <v>4148</v>
      </c>
      <c r="D232" s="118" t="str">
        <f>IFERROR(__xludf.DUMMYFUNCTION("IFERROR(
  INDEX(
    FILTER(
      'NOMBRE DE PRODUCTOS'!B:B,
      REGEXMATCH(
        UPPER(
          INDEX(
            REPORTE_DROPI!AC:AC,
            MATCH(T232, REPORTE_DROPI!B:B, 0)
          )
        ),
        UPPER('NOMBRE DE PRODUCTOS'!A:A)"&amp;"
      )
    ),
    1
  ),
  ""REVISAR""
)
"),"FilmPro®")</f>
        <v>FilmPro®</v>
      </c>
      <c r="E232" s="120" t="str">
        <f t="array" ref="E232">IF(
UPPER(TRIM(CLEAN($O232)))="ENTREGADO",
IFERROR(
INDEX(REPORTE_DROPI!Y:Y,
MATCH($T232, REPORTE_DROPI!B:B, 0)
),
""
),
""
)
</f>
        <v/>
      </c>
      <c r="F232" s="121">
        <v>1.0</v>
      </c>
      <c r="G232" s="122" t="str">
        <f t="array" ref="G232">IF(
UPPER(TRIM(CLEAN($O232)))="ENTREGADO",
IFERROR(
INDEX(REPORTE_DROPI!R:R,
MATCH($T232, REPORTE_DROPI!B:B, 0)
),
""
),
""
)
</f>
        <v/>
      </c>
      <c r="H232" s="118" t="s">
        <v>3727</v>
      </c>
      <c r="I232" s="118" t="s">
        <v>3759</v>
      </c>
      <c r="J232" s="121" t="str">
        <f t="array" ref="J232">IF(
UPPER(TRIM(CLEAN($O232)))="ENTREGADO",
IFERROR(
INDEX(REPORTE_DROPI!T:T,
MATCH($T232, REPORTE_DROPI!B:B, 0)
),
""
),
""
)
</f>
        <v/>
      </c>
      <c r="K232" s="118" t="str">
        <f t="array" ref="K232">IFERROR(
INDEX(REPORTE_DROPI!S:S,
MATCH($T232, REPORTE_DROPI!B:B, 0)
),
""
)
</f>
        <v/>
      </c>
      <c r="L232" s="118">
        <f>IF(
  O232&lt;&gt;"DEVOLUCION",
  "",
  IF(
    T232="",
    "",
    SUMIF(DEVOLUCION!F:F, T232, DEVOLUCION!D:D)
  )
)
</f>
        <v>7.67</v>
      </c>
      <c r="M232" s="118"/>
      <c r="N232" s="118" t="s">
        <v>4149</v>
      </c>
      <c r="O232" s="118" t="str">
        <f t="array" ref="O232">IFERROR(
VLOOKUP(
TRIM(CLEAN(
INDEX(REPORTE_DROPI!K:K,
MATCH(T232, REPORTE_DROPI!B:B, 0)
))),
{
TRIM(CLEAN(MAPA_ESTADOS!A:A)) ,
MAPA_ESTADOS!B:B
},
2,
FALSE
),
"REVISAR"
)
</f>
        <v>DEVOLUCION</v>
      </c>
      <c r="P232" s="118" t="s">
        <v>4150</v>
      </c>
      <c r="Q232" s="122">
        <f t="shared" si="1"/>
        <v>0</v>
      </c>
      <c r="R232" s="118"/>
      <c r="S232" s="118"/>
      <c r="T232" s="118">
        <f t="array" ref="T232">IFERROR(
INDEX(REPORTE_DROPI!B:B,
MATCH(
CLEAN(TRIM(C232)),
CLEAN(TRIM(REPORTE_DROPI!E:E)),
0
)
),
""
)
</f>
        <v>4137795</v>
      </c>
      <c r="U232" s="118">
        <v>6.405256675372E12</v>
      </c>
      <c r="V232" s="78"/>
      <c r="W232" s="78"/>
      <c r="X232" s="78"/>
      <c r="Y232" s="78"/>
      <c r="Z232" s="78"/>
    </row>
    <row r="233" ht="22.5" customHeight="1">
      <c r="A233" s="118">
        <v>232.0</v>
      </c>
      <c r="B233" s="119">
        <v>46032.0</v>
      </c>
      <c r="C233" s="118" t="s">
        <v>4151</v>
      </c>
      <c r="D233" s="118" t="str">
        <f>IFERROR(__xludf.DUMMYFUNCTION("IFERROR(
  INDEX(
    FILTER(
      'NOMBRE DE PRODUCTOS'!B:B,
      REGEXMATCH(
        UPPER(
          INDEX(
            REPORTE_DROPI!AC:AC,
            MATCH(T233, REPORTE_DROPI!B:B, 0)
          )
        ),
        UPPER('NOMBRE DE PRODUCTOS'!A:A)"&amp;"
      )
    ),
    1
  ),
  ""REVISAR""
)
"),"Cuchillo Tazaki™")</f>
        <v>Cuchillo Tazaki™</v>
      </c>
      <c r="E233" s="120" t="str">
        <f t="array" ref="E233">IF(
UPPER(TRIM(CLEAN($O233)))="ENTREGADO",
IFERROR(
INDEX(REPORTE_DROPI!Y:Y,
MATCH($T233, REPORTE_DROPI!B:B, 0)
),
""
),
""
)
</f>
        <v/>
      </c>
      <c r="F233" s="121">
        <v>3.0</v>
      </c>
      <c r="G233" s="122" t="str">
        <f t="array" ref="G233">IF(
UPPER(TRIM(CLEAN($O233)))="ENTREGADO",
IFERROR(
INDEX(REPORTE_DROPI!R:R,
MATCH($T233, REPORTE_DROPI!B:B, 0)
),
""
),
""
)
</f>
        <v/>
      </c>
      <c r="H233" s="118" t="s">
        <v>3727</v>
      </c>
      <c r="I233" s="118" t="s">
        <v>3731</v>
      </c>
      <c r="J233" s="121" t="str">
        <f t="array" ref="J233">IF(
UPPER(TRIM(CLEAN($O233)))="ENTREGADO",
IFERROR(
INDEX(REPORTE_DROPI!T:T,
MATCH($T233, REPORTE_DROPI!B:B, 0)
),
""
),
""
)
</f>
        <v/>
      </c>
      <c r="K233" s="118" t="str">
        <f t="array" ref="K233">IFERROR(
INDEX(REPORTE_DROPI!S:S,
MATCH($T233, REPORTE_DROPI!B:B, 0)
),
""
)
</f>
        <v/>
      </c>
      <c r="L233" s="118" t="str">
        <f>IF(
  O233&lt;&gt;"DEVOLUCION",
  "",
  IF(
    T233="",
    "",
    SUMIF(DEVOLUCION!F:F, T233, DEVOLUCION!D:D)
  )
)
</f>
        <v/>
      </c>
      <c r="M233" s="118"/>
      <c r="N233" s="118" t="s">
        <v>4152</v>
      </c>
      <c r="O233" s="118" t="str">
        <f t="array" ref="O233">IFERROR(
VLOOKUP(
TRIM(CLEAN(
INDEX(REPORTE_DROPI!K:K,
MATCH(T233, REPORTE_DROPI!B:B, 0)
))),
{
TRIM(CLEAN(MAPA_ESTADOS!A:A)) ,
MAPA_ESTADOS!B:B
},
2,
FALSE
),
"REVISAR"
)
</f>
        <v>CANCELADO</v>
      </c>
      <c r="P233" s="118" t="s">
        <v>4125</v>
      </c>
      <c r="Q233" s="122">
        <f t="shared" si="1"/>
        <v>0</v>
      </c>
      <c r="R233" s="118"/>
      <c r="S233" s="118"/>
      <c r="T233" s="118">
        <f t="array" ref="T233">IFERROR(
INDEX(REPORTE_DROPI!B:B,
MATCH(
CLEAN(TRIM(C233)),
CLEAN(TRIM(REPORTE_DROPI!E:E)),
0
)
),
""
)
</f>
        <v>4098367</v>
      </c>
      <c r="U233" s="118">
        <v>6.405291966508E12</v>
      </c>
      <c r="V233" s="78"/>
      <c r="W233" s="78"/>
      <c r="X233" s="78"/>
      <c r="Y233" s="78"/>
      <c r="Z233" s="78"/>
    </row>
    <row r="234" ht="22.5" customHeight="1">
      <c r="A234" s="118">
        <v>233.0</v>
      </c>
      <c r="B234" s="119">
        <v>46032.0</v>
      </c>
      <c r="C234" s="118" t="s">
        <v>4153</v>
      </c>
      <c r="D234" s="118" t="str">
        <f>IFERROR(__xludf.DUMMYFUNCTION("IFERROR(
  INDEX(
    FILTER(
      'NOMBRE DE PRODUCTOS'!B:B,
      REGEXMATCH(
        UPPER(
          INDEX(
            REPORTE_DROPI!AC:AC,
            MATCH(T234, REPORTE_DROPI!B:B, 0)
          )
        ),
        UPPER('NOMBRE DE PRODUCTOS'!A:A)"&amp;"
      )
    ),
    1
  ),
  ""REVISAR""
)
"),"Cuchillo Tazaki™")</f>
        <v>Cuchillo Tazaki™</v>
      </c>
      <c r="E234" s="120">
        <f t="array" ref="E234">IF(
UPPER(TRIM(CLEAN($O234)))="ENTREGADO",
IFERROR(
INDEX(REPORTE_DROPI!Y:Y,
MATCH($T234, REPORTE_DROPI!B:B, 0)
),
""
),
""
)
</f>
        <v>5.2</v>
      </c>
      <c r="F234" s="121">
        <v>2.0</v>
      </c>
      <c r="G234" s="122">
        <f t="array" ref="G234">IF(
UPPER(TRIM(CLEAN($O234)))="ENTREGADO",
IFERROR(
INDEX(REPORTE_DROPI!R:R,
MATCH($T234, REPORTE_DROPI!B:B, 0)
),
""
),
""
)
</f>
        <v>22</v>
      </c>
      <c r="H234" s="118" t="s">
        <v>3727</v>
      </c>
      <c r="I234" s="118" t="s">
        <v>3784</v>
      </c>
      <c r="J234" s="121">
        <f t="array" ref="J234">IF(
UPPER(TRIM(CLEAN($O234)))="ENTREGADO",
IFERROR(
INDEX(REPORTE_DROPI!T:T,
MATCH($T234, REPORTE_DROPI!B:B, 0)
),
""
),
""
)
</f>
        <v>6.41</v>
      </c>
      <c r="K234" s="118">
        <f t="array" ref="K234">IFERROR(
INDEX(REPORTE_DROPI!S:S,
MATCH($T234, REPORTE_DROPI!B:B, 0)
),
""
)
</f>
        <v>10.39</v>
      </c>
      <c r="L234" s="118" t="str">
        <f>IF(
  O234&lt;&gt;"DEVOLUCION",
  "",
  IF(
    T234="",
    "",
    SUMIF(DEVOLUCION!F:F, T234, DEVOLUCION!D:D)
  )
)
</f>
        <v/>
      </c>
      <c r="M234" s="118"/>
      <c r="N234" s="118" t="s">
        <v>4154</v>
      </c>
      <c r="O234" s="118" t="str">
        <f t="array" ref="O234">IFERROR(
VLOOKUP(
TRIM(CLEAN(
INDEX(REPORTE_DROPI!K:K,
MATCH(T234, REPORTE_DROPI!B:B, 0)
))),
{
TRIM(CLEAN(MAPA_ESTADOS!A:A)) ,
MAPA_ESTADOS!B:B
},
2,
FALSE
),
"REVISAR"
)
</f>
        <v>ENTREGADO</v>
      </c>
      <c r="P234" s="118"/>
      <c r="Q234" s="122">
        <f t="shared" si="1"/>
        <v>0</v>
      </c>
      <c r="R234" s="118"/>
      <c r="S234" s="118"/>
      <c r="T234" s="118">
        <f t="array" ref="T234">IFERROR(
INDEX(REPORTE_DROPI!B:B,
MATCH(
CLEAN(TRIM(C234)),
CLEAN(TRIM(REPORTE_DROPI!E:E)),
0
)
),
""
)
</f>
        <v>4098370</v>
      </c>
      <c r="U234" s="118">
        <v>6.405292163116E12</v>
      </c>
      <c r="V234" s="78"/>
      <c r="W234" s="78"/>
      <c r="X234" s="78"/>
      <c r="Y234" s="78"/>
      <c r="Z234" s="78"/>
    </row>
    <row r="235" ht="22.5" customHeight="1">
      <c r="A235" s="118">
        <v>234.0</v>
      </c>
      <c r="B235" s="119">
        <v>46032.0</v>
      </c>
      <c r="C235" s="118" t="s">
        <v>4155</v>
      </c>
      <c r="D235" s="118" t="str">
        <f>IFERROR(__xludf.DUMMYFUNCTION("IFERROR(
  INDEX(
    FILTER(
      'NOMBRE DE PRODUCTOS'!B:B,
      REGEXMATCH(
        UPPER(
          INDEX(
            REPORTE_DROPI!AC:AC,
            MATCH(T235, REPORTE_DROPI!B:B, 0)
          )
        ),
        UPPER('NOMBRE DE PRODUCTOS'!A:A)"&amp;"
      )
    ),
    1
  ),
  ""REVISAR""
)
"),"Cuchillo Tazaki™")</f>
        <v>Cuchillo Tazaki™</v>
      </c>
      <c r="E235" s="120">
        <f t="array" ref="E235">IF(
UPPER(TRIM(CLEAN($O235)))="ENTREGADO",
IFERROR(
INDEX(REPORTE_DROPI!Y:Y,
MATCH($T235, REPORTE_DROPI!B:B, 0)
),
""
),
""
)
</f>
        <v>5.2</v>
      </c>
      <c r="F235" s="121">
        <v>2.0</v>
      </c>
      <c r="G235" s="122">
        <f t="array" ref="G235">IF(
UPPER(TRIM(CLEAN($O235)))="ENTREGADO",
IFERROR(
INDEX(REPORTE_DROPI!R:R,
MATCH($T235, REPORTE_DROPI!B:B, 0)
),
""
),
""
)
</f>
        <v>22</v>
      </c>
      <c r="H235" s="118" t="s">
        <v>3727</v>
      </c>
      <c r="I235" s="118" t="s">
        <v>3728</v>
      </c>
      <c r="J235" s="121">
        <f t="array" ref="J235">IF(
UPPER(TRIM(CLEAN($O235)))="ENTREGADO",
IFERROR(
INDEX(REPORTE_DROPI!T:T,
MATCH($T235, REPORTE_DROPI!B:B, 0)
),
""
),
""
)
</f>
        <v>5.84</v>
      </c>
      <c r="K235" s="118">
        <f t="array" ref="K235">IFERROR(
INDEX(REPORTE_DROPI!S:S,
MATCH($T235, REPORTE_DROPI!B:B, 0)
),
""
)
</f>
        <v>10.96</v>
      </c>
      <c r="L235" s="118" t="str">
        <f>IF(
  O235&lt;&gt;"DEVOLUCION",
  "",
  IF(
    T235="",
    "",
    SUMIF(DEVOLUCION!F:F, T235, DEVOLUCION!D:D)
  )
)
</f>
        <v/>
      </c>
      <c r="M235" s="118"/>
      <c r="N235" s="118" t="s">
        <v>4156</v>
      </c>
      <c r="O235" s="118" t="str">
        <f t="array" ref="O235">IFERROR(
VLOOKUP(
TRIM(CLEAN(
INDEX(REPORTE_DROPI!K:K,
MATCH(T235, REPORTE_DROPI!B:B, 0)
))),
{
TRIM(CLEAN(MAPA_ESTADOS!A:A)) ,
MAPA_ESTADOS!B:B
},
2,
FALSE
),
"REVISAR"
)
</f>
        <v>ENTREGADO</v>
      </c>
      <c r="P235" s="118"/>
      <c r="Q235" s="122">
        <f t="shared" si="1"/>
        <v>0</v>
      </c>
      <c r="R235" s="118"/>
      <c r="S235" s="118"/>
      <c r="T235" s="118">
        <f t="array" ref="T235">IFERROR(
INDEX(REPORTE_DROPI!B:B,
MATCH(
CLEAN(TRIM(C235)),
CLEAN(TRIM(REPORTE_DROPI!E:E)),
0
)
),
""
)
</f>
        <v>4098374</v>
      </c>
      <c r="U235" s="118">
        <v>6.405293047852E12</v>
      </c>
      <c r="V235" s="78"/>
      <c r="W235" s="78"/>
      <c r="X235" s="78"/>
      <c r="Y235" s="78"/>
      <c r="Z235" s="78"/>
    </row>
    <row r="236" ht="22.5" customHeight="1">
      <c r="A236" s="118">
        <v>235.0</v>
      </c>
      <c r="B236" s="119">
        <v>46032.0</v>
      </c>
      <c r="C236" s="118" t="s">
        <v>4157</v>
      </c>
      <c r="D236" s="118" t="str">
        <f>IFERROR(__xludf.DUMMYFUNCTION("IFERROR(
  INDEX(
    FILTER(
      'NOMBRE DE PRODUCTOS'!B:B,
      REGEXMATCH(
        UPPER(
          INDEX(
            REPORTE_DROPI!AC:AC,
            MATCH(T236, REPORTE_DROPI!B:B, 0)
          )
        ),
        UPPER('NOMBRE DE PRODUCTOS'!A:A)"&amp;"
      )
    ),
    1
  ),
  ""REVISAR""
)
"),"Cuchillo Tazaki™")</f>
        <v>Cuchillo Tazaki™</v>
      </c>
      <c r="E236" s="120" t="str">
        <f t="array" ref="E236">IF(
UPPER(TRIM(CLEAN($O236)))="ENTREGADO",
IFERROR(
INDEX(REPORTE_DROPI!Y:Y,
MATCH($T236, REPORTE_DROPI!B:B, 0)
),
""
),
""
)
</f>
        <v/>
      </c>
      <c r="F236" s="121">
        <v>2.0</v>
      </c>
      <c r="G236" s="122" t="str">
        <f t="array" ref="G236">IF(
UPPER(TRIM(CLEAN($O236)))="ENTREGADO",
IFERROR(
INDEX(REPORTE_DROPI!R:R,
MATCH($T236, REPORTE_DROPI!B:B, 0)
),
""
),
""
)
</f>
        <v/>
      </c>
      <c r="H236" s="118" t="s">
        <v>3727</v>
      </c>
      <c r="I236" s="118" t="s">
        <v>3969</v>
      </c>
      <c r="J236" s="121" t="str">
        <f t="array" ref="J236">IF(
UPPER(TRIM(CLEAN($O236)))="ENTREGADO",
IFERROR(
INDEX(REPORTE_DROPI!T:T,
MATCH($T236, REPORTE_DROPI!B:B, 0)
),
""
),
""
)
</f>
        <v/>
      </c>
      <c r="K236" s="118" t="str">
        <f t="array" ref="K236">IFERROR(
INDEX(REPORTE_DROPI!S:S,
MATCH($T236, REPORTE_DROPI!B:B, 0)
),
""
)
</f>
        <v/>
      </c>
      <c r="L236" s="118">
        <f>IF(
  O236&lt;&gt;"DEVOLUCION",
  "",
  IF(
    T236="",
    "",
    SUMIF(DEVOLUCION!F:F, T236, DEVOLUCION!D:D)
  )
)
</f>
        <v>5.07</v>
      </c>
      <c r="M236" s="118"/>
      <c r="N236" s="118" t="s">
        <v>4158</v>
      </c>
      <c r="O236" s="118" t="str">
        <f t="array" ref="O236">IFERROR(
VLOOKUP(
TRIM(CLEAN(
INDEX(REPORTE_DROPI!K:K,
MATCH(T236, REPORTE_DROPI!B:B, 0)
))),
{
TRIM(CLEAN(MAPA_ESTADOS!A:A)) ,
MAPA_ESTADOS!B:B
},
2,
FALSE
),
"REVISAR"
)
</f>
        <v>DEVOLUCION</v>
      </c>
      <c r="P236" s="118"/>
      <c r="Q236" s="122">
        <f t="shared" si="1"/>
        <v>0</v>
      </c>
      <c r="R236" s="118"/>
      <c r="S236" s="118"/>
      <c r="T236" s="118">
        <f t="array" ref="T236">IFERROR(
INDEX(REPORTE_DROPI!B:B,
MATCH(
CLEAN(TRIM(C236)),
CLEAN(TRIM(REPORTE_DROPI!E:E)),
0
)
),
""
)
</f>
        <v>4098406</v>
      </c>
      <c r="U236" s="118">
        <v>6.405297930284E12</v>
      </c>
      <c r="V236" s="78"/>
      <c r="W236" s="78"/>
      <c r="X236" s="78"/>
      <c r="Y236" s="78"/>
      <c r="Z236" s="78"/>
    </row>
    <row r="237" ht="22.5" customHeight="1">
      <c r="A237" s="118">
        <v>236.0</v>
      </c>
      <c r="B237" s="119">
        <v>46032.0</v>
      </c>
      <c r="C237" s="118" t="s">
        <v>4159</v>
      </c>
      <c r="D237" s="118" t="str">
        <f>IFERROR(__xludf.DUMMYFUNCTION("IFERROR(
  INDEX(
    FILTER(
      'NOMBRE DE PRODUCTOS'!B:B,
      REGEXMATCH(
        UPPER(
          INDEX(
            REPORTE_DROPI!AC:AC,
            MATCH(T237, REPORTE_DROPI!B:B, 0)
          )
        ),
        UPPER('NOMBRE DE PRODUCTOS'!A:A)"&amp;"
      )
    ),
    1
  ),
  ""REVISAR""
)
"),"Cuchillo Tazaki™")</f>
        <v>Cuchillo Tazaki™</v>
      </c>
      <c r="E237" s="120" t="str">
        <f t="array" ref="E237">IF(
UPPER(TRIM(CLEAN($O237)))="ENTREGADO",
IFERROR(
INDEX(REPORTE_DROPI!Y:Y,
MATCH($T237, REPORTE_DROPI!B:B, 0)
),
""
),
""
)
</f>
        <v/>
      </c>
      <c r="F237" s="121">
        <v>2.0</v>
      </c>
      <c r="G237" s="122" t="str">
        <f t="array" ref="G237">IF(
UPPER(TRIM(CLEAN($O237)))="ENTREGADO",
IFERROR(
INDEX(REPORTE_DROPI!R:R,
MATCH($T237, REPORTE_DROPI!B:B, 0)
),
""
),
""
)
</f>
        <v/>
      </c>
      <c r="H237" s="118" t="s">
        <v>3727</v>
      </c>
      <c r="I237" s="118" t="s">
        <v>3772</v>
      </c>
      <c r="J237" s="121" t="str">
        <f t="array" ref="J237">IF(
UPPER(TRIM(CLEAN($O237)))="ENTREGADO",
IFERROR(
INDEX(REPORTE_DROPI!T:T,
MATCH($T237, REPORTE_DROPI!B:B, 0)
),
""
),
""
)
</f>
        <v/>
      </c>
      <c r="K237" s="118" t="str">
        <f t="array" ref="K237">IFERROR(
INDEX(REPORTE_DROPI!S:S,
MATCH($T237, REPORTE_DROPI!B:B, 0)
),
""
)
</f>
        <v/>
      </c>
      <c r="L237" s="118">
        <f>IF(
  O237&lt;&gt;"DEVOLUCION",
  "",
  IF(
    T237="",
    "",
    SUMIF(DEVOLUCION!F:F, T237, DEVOLUCION!D:D)
  )
)
</f>
        <v>5.07</v>
      </c>
      <c r="M237" s="118" t="s">
        <v>3870</v>
      </c>
      <c r="N237" s="118" t="s">
        <v>4160</v>
      </c>
      <c r="O237" s="118" t="str">
        <f t="array" ref="O237">IFERROR(
VLOOKUP(
TRIM(CLEAN(
INDEX(REPORTE_DROPI!K:K,
MATCH(T237, REPORTE_DROPI!B:B, 0)
))),
{
TRIM(CLEAN(MAPA_ESTADOS!A:A)) ,
MAPA_ESTADOS!B:B
},
2,
FALSE
),
"REVISAR"
)
</f>
        <v>DEVOLUCION</v>
      </c>
      <c r="P237" s="118" t="s">
        <v>4038</v>
      </c>
      <c r="Q237" s="122">
        <f t="shared" si="1"/>
        <v>0</v>
      </c>
      <c r="R237" s="118"/>
      <c r="S237" s="118"/>
      <c r="T237" s="118">
        <f t="array" ref="T237">IFERROR(
INDEX(REPORTE_DROPI!B:B,
MATCH(
CLEAN(TRIM(C237)),
CLEAN(TRIM(REPORTE_DROPI!E:E)),
0
)
),
""
)
</f>
        <v>4098482</v>
      </c>
      <c r="U237" s="118">
        <v>6.405316935724E12</v>
      </c>
      <c r="V237" s="78"/>
      <c r="W237" s="78"/>
      <c r="X237" s="78"/>
      <c r="Y237" s="78"/>
      <c r="Z237" s="78"/>
    </row>
    <row r="238" ht="22.5" customHeight="1">
      <c r="A238" s="118">
        <v>237.0</v>
      </c>
      <c r="B238" s="119">
        <v>46032.0</v>
      </c>
      <c r="C238" s="118" t="s">
        <v>4161</v>
      </c>
      <c r="D238" s="118" t="str">
        <f>IFERROR(__xludf.DUMMYFUNCTION("IFERROR(
  INDEX(
    FILTER(
      'NOMBRE DE PRODUCTOS'!B:B,
      REGEXMATCH(
        UPPER(
          INDEX(
            REPORTE_DROPI!AC:AC,
            MATCH(T238, REPORTE_DROPI!B:B, 0)
          )
        ),
        UPPER('NOMBRE DE PRODUCTOS'!A:A)"&amp;"
      )
    ),
    1
  ),
  ""REVISAR""
)
"),"FilmPro®")</f>
        <v>FilmPro®</v>
      </c>
      <c r="E238" s="120">
        <f t="array" ref="E238">IF(
UPPER(TRIM(CLEAN($O238)))="ENTREGADO",
IFERROR(
INDEX(REPORTE_DROPI!Y:Y,
MATCH($T238, REPORTE_DROPI!B:B, 0)
),
""
),
""
)
</f>
        <v>8.37</v>
      </c>
      <c r="F238" s="121">
        <v>3.0</v>
      </c>
      <c r="G238" s="122">
        <f t="array" ref="G238">IF(
UPPER(TRIM(CLEAN($O238)))="ENTREGADO",
IFERROR(
INDEX(REPORTE_DROPI!R:R,
MATCH($T238, REPORTE_DROPI!B:B, 0)
),
""
),
""
)
</f>
        <v>30</v>
      </c>
      <c r="H238" s="118" t="s">
        <v>3727</v>
      </c>
      <c r="I238" s="118" t="s">
        <v>3912</v>
      </c>
      <c r="J238" s="121">
        <f t="array" ref="J238">IF(
UPPER(TRIM(CLEAN($O238)))="ENTREGADO",
IFERROR(
INDEX(REPORTE_DROPI!T:T,
MATCH($T238, REPORTE_DROPI!B:B, 0)
),
""
),
""
)
</f>
        <v>6.73</v>
      </c>
      <c r="K238" s="118">
        <f t="array" ref="K238">IFERROR(
INDEX(REPORTE_DROPI!S:S,
MATCH($T238, REPORTE_DROPI!B:B, 0)
),
""
)
</f>
        <v>14.9</v>
      </c>
      <c r="L238" s="118" t="str">
        <f>IF(
  O238&lt;&gt;"DEVOLUCION",
  "",
  IF(
    T238="",
    "",
    SUMIF(DEVOLUCION!F:F, T238, DEVOLUCION!D:D)
  )
)
</f>
        <v/>
      </c>
      <c r="M238" s="118" t="s">
        <v>3870</v>
      </c>
      <c r="N238" s="118" t="s">
        <v>4162</v>
      </c>
      <c r="O238" s="118" t="str">
        <f t="array" ref="O238">IFERROR(
VLOOKUP(
TRIM(CLEAN(
INDEX(REPORTE_DROPI!K:K,
MATCH(T238, REPORTE_DROPI!B:B, 0)
))),
{
TRIM(CLEAN(MAPA_ESTADOS!A:A)) ,
MAPA_ESTADOS!B:B
},
2,
FALSE
),
"REVISAR"
)
</f>
        <v>ENTREGADO</v>
      </c>
      <c r="P238" s="118"/>
      <c r="Q238" s="122">
        <f t="shared" si="1"/>
        <v>0</v>
      </c>
      <c r="R238" s="118"/>
      <c r="S238" s="118"/>
      <c r="T238" s="118">
        <f t="array" ref="T238">IFERROR(
INDEX(REPORTE_DROPI!B:B,
MATCH(
CLEAN(TRIM(C238)),
CLEAN(TRIM(REPORTE_DROPI!E:E)),
0
)
),
""
)
</f>
        <v>4098489</v>
      </c>
      <c r="U238" s="118">
        <v>6.405318869036E12</v>
      </c>
      <c r="V238" s="78"/>
      <c r="W238" s="78"/>
      <c r="X238" s="78"/>
      <c r="Y238" s="78"/>
      <c r="Z238" s="78"/>
    </row>
    <row r="239" ht="22.5" customHeight="1">
      <c r="A239" s="118">
        <v>238.0</v>
      </c>
      <c r="B239" s="119">
        <v>46032.0</v>
      </c>
      <c r="C239" s="118" t="s">
        <v>4163</v>
      </c>
      <c r="D239" s="118" t="str">
        <f>IFERROR(__xludf.DUMMYFUNCTION("IFERROR(
  INDEX(
    FILTER(
      'NOMBRE DE PRODUCTOS'!B:B,
      REGEXMATCH(
        UPPER(
          INDEX(
            REPORTE_DROPI!AC:AC,
            MATCH(T239, REPORTE_DROPI!B:B, 0)
          )
        ),
        UPPER('NOMBRE DE PRODUCTOS'!A:A)"&amp;"
      )
    ),
    1
  ),
  ""REVISAR""
)
"),"Cuchillo Tazaki™")</f>
        <v>Cuchillo Tazaki™</v>
      </c>
      <c r="E239" s="120" t="str">
        <f t="array" ref="E239">IF(
UPPER(TRIM(CLEAN($O239)))="ENTREGADO",
IFERROR(
INDEX(REPORTE_DROPI!Y:Y,
MATCH($T239, REPORTE_DROPI!B:B, 0)
),
""
),
""
)
</f>
        <v/>
      </c>
      <c r="F239" s="121">
        <v>2.0</v>
      </c>
      <c r="G239" s="122" t="str">
        <f t="array" ref="G239">IF(
UPPER(TRIM(CLEAN($O239)))="ENTREGADO",
IFERROR(
INDEX(REPORTE_DROPI!R:R,
MATCH($T239, REPORTE_DROPI!B:B, 0)
),
""
),
""
)
</f>
        <v/>
      </c>
      <c r="H239" s="118" t="s">
        <v>3727</v>
      </c>
      <c r="I239" s="118" t="s">
        <v>3759</v>
      </c>
      <c r="J239" s="121" t="str">
        <f t="array" ref="J239">IF(
UPPER(TRIM(CLEAN($O239)))="ENTREGADO",
IFERROR(
INDEX(REPORTE_DROPI!T:T,
MATCH($T239, REPORTE_DROPI!B:B, 0)
),
""
),
""
)
</f>
        <v/>
      </c>
      <c r="K239" s="118" t="str">
        <f t="array" ref="K239">IFERROR(
INDEX(REPORTE_DROPI!S:S,
MATCH($T239, REPORTE_DROPI!B:B, 0)
),
""
)
</f>
        <v/>
      </c>
      <c r="L239" s="118">
        <f>IF(
  O239&lt;&gt;"DEVOLUCION",
  "",
  IF(
    T239="",
    "",
    SUMIF(DEVOLUCION!F:F, T239, DEVOLUCION!D:D)
  )
)
</f>
        <v>5.07</v>
      </c>
      <c r="M239" s="118"/>
      <c r="N239" s="118" t="s">
        <v>4164</v>
      </c>
      <c r="O239" s="118" t="str">
        <f t="array" ref="O239">IFERROR(
VLOOKUP(
TRIM(CLEAN(
INDEX(REPORTE_DROPI!K:K,
MATCH(T239, REPORTE_DROPI!B:B, 0)
))),
{
TRIM(CLEAN(MAPA_ESTADOS!A:A)) ,
MAPA_ESTADOS!B:B
},
2,
FALSE
),
"REVISAR"
)
</f>
        <v>DEVOLUCION</v>
      </c>
      <c r="P239" s="118"/>
      <c r="Q239" s="122">
        <f t="shared" si="1"/>
        <v>0</v>
      </c>
      <c r="R239" s="118"/>
      <c r="S239" s="118"/>
      <c r="T239" s="118">
        <f t="array" ref="T239">IFERROR(
INDEX(REPORTE_DROPI!B:B,
MATCH(
CLEAN(TRIM(C239)),
CLEAN(TRIM(REPORTE_DROPI!E:E)),
0
)
),
""
)
</f>
        <v>4098530</v>
      </c>
      <c r="U239" s="118">
        <v>6.405327585324E12</v>
      </c>
      <c r="V239" s="78"/>
      <c r="W239" s="78"/>
      <c r="X239" s="78"/>
      <c r="Y239" s="78"/>
      <c r="Z239" s="78"/>
    </row>
    <row r="240" ht="22.5" customHeight="1">
      <c r="A240" s="118">
        <v>239.0</v>
      </c>
      <c r="B240" s="119">
        <v>46032.0</v>
      </c>
      <c r="C240" s="118" t="s">
        <v>4165</v>
      </c>
      <c r="D240" s="118" t="str">
        <f>IFERROR(__xludf.DUMMYFUNCTION("IFERROR(
  INDEX(
    FILTER(
      'NOMBRE DE PRODUCTOS'!B:B,
      REGEXMATCH(
        UPPER(
          INDEX(
            REPORTE_DROPI!AC:AC,
            MATCH(T240, REPORTE_DROPI!B:B, 0)
          )
        ),
        UPPER('NOMBRE DE PRODUCTOS'!A:A)"&amp;"
      )
    ),
    1
  ),
  ""REVISAR""
)
"),"FilmPro®")</f>
        <v>FilmPro®</v>
      </c>
      <c r="E240" s="120">
        <f t="array" ref="E240">IF(
UPPER(TRIM(CLEAN($O240)))="ENTREGADO",
IFERROR(
INDEX(REPORTE_DROPI!Y:Y,
MATCH($T240, REPORTE_DROPI!B:B, 0)
),
""
),
""
)
</f>
        <v>7.05</v>
      </c>
      <c r="F240" s="121">
        <v>3.0</v>
      </c>
      <c r="G240" s="122">
        <f t="array" ref="G240">IF(
UPPER(TRIM(CLEAN($O240)))="ENTREGADO",
IFERROR(
INDEX(REPORTE_DROPI!R:R,
MATCH($T240, REPORTE_DROPI!B:B, 0)
),
""
),
""
)
</f>
        <v>30</v>
      </c>
      <c r="H240" s="118" t="s">
        <v>3727</v>
      </c>
      <c r="I240" s="118" t="s">
        <v>3864</v>
      </c>
      <c r="J240" s="121">
        <f t="array" ref="J240">IF(
UPPER(TRIM(CLEAN($O240)))="ENTREGADO",
IFERROR(
INDEX(REPORTE_DROPI!T:T,
MATCH($T240, REPORTE_DROPI!B:B, 0)
),
""
),
""
)
</f>
        <v>6.16</v>
      </c>
      <c r="K240" s="118">
        <f t="array" ref="K240">IFERROR(
INDEX(REPORTE_DROPI!S:S,
MATCH($T240, REPORTE_DROPI!B:B, 0)
),
""
)
</f>
        <v>16.79</v>
      </c>
      <c r="L240" s="118" t="str">
        <f>IF(
  O240&lt;&gt;"DEVOLUCION",
  "",
  IF(
    T240="",
    "",
    SUMIF(DEVOLUCION!F:F, T240, DEVOLUCION!D:D)
  )
)
</f>
        <v/>
      </c>
      <c r="M240" s="118"/>
      <c r="N240" s="118" t="s">
        <v>4166</v>
      </c>
      <c r="O240" s="118" t="str">
        <f t="array" ref="O240">IFERROR(
VLOOKUP(
TRIM(CLEAN(
INDEX(REPORTE_DROPI!K:K,
MATCH(T240, REPORTE_DROPI!B:B, 0)
))),
{
TRIM(CLEAN(MAPA_ESTADOS!A:A)) ,
MAPA_ESTADOS!B:B
},
2,
FALSE
),
"REVISAR"
)
</f>
        <v>ENTREGADO</v>
      </c>
      <c r="P240" s="118"/>
      <c r="Q240" s="129">
        <f t="shared" si="1"/>
        <v>0</v>
      </c>
      <c r="R240" s="118"/>
      <c r="S240" s="118"/>
      <c r="T240" s="118">
        <f t="array" ref="T240">IFERROR(
INDEX(REPORTE_DROPI!B:B,
MATCH(
CLEAN(TRIM(C240)),
CLEAN(TRIM(REPORTE_DROPI!E:E)),
0
)
),
""
)
</f>
        <v>4143923</v>
      </c>
      <c r="U240" s="118">
        <v>6.405357207596E12</v>
      </c>
      <c r="V240" s="78"/>
      <c r="W240" s="78"/>
      <c r="X240" s="78"/>
      <c r="Y240" s="78"/>
      <c r="Z240" s="78"/>
    </row>
    <row r="241" ht="22.5" customHeight="1">
      <c r="A241" s="118">
        <v>240.0</v>
      </c>
      <c r="B241" s="119">
        <v>46032.0</v>
      </c>
      <c r="C241" s="118" t="s">
        <v>4167</v>
      </c>
      <c r="D241" s="118" t="str">
        <f>IFERROR(__xludf.DUMMYFUNCTION("IFERROR(
  INDEX(
    FILTER(
      'NOMBRE DE PRODUCTOS'!B:B,
      REGEXMATCH(
        UPPER(
          INDEX(
            REPORTE_DROPI!AC:AC,
            MATCH(T241, REPORTE_DROPI!B:B, 0)
          )
        ),
        UPPER('NOMBRE DE PRODUCTOS'!A:A)"&amp;"
      )
    ),
    1
  ),
  ""REVISAR""
)
"),"FilmPro®")</f>
        <v>FilmPro®</v>
      </c>
      <c r="E241" s="120">
        <f t="array" ref="E241">IF(
UPPER(TRIM(CLEAN($O241)))="ENTREGADO",
IFERROR(
INDEX(REPORTE_DROPI!Y:Y,
MATCH($T241, REPORTE_DROPI!B:B, 0)
),
""
),
""
)
</f>
        <v>5.58</v>
      </c>
      <c r="F241" s="121">
        <v>2.0</v>
      </c>
      <c r="G241" s="122">
        <f t="array" ref="G241">IF(
UPPER(TRIM(CLEAN($O241)))="ENTREGADO",
IFERROR(
INDEX(REPORTE_DROPI!R:R,
MATCH($T241, REPORTE_DROPI!B:B, 0)
),
""
),
""
)
</f>
        <v>25</v>
      </c>
      <c r="H241" s="118" t="s">
        <v>3727</v>
      </c>
      <c r="I241" s="118" t="s">
        <v>3740</v>
      </c>
      <c r="J241" s="121">
        <f t="array" ref="J241">IF(
UPPER(TRIM(CLEAN($O241)))="ENTREGADO",
IFERROR(
INDEX(REPORTE_DROPI!T:T,
MATCH($T241, REPORTE_DROPI!B:B, 0)
),
""
),
""
)
</f>
        <v>4.35</v>
      </c>
      <c r="K241" s="118">
        <f t="array" ref="K241">IFERROR(
INDEX(REPORTE_DROPI!S:S,
MATCH($T241, REPORTE_DROPI!B:B, 0)
),
""
)
</f>
        <v>15.07</v>
      </c>
      <c r="L241" s="118" t="str">
        <f>IF(
  O241&lt;&gt;"DEVOLUCION",
  "",
  IF(
    T241="",
    "",
    SUMIF(DEVOLUCION!F:F, T241, DEVOLUCION!D:D)
  )
)
</f>
        <v/>
      </c>
      <c r="M241" s="118"/>
      <c r="N241" s="118" t="s">
        <v>4168</v>
      </c>
      <c r="O241" s="118" t="str">
        <f t="array" ref="O241">IFERROR(
VLOOKUP(
TRIM(CLEAN(
INDEX(REPORTE_DROPI!K:K,
MATCH(T241, REPORTE_DROPI!B:B, 0)
))),
{
TRIM(CLEAN(MAPA_ESTADOS!A:A)) ,
MAPA_ESTADOS!B:B
},
2,
FALSE
),
"REVISAR"
)
</f>
        <v>ENTREGADO</v>
      </c>
      <c r="P241" s="118"/>
      <c r="Q241" s="122">
        <f t="shared" si="1"/>
        <v>0</v>
      </c>
      <c r="R241" s="118"/>
      <c r="S241" s="118"/>
      <c r="T241" s="118">
        <f t="array" ref="T241">IFERROR(
INDEX(REPORTE_DROPI!B:B,
MATCH(
CLEAN(TRIM(C241)),
CLEAN(TRIM(REPORTE_DROPI!E:E)),
0
)
),
""
)
</f>
        <v>4098768</v>
      </c>
      <c r="U241" s="118">
        <v>6.405375459372E12</v>
      </c>
      <c r="V241" s="78"/>
      <c r="W241" s="78"/>
      <c r="X241" s="78"/>
      <c r="Y241" s="78"/>
      <c r="Z241" s="78"/>
    </row>
    <row r="242" ht="22.5" customHeight="1">
      <c r="A242" s="118">
        <v>241.0</v>
      </c>
      <c r="B242" s="119">
        <v>46032.0</v>
      </c>
      <c r="C242" s="126" t="s">
        <v>4169</v>
      </c>
      <c r="D242" s="118" t="str">
        <f>IFERROR(__xludf.DUMMYFUNCTION("IFERROR(
  INDEX(
    FILTER(
      'NOMBRE DE PRODUCTOS'!B:B,
      REGEXMATCH(
        UPPER(
          INDEX(
            REPORTE_DROPI!AC:AC,
            MATCH(T242, REPORTE_DROPI!B:B, 0)
          )
        ),
        UPPER('NOMBRE DE PRODUCTOS'!A:A)"&amp;"
      )
    ),
    1
  ),
  ""REVISAR""
)
"),"FilmPro®")</f>
        <v>FilmPro®</v>
      </c>
      <c r="E242" s="120">
        <f t="array" ref="E242">IF(
UPPER(TRIM(CLEAN($O242)))="ENTREGADO",
IFERROR(
INDEX(REPORTE_DROPI!Y:Y,
MATCH($T242, REPORTE_DROPI!B:B, 0)
),
""
),
""
)
</f>
        <v>8.37</v>
      </c>
      <c r="F242" s="121">
        <v>3.0</v>
      </c>
      <c r="G242" s="122">
        <f t="array" ref="G242">IF(
UPPER(TRIM(CLEAN($O242)))="ENTREGADO",
IFERROR(
INDEX(REPORTE_DROPI!R:R,
MATCH($T242, REPORTE_DROPI!B:B, 0)
),
""
),
""
)
</f>
        <v>30</v>
      </c>
      <c r="H242" s="118" t="s">
        <v>3727</v>
      </c>
      <c r="I242" s="118" t="s">
        <v>3742</v>
      </c>
      <c r="J242" s="121">
        <f t="array" ref="J242">IF(
UPPER(TRIM(CLEAN($O242)))="ENTREGADO",
IFERROR(
INDEX(REPORTE_DROPI!T:T,
MATCH($T242, REPORTE_DROPI!B:B, 0)
),
""
),
""
)
</f>
        <v>7.82</v>
      </c>
      <c r="K242" s="118">
        <f t="array" ref="K242">IFERROR(
INDEX(REPORTE_DROPI!S:S,
MATCH($T242, REPORTE_DROPI!B:B, 0)
),
""
)
</f>
        <v>13.81</v>
      </c>
      <c r="L242" s="118" t="str">
        <f>IF(
  O242&lt;&gt;"DEVOLUCION",
  "",
  IF(
    T242="",
    "",
    SUMIF(DEVOLUCION!F:F, T242, DEVOLUCION!D:D)
  )
)
</f>
        <v/>
      </c>
      <c r="M242" s="118"/>
      <c r="N242" s="118" t="s">
        <v>4170</v>
      </c>
      <c r="O242" s="118" t="str">
        <f t="array" ref="O242">IFERROR(
VLOOKUP(
TRIM(CLEAN(
INDEX(REPORTE_DROPI!K:K,
MATCH(T242, REPORTE_DROPI!B:B, 0)
))),
{
TRIM(CLEAN(MAPA_ESTADOS!A:A)) ,
MAPA_ESTADOS!B:B
},
2,
FALSE
),
"REVISAR"
)
</f>
        <v>ENTREGADO</v>
      </c>
      <c r="P242" s="118"/>
      <c r="Q242" s="122">
        <f t="shared" si="1"/>
        <v>0</v>
      </c>
      <c r="R242" s="118"/>
      <c r="S242" s="118"/>
      <c r="T242" s="118">
        <f t="array" ref="T242">IFERROR(
INDEX(REPORTE_DROPI!B:B,
MATCH(
CLEAN(TRIM(C242)),
CLEAN(TRIM(REPORTE_DROPI!E:E)),
0
)
),
""
)
</f>
        <v>4098781</v>
      </c>
      <c r="U242" s="118">
        <v>6.405378572332E12</v>
      </c>
      <c r="V242" s="78"/>
      <c r="W242" s="78"/>
      <c r="X242" s="78"/>
      <c r="Y242" s="78"/>
      <c r="Z242" s="78"/>
    </row>
    <row r="243" ht="22.5" customHeight="1">
      <c r="A243" s="118">
        <v>242.0</v>
      </c>
      <c r="B243" s="119">
        <v>46032.0</v>
      </c>
      <c r="C243" s="118" t="s">
        <v>4171</v>
      </c>
      <c r="D243" s="118" t="str">
        <f>IFERROR(__xludf.DUMMYFUNCTION("IFERROR(
  INDEX(
    FILTER(
      'NOMBRE DE PRODUCTOS'!B:B,
      REGEXMATCH(
        UPPER(
          INDEX(
            REPORTE_DROPI!AC:AC,
            MATCH(T243, REPORTE_DROPI!B:B, 0)
          )
        ),
        UPPER('NOMBRE DE PRODUCTOS'!A:A)"&amp;"
      )
    ),
    1
  ),
  ""REVISAR""
)
"),"Cuchillo Tazaki™")</f>
        <v>Cuchillo Tazaki™</v>
      </c>
      <c r="E243" s="120">
        <f t="array" ref="E243">IF(
UPPER(TRIM(CLEAN($O243)))="ENTREGADO",
IFERROR(
INDEX(REPORTE_DROPI!Y:Y,
MATCH($T243, REPORTE_DROPI!B:B, 0)
),
""
),
""
)
</f>
        <v>5.2</v>
      </c>
      <c r="F243" s="121">
        <v>2.0</v>
      </c>
      <c r="G243" s="122">
        <f t="array" ref="G243">IF(
UPPER(TRIM(CLEAN($O243)))="ENTREGADO",
IFERROR(
INDEX(REPORTE_DROPI!R:R,
MATCH($T243, REPORTE_DROPI!B:B, 0)
),
""
),
""
)
</f>
        <v>22</v>
      </c>
      <c r="H243" s="118" t="s">
        <v>3727</v>
      </c>
      <c r="I243" s="118" t="s">
        <v>3855</v>
      </c>
      <c r="J243" s="121">
        <f t="array" ref="J243">IF(
UPPER(TRIM(CLEAN($O243)))="ENTREGADO",
IFERROR(
INDEX(REPORTE_DROPI!T:T,
MATCH($T243, REPORTE_DROPI!B:B, 0)
),
""
),
""
)
</f>
        <v>5.84</v>
      </c>
      <c r="K243" s="118">
        <f t="array" ref="K243">IFERROR(
INDEX(REPORTE_DROPI!S:S,
MATCH($T243, REPORTE_DROPI!B:B, 0)
),
""
)
</f>
        <v>10.96</v>
      </c>
      <c r="L243" s="118" t="str">
        <f>IF(
  O243&lt;&gt;"DEVOLUCION",
  "",
  IF(
    T243="",
    "",
    SUMIF(DEVOLUCION!F:F, T243, DEVOLUCION!D:D)
  )
)
</f>
        <v/>
      </c>
      <c r="M243" s="118"/>
      <c r="N243" s="118" t="s">
        <v>4172</v>
      </c>
      <c r="O243" s="118" t="str">
        <f t="array" ref="O243">IFERROR(
VLOOKUP(
TRIM(CLEAN(
INDEX(REPORTE_DROPI!K:K,
MATCH(T243, REPORTE_DROPI!B:B, 0)
))),
{
TRIM(CLEAN(MAPA_ESTADOS!A:A)) ,
MAPA_ESTADOS!B:B
},
2,
FALSE
),
"REVISAR"
)
</f>
        <v>ENTREGADO</v>
      </c>
      <c r="P243" s="118"/>
      <c r="Q243" s="122">
        <f t="shared" si="1"/>
        <v>0</v>
      </c>
      <c r="R243" s="118"/>
      <c r="S243" s="118"/>
      <c r="T243" s="118">
        <f t="array" ref="T243">IFERROR(
INDEX(REPORTE_DROPI!B:B,
MATCH(
CLEAN(TRIM(C243)),
CLEAN(TRIM(REPORTE_DROPI!E:E)),
0
)
),
""
)
</f>
        <v>4098868</v>
      </c>
      <c r="U243" s="118">
        <v>6.405398233132E12</v>
      </c>
      <c r="V243" s="78"/>
      <c r="W243" s="78"/>
      <c r="X243" s="78"/>
      <c r="Y243" s="78"/>
      <c r="Z243" s="78"/>
    </row>
    <row r="244" ht="22.5" customHeight="1">
      <c r="A244" s="118">
        <v>243.0</v>
      </c>
      <c r="B244" s="119">
        <v>46032.0</v>
      </c>
      <c r="C244" s="118" t="s">
        <v>4173</v>
      </c>
      <c r="D244" s="118" t="str">
        <f>IFERROR(__xludf.DUMMYFUNCTION("IFERROR(
  INDEX(
    FILTER(
      'NOMBRE DE PRODUCTOS'!B:B,
      REGEXMATCH(
        UPPER(
          INDEX(
            REPORTE_DROPI!AC:AC,
            MATCH(T244, REPORTE_DROPI!B:B, 0)
          )
        ),
        UPPER('NOMBRE DE PRODUCTOS'!A:A)"&amp;"
      )
    ),
    1
  ),
  ""REVISAR""
)
"),"FilmPro®")</f>
        <v>FilmPro®</v>
      </c>
      <c r="E244" s="120" t="str">
        <f t="array" ref="E244">IF(
UPPER(TRIM(CLEAN($O244)))="ENTREGADO",
IFERROR(
INDEX(REPORTE_DROPI!Y:Y,
MATCH($T244, REPORTE_DROPI!B:B, 0)
),
""
),
""
)
</f>
        <v/>
      </c>
      <c r="F244" s="121">
        <v>1.0</v>
      </c>
      <c r="G244" s="122" t="str">
        <f t="array" ref="G244">IF(
UPPER(TRIM(CLEAN($O244)))="ENTREGADO",
IFERROR(
INDEX(REPORTE_DROPI!R:R,
MATCH($T244, REPORTE_DROPI!B:B, 0)
),
""
),
""
)
</f>
        <v/>
      </c>
      <c r="H244" s="118" t="s">
        <v>3727</v>
      </c>
      <c r="I244" s="118" t="s">
        <v>3809</v>
      </c>
      <c r="J244" s="121" t="str">
        <f t="array" ref="J244">IF(
UPPER(TRIM(CLEAN($O244)))="ENTREGADO",
IFERROR(
INDEX(REPORTE_DROPI!T:T,
MATCH($T244, REPORTE_DROPI!B:B, 0)
),
""
),
""
)
</f>
        <v/>
      </c>
      <c r="K244" s="118" t="str">
        <f t="array" ref="K244">IFERROR(
INDEX(REPORTE_DROPI!S:S,
MATCH($T244, REPORTE_DROPI!B:B, 0)
),
""
)
</f>
        <v/>
      </c>
      <c r="L244" s="118" t="str">
        <f>IF(
  O244&lt;&gt;"DEVOLUCION",
  "",
  IF(
    T244="",
    "",
    SUMIF(DEVOLUCION!F:F, T244, DEVOLUCION!D:D)
  )
)
</f>
        <v/>
      </c>
      <c r="M244" s="118" t="s">
        <v>3870</v>
      </c>
      <c r="N244" s="118" t="s">
        <v>4174</v>
      </c>
      <c r="O244" s="118" t="str">
        <f t="array" ref="O244">IFERROR(
VLOOKUP(
TRIM(CLEAN(
INDEX(REPORTE_DROPI!K:K,
MATCH(T244, REPORTE_DROPI!B:B, 0)
))),
{
TRIM(CLEAN(MAPA_ESTADOS!A:A)) ,
MAPA_ESTADOS!B:B
},
2,
FALSE
),
"REVISAR"
)
</f>
        <v>CANCELADO</v>
      </c>
      <c r="P244" s="118" t="s">
        <v>4175</v>
      </c>
      <c r="Q244" s="122">
        <f t="shared" si="1"/>
        <v>0</v>
      </c>
      <c r="R244" s="118"/>
      <c r="S244" s="118"/>
      <c r="T244" s="118">
        <f t="array" ref="T244">IFERROR(
INDEX(REPORTE_DROPI!B:B,
MATCH(
CLEAN(TRIM(C244)),
CLEAN(TRIM(REPORTE_DROPI!E:E)),
0
)
),
""
)
</f>
        <v>4098869</v>
      </c>
      <c r="U244" s="118">
        <v>6.405398495276E12</v>
      </c>
      <c r="V244" s="78"/>
      <c r="W244" s="78"/>
      <c r="X244" s="78"/>
      <c r="Y244" s="78"/>
      <c r="Z244" s="78"/>
    </row>
    <row r="245" ht="22.5" customHeight="1">
      <c r="A245" s="118">
        <v>244.0</v>
      </c>
      <c r="B245" s="119">
        <v>46032.0</v>
      </c>
      <c r="C245" s="126" t="s">
        <v>4176</v>
      </c>
      <c r="D245" s="118" t="str">
        <f>IFERROR(__xludf.DUMMYFUNCTION("IFERROR(
  INDEX(
    FILTER(
      'NOMBRE DE PRODUCTOS'!B:B,
      REGEXMATCH(
        UPPER(
          INDEX(
            REPORTE_DROPI!AC:AC,
            MATCH(T245, REPORTE_DROPI!B:B, 0)
          )
        ),
        UPPER('NOMBRE DE PRODUCTOS'!A:A)"&amp;"
      )
    ),
    1
  ),
  ""REVISAR""
)
"),"FilmPro®")</f>
        <v>FilmPro®</v>
      </c>
      <c r="E245" s="120" t="str">
        <f t="array" ref="E245">IF(
UPPER(TRIM(CLEAN($O245)))="ENTREGADO",
IFERROR(
INDEX(REPORTE_DROPI!Y:Y,
MATCH($T245, REPORTE_DROPI!B:B, 0)
),
""
),
""
)
</f>
        <v/>
      </c>
      <c r="F245" s="121">
        <v>1.0</v>
      </c>
      <c r="G245" s="122" t="str">
        <f t="array" ref="G245">IF(
UPPER(TRIM(CLEAN($O245)))="ENTREGADO",
IFERROR(
INDEX(REPORTE_DROPI!R:R,
MATCH($T245, REPORTE_DROPI!B:B, 0)
),
""
),
""
)
</f>
        <v/>
      </c>
      <c r="H245" s="118" t="s">
        <v>3727</v>
      </c>
      <c r="I245" s="118" t="s">
        <v>3731</v>
      </c>
      <c r="J245" s="121" t="str">
        <f t="array" ref="J245">IF(
UPPER(TRIM(CLEAN($O245)))="ENTREGADO",
IFERROR(
INDEX(REPORTE_DROPI!T:T,
MATCH($T245, REPORTE_DROPI!B:B, 0)
),
""
),
""
)
</f>
        <v/>
      </c>
      <c r="K245" s="118" t="str">
        <f t="array" ref="K245">IFERROR(
INDEX(REPORTE_DROPI!S:S,
MATCH($T245, REPORTE_DROPI!B:B, 0)
),
""
)
</f>
        <v/>
      </c>
      <c r="L245" s="118">
        <f>IF(
  O245&lt;&gt;"DEVOLUCION",
  "",
  IF(
    T245="",
    "",
    SUMIF(DEVOLUCION!F:F, T245, DEVOLUCION!D:D)
  )
)
</f>
        <v>3.45</v>
      </c>
      <c r="M245" s="118" t="s">
        <v>3870</v>
      </c>
      <c r="N245" s="118" t="s">
        <v>4177</v>
      </c>
      <c r="O245" s="118" t="str">
        <f t="array" ref="O245">IFERROR(
VLOOKUP(
TRIM(CLEAN(
INDEX(REPORTE_DROPI!K:K,
MATCH(T245, REPORTE_DROPI!B:B, 0)
))),
{
TRIM(CLEAN(MAPA_ESTADOS!A:A)) ,
MAPA_ESTADOS!B:B
},
2,
FALSE
),
"REVISAR"
)
</f>
        <v>DEVOLUCION</v>
      </c>
      <c r="P245" s="118" t="s">
        <v>3655</v>
      </c>
      <c r="Q245" s="122">
        <f t="shared" si="1"/>
        <v>0</v>
      </c>
      <c r="R245" s="118"/>
      <c r="S245" s="118"/>
      <c r="T245" s="118">
        <f t="array" ref="T245">IFERROR(
INDEX(REPORTE_DROPI!B:B,
MATCH(
CLEAN(TRIM(C245)),
CLEAN(TRIM(REPORTE_DROPI!E:E)),
0
)
),
""
)
</f>
        <v>4122118</v>
      </c>
      <c r="U245" s="118">
        <v>6.405422907436E12</v>
      </c>
      <c r="V245" s="78"/>
      <c r="W245" s="78"/>
      <c r="X245" s="78"/>
      <c r="Y245" s="78"/>
      <c r="Z245" s="78"/>
    </row>
    <row r="246" ht="22.5" customHeight="1">
      <c r="A246" s="118">
        <v>245.0</v>
      </c>
      <c r="B246" s="119">
        <v>46032.0</v>
      </c>
      <c r="C246" s="118" t="s">
        <v>4178</v>
      </c>
      <c r="D246" s="118" t="str">
        <f>IFERROR(__xludf.DUMMYFUNCTION("IFERROR(
  INDEX(
    FILTER(
      'NOMBRE DE PRODUCTOS'!B:B,
      REGEXMATCH(
        UPPER(
          INDEX(
            REPORTE_DROPI!AC:AC,
            MATCH(T246, REPORTE_DROPI!B:B, 0)
          )
        ),
        UPPER('NOMBRE DE PRODUCTOS'!A:A)"&amp;"
      )
    ),
    1
  ),
  ""REVISAR""
)
"),"Cuchillo Tazaki™")</f>
        <v>Cuchillo Tazaki™</v>
      </c>
      <c r="E246" s="120" t="str">
        <f t="array" ref="E246">IF(
UPPER(TRIM(CLEAN($O246)))="ENTREGADO",
IFERROR(
INDEX(REPORTE_DROPI!Y:Y,
MATCH($T246, REPORTE_DROPI!B:B, 0)
),
""
),
""
)
</f>
        <v/>
      </c>
      <c r="F246" s="121">
        <v>3.0</v>
      </c>
      <c r="G246" s="122" t="str">
        <f t="array" ref="G246">IF(
UPPER(TRIM(CLEAN($O246)))="ENTREGADO",
IFERROR(
INDEX(REPORTE_DROPI!R:R,
MATCH($T246, REPORTE_DROPI!B:B, 0)
),
""
),
""
)
</f>
        <v/>
      </c>
      <c r="H246" s="118" t="s">
        <v>3727</v>
      </c>
      <c r="I246" s="118" t="s">
        <v>3731</v>
      </c>
      <c r="J246" s="121" t="str">
        <f t="array" ref="J246">IF(
UPPER(TRIM(CLEAN($O246)))="ENTREGADO",
IFERROR(
INDEX(REPORTE_DROPI!T:T,
MATCH($T246, REPORTE_DROPI!B:B, 0)
),
""
),
""
)
</f>
        <v/>
      </c>
      <c r="K246" s="118" t="str">
        <f t="array" ref="K246">IFERROR(
INDEX(REPORTE_DROPI!S:S,
MATCH($T246, REPORTE_DROPI!B:B, 0)
),
""
)
</f>
        <v/>
      </c>
      <c r="L246" s="118">
        <f>IF(
  O246&lt;&gt;"DEVOLUCION",
  "",
  IF(
    T246="",
    "",
    SUMIF(DEVOLUCION!F:F, T246, DEVOLUCION!D:D)
  )
)
</f>
        <v>5.09</v>
      </c>
      <c r="M246" s="118"/>
      <c r="N246" s="118" t="s">
        <v>4179</v>
      </c>
      <c r="O246" s="118" t="str">
        <f t="array" ref="O246">IFERROR(
VLOOKUP(
TRIM(CLEAN(
INDEX(REPORTE_DROPI!K:K,
MATCH(T246, REPORTE_DROPI!B:B, 0)
))),
{
TRIM(CLEAN(MAPA_ESTADOS!A:A)) ,
MAPA_ESTADOS!B:B
},
2,
FALSE
),
"REVISAR"
)
</f>
        <v>DEVOLUCION</v>
      </c>
      <c r="P246" s="118"/>
      <c r="Q246" s="122">
        <f t="shared" si="1"/>
        <v>0</v>
      </c>
      <c r="R246" s="118"/>
      <c r="S246" s="118"/>
      <c r="T246" s="118">
        <f t="array" ref="T246">IFERROR(
INDEX(REPORTE_DROPI!B:B,
MATCH(
CLEAN(TRIM(C246)),
CLEAN(TRIM(REPORTE_DROPI!E:E)),
0
)
),
""
)
</f>
        <v>4099017</v>
      </c>
      <c r="U246" s="118">
        <v>6.405431722028E12</v>
      </c>
      <c r="V246" s="78"/>
      <c r="W246" s="78"/>
      <c r="X246" s="78"/>
      <c r="Y246" s="78"/>
      <c r="Z246" s="78"/>
    </row>
    <row r="247" ht="22.5" customHeight="1">
      <c r="A247" s="118">
        <v>246.0</v>
      </c>
      <c r="B247" s="119">
        <v>46032.0</v>
      </c>
      <c r="C247" s="118" t="s">
        <v>4180</v>
      </c>
      <c r="D247" s="118" t="str">
        <f>IFERROR(__xludf.DUMMYFUNCTION("IFERROR(
  INDEX(
    FILTER(
      'NOMBRE DE PRODUCTOS'!B:B,
      REGEXMATCH(
        UPPER(
          INDEX(
            REPORTE_DROPI!AC:AC,
            MATCH(T247, REPORTE_DROPI!B:B, 0)
          )
        ),
        UPPER('NOMBRE DE PRODUCTOS'!A:A)"&amp;"
      )
    ),
    1
  ),
  ""REVISAR""
)
"),"Cuchillo Tazaki™")</f>
        <v>Cuchillo Tazaki™</v>
      </c>
      <c r="E247" s="120" t="str">
        <f t="array" ref="E247">IF(
UPPER(TRIM(CLEAN($O247)))="ENTREGADO",
IFERROR(
INDEX(REPORTE_DROPI!Y:Y,
MATCH($T247, REPORTE_DROPI!B:B, 0)
),
""
),
""
)
</f>
        <v/>
      </c>
      <c r="F247" s="121">
        <v>1.0</v>
      </c>
      <c r="G247" s="122" t="str">
        <f t="array" ref="G247">IF(
UPPER(TRIM(CLEAN($O247)))="ENTREGADO",
IFERROR(
INDEX(REPORTE_DROPI!R:R,
MATCH($T247, REPORTE_DROPI!B:B, 0)
),
""
),
""
)
</f>
        <v/>
      </c>
      <c r="H247" s="118" t="s">
        <v>3727</v>
      </c>
      <c r="I247" s="118" t="s">
        <v>3778</v>
      </c>
      <c r="J247" s="121" t="str">
        <f t="array" ref="J247">IF(
UPPER(TRIM(CLEAN($O247)))="ENTREGADO",
IFERROR(
INDEX(REPORTE_DROPI!T:T,
MATCH($T247, REPORTE_DROPI!B:B, 0)
),
""
),
""
)
</f>
        <v/>
      </c>
      <c r="K247" s="118" t="str">
        <f t="array" ref="K247">IFERROR(
INDEX(REPORTE_DROPI!S:S,
MATCH($T247, REPORTE_DROPI!B:B, 0)
),
""
)
</f>
        <v/>
      </c>
      <c r="L247" s="118">
        <f>IF(
  O247&lt;&gt;"DEVOLUCION",
  "",
  IF(
    T247="",
    "",
    SUMIF(DEVOLUCION!F:F, T247, DEVOLUCION!D:D)
  )
)
</f>
        <v>4.5</v>
      </c>
      <c r="M247" s="118" t="s">
        <v>3870</v>
      </c>
      <c r="N247" s="118" t="s">
        <v>4181</v>
      </c>
      <c r="O247" s="118" t="str">
        <f t="array" ref="O247">IFERROR(
VLOOKUP(
TRIM(CLEAN(
INDEX(REPORTE_DROPI!K:K,
MATCH(T247, REPORTE_DROPI!B:B, 0)
))),
{
TRIM(CLEAN(MAPA_ESTADOS!A:A)) ,
MAPA_ESTADOS!B:B
},
2,
FALSE
),
"REVISAR"
)
</f>
        <v>DEVOLUCION</v>
      </c>
      <c r="P247" s="118"/>
      <c r="Q247" s="122">
        <f t="shared" si="1"/>
        <v>0</v>
      </c>
      <c r="R247" s="118"/>
      <c r="S247" s="118"/>
      <c r="T247" s="118">
        <f t="array" ref="T247">IFERROR(
INDEX(REPORTE_DROPI!B:B,
MATCH(
CLEAN(TRIM(C247)),
CLEAN(TRIM(REPORTE_DROPI!E:E)),
0
)
),
""
)
</f>
        <v>4099190</v>
      </c>
      <c r="U247" s="118"/>
      <c r="V247" s="78"/>
      <c r="W247" s="78"/>
      <c r="X247" s="78"/>
      <c r="Y247" s="78"/>
      <c r="Z247" s="78"/>
    </row>
    <row r="248" ht="22.5" customHeight="1">
      <c r="A248" s="118">
        <v>247.0</v>
      </c>
      <c r="B248" s="119">
        <v>46032.0</v>
      </c>
      <c r="C248" s="118" t="s">
        <v>4182</v>
      </c>
      <c r="D248" s="118" t="str">
        <f>IFERROR(__xludf.DUMMYFUNCTION("IFERROR(
  INDEX(
    FILTER(
      'NOMBRE DE PRODUCTOS'!B:B,
      REGEXMATCH(
        UPPER(
          INDEX(
            REPORTE_DROPI!AC:AC,
            MATCH(T248, REPORTE_DROPI!B:B, 0)
          )
        ),
        UPPER('NOMBRE DE PRODUCTOS'!A:A)"&amp;"
      )
    ),
    1
  ),
  ""REVISAR""
)
"),"FilmPro®")</f>
        <v>FilmPro®</v>
      </c>
      <c r="E248" s="120">
        <f t="array" ref="E248">IF(
UPPER(TRIM(CLEAN($O248)))="ENTREGADO",
IFERROR(
INDEX(REPORTE_DROPI!Y:Y,
MATCH($T248, REPORTE_DROPI!B:B, 0)
),
""
),
""
)
</f>
        <v>8.37</v>
      </c>
      <c r="F248" s="121">
        <v>3.0</v>
      </c>
      <c r="G248" s="122">
        <f t="array" ref="G248">IF(
UPPER(TRIM(CLEAN($O248)))="ENTREGADO",
IFERROR(
INDEX(REPORTE_DROPI!R:R,
MATCH($T248, REPORTE_DROPI!B:B, 0)
),
""
),
""
)
</f>
        <v>30</v>
      </c>
      <c r="H248" s="118" t="s">
        <v>3727</v>
      </c>
      <c r="I248" s="118" t="s">
        <v>3731</v>
      </c>
      <c r="J248" s="121">
        <f t="array" ref="J248">IF(
UPPER(TRIM(CLEAN($O248)))="ENTREGADO",
IFERROR(
INDEX(REPORTE_DROPI!T:T,
MATCH($T248, REPORTE_DROPI!B:B, 0)
),
""
),
""
)
</f>
        <v>6.16</v>
      </c>
      <c r="K248" s="118">
        <f t="array" ref="K248">IFERROR(
INDEX(REPORTE_DROPI!S:S,
MATCH($T248, REPORTE_DROPI!B:B, 0)
),
""
)
</f>
        <v>15.47</v>
      </c>
      <c r="L248" s="118" t="str">
        <f>IF(
  O248&lt;&gt;"DEVOLUCION",
  "",
  IF(
    T248="",
    "",
    SUMIF(DEVOLUCION!F:F, T248, DEVOLUCION!D:D)
  )
)
</f>
        <v/>
      </c>
      <c r="M248" s="118" t="s">
        <v>3870</v>
      </c>
      <c r="N248" s="118" t="s">
        <v>4183</v>
      </c>
      <c r="O248" s="118" t="str">
        <f t="array" ref="O248">IFERROR(
VLOOKUP(
TRIM(CLEAN(
INDEX(REPORTE_DROPI!K:K,
MATCH(T248, REPORTE_DROPI!B:B, 0)
))),
{
TRIM(CLEAN(MAPA_ESTADOS!A:A)) ,
MAPA_ESTADOS!B:B
},
2,
FALSE
),
"REVISAR"
)
</f>
        <v>ENTREGADO</v>
      </c>
      <c r="P248" s="118"/>
      <c r="Q248" s="122">
        <f t="shared" si="1"/>
        <v>0</v>
      </c>
      <c r="R248" s="118"/>
      <c r="S248" s="118"/>
      <c r="T248" s="118">
        <f t="array" ref="T248">IFERROR(
INDEX(REPORTE_DROPI!B:B,
MATCH(
CLEAN(TRIM(C248)),
CLEAN(TRIM(REPORTE_DROPI!E:E)),
0
)
),
""
)
</f>
        <v>4099270</v>
      </c>
      <c r="U248" s="118">
        <v>6.405486444588E12</v>
      </c>
      <c r="V248" s="78"/>
      <c r="W248" s="78"/>
      <c r="X248" s="78"/>
      <c r="Y248" s="78"/>
      <c r="Z248" s="78"/>
    </row>
    <row r="249" ht="22.5" customHeight="1">
      <c r="A249" s="118">
        <v>248.0</v>
      </c>
      <c r="B249" s="119">
        <v>46032.0</v>
      </c>
      <c r="C249" s="126" t="s">
        <v>4184</v>
      </c>
      <c r="D249" s="118" t="str">
        <f>IFERROR(__xludf.DUMMYFUNCTION("IFERROR(
  INDEX(
    FILTER(
      'NOMBRE DE PRODUCTOS'!B:B,
      REGEXMATCH(
        UPPER(
          INDEX(
            REPORTE_DROPI!AC:AC,
            MATCH(T249, REPORTE_DROPI!B:B, 0)
          )
        ),
        UPPER('NOMBRE DE PRODUCTOS'!A:A)"&amp;"
      )
    ),
    1
  ),
  ""REVISAR""
)
"),"Cuchillo Tazaki™")</f>
        <v>Cuchillo Tazaki™</v>
      </c>
      <c r="E249" s="120">
        <f t="array" ref="E249">IF(
UPPER(TRIM(CLEAN($O249)))="ENTREGADO",
IFERROR(
INDEX(REPORTE_DROPI!Y:Y,
MATCH($T249, REPORTE_DROPI!B:B, 0)
),
""
),
""
)
</f>
        <v>7.8</v>
      </c>
      <c r="F249" s="121">
        <v>3.0</v>
      </c>
      <c r="G249" s="122">
        <f t="array" ref="G249">IF(
UPPER(TRIM(CLEAN($O249)))="ENTREGADO",
IFERROR(
INDEX(REPORTE_DROPI!R:R,
MATCH($T249, REPORTE_DROPI!B:B, 0)
),
""
),
""
)
</f>
        <v>27</v>
      </c>
      <c r="H249" s="118" t="s">
        <v>3727</v>
      </c>
      <c r="I249" s="118" t="s">
        <v>3801</v>
      </c>
      <c r="J249" s="121">
        <f t="array" ref="J249">IF(
UPPER(TRIM(CLEAN($O249)))="ENTREGADO",
IFERROR(
INDEX(REPORTE_DROPI!T:T,
MATCH($T249, REPORTE_DROPI!B:B, 0)
),
""
),
""
)
</f>
        <v>6.03</v>
      </c>
      <c r="K249" s="118">
        <f t="array" ref="K249">IFERROR(
INDEX(REPORTE_DROPI!S:S,
MATCH($T249, REPORTE_DROPI!B:B, 0)
),
""
)
</f>
        <v>13.17</v>
      </c>
      <c r="L249" s="118" t="str">
        <f>IF(
  O249&lt;&gt;"DEVOLUCION",
  "",
  IF(
    T249="",
    "",
    SUMIF(DEVOLUCION!F:F, T249, DEVOLUCION!D:D)
  )
)
</f>
        <v/>
      </c>
      <c r="M249" s="118" t="s">
        <v>3870</v>
      </c>
      <c r="N249" s="118" t="s">
        <v>4185</v>
      </c>
      <c r="O249" s="118" t="str">
        <f t="array" ref="O249">IFERROR(
VLOOKUP(
TRIM(CLEAN(
INDEX(REPORTE_DROPI!K:K,
MATCH(T249, REPORTE_DROPI!B:B, 0)
))),
{
TRIM(CLEAN(MAPA_ESTADOS!A:A)) ,
MAPA_ESTADOS!B:B
},
2,
FALSE
),
"REVISAR"
)
</f>
        <v>ENTREGADO</v>
      </c>
      <c r="P249" s="118" t="s">
        <v>3655</v>
      </c>
      <c r="Q249" s="122">
        <f t="shared" si="1"/>
        <v>0</v>
      </c>
      <c r="R249" s="118"/>
      <c r="S249" s="118"/>
      <c r="T249" s="118">
        <f t="array" ref="T249">IFERROR(
INDEX(REPORTE_DROPI!B:B,
MATCH(
CLEAN(TRIM(C249)),
CLEAN(TRIM(REPORTE_DROPI!E:E)),
0
)
),
""
)
</f>
        <v>4099962</v>
      </c>
      <c r="U249" s="118">
        <v>6.405666177068E12</v>
      </c>
      <c r="V249" s="78"/>
      <c r="W249" s="78"/>
      <c r="X249" s="78"/>
      <c r="Y249" s="78"/>
      <c r="Z249" s="78"/>
    </row>
    <row r="250" ht="22.5" customHeight="1">
      <c r="A250" s="118">
        <v>249.0</v>
      </c>
      <c r="B250" s="119">
        <v>46032.0</v>
      </c>
      <c r="C250" s="118" t="s">
        <v>4186</v>
      </c>
      <c r="D250" s="118" t="str">
        <f>IFERROR(__xludf.DUMMYFUNCTION("IFERROR(
  INDEX(
    FILTER(
      'NOMBRE DE PRODUCTOS'!B:B,
      REGEXMATCH(
        UPPER(
          INDEX(
            REPORTE_DROPI!AC:AC,
            MATCH(T250, REPORTE_DROPI!B:B, 0)
          )
        ),
        UPPER('NOMBRE DE PRODUCTOS'!A:A)"&amp;"
      )
    ),
    1
  ),
  ""REVISAR""
)
"),"FilmPro®")</f>
        <v>FilmPro®</v>
      </c>
      <c r="E250" s="120" t="str">
        <f t="array" ref="E250">IF(
UPPER(TRIM(CLEAN($O250)))="ENTREGADO",
IFERROR(
INDEX(REPORTE_DROPI!Y:Y,
MATCH($T250, REPORTE_DROPI!B:B, 0)
),
""
),
""
)
</f>
        <v/>
      </c>
      <c r="F250" s="121">
        <v>3.0</v>
      </c>
      <c r="G250" s="122" t="str">
        <f t="array" ref="G250">IF(
UPPER(TRIM(CLEAN($O250)))="ENTREGADO",
IFERROR(
INDEX(REPORTE_DROPI!R:R,
MATCH($T250, REPORTE_DROPI!B:B, 0)
),
""
),
""
)
</f>
        <v/>
      </c>
      <c r="H250" s="118" t="s">
        <v>3727</v>
      </c>
      <c r="I250" s="118" t="s">
        <v>3731</v>
      </c>
      <c r="J250" s="121" t="str">
        <f t="array" ref="J250">IF(
UPPER(TRIM(CLEAN($O250)))="ENTREGADO",
IFERROR(
INDEX(REPORTE_DROPI!T:T,
MATCH($T250, REPORTE_DROPI!B:B, 0)
),
""
),
""
)
</f>
        <v/>
      </c>
      <c r="K250" s="118" t="str">
        <f t="array" ref="K250">IFERROR(
INDEX(REPORTE_DROPI!S:S,
MATCH($T250, REPORTE_DROPI!B:B, 0)
),
""
)
</f>
        <v/>
      </c>
      <c r="L250" s="118" t="str">
        <f>IF(
  O250&lt;&gt;"DEVOLUCION",
  "",
  IF(
    T250="",
    "",
    SUMIF(DEVOLUCION!F:F, T250, DEVOLUCION!D:D)
  )
)
</f>
        <v/>
      </c>
      <c r="M250" s="118"/>
      <c r="N250" s="118" t="s">
        <v>4187</v>
      </c>
      <c r="O250" s="118" t="str">
        <f t="array" ref="O250">IFERROR(
VLOOKUP(
TRIM(CLEAN(
INDEX(REPORTE_DROPI!K:K,
MATCH(T250, REPORTE_DROPI!B:B, 0)
))),
{
TRIM(CLEAN(MAPA_ESTADOS!A:A)) ,
MAPA_ESTADOS!B:B
},
2,
FALSE
),
"REVISAR"
)
</f>
        <v>CANCELADO</v>
      </c>
      <c r="P250" s="118" t="s">
        <v>4188</v>
      </c>
      <c r="Q250" s="122">
        <f t="shared" si="1"/>
        <v>0</v>
      </c>
      <c r="R250" s="118"/>
      <c r="S250" s="118"/>
      <c r="T250" s="118">
        <f t="array" ref="T250">IFERROR(
INDEX(REPORTE_DROPI!B:B,
MATCH(
CLEAN(TRIM(C250)),
CLEAN(TRIM(REPORTE_DROPI!E:E)),
0
)
),
""
)
</f>
        <v>4100035</v>
      </c>
      <c r="U250" s="118">
        <v>6.405694357548E12</v>
      </c>
      <c r="V250" s="78"/>
      <c r="W250" s="78"/>
      <c r="X250" s="78"/>
      <c r="Y250" s="78"/>
      <c r="Z250" s="78"/>
    </row>
    <row r="251" ht="22.5" customHeight="1">
      <c r="A251" s="118">
        <v>250.0</v>
      </c>
      <c r="B251" s="119">
        <v>46032.0</v>
      </c>
      <c r="C251" s="118" t="s">
        <v>4189</v>
      </c>
      <c r="D251" s="118" t="str">
        <f>IFERROR(__xludf.DUMMYFUNCTION("IFERROR(
  INDEX(
    FILTER(
      'NOMBRE DE PRODUCTOS'!B:B,
      REGEXMATCH(
        UPPER(
          INDEX(
            REPORTE_DROPI!AC:AC,
            MATCH(T251, REPORTE_DROPI!B:B, 0)
          )
        ),
        UPPER('NOMBRE DE PRODUCTOS'!A:A)"&amp;"
      )
    ),
    1
  ),
  ""REVISAR""
)
"),"FilmPro®")</f>
        <v>FilmPro®</v>
      </c>
      <c r="E251" s="120">
        <f t="array" ref="E251">IF(
UPPER(TRIM(CLEAN($O251)))="ENTREGADO",
IFERROR(
INDEX(REPORTE_DROPI!Y:Y,
MATCH($T251, REPORTE_DROPI!B:B, 0)
),
""
),
""
)
</f>
        <v>5.58</v>
      </c>
      <c r="F251" s="121">
        <v>2.0</v>
      </c>
      <c r="G251" s="122">
        <f t="array" ref="G251">IF(
UPPER(TRIM(CLEAN($O251)))="ENTREGADO",
IFERROR(
INDEX(REPORTE_DROPI!R:R,
MATCH($T251, REPORTE_DROPI!B:B, 0)
),
""
),
""
)
</f>
        <v>25</v>
      </c>
      <c r="H251" s="118" t="s">
        <v>3727</v>
      </c>
      <c r="I251" s="118" t="s">
        <v>3740</v>
      </c>
      <c r="J251" s="121">
        <f t="array" ref="J251">IF(
UPPER(TRIM(CLEAN($O251)))="ENTREGADO",
IFERROR(
INDEX(REPORTE_DROPI!T:T,
MATCH($T251, REPORTE_DROPI!B:B, 0)
),
""
),
""
)
</f>
        <v>5.38</v>
      </c>
      <c r="K251" s="118">
        <f t="array" ref="K251">IFERROR(
INDEX(REPORTE_DROPI!S:S,
MATCH($T251, REPORTE_DROPI!B:B, 0)
),
""
)
</f>
        <v>14.04</v>
      </c>
      <c r="L251" s="118" t="str">
        <f>IF(
  O251&lt;&gt;"DEVOLUCION",
  "",
  IF(
    T251="",
    "",
    SUMIF(DEVOLUCION!F:F, T251, DEVOLUCION!D:D)
  )
)
</f>
        <v/>
      </c>
      <c r="M251" s="118" t="s">
        <v>3870</v>
      </c>
      <c r="N251" s="118" t="s">
        <v>4190</v>
      </c>
      <c r="O251" s="118" t="str">
        <f t="array" ref="O251">IFERROR(
VLOOKUP(
TRIM(CLEAN(
INDEX(REPORTE_DROPI!K:K,
MATCH(T251, REPORTE_DROPI!B:B, 0)
))),
{
TRIM(CLEAN(MAPA_ESTADOS!A:A)) ,
MAPA_ESTADOS!B:B
},
2,
FALSE
),
"REVISAR"
)
</f>
        <v>ENTREGADO</v>
      </c>
      <c r="P251" s="118"/>
      <c r="Q251" s="122">
        <f t="shared" si="1"/>
        <v>0</v>
      </c>
      <c r="R251" s="118"/>
      <c r="S251" s="118"/>
      <c r="T251" s="118">
        <f t="array" ref="T251">IFERROR(
INDEX(REPORTE_DROPI!B:B,
MATCH(
CLEAN(TRIM(C251)),
CLEAN(TRIM(REPORTE_DROPI!E:E)),
0
)
),
""
)
</f>
        <v>4100099</v>
      </c>
      <c r="U251" s="118">
        <v>6.405716475948E12</v>
      </c>
      <c r="V251" s="78"/>
      <c r="W251" s="78"/>
      <c r="X251" s="78"/>
      <c r="Y251" s="78"/>
      <c r="Z251" s="78"/>
    </row>
    <row r="252" ht="22.5" customHeight="1">
      <c r="A252" s="118">
        <v>251.0</v>
      </c>
      <c r="B252" s="119">
        <v>46032.0</v>
      </c>
      <c r="C252" s="126" t="s">
        <v>4191</v>
      </c>
      <c r="D252" s="118" t="str">
        <f>IFERROR(__xludf.DUMMYFUNCTION("IFERROR(
  INDEX(
    FILTER(
      'NOMBRE DE PRODUCTOS'!B:B,
      REGEXMATCH(
        UPPER(
          INDEX(
            REPORTE_DROPI!AC:AC,
            MATCH(T252, REPORTE_DROPI!B:B, 0)
          )
        ),
        UPPER('NOMBRE DE PRODUCTOS'!A:A)"&amp;"
      )
    ),
    1
  ),
  ""REVISAR""
)
"),"FilmPro®")</f>
        <v>FilmPro®</v>
      </c>
      <c r="E252" s="120">
        <f t="array" ref="E252">IF(
UPPER(TRIM(CLEAN($O252)))="ENTREGADO",
IFERROR(
INDEX(REPORTE_DROPI!Y:Y,
MATCH($T252, REPORTE_DROPI!B:B, 0)
),
""
),
""
)
</f>
        <v>8.37</v>
      </c>
      <c r="F252" s="121">
        <v>3.0</v>
      </c>
      <c r="G252" s="122">
        <f t="array" ref="G252">IF(
UPPER(TRIM(CLEAN($O252)))="ENTREGADO",
IFERROR(
INDEX(REPORTE_DROPI!R:R,
MATCH($T252, REPORTE_DROPI!B:B, 0)
),
""
),
""
)
</f>
        <v>30</v>
      </c>
      <c r="H252" s="118" t="s">
        <v>3727</v>
      </c>
      <c r="I252" s="118" t="s">
        <v>3740</v>
      </c>
      <c r="J252" s="121">
        <f t="array" ref="J252">IF(
UPPER(TRIM(CLEAN($O252)))="ENTREGADO",
IFERROR(
INDEX(REPORTE_DROPI!T:T,
MATCH($T252, REPORTE_DROPI!B:B, 0)
),
""
),
""
)
</f>
        <v>5.58</v>
      </c>
      <c r="K252" s="118">
        <f t="array" ref="K252">IFERROR(
INDEX(REPORTE_DROPI!S:S,
MATCH($T252, REPORTE_DROPI!B:B, 0)
),
""
)
</f>
        <v>16.05</v>
      </c>
      <c r="L252" s="118" t="str">
        <f>IF(
  O252&lt;&gt;"DEVOLUCION",
  "",
  IF(
    T252="",
    "",
    SUMIF(DEVOLUCION!F:F, T252, DEVOLUCION!D:D)
  )
)
</f>
        <v/>
      </c>
      <c r="M252" s="118" t="s">
        <v>3870</v>
      </c>
      <c r="N252" s="118" t="s">
        <v>4192</v>
      </c>
      <c r="O252" s="118" t="str">
        <f t="array" ref="O252">IFERROR(
VLOOKUP(
TRIM(CLEAN(
INDEX(REPORTE_DROPI!K:K,
MATCH(T252, REPORTE_DROPI!B:B, 0)
))),
{
TRIM(CLEAN(MAPA_ESTADOS!A:A)) ,
MAPA_ESTADOS!B:B
},
2,
FALSE
),
"REVISAR"
)
</f>
        <v>ENTREGADO</v>
      </c>
      <c r="P252" s="118" t="s">
        <v>3655</v>
      </c>
      <c r="Q252" s="122">
        <f t="shared" si="1"/>
        <v>0</v>
      </c>
      <c r="R252" s="118"/>
      <c r="S252" s="118"/>
      <c r="T252" s="118">
        <f t="array" ref="T252">IFERROR(
INDEX(REPORTE_DROPI!B:B,
MATCH(
CLEAN(TRIM(C252)),
CLEAN(TRIM(REPORTE_DROPI!E:E)),
0
)
),
""
)
</f>
        <v>4100111</v>
      </c>
      <c r="U252" s="118">
        <v>6.405720342572E12</v>
      </c>
      <c r="V252" s="78"/>
      <c r="W252" s="78"/>
      <c r="X252" s="78"/>
      <c r="Y252" s="78"/>
      <c r="Z252" s="78"/>
    </row>
    <row r="253" ht="22.5" customHeight="1">
      <c r="A253" s="118">
        <v>252.0</v>
      </c>
      <c r="B253" s="119">
        <v>46033.0</v>
      </c>
      <c r="C253" s="126" t="s">
        <v>4193</v>
      </c>
      <c r="D253" s="118" t="str">
        <f>IFERROR(__xludf.DUMMYFUNCTION("IFERROR(
  INDEX(
    FILTER(
      'NOMBRE DE PRODUCTOS'!B:B,
      REGEXMATCH(
        UPPER(
          INDEX(
            REPORTE_DROPI!AC:AC,
            MATCH(T253, REPORTE_DROPI!B:B, 0)
          )
        ),
        UPPER('NOMBRE DE PRODUCTOS'!A:A)"&amp;"
      )
    ),
    1
  ),
  ""REVISAR""
)
"),"Cuchillo Tazaki™")</f>
        <v>Cuchillo Tazaki™</v>
      </c>
      <c r="E253" s="120" t="str">
        <f t="array" ref="E253">IF(
UPPER(TRIM(CLEAN($O253)))="ENTREGADO",
IFERROR(
INDEX(REPORTE_DROPI!Y:Y,
MATCH($T253, REPORTE_DROPI!B:B, 0)
),
""
),
""
)
</f>
        <v/>
      </c>
      <c r="F253" s="121">
        <v>2.0</v>
      </c>
      <c r="G253" s="122" t="str">
        <f t="array" ref="G253">IF(
UPPER(TRIM(CLEAN($O253)))="ENTREGADO",
IFERROR(
INDEX(REPORTE_DROPI!R:R,
MATCH($T253, REPORTE_DROPI!B:B, 0)
),
""
),
""
)
</f>
        <v/>
      </c>
      <c r="H253" s="118" t="s">
        <v>3727</v>
      </c>
      <c r="I253" s="118" t="s">
        <v>3740</v>
      </c>
      <c r="J253" s="121" t="str">
        <f t="array" ref="J253">IF(
UPPER(TRIM(CLEAN($O253)))="ENTREGADO",
IFERROR(
INDEX(REPORTE_DROPI!T:T,
MATCH($T253, REPORTE_DROPI!B:B, 0)
),
""
),
""
)
</f>
        <v/>
      </c>
      <c r="K253" s="118" t="str">
        <f t="array" ref="K253">IFERROR(
INDEX(REPORTE_DROPI!S:S,
MATCH($T253, REPORTE_DROPI!B:B, 0)
),
""
)
</f>
        <v/>
      </c>
      <c r="L253" s="118" t="str">
        <f>IF(
  O253&lt;&gt;"DEVOLUCION",
  "",
  IF(
    T253="",
    "",
    SUMIF(DEVOLUCION!F:F, T253, DEVOLUCION!D:D)
  )
)
</f>
        <v/>
      </c>
      <c r="M253" s="118"/>
      <c r="N253" s="118" t="s">
        <v>4194</v>
      </c>
      <c r="O253" s="118" t="str">
        <f t="array" ref="O253">IFERROR(
VLOOKUP(
TRIM(CLEAN(
INDEX(REPORTE_DROPI!K:K,
MATCH(T253, REPORTE_DROPI!B:B, 0)
))),
{
TRIM(CLEAN(MAPA_ESTADOS!A:A)) ,
MAPA_ESTADOS!B:B
},
2,
FALSE
),
"REVISAR"
)
</f>
        <v>PENDIENTE</v>
      </c>
      <c r="P253" s="118" t="s">
        <v>3689</v>
      </c>
      <c r="Q253" s="122">
        <f t="shared" si="1"/>
        <v>0</v>
      </c>
      <c r="R253" s="118"/>
      <c r="S253" s="118"/>
      <c r="T253" s="118">
        <f t="array" ref="T253">IFERROR(
INDEX(REPORTE_DROPI!B:B,
MATCH(
CLEAN(TRIM(C253)),
CLEAN(TRIM(REPORTE_DROPI!E:E)),
0
)
),
""
)
</f>
        <v>4100293</v>
      </c>
      <c r="U253" s="118">
        <v>6.405802229804E12</v>
      </c>
      <c r="V253" s="78"/>
      <c r="W253" s="78"/>
      <c r="X253" s="78"/>
      <c r="Y253" s="78"/>
      <c r="Z253" s="78"/>
    </row>
    <row r="254" ht="22.5" customHeight="1">
      <c r="A254" s="118">
        <v>253.0</v>
      </c>
      <c r="B254" s="119">
        <v>46033.0</v>
      </c>
      <c r="C254" s="118" t="s">
        <v>4195</v>
      </c>
      <c r="D254" s="118" t="str">
        <f>IFERROR(__xludf.DUMMYFUNCTION("IFERROR(
  INDEX(
    FILTER(
      'NOMBRE DE PRODUCTOS'!B:B,
      REGEXMATCH(
        UPPER(
          INDEX(
            REPORTE_DROPI!AC:AC,
            MATCH(T254, REPORTE_DROPI!B:B, 0)
          )
        ),
        UPPER('NOMBRE DE PRODUCTOS'!A:A)"&amp;"
      )
    ),
    1
  ),
  ""REVISAR""
)
"),"FilmPro®")</f>
        <v>FilmPro®</v>
      </c>
      <c r="E254" s="120" t="str">
        <f t="array" ref="E254">IF(
UPPER(TRIM(CLEAN($O254)))="ENTREGADO",
IFERROR(
INDEX(REPORTE_DROPI!Y:Y,
MATCH($T254, REPORTE_DROPI!B:B, 0)
),
""
),
""
)
</f>
        <v/>
      </c>
      <c r="F254" s="121">
        <v>3.0</v>
      </c>
      <c r="G254" s="122" t="str">
        <f t="array" ref="G254">IF(
UPPER(TRIM(CLEAN($O254)))="ENTREGADO",
IFERROR(
INDEX(REPORTE_DROPI!R:R,
MATCH($T254, REPORTE_DROPI!B:B, 0)
),
""
),
""
)
</f>
        <v/>
      </c>
      <c r="H254" s="118" t="s">
        <v>3727</v>
      </c>
      <c r="I254" s="118" t="s">
        <v>3731</v>
      </c>
      <c r="J254" s="121" t="str">
        <f t="array" ref="J254">IF(
UPPER(TRIM(CLEAN($O254)))="ENTREGADO",
IFERROR(
INDEX(REPORTE_DROPI!T:T,
MATCH($T254, REPORTE_DROPI!B:B, 0)
),
""
),
""
)
</f>
        <v/>
      </c>
      <c r="K254" s="118" t="str">
        <f t="array" ref="K254">IFERROR(
INDEX(REPORTE_DROPI!S:S,
MATCH($T254, REPORTE_DROPI!B:B, 0)
),
""
)
</f>
        <v/>
      </c>
      <c r="L254" s="118">
        <f>IF(
  O254&lt;&gt;"DEVOLUCION",
  "",
  IF(
    T254="",
    "",
    SUMIF(DEVOLUCION!F:F, T254, DEVOLUCION!D:D)
  )
)
</f>
        <v>5.12</v>
      </c>
      <c r="M254" s="118"/>
      <c r="N254" s="118" t="s">
        <v>4196</v>
      </c>
      <c r="O254" s="118" t="str">
        <f t="array" ref="O254">IFERROR(
VLOOKUP(
TRIM(CLEAN(
INDEX(REPORTE_DROPI!K:K,
MATCH(T254, REPORTE_DROPI!B:B, 0)
))),
{
TRIM(CLEAN(MAPA_ESTADOS!A:A)) ,
MAPA_ESTADOS!B:B
},
2,
FALSE
),
"REVISAR"
)
</f>
        <v>DEVOLUCION</v>
      </c>
      <c r="P254" s="118"/>
      <c r="Q254" s="122">
        <f t="shared" si="1"/>
        <v>0</v>
      </c>
      <c r="R254" s="118"/>
      <c r="S254" s="118"/>
      <c r="T254" s="118">
        <f t="array" ref="T254">IFERROR(
INDEX(REPORTE_DROPI!B:B,
MATCH(
CLEAN(TRIM(C254)),
CLEAN(TRIM(REPORTE_DROPI!E:E)),
0
)
),
""
)
</f>
        <v>4100582</v>
      </c>
      <c r="U254" s="118">
        <v>6.406023774252E12</v>
      </c>
      <c r="V254" s="78"/>
      <c r="W254" s="78"/>
      <c r="X254" s="78"/>
      <c r="Y254" s="78"/>
      <c r="Z254" s="78"/>
    </row>
    <row r="255" ht="22.5" customHeight="1">
      <c r="A255" s="118">
        <v>254.0</v>
      </c>
      <c r="B255" s="119">
        <v>46033.0</v>
      </c>
      <c r="C255" s="118" t="s">
        <v>4197</v>
      </c>
      <c r="D255" s="118" t="str">
        <f>IFERROR(__xludf.DUMMYFUNCTION("IFERROR(
  INDEX(
    FILTER(
      'NOMBRE DE PRODUCTOS'!B:B,
      REGEXMATCH(
        UPPER(
          INDEX(
            REPORTE_DROPI!AC:AC,
            MATCH(T255, REPORTE_DROPI!B:B, 0)
          )
        ),
        UPPER('NOMBRE DE PRODUCTOS'!A:A)"&amp;"
      )
    ),
    1
  ),
  ""REVISAR""
)
"),"FilmPro®")</f>
        <v>FilmPro®</v>
      </c>
      <c r="E255" s="120">
        <f t="array" ref="E255">IF(
UPPER(TRIM(CLEAN($O255)))="ENTREGADO",
IFERROR(
INDEX(REPORTE_DROPI!Y:Y,
MATCH($T255, REPORTE_DROPI!B:B, 0)
),
""
),
""
)
</f>
        <v>5.58</v>
      </c>
      <c r="F255" s="121">
        <v>2.0</v>
      </c>
      <c r="G255" s="122">
        <f t="array" ref="G255">IF(
UPPER(TRIM(CLEAN($O255)))="ENTREGADO",
IFERROR(
INDEX(REPORTE_DROPI!R:R,
MATCH($T255, REPORTE_DROPI!B:B, 0)
),
""
),
""
)
</f>
        <v>25</v>
      </c>
      <c r="H255" s="118" t="s">
        <v>3727</v>
      </c>
      <c r="I255" s="118" t="s">
        <v>3731</v>
      </c>
      <c r="J255" s="121">
        <f t="array" ref="J255">IF(
UPPER(TRIM(CLEAN($O255)))="ENTREGADO",
IFERROR(
INDEX(REPORTE_DROPI!T:T,
MATCH($T255, REPORTE_DROPI!B:B, 0)
),
""
),
""
)
</f>
        <v>5.96</v>
      </c>
      <c r="K255" s="118">
        <f t="array" ref="K255">IFERROR(
INDEX(REPORTE_DROPI!S:S,
MATCH($T255, REPORTE_DROPI!B:B, 0)
),
""
)
</f>
        <v>13.46</v>
      </c>
      <c r="L255" s="118" t="str">
        <f>IF(
  O255&lt;&gt;"DEVOLUCION",
  "",
  IF(
    T255="",
    "",
    SUMIF(DEVOLUCION!F:F, T255, DEVOLUCION!D:D)
  )
)
</f>
        <v/>
      </c>
      <c r="M255" s="118"/>
      <c r="N255" s="118" t="s">
        <v>4198</v>
      </c>
      <c r="O255" s="118" t="str">
        <f t="array" ref="O255">IFERROR(
VLOOKUP(
TRIM(CLEAN(
INDEX(REPORTE_DROPI!K:K,
MATCH(T255, REPORTE_DROPI!B:B, 0)
))),
{
TRIM(CLEAN(MAPA_ESTADOS!A:A)) ,
MAPA_ESTADOS!B:B
},
2,
FALSE
),
"REVISAR"
)
</f>
        <v>ENTREGADO</v>
      </c>
      <c r="P255" s="118"/>
      <c r="Q255" s="122">
        <f t="shared" si="1"/>
        <v>0</v>
      </c>
      <c r="R255" s="118"/>
      <c r="S255" s="118"/>
      <c r="T255" s="118">
        <f t="array" ref="T255">IFERROR(
INDEX(REPORTE_DROPI!B:B,
MATCH(
CLEAN(TRIM(C255)),
CLEAN(TRIM(REPORTE_DROPI!E:E)),
0
)
),
""
)
</f>
        <v>4100663</v>
      </c>
      <c r="U255" s="118">
        <v>6.406065782828E12</v>
      </c>
      <c r="V255" s="78"/>
      <c r="W255" s="78"/>
      <c r="X255" s="78"/>
      <c r="Y255" s="78"/>
      <c r="Z255" s="78"/>
    </row>
    <row r="256" ht="22.5" customHeight="1">
      <c r="A256" s="118">
        <v>255.0</v>
      </c>
      <c r="B256" s="119">
        <v>46033.0</v>
      </c>
      <c r="C256" s="118" t="s">
        <v>4199</v>
      </c>
      <c r="D256" s="118" t="str">
        <f>IFERROR(__xludf.DUMMYFUNCTION("IFERROR(
  INDEX(
    FILTER(
      'NOMBRE DE PRODUCTOS'!B:B,
      REGEXMATCH(
        UPPER(
          INDEX(
            REPORTE_DROPI!AC:AC,
            MATCH(T256, REPORTE_DROPI!B:B, 0)
          )
        ),
        UPPER('NOMBRE DE PRODUCTOS'!A:A)"&amp;"
      )
    ),
    1
  ),
  ""REVISAR""
)
"),"FilmPro®")</f>
        <v>FilmPro®</v>
      </c>
      <c r="E256" s="120">
        <f t="array" ref="E256">IF(
UPPER(TRIM(CLEAN($O256)))="ENTREGADO",
IFERROR(
INDEX(REPORTE_DROPI!Y:Y,
MATCH($T256, REPORTE_DROPI!B:B, 0)
),
""
),
""
)
</f>
        <v>8.37</v>
      </c>
      <c r="F256" s="121">
        <v>3.0</v>
      </c>
      <c r="G256" s="122">
        <f t="array" ref="G256">IF(
UPPER(TRIM(CLEAN($O256)))="ENTREGADO",
IFERROR(
INDEX(REPORTE_DROPI!R:R,
MATCH($T256, REPORTE_DROPI!B:B, 0)
),
""
),
""
)
</f>
        <v>30</v>
      </c>
      <c r="H256" s="118" t="s">
        <v>3727</v>
      </c>
      <c r="I256" s="118" t="s">
        <v>3778</v>
      </c>
      <c r="J256" s="121">
        <f t="array" ref="J256">IF(
UPPER(TRIM(CLEAN($O256)))="ENTREGADO",
IFERROR(
INDEX(REPORTE_DROPI!T:T,
MATCH($T256, REPORTE_DROPI!B:B, 0)
),
""
),
""
)
</f>
        <v>6.73</v>
      </c>
      <c r="K256" s="118">
        <f t="array" ref="K256">IFERROR(
INDEX(REPORTE_DROPI!S:S,
MATCH($T256, REPORTE_DROPI!B:B, 0)
),
""
)
</f>
        <v>14.9</v>
      </c>
      <c r="L256" s="118" t="str">
        <f>IF(
  O256&lt;&gt;"DEVOLUCION",
  "",
  IF(
    T256="",
    "",
    SUMIF(DEVOLUCION!F:F, T256, DEVOLUCION!D:D)
  )
)
</f>
        <v/>
      </c>
      <c r="M256" s="118"/>
      <c r="N256" s="118" t="s">
        <v>4200</v>
      </c>
      <c r="O256" s="118" t="str">
        <f t="array" ref="O256">IFERROR(
VLOOKUP(
TRIM(CLEAN(
INDEX(REPORTE_DROPI!K:K,
MATCH(T256, REPORTE_DROPI!B:B, 0)
))),
{
TRIM(CLEAN(MAPA_ESTADOS!A:A)) ,
MAPA_ESTADOS!B:B
},
2,
FALSE
),
"REVISAR"
)
</f>
        <v>ENTREGADO</v>
      </c>
      <c r="P256" s="118"/>
      <c r="Q256" s="122">
        <f t="shared" si="1"/>
        <v>0</v>
      </c>
      <c r="R256" s="118"/>
      <c r="S256" s="118"/>
      <c r="T256" s="118">
        <f t="array" ref="T256">IFERROR(
INDEX(REPORTE_DROPI!B:B,
MATCH(
CLEAN(TRIM(C256)),
CLEAN(TRIM(REPORTE_DROPI!E:E)),
0
)
),
""
)
</f>
        <v>4100839</v>
      </c>
      <c r="U256" s="118">
        <v>6.406111199276E12</v>
      </c>
      <c r="V256" s="78"/>
      <c r="W256" s="78"/>
      <c r="X256" s="78"/>
      <c r="Y256" s="78"/>
      <c r="Z256" s="78"/>
    </row>
    <row r="257" ht="22.5" customHeight="1">
      <c r="A257" s="118">
        <v>256.0</v>
      </c>
      <c r="B257" s="119">
        <v>46033.0</v>
      </c>
      <c r="C257" s="118" t="s">
        <v>4201</v>
      </c>
      <c r="D257" s="118" t="str">
        <f>IFERROR(__xludf.DUMMYFUNCTION("IFERROR(
  INDEX(
    FILTER(
      'NOMBRE DE PRODUCTOS'!B:B,
      REGEXMATCH(
        UPPER(
          INDEX(
            REPORTE_DROPI!AC:AC,
            MATCH(T257, REPORTE_DROPI!B:B, 0)
          )
        ),
        UPPER('NOMBRE DE PRODUCTOS'!A:A)"&amp;"
      )
    ),
    1
  ),
  ""REVISAR""
)
"),"Cuchillo Tazaki™")</f>
        <v>Cuchillo Tazaki™</v>
      </c>
      <c r="E257" s="120" t="str">
        <f t="array" ref="E257">IF(
UPPER(TRIM(CLEAN($O257)))="ENTREGADO",
IFERROR(
INDEX(REPORTE_DROPI!Y:Y,
MATCH($T257, REPORTE_DROPI!B:B, 0)
),
""
),
""
)
</f>
        <v/>
      </c>
      <c r="F257" s="121">
        <v>2.0</v>
      </c>
      <c r="G257" s="122" t="str">
        <f t="array" ref="G257">IF(
UPPER(TRIM(CLEAN($O257)))="ENTREGADO",
IFERROR(
INDEX(REPORTE_DROPI!R:R,
MATCH($T257, REPORTE_DROPI!B:B, 0)
),
""
),
""
)
</f>
        <v/>
      </c>
      <c r="H257" s="118" t="s">
        <v>3727</v>
      </c>
      <c r="I257" s="118" t="s">
        <v>3882</v>
      </c>
      <c r="J257" s="121" t="str">
        <f t="array" ref="J257">IF(
UPPER(TRIM(CLEAN($O257)))="ENTREGADO",
IFERROR(
INDEX(REPORTE_DROPI!T:T,
MATCH($T257, REPORTE_DROPI!B:B, 0)
),
""
),
""
)
</f>
        <v/>
      </c>
      <c r="K257" s="118" t="str">
        <f t="array" ref="K257">IFERROR(
INDEX(REPORTE_DROPI!S:S,
MATCH($T257, REPORTE_DROPI!B:B, 0)
),
""
)
</f>
        <v/>
      </c>
      <c r="L257" s="118" t="str">
        <f>IF(
  O257&lt;&gt;"DEVOLUCION",
  "",
  IF(
    T257="",
    "",
    SUMIF(DEVOLUCION!F:F, T257, DEVOLUCION!D:D)
  )
)
</f>
        <v/>
      </c>
      <c r="M257" s="118"/>
      <c r="N257" s="118" t="s">
        <v>4202</v>
      </c>
      <c r="O257" s="118" t="str">
        <f t="array" ref="O257">IFERROR(
VLOOKUP(
TRIM(CLEAN(
INDEX(REPORTE_DROPI!K:K,
MATCH(T257, REPORTE_DROPI!B:B, 0)
))),
{
TRIM(CLEAN(MAPA_ESTADOS!A:A)) ,
MAPA_ESTADOS!B:B
},
2,
FALSE
),
"REVISAR"
)
</f>
        <v>CANCELADO</v>
      </c>
      <c r="P257" s="118" t="s">
        <v>3888</v>
      </c>
      <c r="Q257" s="122">
        <f t="shared" si="1"/>
        <v>0</v>
      </c>
      <c r="R257" s="118"/>
      <c r="S257" s="118"/>
      <c r="T257" s="118">
        <f t="array" ref="T257">IFERROR(
INDEX(REPORTE_DROPI!B:B,
MATCH(
CLEAN(TRIM(C257)),
CLEAN(TRIM(REPORTE_DROPI!E:E)),
0
)
),
""
)
</f>
        <v>4100886</v>
      </c>
      <c r="U257" s="118">
        <v>6.406118473772E12</v>
      </c>
      <c r="V257" s="78"/>
      <c r="W257" s="78"/>
      <c r="X257" s="78"/>
      <c r="Y257" s="78"/>
      <c r="Z257" s="78"/>
    </row>
    <row r="258" ht="22.5" customHeight="1">
      <c r="A258" s="118">
        <v>257.0</v>
      </c>
      <c r="B258" s="119">
        <v>46033.0</v>
      </c>
      <c r="C258" s="118" t="s">
        <v>4203</v>
      </c>
      <c r="D258" s="118" t="str">
        <f>IFERROR(__xludf.DUMMYFUNCTION("IFERROR(
  INDEX(
    FILTER(
      'NOMBRE DE PRODUCTOS'!B:B,
      REGEXMATCH(
        UPPER(
          INDEX(
            REPORTE_DROPI!AC:AC,
            MATCH(T258, REPORTE_DROPI!B:B, 0)
          )
        ),
        UPPER('NOMBRE DE PRODUCTOS'!A:A)"&amp;"
      )
    ),
    1
  ),
  ""REVISAR""
)
"),"FilmPro®")</f>
        <v>FilmPro®</v>
      </c>
      <c r="E258" s="120">
        <f t="array" ref="E258">IF(
UPPER(TRIM(CLEAN($O258)))="ENTREGADO",
IFERROR(
INDEX(REPORTE_DROPI!Y:Y,
MATCH($T258, REPORTE_DROPI!B:B, 0)
),
""
),
""
)
</f>
        <v>2.79</v>
      </c>
      <c r="F258" s="121">
        <v>1.0</v>
      </c>
      <c r="G258" s="122">
        <f t="array" ref="G258">IF(
UPPER(TRIM(CLEAN($O258)))="ENTREGADO",
IFERROR(
INDEX(REPORTE_DROPI!R:R,
MATCH($T258, REPORTE_DROPI!B:B, 0)
),
""
),
""
)
</f>
        <v>20</v>
      </c>
      <c r="H258" s="118" t="s">
        <v>3727</v>
      </c>
      <c r="I258" s="118" t="s">
        <v>3855</v>
      </c>
      <c r="J258" s="121">
        <f t="array" ref="J258">IF(
UPPER(TRIM(CLEAN($O258)))="ENTREGADO",
IFERROR(
INDEX(REPORTE_DROPI!T:T,
MATCH($T258, REPORTE_DROPI!B:B, 0)
),
""
),
""
)
</f>
        <v>5.76</v>
      </c>
      <c r="K258" s="118">
        <f t="array" ref="K258">IFERROR(
INDEX(REPORTE_DROPI!S:S,
MATCH($T258, REPORTE_DROPI!B:B, 0)
),
""
)
</f>
        <v>11.45</v>
      </c>
      <c r="L258" s="118" t="str">
        <f>IF(
  O258&lt;&gt;"DEVOLUCION",
  "",
  IF(
    T258="",
    "",
    SUMIF(DEVOLUCION!F:F, T258, DEVOLUCION!D:D)
  )
)
</f>
        <v/>
      </c>
      <c r="M258" s="118" t="s">
        <v>3870</v>
      </c>
      <c r="N258" s="118" t="s">
        <v>4204</v>
      </c>
      <c r="O258" s="118" t="str">
        <f t="array" ref="O258">IFERROR(
VLOOKUP(
TRIM(CLEAN(
INDEX(REPORTE_DROPI!K:K,
MATCH(T258, REPORTE_DROPI!B:B, 0)
))),
{
TRIM(CLEAN(MAPA_ESTADOS!A:A)) ,
MAPA_ESTADOS!B:B
},
2,
FALSE
),
"REVISAR"
)
</f>
        <v>ENTREGADO</v>
      </c>
      <c r="P258" s="118"/>
      <c r="Q258" s="122">
        <f t="shared" si="1"/>
        <v>0</v>
      </c>
      <c r="R258" s="118"/>
      <c r="S258" s="118"/>
      <c r="T258" s="118">
        <f t="array" ref="T258">IFERROR(
INDEX(REPORTE_DROPI!B:B,
MATCH(
CLEAN(TRIM(C258)),
CLEAN(TRIM(REPORTE_DROPI!E:E)),
0
)
),
""
)
</f>
        <v>4100950</v>
      </c>
      <c r="U258" s="118">
        <v>6.406126600236E12</v>
      </c>
      <c r="V258" s="78"/>
      <c r="W258" s="78"/>
      <c r="X258" s="78"/>
      <c r="Y258" s="78"/>
      <c r="Z258" s="78"/>
    </row>
    <row r="259" ht="22.5" customHeight="1">
      <c r="A259" s="118">
        <v>258.0</v>
      </c>
      <c r="B259" s="119">
        <v>46033.0</v>
      </c>
      <c r="C259" s="118" t="s">
        <v>4205</v>
      </c>
      <c r="D259" s="118" t="str">
        <f>IFERROR(__xludf.DUMMYFUNCTION("IFERROR(
  INDEX(
    FILTER(
      'NOMBRE DE PRODUCTOS'!B:B,
      REGEXMATCH(
        UPPER(
          INDEX(
            REPORTE_DROPI!AC:AC,
            MATCH(T259, REPORTE_DROPI!B:B, 0)
          )
        ),
        UPPER('NOMBRE DE PRODUCTOS'!A:A)"&amp;"
      )
    ),
    1
  ),
  ""REVISAR""
)
"),"FilmPro®")</f>
        <v>FilmPro®</v>
      </c>
      <c r="E259" s="120">
        <f t="array" ref="E259">IF(
UPPER(TRIM(CLEAN($O259)))="ENTREGADO",
IFERROR(
INDEX(REPORTE_DROPI!Y:Y,
MATCH($T259, REPORTE_DROPI!B:B, 0)
),
""
),
""
)
</f>
        <v>8.37</v>
      </c>
      <c r="F259" s="121">
        <v>3.0</v>
      </c>
      <c r="G259" s="122">
        <f t="array" ref="G259">IF(
UPPER(TRIM(CLEAN($O259)))="ENTREGADO",
IFERROR(
INDEX(REPORTE_DROPI!R:R,
MATCH($T259, REPORTE_DROPI!B:B, 0)
),
""
),
""
)
</f>
        <v>30</v>
      </c>
      <c r="H259" s="118" t="s">
        <v>3727</v>
      </c>
      <c r="I259" s="118" t="s">
        <v>3772</v>
      </c>
      <c r="J259" s="121">
        <f t="array" ref="J259">IF(
UPPER(TRIM(CLEAN($O259)))="ENTREGADO",
IFERROR(
INDEX(REPORTE_DROPI!T:T,
MATCH($T259, REPORTE_DROPI!B:B, 0)
),
""
),
""
)
</f>
        <v>6.16</v>
      </c>
      <c r="K259" s="118">
        <f t="array" ref="K259">IFERROR(
INDEX(REPORTE_DROPI!S:S,
MATCH($T259, REPORTE_DROPI!B:B, 0)
),
""
)
</f>
        <v>15.47</v>
      </c>
      <c r="L259" s="118" t="str">
        <f>IF(
  O259&lt;&gt;"DEVOLUCION",
  "",
  IF(
    T259="",
    "",
    SUMIF(DEVOLUCION!F:F, T259, DEVOLUCION!D:D)
  )
)
</f>
        <v/>
      </c>
      <c r="M259" s="118"/>
      <c r="N259" s="118" t="s">
        <v>4206</v>
      </c>
      <c r="O259" s="118" t="str">
        <f t="array" ref="O259">IFERROR(
VLOOKUP(
TRIM(CLEAN(
INDEX(REPORTE_DROPI!K:K,
MATCH(T259, REPORTE_DROPI!B:B, 0)
))),
{
TRIM(CLEAN(MAPA_ESTADOS!A:A)) ,
MAPA_ESTADOS!B:B
},
2,
FALSE
),
"REVISAR"
)
</f>
        <v>ENTREGADO</v>
      </c>
      <c r="P259" s="118"/>
      <c r="Q259" s="122">
        <f t="shared" si="1"/>
        <v>0</v>
      </c>
      <c r="R259" s="118"/>
      <c r="S259" s="118"/>
      <c r="T259" s="118">
        <f t="array" ref="T259">IFERROR(
INDEX(REPORTE_DROPI!B:B,
MATCH(
CLEAN(TRIM(C259)),
CLEAN(TRIM(REPORTE_DROPI!E:E)),
0
)
),
""
)
</f>
        <v>4101053</v>
      </c>
      <c r="U259" s="118">
        <v>6.406139740204E12</v>
      </c>
      <c r="V259" s="78"/>
      <c r="W259" s="78"/>
      <c r="X259" s="78"/>
      <c r="Y259" s="78"/>
      <c r="Z259" s="78"/>
    </row>
    <row r="260" ht="22.5" customHeight="1">
      <c r="A260" s="118">
        <v>259.0</v>
      </c>
      <c r="B260" s="119">
        <v>46033.0</v>
      </c>
      <c r="C260" s="126" t="s">
        <v>4207</v>
      </c>
      <c r="D260" s="118" t="str">
        <f>IFERROR(__xludf.DUMMYFUNCTION("IFERROR(
  INDEX(
    FILTER(
      'NOMBRE DE PRODUCTOS'!B:B,
      REGEXMATCH(
        UPPER(
          INDEX(
            REPORTE_DROPI!AC:AC,
            MATCH(T260, REPORTE_DROPI!B:B, 0)
          )
        ),
        UPPER('NOMBRE DE PRODUCTOS'!A:A)"&amp;"
      )
    ),
    1
  ),
  ""REVISAR""
)
"),"FilmPro®")</f>
        <v>FilmPro®</v>
      </c>
      <c r="E260" s="120" t="str">
        <f t="array" ref="E260">IF(
UPPER(TRIM(CLEAN($O260)))="ENTREGADO",
IFERROR(
INDEX(REPORTE_DROPI!Y:Y,
MATCH($T260, REPORTE_DROPI!B:B, 0)
),
""
),
""
)
</f>
        <v/>
      </c>
      <c r="F260" s="121">
        <v>3.0</v>
      </c>
      <c r="G260" s="122" t="str">
        <f t="array" ref="G260">IF(
UPPER(TRIM(CLEAN($O260)))="ENTREGADO",
IFERROR(
INDEX(REPORTE_DROPI!R:R,
MATCH($T260, REPORTE_DROPI!B:B, 0)
),
""
),
""
)
</f>
        <v/>
      </c>
      <c r="H260" s="118" t="s">
        <v>3727</v>
      </c>
      <c r="I260" s="118" t="s">
        <v>3951</v>
      </c>
      <c r="J260" s="121" t="str">
        <f t="array" ref="J260">IF(
UPPER(TRIM(CLEAN($O260)))="ENTREGADO",
IFERROR(
INDEX(REPORTE_DROPI!T:T,
MATCH($T260, REPORTE_DROPI!B:B, 0)
),
""
),
""
)
</f>
        <v/>
      </c>
      <c r="K260" s="118" t="str">
        <f t="array" ref="K260">IFERROR(
INDEX(REPORTE_DROPI!S:S,
MATCH($T260, REPORTE_DROPI!B:B, 0)
),
""
)
</f>
        <v/>
      </c>
      <c r="L260" s="118" t="str">
        <f>IF(
  O260&lt;&gt;"DEVOLUCION",
  "",
  IF(
    T260="",
    "",
    SUMIF(DEVOLUCION!F:F, T260, DEVOLUCION!D:D)
  )
)
</f>
        <v/>
      </c>
      <c r="M260" s="118"/>
      <c r="N260" s="118" t="s">
        <v>4208</v>
      </c>
      <c r="O260" s="118" t="str">
        <f t="array" ref="O260">IFERROR(
VLOOKUP(
TRIM(CLEAN(
INDEX(REPORTE_DROPI!K:K,
MATCH(T260, REPORTE_DROPI!B:B, 0)
))),
{
TRIM(CLEAN(MAPA_ESTADOS!A:A)) ,
MAPA_ESTADOS!B:B
},
2,
FALSE
),
"REVISAR"
)
</f>
        <v>PENDIENTE</v>
      </c>
      <c r="P260" s="118" t="s">
        <v>3888</v>
      </c>
      <c r="Q260" s="122">
        <f t="shared" si="1"/>
        <v>0</v>
      </c>
      <c r="R260" s="118"/>
      <c r="S260" s="118"/>
      <c r="T260" s="118">
        <f t="array" ref="T260">IFERROR(
INDEX(REPORTE_DROPI!B:B,
MATCH(
CLEAN(TRIM(C260)),
CLEAN(TRIM(REPORTE_DROPI!E:E)),
0
)
),
""
)
</f>
        <v>4122283</v>
      </c>
      <c r="U260" s="118">
        <v>6.406159859756E12</v>
      </c>
      <c r="V260" s="78"/>
      <c r="W260" s="78"/>
      <c r="X260" s="78"/>
      <c r="Y260" s="78"/>
      <c r="Z260" s="78"/>
    </row>
    <row r="261" ht="22.5" customHeight="1">
      <c r="A261" s="118">
        <v>260.0</v>
      </c>
      <c r="B261" s="119">
        <v>46033.0</v>
      </c>
      <c r="C261" s="118" t="s">
        <v>4209</v>
      </c>
      <c r="D261" s="118" t="str">
        <f>IFERROR(__xludf.DUMMYFUNCTION("IFERROR(
  INDEX(
    FILTER(
      'NOMBRE DE PRODUCTOS'!B:B,
      REGEXMATCH(
        UPPER(
          INDEX(
            REPORTE_DROPI!AC:AC,
            MATCH(T261, REPORTE_DROPI!B:B, 0)
          )
        ),
        UPPER('NOMBRE DE PRODUCTOS'!A:A)"&amp;"
      )
    ),
    1
  ),
  ""REVISAR""
)
"),"Cuchillo Tazaki™")</f>
        <v>Cuchillo Tazaki™</v>
      </c>
      <c r="E261" s="120" t="str">
        <f t="array" ref="E261">IF(
UPPER(TRIM(CLEAN($O261)))="ENTREGADO",
IFERROR(
INDEX(REPORTE_DROPI!Y:Y,
MATCH($T261, REPORTE_DROPI!B:B, 0)
),
""
),
""
)
</f>
        <v/>
      </c>
      <c r="F261" s="121">
        <v>2.0</v>
      </c>
      <c r="G261" s="122" t="str">
        <f t="array" ref="G261">IF(
UPPER(TRIM(CLEAN($O261)))="ENTREGADO",
IFERROR(
INDEX(REPORTE_DROPI!R:R,
MATCH($T261, REPORTE_DROPI!B:B, 0)
),
""
),
""
)
</f>
        <v/>
      </c>
      <c r="H261" s="118" t="s">
        <v>3727</v>
      </c>
      <c r="I261" s="118" t="s">
        <v>3740</v>
      </c>
      <c r="J261" s="121" t="str">
        <f t="array" ref="J261">IF(
UPPER(TRIM(CLEAN($O261)))="ENTREGADO",
IFERROR(
INDEX(REPORTE_DROPI!T:T,
MATCH($T261, REPORTE_DROPI!B:B, 0)
),
""
),
""
)
</f>
        <v/>
      </c>
      <c r="K261" s="118" t="str">
        <f t="array" ref="K261">IFERROR(
INDEX(REPORTE_DROPI!S:S,
MATCH($T261, REPORTE_DROPI!B:B, 0)
),
""
)
</f>
        <v/>
      </c>
      <c r="L261" s="118">
        <f>IF(
  O261&lt;&gt;"DEVOLUCION",
  "",
  IF(
    T261="",
    "",
    SUMIF(DEVOLUCION!F:F, T261, DEVOLUCION!D:D)
  )
)
</f>
        <v>7.7</v>
      </c>
      <c r="M261" s="118" t="s">
        <v>3870</v>
      </c>
      <c r="N261" s="118" t="s">
        <v>4210</v>
      </c>
      <c r="O261" s="118" t="str">
        <f t="array" ref="O261">IFERROR(
VLOOKUP(
TRIM(CLEAN(
INDEX(REPORTE_DROPI!K:K,
MATCH(T261, REPORTE_DROPI!B:B, 0)
))),
{
TRIM(CLEAN(MAPA_ESTADOS!A:A)) ,
MAPA_ESTADOS!B:B
},
2,
FALSE
),
"REVISAR"
)
</f>
        <v>DEVOLUCION</v>
      </c>
      <c r="P261" s="118"/>
      <c r="Q261" s="122">
        <f t="shared" si="1"/>
        <v>0</v>
      </c>
      <c r="R261" s="118"/>
      <c r="S261" s="118"/>
      <c r="T261" s="118">
        <f t="array" ref="T261">IFERROR(
INDEX(REPORTE_DROPI!B:B,
MATCH(
CLEAN(TRIM(C261)),
CLEAN(TRIM(REPORTE_DROPI!E:E)),
0
)
),
""
)
</f>
        <v>4101301</v>
      </c>
      <c r="U261" s="118">
        <v>6.406171000876E12</v>
      </c>
      <c r="V261" s="78"/>
      <c r="W261" s="78"/>
      <c r="X261" s="78"/>
      <c r="Y261" s="78"/>
      <c r="Z261" s="78"/>
    </row>
    <row r="262" ht="22.5" customHeight="1">
      <c r="A262" s="118">
        <v>261.0</v>
      </c>
      <c r="B262" s="119">
        <v>46033.0</v>
      </c>
      <c r="C262" s="118" t="s">
        <v>4211</v>
      </c>
      <c r="D262" s="118" t="str">
        <f>IFERROR(__xludf.DUMMYFUNCTION("IFERROR(
  INDEX(
    FILTER(
      'NOMBRE DE PRODUCTOS'!B:B,
      REGEXMATCH(
        UPPER(
          INDEX(
            REPORTE_DROPI!AC:AC,
            MATCH(T262, REPORTE_DROPI!B:B, 0)
          )
        ),
        UPPER('NOMBRE DE PRODUCTOS'!A:A)"&amp;"
      )
    ),
    1
  ),
  ""REVISAR""
)
"),"FilmPro®")</f>
        <v>FilmPro®</v>
      </c>
      <c r="E262" s="120">
        <f t="array" ref="E262">IF(
UPPER(TRIM(CLEAN($O262)))="ENTREGADO",
IFERROR(
INDEX(REPORTE_DROPI!Y:Y,
MATCH($T262, REPORTE_DROPI!B:B, 0)
),
""
),
""
)
</f>
        <v>2.79</v>
      </c>
      <c r="F262" s="121">
        <v>1.0</v>
      </c>
      <c r="G262" s="122">
        <f t="array" ref="G262">IF(
UPPER(TRIM(CLEAN($O262)))="ENTREGADO",
IFERROR(
INDEX(REPORTE_DROPI!R:R,
MATCH($T262, REPORTE_DROPI!B:B, 0)
),
""
),
""
)
</f>
        <v>20</v>
      </c>
      <c r="H262" s="118" t="s">
        <v>3727</v>
      </c>
      <c r="I262" s="118" t="s">
        <v>3912</v>
      </c>
      <c r="J262" s="121">
        <f t="array" ref="J262">IF(
UPPER(TRIM(CLEAN($O262)))="ENTREGADO",
IFERROR(
INDEX(REPORTE_DROPI!T:T,
MATCH($T262, REPORTE_DROPI!B:B, 0)
),
""
),
""
)
</f>
        <v>5.76</v>
      </c>
      <c r="K262" s="118">
        <f t="array" ref="K262">IFERROR(
INDEX(REPORTE_DROPI!S:S,
MATCH($T262, REPORTE_DROPI!B:B, 0)
),
""
)
</f>
        <v>11.45</v>
      </c>
      <c r="L262" s="118" t="str">
        <f>IF(
  O262&lt;&gt;"DEVOLUCION",
  "",
  IF(
    T262="",
    "",
    SUMIF(DEVOLUCION!F:F, T262, DEVOLUCION!D:D)
  )
)
</f>
        <v/>
      </c>
      <c r="M262" s="118"/>
      <c r="N262" s="118" t="s">
        <v>4212</v>
      </c>
      <c r="O262" s="118" t="str">
        <f t="array" ref="O262">IFERROR(
VLOOKUP(
TRIM(CLEAN(
INDEX(REPORTE_DROPI!K:K,
MATCH(T262, REPORTE_DROPI!B:B, 0)
))),
{
TRIM(CLEAN(MAPA_ESTADOS!A:A)) ,
MAPA_ESTADOS!B:B
},
2,
FALSE
),
"REVISAR"
)
</f>
        <v>ENTREGADO</v>
      </c>
      <c r="P262" s="118"/>
      <c r="Q262" s="122">
        <f t="shared" si="1"/>
        <v>0</v>
      </c>
      <c r="R262" s="118"/>
      <c r="S262" s="118"/>
      <c r="T262" s="118">
        <f t="array" ref="T262">IFERROR(
INDEX(REPORTE_DROPI!B:B,
MATCH(
CLEAN(TRIM(C262)),
CLEAN(TRIM(REPORTE_DROPI!E:E)),
0
)
),
""
)
</f>
        <v>4101442</v>
      </c>
      <c r="U262" s="118">
        <v>6.406187614252E12</v>
      </c>
      <c r="V262" s="78"/>
      <c r="W262" s="78"/>
      <c r="X262" s="78"/>
      <c r="Y262" s="78"/>
      <c r="Z262" s="78"/>
    </row>
    <row r="263" ht="22.5" customHeight="1">
      <c r="A263" s="118">
        <v>262.0</v>
      </c>
      <c r="B263" s="119">
        <v>46033.0</v>
      </c>
      <c r="C263" s="118" t="s">
        <v>4213</v>
      </c>
      <c r="D263" s="118" t="str">
        <f>IFERROR(__xludf.DUMMYFUNCTION("IFERROR(
  INDEX(
    FILTER(
      'NOMBRE DE PRODUCTOS'!B:B,
      REGEXMATCH(
        UPPER(
          INDEX(
            REPORTE_DROPI!AC:AC,
            MATCH(T263, REPORTE_DROPI!B:B, 0)
          )
        ),
        UPPER('NOMBRE DE PRODUCTOS'!A:A)"&amp;"
      )
    ),
    1
  ),
  ""REVISAR""
)
"),"FilmPro®")</f>
        <v>FilmPro®</v>
      </c>
      <c r="E263" s="120">
        <f t="array" ref="E263">IF(
UPPER(TRIM(CLEAN($O263)))="ENTREGADO",
IFERROR(
INDEX(REPORTE_DROPI!Y:Y,
MATCH($T263, REPORTE_DROPI!B:B, 0)
),
""
),
""
)
</f>
        <v>5.58</v>
      </c>
      <c r="F263" s="121">
        <v>2.0</v>
      </c>
      <c r="G263" s="122">
        <f t="array" ref="G263">IF(
UPPER(TRIM(CLEAN($O263)))="ENTREGADO",
IFERROR(
INDEX(REPORTE_DROPI!R:R,
MATCH($T263, REPORTE_DROPI!B:B, 0)
),
""
),
""
)
</f>
        <v>25</v>
      </c>
      <c r="H263" s="118" t="s">
        <v>3727</v>
      </c>
      <c r="I263" s="118" t="s">
        <v>3804</v>
      </c>
      <c r="J263" s="121">
        <f t="array" ref="J263">IF(
UPPER(TRIM(CLEAN($O263)))="ENTREGADO",
IFERROR(
INDEX(REPORTE_DROPI!T:T,
MATCH($T263, REPORTE_DROPI!B:B, 0)
),
""
),
""
)
</f>
        <v>5.96</v>
      </c>
      <c r="K263" s="118">
        <f t="array" ref="K263">IFERROR(
INDEX(REPORTE_DROPI!S:S,
MATCH($T263, REPORTE_DROPI!B:B, 0)
),
""
)
</f>
        <v>13.46</v>
      </c>
      <c r="L263" s="118" t="str">
        <f>IF(
  O263&lt;&gt;"DEVOLUCION",
  "",
  IF(
    T263="",
    "",
    SUMIF(DEVOLUCION!F:F, T263, DEVOLUCION!D:D)
  )
)
</f>
        <v/>
      </c>
      <c r="M263" s="118"/>
      <c r="N263" s="118" t="s">
        <v>4214</v>
      </c>
      <c r="O263" s="118" t="str">
        <f t="array" ref="O263">IFERROR(
VLOOKUP(
TRIM(CLEAN(
INDEX(REPORTE_DROPI!K:K,
MATCH(T263, REPORTE_DROPI!B:B, 0)
))),
{
TRIM(CLEAN(MAPA_ESTADOS!A:A)) ,
MAPA_ESTADOS!B:B
},
2,
FALSE
),
"REVISAR"
)
</f>
        <v>ENTREGADO</v>
      </c>
      <c r="P263" s="118"/>
      <c r="Q263" s="122">
        <f t="shared" si="1"/>
        <v>0</v>
      </c>
      <c r="R263" s="118"/>
      <c r="S263" s="118"/>
      <c r="T263" s="118">
        <f t="array" ref="T263">IFERROR(
INDEX(REPORTE_DROPI!B:B,
MATCH(
CLEAN(TRIM(C263)),
CLEAN(TRIM(REPORTE_DROPI!E:E)),
0
)
),
""
)
</f>
        <v>4101444</v>
      </c>
      <c r="U263" s="118">
        <v>6.406187778092E12</v>
      </c>
      <c r="V263" s="78"/>
      <c r="W263" s="78"/>
      <c r="X263" s="78"/>
      <c r="Y263" s="78"/>
      <c r="Z263" s="78"/>
    </row>
    <row r="264" ht="22.5" customHeight="1">
      <c r="A264" s="118">
        <v>263.0</v>
      </c>
      <c r="B264" s="119">
        <v>46033.0</v>
      </c>
      <c r="C264" s="126" t="s">
        <v>4215</v>
      </c>
      <c r="D264" s="118" t="str">
        <f>IFERROR(__xludf.DUMMYFUNCTION("IFERROR(
  INDEX(
    FILTER(
      'NOMBRE DE PRODUCTOS'!B:B,
      REGEXMATCH(
        UPPER(
          INDEX(
            REPORTE_DROPI!AC:AC,
            MATCH(T264, REPORTE_DROPI!B:B, 0)
          )
        ),
        UPPER('NOMBRE DE PRODUCTOS'!A:A)"&amp;"
      )
    ),
    1
  ),
  ""REVISAR""
)
"),"FilmPro®")</f>
        <v>FilmPro®</v>
      </c>
      <c r="E264" s="120" t="str">
        <f t="array" ref="E264">IF(
UPPER(TRIM(CLEAN($O264)))="ENTREGADO",
IFERROR(
INDEX(REPORTE_DROPI!Y:Y,
MATCH($T264, REPORTE_DROPI!B:B, 0)
),
""
),
""
)
</f>
        <v/>
      </c>
      <c r="F264" s="121">
        <v>3.0</v>
      </c>
      <c r="G264" s="122" t="str">
        <f t="array" ref="G264">IF(
UPPER(TRIM(CLEAN($O264)))="ENTREGADO",
IFERROR(
INDEX(REPORTE_DROPI!R:R,
MATCH($T264, REPORTE_DROPI!B:B, 0)
),
""
),
""
)
</f>
        <v/>
      </c>
      <c r="H264" s="118" t="s">
        <v>3727</v>
      </c>
      <c r="I264" s="118" t="s">
        <v>3735</v>
      </c>
      <c r="J264" s="121" t="str">
        <f t="array" ref="J264">IF(
UPPER(TRIM(CLEAN($O264)))="ENTREGADO",
IFERROR(
INDEX(REPORTE_DROPI!T:T,
MATCH($T264, REPORTE_DROPI!B:B, 0)
),
""
),
""
)
</f>
        <v/>
      </c>
      <c r="K264" s="118" t="str">
        <f t="array" ref="K264">IFERROR(
INDEX(REPORTE_DROPI!S:S,
MATCH($T264, REPORTE_DROPI!B:B, 0)
),
""
)
</f>
        <v/>
      </c>
      <c r="L264" s="118">
        <f>IF(
  O264&lt;&gt;"DEVOLUCION",
  "",
  IF(
    T264="",
    "",
    SUMIF(DEVOLUCION!F:F, T264, DEVOLUCION!D:D)
  )
)
</f>
        <v>5.12</v>
      </c>
      <c r="M264" s="118" t="s">
        <v>3870</v>
      </c>
      <c r="N264" s="118" t="s">
        <v>4216</v>
      </c>
      <c r="O264" s="118" t="str">
        <f t="array" ref="O264">IFERROR(
VLOOKUP(
TRIM(CLEAN(
INDEX(REPORTE_DROPI!K:K,
MATCH(T264, REPORTE_DROPI!B:B, 0)
))),
{
TRIM(CLEAN(MAPA_ESTADOS!A:A)) ,
MAPA_ESTADOS!B:B
},
2,
FALSE
),
"REVISAR"
)
</f>
        <v>DEVOLUCION</v>
      </c>
      <c r="P264" s="118" t="s">
        <v>4217</v>
      </c>
      <c r="Q264" s="122">
        <f t="shared" si="1"/>
        <v>0</v>
      </c>
      <c r="R264" s="118"/>
      <c r="S264" s="118"/>
      <c r="T264" s="118">
        <f t="array" ref="T264">IFERROR(
INDEX(REPORTE_DROPI!B:B,
MATCH(
CLEAN(TRIM(C264)),
CLEAN(TRIM(REPORTE_DROPI!E:E)),
0
)
),
""
)
</f>
        <v>4248733</v>
      </c>
      <c r="U264" s="118">
        <v>6.406195052588E12</v>
      </c>
      <c r="V264" s="78"/>
      <c r="W264" s="78"/>
      <c r="X264" s="78"/>
      <c r="Y264" s="78"/>
      <c r="Z264" s="78"/>
    </row>
    <row r="265" ht="22.5" customHeight="1">
      <c r="A265" s="118">
        <v>264.0</v>
      </c>
      <c r="B265" s="119">
        <v>46033.0</v>
      </c>
      <c r="C265" s="118" t="s">
        <v>4218</v>
      </c>
      <c r="D265" s="118" t="str">
        <f>IFERROR(__xludf.DUMMYFUNCTION("IFERROR(
  INDEX(
    FILTER(
      'NOMBRE DE PRODUCTOS'!B:B,
      REGEXMATCH(
        UPPER(
          INDEX(
            REPORTE_DROPI!AC:AC,
            MATCH(T265, REPORTE_DROPI!B:B, 0)
          )
        ),
        UPPER('NOMBRE DE PRODUCTOS'!A:A)"&amp;"
      )
    ),
    1
  ),
  ""REVISAR""
)
"),"FilmPro®")</f>
        <v>FilmPro®</v>
      </c>
      <c r="E265" s="120">
        <f t="array" ref="E265">IF(
UPPER(TRIM(CLEAN($O265)))="ENTREGADO",
IFERROR(
INDEX(REPORTE_DROPI!Y:Y,
MATCH($T265, REPORTE_DROPI!B:B, 0)
),
""
),
""
)
</f>
        <v>2.79</v>
      </c>
      <c r="F265" s="121">
        <v>1.0</v>
      </c>
      <c r="G265" s="122">
        <f t="array" ref="G265">IF(
UPPER(TRIM(CLEAN($O265)))="ENTREGADO",
IFERROR(
INDEX(REPORTE_DROPI!R:R,
MATCH($T265, REPORTE_DROPI!B:B, 0)
),
""
),
""
)
</f>
        <v>20</v>
      </c>
      <c r="H265" s="118" t="s">
        <v>3727</v>
      </c>
      <c r="I265" s="118" t="s">
        <v>3778</v>
      </c>
      <c r="J265" s="121">
        <f t="array" ref="J265">IF(
UPPER(TRIM(CLEAN($O265)))="ENTREGADO",
IFERROR(
INDEX(REPORTE_DROPI!T:T,
MATCH($T265, REPORTE_DROPI!B:B, 0)
),
""
),
""
)
</f>
        <v>5.76</v>
      </c>
      <c r="K265" s="118">
        <f t="array" ref="K265">IFERROR(
INDEX(REPORTE_DROPI!S:S,
MATCH($T265, REPORTE_DROPI!B:B, 0)
),
""
)
</f>
        <v>11.45</v>
      </c>
      <c r="L265" s="118" t="str">
        <f>IF(
  O265&lt;&gt;"DEVOLUCION",
  "",
  IF(
    T265="",
    "",
    SUMIF(DEVOLUCION!F:F, T265, DEVOLUCION!D:D)
  )
)
</f>
        <v/>
      </c>
      <c r="M265" s="118" t="s">
        <v>3870</v>
      </c>
      <c r="N265" s="118" t="s">
        <v>4219</v>
      </c>
      <c r="O265" s="118" t="str">
        <f t="array" ref="O265">IFERROR(
VLOOKUP(
TRIM(CLEAN(
INDEX(REPORTE_DROPI!K:K,
MATCH(T265, REPORTE_DROPI!B:B, 0)
))),
{
TRIM(CLEAN(MAPA_ESTADOS!A:A)) ,
MAPA_ESTADOS!B:B
},
2,
FALSE
),
"REVISAR"
)
</f>
        <v>ENTREGADO</v>
      </c>
      <c r="P265" s="118"/>
      <c r="Q265" s="122">
        <f t="shared" si="1"/>
        <v>0</v>
      </c>
      <c r="R265" s="118"/>
      <c r="S265" s="118"/>
      <c r="T265" s="118">
        <f t="array" ref="T265">IFERROR(
INDEX(REPORTE_DROPI!B:B,
MATCH(
CLEAN(TRIM(C265)),
CLEAN(TRIM(REPORTE_DROPI!E:E)),
0
)
),
""
)
</f>
        <v>4101643</v>
      </c>
      <c r="U265" s="118">
        <v>6.406219333676E12</v>
      </c>
      <c r="V265" s="78"/>
      <c r="W265" s="78"/>
      <c r="X265" s="78"/>
      <c r="Y265" s="78"/>
      <c r="Z265" s="78"/>
    </row>
    <row r="266" ht="22.5" customHeight="1">
      <c r="A266" s="118">
        <v>265.0</v>
      </c>
      <c r="B266" s="119">
        <v>46033.0</v>
      </c>
      <c r="C266" s="118" t="s">
        <v>4220</v>
      </c>
      <c r="D266" s="118" t="str">
        <f>IFERROR(__xludf.DUMMYFUNCTION("IFERROR(
  INDEX(
    FILTER(
      'NOMBRE DE PRODUCTOS'!B:B,
      REGEXMATCH(
        UPPER(
          INDEX(
            REPORTE_DROPI!AC:AC,
            MATCH(T266, REPORTE_DROPI!B:B, 0)
          )
        ),
        UPPER('NOMBRE DE PRODUCTOS'!A:A)"&amp;"
      )
    ),
    1
  ),
  ""REVISAR""
)
"),"FilmPro®")</f>
        <v>FilmPro®</v>
      </c>
      <c r="E266" s="120" t="str">
        <f t="array" ref="E266">IF(
UPPER(TRIM(CLEAN($O266)))="ENTREGADO",
IFERROR(
INDEX(REPORTE_DROPI!Y:Y,
MATCH($T266, REPORTE_DROPI!B:B, 0)
),
""
),
""
)
</f>
        <v/>
      </c>
      <c r="F266" s="121">
        <v>2.0</v>
      </c>
      <c r="G266" s="122" t="str">
        <f t="array" ref="G266">IF(
UPPER(TRIM(CLEAN($O266)))="ENTREGADO",
IFERROR(
INDEX(REPORTE_DROPI!R:R,
MATCH($T266, REPORTE_DROPI!B:B, 0)
),
""
),
""
)
</f>
        <v/>
      </c>
      <c r="H266" s="118" t="s">
        <v>3727</v>
      </c>
      <c r="I266" s="118" t="s">
        <v>3855</v>
      </c>
      <c r="J266" s="121" t="str">
        <f t="array" ref="J266">IF(
UPPER(TRIM(CLEAN($O266)))="ENTREGADO",
IFERROR(
INDEX(REPORTE_DROPI!T:T,
MATCH($T266, REPORTE_DROPI!B:B, 0)
),
""
),
""
)
</f>
        <v/>
      </c>
      <c r="K266" s="118" t="str">
        <f t="array" ref="K266">IFERROR(
INDEX(REPORTE_DROPI!S:S,
MATCH($T266, REPORTE_DROPI!B:B, 0)
),
""
)
</f>
        <v/>
      </c>
      <c r="L266" s="118" t="str">
        <f>IF(
  O266&lt;&gt;"DEVOLUCION",
  "",
  IF(
    T266="",
    "",
    SUMIF(DEVOLUCION!F:F, T266, DEVOLUCION!D:D)
  )
)
</f>
        <v/>
      </c>
      <c r="M266" s="118"/>
      <c r="N266" s="118" t="s">
        <v>4221</v>
      </c>
      <c r="O266" s="118" t="str">
        <f t="array" ref="O266">IFERROR(
VLOOKUP(
TRIM(CLEAN(
INDEX(REPORTE_DROPI!K:K,
MATCH(T266, REPORTE_DROPI!B:B, 0)
))),
{
TRIM(CLEAN(MAPA_ESTADOS!A:A)) ,
MAPA_ESTADOS!B:B
},
2,
FALSE
),
"REVISAR"
)
</f>
        <v>CANCELADO</v>
      </c>
      <c r="P266" s="118" t="s">
        <v>3955</v>
      </c>
      <c r="Q266" s="122">
        <f t="shared" si="1"/>
        <v>0</v>
      </c>
      <c r="R266" s="118"/>
      <c r="S266" s="118"/>
      <c r="T266" s="118">
        <f t="array" ref="T266">IFERROR(
INDEX(REPORTE_DROPI!B:B,
MATCH(
CLEAN(TRIM(C266)),
CLEAN(TRIM(REPORTE_DROPI!E:E)),
0
)
),
""
)
</f>
        <v>4101656</v>
      </c>
      <c r="U266" s="118">
        <v>6.406221463596E12</v>
      </c>
      <c r="V266" s="78"/>
      <c r="W266" s="78"/>
      <c r="X266" s="78"/>
      <c r="Y266" s="78"/>
      <c r="Z266" s="78"/>
    </row>
    <row r="267" ht="22.5" customHeight="1">
      <c r="A267" s="118">
        <v>266.0</v>
      </c>
      <c r="B267" s="119">
        <v>46033.0</v>
      </c>
      <c r="C267" s="126" t="s">
        <v>4222</v>
      </c>
      <c r="D267" s="118" t="str">
        <f>IFERROR(__xludf.DUMMYFUNCTION("IFERROR(
  INDEX(
    FILTER(
      'NOMBRE DE PRODUCTOS'!B:B,
      REGEXMATCH(
        UPPER(
          INDEX(
            REPORTE_DROPI!AC:AC,
            MATCH(T267, REPORTE_DROPI!B:B, 0)
          )
        ),
        UPPER('NOMBRE DE PRODUCTOS'!A:A)"&amp;"
      )
    ),
    1
  ),
  ""REVISAR""
)
"),"FilmPro®")</f>
        <v>FilmPro®</v>
      </c>
      <c r="E267" s="120" t="str">
        <f t="array" ref="E267">IF(
UPPER(TRIM(CLEAN($O267)))="ENTREGADO",
IFERROR(
INDEX(REPORTE_DROPI!Y:Y,
MATCH($T267, REPORTE_DROPI!B:B, 0)
),
""
),
""
)
</f>
        <v/>
      </c>
      <c r="F267" s="121">
        <v>2.0</v>
      </c>
      <c r="G267" s="122" t="str">
        <f t="array" ref="G267">IF(
UPPER(TRIM(CLEAN($O267)))="ENTREGADO",
IFERROR(
INDEX(REPORTE_DROPI!R:R,
MATCH($T267, REPORTE_DROPI!B:B, 0)
),
""
),
""
)
</f>
        <v/>
      </c>
      <c r="H267" s="118" t="s">
        <v>3727</v>
      </c>
      <c r="I267" s="118" t="s">
        <v>3731</v>
      </c>
      <c r="J267" s="121" t="str">
        <f t="array" ref="J267">IF(
UPPER(TRIM(CLEAN($O267)))="ENTREGADO",
IFERROR(
INDEX(REPORTE_DROPI!T:T,
MATCH($T267, REPORTE_DROPI!B:B, 0)
),
""
),
""
)
</f>
        <v/>
      </c>
      <c r="K267" s="118" t="str">
        <f t="array" ref="K267">IFERROR(
INDEX(REPORTE_DROPI!S:S,
MATCH($T267, REPORTE_DROPI!B:B, 0)
),
""
)
</f>
        <v/>
      </c>
      <c r="L267" s="118" t="str">
        <f>IF(
  O267&lt;&gt;"DEVOLUCION",
  "",
  IF(
    T267="",
    "",
    SUMIF(DEVOLUCION!F:F, T267, DEVOLUCION!D:D)
  )
)
</f>
        <v/>
      </c>
      <c r="M267" s="118"/>
      <c r="N267" s="118" t="s">
        <v>4223</v>
      </c>
      <c r="O267" s="118" t="str">
        <f t="array" ref="O267">IFERROR(
VLOOKUP(
TRIM(CLEAN(
INDEX(REPORTE_DROPI!K:K,
MATCH(T267, REPORTE_DROPI!B:B, 0)
))),
{
TRIM(CLEAN(MAPA_ESTADOS!A:A)) ,
MAPA_ESTADOS!B:B
},
2,
FALSE
),
"REVISAR"
)
</f>
        <v>PENDIENTE</v>
      </c>
      <c r="P267" s="118" t="s">
        <v>4224</v>
      </c>
      <c r="Q267" s="122">
        <f t="shared" si="1"/>
        <v>0</v>
      </c>
      <c r="R267" s="118"/>
      <c r="S267" s="118"/>
      <c r="T267" s="118">
        <f t="array" ref="T267">IFERROR(
INDEX(REPORTE_DROPI!B:B,
MATCH(
CLEAN(TRIM(C267)),
CLEAN(TRIM(REPORTE_DROPI!E:E)),
0
)
),
""
)
</f>
        <v>4101727</v>
      </c>
      <c r="U267" s="118">
        <v>6.406232277036E12</v>
      </c>
      <c r="V267" s="78"/>
      <c r="W267" s="78"/>
      <c r="X267" s="78"/>
      <c r="Y267" s="78"/>
      <c r="Z267" s="78"/>
    </row>
    <row r="268" ht="22.5" customHeight="1">
      <c r="A268" s="118">
        <v>267.0</v>
      </c>
      <c r="B268" s="119">
        <v>46033.0</v>
      </c>
      <c r="C268" s="118" t="s">
        <v>4225</v>
      </c>
      <c r="D268" s="118" t="str">
        <f>IFERROR(__xludf.DUMMYFUNCTION("IFERROR(
  INDEX(
    FILTER(
      'NOMBRE DE PRODUCTOS'!B:B,
      REGEXMATCH(
        UPPER(
          INDEX(
            REPORTE_DROPI!AC:AC,
            MATCH(T268, REPORTE_DROPI!B:B, 0)
          )
        ),
        UPPER('NOMBRE DE PRODUCTOS'!A:A)"&amp;"
      )
    ),
    1
  ),
  ""REVISAR""
)
"),"FilmPro®")</f>
        <v>FilmPro®</v>
      </c>
      <c r="E268" s="120">
        <f t="array" ref="E268">IF(
UPPER(TRIM(CLEAN($O268)))="ENTREGADO",
IFERROR(
INDEX(REPORTE_DROPI!Y:Y,
MATCH($T268, REPORTE_DROPI!B:B, 0)
),
""
),
""
)
</f>
        <v>2.79</v>
      </c>
      <c r="F268" s="121">
        <v>1.0</v>
      </c>
      <c r="G268" s="122">
        <f t="array" ref="G268">IF(
UPPER(TRIM(CLEAN($O268)))="ENTREGADO",
IFERROR(
INDEX(REPORTE_DROPI!R:R,
MATCH($T268, REPORTE_DROPI!B:B, 0)
),
""
),
""
)
</f>
        <v>20</v>
      </c>
      <c r="H268" s="118" t="s">
        <v>3727</v>
      </c>
      <c r="I268" s="118" t="s">
        <v>3731</v>
      </c>
      <c r="J268" s="121">
        <f t="array" ref="J268">IF(
UPPER(TRIM(CLEAN($O268)))="ENTREGADO",
IFERROR(
INDEX(REPORTE_DROPI!T:T,
MATCH($T268, REPORTE_DROPI!B:B, 0)
),
""
),
""
)
</f>
        <v>5.76</v>
      </c>
      <c r="K268" s="118">
        <f t="array" ref="K268">IFERROR(
INDEX(REPORTE_DROPI!S:S,
MATCH($T268, REPORTE_DROPI!B:B, 0)
),
""
)
</f>
        <v>11.45</v>
      </c>
      <c r="L268" s="118" t="str">
        <f>IF(
  O268&lt;&gt;"DEVOLUCION",
  "",
  IF(
    T268="",
    "",
    SUMIF(DEVOLUCION!F:F, T268, DEVOLUCION!D:D)
  )
)
</f>
        <v/>
      </c>
      <c r="M268" s="118"/>
      <c r="N268" s="118" t="s">
        <v>4226</v>
      </c>
      <c r="O268" s="118" t="str">
        <f t="array" ref="O268">IFERROR(
VLOOKUP(
TRIM(CLEAN(
INDEX(REPORTE_DROPI!K:K,
MATCH(T268, REPORTE_DROPI!B:B, 0)
))),
{
TRIM(CLEAN(MAPA_ESTADOS!A:A)) ,
MAPA_ESTADOS!B:B
},
2,
FALSE
),
"REVISAR"
)
</f>
        <v>ENTREGADO</v>
      </c>
      <c r="P268" s="118"/>
      <c r="Q268" s="122">
        <f t="shared" si="1"/>
        <v>0</v>
      </c>
      <c r="R268" s="118"/>
      <c r="S268" s="118"/>
      <c r="T268" s="118">
        <f t="array" ref="T268">IFERROR(
INDEX(REPORTE_DROPI!B:B,
MATCH(
CLEAN(TRIM(C268)),
CLEAN(TRIM(REPORTE_DROPI!E:E)),
0
)
),
""
)
</f>
        <v>4101837</v>
      </c>
      <c r="U268" s="118">
        <v>6.406241812524E12</v>
      </c>
      <c r="V268" s="78"/>
      <c r="W268" s="78"/>
      <c r="X268" s="78"/>
      <c r="Y268" s="78"/>
      <c r="Z268" s="78"/>
    </row>
    <row r="269" ht="22.5" customHeight="1">
      <c r="A269" s="118">
        <v>268.0</v>
      </c>
      <c r="B269" s="119">
        <v>46033.0</v>
      </c>
      <c r="C269" s="118" t="s">
        <v>4227</v>
      </c>
      <c r="D269" s="118" t="str">
        <f>IFERROR(__xludf.DUMMYFUNCTION("IFERROR(
  INDEX(
    FILTER(
      'NOMBRE DE PRODUCTOS'!B:B,
      REGEXMATCH(
        UPPER(
          INDEX(
            REPORTE_DROPI!AC:AC,
            MATCH(T269, REPORTE_DROPI!B:B, 0)
          )
        ),
        UPPER('NOMBRE DE PRODUCTOS'!A:A)"&amp;"
      )
    ),
    1
  ),
  ""REVISAR""
)
"),"Cuchillo Tazaki™")</f>
        <v>Cuchillo Tazaki™</v>
      </c>
      <c r="E269" s="120">
        <f t="array" ref="E269">IF(
UPPER(TRIM(CLEAN($O269)))="ENTREGADO",
IFERROR(
INDEX(REPORTE_DROPI!Y:Y,
MATCH($T269, REPORTE_DROPI!B:B, 0)
),
""
),
""
)
</f>
        <v>5.2</v>
      </c>
      <c r="F269" s="121">
        <v>2.0</v>
      </c>
      <c r="G269" s="122">
        <f t="array" ref="G269">IF(
UPPER(TRIM(CLEAN($O269)))="ENTREGADO",
IFERROR(
INDEX(REPORTE_DROPI!R:R,
MATCH($T269, REPORTE_DROPI!B:B, 0)
),
""
),
""
)
</f>
        <v>22</v>
      </c>
      <c r="H269" s="118" t="s">
        <v>3727</v>
      </c>
      <c r="I269" s="118" t="s">
        <v>3951</v>
      </c>
      <c r="J269" s="121">
        <f t="array" ref="J269">IF(
UPPER(TRIM(CLEAN($O269)))="ENTREGADO",
IFERROR(
INDEX(REPORTE_DROPI!T:T,
MATCH($T269, REPORTE_DROPI!B:B, 0)
),
""
),
""
)
</f>
        <v>5.84</v>
      </c>
      <c r="K269" s="118">
        <f t="array" ref="K269">IFERROR(
INDEX(REPORTE_DROPI!S:S,
MATCH($T269, REPORTE_DROPI!B:B, 0)
),
""
)
</f>
        <v>10.96</v>
      </c>
      <c r="L269" s="118" t="str">
        <f>IF(
  O269&lt;&gt;"DEVOLUCION",
  "",
  IF(
    T269="",
    "",
    SUMIF(DEVOLUCION!F:F, T269, DEVOLUCION!D:D)
  )
)
</f>
        <v/>
      </c>
      <c r="M269" s="118" t="s">
        <v>3870</v>
      </c>
      <c r="N269" s="118" t="s">
        <v>4228</v>
      </c>
      <c r="O269" s="118" t="str">
        <f t="array" ref="O269">IFERROR(
VLOOKUP(
TRIM(CLEAN(
INDEX(REPORTE_DROPI!K:K,
MATCH(T269, REPORTE_DROPI!B:B, 0)
))),
{
TRIM(CLEAN(MAPA_ESTADOS!A:A)) ,
MAPA_ESTADOS!B:B
},
2,
FALSE
),
"REVISAR"
)
</f>
        <v>ENTREGADO</v>
      </c>
      <c r="P269" s="118"/>
      <c r="Q269" s="122">
        <f t="shared" si="1"/>
        <v>0</v>
      </c>
      <c r="R269" s="118"/>
      <c r="S269" s="118"/>
      <c r="T269" s="118">
        <f t="array" ref="T269">IFERROR(
INDEX(REPORTE_DROPI!B:B,
MATCH(
CLEAN(TRIM(C269)),
CLEAN(TRIM(REPORTE_DROPI!E:E)),
0
)
),
""
)
</f>
        <v>4122372</v>
      </c>
      <c r="U269" s="118">
        <v>6.406259965996E12</v>
      </c>
      <c r="V269" s="78"/>
      <c r="W269" s="78"/>
      <c r="X269" s="78"/>
      <c r="Y269" s="78"/>
      <c r="Z269" s="78"/>
    </row>
    <row r="270" ht="22.5" customHeight="1">
      <c r="A270" s="118">
        <v>269.0</v>
      </c>
      <c r="B270" s="119">
        <v>46033.0</v>
      </c>
      <c r="C270" s="126" t="s">
        <v>4229</v>
      </c>
      <c r="D270" s="118" t="str">
        <f>IFERROR(__xludf.DUMMYFUNCTION("IFERROR(
  INDEX(
    FILTER(
      'NOMBRE DE PRODUCTOS'!B:B,
      REGEXMATCH(
        UPPER(
          INDEX(
            REPORTE_DROPI!AC:AC,
            MATCH(T270, REPORTE_DROPI!B:B, 0)
          )
        ),
        UPPER('NOMBRE DE PRODUCTOS'!A:A)"&amp;"
      )
    ),
    1
  ),
  ""REVISAR""
)
"),"FilmPro®")</f>
        <v>FilmPro®</v>
      </c>
      <c r="E270" s="120" t="str">
        <f t="array" ref="E270">IF(
UPPER(TRIM(CLEAN($O270)))="ENTREGADO",
IFERROR(
INDEX(REPORTE_DROPI!Y:Y,
MATCH($T270, REPORTE_DROPI!B:B, 0)
),
""
),
""
)
</f>
        <v/>
      </c>
      <c r="F270" s="121">
        <v>2.0</v>
      </c>
      <c r="G270" s="122" t="str">
        <f t="array" ref="G270">IF(
UPPER(TRIM(CLEAN($O270)))="ENTREGADO",
IFERROR(
INDEX(REPORTE_DROPI!R:R,
MATCH($T270, REPORTE_DROPI!B:B, 0)
),
""
),
""
)
</f>
        <v/>
      </c>
      <c r="H270" s="118" t="s">
        <v>3727</v>
      </c>
      <c r="I270" s="118" t="s">
        <v>3864</v>
      </c>
      <c r="J270" s="121" t="str">
        <f t="array" ref="J270">IF(
UPPER(TRIM(CLEAN($O270)))="ENTREGADO",
IFERROR(
INDEX(REPORTE_DROPI!T:T,
MATCH($T270, REPORTE_DROPI!B:B, 0)
),
""
),
""
)
</f>
        <v/>
      </c>
      <c r="K270" s="118" t="str">
        <f t="array" ref="K270">IFERROR(
INDEX(REPORTE_DROPI!S:S,
MATCH($T270, REPORTE_DROPI!B:B, 0)
),
""
)
</f>
        <v/>
      </c>
      <c r="L270" s="118" t="str">
        <f>IF(
  O270&lt;&gt;"DEVOLUCION",
  "",
  IF(
    T270="",
    "",
    SUMIF(DEVOLUCION!F:F, T270, DEVOLUCION!D:D)
  )
)
</f>
        <v/>
      </c>
      <c r="M270" s="118"/>
      <c r="N270" s="118" t="s">
        <v>4230</v>
      </c>
      <c r="O270" s="118" t="str">
        <f t="array" ref="O270">IFERROR(
VLOOKUP(
TRIM(CLEAN(
INDEX(REPORTE_DROPI!K:K,
MATCH(T270, REPORTE_DROPI!B:B, 0)
))),
{
TRIM(CLEAN(MAPA_ESTADOS!A:A)) ,
MAPA_ESTADOS!B:B
},
2,
FALSE
),
"REVISAR"
)
</f>
        <v>PENDIENTE</v>
      </c>
      <c r="P270" s="118" t="s">
        <v>3689</v>
      </c>
      <c r="Q270" s="122">
        <f t="shared" si="1"/>
        <v>0</v>
      </c>
      <c r="R270" s="118"/>
      <c r="S270" s="118"/>
      <c r="T270" s="118">
        <f t="array" ref="T270">IFERROR(
INDEX(REPORTE_DROPI!B:B,
MATCH(
CLEAN(TRIM(C270)),
CLEAN(TRIM(REPORTE_DROPI!E:E)),
0
)
),
""
)
</f>
        <v>4102151</v>
      </c>
      <c r="U270" s="118">
        <v>6.406285852716E12</v>
      </c>
      <c r="V270" s="78"/>
      <c r="W270" s="78"/>
      <c r="X270" s="78"/>
      <c r="Y270" s="78"/>
      <c r="Z270" s="78"/>
    </row>
    <row r="271" ht="22.5" customHeight="1">
      <c r="A271" s="118">
        <v>270.0</v>
      </c>
      <c r="B271" s="119">
        <v>46033.0</v>
      </c>
      <c r="C271" s="126" t="s">
        <v>4231</v>
      </c>
      <c r="D271" s="118" t="str">
        <f>IFERROR(__xludf.DUMMYFUNCTION("IFERROR(
  INDEX(
    FILTER(
      'NOMBRE DE PRODUCTOS'!B:B,
      REGEXMATCH(
        UPPER(
          INDEX(
            REPORTE_DROPI!AC:AC,
            MATCH(T271, REPORTE_DROPI!B:B, 0)
          )
        ),
        UPPER('NOMBRE DE PRODUCTOS'!A:A)"&amp;"
      )
    ),
    1
  ),
  ""REVISAR""
)
"),"FilmPro®")</f>
        <v>FilmPro®</v>
      </c>
      <c r="E271" s="120" t="str">
        <f t="array" ref="E271">IF(
UPPER(TRIM(CLEAN($O271)))="ENTREGADO",
IFERROR(
INDEX(REPORTE_DROPI!Y:Y,
MATCH($T271, REPORTE_DROPI!B:B, 0)
),
""
),
""
)
</f>
        <v/>
      </c>
      <c r="F271" s="121">
        <v>2.0</v>
      </c>
      <c r="G271" s="122" t="str">
        <f t="array" ref="G271">IF(
UPPER(TRIM(CLEAN($O271)))="ENTREGADO",
IFERROR(
INDEX(REPORTE_DROPI!R:R,
MATCH($T271, REPORTE_DROPI!B:B, 0)
),
""
),
""
)
</f>
        <v/>
      </c>
      <c r="H271" s="118" t="s">
        <v>3727</v>
      </c>
      <c r="I271" s="118" t="s">
        <v>3728</v>
      </c>
      <c r="J271" s="121" t="str">
        <f t="array" ref="J271">IF(
UPPER(TRIM(CLEAN($O271)))="ENTREGADO",
IFERROR(
INDEX(REPORTE_DROPI!T:T,
MATCH($T271, REPORTE_DROPI!B:B, 0)
),
""
),
""
)
</f>
        <v/>
      </c>
      <c r="K271" s="118" t="str">
        <f t="array" ref="K271">IFERROR(
INDEX(REPORTE_DROPI!S:S,
MATCH($T271, REPORTE_DROPI!B:B, 0)
),
""
)
</f>
        <v/>
      </c>
      <c r="L271" s="118" t="str">
        <f>IF(
  O271&lt;&gt;"DEVOLUCION",
  "",
  IF(
    T271="",
    "",
    SUMIF(DEVOLUCION!F:F, T271, DEVOLUCION!D:D)
  )
)
</f>
        <v/>
      </c>
      <c r="M271" s="118"/>
      <c r="N271" s="118" t="s">
        <v>4232</v>
      </c>
      <c r="O271" s="118" t="str">
        <f t="array" ref="O271">IFERROR(
VLOOKUP(
TRIM(CLEAN(
INDEX(REPORTE_DROPI!K:K,
MATCH(T271, REPORTE_DROPI!B:B, 0)
))),
{
TRIM(CLEAN(MAPA_ESTADOS!A:A)) ,
MAPA_ESTADOS!B:B
},
2,
FALSE
),
"REVISAR"
)
</f>
        <v>PENDIENTE</v>
      </c>
      <c r="P271" s="118" t="s">
        <v>3689</v>
      </c>
      <c r="Q271" s="122">
        <f t="shared" si="1"/>
        <v>0</v>
      </c>
      <c r="R271" s="118"/>
      <c r="S271" s="118"/>
      <c r="T271" s="118">
        <f t="array" ref="T271">IFERROR(
INDEX(REPORTE_DROPI!B:B,
MATCH(
CLEAN(TRIM(C271)),
CLEAN(TRIM(REPORTE_DROPI!E:E)),
0
)
),
""
)
</f>
        <v>4102274</v>
      </c>
      <c r="U271" s="118">
        <v>6.40631069086E12</v>
      </c>
      <c r="V271" s="78"/>
      <c r="W271" s="78"/>
      <c r="X271" s="78"/>
      <c r="Y271" s="78"/>
      <c r="Z271" s="78"/>
    </row>
    <row r="272" ht="22.5" customHeight="1">
      <c r="A272" s="118">
        <v>271.0</v>
      </c>
      <c r="B272" s="119">
        <v>46033.0</v>
      </c>
      <c r="C272" s="118" t="s">
        <v>4233</v>
      </c>
      <c r="D272" s="118" t="str">
        <f>IFERROR(__xludf.DUMMYFUNCTION("IFERROR(
  INDEX(
    FILTER(
      'NOMBRE DE PRODUCTOS'!B:B,
      REGEXMATCH(
        UPPER(
          INDEX(
            REPORTE_DROPI!AC:AC,
            MATCH(T272, REPORTE_DROPI!B:B, 0)
          )
        ),
        UPPER('NOMBRE DE PRODUCTOS'!A:A)"&amp;"
      )
    ),
    1
  ),
  ""REVISAR""
)
"),"Cuchillo Tazaki™")</f>
        <v>Cuchillo Tazaki™</v>
      </c>
      <c r="E272" s="120">
        <f t="array" ref="E272">IF(
UPPER(TRIM(CLEAN($O272)))="ENTREGADO",
IFERROR(
INDEX(REPORTE_DROPI!Y:Y,
MATCH($T272, REPORTE_DROPI!B:B, 0)
),
""
),
""
)
</f>
        <v>10.4</v>
      </c>
      <c r="F272" s="121">
        <v>4.0</v>
      </c>
      <c r="G272" s="122">
        <f t="array" ref="G272">IF(
UPPER(TRIM(CLEAN($O272)))="ENTREGADO",
IFERROR(
INDEX(REPORTE_DROPI!R:R,
MATCH($T272, REPORTE_DROPI!B:B, 0)
),
""
),
""
)
</f>
        <v>32</v>
      </c>
      <c r="H272" s="118" t="s">
        <v>3727</v>
      </c>
      <c r="I272" s="118" t="s">
        <v>3772</v>
      </c>
      <c r="J272" s="121">
        <f t="array" ref="J272">IF(
UPPER(TRIM(CLEAN($O272)))="ENTREGADO",
IFERROR(
INDEX(REPORTE_DROPI!T:T,
MATCH($T272, REPORTE_DROPI!B:B, 0)
),
""
),
""
)
</f>
        <v>6.24</v>
      </c>
      <c r="K272" s="118">
        <f t="array" ref="K272">IFERROR(
INDEX(REPORTE_DROPI!S:S,
MATCH($T272, REPORTE_DROPI!B:B, 0)
),
""
)
</f>
        <v>15.36</v>
      </c>
      <c r="L272" s="118" t="str">
        <f>IF(
  O272&lt;&gt;"DEVOLUCION",
  "",
  IF(
    T272="",
    "",
    SUMIF(DEVOLUCION!F:F, T272, DEVOLUCION!D:D)
  )
)
</f>
        <v/>
      </c>
      <c r="M272" s="118" t="s">
        <v>3870</v>
      </c>
      <c r="N272" s="118" t="s">
        <v>4234</v>
      </c>
      <c r="O272" s="118" t="str">
        <f t="array" ref="O272">IFERROR(
VLOOKUP(
TRIM(CLEAN(
INDEX(REPORTE_DROPI!K:K,
MATCH(T272, REPORTE_DROPI!B:B, 0)
))),
{
TRIM(CLEAN(MAPA_ESTADOS!A:A)) ,
MAPA_ESTADOS!B:B
},
2,
FALSE
),
"REVISAR"
)
</f>
        <v>ENTREGADO</v>
      </c>
      <c r="P272" s="118"/>
      <c r="Q272" s="122">
        <f t="shared" si="1"/>
        <v>0</v>
      </c>
      <c r="R272" s="118"/>
      <c r="S272" s="118"/>
      <c r="T272" s="118">
        <f t="array" ref="T272">IFERROR(
INDEX(REPORTE_DROPI!B:B,
MATCH(
CLEAN(TRIM(C272)),
CLEAN(TRIM(REPORTE_DROPI!E:E)),
0
)
),
""
)
</f>
        <v>4102279</v>
      </c>
      <c r="U272" s="118">
        <v>6.406312099884E12</v>
      </c>
      <c r="V272" s="78"/>
      <c r="W272" s="78"/>
      <c r="X272" s="78"/>
      <c r="Y272" s="78"/>
      <c r="Z272" s="78"/>
    </row>
    <row r="273" ht="22.5" customHeight="1">
      <c r="A273" s="118">
        <v>272.0</v>
      </c>
      <c r="B273" s="119">
        <v>46033.0</v>
      </c>
      <c r="C273" s="118" t="s">
        <v>4235</v>
      </c>
      <c r="D273" s="118" t="str">
        <f>IFERROR(__xludf.DUMMYFUNCTION("IFERROR(
  INDEX(
    FILTER(
      'NOMBRE DE PRODUCTOS'!B:B,
      REGEXMATCH(
        UPPER(
          INDEX(
            REPORTE_DROPI!AC:AC,
            MATCH(T273, REPORTE_DROPI!B:B, 0)
          )
        ),
        UPPER('NOMBRE DE PRODUCTOS'!A:A)"&amp;"
      )
    ),
    1
  ),
  ""REVISAR""
)
"),"Cuchillo Tazaki™")</f>
        <v>Cuchillo Tazaki™</v>
      </c>
      <c r="E273" s="120">
        <f t="array" ref="E273">IF(
UPPER(TRIM(CLEAN($O273)))="ENTREGADO",
IFERROR(
INDEX(REPORTE_DROPI!Y:Y,
MATCH($T273, REPORTE_DROPI!B:B, 0)
),
""
),
""
)
</f>
        <v>7.8</v>
      </c>
      <c r="F273" s="121">
        <v>3.0</v>
      </c>
      <c r="G273" s="122">
        <f t="array" ref="G273">IF(
UPPER(TRIM(CLEAN($O273)))="ENTREGADO",
IFERROR(
INDEX(REPORTE_DROPI!R:R,
MATCH($T273, REPORTE_DROPI!B:B, 0)
),
""
),
""
)
</f>
        <v>27</v>
      </c>
      <c r="H273" s="118" t="s">
        <v>3727</v>
      </c>
      <c r="I273" s="118" t="s">
        <v>3731</v>
      </c>
      <c r="J273" s="121">
        <f t="array" ref="J273">IF(
UPPER(TRIM(CLEAN($O273)))="ENTREGADO",
IFERROR(
INDEX(REPORTE_DROPI!T:T,
MATCH($T273, REPORTE_DROPI!B:B, 0)
),
""
),
""
)
</f>
        <v>6.03</v>
      </c>
      <c r="K273" s="118">
        <f t="array" ref="K273">IFERROR(
INDEX(REPORTE_DROPI!S:S,
MATCH($T273, REPORTE_DROPI!B:B, 0)
),
""
)
</f>
        <v>13.17</v>
      </c>
      <c r="L273" s="118" t="str">
        <f>IF(
  O273&lt;&gt;"DEVOLUCION",
  "",
  IF(
    T273="",
    "",
    SUMIF(DEVOLUCION!F:F, T273, DEVOLUCION!D:D)
  )
)
</f>
        <v/>
      </c>
      <c r="M273" s="118" t="s">
        <v>3870</v>
      </c>
      <c r="N273" s="118" t="s">
        <v>4236</v>
      </c>
      <c r="O273" s="118" t="str">
        <f t="array" ref="O273">IFERROR(
VLOOKUP(
TRIM(CLEAN(
INDEX(REPORTE_DROPI!K:K,
MATCH(T273, REPORTE_DROPI!B:B, 0)
))),
{
TRIM(CLEAN(MAPA_ESTADOS!A:A)) ,
MAPA_ESTADOS!B:B
},
2,
FALSE
),
"REVISAR"
)
</f>
        <v>ENTREGADO</v>
      </c>
      <c r="P273" s="118"/>
      <c r="Q273" s="122">
        <f t="shared" si="1"/>
        <v>0</v>
      </c>
      <c r="R273" s="118"/>
      <c r="S273" s="118"/>
      <c r="T273" s="118">
        <f t="array" ref="T273">IFERROR(
INDEX(REPORTE_DROPI!B:B,
MATCH(
CLEAN(TRIM(C273)),
CLEAN(TRIM(REPORTE_DROPI!E:E)),
0
)
),
""
)
</f>
        <v>4122381</v>
      </c>
      <c r="U273" s="118">
        <v>6.40635001246E12</v>
      </c>
      <c r="V273" s="78"/>
      <c r="W273" s="78"/>
      <c r="X273" s="78"/>
      <c r="Y273" s="78"/>
      <c r="Z273" s="78"/>
    </row>
    <row r="274" ht="22.5" customHeight="1">
      <c r="A274" s="118">
        <v>273.0</v>
      </c>
      <c r="B274" s="119">
        <v>46033.0</v>
      </c>
      <c r="C274" s="118" t="s">
        <v>4237</v>
      </c>
      <c r="D274" s="118" t="str">
        <f>IFERROR(__xludf.DUMMYFUNCTION("IFERROR(
  INDEX(
    FILTER(
      'NOMBRE DE PRODUCTOS'!B:B,
      REGEXMATCH(
        UPPER(
          INDEX(
            REPORTE_DROPI!AC:AC,
            MATCH(T274, REPORTE_DROPI!B:B, 0)
          )
        ),
        UPPER('NOMBRE DE PRODUCTOS'!A:A)"&amp;"
      )
    ),
    1
  ),
  ""REVISAR""
)
"),"Cuchillo Tazaki™")</f>
        <v>Cuchillo Tazaki™</v>
      </c>
      <c r="E274" s="120">
        <f t="array" ref="E274">IF(
UPPER(TRIM(CLEAN($O274)))="ENTREGADO",
IFERROR(
INDEX(REPORTE_DROPI!Y:Y,
MATCH($T274, REPORTE_DROPI!B:B, 0)
),
""
),
""
)
</f>
        <v>5.2</v>
      </c>
      <c r="F274" s="121">
        <v>2.0</v>
      </c>
      <c r="G274" s="122">
        <f t="array" ref="G274">IF(
UPPER(TRIM(CLEAN($O274)))="ENTREGADO",
IFERROR(
INDEX(REPORTE_DROPI!R:R,
MATCH($T274, REPORTE_DROPI!B:B, 0)
),
""
),
""
)
</f>
        <v>22</v>
      </c>
      <c r="H274" s="118" t="s">
        <v>3727</v>
      </c>
      <c r="I274" s="118" t="s">
        <v>3759</v>
      </c>
      <c r="J274" s="121">
        <f t="array" ref="J274">IF(
UPPER(TRIM(CLEAN($O274)))="ENTREGADO",
IFERROR(
INDEX(REPORTE_DROPI!T:T,
MATCH($T274, REPORTE_DROPI!B:B, 0)
),
""
),
""
)
</f>
        <v>5.84</v>
      </c>
      <c r="K274" s="118">
        <f t="array" ref="K274">IFERROR(
INDEX(REPORTE_DROPI!S:S,
MATCH($T274, REPORTE_DROPI!B:B, 0)
),
""
)
</f>
        <v>10.96</v>
      </c>
      <c r="L274" s="118" t="str">
        <f>IF(
  O274&lt;&gt;"DEVOLUCION",
  "",
  IF(
    T274="",
    "",
    SUMIF(DEVOLUCION!F:F, T274, DEVOLUCION!D:D)
  )
)
</f>
        <v/>
      </c>
      <c r="M274" s="118"/>
      <c r="N274" s="118" t="s">
        <v>4238</v>
      </c>
      <c r="O274" s="118" t="str">
        <f t="array" ref="O274">IFERROR(
VLOOKUP(
TRIM(CLEAN(
INDEX(REPORTE_DROPI!K:K,
MATCH(T274, REPORTE_DROPI!B:B, 0)
))),
{
TRIM(CLEAN(MAPA_ESTADOS!A:A)) ,
MAPA_ESTADOS!B:B
},
2,
FALSE
),
"REVISAR"
)
</f>
        <v>ENTREGADO</v>
      </c>
      <c r="P274" s="118"/>
      <c r="Q274" s="122">
        <f t="shared" si="1"/>
        <v>0</v>
      </c>
      <c r="R274" s="118"/>
      <c r="S274" s="118"/>
      <c r="T274" s="118">
        <f t="array" ref="T274">IFERROR(
INDEX(REPORTE_DROPI!B:B,
MATCH(
CLEAN(TRIM(C274)),
CLEAN(TRIM(REPORTE_DROPI!E:E)),
0
)
),
""
)
</f>
        <v>4102546</v>
      </c>
      <c r="U274" s="118">
        <v>6.406363480108E12</v>
      </c>
      <c r="V274" s="78"/>
      <c r="W274" s="78"/>
      <c r="X274" s="78"/>
      <c r="Y274" s="78"/>
      <c r="Z274" s="78"/>
    </row>
    <row r="275" ht="22.5" customHeight="1">
      <c r="A275" s="118">
        <v>274.0</v>
      </c>
      <c r="B275" s="119">
        <v>46033.0</v>
      </c>
      <c r="C275" s="118" t="s">
        <v>4239</v>
      </c>
      <c r="D275" s="118" t="str">
        <f>IFERROR(__xludf.DUMMYFUNCTION("IFERROR(
  INDEX(
    FILTER(
      'NOMBRE DE PRODUCTOS'!B:B,
      REGEXMATCH(
        UPPER(
          INDEX(
            REPORTE_DROPI!AC:AC,
            MATCH(T275, REPORTE_DROPI!B:B, 0)
          )
        ),
        UPPER('NOMBRE DE PRODUCTOS'!A:A)"&amp;"
      )
    ),
    1
  ),
  ""REVISAR""
)
"),"")</f>
        <v/>
      </c>
      <c r="E275" s="120" t="str">
        <f t="array" ref="E275">IF(
UPPER(TRIM(CLEAN($O275)))="ENTREGADO",
IFERROR(
INDEX(REPORTE_DROPI!Y:Y,
MATCH($T275, REPORTE_DROPI!B:B, 0)
),
""
),
""
)
</f>
        <v/>
      </c>
      <c r="F275" s="121">
        <v>2.0</v>
      </c>
      <c r="G275" s="122" t="str">
        <f t="array" ref="G275">IF(
UPPER(TRIM(CLEAN($O275)))="ENTREGADO",
IFERROR(
INDEX(REPORTE_DROPI!R:R,
MATCH($T275, REPORTE_DROPI!B:B, 0)
),
""
),
""
)
</f>
        <v/>
      </c>
      <c r="H275" s="118" t="s">
        <v>3727</v>
      </c>
      <c r="I275" s="118" t="s">
        <v>3778</v>
      </c>
      <c r="J275" s="121" t="str">
        <f t="array" ref="J275">IF(
UPPER(TRIM(CLEAN($O275)))="ENTREGADO",
IFERROR(
INDEX(REPORTE_DROPI!T:T,
MATCH($T275, REPORTE_DROPI!B:B, 0)
),
""
),
""
)
</f>
        <v/>
      </c>
      <c r="K275" s="118" t="str">
        <f t="array" ref="K275">IFERROR(
INDEX(REPORTE_DROPI!S:S,
MATCH($T275, REPORTE_DROPI!B:B, 0)
),
""
)
</f>
        <v/>
      </c>
      <c r="L275" s="118">
        <f>IF(
  O275&lt;&gt;"DEVOLUCION",
  "",
  IF(
    T275="",
    "",
    SUMIF(DEVOLUCION!F:F, T275, DEVOLUCION!D:D)
  )
)
</f>
        <v>5.07</v>
      </c>
      <c r="M275" s="118"/>
      <c r="N275" s="118" t="s">
        <v>4240</v>
      </c>
      <c r="O275" s="118" t="str">
        <f t="array" ref="O275">IFERROR(
VLOOKUP(
TRIM(CLEAN(
INDEX(REPORTE_DROPI!K:K,
MATCH(T275, REPORTE_DROPI!B:B, 0)
))),
{
TRIM(CLEAN(MAPA_ESTADOS!A:A)) ,
MAPA_ESTADOS!B:B
},
2,
FALSE
),
"REVISAR"
)
</f>
        <v>DEVOLUCION</v>
      </c>
      <c r="P275" s="118"/>
      <c r="Q275" s="122">
        <f t="shared" si="1"/>
        <v>0</v>
      </c>
      <c r="R275" s="118"/>
      <c r="S275" s="118"/>
      <c r="T275" s="118">
        <f t="array" ref="T275">IFERROR(
INDEX(REPORTE_DROPI!B:B,
MATCH(
CLEAN(TRIM(C275)),
CLEAN(TRIM(REPORTE_DROPI!E:E)),
0
)
),
""
)
</f>
        <v>4141967</v>
      </c>
      <c r="U275" s="118">
        <v>6.406436290604E12</v>
      </c>
      <c r="V275" s="78"/>
      <c r="W275" s="78"/>
      <c r="X275" s="78"/>
      <c r="Y275" s="78"/>
      <c r="Z275" s="78"/>
    </row>
    <row r="276" ht="22.5" customHeight="1">
      <c r="A276" s="118">
        <v>275.0</v>
      </c>
      <c r="B276" s="119">
        <v>46033.0</v>
      </c>
      <c r="C276" s="118" t="s">
        <v>4241</v>
      </c>
      <c r="D276" s="118" t="str">
        <f>IFERROR(__xludf.DUMMYFUNCTION("IFERROR(
  INDEX(
    FILTER(
      'NOMBRE DE PRODUCTOS'!B:B,
      REGEXMATCH(
        UPPER(
          INDEX(
            REPORTE_DROPI!AC:AC,
            MATCH(T276, REPORTE_DROPI!B:B, 0)
          )
        ),
        UPPER('NOMBRE DE PRODUCTOS'!A:A)"&amp;"
      )
    ),
    1
  ),
  ""REVISAR""
)
"),"FilmPro®")</f>
        <v>FilmPro®</v>
      </c>
      <c r="E276" s="120">
        <f t="array" ref="E276">IF(
UPPER(TRIM(CLEAN($O276)))="ENTREGADO",
IFERROR(
INDEX(REPORTE_DROPI!Y:Y,
MATCH($T276, REPORTE_DROPI!B:B, 0)
),
""
),
""
)
</f>
        <v>8.37</v>
      </c>
      <c r="F276" s="121">
        <v>3.0</v>
      </c>
      <c r="G276" s="122">
        <f t="array" ref="G276">IF(
UPPER(TRIM(CLEAN($O276)))="ENTREGADO",
IFERROR(
INDEX(REPORTE_DROPI!R:R,
MATCH($T276, REPORTE_DROPI!B:B, 0)
),
""
),
""
)
</f>
        <v>30</v>
      </c>
      <c r="H276" s="118" t="s">
        <v>3727</v>
      </c>
      <c r="I276" s="118" t="s">
        <v>3801</v>
      </c>
      <c r="J276" s="121">
        <f t="array" ref="J276">IF(
UPPER(TRIM(CLEAN($O276)))="ENTREGADO",
IFERROR(
INDEX(REPORTE_DROPI!T:T,
MATCH($T276, REPORTE_DROPI!B:B, 0)
),
""
),
""
)
</f>
        <v>6.73</v>
      </c>
      <c r="K276" s="118">
        <f t="array" ref="K276">IFERROR(
INDEX(REPORTE_DROPI!S:S,
MATCH($T276, REPORTE_DROPI!B:B, 0)
),
""
)
</f>
        <v>14.9</v>
      </c>
      <c r="L276" s="118" t="str">
        <f>IF(
  O276&lt;&gt;"DEVOLUCION",
  "",
  IF(
    T276="",
    "",
    SUMIF(DEVOLUCION!F:F, T276, DEVOLUCION!D:D)
  )
)
</f>
        <v/>
      </c>
      <c r="M276" s="118"/>
      <c r="N276" s="118" t="s">
        <v>4242</v>
      </c>
      <c r="O276" s="118" t="str">
        <f t="array" ref="O276">IFERROR(
VLOOKUP(
TRIM(CLEAN(
INDEX(REPORTE_DROPI!K:K,
MATCH(T276, REPORTE_DROPI!B:B, 0)
))),
{
TRIM(CLEAN(MAPA_ESTADOS!A:A)) ,
MAPA_ESTADOS!B:B
},
2,
FALSE
),
"REVISAR"
)
</f>
        <v>ENTREGADO</v>
      </c>
      <c r="P276" s="118"/>
      <c r="Q276" s="122">
        <f t="shared" si="1"/>
        <v>0</v>
      </c>
      <c r="R276" s="118"/>
      <c r="S276" s="118"/>
      <c r="T276" s="118">
        <f t="array" ref="T276">IFERROR(
INDEX(REPORTE_DROPI!B:B,
MATCH(
CLEAN(TRIM(C276)),
CLEAN(TRIM(REPORTE_DROPI!E:E)),
0
)
),
""
)
</f>
        <v>4103079</v>
      </c>
      <c r="U276" s="118">
        <v>6.406492160044E12</v>
      </c>
      <c r="V276" s="78"/>
      <c r="W276" s="78"/>
      <c r="X276" s="78"/>
      <c r="Y276" s="78"/>
      <c r="Z276" s="78"/>
    </row>
    <row r="277" ht="22.5" customHeight="1">
      <c r="A277" s="118">
        <v>276.0</v>
      </c>
      <c r="B277" s="119">
        <v>46033.0</v>
      </c>
      <c r="C277" s="118" t="s">
        <v>4243</v>
      </c>
      <c r="D277" s="118" t="str">
        <f>IFERROR(__xludf.DUMMYFUNCTION("IFERROR(
  INDEX(
    FILTER(
      'NOMBRE DE PRODUCTOS'!B:B,
      REGEXMATCH(
        UPPER(
          INDEX(
            REPORTE_DROPI!AC:AC,
            MATCH(T277, REPORTE_DROPI!B:B, 0)
          )
        ),
        UPPER('NOMBRE DE PRODUCTOS'!A:A)"&amp;"
      )
    ),
    1
  ),
  ""REVISAR""
)
"),"FilmPro®")</f>
        <v>FilmPro®</v>
      </c>
      <c r="E277" s="120">
        <f t="array" ref="E277">IF(
UPPER(TRIM(CLEAN($O277)))="ENTREGADO",
IFERROR(
INDEX(REPORTE_DROPI!Y:Y,
MATCH($T277, REPORTE_DROPI!B:B, 0)
),
""
),
""
)
</f>
        <v>5.58</v>
      </c>
      <c r="F277" s="121">
        <v>2.0</v>
      </c>
      <c r="G277" s="122">
        <f t="array" ref="G277">IF(
UPPER(TRIM(CLEAN($O277)))="ENTREGADO",
IFERROR(
INDEX(REPORTE_DROPI!R:R,
MATCH($T277, REPORTE_DROPI!B:B, 0)
),
""
),
""
)
</f>
        <v>25</v>
      </c>
      <c r="H277" s="118" t="s">
        <v>3727</v>
      </c>
      <c r="I277" s="118" t="s">
        <v>3731</v>
      </c>
      <c r="J277" s="121">
        <f t="array" ref="J277">IF(
UPPER(TRIM(CLEAN($O277)))="ENTREGADO",
IFERROR(
INDEX(REPORTE_DROPI!T:T,
MATCH($T277, REPORTE_DROPI!B:B, 0)
),
""
),
""
)
</f>
        <v>5.96</v>
      </c>
      <c r="K277" s="118">
        <f t="array" ref="K277">IFERROR(
INDEX(REPORTE_DROPI!S:S,
MATCH($T277, REPORTE_DROPI!B:B, 0)
),
""
)
</f>
        <v>13.46</v>
      </c>
      <c r="L277" s="118" t="str">
        <f>IF(
  O277&lt;&gt;"DEVOLUCION",
  "",
  IF(
    T277="",
    "",
    SUMIF(DEVOLUCION!F:F, T277, DEVOLUCION!D:D)
  )
)
</f>
        <v/>
      </c>
      <c r="M277" s="118"/>
      <c r="N277" s="118" t="s">
        <v>4244</v>
      </c>
      <c r="O277" s="118" t="str">
        <f t="array" ref="O277">IFERROR(
VLOOKUP(
TRIM(CLEAN(
INDEX(REPORTE_DROPI!K:K,
MATCH(T277, REPORTE_DROPI!B:B, 0)
))),
{
TRIM(CLEAN(MAPA_ESTADOS!A:A)) ,
MAPA_ESTADOS!B:B
},
2,
FALSE
),
"REVISAR"
)
</f>
        <v>ENTREGADO</v>
      </c>
      <c r="P277" s="118"/>
      <c r="Q277" s="122">
        <f t="shared" si="1"/>
        <v>0</v>
      </c>
      <c r="R277" s="118"/>
      <c r="S277" s="118"/>
      <c r="T277" s="118">
        <f t="array" ref="T277">IFERROR(
INDEX(REPORTE_DROPI!B:B,
MATCH(
CLEAN(TRIM(C277)),
CLEAN(TRIM(REPORTE_DROPI!E:E)),
0
)
),
""
)
</f>
        <v>4103105</v>
      </c>
      <c r="U277" s="118">
        <v>6.406501466156E12</v>
      </c>
      <c r="V277" s="78"/>
      <c r="W277" s="78"/>
      <c r="X277" s="78"/>
      <c r="Y277" s="78"/>
      <c r="Z277" s="78"/>
    </row>
    <row r="278" ht="22.5" customHeight="1">
      <c r="A278" s="118">
        <v>277.0</v>
      </c>
      <c r="B278" s="119">
        <v>46033.0</v>
      </c>
      <c r="C278" s="118" t="s">
        <v>4245</v>
      </c>
      <c r="D278" s="118" t="str">
        <f>IFERROR(__xludf.DUMMYFUNCTION("IFERROR(
  INDEX(
    FILTER(
      'NOMBRE DE PRODUCTOS'!B:B,
      REGEXMATCH(
        UPPER(
          INDEX(
            REPORTE_DROPI!AC:AC,
            MATCH(T278, REPORTE_DROPI!B:B, 0)
          )
        ),
        UPPER('NOMBRE DE PRODUCTOS'!A:A)"&amp;"
      )
    ),
    1
  ),
  ""REVISAR""
)
"),"FilmPro®")</f>
        <v>FilmPro®</v>
      </c>
      <c r="E278" s="120">
        <f t="array" ref="E278">IF(
UPPER(TRIM(CLEAN($O278)))="ENTREGADO",
IFERROR(
INDEX(REPORTE_DROPI!Y:Y,
MATCH($T278, REPORTE_DROPI!B:B, 0)
),
""
),
""
)
</f>
        <v>5.58</v>
      </c>
      <c r="F278" s="121">
        <v>2.0</v>
      </c>
      <c r="G278" s="122">
        <f t="array" ref="G278">IF(
UPPER(TRIM(CLEAN($O278)))="ENTREGADO",
IFERROR(
INDEX(REPORTE_DROPI!R:R,
MATCH($T278, REPORTE_DROPI!B:B, 0)
),
""
),
""
)
</f>
        <v>25</v>
      </c>
      <c r="H278" s="118" t="s">
        <v>3727</v>
      </c>
      <c r="I278" s="118" t="s">
        <v>3731</v>
      </c>
      <c r="J278" s="121">
        <f t="array" ref="J278">IF(
UPPER(TRIM(CLEAN($O278)))="ENTREGADO",
IFERROR(
INDEX(REPORTE_DROPI!T:T,
MATCH($T278, REPORTE_DROPI!B:B, 0)
),
""
),
""
)
</f>
        <v>5.96</v>
      </c>
      <c r="K278" s="118">
        <f t="array" ref="K278">IFERROR(
INDEX(REPORTE_DROPI!S:S,
MATCH($T278, REPORTE_DROPI!B:B, 0)
),
""
)
</f>
        <v>13.46</v>
      </c>
      <c r="L278" s="118" t="str">
        <f>IF(
  O278&lt;&gt;"DEVOLUCION",
  "",
  IF(
    T278="",
    "",
    SUMIF(DEVOLUCION!F:F, T278, DEVOLUCION!D:D)
  )
)
</f>
        <v/>
      </c>
      <c r="M278" s="118" t="s">
        <v>3870</v>
      </c>
      <c r="N278" s="118" t="s">
        <v>4246</v>
      </c>
      <c r="O278" s="118" t="str">
        <f t="array" ref="O278">IFERROR(
VLOOKUP(
TRIM(CLEAN(
INDEX(REPORTE_DROPI!K:K,
MATCH(T278, REPORTE_DROPI!B:B, 0)
))),
{
TRIM(CLEAN(MAPA_ESTADOS!A:A)) ,
MAPA_ESTADOS!B:B
},
2,
FALSE
),
"REVISAR"
)
</f>
        <v>ENTREGADO</v>
      </c>
      <c r="P278" s="118"/>
      <c r="Q278" s="122">
        <f t="shared" si="1"/>
        <v>0</v>
      </c>
      <c r="R278" s="118"/>
      <c r="S278" s="118"/>
      <c r="T278" s="118">
        <f t="array" ref="T278">IFERROR(
INDEX(REPORTE_DROPI!B:B,
MATCH(
CLEAN(TRIM(C278)),
CLEAN(TRIM(REPORTE_DROPI!E:E)),
0
)
),
""
)
</f>
        <v>4103211</v>
      </c>
      <c r="U278" s="118">
        <v>6.40651909534E12</v>
      </c>
      <c r="V278" s="78"/>
      <c r="W278" s="78"/>
      <c r="X278" s="78"/>
      <c r="Y278" s="78"/>
      <c r="Z278" s="78"/>
    </row>
    <row r="279" ht="22.5" customHeight="1">
      <c r="A279" s="118">
        <v>278.0</v>
      </c>
      <c r="B279" s="119">
        <v>46033.0</v>
      </c>
      <c r="C279" s="118" t="s">
        <v>4247</v>
      </c>
      <c r="D279" s="118" t="str">
        <f>IFERROR(__xludf.DUMMYFUNCTION("IFERROR(
  INDEX(
    FILTER(
      'NOMBRE DE PRODUCTOS'!B:B,
      REGEXMATCH(
        UPPER(
          INDEX(
            REPORTE_DROPI!AC:AC,
            MATCH(T279, REPORTE_DROPI!B:B, 0)
          )
        ),
        UPPER('NOMBRE DE PRODUCTOS'!A:A)"&amp;"
      )
    ),
    1
  ),
  ""REVISAR""
)
"),"Cuchillo Tazaki™")</f>
        <v>Cuchillo Tazaki™</v>
      </c>
      <c r="E279" s="120">
        <f t="array" ref="E279">IF(
UPPER(TRIM(CLEAN($O279)))="ENTREGADO",
IFERROR(
INDEX(REPORTE_DROPI!Y:Y,
MATCH($T279, REPORTE_DROPI!B:B, 0)
),
""
),
""
)
</f>
        <v>5.2</v>
      </c>
      <c r="F279" s="121">
        <v>2.0</v>
      </c>
      <c r="G279" s="122">
        <f t="array" ref="G279">IF(
UPPER(TRIM(CLEAN($O279)))="ENTREGADO",
IFERROR(
INDEX(REPORTE_DROPI!R:R,
MATCH($T279, REPORTE_DROPI!B:B, 0)
),
""
),
""
)
</f>
        <v>22</v>
      </c>
      <c r="H279" s="118" t="s">
        <v>3727</v>
      </c>
      <c r="I279" s="118" t="s">
        <v>3731</v>
      </c>
      <c r="J279" s="121">
        <f t="array" ref="J279">IF(
UPPER(TRIM(CLEAN($O279)))="ENTREGADO",
IFERROR(
INDEX(REPORTE_DROPI!T:T,
MATCH($T279, REPORTE_DROPI!B:B, 0)
),
""
),
""
)
</f>
        <v>5.84</v>
      </c>
      <c r="K279" s="118">
        <f t="array" ref="K279">IFERROR(
INDEX(REPORTE_DROPI!S:S,
MATCH($T279, REPORTE_DROPI!B:B, 0)
),
""
)
</f>
        <v>10.96</v>
      </c>
      <c r="L279" s="118" t="str">
        <f>IF(
  O279&lt;&gt;"DEVOLUCION",
  "",
  IF(
    T279="",
    "",
    SUMIF(DEVOLUCION!F:F, T279, DEVOLUCION!D:D)
  )
)
</f>
        <v/>
      </c>
      <c r="M279" s="118" t="s">
        <v>3870</v>
      </c>
      <c r="N279" s="118" t="s">
        <v>4248</v>
      </c>
      <c r="O279" s="118" t="str">
        <f t="array" ref="O279">IFERROR(
VLOOKUP(
TRIM(CLEAN(
INDEX(REPORTE_DROPI!K:K,
MATCH(T279, REPORTE_DROPI!B:B, 0)
))),
{
TRIM(CLEAN(MAPA_ESTADOS!A:A)) ,
MAPA_ESTADOS!B:B
},
2,
FALSE
),
"REVISAR"
)
</f>
        <v>ENTREGADO</v>
      </c>
      <c r="P279" s="118"/>
      <c r="Q279" s="122">
        <f t="shared" si="1"/>
        <v>0</v>
      </c>
      <c r="R279" s="118"/>
      <c r="S279" s="118"/>
      <c r="T279" s="118">
        <f t="array" ref="T279">IFERROR(
INDEX(REPORTE_DROPI!B:B,
MATCH(
CLEAN(TRIM(C279)),
CLEAN(TRIM(REPORTE_DROPI!E:E)),
0
)
),
""
)
</f>
        <v>4103331</v>
      </c>
      <c r="U279" s="118">
        <v>6.406547865644E12</v>
      </c>
      <c r="V279" s="78"/>
      <c r="W279" s="78"/>
      <c r="X279" s="78"/>
      <c r="Y279" s="78"/>
      <c r="Z279" s="78"/>
    </row>
    <row r="280" ht="22.5" customHeight="1">
      <c r="A280" s="118">
        <v>279.0</v>
      </c>
      <c r="B280" s="119">
        <v>46033.0</v>
      </c>
      <c r="C280" s="118" t="s">
        <v>4249</v>
      </c>
      <c r="D280" s="118" t="str">
        <f>IFERROR(__xludf.DUMMYFUNCTION("IFERROR(
  INDEX(
    FILTER(
      'NOMBRE DE PRODUCTOS'!B:B,
      REGEXMATCH(
        UPPER(
          INDEX(
            REPORTE_DROPI!AC:AC,
            MATCH(T280, REPORTE_DROPI!B:B, 0)
          )
        ),
        UPPER('NOMBRE DE PRODUCTOS'!A:A)"&amp;"
      )
    ),
    1
  ),
  ""REVISAR""
)
"),"FilmPro®")</f>
        <v>FilmPro®</v>
      </c>
      <c r="E280" s="120">
        <f t="array" ref="E280">IF(
UPPER(TRIM(CLEAN($O280)))="ENTREGADO",
IFERROR(
INDEX(REPORTE_DROPI!Y:Y,
MATCH($T280, REPORTE_DROPI!B:B, 0)
),
""
),
""
)
</f>
        <v>2.79</v>
      </c>
      <c r="F280" s="121">
        <v>1.0</v>
      </c>
      <c r="G280" s="122">
        <f t="array" ref="G280">IF(
UPPER(TRIM(CLEAN($O280)))="ENTREGADO",
IFERROR(
INDEX(REPORTE_DROPI!R:R,
MATCH($T280, REPORTE_DROPI!B:B, 0)
),
""
),
""
)
</f>
        <v>20</v>
      </c>
      <c r="H280" s="118" t="s">
        <v>3727</v>
      </c>
      <c r="I280" s="118" t="s">
        <v>3801</v>
      </c>
      <c r="J280" s="121">
        <f t="array" ref="J280">IF(
UPPER(TRIM(CLEAN($O280)))="ENTREGADO",
IFERROR(
INDEX(REPORTE_DROPI!T:T,
MATCH($T280, REPORTE_DROPI!B:B, 0)
),
""
),
""
)
</f>
        <v>5.76</v>
      </c>
      <c r="K280" s="118">
        <f t="array" ref="K280">IFERROR(
INDEX(REPORTE_DROPI!S:S,
MATCH($T280, REPORTE_DROPI!B:B, 0)
),
""
)
</f>
        <v>11.45</v>
      </c>
      <c r="L280" s="118" t="str">
        <f>IF(
  O280&lt;&gt;"DEVOLUCION",
  "",
  IF(
    T280="",
    "",
    SUMIF(DEVOLUCION!F:F, T280, DEVOLUCION!D:D)
  )
)
</f>
        <v/>
      </c>
      <c r="M280" s="118"/>
      <c r="N280" s="118" t="s">
        <v>4250</v>
      </c>
      <c r="O280" s="118" t="str">
        <f t="array" ref="O280">IFERROR(
VLOOKUP(
TRIM(CLEAN(
INDEX(REPORTE_DROPI!K:K,
MATCH(T280, REPORTE_DROPI!B:B, 0)
))),
{
TRIM(CLEAN(MAPA_ESTADOS!A:A)) ,
MAPA_ESTADOS!B:B
},
2,
FALSE
),
"REVISAR"
)
</f>
        <v>ENTREGADO</v>
      </c>
      <c r="P280" s="118"/>
      <c r="Q280" s="122">
        <f t="shared" si="1"/>
        <v>0</v>
      </c>
      <c r="R280" s="118"/>
      <c r="S280" s="118"/>
      <c r="T280" s="118">
        <f t="array" ref="T280">IFERROR(
INDEX(REPORTE_DROPI!B:B,
MATCH(
CLEAN(TRIM(C280)),
CLEAN(TRIM(REPORTE_DROPI!E:E)),
0
)
),
""
)
</f>
        <v>4103356</v>
      </c>
      <c r="U280" s="118">
        <v>6.40655514014E12</v>
      </c>
      <c r="V280" s="78"/>
      <c r="W280" s="78"/>
      <c r="X280" s="78"/>
      <c r="Y280" s="78"/>
      <c r="Z280" s="78"/>
    </row>
    <row r="281" ht="22.5" customHeight="1">
      <c r="A281" s="118">
        <v>280.0</v>
      </c>
      <c r="B281" s="119">
        <v>46033.0</v>
      </c>
      <c r="C281" s="126" t="s">
        <v>4251</v>
      </c>
      <c r="D281" s="118" t="str">
        <f>IFERROR(__xludf.DUMMYFUNCTION("IFERROR(
  INDEX(
    FILTER(
      'NOMBRE DE PRODUCTOS'!B:B,
      REGEXMATCH(
        UPPER(
          INDEX(
            REPORTE_DROPI!AC:AC,
            MATCH(T281, REPORTE_DROPI!B:B, 0)
          )
        ),
        UPPER('NOMBRE DE PRODUCTOS'!A:A)"&amp;"
      )
    ),
    1
  ),
  ""REVISAR""
)
"),"FilmPro®")</f>
        <v>FilmPro®</v>
      </c>
      <c r="E281" s="120" t="str">
        <f t="array" ref="E281">IF(
UPPER(TRIM(CLEAN($O281)))="ENTREGADO",
IFERROR(
INDEX(REPORTE_DROPI!Y:Y,
MATCH($T281, REPORTE_DROPI!B:B, 0)
),
""
),
""
)
</f>
        <v/>
      </c>
      <c r="F281" s="121">
        <v>3.0</v>
      </c>
      <c r="G281" s="122" t="str">
        <f t="array" ref="G281">IF(
UPPER(TRIM(CLEAN($O281)))="ENTREGADO",
IFERROR(
INDEX(REPORTE_DROPI!R:R,
MATCH($T281, REPORTE_DROPI!B:B, 0)
),
""
),
""
)
</f>
        <v/>
      </c>
      <c r="H281" s="118" t="s">
        <v>3727</v>
      </c>
      <c r="I281" s="118" t="s">
        <v>3740</v>
      </c>
      <c r="J281" s="121" t="str">
        <f t="array" ref="J281">IF(
UPPER(TRIM(CLEAN($O281)))="ENTREGADO",
IFERROR(
INDEX(REPORTE_DROPI!T:T,
MATCH($T281, REPORTE_DROPI!B:B, 0)
),
""
),
""
)
</f>
        <v/>
      </c>
      <c r="K281" s="118" t="str">
        <f t="array" ref="K281">IFERROR(
INDEX(REPORTE_DROPI!S:S,
MATCH($T281, REPORTE_DROPI!B:B, 0)
),
""
)
</f>
        <v/>
      </c>
      <c r="L281" s="118" t="str">
        <f>IF(
  O281&lt;&gt;"DEVOLUCION",
  "",
  IF(
    T281="",
    "",
    SUMIF(DEVOLUCION!F:F, T281, DEVOLUCION!D:D)
  )
)
</f>
        <v/>
      </c>
      <c r="M281" s="118"/>
      <c r="N281" s="118" t="s">
        <v>4252</v>
      </c>
      <c r="O281" s="118" t="str">
        <f t="array" ref="O281">IFERROR(
VLOOKUP(
TRIM(CLEAN(
INDEX(REPORTE_DROPI!K:K,
MATCH(T281, REPORTE_DROPI!B:B, 0)
))),
{
TRIM(CLEAN(MAPA_ESTADOS!A:A)) ,
MAPA_ESTADOS!B:B
},
2,
FALSE
),
"REVISAR"
)
</f>
        <v>PENDIENTE</v>
      </c>
      <c r="P281" s="118" t="s">
        <v>3689</v>
      </c>
      <c r="Q281" s="122">
        <f t="shared" si="1"/>
        <v>0</v>
      </c>
      <c r="R281" s="118"/>
      <c r="S281" s="118"/>
      <c r="T281" s="118">
        <f t="array" ref="T281">IFERROR(
INDEX(REPORTE_DROPI!B:B,
MATCH(
CLEAN(TRIM(C281)),
CLEAN(TRIM(REPORTE_DROPI!E:E)),
0
)
),
""
)
</f>
        <v>4103701</v>
      </c>
      <c r="U281" s="118">
        <v>6.406636273708E12</v>
      </c>
      <c r="V281" s="78"/>
      <c r="W281" s="78"/>
      <c r="X281" s="78"/>
      <c r="Y281" s="78"/>
      <c r="Z281" s="78"/>
    </row>
    <row r="282" ht="22.5" customHeight="1">
      <c r="A282" s="118">
        <v>281.0</v>
      </c>
      <c r="B282" s="119">
        <v>46033.0</v>
      </c>
      <c r="C282" s="118" t="s">
        <v>4253</v>
      </c>
      <c r="D282" s="118" t="str">
        <f>IFERROR(__xludf.DUMMYFUNCTION("IFERROR(
  INDEX(
    FILTER(
      'NOMBRE DE PRODUCTOS'!B:B,
      REGEXMATCH(
        UPPER(
          INDEX(
            REPORTE_DROPI!AC:AC,
            MATCH(T282, REPORTE_DROPI!B:B, 0)
          )
        ),
        UPPER('NOMBRE DE PRODUCTOS'!A:A)"&amp;"
      )
    ),
    1
  ),
  ""REVISAR""
)
"),"Cuchillo Tazaki™")</f>
        <v>Cuchillo Tazaki™</v>
      </c>
      <c r="E282" s="120" t="str">
        <f t="array" ref="E282">IF(
UPPER(TRIM(CLEAN($O282)))="ENTREGADO",
IFERROR(
INDEX(REPORTE_DROPI!Y:Y,
MATCH($T282, REPORTE_DROPI!B:B, 0)
),
""
),
""
)
</f>
        <v/>
      </c>
      <c r="F282" s="121">
        <v>3.0</v>
      </c>
      <c r="G282" s="122" t="str">
        <f t="array" ref="G282">IF(
UPPER(TRIM(CLEAN($O282)))="ENTREGADO",
IFERROR(
INDEX(REPORTE_DROPI!R:R,
MATCH($T282, REPORTE_DROPI!B:B, 0)
),
""
),
""
)
</f>
        <v/>
      </c>
      <c r="H282" s="118" t="s">
        <v>3727</v>
      </c>
      <c r="I282" s="118" t="s">
        <v>3731</v>
      </c>
      <c r="J282" s="121" t="str">
        <f t="array" ref="J282">IF(
UPPER(TRIM(CLEAN($O282)))="ENTREGADO",
IFERROR(
INDEX(REPORTE_DROPI!T:T,
MATCH($T282, REPORTE_DROPI!B:B, 0)
),
""
),
""
)
</f>
        <v/>
      </c>
      <c r="K282" s="118" t="str">
        <f t="array" ref="K282">IFERROR(
INDEX(REPORTE_DROPI!S:S,
MATCH($T282, REPORTE_DROPI!B:B, 0)
),
""
)
</f>
        <v/>
      </c>
      <c r="L282" s="118">
        <f>IF(
  O282&lt;&gt;"DEVOLUCION",
  "",
  IF(
    T282="",
    "",
    SUMIF(DEVOLUCION!F:F, T282, DEVOLUCION!D:D)
  )
)
</f>
        <v>5.09</v>
      </c>
      <c r="M282" s="118" t="s">
        <v>3870</v>
      </c>
      <c r="N282" s="118" t="s">
        <v>4254</v>
      </c>
      <c r="O282" s="118" t="str">
        <f t="array" ref="O282">IFERROR(
VLOOKUP(
TRIM(CLEAN(
INDEX(REPORTE_DROPI!K:K,
MATCH(T282, REPORTE_DROPI!B:B, 0)
))),
{
TRIM(CLEAN(MAPA_ESTADOS!A:A)) ,
MAPA_ESTADOS!B:B
},
2,
FALSE
),
"REVISAR"
)
</f>
        <v>DEVOLUCION</v>
      </c>
      <c r="P282" s="118"/>
      <c r="Q282" s="122">
        <f t="shared" si="1"/>
        <v>0</v>
      </c>
      <c r="R282" s="118"/>
      <c r="S282" s="118"/>
      <c r="T282" s="118">
        <f t="array" ref="T282">IFERROR(
INDEX(REPORTE_DROPI!B:B,
MATCH(
CLEAN(TRIM(C282)),
CLEAN(TRIM(REPORTE_DROPI!E:E)),
0
)
),
""
)
</f>
        <v>4103859</v>
      </c>
      <c r="U282" s="118">
        <v>6.406674513964E12</v>
      </c>
      <c r="V282" s="78"/>
      <c r="W282" s="78"/>
      <c r="X282" s="78"/>
      <c r="Y282" s="78"/>
      <c r="Z282" s="78"/>
    </row>
    <row r="283" ht="22.5" customHeight="1">
      <c r="A283" s="118">
        <v>282.0</v>
      </c>
      <c r="B283" s="119">
        <v>46033.0</v>
      </c>
      <c r="C283" s="118" t="s">
        <v>4255</v>
      </c>
      <c r="D283" s="118" t="str">
        <f>IFERROR(__xludf.DUMMYFUNCTION("IFERROR(
  INDEX(
    FILTER(
      'NOMBRE DE PRODUCTOS'!B:B,
      REGEXMATCH(
        UPPER(
          INDEX(
            REPORTE_DROPI!AC:AC,
            MATCH(T283, REPORTE_DROPI!B:B, 0)
          )
        ),
        UPPER('NOMBRE DE PRODUCTOS'!A:A)"&amp;"
      )
    ),
    1
  ),
  ""REVISAR""
)
"),"FilmPro®")</f>
        <v>FilmPro®</v>
      </c>
      <c r="E283" s="120">
        <f t="array" ref="E283">IF(
UPPER(TRIM(CLEAN($O283)))="ENTREGADO",
IFERROR(
INDEX(REPORTE_DROPI!Y:Y,
MATCH($T283, REPORTE_DROPI!B:B, 0)
),
""
),
""
)
</f>
        <v>2.79</v>
      </c>
      <c r="F283" s="121">
        <v>1.0</v>
      </c>
      <c r="G283" s="122">
        <f t="array" ref="G283">IF(
UPPER(TRIM(CLEAN($O283)))="ENTREGADO",
IFERROR(
INDEX(REPORTE_DROPI!R:R,
MATCH($T283, REPORTE_DROPI!B:B, 0)
),
""
),
""
)
</f>
        <v>20</v>
      </c>
      <c r="H283" s="118" t="s">
        <v>3727</v>
      </c>
      <c r="I283" s="118" t="s">
        <v>3740</v>
      </c>
      <c r="J283" s="121">
        <f t="array" ref="J283">IF(
UPPER(TRIM(CLEAN($O283)))="ENTREGADO",
IFERROR(
INDEX(REPORTE_DROPI!T:T,
MATCH($T283, REPORTE_DROPI!B:B, 0)
),
""
),
""
)
</f>
        <v>5.18</v>
      </c>
      <c r="K283" s="118">
        <f t="array" ref="K283">IFERROR(
INDEX(REPORTE_DROPI!S:S,
MATCH($T283, REPORTE_DROPI!B:B, 0)
),
""
)
</f>
        <v>12.03</v>
      </c>
      <c r="L283" s="118" t="str">
        <f>IF(
  O283&lt;&gt;"DEVOLUCION",
  "",
  IF(
    T283="",
    "",
    SUMIF(DEVOLUCION!F:F, T283, DEVOLUCION!D:D)
  )
)
</f>
        <v/>
      </c>
      <c r="M283" s="118" t="s">
        <v>3870</v>
      </c>
      <c r="N283" s="118" t="s">
        <v>4256</v>
      </c>
      <c r="O283" s="118" t="str">
        <f t="array" ref="O283">IFERROR(
VLOOKUP(
TRIM(CLEAN(
INDEX(REPORTE_DROPI!K:K,
MATCH(T283, REPORTE_DROPI!B:B, 0)
))),
{
TRIM(CLEAN(MAPA_ESTADOS!A:A)) ,
MAPA_ESTADOS!B:B
},
2,
FALSE
),
"REVISAR"
)
</f>
        <v>ENTREGADO</v>
      </c>
      <c r="P283" s="118"/>
      <c r="Q283" s="122">
        <f t="shared" si="1"/>
        <v>0</v>
      </c>
      <c r="R283" s="118"/>
      <c r="S283" s="118"/>
      <c r="T283" s="118">
        <f t="array" ref="T283">IFERROR(
INDEX(REPORTE_DROPI!B:B,
MATCH(
CLEAN(TRIM(C283)),
CLEAN(TRIM(REPORTE_DROPI!E:E)),
0
)
),
""
)
</f>
        <v>4103920</v>
      </c>
      <c r="U283" s="118">
        <v>6.406688112684E12</v>
      </c>
      <c r="V283" s="78"/>
      <c r="W283" s="78"/>
      <c r="X283" s="78"/>
      <c r="Y283" s="78"/>
      <c r="Z283" s="78"/>
    </row>
    <row r="284" ht="22.5" customHeight="1">
      <c r="A284" s="118">
        <v>283.0</v>
      </c>
      <c r="B284" s="119">
        <v>46033.0</v>
      </c>
      <c r="C284" s="118" t="s">
        <v>4257</v>
      </c>
      <c r="D284" s="118" t="str">
        <f>IFERROR(__xludf.DUMMYFUNCTION("IFERROR(
  INDEX(
    FILTER(
      'NOMBRE DE PRODUCTOS'!B:B,
      REGEXMATCH(
        UPPER(
          INDEX(
            REPORTE_DROPI!AC:AC,
            MATCH(T284, REPORTE_DROPI!B:B, 0)
          )
        ),
        UPPER('NOMBRE DE PRODUCTOS'!A:A)"&amp;"
      )
    ),
    1
  ),
  ""REVISAR""
)
"),"Cuchillo Tazaki™")</f>
        <v>Cuchillo Tazaki™</v>
      </c>
      <c r="E284" s="120">
        <f t="array" ref="E284">IF(
UPPER(TRIM(CLEAN($O284)))="ENTREGADO",
IFERROR(
INDEX(REPORTE_DROPI!Y:Y,
MATCH($T284, REPORTE_DROPI!B:B, 0)
),
""
),
""
)
</f>
        <v>5.2</v>
      </c>
      <c r="F284" s="121">
        <v>2.0</v>
      </c>
      <c r="G284" s="122">
        <f t="array" ref="G284">IF(
UPPER(TRIM(CLEAN($O284)))="ENTREGADO",
IFERROR(
INDEX(REPORTE_DROPI!R:R,
MATCH($T284, REPORTE_DROPI!B:B, 0)
),
""
),
""
)
</f>
        <v>22</v>
      </c>
      <c r="H284" s="118" t="s">
        <v>3727</v>
      </c>
      <c r="I284" s="118" t="s">
        <v>3740</v>
      </c>
      <c r="J284" s="121">
        <f t="array" ref="J284">IF(
UPPER(TRIM(CLEAN($O284)))="ENTREGADO",
IFERROR(
INDEX(REPORTE_DROPI!T:T,
MATCH($T284, REPORTE_DROPI!B:B, 0)
),
""
),
""
)
</f>
        <v>5.26</v>
      </c>
      <c r="K284" s="118">
        <f t="array" ref="K284">IFERROR(
INDEX(REPORTE_DROPI!S:S,
MATCH($T284, REPORTE_DROPI!B:B, 0)
),
""
)
</f>
        <v>11.54</v>
      </c>
      <c r="L284" s="118" t="str">
        <f>IF(
  O284&lt;&gt;"DEVOLUCION",
  "",
  IF(
    T284="",
    "",
    SUMIF(DEVOLUCION!F:F, T284, DEVOLUCION!D:D)
  )
)
</f>
        <v/>
      </c>
      <c r="M284" s="118" t="s">
        <v>3870</v>
      </c>
      <c r="N284" s="118" t="s">
        <v>4258</v>
      </c>
      <c r="O284" s="118" t="str">
        <f t="array" ref="O284">IFERROR(
VLOOKUP(
TRIM(CLEAN(
INDEX(REPORTE_DROPI!K:K,
MATCH(T284, REPORTE_DROPI!B:B, 0)
))),
{
TRIM(CLEAN(MAPA_ESTADOS!A:A)) ,
MAPA_ESTADOS!B:B
},
2,
FALSE
),
"REVISAR"
)
</f>
        <v>ENTREGADO</v>
      </c>
      <c r="P284" s="118"/>
      <c r="Q284" s="122">
        <f t="shared" si="1"/>
        <v>0</v>
      </c>
      <c r="R284" s="118"/>
      <c r="S284" s="118"/>
      <c r="T284" s="118">
        <f t="array" ref="T284">IFERROR(
INDEX(REPORTE_DROPI!B:B,
MATCH(
CLEAN(TRIM(C284)),
CLEAN(TRIM(REPORTE_DROPI!E:E)),
0
)
),
""
)
</f>
        <v>4103968</v>
      </c>
      <c r="U284" s="118">
        <v>6.406700171308E12</v>
      </c>
      <c r="V284" s="78"/>
      <c r="W284" s="78"/>
      <c r="X284" s="78"/>
      <c r="Y284" s="78"/>
      <c r="Z284" s="78"/>
    </row>
    <row r="285" ht="22.5" customHeight="1">
      <c r="A285" s="118">
        <v>284.0</v>
      </c>
      <c r="B285" s="119">
        <v>46033.0</v>
      </c>
      <c r="C285" s="118" t="s">
        <v>4259</v>
      </c>
      <c r="D285" s="118" t="str">
        <f>IFERROR(__xludf.DUMMYFUNCTION("IFERROR(
  INDEX(
    FILTER(
      'NOMBRE DE PRODUCTOS'!B:B,
      REGEXMATCH(
        UPPER(
          INDEX(
            REPORTE_DROPI!AC:AC,
            MATCH(T285, REPORTE_DROPI!B:B, 0)
          )
        ),
        UPPER('NOMBRE DE PRODUCTOS'!A:A)"&amp;"
      )
    ),
    1
  ),
  ""REVISAR""
)
"),"Cuchillo Tazaki™")</f>
        <v>Cuchillo Tazaki™</v>
      </c>
      <c r="E285" s="120">
        <f t="array" ref="E285">IF(
UPPER(TRIM(CLEAN($O285)))="ENTREGADO",
IFERROR(
INDEX(REPORTE_DROPI!Y:Y,
MATCH($T285, REPORTE_DROPI!B:B, 0)
),
""
),
""
)
</f>
        <v>5.2</v>
      </c>
      <c r="F285" s="121">
        <v>2.0</v>
      </c>
      <c r="G285" s="122">
        <f t="array" ref="G285">IF(
UPPER(TRIM(CLEAN($O285)))="ENTREGADO",
IFERROR(
INDEX(REPORTE_DROPI!R:R,
MATCH($T285, REPORTE_DROPI!B:B, 0)
),
""
),
""
)
</f>
        <v>22</v>
      </c>
      <c r="H285" s="118" t="s">
        <v>3727</v>
      </c>
      <c r="I285" s="118" t="s">
        <v>3772</v>
      </c>
      <c r="J285" s="121">
        <f t="array" ref="J285">IF(
UPPER(TRIM(CLEAN($O285)))="ENTREGADO",
IFERROR(
INDEX(REPORTE_DROPI!T:T,
MATCH($T285, REPORTE_DROPI!B:B, 0)
),
""
),
""
)
</f>
        <v>5.84</v>
      </c>
      <c r="K285" s="118">
        <f t="array" ref="K285">IFERROR(
INDEX(REPORTE_DROPI!S:S,
MATCH($T285, REPORTE_DROPI!B:B, 0)
),
""
)
</f>
        <v>10.96</v>
      </c>
      <c r="L285" s="118" t="str">
        <f>IF(
  O285&lt;&gt;"DEVOLUCION",
  "",
  IF(
    T285="",
    "",
    SUMIF(DEVOLUCION!F:F, T285, DEVOLUCION!D:D)
  )
)
</f>
        <v/>
      </c>
      <c r="M285" s="118"/>
      <c r="N285" s="118" t="s">
        <v>4260</v>
      </c>
      <c r="O285" s="118" t="str">
        <f t="array" ref="O285">IFERROR(
VLOOKUP(
TRIM(CLEAN(
INDEX(REPORTE_DROPI!K:K,
MATCH(T285, REPORTE_DROPI!B:B, 0)
))),
{
TRIM(CLEAN(MAPA_ESTADOS!A:A)) ,
MAPA_ESTADOS!B:B
},
2,
FALSE
),
"REVISAR"
)
</f>
        <v>ENTREGADO</v>
      </c>
      <c r="P285" s="118"/>
      <c r="Q285" s="122">
        <f t="shared" si="1"/>
        <v>0</v>
      </c>
      <c r="R285" s="118"/>
      <c r="S285" s="118"/>
      <c r="T285" s="118">
        <f t="array" ref="T285">IFERROR(
INDEX(REPORTE_DROPI!B:B,
MATCH(
CLEAN(TRIM(C285)),
CLEAN(TRIM(REPORTE_DROPI!E:E)),
0
)
),
""
)
</f>
        <v>4104064</v>
      </c>
      <c r="U285" s="118">
        <v>6.406724485164E12</v>
      </c>
      <c r="V285" s="78"/>
      <c r="W285" s="78"/>
      <c r="X285" s="78"/>
      <c r="Y285" s="78"/>
      <c r="Z285" s="78"/>
    </row>
    <row r="286" ht="22.5" customHeight="1">
      <c r="A286" s="118">
        <v>285.0</v>
      </c>
      <c r="B286" s="119">
        <v>46033.0</v>
      </c>
      <c r="C286" s="118" t="s">
        <v>4261</v>
      </c>
      <c r="D286" s="118" t="str">
        <f>IFERROR(__xludf.DUMMYFUNCTION("IFERROR(
  INDEX(
    FILTER(
      'NOMBRE DE PRODUCTOS'!B:B,
      REGEXMATCH(
        UPPER(
          INDEX(
            REPORTE_DROPI!AC:AC,
            MATCH(T286, REPORTE_DROPI!B:B, 0)
          )
        ),
        UPPER('NOMBRE DE PRODUCTOS'!A:A)"&amp;"
      )
    ),
    1
  ),
  ""REVISAR""
)
"),"Cuchillo Tazaki™")</f>
        <v>Cuchillo Tazaki™</v>
      </c>
      <c r="E286" s="120">
        <f t="array" ref="E286">IF(
UPPER(TRIM(CLEAN($O286)))="ENTREGADO",
IFERROR(
INDEX(REPORTE_DROPI!Y:Y,
MATCH($T286, REPORTE_DROPI!B:B, 0)
),
""
),
""
)
</f>
        <v>7.8</v>
      </c>
      <c r="F286" s="121">
        <v>3.0</v>
      </c>
      <c r="G286" s="122">
        <f t="array" ref="G286">IF(
UPPER(TRIM(CLEAN($O286)))="ENTREGADO",
IFERROR(
INDEX(REPORTE_DROPI!R:R,
MATCH($T286, REPORTE_DROPI!B:B, 0)
),
""
),
""
)
</f>
        <v>27</v>
      </c>
      <c r="H286" s="118" t="s">
        <v>3727</v>
      </c>
      <c r="I286" s="118" t="s">
        <v>3804</v>
      </c>
      <c r="J286" s="121">
        <f t="array" ref="J286">IF(
UPPER(TRIM(CLEAN($O286)))="ENTREGADO",
IFERROR(
INDEX(REPORTE_DROPI!T:T,
MATCH($T286, REPORTE_DROPI!B:B, 0)
),
""
),
""
)
</f>
        <v>6.03</v>
      </c>
      <c r="K286" s="118">
        <f t="array" ref="K286">IFERROR(
INDEX(REPORTE_DROPI!S:S,
MATCH($T286, REPORTE_DROPI!B:B, 0)
),
""
)
</f>
        <v>13.17</v>
      </c>
      <c r="L286" s="118" t="str">
        <f>IF(
  O286&lt;&gt;"DEVOLUCION",
  "",
  IF(
    T286="",
    "",
    SUMIF(DEVOLUCION!F:F, T286, DEVOLUCION!D:D)
  )
)
</f>
        <v/>
      </c>
      <c r="M286" s="118"/>
      <c r="N286" s="118" t="s">
        <v>4262</v>
      </c>
      <c r="O286" s="118" t="str">
        <f t="array" ref="O286">IFERROR(
VLOOKUP(
TRIM(CLEAN(
INDEX(REPORTE_DROPI!K:K,
MATCH(T286, REPORTE_DROPI!B:B, 0)
))),
{
TRIM(CLEAN(MAPA_ESTADOS!A:A)) ,
MAPA_ESTADOS!B:B
},
2,
FALSE
),
"REVISAR"
)
</f>
        <v>ENTREGADO</v>
      </c>
      <c r="P286" s="118"/>
      <c r="Q286" s="122">
        <f t="shared" si="1"/>
        <v>0</v>
      </c>
      <c r="R286" s="118"/>
      <c r="S286" s="118"/>
      <c r="T286" s="118">
        <f t="array" ref="T286">IFERROR(
INDEX(REPORTE_DROPI!B:B,
MATCH(
CLEAN(TRIM(C286)),
CLEAN(TRIM(REPORTE_DROPI!E:E)),
0
)
),
""
)
</f>
        <v>4104170</v>
      </c>
      <c r="U286" s="118">
        <v>6.406754238508E12</v>
      </c>
      <c r="V286" s="78"/>
      <c r="W286" s="78"/>
      <c r="X286" s="78"/>
      <c r="Y286" s="78"/>
      <c r="Z286" s="78"/>
    </row>
    <row r="287" ht="22.5" customHeight="1">
      <c r="A287" s="118">
        <v>286.0</v>
      </c>
      <c r="B287" s="119">
        <v>46033.0</v>
      </c>
      <c r="C287" s="118" t="s">
        <v>4263</v>
      </c>
      <c r="D287" s="118" t="str">
        <f>IFERROR(__xludf.DUMMYFUNCTION("IFERROR(
  INDEX(
    FILTER(
      'NOMBRE DE PRODUCTOS'!B:B,
      REGEXMATCH(
        UPPER(
          INDEX(
            REPORTE_DROPI!AC:AC,
            MATCH(T287, REPORTE_DROPI!B:B, 0)
          )
        ),
        UPPER('NOMBRE DE PRODUCTOS'!A:A)"&amp;"
      )
    ),
    1
  ),
  ""REVISAR""
)
"),"Cuchillo Tazaki™")</f>
        <v>Cuchillo Tazaki™</v>
      </c>
      <c r="E287" s="120" t="str">
        <f t="array" ref="E287">IF(
UPPER(TRIM(CLEAN($O287)))="ENTREGADO",
IFERROR(
INDEX(REPORTE_DROPI!Y:Y,
MATCH($T287, REPORTE_DROPI!B:B, 0)
),
""
),
""
)
</f>
        <v/>
      </c>
      <c r="F287" s="121">
        <v>2.0</v>
      </c>
      <c r="G287" s="122" t="str">
        <f t="array" ref="G287">IF(
UPPER(TRIM(CLEAN($O287)))="ENTREGADO",
IFERROR(
INDEX(REPORTE_DROPI!R:R,
MATCH($T287, REPORTE_DROPI!B:B, 0)
),
""
),
""
)
</f>
        <v/>
      </c>
      <c r="H287" s="118" t="s">
        <v>3727</v>
      </c>
      <c r="I287" s="118" t="s">
        <v>3731</v>
      </c>
      <c r="J287" s="121" t="str">
        <f t="array" ref="J287">IF(
UPPER(TRIM(CLEAN($O287)))="ENTREGADO",
IFERROR(
INDEX(REPORTE_DROPI!T:T,
MATCH($T287, REPORTE_DROPI!B:B, 0)
),
""
),
""
)
</f>
        <v/>
      </c>
      <c r="K287" s="118" t="str">
        <f t="array" ref="K287">IFERROR(
INDEX(REPORTE_DROPI!S:S,
MATCH($T287, REPORTE_DROPI!B:B, 0)
),
""
)
</f>
        <v/>
      </c>
      <c r="L287" s="118">
        <f>IF(
  O287&lt;&gt;"DEVOLUCION",
  "",
  IF(
    T287="",
    "",
    SUMIF(DEVOLUCION!F:F, T287, DEVOLUCION!D:D)
  )
)
</f>
        <v>5.07</v>
      </c>
      <c r="M287" s="118"/>
      <c r="N287" s="118" t="s">
        <v>4264</v>
      </c>
      <c r="O287" s="118" t="str">
        <f t="array" ref="O287">IFERROR(
VLOOKUP(
TRIM(CLEAN(
INDEX(REPORTE_DROPI!K:K,
MATCH(T287, REPORTE_DROPI!B:B, 0)
))),
{
TRIM(CLEAN(MAPA_ESTADOS!A:A)) ,
MAPA_ESTADOS!B:B
},
2,
FALSE
),
"REVISAR"
)
</f>
        <v>DEVOLUCION</v>
      </c>
      <c r="P287" s="118"/>
      <c r="Q287" s="122">
        <f t="shared" si="1"/>
        <v>0</v>
      </c>
      <c r="R287" s="118"/>
      <c r="S287" s="118"/>
      <c r="T287" s="118">
        <f t="array" ref="T287">IFERROR(
INDEX(REPORTE_DROPI!B:B,
MATCH(
CLEAN(TRIM(C287)),
CLEAN(TRIM(REPORTE_DROPI!E:E)),
0
)
),
""
)
</f>
        <v>4104190</v>
      </c>
      <c r="U287" s="118">
        <v>6.4067564995E12</v>
      </c>
      <c r="V287" s="78"/>
      <c r="W287" s="78"/>
      <c r="X287" s="78"/>
      <c r="Y287" s="78"/>
      <c r="Z287" s="78"/>
    </row>
    <row r="288" ht="22.5" customHeight="1">
      <c r="A288" s="118">
        <v>287.0</v>
      </c>
      <c r="B288" s="119">
        <v>46033.0</v>
      </c>
      <c r="C288" s="126" t="s">
        <v>4265</v>
      </c>
      <c r="D288" s="118" t="str">
        <f>IFERROR(__xludf.DUMMYFUNCTION("IFERROR(
  INDEX(
    FILTER(
      'NOMBRE DE PRODUCTOS'!B:B,
      REGEXMATCH(
        UPPER(
          INDEX(
            REPORTE_DROPI!AC:AC,
            MATCH(T288, REPORTE_DROPI!B:B, 0)
          )
        ),
        UPPER('NOMBRE DE PRODUCTOS'!A:A)"&amp;"
      )
    ),
    1
  ),
  ""REVISAR""
)
"),"Cuchillo Tazaki™")</f>
        <v>Cuchillo Tazaki™</v>
      </c>
      <c r="E288" s="120" t="str">
        <f t="array" ref="E288">IF(
UPPER(TRIM(CLEAN($O288)))="ENTREGADO",
IFERROR(
INDEX(REPORTE_DROPI!Y:Y,
MATCH($T288, REPORTE_DROPI!B:B, 0)
),
""
),
""
)
</f>
        <v/>
      </c>
      <c r="F288" s="121">
        <v>2.0</v>
      </c>
      <c r="G288" s="122" t="str">
        <f t="array" ref="G288">IF(
UPPER(TRIM(CLEAN($O288)))="ENTREGADO",
IFERROR(
INDEX(REPORTE_DROPI!R:R,
MATCH($T288, REPORTE_DROPI!B:B, 0)
),
""
),
""
)
</f>
        <v/>
      </c>
      <c r="H288" s="118" t="s">
        <v>3727</v>
      </c>
      <c r="I288" s="118" t="s">
        <v>3951</v>
      </c>
      <c r="J288" s="121" t="str">
        <f t="array" ref="J288">IF(
UPPER(TRIM(CLEAN($O288)))="ENTREGADO",
IFERROR(
INDEX(REPORTE_DROPI!T:T,
MATCH($T288, REPORTE_DROPI!B:B, 0)
),
""
),
""
)
</f>
        <v/>
      </c>
      <c r="K288" s="118" t="str">
        <f t="array" ref="K288">IFERROR(
INDEX(REPORTE_DROPI!S:S,
MATCH($T288, REPORTE_DROPI!B:B, 0)
),
""
)
</f>
        <v/>
      </c>
      <c r="L288" s="118" t="str">
        <f>IF(
  O288&lt;&gt;"DEVOLUCION",
  "",
  IF(
    T288="",
    "",
    SUMIF(DEVOLUCION!F:F, T288, DEVOLUCION!D:D)
  )
)
</f>
        <v/>
      </c>
      <c r="M288" s="118"/>
      <c r="N288" s="118" t="s">
        <v>4266</v>
      </c>
      <c r="O288" s="118" t="str">
        <f t="array" ref="O288">IFERROR(
VLOOKUP(
TRIM(CLEAN(
INDEX(REPORTE_DROPI!K:K,
MATCH(T288, REPORTE_DROPI!B:B, 0)
))),
{
TRIM(CLEAN(MAPA_ESTADOS!A:A)) ,
MAPA_ESTADOS!B:B
},
2,
FALSE
),
"REVISAR"
)
</f>
        <v>PENDIENTE</v>
      </c>
      <c r="P288" s="118" t="s">
        <v>3955</v>
      </c>
      <c r="Q288" s="122">
        <f t="shared" si="1"/>
        <v>0</v>
      </c>
      <c r="R288" s="118"/>
      <c r="S288" s="118"/>
      <c r="T288" s="118">
        <f t="array" ref="T288">IFERROR(
INDEX(REPORTE_DROPI!B:B,
MATCH(
CLEAN(TRIM(C288)),
CLEAN(TRIM(REPORTE_DROPI!E:E)),
0
)
),
""
)
</f>
        <v>4122428</v>
      </c>
      <c r="U288" s="118">
        <v>6.406760955948E12</v>
      </c>
      <c r="V288" s="78"/>
      <c r="W288" s="78"/>
      <c r="X288" s="78"/>
      <c r="Y288" s="78"/>
      <c r="Z288" s="78"/>
    </row>
    <row r="289" ht="22.5" customHeight="1">
      <c r="A289" s="118">
        <v>288.0</v>
      </c>
      <c r="B289" s="119">
        <v>46033.0</v>
      </c>
      <c r="C289" s="118" t="s">
        <v>4267</v>
      </c>
      <c r="D289" s="118" t="str">
        <f>IFERROR(__xludf.DUMMYFUNCTION("IFERROR(
  INDEX(
    FILTER(
      'NOMBRE DE PRODUCTOS'!B:B,
      REGEXMATCH(
        UPPER(
          INDEX(
            REPORTE_DROPI!AC:AC,
            MATCH(T289, REPORTE_DROPI!B:B, 0)
          )
        ),
        UPPER('NOMBRE DE PRODUCTOS'!A:A)"&amp;"
      )
    ),
    1
  ),
  ""REVISAR""
)
"),"FilmPro®")</f>
        <v>FilmPro®</v>
      </c>
      <c r="E289" s="120">
        <f t="array" ref="E289">IF(
UPPER(TRIM(CLEAN($O289)))="ENTREGADO",
IFERROR(
INDEX(REPORTE_DROPI!Y:Y,
MATCH($T289, REPORTE_DROPI!B:B, 0)
),
""
),
""
)
</f>
        <v>5.58</v>
      </c>
      <c r="F289" s="121">
        <v>2.0</v>
      </c>
      <c r="G289" s="122">
        <f t="array" ref="G289">IF(
UPPER(TRIM(CLEAN($O289)))="ENTREGADO",
IFERROR(
INDEX(REPORTE_DROPI!R:R,
MATCH($T289, REPORTE_DROPI!B:B, 0)
),
""
),
""
)
</f>
        <v>25</v>
      </c>
      <c r="H289" s="118" t="s">
        <v>3727</v>
      </c>
      <c r="I289" s="118" t="s">
        <v>3740</v>
      </c>
      <c r="J289" s="121">
        <f t="array" ref="J289">IF(
UPPER(TRIM(CLEAN($O289)))="ENTREGADO",
IFERROR(
INDEX(REPORTE_DROPI!T:T,
MATCH($T289, REPORTE_DROPI!B:B, 0)
),
""
),
""
)
</f>
        <v>4.35</v>
      </c>
      <c r="K289" s="118">
        <f t="array" ref="K289">IFERROR(
INDEX(REPORTE_DROPI!S:S,
MATCH($T289, REPORTE_DROPI!B:B, 0)
),
""
)
</f>
        <v>15.07</v>
      </c>
      <c r="L289" s="118" t="str">
        <f>IF(
  O289&lt;&gt;"DEVOLUCION",
  "",
  IF(
    T289="",
    "",
    SUMIF(DEVOLUCION!F:F, T289, DEVOLUCION!D:D)
  )
)
</f>
        <v/>
      </c>
      <c r="M289" s="118"/>
      <c r="N289" s="118" t="s">
        <v>4268</v>
      </c>
      <c r="O289" s="118" t="str">
        <f t="array" ref="O289">IFERROR(
VLOOKUP(
TRIM(CLEAN(
INDEX(REPORTE_DROPI!K:K,
MATCH(T289, REPORTE_DROPI!B:B, 0)
))),
{
TRIM(CLEAN(MAPA_ESTADOS!A:A)) ,
MAPA_ESTADOS!B:B
},
2,
FALSE
),
"REVISAR"
)
</f>
        <v>ENTREGADO</v>
      </c>
      <c r="P289" s="118"/>
      <c r="Q289" s="122">
        <f t="shared" si="1"/>
        <v>0</v>
      </c>
      <c r="R289" s="118"/>
      <c r="S289" s="118"/>
      <c r="T289" s="118">
        <f t="array" ref="T289">IFERROR(
INDEX(REPORTE_DROPI!B:B,
MATCH(
CLEAN(TRIM(C289)),
CLEAN(TRIM(REPORTE_DROPI!E:E)),
0
)
),
""
)
</f>
        <v>4104216</v>
      </c>
      <c r="U289" s="118">
        <v>6.406765379628E12</v>
      </c>
      <c r="V289" s="78"/>
      <c r="W289" s="78"/>
      <c r="X289" s="78"/>
      <c r="Y289" s="78"/>
      <c r="Z289" s="78"/>
    </row>
    <row r="290" ht="22.5" customHeight="1">
      <c r="A290" s="118">
        <v>289.0</v>
      </c>
      <c r="B290" s="119">
        <v>46033.0</v>
      </c>
      <c r="C290" s="118" t="s">
        <v>4269</v>
      </c>
      <c r="D290" s="118" t="str">
        <f>IFERROR(__xludf.DUMMYFUNCTION("IFERROR(
  INDEX(
    FILTER(
      'NOMBRE DE PRODUCTOS'!B:B,
      REGEXMATCH(
        UPPER(
          INDEX(
            REPORTE_DROPI!AC:AC,
            MATCH(T290, REPORTE_DROPI!B:B, 0)
          )
        ),
        UPPER('NOMBRE DE PRODUCTOS'!A:A)"&amp;"
      )
    ),
    1
  ),
  ""REVISAR""
)
"),"FilmPro®")</f>
        <v>FilmPro®</v>
      </c>
      <c r="E290" s="120">
        <f t="array" ref="E290">IF(
UPPER(TRIM(CLEAN($O290)))="ENTREGADO",
IFERROR(
INDEX(REPORTE_DROPI!Y:Y,
MATCH($T290, REPORTE_DROPI!B:B, 0)
),
""
),
""
)
</f>
        <v>5.58</v>
      </c>
      <c r="F290" s="121">
        <v>2.0</v>
      </c>
      <c r="G290" s="122">
        <f t="array" ref="G290">IF(
UPPER(TRIM(CLEAN($O290)))="ENTREGADO",
IFERROR(
INDEX(REPORTE_DROPI!R:R,
MATCH($T290, REPORTE_DROPI!B:B, 0)
),
""
),
""
)
</f>
        <v>25</v>
      </c>
      <c r="H290" s="118" t="s">
        <v>3727</v>
      </c>
      <c r="I290" s="118" t="s">
        <v>3740</v>
      </c>
      <c r="J290" s="121">
        <f t="array" ref="J290">IF(
UPPER(TRIM(CLEAN($O290)))="ENTREGADO",
IFERROR(
INDEX(REPORTE_DROPI!T:T,
MATCH($T290, REPORTE_DROPI!B:B, 0)
),
""
),
""
)
</f>
        <v>4.35</v>
      </c>
      <c r="K290" s="118">
        <f t="array" ref="K290">IFERROR(
INDEX(REPORTE_DROPI!S:S,
MATCH($T290, REPORTE_DROPI!B:B, 0)
),
""
)
</f>
        <v>15.07</v>
      </c>
      <c r="L290" s="118" t="str">
        <f>IF(
  O290&lt;&gt;"DEVOLUCION",
  "",
  IF(
    T290="",
    "",
    SUMIF(DEVOLUCION!F:F, T290, DEVOLUCION!D:D)
  )
)
</f>
        <v/>
      </c>
      <c r="M290" s="118"/>
      <c r="N290" s="118" t="s">
        <v>4270</v>
      </c>
      <c r="O290" s="118" t="str">
        <f t="array" ref="O290">IFERROR(
VLOOKUP(
TRIM(CLEAN(
INDEX(REPORTE_DROPI!K:K,
MATCH(T290, REPORTE_DROPI!B:B, 0)
))),
{
TRIM(CLEAN(MAPA_ESTADOS!A:A)) ,
MAPA_ESTADOS!B:B
},
2,
FALSE
),
"REVISAR"
)
</f>
        <v>ENTREGADO</v>
      </c>
      <c r="P290" s="118"/>
      <c r="Q290" s="122">
        <f t="shared" si="1"/>
        <v>0</v>
      </c>
      <c r="R290" s="118"/>
      <c r="S290" s="118"/>
      <c r="T290" s="118">
        <f t="array" ref="T290">IFERROR(
INDEX(REPORTE_DROPI!B:B,
MATCH(
CLEAN(TRIM(C290)),
CLEAN(TRIM(REPORTE_DROPI!E:E)),
0
)
),
""
)
</f>
        <v>4104468</v>
      </c>
      <c r="U290" s="118">
        <v>6.406830358572E12</v>
      </c>
      <c r="V290" s="78"/>
      <c r="W290" s="78"/>
      <c r="X290" s="78"/>
      <c r="Y290" s="78"/>
      <c r="Z290" s="78"/>
    </row>
    <row r="291" ht="22.5" customHeight="1">
      <c r="A291" s="118">
        <v>290.0</v>
      </c>
      <c r="B291" s="119">
        <v>46033.0</v>
      </c>
      <c r="C291" s="118" t="s">
        <v>4271</v>
      </c>
      <c r="D291" s="118" t="str">
        <f>IFERROR(__xludf.DUMMYFUNCTION("IFERROR(
  INDEX(
    FILTER(
      'NOMBRE DE PRODUCTOS'!B:B,
      REGEXMATCH(
        UPPER(
          INDEX(
            REPORTE_DROPI!AC:AC,
            MATCH(T291, REPORTE_DROPI!B:B, 0)
          )
        ),
        UPPER('NOMBRE DE PRODUCTOS'!A:A)"&amp;"
      )
    ),
    1
  ),
  ""REVISAR""
)
"),"FilmPro®")</f>
        <v>FilmPro®</v>
      </c>
      <c r="E291" s="120" t="str">
        <f t="array" ref="E291">IF(
UPPER(TRIM(CLEAN($O291)))="ENTREGADO",
IFERROR(
INDEX(REPORTE_DROPI!Y:Y,
MATCH($T291, REPORTE_DROPI!B:B, 0)
),
""
),
""
)
</f>
        <v/>
      </c>
      <c r="F291" s="121">
        <v>1.0</v>
      </c>
      <c r="G291" s="122" t="str">
        <f t="array" ref="G291">IF(
UPPER(TRIM(CLEAN($O291)))="ENTREGADO",
IFERROR(
INDEX(REPORTE_DROPI!R:R,
MATCH($T291, REPORTE_DROPI!B:B, 0)
),
""
),
""
)
</f>
        <v/>
      </c>
      <c r="H291" s="118" t="s">
        <v>3727</v>
      </c>
      <c r="I291" s="118" t="s">
        <v>3731</v>
      </c>
      <c r="J291" s="121" t="str">
        <f t="array" ref="J291">IF(
UPPER(TRIM(CLEAN($O291)))="ENTREGADO",
IFERROR(
INDEX(REPORTE_DROPI!T:T,
MATCH($T291, REPORTE_DROPI!B:B, 0)
),
""
),
""
)
</f>
        <v/>
      </c>
      <c r="K291" s="118" t="str">
        <f t="array" ref="K291">IFERROR(
INDEX(REPORTE_DROPI!S:S,
MATCH($T291, REPORTE_DROPI!B:B, 0)
),
""
)
</f>
        <v/>
      </c>
      <c r="L291" s="118">
        <f>IF(
  O291&lt;&gt;"DEVOLUCION",
  "",
  IF(
    T291="",
    "",
    SUMIF(DEVOLUCION!F:F, T291, DEVOLUCION!D:D)
  )
)
</f>
        <v>5.06</v>
      </c>
      <c r="M291" s="118"/>
      <c r="N291" s="118" t="s">
        <v>4272</v>
      </c>
      <c r="O291" s="118" t="str">
        <f t="array" ref="O291">IFERROR(
VLOOKUP(
TRIM(CLEAN(
INDEX(REPORTE_DROPI!K:K,
MATCH(T291, REPORTE_DROPI!B:B, 0)
))),
{
TRIM(CLEAN(MAPA_ESTADOS!A:A)) ,
MAPA_ESTADOS!B:B
},
2,
FALSE
),
"REVISAR"
)
</f>
        <v>DEVOLUCION</v>
      </c>
      <c r="P291" s="118" t="s">
        <v>3955</v>
      </c>
      <c r="Q291" s="122">
        <f t="shared" si="1"/>
        <v>0</v>
      </c>
      <c r="R291" s="118"/>
      <c r="S291" s="118"/>
      <c r="T291" s="118">
        <f t="array" ref="T291">IFERROR(
INDEX(REPORTE_DROPI!B:B,
MATCH(
CLEAN(TRIM(C291)),
CLEAN(TRIM(REPORTE_DROPI!E:E)),
0
)
),
""
)
</f>
        <v>4104576</v>
      </c>
      <c r="U291" s="118">
        <v>6.40688363934E12</v>
      </c>
      <c r="V291" s="78"/>
      <c r="W291" s="78"/>
      <c r="X291" s="78"/>
      <c r="Y291" s="78"/>
      <c r="Z291" s="78"/>
    </row>
    <row r="292" ht="22.5" customHeight="1">
      <c r="A292" s="118">
        <v>291.0</v>
      </c>
      <c r="B292" s="119">
        <v>46033.0</v>
      </c>
      <c r="C292" s="126" t="s">
        <v>4273</v>
      </c>
      <c r="D292" s="118" t="str">
        <f>IFERROR(__xludf.DUMMYFUNCTION("IFERROR(
  INDEX(
    FILTER(
      'NOMBRE DE PRODUCTOS'!B:B,
      REGEXMATCH(
        UPPER(
          INDEX(
            REPORTE_DROPI!AC:AC,
            MATCH(T292, REPORTE_DROPI!B:B, 0)
          )
        ),
        UPPER('NOMBRE DE PRODUCTOS'!A:A)"&amp;"
      )
    ),
    1
  ),
  ""REVISAR""
)
"),"FilmPro®")</f>
        <v>FilmPro®</v>
      </c>
      <c r="E292" s="120" t="str">
        <f t="array" ref="E292">IF(
UPPER(TRIM(CLEAN($O292)))="ENTREGADO",
IFERROR(
INDEX(REPORTE_DROPI!Y:Y,
MATCH($T292, REPORTE_DROPI!B:B, 0)
),
""
),
""
)
</f>
        <v/>
      </c>
      <c r="F292" s="121">
        <v>2.0</v>
      </c>
      <c r="G292" s="122" t="str">
        <f t="array" ref="G292">IF(
UPPER(TRIM(CLEAN($O292)))="ENTREGADO",
IFERROR(
INDEX(REPORTE_DROPI!R:R,
MATCH($T292, REPORTE_DROPI!B:B, 0)
),
""
),
""
)
</f>
        <v/>
      </c>
      <c r="H292" s="118" t="s">
        <v>3727</v>
      </c>
      <c r="I292" s="118" t="s">
        <v>3772</v>
      </c>
      <c r="J292" s="121" t="str">
        <f t="array" ref="J292">IF(
UPPER(TRIM(CLEAN($O292)))="ENTREGADO",
IFERROR(
INDEX(REPORTE_DROPI!T:T,
MATCH($T292, REPORTE_DROPI!B:B, 0)
),
""
),
""
)
</f>
        <v/>
      </c>
      <c r="K292" s="118" t="str">
        <f t="array" ref="K292">IFERROR(
INDEX(REPORTE_DROPI!S:S,
MATCH($T292, REPORTE_DROPI!B:B, 0)
),
""
)
</f>
        <v/>
      </c>
      <c r="L292" s="118" t="str">
        <f>IF(
  O292&lt;&gt;"DEVOLUCION",
  "",
  IF(
    T292="",
    "",
    SUMIF(DEVOLUCION!F:F, T292, DEVOLUCION!D:D)
  )
)
</f>
        <v/>
      </c>
      <c r="M292" s="118"/>
      <c r="N292" s="118" t="s">
        <v>4274</v>
      </c>
      <c r="O292" s="118" t="str">
        <f t="array" ref="O292">IFERROR(
VLOOKUP(
TRIM(CLEAN(
INDEX(REPORTE_DROPI!K:K,
MATCH(T292, REPORTE_DROPI!B:B, 0)
))),
{
TRIM(CLEAN(MAPA_ESTADOS!A:A)) ,
MAPA_ESTADOS!B:B
},
2,
FALSE
),
"REVISAR"
)
</f>
        <v>PENDIENTE</v>
      </c>
      <c r="P292" s="118" t="s">
        <v>4275</v>
      </c>
      <c r="Q292" s="122">
        <f t="shared" si="1"/>
        <v>0</v>
      </c>
      <c r="R292" s="118"/>
      <c r="S292" s="118"/>
      <c r="T292" s="118">
        <f t="array" ref="T292">IFERROR(
INDEX(REPORTE_DROPI!B:B,
MATCH(
CLEAN(TRIM(C292)),
CLEAN(TRIM(REPORTE_DROPI!E:E)),
0
)
),
""
)
</f>
        <v>4104667</v>
      </c>
      <c r="U292" s="118">
        <v>6.40690903454E12</v>
      </c>
      <c r="V292" s="78"/>
      <c r="W292" s="78"/>
      <c r="X292" s="78"/>
      <c r="Y292" s="78"/>
      <c r="Z292" s="78"/>
    </row>
    <row r="293" ht="22.5" customHeight="1">
      <c r="A293" s="118">
        <v>292.0</v>
      </c>
      <c r="B293" s="119">
        <v>46033.0</v>
      </c>
      <c r="C293" s="126" t="s">
        <v>4276</v>
      </c>
      <c r="D293" s="118" t="str">
        <f>IFERROR(__xludf.DUMMYFUNCTION("IFERROR(
  INDEX(
    FILTER(
      'NOMBRE DE PRODUCTOS'!B:B,
      REGEXMATCH(
        UPPER(
          INDEX(
            REPORTE_DROPI!AC:AC,
            MATCH(T293, REPORTE_DROPI!B:B, 0)
          )
        ),
        UPPER('NOMBRE DE PRODUCTOS'!A:A)"&amp;"
      )
    ),
    1
  ),
  ""REVISAR""
)
"),"FilmPro®")</f>
        <v>FilmPro®</v>
      </c>
      <c r="E293" s="120" t="str">
        <f t="array" ref="E293">IF(
UPPER(TRIM(CLEAN($O293)))="ENTREGADO",
IFERROR(
INDEX(REPORTE_DROPI!Y:Y,
MATCH($T293, REPORTE_DROPI!B:B, 0)
),
""
),
""
)
</f>
        <v/>
      </c>
      <c r="F293" s="121">
        <v>1.0</v>
      </c>
      <c r="G293" s="122" t="str">
        <f t="array" ref="G293">IF(
UPPER(TRIM(CLEAN($O293)))="ENTREGADO",
IFERROR(
INDEX(REPORTE_DROPI!R:R,
MATCH($T293, REPORTE_DROPI!B:B, 0)
),
""
),
""
)
</f>
        <v/>
      </c>
      <c r="H293" s="118" t="s">
        <v>3727</v>
      </c>
      <c r="I293" s="118" t="s">
        <v>3728</v>
      </c>
      <c r="J293" s="121" t="str">
        <f t="array" ref="J293">IF(
UPPER(TRIM(CLEAN($O293)))="ENTREGADO",
IFERROR(
INDEX(REPORTE_DROPI!T:T,
MATCH($T293, REPORTE_DROPI!B:B, 0)
),
""
),
""
)
</f>
        <v/>
      </c>
      <c r="K293" s="118" t="str">
        <f t="array" ref="K293">IFERROR(
INDEX(REPORTE_DROPI!S:S,
MATCH($T293, REPORTE_DROPI!B:B, 0)
),
""
)
</f>
        <v/>
      </c>
      <c r="L293" s="118" t="str">
        <f>IF(
  O293&lt;&gt;"DEVOLUCION",
  "",
  IF(
    T293="",
    "",
    SUMIF(DEVOLUCION!F:F, T293, DEVOLUCION!D:D)
  )
)
</f>
        <v/>
      </c>
      <c r="M293" s="118"/>
      <c r="N293" s="118" t="s">
        <v>4277</v>
      </c>
      <c r="O293" s="118" t="str">
        <f t="array" ref="O293">IFERROR(
VLOOKUP(
TRIM(CLEAN(
INDEX(REPORTE_DROPI!K:K,
MATCH(T293, REPORTE_DROPI!B:B, 0)
))),
{
TRIM(CLEAN(MAPA_ESTADOS!A:A)) ,
MAPA_ESTADOS!B:B
},
2,
FALSE
),
"REVISAR"
)
</f>
        <v>PENDIENTE</v>
      </c>
      <c r="P293" s="118" t="s">
        <v>3689</v>
      </c>
      <c r="Q293" s="122">
        <f t="shared" si="1"/>
        <v>0</v>
      </c>
      <c r="R293" s="118"/>
      <c r="S293" s="118"/>
      <c r="T293" s="118">
        <f t="array" ref="T293">IFERROR(
INDEX(REPORTE_DROPI!B:B,
MATCH(
CLEAN(TRIM(C293)),
CLEAN(TRIM(REPORTE_DROPI!E:E)),
0
)
),
""
)
</f>
        <v>4104796</v>
      </c>
      <c r="U293" s="118">
        <v>6.406943637548E12</v>
      </c>
      <c r="V293" s="78"/>
      <c r="W293" s="78"/>
      <c r="X293" s="78"/>
      <c r="Y293" s="78"/>
      <c r="Z293" s="78"/>
    </row>
    <row r="294" ht="22.5" customHeight="1">
      <c r="A294" s="118">
        <v>293.0</v>
      </c>
      <c r="B294" s="119">
        <v>46033.0</v>
      </c>
      <c r="C294" s="118" t="s">
        <v>4278</v>
      </c>
      <c r="D294" s="118" t="str">
        <f>IFERROR(__xludf.DUMMYFUNCTION("IFERROR(
  INDEX(
    FILTER(
      'NOMBRE DE PRODUCTOS'!B:B,
      REGEXMATCH(
        UPPER(
          INDEX(
            REPORTE_DROPI!AC:AC,
            MATCH(T294, REPORTE_DROPI!B:B, 0)
          )
        ),
        UPPER('NOMBRE DE PRODUCTOS'!A:A)"&amp;"
      )
    ),
    1
  ),
  ""REVISAR""
)
"),"Cuchillo Tazaki™")</f>
        <v>Cuchillo Tazaki™</v>
      </c>
      <c r="E294" s="120" t="str">
        <f t="array" ref="E294">IF(
UPPER(TRIM(CLEAN($O294)))="ENTREGADO",
IFERROR(
INDEX(REPORTE_DROPI!Y:Y,
MATCH($T294, REPORTE_DROPI!B:B, 0)
),
""
),
""
)
</f>
        <v/>
      </c>
      <c r="F294" s="121">
        <v>3.0</v>
      </c>
      <c r="G294" s="122" t="str">
        <f t="array" ref="G294">IF(
UPPER(TRIM(CLEAN($O294)))="ENTREGADO",
IFERROR(
INDEX(REPORTE_DROPI!R:R,
MATCH($T294, REPORTE_DROPI!B:B, 0)
),
""
),
""
)
</f>
        <v/>
      </c>
      <c r="H294" s="118" t="s">
        <v>3727</v>
      </c>
      <c r="I294" s="118" t="s">
        <v>3912</v>
      </c>
      <c r="J294" s="121" t="str">
        <f t="array" ref="J294">IF(
UPPER(TRIM(CLEAN($O294)))="ENTREGADO",
IFERROR(
INDEX(REPORTE_DROPI!T:T,
MATCH($T294, REPORTE_DROPI!B:B, 0)
),
""
),
""
)
</f>
        <v/>
      </c>
      <c r="K294" s="118" t="str">
        <f t="array" ref="K294">IFERROR(
INDEX(REPORTE_DROPI!S:S,
MATCH($T294, REPORTE_DROPI!B:B, 0)
),
""
)
</f>
        <v/>
      </c>
      <c r="L294" s="118" t="str">
        <f>IF(
  O294&lt;&gt;"DEVOLUCION",
  "",
  IF(
    T294="",
    "",
    SUMIF(DEVOLUCION!F:F, T294, DEVOLUCION!D:D)
  )
)
</f>
        <v/>
      </c>
      <c r="M294" s="118"/>
      <c r="N294" s="118" t="s">
        <v>4279</v>
      </c>
      <c r="O294" s="118" t="str">
        <f t="array" ref="O294">IFERROR(
VLOOKUP(
TRIM(CLEAN(
INDEX(REPORTE_DROPI!K:K,
MATCH(T294, REPORTE_DROPI!B:B, 0)
))),
{
TRIM(CLEAN(MAPA_ESTADOS!A:A)) ,
MAPA_ESTADOS!B:B
},
2,
FALSE
),
"REVISAR"
)
</f>
        <v>CANCELADO</v>
      </c>
      <c r="P294" s="118" t="s">
        <v>3673</v>
      </c>
      <c r="Q294" s="122">
        <f t="shared" si="1"/>
        <v>0</v>
      </c>
      <c r="R294" s="118"/>
      <c r="S294" s="118"/>
      <c r="T294" s="118">
        <f t="array" ref="T294">IFERROR(
INDEX(REPORTE_DROPI!B:B,
MATCH(
CLEAN(TRIM(C294)),
CLEAN(TRIM(REPORTE_DROPI!E:E)),
0
)
),
""
)
</f>
        <v>4105071</v>
      </c>
      <c r="U294" s="118">
        <v>6.40701192606E12</v>
      </c>
      <c r="V294" s="78"/>
      <c r="W294" s="78"/>
      <c r="X294" s="78"/>
      <c r="Y294" s="78"/>
      <c r="Z294" s="78"/>
    </row>
    <row r="295" ht="22.5" customHeight="1">
      <c r="A295" s="118">
        <v>294.0</v>
      </c>
      <c r="B295" s="119">
        <v>46033.0</v>
      </c>
      <c r="C295" s="118" t="s">
        <v>4280</v>
      </c>
      <c r="D295" s="118" t="str">
        <f>IFERROR(__xludf.DUMMYFUNCTION("IFERROR(
  INDEX(
    FILTER(
      'NOMBRE DE PRODUCTOS'!B:B,
      REGEXMATCH(
        UPPER(
          INDEX(
            REPORTE_DROPI!AC:AC,
            MATCH(T295, REPORTE_DROPI!B:B, 0)
          )
        ),
        UPPER('NOMBRE DE PRODUCTOS'!A:A)"&amp;"
      )
    ),
    1
  ),
  ""REVISAR""
)
"),"Cuchillo Tazaki™")</f>
        <v>Cuchillo Tazaki™</v>
      </c>
      <c r="E295" s="120">
        <f t="array" ref="E295">IF(
UPPER(TRIM(CLEAN($O295)))="ENTREGADO",
IFERROR(
INDEX(REPORTE_DROPI!Y:Y,
MATCH($T295, REPORTE_DROPI!B:B, 0)
),
""
),
""
)
</f>
        <v>5.2</v>
      </c>
      <c r="F295" s="121">
        <v>2.0</v>
      </c>
      <c r="G295" s="122">
        <f t="array" ref="G295">IF(
UPPER(TRIM(CLEAN($O295)))="ENTREGADO",
IFERROR(
INDEX(REPORTE_DROPI!R:R,
MATCH($T295, REPORTE_DROPI!B:B, 0)
),
""
),
""
)
</f>
        <v>22</v>
      </c>
      <c r="H295" s="118" t="s">
        <v>3727</v>
      </c>
      <c r="I295" s="118" t="s">
        <v>3731</v>
      </c>
      <c r="J295" s="121">
        <f t="array" ref="J295">IF(
UPPER(TRIM(CLEAN($O295)))="ENTREGADO",
IFERROR(
INDEX(REPORTE_DROPI!T:T,
MATCH($T295, REPORTE_DROPI!B:B, 0)
),
""
),
""
)
</f>
        <v>5.84</v>
      </c>
      <c r="K295" s="118">
        <f t="array" ref="K295">IFERROR(
INDEX(REPORTE_DROPI!S:S,
MATCH($T295, REPORTE_DROPI!B:B, 0)
),
""
)
</f>
        <v>10.96</v>
      </c>
      <c r="L295" s="118" t="str">
        <f>IF(
  O295&lt;&gt;"DEVOLUCION",
  "",
  IF(
    T295="",
    "",
    SUMIF(DEVOLUCION!F:F, T295, DEVOLUCION!D:D)
  )
)
</f>
        <v/>
      </c>
      <c r="M295" s="118"/>
      <c r="N295" s="118" t="s">
        <v>4281</v>
      </c>
      <c r="O295" s="118" t="str">
        <f t="array" ref="O295">IFERROR(
VLOOKUP(
TRIM(CLEAN(
INDEX(REPORTE_DROPI!K:K,
MATCH(T295, REPORTE_DROPI!B:B, 0)
))),
{
TRIM(CLEAN(MAPA_ESTADOS!A:A)) ,
MAPA_ESTADOS!B:B
},
2,
FALSE
),
"REVISAR"
)
</f>
        <v>ENTREGADO</v>
      </c>
      <c r="P295" s="118"/>
      <c r="Q295" s="122">
        <f t="shared" si="1"/>
        <v>0</v>
      </c>
      <c r="R295" s="118"/>
      <c r="S295" s="118"/>
      <c r="T295" s="118">
        <f t="array" ref="T295">IFERROR(
INDEX(REPORTE_DROPI!B:B,
MATCH(
CLEAN(TRIM(C295)),
CLEAN(TRIM(REPORTE_DROPI!E:E)),
0
)
),
""
)
</f>
        <v>4105213</v>
      </c>
      <c r="U295" s="118">
        <v>6.407057342508E12</v>
      </c>
      <c r="V295" s="78"/>
      <c r="W295" s="78"/>
      <c r="X295" s="78"/>
      <c r="Y295" s="78"/>
      <c r="Z295" s="78"/>
    </row>
    <row r="296" ht="22.5" customHeight="1">
      <c r="A296" s="118">
        <v>295.0</v>
      </c>
      <c r="B296" s="119">
        <v>46033.0</v>
      </c>
      <c r="C296" s="118" t="s">
        <v>4282</v>
      </c>
      <c r="D296" s="118" t="str">
        <f>IFERROR(__xludf.DUMMYFUNCTION("IFERROR(
  INDEX(
    FILTER(
      'NOMBRE DE PRODUCTOS'!B:B,
      REGEXMATCH(
        UPPER(
          INDEX(
            REPORTE_DROPI!AC:AC,
            MATCH(T296, REPORTE_DROPI!B:B, 0)
          )
        ),
        UPPER('NOMBRE DE PRODUCTOS'!A:A)"&amp;"
      )
    ),
    1
  ),
  ""REVISAR""
)
"),"FilmPro®")</f>
        <v>FilmPro®</v>
      </c>
      <c r="E296" s="120">
        <f t="array" ref="E296">IF(
UPPER(TRIM(CLEAN($O296)))="ENTREGADO",
IFERROR(
INDEX(REPORTE_DROPI!Y:Y,
MATCH($T296, REPORTE_DROPI!B:B, 0)
),
""
),
""
)
</f>
        <v>5.58</v>
      </c>
      <c r="F296" s="121">
        <v>2.0</v>
      </c>
      <c r="G296" s="122">
        <f t="array" ref="G296">IF(
UPPER(TRIM(CLEAN($O296)))="ENTREGADO",
IFERROR(
INDEX(REPORTE_DROPI!R:R,
MATCH($T296, REPORTE_DROPI!B:B, 0)
),
""
),
""
)
</f>
        <v>25</v>
      </c>
      <c r="H296" s="118" t="s">
        <v>3727</v>
      </c>
      <c r="I296" s="118" t="s">
        <v>3731</v>
      </c>
      <c r="J296" s="121">
        <f t="array" ref="J296">IF(
UPPER(TRIM(CLEAN($O296)))="ENTREGADO",
IFERROR(
INDEX(REPORTE_DROPI!T:T,
MATCH($T296, REPORTE_DROPI!B:B, 0)
),
""
),
""
)
</f>
        <v>5.96</v>
      </c>
      <c r="K296" s="118">
        <f t="array" ref="K296">IFERROR(
INDEX(REPORTE_DROPI!S:S,
MATCH($T296, REPORTE_DROPI!B:B, 0)
),
""
)
</f>
        <v>13.46</v>
      </c>
      <c r="L296" s="118" t="str">
        <f>IF(
  O296&lt;&gt;"DEVOLUCION",
  "",
  IF(
    T296="",
    "",
    SUMIF(DEVOLUCION!F:F, T296, DEVOLUCION!D:D)
  )
)
</f>
        <v/>
      </c>
      <c r="M296" s="118" t="s">
        <v>3870</v>
      </c>
      <c r="N296" s="118" t="s">
        <v>4283</v>
      </c>
      <c r="O296" s="118" t="str">
        <f t="array" ref="O296">IFERROR(
VLOOKUP(
TRIM(CLEAN(
INDEX(REPORTE_DROPI!K:K,
MATCH(T296, REPORTE_DROPI!B:B, 0)
))),
{
TRIM(CLEAN(MAPA_ESTADOS!A:A)) ,
MAPA_ESTADOS!B:B
},
2,
FALSE
),
"REVISAR"
)
</f>
        <v>ENTREGADO</v>
      </c>
      <c r="P296" s="118"/>
      <c r="Q296" s="122">
        <f t="shared" si="1"/>
        <v>0</v>
      </c>
      <c r="R296" s="118"/>
      <c r="S296" s="118"/>
      <c r="T296" s="118">
        <f t="array" ref="T296">IFERROR(
INDEX(REPORTE_DROPI!B:B,
MATCH(
CLEAN(TRIM(C296)),
CLEAN(TRIM(REPORTE_DROPI!E:E)),
0
)
),
""
)
</f>
        <v>4105350</v>
      </c>
      <c r="U296" s="118">
        <v>6.407098171436E12</v>
      </c>
      <c r="V296" s="78"/>
      <c r="W296" s="78"/>
      <c r="X296" s="78"/>
      <c r="Y296" s="78"/>
      <c r="Z296" s="78"/>
    </row>
    <row r="297" ht="22.5" customHeight="1">
      <c r="A297" s="118">
        <v>296.0</v>
      </c>
      <c r="B297" s="119">
        <v>46033.0</v>
      </c>
      <c r="C297" s="118" t="s">
        <v>4284</v>
      </c>
      <c r="D297" s="118" t="str">
        <f>IFERROR(__xludf.DUMMYFUNCTION("IFERROR(
  INDEX(
    FILTER(
      'NOMBRE DE PRODUCTOS'!B:B,
      REGEXMATCH(
        UPPER(
          INDEX(
            REPORTE_DROPI!AC:AC,
            MATCH(T297, REPORTE_DROPI!B:B, 0)
          )
        ),
        UPPER('NOMBRE DE PRODUCTOS'!A:A)"&amp;"
      )
    ),
    1
  ),
  ""REVISAR""
)
"),"FilmPro®")</f>
        <v>FilmPro®</v>
      </c>
      <c r="E297" s="120">
        <f t="array" ref="E297">IF(
UPPER(TRIM(CLEAN($O297)))="ENTREGADO",
IFERROR(
INDEX(REPORTE_DROPI!Y:Y,
MATCH($T297, REPORTE_DROPI!B:B, 0)
),
""
),
""
)
</f>
        <v>8.37</v>
      </c>
      <c r="F297" s="121">
        <v>3.0</v>
      </c>
      <c r="G297" s="122">
        <f t="array" ref="G297">IF(
UPPER(TRIM(CLEAN($O297)))="ENTREGADO",
IFERROR(
INDEX(REPORTE_DROPI!R:R,
MATCH($T297, REPORTE_DROPI!B:B, 0)
),
""
),
""
)
</f>
        <v>30</v>
      </c>
      <c r="H297" s="118" t="s">
        <v>3727</v>
      </c>
      <c r="I297" s="118" t="s">
        <v>3728</v>
      </c>
      <c r="J297" s="121">
        <f t="array" ref="J297">IF(
UPPER(TRIM(CLEAN($O297)))="ENTREGADO",
IFERROR(
INDEX(REPORTE_DROPI!T:T,
MATCH($T297, REPORTE_DROPI!B:B, 0)
),
""
),
""
)
</f>
        <v>6.16</v>
      </c>
      <c r="K297" s="118">
        <f t="array" ref="K297">IFERROR(
INDEX(REPORTE_DROPI!S:S,
MATCH($T297, REPORTE_DROPI!B:B, 0)
),
""
)
</f>
        <v>15.47</v>
      </c>
      <c r="L297" s="118" t="str">
        <f>IF(
  O297&lt;&gt;"DEVOLUCION",
  "",
  IF(
    T297="",
    "",
    SUMIF(DEVOLUCION!F:F, T297, DEVOLUCION!D:D)
  )
)
</f>
        <v/>
      </c>
      <c r="M297" s="118"/>
      <c r="N297" s="118" t="s">
        <v>4285</v>
      </c>
      <c r="O297" s="118" t="str">
        <f t="array" ref="O297">IFERROR(
VLOOKUP(
TRIM(CLEAN(
INDEX(REPORTE_DROPI!K:K,
MATCH(T297, REPORTE_DROPI!B:B, 0)
))),
{
TRIM(CLEAN(MAPA_ESTADOS!A:A)) ,
MAPA_ESTADOS!B:B
},
2,
FALSE
),
"REVISAR"
)
</f>
        <v>ENTREGADO</v>
      </c>
      <c r="P297" s="118"/>
      <c r="Q297" s="122">
        <f t="shared" si="1"/>
        <v>0</v>
      </c>
      <c r="R297" s="118"/>
      <c r="S297" s="118"/>
      <c r="T297" s="118">
        <f t="array" ref="T297">IFERROR(
INDEX(REPORTE_DROPI!B:B,
MATCH(
CLEAN(TRIM(C297)),
CLEAN(TRIM(REPORTE_DROPI!E:E)),
0
)
),
""
)
</f>
        <v>4105365</v>
      </c>
      <c r="U297" s="118">
        <v>6.407102169132E12</v>
      </c>
      <c r="V297" s="78"/>
      <c r="W297" s="78"/>
      <c r="X297" s="78"/>
      <c r="Y297" s="78"/>
      <c r="Z297" s="78"/>
    </row>
    <row r="298" ht="22.5" customHeight="1">
      <c r="A298" s="118">
        <v>297.0</v>
      </c>
      <c r="B298" s="119">
        <v>46033.0</v>
      </c>
      <c r="C298" s="118" t="s">
        <v>4286</v>
      </c>
      <c r="D298" s="118" t="str">
        <f>IFERROR(__xludf.DUMMYFUNCTION("IFERROR(
  INDEX(
    FILTER(
      'NOMBRE DE PRODUCTOS'!B:B,
      REGEXMATCH(
        UPPER(
          INDEX(
            REPORTE_DROPI!AC:AC,
            MATCH(T298, REPORTE_DROPI!B:B, 0)
          )
        ),
        UPPER('NOMBRE DE PRODUCTOS'!A:A)"&amp;"
      )
    ),
    1
  ),
  ""REVISAR""
)
"),"FilmPro®")</f>
        <v>FilmPro®</v>
      </c>
      <c r="E298" s="120">
        <f t="array" ref="E298">IF(
UPPER(TRIM(CLEAN($O298)))="ENTREGADO",
IFERROR(
INDEX(REPORTE_DROPI!Y:Y,
MATCH($T298, REPORTE_DROPI!B:B, 0)
),
""
),
""
)
</f>
        <v>5.58</v>
      </c>
      <c r="F298" s="121">
        <v>2.0</v>
      </c>
      <c r="G298" s="122">
        <f t="array" ref="G298">IF(
UPPER(TRIM(CLEAN($O298)))="ENTREGADO",
IFERROR(
INDEX(REPORTE_DROPI!R:R,
MATCH($T298, REPORTE_DROPI!B:B, 0)
),
""
),
""
)
</f>
        <v>25</v>
      </c>
      <c r="H298" s="118" t="s">
        <v>3727</v>
      </c>
      <c r="I298" s="118" t="s">
        <v>3969</v>
      </c>
      <c r="J298" s="121">
        <f t="array" ref="J298">IF(
UPPER(TRIM(CLEAN($O298)))="ENTREGADO",
IFERROR(
INDEX(REPORTE_DROPI!T:T,
MATCH($T298, REPORTE_DROPI!B:B, 0)
),
""
),
""
)
</f>
        <v>5.96</v>
      </c>
      <c r="K298" s="118">
        <f t="array" ref="K298">IFERROR(
INDEX(REPORTE_DROPI!S:S,
MATCH($T298, REPORTE_DROPI!B:B, 0)
),
""
)
</f>
        <v>13.46</v>
      </c>
      <c r="L298" s="118" t="str">
        <f>IF(
  O298&lt;&gt;"DEVOLUCION",
  "",
  IF(
    T298="",
    "",
    SUMIF(DEVOLUCION!F:F, T298, DEVOLUCION!D:D)
  )
)
</f>
        <v/>
      </c>
      <c r="M298" s="118"/>
      <c r="N298" s="118" t="s">
        <v>4287</v>
      </c>
      <c r="O298" s="118" t="str">
        <f t="array" ref="O298">IFERROR(
VLOOKUP(
TRIM(CLEAN(
INDEX(REPORTE_DROPI!K:K,
MATCH(T298, REPORTE_DROPI!B:B, 0)
))),
{
TRIM(CLEAN(MAPA_ESTADOS!A:A)) ,
MAPA_ESTADOS!B:B
},
2,
FALSE
),
"REVISAR"
)
</f>
        <v>ENTREGADO</v>
      </c>
      <c r="P298" s="118"/>
      <c r="Q298" s="122">
        <f t="shared" si="1"/>
        <v>0</v>
      </c>
      <c r="R298" s="118"/>
      <c r="S298" s="118"/>
      <c r="T298" s="118">
        <f t="array" ref="T298">IFERROR(
INDEX(REPORTE_DROPI!B:B,
MATCH(
CLEAN(TRIM(C298)),
CLEAN(TRIM(REPORTE_DROPI!E:E)),
0
)
),
""
)
</f>
        <v>4105428</v>
      </c>
      <c r="U298" s="118">
        <v>6.407116488748E12</v>
      </c>
      <c r="V298" s="78"/>
      <c r="W298" s="78"/>
      <c r="X298" s="78"/>
      <c r="Y298" s="78"/>
      <c r="Z298" s="78"/>
    </row>
    <row r="299" ht="22.5" customHeight="1">
      <c r="A299" s="118">
        <v>298.0</v>
      </c>
      <c r="B299" s="119">
        <v>46033.0</v>
      </c>
      <c r="C299" s="118" t="s">
        <v>4288</v>
      </c>
      <c r="D299" s="118" t="str">
        <f>IFERROR(__xludf.DUMMYFUNCTION("IFERROR(
  INDEX(
    FILTER(
      'NOMBRE DE PRODUCTOS'!B:B,
      REGEXMATCH(
        UPPER(
          INDEX(
            REPORTE_DROPI!AC:AC,
            MATCH(T299, REPORTE_DROPI!B:B, 0)
          )
        ),
        UPPER('NOMBRE DE PRODUCTOS'!A:A)"&amp;"
      )
    ),
    1
  ),
  ""REVISAR""
)
"),"Cuchillo Tazaki™")</f>
        <v>Cuchillo Tazaki™</v>
      </c>
      <c r="E299" s="120">
        <f t="array" ref="E299">IF(
UPPER(TRIM(CLEAN($O299)))="ENTREGADO",
IFERROR(
INDEX(REPORTE_DROPI!Y:Y,
MATCH($T299, REPORTE_DROPI!B:B, 0)
),
""
),
""
)
</f>
        <v>5.2</v>
      </c>
      <c r="F299" s="121">
        <v>2.0</v>
      </c>
      <c r="G299" s="122">
        <f t="array" ref="G299">IF(
UPPER(TRIM(CLEAN($O299)))="ENTREGADO",
IFERROR(
INDEX(REPORTE_DROPI!R:R,
MATCH($T299, REPORTE_DROPI!B:B, 0)
),
""
),
""
)
</f>
        <v>22</v>
      </c>
      <c r="H299" s="118" t="s">
        <v>3727</v>
      </c>
      <c r="I299" s="118" t="s">
        <v>3742</v>
      </c>
      <c r="J299" s="121">
        <f t="array" ref="J299">IF(
UPPER(TRIM(CLEAN($O299)))="ENTREGADO",
IFERROR(
INDEX(REPORTE_DROPI!T:T,
MATCH($T299, REPORTE_DROPI!B:B, 0)
),
""
),
""
)
</f>
        <v>5.84</v>
      </c>
      <c r="K299" s="118">
        <f t="array" ref="K299">IFERROR(
INDEX(REPORTE_DROPI!S:S,
MATCH($T299, REPORTE_DROPI!B:B, 0)
),
""
)
</f>
        <v>10.96</v>
      </c>
      <c r="L299" s="118" t="str">
        <f>IF(
  O299&lt;&gt;"DEVOLUCION",
  "",
  IF(
    T299="",
    "",
    SUMIF(DEVOLUCION!F:F, T299, DEVOLUCION!D:D)
  )
)
</f>
        <v/>
      </c>
      <c r="M299" s="118"/>
      <c r="N299" s="118" t="s">
        <v>4289</v>
      </c>
      <c r="O299" s="118" t="str">
        <f t="array" ref="O299">IFERROR(
VLOOKUP(
TRIM(CLEAN(
INDEX(REPORTE_DROPI!K:K,
MATCH(T299, REPORTE_DROPI!B:B, 0)
))),
{
TRIM(CLEAN(MAPA_ESTADOS!A:A)) ,
MAPA_ESTADOS!B:B
},
2,
FALSE
),
"REVISAR"
)
</f>
        <v>ENTREGADO</v>
      </c>
      <c r="P299" s="118"/>
      <c r="Q299" s="122">
        <f t="shared" si="1"/>
        <v>0</v>
      </c>
      <c r="R299" s="118"/>
      <c r="S299" s="118"/>
      <c r="T299" s="118">
        <f t="array" ref="T299">IFERROR(
INDEX(REPORTE_DROPI!B:B,
MATCH(
CLEAN(TRIM(C299)),
CLEAN(TRIM(REPORTE_DROPI!E:E)),
0
)
),
""
)
</f>
        <v>4105575</v>
      </c>
      <c r="U299" s="118">
        <v>6.407173996588E12</v>
      </c>
      <c r="V299" s="78"/>
      <c r="W299" s="78"/>
      <c r="X299" s="78"/>
      <c r="Y299" s="78"/>
      <c r="Z299" s="78"/>
    </row>
    <row r="300" ht="22.5" customHeight="1">
      <c r="A300" s="118">
        <v>299.0</v>
      </c>
      <c r="B300" s="119">
        <v>46033.0</v>
      </c>
      <c r="C300" s="118" t="s">
        <v>4290</v>
      </c>
      <c r="D300" s="118" t="str">
        <f>IFERROR(__xludf.DUMMYFUNCTION("IFERROR(
  INDEX(
    FILTER(
      'NOMBRE DE PRODUCTOS'!B:B,
      REGEXMATCH(
        UPPER(
          INDEX(
            REPORTE_DROPI!AC:AC,
            MATCH(T300, REPORTE_DROPI!B:B, 0)
          )
        ),
        UPPER('NOMBRE DE PRODUCTOS'!A:A)"&amp;"
      )
    ),
    1
  ),
  ""REVISAR""
)
"),"Cuchillo Tazaki™")</f>
        <v>Cuchillo Tazaki™</v>
      </c>
      <c r="E300" s="120">
        <f t="array" ref="E300">IF(
UPPER(TRIM(CLEAN($O300)))="ENTREGADO",
IFERROR(
INDEX(REPORTE_DROPI!Y:Y,
MATCH($T300, REPORTE_DROPI!B:B, 0)
),
""
),
""
)
</f>
        <v>5.2</v>
      </c>
      <c r="F300" s="121">
        <v>2.0</v>
      </c>
      <c r="G300" s="122">
        <f t="array" ref="G300">IF(
UPPER(TRIM(CLEAN($O300)))="ENTREGADO",
IFERROR(
INDEX(REPORTE_DROPI!R:R,
MATCH($T300, REPORTE_DROPI!B:B, 0)
),
""
),
""
)
</f>
        <v>22</v>
      </c>
      <c r="H300" s="118" t="s">
        <v>3727</v>
      </c>
      <c r="I300" s="118" t="s">
        <v>3912</v>
      </c>
      <c r="J300" s="121">
        <f t="array" ref="J300">IF(
UPPER(TRIM(CLEAN($O300)))="ENTREGADO",
IFERROR(
INDEX(REPORTE_DROPI!T:T,
MATCH($T300, REPORTE_DROPI!B:B, 0)
),
""
),
""
)
</f>
        <v>5.84</v>
      </c>
      <c r="K300" s="118">
        <f t="array" ref="K300">IFERROR(
INDEX(REPORTE_DROPI!S:S,
MATCH($T300, REPORTE_DROPI!B:B, 0)
),
""
)
</f>
        <v>10.96</v>
      </c>
      <c r="L300" s="118" t="str">
        <f>IF(
  O300&lt;&gt;"DEVOLUCION",
  "",
  IF(
    T300="",
    "",
    SUMIF(DEVOLUCION!F:F, T300, DEVOLUCION!D:D)
  )
)
</f>
        <v/>
      </c>
      <c r="M300" s="118" t="s">
        <v>3870</v>
      </c>
      <c r="N300" s="118" t="s">
        <v>4291</v>
      </c>
      <c r="O300" s="118" t="str">
        <f t="array" ref="O300">IFERROR(
VLOOKUP(
TRIM(CLEAN(
INDEX(REPORTE_DROPI!K:K,
MATCH(T300, REPORTE_DROPI!B:B, 0)
))),
{
TRIM(CLEAN(MAPA_ESTADOS!A:A)) ,
MAPA_ESTADOS!B:B
},
2,
FALSE
),
"REVISAR"
)
</f>
        <v>ENTREGADO</v>
      </c>
      <c r="P300" s="118"/>
      <c r="Q300" s="122">
        <f t="shared" si="1"/>
        <v>0</v>
      </c>
      <c r="R300" s="118"/>
      <c r="S300" s="118"/>
      <c r="T300" s="118">
        <f t="array" ref="T300">IFERROR(
INDEX(REPORTE_DROPI!B:B,
MATCH(
CLEAN(TRIM(C300)),
CLEAN(TRIM(REPORTE_DROPI!E:E)),
0
)
),
""
)
</f>
        <v>4105659</v>
      </c>
      <c r="U300" s="118">
        <v>6.40720034206E12</v>
      </c>
      <c r="V300" s="78"/>
      <c r="W300" s="78"/>
      <c r="X300" s="78"/>
      <c r="Y300" s="78"/>
      <c r="Z300" s="78"/>
    </row>
    <row r="301" ht="22.5" customHeight="1">
      <c r="A301" s="118">
        <v>300.0</v>
      </c>
      <c r="B301" s="119">
        <v>46033.0</v>
      </c>
      <c r="C301" s="118" t="s">
        <v>4292</v>
      </c>
      <c r="D301" s="118" t="str">
        <f>IFERROR(__xludf.DUMMYFUNCTION("IFERROR(
  INDEX(
    FILTER(
      'NOMBRE DE PRODUCTOS'!B:B,
      REGEXMATCH(
        UPPER(
          INDEX(
            REPORTE_DROPI!AC:AC,
            MATCH(T301, REPORTE_DROPI!B:B, 0)
          )
        ),
        UPPER('NOMBRE DE PRODUCTOS'!A:A)"&amp;"
      )
    ),
    1
  ),
  ""REVISAR""
)
"),"Cuchillo Tazaki™")</f>
        <v>Cuchillo Tazaki™</v>
      </c>
      <c r="E301" s="120">
        <f t="array" ref="E301">IF(
UPPER(TRIM(CLEAN($O301)))="ENTREGADO",
IFERROR(
INDEX(REPORTE_DROPI!Y:Y,
MATCH($T301, REPORTE_DROPI!B:B, 0)
),
""
),
""
)
</f>
        <v>7.8</v>
      </c>
      <c r="F301" s="121">
        <v>3.0</v>
      </c>
      <c r="G301" s="122">
        <f t="array" ref="G301">IF(
UPPER(TRIM(CLEAN($O301)))="ENTREGADO",
IFERROR(
INDEX(REPORTE_DROPI!R:R,
MATCH($T301, REPORTE_DROPI!B:B, 0)
),
""
),
""
)
</f>
        <v>27</v>
      </c>
      <c r="H301" s="118" t="s">
        <v>3727</v>
      </c>
      <c r="I301" s="118" t="s">
        <v>3731</v>
      </c>
      <c r="J301" s="121">
        <f t="array" ref="J301">IF(
UPPER(TRIM(CLEAN($O301)))="ENTREGADO",
IFERROR(
INDEX(REPORTE_DROPI!T:T,
MATCH($T301, REPORTE_DROPI!B:B, 0)
),
""
),
""
)
</f>
        <v>6.03</v>
      </c>
      <c r="K301" s="118">
        <f t="array" ref="K301">IFERROR(
INDEX(REPORTE_DROPI!S:S,
MATCH($T301, REPORTE_DROPI!B:B, 0)
),
""
)
</f>
        <v>13.17</v>
      </c>
      <c r="L301" s="118" t="str">
        <f>IF(
  O301&lt;&gt;"DEVOLUCION",
  "",
  IF(
    T301="",
    "",
    SUMIF(DEVOLUCION!F:F, T301, DEVOLUCION!D:D)
  )
)
</f>
        <v/>
      </c>
      <c r="M301" s="118"/>
      <c r="N301" s="118" t="s">
        <v>4293</v>
      </c>
      <c r="O301" s="118" t="str">
        <f t="array" ref="O301">IFERROR(
VLOOKUP(
TRIM(CLEAN(
INDEX(REPORTE_DROPI!K:K,
MATCH(T301, REPORTE_DROPI!B:B, 0)
))),
{
TRIM(CLEAN(MAPA_ESTADOS!A:A)) ,
MAPA_ESTADOS!B:B
},
2,
FALSE
),
"REVISAR"
)
</f>
        <v>ENTREGADO</v>
      </c>
      <c r="P301" s="118"/>
      <c r="Q301" s="122">
        <f t="shared" si="1"/>
        <v>0</v>
      </c>
      <c r="R301" s="118"/>
      <c r="S301" s="118"/>
      <c r="T301" s="118">
        <f t="array" ref="T301">IFERROR(
INDEX(REPORTE_DROPI!B:B,
MATCH(
CLEAN(TRIM(C301)),
CLEAN(TRIM(REPORTE_DROPI!E:E)),
0
)
),
""
)
</f>
        <v>4105728</v>
      </c>
      <c r="U301" s="118">
        <v>6.407220756524E12</v>
      </c>
      <c r="V301" s="78"/>
      <c r="W301" s="78"/>
      <c r="X301" s="78"/>
      <c r="Y301" s="78"/>
      <c r="Z301" s="78"/>
    </row>
    <row r="302" ht="22.5" customHeight="1">
      <c r="A302" s="118">
        <v>301.0</v>
      </c>
      <c r="B302" s="119">
        <v>46033.0</v>
      </c>
      <c r="C302" s="118" t="s">
        <v>4294</v>
      </c>
      <c r="D302" s="118" t="str">
        <f>IFERROR(__xludf.DUMMYFUNCTION("IFERROR(
  INDEX(
    FILTER(
      'NOMBRE DE PRODUCTOS'!B:B,
      REGEXMATCH(
        UPPER(
          INDEX(
            REPORTE_DROPI!AC:AC,
            MATCH(T302, REPORTE_DROPI!B:B, 0)
          )
        ),
        UPPER('NOMBRE DE PRODUCTOS'!A:A)"&amp;"
      )
    ),
    1
  ),
  ""REVISAR""
)
"),"FilmPro®")</f>
        <v>FilmPro®</v>
      </c>
      <c r="E302" s="120" t="str">
        <f t="array" ref="E302">IF(
UPPER(TRIM(CLEAN($O302)))="ENTREGADO",
IFERROR(
INDEX(REPORTE_DROPI!Y:Y,
MATCH($T302, REPORTE_DROPI!B:B, 0)
),
""
),
""
)
</f>
        <v/>
      </c>
      <c r="F302" s="121">
        <v>2.0</v>
      </c>
      <c r="G302" s="122" t="str">
        <f t="array" ref="G302">IF(
UPPER(TRIM(CLEAN($O302)))="ENTREGADO",
IFERROR(
INDEX(REPORTE_DROPI!R:R,
MATCH($T302, REPORTE_DROPI!B:B, 0)
),
""
),
""
)
</f>
        <v/>
      </c>
      <c r="H302" s="118" t="s">
        <v>3727</v>
      </c>
      <c r="I302" s="118" t="s">
        <v>3969</v>
      </c>
      <c r="J302" s="121" t="str">
        <f t="array" ref="J302">IF(
UPPER(TRIM(CLEAN($O302)))="ENTREGADO",
IFERROR(
INDEX(REPORTE_DROPI!T:T,
MATCH($T302, REPORTE_DROPI!B:B, 0)
),
""
),
""
)
</f>
        <v/>
      </c>
      <c r="K302" s="118" t="str">
        <f t="array" ref="K302">IFERROR(
INDEX(REPORTE_DROPI!S:S,
MATCH($T302, REPORTE_DROPI!B:B, 0)
),
""
)
</f>
        <v/>
      </c>
      <c r="L302" s="118">
        <f>IF(
  O302&lt;&gt;"DEVOLUCION",
  "",
  IF(
    T302="",
    "",
    SUMIF(DEVOLUCION!F:F, T302, DEVOLUCION!D:D)
  )
)
</f>
        <v>5.09</v>
      </c>
      <c r="M302" s="118"/>
      <c r="N302" s="118" t="s">
        <v>4295</v>
      </c>
      <c r="O302" s="118" t="str">
        <f t="array" ref="O302">IFERROR(
VLOOKUP(
TRIM(CLEAN(
INDEX(REPORTE_DROPI!K:K,
MATCH(T302, REPORTE_DROPI!B:B, 0)
))),
{
TRIM(CLEAN(MAPA_ESTADOS!A:A)) ,
MAPA_ESTADOS!B:B
},
2,
FALSE
),
"REVISAR"
)
</f>
        <v>DEVOLUCION</v>
      </c>
      <c r="P302" s="118" t="s">
        <v>4296</v>
      </c>
      <c r="Q302" s="122">
        <f t="shared" si="1"/>
        <v>0</v>
      </c>
      <c r="R302" s="118"/>
      <c r="S302" s="118"/>
      <c r="T302" s="118">
        <f t="array" ref="T302">IFERROR(
INDEX(REPORTE_DROPI!B:B,
MATCH(
CLEAN(TRIM(C302)),
CLEAN(TRIM(REPORTE_DROPI!E:E)),
0
)
),
""
)
</f>
        <v>4105987</v>
      </c>
      <c r="U302" s="118">
        <v>6.407296876588E12</v>
      </c>
      <c r="V302" s="78"/>
      <c r="W302" s="78"/>
      <c r="X302" s="78"/>
      <c r="Y302" s="78"/>
      <c r="Z302" s="78"/>
    </row>
    <row r="303" ht="22.5" customHeight="1">
      <c r="A303" s="118">
        <v>302.0</v>
      </c>
      <c r="B303" s="119">
        <v>46033.0</v>
      </c>
      <c r="C303" s="118" t="s">
        <v>4297</v>
      </c>
      <c r="D303" s="118" t="str">
        <f>IFERROR(__xludf.DUMMYFUNCTION("IFERROR(
  INDEX(
    FILTER(
      'NOMBRE DE PRODUCTOS'!B:B,
      REGEXMATCH(
        UPPER(
          INDEX(
            REPORTE_DROPI!AC:AC,
            MATCH(T303, REPORTE_DROPI!B:B, 0)
          )
        ),
        UPPER('NOMBRE DE PRODUCTOS'!A:A)"&amp;"
      )
    ),
    1
  ),
  ""REVISAR""
)
"),"Cuchillo Tazaki™")</f>
        <v>Cuchillo Tazaki™</v>
      </c>
      <c r="E303" s="120">
        <f t="array" ref="E303">IF(
UPPER(TRIM(CLEAN($O303)))="ENTREGADO",
IFERROR(
INDEX(REPORTE_DROPI!Y:Y,
MATCH($T303, REPORTE_DROPI!B:B, 0)
),
""
),
""
)
</f>
        <v>5.2</v>
      </c>
      <c r="F303" s="121">
        <v>2.0</v>
      </c>
      <c r="G303" s="122">
        <f t="array" ref="G303">IF(
UPPER(TRIM(CLEAN($O303)))="ENTREGADO",
IFERROR(
INDEX(REPORTE_DROPI!R:R,
MATCH($T303, REPORTE_DROPI!B:B, 0)
),
""
),
""
)
</f>
        <v>22</v>
      </c>
      <c r="H303" s="118" t="s">
        <v>3727</v>
      </c>
      <c r="I303" s="118" t="s">
        <v>3728</v>
      </c>
      <c r="J303" s="121">
        <f t="array" ref="J303">IF(
UPPER(TRIM(CLEAN($O303)))="ENTREGADO",
IFERROR(
INDEX(REPORTE_DROPI!T:T,
MATCH($T303, REPORTE_DROPI!B:B, 0)
),
""
),
""
)
</f>
        <v>5.84</v>
      </c>
      <c r="K303" s="118">
        <f t="array" ref="K303">IFERROR(
INDEX(REPORTE_DROPI!S:S,
MATCH($T303, REPORTE_DROPI!B:B, 0)
),
""
)
</f>
        <v>10.96</v>
      </c>
      <c r="L303" s="118" t="str">
        <f>IF(
  O303&lt;&gt;"DEVOLUCION",
  "",
  IF(
    T303="",
    "",
    SUMIF(DEVOLUCION!F:F, T303, DEVOLUCION!D:D)
  )
)
</f>
        <v/>
      </c>
      <c r="M303" s="118"/>
      <c r="N303" s="118" t="s">
        <v>4298</v>
      </c>
      <c r="O303" s="118" t="str">
        <f t="array" ref="O303">IFERROR(
VLOOKUP(
TRIM(CLEAN(
INDEX(REPORTE_DROPI!K:K,
MATCH(T303, REPORTE_DROPI!B:B, 0)
))),
{
TRIM(CLEAN(MAPA_ESTADOS!A:A)) ,
MAPA_ESTADOS!B:B
},
2,
FALSE
),
"REVISAR"
)
</f>
        <v>ENTREGADO</v>
      </c>
      <c r="P303" s="118" t="s">
        <v>4296</v>
      </c>
      <c r="Q303" s="122">
        <f t="shared" si="1"/>
        <v>0</v>
      </c>
      <c r="R303" s="118"/>
      <c r="S303" s="118"/>
      <c r="T303" s="118">
        <f t="array" ref="T303">IFERROR(
INDEX(REPORTE_DROPI!B:B,
MATCH(
CLEAN(TRIM(C303)),
CLEAN(TRIM(REPORTE_DROPI!E:E)),
0
)
),
""
)
</f>
        <v>4106161</v>
      </c>
      <c r="U303" s="118">
        <v>6.407343341612E12</v>
      </c>
      <c r="V303" s="78"/>
      <c r="W303" s="78"/>
      <c r="X303" s="78"/>
      <c r="Y303" s="78"/>
      <c r="Z303" s="78"/>
    </row>
    <row r="304" ht="22.5" customHeight="1">
      <c r="A304" s="118">
        <v>303.0</v>
      </c>
      <c r="B304" s="119">
        <v>46033.0</v>
      </c>
      <c r="C304" s="118" t="s">
        <v>4299</v>
      </c>
      <c r="D304" s="118" t="str">
        <f>IFERROR(__xludf.DUMMYFUNCTION("IFERROR(
  INDEX(
    FILTER(
      'NOMBRE DE PRODUCTOS'!B:B,
      REGEXMATCH(
        UPPER(
          INDEX(
            REPORTE_DROPI!AC:AC,
            MATCH(T304, REPORTE_DROPI!B:B, 0)
          )
        ),
        UPPER('NOMBRE DE PRODUCTOS'!A:A)"&amp;"
      )
    ),
    1
  ),
  ""REVISAR""
)
"),"Cuchillo Tazaki™")</f>
        <v>Cuchillo Tazaki™</v>
      </c>
      <c r="E304" s="120">
        <f t="array" ref="E304">IF(
UPPER(TRIM(CLEAN($O304)))="ENTREGADO",
IFERROR(
INDEX(REPORTE_DROPI!Y:Y,
MATCH($T304, REPORTE_DROPI!B:B, 0)
),
""
),
""
)
</f>
        <v>10.4</v>
      </c>
      <c r="F304" s="121">
        <v>4.0</v>
      </c>
      <c r="G304" s="122">
        <f t="array" ref="G304">IF(
UPPER(TRIM(CLEAN($O304)))="ENTREGADO",
IFERROR(
INDEX(REPORTE_DROPI!R:R,
MATCH($T304, REPORTE_DROPI!B:B, 0)
),
""
),
""
)
</f>
        <v>32</v>
      </c>
      <c r="H304" s="118" t="s">
        <v>3727</v>
      </c>
      <c r="I304" s="118" t="s">
        <v>3740</v>
      </c>
      <c r="J304" s="121">
        <f t="array" ref="J304">IF(
UPPER(TRIM(CLEAN($O304)))="ENTREGADO",
IFERROR(
INDEX(REPORTE_DROPI!T:T,
MATCH($T304, REPORTE_DROPI!B:B, 0)
),
""
),
""
)
</f>
        <v>4.63</v>
      </c>
      <c r="K304" s="118">
        <f t="array" ref="K304">IFERROR(
INDEX(REPORTE_DROPI!S:S,
MATCH($T304, REPORTE_DROPI!B:B, 0)
),
""
)
</f>
        <v>16.97</v>
      </c>
      <c r="L304" s="118" t="str">
        <f>IF(
  O304&lt;&gt;"DEVOLUCION",
  "",
  IF(
    T304="",
    "",
    SUMIF(DEVOLUCION!F:F, T304, DEVOLUCION!D:D)
  )
)
</f>
        <v/>
      </c>
      <c r="M304" s="118"/>
      <c r="N304" s="118" t="s">
        <v>4300</v>
      </c>
      <c r="O304" s="118" t="str">
        <f t="array" ref="O304">IFERROR(
VLOOKUP(
TRIM(CLEAN(
INDEX(REPORTE_DROPI!K:K,
MATCH(T304, REPORTE_DROPI!B:B, 0)
))),
{
TRIM(CLEAN(MAPA_ESTADOS!A:A)) ,
MAPA_ESTADOS!B:B
},
2,
FALSE
),
"REVISAR"
)
</f>
        <v>ENTREGADO</v>
      </c>
      <c r="P304" s="118"/>
      <c r="Q304" s="122">
        <f t="shared" si="1"/>
        <v>0</v>
      </c>
      <c r="R304" s="118"/>
      <c r="S304" s="118"/>
      <c r="T304" s="118">
        <f t="array" ref="T304">IFERROR(
INDEX(REPORTE_DROPI!B:B,
MATCH(
CLEAN(TRIM(C304)),
CLEAN(TRIM(REPORTE_DROPI!E:E)),
0
)
),
""
)
</f>
        <v>4106275</v>
      </c>
      <c r="U304" s="118">
        <v>6.407371456556E12</v>
      </c>
      <c r="V304" s="78"/>
      <c r="W304" s="78"/>
      <c r="X304" s="78"/>
      <c r="Y304" s="78"/>
      <c r="Z304" s="78"/>
    </row>
    <row r="305" ht="22.5" customHeight="1">
      <c r="A305" s="118">
        <v>304.0</v>
      </c>
      <c r="B305" s="119">
        <v>46033.0</v>
      </c>
      <c r="C305" s="126" t="s">
        <v>4301</v>
      </c>
      <c r="D305" s="118" t="str">
        <f>IFERROR(__xludf.DUMMYFUNCTION("IFERROR(
  INDEX(
    FILTER(
      'NOMBRE DE PRODUCTOS'!B:B,
      REGEXMATCH(
        UPPER(
          INDEX(
            REPORTE_DROPI!AC:AC,
            MATCH(T305, REPORTE_DROPI!B:B, 0)
          )
        ),
        UPPER('NOMBRE DE PRODUCTOS'!A:A)"&amp;"
      )
    ),
    1
  ),
  ""REVISAR""
)
"),"FilmPro®")</f>
        <v>FilmPro®</v>
      </c>
      <c r="E305" s="120" t="str">
        <f t="array" ref="E305">IF(
UPPER(TRIM(CLEAN($O305)))="ENTREGADO",
IFERROR(
INDEX(REPORTE_DROPI!Y:Y,
MATCH($T305, REPORTE_DROPI!B:B, 0)
),
""
),
""
)
</f>
        <v/>
      </c>
      <c r="F305" s="121">
        <v>1.0</v>
      </c>
      <c r="G305" s="122" t="str">
        <f t="array" ref="G305">IF(
UPPER(TRIM(CLEAN($O305)))="ENTREGADO",
IFERROR(
INDEX(REPORTE_DROPI!R:R,
MATCH($T305, REPORTE_DROPI!B:B, 0)
),
""
),
""
)
</f>
        <v/>
      </c>
      <c r="H305" s="118" t="s">
        <v>3727</v>
      </c>
      <c r="I305" s="118" t="s">
        <v>3740</v>
      </c>
      <c r="J305" s="121" t="str">
        <f t="array" ref="J305">IF(
UPPER(TRIM(CLEAN($O305)))="ENTREGADO",
IFERROR(
INDEX(REPORTE_DROPI!T:T,
MATCH($T305, REPORTE_DROPI!B:B, 0)
),
""
),
""
)
</f>
        <v/>
      </c>
      <c r="K305" s="118" t="str">
        <f t="array" ref="K305">IFERROR(
INDEX(REPORTE_DROPI!S:S,
MATCH($T305, REPORTE_DROPI!B:B, 0)
),
""
)
</f>
        <v/>
      </c>
      <c r="L305" s="118" t="str">
        <f>IF(
  O305&lt;&gt;"DEVOLUCION",
  "",
  IF(
    T305="",
    "",
    SUMIF(DEVOLUCION!F:F, T305, DEVOLUCION!D:D)
  )
)
</f>
        <v/>
      </c>
      <c r="M305" s="118"/>
      <c r="N305" s="118" t="s">
        <v>4302</v>
      </c>
      <c r="O305" s="118" t="str">
        <f t="array" ref="O305">IFERROR(
VLOOKUP(
TRIM(CLEAN(
INDEX(REPORTE_DROPI!K:K,
MATCH(T305, REPORTE_DROPI!B:B, 0)
))),
{
TRIM(CLEAN(MAPA_ESTADOS!A:A)) ,
MAPA_ESTADOS!B:B
},
2,
FALSE
),
"REVISAR"
)
</f>
        <v>PENDIENTE</v>
      </c>
      <c r="P305" s="118" t="s">
        <v>3689</v>
      </c>
      <c r="Q305" s="122">
        <f t="shared" si="1"/>
        <v>0</v>
      </c>
      <c r="R305" s="118"/>
      <c r="S305" s="118"/>
      <c r="T305" s="118">
        <f t="array" ref="T305">IFERROR(
INDEX(REPORTE_DROPI!B:B,
MATCH(
CLEAN(TRIM(C305)),
CLEAN(TRIM(REPORTE_DROPI!E:E)),
0
)
),
""
)
</f>
        <v>4106329</v>
      </c>
      <c r="U305" s="118">
        <v>6.407381647404E12</v>
      </c>
      <c r="V305" s="78"/>
      <c r="W305" s="78"/>
      <c r="X305" s="78"/>
      <c r="Y305" s="78"/>
      <c r="Z305" s="78"/>
    </row>
    <row r="306" ht="22.5" customHeight="1">
      <c r="A306" s="118">
        <v>305.0</v>
      </c>
      <c r="B306" s="119">
        <v>46033.0</v>
      </c>
      <c r="C306" s="118" t="s">
        <v>4303</v>
      </c>
      <c r="D306" s="118" t="str">
        <f>IFERROR(__xludf.DUMMYFUNCTION("IFERROR(
  INDEX(
    FILTER(
      'NOMBRE DE PRODUCTOS'!B:B,
      REGEXMATCH(
        UPPER(
          INDEX(
            REPORTE_DROPI!AC:AC,
            MATCH(T306, REPORTE_DROPI!B:B, 0)
          )
        ),
        UPPER('NOMBRE DE PRODUCTOS'!A:A)"&amp;"
      )
    ),
    1
  ),
  ""REVISAR""
)
"),"FilmPro®")</f>
        <v>FilmPro®</v>
      </c>
      <c r="E306" s="120">
        <f t="array" ref="E306">IF(
UPPER(TRIM(CLEAN($O306)))="ENTREGADO",
IFERROR(
INDEX(REPORTE_DROPI!Y:Y,
MATCH($T306, REPORTE_DROPI!B:B, 0)
),
""
),
""
)
</f>
        <v>5.58</v>
      </c>
      <c r="F306" s="121">
        <v>2.0</v>
      </c>
      <c r="G306" s="122">
        <f t="array" ref="G306">IF(
UPPER(TRIM(CLEAN($O306)))="ENTREGADO",
IFERROR(
INDEX(REPORTE_DROPI!R:R,
MATCH($T306, REPORTE_DROPI!B:B, 0)
),
""
),
""
)
</f>
        <v>25</v>
      </c>
      <c r="H306" s="118" t="s">
        <v>3727</v>
      </c>
      <c r="I306" s="118" t="s">
        <v>3728</v>
      </c>
      <c r="J306" s="121">
        <f t="array" ref="J306">IF(
UPPER(TRIM(CLEAN($O306)))="ENTREGADO",
IFERROR(
INDEX(REPORTE_DROPI!T:T,
MATCH($T306, REPORTE_DROPI!B:B, 0)
),
""
),
""
)
</f>
        <v>5.96</v>
      </c>
      <c r="K306" s="118">
        <f t="array" ref="K306">IFERROR(
INDEX(REPORTE_DROPI!S:S,
MATCH($T306, REPORTE_DROPI!B:B, 0)
),
""
)
</f>
        <v>13.46</v>
      </c>
      <c r="L306" s="118" t="str">
        <f>IF(
  O306&lt;&gt;"DEVOLUCION",
  "",
  IF(
    T306="",
    "",
    SUMIF(DEVOLUCION!F:F, T306, DEVOLUCION!D:D)
  )
)
</f>
        <v/>
      </c>
      <c r="M306" s="118"/>
      <c r="N306" s="118" t="s">
        <v>4304</v>
      </c>
      <c r="O306" s="118" t="str">
        <f t="array" ref="O306">IFERROR(
VLOOKUP(
TRIM(CLEAN(
INDEX(REPORTE_DROPI!K:K,
MATCH(T306, REPORTE_DROPI!B:B, 0)
))),
{
TRIM(CLEAN(MAPA_ESTADOS!A:A)) ,
MAPA_ESTADOS!B:B
},
2,
FALSE
),
"REVISAR"
)
</f>
        <v>ENTREGADO</v>
      </c>
      <c r="P306" s="118"/>
      <c r="Q306" s="122">
        <f t="shared" si="1"/>
        <v>0</v>
      </c>
      <c r="R306" s="118"/>
      <c r="S306" s="118"/>
      <c r="T306" s="118">
        <f t="array" ref="T306">IFERROR(
INDEX(REPORTE_DROPI!B:B,
MATCH(
CLEAN(TRIM(C306)),
CLEAN(TRIM(REPORTE_DROPI!E:E)),
0
)
),
""
)
</f>
        <v>4106397</v>
      </c>
      <c r="U306" s="118">
        <v>6.4073921987E12</v>
      </c>
      <c r="V306" s="78"/>
      <c r="W306" s="78"/>
      <c r="X306" s="78"/>
      <c r="Y306" s="78"/>
      <c r="Z306" s="78"/>
    </row>
    <row r="307" ht="22.5" customHeight="1">
      <c r="A307" s="118">
        <v>306.0</v>
      </c>
      <c r="B307" s="119">
        <v>46033.0</v>
      </c>
      <c r="C307" s="118" t="s">
        <v>4305</v>
      </c>
      <c r="D307" s="118" t="str">
        <f>IFERROR(__xludf.DUMMYFUNCTION("IFERROR(
  INDEX(
    FILTER(
      'NOMBRE DE PRODUCTOS'!B:B,
      REGEXMATCH(
        UPPER(
          INDEX(
            REPORTE_DROPI!AC:AC,
            MATCH(T307, REPORTE_DROPI!B:B, 0)
          )
        ),
        UPPER('NOMBRE DE PRODUCTOS'!A:A)"&amp;"
      )
    ),
    1
  ),
  ""REVISAR""
)
"),"Cuchillo Tazaki™")</f>
        <v>Cuchillo Tazaki™</v>
      </c>
      <c r="E307" s="120">
        <f t="array" ref="E307">IF(
UPPER(TRIM(CLEAN($O307)))="ENTREGADO",
IFERROR(
INDEX(REPORTE_DROPI!Y:Y,
MATCH($T307, REPORTE_DROPI!B:B, 0)
),
""
),
""
)
</f>
        <v>5.2</v>
      </c>
      <c r="F307" s="121">
        <v>2.0</v>
      </c>
      <c r="G307" s="122">
        <f t="array" ref="G307">IF(
UPPER(TRIM(CLEAN($O307)))="ENTREGADO",
IFERROR(
INDEX(REPORTE_DROPI!R:R,
MATCH($T307, REPORTE_DROPI!B:B, 0)
),
""
),
""
)
</f>
        <v>22</v>
      </c>
      <c r="H307" s="118" t="s">
        <v>3727</v>
      </c>
      <c r="I307" s="118" t="s">
        <v>3728</v>
      </c>
      <c r="J307" s="121">
        <f t="array" ref="J307">IF(
UPPER(TRIM(CLEAN($O307)))="ENTREGADO",
IFERROR(
INDEX(REPORTE_DROPI!T:T,
MATCH($T307, REPORTE_DROPI!B:B, 0)
),
""
),
""
)
</f>
        <v>5.84</v>
      </c>
      <c r="K307" s="118">
        <f t="array" ref="K307">IFERROR(
INDEX(REPORTE_DROPI!S:S,
MATCH($T307, REPORTE_DROPI!B:B, 0)
),
""
)
</f>
        <v>10.96</v>
      </c>
      <c r="L307" s="118" t="str">
        <f>IF(
  O307&lt;&gt;"DEVOLUCION",
  "",
  IF(
    T307="",
    "",
    SUMIF(DEVOLUCION!F:F, T307, DEVOLUCION!D:D)
  )
)
</f>
        <v/>
      </c>
      <c r="M307" s="118"/>
      <c r="N307" s="118" t="s">
        <v>4306</v>
      </c>
      <c r="O307" s="118" t="str">
        <f t="array" ref="O307">IFERROR(
VLOOKUP(
TRIM(CLEAN(
INDEX(REPORTE_DROPI!K:K,
MATCH(T307, REPORTE_DROPI!B:B, 0)
))),
{
TRIM(CLEAN(MAPA_ESTADOS!A:A)) ,
MAPA_ESTADOS!B:B
},
2,
FALSE
),
"REVISAR"
)
</f>
        <v>ENTREGADO</v>
      </c>
      <c r="P307" s="118"/>
      <c r="Q307" s="122">
        <f t="shared" si="1"/>
        <v>0</v>
      </c>
      <c r="R307" s="118"/>
      <c r="S307" s="118"/>
      <c r="T307" s="118">
        <f t="array" ref="T307">IFERROR(
INDEX(REPORTE_DROPI!B:B,
MATCH(
CLEAN(TRIM(C307)),
CLEAN(TRIM(REPORTE_DROPI!E:E)),
0
)
),
""
)
</f>
        <v>4106431</v>
      </c>
      <c r="U307" s="118">
        <v>6.407400620076E12</v>
      </c>
      <c r="V307" s="78"/>
      <c r="W307" s="78"/>
      <c r="X307" s="78"/>
      <c r="Y307" s="78"/>
      <c r="Z307" s="78"/>
    </row>
    <row r="308" ht="22.5" customHeight="1">
      <c r="A308" s="118">
        <v>307.0</v>
      </c>
      <c r="B308" s="119">
        <v>46033.0</v>
      </c>
      <c r="C308" s="118" t="s">
        <v>4307</v>
      </c>
      <c r="D308" s="118" t="str">
        <f>IFERROR(__xludf.DUMMYFUNCTION("IFERROR(
  INDEX(
    FILTER(
      'NOMBRE DE PRODUCTOS'!B:B,
      REGEXMATCH(
        UPPER(
          INDEX(
            REPORTE_DROPI!AC:AC,
            MATCH(T308, REPORTE_DROPI!B:B, 0)
          )
        ),
        UPPER('NOMBRE DE PRODUCTOS'!A:A)"&amp;"
      )
    ),
    1
  ),
  ""REVISAR""
)
"),"Cuchillo Tazaki™")</f>
        <v>Cuchillo Tazaki™</v>
      </c>
      <c r="E308" s="120">
        <f t="array" ref="E308">IF(
UPPER(TRIM(CLEAN($O308)))="ENTREGADO",
IFERROR(
INDEX(REPORTE_DROPI!Y:Y,
MATCH($T308, REPORTE_DROPI!B:B, 0)
),
""
),
""
)
</f>
        <v>5.2</v>
      </c>
      <c r="F308" s="121">
        <v>2.0</v>
      </c>
      <c r="G308" s="122">
        <f t="array" ref="G308">IF(
UPPER(TRIM(CLEAN($O308)))="ENTREGADO",
IFERROR(
INDEX(REPORTE_DROPI!R:R,
MATCH($T308, REPORTE_DROPI!B:B, 0)
),
""
),
""
)
</f>
        <v>22</v>
      </c>
      <c r="H308" s="118" t="s">
        <v>3727</v>
      </c>
      <c r="I308" s="118" t="s">
        <v>3784</v>
      </c>
      <c r="J308" s="121">
        <f t="array" ref="J308">IF(
UPPER(TRIM(CLEAN($O308)))="ENTREGADO",
IFERROR(
INDEX(REPORTE_DROPI!T:T,
MATCH($T308, REPORTE_DROPI!B:B, 0)
),
""
),
""
)
</f>
        <v>7.7</v>
      </c>
      <c r="K308" s="118">
        <f t="array" ref="K308">IFERROR(
INDEX(REPORTE_DROPI!S:S,
MATCH($T308, REPORTE_DROPI!B:B, 0)
),
""
)
</f>
        <v>9.1</v>
      </c>
      <c r="L308" s="118" t="str">
        <f>IF(
  O308&lt;&gt;"DEVOLUCION",
  "",
  IF(
    T308="",
    "",
    SUMIF(DEVOLUCION!F:F, T308, DEVOLUCION!D:D)
  )
)
</f>
        <v/>
      </c>
      <c r="M308" s="118"/>
      <c r="N308" s="118" t="s">
        <v>4308</v>
      </c>
      <c r="O308" s="118" t="str">
        <f t="array" ref="O308">IFERROR(
VLOOKUP(
TRIM(CLEAN(
INDEX(REPORTE_DROPI!K:K,
MATCH(T308, REPORTE_DROPI!B:B, 0)
))),
{
TRIM(CLEAN(MAPA_ESTADOS!A:A)) ,
MAPA_ESTADOS!B:B
},
2,
FALSE
),
"REVISAR"
)
</f>
        <v>ENTREGADO</v>
      </c>
      <c r="P308" s="118"/>
      <c r="Q308" s="122">
        <f t="shared" si="1"/>
        <v>0</v>
      </c>
      <c r="R308" s="118"/>
      <c r="S308" s="118"/>
      <c r="T308" s="118">
        <f t="array" ref="T308">IFERROR(
INDEX(REPORTE_DROPI!B:B,
MATCH(
CLEAN(TRIM(C308)),
CLEAN(TRIM(REPORTE_DROPI!E:E)),
0
)
),
""
)
</f>
        <v>4106548</v>
      </c>
      <c r="U308" s="118">
        <v>6.407432765484E12</v>
      </c>
      <c r="V308" s="78"/>
      <c r="W308" s="78"/>
      <c r="X308" s="78"/>
      <c r="Y308" s="78"/>
      <c r="Z308" s="78"/>
    </row>
    <row r="309" ht="22.5" customHeight="1">
      <c r="A309" s="118">
        <v>308.0</v>
      </c>
      <c r="B309" s="119">
        <v>46033.0</v>
      </c>
      <c r="C309" s="118" t="s">
        <v>4309</v>
      </c>
      <c r="D309" s="118" t="str">
        <f>IFERROR(__xludf.DUMMYFUNCTION("IFERROR(
  INDEX(
    FILTER(
      'NOMBRE DE PRODUCTOS'!B:B,
      REGEXMATCH(
        UPPER(
          INDEX(
            REPORTE_DROPI!AC:AC,
            MATCH(T309, REPORTE_DROPI!B:B, 0)
          )
        ),
        UPPER('NOMBRE DE PRODUCTOS'!A:A)"&amp;"
      )
    ),
    1
  ),
  ""REVISAR""
)
"),"Cuchillo Tazaki™")</f>
        <v>Cuchillo Tazaki™</v>
      </c>
      <c r="E309" s="120">
        <f t="array" ref="E309">IF(
UPPER(TRIM(CLEAN($O309)))="ENTREGADO",
IFERROR(
INDEX(REPORTE_DROPI!Y:Y,
MATCH($T309, REPORTE_DROPI!B:B, 0)
),
""
),
""
)
</f>
        <v>5.2</v>
      </c>
      <c r="F309" s="121">
        <v>2.0</v>
      </c>
      <c r="G309" s="122">
        <f t="array" ref="G309">IF(
UPPER(TRIM(CLEAN($O309)))="ENTREGADO",
IFERROR(
INDEX(REPORTE_DROPI!R:R,
MATCH($T309, REPORTE_DROPI!B:B, 0)
),
""
),
""
)
</f>
        <v>22</v>
      </c>
      <c r="H309" s="118" t="s">
        <v>3727</v>
      </c>
      <c r="I309" s="118" t="s">
        <v>3759</v>
      </c>
      <c r="J309" s="121">
        <f t="array" ref="J309">IF(
UPPER(TRIM(CLEAN($O309)))="ENTREGADO",
IFERROR(
INDEX(REPORTE_DROPI!T:T,
MATCH($T309, REPORTE_DROPI!B:B, 0)
),
""
),
""
)
</f>
        <v>6.41</v>
      </c>
      <c r="K309" s="118">
        <f t="array" ref="K309">IFERROR(
INDEX(REPORTE_DROPI!S:S,
MATCH($T309, REPORTE_DROPI!B:B, 0)
),
""
)
</f>
        <v>10.39</v>
      </c>
      <c r="L309" s="118" t="str">
        <f>IF(
  O309&lt;&gt;"DEVOLUCION",
  "",
  IF(
    T309="",
    "",
    SUMIF(DEVOLUCION!F:F, T309, DEVOLUCION!D:D)
  )
)
</f>
        <v/>
      </c>
      <c r="M309" s="118" t="s">
        <v>3870</v>
      </c>
      <c r="N309" s="118" t="s">
        <v>4310</v>
      </c>
      <c r="O309" s="118" t="str">
        <f t="array" ref="O309">IFERROR(
VLOOKUP(
TRIM(CLEAN(
INDEX(REPORTE_DROPI!K:K,
MATCH(T309, REPORTE_DROPI!B:B, 0)
))),
{
TRIM(CLEAN(MAPA_ESTADOS!A:A)) ,
MAPA_ESTADOS!B:B
},
2,
FALSE
),
"REVISAR"
)
</f>
        <v>ENTREGADO</v>
      </c>
      <c r="P309" s="118"/>
      <c r="Q309" s="122">
        <f t="shared" si="1"/>
        <v>0</v>
      </c>
      <c r="R309" s="118"/>
      <c r="S309" s="118"/>
      <c r="T309" s="118">
        <f t="array" ref="T309">IFERROR(
INDEX(REPORTE_DROPI!B:B,
MATCH(
CLEAN(TRIM(C309)),
CLEAN(TRIM(REPORTE_DROPI!E:E)),
0
)
),
""
)
</f>
        <v>4106558</v>
      </c>
      <c r="U309" s="118">
        <v>6.407437025324E12</v>
      </c>
      <c r="V309" s="78"/>
      <c r="W309" s="78"/>
      <c r="X309" s="78"/>
      <c r="Y309" s="78"/>
      <c r="Z309" s="78"/>
    </row>
    <row r="310" ht="22.5" customHeight="1">
      <c r="A310" s="118">
        <v>309.0</v>
      </c>
      <c r="B310" s="119">
        <v>46033.0</v>
      </c>
      <c r="C310" s="118" t="s">
        <v>4311</v>
      </c>
      <c r="D310" s="118" t="str">
        <f>IFERROR(__xludf.DUMMYFUNCTION("IFERROR(
  INDEX(
    FILTER(
      'NOMBRE DE PRODUCTOS'!B:B,
      REGEXMATCH(
        UPPER(
          INDEX(
            REPORTE_DROPI!AC:AC,
            MATCH(T310, REPORTE_DROPI!B:B, 0)
          )
        ),
        UPPER('NOMBRE DE PRODUCTOS'!A:A)"&amp;"
      )
    ),
    1
  ),
  ""REVISAR""
)
"),"FilmPro®")</f>
        <v>FilmPro®</v>
      </c>
      <c r="E310" s="120">
        <f t="array" ref="E310">IF(
UPPER(TRIM(CLEAN($O310)))="ENTREGADO",
IFERROR(
INDEX(REPORTE_DROPI!Y:Y,
MATCH($T310, REPORTE_DROPI!B:B, 0)
),
""
),
""
)
</f>
        <v>8.37</v>
      </c>
      <c r="F310" s="121">
        <v>3.0</v>
      </c>
      <c r="G310" s="122">
        <f t="array" ref="G310">IF(
UPPER(TRIM(CLEAN($O310)))="ENTREGADO",
IFERROR(
INDEX(REPORTE_DROPI!R:R,
MATCH($T310, REPORTE_DROPI!B:B, 0)
),
""
),
""
)
</f>
        <v>30</v>
      </c>
      <c r="H310" s="118" t="s">
        <v>3727</v>
      </c>
      <c r="I310" s="118" t="s">
        <v>3864</v>
      </c>
      <c r="J310" s="121">
        <f t="array" ref="J310">IF(
UPPER(TRIM(CLEAN($O310)))="ENTREGADO",
IFERROR(
INDEX(REPORTE_DROPI!T:T,
MATCH($T310, REPORTE_DROPI!B:B, 0)
),
""
),
""
)
</f>
        <v>6.73</v>
      </c>
      <c r="K310" s="118">
        <f t="array" ref="K310">IFERROR(
INDEX(REPORTE_DROPI!S:S,
MATCH($T310, REPORTE_DROPI!B:B, 0)
),
""
)
</f>
        <v>14.9</v>
      </c>
      <c r="L310" s="118" t="str">
        <f>IF(
  O310&lt;&gt;"DEVOLUCION",
  "",
  IF(
    T310="",
    "",
    SUMIF(DEVOLUCION!F:F, T310, DEVOLUCION!D:D)
  )
)
</f>
        <v/>
      </c>
      <c r="M310" s="118"/>
      <c r="N310" s="118" t="s">
        <v>4312</v>
      </c>
      <c r="O310" s="118" t="str">
        <f t="array" ref="O310">IFERROR(
VLOOKUP(
TRIM(CLEAN(
INDEX(REPORTE_DROPI!K:K,
MATCH(T310, REPORTE_DROPI!B:B, 0)
))),
{
TRIM(CLEAN(MAPA_ESTADOS!A:A)) ,
MAPA_ESTADOS!B:B
},
2,
FALSE
),
"REVISAR"
)
</f>
        <v>ENTREGADO</v>
      </c>
      <c r="P310" s="118" t="s">
        <v>4296</v>
      </c>
      <c r="Q310" s="122">
        <f t="shared" si="1"/>
        <v>0</v>
      </c>
      <c r="R310" s="118"/>
      <c r="S310" s="118"/>
      <c r="T310" s="118">
        <f t="array" ref="T310">IFERROR(
INDEX(REPORTE_DROPI!B:B,
MATCH(
CLEAN(TRIM(C310)),
CLEAN(TRIM(REPORTE_DROPI!E:E)),
0
)
),
""
)
</f>
        <v>4106636</v>
      </c>
      <c r="U310" s="118">
        <v>6.407456817196E12</v>
      </c>
      <c r="V310" s="78"/>
      <c r="W310" s="78"/>
      <c r="X310" s="78"/>
      <c r="Y310" s="78"/>
      <c r="Z310" s="78"/>
    </row>
    <row r="311" ht="22.5" customHeight="1">
      <c r="A311" s="118">
        <v>310.0</v>
      </c>
      <c r="B311" s="119">
        <v>46033.0</v>
      </c>
      <c r="C311" s="118" t="s">
        <v>4313</v>
      </c>
      <c r="D311" s="118" t="str">
        <f>IFERROR(__xludf.DUMMYFUNCTION("IFERROR(
  INDEX(
    FILTER(
      'NOMBRE DE PRODUCTOS'!B:B,
      REGEXMATCH(
        UPPER(
          INDEX(
            REPORTE_DROPI!AC:AC,
            MATCH(T311, REPORTE_DROPI!B:B, 0)
          )
        ),
        UPPER('NOMBRE DE PRODUCTOS'!A:A)"&amp;"
      )
    ),
    1
  ),
  ""REVISAR""
)
"),"Cuchillo Tazaki™")</f>
        <v>Cuchillo Tazaki™</v>
      </c>
      <c r="E311" s="120" t="str">
        <f t="array" ref="E311">IF(
UPPER(TRIM(CLEAN($O311)))="ENTREGADO",
IFERROR(
INDEX(REPORTE_DROPI!Y:Y,
MATCH($T311, REPORTE_DROPI!B:B, 0)
),
""
),
""
)
</f>
        <v/>
      </c>
      <c r="F311" s="121">
        <v>2.0</v>
      </c>
      <c r="G311" s="122" t="str">
        <f t="array" ref="G311">IF(
UPPER(TRIM(CLEAN($O311)))="ENTREGADO",
IFERROR(
INDEX(REPORTE_DROPI!R:R,
MATCH($T311, REPORTE_DROPI!B:B, 0)
),
""
),
""
)
</f>
        <v/>
      </c>
      <c r="H311" s="118" t="s">
        <v>3727</v>
      </c>
      <c r="I311" s="118" t="s">
        <v>3740</v>
      </c>
      <c r="J311" s="121" t="str">
        <f t="array" ref="J311">IF(
UPPER(TRIM(CLEAN($O311)))="ENTREGADO",
IFERROR(
INDEX(REPORTE_DROPI!T:T,
MATCH($T311, REPORTE_DROPI!B:B, 0)
),
""
),
""
)
</f>
        <v/>
      </c>
      <c r="K311" s="118" t="str">
        <f t="array" ref="K311">IFERROR(
INDEX(REPORTE_DROPI!S:S,
MATCH($T311, REPORTE_DROPI!B:B, 0)
),
""
)
</f>
        <v/>
      </c>
      <c r="L311" s="118">
        <f>IF(
  O311&lt;&gt;"DEVOLUCION",
  "",
  IF(
    T311="",
    "",
    SUMIF(DEVOLUCION!F:F, T311, DEVOLUCION!D:D)
  )
)
</f>
        <v>5.07</v>
      </c>
      <c r="M311" s="118"/>
      <c r="N311" s="118" t="s">
        <v>4314</v>
      </c>
      <c r="O311" s="118" t="str">
        <f t="array" ref="O311">IFERROR(
VLOOKUP(
TRIM(CLEAN(
INDEX(REPORTE_DROPI!K:K,
MATCH(T311, REPORTE_DROPI!B:B, 0)
))),
{
TRIM(CLEAN(MAPA_ESTADOS!A:A)) ,
MAPA_ESTADOS!B:B
},
2,
FALSE
),
"REVISAR"
)
</f>
        <v>DEVOLUCION</v>
      </c>
      <c r="P311" s="118"/>
      <c r="Q311" s="122">
        <f t="shared" si="1"/>
        <v>0</v>
      </c>
      <c r="R311" s="118"/>
      <c r="S311" s="118"/>
      <c r="T311" s="118">
        <f t="array" ref="T311">IFERROR(
INDEX(REPORTE_DROPI!B:B,
MATCH(
CLEAN(TRIM(C311)),
CLEAN(TRIM(REPORTE_DROPI!E:E)),
0
)
),
""
)
</f>
        <v>4106662</v>
      </c>
      <c r="U311" s="118">
        <v>6.407462518828E12</v>
      </c>
      <c r="V311" s="78"/>
      <c r="W311" s="78"/>
      <c r="X311" s="78"/>
      <c r="Y311" s="78"/>
      <c r="Z311" s="78"/>
    </row>
    <row r="312" ht="22.5" customHeight="1">
      <c r="A312" s="118">
        <v>311.0</v>
      </c>
      <c r="B312" s="119">
        <v>46033.0</v>
      </c>
      <c r="C312" s="126" t="s">
        <v>4315</v>
      </c>
      <c r="D312" s="118" t="str">
        <f>IFERROR(__xludf.DUMMYFUNCTION("IFERROR(
  INDEX(
    FILTER(
      'NOMBRE DE PRODUCTOS'!B:B,
      REGEXMATCH(
        UPPER(
          INDEX(
            REPORTE_DROPI!AC:AC,
            MATCH(T312, REPORTE_DROPI!B:B, 0)
          )
        ),
        UPPER('NOMBRE DE PRODUCTOS'!A:A)"&amp;"
      )
    ),
    1
  ),
  ""REVISAR""
)
"),"Cuchillo Tazaki™")</f>
        <v>Cuchillo Tazaki™</v>
      </c>
      <c r="E312" s="120" t="str">
        <f t="array" ref="E312">IF(
UPPER(TRIM(CLEAN($O312)))="ENTREGADO",
IFERROR(
INDEX(REPORTE_DROPI!Y:Y,
MATCH($T312, REPORTE_DROPI!B:B, 0)
),
""
),
""
)
</f>
        <v/>
      </c>
      <c r="F312" s="121">
        <v>2.0</v>
      </c>
      <c r="G312" s="122" t="str">
        <f t="array" ref="G312">IF(
UPPER(TRIM(CLEAN($O312)))="ENTREGADO",
IFERROR(
INDEX(REPORTE_DROPI!R:R,
MATCH($T312, REPORTE_DROPI!B:B, 0)
),
""
),
""
)
</f>
        <v/>
      </c>
      <c r="H312" s="118" t="s">
        <v>3727</v>
      </c>
      <c r="I312" s="118" t="s">
        <v>3770</v>
      </c>
      <c r="J312" s="121" t="str">
        <f t="array" ref="J312">IF(
UPPER(TRIM(CLEAN($O312)))="ENTREGADO",
IFERROR(
INDEX(REPORTE_DROPI!T:T,
MATCH($T312, REPORTE_DROPI!B:B, 0)
),
""
),
""
)
</f>
        <v/>
      </c>
      <c r="K312" s="118" t="str">
        <f t="array" ref="K312">IFERROR(
INDEX(REPORTE_DROPI!S:S,
MATCH($T312, REPORTE_DROPI!B:B, 0)
),
""
)
</f>
        <v/>
      </c>
      <c r="L312" s="118">
        <f>IF(
  O312&lt;&gt;"DEVOLUCION",
  "",
  IF(
    T312="",
    "",
    SUMIF(DEVOLUCION!F:F, T312, DEVOLUCION!D:D)
  )
)
</f>
        <v>5.07</v>
      </c>
      <c r="M312" s="118"/>
      <c r="N312" s="118" t="s">
        <v>4316</v>
      </c>
      <c r="O312" s="118" t="str">
        <f t="array" ref="O312">IFERROR(
VLOOKUP(
TRIM(CLEAN(
INDEX(REPORTE_DROPI!K:K,
MATCH(T312, REPORTE_DROPI!B:B, 0)
))),
{
TRIM(CLEAN(MAPA_ESTADOS!A:A)) ,
MAPA_ESTADOS!B:B
},
2,
FALSE
),
"REVISAR"
)
</f>
        <v>DEVOLUCION</v>
      </c>
      <c r="P312" s="118"/>
      <c r="Q312" s="122">
        <f t="shared" si="1"/>
        <v>0</v>
      </c>
      <c r="R312" s="118"/>
      <c r="S312" s="118"/>
      <c r="T312" s="118">
        <f t="array" ref="T312">IFERROR(
INDEX(REPORTE_DROPI!B:B,
MATCH(
CLEAN(TRIM(C312)),
CLEAN(TRIM(REPORTE_DROPI!E:E)),
0
)
),
""
)
</f>
        <v>4106885</v>
      </c>
      <c r="U312" s="118">
        <v>6.407512850476E12</v>
      </c>
      <c r="V312" s="78"/>
      <c r="W312" s="78"/>
      <c r="X312" s="78"/>
      <c r="Y312" s="78"/>
      <c r="Z312" s="78"/>
    </row>
    <row r="313" ht="22.5" customHeight="1">
      <c r="A313" s="118">
        <v>312.0</v>
      </c>
      <c r="B313" s="119">
        <v>46033.0</v>
      </c>
      <c r="C313" s="118" t="s">
        <v>4317</v>
      </c>
      <c r="D313" s="118" t="str">
        <f>IFERROR(__xludf.DUMMYFUNCTION("IFERROR(
  INDEX(
    FILTER(
      'NOMBRE DE PRODUCTOS'!B:B,
      REGEXMATCH(
        UPPER(
          INDEX(
            REPORTE_DROPI!AC:AC,
            MATCH(T313, REPORTE_DROPI!B:B, 0)
          )
        ),
        UPPER('NOMBRE DE PRODUCTOS'!A:A)"&amp;"
      )
    ),
    1
  ),
  ""REVISAR""
)
"),"FilmPro®")</f>
        <v>FilmPro®</v>
      </c>
      <c r="E313" s="120" t="str">
        <f t="array" ref="E313">IF(
UPPER(TRIM(CLEAN($O313)))="ENTREGADO",
IFERROR(
INDEX(REPORTE_DROPI!Y:Y,
MATCH($T313, REPORTE_DROPI!B:B, 0)
),
""
),
""
)
</f>
        <v/>
      </c>
      <c r="F313" s="121">
        <v>1.0</v>
      </c>
      <c r="G313" s="122" t="str">
        <f t="array" ref="G313">IF(
UPPER(TRIM(CLEAN($O313)))="ENTREGADO",
IFERROR(
INDEX(REPORTE_DROPI!R:R,
MATCH($T313, REPORTE_DROPI!B:B, 0)
),
""
),
""
)
</f>
        <v/>
      </c>
      <c r="H313" s="118" t="s">
        <v>3727</v>
      </c>
      <c r="I313" s="118" t="s">
        <v>3740</v>
      </c>
      <c r="J313" s="121" t="str">
        <f t="array" ref="J313">IF(
UPPER(TRIM(CLEAN($O313)))="ENTREGADO",
IFERROR(
INDEX(REPORTE_DROPI!T:T,
MATCH($T313, REPORTE_DROPI!B:B, 0)
),
""
),
""
)
</f>
        <v/>
      </c>
      <c r="K313" s="118" t="str">
        <f t="array" ref="K313">IFERROR(
INDEX(REPORTE_DROPI!S:S,
MATCH($T313, REPORTE_DROPI!B:B, 0)
),
""
)
</f>
        <v/>
      </c>
      <c r="L313" s="118">
        <f>IF(
  O313&lt;&gt;"DEVOLUCION",
  "",
  IF(
    T313="",
    "",
    SUMIF(DEVOLUCION!F:F, T313, DEVOLUCION!D:D)
  )
)
</f>
        <v>6.24</v>
      </c>
      <c r="M313" s="118"/>
      <c r="N313" s="118" t="s">
        <v>4318</v>
      </c>
      <c r="O313" s="118" t="str">
        <f t="array" ref="O313">IFERROR(
VLOOKUP(
TRIM(CLEAN(
INDEX(REPORTE_DROPI!K:K,
MATCH(T313, REPORTE_DROPI!B:B, 0)
))),
{
TRIM(CLEAN(MAPA_ESTADOS!A:A)) ,
MAPA_ESTADOS!B:B
},
2,
FALSE
),
"REVISAR"
)
</f>
        <v>DEVOLUCION</v>
      </c>
      <c r="P313" s="118" t="s">
        <v>3888</v>
      </c>
      <c r="Q313" s="122">
        <f t="shared" si="1"/>
        <v>0</v>
      </c>
      <c r="R313" s="118"/>
      <c r="S313" s="118"/>
      <c r="T313" s="118">
        <f t="array" ref="T313">IFERROR(
INDEX(REPORTE_DROPI!B:B,
MATCH(
CLEAN(TRIM(C313)),
CLEAN(TRIM(REPORTE_DROPI!E:E)),
0
)
),
""
)
</f>
        <v>4115695</v>
      </c>
      <c r="U313" s="118">
        <v>6.407523237932E12</v>
      </c>
      <c r="V313" s="78"/>
      <c r="W313" s="78"/>
      <c r="X313" s="78"/>
      <c r="Y313" s="78"/>
      <c r="Z313" s="78"/>
    </row>
    <row r="314" ht="22.5" customHeight="1">
      <c r="A314" s="118">
        <v>313.0</v>
      </c>
      <c r="B314" s="119">
        <v>46033.0</v>
      </c>
      <c r="C314" s="118" t="s">
        <v>4319</v>
      </c>
      <c r="D314" s="118" t="str">
        <f>IFERROR(__xludf.DUMMYFUNCTION("IFERROR(
  INDEX(
    FILTER(
      'NOMBRE DE PRODUCTOS'!B:B,
      REGEXMATCH(
        UPPER(
          INDEX(
            REPORTE_DROPI!AC:AC,
            MATCH(T314, REPORTE_DROPI!B:B, 0)
          )
        ),
        UPPER('NOMBRE DE PRODUCTOS'!A:A)"&amp;"
      )
    ),
    1
  ),
  ""REVISAR""
)
"),"Cuchillo Tazaki™")</f>
        <v>Cuchillo Tazaki™</v>
      </c>
      <c r="E314" s="120">
        <f t="array" ref="E314">IF(
UPPER(TRIM(CLEAN($O314)))="ENTREGADO",
IFERROR(
INDEX(REPORTE_DROPI!Y:Y,
MATCH($T314, REPORTE_DROPI!B:B, 0)
),
""
),
""
)
</f>
        <v>5.2</v>
      </c>
      <c r="F314" s="121">
        <v>2.0</v>
      </c>
      <c r="G314" s="122">
        <f t="array" ref="G314">IF(
UPPER(TRIM(CLEAN($O314)))="ENTREGADO",
IFERROR(
INDEX(REPORTE_DROPI!R:R,
MATCH($T314, REPORTE_DROPI!B:B, 0)
),
""
),
""
)
</f>
        <v>22</v>
      </c>
      <c r="H314" s="118" t="s">
        <v>3727</v>
      </c>
      <c r="I314" s="118" t="s">
        <v>3772</v>
      </c>
      <c r="J314" s="121">
        <f t="array" ref="J314">IF(
UPPER(TRIM(CLEAN($O314)))="ENTREGADO",
IFERROR(
INDEX(REPORTE_DROPI!T:T,
MATCH($T314, REPORTE_DROPI!B:B, 0)
),
""
),
""
)
</f>
        <v>5.84</v>
      </c>
      <c r="K314" s="118">
        <f t="array" ref="K314">IFERROR(
INDEX(REPORTE_DROPI!S:S,
MATCH($T314, REPORTE_DROPI!B:B, 0)
),
""
)
</f>
        <v>10.96</v>
      </c>
      <c r="L314" s="118" t="str">
        <f>IF(
  O314&lt;&gt;"DEVOLUCION",
  "",
  IF(
    T314="",
    "",
    SUMIF(DEVOLUCION!F:F, T314, DEVOLUCION!D:D)
  )
)
</f>
        <v/>
      </c>
      <c r="M314" s="118" t="s">
        <v>3870</v>
      </c>
      <c r="N314" s="118" t="s">
        <v>4320</v>
      </c>
      <c r="O314" s="118" t="str">
        <f t="array" ref="O314">IFERROR(
VLOOKUP(
TRIM(CLEAN(
INDEX(REPORTE_DROPI!K:K,
MATCH(T314, REPORTE_DROPI!B:B, 0)
))),
{
TRIM(CLEAN(MAPA_ESTADOS!A:A)) ,
MAPA_ESTADOS!B:B
},
2,
FALSE
),
"REVISAR"
)
</f>
        <v>ENTREGADO</v>
      </c>
      <c r="P314" s="118"/>
      <c r="Q314" s="122">
        <f t="shared" si="1"/>
        <v>0</v>
      </c>
      <c r="R314" s="118"/>
      <c r="S314" s="118"/>
      <c r="T314" s="118">
        <f t="array" ref="T314">IFERROR(
INDEX(REPORTE_DROPI!B:B,
MATCH(
CLEAN(TRIM(C314)),
CLEAN(TRIM(REPORTE_DROPI!E:E)),
0
)
),
""
)
</f>
        <v>4106967</v>
      </c>
      <c r="U314" s="118">
        <v>6.407526842412E12</v>
      </c>
      <c r="V314" s="78"/>
      <c r="W314" s="78"/>
      <c r="X314" s="78"/>
      <c r="Y314" s="78"/>
      <c r="Z314" s="78"/>
    </row>
    <row r="315" ht="22.5" customHeight="1">
      <c r="A315" s="118">
        <v>314.0</v>
      </c>
      <c r="B315" s="119">
        <v>46033.0</v>
      </c>
      <c r="C315" s="118" t="s">
        <v>4321</v>
      </c>
      <c r="D315" s="118" t="str">
        <f>IFERROR(__xludf.DUMMYFUNCTION("IFERROR(
  INDEX(
    FILTER(
      'NOMBRE DE PRODUCTOS'!B:B,
      REGEXMATCH(
        UPPER(
          INDEX(
            REPORTE_DROPI!AC:AC,
            MATCH(T315, REPORTE_DROPI!B:B, 0)
          )
        ),
        UPPER('NOMBRE DE PRODUCTOS'!A:A)"&amp;"
      )
    ),
    1
  ),
  ""REVISAR""
)
"),"Cuchillo Tazaki™")</f>
        <v>Cuchillo Tazaki™</v>
      </c>
      <c r="E315" s="120">
        <f t="array" ref="E315">IF(
UPPER(TRIM(CLEAN($O315)))="ENTREGADO",
IFERROR(
INDEX(REPORTE_DROPI!Y:Y,
MATCH($T315, REPORTE_DROPI!B:B, 0)
),
""
),
""
)
</f>
        <v>10.4</v>
      </c>
      <c r="F315" s="121">
        <v>4.0</v>
      </c>
      <c r="G315" s="122">
        <f t="array" ref="G315">IF(
UPPER(TRIM(CLEAN($O315)))="ENTREGADO",
IFERROR(
INDEX(REPORTE_DROPI!R:R,
MATCH($T315, REPORTE_DROPI!B:B, 0)
),
""
),
""
)
</f>
        <v>32</v>
      </c>
      <c r="H315" s="118" t="s">
        <v>3727</v>
      </c>
      <c r="I315" s="118" t="s">
        <v>3731</v>
      </c>
      <c r="J315" s="121">
        <f t="array" ref="J315">IF(
UPPER(TRIM(CLEAN($O315)))="ENTREGADO",
IFERROR(
INDEX(REPORTE_DROPI!T:T,
MATCH($T315, REPORTE_DROPI!B:B, 0)
),
""
),
""
)
</f>
        <v>6.24</v>
      </c>
      <c r="K315" s="118">
        <f t="array" ref="K315">IFERROR(
INDEX(REPORTE_DROPI!S:S,
MATCH($T315, REPORTE_DROPI!B:B, 0)
),
""
)
</f>
        <v>15.36</v>
      </c>
      <c r="L315" s="118" t="str">
        <f>IF(
  O315&lt;&gt;"DEVOLUCION",
  "",
  IF(
    T315="",
    "",
    SUMIF(DEVOLUCION!F:F, T315, DEVOLUCION!D:D)
  )
)
</f>
        <v/>
      </c>
      <c r="M315" s="118"/>
      <c r="N315" s="118" t="s">
        <v>4322</v>
      </c>
      <c r="O315" s="118" t="str">
        <f t="array" ref="O315">IFERROR(
VLOOKUP(
TRIM(CLEAN(
INDEX(REPORTE_DROPI!K:K,
MATCH(T315, REPORTE_DROPI!B:B, 0)
))),
{
TRIM(CLEAN(MAPA_ESTADOS!A:A)) ,
MAPA_ESTADOS!B:B
},
2,
FALSE
),
"REVISAR"
)
</f>
        <v>ENTREGADO</v>
      </c>
      <c r="P315" s="118"/>
      <c r="Q315" s="122">
        <f t="shared" si="1"/>
        <v>0</v>
      </c>
      <c r="R315" s="118"/>
      <c r="S315" s="118"/>
      <c r="T315" s="118">
        <f t="array" ref="T315">IFERROR(
INDEX(REPORTE_DROPI!B:B,
MATCH(
CLEAN(TRIM(C315)),
CLEAN(TRIM(REPORTE_DROPI!E:E)),
0
)
),
""
)
</f>
        <v>4107056</v>
      </c>
      <c r="U315" s="118">
        <v>6.407543455788E12</v>
      </c>
      <c r="V315" s="78"/>
      <c r="W315" s="78"/>
      <c r="X315" s="78"/>
      <c r="Y315" s="78"/>
      <c r="Z315" s="78"/>
    </row>
    <row r="316" ht="22.5" customHeight="1">
      <c r="A316" s="118">
        <v>315.0</v>
      </c>
      <c r="B316" s="119">
        <v>46033.0</v>
      </c>
      <c r="C316" s="118" t="s">
        <v>4323</v>
      </c>
      <c r="D316" s="118" t="str">
        <f>IFERROR(__xludf.DUMMYFUNCTION("IFERROR(
  INDEX(
    FILTER(
      'NOMBRE DE PRODUCTOS'!B:B,
      REGEXMATCH(
        UPPER(
          INDEX(
            REPORTE_DROPI!AC:AC,
            MATCH(T316, REPORTE_DROPI!B:B, 0)
          )
        ),
        UPPER('NOMBRE DE PRODUCTOS'!A:A)"&amp;"
      )
    ),
    1
  ),
  ""REVISAR""
)
"),"Cuchillo Tazaki™")</f>
        <v>Cuchillo Tazaki™</v>
      </c>
      <c r="E316" s="120">
        <f t="array" ref="E316">IF(
UPPER(TRIM(CLEAN($O316)))="ENTREGADO",
IFERROR(
INDEX(REPORTE_DROPI!Y:Y,
MATCH($T316, REPORTE_DROPI!B:B, 0)
),
""
),
""
)
</f>
        <v>5.2</v>
      </c>
      <c r="F316" s="121">
        <v>2.0</v>
      </c>
      <c r="G316" s="122">
        <f t="array" ref="G316">IF(
UPPER(TRIM(CLEAN($O316)))="ENTREGADO",
IFERROR(
INDEX(REPORTE_DROPI!R:R,
MATCH($T316, REPORTE_DROPI!B:B, 0)
),
""
),
""
)
</f>
        <v>22</v>
      </c>
      <c r="H316" s="118" t="s">
        <v>3727</v>
      </c>
      <c r="I316" s="118" t="s">
        <v>3740</v>
      </c>
      <c r="J316" s="121">
        <f t="array" ref="J316">IF(
UPPER(TRIM(CLEAN($O316)))="ENTREGADO",
IFERROR(
INDEX(REPORTE_DROPI!T:T,
MATCH($T316, REPORTE_DROPI!B:B, 0)
),
""
),
""
)
</f>
        <v>4.23</v>
      </c>
      <c r="K316" s="118">
        <f t="array" ref="K316">IFERROR(
INDEX(REPORTE_DROPI!S:S,
MATCH($T316, REPORTE_DROPI!B:B, 0)
),
""
)
</f>
        <v>12.57</v>
      </c>
      <c r="L316" s="118" t="str">
        <f>IF(
  O316&lt;&gt;"DEVOLUCION",
  "",
  IF(
    T316="",
    "",
    SUMIF(DEVOLUCION!F:F, T316, DEVOLUCION!D:D)
  )
)
</f>
        <v/>
      </c>
      <c r="M316" s="118"/>
      <c r="N316" s="118" t="s">
        <v>4324</v>
      </c>
      <c r="O316" s="118" t="str">
        <f t="array" ref="O316">IFERROR(
VLOOKUP(
TRIM(CLEAN(
INDEX(REPORTE_DROPI!K:K,
MATCH(T316, REPORTE_DROPI!B:B, 0)
))),
{
TRIM(CLEAN(MAPA_ESTADOS!A:A)) ,
MAPA_ESTADOS!B:B
},
2,
FALSE
),
"REVISAR"
)
</f>
        <v>ENTREGADO</v>
      </c>
      <c r="P316" s="118"/>
      <c r="Q316" s="122">
        <f t="shared" si="1"/>
        <v>0</v>
      </c>
      <c r="R316" s="118"/>
      <c r="S316" s="118"/>
      <c r="T316" s="118">
        <f t="array" ref="T316">IFERROR(
INDEX(REPORTE_DROPI!B:B,
MATCH(
CLEAN(TRIM(C316)),
CLEAN(TRIM(REPORTE_DROPI!E:E)),
0
)
),
""
)
</f>
        <v>4107474</v>
      </c>
      <c r="U316" s="118">
        <v>6.407626424364E12</v>
      </c>
      <c r="V316" s="78"/>
      <c r="W316" s="78"/>
      <c r="X316" s="78"/>
      <c r="Y316" s="78"/>
      <c r="Z316" s="78"/>
    </row>
    <row r="317" ht="22.5" customHeight="1">
      <c r="A317" s="118">
        <v>316.0</v>
      </c>
      <c r="B317" s="119">
        <v>46033.0</v>
      </c>
      <c r="C317" s="118" t="s">
        <v>4325</v>
      </c>
      <c r="D317" s="118" t="str">
        <f>IFERROR(__xludf.DUMMYFUNCTION("IFERROR(
  INDEX(
    FILTER(
      'NOMBRE DE PRODUCTOS'!B:B,
      REGEXMATCH(
        UPPER(
          INDEX(
            REPORTE_DROPI!AC:AC,
            MATCH(T317, REPORTE_DROPI!B:B, 0)
          )
        ),
        UPPER('NOMBRE DE PRODUCTOS'!A:A)"&amp;"
      )
    ),
    1
  ),
  ""REVISAR""
)
"),"Cuchillo Tazaki™")</f>
        <v>Cuchillo Tazaki™</v>
      </c>
      <c r="E317" s="120">
        <f t="array" ref="E317">IF(
UPPER(TRIM(CLEAN($O317)))="ENTREGADO",
IFERROR(
INDEX(REPORTE_DROPI!Y:Y,
MATCH($T317, REPORTE_DROPI!B:B, 0)
),
""
),
""
)
</f>
        <v>5.2</v>
      </c>
      <c r="F317" s="121">
        <v>2.0</v>
      </c>
      <c r="G317" s="122">
        <f t="array" ref="G317">IF(
UPPER(TRIM(CLEAN($O317)))="ENTREGADO",
IFERROR(
INDEX(REPORTE_DROPI!R:R,
MATCH($T317, REPORTE_DROPI!B:B, 0)
),
""
),
""
)
</f>
        <v>22</v>
      </c>
      <c r="H317" s="118" t="s">
        <v>3727</v>
      </c>
      <c r="I317" s="118" t="s">
        <v>3731</v>
      </c>
      <c r="J317" s="121">
        <f t="array" ref="J317">IF(
UPPER(TRIM(CLEAN($O317)))="ENTREGADO",
IFERROR(
INDEX(REPORTE_DROPI!T:T,
MATCH($T317, REPORTE_DROPI!B:B, 0)
),
""
),
""
)
</f>
        <v>5.84</v>
      </c>
      <c r="K317" s="118">
        <f t="array" ref="K317">IFERROR(
INDEX(REPORTE_DROPI!S:S,
MATCH($T317, REPORTE_DROPI!B:B, 0)
),
""
)
</f>
        <v>10.96</v>
      </c>
      <c r="L317" s="118" t="str">
        <f>IF(
  O317&lt;&gt;"DEVOLUCION",
  "",
  IF(
    T317="",
    "",
    SUMIF(DEVOLUCION!F:F, T317, DEVOLUCION!D:D)
  )
)
</f>
        <v/>
      </c>
      <c r="M317" s="118" t="s">
        <v>3870</v>
      </c>
      <c r="N317" s="118" t="s">
        <v>4326</v>
      </c>
      <c r="O317" s="118" t="str">
        <f t="array" ref="O317">IFERROR(
VLOOKUP(
TRIM(CLEAN(
INDEX(REPORTE_DROPI!K:K,
MATCH(T317, REPORTE_DROPI!B:B, 0)
))),
{
TRIM(CLEAN(MAPA_ESTADOS!A:A)) ,
MAPA_ESTADOS!B:B
},
2,
FALSE
),
"REVISAR"
)
</f>
        <v>ENTREGADO</v>
      </c>
      <c r="P317" s="118"/>
      <c r="Q317" s="122">
        <f t="shared" si="1"/>
        <v>0</v>
      </c>
      <c r="R317" s="118"/>
      <c r="S317" s="118"/>
      <c r="T317" s="118">
        <f t="array" ref="T317">IFERROR(
INDEX(REPORTE_DROPI!B:B,
MATCH(
CLEAN(TRIM(C317)),
CLEAN(TRIM(REPORTE_DROPI!E:E)),
0
)
),
""
)
</f>
        <v>4107692</v>
      </c>
      <c r="U317" s="118">
        <v>6.407663976492E12</v>
      </c>
      <c r="V317" s="78"/>
      <c r="W317" s="78"/>
      <c r="X317" s="78"/>
      <c r="Y317" s="78"/>
      <c r="Z317" s="78"/>
    </row>
    <row r="318" ht="22.5" customHeight="1">
      <c r="A318" s="118">
        <v>317.0</v>
      </c>
      <c r="B318" s="119">
        <v>46033.0</v>
      </c>
      <c r="C318" s="118" t="s">
        <v>4327</v>
      </c>
      <c r="D318" s="118" t="str">
        <f>IFERROR(__xludf.DUMMYFUNCTION("IFERROR(
  INDEX(
    FILTER(
      'NOMBRE DE PRODUCTOS'!B:B,
      REGEXMATCH(
        UPPER(
          INDEX(
            REPORTE_DROPI!AC:AC,
            MATCH(T318, REPORTE_DROPI!B:B, 0)
          )
        ),
        UPPER('NOMBRE DE PRODUCTOS'!A:A)"&amp;"
      )
    ),
    1
  ),
  ""REVISAR""
)
"),"FilmPro®")</f>
        <v>FilmPro®</v>
      </c>
      <c r="E318" s="120" t="str">
        <f t="array" ref="E318">IF(
UPPER(TRIM(CLEAN($O318)))="ENTREGADO",
IFERROR(
INDEX(REPORTE_DROPI!Y:Y,
MATCH($T318, REPORTE_DROPI!B:B, 0)
),
""
),
""
)
</f>
        <v/>
      </c>
      <c r="F318" s="121">
        <v>1.0</v>
      </c>
      <c r="G318" s="122" t="str">
        <f t="array" ref="G318">IF(
UPPER(TRIM(CLEAN($O318)))="ENTREGADO",
IFERROR(
INDEX(REPORTE_DROPI!R:R,
MATCH($T318, REPORTE_DROPI!B:B, 0)
),
""
),
""
)
</f>
        <v/>
      </c>
      <c r="H318" s="118" t="s">
        <v>3727</v>
      </c>
      <c r="I318" s="118" t="s">
        <v>3728</v>
      </c>
      <c r="J318" s="121" t="str">
        <f t="array" ref="J318">IF(
UPPER(TRIM(CLEAN($O318)))="ENTREGADO",
IFERROR(
INDEX(REPORTE_DROPI!T:T,
MATCH($T318, REPORTE_DROPI!B:B, 0)
),
""
),
""
)
</f>
        <v/>
      </c>
      <c r="K318" s="118" t="str">
        <f t="array" ref="K318">IFERROR(
INDEX(REPORTE_DROPI!S:S,
MATCH($T318, REPORTE_DROPI!B:B, 0)
),
""
)
</f>
        <v/>
      </c>
      <c r="L318" s="118">
        <f>IF(
  O318&lt;&gt;"DEVOLUCION",
  "",
  IF(
    T318="",
    "",
    SUMIF(DEVOLUCION!F:F, T318, DEVOLUCION!D:D)
  )
)
</f>
        <v>5.06</v>
      </c>
      <c r="M318" s="118"/>
      <c r="N318" s="118" t="s">
        <v>4328</v>
      </c>
      <c r="O318" s="118" t="str">
        <f t="array" ref="O318">IFERROR(
VLOOKUP(
TRIM(CLEAN(
INDEX(REPORTE_DROPI!K:K,
MATCH(T318, REPORTE_DROPI!B:B, 0)
))),
{
TRIM(CLEAN(MAPA_ESTADOS!A:A)) ,
MAPA_ESTADOS!B:B
},
2,
FALSE
),
"REVISAR"
)
</f>
        <v>DEVOLUCION</v>
      </c>
      <c r="P318" s="118" t="s">
        <v>4296</v>
      </c>
      <c r="Q318" s="122">
        <f t="shared" si="1"/>
        <v>0</v>
      </c>
      <c r="R318" s="118"/>
      <c r="S318" s="118"/>
      <c r="T318" s="118">
        <f t="array" ref="T318">IFERROR(
INDEX(REPORTE_DROPI!B:B,
MATCH(
CLEAN(TRIM(C318)),
CLEAN(TRIM(REPORTE_DROPI!E:E)),
0
)
),
""
)
</f>
        <v>4108195</v>
      </c>
      <c r="U318" s="118">
        <v>6.40775788958E12</v>
      </c>
      <c r="V318" s="78"/>
      <c r="W318" s="78"/>
      <c r="X318" s="78"/>
      <c r="Y318" s="78"/>
      <c r="Z318" s="78"/>
    </row>
    <row r="319" ht="22.5" customHeight="1">
      <c r="A319" s="118">
        <v>318.0</v>
      </c>
      <c r="B319" s="119">
        <v>46033.0</v>
      </c>
      <c r="C319" s="126" t="s">
        <v>4329</v>
      </c>
      <c r="D319" s="118" t="str">
        <f>IFERROR(__xludf.DUMMYFUNCTION("IFERROR(
  INDEX(
    FILTER(
      'NOMBRE DE PRODUCTOS'!B:B,
      REGEXMATCH(
        UPPER(
          INDEX(
            REPORTE_DROPI!AC:AC,
            MATCH(T319, REPORTE_DROPI!B:B, 0)
          )
        ),
        UPPER('NOMBRE DE PRODUCTOS'!A:A)"&amp;"
      )
    ),
    1
  ),
  ""REVISAR""
)
"),"Cuchillo Tazaki™")</f>
        <v>Cuchillo Tazaki™</v>
      </c>
      <c r="E319" s="120" t="str">
        <f t="array" ref="E319">IF(
UPPER(TRIM(CLEAN($O319)))="ENTREGADO",
IFERROR(
INDEX(REPORTE_DROPI!Y:Y,
MATCH($T319, REPORTE_DROPI!B:B, 0)
),
""
),
""
)
</f>
        <v/>
      </c>
      <c r="F319" s="121">
        <v>3.0</v>
      </c>
      <c r="G319" s="122" t="str">
        <f t="array" ref="G319">IF(
UPPER(TRIM(CLEAN($O319)))="ENTREGADO",
IFERROR(
INDEX(REPORTE_DROPI!R:R,
MATCH($T319, REPORTE_DROPI!B:B, 0)
),
""
),
""
)
</f>
        <v/>
      </c>
      <c r="H319" s="118" t="s">
        <v>3727</v>
      </c>
      <c r="I319" s="118" t="s">
        <v>3772</v>
      </c>
      <c r="J319" s="121" t="str">
        <f t="array" ref="J319">IF(
UPPER(TRIM(CLEAN($O319)))="ENTREGADO",
IFERROR(
INDEX(REPORTE_DROPI!T:T,
MATCH($T319, REPORTE_DROPI!B:B, 0)
),
""
),
""
)
</f>
        <v/>
      </c>
      <c r="K319" s="118" t="str">
        <f t="array" ref="K319">IFERROR(
INDEX(REPORTE_DROPI!S:S,
MATCH($T319, REPORTE_DROPI!B:B, 0)
),
""
)
</f>
        <v/>
      </c>
      <c r="L319" s="118" t="str">
        <f>IF(
  O319&lt;&gt;"DEVOLUCION",
  "",
  IF(
    T319="",
    "",
    SUMIF(DEVOLUCION!F:F, T319, DEVOLUCION!D:D)
  )
)
</f>
        <v/>
      </c>
      <c r="M319" s="118"/>
      <c r="N319" s="118" t="s">
        <v>4330</v>
      </c>
      <c r="O319" s="118" t="str">
        <f t="array" ref="O319">IFERROR(
VLOOKUP(
TRIM(CLEAN(
INDEX(REPORTE_DROPI!K:K,
MATCH(T319, REPORTE_DROPI!B:B, 0)
))),
{
TRIM(CLEAN(MAPA_ESTADOS!A:A)) ,
MAPA_ESTADOS!B:B
},
2,
FALSE
),
"REVISAR"
)
</f>
        <v>PENDIENTE</v>
      </c>
      <c r="P319" s="118" t="s">
        <v>4331</v>
      </c>
      <c r="Q319" s="122">
        <f t="shared" si="1"/>
        <v>0</v>
      </c>
      <c r="R319" s="118"/>
      <c r="S319" s="118"/>
      <c r="T319" s="118">
        <f t="array" ref="T319">IFERROR(
INDEX(REPORTE_DROPI!B:B,
MATCH(
CLEAN(TRIM(C319)),
CLEAN(TRIM(REPORTE_DROPI!E:E)),
0
)
),
""
)
</f>
        <v>4108197</v>
      </c>
      <c r="U319" s="118">
        <v>6.407758118956E12</v>
      </c>
      <c r="V319" s="78"/>
      <c r="W319" s="78"/>
      <c r="X319" s="78"/>
      <c r="Y319" s="78"/>
      <c r="Z319" s="78"/>
    </row>
    <row r="320" ht="22.5" customHeight="1">
      <c r="A320" s="118">
        <v>319.0</v>
      </c>
      <c r="B320" s="119">
        <v>46033.0</v>
      </c>
      <c r="C320" s="126" t="s">
        <v>4332</v>
      </c>
      <c r="D320" s="118" t="str">
        <f>IFERROR(__xludf.DUMMYFUNCTION("IFERROR(
  INDEX(
    FILTER(
      'NOMBRE DE PRODUCTOS'!B:B,
      REGEXMATCH(
        UPPER(
          INDEX(
            REPORTE_DROPI!AC:AC,
            MATCH(T320, REPORTE_DROPI!B:B, 0)
          )
        ),
        UPPER('NOMBRE DE PRODUCTOS'!A:A)"&amp;"
      )
    ),
    1
  ),
  ""REVISAR""
)
"),"FilmPro®")</f>
        <v>FilmPro®</v>
      </c>
      <c r="E320" s="120" t="str">
        <f t="array" ref="E320">IF(
UPPER(TRIM(CLEAN($O320)))="ENTREGADO",
IFERROR(
INDEX(REPORTE_DROPI!Y:Y,
MATCH($T320, REPORTE_DROPI!B:B, 0)
),
""
),
""
)
</f>
        <v/>
      </c>
      <c r="F320" s="121">
        <v>2.0</v>
      </c>
      <c r="G320" s="122" t="str">
        <f t="array" ref="G320">IF(
UPPER(TRIM(CLEAN($O320)))="ENTREGADO",
IFERROR(
INDEX(REPORTE_DROPI!R:R,
MATCH($T320, REPORTE_DROPI!B:B, 0)
),
""
),
""
)
</f>
        <v/>
      </c>
      <c r="H320" s="118" t="s">
        <v>3727</v>
      </c>
      <c r="I320" s="118" t="s">
        <v>3731</v>
      </c>
      <c r="J320" s="121" t="str">
        <f t="array" ref="J320">IF(
UPPER(TRIM(CLEAN($O320)))="ENTREGADO",
IFERROR(
INDEX(REPORTE_DROPI!T:T,
MATCH($T320, REPORTE_DROPI!B:B, 0)
),
""
),
""
)
</f>
        <v/>
      </c>
      <c r="K320" s="118" t="str">
        <f t="array" ref="K320">IFERROR(
INDEX(REPORTE_DROPI!S:S,
MATCH($T320, REPORTE_DROPI!B:B, 0)
),
""
)
</f>
        <v/>
      </c>
      <c r="L320" s="118" t="str">
        <f>IF(
  O320&lt;&gt;"DEVOLUCION",
  "",
  IF(
    T320="",
    "",
    SUMIF(DEVOLUCION!F:F, T320, DEVOLUCION!D:D)
  )
)
</f>
        <v/>
      </c>
      <c r="M320" s="118"/>
      <c r="N320" s="118" t="s">
        <v>4333</v>
      </c>
      <c r="O320" s="118" t="str">
        <f t="array" ref="O320">IFERROR(
VLOOKUP(
TRIM(CLEAN(
INDEX(REPORTE_DROPI!K:K,
MATCH(T320, REPORTE_DROPI!B:B, 0)
))),
{
TRIM(CLEAN(MAPA_ESTADOS!A:A)) ,
MAPA_ESTADOS!B:B
},
2,
FALSE
),
"REVISAR"
)
</f>
        <v>PENDIENTE</v>
      </c>
      <c r="P320" s="118" t="s">
        <v>3689</v>
      </c>
      <c r="Q320" s="122">
        <f t="shared" si="1"/>
        <v>0</v>
      </c>
      <c r="R320" s="118"/>
      <c r="S320" s="118"/>
      <c r="T320" s="118">
        <f t="array" ref="T320">IFERROR(
INDEX(REPORTE_DROPI!B:B,
MATCH(
CLEAN(TRIM(C320)),
CLEAN(TRIM(REPORTE_DROPI!E:E)),
0
)
),
""
)
</f>
        <v>4108250</v>
      </c>
      <c r="U320" s="118">
        <v>6.407764869164E12</v>
      </c>
      <c r="V320" s="78"/>
      <c r="W320" s="78"/>
      <c r="X320" s="78"/>
      <c r="Y320" s="78"/>
      <c r="Z320" s="78"/>
    </row>
    <row r="321" ht="22.5" customHeight="1">
      <c r="A321" s="118">
        <v>320.0</v>
      </c>
      <c r="B321" s="119">
        <v>46033.0</v>
      </c>
      <c r="C321" s="118" t="s">
        <v>4334</v>
      </c>
      <c r="D321" s="118" t="str">
        <f>IFERROR(__xludf.DUMMYFUNCTION("IFERROR(
  INDEX(
    FILTER(
      'NOMBRE DE PRODUCTOS'!B:B,
      REGEXMATCH(
        UPPER(
          INDEX(
            REPORTE_DROPI!AC:AC,
            MATCH(T321, REPORTE_DROPI!B:B, 0)
          )
        ),
        UPPER('NOMBRE DE PRODUCTOS'!A:A)"&amp;"
      )
    ),
    1
  ),
  ""REVISAR""
)
"),"FilmPro®")</f>
        <v>FilmPro®</v>
      </c>
      <c r="E321" s="120">
        <f t="array" ref="E321">IF(
UPPER(TRIM(CLEAN($O321)))="ENTREGADO",
IFERROR(
INDEX(REPORTE_DROPI!Y:Y,
MATCH($T321, REPORTE_DROPI!B:B, 0)
),
""
),
""
)
</f>
        <v>5.58</v>
      </c>
      <c r="F321" s="121">
        <v>2.0</v>
      </c>
      <c r="G321" s="122">
        <f t="array" ref="G321">IF(
UPPER(TRIM(CLEAN($O321)))="ENTREGADO",
IFERROR(
INDEX(REPORTE_DROPI!R:R,
MATCH($T321, REPORTE_DROPI!B:B, 0)
),
""
),
""
)
</f>
        <v>25</v>
      </c>
      <c r="H321" s="118" t="s">
        <v>3727</v>
      </c>
      <c r="I321" s="118" t="s">
        <v>3731</v>
      </c>
      <c r="J321" s="121">
        <f t="array" ref="J321">IF(
UPPER(TRIM(CLEAN($O321)))="ENTREGADO",
IFERROR(
INDEX(REPORTE_DROPI!T:T,
MATCH($T321, REPORTE_DROPI!B:B, 0)
),
""
),
""
)
</f>
        <v>5.96</v>
      </c>
      <c r="K321" s="118">
        <f t="array" ref="K321">IFERROR(
INDEX(REPORTE_DROPI!S:S,
MATCH($T321, REPORTE_DROPI!B:B, 0)
),
""
)
</f>
        <v>13.46</v>
      </c>
      <c r="L321" s="118" t="str">
        <f>IF(
  O321&lt;&gt;"DEVOLUCION",
  "",
  IF(
    T321="",
    "",
    SUMIF(DEVOLUCION!F:F, T321, DEVOLUCION!D:D)
  )
)
</f>
        <v/>
      </c>
      <c r="M321" s="118" t="s">
        <v>3870</v>
      </c>
      <c r="N321" s="118" t="s">
        <v>4335</v>
      </c>
      <c r="O321" s="118" t="str">
        <f t="array" ref="O321">IFERROR(
VLOOKUP(
TRIM(CLEAN(
INDEX(REPORTE_DROPI!K:K,
MATCH(T321, REPORTE_DROPI!B:B, 0)
))),
{
TRIM(CLEAN(MAPA_ESTADOS!A:A)) ,
MAPA_ESTADOS!B:B
},
2,
FALSE
),
"REVISAR"
)
</f>
        <v>ENTREGADO</v>
      </c>
      <c r="P321" s="118"/>
      <c r="Q321" s="122">
        <f t="shared" si="1"/>
        <v>0</v>
      </c>
      <c r="R321" s="118"/>
      <c r="S321" s="118"/>
      <c r="T321" s="118">
        <f t="array" ref="T321">IFERROR(
INDEX(REPORTE_DROPI!B:B,
MATCH(
CLEAN(TRIM(C321)),
CLEAN(TRIM(REPORTE_DROPI!E:E)),
0
)
),
""
)
</f>
        <v>4108335</v>
      </c>
      <c r="U321" s="118">
        <v>6.407782924332E12</v>
      </c>
      <c r="V321" s="78"/>
      <c r="W321" s="78"/>
      <c r="X321" s="78"/>
      <c r="Y321" s="78"/>
      <c r="Z321" s="78"/>
    </row>
    <row r="322" ht="22.5" customHeight="1">
      <c r="A322" s="118">
        <v>321.0</v>
      </c>
      <c r="B322" s="119">
        <v>46033.0</v>
      </c>
      <c r="C322" s="118" t="s">
        <v>4336</v>
      </c>
      <c r="D322" s="118" t="str">
        <f>IFERROR(__xludf.DUMMYFUNCTION("IFERROR(
  INDEX(
    FILTER(
      'NOMBRE DE PRODUCTOS'!B:B,
      REGEXMATCH(
        UPPER(
          INDEX(
            REPORTE_DROPI!AC:AC,
            MATCH(T322, REPORTE_DROPI!B:B, 0)
          )
        ),
        UPPER('NOMBRE DE PRODUCTOS'!A:A)"&amp;"
      )
    ),
    1
  ),
  ""REVISAR""
)
"),"FilmPro®")</f>
        <v>FilmPro®</v>
      </c>
      <c r="E322" s="120">
        <f t="array" ref="E322">IF(
UPPER(TRIM(CLEAN($O322)))="ENTREGADO",
IFERROR(
INDEX(REPORTE_DROPI!Y:Y,
MATCH($T322, REPORTE_DROPI!B:B, 0)
),
""
),
""
)
</f>
        <v>5.58</v>
      </c>
      <c r="F322" s="121">
        <v>2.0</v>
      </c>
      <c r="G322" s="122">
        <f t="array" ref="G322">IF(
UPPER(TRIM(CLEAN($O322)))="ENTREGADO",
IFERROR(
INDEX(REPORTE_DROPI!R:R,
MATCH($T322, REPORTE_DROPI!B:B, 0)
),
""
),
""
)
</f>
        <v>25</v>
      </c>
      <c r="H322" s="118" t="s">
        <v>3727</v>
      </c>
      <c r="I322" s="118" t="s">
        <v>3731</v>
      </c>
      <c r="J322" s="121">
        <f t="array" ref="J322">IF(
UPPER(TRIM(CLEAN($O322)))="ENTREGADO",
IFERROR(
INDEX(REPORTE_DROPI!T:T,
MATCH($T322, REPORTE_DROPI!B:B, 0)
),
""
),
""
)
</f>
        <v>5.96</v>
      </c>
      <c r="K322" s="118">
        <f t="array" ref="K322">IFERROR(
INDEX(REPORTE_DROPI!S:S,
MATCH($T322, REPORTE_DROPI!B:B, 0)
),
""
)
</f>
        <v>13.46</v>
      </c>
      <c r="L322" s="118" t="str">
        <f>IF(
  O322&lt;&gt;"DEVOLUCION",
  "",
  IF(
    T322="",
    "",
    SUMIF(DEVOLUCION!F:F, T322, DEVOLUCION!D:D)
  )
)
</f>
        <v/>
      </c>
      <c r="M322" s="118" t="s">
        <v>3870</v>
      </c>
      <c r="N322" s="118" t="s">
        <v>4337</v>
      </c>
      <c r="O322" s="118" t="str">
        <f t="array" ref="O322">IFERROR(
VLOOKUP(
TRIM(CLEAN(
INDEX(REPORTE_DROPI!K:K,
MATCH(T322, REPORTE_DROPI!B:B, 0)
))),
{
TRIM(CLEAN(MAPA_ESTADOS!A:A)) ,
MAPA_ESTADOS!B:B
},
2,
FALSE
),
"REVISAR"
)
</f>
        <v>ENTREGADO</v>
      </c>
      <c r="P322" s="118"/>
      <c r="Q322" s="122">
        <f t="shared" si="1"/>
        <v>0</v>
      </c>
      <c r="R322" s="118"/>
      <c r="S322" s="118"/>
      <c r="T322" s="118">
        <f t="array" ref="T322">IFERROR(
INDEX(REPORTE_DROPI!B:B,
MATCH(
CLEAN(TRIM(C322)),
CLEAN(TRIM(REPORTE_DROPI!E:E)),
0
)
),
""
)
</f>
        <v>4108356</v>
      </c>
      <c r="U322" s="118">
        <v>6.407787085868E12</v>
      </c>
      <c r="V322" s="78"/>
      <c r="W322" s="78"/>
      <c r="X322" s="78"/>
      <c r="Y322" s="78"/>
      <c r="Z322" s="78"/>
    </row>
    <row r="323" ht="22.5" customHeight="1">
      <c r="A323" s="118">
        <v>322.0</v>
      </c>
      <c r="B323" s="119">
        <v>46033.0</v>
      </c>
      <c r="C323" s="118" t="s">
        <v>4338</v>
      </c>
      <c r="D323" s="118" t="str">
        <f>IFERROR(__xludf.DUMMYFUNCTION("IFERROR(
  INDEX(
    FILTER(
      'NOMBRE DE PRODUCTOS'!B:B,
      REGEXMATCH(
        UPPER(
          INDEX(
            REPORTE_DROPI!AC:AC,
            MATCH(T323, REPORTE_DROPI!B:B, 0)
          )
        ),
        UPPER('NOMBRE DE PRODUCTOS'!A:A)"&amp;"
      )
    ),
    1
  ),
  ""REVISAR""
)
"),"FilmPro®")</f>
        <v>FilmPro®</v>
      </c>
      <c r="E323" s="120" t="str">
        <f t="array" ref="E323">IF(
UPPER(TRIM(CLEAN($O323)))="ENTREGADO",
IFERROR(
INDEX(REPORTE_DROPI!Y:Y,
MATCH($T323, REPORTE_DROPI!B:B, 0)
),
""
),
""
)
</f>
        <v/>
      </c>
      <c r="F323" s="121">
        <v>3.0</v>
      </c>
      <c r="G323" s="122" t="str">
        <f t="array" ref="G323">IF(
UPPER(TRIM(CLEAN($O323)))="ENTREGADO",
IFERROR(
INDEX(REPORTE_DROPI!R:R,
MATCH($T323, REPORTE_DROPI!B:B, 0)
),
""
),
""
)
</f>
        <v/>
      </c>
      <c r="H323" s="118" t="s">
        <v>3727</v>
      </c>
      <c r="I323" s="118" t="s">
        <v>3731</v>
      </c>
      <c r="J323" s="121" t="str">
        <f t="array" ref="J323">IF(
UPPER(TRIM(CLEAN($O323)))="ENTREGADO",
IFERROR(
INDEX(REPORTE_DROPI!T:T,
MATCH($T323, REPORTE_DROPI!B:B, 0)
),
""
),
""
)
</f>
        <v/>
      </c>
      <c r="K323" s="118" t="str">
        <f t="array" ref="K323">IFERROR(
INDEX(REPORTE_DROPI!S:S,
MATCH($T323, REPORTE_DROPI!B:B, 0)
),
""
)
</f>
        <v/>
      </c>
      <c r="L323" s="118">
        <f>IF(
  O323&lt;&gt;"DEVOLUCION",
  "",
  IF(
    T323="",
    "",
    SUMIF(DEVOLUCION!F:F, T323, DEVOLUCION!D:D)
  )
)
</f>
        <v>3.51</v>
      </c>
      <c r="M323" s="118"/>
      <c r="N323" s="118" t="s">
        <v>4339</v>
      </c>
      <c r="O323" s="118" t="str">
        <f t="array" ref="O323">IFERROR(
VLOOKUP(
TRIM(CLEAN(
INDEX(REPORTE_DROPI!K:K,
MATCH(T323, REPORTE_DROPI!B:B, 0)
))),
{
TRIM(CLEAN(MAPA_ESTADOS!A:A)) ,
MAPA_ESTADOS!B:B
},
2,
FALSE
),
"REVISAR"
)
</f>
        <v>DEVOLUCION</v>
      </c>
      <c r="P323" s="118" t="s">
        <v>4296</v>
      </c>
      <c r="Q323" s="122">
        <f t="shared" si="1"/>
        <v>0</v>
      </c>
      <c r="R323" s="118"/>
      <c r="S323" s="118"/>
      <c r="T323" s="118">
        <f t="array" ref="T323">IFERROR(
INDEX(REPORTE_DROPI!B:B,
MATCH(
CLEAN(TRIM(C323)),
CLEAN(TRIM(REPORTE_DROPI!E:E)),
0
)
),
""
)
</f>
        <v>4130480</v>
      </c>
      <c r="U323" s="118">
        <v>6.407797637164E12</v>
      </c>
      <c r="V323" s="78"/>
      <c r="W323" s="78"/>
      <c r="X323" s="78"/>
      <c r="Y323" s="78"/>
      <c r="Z323" s="78"/>
    </row>
    <row r="324" ht="22.5" customHeight="1">
      <c r="A324" s="118">
        <v>323.0</v>
      </c>
      <c r="B324" s="119">
        <v>46033.0</v>
      </c>
      <c r="C324" s="118" t="s">
        <v>4340</v>
      </c>
      <c r="D324" s="118" t="str">
        <f>IFERROR(__xludf.DUMMYFUNCTION("IFERROR(
  INDEX(
    FILTER(
      'NOMBRE DE PRODUCTOS'!B:B,
      REGEXMATCH(
        UPPER(
          INDEX(
            REPORTE_DROPI!AC:AC,
            MATCH(T324, REPORTE_DROPI!B:B, 0)
          )
        ),
        UPPER('NOMBRE DE PRODUCTOS'!A:A)"&amp;"
      )
    ),
    1
  ),
  ""REVISAR""
)
"),"Cuchillo Tazaki™")</f>
        <v>Cuchillo Tazaki™</v>
      </c>
      <c r="E324" s="120">
        <f t="array" ref="E324">IF(
UPPER(TRIM(CLEAN($O324)))="ENTREGADO",
IFERROR(
INDEX(REPORTE_DROPI!Y:Y,
MATCH($T324, REPORTE_DROPI!B:B, 0)
),
""
),
""
)
</f>
        <v>5.2</v>
      </c>
      <c r="F324" s="121">
        <v>2.0</v>
      </c>
      <c r="G324" s="122">
        <f t="array" ref="G324">IF(
UPPER(TRIM(CLEAN($O324)))="ENTREGADO",
IFERROR(
INDEX(REPORTE_DROPI!R:R,
MATCH($T324, REPORTE_DROPI!B:B, 0)
),
""
),
""
)
</f>
        <v>22</v>
      </c>
      <c r="H324" s="118" t="s">
        <v>3727</v>
      </c>
      <c r="I324" s="118" t="s">
        <v>3759</v>
      </c>
      <c r="J324" s="121">
        <f t="array" ref="J324">IF(
UPPER(TRIM(CLEAN($O324)))="ENTREGADO",
IFERROR(
INDEX(REPORTE_DROPI!T:T,
MATCH($T324, REPORTE_DROPI!B:B, 0)
),
""
),
""
)
</f>
        <v>5.84</v>
      </c>
      <c r="K324" s="118">
        <f t="array" ref="K324">IFERROR(
INDEX(REPORTE_DROPI!S:S,
MATCH($T324, REPORTE_DROPI!B:B, 0)
),
""
)
</f>
        <v>10.96</v>
      </c>
      <c r="L324" s="118" t="str">
        <f>IF(
  O324&lt;&gt;"DEVOLUCION",
  "",
  IF(
    T324="",
    "",
    SUMIF(DEVOLUCION!F:F, T324, DEVOLUCION!D:D)
  )
)
</f>
        <v/>
      </c>
      <c r="M324" s="118"/>
      <c r="N324" s="118" t="s">
        <v>4341</v>
      </c>
      <c r="O324" s="118" t="str">
        <f t="array" ref="O324">IFERROR(
VLOOKUP(
TRIM(CLEAN(
INDEX(REPORTE_DROPI!K:K,
MATCH(T324, REPORTE_DROPI!B:B, 0)
))),
{
TRIM(CLEAN(MAPA_ESTADOS!A:A)) ,
MAPA_ESTADOS!B:B
},
2,
FALSE
),
"REVISAR"
)
</f>
        <v>ENTREGADO</v>
      </c>
      <c r="P324" s="118"/>
      <c r="Q324" s="122">
        <f t="shared" si="1"/>
        <v>0</v>
      </c>
      <c r="R324" s="118"/>
      <c r="S324" s="118"/>
      <c r="T324" s="118">
        <f t="array" ref="T324">IFERROR(
INDEX(REPORTE_DROPI!B:B,
MATCH(
CLEAN(TRIM(C324)),
CLEAN(TRIM(REPORTE_DROPI!E:E)),
0
)
),
""
)
</f>
        <v>4108600</v>
      </c>
      <c r="U324" s="118">
        <v>6.407823720492E12</v>
      </c>
      <c r="V324" s="78"/>
      <c r="W324" s="78"/>
      <c r="X324" s="78"/>
      <c r="Y324" s="78"/>
      <c r="Z324" s="78"/>
    </row>
    <row r="325" ht="22.5" customHeight="1">
      <c r="A325" s="118">
        <v>324.0</v>
      </c>
      <c r="B325" s="119">
        <v>46033.0</v>
      </c>
      <c r="C325" s="118" t="s">
        <v>4342</v>
      </c>
      <c r="D325" s="118" t="str">
        <f>IFERROR(__xludf.DUMMYFUNCTION("IFERROR(
  INDEX(
    FILTER(
      'NOMBRE DE PRODUCTOS'!B:B,
      REGEXMATCH(
        UPPER(
          INDEX(
            REPORTE_DROPI!AC:AC,
            MATCH(T325, REPORTE_DROPI!B:B, 0)
          )
        ),
        UPPER('NOMBRE DE PRODUCTOS'!A:A)"&amp;"
      )
    ),
    1
  ),
  ""REVISAR""
)
"),"FilmPro®")</f>
        <v>FilmPro®</v>
      </c>
      <c r="E325" s="120">
        <f t="array" ref="E325">IF(
UPPER(TRIM(CLEAN($O325)))="ENTREGADO",
IFERROR(
INDEX(REPORTE_DROPI!Y:Y,
MATCH($T325, REPORTE_DROPI!B:B, 0)
),
""
),
""
)
</f>
        <v>2.79</v>
      </c>
      <c r="F325" s="121">
        <v>1.0</v>
      </c>
      <c r="G325" s="122">
        <f t="array" ref="G325">IF(
UPPER(TRIM(CLEAN($O325)))="ENTREGADO",
IFERROR(
INDEX(REPORTE_DROPI!R:R,
MATCH($T325, REPORTE_DROPI!B:B, 0)
),
""
),
""
)
</f>
        <v>20</v>
      </c>
      <c r="H325" s="118" t="s">
        <v>3727</v>
      </c>
      <c r="I325" s="118" t="s">
        <v>3728</v>
      </c>
      <c r="J325" s="121">
        <f t="array" ref="J325">IF(
UPPER(TRIM(CLEAN($O325)))="ENTREGADO",
IFERROR(
INDEX(REPORTE_DROPI!T:T,
MATCH($T325, REPORTE_DROPI!B:B, 0)
),
""
),
""
)
</f>
        <v>7.67</v>
      </c>
      <c r="K325" s="118">
        <f t="array" ref="K325">IFERROR(
INDEX(REPORTE_DROPI!S:S,
MATCH($T325, REPORTE_DROPI!B:B, 0)
),
""
)
</f>
        <v>9.54</v>
      </c>
      <c r="L325" s="118" t="str">
        <f>IF(
  O325&lt;&gt;"DEVOLUCION",
  "",
  IF(
    T325="",
    "",
    SUMIF(DEVOLUCION!F:F, T325, DEVOLUCION!D:D)
  )
)
</f>
        <v/>
      </c>
      <c r="M325" s="118"/>
      <c r="N325" s="118" t="s">
        <v>4343</v>
      </c>
      <c r="O325" s="118" t="str">
        <f t="array" ref="O325">IFERROR(
VLOOKUP(
TRIM(CLEAN(
INDEX(REPORTE_DROPI!K:K,
MATCH(T325, REPORTE_DROPI!B:B, 0)
))),
{
TRIM(CLEAN(MAPA_ESTADOS!A:A)) ,
MAPA_ESTADOS!B:B
},
2,
FALSE
),
"REVISAR"
)
</f>
        <v>ENTREGADO</v>
      </c>
      <c r="P325" s="118"/>
      <c r="Q325" s="122">
        <f t="shared" si="1"/>
        <v>0</v>
      </c>
      <c r="R325" s="118"/>
      <c r="S325" s="118"/>
      <c r="T325" s="118">
        <f t="array" ref="T325">IFERROR(
INDEX(REPORTE_DROPI!B:B,
MATCH(
CLEAN(TRIM(C325)),
CLEAN(TRIM(REPORTE_DROPI!E:E)),
0
)
),
""
)
</f>
        <v>4108668</v>
      </c>
      <c r="U325" s="118">
        <v>6.407829258284E12</v>
      </c>
      <c r="V325" s="78"/>
      <c r="W325" s="78"/>
      <c r="X325" s="78"/>
      <c r="Y325" s="78"/>
      <c r="Z325" s="78"/>
    </row>
    <row r="326" ht="22.5" customHeight="1">
      <c r="A326" s="118">
        <v>325.0</v>
      </c>
      <c r="B326" s="119">
        <v>46033.0</v>
      </c>
      <c r="C326" s="118" t="s">
        <v>4344</v>
      </c>
      <c r="D326" s="118" t="str">
        <f>IFERROR(__xludf.DUMMYFUNCTION("IFERROR(
  INDEX(
    FILTER(
      'NOMBRE DE PRODUCTOS'!B:B,
      REGEXMATCH(
        UPPER(
          INDEX(
            REPORTE_DROPI!AC:AC,
            MATCH(T326, REPORTE_DROPI!B:B, 0)
          )
        ),
        UPPER('NOMBRE DE PRODUCTOS'!A:A)"&amp;"
      )
    ),
    1
  ),
  ""REVISAR""
)
"),"Cuchillo Tazaki™")</f>
        <v>Cuchillo Tazaki™</v>
      </c>
      <c r="E326" s="120">
        <f t="array" ref="E326">IF(
UPPER(TRIM(CLEAN($O326)))="ENTREGADO",
IFERROR(
INDEX(REPORTE_DROPI!Y:Y,
MATCH($T326, REPORTE_DROPI!B:B, 0)
),
""
),
""
)
</f>
        <v>5.2</v>
      </c>
      <c r="F326" s="121">
        <v>2.0</v>
      </c>
      <c r="G326" s="122">
        <f t="array" ref="G326">IF(
UPPER(TRIM(CLEAN($O326)))="ENTREGADO",
IFERROR(
INDEX(REPORTE_DROPI!R:R,
MATCH($T326, REPORTE_DROPI!B:B, 0)
),
""
),
""
)
</f>
        <v>22</v>
      </c>
      <c r="H326" s="118" t="s">
        <v>3727</v>
      </c>
      <c r="I326" s="118" t="s">
        <v>3772</v>
      </c>
      <c r="J326" s="121">
        <f t="array" ref="J326">IF(
UPPER(TRIM(CLEAN($O326)))="ENTREGADO",
IFERROR(
INDEX(REPORTE_DROPI!T:T,
MATCH($T326, REPORTE_DROPI!B:B, 0)
),
""
),
""
)
</f>
        <v>5.84</v>
      </c>
      <c r="K326" s="118">
        <f t="array" ref="K326">IFERROR(
INDEX(REPORTE_DROPI!S:S,
MATCH($T326, REPORTE_DROPI!B:B, 0)
),
""
)
</f>
        <v>10.96</v>
      </c>
      <c r="L326" s="118" t="str">
        <f>IF(
  O326&lt;&gt;"DEVOLUCION",
  "",
  IF(
    T326="",
    "",
    SUMIF(DEVOLUCION!F:F, T326, DEVOLUCION!D:D)
  )
)
</f>
        <v/>
      </c>
      <c r="M326" s="118"/>
      <c r="N326" s="118" t="s">
        <v>4345</v>
      </c>
      <c r="O326" s="118" t="str">
        <f t="array" ref="O326">IFERROR(
VLOOKUP(
TRIM(CLEAN(
INDEX(REPORTE_DROPI!K:K,
MATCH(T326, REPORTE_DROPI!B:B, 0)
))),
{
TRIM(CLEAN(MAPA_ESTADOS!A:A)) ,
MAPA_ESTADOS!B:B
},
2,
FALSE
),
"REVISAR"
)
</f>
        <v>ENTREGADO</v>
      </c>
      <c r="P326" s="118"/>
      <c r="Q326" s="122">
        <f t="shared" si="1"/>
        <v>0</v>
      </c>
      <c r="R326" s="118"/>
      <c r="S326" s="118"/>
      <c r="T326" s="118">
        <f t="array" ref="T326">IFERROR(
INDEX(REPORTE_DROPI!B:B,
MATCH(
CLEAN(TRIM(C326)),
CLEAN(TRIM(REPORTE_DROPI!E:E)),
0
)
),
""
)
</f>
        <v>4108960</v>
      </c>
      <c r="U326" s="118">
        <v>6.407866482732E12</v>
      </c>
      <c r="V326" s="78"/>
      <c r="W326" s="78"/>
      <c r="X326" s="78"/>
      <c r="Y326" s="78"/>
      <c r="Z326" s="78"/>
    </row>
    <row r="327" ht="22.5" customHeight="1">
      <c r="A327" s="118">
        <v>326.0</v>
      </c>
      <c r="B327" s="119">
        <v>46033.0</v>
      </c>
      <c r="C327" s="126" t="s">
        <v>4346</v>
      </c>
      <c r="D327" s="118" t="str">
        <f>IFERROR(__xludf.DUMMYFUNCTION("IFERROR(
  INDEX(
    FILTER(
      'NOMBRE DE PRODUCTOS'!B:B,
      REGEXMATCH(
        UPPER(
          INDEX(
            REPORTE_DROPI!AC:AC,
            MATCH(T327, REPORTE_DROPI!B:B, 0)
          )
        ),
        UPPER('NOMBRE DE PRODUCTOS'!A:A)"&amp;"
      )
    ),
    1
  ),
  ""REVISAR""
)
"),"FilmPro®")</f>
        <v>FilmPro®</v>
      </c>
      <c r="E327" s="120" t="str">
        <f t="array" ref="E327">IF(
UPPER(TRIM(CLEAN($O327)))="ENTREGADO",
IFERROR(
INDEX(REPORTE_DROPI!Y:Y,
MATCH($T327, REPORTE_DROPI!B:B, 0)
),
""
),
""
)
</f>
        <v/>
      </c>
      <c r="F327" s="121">
        <v>2.0</v>
      </c>
      <c r="G327" s="122" t="str">
        <f t="array" ref="G327">IF(
UPPER(TRIM(CLEAN($O327)))="ENTREGADO",
IFERROR(
INDEX(REPORTE_DROPI!R:R,
MATCH($T327, REPORTE_DROPI!B:B, 0)
),
""
),
""
)
</f>
        <v/>
      </c>
      <c r="H327" s="118" t="s">
        <v>3727</v>
      </c>
      <c r="I327" s="118" t="s">
        <v>3731</v>
      </c>
      <c r="J327" s="121" t="str">
        <f t="array" ref="J327">IF(
UPPER(TRIM(CLEAN($O327)))="ENTREGADO",
IFERROR(
INDEX(REPORTE_DROPI!T:T,
MATCH($T327, REPORTE_DROPI!B:B, 0)
),
""
),
""
)
</f>
        <v/>
      </c>
      <c r="K327" s="118" t="str">
        <f t="array" ref="K327">IFERROR(
INDEX(REPORTE_DROPI!S:S,
MATCH($T327, REPORTE_DROPI!B:B, 0)
),
""
)
</f>
        <v/>
      </c>
      <c r="L327" s="118" t="str">
        <f>IF(
  O327&lt;&gt;"DEVOLUCION",
  "",
  IF(
    T327="",
    "",
    SUMIF(DEVOLUCION!F:F, T327, DEVOLUCION!D:D)
  )
)
</f>
        <v/>
      </c>
      <c r="M327" s="118"/>
      <c r="N327" s="118" t="s">
        <v>4347</v>
      </c>
      <c r="O327" s="118" t="str">
        <f t="array" ref="O327">IFERROR(
VLOOKUP(
TRIM(CLEAN(
INDEX(REPORTE_DROPI!K:K,
MATCH(T327, REPORTE_DROPI!B:B, 0)
))),
{
TRIM(CLEAN(MAPA_ESTADOS!A:A)) ,
MAPA_ESTADOS!B:B
},
2,
FALSE
),
"REVISAR"
)
</f>
        <v>PENDIENTE</v>
      </c>
      <c r="P327" s="118" t="s">
        <v>3689</v>
      </c>
      <c r="Q327" s="122">
        <f t="shared" si="1"/>
        <v>0</v>
      </c>
      <c r="R327" s="118"/>
      <c r="S327" s="118"/>
      <c r="T327" s="118">
        <f t="array" ref="T327">IFERROR(
INDEX(REPORTE_DROPI!B:B,
MATCH(
CLEAN(TRIM(C327)),
CLEAN(TRIM(REPORTE_DROPI!E:E)),
0
)
),
""
)
</f>
        <v>4109194</v>
      </c>
      <c r="U327" s="118">
        <v>6.407899381804E12</v>
      </c>
      <c r="V327" s="78"/>
      <c r="W327" s="78"/>
      <c r="X327" s="78"/>
      <c r="Y327" s="78"/>
      <c r="Z327" s="78"/>
    </row>
    <row r="328" ht="22.5" customHeight="1">
      <c r="A328" s="118">
        <v>327.0</v>
      </c>
      <c r="B328" s="119">
        <v>46033.0</v>
      </c>
      <c r="C328" s="126" t="s">
        <v>4348</v>
      </c>
      <c r="D328" s="118" t="str">
        <f>IFERROR(__xludf.DUMMYFUNCTION("IFERROR(
  INDEX(
    FILTER(
      'NOMBRE DE PRODUCTOS'!B:B,
      REGEXMATCH(
        UPPER(
          INDEX(
            REPORTE_DROPI!AC:AC,
            MATCH(T328, REPORTE_DROPI!B:B, 0)
          )
        ),
        UPPER('NOMBRE DE PRODUCTOS'!A:A)"&amp;"
      )
    ),
    1
  ),
  ""REVISAR""
)
"),"FilmPro®")</f>
        <v>FilmPro®</v>
      </c>
      <c r="E328" s="120" t="str">
        <f t="array" ref="E328">IF(
UPPER(TRIM(CLEAN($O328)))="ENTREGADO",
IFERROR(
INDEX(REPORTE_DROPI!Y:Y,
MATCH($T328, REPORTE_DROPI!B:B, 0)
),
""
),
""
)
</f>
        <v/>
      </c>
      <c r="F328" s="121">
        <v>3.0</v>
      </c>
      <c r="G328" s="122" t="str">
        <f t="array" ref="G328">IF(
UPPER(TRIM(CLEAN($O328)))="ENTREGADO",
IFERROR(
INDEX(REPORTE_DROPI!R:R,
MATCH($T328, REPORTE_DROPI!B:B, 0)
),
""
),
""
)
</f>
        <v/>
      </c>
      <c r="H328" s="118" t="s">
        <v>3727</v>
      </c>
      <c r="I328" s="118" t="s">
        <v>3951</v>
      </c>
      <c r="J328" s="121" t="str">
        <f t="array" ref="J328">IF(
UPPER(TRIM(CLEAN($O328)))="ENTREGADO",
IFERROR(
INDEX(REPORTE_DROPI!T:T,
MATCH($T328, REPORTE_DROPI!B:B, 0)
),
""
),
""
)
</f>
        <v/>
      </c>
      <c r="K328" s="118" t="str">
        <f t="array" ref="K328">IFERROR(
INDEX(REPORTE_DROPI!S:S,
MATCH($T328, REPORTE_DROPI!B:B, 0)
),
""
)
</f>
        <v/>
      </c>
      <c r="L328" s="118" t="str">
        <f>IF(
  O328&lt;&gt;"DEVOLUCION",
  "",
  IF(
    T328="",
    "",
    SUMIF(DEVOLUCION!F:F, T328, DEVOLUCION!D:D)
  )
)
</f>
        <v/>
      </c>
      <c r="M328" s="118"/>
      <c r="N328" s="118" t="s">
        <v>4349</v>
      </c>
      <c r="O328" s="118" t="str">
        <f t="array" ref="O328">IFERROR(
VLOOKUP(
TRIM(CLEAN(
INDEX(REPORTE_DROPI!K:K,
MATCH(T328, REPORTE_DROPI!B:B, 0)
))),
{
TRIM(CLEAN(MAPA_ESTADOS!A:A)) ,
MAPA_ESTADOS!B:B
},
2,
FALSE
),
"REVISAR"
)
</f>
        <v>PENDIENTE</v>
      </c>
      <c r="P328" s="118" t="s">
        <v>4350</v>
      </c>
      <c r="Q328" s="122">
        <f t="shared" si="1"/>
        <v>0</v>
      </c>
      <c r="R328" s="118"/>
      <c r="S328" s="118"/>
      <c r="T328" s="118">
        <f t="array" ref="T328">IFERROR(
INDEX(REPORTE_DROPI!B:B,
MATCH(
CLEAN(TRIM(C328)),
CLEAN(TRIM(REPORTE_DROPI!E:E)),
0
)
),
""
)
</f>
        <v>4122529</v>
      </c>
      <c r="U328" s="118">
        <v>6.407914979372E12</v>
      </c>
      <c r="V328" s="78"/>
      <c r="W328" s="78"/>
      <c r="X328" s="78"/>
      <c r="Y328" s="78"/>
      <c r="Z328" s="78"/>
    </row>
    <row r="329" ht="22.5" customHeight="1">
      <c r="A329" s="118">
        <v>328.0</v>
      </c>
      <c r="B329" s="119">
        <v>46033.0</v>
      </c>
      <c r="C329" s="118" t="s">
        <v>4351</v>
      </c>
      <c r="D329" s="118" t="str">
        <f>IFERROR(__xludf.DUMMYFUNCTION("IFERROR(
  INDEX(
    FILTER(
      'NOMBRE DE PRODUCTOS'!B:B,
      REGEXMATCH(
        UPPER(
          INDEX(
            REPORTE_DROPI!AC:AC,
            MATCH(T329, REPORTE_DROPI!B:B, 0)
          )
        ),
        UPPER('NOMBRE DE PRODUCTOS'!A:A)"&amp;"
      )
    ),
    1
  ),
  ""REVISAR""
)
"),"Cuchillo Tazaki™")</f>
        <v>Cuchillo Tazaki™</v>
      </c>
      <c r="E329" s="120">
        <f t="array" ref="E329">IF(
UPPER(TRIM(CLEAN($O329)))="ENTREGADO",
IFERROR(
INDEX(REPORTE_DROPI!Y:Y,
MATCH($T329, REPORTE_DROPI!B:B, 0)
),
""
),
""
)
</f>
        <v>10.4</v>
      </c>
      <c r="F329" s="121">
        <v>4.0</v>
      </c>
      <c r="G329" s="122">
        <f t="array" ref="G329">IF(
UPPER(TRIM(CLEAN($O329)))="ENTREGADO",
IFERROR(
INDEX(REPORTE_DROPI!R:R,
MATCH($T329, REPORTE_DROPI!B:B, 0)
),
""
),
""
)
</f>
        <v>32</v>
      </c>
      <c r="H329" s="118" t="s">
        <v>3727</v>
      </c>
      <c r="I329" s="118" t="s">
        <v>3772</v>
      </c>
      <c r="J329" s="121">
        <f t="array" ref="J329">IF(
UPPER(TRIM(CLEAN($O329)))="ENTREGADO",
IFERROR(
INDEX(REPORTE_DROPI!T:T,
MATCH($T329, REPORTE_DROPI!B:B, 0)
),
""
),
""
)
</f>
        <v>6.24</v>
      </c>
      <c r="K329" s="118">
        <f t="array" ref="K329">IFERROR(
INDEX(REPORTE_DROPI!S:S,
MATCH($T329, REPORTE_DROPI!B:B, 0)
),
""
)
</f>
        <v>15.36</v>
      </c>
      <c r="L329" s="118" t="str">
        <f>IF(
  O329&lt;&gt;"DEVOLUCION",
  "",
  IF(
    T329="",
    "",
    SUMIF(DEVOLUCION!F:F, T329, DEVOLUCION!D:D)
  )
)
</f>
        <v/>
      </c>
      <c r="M329" s="118"/>
      <c r="N329" s="118" t="s">
        <v>4352</v>
      </c>
      <c r="O329" s="118" t="str">
        <f t="array" ref="O329">IFERROR(
VLOOKUP(
TRIM(CLEAN(
INDEX(REPORTE_DROPI!K:K,
MATCH(T329, REPORTE_DROPI!B:B, 0)
))),
{
TRIM(CLEAN(MAPA_ESTADOS!A:A)) ,
MAPA_ESTADOS!B:B
},
2,
FALSE
),
"REVISAR"
)
</f>
        <v>ENTREGADO</v>
      </c>
      <c r="P329" s="118"/>
      <c r="Q329" s="122">
        <f t="shared" si="1"/>
        <v>0</v>
      </c>
      <c r="R329" s="118"/>
      <c r="S329" s="118"/>
      <c r="T329" s="118">
        <f t="array" ref="T329">IFERROR(
INDEX(REPORTE_DROPI!B:B,
MATCH(
CLEAN(TRIM(C329)),
CLEAN(TRIM(REPORTE_DROPI!E:E)),
0
)
),
""
)
</f>
        <v>4109419</v>
      </c>
      <c r="U329" s="118">
        <v>6.407921270828E12</v>
      </c>
      <c r="V329" s="78"/>
      <c r="W329" s="78"/>
      <c r="X329" s="78"/>
      <c r="Y329" s="78"/>
      <c r="Z329" s="78"/>
    </row>
    <row r="330" ht="22.5" customHeight="1">
      <c r="A330" s="118">
        <v>329.0</v>
      </c>
      <c r="B330" s="119">
        <v>46033.0</v>
      </c>
      <c r="C330" s="126" t="s">
        <v>4353</v>
      </c>
      <c r="D330" s="118" t="str">
        <f>IFERROR(__xludf.DUMMYFUNCTION("IFERROR(
  INDEX(
    FILTER(
      'NOMBRE DE PRODUCTOS'!B:B,
      REGEXMATCH(
        UPPER(
          INDEX(
            REPORTE_DROPI!AC:AC,
            MATCH(T330, REPORTE_DROPI!B:B, 0)
          )
        ),
        UPPER('NOMBRE DE PRODUCTOS'!A:A)"&amp;"
      )
    ),
    1
  ),
  ""REVISAR""
)
"),"FilmPro®")</f>
        <v>FilmPro®</v>
      </c>
      <c r="E330" s="120" t="str">
        <f t="array" ref="E330">IF(
UPPER(TRIM(CLEAN($O330)))="ENTREGADO",
IFERROR(
INDEX(REPORTE_DROPI!Y:Y,
MATCH($T330, REPORTE_DROPI!B:B, 0)
),
""
),
""
)
</f>
        <v/>
      </c>
      <c r="F330" s="121">
        <v>1.0</v>
      </c>
      <c r="G330" s="122" t="str">
        <f t="array" ref="G330">IF(
UPPER(TRIM(CLEAN($O330)))="ENTREGADO",
IFERROR(
INDEX(REPORTE_DROPI!R:R,
MATCH($T330, REPORTE_DROPI!B:B, 0)
),
""
),
""
)
</f>
        <v/>
      </c>
      <c r="H330" s="118" t="s">
        <v>3727</v>
      </c>
      <c r="I330" s="118" t="s">
        <v>3731</v>
      </c>
      <c r="J330" s="121" t="str">
        <f t="array" ref="J330">IF(
UPPER(TRIM(CLEAN($O330)))="ENTREGADO",
IFERROR(
INDEX(REPORTE_DROPI!T:T,
MATCH($T330, REPORTE_DROPI!B:B, 0)
),
""
),
""
)
</f>
        <v/>
      </c>
      <c r="K330" s="118" t="str">
        <f t="array" ref="K330">IFERROR(
INDEX(REPORTE_DROPI!S:S,
MATCH($T330, REPORTE_DROPI!B:B, 0)
),
""
)
</f>
        <v/>
      </c>
      <c r="L330" s="118" t="str">
        <f>IF(
  O330&lt;&gt;"DEVOLUCION",
  "",
  IF(
    T330="",
    "",
    SUMIF(DEVOLUCION!F:F, T330, DEVOLUCION!D:D)
  )
)
</f>
        <v/>
      </c>
      <c r="M330" s="118"/>
      <c r="N330" s="118" t="s">
        <v>4354</v>
      </c>
      <c r="O330" s="118" t="str">
        <f t="array" ref="O330">IFERROR(
VLOOKUP(
TRIM(CLEAN(
INDEX(REPORTE_DROPI!K:K,
MATCH(T330, REPORTE_DROPI!B:B, 0)
))),
{
TRIM(CLEAN(MAPA_ESTADOS!A:A)) ,
MAPA_ESTADOS!B:B
},
2,
FALSE
),
"REVISAR"
)
</f>
        <v>PENDIENTE</v>
      </c>
      <c r="P330" s="118" t="s">
        <v>3689</v>
      </c>
      <c r="Q330" s="122">
        <f t="shared" si="1"/>
        <v>0</v>
      </c>
      <c r="R330" s="118"/>
      <c r="S330" s="118"/>
      <c r="T330" s="118">
        <f t="array" ref="T330">IFERROR(
INDEX(REPORTE_DROPI!B:B,
MATCH(
CLEAN(TRIM(C330)),
CLEAN(TRIM(REPORTE_DROPI!E:E)),
0
)
),
""
)
</f>
        <v>4109587</v>
      </c>
      <c r="U330" s="118">
        <v>6.407939784748E12</v>
      </c>
      <c r="V330" s="78"/>
      <c r="W330" s="78"/>
      <c r="X330" s="78"/>
      <c r="Y330" s="78"/>
      <c r="Z330" s="78"/>
    </row>
    <row r="331" ht="22.5" customHeight="1">
      <c r="A331" s="118">
        <v>330.0</v>
      </c>
      <c r="B331" s="119">
        <v>46033.0</v>
      </c>
      <c r="C331" s="118" t="s">
        <v>4355</v>
      </c>
      <c r="D331" s="118" t="str">
        <f>IFERROR(__xludf.DUMMYFUNCTION("IFERROR(
  INDEX(
    FILTER(
      'NOMBRE DE PRODUCTOS'!B:B,
      REGEXMATCH(
        UPPER(
          INDEX(
            REPORTE_DROPI!AC:AC,
            MATCH(T331, REPORTE_DROPI!B:B, 0)
          )
        ),
        UPPER('NOMBRE DE PRODUCTOS'!A:A)"&amp;"
      )
    ),
    1
  ),
  ""REVISAR""
)
"),"FilmPro®")</f>
        <v>FilmPro®</v>
      </c>
      <c r="E331" s="120">
        <f t="array" ref="E331">IF(
UPPER(TRIM(CLEAN($O331)))="ENTREGADO",
IFERROR(
INDEX(REPORTE_DROPI!Y:Y,
MATCH($T331, REPORTE_DROPI!B:B, 0)
),
""
),
""
)
</f>
        <v>5.58</v>
      </c>
      <c r="F331" s="121">
        <v>2.0</v>
      </c>
      <c r="G331" s="122">
        <f t="array" ref="G331">IF(
UPPER(TRIM(CLEAN($O331)))="ENTREGADO",
IFERROR(
INDEX(REPORTE_DROPI!R:R,
MATCH($T331, REPORTE_DROPI!B:B, 0)
),
""
),
""
)
</f>
        <v>25</v>
      </c>
      <c r="H331" s="118" t="s">
        <v>3727</v>
      </c>
      <c r="I331" s="118" t="s">
        <v>3731</v>
      </c>
      <c r="J331" s="121">
        <f t="array" ref="J331">IF(
UPPER(TRIM(CLEAN($O331)))="ENTREGADO",
IFERROR(
INDEX(REPORTE_DROPI!T:T,
MATCH($T331, REPORTE_DROPI!B:B, 0)
),
""
),
""
)
</f>
        <v>5.96</v>
      </c>
      <c r="K331" s="118">
        <f t="array" ref="K331">IFERROR(
INDEX(REPORTE_DROPI!S:S,
MATCH($T331, REPORTE_DROPI!B:B, 0)
),
""
)
</f>
        <v>13.46</v>
      </c>
      <c r="L331" s="118" t="str">
        <f>IF(
  O331&lt;&gt;"DEVOLUCION",
  "",
  IF(
    T331="",
    "",
    SUMIF(DEVOLUCION!F:F, T331, DEVOLUCION!D:D)
  )
)
</f>
        <v/>
      </c>
      <c r="M331" s="118"/>
      <c r="N331" s="118" t="s">
        <v>4356</v>
      </c>
      <c r="O331" s="118" t="str">
        <f t="array" ref="O331">IFERROR(
VLOOKUP(
TRIM(CLEAN(
INDEX(REPORTE_DROPI!K:K,
MATCH(T331, REPORTE_DROPI!B:B, 0)
))),
{
TRIM(CLEAN(MAPA_ESTADOS!A:A)) ,
MAPA_ESTADOS!B:B
},
2,
FALSE
),
"REVISAR"
)
</f>
        <v>ENTREGADO</v>
      </c>
      <c r="P331" s="118"/>
      <c r="Q331" s="122">
        <f t="shared" si="1"/>
        <v>0</v>
      </c>
      <c r="R331" s="118"/>
      <c r="S331" s="118"/>
      <c r="T331" s="118">
        <f t="array" ref="T331">IFERROR(
INDEX(REPORTE_DROPI!B:B,
MATCH(
CLEAN(TRIM(C331)),
CLEAN(TRIM(REPORTE_DROPI!E:E)),
0
)
),
""
)
</f>
        <v>4109588</v>
      </c>
      <c r="U331" s="118">
        <v>6.407940210732E12</v>
      </c>
      <c r="V331" s="78"/>
      <c r="W331" s="78"/>
      <c r="X331" s="78"/>
      <c r="Y331" s="78"/>
      <c r="Z331" s="78"/>
    </row>
    <row r="332" ht="22.5" customHeight="1">
      <c r="A332" s="118">
        <v>331.0</v>
      </c>
      <c r="B332" s="119">
        <v>46033.0</v>
      </c>
      <c r="C332" s="118" t="s">
        <v>4357</v>
      </c>
      <c r="D332" s="118" t="str">
        <f>IFERROR(__xludf.DUMMYFUNCTION("IFERROR(
  INDEX(
    FILTER(
      'NOMBRE DE PRODUCTOS'!B:B,
      REGEXMATCH(
        UPPER(
          INDEX(
            REPORTE_DROPI!AC:AC,
            MATCH(T332, REPORTE_DROPI!B:B, 0)
          )
        ),
        UPPER('NOMBRE DE PRODUCTOS'!A:A)"&amp;"
      )
    ),
    1
  ),
  ""REVISAR""
)
"),"FilmPro®")</f>
        <v>FilmPro®</v>
      </c>
      <c r="E332" s="120">
        <f t="array" ref="E332">IF(
UPPER(TRIM(CLEAN($O332)))="ENTREGADO",
IFERROR(
INDEX(REPORTE_DROPI!Y:Y,
MATCH($T332, REPORTE_DROPI!B:B, 0)
),
""
),
""
)
</f>
        <v>5.58</v>
      </c>
      <c r="F332" s="121">
        <v>2.0</v>
      </c>
      <c r="G332" s="122">
        <f t="array" ref="G332">IF(
UPPER(TRIM(CLEAN($O332)))="ENTREGADO",
IFERROR(
INDEX(REPORTE_DROPI!R:R,
MATCH($T332, REPORTE_DROPI!B:B, 0)
),
""
),
""
)
</f>
        <v>25</v>
      </c>
      <c r="H332" s="118" t="s">
        <v>3727</v>
      </c>
      <c r="I332" s="118" t="s">
        <v>3738</v>
      </c>
      <c r="J332" s="121">
        <f t="array" ref="J332">IF(
UPPER(TRIM(CLEAN($O332)))="ENTREGADO",
IFERROR(
INDEX(REPORTE_DROPI!T:T,
MATCH($T332, REPORTE_DROPI!B:B, 0)
),
""
),
""
)
</f>
        <v>7.75</v>
      </c>
      <c r="K332" s="118">
        <f t="array" ref="K332">IFERROR(
INDEX(REPORTE_DROPI!S:S,
MATCH($T332, REPORTE_DROPI!B:B, 0)
),
""
)
</f>
        <v>11.67</v>
      </c>
      <c r="L332" s="118" t="str">
        <f>IF(
  O332&lt;&gt;"DEVOLUCION",
  "",
  IF(
    T332="",
    "",
    SUMIF(DEVOLUCION!F:F, T332, DEVOLUCION!D:D)
  )
)
</f>
        <v/>
      </c>
      <c r="M332" s="118"/>
      <c r="N332" s="118" t="s">
        <v>4358</v>
      </c>
      <c r="O332" s="118" t="str">
        <f t="array" ref="O332">IFERROR(
VLOOKUP(
TRIM(CLEAN(
INDEX(REPORTE_DROPI!K:K,
MATCH(T332, REPORTE_DROPI!B:B, 0)
))),
{
TRIM(CLEAN(MAPA_ESTADOS!A:A)) ,
MAPA_ESTADOS!B:B
},
2,
FALSE
),
"REVISAR"
)
</f>
        <v>ENTREGADO</v>
      </c>
      <c r="P332" s="118"/>
      <c r="Q332" s="122">
        <f t="shared" si="1"/>
        <v>0</v>
      </c>
      <c r="R332" s="118"/>
      <c r="S332" s="118"/>
      <c r="T332" s="118">
        <f t="array" ref="T332">IFERROR(
INDEX(REPORTE_DROPI!B:B,
MATCH(
CLEAN(TRIM(C332)),
CLEAN(TRIM(REPORTE_DROPI!E:E)),
0
)
),
""
)
</f>
        <v>4109603</v>
      </c>
      <c r="U332" s="118">
        <v>6.407942176812E12</v>
      </c>
      <c r="V332" s="78"/>
      <c r="W332" s="78"/>
      <c r="X332" s="78"/>
      <c r="Y332" s="78"/>
      <c r="Z332" s="78"/>
    </row>
    <row r="333" ht="22.5" customHeight="1">
      <c r="A333" s="118">
        <v>332.0</v>
      </c>
      <c r="B333" s="119">
        <v>46033.0</v>
      </c>
      <c r="C333" s="118" t="s">
        <v>4359</v>
      </c>
      <c r="D333" s="118" t="str">
        <f>IFERROR(__xludf.DUMMYFUNCTION("IFERROR(
  INDEX(
    FILTER(
      'NOMBRE DE PRODUCTOS'!B:B,
      REGEXMATCH(
        UPPER(
          INDEX(
            REPORTE_DROPI!AC:AC,
            MATCH(T333, REPORTE_DROPI!B:B, 0)
          )
        ),
        UPPER('NOMBRE DE PRODUCTOS'!A:A)"&amp;"
      )
    ),
    1
  ),
  ""REVISAR""
)
"),"Cuchillo Tazaki™")</f>
        <v>Cuchillo Tazaki™</v>
      </c>
      <c r="E333" s="120">
        <f t="array" ref="E333">IF(
UPPER(TRIM(CLEAN($O333)))="ENTREGADO",
IFERROR(
INDEX(REPORTE_DROPI!Y:Y,
MATCH($T333, REPORTE_DROPI!B:B, 0)
),
""
),
""
)
</f>
        <v>7.8</v>
      </c>
      <c r="F333" s="121">
        <v>3.0</v>
      </c>
      <c r="G333" s="122">
        <f t="array" ref="G333">IF(
UPPER(TRIM(CLEAN($O333)))="ENTREGADO",
IFERROR(
INDEX(REPORTE_DROPI!R:R,
MATCH($T333, REPORTE_DROPI!B:B, 0)
),
""
),
""
)
</f>
        <v>27</v>
      </c>
      <c r="H333" s="118" t="s">
        <v>3727</v>
      </c>
      <c r="I333" s="118" t="s">
        <v>3801</v>
      </c>
      <c r="J333" s="121">
        <f t="array" ref="J333">IF(
UPPER(TRIM(CLEAN($O333)))="ENTREGADO",
IFERROR(
INDEX(REPORTE_DROPI!T:T,
MATCH($T333, REPORTE_DROPI!B:B, 0)
),
""
),
""
)
</f>
        <v>6.03</v>
      </c>
      <c r="K333" s="118">
        <f t="array" ref="K333">IFERROR(
INDEX(REPORTE_DROPI!S:S,
MATCH($T333, REPORTE_DROPI!B:B, 0)
),
""
)
</f>
        <v>13.17</v>
      </c>
      <c r="L333" s="118" t="str">
        <f>IF(
  O333&lt;&gt;"DEVOLUCION",
  "",
  IF(
    T333="",
    "",
    SUMIF(DEVOLUCION!F:F, T333, DEVOLUCION!D:D)
  )
)
</f>
        <v/>
      </c>
      <c r="M333" s="118"/>
      <c r="N333" s="118" t="s">
        <v>4360</v>
      </c>
      <c r="O333" s="118" t="str">
        <f t="array" ref="O333">IFERROR(
VLOOKUP(
TRIM(CLEAN(
INDEX(REPORTE_DROPI!K:K,
MATCH(T333, REPORTE_DROPI!B:B, 0)
))),
{
TRIM(CLEAN(MAPA_ESTADOS!A:A)) ,
MAPA_ESTADOS!B:B
},
2,
FALSE
),
"REVISAR"
)
</f>
        <v>ENTREGADO</v>
      </c>
      <c r="P333" s="118"/>
      <c r="Q333" s="122">
        <f t="shared" si="1"/>
        <v>0</v>
      </c>
      <c r="R333" s="118"/>
      <c r="S333" s="118"/>
      <c r="T333" s="118">
        <f t="array" ref="T333">IFERROR(
INDEX(REPORTE_DROPI!B:B,
MATCH(
CLEAN(TRIM(C333)),
CLEAN(TRIM(REPORTE_DROPI!E:E)),
0
)
),
""
)
</f>
        <v>4109667</v>
      </c>
      <c r="U333" s="118">
        <v>6.407951581228E12</v>
      </c>
      <c r="V333" s="78"/>
      <c r="W333" s="78"/>
      <c r="X333" s="78"/>
      <c r="Y333" s="78"/>
      <c r="Z333" s="78"/>
    </row>
    <row r="334" ht="22.5" customHeight="1">
      <c r="A334" s="118">
        <v>333.0</v>
      </c>
      <c r="B334" s="119">
        <v>46033.0</v>
      </c>
      <c r="C334" s="118" t="s">
        <v>4361</v>
      </c>
      <c r="D334" s="118" t="str">
        <f>IFERROR(__xludf.DUMMYFUNCTION("IFERROR(
  INDEX(
    FILTER(
      'NOMBRE DE PRODUCTOS'!B:B,
      REGEXMATCH(
        UPPER(
          INDEX(
            REPORTE_DROPI!AC:AC,
            MATCH(T334, REPORTE_DROPI!B:B, 0)
          )
        ),
        UPPER('NOMBRE DE PRODUCTOS'!A:A)"&amp;"
      )
    ),
    1
  ),
  ""REVISAR""
)
"),"Cuchillo Tazaki™")</f>
        <v>Cuchillo Tazaki™</v>
      </c>
      <c r="E334" s="120" t="str">
        <f t="array" ref="E334">IF(
UPPER(TRIM(CLEAN($O334)))="ENTREGADO",
IFERROR(
INDEX(REPORTE_DROPI!Y:Y,
MATCH($T334, REPORTE_DROPI!B:B, 0)
),
""
),
""
)
</f>
        <v/>
      </c>
      <c r="F334" s="121">
        <v>2.0</v>
      </c>
      <c r="G334" s="122" t="str">
        <f t="array" ref="G334">IF(
UPPER(TRIM(CLEAN($O334)))="ENTREGADO",
IFERROR(
INDEX(REPORTE_DROPI!R:R,
MATCH($T334, REPORTE_DROPI!B:B, 0)
),
""
),
""
)
</f>
        <v/>
      </c>
      <c r="H334" s="118" t="s">
        <v>3727</v>
      </c>
      <c r="I334" s="118" t="s">
        <v>3770</v>
      </c>
      <c r="J334" s="121" t="str">
        <f t="array" ref="J334">IF(
UPPER(TRIM(CLEAN($O334)))="ENTREGADO",
IFERROR(
INDEX(REPORTE_DROPI!T:T,
MATCH($T334, REPORTE_DROPI!B:B, 0)
),
""
),
""
)
</f>
        <v/>
      </c>
      <c r="K334" s="118" t="str">
        <f t="array" ref="K334">IFERROR(
INDEX(REPORTE_DROPI!S:S,
MATCH($T334, REPORTE_DROPI!B:B, 0)
),
""
)
</f>
        <v/>
      </c>
      <c r="L334" s="118">
        <f>IF(
  O334&lt;&gt;"DEVOLUCION",
  "",
  IF(
    T334="",
    "",
    SUMIF(DEVOLUCION!F:F, T334, DEVOLUCION!D:D)
  )
)
</f>
        <v>5.07</v>
      </c>
      <c r="M334" s="118" t="s">
        <v>3870</v>
      </c>
      <c r="N334" s="118" t="s">
        <v>4362</v>
      </c>
      <c r="O334" s="118" t="str">
        <f t="array" ref="O334">IFERROR(
VLOOKUP(
TRIM(CLEAN(
INDEX(REPORTE_DROPI!K:K,
MATCH(T334, REPORTE_DROPI!B:B, 0)
))),
{
TRIM(CLEAN(MAPA_ESTADOS!A:A)) ,
MAPA_ESTADOS!B:B
},
2,
FALSE
),
"REVISAR"
)
</f>
        <v>DEVOLUCION</v>
      </c>
      <c r="P334" s="118" t="s">
        <v>4363</v>
      </c>
      <c r="Q334" s="122">
        <f t="shared" si="1"/>
        <v>0</v>
      </c>
      <c r="R334" s="118"/>
      <c r="S334" s="118"/>
      <c r="T334" s="118">
        <f t="array" ref="T334">IFERROR(
INDEX(REPORTE_DROPI!B:B,
MATCH(
CLEAN(TRIM(C334)),
CLEAN(TRIM(REPORTE_DROPI!E:E)),
0
)
),
""
)
</f>
        <v>4109699</v>
      </c>
      <c r="U334" s="118">
        <v>6.407956856876E12</v>
      </c>
      <c r="V334" s="78"/>
      <c r="W334" s="78"/>
      <c r="X334" s="78"/>
      <c r="Y334" s="78"/>
      <c r="Z334" s="78"/>
    </row>
    <row r="335" ht="22.5" customHeight="1">
      <c r="A335" s="118">
        <v>334.0</v>
      </c>
      <c r="B335" s="119">
        <v>46033.0</v>
      </c>
      <c r="C335" s="118" t="s">
        <v>4364</v>
      </c>
      <c r="D335" s="118" t="str">
        <f>IFERROR(__xludf.DUMMYFUNCTION("IFERROR(
  INDEX(
    FILTER(
      'NOMBRE DE PRODUCTOS'!B:B,
      REGEXMATCH(
        UPPER(
          INDEX(
            REPORTE_DROPI!AC:AC,
            MATCH(T335, REPORTE_DROPI!B:B, 0)
          )
        ),
        UPPER('NOMBRE DE PRODUCTOS'!A:A)"&amp;"
      )
    ),
    1
  ),
  ""REVISAR""
)
"),"Cuchillo Tazaki™")</f>
        <v>Cuchillo Tazaki™</v>
      </c>
      <c r="E335" s="120">
        <f t="array" ref="E335">IF(
UPPER(TRIM(CLEAN($O335)))="ENTREGADO",
IFERROR(
INDEX(REPORTE_DROPI!Y:Y,
MATCH($T335, REPORTE_DROPI!B:B, 0)
),
""
),
""
)
</f>
        <v>5.2</v>
      </c>
      <c r="F335" s="121">
        <v>2.0</v>
      </c>
      <c r="G335" s="122">
        <f t="array" ref="G335">IF(
UPPER(TRIM(CLEAN($O335)))="ENTREGADO",
IFERROR(
INDEX(REPORTE_DROPI!R:R,
MATCH($T335, REPORTE_DROPI!B:B, 0)
),
""
),
""
)
</f>
        <v>22</v>
      </c>
      <c r="H335" s="118" t="s">
        <v>3727</v>
      </c>
      <c r="I335" s="118" t="s">
        <v>3728</v>
      </c>
      <c r="J335" s="121">
        <f t="array" ref="J335">IF(
UPPER(TRIM(CLEAN($O335)))="ENTREGADO",
IFERROR(
INDEX(REPORTE_DROPI!T:T,
MATCH($T335, REPORTE_DROPI!B:B, 0)
),
""
),
""
)
</f>
        <v>5.84</v>
      </c>
      <c r="K335" s="118">
        <f t="array" ref="K335">IFERROR(
INDEX(REPORTE_DROPI!S:S,
MATCH($T335, REPORTE_DROPI!B:B, 0)
),
""
)
</f>
        <v>10.96</v>
      </c>
      <c r="L335" s="118" t="str">
        <f>IF(
  O335&lt;&gt;"DEVOLUCION",
  "",
  IF(
    T335="",
    "",
    SUMIF(DEVOLUCION!F:F, T335, DEVOLUCION!D:D)
  )
)
</f>
        <v/>
      </c>
      <c r="M335" s="118"/>
      <c r="N335" s="118" t="s">
        <v>4365</v>
      </c>
      <c r="O335" s="118" t="str">
        <f t="array" ref="O335">IFERROR(
VLOOKUP(
TRIM(CLEAN(
INDEX(REPORTE_DROPI!K:K,
MATCH(T335, REPORTE_DROPI!B:B, 0)
))),
{
TRIM(CLEAN(MAPA_ESTADOS!A:A)) ,
MAPA_ESTADOS!B:B
},
2,
FALSE
),
"REVISAR"
)
</f>
        <v>ENTREGADO</v>
      </c>
      <c r="P335" s="118" t="s">
        <v>4296</v>
      </c>
      <c r="Q335" s="122">
        <f t="shared" si="1"/>
        <v>0</v>
      </c>
      <c r="R335" s="118"/>
      <c r="S335" s="118"/>
      <c r="T335" s="118">
        <f t="array" ref="T335">IFERROR(
INDEX(REPORTE_DROPI!B:B,
MATCH(
CLEAN(TRIM(C335)),
CLEAN(TRIM(REPORTE_DROPI!E:E)),
0
)
),
""
)
</f>
        <v>4109817</v>
      </c>
      <c r="U335" s="118">
        <v>6.407966523436E12</v>
      </c>
      <c r="V335" s="78"/>
      <c r="W335" s="78"/>
      <c r="X335" s="78"/>
      <c r="Y335" s="78"/>
      <c r="Z335" s="78"/>
    </row>
    <row r="336" ht="22.5" customHeight="1">
      <c r="A336" s="118">
        <v>335.0</v>
      </c>
      <c r="B336" s="119">
        <v>46033.0</v>
      </c>
      <c r="C336" s="118" t="s">
        <v>4366</v>
      </c>
      <c r="D336" s="118" t="str">
        <f>IFERROR(__xludf.DUMMYFUNCTION("IFERROR(
  INDEX(
    FILTER(
      'NOMBRE DE PRODUCTOS'!B:B,
      REGEXMATCH(
        UPPER(
          INDEX(
            REPORTE_DROPI!AC:AC,
            MATCH(T336, REPORTE_DROPI!B:B, 0)
          )
        ),
        UPPER('NOMBRE DE PRODUCTOS'!A:A)"&amp;"
      )
    ),
    1
  ),
  ""REVISAR""
)
"),"FilmPro®")</f>
        <v>FilmPro®</v>
      </c>
      <c r="E336" s="120">
        <f t="array" ref="E336">IF(
UPPER(TRIM(CLEAN($O336)))="ENTREGADO",
IFERROR(
INDEX(REPORTE_DROPI!Y:Y,
MATCH($T336, REPORTE_DROPI!B:B, 0)
),
""
),
""
)
</f>
        <v>5.58</v>
      </c>
      <c r="F336" s="121">
        <v>2.0</v>
      </c>
      <c r="G336" s="122">
        <f t="array" ref="G336">IF(
UPPER(TRIM(CLEAN($O336)))="ENTREGADO",
IFERROR(
INDEX(REPORTE_DROPI!R:R,
MATCH($T336, REPORTE_DROPI!B:B, 0)
),
""
),
""
)
</f>
        <v>25</v>
      </c>
      <c r="H336" s="118" t="s">
        <v>3727</v>
      </c>
      <c r="I336" s="118" t="s">
        <v>3731</v>
      </c>
      <c r="J336" s="121">
        <f t="array" ref="J336">IF(
UPPER(TRIM(CLEAN($O336)))="ENTREGADO",
IFERROR(
INDEX(REPORTE_DROPI!T:T,
MATCH($T336, REPORTE_DROPI!B:B, 0)
),
""
),
""
)
</f>
        <v>5.96</v>
      </c>
      <c r="K336" s="118">
        <f t="array" ref="K336">IFERROR(
INDEX(REPORTE_DROPI!S:S,
MATCH($T336, REPORTE_DROPI!B:B, 0)
),
""
)
</f>
        <v>13.46</v>
      </c>
      <c r="L336" s="118" t="str">
        <f>IF(
  O336&lt;&gt;"DEVOLUCION",
  "",
  IF(
    T336="",
    "",
    SUMIF(DEVOLUCION!F:F, T336, DEVOLUCION!D:D)
  )
)
</f>
        <v/>
      </c>
      <c r="M336" s="118"/>
      <c r="N336" s="118" t="s">
        <v>4367</v>
      </c>
      <c r="O336" s="118" t="str">
        <f t="array" ref="O336">IFERROR(
VLOOKUP(
TRIM(CLEAN(
INDEX(REPORTE_DROPI!K:K,
MATCH(T336, REPORTE_DROPI!B:B, 0)
))),
{
TRIM(CLEAN(MAPA_ESTADOS!A:A)) ,
MAPA_ESTADOS!B:B
},
2,
FALSE
),
"REVISAR"
)
</f>
        <v>ENTREGADO</v>
      </c>
      <c r="P336" s="118" t="s">
        <v>4296</v>
      </c>
      <c r="Q336" s="122">
        <f t="shared" si="1"/>
        <v>0</v>
      </c>
      <c r="R336" s="118"/>
      <c r="S336" s="118"/>
      <c r="T336" s="118">
        <f t="array" ref="T336">IFERROR(
INDEX(REPORTE_DROPI!B:B,
MATCH(
CLEAN(TRIM(C336)),
CLEAN(TRIM(REPORTE_DROPI!E:E)),
0
)
),
""
)
</f>
        <v>4109818</v>
      </c>
      <c r="U336" s="118">
        <v>6.407967670316E12</v>
      </c>
      <c r="V336" s="78"/>
      <c r="W336" s="78"/>
      <c r="X336" s="78"/>
      <c r="Y336" s="78"/>
      <c r="Z336" s="78"/>
    </row>
    <row r="337" ht="22.5" customHeight="1">
      <c r="A337" s="118">
        <v>336.0</v>
      </c>
      <c r="B337" s="119">
        <v>46033.0</v>
      </c>
      <c r="C337" s="118" t="s">
        <v>4368</v>
      </c>
      <c r="D337" s="118" t="str">
        <f>IFERROR(__xludf.DUMMYFUNCTION("IFERROR(
  INDEX(
    FILTER(
      'NOMBRE DE PRODUCTOS'!B:B,
      REGEXMATCH(
        UPPER(
          INDEX(
            REPORTE_DROPI!AC:AC,
            MATCH(T337, REPORTE_DROPI!B:B, 0)
          )
        ),
        UPPER('NOMBRE DE PRODUCTOS'!A:A)"&amp;"
      )
    ),
    1
  ),
  ""REVISAR""
)
"),"FilmPro®")</f>
        <v>FilmPro®</v>
      </c>
      <c r="E337" s="120">
        <f t="array" ref="E337">IF(
UPPER(TRIM(CLEAN($O337)))="ENTREGADO",
IFERROR(
INDEX(REPORTE_DROPI!Y:Y,
MATCH($T337, REPORTE_DROPI!B:B, 0)
),
""
),
""
)
</f>
        <v>8.37</v>
      </c>
      <c r="F337" s="121">
        <v>3.0</v>
      </c>
      <c r="G337" s="122">
        <f t="array" ref="G337">IF(
UPPER(TRIM(CLEAN($O337)))="ENTREGADO",
IFERROR(
INDEX(REPORTE_DROPI!R:R,
MATCH($T337, REPORTE_DROPI!B:B, 0)
),
""
),
""
)
</f>
        <v>30</v>
      </c>
      <c r="H337" s="118" t="s">
        <v>3727</v>
      </c>
      <c r="I337" s="118" t="s">
        <v>3740</v>
      </c>
      <c r="J337" s="121">
        <f t="array" ref="J337">IF(
UPPER(TRIM(CLEAN($O337)))="ENTREGADO",
IFERROR(
INDEX(REPORTE_DROPI!T:T,
MATCH($T337, REPORTE_DROPI!B:B, 0)
),
""
),
""
)
</f>
        <v>4.55</v>
      </c>
      <c r="K337" s="118">
        <f t="array" ref="K337">IFERROR(
INDEX(REPORTE_DROPI!S:S,
MATCH($T337, REPORTE_DROPI!B:B, 0)
),
""
)
</f>
        <v>17.08</v>
      </c>
      <c r="L337" s="118" t="str">
        <f>IF(
  O337&lt;&gt;"DEVOLUCION",
  "",
  IF(
    T337="",
    "",
    SUMIF(DEVOLUCION!F:F, T337, DEVOLUCION!D:D)
  )
)
</f>
        <v/>
      </c>
      <c r="M337" s="118"/>
      <c r="N337" s="118" t="s">
        <v>4369</v>
      </c>
      <c r="O337" s="118" t="str">
        <f t="array" ref="O337">IFERROR(
VLOOKUP(
TRIM(CLEAN(
INDEX(REPORTE_DROPI!K:K,
MATCH(T337, REPORTE_DROPI!B:B, 0)
))),
{
TRIM(CLEAN(MAPA_ESTADOS!A:A)) ,
MAPA_ESTADOS!B:B
},
2,
FALSE
),
"REVISAR"
)
</f>
        <v>ENTREGADO</v>
      </c>
      <c r="P337" s="118"/>
      <c r="Q337" s="122">
        <f t="shared" si="1"/>
        <v>0</v>
      </c>
      <c r="R337" s="118"/>
      <c r="S337" s="118"/>
      <c r="T337" s="118">
        <f t="array" ref="T337">IFERROR(
INDEX(REPORTE_DROPI!B:B,
MATCH(
CLEAN(TRIM(C337)),
CLEAN(TRIM(REPORTE_DROPI!E:E)),
0
)
),
""
)
</f>
        <v>4110065</v>
      </c>
      <c r="U337" s="118">
        <v>6.407995719724E12</v>
      </c>
      <c r="V337" s="78"/>
      <c r="W337" s="78"/>
      <c r="X337" s="78"/>
      <c r="Y337" s="78"/>
      <c r="Z337" s="78"/>
    </row>
    <row r="338" ht="22.5" customHeight="1">
      <c r="A338" s="118">
        <v>337.0</v>
      </c>
      <c r="B338" s="119">
        <v>46033.0</v>
      </c>
      <c r="C338" s="118" t="s">
        <v>4370</v>
      </c>
      <c r="D338" s="118" t="str">
        <f>IFERROR(__xludf.DUMMYFUNCTION("IFERROR(
  INDEX(
    FILTER(
      'NOMBRE DE PRODUCTOS'!B:B,
      REGEXMATCH(
        UPPER(
          INDEX(
            REPORTE_DROPI!AC:AC,
            MATCH(T338, REPORTE_DROPI!B:B, 0)
          )
        ),
        UPPER('NOMBRE DE PRODUCTOS'!A:A)"&amp;"
      )
    ),
    1
  ),
  ""REVISAR""
)
"),"FilmPro®")</f>
        <v>FilmPro®</v>
      </c>
      <c r="E338" s="120">
        <f t="array" ref="E338">IF(
UPPER(TRIM(CLEAN($O338)))="ENTREGADO",
IFERROR(
INDEX(REPORTE_DROPI!Y:Y,
MATCH($T338, REPORTE_DROPI!B:B, 0)
),
""
),
""
)
</f>
        <v>2.79</v>
      </c>
      <c r="F338" s="121">
        <v>1.0</v>
      </c>
      <c r="G338" s="122">
        <f t="array" ref="G338">IF(
UPPER(TRIM(CLEAN($O338)))="ENTREGADO",
IFERROR(
INDEX(REPORTE_DROPI!R:R,
MATCH($T338, REPORTE_DROPI!B:B, 0)
),
""
),
""
)
</f>
        <v>20</v>
      </c>
      <c r="H338" s="118" t="s">
        <v>3727</v>
      </c>
      <c r="I338" s="118" t="s">
        <v>3731</v>
      </c>
      <c r="J338" s="121">
        <f t="array" ref="J338">IF(
UPPER(TRIM(CLEAN($O338)))="ENTREGADO",
IFERROR(
INDEX(REPORTE_DROPI!T:T,
MATCH($T338, REPORTE_DROPI!B:B, 0)
),
""
),
""
)
</f>
        <v>5.76</v>
      </c>
      <c r="K338" s="118">
        <f t="array" ref="K338">IFERROR(
INDEX(REPORTE_DROPI!S:S,
MATCH($T338, REPORTE_DROPI!B:B, 0)
),
""
)
</f>
        <v>11.45</v>
      </c>
      <c r="L338" s="118" t="str">
        <f>IF(
  O338&lt;&gt;"DEVOLUCION",
  "",
  IF(
    T338="",
    "",
    SUMIF(DEVOLUCION!F:F, T338, DEVOLUCION!D:D)
  )
)
</f>
        <v/>
      </c>
      <c r="M338" s="118"/>
      <c r="N338" s="118" t="s">
        <v>4371</v>
      </c>
      <c r="O338" s="118" t="str">
        <f t="array" ref="O338">IFERROR(
VLOOKUP(
TRIM(CLEAN(
INDEX(REPORTE_DROPI!K:K,
MATCH(T338, REPORTE_DROPI!B:B, 0)
))),
{
TRIM(CLEAN(MAPA_ESTADOS!A:A)) ,
MAPA_ESTADOS!B:B
},
2,
FALSE
),
"REVISAR"
)
</f>
        <v>ENTREGADO</v>
      </c>
      <c r="P338" s="118"/>
      <c r="Q338" s="122">
        <f t="shared" si="1"/>
        <v>0</v>
      </c>
      <c r="R338" s="118"/>
      <c r="S338" s="118"/>
      <c r="T338" s="118">
        <f t="array" ref="T338">IFERROR(
INDEX(REPORTE_DROPI!B:B,
MATCH(
CLEAN(TRIM(C338)),
CLEAN(TRIM(REPORTE_DROPI!E:E)),
0
)
),
""
)
</f>
        <v>4110106</v>
      </c>
      <c r="U338" s="118">
        <v>6.408001781804E12</v>
      </c>
      <c r="V338" s="78"/>
      <c r="W338" s="78"/>
      <c r="X338" s="78"/>
      <c r="Y338" s="78"/>
      <c r="Z338" s="78"/>
    </row>
    <row r="339" ht="22.5" customHeight="1">
      <c r="A339" s="118">
        <v>338.0</v>
      </c>
      <c r="B339" s="119">
        <v>46033.0</v>
      </c>
      <c r="C339" s="126" t="s">
        <v>4372</v>
      </c>
      <c r="D339" s="118" t="str">
        <f>IFERROR(__xludf.DUMMYFUNCTION("IFERROR(
  INDEX(
    FILTER(
      'NOMBRE DE PRODUCTOS'!B:B,
      REGEXMATCH(
        UPPER(
          INDEX(
            REPORTE_DROPI!AC:AC,
            MATCH(T339, REPORTE_DROPI!B:B, 0)
          )
        ),
        UPPER('NOMBRE DE PRODUCTOS'!A:A)"&amp;"
      )
    ),
    1
  ),
  ""REVISAR""
)
"),"Cuchillo Tazaki™")</f>
        <v>Cuchillo Tazaki™</v>
      </c>
      <c r="E339" s="120" t="str">
        <f t="array" ref="E339">IF(
UPPER(TRIM(CLEAN($O339)))="ENTREGADO",
IFERROR(
INDEX(REPORTE_DROPI!Y:Y,
MATCH($T339, REPORTE_DROPI!B:B, 0)
),
""
),
""
)
</f>
        <v/>
      </c>
      <c r="F339" s="121">
        <v>2.0</v>
      </c>
      <c r="G339" s="122" t="str">
        <f t="array" ref="G339">IF(
UPPER(TRIM(CLEAN($O339)))="ENTREGADO",
IFERROR(
INDEX(REPORTE_DROPI!R:R,
MATCH($T339, REPORTE_DROPI!B:B, 0)
),
""
),
""
)
</f>
        <v/>
      </c>
      <c r="H339" s="118" t="s">
        <v>3727</v>
      </c>
      <c r="I339" s="118" t="s">
        <v>3731</v>
      </c>
      <c r="J339" s="121" t="str">
        <f t="array" ref="J339">IF(
UPPER(TRIM(CLEAN($O339)))="ENTREGADO",
IFERROR(
INDEX(REPORTE_DROPI!T:T,
MATCH($T339, REPORTE_DROPI!B:B, 0)
),
""
),
""
)
</f>
        <v/>
      </c>
      <c r="K339" s="118" t="str">
        <f t="array" ref="K339">IFERROR(
INDEX(REPORTE_DROPI!S:S,
MATCH($T339, REPORTE_DROPI!B:B, 0)
),
""
)
</f>
        <v/>
      </c>
      <c r="L339" s="118" t="str">
        <f>IF(
  O339&lt;&gt;"DEVOLUCION",
  "",
  IF(
    T339="",
    "",
    SUMIF(DEVOLUCION!F:F, T339, DEVOLUCION!D:D)
  )
)
</f>
        <v/>
      </c>
      <c r="M339" s="118"/>
      <c r="N339" s="118" t="s">
        <v>4373</v>
      </c>
      <c r="O339" s="118" t="str">
        <f t="array" ref="O339">IFERROR(
VLOOKUP(
TRIM(CLEAN(
INDEX(REPORTE_DROPI!K:K,
MATCH(T339, REPORTE_DROPI!B:B, 0)
))),
{
TRIM(CLEAN(MAPA_ESTADOS!A:A)) ,
MAPA_ESTADOS!B:B
},
2,
FALSE
),
"REVISAR"
)
</f>
        <v>PENDIENTE</v>
      </c>
      <c r="P339" s="118" t="s">
        <v>3689</v>
      </c>
      <c r="Q339" s="122">
        <f t="shared" si="1"/>
        <v>0</v>
      </c>
      <c r="R339" s="118"/>
      <c r="S339" s="118"/>
      <c r="T339" s="118">
        <f t="array" ref="T339">IFERROR(
INDEX(REPORTE_DROPI!B:B,
MATCH(
CLEAN(TRIM(C339)),
CLEAN(TRIM(REPORTE_DROPI!E:E)),
0
)
),
""
)
</f>
        <v>4110212</v>
      </c>
      <c r="U339" s="118">
        <v>6.408011251756E12</v>
      </c>
      <c r="V339" s="78"/>
      <c r="W339" s="78"/>
      <c r="X339" s="78"/>
      <c r="Y339" s="78"/>
      <c r="Z339" s="78"/>
    </row>
    <row r="340" ht="22.5" customHeight="1">
      <c r="A340" s="118">
        <v>339.0</v>
      </c>
      <c r="B340" s="119">
        <v>46033.0</v>
      </c>
      <c r="C340" s="118" t="s">
        <v>4374</v>
      </c>
      <c r="D340" s="118" t="str">
        <f>IFERROR(__xludf.DUMMYFUNCTION("IFERROR(
  INDEX(
    FILTER(
      'NOMBRE DE PRODUCTOS'!B:B,
      REGEXMATCH(
        UPPER(
          INDEX(
            REPORTE_DROPI!AC:AC,
            MATCH(T340, REPORTE_DROPI!B:B, 0)
          )
        ),
        UPPER('NOMBRE DE PRODUCTOS'!A:A)"&amp;"
      )
    ),
    1
  ),
  ""REVISAR""
)
"),"FilmPro®")</f>
        <v>FilmPro®</v>
      </c>
      <c r="E340" s="120">
        <f t="array" ref="E340">IF(
UPPER(TRIM(CLEAN($O340)))="ENTREGADO",
IFERROR(
INDEX(REPORTE_DROPI!Y:Y,
MATCH($T340, REPORTE_DROPI!B:B, 0)
),
""
),
""
)
</f>
        <v>5.58</v>
      </c>
      <c r="F340" s="121">
        <v>2.0</v>
      </c>
      <c r="G340" s="122">
        <f t="array" ref="G340">IF(
UPPER(TRIM(CLEAN($O340)))="ENTREGADO",
IFERROR(
INDEX(REPORTE_DROPI!R:R,
MATCH($T340, REPORTE_DROPI!B:B, 0)
),
""
),
""
)
</f>
        <v>25</v>
      </c>
      <c r="H340" s="118" t="s">
        <v>3727</v>
      </c>
      <c r="I340" s="118" t="s">
        <v>3731</v>
      </c>
      <c r="J340" s="121">
        <f t="array" ref="J340">IF(
UPPER(TRIM(CLEAN($O340)))="ENTREGADO",
IFERROR(
INDEX(REPORTE_DROPI!T:T,
MATCH($T340, REPORTE_DROPI!B:B, 0)
),
""
),
""
)
</f>
        <v>5.96</v>
      </c>
      <c r="K340" s="118">
        <f t="array" ref="K340">IFERROR(
INDEX(REPORTE_DROPI!S:S,
MATCH($T340, REPORTE_DROPI!B:B, 0)
),
""
)
</f>
        <v>13.46</v>
      </c>
      <c r="L340" s="118" t="str">
        <f>IF(
  O340&lt;&gt;"DEVOLUCION",
  "",
  IF(
    T340="",
    "",
    SUMIF(DEVOLUCION!F:F, T340, DEVOLUCION!D:D)
  )
)
</f>
        <v/>
      </c>
      <c r="M340" s="118"/>
      <c r="N340" s="118" t="s">
        <v>4375</v>
      </c>
      <c r="O340" s="118" t="str">
        <f t="array" ref="O340">IFERROR(
VLOOKUP(
TRIM(CLEAN(
INDEX(REPORTE_DROPI!K:K,
MATCH(T340, REPORTE_DROPI!B:B, 0)
))),
{
TRIM(CLEAN(MAPA_ESTADOS!A:A)) ,
MAPA_ESTADOS!B:B
},
2,
FALSE
),
"REVISAR"
)
</f>
        <v>ENTREGADO</v>
      </c>
      <c r="P340" s="118"/>
      <c r="Q340" s="122">
        <f t="shared" si="1"/>
        <v>0</v>
      </c>
      <c r="R340" s="118"/>
      <c r="S340" s="118"/>
      <c r="T340" s="118">
        <f t="array" ref="T340">IFERROR(
INDEX(REPORTE_DROPI!B:B,
MATCH(
CLEAN(TRIM(C340)),
CLEAN(TRIM(REPORTE_DROPI!E:E)),
0
)
),
""
)
</f>
        <v>4110470</v>
      </c>
      <c r="U340" s="118">
        <v>6.408043823148E12</v>
      </c>
      <c r="V340" s="78"/>
      <c r="W340" s="78"/>
      <c r="X340" s="78"/>
      <c r="Y340" s="78"/>
      <c r="Z340" s="78"/>
    </row>
    <row r="341" ht="22.5" customHeight="1">
      <c r="A341" s="118">
        <v>340.0</v>
      </c>
      <c r="B341" s="119">
        <v>46033.0</v>
      </c>
      <c r="C341" s="118" t="s">
        <v>4376</v>
      </c>
      <c r="D341" s="118" t="str">
        <f>IFERROR(__xludf.DUMMYFUNCTION("IFERROR(
  INDEX(
    FILTER(
      'NOMBRE DE PRODUCTOS'!B:B,
      REGEXMATCH(
        UPPER(
          INDEX(
            REPORTE_DROPI!AC:AC,
            MATCH(T341, REPORTE_DROPI!B:B, 0)
          )
        ),
        UPPER('NOMBRE DE PRODUCTOS'!A:A)"&amp;"
      )
    ),
    1
  ),
  ""REVISAR""
)
"),"Cuchillo Tazaki™")</f>
        <v>Cuchillo Tazaki™</v>
      </c>
      <c r="E341" s="120" t="str">
        <f t="array" ref="E341">IF(
UPPER(TRIM(CLEAN($O341)))="ENTREGADO",
IFERROR(
INDEX(REPORTE_DROPI!Y:Y,
MATCH($T341, REPORTE_DROPI!B:B, 0)
),
""
),
""
)
</f>
        <v/>
      </c>
      <c r="F341" s="121">
        <v>2.0</v>
      </c>
      <c r="G341" s="122" t="str">
        <f t="array" ref="G341">IF(
UPPER(TRIM(CLEAN($O341)))="ENTREGADO",
IFERROR(
INDEX(REPORTE_DROPI!R:R,
MATCH($T341, REPORTE_DROPI!B:B, 0)
),
""
),
""
)
</f>
        <v/>
      </c>
      <c r="H341" s="118" t="s">
        <v>3727</v>
      </c>
      <c r="I341" s="118" t="s">
        <v>3772</v>
      </c>
      <c r="J341" s="121" t="str">
        <f t="array" ref="J341">IF(
UPPER(TRIM(CLEAN($O341)))="ENTREGADO",
IFERROR(
INDEX(REPORTE_DROPI!T:T,
MATCH($T341, REPORTE_DROPI!B:B, 0)
),
""
),
""
)
</f>
        <v/>
      </c>
      <c r="K341" s="118" t="str">
        <f t="array" ref="K341">IFERROR(
INDEX(REPORTE_DROPI!S:S,
MATCH($T341, REPORTE_DROPI!B:B, 0)
),
""
)
</f>
        <v/>
      </c>
      <c r="L341" s="118">
        <f>IF(
  O341&lt;&gt;"DEVOLUCION",
  "",
  IF(
    T341="",
    "",
    SUMIF(DEVOLUCION!F:F, T341, DEVOLUCION!D:D)
  )
)
</f>
        <v>7.7</v>
      </c>
      <c r="M341" s="118"/>
      <c r="N341" s="118" t="s">
        <v>4377</v>
      </c>
      <c r="O341" s="118" t="str">
        <f t="array" ref="O341">IFERROR(
VLOOKUP(
TRIM(CLEAN(
INDEX(REPORTE_DROPI!K:K,
MATCH(T341, REPORTE_DROPI!B:B, 0)
))),
{
TRIM(CLEAN(MAPA_ESTADOS!A:A)) ,
MAPA_ESTADOS!B:B
},
2,
FALSE
),
"REVISAR"
)
</f>
        <v>DEVOLUCION</v>
      </c>
      <c r="P341" s="118" t="s">
        <v>4378</v>
      </c>
      <c r="Q341" s="122">
        <f t="shared" si="1"/>
        <v>0</v>
      </c>
      <c r="R341" s="118"/>
      <c r="S341" s="118"/>
      <c r="T341" s="118">
        <f t="array" ref="T341">IFERROR(
INDEX(REPORTE_DROPI!B:B,
MATCH(
CLEAN(TRIM(C341)),
CLEAN(TRIM(REPORTE_DROPI!E:E)),
0
)
),
""
)
</f>
        <v>4110496</v>
      </c>
      <c r="U341" s="118">
        <v>6.408048312364E12</v>
      </c>
      <c r="V341" s="78"/>
      <c r="W341" s="78"/>
      <c r="X341" s="78"/>
      <c r="Y341" s="78"/>
      <c r="Z341" s="78"/>
    </row>
    <row r="342" ht="22.5" customHeight="1">
      <c r="A342" s="118">
        <v>341.0</v>
      </c>
      <c r="B342" s="119">
        <v>46033.0</v>
      </c>
      <c r="C342" s="118" t="s">
        <v>4379</v>
      </c>
      <c r="D342" s="118" t="str">
        <f>IFERROR(__xludf.DUMMYFUNCTION("IFERROR(
  INDEX(
    FILTER(
      'NOMBRE DE PRODUCTOS'!B:B,
      REGEXMATCH(
        UPPER(
          INDEX(
            REPORTE_DROPI!AC:AC,
            MATCH(T342, REPORTE_DROPI!B:B, 0)
          )
        ),
        UPPER('NOMBRE DE PRODUCTOS'!A:A)"&amp;"
      )
    ),
    1
  ),
  ""REVISAR""
)
"),"FilmPro®")</f>
        <v>FilmPro®</v>
      </c>
      <c r="E342" s="120" t="str">
        <f t="array" ref="E342">IF(
UPPER(TRIM(CLEAN($O342)))="ENTREGADO",
IFERROR(
INDEX(REPORTE_DROPI!Y:Y,
MATCH($T342, REPORTE_DROPI!B:B, 0)
),
""
),
""
)
</f>
        <v/>
      </c>
      <c r="F342" s="121">
        <v>1.0</v>
      </c>
      <c r="G342" s="122" t="str">
        <f t="array" ref="G342">IF(
UPPER(TRIM(CLEAN($O342)))="ENTREGADO",
IFERROR(
INDEX(REPORTE_DROPI!R:R,
MATCH($T342, REPORTE_DROPI!B:B, 0)
),
""
),
""
)
</f>
        <v/>
      </c>
      <c r="H342" s="118" t="s">
        <v>3727</v>
      </c>
      <c r="I342" s="118" t="s">
        <v>3731</v>
      </c>
      <c r="J342" s="121" t="str">
        <f t="array" ref="J342">IF(
UPPER(TRIM(CLEAN($O342)))="ENTREGADO",
IFERROR(
INDEX(REPORTE_DROPI!T:T,
MATCH($T342, REPORTE_DROPI!B:B, 0)
),
""
),
""
)
</f>
        <v/>
      </c>
      <c r="K342" s="118" t="str">
        <f t="array" ref="K342">IFERROR(
INDEX(REPORTE_DROPI!S:S,
MATCH($T342, REPORTE_DROPI!B:B, 0)
),
""
)
</f>
        <v/>
      </c>
      <c r="L342" s="118">
        <f>IF(
  O342&lt;&gt;"DEVOLUCION",
  "",
  IF(
    T342="",
    "",
    SUMIF(DEVOLUCION!F:F, T342, DEVOLUCION!D:D)
  )
)
</f>
        <v>5.06</v>
      </c>
      <c r="M342" s="118"/>
      <c r="N342" s="118" t="s">
        <v>4380</v>
      </c>
      <c r="O342" s="118" t="str">
        <f t="array" ref="O342">IFERROR(
VLOOKUP(
TRIM(CLEAN(
INDEX(REPORTE_DROPI!K:K,
MATCH(T342, REPORTE_DROPI!B:B, 0)
))),
{
TRIM(CLEAN(MAPA_ESTADOS!A:A)) ,
MAPA_ESTADOS!B:B
},
2,
FALSE
),
"REVISAR"
)
</f>
        <v>DEVOLUCION</v>
      </c>
      <c r="P342" s="118" t="s">
        <v>4296</v>
      </c>
      <c r="Q342" s="122">
        <f t="shared" si="1"/>
        <v>0</v>
      </c>
      <c r="R342" s="118"/>
      <c r="S342" s="118"/>
      <c r="T342" s="118">
        <f t="array" ref="T342">IFERROR(
INDEX(REPORTE_DROPI!B:B,
MATCH(
CLEAN(TRIM(C342)),
CLEAN(TRIM(REPORTE_DROPI!E:E)),
0
)
),
""
)
</f>
        <v>4110684</v>
      </c>
      <c r="U342" s="118">
        <v>6.408068399148E12</v>
      </c>
      <c r="V342" s="78"/>
      <c r="W342" s="78"/>
      <c r="X342" s="78"/>
      <c r="Y342" s="78"/>
      <c r="Z342" s="78"/>
    </row>
    <row r="343" ht="22.5" customHeight="1">
      <c r="A343" s="118">
        <v>342.0</v>
      </c>
      <c r="B343" s="119">
        <v>46033.0</v>
      </c>
      <c r="C343" s="126" t="s">
        <v>4381</v>
      </c>
      <c r="D343" s="118" t="str">
        <f>IFERROR(__xludf.DUMMYFUNCTION("IFERROR(
  INDEX(
    FILTER(
      'NOMBRE DE PRODUCTOS'!B:B,
      REGEXMATCH(
        UPPER(
          INDEX(
            REPORTE_DROPI!AC:AC,
            MATCH(T343, REPORTE_DROPI!B:B, 0)
          )
        ),
        UPPER('NOMBRE DE PRODUCTOS'!A:A)"&amp;"
      )
    ),
    1
  ),
  ""REVISAR""
)
"),"Cuchillo Tazaki™")</f>
        <v>Cuchillo Tazaki™</v>
      </c>
      <c r="E343" s="120" t="str">
        <f t="array" ref="E343">IF(
UPPER(TRIM(CLEAN($O343)))="ENTREGADO",
IFERROR(
INDEX(REPORTE_DROPI!Y:Y,
MATCH($T343, REPORTE_DROPI!B:B, 0)
),
""
),
""
)
</f>
        <v/>
      </c>
      <c r="F343" s="121">
        <v>2.0</v>
      </c>
      <c r="G343" s="122" t="str">
        <f t="array" ref="G343">IF(
UPPER(TRIM(CLEAN($O343)))="ENTREGADO",
IFERROR(
INDEX(REPORTE_DROPI!R:R,
MATCH($T343, REPORTE_DROPI!B:B, 0)
),
""
),
""
)
</f>
        <v/>
      </c>
      <c r="H343" s="118" t="s">
        <v>3727</v>
      </c>
      <c r="I343" s="118" t="s">
        <v>3912</v>
      </c>
      <c r="J343" s="121" t="str">
        <f t="array" ref="J343">IF(
UPPER(TRIM(CLEAN($O343)))="ENTREGADO",
IFERROR(
INDEX(REPORTE_DROPI!T:T,
MATCH($T343, REPORTE_DROPI!B:B, 0)
),
""
),
""
)
</f>
        <v/>
      </c>
      <c r="K343" s="118" t="str">
        <f t="array" ref="K343">IFERROR(
INDEX(REPORTE_DROPI!S:S,
MATCH($T343, REPORTE_DROPI!B:B, 0)
),
""
)
</f>
        <v/>
      </c>
      <c r="L343" s="118" t="str">
        <f>IF(
  O343&lt;&gt;"DEVOLUCION",
  "",
  IF(
    T343="",
    "",
    SUMIF(DEVOLUCION!F:F, T343, DEVOLUCION!D:D)
  )
)
</f>
        <v/>
      </c>
      <c r="M343" s="118"/>
      <c r="N343" s="118" t="s">
        <v>4382</v>
      </c>
      <c r="O343" s="118" t="str">
        <f t="array" ref="O343">IFERROR(
VLOOKUP(
TRIM(CLEAN(
INDEX(REPORTE_DROPI!K:K,
MATCH(T343, REPORTE_DROPI!B:B, 0)
))),
{
TRIM(CLEAN(MAPA_ESTADOS!A:A)) ,
MAPA_ESTADOS!B:B
},
2,
FALSE
),
"REVISAR"
)
</f>
        <v>PENDIENTE</v>
      </c>
      <c r="P343" s="118" t="s">
        <v>3689</v>
      </c>
      <c r="Q343" s="122">
        <f t="shared" si="1"/>
        <v>0</v>
      </c>
      <c r="R343" s="118"/>
      <c r="S343" s="118"/>
      <c r="T343" s="118">
        <f t="array" ref="T343">IFERROR(
INDEX(REPORTE_DROPI!B:B,
MATCH(
CLEAN(TRIM(C343)),
CLEAN(TRIM(REPORTE_DROPI!E:E)),
0
)
),
""
)
</f>
        <v>4110688</v>
      </c>
      <c r="U343" s="118">
        <v>6.408068726828E12</v>
      </c>
      <c r="V343" s="78"/>
      <c r="W343" s="78"/>
      <c r="X343" s="78"/>
      <c r="Y343" s="78"/>
      <c r="Z343" s="78"/>
    </row>
    <row r="344" ht="22.5" customHeight="1">
      <c r="A344" s="118">
        <v>343.0</v>
      </c>
      <c r="B344" s="119">
        <v>46033.0</v>
      </c>
      <c r="C344" s="118" t="s">
        <v>4383</v>
      </c>
      <c r="D344" s="118" t="str">
        <f>IFERROR(__xludf.DUMMYFUNCTION("IFERROR(
  INDEX(
    FILTER(
      'NOMBRE DE PRODUCTOS'!B:B,
      REGEXMATCH(
        UPPER(
          INDEX(
            REPORTE_DROPI!AC:AC,
            MATCH(T344, REPORTE_DROPI!B:B, 0)
          )
        ),
        UPPER('NOMBRE DE PRODUCTOS'!A:A)"&amp;"
      )
    ),
    1
  ),
  ""REVISAR""
)
"),"Cuchillo Tazaki™")</f>
        <v>Cuchillo Tazaki™</v>
      </c>
      <c r="E344" s="120">
        <f t="array" ref="E344">IF(
UPPER(TRIM(CLEAN($O344)))="ENTREGADO",
IFERROR(
INDEX(REPORTE_DROPI!Y:Y,
MATCH($T344, REPORTE_DROPI!B:B, 0)
),
""
),
""
)
</f>
        <v>7.8</v>
      </c>
      <c r="F344" s="121">
        <v>3.0</v>
      </c>
      <c r="G344" s="122">
        <f t="array" ref="G344">IF(
UPPER(TRIM(CLEAN($O344)))="ENTREGADO",
IFERROR(
INDEX(REPORTE_DROPI!R:R,
MATCH($T344, REPORTE_DROPI!B:B, 0)
),
""
),
""
)
</f>
        <v>27</v>
      </c>
      <c r="H344" s="118" t="s">
        <v>3727</v>
      </c>
      <c r="I344" s="118" t="s">
        <v>3731</v>
      </c>
      <c r="J344" s="121">
        <f t="array" ref="J344">IF(
UPPER(TRIM(CLEAN($O344)))="ENTREGADO",
IFERROR(
INDEX(REPORTE_DROPI!T:T,
MATCH($T344, REPORTE_DROPI!B:B, 0)
),
""
),
""
)
</f>
        <v>6.03</v>
      </c>
      <c r="K344" s="118">
        <f t="array" ref="K344">IFERROR(
INDEX(REPORTE_DROPI!S:S,
MATCH($T344, REPORTE_DROPI!B:B, 0)
),
""
)
</f>
        <v>13.17</v>
      </c>
      <c r="L344" s="118" t="str">
        <f>IF(
  O344&lt;&gt;"DEVOLUCION",
  "",
  IF(
    T344="",
    "",
    SUMIF(DEVOLUCION!F:F, T344, DEVOLUCION!D:D)
  )
)
</f>
        <v/>
      </c>
      <c r="M344" s="118"/>
      <c r="N344" s="118" t="s">
        <v>4384</v>
      </c>
      <c r="O344" s="118" t="str">
        <f t="array" ref="O344">IFERROR(
VLOOKUP(
TRIM(CLEAN(
INDEX(REPORTE_DROPI!K:K,
MATCH(T344, REPORTE_DROPI!B:B, 0)
))),
{
TRIM(CLEAN(MAPA_ESTADOS!A:A)) ,
MAPA_ESTADOS!B:B
},
2,
FALSE
),
"REVISAR"
)
</f>
        <v>ENTREGADO</v>
      </c>
      <c r="P344" s="118"/>
      <c r="Q344" s="122">
        <f t="shared" si="1"/>
        <v>0</v>
      </c>
      <c r="R344" s="118"/>
      <c r="S344" s="118"/>
      <c r="T344" s="118">
        <f t="array" ref="T344">IFERROR(
INDEX(REPORTE_DROPI!B:B,
MATCH(
CLEAN(TRIM(C344)),
CLEAN(TRIM(REPORTE_DROPI!E:E)),
0
)
),
""
)
</f>
        <v>4111136</v>
      </c>
      <c r="U344" s="118">
        <v>6.408125284396E12</v>
      </c>
      <c r="V344" s="78"/>
      <c r="W344" s="78"/>
      <c r="X344" s="78"/>
      <c r="Y344" s="78"/>
      <c r="Z344" s="78"/>
    </row>
    <row r="345" ht="22.5" customHeight="1">
      <c r="A345" s="118">
        <v>344.0</v>
      </c>
      <c r="B345" s="119">
        <v>46033.0</v>
      </c>
      <c r="C345" s="118" t="s">
        <v>4385</v>
      </c>
      <c r="D345" s="118" t="str">
        <f>IFERROR(__xludf.DUMMYFUNCTION("IFERROR(
  INDEX(
    FILTER(
      'NOMBRE DE PRODUCTOS'!B:B,
      REGEXMATCH(
        UPPER(
          INDEX(
            REPORTE_DROPI!AC:AC,
            MATCH(T345, REPORTE_DROPI!B:B, 0)
          )
        ),
        UPPER('NOMBRE DE PRODUCTOS'!A:A)"&amp;"
      )
    ),
    1
  ),
  ""REVISAR""
)
"),"FilmPro®")</f>
        <v>FilmPro®</v>
      </c>
      <c r="E345" s="120">
        <f t="array" ref="E345">IF(
UPPER(TRIM(CLEAN($O345)))="ENTREGADO",
IFERROR(
INDEX(REPORTE_DROPI!Y:Y,
MATCH($T345, REPORTE_DROPI!B:B, 0)
),
""
),
""
)
</f>
        <v>5.58</v>
      </c>
      <c r="F345" s="121">
        <v>2.0</v>
      </c>
      <c r="G345" s="122">
        <f t="array" ref="G345">IF(
UPPER(TRIM(CLEAN($O345)))="ENTREGADO",
IFERROR(
INDEX(REPORTE_DROPI!R:R,
MATCH($T345, REPORTE_DROPI!B:B, 0)
),
""
),
""
)
</f>
        <v>25</v>
      </c>
      <c r="H345" s="118" t="s">
        <v>3727</v>
      </c>
      <c r="I345" s="118" t="s">
        <v>3731</v>
      </c>
      <c r="J345" s="121">
        <f t="array" ref="J345">IF(
UPPER(TRIM(CLEAN($O345)))="ENTREGADO",
IFERROR(
INDEX(REPORTE_DROPI!T:T,
MATCH($T345, REPORTE_DROPI!B:B, 0)
),
""
),
""
)
</f>
        <v>7.75</v>
      </c>
      <c r="K345" s="118">
        <f t="array" ref="K345">IFERROR(
INDEX(REPORTE_DROPI!S:S,
MATCH($T345, REPORTE_DROPI!B:B, 0)
),
""
)
</f>
        <v>11.67</v>
      </c>
      <c r="L345" s="118" t="str">
        <f>IF(
  O345&lt;&gt;"DEVOLUCION",
  "",
  IF(
    T345="",
    "",
    SUMIF(DEVOLUCION!F:F, T345, DEVOLUCION!D:D)
  )
)
</f>
        <v/>
      </c>
      <c r="M345" s="118"/>
      <c r="N345" s="118" t="s">
        <v>4386</v>
      </c>
      <c r="O345" s="118" t="str">
        <f t="array" ref="O345">IFERROR(
VLOOKUP(
TRIM(CLEAN(
INDEX(REPORTE_DROPI!K:K,
MATCH(T345, REPORTE_DROPI!B:B, 0)
))),
{
TRIM(CLEAN(MAPA_ESTADOS!A:A)) ,
MAPA_ESTADOS!B:B
},
2,
FALSE
),
"REVISAR"
)
</f>
        <v>ENTREGADO</v>
      </c>
      <c r="P345" s="118"/>
      <c r="Q345" s="122">
        <f t="shared" si="1"/>
        <v>0</v>
      </c>
      <c r="R345" s="118"/>
      <c r="S345" s="118"/>
      <c r="T345" s="118">
        <f t="array" ref="T345">IFERROR(
INDEX(REPORTE_DROPI!B:B,
MATCH(
CLEAN(TRIM(C345)),
CLEAN(TRIM(REPORTE_DROPI!E:E)),
0
)
),
""
)
</f>
        <v>4111142</v>
      </c>
      <c r="U345" s="118">
        <v>6.408125644844E12</v>
      </c>
      <c r="V345" s="78"/>
      <c r="W345" s="78"/>
      <c r="X345" s="78"/>
      <c r="Y345" s="78"/>
      <c r="Z345" s="78"/>
    </row>
    <row r="346" ht="22.5" customHeight="1">
      <c r="A346" s="118">
        <v>345.0</v>
      </c>
      <c r="B346" s="119">
        <v>46033.0</v>
      </c>
      <c r="C346" s="118" t="s">
        <v>4387</v>
      </c>
      <c r="D346" s="118" t="str">
        <f>IFERROR(__xludf.DUMMYFUNCTION("IFERROR(
  INDEX(
    FILTER(
      'NOMBRE DE PRODUCTOS'!B:B,
      REGEXMATCH(
        UPPER(
          INDEX(
            REPORTE_DROPI!AC:AC,
            MATCH(T346, REPORTE_DROPI!B:B, 0)
          )
        ),
        UPPER('NOMBRE DE PRODUCTOS'!A:A)"&amp;"
      )
    ),
    1
  ),
  ""REVISAR""
)
"),"FilmPro®")</f>
        <v>FilmPro®</v>
      </c>
      <c r="E346" s="120" t="str">
        <f t="array" ref="E346">IF(
UPPER(TRIM(CLEAN($O346)))="ENTREGADO",
IFERROR(
INDEX(REPORTE_DROPI!Y:Y,
MATCH($T346, REPORTE_DROPI!B:B, 0)
),
""
),
""
)
</f>
        <v/>
      </c>
      <c r="F346" s="121">
        <v>2.0</v>
      </c>
      <c r="G346" s="122" t="str">
        <f t="array" ref="G346">IF(
UPPER(TRIM(CLEAN($O346)))="ENTREGADO",
IFERROR(
INDEX(REPORTE_DROPI!R:R,
MATCH($T346, REPORTE_DROPI!B:B, 0)
),
""
),
""
)
</f>
        <v/>
      </c>
      <c r="H346" s="118" t="s">
        <v>3727</v>
      </c>
      <c r="I346" s="118" t="s">
        <v>3740</v>
      </c>
      <c r="J346" s="121" t="str">
        <f t="array" ref="J346">IF(
UPPER(TRIM(CLEAN($O346)))="ENTREGADO",
IFERROR(
INDEX(REPORTE_DROPI!T:T,
MATCH($T346, REPORTE_DROPI!B:B, 0)
),
""
),
""
)
</f>
        <v/>
      </c>
      <c r="K346" s="118" t="str">
        <f t="array" ref="K346">IFERROR(
INDEX(REPORTE_DROPI!S:S,
MATCH($T346, REPORTE_DROPI!B:B, 0)
),
""
)
</f>
        <v/>
      </c>
      <c r="L346" s="118">
        <f>IF(
  O346&lt;&gt;"DEVOLUCION",
  "",
  IF(
    T346="",
    "",
    SUMIF(DEVOLUCION!F:F, T346, DEVOLUCION!D:D)
  )
)
</f>
        <v>7.75</v>
      </c>
      <c r="M346" s="118"/>
      <c r="N346" s="118" t="s">
        <v>4388</v>
      </c>
      <c r="O346" s="118" t="str">
        <f t="array" ref="O346">IFERROR(
VLOOKUP(
TRIM(CLEAN(
INDEX(REPORTE_DROPI!K:K,
MATCH(T346, REPORTE_DROPI!B:B, 0)
))),
{
TRIM(CLEAN(MAPA_ESTADOS!A:A)) ,
MAPA_ESTADOS!B:B
},
2,
FALSE
),
"REVISAR"
)
</f>
        <v>DEVOLUCION</v>
      </c>
      <c r="P346" s="118" t="s">
        <v>4296</v>
      </c>
      <c r="Q346" s="122">
        <f t="shared" si="1"/>
        <v>0</v>
      </c>
      <c r="R346" s="118"/>
      <c r="S346" s="118"/>
      <c r="T346" s="118">
        <f t="array" ref="T346">IFERROR(
INDEX(REPORTE_DROPI!B:B,
MATCH(
CLEAN(TRIM(C346)),
CLEAN(TRIM(REPORTE_DROPI!E:E)),
0
)
),
""
)
</f>
        <v>4111351</v>
      </c>
      <c r="U346" s="118">
        <v>6.408149336108E12</v>
      </c>
      <c r="V346" s="78"/>
      <c r="W346" s="78"/>
      <c r="X346" s="78"/>
      <c r="Y346" s="78"/>
      <c r="Z346" s="78"/>
    </row>
    <row r="347" ht="22.5" customHeight="1">
      <c r="A347" s="118">
        <v>346.0</v>
      </c>
      <c r="B347" s="119">
        <v>46033.0</v>
      </c>
      <c r="C347" s="118" t="s">
        <v>4389</v>
      </c>
      <c r="D347" s="118" t="str">
        <f>IFERROR(__xludf.DUMMYFUNCTION("IFERROR(
  INDEX(
    FILTER(
      'NOMBRE DE PRODUCTOS'!B:B,
      REGEXMATCH(
        UPPER(
          INDEX(
            REPORTE_DROPI!AC:AC,
            MATCH(T347, REPORTE_DROPI!B:B, 0)
          )
        ),
        UPPER('NOMBRE DE PRODUCTOS'!A:A)"&amp;"
      )
    ),
    1
  ),
  ""REVISAR""
)
"),"FilmPro®")</f>
        <v>FilmPro®</v>
      </c>
      <c r="E347" s="120">
        <f t="array" ref="E347">IF(
UPPER(TRIM(CLEAN($O347)))="ENTREGADO",
IFERROR(
INDEX(REPORTE_DROPI!Y:Y,
MATCH($T347, REPORTE_DROPI!B:B, 0)
),
""
),
""
)
</f>
        <v>5.58</v>
      </c>
      <c r="F347" s="121">
        <v>2.0</v>
      </c>
      <c r="G347" s="122">
        <f t="array" ref="G347">IF(
UPPER(TRIM(CLEAN($O347)))="ENTREGADO",
IFERROR(
INDEX(REPORTE_DROPI!R:R,
MATCH($T347, REPORTE_DROPI!B:B, 0)
),
""
),
""
)
</f>
        <v>25</v>
      </c>
      <c r="H347" s="118" t="s">
        <v>3727</v>
      </c>
      <c r="I347" s="118" t="s">
        <v>3740</v>
      </c>
      <c r="J347" s="121">
        <f t="array" ref="J347">IF(
UPPER(TRIM(CLEAN($O347)))="ENTREGADO",
IFERROR(
INDEX(REPORTE_DROPI!T:T,
MATCH($T347, REPORTE_DROPI!B:B, 0)
),
""
),
""
)
</f>
        <v>4.35</v>
      </c>
      <c r="K347" s="118">
        <f t="array" ref="K347">IFERROR(
INDEX(REPORTE_DROPI!S:S,
MATCH($T347, REPORTE_DROPI!B:B, 0)
),
""
)
</f>
        <v>15.07</v>
      </c>
      <c r="L347" s="118" t="str">
        <f>IF(
  O347&lt;&gt;"DEVOLUCION",
  "",
  IF(
    T347="",
    "",
    SUMIF(DEVOLUCION!F:F, T347, DEVOLUCION!D:D)
  )
)
</f>
        <v/>
      </c>
      <c r="M347" s="118" t="s">
        <v>3870</v>
      </c>
      <c r="N347" s="118" t="s">
        <v>4390</v>
      </c>
      <c r="O347" s="118" t="str">
        <f t="array" ref="O347">IFERROR(
VLOOKUP(
TRIM(CLEAN(
INDEX(REPORTE_DROPI!K:K,
MATCH(T347, REPORTE_DROPI!B:B, 0)
))),
{
TRIM(CLEAN(MAPA_ESTADOS!A:A)) ,
MAPA_ESTADOS!B:B
},
2,
FALSE
),
"REVISAR"
)
</f>
        <v>ENTREGADO</v>
      </c>
      <c r="P347" s="118"/>
      <c r="Q347" s="122">
        <f t="shared" si="1"/>
        <v>0</v>
      </c>
      <c r="R347" s="118"/>
      <c r="S347" s="118"/>
      <c r="T347" s="118">
        <f t="array" ref="T347">IFERROR(
INDEX(REPORTE_DROPI!B:B,
MATCH(
CLEAN(TRIM(C347)),
CLEAN(TRIM(REPORTE_DROPI!E:E)),
0
)
),
""
)
</f>
        <v>4111565</v>
      </c>
      <c r="U347" s="118">
        <v>6.408172699692E12</v>
      </c>
      <c r="V347" s="78"/>
      <c r="W347" s="78"/>
      <c r="X347" s="78"/>
      <c r="Y347" s="78"/>
      <c r="Z347" s="78"/>
    </row>
    <row r="348" ht="22.5" customHeight="1">
      <c r="A348" s="118">
        <v>347.0</v>
      </c>
      <c r="B348" s="119">
        <v>46033.0</v>
      </c>
      <c r="C348" s="126" t="s">
        <v>4391</v>
      </c>
      <c r="D348" s="118" t="str">
        <f>IFERROR(__xludf.DUMMYFUNCTION("IFERROR(
  INDEX(
    FILTER(
      'NOMBRE DE PRODUCTOS'!B:B,
      REGEXMATCH(
        UPPER(
          INDEX(
            REPORTE_DROPI!AC:AC,
            MATCH(T348, REPORTE_DROPI!B:B, 0)
          )
        ),
        UPPER('NOMBRE DE PRODUCTOS'!A:A)"&amp;"
      )
    ),
    1
  ),
  ""REVISAR""
)
"),"FilmPro®")</f>
        <v>FilmPro®</v>
      </c>
      <c r="E348" s="120" t="str">
        <f t="array" ref="E348">IF(
UPPER(TRIM(CLEAN($O348)))="ENTREGADO",
IFERROR(
INDEX(REPORTE_DROPI!Y:Y,
MATCH($T348, REPORTE_DROPI!B:B, 0)
),
""
),
""
)
</f>
        <v/>
      </c>
      <c r="F348" s="121">
        <v>2.0</v>
      </c>
      <c r="G348" s="122" t="str">
        <f t="array" ref="G348">IF(
UPPER(TRIM(CLEAN($O348)))="ENTREGADO",
IFERROR(
INDEX(REPORTE_DROPI!R:R,
MATCH($T348, REPORTE_DROPI!B:B, 0)
),
""
),
""
)
</f>
        <v/>
      </c>
      <c r="H348" s="118" t="s">
        <v>3727</v>
      </c>
      <c r="I348" s="118" t="s">
        <v>3864</v>
      </c>
      <c r="J348" s="121" t="str">
        <f t="array" ref="J348">IF(
UPPER(TRIM(CLEAN($O348)))="ENTREGADO",
IFERROR(
INDEX(REPORTE_DROPI!T:T,
MATCH($T348, REPORTE_DROPI!B:B, 0)
),
""
),
""
)
</f>
        <v/>
      </c>
      <c r="K348" s="118" t="str">
        <f t="array" ref="K348">IFERROR(
INDEX(REPORTE_DROPI!S:S,
MATCH($T348, REPORTE_DROPI!B:B, 0)
),
""
)
</f>
        <v/>
      </c>
      <c r="L348" s="118" t="str">
        <f>IF(
  O348&lt;&gt;"DEVOLUCION",
  "",
  IF(
    T348="",
    "",
    SUMIF(DEVOLUCION!F:F, T348, DEVOLUCION!D:D)
  )
)
</f>
        <v/>
      </c>
      <c r="M348" s="118"/>
      <c r="N348" s="118" t="s">
        <v>4392</v>
      </c>
      <c r="O348" s="118" t="str">
        <f t="array" ref="O348">IFERROR(
VLOOKUP(
TRIM(CLEAN(
INDEX(REPORTE_DROPI!K:K,
MATCH(T348, REPORTE_DROPI!B:B, 0)
))),
{
TRIM(CLEAN(MAPA_ESTADOS!A:A)) ,
MAPA_ESTADOS!B:B
},
2,
FALSE
),
"REVISAR"
)
</f>
        <v>PENDIENTE</v>
      </c>
      <c r="P348" s="118" t="s">
        <v>3689</v>
      </c>
      <c r="Q348" s="122">
        <f t="shared" si="1"/>
        <v>0</v>
      </c>
      <c r="R348" s="118"/>
      <c r="S348" s="118"/>
      <c r="T348" s="118">
        <f t="array" ref="T348">IFERROR(
INDEX(REPORTE_DROPI!B:B,
MATCH(
CLEAN(TRIM(C348)),
CLEAN(TRIM(REPORTE_DROPI!E:E)),
0
)
),
""
)
</f>
        <v>4111652</v>
      </c>
      <c r="U348" s="118">
        <v>6.408181284908E12</v>
      </c>
      <c r="V348" s="78"/>
      <c r="W348" s="78"/>
      <c r="X348" s="78"/>
      <c r="Y348" s="78"/>
      <c r="Z348" s="78"/>
    </row>
    <row r="349" ht="22.5" customHeight="1">
      <c r="A349" s="118">
        <v>348.0</v>
      </c>
      <c r="B349" s="119">
        <v>46033.0</v>
      </c>
      <c r="C349" s="118" t="s">
        <v>4393</v>
      </c>
      <c r="D349" s="118" t="str">
        <f>IFERROR(__xludf.DUMMYFUNCTION("IFERROR(
  INDEX(
    FILTER(
      'NOMBRE DE PRODUCTOS'!B:B,
      REGEXMATCH(
        UPPER(
          INDEX(
            REPORTE_DROPI!AC:AC,
            MATCH(T349, REPORTE_DROPI!B:B, 0)
          )
        ),
        UPPER('NOMBRE DE PRODUCTOS'!A:A)"&amp;"
      )
    ),
    1
  ),
  ""REVISAR""
)
"),"FilmPro®")</f>
        <v>FilmPro®</v>
      </c>
      <c r="E349" s="120">
        <f t="array" ref="E349">IF(
UPPER(TRIM(CLEAN($O349)))="ENTREGADO",
IFERROR(
INDEX(REPORTE_DROPI!Y:Y,
MATCH($T349, REPORTE_DROPI!B:B, 0)
),
""
),
""
)
</f>
        <v>2.79</v>
      </c>
      <c r="F349" s="121">
        <v>1.0</v>
      </c>
      <c r="G349" s="122">
        <f t="array" ref="G349">IF(
UPPER(TRIM(CLEAN($O349)))="ENTREGADO",
IFERROR(
INDEX(REPORTE_DROPI!R:R,
MATCH($T349, REPORTE_DROPI!B:B, 0)
),
""
),
""
)
</f>
        <v>20</v>
      </c>
      <c r="H349" s="118" t="s">
        <v>3727</v>
      </c>
      <c r="I349" s="118" t="s">
        <v>3804</v>
      </c>
      <c r="J349" s="121">
        <f t="array" ref="J349">IF(
UPPER(TRIM(CLEAN($O349)))="ENTREGADO",
IFERROR(
INDEX(REPORTE_DROPI!T:T,
MATCH($T349, REPORTE_DROPI!B:B, 0)
),
""
),
""
)
</f>
        <v>7.67</v>
      </c>
      <c r="K349" s="118">
        <f t="array" ref="K349">IFERROR(
INDEX(REPORTE_DROPI!S:S,
MATCH($T349, REPORTE_DROPI!B:B, 0)
),
""
)
</f>
        <v>9.54</v>
      </c>
      <c r="L349" s="118" t="str">
        <f>IF(
  O349&lt;&gt;"DEVOLUCION",
  "",
  IF(
    T349="",
    "",
    SUMIF(DEVOLUCION!F:F, T349, DEVOLUCION!D:D)
  )
)
</f>
        <v/>
      </c>
      <c r="M349" s="118"/>
      <c r="N349" s="118" t="s">
        <v>4394</v>
      </c>
      <c r="O349" s="118" t="str">
        <f t="array" ref="O349">IFERROR(
VLOOKUP(
TRIM(CLEAN(
INDEX(REPORTE_DROPI!K:K,
MATCH(T349, REPORTE_DROPI!B:B, 0)
))),
{
TRIM(CLEAN(MAPA_ESTADOS!A:A)) ,
MAPA_ESTADOS!B:B
},
2,
FALSE
),
"REVISAR"
)
</f>
        <v>ENTREGADO</v>
      </c>
      <c r="P349" s="118"/>
      <c r="Q349" s="122">
        <f t="shared" si="1"/>
        <v>0</v>
      </c>
      <c r="R349" s="118"/>
      <c r="S349" s="118"/>
      <c r="T349" s="118">
        <f t="array" ref="T349">IFERROR(
INDEX(REPORTE_DROPI!B:B,
MATCH(
CLEAN(TRIM(C349)),
CLEAN(TRIM(REPORTE_DROPI!E:E)),
0
)
),
""
)
</f>
        <v>4111749</v>
      </c>
      <c r="U349" s="118">
        <v>6.408192294956E12</v>
      </c>
      <c r="V349" s="78"/>
      <c r="W349" s="78"/>
      <c r="X349" s="78"/>
      <c r="Y349" s="78"/>
      <c r="Z349" s="78"/>
    </row>
    <row r="350" ht="22.5" customHeight="1">
      <c r="A350" s="118">
        <v>349.0</v>
      </c>
      <c r="B350" s="119">
        <v>46033.0</v>
      </c>
      <c r="C350" s="118" t="s">
        <v>4395</v>
      </c>
      <c r="D350" s="118" t="str">
        <f>IFERROR(__xludf.DUMMYFUNCTION("IFERROR(
  INDEX(
    FILTER(
      'NOMBRE DE PRODUCTOS'!B:B,
      REGEXMATCH(
        UPPER(
          INDEX(
            REPORTE_DROPI!AC:AC,
            MATCH(T350, REPORTE_DROPI!B:B, 0)
          )
        ),
        UPPER('NOMBRE DE PRODUCTOS'!A:A)"&amp;"
      )
    ),
    1
  ),
  ""REVISAR""
)
"),"FilmPro®")</f>
        <v>FilmPro®</v>
      </c>
      <c r="E350" s="120">
        <f t="array" ref="E350">IF(
UPPER(TRIM(CLEAN($O350)))="ENTREGADO",
IFERROR(
INDEX(REPORTE_DROPI!Y:Y,
MATCH($T350, REPORTE_DROPI!B:B, 0)
),
""
),
""
)
</f>
        <v>5.58</v>
      </c>
      <c r="F350" s="121">
        <v>2.0</v>
      </c>
      <c r="G350" s="122">
        <f t="array" ref="G350">IF(
UPPER(TRIM(CLEAN($O350)))="ENTREGADO",
IFERROR(
INDEX(REPORTE_DROPI!R:R,
MATCH($T350, REPORTE_DROPI!B:B, 0)
),
""
),
""
)
</f>
        <v>25</v>
      </c>
      <c r="H350" s="118" t="s">
        <v>3727</v>
      </c>
      <c r="I350" s="118" t="s">
        <v>3731</v>
      </c>
      <c r="J350" s="121">
        <f t="array" ref="J350">IF(
UPPER(TRIM(CLEAN($O350)))="ENTREGADO",
IFERROR(
INDEX(REPORTE_DROPI!T:T,
MATCH($T350, REPORTE_DROPI!B:B, 0)
),
""
),
""
)
</f>
        <v>5.96</v>
      </c>
      <c r="K350" s="118">
        <f t="array" ref="K350">IFERROR(
INDEX(REPORTE_DROPI!S:S,
MATCH($T350, REPORTE_DROPI!B:B, 0)
),
""
)
</f>
        <v>13.46</v>
      </c>
      <c r="L350" s="118" t="str">
        <f>IF(
  O350&lt;&gt;"DEVOLUCION",
  "",
  IF(
    T350="",
    "",
    SUMIF(DEVOLUCION!F:F, T350, DEVOLUCION!D:D)
  )
)
</f>
        <v/>
      </c>
      <c r="M350" s="118"/>
      <c r="N350" s="118" t="s">
        <v>4396</v>
      </c>
      <c r="O350" s="118" t="str">
        <f t="array" ref="O350">IFERROR(
VLOOKUP(
TRIM(CLEAN(
INDEX(REPORTE_DROPI!K:K,
MATCH(T350, REPORTE_DROPI!B:B, 0)
))),
{
TRIM(CLEAN(MAPA_ESTADOS!A:A)) ,
MAPA_ESTADOS!B:B
},
2,
FALSE
),
"REVISAR"
)
</f>
        <v>ENTREGADO</v>
      </c>
      <c r="P350" s="118"/>
      <c r="Q350" s="122">
        <f t="shared" si="1"/>
        <v>0</v>
      </c>
      <c r="R350" s="118"/>
      <c r="S350" s="118"/>
      <c r="T350" s="118">
        <f t="array" ref="T350">IFERROR(
INDEX(REPORTE_DROPI!B:B,
MATCH(
CLEAN(TRIM(C350)),
CLEAN(TRIM(REPORTE_DROPI!E:E)),
0
)
),
""
)
</f>
        <v>4111844</v>
      </c>
      <c r="U350" s="118">
        <v>6.408204320812E12</v>
      </c>
      <c r="V350" s="78"/>
      <c r="W350" s="78"/>
      <c r="X350" s="78"/>
      <c r="Y350" s="78"/>
      <c r="Z350" s="78"/>
    </row>
    <row r="351" ht="22.5" customHeight="1">
      <c r="A351" s="118">
        <v>350.0</v>
      </c>
      <c r="B351" s="119">
        <v>46033.0</v>
      </c>
      <c r="C351" s="118" t="s">
        <v>4397</v>
      </c>
      <c r="D351" s="118" t="str">
        <f>IFERROR(__xludf.DUMMYFUNCTION("IFERROR(
  INDEX(
    FILTER(
      'NOMBRE DE PRODUCTOS'!B:B,
      REGEXMATCH(
        UPPER(
          INDEX(
            REPORTE_DROPI!AC:AC,
            MATCH(T351, REPORTE_DROPI!B:B, 0)
          )
        ),
        UPPER('NOMBRE DE PRODUCTOS'!A:A)"&amp;"
      )
    ),
    1
  ),
  ""REVISAR""
)
"),"Cuchillo Tazaki™")</f>
        <v>Cuchillo Tazaki™</v>
      </c>
      <c r="E351" s="120" t="str">
        <f t="array" ref="E351">IF(
UPPER(TRIM(CLEAN($O351)))="ENTREGADO",
IFERROR(
INDEX(REPORTE_DROPI!Y:Y,
MATCH($T351, REPORTE_DROPI!B:B, 0)
),
""
),
""
)
</f>
        <v/>
      </c>
      <c r="F351" s="121">
        <v>2.0</v>
      </c>
      <c r="G351" s="122" t="str">
        <f t="array" ref="G351">IF(
UPPER(TRIM(CLEAN($O351)))="ENTREGADO",
IFERROR(
INDEX(REPORTE_DROPI!R:R,
MATCH($T351, REPORTE_DROPI!B:B, 0)
),
""
),
""
)
</f>
        <v/>
      </c>
      <c r="H351" s="118" t="s">
        <v>3727</v>
      </c>
      <c r="I351" s="118" t="s">
        <v>3740</v>
      </c>
      <c r="J351" s="121" t="str">
        <f t="array" ref="J351">IF(
UPPER(TRIM(CLEAN($O351)))="ENTREGADO",
IFERROR(
INDEX(REPORTE_DROPI!T:T,
MATCH($T351, REPORTE_DROPI!B:B, 0)
),
""
),
""
)
</f>
        <v/>
      </c>
      <c r="K351" s="118" t="str">
        <f t="array" ref="K351">IFERROR(
INDEX(REPORTE_DROPI!S:S,
MATCH($T351, REPORTE_DROPI!B:B, 0)
),
""
)
</f>
        <v/>
      </c>
      <c r="L351" s="118">
        <f>IF(
  O351&lt;&gt;"DEVOLUCION",
  "",
  IF(
    T351="",
    "",
    SUMIF(DEVOLUCION!F:F, T351, DEVOLUCION!D:D)
  )
)
</f>
        <v>7.7</v>
      </c>
      <c r="M351" s="118"/>
      <c r="N351" s="118" t="s">
        <v>4398</v>
      </c>
      <c r="O351" s="118" t="str">
        <f t="array" ref="O351">IFERROR(
VLOOKUP(
TRIM(CLEAN(
INDEX(REPORTE_DROPI!K:K,
MATCH(T351, REPORTE_DROPI!B:B, 0)
))),
{
TRIM(CLEAN(MAPA_ESTADOS!A:A)) ,
MAPA_ESTADOS!B:B
},
2,
FALSE
),
"REVISAR"
)
</f>
        <v>DEVOLUCION</v>
      </c>
      <c r="P351" s="118"/>
      <c r="Q351" s="122">
        <f t="shared" si="1"/>
        <v>0</v>
      </c>
      <c r="R351" s="118"/>
      <c r="S351" s="118"/>
      <c r="T351" s="118">
        <f t="array" ref="T351">IFERROR(
INDEX(REPORTE_DROPI!B:B,
MATCH(
CLEAN(TRIM(C351)),
CLEAN(TRIM(REPORTE_DROPI!E:E)),
0
)
),
""
)
</f>
        <v>4112009</v>
      </c>
      <c r="U351" s="118">
        <v>6.408226603052E12</v>
      </c>
      <c r="V351" s="78"/>
      <c r="W351" s="78"/>
      <c r="X351" s="78"/>
      <c r="Y351" s="78"/>
      <c r="Z351" s="78"/>
    </row>
    <row r="352" ht="22.5" customHeight="1">
      <c r="A352" s="118">
        <v>351.0</v>
      </c>
      <c r="B352" s="119">
        <v>46033.0</v>
      </c>
      <c r="C352" s="118" t="s">
        <v>4399</v>
      </c>
      <c r="D352" s="118" t="str">
        <f>IFERROR(__xludf.DUMMYFUNCTION("IFERROR(
  INDEX(
    FILTER(
      'NOMBRE DE PRODUCTOS'!B:B,
      REGEXMATCH(
        UPPER(
          INDEX(
            REPORTE_DROPI!AC:AC,
            MATCH(T352, REPORTE_DROPI!B:B, 0)
          )
        ),
        UPPER('NOMBRE DE PRODUCTOS'!A:A)"&amp;"
      )
    ),
    1
  ),
  ""REVISAR""
)
"),"Cuchillo Tazaki™")</f>
        <v>Cuchillo Tazaki™</v>
      </c>
      <c r="E352" s="120">
        <f t="array" ref="E352">IF(
UPPER(TRIM(CLEAN($O352)))="ENTREGADO",
IFERROR(
INDEX(REPORTE_DROPI!Y:Y,
MATCH($T352, REPORTE_DROPI!B:B, 0)
),
""
),
""
)
</f>
        <v>5.2</v>
      </c>
      <c r="F352" s="121">
        <v>2.0</v>
      </c>
      <c r="G352" s="122">
        <f t="array" ref="G352">IF(
UPPER(TRIM(CLEAN($O352)))="ENTREGADO",
IFERROR(
INDEX(REPORTE_DROPI!R:R,
MATCH($T352, REPORTE_DROPI!B:B, 0)
),
""
),
""
)
</f>
        <v>20.9</v>
      </c>
      <c r="H352" s="118" t="s">
        <v>3727</v>
      </c>
      <c r="I352" s="118" t="s">
        <v>3740</v>
      </c>
      <c r="J352" s="121">
        <f t="array" ref="J352">IF(
UPPER(TRIM(CLEAN($O352)))="ENTREGADO",
IFERROR(
INDEX(REPORTE_DROPI!T:T,
MATCH($T352, REPORTE_DROPI!B:B, 0)
),
""
),
""
)
</f>
        <v>4.75</v>
      </c>
      <c r="K352" s="118">
        <f t="array" ref="K352">IFERROR(
INDEX(REPORTE_DROPI!S:S,
MATCH($T352, REPORTE_DROPI!B:B, 0)
),
""
)
</f>
        <v>10.95</v>
      </c>
      <c r="L352" s="118" t="str">
        <f>IF(
  O352&lt;&gt;"DEVOLUCION",
  "",
  IF(
    T352="",
    "",
    SUMIF(DEVOLUCION!F:F, T352, DEVOLUCION!D:D)
  )
)
</f>
        <v/>
      </c>
      <c r="M352" s="118"/>
      <c r="N352" s="118" t="s">
        <v>4400</v>
      </c>
      <c r="O352" s="118" t="str">
        <f t="array" ref="O352">IFERROR(
VLOOKUP(
TRIM(CLEAN(
INDEX(REPORTE_DROPI!K:K,
MATCH(T352, REPORTE_DROPI!B:B, 0)
))),
{
TRIM(CLEAN(MAPA_ESTADOS!A:A)) ,
MAPA_ESTADOS!B:B
},
2,
FALSE
),
"REVISAR"
)
</f>
        <v>ENTREGADO</v>
      </c>
      <c r="P352" s="118"/>
      <c r="Q352" s="122">
        <f t="shared" si="1"/>
        <v>0</v>
      </c>
      <c r="R352" s="118"/>
      <c r="S352" s="118"/>
      <c r="T352" s="118">
        <f t="array" ref="T352">IFERROR(
INDEX(REPORTE_DROPI!B:B,
MATCH(
CLEAN(TRIM(C352)),
CLEAN(TRIM(REPORTE_DROPI!E:E)),
0
)
),
""
)
</f>
        <v>4125597</v>
      </c>
      <c r="U352" s="118">
        <v>6.408227881004E12</v>
      </c>
      <c r="V352" s="78"/>
      <c r="W352" s="78"/>
      <c r="X352" s="78"/>
      <c r="Y352" s="78"/>
      <c r="Z352" s="78"/>
    </row>
    <row r="353" ht="22.5" customHeight="1">
      <c r="A353" s="118">
        <v>352.0</v>
      </c>
      <c r="B353" s="119">
        <v>46033.0</v>
      </c>
      <c r="C353" s="118" t="s">
        <v>4401</v>
      </c>
      <c r="D353" s="118" t="str">
        <f>IFERROR(__xludf.DUMMYFUNCTION("IFERROR(
  INDEX(
    FILTER(
      'NOMBRE DE PRODUCTOS'!B:B,
      REGEXMATCH(
        UPPER(
          INDEX(
            REPORTE_DROPI!AC:AC,
            MATCH(T353, REPORTE_DROPI!B:B, 0)
          )
        ),
        UPPER('NOMBRE DE PRODUCTOS'!A:A)"&amp;"
      )
    ),
    1
  ),
  ""REVISAR""
)
"),"Cuchillo Tazaki™")</f>
        <v>Cuchillo Tazaki™</v>
      </c>
      <c r="E353" s="120">
        <f t="array" ref="E353">IF(
UPPER(TRIM(CLEAN($O353)))="ENTREGADO",
IFERROR(
INDEX(REPORTE_DROPI!Y:Y,
MATCH($T353, REPORTE_DROPI!B:B, 0)
),
""
),
""
)
</f>
        <v>5.2</v>
      </c>
      <c r="F353" s="121">
        <v>2.0</v>
      </c>
      <c r="G353" s="122">
        <f t="array" ref="G353">IF(
UPPER(TRIM(CLEAN($O353)))="ENTREGADO",
IFERROR(
INDEX(REPORTE_DROPI!R:R,
MATCH($T353, REPORTE_DROPI!B:B, 0)
),
""
),
""
)
</f>
        <v>22</v>
      </c>
      <c r="H353" s="118" t="s">
        <v>3727</v>
      </c>
      <c r="I353" s="118" t="s">
        <v>3731</v>
      </c>
      <c r="J353" s="121">
        <f t="array" ref="J353">IF(
UPPER(TRIM(CLEAN($O353)))="ENTREGADO",
IFERROR(
INDEX(REPORTE_DROPI!T:T,
MATCH($T353, REPORTE_DROPI!B:B, 0)
),
""
),
""
)
</f>
        <v>5.84</v>
      </c>
      <c r="K353" s="118">
        <f t="array" ref="K353">IFERROR(
INDEX(REPORTE_DROPI!S:S,
MATCH($T353, REPORTE_DROPI!B:B, 0)
),
""
)
</f>
        <v>10.96</v>
      </c>
      <c r="L353" s="118" t="str">
        <f>IF(
  O353&lt;&gt;"DEVOLUCION",
  "",
  IF(
    T353="",
    "",
    SUMIF(DEVOLUCION!F:F, T353, DEVOLUCION!D:D)
  )
)
</f>
        <v/>
      </c>
      <c r="M353" s="118"/>
      <c r="N353" s="118" t="s">
        <v>4402</v>
      </c>
      <c r="O353" s="118" t="str">
        <f t="array" ref="O353">IFERROR(
VLOOKUP(
TRIM(CLEAN(
INDEX(REPORTE_DROPI!K:K,
MATCH(T353, REPORTE_DROPI!B:B, 0)
))),
{
TRIM(CLEAN(MAPA_ESTADOS!A:A)) ,
MAPA_ESTADOS!B:B
},
2,
FALSE
),
"REVISAR"
)
</f>
        <v>ENTREGADO</v>
      </c>
      <c r="P353" s="118"/>
      <c r="Q353" s="122">
        <f t="shared" si="1"/>
        <v>0</v>
      </c>
      <c r="R353" s="118"/>
      <c r="S353" s="118"/>
      <c r="T353" s="118">
        <f t="array" ref="T353">IFERROR(
INDEX(REPORTE_DROPI!B:B,
MATCH(
CLEAN(TRIM(C353)),
CLEAN(TRIM(REPORTE_DROPI!E:E)),
0
)
),
""
)
</f>
        <v>4112045</v>
      </c>
      <c r="U353" s="118">
        <v>6.40823040414E12</v>
      </c>
      <c r="V353" s="78"/>
      <c r="W353" s="78"/>
      <c r="X353" s="78"/>
      <c r="Y353" s="78"/>
      <c r="Z353" s="78"/>
    </row>
    <row r="354" ht="22.5" customHeight="1">
      <c r="A354" s="118">
        <v>353.0</v>
      </c>
      <c r="B354" s="119">
        <v>46033.0</v>
      </c>
      <c r="C354" s="118" t="s">
        <v>4403</v>
      </c>
      <c r="D354" s="118" t="str">
        <f>IFERROR(__xludf.DUMMYFUNCTION("IFERROR(
  INDEX(
    FILTER(
      'NOMBRE DE PRODUCTOS'!B:B,
      REGEXMATCH(
        UPPER(
          INDEX(
            REPORTE_DROPI!AC:AC,
            MATCH(T354, REPORTE_DROPI!B:B, 0)
          )
        ),
        UPPER('NOMBRE DE PRODUCTOS'!A:A)"&amp;"
      )
    ),
    1
  ),
  ""REVISAR""
)
"),"FilmPro®")</f>
        <v>FilmPro®</v>
      </c>
      <c r="E354" s="120">
        <f t="array" ref="E354">IF(
UPPER(TRIM(CLEAN($O354)))="ENTREGADO",
IFERROR(
INDEX(REPORTE_DROPI!Y:Y,
MATCH($T354, REPORTE_DROPI!B:B, 0)
),
""
),
""
)
</f>
        <v>8.37</v>
      </c>
      <c r="F354" s="121">
        <v>3.0</v>
      </c>
      <c r="G354" s="122">
        <f t="array" ref="G354">IF(
UPPER(TRIM(CLEAN($O354)))="ENTREGADO",
IFERROR(
INDEX(REPORTE_DROPI!R:R,
MATCH($T354, REPORTE_DROPI!B:B, 0)
),
""
),
""
)
</f>
        <v>30</v>
      </c>
      <c r="H354" s="118" t="s">
        <v>3727</v>
      </c>
      <c r="I354" s="118" t="s">
        <v>3731</v>
      </c>
      <c r="J354" s="121">
        <f t="array" ref="J354">IF(
UPPER(TRIM(CLEAN($O354)))="ENTREGADO",
IFERROR(
INDEX(REPORTE_DROPI!T:T,
MATCH($T354, REPORTE_DROPI!B:B, 0)
),
""
),
""
)
</f>
        <v>6.16</v>
      </c>
      <c r="K354" s="118">
        <f t="array" ref="K354">IFERROR(
INDEX(REPORTE_DROPI!S:S,
MATCH($T354, REPORTE_DROPI!B:B, 0)
),
""
)
</f>
        <v>15.47</v>
      </c>
      <c r="L354" s="118" t="str">
        <f>IF(
  O354&lt;&gt;"DEVOLUCION",
  "",
  IF(
    T354="",
    "",
    SUMIF(DEVOLUCION!F:F, T354, DEVOLUCION!D:D)
  )
)
</f>
        <v/>
      </c>
      <c r="M354" s="118"/>
      <c r="N354" s="118" t="s">
        <v>4404</v>
      </c>
      <c r="O354" s="118" t="str">
        <f t="array" ref="O354">IFERROR(
VLOOKUP(
TRIM(CLEAN(
INDEX(REPORTE_DROPI!K:K,
MATCH(T354, REPORTE_DROPI!B:B, 0)
))),
{
TRIM(CLEAN(MAPA_ESTADOS!A:A)) ,
MAPA_ESTADOS!B:B
},
2,
FALSE
),
"REVISAR"
)
</f>
        <v>ENTREGADO</v>
      </c>
      <c r="P354" s="118"/>
      <c r="Q354" s="122">
        <f t="shared" si="1"/>
        <v>0</v>
      </c>
      <c r="R354" s="118"/>
      <c r="S354" s="118"/>
      <c r="T354" s="118">
        <f t="array" ref="T354">IFERROR(
INDEX(REPORTE_DROPI!B:B,
MATCH(
CLEAN(TRIM(C354)),
CLEAN(TRIM(REPORTE_DROPI!E:E)),
0
)
),
""
)
</f>
        <v>4112182</v>
      </c>
      <c r="U354" s="118">
        <v>6.4082474435E12</v>
      </c>
      <c r="V354" s="78"/>
      <c r="W354" s="78"/>
      <c r="X354" s="78"/>
      <c r="Y354" s="78"/>
      <c r="Z354" s="78"/>
    </row>
    <row r="355" ht="22.5" customHeight="1">
      <c r="A355" s="118">
        <v>354.0</v>
      </c>
      <c r="B355" s="119">
        <v>46033.0</v>
      </c>
      <c r="C355" s="118" t="s">
        <v>4405</v>
      </c>
      <c r="D355" s="118" t="str">
        <f>IFERROR(__xludf.DUMMYFUNCTION("IFERROR(
  INDEX(
    FILTER(
      'NOMBRE DE PRODUCTOS'!B:B,
      REGEXMATCH(
        UPPER(
          INDEX(
            REPORTE_DROPI!AC:AC,
            MATCH(T355, REPORTE_DROPI!B:B, 0)
          )
        ),
        UPPER('NOMBRE DE PRODUCTOS'!A:A)"&amp;"
      )
    ),
    1
  ),
  ""REVISAR""
)
"),"Cuchillo Tazaki™")</f>
        <v>Cuchillo Tazaki™</v>
      </c>
      <c r="E355" s="120">
        <f t="array" ref="E355">IF(
UPPER(TRIM(CLEAN($O355)))="ENTREGADO",
IFERROR(
INDEX(REPORTE_DROPI!Y:Y,
MATCH($T355, REPORTE_DROPI!B:B, 0)
),
""
),
""
)
</f>
        <v>5.2</v>
      </c>
      <c r="F355" s="121">
        <v>2.0</v>
      </c>
      <c r="G355" s="122">
        <f t="array" ref="G355">IF(
UPPER(TRIM(CLEAN($O355)))="ENTREGADO",
IFERROR(
INDEX(REPORTE_DROPI!R:R,
MATCH($T355, REPORTE_DROPI!B:B, 0)
),
""
),
""
)
</f>
        <v>22</v>
      </c>
      <c r="H355" s="118" t="s">
        <v>3727</v>
      </c>
      <c r="I355" s="118" t="s">
        <v>3731</v>
      </c>
      <c r="J355" s="121">
        <f t="array" ref="J355">IF(
UPPER(TRIM(CLEAN($O355)))="ENTREGADO",
IFERROR(
INDEX(REPORTE_DROPI!T:T,
MATCH($T355, REPORTE_DROPI!B:B, 0)
),
""
),
""
)
</f>
        <v>5.84</v>
      </c>
      <c r="K355" s="118">
        <f t="array" ref="K355">IFERROR(
INDEX(REPORTE_DROPI!S:S,
MATCH($T355, REPORTE_DROPI!B:B, 0)
),
""
)
</f>
        <v>10.96</v>
      </c>
      <c r="L355" s="118" t="str">
        <f>IF(
  O355&lt;&gt;"DEVOLUCION",
  "",
  IF(
    T355="",
    "",
    SUMIF(DEVOLUCION!F:F, T355, DEVOLUCION!D:D)
  )
)
</f>
        <v/>
      </c>
      <c r="M355" s="118"/>
      <c r="N355" s="118" t="s">
        <v>4406</v>
      </c>
      <c r="O355" s="118" t="str">
        <f t="array" ref="O355">IFERROR(
VLOOKUP(
TRIM(CLEAN(
INDEX(REPORTE_DROPI!K:K,
MATCH(T355, REPORTE_DROPI!B:B, 0)
))),
{
TRIM(CLEAN(MAPA_ESTADOS!A:A)) ,
MAPA_ESTADOS!B:B
},
2,
FALSE
),
"REVISAR"
)
</f>
        <v>ENTREGADO</v>
      </c>
      <c r="P355" s="118" t="s">
        <v>4296</v>
      </c>
      <c r="Q355" s="122">
        <f t="shared" si="1"/>
        <v>0</v>
      </c>
      <c r="R355" s="118"/>
      <c r="S355" s="118"/>
      <c r="T355" s="118">
        <f t="array" ref="T355">IFERROR(
INDEX(REPORTE_DROPI!B:B,
MATCH(
CLEAN(TRIM(C355)),
CLEAN(TRIM(REPORTE_DROPI!E:E)),
0
)
),
""
)
</f>
        <v>4112195</v>
      </c>
      <c r="U355" s="118">
        <v>6.408249802796E12</v>
      </c>
      <c r="V355" s="78"/>
      <c r="W355" s="78"/>
      <c r="X355" s="78"/>
      <c r="Y355" s="78"/>
      <c r="Z355" s="78"/>
    </row>
    <row r="356" ht="22.5" customHeight="1">
      <c r="A356" s="118">
        <v>355.0</v>
      </c>
      <c r="B356" s="119">
        <v>46033.0</v>
      </c>
      <c r="C356" s="118" t="s">
        <v>4407</v>
      </c>
      <c r="D356" s="118" t="str">
        <f>IFERROR(__xludf.DUMMYFUNCTION("IFERROR(
  INDEX(
    FILTER(
      'NOMBRE DE PRODUCTOS'!B:B,
      REGEXMATCH(
        UPPER(
          INDEX(
            REPORTE_DROPI!AC:AC,
            MATCH(T356, REPORTE_DROPI!B:B, 0)
          )
        ),
        UPPER('NOMBRE DE PRODUCTOS'!A:A)"&amp;"
      )
    ),
    1
  ),
  ""REVISAR""
)
"),"FilmPro®")</f>
        <v>FilmPro®</v>
      </c>
      <c r="E356" s="120" t="str">
        <f t="array" ref="E356">IF(
UPPER(TRIM(CLEAN($O356)))="ENTREGADO",
IFERROR(
INDEX(REPORTE_DROPI!Y:Y,
MATCH($T356, REPORTE_DROPI!B:B, 0)
),
""
),
""
)
</f>
        <v/>
      </c>
      <c r="F356" s="121">
        <v>2.0</v>
      </c>
      <c r="G356" s="122" t="str">
        <f t="array" ref="G356">IF(
UPPER(TRIM(CLEAN($O356)))="ENTREGADO",
IFERROR(
INDEX(REPORTE_DROPI!R:R,
MATCH($T356, REPORTE_DROPI!B:B, 0)
),
""
),
""
)
</f>
        <v/>
      </c>
      <c r="H356" s="118" t="s">
        <v>3727</v>
      </c>
      <c r="I356" s="118" t="s">
        <v>3979</v>
      </c>
      <c r="J356" s="121" t="str">
        <f t="array" ref="J356">IF(
UPPER(TRIM(CLEAN($O356)))="ENTREGADO",
IFERROR(
INDEX(REPORTE_DROPI!T:T,
MATCH($T356, REPORTE_DROPI!B:B, 0)
),
""
),
""
)
</f>
        <v/>
      </c>
      <c r="K356" s="118" t="str">
        <f t="array" ref="K356">IFERROR(
INDEX(REPORTE_DROPI!S:S,
MATCH($T356, REPORTE_DROPI!B:B, 0)
),
""
)
</f>
        <v/>
      </c>
      <c r="L356" s="118">
        <f>IF(
  O356&lt;&gt;"DEVOLUCION",
  "",
  IF(
    T356="",
    "",
    SUMIF(DEVOLUCION!F:F, T356, DEVOLUCION!D:D)
  )
)
</f>
        <v>5.09</v>
      </c>
      <c r="M356" s="118" t="s">
        <v>3870</v>
      </c>
      <c r="N356" s="118" t="s">
        <v>4408</v>
      </c>
      <c r="O356" s="118" t="str">
        <f t="array" ref="O356">IFERROR(
VLOOKUP(
TRIM(CLEAN(
INDEX(REPORTE_DROPI!K:K,
MATCH(T356, REPORTE_DROPI!B:B, 0)
))),
{
TRIM(CLEAN(MAPA_ESTADOS!A:A)) ,
MAPA_ESTADOS!B:B
},
2,
FALSE
),
"REVISAR"
)
</f>
        <v>DEVOLUCION</v>
      </c>
      <c r="P356" s="118"/>
      <c r="Q356" s="122">
        <f t="shared" si="1"/>
        <v>0</v>
      </c>
      <c r="R356" s="118"/>
      <c r="S356" s="118"/>
      <c r="T356" s="118">
        <f t="array" ref="T356">IFERROR(
INDEX(REPORTE_DROPI!B:B,
MATCH(
CLEAN(TRIM(C356)),
CLEAN(TRIM(REPORTE_DROPI!E:E)),
0
)
),
""
)
</f>
        <v>4112227</v>
      </c>
      <c r="U356" s="118">
        <v>6.408252129324E12</v>
      </c>
      <c r="V356" s="78"/>
      <c r="W356" s="78"/>
      <c r="X356" s="78"/>
      <c r="Y356" s="78"/>
      <c r="Z356" s="78"/>
    </row>
    <row r="357" ht="22.5" customHeight="1">
      <c r="A357" s="118">
        <v>356.0</v>
      </c>
      <c r="B357" s="119">
        <v>46033.0</v>
      </c>
      <c r="C357" s="118" t="s">
        <v>4409</v>
      </c>
      <c r="D357" s="118" t="str">
        <f>IFERROR(__xludf.DUMMYFUNCTION("IFERROR(
  INDEX(
    FILTER(
      'NOMBRE DE PRODUCTOS'!B:B,
      REGEXMATCH(
        UPPER(
          INDEX(
            REPORTE_DROPI!AC:AC,
            MATCH(T357, REPORTE_DROPI!B:B, 0)
          )
        ),
        UPPER('NOMBRE DE PRODUCTOS'!A:A)"&amp;"
      )
    ),
    1
  ),
  ""REVISAR""
)
"),"Cuchillo Tazaki™")</f>
        <v>Cuchillo Tazaki™</v>
      </c>
      <c r="E357" s="120">
        <f t="array" ref="E357">IF(
UPPER(TRIM(CLEAN($O357)))="ENTREGADO",
IFERROR(
INDEX(REPORTE_DROPI!Y:Y,
MATCH($T357, REPORTE_DROPI!B:B, 0)
),
""
),
""
)
</f>
        <v>5.2</v>
      </c>
      <c r="F357" s="121">
        <v>2.0</v>
      </c>
      <c r="G357" s="122">
        <f t="array" ref="G357">IF(
UPPER(TRIM(CLEAN($O357)))="ENTREGADO",
IFERROR(
INDEX(REPORTE_DROPI!R:R,
MATCH($T357, REPORTE_DROPI!B:B, 0)
),
""
),
""
)
</f>
        <v>22</v>
      </c>
      <c r="H357" s="118" t="s">
        <v>3727</v>
      </c>
      <c r="I357" s="118" t="s">
        <v>3728</v>
      </c>
      <c r="J357" s="121">
        <f t="array" ref="J357">IF(
UPPER(TRIM(CLEAN($O357)))="ENTREGADO",
IFERROR(
INDEX(REPORTE_DROPI!T:T,
MATCH($T357, REPORTE_DROPI!B:B, 0)
),
""
),
""
)
</f>
        <v>5.84</v>
      </c>
      <c r="K357" s="118">
        <f t="array" ref="K357">IFERROR(
INDEX(REPORTE_DROPI!S:S,
MATCH($T357, REPORTE_DROPI!B:B, 0)
),
""
)
</f>
        <v>10.96</v>
      </c>
      <c r="L357" s="118" t="str">
        <f>IF(
  O357&lt;&gt;"DEVOLUCION",
  "",
  IF(
    T357="",
    "",
    SUMIF(DEVOLUCION!F:F, T357, DEVOLUCION!D:D)
  )
)
</f>
        <v/>
      </c>
      <c r="M357" s="118" t="s">
        <v>3870</v>
      </c>
      <c r="N357" s="118" t="s">
        <v>4410</v>
      </c>
      <c r="O357" s="118" t="str">
        <f t="array" ref="O357">IFERROR(
VLOOKUP(
TRIM(CLEAN(
INDEX(REPORTE_DROPI!K:K,
MATCH(T357, REPORTE_DROPI!B:B, 0)
))),
{
TRIM(CLEAN(MAPA_ESTADOS!A:A)) ,
MAPA_ESTADOS!B:B
},
2,
FALSE
),
"REVISAR"
)
</f>
        <v>ENTREGADO</v>
      </c>
      <c r="P357" s="118"/>
      <c r="Q357" s="122">
        <f t="shared" si="1"/>
        <v>0</v>
      </c>
      <c r="R357" s="118"/>
      <c r="S357" s="118"/>
      <c r="T357" s="118">
        <f t="array" ref="T357">IFERROR(
INDEX(REPORTE_DROPI!B:B,
MATCH(
CLEAN(TRIM(C357)),
CLEAN(TRIM(REPORTE_DROPI!E:E)),
0
)
),
""
)
</f>
        <v>4112473</v>
      </c>
      <c r="U357" s="118">
        <v>6.408283029548E12</v>
      </c>
      <c r="V357" s="78"/>
      <c r="W357" s="78"/>
      <c r="X357" s="78"/>
      <c r="Y357" s="78"/>
      <c r="Z357" s="78"/>
    </row>
    <row r="358" ht="22.5" customHeight="1">
      <c r="A358" s="118">
        <v>357.0</v>
      </c>
      <c r="B358" s="119">
        <v>46034.0</v>
      </c>
      <c r="C358" s="118" t="s">
        <v>4411</v>
      </c>
      <c r="D358" s="118" t="str">
        <f>IFERROR(__xludf.DUMMYFUNCTION("IFERROR(
  INDEX(
    FILTER(
      'NOMBRE DE PRODUCTOS'!B:B,
      REGEXMATCH(
        UPPER(
          INDEX(
            REPORTE_DROPI!AC:AC,
            MATCH(T358, REPORTE_DROPI!B:B, 0)
          )
        ),
        UPPER('NOMBRE DE PRODUCTOS'!A:A)"&amp;"
      )
    ),
    1
  ),
  ""REVISAR""
)
"),"Cuchillo Tazaki™")</f>
        <v>Cuchillo Tazaki™</v>
      </c>
      <c r="E358" s="120">
        <f t="array" ref="E358">IF(
UPPER(TRIM(CLEAN($O358)))="ENTREGADO",
IFERROR(
INDEX(REPORTE_DROPI!Y:Y,
MATCH($T358, REPORTE_DROPI!B:B, 0)
),
""
),
""
)
</f>
        <v>5.2</v>
      </c>
      <c r="F358" s="121">
        <v>2.0</v>
      </c>
      <c r="G358" s="122">
        <f t="array" ref="G358">IF(
UPPER(TRIM(CLEAN($O358)))="ENTREGADO",
IFERROR(
INDEX(REPORTE_DROPI!R:R,
MATCH($T358, REPORTE_DROPI!B:B, 0)
),
""
),
""
)
</f>
        <v>22</v>
      </c>
      <c r="H358" s="118" t="s">
        <v>3727</v>
      </c>
      <c r="I358" s="118" t="s">
        <v>3778</v>
      </c>
      <c r="J358" s="121">
        <f t="array" ref="J358">IF(
UPPER(TRIM(CLEAN($O358)))="ENTREGADO",
IFERROR(
INDEX(REPORTE_DROPI!T:T,
MATCH($T358, REPORTE_DROPI!B:B, 0)
),
""
),
""
)
</f>
        <v>5.84</v>
      </c>
      <c r="K358" s="118">
        <f t="array" ref="K358">IFERROR(
INDEX(REPORTE_DROPI!S:S,
MATCH($T358, REPORTE_DROPI!B:B, 0)
),
""
)
</f>
        <v>10.96</v>
      </c>
      <c r="L358" s="118" t="str">
        <f>IF(
  O358&lt;&gt;"DEVOLUCION",
  "",
  IF(
    T358="",
    "",
    SUMIF(DEVOLUCION!F:F, T358, DEVOLUCION!D:D)
  )
)
</f>
        <v/>
      </c>
      <c r="M358" s="118" t="s">
        <v>3870</v>
      </c>
      <c r="N358" s="118" t="s">
        <v>4412</v>
      </c>
      <c r="O358" s="118" t="str">
        <f t="array" ref="O358">IFERROR(
VLOOKUP(
TRIM(CLEAN(
INDEX(REPORTE_DROPI!K:K,
MATCH(T358, REPORTE_DROPI!B:B, 0)
))),
{
TRIM(CLEAN(MAPA_ESTADOS!A:A)) ,
MAPA_ESTADOS!B:B
},
2,
FALSE
),
"REVISAR"
)
</f>
        <v>ENTREGADO</v>
      </c>
      <c r="P358" s="118"/>
      <c r="Q358" s="122">
        <f t="shared" si="1"/>
        <v>0</v>
      </c>
      <c r="R358" s="118"/>
      <c r="S358" s="118"/>
      <c r="T358" s="118">
        <f t="array" ref="T358">IFERROR(
INDEX(REPORTE_DROPI!B:B,
MATCH(
CLEAN(TRIM(C358)),
CLEAN(TRIM(REPORTE_DROPI!E:E)),
0
)
),
""
)
</f>
        <v>4112847</v>
      </c>
      <c r="U358" s="118">
        <v>6.408349319212E12</v>
      </c>
      <c r="V358" s="78"/>
      <c r="W358" s="78"/>
      <c r="X358" s="78"/>
      <c r="Y358" s="78"/>
      <c r="Z358" s="78"/>
    </row>
    <row r="359" ht="22.5" customHeight="1">
      <c r="A359" s="118">
        <v>358.0</v>
      </c>
      <c r="B359" s="119">
        <v>46034.0</v>
      </c>
      <c r="C359" s="118" t="s">
        <v>4413</v>
      </c>
      <c r="D359" s="118" t="str">
        <f>IFERROR(__xludf.DUMMYFUNCTION("IFERROR(
  INDEX(
    FILTER(
      'NOMBRE DE PRODUCTOS'!B:B,
      REGEXMATCH(
        UPPER(
          INDEX(
            REPORTE_DROPI!AC:AC,
            MATCH(T359, REPORTE_DROPI!B:B, 0)
          )
        ),
        UPPER('NOMBRE DE PRODUCTOS'!A:A)"&amp;"
      )
    ),
    1
  ),
  ""REVISAR""
)
"),"FilmPro®")</f>
        <v>FilmPro®</v>
      </c>
      <c r="E359" s="120">
        <f t="array" ref="E359">IF(
UPPER(TRIM(CLEAN($O359)))="ENTREGADO",
IFERROR(
INDEX(REPORTE_DROPI!Y:Y,
MATCH($T359, REPORTE_DROPI!B:B, 0)
),
""
),
""
)
</f>
        <v>8.37</v>
      </c>
      <c r="F359" s="121">
        <v>3.0</v>
      </c>
      <c r="G359" s="122">
        <f t="array" ref="G359">IF(
UPPER(TRIM(CLEAN($O359)))="ENTREGADO",
IFERROR(
INDEX(REPORTE_DROPI!R:R,
MATCH($T359, REPORTE_DROPI!B:B, 0)
),
""
),
""
)
</f>
        <v>30</v>
      </c>
      <c r="H359" s="118" t="s">
        <v>3727</v>
      </c>
      <c r="I359" s="118" t="s">
        <v>3770</v>
      </c>
      <c r="J359" s="121">
        <f t="array" ref="J359">IF(
UPPER(TRIM(CLEAN($O359)))="ENTREGADO",
IFERROR(
INDEX(REPORTE_DROPI!T:T,
MATCH($T359, REPORTE_DROPI!B:B, 0)
),
""
),
""
)
</f>
        <v>6.16</v>
      </c>
      <c r="K359" s="118">
        <f t="array" ref="K359">IFERROR(
INDEX(REPORTE_DROPI!S:S,
MATCH($T359, REPORTE_DROPI!B:B, 0)
),
""
)
</f>
        <v>15.47</v>
      </c>
      <c r="L359" s="118" t="str">
        <f>IF(
  O359&lt;&gt;"DEVOLUCION",
  "",
  IF(
    T359="",
    "",
    SUMIF(DEVOLUCION!F:F, T359, DEVOLUCION!D:D)
  )
)
</f>
        <v/>
      </c>
      <c r="M359" s="118"/>
      <c r="N359" s="118" t="s">
        <v>4414</v>
      </c>
      <c r="O359" s="118" t="str">
        <f t="array" ref="O359">IFERROR(
VLOOKUP(
TRIM(CLEAN(
INDEX(REPORTE_DROPI!K:K,
MATCH(T359, REPORTE_DROPI!B:B, 0)
))),
{
TRIM(CLEAN(MAPA_ESTADOS!A:A)) ,
MAPA_ESTADOS!B:B
},
2,
FALSE
),
"REVISAR"
)
</f>
        <v>ENTREGADO</v>
      </c>
      <c r="P359" s="118"/>
      <c r="Q359" s="122">
        <f t="shared" si="1"/>
        <v>0</v>
      </c>
      <c r="R359" s="118"/>
      <c r="S359" s="118"/>
      <c r="T359" s="118">
        <f t="array" ref="T359">IFERROR(
INDEX(REPORTE_DROPI!B:B,
MATCH(
CLEAN(TRIM(C359)),
CLEAN(TRIM(REPORTE_DROPI!E:E)),
0
)
),
""
)
</f>
        <v>4112931</v>
      </c>
      <c r="U359" s="118">
        <v>6.40836393374E12</v>
      </c>
      <c r="V359" s="78"/>
      <c r="W359" s="78"/>
      <c r="X359" s="78"/>
      <c r="Y359" s="78"/>
      <c r="Z359" s="78"/>
    </row>
    <row r="360" ht="22.5" customHeight="1">
      <c r="A360" s="118">
        <v>359.0</v>
      </c>
      <c r="B360" s="119">
        <v>46034.0</v>
      </c>
      <c r="C360" s="118" t="s">
        <v>4415</v>
      </c>
      <c r="D360" s="118" t="str">
        <f>IFERROR(__xludf.DUMMYFUNCTION("IFERROR(
  INDEX(
    FILTER(
      'NOMBRE DE PRODUCTOS'!B:B,
      REGEXMATCH(
        UPPER(
          INDEX(
            REPORTE_DROPI!AC:AC,
            MATCH(T360, REPORTE_DROPI!B:B, 0)
          )
        ),
        UPPER('NOMBRE DE PRODUCTOS'!A:A)"&amp;"
      )
    ),
    1
  ),
  ""REVISAR""
)
"),"FilmPro®")</f>
        <v>FilmPro®</v>
      </c>
      <c r="E360" s="120">
        <f t="array" ref="E360">IF(
UPPER(TRIM(CLEAN($O360)))="ENTREGADO",
IFERROR(
INDEX(REPORTE_DROPI!Y:Y,
MATCH($T360, REPORTE_DROPI!B:B, 0)
),
""
),
""
)
</f>
        <v>2.79</v>
      </c>
      <c r="F360" s="121">
        <v>1.0</v>
      </c>
      <c r="G360" s="122">
        <f t="array" ref="G360">IF(
UPPER(TRIM(CLEAN($O360)))="ENTREGADO",
IFERROR(
INDEX(REPORTE_DROPI!R:R,
MATCH($T360, REPORTE_DROPI!B:B, 0)
),
""
),
""
)
</f>
        <v>20</v>
      </c>
      <c r="H360" s="118" t="s">
        <v>3727</v>
      </c>
      <c r="I360" s="118" t="s">
        <v>3759</v>
      </c>
      <c r="J360" s="121">
        <f t="array" ref="J360">IF(
UPPER(TRIM(CLEAN($O360)))="ENTREGADO",
IFERROR(
INDEX(REPORTE_DROPI!T:T,
MATCH($T360, REPORTE_DROPI!B:B, 0)
),
""
),
""
)
</f>
        <v>5.76</v>
      </c>
      <c r="K360" s="118">
        <f t="array" ref="K360">IFERROR(
INDEX(REPORTE_DROPI!S:S,
MATCH($T360, REPORTE_DROPI!B:B, 0)
),
""
)
</f>
        <v>11.45</v>
      </c>
      <c r="L360" s="118" t="str">
        <f>IF(
  O360&lt;&gt;"DEVOLUCION",
  "",
  IF(
    T360="",
    "",
    SUMIF(DEVOLUCION!F:F, T360, DEVOLUCION!D:D)
  )
)
</f>
        <v/>
      </c>
      <c r="M360" s="118"/>
      <c r="N360" s="118" t="s">
        <v>4416</v>
      </c>
      <c r="O360" s="118" t="str">
        <f t="array" ref="O360">IFERROR(
VLOOKUP(
TRIM(CLEAN(
INDEX(REPORTE_DROPI!K:K,
MATCH(T360, REPORTE_DROPI!B:B, 0)
))),
{
TRIM(CLEAN(MAPA_ESTADOS!A:A)) ,
MAPA_ESTADOS!B:B
},
2,
FALSE
),
"REVISAR"
)
</f>
        <v>ENTREGADO</v>
      </c>
      <c r="P360" s="118"/>
      <c r="Q360" s="122">
        <f t="shared" si="1"/>
        <v>0</v>
      </c>
      <c r="R360" s="118"/>
      <c r="S360" s="118"/>
      <c r="T360" s="118">
        <f t="array" ref="T360">IFERROR(
INDEX(REPORTE_DROPI!B:B,
MATCH(
CLEAN(TRIM(C360)),
CLEAN(TRIM(REPORTE_DROPI!E:E)),
0
)
),
""
)
</f>
        <v>4113110</v>
      </c>
      <c r="U360" s="118">
        <v>6.408420425772E12</v>
      </c>
      <c r="V360" s="78"/>
      <c r="W360" s="78"/>
      <c r="X360" s="78"/>
      <c r="Y360" s="78"/>
      <c r="Z360" s="78"/>
    </row>
    <row r="361" ht="22.5" customHeight="1">
      <c r="A361" s="118">
        <v>360.0</v>
      </c>
      <c r="B361" s="119">
        <v>46034.0</v>
      </c>
      <c r="C361" s="118" t="s">
        <v>4417</v>
      </c>
      <c r="D361" s="118" t="str">
        <f>IFERROR(__xludf.DUMMYFUNCTION("IFERROR(
  INDEX(
    FILTER(
      'NOMBRE DE PRODUCTOS'!B:B,
      REGEXMATCH(
        UPPER(
          INDEX(
            REPORTE_DROPI!AC:AC,
            MATCH(T361, REPORTE_DROPI!B:B, 0)
          )
        ),
        UPPER('NOMBRE DE PRODUCTOS'!A:A)"&amp;"
      )
    ),
    1
  ),
  ""REVISAR""
)
"),"FilmPro®")</f>
        <v>FilmPro®</v>
      </c>
      <c r="E361" s="120" t="str">
        <f t="array" ref="E361">IF(
UPPER(TRIM(CLEAN($O361)))="ENTREGADO",
IFERROR(
INDEX(REPORTE_DROPI!Y:Y,
MATCH($T361, REPORTE_DROPI!B:B, 0)
),
""
),
""
)
</f>
        <v/>
      </c>
      <c r="F361" s="121">
        <v>3.0</v>
      </c>
      <c r="G361" s="122" t="str">
        <f t="array" ref="G361">IF(
UPPER(TRIM(CLEAN($O361)))="ENTREGADO",
IFERROR(
INDEX(REPORTE_DROPI!R:R,
MATCH($T361, REPORTE_DROPI!B:B, 0)
),
""
),
""
)
</f>
        <v/>
      </c>
      <c r="H361" s="118" t="s">
        <v>3727</v>
      </c>
      <c r="I361" s="118" t="s">
        <v>3731</v>
      </c>
      <c r="J361" s="121" t="str">
        <f t="array" ref="J361">IF(
UPPER(TRIM(CLEAN($O361)))="ENTREGADO",
IFERROR(
INDEX(REPORTE_DROPI!T:T,
MATCH($T361, REPORTE_DROPI!B:B, 0)
),
""
),
""
)
</f>
        <v/>
      </c>
      <c r="K361" s="118" t="str">
        <f t="array" ref="K361">IFERROR(
INDEX(REPORTE_DROPI!S:S,
MATCH($T361, REPORTE_DROPI!B:B, 0)
),
""
)
</f>
        <v/>
      </c>
      <c r="L361" s="118">
        <f>IF(
  O361&lt;&gt;"DEVOLUCION",
  "",
  IF(
    T361="",
    "",
    SUMIF(DEVOLUCION!F:F, T361, DEVOLUCION!D:D)
  )
)
</f>
        <v>5.12</v>
      </c>
      <c r="M361" s="118"/>
      <c r="N361" s="118" t="s">
        <v>4418</v>
      </c>
      <c r="O361" s="118" t="str">
        <f t="array" ref="O361">IFERROR(
VLOOKUP(
TRIM(CLEAN(
INDEX(REPORTE_DROPI!K:K,
MATCH(T361, REPORTE_DROPI!B:B, 0)
))),
{
TRIM(CLEAN(MAPA_ESTADOS!A:A)) ,
MAPA_ESTADOS!B:B
},
2,
FALSE
),
"REVISAR"
)
</f>
        <v>DEVOLUCION</v>
      </c>
      <c r="P361" s="118"/>
      <c r="Q361" s="122">
        <f t="shared" si="1"/>
        <v>0</v>
      </c>
      <c r="R361" s="118"/>
      <c r="S361" s="118"/>
      <c r="T361" s="118">
        <f t="array" ref="T361">IFERROR(
INDEX(REPORTE_DROPI!B:B,
MATCH(
CLEAN(TRIM(C361)),
CLEAN(TRIM(REPORTE_DROPI!E:E)),
0
)
),
""
)
</f>
        <v>4113220</v>
      </c>
      <c r="U361" s="118">
        <v>6.408546418732E12</v>
      </c>
      <c r="V361" s="78"/>
      <c r="W361" s="78"/>
      <c r="X361" s="78"/>
      <c r="Y361" s="78"/>
      <c r="Z361" s="78"/>
    </row>
    <row r="362" ht="22.5" customHeight="1">
      <c r="A362" s="118">
        <v>361.0</v>
      </c>
      <c r="B362" s="119">
        <v>46034.0</v>
      </c>
      <c r="C362" s="126" t="s">
        <v>4419</v>
      </c>
      <c r="D362" s="118" t="str">
        <f>IFERROR(__xludf.DUMMYFUNCTION("IFERROR(
  INDEX(
    FILTER(
      'NOMBRE DE PRODUCTOS'!B:B,
      REGEXMATCH(
        UPPER(
          INDEX(
            REPORTE_DROPI!AC:AC,
            MATCH(T362, REPORTE_DROPI!B:B, 0)
          )
        ),
        UPPER('NOMBRE DE PRODUCTOS'!A:A)"&amp;"
      )
    ),
    1
  ),
  ""REVISAR""
)
"),"FilmPro®")</f>
        <v>FilmPro®</v>
      </c>
      <c r="E362" s="120" t="str">
        <f t="array" ref="E362">IF(
UPPER(TRIM(CLEAN($O362)))="ENTREGADO",
IFERROR(
INDEX(REPORTE_DROPI!Y:Y,
MATCH($T362, REPORTE_DROPI!B:B, 0)
),
""
),
""
)
</f>
        <v/>
      </c>
      <c r="F362" s="121">
        <v>1.0</v>
      </c>
      <c r="G362" s="122" t="str">
        <f t="array" ref="G362">IF(
UPPER(TRIM(CLEAN($O362)))="ENTREGADO",
IFERROR(
INDEX(REPORTE_DROPI!R:R,
MATCH($T362, REPORTE_DROPI!B:B, 0)
),
""
),
""
)
</f>
        <v/>
      </c>
      <c r="H362" s="118" t="s">
        <v>3727</v>
      </c>
      <c r="I362" s="118" t="s">
        <v>3728</v>
      </c>
      <c r="J362" s="121" t="str">
        <f t="array" ref="J362">IF(
UPPER(TRIM(CLEAN($O362)))="ENTREGADO",
IFERROR(
INDEX(REPORTE_DROPI!T:T,
MATCH($T362, REPORTE_DROPI!B:B, 0)
),
""
),
""
)
</f>
        <v/>
      </c>
      <c r="K362" s="118" t="str">
        <f t="array" ref="K362">IFERROR(
INDEX(REPORTE_DROPI!S:S,
MATCH($T362, REPORTE_DROPI!B:B, 0)
),
""
)
</f>
        <v/>
      </c>
      <c r="L362" s="118">
        <f>IF(
  O362&lt;&gt;"DEVOLUCION",
  "",
  IF(
    T362="",
    "",
    SUMIF(DEVOLUCION!F:F, T362, DEVOLUCION!D:D)
  )
)
</f>
        <v>0</v>
      </c>
      <c r="M362" s="118"/>
      <c r="N362" s="118" t="s">
        <v>4420</v>
      </c>
      <c r="O362" s="118" t="str">
        <f t="array" ref="O362">IFERROR(
VLOOKUP(
TRIM(CLEAN(
INDEX(REPORTE_DROPI!K:K,
MATCH(T362, REPORTE_DROPI!B:B, 0)
))),
{
TRIM(CLEAN(MAPA_ESTADOS!A:A)) ,
MAPA_ESTADOS!B:B
},
2,
FALSE
),
"REVISAR"
)
</f>
        <v>DEVOLUCION</v>
      </c>
      <c r="P362" s="118" t="s">
        <v>4296</v>
      </c>
      <c r="Q362" s="122">
        <f t="shared" si="1"/>
        <v>0</v>
      </c>
      <c r="R362" s="118"/>
      <c r="S362" s="118"/>
      <c r="T362" s="118">
        <f t="array" ref="T362">IFERROR(
INDEX(REPORTE_DROPI!B:B,
MATCH(
CLEAN(TRIM(C362)),
CLEAN(TRIM(REPORTE_DROPI!E:E)),
0
)
),
""
)
</f>
        <v>4113373</v>
      </c>
      <c r="U362" s="118">
        <v>6.408585969708E12</v>
      </c>
      <c r="V362" s="78"/>
      <c r="W362" s="78"/>
      <c r="X362" s="78"/>
      <c r="Y362" s="78"/>
      <c r="Z362" s="78"/>
    </row>
    <row r="363" ht="22.5" customHeight="1">
      <c r="A363" s="118">
        <v>362.0</v>
      </c>
      <c r="B363" s="119">
        <v>46034.0</v>
      </c>
      <c r="C363" s="126" t="s">
        <v>4421</v>
      </c>
      <c r="D363" s="118" t="str">
        <f>IFERROR(__xludf.DUMMYFUNCTION("IFERROR(
  INDEX(
    FILTER(
      'NOMBRE DE PRODUCTOS'!B:B,
      REGEXMATCH(
        UPPER(
          INDEX(
            REPORTE_DROPI!AC:AC,
            MATCH(T363, REPORTE_DROPI!B:B, 0)
          )
        ),
        UPPER('NOMBRE DE PRODUCTOS'!A:A)"&amp;"
      )
    ),
    1
  ),
  ""REVISAR""
)
"),"Cuchillo Tazaki™")</f>
        <v>Cuchillo Tazaki™</v>
      </c>
      <c r="E363" s="120" t="str">
        <f t="array" ref="E363">IF(
UPPER(TRIM(CLEAN($O363)))="ENTREGADO",
IFERROR(
INDEX(REPORTE_DROPI!Y:Y,
MATCH($T363, REPORTE_DROPI!B:B, 0)
),
""
),
""
)
</f>
        <v/>
      </c>
      <c r="F363" s="121">
        <v>3.0</v>
      </c>
      <c r="G363" s="122" t="str">
        <f t="array" ref="G363">IF(
UPPER(TRIM(CLEAN($O363)))="ENTREGADO",
IFERROR(
INDEX(REPORTE_DROPI!R:R,
MATCH($T363, REPORTE_DROPI!B:B, 0)
),
""
),
""
)
</f>
        <v/>
      </c>
      <c r="H363" s="118" t="s">
        <v>3727</v>
      </c>
      <c r="I363" s="118" t="s">
        <v>3855</v>
      </c>
      <c r="J363" s="121" t="str">
        <f t="array" ref="J363">IF(
UPPER(TRIM(CLEAN($O363)))="ENTREGADO",
IFERROR(
INDEX(REPORTE_DROPI!T:T,
MATCH($T363, REPORTE_DROPI!B:B, 0)
),
""
),
""
)
</f>
        <v/>
      </c>
      <c r="K363" s="118" t="str">
        <f t="array" ref="K363">IFERROR(
INDEX(REPORTE_DROPI!S:S,
MATCH($T363, REPORTE_DROPI!B:B, 0)
),
""
)
</f>
        <v/>
      </c>
      <c r="L363" s="118" t="str">
        <f>IF(
  O363&lt;&gt;"DEVOLUCION",
  "",
  IF(
    T363="",
    "",
    SUMIF(DEVOLUCION!F:F, T363, DEVOLUCION!D:D)
  )
)
</f>
        <v/>
      </c>
      <c r="M363" s="118"/>
      <c r="N363" s="118" t="s">
        <v>4422</v>
      </c>
      <c r="O363" s="118" t="str">
        <f t="array" ref="O363">IFERROR(
VLOOKUP(
TRIM(CLEAN(
INDEX(REPORTE_DROPI!K:K,
MATCH(T363, REPORTE_DROPI!B:B, 0)
))),
{
TRIM(CLEAN(MAPA_ESTADOS!A:A)) ,
MAPA_ESTADOS!B:B
},
2,
FALSE
),
"REVISAR"
)
</f>
        <v>PENDIENTE</v>
      </c>
      <c r="P363" s="118" t="s">
        <v>3689</v>
      </c>
      <c r="Q363" s="122">
        <f t="shared" si="1"/>
        <v>0</v>
      </c>
      <c r="R363" s="118"/>
      <c r="S363" s="118"/>
      <c r="T363" s="118">
        <f t="array" ref="T363">IFERROR(
INDEX(REPORTE_DROPI!B:B,
MATCH(
CLEAN(TRIM(C363)),
CLEAN(TRIM(REPORTE_DROPI!E:E)),
0
)
),
""
)
</f>
        <v>4113388</v>
      </c>
      <c r="U363" s="118">
        <v>6.408587313196E12</v>
      </c>
      <c r="V363" s="78"/>
      <c r="W363" s="78"/>
      <c r="X363" s="78"/>
      <c r="Y363" s="78"/>
      <c r="Z363" s="78"/>
    </row>
    <row r="364" ht="22.5" customHeight="1">
      <c r="A364" s="118">
        <v>363.0</v>
      </c>
      <c r="B364" s="119">
        <v>46034.0</v>
      </c>
      <c r="C364" s="118" t="s">
        <v>4423</v>
      </c>
      <c r="D364" s="118" t="str">
        <f>IFERROR(__xludf.DUMMYFUNCTION("IFERROR(
  INDEX(
    FILTER(
      'NOMBRE DE PRODUCTOS'!B:B,
      REGEXMATCH(
        UPPER(
          INDEX(
            REPORTE_DROPI!AC:AC,
            MATCH(T364, REPORTE_DROPI!B:B, 0)
          )
        ),
        UPPER('NOMBRE DE PRODUCTOS'!A:A)"&amp;"
      )
    ),
    1
  ),
  ""REVISAR""
)
"),"FilmPro®")</f>
        <v>FilmPro®</v>
      </c>
      <c r="E364" s="120" t="str">
        <f t="array" ref="E364">IF(
UPPER(TRIM(CLEAN($O364)))="ENTREGADO",
IFERROR(
INDEX(REPORTE_DROPI!Y:Y,
MATCH($T364, REPORTE_DROPI!B:B, 0)
),
""
),
""
)
</f>
        <v/>
      </c>
      <c r="F364" s="121">
        <v>3.0</v>
      </c>
      <c r="G364" s="122" t="str">
        <f t="array" ref="G364">IF(
UPPER(TRIM(CLEAN($O364)))="ENTREGADO",
IFERROR(
INDEX(REPORTE_DROPI!R:R,
MATCH($T364, REPORTE_DROPI!B:B, 0)
),
""
),
""
)
</f>
        <v/>
      </c>
      <c r="H364" s="118" t="s">
        <v>3727</v>
      </c>
      <c r="I364" s="118" t="s">
        <v>3740</v>
      </c>
      <c r="J364" s="121" t="str">
        <f t="array" ref="J364">IF(
UPPER(TRIM(CLEAN($O364)))="ENTREGADO",
IFERROR(
INDEX(REPORTE_DROPI!T:T,
MATCH($T364, REPORTE_DROPI!B:B, 0)
),
""
),
""
)
</f>
        <v/>
      </c>
      <c r="K364" s="118" t="str">
        <f t="array" ref="K364">IFERROR(
INDEX(REPORTE_DROPI!S:S,
MATCH($T364, REPORTE_DROPI!B:B, 0)
),
""
)
</f>
        <v/>
      </c>
      <c r="L364" s="118" t="str">
        <f>IF(
  O364&lt;&gt;"DEVOLUCION",
  "",
  IF(
    T364="",
    "",
    SUMIF(DEVOLUCION!F:F, T364, DEVOLUCION!D:D)
  )
)
</f>
        <v/>
      </c>
      <c r="M364" s="118"/>
      <c r="N364" s="118" t="s">
        <v>4424</v>
      </c>
      <c r="O364" s="118" t="str">
        <f t="array" ref="O364">IFERROR(
VLOOKUP(
TRIM(CLEAN(
INDEX(REPORTE_DROPI!K:K,
MATCH(T364, REPORTE_DROPI!B:B, 0)
))),
{
TRIM(CLEAN(MAPA_ESTADOS!A:A)) ,
MAPA_ESTADOS!B:B
},
2,
FALSE
),
"REVISAR"
)
</f>
        <v>CANCELADO</v>
      </c>
      <c r="P364" s="118" t="s">
        <v>4425</v>
      </c>
      <c r="Q364" s="122">
        <f t="shared" si="1"/>
        <v>0</v>
      </c>
      <c r="R364" s="118"/>
      <c r="S364" s="118"/>
      <c r="T364" s="118">
        <f t="array" ref="T364">IFERROR(
INDEX(REPORTE_DROPI!B:B,
MATCH(
CLEAN(TRIM(C364)),
CLEAN(TRIM(REPORTE_DROPI!E:E)),
0
)
),
""
)
</f>
        <v>4113409</v>
      </c>
      <c r="U364" s="118">
        <v>6.408589475884E12</v>
      </c>
      <c r="V364" s="78"/>
      <c r="W364" s="78"/>
      <c r="X364" s="78"/>
      <c r="Y364" s="78"/>
      <c r="Z364" s="78"/>
    </row>
    <row r="365" ht="22.5" customHeight="1">
      <c r="A365" s="118">
        <v>364.0</v>
      </c>
      <c r="B365" s="119">
        <v>46034.0</v>
      </c>
      <c r="C365" s="118" t="s">
        <v>4426</v>
      </c>
      <c r="D365" s="118" t="str">
        <f>IFERROR(__xludf.DUMMYFUNCTION("IFERROR(
  INDEX(
    FILTER(
      'NOMBRE DE PRODUCTOS'!B:B,
      REGEXMATCH(
        UPPER(
          INDEX(
            REPORTE_DROPI!AC:AC,
            MATCH(T365, REPORTE_DROPI!B:B, 0)
          )
        ),
        UPPER('NOMBRE DE PRODUCTOS'!A:A)"&amp;"
      )
    ),
    1
  ),
  ""REVISAR""
)
"),"FilmPro®")</f>
        <v>FilmPro®</v>
      </c>
      <c r="E365" s="120" t="str">
        <f t="array" ref="E365">IF(
UPPER(TRIM(CLEAN($O365)))="ENTREGADO",
IFERROR(
INDEX(REPORTE_DROPI!Y:Y,
MATCH($T365, REPORTE_DROPI!B:B, 0)
),
""
),
""
)
</f>
        <v/>
      </c>
      <c r="F365" s="121">
        <v>3.0</v>
      </c>
      <c r="G365" s="122" t="str">
        <f t="array" ref="G365">IF(
UPPER(TRIM(CLEAN($O365)))="ENTREGADO",
IFERROR(
INDEX(REPORTE_DROPI!R:R,
MATCH($T365, REPORTE_DROPI!B:B, 0)
),
""
),
""
)
</f>
        <v/>
      </c>
      <c r="H365" s="118" t="s">
        <v>3727</v>
      </c>
      <c r="I365" s="118" t="s">
        <v>3731</v>
      </c>
      <c r="J365" s="121" t="str">
        <f t="array" ref="J365">IF(
UPPER(TRIM(CLEAN($O365)))="ENTREGADO",
IFERROR(
INDEX(REPORTE_DROPI!T:T,
MATCH($T365, REPORTE_DROPI!B:B, 0)
),
""
),
""
)
</f>
        <v/>
      </c>
      <c r="K365" s="118" t="str">
        <f t="array" ref="K365">IFERROR(
INDEX(REPORTE_DROPI!S:S,
MATCH($T365, REPORTE_DROPI!B:B, 0)
),
""
)
</f>
        <v/>
      </c>
      <c r="L365" s="118">
        <f>IF(
  O365&lt;&gt;"DEVOLUCION",
  "",
  IF(
    T365="",
    "",
    SUMIF(DEVOLUCION!F:F, T365, DEVOLUCION!D:D)
  )
)
</f>
        <v>5.12</v>
      </c>
      <c r="M365" s="118"/>
      <c r="N365" s="118" t="s">
        <v>4427</v>
      </c>
      <c r="O365" s="118" t="str">
        <f t="array" ref="O365">IFERROR(
VLOOKUP(
TRIM(CLEAN(
INDEX(REPORTE_DROPI!K:K,
MATCH(T365, REPORTE_DROPI!B:B, 0)
))),
{
TRIM(CLEAN(MAPA_ESTADOS!A:A)) ,
MAPA_ESTADOS!B:B
},
2,
FALSE
),
"REVISAR"
)
</f>
        <v>DEVOLUCION</v>
      </c>
      <c r="P365" s="118"/>
      <c r="Q365" s="122">
        <f t="shared" si="1"/>
        <v>0</v>
      </c>
      <c r="R365" s="118"/>
      <c r="S365" s="118"/>
      <c r="T365" s="118">
        <f t="array" ref="T365">IFERROR(
INDEX(REPORTE_DROPI!B:B,
MATCH(
CLEAN(TRIM(C365)),
CLEAN(TRIM(REPORTE_DROPI!E:E)),
0
)
),
""
)
</f>
        <v>4113550</v>
      </c>
      <c r="U365" s="118">
        <v>6.40861591966E12</v>
      </c>
      <c r="V365" s="78"/>
      <c r="W365" s="78"/>
      <c r="X365" s="78"/>
      <c r="Y365" s="78"/>
      <c r="Z365" s="78"/>
    </row>
    <row r="366" ht="22.5" customHeight="1">
      <c r="A366" s="118">
        <v>365.0</v>
      </c>
      <c r="B366" s="119">
        <v>46034.0</v>
      </c>
      <c r="C366" s="118" t="s">
        <v>4428</v>
      </c>
      <c r="D366" s="118" t="str">
        <f>IFERROR(__xludf.DUMMYFUNCTION("IFERROR(
  INDEX(
    FILTER(
      'NOMBRE DE PRODUCTOS'!B:B,
      REGEXMATCH(
        UPPER(
          INDEX(
            REPORTE_DROPI!AC:AC,
            MATCH(T366, REPORTE_DROPI!B:B, 0)
          )
        ),
        UPPER('NOMBRE DE PRODUCTOS'!A:A)"&amp;"
      )
    ),
    1
  ),
  ""REVISAR""
)
"),"FilmPro®")</f>
        <v>FilmPro®</v>
      </c>
      <c r="E366" s="120">
        <f t="array" ref="E366">IF(
UPPER(TRIM(CLEAN($O366)))="ENTREGADO",
IFERROR(
INDEX(REPORTE_DROPI!Y:Y,
MATCH($T366, REPORTE_DROPI!B:B, 0)
),
""
),
""
)
</f>
        <v>5.58</v>
      </c>
      <c r="F366" s="121">
        <v>2.0</v>
      </c>
      <c r="G366" s="122">
        <f t="array" ref="G366">IF(
UPPER(TRIM(CLEAN($O366)))="ENTREGADO",
IFERROR(
INDEX(REPORTE_DROPI!R:R,
MATCH($T366, REPORTE_DROPI!B:B, 0)
),
""
),
""
)
</f>
        <v>25</v>
      </c>
      <c r="H366" s="118" t="s">
        <v>3727</v>
      </c>
      <c r="I366" s="118" t="s">
        <v>3728</v>
      </c>
      <c r="J366" s="121">
        <f t="array" ref="J366">IF(
UPPER(TRIM(CLEAN($O366)))="ENTREGADO",
IFERROR(
INDEX(REPORTE_DROPI!T:T,
MATCH($T366, REPORTE_DROPI!B:B, 0)
),
""
),
""
)
</f>
        <v>7.75</v>
      </c>
      <c r="K366" s="118">
        <f t="array" ref="K366">IFERROR(
INDEX(REPORTE_DROPI!S:S,
MATCH($T366, REPORTE_DROPI!B:B, 0)
),
""
)
</f>
        <v>11.67</v>
      </c>
      <c r="L366" s="118" t="str">
        <f>IF(
  O366&lt;&gt;"DEVOLUCION",
  "",
  IF(
    T366="",
    "",
    SUMIF(DEVOLUCION!F:F, T366, DEVOLUCION!D:D)
  )
)
</f>
        <v/>
      </c>
      <c r="M366" s="118"/>
      <c r="N366" s="118" t="s">
        <v>4429</v>
      </c>
      <c r="O366" s="118" t="str">
        <f t="array" ref="O366">IFERROR(
VLOOKUP(
TRIM(CLEAN(
INDEX(REPORTE_DROPI!K:K,
MATCH(T366, REPORTE_DROPI!B:B, 0)
))),
{
TRIM(CLEAN(MAPA_ESTADOS!A:A)) ,
MAPA_ESTADOS!B:B
},
2,
FALSE
),
"REVISAR"
)
</f>
        <v>ENTREGADO</v>
      </c>
      <c r="P366" s="118"/>
      <c r="Q366" s="122">
        <f t="shared" si="1"/>
        <v>0</v>
      </c>
      <c r="R366" s="118"/>
      <c r="S366" s="118"/>
      <c r="T366" s="118">
        <f t="array" ref="T366">IFERROR(
INDEX(REPORTE_DROPI!B:B,
MATCH(
CLEAN(TRIM(C366)),
CLEAN(TRIM(REPORTE_DROPI!E:E)),
0
)
),
""
)
</f>
        <v>4113567</v>
      </c>
      <c r="U366" s="118">
        <v>6.408618016812E12</v>
      </c>
      <c r="V366" s="78"/>
      <c r="W366" s="78"/>
      <c r="X366" s="78"/>
      <c r="Y366" s="78"/>
      <c r="Z366" s="78"/>
    </row>
    <row r="367" ht="22.5" customHeight="1">
      <c r="A367" s="118">
        <v>366.0</v>
      </c>
      <c r="B367" s="119">
        <v>46034.0</v>
      </c>
      <c r="C367" s="118" t="s">
        <v>4430</v>
      </c>
      <c r="D367" s="118" t="str">
        <f>IFERROR(__xludf.DUMMYFUNCTION("IFERROR(
  INDEX(
    FILTER(
      'NOMBRE DE PRODUCTOS'!B:B,
      REGEXMATCH(
        UPPER(
          INDEX(
            REPORTE_DROPI!AC:AC,
            MATCH(T367, REPORTE_DROPI!B:B, 0)
          )
        ),
        UPPER('NOMBRE DE PRODUCTOS'!A:A)"&amp;"
      )
    ),
    1
  ),
  ""REVISAR""
)
"),"FilmPro®")</f>
        <v>FilmPro®</v>
      </c>
      <c r="E367" s="120" t="str">
        <f t="array" ref="E367">IF(
UPPER(TRIM(CLEAN($O367)))="ENTREGADO",
IFERROR(
INDEX(REPORTE_DROPI!Y:Y,
MATCH($T367, REPORTE_DROPI!B:B, 0)
),
""
),
""
)
</f>
        <v/>
      </c>
      <c r="F367" s="121">
        <v>1.0</v>
      </c>
      <c r="G367" s="122" t="str">
        <f t="array" ref="G367">IF(
UPPER(TRIM(CLEAN($O367)))="ENTREGADO",
IFERROR(
INDEX(REPORTE_DROPI!R:R,
MATCH($T367, REPORTE_DROPI!B:B, 0)
),
""
),
""
)
</f>
        <v/>
      </c>
      <c r="H367" s="118" t="s">
        <v>3727</v>
      </c>
      <c r="I367" s="118" t="s">
        <v>3912</v>
      </c>
      <c r="J367" s="121" t="str">
        <f t="array" ref="J367">IF(
UPPER(TRIM(CLEAN($O367)))="ENTREGADO",
IFERROR(
INDEX(REPORTE_DROPI!T:T,
MATCH($T367, REPORTE_DROPI!B:B, 0)
),
""
),
""
)
</f>
        <v/>
      </c>
      <c r="K367" s="118" t="str">
        <f t="array" ref="K367">IFERROR(
INDEX(REPORTE_DROPI!S:S,
MATCH($T367, REPORTE_DROPI!B:B, 0)
),
""
)
</f>
        <v/>
      </c>
      <c r="L367" s="118">
        <f>IF(
  O367&lt;&gt;"DEVOLUCION",
  "",
  IF(
    T367="",
    "",
    SUMIF(DEVOLUCION!F:F, T367, DEVOLUCION!D:D)
  )
)
</f>
        <v>5.06</v>
      </c>
      <c r="M367" s="118"/>
      <c r="N367" s="118" t="s">
        <v>4431</v>
      </c>
      <c r="O367" s="118" t="str">
        <f t="array" ref="O367">IFERROR(
VLOOKUP(
TRIM(CLEAN(
INDEX(REPORTE_DROPI!K:K,
MATCH(T367, REPORTE_DROPI!B:B, 0)
))),
{
TRIM(CLEAN(MAPA_ESTADOS!A:A)) ,
MAPA_ESTADOS!B:B
},
2,
FALSE
),
"REVISAR"
)
</f>
        <v>DEVOLUCION</v>
      </c>
      <c r="P367" s="118" t="s">
        <v>4296</v>
      </c>
      <c r="Q367" s="122">
        <f t="shared" si="1"/>
        <v>0</v>
      </c>
      <c r="R367" s="118"/>
      <c r="S367" s="118"/>
      <c r="T367" s="118">
        <f t="array" ref="T367">IFERROR(
INDEX(REPORTE_DROPI!B:B,
MATCH(
CLEAN(TRIM(C367)),
CLEAN(TRIM(REPORTE_DROPI!E:E)),
0
)
),
""
)
</f>
        <v>4113614</v>
      </c>
      <c r="U367" s="118">
        <v>6.408624570412E12</v>
      </c>
      <c r="V367" s="78"/>
      <c r="W367" s="78"/>
      <c r="X367" s="78"/>
      <c r="Y367" s="78"/>
      <c r="Z367" s="78"/>
    </row>
    <row r="368" ht="22.5" customHeight="1">
      <c r="A368" s="118">
        <v>367.0</v>
      </c>
      <c r="B368" s="119">
        <v>46034.0</v>
      </c>
      <c r="C368" s="126" t="s">
        <v>4432</v>
      </c>
      <c r="D368" s="118" t="str">
        <f>IFERROR(__xludf.DUMMYFUNCTION("IFERROR(
  INDEX(
    FILTER(
      'NOMBRE DE PRODUCTOS'!B:B,
      REGEXMATCH(
        UPPER(
          INDEX(
            REPORTE_DROPI!AC:AC,
            MATCH(T368, REPORTE_DROPI!B:B, 0)
          )
        ),
        UPPER('NOMBRE DE PRODUCTOS'!A:A)"&amp;"
      )
    ),
    1
  ),
  ""REVISAR""
)
"),"FilmPro®")</f>
        <v>FilmPro®</v>
      </c>
      <c r="E368" s="120" t="str">
        <f t="array" ref="E368">IF(
UPPER(TRIM(CLEAN($O368)))="ENTREGADO",
IFERROR(
INDEX(REPORTE_DROPI!Y:Y,
MATCH($T368, REPORTE_DROPI!B:B, 0)
),
""
),
""
)
</f>
        <v/>
      </c>
      <c r="F368" s="121">
        <v>1.0</v>
      </c>
      <c r="G368" s="122" t="str">
        <f t="array" ref="G368">IF(
UPPER(TRIM(CLEAN($O368)))="ENTREGADO",
IFERROR(
INDEX(REPORTE_DROPI!R:R,
MATCH($T368, REPORTE_DROPI!B:B, 0)
),
""
),
""
)
</f>
        <v/>
      </c>
      <c r="H368" s="118" t="s">
        <v>3727</v>
      </c>
      <c r="I368" s="118" t="s">
        <v>3784</v>
      </c>
      <c r="J368" s="121" t="str">
        <f t="array" ref="J368">IF(
UPPER(TRIM(CLEAN($O368)))="ENTREGADO",
IFERROR(
INDEX(REPORTE_DROPI!T:T,
MATCH($T368, REPORTE_DROPI!B:B, 0)
),
""
),
""
)
</f>
        <v/>
      </c>
      <c r="K368" s="118" t="str">
        <f t="array" ref="K368">IFERROR(
INDEX(REPORTE_DROPI!S:S,
MATCH($T368, REPORTE_DROPI!B:B, 0)
),
""
)
</f>
        <v/>
      </c>
      <c r="L368" s="118" t="str">
        <f>IF(
  O368&lt;&gt;"DEVOLUCION",
  "",
  IF(
    T368="",
    "",
    SUMIF(DEVOLUCION!F:F, T368, DEVOLUCION!D:D)
  )
)
</f>
        <v/>
      </c>
      <c r="M368" s="118"/>
      <c r="N368" s="118" t="s">
        <v>4433</v>
      </c>
      <c r="O368" s="118" t="str">
        <f t="array" ref="O368">IFERROR(
VLOOKUP(
TRIM(CLEAN(
INDEX(REPORTE_DROPI!K:K,
MATCH(T368, REPORTE_DROPI!B:B, 0)
))),
{
TRIM(CLEAN(MAPA_ESTADOS!A:A)) ,
MAPA_ESTADOS!B:B
},
2,
FALSE
),
"REVISAR"
)
</f>
        <v>PENDIENTE</v>
      </c>
      <c r="P368" s="118" t="s">
        <v>3689</v>
      </c>
      <c r="Q368" s="122">
        <f t="shared" si="1"/>
        <v>0</v>
      </c>
      <c r="R368" s="118"/>
      <c r="S368" s="118"/>
      <c r="T368" s="118">
        <f t="array" ref="T368">IFERROR(
INDEX(REPORTE_DROPI!B:B,
MATCH(
CLEAN(TRIM(C368)),
CLEAN(TRIM(REPORTE_DROPI!E:E)),
0
)
),
""
)
</f>
        <v>4113709</v>
      </c>
      <c r="U368" s="118">
        <v>6.408634236972E12</v>
      </c>
      <c r="V368" s="78"/>
      <c r="W368" s="78"/>
      <c r="X368" s="78"/>
      <c r="Y368" s="78"/>
      <c r="Z368" s="78"/>
    </row>
    <row r="369" ht="22.5" customHeight="1">
      <c r="A369" s="118">
        <v>368.0</v>
      </c>
      <c r="B369" s="119">
        <v>46034.0</v>
      </c>
      <c r="C369" s="126" t="s">
        <v>4434</v>
      </c>
      <c r="D369" s="118" t="str">
        <f>IFERROR(__xludf.DUMMYFUNCTION("IFERROR(
  INDEX(
    FILTER(
      'NOMBRE DE PRODUCTOS'!B:B,
      REGEXMATCH(
        UPPER(
          INDEX(
            REPORTE_DROPI!AC:AC,
            MATCH(T369, REPORTE_DROPI!B:B, 0)
          )
        ),
        UPPER('NOMBRE DE PRODUCTOS'!A:A)"&amp;"
      )
    ),
    1
  ),
  ""REVISAR""
)
"),"FilmPro®")</f>
        <v>FilmPro®</v>
      </c>
      <c r="E369" s="120" t="str">
        <f t="array" ref="E369">IF(
UPPER(TRIM(CLEAN($O369)))="ENTREGADO",
IFERROR(
INDEX(REPORTE_DROPI!Y:Y,
MATCH($T369, REPORTE_DROPI!B:B, 0)
),
""
),
""
)
</f>
        <v/>
      </c>
      <c r="F369" s="121">
        <v>2.0</v>
      </c>
      <c r="G369" s="122" t="str">
        <f t="array" ref="G369">IF(
UPPER(TRIM(CLEAN($O369)))="ENTREGADO",
IFERROR(
INDEX(REPORTE_DROPI!R:R,
MATCH($T369, REPORTE_DROPI!B:B, 0)
),
""
),
""
)
</f>
        <v/>
      </c>
      <c r="H369" s="118" t="s">
        <v>3727</v>
      </c>
      <c r="I369" s="118" t="s">
        <v>3979</v>
      </c>
      <c r="J369" s="121" t="str">
        <f t="array" ref="J369">IF(
UPPER(TRIM(CLEAN($O369)))="ENTREGADO",
IFERROR(
INDEX(REPORTE_DROPI!T:T,
MATCH($T369, REPORTE_DROPI!B:B, 0)
),
""
),
""
)
</f>
        <v/>
      </c>
      <c r="K369" s="118" t="str">
        <f t="array" ref="K369">IFERROR(
INDEX(REPORTE_DROPI!S:S,
MATCH($T369, REPORTE_DROPI!B:B, 0)
),
""
)
</f>
        <v/>
      </c>
      <c r="L369" s="118" t="str">
        <f>IF(
  O369&lt;&gt;"DEVOLUCION",
  "",
  IF(
    T369="",
    "",
    SUMIF(DEVOLUCION!F:F, T369, DEVOLUCION!D:D)
  )
)
</f>
        <v/>
      </c>
      <c r="M369" s="118"/>
      <c r="N369" s="118" t="s">
        <v>4435</v>
      </c>
      <c r="O369" s="118" t="str">
        <f t="array" ref="O369">IFERROR(
VLOOKUP(
TRIM(CLEAN(
INDEX(REPORTE_DROPI!K:K,
MATCH(T369, REPORTE_DROPI!B:B, 0)
))),
{
TRIM(CLEAN(MAPA_ESTADOS!A:A)) ,
MAPA_ESTADOS!B:B
},
2,
FALSE
),
"REVISAR"
)
</f>
        <v>PENDIENTE</v>
      </c>
      <c r="P369" s="118" t="s">
        <v>3689</v>
      </c>
      <c r="Q369" s="122">
        <f t="shared" si="1"/>
        <v>0</v>
      </c>
      <c r="R369" s="118"/>
      <c r="S369" s="118"/>
      <c r="T369" s="118">
        <f t="array" ref="T369">IFERROR(
INDEX(REPORTE_DROPI!B:B,
MATCH(
CLEAN(TRIM(C369)),
CLEAN(TRIM(REPORTE_DROPI!E:E)),
0
)
),
""
)
</f>
        <v>4113808</v>
      </c>
      <c r="U369" s="118">
        <v>6.408647639084E12</v>
      </c>
      <c r="V369" s="78"/>
      <c r="W369" s="78"/>
      <c r="X369" s="78"/>
      <c r="Y369" s="78"/>
      <c r="Z369" s="78"/>
    </row>
    <row r="370" ht="22.5" customHeight="1">
      <c r="A370" s="118">
        <v>369.0</v>
      </c>
      <c r="B370" s="119">
        <v>46034.0</v>
      </c>
      <c r="C370" s="118" t="s">
        <v>4436</v>
      </c>
      <c r="D370" s="118" t="str">
        <f>IFERROR(__xludf.DUMMYFUNCTION("IFERROR(
  INDEX(
    FILTER(
      'NOMBRE DE PRODUCTOS'!B:B,
      REGEXMATCH(
        UPPER(
          INDEX(
            REPORTE_DROPI!AC:AC,
            MATCH(T370, REPORTE_DROPI!B:B, 0)
          )
        ),
        UPPER('NOMBRE DE PRODUCTOS'!A:A)"&amp;"
      )
    ),
    1
  ),
  ""REVISAR""
)
"),"FilmPro®")</f>
        <v>FilmPro®</v>
      </c>
      <c r="E370" s="120">
        <f t="array" ref="E370">IF(
UPPER(TRIM(CLEAN($O370)))="ENTREGADO",
IFERROR(
INDEX(REPORTE_DROPI!Y:Y,
MATCH($T370, REPORTE_DROPI!B:B, 0)
),
""
),
""
)
</f>
        <v>8.37</v>
      </c>
      <c r="F370" s="121">
        <v>3.0</v>
      </c>
      <c r="G370" s="122">
        <f t="array" ref="G370">IF(
UPPER(TRIM(CLEAN($O370)))="ENTREGADO",
IFERROR(
INDEX(REPORTE_DROPI!R:R,
MATCH($T370, REPORTE_DROPI!B:B, 0)
),
""
),
""
)
</f>
        <v>30</v>
      </c>
      <c r="H370" s="118" t="s">
        <v>3727</v>
      </c>
      <c r="I370" s="118" t="s">
        <v>3731</v>
      </c>
      <c r="J370" s="121">
        <f t="array" ref="J370">IF(
UPPER(TRIM(CLEAN($O370)))="ENTREGADO",
IFERROR(
INDEX(REPORTE_DROPI!T:T,
MATCH($T370, REPORTE_DROPI!B:B, 0)
),
""
),
""
)
</f>
        <v>6.16</v>
      </c>
      <c r="K370" s="118">
        <f t="array" ref="K370">IFERROR(
INDEX(REPORTE_DROPI!S:S,
MATCH($T370, REPORTE_DROPI!B:B, 0)
),
""
)
</f>
        <v>15.47</v>
      </c>
      <c r="L370" s="118" t="str">
        <f>IF(
  O370&lt;&gt;"DEVOLUCION",
  "",
  IF(
    T370="",
    "",
    SUMIF(DEVOLUCION!F:F, T370, DEVOLUCION!D:D)
  )
)
</f>
        <v/>
      </c>
      <c r="M370" s="118"/>
      <c r="N370" s="118" t="s">
        <v>4437</v>
      </c>
      <c r="O370" s="118" t="str">
        <f t="array" ref="O370">IFERROR(
VLOOKUP(
TRIM(CLEAN(
INDEX(REPORTE_DROPI!K:K,
MATCH(T370, REPORTE_DROPI!B:B, 0)
))),
{
TRIM(CLEAN(MAPA_ESTADOS!A:A)) ,
MAPA_ESTADOS!B:B
},
2,
FALSE
),
"REVISAR"
)
</f>
        <v>ENTREGADO</v>
      </c>
      <c r="P370" s="118"/>
      <c r="Q370" s="122">
        <f t="shared" si="1"/>
        <v>0</v>
      </c>
      <c r="R370" s="118"/>
      <c r="S370" s="118"/>
      <c r="T370" s="118">
        <f t="array" ref="T370">IFERROR(
INDEX(REPORTE_DROPI!B:B,
MATCH(
CLEAN(TRIM(C370)),
CLEAN(TRIM(REPORTE_DROPI!E:E)),
0
)
),
""
)
</f>
        <v>4113906</v>
      </c>
      <c r="U370" s="118">
        <v>6.408655339564E12</v>
      </c>
      <c r="V370" s="78"/>
      <c r="W370" s="78"/>
      <c r="X370" s="78"/>
      <c r="Y370" s="78"/>
      <c r="Z370" s="78"/>
    </row>
    <row r="371" ht="22.5" customHeight="1">
      <c r="A371" s="118">
        <v>370.0</v>
      </c>
      <c r="B371" s="119">
        <v>46034.0</v>
      </c>
      <c r="C371" s="118" t="s">
        <v>4438</v>
      </c>
      <c r="D371" s="118" t="str">
        <f>IFERROR(__xludf.DUMMYFUNCTION("IFERROR(
  INDEX(
    FILTER(
      'NOMBRE DE PRODUCTOS'!B:B,
      REGEXMATCH(
        UPPER(
          INDEX(
            REPORTE_DROPI!AC:AC,
            MATCH(T371, REPORTE_DROPI!B:B, 0)
          )
        ),
        UPPER('NOMBRE DE PRODUCTOS'!A:A)"&amp;"
      )
    ),
    1
  ),
  ""REVISAR""
)
"),"FilmPro®")</f>
        <v>FilmPro®</v>
      </c>
      <c r="E371" s="120">
        <f t="array" ref="E371">IF(
UPPER(TRIM(CLEAN($O371)))="ENTREGADO",
IFERROR(
INDEX(REPORTE_DROPI!Y:Y,
MATCH($T371, REPORTE_DROPI!B:B, 0)
),
""
),
""
)
</f>
        <v>2.79</v>
      </c>
      <c r="F371" s="121">
        <v>1.0</v>
      </c>
      <c r="G371" s="122">
        <f t="array" ref="G371">IF(
UPPER(TRIM(CLEAN($O371)))="ENTREGADO",
IFERROR(
INDEX(REPORTE_DROPI!R:R,
MATCH($T371, REPORTE_DROPI!B:B, 0)
),
""
),
""
)
</f>
        <v>20</v>
      </c>
      <c r="H371" s="118" t="s">
        <v>3727</v>
      </c>
      <c r="I371" s="118" t="s">
        <v>3740</v>
      </c>
      <c r="J371" s="121">
        <f t="array" ref="J371">IF(
UPPER(TRIM(CLEAN($O371)))="ENTREGADO",
IFERROR(
INDEX(REPORTE_DROPI!T:T,
MATCH($T371, REPORTE_DROPI!B:B, 0)
),
""
),
""
)
</f>
        <v>4.15</v>
      </c>
      <c r="K371" s="118">
        <f t="array" ref="K371">IFERROR(
INDEX(REPORTE_DROPI!S:S,
MATCH($T371, REPORTE_DROPI!B:B, 0)
),
""
)
</f>
        <v>13.06</v>
      </c>
      <c r="L371" s="118" t="str">
        <f>IF(
  O371&lt;&gt;"DEVOLUCION",
  "",
  IF(
    T371="",
    "",
    SUMIF(DEVOLUCION!F:F, T371, DEVOLUCION!D:D)
  )
)
</f>
        <v/>
      </c>
      <c r="M371" s="118"/>
      <c r="N371" s="118" t="s">
        <v>4439</v>
      </c>
      <c r="O371" s="118" t="str">
        <f t="array" ref="O371">IFERROR(
VLOOKUP(
TRIM(CLEAN(
INDEX(REPORTE_DROPI!K:K,
MATCH(T371, REPORTE_DROPI!B:B, 0)
))),
{
TRIM(CLEAN(MAPA_ESTADOS!A:A)) ,
MAPA_ESTADOS!B:B
},
2,
FALSE
),
"REVISAR"
)
</f>
        <v>ENTREGADO</v>
      </c>
      <c r="P371" s="118"/>
      <c r="Q371" s="122">
        <f t="shared" si="1"/>
        <v>0</v>
      </c>
      <c r="R371" s="118"/>
      <c r="S371" s="118"/>
      <c r="T371" s="118">
        <f t="array" ref="T371">IFERROR(
INDEX(REPORTE_DROPI!B:B,
MATCH(
CLEAN(TRIM(C371)),
CLEAN(TRIM(REPORTE_DROPI!E:E)),
0
)
),
""
)
</f>
        <v>4113923</v>
      </c>
      <c r="U371" s="118">
        <v>6.408656781356E12</v>
      </c>
      <c r="V371" s="78"/>
      <c r="W371" s="78"/>
      <c r="X371" s="78"/>
      <c r="Y371" s="78"/>
      <c r="Z371" s="78"/>
    </row>
    <row r="372" ht="22.5" customHeight="1">
      <c r="A372" s="118">
        <v>371.0</v>
      </c>
      <c r="B372" s="119">
        <v>46034.0</v>
      </c>
      <c r="C372" s="126" t="s">
        <v>4440</v>
      </c>
      <c r="D372" s="118" t="str">
        <f>IFERROR(__xludf.DUMMYFUNCTION("IFERROR(
  INDEX(
    FILTER(
      'NOMBRE DE PRODUCTOS'!B:B,
      REGEXMATCH(
        UPPER(
          INDEX(
            REPORTE_DROPI!AC:AC,
            MATCH(T372, REPORTE_DROPI!B:B, 0)
          )
        ),
        UPPER('NOMBRE DE PRODUCTOS'!A:A)"&amp;"
      )
    ),
    1
  ),
  ""REVISAR""
)
"),"FilmPro®")</f>
        <v>FilmPro®</v>
      </c>
      <c r="E372" s="120" t="str">
        <f t="array" ref="E372">IF(
UPPER(TRIM(CLEAN($O372)))="ENTREGADO",
IFERROR(
INDEX(REPORTE_DROPI!Y:Y,
MATCH($T372, REPORTE_DROPI!B:B, 0)
),
""
),
""
)
</f>
        <v/>
      </c>
      <c r="F372" s="121">
        <v>1.0</v>
      </c>
      <c r="G372" s="122" t="str">
        <f t="array" ref="G372">IF(
UPPER(TRIM(CLEAN($O372)))="ENTREGADO",
IFERROR(
INDEX(REPORTE_DROPI!R:R,
MATCH($T372, REPORTE_DROPI!B:B, 0)
),
""
),
""
)
</f>
        <v/>
      </c>
      <c r="H372" s="118" t="s">
        <v>3727</v>
      </c>
      <c r="I372" s="118" t="s">
        <v>3740</v>
      </c>
      <c r="J372" s="121" t="str">
        <f t="array" ref="J372">IF(
UPPER(TRIM(CLEAN($O372)))="ENTREGADO",
IFERROR(
INDEX(REPORTE_DROPI!T:T,
MATCH($T372, REPORTE_DROPI!B:B, 0)
),
""
),
""
)
</f>
        <v/>
      </c>
      <c r="K372" s="118" t="str">
        <f t="array" ref="K372">IFERROR(
INDEX(REPORTE_DROPI!S:S,
MATCH($T372, REPORTE_DROPI!B:B, 0)
),
""
)
</f>
        <v/>
      </c>
      <c r="L372" s="118" t="str">
        <f>IF(
  O372&lt;&gt;"DEVOLUCION",
  "",
  IF(
    T372="",
    "",
    SUMIF(DEVOLUCION!F:F, T372, DEVOLUCION!D:D)
  )
)
</f>
        <v/>
      </c>
      <c r="M372" s="118"/>
      <c r="N372" s="118" t="s">
        <v>4441</v>
      </c>
      <c r="O372" s="118" t="str">
        <f t="array" ref="O372">IFERROR(
VLOOKUP(
TRIM(CLEAN(
INDEX(REPORTE_DROPI!K:K,
MATCH(T372, REPORTE_DROPI!B:B, 0)
))),
{
TRIM(CLEAN(MAPA_ESTADOS!A:A)) ,
MAPA_ESTADOS!B:B
},
2,
FALSE
),
"REVISAR"
)
</f>
        <v>PENDIENTE</v>
      </c>
      <c r="P372" s="118" t="s">
        <v>3689</v>
      </c>
      <c r="Q372" s="122">
        <f t="shared" si="1"/>
        <v>0</v>
      </c>
      <c r="R372" s="118"/>
      <c r="S372" s="118"/>
      <c r="T372" s="118">
        <f t="array" ref="T372">IFERROR(
INDEX(REPORTE_DROPI!B:B,
MATCH(
CLEAN(TRIM(C372)),
CLEAN(TRIM(REPORTE_DROPI!E:E)),
0
)
),
""
)
</f>
        <v>4113924</v>
      </c>
      <c r="U372" s="118">
        <v>6.40865687966E12</v>
      </c>
      <c r="V372" s="78"/>
      <c r="W372" s="78"/>
      <c r="X372" s="78"/>
      <c r="Y372" s="78"/>
      <c r="Z372" s="78"/>
    </row>
    <row r="373" ht="22.5" customHeight="1">
      <c r="A373" s="118">
        <v>372.0</v>
      </c>
      <c r="B373" s="119">
        <v>46034.0</v>
      </c>
      <c r="C373" s="118" t="s">
        <v>4442</v>
      </c>
      <c r="D373" s="118" t="str">
        <f>IFERROR(__xludf.DUMMYFUNCTION("IFERROR(
  INDEX(
    FILTER(
      'NOMBRE DE PRODUCTOS'!B:B,
      REGEXMATCH(
        UPPER(
          INDEX(
            REPORTE_DROPI!AC:AC,
            MATCH(T373, REPORTE_DROPI!B:B, 0)
          )
        ),
        UPPER('NOMBRE DE PRODUCTOS'!A:A)"&amp;"
      )
    ),
    1
  ),
  ""REVISAR""
)
"),"FilmPro®")</f>
        <v>FilmPro®</v>
      </c>
      <c r="E373" s="120">
        <f t="array" ref="E373">IF(
UPPER(TRIM(CLEAN($O373)))="ENTREGADO",
IFERROR(
INDEX(REPORTE_DROPI!Y:Y,
MATCH($T373, REPORTE_DROPI!B:B, 0)
),
""
),
""
)
</f>
        <v>5.58</v>
      </c>
      <c r="F373" s="121">
        <v>2.0</v>
      </c>
      <c r="G373" s="122">
        <f t="array" ref="G373">IF(
UPPER(TRIM(CLEAN($O373)))="ENTREGADO",
IFERROR(
INDEX(REPORTE_DROPI!R:R,
MATCH($T373, REPORTE_DROPI!B:B, 0)
),
""
),
""
)
</f>
        <v>25</v>
      </c>
      <c r="H373" s="118" t="s">
        <v>3727</v>
      </c>
      <c r="I373" s="118" t="s">
        <v>3740</v>
      </c>
      <c r="J373" s="121">
        <f t="array" ref="J373">IF(
UPPER(TRIM(CLEAN($O373)))="ENTREGADO",
IFERROR(
INDEX(REPORTE_DROPI!T:T,
MATCH($T373, REPORTE_DROPI!B:B, 0)
),
""
),
""
)
</f>
        <v>4.35</v>
      </c>
      <c r="K373" s="118">
        <f t="array" ref="K373">IFERROR(
INDEX(REPORTE_DROPI!S:S,
MATCH($T373, REPORTE_DROPI!B:B, 0)
),
""
)
</f>
        <v>15.07</v>
      </c>
      <c r="L373" s="118" t="str">
        <f>IF(
  O373&lt;&gt;"DEVOLUCION",
  "",
  IF(
    T373="",
    "",
    SUMIF(DEVOLUCION!F:F, T373, DEVOLUCION!D:D)
  )
)
</f>
        <v/>
      </c>
      <c r="M373" s="118"/>
      <c r="N373" s="118" t="s">
        <v>4443</v>
      </c>
      <c r="O373" s="118" t="str">
        <f t="array" ref="O373">IFERROR(
VLOOKUP(
TRIM(CLEAN(
INDEX(REPORTE_DROPI!K:K,
MATCH(T373, REPORTE_DROPI!B:B, 0)
))),
{
TRIM(CLEAN(MAPA_ESTADOS!A:A)) ,
MAPA_ESTADOS!B:B
},
2,
FALSE
),
"REVISAR"
)
</f>
        <v>ENTREGADO</v>
      </c>
      <c r="P373" s="118"/>
      <c r="Q373" s="122">
        <f t="shared" si="1"/>
        <v>0</v>
      </c>
      <c r="R373" s="118"/>
      <c r="S373" s="118"/>
      <c r="T373" s="118">
        <f t="array" ref="T373">IFERROR(
INDEX(REPORTE_DROPI!B:B,
MATCH(
CLEAN(TRIM(C373)),
CLEAN(TRIM(REPORTE_DROPI!E:E)),
0
)
),
""
)
</f>
        <v>4113964</v>
      </c>
      <c r="U373" s="118">
        <v>6.408661696556E12</v>
      </c>
      <c r="V373" s="78"/>
      <c r="W373" s="78"/>
      <c r="X373" s="78"/>
      <c r="Y373" s="78"/>
      <c r="Z373" s="78"/>
    </row>
    <row r="374" ht="22.5" customHeight="1">
      <c r="A374" s="118">
        <v>373.0</v>
      </c>
      <c r="B374" s="119">
        <v>46034.0</v>
      </c>
      <c r="C374" s="118" t="s">
        <v>4444</v>
      </c>
      <c r="D374" s="118" t="str">
        <f>IFERROR(__xludf.DUMMYFUNCTION("IFERROR(
  INDEX(
    FILTER(
      'NOMBRE DE PRODUCTOS'!B:B,
      REGEXMATCH(
        UPPER(
          INDEX(
            REPORTE_DROPI!AC:AC,
            MATCH(T374, REPORTE_DROPI!B:B, 0)
          )
        ),
        UPPER('NOMBRE DE PRODUCTOS'!A:A)"&amp;"
      )
    ),
    1
  ),
  ""REVISAR""
)
"),"FilmPro®")</f>
        <v>FilmPro®</v>
      </c>
      <c r="E374" s="120">
        <f t="array" ref="E374">IF(
UPPER(TRIM(CLEAN($O374)))="ENTREGADO",
IFERROR(
INDEX(REPORTE_DROPI!Y:Y,
MATCH($T374, REPORTE_DROPI!B:B, 0)
),
""
),
""
)
</f>
        <v>5.58</v>
      </c>
      <c r="F374" s="121">
        <v>2.0</v>
      </c>
      <c r="G374" s="122">
        <f t="array" ref="G374">IF(
UPPER(TRIM(CLEAN($O374)))="ENTREGADO",
IFERROR(
INDEX(REPORTE_DROPI!R:R,
MATCH($T374, REPORTE_DROPI!B:B, 0)
),
""
),
""
)
</f>
        <v>25</v>
      </c>
      <c r="H374" s="118" t="s">
        <v>3727</v>
      </c>
      <c r="I374" s="118" t="s">
        <v>3855</v>
      </c>
      <c r="J374" s="121">
        <f t="array" ref="J374">IF(
UPPER(TRIM(CLEAN($O374)))="ENTREGADO",
IFERROR(
INDEX(REPORTE_DROPI!T:T,
MATCH($T374, REPORTE_DROPI!B:B, 0)
),
""
),
""
)
</f>
        <v>5.96</v>
      </c>
      <c r="K374" s="118">
        <f t="array" ref="K374">IFERROR(
INDEX(REPORTE_DROPI!S:S,
MATCH($T374, REPORTE_DROPI!B:B, 0)
),
""
)
</f>
        <v>13.46</v>
      </c>
      <c r="L374" s="118" t="str">
        <f>IF(
  O374&lt;&gt;"DEVOLUCION",
  "",
  IF(
    T374="",
    "",
    SUMIF(DEVOLUCION!F:F, T374, DEVOLUCION!D:D)
  )
)
</f>
        <v/>
      </c>
      <c r="M374" s="118"/>
      <c r="N374" s="118" t="s">
        <v>4445</v>
      </c>
      <c r="O374" s="118" t="str">
        <f t="array" ref="O374">IFERROR(
VLOOKUP(
TRIM(CLEAN(
INDEX(REPORTE_DROPI!K:K,
MATCH(T374, REPORTE_DROPI!B:B, 0)
))),
{
TRIM(CLEAN(MAPA_ESTADOS!A:A)) ,
MAPA_ESTADOS!B:B
},
2,
FALSE
),
"REVISAR"
)
</f>
        <v>ENTREGADO</v>
      </c>
      <c r="P374" s="118"/>
      <c r="Q374" s="122">
        <f t="shared" si="1"/>
        <v>0</v>
      </c>
      <c r="R374" s="118"/>
      <c r="S374" s="118"/>
      <c r="T374" s="118">
        <f t="array" ref="T374">IFERROR(
INDEX(REPORTE_DROPI!B:B,
MATCH(
CLEAN(TRIM(C374)),
CLEAN(TRIM(REPORTE_DROPI!E:E)),
0
)
),
""
)
</f>
        <v>4113979</v>
      </c>
      <c r="U374" s="118">
        <v>6.40866343326E12</v>
      </c>
      <c r="V374" s="78"/>
      <c r="W374" s="78"/>
      <c r="X374" s="78"/>
      <c r="Y374" s="78"/>
      <c r="Z374" s="78"/>
    </row>
    <row r="375" ht="22.5" customHeight="1">
      <c r="A375" s="118">
        <v>374.0</v>
      </c>
      <c r="B375" s="119">
        <v>46034.0</v>
      </c>
      <c r="C375" s="118" t="s">
        <v>4446</v>
      </c>
      <c r="D375" s="118" t="str">
        <f>IFERROR(__xludf.DUMMYFUNCTION("IFERROR(
  INDEX(
    FILTER(
      'NOMBRE DE PRODUCTOS'!B:B,
      REGEXMATCH(
        UPPER(
          INDEX(
            REPORTE_DROPI!AC:AC,
            MATCH(T375, REPORTE_DROPI!B:B, 0)
          )
        ),
        UPPER('NOMBRE DE PRODUCTOS'!A:A)"&amp;"
      )
    ),
    1
  ),
  ""REVISAR""
)
"),"Cuchillo Tazaki™")</f>
        <v>Cuchillo Tazaki™</v>
      </c>
      <c r="E375" s="120">
        <f t="array" ref="E375">IF(
UPPER(TRIM(CLEAN($O375)))="ENTREGADO",
IFERROR(
INDEX(REPORTE_DROPI!Y:Y,
MATCH($T375, REPORTE_DROPI!B:B, 0)
),
""
),
""
)
</f>
        <v>5.2</v>
      </c>
      <c r="F375" s="121">
        <v>2.0</v>
      </c>
      <c r="G375" s="122">
        <f t="array" ref="G375">IF(
UPPER(TRIM(CLEAN($O375)))="ENTREGADO",
IFERROR(
INDEX(REPORTE_DROPI!R:R,
MATCH($T375, REPORTE_DROPI!B:B, 0)
),
""
),
""
)
</f>
        <v>22</v>
      </c>
      <c r="H375" s="118" t="s">
        <v>3727</v>
      </c>
      <c r="I375" s="118" t="s">
        <v>3778</v>
      </c>
      <c r="J375" s="121">
        <f t="array" ref="J375">IF(
UPPER(TRIM(CLEAN($O375)))="ENTREGADO",
IFERROR(
INDEX(REPORTE_DROPI!T:T,
MATCH($T375, REPORTE_DROPI!B:B, 0)
),
""
),
""
)
</f>
        <v>5.84</v>
      </c>
      <c r="K375" s="118">
        <f t="array" ref="K375">IFERROR(
INDEX(REPORTE_DROPI!S:S,
MATCH($T375, REPORTE_DROPI!B:B, 0)
),
""
)
</f>
        <v>10.96</v>
      </c>
      <c r="L375" s="118" t="str">
        <f>IF(
  O375&lt;&gt;"DEVOLUCION",
  "",
  IF(
    T375="",
    "",
    SUMIF(DEVOLUCION!F:F, T375, DEVOLUCION!D:D)
  )
)
</f>
        <v/>
      </c>
      <c r="M375" s="118"/>
      <c r="N375" s="118" t="s">
        <v>4447</v>
      </c>
      <c r="O375" s="118" t="str">
        <f t="array" ref="O375">IFERROR(
VLOOKUP(
TRIM(CLEAN(
INDEX(REPORTE_DROPI!K:K,
MATCH(T375, REPORTE_DROPI!B:B, 0)
))),
{
TRIM(CLEAN(MAPA_ESTADOS!A:A)) ,
MAPA_ESTADOS!B:B
},
2,
FALSE
),
"REVISAR"
)
</f>
        <v>ENTREGADO</v>
      </c>
      <c r="P375" s="118"/>
      <c r="Q375" s="122">
        <f t="shared" si="1"/>
        <v>0</v>
      </c>
      <c r="R375" s="118"/>
      <c r="S375" s="118"/>
      <c r="T375" s="118">
        <f t="array" ref="T375">IFERROR(
INDEX(REPORTE_DROPI!B:B,
MATCH(
CLEAN(TRIM(C375)),
CLEAN(TRIM(REPORTE_DROPI!E:E)),
0
)
),
""
)
</f>
        <v>4124975</v>
      </c>
      <c r="U375" s="118">
        <v>6.408668971052E12</v>
      </c>
      <c r="V375" s="78"/>
      <c r="W375" s="78"/>
      <c r="X375" s="78"/>
      <c r="Y375" s="78"/>
      <c r="Z375" s="78"/>
    </row>
    <row r="376" ht="22.5" customHeight="1">
      <c r="A376" s="118">
        <v>375.0</v>
      </c>
      <c r="B376" s="119">
        <v>46034.0</v>
      </c>
      <c r="C376" s="126" t="s">
        <v>4448</v>
      </c>
      <c r="D376" s="118" t="str">
        <f>IFERROR(__xludf.DUMMYFUNCTION("IFERROR(
  INDEX(
    FILTER(
      'NOMBRE DE PRODUCTOS'!B:B,
      REGEXMATCH(
        UPPER(
          INDEX(
            REPORTE_DROPI!AC:AC,
            MATCH(T376, REPORTE_DROPI!B:B, 0)
          )
        ),
        UPPER('NOMBRE DE PRODUCTOS'!A:A)"&amp;"
      )
    ),
    1
  ),
  ""REVISAR""
)
"),"FilmPro®")</f>
        <v>FilmPro®</v>
      </c>
      <c r="E376" s="120" t="str">
        <f t="array" ref="E376">IF(
UPPER(TRIM(CLEAN($O376)))="ENTREGADO",
IFERROR(
INDEX(REPORTE_DROPI!Y:Y,
MATCH($T376, REPORTE_DROPI!B:B, 0)
),
""
),
""
)
</f>
        <v/>
      </c>
      <c r="F376" s="121">
        <v>3.0</v>
      </c>
      <c r="G376" s="122" t="str">
        <f t="array" ref="G376">IF(
UPPER(TRIM(CLEAN($O376)))="ENTREGADO",
IFERROR(
INDEX(REPORTE_DROPI!R:R,
MATCH($T376, REPORTE_DROPI!B:B, 0)
),
""
),
""
)
</f>
        <v/>
      </c>
      <c r="H376" s="118" t="s">
        <v>3727</v>
      </c>
      <c r="I376" s="118" t="s">
        <v>3731</v>
      </c>
      <c r="J376" s="121" t="str">
        <f t="array" ref="J376">IF(
UPPER(TRIM(CLEAN($O376)))="ENTREGADO",
IFERROR(
INDEX(REPORTE_DROPI!T:T,
MATCH($T376, REPORTE_DROPI!B:B, 0)
),
""
),
""
)
</f>
        <v/>
      </c>
      <c r="K376" s="118" t="str">
        <f t="array" ref="K376">IFERROR(
INDEX(REPORTE_DROPI!S:S,
MATCH($T376, REPORTE_DROPI!B:B, 0)
),
""
)
</f>
        <v/>
      </c>
      <c r="L376" s="118" t="str">
        <f>IF(
  O376&lt;&gt;"DEVOLUCION",
  "",
  IF(
    T376="",
    "",
    SUMIF(DEVOLUCION!F:F, T376, DEVOLUCION!D:D)
  )
)
</f>
        <v/>
      </c>
      <c r="M376" s="118"/>
      <c r="N376" s="118" t="s">
        <v>4449</v>
      </c>
      <c r="O376" s="118" t="str">
        <f t="array" ref="O376">IFERROR(
VLOOKUP(
TRIM(CLEAN(
INDEX(REPORTE_DROPI!K:K,
MATCH(T376, REPORTE_DROPI!B:B, 0)
))),
{
TRIM(CLEAN(MAPA_ESTADOS!A:A)) ,
MAPA_ESTADOS!B:B
},
2,
FALSE
),
"REVISAR"
)
</f>
        <v>PENDIENTE</v>
      </c>
      <c r="P376" s="118" t="s">
        <v>4350</v>
      </c>
      <c r="Q376" s="122">
        <f t="shared" si="1"/>
        <v>0</v>
      </c>
      <c r="R376" s="118"/>
      <c r="S376" s="118"/>
      <c r="T376" s="118">
        <f t="array" ref="T376">IFERROR(
INDEX(REPORTE_DROPI!B:B,
MATCH(
CLEAN(TRIM(C376)),
CLEAN(TRIM(REPORTE_DROPI!E:E)),
0
)
),
""
)
</f>
        <v>4122569</v>
      </c>
      <c r="U376" s="118">
        <v>6.408696463404E12</v>
      </c>
      <c r="V376" s="78"/>
      <c r="W376" s="78"/>
      <c r="X376" s="78"/>
      <c r="Y376" s="78"/>
      <c r="Z376" s="78"/>
    </row>
    <row r="377" ht="22.5" customHeight="1">
      <c r="A377" s="118">
        <v>376.0</v>
      </c>
      <c r="B377" s="119">
        <v>46034.0</v>
      </c>
      <c r="C377" s="118" t="s">
        <v>4450</v>
      </c>
      <c r="D377" s="118" t="str">
        <f>IFERROR(__xludf.DUMMYFUNCTION("IFERROR(
  INDEX(
    FILTER(
      'NOMBRE DE PRODUCTOS'!B:B,
      REGEXMATCH(
        UPPER(
          INDEX(
            REPORTE_DROPI!AC:AC,
            MATCH(T377, REPORTE_DROPI!B:B, 0)
          )
        ),
        UPPER('NOMBRE DE PRODUCTOS'!A:A)"&amp;"
      )
    ),
    1
  ),
  ""REVISAR""
)
"),"FilmPro®")</f>
        <v>FilmPro®</v>
      </c>
      <c r="E377" s="120">
        <f t="array" ref="E377">IF(
UPPER(TRIM(CLEAN($O377)))="ENTREGADO",
IFERROR(
INDEX(REPORTE_DROPI!Y:Y,
MATCH($T377, REPORTE_DROPI!B:B, 0)
),
""
),
""
)
</f>
        <v>4.7</v>
      </c>
      <c r="F377" s="121">
        <v>2.0</v>
      </c>
      <c r="G377" s="122">
        <f t="array" ref="G377">IF(
UPPER(TRIM(CLEAN($O377)))="ENTREGADO",
IFERROR(
INDEX(REPORTE_DROPI!R:R,
MATCH($T377, REPORTE_DROPI!B:B, 0)
),
""
),
""
)
</f>
        <v>25</v>
      </c>
      <c r="H377" s="118" t="s">
        <v>3727</v>
      </c>
      <c r="I377" s="118" t="s">
        <v>3740</v>
      </c>
      <c r="J377" s="121">
        <f t="array" ref="J377">IF(
UPPER(TRIM(CLEAN($O377)))="ENTREGADO",
IFERROR(
INDEX(REPORTE_DROPI!T:T,
MATCH($T377, REPORTE_DROPI!B:B, 0)
),
""
),
""
)
</f>
        <v>5.96</v>
      </c>
      <c r="K377" s="118">
        <f t="array" ref="K377">IFERROR(
INDEX(REPORTE_DROPI!S:S,
MATCH($T377, REPORTE_DROPI!B:B, 0)
),
""
)
</f>
        <v>14.34</v>
      </c>
      <c r="L377" s="118" t="str">
        <f>IF(
  O377&lt;&gt;"DEVOLUCION",
  "",
  IF(
    T377="",
    "",
    SUMIF(DEVOLUCION!F:F, T377, DEVOLUCION!D:D)
  )
)
</f>
        <v/>
      </c>
      <c r="M377" s="118"/>
      <c r="N377" s="118" t="s">
        <v>4451</v>
      </c>
      <c r="O377" s="118" t="str">
        <f t="array" ref="O377">IFERROR(
VLOOKUP(
TRIM(CLEAN(
INDEX(REPORTE_DROPI!K:K,
MATCH(T377, REPORTE_DROPI!B:B, 0)
))),
{
TRIM(CLEAN(MAPA_ESTADOS!A:A)) ,
MAPA_ESTADOS!B:B
},
2,
FALSE
),
"REVISAR"
)
</f>
        <v>ENTREGADO</v>
      </c>
      <c r="P377" s="118"/>
      <c r="Q377" s="122">
        <f t="shared" si="1"/>
        <v>0</v>
      </c>
      <c r="R377" s="118"/>
      <c r="S377" s="118"/>
      <c r="T377" s="118">
        <f t="array" ref="T377">IFERROR(
INDEX(REPORTE_DROPI!B:B,
MATCH(
CLEAN(TRIM(C377)),
CLEAN(TRIM(REPORTE_DROPI!E:E)),
0
)
),
""
)
</f>
        <v>4114583</v>
      </c>
      <c r="U377" s="118">
        <v>6.40871143838E12</v>
      </c>
      <c r="V377" s="78"/>
      <c r="W377" s="78"/>
      <c r="X377" s="78"/>
      <c r="Y377" s="78"/>
      <c r="Z377" s="78"/>
    </row>
    <row r="378" ht="22.5" customHeight="1">
      <c r="A378" s="118">
        <v>377.0</v>
      </c>
      <c r="B378" s="119">
        <v>46034.0</v>
      </c>
      <c r="C378" s="118" t="s">
        <v>4452</v>
      </c>
      <c r="D378" s="118" t="str">
        <f>IFERROR(__xludf.DUMMYFUNCTION("IFERROR(
  INDEX(
    FILTER(
      'NOMBRE DE PRODUCTOS'!B:B,
      REGEXMATCH(
        UPPER(
          INDEX(
            REPORTE_DROPI!AC:AC,
            MATCH(T378, REPORTE_DROPI!B:B, 0)
          )
        ),
        UPPER('NOMBRE DE PRODUCTOS'!A:A)"&amp;"
      )
    ),
    1
  ),
  ""REVISAR""
)
"),"Cuchillo Tazaki™")</f>
        <v>Cuchillo Tazaki™</v>
      </c>
      <c r="E378" s="120">
        <f t="array" ref="E378">IF(
UPPER(TRIM(CLEAN($O378)))="ENTREGADO",
IFERROR(
INDEX(REPORTE_DROPI!Y:Y,
MATCH($T378, REPORTE_DROPI!B:B, 0)
),
""
),
""
)
</f>
        <v>5.2</v>
      </c>
      <c r="F378" s="121">
        <v>2.0</v>
      </c>
      <c r="G378" s="122">
        <f t="array" ref="G378">IF(
UPPER(TRIM(CLEAN($O378)))="ENTREGADO",
IFERROR(
INDEX(REPORTE_DROPI!R:R,
MATCH($T378, REPORTE_DROPI!B:B, 0)
),
""
),
""
)
</f>
        <v>22</v>
      </c>
      <c r="H378" s="118" t="s">
        <v>3727</v>
      </c>
      <c r="I378" s="118" t="s">
        <v>3784</v>
      </c>
      <c r="J378" s="121">
        <f t="array" ref="J378">IF(
UPPER(TRIM(CLEAN($O378)))="ENTREGADO",
IFERROR(
INDEX(REPORTE_DROPI!T:T,
MATCH($T378, REPORTE_DROPI!B:B, 0)
),
""
),
""
)
</f>
        <v>7.7</v>
      </c>
      <c r="K378" s="118">
        <f t="array" ref="K378">IFERROR(
INDEX(REPORTE_DROPI!S:S,
MATCH($T378, REPORTE_DROPI!B:B, 0)
),
""
)
</f>
        <v>9.1</v>
      </c>
      <c r="L378" s="118" t="str">
        <f>IF(
  O378&lt;&gt;"DEVOLUCION",
  "",
  IF(
    T378="",
    "",
    SUMIF(DEVOLUCION!F:F, T378, DEVOLUCION!D:D)
  )
)
</f>
        <v/>
      </c>
      <c r="M378" s="118"/>
      <c r="N378" s="118" t="s">
        <v>4453</v>
      </c>
      <c r="O378" s="118" t="str">
        <f t="array" ref="O378">IFERROR(
VLOOKUP(
TRIM(CLEAN(
INDEX(REPORTE_DROPI!K:K,
MATCH(T378, REPORTE_DROPI!B:B, 0)
))),
{
TRIM(CLEAN(MAPA_ESTADOS!A:A)) ,
MAPA_ESTADOS!B:B
},
2,
FALSE
),
"REVISAR"
)
</f>
        <v>ENTREGADO</v>
      </c>
      <c r="P378" s="118" t="s">
        <v>4454</v>
      </c>
      <c r="Q378" s="122">
        <f t="shared" si="1"/>
        <v>0</v>
      </c>
      <c r="R378" s="118"/>
      <c r="S378" s="118"/>
      <c r="T378" s="118">
        <f t="array" ref="T378">IFERROR(
INDEX(REPORTE_DROPI!B:B,
MATCH(
CLEAN(TRIM(C378)),
CLEAN(TRIM(REPORTE_DROPI!E:E)),
0
)
),
""
)
</f>
        <v>4114647</v>
      </c>
      <c r="U378" s="118">
        <v>6.408717467692E12</v>
      </c>
      <c r="V378" s="78"/>
      <c r="W378" s="78"/>
      <c r="X378" s="78"/>
      <c r="Y378" s="78"/>
      <c r="Z378" s="78"/>
    </row>
    <row r="379" ht="22.5" customHeight="1">
      <c r="A379" s="118">
        <v>378.0</v>
      </c>
      <c r="B379" s="119">
        <v>46034.0</v>
      </c>
      <c r="C379" s="118" t="s">
        <v>4455</v>
      </c>
      <c r="D379" s="118" t="str">
        <f>IFERROR(__xludf.DUMMYFUNCTION("IFERROR(
  INDEX(
    FILTER(
      'NOMBRE DE PRODUCTOS'!B:B,
      REGEXMATCH(
        UPPER(
          INDEX(
            REPORTE_DROPI!AC:AC,
            MATCH(T379, REPORTE_DROPI!B:B, 0)
          )
        ),
        UPPER('NOMBRE DE PRODUCTOS'!A:A)"&amp;"
      )
    ),
    1
  ),
  ""REVISAR""
)
"),"Cuchillo Tazaki™")</f>
        <v>Cuchillo Tazaki™</v>
      </c>
      <c r="E379" s="120">
        <f t="array" ref="E379">IF(
UPPER(TRIM(CLEAN($O379)))="ENTREGADO",
IFERROR(
INDEX(REPORTE_DROPI!Y:Y,
MATCH($T379, REPORTE_DROPI!B:B, 0)
),
""
),
""
)
</f>
        <v>5.2</v>
      </c>
      <c r="F379" s="121">
        <v>2.0</v>
      </c>
      <c r="G379" s="122">
        <f t="array" ref="G379">IF(
UPPER(TRIM(CLEAN($O379)))="ENTREGADO",
IFERROR(
INDEX(REPORTE_DROPI!R:R,
MATCH($T379, REPORTE_DROPI!B:B, 0)
),
""
),
""
)
</f>
        <v>22</v>
      </c>
      <c r="H379" s="118" t="s">
        <v>3727</v>
      </c>
      <c r="I379" s="118" t="s">
        <v>3770</v>
      </c>
      <c r="J379" s="121">
        <f t="array" ref="J379">IF(
UPPER(TRIM(CLEAN($O379)))="ENTREGADO",
IFERROR(
INDEX(REPORTE_DROPI!T:T,
MATCH($T379, REPORTE_DROPI!B:B, 0)
),
""
),
""
)
</f>
        <v>7.7</v>
      </c>
      <c r="K379" s="118">
        <f t="array" ref="K379">IFERROR(
INDEX(REPORTE_DROPI!S:S,
MATCH($T379, REPORTE_DROPI!B:B, 0)
),
""
)
</f>
        <v>9.1</v>
      </c>
      <c r="L379" s="118" t="str">
        <f>IF(
  O379&lt;&gt;"DEVOLUCION",
  "",
  IF(
    T379="",
    "",
    SUMIF(DEVOLUCION!F:F, T379, DEVOLUCION!D:D)
  )
)
</f>
        <v/>
      </c>
      <c r="M379" s="118"/>
      <c r="N379" s="118" t="s">
        <v>4456</v>
      </c>
      <c r="O379" s="118" t="str">
        <f t="array" ref="O379">IFERROR(
VLOOKUP(
TRIM(CLEAN(
INDEX(REPORTE_DROPI!K:K,
MATCH(T379, REPORTE_DROPI!B:B, 0)
))),
{
TRIM(CLEAN(MAPA_ESTADOS!A:A)) ,
MAPA_ESTADOS!B:B
},
2,
FALSE
),
"REVISAR"
)
</f>
        <v>ENTREGADO</v>
      </c>
      <c r="P379" s="118" t="s">
        <v>4454</v>
      </c>
      <c r="Q379" s="122">
        <f t="shared" si="1"/>
        <v>0</v>
      </c>
      <c r="R379" s="118"/>
      <c r="S379" s="118"/>
      <c r="T379" s="118">
        <f t="array" ref="T379">IFERROR(
INDEX(REPORTE_DROPI!B:B,
MATCH(
CLEAN(TRIM(C379)),
CLEAN(TRIM(REPORTE_DROPI!E:E)),
0
)
),
""
)
</f>
        <v>4124567</v>
      </c>
      <c r="U379" s="118">
        <v>6.40874666398E12</v>
      </c>
      <c r="V379" s="78"/>
      <c r="W379" s="78"/>
      <c r="X379" s="78"/>
      <c r="Y379" s="78"/>
      <c r="Z379" s="78"/>
    </row>
    <row r="380" ht="22.5" customHeight="1">
      <c r="A380" s="118">
        <v>379.0</v>
      </c>
      <c r="B380" s="119">
        <v>46034.0</v>
      </c>
      <c r="C380" s="118" t="s">
        <v>4457</v>
      </c>
      <c r="D380" s="118" t="str">
        <f>IFERROR(__xludf.DUMMYFUNCTION("IFERROR(
  INDEX(
    FILTER(
      'NOMBRE DE PRODUCTOS'!B:B,
      REGEXMATCH(
        UPPER(
          INDEX(
            REPORTE_DROPI!AC:AC,
            MATCH(T380, REPORTE_DROPI!B:B, 0)
          )
        ),
        UPPER('NOMBRE DE PRODUCTOS'!A:A)"&amp;"
      )
    ),
    1
  ),
  ""REVISAR""
)
"),"FilmPro®")</f>
        <v>FilmPro®</v>
      </c>
      <c r="E380" s="120">
        <f t="array" ref="E380">IF(
UPPER(TRIM(CLEAN($O380)))="ENTREGADO",
IFERROR(
INDEX(REPORTE_DROPI!Y:Y,
MATCH($T380, REPORTE_DROPI!B:B, 0)
),
""
),
""
)
</f>
        <v>4.7</v>
      </c>
      <c r="F380" s="121">
        <v>2.0</v>
      </c>
      <c r="G380" s="122">
        <f t="array" ref="G380">IF(
UPPER(TRIM(CLEAN($O380)))="ENTREGADO",
IFERROR(
INDEX(REPORTE_DROPI!R:R,
MATCH($T380, REPORTE_DROPI!B:B, 0)
),
""
),
""
)
</f>
        <v>25</v>
      </c>
      <c r="H380" s="118" t="s">
        <v>3727</v>
      </c>
      <c r="I380" s="118" t="s">
        <v>3738</v>
      </c>
      <c r="J380" s="121">
        <f t="array" ref="J380">IF(
UPPER(TRIM(CLEAN($O380)))="ENTREGADO",
IFERROR(
INDEX(REPORTE_DROPI!T:T,
MATCH($T380, REPORTE_DROPI!B:B, 0)
),
""
),
""
)
</f>
        <v>7.75</v>
      </c>
      <c r="K380" s="118">
        <f t="array" ref="K380">IFERROR(
INDEX(REPORTE_DROPI!S:S,
MATCH($T380, REPORTE_DROPI!B:B, 0)
),
""
)
</f>
        <v>12.55</v>
      </c>
      <c r="L380" s="118" t="str">
        <f>IF(
  O380&lt;&gt;"DEVOLUCION",
  "",
  IF(
    T380="",
    "",
    SUMIF(DEVOLUCION!F:F, T380, DEVOLUCION!D:D)
  )
)
</f>
        <v/>
      </c>
      <c r="M380" s="118"/>
      <c r="N380" s="118" t="s">
        <v>4458</v>
      </c>
      <c r="O380" s="118" t="str">
        <f t="array" ref="O380">IFERROR(
VLOOKUP(
TRIM(CLEAN(
INDEX(REPORTE_DROPI!K:K,
MATCH(T380, REPORTE_DROPI!B:B, 0)
))),
{
TRIM(CLEAN(MAPA_ESTADOS!A:A)) ,
MAPA_ESTADOS!B:B
},
2,
FALSE
),
"REVISAR"
)
</f>
        <v>ENTREGADO</v>
      </c>
      <c r="P380" s="118"/>
      <c r="Q380" s="122">
        <f t="shared" si="1"/>
        <v>0</v>
      </c>
      <c r="R380" s="118"/>
      <c r="S380" s="118"/>
      <c r="T380" s="118">
        <f t="array" ref="T380">IFERROR(
INDEX(REPORTE_DROPI!B:B,
MATCH(
CLEAN(TRIM(C380)),
CLEAN(TRIM(REPORTE_DROPI!E:E)),
0
)
),
""
)
</f>
        <v>4124448</v>
      </c>
      <c r="U380" s="118">
        <v>6.408748171308E12</v>
      </c>
      <c r="V380" s="78"/>
      <c r="W380" s="78"/>
      <c r="X380" s="78"/>
      <c r="Y380" s="78"/>
      <c r="Z380" s="78"/>
    </row>
    <row r="381" ht="22.5" customHeight="1">
      <c r="A381" s="118">
        <v>380.0</v>
      </c>
      <c r="B381" s="119">
        <v>46034.0</v>
      </c>
      <c r="C381" s="118" t="s">
        <v>4459</v>
      </c>
      <c r="D381" s="118" t="str">
        <f>IFERROR(__xludf.DUMMYFUNCTION("IFERROR(
  INDEX(
    FILTER(
      'NOMBRE DE PRODUCTOS'!B:B,
      REGEXMATCH(
        UPPER(
          INDEX(
            REPORTE_DROPI!AC:AC,
            MATCH(T381, REPORTE_DROPI!B:B, 0)
          )
        ),
        UPPER('NOMBRE DE PRODUCTOS'!A:A)"&amp;"
      )
    ),
    1
  ),
  ""REVISAR""
)
"),"FilmPro®")</f>
        <v>FilmPro®</v>
      </c>
      <c r="E381" s="120">
        <f t="array" ref="E381">IF(
UPPER(TRIM(CLEAN($O381)))="ENTREGADO",
IFERROR(
INDEX(REPORTE_DROPI!Y:Y,
MATCH($T381, REPORTE_DROPI!B:B, 0)
),
""
),
""
)
</f>
        <v>2.35</v>
      </c>
      <c r="F381" s="121">
        <v>1.0</v>
      </c>
      <c r="G381" s="122">
        <f t="array" ref="G381">IF(
UPPER(TRIM(CLEAN($O381)))="ENTREGADO",
IFERROR(
INDEX(REPORTE_DROPI!R:R,
MATCH($T381, REPORTE_DROPI!B:B, 0)
),
""
),
""
)
</f>
        <v>20</v>
      </c>
      <c r="H381" s="118" t="s">
        <v>3727</v>
      </c>
      <c r="I381" s="118" t="s">
        <v>3740</v>
      </c>
      <c r="J381" s="121">
        <f t="array" ref="J381">IF(
UPPER(TRIM(CLEAN($O381)))="ENTREGADO",
IFERROR(
INDEX(REPORTE_DROPI!T:T,
MATCH($T381, REPORTE_DROPI!B:B, 0)
),
""
),
""
)
</f>
        <v>9.57</v>
      </c>
      <c r="K381" s="118">
        <f t="array" ref="K381">IFERROR(
INDEX(REPORTE_DROPI!S:S,
MATCH($T381, REPORTE_DROPI!B:B, 0)
),
""
)
</f>
        <v>8.08</v>
      </c>
      <c r="L381" s="118" t="str">
        <f>IF(
  O381&lt;&gt;"DEVOLUCION",
  "",
  IF(
    T381="",
    "",
    SUMIF(DEVOLUCION!F:F, T381, DEVOLUCION!D:D)
  )
)
</f>
        <v/>
      </c>
      <c r="M381" s="118"/>
      <c r="N381" s="118" t="s">
        <v>4460</v>
      </c>
      <c r="O381" s="118" t="str">
        <f t="array" ref="O381">IFERROR(
VLOOKUP(
TRIM(CLEAN(
INDEX(REPORTE_DROPI!K:K,
MATCH(T381, REPORTE_DROPI!B:B, 0)
))),
{
TRIM(CLEAN(MAPA_ESTADOS!A:A)) ,
MAPA_ESTADOS!B:B
},
2,
FALSE
),
"REVISAR"
)
</f>
        <v>ENTREGADO</v>
      </c>
      <c r="P381" s="118"/>
      <c r="Q381" s="122">
        <f t="shared" si="1"/>
        <v>0</v>
      </c>
      <c r="R381" s="118"/>
      <c r="S381" s="118"/>
      <c r="T381" s="118">
        <f t="array" ref="T381">IFERROR(
INDEX(REPORTE_DROPI!B:B,
MATCH(
CLEAN(TRIM(C381)),
CLEAN(TRIM(REPORTE_DROPI!E:E)),
0
)
),
""
)
</f>
        <v>4115176</v>
      </c>
      <c r="U381" s="118">
        <v>6.408772943916E12</v>
      </c>
      <c r="V381" s="78"/>
      <c r="W381" s="78"/>
      <c r="X381" s="78"/>
      <c r="Y381" s="78"/>
      <c r="Z381" s="78"/>
    </row>
    <row r="382" ht="22.5" customHeight="1">
      <c r="A382" s="118">
        <v>381.0</v>
      </c>
      <c r="B382" s="119">
        <v>46034.0</v>
      </c>
      <c r="C382" s="126" t="s">
        <v>4461</v>
      </c>
      <c r="D382" s="118" t="str">
        <f>IFERROR(__xludf.DUMMYFUNCTION("IFERROR(
  INDEX(
    FILTER(
      'NOMBRE DE PRODUCTOS'!B:B,
      REGEXMATCH(
        UPPER(
          INDEX(
            REPORTE_DROPI!AC:AC,
            MATCH(T382, REPORTE_DROPI!B:B, 0)
          )
        ),
        UPPER('NOMBRE DE PRODUCTOS'!A:A)"&amp;"
      )
    ),
    1
  ),
  ""REVISAR""
)
"),"FilmPro®")</f>
        <v>FilmPro®</v>
      </c>
      <c r="E382" s="120" t="str">
        <f t="array" ref="E382">IF(
UPPER(TRIM(CLEAN($O382)))="ENTREGADO",
IFERROR(
INDEX(REPORTE_DROPI!Y:Y,
MATCH($T382, REPORTE_DROPI!B:B, 0)
),
""
),
""
)
</f>
        <v/>
      </c>
      <c r="F382" s="121">
        <v>3.0</v>
      </c>
      <c r="G382" s="122" t="str">
        <f t="array" ref="G382">IF(
UPPER(TRIM(CLEAN($O382)))="ENTREGADO",
IFERROR(
INDEX(REPORTE_DROPI!R:R,
MATCH($T382, REPORTE_DROPI!B:B, 0)
),
""
),
""
)
</f>
        <v/>
      </c>
      <c r="H382" s="118" t="s">
        <v>3727</v>
      </c>
      <c r="I382" s="118" t="s">
        <v>3962</v>
      </c>
      <c r="J382" s="121" t="str">
        <f t="array" ref="J382">IF(
UPPER(TRIM(CLEAN($O382)))="ENTREGADO",
IFERROR(
INDEX(REPORTE_DROPI!T:T,
MATCH($T382, REPORTE_DROPI!B:B, 0)
),
""
),
""
)
</f>
        <v/>
      </c>
      <c r="K382" s="118" t="str">
        <f t="array" ref="K382">IFERROR(
INDEX(REPORTE_DROPI!S:S,
MATCH($T382, REPORTE_DROPI!B:B, 0)
),
""
)
</f>
        <v/>
      </c>
      <c r="L382" s="118" t="str">
        <f>IF(
  O382&lt;&gt;"DEVOLUCION",
  "",
  IF(
    T382="",
    "",
    SUMIF(DEVOLUCION!F:F, T382, DEVOLUCION!D:D)
  )
)
</f>
        <v/>
      </c>
      <c r="M382" s="118"/>
      <c r="N382" s="118" t="s">
        <v>4462</v>
      </c>
      <c r="O382" s="118" t="str">
        <f t="array" ref="O382">IFERROR(
VLOOKUP(
TRIM(CLEAN(
INDEX(REPORTE_DROPI!K:K,
MATCH(T382, REPORTE_DROPI!B:B, 0)
))),
{
TRIM(CLEAN(MAPA_ESTADOS!A:A)) ,
MAPA_ESTADOS!B:B
},
2,
FALSE
),
"REVISAR"
)
</f>
        <v>PENDIENTE</v>
      </c>
      <c r="P382" s="118" t="s">
        <v>3689</v>
      </c>
      <c r="Q382" s="122">
        <f t="shared" si="1"/>
        <v>0</v>
      </c>
      <c r="R382" s="118"/>
      <c r="S382" s="118"/>
      <c r="T382" s="118">
        <f t="array" ref="T382">IFERROR(
INDEX(REPORTE_DROPI!B:B,
MATCH(
CLEAN(TRIM(C382)),
CLEAN(TRIM(REPORTE_DROPI!E:E)),
0
)
),
""
)
</f>
        <v>4115281</v>
      </c>
      <c r="U382" s="118">
        <v>6.408780513324E12</v>
      </c>
      <c r="V382" s="78"/>
      <c r="W382" s="78"/>
      <c r="X382" s="78"/>
      <c r="Y382" s="78"/>
      <c r="Z382" s="78"/>
    </row>
    <row r="383" ht="22.5" customHeight="1">
      <c r="A383" s="118">
        <v>382.0</v>
      </c>
      <c r="B383" s="119">
        <v>46034.0</v>
      </c>
      <c r="C383" s="118" t="s">
        <v>4463</v>
      </c>
      <c r="D383" s="118" t="str">
        <f>IFERROR(__xludf.DUMMYFUNCTION("IFERROR(
  INDEX(
    FILTER(
      'NOMBRE DE PRODUCTOS'!B:B,
      REGEXMATCH(
        UPPER(
          INDEX(
            REPORTE_DROPI!AC:AC,
            MATCH(T383, REPORTE_DROPI!B:B, 0)
          )
        ),
        UPPER('NOMBRE DE PRODUCTOS'!A:A)"&amp;"
      )
    ),
    1
  ),
  ""REVISAR""
)
"),"FilmPro®")</f>
        <v>FilmPro®</v>
      </c>
      <c r="E383" s="120">
        <f t="array" ref="E383">IF(
UPPER(TRIM(CLEAN($O383)))="ENTREGADO",
IFERROR(
INDEX(REPORTE_DROPI!Y:Y,
MATCH($T383, REPORTE_DROPI!B:B, 0)
),
""
),
""
)
</f>
        <v>4.7</v>
      </c>
      <c r="F383" s="121">
        <v>2.0</v>
      </c>
      <c r="G383" s="122">
        <f t="array" ref="G383">IF(
UPPER(TRIM(CLEAN($O383)))="ENTREGADO",
IFERROR(
INDEX(REPORTE_DROPI!R:R,
MATCH($T383, REPORTE_DROPI!B:B, 0)
),
""
),
""
)
</f>
        <v>25</v>
      </c>
      <c r="H383" s="118" t="s">
        <v>3727</v>
      </c>
      <c r="I383" s="118" t="s">
        <v>3740</v>
      </c>
      <c r="J383" s="121">
        <f t="array" ref="J383">IF(
UPPER(TRIM(CLEAN($O383)))="ENTREGADO",
IFERROR(
INDEX(REPORTE_DROPI!T:T,
MATCH($T383, REPORTE_DROPI!B:B, 0)
),
""
),
""
)
</f>
        <v>5.96</v>
      </c>
      <c r="K383" s="118">
        <f t="array" ref="K383">IFERROR(
INDEX(REPORTE_DROPI!S:S,
MATCH($T383, REPORTE_DROPI!B:B, 0)
),
""
)
</f>
        <v>14.34</v>
      </c>
      <c r="L383" s="118" t="str">
        <f>IF(
  O383&lt;&gt;"DEVOLUCION",
  "",
  IF(
    T383="",
    "",
    SUMIF(DEVOLUCION!F:F, T383, DEVOLUCION!D:D)
  )
)
</f>
        <v/>
      </c>
      <c r="M383" s="118"/>
      <c r="N383" s="118" t="s">
        <v>4464</v>
      </c>
      <c r="O383" s="118" t="str">
        <f t="array" ref="O383">IFERROR(
VLOOKUP(
TRIM(CLEAN(
INDEX(REPORTE_DROPI!K:K,
MATCH(T383, REPORTE_DROPI!B:B, 0)
))),
{
TRIM(CLEAN(MAPA_ESTADOS!A:A)) ,
MAPA_ESTADOS!B:B
},
2,
FALSE
),
"REVISAR"
)
</f>
        <v>ENTREGADO</v>
      </c>
      <c r="P383" s="118"/>
      <c r="Q383" s="122">
        <f t="shared" si="1"/>
        <v>0</v>
      </c>
      <c r="R383" s="118"/>
      <c r="S383" s="118"/>
      <c r="T383" s="118">
        <f t="array" ref="T383">IFERROR(
INDEX(REPORTE_DROPI!B:B,
MATCH(
CLEAN(TRIM(C383)),
CLEAN(TRIM(REPORTE_DROPI!E:E)),
0
)
),
""
)
</f>
        <v>4115307</v>
      </c>
      <c r="U383" s="118">
        <v>6.408783757356E12</v>
      </c>
      <c r="V383" s="78"/>
      <c r="W383" s="78"/>
      <c r="X383" s="78"/>
      <c r="Y383" s="78"/>
      <c r="Z383" s="78"/>
    </row>
    <row r="384" ht="22.5" customHeight="1">
      <c r="A384" s="118">
        <v>383.0</v>
      </c>
      <c r="B384" s="119">
        <v>46034.0</v>
      </c>
      <c r="C384" s="118" t="s">
        <v>4465</v>
      </c>
      <c r="D384" s="118" t="str">
        <f>IFERROR(__xludf.DUMMYFUNCTION("IFERROR(
  INDEX(
    FILTER(
      'NOMBRE DE PRODUCTOS'!B:B,
      REGEXMATCH(
        UPPER(
          INDEX(
            REPORTE_DROPI!AC:AC,
            MATCH(T384, REPORTE_DROPI!B:B, 0)
          )
        ),
        UPPER('NOMBRE DE PRODUCTOS'!A:A)"&amp;"
      )
    ),
    1
  ),
  ""REVISAR""
)
"),"Cuchillo Tazaki™")</f>
        <v>Cuchillo Tazaki™</v>
      </c>
      <c r="E384" s="120">
        <f t="array" ref="E384">IF(
UPPER(TRIM(CLEAN($O384)))="ENTREGADO",
IFERROR(
INDEX(REPORTE_DROPI!Y:Y,
MATCH($T384, REPORTE_DROPI!B:B, 0)
),
""
),
""
)
</f>
        <v>5.2</v>
      </c>
      <c r="F384" s="121">
        <v>2.0</v>
      </c>
      <c r="G384" s="122">
        <f t="array" ref="G384">IF(
UPPER(TRIM(CLEAN($O384)))="ENTREGADO",
IFERROR(
INDEX(REPORTE_DROPI!R:R,
MATCH($T384, REPORTE_DROPI!B:B, 0)
),
""
),
""
)
</f>
        <v>22</v>
      </c>
      <c r="H384" s="118" t="s">
        <v>3727</v>
      </c>
      <c r="I384" s="118" t="s">
        <v>3740</v>
      </c>
      <c r="J384" s="121">
        <f t="array" ref="J384">IF(
UPPER(TRIM(CLEAN($O384)))="ENTREGADO",
IFERROR(
INDEX(REPORTE_DROPI!T:T,
MATCH($T384, REPORTE_DROPI!B:B, 0)
),
""
),
""
)
</f>
        <v>4.23</v>
      </c>
      <c r="K384" s="118">
        <f t="array" ref="K384">IFERROR(
INDEX(REPORTE_DROPI!S:S,
MATCH($T384, REPORTE_DROPI!B:B, 0)
),
""
)
</f>
        <v>12.57</v>
      </c>
      <c r="L384" s="118" t="str">
        <f>IF(
  O384&lt;&gt;"DEVOLUCION",
  "",
  IF(
    T384="",
    "",
    SUMIF(DEVOLUCION!F:F, T384, DEVOLUCION!D:D)
  )
)
</f>
        <v/>
      </c>
      <c r="M384" s="118"/>
      <c r="N384" s="118" t="s">
        <v>4466</v>
      </c>
      <c r="O384" s="118" t="str">
        <f t="array" ref="O384">IFERROR(
VLOOKUP(
TRIM(CLEAN(
INDEX(REPORTE_DROPI!K:K,
MATCH(T384, REPORTE_DROPI!B:B, 0)
))),
{
TRIM(CLEAN(MAPA_ESTADOS!A:A)) ,
MAPA_ESTADOS!B:B
},
2,
FALSE
),
"REVISAR"
)
</f>
        <v>ENTREGADO</v>
      </c>
      <c r="P384" s="118"/>
      <c r="Q384" s="122">
        <f t="shared" si="1"/>
        <v>0</v>
      </c>
      <c r="R384" s="118"/>
      <c r="S384" s="118"/>
      <c r="T384" s="118">
        <f t="array" ref="T384">IFERROR(
INDEX(REPORTE_DROPI!B:B,
MATCH(
CLEAN(TRIM(C384)),
CLEAN(TRIM(REPORTE_DROPI!E:E)),
0
)
),
""
)
</f>
        <v>4115555</v>
      </c>
      <c r="U384" s="118">
        <v>6.408807841836E12</v>
      </c>
      <c r="V384" s="78"/>
      <c r="W384" s="78"/>
      <c r="X384" s="78"/>
      <c r="Y384" s="78"/>
      <c r="Z384" s="78"/>
    </row>
    <row r="385" ht="22.5" customHeight="1">
      <c r="A385" s="118">
        <v>384.0</v>
      </c>
      <c r="B385" s="119">
        <v>46034.0</v>
      </c>
      <c r="C385" s="126" t="s">
        <v>4467</v>
      </c>
      <c r="D385" s="118" t="str">
        <f>IFERROR(__xludf.DUMMYFUNCTION("IFERROR(
  INDEX(
    FILTER(
      'NOMBRE DE PRODUCTOS'!B:B,
      REGEXMATCH(
        UPPER(
          INDEX(
            REPORTE_DROPI!AC:AC,
            MATCH(T385, REPORTE_DROPI!B:B, 0)
          )
        ),
        UPPER('NOMBRE DE PRODUCTOS'!A:A)"&amp;"
      )
    ),
    1
  ),
  ""REVISAR""
)
"),"FilmPro®")</f>
        <v>FilmPro®</v>
      </c>
      <c r="E385" s="120" t="str">
        <f t="array" ref="E385">IF(
UPPER(TRIM(CLEAN($O385)))="ENTREGADO",
IFERROR(
INDEX(REPORTE_DROPI!Y:Y,
MATCH($T385, REPORTE_DROPI!B:B, 0)
),
""
),
""
)
</f>
        <v/>
      </c>
      <c r="F385" s="121">
        <v>2.0</v>
      </c>
      <c r="G385" s="122" t="str">
        <f t="array" ref="G385">IF(
UPPER(TRIM(CLEAN($O385)))="ENTREGADO",
IFERROR(
INDEX(REPORTE_DROPI!R:R,
MATCH($T385, REPORTE_DROPI!B:B, 0)
),
""
),
""
)
</f>
        <v/>
      </c>
      <c r="H385" s="118" t="s">
        <v>3727</v>
      </c>
      <c r="I385" s="118" t="s">
        <v>3784</v>
      </c>
      <c r="J385" s="121" t="str">
        <f t="array" ref="J385">IF(
UPPER(TRIM(CLEAN($O385)))="ENTREGADO",
IFERROR(
INDEX(REPORTE_DROPI!T:T,
MATCH($T385, REPORTE_DROPI!B:B, 0)
),
""
),
""
)
</f>
        <v/>
      </c>
      <c r="K385" s="118" t="str">
        <f t="array" ref="K385">IFERROR(
INDEX(REPORTE_DROPI!S:S,
MATCH($T385, REPORTE_DROPI!B:B, 0)
),
""
)
</f>
        <v/>
      </c>
      <c r="L385" s="118" t="str">
        <f>IF(
  O385&lt;&gt;"DEVOLUCION",
  "",
  IF(
    T385="",
    "",
    SUMIF(DEVOLUCION!F:F, T385, DEVOLUCION!D:D)
  )
)
</f>
        <v/>
      </c>
      <c r="M385" s="118"/>
      <c r="N385" s="118" t="s">
        <v>4468</v>
      </c>
      <c r="O385" s="118" t="str">
        <f t="array" ref="O385">IFERROR(
VLOOKUP(
TRIM(CLEAN(
INDEX(REPORTE_DROPI!K:K,
MATCH(T385, REPORTE_DROPI!B:B, 0)
))),
{
TRIM(CLEAN(MAPA_ESTADOS!A:A)) ,
MAPA_ESTADOS!B:B
},
2,
FALSE
),
"REVISAR"
)
</f>
        <v>PENDIENTE</v>
      </c>
      <c r="P385" s="118" t="s">
        <v>3689</v>
      </c>
      <c r="Q385" s="122">
        <f t="shared" si="1"/>
        <v>0</v>
      </c>
      <c r="R385" s="118"/>
      <c r="S385" s="118"/>
      <c r="T385" s="118">
        <f t="array" ref="T385">IFERROR(
INDEX(REPORTE_DROPI!B:B,
MATCH(
CLEAN(TRIM(C385)),
CLEAN(TRIM(REPORTE_DROPI!E:E)),
0
)
),
""
)
</f>
        <v>4115786</v>
      </c>
      <c r="U385" s="118">
        <v>6.408833040428E12</v>
      </c>
      <c r="V385" s="78"/>
      <c r="W385" s="78"/>
      <c r="X385" s="78"/>
      <c r="Y385" s="78"/>
      <c r="Z385" s="78"/>
    </row>
    <row r="386" ht="22.5" customHeight="1">
      <c r="A386" s="118">
        <v>385.0</v>
      </c>
      <c r="B386" s="119">
        <v>46034.0</v>
      </c>
      <c r="C386" s="118" t="s">
        <v>4469</v>
      </c>
      <c r="D386" s="118" t="str">
        <f>IFERROR(__xludf.DUMMYFUNCTION("IFERROR(
  INDEX(
    FILTER(
      'NOMBRE DE PRODUCTOS'!B:B,
      REGEXMATCH(
        UPPER(
          INDEX(
            REPORTE_DROPI!AC:AC,
            MATCH(T386, REPORTE_DROPI!B:B, 0)
          )
        ),
        UPPER('NOMBRE DE PRODUCTOS'!A:A)"&amp;"
      )
    ),
    1
  ),
  ""REVISAR""
)
"),"Cuchillo Tazaki™")</f>
        <v>Cuchillo Tazaki™</v>
      </c>
      <c r="E386" s="120">
        <f t="array" ref="E386">IF(
UPPER(TRIM(CLEAN($O386)))="ENTREGADO",
IFERROR(
INDEX(REPORTE_DROPI!Y:Y,
MATCH($T386, REPORTE_DROPI!B:B, 0)
),
""
),
""
)
</f>
        <v>5.2</v>
      </c>
      <c r="F386" s="121">
        <v>2.0</v>
      </c>
      <c r="G386" s="122">
        <f t="array" ref="G386">IF(
UPPER(TRIM(CLEAN($O386)))="ENTREGADO",
IFERROR(
INDEX(REPORTE_DROPI!R:R,
MATCH($T386, REPORTE_DROPI!B:B, 0)
),
""
),
""
)
</f>
        <v>22</v>
      </c>
      <c r="H386" s="118" t="s">
        <v>3727</v>
      </c>
      <c r="I386" s="118" t="s">
        <v>3731</v>
      </c>
      <c r="J386" s="121">
        <f t="array" ref="J386">IF(
UPPER(TRIM(CLEAN($O386)))="ENTREGADO",
IFERROR(
INDEX(REPORTE_DROPI!T:T,
MATCH($T386, REPORTE_DROPI!B:B, 0)
),
""
),
""
)
</f>
        <v>5.84</v>
      </c>
      <c r="K386" s="118">
        <f t="array" ref="K386">IFERROR(
INDEX(REPORTE_DROPI!S:S,
MATCH($T386, REPORTE_DROPI!B:B, 0)
),
""
)
</f>
        <v>10.96</v>
      </c>
      <c r="L386" s="118" t="str">
        <f>IF(
  O386&lt;&gt;"DEVOLUCION",
  "",
  IF(
    T386="",
    "",
    SUMIF(DEVOLUCION!F:F, T386, DEVOLUCION!D:D)
  )
)
</f>
        <v/>
      </c>
      <c r="M386" s="118"/>
      <c r="N386" s="118" t="s">
        <v>4470</v>
      </c>
      <c r="O386" s="118" t="str">
        <f t="array" ref="O386">IFERROR(
VLOOKUP(
TRIM(CLEAN(
INDEX(REPORTE_DROPI!K:K,
MATCH(T386, REPORTE_DROPI!B:B, 0)
))),
{
TRIM(CLEAN(MAPA_ESTADOS!A:A)) ,
MAPA_ESTADOS!B:B
},
2,
FALSE
),
"REVISAR"
)
</f>
        <v>ENTREGADO</v>
      </c>
      <c r="P386" s="118" t="s">
        <v>4296</v>
      </c>
      <c r="Q386" s="122">
        <f t="shared" si="1"/>
        <v>0</v>
      </c>
      <c r="R386" s="118"/>
      <c r="S386" s="118"/>
      <c r="T386" s="118">
        <f t="array" ref="T386">IFERROR(
INDEX(REPORTE_DROPI!B:B,
MATCH(
CLEAN(TRIM(C386)),
CLEAN(TRIM(REPORTE_DROPI!E:E)),
0
)
),
""
)
</f>
        <v>4116004</v>
      </c>
      <c r="U386" s="118">
        <v>6.40885578142E12</v>
      </c>
      <c r="V386" s="78"/>
      <c r="W386" s="78"/>
      <c r="X386" s="78"/>
      <c r="Y386" s="78"/>
      <c r="Z386" s="78"/>
    </row>
    <row r="387" ht="22.5" customHeight="1">
      <c r="A387" s="118">
        <v>386.0</v>
      </c>
      <c r="B387" s="119">
        <v>46034.0</v>
      </c>
      <c r="C387" s="118" t="s">
        <v>4471</v>
      </c>
      <c r="D387" s="118" t="str">
        <f>IFERROR(__xludf.DUMMYFUNCTION("IFERROR(
  INDEX(
    FILTER(
      'NOMBRE DE PRODUCTOS'!B:B,
      REGEXMATCH(
        UPPER(
          INDEX(
            REPORTE_DROPI!AC:AC,
            MATCH(T387, REPORTE_DROPI!B:B, 0)
          )
        ),
        UPPER('NOMBRE DE PRODUCTOS'!A:A)"&amp;"
      )
    ),
    1
  ),
  ""REVISAR""
)
"),"FilmPro®")</f>
        <v>FilmPro®</v>
      </c>
      <c r="E387" s="120">
        <f t="array" ref="E387">IF(
UPPER(TRIM(CLEAN($O387)))="ENTREGADO",
IFERROR(
INDEX(REPORTE_DROPI!Y:Y,
MATCH($T387, REPORTE_DROPI!B:B, 0)
),
""
),
""
)
</f>
        <v>7.05</v>
      </c>
      <c r="F387" s="121">
        <v>3.0</v>
      </c>
      <c r="G387" s="122">
        <f t="array" ref="G387">IF(
UPPER(TRIM(CLEAN($O387)))="ENTREGADO",
IFERROR(
INDEX(REPORTE_DROPI!R:R,
MATCH($T387, REPORTE_DROPI!B:B, 0)
),
""
),
""
)
</f>
        <v>30</v>
      </c>
      <c r="H387" s="118" t="s">
        <v>3727</v>
      </c>
      <c r="I387" s="118" t="s">
        <v>3772</v>
      </c>
      <c r="J387" s="121">
        <f t="array" ref="J387">IF(
UPPER(TRIM(CLEAN($O387)))="ENTREGADO",
IFERROR(
INDEX(REPORTE_DROPI!T:T,
MATCH($T387, REPORTE_DROPI!B:B, 0)
),
""
),
""
)
</f>
        <v>6.16</v>
      </c>
      <c r="K387" s="118">
        <f t="array" ref="K387">IFERROR(
INDEX(REPORTE_DROPI!S:S,
MATCH($T387, REPORTE_DROPI!B:B, 0)
),
""
)
</f>
        <v>16.79</v>
      </c>
      <c r="L387" s="118" t="str">
        <f>IF(
  O387&lt;&gt;"DEVOLUCION",
  "",
  IF(
    T387="",
    "",
    SUMIF(DEVOLUCION!F:F, T387, DEVOLUCION!D:D)
  )
)
</f>
        <v/>
      </c>
      <c r="M387" s="118"/>
      <c r="N387" s="118" t="s">
        <v>4472</v>
      </c>
      <c r="O387" s="118" t="str">
        <f t="array" ref="O387">IFERROR(
VLOOKUP(
TRIM(CLEAN(
INDEX(REPORTE_DROPI!K:K,
MATCH(T387, REPORTE_DROPI!B:B, 0)
))),
{
TRIM(CLEAN(MAPA_ESTADOS!A:A)) ,
MAPA_ESTADOS!B:B
},
2,
FALSE
),
"REVISAR"
)
</f>
        <v>ENTREGADO</v>
      </c>
      <c r="P387" s="118"/>
      <c r="Q387" s="122">
        <f t="shared" si="1"/>
        <v>0</v>
      </c>
      <c r="R387" s="118"/>
      <c r="S387" s="118"/>
      <c r="T387" s="118">
        <f t="array" ref="T387">IFERROR(
INDEX(REPORTE_DROPI!B:B,
MATCH(
CLEAN(TRIM(C387)),
CLEAN(TRIM(REPORTE_DROPI!E:E)),
0
)
),
""
)
</f>
        <v>4116165</v>
      </c>
      <c r="U387" s="118">
        <v>6.408869740588E12</v>
      </c>
      <c r="V387" s="78"/>
      <c r="W387" s="78"/>
      <c r="X387" s="78"/>
      <c r="Y387" s="78"/>
      <c r="Z387" s="78"/>
    </row>
    <row r="388" ht="22.5" customHeight="1">
      <c r="A388" s="118">
        <v>387.0</v>
      </c>
      <c r="B388" s="119">
        <v>46034.0</v>
      </c>
      <c r="C388" s="118" t="s">
        <v>4473</v>
      </c>
      <c r="D388" s="118" t="str">
        <f>IFERROR(__xludf.DUMMYFUNCTION("IFERROR(
  INDEX(
    FILTER(
      'NOMBRE DE PRODUCTOS'!B:B,
      REGEXMATCH(
        UPPER(
          INDEX(
            REPORTE_DROPI!AC:AC,
            MATCH(T388, REPORTE_DROPI!B:B, 0)
          )
        ),
        UPPER('NOMBRE DE PRODUCTOS'!A:A)"&amp;"
      )
    ),
    1
  ),
  ""REVISAR""
)
"),"FilmPro®")</f>
        <v>FilmPro®</v>
      </c>
      <c r="E388" s="120">
        <f t="array" ref="E388">IF(
UPPER(TRIM(CLEAN($O388)))="ENTREGADO",
IFERROR(
INDEX(REPORTE_DROPI!Y:Y,
MATCH($T388, REPORTE_DROPI!B:B, 0)
),
""
),
""
)
</f>
        <v>4.7</v>
      </c>
      <c r="F388" s="121">
        <v>2.0</v>
      </c>
      <c r="G388" s="122">
        <f t="array" ref="G388">IF(
UPPER(TRIM(CLEAN($O388)))="ENTREGADO",
IFERROR(
INDEX(REPORTE_DROPI!R:R,
MATCH($T388, REPORTE_DROPI!B:B, 0)
),
""
),
""
)
</f>
        <v>25</v>
      </c>
      <c r="H388" s="118" t="s">
        <v>3727</v>
      </c>
      <c r="I388" s="118" t="s">
        <v>3740</v>
      </c>
      <c r="J388" s="121">
        <f t="array" ref="J388">IF(
UPPER(TRIM(CLEAN($O388)))="ENTREGADO",
IFERROR(
INDEX(REPORTE_DROPI!T:T,
MATCH($T388, REPORTE_DROPI!B:B, 0)
),
""
),
""
)
</f>
        <v>5.96</v>
      </c>
      <c r="K388" s="118">
        <f t="array" ref="K388">IFERROR(
INDEX(REPORTE_DROPI!S:S,
MATCH($T388, REPORTE_DROPI!B:B, 0)
),
""
)
</f>
        <v>14.34</v>
      </c>
      <c r="L388" s="118" t="str">
        <f>IF(
  O388&lt;&gt;"DEVOLUCION",
  "",
  IF(
    T388="",
    "",
    SUMIF(DEVOLUCION!F:F, T388, DEVOLUCION!D:D)
  )
)
</f>
        <v/>
      </c>
      <c r="M388" s="118"/>
      <c r="N388" s="118" t="s">
        <v>4474</v>
      </c>
      <c r="O388" s="118" t="str">
        <f t="array" ref="O388">IFERROR(
VLOOKUP(
TRIM(CLEAN(
INDEX(REPORTE_DROPI!K:K,
MATCH(T388, REPORTE_DROPI!B:B, 0)
))),
{
TRIM(CLEAN(MAPA_ESTADOS!A:A)) ,
MAPA_ESTADOS!B:B
},
2,
FALSE
),
"REVISAR"
)
</f>
        <v>ENTREGADO</v>
      </c>
      <c r="P388" s="118"/>
      <c r="Q388" s="122">
        <f t="shared" si="1"/>
        <v>0</v>
      </c>
      <c r="R388" s="118"/>
      <c r="S388" s="118"/>
      <c r="T388" s="118">
        <f t="array" ref="T388">IFERROR(
INDEX(REPORTE_DROPI!B:B,
MATCH(
CLEAN(TRIM(C388)),
CLEAN(TRIM(REPORTE_DROPI!E:E)),
0
)
),
""
)
</f>
        <v>4116200</v>
      </c>
      <c r="U388" s="118">
        <v>6.40887396766E12</v>
      </c>
      <c r="V388" s="78"/>
      <c r="W388" s="78"/>
      <c r="X388" s="78"/>
      <c r="Y388" s="78"/>
      <c r="Z388" s="78"/>
    </row>
    <row r="389" ht="22.5" customHeight="1">
      <c r="A389" s="118">
        <v>388.0</v>
      </c>
      <c r="B389" s="119">
        <v>46034.0</v>
      </c>
      <c r="C389" s="118" t="s">
        <v>4475</v>
      </c>
      <c r="D389" s="118" t="str">
        <f>IFERROR(__xludf.DUMMYFUNCTION("IFERROR(
  INDEX(
    FILTER(
      'NOMBRE DE PRODUCTOS'!B:B,
      REGEXMATCH(
        UPPER(
          INDEX(
            REPORTE_DROPI!AC:AC,
            MATCH(T389, REPORTE_DROPI!B:B, 0)
          )
        ),
        UPPER('NOMBRE DE PRODUCTOS'!A:A)"&amp;"
      )
    ),
    1
  ),
  ""REVISAR""
)
"),"FilmPro®")</f>
        <v>FilmPro®</v>
      </c>
      <c r="E389" s="120" t="str">
        <f t="array" ref="E389">IF(
UPPER(TRIM(CLEAN($O389)))="ENTREGADO",
IFERROR(
INDEX(REPORTE_DROPI!Y:Y,
MATCH($T389, REPORTE_DROPI!B:B, 0)
),
""
),
""
)
</f>
        <v/>
      </c>
      <c r="F389" s="121">
        <v>3.0</v>
      </c>
      <c r="G389" s="122" t="str">
        <f t="array" ref="G389">IF(
UPPER(TRIM(CLEAN($O389)))="ENTREGADO",
IFERROR(
INDEX(REPORTE_DROPI!R:R,
MATCH($T389, REPORTE_DROPI!B:B, 0)
),
""
),
""
)
</f>
        <v/>
      </c>
      <c r="H389" s="118" t="s">
        <v>3727</v>
      </c>
      <c r="I389" s="118" t="s">
        <v>3801</v>
      </c>
      <c r="J389" s="121" t="str">
        <f t="array" ref="J389">IF(
UPPER(TRIM(CLEAN($O389)))="ENTREGADO",
IFERROR(
INDEX(REPORTE_DROPI!T:T,
MATCH($T389, REPORTE_DROPI!B:B, 0)
),
""
),
""
)
</f>
        <v/>
      </c>
      <c r="K389" s="118" t="str">
        <f t="array" ref="K389">IFERROR(
INDEX(REPORTE_DROPI!S:S,
MATCH($T389, REPORTE_DROPI!B:B, 0)
),
""
)
</f>
        <v/>
      </c>
      <c r="L389" s="118">
        <f>IF(
  O389&lt;&gt;"DEVOLUCION",
  "",
  IF(
    T389="",
    "",
    SUMIF(DEVOLUCION!F:F, T389, DEVOLUCION!D:D)
  )
)
</f>
        <v>5.12</v>
      </c>
      <c r="M389" s="118" t="s">
        <v>3870</v>
      </c>
      <c r="N389" s="118" t="s">
        <v>4476</v>
      </c>
      <c r="O389" s="118" t="str">
        <f t="array" ref="O389">IFERROR(
VLOOKUP(
TRIM(CLEAN(
INDEX(REPORTE_DROPI!K:K,
MATCH(T389, REPORTE_DROPI!B:B, 0)
))),
{
TRIM(CLEAN(MAPA_ESTADOS!A:A)) ,
MAPA_ESTADOS!B:B
},
2,
FALSE
),
"REVISAR"
)
</f>
        <v>DEVOLUCION</v>
      </c>
      <c r="P389" s="118" t="s">
        <v>3655</v>
      </c>
      <c r="Q389" s="122">
        <f t="shared" si="1"/>
        <v>0</v>
      </c>
      <c r="R389" s="118"/>
      <c r="S389" s="118"/>
      <c r="T389" s="118">
        <f t="array" ref="T389">IFERROR(
INDEX(REPORTE_DROPI!B:B,
MATCH(
CLEAN(TRIM(C389)),
CLEAN(TRIM(REPORTE_DROPI!E:E)),
0
)
),
""
)
</f>
        <v>4116205</v>
      </c>
      <c r="U389" s="118">
        <v>6.408875409452E12</v>
      </c>
      <c r="V389" s="78"/>
      <c r="W389" s="78"/>
      <c r="X389" s="78"/>
      <c r="Y389" s="78"/>
      <c r="Z389" s="78"/>
    </row>
    <row r="390" ht="22.5" customHeight="1">
      <c r="A390" s="118">
        <v>389.0</v>
      </c>
      <c r="B390" s="119">
        <v>46034.0</v>
      </c>
      <c r="C390" s="118" t="s">
        <v>4477</v>
      </c>
      <c r="D390" s="118" t="str">
        <f>IFERROR(__xludf.DUMMYFUNCTION("IFERROR(
  INDEX(
    FILTER(
      'NOMBRE DE PRODUCTOS'!B:B,
      REGEXMATCH(
        UPPER(
          INDEX(
            REPORTE_DROPI!AC:AC,
            MATCH(T390, REPORTE_DROPI!B:B, 0)
          )
        ),
        UPPER('NOMBRE DE PRODUCTOS'!A:A)"&amp;"
      )
    ),
    1
  ),
  ""REVISAR""
)
"),"FilmPro®")</f>
        <v>FilmPro®</v>
      </c>
      <c r="E390" s="120">
        <f t="array" ref="E390">IF(
UPPER(TRIM(CLEAN($O390)))="ENTREGADO",
IFERROR(
INDEX(REPORTE_DROPI!Y:Y,
MATCH($T390, REPORTE_DROPI!B:B, 0)
),
""
),
""
)
</f>
        <v>2.35</v>
      </c>
      <c r="F390" s="121">
        <v>1.0</v>
      </c>
      <c r="G390" s="122">
        <f t="array" ref="G390">IF(
UPPER(TRIM(CLEAN($O390)))="ENTREGADO",
IFERROR(
INDEX(REPORTE_DROPI!R:R,
MATCH($T390, REPORTE_DROPI!B:B, 0)
),
""
),
""
)
</f>
        <v>20</v>
      </c>
      <c r="H390" s="118" t="s">
        <v>3727</v>
      </c>
      <c r="I390" s="118" t="s">
        <v>3740</v>
      </c>
      <c r="J390" s="121">
        <f t="array" ref="J390">IF(
UPPER(TRIM(CLEAN($O390)))="ENTREGADO",
IFERROR(
INDEX(REPORTE_DROPI!T:T,
MATCH($T390, REPORTE_DROPI!B:B, 0)
),
""
),
""
)
</f>
        <v>5.76</v>
      </c>
      <c r="K390" s="118">
        <f t="array" ref="K390">IFERROR(
INDEX(REPORTE_DROPI!S:S,
MATCH($T390, REPORTE_DROPI!B:B, 0)
),
""
)
</f>
        <v>11.89</v>
      </c>
      <c r="L390" s="118" t="str">
        <f>IF(
  O390&lt;&gt;"DEVOLUCION",
  "",
  IF(
    T390="",
    "",
    SUMIF(DEVOLUCION!F:F, T390, DEVOLUCION!D:D)
  )
)
</f>
        <v/>
      </c>
      <c r="M390" s="118"/>
      <c r="N390" s="118" t="s">
        <v>4478</v>
      </c>
      <c r="O390" s="118" t="str">
        <f t="array" ref="O390">IFERROR(
VLOOKUP(
TRIM(CLEAN(
INDEX(REPORTE_DROPI!K:K,
MATCH(T390, REPORTE_DROPI!B:B, 0)
))),
{
TRIM(CLEAN(MAPA_ESTADOS!A:A)) ,
MAPA_ESTADOS!B:B
},
2,
FALSE
),
"REVISAR"
)
</f>
        <v>ENTREGADO</v>
      </c>
      <c r="P390" s="118"/>
      <c r="Q390" s="122">
        <f t="shared" si="1"/>
        <v>0</v>
      </c>
      <c r="R390" s="118"/>
      <c r="S390" s="118"/>
      <c r="T390" s="118">
        <f t="array" ref="T390">IFERROR(
INDEX(REPORTE_DROPI!B:B,
MATCH(
CLEAN(TRIM(C390)),
CLEAN(TRIM(REPORTE_DROPI!E:E)),
0
)
),
""
)
</f>
        <v>4116210</v>
      </c>
      <c r="U390" s="118">
        <v>6.408876294188E12</v>
      </c>
      <c r="V390" s="78"/>
      <c r="W390" s="78"/>
      <c r="X390" s="78"/>
      <c r="Y390" s="78"/>
      <c r="Z390" s="78"/>
    </row>
    <row r="391" ht="22.5" customHeight="1">
      <c r="A391" s="118">
        <v>390.0</v>
      </c>
      <c r="B391" s="119">
        <v>46034.0</v>
      </c>
      <c r="C391" s="126" t="s">
        <v>4479</v>
      </c>
      <c r="D391" s="118" t="str">
        <f>IFERROR(__xludf.DUMMYFUNCTION("IFERROR(
  INDEX(
    FILTER(
      'NOMBRE DE PRODUCTOS'!B:B,
      REGEXMATCH(
        UPPER(
          INDEX(
            REPORTE_DROPI!AC:AC,
            MATCH(T391, REPORTE_DROPI!B:B, 0)
          )
        ),
        UPPER('NOMBRE DE PRODUCTOS'!A:A)"&amp;"
      )
    ),
    1
  ),
  ""REVISAR""
)
"),"FilmPro®")</f>
        <v>FilmPro®</v>
      </c>
      <c r="E391" s="120" t="str">
        <f t="array" ref="E391">IF(
UPPER(TRIM(CLEAN($O391)))="ENTREGADO",
IFERROR(
INDEX(REPORTE_DROPI!Y:Y,
MATCH($T391, REPORTE_DROPI!B:B, 0)
),
""
),
""
)
</f>
        <v/>
      </c>
      <c r="F391" s="121">
        <v>3.0</v>
      </c>
      <c r="G391" s="122" t="str">
        <f t="array" ref="G391">IF(
UPPER(TRIM(CLEAN($O391)))="ENTREGADO",
IFERROR(
INDEX(REPORTE_DROPI!R:R,
MATCH($T391, REPORTE_DROPI!B:B, 0)
),
""
),
""
)
</f>
        <v/>
      </c>
      <c r="H391" s="118" t="s">
        <v>3727</v>
      </c>
      <c r="I391" s="118" t="s">
        <v>3740</v>
      </c>
      <c r="J391" s="121" t="str">
        <f t="array" ref="J391">IF(
UPPER(TRIM(CLEAN($O391)))="ENTREGADO",
IFERROR(
INDEX(REPORTE_DROPI!T:T,
MATCH($T391, REPORTE_DROPI!B:B, 0)
),
""
),
""
)
</f>
        <v/>
      </c>
      <c r="K391" s="118" t="str">
        <f t="array" ref="K391">IFERROR(
INDEX(REPORTE_DROPI!S:S,
MATCH($T391, REPORTE_DROPI!B:B, 0)
),
""
)
</f>
        <v/>
      </c>
      <c r="L391" s="118" t="str">
        <f>IF(
  O391&lt;&gt;"DEVOLUCION",
  "",
  IF(
    T391="",
    "",
    SUMIF(DEVOLUCION!F:F, T391, DEVOLUCION!D:D)
  )
)
</f>
        <v/>
      </c>
      <c r="M391" s="118"/>
      <c r="N391" s="118" t="s">
        <v>4480</v>
      </c>
      <c r="O391" s="118" t="str">
        <f t="array" ref="O391">IFERROR(
VLOOKUP(
TRIM(CLEAN(
INDEX(REPORTE_DROPI!K:K,
MATCH(T391, REPORTE_DROPI!B:B, 0)
))),
{
TRIM(CLEAN(MAPA_ESTADOS!A:A)) ,
MAPA_ESTADOS!B:B
},
2,
FALSE
),
"REVISAR"
)
</f>
        <v>PENDIENTE</v>
      </c>
      <c r="P391" s="118" t="s">
        <v>3689</v>
      </c>
      <c r="Q391" s="122">
        <f t="shared" si="1"/>
        <v>0</v>
      </c>
      <c r="R391" s="118"/>
      <c r="S391" s="118"/>
      <c r="T391" s="118">
        <f t="array" ref="T391">IFERROR(
INDEX(REPORTE_DROPI!B:B,
MATCH(
CLEAN(TRIM(C391)),
CLEAN(TRIM(REPORTE_DROPI!E:E)),
0
)
),
""
)
</f>
        <v>4116523</v>
      </c>
      <c r="U391" s="118">
        <v>6.408911847468E12</v>
      </c>
      <c r="V391" s="78"/>
      <c r="W391" s="78"/>
      <c r="X391" s="78"/>
      <c r="Y391" s="78"/>
      <c r="Z391" s="78"/>
    </row>
    <row r="392" ht="22.5" customHeight="1">
      <c r="A392" s="118">
        <v>391.0</v>
      </c>
      <c r="B392" s="119">
        <v>46034.0</v>
      </c>
      <c r="C392" s="118" t="s">
        <v>4481</v>
      </c>
      <c r="D392" s="118" t="str">
        <f>IFERROR(__xludf.DUMMYFUNCTION("IFERROR(
  INDEX(
    FILTER(
      'NOMBRE DE PRODUCTOS'!B:B,
      REGEXMATCH(
        UPPER(
          INDEX(
            REPORTE_DROPI!AC:AC,
            MATCH(T392, REPORTE_DROPI!B:B, 0)
          )
        ),
        UPPER('NOMBRE DE PRODUCTOS'!A:A)"&amp;"
      )
    ),
    1
  ),
  ""REVISAR""
)
"),"FilmPro®")</f>
        <v>FilmPro®</v>
      </c>
      <c r="E392" s="120">
        <f t="array" ref="E392">IF(
UPPER(TRIM(CLEAN($O392)))="ENTREGADO",
IFERROR(
INDEX(REPORTE_DROPI!Y:Y,
MATCH($T392, REPORTE_DROPI!B:B, 0)
),
""
),
""
)
</f>
        <v>4.7</v>
      </c>
      <c r="F392" s="121">
        <v>2.0</v>
      </c>
      <c r="G392" s="122">
        <f t="array" ref="G392">IF(
UPPER(TRIM(CLEAN($O392)))="ENTREGADO",
IFERROR(
INDEX(REPORTE_DROPI!R:R,
MATCH($T392, REPORTE_DROPI!B:B, 0)
),
""
),
""
)
</f>
        <v>25</v>
      </c>
      <c r="H392" s="118" t="s">
        <v>3727</v>
      </c>
      <c r="I392" s="118" t="s">
        <v>3728</v>
      </c>
      <c r="J392" s="121">
        <f t="array" ref="J392">IF(
UPPER(TRIM(CLEAN($O392)))="ENTREGADO",
IFERROR(
INDEX(REPORTE_DROPI!T:T,
MATCH($T392, REPORTE_DROPI!B:B, 0)
),
""
),
""
)
</f>
        <v>6.31</v>
      </c>
      <c r="K392" s="118">
        <f t="array" ref="K392">IFERROR(
INDEX(REPORTE_DROPI!S:S,
MATCH($T392, REPORTE_DROPI!B:B, 0)
),
""
)
</f>
        <v>13.99</v>
      </c>
      <c r="L392" s="118" t="str">
        <f>IF(
  O392&lt;&gt;"DEVOLUCION",
  "",
  IF(
    T392="",
    "",
    SUMIF(DEVOLUCION!F:F, T392, DEVOLUCION!D:D)
  )
)
</f>
        <v/>
      </c>
      <c r="M392" s="118"/>
      <c r="N392" s="118" t="s">
        <v>4482</v>
      </c>
      <c r="O392" s="118" t="str">
        <f t="array" ref="O392">IFERROR(
VLOOKUP(
TRIM(CLEAN(
INDEX(REPORTE_DROPI!K:K,
MATCH(T392, REPORTE_DROPI!B:B, 0)
))),
{
TRIM(CLEAN(MAPA_ESTADOS!A:A)) ,
MAPA_ESTADOS!B:B
},
2,
FALSE
),
"REVISAR"
)
</f>
        <v>ENTREGADO</v>
      </c>
      <c r="P392" s="118"/>
      <c r="Q392" s="122">
        <f t="shared" si="1"/>
        <v>0</v>
      </c>
      <c r="R392" s="118"/>
      <c r="S392" s="118"/>
      <c r="T392" s="118">
        <f t="array" ref="T392">IFERROR(
INDEX(REPORTE_DROPI!B:B,
MATCH(
CLEAN(TRIM(C392)),
CLEAN(TRIM(REPORTE_DROPI!E:E)),
0
)
),
""
)
</f>
        <v>4116867</v>
      </c>
      <c r="U392" s="118">
        <v>6.408952676396E12</v>
      </c>
      <c r="V392" s="78"/>
      <c r="W392" s="78"/>
      <c r="X392" s="78"/>
      <c r="Y392" s="78"/>
      <c r="Z392" s="78"/>
    </row>
    <row r="393" ht="22.5" customHeight="1">
      <c r="A393" s="118">
        <v>392.0</v>
      </c>
      <c r="B393" s="119">
        <v>46034.0</v>
      </c>
      <c r="C393" s="118" t="s">
        <v>4483</v>
      </c>
      <c r="D393" s="118" t="str">
        <f>IFERROR(__xludf.DUMMYFUNCTION("IFERROR(
  INDEX(
    FILTER(
      'NOMBRE DE PRODUCTOS'!B:B,
      REGEXMATCH(
        UPPER(
          INDEX(
            REPORTE_DROPI!AC:AC,
            MATCH(T393, REPORTE_DROPI!B:B, 0)
          )
        ),
        UPPER('NOMBRE DE PRODUCTOS'!A:A)"&amp;"
      )
    ),
    1
  ),
  ""REVISAR""
)
"),"FilmPro®")</f>
        <v>FilmPro®</v>
      </c>
      <c r="E393" s="120">
        <f t="array" ref="E393">IF(
UPPER(TRIM(CLEAN($O393)))="ENTREGADO",
IFERROR(
INDEX(REPORTE_DROPI!Y:Y,
MATCH($T393, REPORTE_DROPI!B:B, 0)
),
""
),
""
)
</f>
        <v>2.35</v>
      </c>
      <c r="F393" s="121">
        <v>1.0</v>
      </c>
      <c r="G393" s="122">
        <f t="array" ref="G393">IF(
UPPER(TRIM(CLEAN($O393)))="ENTREGADO",
IFERROR(
INDEX(REPORTE_DROPI!R:R,
MATCH($T393, REPORTE_DROPI!B:B, 0)
),
""
),
""
)
</f>
        <v>20</v>
      </c>
      <c r="H393" s="118" t="s">
        <v>3727</v>
      </c>
      <c r="I393" s="118" t="s">
        <v>3801</v>
      </c>
      <c r="J393" s="121">
        <f t="array" ref="J393">IF(
UPPER(TRIM(CLEAN($O393)))="ENTREGADO",
IFERROR(
INDEX(REPORTE_DROPI!T:T,
MATCH($T393, REPORTE_DROPI!B:B, 0)
),
""
),
""
)
</f>
        <v>7.67</v>
      </c>
      <c r="K393" s="118">
        <f t="array" ref="K393">IFERROR(
INDEX(REPORTE_DROPI!S:S,
MATCH($T393, REPORTE_DROPI!B:B, 0)
),
""
)
</f>
        <v>9.98</v>
      </c>
      <c r="L393" s="118" t="str">
        <f>IF(
  O393&lt;&gt;"DEVOLUCION",
  "",
  IF(
    T393="",
    "",
    SUMIF(DEVOLUCION!F:F, T393, DEVOLUCION!D:D)
  )
)
</f>
        <v/>
      </c>
      <c r="M393" s="118"/>
      <c r="N393" s="118" t="s">
        <v>4484</v>
      </c>
      <c r="O393" s="118" t="str">
        <f t="array" ref="O393">IFERROR(
VLOOKUP(
TRIM(CLEAN(
INDEX(REPORTE_DROPI!K:K,
MATCH(T393, REPORTE_DROPI!B:B, 0)
))),
{
TRIM(CLEAN(MAPA_ESTADOS!A:A)) ,
MAPA_ESTADOS!B:B
},
2,
FALSE
),
"REVISAR"
)
</f>
        <v>ENTREGADO</v>
      </c>
      <c r="P393" s="118"/>
      <c r="Q393" s="122">
        <f t="shared" si="1"/>
        <v>0</v>
      </c>
      <c r="R393" s="118"/>
      <c r="S393" s="118"/>
      <c r="T393" s="118">
        <f t="array" ref="T393">IFERROR(
INDEX(REPORTE_DROPI!B:B,
MATCH(
CLEAN(TRIM(C393)),
CLEAN(TRIM(REPORTE_DROPI!E:E)),
0
)
),
""
)
</f>
        <v>4116974</v>
      </c>
      <c r="U393" s="118">
        <v>6.408965521452E12</v>
      </c>
      <c r="V393" s="78"/>
      <c r="W393" s="78"/>
      <c r="X393" s="78"/>
      <c r="Y393" s="78"/>
      <c r="Z393" s="78"/>
    </row>
    <row r="394" ht="22.5" customHeight="1">
      <c r="A394" s="118">
        <v>393.0</v>
      </c>
      <c r="B394" s="119">
        <v>46034.0</v>
      </c>
      <c r="C394" s="118" t="s">
        <v>4485</v>
      </c>
      <c r="D394" s="118" t="str">
        <f>IFERROR(__xludf.DUMMYFUNCTION("IFERROR(
  INDEX(
    FILTER(
      'NOMBRE DE PRODUCTOS'!B:B,
      REGEXMATCH(
        UPPER(
          INDEX(
            REPORTE_DROPI!AC:AC,
            MATCH(T394, REPORTE_DROPI!B:B, 0)
          )
        ),
        UPPER('NOMBRE DE PRODUCTOS'!A:A)"&amp;"
      )
    ),
    1
  ),
  ""REVISAR""
)
"),"FilmPro®")</f>
        <v>FilmPro®</v>
      </c>
      <c r="E394" s="120">
        <f t="array" ref="E394">IF(
UPPER(TRIM(CLEAN($O394)))="ENTREGADO",
IFERROR(
INDEX(REPORTE_DROPI!Y:Y,
MATCH($T394, REPORTE_DROPI!B:B, 0)
),
""
),
""
)
</f>
        <v>2.35</v>
      </c>
      <c r="F394" s="121">
        <v>1.0</v>
      </c>
      <c r="G394" s="122">
        <f t="array" ref="G394">IF(
UPPER(TRIM(CLEAN($O394)))="ENTREGADO",
IFERROR(
INDEX(REPORTE_DROPI!R:R,
MATCH($T394, REPORTE_DROPI!B:B, 0)
),
""
),
""
)
</f>
        <v>20</v>
      </c>
      <c r="H394" s="118" t="s">
        <v>3727</v>
      </c>
      <c r="I394" s="118" t="s">
        <v>3912</v>
      </c>
      <c r="J394" s="121">
        <f t="array" ref="J394">IF(
UPPER(TRIM(CLEAN($O394)))="ENTREGADO",
IFERROR(
INDEX(REPORTE_DROPI!T:T,
MATCH($T394, REPORTE_DROPI!B:B, 0)
),
""
),
""
)
</f>
        <v>6.33</v>
      </c>
      <c r="K394" s="118">
        <f t="array" ref="K394">IFERROR(
INDEX(REPORTE_DROPI!S:S,
MATCH($T394, REPORTE_DROPI!B:B, 0)
),
""
)
</f>
        <v>11.32</v>
      </c>
      <c r="L394" s="118" t="str">
        <f>IF(
  O394&lt;&gt;"DEVOLUCION",
  "",
  IF(
    T394="",
    "",
    SUMIF(DEVOLUCION!F:F, T394, DEVOLUCION!D:D)
  )
)
</f>
        <v/>
      </c>
      <c r="M394" s="118"/>
      <c r="N394" s="118" t="s">
        <v>4486</v>
      </c>
      <c r="O394" s="118" t="str">
        <f t="array" ref="O394">IFERROR(
VLOOKUP(
TRIM(CLEAN(
INDEX(REPORTE_DROPI!K:K,
MATCH(T394, REPORTE_DROPI!B:B, 0)
))),
{
TRIM(CLEAN(MAPA_ESTADOS!A:A)) ,
MAPA_ESTADOS!B:B
},
2,
FALSE
),
"REVISAR"
)
</f>
        <v>ENTREGADO</v>
      </c>
      <c r="P394" s="118"/>
      <c r="Q394" s="122">
        <f t="shared" si="1"/>
        <v>0</v>
      </c>
      <c r="R394" s="118"/>
      <c r="S394" s="118"/>
      <c r="T394" s="118">
        <f t="array" ref="T394">IFERROR(
INDEX(REPORTE_DROPI!B:B,
MATCH(
CLEAN(TRIM(C394)),
CLEAN(TRIM(REPORTE_DROPI!E:E)),
0
)
),
""
)
</f>
        <v>4117075</v>
      </c>
      <c r="U394" s="118">
        <v>6.408984985644E12</v>
      </c>
      <c r="V394" s="78"/>
      <c r="W394" s="78"/>
      <c r="X394" s="78"/>
      <c r="Y394" s="78"/>
      <c r="Z394" s="78"/>
    </row>
    <row r="395" ht="22.5" customHeight="1">
      <c r="A395" s="118">
        <v>394.0</v>
      </c>
      <c r="B395" s="119">
        <v>46034.0</v>
      </c>
      <c r="C395" s="118" t="s">
        <v>4487</v>
      </c>
      <c r="D395" s="118" t="str">
        <f>IFERROR(__xludf.DUMMYFUNCTION("IFERROR(
  INDEX(
    FILTER(
      'NOMBRE DE PRODUCTOS'!B:B,
      REGEXMATCH(
        UPPER(
          INDEX(
            REPORTE_DROPI!AC:AC,
            MATCH(T395, REPORTE_DROPI!B:B, 0)
          )
        ),
        UPPER('NOMBRE DE PRODUCTOS'!A:A)"&amp;"
      )
    ),
    1
  ),
  ""REVISAR""
)
"),"Cuchillo Tazaki™")</f>
        <v>Cuchillo Tazaki™</v>
      </c>
      <c r="E395" s="120">
        <f t="array" ref="E395">IF(
UPPER(TRIM(CLEAN($O395)))="ENTREGADO",
IFERROR(
INDEX(REPORTE_DROPI!Y:Y,
MATCH($T395, REPORTE_DROPI!B:B, 0)
),
""
),
""
)
</f>
        <v>5.2</v>
      </c>
      <c r="F395" s="121">
        <v>2.0</v>
      </c>
      <c r="G395" s="122">
        <f t="array" ref="G395">IF(
UPPER(TRIM(CLEAN($O395)))="ENTREGADO",
IFERROR(
INDEX(REPORTE_DROPI!R:R,
MATCH($T395, REPORTE_DROPI!B:B, 0)
),
""
),
""
)
</f>
        <v>22</v>
      </c>
      <c r="H395" s="118" t="s">
        <v>3727</v>
      </c>
      <c r="I395" s="118" t="s">
        <v>3728</v>
      </c>
      <c r="J395" s="121">
        <f t="array" ref="J395">IF(
UPPER(TRIM(CLEAN($O395)))="ENTREGADO",
IFERROR(
INDEX(REPORTE_DROPI!T:T,
MATCH($T395, REPORTE_DROPI!B:B, 0)
),
""
),
""
)
</f>
        <v>5.84</v>
      </c>
      <c r="K395" s="118">
        <f t="array" ref="K395">IFERROR(
INDEX(REPORTE_DROPI!S:S,
MATCH($T395, REPORTE_DROPI!B:B, 0)
),
""
)
</f>
        <v>10.96</v>
      </c>
      <c r="L395" s="118" t="str">
        <f>IF(
  O395&lt;&gt;"DEVOLUCION",
  "",
  IF(
    T395="",
    "",
    SUMIF(DEVOLUCION!F:F, T395, DEVOLUCION!D:D)
  )
)
</f>
        <v/>
      </c>
      <c r="M395" s="118"/>
      <c r="N395" s="118" t="s">
        <v>4488</v>
      </c>
      <c r="O395" s="118" t="str">
        <f t="array" ref="O395">IFERROR(
VLOOKUP(
TRIM(CLEAN(
INDEX(REPORTE_DROPI!K:K,
MATCH(T395, REPORTE_DROPI!B:B, 0)
))),
{
TRIM(CLEAN(MAPA_ESTADOS!A:A)) ,
MAPA_ESTADOS!B:B
},
2,
FALSE
),
"REVISAR"
)
</f>
        <v>ENTREGADO</v>
      </c>
      <c r="P395" s="118"/>
      <c r="Q395" s="122">
        <f t="shared" si="1"/>
        <v>0</v>
      </c>
      <c r="R395" s="118"/>
      <c r="S395" s="118"/>
      <c r="T395" s="118">
        <f t="array" ref="T395">IFERROR(
INDEX(REPORTE_DROPI!B:B,
MATCH(
CLEAN(TRIM(C395)),
CLEAN(TRIM(REPORTE_DROPI!E:E)),
0
)
),
""
)
</f>
        <v>4117622</v>
      </c>
      <c r="U395" s="118">
        <v>6.409053896748E12</v>
      </c>
      <c r="V395" s="78"/>
      <c r="W395" s="78"/>
      <c r="X395" s="78"/>
      <c r="Y395" s="78"/>
      <c r="Z395" s="78"/>
    </row>
    <row r="396" ht="22.5" customHeight="1">
      <c r="A396" s="118">
        <v>395.0</v>
      </c>
      <c r="B396" s="119">
        <v>46034.0</v>
      </c>
      <c r="C396" s="118" t="s">
        <v>4489</v>
      </c>
      <c r="D396" s="118" t="str">
        <f>IFERROR(__xludf.DUMMYFUNCTION("IFERROR(
  INDEX(
    FILTER(
      'NOMBRE DE PRODUCTOS'!B:B,
      REGEXMATCH(
        UPPER(
          INDEX(
            REPORTE_DROPI!AC:AC,
            MATCH(T396, REPORTE_DROPI!B:B, 0)
          )
        ),
        UPPER('NOMBRE DE PRODUCTOS'!A:A)"&amp;"
      )
    ),
    1
  ),
  ""REVISAR""
)
"),"FilmPro®")</f>
        <v>FilmPro®</v>
      </c>
      <c r="E396" s="120" t="str">
        <f t="array" ref="E396">IF(
UPPER(TRIM(CLEAN($O396)))="ENTREGADO",
IFERROR(
INDEX(REPORTE_DROPI!Y:Y,
MATCH($T396, REPORTE_DROPI!B:B, 0)
),
""
),
""
)
</f>
        <v/>
      </c>
      <c r="F396" s="121">
        <v>2.0</v>
      </c>
      <c r="G396" s="122" t="str">
        <f t="array" ref="G396">IF(
UPPER(TRIM(CLEAN($O396)))="ENTREGADO",
IFERROR(
INDEX(REPORTE_DROPI!R:R,
MATCH($T396, REPORTE_DROPI!B:B, 0)
),
""
),
""
)
</f>
        <v/>
      </c>
      <c r="H396" s="118" t="s">
        <v>3727</v>
      </c>
      <c r="I396" s="118" t="s">
        <v>3772</v>
      </c>
      <c r="J396" s="121" t="str">
        <f t="array" ref="J396">IF(
UPPER(TRIM(CLEAN($O396)))="ENTREGADO",
IFERROR(
INDEX(REPORTE_DROPI!T:T,
MATCH($T396, REPORTE_DROPI!B:B, 0)
),
""
),
""
)
</f>
        <v/>
      </c>
      <c r="K396" s="118" t="str">
        <f t="array" ref="K396">IFERROR(
INDEX(REPORTE_DROPI!S:S,
MATCH($T396, REPORTE_DROPI!B:B, 0)
),
""
)
</f>
        <v/>
      </c>
      <c r="L396" s="118">
        <f>IF(
  O396&lt;&gt;"DEVOLUCION",
  "",
  IF(
    T396="",
    "",
    SUMIF(DEVOLUCION!F:F, T396, DEVOLUCION!D:D)
  )
)
</f>
        <v>9.57</v>
      </c>
      <c r="M396" s="118"/>
      <c r="N396" s="118" t="s">
        <v>4490</v>
      </c>
      <c r="O396" s="118" t="str">
        <f t="array" ref="O396">IFERROR(
VLOOKUP(
TRIM(CLEAN(
INDEX(REPORTE_DROPI!K:K,
MATCH(T396, REPORTE_DROPI!B:B, 0)
))),
{
TRIM(CLEAN(MAPA_ESTADOS!A:A)) ,
MAPA_ESTADOS!B:B
},
2,
FALSE
),
"REVISAR"
)
</f>
        <v>DEVOLUCION</v>
      </c>
      <c r="P396" s="118" t="s">
        <v>4491</v>
      </c>
      <c r="Q396" s="122">
        <f t="shared" si="1"/>
        <v>0</v>
      </c>
      <c r="R396" s="118"/>
      <c r="S396" s="118"/>
      <c r="T396" s="118">
        <f t="array" ref="T396">IFERROR(
INDEX(REPORTE_DROPI!B:B,
MATCH(
CLEAN(TRIM(C396)),
CLEAN(TRIM(REPORTE_DROPI!E:E)),
0
)
),
""
)
</f>
        <v>4117843</v>
      </c>
      <c r="U396" s="118">
        <v>6.409085026348E12</v>
      </c>
      <c r="V396" s="78"/>
      <c r="W396" s="78"/>
      <c r="X396" s="78"/>
      <c r="Y396" s="78"/>
      <c r="Z396" s="78"/>
    </row>
    <row r="397" ht="22.5" customHeight="1">
      <c r="A397" s="118">
        <v>396.0</v>
      </c>
      <c r="B397" s="119">
        <v>46034.0</v>
      </c>
      <c r="C397" s="118" t="s">
        <v>4492</v>
      </c>
      <c r="D397" s="118" t="str">
        <f>IFERROR(__xludf.DUMMYFUNCTION("IFERROR(
  INDEX(
    FILTER(
      'NOMBRE DE PRODUCTOS'!B:B,
      REGEXMATCH(
        UPPER(
          INDEX(
            REPORTE_DROPI!AC:AC,
            MATCH(T397, REPORTE_DROPI!B:B, 0)
          )
        ),
        UPPER('NOMBRE DE PRODUCTOS'!A:A)"&amp;"
      )
    ),
    1
  ),
  ""REVISAR""
)
"),"FilmPro®")</f>
        <v>FilmPro®</v>
      </c>
      <c r="E397" s="120">
        <f t="array" ref="E397">IF(
UPPER(TRIM(CLEAN($O397)))="ENTREGADO",
IFERROR(
INDEX(REPORTE_DROPI!Y:Y,
MATCH($T397, REPORTE_DROPI!B:B, 0)
),
""
),
""
)
</f>
        <v>4.7</v>
      </c>
      <c r="F397" s="121">
        <v>2.0</v>
      </c>
      <c r="G397" s="122">
        <f t="array" ref="G397">IF(
UPPER(TRIM(CLEAN($O397)))="ENTREGADO",
IFERROR(
INDEX(REPORTE_DROPI!R:R,
MATCH($T397, REPORTE_DROPI!B:B, 0)
),
""
),
""
)
</f>
        <v>25</v>
      </c>
      <c r="H397" s="118" t="s">
        <v>3727</v>
      </c>
      <c r="I397" s="118" t="s">
        <v>3801</v>
      </c>
      <c r="J397" s="121">
        <f t="array" ref="J397">IF(
UPPER(TRIM(CLEAN($O397)))="ENTREGADO",
IFERROR(
INDEX(REPORTE_DROPI!T:T,
MATCH($T397, REPORTE_DROPI!B:B, 0)
),
""
),
""
)
</f>
        <v>5.96</v>
      </c>
      <c r="K397" s="118">
        <f t="array" ref="K397">IFERROR(
INDEX(REPORTE_DROPI!S:S,
MATCH($T397, REPORTE_DROPI!B:B, 0)
),
""
)
</f>
        <v>14.34</v>
      </c>
      <c r="L397" s="118" t="str">
        <f>IF(
  O397&lt;&gt;"DEVOLUCION",
  "",
  IF(
    T397="",
    "",
    SUMIF(DEVOLUCION!F:F, T397, DEVOLUCION!D:D)
  )
)
</f>
        <v/>
      </c>
      <c r="M397" s="118"/>
      <c r="N397" s="118" t="s">
        <v>4493</v>
      </c>
      <c r="O397" s="118" t="str">
        <f t="array" ref="O397">IFERROR(
VLOOKUP(
TRIM(CLEAN(
INDEX(REPORTE_DROPI!K:K,
MATCH(T397, REPORTE_DROPI!B:B, 0)
))),
{
TRIM(CLEAN(MAPA_ESTADOS!A:A)) ,
MAPA_ESTADOS!B:B
},
2,
FALSE
),
"REVISAR"
)
</f>
        <v>ENTREGADO</v>
      </c>
      <c r="P397" s="118"/>
      <c r="Q397" s="122">
        <f t="shared" si="1"/>
        <v>0</v>
      </c>
      <c r="R397" s="118"/>
      <c r="S397" s="118"/>
      <c r="T397" s="118">
        <f t="array" ref="T397">IFERROR(
INDEX(REPORTE_DROPI!B:B,
MATCH(
CLEAN(TRIM(C397)),
CLEAN(TRIM(REPORTE_DROPI!E:E)),
0
)
),
""
)
</f>
        <v>4118444</v>
      </c>
      <c r="U397" s="118">
        <v>6.409185656876E12</v>
      </c>
      <c r="V397" s="78"/>
      <c r="W397" s="78"/>
      <c r="X397" s="78"/>
      <c r="Y397" s="78"/>
      <c r="Z397" s="78"/>
    </row>
    <row r="398" ht="22.5" customHeight="1">
      <c r="A398" s="118">
        <v>397.0</v>
      </c>
      <c r="B398" s="119">
        <v>46034.0</v>
      </c>
      <c r="C398" s="118" t="s">
        <v>4494</v>
      </c>
      <c r="D398" s="118" t="str">
        <f>IFERROR(__xludf.DUMMYFUNCTION("IFERROR(
  INDEX(
    FILTER(
      'NOMBRE DE PRODUCTOS'!B:B,
      REGEXMATCH(
        UPPER(
          INDEX(
            REPORTE_DROPI!AC:AC,
            MATCH(T398, REPORTE_DROPI!B:B, 0)
          )
        ),
        UPPER('NOMBRE DE PRODUCTOS'!A:A)"&amp;"
      )
    ),
    1
  ),
  ""REVISAR""
)
"),"FilmPro®")</f>
        <v>FilmPro®</v>
      </c>
      <c r="E398" s="120">
        <f t="array" ref="E398">IF(
UPPER(TRIM(CLEAN($O398)))="ENTREGADO",
IFERROR(
INDEX(REPORTE_DROPI!Y:Y,
MATCH($T398, REPORTE_DROPI!B:B, 0)
),
""
),
""
)
</f>
        <v>4.7</v>
      </c>
      <c r="F398" s="121">
        <v>2.0</v>
      </c>
      <c r="G398" s="122">
        <f t="array" ref="G398">IF(
UPPER(TRIM(CLEAN($O398)))="ENTREGADO",
IFERROR(
INDEX(REPORTE_DROPI!R:R,
MATCH($T398, REPORTE_DROPI!B:B, 0)
),
""
),
""
)
</f>
        <v>25</v>
      </c>
      <c r="H398" s="118" t="s">
        <v>3727</v>
      </c>
      <c r="I398" s="118" t="s">
        <v>3731</v>
      </c>
      <c r="J398" s="121">
        <f t="array" ref="J398">IF(
UPPER(TRIM(CLEAN($O398)))="ENTREGADO",
IFERROR(
INDEX(REPORTE_DROPI!T:T,
MATCH($T398, REPORTE_DROPI!B:B, 0)
),
""
),
""
)
</f>
        <v>4.35</v>
      </c>
      <c r="K398" s="118">
        <f t="array" ref="K398">IFERROR(
INDEX(REPORTE_DROPI!S:S,
MATCH($T398, REPORTE_DROPI!B:B, 0)
),
""
)
</f>
        <v>15.95</v>
      </c>
      <c r="L398" s="118" t="str">
        <f>IF(
  O398&lt;&gt;"DEVOLUCION",
  "",
  IF(
    T398="",
    "",
    SUMIF(DEVOLUCION!F:F, T398, DEVOLUCION!D:D)
  )
)
</f>
        <v/>
      </c>
      <c r="M398" s="118"/>
      <c r="N398" s="118" t="s">
        <v>4495</v>
      </c>
      <c r="O398" s="118" t="str">
        <f t="array" ref="O398">IFERROR(
VLOOKUP(
TRIM(CLEAN(
INDEX(REPORTE_DROPI!K:K,
MATCH(T398, REPORTE_DROPI!B:B, 0)
))),
{
TRIM(CLEAN(MAPA_ESTADOS!A:A)) ,
MAPA_ESTADOS!B:B
},
2,
FALSE
),
"REVISAR"
)
</f>
        <v>ENTREGADO</v>
      </c>
      <c r="P398" s="118"/>
      <c r="Q398" s="122">
        <f t="shared" si="1"/>
        <v>0</v>
      </c>
      <c r="R398" s="118"/>
      <c r="S398" s="118"/>
      <c r="T398" s="118">
        <f t="array" ref="T398">IFERROR(
INDEX(REPORTE_DROPI!B:B,
MATCH(
CLEAN(TRIM(C398)),
CLEAN(TRIM(REPORTE_DROPI!E:E)),
0
)
),
""
)
</f>
        <v>4118643</v>
      </c>
      <c r="U398" s="118">
        <v>6.409226616876E12</v>
      </c>
      <c r="V398" s="78"/>
      <c r="W398" s="78"/>
      <c r="X398" s="78"/>
      <c r="Y398" s="78"/>
      <c r="Z398" s="78"/>
    </row>
    <row r="399" ht="22.5" customHeight="1">
      <c r="A399" s="118">
        <v>398.0</v>
      </c>
      <c r="B399" s="119">
        <v>46034.0</v>
      </c>
      <c r="C399" s="118" t="s">
        <v>4496</v>
      </c>
      <c r="D399" s="118" t="str">
        <f>IFERROR(__xludf.DUMMYFUNCTION("IFERROR(
  INDEX(
    FILTER(
      'NOMBRE DE PRODUCTOS'!B:B,
      REGEXMATCH(
        UPPER(
          INDEX(
            REPORTE_DROPI!AC:AC,
            MATCH(T399, REPORTE_DROPI!B:B, 0)
          )
        ),
        UPPER('NOMBRE DE PRODUCTOS'!A:A)"&amp;"
      )
    ),
    1
  ),
  ""REVISAR""
)
"),"Cuchillo Tazaki™")</f>
        <v>Cuchillo Tazaki™</v>
      </c>
      <c r="E399" s="120">
        <f t="array" ref="E399">IF(
UPPER(TRIM(CLEAN($O399)))="ENTREGADO",
IFERROR(
INDEX(REPORTE_DROPI!Y:Y,
MATCH($T399, REPORTE_DROPI!B:B, 0)
),
""
),
""
)
</f>
        <v>5.2</v>
      </c>
      <c r="F399" s="121">
        <v>2.0</v>
      </c>
      <c r="G399" s="122">
        <f t="array" ref="G399">IF(
UPPER(TRIM(CLEAN($O399)))="ENTREGADO",
IFERROR(
INDEX(REPORTE_DROPI!R:R,
MATCH($T399, REPORTE_DROPI!B:B, 0)
),
""
),
""
)
</f>
        <v>22</v>
      </c>
      <c r="H399" s="118" t="s">
        <v>3727</v>
      </c>
      <c r="I399" s="118" t="s">
        <v>3778</v>
      </c>
      <c r="J399" s="121">
        <f t="array" ref="J399">IF(
UPPER(TRIM(CLEAN($O399)))="ENTREGADO",
IFERROR(
INDEX(REPORTE_DROPI!T:T,
MATCH($T399, REPORTE_DROPI!B:B, 0)
),
""
),
""
)
</f>
        <v>5.84</v>
      </c>
      <c r="K399" s="118">
        <f t="array" ref="K399">IFERROR(
INDEX(REPORTE_DROPI!S:S,
MATCH($T399, REPORTE_DROPI!B:B, 0)
),
""
)
</f>
        <v>10.96</v>
      </c>
      <c r="L399" s="118" t="str">
        <f>IF(
  O399&lt;&gt;"DEVOLUCION",
  "",
  IF(
    T399="",
    "",
    SUMIF(DEVOLUCION!F:F, T399, DEVOLUCION!D:D)
  )
)
</f>
        <v/>
      </c>
      <c r="M399" s="118"/>
      <c r="N399" s="118" t="s">
        <v>4497</v>
      </c>
      <c r="O399" s="118" t="str">
        <f t="array" ref="O399">IFERROR(
VLOOKUP(
TRIM(CLEAN(
INDEX(REPORTE_DROPI!K:K,
MATCH(T399, REPORTE_DROPI!B:B, 0)
))),
{
TRIM(CLEAN(MAPA_ESTADOS!A:A)) ,
MAPA_ESTADOS!B:B
},
2,
FALSE
),
"REVISAR"
)
</f>
        <v>ENTREGADO</v>
      </c>
      <c r="P399" s="118"/>
      <c r="Q399" s="122">
        <f t="shared" si="1"/>
        <v>0</v>
      </c>
      <c r="R399" s="118"/>
      <c r="S399" s="118"/>
      <c r="T399" s="118">
        <f t="array" ref="T399">IFERROR(
INDEX(REPORTE_DROPI!B:B,
MATCH(
CLEAN(TRIM(C399)),
CLEAN(TRIM(REPORTE_DROPI!E:E)),
0
)
),
""
)
</f>
        <v>4118671</v>
      </c>
      <c r="U399" s="118">
        <v>6.409241198636E12</v>
      </c>
      <c r="V399" s="78"/>
      <c r="W399" s="78"/>
      <c r="X399" s="78"/>
      <c r="Y399" s="78"/>
      <c r="Z399" s="78"/>
    </row>
    <row r="400" ht="22.5" customHeight="1">
      <c r="A400" s="118">
        <v>399.0</v>
      </c>
      <c r="B400" s="119">
        <v>46034.0</v>
      </c>
      <c r="C400" s="126" t="s">
        <v>4498</v>
      </c>
      <c r="D400" s="118" t="str">
        <f>IFERROR(__xludf.DUMMYFUNCTION("IFERROR(
  INDEX(
    FILTER(
      'NOMBRE DE PRODUCTOS'!B:B,
      REGEXMATCH(
        UPPER(
          INDEX(
            REPORTE_DROPI!AC:AC,
            MATCH(T400, REPORTE_DROPI!B:B, 0)
          )
        ),
        UPPER('NOMBRE DE PRODUCTOS'!A:A)"&amp;"
      )
    ),
    1
  ),
  ""REVISAR""
)
"),"Cuchillo Tazaki™")</f>
        <v>Cuchillo Tazaki™</v>
      </c>
      <c r="E400" s="120" t="str">
        <f t="array" ref="E400">IF(
UPPER(TRIM(CLEAN($O400)))="ENTREGADO",
IFERROR(
INDEX(REPORTE_DROPI!Y:Y,
MATCH($T400, REPORTE_DROPI!B:B, 0)
),
""
),
""
)
</f>
        <v/>
      </c>
      <c r="F400" s="121">
        <v>2.0</v>
      </c>
      <c r="G400" s="122" t="str">
        <f t="array" ref="G400">IF(
UPPER(TRIM(CLEAN($O400)))="ENTREGADO",
IFERROR(
INDEX(REPORTE_DROPI!R:R,
MATCH($T400, REPORTE_DROPI!B:B, 0)
),
""
),
""
)
</f>
        <v/>
      </c>
      <c r="H400" s="118" t="s">
        <v>3727</v>
      </c>
      <c r="I400" s="118" t="s">
        <v>3801</v>
      </c>
      <c r="J400" s="121" t="str">
        <f t="array" ref="J400">IF(
UPPER(TRIM(CLEAN($O400)))="ENTREGADO",
IFERROR(
INDEX(REPORTE_DROPI!T:T,
MATCH($T400, REPORTE_DROPI!B:B, 0)
),
""
),
""
)
</f>
        <v/>
      </c>
      <c r="K400" s="118" t="str">
        <f t="array" ref="K400">IFERROR(
INDEX(REPORTE_DROPI!S:S,
MATCH($T400, REPORTE_DROPI!B:B, 0)
),
""
)
</f>
        <v/>
      </c>
      <c r="L400" s="118" t="str">
        <f>IF(
  O400&lt;&gt;"DEVOLUCION",
  "",
  IF(
    T400="",
    "",
    SUMIF(DEVOLUCION!F:F, T400, DEVOLUCION!D:D)
  )
)
</f>
        <v/>
      </c>
      <c r="M400" s="118"/>
      <c r="N400" s="118" t="s">
        <v>4499</v>
      </c>
      <c r="O400" s="118" t="str">
        <f t="array" ref="O400">IFERROR(
VLOOKUP(
TRIM(CLEAN(
INDEX(REPORTE_DROPI!K:K,
MATCH(T400, REPORTE_DROPI!B:B, 0)
))),
{
TRIM(CLEAN(MAPA_ESTADOS!A:A)) ,
MAPA_ESTADOS!B:B
},
2,
FALSE
),
"REVISAR"
)
</f>
        <v>PENDIENTE</v>
      </c>
      <c r="P400" s="118" t="s">
        <v>3689</v>
      </c>
      <c r="Q400" s="122">
        <f t="shared" si="1"/>
        <v>0</v>
      </c>
      <c r="R400" s="118"/>
      <c r="S400" s="118"/>
      <c r="T400" s="118">
        <f t="array" ref="T400">IFERROR(
INDEX(REPORTE_DROPI!B:B,
MATCH(
CLEAN(TRIM(C400)),
CLEAN(TRIM(REPORTE_DROPI!E:E)),
0
)
),
""
)
</f>
        <v>4118949</v>
      </c>
      <c r="U400" s="118">
        <v>6.409299820588E12</v>
      </c>
      <c r="V400" s="78"/>
      <c r="W400" s="78"/>
      <c r="X400" s="78"/>
      <c r="Y400" s="78"/>
      <c r="Z400" s="78"/>
    </row>
    <row r="401" ht="22.5" customHeight="1">
      <c r="A401" s="118">
        <v>400.0</v>
      </c>
      <c r="B401" s="119">
        <v>46034.0</v>
      </c>
      <c r="C401" s="118" t="s">
        <v>4500</v>
      </c>
      <c r="D401" s="118" t="str">
        <f>IFERROR(__xludf.DUMMYFUNCTION("IFERROR(
  INDEX(
    FILTER(
      'NOMBRE DE PRODUCTOS'!B:B,
      REGEXMATCH(
        UPPER(
          INDEX(
            REPORTE_DROPI!AC:AC,
            MATCH(T401, REPORTE_DROPI!B:B, 0)
          )
        ),
        UPPER('NOMBRE DE PRODUCTOS'!A:A)"&amp;"
      )
    ),
    1
  ),
  ""REVISAR""
)
"),"Cuchillo Tazaki™")</f>
        <v>Cuchillo Tazaki™</v>
      </c>
      <c r="E401" s="120">
        <f t="array" ref="E401">IF(
UPPER(TRIM(CLEAN($O401)))="ENTREGADO",
IFERROR(
INDEX(REPORTE_DROPI!Y:Y,
MATCH($T401, REPORTE_DROPI!B:B, 0)
),
""
),
""
)
</f>
        <v>5.2</v>
      </c>
      <c r="F401" s="121">
        <v>2.0</v>
      </c>
      <c r="G401" s="122">
        <f t="array" ref="G401">IF(
UPPER(TRIM(CLEAN($O401)))="ENTREGADO",
IFERROR(
INDEX(REPORTE_DROPI!R:R,
MATCH($T401, REPORTE_DROPI!B:B, 0)
),
""
),
""
)
</f>
        <v>22</v>
      </c>
      <c r="H401" s="118" t="s">
        <v>3727</v>
      </c>
      <c r="I401" s="118" t="s">
        <v>3731</v>
      </c>
      <c r="J401" s="121">
        <f t="array" ref="J401">IF(
UPPER(TRIM(CLEAN($O401)))="ENTREGADO",
IFERROR(
INDEX(REPORTE_DROPI!T:T,
MATCH($T401, REPORTE_DROPI!B:B, 0)
),
""
),
""
)
</f>
        <v>5.84</v>
      </c>
      <c r="K401" s="118">
        <f t="array" ref="K401">IFERROR(
INDEX(REPORTE_DROPI!S:S,
MATCH($T401, REPORTE_DROPI!B:B, 0)
),
""
)
</f>
        <v>10.96</v>
      </c>
      <c r="L401" s="118" t="str">
        <f>IF(
  O401&lt;&gt;"DEVOLUCION",
  "",
  IF(
    T401="",
    "",
    SUMIF(DEVOLUCION!F:F, T401, DEVOLUCION!D:D)
  )
)
</f>
        <v/>
      </c>
      <c r="M401" s="118"/>
      <c r="N401" s="118" t="s">
        <v>4501</v>
      </c>
      <c r="O401" s="118" t="str">
        <f t="array" ref="O401">IFERROR(
VLOOKUP(
TRIM(CLEAN(
INDEX(REPORTE_DROPI!K:K,
MATCH(T401, REPORTE_DROPI!B:B, 0)
))),
{
TRIM(CLEAN(MAPA_ESTADOS!A:A)) ,
MAPA_ESTADOS!B:B
},
2,
FALSE
),
"REVISAR"
)
</f>
        <v>ENTREGADO</v>
      </c>
      <c r="P401" s="118"/>
      <c r="Q401" s="122">
        <f t="shared" si="1"/>
        <v>0</v>
      </c>
      <c r="R401" s="118"/>
      <c r="S401" s="118"/>
      <c r="T401" s="118">
        <f t="array" ref="T401">IFERROR(
INDEX(REPORTE_DROPI!B:B,
MATCH(
CLEAN(TRIM(C401)),
CLEAN(TRIM(REPORTE_DROPI!E:E)),
0
)
),
""
)
</f>
        <v>4119061</v>
      </c>
      <c r="U401" s="118">
        <v>6.409320955948E12</v>
      </c>
      <c r="V401" s="78"/>
      <c r="W401" s="78"/>
      <c r="X401" s="78"/>
      <c r="Y401" s="78"/>
      <c r="Z401" s="78"/>
    </row>
    <row r="402" ht="22.5" customHeight="1">
      <c r="A402" s="118">
        <v>401.0</v>
      </c>
      <c r="B402" s="119">
        <v>46034.0</v>
      </c>
      <c r="C402" s="126" t="s">
        <v>4502</v>
      </c>
      <c r="D402" s="118" t="s">
        <v>3827</v>
      </c>
      <c r="E402" s="120" t="str">
        <f t="array" ref="E402">IF(
UPPER(TRIM(CLEAN($O402)))="ENTREGADO",
IFERROR(
INDEX(REPORTE_DROPI!Y:Y,
MATCH($T402, REPORTE_DROPI!B:B, 0)
),
""
),
""
)
</f>
        <v/>
      </c>
      <c r="F402" s="121">
        <v>1.0</v>
      </c>
      <c r="G402" s="122" t="str">
        <f t="array" ref="G402">IF(
UPPER(TRIM(CLEAN($O402)))="ENTREGADO",
IFERROR(
INDEX(REPORTE_DROPI!R:R,
MATCH($T402, REPORTE_DROPI!B:B, 0)
),
""
),
""
)
</f>
        <v/>
      </c>
      <c r="H402" s="118" t="s">
        <v>3727</v>
      </c>
      <c r="I402" s="118" t="s">
        <v>3740</v>
      </c>
      <c r="J402" s="121" t="str">
        <f t="array" ref="J402">IF(
UPPER(TRIM(CLEAN($O402)))="ENTREGADO",
IFERROR(
INDEX(REPORTE_DROPI!T:T,
MATCH($T402, REPORTE_DROPI!B:B, 0)
),
""
),
""
)
</f>
        <v/>
      </c>
      <c r="K402" s="118" t="str">
        <f t="array" ref="K402">IFERROR(
INDEX(REPORTE_DROPI!S:S,
MATCH($T402, REPORTE_DROPI!B:B, 0)
),
""
)
</f>
        <v/>
      </c>
      <c r="L402" s="118" t="str">
        <f>IF(
  O402&lt;&gt;"DEVOLUCION",
  "",
  IF(
    T402="",
    "",
    SUMIF(DEVOLUCION!F:F, T402, DEVOLUCION!D:D)
  )
)
</f>
        <v/>
      </c>
      <c r="M402" s="118"/>
      <c r="N402" s="118" t="s">
        <v>4503</v>
      </c>
      <c r="O402" s="118" t="str">
        <f t="array" ref="O402">IFERROR(
VLOOKUP(
TRIM(CLEAN(
INDEX(REPORTE_DROPI!K:K,
MATCH(T402, REPORTE_DROPI!B:B, 0)
))),
{
TRIM(CLEAN(MAPA_ESTADOS!A:A)) ,
MAPA_ESTADOS!B:B
},
2,
FALSE
),
"REVISAR"
)
</f>
        <v>REVISAR</v>
      </c>
      <c r="P402" s="118" t="s">
        <v>4504</v>
      </c>
      <c r="Q402" s="122">
        <f t="shared" si="1"/>
        <v>0</v>
      </c>
      <c r="R402" s="118"/>
      <c r="S402" s="118"/>
      <c r="T402" s="118" t="str">
        <f t="array" ref="T402">IFERROR(
INDEX(REPORTE_DROPI!B:B,
MATCH(
CLEAN(TRIM(C402)),
CLEAN(TRIM(REPORTE_DROPI!E:E)),
0
)
),
""
)
</f>
        <v/>
      </c>
      <c r="U402" s="118">
        <v>6.409362735148E12</v>
      </c>
      <c r="V402" s="78"/>
      <c r="W402" s="78"/>
      <c r="X402" s="78"/>
      <c r="Y402" s="78"/>
      <c r="Z402" s="78"/>
    </row>
    <row r="403" ht="22.5" customHeight="1">
      <c r="A403" s="118">
        <v>402.0</v>
      </c>
      <c r="B403" s="119">
        <v>46034.0</v>
      </c>
      <c r="C403" s="126" t="s">
        <v>4505</v>
      </c>
      <c r="D403" s="118" t="str">
        <f>IFERROR(__xludf.DUMMYFUNCTION("IFERROR(
  INDEX(
    FILTER(
      'NOMBRE DE PRODUCTOS'!B:B,
      REGEXMATCH(
        UPPER(
          INDEX(
            REPORTE_DROPI!AC:AC,
            MATCH(T403, REPORTE_DROPI!B:B, 0)
          )
        ),
        UPPER('NOMBRE DE PRODUCTOS'!A:A)"&amp;"
      )
    ),
    1
  ),
  ""REVISAR""
)
"),"FilmPro®")</f>
        <v>FilmPro®</v>
      </c>
      <c r="E403" s="120" t="str">
        <f t="array" ref="E403">IF(
UPPER(TRIM(CLEAN($O403)))="ENTREGADO",
IFERROR(
INDEX(REPORTE_DROPI!Y:Y,
MATCH($T403, REPORTE_DROPI!B:B, 0)
),
""
),
""
)
</f>
        <v/>
      </c>
      <c r="F403" s="121">
        <v>3.0</v>
      </c>
      <c r="G403" s="122" t="str">
        <f t="array" ref="G403">IF(
UPPER(TRIM(CLEAN($O403)))="ENTREGADO",
IFERROR(
INDEX(REPORTE_DROPI!R:R,
MATCH($T403, REPORTE_DROPI!B:B, 0)
),
""
),
""
)
</f>
        <v/>
      </c>
      <c r="H403" s="118" t="s">
        <v>3727</v>
      </c>
      <c r="I403" s="118" t="s">
        <v>3740</v>
      </c>
      <c r="J403" s="121" t="str">
        <f t="array" ref="J403">IF(
UPPER(TRIM(CLEAN($O403)))="ENTREGADO",
IFERROR(
INDEX(REPORTE_DROPI!T:T,
MATCH($T403, REPORTE_DROPI!B:B, 0)
),
""
),
""
)
</f>
        <v/>
      </c>
      <c r="K403" s="118" t="str">
        <f t="array" ref="K403">IFERROR(
INDEX(REPORTE_DROPI!S:S,
MATCH($T403, REPORTE_DROPI!B:B, 0)
),
""
)
</f>
        <v/>
      </c>
      <c r="L403" s="118" t="str">
        <f>IF(
  O403&lt;&gt;"DEVOLUCION",
  "",
  IF(
    T403="",
    "",
    SUMIF(DEVOLUCION!F:F, T403, DEVOLUCION!D:D)
  )
)
</f>
        <v/>
      </c>
      <c r="M403" s="118"/>
      <c r="N403" s="118" t="s">
        <v>4506</v>
      </c>
      <c r="O403" s="118" t="str">
        <f t="array" ref="O403">IFERROR(
VLOOKUP(
TRIM(CLEAN(
INDEX(REPORTE_DROPI!K:K,
MATCH(T403, REPORTE_DROPI!B:B, 0)
))),
{
TRIM(CLEAN(MAPA_ESTADOS!A:A)) ,
MAPA_ESTADOS!B:B
},
2,
FALSE
),
"REVISAR"
)
</f>
        <v>PENDIENTE</v>
      </c>
      <c r="P403" s="118" t="s">
        <v>4350</v>
      </c>
      <c r="Q403" s="122">
        <f t="shared" si="1"/>
        <v>0</v>
      </c>
      <c r="R403" s="118"/>
      <c r="S403" s="118"/>
      <c r="T403" s="118">
        <f t="array" ref="T403">IFERROR(
INDEX(REPORTE_DROPI!B:B,
MATCH(
CLEAN(TRIM(C403)),
CLEAN(TRIM(REPORTE_DROPI!E:E)),
0
)
),
""
)
</f>
        <v>4119947</v>
      </c>
      <c r="U403" s="118">
        <v>6.409527132204E12</v>
      </c>
      <c r="V403" s="78"/>
      <c r="W403" s="78"/>
      <c r="X403" s="78"/>
      <c r="Y403" s="78"/>
      <c r="Z403" s="78"/>
    </row>
    <row r="404" ht="22.5" customHeight="1">
      <c r="A404" s="118">
        <v>403.0</v>
      </c>
      <c r="B404" s="119">
        <v>46034.0</v>
      </c>
      <c r="C404" s="118" t="s">
        <v>4507</v>
      </c>
      <c r="D404" s="118" t="str">
        <f>IFERROR(__xludf.DUMMYFUNCTION("IFERROR(
  INDEX(
    FILTER(
      'NOMBRE DE PRODUCTOS'!B:B,
      REGEXMATCH(
        UPPER(
          INDEX(
            REPORTE_DROPI!AC:AC,
            MATCH(T404, REPORTE_DROPI!B:B, 0)
          )
        ),
        UPPER('NOMBRE DE PRODUCTOS'!A:A)"&amp;"
      )
    ),
    1
  ),
  ""REVISAR""
)
"),"Cuchillo Tazaki™")</f>
        <v>Cuchillo Tazaki™</v>
      </c>
      <c r="E404" s="120" t="str">
        <f t="array" ref="E404">IF(
UPPER(TRIM(CLEAN($O404)))="ENTREGADO",
IFERROR(
INDEX(REPORTE_DROPI!Y:Y,
MATCH($T404, REPORTE_DROPI!B:B, 0)
),
""
),
""
)
</f>
        <v/>
      </c>
      <c r="F404" s="121">
        <v>2.0</v>
      </c>
      <c r="G404" s="122" t="str">
        <f t="array" ref="G404">IF(
UPPER(TRIM(CLEAN($O404)))="ENTREGADO",
IFERROR(
INDEX(REPORTE_DROPI!R:R,
MATCH($T404, REPORTE_DROPI!B:B, 0)
),
""
),
""
)
</f>
        <v/>
      </c>
      <c r="H404" s="118" t="s">
        <v>3727</v>
      </c>
      <c r="I404" s="118" t="s">
        <v>3728</v>
      </c>
      <c r="J404" s="121" t="str">
        <f t="array" ref="J404">IF(
UPPER(TRIM(CLEAN($O404)))="ENTREGADO",
IFERROR(
INDEX(REPORTE_DROPI!T:T,
MATCH($T404, REPORTE_DROPI!B:B, 0)
),
""
),
""
)
</f>
        <v/>
      </c>
      <c r="K404" s="118" t="str">
        <f t="array" ref="K404">IFERROR(
INDEX(REPORTE_DROPI!S:S,
MATCH($T404, REPORTE_DROPI!B:B, 0)
),
""
)
</f>
        <v/>
      </c>
      <c r="L404" s="118">
        <f>IF(
  O404&lt;&gt;"DEVOLUCION",
  "",
  IF(
    T404="",
    "",
    SUMIF(DEVOLUCION!F:F, T404, DEVOLUCION!D:D)
  )
)
</f>
        <v>7.7</v>
      </c>
      <c r="M404" s="118"/>
      <c r="N404" s="118" t="s">
        <v>4508</v>
      </c>
      <c r="O404" s="118" t="str">
        <f t="array" ref="O404">IFERROR(
VLOOKUP(
TRIM(CLEAN(
INDEX(REPORTE_DROPI!K:K,
MATCH(T404, REPORTE_DROPI!B:B, 0)
))),
{
TRIM(CLEAN(MAPA_ESTADOS!A:A)) ,
MAPA_ESTADOS!B:B
},
2,
FALSE
),
"REVISAR"
)
</f>
        <v>DEVOLUCION</v>
      </c>
      <c r="P404" s="118"/>
      <c r="Q404" s="122">
        <f t="shared" si="1"/>
        <v>0</v>
      </c>
      <c r="R404" s="118"/>
      <c r="S404" s="118"/>
      <c r="T404" s="118">
        <f t="array" ref="T404">IFERROR(
INDEX(REPORTE_DROPI!B:B,
MATCH(
CLEAN(TRIM(C404)),
CLEAN(TRIM(REPORTE_DROPI!E:E)),
0
)
),
""
)
</f>
        <v>4120524</v>
      </c>
      <c r="U404" s="118">
        <v>6.40961911198E12</v>
      </c>
      <c r="V404" s="78"/>
      <c r="W404" s="78"/>
      <c r="X404" s="78"/>
      <c r="Y404" s="78"/>
      <c r="Z404" s="78"/>
    </row>
    <row r="405" ht="22.5" customHeight="1">
      <c r="A405" s="118">
        <v>404.0</v>
      </c>
      <c r="B405" s="119">
        <v>46034.0</v>
      </c>
      <c r="C405" s="118" t="s">
        <v>4509</v>
      </c>
      <c r="D405" s="118" t="str">
        <f>IFERROR(__xludf.DUMMYFUNCTION("IFERROR(
  INDEX(
    FILTER(
      'NOMBRE DE PRODUCTOS'!B:B,
      REGEXMATCH(
        UPPER(
          INDEX(
            REPORTE_DROPI!AC:AC,
            MATCH(T405, REPORTE_DROPI!B:B, 0)
          )
        ),
        UPPER('NOMBRE DE PRODUCTOS'!A:A)"&amp;"
      )
    ),
    1
  ),
  ""REVISAR""
)
"),"Cuchillo Tazaki™")</f>
        <v>Cuchillo Tazaki™</v>
      </c>
      <c r="E405" s="120" t="str">
        <f t="array" ref="E405">IF(
UPPER(TRIM(CLEAN($O405)))="ENTREGADO",
IFERROR(
INDEX(REPORTE_DROPI!Y:Y,
MATCH($T405, REPORTE_DROPI!B:B, 0)
),
""
),
""
)
</f>
        <v/>
      </c>
      <c r="F405" s="121">
        <v>2.0</v>
      </c>
      <c r="G405" s="122" t="str">
        <f t="array" ref="G405">IF(
UPPER(TRIM(CLEAN($O405)))="ENTREGADO",
IFERROR(
INDEX(REPORTE_DROPI!R:R,
MATCH($T405, REPORTE_DROPI!B:B, 0)
),
""
),
""
)
</f>
        <v/>
      </c>
      <c r="H405" s="118" t="s">
        <v>3727</v>
      </c>
      <c r="I405" s="118" t="s">
        <v>3770</v>
      </c>
      <c r="J405" s="121" t="str">
        <f t="array" ref="J405">IF(
UPPER(TRIM(CLEAN($O405)))="ENTREGADO",
IFERROR(
INDEX(REPORTE_DROPI!T:T,
MATCH($T405, REPORTE_DROPI!B:B, 0)
),
""
),
""
)
</f>
        <v/>
      </c>
      <c r="K405" s="118" t="str">
        <f t="array" ref="K405">IFERROR(
INDEX(REPORTE_DROPI!S:S,
MATCH($T405, REPORTE_DROPI!B:B, 0)
),
""
)
</f>
        <v/>
      </c>
      <c r="L405" s="118">
        <f>IF(
  O405&lt;&gt;"DEVOLUCION",
  "",
  IF(
    T405="",
    "",
    SUMIF(DEVOLUCION!F:F, T405, DEVOLUCION!D:D)
  )
)
</f>
        <v>5.07</v>
      </c>
      <c r="M405" s="118"/>
      <c r="N405" s="118" t="s">
        <v>4510</v>
      </c>
      <c r="O405" s="118" t="str">
        <f t="array" ref="O405">IFERROR(
VLOOKUP(
TRIM(CLEAN(
INDEX(REPORTE_DROPI!K:K,
MATCH(T405, REPORTE_DROPI!B:B, 0)
))),
{
TRIM(CLEAN(MAPA_ESTADOS!A:A)) ,
MAPA_ESTADOS!B:B
},
2,
FALSE
),
"REVISAR"
)
</f>
        <v>DEVOLUCION</v>
      </c>
      <c r="P405" s="118"/>
      <c r="Q405" s="122">
        <f t="shared" si="1"/>
        <v>0</v>
      </c>
      <c r="R405" s="118"/>
      <c r="S405" s="118"/>
      <c r="T405" s="118">
        <f t="array" ref="T405">IFERROR(
INDEX(REPORTE_DROPI!B:B,
MATCH(
CLEAN(TRIM(C405)),
CLEAN(TRIM(REPORTE_DROPI!E:E)),
0
)
),
""
)
</f>
        <v>4120624</v>
      </c>
      <c r="U405" s="118">
        <v>6.409634283564E12</v>
      </c>
      <c r="V405" s="78"/>
      <c r="W405" s="78"/>
      <c r="X405" s="78"/>
      <c r="Y405" s="78"/>
      <c r="Z405" s="78"/>
    </row>
    <row r="406" ht="22.5" customHeight="1">
      <c r="A406" s="118">
        <v>405.0</v>
      </c>
      <c r="B406" s="119">
        <v>46034.0</v>
      </c>
      <c r="C406" s="118" t="s">
        <v>4511</v>
      </c>
      <c r="D406" s="118" t="str">
        <f>IFERROR(__xludf.DUMMYFUNCTION("IFERROR(
  INDEX(
    FILTER(
      'NOMBRE DE PRODUCTOS'!B:B,
      REGEXMATCH(
        UPPER(
          INDEX(
            REPORTE_DROPI!AC:AC,
            MATCH(T406, REPORTE_DROPI!B:B, 0)
          )
        ),
        UPPER('NOMBRE DE PRODUCTOS'!A:A)"&amp;"
      )
    ),
    1
  ),
  ""REVISAR""
)
"),"Cuchillo Tazaki™")</f>
        <v>Cuchillo Tazaki™</v>
      </c>
      <c r="E406" s="120" t="str">
        <f t="array" ref="E406">IF(
UPPER(TRIM(CLEAN($O406)))="ENTREGADO",
IFERROR(
INDEX(REPORTE_DROPI!Y:Y,
MATCH($T406, REPORTE_DROPI!B:B, 0)
),
""
),
""
)
</f>
        <v/>
      </c>
      <c r="F406" s="121">
        <v>2.0</v>
      </c>
      <c r="G406" s="122" t="str">
        <f t="array" ref="G406">IF(
UPPER(TRIM(CLEAN($O406)))="ENTREGADO",
IFERROR(
INDEX(REPORTE_DROPI!R:R,
MATCH($T406, REPORTE_DROPI!B:B, 0)
),
""
),
""
)
</f>
        <v/>
      </c>
      <c r="H406" s="118" t="s">
        <v>3727</v>
      </c>
      <c r="I406" s="118" t="s">
        <v>3731</v>
      </c>
      <c r="J406" s="121" t="str">
        <f t="array" ref="J406">IF(
UPPER(TRIM(CLEAN($O406)))="ENTREGADO",
IFERROR(
INDEX(REPORTE_DROPI!T:T,
MATCH($T406, REPORTE_DROPI!B:B, 0)
),
""
),
""
)
</f>
        <v/>
      </c>
      <c r="K406" s="118" t="str">
        <f t="array" ref="K406">IFERROR(
INDEX(REPORTE_DROPI!S:S,
MATCH($T406, REPORTE_DROPI!B:B, 0)
),
""
)
</f>
        <v/>
      </c>
      <c r="L406" s="118">
        <f>IF(
  O406&lt;&gt;"DEVOLUCION",
  "",
  IF(
    T406="",
    "",
    SUMIF(DEVOLUCION!F:F, T406, DEVOLUCION!D:D)
  )
)
</f>
        <v>5.65</v>
      </c>
      <c r="M406" s="118" t="s">
        <v>3870</v>
      </c>
      <c r="N406" s="118" t="s">
        <v>4512</v>
      </c>
      <c r="O406" s="118" t="str">
        <f t="array" ref="O406">IFERROR(
VLOOKUP(
TRIM(CLEAN(
INDEX(REPORTE_DROPI!K:K,
MATCH(T406, REPORTE_DROPI!B:B, 0)
))),
{
TRIM(CLEAN(MAPA_ESTADOS!A:A)) ,
MAPA_ESTADOS!B:B
},
2,
FALSE
),
"REVISAR"
)
</f>
        <v>DEVOLUCION</v>
      </c>
      <c r="P406" s="118" t="s">
        <v>3655</v>
      </c>
      <c r="Q406" s="122">
        <f t="shared" si="1"/>
        <v>0</v>
      </c>
      <c r="R406" s="118"/>
      <c r="S406" s="118"/>
      <c r="T406" s="118">
        <f t="array" ref="T406">IFERROR(
INDEX(REPORTE_DROPI!B:B,
MATCH(
CLEAN(TRIM(C406)),
CLEAN(TRIM(REPORTE_DROPI!E:E)),
0
)
),
""
)
</f>
        <v>4121676</v>
      </c>
      <c r="U406" s="118">
        <v>6.409796091948E12</v>
      </c>
      <c r="V406" s="78"/>
      <c r="W406" s="78"/>
      <c r="X406" s="78"/>
      <c r="Y406" s="78"/>
      <c r="Z406" s="78"/>
    </row>
    <row r="407" ht="22.5" customHeight="1">
      <c r="A407" s="118">
        <v>406.0</v>
      </c>
      <c r="B407" s="119">
        <v>46034.0</v>
      </c>
      <c r="C407" s="118" t="s">
        <v>4513</v>
      </c>
      <c r="D407" s="118" t="str">
        <f>IFERROR(__xludf.DUMMYFUNCTION("IFERROR(
  INDEX(
    FILTER(
      'NOMBRE DE PRODUCTOS'!B:B,
      REGEXMATCH(
        UPPER(
          INDEX(
            REPORTE_DROPI!AC:AC,
            MATCH(T407, REPORTE_DROPI!B:B, 0)
          )
        ),
        UPPER('NOMBRE DE PRODUCTOS'!A:A)"&amp;"
      )
    ),
    1
  ),
  ""REVISAR""
)
"),"Cuchillo Tazaki™")</f>
        <v>Cuchillo Tazaki™</v>
      </c>
      <c r="E407" s="120">
        <f t="array" ref="E407">IF(
UPPER(TRIM(CLEAN($O407)))="ENTREGADO",
IFERROR(
INDEX(REPORTE_DROPI!Y:Y,
MATCH($T407, REPORTE_DROPI!B:B, 0)
),
""
),
""
)
</f>
        <v>7.8</v>
      </c>
      <c r="F407" s="121">
        <v>3.0</v>
      </c>
      <c r="G407" s="122">
        <f t="array" ref="G407">IF(
UPPER(TRIM(CLEAN($O407)))="ENTREGADO",
IFERROR(
INDEX(REPORTE_DROPI!R:R,
MATCH($T407, REPORTE_DROPI!B:B, 0)
),
""
),
""
)
</f>
        <v>27</v>
      </c>
      <c r="H407" s="118" t="s">
        <v>3727</v>
      </c>
      <c r="I407" s="118" t="s">
        <v>3740</v>
      </c>
      <c r="J407" s="121">
        <f t="array" ref="J407">IF(
UPPER(TRIM(CLEAN($O407)))="ENTREGADO",
IFERROR(
INDEX(REPORTE_DROPI!T:T,
MATCH($T407, REPORTE_DROPI!B:B, 0)
),
""
),
""
)
</f>
        <v>4.42</v>
      </c>
      <c r="K407" s="118">
        <f t="array" ref="K407">IFERROR(
INDEX(REPORTE_DROPI!S:S,
MATCH($T407, REPORTE_DROPI!B:B, 0)
),
""
)
</f>
        <v>14.78</v>
      </c>
      <c r="L407" s="118" t="str">
        <f>IF(
  O407&lt;&gt;"DEVOLUCION",
  "",
  IF(
    T407="",
    "",
    SUMIF(DEVOLUCION!F:F, T407, DEVOLUCION!D:D)
  )
)
</f>
        <v/>
      </c>
      <c r="M407" s="118"/>
      <c r="N407" s="118" t="s">
        <v>4514</v>
      </c>
      <c r="O407" s="118" t="str">
        <f t="array" ref="O407">IFERROR(
VLOOKUP(
TRIM(CLEAN(
INDEX(REPORTE_DROPI!K:K,
MATCH(T407, REPORTE_DROPI!B:B, 0)
))),
{
TRIM(CLEAN(MAPA_ESTADOS!A:A)) ,
MAPA_ESTADOS!B:B
},
2,
FALSE
),
"REVISAR"
)
</f>
        <v>ENTREGADO</v>
      </c>
      <c r="P407" s="118"/>
      <c r="Q407" s="122">
        <f t="shared" si="1"/>
        <v>0</v>
      </c>
      <c r="R407" s="118"/>
      <c r="S407" s="118"/>
      <c r="T407" s="118">
        <f t="array" ref="T407">IFERROR(
INDEX(REPORTE_DROPI!B:B,
MATCH(
CLEAN(TRIM(C407)),
CLEAN(TRIM(REPORTE_DROPI!E:E)),
0
)
),
""
)
</f>
        <v>4121687</v>
      </c>
      <c r="U407" s="118">
        <v>6.4097981891E12</v>
      </c>
      <c r="V407" s="78"/>
      <c r="W407" s="78"/>
      <c r="X407" s="78"/>
      <c r="Y407" s="78"/>
      <c r="Z407" s="78"/>
    </row>
    <row r="408" ht="22.5" customHeight="1">
      <c r="A408" s="118">
        <v>407.0</v>
      </c>
      <c r="B408" s="119">
        <v>46034.0</v>
      </c>
      <c r="C408" s="118" t="s">
        <v>4515</v>
      </c>
      <c r="D408" s="118" t="str">
        <f>IFERROR(__xludf.DUMMYFUNCTION("IFERROR(
  INDEX(
    FILTER(
      'NOMBRE DE PRODUCTOS'!B:B,
      REGEXMATCH(
        UPPER(
          INDEX(
            REPORTE_DROPI!AC:AC,
            MATCH(T408, REPORTE_DROPI!B:B, 0)
          )
        ),
        UPPER('NOMBRE DE PRODUCTOS'!A:A)"&amp;"
      )
    ),
    1
  ),
  ""REVISAR""
)
"),"Cuchillo Tazaki™")</f>
        <v>Cuchillo Tazaki™</v>
      </c>
      <c r="E408" s="120">
        <f t="array" ref="E408">IF(
UPPER(TRIM(CLEAN($O408)))="ENTREGADO",
IFERROR(
INDEX(REPORTE_DROPI!Y:Y,
MATCH($T408, REPORTE_DROPI!B:B, 0)
),
""
),
""
)
</f>
        <v>5.2</v>
      </c>
      <c r="F408" s="121">
        <v>2.0</v>
      </c>
      <c r="G408" s="122">
        <f t="array" ref="G408">IF(
UPPER(TRIM(CLEAN($O408)))="ENTREGADO",
IFERROR(
INDEX(REPORTE_DROPI!R:R,
MATCH($T408, REPORTE_DROPI!B:B, 0)
),
""
),
""
)
</f>
        <v>22</v>
      </c>
      <c r="H408" s="118" t="s">
        <v>3727</v>
      </c>
      <c r="I408" s="118" t="s">
        <v>3801</v>
      </c>
      <c r="J408" s="121">
        <f t="array" ref="J408">IF(
UPPER(TRIM(CLEAN($O408)))="ENTREGADO",
IFERROR(
INDEX(REPORTE_DROPI!T:T,
MATCH($T408, REPORTE_DROPI!B:B, 0)
),
""
),
""
)
</f>
        <v>5.84</v>
      </c>
      <c r="K408" s="118">
        <f t="array" ref="K408">IFERROR(
INDEX(REPORTE_DROPI!S:S,
MATCH($T408, REPORTE_DROPI!B:B, 0)
),
""
)
</f>
        <v>10.96</v>
      </c>
      <c r="L408" s="118" t="str">
        <f>IF(
  O408&lt;&gt;"DEVOLUCION",
  "",
  IF(
    T408="",
    "",
    SUMIF(DEVOLUCION!F:F, T408, DEVOLUCION!D:D)
  )
)
</f>
        <v/>
      </c>
      <c r="M408" s="118"/>
      <c r="N408" s="118" t="s">
        <v>4516</v>
      </c>
      <c r="O408" s="118" t="str">
        <f t="array" ref="O408">IFERROR(
VLOOKUP(
TRIM(CLEAN(
INDEX(REPORTE_DROPI!K:K,
MATCH(T408, REPORTE_DROPI!B:B, 0)
))),
{
TRIM(CLEAN(MAPA_ESTADOS!A:A)) ,
MAPA_ESTADOS!B:B
},
2,
FALSE
),
"REVISAR"
)
</f>
        <v>ENTREGADO</v>
      </c>
      <c r="P408" s="118" t="s">
        <v>3955</v>
      </c>
      <c r="Q408" s="122">
        <f t="shared" si="1"/>
        <v>0</v>
      </c>
      <c r="R408" s="118"/>
      <c r="S408" s="118"/>
      <c r="T408" s="118">
        <f t="array" ref="T408">IFERROR(
INDEX(REPORTE_DROPI!B:B,
MATCH(
CLEAN(TRIM(C408)),
CLEAN(TRIM(REPORTE_DROPI!E:E)),
0
)
),
""
)
</f>
        <v>4121695</v>
      </c>
      <c r="U408" s="118">
        <v>6.409799532588E12</v>
      </c>
      <c r="V408" s="78"/>
      <c r="W408" s="78"/>
      <c r="X408" s="78"/>
      <c r="Y408" s="78"/>
      <c r="Z408" s="78"/>
    </row>
    <row r="409" ht="22.5" customHeight="1">
      <c r="A409" s="118">
        <v>408.0</v>
      </c>
      <c r="B409" s="119">
        <v>46034.0</v>
      </c>
      <c r="C409" s="118" t="s">
        <v>4517</v>
      </c>
      <c r="D409" s="118" t="str">
        <f>IFERROR(__xludf.DUMMYFUNCTION("IFERROR(
  INDEX(
    FILTER(
      'NOMBRE DE PRODUCTOS'!B:B,
      REGEXMATCH(
        UPPER(
          INDEX(
            REPORTE_DROPI!AC:AC,
            MATCH(T409, REPORTE_DROPI!B:B, 0)
          )
        ),
        UPPER('NOMBRE DE PRODUCTOS'!A:A)"&amp;"
      )
    ),
    1
  ),
  ""REVISAR""
)
"),"FilmPro®")</f>
        <v>FilmPro®</v>
      </c>
      <c r="E409" s="120">
        <f t="array" ref="E409">IF(
UPPER(TRIM(CLEAN($O409)))="ENTREGADO",
IFERROR(
INDEX(REPORTE_DROPI!Y:Y,
MATCH($T409, REPORTE_DROPI!B:B, 0)
),
""
),
""
)
</f>
        <v>7.05</v>
      </c>
      <c r="F409" s="121">
        <v>3.0</v>
      </c>
      <c r="G409" s="122">
        <f t="array" ref="G409">IF(
UPPER(TRIM(CLEAN($O409)))="ENTREGADO",
IFERROR(
INDEX(REPORTE_DROPI!R:R,
MATCH($T409, REPORTE_DROPI!B:B, 0)
),
""
),
""
)
</f>
        <v>30</v>
      </c>
      <c r="H409" s="118" t="s">
        <v>3727</v>
      </c>
      <c r="I409" s="118" t="s">
        <v>3731</v>
      </c>
      <c r="J409" s="121">
        <f t="array" ref="J409">IF(
UPPER(TRIM(CLEAN($O409)))="ENTREGADO",
IFERROR(
INDEX(REPORTE_DROPI!T:T,
MATCH($T409, REPORTE_DROPI!B:B, 0)
),
""
),
""
)
</f>
        <v>5.12</v>
      </c>
      <c r="K409" s="118">
        <f t="array" ref="K409">IFERROR(
INDEX(REPORTE_DROPI!S:S,
MATCH($T409, REPORTE_DROPI!B:B, 0)
),
""
)
</f>
        <v>17.83</v>
      </c>
      <c r="L409" s="118" t="str">
        <f>IF(
  O409&lt;&gt;"DEVOLUCION",
  "",
  IF(
    T409="",
    "",
    SUMIF(DEVOLUCION!F:F, T409, DEVOLUCION!D:D)
  )
)
</f>
        <v/>
      </c>
      <c r="M409" s="118"/>
      <c r="N409" s="118" t="s">
        <v>4518</v>
      </c>
      <c r="O409" s="118" t="str">
        <f t="array" ref="O409">IFERROR(
VLOOKUP(
TRIM(CLEAN(
INDEX(REPORTE_DROPI!K:K,
MATCH(T409, REPORTE_DROPI!B:B, 0)
))),
{
TRIM(CLEAN(MAPA_ESTADOS!A:A)) ,
MAPA_ESTADOS!B:B
},
2,
FALSE
),
"REVISAR"
)
</f>
        <v>ENTREGADO</v>
      </c>
      <c r="P409" s="118"/>
      <c r="Q409" s="122">
        <f t="shared" si="1"/>
        <v>0</v>
      </c>
      <c r="R409" s="118"/>
      <c r="S409" s="118"/>
      <c r="T409" s="118">
        <f t="array" ref="T409">IFERROR(
INDEX(REPORTE_DROPI!B:B,
MATCH(
CLEAN(TRIM(C409)),
CLEAN(TRIM(REPORTE_DROPI!E:E)),
0
)
),
""
)
</f>
        <v>4122031</v>
      </c>
      <c r="U409" s="118">
        <v>6.409857204268E12</v>
      </c>
      <c r="V409" s="78"/>
      <c r="W409" s="78"/>
      <c r="X409" s="78"/>
      <c r="Y409" s="78"/>
      <c r="Z409" s="78"/>
    </row>
    <row r="410" ht="22.5" customHeight="1">
      <c r="A410" s="118">
        <v>409.0</v>
      </c>
      <c r="B410" s="119">
        <v>46034.0</v>
      </c>
      <c r="C410" s="118" t="s">
        <v>4519</v>
      </c>
      <c r="D410" s="118" t="str">
        <f>IFERROR(__xludf.DUMMYFUNCTION("IFERROR(
  INDEX(
    FILTER(
      'NOMBRE DE PRODUCTOS'!B:B,
      REGEXMATCH(
        UPPER(
          INDEX(
            REPORTE_DROPI!AC:AC,
            MATCH(T410, REPORTE_DROPI!B:B, 0)
          )
        ),
        UPPER('NOMBRE DE PRODUCTOS'!A:A)"&amp;"
      )
    ),
    1
  ),
  ""REVISAR""
)
"),"Cuchillo Tazaki™")</f>
        <v>Cuchillo Tazaki™</v>
      </c>
      <c r="E410" s="120" t="str">
        <f t="array" ref="E410">IF(
UPPER(TRIM(CLEAN($O410)))="ENTREGADO",
IFERROR(
INDEX(REPORTE_DROPI!Y:Y,
MATCH($T410, REPORTE_DROPI!B:B, 0)
),
""
),
""
)
</f>
        <v/>
      </c>
      <c r="F410" s="121">
        <v>2.0</v>
      </c>
      <c r="G410" s="122" t="str">
        <f t="array" ref="G410">IF(
UPPER(TRIM(CLEAN($O410)))="ENTREGADO",
IFERROR(
INDEX(REPORTE_DROPI!R:R,
MATCH($T410, REPORTE_DROPI!B:B, 0)
),
""
),
""
)
</f>
        <v/>
      </c>
      <c r="H410" s="118" t="s">
        <v>3727</v>
      </c>
      <c r="I410" s="118" t="s">
        <v>3770</v>
      </c>
      <c r="J410" s="121" t="str">
        <f t="array" ref="J410">IF(
UPPER(TRIM(CLEAN($O410)))="ENTREGADO",
IFERROR(
INDEX(REPORTE_DROPI!T:T,
MATCH($T410, REPORTE_DROPI!B:B, 0)
),
""
),
""
)
</f>
        <v/>
      </c>
      <c r="K410" s="118" t="str">
        <f t="array" ref="K410">IFERROR(
INDEX(REPORTE_DROPI!S:S,
MATCH($T410, REPORTE_DROPI!B:B, 0)
),
""
)
</f>
        <v/>
      </c>
      <c r="L410" s="118">
        <f>IF(
  O410&lt;&gt;"DEVOLUCION",
  "",
  IF(
    T410="",
    "",
    SUMIF(DEVOLUCION!F:F, T410, DEVOLUCION!D:D)
  )
)
</f>
        <v>5.07</v>
      </c>
      <c r="M410" s="118"/>
      <c r="N410" s="128" t="s">
        <v>4520</v>
      </c>
      <c r="O410" s="118" t="str">
        <f t="array" ref="O410">IFERROR(
VLOOKUP(
TRIM(CLEAN(
INDEX(REPORTE_DROPI!K:K,
MATCH(T410, REPORTE_DROPI!B:B, 0)
))),
{
TRIM(CLEAN(MAPA_ESTADOS!A:A)) ,
MAPA_ESTADOS!B:B
},
2,
FALSE
),
"REVISAR"
)
</f>
        <v>DEVOLUCION</v>
      </c>
      <c r="P410" s="118"/>
      <c r="Q410" s="122">
        <f t="shared" si="1"/>
        <v>0</v>
      </c>
      <c r="R410" s="118"/>
      <c r="S410" s="118"/>
      <c r="T410" s="118">
        <f t="array" ref="T410">IFERROR(
INDEX(REPORTE_DROPI!B:B,
MATCH(
CLEAN(TRIM(C410)),
CLEAN(TRIM(REPORTE_DROPI!E:E)),
0
)
),
""
)
</f>
        <v>4122350</v>
      </c>
      <c r="U410" s="118">
        <v>6.409923887148E12</v>
      </c>
      <c r="V410" s="78"/>
      <c r="W410" s="78"/>
      <c r="X410" s="78"/>
      <c r="Y410" s="78"/>
      <c r="Z410" s="78"/>
    </row>
    <row r="411" ht="22.5" customHeight="1">
      <c r="A411" s="118">
        <v>410.0</v>
      </c>
      <c r="B411" s="119">
        <v>46034.0</v>
      </c>
      <c r="C411" s="126" t="s">
        <v>4521</v>
      </c>
      <c r="D411" s="118" t="str">
        <f>IFERROR(__xludf.DUMMYFUNCTION("IFERROR(
  INDEX(
    FILTER(
      'NOMBRE DE PRODUCTOS'!B:B,
      REGEXMATCH(
        UPPER(
          INDEX(
            REPORTE_DROPI!AC:AC,
            MATCH(T411, REPORTE_DROPI!B:B, 0)
          )
        ),
        UPPER('NOMBRE DE PRODUCTOS'!A:A)"&amp;"
      )
    ),
    1
  ),
  ""REVISAR""
)
"),"FilmPro®")</f>
        <v>FilmPro®</v>
      </c>
      <c r="E411" s="120" t="str">
        <f t="array" ref="E411">IF(
UPPER(TRIM(CLEAN($O411)))="ENTREGADO",
IFERROR(
INDEX(REPORTE_DROPI!Y:Y,
MATCH($T411, REPORTE_DROPI!B:B, 0)
),
""
),
""
)
</f>
        <v/>
      </c>
      <c r="F411" s="121">
        <v>1.0</v>
      </c>
      <c r="G411" s="122" t="str">
        <f t="array" ref="G411">IF(
UPPER(TRIM(CLEAN($O411)))="ENTREGADO",
IFERROR(
INDEX(REPORTE_DROPI!R:R,
MATCH($T411, REPORTE_DROPI!B:B, 0)
),
""
),
""
)
</f>
        <v/>
      </c>
      <c r="H411" s="118" t="s">
        <v>3727</v>
      </c>
      <c r="I411" s="118" t="s">
        <v>3731</v>
      </c>
      <c r="J411" s="121" t="str">
        <f t="array" ref="J411">IF(
UPPER(TRIM(CLEAN($O411)))="ENTREGADO",
IFERROR(
INDEX(REPORTE_DROPI!T:T,
MATCH($T411, REPORTE_DROPI!B:B, 0)
),
""
),
""
)
</f>
        <v/>
      </c>
      <c r="K411" s="118" t="str">
        <f t="array" ref="K411">IFERROR(
INDEX(REPORTE_DROPI!S:S,
MATCH($T411, REPORTE_DROPI!B:B, 0)
),
""
)
</f>
        <v/>
      </c>
      <c r="L411" s="118" t="str">
        <f>IF(
  O411&lt;&gt;"DEVOLUCION",
  "",
  IF(
    T411="",
    "",
    SUMIF(DEVOLUCION!F:F, T411, DEVOLUCION!D:D)
  )
)
</f>
        <v/>
      </c>
      <c r="M411" s="118"/>
      <c r="N411" s="130" t="s">
        <v>4522</v>
      </c>
      <c r="O411" s="118" t="str">
        <f t="array" ref="O411">IFERROR(
VLOOKUP(
TRIM(CLEAN(
INDEX(REPORTE_DROPI!K:K,
MATCH(T411, REPORTE_DROPI!B:B, 0)
))),
{
TRIM(CLEAN(MAPA_ESTADOS!A:A)) ,
MAPA_ESTADOS!B:B
},
2,
FALSE
),
"REVISAR"
)
</f>
        <v>PENDIENTE</v>
      </c>
      <c r="P411" s="118" t="s">
        <v>4523</v>
      </c>
      <c r="Q411" s="122">
        <f t="shared" si="1"/>
        <v>0</v>
      </c>
      <c r="R411" s="118"/>
      <c r="S411" s="118"/>
      <c r="T411" s="118">
        <f t="array" ref="T411">IFERROR(
INDEX(REPORTE_DROPI!B:B,
MATCH(
CLEAN(TRIM(C411)),
CLEAN(TRIM(REPORTE_DROPI!E:E)),
0
)
),
""
)
</f>
        <v>4122722</v>
      </c>
      <c r="U411" s="118">
        <v>6.40999201182E12</v>
      </c>
      <c r="V411" s="78"/>
      <c r="W411" s="78"/>
      <c r="X411" s="78"/>
      <c r="Y411" s="78"/>
      <c r="Z411" s="78"/>
    </row>
    <row r="412" ht="22.5" customHeight="1">
      <c r="A412" s="118">
        <v>411.0</v>
      </c>
      <c r="B412" s="119">
        <v>46034.0</v>
      </c>
      <c r="C412" s="126" t="s">
        <v>4524</v>
      </c>
      <c r="D412" s="118" t="str">
        <f>IFERROR(__xludf.DUMMYFUNCTION("IFERROR(
  INDEX(
    FILTER(
      'NOMBRE DE PRODUCTOS'!B:B,
      REGEXMATCH(
        UPPER(
          INDEX(
            REPORTE_DROPI!AC:AC,
            MATCH(T412, REPORTE_DROPI!B:B, 0)
          )
        ),
        UPPER('NOMBRE DE PRODUCTOS'!A:A)"&amp;"
      )
    ),
    1
  ),
  ""REVISAR""
)
"),"Cuchillo Tazaki™")</f>
        <v>Cuchillo Tazaki™</v>
      </c>
      <c r="E412" s="120" t="str">
        <f t="array" ref="E412">IF(
UPPER(TRIM(CLEAN($O412)))="ENTREGADO",
IFERROR(
INDEX(REPORTE_DROPI!Y:Y,
MATCH($T412, REPORTE_DROPI!B:B, 0)
),
""
),
""
)
</f>
        <v/>
      </c>
      <c r="F412" s="121">
        <v>2.0</v>
      </c>
      <c r="G412" s="122" t="str">
        <f t="array" ref="G412">IF(
UPPER(TRIM(CLEAN($O412)))="ENTREGADO",
IFERROR(
INDEX(REPORTE_DROPI!R:R,
MATCH($T412, REPORTE_DROPI!B:B, 0)
),
""
),
""
)
</f>
        <v/>
      </c>
      <c r="H412" s="118" t="s">
        <v>3727</v>
      </c>
      <c r="I412" s="118" t="s">
        <v>3855</v>
      </c>
      <c r="J412" s="121" t="str">
        <f t="array" ref="J412">IF(
UPPER(TRIM(CLEAN($O412)))="ENTREGADO",
IFERROR(
INDEX(REPORTE_DROPI!T:T,
MATCH($T412, REPORTE_DROPI!B:B, 0)
),
""
),
""
)
</f>
        <v/>
      </c>
      <c r="K412" s="118" t="str">
        <f t="array" ref="K412">IFERROR(
INDEX(REPORTE_DROPI!S:S,
MATCH($T412, REPORTE_DROPI!B:B, 0)
),
""
)
</f>
        <v/>
      </c>
      <c r="L412" s="118" t="str">
        <f>IF(
  O412&lt;&gt;"DEVOLUCION",
  "",
  IF(
    T412="",
    "",
    SUMIF(DEVOLUCION!F:F, T412, DEVOLUCION!D:D)
  )
)
</f>
        <v/>
      </c>
      <c r="M412" s="118"/>
      <c r="N412" s="130" t="s">
        <v>4525</v>
      </c>
      <c r="O412" s="118" t="str">
        <f t="array" ref="O412">IFERROR(
VLOOKUP(
TRIM(CLEAN(
INDEX(REPORTE_DROPI!K:K,
MATCH(T412, REPORTE_DROPI!B:B, 0)
))),
{
TRIM(CLEAN(MAPA_ESTADOS!A:A)) ,
MAPA_ESTADOS!B:B
},
2,
FALSE
),
"REVISAR"
)
</f>
        <v>PENDIENTE</v>
      </c>
      <c r="P412" s="118" t="s">
        <v>3689</v>
      </c>
      <c r="Q412" s="122">
        <f t="shared" si="1"/>
        <v>0</v>
      </c>
      <c r="R412" s="118"/>
      <c r="S412" s="118"/>
      <c r="T412" s="118">
        <f t="array" ref="T412">IFERROR(
INDEX(REPORTE_DROPI!B:B,
MATCH(
CLEAN(TRIM(C412)),
CLEAN(TRIM(REPORTE_DROPI!E:E)),
0
)
),
""
)
</f>
        <v>4122851</v>
      </c>
      <c r="U412" s="118">
        <v>6.410015047724E12</v>
      </c>
      <c r="V412" s="78"/>
      <c r="W412" s="78"/>
      <c r="X412" s="78"/>
      <c r="Y412" s="78"/>
      <c r="Z412" s="78"/>
    </row>
    <row r="413" ht="22.5" customHeight="1">
      <c r="A413" s="118">
        <v>412.0</v>
      </c>
      <c r="B413" s="119">
        <v>46034.0</v>
      </c>
      <c r="C413" s="118" t="s">
        <v>4526</v>
      </c>
      <c r="D413" s="118" t="str">
        <f>IFERROR(__xludf.DUMMYFUNCTION("IFERROR(
  INDEX(
    FILTER(
      'NOMBRE DE PRODUCTOS'!B:B,
      REGEXMATCH(
        UPPER(
          INDEX(
            REPORTE_DROPI!AC:AC,
            MATCH(T413, REPORTE_DROPI!B:B, 0)
          )
        ),
        UPPER('NOMBRE DE PRODUCTOS'!A:A)"&amp;"
      )
    ),
    1
  ),
  ""REVISAR""
)
"),"FilmPro®")</f>
        <v>FilmPro®</v>
      </c>
      <c r="E413" s="120">
        <f t="array" ref="E413">IF(
UPPER(TRIM(CLEAN($O413)))="ENTREGADO",
IFERROR(
INDEX(REPORTE_DROPI!Y:Y,
MATCH($T413, REPORTE_DROPI!B:B, 0)
),
""
),
""
)
</f>
        <v>4.7</v>
      </c>
      <c r="F413" s="121">
        <v>2.0</v>
      </c>
      <c r="G413" s="122">
        <f t="array" ref="G413">IF(
UPPER(TRIM(CLEAN($O413)))="ENTREGADO",
IFERROR(
INDEX(REPORTE_DROPI!R:R,
MATCH($T413, REPORTE_DROPI!B:B, 0)
),
""
),
""
)
</f>
        <v>25</v>
      </c>
      <c r="H413" s="118" t="s">
        <v>3727</v>
      </c>
      <c r="I413" s="118" t="s">
        <v>3770</v>
      </c>
      <c r="J413" s="121">
        <f t="array" ref="J413">IF(
UPPER(TRIM(CLEAN($O413)))="ENTREGADO",
IFERROR(
INDEX(REPORTE_DROPI!T:T,
MATCH($T413, REPORTE_DROPI!B:B, 0)
),
""
),
""
)
</f>
        <v>5.96</v>
      </c>
      <c r="K413" s="118">
        <f t="array" ref="K413">IFERROR(
INDEX(REPORTE_DROPI!S:S,
MATCH($T413, REPORTE_DROPI!B:B, 0)
),
""
)
</f>
        <v>14.34</v>
      </c>
      <c r="L413" s="118" t="str">
        <f>IF(
  O413&lt;&gt;"DEVOLUCION",
  "",
  IF(
    T413="",
    "",
    SUMIF(DEVOLUCION!F:F, T413, DEVOLUCION!D:D)
  )
)
</f>
        <v/>
      </c>
      <c r="M413" s="118"/>
      <c r="N413" s="130" t="s">
        <v>4527</v>
      </c>
      <c r="O413" s="118" t="str">
        <f t="array" ref="O413">IFERROR(
VLOOKUP(
TRIM(CLEAN(
INDEX(REPORTE_DROPI!K:K,
MATCH(T413, REPORTE_DROPI!B:B, 0)
))),
{
TRIM(CLEAN(MAPA_ESTADOS!A:A)) ,
MAPA_ESTADOS!B:B
},
2,
FALSE
),
"REVISAR"
)
</f>
        <v>ENTREGADO</v>
      </c>
      <c r="P413" s="118"/>
      <c r="Q413" s="122">
        <f t="shared" si="1"/>
        <v>0</v>
      </c>
      <c r="R413" s="118"/>
      <c r="S413" s="118"/>
      <c r="T413" s="118">
        <f t="array" ref="T413">IFERROR(
INDEX(REPORTE_DROPI!B:B,
MATCH(
CLEAN(TRIM(C413)),
CLEAN(TRIM(REPORTE_DROPI!E:E)),
0
)
),
""
)
</f>
        <v>4122861</v>
      </c>
      <c r="U413" s="118">
        <v>6.410016948268E12</v>
      </c>
      <c r="V413" s="78"/>
      <c r="W413" s="78"/>
      <c r="X413" s="78"/>
      <c r="Y413" s="78"/>
      <c r="Z413" s="78"/>
    </row>
    <row r="414" ht="22.5" customHeight="1">
      <c r="A414" s="118">
        <v>413.0</v>
      </c>
      <c r="B414" s="119">
        <v>46034.0</v>
      </c>
      <c r="C414" s="118" t="s">
        <v>4528</v>
      </c>
      <c r="D414" s="118" t="str">
        <f>IFERROR(__xludf.DUMMYFUNCTION("IFERROR(
  INDEX(
    FILTER(
      'NOMBRE DE PRODUCTOS'!B:B,
      REGEXMATCH(
        UPPER(
          INDEX(
            REPORTE_DROPI!AC:AC,
            MATCH(T414, REPORTE_DROPI!B:B, 0)
          )
        ),
        UPPER('NOMBRE DE PRODUCTOS'!A:A)"&amp;"
      )
    ),
    1
  ),
  ""REVISAR""
)
"),"Cuchillo Tazaki™")</f>
        <v>Cuchillo Tazaki™</v>
      </c>
      <c r="E414" s="120" t="str">
        <f t="array" ref="E414">IF(
UPPER(TRIM(CLEAN($O414)))="ENTREGADO",
IFERROR(
INDEX(REPORTE_DROPI!Y:Y,
MATCH($T414, REPORTE_DROPI!B:B, 0)
),
""
),
""
)
</f>
        <v/>
      </c>
      <c r="F414" s="121">
        <v>4.0</v>
      </c>
      <c r="G414" s="122" t="str">
        <f t="array" ref="G414">IF(
UPPER(TRIM(CLEAN($O414)))="ENTREGADO",
IFERROR(
INDEX(REPORTE_DROPI!R:R,
MATCH($T414, REPORTE_DROPI!B:B, 0)
),
""
),
""
)
</f>
        <v/>
      </c>
      <c r="H414" s="118" t="s">
        <v>3727</v>
      </c>
      <c r="I414" s="118" t="s">
        <v>3772</v>
      </c>
      <c r="J414" s="121" t="str">
        <f t="array" ref="J414">IF(
UPPER(TRIM(CLEAN($O414)))="ENTREGADO",
IFERROR(
INDEX(REPORTE_DROPI!T:T,
MATCH($T414, REPORTE_DROPI!B:B, 0)
),
""
),
""
)
</f>
        <v/>
      </c>
      <c r="K414" s="118" t="str">
        <f t="array" ref="K414">IFERROR(
INDEX(REPORTE_DROPI!S:S,
MATCH($T414, REPORTE_DROPI!B:B, 0)
),
""
)
</f>
        <v/>
      </c>
      <c r="L414" s="118">
        <f>IF(
  O414&lt;&gt;"DEVOLUCION",
  "",
  IF(
    T414="",
    "",
    SUMIF(DEVOLUCION!F:F, T414, DEVOLUCION!D:D)
  )
)
</f>
        <v>5.13</v>
      </c>
      <c r="M414" s="118"/>
      <c r="N414" s="130" t="s">
        <v>4529</v>
      </c>
      <c r="O414" s="118" t="str">
        <f t="array" ref="O414">IFERROR(
VLOOKUP(
TRIM(CLEAN(
INDEX(REPORTE_DROPI!K:K,
MATCH(T414, REPORTE_DROPI!B:B, 0)
))),
{
TRIM(CLEAN(MAPA_ESTADOS!A:A)) ,
MAPA_ESTADOS!B:B
},
2,
FALSE
),
"REVISAR"
)
</f>
        <v>DEVOLUCION</v>
      </c>
      <c r="P414" s="118" t="s">
        <v>3955</v>
      </c>
      <c r="Q414" s="122">
        <f t="shared" si="1"/>
        <v>0</v>
      </c>
      <c r="R414" s="118"/>
      <c r="S414" s="118"/>
      <c r="T414" s="118">
        <f t="array" ref="T414">IFERROR(
INDEX(REPORTE_DROPI!B:B,
MATCH(
CLEAN(TRIM(C414)),
CLEAN(TRIM(REPORTE_DROPI!E:E)),
0
)
),
""
)
</f>
        <v>4123011</v>
      </c>
      <c r="U414" s="118">
        <v>6.410040082476E12</v>
      </c>
      <c r="V414" s="78"/>
      <c r="W414" s="78"/>
      <c r="X414" s="78"/>
      <c r="Y414" s="78"/>
      <c r="Z414" s="78"/>
    </row>
    <row r="415" ht="22.5" customHeight="1">
      <c r="A415" s="118">
        <v>414.0</v>
      </c>
      <c r="B415" s="119">
        <v>46034.0</v>
      </c>
      <c r="C415" s="118" t="s">
        <v>4530</v>
      </c>
      <c r="D415" s="118" t="str">
        <f>IFERROR(__xludf.DUMMYFUNCTION("IFERROR(
  INDEX(
    FILTER(
      'NOMBRE DE PRODUCTOS'!B:B,
      REGEXMATCH(
        UPPER(
          INDEX(
            REPORTE_DROPI!AC:AC,
            MATCH(T415, REPORTE_DROPI!B:B, 0)
          )
        ),
        UPPER('NOMBRE DE PRODUCTOS'!A:A)"&amp;"
      )
    ),
    1
  ),
  ""REVISAR""
)
"),"Cuchillo Tazaki™")</f>
        <v>Cuchillo Tazaki™</v>
      </c>
      <c r="E415" s="120">
        <f t="array" ref="E415">IF(
UPPER(TRIM(CLEAN($O415)))="ENTREGADO",
IFERROR(
INDEX(REPORTE_DROPI!Y:Y,
MATCH($T415, REPORTE_DROPI!B:B, 0)
),
""
),
""
)
</f>
        <v>10.4</v>
      </c>
      <c r="F415" s="121">
        <v>4.0</v>
      </c>
      <c r="G415" s="122">
        <f t="array" ref="G415">IF(
UPPER(TRIM(CLEAN($O415)))="ENTREGADO",
IFERROR(
INDEX(REPORTE_DROPI!R:R,
MATCH($T415, REPORTE_DROPI!B:B, 0)
),
""
),
""
)
</f>
        <v>32</v>
      </c>
      <c r="H415" s="118" t="s">
        <v>3727</v>
      </c>
      <c r="I415" s="118" t="s">
        <v>3759</v>
      </c>
      <c r="J415" s="121">
        <f t="array" ref="J415">IF(
UPPER(TRIM(CLEAN($O415)))="ENTREGADO",
IFERROR(
INDEX(REPORTE_DROPI!T:T,
MATCH($T415, REPORTE_DROPI!B:B, 0)
),
""
),
""
)
</f>
        <v>6.24</v>
      </c>
      <c r="K415" s="118">
        <f t="array" ref="K415">IFERROR(
INDEX(REPORTE_DROPI!S:S,
MATCH($T415, REPORTE_DROPI!B:B, 0)
),
""
)
</f>
        <v>15.36</v>
      </c>
      <c r="L415" s="118" t="str">
        <f>IF(
  O415&lt;&gt;"DEVOLUCION",
  "",
  IF(
    T415="",
    "",
    SUMIF(DEVOLUCION!F:F, T415, DEVOLUCION!D:D)
  )
)
</f>
        <v/>
      </c>
      <c r="M415" s="118"/>
      <c r="N415" s="130" t="s">
        <v>4531</v>
      </c>
      <c r="O415" s="118" t="str">
        <f t="array" ref="O415">IFERROR(
VLOOKUP(
TRIM(CLEAN(
INDEX(REPORTE_DROPI!K:K,
MATCH(T415, REPORTE_DROPI!B:B, 0)
))),
{
TRIM(CLEAN(MAPA_ESTADOS!A:A)) ,
MAPA_ESTADOS!B:B
},
2,
FALSE
),
"REVISAR"
)
</f>
        <v>ENTREGADO</v>
      </c>
      <c r="P415" s="118"/>
      <c r="Q415" s="122">
        <f t="shared" si="1"/>
        <v>0</v>
      </c>
      <c r="R415" s="118"/>
      <c r="S415" s="118"/>
      <c r="T415" s="118">
        <f t="array" ref="T415">IFERROR(
INDEX(REPORTE_DROPI!B:B,
MATCH(
CLEAN(TRIM(C415)),
CLEAN(TRIM(REPORTE_DROPI!E:E)),
0
)
),
""
)
</f>
        <v>4123014</v>
      </c>
      <c r="U415" s="118">
        <v>6.410040737836E12</v>
      </c>
      <c r="V415" s="78"/>
      <c r="W415" s="78"/>
      <c r="X415" s="78"/>
      <c r="Y415" s="78"/>
      <c r="Z415" s="78"/>
    </row>
    <row r="416" ht="22.5" customHeight="1">
      <c r="A416" s="118">
        <v>415.0</v>
      </c>
      <c r="B416" s="119">
        <v>46034.0</v>
      </c>
      <c r="C416" s="126" t="s">
        <v>4532</v>
      </c>
      <c r="D416" s="118" t="str">
        <f>IFERROR(__xludf.DUMMYFUNCTION("IFERROR(
  INDEX(
    FILTER(
      'NOMBRE DE PRODUCTOS'!B:B,
      REGEXMATCH(
        UPPER(
          INDEX(
            REPORTE_DROPI!AC:AC,
            MATCH(T416, REPORTE_DROPI!B:B, 0)
          )
        ),
        UPPER('NOMBRE DE PRODUCTOS'!A:A)"&amp;"
      )
    ),
    1
  ),
  ""REVISAR""
)
"),"Cuchillo Tazaki™")</f>
        <v>Cuchillo Tazaki™</v>
      </c>
      <c r="E416" s="120" t="str">
        <f t="array" ref="E416">IF(
UPPER(TRIM(CLEAN($O416)))="ENTREGADO",
IFERROR(
INDEX(REPORTE_DROPI!Y:Y,
MATCH($T416, REPORTE_DROPI!B:B, 0)
),
""
),
""
)
</f>
        <v/>
      </c>
      <c r="F416" s="121">
        <v>2.0</v>
      </c>
      <c r="G416" s="122" t="str">
        <f t="array" ref="G416">IF(
UPPER(TRIM(CLEAN($O416)))="ENTREGADO",
IFERROR(
INDEX(REPORTE_DROPI!R:R,
MATCH($T416, REPORTE_DROPI!B:B, 0)
),
""
),
""
)
</f>
        <v/>
      </c>
      <c r="H416" s="118" t="s">
        <v>3727</v>
      </c>
      <c r="I416" s="118" t="s">
        <v>3731</v>
      </c>
      <c r="J416" s="121" t="str">
        <f t="array" ref="J416">IF(
UPPER(TRIM(CLEAN($O416)))="ENTREGADO",
IFERROR(
INDEX(REPORTE_DROPI!T:T,
MATCH($T416, REPORTE_DROPI!B:B, 0)
),
""
),
""
)
</f>
        <v/>
      </c>
      <c r="K416" s="118" t="str">
        <f t="array" ref="K416">IFERROR(
INDEX(REPORTE_DROPI!S:S,
MATCH($T416, REPORTE_DROPI!B:B, 0)
),
""
)
</f>
        <v/>
      </c>
      <c r="L416" s="118" t="str">
        <f>IF(
  O416&lt;&gt;"DEVOLUCION",
  "",
  IF(
    T416="",
    "",
    SUMIF(DEVOLUCION!F:F, T416, DEVOLUCION!D:D)
  )
)
</f>
        <v/>
      </c>
      <c r="M416" s="118"/>
      <c r="N416" s="130" t="s">
        <v>4533</v>
      </c>
      <c r="O416" s="118" t="str">
        <f t="array" ref="O416">IFERROR(
VLOOKUP(
TRIM(CLEAN(
INDEX(REPORTE_DROPI!K:K,
MATCH(T416, REPORTE_DROPI!B:B, 0)
))),
{
TRIM(CLEAN(MAPA_ESTADOS!A:A)) ,
MAPA_ESTADOS!B:B
},
2,
FALSE
),
"REVISAR"
)
</f>
        <v>PENDIENTE</v>
      </c>
      <c r="P416" s="118" t="s">
        <v>3689</v>
      </c>
      <c r="Q416" s="122">
        <f t="shared" si="1"/>
        <v>0</v>
      </c>
      <c r="R416" s="118"/>
      <c r="S416" s="118"/>
      <c r="T416" s="118">
        <f t="array" ref="T416">IFERROR(
INDEX(REPORTE_DROPI!B:B,
MATCH(
CLEAN(TRIM(C416)),
CLEAN(TRIM(REPORTE_DROPI!E:E)),
0
)
),
""
)
</f>
        <v>4123080</v>
      </c>
      <c r="U416" s="118">
        <v>6.410053713964E12</v>
      </c>
      <c r="V416" s="78"/>
      <c r="W416" s="78"/>
      <c r="X416" s="78"/>
      <c r="Y416" s="78"/>
      <c r="Z416" s="78"/>
    </row>
    <row r="417" ht="22.5" customHeight="1">
      <c r="A417" s="118">
        <v>416.0</v>
      </c>
      <c r="B417" s="119">
        <v>46034.0</v>
      </c>
      <c r="C417" s="118" t="s">
        <v>4534</v>
      </c>
      <c r="D417" s="118" t="str">
        <f>IFERROR(__xludf.DUMMYFUNCTION("IFERROR(
  INDEX(
    FILTER(
      'NOMBRE DE PRODUCTOS'!B:B,
      REGEXMATCH(
        UPPER(
          INDEX(
            REPORTE_DROPI!AC:AC,
            MATCH(T417, REPORTE_DROPI!B:B, 0)
          )
        ),
        UPPER('NOMBRE DE PRODUCTOS'!A:A)"&amp;"
      )
    ),
    1
  ),
  ""REVISAR""
)
"),"Cuchillo Tazaki™")</f>
        <v>Cuchillo Tazaki™</v>
      </c>
      <c r="E417" s="120">
        <f t="array" ref="E417">IF(
UPPER(TRIM(CLEAN($O417)))="ENTREGADO",
IFERROR(
INDEX(REPORTE_DROPI!Y:Y,
MATCH($T417, REPORTE_DROPI!B:B, 0)
),
""
),
""
)
</f>
        <v>7.8</v>
      </c>
      <c r="F417" s="121">
        <v>3.0</v>
      </c>
      <c r="G417" s="122">
        <f t="array" ref="G417">IF(
UPPER(TRIM(CLEAN($O417)))="ENTREGADO",
IFERROR(
INDEX(REPORTE_DROPI!R:R,
MATCH($T417, REPORTE_DROPI!B:B, 0)
),
""
),
""
)
</f>
        <v>27</v>
      </c>
      <c r="H417" s="118" t="s">
        <v>3727</v>
      </c>
      <c r="I417" s="118" t="s">
        <v>3855</v>
      </c>
      <c r="J417" s="121">
        <f t="array" ref="J417">IF(
UPPER(TRIM(CLEAN($O417)))="ENTREGADO",
IFERROR(
INDEX(REPORTE_DROPI!T:T,
MATCH($T417, REPORTE_DROPI!B:B, 0)
),
""
),
""
)
</f>
        <v>6.03</v>
      </c>
      <c r="K417" s="118">
        <f t="array" ref="K417">IFERROR(
INDEX(REPORTE_DROPI!S:S,
MATCH($T417, REPORTE_DROPI!B:B, 0)
),
""
)
</f>
        <v>13.17</v>
      </c>
      <c r="L417" s="118" t="str">
        <f>IF(
  O417&lt;&gt;"DEVOLUCION",
  "",
  IF(
    T417="",
    "",
    SUMIF(DEVOLUCION!F:F, T417, DEVOLUCION!D:D)
  )
)
</f>
        <v/>
      </c>
      <c r="M417" s="118"/>
      <c r="N417" s="130" t="s">
        <v>4535</v>
      </c>
      <c r="O417" s="118" t="str">
        <f t="array" ref="O417">IFERROR(
VLOOKUP(
TRIM(CLEAN(
INDEX(REPORTE_DROPI!K:K,
MATCH(T417, REPORTE_DROPI!B:B, 0)
))),
{
TRIM(CLEAN(MAPA_ESTADOS!A:A)) ,
MAPA_ESTADOS!B:B
},
2,
FALSE
),
"REVISAR"
)
</f>
        <v>ENTREGADO</v>
      </c>
      <c r="P417" s="118"/>
      <c r="Q417" s="122">
        <f t="shared" si="1"/>
        <v>0</v>
      </c>
      <c r="R417" s="118"/>
      <c r="S417" s="118"/>
      <c r="T417" s="118">
        <f t="array" ref="T417">IFERROR(
INDEX(REPORTE_DROPI!B:B,
MATCH(
CLEAN(TRIM(C417)),
CLEAN(TRIM(REPORTE_DROPI!E:E)),
0
)
),
""
)
</f>
        <v>4123234</v>
      </c>
      <c r="U417" s="118">
        <v>6.410081501228E12</v>
      </c>
      <c r="V417" s="78"/>
      <c r="W417" s="78"/>
      <c r="X417" s="78"/>
      <c r="Y417" s="78"/>
      <c r="Z417" s="78"/>
    </row>
    <row r="418" ht="22.5" customHeight="1">
      <c r="A418" s="118">
        <v>417.0</v>
      </c>
      <c r="B418" s="119">
        <v>46034.0</v>
      </c>
      <c r="C418" s="118" t="s">
        <v>4536</v>
      </c>
      <c r="D418" s="118" t="str">
        <f>IFERROR(__xludf.DUMMYFUNCTION("IFERROR(
  INDEX(
    FILTER(
      'NOMBRE DE PRODUCTOS'!B:B,
      REGEXMATCH(
        UPPER(
          INDEX(
            REPORTE_DROPI!AC:AC,
            MATCH(T418, REPORTE_DROPI!B:B, 0)
          )
        ),
        UPPER('NOMBRE DE PRODUCTOS'!A:A)"&amp;"
      )
    ),
    1
  ),
  ""REVISAR""
)
"),"FilmPro®")</f>
        <v>FilmPro®</v>
      </c>
      <c r="E418" s="120">
        <f t="array" ref="E418">IF(
UPPER(TRIM(CLEAN($O418)))="ENTREGADO",
IFERROR(
INDEX(REPORTE_DROPI!Y:Y,
MATCH($T418, REPORTE_DROPI!B:B, 0)
),
""
),
""
)
</f>
        <v>7.05</v>
      </c>
      <c r="F418" s="121">
        <v>3.0</v>
      </c>
      <c r="G418" s="122">
        <f t="array" ref="G418">IF(
UPPER(TRIM(CLEAN($O418)))="ENTREGADO",
IFERROR(
INDEX(REPORTE_DROPI!R:R,
MATCH($T418, REPORTE_DROPI!B:B, 0)
),
""
),
""
)
</f>
        <v>30</v>
      </c>
      <c r="H418" s="118" t="s">
        <v>3727</v>
      </c>
      <c r="I418" s="118" t="s">
        <v>3778</v>
      </c>
      <c r="J418" s="121">
        <f t="array" ref="J418">IF(
UPPER(TRIM(CLEAN($O418)))="ENTREGADO",
IFERROR(
INDEX(REPORTE_DROPI!T:T,
MATCH($T418, REPORTE_DROPI!B:B, 0)
),
""
),
""
)
</f>
        <v>6.16</v>
      </c>
      <c r="K418" s="118">
        <f t="array" ref="K418">IFERROR(
INDEX(REPORTE_DROPI!S:S,
MATCH($T418, REPORTE_DROPI!B:B, 0)
),
""
)
</f>
        <v>16.79</v>
      </c>
      <c r="L418" s="118" t="str">
        <f>IF(
  O418&lt;&gt;"DEVOLUCION",
  "",
  IF(
    T418="",
    "",
    SUMIF(DEVOLUCION!F:F, T418, DEVOLUCION!D:D)
  )
)
</f>
        <v/>
      </c>
      <c r="M418" s="118"/>
      <c r="N418" s="130" t="s">
        <v>4537</v>
      </c>
      <c r="O418" s="118" t="str">
        <f t="array" ref="O418">IFERROR(
VLOOKUP(
TRIM(CLEAN(
INDEX(REPORTE_DROPI!K:K,
MATCH(T418, REPORTE_DROPI!B:B, 0)
))),
{
TRIM(CLEAN(MAPA_ESTADOS!A:A)) ,
MAPA_ESTADOS!B:B
},
2,
FALSE
),
"REVISAR"
)
</f>
        <v>ENTREGADO</v>
      </c>
      <c r="P418" s="118"/>
      <c r="Q418" s="122">
        <f t="shared" si="1"/>
        <v>0</v>
      </c>
      <c r="R418" s="118"/>
      <c r="S418" s="118"/>
      <c r="T418" s="118">
        <f t="array" ref="T418">IFERROR(
INDEX(REPORTE_DROPI!B:B,
MATCH(
CLEAN(TRIM(C418)),
CLEAN(TRIM(REPORTE_DROPI!E:E)),
0
)
),
""
)
</f>
        <v>4123647</v>
      </c>
      <c r="U418" s="118">
        <v>6.41015093662E12</v>
      </c>
      <c r="V418" s="78"/>
      <c r="W418" s="78"/>
      <c r="X418" s="78"/>
      <c r="Y418" s="78"/>
      <c r="Z418" s="78"/>
    </row>
    <row r="419" ht="22.5" customHeight="1">
      <c r="A419" s="118">
        <v>418.0</v>
      </c>
      <c r="B419" s="119">
        <v>46034.0</v>
      </c>
      <c r="C419" s="126" t="s">
        <v>4538</v>
      </c>
      <c r="D419" s="118" t="str">
        <f>IFERROR(__xludf.DUMMYFUNCTION("IFERROR(
  INDEX(
    FILTER(
      'NOMBRE DE PRODUCTOS'!B:B,
      REGEXMATCH(
        UPPER(
          INDEX(
            REPORTE_DROPI!AC:AC,
            MATCH(T419, REPORTE_DROPI!B:B, 0)
          )
        ),
        UPPER('NOMBRE DE PRODUCTOS'!A:A)"&amp;"
      )
    ),
    1
  ),
  ""REVISAR""
)
"),"Cuchillo Tazaki™")</f>
        <v>Cuchillo Tazaki™</v>
      </c>
      <c r="E419" s="120" t="str">
        <f t="array" ref="E419">IF(
UPPER(TRIM(CLEAN($O419)))="ENTREGADO",
IFERROR(
INDEX(REPORTE_DROPI!Y:Y,
MATCH($T419, REPORTE_DROPI!B:B, 0)
),
""
),
""
)
</f>
        <v/>
      </c>
      <c r="F419" s="121">
        <v>4.0</v>
      </c>
      <c r="G419" s="122" t="str">
        <f t="array" ref="G419">IF(
UPPER(TRIM(CLEAN($O419)))="ENTREGADO",
IFERROR(
INDEX(REPORTE_DROPI!R:R,
MATCH($T419, REPORTE_DROPI!B:B, 0)
),
""
),
""
)
</f>
        <v/>
      </c>
      <c r="H419" s="118" t="s">
        <v>3727</v>
      </c>
      <c r="I419" s="118" t="s">
        <v>3728</v>
      </c>
      <c r="J419" s="121" t="str">
        <f t="array" ref="J419">IF(
UPPER(TRIM(CLEAN($O419)))="ENTREGADO",
IFERROR(
INDEX(REPORTE_DROPI!T:T,
MATCH($T419, REPORTE_DROPI!B:B, 0)
),
""
),
""
)
</f>
        <v/>
      </c>
      <c r="K419" s="118" t="str">
        <f t="array" ref="K419">IFERROR(
INDEX(REPORTE_DROPI!S:S,
MATCH($T419, REPORTE_DROPI!B:B, 0)
),
""
)
</f>
        <v/>
      </c>
      <c r="L419" s="118" t="str">
        <f>IF(
  O419&lt;&gt;"DEVOLUCION",
  "",
  IF(
    T419="",
    "",
    SUMIF(DEVOLUCION!F:F, T419, DEVOLUCION!D:D)
  )
)
</f>
        <v/>
      </c>
      <c r="M419" s="118"/>
      <c r="N419" s="130" t="s">
        <v>4539</v>
      </c>
      <c r="O419" s="118" t="str">
        <f t="array" ref="O419">IFERROR(
VLOOKUP(
TRIM(CLEAN(
INDEX(REPORTE_DROPI!K:K,
MATCH(T419, REPORTE_DROPI!B:B, 0)
))),
{
TRIM(CLEAN(MAPA_ESTADOS!A:A)) ,
MAPA_ESTADOS!B:B
},
2,
FALSE
),
"REVISAR"
)
</f>
        <v>PENDIENTE</v>
      </c>
      <c r="P419" s="118" t="s">
        <v>3689</v>
      </c>
      <c r="Q419" s="122">
        <f t="shared" si="1"/>
        <v>0</v>
      </c>
      <c r="R419" s="118"/>
      <c r="S419" s="118"/>
      <c r="T419" s="118">
        <f t="array" ref="T419">IFERROR(
INDEX(REPORTE_DROPI!B:B,
MATCH(
CLEAN(TRIM(C419)),
CLEAN(TRIM(REPORTE_DROPI!E:E)),
0
)
),
""
)
</f>
        <v>4123653</v>
      </c>
      <c r="U419" s="118">
        <v>6.410152869932E12</v>
      </c>
      <c r="V419" s="78"/>
      <c r="W419" s="78"/>
      <c r="X419" s="78"/>
      <c r="Y419" s="78"/>
      <c r="Z419" s="78"/>
    </row>
    <row r="420" ht="22.5" customHeight="1">
      <c r="A420" s="118">
        <v>419.0</v>
      </c>
      <c r="B420" s="119">
        <v>46034.0</v>
      </c>
      <c r="C420" s="118" t="s">
        <v>4540</v>
      </c>
      <c r="D420" s="118" t="str">
        <f>IFERROR(__xludf.DUMMYFUNCTION("IFERROR(
  INDEX(
    FILTER(
      'NOMBRE DE PRODUCTOS'!B:B,
      REGEXMATCH(
        UPPER(
          INDEX(
            REPORTE_DROPI!AC:AC,
            MATCH(T420, REPORTE_DROPI!B:B, 0)
          )
        ),
        UPPER('NOMBRE DE PRODUCTOS'!A:A)"&amp;"
      )
    ),
    1
  ),
  ""REVISAR""
)
"),"FilmPro®")</f>
        <v>FilmPro®</v>
      </c>
      <c r="E420" s="120">
        <f t="array" ref="E420">IF(
UPPER(TRIM(CLEAN($O420)))="ENTREGADO",
IFERROR(
INDEX(REPORTE_DROPI!Y:Y,
MATCH($T420, REPORTE_DROPI!B:B, 0)
),
""
),
""
)
</f>
        <v>7.05</v>
      </c>
      <c r="F420" s="121">
        <v>3.0</v>
      </c>
      <c r="G420" s="122">
        <f t="array" ref="G420">IF(
UPPER(TRIM(CLEAN($O420)))="ENTREGADO",
IFERROR(
INDEX(REPORTE_DROPI!R:R,
MATCH($T420, REPORTE_DROPI!B:B, 0)
),
""
),
""
)
</f>
        <v>30</v>
      </c>
      <c r="H420" s="118" t="s">
        <v>3727</v>
      </c>
      <c r="I420" s="118" t="s">
        <v>3772</v>
      </c>
      <c r="J420" s="121">
        <f t="array" ref="J420">IF(
UPPER(TRIM(CLEAN($O420)))="ENTREGADO",
IFERROR(
INDEX(REPORTE_DROPI!T:T,
MATCH($T420, REPORTE_DROPI!B:B, 0)
),
""
),
""
)
</f>
        <v>6.16</v>
      </c>
      <c r="K420" s="118">
        <f t="array" ref="K420">IFERROR(
INDEX(REPORTE_DROPI!S:S,
MATCH($T420, REPORTE_DROPI!B:B, 0)
),
""
)
</f>
        <v>16.79</v>
      </c>
      <c r="L420" s="118" t="str">
        <f>IF(
  O420&lt;&gt;"DEVOLUCION",
  "",
  IF(
    T420="",
    "",
    SUMIF(DEVOLUCION!F:F, T420, DEVOLUCION!D:D)
  )
)
</f>
        <v/>
      </c>
      <c r="M420" s="118"/>
      <c r="N420" s="130" t="s">
        <v>4541</v>
      </c>
      <c r="O420" s="118" t="str">
        <f t="array" ref="O420">IFERROR(
VLOOKUP(
TRIM(CLEAN(
INDEX(REPORTE_DROPI!K:K,
MATCH(T420, REPORTE_DROPI!B:B, 0)
))),
{
TRIM(CLEAN(MAPA_ESTADOS!A:A)) ,
MAPA_ESTADOS!B:B
},
2,
FALSE
),
"REVISAR"
)
</f>
        <v>ENTREGADO</v>
      </c>
      <c r="P420" s="118"/>
      <c r="Q420" s="122">
        <f t="shared" si="1"/>
        <v>0</v>
      </c>
      <c r="R420" s="118"/>
      <c r="S420" s="118"/>
      <c r="T420" s="118">
        <f t="array" ref="T420">IFERROR(
INDEX(REPORTE_DROPI!B:B,
MATCH(
CLEAN(TRIM(C420)),
CLEAN(TRIM(REPORTE_DROPI!E:E)),
0
)
),
""
)
</f>
        <v>4123784</v>
      </c>
      <c r="U420" s="118">
        <v>6.410173186092E12</v>
      </c>
      <c r="V420" s="78"/>
      <c r="W420" s="78"/>
      <c r="X420" s="78"/>
      <c r="Y420" s="78"/>
      <c r="Z420" s="78"/>
    </row>
    <row r="421" ht="22.5" customHeight="1">
      <c r="A421" s="118">
        <v>420.0</v>
      </c>
      <c r="B421" s="119">
        <v>46034.0</v>
      </c>
      <c r="C421" s="118" t="s">
        <v>4542</v>
      </c>
      <c r="D421" s="118" t="str">
        <f>IFERROR(__xludf.DUMMYFUNCTION("IFERROR(
  INDEX(
    FILTER(
      'NOMBRE DE PRODUCTOS'!B:B,
      REGEXMATCH(
        UPPER(
          INDEX(
            REPORTE_DROPI!AC:AC,
            MATCH(T421, REPORTE_DROPI!B:B, 0)
          )
        ),
        UPPER('NOMBRE DE PRODUCTOS'!A:A)"&amp;"
      )
    ),
    1
  ),
  ""REVISAR""
)
"),"Cuchillo Tazaki™")</f>
        <v>Cuchillo Tazaki™</v>
      </c>
      <c r="E421" s="120">
        <f t="array" ref="E421">IF(
UPPER(TRIM(CLEAN($O421)))="ENTREGADO",
IFERROR(
INDEX(REPORTE_DROPI!Y:Y,
MATCH($T421, REPORTE_DROPI!B:B, 0)
),
""
),
""
)
</f>
        <v>5.2</v>
      </c>
      <c r="F421" s="121">
        <v>2.0</v>
      </c>
      <c r="G421" s="122">
        <f t="array" ref="G421">IF(
UPPER(TRIM(CLEAN($O421)))="ENTREGADO",
IFERROR(
INDEX(REPORTE_DROPI!R:R,
MATCH($T421, REPORTE_DROPI!B:B, 0)
),
""
),
""
)
</f>
        <v>22</v>
      </c>
      <c r="H421" s="118" t="s">
        <v>3727</v>
      </c>
      <c r="I421" s="118" t="s">
        <v>3772</v>
      </c>
      <c r="J421" s="121">
        <f t="array" ref="J421">IF(
UPPER(TRIM(CLEAN($O421)))="ENTREGADO",
IFERROR(
INDEX(REPORTE_DROPI!T:T,
MATCH($T421, REPORTE_DROPI!B:B, 0)
),
""
),
""
)
</f>
        <v>5.84</v>
      </c>
      <c r="K421" s="118">
        <f t="array" ref="K421">IFERROR(
INDEX(REPORTE_DROPI!S:S,
MATCH($T421, REPORTE_DROPI!B:B, 0)
),
""
)
</f>
        <v>10.96</v>
      </c>
      <c r="L421" s="118" t="str">
        <f>IF(
  O421&lt;&gt;"DEVOLUCION",
  "",
  IF(
    T421="",
    "",
    SUMIF(DEVOLUCION!F:F, T421, DEVOLUCION!D:D)
  )
)
</f>
        <v/>
      </c>
      <c r="M421" s="118"/>
      <c r="N421" s="130" t="s">
        <v>4543</v>
      </c>
      <c r="O421" s="118" t="str">
        <f t="array" ref="O421">IFERROR(
VLOOKUP(
TRIM(CLEAN(
INDEX(REPORTE_DROPI!K:K,
MATCH(T421, REPORTE_DROPI!B:B, 0)
))),
{
TRIM(CLEAN(MAPA_ESTADOS!A:A)) ,
MAPA_ESTADOS!B:B
},
2,
FALSE
),
"REVISAR"
)
</f>
        <v>ENTREGADO</v>
      </c>
      <c r="P421" s="118"/>
      <c r="Q421" s="122">
        <f t="shared" si="1"/>
        <v>0</v>
      </c>
      <c r="R421" s="118"/>
      <c r="S421" s="118"/>
      <c r="T421" s="118">
        <f t="array" ref="T421">IFERROR(
INDEX(REPORTE_DROPI!B:B,
MATCH(
CLEAN(TRIM(C421)),
CLEAN(TRIM(REPORTE_DROPI!E:E)),
0
)
),
""
)
</f>
        <v>4123800</v>
      </c>
      <c r="U421" s="118">
        <v>6.410176266284E12</v>
      </c>
      <c r="V421" s="78"/>
      <c r="W421" s="78"/>
      <c r="X421" s="78"/>
      <c r="Y421" s="78"/>
      <c r="Z421" s="78"/>
    </row>
    <row r="422" ht="22.5" customHeight="1">
      <c r="A422" s="118">
        <v>421.0</v>
      </c>
      <c r="B422" s="119">
        <v>46034.0</v>
      </c>
      <c r="C422" s="126" t="s">
        <v>4544</v>
      </c>
      <c r="D422" s="118" t="str">
        <f>IFERROR(__xludf.DUMMYFUNCTION("IFERROR(
  INDEX(
    FILTER(
      'NOMBRE DE PRODUCTOS'!B:B,
      REGEXMATCH(
        UPPER(
          INDEX(
            REPORTE_DROPI!AC:AC,
            MATCH(T422, REPORTE_DROPI!B:B, 0)
          )
        ),
        UPPER('NOMBRE DE PRODUCTOS'!A:A)"&amp;"
      )
    ),
    1
  ),
  ""REVISAR""
)
"),"Cuchillo Tazaki™")</f>
        <v>Cuchillo Tazaki™</v>
      </c>
      <c r="E422" s="120" t="str">
        <f t="array" ref="E422">IF(
UPPER(TRIM(CLEAN($O422)))="ENTREGADO",
IFERROR(
INDEX(REPORTE_DROPI!Y:Y,
MATCH($T422, REPORTE_DROPI!B:B, 0)
),
""
),
""
)
</f>
        <v/>
      </c>
      <c r="F422" s="121">
        <v>2.0</v>
      </c>
      <c r="G422" s="122" t="str">
        <f t="array" ref="G422">IF(
UPPER(TRIM(CLEAN($O422)))="ENTREGADO",
IFERROR(
INDEX(REPORTE_DROPI!R:R,
MATCH($T422, REPORTE_DROPI!B:B, 0)
),
""
),
""
)
</f>
        <v/>
      </c>
      <c r="H422" s="118" t="s">
        <v>3727</v>
      </c>
      <c r="I422" s="118" t="s">
        <v>3882</v>
      </c>
      <c r="J422" s="121" t="str">
        <f t="array" ref="J422">IF(
UPPER(TRIM(CLEAN($O422)))="ENTREGADO",
IFERROR(
INDEX(REPORTE_DROPI!T:T,
MATCH($T422, REPORTE_DROPI!B:B, 0)
),
""
),
""
)
</f>
        <v/>
      </c>
      <c r="K422" s="118" t="str">
        <f t="array" ref="K422">IFERROR(
INDEX(REPORTE_DROPI!S:S,
MATCH($T422, REPORTE_DROPI!B:B, 0)
),
""
)
</f>
        <v/>
      </c>
      <c r="L422" s="118" t="str">
        <f>IF(
  O422&lt;&gt;"DEVOLUCION",
  "",
  IF(
    T422="",
    "",
    SUMIF(DEVOLUCION!F:F, T422, DEVOLUCION!D:D)
  )
)
</f>
        <v/>
      </c>
      <c r="M422" s="118"/>
      <c r="N422" s="130" t="s">
        <v>4545</v>
      </c>
      <c r="O422" s="118" t="str">
        <f t="array" ref="O422">IFERROR(
VLOOKUP(
TRIM(CLEAN(
INDEX(REPORTE_DROPI!K:K,
MATCH(T422, REPORTE_DROPI!B:B, 0)
))),
{
TRIM(CLEAN(MAPA_ESTADOS!A:A)) ,
MAPA_ESTADOS!B:B
},
2,
FALSE
),
"REVISAR"
)
</f>
        <v>PENDIENTE</v>
      </c>
      <c r="P422" s="118" t="s">
        <v>4546</v>
      </c>
      <c r="Q422" s="122">
        <f t="shared" si="1"/>
        <v>0</v>
      </c>
      <c r="R422" s="118"/>
      <c r="S422" s="118"/>
      <c r="T422" s="118">
        <f t="array" ref="T422">IFERROR(
INDEX(REPORTE_DROPI!B:B,
MATCH(
CLEAN(TRIM(C422)),
CLEAN(TRIM(REPORTE_DROPI!E:E)),
0
)
),
""
)
</f>
        <v>4131422</v>
      </c>
      <c r="U422" s="118">
        <v>6.4101955011E12</v>
      </c>
      <c r="V422" s="78"/>
      <c r="W422" s="78"/>
      <c r="X422" s="78"/>
      <c r="Y422" s="78"/>
      <c r="Z422" s="78"/>
    </row>
    <row r="423" ht="22.5" customHeight="1">
      <c r="A423" s="118">
        <v>422.0</v>
      </c>
      <c r="B423" s="119">
        <v>46034.0</v>
      </c>
      <c r="C423" s="126" t="s">
        <v>4547</v>
      </c>
      <c r="D423" s="118" t="s">
        <v>190</v>
      </c>
      <c r="E423" s="120" t="str">
        <f t="array" ref="E423">IF(
UPPER(TRIM(CLEAN($O423)))="ENTREGADO",
IFERROR(
INDEX(REPORTE_DROPI!Y:Y,
MATCH($T423, REPORTE_DROPI!B:B, 0)
),
""
),
""
)
</f>
        <v/>
      </c>
      <c r="F423" s="121">
        <v>2.0</v>
      </c>
      <c r="G423" s="122" t="str">
        <f t="array" ref="G423">IF(
UPPER(TRIM(CLEAN($O423)))="ENTREGADO",
IFERROR(
INDEX(REPORTE_DROPI!R:R,
MATCH($T423, REPORTE_DROPI!B:B, 0)
),
""
),
""
)
</f>
        <v/>
      </c>
      <c r="H423" s="118" t="s">
        <v>3727</v>
      </c>
      <c r="I423" s="118" t="s">
        <v>3804</v>
      </c>
      <c r="J423" s="121" t="str">
        <f t="array" ref="J423">IF(
UPPER(TRIM(CLEAN($O423)))="ENTREGADO",
IFERROR(
INDEX(REPORTE_DROPI!T:T,
MATCH($T423, REPORTE_DROPI!B:B, 0)
),
""
),
""
)
</f>
        <v/>
      </c>
      <c r="K423" s="118" t="str">
        <f t="array" ref="K423">IFERROR(
INDEX(REPORTE_DROPI!S:S,
MATCH($T423, REPORTE_DROPI!B:B, 0)
),
""
)
</f>
        <v/>
      </c>
      <c r="L423" s="118" t="str">
        <f>IF(
  O423&lt;&gt;"DEVOLUCION",
  "",
  IF(
    T423="",
    "",
    SUMIF(DEVOLUCION!F:F, T423, DEVOLUCION!D:D)
  )
)
</f>
        <v/>
      </c>
      <c r="M423" s="118"/>
      <c r="N423" s="130" t="s">
        <v>4548</v>
      </c>
      <c r="O423" s="118" t="str">
        <f t="array" ref="O423">IFERROR(
VLOOKUP(
TRIM(CLEAN(
INDEX(REPORTE_DROPI!K:K,
MATCH(T423, REPORTE_DROPI!B:B, 0)
))),
{
TRIM(CLEAN(MAPA_ESTADOS!A:A)) ,
MAPA_ESTADOS!B:B
},
2,
FALSE
),
"REVISAR"
)
</f>
        <v>REVISAR</v>
      </c>
      <c r="P423" s="118" t="s">
        <v>3689</v>
      </c>
      <c r="Q423" s="122">
        <f t="shared" si="1"/>
        <v>0</v>
      </c>
      <c r="R423" s="118"/>
      <c r="S423" s="118"/>
      <c r="T423" s="118" t="str">
        <f t="array" ref="T423">IFERROR(
INDEX(REPORTE_DROPI!B:B,
MATCH(
CLEAN(TRIM(C423)),
CLEAN(TRIM(REPORTE_DROPI!E:E)),
0
)
),
""
)
</f>
        <v/>
      </c>
      <c r="U423" s="118">
        <v>6.410206904364E12</v>
      </c>
      <c r="V423" s="78"/>
      <c r="W423" s="78"/>
      <c r="X423" s="78"/>
      <c r="Y423" s="78"/>
      <c r="Z423" s="78"/>
    </row>
    <row r="424" ht="22.5" customHeight="1">
      <c r="A424" s="118">
        <v>423.0</v>
      </c>
      <c r="B424" s="119">
        <v>46034.0</v>
      </c>
      <c r="C424" s="118" t="s">
        <v>4549</v>
      </c>
      <c r="D424" s="118" t="str">
        <f>IFERROR(__xludf.DUMMYFUNCTION("IFERROR(
  INDEX(
    FILTER(
      'NOMBRE DE PRODUCTOS'!B:B,
      REGEXMATCH(
        UPPER(
          INDEX(
            REPORTE_DROPI!AC:AC,
            MATCH(T424, REPORTE_DROPI!B:B, 0)
          )
        ),
        UPPER('NOMBRE DE PRODUCTOS'!A:A)"&amp;"
      )
    ),
    1
  ),
  ""REVISAR""
)
"),"FilmPro®")</f>
        <v>FilmPro®</v>
      </c>
      <c r="E424" s="120">
        <f t="array" ref="E424">IF(
UPPER(TRIM(CLEAN($O424)))="ENTREGADO",
IFERROR(
INDEX(REPORTE_DROPI!Y:Y,
MATCH($T424, REPORTE_DROPI!B:B, 0)
),
""
),
""
)
</f>
        <v>4.7</v>
      </c>
      <c r="F424" s="121">
        <v>2.0</v>
      </c>
      <c r="G424" s="122">
        <f t="array" ref="G424">IF(
UPPER(TRIM(CLEAN($O424)))="ENTREGADO",
IFERROR(
INDEX(REPORTE_DROPI!R:R,
MATCH($T424, REPORTE_DROPI!B:B, 0)
),
""
),
""
)
</f>
        <v>25</v>
      </c>
      <c r="H424" s="118" t="s">
        <v>3727</v>
      </c>
      <c r="I424" s="118" t="s">
        <v>3809</v>
      </c>
      <c r="J424" s="121">
        <f t="array" ref="J424">IF(
UPPER(TRIM(CLEAN($O424)))="ENTREGADO",
IFERROR(
INDEX(REPORTE_DROPI!T:T,
MATCH($T424, REPORTE_DROPI!B:B, 0)
),
""
),
""
)
</f>
        <v>6.53</v>
      </c>
      <c r="K424" s="118">
        <f t="array" ref="K424">IFERROR(
INDEX(REPORTE_DROPI!S:S,
MATCH($T424, REPORTE_DROPI!B:B, 0)
),
""
)
</f>
        <v>13.77</v>
      </c>
      <c r="L424" s="118" t="str">
        <f>IF(
  O424&lt;&gt;"DEVOLUCION",
  "",
  IF(
    T424="",
    "",
    SUMIF(DEVOLUCION!F:F, T424, DEVOLUCION!D:D)
  )
)
</f>
        <v/>
      </c>
      <c r="M424" s="118"/>
      <c r="N424" s="130" t="s">
        <v>4550</v>
      </c>
      <c r="O424" s="118" t="str">
        <f t="array" ref="O424">IFERROR(
VLOOKUP(
TRIM(CLEAN(
INDEX(REPORTE_DROPI!K:K,
MATCH(T424, REPORTE_DROPI!B:B, 0)
))),
{
TRIM(CLEAN(MAPA_ESTADOS!A:A)) ,
MAPA_ESTADOS!B:B
},
2,
FALSE
),
"REVISAR"
)
</f>
        <v>ENTREGADO</v>
      </c>
      <c r="P424" s="118"/>
      <c r="Q424" s="122">
        <f t="shared" si="1"/>
        <v>0</v>
      </c>
      <c r="R424" s="118"/>
      <c r="S424" s="118"/>
      <c r="T424" s="118">
        <f t="array" ref="T424">IFERROR(
INDEX(REPORTE_DROPI!B:B,
MATCH(
CLEAN(TRIM(C424)),
CLEAN(TRIM(REPORTE_DROPI!E:E)),
0
)
),
""
)
</f>
        <v>4123998</v>
      </c>
      <c r="U424" s="118">
        <v>6.410212016172E12</v>
      </c>
      <c r="V424" s="78"/>
      <c r="W424" s="78"/>
      <c r="X424" s="78"/>
      <c r="Y424" s="78"/>
      <c r="Z424" s="78"/>
    </row>
    <row r="425" ht="22.5" customHeight="1">
      <c r="A425" s="118">
        <v>424.0</v>
      </c>
      <c r="B425" s="119">
        <v>46034.0</v>
      </c>
      <c r="C425" s="118" t="s">
        <v>4551</v>
      </c>
      <c r="D425" s="118" t="str">
        <f>IFERROR(__xludf.DUMMYFUNCTION("IFERROR(
  INDEX(
    FILTER(
      'NOMBRE DE PRODUCTOS'!B:B,
      REGEXMATCH(
        UPPER(
          INDEX(
            REPORTE_DROPI!AC:AC,
            MATCH(T425, REPORTE_DROPI!B:B, 0)
          )
        ),
        UPPER('NOMBRE DE PRODUCTOS'!A:A)"&amp;"
      )
    ),
    1
  ),
  ""REVISAR""
)
"),"FilmPro®")</f>
        <v>FilmPro®</v>
      </c>
      <c r="E425" s="120">
        <f t="array" ref="E425">IF(
UPPER(TRIM(CLEAN($O425)))="ENTREGADO",
IFERROR(
INDEX(REPORTE_DROPI!Y:Y,
MATCH($T425, REPORTE_DROPI!B:B, 0)
),
""
),
""
)
</f>
        <v>4.7</v>
      </c>
      <c r="F425" s="121">
        <v>2.0</v>
      </c>
      <c r="G425" s="122">
        <f t="array" ref="G425">IF(
UPPER(TRIM(CLEAN($O425)))="ENTREGADO",
IFERROR(
INDEX(REPORTE_DROPI!R:R,
MATCH($T425, REPORTE_DROPI!B:B, 0)
),
""
),
""
)
</f>
        <v>25</v>
      </c>
      <c r="H425" s="118" t="s">
        <v>3727</v>
      </c>
      <c r="I425" s="118" t="s">
        <v>3731</v>
      </c>
      <c r="J425" s="121">
        <f t="array" ref="J425">IF(
UPPER(TRIM(CLEAN($O425)))="ENTREGADO",
IFERROR(
INDEX(REPORTE_DROPI!T:T,
MATCH($T425, REPORTE_DROPI!B:B, 0)
),
""
),
""
)
</f>
        <v>4.35</v>
      </c>
      <c r="K425" s="118">
        <f t="array" ref="K425">IFERROR(
INDEX(REPORTE_DROPI!S:S,
MATCH($T425, REPORTE_DROPI!B:B, 0)
),
""
)
</f>
        <v>15.95</v>
      </c>
      <c r="L425" s="118" t="str">
        <f>IF(
  O425&lt;&gt;"DEVOLUCION",
  "",
  IF(
    T425="",
    "",
    SUMIF(DEVOLUCION!F:F, T425, DEVOLUCION!D:D)
  )
)
</f>
        <v/>
      </c>
      <c r="M425" s="118"/>
      <c r="N425" s="130" t="s">
        <v>4552</v>
      </c>
      <c r="O425" s="118" t="str">
        <f t="array" ref="O425">IFERROR(
VLOOKUP(
TRIM(CLEAN(
INDEX(REPORTE_DROPI!K:K,
MATCH(T425, REPORTE_DROPI!B:B, 0)
))),
{
TRIM(CLEAN(MAPA_ESTADOS!A:A)) ,
MAPA_ESTADOS!B:B
},
2,
FALSE
),
"REVISAR"
)
</f>
        <v>ENTREGADO</v>
      </c>
      <c r="P425" s="118"/>
      <c r="Q425" s="122">
        <f t="shared" si="1"/>
        <v>0</v>
      </c>
      <c r="R425" s="118"/>
      <c r="S425" s="118"/>
      <c r="T425" s="118">
        <f t="array" ref="T425">IFERROR(
INDEX(REPORTE_DROPI!B:B,
MATCH(
CLEAN(TRIM(C425)),
CLEAN(TRIM(REPORTE_DROPI!E:E)),
0
)
),
""
)
</f>
        <v>4124012</v>
      </c>
      <c r="U425" s="118">
        <v>6.41021499806E12</v>
      </c>
      <c r="V425" s="78"/>
      <c r="W425" s="78"/>
      <c r="X425" s="78"/>
      <c r="Y425" s="78"/>
      <c r="Z425" s="78"/>
    </row>
    <row r="426" ht="22.5" customHeight="1">
      <c r="A426" s="118">
        <v>425.0</v>
      </c>
      <c r="B426" s="119">
        <v>46034.0</v>
      </c>
      <c r="C426" s="126" t="s">
        <v>4553</v>
      </c>
      <c r="D426" s="118" t="str">
        <f>IFERROR(__xludf.DUMMYFUNCTION("IFERROR(
  INDEX(
    FILTER(
      'NOMBRE DE PRODUCTOS'!B:B,
      REGEXMATCH(
        UPPER(
          INDEX(
            REPORTE_DROPI!AC:AC,
            MATCH(T426, REPORTE_DROPI!B:B, 0)
          )
        ),
        UPPER('NOMBRE DE PRODUCTOS'!A:A)"&amp;"
      )
    ),
    1
  ),
  ""REVISAR""
)
"),"FilmPro®")</f>
        <v>FilmPro®</v>
      </c>
      <c r="E426" s="120" t="str">
        <f t="array" ref="E426">IF(
UPPER(TRIM(CLEAN($O426)))="ENTREGADO",
IFERROR(
INDEX(REPORTE_DROPI!Y:Y,
MATCH($T426, REPORTE_DROPI!B:B, 0)
),
""
),
""
)
</f>
        <v/>
      </c>
      <c r="F426" s="121">
        <v>2.0</v>
      </c>
      <c r="G426" s="122" t="str">
        <f t="array" ref="G426">IF(
UPPER(TRIM(CLEAN($O426)))="ENTREGADO",
IFERROR(
INDEX(REPORTE_DROPI!R:R,
MATCH($T426, REPORTE_DROPI!B:B, 0)
),
""
),
""
)
</f>
        <v/>
      </c>
      <c r="H426" s="118" t="s">
        <v>3727</v>
      </c>
      <c r="I426" s="118" t="s">
        <v>3740</v>
      </c>
      <c r="J426" s="121" t="str">
        <f t="array" ref="J426">IF(
UPPER(TRIM(CLEAN($O426)))="ENTREGADO",
IFERROR(
INDEX(REPORTE_DROPI!T:T,
MATCH($T426, REPORTE_DROPI!B:B, 0)
),
""
),
""
)
</f>
        <v/>
      </c>
      <c r="K426" s="118" t="str">
        <f t="array" ref="K426">IFERROR(
INDEX(REPORTE_DROPI!S:S,
MATCH($T426, REPORTE_DROPI!B:B, 0)
),
""
)
</f>
        <v/>
      </c>
      <c r="L426" s="118" t="str">
        <f>IF(
  O426&lt;&gt;"DEVOLUCION",
  "",
  IF(
    T426="",
    "",
    SUMIF(DEVOLUCION!F:F, T426, DEVOLUCION!D:D)
  )
)
</f>
        <v/>
      </c>
      <c r="M426" s="118"/>
      <c r="N426" s="130" t="s">
        <v>4554</v>
      </c>
      <c r="O426" s="118" t="str">
        <f t="array" ref="O426">IFERROR(
VLOOKUP(
TRIM(CLEAN(
INDEX(REPORTE_DROPI!K:K,
MATCH(T426, REPORTE_DROPI!B:B, 0)
))),
{
TRIM(CLEAN(MAPA_ESTADOS!A:A)) ,
MAPA_ESTADOS!B:B
},
2,
FALSE
),
"REVISAR"
)
</f>
        <v>PENDIENTE</v>
      </c>
      <c r="P426" s="118"/>
      <c r="Q426" s="122">
        <f t="shared" si="1"/>
        <v>0</v>
      </c>
      <c r="R426" s="118"/>
      <c r="S426" s="118"/>
      <c r="T426" s="118">
        <f t="array" ref="T426">IFERROR(
INDEX(REPORTE_DROPI!B:B,
MATCH(
CLEAN(TRIM(C426)),
CLEAN(TRIM(REPORTE_DROPI!E:E)),
0
)
),
""
)
</f>
        <v>4124931</v>
      </c>
      <c r="U426" s="118">
        <v>6.410346594348E12</v>
      </c>
      <c r="V426" s="78"/>
      <c r="W426" s="78"/>
      <c r="X426" s="78"/>
      <c r="Y426" s="78"/>
      <c r="Z426" s="78"/>
    </row>
    <row r="427" ht="22.5" customHeight="1">
      <c r="A427" s="118">
        <v>426.0</v>
      </c>
      <c r="B427" s="119">
        <v>46034.0</v>
      </c>
      <c r="C427" s="118" t="s">
        <v>4555</v>
      </c>
      <c r="D427" s="118" t="str">
        <f>IFERROR(__xludf.DUMMYFUNCTION("IFERROR(
  INDEX(
    FILTER(
      'NOMBRE DE PRODUCTOS'!B:B,
      REGEXMATCH(
        UPPER(
          INDEX(
            REPORTE_DROPI!AC:AC,
            MATCH(T427, REPORTE_DROPI!B:B, 0)
          )
        ),
        UPPER('NOMBRE DE PRODUCTOS'!A:A)"&amp;"
      )
    ),
    1
  ),
  ""REVISAR""
)
"),"FilmPro®")</f>
        <v>FilmPro®</v>
      </c>
      <c r="E427" s="120">
        <f t="array" ref="E427">IF(
UPPER(TRIM(CLEAN($O427)))="ENTREGADO",
IFERROR(
INDEX(REPORTE_DROPI!Y:Y,
MATCH($T427, REPORTE_DROPI!B:B, 0)
),
""
),
""
)
</f>
        <v>4.7</v>
      </c>
      <c r="F427" s="121">
        <v>2.0</v>
      </c>
      <c r="G427" s="122">
        <f t="array" ref="G427">IF(
UPPER(TRIM(CLEAN($O427)))="ENTREGADO",
IFERROR(
INDEX(REPORTE_DROPI!R:R,
MATCH($T427, REPORTE_DROPI!B:B, 0)
),
""
),
""
)
</f>
        <v>25</v>
      </c>
      <c r="H427" s="118" t="s">
        <v>3727</v>
      </c>
      <c r="I427" s="118" t="s">
        <v>3778</v>
      </c>
      <c r="J427" s="121">
        <f t="array" ref="J427">IF(
UPPER(TRIM(CLEAN($O427)))="ENTREGADO",
IFERROR(
INDEX(REPORTE_DROPI!T:T,
MATCH($T427, REPORTE_DROPI!B:B, 0)
),
""
),
""
)
</f>
        <v>5.96</v>
      </c>
      <c r="K427" s="118">
        <f t="array" ref="K427">IFERROR(
INDEX(REPORTE_DROPI!S:S,
MATCH($T427, REPORTE_DROPI!B:B, 0)
),
""
)
</f>
        <v>14.34</v>
      </c>
      <c r="L427" s="118" t="str">
        <f>IF(
  O427&lt;&gt;"DEVOLUCION",
  "",
  IF(
    T427="",
    "",
    SUMIF(DEVOLUCION!F:F, T427, DEVOLUCION!D:D)
  )
)
</f>
        <v/>
      </c>
      <c r="M427" s="118"/>
      <c r="N427" s="130" t="s">
        <v>4556</v>
      </c>
      <c r="O427" s="118" t="str">
        <f t="array" ref="O427">IFERROR(
VLOOKUP(
TRIM(CLEAN(
INDEX(REPORTE_DROPI!K:K,
MATCH(T427, REPORTE_DROPI!B:B, 0)
))),
{
TRIM(CLEAN(MAPA_ESTADOS!A:A)) ,
MAPA_ESTADOS!B:B
},
2,
FALSE
),
"REVISAR"
)
</f>
        <v>ENTREGADO</v>
      </c>
      <c r="P427" s="118"/>
      <c r="Q427" s="122">
        <f t="shared" si="1"/>
        <v>0</v>
      </c>
      <c r="R427" s="118"/>
      <c r="S427" s="118"/>
      <c r="T427" s="118">
        <f t="array" ref="T427">IFERROR(
INDEX(REPORTE_DROPI!B:B,
MATCH(
CLEAN(TRIM(C427)),
CLEAN(TRIM(REPORTE_DROPI!E:E)),
0
)
),
""
)
</f>
        <v>4125046</v>
      </c>
      <c r="U427" s="118">
        <v>6.410360389676E12</v>
      </c>
      <c r="V427" s="78"/>
      <c r="W427" s="78"/>
      <c r="X427" s="78"/>
      <c r="Y427" s="78"/>
      <c r="Z427" s="78"/>
    </row>
    <row r="428" ht="22.5" customHeight="1">
      <c r="A428" s="118">
        <v>427.0</v>
      </c>
      <c r="B428" s="119">
        <v>46034.0</v>
      </c>
      <c r="C428" s="118" t="s">
        <v>4557</v>
      </c>
      <c r="D428" s="118" t="str">
        <f>IFERROR(__xludf.DUMMYFUNCTION("IFERROR(
  INDEX(
    FILTER(
      'NOMBRE DE PRODUCTOS'!B:B,
      REGEXMATCH(
        UPPER(
          INDEX(
            REPORTE_DROPI!AC:AC,
            MATCH(T428, REPORTE_DROPI!B:B, 0)
          )
        ),
        UPPER('NOMBRE DE PRODUCTOS'!A:A)"&amp;"
      )
    ),
    1
  ),
  ""REVISAR""
)
"),"FilmPro®")</f>
        <v>FilmPro®</v>
      </c>
      <c r="E428" s="120">
        <f t="array" ref="E428">IF(
UPPER(TRIM(CLEAN($O428)))="ENTREGADO",
IFERROR(
INDEX(REPORTE_DROPI!Y:Y,
MATCH($T428, REPORTE_DROPI!B:B, 0)
),
""
),
""
)
</f>
        <v>7.05</v>
      </c>
      <c r="F428" s="121">
        <v>3.0</v>
      </c>
      <c r="G428" s="122">
        <f t="array" ref="G428">IF(
UPPER(TRIM(CLEAN($O428)))="ENTREGADO",
IFERROR(
INDEX(REPORTE_DROPI!R:R,
MATCH($T428, REPORTE_DROPI!B:B, 0)
),
""
),
""
)
</f>
        <v>30</v>
      </c>
      <c r="H428" s="118" t="s">
        <v>3727</v>
      </c>
      <c r="I428" s="118" t="s">
        <v>3731</v>
      </c>
      <c r="J428" s="121">
        <f t="array" ref="J428">IF(
UPPER(TRIM(CLEAN($O428)))="ENTREGADO",
IFERROR(
INDEX(REPORTE_DROPI!T:T,
MATCH($T428, REPORTE_DROPI!B:B, 0)
),
""
),
""
)
</f>
        <v>4.55</v>
      </c>
      <c r="K428" s="118">
        <f t="array" ref="K428">IFERROR(
INDEX(REPORTE_DROPI!S:S,
MATCH($T428, REPORTE_DROPI!B:B, 0)
),
""
)
</f>
        <v>18.4</v>
      </c>
      <c r="L428" s="118" t="str">
        <f>IF(
  O428&lt;&gt;"DEVOLUCION",
  "",
  IF(
    T428="",
    "",
    SUMIF(DEVOLUCION!F:F, T428, DEVOLUCION!D:D)
  )
)
</f>
        <v/>
      </c>
      <c r="M428" s="118"/>
      <c r="N428" s="130" t="s">
        <v>4558</v>
      </c>
      <c r="O428" s="118" t="str">
        <f t="array" ref="O428">IFERROR(
VLOOKUP(
TRIM(CLEAN(
INDEX(REPORTE_DROPI!K:K,
MATCH(T428, REPORTE_DROPI!B:B, 0)
))),
{
TRIM(CLEAN(MAPA_ESTADOS!A:A)) ,
MAPA_ESTADOS!B:B
},
2,
FALSE
),
"REVISAR"
)
</f>
        <v>ENTREGADO</v>
      </c>
      <c r="P428" s="118"/>
      <c r="Q428" s="122">
        <f t="shared" si="1"/>
        <v>0</v>
      </c>
      <c r="R428" s="118"/>
      <c r="S428" s="118"/>
      <c r="T428" s="118">
        <f t="array" ref="T428">IFERROR(
INDEX(REPORTE_DROPI!B:B,
MATCH(
CLEAN(TRIM(C428)),
CLEAN(TRIM(REPORTE_DROPI!E:E)),
0
)
),
""
)
</f>
        <v>4125172</v>
      </c>
      <c r="U428" s="118">
        <v>6.41037556126E12</v>
      </c>
      <c r="V428" s="78"/>
      <c r="W428" s="78"/>
      <c r="X428" s="78"/>
      <c r="Y428" s="78"/>
      <c r="Z428" s="78"/>
    </row>
    <row r="429" ht="22.5" customHeight="1">
      <c r="A429" s="118">
        <v>428.0</v>
      </c>
      <c r="B429" s="119">
        <v>46034.0</v>
      </c>
      <c r="C429" s="118" t="s">
        <v>4559</v>
      </c>
      <c r="D429" s="118" t="str">
        <f>IFERROR(__xludf.DUMMYFUNCTION("IFERROR(
  INDEX(
    FILTER(
      'NOMBRE DE PRODUCTOS'!B:B,
      REGEXMATCH(
        UPPER(
          INDEX(
            REPORTE_DROPI!AC:AC,
            MATCH(T429, REPORTE_DROPI!B:B, 0)
          )
        ),
        UPPER('NOMBRE DE PRODUCTOS'!A:A)"&amp;"
      )
    ),
    1
  ),
  ""REVISAR""
)
"),"FilmPro®")</f>
        <v>FilmPro®</v>
      </c>
      <c r="E429" s="120">
        <f t="array" ref="E429">IF(
UPPER(TRIM(CLEAN($O429)))="ENTREGADO",
IFERROR(
INDEX(REPORTE_DROPI!Y:Y,
MATCH($T429, REPORTE_DROPI!B:B, 0)
),
""
),
""
)
</f>
        <v>7.05</v>
      </c>
      <c r="F429" s="121">
        <v>3.0</v>
      </c>
      <c r="G429" s="122">
        <f t="array" ref="G429">IF(
UPPER(TRIM(CLEAN($O429)))="ENTREGADO",
IFERROR(
INDEX(REPORTE_DROPI!R:R,
MATCH($T429, REPORTE_DROPI!B:B, 0)
),
""
),
""
)
</f>
        <v>30</v>
      </c>
      <c r="H429" s="118" t="s">
        <v>3727</v>
      </c>
      <c r="I429" s="118" t="s">
        <v>3740</v>
      </c>
      <c r="J429" s="121">
        <f t="array" ref="J429">IF(
UPPER(TRIM(CLEAN($O429)))="ENTREGADO",
IFERROR(
INDEX(REPORTE_DROPI!T:T,
MATCH($T429, REPORTE_DROPI!B:B, 0)
),
""
),
""
)
</f>
        <v>6.16</v>
      </c>
      <c r="K429" s="118">
        <f t="array" ref="K429">IFERROR(
INDEX(REPORTE_DROPI!S:S,
MATCH($T429, REPORTE_DROPI!B:B, 0)
),
""
)
</f>
        <v>16.79</v>
      </c>
      <c r="L429" s="118" t="str">
        <f>IF(
  O429&lt;&gt;"DEVOLUCION",
  "",
  IF(
    T429="",
    "",
    SUMIF(DEVOLUCION!F:F, T429, DEVOLUCION!D:D)
  )
)
</f>
        <v/>
      </c>
      <c r="M429" s="118"/>
      <c r="N429" s="130" t="s">
        <v>4560</v>
      </c>
      <c r="O429" s="118" t="str">
        <f t="array" ref="O429">IFERROR(
VLOOKUP(
TRIM(CLEAN(
INDEX(REPORTE_DROPI!K:K,
MATCH(T429, REPORTE_DROPI!B:B, 0)
))),
{
TRIM(CLEAN(MAPA_ESTADOS!A:A)) ,
MAPA_ESTADOS!B:B
},
2,
FALSE
),
"REVISAR"
)
</f>
        <v>ENTREGADO</v>
      </c>
      <c r="P429" s="118"/>
      <c r="Q429" s="122">
        <f t="shared" si="1"/>
        <v>0</v>
      </c>
      <c r="R429" s="118"/>
      <c r="S429" s="118"/>
      <c r="T429" s="118">
        <f t="array" ref="T429">IFERROR(
INDEX(REPORTE_DROPI!B:B,
MATCH(
CLEAN(TRIM(C429)),
CLEAN(TRIM(REPORTE_DROPI!E:E)),
0
)
),
""
)
</f>
        <v>4125178</v>
      </c>
      <c r="U429" s="118">
        <v>6.410376773676E12</v>
      </c>
      <c r="V429" s="78"/>
      <c r="W429" s="78"/>
      <c r="X429" s="78"/>
      <c r="Y429" s="78"/>
      <c r="Z429" s="78"/>
    </row>
    <row r="430" ht="22.5" customHeight="1">
      <c r="A430" s="118">
        <v>429.0</v>
      </c>
      <c r="B430" s="119">
        <v>46034.0</v>
      </c>
      <c r="C430" s="118" t="s">
        <v>4561</v>
      </c>
      <c r="D430" s="118" t="str">
        <f>IFERROR(__xludf.DUMMYFUNCTION("IFERROR(
  INDEX(
    FILTER(
      'NOMBRE DE PRODUCTOS'!B:B,
      REGEXMATCH(
        UPPER(
          INDEX(
            REPORTE_DROPI!AC:AC,
            MATCH(T430, REPORTE_DROPI!B:B, 0)
          )
        ),
        UPPER('NOMBRE DE PRODUCTOS'!A:A)"&amp;"
      )
    ),
    1
  ),
  ""REVISAR""
)
"),"Cuchillo Tazaki™")</f>
        <v>Cuchillo Tazaki™</v>
      </c>
      <c r="E430" s="120">
        <f t="array" ref="E430">IF(
UPPER(TRIM(CLEAN($O430)))="ENTREGADO",
IFERROR(
INDEX(REPORTE_DROPI!Y:Y,
MATCH($T430, REPORTE_DROPI!B:B, 0)
),
""
),
""
)
</f>
        <v>5.2</v>
      </c>
      <c r="F430" s="121">
        <v>2.0</v>
      </c>
      <c r="G430" s="122">
        <f t="array" ref="G430">IF(
UPPER(TRIM(CLEAN($O430)))="ENTREGADO",
IFERROR(
INDEX(REPORTE_DROPI!R:R,
MATCH($T430, REPORTE_DROPI!B:B, 0)
),
""
),
""
)
</f>
        <v>22</v>
      </c>
      <c r="H430" s="118" t="s">
        <v>3727</v>
      </c>
      <c r="I430" s="118" t="s">
        <v>3801</v>
      </c>
      <c r="J430" s="121">
        <f t="array" ref="J430">IF(
UPPER(TRIM(CLEAN($O430)))="ENTREGADO",
IFERROR(
INDEX(REPORTE_DROPI!T:T,
MATCH($T430, REPORTE_DROPI!B:B, 0)
),
""
),
""
)
</f>
        <v>5.84</v>
      </c>
      <c r="K430" s="118">
        <f t="array" ref="K430">IFERROR(
INDEX(REPORTE_DROPI!S:S,
MATCH($T430, REPORTE_DROPI!B:B, 0)
),
""
)
</f>
        <v>10.96</v>
      </c>
      <c r="L430" s="118" t="str">
        <f>IF(
  O430&lt;&gt;"DEVOLUCION",
  "",
  IF(
    T430="",
    "",
    SUMIF(DEVOLUCION!F:F, T430, DEVOLUCION!D:D)
  )
)
</f>
        <v/>
      </c>
      <c r="M430" s="118"/>
      <c r="N430" s="130" t="s">
        <v>4562</v>
      </c>
      <c r="O430" s="118" t="str">
        <f t="array" ref="O430">IFERROR(
VLOOKUP(
TRIM(CLEAN(
INDEX(REPORTE_DROPI!K:K,
MATCH(T430, REPORTE_DROPI!B:B, 0)
))),
{
TRIM(CLEAN(MAPA_ESTADOS!A:A)) ,
MAPA_ESTADOS!B:B
},
2,
FALSE
),
"REVISAR"
)
</f>
        <v>ENTREGADO</v>
      </c>
      <c r="P430" s="118"/>
      <c r="Q430" s="122">
        <f t="shared" si="1"/>
        <v>0</v>
      </c>
      <c r="R430" s="118"/>
      <c r="S430" s="118"/>
      <c r="T430" s="118">
        <f t="array" ref="T430">IFERROR(
INDEX(REPORTE_DROPI!B:B,
MATCH(
CLEAN(TRIM(C430)),
CLEAN(TRIM(REPORTE_DROPI!E:E)),
0
)
),
""
)
</f>
        <v>4125246</v>
      </c>
      <c r="U430" s="118">
        <v>6.410387718188E12</v>
      </c>
      <c r="V430" s="78"/>
      <c r="W430" s="78"/>
      <c r="X430" s="78"/>
      <c r="Y430" s="78"/>
      <c r="Z430" s="78"/>
    </row>
    <row r="431" ht="22.5" customHeight="1">
      <c r="A431" s="118">
        <v>430.0</v>
      </c>
      <c r="B431" s="119">
        <v>46034.0</v>
      </c>
      <c r="C431" s="118" t="s">
        <v>4563</v>
      </c>
      <c r="D431" s="118" t="str">
        <f>IFERROR(__xludf.DUMMYFUNCTION("IFERROR(
  INDEX(
    FILTER(
      'NOMBRE DE PRODUCTOS'!B:B,
      REGEXMATCH(
        UPPER(
          INDEX(
            REPORTE_DROPI!AC:AC,
            MATCH(T431, REPORTE_DROPI!B:B, 0)
          )
        ),
        UPPER('NOMBRE DE PRODUCTOS'!A:A)"&amp;"
      )
    ),
    1
  ),
  ""REVISAR""
)
"),"Cuchillo Tazaki™")</f>
        <v>Cuchillo Tazaki™</v>
      </c>
      <c r="E431" s="120">
        <f t="array" ref="E431">IF(
UPPER(TRIM(CLEAN($O431)))="ENTREGADO",
IFERROR(
INDEX(REPORTE_DROPI!Y:Y,
MATCH($T431, REPORTE_DROPI!B:B, 0)
),
""
),
""
)
</f>
        <v>5.2</v>
      </c>
      <c r="F431" s="121">
        <v>2.0</v>
      </c>
      <c r="G431" s="122">
        <f t="array" ref="G431">IF(
UPPER(TRIM(CLEAN($O431)))="ENTREGADO",
IFERROR(
INDEX(REPORTE_DROPI!R:R,
MATCH($T431, REPORTE_DROPI!B:B, 0)
),
""
),
""
)
</f>
        <v>22</v>
      </c>
      <c r="H431" s="118" t="s">
        <v>3727</v>
      </c>
      <c r="I431" s="118" t="s">
        <v>3784</v>
      </c>
      <c r="J431" s="121">
        <f t="array" ref="J431">IF(
UPPER(TRIM(CLEAN($O431)))="ENTREGADO",
IFERROR(
INDEX(REPORTE_DROPI!T:T,
MATCH($T431, REPORTE_DROPI!B:B, 0)
),
""
),
""
)
</f>
        <v>6.41</v>
      </c>
      <c r="K431" s="118">
        <f t="array" ref="K431">IFERROR(
INDEX(REPORTE_DROPI!S:S,
MATCH($T431, REPORTE_DROPI!B:B, 0)
),
""
)
</f>
        <v>10.39</v>
      </c>
      <c r="L431" s="118" t="str">
        <f>IF(
  O431&lt;&gt;"DEVOLUCION",
  "",
  IF(
    T431="",
    "",
    SUMIF(DEVOLUCION!F:F, T431, DEVOLUCION!D:D)
  )
)
</f>
        <v/>
      </c>
      <c r="M431" s="118"/>
      <c r="N431" s="130" t="s">
        <v>4564</v>
      </c>
      <c r="O431" s="118" t="str">
        <f t="array" ref="O431">IFERROR(
VLOOKUP(
TRIM(CLEAN(
INDEX(REPORTE_DROPI!K:K,
MATCH(T431, REPORTE_DROPI!B:B, 0)
))),
{
TRIM(CLEAN(MAPA_ESTADOS!A:A)) ,
MAPA_ESTADOS!B:B
},
2,
FALSE
),
"REVISAR"
)
</f>
        <v>ENTREGADO</v>
      </c>
      <c r="P431" s="118"/>
      <c r="Q431" s="122">
        <f t="shared" si="1"/>
        <v>0</v>
      </c>
      <c r="R431" s="118"/>
      <c r="S431" s="118"/>
      <c r="T431" s="118">
        <f t="array" ref="T431">IFERROR(
INDEX(REPORTE_DROPI!B:B,
MATCH(
CLEAN(TRIM(C431)),
CLEAN(TRIM(REPORTE_DROPI!E:E)),
0
)
),
""
)
</f>
        <v>4125302</v>
      </c>
      <c r="U431" s="118">
        <v>6.410395484204E12</v>
      </c>
      <c r="V431" s="78"/>
      <c r="W431" s="78"/>
      <c r="X431" s="78"/>
      <c r="Y431" s="78"/>
      <c r="Z431" s="78"/>
    </row>
    <row r="432" ht="22.5" customHeight="1">
      <c r="A432" s="118">
        <v>431.0</v>
      </c>
      <c r="B432" s="119">
        <v>46034.0</v>
      </c>
      <c r="C432" s="118" t="s">
        <v>4565</v>
      </c>
      <c r="D432" s="118" t="str">
        <f>IFERROR(__xludf.DUMMYFUNCTION("IFERROR(
  INDEX(
    FILTER(
      'NOMBRE DE PRODUCTOS'!B:B,
      REGEXMATCH(
        UPPER(
          INDEX(
            REPORTE_DROPI!AC:AC,
            MATCH(T432, REPORTE_DROPI!B:B, 0)
          )
        ),
        UPPER('NOMBRE DE PRODUCTOS'!A:A)"&amp;"
      )
    ),
    1
  ),
  ""REVISAR""
)
"),"FilmPro®")</f>
        <v>FilmPro®</v>
      </c>
      <c r="E432" s="120">
        <f t="array" ref="E432">IF(
UPPER(TRIM(CLEAN($O432)))="ENTREGADO",
IFERROR(
INDEX(REPORTE_DROPI!Y:Y,
MATCH($T432, REPORTE_DROPI!B:B, 0)
),
""
),
""
)
</f>
        <v>7.05</v>
      </c>
      <c r="F432" s="121">
        <v>3.0</v>
      </c>
      <c r="G432" s="122">
        <f t="array" ref="G432">IF(
UPPER(TRIM(CLEAN($O432)))="ENTREGADO",
IFERROR(
INDEX(REPORTE_DROPI!R:R,
MATCH($T432, REPORTE_DROPI!B:B, 0)
),
""
),
""
)
</f>
        <v>30</v>
      </c>
      <c r="H432" s="118" t="s">
        <v>3727</v>
      </c>
      <c r="I432" s="118" t="s">
        <v>3731</v>
      </c>
      <c r="J432" s="121">
        <f t="array" ref="J432">IF(
UPPER(TRIM(CLEAN($O432)))="ENTREGADO",
IFERROR(
INDEX(REPORTE_DROPI!T:T,
MATCH($T432, REPORTE_DROPI!B:B, 0)
),
""
),
""
)
</f>
        <v>4.55</v>
      </c>
      <c r="K432" s="118">
        <f t="array" ref="K432">IFERROR(
INDEX(REPORTE_DROPI!S:S,
MATCH($T432, REPORTE_DROPI!B:B, 0)
),
""
)
</f>
        <v>18.4</v>
      </c>
      <c r="L432" s="118" t="str">
        <f>IF(
  O432&lt;&gt;"DEVOLUCION",
  "",
  IF(
    T432="",
    "",
    SUMIF(DEVOLUCION!F:F, T432, DEVOLUCION!D:D)
  )
)
</f>
        <v/>
      </c>
      <c r="M432" s="118"/>
      <c r="N432" s="130" t="s">
        <v>4566</v>
      </c>
      <c r="O432" s="118" t="str">
        <f t="array" ref="O432">IFERROR(
VLOOKUP(
TRIM(CLEAN(
INDEX(REPORTE_DROPI!K:K,
MATCH(T432, REPORTE_DROPI!B:B, 0)
))),
{
TRIM(CLEAN(MAPA_ESTADOS!A:A)) ,
MAPA_ESTADOS!B:B
},
2,
FALSE
),
"REVISAR"
)
</f>
        <v>ENTREGADO</v>
      </c>
      <c r="P432" s="118"/>
      <c r="Q432" s="122">
        <f t="shared" si="1"/>
        <v>0</v>
      </c>
      <c r="R432" s="118"/>
      <c r="S432" s="118"/>
      <c r="T432" s="118">
        <f t="array" ref="T432">IFERROR(
INDEX(REPORTE_DROPI!B:B,
MATCH(
CLEAN(TRIM(C432)),
CLEAN(TRIM(REPORTE_DROPI!E:E)),
0
)
),
""
)
</f>
        <v>4125319</v>
      </c>
      <c r="U432" s="118">
        <v>6.41039751582E12</v>
      </c>
      <c r="V432" s="78"/>
      <c r="W432" s="78"/>
      <c r="X432" s="78"/>
      <c r="Y432" s="78"/>
      <c r="Z432" s="78"/>
    </row>
    <row r="433" ht="22.5" customHeight="1">
      <c r="A433" s="118">
        <v>432.0</v>
      </c>
      <c r="B433" s="119">
        <v>46034.0</v>
      </c>
      <c r="C433" s="118" t="s">
        <v>4567</v>
      </c>
      <c r="D433" s="118" t="str">
        <f>IFERROR(__xludf.DUMMYFUNCTION("IFERROR(
  INDEX(
    FILTER(
      'NOMBRE DE PRODUCTOS'!B:B,
      REGEXMATCH(
        UPPER(
          INDEX(
            REPORTE_DROPI!AC:AC,
            MATCH(T433, REPORTE_DROPI!B:B, 0)
          )
        ),
        UPPER('NOMBRE DE PRODUCTOS'!A:A)"&amp;"
      )
    ),
    1
  ),
  ""REVISAR""
)
"),"FilmPro®")</f>
        <v>FilmPro®</v>
      </c>
      <c r="E433" s="120" t="str">
        <f t="array" ref="E433">IF(
UPPER(TRIM(CLEAN($O433)))="ENTREGADO",
IFERROR(
INDEX(REPORTE_DROPI!Y:Y,
MATCH($T433, REPORTE_DROPI!B:B, 0)
),
""
),
""
)
</f>
        <v/>
      </c>
      <c r="F433" s="121">
        <v>2.0</v>
      </c>
      <c r="G433" s="122" t="str">
        <f t="array" ref="G433">IF(
UPPER(TRIM(CLEAN($O433)))="ENTREGADO",
IFERROR(
INDEX(REPORTE_DROPI!R:R,
MATCH($T433, REPORTE_DROPI!B:B, 0)
),
""
),
""
)
</f>
        <v/>
      </c>
      <c r="H433" s="118" t="s">
        <v>3727</v>
      </c>
      <c r="I433" s="118" t="s">
        <v>3740</v>
      </c>
      <c r="J433" s="121" t="str">
        <f t="array" ref="J433">IF(
UPPER(TRIM(CLEAN($O433)))="ENTREGADO",
IFERROR(
INDEX(REPORTE_DROPI!T:T,
MATCH($T433, REPORTE_DROPI!B:B, 0)
),
""
),
""
)
</f>
        <v/>
      </c>
      <c r="K433" s="118" t="str">
        <f t="array" ref="K433">IFERROR(
INDEX(REPORTE_DROPI!S:S,
MATCH($T433, REPORTE_DROPI!B:B, 0)
),
""
)
</f>
        <v/>
      </c>
      <c r="L433" s="118">
        <f>IF(
  O433&lt;&gt;"DEVOLUCION",
  "",
  IF(
    T433="",
    "",
    SUMIF(DEVOLUCION!F:F, T433, DEVOLUCION!D:D)
  )
)
</f>
        <v>5.09</v>
      </c>
      <c r="M433" s="118"/>
      <c r="N433" s="130" t="s">
        <v>4568</v>
      </c>
      <c r="O433" s="118" t="str">
        <f t="array" ref="O433">IFERROR(
VLOOKUP(
TRIM(CLEAN(
INDEX(REPORTE_DROPI!K:K,
MATCH(T433, REPORTE_DROPI!B:B, 0)
))),
{
TRIM(CLEAN(MAPA_ESTADOS!A:A)) ,
MAPA_ESTADOS!B:B
},
2,
FALSE
),
"REVISAR"
)
</f>
        <v>DEVOLUCION</v>
      </c>
      <c r="P433" s="118"/>
      <c r="Q433" s="122">
        <f t="shared" si="1"/>
        <v>0</v>
      </c>
      <c r="R433" s="118"/>
      <c r="S433" s="118"/>
      <c r="T433" s="118">
        <f t="array" ref="T433">IFERROR(
INDEX(REPORTE_DROPI!B:B,
MATCH(
CLEAN(TRIM(C433)),
CLEAN(TRIM(REPORTE_DROPI!E:E)),
0
)
),
""
)
</f>
        <v>4125351</v>
      </c>
      <c r="U433" s="118">
        <v>6.410402037804E12</v>
      </c>
      <c r="V433" s="78"/>
      <c r="W433" s="78"/>
      <c r="X433" s="78"/>
      <c r="Y433" s="78"/>
      <c r="Z433" s="78"/>
    </row>
    <row r="434" ht="22.5" customHeight="1">
      <c r="A434" s="118">
        <v>433.0</v>
      </c>
      <c r="B434" s="119">
        <v>46034.0</v>
      </c>
      <c r="C434" s="118" t="s">
        <v>4569</v>
      </c>
      <c r="D434" s="118" t="str">
        <f>IFERROR(__xludf.DUMMYFUNCTION("IFERROR(
  INDEX(
    FILTER(
      'NOMBRE DE PRODUCTOS'!B:B,
      REGEXMATCH(
        UPPER(
          INDEX(
            REPORTE_DROPI!AC:AC,
            MATCH(T434, REPORTE_DROPI!B:B, 0)
          )
        ),
        UPPER('NOMBRE DE PRODUCTOS'!A:A)"&amp;"
      )
    ),
    1
  ),
  ""REVISAR""
)
"),"FilmPro®")</f>
        <v>FilmPro®</v>
      </c>
      <c r="E434" s="120">
        <f t="array" ref="E434">IF(
UPPER(TRIM(CLEAN($O434)))="ENTREGADO",
IFERROR(
INDEX(REPORTE_DROPI!Y:Y,
MATCH($T434, REPORTE_DROPI!B:B, 0)
),
""
),
""
)
</f>
        <v>4.7</v>
      </c>
      <c r="F434" s="121">
        <v>2.0</v>
      </c>
      <c r="G434" s="122">
        <f t="array" ref="G434">IF(
UPPER(TRIM(CLEAN($O434)))="ENTREGADO",
IFERROR(
INDEX(REPORTE_DROPI!R:R,
MATCH($T434, REPORTE_DROPI!B:B, 0)
),
""
),
""
)
</f>
        <v>25</v>
      </c>
      <c r="H434" s="118" t="s">
        <v>3727</v>
      </c>
      <c r="I434" s="118" t="s">
        <v>3912</v>
      </c>
      <c r="J434" s="121">
        <f t="array" ref="J434">IF(
UPPER(TRIM(CLEAN($O434)))="ENTREGADO",
IFERROR(
INDEX(REPORTE_DROPI!T:T,
MATCH($T434, REPORTE_DROPI!B:B, 0)
),
""
),
""
)
</f>
        <v>5.96</v>
      </c>
      <c r="K434" s="118">
        <f t="array" ref="K434">IFERROR(
INDEX(REPORTE_DROPI!S:S,
MATCH($T434, REPORTE_DROPI!B:B, 0)
),
""
)
</f>
        <v>14.34</v>
      </c>
      <c r="L434" s="118" t="str">
        <f>IF(
  O434&lt;&gt;"DEVOLUCION",
  "",
  IF(
    T434="",
    "",
    SUMIF(DEVOLUCION!F:F, T434, DEVOLUCION!D:D)
  )
)
</f>
        <v/>
      </c>
      <c r="M434" s="118"/>
      <c r="N434" s="130" t="s">
        <v>4570</v>
      </c>
      <c r="O434" s="118" t="str">
        <f t="array" ref="O434">IFERROR(
VLOOKUP(
TRIM(CLEAN(
INDEX(REPORTE_DROPI!K:K,
MATCH(T434, REPORTE_DROPI!B:B, 0)
))),
{
TRIM(CLEAN(MAPA_ESTADOS!A:A)) ,
MAPA_ESTADOS!B:B
},
2,
FALSE
),
"REVISAR"
)
</f>
        <v>ENTREGADO</v>
      </c>
      <c r="P434" s="118"/>
      <c r="Q434" s="122">
        <f t="shared" si="1"/>
        <v>0</v>
      </c>
      <c r="R434" s="118"/>
      <c r="S434" s="118"/>
      <c r="T434" s="118">
        <f t="array" ref="T434">IFERROR(
INDEX(REPORTE_DROPI!B:B,
MATCH(
CLEAN(TRIM(C434)),
CLEAN(TRIM(REPORTE_DROPI!E:E)),
0
)
),
""
)
</f>
        <v>4125528</v>
      </c>
      <c r="U434" s="118">
        <v>6.410430873644E12</v>
      </c>
      <c r="V434" s="78"/>
      <c r="W434" s="78"/>
      <c r="X434" s="78"/>
      <c r="Y434" s="78"/>
      <c r="Z434" s="78"/>
    </row>
    <row r="435" ht="22.5" customHeight="1">
      <c r="A435" s="118">
        <v>434.0</v>
      </c>
      <c r="B435" s="119">
        <v>46034.0</v>
      </c>
      <c r="C435" s="126" t="s">
        <v>4571</v>
      </c>
      <c r="D435" s="118" t="str">
        <f>IFERROR(__xludf.DUMMYFUNCTION("IFERROR(
  INDEX(
    FILTER(
      'NOMBRE DE PRODUCTOS'!B:B,
      REGEXMATCH(
        UPPER(
          INDEX(
            REPORTE_DROPI!AC:AC,
            MATCH(T435, REPORTE_DROPI!B:B, 0)
          )
        ),
        UPPER('NOMBRE DE PRODUCTOS'!A:A)"&amp;"
      )
    ),
    1
  ),
  ""REVISAR""
)
"),"FilmPro®")</f>
        <v>FilmPro®</v>
      </c>
      <c r="E435" s="120" t="str">
        <f t="array" ref="E435">IF(
UPPER(TRIM(CLEAN($O435)))="ENTREGADO",
IFERROR(
INDEX(REPORTE_DROPI!Y:Y,
MATCH($T435, REPORTE_DROPI!B:B, 0)
),
""
),
""
)
</f>
        <v/>
      </c>
      <c r="F435" s="121">
        <v>2.0</v>
      </c>
      <c r="G435" s="122" t="str">
        <f t="array" ref="G435">IF(
UPPER(TRIM(CLEAN($O435)))="ENTREGADO",
IFERROR(
INDEX(REPORTE_DROPI!R:R,
MATCH($T435, REPORTE_DROPI!B:B, 0)
),
""
),
""
)
</f>
        <v/>
      </c>
      <c r="H435" s="118" t="s">
        <v>3727</v>
      </c>
      <c r="I435" s="118" t="s">
        <v>3912</v>
      </c>
      <c r="J435" s="121" t="str">
        <f t="array" ref="J435">IF(
UPPER(TRIM(CLEAN($O435)))="ENTREGADO",
IFERROR(
INDEX(REPORTE_DROPI!T:T,
MATCH($T435, REPORTE_DROPI!B:B, 0)
),
""
),
""
)
</f>
        <v/>
      </c>
      <c r="K435" s="118" t="str">
        <f t="array" ref="K435">IFERROR(
INDEX(REPORTE_DROPI!S:S,
MATCH($T435, REPORTE_DROPI!B:B, 0)
),
""
)
</f>
        <v/>
      </c>
      <c r="L435" s="118" t="str">
        <f>IF(
  O435&lt;&gt;"DEVOLUCION",
  "",
  IF(
    T435="",
    "",
    SUMIF(DEVOLUCION!F:F, T435, DEVOLUCION!D:D)
  )
)
</f>
        <v/>
      </c>
      <c r="M435" s="118"/>
      <c r="N435" s="130" t="s">
        <v>4572</v>
      </c>
      <c r="O435" s="118" t="str">
        <f t="array" ref="O435">IFERROR(
VLOOKUP(
TRIM(CLEAN(
INDEX(REPORTE_DROPI!K:K,
MATCH(T435, REPORTE_DROPI!B:B, 0)
))),
{
TRIM(CLEAN(MAPA_ESTADOS!A:A)) ,
MAPA_ESTADOS!B:B
},
2,
FALSE
),
"REVISAR"
)
</f>
        <v>PENDIENTE</v>
      </c>
      <c r="P435" s="118" t="s">
        <v>3689</v>
      </c>
      <c r="Q435" s="122">
        <f t="shared" si="1"/>
        <v>0</v>
      </c>
      <c r="R435" s="118"/>
      <c r="S435" s="118"/>
      <c r="T435" s="118">
        <f t="array" ref="T435">IFERROR(
INDEX(REPORTE_DROPI!B:B,
MATCH(
CLEAN(TRIM(C435)),
CLEAN(TRIM(REPORTE_DROPI!E:E)),
0
)
),
""
)
</f>
        <v>4125904</v>
      </c>
      <c r="U435" s="118">
        <v>6.410483499052E12</v>
      </c>
      <c r="V435" s="78"/>
      <c r="W435" s="78"/>
      <c r="X435" s="78"/>
      <c r="Y435" s="78"/>
      <c r="Z435" s="78"/>
    </row>
    <row r="436" ht="22.5" customHeight="1">
      <c r="A436" s="118">
        <v>435.0</v>
      </c>
      <c r="B436" s="119">
        <v>46034.0</v>
      </c>
      <c r="C436" s="118" t="s">
        <v>4573</v>
      </c>
      <c r="D436" s="118" t="str">
        <f>IFERROR(__xludf.DUMMYFUNCTION("IFERROR(
  INDEX(
    FILTER(
      'NOMBRE DE PRODUCTOS'!B:B,
      REGEXMATCH(
        UPPER(
          INDEX(
            REPORTE_DROPI!AC:AC,
            MATCH(T436, REPORTE_DROPI!B:B, 0)
          )
        ),
        UPPER('NOMBRE DE PRODUCTOS'!A:A)"&amp;"
      )
    ),
    1
  ),
  ""REVISAR""
)
"),"FilmPro®")</f>
        <v>FilmPro®</v>
      </c>
      <c r="E436" s="120">
        <f t="array" ref="E436">IF(
UPPER(TRIM(CLEAN($O436)))="ENTREGADO",
IFERROR(
INDEX(REPORTE_DROPI!Y:Y,
MATCH($T436, REPORTE_DROPI!B:B, 0)
),
""
),
""
)
</f>
        <v>2.35</v>
      </c>
      <c r="F436" s="121">
        <v>1.0</v>
      </c>
      <c r="G436" s="122">
        <f t="array" ref="G436">IF(
UPPER(TRIM(CLEAN($O436)))="ENTREGADO",
IFERROR(
INDEX(REPORTE_DROPI!R:R,
MATCH($T436, REPORTE_DROPI!B:B, 0)
),
""
),
""
)
</f>
        <v>20</v>
      </c>
      <c r="H436" s="118" t="s">
        <v>3727</v>
      </c>
      <c r="I436" s="118" t="s">
        <v>3731</v>
      </c>
      <c r="J436" s="121">
        <f t="array" ref="J436">IF(
UPPER(TRIM(CLEAN($O436)))="ENTREGADO",
IFERROR(
INDEX(REPORTE_DROPI!T:T,
MATCH($T436, REPORTE_DROPI!B:B, 0)
),
""
),
""
)
</f>
        <v>4.15</v>
      </c>
      <c r="K436" s="118">
        <f t="array" ref="K436">IFERROR(
INDEX(REPORTE_DROPI!S:S,
MATCH($T436, REPORTE_DROPI!B:B, 0)
),
""
)
</f>
        <v>13.5</v>
      </c>
      <c r="L436" s="118" t="str">
        <f>IF(
  O436&lt;&gt;"DEVOLUCION",
  "",
  IF(
    T436="",
    "",
    SUMIF(DEVOLUCION!F:F, T436, DEVOLUCION!D:D)
  )
)
</f>
        <v/>
      </c>
      <c r="M436" s="118"/>
      <c r="N436" s="130" t="s">
        <v>4574</v>
      </c>
      <c r="O436" s="118" t="str">
        <f t="array" ref="O436">IFERROR(
VLOOKUP(
TRIM(CLEAN(
INDEX(REPORTE_DROPI!K:K,
MATCH(T436, REPORTE_DROPI!B:B, 0)
))),
{
TRIM(CLEAN(MAPA_ESTADOS!A:A)) ,
MAPA_ESTADOS!B:B
},
2,
FALSE
),
"REVISAR"
)
</f>
        <v>ENTREGADO</v>
      </c>
      <c r="P436" s="118"/>
      <c r="Q436" s="122">
        <f t="shared" si="1"/>
        <v>0</v>
      </c>
      <c r="R436" s="118"/>
      <c r="S436" s="118"/>
      <c r="T436" s="118">
        <f t="array" ref="T436">IFERROR(
INDEX(REPORTE_DROPI!B:B,
MATCH(
CLEAN(TRIM(C436)),
CLEAN(TRIM(REPORTE_DROPI!E:E)),
0
)
),
""
)
</f>
        <v>4125966</v>
      </c>
      <c r="U436" s="118">
        <v>6.41049516446E12</v>
      </c>
      <c r="V436" s="78"/>
      <c r="W436" s="78"/>
      <c r="X436" s="78"/>
      <c r="Y436" s="78"/>
      <c r="Z436" s="78"/>
    </row>
    <row r="437" ht="22.5" customHeight="1">
      <c r="A437" s="118">
        <v>436.0</v>
      </c>
      <c r="B437" s="119">
        <v>46034.0</v>
      </c>
      <c r="C437" s="118" t="s">
        <v>4575</v>
      </c>
      <c r="D437" s="118" t="str">
        <f>IFERROR(__xludf.DUMMYFUNCTION("IFERROR(
  INDEX(
    FILTER(
      'NOMBRE DE PRODUCTOS'!B:B,
      REGEXMATCH(
        UPPER(
          INDEX(
            REPORTE_DROPI!AC:AC,
            MATCH(T437, REPORTE_DROPI!B:B, 0)
          )
        ),
        UPPER('NOMBRE DE PRODUCTOS'!A:A)"&amp;"
      )
    ),
    1
  ),
  ""REVISAR""
)
"),"Cuchillo Tazaki™")</f>
        <v>Cuchillo Tazaki™</v>
      </c>
      <c r="E437" s="120">
        <f t="array" ref="E437">IF(
UPPER(TRIM(CLEAN($O437)))="ENTREGADO",
IFERROR(
INDEX(REPORTE_DROPI!Y:Y,
MATCH($T437, REPORTE_DROPI!B:B, 0)
),
""
),
""
)
</f>
        <v>5.2</v>
      </c>
      <c r="F437" s="121">
        <v>2.0</v>
      </c>
      <c r="G437" s="122">
        <f t="array" ref="G437">IF(
UPPER(TRIM(CLEAN($O437)))="ENTREGADO",
IFERROR(
INDEX(REPORTE_DROPI!R:R,
MATCH($T437, REPORTE_DROPI!B:B, 0)
),
""
),
""
)
</f>
        <v>22</v>
      </c>
      <c r="H437" s="118" t="s">
        <v>3727</v>
      </c>
      <c r="I437" s="118" t="s">
        <v>3728</v>
      </c>
      <c r="J437" s="121">
        <f t="array" ref="J437">IF(
UPPER(TRIM(CLEAN($O437)))="ENTREGADO",
IFERROR(
INDEX(REPORTE_DROPI!T:T,
MATCH($T437, REPORTE_DROPI!B:B, 0)
),
""
),
""
)
</f>
        <v>6</v>
      </c>
      <c r="K437" s="118">
        <f t="array" ref="K437">IFERROR(
INDEX(REPORTE_DROPI!S:S,
MATCH($T437, REPORTE_DROPI!B:B, 0)
),
""
)
</f>
        <v>10.8</v>
      </c>
      <c r="L437" s="118" t="str">
        <f>IF(
  O437&lt;&gt;"DEVOLUCION",
  "",
  IF(
    T437="",
    "",
    SUMIF(DEVOLUCION!F:F, T437, DEVOLUCION!D:D)
  )
)
</f>
        <v/>
      </c>
      <c r="M437" s="118"/>
      <c r="N437" s="130" t="s">
        <v>4576</v>
      </c>
      <c r="O437" s="118" t="str">
        <f t="array" ref="O437">IFERROR(
VLOOKUP(
TRIM(CLEAN(
INDEX(REPORTE_DROPI!K:K,
MATCH(T437, REPORTE_DROPI!B:B, 0)
))),
{
TRIM(CLEAN(MAPA_ESTADOS!A:A)) ,
MAPA_ESTADOS!B:B
},
2,
FALSE
),
"REVISAR"
)
</f>
        <v>ENTREGADO</v>
      </c>
      <c r="P437" s="118"/>
      <c r="Q437" s="122">
        <f t="shared" si="1"/>
        <v>0</v>
      </c>
      <c r="R437" s="118"/>
      <c r="S437" s="118"/>
      <c r="T437" s="118">
        <f t="array" ref="T437">IFERROR(
INDEX(REPORTE_DROPI!B:B,
MATCH(
CLEAN(TRIM(C437)),
CLEAN(TRIM(REPORTE_DROPI!E:E)),
0
)
),
""
)
</f>
        <v>4126196</v>
      </c>
      <c r="U437" s="118">
        <v>6.410527080492E12</v>
      </c>
      <c r="V437" s="78"/>
      <c r="W437" s="78"/>
      <c r="X437" s="78"/>
      <c r="Y437" s="78"/>
      <c r="Z437" s="78"/>
    </row>
    <row r="438" ht="22.5" customHeight="1">
      <c r="A438" s="118">
        <v>437.0</v>
      </c>
      <c r="B438" s="119">
        <v>46034.0</v>
      </c>
      <c r="C438" s="118" t="s">
        <v>4577</v>
      </c>
      <c r="D438" s="118" t="str">
        <f>IFERROR(__xludf.DUMMYFUNCTION("IFERROR(
  INDEX(
    FILTER(
      'NOMBRE DE PRODUCTOS'!B:B,
      REGEXMATCH(
        UPPER(
          INDEX(
            REPORTE_DROPI!AC:AC,
            MATCH(T438, REPORTE_DROPI!B:B, 0)
          )
        ),
        UPPER('NOMBRE DE PRODUCTOS'!A:A)"&amp;"
      )
    ),
    1
  ),
  ""REVISAR""
)
"),"Cuchillo Tazaki™")</f>
        <v>Cuchillo Tazaki™</v>
      </c>
      <c r="E438" s="120">
        <f t="array" ref="E438">IF(
UPPER(TRIM(CLEAN($O438)))="ENTREGADO",
IFERROR(
INDEX(REPORTE_DROPI!Y:Y,
MATCH($T438, REPORTE_DROPI!B:B, 0)
),
""
),
""
)
</f>
        <v>5.2</v>
      </c>
      <c r="F438" s="121">
        <v>2.0</v>
      </c>
      <c r="G438" s="122">
        <f t="array" ref="G438">IF(
UPPER(TRIM(CLEAN($O438)))="ENTREGADO",
IFERROR(
INDEX(REPORTE_DROPI!R:R,
MATCH($T438, REPORTE_DROPI!B:B, 0)
),
""
),
""
)
</f>
        <v>22</v>
      </c>
      <c r="H438" s="118" t="s">
        <v>3727</v>
      </c>
      <c r="I438" s="118" t="s">
        <v>3728</v>
      </c>
      <c r="J438" s="121">
        <f t="array" ref="J438">IF(
UPPER(TRIM(CLEAN($O438)))="ENTREGADO",
IFERROR(
INDEX(REPORTE_DROPI!T:T,
MATCH($T438, REPORTE_DROPI!B:B, 0)
),
""
),
""
)
</f>
        <v>5.84</v>
      </c>
      <c r="K438" s="118">
        <f t="array" ref="K438">IFERROR(
INDEX(REPORTE_DROPI!S:S,
MATCH($T438, REPORTE_DROPI!B:B, 0)
),
""
)
</f>
        <v>10.96</v>
      </c>
      <c r="L438" s="118" t="str">
        <f>IF(
  O438&lt;&gt;"DEVOLUCION",
  "",
  IF(
    T438="",
    "",
    SUMIF(DEVOLUCION!F:F, T438, DEVOLUCION!D:D)
  )
)
</f>
        <v/>
      </c>
      <c r="M438" s="118"/>
      <c r="N438" s="130" t="s">
        <v>4578</v>
      </c>
      <c r="O438" s="118" t="str">
        <f t="array" ref="O438">IFERROR(
VLOOKUP(
TRIM(CLEAN(
INDEX(REPORTE_DROPI!K:K,
MATCH(T438, REPORTE_DROPI!B:B, 0)
))),
{
TRIM(CLEAN(MAPA_ESTADOS!A:A)) ,
MAPA_ESTADOS!B:B
},
2,
FALSE
),
"REVISAR"
)
</f>
        <v>ENTREGADO</v>
      </c>
      <c r="P438" s="118"/>
      <c r="Q438" s="122">
        <f t="shared" si="1"/>
        <v>0</v>
      </c>
      <c r="R438" s="118"/>
      <c r="S438" s="118"/>
      <c r="T438" s="118">
        <f t="array" ref="T438">IFERROR(
INDEX(REPORTE_DROPI!B:B,
MATCH(
CLEAN(TRIM(C438)),
CLEAN(TRIM(REPORTE_DROPI!E:E)),
0
)
),
""
)
</f>
        <v>4126396</v>
      </c>
      <c r="U438" s="118">
        <v>6.410556145708E12</v>
      </c>
      <c r="V438" s="78"/>
      <c r="W438" s="78"/>
      <c r="X438" s="78"/>
      <c r="Y438" s="78"/>
      <c r="Z438" s="78"/>
    </row>
    <row r="439" ht="22.5" customHeight="1">
      <c r="A439" s="118">
        <v>438.0</v>
      </c>
      <c r="B439" s="119">
        <v>46034.0</v>
      </c>
      <c r="C439" s="126" t="s">
        <v>4579</v>
      </c>
      <c r="D439" s="118" t="str">
        <f>IFERROR(__xludf.DUMMYFUNCTION("IFERROR(
  INDEX(
    FILTER(
      'NOMBRE DE PRODUCTOS'!B:B,
      REGEXMATCH(
        UPPER(
          INDEX(
            REPORTE_DROPI!AC:AC,
            MATCH(T439, REPORTE_DROPI!B:B, 0)
          )
        ),
        UPPER('NOMBRE DE PRODUCTOS'!A:A)"&amp;"
      )
    ),
    1
  ),
  ""REVISAR""
)
"),"Cuchillo Tazaki™")</f>
        <v>Cuchillo Tazaki™</v>
      </c>
      <c r="E439" s="120" t="str">
        <f t="array" ref="E439">IF(
UPPER(TRIM(CLEAN($O439)))="ENTREGADO",
IFERROR(
INDEX(REPORTE_DROPI!Y:Y,
MATCH($T439, REPORTE_DROPI!B:B, 0)
),
""
),
""
)
</f>
        <v/>
      </c>
      <c r="F439" s="121">
        <v>2.0</v>
      </c>
      <c r="G439" s="122" t="str">
        <f t="array" ref="G439">IF(
UPPER(TRIM(CLEAN($O439)))="ENTREGADO",
IFERROR(
INDEX(REPORTE_DROPI!R:R,
MATCH($T439, REPORTE_DROPI!B:B, 0)
),
""
),
""
)
</f>
        <v/>
      </c>
      <c r="H439" s="118" t="s">
        <v>3727</v>
      </c>
      <c r="I439" s="118" t="s">
        <v>3801</v>
      </c>
      <c r="J439" s="121" t="str">
        <f t="array" ref="J439">IF(
UPPER(TRIM(CLEAN($O439)))="ENTREGADO",
IFERROR(
INDEX(REPORTE_DROPI!T:T,
MATCH($T439, REPORTE_DROPI!B:B, 0)
),
""
),
""
)
</f>
        <v/>
      </c>
      <c r="K439" s="118" t="str">
        <f t="array" ref="K439">IFERROR(
INDEX(REPORTE_DROPI!S:S,
MATCH($T439, REPORTE_DROPI!B:B, 0)
),
""
)
</f>
        <v/>
      </c>
      <c r="L439" s="118" t="str">
        <f>IF(
  O439&lt;&gt;"DEVOLUCION",
  "",
  IF(
    T439="",
    "",
    SUMIF(DEVOLUCION!F:F, T439, DEVOLUCION!D:D)
  )
)
</f>
        <v/>
      </c>
      <c r="M439" s="118"/>
      <c r="N439" s="130" t="s">
        <v>4580</v>
      </c>
      <c r="O439" s="118" t="str">
        <f t="array" ref="O439">IFERROR(
VLOOKUP(
TRIM(CLEAN(
INDEX(REPORTE_DROPI!K:K,
MATCH(T439, REPORTE_DROPI!B:B, 0)
))),
{
TRIM(CLEAN(MAPA_ESTADOS!A:A)) ,
MAPA_ESTADOS!B:B
},
2,
FALSE
),
"REVISAR"
)
</f>
        <v>PENDIENTE</v>
      </c>
      <c r="P439" s="118"/>
      <c r="Q439" s="122">
        <f t="shared" si="1"/>
        <v>0</v>
      </c>
      <c r="R439" s="118"/>
      <c r="S439" s="118"/>
      <c r="T439" s="118">
        <f t="array" ref="T439">IFERROR(
INDEX(REPORTE_DROPI!B:B,
MATCH(
CLEAN(TRIM(C439)),
CLEAN(TRIM(REPORTE_DROPI!E:E)),
0
)
),
""
)
</f>
        <v>4126411</v>
      </c>
      <c r="U439" s="118">
        <v>6.410558865452E12</v>
      </c>
      <c r="V439" s="78"/>
      <c r="W439" s="78"/>
      <c r="X439" s="78"/>
      <c r="Y439" s="78"/>
      <c r="Z439" s="78"/>
    </row>
    <row r="440" ht="22.5" customHeight="1">
      <c r="A440" s="118">
        <v>439.0</v>
      </c>
      <c r="B440" s="119">
        <v>46034.0</v>
      </c>
      <c r="C440" s="126" t="s">
        <v>4581</v>
      </c>
      <c r="D440" s="118" t="str">
        <f>IFERROR(__xludf.DUMMYFUNCTION("IFERROR(
  INDEX(
    FILTER(
      'NOMBRE DE PRODUCTOS'!B:B,
      REGEXMATCH(
        UPPER(
          INDEX(
            REPORTE_DROPI!AC:AC,
            MATCH(T440, REPORTE_DROPI!B:B, 0)
          )
        ),
        UPPER('NOMBRE DE PRODUCTOS'!A:A)"&amp;"
      )
    ),
    1
  ),
  ""REVISAR""
)
"),"FilmPro®")</f>
        <v>FilmPro®</v>
      </c>
      <c r="E440" s="120" t="str">
        <f t="array" ref="E440">IF(
UPPER(TRIM(CLEAN($O440)))="ENTREGADO",
IFERROR(
INDEX(REPORTE_DROPI!Y:Y,
MATCH($T440, REPORTE_DROPI!B:B, 0)
),
""
),
""
)
</f>
        <v/>
      </c>
      <c r="F440" s="121">
        <v>3.0</v>
      </c>
      <c r="G440" s="122" t="str">
        <f t="array" ref="G440">IF(
UPPER(TRIM(CLEAN($O440)))="ENTREGADO",
IFERROR(
INDEX(REPORTE_DROPI!R:R,
MATCH($T440, REPORTE_DROPI!B:B, 0)
),
""
),
""
)
</f>
        <v/>
      </c>
      <c r="H440" s="118" t="s">
        <v>3727</v>
      </c>
      <c r="I440" s="118" t="s">
        <v>3801</v>
      </c>
      <c r="J440" s="121" t="str">
        <f t="array" ref="J440">IF(
UPPER(TRIM(CLEAN($O440)))="ENTREGADO",
IFERROR(
INDEX(REPORTE_DROPI!T:T,
MATCH($T440, REPORTE_DROPI!B:B, 0)
),
""
),
""
)
</f>
        <v/>
      </c>
      <c r="K440" s="118" t="str">
        <f t="array" ref="K440">IFERROR(
INDEX(REPORTE_DROPI!S:S,
MATCH($T440, REPORTE_DROPI!B:B, 0)
),
""
)
</f>
        <v/>
      </c>
      <c r="L440" s="118" t="str">
        <f>IF(
  O440&lt;&gt;"DEVOLUCION",
  "",
  IF(
    T440="",
    "",
    SUMIF(DEVOLUCION!F:F, T440, DEVOLUCION!D:D)
  )
)
</f>
        <v/>
      </c>
      <c r="M440" s="118"/>
      <c r="N440" s="130" t="s">
        <v>4582</v>
      </c>
      <c r="O440" s="118" t="str">
        <f t="array" ref="O440">IFERROR(
VLOOKUP(
TRIM(CLEAN(
INDEX(REPORTE_DROPI!K:K,
MATCH(T440, REPORTE_DROPI!B:B, 0)
))),
{
TRIM(CLEAN(MAPA_ESTADOS!A:A)) ,
MAPA_ESTADOS!B:B
},
2,
FALSE
),
"REVISAR"
)
</f>
        <v>PENDIENTE</v>
      </c>
      <c r="P440" s="118"/>
      <c r="Q440" s="122">
        <f t="shared" si="1"/>
        <v>0</v>
      </c>
      <c r="R440" s="118"/>
      <c r="S440" s="118"/>
      <c r="T440" s="118">
        <f t="array" ref="T440">IFERROR(
INDEX(REPORTE_DROPI!B:B,
MATCH(
CLEAN(TRIM(C440)),
CLEAN(TRIM(REPORTE_DROPI!E:E)),
0
)
),
""
)
</f>
        <v>4126539</v>
      </c>
      <c r="U440" s="118">
        <v>6.410578198572E12</v>
      </c>
      <c r="V440" s="78"/>
      <c r="W440" s="78"/>
      <c r="X440" s="78"/>
      <c r="Y440" s="78"/>
      <c r="Z440" s="78"/>
    </row>
    <row r="441" ht="22.5" customHeight="1">
      <c r="A441" s="118">
        <v>440.0</v>
      </c>
      <c r="B441" s="119">
        <v>46034.0</v>
      </c>
      <c r="C441" s="118" t="s">
        <v>4583</v>
      </c>
      <c r="D441" s="118" t="str">
        <f>IFERROR(__xludf.DUMMYFUNCTION("IFERROR(
  INDEX(
    FILTER(
      'NOMBRE DE PRODUCTOS'!B:B,
      REGEXMATCH(
        UPPER(
          INDEX(
            REPORTE_DROPI!AC:AC,
            MATCH(T441, REPORTE_DROPI!B:B, 0)
          )
        ),
        UPPER('NOMBRE DE PRODUCTOS'!A:A)"&amp;"
      )
    ),
    1
  ),
  ""REVISAR""
)
"),"FilmPro®")</f>
        <v>FilmPro®</v>
      </c>
      <c r="E441" s="120">
        <f t="array" ref="E441">IF(
UPPER(TRIM(CLEAN($O441)))="ENTREGADO",
IFERROR(
INDEX(REPORTE_DROPI!Y:Y,
MATCH($T441, REPORTE_DROPI!B:B, 0)
),
""
),
""
)
</f>
        <v>7.05</v>
      </c>
      <c r="F441" s="121">
        <v>3.0</v>
      </c>
      <c r="G441" s="122">
        <f t="array" ref="G441">IF(
UPPER(TRIM(CLEAN($O441)))="ENTREGADO",
IFERROR(
INDEX(REPORTE_DROPI!R:R,
MATCH($T441, REPORTE_DROPI!B:B, 0)
),
""
),
""
)
</f>
        <v>30</v>
      </c>
      <c r="H441" s="118" t="s">
        <v>3727</v>
      </c>
      <c r="I441" s="118" t="s">
        <v>3740</v>
      </c>
      <c r="J441" s="121">
        <f t="array" ref="J441">IF(
UPPER(TRIM(CLEAN($O441)))="ENTREGADO",
IFERROR(
INDEX(REPORTE_DROPI!T:T,
MATCH($T441, REPORTE_DROPI!B:B, 0)
),
""
),
""
)
</f>
        <v>6.16</v>
      </c>
      <c r="K441" s="118">
        <f t="array" ref="K441">IFERROR(
INDEX(REPORTE_DROPI!S:S,
MATCH($T441, REPORTE_DROPI!B:B, 0)
),
""
)
</f>
        <v>16.79</v>
      </c>
      <c r="L441" s="118" t="str">
        <f>IF(
  O441&lt;&gt;"DEVOLUCION",
  "",
  IF(
    T441="",
    "",
    SUMIF(DEVOLUCION!F:F, T441, DEVOLUCION!D:D)
  )
)
</f>
        <v/>
      </c>
      <c r="M441" s="118"/>
      <c r="N441" s="130" t="s">
        <v>4584</v>
      </c>
      <c r="O441" s="118" t="str">
        <f t="array" ref="O441">IFERROR(
VLOOKUP(
TRIM(CLEAN(
INDEX(REPORTE_DROPI!K:K,
MATCH(T441, REPORTE_DROPI!B:B, 0)
))),
{
TRIM(CLEAN(MAPA_ESTADOS!A:A)) ,
MAPA_ESTADOS!B:B
},
2,
FALSE
),
"REVISAR"
)
</f>
        <v>ENTREGADO</v>
      </c>
      <c r="P441" s="118"/>
      <c r="Q441" s="122">
        <f t="shared" si="1"/>
        <v>0</v>
      </c>
      <c r="R441" s="118"/>
      <c r="S441" s="118"/>
      <c r="T441" s="118">
        <f t="array" ref="T441">IFERROR(
INDEX(REPORTE_DROPI!B:B,
MATCH(
CLEAN(TRIM(C441)),
CLEAN(TRIM(REPORTE_DROPI!E:E)),
0
)
),
""
)
</f>
        <v>4126582</v>
      </c>
      <c r="U441" s="118">
        <v>6.410586488876E12</v>
      </c>
      <c r="V441" s="78"/>
      <c r="W441" s="78"/>
      <c r="X441" s="78"/>
      <c r="Y441" s="78"/>
      <c r="Z441" s="78"/>
    </row>
    <row r="442" ht="22.5" customHeight="1">
      <c r="A442" s="118">
        <v>441.0</v>
      </c>
      <c r="B442" s="119">
        <v>46035.0</v>
      </c>
      <c r="C442" s="126" t="s">
        <v>4585</v>
      </c>
      <c r="D442" s="118" t="str">
        <f>IFERROR(__xludf.DUMMYFUNCTION("IFERROR(
  INDEX(
    FILTER(
      'NOMBRE DE PRODUCTOS'!B:B,
      REGEXMATCH(
        UPPER(
          INDEX(
            REPORTE_DROPI!AC:AC,
            MATCH(T442, REPORTE_DROPI!B:B, 0)
          )
        ),
        UPPER('NOMBRE DE PRODUCTOS'!A:A)"&amp;"
      )
    ),
    1
  ),
  ""REVISAR""
)
"),"FilmPro®")</f>
        <v>FilmPro®</v>
      </c>
      <c r="E442" s="120">
        <f t="array" ref="E442">IF(
UPPER(TRIM(CLEAN($O442)))="ENTREGADO",
IFERROR(
INDEX(REPORTE_DROPI!Y:Y,
MATCH($T442, REPORTE_DROPI!B:B, 0)
),
""
),
""
)
</f>
        <v>2.35</v>
      </c>
      <c r="F442" s="121">
        <v>2.0</v>
      </c>
      <c r="G442" s="122">
        <f t="array" ref="G442">IF(
UPPER(TRIM(CLEAN($O442)))="ENTREGADO",
IFERROR(
INDEX(REPORTE_DROPI!R:R,
MATCH($T442, REPORTE_DROPI!B:B, 0)
),
""
),
""
)
</f>
        <v>20</v>
      </c>
      <c r="H442" s="118" t="s">
        <v>3727</v>
      </c>
      <c r="I442" s="118" t="s">
        <v>3731</v>
      </c>
      <c r="J442" s="121">
        <f t="array" ref="J442">IF(
UPPER(TRIM(CLEAN($O442)))="ENTREGADO",
IFERROR(
INDEX(REPORTE_DROPI!T:T,
MATCH($T442, REPORTE_DROPI!B:B, 0)
),
""
),
""
)
</f>
        <v>4.15</v>
      </c>
      <c r="K442" s="118">
        <f t="array" ref="K442">IFERROR(
INDEX(REPORTE_DROPI!S:S,
MATCH($T442, REPORTE_DROPI!B:B, 0)
),
""
)
</f>
        <v>13.5</v>
      </c>
      <c r="L442" s="118" t="str">
        <f>IF(
  O442&lt;&gt;"DEVOLUCION",
  "",
  IF(
    T442="",
    "",
    SUMIF(DEVOLUCION!F:F, T442, DEVOLUCION!D:D)
  )
)
</f>
        <v/>
      </c>
      <c r="M442" s="118"/>
      <c r="N442" s="130" t="s">
        <v>4586</v>
      </c>
      <c r="O442" s="118" t="str">
        <f t="array" ref="O442">IFERROR(
VLOOKUP(
TRIM(CLEAN(
INDEX(REPORTE_DROPI!K:K,
MATCH(T442, REPORTE_DROPI!B:B, 0)
))),
{
TRIM(CLEAN(MAPA_ESTADOS!A:A)) ,
MAPA_ESTADOS!B:B
},
2,
FALSE
),
"REVISAR"
)
</f>
        <v>ENTREGADO</v>
      </c>
      <c r="P442" s="118"/>
      <c r="Q442" s="122">
        <f t="shared" si="1"/>
        <v>0</v>
      </c>
      <c r="R442" s="118"/>
      <c r="S442" s="118"/>
      <c r="T442" s="118">
        <f t="array" ref="T442">IFERROR(
INDEX(REPORTE_DROPI!B:B,
MATCH(
CLEAN(TRIM(C442)),
CLEAN(TRIM(REPORTE_DROPI!E:E)),
0
)
),
""
)
</f>
        <v>4633429</v>
      </c>
      <c r="U442" s="118">
        <v>6.41059232158E12</v>
      </c>
      <c r="V442" s="78"/>
      <c r="W442" s="78"/>
      <c r="X442" s="78"/>
      <c r="Y442" s="78"/>
      <c r="Z442" s="78"/>
    </row>
    <row r="443" ht="22.5" customHeight="1">
      <c r="A443" s="118">
        <v>442.0</v>
      </c>
      <c r="B443" s="119">
        <v>46035.0</v>
      </c>
      <c r="C443" s="118" t="s">
        <v>4587</v>
      </c>
      <c r="D443" s="118" t="str">
        <f>IFERROR(__xludf.DUMMYFUNCTION("IFERROR(
  INDEX(
    FILTER(
      'NOMBRE DE PRODUCTOS'!B:B,
      REGEXMATCH(
        UPPER(
          INDEX(
            REPORTE_DROPI!AC:AC,
            MATCH(T443, REPORTE_DROPI!B:B, 0)
          )
        ),
        UPPER('NOMBRE DE PRODUCTOS'!A:A)"&amp;"
      )
    ),
    1
  ),
  ""REVISAR""
)
"),"Cuchillo Tazaki™")</f>
        <v>Cuchillo Tazaki™</v>
      </c>
      <c r="E443" s="120">
        <f t="array" ref="E443">IF(
UPPER(TRIM(CLEAN($O443)))="ENTREGADO",
IFERROR(
INDEX(REPORTE_DROPI!Y:Y,
MATCH($T443, REPORTE_DROPI!B:B, 0)
),
""
),
""
)
</f>
        <v>5.2</v>
      </c>
      <c r="F443" s="121">
        <v>2.0</v>
      </c>
      <c r="G443" s="122">
        <f t="array" ref="G443">IF(
UPPER(TRIM(CLEAN($O443)))="ENTREGADO",
IFERROR(
INDEX(REPORTE_DROPI!R:R,
MATCH($T443, REPORTE_DROPI!B:B, 0)
),
""
),
""
)
</f>
        <v>22</v>
      </c>
      <c r="H443" s="118" t="s">
        <v>3727</v>
      </c>
      <c r="I443" s="118" t="s">
        <v>3801</v>
      </c>
      <c r="J443" s="121">
        <f t="array" ref="J443">IF(
UPPER(TRIM(CLEAN($O443)))="ENTREGADO",
IFERROR(
INDEX(REPORTE_DROPI!T:T,
MATCH($T443, REPORTE_DROPI!B:B, 0)
),
""
),
""
)
</f>
        <v>7.7</v>
      </c>
      <c r="K443" s="118">
        <f t="array" ref="K443">IFERROR(
INDEX(REPORTE_DROPI!S:S,
MATCH($T443, REPORTE_DROPI!B:B, 0)
),
""
)
</f>
        <v>9.1</v>
      </c>
      <c r="L443" s="118" t="str">
        <f>IF(
  O443&lt;&gt;"DEVOLUCION",
  "",
  IF(
    T443="",
    "",
    SUMIF(DEVOLUCION!F:F, T443, DEVOLUCION!D:D)
  )
)
</f>
        <v/>
      </c>
      <c r="M443" s="118"/>
      <c r="N443" s="130" t="s">
        <v>4588</v>
      </c>
      <c r="O443" s="118" t="str">
        <f t="array" ref="O443">IFERROR(
VLOOKUP(
TRIM(CLEAN(
INDEX(REPORTE_DROPI!K:K,
MATCH(T443, REPORTE_DROPI!B:B, 0)
))),
{
TRIM(CLEAN(MAPA_ESTADOS!A:A)) ,
MAPA_ESTADOS!B:B
},
2,
FALSE
),
"REVISAR"
)
</f>
        <v>ENTREGADO</v>
      </c>
      <c r="P443" s="118"/>
      <c r="Q443" s="122">
        <f t="shared" si="1"/>
        <v>0</v>
      </c>
      <c r="R443" s="118"/>
      <c r="S443" s="118"/>
      <c r="T443" s="118">
        <f t="array" ref="T443">IFERROR(
INDEX(REPORTE_DROPI!B:B,
MATCH(
CLEAN(TRIM(C443)),
CLEAN(TRIM(REPORTE_DROPI!E:E)),
0
)
),
""
)
</f>
        <v>4132012</v>
      </c>
      <c r="U443" s="118">
        <v>6.41070356894E12</v>
      </c>
      <c r="V443" s="78"/>
      <c r="W443" s="78"/>
      <c r="X443" s="78"/>
      <c r="Y443" s="78"/>
      <c r="Z443" s="78"/>
    </row>
    <row r="444" ht="22.5" customHeight="1">
      <c r="A444" s="118">
        <v>443.0</v>
      </c>
      <c r="B444" s="119">
        <v>46035.0</v>
      </c>
      <c r="C444" s="118" t="s">
        <v>4589</v>
      </c>
      <c r="D444" s="118" t="str">
        <f>IFERROR(__xludf.DUMMYFUNCTION("IFERROR(
  INDEX(
    FILTER(
      'NOMBRE DE PRODUCTOS'!B:B,
      REGEXMATCH(
        UPPER(
          INDEX(
            REPORTE_DROPI!AC:AC,
            MATCH(T444, REPORTE_DROPI!B:B, 0)
          )
        ),
        UPPER('NOMBRE DE PRODUCTOS'!A:A)"&amp;"
      )
    ),
    1
  ),
  ""REVISAR""
)
"),"FilmPro®")</f>
        <v>FilmPro®</v>
      </c>
      <c r="E444" s="120">
        <f t="array" ref="E444">IF(
UPPER(TRIM(CLEAN($O444)))="ENTREGADO",
IFERROR(
INDEX(REPORTE_DROPI!Y:Y,
MATCH($T444, REPORTE_DROPI!B:B, 0)
),
""
),
""
)
</f>
        <v>7.05</v>
      </c>
      <c r="F444" s="121">
        <v>3.0</v>
      </c>
      <c r="G444" s="122">
        <f t="array" ref="G444">IF(
UPPER(TRIM(CLEAN($O444)))="ENTREGADO",
IFERROR(
INDEX(REPORTE_DROPI!R:R,
MATCH($T444, REPORTE_DROPI!B:B, 0)
),
""
),
""
)
</f>
        <v>30</v>
      </c>
      <c r="H444" s="118" t="s">
        <v>3727</v>
      </c>
      <c r="I444" s="118" t="s">
        <v>3740</v>
      </c>
      <c r="J444" s="121">
        <f t="array" ref="J444">IF(
UPPER(TRIM(CLEAN($O444)))="ENTREGADO",
IFERROR(
INDEX(REPORTE_DROPI!T:T,
MATCH($T444, REPORTE_DROPI!B:B, 0)
),
""
),
""
)
</f>
        <v>6.16</v>
      </c>
      <c r="K444" s="118">
        <f t="array" ref="K444">IFERROR(
INDEX(REPORTE_DROPI!S:S,
MATCH($T444, REPORTE_DROPI!B:B, 0)
),
""
)
</f>
        <v>16.79</v>
      </c>
      <c r="L444" s="118" t="str">
        <f>IF(
  O444&lt;&gt;"DEVOLUCION",
  "",
  IF(
    T444="",
    "",
    SUMIF(DEVOLUCION!F:F, T444, DEVOLUCION!D:D)
  )
)
</f>
        <v/>
      </c>
      <c r="M444" s="118"/>
      <c r="N444" s="130" t="s">
        <v>4590</v>
      </c>
      <c r="O444" s="118" t="str">
        <f t="array" ref="O444">IFERROR(
VLOOKUP(
TRIM(CLEAN(
INDEX(REPORTE_DROPI!K:K,
MATCH(T444, REPORTE_DROPI!B:B, 0)
))),
{
TRIM(CLEAN(MAPA_ESTADOS!A:A)) ,
MAPA_ESTADOS!B:B
},
2,
FALSE
),
"REVISAR"
)
</f>
        <v>ENTREGADO</v>
      </c>
      <c r="P444" s="118"/>
      <c r="Q444" s="122">
        <f t="shared" si="1"/>
        <v>0</v>
      </c>
      <c r="R444" s="118"/>
      <c r="S444" s="118"/>
      <c r="T444" s="118">
        <f t="array" ref="T444">IFERROR(
INDEX(REPORTE_DROPI!B:B,
MATCH(
CLEAN(TRIM(C444)),
CLEAN(TRIM(REPORTE_DROPI!E:E)),
0
)
),
""
)
</f>
        <v>4127217</v>
      </c>
      <c r="U444" s="118">
        <v>6.410854268972E12</v>
      </c>
      <c r="V444" s="78"/>
      <c r="W444" s="78"/>
      <c r="X444" s="78"/>
      <c r="Y444" s="78"/>
      <c r="Z444" s="78"/>
    </row>
    <row r="445" ht="22.5" customHeight="1">
      <c r="A445" s="118">
        <v>444.0</v>
      </c>
      <c r="B445" s="119">
        <v>46035.0</v>
      </c>
      <c r="C445" s="118" t="s">
        <v>4591</v>
      </c>
      <c r="D445" s="118" t="str">
        <f>IFERROR(__xludf.DUMMYFUNCTION("IFERROR(
  INDEX(
    FILTER(
      'NOMBRE DE PRODUCTOS'!B:B,
      REGEXMATCH(
        UPPER(
          INDEX(
            REPORTE_DROPI!AC:AC,
            MATCH(T445, REPORTE_DROPI!B:B, 0)
          )
        ),
        UPPER('NOMBRE DE PRODUCTOS'!A:A)"&amp;"
      )
    ),
    1
  ),
  ""REVISAR""
)
"),"Cuchillo Tazaki™")</f>
        <v>Cuchillo Tazaki™</v>
      </c>
      <c r="E445" s="120">
        <f t="array" ref="E445">IF(
UPPER(TRIM(CLEAN($O445)))="ENTREGADO",
IFERROR(
INDEX(REPORTE_DROPI!Y:Y,
MATCH($T445, REPORTE_DROPI!B:B, 0)
),
""
),
""
)
</f>
        <v>5.2</v>
      </c>
      <c r="F445" s="121">
        <v>2.0</v>
      </c>
      <c r="G445" s="122">
        <f t="array" ref="G445">IF(
UPPER(TRIM(CLEAN($O445)))="ENTREGADO",
IFERROR(
INDEX(REPORTE_DROPI!R:R,
MATCH($T445, REPORTE_DROPI!B:B, 0)
),
""
),
""
)
</f>
        <v>22</v>
      </c>
      <c r="H445" s="118" t="s">
        <v>3727</v>
      </c>
      <c r="I445" s="118" t="s">
        <v>3759</v>
      </c>
      <c r="J445" s="121">
        <f t="array" ref="J445">IF(
UPPER(TRIM(CLEAN($O445)))="ENTREGADO",
IFERROR(
INDEX(REPORTE_DROPI!T:T,
MATCH($T445, REPORTE_DROPI!B:B, 0)
),
""
),
""
)
</f>
        <v>5.84</v>
      </c>
      <c r="K445" s="118">
        <f t="array" ref="K445">IFERROR(
INDEX(REPORTE_DROPI!S:S,
MATCH($T445, REPORTE_DROPI!B:B, 0)
),
""
)
</f>
        <v>10.96</v>
      </c>
      <c r="L445" s="118" t="str">
        <f>IF(
  O445&lt;&gt;"DEVOLUCION",
  "",
  IF(
    T445="",
    "",
    SUMIF(DEVOLUCION!F:F, T445, DEVOLUCION!D:D)
  )
)
</f>
        <v/>
      </c>
      <c r="M445" s="118"/>
      <c r="N445" s="130" t="s">
        <v>4592</v>
      </c>
      <c r="O445" s="118" t="str">
        <f t="array" ref="O445">IFERROR(
VLOOKUP(
TRIM(CLEAN(
INDEX(REPORTE_DROPI!K:K,
MATCH(T445, REPORTE_DROPI!B:B, 0)
))),
{
TRIM(CLEAN(MAPA_ESTADOS!A:A)) ,
MAPA_ESTADOS!B:B
},
2,
FALSE
),
"REVISAR"
)
</f>
        <v>ENTREGADO</v>
      </c>
      <c r="P445" s="118"/>
      <c r="Q445" s="122">
        <f t="shared" si="1"/>
        <v>0</v>
      </c>
      <c r="R445" s="118"/>
      <c r="S445" s="118"/>
      <c r="T445" s="118">
        <f t="array" ref="T445">IFERROR(
INDEX(REPORTE_DROPI!B:B,
MATCH(
CLEAN(TRIM(C445)),
CLEAN(TRIM(REPORTE_DROPI!E:E)),
0
)
),
""
)
</f>
        <v>4127239</v>
      </c>
      <c r="U445" s="118">
        <v>6.410865311788E12</v>
      </c>
      <c r="V445" s="78"/>
      <c r="W445" s="78"/>
      <c r="X445" s="78"/>
      <c r="Y445" s="78"/>
      <c r="Z445" s="78"/>
    </row>
    <row r="446" ht="22.5" customHeight="1">
      <c r="A446" s="118">
        <v>445.0</v>
      </c>
      <c r="B446" s="119">
        <v>46035.0</v>
      </c>
      <c r="C446" s="118" t="s">
        <v>4593</v>
      </c>
      <c r="D446" s="118" t="str">
        <f>IFERROR(__xludf.DUMMYFUNCTION("IFERROR(
  INDEX(
    FILTER(
      'NOMBRE DE PRODUCTOS'!B:B,
      REGEXMATCH(
        UPPER(
          INDEX(
            REPORTE_DROPI!AC:AC,
            MATCH(T446, REPORTE_DROPI!B:B, 0)
          )
        ),
        UPPER('NOMBRE DE PRODUCTOS'!A:A)"&amp;"
      )
    ),
    1
  ),
  ""REVISAR""
)
"),"Cuchillo Tazaki™")</f>
        <v>Cuchillo Tazaki™</v>
      </c>
      <c r="E446" s="120" t="str">
        <f t="array" ref="E446">IF(
UPPER(TRIM(CLEAN($O446)))="ENTREGADO",
IFERROR(
INDEX(REPORTE_DROPI!Y:Y,
MATCH($T446, REPORTE_DROPI!B:B, 0)
),
""
),
""
)
</f>
        <v/>
      </c>
      <c r="F446" s="121">
        <v>3.0</v>
      </c>
      <c r="G446" s="122" t="str">
        <f t="array" ref="G446">IF(
UPPER(TRIM(CLEAN($O446)))="ENTREGADO",
IFERROR(
INDEX(REPORTE_DROPI!R:R,
MATCH($T446, REPORTE_DROPI!B:B, 0)
),
""
),
""
)
</f>
        <v/>
      </c>
      <c r="H446" s="118" t="s">
        <v>3727</v>
      </c>
      <c r="I446" s="118" t="s">
        <v>3740</v>
      </c>
      <c r="J446" s="121" t="str">
        <f t="array" ref="J446">IF(
UPPER(TRIM(CLEAN($O446)))="ENTREGADO",
IFERROR(
INDEX(REPORTE_DROPI!T:T,
MATCH($T446, REPORTE_DROPI!B:B, 0)
),
""
),
""
)
</f>
        <v/>
      </c>
      <c r="K446" s="118" t="str">
        <f t="array" ref="K446">IFERROR(
INDEX(REPORTE_DROPI!S:S,
MATCH($T446, REPORTE_DROPI!B:B, 0)
),
""
)
</f>
        <v/>
      </c>
      <c r="L446" s="118">
        <f>IF(
  O446&lt;&gt;"DEVOLUCION",
  "",
  IF(
    T446="",
    "",
    SUMIF(DEVOLUCION!F:F, T446, DEVOLUCION!D:D)
  )
)
</f>
        <v>7.77</v>
      </c>
      <c r="M446" s="118"/>
      <c r="N446" s="130" t="s">
        <v>4594</v>
      </c>
      <c r="O446" s="118" t="str">
        <f t="array" ref="O446">IFERROR(
VLOOKUP(
TRIM(CLEAN(
INDEX(REPORTE_DROPI!K:K,
MATCH(T446, REPORTE_DROPI!B:B, 0)
))),
{
TRIM(CLEAN(MAPA_ESTADOS!A:A)) ,
MAPA_ESTADOS!B:B
},
2,
FALSE
),
"REVISAR"
)
</f>
        <v>DEVOLUCION</v>
      </c>
      <c r="P446" s="118"/>
      <c r="Q446" s="122">
        <f t="shared" si="1"/>
        <v>0</v>
      </c>
      <c r="R446" s="118"/>
      <c r="S446" s="118"/>
      <c r="T446" s="118">
        <f t="array" ref="T446">IFERROR(
INDEX(REPORTE_DROPI!B:B,
MATCH(
CLEAN(TRIM(C446)),
CLEAN(TRIM(REPORTE_DROPI!E:E)),
0
)
),
""
)
</f>
        <v>4127249</v>
      </c>
      <c r="U446" s="118">
        <v>6.410869014572E12</v>
      </c>
      <c r="V446" s="78"/>
      <c r="W446" s="78"/>
      <c r="X446" s="78"/>
      <c r="Y446" s="78"/>
      <c r="Z446" s="78"/>
    </row>
    <row r="447" ht="22.5" customHeight="1">
      <c r="A447" s="118">
        <v>446.0</v>
      </c>
      <c r="B447" s="119">
        <v>46035.0</v>
      </c>
      <c r="C447" s="118" t="s">
        <v>4595</v>
      </c>
      <c r="D447" s="118" t="str">
        <f>IFERROR(__xludf.DUMMYFUNCTION("IFERROR(
  INDEX(
    FILTER(
      'NOMBRE DE PRODUCTOS'!B:B,
      REGEXMATCH(
        UPPER(
          INDEX(
            REPORTE_DROPI!AC:AC,
            MATCH(T447, REPORTE_DROPI!B:B, 0)
          )
        ),
        UPPER('NOMBRE DE PRODUCTOS'!A:A)"&amp;"
      )
    ),
    1
  ),
  ""REVISAR""
)
"),"FilmPro®")</f>
        <v>FilmPro®</v>
      </c>
      <c r="E447" s="120" t="str">
        <f t="array" ref="E447">IF(
UPPER(TRIM(CLEAN($O447)))="ENTREGADO",
IFERROR(
INDEX(REPORTE_DROPI!Y:Y,
MATCH($T447, REPORTE_DROPI!B:B, 0)
),
""
),
""
)
</f>
        <v/>
      </c>
      <c r="F447" s="121">
        <v>1.0</v>
      </c>
      <c r="G447" s="122" t="str">
        <f t="array" ref="G447">IF(
UPPER(TRIM(CLEAN($O447)))="ENTREGADO",
IFERROR(
INDEX(REPORTE_DROPI!R:R,
MATCH($T447, REPORTE_DROPI!B:B, 0)
),
""
),
""
)
</f>
        <v/>
      </c>
      <c r="H447" s="118" t="s">
        <v>3727</v>
      </c>
      <c r="I447" s="118" t="s">
        <v>3731</v>
      </c>
      <c r="J447" s="121" t="str">
        <f t="array" ref="J447">IF(
UPPER(TRIM(CLEAN($O447)))="ENTREGADO",
IFERROR(
INDEX(REPORTE_DROPI!T:T,
MATCH($T447, REPORTE_DROPI!B:B, 0)
),
""
),
""
)
</f>
        <v/>
      </c>
      <c r="K447" s="118" t="str">
        <f t="array" ref="K447">IFERROR(
INDEX(REPORTE_DROPI!S:S,
MATCH($T447, REPORTE_DROPI!B:B, 0)
),
""
)
</f>
        <v/>
      </c>
      <c r="L447" s="118">
        <f>IF(
  O447&lt;&gt;"DEVOLUCION",
  "",
  IF(
    T447="",
    "",
    SUMIF(DEVOLUCION!F:F, T447, DEVOLUCION!D:D)
  )
)
</f>
        <v>3.45</v>
      </c>
      <c r="M447" s="118"/>
      <c r="N447" s="130" t="s">
        <v>4596</v>
      </c>
      <c r="O447" s="118" t="str">
        <f t="array" ref="O447">IFERROR(
VLOOKUP(
TRIM(CLEAN(
INDEX(REPORTE_DROPI!K:K,
MATCH(T447, REPORTE_DROPI!B:B, 0)
))),
{
TRIM(CLEAN(MAPA_ESTADOS!A:A)) ,
MAPA_ESTADOS!B:B
},
2,
FALSE
),
"REVISAR"
)
</f>
        <v>DEVOLUCION</v>
      </c>
      <c r="P447" s="118" t="s">
        <v>3955</v>
      </c>
      <c r="Q447" s="122">
        <f t="shared" si="1"/>
        <v>0</v>
      </c>
      <c r="R447" s="118"/>
      <c r="S447" s="118"/>
      <c r="T447" s="118">
        <f t="array" ref="T447">IFERROR(
INDEX(REPORTE_DROPI!B:B,
MATCH(
CLEAN(TRIM(C447)),
CLEAN(TRIM(REPORTE_DROPI!E:E)),
0
)
),
""
)
</f>
        <v>4127461</v>
      </c>
      <c r="U447" s="118">
        <v>6.410915020844E12</v>
      </c>
      <c r="V447" s="78"/>
      <c r="W447" s="78"/>
      <c r="X447" s="78"/>
      <c r="Y447" s="78"/>
      <c r="Z447" s="78"/>
    </row>
    <row r="448" ht="22.5" customHeight="1">
      <c r="A448" s="118">
        <v>447.0</v>
      </c>
      <c r="B448" s="119">
        <v>46035.0</v>
      </c>
      <c r="C448" s="126" t="s">
        <v>4597</v>
      </c>
      <c r="D448" s="118" t="str">
        <f>IFERROR(__xludf.DUMMYFUNCTION("IFERROR(
  INDEX(
    FILTER(
      'NOMBRE DE PRODUCTOS'!B:B,
      REGEXMATCH(
        UPPER(
          INDEX(
            REPORTE_DROPI!AC:AC,
            MATCH(T448, REPORTE_DROPI!B:B, 0)
          )
        ),
        UPPER('NOMBRE DE PRODUCTOS'!A:A)"&amp;"
      )
    ),
    1
  ),
  ""REVISAR""
)
"),"FilmPro®")</f>
        <v>FilmPro®</v>
      </c>
      <c r="E448" s="120" t="str">
        <f t="array" ref="E448">IF(
UPPER(TRIM(CLEAN($O448)))="ENTREGADO",
IFERROR(
INDEX(REPORTE_DROPI!Y:Y,
MATCH($T448, REPORTE_DROPI!B:B, 0)
),
""
),
""
)
</f>
        <v/>
      </c>
      <c r="F448" s="121">
        <v>1.0</v>
      </c>
      <c r="G448" s="122" t="str">
        <f t="array" ref="G448">IF(
UPPER(TRIM(CLEAN($O448)))="ENTREGADO",
IFERROR(
INDEX(REPORTE_DROPI!R:R,
MATCH($T448, REPORTE_DROPI!B:B, 0)
),
""
),
""
)
</f>
        <v/>
      </c>
      <c r="H448" s="118" t="s">
        <v>3727</v>
      </c>
      <c r="I448" s="118" t="s">
        <v>3740</v>
      </c>
      <c r="J448" s="121" t="str">
        <f t="array" ref="J448">IF(
UPPER(TRIM(CLEAN($O448)))="ENTREGADO",
IFERROR(
INDEX(REPORTE_DROPI!T:T,
MATCH($T448, REPORTE_DROPI!B:B, 0)
),
""
),
""
)
</f>
        <v/>
      </c>
      <c r="K448" s="118" t="str">
        <f t="array" ref="K448">IFERROR(
INDEX(REPORTE_DROPI!S:S,
MATCH($T448, REPORTE_DROPI!B:B, 0)
),
""
)
</f>
        <v/>
      </c>
      <c r="L448" s="118" t="str">
        <f>IF(
  O448&lt;&gt;"DEVOLUCION",
  "",
  IF(
    T448="",
    "",
    SUMIF(DEVOLUCION!F:F, T448, DEVOLUCION!D:D)
  )
)
</f>
        <v/>
      </c>
      <c r="M448" s="118"/>
      <c r="N448" s="130" t="s">
        <v>4598</v>
      </c>
      <c r="O448" s="118" t="str">
        <f t="array" ref="O448">IFERROR(
VLOOKUP(
TRIM(CLEAN(
INDEX(REPORTE_DROPI!K:K,
MATCH(T448, REPORTE_DROPI!B:B, 0)
))),
{
TRIM(CLEAN(MAPA_ESTADOS!A:A)) ,
MAPA_ESTADOS!B:B
},
2,
FALSE
),
"REVISAR"
)
</f>
        <v>PENDIENTE</v>
      </c>
      <c r="P448" s="118"/>
      <c r="Q448" s="122">
        <f t="shared" si="1"/>
        <v>0</v>
      </c>
      <c r="R448" s="118"/>
      <c r="S448" s="118"/>
      <c r="T448" s="118">
        <f t="array" ref="T448">IFERROR(
INDEX(REPORTE_DROPI!B:B,
MATCH(
CLEAN(TRIM(C448)),
CLEAN(TRIM(REPORTE_DROPI!E:E)),
0
)
),
""
)
</f>
        <v>4127646</v>
      </c>
      <c r="U448" s="118">
        <v>6.410940186668E12</v>
      </c>
      <c r="V448" s="78"/>
      <c r="W448" s="78"/>
      <c r="X448" s="78"/>
      <c r="Y448" s="78"/>
      <c r="Z448" s="78"/>
    </row>
    <row r="449" ht="22.5" customHeight="1">
      <c r="A449" s="118">
        <v>448.0</v>
      </c>
      <c r="B449" s="119">
        <v>46035.0</v>
      </c>
      <c r="C449" s="118" t="s">
        <v>4599</v>
      </c>
      <c r="D449" s="118" t="str">
        <f>IFERROR(__xludf.DUMMYFUNCTION("IFERROR(
  INDEX(
    FILTER(
      'NOMBRE DE PRODUCTOS'!B:B,
      REGEXMATCH(
        UPPER(
          INDEX(
            REPORTE_DROPI!AC:AC,
            MATCH(T449, REPORTE_DROPI!B:B, 0)
          )
        ),
        UPPER('NOMBRE DE PRODUCTOS'!A:A)"&amp;"
      )
    ),
    1
  ),
  ""REVISAR""
)
"),"Cuchillo Tazaki™")</f>
        <v>Cuchillo Tazaki™</v>
      </c>
      <c r="E449" s="120">
        <f t="array" ref="E449">IF(
UPPER(TRIM(CLEAN($O449)))="ENTREGADO",
IFERROR(
INDEX(REPORTE_DROPI!Y:Y,
MATCH($T449, REPORTE_DROPI!B:B, 0)
),
""
),
""
)
</f>
        <v>5.2</v>
      </c>
      <c r="F449" s="121">
        <v>2.0</v>
      </c>
      <c r="G449" s="122">
        <f t="array" ref="G449">IF(
UPPER(TRIM(CLEAN($O449)))="ENTREGADO",
IFERROR(
INDEX(REPORTE_DROPI!R:R,
MATCH($T449, REPORTE_DROPI!B:B, 0)
),
""
),
""
)
</f>
        <v>22</v>
      </c>
      <c r="H449" s="118" t="s">
        <v>3727</v>
      </c>
      <c r="I449" s="118" t="s">
        <v>3742</v>
      </c>
      <c r="J449" s="121">
        <f t="array" ref="J449">IF(
UPPER(TRIM(CLEAN($O449)))="ENTREGADO",
IFERROR(
INDEX(REPORTE_DROPI!T:T,
MATCH($T449, REPORTE_DROPI!B:B, 0)
),
""
),
""
)
</f>
        <v>5.84</v>
      </c>
      <c r="K449" s="118">
        <f t="array" ref="K449">IFERROR(
INDEX(REPORTE_DROPI!S:S,
MATCH($T449, REPORTE_DROPI!B:B, 0)
),
""
)
</f>
        <v>10.96</v>
      </c>
      <c r="L449" s="118" t="str">
        <f>IF(
  O449&lt;&gt;"DEVOLUCION",
  "",
  IF(
    T449="",
    "",
    SUMIF(DEVOLUCION!F:F, T449, DEVOLUCION!D:D)
  )
)
</f>
        <v/>
      </c>
      <c r="M449" s="118"/>
      <c r="N449" s="130" t="s">
        <v>4600</v>
      </c>
      <c r="O449" s="118" t="str">
        <f t="array" ref="O449">IFERROR(
VLOOKUP(
TRIM(CLEAN(
INDEX(REPORTE_DROPI!K:K,
MATCH(T449, REPORTE_DROPI!B:B, 0)
))),
{
TRIM(CLEAN(MAPA_ESTADOS!A:A)) ,
MAPA_ESTADOS!B:B
},
2,
FALSE
),
"REVISAR"
)
</f>
        <v>ENTREGADO</v>
      </c>
      <c r="P449" s="118"/>
      <c r="Q449" s="122">
        <f t="shared" si="1"/>
        <v>0</v>
      </c>
      <c r="R449" s="118"/>
      <c r="S449" s="118"/>
      <c r="T449" s="118">
        <f t="array" ref="T449">IFERROR(
INDEX(REPORTE_DROPI!B:B,
MATCH(
CLEAN(TRIM(C449)),
CLEAN(TRIM(REPORTE_DROPI!E:E)),
0
)
),
""
)
</f>
        <v>4127740</v>
      </c>
      <c r="U449" s="118">
        <v>6.410951163948E12</v>
      </c>
      <c r="V449" s="78"/>
      <c r="W449" s="78"/>
      <c r="X449" s="78"/>
      <c r="Y449" s="78"/>
      <c r="Z449" s="78"/>
    </row>
    <row r="450" ht="22.5" customHeight="1">
      <c r="A450" s="118">
        <v>449.0</v>
      </c>
      <c r="B450" s="119">
        <v>46035.0</v>
      </c>
      <c r="C450" s="126" t="s">
        <v>4601</v>
      </c>
      <c r="D450" s="118" t="str">
        <f>IFERROR(__xludf.DUMMYFUNCTION("IFERROR(
  INDEX(
    FILTER(
      'NOMBRE DE PRODUCTOS'!B:B,
      REGEXMATCH(
        UPPER(
          INDEX(
            REPORTE_DROPI!AC:AC,
            MATCH(T450, REPORTE_DROPI!B:B, 0)
          )
        ),
        UPPER('NOMBRE DE PRODUCTOS'!A:A)"&amp;"
      )
    ),
    1
  ),
  ""REVISAR""
)
"),"FilmPro®")</f>
        <v>FilmPro®</v>
      </c>
      <c r="E450" s="120" t="str">
        <f t="array" ref="E450">IF(
UPPER(TRIM(CLEAN($O450)))="ENTREGADO",
IFERROR(
INDEX(REPORTE_DROPI!Y:Y,
MATCH($T450, REPORTE_DROPI!B:B, 0)
),
""
),
""
)
</f>
        <v/>
      </c>
      <c r="F450" s="121">
        <v>1.0</v>
      </c>
      <c r="G450" s="122" t="str">
        <f t="array" ref="G450">IF(
UPPER(TRIM(CLEAN($O450)))="ENTREGADO",
IFERROR(
INDEX(REPORTE_DROPI!R:R,
MATCH($T450, REPORTE_DROPI!B:B, 0)
),
""
),
""
)
</f>
        <v/>
      </c>
      <c r="H450" s="118" t="s">
        <v>3727</v>
      </c>
      <c r="I450" s="118" t="s">
        <v>3740</v>
      </c>
      <c r="J450" s="121" t="str">
        <f t="array" ref="J450">IF(
UPPER(TRIM(CLEAN($O450)))="ENTREGADO",
IFERROR(
INDEX(REPORTE_DROPI!T:T,
MATCH($T450, REPORTE_DROPI!B:B, 0)
),
""
),
""
)
</f>
        <v/>
      </c>
      <c r="K450" s="118" t="str">
        <f t="array" ref="K450">IFERROR(
INDEX(REPORTE_DROPI!S:S,
MATCH($T450, REPORTE_DROPI!B:B, 0)
),
""
)
</f>
        <v/>
      </c>
      <c r="L450" s="118" t="str">
        <f>IF(
  O450&lt;&gt;"DEVOLUCION",
  "",
  IF(
    T450="",
    "",
    SUMIF(DEVOLUCION!F:F, T450, DEVOLUCION!D:D)
  )
)
</f>
        <v/>
      </c>
      <c r="M450" s="118"/>
      <c r="N450" s="130" t="s">
        <v>4602</v>
      </c>
      <c r="O450" s="118" t="str">
        <f t="array" ref="O450">IFERROR(
VLOOKUP(
TRIM(CLEAN(
INDEX(REPORTE_DROPI!K:K,
MATCH(T450, REPORTE_DROPI!B:B, 0)
))),
{
TRIM(CLEAN(MAPA_ESTADOS!A:A)) ,
MAPA_ESTADOS!B:B
},
2,
FALSE
),
"REVISAR"
)
</f>
        <v>PENDIENTE</v>
      </c>
      <c r="P450" s="118"/>
      <c r="Q450" s="122">
        <f t="shared" si="1"/>
        <v>0</v>
      </c>
      <c r="R450" s="118"/>
      <c r="S450" s="118"/>
      <c r="T450" s="118">
        <f t="array" ref="T450">IFERROR(
INDEX(REPORTE_DROPI!B:B,
MATCH(
CLEAN(TRIM(C450)),
CLEAN(TRIM(REPORTE_DROPI!E:E)),
0
)
),
""
)
</f>
        <v>4127769</v>
      </c>
      <c r="U450" s="118">
        <v>6.4109557187E12</v>
      </c>
      <c r="V450" s="78"/>
      <c r="W450" s="78"/>
      <c r="X450" s="78"/>
      <c r="Y450" s="78"/>
      <c r="Z450" s="78"/>
    </row>
    <row r="451" ht="22.5" customHeight="1">
      <c r="A451" s="118">
        <v>450.0</v>
      </c>
      <c r="B451" s="119">
        <v>46035.0</v>
      </c>
      <c r="C451" s="118" t="s">
        <v>4603</v>
      </c>
      <c r="D451" s="118" t="str">
        <f>IFERROR(__xludf.DUMMYFUNCTION("IFERROR(
  INDEX(
    FILTER(
      'NOMBRE DE PRODUCTOS'!B:B,
      REGEXMATCH(
        UPPER(
          INDEX(
            REPORTE_DROPI!AC:AC,
            MATCH(T451, REPORTE_DROPI!B:B, 0)
          )
        ),
        UPPER('NOMBRE DE PRODUCTOS'!A:A)"&amp;"
      )
    ),
    1
  ),
  ""REVISAR""
)
"),"FilmPro®")</f>
        <v>FilmPro®</v>
      </c>
      <c r="E451" s="120" t="str">
        <f t="array" ref="E451">IF(
UPPER(TRIM(CLEAN($O451)))="ENTREGADO",
IFERROR(
INDEX(REPORTE_DROPI!Y:Y,
MATCH($T451, REPORTE_DROPI!B:B, 0)
),
""
),
""
)
</f>
        <v/>
      </c>
      <c r="F451" s="121">
        <v>3.0</v>
      </c>
      <c r="G451" s="122" t="str">
        <f t="array" ref="G451">IF(
UPPER(TRIM(CLEAN($O451)))="ENTREGADO",
IFERROR(
INDEX(REPORTE_DROPI!R:R,
MATCH($T451, REPORTE_DROPI!B:B, 0)
),
""
),
""
)
</f>
        <v/>
      </c>
      <c r="H451" s="118" t="s">
        <v>3727</v>
      </c>
      <c r="I451" s="118" t="s">
        <v>3864</v>
      </c>
      <c r="J451" s="121" t="str">
        <f t="array" ref="J451">IF(
UPPER(TRIM(CLEAN($O451)))="ENTREGADO",
IFERROR(
INDEX(REPORTE_DROPI!T:T,
MATCH($T451, REPORTE_DROPI!B:B, 0)
),
""
),
""
)
</f>
        <v/>
      </c>
      <c r="K451" s="118" t="str">
        <f t="array" ref="K451">IFERROR(
INDEX(REPORTE_DROPI!S:S,
MATCH($T451, REPORTE_DROPI!B:B, 0)
),
""
)
</f>
        <v/>
      </c>
      <c r="L451" s="118">
        <f>IF(
  O451&lt;&gt;"DEVOLUCION",
  "",
  IF(
    T451="",
    "",
    SUMIF(DEVOLUCION!F:F, T451, DEVOLUCION!D:D)
  )
)
</f>
        <v>5.12</v>
      </c>
      <c r="M451" s="118"/>
      <c r="N451" s="130" t="s">
        <v>4604</v>
      </c>
      <c r="O451" s="118" t="str">
        <f t="array" ref="O451">IFERROR(
VLOOKUP(
TRIM(CLEAN(
INDEX(REPORTE_DROPI!K:K,
MATCH(T451, REPORTE_DROPI!B:B, 0)
))),
{
TRIM(CLEAN(MAPA_ESTADOS!A:A)) ,
MAPA_ESTADOS!B:B
},
2,
FALSE
),
"REVISAR"
)
</f>
        <v>DEVOLUCION</v>
      </c>
      <c r="P451" s="118"/>
      <c r="Q451" s="122">
        <f t="shared" si="1"/>
        <v>0</v>
      </c>
      <c r="R451" s="118"/>
      <c r="S451" s="118"/>
      <c r="T451" s="118">
        <f t="array" ref="T451">IFERROR(
INDEX(REPORTE_DROPI!B:B,
MATCH(
CLEAN(TRIM(C451)),
CLEAN(TRIM(REPORTE_DROPI!E:E)),
0
)
),
""
)
</f>
        <v>4127847</v>
      </c>
      <c r="U451" s="118">
        <v>6.410969055276E12</v>
      </c>
      <c r="V451" s="78"/>
      <c r="W451" s="78"/>
      <c r="X451" s="78"/>
      <c r="Y451" s="78"/>
      <c r="Z451" s="78"/>
    </row>
    <row r="452" ht="22.5" customHeight="1">
      <c r="A452" s="118">
        <v>451.0</v>
      </c>
      <c r="B452" s="119">
        <v>46035.0</v>
      </c>
      <c r="C452" s="118" t="s">
        <v>4605</v>
      </c>
      <c r="D452" s="118" t="str">
        <f>IFERROR(__xludf.DUMMYFUNCTION("IFERROR(
  INDEX(
    FILTER(
      'NOMBRE DE PRODUCTOS'!B:B,
      REGEXMATCH(
        UPPER(
          INDEX(
            REPORTE_DROPI!AC:AC,
            MATCH(T452, REPORTE_DROPI!B:B, 0)
          )
        ),
        UPPER('NOMBRE DE PRODUCTOS'!A:A)"&amp;"
      )
    ),
    1
  ),
  ""REVISAR""
)
"),"Cuchillo Tazaki™")</f>
        <v>Cuchillo Tazaki™</v>
      </c>
      <c r="E452" s="120">
        <f t="array" ref="E452">IF(
UPPER(TRIM(CLEAN($O452)))="ENTREGADO",
IFERROR(
INDEX(REPORTE_DROPI!Y:Y,
MATCH($T452, REPORTE_DROPI!B:B, 0)
),
""
),
""
)
</f>
        <v>5.2</v>
      </c>
      <c r="F452" s="121">
        <v>2.0</v>
      </c>
      <c r="G452" s="122">
        <f t="array" ref="G452">IF(
UPPER(TRIM(CLEAN($O452)))="ENTREGADO",
IFERROR(
INDEX(REPORTE_DROPI!R:R,
MATCH($T452, REPORTE_DROPI!B:B, 0)
),
""
),
""
)
</f>
        <v>22</v>
      </c>
      <c r="H452" s="118" t="s">
        <v>3727</v>
      </c>
      <c r="I452" s="118" t="s">
        <v>3778</v>
      </c>
      <c r="J452" s="121">
        <f t="array" ref="J452">IF(
UPPER(TRIM(CLEAN($O452)))="ENTREGADO",
IFERROR(
INDEX(REPORTE_DROPI!T:T,
MATCH($T452, REPORTE_DROPI!B:B, 0)
),
""
),
""
)
</f>
        <v>7.7</v>
      </c>
      <c r="K452" s="118">
        <f t="array" ref="K452">IFERROR(
INDEX(REPORTE_DROPI!S:S,
MATCH($T452, REPORTE_DROPI!B:B, 0)
),
""
)
</f>
        <v>9.1</v>
      </c>
      <c r="L452" s="118" t="str">
        <f>IF(
  O452&lt;&gt;"DEVOLUCION",
  "",
  IF(
    T452="",
    "",
    SUMIF(DEVOLUCION!F:F, T452, DEVOLUCION!D:D)
  )
)
</f>
        <v/>
      </c>
      <c r="M452" s="118"/>
      <c r="N452" s="130" t="s">
        <v>4606</v>
      </c>
      <c r="O452" s="118" t="str">
        <f t="array" ref="O452">IFERROR(
VLOOKUP(
TRIM(CLEAN(
INDEX(REPORTE_DROPI!K:K,
MATCH(T452, REPORTE_DROPI!B:B, 0)
))),
{
TRIM(CLEAN(MAPA_ESTADOS!A:A)) ,
MAPA_ESTADOS!B:B
},
2,
FALSE
),
"REVISAR"
)
</f>
        <v>ENTREGADO</v>
      </c>
      <c r="P452" s="118"/>
      <c r="Q452" s="122">
        <f t="shared" si="1"/>
        <v>0</v>
      </c>
      <c r="R452" s="118"/>
      <c r="S452" s="118"/>
      <c r="T452" s="118">
        <f t="array" ref="T452">IFERROR(
INDEX(REPORTE_DROPI!B:B,
MATCH(
CLEAN(TRIM(C452)),
CLEAN(TRIM(REPORTE_DROPI!E:E)),
0
)
),
""
)
</f>
        <v>4132318</v>
      </c>
      <c r="U452" s="118">
        <v>6.4109729219E12</v>
      </c>
      <c r="V452" s="78"/>
      <c r="W452" s="78"/>
      <c r="X452" s="78"/>
      <c r="Y452" s="78"/>
      <c r="Z452" s="78"/>
    </row>
    <row r="453" ht="22.5" customHeight="1">
      <c r="A453" s="118">
        <v>452.0</v>
      </c>
      <c r="B453" s="119">
        <v>46035.0</v>
      </c>
      <c r="C453" s="118" t="s">
        <v>4607</v>
      </c>
      <c r="D453" s="118" t="str">
        <f>IFERROR(__xludf.DUMMYFUNCTION("IFERROR(
  INDEX(
    FILTER(
      'NOMBRE DE PRODUCTOS'!B:B,
      REGEXMATCH(
        UPPER(
          INDEX(
            REPORTE_DROPI!AC:AC,
            MATCH(T453, REPORTE_DROPI!B:B, 0)
          )
        ),
        UPPER('NOMBRE DE PRODUCTOS'!A:A)"&amp;"
      )
    ),
    1
  ),
  ""REVISAR""
)
"),"Cuchillo Tazaki™")</f>
        <v>Cuchillo Tazaki™</v>
      </c>
      <c r="E453" s="120">
        <f t="array" ref="E453">IF(
UPPER(TRIM(CLEAN($O453)))="ENTREGADO",
IFERROR(
INDEX(REPORTE_DROPI!Y:Y,
MATCH($T453, REPORTE_DROPI!B:B, 0)
),
""
),
""
)
</f>
        <v>5.2</v>
      </c>
      <c r="F453" s="121">
        <v>2.0</v>
      </c>
      <c r="G453" s="122">
        <f t="array" ref="G453">IF(
UPPER(TRIM(CLEAN($O453)))="ENTREGADO",
IFERROR(
INDEX(REPORTE_DROPI!R:R,
MATCH($T453, REPORTE_DROPI!B:B, 0)
),
""
),
""
)
</f>
        <v>22</v>
      </c>
      <c r="H453" s="118" t="s">
        <v>3727</v>
      </c>
      <c r="I453" s="118" t="s">
        <v>3728</v>
      </c>
      <c r="J453" s="121">
        <f t="array" ref="J453">IF(
UPPER(TRIM(CLEAN($O453)))="ENTREGADO",
IFERROR(
INDEX(REPORTE_DROPI!T:T,
MATCH($T453, REPORTE_DROPI!B:B, 0)
),
""
),
""
)
</f>
        <v>5.84</v>
      </c>
      <c r="K453" s="118">
        <f t="array" ref="K453">IFERROR(
INDEX(REPORTE_DROPI!S:S,
MATCH($T453, REPORTE_DROPI!B:B, 0)
),
""
)
</f>
        <v>10.96</v>
      </c>
      <c r="L453" s="118" t="str">
        <f>IF(
  O453&lt;&gt;"DEVOLUCION",
  "",
  IF(
    T453="",
    "",
    SUMIF(DEVOLUCION!F:F, T453, DEVOLUCION!D:D)
  )
)
</f>
        <v/>
      </c>
      <c r="M453" s="118"/>
      <c r="N453" s="130" t="s">
        <v>4608</v>
      </c>
      <c r="O453" s="118" t="str">
        <f t="array" ref="O453">IFERROR(
VLOOKUP(
TRIM(CLEAN(
INDEX(REPORTE_DROPI!K:K,
MATCH(T453, REPORTE_DROPI!B:B, 0)
))),
{
TRIM(CLEAN(MAPA_ESTADOS!A:A)) ,
MAPA_ESTADOS!B:B
},
2,
FALSE
),
"REVISAR"
)
</f>
        <v>ENTREGADO</v>
      </c>
      <c r="P453" s="118"/>
      <c r="Q453" s="122">
        <f t="shared" si="1"/>
        <v>0</v>
      </c>
      <c r="R453" s="118"/>
      <c r="S453" s="118"/>
      <c r="T453" s="118">
        <f t="array" ref="T453">IFERROR(
INDEX(REPORTE_DROPI!B:B,
MATCH(
CLEAN(TRIM(C453)),
CLEAN(TRIM(REPORTE_DROPI!E:E)),
0
)
),
""
)
</f>
        <v>4128050</v>
      </c>
      <c r="U453" s="118">
        <v>6.410991960108E12</v>
      </c>
      <c r="V453" s="78"/>
      <c r="W453" s="78"/>
      <c r="X453" s="78"/>
      <c r="Y453" s="78"/>
      <c r="Z453" s="78"/>
    </row>
    <row r="454" ht="22.5" customHeight="1">
      <c r="A454" s="118">
        <v>453.0</v>
      </c>
      <c r="B454" s="119">
        <v>46035.0</v>
      </c>
      <c r="C454" s="118" t="s">
        <v>4609</v>
      </c>
      <c r="D454" s="118" t="str">
        <f>IFERROR(__xludf.DUMMYFUNCTION("IFERROR(
  INDEX(
    FILTER(
      'NOMBRE DE PRODUCTOS'!B:B,
      REGEXMATCH(
        UPPER(
          INDEX(
            REPORTE_DROPI!AC:AC,
            MATCH(T454, REPORTE_DROPI!B:B, 0)
          )
        ),
        UPPER('NOMBRE DE PRODUCTOS'!A:A)"&amp;"
      )
    ),
    1
  ),
  ""REVISAR""
)
"),"Cuchillo Tazaki™")</f>
        <v>Cuchillo Tazaki™</v>
      </c>
      <c r="E454" s="120">
        <f t="array" ref="E454">IF(
UPPER(TRIM(CLEAN($O454)))="ENTREGADO",
IFERROR(
INDEX(REPORTE_DROPI!Y:Y,
MATCH($T454, REPORTE_DROPI!B:B, 0)
),
""
),
""
)
</f>
        <v>5.2</v>
      </c>
      <c r="F454" s="121">
        <v>2.0</v>
      </c>
      <c r="G454" s="122">
        <f t="array" ref="G454">IF(
UPPER(TRIM(CLEAN($O454)))="ENTREGADO",
IFERROR(
INDEX(REPORTE_DROPI!R:R,
MATCH($T454, REPORTE_DROPI!B:B, 0)
),
""
),
""
)
</f>
        <v>22</v>
      </c>
      <c r="H454" s="118" t="s">
        <v>3727</v>
      </c>
      <c r="I454" s="118" t="s">
        <v>3770</v>
      </c>
      <c r="J454" s="121">
        <f t="array" ref="J454">IF(
UPPER(TRIM(CLEAN($O454)))="ENTREGADO",
IFERROR(
INDEX(REPORTE_DROPI!T:T,
MATCH($T454, REPORTE_DROPI!B:B, 0)
),
""
),
""
)
</f>
        <v>7.7</v>
      </c>
      <c r="K454" s="118">
        <f t="array" ref="K454">IFERROR(
INDEX(REPORTE_DROPI!S:S,
MATCH($T454, REPORTE_DROPI!B:B, 0)
),
""
)
</f>
        <v>9.1</v>
      </c>
      <c r="L454" s="118" t="str">
        <f>IF(
  O454&lt;&gt;"DEVOLUCION",
  "",
  IF(
    T454="",
    "",
    SUMIF(DEVOLUCION!F:F, T454, DEVOLUCION!D:D)
  )
)
</f>
        <v/>
      </c>
      <c r="M454" s="118"/>
      <c r="N454" s="130" t="s">
        <v>4610</v>
      </c>
      <c r="O454" s="118" t="str">
        <f t="array" ref="O454">IFERROR(
VLOOKUP(
TRIM(CLEAN(
INDEX(REPORTE_DROPI!K:K,
MATCH(T454, REPORTE_DROPI!B:B, 0)
))),
{
TRIM(CLEAN(MAPA_ESTADOS!A:A)) ,
MAPA_ESTADOS!B:B
},
2,
FALSE
),
"REVISAR"
)
</f>
        <v>ENTREGADO</v>
      </c>
      <c r="P454" s="118"/>
      <c r="Q454" s="122">
        <f t="shared" si="1"/>
        <v>0</v>
      </c>
      <c r="R454" s="118"/>
      <c r="S454" s="118"/>
      <c r="T454" s="118">
        <f t="array" ref="T454">IFERROR(
INDEX(REPORTE_DROPI!B:B,
MATCH(
CLEAN(TRIM(C454)),
CLEAN(TRIM(REPORTE_DROPI!E:E)),
0
)
),
""
)
</f>
        <v>4128187</v>
      </c>
      <c r="U454" s="118">
        <v>6.411004772396E12</v>
      </c>
      <c r="V454" s="78"/>
      <c r="W454" s="78"/>
      <c r="X454" s="78"/>
      <c r="Y454" s="78"/>
      <c r="Z454" s="78"/>
    </row>
    <row r="455" ht="22.5" customHeight="1">
      <c r="A455" s="118">
        <v>454.0</v>
      </c>
      <c r="B455" s="119">
        <v>46035.0</v>
      </c>
      <c r="C455" s="118" t="s">
        <v>4611</v>
      </c>
      <c r="D455" s="118" t="str">
        <f>IFERROR(__xludf.DUMMYFUNCTION("IFERROR(
  INDEX(
    FILTER(
      'NOMBRE DE PRODUCTOS'!B:B,
      REGEXMATCH(
        UPPER(
          INDEX(
            REPORTE_DROPI!AC:AC,
            MATCH(T455, REPORTE_DROPI!B:B, 0)
          )
        ),
        UPPER('NOMBRE DE PRODUCTOS'!A:A)"&amp;"
      )
    ),
    1
  ),
  ""REVISAR""
)
"),"FilmPro®")</f>
        <v>FilmPro®</v>
      </c>
      <c r="E455" s="120">
        <f t="array" ref="E455">IF(
UPPER(TRIM(CLEAN($O455)))="ENTREGADO",
IFERROR(
INDEX(REPORTE_DROPI!Y:Y,
MATCH($T455, REPORTE_DROPI!B:B, 0)
),
""
),
""
)
</f>
        <v>2.35</v>
      </c>
      <c r="F455" s="121">
        <v>1.0</v>
      </c>
      <c r="G455" s="122">
        <f t="array" ref="G455">IF(
UPPER(TRIM(CLEAN($O455)))="ENTREGADO",
IFERROR(
INDEX(REPORTE_DROPI!R:R,
MATCH($T455, REPORTE_DROPI!B:B, 0)
),
""
),
""
)
</f>
        <v>20</v>
      </c>
      <c r="H455" s="118" t="s">
        <v>3727</v>
      </c>
      <c r="I455" s="118" t="s">
        <v>3801</v>
      </c>
      <c r="J455" s="121">
        <f t="array" ref="J455">IF(
UPPER(TRIM(CLEAN($O455)))="ENTREGADO",
IFERROR(
INDEX(REPORTE_DROPI!T:T,
MATCH($T455, REPORTE_DROPI!B:B, 0)
),
""
),
""
)
</f>
        <v>7.67</v>
      </c>
      <c r="K455" s="118">
        <f t="array" ref="K455">IFERROR(
INDEX(REPORTE_DROPI!S:S,
MATCH($T455, REPORTE_DROPI!B:B, 0)
),
""
)
</f>
        <v>9.98</v>
      </c>
      <c r="L455" s="118" t="str">
        <f>IF(
  O455&lt;&gt;"DEVOLUCION",
  "",
  IF(
    T455="",
    "",
    SUMIF(DEVOLUCION!F:F, T455, DEVOLUCION!D:D)
  )
)
</f>
        <v/>
      </c>
      <c r="M455" s="118"/>
      <c r="N455" s="130" t="s">
        <v>4612</v>
      </c>
      <c r="O455" s="118" t="str">
        <f t="array" ref="O455">IFERROR(
VLOOKUP(
TRIM(CLEAN(
INDEX(REPORTE_DROPI!K:K,
MATCH(T455, REPORTE_DROPI!B:B, 0)
))),
{
TRIM(CLEAN(MAPA_ESTADOS!A:A)) ,
MAPA_ESTADOS!B:B
},
2,
FALSE
),
"REVISAR"
)
</f>
        <v>ENTREGADO</v>
      </c>
      <c r="P455" s="118"/>
      <c r="Q455" s="122">
        <f t="shared" si="1"/>
        <v>0</v>
      </c>
      <c r="R455" s="118"/>
      <c r="S455" s="118"/>
      <c r="T455" s="118">
        <f t="array" ref="T455">IFERROR(
INDEX(REPORTE_DROPI!B:B,
MATCH(
CLEAN(TRIM(C455)),
CLEAN(TRIM(REPORTE_DROPI!E:E)),
0
)
),
""
)
</f>
        <v>4142429</v>
      </c>
      <c r="U455" s="118">
        <v>6.411016372268E12</v>
      </c>
      <c r="V455" s="78"/>
      <c r="W455" s="78"/>
      <c r="X455" s="78"/>
      <c r="Y455" s="78"/>
      <c r="Z455" s="78"/>
    </row>
    <row r="456" ht="22.5" customHeight="1">
      <c r="A456" s="118">
        <v>455.0</v>
      </c>
      <c r="B456" s="119">
        <v>46035.0</v>
      </c>
      <c r="C456" s="118" t="s">
        <v>4613</v>
      </c>
      <c r="D456" s="118" t="str">
        <f>IFERROR(__xludf.DUMMYFUNCTION("IFERROR(
  INDEX(
    FILTER(
      'NOMBRE DE PRODUCTOS'!B:B,
      REGEXMATCH(
        UPPER(
          INDEX(
            REPORTE_DROPI!AC:AC,
            MATCH(T456, REPORTE_DROPI!B:B, 0)
          )
        ),
        UPPER('NOMBRE DE PRODUCTOS'!A:A)"&amp;"
      )
    ),
    1
  ),
  ""REVISAR""
)
"),"FilmPro®")</f>
        <v>FilmPro®</v>
      </c>
      <c r="E456" s="120">
        <f t="array" ref="E456">IF(
UPPER(TRIM(CLEAN($O456)))="ENTREGADO",
IFERROR(
INDEX(REPORTE_DROPI!Y:Y,
MATCH($T456, REPORTE_DROPI!B:B, 0)
),
""
),
""
)
</f>
        <v>4.7</v>
      </c>
      <c r="F456" s="121">
        <v>2.0</v>
      </c>
      <c r="G456" s="122">
        <f t="array" ref="G456">IF(
UPPER(TRIM(CLEAN($O456)))="ENTREGADO",
IFERROR(
INDEX(REPORTE_DROPI!R:R,
MATCH($T456, REPORTE_DROPI!B:B, 0)
),
""
),
""
)
</f>
        <v>25</v>
      </c>
      <c r="H456" s="118" t="s">
        <v>3727</v>
      </c>
      <c r="I456" s="118" t="s">
        <v>3731</v>
      </c>
      <c r="J456" s="121">
        <f t="array" ref="J456">IF(
UPPER(TRIM(CLEAN($O456)))="ENTREGADO",
IFERROR(
INDEX(REPORTE_DROPI!T:T,
MATCH($T456, REPORTE_DROPI!B:B, 0)
),
""
),
""
)
</f>
        <v>5.71</v>
      </c>
      <c r="K456" s="118">
        <f t="array" ref="K456">IFERROR(
INDEX(REPORTE_DROPI!S:S,
MATCH($T456, REPORTE_DROPI!B:B, 0)
),
""
)
</f>
        <v>14.59</v>
      </c>
      <c r="L456" s="118" t="str">
        <f>IF(
  O456&lt;&gt;"DEVOLUCION",
  "",
  IF(
    T456="",
    "",
    SUMIF(DEVOLUCION!F:F, T456, DEVOLUCION!D:D)
  )
)
</f>
        <v/>
      </c>
      <c r="M456" s="118" t="s">
        <v>3870</v>
      </c>
      <c r="N456" s="130" t="s">
        <v>4614</v>
      </c>
      <c r="O456" s="118" t="str">
        <f t="array" ref="O456">IFERROR(
VLOOKUP(
TRIM(CLEAN(
INDEX(REPORTE_DROPI!K:K,
MATCH(T456, REPORTE_DROPI!B:B, 0)
))),
{
TRIM(CLEAN(MAPA_ESTADOS!A:A)) ,
MAPA_ESTADOS!B:B
},
2,
FALSE
),
"REVISAR"
)
</f>
        <v>ENTREGADO</v>
      </c>
      <c r="P456" s="118"/>
      <c r="Q456" s="122">
        <f t="shared" si="1"/>
        <v>0</v>
      </c>
      <c r="R456" s="118"/>
      <c r="S456" s="118"/>
      <c r="T456" s="118">
        <f t="array" ref="T456">IFERROR(
INDEX(REPORTE_DROPI!B:B,
MATCH(
CLEAN(TRIM(C456)),
CLEAN(TRIM(REPORTE_DROPI!E:E)),
0
)
),
""
)
</f>
        <v>4128310</v>
      </c>
      <c r="U456" s="118">
        <v>6.411018371116E12</v>
      </c>
      <c r="V456" s="78"/>
      <c r="W456" s="78"/>
      <c r="X456" s="78"/>
      <c r="Y456" s="78"/>
      <c r="Z456" s="78"/>
    </row>
    <row r="457" ht="22.5" customHeight="1">
      <c r="A457" s="118">
        <v>456.0</v>
      </c>
      <c r="B457" s="119">
        <v>46035.0</v>
      </c>
      <c r="C457" s="126" t="s">
        <v>4615</v>
      </c>
      <c r="D457" s="118" t="str">
        <f>IFERROR(__xludf.DUMMYFUNCTION("IFERROR(
  INDEX(
    FILTER(
      'NOMBRE DE PRODUCTOS'!B:B,
      REGEXMATCH(
        UPPER(
          INDEX(
            REPORTE_DROPI!AC:AC,
            MATCH(T457, REPORTE_DROPI!B:B, 0)
          )
        ),
        UPPER('NOMBRE DE PRODUCTOS'!A:A)"&amp;"
      )
    ),
    1
  ),
  ""REVISAR""
)
"),"FilmPro®")</f>
        <v>FilmPro®</v>
      </c>
      <c r="E457" s="120" t="str">
        <f t="array" ref="E457">IF(
UPPER(TRIM(CLEAN($O457)))="ENTREGADO",
IFERROR(
INDEX(REPORTE_DROPI!Y:Y,
MATCH($T457, REPORTE_DROPI!B:B, 0)
),
""
),
""
)
</f>
        <v/>
      </c>
      <c r="F457" s="121">
        <v>3.0</v>
      </c>
      <c r="G457" s="122" t="str">
        <f t="array" ref="G457">IF(
UPPER(TRIM(CLEAN($O457)))="ENTREGADO",
IFERROR(
INDEX(REPORTE_DROPI!R:R,
MATCH($T457, REPORTE_DROPI!B:B, 0)
),
""
),
""
)
</f>
        <v/>
      </c>
      <c r="H457" s="118" t="s">
        <v>3727</v>
      </c>
      <c r="I457" s="118" t="s">
        <v>3740</v>
      </c>
      <c r="J457" s="121" t="str">
        <f t="array" ref="J457">IF(
UPPER(TRIM(CLEAN($O457)))="ENTREGADO",
IFERROR(
INDEX(REPORTE_DROPI!T:T,
MATCH($T457, REPORTE_DROPI!B:B, 0)
),
""
),
""
)
</f>
        <v/>
      </c>
      <c r="K457" s="118" t="str">
        <f t="array" ref="K457">IFERROR(
INDEX(REPORTE_DROPI!S:S,
MATCH($T457, REPORTE_DROPI!B:B, 0)
),
""
)
</f>
        <v/>
      </c>
      <c r="L457" s="118" t="str">
        <f>IF(
  O457&lt;&gt;"DEVOLUCION",
  "",
  IF(
    T457="",
    "",
    SUMIF(DEVOLUCION!F:F, T457, DEVOLUCION!D:D)
  )
)
</f>
        <v/>
      </c>
      <c r="M457" s="118"/>
      <c r="N457" s="130" t="s">
        <v>4616</v>
      </c>
      <c r="O457" s="118" t="str">
        <f t="array" ref="O457">IFERROR(
VLOOKUP(
TRIM(CLEAN(
INDEX(REPORTE_DROPI!K:K,
MATCH(T457, REPORTE_DROPI!B:B, 0)
))),
{
TRIM(CLEAN(MAPA_ESTADOS!A:A)) ,
MAPA_ESTADOS!B:B
},
2,
FALSE
),
"REVISAR"
)
</f>
        <v>PENDIENTE</v>
      </c>
      <c r="P457" s="118" t="s">
        <v>3654</v>
      </c>
      <c r="Q457" s="122">
        <f t="shared" si="1"/>
        <v>0</v>
      </c>
      <c r="R457" s="118"/>
      <c r="S457" s="118"/>
      <c r="T457" s="118">
        <f t="array" ref="T457">IFERROR(
INDEX(REPORTE_DROPI!B:B,
MATCH(
CLEAN(TRIM(C457)),
CLEAN(TRIM(REPORTE_DROPI!E:E)),
0
)
),
""
)
</f>
        <v>4128329</v>
      </c>
      <c r="U457" s="118">
        <v>6.411019485228E12</v>
      </c>
      <c r="V457" s="78"/>
      <c r="W457" s="78"/>
      <c r="X457" s="78"/>
      <c r="Y457" s="78"/>
      <c r="Z457" s="78"/>
    </row>
    <row r="458" ht="22.5" customHeight="1">
      <c r="A458" s="118">
        <v>457.0</v>
      </c>
      <c r="B458" s="119">
        <v>46035.0</v>
      </c>
      <c r="C458" s="118" t="s">
        <v>4617</v>
      </c>
      <c r="D458" s="118" t="str">
        <f>IFERROR(__xludf.DUMMYFUNCTION("IFERROR(
  INDEX(
    FILTER(
      'NOMBRE DE PRODUCTOS'!B:B,
      REGEXMATCH(
        UPPER(
          INDEX(
            REPORTE_DROPI!AC:AC,
            MATCH(T458, REPORTE_DROPI!B:B, 0)
          )
        ),
        UPPER('NOMBRE DE PRODUCTOS'!A:A)"&amp;"
      )
    ),
    1
  ),
  ""REVISAR""
)
"),"FilmPro®")</f>
        <v>FilmPro®</v>
      </c>
      <c r="E458" s="120" t="str">
        <f t="array" ref="E458">IF(
UPPER(TRIM(CLEAN($O458)))="ENTREGADO",
IFERROR(
INDEX(REPORTE_DROPI!Y:Y,
MATCH($T458, REPORTE_DROPI!B:B, 0)
),
""
),
""
)
</f>
        <v/>
      </c>
      <c r="F458" s="121">
        <v>3.0</v>
      </c>
      <c r="G458" s="122" t="str">
        <f t="array" ref="G458">IF(
UPPER(TRIM(CLEAN($O458)))="ENTREGADO",
IFERROR(
INDEX(REPORTE_DROPI!R:R,
MATCH($T458, REPORTE_DROPI!B:B, 0)
),
""
),
""
)
</f>
        <v/>
      </c>
      <c r="H458" s="118" t="s">
        <v>3727</v>
      </c>
      <c r="I458" s="118" t="s">
        <v>3731</v>
      </c>
      <c r="J458" s="121" t="str">
        <f t="array" ref="J458">IF(
UPPER(TRIM(CLEAN($O458)))="ENTREGADO",
IFERROR(
INDEX(REPORTE_DROPI!T:T,
MATCH($T458, REPORTE_DROPI!B:B, 0)
),
""
),
""
)
</f>
        <v/>
      </c>
      <c r="K458" s="118" t="str">
        <f t="array" ref="K458">IFERROR(
INDEX(REPORTE_DROPI!S:S,
MATCH($T458, REPORTE_DROPI!B:B, 0)
),
""
)
</f>
        <v/>
      </c>
      <c r="L458" s="118">
        <f>IF(
  O458&lt;&gt;"DEVOLUCION",
  "",
  IF(
    T458="",
    "",
    SUMIF(DEVOLUCION!F:F, T458, DEVOLUCION!D:D)
  )
)
</f>
        <v>3.51</v>
      </c>
      <c r="M458" s="118"/>
      <c r="N458" s="130" t="s">
        <v>4618</v>
      </c>
      <c r="O458" s="118" t="str">
        <f t="array" ref="O458">IFERROR(
VLOOKUP(
TRIM(CLEAN(
INDEX(REPORTE_DROPI!K:K,
MATCH(T458, REPORTE_DROPI!B:B, 0)
))),
{
TRIM(CLEAN(MAPA_ESTADOS!A:A)) ,
MAPA_ESTADOS!B:B
},
2,
FALSE
),
"REVISAR"
)
</f>
        <v>DEVOLUCION</v>
      </c>
      <c r="P458" s="118"/>
      <c r="Q458" s="122">
        <f t="shared" si="1"/>
        <v>0</v>
      </c>
      <c r="R458" s="118"/>
      <c r="S458" s="118"/>
      <c r="T458" s="118">
        <f t="array" ref="T458">IFERROR(
INDEX(REPORTE_DROPI!B:B,
MATCH(
CLEAN(TRIM(C458)),
CLEAN(TRIM(REPORTE_DROPI!E:E)),
0
)
),
""
)
</f>
        <v>4128548</v>
      </c>
      <c r="U458" s="118">
        <v>6.411041275948E12</v>
      </c>
      <c r="V458" s="78"/>
      <c r="W458" s="78"/>
      <c r="X458" s="78"/>
      <c r="Y458" s="78"/>
      <c r="Z458" s="78"/>
    </row>
    <row r="459" ht="22.5" customHeight="1">
      <c r="A459" s="118">
        <v>458.0</v>
      </c>
      <c r="B459" s="119">
        <v>46035.0</v>
      </c>
      <c r="C459" s="118" t="s">
        <v>4619</v>
      </c>
      <c r="D459" s="118" t="str">
        <f>IFERROR(__xludf.DUMMYFUNCTION("IFERROR(
  INDEX(
    FILTER(
      'NOMBRE DE PRODUCTOS'!B:B,
      REGEXMATCH(
        UPPER(
          INDEX(
            REPORTE_DROPI!AC:AC,
            MATCH(T459, REPORTE_DROPI!B:B, 0)
          )
        ),
        UPPER('NOMBRE DE PRODUCTOS'!A:A)"&amp;"
      )
    ),
    1
  ),
  ""REVISAR""
)
"),"FilmPro®")</f>
        <v>FilmPro®</v>
      </c>
      <c r="E459" s="120">
        <f t="array" ref="E459">IF(
UPPER(TRIM(CLEAN($O459)))="ENTREGADO",
IFERROR(
INDEX(REPORTE_DROPI!Y:Y,
MATCH($T459, REPORTE_DROPI!B:B, 0)
),
""
),
""
)
</f>
        <v>7.05</v>
      </c>
      <c r="F459" s="121">
        <v>3.0</v>
      </c>
      <c r="G459" s="122">
        <f t="array" ref="G459">IF(
UPPER(TRIM(CLEAN($O459)))="ENTREGADO",
IFERROR(
INDEX(REPORTE_DROPI!R:R,
MATCH($T459, REPORTE_DROPI!B:B, 0)
),
""
),
""
)
</f>
        <v>30</v>
      </c>
      <c r="H459" s="118" t="s">
        <v>3727</v>
      </c>
      <c r="I459" s="118" t="s">
        <v>3740</v>
      </c>
      <c r="J459" s="121">
        <f t="array" ref="J459">IF(
UPPER(TRIM(CLEAN($O459)))="ENTREGADO",
IFERROR(
INDEX(REPORTE_DROPI!T:T,
MATCH($T459, REPORTE_DROPI!B:B, 0)
),
""
),
""
)
</f>
        <v>6.16</v>
      </c>
      <c r="K459" s="118">
        <f t="array" ref="K459">IFERROR(
INDEX(REPORTE_DROPI!S:S,
MATCH($T459, REPORTE_DROPI!B:B, 0)
),
""
)
</f>
        <v>16.79</v>
      </c>
      <c r="L459" s="118" t="str">
        <f>IF(
  O459&lt;&gt;"DEVOLUCION",
  "",
  IF(
    T459="",
    "",
    SUMIF(DEVOLUCION!F:F, T459, DEVOLUCION!D:D)
  )
)
</f>
        <v/>
      </c>
      <c r="M459" s="118"/>
      <c r="N459" s="130" t="s">
        <v>4620</v>
      </c>
      <c r="O459" s="118" t="str">
        <f t="array" ref="O459">IFERROR(
VLOOKUP(
TRIM(CLEAN(
INDEX(REPORTE_DROPI!K:K,
MATCH(T459, REPORTE_DROPI!B:B, 0)
))),
{
TRIM(CLEAN(MAPA_ESTADOS!A:A)) ,
MAPA_ESTADOS!B:B
},
2,
FALSE
),
"REVISAR"
)
</f>
        <v>ENTREGADO</v>
      </c>
      <c r="P459" s="118"/>
      <c r="Q459" s="122">
        <f t="shared" si="1"/>
        <v>0</v>
      </c>
      <c r="R459" s="118"/>
      <c r="S459" s="118"/>
      <c r="T459" s="118">
        <f t="array" ref="T459">IFERROR(
INDEX(REPORTE_DROPI!B:B,
MATCH(
CLEAN(TRIM(C459)),
CLEAN(TRIM(REPORTE_DROPI!E:E)),
0
)
),
""
)
</f>
        <v>4128642</v>
      </c>
      <c r="U459" s="118">
        <v>6.411054809132E12</v>
      </c>
      <c r="V459" s="78"/>
      <c r="W459" s="78"/>
      <c r="X459" s="78"/>
      <c r="Y459" s="78"/>
      <c r="Z459" s="78"/>
    </row>
    <row r="460" ht="22.5" customHeight="1">
      <c r="A460" s="118">
        <v>459.0</v>
      </c>
      <c r="B460" s="119">
        <v>46036.0</v>
      </c>
      <c r="C460" s="118" t="s">
        <v>4621</v>
      </c>
      <c r="D460" s="118" t="str">
        <f>IFERROR(__xludf.DUMMYFUNCTION("IFERROR(
  INDEX(
    FILTER(
      'NOMBRE DE PRODUCTOS'!B:B,
      REGEXMATCH(
        UPPER(
          INDEX(
            REPORTE_DROPI!AC:AC,
            MATCH(T460, REPORTE_DROPI!B:B, 0)
          )
        ),
        UPPER('NOMBRE DE PRODUCTOS'!A:A)"&amp;"
      )
    ),
    1
  ),
  ""REVISAR""
)
"),"Cuchillo Tazaki™")</f>
        <v>Cuchillo Tazaki™</v>
      </c>
      <c r="E460" s="120" t="str">
        <f t="array" ref="E460">IF(
UPPER(TRIM(CLEAN($O460)))="ENTREGADO",
IFERROR(
INDEX(REPORTE_DROPI!Y:Y,
MATCH($T460, REPORTE_DROPI!B:B, 0)
),
""
),
""
)
</f>
        <v/>
      </c>
      <c r="F460" s="121">
        <v>2.0</v>
      </c>
      <c r="G460" s="122" t="str">
        <f t="array" ref="G460">IF(
UPPER(TRIM(CLEAN($O460)))="ENTREGADO",
IFERROR(
INDEX(REPORTE_DROPI!R:R,
MATCH($T460, REPORTE_DROPI!B:B, 0)
),
""
),
""
)
</f>
        <v/>
      </c>
      <c r="H460" s="118" t="s">
        <v>3727</v>
      </c>
      <c r="I460" s="118" t="s">
        <v>3979</v>
      </c>
      <c r="J460" s="121" t="str">
        <f t="array" ref="J460">IF(
UPPER(TRIM(CLEAN($O460)))="ENTREGADO",
IFERROR(
INDEX(REPORTE_DROPI!T:T,
MATCH($T460, REPORTE_DROPI!B:B, 0)
),
""
),
""
)
</f>
        <v/>
      </c>
      <c r="K460" s="118" t="str">
        <f t="array" ref="K460">IFERROR(
INDEX(REPORTE_DROPI!S:S,
MATCH($T460, REPORTE_DROPI!B:B, 0)
),
""
)
</f>
        <v/>
      </c>
      <c r="L460" s="118">
        <f>IF(
  O460&lt;&gt;"DEVOLUCION",
  "",
  IF(
    T460="",
    "",
    SUMIF(DEVOLUCION!F:F, T460, DEVOLUCION!D:D)
  )
)
</f>
        <v>5.2</v>
      </c>
      <c r="M460" s="118" t="s">
        <v>3870</v>
      </c>
      <c r="N460" s="130" t="s">
        <v>4622</v>
      </c>
      <c r="O460" s="118" t="str">
        <f t="array" ref="O460">IFERROR(
VLOOKUP(
TRIM(CLEAN(
INDEX(REPORTE_DROPI!K:K,
MATCH(T460, REPORTE_DROPI!B:B, 0)
))),
{
TRIM(CLEAN(MAPA_ESTADOS!A:A)) ,
MAPA_ESTADOS!B:B
},
2,
FALSE
),
"REVISAR"
)
</f>
        <v>DEVOLUCION</v>
      </c>
      <c r="P460" s="118"/>
      <c r="Q460" s="122">
        <f t="shared" si="1"/>
        <v>0</v>
      </c>
      <c r="R460" s="118"/>
      <c r="S460" s="118"/>
      <c r="T460" s="118">
        <f t="array" ref="T460">IFERROR(
INDEX(REPORTE_DROPI!B:B,
MATCH(
CLEAN(TRIM(C460)),
CLEAN(TRIM(REPORTE_DROPI!E:E)),
0
)
),
""
)
</f>
        <v>4128666</v>
      </c>
      <c r="U460" s="118"/>
      <c r="V460" s="78"/>
      <c r="W460" s="78"/>
      <c r="X460" s="78"/>
      <c r="Y460" s="78"/>
      <c r="Z460" s="78"/>
    </row>
    <row r="461" ht="22.5" customHeight="1">
      <c r="A461" s="118">
        <v>460.0</v>
      </c>
      <c r="B461" s="119">
        <v>46035.0</v>
      </c>
      <c r="C461" s="118" t="s">
        <v>4623</v>
      </c>
      <c r="D461" s="118" t="str">
        <f>IFERROR(__xludf.DUMMYFUNCTION("IFERROR(
  INDEX(
    FILTER(
      'NOMBRE DE PRODUCTOS'!B:B,
      REGEXMATCH(
        UPPER(
          INDEX(
            REPORTE_DROPI!AC:AC,
            MATCH(T461, REPORTE_DROPI!B:B, 0)
          )
        ),
        UPPER('NOMBRE DE PRODUCTOS'!A:A)"&amp;"
      )
    ),
    1
  ),
  ""REVISAR""
)
"),"FilmPro®")</f>
        <v>FilmPro®</v>
      </c>
      <c r="E461" s="120">
        <f t="array" ref="E461">IF(
UPPER(TRIM(CLEAN($O461)))="ENTREGADO",
IFERROR(
INDEX(REPORTE_DROPI!Y:Y,
MATCH($T461, REPORTE_DROPI!B:B, 0)
),
""
),
""
)
</f>
        <v>4.7</v>
      </c>
      <c r="F461" s="121">
        <v>2.0</v>
      </c>
      <c r="G461" s="122">
        <f t="array" ref="G461">IF(
UPPER(TRIM(CLEAN($O461)))="ENTREGADO",
IFERROR(
INDEX(REPORTE_DROPI!R:R,
MATCH($T461, REPORTE_DROPI!B:B, 0)
),
""
),
""
)
</f>
        <v>25</v>
      </c>
      <c r="H461" s="118" t="s">
        <v>3727</v>
      </c>
      <c r="I461" s="118" t="s">
        <v>3731</v>
      </c>
      <c r="J461" s="121">
        <f t="array" ref="J461">IF(
UPPER(TRIM(CLEAN($O461)))="ENTREGADO",
IFERROR(
INDEX(REPORTE_DROPI!T:T,
MATCH($T461, REPORTE_DROPI!B:B, 0)
),
""
),
""
)
</f>
        <v>4.35</v>
      </c>
      <c r="K461" s="118">
        <f t="array" ref="K461">IFERROR(
INDEX(REPORTE_DROPI!S:S,
MATCH($T461, REPORTE_DROPI!B:B, 0)
),
""
)
</f>
        <v>15.95</v>
      </c>
      <c r="L461" s="118" t="str">
        <f>IF(
  O461&lt;&gt;"DEVOLUCION",
  "",
  IF(
    T461="",
    "",
    SUMIF(DEVOLUCION!F:F, T461, DEVOLUCION!D:D)
  )
)
</f>
        <v/>
      </c>
      <c r="M461" s="118"/>
      <c r="N461" s="130" t="s">
        <v>4624</v>
      </c>
      <c r="O461" s="118" t="str">
        <f t="array" ref="O461">IFERROR(
VLOOKUP(
TRIM(CLEAN(
INDEX(REPORTE_DROPI!K:K,
MATCH(T461, REPORTE_DROPI!B:B, 0)
))),
{
TRIM(CLEAN(MAPA_ESTADOS!A:A)) ,
MAPA_ESTADOS!B:B
},
2,
FALSE
),
"REVISAR"
)
</f>
        <v>ENTREGADO</v>
      </c>
      <c r="P461" s="118"/>
      <c r="Q461" s="122">
        <f t="shared" si="1"/>
        <v>0</v>
      </c>
      <c r="R461" s="118"/>
      <c r="S461" s="118"/>
      <c r="T461" s="118">
        <f t="array" ref="T461">IFERROR(
INDEX(REPORTE_DROPI!B:B,
MATCH(
CLEAN(TRIM(C461)),
CLEAN(TRIM(REPORTE_DROPI!E:E)),
0
)
),
""
)
</f>
        <v>4128704</v>
      </c>
      <c r="U461" s="118">
        <v>6.411063066668E12</v>
      </c>
      <c r="V461" s="78"/>
      <c r="W461" s="78"/>
      <c r="X461" s="78"/>
      <c r="Y461" s="78"/>
      <c r="Z461" s="78"/>
    </row>
    <row r="462" ht="22.5" customHeight="1">
      <c r="A462" s="118">
        <v>461.0</v>
      </c>
      <c r="B462" s="119">
        <v>46035.0</v>
      </c>
      <c r="C462" s="118" t="s">
        <v>4625</v>
      </c>
      <c r="D462" s="118" t="str">
        <f>IFERROR(__xludf.DUMMYFUNCTION("IFERROR(
  INDEX(
    FILTER(
      'NOMBRE DE PRODUCTOS'!B:B,
      REGEXMATCH(
        UPPER(
          INDEX(
            REPORTE_DROPI!AC:AC,
            MATCH(T462, REPORTE_DROPI!B:B, 0)
          )
        ),
        UPPER('NOMBRE DE PRODUCTOS'!A:A)"&amp;"
      )
    ),
    1
  ),
  ""REVISAR""
)
"),"Cuchillo Tazaki™")</f>
        <v>Cuchillo Tazaki™</v>
      </c>
      <c r="E462" s="120">
        <f t="array" ref="E462">IF(
UPPER(TRIM(CLEAN($O462)))="ENTREGADO",
IFERROR(
INDEX(REPORTE_DROPI!Y:Y,
MATCH($T462, REPORTE_DROPI!B:B, 0)
),
""
),
""
)
</f>
        <v>7.8</v>
      </c>
      <c r="F462" s="121">
        <v>3.0</v>
      </c>
      <c r="G462" s="122">
        <f t="array" ref="G462">IF(
UPPER(TRIM(CLEAN($O462)))="ENTREGADO",
IFERROR(
INDEX(REPORTE_DROPI!R:R,
MATCH($T462, REPORTE_DROPI!B:B, 0)
),
""
),
""
)
</f>
        <v>27</v>
      </c>
      <c r="H462" s="118" t="s">
        <v>3727</v>
      </c>
      <c r="I462" s="118" t="s">
        <v>3784</v>
      </c>
      <c r="J462" s="121">
        <f t="array" ref="J462">IF(
UPPER(TRIM(CLEAN($O462)))="ENTREGADO",
IFERROR(
INDEX(REPORTE_DROPI!T:T,
MATCH($T462, REPORTE_DROPI!B:B, 0)
),
""
),
""
)
</f>
        <v>6.6</v>
      </c>
      <c r="K462" s="118">
        <f t="array" ref="K462">IFERROR(
INDEX(REPORTE_DROPI!S:S,
MATCH($T462, REPORTE_DROPI!B:B, 0)
),
""
)
</f>
        <v>12.6</v>
      </c>
      <c r="L462" s="118" t="str">
        <f>IF(
  O462&lt;&gt;"DEVOLUCION",
  "",
  IF(
    T462="",
    "",
    SUMIF(DEVOLUCION!F:F, T462, DEVOLUCION!D:D)
  )
)
</f>
        <v/>
      </c>
      <c r="M462" s="118"/>
      <c r="N462" s="130" t="s">
        <v>4626</v>
      </c>
      <c r="O462" s="118" t="str">
        <f t="array" ref="O462">IFERROR(
VLOOKUP(
TRIM(CLEAN(
INDEX(REPORTE_DROPI!K:K,
MATCH(T462, REPORTE_DROPI!B:B, 0)
))),
{
TRIM(CLEAN(MAPA_ESTADOS!A:A)) ,
MAPA_ESTADOS!B:B
},
2,
FALSE
),
"REVISAR"
)
</f>
        <v>ENTREGADO</v>
      </c>
      <c r="P462" s="118"/>
      <c r="Q462" s="122">
        <f t="shared" si="1"/>
        <v>0</v>
      </c>
      <c r="R462" s="118"/>
      <c r="S462" s="118"/>
      <c r="T462" s="118">
        <f t="array" ref="T462">IFERROR(
INDEX(REPORTE_DROPI!B:B,
MATCH(
CLEAN(TRIM(C462)),
CLEAN(TRIM(REPORTE_DROPI!E:E)),
0
)
),
""
)
</f>
        <v>4128894</v>
      </c>
      <c r="U462" s="118">
        <v>6.41107843486E12</v>
      </c>
      <c r="V462" s="78"/>
      <c r="W462" s="78"/>
      <c r="X462" s="78"/>
      <c r="Y462" s="78"/>
      <c r="Z462" s="78"/>
    </row>
    <row r="463" ht="22.5" customHeight="1">
      <c r="A463" s="118">
        <v>462.0</v>
      </c>
      <c r="B463" s="119">
        <v>46035.0</v>
      </c>
      <c r="C463" s="118" t="s">
        <v>4627</v>
      </c>
      <c r="D463" s="118" t="str">
        <f>IFERROR(__xludf.DUMMYFUNCTION("IFERROR(
  INDEX(
    FILTER(
      'NOMBRE DE PRODUCTOS'!B:B,
      REGEXMATCH(
        UPPER(
          INDEX(
            REPORTE_DROPI!AC:AC,
            MATCH(T463, REPORTE_DROPI!B:B, 0)
          )
        ),
        UPPER('NOMBRE DE PRODUCTOS'!A:A)"&amp;"
      )
    ),
    1
  ),
  ""REVISAR""
)
"),"Cuchillo Tazaki™")</f>
        <v>Cuchillo Tazaki™</v>
      </c>
      <c r="E463" s="120" t="str">
        <f t="array" ref="E463">IF(
UPPER(TRIM(CLEAN($O463)))="ENTREGADO",
IFERROR(
INDEX(REPORTE_DROPI!Y:Y,
MATCH($T463, REPORTE_DROPI!B:B, 0)
),
""
),
""
)
</f>
        <v/>
      </c>
      <c r="F463" s="121">
        <v>3.0</v>
      </c>
      <c r="G463" s="122" t="str">
        <f t="array" ref="G463">IF(
UPPER(TRIM(CLEAN($O463)))="ENTREGADO",
IFERROR(
INDEX(REPORTE_DROPI!R:R,
MATCH($T463, REPORTE_DROPI!B:B, 0)
),
""
),
""
)
</f>
        <v/>
      </c>
      <c r="H463" s="118" t="s">
        <v>3727</v>
      </c>
      <c r="I463" s="118" t="s">
        <v>3759</v>
      </c>
      <c r="J463" s="121" t="str">
        <f t="array" ref="J463">IF(
UPPER(TRIM(CLEAN($O463)))="ENTREGADO",
IFERROR(
INDEX(REPORTE_DROPI!T:T,
MATCH($T463, REPORTE_DROPI!B:B, 0)
),
""
),
""
)
</f>
        <v/>
      </c>
      <c r="K463" s="118" t="str">
        <f t="array" ref="K463">IFERROR(
INDEX(REPORTE_DROPI!S:S,
MATCH($T463, REPORTE_DROPI!B:B, 0)
),
""
)
</f>
        <v/>
      </c>
      <c r="L463" s="118">
        <f>IF(
  O463&lt;&gt;"DEVOLUCION",
  "",
  IF(
    T463="",
    "",
    SUMIF(DEVOLUCION!F:F, T463, DEVOLUCION!D:D)
  )
)
</f>
        <v>5.09</v>
      </c>
      <c r="M463" s="118" t="s">
        <v>3870</v>
      </c>
      <c r="N463" s="130" t="s">
        <v>4628</v>
      </c>
      <c r="O463" s="118" t="str">
        <f t="array" ref="O463">IFERROR(
VLOOKUP(
TRIM(CLEAN(
INDEX(REPORTE_DROPI!K:K,
MATCH(T463, REPORTE_DROPI!B:B, 0)
))),
{
TRIM(CLEAN(MAPA_ESTADOS!A:A)) ,
MAPA_ESTADOS!B:B
},
2,
FALSE
),
"REVISAR"
)
</f>
        <v>DEVOLUCION</v>
      </c>
      <c r="P463" s="118"/>
      <c r="Q463" s="122">
        <f t="shared" si="1"/>
        <v>0</v>
      </c>
      <c r="R463" s="118"/>
      <c r="S463" s="118"/>
      <c r="T463" s="118">
        <f t="array" ref="T463">IFERROR(
INDEX(REPORTE_DROPI!B:B,
MATCH(
CLEAN(TRIM(C463)),
CLEAN(TRIM(REPORTE_DROPI!E:E)),
0
)
),
""
)
</f>
        <v>4128979</v>
      </c>
      <c r="U463" s="118">
        <v>6.411089510444E12</v>
      </c>
      <c r="V463" s="78"/>
      <c r="W463" s="78"/>
      <c r="X463" s="78"/>
      <c r="Y463" s="78"/>
      <c r="Z463" s="78"/>
    </row>
    <row r="464" ht="22.5" customHeight="1">
      <c r="A464" s="118">
        <v>463.0</v>
      </c>
      <c r="B464" s="119">
        <v>46035.0</v>
      </c>
      <c r="C464" s="126" t="s">
        <v>4629</v>
      </c>
      <c r="D464" s="118" t="str">
        <f>IFERROR(__xludf.DUMMYFUNCTION("IFERROR(
  INDEX(
    FILTER(
      'NOMBRE DE PRODUCTOS'!B:B,
      REGEXMATCH(
        UPPER(
          INDEX(
            REPORTE_DROPI!AC:AC,
            MATCH(T464, REPORTE_DROPI!B:B, 0)
          )
        ),
        UPPER('NOMBRE DE PRODUCTOS'!A:A)"&amp;"
      )
    ),
    1
  ),
  ""REVISAR""
)
"),"Cuchillo Tazaki™")</f>
        <v>Cuchillo Tazaki™</v>
      </c>
      <c r="E464" s="120" t="str">
        <f t="array" ref="E464">IF(
UPPER(TRIM(CLEAN($O464)))="ENTREGADO",
IFERROR(
INDEX(REPORTE_DROPI!Y:Y,
MATCH($T464, REPORTE_DROPI!B:B, 0)
),
""
),
""
)
</f>
        <v/>
      </c>
      <c r="F464" s="121">
        <v>2.0</v>
      </c>
      <c r="G464" s="122" t="str">
        <f t="array" ref="G464">IF(
UPPER(TRIM(CLEAN($O464)))="ENTREGADO",
IFERROR(
INDEX(REPORTE_DROPI!R:R,
MATCH($T464, REPORTE_DROPI!B:B, 0)
),
""
),
""
)
</f>
        <v/>
      </c>
      <c r="H464" s="118" t="s">
        <v>3727</v>
      </c>
      <c r="I464" s="118" t="s">
        <v>3759</v>
      </c>
      <c r="J464" s="121" t="str">
        <f t="array" ref="J464">IF(
UPPER(TRIM(CLEAN($O464)))="ENTREGADO",
IFERROR(
INDEX(REPORTE_DROPI!T:T,
MATCH($T464, REPORTE_DROPI!B:B, 0)
),
""
),
""
)
</f>
        <v/>
      </c>
      <c r="K464" s="118" t="str">
        <f t="array" ref="K464">IFERROR(
INDEX(REPORTE_DROPI!S:S,
MATCH($T464, REPORTE_DROPI!B:B, 0)
),
""
)
</f>
        <v/>
      </c>
      <c r="L464" s="118" t="str">
        <f>IF(
  O464&lt;&gt;"DEVOLUCION",
  "",
  IF(
    T464="",
    "",
    SUMIF(DEVOLUCION!F:F, T464, DEVOLUCION!D:D)
  )
)
</f>
        <v/>
      </c>
      <c r="M464" s="118"/>
      <c r="N464" s="130" t="s">
        <v>4630</v>
      </c>
      <c r="O464" s="118" t="str">
        <f t="array" ref="O464">IFERROR(
VLOOKUP(
TRIM(CLEAN(
INDEX(REPORTE_DROPI!K:K,
MATCH(T464, REPORTE_DROPI!B:B, 0)
))),
{
TRIM(CLEAN(MAPA_ESTADOS!A:A)) ,
MAPA_ESTADOS!B:B
},
2,
FALSE
),
"REVISAR"
)
</f>
        <v>PENDIENTE</v>
      </c>
      <c r="P464" s="118" t="s">
        <v>3689</v>
      </c>
      <c r="Q464" s="122">
        <f t="shared" si="1"/>
        <v>0</v>
      </c>
      <c r="R464" s="118"/>
      <c r="S464" s="118"/>
      <c r="T464" s="118">
        <f t="array" ref="T464">IFERROR(
INDEX(REPORTE_DROPI!B:B,
MATCH(
CLEAN(TRIM(C464)),
CLEAN(TRIM(REPORTE_DROPI!E:E)),
0
)
),
""
)
</f>
        <v>4129100</v>
      </c>
      <c r="U464" s="118">
        <v>6.411100586028E12</v>
      </c>
      <c r="V464" s="78"/>
      <c r="W464" s="78"/>
      <c r="X464" s="78"/>
      <c r="Y464" s="78"/>
      <c r="Z464" s="78"/>
    </row>
    <row r="465" ht="22.5" customHeight="1">
      <c r="A465" s="118">
        <v>464.0</v>
      </c>
      <c r="B465" s="119">
        <v>46035.0</v>
      </c>
      <c r="C465" s="118" t="s">
        <v>4631</v>
      </c>
      <c r="D465" s="118" t="str">
        <f>IFERROR(__xludf.DUMMYFUNCTION("IFERROR(
  INDEX(
    FILTER(
      'NOMBRE DE PRODUCTOS'!B:B,
      REGEXMATCH(
        UPPER(
          INDEX(
            REPORTE_DROPI!AC:AC,
            MATCH(T465, REPORTE_DROPI!B:B, 0)
          )
        ),
        UPPER('NOMBRE DE PRODUCTOS'!A:A)"&amp;"
      )
    ),
    1
  ),
  ""REVISAR""
)
"),"Cuchillo Tazaki™")</f>
        <v>Cuchillo Tazaki™</v>
      </c>
      <c r="E465" s="120">
        <f t="array" ref="E465">IF(
UPPER(TRIM(CLEAN($O465)))="ENTREGADO",
IFERROR(
INDEX(REPORTE_DROPI!Y:Y,
MATCH($T465, REPORTE_DROPI!B:B, 0)
),
""
),
""
)
</f>
        <v>5.2</v>
      </c>
      <c r="F465" s="121">
        <v>2.0</v>
      </c>
      <c r="G465" s="122">
        <f t="array" ref="G465">IF(
UPPER(TRIM(CLEAN($O465)))="ENTREGADO",
IFERROR(
INDEX(REPORTE_DROPI!R:R,
MATCH($T465, REPORTE_DROPI!B:B, 0)
),
""
),
""
)
</f>
        <v>22</v>
      </c>
      <c r="H465" s="118" t="s">
        <v>3727</v>
      </c>
      <c r="I465" s="118" t="s">
        <v>3979</v>
      </c>
      <c r="J465" s="121">
        <f t="array" ref="J465">IF(
UPPER(TRIM(CLEAN($O465)))="ENTREGADO",
IFERROR(
INDEX(REPORTE_DROPI!T:T,
MATCH($T465, REPORTE_DROPI!B:B, 0)
),
""
),
""
)
</f>
        <v>5.84</v>
      </c>
      <c r="K465" s="118">
        <f t="array" ref="K465">IFERROR(
INDEX(REPORTE_DROPI!S:S,
MATCH($T465, REPORTE_DROPI!B:B, 0)
),
""
)
</f>
        <v>10.96</v>
      </c>
      <c r="L465" s="118" t="str">
        <f>IF(
  O465&lt;&gt;"DEVOLUCION",
  "",
  IF(
    T465="",
    "",
    SUMIF(DEVOLUCION!F:F, T465, DEVOLUCION!D:D)
  )
)
</f>
        <v/>
      </c>
      <c r="M465" s="118"/>
      <c r="N465" s="130" t="s">
        <v>4632</v>
      </c>
      <c r="O465" s="118" t="str">
        <f t="array" ref="O465">IFERROR(
VLOOKUP(
TRIM(CLEAN(
INDEX(REPORTE_DROPI!K:K,
MATCH(T465, REPORTE_DROPI!B:B, 0)
))),
{
TRIM(CLEAN(MAPA_ESTADOS!A:A)) ,
MAPA_ESTADOS!B:B
},
2,
FALSE
),
"REVISAR"
)
</f>
        <v>ENTREGADO</v>
      </c>
      <c r="P465" s="118"/>
      <c r="Q465" s="122">
        <f t="shared" si="1"/>
        <v>0</v>
      </c>
      <c r="R465" s="118"/>
      <c r="S465" s="118"/>
      <c r="T465" s="118">
        <f t="array" ref="T465">IFERROR(
INDEX(REPORTE_DROPI!B:B,
MATCH(
CLEAN(TRIM(C465)),
CLEAN(TRIM(REPORTE_DROPI!E:E)),
0
)
),
""
)
</f>
        <v>4129426</v>
      </c>
      <c r="U465" s="118">
        <v>6.411140137004E12</v>
      </c>
      <c r="V465" s="78"/>
      <c r="W465" s="78"/>
      <c r="X465" s="78"/>
      <c r="Y465" s="78"/>
      <c r="Z465" s="78"/>
    </row>
    <row r="466" ht="22.5" customHeight="1">
      <c r="A466" s="118">
        <v>465.0</v>
      </c>
      <c r="B466" s="119">
        <v>46035.0</v>
      </c>
      <c r="C466" s="118" t="s">
        <v>4633</v>
      </c>
      <c r="D466" s="118" t="str">
        <f>IFERROR(__xludf.DUMMYFUNCTION("IFERROR(
  INDEX(
    FILTER(
      'NOMBRE DE PRODUCTOS'!B:B,
      REGEXMATCH(
        UPPER(
          INDEX(
            REPORTE_DROPI!AC:AC,
            MATCH(T466, REPORTE_DROPI!B:B, 0)
          )
        ),
        UPPER('NOMBRE DE PRODUCTOS'!A:A)"&amp;"
      )
    ),
    1
  ),
  ""REVISAR""
)
"),"FilmPro®")</f>
        <v>FilmPro®</v>
      </c>
      <c r="E466" s="120">
        <f t="array" ref="E466">IF(
UPPER(TRIM(CLEAN($O466)))="ENTREGADO",
IFERROR(
INDEX(REPORTE_DROPI!Y:Y,
MATCH($T466, REPORTE_DROPI!B:B, 0)
),
""
),
""
)
</f>
        <v>4.7</v>
      </c>
      <c r="F466" s="121">
        <v>2.0</v>
      </c>
      <c r="G466" s="122">
        <f t="array" ref="G466">IF(
UPPER(TRIM(CLEAN($O466)))="ENTREGADO",
IFERROR(
INDEX(REPORTE_DROPI!R:R,
MATCH($T466, REPORTE_DROPI!B:B, 0)
),
""
),
""
)
</f>
        <v>25</v>
      </c>
      <c r="H466" s="118" t="s">
        <v>3727</v>
      </c>
      <c r="I466" s="118" t="s">
        <v>3731</v>
      </c>
      <c r="J466" s="121">
        <f t="array" ref="J466">IF(
UPPER(TRIM(CLEAN($O466)))="ENTREGADO",
IFERROR(
INDEX(REPORTE_DROPI!T:T,
MATCH($T466, REPORTE_DROPI!B:B, 0)
),
""
),
""
)
</f>
        <v>4.35</v>
      </c>
      <c r="K466" s="118">
        <f t="array" ref="K466">IFERROR(
INDEX(REPORTE_DROPI!S:S,
MATCH($T466, REPORTE_DROPI!B:B, 0)
),
""
)
</f>
        <v>15.95</v>
      </c>
      <c r="L466" s="118" t="str">
        <f>IF(
  O466&lt;&gt;"DEVOLUCION",
  "",
  IF(
    T466="",
    "",
    SUMIF(DEVOLUCION!F:F, T466, DEVOLUCION!D:D)
  )
)
</f>
        <v/>
      </c>
      <c r="M466" s="118"/>
      <c r="N466" s="130" t="s">
        <v>4634</v>
      </c>
      <c r="O466" s="118" t="str">
        <f t="array" ref="O466">IFERROR(
VLOOKUP(
TRIM(CLEAN(
INDEX(REPORTE_DROPI!K:K,
MATCH(T466, REPORTE_DROPI!B:B, 0)
))),
{
TRIM(CLEAN(MAPA_ESTADOS!A:A)) ,
MAPA_ESTADOS!B:B
},
2,
FALSE
),
"REVISAR"
)
</f>
        <v>ENTREGADO</v>
      </c>
      <c r="P466" s="118"/>
      <c r="Q466" s="122">
        <f t="shared" si="1"/>
        <v>0</v>
      </c>
      <c r="R466" s="118"/>
      <c r="S466" s="118"/>
      <c r="T466" s="118">
        <f t="array" ref="T466">IFERROR(
INDEX(REPORTE_DROPI!B:B,
MATCH(
CLEAN(TRIM(C466)),
CLEAN(TRIM(REPORTE_DROPI!E:E)),
0
)
),
""
)
</f>
        <v>4129445</v>
      </c>
      <c r="U466" s="118">
        <v>6.41114036638E12</v>
      </c>
      <c r="V466" s="78"/>
      <c r="W466" s="78"/>
      <c r="X466" s="78"/>
      <c r="Y466" s="78"/>
      <c r="Z466" s="78"/>
    </row>
    <row r="467" ht="22.5" customHeight="1">
      <c r="A467" s="118">
        <v>466.0</v>
      </c>
      <c r="B467" s="119">
        <v>46035.0</v>
      </c>
      <c r="C467" s="118" t="s">
        <v>4635</v>
      </c>
      <c r="D467" s="118" t="str">
        <f>IFERROR(__xludf.DUMMYFUNCTION("IFERROR(
  INDEX(
    FILTER(
      'NOMBRE DE PRODUCTOS'!B:B,
      REGEXMATCH(
        UPPER(
          INDEX(
            REPORTE_DROPI!AC:AC,
            MATCH(T467, REPORTE_DROPI!B:B, 0)
          )
        ),
        UPPER('NOMBRE DE PRODUCTOS'!A:A)"&amp;"
      )
    ),
    1
  ),
  ""REVISAR""
)
"),"FilmPro®")</f>
        <v>FilmPro®</v>
      </c>
      <c r="E467" s="120" t="str">
        <f t="array" ref="E467">IF(
UPPER(TRIM(CLEAN($O467)))="ENTREGADO",
IFERROR(
INDEX(REPORTE_DROPI!Y:Y,
MATCH($T467, REPORTE_DROPI!B:B, 0)
),
""
),
""
)
</f>
        <v/>
      </c>
      <c r="F467" s="121">
        <v>2.0</v>
      </c>
      <c r="G467" s="122" t="str">
        <f t="array" ref="G467">IF(
UPPER(TRIM(CLEAN($O467)))="ENTREGADO",
IFERROR(
INDEX(REPORTE_DROPI!R:R,
MATCH($T467, REPORTE_DROPI!B:B, 0)
),
""
),
""
)
</f>
        <v/>
      </c>
      <c r="H467" s="118" t="s">
        <v>3727</v>
      </c>
      <c r="I467" s="118" t="s">
        <v>3740</v>
      </c>
      <c r="J467" s="121" t="str">
        <f t="array" ref="J467">IF(
UPPER(TRIM(CLEAN($O467)))="ENTREGADO",
IFERROR(
INDEX(REPORTE_DROPI!T:T,
MATCH($T467, REPORTE_DROPI!B:B, 0)
),
""
),
""
)
</f>
        <v/>
      </c>
      <c r="K467" s="118" t="str">
        <f t="array" ref="K467">IFERROR(
INDEX(REPORTE_DROPI!S:S,
MATCH($T467, REPORTE_DROPI!B:B, 0)
),
""
)
</f>
        <v/>
      </c>
      <c r="L467" s="118">
        <f>IF(
  O467&lt;&gt;"DEVOLUCION",
  "",
  IF(
    T467="",
    "",
    SUMIF(DEVOLUCION!F:F, T467, DEVOLUCION!D:D)
  )
)
</f>
        <v>7.75</v>
      </c>
      <c r="M467" s="118"/>
      <c r="N467" s="130" t="s">
        <v>4636</v>
      </c>
      <c r="O467" s="118" t="str">
        <f t="array" ref="O467">IFERROR(
VLOOKUP(
TRIM(CLEAN(
INDEX(REPORTE_DROPI!K:K,
MATCH(T467, REPORTE_DROPI!B:B, 0)
))),
{
TRIM(CLEAN(MAPA_ESTADOS!A:A)) ,
MAPA_ESTADOS!B:B
},
2,
FALSE
),
"REVISAR"
)
</f>
        <v>DEVOLUCION</v>
      </c>
      <c r="P467" s="118"/>
      <c r="Q467" s="122">
        <f t="shared" si="1"/>
        <v>0</v>
      </c>
      <c r="R467" s="118"/>
      <c r="S467" s="118"/>
      <c r="T467" s="118">
        <f t="array" ref="T467">IFERROR(
INDEX(REPORTE_DROPI!B:B,
MATCH(
CLEAN(TRIM(C467)),
CLEAN(TRIM(REPORTE_DROPI!E:E)),
0
)
),
""
)
</f>
        <v>4129754</v>
      </c>
      <c r="U467" s="118">
        <v>6.411173494828E12</v>
      </c>
      <c r="V467" s="78"/>
      <c r="W467" s="78"/>
      <c r="X467" s="78"/>
      <c r="Y467" s="78"/>
      <c r="Z467" s="78"/>
    </row>
    <row r="468" ht="22.5" customHeight="1">
      <c r="A468" s="118">
        <v>467.0</v>
      </c>
      <c r="B468" s="119">
        <v>46035.0</v>
      </c>
      <c r="C468" s="118" t="s">
        <v>4637</v>
      </c>
      <c r="D468" s="118" t="str">
        <f>IFERROR(__xludf.DUMMYFUNCTION("IFERROR(
  INDEX(
    FILTER(
      'NOMBRE DE PRODUCTOS'!B:B,
      REGEXMATCH(
        UPPER(
          INDEX(
            REPORTE_DROPI!AC:AC,
            MATCH(T468, REPORTE_DROPI!B:B, 0)
          )
        ),
        UPPER('NOMBRE DE PRODUCTOS'!A:A)"&amp;"
      )
    ),
    1
  ),
  ""REVISAR""
)
"),"Cuchillo Tazaki™")</f>
        <v>Cuchillo Tazaki™</v>
      </c>
      <c r="E468" s="120">
        <f t="array" ref="E468">IF(
UPPER(TRIM(CLEAN($O468)))="ENTREGADO",
IFERROR(
INDEX(REPORTE_DROPI!Y:Y,
MATCH($T468, REPORTE_DROPI!B:B, 0)
),
""
),
""
)
</f>
        <v>7.8</v>
      </c>
      <c r="F468" s="121">
        <v>3.0</v>
      </c>
      <c r="G468" s="122">
        <f t="array" ref="G468">IF(
UPPER(TRIM(CLEAN($O468)))="ENTREGADO",
IFERROR(
INDEX(REPORTE_DROPI!R:R,
MATCH($T468, REPORTE_DROPI!B:B, 0)
),
""
),
""
)
</f>
        <v>27</v>
      </c>
      <c r="H468" s="118" t="s">
        <v>3727</v>
      </c>
      <c r="I468" s="118" t="s">
        <v>3731</v>
      </c>
      <c r="J468" s="121">
        <f t="array" ref="J468">IF(
UPPER(TRIM(CLEAN($O468)))="ENTREGADO",
IFERROR(
INDEX(REPORTE_DROPI!T:T,
MATCH($T468, REPORTE_DROPI!B:B, 0)
),
""
),
""
)
</f>
        <v>6.03</v>
      </c>
      <c r="K468" s="118">
        <f t="array" ref="K468">IFERROR(
INDEX(REPORTE_DROPI!S:S,
MATCH($T468, REPORTE_DROPI!B:B, 0)
),
""
)
</f>
        <v>13.17</v>
      </c>
      <c r="L468" s="118" t="str">
        <f>IF(
  O468&lt;&gt;"DEVOLUCION",
  "",
  IF(
    T468="",
    "",
    SUMIF(DEVOLUCION!F:F, T468, DEVOLUCION!D:D)
  )
)
</f>
        <v/>
      </c>
      <c r="M468" s="118" t="s">
        <v>3870</v>
      </c>
      <c r="N468" s="130" t="s">
        <v>4638</v>
      </c>
      <c r="O468" s="118" t="str">
        <f t="array" ref="O468">IFERROR(
VLOOKUP(
TRIM(CLEAN(
INDEX(REPORTE_DROPI!K:K,
MATCH(T468, REPORTE_DROPI!B:B, 0)
))),
{
TRIM(CLEAN(MAPA_ESTADOS!A:A)) ,
MAPA_ESTADOS!B:B
},
2,
FALSE
),
"REVISAR"
)
</f>
        <v>ENTREGADO</v>
      </c>
      <c r="P468" s="118"/>
      <c r="Q468" s="122">
        <f t="shared" si="1"/>
        <v>0</v>
      </c>
      <c r="R468" s="118"/>
      <c r="S468" s="118"/>
      <c r="T468" s="118">
        <f t="array" ref="T468">IFERROR(
INDEX(REPORTE_DROPI!B:B,
MATCH(
CLEAN(TRIM(C468)),
CLEAN(TRIM(REPORTE_DROPI!E:E)),
0
)
),
""
)
</f>
        <v>4129796</v>
      </c>
      <c r="U468" s="118">
        <v>6.41118149022E12</v>
      </c>
      <c r="V468" s="78"/>
      <c r="W468" s="78"/>
      <c r="X468" s="78"/>
      <c r="Y468" s="78"/>
      <c r="Z468" s="78"/>
    </row>
    <row r="469" ht="22.5" customHeight="1">
      <c r="A469" s="118">
        <v>468.0</v>
      </c>
      <c r="B469" s="119">
        <v>46035.0</v>
      </c>
      <c r="C469" s="126" t="s">
        <v>4639</v>
      </c>
      <c r="D469" s="118" t="str">
        <f>IFERROR(__xludf.DUMMYFUNCTION("IFERROR(
  INDEX(
    FILTER(
      'NOMBRE DE PRODUCTOS'!B:B,
      REGEXMATCH(
        UPPER(
          INDEX(
            REPORTE_DROPI!AC:AC,
            MATCH(T469, REPORTE_DROPI!B:B, 0)
          )
        ),
        UPPER('NOMBRE DE PRODUCTOS'!A:A)"&amp;"
      )
    ),
    1
  ),
  ""REVISAR""
)
"),"FilmPro®")</f>
        <v>FilmPro®</v>
      </c>
      <c r="E469" s="120" t="str">
        <f t="array" ref="E469">IF(
UPPER(TRIM(CLEAN($O469)))="ENTREGADO",
IFERROR(
INDEX(REPORTE_DROPI!Y:Y,
MATCH($T469, REPORTE_DROPI!B:B, 0)
),
""
),
""
)
</f>
        <v/>
      </c>
      <c r="F469" s="121">
        <v>2.0</v>
      </c>
      <c r="G469" s="122" t="str">
        <f t="array" ref="G469">IF(
UPPER(TRIM(CLEAN($O469)))="ENTREGADO",
IFERROR(
INDEX(REPORTE_DROPI!R:R,
MATCH($T469, REPORTE_DROPI!B:B, 0)
),
""
),
""
)
</f>
        <v/>
      </c>
      <c r="H469" s="118" t="s">
        <v>3727</v>
      </c>
      <c r="I469" s="118" t="s">
        <v>3951</v>
      </c>
      <c r="J469" s="121" t="str">
        <f t="array" ref="J469">IF(
UPPER(TRIM(CLEAN($O469)))="ENTREGADO",
IFERROR(
INDEX(REPORTE_DROPI!T:T,
MATCH($T469, REPORTE_DROPI!B:B, 0)
),
""
),
""
)
</f>
        <v/>
      </c>
      <c r="K469" s="118" t="str">
        <f t="array" ref="K469">IFERROR(
INDEX(REPORTE_DROPI!S:S,
MATCH($T469, REPORTE_DROPI!B:B, 0)
),
""
)
</f>
        <v/>
      </c>
      <c r="L469" s="118" t="str">
        <f>IF(
  O469&lt;&gt;"DEVOLUCION",
  "",
  IF(
    T469="",
    "",
    SUMIF(DEVOLUCION!F:F, T469, DEVOLUCION!D:D)
  )
)
</f>
        <v/>
      </c>
      <c r="M469" s="118"/>
      <c r="N469" s="130" t="s">
        <v>4640</v>
      </c>
      <c r="O469" s="118" t="str">
        <f t="array" ref="O469">IFERROR(
VLOOKUP(
TRIM(CLEAN(
INDEX(REPORTE_DROPI!K:K,
MATCH(T469, REPORTE_DROPI!B:B, 0)
))),
{
TRIM(CLEAN(MAPA_ESTADOS!A:A)) ,
MAPA_ESTADOS!B:B
},
2,
FALSE
),
"REVISAR"
)
</f>
        <v>PENDIENTE</v>
      </c>
      <c r="P469" s="118" t="s">
        <v>3654</v>
      </c>
      <c r="Q469" s="122">
        <f t="shared" si="1"/>
        <v>0</v>
      </c>
      <c r="R469" s="118"/>
      <c r="S469" s="118"/>
      <c r="T469" s="118">
        <f t="array" ref="T469">IFERROR(
INDEX(REPORTE_DROPI!B:B,
MATCH(
CLEAN(TRIM(C469)),
CLEAN(TRIM(REPORTE_DROPI!E:E)),
0
)
),
""
)
</f>
        <v>4142922</v>
      </c>
      <c r="U469" s="118">
        <v>6.411208949804E12</v>
      </c>
      <c r="V469" s="78"/>
      <c r="W469" s="78"/>
      <c r="X469" s="78"/>
      <c r="Y469" s="78"/>
      <c r="Z469" s="78"/>
    </row>
    <row r="470" ht="22.5" customHeight="1">
      <c r="A470" s="118">
        <v>469.0</v>
      </c>
      <c r="B470" s="119">
        <v>46035.0</v>
      </c>
      <c r="C470" s="118" t="s">
        <v>4641</v>
      </c>
      <c r="D470" s="118" t="str">
        <f>IFERROR(__xludf.DUMMYFUNCTION("IFERROR(
  INDEX(
    FILTER(
      'NOMBRE DE PRODUCTOS'!B:B,
      REGEXMATCH(
        UPPER(
          INDEX(
            REPORTE_DROPI!AC:AC,
            MATCH(T470, REPORTE_DROPI!B:B, 0)
          )
        ),
        UPPER('NOMBRE DE PRODUCTOS'!A:A)"&amp;"
      )
    ),
    1
  ),
  ""REVISAR""
)
"),"FilmPro®")</f>
        <v>FilmPro®</v>
      </c>
      <c r="E470" s="120">
        <f t="array" ref="E470">IF(
UPPER(TRIM(CLEAN($O470)))="ENTREGADO",
IFERROR(
INDEX(REPORTE_DROPI!Y:Y,
MATCH($T470, REPORTE_DROPI!B:B, 0)
),
""
),
""
)
</f>
        <v>4.7</v>
      </c>
      <c r="F470" s="121">
        <v>2.0</v>
      </c>
      <c r="G470" s="122">
        <f t="array" ref="G470">IF(
UPPER(TRIM(CLEAN($O470)))="ENTREGADO",
IFERROR(
INDEX(REPORTE_DROPI!R:R,
MATCH($T470, REPORTE_DROPI!B:B, 0)
),
""
),
""
)
</f>
        <v>25</v>
      </c>
      <c r="H470" s="118" t="s">
        <v>3727</v>
      </c>
      <c r="I470" s="118" t="s">
        <v>3731</v>
      </c>
      <c r="J470" s="121">
        <f t="array" ref="J470">IF(
UPPER(TRIM(CLEAN($O470)))="ENTREGADO",
IFERROR(
INDEX(REPORTE_DROPI!T:T,
MATCH($T470, REPORTE_DROPI!B:B, 0)
),
""
),
""
)
</f>
        <v>4.35</v>
      </c>
      <c r="K470" s="118">
        <f t="array" ref="K470">IFERROR(
INDEX(REPORTE_DROPI!S:S,
MATCH($T470, REPORTE_DROPI!B:B, 0)
),
""
)
</f>
        <v>15.95</v>
      </c>
      <c r="L470" s="118" t="str">
        <f>IF(
  O470&lt;&gt;"DEVOLUCION",
  "",
  IF(
    T470="",
    "",
    SUMIF(DEVOLUCION!F:F, T470, DEVOLUCION!D:D)
  )
)
</f>
        <v/>
      </c>
      <c r="M470" s="118"/>
      <c r="N470" s="130" t="s">
        <v>4642</v>
      </c>
      <c r="O470" s="118" t="str">
        <f t="array" ref="O470">IFERROR(
VLOOKUP(
TRIM(CLEAN(
INDEX(REPORTE_DROPI!K:K,
MATCH(T470, REPORTE_DROPI!B:B, 0)
))),
{
TRIM(CLEAN(MAPA_ESTADOS!A:A)) ,
MAPA_ESTADOS!B:B
},
2,
FALSE
),
"REVISAR"
)
</f>
        <v>ENTREGADO</v>
      </c>
      <c r="P470" s="118"/>
      <c r="Q470" s="122">
        <f t="shared" si="1"/>
        <v>0</v>
      </c>
      <c r="R470" s="118"/>
      <c r="S470" s="118"/>
      <c r="T470" s="118">
        <f t="array" ref="T470">IFERROR(
INDEX(REPORTE_DROPI!B:B,
MATCH(
CLEAN(TRIM(C470)),
CLEAN(TRIM(REPORTE_DROPI!E:E)),
0
)
),
""
)
</f>
        <v>4130118</v>
      </c>
      <c r="U470" s="118">
        <v>6.411223302188E12</v>
      </c>
      <c r="V470" s="78"/>
      <c r="W470" s="78"/>
      <c r="X470" s="78"/>
      <c r="Y470" s="78"/>
      <c r="Z470" s="78"/>
    </row>
    <row r="471" ht="22.5" customHeight="1">
      <c r="A471" s="118">
        <v>470.0</v>
      </c>
      <c r="B471" s="119">
        <v>46035.0</v>
      </c>
      <c r="C471" s="118" t="s">
        <v>4643</v>
      </c>
      <c r="D471" s="118" t="str">
        <f>IFERROR(__xludf.DUMMYFUNCTION("IFERROR(
  INDEX(
    FILTER(
      'NOMBRE DE PRODUCTOS'!B:B,
      REGEXMATCH(
        UPPER(
          INDEX(
            REPORTE_DROPI!AC:AC,
            MATCH(T471, REPORTE_DROPI!B:B, 0)
          )
        ),
        UPPER('NOMBRE DE PRODUCTOS'!A:A)"&amp;"
      )
    ),
    1
  ),
  ""REVISAR""
)
"),"Cuchillo Tazaki™")</f>
        <v>Cuchillo Tazaki™</v>
      </c>
      <c r="E471" s="120">
        <f t="array" ref="E471">IF(
UPPER(TRIM(CLEAN($O471)))="ENTREGADO",
IFERROR(
INDEX(REPORTE_DROPI!Y:Y,
MATCH($T471, REPORTE_DROPI!B:B, 0)
),
""
),
""
)
</f>
        <v>10.4</v>
      </c>
      <c r="F471" s="121">
        <v>4.0</v>
      </c>
      <c r="G471" s="122">
        <f t="array" ref="G471">IF(
UPPER(TRIM(CLEAN($O471)))="ENTREGADO",
IFERROR(
INDEX(REPORTE_DROPI!R:R,
MATCH($T471, REPORTE_DROPI!B:B, 0)
),
""
),
""
)
</f>
        <v>32</v>
      </c>
      <c r="H471" s="118" t="s">
        <v>3727</v>
      </c>
      <c r="I471" s="118" t="s">
        <v>3740</v>
      </c>
      <c r="J471" s="121">
        <f t="array" ref="J471">IF(
UPPER(TRIM(CLEAN($O471)))="ENTREGADO",
IFERROR(
INDEX(REPORTE_DROPI!T:T,
MATCH($T471, REPORTE_DROPI!B:B, 0)
),
""
),
""
)
</f>
        <v>7.85</v>
      </c>
      <c r="K471" s="118">
        <f t="array" ref="K471">IFERROR(
INDEX(REPORTE_DROPI!S:S,
MATCH($T471, REPORTE_DROPI!B:B, 0)
),
""
)
</f>
        <v>13.75</v>
      </c>
      <c r="L471" s="118" t="str">
        <f>IF(
  O471&lt;&gt;"DEVOLUCION",
  "",
  IF(
    T471="",
    "",
    SUMIF(DEVOLUCION!F:F, T471, DEVOLUCION!D:D)
  )
)
</f>
        <v/>
      </c>
      <c r="M471" s="118"/>
      <c r="N471" s="130" t="s">
        <v>4644</v>
      </c>
      <c r="O471" s="118" t="str">
        <f t="array" ref="O471">IFERROR(
VLOOKUP(
TRIM(CLEAN(
INDEX(REPORTE_DROPI!K:K,
MATCH(T471, REPORTE_DROPI!B:B, 0)
))),
{
TRIM(CLEAN(MAPA_ESTADOS!A:A)) ,
MAPA_ESTADOS!B:B
},
2,
FALSE
),
"REVISAR"
)
</f>
        <v>ENTREGADO</v>
      </c>
      <c r="P471" s="118"/>
      <c r="Q471" s="122">
        <f t="shared" si="1"/>
        <v>0</v>
      </c>
      <c r="R471" s="118"/>
      <c r="S471" s="118"/>
      <c r="T471" s="118">
        <f t="array" ref="T471">IFERROR(
INDEX(REPORTE_DROPI!B:B,
MATCH(
CLEAN(TRIM(C471)),
CLEAN(TRIM(REPORTE_DROPI!E:E)),
0
)
),
""
)
</f>
        <v>4130488</v>
      </c>
      <c r="U471" s="118">
        <v>6.411274813484E12</v>
      </c>
      <c r="V471" s="78"/>
      <c r="W471" s="78"/>
      <c r="X471" s="78"/>
      <c r="Y471" s="78"/>
      <c r="Z471" s="78"/>
    </row>
    <row r="472" ht="22.5" customHeight="1">
      <c r="A472" s="118">
        <v>471.0</v>
      </c>
      <c r="B472" s="119">
        <v>46035.0</v>
      </c>
      <c r="C472" s="118" t="s">
        <v>4645</v>
      </c>
      <c r="D472" s="118" t="str">
        <f>IFERROR(__xludf.DUMMYFUNCTION("IFERROR(
  INDEX(
    FILTER(
      'NOMBRE DE PRODUCTOS'!B:B,
      REGEXMATCH(
        UPPER(
          INDEX(
            REPORTE_DROPI!AC:AC,
            MATCH(T472, REPORTE_DROPI!B:B, 0)
          )
        ),
        UPPER('NOMBRE DE PRODUCTOS'!A:A)"&amp;"
      )
    ),
    1
  ),
  ""REVISAR""
)
"),"FilmPro®")</f>
        <v>FilmPro®</v>
      </c>
      <c r="E472" s="120" t="str">
        <f t="array" ref="E472">IF(
UPPER(TRIM(CLEAN($O472)))="ENTREGADO",
IFERROR(
INDEX(REPORTE_DROPI!Y:Y,
MATCH($T472, REPORTE_DROPI!B:B, 0)
),
""
),
""
)
</f>
        <v/>
      </c>
      <c r="F472" s="121">
        <v>3.0</v>
      </c>
      <c r="G472" s="122" t="str">
        <f t="array" ref="G472">IF(
UPPER(TRIM(CLEAN($O472)))="ENTREGADO",
IFERROR(
INDEX(REPORTE_DROPI!R:R,
MATCH($T472, REPORTE_DROPI!B:B, 0)
),
""
),
""
)
</f>
        <v/>
      </c>
      <c r="H472" s="118" t="s">
        <v>3727</v>
      </c>
      <c r="I472" s="118" t="s">
        <v>3772</v>
      </c>
      <c r="J472" s="121" t="str">
        <f t="array" ref="J472">IF(
UPPER(TRIM(CLEAN($O472)))="ENTREGADO",
IFERROR(
INDEX(REPORTE_DROPI!T:T,
MATCH($T472, REPORTE_DROPI!B:B, 0)
),
""
),
""
)
</f>
        <v/>
      </c>
      <c r="K472" s="118" t="str">
        <f t="array" ref="K472">IFERROR(
INDEX(REPORTE_DROPI!S:S,
MATCH($T472, REPORTE_DROPI!B:B, 0)
),
""
)
</f>
        <v/>
      </c>
      <c r="L472" s="118">
        <f>IF(
  O472&lt;&gt;"DEVOLUCION",
  "",
  IF(
    T472="",
    "",
    SUMIF(DEVOLUCION!F:F, T472, DEVOLUCION!D:D)
  )
)
</f>
        <v>7.82</v>
      </c>
      <c r="M472" s="118"/>
      <c r="N472" s="130" t="s">
        <v>4646</v>
      </c>
      <c r="O472" s="118" t="str">
        <f t="array" ref="O472">IFERROR(
VLOOKUP(
TRIM(CLEAN(
INDEX(REPORTE_DROPI!K:K,
MATCH(T472, REPORTE_DROPI!B:B, 0)
))),
{
TRIM(CLEAN(MAPA_ESTADOS!A:A)) ,
MAPA_ESTADOS!B:B
},
2,
FALSE
),
"REVISAR"
)
</f>
        <v>DEVOLUCION</v>
      </c>
      <c r="P472" s="118"/>
      <c r="Q472" s="122">
        <f t="shared" si="1"/>
        <v>0</v>
      </c>
      <c r="R472" s="118"/>
      <c r="S472" s="118"/>
      <c r="T472" s="118">
        <f t="array" ref="T472">IFERROR(
INDEX(REPORTE_DROPI!B:B,
MATCH(
CLEAN(TRIM(C472)),
CLEAN(TRIM(REPORTE_DROPI!E:E)),
0
)
),
""
)
</f>
        <v>4130588</v>
      </c>
      <c r="U472" s="118">
        <v>6.411288674348E12</v>
      </c>
      <c r="V472" s="78"/>
      <c r="W472" s="78"/>
      <c r="X472" s="78"/>
      <c r="Y472" s="78"/>
      <c r="Z472" s="78"/>
    </row>
    <row r="473" ht="22.5" customHeight="1">
      <c r="A473" s="118">
        <v>472.0</v>
      </c>
      <c r="B473" s="119">
        <v>46035.0</v>
      </c>
      <c r="C473" s="126" t="s">
        <v>4647</v>
      </c>
      <c r="D473" s="118" t="str">
        <f>IFERROR(__xludf.DUMMYFUNCTION("IFERROR(
  INDEX(
    FILTER(
      'NOMBRE DE PRODUCTOS'!B:B,
      REGEXMATCH(
        UPPER(
          INDEX(
            REPORTE_DROPI!AC:AC,
            MATCH(T473, REPORTE_DROPI!B:B, 0)
          )
        ),
        UPPER('NOMBRE DE PRODUCTOS'!A:A)"&amp;"
      )
    ),
    1
  ),
  ""REVISAR""
)
"),"FilmPro®")</f>
        <v>FilmPro®</v>
      </c>
      <c r="E473" s="120" t="str">
        <f t="array" ref="E473">IF(
UPPER(TRIM(CLEAN($O473)))="ENTREGADO",
IFERROR(
INDEX(REPORTE_DROPI!Y:Y,
MATCH($T473, REPORTE_DROPI!B:B, 0)
),
""
),
""
)
</f>
        <v/>
      </c>
      <c r="F473" s="121">
        <v>1.0</v>
      </c>
      <c r="G473" s="122" t="str">
        <f t="array" ref="G473">IF(
UPPER(TRIM(CLEAN($O473)))="ENTREGADO",
IFERROR(
INDEX(REPORTE_DROPI!R:R,
MATCH($T473, REPORTE_DROPI!B:B, 0)
),
""
),
""
)
</f>
        <v/>
      </c>
      <c r="H473" s="118" t="s">
        <v>3727</v>
      </c>
      <c r="I473" s="118" t="s">
        <v>3731</v>
      </c>
      <c r="J473" s="121" t="str">
        <f t="array" ref="J473">IF(
UPPER(TRIM(CLEAN($O473)))="ENTREGADO",
IFERROR(
INDEX(REPORTE_DROPI!T:T,
MATCH($T473, REPORTE_DROPI!B:B, 0)
),
""
),
""
)
</f>
        <v/>
      </c>
      <c r="K473" s="118" t="str">
        <f t="array" ref="K473">IFERROR(
INDEX(REPORTE_DROPI!S:S,
MATCH($T473, REPORTE_DROPI!B:B, 0)
),
""
)
</f>
        <v/>
      </c>
      <c r="L473" s="118" t="str">
        <f>IF(
  O473&lt;&gt;"DEVOLUCION",
  "",
  IF(
    T473="",
    "",
    SUMIF(DEVOLUCION!F:F, T473, DEVOLUCION!D:D)
  )
)
</f>
        <v/>
      </c>
      <c r="M473" s="118"/>
      <c r="N473" s="130" t="s">
        <v>4648</v>
      </c>
      <c r="O473" s="118" t="str">
        <f t="array" ref="O473">IFERROR(
VLOOKUP(
TRIM(CLEAN(
INDEX(REPORTE_DROPI!K:K,
MATCH(T473, REPORTE_DROPI!B:B, 0)
))),
{
TRIM(CLEAN(MAPA_ESTADOS!A:A)) ,
MAPA_ESTADOS!B:B
},
2,
FALSE
),
"REVISAR"
)
</f>
        <v>PENDIENTE</v>
      </c>
      <c r="P473" s="118" t="s">
        <v>3654</v>
      </c>
      <c r="Q473" s="122">
        <f t="shared" si="1"/>
        <v>0</v>
      </c>
      <c r="R473" s="118"/>
      <c r="S473" s="118"/>
      <c r="T473" s="118">
        <f t="array" ref="T473">IFERROR(
INDEX(REPORTE_DROPI!B:B,
MATCH(
CLEAN(TRIM(C473)),
CLEAN(TRIM(REPORTE_DROPI!E:E)),
0
)
),
""
)
</f>
        <v>4130655</v>
      </c>
      <c r="U473" s="118">
        <v>6.41129879966E12</v>
      </c>
      <c r="V473" s="78"/>
      <c r="W473" s="78"/>
      <c r="X473" s="78"/>
      <c r="Y473" s="78"/>
      <c r="Z473" s="78"/>
    </row>
    <row r="474" ht="22.5" customHeight="1">
      <c r="A474" s="118">
        <v>473.0</v>
      </c>
      <c r="B474" s="119">
        <v>46035.0</v>
      </c>
      <c r="C474" s="126" t="s">
        <v>4649</v>
      </c>
      <c r="D474" s="118" t="str">
        <f>IFERROR(__xludf.DUMMYFUNCTION("IFERROR(
  INDEX(
    FILTER(
      'NOMBRE DE PRODUCTOS'!B:B,
      REGEXMATCH(
        UPPER(
          INDEX(
            REPORTE_DROPI!AC:AC,
            MATCH(T474, REPORTE_DROPI!B:B, 0)
          )
        ),
        UPPER('NOMBRE DE PRODUCTOS'!A:A)"&amp;"
      )
    ),
    1
  ),
  ""REVISAR""
)
"),"FilmPro®")</f>
        <v>FilmPro®</v>
      </c>
      <c r="E474" s="120" t="str">
        <f t="array" ref="E474">IF(
UPPER(TRIM(CLEAN($O474)))="ENTREGADO",
IFERROR(
INDEX(REPORTE_DROPI!Y:Y,
MATCH($T474, REPORTE_DROPI!B:B, 0)
),
""
),
""
)
</f>
        <v/>
      </c>
      <c r="F474" s="121">
        <v>2.0</v>
      </c>
      <c r="G474" s="122" t="str">
        <f t="array" ref="G474">IF(
UPPER(TRIM(CLEAN($O474)))="ENTREGADO",
IFERROR(
INDEX(REPORTE_DROPI!R:R,
MATCH($T474, REPORTE_DROPI!B:B, 0)
),
""
),
""
)
</f>
        <v/>
      </c>
      <c r="H474" s="118" t="s">
        <v>3727</v>
      </c>
      <c r="I474" s="118" t="s">
        <v>3728</v>
      </c>
      <c r="J474" s="121" t="str">
        <f t="array" ref="J474">IF(
UPPER(TRIM(CLEAN($O474)))="ENTREGADO",
IFERROR(
INDEX(REPORTE_DROPI!T:T,
MATCH($T474, REPORTE_DROPI!B:B, 0)
),
""
),
""
)
</f>
        <v/>
      </c>
      <c r="K474" s="118" t="str">
        <f t="array" ref="K474">IFERROR(
INDEX(REPORTE_DROPI!S:S,
MATCH($T474, REPORTE_DROPI!B:B, 0)
),
""
)
</f>
        <v/>
      </c>
      <c r="L474" s="118" t="str">
        <f>IF(
  O474&lt;&gt;"DEVOLUCION",
  "",
  IF(
    T474="",
    "",
    SUMIF(DEVOLUCION!F:F, T474, DEVOLUCION!D:D)
  )
)
</f>
        <v/>
      </c>
      <c r="M474" s="118"/>
      <c r="N474" s="130" t="s">
        <v>4650</v>
      </c>
      <c r="O474" s="118" t="str">
        <f t="array" ref="O474">IFERROR(
VLOOKUP(
TRIM(CLEAN(
INDEX(REPORTE_DROPI!K:K,
MATCH(T474, REPORTE_DROPI!B:B, 0)
))),
{
TRIM(CLEAN(MAPA_ESTADOS!A:A)) ,
MAPA_ESTADOS!B:B
},
2,
FALSE
),
"REVISAR"
)
</f>
        <v>PENDIENTE</v>
      </c>
      <c r="P474" s="118" t="s">
        <v>3654</v>
      </c>
      <c r="Q474" s="122">
        <f t="shared" si="1"/>
        <v>0</v>
      </c>
      <c r="R474" s="118"/>
      <c r="S474" s="118"/>
      <c r="T474" s="118">
        <f t="array" ref="T474">IFERROR(
INDEX(REPORTE_DROPI!B:B,
MATCH(
CLEAN(TRIM(C474)),
CLEAN(TRIM(REPORTE_DROPI!E:E)),
0
)
),
""
)
</f>
        <v>4130657</v>
      </c>
      <c r="U474" s="118">
        <v>6.411298832428E12</v>
      </c>
      <c r="V474" s="78"/>
      <c r="W474" s="78"/>
      <c r="X474" s="78"/>
      <c r="Y474" s="78"/>
      <c r="Z474" s="78"/>
    </row>
    <row r="475" ht="22.5" customHeight="1">
      <c r="A475" s="118">
        <v>474.0</v>
      </c>
      <c r="B475" s="131">
        <v>46035.0</v>
      </c>
      <c r="C475" s="126" t="s">
        <v>4651</v>
      </c>
      <c r="D475" s="118" t="str">
        <f>IFERROR(__xludf.DUMMYFUNCTION("IFERROR(
  INDEX(
    FILTER(
      'NOMBRE DE PRODUCTOS'!B:B,
      REGEXMATCH(
        UPPER(
          INDEX(
            REPORTE_DROPI!AC:AC,
            MATCH(T475, REPORTE_DROPI!B:B, 0)
          )
        ),
        UPPER('NOMBRE DE PRODUCTOS'!A:A)"&amp;"
      )
    ),
    1
  ),
  ""REVISAR""
)
"),"FilmPro®")</f>
        <v>FilmPro®</v>
      </c>
      <c r="E475" s="120" t="str">
        <f t="array" ref="E475">IF(
UPPER(TRIM(CLEAN($O475)))="ENTREGADO",
IFERROR(
INDEX(REPORTE_DROPI!Y:Y,
MATCH($T475, REPORTE_DROPI!B:B, 0)
),
""
),
""
)
</f>
        <v/>
      </c>
      <c r="F475" s="121">
        <v>2.0</v>
      </c>
      <c r="G475" s="122" t="str">
        <f t="array" ref="G475">IF(
UPPER(TRIM(CLEAN($O475)))="ENTREGADO",
IFERROR(
INDEX(REPORTE_DROPI!R:R,
MATCH($T475, REPORTE_DROPI!B:B, 0)
),
""
),
""
)
</f>
        <v/>
      </c>
      <c r="H475" s="118" t="s">
        <v>3727</v>
      </c>
      <c r="I475" s="118" t="s">
        <v>3731</v>
      </c>
      <c r="J475" s="121" t="str">
        <f t="array" ref="J475">IF(
UPPER(TRIM(CLEAN($O475)))="ENTREGADO",
IFERROR(
INDEX(REPORTE_DROPI!T:T,
MATCH($T475, REPORTE_DROPI!B:B, 0)
),
""
),
""
)
</f>
        <v/>
      </c>
      <c r="K475" s="118" t="str">
        <f t="array" ref="K475">IFERROR(
INDEX(REPORTE_DROPI!S:S,
MATCH($T475, REPORTE_DROPI!B:B, 0)
),
""
)
</f>
        <v/>
      </c>
      <c r="L475" s="118" t="str">
        <f>IF(
  O475&lt;&gt;"DEVOLUCION",
  "",
  IF(
    T475="",
    "",
    SUMIF(DEVOLUCION!F:F, T475, DEVOLUCION!D:D)
  )
)
</f>
        <v/>
      </c>
      <c r="M475" s="118"/>
      <c r="N475" s="130" t="s">
        <v>4652</v>
      </c>
      <c r="O475" s="118" t="str">
        <f t="array" ref="O475">IFERROR(
VLOOKUP(
TRIM(CLEAN(
INDEX(REPORTE_DROPI!K:K,
MATCH(T475, REPORTE_DROPI!B:B, 0)
))),
{
TRIM(CLEAN(MAPA_ESTADOS!A:A)) ,
MAPA_ESTADOS!B:B
},
2,
FALSE
),
"REVISAR"
)
</f>
        <v>PENDIENTE</v>
      </c>
      <c r="P475" s="118" t="s">
        <v>3654</v>
      </c>
      <c r="Q475" s="122">
        <f t="shared" si="1"/>
        <v>0</v>
      </c>
      <c r="R475" s="118"/>
      <c r="S475" s="118"/>
      <c r="T475" s="118">
        <f t="array" ref="T475">IFERROR(
INDEX(REPORTE_DROPI!B:B,
MATCH(
CLEAN(TRIM(C475)),
CLEAN(TRIM(REPORTE_DROPI!E:E)),
0
)
),
""
)
</f>
        <v>4130811</v>
      </c>
      <c r="U475" s="118">
        <v>6.411324325932E12</v>
      </c>
      <c r="V475" s="78"/>
      <c r="W475" s="78"/>
      <c r="X475" s="78"/>
      <c r="Y475" s="78"/>
      <c r="Z475" s="78"/>
    </row>
    <row r="476" ht="22.5" customHeight="1">
      <c r="A476" s="118">
        <v>475.0</v>
      </c>
      <c r="B476" s="119">
        <v>46035.0</v>
      </c>
      <c r="C476" s="118" t="s">
        <v>4653</v>
      </c>
      <c r="D476" s="118" t="str">
        <f>IFERROR(__xludf.DUMMYFUNCTION("IFERROR(
  INDEX(
    FILTER(
      'NOMBRE DE PRODUCTOS'!B:B,
      REGEXMATCH(
        UPPER(
          INDEX(
            REPORTE_DROPI!AC:AC,
            MATCH(T476, REPORTE_DROPI!B:B, 0)
          )
        ),
        UPPER('NOMBRE DE PRODUCTOS'!A:A)"&amp;"
      )
    ),
    1
  ),
  ""REVISAR""
)
"),"Cuchillo Tazaki™")</f>
        <v>Cuchillo Tazaki™</v>
      </c>
      <c r="E476" s="120">
        <f t="array" ref="E476">IF(
UPPER(TRIM(CLEAN($O476)))="ENTREGADO",
IFERROR(
INDEX(REPORTE_DROPI!Y:Y,
MATCH($T476, REPORTE_DROPI!B:B, 0)
),
""
),
""
)
</f>
        <v>5.2</v>
      </c>
      <c r="F476" s="121">
        <v>2.0</v>
      </c>
      <c r="G476" s="122">
        <f t="array" ref="G476">IF(
UPPER(TRIM(CLEAN($O476)))="ENTREGADO",
IFERROR(
INDEX(REPORTE_DROPI!R:R,
MATCH($T476, REPORTE_DROPI!B:B, 0)
),
""
),
""
)
</f>
        <v>22</v>
      </c>
      <c r="H476" s="118" t="s">
        <v>3727</v>
      </c>
      <c r="I476" s="118" t="s">
        <v>3740</v>
      </c>
      <c r="J476" s="121">
        <f t="array" ref="J476">IF(
UPPER(TRIM(CLEAN($O476)))="ENTREGADO",
IFERROR(
INDEX(REPORTE_DROPI!T:T,
MATCH($T476, REPORTE_DROPI!B:B, 0)
),
""
),
""
)
</f>
        <v>4.23</v>
      </c>
      <c r="K476" s="118">
        <f t="array" ref="K476">IFERROR(
INDEX(REPORTE_DROPI!S:S,
MATCH($T476, REPORTE_DROPI!B:B, 0)
),
""
)
</f>
        <v>12.57</v>
      </c>
      <c r="L476" s="118" t="str">
        <f>IF(
  O476&lt;&gt;"DEVOLUCION",
  "",
  IF(
    T476="",
    "",
    SUMIF(DEVOLUCION!F:F, T476, DEVOLUCION!D:D)
  )
)
</f>
        <v/>
      </c>
      <c r="M476" s="118"/>
      <c r="N476" s="130" t="s">
        <v>4654</v>
      </c>
      <c r="O476" s="118" t="str">
        <f t="array" ref="O476">IFERROR(
VLOOKUP(
TRIM(CLEAN(
INDEX(REPORTE_DROPI!K:K,
MATCH(T476, REPORTE_DROPI!B:B, 0)
))),
{
TRIM(CLEAN(MAPA_ESTADOS!A:A)) ,
MAPA_ESTADOS!B:B
},
2,
FALSE
),
"REVISAR"
)
</f>
        <v>ENTREGADO</v>
      </c>
      <c r="P476" s="118" t="s">
        <v>3655</v>
      </c>
      <c r="Q476" s="122">
        <f t="shared" si="1"/>
        <v>0</v>
      </c>
      <c r="R476" s="118"/>
      <c r="S476" s="118"/>
      <c r="T476" s="118">
        <f t="array" ref="T476">IFERROR(
INDEX(REPORTE_DROPI!B:B,
MATCH(
CLEAN(TRIM(C476)),
CLEAN(TRIM(REPORTE_DROPI!E:E)),
0
)
),
""
)
</f>
        <v>4130873</v>
      </c>
      <c r="U476" s="118">
        <v>6.411330355244E12</v>
      </c>
      <c r="V476" s="78"/>
      <c r="W476" s="78"/>
      <c r="X476" s="78"/>
      <c r="Y476" s="78"/>
      <c r="Z476" s="78"/>
    </row>
    <row r="477" ht="22.5" customHeight="1">
      <c r="A477" s="118">
        <v>476.0</v>
      </c>
      <c r="B477" s="119">
        <v>46035.0</v>
      </c>
      <c r="C477" s="118" t="s">
        <v>4655</v>
      </c>
      <c r="D477" s="118" t="str">
        <f>IFERROR(__xludf.DUMMYFUNCTION("IFERROR(
  INDEX(
    FILTER(
      'NOMBRE DE PRODUCTOS'!B:B,
      REGEXMATCH(
        UPPER(
          INDEX(
            REPORTE_DROPI!AC:AC,
            MATCH(T477, REPORTE_DROPI!B:B, 0)
          )
        ),
        UPPER('NOMBRE DE PRODUCTOS'!A:A)"&amp;"
      )
    ),
    1
  ),
  ""REVISAR""
)
"),"Cuchillo Tazaki™")</f>
        <v>Cuchillo Tazaki™</v>
      </c>
      <c r="E477" s="120">
        <f t="array" ref="E477">IF(
UPPER(TRIM(CLEAN($O477)))="ENTREGADO",
IFERROR(
INDEX(REPORTE_DROPI!Y:Y,
MATCH($T477, REPORTE_DROPI!B:B, 0)
),
""
),
""
)
</f>
        <v>5.2</v>
      </c>
      <c r="F477" s="121">
        <v>2.0</v>
      </c>
      <c r="G477" s="122">
        <f t="array" ref="G477">IF(
UPPER(TRIM(CLEAN($O477)))="ENTREGADO",
IFERROR(
INDEX(REPORTE_DROPI!R:R,
MATCH($T477, REPORTE_DROPI!B:B, 0)
),
""
),
""
)
</f>
        <v>22</v>
      </c>
      <c r="H477" s="118" t="s">
        <v>3727</v>
      </c>
      <c r="I477" s="118" t="s">
        <v>3855</v>
      </c>
      <c r="J477" s="121">
        <f t="array" ref="J477">IF(
UPPER(TRIM(CLEAN($O477)))="ENTREGADO",
IFERROR(
INDEX(REPORTE_DROPI!T:T,
MATCH($T477, REPORTE_DROPI!B:B, 0)
),
""
),
""
)
</f>
        <v>5.84</v>
      </c>
      <c r="K477" s="118">
        <f t="array" ref="K477">IFERROR(
INDEX(REPORTE_DROPI!S:S,
MATCH($T477, REPORTE_DROPI!B:B, 0)
),
""
)
</f>
        <v>10.96</v>
      </c>
      <c r="L477" s="118" t="str">
        <f>IF(
  O477&lt;&gt;"DEVOLUCION",
  "",
  IF(
    T477="",
    "",
    SUMIF(DEVOLUCION!F:F, T477, DEVOLUCION!D:D)
  )
)
</f>
        <v/>
      </c>
      <c r="M477" s="118"/>
      <c r="N477" s="130" t="s">
        <v>4656</v>
      </c>
      <c r="O477" s="118" t="str">
        <f t="array" ref="O477">IFERROR(
VLOOKUP(
TRIM(CLEAN(
INDEX(REPORTE_DROPI!K:K,
MATCH(T477, REPORTE_DROPI!B:B, 0)
))),
{
TRIM(CLEAN(MAPA_ESTADOS!A:A)) ,
MAPA_ESTADOS!B:B
},
2,
FALSE
),
"REVISAR"
)
</f>
        <v>ENTREGADO</v>
      </c>
      <c r="P477" s="118" t="s">
        <v>3654</v>
      </c>
      <c r="Q477" s="122">
        <f t="shared" si="1"/>
        <v>0</v>
      </c>
      <c r="R477" s="118"/>
      <c r="S477" s="118"/>
      <c r="T477" s="118">
        <f t="array" ref="T477">IFERROR(
INDEX(REPORTE_DROPI!B:B,
MATCH(
CLEAN(TRIM(C477)),
CLEAN(TRIM(REPORTE_DROPI!E:E)),
0
)
),
""
)
</f>
        <v>4130907</v>
      </c>
      <c r="U477" s="118">
        <v>6.41133697438E12</v>
      </c>
      <c r="V477" s="78"/>
      <c r="W477" s="78"/>
      <c r="X477" s="78"/>
      <c r="Y477" s="78"/>
      <c r="Z477" s="78"/>
    </row>
    <row r="478" ht="22.5" customHeight="1">
      <c r="A478" s="118">
        <v>477.0</v>
      </c>
      <c r="B478" s="119">
        <v>46035.0</v>
      </c>
      <c r="C478" s="118" t="s">
        <v>4657</v>
      </c>
      <c r="D478" s="118" t="str">
        <f>IFERROR(__xludf.DUMMYFUNCTION("IFERROR(
  INDEX(
    FILTER(
      'NOMBRE DE PRODUCTOS'!B:B,
      REGEXMATCH(
        UPPER(
          INDEX(
            REPORTE_DROPI!AC:AC,
            MATCH(T478, REPORTE_DROPI!B:B, 0)
          )
        ),
        UPPER('NOMBRE DE PRODUCTOS'!A:A)"&amp;"
      )
    ),
    1
  ),
  ""REVISAR""
)
"),"Cuchillo Tazaki™")</f>
        <v>Cuchillo Tazaki™</v>
      </c>
      <c r="E478" s="120">
        <f t="array" ref="E478">IF(
UPPER(TRIM(CLEAN($O478)))="ENTREGADO",
IFERROR(
INDEX(REPORTE_DROPI!Y:Y,
MATCH($T478, REPORTE_DROPI!B:B, 0)
),
""
),
""
)
</f>
        <v>7.8</v>
      </c>
      <c r="F478" s="121">
        <v>3.0</v>
      </c>
      <c r="G478" s="122">
        <f t="array" ref="G478">IF(
UPPER(TRIM(CLEAN($O478)))="ENTREGADO",
IFERROR(
INDEX(REPORTE_DROPI!R:R,
MATCH($T478, REPORTE_DROPI!B:B, 0)
),
""
),
""
)
</f>
        <v>27</v>
      </c>
      <c r="H478" s="118" t="s">
        <v>3727</v>
      </c>
      <c r="I478" s="118" t="s">
        <v>3731</v>
      </c>
      <c r="J478" s="121">
        <f t="array" ref="J478">IF(
UPPER(TRIM(CLEAN($O478)))="ENTREGADO",
IFERROR(
INDEX(REPORTE_DROPI!T:T,
MATCH($T478, REPORTE_DROPI!B:B, 0)
),
""
),
""
)
</f>
        <v>6.03</v>
      </c>
      <c r="K478" s="118">
        <f t="array" ref="K478">IFERROR(
INDEX(REPORTE_DROPI!S:S,
MATCH($T478, REPORTE_DROPI!B:B, 0)
),
""
)
</f>
        <v>13.17</v>
      </c>
      <c r="L478" s="118" t="str">
        <f>IF(
  O478&lt;&gt;"DEVOLUCION",
  "",
  IF(
    T478="",
    "",
    SUMIF(DEVOLUCION!F:F, T478, DEVOLUCION!D:D)
  )
)
</f>
        <v/>
      </c>
      <c r="M478" s="118"/>
      <c r="N478" s="130" t="s">
        <v>4658</v>
      </c>
      <c r="O478" s="118" t="str">
        <f t="array" ref="O478">IFERROR(
VLOOKUP(
TRIM(CLEAN(
INDEX(REPORTE_DROPI!K:K,
MATCH(T478, REPORTE_DROPI!B:B, 0)
))),
{
TRIM(CLEAN(MAPA_ESTADOS!A:A)) ,
MAPA_ESTADOS!B:B
},
2,
FALSE
),
"REVISAR"
)
</f>
        <v>ENTREGADO</v>
      </c>
      <c r="P478" s="118"/>
      <c r="Q478" s="122">
        <f t="shared" si="1"/>
        <v>0</v>
      </c>
      <c r="R478" s="118"/>
      <c r="S478" s="118"/>
      <c r="T478" s="118">
        <f t="array" ref="T478">IFERROR(
INDEX(REPORTE_DROPI!B:B,
MATCH(
CLEAN(TRIM(C478)),
CLEAN(TRIM(REPORTE_DROPI!E:E)),
0
)
),
""
)
</f>
        <v>4131234</v>
      </c>
      <c r="U478" s="118">
        <v>6.411398610988E12</v>
      </c>
      <c r="V478" s="78"/>
      <c r="W478" s="78"/>
      <c r="X478" s="78"/>
      <c r="Y478" s="78"/>
      <c r="Z478" s="78"/>
    </row>
    <row r="479" ht="22.5" customHeight="1">
      <c r="A479" s="118">
        <v>478.0</v>
      </c>
      <c r="B479" s="119">
        <v>46035.0</v>
      </c>
      <c r="C479" s="118" t="s">
        <v>4659</v>
      </c>
      <c r="D479" s="118" t="str">
        <f>IFERROR(__xludf.DUMMYFUNCTION("IFERROR(
  INDEX(
    FILTER(
      'NOMBRE DE PRODUCTOS'!B:B,
      REGEXMATCH(
        UPPER(
          INDEX(
            REPORTE_DROPI!AC:AC,
            MATCH(T479, REPORTE_DROPI!B:B, 0)
          )
        ),
        UPPER('NOMBRE DE PRODUCTOS'!A:A)"&amp;"
      )
    ),
    1
  ),
  ""REVISAR""
)
"),"Cuchillo Tazaki™")</f>
        <v>Cuchillo Tazaki™</v>
      </c>
      <c r="E479" s="120" t="str">
        <f t="array" ref="E479">IF(
UPPER(TRIM(CLEAN($O479)))="ENTREGADO",
IFERROR(
INDEX(REPORTE_DROPI!Y:Y,
MATCH($T479, REPORTE_DROPI!B:B, 0)
),
""
),
""
)
</f>
        <v/>
      </c>
      <c r="F479" s="121">
        <v>2.0</v>
      </c>
      <c r="G479" s="122" t="str">
        <f t="array" ref="G479">IF(
UPPER(TRIM(CLEAN($O479)))="ENTREGADO",
IFERROR(
INDEX(REPORTE_DROPI!R:R,
MATCH($T479, REPORTE_DROPI!B:B, 0)
),
""
),
""
)
</f>
        <v/>
      </c>
      <c r="H479" s="118" t="s">
        <v>3727</v>
      </c>
      <c r="I479" s="118" t="s">
        <v>3731</v>
      </c>
      <c r="J479" s="121" t="str">
        <f t="array" ref="J479">IF(
UPPER(TRIM(CLEAN($O479)))="ENTREGADO",
IFERROR(
INDEX(REPORTE_DROPI!T:T,
MATCH($T479, REPORTE_DROPI!B:B, 0)
),
""
),
""
)
</f>
        <v/>
      </c>
      <c r="K479" s="118" t="str">
        <f t="array" ref="K479">IFERROR(
INDEX(REPORTE_DROPI!S:S,
MATCH($T479, REPORTE_DROPI!B:B, 0)
),
""
)
</f>
        <v/>
      </c>
      <c r="L479" s="118">
        <f>IF(
  O479&lt;&gt;"DEVOLUCION",
  "",
  IF(
    T479="",
    "",
    SUMIF(DEVOLUCION!F:F, T479, DEVOLUCION!D:D)
  )
)
</f>
        <v>7.7</v>
      </c>
      <c r="M479" s="118"/>
      <c r="N479" s="130" t="s">
        <v>4660</v>
      </c>
      <c r="O479" s="118" t="str">
        <f t="array" ref="O479">IFERROR(
VLOOKUP(
TRIM(CLEAN(
INDEX(REPORTE_DROPI!K:K,
MATCH(T479, REPORTE_DROPI!B:B, 0)
))),
{
TRIM(CLEAN(MAPA_ESTADOS!A:A)) ,
MAPA_ESTADOS!B:B
},
2,
FALSE
),
"REVISAR"
)
</f>
        <v>DEVOLUCION</v>
      </c>
      <c r="P479" s="118"/>
      <c r="Q479" s="122">
        <f t="shared" si="1"/>
        <v>0</v>
      </c>
      <c r="R479" s="118"/>
      <c r="S479" s="118"/>
      <c r="T479" s="118">
        <f t="array" ref="T479">IFERROR(
INDEX(REPORTE_DROPI!B:B,
MATCH(
CLEAN(TRIM(C479)),
CLEAN(TRIM(REPORTE_DROPI!E:E)),
0
)
),
""
)
</f>
        <v>4131335</v>
      </c>
      <c r="U479" s="118">
        <v>6.41141463454E12</v>
      </c>
      <c r="V479" s="78"/>
      <c r="W479" s="78"/>
      <c r="X479" s="78"/>
      <c r="Y479" s="78"/>
      <c r="Z479" s="78"/>
    </row>
    <row r="480" ht="22.5" customHeight="1">
      <c r="A480" s="118">
        <v>479.0</v>
      </c>
      <c r="B480" s="119">
        <v>46035.0</v>
      </c>
      <c r="C480" s="126" t="s">
        <v>4661</v>
      </c>
      <c r="D480" s="118" t="str">
        <f>IFERROR(__xludf.DUMMYFUNCTION("IFERROR(
  INDEX(
    FILTER(
      'NOMBRE DE PRODUCTOS'!B:B,
      REGEXMATCH(
        UPPER(
          INDEX(
            REPORTE_DROPI!AC:AC,
            MATCH(T480, REPORTE_DROPI!B:B, 0)
          )
        ),
        UPPER('NOMBRE DE PRODUCTOS'!A:A)"&amp;"
      )
    ),
    1
  ),
  ""REVISAR""
)
"),"Cuchillo Tazaki™")</f>
        <v>Cuchillo Tazaki™</v>
      </c>
      <c r="E480" s="120" t="str">
        <f t="array" ref="E480">IF(
UPPER(TRIM(CLEAN($O480)))="ENTREGADO",
IFERROR(
INDEX(REPORTE_DROPI!Y:Y,
MATCH($T480, REPORTE_DROPI!B:B, 0)
),
""
),
""
)
</f>
        <v/>
      </c>
      <c r="F480" s="121">
        <v>2.0</v>
      </c>
      <c r="G480" s="122" t="str">
        <f t="array" ref="G480">IF(
UPPER(TRIM(CLEAN($O480)))="ENTREGADO",
IFERROR(
INDEX(REPORTE_DROPI!R:R,
MATCH($T480, REPORTE_DROPI!B:B, 0)
),
""
),
""
)
</f>
        <v/>
      </c>
      <c r="H480" s="118" t="s">
        <v>3727</v>
      </c>
      <c r="I480" s="118" t="s">
        <v>3778</v>
      </c>
      <c r="J480" s="121" t="str">
        <f t="array" ref="J480">IF(
UPPER(TRIM(CLEAN($O480)))="ENTREGADO",
IFERROR(
INDEX(REPORTE_DROPI!T:T,
MATCH($T480, REPORTE_DROPI!B:B, 0)
),
""
),
""
)
</f>
        <v/>
      </c>
      <c r="K480" s="118" t="str">
        <f t="array" ref="K480">IFERROR(
INDEX(REPORTE_DROPI!S:S,
MATCH($T480, REPORTE_DROPI!B:B, 0)
),
""
)
</f>
        <v/>
      </c>
      <c r="L480" s="118" t="str">
        <f>IF(
  O480&lt;&gt;"DEVOLUCION",
  "",
  IF(
    T480="",
    "",
    SUMIF(DEVOLUCION!F:F, T480, DEVOLUCION!D:D)
  )
)
</f>
        <v/>
      </c>
      <c r="M480" s="118"/>
      <c r="N480" s="130" t="s">
        <v>4662</v>
      </c>
      <c r="O480" s="118" t="str">
        <f t="array" ref="O480">IFERROR(
VLOOKUP(
TRIM(CLEAN(
INDEX(REPORTE_DROPI!K:K,
MATCH(T480, REPORTE_DROPI!B:B, 0)
))),
{
TRIM(CLEAN(MAPA_ESTADOS!A:A)) ,
MAPA_ESTADOS!B:B
},
2,
FALSE
),
"REVISAR"
)
</f>
        <v>PENDIENTE</v>
      </c>
      <c r="P480" s="118" t="s">
        <v>3654</v>
      </c>
      <c r="Q480" s="122">
        <f t="shared" si="1"/>
        <v>0</v>
      </c>
      <c r="R480" s="118"/>
      <c r="S480" s="118"/>
      <c r="T480" s="118">
        <f t="array" ref="T480">IFERROR(
INDEX(REPORTE_DROPI!B:B,
MATCH(
CLEAN(TRIM(C480)),
CLEAN(TRIM(REPORTE_DROPI!E:E)),
0
)
),
""
)
</f>
        <v>4131361</v>
      </c>
      <c r="U480" s="118">
        <v>6.411424202796E12</v>
      </c>
      <c r="V480" s="78"/>
      <c r="W480" s="78"/>
      <c r="X480" s="78"/>
      <c r="Y480" s="78"/>
      <c r="Z480" s="78"/>
    </row>
    <row r="481" ht="22.5" customHeight="1">
      <c r="A481" s="118">
        <v>480.0</v>
      </c>
      <c r="B481" s="119">
        <v>46035.0</v>
      </c>
      <c r="C481" s="118" t="s">
        <v>4663</v>
      </c>
      <c r="D481" s="118" t="str">
        <f>IFERROR(__xludf.DUMMYFUNCTION("IFERROR(
  INDEX(
    FILTER(
      'NOMBRE DE PRODUCTOS'!B:B,
      REGEXMATCH(
        UPPER(
          INDEX(
            REPORTE_DROPI!AC:AC,
            MATCH(T481, REPORTE_DROPI!B:B, 0)
          )
        ),
        UPPER('NOMBRE DE PRODUCTOS'!A:A)"&amp;"
      )
    ),
    1
  ),
  ""REVISAR""
)
"),"Cuchillo Tazaki™")</f>
        <v>Cuchillo Tazaki™</v>
      </c>
      <c r="E481" s="120">
        <f t="array" ref="E481">IF(
UPPER(TRIM(CLEAN($O481)))="ENTREGADO",
IFERROR(
INDEX(REPORTE_DROPI!Y:Y,
MATCH($T481, REPORTE_DROPI!B:B, 0)
),
""
),
""
)
</f>
        <v>10.4</v>
      </c>
      <c r="F481" s="121">
        <v>4.0</v>
      </c>
      <c r="G481" s="122">
        <f t="array" ref="G481">IF(
UPPER(TRIM(CLEAN($O481)))="ENTREGADO",
IFERROR(
INDEX(REPORTE_DROPI!R:R,
MATCH($T481, REPORTE_DROPI!B:B, 0)
),
""
),
""
)
</f>
        <v>32</v>
      </c>
      <c r="H481" s="118" t="s">
        <v>3727</v>
      </c>
      <c r="I481" s="118" t="s">
        <v>3740</v>
      </c>
      <c r="J481" s="121">
        <f t="array" ref="J481">IF(
UPPER(TRIM(CLEAN($O481)))="ENTREGADO",
IFERROR(
INDEX(REPORTE_DROPI!T:T,
MATCH($T481, REPORTE_DROPI!B:B, 0)
),
""
),
""
)
</f>
        <v>5.66</v>
      </c>
      <c r="K481" s="118">
        <f t="array" ref="K481">IFERROR(
INDEX(REPORTE_DROPI!S:S,
MATCH($T481, REPORTE_DROPI!B:B, 0)
),
""
)
</f>
        <v>15.94</v>
      </c>
      <c r="L481" s="118" t="str">
        <f>IF(
  O481&lt;&gt;"DEVOLUCION",
  "",
  IF(
    T481="",
    "",
    SUMIF(DEVOLUCION!F:F, T481, DEVOLUCION!D:D)
  )
)
</f>
        <v/>
      </c>
      <c r="M481" s="118"/>
      <c r="N481" s="130" t="s">
        <v>4664</v>
      </c>
      <c r="O481" s="118" t="str">
        <f t="array" ref="O481">IFERROR(
VLOOKUP(
TRIM(CLEAN(
INDEX(REPORTE_DROPI!K:K,
MATCH(T481, REPORTE_DROPI!B:B, 0)
))),
{
TRIM(CLEAN(MAPA_ESTADOS!A:A)) ,
MAPA_ESTADOS!B:B
},
2,
FALSE
),
"REVISAR"
)
</f>
        <v>ENTREGADO</v>
      </c>
      <c r="P481" s="118"/>
      <c r="Q481" s="122">
        <f t="shared" si="1"/>
        <v>0</v>
      </c>
      <c r="R481" s="118"/>
      <c r="S481" s="118"/>
      <c r="T481" s="118">
        <f t="array" ref="T481">IFERROR(
INDEX(REPORTE_DROPI!B:B,
MATCH(
CLEAN(TRIM(C481)),
CLEAN(TRIM(REPORTE_DROPI!E:E)),
0
)
),
""
)
</f>
        <v>4131401</v>
      </c>
      <c r="U481" s="118">
        <v>6.4114308547E12</v>
      </c>
      <c r="V481" s="78"/>
      <c r="W481" s="78"/>
      <c r="X481" s="78"/>
      <c r="Y481" s="78"/>
      <c r="Z481" s="78"/>
    </row>
    <row r="482" ht="22.5" customHeight="1">
      <c r="A482" s="118">
        <v>481.0</v>
      </c>
      <c r="B482" s="119">
        <v>46035.0</v>
      </c>
      <c r="C482" s="126" t="s">
        <v>4665</v>
      </c>
      <c r="D482" s="118" t="str">
        <f>IFERROR(__xludf.DUMMYFUNCTION("IFERROR(
  INDEX(
    FILTER(
      'NOMBRE DE PRODUCTOS'!B:B,
      REGEXMATCH(
        UPPER(
          INDEX(
            REPORTE_DROPI!AC:AC,
            MATCH(T482, REPORTE_DROPI!B:B, 0)
          )
        ),
        UPPER('NOMBRE DE PRODUCTOS'!A:A)"&amp;"
      )
    ),
    1
  ),
  ""REVISAR""
)
"),"FilmPro®")</f>
        <v>FilmPro®</v>
      </c>
      <c r="E482" s="120" t="str">
        <f t="array" ref="E482">IF(
UPPER(TRIM(CLEAN($O482)))="ENTREGADO",
IFERROR(
INDEX(REPORTE_DROPI!Y:Y,
MATCH($T482, REPORTE_DROPI!B:B, 0)
),
""
),
""
)
</f>
        <v/>
      </c>
      <c r="F482" s="121">
        <v>2.0</v>
      </c>
      <c r="G482" s="122" t="str">
        <f t="array" ref="G482">IF(
UPPER(TRIM(CLEAN($O482)))="ENTREGADO",
IFERROR(
INDEX(REPORTE_DROPI!R:R,
MATCH($T482, REPORTE_DROPI!B:B, 0)
),
""
),
""
)
</f>
        <v/>
      </c>
      <c r="H482" s="118" t="s">
        <v>3727</v>
      </c>
      <c r="I482" s="118" t="s">
        <v>3740</v>
      </c>
      <c r="J482" s="121" t="str">
        <f t="array" ref="J482">IF(
UPPER(TRIM(CLEAN($O482)))="ENTREGADO",
IFERROR(
INDEX(REPORTE_DROPI!T:T,
MATCH($T482, REPORTE_DROPI!B:B, 0)
),
""
),
""
)
</f>
        <v/>
      </c>
      <c r="K482" s="118" t="str">
        <f t="array" ref="K482">IFERROR(
INDEX(REPORTE_DROPI!S:S,
MATCH($T482, REPORTE_DROPI!B:B, 0)
),
""
)
</f>
        <v/>
      </c>
      <c r="L482" s="118">
        <f>IF(
  O482&lt;&gt;"DEVOLUCION",
  "",
  IF(
    T482="",
    "",
    SUMIF(DEVOLUCION!F:F, T482, DEVOLUCION!D:D)
  )
)
</f>
        <v>5.09</v>
      </c>
      <c r="M482" s="118" t="s">
        <v>3870</v>
      </c>
      <c r="N482" s="130" t="s">
        <v>4666</v>
      </c>
      <c r="O482" s="118" t="str">
        <f t="array" ref="O482">IFERROR(
VLOOKUP(
TRIM(CLEAN(
INDEX(REPORTE_DROPI!K:K,
MATCH(T482, REPORTE_DROPI!B:B, 0)
))),
{
TRIM(CLEAN(MAPA_ESTADOS!A:A)) ,
MAPA_ESTADOS!B:B
},
2,
FALSE
),
"REVISAR"
)
</f>
        <v>DEVOLUCION</v>
      </c>
      <c r="P482" s="118" t="s">
        <v>4667</v>
      </c>
      <c r="Q482" s="122">
        <f t="shared" si="1"/>
        <v>0</v>
      </c>
      <c r="R482" s="118"/>
      <c r="S482" s="118"/>
      <c r="T482" s="118">
        <f t="array" ref="T482">IFERROR(
INDEX(REPORTE_DROPI!B:B,
MATCH(
CLEAN(TRIM(C482)),
CLEAN(TRIM(REPORTE_DROPI!E:E)),
0
)
),
""
)
</f>
        <v>4131890</v>
      </c>
      <c r="U482" s="118">
        <v>6.411531485228E12</v>
      </c>
      <c r="V482" s="78"/>
      <c r="W482" s="78"/>
      <c r="X482" s="78"/>
      <c r="Y482" s="78"/>
      <c r="Z482" s="78"/>
    </row>
    <row r="483" ht="22.5" customHeight="1">
      <c r="A483" s="118">
        <v>482.0</v>
      </c>
      <c r="B483" s="119">
        <v>46035.0</v>
      </c>
      <c r="C483" s="126" t="s">
        <v>4668</v>
      </c>
      <c r="D483" s="118" t="str">
        <f>IFERROR(__xludf.DUMMYFUNCTION("IFERROR(
  INDEX(
    FILTER(
      'NOMBRE DE PRODUCTOS'!B:B,
      REGEXMATCH(
        UPPER(
          INDEX(
            REPORTE_DROPI!AC:AC,
            MATCH(T483, REPORTE_DROPI!B:B, 0)
          )
        ),
        UPPER('NOMBRE DE PRODUCTOS'!A:A)"&amp;"
      )
    ),
    1
  ),
  ""REVISAR""
)
"),"Cuchillo Tazaki™")</f>
        <v>Cuchillo Tazaki™</v>
      </c>
      <c r="E483" s="120" t="str">
        <f t="array" ref="E483">IF(
UPPER(TRIM(CLEAN($O483)))="ENTREGADO",
IFERROR(
INDEX(REPORTE_DROPI!Y:Y,
MATCH($T483, REPORTE_DROPI!B:B, 0)
),
""
),
""
)
</f>
        <v/>
      </c>
      <c r="F483" s="121">
        <v>3.0</v>
      </c>
      <c r="G483" s="122" t="str">
        <f t="array" ref="G483">IF(
UPPER(TRIM(CLEAN($O483)))="ENTREGADO",
IFERROR(
INDEX(REPORTE_DROPI!R:R,
MATCH($T483, REPORTE_DROPI!B:B, 0)
),
""
),
""
)
</f>
        <v/>
      </c>
      <c r="H483" s="118" t="s">
        <v>3727</v>
      </c>
      <c r="I483" s="118" t="s">
        <v>3951</v>
      </c>
      <c r="J483" s="121" t="str">
        <f t="array" ref="J483">IF(
UPPER(TRIM(CLEAN($O483)))="ENTREGADO",
IFERROR(
INDEX(REPORTE_DROPI!T:T,
MATCH($T483, REPORTE_DROPI!B:B, 0)
),
""
),
""
)
</f>
        <v/>
      </c>
      <c r="K483" s="118" t="str">
        <f t="array" ref="K483">IFERROR(
INDEX(REPORTE_DROPI!S:S,
MATCH($T483, REPORTE_DROPI!B:B, 0)
),
""
)
</f>
        <v/>
      </c>
      <c r="L483" s="118" t="str">
        <f>IF(
  O483&lt;&gt;"DEVOLUCION",
  "",
  IF(
    T483="",
    "",
    SUMIF(DEVOLUCION!F:F, T483, DEVOLUCION!D:D)
  )
)
</f>
        <v/>
      </c>
      <c r="M483" s="118"/>
      <c r="N483" s="130" t="s">
        <v>4669</v>
      </c>
      <c r="O483" s="118" t="str">
        <f t="array" ref="O483">IFERROR(
VLOOKUP(
TRIM(CLEAN(
INDEX(REPORTE_DROPI!K:K,
MATCH(T483, REPORTE_DROPI!B:B, 0)
))),
{
TRIM(CLEAN(MAPA_ESTADOS!A:A)) ,
MAPA_ESTADOS!B:B
},
2,
FALSE
),
"REVISAR"
)
</f>
        <v>PENDIENTE</v>
      </c>
      <c r="P483" s="118" t="s">
        <v>3654</v>
      </c>
      <c r="Q483" s="122">
        <f t="shared" si="1"/>
        <v>0</v>
      </c>
      <c r="R483" s="118"/>
      <c r="S483" s="118"/>
      <c r="T483" s="118">
        <f t="array" ref="T483">IFERROR(
INDEX(REPORTE_DROPI!B:B,
MATCH(
CLEAN(TRIM(C483)),
CLEAN(TRIM(REPORTE_DROPI!E:E)),
0
)
),
""
)
</f>
        <v>4147533</v>
      </c>
      <c r="U483" s="118">
        <v>6.411585060908E12</v>
      </c>
      <c r="V483" s="78"/>
      <c r="W483" s="78"/>
      <c r="X483" s="78"/>
      <c r="Y483" s="78"/>
      <c r="Z483" s="78"/>
    </row>
    <row r="484" ht="22.5" customHeight="1">
      <c r="A484" s="118">
        <v>483.0</v>
      </c>
      <c r="B484" s="119">
        <v>46035.0</v>
      </c>
      <c r="C484" s="118" t="s">
        <v>4670</v>
      </c>
      <c r="D484" s="118" t="str">
        <f>IFERROR(__xludf.DUMMYFUNCTION("IFERROR(
  INDEX(
    FILTER(
      'NOMBRE DE PRODUCTOS'!B:B,
      REGEXMATCH(
        UPPER(
          INDEX(
            REPORTE_DROPI!AC:AC,
            MATCH(T484, REPORTE_DROPI!B:B, 0)
          )
        ),
        UPPER('NOMBRE DE PRODUCTOS'!A:A)"&amp;"
      )
    ),
    1
  ),
  ""REVISAR""
)
"),"FilmPro®")</f>
        <v>FilmPro®</v>
      </c>
      <c r="E484" s="120">
        <f t="array" ref="E484">IF(
UPPER(TRIM(CLEAN($O484)))="ENTREGADO",
IFERROR(
INDEX(REPORTE_DROPI!Y:Y,
MATCH($T484, REPORTE_DROPI!B:B, 0)
),
""
),
""
)
</f>
        <v>7.05</v>
      </c>
      <c r="F484" s="121">
        <v>3.0</v>
      </c>
      <c r="G484" s="122">
        <f t="array" ref="G484">IF(
UPPER(TRIM(CLEAN($O484)))="ENTREGADO",
IFERROR(
INDEX(REPORTE_DROPI!R:R,
MATCH($T484, REPORTE_DROPI!B:B, 0)
),
""
),
""
)
</f>
        <v>30</v>
      </c>
      <c r="H484" s="118" t="s">
        <v>3727</v>
      </c>
      <c r="I484" s="118" t="s">
        <v>3855</v>
      </c>
      <c r="J484" s="121">
        <f t="array" ref="J484">IF(
UPPER(TRIM(CLEAN($O484)))="ENTREGADO",
IFERROR(
INDEX(REPORTE_DROPI!T:T,
MATCH($T484, REPORTE_DROPI!B:B, 0)
),
""
),
""
)
</f>
        <v>6.16</v>
      </c>
      <c r="K484" s="118">
        <f t="array" ref="K484">IFERROR(
INDEX(REPORTE_DROPI!S:S,
MATCH($T484, REPORTE_DROPI!B:B, 0)
),
""
)
</f>
        <v>16.79</v>
      </c>
      <c r="L484" s="118" t="str">
        <f>IF(
  O484&lt;&gt;"DEVOLUCION",
  "",
  IF(
    T484="",
    "",
    SUMIF(DEVOLUCION!F:F, T484, DEVOLUCION!D:D)
  )
)
</f>
        <v/>
      </c>
      <c r="M484" s="118" t="s">
        <v>3870</v>
      </c>
      <c r="N484" s="130" t="s">
        <v>4671</v>
      </c>
      <c r="O484" s="118" t="str">
        <f t="array" ref="O484">IFERROR(
VLOOKUP(
TRIM(CLEAN(
INDEX(REPORTE_DROPI!K:K,
MATCH(T484, REPORTE_DROPI!B:B, 0)
))),
{
TRIM(CLEAN(MAPA_ESTADOS!A:A)) ,
MAPA_ESTADOS!B:B
},
2,
FALSE
),
"REVISAR"
)
</f>
        <v>ENTREGADO</v>
      </c>
      <c r="P484" s="118"/>
      <c r="Q484" s="122">
        <f t="shared" si="1"/>
        <v>0</v>
      </c>
      <c r="R484" s="118"/>
      <c r="S484" s="118"/>
      <c r="T484" s="118">
        <f t="array" ref="T484">IFERROR(
INDEX(REPORTE_DROPI!B:B,
MATCH(
CLEAN(TRIM(C484)),
CLEAN(TRIM(REPORTE_DROPI!E:E)),
0
)
),
""
)
</f>
        <v>4132419</v>
      </c>
      <c r="U484" s="118">
        <v>6.411674386476E12</v>
      </c>
      <c r="V484" s="78"/>
      <c r="W484" s="78"/>
      <c r="X484" s="78"/>
      <c r="Y484" s="78"/>
      <c r="Z484" s="78"/>
    </row>
    <row r="485" ht="22.5" customHeight="1">
      <c r="A485" s="118">
        <v>484.0</v>
      </c>
      <c r="B485" s="119">
        <v>46035.0</v>
      </c>
      <c r="C485" s="126" t="s">
        <v>4672</v>
      </c>
      <c r="D485" s="118" t="str">
        <f>IFERROR(__xludf.DUMMYFUNCTION("IFERROR(
  INDEX(
    FILTER(
      'NOMBRE DE PRODUCTOS'!B:B,
      REGEXMATCH(
        UPPER(
          INDEX(
            REPORTE_DROPI!AC:AC,
            MATCH(T485, REPORTE_DROPI!B:B, 0)
          )
        ),
        UPPER('NOMBRE DE PRODUCTOS'!A:A)"&amp;"
      )
    ),
    1
  ),
  ""REVISAR""
)
"),"Cuchillo Tazaki™")</f>
        <v>Cuchillo Tazaki™</v>
      </c>
      <c r="E485" s="120" t="str">
        <f t="array" ref="E485">IF(
UPPER(TRIM(CLEAN($O485)))="ENTREGADO",
IFERROR(
INDEX(REPORTE_DROPI!Y:Y,
MATCH($T485, REPORTE_DROPI!B:B, 0)
),
""
),
""
)
</f>
        <v/>
      </c>
      <c r="F485" s="121">
        <v>2.0</v>
      </c>
      <c r="G485" s="122" t="str">
        <f t="array" ref="G485">IF(
UPPER(TRIM(CLEAN($O485)))="ENTREGADO",
IFERROR(
INDEX(REPORTE_DROPI!R:R,
MATCH($T485, REPORTE_DROPI!B:B, 0)
),
""
),
""
)
</f>
        <v/>
      </c>
      <c r="H485" s="118" t="s">
        <v>3727</v>
      </c>
      <c r="I485" s="118" t="s">
        <v>3728</v>
      </c>
      <c r="J485" s="121" t="str">
        <f t="array" ref="J485">IF(
UPPER(TRIM(CLEAN($O485)))="ENTREGADO",
IFERROR(
INDEX(REPORTE_DROPI!T:T,
MATCH($T485, REPORTE_DROPI!B:B, 0)
),
""
),
""
)
</f>
        <v/>
      </c>
      <c r="K485" s="118" t="str">
        <f t="array" ref="K485">IFERROR(
INDEX(REPORTE_DROPI!S:S,
MATCH($T485, REPORTE_DROPI!B:B, 0)
),
""
)
</f>
        <v/>
      </c>
      <c r="L485" s="118" t="str">
        <f>IF(
  O485&lt;&gt;"DEVOLUCION",
  "",
  IF(
    T485="",
    "",
    SUMIF(DEVOLUCION!F:F, T485, DEVOLUCION!D:D)
  )
)
</f>
        <v/>
      </c>
      <c r="M485" s="118"/>
      <c r="N485" s="130" t="s">
        <v>4673</v>
      </c>
      <c r="O485" s="118" t="str">
        <f t="array" ref="O485">IFERROR(
VLOOKUP(
TRIM(CLEAN(
INDEX(REPORTE_DROPI!K:K,
MATCH(T485, REPORTE_DROPI!B:B, 0)
))),
{
TRIM(CLEAN(MAPA_ESTADOS!A:A)) ,
MAPA_ESTADOS!B:B
},
2,
FALSE
),
"REVISAR"
)
</f>
        <v>PENDIENTE</v>
      </c>
      <c r="P485" s="118" t="s">
        <v>3654</v>
      </c>
      <c r="Q485" s="122">
        <f t="shared" si="1"/>
        <v>0</v>
      </c>
      <c r="R485" s="118"/>
      <c r="S485" s="118"/>
      <c r="T485" s="118">
        <f t="array" ref="T485">IFERROR(
INDEX(REPORTE_DROPI!B:B,
MATCH(
CLEAN(TRIM(C485)),
CLEAN(TRIM(REPORTE_DROPI!E:E)),
0
)
),
""
)
</f>
        <v>4132459</v>
      </c>
      <c r="U485" s="118">
        <v>6.411679531052E12</v>
      </c>
      <c r="V485" s="78"/>
      <c r="W485" s="78"/>
      <c r="X485" s="78"/>
      <c r="Y485" s="78"/>
      <c r="Z485" s="78"/>
    </row>
    <row r="486" ht="22.5" customHeight="1">
      <c r="A486" s="118">
        <v>485.0</v>
      </c>
      <c r="B486" s="119">
        <v>46035.0</v>
      </c>
      <c r="C486" s="126" t="s">
        <v>4674</v>
      </c>
      <c r="D486" s="118" t="str">
        <f>IFERROR(__xludf.DUMMYFUNCTION("IFERROR(
  INDEX(
    FILTER(
      'NOMBRE DE PRODUCTOS'!B:B,
      REGEXMATCH(
        UPPER(
          INDEX(
            REPORTE_DROPI!AC:AC,
            MATCH(T486, REPORTE_DROPI!B:B, 0)
          )
        ),
        UPPER('NOMBRE DE PRODUCTOS'!A:A)"&amp;"
      )
    ),
    1
  ),
  ""REVISAR""
)
"),"FilmPro®")</f>
        <v>FilmPro®</v>
      </c>
      <c r="E486" s="120" t="str">
        <f t="array" ref="E486">IF(
UPPER(TRIM(CLEAN($O486)))="ENTREGADO",
IFERROR(
INDEX(REPORTE_DROPI!Y:Y,
MATCH($T486, REPORTE_DROPI!B:B, 0)
),
""
),
""
)
</f>
        <v/>
      </c>
      <c r="F486" s="121">
        <v>2.0</v>
      </c>
      <c r="G486" s="122" t="str">
        <f t="array" ref="G486">IF(
UPPER(TRIM(CLEAN($O486)))="ENTREGADO",
IFERROR(
INDEX(REPORTE_DROPI!R:R,
MATCH($T486, REPORTE_DROPI!B:B, 0)
),
""
),
""
)
</f>
        <v/>
      </c>
      <c r="H486" s="118" t="s">
        <v>3727</v>
      </c>
      <c r="I486" s="118" t="s">
        <v>3784</v>
      </c>
      <c r="J486" s="121" t="str">
        <f t="array" ref="J486">IF(
UPPER(TRIM(CLEAN($O486)))="ENTREGADO",
IFERROR(
INDEX(REPORTE_DROPI!T:T,
MATCH($T486, REPORTE_DROPI!B:B, 0)
),
""
),
""
)
</f>
        <v/>
      </c>
      <c r="K486" s="118" t="str">
        <f t="array" ref="K486">IFERROR(
INDEX(REPORTE_DROPI!S:S,
MATCH($T486, REPORTE_DROPI!B:B, 0)
),
""
)
</f>
        <v/>
      </c>
      <c r="L486" s="118" t="str">
        <f>IF(
  O486&lt;&gt;"DEVOLUCION",
  "",
  IF(
    T486="",
    "",
    SUMIF(DEVOLUCION!F:F, T486, DEVOLUCION!D:D)
  )
)
</f>
        <v/>
      </c>
      <c r="M486" s="118"/>
      <c r="N486" s="130" t="s">
        <v>4675</v>
      </c>
      <c r="O486" s="118" t="str">
        <f t="array" ref="O486">IFERROR(
VLOOKUP(
TRIM(CLEAN(
INDEX(REPORTE_DROPI!K:K,
MATCH(T486, REPORTE_DROPI!B:B, 0)
))),
{
TRIM(CLEAN(MAPA_ESTADOS!A:A)) ,
MAPA_ESTADOS!B:B
},
2,
FALSE
),
"REVISAR"
)
</f>
        <v>PENDIENTE</v>
      </c>
      <c r="P486" s="118" t="s">
        <v>3654</v>
      </c>
      <c r="Q486" s="122">
        <f t="shared" si="1"/>
        <v>0</v>
      </c>
      <c r="R486" s="118"/>
      <c r="S486" s="118"/>
      <c r="T486" s="118">
        <f t="array" ref="T486">IFERROR(
INDEX(REPORTE_DROPI!B:B,
MATCH(
CLEAN(TRIM(C486)),
CLEAN(TRIM(REPORTE_DROPI!E:E)),
0
)
),
""
)
</f>
        <v>4132542</v>
      </c>
      <c r="U486" s="118">
        <v>6.411697782828E12</v>
      </c>
      <c r="V486" s="78"/>
      <c r="W486" s="78"/>
      <c r="X486" s="78"/>
      <c r="Y486" s="78"/>
      <c r="Z486" s="78"/>
    </row>
    <row r="487" ht="22.5" customHeight="1">
      <c r="A487" s="118">
        <v>486.0</v>
      </c>
      <c r="B487" s="119">
        <v>46035.0</v>
      </c>
      <c r="C487" s="126" t="s">
        <v>4676</v>
      </c>
      <c r="D487" s="118" t="str">
        <f>IFERROR(__xludf.DUMMYFUNCTION("IFERROR(
  INDEX(
    FILTER(
      'NOMBRE DE PRODUCTOS'!B:B,
      REGEXMATCH(
        UPPER(
          INDEX(
            REPORTE_DROPI!AC:AC,
            MATCH(T487, REPORTE_DROPI!B:B, 0)
          )
        ),
        UPPER('NOMBRE DE PRODUCTOS'!A:A)"&amp;"
      )
    ),
    1
  ),
  ""REVISAR""
)
"),"FilmPro®")</f>
        <v>FilmPro®</v>
      </c>
      <c r="E487" s="120" t="str">
        <f t="array" ref="E487">IF(
UPPER(TRIM(CLEAN($O487)))="ENTREGADO",
IFERROR(
INDEX(REPORTE_DROPI!Y:Y,
MATCH($T487, REPORTE_DROPI!B:B, 0)
),
""
),
""
)
</f>
        <v/>
      </c>
      <c r="F487" s="121">
        <v>2.0</v>
      </c>
      <c r="G487" s="122" t="str">
        <f t="array" ref="G487">IF(
UPPER(TRIM(CLEAN($O487)))="ENTREGADO",
IFERROR(
INDEX(REPORTE_DROPI!R:R,
MATCH($T487, REPORTE_DROPI!B:B, 0)
),
""
),
""
)
</f>
        <v/>
      </c>
      <c r="H487" s="118" t="s">
        <v>3727</v>
      </c>
      <c r="I487" s="118" t="s">
        <v>3740</v>
      </c>
      <c r="J487" s="121" t="str">
        <f t="array" ref="J487">IF(
UPPER(TRIM(CLEAN($O487)))="ENTREGADO",
IFERROR(
INDEX(REPORTE_DROPI!T:T,
MATCH($T487, REPORTE_DROPI!B:B, 0)
),
""
),
""
)
</f>
        <v/>
      </c>
      <c r="K487" s="118" t="str">
        <f t="array" ref="K487">IFERROR(
INDEX(REPORTE_DROPI!S:S,
MATCH($T487, REPORTE_DROPI!B:B, 0)
),
""
)
</f>
        <v/>
      </c>
      <c r="L487" s="118" t="str">
        <f>IF(
  O487&lt;&gt;"DEVOLUCION",
  "",
  IF(
    T487="",
    "",
    SUMIF(DEVOLUCION!F:F, T487, DEVOLUCION!D:D)
  )
)
</f>
        <v/>
      </c>
      <c r="M487" s="118"/>
      <c r="N487" s="130" t="s">
        <v>4677</v>
      </c>
      <c r="O487" s="118" t="str">
        <f t="array" ref="O487">IFERROR(
VLOOKUP(
TRIM(CLEAN(
INDEX(REPORTE_DROPI!K:K,
MATCH(T487, REPORTE_DROPI!B:B, 0)
))),
{
TRIM(CLEAN(MAPA_ESTADOS!A:A)) ,
MAPA_ESTADOS!B:B
},
2,
FALSE
),
"REVISAR"
)
</f>
        <v>PENDIENTE</v>
      </c>
      <c r="P487" s="118" t="s">
        <v>3654</v>
      </c>
      <c r="Q487" s="122">
        <f t="shared" si="1"/>
        <v>0</v>
      </c>
      <c r="R487" s="118"/>
      <c r="S487" s="118"/>
      <c r="T487" s="118">
        <f t="array" ref="T487">IFERROR(
INDEX(REPORTE_DROPI!B:B,
MATCH(
CLEAN(TRIM(C487)),
CLEAN(TRIM(REPORTE_DROPI!E:E)),
0
)
),
""
)
</f>
        <v>4132552</v>
      </c>
      <c r="U487" s="118">
        <v>6.411702632492E12</v>
      </c>
      <c r="V487" s="78"/>
      <c r="W487" s="78"/>
      <c r="X487" s="78"/>
      <c r="Y487" s="78"/>
      <c r="Z487" s="78"/>
    </row>
    <row r="488" ht="22.5" customHeight="1">
      <c r="A488" s="118">
        <v>487.0</v>
      </c>
      <c r="B488" s="119">
        <v>46035.0</v>
      </c>
      <c r="C488" s="126" t="s">
        <v>4678</v>
      </c>
      <c r="D488" s="118" t="str">
        <f>IFERROR(__xludf.DUMMYFUNCTION("IFERROR(
  INDEX(
    FILTER(
      'NOMBRE DE PRODUCTOS'!B:B,
      REGEXMATCH(
        UPPER(
          INDEX(
            REPORTE_DROPI!AC:AC,
            MATCH(T488, REPORTE_DROPI!B:B, 0)
          )
        ),
        UPPER('NOMBRE DE PRODUCTOS'!A:A)"&amp;"
      )
    ),
    1
  ),
  ""REVISAR""
)
"),"FilmPro®")</f>
        <v>FilmPro®</v>
      </c>
      <c r="E488" s="120" t="str">
        <f t="array" ref="E488">IF(
UPPER(TRIM(CLEAN($O488)))="ENTREGADO",
IFERROR(
INDEX(REPORTE_DROPI!Y:Y,
MATCH($T488, REPORTE_DROPI!B:B, 0)
),
""
),
""
)
</f>
        <v/>
      </c>
      <c r="F488" s="121">
        <v>3.0</v>
      </c>
      <c r="G488" s="122" t="str">
        <f t="array" ref="G488">IF(
UPPER(TRIM(CLEAN($O488)))="ENTREGADO",
IFERROR(
INDEX(REPORTE_DROPI!R:R,
MATCH($T488, REPORTE_DROPI!B:B, 0)
),
""
),
""
)
</f>
        <v/>
      </c>
      <c r="H488" s="118" t="s">
        <v>3727</v>
      </c>
      <c r="I488" s="118" t="s">
        <v>3731</v>
      </c>
      <c r="J488" s="121" t="str">
        <f t="array" ref="J488">IF(
UPPER(TRIM(CLEAN($O488)))="ENTREGADO",
IFERROR(
INDEX(REPORTE_DROPI!T:T,
MATCH($T488, REPORTE_DROPI!B:B, 0)
),
""
),
""
)
</f>
        <v/>
      </c>
      <c r="K488" s="118" t="str">
        <f t="array" ref="K488">IFERROR(
INDEX(REPORTE_DROPI!S:S,
MATCH($T488, REPORTE_DROPI!B:B, 0)
),
""
)
</f>
        <v/>
      </c>
      <c r="L488" s="118" t="str">
        <f>IF(
  O488&lt;&gt;"DEVOLUCION",
  "",
  IF(
    T488="",
    "",
    SUMIF(DEVOLUCION!F:F, T488, DEVOLUCION!D:D)
  )
)
</f>
        <v/>
      </c>
      <c r="M488" s="118"/>
      <c r="N488" s="130" t="s">
        <v>4679</v>
      </c>
      <c r="O488" s="118" t="str">
        <f t="array" ref="O488">IFERROR(
VLOOKUP(
TRIM(CLEAN(
INDEX(REPORTE_DROPI!K:K,
MATCH(T488, REPORTE_DROPI!B:B, 0)
))),
{
TRIM(CLEAN(MAPA_ESTADOS!A:A)) ,
MAPA_ESTADOS!B:B
},
2,
FALSE
),
"REVISAR"
)
</f>
        <v>PENDIENTE</v>
      </c>
      <c r="P488" s="118" t="s">
        <v>3654</v>
      </c>
      <c r="Q488" s="122">
        <f t="shared" si="1"/>
        <v>0</v>
      </c>
      <c r="R488" s="118"/>
      <c r="S488" s="118"/>
      <c r="T488" s="118">
        <f t="array" ref="T488">IFERROR(
INDEX(REPORTE_DROPI!B:B,
MATCH(
CLEAN(TRIM(C488)),
CLEAN(TRIM(REPORTE_DROPI!E:E)),
0
)
),
""
)
</f>
        <v>4147703</v>
      </c>
      <c r="U488" s="118">
        <v>6.412307529772E12</v>
      </c>
      <c r="V488" s="78"/>
      <c r="W488" s="78"/>
      <c r="X488" s="78"/>
      <c r="Y488" s="78"/>
      <c r="Z488" s="78"/>
    </row>
    <row r="489" ht="22.5" customHeight="1">
      <c r="A489" s="118">
        <v>488.0</v>
      </c>
      <c r="B489" s="119">
        <v>46035.0</v>
      </c>
      <c r="C489" s="126" t="s">
        <v>4680</v>
      </c>
      <c r="D489" s="118" t="str">
        <f>IFERROR(__xludf.DUMMYFUNCTION("IFERROR(
  INDEX(
    FILTER(
      'NOMBRE DE PRODUCTOS'!B:B,
      REGEXMATCH(
        UPPER(
          INDEX(
            REPORTE_DROPI!AC:AC,
            MATCH(T489, REPORTE_DROPI!B:B, 0)
          )
        ),
        UPPER('NOMBRE DE PRODUCTOS'!A:A)"&amp;"
      )
    ),
    1
  ),
  ""REVISAR""
)
"),"FilmPro®")</f>
        <v>FilmPro®</v>
      </c>
      <c r="E489" s="120" t="str">
        <f t="array" ref="E489">IF(
UPPER(TRIM(CLEAN($O489)))="ENTREGADO",
IFERROR(
INDEX(REPORTE_DROPI!Y:Y,
MATCH($T489, REPORTE_DROPI!B:B, 0)
),
""
),
""
)
</f>
        <v/>
      </c>
      <c r="F489" s="121">
        <v>2.0</v>
      </c>
      <c r="G489" s="122" t="str">
        <f t="array" ref="G489">IF(
UPPER(TRIM(CLEAN($O489)))="ENTREGADO",
IFERROR(
INDEX(REPORTE_DROPI!R:R,
MATCH($T489, REPORTE_DROPI!B:B, 0)
),
""
),
""
)
</f>
        <v/>
      </c>
      <c r="H489" s="118" t="s">
        <v>3727</v>
      </c>
      <c r="I489" s="118" t="s">
        <v>3855</v>
      </c>
      <c r="J489" s="121" t="str">
        <f t="array" ref="J489">IF(
UPPER(TRIM(CLEAN($O489)))="ENTREGADO",
IFERROR(
INDEX(REPORTE_DROPI!T:T,
MATCH($T489, REPORTE_DROPI!B:B, 0)
),
""
),
""
)
</f>
        <v/>
      </c>
      <c r="K489" s="118" t="str">
        <f t="array" ref="K489">IFERROR(
INDEX(REPORTE_DROPI!S:S,
MATCH($T489, REPORTE_DROPI!B:B, 0)
),
""
)
</f>
        <v/>
      </c>
      <c r="L489" s="118" t="str">
        <f>IF(
  O489&lt;&gt;"DEVOLUCION",
  "",
  IF(
    T489="",
    "",
    SUMIF(DEVOLUCION!F:F, T489, DEVOLUCION!D:D)
  )
)
</f>
        <v/>
      </c>
      <c r="M489" s="118"/>
      <c r="N489" s="130" t="s">
        <v>4681</v>
      </c>
      <c r="O489" s="118" t="str">
        <f t="array" ref="O489">IFERROR(
VLOOKUP(
TRIM(CLEAN(
INDEX(REPORTE_DROPI!K:K,
MATCH(T489, REPORTE_DROPI!B:B, 0)
))),
{
TRIM(CLEAN(MAPA_ESTADOS!A:A)) ,
MAPA_ESTADOS!B:B
},
2,
FALSE
),
"REVISAR"
)
</f>
        <v>PENDIENTE</v>
      </c>
      <c r="P489" s="118" t="s">
        <v>3654</v>
      </c>
      <c r="Q489" s="122">
        <f t="shared" si="1"/>
        <v>0</v>
      </c>
      <c r="R489" s="118"/>
      <c r="S489" s="118"/>
      <c r="T489" s="118">
        <f t="array" ref="T489">IFERROR(
INDEX(REPORTE_DROPI!B:B,
MATCH(
CLEAN(TRIM(C489)),
CLEAN(TRIM(REPORTE_DROPI!E:E)),
0
)
),
""
)
</f>
        <v>4135989</v>
      </c>
      <c r="U489" s="118">
        <v>6.412318015532E12</v>
      </c>
      <c r="V489" s="78"/>
      <c r="W489" s="78"/>
      <c r="X489" s="78"/>
      <c r="Y489" s="78"/>
      <c r="Z489" s="78"/>
    </row>
    <row r="490" ht="22.5" customHeight="1">
      <c r="A490" s="118">
        <v>489.0</v>
      </c>
      <c r="B490" s="119">
        <v>46035.0</v>
      </c>
      <c r="C490" s="118" t="s">
        <v>4682</v>
      </c>
      <c r="D490" s="118" t="str">
        <f>IFERROR(__xludf.DUMMYFUNCTION("IFERROR(
  INDEX(
    FILTER(
      'NOMBRE DE PRODUCTOS'!B:B,
      REGEXMATCH(
        UPPER(
          INDEX(
            REPORTE_DROPI!AC:AC,
            MATCH(T490, REPORTE_DROPI!B:B, 0)
          )
        ),
        UPPER('NOMBRE DE PRODUCTOS'!A:A)"&amp;"
      )
    ),
    1
  ),
  ""REVISAR""
)
"),"FilmPro®")</f>
        <v>FilmPro®</v>
      </c>
      <c r="E490" s="120">
        <f t="array" ref="E490">IF(
UPPER(TRIM(CLEAN($O490)))="ENTREGADO",
IFERROR(
INDEX(REPORTE_DROPI!Y:Y,
MATCH($T490, REPORTE_DROPI!B:B, 0)
),
""
),
""
)
</f>
        <v>7.05</v>
      </c>
      <c r="F490" s="121">
        <v>3.0</v>
      </c>
      <c r="G490" s="122">
        <f t="array" ref="G490">IF(
UPPER(TRIM(CLEAN($O490)))="ENTREGADO",
IFERROR(
INDEX(REPORTE_DROPI!R:R,
MATCH($T490, REPORTE_DROPI!B:B, 0)
),
""
),
""
)
</f>
        <v>30</v>
      </c>
      <c r="H490" s="118" t="s">
        <v>3727</v>
      </c>
      <c r="I490" s="118" t="s">
        <v>3801</v>
      </c>
      <c r="J490" s="121">
        <f t="array" ref="J490">IF(
UPPER(TRIM(CLEAN($O490)))="ENTREGADO",
IFERROR(
INDEX(REPORTE_DROPI!T:T,
MATCH($T490, REPORTE_DROPI!B:B, 0)
),
""
),
""
)
</f>
        <v>6.16</v>
      </c>
      <c r="K490" s="118">
        <f t="array" ref="K490">IFERROR(
INDEX(REPORTE_DROPI!S:S,
MATCH($T490, REPORTE_DROPI!B:B, 0)
),
""
)
</f>
        <v>16.79</v>
      </c>
      <c r="L490" s="118" t="str">
        <f>IF(
  O490&lt;&gt;"DEVOLUCION",
  "",
  IF(
    T490="",
    "",
    SUMIF(DEVOLUCION!F:F, T490, DEVOLUCION!D:D)
  )
)
</f>
        <v/>
      </c>
      <c r="M490" s="118"/>
      <c r="N490" s="130" t="s">
        <v>4683</v>
      </c>
      <c r="O490" s="118" t="str">
        <f t="array" ref="O490">IFERROR(
VLOOKUP(
TRIM(CLEAN(
INDEX(REPORTE_DROPI!K:K,
MATCH(T490, REPORTE_DROPI!B:B, 0)
))),
{
TRIM(CLEAN(MAPA_ESTADOS!A:A)) ,
MAPA_ESTADOS!B:B
},
2,
FALSE
),
"REVISAR"
)
</f>
        <v>ENTREGADO</v>
      </c>
      <c r="P490" s="118"/>
      <c r="Q490" s="122">
        <f t="shared" si="1"/>
        <v>0</v>
      </c>
      <c r="R490" s="118"/>
      <c r="S490" s="118"/>
      <c r="T490" s="118">
        <f t="array" ref="T490">IFERROR(
INDEX(REPORTE_DROPI!B:B,
MATCH(
CLEAN(TRIM(C490)),
CLEAN(TRIM(REPORTE_DROPI!E:E)),
0
)
),
""
)
</f>
        <v>4136718</v>
      </c>
      <c r="U490" s="118">
        <v>6.412516524076E12</v>
      </c>
      <c r="V490" s="78"/>
      <c r="W490" s="78"/>
      <c r="X490" s="78"/>
      <c r="Y490" s="78"/>
      <c r="Z490" s="78"/>
    </row>
    <row r="491" ht="22.5" customHeight="1">
      <c r="A491" s="118">
        <v>490.0</v>
      </c>
      <c r="B491" s="119">
        <v>46035.0</v>
      </c>
      <c r="C491" s="126" t="s">
        <v>4684</v>
      </c>
      <c r="D491" s="118" t="str">
        <f>IFERROR(__xludf.DUMMYFUNCTION("IFERROR(
  INDEX(
    FILTER(
      'NOMBRE DE PRODUCTOS'!B:B,
      REGEXMATCH(
        UPPER(
          INDEX(
            REPORTE_DROPI!AC:AC,
            MATCH(T491, REPORTE_DROPI!B:B, 0)
          )
        ),
        UPPER('NOMBRE DE PRODUCTOS'!A:A)"&amp;"
      )
    ),
    1
  ),
  ""REVISAR""
)
"),"FilmPro®")</f>
        <v>FilmPro®</v>
      </c>
      <c r="E491" s="120" t="str">
        <f t="array" ref="E491">IF(
UPPER(TRIM(CLEAN($O491)))="ENTREGADO",
IFERROR(
INDEX(REPORTE_DROPI!Y:Y,
MATCH($T491, REPORTE_DROPI!B:B, 0)
),
""
),
""
)
</f>
        <v/>
      </c>
      <c r="F491" s="121">
        <v>2.0</v>
      </c>
      <c r="G491" s="122" t="str">
        <f t="array" ref="G491">IF(
UPPER(TRIM(CLEAN($O491)))="ENTREGADO",
IFERROR(
INDEX(REPORTE_DROPI!R:R,
MATCH($T491, REPORTE_DROPI!B:B, 0)
),
""
),
""
)
</f>
        <v/>
      </c>
      <c r="H491" s="118" t="s">
        <v>3727</v>
      </c>
      <c r="I491" s="118" t="s">
        <v>3804</v>
      </c>
      <c r="J491" s="121" t="str">
        <f t="array" ref="J491">IF(
UPPER(TRIM(CLEAN($O491)))="ENTREGADO",
IFERROR(
INDEX(REPORTE_DROPI!T:T,
MATCH($T491, REPORTE_DROPI!B:B, 0)
),
""
),
""
)
</f>
        <v/>
      </c>
      <c r="K491" s="118" t="str">
        <f t="array" ref="K491">IFERROR(
INDEX(REPORTE_DROPI!S:S,
MATCH($T491, REPORTE_DROPI!B:B, 0)
),
""
)
</f>
        <v/>
      </c>
      <c r="L491" s="118" t="str">
        <f>IF(
  O491&lt;&gt;"DEVOLUCION",
  "",
  IF(
    T491="",
    "",
    SUMIF(DEVOLUCION!F:F, T491, DEVOLUCION!D:D)
  )
)
</f>
        <v/>
      </c>
      <c r="M491" s="118"/>
      <c r="N491" s="130" t="s">
        <v>4685</v>
      </c>
      <c r="O491" s="118" t="str">
        <f t="array" ref="O491">IFERROR(
VLOOKUP(
TRIM(CLEAN(
INDEX(REPORTE_DROPI!K:K,
MATCH(T491, REPORTE_DROPI!B:B, 0)
))),
{
TRIM(CLEAN(MAPA_ESTADOS!A:A)) ,
MAPA_ESTADOS!B:B
},
2,
FALSE
),
"REVISAR"
)
</f>
        <v>PENDIENTE</v>
      </c>
      <c r="P491" s="118" t="s">
        <v>3654</v>
      </c>
      <c r="Q491" s="122">
        <f t="shared" si="1"/>
        <v>0</v>
      </c>
      <c r="R491" s="118"/>
      <c r="S491" s="118"/>
      <c r="T491" s="118">
        <f t="array" ref="T491">IFERROR(
INDEX(REPORTE_DROPI!B:B,
MATCH(
CLEAN(TRIM(C491)),
CLEAN(TRIM(REPORTE_DROPI!E:E)),
0
)
),
""
)
</f>
        <v>4136725</v>
      </c>
      <c r="U491" s="118">
        <v>6.412520292396E12</v>
      </c>
      <c r="V491" s="78"/>
      <c r="W491" s="78"/>
      <c r="X491" s="78"/>
      <c r="Y491" s="78"/>
      <c r="Z491" s="78"/>
    </row>
    <row r="492" ht="22.5" customHeight="1">
      <c r="A492" s="118">
        <v>491.0</v>
      </c>
      <c r="B492" s="119">
        <v>46035.0</v>
      </c>
      <c r="C492" s="126" t="s">
        <v>4686</v>
      </c>
      <c r="D492" s="118" t="str">
        <f>IFERROR(__xludf.DUMMYFUNCTION("IFERROR(
  INDEX(
    FILTER(
      'NOMBRE DE PRODUCTOS'!B:B,
      REGEXMATCH(
        UPPER(
          INDEX(
            REPORTE_DROPI!AC:AC,
            MATCH(T492, REPORTE_DROPI!B:B, 0)
          )
        ),
        UPPER('NOMBRE DE PRODUCTOS'!A:A)"&amp;"
      )
    ),
    1
  ),
  ""REVISAR""
)
"),"FilmPro®")</f>
        <v>FilmPro®</v>
      </c>
      <c r="E492" s="120" t="str">
        <f t="array" ref="E492">IF(
UPPER(TRIM(CLEAN($O492)))="ENTREGADO",
IFERROR(
INDEX(REPORTE_DROPI!Y:Y,
MATCH($T492, REPORTE_DROPI!B:B, 0)
),
""
),
""
)
</f>
        <v/>
      </c>
      <c r="F492" s="121">
        <v>1.0</v>
      </c>
      <c r="G492" s="122" t="str">
        <f t="array" ref="G492">IF(
UPPER(TRIM(CLEAN($O492)))="ENTREGADO",
IFERROR(
INDEX(REPORTE_DROPI!R:R,
MATCH($T492, REPORTE_DROPI!B:B, 0)
),
""
),
""
)
</f>
        <v/>
      </c>
      <c r="H492" s="118" t="s">
        <v>3727</v>
      </c>
      <c r="I492" s="118" t="s">
        <v>3740</v>
      </c>
      <c r="J492" s="121" t="str">
        <f t="array" ref="J492">IF(
UPPER(TRIM(CLEAN($O492)))="ENTREGADO",
IFERROR(
INDEX(REPORTE_DROPI!T:T,
MATCH($T492, REPORTE_DROPI!B:B, 0)
),
""
),
""
)
</f>
        <v/>
      </c>
      <c r="K492" s="118" t="str">
        <f t="array" ref="K492">IFERROR(
INDEX(REPORTE_DROPI!S:S,
MATCH($T492, REPORTE_DROPI!B:B, 0)
),
""
)
</f>
        <v/>
      </c>
      <c r="L492" s="118">
        <f>IF(
  O492&lt;&gt;"DEVOLUCION",
  "",
  IF(
    T492="",
    "",
    SUMIF(DEVOLUCION!F:F, T492, DEVOLUCION!D:D)
  )
)
</f>
        <v>5.06</v>
      </c>
      <c r="M492" s="118"/>
      <c r="N492" s="128" t="s">
        <v>4687</v>
      </c>
      <c r="O492" s="118" t="str">
        <f t="array" ref="O492">IFERROR(
VLOOKUP(
TRIM(CLEAN(
INDEX(REPORTE_DROPI!K:K,
MATCH(T492, REPORTE_DROPI!B:B, 0)
))),
{
TRIM(CLEAN(MAPA_ESTADOS!A:A)) ,
MAPA_ESTADOS!B:B
},
2,
FALSE
),
"REVISAR"
)
</f>
        <v>DEVOLUCION</v>
      </c>
      <c r="P492" s="118" t="s">
        <v>3655</v>
      </c>
      <c r="Q492" s="122">
        <f t="shared" si="1"/>
        <v>0</v>
      </c>
      <c r="R492" s="118"/>
      <c r="S492" s="118"/>
      <c r="T492" s="118">
        <f t="array" ref="T492">IFERROR(
INDEX(REPORTE_DROPI!B:B,
MATCH(
CLEAN(TRIM(C492)),
CLEAN(TRIM(REPORTE_DROPI!E:E)),
0
)
),
""
)
</f>
        <v>4136748</v>
      </c>
      <c r="U492" s="118">
        <v>6.41252792734E12</v>
      </c>
      <c r="V492" s="78"/>
      <c r="W492" s="78"/>
      <c r="X492" s="78"/>
      <c r="Y492" s="78"/>
      <c r="Z492" s="78"/>
    </row>
    <row r="493" ht="22.5" customHeight="1">
      <c r="A493" s="118">
        <v>492.0</v>
      </c>
      <c r="B493" s="119">
        <v>46035.0</v>
      </c>
      <c r="C493" s="118" t="s">
        <v>4688</v>
      </c>
      <c r="D493" s="118" t="str">
        <f>IFERROR(__xludf.DUMMYFUNCTION("IFERROR(
  INDEX(
    FILTER(
      'NOMBRE DE PRODUCTOS'!B:B,
      REGEXMATCH(
        UPPER(
          INDEX(
            REPORTE_DROPI!AC:AC,
            MATCH(T493, REPORTE_DROPI!B:B, 0)
          )
        ),
        UPPER('NOMBRE DE PRODUCTOS'!A:A)"&amp;"
      )
    ),
    1
  ),
  ""REVISAR""
)
"),"FilmPro®")</f>
        <v>FilmPro®</v>
      </c>
      <c r="E493" s="120" t="str">
        <f t="array" ref="E493">IF(
UPPER(TRIM(CLEAN($O493)))="ENTREGADO",
IFERROR(
INDEX(REPORTE_DROPI!Y:Y,
MATCH($T493, REPORTE_DROPI!B:B, 0)
),
""
),
""
)
</f>
        <v/>
      </c>
      <c r="F493" s="121">
        <v>1.0</v>
      </c>
      <c r="G493" s="122" t="str">
        <f t="array" ref="G493">IF(
UPPER(TRIM(CLEAN($O493)))="ENTREGADO",
IFERROR(
INDEX(REPORTE_DROPI!R:R,
MATCH($T493, REPORTE_DROPI!B:B, 0)
),
""
),
""
)
</f>
        <v/>
      </c>
      <c r="H493" s="118" t="s">
        <v>3727</v>
      </c>
      <c r="I493" s="118" t="s">
        <v>3731</v>
      </c>
      <c r="J493" s="121" t="str">
        <f t="array" ref="J493">IF(
UPPER(TRIM(CLEAN($O493)))="ENTREGADO",
IFERROR(
INDEX(REPORTE_DROPI!T:T,
MATCH($T493, REPORTE_DROPI!B:B, 0)
),
""
),
""
)
</f>
        <v/>
      </c>
      <c r="K493" s="118" t="str">
        <f t="array" ref="K493">IFERROR(
INDEX(REPORTE_DROPI!S:S,
MATCH($T493, REPORTE_DROPI!B:B, 0)
),
""
)
</f>
        <v/>
      </c>
      <c r="L493" s="118">
        <f>IF(
  O493&lt;&gt;"DEVOLUCION",
  "",
  IF(
    T493="",
    "",
    SUMIF(DEVOLUCION!F:F, T493, DEVOLUCION!D:D)
  )
)
</f>
        <v>4.03</v>
      </c>
      <c r="M493" s="118" t="s">
        <v>3870</v>
      </c>
      <c r="N493" s="130" t="s">
        <v>4689</v>
      </c>
      <c r="O493" s="118" t="str">
        <f t="array" ref="O493">IFERROR(
VLOOKUP(
TRIM(CLEAN(
INDEX(REPORTE_DROPI!K:K,
MATCH(T493, REPORTE_DROPI!B:B, 0)
))),
{
TRIM(CLEAN(MAPA_ESTADOS!A:A)) ,
MAPA_ESTADOS!B:B
},
2,
FALSE
),
"REVISAR"
)
</f>
        <v>DEVOLUCION</v>
      </c>
      <c r="P493" s="118" t="s">
        <v>3891</v>
      </c>
      <c r="Q493" s="122">
        <f t="shared" si="1"/>
        <v>0</v>
      </c>
      <c r="R493" s="118"/>
      <c r="S493" s="118"/>
      <c r="T493" s="118">
        <f t="array" ref="T493">IFERROR(
INDEX(REPORTE_DROPI!B:B,
MATCH(
CLEAN(TRIM(C493)),
CLEAN(TRIM(REPORTE_DROPI!E:E)),
0
)
),
""
)
</f>
        <v>4136790</v>
      </c>
      <c r="U493" s="118">
        <v>6.412536741932E12</v>
      </c>
      <c r="V493" s="78"/>
      <c r="W493" s="78"/>
      <c r="X493" s="78"/>
      <c r="Y493" s="78"/>
      <c r="Z493" s="78"/>
    </row>
    <row r="494" ht="22.5" customHeight="1">
      <c r="A494" s="118">
        <v>493.0</v>
      </c>
      <c r="B494" s="119">
        <v>46035.0</v>
      </c>
      <c r="C494" s="126" t="s">
        <v>4690</v>
      </c>
      <c r="D494" s="118" t="str">
        <f>IFERROR(__xludf.DUMMYFUNCTION("IFERROR(
  INDEX(
    FILTER(
      'NOMBRE DE PRODUCTOS'!B:B,
      REGEXMATCH(
        UPPER(
          INDEX(
            REPORTE_DROPI!AC:AC,
            MATCH(T494, REPORTE_DROPI!B:B, 0)
          )
        ),
        UPPER('NOMBRE DE PRODUCTOS'!A:A)"&amp;"
      )
    ),
    1
  ),
  ""REVISAR""
)
"),"FilmPro®")</f>
        <v>FilmPro®</v>
      </c>
      <c r="E494" s="120" t="str">
        <f t="array" ref="E494">IF(
UPPER(TRIM(CLEAN($O494)))="ENTREGADO",
IFERROR(
INDEX(REPORTE_DROPI!Y:Y,
MATCH($T494, REPORTE_DROPI!B:B, 0)
),
""
),
""
)
</f>
        <v/>
      </c>
      <c r="F494" s="121">
        <v>3.0</v>
      </c>
      <c r="G494" s="122" t="str">
        <f t="array" ref="G494">IF(
UPPER(TRIM(CLEAN($O494)))="ENTREGADO",
IFERROR(
INDEX(REPORTE_DROPI!R:R,
MATCH($T494, REPORTE_DROPI!B:B, 0)
),
""
),
""
)
</f>
        <v/>
      </c>
      <c r="H494" s="118" t="s">
        <v>3727</v>
      </c>
      <c r="I494" s="118" t="s">
        <v>3912</v>
      </c>
      <c r="J494" s="121" t="str">
        <f t="array" ref="J494">IF(
UPPER(TRIM(CLEAN($O494)))="ENTREGADO",
IFERROR(
INDEX(REPORTE_DROPI!T:T,
MATCH($T494, REPORTE_DROPI!B:B, 0)
),
""
),
""
)
</f>
        <v/>
      </c>
      <c r="K494" s="118" t="str">
        <f t="array" ref="K494">IFERROR(
INDEX(REPORTE_DROPI!S:S,
MATCH($T494, REPORTE_DROPI!B:B, 0)
),
""
)
</f>
        <v/>
      </c>
      <c r="L494" s="118">
        <f>IF(
  O494&lt;&gt;"DEVOLUCION",
  "",
  IF(
    T494="",
    "",
    SUMIF(DEVOLUCION!F:F, T494, DEVOLUCION!D:D)
  )
)
</f>
        <v>7.82</v>
      </c>
      <c r="M494" s="118" t="s">
        <v>3870</v>
      </c>
      <c r="N494" s="130" t="s">
        <v>4691</v>
      </c>
      <c r="O494" s="118" t="str">
        <f t="array" ref="O494">IFERROR(
VLOOKUP(
TRIM(CLEAN(
INDEX(REPORTE_DROPI!K:K,
MATCH(T494, REPORTE_DROPI!B:B, 0)
))),
{
TRIM(CLEAN(MAPA_ESTADOS!A:A)) ,
MAPA_ESTADOS!B:B
},
2,
FALSE
),
"REVISAR"
)
</f>
        <v>DEVOLUCION</v>
      </c>
      <c r="P494" s="118"/>
      <c r="Q494" s="122">
        <f t="shared" si="1"/>
        <v>0</v>
      </c>
      <c r="R494" s="118"/>
      <c r="S494" s="118"/>
      <c r="T494" s="118">
        <f t="array" ref="T494">IFERROR(
INDEX(REPORTE_DROPI!B:B,
MATCH(
CLEAN(TRIM(C494)),
CLEAN(TRIM(REPORTE_DROPI!E:E)),
0
)
),
""
)
</f>
        <v>4136808</v>
      </c>
      <c r="U494" s="118">
        <v>6.412544081964E12</v>
      </c>
      <c r="V494" s="78"/>
      <c r="W494" s="78"/>
      <c r="X494" s="78"/>
      <c r="Y494" s="78"/>
      <c r="Z494" s="78"/>
    </row>
    <row r="495" ht="22.5" customHeight="1">
      <c r="A495" s="118">
        <v>494.0</v>
      </c>
      <c r="B495" s="119">
        <v>46035.0</v>
      </c>
      <c r="C495" s="118" t="s">
        <v>4692</v>
      </c>
      <c r="D495" s="118" t="str">
        <f>IFERROR(__xludf.DUMMYFUNCTION("IFERROR(
  INDEX(
    FILTER(
      'NOMBRE DE PRODUCTOS'!B:B,
      REGEXMATCH(
        UPPER(
          INDEX(
            REPORTE_DROPI!AC:AC,
            MATCH(T495, REPORTE_DROPI!B:B, 0)
          )
        ),
        UPPER('NOMBRE DE PRODUCTOS'!A:A)"&amp;"
      )
    ),
    1
  ),
  ""REVISAR""
)
"),"FilmPro®")</f>
        <v>FilmPro®</v>
      </c>
      <c r="E495" s="120">
        <f t="array" ref="E495">IF(
UPPER(TRIM(CLEAN($O495)))="ENTREGADO",
IFERROR(
INDEX(REPORTE_DROPI!Y:Y,
MATCH($T495, REPORTE_DROPI!B:B, 0)
),
""
),
""
)
</f>
        <v>2.35</v>
      </c>
      <c r="F495" s="121">
        <v>1.0</v>
      </c>
      <c r="G495" s="122">
        <f t="array" ref="G495">IF(
UPPER(TRIM(CLEAN($O495)))="ENTREGADO",
IFERROR(
INDEX(REPORTE_DROPI!R:R,
MATCH($T495, REPORTE_DROPI!B:B, 0)
),
""
),
""
)
</f>
        <v>20</v>
      </c>
      <c r="H495" s="118" t="s">
        <v>3727</v>
      </c>
      <c r="I495" s="118" t="s">
        <v>3731</v>
      </c>
      <c r="J495" s="121">
        <f t="array" ref="J495">IF(
UPPER(TRIM(CLEAN($O495)))="ENTREGADO",
IFERROR(
INDEX(REPORTE_DROPI!T:T,
MATCH($T495, REPORTE_DROPI!B:B, 0)
),
""
),
""
)
</f>
        <v>4.15</v>
      </c>
      <c r="K495" s="118">
        <f t="array" ref="K495">IFERROR(
INDEX(REPORTE_DROPI!S:S,
MATCH($T495, REPORTE_DROPI!B:B, 0)
),
""
)
</f>
        <v>13.5</v>
      </c>
      <c r="L495" s="118" t="str">
        <f>IF(
  O495&lt;&gt;"DEVOLUCION",
  "",
  IF(
    T495="",
    "",
    SUMIF(DEVOLUCION!F:F, T495, DEVOLUCION!D:D)
  )
)
</f>
        <v/>
      </c>
      <c r="M495" s="118" t="s">
        <v>3870</v>
      </c>
      <c r="N495" s="130" t="s">
        <v>4693</v>
      </c>
      <c r="O495" s="118" t="str">
        <f t="array" ref="O495">IFERROR(
VLOOKUP(
TRIM(CLEAN(
INDEX(REPORTE_DROPI!K:K,
MATCH(T495, REPORTE_DROPI!B:B, 0)
))),
{
TRIM(CLEAN(MAPA_ESTADOS!A:A)) ,
MAPA_ESTADOS!B:B
},
2,
FALSE
),
"REVISAR"
)
</f>
        <v>ENTREGADO</v>
      </c>
      <c r="P495" s="118"/>
      <c r="Q495" s="122">
        <f t="shared" si="1"/>
        <v>0</v>
      </c>
      <c r="R495" s="118"/>
      <c r="S495" s="118"/>
      <c r="T495" s="118">
        <f t="array" ref="T495">IFERROR(
INDEX(REPORTE_DROPI!B:B,
MATCH(
CLEAN(TRIM(C495)),
CLEAN(TRIM(REPORTE_DROPI!E:E)),
0
)
),
""
)
</f>
        <v>4137387</v>
      </c>
      <c r="U495" s="118">
        <v>6.412668862508E12</v>
      </c>
      <c r="V495" s="78"/>
      <c r="W495" s="78"/>
      <c r="X495" s="78"/>
      <c r="Y495" s="78"/>
      <c r="Z495" s="78"/>
    </row>
    <row r="496" ht="22.5" customHeight="1">
      <c r="A496" s="118">
        <v>495.0</v>
      </c>
      <c r="B496" s="119">
        <v>46035.0</v>
      </c>
      <c r="C496" s="118" t="s">
        <v>4694</v>
      </c>
      <c r="D496" s="118" t="str">
        <f>IFERROR(__xludf.DUMMYFUNCTION("IFERROR(
  INDEX(
    FILTER(
      'NOMBRE DE PRODUCTOS'!B:B,
      REGEXMATCH(
        UPPER(
          INDEX(
            REPORTE_DROPI!AC:AC,
            MATCH(T496, REPORTE_DROPI!B:B, 0)
          )
        ),
        UPPER('NOMBRE DE PRODUCTOS'!A:A)"&amp;"
      )
    ),
    1
  ),
  ""REVISAR""
)
"),"FilmPro®")</f>
        <v>FilmPro®</v>
      </c>
      <c r="E496" s="120">
        <f t="array" ref="E496">IF(
UPPER(TRIM(CLEAN($O496)))="ENTREGADO",
IFERROR(
INDEX(REPORTE_DROPI!Y:Y,
MATCH($T496, REPORTE_DROPI!B:B, 0)
),
""
),
""
)
</f>
        <v>7.05</v>
      </c>
      <c r="F496" s="121">
        <v>3.0</v>
      </c>
      <c r="G496" s="122">
        <f t="array" ref="G496">IF(
UPPER(TRIM(CLEAN($O496)))="ENTREGADO",
IFERROR(
INDEX(REPORTE_DROPI!R:R,
MATCH($T496, REPORTE_DROPI!B:B, 0)
),
""
),
""
)
</f>
        <v>30</v>
      </c>
      <c r="H496" s="118" t="s">
        <v>3727</v>
      </c>
      <c r="I496" s="118" t="s">
        <v>3740</v>
      </c>
      <c r="J496" s="121">
        <f t="array" ref="J496">IF(
UPPER(TRIM(CLEAN($O496)))="ENTREGADO",
IFERROR(
INDEX(REPORTE_DROPI!T:T,
MATCH($T496, REPORTE_DROPI!B:B, 0)
),
""
),
""
)
</f>
        <v>6.16</v>
      </c>
      <c r="K496" s="118">
        <f t="array" ref="K496">IFERROR(
INDEX(REPORTE_DROPI!S:S,
MATCH($T496, REPORTE_DROPI!B:B, 0)
),
""
)
</f>
        <v>16.79</v>
      </c>
      <c r="L496" s="118" t="str">
        <f>IF(
  O496&lt;&gt;"DEVOLUCION",
  "",
  IF(
    T496="",
    "",
    SUMIF(DEVOLUCION!F:F, T496, DEVOLUCION!D:D)
  )
)
</f>
        <v/>
      </c>
      <c r="M496" s="118" t="s">
        <v>3870</v>
      </c>
      <c r="N496" s="130" t="s">
        <v>4695</v>
      </c>
      <c r="O496" s="118" t="str">
        <f t="array" ref="O496">IFERROR(
VLOOKUP(
TRIM(CLEAN(
INDEX(REPORTE_DROPI!K:K,
MATCH(T496, REPORTE_DROPI!B:B, 0)
))),
{
TRIM(CLEAN(MAPA_ESTADOS!A:A)) ,
MAPA_ESTADOS!B:B
},
2,
FALSE
),
"REVISAR"
)
</f>
        <v>ENTREGADO</v>
      </c>
      <c r="P496" s="118"/>
      <c r="Q496" s="122">
        <f t="shared" si="1"/>
        <v>0</v>
      </c>
      <c r="R496" s="118"/>
      <c r="S496" s="118"/>
      <c r="T496" s="118">
        <f t="array" ref="T496">IFERROR(
INDEX(REPORTE_DROPI!B:B,
MATCH(
CLEAN(TRIM(C496)),
CLEAN(TRIM(REPORTE_DROPI!E:E)),
0
)
),
""
)
</f>
        <v>4137451</v>
      </c>
      <c r="U496" s="118">
        <v>6.41268357534E12</v>
      </c>
      <c r="V496" s="78"/>
      <c r="W496" s="78"/>
      <c r="X496" s="78"/>
      <c r="Y496" s="78"/>
      <c r="Z496" s="78"/>
    </row>
    <row r="497" ht="22.5" customHeight="1">
      <c r="A497" s="118">
        <v>496.0</v>
      </c>
      <c r="B497" s="119">
        <v>46035.0</v>
      </c>
      <c r="C497" s="118" t="s">
        <v>4696</v>
      </c>
      <c r="D497" s="118" t="str">
        <f>IFERROR(__xludf.DUMMYFUNCTION("IFERROR(
  INDEX(
    FILTER(
      'NOMBRE DE PRODUCTOS'!B:B,
      REGEXMATCH(
        UPPER(
          INDEX(
            REPORTE_DROPI!AC:AC,
            MATCH(T497, REPORTE_DROPI!B:B, 0)
          )
        ),
        UPPER('NOMBRE DE PRODUCTOS'!A:A)"&amp;"
      )
    ),
    1
  ),
  ""REVISAR""
)
"),"FilmPro®")</f>
        <v>FilmPro®</v>
      </c>
      <c r="E497" s="120" t="str">
        <f t="array" ref="E497">IF(
UPPER(TRIM(CLEAN($O497)))="ENTREGADO",
IFERROR(
INDEX(REPORTE_DROPI!Y:Y,
MATCH($T497, REPORTE_DROPI!B:B, 0)
),
""
),
""
)
</f>
        <v/>
      </c>
      <c r="F497" s="121">
        <v>1.0</v>
      </c>
      <c r="G497" s="122" t="str">
        <f t="array" ref="G497">IF(
UPPER(TRIM(CLEAN($O497)))="ENTREGADO",
IFERROR(
INDEX(REPORTE_DROPI!R:R,
MATCH($T497, REPORTE_DROPI!B:B, 0)
),
""
),
""
)
</f>
        <v/>
      </c>
      <c r="H497" s="118" t="s">
        <v>3727</v>
      </c>
      <c r="I497" s="118" t="s">
        <v>3731</v>
      </c>
      <c r="J497" s="121" t="str">
        <f t="array" ref="J497">IF(
UPPER(TRIM(CLEAN($O497)))="ENTREGADO",
IFERROR(
INDEX(REPORTE_DROPI!T:T,
MATCH($T497, REPORTE_DROPI!B:B, 0)
),
""
),
""
)
</f>
        <v/>
      </c>
      <c r="K497" s="118" t="str">
        <f t="array" ref="K497">IFERROR(
INDEX(REPORTE_DROPI!S:S,
MATCH($T497, REPORTE_DROPI!B:B, 0)
),
""
)
</f>
        <v/>
      </c>
      <c r="L497" s="118">
        <f>IF(
  O497&lt;&gt;"DEVOLUCION",
  "",
  IF(
    T497="",
    "",
    SUMIF(DEVOLUCION!F:F, T497, DEVOLUCION!D:D)
  )
)
</f>
        <v>4.49</v>
      </c>
      <c r="M497" s="118" t="s">
        <v>3870</v>
      </c>
      <c r="N497" s="130" t="s">
        <v>4697</v>
      </c>
      <c r="O497" s="118" t="str">
        <f t="array" ref="O497">IFERROR(
VLOOKUP(
TRIM(CLEAN(
INDEX(REPORTE_DROPI!K:K,
MATCH(T497, REPORTE_DROPI!B:B, 0)
))),
{
TRIM(CLEAN(MAPA_ESTADOS!A:A)) ,
MAPA_ESTADOS!B:B
},
2,
FALSE
),
"REVISAR"
)
</f>
        <v>DEVOLUCION</v>
      </c>
      <c r="P497" s="118"/>
      <c r="Q497" s="122">
        <f t="shared" si="1"/>
        <v>0</v>
      </c>
      <c r="R497" s="118"/>
      <c r="S497" s="118"/>
      <c r="T497" s="118">
        <f t="array" ref="T497">IFERROR(
INDEX(REPORTE_DROPI!B:B,
MATCH(
CLEAN(TRIM(C497)),
CLEAN(TRIM(REPORTE_DROPI!E:E)),
0
)
),
""
)
</f>
        <v>4137488</v>
      </c>
      <c r="U497" s="118">
        <v>6.412692160556E12</v>
      </c>
      <c r="V497" s="78"/>
      <c r="W497" s="78"/>
      <c r="X497" s="78"/>
      <c r="Y497" s="78"/>
      <c r="Z497" s="78"/>
    </row>
    <row r="498" ht="22.5" customHeight="1">
      <c r="A498" s="118">
        <v>497.0</v>
      </c>
      <c r="B498" s="119">
        <v>46035.0</v>
      </c>
      <c r="C498" s="118" t="s">
        <v>4698</v>
      </c>
      <c r="D498" s="118" t="str">
        <f>IFERROR(__xludf.DUMMYFUNCTION("IFERROR(
  INDEX(
    FILTER(
      'NOMBRE DE PRODUCTOS'!B:B,
      REGEXMATCH(
        UPPER(
          INDEX(
            REPORTE_DROPI!AC:AC,
            MATCH(T498, REPORTE_DROPI!B:B, 0)
          )
        ),
        UPPER('NOMBRE DE PRODUCTOS'!A:A)"&amp;"
      )
    ),
    1
  ),
  ""REVISAR""
)
"),"FilmPro®")</f>
        <v>FilmPro®</v>
      </c>
      <c r="E498" s="120">
        <f t="array" ref="E498">IF(
UPPER(TRIM(CLEAN($O498)))="ENTREGADO",
IFERROR(
INDEX(REPORTE_DROPI!Y:Y,
MATCH($T498, REPORTE_DROPI!B:B, 0)
),
""
),
""
)
</f>
        <v>2.35</v>
      </c>
      <c r="F498" s="121">
        <v>1.0</v>
      </c>
      <c r="G498" s="122">
        <f t="array" ref="G498">IF(
UPPER(TRIM(CLEAN($O498)))="ENTREGADO",
IFERROR(
INDEX(REPORTE_DROPI!R:R,
MATCH($T498, REPORTE_DROPI!B:B, 0)
),
""
),
""
)
</f>
        <v>20</v>
      </c>
      <c r="H498" s="118" t="s">
        <v>3727</v>
      </c>
      <c r="I498" s="118" t="s">
        <v>3735</v>
      </c>
      <c r="J498" s="121">
        <f t="array" ref="J498">IF(
UPPER(TRIM(CLEAN($O498)))="ENTREGADO",
IFERROR(
INDEX(REPORTE_DROPI!T:T,
MATCH($T498, REPORTE_DROPI!B:B, 0)
),
""
),
""
)
</f>
        <v>5.76</v>
      </c>
      <c r="K498" s="118">
        <f t="array" ref="K498">IFERROR(
INDEX(REPORTE_DROPI!S:S,
MATCH($T498, REPORTE_DROPI!B:B, 0)
),
""
)
</f>
        <v>11.89</v>
      </c>
      <c r="L498" s="118" t="str">
        <f>IF(
  O498&lt;&gt;"DEVOLUCION",
  "",
  IF(
    T498="",
    "",
    SUMIF(DEVOLUCION!F:F, T498, DEVOLUCION!D:D)
  )
)
</f>
        <v/>
      </c>
      <c r="M498" s="118" t="s">
        <v>3870</v>
      </c>
      <c r="N498" s="130" t="s">
        <v>4699</v>
      </c>
      <c r="O498" s="118" t="str">
        <f t="array" ref="O498">IFERROR(
VLOOKUP(
TRIM(CLEAN(
INDEX(REPORTE_DROPI!K:K,
MATCH(T498, REPORTE_DROPI!B:B, 0)
))),
{
TRIM(CLEAN(MAPA_ESTADOS!A:A)) ,
MAPA_ESTADOS!B:B
},
2,
FALSE
),
"REVISAR"
)
</f>
        <v>ENTREGADO</v>
      </c>
      <c r="P498" s="118"/>
      <c r="Q498" s="122">
        <f t="shared" si="1"/>
        <v>0</v>
      </c>
      <c r="R498" s="118"/>
      <c r="S498" s="118"/>
      <c r="T498" s="118">
        <f t="array" ref="T498">IFERROR(
INDEX(REPORTE_DROPI!B:B,
MATCH(
CLEAN(TRIM(C498)),
CLEAN(TRIM(REPORTE_DROPI!E:E)),
0
)
),
""
)
</f>
        <v>4137526</v>
      </c>
      <c r="U498" s="118">
        <v>6.412696748076E12</v>
      </c>
      <c r="V498" s="78"/>
      <c r="W498" s="78"/>
      <c r="X498" s="78"/>
      <c r="Y498" s="78"/>
      <c r="Z498" s="78"/>
    </row>
    <row r="499" ht="22.5" customHeight="1">
      <c r="A499" s="118">
        <v>498.0</v>
      </c>
      <c r="B499" s="119">
        <v>46035.0</v>
      </c>
      <c r="C499" s="118" t="s">
        <v>4700</v>
      </c>
      <c r="D499" s="118" t="str">
        <f>IFERROR(__xludf.DUMMYFUNCTION("IFERROR(
  INDEX(
    FILTER(
      'NOMBRE DE PRODUCTOS'!B:B,
      REGEXMATCH(
        UPPER(
          INDEX(
            REPORTE_DROPI!AC:AC,
            MATCH(T499, REPORTE_DROPI!B:B, 0)
          )
        ),
        UPPER('NOMBRE DE PRODUCTOS'!A:A)"&amp;"
      )
    ),
    1
  ),
  ""REVISAR""
)
"),"FilmPro®")</f>
        <v>FilmPro®</v>
      </c>
      <c r="E499" s="120">
        <f t="array" ref="E499">IF(
UPPER(TRIM(CLEAN($O499)))="ENTREGADO",
IFERROR(
INDEX(REPORTE_DROPI!Y:Y,
MATCH($T499, REPORTE_DROPI!B:B, 0)
),
""
),
""
)
</f>
        <v>2.35</v>
      </c>
      <c r="F499" s="121">
        <v>1.0</v>
      </c>
      <c r="G499" s="122">
        <f t="array" ref="G499">IF(
UPPER(TRIM(CLEAN($O499)))="ENTREGADO",
IFERROR(
INDEX(REPORTE_DROPI!R:R,
MATCH($T499, REPORTE_DROPI!B:B, 0)
),
""
),
""
)
</f>
        <v>20</v>
      </c>
      <c r="H499" s="118" t="s">
        <v>3727</v>
      </c>
      <c r="I499" s="118" t="s">
        <v>3778</v>
      </c>
      <c r="J499" s="121">
        <f t="array" ref="J499">IF(
UPPER(TRIM(CLEAN($O499)))="ENTREGADO",
IFERROR(
INDEX(REPORTE_DROPI!T:T,
MATCH($T499, REPORTE_DROPI!B:B, 0)
),
""
),
""
)
</f>
        <v>5.76</v>
      </c>
      <c r="K499" s="118">
        <f t="array" ref="K499">IFERROR(
INDEX(REPORTE_DROPI!S:S,
MATCH($T499, REPORTE_DROPI!B:B, 0)
),
""
)
</f>
        <v>11.89</v>
      </c>
      <c r="L499" s="118" t="str">
        <f>IF(
  O499&lt;&gt;"DEVOLUCION",
  "",
  IF(
    T499="",
    "",
    SUMIF(DEVOLUCION!F:F, T499, DEVOLUCION!D:D)
  )
)
</f>
        <v/>
      </c>
      <c r="M499" s="118" t="s">
        <v>3870</v>
      </c>
      <c r="N499" s="130" t="s">
        <v>4701</v>
      </c>
      <c r="O499" s="118" t="str">
        <f t="array" ref="O499">IFERROR(
VLOOKUP(
TRIM(CLEAN(
INDEX(REPORTE_DROPI!K:K,
MATCH(T499, REPORTE_DROPI!B:B, 0)
))),
{
TRIM(CLEAN(MAPA_ESTADOS!A:A)) ,
MAPA_ESTADOS!B:B
},
2,
FALSE
),
"REVISAR"
)
</f>
        <v>ENTREGADO</v>
      </c>
      <c r="P499" s="118"/>
      <c r="Q499" s="122">
        <f t="shared" si="1"/>
        <v>0</v>
      </c>
      <c r="R499" s="118"/>
      <c r="S499" s="118"/>
      <c r="T499" s="118">
        <f t="array" ref="T499">IFERROR(
INDEX(REPORTE_DROPI!B:B,
MATCH(
CLEAN(TRIM(C499)),
CLEAN(TRIM(REPORTE_DROPI!E:E)),
0
)
),
""
)
</f>
        <v>4137580</v>
      </c>
      <c r="U499" s="118">
        <v>6.412708347948E12</v>
      </c>
      <c r="V499" s="78"/>
      <c r="W499" s="78"/>
      <c r="X499" s="78"/>
      <c r="Y499" s="78"/>
      <c r="Z499" s="78"/>
    </row>
    <row r="500" ht="22.5" customHeight="1">
      <c r="A500" s="118">
        <v>499.0</v>
      </c>
      <c r="B500" s="119">
        <v>46035.0</v>
      </c>
      <c r="C500" s="118" t="s">
        <v>4702</v>
      </c>
      <c r="D500" s="118" t="str">
        <f>IFERROR(__xludf.DUMMYFUNCTION("IFERROR(
  INDEX(
    FILTER(
      'NOMBRE DE PRODUCTOS'!B:B,
      REGEXMATCH(
        UPPER(
          INDEX(
            REPORTE_DROPI!AC:AC,
            MATCH(T500, REPORTE_DROPI!B:B, 0)
          )
        ),
        UPPER('NOMBRE DE PRODUCTOS'!A:A)"&amp;"
      )
    ),
    1
  ),
  ""REVISAR""
)
"),"FilmPro®")</f>
        <v>FilmPro®</v>
      </c>
      <c r="E500" s="120">
        <f t="array" ref="E500">IF(
UPPER(TRIM(CLEAN($O500)))="ENTREGADO",
IFERROR(
INDEX(REPORTE_DROPI!Y:Y,
MATCH($T500, REPORTE_DROPI!B:B, 0)
),
""
),
""
)
</f>
        <v>7.05</v>
      </c>
      <c r="F500" s="121">
        <v>3.0</v>
      </c>
      <c r="G500" s="122">
        <f t="array" ref="G500">IF(
UPPER(TRIM(CLEAN($O500)))="ENTREGADO",
IFERROR(
INDEX(REPORTE_DROPI!R:R,
MATCH($T500, REPORTE_DROPI!B:B, 0)
),
""
),
""
)
</f>
        <v>30</v>
      </c>
      <c r="H500" s="118" t="s">
        <v>3727</v>
      </c>
      <c r="I500" s="118" t="s">
        <v>3731</v>
      </c>
      <c r="J500" s="121">
        <f t="array" ref="J500">IF(
UPPER(TRIM(CLEAN($O500)))="ENTREGADO",
IFERROR(
INDEX(REPORTE_DROPI!T:T,
MATCH($T500, REPORTE_DROPI!B:B, 0)
),
""
),
""
)
</f>
        <v>4.55</v>
      </c>
      <c r="K500" s="118">
        <f t="array" ref="K500">IFERROR(
INDEX(REPORTE_DROPI!S:S,
MATCH($T500, REPORTE_DROPI!B:B, 0)
),
""
)
</f>
        <v>18.4</v>
      </c>
      <c r="L500" s="118" t="str">
        <f>IF(
  O500&lt;&gt;"DEVOLUCION",
  "",
  IF(
    T500="",
    "",
    SUMIF(DEVOLUCION!F:F, T500, DEVOLUCION!D:D)
  )
)
</f>
        <v/>
      </c>
      <c r="M500" s="118" t="s">
        <v>3870</v>
      </c>
      <c r="N500" s="130" t="s">
        <v>4703</v>
      </c>
      <c r="O500" s="118" t="str">
        <f t="array" ref="O500">IFERROR(
VLOOKUP(
TRIM(CLEAN(
INDEX(REPORTE_DROPI!K:K,
MATCH(T500, REPORTE_DROPI!B:B, 0)
))),
{
TRIM(CLEAN(MAPA_ESTADOS!A:A)) ,
MAPA_ESTADOS!B:B
},
2,
FALSE
),
"REVISAR"
)
</f>
        <v>ENTREGADO</v>
      </c>
      <c r="P500" s="118"/>
      <c r="Q500" s="122">
        <f t="shared" si="1"/>
        <v>0</v>
      </c>
      <c r="R500" s="118"/>
      <c r="S500" s="118"/>
      <c r="T500" s="118">
        <f t="array" ref="T500">IFERROR(
INDEX(REPORTE_DROPI!B:B,
MATCH(
CLEAN(TRIM(C500)),
CLEAN(TRIM(REPORTE_DROPI!E:E)),
0
)
),
""
)
</f>
        <v>4154453</v>
      </c>
      <c r="U500" s="118">
        <v>6.412720898092E12</v>
      </c>
      <c r="V500" s="78"/>
      <c r="W500" s="78"/>
      <c r="X500" s="78"/>
      <c r="Y500" s="78"/>
      <c r="Z500" s="78"/>
    </row>
    <row r="501" ht="22.5" customHeight="1">
      <c r="A501" s="118">
        <v>500.0</v>
      </c>
      <c r="B501" s="119">
        <v>46035.0</v>
      </c>
      <c r="C501" s="118" t="s">
        <v>4704</v>
      </c>
      <c r="D501" s="118" t="str">
        <f>IFERROR(__xludf.DUMMYFUNCTION("IFERROR(
  INDEX(
    FILTER(
      'NOMBRE DE PRODUCTOS'!B:B,
      REGEXMATCH(
        UPPER(
          INDEX(
            REPORTE_DROPI!AC:AC,
            MATCH(T501, REPORTE_DROPI!B:B, 0)
          )
        ),
        UPPER('NOMBRE DE PRODUCTOS'!A:A)"&amp;"
      )
    ),
    1
  ),
  ""REVISAR""
)
"),"FilmPro®")</f>
        <v>FilmPro®</v>
      </c>
      <c r="E501" s="120">
        <f t="array" ref="E501">IF(
UPPER(TRIM(CLEAN($O501)))="ENTREGADO",
IFERROR(
INDEX(REPORTE_DROPI!Y:Y,
MATCH($T501, REPORTE_DROPI!B:B, 0)
),
""
),
""
)
</f>
        <v>4.7</v>
      </c>
      <c r="F501" s="121">
        <v>2.0</v>
      </c>
      <c r="G501" s="122">
        <f t="array" ref="G501">IF(
UPPER(TRIM(CLEAN($O501)))="ENTREGADO",
IFERROR(
INDEX(REPORTE_DROPI!R:R,
MATCH($T501, REPORTE_DROPI!B:B, 0)
),
""
),
""
)
</f>
        <v>25</v>
      </c>
      <c r="H501" s="118" t="s">
        <v>3727</v>
      </c>
      <c r="I501" s="118" t="s">
        <v>3882</v>
      </c>
      <c r="J501" s="121">
        <f t="array" ref="J501">IF(
UPPER(TRIM(CLEAN($O501)))="ENTREGADO",
IFERROR(
INDEX(REPORTE_DROPI!T:T,
MATCH($T501, REPORTE_DROPI!B:B, 0)
),
""
),
""
)
</f>
        <v>7.75</v>
      </c>
      <c r="K501" s="118">
        <f t="array" ref="K501">IFERROR(
INDEX(REPORTE_DROPI!S:S,
MATCH($T501, REPORTE_DROPI!B:B, 0)
),
""
)
</f>
        <v>12.55</v>
      </c>
      <c r="L501" s="118" t="str">
        <f>IF(
  O501&lt;&gt;"DEVOLUCION",
  "",
  IF(
    T501="",
    "",
    SUMIF(DEVOLUCION!F:F, T501, DEVOLUCION!D:D)
  )
)
</f>
        <v/>
      </c>
      <c r="M501" s="118" t="s">
        <v>3870</v>
      </c>
      <c r="N501" s="130" t="s">
        <v>4705</v>
      </c>
      <c r="O501" s="118" t="str">
        <f t="array" ref="O501">IFERROR(
VLOOKUP(
TRIM(CLEAN(
INDEX(REPORTE_DROPI!K:K,
MATCH(T501, REPORTE_DROPI!B:B, 0)
))),
{
TRIM(CLEAN(MAPA_ESTADOS!A:A)) ,
MAPA_ESTADOS!B:B
},
2,
FALSE
),
"REVISAR"
)
</f>
        <v>ENTREGADO</v>
      </c>
      <c r="P501" s="118"/>
      <c r="Q501" s="122">
        <f t="shared" si="1"/>
        <v>0</v>
      </c>
      <c r="R501" s="118"/>
      <c r="S501" s="118"/>
      <c r="T501" s="118">
        <f t="array" ref="T501">IFERROR(
INDEX(REPORTE_DROPI!B:B,
MATCH(
CLEAN(TRIM(C501)),
CLEAN(TRIM(REPORTE_DROPI!E:E)),
0
)
),
""
)
</f>
        <v>4137669</v>
      </c>
      <c r="U501" s="118">
        <v>6.412723028012E12</v>
      </c>
      <c r="V501" s="78"/>
      <c r="W501" s="78"/>
      <c r="X501" s="78"/>
      <c r="Y501" s="78"/>
      <c r="Z501" s="78"/>
    </row>
    <row r="502" ht="22.5" customHeight="1">
      <c r="A502" s="118">
        <v>501.0</v>
      </c>
      <c r="B502" s="119">
        <v>46035.0</v>
      </c>
      <c r="C502" s="118" t="s">
        <v>4706</v>
      </c>
      <c r="D502" s="118" t="str">
        <f>IFERROR(__xludf.DUMMYFUNCTION("IFERROR(
  INDEX(
    FILTER(
      'NOMBRE DE PRODUCTOS'!B:B,
      REGEXMATCH(
        UPPER(
          INDEX(
            REPORTE_DROPI!AC:AC,
            MATCH(T502, REPORTE_DROPI!B:B, 0)
          )
        ),
        UPPER('NOMBRE DE PRODUCTOS'!A:A)"&amp;"
      )
    ),
    1
  ),
  ""REVISAR""
)
"),"FilmPro®")</f>
        <v>FilmPro®</v>
      </c>
      <c r="E502" s="120" t="str">
        <f t="array" ref="E502">IF(
UPPER(TRIM(CLEAN($O502)))="ENTREGADO",
IFERROR(
INDEX(REPORTE_DROPI!Y:Y,
MATCH($T502, REPORTE_DROPI!B:B, 0)
),
""
),
""
)
</f>
        <v/>
      </c>
      <c r="F502" s="121">
        <v>1.0</v>
      </c>
      <c r="G502" s="122" t="str">
        <f t="array" ref="G502">IF(
UPPER(TRIM(CLEAN($O502)))="ENTREGADO",
IFERROR(
INDEX(REPORTE_DROPI!R:R,
MATCH($T502, REPORTE_DROPI!B:B, 0)
),
""
),
""
)
</f>
        <v/>
      </c>
      <c r="H502" s="118" t="s">
        <v>3727</v>
      </c>
      <c r="I502" s="118" t="s">
        <v>3778</v>
      </c>
      <c r="J502" s="121" t="str">
        <f t="array" ref="J502">IF(
UPPER(TRIM(CLEAN($O502)))="ENTREGADO",
IFERROR(
INDEX(REPORTE_DROPI!T:T,
MATCH($T502, REPORTE_DROPI!B:B, 0)
),
""
),
""
)
</f>
        <v/>
      </c>
      <c r="K502" s="118" t="str">
        <f t="array" ref="K502">IFERROR(
INDEX(REPORTE_DROPI!S:S,
MATCH($T502, REPORTE_DROPI!B:B, 0)
),
""
)
</f>
        <v/>
      </c>
      <c r="L502" s="118" t="str">
        <f>IF(
  O502&lt;&gt;"DEVOLUCION",
  "",
  IF(
    T502="",
    "",
    SUMIF(DEVOLUCION!F:F, T502, DEVOLUCION!D:D)
  )
)
</f>
        <v/>
      </c>
      <c r="M502" s="118" t="s">
        <v>3870</v>
      </c>
      <c r="N502" s="130" t="s">
        <v>4707</v>
      </c>
      <c r="O502" s="118" t="str">
        <f t="array" ref="O502">IFERROR(
VLOOKUP(
TRIM(CLEAN(
INDEX(REPORTE_DROPI!K:K,
MATCH(T502, REPORTE_DROPI!B:B, 0)
))),
{
TRIM(CLEAN(MAPA_ESTADOS!A:A)) ,
MAPA_ESTADOS!B:B
},
2,
FALSE
),
"REVISAR"
)
</f>
        <v>CANCELADO</v>
      </c>
      <c r="P502" s="118" t="s">
        <v>3990</v>
      </c>
      <c r="Q502" s="122">
        <f t="shared" si="1"/>
        <v>0</v>
      </c>
      <c r="R502" s="118"/>
      <c r="S502" s="118"/>
      <c r="T502" s="118">
        <f t="array" ref="T502">IFERROR(
INDEX(REPORTE_DROPI!B:B,
MATCH(
CLEAN(TRIM(C502)),
CLEAN(TRIM(REPORTE_DROPI!E:E)),
0
)
),
""
)
</f>
        <v>4137694</v>
      </c>
      <c r="U502" s="118">
        <v>6.4127243715E12</v>
      </c>
      <c r="V502" s="78"/>
      <c r="W502" s="78"/>
      <c r="X502" s="78"/>
      <c r="Y502" s="78"/>
      <c r="Z502" s="78"/>
    </row>
    <row r="503" ht="22.5" customHeight="1">
      <c r="A503" s="118">
        <v>502.0</v>
      </c>
      <c r="B503" s="119">
        <v>46035.0</v>
      </c>
      <c r="C503" s="118" t="s">
        <v>4708</v>
      </c>
      <c r="D503" s="118" t="str">
        <f>IFERROR(__xludf.DUMMYFUNCTION("IFERROR(
  INDEX(
    FILTER(
      'NOMBRE DE PRODUCTOS'!B:B,
      REGEXMATCH(
        UPPER(
          INDEX(
            REPORTE_DROPI!AC:AC,
            MATCH(T503, REPORTE_DROPI!B:B, 0)
          )
        ),
        UPPER('NOMBRE DE PRODUCTOS'!A:A)"&amp;"
      )
    ),
    1
  ),
  ""REVISAR""
)
"),"FilmPro®")</f>
        <v>FilmPro®</v>
      </c>
      <c r="E503" s="120" t="str">
        <f t="array" ref="E503">IF(
UPPER(TRIM(CLEAN($O503)))="ENTREGADO",
IFERROR(
INDEX(REPORTE_DROPI!Y:Y,
MATCH($T503, REPORTE_DROPI!B:B, 0)
),
""
),
""
)
</f>
        <v/>
      </c>
      <c r="F503" s="121">
        <v>2.0</v>
      </c>
      <c r="G503" s="122" t="str">
        <f t="array" ref="G503">IF(
UPPER(TRIM(CLEAN($O503)))="ENTREGADO",
IFERROR(
INDEX(REPORTE_DROPI!R:R,
MATCH($T503, REPORTE_DROPI!B:B, 0)
),
""
),
""
)
</f>
        <v/>
      </c>
      <c r="H503" s="118" t="s">
        <v>3727</v>
      </c>
      <c r="I503" s="118" t="s">
        <v>3740</v>
      </c>
      <c r="J503" s="121" t="str">
        <f t="array" ref="J503">IF(
UPPER(TRIM(CLEAN($O503)))="ENTREGADO",
IFERROR(
INDEX(REPORTE_DROPI!T:T,
MATCH($T503, REPORTE_DROPI!B:B, 0)
),
""
),
""
)
</f>
        <v/>
      </c>
      <c r="K503" s="118" t="str">
        <f t="array" ref="K503">IFERROR(
INDEX(REPORTE_DROPI!S:S,
MATCH($T503, REPORTE_DROPI!B:B, 0)
),
""
)
</f>
        <v/>
      </c>
      <c r="L503" s="118">
        <f>IF(
  O503&lt;&gt;"DEVOLUCION",
  "",
  IF(
    T503="",
    "",
    SUMIF(DEVOLUCION!F:F, T503, DEVOLUCION!D:D)
  )
)
</f>
        <v>5.09</v>
      </c>
      <c r="M503" s="118" t="s">
        <v>3870</v>
      </c>
      <c r="N503" s="130" t="s">
        <v>4709</v>
      </c>
      <c r="O503" s="118" t="str">
        <f t="array" ref="O503">IFERROR(
VLOOKUP(
TRIM(CLEAN(
INDEX(REPORTE_DROPI!K:K,
MATCH(T503, REPORTE_DROPI!B:B, 0)
))),
{
TRIM(CLEAN(MAPA_ESTADOS!A:A)) ,
MAPA_ESTADOS!B:B
},
2,
FALSE
),
"REVISAR"
)
</f>
        <v>DEVOLUCION</v>
      </c>
      <c r="P503" s="118" t="s">
        <v>3990</v>
      </c>
      <c r="Q503" s="122">
        <f t="shared" si="1"/>
        <v>0</v>
      </c>
      <c r="R503" s="118"/>
      <c r="S503" s="118"/>
      <c r="T503" s="118">
        <f t="array" ref="T503">IFERROR(
INDEX(REPORTE_DROPI!B:B,
MATCH(
CLEAN(TRIM(C503)),
CLEAN(TRIM(REPORTE_DROPI!E:E)),
0
)
),
""
)
</f>
        <v>4137865</v>
      </c>
      <c r="U503" s="118">
        <v>6.412755861548E12</v>
      </c>
      <c r="V503" s="78"/>
      <c r="W503" s="78"/>
      <c r="X503" s="78"/>
      <c r="Y503" s="78"/>
      <c r="Z503" s="78"/>
    </row>
    <row r="504" ht="22.5" customHeight="1">
      <c r="A504" s="118">
        <v>503.0</v>
      </c>
      <c r="B504" s="119">
        <v>46035.0</v>
      </c>
      <c r="C504" s="118" t="s">
        <v>4710</v>
      </c>
      <c r="D504" s="118" t="str">
        <f>IFERROR(__xludf.DUMMYFUNCTION("IFERROR(
  INDEX(
    FILTER(
      'NOMBRE DE PRODUCTOS'!B:B,
      REGEXMATCH(
        UPPER(
          INDEX(
            REPORTE_DROPI!AC:AC,
            MATCH(T504, REPORTE_DROPI!B:B, 0)
          )
        ),
        UPPER('NOMBRE DE PRODUCTOS'!A:A)"&amp;"
      )
    ),
    1
  ),
  ""REVISAR""
)
"),"FilmPro®")</f>
        <v>FilmPro®</v>
      </c>
      <c r="E504" s="120">
        <f t="array" ref="E504">IF(
UPPER(TRIM(CLEAN($O504)))="ENTREGADO",
IFERROR(
INDEX(REPORTE_DROPI!Y:Y,
MATCH($T504, REPORTE_DROPI!B:B, 0)
),
""
),
""
)
</f>
        <v>4.7</v>
      </c>
      <c r="F504" s="121">
        <v>2.0</v>
      </c>
      <c r="G504" s="122">
        <f t="array" ref="G504">IF(
UPPER(TRIM(CLEAN($O504)))="ENTREGADO",
IFERROR(
INDEX(REPORTE_DROPI!R:R,
MATCH($T504, REPORTE_DROPI!B:B, 0)
),
""
),
""
)
</f>
        <v>25</v>
      </c>
      <c r="H504" s="118" t="s">
        <v>3727</v>
      </c>
      <c r="I504" s="118" t="s">
        <v>3731</v>
      </c>
      <c r="J504" s="121">
        <f t="array" ref="J504">IF(
UPPER(TRIM(CLEAN($O504)))="ENTREGADO",
IFERROR(
INDEX(REPORTE_DROPI!T:T,
MATCH($T504, REPORTE_DROPI!B:B, 0)
),
""
),
""
)
</f>
        <v>4.35</v>
      </c>
      <c r="K504" s="118">
        <f t="array" ref="K504">IFERROR(
INDEX(REPORTE_DROPI!S:S,
MATCH($T504, REPORTE_DROPI!B:B, 0)
),
""
)
</f>
        <v>15.95</v>
      </c>
      <c r="L504" s="118" t="str">
        <f>IF(
  O504&lt;&gt;"DEVOLUCION",
  "",
  IF(
    T504="",
    "",
    SUMIF(DEVOLUCION!F:F, T504, DEVOLUCION!D:D)
  )
)
</f>
        <v/>
      </c>
      <c r="M504" s="118" t="s">
        <v>3870</v>
      </c>
      <c r="N504" s="130" t="s">
        <v>4711</v>
      </c>
      <c r="O504" s="118" t="str">
        <f t="array" ref="O504">IFERROR(
VLOOKUP(
TRIM(CLEAN(
INDEX(REPORTE_DROPI!K:K,
MATCH(T504, REPORTE_DROPI!B:B, 0)
))),
{
TRIM(CLEAN(MAPA_ESTADOS!A:A)) ,
MAPA_ESTADOS!B:B
},
2,
FALSE
),
"REVISAR"
)
</f>
        <v>ENTREGADO</v>
      </c>
      <c r="P504" s="118"/>
      <c r="Q504" s="122">
        <f t="shared" si="1"/>
        <v>0</v>
      </c>
      <c r="R504" s="118"/>
      <c r="S504" s="118"/>
      <c r="T504" s="118">
        <f t="array" ref="T504">IFERROR(
INDEX(REPORTE_DROPI!B:B,
MATCH(
CLEAN(TRIM(C504)),
CLEAN(TRIM(REPORTE_DROPI!E:E)),
0
)
),
""
)
</f>
        <v>4137946</v>
      </c>
      <c r="U504" s="118">
        <v>6.412772114476E12</v>
      </c>
      <c r="V504" s="78"/>
      <c r="W504" s="78"/>
      <c r="X504" s="78"/>
      <c r="Y504" s="78"/>
      <c r="Z504" s="78"/>
    </row>
    <row r="505" ht="22.5" customHeight="1">
      <c r="A505" s="118">
        <v>504.0</v>
      </c>
      <c r="B505" s="119">
        <v>46035.0</v>
      </c>
      <c r="C505" s="126" t="s">
        <v>4712</v>
      </c>
      <c r="D505" s="118" t="str">
        <f>IFERROR(__xludf.DUMMYFUNCTION("IFERROR(
  INDEX(
    FILTER(
      'NOMBRE DE PRODUCTOS'!B:B,
      REGEXMATCH(
        UPPER(
          INDEX(
            REPORTE_DROPI!AC:AC,
            MATCH(T505, REPORTE_DROPI!B:B, 0)
          )
        ),
        UPPER('NOMBRE DE PRODUCTOS'!A:A)"&amp;"
      )
    ),
    1
  ),
  ""REVISAR""
)
"),"FilmPro®")</f>
        <v>FilmPro®</v>
      </c>
      <c r="E505" s="120" t="str">
        <f t="array" ref="E505">IF(
UPPER(TRIM(CLEAN($O505)))="ENTREGADO",
IFERROR(
INDEX(REPORTE_DROPI!Y:Y,
MATCH($T505, REPORTE_DROPI!B:B, 0)
),
""
),
""
)
</f>
        <v/>
      </c>
      <c r="F505" s="121">
        <v>3.0</v>
      </c>
      <c r="G505" s="122" t="str">
        <f t="array" ref="G505">IF(
UPPER(TRIM(CLEAN($O505)))="ENTREGADO",
IFERROR(
INDEX(REPORTE_DROPI!R:R,
MATCH($T505, REPORTE_DROPI!B:B, 0)
),
""
),
""
)
</f>
        <v/>
      </c>
      <c r="H505" s="118" t="s">
        <v>3727</v>
      </c>
      <c r="I505" s="118" t="s">
        <v>3740</v>
      </c>
      <c r="J505" s="121" t="str">
        <f t="array" ref="J505">IF(
UPPER(TRIM(CLEAN($O505)))="ENTREGADO",
IFERROR(
INDEX(REPORTE_DROPI!T:T,
MATCH($T505, REPORTE_DROPI!B:B, 0)
),
""
),
""
)
</f>
        <v/>
      </c>
      <c r="K505" s="118" t="str">
        <f t="array" ref="K505">IFERROR(
INDEX(REPORTE_DROPI!S:S,
MATCH($T505, REPORTE_DROPI!B:B, 0)
),
""
)
</f>
        <v/>
      </c>
      <c r="L505" s="118">
        <f>IF(
  O505&lt;&gt;"DEVOLUCION",
  "",
  IF(
    T505="",
    "",
    SUMIF(DEVOLUCION!F:F, T505, DEVOLUCION!D:D)
  )
)
</f>
        <v>5.12</v>
      </c>
      <c r="M505" s="118" t="s">
        <v>3870</v>
      </c>
      <c r="N505" s="130" t="s">
        <v>4713</v>
      </c>
      <c r="O505" s="118" t="str">
        <f t="array" ref="O505">IFERROR(
VLOOKUP(
TRIM(CLEAN(
INDEX(REPORTE_DROPI!K:K,
MATCH(T505, REPORTE_DROPI!B:B, 0)
))),
{
TRIM(CLEAN(MAPA_ESTADOS!A:A)) ,
MAPA_ESTADOS!B:B
},
2,
FALSE
),
"REVISAR"
)
</f>
        <v>DEVOLUCION</v>
      </c>
      <c r="P505" s="118" t="s">
        <v>3891</v>
      </c>
      <c r="Q505" s="122">
        <f t="shared" si="1"/>
        <v>0</v>
      </c>
      <c r="R505" s="118"/>
      <c r="S505" s="118"/>
      <c r="T505" s="118">
        <f t="array" ref="T505">IFERROR(
INDEX(REPORTE_DROPI!B:B,
MATCH(
CLEAN(TRIM(C505)),
CLEAN(TRIM(REPORTE_DROPI!E:E)),
0
)
),
""
)
</f>
        <v>4138258</v>
      </c>
      <c r="U505" s="118">
        <v>6.412833751084E12</v>
      </c>
      <c r="V505" s="78"/>
      <c r="W505" s="78"/>
      <c r="X505" s="78"/>
      <c r="Y505" s="78"/>
      <c r="Z505" s="78"/>
    </row>
    <row r="506" ht="22.5" customHeight="1">
      <c r="A506" s="118">
        <v>505.0</v>
      </c>
      <c r="B506" s="119">
        <v>46035.0</v>
      </c>
      <c r="C506" s="118" t="s">
        <v>4714</v>
      </c>
      <c r="D506" s="118" t="str">
        <f>IFERROR(__xludf.DUMMYFUNCTION("IFERROR(
  INDEX(
    FILTER(
      'NOMBRE DE PRODUCTOS'!B:B,
      REGEXMATCH(
        UPPER(
          INDEX(
            REPORTE_DROPI!AC:AC,
            MATCH(T506, REPORTE_DROPI!B:B, 0)
          )
        ),
        UPPER('NOMBRE DE PRODUCTOS'!A:A)"&amp;"
      )
    ),
    1
  ),
  ""REVISAR""
)
"),"FilmPro®")</f>
        <v>FilmPro®</v>
      </c>
      <c r="E506" s="120" t="str">
        <f t="array" ref="E506">IF(
UPPER(TRIM(CLEAN($O506)))="ENTREGADO",
IFERROR(
INDEX(REPORTE_DROPI!Y:Y,
MATCH($T506, REPORTE_DROPI!B:B, 0)
),
""
),
""
)
</f>
        <v/>
      </c>
      <c r="F506" s="121">
        <v>3.0</v>
      </c>
      <c r="G506" s="122" t="str">
        <f t="array" ref="G506">IF(
UPPER(TRIM(CLEAN($O506)))="ENTREGADO",
IFERROR(
INDEX(REPORTE_DROPI!R:R,
MATCH($T506, REPORTE_DROPI!B:B, 0)
),
""
),
""
)
</f>
        <v/>
      </c>
      <c r="H506" s="118" t="s">
        <v>3727</v>
      </c>
      <c r="I506" s="118" t="s">
        <v>3801</v>
      </c>
      <c r="J506" s="121" t="str">
        <f t="array" ref="J506">IF(
UPPER(TRIM(CLEAN($O506)))="ENTREGADO",
IFERROR(
INDEX(REPORTE_DROPI!T:T,
MATCH($T506, REPORTE_DROPI!B:B, 0)
),
""
),
""
)
</f>
        <v/>
      </c>
      <c r="K506" s="118" t="str">
        <f t="array" ref="K506">IFERROR(
INDEX(REPORTE_DROPI!S:S,
MATCH($T506, REPORTE_DROPI!B:B, 0)
),
""
)
</f>
        <v/>
      </c>
      <c r="L506" s="118">
        <f>IF(
  O506&lt;&gt;"DEVOLUCION",
  "",
  IF(
    T506="",
    "",
    SUMIF(DEVOLUCION!F:F, T506, DEVOLUCION!D:D)
  )
)
</f>
        <v>5.69</v>
      </c>
      <c r="M506" s="118" t="s">
        <v>3870</v>
      </c>
      <c r="N506" s="130" t="s">
        <v>4715</v>
      </c>
      <c r="O506" s="118" t="str">
        <f t="array" ref="O506">IFERROR(
VLOOKUP(
TRIM(CLEAN(
INDEX(REPORTE_DROPI!K:K,
MATCH(T506, REPORTE_DROPI!B:B, 0)
))),
{
TRIM(CLEAN(MAPA_ESTADOS!A:A)) ,
MAPA_ESTADOS!B:B
},
2,
FALSE
),
"REVISAR"
)
</f>
        <v>DEVOLUCION</v>
      </c>
      <c r="P506" s="118"/>
      <c r="Q506" s="122">
        <f t="shared" si="1"/>
        <v>0</v>
      </c>
      <c r="R506" s="118"/>
      <c r="S506" s="118"/>
      <c r="T506" s="118">
        <f t="array" ref="T506">IFERROR(
INDEX(REPORTE_DROPI!B:B,
MATCH(
CLEAN(TRIM(C506)),
CLEAN(TRIM(REPORTE_DROPI!E:E)),
0
)
),
""
)
</f>
        <v>4138308</v>
      </c>
      <c r="U506" s="118">
        <v>6.412843941932E12</v>
      </c>
      <c r="V506" s="78"/>
      <c r="W506" s="78"/>
      <c r="X506" s="78"/>
      <c r="Y506" s="78"/>
      <c r="Z506" s="78"/>
    </row>
    <row r="507" ht="22.5" customHeight="1">
      <c r="A507" s="118">
        <v>506.0</v>
      </c>
      <c r="B507" s="119">
        <v>46035.0</v>
      </c>
      <c r="C507" s="118" t="s">
        <v>4716</v>
      </c>
      <c r="D507" s="118" t="str">
        <f>IFERROR(__xludf.DUMMYFUNCTION("IFERROR(
  INDEX(
    FILTER(
      'NOMBRE DE PRODUCTOS'!B:B,
      REGEXMATCH(
        UPPER(
          INDEX(
            REPORTE_DROPI!AC:AC,
            MATCH(T507, REPORTE_DROPI!B:B, 0)
          )
        ),
        UPPER('NOMBRE DE PRODUCTOS'!A:A)"&amp;"
      )
    ),
    1
  ),
  ""REVISAR""
)
"),"FilmPro®")</f>
        <v>FilmPro®</v>
      </c>
      <c r="E507" s="120" t="str">
        <f t="array" ref="E507">IF(
UPPER(TRIM(CLEAN($O507)))="ENTREGADO",
IFERROR(
INDEX(REPORTE_DROPI!Y:Y,
MATCH($T507, REPORTE_DROPI!B:B, 0)
),
""
),
""
)
</f>
        <v/>
      </c>
      <c r="F507" s="121">
        <v>2.0</v>
      </c>
      <c r="G507" s="122" t="str">
        <f t="array" ref="G507">IF(
UPPER(TRIM(CLEAN($O507)))="ENTREGADO",
IFERROR(
INDEX(REPORTE_DROPI!R:R,
MATCH($T507, REPORTE_DROPI!B:B, 0)
),
""
),
""
)
</f>
        <v/>
      </c>
      <c r="H507" s="118" t="s">
        <v>3727</v>
      </c>
      <c r="I507" s="118" t="s">
        <v>3951</v>
      </c>
      <c r="J507" s="121" t="str">
        <f t="array" ref="J507">IF(
UPPER(TRIM(CLEAN($O507)))="ENTREGADO",
IFERROR(
INDEX(REPORTE_DROPI!T:T,
MATCH($T507, REPORTE_DROPI!B:B, 0)
),
""
),
""
)
</f>
        <v/>
      </c>
      <c r="K507" s="118" t="str">
        <f t="array" ref="K507">IFERROR(
INDEX(REPORTE_DROPI!S:S,
MATCH($T507, REPORTE_DROPI!B:B, 0)
),
""
)
</f>
        <v/>
      </c>
      <c r="L507" s="118" t="str">
        <f>IF(
  O507&lt;&gt;"DEVOLUCION",
  "",
  IF(
    T507="",
    "",
    SUMIF(DEVOLUCION!F:F, T507, DEVOLUCION!D:D)
  )
)
</f>
        <v/>
      </c>
      <c r="M507" s="118" t="s">
        <v>3870</v>
      </c>
      <c r="N507" s="130" t="s">
        <v>4717</v>
      </c>
      <c r="O507" s="118" t="str">
        <f t="array" ref="O507">IFERROR(
VLOOKUP(
TRIM(CLEAN(
INDEX(REPORTE_DROPI!K:K,
MATCH(T507, REPORTE_DROPI!B:B, 0)
))),
{
TRIM(CLEAN(MAPA_ESTADOS!A:A)) ,
MAPA_ESTADOS!B:B
},
2,
FALSE
),
"REVISAR"
)
</f>
        <v>CANCELADO</v>
      </c>
      <c r="P507" s="118" t="s">
        <v>4069</v>
      </c>
      <c r="Q507" s="122">
        <f t="shared" si="1"/>
        <v>0</v>
      </c>
      <c r="R507" s="118"/>
      <c r="S507" s="118"/>
      <c r="T507" s="118">
        <f t="array" ref="T507">IFERROR(
INDEX(REPORTE_DROPI!B:B,
MATCH(
CLEAN(TRIM(C507)),
CLEAN(TRIM(REPORTE_DROPI!E:E)),
0
)
),
""
)
</f>
        <v>4155582</v>
      </c>
      <c r="U507" s="118">
        <v>6.412851216428E12</v>
      </c>
      <c r="V507" s="78"/>
      <c r="W507" s="78"/>
      <c r="X507" s="78"/>
      <c r="Y507" s="78"/>
      <c r="Z507" s="78"/>
    </row>
    <row r="508" ht="22.5" customHeight="1">
      <c r="A508" s="118">
        <v>507.0</v>
      </c>
      <c r="B508" s="119">
        <v>46035.0</v>
      </c>
      <c r="C508" s="118" t="s">
        <v>4718</v>
      </c>
      <c r="D508" s="118" t="str">
        <f>IFERROR(__xludf.DUMMYFUNCTION("IFERROR(
  INDEX(
    FILTER(
      'NOMBRE DE PRODUCTOS'!B:B,
      REGEXMATCH(
        UPPER(
          INDEX(
            REPORTE_DROPI!AC:AC,
            MATCH(T508, REPORTE_DROPI!B:B, 0)
          )
        ),
        UPPER('NOMBRE DE PRODUCTOS'!A:A)"&amp;"
      )
    ),
    1
  ),
  ""REVISAR""
)
"),"FilmPro®")</f>
        <v>FilmPro®</v>
      </c>
      <c r="E508" s="120" t="str">
        <f t="array" ref="E508">IF(
UPPER(TRIM(CLEAN($O508)))="ENTREGADO",
IFERROR(
INDEX(REPORTE_DROPI!Y:Y,
MATCH($T508, REPORTE_DROPI!B:B, 0)
),
""
),
""
)
</f>
        <v/>
      </c>
      <c r="F508" s="121">
        <v>3.0</v>
      </c>
      <c r="G508" s="122" t="str">
        <f t="array" ref="G508">IF(
UPPER(TRIM(CLEAN($O508)))="ENTREGADO",
IFERROR(
INDEX(REPORTE_DROPI!R:R,
MATCH($T508, REPORTE_DROPI!B:B, 0)
),
""
),
""
)
</f>
        <v/>
      </c>
      <c r="H508" s="118" t="s">
        <v>3727</v>
      </c>
      <c r="I508" s="118" t="s">
        <v>3740</v>
      </c>
      <c r="J508" s="121" t="str">
        <f t="array" ref="J508">IF(
UPPER(TRIM(CLEAN($O508)))="ENTREGADO",
IFERROR(
INDEX(REPORTE_DROPI!T:T,
MATCH($T508, REPORTE_DROPI!B:B, 0)
),
""
),
""
)
</f>
        <v/>
      </c>
      <c r="K508" s="118" t="str">
        <f t="array" ref="K508">IFERROR(
INDEX(REPORTE_DROPI!S:S,
MATCH($T508, REPORTE_DROPI!B:B, 0)
),
""
)
</f>
        <v/>
      </c>
      <c r="L508" s="118" t="str">
        <f>IF(
  O508&lt;&gt;"DEVOLUCION",
  "",
  IF(
    T508="",
    "",
    SUMIF(DEVOLUCION!F:F, T508, DEVOLUCION!D:D)
  )
)
</f>
        <v/>
      </c>
      <c r="M508" s="118" t="s">
        <v>3870</v>
      </c>
      <c r="N508" s="130" t="s">
        <v>4719</v>
      </c>
      <c r="O508" s="118" t="str">
        <f t="array" ref="O508">IFERROR(
VLOOKUP(
TRIM(CLEAN(
INDEX(REPORTE_DROPI!K:K,
MATCH(T508, REPORTE_DROPI!B:B, 0)
))),
{
TRIM(CLEAN(MAPA_ESTADOS!A:A)) ,
MAPA_ESTADOS!B:B
},
2,
FALSE
),
"REVISAR"
)
</f>
        <v>CANCELADO</v>
      </c>
      <c r="P508" s="118" t="s">
        <v>3990</v>
      </c>
      <c r="Q508" s="122">
        <f t="shared" si="1"/>
        <v>0</v>
      </c>
      <c r="R508" s="118"/>
      <c r="S508" s="118"/>
      <c r="T508" s="118">
        <f t="array" ref="T508">IFERROR(
INDEX(REPORTE_DROPI!B:B,
MATCH(
CLEAN(TRIM(C508)),
CLEAN(TRIM(REPORTE_DROPI!E:E)),
0
)
),
""
)
</f>
        <v>4138342</v>
      </c>
      <c r="U508" s="118">
        <v>6.41285151134E12</v>
      </c>
      <c r="V508" s="78"/>
      <c r="W508" s="78"/>
      <c r="X508" s="78"/>
      <c r="Y508" s="78"/>
      <c r="Z508" s="78"/>
    </row>
    <row r="509" ht="22.5" customHeight="1">
      <c r="A509" s="118">
        <v>508.0</v>
      </c>
      <c r="B509" s="119">
        <v>46035.0</v>
      </c>
      <c r="C509" s="118" t="s">
        <v>4720</v>
      </c>
      <c r="D509" s="118" t="str">
        <f>IFERROR(__xludf.DUMMYFUNCTION("IFERROR(
  INDEX(
    FILTER(
      'NOMBRE DE PRODUCTOS'!B:B,
      REGEXMATCH(
        UPPER(
          INDEX(
            REPORTE_DROPI!AC:AC,
            MATCH(T509, REPORTE_DROPI!B:B, 0)
          )
        ),
        UPPER('NOMBRE DE PRODUCTOS'!A:A)"&amp;"
      )
    ),
    1
  ),
  ""REVISAR""
)
"),"FilmPro®")</f>
        <v>FilmPro®</v>
      </c>
      <c r="E509" s="120">
        <f t="array" ref="E509">IF(
UPPER(TRIM(CLEAN($O509)))="ENTREGADO",
IFERROR(
INDEX(REPORTE_DROPI!Y:Y,
MATCH($T509, REPORTE_DROPI!B:B, 0)
),
""
),
""
)
</f>
        <v>7.05</v>
      </c>
      <c r="F509" s="121">
        <v>3.0</v>
      </c>
      <c r="G509" s="122">
        <f t="array" ref="G509">IF(
UPPER(TRIM(CLEAN($O509)))="ENTREGADO",
IFERROR(
INDEX(REPORTE_DROPI!R:R,
MATCH($T509, REPORTE_DROPI!B:B, 0)
),
""
),
""
)
</f>
        <v>30</v>
      </c>
      <c r="H509" s="118" t="s">
        <v>3727</v>
      </c>
      <c r="I509" s="118" t="s">
        <v>3759</v>
      </c>
      <c r="J509" s="121">
        <f t="array" ref="J509">IF(
UPPER(TRIM(CLEAN($O509)))="ENTREGADO",
IFERROR(
INDEX(REPORTE_DROPI!T:T,
MATCH($T509, REPORTE_DROPI!B:B, 0)
),
""
),
""
)
</f>
        <v>6.16</v>
      </c>
      <c r="K509" s="118">
        <f t="array" ref="K509">IFERROR(
INDEX(REPORTE_DROPI!S:S,
MATCH($T509, REPORTE_DROPI!B:B, 0)
),
""
)
</f>
        <v>16.79</v>
      </c>
      <c r="L509" s="118" t="str">
        <f>IF(
  O509&lt;&gt;"DEVOLUCION",
  "",
  IF(
    T509="",
    "",
    SUMIF(DEVOLUCION!F:F, T509, DEVOLUCION!D:D)
  )
)
</f>
        <v/>
      </c>
      <c r="M509" s="118" t="s">
        <v>3870</v>
      </c>
      <c r="N509" s="130" t="s">
        <v>4721</v>
      </c>
      <c r="O509" s="118" t="str">
        <f t="array" ref="O509">IFERROR(
VLOOKUP(
TRIM(CLEAN(
INDEX(REPORTE_DROPI!K:K,
MATCH(T509, REPORTE_DROPI!B:B, 0)
))),
{
TRIM(CLEAN(MAPA_ESTADOS!A:A)) ,
MAPA_ESTADOS!B:B
},
2,
FALSE
),
"REVISAR"
)
</f>
        <v>ENTREGADO</v>
      </c>
      <c r="P509" s="118"/>
      <c r="Q509" s="122">
        <f t="shared" si="1"/>
        <v>0</v>
      </c>
      <c r="R509" s="118"/>
      <c r="S509" s="118"/>
      <c r="T509" s="118">
        <f t="array" ref="T509">IFERROR(
INDEX(REPORTE_DROPI!B:B,
MATCH(
CLEAN(TRIM(C509)),
CLEAN(TRIM(REPORTE_DROPI!E:E)),
0
)
),
""
)
</f>
        <v>4138403</v>
      </c>
      <c r="U509" s="118">
        <v>6.412862947372E12</v>
      </c>
      <c r="V509" s="78"/>
      <c r="W509" s="78"/>
      <c r="X509" s="78"/>
      <c r="Y509" s="78"/>
      <c r="Z509" s="78"/>
    </row>
    <row r="510" ht="22.5" customHeight="1">
      <c r="A510" s="118">
        <v>509.0</v>
      </c>
      <c r="B510" s="119">
        <v>46035.0</v>
      </c>
      <c r="C510" s="118" t="s">
        <v>4722</v>
      </c>
      <c r="D510" s="118" t="str">
        <f>IFERROR(__xludf.DUMMYFUNCTION("IFERROR(
  INDEX(
    FILTER(
      'NOMBRE DE PRODUCTOS'!B:B,
      REGEXMATCH(
        UPPER(
          INDEX(
            REPORTE_DROPI!AC:AC,
            MATCH(T510, REPORTE_DROPI!B:B, 0)
          )
        ),
        UPPER('NOMBRE DE PRODUCTOS'!A:A)"&amp;"
      )
    ),
    1
  ),
  ""REVISAR""
)
"),"FilmPro®")</f>
        <v>FilmPro®</v>
      </c>
      <c r="E510" s="120">
        <f t="array" ref="E510">IF(
UPPER(TRIM(CLEAN($O510)))="ENTREGADO",
IFERROR(
INDEX(REPORTE_DROPI!Y:Y,
MATCH($T510, REPORTE_DROPI!B:B, 0)
),
""
),
""
)
</f>
        <v>7.05</v>
      </c>
      <c r="F510" s="121">
        <v>3.0</v>
      </c>
      <c r="G510" s="122">
        <f t="array" ref="G510">IF(
UPPER(TRIM(CLEAN($O510)))="ENTREGADO",
IFERROR(
INDEX(REPORTE_DROPI!R:R,
MATCH($T510, REPORTE_DROPI!B:B, 0)
),
""
),
""
)
</f>
        <v>30</v>
      </c>
      <c r="H510" s="118" t="s">
        <v>3727</v>
      </c>
      <c r="I510" s="118" t="s">
        <v>3731</v>
      </c>
      <c r="J510" s="121">
        <f t="array" ref="J510">IF(
UPPER(TRIM(CLEAN($O510)))="ENTREGADO",
IFERROR(
INDEX(REPORTE_DROPI!T:T,
MATCH($T510, REPORTE_DROPI!B:B, 0)
),
""
),
""
)
</f>
        <v>5.58</v>
      </c>
      <c r="K510" s="118">
        <f t="array" ref="K510">IFERROR(
INDEX(REPORTE_DROPI!S:S,
MATCH($T510, REPORTE_DROPI!B:B, 0)
),
""
)
</f>
        <v>17.37</v>
      </c>
      <c r="L510" s="118" t="str">
        <f>IF(
  O510&lt;&gt;"DEVOLUCION",
  "",
  IF(
    T510="",
    "",
    SUMIF(DEVOLUCION!F:F, T510, DEVOLUCION!D:D)
  )
)
</f>
        <v/>
      </c>
      <c r="M510" s="118" t="s">
        <v>3870</v>
      </c>
      <c r="N510" s="130" t="s">
        <v>4723</v>
      </c>
      <c r="O510" s="118" t="str">
        <f t="array" ref="O510">IFERROR(
VLOOKUP(
TRIM(CLEAN(
INDEX(REPORTE_DROPI!K:K,
MATCH(T510, REPORTE_DROPI!B:B, 0)
))),
{
TRIM(CLEAN(MAPA_ESTADOS!A:A)) ,
MAPA_ESTADOS!B:B
},
2,
FALSE
),
"REVISAR"
)
</f>
        <v>ENTREGADO</v>
      </c>
      <c r="P510" s="118"/>
      <c r="Q510" s="122">
        <f t="shared" si="1"/>
        <v>0</v>
      </c>
      <c r="R510" s="118"/>
      <c r="S510" s="118"/>
      <c r="T510" s="118">
        <f t="array" ref="T510">IFERROR(
INDEX(REPORTE_DROPI!B:B,
MATCH(
CLEAN(TRIM(C510)),
CLEAN(TRIM(REPORTE_DROPI!E:E)),
0
)
),
""
)
</f>
        <v>4138443</v>
      </c>
      <c r="U510" s="118">
        <v>6.412870156332E12</v>
      </c>
      <c r="V510" s="78"/>
      <c r="W510" s="78"/>
      <c r="X510" s="78"/>
      <c r="Y510" s="78"/>
      <c r="Z510" s="78"/>
    </row>
    <row r="511" ht="22.5" customHeight="1">
      <c r="A511" s="118">
        <v>510.0</v>
      </c>
      <c r="B511" s="119">
        <v>46035.0</v>
      </c>
      <c r="C511" s="126" t="s">
        <v>4724</v>
      </c>
      <c r="D511" s="118" t="str">
        <f>IFERROR(__xludf.DUMMYFUNCTION("IFERROR(
  INDEX(
    FILTER(
      'NOMBRE DE PRODUCTOS'!B:B,
      REGEXMATCH(
        UPPER(
          INDEX(
            REPORTE_DROPI!AC:AC,
            MATCH(T511, REPORTE_DROPI!B:B, 0)
          )
        ),
        UPPER('NOMBRE DE PRODUCTOS'!A:A)"&amp;"
      )
    ),
    1
  ),
  ""REVISAR""
)
"),"FilmPro®")</f>
        <v>FilmPro®</v>
      </c>
      <c r="E511" s="120" t="str">
        <f t="array" ref="E511">IF(
UPPER(TRIM(CLEAN($O511)))="ENTREGADO",
IFERROR(
INDEX(REPORTE_DROPI!Y:Y,
MATCH($T511, REPORTE_DROPI!B:B, 0)
),
""
),
""
)
</f>
        <v/>
      </c>
      <c r="F511" s="121">
        <v>1.0</v>
      </c>
      <c r="G511" s="122" t="str">
        <f t="array" ref="G511">IF(
UPPER(TRIM(CLEAN($O511)))="ENTREGADO",
IFERROR(
INDEX(REPORTE_DROPI!R:R,
MATCH($T511, REPORTE_DROPI!B:B, 0)
),
""
),
""
)
</f>
        <v/>
      </c>
      <c r="H511" s="118" t="s">
        <v>3727</v>
      </c>
      <c r="I511" s="118" t="s">
        <v>3801</v>
      </c>
      <c r="J511" s="121" t="str">
        <f t="array" ref="J511">IF(
UPPER(TRIM(CLEAN($O511)))="ENTREGADO",
IFERROR(
INDEX(REPORTE_DROPI!T:T,
MATCH($T511, REPORTE_DROPI!B:B, 0)
),
""
),
""
)
</f>
        <v/>
      </c>
      <c r="K511" s="118" t="str">
        <f t="array" ref="K511">IFERROR(
INDEX(REPORTE_DROPI!S:S,
MATCH($T511, REPORTE_DROPI!B:B, 0)
),
""
)
</f>
        <v/>
      </c>
      <c r="L511" s="118">
        <f>IF(
  O511&lt;&gt;"DEVOLUCION",
  "",
  IF(
    T511="",
    "",
    SUMIF(DEVOLUCION!F:F, T511, DEVOLUCION!D:D)
  )
)
</f>
        <v>5.06</v>
      </c>
      <c r="M511" s="118" t="s">
        <v>3870</v>
      </c>
      <c r="N511" s="130" t="s">
        <v>4725</v>
      </c>
      <c r="O511" s="118" t="str">
        <f t="array" ref="O511">IFERROR(
VLOOKUP(
TRIM(CLEAN(
INDEX(REPORTE_DROPI!K:K,
MATCH(T511, REPORTE_DROPI!B:B, 0)
))),
{
TRIM(CLEAN(MAPA_ESTADOS!A:A)) ,
MAPA_ESTADOS!B:B
},
2,
FALSE
),
"REVISAR"
)
</f>
        <v>DEVOLUCION</v>
      </c>
      <c r="P511" s="118"/>
      <c r="Q511" s="122">
        <f t="shared" si="1"/>
        <v>0</v>
      </c>
      <c r="R511" s="118"/>
      <c r="S511" s="118"/>
      <c r="T511" s="118">
        <f t="array" ref="T511">IFERROR(
INDEX(REPORTE_DROPI!B:B,
MATCH(
CLEAN(TRIM(C511)),
CLEAN(TRIM(REPORTE_DROPI!E:E)),
0
)
),
""
)
</f>
        <v>4138697</v>
      </c>
      <c r="U511" s="118">
        <v>6.412917407788E12</v>
      </c>
      <c r="V511" s="78"/>
      <c r="W511" s="78"/>
      <c r="X511" s="78"/>
      <c r="Y511" s="78"/>
      <c r="Z511" s="78"/>
    </row>
    <row r="512" ht="22.5" customHeight="1">
      <c r="A512" s="118">
        <v>511.0</v>
      </c>
      <c r="B512" s="119">
        <v>46035.0</v>
      </c>
      <c r="C512" s="118" t="s">
        <v>4726</v>
      </c>
      <c r="D512" s="118" t="str">
        <f>IFERROR(__xludf.DUMMYFUNCTION("IFERROR(
  INDEX(
    FILTER(
      'NOMBRE DE PRODUCTOS'!B:B,
      REGEXMATCH(
        UPPER(
          INDEX(
            REPORTE_DROPI!AC:AC,
            MATCH(T512, REPORTE_DROPI!B:B, 0)
          )
        ),
        UPPER('NOMBRE DE PRODUCTOS'!A:A)"&amp;"
      )
    ),
    1
  ),
  ""REVISAR""
)
"),"FilmPro®")</f>
        <v>FilmPro®</v>
      </c>
      <c r="E512" s="120">
        <f t="array" ref="E512">IF(
UPPER(TRIM(CLEAN($O512)))="ENTREGADO",
IFERROR(
INDEX(REPORTE_DROPI!Y:Y,
MATCH($T512, REPORTE_DROPI!B:B, 0)
),
""
),
""
)
</f>
        <v>4.7</v>
      </c>
      <c r="F512" s="121">
        <v>2.0</v>
      </c>
      <c r="G512" s="122">
        <f t="array" ref="G512">IF(
UPPER(TRIM(CLEAN($O512)))="ENTREGADO",
IFERROR(
INDEX(REPORTE_DROPI!R:R,
MATCH($T512, REPORTE_DROPI!B:B, 0)
),
""
),
""
)
</f>
        <v>25</v>
      </c>
      <c r="H512" s="118" t="s">
        <v>3727</v>
      </c>
      <c r="I512" s="118" t="s">
        <v>3740</v>
      </c>
      <c r="J512" s="121">
        <f t="array" ref="J512">IF(
UPPER(TRIM(CLEAN($O512)))="ENTREGADO",
IFERROR(
INDEX(REPORTE_DROPI!T:T,
MATCH($T512, REPORTE_DROPI!B:B, 0)
),
""
),
""
)
</f>
        <v>5.96</v>
      </c>
      <c r="K512" s="118">
        <f t="array" ref="K512">IFERROR(
INDEX(REPORTE_DROPI!S:S,
MATCH($T512, REPORTE_DROPI!B:B, 0)
),
""
)
</f>
        <v>14.34</v>
      </c>
      <c r="L512" s="118" t="str">
        <f>IF(
  O512&lt;&gt;"DEVOLUCION",
  "",
  IF(
    T512="",
    "",
    SUMIF(DEVOLUCION!F:F, T512, DEVOLUCION!D:D)
  )
)
</f>
        <v/>
      </c>
      <c r="M512" s="118" t="s">
        <v>3870</v>
      </c>
      <c r="N512" s="130" t="s">
        <v>4727</v>
      </c>
      <c r="O512" s="118" t="str">
        <f t="array" ref="O512">IFERROR(
VLOOKUP(
TRIM(CLEAN(
INDEX(REPORTE_DROPI!K:K,
MATCH(T512, REPORTE_DROPI!B:B, 0)
))),
{
TRIM(CLEAN(MAPA_ESTADOS!A:A)) ,
MAPA_ESTADOS!B:B
},
2,
FALSE
),
"REVISAR"
)
</f>
        <v>ENTREGADO</v>
      </c>
      <c r="P512" s="118"/>
      <c r="Q512" s="122">
        <f t="shared" si="1"/>
        <v>0</v>
      </c>
      <c r="R512" s="118"/>
      <c r="S512" s="118"/>
      <c r="T512" s="118">
        <f t="array" ref="T512">IFERROR(
INDEX(REPORTE_DROPI!B:B,
MATCH(
CLEAN(TRIM(C512)),
CLEAN(TRIM(REPORTE_DROPI!E:E)),
0
)
),
""
)
</f>
        <v>4138832</v>
      </c>
      <c r="U512" s="118">
        <v>6.412943032364E12</v>
      </c>
      <c r="V512" s="78"/>
      <c r="W512" s="78"/>
      <c r="X512" s="78"/>
      <c r="Y512" s="78"/>
      <c r="Z512" s="78"/>
    </row>
    <row r="513" ht="22.5" customHeight="1">
      <c r="A513" s="118">
        <v>512.0</v>
      </c>
      <c r="B513" s="119">
        <v>46036.0</v>
      </c>
      <c r="C513" s="118" t="s">
        <v>4728</v>
      </c>
      <c r="D513" s="118" t="str">
        <f>IFERROR(__xludf.DUMMYFUNCTION("IFERROR(
  INDEX(
    FILTER(
      'NOMBRE DE PRODUCTOS'!B:B,
      REGEXMATCH(
        UPPER(
          INDEX(
            REPORTE_DROPI!AC:AC,
            MATCH(T513, REPORTE_DROPI!B:B, 0)
          )
        ),
        UPPER('NOMBRE DE PRODUCTOS'!A:A)"&amp;"
      )
    ),
    1
  ),
  ""REVISAR""
)
"),"FilmPro®")</f>
        <v>FilmPro®</v>
      </c>
      <c r="E513" s="120">
        <f t="array" ref="E513">IF(
UPPER(TRIM(CLEAN($O513)))="ENTREGADO",
IFERROR(
INDEX(REPORTE_DROPI!Y:Y,
MATCH($T513, REPORTE_DROPI!B:B, 0)
),
""
),
""
)
</f>
        <v>7.05</v>
      </c>
      <c r="F513" s="121">
        <v>3.0</v>
      </c>
      <c r="G513" s="122">
        <f t="array" ref="G513">IF(
UPPER(TRIM(CLEAN($O513)))="ENTREGADO",
IFERROR(
INDEX(REPORTE_DROPI!R:R,
MATCH($T513, REPORTE_DROPI!B:B, 0)
),
""
),
""
)
</f>
        <v>30</v>
      </c>
      <c r="H513" s="118" t="s">
        <v>3727</v>
      </c>
      <c r="I513" s="118" t="s">
        <v>3740</v>
      </c>
      <c r="J513" s="121">
        <f t="array" ref="J513">IF(
UPPER(TRIM(CLEAN($O513)))="ENTREGADO",
IFERROR(
INDEX(REPORTE_DROPI!T:T,
MATCH($T513, REPORTE_DROPI!B:B, 0)
),
""
),
""
)
</f>
        <v>7.82</v>
      </c>
      <c r="K513" s="118">
        <f t="array" ref="K513">IFERROR(
INDEX(REPORTE_DROPI!S:S,
MATCH($T513, REPORTE_DROPI!B:B, 0)
),
""
)
</f>
        <v>15.13</v>
      </c>
      <c r="L513" s="118" t="str">
        <f>IF(
  O513&lt;&gt;"DEVOLUCION",
  "",
  IF(
    T513="",
    "",
    SUMIF(DEVOLUCION!F:F, T513, DEVOLUCION!D:D)
  )
)
</f>
        <v/>
      </c>
      <c r="M513" s="118" t="s">
        <v>3870</v>
      </c>
      <c r="N513" s="130" t="s">
        <v>4729</v>
      </c>
      <c r="O513" s="118" t="str">
        <f t="array" ref="O513">IFERROR(
VLOOKUP(
TRIM(CLEAN(
INDEX(REPORTE_DROPI!K:K,
MATCH(T513, REPORTE_DROPI!B:B, 0)
))),
{
TRIM(CLEAN(MAPA_ESTADOS!A:A)) ,
MAPA_ESTADOS!B:B
},
2,
FALSE
),
"REVISAR"
)
</f>
        <v>ENTREGADO</v>
      </c>
      <c r="P513" s="118"/>
      <c r="Q513" s="122">
        <f t="shared" si="1"/>
        <v>0</v>
      </c>
      <c r="R513" s="118"/>
      <c r="S513" s="118"/>
      <c r="T513" s="118">
        <f t="array" ref="T513">IFERROR(
INDEX(REPORTE_DROPI!B:B,
MATCH(
CLEAN(TRIM(C513)),
CLEAN(TRIM(REPORTE_DROPI!E:E)),
0
)
),
""
)
</f>
        <v>4139881</v>
      </c>
      <c r="U513" s="118">
        <v>6.413441728556E12</v>
      </c>
      <c r="V513" s="78"/>
      <c r="W513" s="78"/>
      <c r="X513" s="78"/>
      <c r="Y513" s="78"/>
      <c r="Z513" s="78"/>
    </row>
    <row r="514" ht="22.5" customHeight="1">
      <c r="A514" s="118">
        <v>513.0</v>
      </c>
      <c r="B514" s="119">
        <v>46036.0</v>
      </c>
      <c r="C514" s="118" t="s">
        <v>4730</v>
      </c>
      <c r="D514" s="118" t="str">
        <f>IFERROR(__xludf.DUMMYFUNCTION("IFERROR(
  INDEX(
    FILTER(
      'NOMBRE DE PRODUCTOS'!B:B,
      REGEXMATCH(
        UPPER(
          INDEX(
            REPORTE_DROPI!AC:AC,
            MATCH(T514, REPORTE_DROPI!B:B, 0)
          )
        ),
        UPPER('NOMBRE DE PRODUCTOS'!A:A)"&amp;"
      )
    ),
    1
  ),
  ""REVISAR""
)
"),"FilmPro®")</f>
        <v>FilmPro®</v>
      </c>
      <c r="E514" s="120" t="str">
        <f t="array" ref="E514">IF(
UPPER(TRIM(CLEAN($O514)))="ENTREGADO",
IFERROR(
INDEX(REPORTE_DROPI!Y:Y,
MATCH($T514, REPORTE_DROPI!B:B, 0)
),
""
),
""
)
</f>
        <v/>
      </c>
      <c r="F514" s="121">
        <v>2.0</v>
      </c>
      <c r="G514" s="122" t="str">
        <f t="array" ref="G514">IF(
UPPER(TRIM(CLEAN($O514)))="ENTREGADO",
IFERROR(
INDEX(REPORTE_DROPI!R:R,
MATCH($T514, REPORTE_DROPI!B:B, 0)
),
""
),
""
)
</f>
        <v/>
      </c>
      <c r="H514" s="118" t="s">
        <v>3727</v>
      </c>
      <c r="I514" s="118" t="s">
        <v>3951</v>
      </c>
      <c r="J514" s="121" t="str">
        <f t="array" ref="J514">IF(
UPPER(TRIM(CLEAN($O514)))="ENTREGADO",
IFERROR(
INDEX(REPORTE_DROPI!T:T,
MATCH($T514, REPORTE_DROPI!B:B, 0)
),
""
),
""
)
</f>
        <v/>
      </c>
      <c r="K514" s="118" t="str">
        <f t="array" ref="K514">IFERROR(
INDEX(REPORTE_DROPI!S:S,
MATCH($T514, REPORTE_DROPI!B:B, 0)
),
""
)
</f>
        <v/>
      </c>
      <c r="L514" s="118" t="str">
        <f>IF(
  O514&lt;&gt;"DEVOLUCION",
  "",
  IF(
    T514="",
    "",
    SUMIF(DEVOLUCION!F:F, T514, DEVOLUCION!D:D)
  )
)
</f>
        <v/>
      </c>
      <c r="M514" s="118" t="s">
        <v>3870</v>
      </c>
      <c r="N514" s="130" t="s">
        <v>4731</v>
      </c>
      <c r="O514" s="118" t="str">
        <f t="array" ref="O514">IFERROR(
VLOOKUP(
TRIM(CLEAN(
INDEX(REPORTE_DROPI!K:K,
MATCH(T514, REPORTE_DROPI!B:B, 0)
))),
{
TRIM(CLEAN(MAPA_ESTADOS!A:A)) ,
MAPA_ESTADOS!B:B
},
2,
FALSE
),
"REVISAR"
)
</f>
        <v>CANCELADO</v>
      </c>
      <c r="P514" s="118" t="s">
        <v>4732</v>
      </c>
      <c r="Q514" s="122">
        <f t="shared" si="1"/>
        <v>0</v>
      </c>
      <c r="R514" s="118"/>
      <c r="S514" s="118"/>
      <c r="T514" s="118">
        <f t="array" ref="T514">IFERROR(
INDEX(REPORTE_DROPI!B:B,
MATCH(
CLEAN(TRIM(C514)),
CLEAN(TRIM(REPORTE_DROPI!E:E)),
0
)
),
""
)
</f>
        <v>4156087</v>
      </c>
      <c r="U514" s="118">
        <v>6.413612941356E12</v>
      </c>
      <c r="V514" s="78"/>
      <c r="W514" s="78"/>
      <c r="X514" s="78"/>
      <c r="Y514" s="78"/>
      <c r="Z514" s="78"/>
    </row>
    <row r="515" ht="22.5" customHeight="1">
      <c r="A515" s="118">
        <v>514.0</v>
      </c>
      <c r="B515" s="119">
        <v>46036.0</v>
      </c>
      <c r="C515" s="118" t="s">
        <v>4733</v>
      </c>
      <c r="D515" s="118" t="str">
        <f>IFERROR(__xludf.DUMMYFUNCTION("IFERROR(
  INDEX(
    FILTER(
      'NOMBRE DE PRODUCTOS'!B:B,
      REGEXMATCH(
        UPPER(
          INDEX(
            REPORTE_DROPI!AC:AC,
            MATCH(T515, REPORTE_DROPI!B:B, 0)
          )
        ),
        UPPER('NOMBRE DE PRODUCTOS'!A:A)"&amp;"
      )
    ),
    1
  ),
  ""REVISAR""
)
"),"FilmPro®")</f>
        <v>FilmPro®</v>
      </c>
      <c r="E515" s="120">
        <f t="array" ref="E515">IF(
UPPER(TRIM(CLEAN($O515)))="ENTREGADO",
IFERROR(
INDEX(REPORTE_DROPI!Y:Y,
MATCH($T515, REPORTE_DROPI!B:B, 0)
),
""
),
""
)
</f>
        <v>7.05</v>
      </c>
      <c r="F515" s="121">
        <v>3.0</v>
      </c>
      <c r="G515" s="122">
        <f t="array" ref="G515">IF(
UPPER(TRIM(CLEAN($O515)))="ENTREGADO",
IFERROR(
INDEX(REPORTE_DROPI!R:R,
MATCH($T515, REPORTE_DROPI!B:B, 0)
),
""
),
""
)
</f>
        <v>30</v>
      </c>
      <c r="H515" s="118" t="s">
        <v>3727</v>
      </c>
      <c r="I515" s="118" t="s">
        <v>3728</v>
      </c>
      <c r="J515" s="121">
        <f t="array" ref="J515">IF(
UPPER(TRIM(CLEAN($O515)))="ENTREGADO",
IFERROR(
INDEX(REPORTE_DROPI!T:T,
MATCH($T515, REPORTE_DROPI!B:B, 0)
),
""
),
""
)
</f>
        <v>6.16</v>
      </c>
      <c r="K515" s="118">
        <f t="array" ref="K515">IFERROR(
INDEX(REPORTE_DROPI!S:S,
MATCH($T515, REPORTE_DROPI!B:B, 0)
),
""
)
</f>
        <v>16.79</v>
      </c>
      <c r="L515" s="118" t="str">
        <f>IF(
  O515&lt;&gt;"DEVOLUCION",
  "",
  IF(
    T515="",
    "",
    SUMIF(DEVOLUCION!F:F, T515, DEVOLUCION!D:D)
  )
)
</f>
        <v/>
      </c>
      <c r="M515" s="118" t="s">
        <v>3870</v>
      </c>
      <c r="N515" s="130" t="s">
        <v>4734</v>
      </c>
      <c r="O515" s="118" t="str">
        <f t="array" ref="O515">IFERROR(
VLOOKUP(
TRIM(CLEAN(
INDEX(REPORTE_DROPI!K:K,
MATCH(T515, REPORTE_DROPI!B:B, 0)
))),
{
TRIM(CLEAN(MAPA_ESTADOS!A:A)) ,
MAPA_ESTADOS!B:B
},
2,
FALSE
),
"REVISAR"
)
</f>
        <v>ENTREGADO</v>
      </c>
      <c r="P515" s="118"/>
      <c r="Q515" s="122">
        <f t="shared" si="1"/>
        <v>0</v>
      </c>
      <c r="R515" s="118"/>
      <c r="S515" s="118"/>
      <c r="T515" s="118">
        <f t="array" ref="T515">IFERROR(
INDEX(REPORTE_DROPI!B:B,
MATCH(
CLEAN(TRIM(C515)),
CLEAN(TRIM(REPORTE_DROPI!E:E)),
0
)
),
""
)
</f>
        <v>4140595</v>
      </c>
      <c r="U515" s="118">
        <v>6.413619298348E12</v>
      </c>
      <c r="V515" s="78"/>
      <c r="W515" s="78"/>
      <c r="X515" s="78"/>
      <c r="Y515" s="78"/>
      <c r="Z515" s="78"/>
    </row>
    <row r="516" ht="22.5" customHeight="1">
      <c r="A516" s="118">
        <v>515.0</v>
      </c>
      <c r="B516" s="119">
        <v>46036.0</v>
      </c>
      <c r="C516" s="118" t="s">
        <v>4735</v>
      </c>
      <c r="D516" s="118" t="str">
        <f>IFERROR(__xludf.DUMMYFUNCTION("IFERROR(
  INDEX(
    FILTER(
      'NOMBRE DE PRODUCTOS'!B:B,
      REGEXMATCH(
        UPPER(
          INDEX(
            REPORTE_DROPI!AC:AC,
            MATCH(T516, REPORTE_DROPI!B:B, 0)
          )
        ),
        UPPER('NOMBRE DE PRODUCTOS'!A:A)"&amp;"
      )
    ),
    1
  ),
  ""REVISAR""
)
"),"FilmPro®")</f>
        <v>FilmPro®</v>
      </c>
      <c r="E516" s="120">
        <f t="array" ref="E516">IF(
UPPER(TRIM(CLEAN($O516)))="ENTREGADO",
IFERROR(
INDEX(REPORTE_DROPI!Y:Y,
MATCH($T516, REPORTE_DROPI!B:B, 0)
),
""
),
""
)
</f>
        <v>7.05</v>
      </c>
      <c r="F516" s="121">
        <v>3.0</v>
      </c>
      <c r="G516" s="122">
        <f t="array" ref="G516">IF(
UPPER(TRIM(CLEAN($O516)))="ENTREGADO",
IFERROR(
INDEX(REPORTE_DROPI!R:R,
MATCH($T516, REPORTE_DROPI!B:B, 0)
),
""
),
""
)
</f>
        <v>30</v>
      </c>
      <c r="H516" s="118" t="s">
        <v>3727</v>
      </c>
      <c r="I516" s="118" t="s">
        <v>3731</v>
      </c>
      <c r="J516" s="121">
        <f t="array" ref="J516">IF(
UPPER(TRIM(CLEAN($O516)))="ENTREGADO",
IFERROR(
INDEX(REPORTE_DROPI!T:T,
MATCH($T516, REPORTE_DROPI!B:B, 0)
),
""
),
""
)
</f>
        <v>4.55</v>
      </c>
      <c r="K516" s="118">
        <f t="array" ref="K516">IFERROR(
INDEX(REPORTE_DROPI!S:S,
MATCH($T516, REPORTE_DROPI!B:B, 0)
),
""
)
</f>
        <v>18.4</v>
      </c>
      <c r="L516" s="118" t="str">
        <f>IF(
  O516&lt;&gt;"DEVOLUCION",
  "",
  IF(
    T516="",
    "",
    SUMIF(DEVOLUCION!F:F, T516, DEVOLUCION!D:D)
  )
)
</f>
        <v/>
      </c>
      <c r="M516" s="118" t="s">
        <v>3870</v>
      </c>
      <c r="N516" s="130" t="s">
        <v>4736</v>
      </c>
      <c r="O516" s="118" t="str">
        <f t="array" ref="O516">IFERROR(
VLOOKUP(
TRIM(CLEAN(
INDEX(REPORTE_DROPI!K:K,
MATCH(T516, REPORTE_DROPI!B:B, 0)
))),
{
TRIM(CLEAN(MAPA_ESTADOS!A:A)) ,
MAPA_ESTADOS!B:B
},
2,
FALSE
),
"REVISAR"
)
</f>
        <v>ENTREGADO</v>
      </c>
      <c r="P516" s="118"/>
      <c r="Q516" s="122">
        <f t="shared" si="1"/>
        <v>0</v>
      </c>
      <c r="R516" s="118"/>
      <c r="S516" s="118"/>
      <c r="T516" s="118">
        <f t="array" ref="T516">IFERROR(
INDEX(REPORTE_DROPI!B:B,
MATCH(
CLEAN(TRIM(C516)),
CLEAN(TRIM(REPORTE_DROPI!E:E)),
0
)
),
""
)
</f>
        <v>4140625</v>
      </c>
      <c r="U516" s="118">
        <v>6.413623230508E12</v>
      </c>
      <c r="V516" s="78"/>
      <c r="W516" s="78"/>
      <c r="X516" s="78"/>
      <c r="Y516" s="78"/>
      <c r="Z516" s="78"/>
    </row>
    <row r="517" ht="22.5" customHeight="1">
      <c r="A517" s="118">
        <v>516.0</v>
      </c>
      <c r="B517" s="119">
        <v>46036.0</v>
      </c>
      <c r="C517" s="126" t="s">
        <v>4737</v>
      </c>
      <c r="D517" s="118" t="str">
        <f>IFERROR(__xludf.DUMMYFUNCTION("IFERROR(
  INDEX(
    FILTER(
      'NOMBRE DE PRODUCTOS'!B:B,
      REGEXMATCH(
        UPPER(
          INDEX(
            REPORTE_DROPI!AC:AC,
            MATCH(T517, REPORTE_DROPI!B:B, 0)
          )
        ),
        UPPER('NOMBRE DE PRODUCTOS'!A:A)"&amp;"
      )
    ),
    1
  ),
  ""REVISAR""
)
"),"FilmPro®")</f>
        <v>FilmPro®</v>
      </c>
      <c r="E517" s="120" t="str">
        <f t="array" ref="E517">IF(
UPPER(TRIM(CLEAN($O517)))="ENTREGADO",
IFERROR(
INDEX(REPORTE_DROPI!Y:Y,
MATCH($T517, REPORTE_DROPI!B:B, 0)
),
""
),
""
)
</f>
        <v/>
      </c>
      <c r="F517" s="121">
        <v>2.0</v>
      </c>
      <c r="G517" s="122" t="str">
        <f t="array" ref="G517">IF(
UPPER(TRIM(CLEAN($O517)))="ENTREGADO",
IFERROR(
INDEX(REPORTE_DROPI!R:R,
MATCH($T517, REPORTE_DROPI!B:B, 0)
),
""
),
""
)
</f>
        <v/>
      </c>
      <c r="H517" s="118" t="s">
        <v>3727</v>
      </c>
      <c r="I517" s="118" t="s">
        <v>3855</v>
      </c>
      <c r="J517" s="121" t="str">
        <f t="array" ref="J517">IF(
UPPER(TRIM(CLEAN($O517)))="ENTREGADO",
IFERROR(
INDEX(REPORTE_DROPI!T:T,
MATCH($T517, REPORTE_DROPI!B:B, 0)
),
""
),
""
)
</f>
        <v/>
      </c>
      <c r="K517" s="118" t="str">
        <f t="array" ref="K517">IFERROR(
INDEX(REPORTE_DROPI!S:S,
MATCH($T517, REPORTE_DROPI!B:B, 0)
),
""
)
</f>
        <v/>
      </c>
      <c r="L517" s="118">
        <f>IF(
  O517&lt;&gt;"DEVOLUCION",
  "",
  IF(
    T517="",
    "",
    SUMIF(DEVOLUCION!F:F, T517, DEVOLUCION!D:D)
  )
)
</f>
        <v>5.09</v>
      </c>
      <c r="M517" s="118" t="s">
        <v>3870</v>
      </c>
      <c r="N517" s="130" t="s">
        <v>4738</v>
      </c>
      <c r="O517" s="118" t="str">
        <f t="array" ref="O517">IFERROR(
VLOOKUP(
TRIM(CLEAN(
INDEX(REPORTE_DROPI!K:K,
MATCH(T517, REPORTE_DROPI!B:B, 0)
))),
{
TRIM(CLEAN(MAPA_ESTADOS!A:A)) ,
MAPA_ESTADOS!B:B
},
2,
FALSE
),
"REVISAR"
)
</f>
        <v>DEVOLUCION</v>
      </c>
      <c r="P517" s="118"/>
      <c r="Q517" s="122">
        <f t="shared" si="1"/>
        <v>0</v>
      </c>
      <c r="R517" s="118"/>
      <c r="S517" s="118"/>
      <c r="T517" s="118">
        <f t="array" ref="T517">IFERROR(
INDEX(REPORTE_DROPI!B:B,
MATCH(
CLEAN(TRIM(C517)),
CLEAN(TRIM(REPORTE_DROPI!E:E)),
0
)
),
""
)
</f>
        <v>4140952</v>
      </c>
      <c r="U517" s="118">
        <v>6.41365449118E12</v>
      </c>
      <c r="V517" s="78"/>
      <c r="W517" s="78"/>
      <c r="X517" s="78"/>
      <c r="Y517" s="78"/>
      <c r="Z517" s="78"/>
    </row>
    <row r="518" ht="22.5" customHeight="1">
      <c r="A518" s="118">
        <v>517.0</v>
      </c>
      <c r="B518" s="119">
        <v>46036.0</v>
      </c>
      <c r="C518" s="118" t="s">
        <v>4739</v>
      </c>
      <c r="D518" s="118" t="str">
        <f>IFERROR(__xludf.DUMMYFUNCTION("IFERROR(
  INDEX(
    FILTER(
      'NOMBRE DE PRODUCTOS'!B:B,
      REGEXMATCH(
        UPPER(
          INDEX(
            REPORTE_DROPI!AC:AC,
            MATCH(T518, REPORTE_DROPI!B:B, 0)
          )
        ),
        UPPER('NOMBRE DE PRODUCTOS'!A:A)"&amp;"
      )
    ),
    1
  ),
  ""REVISAR""
)
"),"FilmPro®")</f>
        <v>FilmPro®</v>
      </c>
      <c r="E518" s="120" t="str">
        <f t="array" ref="E518">IF(
UPPER(TRIM(CLEAN($O518)))="ENTREGADO",
IFERROR(
INDEX(REPORTE_DROPI!Y:Y,
MATCH($T518, REPORTE_DROPI!B:B, 0)
),
""
),
""
)
</f>
        <v/>
      </c>
      <c r="F518" s="121">
        <v>2.0</v>
      </c>
      <c r="G518" s="122" t="str">
        <f t="array" ref="G518">IF(
UPPER(TRIM(CLEAN($O518)))="ENTREGADO",
IFERROR(
INDEX(REPORTE_DROPI!R:R,
MATCH($T518, REPORTE_DROPI!B:B, 0)
),
""
),
""
)
</f>
        <v/>
      </c>
      <c r="H518" s="118" t="s">
        <v>3727</v>
      </c>
      <c r="I518" s="118" t="s">
        <v>3728</v>
      </c>
      <c r="J518" s="121" t="str">
        <f t="array" ref="J518">IF(
UPPER(TRIM(CLEAN($O518)))="ENTREGADO",
IFERROR(
INDEX(REPORTE_DROPI!T:T,
MATCH($T518, REPORTE_DROPI!B:B, 0)
),
""
),
""
)
</f>
        <v/>
      </c>
      <c r="K518" s="118" t="str">
        <f t="array" ref="K518">IFERROR(
INDEX(REPORTE_DROPI!S:S,
MATCH($T518, REPORTE_DROPI!B:B, 0)
),
""
)
</f>
        <v/>
      </c>
      <c r="L518" s="118" t="str">
        <f>IF(
  O518&lt;&gt;"DEVOLUCION",
  "",
  IF(
    T518="",
    "",
    SUMIF(DEVOLUCION!F:F, T518, DEVOLUCION!D:D)
  )
)
</f>
        <v/>
      </c>
      <c r="M518" s="118" t="s">
        <v>3870</v>
      </c>
      <c r="N518" s="130" t="s">
        <v>4740</v>
      </c>
      <c r="O518" s="118" t="str">
        <f t="array" ref="O518">IFERROR(
VLOOKUP(
TRIM(CLEAN(
INDEX(REPORTE_DROPI!K:K,
MATCH(T518, REPORTE_DROPI!B:B, 0)
))),
{
TRIM(CLEAN(MAPA_ESTADOS!A:A)) ,
MAPA_ESTADOS!B:B
},
2,
FALSE
),
"REVISAR"
)
</f>
        <v>CANCELADO</v>
      </c>
      <c r="P518" s="118" t="s">
        <v>3888</v>
      </c>
      <c r="Q518" s="122">
        <f t="shared" si="1"/>
        <v>0</v>
      </c>
      <c r="R518" s="118"/>
      <c r="S518" s="118"/>
      <c r="T518" s="118">
        <f t="array" ref="T518">IFERROR(
INDEX(REPORTE_DROPI!B:B,
MATCH(
CLEAN(TRIM(C518)),
CLEAN(TRIM(REPORTE_DROPI!E:E)),
0
)
),
""
)
</f>
        <v>4141074</v>
      </c>
      <c r="U518" s="118">
        <v>6.413679132716E12</v>
      </c>
      <c r="V518" s="78"/>
      <c r="W518" s="78"/>
      <c r="X518" s="78"/>
      <c r="Y518" s="78"/>
      <c r="Z518" s="78"/>
    </row>
    <row r="519" ht="22.5" customHeight="1">
      <c r="A519" s="118">
        <v>518.0</v>
      </c>
      <c r="B519" s="119">
        <v>46036.0</v>
      </c>
      <c r="C519" s="126" t="s">
        <v>4741</v>
      </c>
      <c r="D519" s="118" t="str">
        <f>IFERROR(__xludf.DUMMYFUNCTION("IFERROR(
  INDEX(
    FILTER(
      'NOMBRE DE PRODUCTOS'!B:B,
      REGEXMATCH(
        UPPER(
          INDEX(
            REPORTE_DROPI!AC:AC,
            MATCH(T519, REPORTE_DROPI!B:B, 0)
          )
        ),
        UPPER('NOMBRE DE PRODUCTOS'!A:A)"&amp;"
      )
    ),
    1
  ),
  ""REVISAR""
)
"),"FilmPro®")</f>
        <v>FilmPro®</v>
      </c>
      <c r="E519" s="120" t="str">
        <f t="array" ref="E519">IF(
UPPER(TRIM(CLEAN($O519)))="ENTREGADO",
IFERROR(
INDEX(REPORTE_DROPI!Y:Y,
MATCH($T519, REPORTE_DROPI!B:B, 0)
),
""
),
""
)
</f>
        <v/>
      </c>
      <c r="F519" s="121">
        <v>1.0</v>
      </c>
      <c r="G519" s="122" t="str">
        <f t="array" ref="G519">IF(
UPPER(TRIM(CLEAN($O519)))="ENTREGADO",
IFERROR(
INDEX(REPORTE_DROPI!R:R,
MATCH($T519, REPORTE_DROPI!B:B, 0)
),
""
),
""
)
</f>
        <v/>
      </c>
      <c r="H519" s="118" t="s">
        <v>3727</v>
      </c>
      <c r="I519" s="118" t="s">
        <v>3804</v>
      </c>
      <c r="J519" s="121" t="str">
        <f t="array" ref="J519">IF(
UPPER(TRIM(CLEAN($O519)))="ENTREGADO",
IFERROR(
INDEX(REPORTE_DROPI!T:T,
MATCH($T519, REPORTE_DROPI!B:B, 0)
),
""
),
""
)
</f>
        <v/>
      </c>
      <c r="K519" s="118" t="str">
        <f t="array" ref="K519">IFERROR(
INDEX(REPORTE_DROPI!S:S,
MATCH($T519, REPORTE_DROPI!B:B, 0)
),
""
)
</f>
        <v/>
      </c>
      <c r="L519" s="118">
        <f>IF(
  O519&lt;&gt;"DEVOLUCION",
  "",
  IF(
    T519="",
    "",
    SUMIF(DEVOLUCION!F:F, T519, DEVOLUCION!D:D)
  )
)
</f>
        <v>5.06</v>
      </c>
      <c r="M519" s="118" t="s">
        <v>3870</v>
      </c>
      <c r="N519" s="130" t="s">
        <v>4742</v>
      </c>
      <c r="O519" s="118" t="str">
        <f t="array" ref="O519">IFERROR(
VLOOKUP(
TRIM(CLEAN(
INDEX(REPORTE_DROPI!K:K,
MATCH(T519, REPORTE_DROPI!B:B, 0)
))),
{
TRIM(CLEAN(MAPA_ESTADOS!A:A)) ,
MAPA_ESTADOS!B:B
},
2,
FALSE
),
"REVISAR"
)
</f>
        <v>DEVOLUCION</v>
      </c>
      <c r="P519" s="118"/>
      <c r="Q519" s="122">
        <f t="shared" si="1"/>
        <v>0</v>
      </c>
      <c r="R519" s="118"/>
      <c r="S519" s="118"/>
      <c r="T519" s="118">
        <f t="array" ref="T519">IFERROR(
INDEX(REPORTE_DROPI!B:B,
MATCH(
CLEAN(TRIM(C519)),
CLEAN(TRIM(REPORTE_DROPI!E:E)),
0
)
),
""
)
</f>
        <v>4141108</v>
      </c>
      <c r="U519" s="118">
        <v>6.413683097644E12</v>
      </c>
      <c r="V519" s="78"/>
      <c r="W519" s="78"/>
      <c r="X519" s="78"/>
      <c r="Y519" s="78"/>
      <c r="Z519" s="78"/>
    </row>
    <row r="520" ht="22.5" customHeight="1">
      <c r="A520" s="118">
        <v>519.0</v>
      </c>
      <c r="B520" s="119">
        <v>46036.0</v>
      </c>
      <c r="C520" s="118" t="s">
        <v>4743</v>
      </c>
      <c r="D520" s="118" t="str">
        <f>IFERROR(__xludf.DUMMYFUNCTION("IFERROR(
  INDEX(
    FILTER(
      'NOMBRE DE PRODUCTOS'!B:B,
      REGEXMATCH(
        UPPER(
          INDEX(
            REPORTE_DROPI!AC:AC,
            MATCH(T520, REPORTE_DROPI!B:B, 0)
          )
        ),
        UPPER('NOMBRE DE PRODUCTOS'!A:A)"&amp;"
      )
    ),
    1
  ),
  ""REVISAR""
)
"),"FilmPro®")</f>
        <v>FilmPro®</v>
      </c>
      <c r="E520" s="120">
        <f t="array" ref="E520">IF(
UPPER(TRIM(CLEAN($O520)))="ENTREGADO",
IFERROR(
INDEX(REPORTE_DROPI!Y:Y,
MATCH($T520, REPORTE_DROPI!B:B, 0)
),
""
),
""
)
</f>
        <v>2.35</v>
      </c>
      <c r="F520" s="121">
        <v>1.0</v>
      </c>
      <c r="G520" s="122">
        <f t="array" ref="G520">IF(
UPPER(TRIM(CLEAN($O520)))="ENTREGADO",
IFERROR(
INDEX(REPORTE_DROPI!R:R,
MATCH($T520, REPORTE_DROPI!B:B, 0)
),
""
),
""
)
</f>
        <v>20</v>
      </c>
      <c r="H520" s="118" t="s">
        <v>3727</v>
      </c>
      <c r="I520" s="118" t="s">
        <v>3772</v>
      </c>
      <c r="J520" s="121">
        <f t="array" ref="J520">IF(
UPPER(TRIM(CLEAN($O520)))="ENTREGADO",
IFERROR(
INDEX(REPORTE_DROPI!T:T,
MATCH($T520, REPORTE_DROPI!B:B, 0)
),
""
),
""
)
</f>
        <v>5.76</v>
      </c>
      <c r="K520" s="118">
        <f t="array" ref="K520">IFERROR(
INDEX(REPORTE_DROPI!S:S,
MATCH($T520, REPORTE_DROPI!B:B, 0)
),
""
)
</f>
        <v>11.89</v>
      </c>
      <c r="L520" s="118" t="str">
        <f>IF(
  O520&lt;&gt;"DEVOLUCION",
  "",
  IF(
    T520="",
    "",
    SUMIF(DEVOLUCION!F:F, T520, DEVOLUCION!D:D)
  )
)
</f>
        <v/>
      </c>
      <c r="M520" s="118" t="s">
        <v>3870</v>
      </c>
      <c r="N520" s="130" t="s">
        <v>4744</v>
      </c>
      <c r="O520" s="118" t="str">
        <f t="array" ref="O520">IFERROR(
VLOOKUP(
TRIM(CLEAN(
INDEX(REPORTE_DROPI!K:K,
MATCH(T520, REPORTE_DROPI!B:B, 0)
))),
{
TRIM(CLEAN(MAPA_ESTADOS!A:A)) ,
MAPA_ESTADOS!B:B
},
2,
FALSE
),
"REVISAR"
)
</f>
        <v>ENTREGADO</v>
      </c>
      <c r="P520" s="118"/>
      <c r="Q520" s="122">
        <f t="shared" si="1"/>
        <v>0</v>
      </c>
      <c r="R520" s="118"/>
      <c r="S520" s="118"/>
      <c r="T520" s="118">
        <f t="array" ref="T520">IFERROR(
INDEX(REPORTE_DROPI!B:B,
MATCH(
CLEAN(TRIM(C520)),
CLEAN(TRIM(REPORTE_DROPI!E:E)),
0
)
),
""
)
</f>
        <v>4141110</v>
      </c>
      <c r="U520" s="118">
        <v>6.413683621932E12</v>
      </c>
      <c r="V520" s="78"/>
      <c r="W520" s="78"/>
      <c r="X520" s="78"/>
      <c r="Y520" s="78"/>
      <c r="Z520" s="78"/>
    </row>
    <row r="521" ht="22.5" customHeight="1">
      <c r="A521" s="118">
        <v>520.0</v>
      </c>
      <c r="B521" s="119">
        <v>46036.0</v>
      </c>
      <c r="C521" s="118" t="s">
        <v>4745</v>
      </c>
      <c r="D521" s="118" t="str">
        <f>IFERROR(__xludf.DUMMYFUNCTION("IFERROR(
  INDEX(
    FILTER(
      'NOMBRE DE PRODUCTOS'!B:B,
      REGEXMATCH(
        UPPER(
          INDEX(
            REPORTE_DROPI!AC:AC,
            MATCH(T521, REPORTE_DROPI!B:B, 0)
          )
        ),
        UPPER('NOMBRE DE PRODUCTOS'!A:A)"&amp;"
      )
    ),
    1
  ),
  ""REVISAR""
)
"),"FilmPro®")</f>
        <v>FilmPro®</v>
      </c>
      <c r="E521" s="120">
        <f t="array" ref="E521">IF(
UPPER(TRIM(CLEAN($O521)))="ENTREGADO",
IFERROR(
INDEX(REPORTE_DROPI!Y:Y,
MATCH($T521, REPORTE_DROPI!B:B, 0)
),
""
),
""
)
</f>
        <v>2.35</v>
      </c>
      <c r="F521" s="121">
        <v>1.0</v>
      </c>
      <c r="G521" s="122">
        <f t="array" ref="G521">IF(
UPPER(TRIM(CLEAN($O521)))="ENTREGADO",
IFERROR(
INDEX(REPORTE_DROPI!R:R,
MATCH($T521, REPORTE_DROPI!B:B, 0)
),
""
),
""
)
</f>
        <v>20</v>
      </c>
      <c r="H521" s="118" t="s">
        <v>3727</v>
      </c>
      <c r="I521" s="118" t="s">
        <v>3801</v>
      </c>
      <c r="J521" s="121">
        <f t="array" ref="J521">IF(
UPPER(TRIM(CLEAN($O521)))="ENTREGADO",
IFERROR(
INDEX(REPORTE_DROPI!T:T,
MATCH($T521, REPORTE_DROPI!B:B, 0)
),
""
),
""
)
</f>
        <v>5.76</v>
      </c>
      <c r="K521" s="118">
        <f t="array" ref="K521">IFERROR(
INDEX(REPORTE_DROPI!S:S,
MATCH($T521, REPORTE_DROPI!B:B, 0)
),
""
)
</f>
        <v>11.89</v>
      </c>
      <c r="L521" s="118" t="str">
        <f>IF(
  O521&lt;&gt;"DEVOLUCION",
  "",
  IF(
    T521="",
    "",
    SUMIF(DEVOLUCION!F:F, T521, DEVOLUCION!D:D)
  )
)
</f>
        <v/>
      </c>
      <c r="M521" s="118" t="s">
        <v>3870</v>
      </c>
      <c r="N521" s="130" t="s">
        <v>4746</v>
      </c>
      <c r="O521" s="118" t="str">
        <f t="array" ref="O521">IFERROR(
VLOOKUP(
TRIM(CLEAN(
INDEX(REPORTE_DROPI!K:K,
MATCH(T521, REPORTE_DROPI!B:B, 0)
))),
{
TRIM(CLEAN(MAPA_ESTADOS!A:A)) ,
MAPA_ESTADOS!B:B
},
2,
FALSE
),
"REVISAR"
)
</f>
        <v>ENTREGADO</v>
      </c>
      <c r="P521" s="118"/>
      <c r="Q521" s="122">
        <f t="shared" si="1"/>
        <v>0</v>
      </c>
      <c r="R521" s="118"/>
      <c r="S521" s="118"/>
      <c r="T521" s="118">
        <f t="array" ref="T521">IFERROR(
INDEX(REPORTE_DROPI!B:B,
MATCH(
CLEAN(TRIM(C521)),
CLEAN(TRIM(REPORTE_DROPI!E:E)),
0
)
),
""
)
</f>
        <v>4141181</v>
      </c>
      <c r="U521" s="118">
        <v>6.413695549484E12</v>
      </c>
      <c r="V521" s="78"/>
      <c r="W521" s="78"/>
      <c r="X521" s="78"/>
      <c r="Y521" s="78"/>
      <c r="Z521" s="78"/>
    </row>
    <row r="522" ht="22.5" customHeight="1">
      <c r="A522" s="118">
        <v>521.0</v>
      </c>
      <c r="B522" s="119">
        <v>46036.0</v>
      </c>
      <c r="C522" s="118" t="s">
        <v>4747</v>
      </c>
      <c r="D522" s="118" t="str">
        <f>IFERROR(__xludf.DUMMYFUNCTION("IFERROR(
  INDEX(
    FILTER(
      'NOMBRE DE PRODUCTOS'!B:B,
      REGEXMATCH(
        UPPER(
          INDEX(
            REPORTE_DROPI!AC:AC,
            MATCH(T522, REPORTE_DROPI!B:B, 0)
          )
        ),
        UPPER('NOMBRE DE PRODUCTOS'!A:A)"&amp;"
      )
    ),
    1
  ),
  ""REVISAR""
)
"),"FilmPro®")</f>
        <v>FilmPro®</v>
      </c>
      <c r="E522" s="120">
        <f t="array" ref="E522">IF(
UPPER(TRIM(CLEAN($O522)))="ENTREGADO",
IFERROR(
INDEX(REPORTE_DROPI!Y:Y,
MATCH($T522, REPORTE_DROPI!B:B, 0)
),
""
),
""
)
</f>
        <v>2.35</v>
      </c>
      <c r="F522" s="121">
        <v>1.0</v>
      </c>
      <c r="G522" s="122">
        <f t="array" ref="G522">IF(
UPPER(TRIM(CLEAN($O522)))="ENTREGADO",
IFERROR(
INDEX(REPORTE_DROPI!R:R,
MATCH($T522, REPORTE_DROPI!B:B, 0)
),
""
),
""
)
</f>
        <v>20</v>
      </c>
      <c r="H522" s="118" t="s">
        <v>3727</v>
      </c>
      <c r="I522" s="118" t="s">
        <v>3784</v>
      </c>
      <c r="J522" s="121">
        <f t="array" ref="J522">IF(
UPPER(TRIM(CLEAN($O522)))="ENTREGADO",
IFERROR(
INDEX(REPORTE_DROPI!T:T,
MATCH($T522, REPORTE_DROPI!B:B, 0)
),
""
),
""
)
</f>
        <v>5.76</v>
      </c>
      <c r="K522" s="118">
        <f t="array" ref="K522">IFERROR(
INDEX(REPORTE_DROPI!S:S,
MATCH($T522, REPORTE_DROPI!B:B, 0)
),
""
)
</f>
        <v>11.89</v>
      </c>
      <c r="L522" s="118" t="str">
        <f>IF(
  O522&lt;&gt;"DEVOLUCION",
  "",
  IF(
    T522="",
    "",
    SUMIF(DEVOLUCION!F:F, T522, DEVOLUCION!D:D)
  )
)
</f>
        <v/>
      </c>
      <c r="M522" s="118" t="s">
        <v>3870</v>
      </c>
      <c r="N522" s="130" t="s">
        <v>4748</v>
      </c>
      <c r="O522" s="118" t="str">
        <f t="array" ref="O522">IFERROR(
VLOOKUP(
TRIM(CLEAN(
INDEX(REPORTE_DROPI!K:K,
MATCH(T522, REPORTE_DROPI!B:B, 0)
))),
{
TRIM(CLEAN(MAPA_ESTADOS!A:A)) ,
MAPA_ESTADOS!B:B
},
2,
FALSE
),
"REVISAR"
)
</f>
        <v>ENTREGADO</v>
      </c>
      <c r="P522" s="118"/>
      <c r="Q522" s="122">
        <f t="shared" si="1"/>
        <v>0</v>
      </c>
      <c r="R522" s="118"/>
      <c r="S522" s="118"/>
      <c r="T522" s="118">
        <f t="array" ref="T522">IFERROR(
INDEX(REPORTE_DROPI!B:B,
MATCH(
CLEAN(TRIM(C522)),
CLEAN(TRIM(REPORTE_DROPI!E:E)),
0
)
),
""
)
</f>
        <v>4141324</v>
      </c>
      <c r="U522" s="118">
        <v>6.413708754988E12</v>
      </c>
      <c r="V522" s="78"/>
      <c r="W522" s="78"/>
      <c r="X522" s="78"/>
      <c r="Y522" s="78"/>
      <c r="Z522" s="78"/>
    </row>
    <row r="523" ht="22.5" customHeight="1">
      <c r="A523" s="118">
        <v>522.0</v>
      </c>
      <c r="B523" s="119">
        <v>46036.0</v>
      </c>
      <c r="C523" s="126" t="s">
        <v>4749</v>
      </c>
      <c r="D523" s="118" t="str">
        <f>IFERROR(__xludf.DUMMYFUNCTION("IFERROR(
  INDEX(
    FILTER(
      'NOMBRE DE PRODUCTOS'!B:B,
      REGEXMATCH(
        UPPER(
          INDEX(
            REPORTE_DROPI!AC:AC,
            MATCH(T523, REPORTE_DROPI!B:B, 0)
          )
        ),
        UPPER('NOMBRE DE PRODUCTOS'!A:A)"&amp;"
      )
    ),
    1
  ),
  ""REVISAR""
)
"),"FilmPro®")</f>
        <v>FilmPro®</v>
      </c>
      <c r="E523" s="120" t="str">
        <f t="array" ref="E523">IF(
UPPER(TRIM(CLEAN($O523)))="ENTREGADO",
IFERROR(
INDEX(REPORTE_DROPI!Y:Y,
MATCH($T523, REPORTE_DROPI!B:B, 0)
),
""
),
""
)
</f>
        <v/>
      </c>
      <c r="F523" s="121">
        <v>2.0</v>
      </c>
      <c r="G523" s="122" t="str">
        <f t="array" ref="G523">IF(
UPPER(TRIM(CLEAN($O523)))="ENTREGADO",
IFERROR(
INDEX(REPORTE_DROPI!R:R,
MATCH($T523, REPORTE_DROPI!B:B, 0)
),
""
),
""
)
</f>
        <v/>
      </c>
      <c r="H523" s="118" t="s">
        <v>3727</v>
      </c>
      <c r="I523" s="118" t="s">
        <v>3740</v>
      </c>
      <c r="J523" s="121" t="str">
        <f t="array" ref="J523">IF(
UPPER(TRIM(CLEAN($O523)))="ENTREGADO",
IFERROR(
INDEX(REPORTE_DROPI!T:T,
MATCH($T523, REPORTE_DROPI!B:B, 0)
),
""
),
""
)
</f>
        <v/>
      </c>
      <c r="K523" s="118" t="str">
        <f t="array" ref="K523">IFERROR(
INDEX(REPORTE_DROPI!S:S,
MATCH($T523, REPORTE_DROPI!B:B, 0)
),
""
)
</f>
        <v/>
      </c>
      <c r="L523" s="118">
        <f>IF(
  O523&lt;&gt;"DEVOLUCION",
  "",
  IF(
    T523="",
    "",
    SUMIF(DEVOLUCION!F:F, T523, DEVOLUCION!D:D)
  )
)
</f>
        <v>5.06</v>
      </c>
      <c r="M523" s="118" t="s">
        <v>3870</v>
      </c>
      <c r="N523" s="130" t="s">
        <v>4750</v>
      </c>
      <c r="O523" s="118" t="str">
        <f t="array" ref="O523">IFERROR(
VLOOKUP(
TRIM(CLEAN(
INDEX(REPORTE_DROPI!K:K,
MATCH(T523, REPORTE_DROPI!B:B, 0)
))),
{
TRIM(CLEAN(MAPA_ESTADOS!A:A)) ,
MAPA_ESTADOS!B:B
},
2,
FALSE
),
"REVISAR"
)
</f>
        <v>DEVOLUCION</v>
      </c>
      <c r="P523" s="118"/>
      <c r="Q523" s="122">
        <f t="shared" si="1"/>
        <v>0</v>
      </c>
      <c r="R523" s="118"/>
      <c r="S523" s="118"/>
      <c r="T523" s="118">
        <f t="array" ref="T523">IFERROR(
INDEX(REPORTE_DROPI!B:B,
MATCH(
CLEAN(TRIM(C523)),
CLEAN(TRIM(REPORTE_DROPI!E:E)),
0
)
),
""
)
</f>
        <v>4141408</v>
      </c>
      <c r="U523" s="118">
        <v>6.413717667884E12</v>
      </c>
      <c r="V523" s="78"/>
      <c r="W523" s="78"/>
      <c r="X523" s="78"/>
      <c r="Y523" s="78"/>
      <c r="Z523" s="78"/>
    </row>
    <row r="524" ht="22.5" customHeight="1">
      <c r="A524" s="118">
        <v>523.0</v>
      </c>
      <c r="B524" s="119">
        <v>46036.0</v>
      </c>
      <c r="C524" s="118" t="s">
        <v>4751</v>
      </c>
      <c r="D524" s="118" t="str">
        <f>IFERROR(__xludf.DUMMYFUNCTION("IFERROR(
  INDEX(
    FILTER(
      'NOMBRE DE PRODUCTOS'!B:B,
      REGEXMATCH(
        UPPER(
          INDEX(
            REPORTE_DROPI!AC:AC,
            MATCH(T524, REPORTE_DROPI!B:B, 0)
          )
        ),
        UPPER('NOMBRE DE PRODUCTOS'!A:A)"&amp;"
      )
    ),
    1
  ),
  ""REVISAR""
)
"),"FilmPro®")</f>
        <v>FilmPro®</v>
      </c>
      <c r="E524" s="120">
        <f t="array" ref="E524">IF(
UPPER(TRIM(CLEAN($O524)))="ENTREGADO",
IFERROR(
INDEX(REPORTE_DROPI!Y:Y,
MATCH($T524, REPORTE_DROPI!B:B, 0)
),
""
),
""
)
</f>
        <v>7.05</v>
      </c>
      <c r="F524" s="121">
        <v>3.0</v>
      </c>
      <c r="G524" s="122">
        <f t="array" ref="G524">IF(
UPPER(TRIM(CLEAN($O524)))="ENTREGADO",
IFERROR(
INDEX(REPORTE_DROPI!R:R,
MATCH($T524, REPORTE_DROPI!B:B, 0)
),
""
),
""
)
</f>
        <v>30</v>
      </c>
      <c r="H524" s="118" t="s">
        <v>3727</v>
      </c>
      <c r="I524" s="118" t="s">
        <v>3912</v>
      </c>
      <c r="J524" s="121">
        <f t="array" ref="J524">IF(
UPPER(TRIM(CLEAN($O524)))="ENTREGADO",
IFERROR(
INDEX(REPORTE_DROPI!T:T,
MATCH($T524, REPORTE_DROPI!B:B, 0)
),
""
),
""
)
</f>
        <v>6.16</v>
      </c>
      <c r="K524" s="118">
        <f t="array" ref="K524">IFERROR(
INDEX(REPORTE_DROPI!S:S,
MATCH($T524, REPORTE_DROPI!B:B, 0)
),
""
)
</f>
        <v>16.79</v>
      </c>
      <c r="L524" s="118" t="str">
        <f>IF(
  O524&lt;&gt;"DEVOLUCION",
  "",
  IF(
    T524="",
    "",
    SUMIF(DEVOLUCION!F:F, T524, DEVOLUCION!D:D)
  )
)
</f>
        <v/>
      </c>
      <c r="M524" s="118" t="s">
        <v>3870</v>
      </c>
      <c r="N524" s="130" t="s">
        <v>4752</v>
      </c>
      <c r="O524" s="118" t="str">
        <f t="array" ref="O524">IFERROR(
VLOOKUP(
TRIM(CLEAN(
INDEX(REPORTE_DROPI!K:K,
MATCH(T524, REPORTE_DROPI!B:B, 0)
))),
{
TRIM(CLEAN(MAPA_ESTADOS!A:A)) ,
MAPA_ESTADOS!B:B
},
2,
FALSE
),
"REVISAR"
)
</f>
        <v>ENTREGADO</v>
      </c>
      <c r="P524" s="118"/>
      <c r="Q524" s="122">
        <f t="shared" si="1"/>
        <v>0</v>
      </c>
      <c r="R524" s="118"/>
      <c r="S524" s="118"/>
      <c r="T524" s="118">
        <f t="array" ref="T524">IFERROR(
INDEX(REPORTE_DROPI!B:B,
MATCH(
CLEAN(TRIM(C524)),
CLEAN(TRIM(REPORTE_DROPI!E:E)),
0
)
),
""
)
</f>
        <v>4141549</v>
      </c>
      <c r="U524" s="118">
        <v>6.413729169452E12</v>
      </c>
      <c r="V524" s="78"/>
      <c r="W524" s="78"/>
      <c r="X524" s="78"/>
      <c r="Y524" s="78"/>
      <c r="Z524" s="78"/>
    </row>
    <row r="525" ht="22.5" customHeight="1">
      <c r="A525" s="118">
        <v>524.0</v>
      </c>
      <c r="B525" s="119">
        <v>46036.0</v>
      </c>
      <c r="C525" s="118" t="s">
        <v>4753</v>
      </c>
      <c r="D525" s="118" t="str">
        <f>IFERROR(__xludf.DUMMYFUNCTION("IFERROR(
  INDEX(
    FILTER(
      'NOMBRE DE PRODUCTOS'!B:B,
      REGEXMATCH(
        UPPER(
          INDEX(
            REPORTE_DROPI!AC:AC,
            MATCH(T525, REPORTE_DROPI!B:B, 0)
          )
        ),
        UPPER('NOMBRE DE PRODUCTOS'!A:A)"&amp;"
      )
    ),
    1
  ),
  ""REVISAR""
)
"),"FilmPro®")</f>
        <v>FilmPro®</v>
      </c>
      <c r="E525" s="120">
        <f t="array" ref="E525">IF(
UPPER(TRIM(CLEAN($O525)))="ENTREGADO",
IFERROR(
INDEX(REPORTE_DROPI!Y:Y,
MATCH($T525, REPORTE_DROPI!B:B, 0)
),
""
),
""
)
</f>
        <v>7.05</v>
      </c>
      <c r="F525" s="121">
        <v>3.0</v>
      </c>
      <c r="G525" s="122">
        <f t="array" ref="G525">IF(
UPPER(TRIM(CLEAN($O525)))="ENTREGADO",
IFERROR(
INDEX(REPORTE_DROPI!R:R,
MATCH($T525, REPORTE_DROPI!B:B, 0)
),
""
),
""
)
</f>
        <v>30</v>
      </c>
      <c r="H525" s="118" t="s">
        <v>3727</v>
      </c>
      <c r="I525" s="118" t="s">
        <v>3731</v>
      </c>
      <c r="J525" s="121">
        <f t="array" ref="J525">IF(
UPPER(TRIM(CLEAN($O525)))="ENTREGADO",
IFERROR(
INDEX(REPORTE_DROPI!T:T,
MATCH($T525, REPORTE_DROPI!B:B, 0)
),
""
),
""
)
</f>
        <v>4.55</v>
      </c>
      <c r="K525" s="118">
        <f t="array" ref="K525">IFERROR(
INDEX(REPORTE_DROPI!S:S,
MATCH($T525, REPORTE_DROPI!B:B, 0)
),
""
)
</f>
        <v>18.4</v>
      </c>
      <c r="L525" s="118" t="str">
        <f>IF(
  O525&lt;&gt;"DEVOLUCION",
  "",
  IF(
    T525="",
    "",
    SUMIF(DEVOLUCION!F:F, T525, DEVOLUCION!D:D)
  )
)
</f>
        <v/>
      </c>
      <c r="M525" s="118" t="s">
        <v>3870</v>
      </c>
      <c r="N525" s="130" t="s">
        <v>4754</v>
      </c>
      <c r="O525" s="118" t="str">
        <f t="array" ref="O525">IFERROR(
VLOOKUP(
TRIM(CLEAN(
INDEX(REPORTE_DROPI!K:K,
MATCH(T525, REPORTE_DROPI!B:B, 0)
))),
{
TRIM(CLEAN(MAPA_ESTADOS!A:A)) ,
MAPA_ESTADOS!B:B
},
2,
FALSE
),
"REVISAR"
)
</f>
        <v>ENTREGADO</v>
      </c>
      <c r="P525" s="118"/>
      <c r="Q525" s="122">
        <f t="shared" si="1"/>
        <v>0</v>
      </c>
      <c r="R525" s="118"/>
      <c r="S525" s="118"/>
      <c r="T525" s="118">
        <f t="array" ref="T525">IFERROR(
INDEX(REPORTE_DROPI!B:B,
MATCH(
CLEAN(TRIM(C525)),
CLEAN(TRIM(REPORTE_DROPI!E:E)),
0
)
),
""
)
</f>
        <v>4141718</v>
      </c>
      <c r="U525" s="118">
        <v>6.413747683372E12</v>
      </c>
      <c r="V525" s="78"/>
      <c r="W525" s="78"/>
      <c r="X525" s="78"/>
      <c r="Y525" s="78"/>
      <c r="Z525" s="78"/>
    </row>
    <row r="526" ht="22.5" customHeight="1">
      <c r="A526" s="118">
        <v>525.0</v>
      </c>
      <c r="B526" s="119">
        <v>46036.0</v>
      </c>
      <c r="C526" s="126" t="s">
        <v>4755</v>
      </c>
      <c r="D526" s="118" t="str">
        <f>IFERROR(__xludf.DUMMYFUNCTION("IFERROR(
  INDEX(
    FILTER(
      'NOMBRE DE PRODUCTOS'!B:B,
      REGEXMATCH(
        UPPER(
          INDEX(
            REPORTE_DROPI!AC:AC,
            MATCH(T526, REPORTE_DROPI!B:B, 0)
          )
        ),
        UPPER('NOMBRE DE PRODUCTOS'!A:A)"&amp;"
      )
    ),
    1
  ),
  ""REVISAR""
)
"),"FilmPro®")</f>
        <v>FilmPro®</v>
      </c>
      <c r="E526" s="120" t="str">
        <f t="array" ref="E526">IF(
UPPER(TRIM(CLEAN($O526)))="ENTREGADO",
IFERROR(
INDEX(REPORTE_DROPI!Y:Y,
MATCH($T526, REPORTE_DROPI!B:B, 0)
),
""
),
""
)
</f>
        <v/>
      </c>
      <c r="F526" s="121">
        <v>3.0</v>
      </c>
      <c r="G526" s="122" t="str">
        <f t="array" ref="G526">IF(
UPPER(TRIM(CLEAN($O526)))="ENTREGADO",
IFERROR(
INDEX(REPORTE_DROPI!R:R,
MATCH($T526, REPORTE_DROPI!B:B, 0)
),
""
),
""
)
</f>
        <v/>
      </c>
      <c r="H526" s="118" t="s">
        <v>3727</v>
      </c>
      <c r="I526" s="118" t="s">
        <v>3778</v>
      </c>
      <c r="J526" s="121" t="str">
        <f t="array" ref="J526">IF(
UPPER(TRIM(CLEAN($O526)))="ENTREGADO",
IFERROR(
INDEX(REPORTE_DROPI!T:T,
MATCH($T526, REPORTE_DROPI!B:B, 0)
),
""
),
""
)
</f>
        <v/>
      </c>
      <c r="K526" s="118" t="str">
        <f t="array" ref="K526">IFERROR(
INDEX(REPORTE_DROPI!S:S,
MATCH($T526, REPORTE_DROPI!B:B, 0)
),
""
)
</f>
        <v/>
      </c>
      <c r="L526" s="118">
        <f>IF(
  O526&lt;&gt;"DEVOLUCION",
  "",
  IF(
    T526="",
    "",
    SUMIF(DEVOLUCION!F:F, T526, DEVOLUCION!D:D)
  )
)
</f>
        <v>5.12</v>
      </c>
      <c r="M526" s="118" t="s">
        <v>3870</v>
      </c>
      <c r="N526" s="130" t="s">
        <v>4756</v>
      </c>
      <c r="O526" s="118" t="str">
        <f t="array" ref="O526">IFERROR(
VLOOKUP(
TRIM(CLEAN(
INDEX(REPORTE_DROPI!K:K,
MATCH(T526, REPORTE_DROPI!B:B, 0)
))),
{
TRIM(CLEAN(MAPA_ESTADOS!A:A)) ,
MAPA_ESTADOS!B:B
},
2,
FALSE
),
"REVISAR"
)
</f>
        <v>DEVOLUCION</v>
      </c>
      <c r="P526" s="118"/>
      <c r="Q526" s="122">
        <f t="shared" si="1"/>
        <v>0</v>
      </c>
      <c r="R526" s="118"/>
      <c r="S526" s="118"/>
      <c r="T526" s="118">
        <f t="array" ref="T526">IFERROR(
INDEX(REPORTE_DROPI!B:B,
MATCH(
CLEAN(TRIM(C526)),
CLEAN(TRIM(REPORTE_DROPI!E:E)),
0
)
),
""
)
</f>
        <v>4141731</v>
      </c>
      <c r="U526" s="118">
        <v>6.413750730796E12</v>
      </c>
      <c r="V526" s="78"/>
      <c r="W526" s="78"/>
      <c r="X526" s="78"/>
      <c r="Y526" s="78"/>
      <c r="Z526" s="78"/>
    </row>
    <row r="527" ht="22.5" customHeight="1">
      <c r="A527" s="118">
        <v>526.0</v>
      </c>
      <c r="B527" s="119">
        <v>46036.0</v>
      </c>
      <c r="C527" s="118" t="s">
        <v>4757</v>
      </c>
      <c r="D527" s="118" t="str">
        <f>IFERROR(__xludf.DUMMYFUNCTION("IFERROR(
  INDEX(
    FILTER(
      'NOMBRE DE PRODUCTOS'!B:B,
      REGEXMATCH(
        UPPER(
          INDEX(
            REPORTE_DROPI!AC:AC,
            MATCH(T527, REPORTE_DROPI!B:B, 0)
          )
        ),
        UPPER('NOMBRE DE PRODUCTOS'!A:A)"&amp;"
      )
    ),
    1
  ),
  ""REVISAR""
)
"),"FilmPro®")</f>
        <v>FilmPro®</v>
      </c>
      <c r="E527" s="120">
        <f t="array" ref="E527">IF(
UPPER(TRIM(CLEAN($O527)))="ENTREGADO",
IFERROR(
INDEX(REPORTE_DROPI!Y:Y,
MATCH($T527, REPORTE_DROPI!B:B, 0)
),
""
),
""
)
</f>
        <v>7.05</v>
      </c>
      <c r="F527" s="121">
        <v>3.0</v>
      </c>
      <c r="G527" s="122">
        <f t="array" ref="G527">IF(
UPPER(TRIM(CLEAN($O527)))="ENTREGADO",
IFERROR(
INDEX(REPORTE_DROPI!R:R,
MATCH($T527, REPORTE_DROPI!B:B, 0)
),
""
),
""
)
</f>
        <v>30</v>
      </c>
      <c r="H527" s="118" t="s">
        <v>3727</v>
      </c>
      <c r="I527" s="118" t="s">
        <v>3798</v>
      </c>
      <c r="J527" s="121">
        <f t="array" ref="J527">IF(
UPPER(TRIM(CLEAN($O527)))="ENTREGADO",
IFERROR(
INDEX(REPORTE_DROPI!T:T,
MATCH($T527, REPORTE_DROPI!B:B, 0)
),
""
),
""
)
</f>
        <v>6.16</v>
      </c>
      <c r="K527" s="118">
        <f t="array" ref="K527">IFERROR(
INDEX(REPORTE_DROPI!S:S,
MATCH($T527, REPORTE_DROPI!B:B, 0)
),
""
)
</f>
        <v>16.79</v>
      </c>
      <c r="L527" s="118" t="str">
        <f>IF(
  O527&lt;&gt;"DEVOLUCION",
  "",
  IF(
    T527="",
    "",
    SUMIF(DEVOLUCION!F:F, T527, DEVOLUCION!D:D)
  )
)
</f>
        <v/>
      </c>
      <c r="M527" s="118" t="s">
        <v>3870</v>
      </c>
      <c r="N527" s="130" t="s">
        <v>4758</v>
      </c>
      <c r="O527" s="118" t="str">
        <f t="array" ref="O527">IFERROR(
VLOOKUP(
TRIM(CLEAN(
INDEX(REPORTE_DROPI!K:K,
MATCH(T527, REPORTE_DROPI!B:B, 0)
))),
{
TRIM(CLEAN(MAPA_ESTADOS!A:A)) ,
MAPA_ESTADOS!B:B
},
2,
FALSE
),
"REVISAR"
)
</f>
        <v>ENTREGADO</v>
      </c>
      <c r="P527" s="118" t="s">
        <v>4759</v>
      </c>
      <c r="Q527" s="122">
        <f t="shared" si="1"/>
        <v>0</v>
      </c>
      <c r="R527" s="118"/>
      <c r="S527" s="118"/>
      <c r="T527" s="118">
        <f t="array" ref="T527">IFERROR(
INDEX(REPORTE_DROPI!B:B,
MATCH(
CLEAN(TRIM(C527)),
CLEAN(TRIM(REPORTE_DROPI!E:E)),
0
)
),
""
)
</f>
        <v>4142111</v>
      </c>
      <c r="U527" s="118">
        <v>6.413795688492E12</v>
      </c>
      <c r="V527" s="78"/>
      <c r="W527" s="78"/>
      <c r="X527" s="78"/>
      <c r="Y527" s="78"/>
      <c r="Z527" s="78"/>
    </row>
    <row r="528" ht="22.5" customHeight="1">
      <c r="A528" s="118">
        <v>527.0</v>
      </c>
      <c r="B528" s="119">
        <v>46036.0</v>
      </c>
      <c r="C528" s="118" t="s">
        <v>4760</v>
      </c>
      <c r="D528" s="118" t="str">
        <f>IFERROR(__xludf.DUMMYFUNCTION("IFERROR(
  INDEX(
    FILTER(
      'NOMBRE DE PRODUCTOS'!B:B,
      REGEXMATCH(
        UPPER(
          INDEX(
            REPORTE_DROPI!AC:AC,
            MATCH(T528, REPORTE_DROPI!B:B, 0)
          )
        ),
        UPPER('NOMBRE DE PRODUCTOS'!A:A)"&amp;"
      )
    ),
    1
  ),
  ""REVISAR""
)
"),"FilmPro®")</f>
        <v>FilmPro®</v>
      </c>
      <c r="E528" s="120">
        <f t="array" ref="E528">IF(
UPPER(TRIM(CLEAN($O528)))="ENTREGADO",
IFERROR(
INDEX(REPORTE_DROPI!Y:Y,
MATCH($T528, REPORTE_DROPI!B:B, 0)
),
""
),
""
)
</f>
        <v>7.05</v>
      </c>
      <c r="F528" s="121">
        <v>3.0</v>
      </c>
      <c r="G528" s="122">
        <f t="array" ref="G528">IF(
UPPER(TRIM(CLEAN($O528)))="ENTREGADO",
IFERROR(
INDEX(REPORTE_DROPI!R:R,
MATCH($T528, REPORTE_DROPI!B:B, 0)
),
""
),
""
)
</f>
        <v>30</v>
      </c>
      <c r="H528" s="118" t="s">
        <v>3727</v>
      </c>
      <c r="I528" s="118" t="s">
        <v>3804</v>
      </c>
      <c r="J528" s="121">
        <f t="array" ref="J528">IF(
UPPER(TRIM(CLEAN($O528)))="ENTREGADO",
IFERROR(
INDEX(REPORTE_DROPI!T:T,
MATCH($T528, REPORTE_DROPI!B:B, 0)
),
""
),
""
)
</f>
        <v>6.16</v>
      </c>
      <c r="K528" s="118">
        <f t="array" ref="K528">IFERROR(
INDEX(REPORTE_DROPI!S:S,
MATCH($T528, REPORTE_DROPI!B:B, 0)
),
""
)
</f>
        <v>16.79</v>
      </c>
      <c r="L528" s="118" t="str">
        <f>IF(
  O528&lt;&gt;"DEVOLUCION",
  "",
  IF(
    T528="",
    "",
    SUMIF(DEVOLUCION!F:F, T528, DEVOLUCION!D:D)
  )
)
</f>
        <v/>
      </c>
      <c r="M528" s="118" t="s">
        <v>3870</v>
      </c>
      <c r="N528" s="130" t="s">
        <v>4761</v>
      </c>
      <c r="O528" s="118" t="str">
        <f t="array" ref="O528">IFERROR(
VLOOKUP(
TRIM(CLEAN(
INDEX(REPORTE_DROPI!K:K,
MATCH(T528, REPORTE_DROPI!B:B, 0)
))),
{
TRIM(CLEAN(MAPA_ESTADOS!A:A)) ,
MAPA_ESTADOS!B:B
},
2,
FALSE
),
"REVISAR"
)
</f>
        <v>ENTREGADO</v>
      </c>
      <c r="P528" s="118"/>
      <c r="Q528" s="122">
        <f t="shared" si="1"/>
        <v>0</v>
      </c>
      <c r="R528" s="118"/>
      <c r="S528" s="118"/>
      <c r="T528" s="118">
        <f t="array" ref="T528">IFERROR(
INDEX(REPORTE_DROPI!B:B,
MATCH(
CLEAN(TRIM(C528)),
CLEAN(TRIM(REPORTE_DROPI!E:E)),
0
)
),
""
)
</f>
        <v>4142192</v>
      </c>
      <c r="U528" s="118">
        <v>6.41380686238E12</v>
      </c>
      <c r="V528" s="78"/>
      <c r="W528" s="78"/>
      <c r="X528" s="78"/>
      <c r="Y528" s="78"/>
      <c r="Z528" s="78"/>
    </row>
    <row r="529" ht="22.5" customHeight="1">
      <c r="A529" s="118">
        <v>528.0</v>
      </c>
      <c r="B529" s="119">
        <v>46036.0</v>
      </c>
      <c r="C529" s="118" t="s">
        <v>4762</v>
      </c>
      <c r="D529" s="118" t="str">
        <f>IFERROR(__xludf.DUMMYFUNCTION("IFERROR(
  INDEX(
    FILTER(
      'NOMBRE DE PRODUCTOS'!B:B,
      REGEXMATCH(
        UPPER(
          INDEX(
            REPORTE_DROPI!AC:AC,
            MATCH(T529, REPORTE_DROPI!B:B, 0)
          )
        ),
        UPPER('NOMBRE DE PRODUCTOS'!A:A)"&amp;"
      )
    ),
    1
  ),
  ""REVISAR""
)
"),"FilmPro®")</f>
        <v>FilmPro®</v>
      </c>
      <c r="E529" s="120">
        <f t="array" ref="E529">IF(
UPPER(TRIM(CLEAN($O529)))="ENTREGADO",
IFERROR(
INDEX(REPORTE_DROPI!Y:Y,
MATCH($T529, REPORTE_DROPI!B:B, 0)
),
""
),
""
)
</f>
        <v>4.7</v>
      </c>
      <c r="F529" s="121">
        <v>2.0</v>
      </c>
      <c r="G529" s="122">
        <f t="array" ref="G529">IF(
UPPER(TRIM(CLEAN($O529)))="ENTREGADO",
IFERROR(
INDEX(REPORTE_DROPI!R:R,
MATCH($T529, REPORTE_DROPI!B:B, 0)
),
""
),
""
)
</f>
        <v>25</v>
      </c>
      <c r="H529" s="118" t="s">
        <v>3727</v>
      </c>
      <c r="I529" s="118" t="s">
        <v>3731</v>
      </c>
      <c r="J529" s="121">
        <f t="array" ref="J529">IF(
UPPER(TRIM(CLEAN($O529)))="ENTREGADO",
IFERROR(
INDEX(REPORTE_DROPI!T:T,
MATCH($T529, REPORTE_DROPI!B:B, 0)
),
""
),
""
)
</f>
        <v>4.72</v>
      </c>
      <c r="K529" s="118">
        <f t="array" ref="K529">IFERROR(
INDEX(REPORTE_DROPI!S:S,
MATCH($T529, REPORTE_DROPI!B:B, 0)
),
""
)
</f>
        <v>15.58</v>
      </c>
      <c r="L529" s="118" t="str">
        <f>IF(
  O529&lt;&gt;"DEVOLUCION",
  "",
  IF(
    T529="",
    "",
    SUMIF(DEVOLUCION!F:F, T529, DEVOLUCION!D:D)
  )
)
</f>
        <v/>
      </c>
      <c r="M529" s="118" t="s">
        <v>3870</v>
      </c>
      <c r="N529" s="130" t="s">
        <v>4763</v>
      </c>
      <c r="O529" s="118" t="str">
        <f t="array" ref="O529">IFERROR(
VLOOKUP(
TRIM(CLEAN(
INDEX(REPORTE_DROPI!K:K,
MATCH(T529, REPORTE_DROPI!B:B, 0)
))),
{
TRIM(CLEAN(MAPA_ESTADOS!A:A)) ,
MAPA_ESTADOS!B:B
},
2,
FALSE
),
"REVISAR"
)
</f>
        <v>ENTREGADO</v>
      </c>
      <c r="P529" s="118"/>
      <c r="Q529" s="122">
        <f t="shared" si="1"/>
        <v>0</v>
      </c>
      <c r="R529" s="118"/>
      <c r="S529" s="118"/>
      <c r="T529" s="118">
        <f t="array" ref="T529">IFERROR(
INDEX(REPORTE_DROPI!B:B,
MATCH(
CLEAN(TRIM(C529)),
CLEAN(TRIM(REPORTE_DROPI!E:E)),
0
)
),
""
)
</f>
        <v>4142281</v>
      </c>
      <c r="U529" s="118">
        <v>6.413818789932E12</v>
      </c>
      <c r="V529" s="78"/>
      <c r="W529" s="78"/>
      <c r="X529" s="78"/>
      <c r="Y529" s="78"/>
      <c r="Z529" s="78"/>
    </row>
    <row r="530" ht="22.5" customHeight="1">
      <c r="A530" s="118">
        <v>529.0</v>
      </c>
      <c r="B530" s="119">
        <v>46036.0</v>
      </c>
      <c r="C530" s="118" t="s">
        <v>4764</v>
      </c>
      <c r="D530" s="118" t="str">
        <f>IFERROR(__xludf.DUMMYFUNCTION("IFERROR(
  INDEX(
    FILTER(
      'NOMBRE DE PRODUCTOS'!B:B,
      REGEXMATCH(
        UPPER(
          INDEX(
            REPORTE_DROPI!AC:AC,
            MATCH(T530, REPORTE_DROPI!B:B, 0)
          )
        ),
        UPPER('NOMBRE DE PRODUCTOS'!A:A)"&amp;"
      )
    ),
    1
  ),
  ""REVISAR""
)
"),"FilmPro®")</f>
        <v>FilmPro®</v>
      </c>
      <c r="E530" s="120" t="str">
        <f t="array" ref="E530">IF(
UPPER(TRIM(CLEAN($O530)))="ENTREGADO",
IFERROR(
INDEX(REPORTE_DROPI!Y:Y,
MATCH($T530, REPORTE_DROPI!B:B, 0)
),
""
),
""
)
</f>
        <v/>
      </c>
      <c r="F530" s="121">
        <v>2.0</v>
      </c>
      <c r="G530" s="122" t="str">
        <f t="array" ref="G530">IF(
UPPER(TRIM(CLEAN($O530)))="ENTREGADO",
IFERROR(
INDEX(REPORTE_DROPI!R:R,
MATCH($T530, REPORTE_DROPI!B:B, 0)
),
""
),
""
)
</f>
        <v/>
      </c>
      <c r="H530" s="118" t="s">
        <v>3727</v>
      </c>
      <c r="I530" s="118" t="s">
        <v>3740</v>
      </c>
      <c r="J530" s="121" t="str">
        <f t="array" ref="J530">IF(
UPPER(TRIM(CLEAN($O530)))="ENTREGADO",
IFERROR(
INDEX(REPORTE_DROPI!T:T,
MATCH($T530, REPORTE_DROPI!B:B, 0)
),
""
),
""
)
</f>
        <v/>
      </c>
      <c r="K530" s="118" t="str">
        <f t="array" ref="K530">IFERROR(
INDEX(REPORTE_DROPI!S:S,
MATCH($T530, REPORTE_DROPI!B:B, 0)
),
""
)
</f>
        <v/>
      </c>
      <c r="L530" s="118" t="str">
        <f>IF(
  O530&lt;&gt;"DEVOLUCION",
  "",
  IF(
    T530="",
    "",
    SUMIF(DEVOLUCION!F:F, T530, DEVOLUCION!D:D)
  )
)
</f>
        <v/>
      </c>
      <c r="M530" s="118" t="s">
        <v>3870</v>
      </c>
      <c r="N530" s="130" t="s">
        <v>4765</v>
      </c>
      <c r="O530" s="118" t="str">
        <f t="array" ref="O530">IFERROR(
VLOOKUP(
TRIM(CLEAN(
INDEX(REPORTE_DROPI!K:K,
MATCH(T530, REPORTE_DROPI!B:B, 0)
))),
{
TRIM(CLEAN(MAPA_ESTADOS!A:A)) ,
MAPA_ESTADOS!B:B
},
2,
FALSE
),
"REVISAR"
)
</f>
        <v>CANCELADO</v>
      </c>
      <c r="P530" s="118" t="s">
        <v>4766</v>
      </c>
      <c r="Q530" s="122">
        <f t="shared" si="1"/>
        <v>0</v>
      </c>
      <c r="R530" s="118"/>
      <c r="S530" s="118"/>
      <c r="T530" s="118">
        <f t="array" ref="T530">IFERROR(
INDEX(REPORTE_DROPI!B:B,
MATCH(
CLEAN(TRIM(C530)),
CLEAN(TRIM(REPORTE_DROPI!E:E)),
0
)
),
""
)
</f>
        <v>4142426</v>
      </c>
      <c r="U530" s="118">
        <v>6.413841399852E12</v>
      </c>
      <c r="V530" s="78"/>
      <c r="W530" s="78"/>
      <c r="X530" s="78"/>
      <c r="Y530" s="78"/>
      <c r="Z530" s="78"/>
    </row>
    <row r="531" ht="22.5" customHeight="1">
      <c r="A531" s="118">
        <v>530.0</v>
      </c>
      <c r="B531" s="119">
        <v>46036.0</v>
      </c>
      <c r="C531" s="118" t="s">
        <v>4767</v>
      </c>
      <c r="D531" s="118" t="str">
        <f>IFERROR(__xludf.DUMMYFUNCTION("IFERROR(
  INDEX(
    FILTER(
      'NOMBRE DE PRODUCTOS'!B:B,
      REGEXMATCH(
        UPPER(
          INDEX(
            REPORTE_DROPI!AC:AC,
            MATCH(T531, REPORTE_DROPI!B:B, 0)
          )
        ),
        UPPER('NOMBRE DE PRODUCTOS'!A:A)"&amp;"
      )
    ),
    1
  ),
  ""REVISAR""
)
"),"FilmPro®")</f>
        <v>FilmPro®</v>
      </c>
      <c r="E531" s="120">
        <f t="array" ref="E531">IF(
UPPER(TRIM(CLEAN($O531)))="ENTREGADO",
IFERROR(
INDEX(REPORTE_DROPI!Y:Y,
MATCH($T531, REPORTE_DROPI!B:B, 0)
),
""
),
""
)
</f>
        <v>7.05</v>
      </c>
      <c r="F531" s="121">
        <v>3.0</v>
      </c>
      <c r="G531" s="122">
        <f t="array" ref="G531">IF(
UPPER(TRIM(CLEAN($O531)))="ENTREGADO",
IFERROR(
INDEX(REPORTE_DROPI!R:R,
MATCH($T531, REPORTE_DROPI!B:B, 0)
),
""
),
""
)
</f>
        <v>30</v>
      </c>
      <c r="H531" s="118" t="s">
        <v>3727</v>
      </c>
      <c r="I531" s="118" t="s">
        <v>3759</v>
      </c>
      <c r="J531" s="121">
        <f t="array" ref="J531">IF(
UPPER(TRIM(CLEAN($O531)))="ENTREGADO",
IFERROR(
INDEX(REPORTE_DROPI!T:T,
MATCH($T531, REPORTE_DROPI!B:B, 0)
),
""
),
""
)
</f>
        <v>6.16</v>
      </c>
      <c r="K531" s="118">
        <f t="array" ref="K531">IFERROR(
INDEX(REPORTE_DROPI!S:S,
MATCH($T531, REPORTE_DROPI!B:B, 0)
),
""
)
</f>
        <v>16.79</v>
      </c>
      <c r="L531" s="118" t="str">
        <f>IF(
  O531&lt;&gt;"DEVOLUCION",
  "",
  IF(
    T531="",
    "",
    SUMIF(DEVOLUCION!F:F, T531, DEVOLUCION!D:D)
  )
)
</f>
        <v/>
      </c>
      <c r="M531" s="118" t="s">
        <v>3870</v>
      </c>
      <c r="N531" s="130" t="s">
        <v>4768</v>
      </c>
      <c r="O531" s="118" t="str">
        <f t="array" ref="O531">IFERROR(
VLOOKUP(
TRIM(CLEAN(
INDEX(REPORTE_DROPI!K:K,
MATCH(T531, REPORTE_DROPI!B:B, 0)
))),
{
TRIM(CLEAN(MAPA_ESTADOS!A:A)) ,
MAPA_ESTADOS!B:B
},
2,
FALSE
),
"REVISAR"
)
</f>
        <v>ENTREGADO</v>
      </c>
      <c r="P531" s="118"/>
      <c r="Q531" s="122">
        <f t="shared" si="1"/>
        <v>0</v>
      </c>
      <c r="R531" s="118"/>
      <c r="S531" s="118"/>
      <c r="T531" s="118">
        <f t="array" ref="T531">IFERROR(
INDEX(REPORTE_DROPI!B:B,
MATCH(
CLEAN(TRIM(C531)),
CLEAN(TRIM(REPORTE_DROPI!E:E)),
0
)
),
""
)
</f>
        <v>4142773</v>
      </c>
      <c r="U531" s="118">
        <v>6.413904085036E12</v>
      </c>
      <c r="V531" s="78"/>
      <c r="W531" s="78"/>
      <c r="X531" s="78"/>
      <c r="Y531" s="78"/>
      <c r="Z531" s="78"/>
    </row>
    <row r="532" ht="22.5" customHeight="1">
      <c r="A532" s="118">
        <v>531.0</v>
      </c>
      <c r="B532" s="119">
        <v>46036.0</v>
      </c>
      <c r="C532" s="118" t="s">
        <v>4769</v>
      </c>
      <c r="D532" s="118" t="str">
        <f>IFERROR(__xludf.DUMMYFUNCTION("IFERROR(
  INDEX(
    FILTER(
      'NOMBRE DE PRODUCTOS'!B:B,
      REGEXMATCH(
        UPPER(
          INDEX(
            REPORTE_DROPI!AC:AC,
            MATCH(T532, REPORTE_DROPI!B:B, 0)
          )
        ),
        UPPER('NOMBRE DE PRODUCTOS'!A:A)"&amp;"
      )
    ),
    1
  ),
  ""REVISAR""
)
"),"FilmPro®")</f>
        <v>FilmPro®</v>
      </c>
      <c r="E532" s="120">
        <f t="array" ref="E532">IF(
UPPER(TRIM(CLEAN($O532)))="ENTREGADO",
IFERROR(
INDEX(REPORTE_DROPI!Y:Y,
MATCH($T532, REPORTE_DROPI!B:B, 0)
),
""
),
""
)
</f>
        <v>4.7</v>
      </c>
      <c r="F532" s="121">
        <v>2.0</v>
      </c>
      <c r="G532" s="122">
        <f t="array" ref="G532">IF(
UPPER(TRIM(CLEAN($O532)))="ENTREGADO",
IFERROR(
INDEX(REPORTE_DROPI!R:R,
MATCH($T532, REPORTE_DROPI!B:B, 0)
),
""
),
""
)
</f>
        <v>25</v>
      </c>
      <c r="H532" s="118" t="s">
        <v>3727</v>
      </c>
      <c r="I532" s="118" t="s">
        <v>3784</v>
      </c>
      <c r="J532" s="121">
        <f t="array" ref="J532">IF(
UPPER(TRIM(CLEAN($O532)))="ENTREGADO",
IFERROR(
INDEX(REPORTE_DROPI!T:T,
MATCH($T532, REPORTE_DROPI!B:B, 0)
),
""
),
""
)
</f>
        <v>5.96</v>
      </c>
      <c r="K532" s="118">
        <f t="array" ref="K532">IFERROR(
INDEX(REPORTE_DROPI!S:S,
MATCH($T532, REPORTE_DROPI!B:B, 0)
),
""
)
</f>
        <v>14.34</v>
      </c>
      <c r="L532" s="118" t="str">
        <f>IF(
  O532&lt;&gt;"DEVOLUCION",
  "",
  IF(
    T532="",
    "",
    SUMIF(DEVOLUCION!F:F, T532, DEVOLUCION!D:D)
  )
)
</f>
        <v/>
      </c>
      <c r="M532" s="118" t="s">
        <v>3870</v>
      </c>
      <c r="N532" s="130" t="s">
        <v>4770</v>
      </c>
      <c r="O532" s="118" t="str">
        <f t="array" ref="O532">IFERROR(
VLOOKUP(
TRIM(CLEAN(
INDEX(REPORTE_DROPI!K:K,
MATCH(T532, REPORTE_DROPI!B:B, 0)
))),
{
TRIM(CLEAN(MAPA_ESTADOS!A:A)) ,
MAPA_ESTADOS!B:B
},
2,
FALSE
),
"REVISAR"
)
</f>
        <v>ENTREGADO</v>
      </c>
      <c r="P532" s="118"/>
      <c r="Q532" s="122">
        <f t="shared" si="1"/>
        <v>0</v>
      </c>
      <c r="R532" s="118"/>
      <c r="S532" s="118"/>
      <c r="T532" s="118">
        <f t="array" ref="T532">IFERROR(
INDEX(REPORTE_DROPI!B:B,
MATCH(
CLEAN(TRIM(C532)),
CLEAN(TRIM(REPORTE_DROPI!E:E)),
0
)
),
""
)
</f>
        <v>4142850</v>
      </c>
      <c r="U532" s="118">
        <v>6.41391729054E12</v>
      </c>
      <c r="V532" s="78"/>
      <c r="W532" s="78"/>
      <c r="X532" s="78"/>
      <c r="Y532" s="78"/>
      <c r="Z532" s="78"/>
    </row>
    <row r="533" ht="22.5" customHeight="1">
      <c r="A533" s="118">
        <v>532.0</v>
      </c>
      <c r="B533" s="119">
        <v>46036.0</v>
      </c>
      <c r="C533" s="118" t="s">
        <v>4771</v>
      </c>
      <c r="D533" s="118" t="str">
        <f>IFERROR(__xludf.DUMMYFUNCTION("IFERROR(
  INDEX(
    FILTER(
      'NOMBRE DE PRODUCTOS'!B:B,
      REGEXMATCH(
        UPPER(
          INDEX(
            REPORTE_DROPI!AC:AC,
            MATCH(T533, REPORTE_DROPI!B:B, 0)
          )
        ),
        UPPER('NOMBRE DE PRODUCTOS'!A:A)"&amp;"
      )
    ),
    1
  ),
  ""REVISAR""
)
"),"FilmPro®")</f>
        <v>FilmPro®</v>
      </c>
      <c r="E533" s="120">
        <f t="array" ref="E533">IF(
UPPER(TRIM(CLEAN($O533)))="ENTREGADO",
IFERROR(
INDEX(REPORTE_DROPI!Y:Y,
MATCH($T533, REPORTE_DROPI!B:B, 0)
),
""
),
""
)
</f>
        <v>7.05</v>
      </c>
      <c r="F533" s="121">
        <v>3.0</v>
      </c>
      <c r="G533" s="122">
        <f t="array" ref="G533">IF(
UPPER(TRIM(CLEAN($O533)))="ENTREGADO",
IFERROR(
INDEX(REPORTE_DROPI!R:R,
MATCH($T533, REPORTE_DROPI!B:B, 0)
),
""
),
""
)
</f>
        <v>30</v>
      </c>
      <c r="H533" s="118" t="s">
        <v>3727</v>
      </c>
      <c r="I533" s="118" t="s">
        <v>3740</v>
      </c>
      <c r="J533" s="121">
        <f t="array" ref="J533">IF(
UPPER(TRIM(CLEAN($O533)))="ENTREGADO",
IFERROR(
INDEX(REPORTE_DROPI!T:T,
MATCH($T533, REPORTE_DROPI!B:B, 0)
),
""
),
""
)
</f>
        <v>6.73</v>
      </c>
      <c r="K533" s="118">
        <f t="array" ref="K533">IFERROR(
INDEX(REPORTE_DROPI!S:S,
MATCH($T533, REPORTE_DROPI!B:B, 0)
),
""
)
</f>
        <v>16.22</v>
      </c>
      <c r="L533" s="118" t="str">
        <f>IF(
  O533&lt;&gt;"DEVOLUCION",
  "",
  IF(
    T533="",
    "",
    SUMIF(DEVOLUCION!F:F, T533, DEVOLUCION!D:D)
  )
)
</f>
        <v/>
      </c>
      <c r="M533" s="118" t="s">
        <v>3870</v>
      </c>
      <c r="N533" s="130" t="s">
        <v>4772</v>
      </c>
      <c r="O533" s="118" t="str">
        <f t="array" ref="O533">IFERROR(
VLOOKUP(
TRIM(CLEAN(
INDEX(REPORTE_DROPI!K:K,
MATCH(T533, REPORTE_DROPI!B:B, 0)
))),
{
TRIM(CLEAN(MAPA_ESTADOS!A:A)) ,
MAPA_ESTADOS!B:B
},
2,
FALSE
),
"REVISAR"
)
</f>
        <v>ENTREGADO</v>
      </c>
      <c r="P533" s="118"/>
      <c r="Q533" s="122">
        <f t="shared" si="1"/>
        <v>0</v>
      </c>
      <c r="R533" s="118"/>
      <c r="S533" s="118"/>
      <c r="T533" s="118">
        <f t="array" ref="T533">IFERROR(
INDEX(REPORTE_DROPI!B:B,
MATCH(
CLEAN(TRIM(C533)),
CLEAN(TRIM(REPORTE_DROPI!E:E)),
0
)
),
""
)
</f>
        <v>4143861</v>
      </c>
      <c r="U533" s="118">
        <v>6.41409538462E12</v>
      </c>
      <c r="V533" s="78"/>
      <c r="W533" s="78"/>
      <c r="X533" s="78"/>
      <c r="Y533" s="78"/>
      <c r="Z533" s="78"/>
    </row>
    <row r="534" ht="22.5" customHeight="1">
      <c r="A534" s="118">
        <v>533.0</v>
      </c>
      <c r="B534" s="119">
        <v>46036.0</v>
      </c>
      <c r="C534" s="126" t="s">
        <v>4773</v>
      </c>
      <c r="D534" s="118" t="str">
        <f>IFERROR(__xludf.DUMMYFUNCTION("IFERROR(
  INDEX(
    FILTER(
      'NOMBRE DE PRODUCTOS'!B:B,
      REGEXMATCH(
        UPPER(
          INDEX(
            REPORTE_DROPI!AC:AC,
            MATCH(T534, REPORTE_DROPI!B:B, 0)
          )
        ),
        UPPER('NOMBRE DE PRODUCTOS'!A:A)"&amp;"
      )
    ),
    1
  ),
  ""REVISAR""
)
"),"FilmPro®")</f>
        <v>FilmPro®</v>
      </c>
      <c r="E534" s="120" t="str">
        <f t="array" ref="E534">IF(
UPPER(TRIM(CLEAN($O534)))="ENTREGADO",
IFERROR(
INDEX(REPORTE_DROPI!Y:Y,
MATCH($T534, REPORTE_DROPI!B:B, 0)
),
""
),
""
)
</f>
        <v/>
      </c>
      <c r="F534" s="121">
        <v>3.0</v>
      </c>
      <c r="G534" s="122" t="str">
        <f t="array" ref="G534">IF(
UPPER(TRIM(CLEAN($O534)))="ENTREGADO",
IFERROR(
INDEX(REPORTE_DROPI!R:R,
MATCH($T534, REPORTE_DROPI!B:B, 0)
),
""
),
""
)
</f>
        <v/>
      </c>
      <c r="H534" s="118" t="s">
        <v>3727</v>
      </c>
      <c r="I534" s="118" t="s">
        <v>3740</v>
      </c>
      <c r="J534" s="121" t="str">
        <f t="array" ref="J534">IF(
UPPER(TRIM(CLEAN($O534)))="ENTREGADO",
IFERROR(
INDEX(REPORTE_DROPI!T:T,
MATCH($T534, REPORTE_DROPI!B:B, 0)
),
""
),
""
)
</f>
        <v/>
      </c>
      <c r="K534" s="118" t="str">
        <f t="array" ref="K534">IFERROR(
INDEX(REPORTE_DROPI!S:S,
MATCH($T534, REPORTE_DROPI!B:B, 0)
),
""
)
</f>
        <v/>
      </c>
      <c r="L534" s="118">
        <f>IF(
  O534&lt;&gt;"DEVOLUCION",
  "",
  IF(
    T534="",
    "",
    SUMIF(DEVOLUCION!F:F, T534, DEVOLUCION!D:D)
  )
)
</f>
        <v>5.12</v>
      </c>
      <c r="M534" s="118" t="s">
        <v>3870</v>
      </c>
      <c r="N534" s="130" t="s">
        <v>4774</v>
      </c>
      <c r="O534" s="118" t="str">
        <f t="array" ref="O534">IFERROR(
VLOOKUP(
TRIM(CLEAN(
INDEX(REPORTE_DROPI!K:K,
MATCH(T534, REPORTE_DROPI!B:B, 0)
))),
{
TRIM(CLEAN(MAPA_ESTADOS!A:A)) ,
MAPA_ESTADOS!B:B
},
2,
FALSE
),
"REVISAR"
)
</f>
        <v>DEVOLUCION</v>
      </c>
      <c r="P534" s="118"/>
      <c r="Q534" s="122">
        <f t="shared" si="1"/>
        <v>0</v>
      </c>
      <c r="R534" s="118"/>
      <c r="S534" s="118"/>
      <c r="T534" s="118">
        <f t="array" ref="T534">IFERROR(
INDEX(REPORTE_DROPI!B:B,
MATCH(
CLEAN(TRIM(C534)),
CLEAN(TRIM(REPORTE_DROPI!E:E)),
0
)
),
""
)
</f>
        <v>4143986</v>
      </c>
      <c r="U534" s="118">
        <v>6.414120484908E12</v>
      </c>
      <c r="V534" s="78"/>
      <c r="W534" s="78"/>
      <c r="X534" s="78"/>
      <c r="Y534" s="78"/>
      <c r="Z534" s="78"/>
    </row>
    <row r="535" ht="22.5" customHeight="1">
      <c r="A535" s="118">
        <v>534.0</v>
      </c>
      <c r="B535" s="119">
        <v>46036.0</v>
      </c>
      <c r="C535" s="118" t="s">
        <v>4775</v>
      </c>
      <c r="D535" s="118" t="str">
        <f>IFERROR(__xludf.DUMMYFUNCTION("IFERROR(
  INDEX(
    FILTER(
      'NOMBRE DE PRODUCTOS'!B:B,
      REGEXMATCH(
        UPPER(
          INDEX(
            REPORTE_DROPI!AC:AC,
            MATCH(T535, REPORTE_DROPI!B:B, 0)
          )
        ),
        UPPER('NOMBRE DE PRODUCTOS'!A:A)"&amp;"
      )
    ),
    1
  ),
  ""REVISAR""
)
"),"FilmPro®")</f>
        <v>FilmPro®</v>
      </c>
      <c r="E535" s="120">
        <f t="array" ref="E535">IF(
UPPER(TRIM(CLEAN($O535)))="ENTREGADO",
IFERROR(
INDEX(REPORTE_DROPI!Y:Y,
MATCH($T535, REPORTE_DROPI!B:B, 0)
),
""
),
""
)
</f>
        <v>4.7</v>
      </c>
      <c r="F535" s="121">
        <v>2.0</v>
      </c>
      <c r="G535" s="122">
        <f t="array" ref="G535">IF(
UPPER(TRIM(CLEAN($O535)))="ENTREGADO",
IFERROR(
INDEX(REPORTE_DROPI!R:R,
MATCH($T535, REPORTE_DROPI!B:B, 0)
),
""
),
""
)
</f>
        <v>25</v>
      </c>
      <c r="H535" s="118" t="s">
        <v>3727</v>
      </c>
      <c r="I535" s="118" t="s">
        <v>3731</v>
      </c>
      <c r="J535" s="121">
        <f t="array" ref="J535">IF(
UPPER(TRIM(CLEAN($O535)))="ENTREGADO",
IFERROR(
INDEX(REPORTE_DROPI!T:T,
MATCH($T535, REPORTE_DROPI!B:B, 0)
),
""
),
""
)
</f>
        <v>4.92</v>
      </c>
      <c r="K535" s="118">
        <f t="array" ref="K535">IFERROR(
INDEX(REPORTE_DROPI!S:S,
MATCH($T535, REPORTE_DROPI!B:B, 0)
),
""
)
</f>
        <v>15.38</v>
      </c>
      <c r="L535" s="118" t="str">
        <f>IF(
  O535&lt;&gt;"DEVOLUCION",
  "",
  IF(
    T535="",
    "",
    SUMIF(DEVOLUCION!F:F, T535, DEVOLUCION!D:D)
  )
)
</f>
        <v/>
      </c>
      <c r="M535" s="118" t="s">
        <v>3870</v>
      </c>
      <c r="N535" s="130" t="s">
        <v>4776</v>
      </c>
      <c r="O535" s="118" t="str">
        <f t="array" ref="O535">IFERROR(
VLOOKUP(
TRIM(CLEAN(
INDEX(REPORTE_DROPI!K:K,
MATCH(T535, REPORTE_DROPI!B:B, 0)
))),
{
TRIM(CLEAN(MAPA_ESTADOS!A:A)) ,
MAPA_ESTADOS!B:B
},
2,
FALSE
),
"REVISAR"
)
</f>
        <v>ENTREGADO</v>
      </c>
      <c r="P535" s="118"/>
      <c r="Q535" s="122">
        <f t="shared" si="1"/>
        <v>0</v>
      </c>
      <c r="R535" s="118"/>
      <c r="S535" s="118"/>
      <c r="T535" s="118">
        <f t="array" ref="T535">IFERROR(
INDEX(REPORTE_DROPI!B:B,
MATCH(
CLEAN(TRIM(C535)),
CLEAN(TRIM(REPORTE_DROPI!E:E)),
0
)
),
""
)
</f>
        <v>4144076</v>
      </c>
      <c r="U535" s="118">
        <v>6.414136967212E12</v>
      </c>
      <c r="V535" s="78"/>
      <c r="W535" s="78"/>
      <c r="X535" s="78"/>
      <c r="Y535" s="78"/>
      <c r="Z535" s="78"/>
    </row>
    <row r="536" ht="22.5" customHeight="1">
      <c r="A536" s="118">
        <v>535.0</v>
      </c>
      <c r="B536" s="119">
        <v>46036.0</v>
      </c>
      <c r="C536" s="118" t="s">
        <v>4777</v>
      </c>
      <c r="D536" s="118" t="str">
        <f>IFERROR(__xludf.DUMMYFUNCTION("IFERROR(
  INDEX(
    FILTER(
      'NOMBRE DE PRODUCTOS'!B:B,
      REGEXMATCH(
        UPPER(
          INDEX(
            REPORTE_DROPI!AC:AC,
            MATCH(T536, REPORTE_DROPI!B:B, 0)
          )
        ),
        UPPER('NOMBRE DE PRODUCTOS'!A:A)"&amp;"
      )
    ),
    1
  ),
  ""REVISAR""
)
"),"FilmPro®")</f>
        <v>FilmPro®</v>
      </c>
      <c r="E536" s="120">
        <f t="array" ref="E536">IF(
UPPER(TRIM(CLEAN($O536)))="ENTREGADO",
IFERROR(
INDEX(REPORTE_DROPI!Y:Y,
MATCH($T536, REPORTE_DROPI!B:B, 0)
),
""
),
""
)
</f>
        <v>7.05</v>
      </c>
      <c r="F536" s="121">
        <v>3.0</v>
      </c>
      <c r="G536" s="122">
        <f t="array" ref="G536">IF(
UPPER(TRIM(CLEAN($O536)))="ENTREGADO",
IFERROR(
INDEX(REPORTE_DROPI!R:R,
MATCH($T536, REPORTE_DROPI!B:B, 0)
),
""
),
""
)
</f>
        <v>30</v>
      </c>
      <c r="H536" s="118" t="s">
        <v>3727</v>
      </c>
      <c r="I536" s="118" t="s">
        <v>3969</v>
      </c>
      <c r="J536" s="121">
        <f t="array" ref="J536">IF(
UPPER(TRIM(CLEAN($O536)))="ENTREGADO",
IFERROR(
INDEX(REPORTE_DROPI!T:T,
MATCH($T536, REPORTE_DROPI!B:B, 0)
),
""
),
""
)
</f>
        <v>6.16</v>
      </c>
      <c r="K536" s="118">
        <f t="array" ref="K536">IFERROR(
INDEX(REPORTE_DROPI!S:S,
MATCH($T536, REPORTE_DROPI!B:B, 0)
),
""
)
</f>
        <v>16.79</v>
      </c>
      <c r="L536" s="118" t="str">
        <f>IF(
  O536&lt;&gt;"DEVOLUCION",
  "",
  IF(
    T536="",
    "",
    SUMIF(DEVOLUCION!F:F, T536, DEVOLUCION!D:D)
  )
)
</f>
        <v/>
      </c>
      <c r="M536" s="118" t="s">
        <v>3870</v>
      </c>
      <c r="N536" s="130" t="s">
        <v>4778</v>
      </c>
      <c r="O536" s="118" t="str">
        <f t="array" ref="O536">IFERROR(
VLOOKUP(
TRIM(CLEAN(
INDEX(REPORTE_DROPI!K:K,
MATCH(T536, REPORTE_DROPI!B:B, 0)
))),
{
TRIM(CLEAN(MAPA_ESTADOS!A:A)) ,
MAPA_ESTADOS!B:B
},
2,
FALSE
),
"REVISAR"
)
</f>
        <v>ENTREGADO</v>
      </c>
      <c r="P536" s="118"/>
      <c r="Q536" s="122">
        <f t="shared" si="1"/>
        <v>0</v>
      </c>
      <c r="R536" s="118"/>
      <c r="S536" s="118"/>
      <c r="T536" s="118">
        <f t="array" ref="T536">IFERROR(
INDEX(REPORTE_DROPI!B:B,
MATCH(
CLEAN(TRIM(C536)),
CLEAN(TRIM(REPORTE_DROPI!E:E)),
0
)
),
""
)
</f>
        <v>4144117</v>
      </c>
      <c r="U536" s="118">
        <v>6.41414437278E12</v>
      </c>
      <c r="V536" s="78"/>
      <c r="W536" s="78"/>
      <c r="X536" s="78"/>
      <c r="Y536" s="78"/>
      <c r="Z536" s="78"/>
    </row>
    <row r="537" ht="22.5" customHeight="1">
      <c r="A537" s="118">
        <v>536.0</v>
      </c>
      <c r="B537" s="119">
        <v>46036.0</v>
      </c>
      <c r="C537" s="118" t="s">
        <v>4779</v>
      </c>
      <c r="D537" s="118" t="str">
        <f>IFERROR(__xludf.DUMMYFUNCTION("IFERROR(
  INDEX(
    FILTER(
      'NOMBRE DE PRODUCTOS'!B:B,
      REGEXMATCH(
        UPPER(
          INDEX(
            REPORTE_DROPI!AC:AC,
            MATCH(T537, REPORTE_DROPI!B:B, 0)
          )
        ),
        UPPER('NOMBRE DE PRODUCTOS'!A:A)"&amp;"
      )
    ),
    1
  ),
  ""REVISAR""
)
"),"FilmPro®")</f>
        <v>FilmPro®</v>
      </c>
      <c r="E537" s="120">
        <f t="array" ref="E537">IF(
UPPER(TRIM(CLEAN($O537)))="ENTREGADO",
IFERROR(
INDEX(REPORTE_DROPI!Y:Y,
MATCH($T537, REPORTE_DROPI!B:B, 0)
),
""
),
""
)
</f>
        <v>2.35</v>
      </c>
      <c r="F537" s="121">
        <v>1.0</v>
      </c>
      <c r="G537" s="122">
        <f t="array" ref="G537">IF(
UPPER(TRIM(CLEAN($O537)))="ENTREGADO",
IFERROR(
INDEX(REPORTE_DROPI!R:R,
MATCH($T537, REPORTE_DROPI!B:B, 0)
),
""
),
""
)
</f>
        <v>20</v>
      </c>
      <c r="H537" s="118" t="s">
        <v>3727</v>
      </c>
      <c r="I537" s="118" t="s">
        <v>3731</v>
      </c>
      <c r="J537" s="121">
        <f t="array" ref="J537">IF(
UPPER(TRIM(CLEAN($O537)))="ENTREGADO",
IFERROR(
INDEX(REPORTE_DROPI!T:T,
MATCH($T537, REPORTE_DROPI!B:B, 0)
),
""
),
""
)
</f>
        <v>4.72</v>
      </c>
      <c r="K537" s="118">
        <f t="array" ref="K537">IFERROR(
INDEX(REPORTE_DROPI!S:S,
MATCH($T537, REPORTE_DROPI!B:B, 0)
),
""
)
</f>
        <v>12.93</v>
      </c>
      <c r="L537" s="118" t="str">
        <f>IF(
  O537&lt;&gt;"DEVOLUCION",
  "",
  IF(
    T537="",
    "",
    SUMIF(DEVOLUCION!F:F, T537, DEVOLUCION!D:D)
  )
)
</f>
        <v/>
      </c>
      <c r="M537" s="118" t="s">
        <v>3870</v>
      </c>
      <c r="N537" s="130" t="s">
        <v>4780</v>
      </c>
      <c r="O537" s="118" t="str">
        <f t="array" ref="O537">IFERROR(
VLOOKUP(
TRIM(CLEAN(
INDEX(REPORTE_DROPI!K:K,
MATCH(T537, REPORTE_DROPI!B:B, 0)
))),
{
TRIM(CLEAN(MAPA_ESTADOS!A:A)) ,
MAPA_ESTADOS!B:B
},
2,
FALSE
),
"REVISAR"
)
</f>
        <v>ENTREGADO</v>
      </c>
      <c r="P537" s="118"/>
      <c r="Q537" s="122">
        <f t="shared" si="1"/>
        <v>0</v>
      </c>
      <c r="R537" s="118"/>
      <c r="S537" s="118"/>
      <c r="T537" s="118">
        <f t="array" ref="T537">IFERROR(
INDEX(REPORTE_DROPI!B:B,
MATCH(
CLEAN(TRIM(C537)),
CLEAN(TRIM(REPORTE_DROPI!E:E)),
0
)
),
""
)
</f>
        <v>4144851</v>
      </c>
      <c r="U537" s="118">
        <v>6.414317191212E12</v>
      </c>
      <c r="V537" s="78"/>
      <c r="W537" s="78"/>
      <c r="X537" s="78"/>
      <c r="Y537" s="78"/>
      <c r="Z537" s="78"/>
    </row>
    <row r="538" ht="22.5" customHeight="1">
      <c r="A538" s="118">
        <v>537.0</v>
      </c>
      <c r="B538" s="119">
        <v>46036.0</v>
      </c>
      <c r="C538" s="126" t="s">
        <v>4781</v>
      </c>
      <c r="D538" s="118" t="str">
        <f>IFERROR(__xludf.DUMMYFUNCTION("IFERROR(
  INDEX(
    FILTER(
      'NOMBRE DE PRODUCTOS'!B:B,
      REGEXMATCH(
        UPPER(
          INDEX(
            REPORTE_DROPI!AC:AC,
            MATCH(T538, REPORTE_DROPI!B:B, 0)
          )
        ),
        UPPER('NOMBRE DE PRODUCTOS'!A:A)"&amp;"
      )
    ),
    1
  ),
  ""REVISAR""
)
"),"FilmPro®")</f>
        <v>FilmPro®</v>
      </c>
      <c r="E538" s="120" t="str">
        <f t="array" ref="E538">IF(
UPPER(TRIM(CLEAN($O538)))="ENTREGADO",
IFERROR(
INDEX(REPORTE_DROPI!Y:Y,
MATCH($T538, REPORTE_DROPI!B:B, 0)
),
""
),
""
)
</f>
        <v/>
      </c>
      <c r="F538" s="121">
        <v>3.0</v>
      </c>
      <c r="G538" s="122" t="str">
        <f t="array" ref="G538">IF(
UPPER(TRIM(CLEAN($O538)))="ENTREGADO",
IFERROR(
INDEX(REPORTE_DROPI!R:R,
MATCH($T538, REPORTE_DROPI!B:B, 0)
),
""
),
""
)
</f>
        <v/>
      </c>
      <c r="H538" s="118" t="s">
        <v>3727</v>
      </c>
      <c r="I538" s="118" t="s">
        <v>3731</v>
      </c>
      <c r="J538" s="121" t="str">
        <f t="array" ref="J538">IF(
UPPER(TRIM(CLEAN($O538)))="ENTREGADO",
IFERROR(
INDEX(REPORTE_DROPI!T:T,
MATCH($T538, REPORTE_DROPI!B:B, 0)
),
""
),
""
)
</f>
        <v/>
      </c>
      <c r="K538" s="118" t="str">
        <f t="array" ref="K538">IFERROR(
INDEX(REPORTE_DROPI!S:S,
MATCH($T538, REPORTE_DROPI!B:B, 0)
),
""
)
</f>
        <v/>
      </c>
      <c r="L538" s="118">
        <f>IF(
  O538&lt;&gt;"DEVOLUCION",
  "",
  IF(
    T538="",
    "",
    SUMIF(DEVOLUCION!F:F, T538, DEVOLUCION!D:D)
  )
)
</f>
        <v>7.82</v>
      </c>
      <c r="M538" s="118" t="s">
        <v>3870</v>
      </c>
      <c r="N538" s="130" t="s">
        <v>4782</v>
      </c>
      <c r="O538" s="118" t="str">
        <f t="array" ref="O538">IFERROR(
VLOOKUP(
TRIM(CLEAN(
INDEX(REPORTE_DROPI!K:K,
MATCH(T538, REPORTE_DROPI!B:B, 0)
))),
{
TRIM(CLEAN(MAPA_ESTADOS!A:A)) ,
MAPA_ESTADOS!B:B
},
2,
FALSE
),
"REVISAR"
)
</f>
        <v>DEVOLUCION</v>
      </c>
      <c r="P538" s="118"/>
      <c r="Q538" s="122">
        <f t="shared" si="1"/>
        <v>0</v>
      </c>
      <c r="R538" s="118"/>
      <c r="S538" s="118"/>
      <c r="T538" s="118">
        <f t="array" ref="T538">IFERROR(
INDEX(REPORTE_DROPI!B:B,
MATCH(
CLEAN(TRIM(C538)),
CLEAN(TRIM(REPORTE_DROPI!E:E)),
0
)
),
""
)
</f>
        <v>4144895</v>
      </c>
      <c r="U538" s="118">
        <v>6.41433147806E12</v>
      </c>
      <c r="V538" s="78"/>
      <c r="W538" s="78"/>
      <c r="X538" s="78"/>
      <c r="Y538" s="78"/>
      <c r="Z538" s="78"/>
    </row>
    <row r="539" ht="22.5" customHeight="1">
      <c r="A539" s="118">
        <v>538.0</v>
      </c>
      <c r="B539" s="119">
        <v>46036.0</v>
      </c>
      <c r="C539" s="126" t="s">
        <v>4783</v>
      </c>
      <c r="D539" s="118" t="str">
        <f>IFERROR(__xludf.DUMMYFUNCTION("IFERROR(
  INDEX(
    FILTER(
      'NOMBRE DE PRODUCTOS'!B:B,
      REGEXMATCH(
        UPPER(
          INDEX(
            REPORTE_DROPI!AC:AC,
            MATCH(T539, REPORTE_DROPI!B:B, 0)
          )
        ),
        UPPER('NOMBRE DE PRODUCTOS'!A:A)"&amp;"
      )
    ),
    1
  ),
  ""REVISAR""
)
"),"FilmPro®")</f>
        <v>FilmPro®</v>
      </c>
      <c r="E539" s="120" t="str">
        <f t="array" ref="E539">IF(
UPPER(TRIM(CLEAN($O539)))="ENTREGADO",
IFERROR(
INDEX(REPORTE_DROPI!Y:Y,
MATCH($T539, REPORTE_DROPI!B:B, 0)
),
""
),
""
)
</f>
        <v/>
      </c>
      <c r="F539" s="121">
        <v>3.0</v>
      </c>
      <c r="G539" s="122" t="str">
        <f t="array" ref="G539">IF(
UPPER(TRIM(CLEAN($O539)))="ENTREGADO",
IFERROR(
INDEX(REPORTE_DROPI!R:R,
MATCH($T539, REPORTE_DROPI!B:B, 0)
),
""
),
""
)
</f>
        <v/>
      </c>
      <c r="H539" s="118" t="s">
        <v>3727</v>
      </c>
      <c r="I539" s="118" t="s">
        <v>3731</v>
      </c>
      <c r="J539" s="121" t="str">
        <f t="array" ref="J539">IF(
UPPER(TRIM(CLEAN($O539)))="ENTREGADO",
IFERROR(
INDEX(REPORTE_DROPI!T:T,
MATCH($T539, REPORTE_DROPI!B:B, 0)
),
""
),
""
)
</f>
        <v/>
      </c>
      <c r="K539" s="118" t="str">
        <f t="array" ref="K539">IFERROR(
INDEX(REPORTE_DROPI!S:S,
MATCH($T539, REPORTE_DROPI!B:B, 0)
),
""
)
</f>
        <v/>
      </c>
      <c r="L539" s="118">
        <f>IF(
  O539&lt;&gt;"DEVOLUCION",
  "",
  IF(
    T539="",
    "",
    SUMIF(DEVOLUCION!F:F, T539, DEVOLUCION!D:D)
  )
)
</f>
        <v>3.51</v>
      </c>
      <c r="M539" s="118" t="s">
        <v>3870</v>
      </c>
      <c r="N539" s="130" t="s">
        <v>4784</v>
      </c>
      <c r="O539" s="118" t="str">
        <f t="array" ref="O539">IFERROR(
VLOOKUP(
TRIM(CLEAN(
INDEX(REPORTE_DROPI!K:K,
MATCH(T539, REPORTE_DROPI!B:B, 0)
))),
{
TRIM(CLEAN(MAPA_ESTADOS!A:A)) ,
MAPA_ESTADOS!B:B
},
2,
FALSE
),
"REVISAR"
)
</f>
        <v>DEVOLUCION</v>
      </c>
      <c r="P539" s="118"/>
      <c r="Q539" s="122">
        <f t="shared" si="1"/>
        <v>0</v>
      </c>
      <c r="R539" s="118"/>
      <c r="S539" s="118"/>
      <c r="T539" s="118">
        <f t="array" ref="T539">IFERROR(
INDEX(REPORTE_DROPI!B:B,
MATCH(
CLEAN(TRIM(C539)),
CLEAN(TRIM(REPORTE_DROPI!E:E)),
0
)
),
""
)
</f>
        <v>4145656</v>
      </c>
      <c r="U539" s="118">
        <v>6.414516912172E12</v>
      </c>
      <c r="V539" s="78"/>
      <c r="W539" s="78"/>
      <c r="X539" s="78"/>
      <c r="Y539" s="78"/>
      <c r="Z539" s="78"/>
    </row>
    <row r="540" ht="22.5" customHeight="1">
      <c r="A540" s="118">
        <v>539.0</v>
      </c>
      <c r="B540" s="119">
        <v>46036.0</v>
      </c>
      <c r="C540" s="118" t="s">
        <v>4785</v>
      </c>
      <c r="D540" s="118" t="str">
        <f>IFERROR(__xludf.DUMMYFUNCTION("IFERROR(
  INDEX(
    FILTER(
      'NOMBRE DE PRODUCTOS'!B:B,
      REGEXMATCH(
        UPPER(
          INDEX(
            REPORTE_DROPI!AC:AC,
            MATCH(T540, REPORTE_DROPI!B:B, 0)
          )
        ),
        UPPER('NOMBRE DE PRODUCTOS'!A:A)"&amp;"
      )
    ),
    1
  ),
  ""REVISAR""
)
"),"FilmPro®")</f>
        <v>FilmPro®</v>
      </c>
      <c r="E540" s="120">
        <f t="array" ref="E540">IF(
UPPER(TRIM(CLEAN($O540)))="ENTREGADO",
IFERROR(
INDEX(REPORTE_DROPI!Y:Y,
MATCH($T540, REPORTE_DROPI!B:B, 0)
),
""
),
""
)
</f>
        <v>7.05</v>
      </c>
      <c r="F540" s="121">
        <v>3.0</v>
      </c>
      <c r="G540" s="122">
        <f t="array" ref="G540">IF(
UPPER(TRIM(CLEAN($O540)))="ENTREGADO",
IFERROR(
INDEX(REPORTE_DROPI!R:R,
MATCH($T540, REPORTE_DROPI!B:B, 0)
),
""
),
""
)
</f>
        <v>30</v>
      </c>
      <c r="H540" s="118" t="s">
        <v>3727</v>
      </c>
      <c r="I540" s="118" t="s">
        <v>3740</v>
      </c>
      <c r="J540" s="121">
        <f t="array" ref="J540">IF(
UPPER(TRIM(CLEAN($O540)))="ENTREGADO",
IFERROR(
INDEX(REPORTE_DROPI!T:T,
MATCH($T540, REPORTE_DROPI!B:B, 0)
),
""
),
""
)
</f>
        <v>6.38</v>
      </c>
      <c r="K540" s="118">
        <f t="array" ref="K540">IFERROR(
INDEX(REPORTE_DROPI!S:S,
MATCH($T540, REPORTE_DROPI!B:B, 0)
),
""
)
</f>
        <v>16.57</v>
      </c>
      <c r="L540" s="118" t="str">
        <f>IF(
  O540&lt;&gt;"DEVOLUCION",
  "",
  IF(
    T540="",
    "",
    SUMIF(DEVOLUCION!F:F, T540, DEVOLUCION!D:D)
  )
)
</f>
        <v/>
      </c>
      <c r="M540" s="118" t="s">
        <v>3870</v>
      </c>
      <c r="N540" s="130" t="s">
        <v>4786</v>
      </c>
      <c r="O540" s="118" t="str">
        <f t="array" ref="O540">IFERROR(
VLOOKUP(
TRIM(CLEAN(
INDEX(REPORTE_DROPI!K:K,
MATCH(T540, REPORTE_DROPI!B:B, 0)
))),
{
TRIM(CLEAN(MAPA_ESTADOS!A:A)) ,
MAPA_ESTADOS!B:B
},
2,
FALSE
),
"REVISAR"
)
</f>
        <v>ENTREGADO</v>
      </c>
      <c r="P540" s="118"/>
      <c r="Q540" s="122">
        <f t="shared" si="1"/>
        <v>0</v>
      </c>
      <c r="R540" s="118"/>
      <c r="S540" s="118"/>
      <c r="T540" s="118">
        <f t="array" ref="T540">IFERROR(
INDEX(REPORTE_DROPI!B:B,
MATCH(
CLEAN(TRIM(C540)),
CLEAN(TRIM(REPORTE_DROPI!E:E)),
0
)
),
""
)
</f>
        <v>4145960</v>
      </c>
      <c r="U540" s="118">
        <v>6.414574911532E12</v>
      </c>
      <c r="V540" s="78"/>
      <c r="W540" s="78"/>
      <c r="X540" s="78"/>
      <c r="Y540" s="78"/>
      <c r="Z540" s="78"/>
    </row>
    <row r="541" ht="22.5" customHeight="1">
      <c r="A541" s="118">
        <v>540.0</v>
      </c>
      <c r="B541" s="119">
        <v>46036.0</v>
      </c>
      <c r="C541" s="118" t="s">
        <v>4787</v>
      </c>
      <c r="D541" s="118" t="str">
        <f>IFERROR(__xludf.DUMMYFUNCTION("IFERROR(
  INDEX(
    FILTER(
      'NOMBRE DE PRODUCTOS'!B:B,
      REGEXMATCH(
        UPPER(
          INDEX(
            REPORTE_DROPI!AC:AC,
            MATCH(T541, REPORTE_DROPI!B:B, 0)
          )
        ),
        UPPER('NOMBRE DE PRODUCTOS'!A:A)"&amp;"
      )
    ),
    1
  ),
  ""REVISAR""
)
"),"FilmPro®")</f>
        <v>FilmPro®</v>
      </c>
      <c r="E541" s="120" t="str">
        <f t="array" ref="E541">IF(
UPPER(TRIM(CLEAN($O541)))="ENTREGADO",
IFERROR(
INDEX(REPORTE_DROPI!Y:Y,
MATCH($T541, REPORTE_DROPI!B:B, 0)
),
""
),
""
)
</f>
        <v/>
      </c>
      <c r="F541" s="121">
        <v>1.0</v>
      </c>
      <c r="G541" s="122" t="str">
        <f t="array" ref="G541">IF(
UPPER(TRIM(CLEAN($O541)))="ENTREGADO",
IFERROR(
INDEX(REPORTE_DROPI!R:R,
MATCH($T541, REPORTE_DROPI!B:B, 0)
),
""
),
""
)
</f>
        <v/>
      </c>
      <c r="H541" s="118" t="s">
        <v>3727</v>
      </c>
      <c r="I541" s="118" t="s">
        <v>3731</v>
      </c>
      <c r="J541" s="121" t="str">
        <f t="array" ref="J541">IF(
UPPER(TRIM(CLEAN($O541)))="ENTREGADO",
IFERROR(
INDEX(REPORTE_DROPI!T:T,
MATCH($T541, REPORTE_DROPI!B:B, 0)
),
""
),
""
)
</f>
        <v/>
      </c>
      <c r="K541" s="118" t="str">
        <f t="array" ref="K541">IFERROR(
INDEX(REPORTE_DROPI!S:S,
MATCH($T541, REPORTE_DROPI!B:B, 0)
),
""
)
</f>
        <v/>
      </c>
      <c r="L541" s="118" t="str">
        <f>IF(
  O541&lt;&gt;"DEVOLUCION",
  "",
  IF(
    T541="",
    "",
    SUMIF(DEVOLUCION!F:F, T541, DEVOLUCION!D:D)
  )
)
</f>
        <v/>
      </c>
      <c r="M541" s="118" t="s">
        <v>3870</v>
      </c>
      <c r="N541" s="130" t="s">
        <v>4788</v>
      </c>
      <c r="O541" s="118" t="str">
        <f t="array" ref="O541">IFERROR(
VLOOKUP(
TRIM(CLEAN(
INDEX(REPORTE_DROPI!K:K,
MATCH(T541, REPORTE_DROPI!B:B, 0)
))),
{
TRIM(CLEAN(MAPA_ESTADOS!A:A)) ,
MAPA_ESTADOS!B:B
},
2,
FALSE
),
"REVISAR"
)
</f>
        <v>CANCELADO</v>
      </c>
      <c r="P541" s="118"/>
      <c r="Q541" s="122">
        <f t="shared" si="1"/>
        <v>0</v>
      </c>
      <c r="R541" s="118"/>
      <c r="S541" s="118"/>
      <c r="T541" s="118">
        <f t="array" ref="T541">IFERROR(
INDEX(REPORTE_DROPI!B:B,
MATCH(
CLEAN(TRIM(C541)),
CLEAN(TRIM(REPORTE_DROPI!E:E)),
0
)
),
""
)
</f>
        <v>4146769</v>
      </c>
      <c r="U541" s="118">
        <v>6.414713487404E12</v>
      </c>
      <c r="V541" s="78"/>
      <c r="W541" s="78"/>
      <c r="X541" s="78"/>
      <c r="Y541" s="78"/>
      <c r="Z541" s="78"/>
    </row>
    <row r="542" ht="22.5" customHeight="1">
      <c r="A542" s="118">
        <v>541.0</v>
      </c>
      <c r="B542" s="119">
        <v>46036.0</v>
      </c>
      <c r="C542" s="118" t="s">
        <v>4789</v>
      </c>
      <c r="D542" s="118" t="str">
        <f>IFERROR(__xludf.DUMMYFUNCTION("IFERROR(
  INDEX(
    FILTER(
      'NOMBRE DE PRODUCTOS'!B:B,
      REGEXMATCH(
        UPPER(
          INDEX(
            REPORTE_DROPI!AC:AC,
            MATCH(T542, REPORTE_DROPI!B:B, 0)
          )
        ),
        UPPER('NOMBRE DE PRODUCTOS'!A:A)"&amp;"
      )
    ),
    1
  ),
  ""REVISAR""
)
"),"FilmPro®")</f>
        <v>FilmPro®</v>
      </c>
      <c r="E542" s="120" t="str">
        <f t="array" ref="E542">IF(
UPPER(TRIM(CLEAN($O542)))="ENTREGADO",
IFERROR(
INDEX(REPORTE_DROPI!Y:Y,
MATCH($T542, REPORTE_DROPI!B:B, 0)
),
""
),
""
)
</f>
        <v/>
      </c>
      <c r="F542" s="121">
        <v>2.0</v>
      </c>
      <c r="G542" s="122" t="str">
        <f t="array" ref="G542">IF(
UPPER(TRIM(CLEAN($O542)))="ENTREGADO",
IFERROR(
INDEX(REPORTE_DROPI!R:R,
MATCH($T542, REPORTE_DROPI!B:B, 0)
),
""
),
""
)
</f>
        <v/>
      </c>
      <c r="H542" s="118" t="s">
        <v>3727</v>
      </c>
      <c r="I542" s="118" t="s">
        <v>3770</v>
      </c>
      <c r="J542" s="121" t="str">
        <f t="array" ref="J542">IF(
UPPER(TRIM(CLEAN($O542)))="ENTREGADO",
IFERROR(
INDEX(REPORTE_DROPI!T:T,
MATCH($T542, REPORTE_DROPI!B:B, 0)
),
""
),
""
)
</f>
        <v/>
      </c>
      <c r="K542" s="118" t="str">
        <f t="array" ref="K542">IFERROR(
INDEX(REPORTE_DROPI!S:S,
MATCH($T542, REPORTE_DROPI!B:B, 0)
),
""
)
</f>
        <v/>
      </c>
      <c r="L542" s="118">
        <f>IF(
  O542&lt;&gt;"DEVOLUCION",
  "",
  IF(
    T542="",
    "",
    SUMIF(DEVOLUCION!F:F, T542, DEVOLUCION!D:D)
  )
)
</f>
        <v>7.75</v>
      </c>
      <c r="M542" s="118" t="s">
        <v>3870</v>
      </c>
      <c r="N542" s="130" t="s">
        <v>4790</v>
      </c>
      <c r="O542" s="118" t="str">
        <f t="array" ref="O542">IFERROR(
VLOOKUP(
TRIM(CLEAN(
INDEX(REPORTE_DROPI!K:K,
MATCH(T542, REPORTE_DROPI!B:B, 0)
))),
{
TRIM(CLEAN(MAPA_ESTADOS!A:A)) ,
MAPA_ESTADOS!B:B
},
2,
FALSE
),
"REVISAR"
)
</f>
        <v>DEVOLUCION</v>
      </c>
      <c r="P542" s="118" t="s">
        <v>3888</v>
      </c>
      <c r="Q542" s="122">
        <f t="shared" si="1"/>
        <v>0</v>
      </c>
      <c r="R542" s="118"/>
      <c r="S542" s="118"/>
      <c r="T542" s="118">
        <f t="array" ref="T542">IFERROR(
INDEX(REPORTE_DROPI!B:B,
MATCH(
CLEAN(TRIM(C542)),
CLEAN(TRIM(REPORTE_DROPI!E:E)),
0
)
),
""
)
</f>
        <v>4232226</v>
      </c>
      <c r="U542" s="118">
        <v>6.415082913836E12</v>
      </c>
      <c r="V542" s="78"/>
      <c r="W542" s="78"/>
      <c r="X542" s="78"/>
      <c r="Y542" s="78"/>
      <c r="Z542" s="78"/>
    </row>
    <row r="543" ht="22.5" customHeight="1">
      <c r="A543" s="118">
        <v>542.0</v>
      </c>
      <c r="B543" s="119">
        <v>46036.0</v>
      </c>
      <c r="C543" s="118" t="s">
        <v>4791</v>
      </c>
      <c r="D543" s="118" t="str">
        <f>IFERROR(__xludf.DUMMYFUNCTION("IFERROR(
  INDEX(
    FILTER(
      'NOMBRE DE PRODUCTOS'!B:B,
      REGEXMATCH(
        UPPER(
          INDEX(
            REPORTE_DROPI!AC:AC,
            MATCH(T543, REPORTE_DROPI!B:B, 0)
          )
        ),
        UPPER('NOMBRE DE PRODUCTOS'!A:A)"&amp;"
      )
    ),
    1
  ),
  ""REVISAR""
)
"),"FilmPro®")</f>
        <v>FilmPro®</v>
      </c>
      <c r="E543" s="120" t="str">
        <f t="array" ref="E543">IF(
UPPER(TRIM(CLEAN($O543)))="ENTREGADO",
IFERROR(
INDEX(REPORTE_DROPI!Y:Y,
MATCH($T543, REPORTE_DROPI!B:B, 0)
),
""
),
""
)
</f>
        <v/>
      </c>
      <c r="F543" s="121">
        <v>1.0</v>
      </c>
      <c r="G543" s="122" t="str">
        <f t="array" ref="G543">IF(
UPPER(TRIM(CLEAN($O543)))="ENTREGADO",
IFERROR(
INDEX(REPORTE_DROPI!R:R,
MATCH($T543, REPORTE_DROPI!B:B, 0)
),
""
),
""
)
</f>
        <v/>
      </c>
      <c r="H543" s="118" t="s">
        <v>3727</v>
      </c>
      <c r="I543" s="118" t="s">
        <v>3740</v>
      </c>
      <c r="J543" s="121" t="str">
        <f t="array" ref="J543">IF(
UPPER(TRIM(CLEAN($O543)))="ENTREGADO",
IFERROR(
INDEX(REPORTE_DROPI!T:T,
MATCH($T543, REPORTE_DROPI!B:B, 0)
),
""
),
""
)
</f>
        <v/>
      </c>
      <c r="K543" s="118" t="str">
        <f t="array" ref="K543">IFERROR(
INDEX(REPORTE_DROPI!S:S,
MATCH($T543, REPORTE_DROPI!B:B, 0)
),
""
)
</f>
        <v/>
      </c>
      <c r="L543" s="118" t="str">
        <f>IF(
  O543&lt;&gt;"DEVOLUCION",
  "",
  IF(
    T543="",
    "",
    SUMIF(DEVOLUCION!F:F, T543, DEVOLUCION!D:D)
  )
)
</f>
        <v/>
      </c>
      <c r="M543" s="118" t="s">
        <v>3870</v>
      </c>
      <c r="N543" s="130" t="s">
        <v>4792</v>
      </c>
      <c r="O543" s="118" t="str">
        <f t="array" ref="O543">IFERROR(
VLOOKUP(
TRIM(CLEAN(
INDEX(REPORTE_DROPI!K:K,
MATCH(T543, REPORTE_DROPI!B:B, 0)
))),
{
TRIM(CLEAN(MAPA_ESTADOS!A:A)) ,
MAPA_ESTADOS!B:B
},
2,
FALSE
),
"REVISAR"
)
</f>
        <v>CANCELADO</v>
      </c>
      <c r="P543" s="118"/>
      <c r="Q543" s="122">
        <f t="shared" si="1"/>
        <v>0</v>
      </c>
      <c r="R543" s="118"/>
      <c r="S543" s="118"/>
      <c r="T543" s="118">
        <f t="array" ref="T543">IFERROR(
INDEX(REPORTE_DROPI!B:B,
MATCH(
CLEAN(TRIM(C543)),
CLEAN(TRIM(REPORTE_DROPI!E:E)),
0
)
),
""
)
</f>
        <v>4149043</v>
      </c>
      <c r="U543" s="118">
        <v>6.415191506988E12</v>
      </c>
      <c r="V543" s="78"/>
      <c r="W543" s="78"/>
      <c r="X543" s="78"/>
      <c r="Y543" s="78"/>
      <c r="Z543" s="78"/>
    </row>
    <row r="544" ht="22.5" customHeight="1">
      <c r="A544" s="118">
        <v>543.0</v>
      </c>
      <c r="B544" s="119">
        <v>46036.0</v>
      </c>
      <c r="C544" s="126" t="s">
        <v>4793</v>
      </c>
      <c r="D544" s="118" t="str">
        <f>IFERROR(__xludf.DUMMYFUNCTION("IFERROR(
  INDEX(
    FILTER(
      'NOMBRE DE PRODUCTOS'!B:B,
      REGEXMATCH(
        UPPER(
          INDEX(
            REPORTE_DROPI!AC:AC,
            MATCH(T544, REPORTE_DROPI!B:B, 0)
          )
        ),
        UPPER('NOMBRE DE PRODUCTOS'!A:A)"&amp;"
      )
    ),
    1
  ),
  ""REVISAR""
)
"),"FilmPro®")</f>
        <v>FilmPro®</v>
      </c>
      <c r="E544" s="120" t="str">
        <f t="array" ref="E544">IF(
UPPER(TRIM(CLEAN($O544)))="ENTREGADO",
IFERROR(
INDEX(REPORTE_DROPI!Y:Y,
MATCH($T544, REPORTE_DROPI!B:B, 0)
),
""
),
""
)
</f>
        <v/>
      </c>
      <c r="F544" s="121">
        <v>2.0</v>
      </c>
      <c r="G544" s="122" t="str">
        <f t="array" ref="G544">IF(
UPPER(TRIM(CLEAN($O544)))="ENTREGADO",
IFERROR(
INDEX(REPORTE_DROPI!R:R,
MATCH($T544, REPORTE_DROPI!B:B, 0)
),
""
),
""
)
</f>
        <v/>
      </c>
      <c r="H544" s="118" t="s">
        <v>3727</v>
      </c>
      <c r="I544" s="118" t="s">
        <v>3735</v>
      </c>
      <c r="J544" s="121" t="str">
        <f t="array" ref="J544">IF(
UPPER(TRIM(CLEAN($O544)))="ENTREGADO",
IFERROR(
INDEX(REPORTE_DROPI!T:T,
MATCH($T544, REPORTE_DROPI!B:B, 0)
),
""
),
""
)
</f>
        <v/>
      </c>
      <c r="K544" s="118" t="str">
        <f t="array" ref="K544">IFERROR(
INDEX(REPORTE_DROPI!S:S,
MATCH($T544, REPORTE_DROPI!B:B, 0)
),
""
)
</f>
        <v/>
      </c>
      <c r="L544" s="118">
        <f>IF(
  O544&lt;&gt;"DEVOLUCION",
  "",
  IF(
    T544="",
    "",
    SUMIF(DEVOLUCION!F:F, T544, DEVOLUCION!D:D)
  )
)
</f>
        <v>5.09</v>
      </c>
      <c r="M544" s="118" t="s">
        <v>3870</v>
      </c>
      <c r="N544" s="130" t="s">
        <v>4794</v>
      </c>
      <c r="O544" s="118" t="str">
        <f t="array" ref="O544">IFERROR(
VLOOKUP(
TRIM(CLEAN(
INDEX(REPORTE_DROPI!K:K,
MATCH(T544, REPORTE_DROPI!B:B, 0)
))),
{
TRIM(CLEAN(MAPA_ESTADOS!A:A)) ,
MAPA_ESTADOS!B:B
},
2,
FALSE
),
"REVISAR"
)
</f>
        <v>DEVOLUCION</v>
      </c>
      <c r="P544" s="118" t="s">
        <v>3655</v>
      </c>
      <c r="Q544" s="122">
        <f t="shared" si="1"/>
        <v>0</v>
      </c>
      <c r="R544" s="118"/>
      <c r="S544" s="118"/>
      <c r="T544" s="118">
        <f t="array" ref="T544">IFERROR(
INDEX(REPORTE_DROPI!B:B,
MATCH(
CLEAN(TRIM(C544)),
CLEAN(TRIM(REPORTE_DROPI!E:E)),
0
)
),
""
)
</f>
        <v>4149269</v>
      </c>
      <c r="U544" s="118">
        <v>6.415230173228E12</v>
      </c>
      <c r="V544" s="78"/>
      <c r="W544" s="78"/>
      <c r="X544" s="78"/>
      <c r="Y544" s="78"/>
      <c r="Z544" s="78"/>
    </row>
    <row r="545" ht="22.5" customHeight="1">
      <c r="A545" s="118">
        <v>544.0</v>
      </c>
      <c r="B545" s="119">
        <v>46036.0</v>
      </c>
      <c r="C545" s="118" t="s">
        <v>4795</v>
      </c>
      <c r="D545" s="118" t="str">
        <f>IFERROR(__xludf.DUMMYFUNCTION("IFERROR(
  INDEX(
    FILTER(
      'NOMBRE DE PRODUCTOS'!B:B,
      REGEXMATCH(
        UPPER(
          INDEX(
            REPORTE_DROPI!AC:AC,
            MATCH(T545, REPORTE_DROPI!B:B, 0)
          )
        ),
        UPPER('NOMBRE DE PRODUCTOS'!A:A)"&amp;"
      )
    ),
    1
  ),
  ""REVISAR""
)
"),"FilmPro®")</f>
        <v>FilmPro®</v>
      </c>
      <c r="E545" s="120" t="str">
        <f t="array" ref="E545">IF(
UPPER(TRIM(CLEAN($O545)))="ENTREGADO",
IFERROR(
INDEX(REPORTE_DROPI!Y:Y,
MATCH($T545, REPORTE_DROPI!B:B, 0)
),
""
),
""
)
</f>
        <v/>
      </c>
      <c r="F545" s="121">
        <v>2.0</v>
      </c>
      <c r="G545" s="122" t="str">
        <f t="array" ref="G545">IF(
UPPER(TRIM(CLEAN($O545)))="ENTREGADO",
IFERROR(
INDEX(REPORTE_DROPI!R:R,
MATCH($T545, REPORTE_DROPI!B:B, 0)
),
""
),
""
)
</f>
        <v/>
      </c>
      <c r="H545" s="118" t="s">
        <v>3727</v>
      </c>
      <c r="I545" s="118" t="s">
        <v>3728</v>
      </c>
      <c r="J545" s="121" t="str">
        <f t="array" ref="J545">IF(
UPPER(TRIM(CLEAN($O545)))="ENTREGADO",
IFERROR(
INDEX(REPORTE_DROPI!T:T,
MATCH($T545, REPORTE_DROPI!B:B, 0)
),
""
),
""
)
</f>
        <v/>
      </c>
      <c r="K545" s="118" t="str">
        <f t="array" ref="K545">IFERROR(
INDEX(REPORTE_DROPI!S:S,
MATCH($T545, REPORTE_DROPI!B:B, 0)
),
""
)
</f>
        <v/>
      </c>
      <c r="L545" s="118" t="str">
        <f>IF(
  O545&lt;&gt;"DEVOLUCION",
  "",
  IF(
    T545="",
    "",
    SUMIF(DEVOLUCION!F:F, T545, DEVOLUCION!D:D)
  )
)
</f>
        <v/>
      </c>
      <c r="M545" s="118" t="s">
        <v>3870</v>
      </c>
      <c r="N545" s="130" t="s">
        <v>4796</v>
      </c>
      <c r="O545" s="118" t="str">
        <f t="array" ref="O545">IFERROR(
VLOOKUP(
TRIM(CLEAN(
INDEX(REPORTE_DROPI!K:K,
MATCH(T545, REPORTE_DROPI!B:B, 0)
))),
{
TRIM(CLEAN(MAPA_ESTADOS!A:A)) ,
MAPA_ESTADOS!B:B
},
2,
FALSE
),
"REVISAR"
)
</f>
        <v>CANCELADO</v>
      </c>
      <c r="P545" s="118" t="s">
        <v>4797</v>
      </c>
      <c r="Q545" s="122">
        <f t="shared" si="1"/>
        <v>0</v>
      </c>
      <c r="R545" s="118"/>
      <c r="S545" s="118"/>
      <c r="T545" s="118">
        <f t="array" ref="T545">IFERROR(
INDEX(REPORTE_DROPI!B:B,
MATCH(
CLEAN(TRIM(C545)),
CLEAN(TRIM(REPORTE_DROPI!E:E)),
0
)
),
""
)
</f>
        <v>4149292</v>
      </c>
      <c r="U545" s="118">
        <v>6.415233613868E12</v>
      </c>
      <c r="V545" s="78"/>
      <c r="W545" s="78"/>
      <c r="X545" s="78"/>
      <c r="Y545" s="78"/>
      <c r="Z545" s="78"/>
    </row>
    <row r="546" ht="22.5" customHeight="1">
      <c r="A546" s="118">
        <v>545.0</v>
      </c>
      <c r="B546" s="119">
        <v>46036.0</v>
      </c>
      <c r="C546" s="126" t="s">
        <v>4798</v>
      </c>
      <c r="D546" s="118" t="str">
        <f>IFERROR(__xludf.DUMMYFUNCTION("IFERROR(
  INDEX(
    FILTER(
      'NOMBRE DE PRODUCTOS'!B:B,
      REGEXMATCH(
        UPPER(
          INDEX(
            REPORTE_DROPI!AC:AC,
            MATCH(T546, REPORTE_DROPI!B:B, 0)
          )
        ),
        UPPER('NOMBRE DE PRODUCTOS'!A:A)"&amp;"
      )
    ),
    1
  ),
  ""REVISAR""
)
"),"FilmPro®")</f>
        <v>FilmPro®</v>
      </c>
      <c r="E546" s="120" t="str">
        <f t="array" ref="E546">IF(
UPPER(TRIM(CLEAN($O546)))="ENTREGADO",
IFERROR(
INDEX(REPORTE_DROPI!Y:Y,
MATCH($T546, REPORTE_DROPI!B:B, 0)
),
""
),
""
)
</f>
        <v/>
      </c>
      <c r="F546" s="121">
        <v>3.0</v>
      </c>
      <c r="G546" s="122" t="str">
        <f t="array" ref="G546">IF(
UPPER(TRIM(CLEAN($O546)))="ENTREGADO",
IFERROR(
INDEX(REPORTE_DROPI!R:R,
MATCH($T546, REPORTE_DROPI!B:B, 0)
),
""
),
""
)
</f>
        <v/>
      </c>
      <c r="H546" s="118" t="s">
        <v>3727</v>
      </c>
      <c r="I546" s="118" t="s">
        <v>3772</v>
      </c>
      <c r="J546" s="121" t="str">
        <f t="array" ref="J546">IF(
UPPER(TRIM(CLEAN($O546)))="ENTREGADO",
IFERROR(
INDEX(REPORTE_DROPI!T:T,
MATCH($T546, REPORTE_DROPI!B:B, 0)
),
""
),
""
)
</f>
        <v/>
      </c>
      <c r="K546" s="118" t="str">
        <f t="array" ref="K546">IFERROR(
INDEX(REPORTE_DROPI!S:S,
MATCH($T546, REPORTE_DROPI!B:B, 0)
),
""
)
</f>
        <v/>
      </c>
      <c r="L546" s="118">
        <f>IF(
  O546&lt;&gt;"DEVOLUCION",
  "",
  IF(
    T546="",
    "",
    SUMIF(DEVOLUCION!F:F, T546, DEVOLUCION!D:D)
  )
)
</f>
        <v>5.12</v>
      </c>
      <c r="M546" s="118" t="s">
        <v>3870</v>
      </c>
      <c r="N546" s="130" t="s">
        <v>4799</v>
      </c>
      <c r="O546" s="118" t="str">
        <f t="array" ref="O546">IFERROR(
VLOOKUP(
TRIM(CLEAN(
INDEX(REPORTE_DROPI!K:K,
MATCH(T546, REPORTE_DROPI!B:B, 0)
))),
{
TRIM(CLEAN(MAPA_ESTADOS!A:A)) ,
MAPA_ESTADOS!B:B
},
2,
FALSE
),
"REVISAR"
)
</f>
        <v>DEVOLUCION</v>
      </c>
      <c r="P546" s="118" t="s">
        <v>3655</v>
      </c>
      <c r="Q546" s="122">
        <f t="shared" si="1"/>
        <v>0</v>
      </c>
      <c r="R546" s="118"/>
      <c r="S546" s="118"/>
      <c r="T546" s="118">
        <f t="array" ref="T546">IFERROR(
INDEX(REPORTE_DROPI!B:B,
MATCH(
CLEAN(TRIM(C546)),
CLEAN(TRIM(REPORTE_DROPI!E:E)),
0
)
),
""
)
</f>
        <v>4149501</v>
      </c>
      <c r="U546" s="118">
        <v>6.415271690284E12</v>
      </c>
      <c r="V546" s="78"/>
      <c r="W546" s="78"/>
      <c r="X546" s="78"/>
      <c r="Y546" s="78"/>
      <c r="Z546" s="78"/>
    </row>
    <row r="547" ht="22.5" customHeight="1">
      <c r="A547" s="118">
        <v>546.0</v>
      </c>
      <c r="B547" s="119">
        <v>46036.0</v>
      </c>
      <c r="C547" s="118" t="s">
        <v>4800</v>
      </c>
      <c r="D547" s="118" t="str">
        <f>IFERROR(__xludf.DUMMYFUNCTION("IFERROR(
  INDEX(
    FILTER(
      'NOMBRE DE PRODUCTOS'!B:B,
      REGEXMATCH(
        UPPER(
          INDEX(
            REPORTE_DROPI!AC:AC,
            MATCH(T547, REPORTE_DROPI!B:B, 0)
          )
        ),
        UPPER('NOMBRE DE PRODUCTOS'!A:A)"&amp;"
      )
    ),
    1
  ),
  ""REVISAR""
)
"),"FilmPro®")</f>
        <v>FilmPro®</v>
      </c>
      <c r="E547" s="120">
        <f t="array" ref="E547">IF(
UPPER(TRIM(CLEAN($O547)))="ENTREGADO",
IFERROR(
INDEX(REPORTE_DROPI!Y:Y,
MATCH($T547, REPORTE_DROPI!B:B, 0)
),
""
),
""
)
</f>
        <v>4.7</v>
      </c>
      <c r="F547" s="121">
        <v>2.0</v>
      </c>
      <c r="G547" s="122">
        <f t="array" ref="G547">IF(
UPPER(TRIM(CLEAN($O547)))="ENTREGADO",
IFERROR(
INDEX(REPORTE_DROPI!R:R,
MATCH($T547, REPORTE_DROPI!B:B, 0)
),
""
),
""
)
</f>
        <v>25</v>
      </c>
      <c r="H547" s="118" t="s">
        <v>3727</v>
      </c>
      <c r="I547" s="118" t="s">
        <v>3784</v>
      </c>
      <c r="J547" s="121">
        <f t="array" ref="J547">IF(
UPPER(TRIM(CLEAN($O547)))="ENTREGADO",
IFERROR(
INDEX(REPORTE_DROPI!T:T,
MATCH($T547, REPORTE_DROPI!B:B, 0)
),
""
),
""
)
</f>
        <v>5.96</v>
      </c>
      <c r="K547" s="118">
        <f t="array" ref="K547">IFERROR(
INDEX(REPORTE_DROPI!S:S,
MATCH($T547, REPORTE_DROPI!B:B, 0)
),
""
)
</f>
        <v>14.34</v>
      </c>
      <c r="L547" s="118" t="str">
        <f>IF(
  O547&lt;&gt;"DEVOLUCION",
  "",
  IF(
    T547="",
    "",
    SUMIF(DEVOLUCION!F:F, T547, DEVOLUCION!D:D)
  )
)
</f>
        <v/>
      </c>
      <c r="M547" s="118" t="s">
        <v>3870</v>
      </c>
      <c r="N547" s="130" t="s">
        <v>4801</v>
      </c>
      <c r="O547" s="118" t="str">
        <f t="array" ref="O547">IFERROR(
VLOOKUP(
TRIM(CLEAN(
INDEX(REPORTE_DROPI!K:K,
MATCH(T547, REPORTE_DROPI!B:B, 0)
))),
{
TRIM(CLEAN(MAPA_ESTADOS!A:A)) ,
MAPA_ESTADOS!B:B
},
2,
FALSE
),
"REVISAR"
)
</f>
        <v>ENTREGADO</v>
      </c>
      <c r="P547" s="118"/>
      <c r="Q547" s="122">
        <f t="shared" si="1"/>
        <v>0</v>
      </c>
      <c r="R547" s="118"/>
      <c r="S547" s="118"/>
      <c r="T547" s="118">
        <f t="array" ref="T547">IFERROR(
INDEX(REPORTE_DROPI!B:B,
MATCH(
CLEAN(TRIM(C547)),
CLEAN(TRIM(REPORTE_DROPI!E:E)),
0
)
),
""
)
</f>
        <v>4149560</v>
      </c>
      <c r="U547" s="118">
        <v>6.41528207774E12</v>
      </c>
      <c r="V547" s="78"/>
      <c r="W547" s="78"/>
      <c r="X547" s="78"/>
      <c r="Y547" s="78"/>
      <c r="Z547" s="78"/>
    </row>
    <row r="548" ht="22.5" customHeight="1">
      <c r="A548" s="118">
        <v>547.0</v>
      </c>
      <c r="B548" s="119">
        <v>46036.0</v>
      </c>
      <c r="C548" s="126" t="s">
        <v>4802</v>
      </c>
      <c r="D548" s="118" t="str">
        <f>IFERROR(__xludf.DUMMYFUNCTION("IFERROR(
  INDEX(
    FILTER(
      'NOMBRE DE PRODUCTOS'!B:B,
      REGEXMATCH(
        UPPER(
          INDEX(
            REPORTE_DROPI!AC:AC,
            MATCH(T548, REPORTE_DROPI!B:B, 0)
          )
        ),
        UPPER('NOMBRE DE PRODUCTOS'!A:A)"&amp;"
      )
    ),
    1
  ),
  ""REVISAR""
)
"),"FilmPro®")</f>
        <v>FilmPro®</v>
      </c>
      <c r="E548" s="120" t="str">
        <f t="array" ref="E548">IF(
UPPER(TRIM(CLEAN($O548)))="ENTREGADO",
IFERROR(
INDEX(REPORTE_DROPI!Y:Y,
MATCH($T548, REPORTE_DROPI!B:B, 0)
),
""
),
""
)
</f>
        <v/>
      </c>
      <c r="F548" s="121">
        <v>1.0</v>
      </c>
      <c r="G548" s="122" t="str">
        <f t="array" ref="G548">IF(
UPPER(TRIM(CLEAN($O548)))="ENTREGADO",
IFERROR(
INDEX(REPORTE_DROPI!R:R,
MATCH($T548, REPORTE_DROPI!B:B, 0)
),
""
),
""
)
</f>
        <v/>
      </c>
      <c r="H548" s="118" t="s">
        <v>3727</v>
      </c>
      <c r="I548" s="118" t="s">
        <v>3912</v>
      </c>
      <c r="J548" s="121" t="str">
        <f t="array" ref="J548">IF(
UPPER(TRIM(CLEAN($O548)))="ENTREGADO",
IFERROR(
INDEX(REPORTE_DROPI!T:T,
MATCH($T548, REPORTE_DROPI!B:B, 0)
),
""
),
""
)
</f>
        <v/>
      </c>
      <c r="K548" s="118" t="str">
        <f t="array" ref="K548">IFERROR(
INDEX(REPORTE_DROPI!S:S,
MATCH($T548, REPORTE_DROPI!B:B, 0)
),
""
)
</f>
        <v/>
      </c>
      <c r="L548" s="118">
        <f>IF(
  O548&lt;&gt;"DEVOLUCION",
  "",
  IF(
    T548="",
    "",
    SUMIF(DEVOLUCION!F:F, T548, DEVOLUCION!D:D)
  )
)
</f>
        <v>5.64</v>
      </c>
      <c r="M548" s="118" t="s">
        <v>3870</v>
      </c>
      <c r="N548" s="130" t="s">
        <v>4803</v>
      </c>
      <c r="O548" s="118" t="str">
        <f t="array" ref="O548">IFERROR(
VLOOKUP(
TRIM(CLEAN(
INDEX(REPORTE_DROPI!K:K,
MATCH(T548, REPORTE_DROPI!B:B, 0)
))),
{
TRIM(CLEAN(MAPA_ESTADOS!A:A)) ,
MAPA_ESTADOS!B:B
},
2,
FALSE
),
"REVISAR"
)
</f>
        <v>DEVOLUCION</v>
      </c>
      <c r="P548" s="118" t="s">
        <v>3655</v>
      </c>
      <c r="Q548" s="122">
        <f t="shared" si="1"/>
        <v>0</v>
      </c>
      <c r="R548" s="118"/>
      <c r="S548" s="118"/>
      <c r="T548" s="118">
        <f t="array" ref="T548">IFERROR(
INDEX(REPORTE_DROPI!B:B,
MATCH(
CLEAN(TRIM(C548)),
CLEAN(TRIM(REPORTE_DROPI!E:E)),
0
)
),
""
)
</f>
        <v>4149782</v>
      </c>
      <c r="U548" s="118">
        <v>6.415313764396E12</v>
      </c>
      <c r="V548" s="78"/>
      <c r="W548" s="78"/>
      <c r="X548" s="78"/>
      <c r="Y548" s="78"/>
      <c r="Z548" s="78"/>
    </row>
    <row r="549" ht="22.5" customHeight="1">
      <c r="A549" s="118">
        <v>548.0</v>
      </c>
      <c r="B549" s="119">
        <v>46036.0</v>
      </c>
      <c r="C549" s="118" t="s">
        <v>4804</v>
      </c>
      <c r="D549" s="118" t="str">
        <f>IFERROR(__xludf.DUMMYFUNCTION("IFERROR(
  INDEX(
    FILTER(
      'NOMBRE DE PRODUCTOS'!B:B,
      REGEXMATCH(
        UPPER(
          INDEX(
            REPORTE_DROPI!AC:AC,
            MATCH(T549, REPORTE_DROPI!B:B, 0)
          )
        ),
        UPPER('NOMBRE DE PRODUCTOS'!A:A)"&amp;"
      )
    ),
    1
  ),
  ""REVISAR""
)
"),"Cuchillo Tazaki™")</f>
        <v>Cuchillo Tazaki™</v>
      </c>
      <c r="E549" s="120">
        <f t="array" ref="E549">IF(
UPPER(TRIM(CLEAN($O549)))="ENTREGADO",
IFERROR(
INDEX(REPORTE_DROPI!Y:Y,
MATCH($T549, REPORTE_DROPI!B:B, 0)
),
""
),
""
)
</f>
        <v>5.2</v>
      </c>
      <c r="F549" s="121">
        <v>2.0</v>
      </c>
      <c r="G549" s="122">
        <f t="array" ref="G549">IF(
UPPER(TRIM(CLEAN($O549)))="ENTREGADO",
IFERROR(
INDEX(REPORTE_DROPI!R:R,
MATCH($T549, REPORTE_DROPI!B:B, 0)
),
""
),
""
)
</f>
        <v>22</v>
      </c>
      <c r="H549" s="118" t="s">
        <v>3727</v>
      </c>
      <c r="I549" s="118" t="s">
        <v>3740</v>
      </c>
      <c r="J549" s="121">
        <f t="array" ref="J549">IF(
UPPER(TRIM(CLEAN($O549)))="ENTREGADO",
IFERROR(
INDEX(REPORTE_DROPI!T:T,
MATCH($T549, REPORTE_DROPI!B:B, 0)
),
""
),
""
)
</f>
        <v>5.26</v>
      </c>
      <c r="K549" s="118">
        <f t="array" ref="K549">IFERROR(
INDEX(REPORTE_DROPI!S:S,
MATCH($T549, REPORTE_DROPI!B:B, 0)
),
""
)
</f>
        <v>11.54</v>
      </c>
      <c r="L549" s="118" t="str">
        <f>IF(
  O549&lt;&gt;"DEVOLUCION",
  "",
  IF(
    T549="",
    "",
    SUMIF(DEVOLUCION!F:F, T549, DEVOLUCION!D:D)
  )
)
</f>
        <v/>
      </c>
      <c r="M549" s="118" t="s">
        <v>3870</v>
      </c>
      <c r="N549" s="130" t="s">
        <v>4805</v>
      </c>
      <c r="O549" s="118" t="str">
        <f t="array" ref="O549">IFERROR(
VLOOKUP(
TRIM(CLEAN(
INDEX(REPORTE_DROPI!K:K,
MATCH(T549, REPORTE_DROPI!B:B, 0)
))),
{
TRIM(CLEAN(MAPA_ESTADOS!A:A)) ,
MAPA_ESTADOS!B:B
},
2,
FALSE
),
"REVISAR"
)
</f>
        <v>ENTREGADO</v>
      </c>
      <c r="P549" s="118"/>
      <c r="Q549" s="122">
        <f t="shared" si="1"/>
        <v>0</v>
      </c>
      <c r="R549" s="118"/>
      <c r="S549" s="118"/>
      <c r="T549" s="118">
        <f t="array" ref="T549">IFERROR(
INDEX(REPORTE_DROPI!B:B,
MATCH(
CLEAN(TRIM(C549)),
CLEAN(TRIM(REPORTE_DROPI!E:E)),
0
)
),
""
)
</f>
        <v>4150067</v>
      </c>
      <c r="U549" s="118">
        <v>6.415358197804E12</v>
      </c>
      <c r="V549" s="78"/>
      <c r="W549" s="78"/>
      <c r="X549" s="78"/>
      <c r="Y549" s="78"/>
      <c r="Z549" s="78"/>
    </row>
    <row r="550" ht="22.5" customHeight="1">
      <c r="A550" s="118">
        <v>549.0</v>
      </c>
      <c r="B550" s="119">
        <v>46036.0</v>
      </c>
      <c r="C550" s="118" t="s">
        <v>4806</v>
      </c>
      <c r="D550" s="118" t="str">
        <f>IFERROR(__xludf.DUMMYFUNCTION("IFERROR(
  INDEX(
    FILTER(
      'NOMBRE DE PRODUCTOS'!B:B,
      REGEXMATCH(
        UPPER(
          INDEX(
            REPORTE_DROPI!AC:AC,
            MATCH(T550, REPORTE_DROPI!B:B, 0)
          )
        ),
        UPPER('NOMBRE DE PRODUCTOS'!A:A)"&amp;"
      )
    ),
    1
  ),
  ""REVISAR""
)
"),"Cuchillo Tazaki™")</f>
        <v>Cuchillo Tazaki™</v>
      </c>
      <c r="E550" s="120">
        <f t="array" ref="E550">IF(
UPPER(TRIM(CLEAN($O550)))="ENTREGADO",
IFERROR(
INDEX(REPORTE_DROPI!Y:Y,
MATCH($T550, REPORTE_DROPI!B:B, 0)
),
""
),
""
)
</f>
        <v>5.2</v>
      </c>
      <c r="F550" s="121">
        <v>2.0</v>
      </c>
      <c r="G550" s="122">
        <f t="array" ref="G550">IF(
UPPER(TRIM(CLEAN($O550)))="ENTREGADO",
IFERROR(
INDEX(REPORTE_DROPI!R:R,
MATCH($T550, REPORTE_DROPI!B:B, 0)
),
""
),
""
)
</f>
        <v>22</v>
      </c>
      <c r="H550" s="118" t="s">
        <v>3727</v>
      </c>
      <c r="I550" s="118" t="s">
        <v>3740</v>
      </c>
      <c r="J550" s="121">
        <f t="array" ref="J550">IF(
UPPER(TRIM(CLEAN($O550)))="ENTREGADO",
IFERROR(
INDEX(REPORTE_DROPI!T:T,
MATCH($T550, REPORTE_DROPI!B:B, 0)
),
""
),
""
)
</f>
        <v>5.26</v>
      </c>
      <c r="K550" s="118">
        <f t="array" ref="K550">IFERROR(
INDEX(REPORTE_DROPI!S:S,
MATCH($T550, REPORTE_DROPI!B:B, 0)
),
""
)
</f>
        <v>11.54</v>
      </c>
      <c r="L550" s="118" t="str">
        <f>IF(
  O550&lt;&gt;"DEVOLUCION",
  "",
  IF(
    T550="",
    "",
    SUMIF(DEVOLUCION!F:F, T550, DEVOLUCION!D:D)
  )
)
</f>
        <v/>
      </c>
      <c r="M550" s="118" t="s">
        <v>3870</v>
      </c>
      <c r="N550" s="130" t="s">
        <v>4807</v>
      </c>
      <c r="O550" s="118" t="str">
        <f t="array" ref="O550">IFERROR(
VLOOKUP(
TRIM(CLEAN(
INDEX(REPORTE_DROPI!K:K,
MATCH(T550, REPORTE_DROPI!B:B, 0)
))),
{
TRIM(CLEAN(MAPA_ESTADOS!A:A)) ,
MAPA_ESTADOS!B:B
},
2,
FALSE
),
"REVISAR"
)
</f>
        <v>ENTREGADO</v>
      </c>
      <c r="P550" s="118"/>
      <c r="Q550" s="122">
        <f t="shared" si="1"/>
        <v>0</v>
      </c>
      <c r="R550" s="118"/>
      <c r="S550" s="118"/>
      <c r="T550" s="118">
        <f t="array" ref="T550">IFERROR(
INDEX(REPORTE_DROPI!B:B,
MATCH(
CLEAN(TRIM(C550)),
CLEAN(TRIM(REPORTE_DROPI!E:E)),
0
)
),
""
)
</f>
        <v>4150183</v>
      </c>
      <c r="U550" s="118">
        <v>6.41538218398E12</v>
      </c>
      <c r="V550" s="78"/>
      <c r="W550" s="78"/>
      <c r="X550" s="78"/>
      <c r="Y550" s="78"/>
      <c r="Z550" s="78"/>
    </row>
    <row r="551" ht="22.5" customHeight="1">
      <c r="A551" s="118">
        <v>550.0</v>
      </c>
      <c r="B551" s="119">
        <v>46036.0</v>
      </c>
      <c r="C551" s="118" t="s">
        <v>4808</v>
      </c>
      <c r="D551" s="118" t="str">
        <f>IFERROR(__xludf.DUMMYFUNCTION("IFERROR(
  INDEX(
    FILTER(
      'NOMBRE DE PRODUCTOS'!B:B,
      REGEXMATCH(
        UPPER(
          INDEX(
            REPORTE_DROPI!AC:AC,
            MATCH(T551, REPORTE_DROPI!B:B, 0)
          )
        ),
        UPPER('NOMBRE DE PRODUCTOS'!A:A)"&amp;"
      )
    ),
    1
  ),
  ""REVISAR""
)
"),"Cuchillo Tazaki™")</f>
        <v>Cuchillo Tazaki™</v>
      </c>
      <c r="E551" s="120">
        <f t="array" ref="E551">IF(
UPPER(TRIM(CLEAN($O551)))="ENTREGADO",
IFERROR(
INDEX(REPORTE_DROPI!Y:Y,
MATCH($T551, REPORTE_DROPI!B:B, 0)
),
""
),
""
)
</f>
        <v>5.2</v>
      </c>
      <c r="F551" s="121">
        <v>2.0</v>
      </c>
      <c r="G551" s="122">
        <f t="array" ref="G551">IF(
UPPER(TRIM(CLEAN($O551)))="ENTREGADO",
IFERROR(
INDEX(REPORTE_DROPI!R:R,
MATCH($T551, REPORTE_DROPI!B:B, 0)
),
""
),
""
)
</f>
        <v>22</v>
      </c>
      <c r="H551" s="118" t="s">
        <v>3727</v>
      </c>
      <c r="I551" s="118" t="s">
        <v>3770</v>
      </c>
      <c r="J551" s="121">
        <f t="array" ref="J551">IF(
UPPER(TRIM(CLEAN($O551)))="ENTREGADO",
IFERROR(
INDEX(REPORTE_DROPI!T:T,
MATCH($T551, REPORTE_DROPI!B:B, 0)
),
""
),
""
)
</f>
        <v>5.84</v>
      </c>
      <c r="K551" s="118">
        <f t="array" ref="K551">IFERROR(
INDEX(REPORTE_DROPI!S:S,
MATCH($T551, REPORTE_DROPI!B:B, 0)
),
""
)
</f>
        <v>10.96</v>
      </c>
      <c r="L551" s="118" t="str">
        <f>IF(
  O551&lt;&gt;"DEVOLUCION",
  "",
  IF(
    T551="",
    "",
    SUMIF(DEVOLUCION!F:F, T551, DEVOLUCION!D:D)
  )
)
</f>
        <v/>
      </c>
      <c r="M551" s="118" t="s">
        <v>3870</v>
      </c>
      <c r="N551" s="130" t="s">
        <v>4809</v>
      </c>
      <c r="O551" s="118" t="str">
        <f t="array" ref="O551">IFERROR(
VLOOKUP(
TRIM(CLEAN(
INDEX(REPORTE_DROPI!K:K,
MATCH(T551, REPORTE_DROPI!B:B, 0)
))),
{
TRIM(CLEAN(MAPA_ESTADOS!A:A)) ,
MAPA_ESTADOS!B:B
},
2,
FALSE
),
"REVISAR"
)
</f>
        <v>ENTREGADO</v>
      </c>
      <c r="P551" s="118"/>
      <c r="Q551" s="122">
        <f t="shared" si="1"/>
        <v>0</v>
      </c>
      <c r="R551" s="118"/>
      <c r="S551" s="118"/>
      <c r="T551" s="118">
        <f t="array" ref="T551">IFERROR(
INDEX(REPORTE_DROPI!B:B,
MATCH(
CLEAN(TRIM(C551)),
CLEAN(TRIM(REPORTE_DROPI!E:E)),
0
)
),
""
)
</f>
        <v>4150204</v>
      </c>
      <c r="U551" s="118">
        <v>6.415386673196E12</v>
      </c>
      <c r="V551" s="78"/>
      <c r="W551" s="78"/>
      <c r="X551" s="78"/>
      <c r="Y551" s="78"/>
      <c r="Z551" s="78"/>
    </row>
    <row r="552" ht="22.5" customHeight="1">
      <c r="A552" s="118">
        <v>551.0</v>
      </c>
      <c r="B552" s="119">
        <v>46036.0</v>
      </c>
      <c r="C552" s="118" t="s">
        <v>4810</v>
      </c>
      <c r="D552" s="118" t="str">
        <f>IFERROR(__xludf.DUMMYFUNCTION("IFERROR(
  INDEX(
    FILTER(
      'NOMBRE DE PRODUCTOS'!B:B,
      REGEXMATCH(
        UPPER(
          INDEX(
            REPORTE_DROPI!AC:AC,
            MATCH(T552, REPORTE_DROPI!B:B, 0)
          )
        ),
        UPPER('NOMBRE DE PRODUCTOS'!A:A)"&amp;"
      )
    ),
    1
  ),
  ""REVISAR""
)
"),"Cuchillo Tazaki™")</f>
        <v>Cuchillo Tazaki™</v>
      </c>
      <c r="E552" s="120">
        <f t="array" ref="E552">IF(
UPPER(TRIM(CLEAN($O552)))="ENTREGADO",
IFERROR(
INDEX(REPORTE_DROPI!Y:Y,
MATCH($T552, REPORTE_DROPI!B:B, 0)
),
""
),
""
)
</f>
        <v>7.8</v>
      </c>
      <c r="F552" s="121">
        <v>3.0</v>
      </c>
      <c r="G552" s="122">
        <f t="array" ref="G552">IF(
UPPER(TRIM(CLEAN($O552)))="ENTREGADO",
IFERROR(
INDEX(REPORTE_DROPI!R:R,
MATCH($T552, REPORTE_DROPI!B:B, 0)
),
""
),
""
)
</f>
        <v>27</v>
      </c>
      <c r="H552" s="118" t="s">
        <v>3727</v>
      </c>
      <c r="I552" s="118" t="s">
        <v>3772</v>
      </c>
      <c r="J552" s="121">
        <f t="array" ref="J552">IF(
UPPER(TRIM(CLEAN($O552)))="ENTREGADO",
IFERROR(
INDEX(REPORTE_DROPI!T:T,
MATCH($T552, REPORTE_DROPI!B:B, 0)
),
""
),
""
)
</f>
        <v>6.03</v>
      </c>
      <c r="K552" s="118">
        <f t="array" ref="K552">IFERROR(
INDEX(REPORTE_DROPI!S:S,
MATCH($T552, REPORTE_DROPI!B:B, 0)
),
""
)
</f>
        <v>13.17</v>
      </c>
      <c r="L552" s="118" t="str">
        <f>IF(
  O552&lt;&gt;"DEVOLUCION",
  "",
  IF(
    T552="",
    "",
    SUMIF(DEVOLUCION!F:F, T552, DEVOLUCION!D:D)
  )
)
</f>
        <v/>
      </c>
      <c r="M552" s="118" t="s">
        <v>3870</v>
      </c>
      <c r="N552" s="130" t="s">
        <v>4811</v>
      </c>
      <c r="O552" s="118" t="str">
        <f t="array" ref="O552">IFERROR(
VLOOKUP(
TRIM(CLEAN(
INDEX(REPORTE_DROPI!K:K,
MATCH(T552, REPORTE_DROPI!B:B, 0)
))),
{
TRIM(CLEAN(MAPA_ESTADOS!A:A)) ,
MAPA_ESTADOS!B:B
},
2,
FALSE
),
"REVISAR"
)
</f>
        <v>ENTREGADO</v>
      </c>
      <c r="P552" s="118"/>
      <c r="Q552" s="122">
        <f t="shared" si="1"/>
        <v>0</v>
      </c>
      <c r="R552" s="118"/>
      <c r="S552" s="118"/>
      <c r="T552" s="118">
        <f t="array" ref="T552">IFERROR(
INDEX(REPORTE_DROPI!B:B,
MATCH(
CLEAN(TRIM(C552)),
CLEAN(TRIM(REPORTE_DROPI!E:E)),
0
)
),
""
)
</f>
        <v>4150287</v>
      </c>
      <c r="U552" s="118">
        <v>6.415397322796E12</v>
      </c>
      <c r="V552" s="78"/>
      <c r="W552" s="78"/>
      <c r="X552" s="78"/>
      <c r="Y552" s="78"/>
      <c r="Z552" s="78"/>
    </row>
    <row r="553" ht="22.5" customHeight="1">
      <c r="A553" s="118">
        <v>552.0</v>
      </c>
      <c r="B553" s="119">
        <v>46036.0</v>
      </c>
      <c r="C553" s="118" t="s">
        <v>4812</v>
      </c>
      <c r="D553" s="118" t="str">
        <f>IFERROR(__xludf.DUMMYFUNCTION("IFERROR(
  INDEX(
    FILTER(
      'NOMBRE DE PRODUCTOS'!B:B,
      REGEXMATCH(
        UPPER(
          INDEX(
            REPORTE_DROPI!AC:AC,
            MATCH(T553, REPORTE_DROPI!B:B, 0)
          )
        ),
        UPPER('NOMBRE DE PRODUCTOS'!A:A)"&amp;"
      )
    ),
    1
  ),
  ""REVISAR""
)
"),"Cuchillo Tazaki™")</f>
        <v>Cuchillo Tazaki™</v>
      </c>
      <c r="E553" s="120" t="str">
        <f t="array" ref="E553">IF(
UPPER(TRIM(CLEAN($O553)))="ENTREGADO",
IFERROR(
INDEX(REPORTE_DROPI!Y:Y,
MATCH($T553, REPORTE_DROPI!B:B, 0)
),
""
),
""
)
</f>
        <v/>
      </c>
      <c r="F553" s="121">
        <v>2.0</v>
      </c>
      <c r="G553" s="122" t="str">
        <f t="array" ref="G553">IF(
UPPER(TRIM(CLEAN($O553)))="ENTREGADO",
IFERROR(
INDEX(REPORTE_DROPI!R:R,
MATCH($T553, REPORTE_DROPI!B:B, 0)
),
""
),
""
)
</f>
        <v/>
      </c>
      <c r="H553" s="118" t="s">
        <v>3727</v>
      </c>
      <c r="I553" s="118" t="s">
        <v>3731</v>
      </c>
      <c r="J553" s="121" t="str">
        <f t="array" ref="J553">IF(
UPPER(TRIM(CLEAN($O553)))="ENTREGADO",
IFERROR(
INDEX(REPORTE_DROPI!T:T,
MATCH($T553, REPORTE_DROPI!B:B, 0)
),
""
),
""
)
</f>
        <v/>
      </c>
      <c r="K553" s="118" t="str">
        <f t="array" ref="K553">IFERROR(
INDEX(REPORTE_DROPI!S:S,
MATCH($T553, REPORTE_DROPI!B:B, 0)
),
""
)
</f>
        <v/>
      </c>
      <c r="L553" s="118">
        <f>IF(
  O553&lt;&gt;"DEVOLUCION",
  "",
  IF(
    T553="",
    "",
    SUMIF(DEVOLUCION!F:F, T553, DEVOLUCION!D:D)
  )
)
</f>
        <v>5.07</v>
      </c>
      <c r="M553" s="118" t="s">
        <v>3870</v>
      </c>
      <c r="N553" s="130" t="s">
        <v>4813</v>
      </c>
      <c r="O553" s="118" t="str">
        <f t="array" ref="O553">IFERROR(
VLOOKUP(
TRIM(CLEAN(
INDEX(REPORTE_DROPI!K:K,
MATCH(T553, REPORTE_DROPI!B:B, 0)
))),
{
TRIM(CLEAN(MAPA_ESTADOS!A:A)) ,
MAPA_ESTADOS!B:B
},
2,
FALSE
),
"REVISAR"
)
</f>
        <v>DEVOLUCION</v>
      </c>
      <c r="P553" s="118"/>
      <c r="Q553" s="122">
        <f t="shared" si="1"/>
        <v>0</v>
      </c>
      <c r="R553" s="118"/>
      <c r="S553" s="118"/>
      <c r="T553" s="118">
        <f t="array" ref="T553">IFERROR(
INDEX(REPORTE_DROPI!B:B,
MATCH(
CLEAN(TRIM(C553)),
CLEAN(TRIM(REPORTE_DROPI!E:E)),
0
)
),
""
)
</f>
        <v>4150323</v>
      </c>
      <c r="U553" s="118">
        <v>6.415400239148E12</v>
      </c>
      <c r="V553" s="78"/>
      <c r="W553" s="78"/>
      <c r="X553" s="78"/>
      <c r="Y553" s="78"/>
      <c r="Z553" s="78"/>
    </row>
    <row r="554" ht="22.5" customHeight="1">
      <c r="A554" s="118">
        <v>553.0</v>
      </c>
      <c r="B554" s="119">
        <v>46036.0</v>
      </c>
      <c r="C554" s="118" t="s">
        <v>4814</v>
      </c>
      <c r="D554" s="118" t="str">
        <f>IFERROR(__xludf.DUMMYFUNCTION("IFERROR(
  INDEX(
    FILTER(
      'NOMBRE DE PRODUCTOS'!B:B,
      REGEXMATCH(
        UPPER(
          INDEX(
            REPORTE_DROPI!AC:AC,
            MATCH(T554, REPORTE_DROPI!B:B, 0)
          )
        ),
        UPPER('NOMBRE DE PRODUCTOS'!A:A)"&amp;"
      )
    ),
    1
  ),
  ""REVISAR""
)
"),"Cuchillo Tazaki™")</f>
        <v>Cuchillo Tazaki™</v>
      </c>
      <c r="E554" s="120">
        <f t="array" ref="E554">IF(
UPPER(TRIM(CLEAN($O554)))="ENTREGADO",
IFERROR(
INDEX(REPORTE_DROPI!Y:Y,
MATCH($T554, REPORTE_DROPI!B:B, 0)
),
""
),
""
)
</f>
        <v>5.2</v>
      </c>
      <c r="F554" s="121">
        <v>2.0</v>
      </c>
      <c r="G554" s="122">
        <f t="array" ref="G554">IF(
UPPER(TRIM(CLEAN($O554)))="ENTREGADO",
IFERROR(
INDEX(REPORTE_DROPI!R:R,
MATCH($T554, REPORTE_DROPI!B:B, 0)
),
""
),
""
)
</f>
        <v>22</v>
      </c>
      <c r="H554" s="118" t="s">
        <v>3727</v>
      </c>
      <c r="I554" s="118" t="s">
        <v>3804</v>
      </c>
      <c r="J554" s="121">
        <f t="array" ref="J554">IF(
UPPER(TRIM(CLEAN($O554)))="ENTREGADO",
IFERROR(
INDEX(REPORTE_DROPI!T:T,
MATCH($T554, REPORTE_DROPI!B:B, 0)
),
""
),
""
)
</f>
        <v>5.84</v>
      </c>
      <c r="K554" s="118">
        <f t="array" ref="K554">IFERROR(
INDEX(REPORTE_DROPI!S:S,
MATCH($T554, REPORTE_DROPI!B:B, 0)
),
""
)
</f>
        <v>10.96</v>
      </c>
      <c r="L554" s="118" t="str">
        <f>IF(
  O554&lt;&gt;"DEVOLUCION",
  "",
  IF(
    T554="",
    "",
    SUMIF(DEVOLUCION!F:F, T554, DEVOLUCION!D:D)
  )
)
</f>
        <v/>
      </c>
      <c r="M554" s="118" t="s">
        <v>3870</v>
      </c>
      <c r="N554" s="130" t="s">
        <v>4815</v>
      </c>
      <c r="O554" s="118" t="str">
        <f t="array" ref="O554">IFERROR(
VLOOKUP(
TRIM(CLEAN(
INDEX(REPORTE_DROPI!K:K,
MATCH(T554, REPORTE_DROPI!B:B, 0)
))),
{
TRIM(CLEAN(MAPA_ESTADOS!A:A)) ,
MAPA_ESTADOS!B:B
},
2,
FALSE
),
"REVISAR"
)
</f>
        <v>ENTREGADO</v>
      </c>
      <c r="P554" s="118"/>
      <c r="Q554" s="122">
        <f t="shared" si="1"/>
        <v>0</v>
      </c>
      <c r="R554" s="118"/>
      <c r="S554" s="118"/>
      <c r="T554" s="118">
        <f t="array" ref="T554">IFERROR(
INDEX(REPORTE_DROPI!B:B,
MATCH(
CLEAN(TRIM(C554)),
CLEAN(TRIM(REPORTE_DROPI!E:E)),
0
)
),
""
)
</f>
        <v>4150368</v>
      </c>
      <c r="U554" s="118">
        <v>6.415406333996E12</v>
      </c>
      <c r="V554" s="78"/>
      <c r="W554" s="78"/>
      <c r="X554" s="78"/>
      <c r="Y554" s="78"/>
      <c r="Z554" s="78"/>
    </row>
    <row r="555" ht="22.5" customHeight="1">
      <c r="A555" s="118">
        <v>554.0</v>
      </c>
      <c r="B555" s="119">
        <v>46036.0</v>
      </c>
      <c r="C555" s="118" t="s">
        <v>4816</v>
      </c>
      <c r="D555" s="118" t="str">
        <f>IFERROR(__xludf.DUMMYFUNCTION("IFERROR(
  INDEX(
    FILTER(
      'NOMBRE DE PRODUCTOS'!B:B,
      REGEXMATCH(
        UPPER(
          INDEX(
            REPORTE_DROPI!AC:AC,
            MATCH(T555, REPORTE_DROPI!B:B, 0)
          )
        ),
        UPPER('NOMBRE DE PRODUCTOS'!A:A)"&amp;"
      )
    ),
    1
  ),
  ""REVISAR""
)
"),"Cuchillo Tazaki™")</f>
        <v>Cuchillo Tazaki™</v>
      </c>
      <c r="E555" s="120" t="str">
        <f t="array" ref="E555">IF(
UPPER(TRIM(CLEAN($O555)))="ENTREGADO",
IFERROR(
INDEX(REPORTE_DROPI!Y:Y,
MATCH($T555, REPORTE_DROPI!B:B, 0)
),
""
),
""
)
</f>
        <v/>
      </c>
      <c r="F555" s="121">
        <v>2.0</v>
      </c>
      <c r="G555" s="122" t="str">
        <f t="array" ref="G555">IF(
UPPER(TRIM(CLEAN($O555)))="ENTREGADO",
IFERROR(
INDEX(REPORTE_DROPI!R:R,
MATCH($T555, REPORTE_DROPI!B:B, 0)
),
""
),
""
)
</f>
        <v/>
      </c>
      <c r="H555" s="118" t="s">
        <v>3727</v>
      </c>
      <c r="I555" s="118" t="s">
        <v>3742</v>
      </c>
      <c r="J555" s="121" t="str">
        <f t="array" ref="J555">IF(
UPPER(TRIM(CLEAN($O555)))="ENTREGADO",
IFERROR(
INDEX(REPORTE_DROPI!T:T,
MATCH($T555, REPORTE_DROPI!B:B, 0)
),
""
),
""
)
</f>
        <v/>
      </c>
      <c r="K555" s="118" t="str">
        <f t="array" ref="K555">IFERROR(
INDEX(REPORTE_DROPI!S:S,
MATCH($T555, REPORTE_DROPI!B:B, 0)
),
""
)
</f>
        <v/>
      </c>
      <c r="L555" s="118" t="str">
        <f>IF(
  O555&lt;&gt;"DEVOLUCION",
  "",
  IF(
    T555="",
    "",
    SUMIF(DEVOLUCION!F:F, T555, DEVOLUCION!D:D)
  )
)
</f>
        <v/>
      </c>
      <c r="M555" s="118" t="s">
        <v>3870</v>
      </c>
      <c r="N555" s="130" t="s">
        <v>4817</v>
      </c>
      <c r="O555" s="118" t="str">
        <f t="array" ref="O555">IFERROR(
VLOOKUP(
TRIM(CLEAN(
INDEX(REPORTE_DROPI!K:K,
MATCH(T555, REPORTE_DROPI!B:B, 0)
))),
{
TRIM(CLEAN(MAPA_ESTADOS!A:A)) ,
MAPA_ESTADOS!B:B
},
2,
FALSE
),
"REVISAR"
)
</f>
        <v>CANCELADO</v>
      </c>
      <c r="P555" s="118" t="s">
        <v>4818</v>
      </c>
      <c r="Q555" s="122">
        <f t="shared" si="1"/>
        <v>0</v>
      </c>
      <c r="R555" s="118"/>
      <c r="S555" s="118"/>
      <c r="T555" s="118">
        <f t="array" ref="T555">IFERROR(
INDEX(REPORTE_DROPI!B:B,
MATCH(
CLEAN(TRIM(C555)),
CLEAN(TRIM(REPORTE_DROPI!E:E)),
0
)
),
""
)
</f>
        <v>4150396</v>
      </c>
      <c r="U555" s="118">
        <v>6.415410102316E12</v>
      </c>
      <c r="V555" s="78"/>
      <c r="W555" s="78"/>
      <c r="X555" s="78"/>
      <c r="Y555" s="78"/>
      <c r="Z555" s="78"/>
    </row>
    <row r="556" ht="22.5" customHeight="1">
      <c r="A556" s="118">
        <v>555.0</v>
      </c>
      <c r="B556" s="119">
        <v>46036.0</v>
      </c>
      <c r="C556" s="118" t="s">
        <v>4819</v>
      </c>
      <c r="D556" s="118" t="str">
        <f>IFERROR(__xludf.DUMMYFUNCTION("IFERROR(
  INDEX(
    FILTER(
      'NOMBRE DE PRODUCTOS'!B:B,
      REGEXMATCH(
        UPPER(
          INDEX(
            REPORTE_DROPI!AC:AC,
            MATCH(T556, REPORTE_DROPI!B:B, 0)
          )
        ),
        UPPER('NOMBRE DE PRODUCTOS'!A:A)"&amp;"
      )
    ),
    1
  ),
  ""REVISAR""
)
"),"Cuchillo Tazaki™")</f>
        <v>Cuchillo Tazaki™</v>
      </c>
      <c r="E556" s="120">
        <f t="array" ref="E556">IF(
UPPER(TRIM(CLEAN($O556)))="ENTREGADO",
IFERROR(
INDEX(REPORTE_DROPI!Y:Y,
MATCH($T556, REPORTE_DROPI!B:B, 0)
),
""
),
""
)
</f>
        <v>5.2</v>
      </c>
      <c r="F556" s="121">
        <v>2.0</v>
      </c>
      <c r="G556" s="122">
        <f t="array" ref="G556">IF(
UPPER(TRIM(CLEAN($O556)))="ENTREGADO",
IFERROR(
INDEX(REPORTE_DROPI!R:R,
MATCH($T556, REPORTE_DROPI!B:B, 0)
),
""
),
""
)
</f>
        <v>22</v>
      </c>
      <c r="H556" s="118" t="s">
        <v>3727</v>
      </c>
      <c r="I556" s="118" t="s">
        <v>3740</v>
      </c>
      <c r="J556" s="121">
        <f t="array" ref="J556">IF(
UPPER(TRIM(CLEAN($O556)))="ENTREGADO",
IFERROR(
INDEX(REPORTE_DROPI!T:T,
MATCH($T556, REPORTE_DROPI!B:B, 0)
),
""
),
""
)
</f>
        <v>4.23</v>
      </c>
      <c r="K556" s="118">
        <f t="array" ref="K556">IFERROR(
INDEX(REPORTE_DROPI!S:S,
MATCH($T556, REPORTE_DROPI!B:B, 0)
),
""
)
</f>
        <v>12.57</v>
      </c>
      <c r="L556" s="118" t="str">
        <f>IF(
  O556&lt;&gt;"DEVOLUCION",
  "",
  IF(
    T556="",
    "",
    SUMIF(DEVOLUCION!F:F, T556, DEVOLUCION!D:D)
  )
)
</f>
        <v/>
      </c>
      <c r="M556" s="118" t="s">
        <v>3870</v>
      </c>
      <c r="N556" s="130" t="s">
        <v>4820</v>
      </c>
      <c r="O556" s="118" t="str">
        <f t="array" ref="O556">IFERROR(
VLOOKUP(
TRIM(CLEAN(
INDEX(REPORTE_DROPI!K:K,
MATCH(T556, REPORTE_DROPI!B:B, 0)
))),
{
TRIM(CLEAN(MAPA_ESTADOS!A:A)) ,
MAPA_ESTADOS!B:B
},
2,
FALSE
),
"REVISAR"
)
</f>
        <v>ENTREGADO</v>
      </c>
      <c r="P556" s="118"/>
      <c r="Q556" s="122">
        <f t="shared" si="1"/>
        <v>0</v>
      </c>
      <c r="R556" s="118"/>
      <c r="S556" s="118"/>
      <c r="T556" s="118">
        <f t="array" ref="T556">IFERROR(
INDEX(REPORTE_DROPI!B:B,
MATCH(
CLEAN(TRIM(C556)),
CLEAN(TRIM(REPORTE_DROPI!E:E)),
0
)
),
""
)
</f>
        <v>4150611</v>
      </c>
      <c r="U556" s="118">
        <v>6.415442837548E12</v>
      </c>
      <c r="V556" s="78"/>
      <c r="W556" s="78"/>
      <c r="X556" s="78"/>
      <c r="Y556" s="78"/>
      <c r="Z556" s="78"/>
    </row>
    <row r="557" ht="22.5" customHeight="1">
      <c r="A557" s="118">
        <v>556.0</v>
      </c>
      <c r="B557" s="119">
        <v>46036.0</v>
      </c>
      <c r="C557" s="118" t="s">
        <v>4821</v>
      </c>
      <c r="D557" s="118" t="str">
        <f>IFERROR(__xludf.DUMMYFUNCTION("IFERROR(
  INDEX(
    FILTER(
      'NOMBRE DE PRODUCTOS'!B:B,
      REGEXMATCH(
        UPPER(
          INDEX(
            REPORTE_DROPI!AC:AC,
            MATCH(T557, REPORTE_DROPI!B:B, 0)
          )
        ),
        UPPER('NOMBRE DE PRODUCTOS'!A:A)"&amp;"
      )
    ),
    1
  ),
  ""REVISAR""
)
"),"Cuchillo Tazaki™")</f>
        <v>Cuchillo Tazaki™</v>
      </c>
      <c r="E557" s="120">
        <f t="array" ref="E557">IF(
UPPER(TRIM(CLEAN($O557)))="ENTREGADO",
IFERROR(
INDEX(REPORTE_DROPI!Y:Y,
MATCH($T557, REPORTE_DROPI!B:B, 0)
),
""
),
""
)
</f>
        <v>5.2</v>
      </c>
      <c r="F557" s="121">
        <v>2.0</v>
      </c>
      <c r="G557" s="122">
        <f t="array" ref="G557">IF(
UPPER(TRIM(CLEAN($O557)))="ENTREGADO",
IFERROR(
INDEX(REPORTE_DROPI!R:R,
MATCH($T557, REPORTE_DROPI!B:B, 0)
),
""
),
""
)
</f>
        <v>22</v>
      </c>
      <c r="H557" s="118" t="s">
        <v>3727</v>
      </c>
      <c r="I557" s="118" t="s">
        <v>3740</v>
      </c>
      <c r="J557" s="121">
        <f t="array" ref="J557">IF(
UPPER(TRIM(CLEAN($O557)))="ENTREGADO",
IFERROR(
INDEX(REPORTE_DROPI!T:T,
MATCH($T557, REPORTE_DROPI!B:B, 0)
),
""
),
""
)
</f>
        <v>7.7</v>
      </c>
      <c r="K557" s="118">
        <f t="array" ref="K557">IFERROR(
INDEX(REPORTE_DROPI!S:S,
MATCH($T557, REPORTE_DROPI!B:B, 0)
),
""
)
</f>
        <v>9.1</v>
      </c>
      <c r="L557" s="118" t="str">
        <f>IF(
  O557&lt;&gt;"DEVOLUCION",
  "",
  IF(
    T557="",
    "",
    SUMIF(DEVOLUCION!F:F, T557, DEVOLUCION!D:D)
  )
)
</f>
        <v/>
      </c>
      <c r="M557" s="118" t="s">
        <v>3870</v>
      </c>
      <c r="N557" s="130" t="s">
        <v>4822</v>
      </c>
      <c r="O557" s="118" t="str">
        <f t="array" ref="O557">IFERROR(
VLOOKUP(
TRIM(CLEAN(
INDEX(REPORTE_DROPI!K:K,
MATCH(T557, REPORTE_DROPI!B:B, 0)
))),
{
TRIM(CLEAN(MAPA_ESTADOS!A:A)) ,
MAPA_ESTADOS!B:B
},
2,
FALSE
),
"REVISAR"
)
</f>
        <v>ENTREGADO</v>
      </c>
      <c r="P557" s="118"/>
      <c r="Q557" s="122">
        <f t="shared" si="1"/>
        <v>0</v>
      </c>
      <c r="R557" s="118"/>
      <c r="S557" s="118"/>
      <c r="T557" s="118">
        <f t="array" ref="T557">IFERROR(
INDEX(REPORTE_DROPI!B:B,
MATCH(
CLEAN(TRIM(C557)),
CLEAN(TRIM(REPORTE_DROPI!E:E)),
0
)
),
""
)
</f>
        <v>4150846</v>
      </c>
      <c r="U557" s="118">
        <v>6.415472033836E12</v>
      </c>
      <c r="V557" s="78"/>
      <c r="W557" s="78"/>
      <c r="X557" s="78"/>
      <c r="Y557" s="78"/>
      <c r="Z557" s="78"/>
    </row>
    <row r="558" ht="22.5" customHeight="1">
      <c r="A558" s="118">
        <v>557.0</v>
      </c>
      <c r="B558" s="119">
        <v>46036.0</v>
      </c>
      <c r="C558" s="118" t="s">
        <v>4823</v>
      </c>
      <c r="D558" s="118" t="str">
        <f>IFERROR(__xludf.DUMMYFUNCTION("IFERROR(
  INDEX(
    FILTER(
      'NOMBRE DE PRODUCTOS'!B:B,
      REGEXMATCH(
        UPPER(
          INDEX(
            REPORTE_DROPI!AC:AC,
            MATCH(T558, REPORTE_DROPI!B:B, 0)
          )
        ),
        UPPER('NOMBRE DE PRODUCTOS'!A:A)"&amp;"
      )
    ),
    1
  ),
  ""REVISAR""
)
"),"Cuchillo Tazaki™")</f>
        <v>Cuchillo Tazaki™</v>
      </c>
      <c r="E558" s="120">
        <f t="array" ref="E558">IF(
UPPER(TRIM(CLEAN($O558)))="ENTREGADO",
IFERROR(
INDEX(REPORTE_DROPI!Y:Y,
MATCH($T558, REPORTE_DROPI!B:B, 0)
),
""
),
""
)
</f>
        <v>5.2</v>
      </c>
      <c r="F558" s="121">
        <v>2.0</v>
      </c>
      <c r="G558" s="122">
        <f t="array" ref="G558">IF(
UPPER(TRIM(CLEAN($O558)))="ENTREGADO",
IFERROR(
INDEX(REPORTE_DROPI!R:R,
MATCH($T558, REPORTE_DROPI!B:B, 0)
),
""
),
""
)
</f>
        <v>22</v>
      </c>
      <c r="H558" s="118" t="s">
        <v>3727</v>
      </c>
      <c r="I558" s="118" t="s">
        <v>3740</v>
      </c>
      <c r="J558" s="121">
        <f t="array" ref="J558">IF(
UPPER(TRIM(CLEAN($O558)))="ENTREGADO",
IFERROR(
INDEX(REPORTE_DROPI!T:T,
MATCH($T558, REPORTE_DROPI!B:B, 0)
),
""
),
""
)
</f>
        <v>5.26</v>
      </c>
      <c r="K558" s="118">
        <f t="array" ref="K558">IFERROR(
INDEX(REPORTE_DROPI!S:S,
MATCH($T558, REPORTE_DROPI!B:B, 0)
),
""
)
</f>
        <v>11.54</v>
      </c>
      <c r="L558" s="118" t="str">
        <f>IF(
  O558&lt;&gt;"DEVOLUCION",
  "",
  IF(
    T558="",
    "",
    SUMIF(DEVOLUCION!F:F, T558, DEVOLUCION!D:D)
  )
)
</f>
        <v/>
      </c>
      <c r="M558" s="118" t="s">
        <v>3870</v>
      </c>
      <c r="N558" s="130" t="s">
        <v>4824</v>
      </c>
      <c r="O558" s="118" t="str">
        <f t="array" ref="O558">IFERROR(
VLOOKUP(
TRIM(CLEAN(
INDEX(REPORTE_DROPI!K:K,
MATCH(T558, REPORTE_DROPI!B:B, 0)
))),
{
TRIM(CLEAN(MAPA_ESTADOS!A:A)) ,
MAPA_ESTADOS!B:B
},
2,
FALSE
),
"REVISAR"
)
</f>
        <v>ENTREGADO</v>
      </c>
      <c r="P558" s="118"/>
      <c r="Q558" s="122">
        <f t="shared" si="1"/>
        <v>0</v>
      </c>
      <c r="R558" s="118"/>
      <c r="S558" s="118"/>
      <c r="T558" s="118">
        <f t="array" ref="T558">IFERROR(
INDEX(REPORTE_DROPI!B:B,
MATCH(
CLEAN(TRIM(C558)),
CLEAN(TRIM(REPORTE_DROPI!E:E)),
0
)
),
""
)
</f>
        <v>4151039</v>
      </c>
      <c r="U558" s="118">
        <v>6.41550457246E12</v>
      </c>
      <c r="V558" s="78"/>
      <c r="W558" s="78"/>
      <c r="X558" s="78"/>
      <c r="Y558" s="78"/>
      <c r="Z558" s="78"/>
    </row>
    <row r="559" ht="22.5" customHeight="1">
      <c r="A559" s="118">
        <v>558.0</v>
      </c>
      <c r="B559" s="119">
        <v>46036.0</v>
      </c>
      <c r="C559" s="118" t="s">
        <v>4825</v>
      </c>
      <c r="D559" s="118" t="str">
        <f>IFERROR(__xludf.DUMMYFUNCTION("IFERROR(
  INDEX(
    FILTER(
      'NOMBRE DE PRODUCTOS'!B:B,
      REGEXMATCH(
        UPPER(
          INDEX(
            REPORTE_DROPI!AC:AC,
            MATCH(T559, REPORTE_DROPI!B:B, 0)
          )
        ),
        UPPER('NOMBRE DE PRODUCTOS'!A:A)"&amp;"
      )
    ),
    1
  ),
  ""REVISAR""
)
"),"Cuchillo Tazaki™")</f>
        <v>Cuchillo Tazaki™</v>
      </c>
      <c r="E559" s="120">
        <f t="array" ref="E559">IF(
UPPER(TRIM(CLEAN($O559)))="ENTREGADO",
IFERROR(
INDEX(REPORTE_DROPI!Y:Y,
MATCH($T559, REPORTE_DROPI!B:B, 0)
),
""
),
""
)
</f>
        <v>7.8</v>
      </c>
      <c r="F559" s="121">
        <v>3.0</v>
      </c>
      <c r="G559" s="122">
        <f t="array" ref="G559">IF(
UPPER(TRIM(CLEAN($O559)))="ENTREGADO",
IFERROR(
INDEX(REPORTE_DROPI!R:R,
MATCH($T559, REPORTE_DROPI!B:B, 0)
),
""
),
""
)
</f>
        <v>27</v>
      </c>
      <c r="H559" s="118" t="s">
        <v>3727</v>
      </c>
      <c r="I559" s="118" t="s">
        <v>3731</v>
      </c>
      <c r="J559" s="121">
        <f t="array" ref="J559">IF(
UPPER(TRIM(CLEAN($O559)))="ENTREGADO",
IFERROR(
INDEX(REPORTE_DROPI!T:T,
MATCH($T559, REPORTE_DROPI!B:B, 0)
),
""
),
""
)
</f>
        <v>7.77</v>
      </c>
      <c r="K559" s="118">
        <f t="array" ref="K559">IFERROR(
INDEX(REPORTE_DROPI!S:S,
MATCH($T559, REPORTE_DROPI!B:B, 0)
),
""
)
</f>
        <v>11.43</v>
      </c>
      <c r="L559" s="118" t="str">
        <f>IF(
  O559&lt;&gt;"DEVOLUCION",
  "",
  IF(
    T559="",
    "",
    SUMIF(DEVOLUCION!F:F, T559, DEVOLUCION!D:D)
  )
)
</f>
        <v/>
      </c>
      <c r="M559" s="118" t="s">
        <v>3870</v>
      </c>
      <c r="N559" s="130" t="s">
        <v>4826</v>
      </c>
      <c r="O559" s="118" t="str">
        <f t="array" ref="O559">IFERROR(
VLOOKUP(
TRIM(CLEAN(
INDEX(REPORTE_DROPI!K:K,
MATCH(T559, REPORTE_DROPI!B:B, 0)
))),
{
TRIM(CLEAN(MAPA_ESTADOS!A:A)) ,
MAPA_ESTADOS!B:B
},
2,
FALSE
),
"REVISAR"
)
</f>
        <v>ENTREGADO</v>
      </c>
      <c r="P559" s="118"/>
      <c r="Q559" s="122">
        <f t="shared" si="1"/>
        <v>0</v>
      </c>
      <c r="R559" s="118"/>
      <c r="S559" s="118"/>
      <c r="T559" s="118">
        <f t="array" ref="T559">IFERROR(
INDEX(REPORTE_DROPI!B:B,
MATCH(
CLEAN(TRIM(C559)),
CLEAN(TRIM(REPORTE_DROPI!E:E)),
0
)
),
""
)
</f>
        <v>4151375</v>
      </c>
      <c r="U559" s="118">
        <v>6.415566274604E12</v>
      </c>
      <c r="V559" s="78"/>
      <c r="W559" s="78"/>
      <c r="X559" s="78"/>
      <c r="Y559" s="78"/>
      <c r="Z559" s="78"/>
    </row>
    <row r="560" ht="22.5" customHeight="1">
      <c r="A560" s="118">
        <v>559.0</v>
      </c>
      <c r="B560" s="119">
        <v>46036.0</v>
      </c>
      <c r="C560" s="118" t="s">
        <v>4827</v>
      </c>
      <c r="D560" s="118" t="str">
        <f>IFERROR(__xludf.DUMMYFUNCTION("IFERROR(
  INDEX(
    FILTER(
      'NOMBRE DE PRODUCTOS'!B:B,
      REGEXMATCH(
        UPPER(
          INDEX(
            REPORTE_DROPI!AC:AC,
            MATCH(T560, REPORTE_DROPI!B:B, 0)
          )
        ),
        UPPER('NOMBRE DE PRODUCTOS'!A:A)"&amp;"
      )
    ),
    1
  ),
  ""REVISAR""
)
"),"Cuchillo Tazaki™")</f>
        <v>Cuchillo Tazaki™</v>
      </c>
      <c r="E560" s="120" t="str">
        <f t="array" ref="E560">IF(
UPPER(TRIM(CLEAN($O560)))="ENTREGADO",
IFERROR(
INDEX(REPORTE_DROPI!Y:Y,
MATCH($T560, REPORTE_DROPI!B:B, 0)
),
""
),
""
)
</f>
        <v/>
      </c>
      <c r="F560" s="121">
        <v>2.0</v>
      </c>
      <c r="G560" s="122" t="str">
        <f t="array" ref="G560">IF(
UPPER(TRIM(CLEAN($O560)))="ENTREGADO",
IFERROR(
INDEX(REPORTE_DROPI!R:R,
MATCH($T560, REPORTE_DROPI!B:B, 0)
),
""
),
""
)
</f>
        <v/>
      </c>
      <c r="H560" s="118" t="s">
        <v>3727</v>
      </c>
      <c r="I560" s="118" t="s">
        <v>3728</v>
      </c>
      <c r="J560" s="121" t="str">
        <f t="array" ref="J560">IF(
UPPER(TRIM(CLEAN($O560)))="ENTREGADO",
IFERROR(
INDEX(REPORTE_DROPI!T:T,
MATCH($T560, REPORTE_DROPI!B:B, 0)
),
""
),
""
)
</f>
        <v/>
      </c>
      <c r="K560" s="118" t="str">
        <f t="array" ref="K560">IFERROR(
INDEX(REPORTE_DROPI!S:S,
MATCH($T560, REPORTE_DROPI!B:B, 0)
),
""
)
</f>
        <v/>
      </c>
      <c r="L560" s="118" t="str">
        <f>IF(
  O560&lt;&gt;"DEVOLUCION",
  "",
  IF(
    T560="",
    "",
    SUMIF(DEVOLUCION!F:F, T560, DEVOLUCION!D:D)
  )
)
</f>
        <v/>
      </c>
      <c r="M560" s="118" t="s">
        <v>3870</v>
      </c>
      <c r="N560" s="130" t="s">
        <v>4828</v>
      </c>
      <c r="O560" s="118" t="str">
        <f t="array" ref="O560">IFERROR(
VLOOKUP(
TRIM(CLEAN(
INDEX(REPORTE_DROPI!K:K,
MATCH(T560, REPORTE_DROPI!B:B, 0)
))),
{
TRIM(CLEAN(MAPA_ESTADOS!A:A)) ,
MAPA_ESTADOS!B:B
},
2,
FALSE
),
"REVISAR"
)
</f>
        <v>CANCELADO</v>
      </c>
      <c r="P560" s="118"/>
      <c r="Q560" s="122">
        <f t="shared" si="1"/>
        <v>0</v>
      </c>
      <c r="R560" s="118"/>
      <c r="S560" s="118"/>
      <c r="T560" s="118">
        <f t="array" ref="T560">IFERROR(
INDEX(REPORTE_DROPI!B:B,
MATCH(
CLEAN(TRIM(C560)),
CLEAN(TRIM(REPORTE_DROPI!E:E)),
0
)
),
""
)
</f>
        <v>4151469</v>
      </c>
      <c r="U560" s="118">
        <v>6.415581184044E12</v>
      </c>
      <c r="V560" s="78"/>
      <c r="W560" s="78"/>
      <c r="X560" s="78"/>
      <c r="Y560" s="78"/>
      <c r="Z560" s="78"/>
    </row>
    <row r="561" ht="22.5" customHeight="1">
      <c r="A561" s="118">
        <v>560.0</v>
      </c>
      <c r="B561" s="119">
        <v>46036.0</v>
      </c>
      <c r="C561" s="126" t="s">
        <v>4829</v>
      </c>
      <c r="D561" s="118" t="s">
        <v>190</v>
      </c>
      <c r="E561" s="120" t="str">
        <f t="array" ref="E561">IF(
UPPER(TRIM(CLEAN($O561)))="ENTREGADO",
IFERROR(
INDEX(REPORTE_DROPI!Y:Y,
MATCH($T561, REPORTE_DROPI!B:B, 0)
),
""
),
""
)
</f>
        <v/>
      </c>
      <c r="F561" s="121">
        <v>2.0</v>
      </c>
      <c r="G561" s="122" t="str">
        <f t="array" ref="G561">IF(
UPPER(TRIM(CLEAN($O561)))="ENTREGADO",
IFERROR(
INDEX(REPORTE_DROPI!R:R,
MATCH($T561, REPORTE_DROPI!B:B, 0)
),
""
),
""
)
</f>
        <v/>
      </c>
      <c r="H561" s="118" t="s">
        <v>3727</v>
      </c>
      <c r="I561" s="118" t="s">
        <v>3731</v>
      </c>
      <c r="J561" s="121" t="str">
        <f t="array" ref="J561">IF(
UPPER(TRIM(CLEAN($O561)))="ENTREGADO",
IFERROR(
INDEX(REPORTE_DROPI!T:T,
MATCH($T561, REPORTE_DROPI!B:B, 0)
),
""
),
""
)
</f>
        <v/>
      </c>
      <c r="K561" s="118" t="str">
        <f t="array" ref="K561">IFERROR(
INDEX(REPORTE_DROPI!S:S,
MATCH($T561, REPORTE_DROPI!B:B, 0)
),
""
)
</f>
        <v/>
      </c>
      <c r="L561" s="118" t="str">
        <f>IF(
  O561&lt;&gt;"DEVOLUCION",
  "",
  IF(
    T561="",
    "",
    SUMIF(DEVOLUCION!F:F, T561, DEVOLUCION!D:D)
  )
)
</f>
        <v/>
      </c>
      <c r="M561" s="118"/>
      <c r="N561" s="130" t="s">
        <v>4830</v>
      </c>
      <c r="O561" s="118" t="str">
        <f t="array" ref="O561">IFERROR(
VLOOKUP(
TRIM(CLEAN(
INDEX(REPORTE_DROPI!K:K,
MATCH(T561, REPORTE_DROPI!B:B, 0)
))),
{
TRIM(CLEAN(MAPA_ESTADOS!A:A)) ,
MAPA_ESTADOS!B:B
},
2,
FALSE
),
"REVISAR"
)
</f>
        <v>REVISAR</v>
      </c>
      <c r="P561" s="118" t="s">
        <v>4831</v>
      </c>
      <c r="Q561" s="122">
        <f t="shared" si="1"/>
        <v>0</v>
      </c>
      <c r="R561" s="118"/>
      <c r="S561" s="118"/>
      <c r="T561" s="118" t="str">
        <f t="array" ref="T561">IFERROR(
INDEX(REPORTE_DROPI!B:B,
MATCH(
CLEAN(TRIM(C561)),
CLEAN(TRIM(REPORTE_DROPI!E:E)),
0
)
),
""
)
</f>
        <v/>
      </c>
      <c r="U561" s="118">
        <v>6.415608381484E12</v>
      </c>
      <c r="V561" s="78"/>
      <c r="W561" s="78"/>
      <c r="X561" s="78"/>
      <c r="Y561" s="78"/>
      <c r="Z561" s="78"/>
    </row>
    <row r="562" ht="22.5" customHeight="1">
      <c r="A562" s="118">
        <v>561.0</v>
      </c>
      <c r="B562" s="119">
        <v>46036.0</v>
      </c>
      <c r="C562" s="118" t="s">
        <v>4832</v>
      </c>
      <c r="D562" s="118" t="str">
        <f>IFERROR(__xludf.DUMMYFUNCTION("IFERROR(
  INDEX(
    FILTER(
      'NOMBRE DE PRODUCTOS'!B:B,
      REGEXMATCH(
        UPPER(
          INDEX(
            REPORTE_DROPI!AC:AC,
            MATCH(T562, REPORTE_DROPI!B:B, 0)
          )
        ),
        UPPER('NOMBRE DE PRODUCTOS'!A:A)"&amp;"
      )
    ),
    1
  ),
  ""REVISAR""
)
"),"Cuchillo Tazaki™")</f>
        <v>Cuchillo Tazaki™</v>
      </c>
      <c r="E562" s="120" t="str">
        <f t="array" ref="E562">IF(
UPPER(TRIM(CLEAN($O562)))="ENTREGADO",
IFERROR(
INDEX(REPORTE_DROPI!Y:Y,
MATCH($T562, REPORTE_DROPI!B:B, 0)
),
""
),
""
)
</f>
        <v/>
      </c>
      <c r="F562" s="121">
        <v>4.0</v>
      </c>
      <c r="G562" s="122" t="str">
        <f t="array" ref="G562">IF(
UPPER(TRIM(CLEAN($O562)))="ENTREGADO",
IFERROR(
INDEX(REPORTE_DROPI!R:R,
MATCH($T562, REPORTE_DROPI!B:B, 0)
),
""
),
""
)
</f>
        <v/>
      </c>
      <c r="H562" s="118" t="s">
        <v>3727</v>
      </c>
      <c r="I562" s="118" t="s">
        <v>3772</v>
      </c>
      <c r="J562" s="121" t="str">
        <f t="array" ref="J562">IF(
UPPER(TRIM(CLEAN($O562)))="ENTREGADO",
IFERROR(
INDEX(REPORTE_DROPI!T:T,
MATCH($T562, REPORTE_DROPI!B:B, 0)
),
""
),
""
)
</f>
        <v/>
      </c>
      <c r="K562" s="118" t="str">
        <f t="array" ref="K562">IFERROR(
INDEX(REPORTE_DROPI!S:S,
MATCH($T562, REPORTE_DROPI!B:B, 0)
),
""
)
</f>
        <v/>
      </c>
      <c r="L562" s="118" t="str">
        <f>IF(
  O562&lt;&gt;"DEVOLUCION",
  "",
  IF(
    T562="",
    "",
    SUMIF(DEVOLUCION!F:F, T562, DEVOLUCION!D:D)
  )
)
</f>
        <v/>
      </c>
      <c r="M562" s="118" t="s">
        <v>3870</v>
      </c>
      <c r="N562" s="130" t="s">
        <v>4833</v>
      </c>
      <c r="O562" s="118" t="str">
        <f t="array" ref="O562">IFERROR(
VLOOKUP(
TRIM(CLEAN(
INDEX(REPORTE_DROPI!K:K,
MATCH(T562, REPORTE_DROPI!B:B, 0)
))),
{
TRIM(CLEAN(MAPA_ESTADOS!A:A)) ,
MAPA_ESTADOS!B:B
},
2,
FALSE
),
"REVISAR"
)
</f>
        <v>CANCELADO</v>
      </c>
      <c r="P562" s="118"/>
      <c r="Q562" s="122">
        <f t="shared" si="1"/>
        <v>0</v>
      </c>
      <c r="R562" s="118"/>
      <c r="S562" s="118"/>
      <c r="T562" s="118">
        <f t="array" ref="T562">IFERROR(
INDEX(REPORTE_DROPI!B:B,
MATCH(
CLEAN(TRIM(C562)),
CLEAN(TRIM(REPORTE_DROPI!E:E)),
0
)
),
""
)
</f>
        <v>4151680</v>
      </c>
      <c r="U562" s="118">
        <v>6.415612182572E12</v>
      </c>
      <c r="V562" s="78"/>
      <c r="W562" s="78"/>
      <c r="X562" s="78"/>
      <c r="Y562" s="78"/>
      <c r="Z562" s="78"/>
    </row>
    <row r="563" ht="22.5" customHeight="1">
      <c r="A563" s="118">
        <v>562.0</v>
      </c>
      <c r="B563" s="119">
        <v>46036.0</v>
      </c>
      <c r="C563" s="118" t="s">
        <v>4834</v>
      </c>
      <c r="D563" s="118" t="str">
        <f>IFERROR(__xludf.DUMMYFUNCTION("IFERROR(
  INDEX(
    FILTER(
      'NOMBRE DE PRODUCTOS'!B:B,
      REGEXMATCH(
        UPPER(
          INDEX(
            REPORTE_DROPI!AC:AC,
            MATCH(T563, REPORTE_DROPI!B:B, 0)
          )
        ),
        UPPER('NOMBRE DE PRODUCTOS'!A:A)"&amp;"
      )
    ),
    1
  ),
  ""REVISAR""
)
"),"Cuchillo Tazaki™")</f>
        <v>Cuchillo Tazaki™</v>
      </c>
      <c r="E563" s="120">
        <f t="array" ref="E563">IF(
UPPER(TRIM(CLEAN($O563)))="ENTREGADO",
IFERROR(
INDEX(REPORTE_DROPI!Y:Y,
MATCH($T563, REPORTE_DROPI!B:B, 0)
),
""
),
""
)
</f>
        <v>10.4</v>
      </c>
      <c r="F563" s="121">
        <v>4.0</v>
      </c>
      <c r="G563" s="122">
        <f t="array" ref="G563">IF(
UPPER(TRIM(CLEAN($O563)))="ENTREGADO",
IFERROR(
INDEX(REPORTE_DROPI!R:R,
MATCH($T563, REPORTE_DROPI!B:B, 0)
),
""
),
""
)
</f>
        <v>32</v>
      </c>
      <c r="H563" s="118" t="s">
        <v>3727</v>
      </c>
      <c r="I563" s="118" t="s">
        <v>3772</v>
      </c>
      <c r="J563" s="121">
        <f t="array" ref="J563">IF(
UPPER(TRIM(CLEAN($O563)))="ENTREGADO",
IFERROR(
INDEX(REPORTE_DROPI!T:T,
MATCH($T563, REPORTE_DROPI!B:B, 0)
),
""
),
""
)
</f>
        <v>6.24</v>
      </c>
      <c r="K563" s="118">
        <f t="array" ref="K563">IFERROR(
INDEX(REPORTE_DROPI!S:S,
MATCH($T563, REPORTE_DROPI!B:B, 0)
),
""
)
</f>
        <v>15.36</v>
      </c>
      <c r="L563" s="118" t="str">
        <f>IF(
  O563&lt;&gt;"DEVOLUCION",
  "",
  IF(
    T563="",
    "",
    SUMIF(DEVOLUCION!F:F, T563, DEVOLUCION!D:D)
  )
)
</f>
        <v/>
      </c>
      <c r="M563" s="118" t="s">
        <v>3870</v>
      </c>
      <c r="N563" s="130" t="s">
        <v>4835</v>
      </c>
      <c r="O563" s="118" t="str">
        <f t="array" ref="O563">IFERROR(
VLOOKUP(
TRIM(CLEAN(
INDEX(REPORTE_DROPI!K:K,
MATCH(T563, REPORTE_DROPI!B:B, 0)
))),
{
TRIM(CLEAN(MAPA_ESTADOS!A:A)) ,
MAPA_ESTADOS!B:B
},
2,
FALSE
),
"REVISAR"
)
</f>
        <v>ENTREGADO</v>
      </c>
      <c r="P563" s="118"/>
      <c r="Q563" s="122">
        <f t="shared" si="1"/>
        <v>0</v>
      </c>
      <c r="R563" s="118"/>
      <c r="S563" s="118"/>
      <c r="T563" s="118">
        <f t="array" ref="T563">IFERROR(
INDEX(REPORTE_DROPI!B:B,
MATCH(
CLEAN(TRIM(C563)),
CLEAN(TRIM(REPORTE_DROPI!E:E)),
0
)
),
""
)
</f>
        <v>4151754</v>
      </c>
      <c r="U563" s="118">
        <v>6.415631122476E12</v>
      </c>
      <c r="V563" s="78"/>
      <c r="W563" s="78"/>
      <c r="X563" s="78"/>
      <c r="Y563" s="78"/>
      <c r="Z563" s="78"/>
    </row>
    <row r="564" ht="22.5" customHeight="1">
      <c r="A564" s="118">
        <v>563.0</v>
      </c>
      <c r="B564" s="119">
        <v>46036.0</v>
      </c>
      <c r="C564" s="118" t="s">
        <v>4836</v>
      </c>
      <c r="D564" s="118" t="str">
        <f>IFERROR(__xludf.DUMMYFUNCTION("IFERROR(
  INDEX(
    FILTER(
      'NOMBRE DE PRODUCTOS'!B:B,
      REGEXMATCH(
        UPPER(
          INDEX(
            REPORTE_DROPI!AC:AC,
            MATCH(T564, REPORTE_DROPI!B:B, 0)
          )
        ),
        UPPER('NOMBRE DE PRODUCTOS'!A:A)"&amp;"
      )
    ),
    1
  ),
  ""REVISAR""
)
"),"Cuchillo Tazaki™")</f>
        <v>Cuchillo Tazaki™</v>
      </c>
      <c r="E564" s="120">
        <f t="array" ref="E564">IF(
UPPER(TRIM(CLEAN($O564)))="ENTREGADO",
IFERROR(
INDEX(REPORTE_DROPI!Y:Y,
MATCH($T564, REPORTE_DROPI!B:B, 0)
),
""
),
""
)
</f>
        <v>5.2</v>
      </c>
      <c r="F564" s="121">
        <v>2.0</v>
      </c>
      <c r="G564" s="122">
        <f t="array" ref="G564">IF(
UPPER(TRIM(CLEAN($O564)))="ENTREGADO",
IFERROR(
INDEX(REPORTE_DROPI!R:R,
MATCH($T564, REPORTE_DROPI!B:B, 0)
),
""
),
""
)
</f>
        <v>22</v>
      </c>
      <c r="H564" s="118" t="s">
        <v>3727</v>
      </c>
      <c r="I564" s="118" t="s">
        <v>3772</v>
      </c>
      <c r="J564" s="121">
        <f t="array" ref="J564">IF(
UPPER(TRIM(CLEAN($O564)))="ENTREGADO",
IFERROR(
INDEX(REPORTE_DROPI!T:T,
MATCH($T564, REPORTE_DROPI!B:B, 0)
),
""
),
""
)
</f>
        <v>5.84</v>
      </c>
      <c r="K564" s="118">
        <f t="array" ref="K564">IFERROR(
INDEX(REPORTE_DROPI!S:S,
MATCH($T564, REPORTE_DROPI!B:B, 0)
),
""
)
</f>
        <v>10.96</v>
      </c>
      <c r="L564" s="118" t="str">
        <f>IF(
  O564&lt;&gt;"DEVOLUCION",
  "",
  IF(
    T564="",
    "",
    SUMIF(DEVOLUCION!F:F, T564, DEVOLUCION!D:D)
  )
)
</f>
        <v/>
      </c>
      <c r="M564" s="118" t="s">
        <v>3870</v>
      </c>
      <c r="N564" s="130" t="s">
        <v>4837</v>
      </c>
      <c r="O564" s="118" t="str">
        <f t="array" ref="O564">IFERROR(
VLOOKUP(
TRIM(CLEAN(
INDEX(REPORTE_DROPI!K:K,
MATCH(T564, REPORTE_DROPI!B:B, 0)
))),
{
TRIM(CLEAN(MAPA_ESTADOS!A:A)) ,
MAPA_ESTADOS!B:B
},
2,
FALSE
),
"REVISAR"
)
</f>
        <v>ENTREGADO</v>
      </c>
      <c r="P564" s="118"/>
      <c r="Q564" s="122">
        <f t="shared" si="1"/>
        <v>0</v>
      </c>
      <c r="R564" s="118"/>
      <c r="S564" s="118"/>
      <c r="T564" s="118">
        <f t="array" ref="T564">IFERROR(
INDEX(REPORTE_DROPI!B:B,
MATCH(
CLEAN(TRIM(C564)),
CLEAN(TRIM(REPORTE_DROPI!E:E)),
0
)
),
""
)
</f>
        <v>4151939</v>
      </c>
      <c r="U564" s="118">
        <v>6.415664578604E12</v>
      </c>
      <c r="V564" s="78"/>
      <c r="W564" s="78"/>
      <c r="X564" s="78"/>
      <c r="Y564" s="78"/>
      <c r="Z564" s="78"/>
    </row>
    <row r="565" ht="22.5" customHeight="1">
      <c r="A565" s="118">
        <v>564.0</v>
      </c>
      <c r="B565" s="119">
        <v>46036.0</v>
      </c>
      <c r="C565" s="126" t="s">
        <v>4838</v>
      </c>
      <c r="D565" s="118" t="str">
        <f>IFERROR(__xludf.DUMMYFUNCTION("IFERROR(
  INDEX(
    FILTER(
      'NOMBRE DE PRODUCTOS'!B:B,
      REGEXMATCH(
        UPPER(
          INDEX(
            REPORTE_DROPI!AC:AC,
            MATCH(T565, REPORTE_DROPI!B:B, 0)
          )
        ),
        UPPER('NOMBRE DE PRODUCTOS'!A:A)"&amp;"
      )
    ),
    1
  ),
  ""REVISAR""
)
"),"FilmPro®")</f>
        <v>FilmPro®</v>
      </c>
      <c r="E565" s="120" t="str">
        <f t="array" ref="E565">IF(
UPPER(TRIM(CLEAN($O565)))="ENTREGADO",
IFERROR(
INDEX(REPORTE_DROPI!Y:Y,
MATCH($T565, REPORTE_DROPI!B:B, 0)
),
""
),
""
)
</f>
        <v/>
      </c>
      <c r="F565" s="121">
        <v>2.0</v>
      </c>
      <c r="G565" s="122" t="str">
        <f t="array" ref="G565">IF(
UPPER(TRIM(CLEAN($O565)))="ENTREGADO",
IFERROR(
INDEX(REPORTE_DROPI!R:R,
MATCH($T565, REPORTE_DROPI!B:B, 0)
),
""
),
""
)
</f>
        <v/>
      </c>
      <c r="H565" s="118" t="s">
        <v>3727</v>
      </c>
      <c r="I565" s="118" t="s">
        <v>3728</v>
      </c>
      <c r="J565" s="121" t="str">
        <f t="array" ref="J565">IF(
UPPER(TRIM(CLEAN($O565)))="ENTREGADO",
IFERROR(
INDEX(REPORTE_DROPI!T:T,
MATCH($T565, REPORTE_DROPI!B:B, 0)
),
""
),
""
)
</f>
        <v/>
      </c>
      <c r="K565" s="118" t="str">
        <f t="array" ref="K565">IFERROR(
INDEX(REPORTE_DROPI!S:S,
MATCH($T565, REPORTE_DROPI!B:B, 0)
),
""
)
</f>
        <v/>
      </c>
      <c r="L565" s="118">
        <f>IF(
  O565&lt;&gt;"DEVOLUCION",
  "",
  IF(
    T565="",
    "",
    SUMIF(DEVOLUCION!F:F, T565, DEVOLUCION!D:D)
  )
)
</f>
        <v>5.09</v>
      </c>
      <c r="M565" s="118" t="s">
        <v>3870</v>
      </c>
      <c r="N565" s="130" t="s">
        <v>4839</v>
      </c>
      <c r="O565" s="118" t="str">
        <f t="array" ref="O565">IFERROR(
VLOOKUP(
TRIM(CLEAN(
INDEX(REPORTE_DROPI!K:K,
MATCH(T565, REPORTE_DROPI!B:B, 0)
))),
{
TRIM(CLEAN(MAPA_ESTADOS!A:A)) ,
MAPA_ESTADOS!B:B
},
2,
FALSE
),
"REVISAR"
)
</f>
        <v>DEVOLUCION</v>
      </c>
      <c r="P565" s="118"/>
      <c r="Q565" s="122">
        <f t="shared" si="1"/>
        <v>0</v>
      </c>
      <c r="R565" s="118"/>
      <c r="S565" s="118"/>
      <c r="T565" s="118">
        <f t="array" ref="T565">IFERROR(
INDEX(REPORTE_DROPI!B:B,
MATCH(
CLEAN(TRIM(C565)),
CLEAN(TRIM(REPORTE_DROPI!E:E)),
0
)
),
""
)
</f>
        <v>4152067</v>
      </c>
      <c r="U565" s="118">
        <v>6.41568856478E12</v>
      </c>
      <c r="V565" s="78"/>
      <c r="W565" s="78"/>
      <c r="X565" s="78"/>
      <c r="Y565" s="78"/>
      <c r="Z565" s="78"/>
    </row>
    <row r="566" ht="22.5" customHeight="1">
      <c r="A566" s="118">
        <v>565.0</v>
      </c>
      <c r="B566" s="119">
        <v>46036.0</v>
      </c>
      <c r="C566" s="118" t="s">
        <v>4840</v>
      </c>
      <c r="D566" s="118" t="str">
        <f>IFERROR(__xludf.DUMMYFUNCTION("IFERROR(
  INDEX(
    FILTER(
      'NOMBRE DE PRODUCTOS'!B:B,
      REGEXMATCH(
        UPPER(
          INDEX(
            REPORTE_DROPI!AC:AC,
            MATCH(T566, REPORTE_DROPI!B:B, 0)
          )
        ),
        UPPER('NOMBRE DE PRODUCTOS'!A:A)"&amp;"
      )
    ),
    1
  ),
  ""REVISAR""
)
"),"Cuchillo Tazaki™")</f>
        <v>Cuchillo Tazaki™</v>
      </c>
      <c r="E566" s="120">
        <f t="array" ref="E566">IF(
UPPER(TRIM(CLEAN($O566)))="ENTREGADO",
IFERROR(
INDEX(REPORTE_DROPI!Y:Y,
MATCH($T566, REPORTE_DROPI!B:B, 0)
),
""
),
""
)
</f>
        <v>5.2</v>
      </c>
      <c r="F566" s="121">
        <v>2.0</v>
      </c>
      <c r="G566" s="122">
        <f t="array" ref="G566">IF(
UPPER(TRIM(CLEAN($O566)))="ENTREGADO",
IFERROR(
INDEX(REPORTE_DROPI!R:R,
MATCH($T566, REPORTE_DROPI!B:B, 0)
),
""
),
""
)
</f>
        <v>22</v>
      </c>
      <c r="H566" s="118" t="s">
        <v>3727</v>
      </c>
      <c r="I566" s="118" t="s">
        <v>3740</v>
      </c>
      <c r="J566" s="121">
        <f t="array" ref="J566">IF(
UPPER(TRIM(CLEAN($O566)))="ENTREGADO",
IFERROR(
INDEX(REPORTE_DROPI!T:T,
MATCH($T566, REPORTE_DROPI!B:B, 0)
),
""
),
""
)
</f>
        <v>4.23</v>
      </c>
      <c r="K566" s="118">
        <f t="array" ref="K566">IFERROR(
INDEX(REPORTE_DROPI!S:S,
MATCH($T566, REPORTE_DROPI!B:B, 0)
),
""
)
</f>
        <v>12.57</v>
      </c>
      <c r="L566" s="118" t="str">
        <f>IF(
  O566&lt;&gt;"DEVOLUCION",
  "",
  IF(
    T566="",
    "",
    SUMIF(DEVOLUCION!F:F, T566, DEVOLUCION!D:D)
  )
)
</f>
        <v/>
      </c>
      <c r="M566" s="118" t="s">
        <v>3870</v>
      </c>
      <c r="N566" s="130" t="s">
        <v>4841</v>
      </c>
      <c r="O566" s="118" t="str">
        <f t="array" ref="O566">IFERROR(
VLOOKUP(
TRIM(CLEAN(
INDEX(REPORTE_DROPI!K:K,
MATCH(T566, REPORTE_DROPI!B:B, 0)
))),
{
TRIM(CLEAN(MAPA_ESTADOS!A:A)) ,
MAPA_ESTADOS!B:B
},
2,
FALSE
),
"REVISAR"
)
</f>
        <v>ENTREGADO</v>
      </c>
      <c r="P566" s="118"/>
      <c r="Q566" s="122">
        <f t="shared" si="1"/>
        <v>0</v>
      </c>
      <c r="R566" s="118"/>
      <c r="S566" s="118"/>
      <c r="T566" s="118">
        <f t="array" ref="T566">IFERROR(
INDEX(REPORTE_DROPI!B:B,
MATCH(
CLEAN(TRIM(C566)),
CLEAN(TRIM(REPORTE_DROPI!E:E)),
0
)
),
""
)
</f>
        <v>4152084</v>
      </c>
      <c r="U566" s="118">
        <v>6.415694102572E12</v>
      </c>
      <c r="V566" s="78"/>
      <c r="W566" s="78"/>
      <c r="X566" s="78"/>
      <c r="Y566" s="78"/>
      <c r="Z566" s="78"/>
    </row>
    <row r="567" ht="22.5" customHeight="1">
      <c r="A567" s="118">
        <v>566.0</v>
      </c>
      <c r="B567" s="119">
        <v>46037.0</v>
      </c>
      <c r="C567" s="118" t="s">
        <v>4842</v>
      </c>
      <c r="D567" s="118" t="str">
        <f>IFERROR(__xludf.DUMMYFUNCTION("IFERROR(
  INDEX(
    FILTER(
      'NOMBRE DE PRODUCTOS'!B:B,
      REGEXMATCH(
        UPPER(
          INDEX(
            REPORTE_DROPI!AC:AC,
            MATCH(T567, REPORTE_DROPI!B:B, 0)
          )
        ),
        UPPER('NOMBRE DE PRODUCTOS'!A:A)"&amp;"
      )
    ),
    1
  ),
  ""REVISAR""
)
"),"Cuchillo Tazaki™")</f>
        <v>Cuchillo Tazaki™</v>
      </c>
      <c r="E567" s="120">
        <f t="array" ref="E567">IF(
UPPER(TRIM(CLEAN($O567)))="ENTREGADO",
IFERROR(
INDEX(REPORTE_DROPI!Y:Y,
MATCH($T567, REPORTE_DROPI!B:B, 0)
),
""
),
""
)
</f>
        <v>7.8</v>
      </c>
      <c r="F567" s="121">
        <v>3.0</v>
      </c>
      <c r="G567" s="122">
        <f t="array" ref="G567">IF(
UPPER(TRIM(CLEAN($O567)))="ENTREGADO",
IFERROR(
INDEX(REPORTE_DROPI!R:R,
MATCH($T567, REPORTE_DROPI!B:B, 0)
),
""
),
""
)
</f>
        <v>27</v>
      </c>
      <c r="H567" s="118" t="s">
        <v>3727</v>
      </c>
      <c r="I567" s="118" t="s">
        <v>3731</v>
      </c>
      <c r="J567" s="121">
        <f t="array" ref="J567">IF(
UPPER(TRIM(CLEAN($O567)))="ENTREGADO",
IFERROR(
INDEX(REPORTE_DROPI!T:T,
MATCH($T567, REPORTE_DROPI!B:B, 0)
),
""
),
""
)
</f>
        <v>6.03</v>
      </c>
      <c r="K567" s="118">
        <f t="array" ref="K567">IFERROR(
INDEX(REPORTE_DROPI!S:S,
MATCH($T567, REPORTE_DROPI!B:B, 0)
),
""
)
</f>
        <v>13.17</v>
      </c>
      <c r="L567" s="118" t="str">
        <f>IF(
  O567&lt;&gt;"DEVOLUCION",
  "",
  IF(
    T567="",
    "",
    SUMIF(DEVOLUCION!F:F, T567, DEVOLUCION!D:D)
  )
)
</f>
        <v/>
      </c>
      <c r="M567" s="118" t="s">
        <v>3870</v>
      </c>
      <c r="N567" s="130" t="s">
        <v>4843</v>
      </c>
      <c r="O567" s="118" t="str">
        <f t="array" ref="O567">IFERROR(
VLOOKUP(
TRIM(CLEAN(
INDEX(REPORTE_DROPI!K:K,
MATCH(T567, REPORTE_DROPI!B:B, 0)
))),
{
TRIM(CLEAN(MAPA_ESTADOS!A:A)) ,
MAPA_ESTADOS!B:B
},
2,
FALSE
),
"REVISAR"
)
</f>
        <v>ENTREGADO</v>
      </c>
      <c r="P567" s="118"/>
      <c r="Q567" s="122">
        <f t="shared" si="1"/>
        <v>0</v>
      </c>
      <c r="R567" s="118"/>
      <c r="S567" s="118"/>
      <c r="T567" s="118">
        <f t="array" ref="T567">IFERROR(
INDEX(REPORTE_DROPI!B:B,
MATCH(
CLEAN(TRIM(C567)),
CLEAN(TRIM(REPORTE_DROPI!E:E)),
0
)
),
""
)
</f>
        <v>4152126</v>
      </c>
      <c r="U567" s="118">
        <v>6.415703605292E12</v>
      </c>
      <c r="V567" s="78"/>
      <c r="W567" s="78"/>
      <c r="X567" s="78"/>
      <c r="Y567" s="78"/>
      <c r="Z567" s="78"/>
    </row>
    <row r="568" ht="22.5" customHeight="1">
      <c r="A568" s="118">
        <v>567.0</v>
      </c>
      <c r="B568" s="119">
        <v>46037.0</v>
      </c>
      <c r="C568" s="126" t="s">
        <v>4844</v>
      </c>
      <c r="D568" s="118" t="s">
        <v>190</v>
      </c>
      <c r="E568" s="120" t="str">
        <f t="array" ref="E568">IF(
UPPER(TRIM(CLEAN($O568)))="ENTREGADO",
IFERROR(
INDEX(REPORTE_DROPI!Y:Y,
MATCH($T568, REPORTE_DROPI!B:B, 0)
),
""
),
""
)
</f>
        <v/>
      </c>
      <c r="F568" s="121">
        <v>3.0</v>
      </c>
      <c r="G568" s="122" t="str">
        <f t="array" ref="G568">IF(
UPPER(TRIM(CLEAN($O568)))="ENTREGADO",
IFERROR(
INDEX(REPORTE_DROPI!R:R,
MATCH($T568, REPORTE_DROPI!B:B, 0)
),
""
),
""
)
</f>
        <v/>
      </c>
      <c r="H568" s="118" t="s">
        <v>3727</v>
      </c>
      <c r="I568" s="118" t="s">
        <v>3951</v>
      </c>
      <c r="J568" s="121" t="str">
        <f t="array" ref="J568">IF(
UPPER(TRIM(CLEAN($O568)))="ENTREGADO",
IFERROR(
INDEX(REPORTE_DROPI!T:T,
MATCH($T568, REPORTE_DROPI!B:B, 0)
),
""
),
""
)
</f>
        <v/>
      </c>
      <c r="K568" s="118" t="str">
        <f t="array" ref="K568">IFERROR(
INDEX(REPORTE_DROPI!S:S,
MATCH($T568, REPORTE_DROPI!B:B, 0)
),
""
)
</f>
        <v/>
      </c>
      <c r="L568" s="118" t="str">
        <f>IF(
  O568&lt;&gt;"DEVOLUCION",
  "",
  IF(
    T568="",
    "",
    SUMIF(DEVOLUCION!F:F, T568, DEVOLUCION!D:D)
  )
)
</f>
        <v/>
      </c>
      <c r="M568" s="118"/>
      <c r="N568" s="130" t="s">
        <v>4845</v>
      </c>
      <c r="O568" s="118" t="str">
        <f t="array" ref="O568">IFERROR(
VLOOKUP(
TRIM(CLEAN(
INDEX(REPORTE_DROPI!K:K,
MATCH(T568, REPORTE_DROPI!B:B, 0)
))),
{
TRIM(CLEAN(MAPA_ESTADOS!A:A)) ,
MAPA_ESTADOS!B:B
},
2,
FALSE
),
"REVISAR"
)
</f>
        <v>REVISAR</v>
      </c>
      <c r="P568" s="118"/>
      <c r="Q568" s="122">
        <f t="shared" si="1"/>
        <v>0</v>
      </c>
      <c r="R568" s="118"/>
      <c r="S568" s="118"/>
      <c r="T568" s="118" t="str">
        <f t="array" ref="T568">IFERROR(
INDEX(REPORTE_DROPI!B:B,
MATCH(
CLEAN(TRIM(C568)),
CLEAN(TRIM(REPORTE_DROPI!E:E)),
0
)
),
""
)
</f>
        <v/>
      </c>
      <c r="U568" s="118">
        <v>6.41570363806E12</v>
      </c>
      <c r="V568" s="78"/>
      <c r="W568" s="78"/>
      <c r="X568" s="78"/>
      <c r="Y568" s="78"/>
      <c r="Z568" s="78"/>
    </row>
    <row r="569" ht="22.5" customHeight="1">
      <c r="A569" s="118">
        <v>568.0</v>
      </c>
      <c r="B569" s="119">
        <v>46037.0</v>
      </c>
      <c r="C569" s="118" t="s">
        <v>4846</v>
      </c>
      <c r="D569" s="118" t="str">
        <f>IFERROR(__xludf.DUMMYFUNCTION("IFERROR(
  INDEX(
    FILTER(
      'NOMBRE DE PRODUCTOS'!B:B,
      REGEXMATCH(
        UPPER(
          INDEX(
            REPORTE_DROPI!AC:AC,
            MATCH(T569, REPORTE_DROPI!B:B, 0)
          )
        ),
        UPPER('NOMBRE DE PRODUCTOS'!A:A)"&amp;"
      )
    ),
    1
  ),
  ""REVISAR""
)
"),"Cuchillo Tazaki™")</f>
        <v>Cuchillo Tazaki™</v>
      </c>
      <c r="E569" s="120" t="str">
        <f t="array" ref="E569">IF(
UPPER(TRIM(CLEAN($O569)))="ENTREGADO",
IFERROR(
INDEX(REPORTE_DROPI!Y:Y,
MATCH($T569, REPORTE_DROPI!B:B, 0)
),
""
),
""
)
</f>
        <v/>
      </c>
      <c r="F569" s="121">
        <v>3.0</v>
      </c>
      <c r="G569" s="122" t="str">
        <f t="array" ref="G569">IF(
UPPER(TRIM(CLEAN($O569)))="ENTREGADO",
IFERROR(
INDEX(REPORTE_DROPI!R:R,
MATCH($T569, REPORTE_DROPI!B:B, 0)
),
""
),
""
)
</f>
        <v/>
      </c>
      <c r="H569" s="118" t="s">
        <v>3727</v>
      </c>
      <c r="I569" s="118" t="s">
        <v>3731</v>
      </c>
      <c r="J569" s="121" t="str">
        <f t="array" ref="J569">IF(
UPPER(TRIM(CLEAN($O569)))="ENTREGADO",
IFERROR(
INDEX(REPORTE_DROPI!T:T,
MATCH($T569, REPORTE_DROPI!B:B, 0)
),
""
),
""
)
</f>
        <v/>
      </c>
      <c r="K569" s="118" t="str">
        <f t="array" ref="K569">IFERROR(
INDEX(REPORTE_DROPI!S:S,
MATCH($T569, REPORTE_DROPI!B:B, 0)
),
""
)
</f>
        <v/>
      </c>
      <c r="L569" s="118">
        <f>IF(
  O569&lt;&gt;"DEVOLUCION",
  "",
  IF(
    T569="",
    "",
    SUMIF(DEVOLUCION!F:F, T569, DEVOLUCION!D:D)
  )
)
</f>
        <v>5.09</v>
      </c>
      <c r="M569" s="118" t="s">
        <v>3870</v>
      </c>
      <c r="N569" s="130" t="s">
        <v>4847</v>
      </c>
      <c r="O569" s="118" t="str">
        <f t="array" ref="O569">IFERROR(
VLOOKUP(
TRIM(CLEAN(
INDEX(REPORTE_DROPI!K:K,
MATCH(T569, REPORTE_DROPI!B:B, 0)
))),
{
TRIM(CLEAN(MAPA_ESTADOS!A:A)) ,
MAPA_ESTADOS!B:B
},
2,
FALSE
),
"REVISAR"
)
</f>
        <v>DEVOLUCION</v>
      </c>
      <c r="P569" s="118"/>
      <c r="Q569" s="122">
        <f t="shared" si="1"/>
        <v>0</v>
      </c>
      <c r="R569" s="118"/>
      <c r="S569" s="118"/>
      <c r="T569" s="118">
        <f t="array" ref="T569">IFERROR(
INDEX(REPORTE_DROPI!B:B,
MATCH(
CLEAN(TRIM(C569)),
CLEAN(TRIM(REPORTE_DROPI!E:E)),
0
)
),
""
)
</f>
        <v>4152134</v>
      </c>
      <c r="U569" s="118">
        <v>6.4157062595E12</v>
      </c>
      <c r="V569" s="78"/>
      <c r="W569" s="78"/>
      <c r="X569" s="78"/>
      <c r="Y569" s="78"/>
      <c r="Z569" s="78"/>
    </row>
    <row r="570" ht="22.5" customHeight="1">
      <c r="A570" s="118">
        <v>569.0</v>
      </c>
      <c r="B570" s="119">
        <v>46037.0</v>
      </c>
      <c r="C570" s="118" t="s">
        <v>4848</v>
      </c>
      <c r="D570" s="118" t="str">
        <f>IFERROR(__xludf.DUMMYFUNCTION("IFERROR(
  INDEX(
    FILTER(
      'NOMBRE DE PRODUCTOS'!B:B,
      REGEXMATCH(
        UPPER(
          INDEX(
            REPORTE_DROPI!AC:AC,
            MATCH(T570, REPORTE_DROPI!B:B, 0)
          )
        ),
        UPPER('NOMBRE DE PRODUCTOS'!A:A)"&amp;"
      )
    ),
    1
  ),
  ""REVISAR""
)
"),"FilmPro®")</f>
        <v>FilmPro®</v>
      </c>
      <c r="E570" s="120">
        <f t="array" ref="E570">IF(
UPPER(TRIM(CLEAN($O570)))="ENTREGADO",
IFERROR(
INDEX(REPORTE_DROPI!Y:Y,
MATCH($T570, REPORTE_DROPI!B:B, 0)
),
""
),
""
)
</f>
        <v>7.05</v>
      </c>
      <c r="F570" s="121">
        <v>3.0</v>
      </c>
      <c r="G570" s="122">
        <f t="array" ref="G570">IF(
UPPER(TRIM(CLEAN($O570)))="ENTREGADO",
IFERROR(
INDEX(REPORTE_DROPI!R:R,
MATCH($T570, REPORTE_DROPI!B:B, 0)
),
""
),
""
)
</f>
        <v>30</v>
      </c>
      <c r="H570" s="118" t="s">
        <v>3727</v>
      </c>
      <c r="I570" s="118" t="s">
        <v>3731</v>
      </c>
      <c r="J570" s="121">
        <f t="array" ref="J570">IF(
UPPER(TRIM(CLEAN($O570)))="ENTREGADO",
IFERROR(
INDEX(REPORTE_DROPI!T:T,
MATCH($T570, REPORTE_DROPI!B:B, 0)
),
""
),
""
)
</f>
        <v>4.55</v>
      </c>
      <c r="K570" s="118">
        <f t="array" ref="K570">IFERROR(
INDEX(REPORTE_DROPI!S:S,
MATCH($T570, REPORTE_DROPI!B:B, 0)
),
""
)
</f>
        <v>18.4</v>
      </c>
      <c r="L570" s="118" t="str">
        <f>IF(
  O570&lt;&gt;"DEVOLUCION",
  "",
  IF(
    T570="",
    "",
    SUMIF(DEVOLUCION!F:F, T570, DEVOLUCION!D:D)
  )
)
</f>
        <v/>
      </c>
      <c r="M570" s="118" t="s">
        <v>3870</v>
      </c>
      <c r="N570" s="130" t="s">
        <v>4849</v>
      </c>
      <c r="O570" s="118" t="str">
        <f t="array" ref="O570">IFERROR(
VLOOKUP(
TRIM(CLEAN(
INDEX(REPORTE_DROPI!K:K,
MATCH(T570, REPORTE_DROPI!B:B, 0)
))),
{
TRIM(CLEAN(MAPA_ESTADOS!A:A)) ,
MAPA_ESTADOS!B:B
},
2,
FALSE
),
"REVISAR"
)
</f>
        <v>ENTREGADO</v>
      </c>
      <c r="P570" s="118"/>
      <c r="Q570" s="122">
        <f t="shared" si="1"/>
        <v>0</v>
      </c>
      <c r="R570" s="118"/>
      <c r="S570" s="118"/>
      <c r="T570" s="118">
        <f t="array" ref="T570">IFERROR(
INDEX(REPORTE_DROPI!B:B,
MATCH(
CLEAN(TRIM(C570)),
CLEAN(TRIM(REPORTE_DROPI!E:E)),
0
)
),
""
)
</f>
        <v>4152159</v>
      </c>
      <c r="U570" s="118">
        <v>6.415712419884E12</v>
      </c>
      <c r="V570" s="78"/>
      <c r="W570" s="78"/>
      <c r="X570" s="78"/>
      <c r="Y570" s="78"/>
      <c r="Z570" s="78"/>
    </row>
    <row r="571" ht="22.5" customHeight="1">
      <c r="A571" s="118">
        <v>570.0</v>
      </c>
      <c r="B571" s="119">
        <v>46037.0</v>
      </c>
      <c r="C571" s="126" t="s">
        <v>4850</v>
      </c>
      <c r="D571" s="118" t="str">
        <f>IFERROR(__xludf.DUMMYFUNCTION("IFERROR(
  INDEX(
    FILTER(
      'NOMBRE DE PRODUCTOS'!B:B,
      REGEXMATCH(
        UPPER(
          INDEX(
            REPORTE_DROPI!AC:AC,
            MATCH(T571, REPORTE_DROPI!B:B, 0)
          )
        ),
        UPPER('NOMBRE DE PRODUCTOS'!A:A)"&amp;"
      )
    ),
    1
  ),
  ""REVISAR""
)
"),"Cuchillo Tazaki™")</f>
        <v>Cuchillo Tazaki™</v>
      </c>
      <c r="E571" s="120" t="str">
        <f t="array" ref="E571">IF(
UPPER(TRIM(CLEAN($O571)))="ENTREGADO",
IFERROR(
INDEX(REPORTE_DROPI!Y:Y,
MATCH($T571, REPORTE_DROPI!B:B, 0)
),
""
),
""
)
</f>
        <v/>
      </c>
      <c r="F571" s="121">
        <v>2.0</v>
      </c>
      <c r="G571" s="122" t="str">
        <f t="array" ref="G571">IF(
UPPER(TRIM(CLEAN($O571)))="ENTREGADO",
IFERROR(
INDEX(REPORTE_DROPI!R:R,
MATCH($T571, REPORTE_DROPI!B:B, 0)
),
""
),
""
)
</f>
        <v/>
      </c>
      <c r="H571" s="118" t="s">
        <v>3727</v>
      </c>
      <c r="I571" s="118" t="s">
        <v>3728</v>
      </c>
      <c r="J571" s="121" t="str">
        <f t="array" ref="J571">IF(
UPPER(TRIM(CLEAN($O571)))="ENTREGADO",
IFERROR(
INDEX(REPORTE_DROPI!T:T,
MATCH($T571, REPORTE_DROPI!B:B, 0)
),
""
),
""
)
</f>
        <v/>
      </c>
      <c r="K571" s="118" t="str">
        <f t="array" ref="K571">IFERROR(
INDEX(REPORTE_DROPI!S:S,
MATCH($T571, REPORTE_DROPI!B:B, 0)
),
""
)
</f>
        <v/>
      </c>
      <c r="L571" s="118" t="str">
        <f>IF(
  O571&lt;&gt;"DEVOLUCION",
  "",
  IF(
    T571="",
    "",
    SUMIF(DEVOLUCION!F:F, T571, DEVOLUCION!D:D)
  )
)
</f>
        <v/>
      </c>
      <c r="M571" s="118" t="s">
        <v>3870</v>
      </c>
      <c r="N571" s="130" t="s">
        <v>4851</v>
      </c>
      <c r="O571" s="118" t="str">
        <f t="array" ref="O571">IFERROR(
VLOOKUP(
TRIM(CLEAN(
INDEX(REPORTE_DROPI!K:K,
MATCH(T571, REPORTE_DROPI!B:B, 0)
))),
{
TRIM(CLEAN(MAPA_ESTADOS!A:A)) ,
MAPA_ESTADOS!B:B
},
2,
FALSE
),
"REVISAR"
)
</f>
        <v>PENDIENTE</v>
      </c>
      <c r="P571" s="118"/>
      <c r="Q571" s="122">
        <f t="shared" si="1"/>
        <v>0</v>
      </c>
      <c r="R571" s="118"/>
      <c r="S571" s="118"/>
      <c r="T571" s="118">
        <f t="array" ref="T571">IFERROR(
INDEX(REPORTE_DROPI!B:B,
MATCH(
CLEAN(TRIM(C571)),
CLEAN(TRIM(REPORTE_DROPI!E:E)),
0
)
),
""
)
</f>
        <v>4152171</v>
      </c>
      <c r="U571" s="118">
        <v>6.415715663916E12</v>
      </c>
      <c r="V571" s="78"/>
      <c r="W571" s="78"/>
      <c r="X571" s="78"/>
      <c r="Y571" s="78"/>
      <c r="Z571" s="78"/>
    </row>
    <row r="572" ht="22.5" customHeight="1">
      <c r="A572" s="118">
        <v>571.0</v>
      </c>
      <c r="B572" s="119">
        <v>46037.0</v>
      </c>
      <c r="C572" s="118" t="s">
        <v>4852</v>
      </c>
      <c r="D572" s="118" t="str">
        <f>IFERROR(__xludf.DUMMYFUNCTION("IFERROR(
  INDEX(
    FILTER(
      'NOMBRE DE PRODUCTOS'!B:B,
      REGEXMATCH(
        UPPER(
          INDEX(
            REPORTE_DROPI!AC:AC,
            MATCH(T572, REPORTE_DROPI!B:B, 0)
          )
        ),
        UPPER('NOMBRE DE PRODUCTOS'!A:A)"&amp;"
      )
    ),
    1
  ),
  ""REVISAR""
)
"),"Cuchillo Tazaki™")</f>
        <v>Cuchillo Tazaki™</v>
      </c>
      <c r="E572" s="120">
        <f t="array" ref="E572">IF(
UPPER(TRIM(CLEAN($O572)))="ENTREGADO",
IFERROR(
INDEX(REPORTE_DROPI!Y:Y,
MATCH($T572, REPORTE_DROPI!B:B, 0)
),
""
),
""
)
</f>
        <v>5.2</v>
      </c>
      <c r="F572" s="121">
        <v>2.0</v>
      </c>
      <c r="G572" s="122">
        <f t="array" ref="G572">IF(
UPPER(TRIM(CLEAN($O572)))="ENTREGADO",
IFERROR(
INDEX(REPORTE_DROPI!R:R,
MATCH($T572, REPORTE_DROPI!B:B, 0)
),
""
),
""
)
</f>
        <v>22</v>
      </c>
      <c r="H572" s="118" t="s">
        <v>3727</v>
      </c>
      <c r="I572" s="118" t="s">
        <v>3740</v>
      </c>
      <c r="J572" s="121">
        <f t="array" ref="J572">IF(
UPPER(TRIM(CLEAN($O572)))="ENTREGADO",
IFERROR(
INDEX(REPORTE_DROPI!T:T,
MATCH($T572, REPORTE_DROPI!B:B, 0)
),
""
),
""
)
</f>
        <v>5.67</v>
      </c>
      <c r="K572" s="118">
        <f t="array" ref="K572">IFERROR(
INDEX(REPORTE_DROPI!S:S,
MATCH($T572, REPORTE_DROPI!B:B, 0)
),
""
)
</f>
        <v>11.13</v>
      </c>
      <c r="L572" s="118" t="str">
        <f>IF(
  O572&lt;&gt;"DEVOLUCION",
  "",
  IF(
    T572="",
    "",
    SUMIF(DEVOLUCION!F:F, T572, DEVOLUCION!D:D)
  )
)
</f>
        <v/>
      </c>
      <c r="M572" s="118" t="s">
        <v>3870</v>
      </c>
      <c r="N572" s="130" t="s">
        <v>4853</v>
      </c>
      <c r="O572" s="118" t="str">
        <f t="array" ref="O572">IFERROR(
VLOOKUP(
TRIM(CLEAN(
INDEX(REPORTE_DROPI!K:K,
MATCH(T572, REPORTE_DROPI!B:B, 0)
))),
{
TRIM(CLEAN(MAPA_ESTADOS!A:A)) ,
MAPA_ESTADOS!B:B
},
2,
FALSE
),
"REVISAR"
)
</f>
        <v>ENTREGADO</v>
      </c>
      <c r="P572" s="118"/>
      <c r="Q572" s="122">
        <f t="shared" si="1"/>
        <v>0</v>
      </c>
      <c r="R572" s="118"/>
      <c r="S572" s="118"/>
      <c r="T572" s="118">
        <f t="array" ref="T572">IFERROR(
INDEX(REPORTE_DROPI!B:B,
MATCH(
CLEAN(TRIM(C572)),
CLEAN(TRIM(REPORTE_DROPI!E:E)),
0
)
),
""
)
</f>
        <v>4152179</v>
      </c>
      <c r="U572" s="118">
        <v>6.415718154284E12</v>
      </c>
      <c r="V572" s="78"/>
      <c r="W572" s="78"/>
      <c r="X572" s="78"/>
      <c r="Y572" s="78"/>
      <c r="Z572" s="78"/>
    </row>
    <row r="573" ht="22.5" customHeight="1">
      <c r="A573" s="118">
        <v>572.0</v>
      </c>
      <c r="B573" s="119">
        <v>46037.0</v>
      </c>
      <c r="C573" s="118" t="s">
        <v>4854</v>
      </c>
      <c r="D573" s="118" t="str">
        <f>IFERROR(__xludf.DUMMYFUNCTION("IFERROR(
  INDEX(
    FILTER(
      'NOMBRE DE PRODUCTOS'!B:B,
      REGEXMATCH(
        UPPER(
          INDEX(
            REPORTE_DROPI!AC:AC,
            MATCH(T573, REPORTE_DROPI!B:B, 0)
          )
        ),
        UPPER('NOMBRE DE PRODUCTOS'!A:A)"&amp;"
      )
    ),
    1
  ),
  ""REVISAR""
)
"),"Cuchillo Tazaki™")</f>
        <v>Cuchillo Tazaki™</v>
      </c>
      <c r="E573" s="120" t="str">
        <f t="array" ref="E573">IF(
UPPER(TRIM(CLEAN($O573)))="ENTREGADO",
IFERROR(
INDEX(REPORTE_DROPI!Y:Y,
MATCH($T573, REPORTE_DROPI!B:B, 0)
),
""
),
""
)
</f>
        <v/>
      </c>
      <c r="F573" s="121">
        <v>2.0</v>
      </c>
      <c r="G573" s="122" t="str">
        <f t="array" ref="G573">IF(
UPPER(TRIM(CLEAN($O573)))="ENTREGADO",
IFERROR(
INDEX(REPORTE_DROPI!R:R,
MATCH($T573, REPORTE_DROPI!B:B, 0)
),
""
),
""
)
</f>
        <v/>
      </c>
      <c r="H573" s="118" t="s">
        <v>3727</v>
      </c>
      <c r="I573" s="118" t="s">
        <v>3735</v>
      </c>
      <c r="J573" s="121" t="str">
        <f t="array" ref="J573">IF(
UPPER(TRIM(CLEAN($O573)))="ENTREGADO",
IFERROR(
INDEX(REPORTE_DROPI!T:T,
MATCH($T573, REPORTE_DROPI!B:B, 0)
),
""
),
""
)
</f>
        <v/>
      </c>
      <c r="K573" s="118" t="str">
        <f t="array" ref="K573">IFERROR(
INDEX(REPORTE_DROPI!S:S,
MATCH($T573, REPORTE_DROPI!B:B, 0)
),
""
)
</f>
        <v/>
      </c>
      <c r="L573" s="118">
        <f>IF(
  O573&lt;&gt;"DEVOLUCION",
  "",
  IF(
    T573="",
    "",
    SUMIF(DEVOLUCION!F:F, T573, DEVOLUCION!D:D)
  )
)
</f>
        <v>5.65</v>
      </c>
      <c r="M573" s="118" t="s">
        <v>3870</v>
      </c>
      <c r="N573" s="130" t="s">
        <v>4855</v>
      </c>
      <c r="O573" s="118" t="str">
        <f t="array" ref="O573">IFERROR(
VLOOKUP(
TRIM(CLEAN(
INDEX(REPORTE_DROPI!K:K,
MATCH(T573, REPORTE_DROPI!B:B, 0)
))),
{
TRIM(CLEAN(MAPA_ESTADOS!A:A)) ,
MAPA_ESTADOS!B:B
},
2,
FALSE
),
"REVISAR"
)
</f>
        <v>DEVOLUCION</v>
      </c>
      <c r="P573" s="118"/>
      <c r="Q573" s="122">
        <f t="shared" si="1"/>
        <v>0</v>
      </c>
      <c r="R573" s="118"/>
      <c r="S573" s="118"/>
      <c r="T573" s="118">
        <f t="array" ref="T573">IFERROR(
INDEX(REPORTE_DROPI!B:B,
MATCH(
CLEAN(TRIM(C573)),
CLEAN(TRIM(REPORTE_DROPI!E:E)),
0
)
),
""
)
</f>
        <v>4152183</v>
      </c>
      <c r="U573" s="118">
        <v>6.41571969438E12</v>
      </c>
      <c r="V573" s="78"/>
      <c r="W573" s="78"/>
      <c r="X573" s="78"/>
      <c r="Y573" s="78"/>
      <c r="Z573" s="78"/>
    </row>
    <row r="574" ht="22.5" customHeight="1">
      <c r="A574" s="118">
        <v>573.0</v>
      </c>
      <c r="B574" s="119">
        <v>46037.0</v>
      </c>
      <c r="C574" s="118" t="s">
        <v>4856</v>
      </c>
      <c r="D574" s="118" t="str">
        <f>IFERROR(__xludf.DUMMYFUNCTION("IFERROR(
  INDEX(
    FILTER(
      'NOMBRE DE PRODUCTOS'!B:B,
      REGEXMATCH(
        UPPER(
          INDEX(
            REPORTE_DROPI!AC:AC,
            MATCH(T574, REPORTE_DROPI!B:B, 0)
          )
        ),
        UPPER('NOMBRE DE PRODUCTOS'!A:A)"&amp;"
      )
    ),
    1
  ),
  ""REVISAR""
)
"),"Cuchillo Tazaki™")</f>
        <v>Cuchillo Tazaki™</v>
      </c>
      <c r="E574" s="120">
        <f t="array" ref="E574">IF(
UPPER(TRIM(CLEAN($O574)))="ENTREGADO",
IFERROR(
INDEX(REPORTE_DROPI!Y:Y,
MATCH($T574, REPORTE_DROPI!B:B, 0)
),
""
),
""
)
</f>
        <v>5.2</v>
      </c>
      <c r="F574" s="121">
        <v>2.0</v>
      </c>
      <c r="G574" s="122">
        <f t="array" ref="G574">IF(
UPPER(TRIM(CLEAN($O574)))="ENTREGADO",
IFERROR(
INDEX(REPORTE_DROPI!R:R,
MATCH($T574, REPORTE_DROPI!B:B, 0)
),
""
),
""
)
</f>
        <v>22</v>
      </c>
      <c r="H574" s="118" t="s">
        <v>3727</v>
      </c>
      <c r="I574" s="118" t="s">
        <v>3731</v>
      </c>
      <c r="J574" s="121">
        <f t="array" ref="J574">IF(
UPPER(TRIM(CLEAN($O574)))="ENTREGADO",
IFERROR(
INDEX(REPORTE_DROPI!T:T,
MATCH($T574, REPORTE_DROPI!B:B, 0)
),
""
),
""
)
</f>
        <v>5.84</v>
      </c>
      <c r="K574" s="118">
        <f t="array" ref="K574">IFERROR(
INDEX(REPORTE_DROPI!S:S,
MATCH($T574, REPORTE_DROPI!B:B, 0)
),
""
)
</f>
        <v>10.96</v>
      </c>
      <c r="L574" s="118" t="str">
        <f>IF(
  O574&lt;&gt;"DEVOLUCION",
  "",
  IF(
    T574="",
    "",
    SUMIF(DEVOLUCION!F:F, T574, DEVOLUCION!D:D)
  )
)
</f>
        <v/>
      </c>
      <c r="M574" s="118" t="s">
        <v>3870</v>
      </c>
      <c r="N574" s="130" t="s">
        <v>4857</v>
      </c>
      <c r="O574" s="118" t="str">
        <f t="array" ref="O574">IFERROR(
VLOOKUP(
TRIM(CLEAN(
INDEX(REPORTE_DROPI!K:K,
MATCH(T574, REPORTE_DROPI!B:B, 0)
))),
{
TRIM(CLEAN(MAPA_ESTADOS!A:A)) ,
MAPA_ESTADOS!B:B
},
2,
FALSE
),
"REVISAR"
)
</f>
        <v>ENTREGADO</v>
      </c>
      <c r="P574" s="118"/>
      <c r="Q574" s="122">
        <f t="shared" si="1"/>
        <v>0</v>
      </c>
      <c r="R574" s="118"/>
      <c r="S574" s="118"/>
      <c r="T574" s="118">
        <f t="array" ref="T574">IFERROR(
INDEX(REPORTE_DROPI!B:B,
MATCH(
CLEAN(TRIM(C574)),
CLEAN(TRIM(REPORTE_DROPI!E:E)),
0
)
),
""
)
</f>
        <v>4152246</v>
      </c>
      <c r="U574" s="118">
        <v>6.415749808172E12</v>
      </c>
      <c r="V574" s="78"/>
      <c r="W574" s="78"/>
      <c r="X574" s="78"/>
      <c r="Y574" s="78"/>
      <c r="Z574" s="78"/>
    </row>
    <row r="575" ht="22.5" customHeight="1">
      <c r="A575" s="118">
        <v>574.0</v>
      </c>
      <c r="B575" s="119">
        <v>46037.0</v>
      </c>
      <c r="C575" s="118" t="s">
        <v>4858</v>
      </c>
      <c r="D575" s="118" t="str">
        <f>IFERROR(__xludf.DUMMYFUNCTION("IFERROR(
  INDEX(
    FILTER(
      'NOMBRE DE PRODUCTOS'!B:B,
      REGEXMATCH(
        UPPER(
          INDEX(
            REPORTE_DROPI!AC:AC,
            MATCH(T575, REPORTE_DROPI!B:B, 0)
          )
        ),
        UPPER('NOMBRE DE PRODUCTOS'!A:A)"&amp;"
      )
    ),
    1
  ),
  ""REVISAR""
)
"),"Cuchillo Tazaki™")</f>
        <v>Cuchillo Tazaki™</v>
      </c>
      <c r="E575" s="120">
        <f t="array" ref="E575">IF(
UPPER(TRIM(CLEAN($O575)))="ENTREGADO",
IFERROR(
INDEX(REPORTE_DROPI!Y:Y,
MATCH($T575, REPORTE_DROPI!B:B, 0)
),
""
),
""
)
</f>
        <v>5.2</v>
      </c>
      <c r="F575" s="121">
        <v>2.0</v>
      </c>
      <c r="G575" s="122">
        <f t="array" ref="G575">IF(
UPPER(TRIM(CLEAN($O575)))="ENTREGADO",
IFERROR(
INDEX(REPORTE_DROPI!R:R,
MATCH($T575, REPORTE_DROPI!B:B, 0)
),
""
),
""
)
</f>
        <v>22</v>
      </c>
      <c r="H575" s="118" t="s">
        <v>3727</v>
      </c>
      <c r="I575" s="118" t="s">
        <v>3778</v>
      </c>
      <c r="J575" s="121">
        <f t="array" ref="J575">IF(
UPPER(TRIM(CLEAN($O575)))="ENTREGADO",
IFERROR(
INDEX(REPORTE_DROPI!T:T,
MATCH($T575, REPORTE_DROPI!B:B, 0)
),
""
),
""
)
</f>
        <v>5.84</v>
      </c>
      <c r="K575" s="118">
        <f t="array" ref="K575">IFERROR(
INDEX(REPORTE_DROPI!S:S,
MATCH($T575, REPORTE_DROPI!B:B, 0)
),
""
)
</f>
        <v>10.96</v>
      </c>
      <c r="L575" s="118" t="str">
        <f>IF(
  O575&lt;&gt;"DEVOLUCION",
  "",
  IF(
    T575="",
    "",
    SUMIF(DEVOLUCION!F:F, T575, DEVOLUCION!D:D)
  )
)
</f>
        <v/>
      </c>
      <c r="M575" s="118" t="s">
        <v>3870</v>
      </c>
      <c r="N575" s="130" t="s">
        <v>4859</v>
      </c>
      <c r="O575" s="118" t="str">
        <f t="array" ref="O575">IFERROR(
VLOOKUP(
TRIM(CLEAN(
INDEX(REPORTE_DROPI!K:K,
MATCH(T575, REPORTE_DROPI!B:B, 0)
))),
{
TRIM(CLEAN(MAPA_ESTADOS!A:A)) ,
MAPA_ESTADOS!B:B
},
2,
FALSE
),
"REVISAR"
)
</f>
        <v>ENTREGADO</v>
      </c>
      <c r="P575" s="118"/>
      <c r="Q575" s="122">
        <f t="shared" si="1"/>
        <v>0</v>
      </c>
      <c r="R575" s="118"/>
      <c r="S575" s="118"/>
      <c r="T575" s="118">
        <f t="array" ref="T575">IFERROR(
INDEX(REPORTE_DROPI!B:B,
MATCH(
CLEAN(TRIM(C575)),
CLEAN(TRIM(REPORTE_DROPI!E:E)),
0
)
),
""
)
</f>
        <v>4152256</v>
      </c>
      <c r="U575" s="118">
        <v>6.415753674796E12</v>
      </c>
      <c r="V575" s="78"/>
      <c r="W575" s="78"/>
      <c r="X575" s="78"/>
      <c r="Y575" s="78"/>
      <c r="Z575" s="78"/>
    </row>
    <row r="576" ht="22.5" customHeight="1">
      <c r="A576" s="118">
        <v>575.0</v>
      </c>
      <c r="B576" s="119">
        <v>46037.0</v>
      </c>
      <c r="C576" s="118" t="s">
        <v>4860</v>
      </c>
      <c r="D576" s="118" t="str">
        <f>IFERROR(__xludf.DUMMYFUNCTION("IFERROR(
  INDEX(
    FILTER(
      'NOMBRE DE PRODUCTOS'!B:B,
      REGEXMATCH(
        UPPER(
          INDEX(
            REPORTE_DROPI!AC:AC,
            MATCH(T576, REPORTE_DROPI!B:B, 0)
          )
        ),
        UPPER('NOMBRE DE PRODUCTOS'!A:A)"&amp;"
      )
    ),
    1
  ),
  ""REVISAR""
)
"),"FilmPro®")</f>
        <v>FilmPro®</v>
      </c>
      <c r="E576" s="120">
        <f t="array" ref="E576">IF(
UPPER(TRIM(CLEAN($O576)))="ENTREGADO",
IFERROR(
INDEX(REPORTE_DROPI!Y:Y,
MATCH($T576, REPORTE_DROPI!B:B, 0)
),
""
),
""
)
</f>
        <v>4.7</v>
      </c>
      <c r="F576" s="121">
        <v>2.0</v>
      </c>
      <c r="G576" s="122">
        <f t="array" ref="G576">IF(
UPPER(TRIM(CLEAN($O576)))="ENTREGADO",
IFERROR(
INDEX(REPORTE_DROPI!R:R,
MATCH($T576, REPORTE_DROPI!B:B, 0)
),
""
),
""
)
</f>
        <v>25</v>
      </c>
      <c r="H576" s="118" t="s">
        <v>3727</v>
      </c>
      <c r="I576" s="118" t="s">
        <v>3951</v>
      </c>
      <c r="J576" s="121">
        <f t="array" ref="J576">IF(
UPPER(TRIM(CLEAN($O576)))="ENTREGADO",
IFERROR(
INDEX(REPORTE_DROPI!T:T,
MATCH($T576, REPORTE_DROPI!B:B, 0)
),
""
),
""
)
</f>
        <v>7.75</v>
      </c>
      <c r="K576" s="118">
        <f t="array" ref="K576">IFERROR(
INDEX(REPORTE_DROPI!S:S,
MATCH($T576, REPORTE_DROPI!B:B, 0)
),
""
)
</f>
        <v>12.55</v>
      </c>
      <c r="L576" s="118" t="str">
        <f>IF(
  O576&lt;&gt;"DEVOLUCION",
  "",
  IF(
    T576="",
    "",
    SUMIF(DEVOLUCION!F:F, T576, DEVOLUCION!D:D)
  )
)
</f>
        <v/>
      </c>
      <c r="M576" s="118" t="s">
        <v>3870</v>
      </c>
      <c r="N576" s="130" t="s">
        <v>4861</v>
      </c>
      <c r="O576" s="118" t="str">
        <f t="array" ref="O576">IFERROR(
VLOOKUP(
TRIM(CLEAN(
INDEX(REPORTE_DROPI!K:K,
MATCH(T576, REPORTE_DROPI!B:B, 0)
))),
{
TRIM(CLEAN(MAPA_ESTADOS!A:A)) ,
MAPA_ESTADOS!B:B
},
2,
FALSE
),
"REVISAR"
)
</f>
        <v>ENTREGADO</v>
      </c>
      <c r="P576" s="118"/>
      <c r="Q576" s="122">
        <f t="shared" si="1"/>
        <v>0</v>
      </c>
      <c r="R576" s="118"/>
      <c r="S576" s="118"/>
      <c r="T576" s="118">
        <f t="array" ref="T576">IFERROR(
INDEX(REPORTE_DROPI!B:B,
MATCH(
CLEAN(TRIM(C576)),
CLEAN(TRIM(REPORTE_DROPI!E:E)),
0
)
),
""
)
</f>
        <v>4152287</v>
      </c>
      <c r="U576" s="118">
        <v>6.415763832876E12</v>
      </c>
      <c r="V576" s="78"/>
      <c r="W576" s="78"/>
      <c r="X576" s="78"/>
      <c r="Y576" s="78"/>
      <c r="Z576" s="78"/>
    </row>
    <row r="577" ht="22.5" customHeight="1">
      <c r="A577" s="118">
        <v>576.0</v>
      </c>
      <c r="B577" s="119">
        <v>46037.0</v>
      </c>
      <c r="C577" s="126" t="s">
        <v>4862</v>
      </c>
      <c r="D577" s="118" t="str">
        <f>IFERROR(__xludf.DUMMYFUNCTION("IFERROR(
  INDEX(
    FILTER(
      'NOMBRE DE PRODUCTOS'!B:B,
      REGEXMATCH(
        UPPER(
          INDEX(
            REPORTE_DROPI!AC:AC,
            MATCH(T577, REPORTE_DROPI!B:B, 0)
          )
        ),
        UPPER('NOMBRE DE PRODUCTOS'!A:A)"&amp;"
      )
    ),
    1
  ),
  ""REVISAR""
)
"),"Cuchillo Tazaki™")</f>
        <v>Cuchillo Tazaki™</v>
      </c>
      <c r="E577" s="120" t="str">
        <f t="array" ref="E577">IF(
UPPER(TRIM(CLEAN($O577)))="ENTREGADO",
IFERROR(
INDEX(REPORTE_DROPI!Y:Y,
MATCH($T577, REPORTE_DROPI!B:B, 0)
),
""
),
""
)
</f>
        <v/>
      </c>
      <c r="F577" s="121">
        <v>3.0</v>
      </c>
      <c r="G577" s="122" t="str">
        <f t="array" ref="G577">IF(
UPPER(TRIM(CLEAN($O577)))="ENTREGADO",
IFERROR(
INDEX(REPORTE_DROPI!R:R,
MATCH($T577, REPORTE_DROPI!B:B, 0)
),
""
),
""
)
</f>
        <v/>
      </c>
      <c r="H577" s="118" t="s">
        <v>3727</v>
      </c>
      <c r="I577" s="118" t="s">
        <v>3979</v>
      </c>
      <c r="J577" s="121" t="str">
        <f t="array" ref="J577">IF(
UPPER(TRIM(CLEAN($O577)))="ENTREGADO",
IFERROR(
INDEX(REPORTE_DROPI!T:T,
MATCH($T577, REPORTE_DROPI!B:B, 0)
),
""
),
""
)
</f>
        <v/>
      </c>
      <c r="K577" s="118" t="str">
        <f t="array" ref="K577">IFERROR(
INDEX(REPORTE_DROPI!S:S,
MATCH($T577, REPORTE_DROPI!B:B, 0)
),
""
)
</f>
        <v/>
      </c>
      <c r="L577" s="118">
        <f>IF(
  O577&lt;&gt;"DEVOLUCION",
  "",
  IF(
    T577="",
    "",
    SUMIF(DEVOLUCION!F:F, T577, DEVOLUCION!D:D)
  )
)
</f>
        <v>5.09</v>
      </c>
      <c r="M577" s="118" t="s">
        <v>3870</v>
      </c>
      <c r="N577" s="130" t="s">
        <v>4863</v>
      </c>
      <c r="O577" s="118" t="str">
        <f t="array" ref="O577">IFERROR(
VLOOKUP(
TRIM(CLEAN(
INDEX(REPORTE_DROPI!K:K,
MATCH(T577, REPORTE_DROPI!B:B, 0)
))),
{
TRIM(CLEAN(MAPA_ESTADOS!A:A)) ,
MAPA_ESTADOS!B:B
},
2,
FALSE
),
"REVISAR"
)
</f>
        <v>DEVOLUCION</v>
      </c>
      <c r="P577" s="118"/>
      <c r="Q577" s="122">
        <f t="shared" si="1"/>
        <v>0</v>
      </c>
      <c r="R577" s="118"/>
      <c r="S577" s="118"/>
      <c r="T577" s="118">
        <f t="array" ref="T577">IFERROR(
INDEX(REPORTE_DROPI!B:B,
MATCH(
CLEAN(TRIM(C577)),
CLEAN(TRIM(REPORTE_DROPI!E:E)),
0
)
),
""
)
</f>
        <v>4152312</v>
      </c>
      <c r="U577" s="118">
        <v>6.41577064862E12</v>
      </c>
      <c r="V577" s="78"/>
      <c r="W577" s="78"/>
      <c r="X577" s="78"/>
      <c r="Y577" s="78"/>
      <c r="Z577" s="78"/>
    </row>
    <row r="578" ht="22.5" customHeight="1">
      <c r="A578" s="118">
        <v>577.0</v>
      </c>
      <c r="B578" s="119">
        <v>46037.0</v>
      </c>
      <c r="C578" s="118" t="s">
        <v>4864</v>
      </c>
      <c r="D578" s="118" t="str">
        <f>IFERROR(__xludf.DUMMYFUNCTION("IFERROR(
  INDEX(
    FILTER(
      'NOMBRE DE PRODUCTOS'!B:B,
      REGEXMATCH(
        UPPER(
          INDEX(
            REPORTE_DROPI!AC:AC,
            MATCH(T578, REPORTE_DROPI!B:B, 0)
          )
        ),
        UPPER('NOMBRE DE PRODUCTOS'!A:A)"&amp;"
      )
    ),
    1
  ),
  ""REVISAR""
)
"),"Cuchillo Tazaki™")</f>
        <v>Cuchillo Tazaki™</v>
      </c>
      <c r="E578" s="120">
        <f t="array" ref="E578">IF(
UPPER(TRIM(CLEAN($O578)))="ENTREGADO",
IFERROR(
INDEX(REPORTE_DROPI!Y:Y,
MATCH($T578, REPORTE_DROPI!B:B, 0)
),
""
),
""
)
</f>
        <v>5.2</v>
      </c>
      <c r="F578" s="121">
        <v>2.0</v>
      </c>
      <c r="G578" s="122">
        <f t="array" ref="G578">IF(
UPPER(TRIM(CLEAN($O578)))="ENTREGADO",
IFERROR(
INDEX(REPORTE_DROPI!R:R,
MATCH($T578, REPORTE_DROPI!B:B, 0)
),
""
),
""
)
</f>
        <v>22</v>
      </c>
      <c r="H578" s="118" t="s">
        <v>3727</v>
      </c>
      <c r="I578" s="118" t="s">
        <v>3731</v>
      </c>
      <c r="J578" s="121">
        <f t="array" ref="J578">IF(
UPPER(TRIM(CLEAN($O578)))="ENTREGADO",
IFERROR(
INDEX(REPORTE_DROPI!T:T,
MATCH($T578, REPORTE_DROPI!B:B, 0)
),
""
),
""
)
</f>
        <v>5.84</v>
      </c>
      <c r="K578" s="118">
        <f t="array" ref="K578">IFERROR(
INDEX(REPORTE_DROPI!S:S,
MATCH($T578, REPORTE_DROPI!B:B, 0)
),
""
)
</f>
        <v>10.96</v>
      </c>
      <c r="L578" s="118" t="str">
        <f>IF(
  O578&lt;&gt;"DEVOLUCION",
  "",
  IF(
    T578="",
    "",
    SUMIF(DEVOLUCION!F:F, T578, DEVOLUCION!D:D)
  )
)
</f>
        <v/>
      </c>
      <c r="M578" s="118" t="s">
        <v>3870</v>
      </c>
      <c r="N578" s="130" t="s">
        <v>4865</v>
      </c>
      <c r="O578" s="118" t="str">
        <f t="array" ref="O578">IFERROR(
VLOOKUP(
TRIM(CLEAN(
INDEX(REPORTE_DROPI!K:K,
MATCH(T578, REPORTE_DROPI!B:B, 0)
))),
{
TRIM(CLEAN(MAPA_ESTADOS!A:A)) ,
MAPA_ESTADOS!B:B
},
2,
FALSE
),
"REVISAR"
)
</f>
        <v>ENTREGADO</v>
      </c>
      <c r="P578" s="118"/>
      <c r="Q578" s="122">
        <f t="shared" si="1"/>
        <v>0</v>
      </c>
      <c r="R578" s="118"/>
      <c r="S578" s="118"/>
      <c r="T578" s="118">
        <f t="array" ref="T578">IFERROR(
INDEX(REPORTE_DROPI!B:B,
MATCH(
CLEAN(TRIM(C578)),
CLEAN(TRIM(REPORTE_DROPI!E:E)),
0
)
),
""
)
</f>
        <v>4152490</v>
      </c>
      <c r="U578" s="118">
        <v>6.415821144108E12</v>
      </c>
      <c r="V578" s="78"/>
      <c r="W578" s="78"/>
      <c r="X578" s="78"/>
      <c r="Y578" s="78"/>
      <c r="Z578" s="78"/>
    </row>
    <row r="579" ht="22.5" customHeight="1">
      <c r="A579" s="118">
        <v>578.0</v>
      </c>
      <c r="B579" s="119">
        <v>46037.0</v>
      </c>
      <c r="C579" s="126" t="s">
        <v>4866</v>
      </c>
      <c r="D579" s="118" t="str">
        <f>IFERROR(__xludf.DUMMYFUNCTION("IFERROR(
  INDEX(
    FILTER(
      'NOMBRE DE PRODUCTOS'!B:B,
      REGEXMATCH(
        UPPER(
          INDEX(
            REPORTE_DROPI!AC:AC,
            MATCH(T579, REPORTE_DROPI!B:B, 0)
          )
        ),
        UPPER('NOMBRE DE PRODUCTOS'!A:A)"&amp;"
      )
    ),
    1
  ),
  ""REVISAR""
)
"),"FilmPro®")</f>
        <v>FilmPro®</v>
      </c>
      <c r="E579" s="120" t="str">
        <f t="array" ref="E579">IF(
UPPER(TRIM(CLEAN($O579)))="ENTREGADO",
IFERROR(
INDEX(REPORTE_DROPI!Y:Y,
MATCH($T579, REPORTE_DROPI!B:B, 0)
),
""
),
""
)
</f>
        <v/>
      </c>
      <c r="F579" s="121">
        <v>2.0</v>
      </c>
      <c r="G579" s="122" t="str">
        <f t="array" ref="G579">IF(
UPPER(TRIM(CLEAN($O579)))="ENTREGADO",
IFERROR(
INDEX(REPORTE_DROPI!R:R,
MATCH($T579, REPORTE_DROPI!B:B, 0)
),
""
),
""
)
</f>
        <v/>
      </c>
      <c r="H579" s="118" t="s">
        <v>3727</v>
      </c>
      <c r="I579" s="118" t="s">
        <v>3740</v>
      </c>
      <c r="J579" s="121" t="str">
        <f t="array" ref="J579">IF(
UPPER(TRIM(CLEAN($O579)))="ENTREGADO",
IFERROR(
INDEX(REPORTE_DROPI!T:T,
MATCH($T579, REPORTE_DROPI!B:B, 0)
),
""
),
""
)
</f>
        <v/>
      </c>
      <c r="K579" s="118" t="str">
        <f t="array" ref="K579">IFERROR(
INDEX(REPORTE_DROPI!S:S,
MATCH($T579, REPORTE_DROPI!B:B, 0)
),
""
)
</f>
        <v/>
      </c>
      <c r="L579" s="118">
        <f>IF(
  O579&lt;&gt;"DEVOLUCION",
  "",
  IF(
    T579="",
    "",
    SUMIF(DEVOLUCION!F:F, T579, DEVOLUCION!D:D)
  )
)
</f>
        <v>5.09</v>
      </c>
      <c r="M579" s="118" t="s">
        <v>3870</v>
      </c>
      <c r="N579" s="130" t="s">
        <v>4867</v>
      </c>
      <c r="O579" s="118" t="str">
        <f t="array" ref="O579">IFERROR(
VLOOKUP(
TRIM(CLEAN(
INDEX(REPORTE_DROPI!K:K,
MATCH(T579, REPORTE_DROPI!B:B, 0)
))),
{
TRIM(CLEAN(MAPA_ESTADOS!A:A)) ,
MAPA_ESTADOS!B:B
},
2,
FALSE
),
"REVISAR"
)
</f>
        <v>DEVOLUCION</v>
      </c>
      <c r="P579" s="118"/>
      <c r="Q579" s="122">
        <f t="shared" si="1"/>
        <v>0</v>
      </c>
      <c r="R579" s="118"/>
      <c r="S579" s="118"/>
      <c r="T579" s="118">
        <f t="array" ref="T579">IFERROR(
INDEX(REPORTE_DROPI!B:B,
MATCH(
CLEAN(TRIM(C579)),
CLEAN(TRIM(REPORTE_DROPI!E:E)),
0
)
),
""
)
</f>
        <v>4152639</v>
      </c>
      <c r="U579" s="118">
        <v>6.415967060012E12</v>
      </c>
      <c r="V579" s="78"/>
      <c r="W579" s="78"/>
      <c r="X579" s="78"/>
      <c r="Y579" s="78"/>
      <c r="Z579" s="78"/>
    </row>
    <row r="580" ht="22.5" customHeight="1">
      <c r="A580" s="118">
        <v>579.0</v>
      </c>
      <c r="B580" s="119">
        <v>46037.0</v>
      </c>
      <c r="C580" s="126" t="s">
        <v>4868</v>
      </c>
      <c r="D580" s="118" t="str">
        <f>IFERROR(__xludf.DUMMYFUNCTION("IFERROR(
  INDEX(
    FILTER(
      'NOMBRE DE PRODUCTOS'!B:B,
      REGEXMATCH(
        UPPER(
          INDEX(
            REPORTE_DROPI!AC:AC,
            MATCH(T580, REPORTE_DROPI!B:B, 0)
          )
        ),
        UPPER('NOMBRE DE PRODUCTOS'!A:A)"&amp;"
      )
    ),
    1
  ),
  ""REVISAR""
)
"),"Cuchillo Tazaki™")</f>
        <v>Cuchillo Tazaki™</v>
      </c>
      <c r="E580" s="120" t="str">
        <f t="array" ref="E580">IF(
UPPER(TRIM(CLEAN($O580)))="ENTREGADO",
IFERROR(
INDEX(REPORTE_DROPI!Y:Y,
MATCH($T580, REPORTE_DROPI!B:B, 0)
),
""
),
""
)
</f>
        <v/>
      </c>
      <c r="F580" s="121">
        <v>4.0</v>
      </c>
      <c r="G580" s="122" t="str">
        <f t="array" ref="G580">IF(
UPPER(TRIM(CLEAN($O580)))="ENTREGADO",
IFERROR(
INDEX(REPORTE_DROPI!R:R,
MATCH($T580, REPORTE_DROPI!B:B, 0)
),
""
),
""
)
</f>
        <v/>
      </c>
      <c r="H580" s="118" t="s">
        <v>3727</v>
      </c>
      <c r="I580" s="118" t="s">
        <v>3778</v>
      </c>
      <c r="J580" s="121" t="str">
        <f t="array" ref="J580">IF(
UPPER(TRIM(CLEAN($O580)))="ENTREGADO",
IFERROR(
INDEX(REPORTE_DROPI!T:T,
MATCH($T580, REPORTE_DROPI!B:B, 0)
),
""
),
""
)
</f>
        <v/>
      </c>
      <c r="K580" s="118" t="str">
        <f t="array" ref="K580">IFERROR(
INDEX(REPORTE_DROPI!S:S,
MATCH($T580, REPORTE_DROPI!B:B, 0)
),
""
)
</f>
        <v/>
      </c>
      <c r="L580" s="118">
        <f>IF(
  O580&lt;&gt;"DEVOLUCION",
  "",
  IF(
    T580="",
    "",
    SUMIF(DEVOLUCION!F:F, T580, DEVOLUCION!D:D)
  )
)
</f>
        <v>5.13</v>
      </c>
      <c r="M580" s="118" t="s">
        <v>3870</v>
      </c>
      <c r="N580" s="130" t="s">
        <v>4869</v>
      </c>
      <c r="O580" s="118" t="str">
        <f t="array" ref="O580">IFERROR(
VLOOKUP(
TRIM(CLEAN(
INDEX(REPORTE_DROPI!K:K,
MATCH(T580, REPORTE_DROPI!B:B, 0)
))),
{
TRIM(CLEAN(MAPA_ESTADOS!A:A)) ,
MAPA_ESTADOS!B:B
},
2,
FALSE
),
"REVISAR"
)
</f>
        <v>DEVOLUCION</v>
      </c>
      <c r="P580" s="118"/>
      <c r="Q580" s="122">
        <f t="shared" si="1"/>
        <v>0</v>
      </c>
      <c r="R580" s="118"/>
      <c r="S580" s="118"/>
      <c r="T580" s="118">
        <f t="array" ref="T580">IFERROR(
INDEX(REPORTE_DROPI!B:B,
MATCH(
CLEAN(TRIM(C580)),
CLEAN(TRIM(REPORTE_DROPI!E:E)),
0
)
),
""
)
</f>
        <v>4152907</v>
      </c>
      <c r="U580" s="118">
        <v>6.416052387884E12</v>
      </c>
      <c r="V580" s="78"/>
      <c r="W580" s="78"/>
      <c r="X580" s="78"/>
      <c r="Y580" s="78"/>
      <c r="Z580" s="78"/>
    </row>
    <row r="581" ht="22.5" customHeight="1">
      <c r="A581" s="118">
        <v>580.0</v>
      </c>
      <c r="B581" s="119">
        <v>46037.0</v>
      </c>
      <c r="C581" s="118" t="s">
        <v>4870</v>
      </c>
      <c r="D581" s="118" t="str">
        <f>IFERROR(__xludf.DUMMYFUNCTION("IFERROR(
  INDEX(
    FILTER(
      'NOMBRE DE PRODUCTOS'!B:B,
      REGEXMATCH(
        UPPER(
          INDEX(
            REPORTE_DROPI!AC:AC,
            MATCH(T581, REPORTE_DROPI!B:B, 0)
          )
        ),
        UPPER('NOMBRE DE PRODUCTOS'!A:A)"&amp;"
      )
    ),
    1
  ),
  ""REVISAR""
)
"),"FilmPro®")</f>
        <v>FilmPro®</v>
      </c>
      <c r="E581" s="120">
        <f t="array" ref="E581">IF(
UPPER(TRIM(CLEAN($O581)))="ENTREGADO",
IFERROR(
INDEX(REPORTE_DROPI!Y:Y,
MATCH($T581, REPORTE_DROPI!B:B, 0)
),
""
),
""
)
</f>
        <v>7.05</v>
      </c>
      <c r="F581" s="121">
        <v>3.0</v>
      </c>
      <c r="G581" s="122">
        <f t="array" ref="G581">IF(
UPPER(TRIM(CLEAN($O581)))="ENTREGADO",
IFERROR(
INDEX(REPORTE_DROPI!R:R,
MATCH($T581, REPORTE_DROPI!B:B, 0)
),
""
),
""
)
</f>
        <v>30</v>
      </c>
      <c r="H581" s="118" t="s">
        <v>3727</v>
      </c>
      <c r="I581" s="118" t="s">
        <v>3740</v>
      </c>
      <c r="J581" s="121">
        <f t="array" ref="J581">IF(
UPPER(TRIM(CLEAN($O581)))="ENTREGADO",
IFERROR(
INDEX(REPORTE_DROPI!T:T,
MATCH($T581, REPORTE_DROPI!B:B, 0)
),
""
),
""
)
</f>
        <v>6.38</v>
      </c>
      <c r="K581" s="118">
        <f t="array" ref="K581">IFERROR(
INDEX(REPORTE_DROPI!S:S,
MATCH($T581, REPORTE_DROPI!B:B, 0)
),
""
)
</f>
        <v>16.57</v>
      </c>
      <c r="L581" s="118" t="str">
        <f>IF(
  O581&lt;&gt;"DEVOLUCION",
  "",
  IF(
    T581="",
    "",
    SUMIF(DEVOLUCION!F:F, T581, DEVOLUCION!D:D)
  )
)
</f>
        <v/>
      </c>
      <c r="M581" s="118" t="s">
        <v>3870</v>
      </c>
      <c r="N581" s="130" t="s">
        <v>4871</v>
      </c>
      <c r="O581" s="118" t="str">
        <f t="array" ref="O581">IFERROR(
VLOOKUP(
TRIM(CLEAN(
INDEX(REPORTE_DROPI!K:K,
MATCH(T581, REPORTE_DROPI!B:B, 0)
))),
{
TRIM(CLEAN(MAPA_ESTADOS!A:A)) ,
MAPA_ESTADOS!B:B
},
2,
FALSE
),
"REVISAR"
)
</f>
        <v>ENTREGADO</v>
      </c>
      <c r="P581" s="118" t="s">
        <v>3888</v>
      </c>
      <c r="Q581" s="122">
        <f t="shared" si="1"/>
        <v>0</v>
      </c>
      <c r="R581" s="118"/>
      <c r="S581" s="118"/>
      <c r="T581" s="118">
        <f t="array" ref="T581">IFERROR(
INDEX(REPORTE_DROPI!B:B,
MATCH(
CLEAN(TRIM(C581)),
CLEAN(TRIM(REPORTE_DROPI!E:E)),
0
)
),
""
)
</f>
        <v>4168924</v>
      </c>
      <c r="U581" s="118">
        <v>6.41606031774E12</v>
      </c>
      <c r="V581" s="78"/>
      <c r="W581" s="78"/>
      <c r="X581" s="78"/>
      <c r="Y581" s="78"/>
      <c r="Z581" s="78"/>
    </row>
    <row r="582" ht="22.5" customHeight="1">
      <c r="A582" s="118">
        <v>581.0</v>
      </c>
      <c r="B582" s="119">
        <v>46037.0</v>
      </c>
      <c r="C582" s="118" t="s">
        <v>4872</v>
      </c>
      <c r="D582" s="118" t="str">
        <f>IFERROR(__xludf.DUMMYFUNCTION("IFERROR(
  INDEX(
    FILTER(
      'NOMBRE DE PRODUCTOS'!B:B,
      REGEXMATCH(
        UPPER(
          INDEX(
            REPORTE_DROPI!AC:AC,
            MATCH(T582, REPORTE_DROPI!B:B, 0)
          )
        ),
        UPPER('NOMBRE DE PRODUCTOS'!A:A)"&amp;"
      )
    ),
    1
  ),
  ""REVISAR""
)
"),"Cuchillo Tazaki™")</f>
        <v>Cuchillo Tazaki™</v>
      </c>
      <c r="E582" s="120" t="str">
        <f t="array" ref="E582">IF(
UPPER(TRIM(CLEAN($O582)))="ENTREGADO",
IFERROR(
INDEX(REPORTE_DROPI!Y:Y,
MATCH($T582, REPORTE_DROPI!B:B, 0)
),
""
),
""
)
</f>
        <v/>
      </c>
      <c r="F582" s="121">
        <v>4.0</v>
      </c>
      <c r="G582" s="122" t="str">
        <f t="array" ref="G582">IF(
UPPER(TRIM(CLEAN($O582)))="ENTREGADO",
IFERROR(
INDEX(REPORTE_DROPI!R:R,
MATCH($T582, REPORTE_DROPI!B:B, 0)
),
""
),
""
)
</f>
        <v/>
      </c>
      <c r="H582" s="118" t="s">
        <v>3727</v>
      </c>
      <c r="I582" s="118" t="s">
        <v>3759</v>
      </c>
      <c r="J582" s="121" t="str">
        <f t="array" ref="J582">IF(
UPPER(TRIM(CLEAN($O582)))="ENTREGADO",
IFERROR(
INDEX(REPORTE_DROPI!T:T,
MATCH($T582, REPORTE_DROPI!B:B, 0)
),
""
),
""
)
</f>
        <v/>
      </c>
      <c r="K582" s="118" t="str">
        <f t="array" ref="K582">IFERROR(
INDEX(REPORTE_DROPI!S:S,
MATCH($T582, REPORTE_DROPI!B:B, 0)
),
""
)
</f>
        <v/>
      </c>
      <c r="L582" s="118" t="str">
        <f>IF(
  O582&lt;&gt;"DEVOLUCION",
  "",
  IF(
    T582="",
    "",
    SUMIF(DEVOLUCION!F:F, T582, DEVOLUCION!D:D)
  )
)
</f>
        <v/>
      </c>
      <c r="M582" s="118" t="s">
        <v>3870</v>
      </c>
      <c r="N582" s="130" t="s">
        <v>4873</v>
      </c>
      <c r="O582" s="118" t="str">
        <f t="array" ref="O582">IFERROR(
VLOOKUP(
TRIM(CLEAN(
INDEX(REPORTE_DROPI!K:K,
MATCH(T582, REPORTE_DROPI!B:B, 0)
))),
{
TRIM(CLEAN(MAPA_ESTADOS!A:A)) ,
MAPA_ESTADOS!B:B
},
2,
FALSE
),
"REVISAR"
)
</f>
        <v>CANCELADO</v>
      </c>
      <c r="P582" s="118" t="s">
        <v>4766</v>
      </c>
      <c r="Q582" s="122">
        <f t="shared" si="1"/>
        <v>0</v>
      </c>
      <c r="R582" s="118"/>
      <c r="S582" s="118"/>
      <c r="T582" s="118">
        <f t="array" ref="T582">IFERROR(
INDEX(REPORTE_DROPI!B:B,
MATCH(
CLEAN(TRIM(C582)),
CLEAN(TRIM(REPORTE_DROPI!E:E)),
0
)
),
""
)
</f>
        <v>4153028</v>
      </c>
      <c r="U582" s="118">
        <v>6.4160724419E12</v>
      </c>
      <c r="V582" s="78"/>
      <c r="W582" s="78"/>
      <c r="X582" s="78"/>
      <c r="Y582" s="78"/>
      <c r="Z582" s="78"/>
    </row>
    <row r="583" ht="22.5" customHeight="1">
      <c r="A583" s="118">
        <v>582.0</v>
      </c>
      <c r="B583" s="119">
        <v>46037.0</v>
      </c>
      <c r="C583" s="118" t="s">
        <v>4874</v>
      </c>
      <c r="D583" s="118" t="str">
        <f>IFERROR(__xludf.DUMMYFUNCTION("IFERROR(
  INDEX(
    FILTER(
      'NOMBRE DE PRODUCTOS'!B:B,
      REGEXMATCH(
        UPPER(
          INDEX(
            REPORTE_DROPI!AC:AC,
            MATCH(T583, REPORTE_DROPI!B:B, 0)
          )
        ),
        UPPER('NOMBRE DE PRODUCTOS'!A:A)"&amp;"
      )
    ),
    1
  ),
  ""REVISAR""
)
"),"FilmPro®")</f>
        <v>FilmPro®</v>
      </c>
      <c r="E583" s="120">
        <f t="array" ref="E583">IF(
UPPER(TRIM(CLEAN($O583)))="ENTREGADO",
IFERROR(
INDEX(REPORTE_DROPI!Y:Y,
MATCH($T583, REPORTE_DROPI!B:B, 0)
),
""
),
""
)
</f>
        <v>4.7</v>
      </c>
      <c r="F583" s="121">
        <v>2.0</v>
      </c>
      <c r="G583" s="122">
        <f t="array" ref="G583">IF(
UPPER(TRIM(CLEAN($O583)))="ENTREGADO",
IFERROR(
INDEX(REPORTE_DROPI!R:R,
MATCH($T583, REPORTE_DROPI!B:B, 0)
),
""
),
""
)
</f>
        <v>25</v>
      </c>
      <c r="H583" s="118" t="s">
        <v>3727</v>
      </c>
      <c r="I583" s="118" t="s">
        <v>3740</v>
      </c>
      <c r="J583" s="121">
        <f t="array" ref="J583">IF(
UPPER(TRIM(CLEAN($O583)))="ENTREGADO",
IFERROR(
INDEX(REPORTE_DROPI!T:T,
MATCH($T583, REPORTE_DROPI!B:B, 0)
),
""
),
""
)
</f>
        <v>5.96</v>
      </c>
      <c r="K583" s="118">
        <f t="array" ref="K583">IFERROR(
INDEX(REPORTE_DROPI!S:S,
MATCH($T583, REPORTE_DROPI!B:B, 0)
),
""
)
</f>
        <v>14.34</v>
      </c>
      <c r="L583" s="118" t="str">
        <f>IF(
  O583&lt;&gt;"DEVOLUCION",
  "",
  IF(
    T583="",
    "",
    SUMIF(DEVOLUCION!F:F, T583, DEVOLUCION!D:D)
  )
)
</f>
        <v/>
      </c>
      <c r="M583" s="118" t="s">
        <v>3870</v>
      </c>
      <c r="N583" s="130" t="s">
        <v>4875</v>
      </c>
      <c r="O583" s="118" t="str">
        <f t="array" ref="O583">IFERROR(
VLOOKUP(
TRIM(CLEAN(
INDEX(REPORTE_DROPI!K:K,
MATCH(T583, REPORTE_DROPI!B:B, 0)
))),
{
TRIM(CLEAN(MAPA_ESTADOS!A:A)) ,
MAPA_ESTADOS!B:B
},
2,
FALSE
),
"REVISAR"
)
</f>
        <v>ENTREGADO</v>
      </c>
      <c r="P583" s="118"/>
      <c r="Q583" s="122">
        <f t="shared" si="1"/>
        <v>0</v>
      </c>
      <c r="R583" s="118"/>
      <c r="S583" s="118"/>
      <c r="T583" s="118">
        <f t="array" ref="T583">IFERROR(
INDEX(REPORTE_DROPI!B:B,
MATCH(
CLEAN(TRIM(C583)),
CLEAN(TRIM(REPORTE_DROPI!E:E)),
0
)
),
""
)
</f>
        <v>4153118</v>
      </c>
      <c r="U583" s="118">
        <v>6.416086728748E12</v>
      </c>
      <c r="V583" s="78"/>
      <c r="W583" s="78"/>
      <c r="X583" s="78"/>
      <c r="Y583" s="78"/>
      <c r="Z583" s="78"/>
    </row>
    <row r="584" ht="22.5" customHeight="1">
      <c r="A584" s="118">
        <v>583.0</v>
      </c>
      <c r="B584" s="119">
        <v>46037.0</v>
      </c>
      <c r="C584" s="118" t="s">
        <v>4876</v>
      </c>
      <c r="D584" s="118" t="str">
        <f>IFERROR(__xludf.DUMMYFUNCTION("IFERROR(
  INDEX(
    FILTER(
      'NOMBRE DE PRODUCTOS'!B:B,
      REGEXMATCH(
        UPPER(
          INDEX(
            REPORTE_DROPI!AC:AC,
            MATCH(T584, REPORTE_DROPI!B:B, 0)
          )
        ),
        UPPER('NOMBRE DE PRODUCTOS'!A:A)"&amp;"
      )
    ),
    1
  ),
  ""REVISAR""
)
"),"FilmPro®")</f>
        <v>FilmPro®</v>
      </c>
      <c r="E584" s="120">
        <f t="array" ref="E584">IF(
UPPER(TRIM(CLEAN($O584)))="ENTREGADO",
IFERROR(
INDEX(REPORTE_DROPI!Y:Y,
MATCH($T584, REPORTE_DROPI!B:B, 0)
),
""
),
""
)
</f>
        <v>2.35</v>
      </c>
      <c r="F584" s="121">
        <v>1.0</v>
      </c>
      <c r="G584" s="122">
        <f t="array" ref="G584">IF(
UPPER(TRIM(CLEAN($O584)))="ENTREGADO",
IFERROR(
INDEX(REPORTE_DROPI!R:R,
MATCH($T584, REPORTE_DROPI!B:B, 0)
),
""
),
""
)
</f>
        <v>20</v>
      </c>
      <c r="H584" s="118" t="s">
        <v>3727</v>
      </c>
      <c r="I584" s="118" t="s">
        <v>3742</v>
      </c>
      <c r="J584" s="121">
        <f t="array" ref="J584">IF(
UPPER(TRIM(CLEAN($O584)))="ENTREGADO",
IFERROR(
INDEX(REPORTE_DROPI!T:T,
MATCH($T584, REPORTE_DROPI!B:B, 0)
),
""
),
""
)
</f>
        <v>5.76</v>
      </c>
      <c r="K584" s="118">
        <f t="array" ref="K584">IFERROR(
INDEX(REPORTE_DROPI!S:S,
MATCH($T584, REPORTE_DROPI!B:B, 0)
),
""
)
</f>
        <v>11.89</v>
      </c>
      <c r="L584" s="118" t="str">
        <f>IF(
  O584&lt;&gt;"DEVOLUCION",
  "",
  IF(
    T584="",
    "",
    SUMIF(DEVOLUCION!F:F, T584, DEVOLUCION!D:D)
  )
)
</f>
        <v/>
      </c>
      <c r="M584" s="118" t="s">
        <v>3870</v>
      </c>
      <c r="N584" s="130" t="s">
        <v>4877</v>
      </c>
      <c r="O584" s="118" t="str">
        <f t="array" ref="O584">IFERROR(
VLOOKUP(
TRIM(CLEAN(
INDEX(REPORTE_DROPI!K:K,
MATCH(T584, REPORTE_DROPI!B:B, 0)
))),
{
TRIM(CLEAN(MAPA_ESTADOS!A:A)) ,
MAPA_ESTADOS!B:B
},
2,
FALSE
),
"REVISAR"
)
</f>
        <v>ENTREGADO</v>
      </c>
      <c r="P584" s="118"/>
      <c r="Q584" s="122">
        <f t="shared" si="1"/>
        <v>0</v>
      </c>
      <c r="R584" s="118"/>
      <c r="S584" s="118"/>
      <c r="T584" s="118">
        <f t="array" ref="T584">IFERROR(
INDEX(REPORTE_DROPI!B:B,
MATCH(
CLEAN(TRIM(C584)),
CLEAN(TRIM(REPORTE_DROPI!E:E)),
0
)
),
""
)
</f>
        <v>4153156</v>
      </c>
      <c r="U584" s="118">
        <v>6.416091676716E12</v>
      </c>
      <c r="V584" s="78"/>
      <c r="W584" s="78"/>
      <c r="X584" s="78"/>
      <c r="Y584" s="78"/>
      <c r="Z584" s="78"/>
    </row>
    <row r="585" ht="22.5" customHeight="1">
      <c r="A585" s="118">
        <v>584.0</v>
      </c>
      <c r="B585" s="119">
        <v>46037.0</v>
      </c>
      <c r="C585" s="118" t="s">
        <v>4878</v>
      </c>
      <c r="D585" s="118" t="str">
        <f>IFERROR(__xludf.DUMMYFUNCTION("IFERROR(
  INDEX(
    FILTER(
      'NOMBRE DE PRODUCTOS'!B:B,
      REGEXMATCH(
        UPPER(
          INDEX(
            REPORTE_DROPI!AC:AC,
            MATCH(T585, REPORTE_DROPI!B:B, 0)
          )
        ),
        UPPER('NOMBRE DE PRODUCTOS'!A:A)"&amp;"
      )
    ),
    1
  ),
  ""REVISAR""
)
"),"FilmPro®")</f>
        <v>FilmPro®</v>
      </c>
      <c r="E585" s="120">
        <f t="array" ref="E585">IF(
UPPER(TRIM(CLEAN($O585)))="ENTREGADO",
IFERROR(
INDEX(REPORTE_DROPI!Y:Y,
MATCH($T585, REPORTE_DROPI!B:B, 0)
),
""
),
""
)
</f>
        <v>7.05</v>
      </c>
      <c r="F585" s="121">
        <v>3.0</v>
      </c>
      <c r="G585" s="122">
        <f t="array" ref="G585">IF(
UPPER(TRIM(CLEAN($O585)))="ENTREGADO",
IFERROR(
INDEX(REPORTE_DROPI!R:R,
MATCH($T585, REPORTE_DROPI!B:B, 0)
),
""
),
""
)
</f>
        <v>30</v>
      </c>
      <c r="H585" s="118" t="s">
        <v>3727</v>
      </c>
      <c r="I585" s="118" t="s">
        <v>3740</v>
      </c>
      <c r="J585" s="121">
        <f t="array" ref="J585">IF(
UPPER(TRIM(CLEAN($O585)))="ENTREGADO",
IFERROR(
INDEX(REPORTE_DROPI!T:T,
MATCH($T585, REPORTE_DROPI!B:B, 0)
),
""
),
""
)
</f>
        <v>6.16</v>
      </c>
      <c r="K585" s="118">
        <f t="array" ref="K585">IFERROR(
INDEX(REPORTE_DROPI!S:S,
MATCH($T585, REPORTE_DROPI!B:B, 0)
),
""
)
</f>
        <v>16.79</v>
      </c>
      <c r="L585" s="118" t="str">
        <f>IF(
  O585&lt;&gt;"DEVOLUCION",
  "",
  IF(
    T585="",
    "",
    SUMIF(DEVOLUCION!F:F, T585, DEVOLUCION!D:D)
  )
)
</f>
        <v/>
      </c>
      <c r="M585" s="118" t="s">
        <v>3870</v>
      </c>
      <c r="N585" s="130" t="s">
        <v>4879</v>
      </c>
      <c r="O585" s="118" t="str">
        <f t="array" ref="O585">IFERROR(
VLOOKUP(
TRIM(CLEAN(
INDEX(REPORTE_DROPI!K:K,
MATCH(T585, REPORTE_DROPI!B:B, 0)
))),
{
TRIM(CLEAN(MAPA_ESTADOS!A:A)) ,
MAPA_ESTADOS!B:B
},
2,
FALSE
),
"REVISAR"
)
</f>
        <v>ENTREGADO</v>
      </c>
      <c r="P585" s="118"/>
      <c r="Q585" s="122">
        <f t="shared" si="1"/>
        <v>0</v>
      </c>
      <c r="R585" s="118"/>
      <c r="S585" s="118"/>
      <c r="T585" s="118">
        <f t="array" ref="T585">IFERROR(
INDEX(REPORTE_DROPI!B:B,
MATCH(
CLEAN(TRIM(C585)),
CLEAN(TRIM(REPORTE_DROPI!E:E)),
0
)
),
""
)
</f>
        <v>4153243</v>
      </c>
      <c r="U585" s="118">
        <v>6.416106291244E12</v>
      </c>
      <c r="V585" s="78"/>
      <c r="W585" s="78"/>
      <c r="X585" s="78"/>
      <c r="Y585" s="78"/>
      <c r="Z585" s="78"/>
    </row>
    <row r="586" ht="22.5" customHeight="1">
      <c r="A586" s="118">
        <v>585.0</v>
      </c>
      <c r="B586" s="119">
        <v>46037.0</v>
      </c>
      <c r="C586" s="118" t="s">
        <v>4880</v>
      </c>
      <c r="D586" s="118" t="str">
        <f>IFERROR(__xludf.DUMMYFUNCTION("IFERROR(
  INDEX(
    FILTER(
      'NOMBRE DE PRODUCTOS'!B:B,
      REGEXMATCH(
        UPPER(
          INDEX(
            REPORTE_DROPI!AC:AC,
            MATCH(T586, REPORTE_DROPI!B:B, 0)
          )
        ),
        UPPER('NOMBRE DE PRODUCTOS'!A:A)"&amp;"
      )
    ),
    1
  ),
  ""REVISAR""
)
"),"Cuchillo Tazaki™")</f>
        <v>Cuchillo Tazaki™</v>
      </c>
      <c r="E586" s="120" t="str">
        <f t="array" ref="E586">IF(
UPPER(TRIM(CLEAN($O586)))="ENTREGADO",
IFERROR(
INDEX(REPORTE_DROPI!Y:Y,
MATCH($T586, REPORTE_DROPI!B:B, 0)
),
""
),
""
)
</f>
        <v/>
      </c>
      <c r="F586" s="121">
        <v>3.0</v>
      </c>
      <c r="G586" s="122" t="str">
        <f t="array" ref="G586">IF(
UPPER(TRIM(CLEAN($O586)))="ENTREGADO",
IFERROR(
INDEX(REPORTE_DROPI!R:R,
MATCH($T586, REPORTE_DROPI!B:B, 0)
),
""
),
""
)
</f>
        <v/>
      </c>
      <c r="H586" s="118" t="s">
        <v>3727</v>
      </c>
      <c r="I586" s="118" t="s">
        <v>3740</v>
      </c>
      <c r="J586" s="121" t="str">
        <f t="array" ref="J586">IF(
UPPER(TRIM(CLEAN($O586)))="ENTREGADO",
IFERROR(
INDEX(REPORTE_DROPI!T:T,
MATCH($T586, REPORTE_DROPI!B:B, 0)
),
""
),
""
)
</f>
        <v/>
      </c>
      <c r="K586" s="118" t="str">
        <f t="array" ref="K586">IFERROR(
INDEX(REPORTE_DROPI!S:S,
MATCH($T586, REPORTE_DROPI!B:B, 0)
),
""
)
</f>
        <v/>
      </c>
      <c r="L586" s="118" t="str">
        <f>IF(
  O586&lt;&gt;"DEVOLUCION",
  "",
  IF(
    T586="",
    "",
    SUMIF(DEVOLUCION!F:F, T586, DEVOLUCION!D:D)
  )
)
</f>
        <v/>
      </c>
      <c r="M586" s="118" t="s">
        <v>3870</v>
      </c>
      <c r="N586" s="130" t="s">
        <v>4881</v>
      </c>
      <c r="O586" s="118" t="str">
        <f t="array" ref="O586">IFERROR(
VLOOKUP(
TRIM(CLEAN(
INDEX(REPORTE_DROPI!K:K,
MATCH(T586, REPORTE_DROPI!B:B, 0)
))),
{
TRIM(CLEAN(MAPA_ESTADOS!A:A)) ,
MAPA_ESTADOS!B:B
},
2,
FALSE
),
"REVISAR"
)
</f>
        <v>CANCELADO</v>
      </c>
      <c r="P586" s="118"/>
      <c r="Q586" s="122">
        <f t="shared" si="1"/>
        <v>0</v>
      </c>
      <c r="R586" s="118"/>
      <c r="S586" s="118"/>
      <c r="T586" s="118">
        <f t="array" ref="T586">IFERROR(
INDEX(REPORTE_DROPI!B:B,
MATCH(
CLEAN(TRIM(C586)),
CLEAN(TRIM(REPORTE_DROPI!E:E)),
0
)
),
""
)
</f>
        <v>4153253</v>
      </c>
      <c r="U586" s="118">
        <v>6.416108290092E12</v>
      </c>
      <c r="V586" s="78"/>
      <c r="W586" s="78"/>
      <c r="X586" s="78"/>
      <c r="Y586" s="78"/>
      <c r="Z586" s="78"/>
    </row>
    <row r="587" ht="22.5" customHeight="1">
      <c r="A587" s="118">
        <v>586.0</v>
      </c>
      <c r="B587" s="119">
        <v>46037.0</v>
      </c>
      <c r="C587" s="118" t="s">
        <v>4882</v>
      </c>
      <c r="D587" s="118" t="str">
        <f>IFERROR(__xludf.DUMMYFUNCTION("IFERROR(
  INDEX(
    FILTER(
      'NOMBRE DE PRODUCTOS'!B:B,
      REGEXMATCH(
        UPPER(
          INDEX(
            REPORTE_DROPI!AC:AC,
            MATCH(T587, REPORTE_DROPI!B:B, 0)
          )
        ),
        UPPER('NOMBRE DE PRODUCTOS'!A:A)"&amp;"
      )
    ),
    1
  ),
  ""REVISAR""
)
"),"FilmPro®")</f>
        <v>FilmPro®</v>
      </c>
      <c r="E587" s="120">
        <f t="array" ref="E587">IF(
UPPER(TRIM(CLEAN($O587)))="ENTREGADO",
IFERROR(
INDEX(REPORTE_DROPI!Y:Y,
MATCH($T587, REPORTE_DROPI!B:B, 0)
),
""
),
""
)
</f>
        <v>7.05</v>
      </c>
      <c r="F587" s="121">
        <v>3.0</v>
      </c>
      <c r="G587" s="122">
        <f t="array" ref="G587">IF(
UPPER(TRIM(CLEAN($O587)))="ENTREGADO",
IFERROR(
INDEX(REPORTE_DROPI!R:R,
MATCH($T587, REPORTE_DROPI!B:B, 0)
),
""
),
""
)
</f>
        <v>30</v>
      </c>
      <c r="H587" s="118" t="s">
        <v>3727</v>
      </c>
      <c r="I587" s="118" t="s">
        <v>3740</v>
      </c>
      <c r="J587" s="121">
        <f t="array" ref="J587">IF(
UPPER(TRIM(CLEAN($O587)))="ENTREGADO",
IFERROR(
INDEX(REPORTE_DROPI!T:T,
MATCH($T587, REPORTE_DROPI!B:B, 0)
),
""
),
""
)
</f>
        <v>6.16</v>
      </c>
      <c r="K587" s="118">
        <f t="array" ref="K587">IFERROR(
INDEX(REPORTE_DROPI!S:S,
MATCH($T587, REPORTE_DROPI!B:B, 0)
),
""
)
</f>
        <v>16.79</v>
      </c>
      <c r="L587" s="118" t="str">
        <f>IF(
  O587&lt;&gt;"DEVOLUCION",
  "",
  IF(
    T587="",
    "",
    SUMIF(DEVOLUCION!F:F, T587, DEVOLUCION!D:D)
  )
)
</f>
        <v/>
      </c>
      <c r="M587" s="118" t="s">
        <v>3870</v>
      </c>
      <c r="N587" s="130" t="s">
        <v>4883</v>
      </c>
      <c r="O587" s="118" t="str">
        <f t="array" ref="O587">IFERROR(
VLOOKUP(
TRIM(CLEAN(
INDEX(REPORTE_DROPI!K:K,
MATCH(T587, REPORTE_DROPI!B:B, 0)
))),
{
TRIM(CLEAN(MAPA_ESTADOS!A:A)) ,
MAPA_ESTADOS!B:B
},
2,
FALSE
),
"REVISAR"
)
</f>
        <v>ENTREGADO</v>
      </c>
      <c r="P587" s="118"/>
      <c r="Q587" s="122">
        <f t="shared" si="1"/>
        <v>0</v>
      </c>
      <c r="R587" s="118"/>
      <c r="S587" s="118"/>
      <c r="T587" s="118">
        <f t="array" ref="T587">IFERROR(
INDEX(REPORTE_DROPI!B:B,
MATCH(
CLEAN(TRIM(C587)),
CLEAN(TRIM(REPORTE_DROPI!E:E)),
0
)
),
""
)
</f>
        <v>4153426</v>
      </c>
      <c r="U587" s="118">
        <v>6.4161256899E12</v>
      </c>
      <c r="V587" s="78"/>
      <c r="W587" s="78"/>
      <c r="X587" s="78"/>
      <c r="Y587" s="78"/>
      <c r="Z587" s="78"/>
    </row>
    <row r="588" ht="22.5" customHeight="1">
      <c r="A588" s="118">
        <v>587.0</v>
      </c>
      <c r="B588" s="119">
        <v>46037.0</v>
      </c>
      <c r="C588" s="118" t="s">
        <v>4884</v>
      </c>
      <c r="D588" s="118" t="str">
        <f>IFERROR(__xludf.DUMMYFUNCTION("IFERROR(
  INDEX(
    FILTER(
      'NOMBRE DE PRODUCTOS'!B:B,
      REGEXMATCH(
        UPPER(
          INDEX(
            REPORTE_DROPI!AC:AC,
            MATCH(T588, REPORTE_DROPI!B:B, 0)
          )
        ),
        UPPER('NOMBRE DE PRODUCTOS'!A:A)"&amp;"
      )
    ),
    1
  ),
  ""REVISAR""
)
"),"FilmPro®")</f>
        <v>FilmPro®</v>
      </c>
      <c r="E588" s="120">
        <f t="array" ref="E588">IF(
UPPER(TRIM(CLEAN($O588)))="ENTREGADO",
IFERROR(
INDEX(REPORTE_DROPI!Y:Y,
MATCH($T588, REPORTE_DROPI!B:B, 0)
),
""
),
""
)
</f>
        <v>7.05</v>
      </c>
      <c r="F588" s="121">
        <v>3.0</v>
      </c>
      <c r="G588" s="122">
        <f t="array" ref="G588">IF(
UPPER(TRIM(CLEAN($O588)))="ENTREGADO",
IFERROR(
INDEX(REPORTE_DROPI!R:R,
MATCH($T588, REPORTE_DROPI!B:B, 0)
),
""
),
""
)
</f>
        <v>30</v>
      </c>
      <c r="H588" s="118" t="s">
        <v>3727</v>
      </c>
      <c r="I588" s="118" t="s">
        <v>3969</v>
      </c>
      <c r="J588" s="121">
        <f t="array" ref="J588">IF(
UPPER(TRIM(CLEAN($O588)))="ENTREGADO",
IFERROR(
INDEX(REPORTE_DROPI!T:T,
MATCH($T588, REPORTE_DROPI!B:B, 0)
),
""
),
""
)
</f>
        <v>6.16</v>
      </c>
      <c r="K588" s="118">
        <f t="array" ref="K588">IFERROR(
INDEX(REPORTE_DROPI!S:S,
MATCH($T588, REPORTE_DROPI!B:B, 0)
),
""
)
</f>
        <v>16.79</v>
      </c>
      <c r="L588" s="118" t="str">
        <f>IF(
  O588&lt;&gt;"DEVOLUCION",
  "",
  IF(
    T588="",
    "",
    SUMIF(DEVOLUCION!F:F, T588, DEVOLUCION!D:D)
  )
)
</f>
        <v/>
      </c>
      <c r="M588" s="118" t="s">
        <v>3870</v>
      </c>
      <c r="N588" s="130" t="s">
        <v>4885</v>
      </c>
      <c r="O588" s="118" t="str">
        <f t="array" ref="O588">IFERROR(
VLOOKUP(
TRIM(CLEAN(
INDEX(REPORTE_DROPI!K:K,
MATCH(T588, REPORTE_DROPI!B:B, 0)
))),
{
TRIM(CLEAN(MAPA_ESTADOS!A:A)) ,
MAPA_ESTADOS!B:B
},
2,
FALSE
),
"REVISAR"
)
</f>
        <v>ENTREGADO</v>
      </c>
      <c r="P588" s="118"/>
      <c r="Q588" s="122">
        <f t="shared" si="1"/>
        <v>0</v>
      </c>
      <c r="R588" s="118"/>
      <c r="S588" s="118"/>
      <c r="T588" s="118">
        <f t="array" ref="T588">IFERROR(
INDEX(REPORTE_DROPI!B:B,
MATCH(
CLEAN(TRIM(C588)),
CLEAN(TRIM(REPORTE_DROPI!E:E)),
0
)
),
""
)
</f>
        <v>4153810</v>
      </c>
      <c r="U588" s="118">
        <v>6.416170483756E12</v>
      </c>
      <c r="V588" s="78"/>
      <c r="W588" s="78"/>
      <c r="X588" s="78"/>
      <c r="Y588" s="78"/>
      <c r="Z588" s="78"/>
    </row>
    <row r="589" ht="22.5" customHeight="1">
      <c r="A589" s="118">
        <v>588.0</v>
      </c>
      <c r="B589" s="119">
        <v>46037.0</v>
      </c>
      <c r="C589" s="118" t="s">
        <v>4886</v>
      </c>
      <c r="D589" s="118" t="str">
        <f>IFERROR(__xludf.DUMMYFUNCTION("IFERROR(
  INDEX(
    FILTER(
      'NOMBRE DE PRODUCTOS'!B:B,
      REGEXMATCH(
        UPPER(
          INDEX(
            REPORTE_DROPI!AC:AC,
            MATCH(T589, REPORTE_DROPI!B:B, 0)
          )
        ),
        UPPER('NOMBRE DE PRODUCTOS'!A:A)"&amp;"
      )
    ),
    1
  ),
  ""REVISAR""
)
"),"Cuchillo Tazaki™")</f>
        <v>Cuchillo Tazaki™</v>
      </c>
      <c r="E589" s="120">
        <f t="array" ref="E589">IF(
UPPER(TRIM(CLEAN($O589)))="ENTREGADO",
IFERROR(
INDEX(REPORTE_DROPI!Y:Y,
MATCH($T589, REPORTE_DROPI!B:B, 0)
),
""
),
""
)
</f>
        <v>5.2</v>
      </c>
      <c r="F589" s="121">
        <v>2.0</v>
      </c>
      <c r="G589" s="122">
        <f t="array" ref="G589">IF(
UPPER(TRIM(CLEAN($O589)))="ENTREGADO",
IFERROR(
INDEX(REPORTE_DROPI!R:R,
MATCH($T589, REPORTE_DROPI!B:B, 0)
),
""
),
""
)
</f>
        <v>22</v>
      </c>
      <c r="H589" s="118" t="s">
        <v>3727</v>
      </c>
      <c r="I589" s="118" t="s">
        <v>3759</v>
      </c>
      <c r="J589" s="121">
        <f t="array" ref="J589">IF(
UPPER(TRIM(CLEAN($O589)))="ENTREGADO",
IFERROR(
INDEX(REPORTE_DROPI!T:T,
MATCH($T589, REPORTE_DROPI!B:B, 0)
),
""
),
""
)
</f>
        <v>5.84</v>
      </c>
      <c r="K589" s="118">
        <f t="array" ref="K589">IFERROR(
INDEX(REPORTE_DROPI!S:S,
MATCH($T589, REPORTE_DROPI!B:B, 0)
),
""
)
</f>
        <v>10.96</v>
      </c>
      <c r="L589" s="118" t="str">
        <f>IF(
  O589&lt;&gt;"DEVOLUCION",
  "",
  IF(
    T589="",
    "",
    SUMIF(DEVOLUCION!F:F, T589, DEVOLUCION!D:D)
  )
)
</f>
        <v/>
      </c>
      <c r="M589" s="118" t="s">
        <v>3870</v>
      </c>
      <c r="N589" s="130" t="s">
        <v>4887</v>
      </c>
      <c r="O589" s="118" t="str">
        <f t="array" ref="O589">IFERROR(
VLOOKUP(
TRIM(CLEAN(
INDEX(REPORTE_DROPI!K:K,
MATCH(T589, REPORTE_DROPI!B:B, 0)
))),
{
TRIM(CLEAN(MAPA_ESTADOS!A:A)) ,
MAPA_ESTADOS!B:B
},
2,
FALSE
),
"REVISAR"
)
</f>
        <v>ENTREGADO</v>
      </c>
      <c r="P589" s="118"/>
      <c r="Q589" s="122">
        <f t="shared" si="1"/>
        <v>0</v>
      </c>
      <c r="R589" s="118"/>
      <c r="S589" s="118"/>
      <c r="T589" s="118">
        <f t="array" ref="T589">IFERROR(
INDEX(REPORTE_DROPI!B:B,
MATCH(
CLEAN(TRIM(C589)),
CLEAN(TRIM(REPORTE_DROPI!E:E)),
0
)
),
""
)
</f>
        <v>4153819</v>
      </c>
      <c r="U589" s="118">
        <v>6.416171532332E12</v>
      </c>
      <c r="V589" s="78"/>
      <c r="W589" s="78"/>
      <c r="X589" s="78"/>
      <c r="Y589" s="78"/>
      <c r="Z589" s="78"/>
    </row>
    <row r="590" ht="22.5" customHeight="1">
      <c r="A590" s="118">
        <v>589.0</v>
      </c>
      <c r="B590" s="119">
        <v>46037.0</v>
      </c>
      <c r="C590" s="118" t="s">
        <v>4888</v>
      </c>
      <c r="D590" s="118" t="str">
        <f>IFERROR(__xludf.DUMMYFUNCTION("IFERROR(
  INDEX(
    FILTER(
      'NOMBRE DE PRODUCTOS'!B:B,
      REGEXMATCH(
        UPPER(
          INDEX(
            REPORTE_DROPI!AC:AC,
            MATCH(T590, REPORTE_DROPI!B:B, 0)
          )
        ),
        UPPER('NOMBRE DE PRODUCTOS'!A:A)"&amp;"
      )
    ),
    1
  ),
  ""REVISAR""
)
"),"FilmPro®")</f>
        <v>FilmPro®</v>
      </c>
      <c r="E590" s="120">
        <f t="array" ref="E590">IF(
UPPER(TRIM(CLEAN($O590)))="ENTREGADO",
IFERROR(
INDEX(REPORTE_DROPI!Y:Y,
MATCH($T590, REPORTE_DROPI!B:B, 0)
),
""
),
""
)
</f>
        <v>2.35</v>
      </c>
      <c r="F590" s="121">
        <v>1.0</v>
      </c>
      <c r="G590" s="122">
        <f t="array" ref="G590">IF(
UPPER(TRIM(CLEAN($O590)))="ENTREGADO",
IFERROR(
INDEX(REPORTE_DROPI!R:R,
MATCH($T590, REPORTE_DROPI!B:B, 0)
),
""
),
""
)
</f>
        <v>20</v>
      </c>
      <c r="H590" s="118" t="s">
        <v>3727</v>
      </c>
      <c r="I590" s="118" t="s">
        <v>3740</v>
      </c>
      <c r="J590" s="121">
        <f t="array" ref="J590">IF(
UPPER(TRIM(CLEAN($O590)))="ENTREGADO",
IFERROR(
INDEX(REPORTE_DROPI!T:T,
MATCH($T590, REPORTE_DROPI!B:B, 0)
),
""
),
""
)
</f>
        <v>5.76</v>
      </c>
      <c r="K590" s="118">
        <f t="array" ref="K590">IFERROR(
INDEX(REPORTE_DROPI!S:S,
MATCH($T590, REPORTE_DROPI!B:B, 0)
),
""
)
</f>
        <v>11.89</v>
      </c>
      <c r="L590" s="118" t="str">
        <f>IF(
  O590&lt;&gt;"DEVOLUCION",
  "",
  IF(
    T590="",
    "",
    SUMIF(DEVOLUCION!F:F, T590, DEVOLUCION!D:D)
  )
)
</f>
        <v/>
      </c>
      <c r="M590" s="118" t="s">
        <v>3870</v>
      </c>
      <c r="N590" s="130" t="s">
        <v>4889</v>
      </c>
      <c r="O590" s="118" t="str">
        <f t="array" ref="O590">IFERROR(
VLOOKUP(
TRIM(CLEAN(
INDEX(REPORTE_DROPI!K:K,
MATCH(T590, REPORTE_DROPI!B:B, 0)
))),
{
TRIM(CLEAN(MAPA_ESTADOS!A:A)) ,
MAPA_ESTADOS!B:B
},
2,
FALSE
),
"REVISAR"
)
</f>
        <v>ENTREGADO</v>
      </c>
      <c r="P590" s="118"/>
      <c r="Q590" s="122">
        <f t="shared" si="1"/>
        <v>0</v>
      </c>
      <c r="R590" s="118"/>
      <c r="S590" s="118"/>
      <c r="T590" s="118">
        <f t="array" ref="T590">IFERROR(
INDEX(REPORTE_DROPI!B:B,
MATCH(
CLEAN(TRIM(C590)),
CLEAN(TRIM(REPORTE_DROPI!E:E)),
0
)
),
""
)
</f>
        <v>4153876</v>
      </c>
      <c r="U590" s="118">
        <v>6.4161789379E12</v>
      </c>
      <c r="V590" s="78"/>
      <c r="W590" s="78"/>
      <c r="X590" s="78"/>
      <c r="Y590" s="78"/>
      <c r="Z590" s="78"/>
    </row>
    <row r="591" ht="22.5" customHeight="1">
      <c r="A591" s="118">
        <v>590.0</v>
      </c>
      <c r="B591" s="119">
        <v>46037.0</v>
      </c>
      <c r="C591" s="126" t="s">
        <v>4890</v>
      </c>
      <c r="D591" s="118" t="str">
        <f>IFERROR(__xludf.DUMMYFUNCTION("IFERROR(
  INDEX(
    FILTER(
      'NOMBRE DE PRODUCTOS'!B:B,
      REGEXMATCH(
        UPPER(
          INDEX(
            REPORTE_DROPI!AC:AC,
            MATCH(T591, REPORTE_DROPI!B:B, 0)
          )
        ),
        UPPER('NOMBRE DE PRODUCTOS'!A:A)"&amp;"
      )
    ),
    1
  ),
  ""REVISAR""
)
"),"Cuchillo Tazaki™")</f>
        <v>Cuchillo Tazaki™</v>
      </c>
      <c r="E591" s="120" t="str">
        <f t="array" ref="E591">IF(
UPPER(TRIM(CLEAN($O591)))="ENTREGADO",
IFERROR(
INDEX(REPORTE_DROPI!Y:Y,
MATCH($T591, REPORTE_DROPI!B:B, 0)
),
""
),
""
)
</f>
        <v/>
      </c>
      <c r="F591" s="121">
        <v>2.0</v>
      </c>
      <c r="G591" s="122" t="str">
        <f t="array" ref="G591">IF(
UPPER(TRIM(CLEAN($O591)))="ENTREGADO",
IFERROR(
INDEX(REPORTE_DROPI!R:R,
MATCH($T591, REPORTE_DROPI!B:B, 0)
),
""
),
""
)
</f>
        <v/>
      </c>
      <c r="H591" s="118" t="s">
        <v>3727</v>
      </c>
      <c r="I591" s="118" t="s">
        <v>3728</v>
      </c>
      <c r="J591" s="121" t="str">
        <f t="array" ref="J591">IF(
UPPER(TRIM(CLEAN($O591)))="ENTREGADO",
IFERROR(
INDEX(REPORTE_DROPI!T:T,
MATCH($T591, REPORTE_DROPI!B:B, 0)
),
""
),
""
)
</f>
        <v/>
      </c>
      <c r="K591" s="118" t="str">
        <f t="array" ref="K591">IFERROR(
INDEX(REPORTE_DROPI!S:S,
MATCH($T591, REPORTE_DROPI!B:B, 0)
),
""
)
</f>
        <v/>
      </c>
      <c r="L591" s="118" t="str">
        <f>IF(
  O591&lt;&gt;"DEVOLUCION",
  "",
  IF(
    T591="",
    "",
    SUMIF(DEVOLUCION!F:F, T591, DEVOLUCION!D:D)
  )
)
</f>
        <v/>
      </c>
      <c r="M591" s="118" t="s">
        <v>3870</v>
      </c>
      <c r="N591" s="130" t="s">
        <v>4891</v>
      </c>
      <c r="O591" s="118" t="str">
        <f t="array" ref="O591">IFERROR(
VLOOKUP(
TRIM(CLEAN(
INDEX(REPORTE_DROPI!K:K,
MATCH(T591, REPORTE_DROPI!B:B, 0)
))),
{
TRIM(CLEAN(MAPA_ESTADOS!A:A)) ,
MAPA_ESTADOS!B:B
},
2,
FALSE
),
"REVISAR"
)
</f>
        <v>PENDIENTE</v>
      </c>
      <c r="P591" s="118" t="s">
        <v>4892</v>
      </c>
      <c r="Q591" s="122">
        <f t="shared" si="1"/>
        <v>0</v>
      </c>
      <c r="R591" s="118"/>
      <c r="S591" s="118"/>
      <c r="T591" s="118">
        <f t="array" ref="T591">IFERROR(
INDEX(REPORTE_DROPI!B:B,
MATCH(
CLEAN(TRIM(C591)),
CLEAN(TRIM(REPORTE_DROPI!E:E)),
0
)
),
""
)
</f>
        <v>4154160</v>
      </c>
      <c r="U591" s="118">
        <v>6.416212983852E12</v>
      </c>
      <c r="V591" s="78"/>
      <c r="W591" s="78"/>
      <c r="X591" s="78"/>
      <c r="Y591" s="78"/>
      <c r="Z591" s="78"/>
    </row>
    <row r="592" ht="22.5" customHeight="1">
      <c r="A592" s="118">
        <v>591.0</v>
      </c>
      <c r="B592" s="119">
        <v>46037.0</v>
      </c>
      <c r="C592" s="118" t="s">
        <v>4893</v>
      </c>
      <c r="D592" s="118" t="str">
        <f>IFERROR(__xludf.DUMMYFUNCTION("IFERROR(
  INDEX(
    FILTER(
      'NOMBRE DE PRODUCTOS'!B:B,
      REGEXMATCH(
        UPPER(
          INDEX(
            REPORTE_DROPI!AC:AC,
            MATCH(T592, REPORTE_DROPI!B:B, 0)
          )
        ),
        UPPER('NOMBRE DE PRODUCTOS'!A:A)"&amp;"
      )
    ),
    1
  ),
  ""REVISAR""
)
"),"Cuchillo Tazaki™")</f>
        <v>Cuchillo Tazaki™</v>
      </c>
      <c r="E592" s="120">
        <f t="array" ref="E592">IF(
UPPER(TRIM(CLEAN($O592)))="ENTREGADO",
IFERROR(
INDEX(REPORTE_DROPI!Y:Y,
MATCH($T592, REPORTE_DROPI!B:B, 0)
),
""
),
""
)
</f>
        <v>7.8</v>
      </c>
      <c r="F592" s="121">
        <v>3.0</v>
      </c>
      <c r="G592" s="122">
        <f t="array" ref="G592">IF(
UPPER(TRIM(CLEAN($O592)))="ENTREGADO",
IFERROR(
INDEX(REPORTE_DROPI!R:R,
MATCH($T592, REPORTE_DROPI!B:B, 0)
),
""
),
""
)
</f>
        <v>27</v>
      </c>
      <c r="H592" s="118" t="s">
        <v>3727</v>
      </c>
      <c r="I592" s="118" t="s">
        <v>3731</v>
      </c>
      <c r="J592" s="121">
        <f t="array" ref="J592">IF(
UPPER(TRIM(CLEAN($O592)))="ENTREGADO",
IFERROR(
INDEX(REPORTE_DROPI!T:T,
MATCH($T592, REPORTE_DROPI!B:B, 0)
),
""
),
""
)
</f>
        <v>6.03</v>
      </c>
      <c r="K592" s="118">
        <f t="array" ref="K592">IFERROR(
INDEX(REPORTE_DROPI!S:S,
MATCH($T592, REPORTE_DROPI!B:B, 0)
),
""
)
</f>
        <v>13.17</v>
      </c>
      <c r="L592" s="118" t="str">
        <f>IF(
  O592&lt;&gt;"DEVOLUCION",
  "",
  IF(
    T592="",
    "",
    SUMIF(DEVOLUCION!F:F, T592, DEVOLUCION!D:D)
  )
)
</f>
        <v/>
      </c>
      <c r="M592" s="118" t="s">
        <v>3870</v>
      </c>
      <c r="N592" s="130" t="s">
        <v>4894</v>
      </c>
      <c r="O592" s="118" t="str">
        <f t="array" ref="O592">IFERROR(
VLOOKUP(
TRIM(CLEAN(
INDEX(REPORTE_DROPI!K:K,
MATCH(T592, REPORTE_DROPI!B:B, 0)
))),
{
TRIM(CLEAN(MAPA_ESTADOS!A:A)) ,
MAPA_ESTADOS!B:B
},
2,
FALSE
),
"REVISAR"
)
</f>
        <v>ENTREGADO</v>
      </c>
      <c r="P592" s="118"/>
      <c r="Q592" s="122">
        <f t="shared" si="1"/>
        <v>0</v>
      </c>
      <c r="R592" s="118"/>
      <c r="S592" s="118"/>
      <c r="T592" s="118">
        <f t="array" ref="T592">IFERROR(
INDEX(REPORTE_DROPI!B:B,
MATCH(
CLEAN(TRIM(C592)),
CLEAN(TRIM(REPORTE_DROPI!E:E)),
0
)
),
""
)
</f>
        <v>4155012</v>
      </c>
      <c r="U592" s="118">
        <v>6.416312598572E12</v>
      </c>
      <c r="V592" s="78"/>
      <c r="W592" s="78"/>
      <c r="X592" s="78"/>
      <c r="Y592" s="78"/>
      <c r="Z592" s="78"/>
    </row>
    <row r="593" ht="22.5" customHeight="1">
      <c r="A593" s="118">
        <v>592.0</v>
      </c>
      <c r="B593" s="119">
        <v>46037.0</v>
      </c>
      <c r="C593" s="118" t="s">
        <v>4895</v>
      </c>
      <c r="D593" s="118" t="str">
        <f>IFERROR(__xludf.DUMMYFUNCTION("IFERROR(
  INDEX(
    FILTER(
      'NOMBRE DE PRODUCTOS'!B:B,
      REGEXMATCH(
        UPPER(
          INDEX(
            REPORTE_DROPI!AC:AC,
            MATCH(T593, REPORTE_DROPI!B:B, 0)
          )
        ),
        UPPER('NOMBRE DE PRODUCTOS'!A:A)"&amp;"
      )
    ),
    1
  ),
  ""REVISAR""
)
"),"FilmPro®")</f>
        <v>FilmPro®</v>
      </c>
      <c r="E593" s="120">
        <f t="array" ref="E593">IF(
UPPER(TRIM(CLEAN($O593)))="ENTREGADO",
IFERROR(
INDEX(REPORTE_DROPI!Y:Y,
MATCH($T593, REPORTE_DROPI!B:B, 0)
),
""
),
""
)
</f>
        <v>7.05</v>
      </c>
      <c r="F593" s="121">
        <v>3.0</v>
      </c>
      <c r="G593" s="122">
        <f t="array" ref="G593">IF(
UPPER(TRIM(CLEAN($O593)))="ENTREGADO",
IFERROR(
INDEX(REPORTE_DROPI!R:R,
MATCH($T593, REPORTE_DROPI!B:B, 0)
),
""
),
""
)
</f>
        <v>30</v>
      </c>
      <c r="H593" s="118" t="s">
        <v>3727</v>
      </c>
      <c r="I593" s="118" t="s">
        <v>3740</v>
      </c>
      <c r="J593" s="121">
        <f t="array" ref="J593">IF(
UPPER(TRIM(CLEAN($O593)))="ENTREGADO",
IFERROR(
INDEX(REPORTE_DROPI!T:T,
MATCH($T593, REPORTE_DROPI!B:B, 0)
),
""
),
""
)
</f>
        <v>6.16</v>
      </c>
      <c r="K593" s="118">
        <f t="array" ref="K593">IFERROR(
INDEX(REPORTE_DROPI!S:S,
MATCH($T593, REPORTE_DROPI!B:B, 0)
),
""
)
</f>
        <v>16.79</v>
      </c>
      <c r="L593" s="118" t="str">
        <f>IF(
  O593&lt;&gt;"DEVOLUCION",
  "",
  IF(
    T593="",
    "",
    SUMIF(DEVOLUCION!F:F, T593, DEVOLUCION!D:D)
  )
)
</f>
        <v/>
      </c>
      <c r="M593" s="118" t="s">
        <v>3870</v>
      </c>
      <c r="N593" s="130" t="s">
        <v>4896</v>
      </c>
      <c r="O593" s="118" t="str">
        <f t="array" ref="O593">IFERROR(
VLOOKUP(
TRIM(CLEAN(
INDEX(REPORTE_DROPI!K:K,
MATCH(T593, REPORTE_DROPI!B:B, 0)
))),
{
TRIM(CLEAN(MAPA_ESTADOS!A:A)) ,
MAPA_ESTADOS!B:B
},
2,
FALSE
),
"REVISAR"
)
</f>
        <v>ENTREGADO</v>
      </c>
      <c r="P593" s="118"/>
      <c r="Q593" s="122">
        <f t="shared" si="1"/>
        <v>0</v>
      </c>
      <c r="R593" s="118"/>
      <c r="S593" s="118"/>
      <c r="T593" s="118">
        <f t="array" ref="T593">IFERROR(
INDEX(REPORTE_DROPI!B:B,
MATCH(
CLEAN(TRIM(C593)),
CLEAN(TRIM(REPORTE_DROPI!E:E)),
0
)
),
""
)
</f>
        <v>4155781</v>
      </c>
      <c r="U593" s="118">
        <v>6.416419979308E12</v>
      </c>
      <c r="V593" s="78"/>
      <c r="W593" s="78"/>
      <c r="X593" s="78"/>
      <c r="Y593" s="78"/>
      <c r="Z593" s="78"/>
    </row>
    <row r="594" ht="22.5" customHeight="1">
      <c r="A594" s="118">
        <v>593.0</v>
      </c>
      <c r="B594" s="119">
        <v>46037.0</v>
      </c>
      <c r="C594" s="118" t="s">
        <v>4897</v>
      </c>
      <c r="D594" s="118" t="str">
        <f>IFERROR(__xludf.DUMMYFUNCTION("IFERROR(
  INDEX(
    FILTER(
      'NOMBRE DE PRODUCTOS'!B:B,
      REGEXMATCH(
        UPPER(
          INDEX(
            REPORTE_DROPI!AC:AC,
            MATCH(T594, REPORTE_DROPI!B:B, 0)
          )
        ),
        UPPER('NOMBRE DE PRODUCTOS'!A:A)"&amp;"
      )
    ),
    1
  ),
  ""REVISAR""
)
"),"FilmPro®")</f>
        <v>FilmPro®</v>
      </c>
      <c r="E594" s="120">
        <f t="array" ref="E594">IF(
UPPER(TRIM(CLEAN($O594)))="ENTREGADO",
IFERROR(
INDEX(REPORTE_DROPI!Y:Y,
MATCH($T594, REPORTE_DROPI!B:B, 0)
),
""
),
""
)
</f>
        <v>2.35</v>
      </c>
      <c r="F594" s="121">
        <v>1.0</v>
      </c>
      <c r="G594" s="122">
        <f t="array" ref="G594">IF(
UPPER(TRIM(CLEAN($O594)))="ENTREGADO",
IFERROR(
INDEX(REPORTE_DROPI!R:R,
MATCH($T594, REPORTE_DROPI!B:B, 0)
),
""
),
""
)
</f>
        <v>20</v>
      </c>
      <c r="H594" s="118" t="s">
        <v>3727</v>
      </c>
      <c r="I594" s="118" t="s">
        <v>3882</v>
      </c>
      <c r="J594" s="121">
        <f t="array" ref="J594">IF(
UPPER(TRIM(CLEAN($O594)))="ENTREGADO",
IFERROR(
INDEX(REPORTE_DROPI!T:T,
MATCH($T594, REPORTE_DROPI!B:B, 0)
),
""
),
""
)
</f>
        <v>7.67</v>
      </c>
      <c r="K594" s="118">
        <f t="array" ref="K594">IFERROR(
INDEX(REPORTE_DROPI!S:S,
MATCH($T594, REPORTE_DROPI!B:B, 0)
),
""
)
</f>
        <v>9.98</v>
      </c>
      <c r="L594" s="118" t="str">
        <f>IF(
  O594&lt;&gt;"DEVOLUCION",
  "",
  IF(
    T594="",
    "",
    SUMIF(DEVOLUCION!F:F, T594, DEVOLUCION!D:D)
  )
)
</f>
        <v/>
      </c>
      <c r="M594" s="118" t="s">
        <v>3870</v>
      </c>
      <c r="N594" s="130" t="s">
        <v>4898</v>
      </c>
      <c r="O594" s="118" t="str">
        <f t="array" ref="O594">IFERROR(
VLOOKUP(
TRIM(CLEAN(
INDEX(REPORTE_DROPI!K:K,
MATCH(T594, REPORTE_DROPI!B:B, 0)
))),
{
TRIM(CLEAN(MAPA_ESTADOS!A:A)) ,
MAPA_ESTADOS!B:B
},
2,
FALSE
),
"REVISAR"
)
</f>
        <v>ENTREGADO</v>
      </c>
      <c r="P594" s="118" t="s">
        <v>4899</v>
      </c>
      <c r="Q594" s="122">
        <f t="shared" si="1"/>
        <v>0</v>
      </c>
      <c r="R594" s="118"/>
      <c r="S594" s="118"/>
      <c r="T594" s="118">
        <f t="array" ref="T594">IFERROR(
INDEX(REPORTE_DROPI!B:B,
MATCH(
CLEAN(TRIM(C594)),
CLEAN(TRIM(REPORTE_DROPI!E:E)),
0
)
),
""
)
</f>
        <v>4155810</v>
      </c>
      <c r="U594" s="118">
        <v>6.4164271555E12</v>
      </c>
      <c r="V594" s="78"/>
      <c r="W594" s="78"/>
      <c r="X594" s="78"/>
      <c r="Y594" s="78"/>
      <c r="Z594" s="78"/>
    </row>
    <row r="595" ht="22.5" customHeight="1">
      <c r="A595" s="118">
        <v>594.0</v>
      </c>
      <c r="B595" s="119">
        <v>46037.0</v>
      </c>
      <c r="C595" s="118" t="s">
        <v>4900</v>
      </c>
      <c r="D595" s="118" t="str">
        <f>IFERROR(__xludf.DUMMYFUNCTION("IFERROR(
  INDEX(
    FILTER(
      'NOMBRE DE PRODUCTOS'!B:B,
      REGEXMATCH(
        UPPER(
          INDEX(
            REPORTE_DROPI!AC:AC,
            MATCH(T595, REPORTE_DROPI!B:B, 0)
          )
        ),
        UPPER('NOMBRE DE PRODUCTOS'!A:A)"&amp;"
      )
    ),
    1
  ),
  ""REVISAR""
)
"),"FilmPro®")</f>
        <v>FilmPro®</v>
      </c>
      <c r="E595" s="120">
        <f t="array" ref="E595">IF(
UPPER(TRIM(CLEAN($O595)))="ENTREGADO",
IFERROR(
INDEX(REPORTE_DROPI!Y:Y,
MATCH($T595, REPORTE_DROPI!B:B, 0)
),
""
),
""
)
</f>
        <v>4.7</v>
      </c>
      <c r="F595" s="121">
        <v>2.0</v>
      </c>
      <c r="G595" s="122">
        <f t="array" ref="G595">IF(
UPPER(TRIM(CLEAN($O595)))="ENTREGADO",
IFERROR(
INDEX(REPORTE_DROPI!R:R,
MATCH($T595, REPORTE_DROPI!B:B, 0)
),
""
),
""
)
</f>
        <v>25</v>
      </c>
      <c r="H595" s="118" t="s">
        <v>3727</v>
      </c>
      <c r="I595" s="118" t="s">
        <v>3740</v>
      </c>
      <c r="J595" s="121">
        <f t="array" ref="J595">IF(
UPPER(TRIM(CLEAN($O595)))="ENTREGADO",
IFERROR(
INDEX(REPORTE_DROPI!T:T,
MATCH($T595, REPORTE_DROPI!B:B, 0)
),
""
),
""
)
</f>
        <v>7.75</v>
      </c>
      <c r="K595" s="118">
        <f t="array" ref="K595">IFERROR(
INDEX(REPORTE_DROPI!S:S,
MATCH($T595, REPORTE_DROPI!B:B, 0)
),
""
)
</f>
        <v>12.55</v>
      </c>
      <c r="L595" s="118" t="str">
        <f>IF(
  O595&lt;&gt;"DEVOLUCION",
  "",
  IF(
    T595="",
    "",
    SUMIF(DEVOLUCION!F:F, T595, DEVOLUCION!D:D)
  )
)
</f>
        <v/>
      </c>
      <c r="M595" s="118" t="s">
        <v>3870</v>
      </c>
      <c r="N595" s="130" t="s">
        <v>4901</v>
      </c>
      <c r="O595" s="118" t="str">
        <f t="array" ref="O595">IFERROR(
VLOOKUP(
TRIM(CLEAN(
INDEX(REPORTE_DROPI!K:K,
MATCH(T595, REPORTE_DROPI!B:B, 0)
))),
{
TRIM(CLEAN(MAPA_ESTADOS!A:A)) ,
MAPA_ESTADOS!B:B
},
2,
FALSE
),
"REVISAR"
)
</f>
        <v>ENTREGADO</v>
      </c>
      <c r="P595" s="118"/>
      <c r="Q595" s="122">
        <f t="shared" si="1"/>
        <v>0</v>
      </c>
      <c r="R595" s="118"/>
      <c r="S595" s="118"/>
      <c r="T595" s="118">
        <f t="array" ref="T595">IFERROR(
INDEX(REPORTE_DROPI!B:B,
MATCH(
CLEAN(TRIM(C595)),
CLEAN(TRIM(REPORTE_DROPI!E:E)),
0
)
),
""
)
</f>
        <v>4155975</v>
      </c>
      <c r="U595" s="118">
        <v>6.416454975532E12</v>
      </c>
      <c r="V595" s="78"/>
      <c r="W595" s="78"/>
      <c r="X595" s="78"/>
      <c r="Y595" s="78"/>
      <c r="Z595" s="78"/>
    </row>
    <row r="596" ht="22.5" customHeight="1">
      <c r="A596" s="118">
        <v>595.0</v>
      </c>
      <c r="B596" s="119">
        <v>46037.0</v>
      </c>
      <c r="C596" s="118" t="s">
        <v>4902</v>
      </c>
      <c r="D596" s="118" t="str">
        <f>IFERROR(__xludf.DUMMYFUNCTION("IFERROR(
  INDEX(
    FILTER(
      'NOMBRE DE PRODUCTOS'!B:B,
      REGEXMATCH(
        UPPER(
          INDEX(
            REPORTE_DROPI!AC:AC,
            MATCH(T596, REPORTE_DROPI!B:B, 0)
          )
        ),
        UPPER('NOMBRE DE PRODUCTOS'!A:A)"&amp;"
      )
    ),
    1
  ),
  ""REVISAR""
)
"),"FilmPro®")</f>
        <v>FilmPro®</v>
      </c>
      <c r="E596" s="120">
        <f t="array" ref="E596">IF(
UPPER(TRIM(CLEAN($O596)))="ENTREGADO",
IFERROR(
INDEX(REPORTE_DROPI!Y:Y,
MATCH($T596, REPORTE_DROPI!B:B, 0)
),
""
),
""
)
</f>
        <v>4.7</v>
      </c>
      <c r="F596" s="121">
        <v>2.0</v>
      </c>
      <c r="G596" s="122">
        <f t="array" ref="G596">IF(
UPPER(TRIM(CLEAN($O596)))="ENTREGADO",
IFERROR(
INDEX(REPORTE_DROPI!R:R,
MATCH($T596, REPORTE_DROPI!B:B, 0)
),
""
),
""
)
</f>
        <v>25</v>
      </c>
      <c r="H596" s="118" t="s">
        <v>3727</v>
      </c>
      <c r="I596" s="118" t="s">
        <v>3801</v>
      </c>
      <c r="J596" s="121">
        <f t="array" ref="J596">IF(
UPPER(TRIM(CLEAN($O596)))="ENTREGADO",
IFERROR(
INDEX(REPORTE_DROPI!T:T,
MATCH($T596, REPORTE_DROPI!B:B, 0)
),
""
),
""
)
</f>
        <v>6.53</v>
      </c>
      <c r="K596" s="118">
        <f t="array" ref="K596">IFERROR(
INDEX(REPORTE_DROPI!S:S,
MATCH($T596, REPORTE_DROPI!B:B, 0)
),
""
)
</f>
        <v>13.77</v>
      </c>
      <c r="L596" s="118" t="str">
        <f>IF(
  O596&lt;&gt;"DEVOLUCION",
  "",
  IF(
    T596="",
    "",
    SUMIF(DEVOLUCION!F:F, T596, DEVOLUCION!D:D)
  )
)
</f>
        <v/>
      </c>
      <c r="M596" s="118" t="s">
        <v>3870</v>
      </c>
      <c r="N596" s="130" t="s">
        <v>4903</v>
      </c>
      <c r="O596" s="118" t="str">
        <f t="array" ref="O596">IFERROR(
VLOOKUP(
TRIM(CLEAN(
INDEX(REPORTE_DROPI!K:K,
MATCH(T596, REPORTE_DROPI!B:B, 0)
))),
{
TRIM(CLEAN(MAPA_ESTADOS!A:A)) ,
MAPA_ESTADOS!B:B
},
2,
FALSE
),
"REVISAR"
)
</f>
        <v>ENTREGADO</v>
      </c>
      <c r="P596" s="118"/>
      <c r="Q596" s="122">
        <f t="shared" si="1"/>
        <v>0</v>
      </c>
      <c r="R596" s="118"/>
      <c r="S596" s="118"/>
      <c r="T596" s="118">
        <f t="array" ref="T596">IFERROR(
INDEX(REPORTE_DROPI!B:B,
MATCH(
CLEAN(TRIM(C596)),
CLEAN(TRIM(REPORTE_DROPI!E:E)),
0
)
),
""
)
</f>
        <v>4156194</v>
      </c>
      <c r="U596" s="118">
        <v>6.416501506092E12</v>
      </c>
      <c r="V596" s="78"/>
      <c r="W596" s="78"/>
      <c r="X596" s="78"/>
      <c r="Y596" s="78"/>
      <c r="Z596" s="78"/>
    </row>
    <row r="597" ht="22.5" customHeight="1">
      <c r="A597" s="118">
        <v>596.0</v>
      </c>
      <c r="B597" s="119">
        <v>46037.0</v>
      </c>
      <c r="C597" s="126" t="s">
        <v>4904</v>
      </c>
      <c r="D597" s="118" t="str">
        <f>IFERROR(__xludf.DUMMYFUNCTION("IFERROR(
  INDEX(
    FILTER(
      'NOMBRE DE PRODUCTOS'!B:B,
      REGEXMATCH(
        UPPER(
          INDEX(
            REPORTE_DROPI!AC:AC,
            MATCH(T597, REPORTE_DROPI!B:B, 0)
          )
        ),
        UPPER('NOMBRE DE PRODUCTOS'!A:A)"&amp;"
      )
    ),
    1
  ),
  ""REVISAR""
)
"),"Cuchillo Tazaki™")</f>
        <v>Cuchillo Tazaki™</v>
      </c>
      <c r="E597" s="120" t="str">
        <f t="array" ref="E597">IF(
UPPER(TRIM(CLEAN($O597)))="ENTREGADO",
IFERROR(
INDEX(REPORTE_DROPI!Y:Y,
MATCH($T597, REPORTE_DROPI!B:B, 0)
),
""
),
""
)
</f>
        <v/>
      </c>
      <c r="F597" s="121">
        <v>2.0</v>
      </c>
      <c r="G597" s="122" t="str">
        <f t="array" ref="G597">IF(
UPPER(TRIM(CLEAN($O597)))="ENTREGADO",
IFERROR(
INDEX(REPORTE_DROPI!R:R,
MATCH($T597, REPORTE_DROPI!B:B, 0)
),
""
),
""
)
</f>
        <v/>
      </c>
      <c r="H597" s="118" t="s">
        <v>3727</v>
      </c>
      <c r="I597" s="118" t="s">
        <v>3798</v>
      </c>
      <c r="J597" s="121" t="str">
        <f t="array" ref="J597">IF(
UPPER(TRIM(CLEAN($O597)))="ENTREGADO",
IFERROR(
INDEX(REPORTE_DROPI!T:T,
MATCH($T597, REPORTE_DROPI!B:B, 0)
),
""
),
""
)
</f>
        <v/>
      </c>
      <c r="K597" s="118" t="str">
        <f t="array" ref="K597">IFERROR(
INDEX(REPORTE_DROPI!S:S,
MATCH($T597, REPORTE_DROPI!B:B, 0)
),
""
)
</f>
        <v/>
      </c>
      <c r="L597" s="118">
        <f>IF(
  O597&lt;&gt;"DEVOLUCION",
  "",
  IF(
    T597="",
    "",
    SUMIF(DEVOLUCION!F:F, T597, DEVOLUCION!D:D)
  )
)
</f>
        <v>5.07</v>
      </c>
      <c r="M597" s="118" t="s">
        <v>3870</v>
      </c>
      <c r="N597" s="130" t="s">
        <v>4905</v>
      </c>
      <c r="O597" s="118" t="str">
        <f t="array" ref="O597">IFERROR(
VLOOKUP(
TRIM(CLEAN(
INDEX(REPORTE_DROPI!K:K,
MATCH(T597, REPORTE_DROPI!B:B, 0)
))),
{
TRIM(CLEAN(MAPA_ESTADOS!A:A)) ,
MAPA_ESTADOS!B:B
},
2,
FALSE
),
"REVISAR"
)
</f>
        <v>DEVOLUCION</v>
      </c>
      <c r="P597" s="118"/>
      <c r="Q597" s="122">
        <f t="shared" si="1"/>
        <v>0</v>
      </c>
      <c r="R597" s="118"/>
      <c r="S597" s="118"/>
      <c r="T597" s="118">
        <f t="array" ref="T597">IFERROR(
INDEX(REPORTE_DROPI!B:B,
MATCH(
CLEAN(TRIM(C597)),
CLEAN(TRIM(REPORTE_DROPI!E:E)),
0
)
),
""
)
</f>
        <v>4156224</v>
      </c>
      <c r="U597" s="118">
        <v>6.41650809246E12</v>
      </c>
      <c r="V597" s="78"/>
      <c r="W597" s="78"/>
      <c r="X597" s="78"/>
      <c r="Y597" s="78"/>
      <c r="Z597" s="78"/>
    </row>
    <row r="598" ht="22.5" customHeight="1">
      <c r="A598" s="118">
        <v>597.0</v>
      </c>
      <c r="B598" s="119">
        <v>46037.0</v>
      </c>
      <c r="C598" s="118" t="s">
        <v>4906</v>
      </c>
      <c r="D598" s="118" t="str">
        <f>IFERROR(__xludf.DUMMYFUNCTION("IFERROR(
  INDEX(
    FILTER(
      'NOMBRE DE PRODUCTOS'!B:B,
      REGEXMATCH(
        UPPER(
          INDEX(
            REPORTE_DROPI!AC:AC,
            MATCH(T598, REPORTE_DROPI!B:B, 0)
          )
        ),
        UPPER('NOMBRE DE PRODUCTOS'!A:A)"&amp;"
      )
    ),
    1
  ),
  ""REVISAR""
)
"),"Cuchillo Tazaki™")</f>
        <v>Cuchillo Tazaki™</v>
      </c>
      <c r="E598" s="120">
        <f t="array" ref="E598">IF(
UPPER(TRIM(CLEAN($O598)))="ENTREGADO",
IFERROR(
INDEX(REPORTE_DROPI!Y:Y,
MATCH($T598, REPORTE_DROPI!B:B, 0)
),
""
),
""
)
</f>
        <v>7.8</v>
      </c>
      <c r="F598" s="121">
        <v>3.0</v>
      </c>
      <c r="G598" s="122">
        <f t="array" ref="G598">IF(
UPPER(TRIM(CLEAN($O598)))="ENTREGADO",
IFERROR(
INDEX(REPORTE_DROPI!R:R,
MATCH($T598, REPORTE_DROPI!B:B, 0)
),
""
),
""
)
</f>
        <v>27</v>
      </c>
      <c r="H598" s="118" t="s">
        <v>3727</v>
      </c>
      <c r="I598" s="118" t="s">
        <v>3740</v>
      </c>
      <c r="J598" s="121">
        <f t="array" ref="J598">IF(
UPPER(TRIM(CLEAN($O598)))="ENTREGADO",
IFERROR(
INDEX(REPORTE_DROPI!T:T,
MATCH($T598, REPORTE_DROPI!B:B, 0)
),
""
),
""
)
</f>
        <v>4.42</v>
      </c>
      <c r="K598" s="118">
        <f t="array" ref="K598">IFERROR(
INDEX(REPORTE_DROPI!S:S,
MATCH($T598, REPORTE_DROPI!B:B, 0)
),
""
)
</f>
        <v>14.78</v>
      </c>
      <c r="L598" s="118" t="str">
        <f>IF(
  O598&lt;&gt;"DEVOLUCION",
  "",
  IF(
    T598="",
    "",
    SUMIF(DEVOLUCION!F:F, T598, DEVOLUCION!D:D)
  )
)
</f>
        <v/>
      </c>
      <c r="M598" s="118" t="s">
        <v>3870</v>
      </c>
      <c r="N598" s="130" t="s">
        <v>4907</v>
      </c>
      <c r="O598" s="118" t="str">
        <f t="array" ref="O598">IFERROR(
VLOOKUP(
TRIM(CLEAN(
INDEX(REPORTE_DROPI!K:K,
MATCH(T598, REPORTE_DROPI!B:B, 0)
))),
{
TRIM(CLEAN(MAPA_ESTADOS!A:A)) ,
MAPA_ESTADOS!B:B
},
2,
FALSE
),
"REVISAR"
)
</f>
        <v>ENTREGADO</v>
      </c>
      <c r="P598" s="118"/>
      <c r="Q598" s="122">
        <f t="shared" si="1"/>
        <v>0</v>
      </c>
      <c r="R598" s="118"/>
      <c r="S598" s="118"/>
      <c r="T598" s="118">
        <f t="array" ref="T598">IFERROR(
INDEX(REPORTE_DROPI!B:B,
MATCH(
CLEAN(TRIM(C598)),
CLEAN(TRIM(REPORTE_DROPI!E:E)),
0
)
),
""
)
</f>
        <v>4156234</v>
      </c>
      <c r="U598" s="118">
        <v>6.41651005854E12</v>
      </c>
      <c r="V598" s="78"/>
      <c r="W598" s="78"/>
      <c r="X598" s="78"/>
      <c r="Y598" s="78"/>
      <c r="Z598" s="78"/>
    </row>
    <row r="599" ht="22.5" customHeight="1">
      <c r="A599" s="118">
        <v>598.0</v>
      </c>
      <c r="B599" s="119">
        <v>46037.0</v>
      </c>
      <c r="C599" s="118" t="s">
        <v>4908</v>
      </c>
      <c r="D599" s="118" t="str">
        <f>IFERROR(__xludf.DUMMYFUNCTION("IFERROR(
  INDEX(
    FILTER(
      'NOMBRE DE PRODUCTOS'!B:B,
      REGEXMATCH(
        UPPER(
          INDEX(
            REPORTE_DROPI!AC:AC,
            MATCH(T599, REPORTE_DROPI!B:B, 0)
          )
        ),
        UPPER('NOMBRE DE PRODUCTOS'!A:A)"&amp;"
      )
    ),
    1
  ),
  ""REVISAR""
)
"),"Cuchillo Tazaki™")</f>
        <v>Cuchillo Tazaki™</v>
      </c>
      <c r="E599" s="120">
        <f t="array" ref="E599">IF(
UPPER(TRIM(CLEAN($O599)))="ENTREGADO",
IFERROR(
INDEX(REPORTE_DROPI!Y:Y,
MATCH($T599, REPORTE_DROPI!B:B, 0)
),
""
),
""
)
</f>
        <v>5.2</v>
      </c>
      <c r="F599" s="121">
        <v>2.0</v>
      </c>
      <c r="G599" s="122">
        <f t="array" ref="G599">IF(
UPPER(TRIM(CLEAN($O599)))="ENTREGADO",
IFERROR(
INDEX(REPORTE_DROPI!R:R,
MATCH($T599, REPORTE_DROPI!B:B, 0)
),
""
),
""
)
</f>
        <v>22</v>
      </c>
      <c r="H599" s="118" t="s">
        <v>3727</v>
      </c>
      <c r="I599" s="118" t="s">
        <v>3731</v>
      </c>
      <c r="J599" s="121">
        <f t="array" ref="J599">IF(
UPPER(TRIM(CLEAN($O599)))="ENTREGADO",
IFERROR(
INDEX(REPORTE_DROPI!T:T,
MATCH($T599, REPORTE_DROPI!B:B, 0)
),
""
),
""
)
</f>
        <v>5.84</v>
      </c>
      <c r="K599" s="118">
        <f t="array" ref="K599">IFERROR(
INDEX(REPORTE_DROPI!S:S,
MATCH($T599, REPORTE_DROPI!B:B, 0)
),
""
)
</f>
        <v>10.96</v>
      </c>
      <c r="L599" s="118" t="str">
        <f>IF(
  O599&lt;&gt;"DEVOLUCION",
  "",
  IF(
    T599="",
    "",
    SUMIF(DEVOLUCION!F:F, T599, DEVOLUCION!D:D)
  )
)
</f>
        <v/>
      </c>
      <c r="M599" s="118" t="s">
        <v>3870</v>
      </c>
      <c r="N599" s="130" t="s">
        <v>4909</v>
      </c>
      <c r="O599" s="118" t="str">
        <f t="array" ref="O599">IFERROR(
VLOOKUP(
TRIM(CLEAN(
INDEX(REPORTE_DROPI!K:K,
MATCH(T599, REPORTE_DROPI!B:B, 0)
))),
{
TRIM(CLEAN(MAPA_ESTADOS!A:A)) ,
MAPA_ESTADOS!B:B
},
2,
FALSE
),
"REVISAR"
)
</f>
        <v>ENTREGADO</v>
      </c>
      <c r="P599" s="118"/>
      <c r="Q599" s="122">
        <f t="shared" si="1"/>
        <v>0</v>
      </c>
      <c r="R599" s="118"/>
      <c r="S599" s="118"/>
      <c r="T599" s="118">
        <f t="array" ref="T599">IFERROR(
INDEX(REPORTE_DROPI!B:B,
MATCH(
CLEAN(TRIM(C599)),
CLEAN(TRIM(REPORTE_DROPI!E:E)),
0
)
),
""
)
</f>
        <v>4156297</v>
      </c>
      <c r="U599" s="118">
        <v>6.4165172675E12</v>
      </c>
      <c r="V599" s="78"/>
      <c r="W599" s="78"/>
      <c r="X599" s="78"/>
      <c r="Y599" s="78"/>
      <c r="Z599" s="78"/>
    </row>
    <row r="600" ht="22.5" customHeight="1">
      <c r="A600" s="118">
        <v>599.0</v>
      </c>
      <c r="B600" s="119">
        <v>46037.0</v>
      </c>
      <c r="C600" s="126" t="s">
        <v>4910</v>
      </c>
      <c r="D600" s="118" t="str">
        <f>IFERROR(__xludf.DUMMYFUNCTION("IFERROR(
  INDEX(
    FILTER(
      'NOMBRE DE PRODUCTOS'!B:B,
      REGEXMATCH(
        UPPER(
          INDEX(
            REPORTE_DROPI!AC:AC,
            MATCH(T600, REPORTE_DROPI!B:B, 0)
          )
        ),
        UPPER('NOMBRE DE PRODUCTOS'!A:A)"&amp;"
      )
    ),
    1
  ),
  ""REVISAR""
)
"),"Cuchillo Tazaki™")</f>
        <v>Cuchillo Tazaki™</v>
      </c>
      <c r="E600" s="120" t="str">
        <f t="array" ref="E600">IF(
UPPER(TRIM(CLEAN($O600)))="ENTREGADO",
IFERROR(
INDEX(REPORTE_DROPI!Y:Y,
MATCH($T600, REPORTE_DROPI!B:B, 0)
),
""
),
""
)
</f>
        <v/>
      </c>
      <c r="F600" s="121">
        <v>2.0</v>
      </c>
      <c r="G600" s="122" t="str">
        <f t="array" ref="G600">IF(
UPPER(TRIM(CLEAN($O600)))="ENTREGADO",
IFERROR(
INDEX(REPORTE_DROPI!R:R,
MATCH($T600, REPORTE_DROPI!B:B, 0)
),
""
),
""
)
</f>
        <v/>
      </c>
      <c r="H600" s="118" t="s">
        <v>3727</v>
      </c>
      <c r="I600" s="118" t="s">
        <v>3731</v>
      </c>
      <c r="J600" s="121" t="str">
        <f t="array" ref="J600">IF(
UPPER(TRIM(CLEAN($O600)))="ENTREGADO",
IFERROR(
INDEX(REPORTE_DROPI!T:T,
MATCH($T600, REPORTE_DROPI!B:B, 0)
),
""
),
""
)
</f>
        <v/>
      </c>
      <c r="K600" s="118" t="str">
        <f t="array" ref="K600">IFERROR(
INDEX(REPORTE_DROPI!S:S,
MATCH($T600, REPORTE_DROPI!B:B, 0)
),
""
)
</f>
        <v/>
      </c>
      <c r="L600" s="118">
        <f>IF(
  O600&lt;&gt;"DEVOLUCION",
  "",
  IF(
    T600="",
    "",
    SUMIF(DEVOLUCION!F:F, T600, DEVOLUCION!D:D)
  )
)
</f>
        <v>5.07</v>
      </c>
      <c r="M600" s="118" t="s">
        <v>3870</v>
      </c>
      <c r="N600" s="130" t="s">
        <v>4911</v>
      </c>
      <c r="O600" s="118" t="str">
        <f t="array" ref="O600">IFERROR(
VLOOKUP(
TRIM(CLEAN(
INDEX(REPORTE_DROPI!K:K,
MATCH(T600, REPORTE_DROPI!B:B, 0)
))),
{
TRIM(CLEAN(MAPA_ESTADOS!A:A)) ,
MAPA_ESTADOS!B:B
},
2,
FALSE
),
"REVISAR"
)
</f>
        <v>DEVOLUCION</v>
      </c>
      <c r="P600" s="118"/>
      <c r="Q600" s="122">
        <f t="shared" si="1"/>
        <v>0</v>
      </c>
      <c r="R600" s="118"/>
      <c r="S600" s="118"/>
      <c r="T600" s="118">
        <f t="array" ref="T600">IFERROR(
INDEX(REPORTE_DROPI!B:B,
MATCH(
CLEAN(TRIM(C600)),
CLEAN(TRIM(REPORTE_DROPI!E:E)),
0
)
),
""
)
</f>
        <v>4156337</v>
      </c>
      <c r="U600" s="118">
        <v>6.416526082092E12</v>
      </c>
      <c r="V600" s="78"/>
      <c r="W600" s="78"/>
      <c r="X600" s="78"/>
      <c r="Y600" s="78"/>
      <c r="Z600" s="78"/>
    </row>
    <row r="601" ht="22.5" customHeight="1">
      <c r="A601" s="118">
        <v>600.0</v>
      </c>
      <c r="B601" s="119">
        <v>46037.0</v>
      </c>
      <c r="C601" s="118" t="s">
        <v>4912</v>
      </c>
      <c r="D601" s="118" t="str">
        <f>IFERROR(__xludf.DUMMYFUNCTION("IFERROR(
  INDEX(
    FILTER(
      'NOMBRE DE PRODUCTOS'!B:B,
      REGEXMATCH(
        UPPER(
          INDEX(
            REPORTE_DROPI!AC:AC,
            MATCH(T601, REPORTE_DROPI!B:B, 0)
          )
        ),
        UPPER('NOMBRE DE PRODUCTOS'!A:A)"&amp;"
      )
    ),
    1
  ),
  ""REVISAR""
)
"),"FilmPro®")</f>
        <v>FilmPro®</v>
      </c>
      <c r="E601" s="120" t="str">
        <f t="array" ref="E601">IF(
UPPER(TRIM(CLEAN($O601)))="ENTREGADO",
IFERROR(
INDEX(REPORTE_DROPI!Y:Y,
MATCH($T601, REPORTE_DROPI!B:B, 0)
),
""
),
""
)
</f>
        <v/>
      </c>
      <c r="F601" s="121">
        <v>3.0</v>
      </c>
      <c r="G601" s="122" t="str">
        <f t="array" ref="G601">IF(
UPPER(TRIM(CLEAN($O601)))="ENTREGADO",
IFERROR(
INDEX(REPORTE_DROPI!R:R,
MATCH($T601, REPORTE_DROPI!B:B, 0)
),
""
),
""
)
</f>
        <v/>
      </c>
      <c r="H601" s="118" t="s">
        <v>3727</v>
      </c>
      <c r="I601" s="118" t="s">
        <v>3731</v>
      </c>
      <c r="J601" s="121" t="str">
        <f t="array" ref="J601">IF(
UPPER(TRIM(CLEAN($O601)))="ENTREGADO",
IFERROR(
INDEX(REPORTE_DROPI!T:T,
MATCH($T601, REPORTE_DROPI!B:B, 0)
),
""
),
""
)
</f>
        <v/>
      </c>
      <c r="K601" s="118" t="str">
        <f t="array" ref="K601">IFERROR(
INDEX(REPORTE_DROPI!S:S,
MATCH($T601, REPORTE_DROPI!B:B, 0)
),
""
)
</f>
        <v/>
      </c>
      <c r="L601" s="118" t="str">
        <f>IF(
  O601&lt;&gt;"DEVOLUCION",
  "",
  IF(
    T601="",
    "",
    SUMIF(DEVOLUCION!F:F, T601, DEVOLUCION!D:D)
  )
)
</f>
        <v/>
      </c>
      <c r="M601" s="118" t="s">
        <v>3870</v>
      </c>
      <c r="N601" s="130" t="s">
        <v>4913</v>
      </c>
      <c r="O601" s="118" t="str">
        <f t="array" ref="O601">IFERROR(
VLOOKUP(
TRIM(CLEAN(
INDEX(REPORTE_DROPI!K:K,
MATCH(T601, REPORTE_DROPI!B:B, 0)
))),
{
TRIM(CLEAN(MAPA_ESTADOS!A:A)) ,
MAPA_ESTADOS!B:B
},
2,
FALSE
),
"REVISAR"
)
</f>
        <v>CANCELADO</v>
      </c>
      <c r="P601" s="118" t="s">
        <v>4914</v>
      </c>
      <c r="Q601" s="122">
        <f t="shared" si="1"/>
        <v>0</v>
      </c>
      <c r="R601" s="118"/>
      <c r="S601" s="118"/>
      <c r="T601" s="118">
        <f t="array" ref="T601">IFERROR(
INDEX(REPORTE_DROPI!B:B,
MATCH(
CLEAN(TRIM(C601)),
CLEAN(TRIM(REPORTE_DROPI!E:E)),
0
)
),
""
)
</f>
        <v>4156462</v>
      </c>
      <c r="U601" s="118">
        <v>6.416548134956E12</v>
      </c>
      <c r="V601" s="78"/>
      <c r="W601" s="78"/>
      <c r="X601" s="78"/>
      <c r="Y601" s="78"/>
      <c r="Z601" s="78"/>
    </row>
    <row r="602" ht="22.5" customHeight="1">
      <c r="A602" s="118">
        <v>601.0</v>
      </c>
      <c r="B602" s="119">
        <v>46037.0</v>
      </c>
      <c r="C602" s="126" t="s">
        <v>4915</v>
      </c>
      <c r="D602" s="118" t="str">
        <f>IFERROR(__xludf.DUMMYFUNCTION("IFERROR(
  INDEX(
    FILTER(
      'NOMBRE DE PRODUCTOS'!B:B,
      REGEXMATCH(
        UPPER(
          INDEX(
            REPORTE_DROPI!AC:AC,
            MATCH(T602, REPORTE_DROPI!B:B, 0)
          )
        ),
        UPPER('NOMBRE DE PRODUCTOS'!A:A)"&amp;"
      )
    ),
    1
  ),
  ""REVISAR""
)
"),"Cuchillo Tazaki™")</f>
        <v>Cuchillo Tazaki™</v>
      </c>
      <c r="E602" s="120" t="str">
        <f t="array" ref="E602">IF(
UPPER(TRIM(CLEAN($O602)))="ENTREGADO",
IFERROR(
INDEX(REPORTE_DROPI!Y:Y,
MATCH($T602, REPORTE_DROPI!B:B, 0)
),
""
),
""
)
</f>
        <v/>
      </c>
      <c r="F602" s="121">
        <v>2.0</v>
      </c>
      <c r="G602" s="122" t="str">
        <f t="array" ref="G602">IF(
UPPER(TRIM(CLEAN($O602)))="ENTREGADO",
IFERROR(
INDEX(REPORTE_DROPI!R:R,
MATCH($T602, REPORTE_DROPI!B:B, 0)
),
""
),
""
)
</f>
        <v/>
      </c>
      <c r="H602" s="118" t="s">
        <v>3727</v>
      </c>
      <c r="I602" s="118" t="s">
        <v>3772</v>
      </c>
      <c r="J602" s="121" t="str">
        <f t="array" ref="J602">IF(
UPPER(TRIM(CLEAN($O602)))="ENTREGADO",
IFERROR(
INDEX(REPORTE_DROPI!T:T,
MATCH($T602, REPORTE_DROPI!B:B, 0)
),
""
),
""
)
</f>
        <v/>
      </c>
      <c r="K602" s="118" t="str">
        <f t="array" ref="K602">IFERROR(
INDEX(REPORTE_DROPI!S:S,
MATCH($T602, REPORTE_DROPI!B:B, 0)
),
""
)
</f>
        <v/>
      </c>
      <c r="L602" s="118">
        <f>IF(
  O602&lt;&gt;"DEVOLUCION",
  "",
  IF(
    T602="",
    "",
    SUMIF(DEVOLUCION!F:F, T602, DEVOLUCION!D:D)
  )
)
</f>
        <v>5.07</v>
      </c>
      <c r="M602" s="118" t="s">
        <v>3870</v>
      </c>
      <c r="N602" s="130" t="s">
        <v>4916</v>
      </c>
      <c r="O602" s="118" t="str">
        <f t="array" ref="O602">IFERROR(
VLOOKUP(
TRIM(CLEAN(
INDEX(REPORTE_DROPI!K:K,
MATCH(T602, REPORTE_DROPI!B:B, 0)
))),
{
TRIM(CLEAN(MAPA_ESTADOS!A:A)) ,
MAPA_ESTADOS!B:B
},
2,
FALSE
),
"REVISAR"
)
</f>
        <v>DEVOLUCION</v>
      </c>
      <c r="P602" s="118" t="s">
        <v>4892</v>
      </c>
      <c r="Q602" s="122">
        <f t="shared" si="1"/>
        <v>0</v>
      </c>
      <c r="R602" s="118"/>
      <c r="S602" s="118"/>
      <c r="T602" s="118">
        <f t="array" ref="T602">IFERROR(
INDEX(REPORTE_DROPI!B:B,
MATCH(
CLEAN(TRIM(C602)),
CLEAN(TRIM(REPORTE_DROPI!E:E)),
0
)
),
""
)
</f>
        <v>4156566</v>
      </c>
      <c r="U602" s="118">
        <v>6.416572383276E12</v>
      </c>
      <c r="V602" s="78"/>
      <c r="W602" s="78"/>
      <c r="X602" s="78"/>
      <c r="Y602" s="78"/>
      <c r="Z602" s="78"/>
    </row>
    <row r="603" ht="22.5" customHeight="1">
      <c r="A603" s="118">
        <v>602.0</v>
      </c>
      <c r="B603" s="119">
        <v>46037.0</v>
      </c>
      <c r="C603" s="118" t="s">
        <v>4917</v>
      </c>
      <c r="D603" s="118" t="str">
        <f>IFERROR(__xludf.DUMMYFUNCTION("IFERROR(
  INDEX(
    FILTER(
      'NOMBRE DE PRODUCTOS'!B:B,
      REGEXMATCH(
        UPPER(
          INDEX(
            REPORTE_DROPI!AC:AC,
            MATCH(T603, REPORTE_DROPI!B:B, 0)
          )
        ),
        UPPER('NOMBRE DE PRODUCTOS'!A:A)"&amp;"
      )
    ),
    1
  ),
  ""REVISAR""
)
"),"Cuchillo Tazaki™")</f>
        <v>Cuchillo Tazaki™</v>
      </c>
      <c r="E603" s="120">
        <f t="array" ref="E603">IF(
UPPER(TRIM(CLEAN($O603)))="ENTREGADO",
IFERROR(
INDEX(REPORTE_DROPI!Y:Y,
MATCH($T603, REPORTE_DROPI!B:B, 0)
),
""
),
""
)
</f>
        <v>5.2</v>
      </c>
      <c r="F603" s="121">
        <v>2.0</v>
      </c>
      <c r="G603" s="122">
        <f t="array" ref="G603">IF(
UPPER(TRIM(CLEAN($O603)))="ENTREGADO",
IFERROR(
INDEX(REPORTE_DROPI!R:R,
MATCH($T603, REPORTE_DROPI!B:B, 0)
),
""
),
""
)
</f>
        <v>22</v>
      </c>
      <c r="H603" s="118" t="s">
        <v>3727</v>
      </c>
      <c r="I603" s="118" t="s">
        <v>3882</v>
      </c>
      <c r="J603" s="121">
        <f t="array" ref="J603">IF(
UPPER(TRIM(CLEAN($O603)))="ENTREGADO",
IFERROR(
INDEX(REPORTE_DROPI!T:T,
MATCH($T603, REPORTE_DROPI!B:B, 0)
),
""
),
""
)
</f>
        <v>7.7</v>
      </c>
      <c r="K603" s="118">
        <f t="array" ref="K603">IFERROR(
INDEX(REPORTE_DROPI!S:S,
MATCH($T603, REPORTE_DROPI!B:B, 0)
),
""
)
</f>
        <v>9.1</v>
      </c>
      <c r="L603" s="118" t="str">
        <f>IF(
  O603&lt;&gt;"DEVOLUCION",
  "",
  IF(
    T603="",
    "",
    SUMIF(DEVOLUCION!F:F, T603, DEVOLUCION!D:D)
  )
)
</f>
        <v/>
      </c>
      <c r="M603" s="118" t="s">
        <v>3870</v>
      </c>
      <c r="N603" s="130" t="s">
        <v>4918</v>
      </c>
      <c r="O603" s="118" t="str">
        <f t="array" ref="O603">IFERROR(
VLOOKUP(
TRIM(CLEAN(
INDEX(REPORTE_DROPI!K:K,
MATCH(T603, REPORTE_DROPI!B:B, 0)
))),
{
TRIM(CLEAN(MAPA_ESTADOS!A:A)) ,
MAPA_ESTADOS!B:B
},
2,
FALSE
),
"REVISAR"
)
</f>
        <v>ENTREGADO</v>
      </c>
      <c r="P603" s="118"/>
      <c r="Q603" s="122">
        <f t="shared" si="1"/>
        <v>0</v>
      </c>
      <c r="R603" s="118"/>
      <c r="S603" s="118"/>
      <c r="T603" s="118">
        <f t="array" ref="T603">IFERROR(
INDEX(REPORTE_DROPI!B:B,
MATCH(
CLEAN(TRIM(C603)),
CLEAN(TRIM(REPORTE_DROPI!E:E)),
0
)
),
""
)
</f>
        <v>4156621</v>
      </c>
      <c r="U603" s="118">
        <v>6.416582606892E12</v>
      </c>
      <c r="V603" s="78"/>
      <c r="W603" s="78"/>
      <c r="X603" s="78"/>
      <c r="Y603" s="78"/>
      <c r="Z603" s="78"/>
    </row>
    <row r="604" ht="22.5" customHeight="1">
      <c r="A604" s="118">
        <v>603.0</v>
      </c>
      <c r="B604" s="119">
        <v>46037.0</v>
      </c>
      <c r="C604" s="118" t="s">
        <v>4919</v>
      </c>
      <c r="D604" s="118" t="str">
        <f>IFERROR(__xludf.DUMMYFUNCTION("IFERROR(
  INDEX(
    FILTER(
      'NOMBRE DE PRODUCTOS'!B:B,
      REGEXMATCH(
        UPPER(
          INDEX(
            REPORTE_DROPI!AC:AC,
            MATCH(T604, REPORTE_DROPI!B:B, 0)
          )
        ),
        UPPER('NOMBRE DE PRODUCTOS'!A:A)"&amp;"
      )
    ),
    1
  ),
  ""REVISAR""
)
"),"FilmPro®")</f>
        <v>FilmPro®</v>
      </c>
      <c r="E604" s="120">
        <f t="array" ref="E604">IF(
UPPER(TRIM(CLEAN($O604)))="ENTREGADO",
IFERROR(
INDEX(REPORTE_DROPI!Y:Y,
MATCH($T604, REPORTE_DROPI!B:B, 0)
),
""
),
""
)
</f>
        <v>2.35</v>
      </c>
      <c r="F604" s="121">
        <v>1.0</v>
      </c>
      <c r="G604" s="122">
        <f t="array" ref="G604">IF(
UPPER(TRIM(CLEAN($O604)))="ENTREGADO",
IFERROR(
INDEX(REPORTE_DROPI!R:R,
MATCH($T604, REPORTE_DROPI!B:B, 0)
),
""
),
""
)
</f>
        <v>20</v>
      </c>
      <c r="H604" s="118" t="s">
        <v>3727</v>
      </c>
      <c r="I604" s="118" t="s">
        <v>3740</v>
      </c>
      <c r="J604" s="121">
        <f t="array" ref="J604">IF(
UPPER(TRIM(CLEAN($O604)))="ENTREGADO",
IFERROR(
INDEX(REPORTE_DROPI!T:T,
MATCH($T604, REPORTE_DROPI!B:B, 0)
),
""
),
""
)
</f>
        <v>5.76</v>
      </c>
      <c r="K604" s="118">
        <f t="array" ref="K604">IFERROR(
INDEX(REPORTE_DROPI!S:S,
MATCH($T604, REPORTE_DROPI!B:B, 0)
),
""
)
</f>
        <v>11.89</v>
      </c>
      <c r="L604" s="118" t="str">
        <f>IF(
  O604&lt;&gt;"DEVOLUCION",
  "",
  IF(
    T604="",
    "",
    SUMIF(DEVOLUCION!F:F, T604, DEVOLUCION!D:D)
  )
)
</f>
        <v/>
      </c>
      <c r="M604" s="118" t="s">
        <v>3870</v>
      </c>
      <c r="N604" s="130" t="s">
        <v>4920</v>
      </c>
      <c r="O604" s="118" t="str">
        <f t="array" ref="O604">IFERROR(
VLOOKUP(
TRIM(CLEAN(
INDEX(REPORTE_DROPI!K:K,
MATCH(T604, REPORTE_DROPI!B:B, 0)
))),
{
TRIM(CLEAN(MAPA_ESTADOS!A:A)) ,
MAPA_ESTADOS!B:B
},
2,
FALSE
),
"REVISAR"
)
</f>
        <v>ENTREGADO</v>
      </c>
      <c r="P604" s="118"/>
      <c r="Q604" s="122">
        <f t="shared" si="1"/>
        <v>0</v>
      </c>
      <c r="R604" s="118"/>
      <c r="S604" s="118"/>
      <c r="T604" s="118">
        <f t="array" ref="T604">IFERROR(
INDEX(REPORTE_DROPI!B:B,
MATCH(
CLEAN(TRIM(C604)),
CLEAN(TRIM(REPORTE_DROPI!E:E)),
0
)
),
""
)
</f>
        <v>4156752</v>
      </c>
      <c r="U604" s="118">
        <v>6.416594337836E12</v>
      </c>
      <c r="V604" s="78"/>
      <c r="W604" s="78"/>
      <c r="X604" s="78"/>
      <c r="Y604" s="78"/>
      <c r="Z604" s="78"/>
    </row>
    <row r="605" ht="22.5" customHeight="1">
      <c r="A605" s="118">
        <v>604.0</v>
      </c>
      <c r="B605" s="119">
        <v>46037.0</v>
      </c>
      <c r="C605" s="118" t="s">
        <v>4921</v>
      </c>
      <c r="D605" s="118" t="str">
        <f>IFERROR(__xludf.DUMMYFUNCTION("IFERROR(
  INDEX(
    FILTER(
      'NOMBRE DE PRODUCTOS'!B:B,
      REGEXMATCH(
        UPPER(
          INDEX(
            REPORTE_DROPI!AC:AC,
            MATCH(T605, REPORTE_DROPI!B:B, 0)
          )
        ),
        UPPER('NOMBRE DE PRODUCTOS'!A:A)"&amp;"
      )
    ),
    1
  ),
  ""REVISAR""
)
"),"FilmPro®")</f>
        <v>FilmPro®</v>
      </c>
      <c r="E605" s="120">
        <f t="array" ref="E605">IF(
UPPER(TRIM(CLEAN($O605)))="ENTREGADO",
IFERROR(
INDEX(REPORTE_DROPI!Y:Y,
MATCH($T605, REPORTE_DROPI!B:B, 0)
),
""
),
""
)
</f>
        <v>2.35</v>
      </c>
      <c r="F605" s="121">
        <v>1.0</v>
      </c>
      <c r="G605" s="122">
        <f t="array" ref="G605">IF(
UPPER(TRIM(CLEAN($O605)))="ENTREGADO",
IFERROR(
INDEX(REPORTE_DROPI!R:R,
MATCH($T605, REPORTE_DROPI!B:B, 0)
),
""
),
""
)
</f>
        <v>20</v>
      </c>
      <c r="H605" s="118" t="s">
        <v>3727</v>
      </c>
      <c r="I605" s="118" t="s">
        <v>3728</v>
      </c>
      <c r="J605" s="121">
        <f t="array" ref="J605">IF(
UPPER(TRIM(CLEAN($O605)))="ENTREGADO",
IFERROR(
INDEX(REPORTE_DROPI!T:T,
MATCH($T605, REPORTE_DROPI!B:B, 0)
),
""
),
""
)
</f>
        <v>7.67</v>
      </c>
      <c r="K605" s="118">
        <f t="array" ref="K605">IFERROR(
INDEX(REPORTE_DROPI!S:S,
MATCH($T605, REPORTE_DROPI!B:B, 0)
),
""
)
</f>
        <v>9.98</v>
      </c>
      <c r="L605" s="118" t="str">
        <f>IF(
  O605&lt;&gt;"DEVOLUCION",
  "",
  IF(
    T605="",
    "",
    SUMIF(DEVOLUCION!F:F, T605, DEVOLUCION!D:D)
  )
)
</f>
        <v/>
      </c>
      <c r="M605" s="118" t="s">
        <v>3870</v>
      </c>
      <c r="N605" s="130" t="s">
        <v>4922</v>
      </c>
      <c r="O605" s="118" t="str">
        <f t="array" ref="O605">IFERROR(
VLOOKUP(
TRIM(CLEAN(
INDEX(REPORTE_DROPI!K:K,
MATCH(T605, REPORTE_DROPI!B:B, 0)
))),
{
TRIM(CLEAN(MAPA_ESTADOS!A:A)) ,
MAPA_ESTADOS!B:B
},
2,
FALSE
),
"REVISAR"
)
</f>
        <v>ENTREGADO</v>
      </c>
      <c r="P605" s="118"/>
      <c r="Q605" s="122">
        <f t="shared" si="1"/>
        <v>0</v>
      </c>
      <c r="R605" s="118"/>
      <c r="S605" s="118"/>
      <c r="T605" s="118">
        <f t="array" ref="T605">IFERROR(
INDEX(REPORTE_DROPI!B:B,
MATCH(
CLEAN(TRIM(C605)),
CLEAN(TRIM(REPORTE_DROPI!E:E)),
0
)
),
""
)
</f>
        <v>4156928</v>
      </c>
      <c r="U605" s="118">
        <v>6.416628252716E12</v>
      </c>
      <c r="V605" s="78"/>
      <c r="W605" s="78"/>
      <c r="X605" s="78"/>
      <c r="Y605" s="78"/>
      <c r="Z605" s="78"/>
    </row>
    <row r="606" ht="22.5" customHeight="1">
      <c r="A606" s="118">
        <v>605.0</v>
      </c>
      <c r="B606" s="119">
        <v>46037.0</v>
      </c>
      <c r="C606" s="118" t="s">
        <v>4923</v>
      </c>
      <c r="D606" s="118" t="str">
        <f>IFERROR(__xludf.DUMMYFUNCTION("IFERROR(
  INDEX(
    FILTER(
      'NOMBRE DE PRODUCTOS'!B:B,
      REGEXMATCH(
        UPPER(
          INDEX(
            REPORTE_DROPI!AC:AC,
            MATCH(T606, REPORTE_DROPI!B:B, 0)
          )
        ),
        UPPER('NOMBRE DE PRODUCTOS'!A:A)"&amp;"
      )
    ),
    1
  ),
  ""REVISAR""
)
"),"Cuchillo Tazaki™")</f>
        <v>Cuchillo Tazaki™</v>
      </c>
      <c r="E606" s="120">
        <f t="array" ref="E606">IF(
UPPER(TRIM(CLEAN($O606)))="ENTREGADO",
IFERROR(
INDEX(REPORTE_DROPI!Y:Y,
MATCH($T606, REPORTE_DROPI!B:B, 0)
),
""
),
""
)
</f>
        <v>7.8</v>
      </c>
      <c r="F606" s="121">
        <v>3.0</v>
      </c>
      <c r="G606" s="122">
        <f t="array" ref="G606">IF(
UPPER(TRIM(CLEAN($O606)))="ENTREGADO",
IFERROR(
INDEX(REPORTE_DROPI!R:R,
MATCH($T606, REPORTE_DROPI!B:B, 0)
),
""
),
""
)
</f>
        <v>27</v>
      </c>
      <c r="H606" s="118" t="s">
        <v>3727</v>
      </c>
      <c r="I606" s="118" t="s">
        <v>3772</v>
      </c>
      <c r="J606" s="121">
        <f t="array" ref="J606">IF(
UPPER(TRIM(CLEAN($O606)))="ENTREGADO",
IFERROR(
INDEX(REPORTE_DROPI!T:T,
MATCH($T606, REPORTE_DROPI!B:B, 0)
),
""
),
""
)
</f>
        <v>6.03</v>
      </c>
      <c r="K606" s="118">
        <f t="array" ref="K606">IFERROR(
INDEX(REPORTE_DROPI!S:S,
MATCH($T606, REPORTE_DROPI!B:B, 0)
),
""
)
</f>
        <v>13.17</v>
      </c>
      <c r="L606" s="118" t="str">
        <f>IF(
  O606&lt;&gt;"DEVOLUCION",
  "",
  IF(
    T606="",
    "",
    SUMIF(DEVOLUCION!F:F, T606, DEVOLUCION!D:D)
  )
)
</f>
        <v/>
      </c>
      <c r="M606" s="118" t="s">
        <v>3870</v>
      </c>
      <c r="N606" s="130" t="s">
        <v>4924</v>
      </c>
      <c r="O606" s="118" t="str">
        <f t="array" ref="O606">IFERROR(
VLOOKUP(
TRIM(CLEAN(
INDEX(REPORTE_DROPI!K:K,
MATCH(T606, REPORTE_DROPI!B:B, 0)
))),
{
TRIM(CLEAN(MAPA_ESTADOS!A:A)) ,
MAPA_ESTADOS!B:B
},
2,
FALSE
),
"REVISAR"
)
</f>
        <v>ENTREGADO</v>
      </c>
      <c r="P606" s="118"/>
      <c r="Q606" s="122">
        <f t="shared" si="1"/>
        <v>0</v>
      </c>
      <c r="R606" s="118"/>
      <c r="S606" s="118"/>
      <c r="T606" s="118">
        <f t="array" ref="T606">IFERROR(
INDEX(REPORTE_DROPI!B:B,
MATCH(
CLEAN(TRIM(C606)),
CLEAN(TRIM(REPORTE_DROPI!E:E)),
0
)
),
""
)
</f>
        <v>4157018</v>
      </c>
      <c r="U606" s="118">
        <v>6.416650895404E12</v>
      </c>
      <c r="V606" s="78"/>
      <c r="W606" s="78"/>
      <c r="X606" s="78"/>
      <c r="Y606" s="78"/>
      <c r="Z606" s="78"/>
    </row>
    <row r="607" ht="22.5" customHeight="1">
      <c r="A607" s="118">
        <v>606.0</v>
      </c>
      <c r="B607" s="119">
        <v>46037.0</v>
      </c>
      <c r="C607" s="118" t="s">
        <v>4925</v>
      </c>
      <c r="D607" s="118" t="str">
        <f>IFERROR(__xludf.DUMMYFUNCTION("IFERROR(
  INDEX(
    FILTER(
      'NOMBRE DE PRODUCTOS'!B:B,
      REGEXMATCH(
        UPPER(
          INDEX(
            REPORTE_DROPI!AC:AC,
            MATCH(T607, REPORTE_DROPI!B:B, 0)
          )
        ),
        UPPER('NOMBRE DE PRODUCTOS'!A:A)"&amp;"
      )
    ),
    1
  ),
  ""REVISAR""
)
"),"Cuchillo Tazaki™")</f>
        <v>Cuchillo Tazaki™</v>
      </c>
      <c r="E607" s="120">
        <f t="array" ref="E607">IF(
UPPER(TRIM(CLEAN($O607)))="ENTREGADO",
IFERROR(
INDEX(REPORTE_DROPI!Y:Y,
MATCH($T607, REPORTE_DROPI!B:B, 0)
),
""
),
""
)
</f>
        <v>7.8</v>
      </c>
      <c r="F607" s="121">
        <v>3.0</v>
      </c>
      <c r="G607" s="122">
        <f t="array" ref="G607">IF(
UPPER(TRIM(CLEAN($O607)))="ENTREGADO",
IFERROR(
INDEX(REPORTE_DROPI!R:R,
MATCH($T607, REPORTE_DROPI!B:B, 0)
),
""
),
""
)
</f>
        <v>27</v>
      </c>
      <c r="H607" s="118" t="s">
        <v>3727</v>
      </c>
      <c r="I607" s="118" t="s">
        <v>3809</v>
      </c>
      <c r="J607" s="121">
        <f t="array" ref="J607">IF(
UPPER(TRIM(CLEAN($O607)))="ENTREGADO",
IFERROR(
INDEX(REPORTE_DROPI!T:T,
MATCH($T607, REPORTE_DROPI!B:B, 0)
),
""
),
""
)
</f>
        <v>7.77</v>
      </c>
      <c r="K607" s="118">
        <f t="array" ref="K607">IFERROR(
INDEX(REPORTE_DROPI!S:S,
MATCH($T607, REPORTE_DROPI!B:B, 0)
),
""
)
</f>
        <v>11.43</v>
      </c>
      <c r="L607" s="118" t="str">
        <f>IF(
  O607&lt;&gt;"DEVOLUCION",
  "",
  IF(
    T607="",
    "",
    SUMIF(DEVOLUCION!F:F, T607, DEVOLUCION!D:D)
  )
)
</f>
        <v/>
      </c>
      <c r="M607" s="118" t="s">
        <v>3870</v>
      </c>
      <c r="N607" s="130" t="s">
        <v>4926</v>
      </c>
      <c r="O607" s="118" t="str">
        <f t="array" ref="O607">IFERROR(
VLOOKUP(
TRIM(CLEAN(
INDEX(REPORTE_DROPI!K:K,
MATCH(T607, REPORTE_DROPI!B:B, 0)
))),
{
TRIM(CLEAN(MAPA_ESTADOS!A:A)) ,
MAPA_ESTADOS!B:B
},
2,
FALSE
),
"REVISAR"
)
</f>
        <v>ENTREGADO</v>
      </c>
      <c r="P607" s="118" t="s">
        <v>3888</v>
      </c>
      <c r="Q607" s="122">
        <f t="shared" si="1"/>
        <v>0</v>
      </c>
      <c r="R607" s="118"/>
      <c r="S607" s="118"/>
      <c r="T607" s="118">
        <f t="array" ref="T607">IFERROR(
INDEX(REPORTE_DROPI!B:B,
MATCH(
CLEAN(TRIM(C607)),
CLEAN(TRIM(REPORTE_DROPI!E:E)),
0
)
),
""
)
</f>
        <v>4174706</v>
      </c>
      <c r="U607" s="118">
        <v>6.416705454124E12</v>
      </c>
      <c r="V607" s="78"/>
      <c r="W607" s="78"/>
      <c r="X607" s="78"/>
      <c r="Y607" s="78"/>
      <c r="Z607" s="78"/>
    </row>
    <row r="608" ht="22.5" customHeight="1">
      <c r="A608" s="118">
        <v>607.0</v>
      </c>
      <c r="B608" s="119">
        <v>46037.0</v>
      </c>
      <c r="C608" s="118" t="s">
        <v>4927</v>
      </c>
      <c r="D608" s="118" t="str">
        <f>IFERROR(__xludf.DUMMYFUNCTION("IFERROR(
  INDEX(
    FILTER(
      'NOMBRE DE PRODUCTOS'!B:B,
      REGEXMATCH(
        UPPER(
          INDEX(
            REPORTE_DROPI!AC:AC,
            MATCH(T608, REPORTE_DROPI!B:B, 0)
          )
        ),
        UPPER('NOMBRE DE PRODUCTOS'!A:A)"&amp;"
      )
    ),
    1
  ),
  ""REVISAR""
)
"),"FilmPro®")</f>
        <v>FilmPro®</v>
      </c>
      <c r="E608" s="120">
        <f t="array" ref="E608">IF(
UPPER(TRIM(CLEAN($O608)))="ENTREGADO",
IFERROR(
INDEX(REPORTE_DROPI!Y:Y,
MATCH($T608, REPORTE_DROPI!B:B, 0)
),
""
),
""
)
</f>
        <v>7.05</v>
      </c>
      <c r="F608" s="121">
        <v>3.0</v>
      </c>
      <c r="G608" s="122">
        <f t="array" ref="G608">IF(
UPPER(TRIM(CLEAN($O608)))="ENTREGADO",
IFERROR(
INDEX(REPORTE_DROPI!R:R,
MATCH($T608, REPORTE_DROPI!B:B, 0)
),
""
),
""
)
</f>
        <v>30</v>
      </c>
      <c r="H608" s="118" t="s">
        <v>3727</v>
      </c>
      <c r="I608" s="118" t="s">
        <v>3740</v>
      </c>
      <c r="J608" s="121">
        <f t="array" ref="J608">IF(
UPPER(TRIM(CLEAN($O608)))="ENTREGADO",
IFERROR(
INDEX(REPORTE_DROPI!T:T,
MATCH($T608, REPORTE_DROPI!B:B, 0)
),
""
),
""
)
</f>
        <v>6.16</v>
      </c>
      <c r="K608" s="118">
        <f t="array" ref="K608">IFERROR(
INDEX(REPORTE_DROPI!S:S,
MATCH($T608, REPORTE_DROPI!B:B, 0)
),
""
)
</f>
        <v>16.79</v>
      </c>
      <c r="L608" s="118" t="str">
        <f>IF(
  O608&lt;&gt;"DEVOLUCION",
  "",
  IF(
    T608="",
    "",
    SUMIF(DEVOLUCION!F:F, T608, DEVOLUCION!D:D)
  )
)
</f>
        <v/>
      </c>
      <c r="M608" s="118" t="s">
        <v>3870</v>
      </c>
      <c r="N608" s="130" t="s">
        <v>4928</v>
      </c>
      <c r="O608" s="118" t="str">
        <f t="array" ref="O608">IFERROR(
VLOOKUP(
TRIM(CLEAN(
INDEX(REPORTE_DROPI!K:K,
MATCH(T608, REPORTE_DROPI!B:B, 0)
))),
{
TRIM(CLEAN(MAPA_ESTADOS!A:A)) ,
MAPA_ESTADOS!B:B
},
2,
FALSE
),
"REVISAR"
)
</f>
        <v>ENTREGADO</v>
      </c>
      <c r="P608" s="118"/>
      <c r="Q608" s="122">
        <f t="shared" si="1"/>
        <v>0</v>
      </c>
      <c r="R608" s="118"/>
      <c r="S608" s="118"/>
      <c r="T608" s="118">
        <f t="array" ref="T608">IFERROR(
INDEX(REPORTE_DROPI!B:B,
MATCH(
CLEAN(TRIM(C608)),
CLEAN(TRIM(REPORTE_DROPI!E:E)),
0
)
),
""
)
</f>
        <v>4157343</v>
      </c>
      <c r="U608" s="118">
        <v>6.41670797726E12</v>
      </c>
      <c r="V608" s="78"/>
      <c r="W608" s="78"/>
      <c r="X608" s="78"/>
      <c r="Y608" s="78"/>
      <c r="Z608" s="78"/>
    </row>
    <row r="609" ht="22.5" customHeight="1">
      <c r="A609" s="118">
        <v>608.0</v>
      </c>
      <c r="B609" s="119">
        <v>46037.0</v>
      </c>
      <c r="C609" s="118" t="s">
        <v>4929</v>
      </c>
      <c r="D609" s="118" t="str">
        <f>IFERROR(__xludf.DUMMYFUNCTION("IFERROR(
  INDEX(
    FILTER(
      'NOMBRE DE PRODUCTOS'!B:B,
      REGEXMATCH(
        UPPER(
          INDEX(
            REPORTE_DROPI!AC:AC,
            MATCH(T609, REPORTE_DROPI!B:B, 0)
          )
        ),
        UPPER('NOMBRE DE PRODUCTOS'!A:A)"&amp;"
      )
    ),
    1
  ),
  ""REVISAR""
)
"),"FilmPro®")</f>
        <v>FilmPro®</v>
      </c>
      <c r="E609" s="120">
        <f t="array" ref="E609">IF(
UPPER(TRIM(CLEAN($O609)))="ENTREGADO",
IFERROR(
INDEX(REPORTE_DROPI!Y:Y,
MATCH($T609, REPORTE_DROPI!B:B, 0)
),
""
),
""
)
</f>
        <v>4.7</v>
      </c>
      <c r="F609" s="121">
        <v>2.0</v>
      </c>
      <c r="G609" s="122">
        <f t="array" ref="G609">IF(
UPPER(TRIM(CLEAN($O609)))="ENTREGADO",
IFERROR(
INDEX(REPORTE_DROPI!R:R,
MATCH($T609, REPORTE_DROPI!B:B, 0)
),
""
),
""
)
</f>
        <v>25</v>
      </c>
      <c r="H609" s="118" t="s">
        <v>3727</v>
      </c>
      <c r="I609" s="118" t="s">
        <v>3772</v>
      </c>
      <c r="J609" s="121">
        <f t="array" ref="J609">IF(
UPPER(TRIM(CLEAN($O609)))="ENTREGADO",
IFERROR(
INDEX(REPORTE_DROPI!T:T,
MATCH($T609, REPORTE_DROPI!B:B, 0)
),
""
),
""
)
</f>
        <v>5.96</v>
      </c>
      <c r="K609" s="118">
        <f t="array" ref="K609">IFERROR(
INDEX(REPORTE_DROPI!S:S,
MATCH($T609, REPORTE_DROPI!B:B, 0)
),
""
)
</f>
        <v>14.34</v>
      </c>
      <c r="L609" s="118" t="str">
        <f>IF(
  O609&lt;&gt;"DEVOLUCION",
  "",
  IF(
    T609="",
    "",
    SUMIF(DEVOLUCION!F:F, T609, DEVOLUCION!D:D)
  )
)
</f>
        <v/>
      </c>
      <c r="M609" s="118" t="s">
        <v>3870</v>
      </c>
      <c r="N609" s="130" t="s">
        <v>4930</v>
      </c>
      <c r="O609" s="118" t="str">
        <f t="array" ref="O609">IFERROR(
VLOOKUP(
TRIM(CLEAN(
INDEX(REPORTE_DROPI!K:K,
MATCH(T609, REPORTE_DROPI!B:B, 0)
))),
{
TRIM(CLEAN(MAPA_ESTADOS!A:A)) ,
MAPA_ESTADOS!B:B
},
2,
FALSE
),
"REVISAR"
)
</f>
        <v>ENTREGADO</v>
      </c>
      <c r="P609" s="118"/>
      <c r="Q609" s="122">
        <f t="shared" si="1"/>
        <v>0</v>
      </c>
      <c r="R609" s="118"/>
      <c r="S609" s="118"/>
      <c r="T609" s="118">
        <f t="array" ref="T609">IFERROR(
INDEX(REPORTE_DROPI!B:B,
MATCH(
CLEAN(TRIM(C609)),
CLEAN(TRIM(REPORTE_DROPI!E:E)),
0
)
),
""
)
</f>
        <v>4157486</v>
      </c>
      <c r="U609" s="118">
        <v>6.416753393708E12</v>
      </c>
      <c r="V609" s="78"/>
      <c r="W609" s="78"/>
      <c r="X609" s="78"/>
      <c r="Y609" s="78"/>
      <c r="Z609" s="78"/>
    </row>
    <row r="610" ht="22.5" customHeight="1">
      <c r="A610" s="118">
        <v>609.0</v>
      </c>
      <c r="B610" s="119">
        <v>46037.0</v>
      </c>
      <c r="C610" s="126" t="s">
        <v>4931</v>
      </c>
      <c r="D610" s="118" t="str">
        <f>IFERROR(__xludf.DUMMYFUNCTION("IFERROR(
  INDEX(
    FILTER(
      'NOMBRE DE PRODUCTOS'!B:B,
      REGEXMATCH(
        UPPER(
          INDEX(
            REPORTE_DROPI!AC:AC,
            MATCH(T610, REPORTE_DROPI!B:B, 0)
          )
        ),
        UPPER('NOMBRE DE PRODUCTOS'!A:A)"&amp;"
      )
    ),
    1
  ),
  ""REVISAR""
)
"),"FilmPro®")</f>
        <v>FilmPro®</v>
      </c>
      <c r="E610" s="120" t="str">
        <f t="array" ref="E610">IF(
UPPER(TRIM(CLEAN($O610)))="ENTREGADO",
IFERROR(
INDEX(REPORTE_DROPI!Y:Y,
MATCH($T610, REPORTE_DROPI!B:B, 0)
),
""
),
""
)
</f>
        <v/>
      </c>
      <c r="F610" s="121">
        <v>2.0</v>
      </c>
      <c r="G610" s="122" t="str">
        <f t="array" ref="G610">IF(
UPPER(TRIM(CLEAN($O610)))="ENTREGADO",
IFERROR(
INDEX(REPORTE_DROPI!R:R,
MATCH($T610, REPORTE_DROPI!B:B, 0)
),
""
),
""
)
</f>
        <v/>
      </c>
      <c r="H610" s="118" t="s">
        <v>3727</v>
      </c>
      <c r="I610" s="118" t="s">
        <v>3740</v>
      </c>
      <c r="J610" s="121" t="str">
        <f t="array" ref="J610">IF(
UPPER(TRIM(CLEAN($O610)))="ENTREGADO",
IFERROR(
INDEX(REPORTE_DROPI!T:T,
MATCH($T610, REPORTE_DROPI!B:B, 0)
),
""
),
""
)
</f>
        <v/>
      </c>
      <c r="K610" s="118" t="str">
        <f t="array" ref="K610">IFERROR(
INDEX(REPORTE_DROPI!S:S,
MATCH($T610, REPORTE_DROPI!B:B, 0)
),
""
)
</f>
        <v/>
      </c>
      <c r="L610" s="118">
        <f>IF(
  O610&lt;&gt;"DEVOLUCION",
  "",
  IF(
    T610="",
    "",
    SUMIF(DEVOLUCION!F:F, T610, DEVOLUCION!D:D)
  )
)
</f>
        <v>5.09</v>
      </c>
      <c r="M610" s="118" t="s">
        <v>3870</v>
      </c>
      <c r="N610" s="130" t="s">
        <v>4932</v>
      </c>
      <c r="O610" s="118" t="str">
        <f t="array" ref="O610">IFERROR(
VLOOKUP(
TRIM(CLEAN(
INDEX(REPORTE_DROPI!K:K,
MATCH(T610, REPORTE_DROPI!B:B, 0)
))),
{
TRIM(CLEAN(MAPA_ESTADOS!A:A)) ,
MAPA_ESTADOS!B:B
},
2,
FALSE
),
"REVISAR"
)
</f>
        <v>DEVOLUCION</v>
      </c>
      <c r="P610" s="118"/>
      <c r="Q610" s="122">
        <f t="shared" si="1"/>
        <v>0</v>
      </c>
      <c r="R610" s="118"/>
      <c r="S610" s="118"/>
      <c r="T610" s="118">
        <f t="array" ref="T610">IFERROR(
INDEX(REPORTE_DROPI!B:B,
MATCH(
CLEAN(TRIM(C610)),
CLEAN(TRIM(REPORTE_DROPI!E:E)),
0
)
),
""
)
</f>
        <v>4157641</v>
      </c>
      <c r="U610" s="118">
        <v>6.416786882604E12</v>
      </c>
      <c r="V610" s="78"/>
      <c r="W610" s="78"/>
      <c r="X610" s="78"/>
      <c r="Y610" s="78"/>
      <c r="Z610" s="78"/>
    </row>
    <row r="611" ht="22.5" customHeight="1">
      <c r="A611" s="118">
        <v>610.0</v>
      </c>
      <c r="B611" s="119">
        <v>46037.0</v>
      </c>
      <c r="C611" s="118" t="s">
        <v>4933</v>
      </c>
      <c r="D611" s="118" t="str">
        <f>IFERROR(__xludf.DUMMYFUNCTION("IFERROR(
  INDEX(
    FILTER(
      'NOMBRE DE PRODUCTOS'!B:B,
      REGEXMATCH(
        UPPER(
          INDEX(
            REPORTE_DROPI!AC:AC,
            MATCH(T611, REPORTE_DROPI!B:B, 0)
          )
        ),
        UPPER('NOMBRE DE PRODUCTOS'!A:A)"&amp;"
      )
    ),
    1
  ),
  ""REVISAR""
)
"),"Cuchillo Tazaki™")</f>
        <v>Cuchillo Tazaki™</v>
      </c>
      <c r="E611" s="120">
        <f t="array" ref="E611">IF(
UPPER(TRIM(CLEAN($O611)))="ENTREGADO",
IFERROR(
INDEX(REPORTE_DROPI!Y:Y,
MATCH($T611, REPORTE_DROPI!B:B, 0)
),
""
),
""
)
</f>
        <v>5.2</v>
      </c>
      <c r="F611" s="121">
        <v>2.0</v>
      </c>
      <c r="G611" s="122">
        <f t="array" ref="G611">IF(
UPPER(TRIM(CLEAN($O611)))="ENTREGADO",
IFERROR(
INDEX(REPORTE_DROPI!R:R,
MATCH($T611, REPORTE_DROPI!B:B, 0)
),
""
),
""
)
</f>
        <v>22</v>
      </c>
      <c r="H611" s="118" t="s">
        <v>3727</v>
      </c>
      <c r="I611" s="118" t="s">
        <v>3728</v>
      </c>
      <c r="J611" s="121">
        <f t="array" ref="J611">IF(
UPPER(TRIM(CLEAN($O611)))="ENTREGADO",
IFERROR(
INDEX(REPORTE_DROPI!T:T,
MATCH($T611, REPORTE_DROPI!B:B, 0)
),
""
),
""
)
</f>
        <v>7.7</v>
      </c>
      <c r="K611" s="118">
        <f t="array" ref="K611">IFERROR(
INDEX(REPORTE_DROPI!S:S,
MATCH($T611, REPORTE_DROPI!B:B, 0)
),
""
)
</f>
        <v>9.1</v>
      </c>
      <c r="L611" s="118" t="str">
        <f>IF(
  O611&lt;&gt;"DEVOLUCION",
  "",
  IF(
    T611="",
    "",
    SUMIF(DEVOLUCION!F:F, T611, DEVOLUCION!D:D)
  )
)
</f>
        <v/>
      </c>
      <c r="M611" s="118" t="s">
        <v>3870</v>
      </c>
      <c r="N611" s="130" t="s">
        <v>4934</v>
      </c>
      <c r="O611" s="118" t="str">
        <f t="array" ref="O611">IFERROR(
VLOOKUP(
TRIM(CLEAN(
INDEX(REPORTE_DROPI!K:K,
MATCH(T611, REPORTE_DROPI!B:B, 0)
))),
{
TRIM(CLEAN(MAPA_ESTADOS!A:A)) ,
MAPA_ESTADOS!B:B
},
2,
FALSE
),
"REVISAR"
)
</f>
        <v>ENTREGADO</v>
      </c>
      <c r="P611" s="118"/>
      <c r="Q611" s="122">
        <f t="shared" si="1"/>
        <v>0</v>
      </c>
      <c r="R611" s="118"/>
      <c r="S611" s="118"/>
      <c r="T611" s="118">
        <f t="array" ref="T611">IFERROR(
INDEX(REPORTE_DROPI!B:B,
MATCH(
CLEAN(TRIM(C611)),
CLEAN(TRIM(REPORTE_DROPI!E:E)),
0
)
),
""
)
</f>
        <v>4157740</v>
      </c>
      <c r="U611" s="118">
        <v>6.416808214572E12</v>
      </c>
      <c r="V611" s="78"/>
      <c r="W611" s="78"/>
      <c r="X611" s="78"/>
      <c r="Y611" s="78"/>
      <c r="Z611" s="78"/>
    </row>
    <row r="612" ht="22.5" customHeight="1">
      <c r="A612" s="118">
        <v>611.0</v>
      </c>
      <c r="B612" s="119">
        <v>46037.0</v>
      </c>
      <c r="C612" s="118" t="s">
        <v>4935</v>
      </c>
      <c r="D612" s="118" t="str">
        <f>IFERROR(__xludf.DUMMYFUNCTION("IFERROR(
  INDEX(
    FILTER(
      'NOMBRE DE PRODUCTOS'!B:B,
      REGEXMATCH(
        UPPER(
          INDEX(
            REPORTE_DROPI!AC:AC,
            MATCH(T612, REPORTE_DROPI!B:B, 0)
          )
        ),
        UPPER('NOMBRE DE PRODUCTOS'!A:A)"&amp;"
      )
    ),
    1
  ),
  ""REVISAR""
)
"),"Cuchillo Tazaki™")</f>
        <v>Cuchillo Tazaki™</v>
      </c>
      <c r="E612" s="120">
        <f t="array" ref="E612">IF(
UPPER(TRIM(CLEAN($O612)))="ENTREGADO",
IFERROR(
INDEX(REPORTE_DROPI!Y:Y,
MATCH($T612, REPORTE_DROPI!B:B, 0)
),
""
),
""
)
</f>
        <v>10.4</v>
      </c>
      <c r="F612" s="121">
        <v>4.0</v>
      </c>
      <c r="G612" s="122">
        <f t="array" ref="G612">IF(
UPPER(TRIM(CLEAN($O612)))="ENTREGADO",
IFERROR(
INDEX(REPORTE_DROPI!R:R,
MATCH($T612, REPORTE_DROPI!B:B, 0)
),
""
),
""
)
</f>
        <v>32</v>
      </c>
      <c r="H612" s="118" t="s">
        <v>3727</v>
      </c>
      <c r="I612" s="118" t="s">
        <v>3731</v>
      </c>
      <c r="J612" s="121">
        <f t="array" ref="J612">IF(
UPPER(TRIM(CLEAN($O612)))="ENTREGADO",
IFERROR(
INDEX(REPORTE_DROPI!T:T,
MATCH($T612, REPORTE_DROPI!B:B, 0)
),
""
),
""
)
</f>
        <v>6.24</v>
      </c>
      <c r="K612" s="118">
        <f t="array" ref="K612">IFERROR(
INDEX(REPORTE_DROPI!S:S,
MATCH($T612, REPORTE_DROPI!B:B, 0)
),
""
)
</f>
        <v>15.36</v>
      </c>
      <c r="L612" s="118" t="str">
        <f>IF(
  O612&lt;&gt;"DEVOLUCION",
  "",
  IF(
    T612="",
    "",
    SUMIF(DEVOLUCION!F:F, T612, DEVOLUCION!D:D)
  )
)
</f>
        <v/>
      </c>
      <c r="M612" s="118" t="s">
        <v>3870</v>
      </c>
      <c r="N612" s="130" t="s">
        <v>4936</v>
      </c>
      <c r="O612" s="118" t="str">
        <f t="array" ref="O612">IFERROR(
VLOOKUP(
TRIM(CLEAN(
INDEX(REPORTE_DROPI!K:K,
MATCH(T612, REPORTE_DROPI!B:B, 0)
))),
{
TRIM(CLEAN(MAPA_ESTADOS!A:A)) ,
MAPA_ESTADOS!B:B
},
2,
FALSE
),
"REVISAR"
)
</f>
        <v>ENTREGADO</v>
      </c>
      <c r="P612" s="118"/>
      <c r="Q612" s="122">
        <f t="shared" si="1"/>
        <v>0</v>
      </c>
      <c r="R612" s="118"/>
      <c r="S612" s="118"/>
      <c r="T612" s="118">
        <f t="array" ref="T612">IFERROR(
INDEX(REPORTE_DROPI!B:B,
MATCH(
CLEAN(TRIM(C612)),
CLEAN(TRIM(REPORTE_DROPI!E:E)),
0
)
),
""
)
</f>
        <v>4158279</v>
      </c>
      <c r="U612" s="118">
        <v>6.416927129644E12</v>
      </c>
      <c r="V612" s="78"/>
      <c r="W612" s="78"/>
      <c r="X612" s="78"/>
      <c r="Y612" s="78"/>
      <c r="Z612" s="78"/>
    </row>
    <row r="613" ht="22.5" customHeight="1">
      <c r="A613" s="118">
        <v>612.0</v>
      </c>
      <c r="B613" s="119">
        <v>46037.0</v>
      </c>
      <c r="C613" s="118" t="s">
        <v>4937</v>
      </c>
      <c r="D613" s="118" t="str">
        <f>IFERROR(__xludf.DUMMYFUNCTION("IFERROR(
  INDEX(
    FILTER(
      'NOMBRE DE PRODUCTOS'!B:B,
      REGEXMATCH(
        UPPER(
          INDEX(
            REPORTE_DROPI!AC:AC,
            MATCH(T613, REPORTE_DROPI!B:B, 0)
          )
        ),
        UPPER('NOMBRE DE PRODUCTOS'!A:A)"&amp;"
      )
    ),
    1
  ),
  ""REVISAR""
)
"),"FilmPro®")</f>
        <v>FilmPro®</v>
      </c>
      <c r="E613" s="120" t="str">
        <f t="array" ref="E613">IF(
UPPER(TRIM(CLEAN($O613)))="ENTREGADO",
IFERROR(
INDEX(REPORTE_DROPI!Y:Y,
MATCH($T613, REPORTE_DROPI!B:B, 0)
),
""
),
""
)
</f>
        <v/>
      </c>
      <c r="F613" s="121">
        <v>2.0</v>
      </c>
      <c r="G613" s="122" t="str">
        <f t="array" ref="G613">IF(
UPPER(TRIM(CLEAN($O613)))="ENTREGADO",
IFERROR(
INDEX(REPORTE_DROPI!R:R,
MATCH($T613, REPORTE_DROPI!B:B, 0)
),
""
),
""
)
</f>
        <v/>
      </c>
      <c r="H613" s="118" t="s">
        <v>3727</v>
      </c>
      <c r="I613" s="118" t="s">
        <v>3728</v>
      </c>
      <c r="J613" s="121" t="str">
        <f t="array" ref="J613">IF(
UPPER(TRIM(CLEAN($O613)))="ENTREGADO",
IFERROR(
INDEX(REPORTE_DROPI!T:T,
MATCH($T613, REPORTE_DROPI!B:B, 0)
),
""
),
""
)
</f>
        <v/>
      </c>
      <c r="K613" s="118" t="str">
        <f t="array" ref="K613">IFERROR(
INDEX(REPORTE_DROPI!S:S,
MATCH($T613, REPORTE_DROPI!B:B, 0)
),
""
)
</f>
        <v/>
      </c>
      <c r="L613" s="118">
        <f>IF(
  O613&lt;&gt;"DEVOLUCION",
  "",
  IF(
    T613="",
    "",
    SUMIF(DEVOLUCION!F:F, T613, DEVOLUCION!D:D)
  )
)
</f>
        <v>6.31</v>
      </c>
      <c r="M613" s="118" t="s">
        <v>3870</v>
      </c>
      <c r="N613" s="130" t="s">
        <v>4938</v>
      </c>
      <c r="O613" s="118" t="str">
        <f t="array" ref="O613">IFERROR(
VLOOKUP(
TRIM(CLEAN(
INDEX(REPORTE_DROPI!K:K,
MATCH(T613, REPORTE_DROPI!B:B, 0)
))),
{
TRIM(CLEAN(MAPA_ESTADOS!A:A)) ,
MAPA_ESTADOS!B:B
},
2,
FALSE
),
"REVISAR"
)
</f>
        <v>DEVOLUCION</v>
      </c>
      <c r="P613" s="118" t="s">
        <v>3888</v>
      </c>
      <c r="Q613" s="122">
        <f t="shared" si="1"/>
        <v>0</v>
      </c>
      <c r="R613" s="118"/>
      <c r="S613" s="118"/>
      <c r="T613" s="118">
        <f t="array" ref="T613">IFERROR(
INDEX(REPORTE_DROPI!B:B,
MATCH(
CLEAN(TRIM(C613)),
CLEAN(TRIM(REPORTE_DROPI!E:E)),
0
)
),
""
)
</f>
        <v>4175758</v>
      </c>
      <c r="U613" s="118">
        <v>6.416932470828E12</v>
      </c>
      <c r="V613" s="78"/>
      <c r="W613" s="78"/>
      <c r="X613" s="78"/>
      <c r="Y613" s="78"/>
      <c r="Z613" s="78"/>
    </row>
    <row r="614" ht="22.5" customHeight="1">
      <c r="A614" s="118">
        <v>613.0</v>
      </c>
      <c r="B614" s="119">
        <v>46037.0</v>
      </c>
      <c r="C614" s="118" t="s">
        <v>4939</v>
      </c>
      <c r="D614" s="118" t="str">
        <f>IFERROR(__xludf.DUMMYFUNCTION("IFERROR(
  INDEX(
    FILTER(
      'NOMBRE DE PRODUCTOS'!B:B,
      REGEXMATCH(
        UPPER(
          INDEX(
            REPORTE_DROPI!AC:AC,
            MATCH(T614, REPORTE_DROPI!B:B, 0)
          )
        ),
        UPPER('NOMBRE DE PRODUCTOS'!A:A)"&amp;"
      )
    ),
    1
  ),
  ""REVISAR""
)
"),"FilmPro®")</f>
        <v>FilmPro®</v>
      </c>
      <c r="E614" s="120">
        <f t="array" ref="E614">IF(
UPPER(TRIM(CLEAN($O614)))="ENTREGADO",
IFERROR(
INDEX(REPORTE_DROPI!Y:Y,
MATCH($T614, REPORTE_DROPI!B:B, 0)
),
""
),
""
)
</f>
        <v>4.7</v>
      </c>
      <c r="F614" s="121">
        <v>2.0</v>
      </c>
      <c r="G614" s="122">
        <f t="array" ref="G614">IF(
UPPER(TRIM(CLEAN($O614)))="ENTREGADO",
IFERROR(
INDEX(REPORTE_DROPI!R:R,
MATCH($T614, REPORTE_DROPI!B:B, 0)
),
""
),
""
)
</f>
        <v>25</v>
      </c>
      <c r="H614" s="118" t="s">
        <v>3727</v>
      </c>
      <c r="I614" s="118" t="s">
        <v>3740</v>
      </c>
      <c r="J614" s="121">
        <f t="array" ref="J614">IF(
UPPER(TRIM(CLEAN($O614)))="ENTREGADO",
IFERROR(
INDEX(REPORTE_DROPI!T:T,
MATCH($T614, REPORTE_DROPI!B:B, 0)
),
""
),
""
)
</f>
        <v>5.96</v>
      </c>
      <c r="K614" s="118">
        <f t="array" ref="K614">IFERROR(
INDEX(REPORTE_DROPI!S:S,
MATCH($T614, REPORTE_DROPI!B:B, 0)
),
""
)
</f>
        <v>14.34</v>
      </c>
      <c r="L614" s="118" t="str">
        <f>IF(
  O614&lt;&gt;"DEVOLUCION",
  "",
  IF(
    T614="",
    "",
    SUMIF(DEVOLUCION!F:F, T614, DEVOLUCION!D:D)
  )
)
</f>
        <v/>
      </c>
      <c r="M614" s="118" t="s">
        <v>3870</v>
      </c>
      <c r="N614" s="130" t="s">
        <v>4940</v>
      </c>
      <c r="O614" s="118" t="str">
        <f t="array" ref="O614">IFERROR(
VLOOKUP(
TRIM(CLEAN(
INDEX(REPORTE_DROPI!K:K,
MATCH(T614, REPORTE_DROPI!B:B, 0)
))),
{
TRIM(CLEAN(MAPA_ESTADOS!A:A)) ,
MAPA_ESTADOS!B:B
},
2,
FALSE
),
"REVISAR"
)
</f>
        <v>ENTREGADO</v>
      </c>
      <c r="P614" s="118"/>
      <c r="Q614" s="122">
        <f t="shared" si="1"/>
        <v>0</v>
      </c>
      <c r="R614" s="118"/>
      <c r="S614" s="118"/>
      <c r="T614" s="118">
        <f t="array" ref="T614">IFERROR(
INDEX(REPORTE_DROPI!B:B,
MATCH(
CLEAN(TRIM(C614)),
CLEAN(TRIM(REPORTE_DROPI!E:E)),
0
)
),
""
)
</f>
        <v>4158470</v>
      </c>
      <c r="U614" s="118">
        <v>6.416960192556E12</v>
      </c>
      <c r="V614" s="78"/>
      <c r="W614" s="78"/>
      <c r="X614" s="78"/>
      <c r="Y614" s="78"/>
      <c r="Z614" s="78"/>
    </row>
    <row r="615" ht="22.5" customHeight="1">
      <c r="A615" s="118">
        <v>614.0</v>
      </c>
      <c r="B615" s="119">
        <v>46037.0</v>
      </c>
      <c r="C615" s="126" t="s">
        <v>4941</v>
      </c>
      <c r="D615" s="118" t="str">
        <f>IFERROR(__xludf.DUMMYFUNCTION("IFERROR(
  INDEX(
    FILTER(
      'NOMBRE DE PRODUCTOS'!B:B,
      REGEXMATCH(
        UPPER(
          INDEX(
            REPORTE_DROPI!AC:AC,
            MATCH(T615, REPORTE_DROPI!B:B, 0)
          )
        ),
        UPPER('NOMBRE DE PRODUCTOS'!A:A)"&amp;"
      )
    ),
    1
  ),
  ""REVISAR""
)
"),"Cuchillo Tazaki™")</f>
        <v>Cuchillo Tazaki™</v>
      </c>
      <c r="E615" s="120" t="str">
        <f t="array" ref="E615">IF(
UPPER(TRIM(CLEAN($O615)))="ENTREGADO",
IFERROR(
INDEX(REPORTE_DROPI!Y:Y,
MATCH($T615, REPORTE_DROPI!B:B, 0)
),
""
),
""
)
</f>
        <v/>
      </c>
      <c r="F615" s="121">
        <v>2.0</v>
      </c>
      <c r="G615" s="122" t="str">
        <f t="array" ref="G615">IF(
UPPER(TRIM(CLEAN($O615)))="ENTREGADO",
IFERROR(
INDEX(REPORTE_DROPI!R:R,
MATCH($T615, REPORTE_DROPI!B:B, 0)
),
""
),
""
)
</f>
        <v/>
      </c>
      <c r="H615" s="118" t="s">
        <v>3727</v>
      </c>
      <c r="I615" s="118" t="s">
        <v>3731</v>
      </c>
      <c r="J615" s="121" t="str">
        <f t="array" ref="J615">IF(
UPPER(TRIM(CLEAN($O615)))="ENTREGADO",
IFERROR(
INDEX(REPORTE_DROPI!T:T,
MATCH($T615, REPORTE_DROPI!B:B, 0)
),
""
),
""
)
</f>
        <v/>
      </c>
      <c r="K615" s="118" t="str">
        <f t="array" ref="K615">IFERROR(
INDEX(REPORTE_DROPI!S:S,
MATCH($T615, REPORTE_DROPI!B:B, 0)
),
""
)
</f>
        <v/>
      </c>
      <c r="L615" s="118">
        <f>IF(
  O615&lt;&gt;"DEVOLUCION",
  "",
  IF(
    T615="",
    "",
    SUMIF(DEVOLUCION!F:F, T615, DEVOLUCION!D:D)
  )
)
</f>
        <v>5.07</v>
      </c>
      <c r="M615" s="118" t="s">
        <v>3870</v>
      </c>
      <c r="N615" s="130" t="s">
        <v>4942</v>
      </c>
      <c r="O615" s="118" t="str">
        <f t="array" ref="O615">IFERROR(
VLOOKUP(
TRIM(CLEAN(
INDEX(REPORTE_DROPI!K:K,
MATCH(T615, REPORTE_DROPI!B:B, 0)
))),
{
TRIM(CLEAN(MAPA_ESTADOS!A:A)) ,
MAPA_ESTADOS!B:B
},
2,
FALSE
),
"REVISAR"
)
</f>
        <v>DEVOLUCION</v>
      </c>
      <c r="P615" s="118"/>
      <c r="Q615" s="122">
        <f t="shared" si="1"/>
        <v>0</v>
      </c>
      <c r="R615" s="118"/>
      <c r="S615" s="118"/>
      <c r="T615" s="118">
        <f t="array" ref="T615">IFERROR(
INDEX(REPORTE_DROPI!B:B,
MATCH(
CLEAN(TRIM(C615)),
CLEAN(TRIM(REPORTE_DROPI!E:E)),
0
)
),
""
)
</f>
        <v>4158658</v>
      </c>
      <c r="U615" s="118">
        <v>6.417000136748E12</v>
      </c>
      <c r="V615" s="78"/>
      <c r="W615" s="78"/>
      <c r="X615" s="78"/>
      <c r="Y615" s="78"/>
      <c r="Z615" s="78"/>
    </row>
    <row r="616" ht="22.5" customHeight="1">
      <c r="A616" s="118">
        <v>615.0</v>
      </c>
      <c r="B616" s="119">
        <v>46037.0</v>
      </c>
      <c r="C616" s="126" t="s">
        <v>4943</v>
      </c>
      <c r="D616" s="118" t="str">
        <f>IFERROR(__xludf.DUMMYFUNCTION("IFERROR(
  INDEX(
    FILTER(
      'NOMBRE DE PRODUCTOS'!B:B,
      REGEXMATCH(
        UPPER(
          INDEX(
            REPORTE_DROPI!AC:AC,
            MATCH(T616, REPORTE_DROPI!B:B, 0)
          )
        ),
        UPPER('NOMBRE DE PRODUCTOS'!A:A)"&amp;"
      )
    ),
    1
  ),
  ""REVISAR""
)
"),"Cuchillo Tazaki™")</f>
        <v>Cuchillo Tazaki™</v>
      </c>
      <c r="E616" s="120" t="str">
        <f t="array" ref="E616">IF(
UPPER(TRIM(CLEAN($O616)))="ENTREGADO",
IFERROR(
INDEX(REPORTE_DROPI!Y:Y,
MATCH($T616, REPORTE_DROPI!B:B, 0)
),
""
),
""
)
</f>
        <v/>
      </c>
      <c r="F616" s="121">
        <v>2.0</v>
      </c>
      <c r="G616" s="122" t="str">
        <f t="array" ref="G616">IF(
UPPER(TRIM(CLEAN($O616)))="ENTREGADO",
IFERROR(
INDEX(REPORTE_DROPI!R:R,
MATCH($T616, REPORTE_DROPI!B:B, 0)
),
""
),
""
)
</f>
        <v/>
      </c>
      <c r="H616" s="118" t="s">
        <v>3727</v>
      </c>
      <c r="I616" s="118" t="s">
        <v>3801</v>
      </c>
      <c r="J616" s="121" t="str">
        <f t="array" ref="J616">IF(
UPPER(TRIM(CLEAN($O616)))="ENTREGADO",
IFERROR(
INDEX(REPORTE_DROPI!T:T,
MATCH($T616, REPORTE_DROPI!B:B, 0)
),
""
),
""
)
</f>
        <v/>
      </c>
      <c r="K616" s="118" t="str">
        <f t="array" ref="K616">IFERROR(
INDEX(REPORTE_DROPI!S:S,
MATCH($T616, REPORTE_DROPI!B:B, 0)
),
""
)
</f>
        <v/>
      </c>
      <c r="L616" s="118">
        <f>IF(
  O616&lt;&gt;"DEVOLUCION",
  "",
  IF(
    T616="",
    "",
    SUMIF(DEVOLUCION!F:F, T616, DEVOLUCION!D:D)
  )
)
</f>
        <v>5.07</v>
      </c>
      <c r="M616" s="118" t="s">
        <v>3870</v>
      </c>
      <c r="N616" s="130" t="s">
        <v>4944</v>
      </c>
      <c r="O616" s="118" t="str">
        <f t="array" ref="O616">IFERROR(
VLOOKUP(
TRIM(CLEAN(
INDEX(REPORTE_DROPI!K:K,
MATCH(T616, REPORTE_DROPI!B:B, 0)
))),
{
TRIM(CLEAN(MAPA_ESTADOS!A:A)) ,
MAPA_ESTADOS!B:B
},
2,
FALSE
),
"REVISAR"
)
</f>
        <v>DEVOLUCION</v>
      </c>
      <c r="P616" s="118" t="s">
        <v>3888</v>
      </c>
      <c r="Q616" s="122">
        <f t="shared" si="1"/>
        <v>0</v>
      </c>
      <c r="R616" s="118"/>
      <c r="S616" s="118"/>
      <c r="T616" s="118">
        <f t="array" ref="T616">IFERROR(
INDEX(REPORTE_DROPI!B:B,
MATCH(
CLEAN(TRIM(C616)),
CLEAN(TRIM(REPORTE_DROPI!E:E)),
0
)
),
""
)
</f>
        <v>4158761</v>
      </c>
      <c r="U616" s="118">
        <v>6.41702238622E12</v>
      </c>
      <c r="V616" s="78"/>
      <c r="W616" s="78"/>
      <c r="X616" s="78"/>
      <c r="Y616" s="78"/>
      <c r="Z616" s="78"/>
    </row>
    <row r="617" ht="22.5" customHeight="1">
      <c r="A617" s="118">
        <v>616.0</v>
      </c>
      <c r="B617" s="119">
        <v>46037.0</v>
      </c>
      <c r="C617" s="118" t="s">
        <v>4945</v>
      </c>
      <c r="D617" s="118" t="str">
        <f>IFERROR(__xludf.DUMMYFUNCTION("IFERROR(
  INDEX(
    FILTER(
      'NOMBRE DE PRODUCTOS'!B:B,
      REGEXMATCH(
        UPPER(
          INDEX(
            REPORTE_DROPI!AC:AC,
            MATCH(T617, REPORTE_DROPI!B:B, 0)
          )
        ),
        UPPER('NOMBRE DE PRODUCTOS'!A:A)"&amp;"
      )
    ),
    1
  ),
  ""REVISAR""
)
"),"Cuchillo Tazaki™")</f>
        <v>Cuchillo Tazaki™</v>
      </c>
      <c r="E617" s="120">
        <f t="array" ref="E617">IF(
UPPER(TRIM(CLEAN($O617)))="ENTREGADO",
IFERROR(
INDEX(REPORTE_DROPI!Y:Y,
MATCH($T617, REPORTE_DROPI!B:B, 0)
),
""
),
""
)
</f>
        <v>5.2</v>
      </c>
      <c r="F617" s="121">
        <v>2.0</v>
      </c>
      <c r="G617" s="122">
        <f t="array" ref="G617">IF(
UPPER(TRIM(CLEAN($O617)))="ENTREGADO",
IFERROR(
INDEX(REPORTE_DROPI!R:R,
MATCH($T617, REPORTE_DROPI!B:B, 0)
),
""
),
""
)
</f>
        <v>22</v>
      </c>
      <c r="H617" s="118" t="s">
        <v>3727</v>
      </c>
      <c r="I617" s="118" t="s">
        <v>3728</v>
      </c>
      <c r="J617" s="121">
        <f t="array" ref="J617">IF(
UPPER(TRIM(CLEAN($O617)))="ENTREGADO",
IFERROR(
INDEX(REPORTE_DROPI!T:T,
MATCH($T617, REPORTE_DROPI!B:B, 0)
),
""
),
""
)
</f>
        <v>5.84</v>
      </c>
      <c r="K617" s="118">
        <f t="array" ref="K617">IFERROR(
INDEX(REPORTE_DROPI!S:S,
MATCH($T617, REPORTE_DROPI!B:B, 0)
),
""
)
</f>
        <v>10.96</v>
      </c>
      <c r="L617" s="118" t="str">
        <f>IF(
  O617&lt;&gt;"DEVOLUCION",
  "",
  IF(
    T617="",
    "",
    SUMIF(DEVOLUCION!F:F, T617, DEVOLUCION!D:D)
  )
)
</f>
        <v/>
      </c>
      <c r="M617" s="118" t="s">
        <v>3870</v>
      </c>
      <c r="N617" s="130" t="s">
        <v>4946</v>
      </c>
      <c r="O617" s="118" t="str">
        <f t="array" ref="O617">IFERROR(
VLOOKUP(
TRIM(CLEAN(
INDEX(REPORTE_DROPI!K:K,
MATCH(T617, REPORTE_DROPI!B:B, 0)
))),
{
TRIM(CLEAN(MAPA_ESTADOS!A:A)) ,
MAPA_ESTADOS!B:B
},
2,
FALSE
),
"REVISAR"
)
</f>
        <v>ENTREGADO</v>
      </c>
      <c r="P617" s="118"/>
      <c r="Q617" s="122">
        <f t="shared" si="1"/>
        <v>0</v>
      </c>
      <c r="R617" s="118"/>
      <c r="S617" s="118"/>
      <c r="T617" s="118">
        <f t="array" ref="T617">IFERROR(
INDEX(REPORTE_DROPI!B:B,
MATCH(
CLEAN(TRIM(C617)),
CLEAN(TRIM(REPORTE_DROPI!E:E)),
0
)
),
""
)
</f>
        <v>4158913</v>
      </c>
      <c r="U617" s="118">
        <v>6.41706219934E12</v>
      </c>
      <c r="V617" s="78"/>
      <c r="W617" s="78"/>
      <c r="X617" s="78"/>
      <c r="Y617" s="78"/>
      <c r="Z617" s="78"/>
    </row>
    <row r="618" ht="22.5" customHeight="1">
      <c r="A618" s="118">
        <v>617.0</v>
      </c>
      <c r="B618" s="119">
        <v>46037.0</v>
      </c>
      <c r="C618" s="126" t="s">
        <v>4947</v>
      </c>
      <c r="D618" s="118" t="str">
        <f>IFERROR(__xludf.DUMMYFUNCTION("IFERROR(
  INDEX(
    FILTER(
      'NOMBRE DE PRODUCTOS'!B:B,
      REGEXMATCH(
        UPPER(
          INDEX(
            REPORTE_DROPI!AC:AC,
            MATCH(T618, REPORTE_DROPI!B:B, 0)
          )
        ),
        UPPER('NOMBRE DE PRODUCTOS'!A:A)"&amp;"
      )
    ),
    1
  ),
  ""REVISAR""
)
"),"Cuchillo Tazaki™")</f>
        <v>Cuchillo Tazaki™</v>
      </c>
      <c r="E618" s="120" t="str">
        <f t="array" ref="E618">IF(
UPPER(TRIM(CLEAN($O618)))="ENTREGADO",
IFERROR(
INDEX(REPORTE_DROPI!Y:Y,
MATCH($T618, REPORTE_DROPI!B:B, 0)
),
""
),
""
)
</f>
        <v/>
      </c>
      <c r="F618" s="121">
        <v>2.0</v>
      </c>
      <c r="G618" s="122" t="str">
        <f t="array" ref="G618">IF(
UPPER(TRIM(CLEAN($O618)))="ENTREGADO",
IFERROR(
INDEX(REPORTE_DROPI!R:R,
MATCH($T618, REPORTE_DROPI!B:B, 0)
),
""
),
""
)
</f>
        <v/>
      </c>
      <c r="H618" s="118" t="s">
        <v>3727</v>
      </c>
      <c r="I618" s="118" t="s">
        <v>3772</v>
      </c>
      <c r="J618" s="121" t="str">
        <f t="array" ref="J618">IF(
UPPER(TRIM(CLEAN($O618)))="ENTREGADO",
IFERROR(
INDEX(REPORTE_DROPI!T:T,
MATCH($T618, REPORTE_DROPI!B:B, 0)
),
""
),
""
)
</f>
        <v/>
      </c>
      <c r="K618" s="118" t="str">
        <f t="array" ref="K618">IFERROR(
INDEX(REPORTE_DROPI!S:S,
MATCH($T618, REPORTE_DROPI!B:B, 0)
),
""
)
</f>
        <v/>
      </c>
      <c r="L618" s="118">
        <f>IF(
  O618&lt;&gt;"DEVOLUCION",
  "",
  IF(
    T618="",
    "",
    SUMIF(DEVOLUCION!F:F, T618, DEVOLUCION!D:D)
  )
)
</f>
        <v>5.07</v>
      </c>
      <c r="M618" s="118" t="s">
        <v>3870</v>
      </c>
      <c r="N618" s="130" t="s">
        <v>4948</v>
      </c>
      <c r="O618" s="118" t="str">
        <f t="array" ref="O618">IFERROR(
VLOOKUP(
TRIM(CLEAN(
INDEX(REPORTE_DROPI!K:K,
MATCH(T618, REPORTE_DROPI!B:B, 0)
))),
{
TRIM(CLEAN(MAPA_ESTADOS!A:A)) ,
MAPA_ESTADOS!B:B
},
2,
FALSE
),
"REVISAR"
)
</f>
        <v>DEVOLUCION</v>
      </c>
      <c r="P618" s="118"/>
      <c r="Q618" s="122">
        <f t="shared" si="1"/>
        <v>0</v>
      </c>
      <c r="R618" s="118"/>
      <c r="S618" s="118"/>
      <c r="T618" s="118">
        <f t="array" ref="T618">IFERROR(
INDEX(REPORTE_DROPI!B:B,
MATCH(
CLEAN(TRIM(C618)),
CLEAN(TRIM(REPORTE_DROPI!E:E)),
0
)
),
""
)
</f>
        <v>4158920</v>
      </c>
      <c r="U618" s="118">
        <v>6.417064558636E12</v>
      </c>
      <c r="V618" s="78"/>
      <c r="W618" s="78"/>
      <c r="X618" s="78"/>
      <c r="Y618" s="78"/>
      <c r="Z618" s="78"/>
    </row>
    <row r="619" ht="22.5" customHeight="1">
      <c r="A619" s="118">
        <v>618.0</v>
      </c>
      <c r="B619" s="119">
        <v>46037.0</v>
      </c>
      <c r="C619" s="126" t="s">
        <v>4949</v>
      </c>
      <c r="D619" s="118" t="str">
        <f>IFERROR(__xludf.DUMMYFUNCTION("IFERROR(
  INDEX(
    FILTER(
      'NOMBRE DE PRODUCTOS'!B:B,
      REGEXMATCH(
        UPPER(
          INDEX(
            REPORTE_DROPI!AC:AC,
            MATCH(T619, REPORTE_DROPI!B:B, 0)
          )
        ),
        UPPER('NOMBRE DE PRODUCTOS'!A:A)"&amp;"
      )
    ),
    1
  ),
  ""REVISAR""
)
"),"FilmPro®")</f>
        <v>FilmPro®</v>
      </c>
      <c r="E619" s="120" t="str">
        <f t="array" ref="E619">IF(
UPPER(TRIM(CLEAN($O619)))="ENTREGADO",
IFERROR(
INDEX(REPORTE_DROPI!Y:Y,
MATCH($T619, REPORTE_DROPI!B:B, 0)
),
""
),
""
)
</f>
        <v/>
      </c>
      <c r="F619" s="121">
        <v>1.0</v>
      </c>
      <c r="G619" s="122" t="str">
        <f t="array" ref="G619">IF(
UPPER(TRIM(CLEAN($O619)))="ENTREGADO",
IFERROR(
INDEX(REPORTE_DROPI!R:R,
MATCH($T619, REPORTE_DROPI!B:B, 0)
),
""
),
""
)
</f>
        <v/>
      </c>
      <c r="H619" s="118" t="s">
        <v>3727</v>
      </c>
      <c r="I619" s="118" t="s">
        <v>3962</v>
      </c>
      <c r="J619" s="121" t="str">
        <f t="array" ref="J619">IF(
UPPER(TRIM(CLEAN($O619)))="ENTREGADO",
IFERROR(
INDEX(REPORTE_DROPI!T:T,
MATCH($T619, REPORTE_DROPI!B:B, 0)
),
""
),
""
)
</f>
        <v/>
      </c>
      <c r="K619" s="118" t="str">
        <f t="array" ref="K619">IFERROR(
INDEX(REPORTE_DROPI!S:S,
MATCH($T619, REPORTE_DROPI!B:B, 0)
),
""
)
</f>
        <v/>
      </c>
      <c r="L619" s="118">
        <f>IF(
  O619&lt;&gt;"DEVOLUCION",
  "",
  IF(
    T619="",
    "",
    SUMIF(DEVOLUCION!F:F, T619, DEVOLUCION!D:D)
  )
)
</f>
        <v>7.67</v>
      </c>
      <c r="M619" s="118" t="s">
        <v>3870</v>
      </c>
      <c r="N619" s="130" t="s">
        <v>4950</v>
      </c>
      <c r="O619" s="118" t="str">
        <f t="array" ref="O619">IFERROR(
VLOOKUP(
TRIM(CLEAN(
INDEX(REPORTE_DROPI!K:K,
MATCH(T619, REPORTE_DROPI!B:B, 0)
))),
{
TRIM(CLEAN(MAPA_ESTADOS!A:A)) ,
MAPA_ESTADOS!B:B
},
2,
FALSE
),
"REVISAR"
)
</f>
        <v>DEVOLUCION</v>
      </c>
      <c r="P619" s="118"/>
      <c r="Q619" s="122">
        <f t="shared" si="1"/>
        <v>0</v>
      </c>
      <c r="R619" s="118"/>
      <c r="S619" s="118"/>
      <c r="T619" s="118">
        <f t="array" ref="T619">IFERROR(
INDEX(REPORTE_DROPI!B:B,
MATCH(
CLEAN(TRIM(C619)),
CLEAN(TRIM(REPORTE_DROPI!E:E)),
0
)
),
""
)
</f>
        <v>4159015</v>
      </c>
      <c r="U619" s="118">
        <v>6.41708317086E12</v>
      </c>
      <c r="V619" s="78"/>
      <c r="W619" s="78"/>
      <c r="X619" s="78"/>
      <c r="Y619" s="78"/>
      <c r="Z619" s="78"/>
    </row>
    <row r="620" ht="22.5" customHeight="1">
      <c r="A620" s="118">
        <v>619.0</v>
      </c>
      <c r="B620" s="119">
        <v>46037.0</v>
      </c>
      <c r="C620" s="118" t="s">
        <v>4951</v>
      </c>
      <c r="D620" s="118" t="str">
        <f>IFERROR(__xludf.DUMMYFUNCTION("IFERROR(
  INDEX(
    FILTER(
      'NOMBRE DE PRODUCTOS'!B:B,
      REGEXMATCH(
        UPPER(
          INDEX(
            REPORTE_DROPI!AC:AC,
            MATCH(T620, REPORTE_DROPI!B:B, 0)
          )
        ),
        UPPER('NOMBRE DE PRODUCTOS'!A:A)"&amp;"
      )
    ),
    1
  ),
  ""REVISAR""
)
"),"FilmPro®")</f>
        <v>FilmPro®</v>
      </c>
      <c r="E620" s="120">
        <f t="array" ref="E620">IF(
UPPER(TRIM(CLEAN($O620)))="ENTREGADO",
IFERROR(
INDEX(REPORTE_DROPI!Y:Y,
MATCH($T620, REPORTE_DROPI!B:B, 0)
),
""
),
""
)
</f>
        <v>7.05</v>
      </c>
      <c r="F620" s="121">
        <v>3.0</v>
      </c>
      <c r="G620" s="122">
        <f t="array" ref="G620">IF(
UPPER(TRIM(CLEAN($O620)))="ENTREGADO",
IFERROR(
INDEX(REPORTE_DROPI!R:R,
MATCH($T620, REPORTE_DROPI!B:B, 0)
),
""
),
""
)
</f>
        <v>30</v>
      </c>
      <c r="H620" s="118" t="s">
        <v>3727</v>
      </c>
      <c r="I620" s="118" t="s">
        <v>3740</v>
      </c>
      <c r="J620" s="121">
        <f t="array" ref="J620">IF(
UPPER(TRIM(CLEAN($O620)))="ENTREGADO",
IFERROR(
INDEX(REPORTE_DROPI!T:T,
MATCH($T620, REPORTE_DROPI!B:B, 0)
),
""
),
""
)
</f>
        <v>6.16</v>
      </c>
      <c r="K620" s="118">
        <f t="array" ref="K620">IFERROR(
INDEX(REPORTE_DROPI!S:S,
MATCH($T620, REPORTE_DROPI!B:B, 0)
),
""
)
</f>
        <v>16.79</v>
      </c>
      <c r="L620" s="118" t="str">
        <f>IF(
  O620&lt;&gt;"DEVOLUCION",
  "",
  IF(
    T620="",
    "",
    SUMIF(DEVOLUCION!F:F, T620, DEVOLUCION!D:D)
  )
)
</f>
        <v/>
      </c>
      <c r="M620" s="118" t="s">
        <v>3870</v>
      </c>
      <c r="N620" s="130" t="s">
        <v>4952</v>
      </c>
      <c r="O620" s="118" t="str">
        <f t="array" ref="O620">IFERROR(
VLOOKUP(
TRIM(CLEAN(
INDEX(REPORTE_DROPI!K:K,
MATCH(T620, REPORTE_DROPI!B:B, 0)
))),
{
TRIM(CLEAN(MAPA_ESTADOS!A:A)) ,
MAPA_ESTADOS!B:B
},
2,
FALSE
),
"REVISAR"
)
</f>
        <v>ENTREGADO</v>
      </c>
      <c r="P620" s="118"/>
      <c r="Q620" s="122">
        <f t="shared" si="1"/>
        <v>0</v>
      </c>
      <c r="R620" s="118"/>
      <c r="S620" s="118"/>
      <c r="T620" s="118">
        <f t="array" ref="T620">IFERROR(
INDEX(REPORTE_DROPI!B:B,
MATCH(
CLEAN(TRIM(C620)),
CLEAN(TRIM(REPORTE_DROPI!E:E)),
0
)
),
""
)
</f>
        <v>4159242</v>
      </c>
      <c r="U620" s="118">
        <v>6.417124884524E12</v>
      </c>
      <c r="V620" s="78"/>
      <c r="W620" s="78"/>
      <c r="X620" s="78"/>
      <c r="Y620" s="78"/>
      <c r="Z620" s="78"/>
    </row>
    <row r="621" ht="22.5" customHeight="1">
      <c r="A621" s="118">
        <v>620.0</v>
      </c>
      <c r="B621" s="119">
        <v>46037.0</v>
      </c>
      <c r="C621" s="118" t="s">
        <v>4953</v>
      </c>
      <c r="D621" s="118" t="str">
        <f>IFERROR(__xludf.DUMMYFUNCTION("IFERROR(
  INDEX(
    FILTER(
      'NOMBRE DE PRODUCTOS'!B:B,
      REGEXMATCH(
        UPPER(
          INDEX(
            REPORTE_DROPI!AC:AC,
            MATCH(T621, REPORTE_DROPI!B:B, 0)
          )
        ),
        UPPER('NOMBRE DE PRODUCTOS'!A:A)"&amp;"
      )
    ),
    1
  ),
  ""REVISAR""
)
"),"FilmPro®")</f>
        <v>FilmPro®</v>
      </c>
      <c r="E621" s="120">
        <f t="array" ref="E621">IF(
UPPER(TRIM(CLEAN($O621)))="ENTREGADO",
IFERROR(
INDEX(REPORTE_DROPI!Y:Y,
MATCH($T621, REPORTE_DROPI!B:B, 0)
),
""
),
""
)
</f>
        <v>7.05</v>
      </c>
      <c r="F621" s="121">
        <v>3.0</v>
      </c>
      <c r="G621" s="122">
        <f t="array" ref="G621">IF(
UPPER(TRIM(CLEAN($O621)))="ENTREGADO",
IFERROR(
INDEX(REPORTE_DROPI!R:R,
MATCH($T621, REPORTE_DROPI!B:B, 0)
),
""
),
""
)
</f>
        <v>30</v>
      </c>
      <c r="H621" s="118" t="s">
        <v>3727</v>
      </c>
      <c r="I621" s="118" t="s">
        <v>3740</v>
      </c>
      <c r="J621" s="121">
        <f t="array" ref="J621">IF(
UPPER(TRIM(CLEAN($O621)))="ENTREGADO",
IFERROR(
INDEX(REPORTE_DROPI!T:T,
MATCH($T621, REPORTE_DROPI!B:B, 0)
),
""
),
""
)
</f>
        <v>6.16</v>
      </c>
      <c r="K621" s="118">
        <f t="array" ref="K621">IFERROR(
INDEX(REPORTE_DROPI!S:S,
MATCH($T621, REPORTE_DROPI!B:B, 0)
),
""
)
</f>
        <v>16.79</v>
      </c>
      <c r="L621" s="118" t="str">
        <f>IF(
  O621&lt;&gt;"DEVOLUCION",
  "",
  IF(
    T621="",
    "",
    SUMIF(DEVOLUCION!F:F, T621, DEVOLUCION!D:D)
  )
)
</f>
        <v/>
      </c>
      <c r="M621" s="118" t="s">
        <v>3870</v>
      </c>
      <c r="N621" s="130" t="s">
        <v>4954</v>
      </c>
      <c r="O621" s="118" t="str">
        <f t="array" ref="O621">IFERROR(
VLOOKUP(
TRIM(CLEAN(
INDEX(REPORTE_DROPI!K:K,
MATCH(T621, REPORTE_DROPI!B:B, 0)
))),
{
TRIM(CLEAN(MAPA_ESTADOS!A:A)) ,
MAPA_ESTADOS!B:B
},
2,
FALSE
),
"REVISAR"
)
</f>
        <v>ENTREGADO</v>
      </c>
      <c r="P621" s="118"/>
      <c r="Q621" s="122">
        <f t="shared" si="1"/>
        <v>0</v>
      </c>
      <c r="R621" s="118"/>
      <c r="S621" s="118"/>
      <c r="T621" s="118">
        <f t="array" ref="T621">IFERROR(
INDEX(REPORTE_DROPI!B:B,
MATCH(
CLEAN(TRIM(C621)),
CLEAN(TRIM(REPORTE_DROPI!E:E)),
0
)
),
""
)
</f>
        <v>4159503</v>
      </c>
      <c r="U621" s="118">
        <v>6.417179213868E12</v>
      </c>
      <c r="V621" s="78"/>
      <c r="W621" s="78"/>
      <c r="X621" s="78"/>
      <c r="Y621" s="78"/>
      <c r="Z621" s="78"/>
    </row>
    <row r="622" ht="22.5" customHeight="1">
      <c r="A622" s="118">
        <v>621.0</v>
      </c>
      <c r="B622" s="119">
        <v>46037.0</v>
      </c>
      <c r="C622" s="118" t="s">
        <v>4955</v>
      </c>
      <c r="D622" s="118" t="str">
        <f>IFERROR(__xludf.DUMMYFUNCTION("IFERROR(
  INDEX(
    FILTER(
      'NOMBRE DE PRODUCTOS'!B:B,
      REGEXMATCH(
        UPPER(
          INDEX(
            REPORTE_DROPI!AC:AC,
            MATCH(T622, REPORTE_DROPI!B:B, 0)
          )
        ),
        UPPER('NOMBRE DE PRODUCTOS'!A:A)"&amp;"
      )
    ),
    1
  ),
  ""REVISAR""
)
"),"FilmPro®")</f>
        <v>FilmPro®</v>
      </c>
      <c r="E622" s="120" t="str">
        <f t="array" ref="E622">IF(
UPPER(TRIM(CLEAN($O622)))="ENTREGADO",
IFERROR(
INDEX(REPORTE_DROPI!Y:Y,
MATCH($T622, REPORTE_DROPI!B:B, 0)
),
""
),
""
)
</f>
        <v/>
      </c>
      <c r="F622" s="121">
        <v>2.0</v>
      </c>
      <c r="G622" s="122" t="str">
        <f t="array" ref="G622">IF(
UPPER(TRIM(CLEAN($O622)))="ENTREGADO",
IFERROR(
INDEX(REPORTE_DROPI!R:R,
MATCH($T622, REPORTE_DROPI!B:B, 0)
),
""
),
""
)
</f>
        <v/>
      </c>
      <c r="H622" s="118" t="s">
        <v>3727</v>
      </c>
      <c r="I622" s="118" t="s">
        <v>3740</v>
      </c>
      <c r="J622" s="121" t="str">
        <f t="array" ref="J622">IF(
UPPER(TRIM(CLEAN($O622)))="ENTREGADO",
IFERROR(
INDEX(REPORTE_DROPI!T:T,
MATCH($T622, REPORTE_DROPI!B:B, 0)
),
""
),
""
)
</f>
        <v/>
      </c>
      <c r="K622" s="118" t="str">
        <f t="array" ref="K622">IFERROR(
INDEX(REPORTE_DROPI!S:S,
MATCH($T622, REPORTE_DROPI!B:B, 0)
),
""
)
</f>
        <v/>
      </c>
      <c r="L622" s="118">
        <f>IF(
  O622&lt;&gt;"DEVOLUCION",
  "",
  IF(
    T622="",
    "",
    SUMIF(DEVOLUCION!F:F, T622, DEVOLUCION!D:D)
  )
)
</f>
        <v>7.75</v>
      </c>
      <c r="M622" s="118" t="s">
        <v>3870</v>
      </c>
      <c r="N622" s="130" t="s">
        <v>4956</v>
      </c>
      <c r="O622" s="118" t="str">
        <f t="array" ref="O622">IFERROR(
VLOOKUP(
TRIM(CLEAN(
INDEX(REPORTE_DROPI!K:K,
MATCH(T622, REPORTE_DROPI!B:B, 0)
))),
{
TRIM(CLEAN(MAPA_ESTADOS!A:A)) ,
MAPA_ESTADOS!B:B
},
2,
FALSE
),
"REVISAR"
)
</f>
        <v>DEVOLUCION</v>
      </c>
      <c r="P622" s="118"/>
      <c r="Q622" s="122">
        <f t="shared" si="1"/>
        <v>0</v>
      </c>
      <c r="R622" s="118"/>
      <c r="S622" s="118"/>
      <c r="T622" s="118">
        <f t="array" ref="T622">IFERROR(
INDEX(REPORTE_DROPI!B:B,
MATCH(
CLEAN(TRIM(C622)),
CLEAN(TRIM(REPORTE_DROPI!E:E)),
0
)
),
""
)
</f>
        <v>4160037</v>
      </c>
      <c r="U622" s="118">
        <v>6.417337647148E12</v>
      </c>
      <c r="V622" s="78"/>
      <c r="W622" s="78"/>
      <c r="X622" s="78"/>
      <c r="Y622" s="78"/>
      <c r="Z622" s="78"/>
    </row>
    <row r="623" ht="22.5" customHeight="1">
      <c r="A623" s="118">
        <v>622.0</v>
      </c>
      <c r="B623" s="119">
        <v>46037.0</v>
      </c>
      <c r="C623" s="118" t="s">
        <v>4957</v>
      </c>
      <c r="D623" s="118" t="str">
        <f>IFERROR(__xludf.DUMMYFUNCTION("IFERROR(
  INDEX(
    FILTER(
      'NOMBRE DE PRODUCTOS'!B:B,
      REGEXMATCH(
        UPPER(
          INDEX(
            REPORTE_DROPI!AC:AC,
            MATCH(T623, REPORTE_DROPI!B:B, 0)
          )
        ),
        UPPER('NOMBRE DE PRODUCTOS'!A:A)"&amp;"
      )
    ),
    1
  ),
  ""REVISAR""
)
"),"Cuchillo Tazaki™")</f>
        <v>Cuchillo Tazaki™</v>
      </c>
      <c r="E623" s="120">
        <f t="array" ref="E623">IF(
UPPER(TRIM(CLEAN($O623)))="ENTREGADO",
IFERROR(
INDEX(REPORTE_DROPI!Y:Y,
MATCH($T623, REPORTE_DROPI!B:B, 0)
),
""
),
""
)
</f>
        <v>7.8</v>
      </c>
      <c r="F623" s="121">
        <v>3.0</v>
      </c>
      <c r="G623" s="122">
        <f t="array" ref="G623">IF(
UPPER(TRIM(CLEAN($O623)))="ENTREGADO",
IFERROR(
INDEX(REPORTE_DROPI!R:R,
MATCH($T623, REPORTE_DROPI!B:B, 0)
),
""
),
""
)
</f>
        <v>27</v>
      </c>
      <c r="H623" s="118" t="s">
        <v>3727</v>
      </c>
      <c r="I623" s="118" t="s">
        <v>3728</v>
      </c>
      <c r="J623" s="121">
        <f t="array" ref="J623">IF(
UPPER(TRIM(CLEAN($O623)))="ENTREGADO",
IFERROR(
INDEX(REPORTE_DROPI!T:T,
MATCH($T623, REPORTE_DROPI!B:B, 0)
),
""
),
""
)
</f>
        <v>6.03</v>
      </c>
      <c r="K623" s="118">
        <f t="array" ref="K623">IFERROR(
INDEX(REPORTE_DROPI!S:S,
MATCH($T623, REPORTE_DROPI!B:B, 0)
),
""
)
</f>
        <v>13.17</v>
      </c>
      <c r="L623" s="118" t="str">
        <f>IF(
  O623&lt;&gt;"DEVOLUCION",
  "",
  IF(
    T623="",
    "",
    SUMIF(DEVOLUCION!F:F, T623, DEVOLUCION!D:D)
  )
)
</f>
        <v/>
      </c>
      <c r="M623" s="118" t="s">
        <v>3870</v>
      </c>
      <c r="N623" s="130" t="s">
        <v>4958</v>
      </c>
      <c r="O623" s="118" t="str">
        <f t="array" ref="O623">IFERROR(
VLOOKUP(
TRIM(CLEAN(
INDEX(REPORTE_DROPI!K:K,
MATCH(T623, REPORTE_DROPI!B:B, 0)
))),
{
TRIM(CLEAN(MAPA_ESTADOS!A:A)) ,
MAPA_ESTADOS!B:B
},
2,
FALSE
),
"REVISAR"
)
</f>
        <v>ENTREGADO</v>
      </c>
      <c r="P623" s="118"/>
      <c r="Q623" s="122">
        <f t="shared" si="1"/>
        <v>0</v>
      </c>
      <c r="R623" s="118"/>
      <c r="S623" s="118"/>
      <c r="T623" s="118">
        <f t="array" ref="T623">IFERROR(
INDEX(REPORTE_DROPI!B:B,
MATCH(
CLEAN(TRIM(C623)),
CLEAN(TRIM(REPORTE_DROPI!E:E)),
0
)
),
""
)
</f>
        <v>4160532</v>
      </c>
      <c r="U623" s="118">
        <v>6.417419763756E12</v>
      </c>
      <c r="V623" s="78"/>
      <c r="W623" s="78"/>
      <c r="X623" s="78"/>
      <c r="Y623" s="78"/>
      <c r="Z623" s="78"/>
    </row>
    <row r="624" ht="22.5" customHeight="1">
      <c r="A624" s="118">
        <v>623.0</v>
      </c>
      <c r="B624" s="119">
        <v>46037.0</v>
      </c>
      <c r="C624" s="118" t="s">
        <v>4959</v>
      </c>
      <c r="D624" s="118" t="str">
        <f>IFERROR(__xludf.DUMMYFUNCTION("IFERROR(
  INDEX(
    FILTER(
      'NOMBRE DE PRODUCTOS'!B:B,
      REGEXMATCH(
        UPPER(
          INDEX(
            REPORTE_DROPI!AC:AC,
            MATCH(T624, REPORTE_DROPI!B:B, 0)
          )
        ),
        UPPER('NOMBRE DE PRODUCTOS'!A:A)"&amp;"
      )
    ),
    1
  ),
  ""REVISAR""
)
"),"FilmPro®")</f>
        <v>FilmPro®</v>
      </c>
      <c r="E624" s="120" t="str">
        <f t="array" ref="E624">IF(
UPPER(TRIM(CLEAN($O624)))="ENTREGADO",
IFERROR(
INDEX(REPORTE_DROPI!Y:Y,
MATCH($T624, REPORTE_DROPI!B:B, 0)
),
""
),
""
)
</f>
        <v/>
      </c>
      <c r="F624" s="121">
        <v>1.0</v>
      </c>
      <c r="G624" s="122" t="str">
        <f t="array" ref="G624">IF(
UPPER(TRIM(CLEAN($O624)))="ENTREGADO",
IFERROR(
INDEX(REPORTE_DROPI!R:R,
MATCH($T624, REPORTE_DROPI!B:B, 0)
),
""
),
""
)
</f>
        <v/>
      </c>
      <c r="H624" s="118" t="s">
        <v>3727</v>
      </c>
      <c r="I624" s="118" t="s">
        <v>3728</v>
      </c>
      <c r="J624" s="121" t="str">
        <f t="array" ref="J624">IF(
UPPER(TRIM(CLEAN($O624)))="ENTREGADO",
IFERROR(
INDEX(REPORTE_DROPI!T:T,
MATCH($T624, REPORTE_DROPI!B:B, 0)
),
""
),
""
)
</f>
        <v/>
      </c>
      <c r="K624" s="118" t="str">
        <f t="array" ref="K624">IFERROR(
INDEX(REPORTE_DROPI!S:S,
MATCH($T624, REPORTE_DROPI!B:B, 0)
),
""
)
</f>
        <v/>
      </c>
      <c r="L624" s="118" t="str">
        <f>IF(
  O624&lt;&gt;"DEVOLUCION",
  "",
  IF(
    T624="",
    "",
    SUMIF(DEVOLUCION!F:F, T624, DEVOLUCION!D:D)
  )
)
</f>
        <v/>
      </c>
      <c r="M624" s="118" t="s">
        <v>3870</v>
      </c>
      <c r="N624" s="130" t="s">
        <v>4960</v>
      </c>
      <c r="O624" s="118" t="str">
        <f t="array" ref="O624">IFERROR(
VLOOKUP(
TRIM(CLEAN(
INDEX(REPORTE_DROPI!K:K,
MATCH(T624, REPORTE_DROPI!B:B, 0)
))),
{
TRIM(CLEAN(MAPA_ESTADOS!A:A)) ,
MAPA_ESTADOS!B:B
},
2,
FALSE
),
"REVISAR"
)
</f>
        <v>CANCELADO</v>
      </c>
      <c r="P624" s="118" t="s">
        <v>4961</v>
      </c>
      <c r="Q624" s="122">
        <f t="shared" si="1"/>
        <v>0</v>
      </c>
      <c r="R624" s="118"/>
      <c r="S624" s="118"/>
      <c r="T624" s="118">
        <f t="array" ref="T624">IFERROR(
INDEX(REPORTE_DROPI!B:B,
MATCH(
CLEAN(TRIM(C624)),
CLEAN(TRIM(REPORTE_DROPI!E:E)),
0
)
),
""
)
</f>
        <v>4160766</v>
      </c>
      <c r="U624" s="118">
        <v>6.417458593836E12</v>
      </c>
      <c r="V624" s="78"/>
      <c r="W624" s="78"/>
      <c r="X624" s="78"/>
      <c r="Y624" s="78"/>
      <c r="Z624" s="78"/>
    </row>
    <row r="625" ht="22.5" customHeight="1">
      <c r="A625" s="118">
        <v>624.0</v>
      </c>
      <c r="B625" s="119">
        <v>46037.0</v>
      </c>
      <c r="C625" s="118" t="s">
        <v>4962</v>
      </c>
      <c r="D625" s="118" t="str">
        <f>IFERROR(__xludf.DUMMYFUNCTION("IFERROR(
  INDEX(
    FILTER(
      'NOMBRE DE PRODUCTOS'!B:B,
      REGEXMATCH(
        UPPER(
          INDEX(
            REPORTE_DROPI!AC:AC,
            MATCH(T625, REPORTE_DROPI!B:B, 0)
          )
        ),
        UPPER('NOMBRE DE PRODUCTOS'!A:A)"&amp;"
      )
    ),
    1
  ),
  ""REVISAR""
)
"),"FilmPro®")</f>
        <v>FilmPro®</v>
      </c>
      <c r="E625" s="120">
        <f t="array" ref="E625">IF(
UPPER(TRIM(CLEAN($O625)))="ENTREGADO",
IFERROR(
INDEX(REPORTE_DROPI!Y:Y,
MATCH($T625, REPORTE_DROPI!B:B, 0)
),
""
),
""
)
</f>
        <v>7.05</v>
      </c>
      <c r="F625" s="121">
        <v>3.0</v>
      </c>
      <c r="G625" s="122">
        <f t="array" ref="G625">IF(
UPPER(TRIM(CLEAN($O625)))="ENTREGADO",
IFERROR(
INDEX(REPORTE_DROPI!R:R,
MATCH($T625, REPORTE_DROPI!B:B, 0)
),
""
),
""
)
</f>
        <v>30</v>
      </c>
      <c r="H625" s="118" t="s">
        <v>3727</v>
      </c>
      <c r="I625" s="118" t="s">
        <v>3809</v>
      </c>
      <c r="J625" s="121">
        <f t="array" ref="J625">IF(
UPPER(TRIM(CLEAN($O625)))="ENTREGADO",
IFERROR(
INDEX(REPORTE_DROPI!T:T,
MATCH($T625, REPORTE_DROPI!B:B, 0)
),
""
),
""
)
</f>
        <v>6.16</v>
      </c>
      <c r="K625" s="118">
        <f t="array" ref="K625">IFERROR(
INDEX(REPORTE_DROPI!S:S,
MATCH($T625, REPORTE_DROPI!B:B, 0)
),
""
)
</f>
        <v>16.79</v>
      </c>
      <c r="L625" s="118" t="str">
        <f>IF(
  O625&lt;&gt;"DEVOLUCION",
  "",
  IF(
    T625="",
    "",
    SUMIF(DEVOLUCION!F:F, T625, DEVOLUCION!D:D)
  )
)
</f>
        <v/>
      </c>
      <c r="M625" s="118" t="s">
        <v>3870</v>
      </c>
      <c r="N625" s="130" t="s">
        <v>4963</v>
      </c>
      <c r="O625" s="118" t="str">
        <f t="array" ref="O625">IFERROR(
VLOOKUP(
TRIM(CLEAN(
INDEX(REPORTE_DROPI!K:K,
MATCH(T625, REPORTE_DROPI!B:B, 0)
))),
{
TRIM(CLEAN(MAPA_ESTADOS!A:A)) ,
MAPA_ESTADOS!B:B
},
2,
FALSE
),
"REVISAR"
)
</f>
        <v>ENTREGADO</v>
      </c>
      <c r="P625" s="118"/>
      <c r="Q625" s="122">
        <f t="shared" si="1"/>
        <v>0</v>
      </c>
      <c r="R625" s="118"/>
      <c r="S625" s="118"/>
      <c r="T625" s="118">
        <f t="array" ref="T625">IFERROR(
INDEX(REPORTE_DROPI!B:B,
MATCH(
CLEAN(TRIM(C625)),
CLEAN(TRIM(REPORTE_DROPI!E:E)),
0
)
),
""
)
</f>
        <v>4160806</v>
      </c>
      <c r="U625" s="118">
        <v>6.41746573726E12</v>
      </c>
      <c r="V625" s="78"/>
      <c r="W625" s="78"/>
      <c r="X625" s="78"/>
      <c r="Y625" s="78"/>
      <c r="Z625" s="78"/>
    </row>
    <row r="626" ht="22.5" customHeight="1">
      <c r="A626" s="118">
        <v>625.0</v>
      </c>
      <c r="B626" s="119">
        <v>46037.0</v>
      </c>
      <c r="C626" s="126" t="s">
        <v>4964</v>
      </c>
      <c r="D626" s="118" t="str">
        <f>IFERROR(__xludf.DUMMYFUNCTION("IFERROR(
  INDEX(
    FILTER(
      'NOMBRE DE PRODUCTOS'!B:B,
      REGEXMATCH(
        UPPER(
          INDEX(
            REPORTE_DROPI!AC:AC,
            MATCH(T626, REPORTE_DROPI!B:B, 0)
          )
        ),
        UPPER('NOMBRE DE PRODUCTOS'!A:A)"&amp;"
      )
    ),
    1
  ),
  ""REVISAR""
)
"),"Cuchillo Tazaki™")</f>
        <v>Cuchillo Tazaki™</v>
      </c>
      <c r="E626" s="120" t="str">
        <f t="array" ref="E626">IF(
UPPER(TRIM(CLEAN($O626)))="ENTREGADO",
IFERROR(
INDEX(REPORTE_DROPI!Y:Y,
MATCH($T626, REPORTE_DROPI!B:B, 0)
),
""
),
""
)
</f>
        <v/>
      </c>
      <c r="F626" s="121">
        <v>2.0</v>
      </c>
      <c r="G626" s="122" t="str">
        <f t="array" ref="G626">IF(
UPPER(TRIM(CLEAN($O626)))="ENTREGADO",
IFERROR(
INDEX(REPORTE_DROPI!R:R,
MATCH($T626, REPORTE_DROPI!B:B, 0)
),
""
),
""
)
</f>
        <v/>
      </c>
      <c r="H626" s="118" t="s">
        <v>3727</v>
      </c>
      <c r="I626" s="118" t="s">
        <v>3738</v>
      </c>
      <c r="J626" s="121" t="str">
        <f t="array" ref="J626">IF(
UPPER(TRIM(CLEAN($O626)))="ENTREGADO",
IFERROR(
INDEX(REPORTE_DROPI!T:T,
MATCH($T626, REPORTE_DROPI!B:B, 0)
),
""
),
""
)
</f>
        <v/>
      </c>
      <c r="K626" s="118" t="str">
        <f t="array" ref="K626">IFERROR(
INDEX(REPORTE_DROPI!S:S,
MATCH($T626, REPORTE_DROPI!B:B, 0)
),
""
)
</f>
        <v/>
      </c>
      <c r="L626" s="118">
        <f>IF(
  O626&lt;&gt;"DEVOLUCION",
  "",
  IF(
    T626="",
    "",
    SUMIF(DEVOLUCION!F:F, T626, DEVOLUCION!D:D)
  )
)
</f>
        <v>5.07</v>
      </c>
      <c r="M626" s="118" t="s">
        <v>3870</v>
      </c>
      <c r="N626" s="130" t="s">
        <v>4965</v>
      </c>
      <c r="O626" s="118" t="str">
        <f t="array" ref="O626">IFERROR(
VLOOKUP(
TRIM(CLEAN(
INDEX(REPORTE_DROPI!K:K,
MATCH(T626, REPORTE_DROPI!B:B, 0)
))),
{
TRIM(CLEAN(MAPA_ESTADOS!A:A)) ,
MAPA_ESTADOS!B:B
},
2,
FALSE
),
"REVISAR"
)
</f>
        <v>DEVOLUCION</v>
      </c>
      <c r="P626" s="118"/>
      <c r="Q626" s="122">
        <f t="shared" si="1"/>
        <v>0</v>
      </c>
      <c r="R626" s="118"/>
      <c r="S626" s="118"/>
      <c r="T626" s="118">
        <f t="array" ref="T626">IFERROR(
INDEX(REPORTE_DROPI!B:B,
MATCH(
CLEAN(TRIM(C626)),
CLEAN(TRIM(REPORTE_DROPI!E:E)),
0
)
),
""
)
</f>
        <v>4160884</v>
      </c>
      <c r="U626" s="118">
        <v>6.417476288556E12</v>
      </c>
      <c r="V626" s="78"/>
      <c r="W626" s="78"/>
      <c r="X626" s="78"/>
      <c r="Y626" s="78"/>
      <c r="Z626" s="78"/>
    </row>
    <row r="627" ht="22.5" customHeight="1">
      <c r="A627" s="118">
        <v>626.0</v>
      </c>
      <c r="B627" s="119">
        <v>46037.0</v>
      </c>
      <c r="C627" s="126" t="s">
        <v>4966</v>
      </c>
      <c r="D627" s="118" t="str">
        <f>IFERROR(__xludf.DUMMYFUNCTION("IFERROR(
  INDEX(
    FILTER(
      'NOMBRE DE PRODUCTOS'!B:B,
      REGEXMATCH(
        UPPER(
          INDEX(
            REPORTE_DROPI!AC:AC,
            MATCH(T627, REPORTE_DROPI!B:B, 0)
          )
        ),
        UPPER('NOMBRE DE PRODUCTOS'!A:A)"&amp;"
      )
    ),
    1
  ),
  ""REVISAR""
)
"),"Cuchillo Tazaki™")</f>
        <v>Cuchillo Tazaki™</v>
      </c>
      <c r="E627" s="120" t="str">
        <f t="array" ref="E627">IF(
UPPER(TRIM(CLEAN($O627)))="ENTREGADO",
IFERROR(
INDEX(REPORTE_DROPI!Y:Y,
MATCH($T627, REPORTE_DROPI!B:B, 0)
),
""
),
""
)
</f>
        <v/>
      </c>
      <c r="F627" s="121">
        <v>2.0</v>
      </c>
      <c r="G627" s="122" t="str">
        <f t="array" ref="G627">IF(
UPPER(TRIM(CLEAN($O627)))="ENTREGADO",
IFERROR(
INDEX(REPORTE_DROPI!R:R,
MATCH($T627, REPORTE_DROPI!B:B, 0)
),
""
),
""
)
</f>
        <v/>
      </c>
      <c r="H627" s="118" t="s">
        <v>3727</v>
      </c>
      <c r="I627" s="118" t="s">
        <v>3801</v>
      </c>
      <c r="J627" s="121" t="str">
        <f t="array" ref="J627">IF(
UPPER(TRIM(CLEAN($O627)))="ENTREGADO",
IFERROR(
INDEX(REPORTE_DROPI!T:T,
MATCH($T627, REPORTE_DROPI!B:B, 0)
),
""
),
""
)
</f>
        <v/>
      </c>
      <c r="K627" s="118" t="str">
        <f t="array" ref="K627">IFERROR(
INDEX(REPORTE_DROPI!S:S,
MATCH($T627, REPORTE_DROPI!B:B, 0)
),
""
)
</f>
        <v/>
      </c>
      <c r="L627" s="118" t="str">
        <f>IF(
  O627&lt;&gt;"DEVOLUCION",
  "",
  IF(
    T627="",
    "",
    SUMIF(DEVOLUCION!F:F, T627, DEVOLUCION!D:D)
  )
)
</f>
        <v/>
      </c>
      <c r="M627" s="118" t="s">
        <v>3870</v>
      </c>
      <c r="N627" s="130" t="s">
        <v>4967</v>
      </c>
      <c r="O627" s="118" t="str">
        <f t="array" ref="O627">IFERROR(
VLOOKUP(
TRIM(CLEAN(
INDEX(REPORTE_DROPI!K:K,
MATCH(T627, REPORTE_DROPI!B:B, 0)
))),
{
TRIM(CLEAN(MAPA_ESTADOS!A:A)) ,
MAPA_ESTADOS!B:B
},
2,
FALSE
),
"REVISAR"
)
</f>
        <v>PENDIENTE</v>
      </c>
      <c r="P627" s="118" t="s">
        <v>4892</v>
      </c>
      <c r="Q627" s="122">
        <f t="shared" si="1"/>
        <v>0</v>
      </c>
      <c r="R627" s="118"/>
      <c r="S627" s="118"/>
      <c r="T627" s="118">
        <f t="array" ref="T627">IFERROR(
INDEX(REPORTE_DROPI!B:B,
MATCH(
CLEAN(TRIM(C627)),
CLEAN(TRIM(REPORTE_DROPI!E:E)),
0
)
),
""
)
</f>
        <v>4161387</v>
      </c>
      <c r="U627" s="118">
        <v>6.417559388204E12</v>
      </c>
      <c r="V627" s="78"/>
      <c r="W627" s="78"/>
      <c r="X627" s="78"/>
      <c r="Y627" s="78"/>
      <c r="Z627" s="78"/>
    </row>
    <row r="628" ht="22.5" customHeight="1">
      <c r="A628" s="118">
        <v>627.0</v>
      </c>
      <c r="B628" s="119">
        <v>46037.0</v>
      </c>
      <c r="C628" s="118" t="s">
        <v>4968</v>
      </c>
      <c r="D628" s="118" t="str">
        <f>IFERROR(__xludf.DUMMYFUNCTION("IFERROR(
  INDEX(
    FILTER(
      'NOMBRE DE PRODUCTOS'!B:B,
      REGEXMATCH(
        UPPER(
          INDEX(
            REPORTE_DROPI!AC:AC,
            MATCH(T628, REPORTE_DROPI!B:B, 0)
          )
        ),
        UPPER('NOMBRE DE PRODUCTOS'!A:A)"&amp;"
      )
    ),
    1
  ),
  ""REVISAR""
)
"),"FilmPro®")</f>
        <v>FilmPro®</v>
      </c>
      <c r="E628" s="120">
        <f t="array" ref="E628">IF(
UPPER(TRIM(CLEAN($O628)))="ENTREGADO",
IFERROR(
INDEX(REPORTE_DROPI!Y:Y,
MATCH($T628, REPORTE_DROPI!B:B, 0)
),
""
),
""
)
</f>
        <v>7.05</v>
      </c>
      <c r="F628" s="121">
        <v>3.0</v>
      </c>
      <c r="G628" s="122">
        <f t="array" ref="G628">IF(
UPPER(TRIM(CLEAN($O628)))="ENTREGADO",
IFERROR(
INDEX(REPORTE_DROPI!R:R,
MATCH($T628, REPORTE_DROPI!B:B, 0)
),
""
),
""
)
</f>
        <v>30</v>
      </c>
      <c r="H628" s="118" t="s">
        <v>3727</v>
      </c>
      <c r="I628" s="118" t="s">
        <v>3740</v>
      </c>
      <c r="J628" s="121">
        <f t="array" ref="J628">IF(
UPPER(TRIM(CLEAN($O628)))="ENTREGADO",
IFERROR(
INDEX(REPORTE_DROPI!T:T,
MATCH($T628, REPORTE_DROPI!B:B, 0)
),
""
),
""
)
</f>
        <v>6.16</v>
      </c>
      <c r="K628" s="118">
        <f t="array" ref="K628">IFERROR(
INDEX(REPORTE_DROPI!S:S,
MATCH($T628, REPORTE_DROPI!B:B, 0)
),
""
)
</f>
        <v>16.79</v>
      </c>
      <c r="L628" s="118" t="str">
        <f>IF(
  O628&lt;&gt;"DEVOLUCION",
  "",
  IF(
    T628="",
    "",
    SUMIF(DEVOLUCION!F:F, T628, DEVOLUCION!D:D)
  )
)
</f>
        <v/>
      </c>
      <c r="M628" s="118" t="s">
        <v>3870</v>
      </c>
      <c r="N628" s="130" t="s">
        <v>4969</v>
      </c>
      <c r="O628" s="118" t="str">
        <f t="array" ref="O628">IFERROR(
VLOOKUP(
TRIM(CLEAN(
INDEX(REPORTE_DROPI!K:K,
MATCH(T628, REPORTE_DROPI!B:B, 0)
))),
{
TRIM(CLEAN(MAPA_ESTADOS!A:A)) ,
MAPA_ESTADOS!B:B
},
2,
FALSE
),
"REVISAR"
)
</f>
        <v>ENTREGADO</v>
      </c>
      <c r="P628" s="118"/>
      <c r="Q628" s="122">
        <f t="shared" si="1"/>
        <v>0</v>
      </c>
      <c r="R628" s="118"/>
      <c r="S628" s="118"/>
      <c r="T628" s="118">
        <f t="array" ref="T628">IFERROR(
INDEX(REPORTE_DROPI!B:B,
MATCH(
CLEAN(TRIM(C628)),
CLEAN(TRIM(REPORTE_DROPI!E:E)),
0
)
),
""
)
</f>
        <v>4161444</v>
      </c>
      <c r="U628" s="118">
        <v>6.417571676204E12</v>
      </c>
      <c r="V628" s="78"/>
      <c r="W628" s="78"/>
      <c r="X628" s="78"/>
      <c r="Y628" s="78"/>
      <c r="Z628" s="78"/>
    </row>
    <row r="629" ht="22.5" customHeight="1">
      <c r="A629" s="118">
        <v>628.0</v>
      </c>
      <c r="B629" s="119">
        <v>46037.0</v>
      </c>
      <c r="C629" s="118" t="s">
        <v>4970</v>
      </c>
      <c r="D629" s="118" t="str">
        <f>IFERROR(__xludf.DUMMYFUNCTION("IFERROR(
  INDEX(
    FILTER(
      'NOMBRE DE PRODUCTOS'!B:B,
      REGEXMATCH(
        UPPER(
          INDEX(
            REPORTE_DROPI!AC:AC,
            MATCH(T629, REPORTE_DROPI!B:B, 0)
          )
        ),
        UPPER('NOMBRE DE PRODUCTOS'!A:A)"&amp;"
      )
    ),
    1
  ),
  ""REVISAR""
)
"),"Cuchillo Tazaki™")</f>
        <v>Cuchillo Tazaki™</v>
      </c>
      <c r="E629" s="120">
        <f t="array" ref="E629">IF(
UPPER(TRIM(CLEAN($O629)))="ENTREGADO",
IFERROR(
INDEX(REPORTE_DROPI!Y:Y,
MATCH($T629, REPORTE_DROPI!B:B, 0)
),
""
),
""
)
</f>
        <v>5.2</v>
      </c>
      <c r="F629" s="121">
        <v>2.0</v>
      </c>
      <c r="G629" s="122">
        <f t="array" ref="G629">IF(
UPPER(TRIM(CLEAN($O629)))="ENTREGADO",
IFERROR(
INDEX(REPORTE_DROPI!R:R,
MATCH($T629, REPORTE_DROPI!B:B, 0)
),
""
),
""
)
</f>
        <v>22</v>
      </c>
      <c r="H629" s="118" t="s">
        <v>3727</v>
      </c>
      <c r="I629" s="118" t="s">
        <v>3804</v>
      </c>
      <c r="J629" s="121">
        <f t="array" ref="J629">IF(
UPPER(TRIM(CLEAN($O629)))="ENTREGADO",
IFERROR(
INDEX(REPORTE_DROPI!T:T,
MATCH($T629, REPORTE_DROPI!B:B, 0)
),
""
),
""
)
</f>
        <v>5.84</v>
      </c>
      <c r="K629" s="118">
        <f t="array" ref="K629">IFERROR(
INDEX(REPORTE_DROPI!S:S,
MATCH($T629, REPORTE_DROPI!B:B, 0)
),
""
)
</f>
        <v>10.96</v>
      </c>
      <c r="L629" s="118" t="str">
        <f>IF(
  O629&lt;&gt;"DEVOLUCION",
  "",
  IF(
    T629="",
    "",
    SUMIF(DEVOLUCION!F:F, T629, DEVOLUCION!D:D)
  )
)
</f>
        <v/>
      </c>
      <c r="M629" s="118" t="s">
        <v>3870</v>
      </c>
      <c r="N629" s="130" t="s">
        <v>4971</v>
      </c>
      <c r="O629" s="118" t="str">
        <f t="array" ref="O629">IFERROR(
VLOOKUP(
TRIM(CLEAN(
INDEX(REPORTE_DROPI!K:K,
MATCH(T629, REPORTE_DROPI!B:B, 0)
))),
{
TRIM(CLEAN(MAPA_ESTADOS!A:A)) ,
MAPA_ESTADOS!B:B
},
2,
FALSE
),
"REVISAR"
)
</f>
        <v>ENTREGADO</v>
      </c>
      <c r="P629" s="118"/>
      <c r="Q629" s="122">
        <f t="shared" si="1"/>
        <v>0</v>
      </c>
      <c r="R629" s="118"/>
      <c r="S629" s="118"/>
      <c r="T629" s="118">
        <f t="array" ref="T629">IFERROR(
INDEX(REPORTE_DROPI!B:B,
MATCH(
CLEAN(TRIM(C629)),
CLEAN(TRIM(REPORTE_DROPI!E:E)),
0
)
),
""
)
</f>
        <v>4161679</v>
      </c>
      <c r="U629" s="118">
        <v>6.417616535596E12</v>
      </c>
      <c r="V629" s="78"/>
      <c r="W629" s="78"/>
      <c r="X629" s="78"/>
      <c r="Y629" s="78"/>
      <c r="Z629" s="78"/>
    </row>
    <row r="630" ht="22.5" customHeight="1">
      <c r="A630" s="118">
        <v>629.0</v>
      </c>
      <c r="B630" s="119">
        <v>46037.0</v>
      </c>
      <c r="C630" s="118" t="s">
        <v>4972</v>
      </c>
      <c r="D630" s="118" t="str">
        <f>IFERROR(__xludf.DUMMYFUNCTION("IFERROR(
  INDEX(
    FILTER(
      'NOMBRE DE PRODUCTOS'!B:B,
      REGEXMATCH(
        UPPER(
          INDEX(
            REPORTE_DROPI!AC:AC,
            MATCH(T630, REPORTE_DROPI!B:B, 0)
          )
        ),
        UPPER('NOMBRE DE PRODUCTOS'!A:A)"&amp;"
      )
    ),
    1
  ),
  ""REVISAR""
)
"),"Cuchillo Tazaki™")</f>
        <v>Cuchillo Tazaki™</v>
      </c>
      <c r="E630" s="120">
        <f t="array" ref="E630">IF(
UPPER(TRIM(CLEAN($O630)))="ENTREGADO",
IFERROR(
INDEX(REPORTE_DROPI!Y:Y,
MATCH($T630, REPORTE_DROPI!B:B, 0)
),
""
),
""
)
</f>
        <v>10.4</v>
      </c>
      <c r="F630" s="121">
        <v>4.0</v>
      </c>
      <c r="G630" s="122">
        <f t="array" ref="G630">IF(
UPPER(TRIM(CLEAN($O630)))="ENTREGADO",
IFERROR(
INDEX(REPORTE_DROPI!R:R,
MATCH($T630, REPORTE_DROPI!B:B, 0)
),
""
),
""
)
</f>
        <v>32</v>
      </c>
      <c r="H630" s="118" t="s">
        <v>3727</v>
      </c>
      <c r="I630" s="118" t="s">
        <v>3731</v>
      </c>
      <c r="J630" s="121">
        <f t="array" ref="J630">IF(
UPPER(TRIM(CLEAN($O630)))="ENTREGADO",
IFERROR(
INDEX(REPORTE_DROPI!T:T,
MATCH($T630, REPORTE_DROPI!B:B, 0)
),
""
),
""
)
</f>
        <v>6.24</v>
      </c>
      <c r="K630" s="118">
        <f t="array" ref="K630">IFERROR(
INDEX(REPORTE_DROPI!S:S,
MATCH($T630, REPORTE_DROPI!B:B, 0)
),
""
)
</f>
        <v>15.36</v>
      </c>
      <c r="L630" s="118" t="str">
        <f>IF(
  O630&lt;&gt;"DEVOLUCION",
  "",
  IF(
    T630="",
    "",
    SUMIF(DEVOLUCION!F:F, T630, DEVOLUCION!D:D)
  )
)
</f>
        <v/>
      </c>
      <c r="M630" s="118" t="s">
        <v>3870</v>
      </c>
      <c r="N630" s="130" t="s">
        <v>4973</v>
      </c>
      <c r="O630" s="118" t="str">
        <f t="array" ref="O630">IFERROR(
VLOOKUP(
TRIM(CLEAN(
INDEX(REPORTE_DROPI!K:K,
MATCH(T630, REPORTE_DROPI!B:B, 0)
))),
{
TRIM(CLEAN(MAPA_ESTADOS!A:A)) ,
MAPA_ESTADOS!B:B
},
2,
FALSE
),
"REVISAR"
)
</f>
        <v>ENTREGADO</v>
      </c>
      <c r="P630" s="118"/>
      <c r="Q630" s="122">
        <f t="shared" si="1"/>
        <v>0</v>
      </c>
      <c r="R630" s="118"/>
      <c r="S630" s="118"/>
      <c r="T630" s="118">
        <f t="array" ref="T630">IFERROR(
INDEX(REPORTE_DROPI!B:B,
MATCH(
CLEAN(TRIM(C630)),
CLEAN(TRIM(REPORTE_DROPI!E:E)),
0
)
),
""
)
</f>
        <v>4161719</v>
      </c>
      <c r="U630" s="118">
        <v>6.417627217964E12</v>
      </c>
      <c r="V630" s="78"/>
      <c r="W630" s="78"/>
      <c r="X630" s="78"/>
      <c r="Y630" s="78"/>
      <c r="Z630" s="78"/>
    </row>
    <row r="631" ht="22.5" customHeight="1">
      <c r="A631" s="118">
        <v>630.0</v>
      </c>
      <c r="B631" s="119">
        <v>46037.0</v>
      </c>
      <c r="C631" s="126" t="s">
        <v>4974</v>
      </c>
      <c r="D631" s="118" t="str">
        <f>IFERROR(__xludf.DUMMYFUNCTION("IFERROR(
  INDEX(
    FILTER(
      'NOMBRE DE PRODUCTOS'!B:B,
      REGEXMATCH(
        UPPER(
          INDEX(
            REPORTE_DROPI!AC:AC,
            MATCH(T631, REPORTE_DROPI!B:B, 0)
          )
        ),
        UPPER('NOMBRE DE PRODUCTOS'!A:A)"&amp;"
      )
    ),
    1
  ),
  ""REVISAR""
)
"),"Cuchillo Tazaki™")</f>
        <v>Cuchillo Tazaki™</v>
      </c>
      <c r="E631" s="120" t="str">
        <f t="array" ref="E631">IF(
UPPER(TRIM(CLEAN($O631)))="ENTREGADO",
IFERROR(
INDEX(REPORTE_DROPI!Y:Y,
MATCH($T631, REPORTE_DROPI!B:B, 0)
),
""
),
""
)
</f>
        <v/>
      </c>
      <c r="F631" s="121">
        <v>3.0</v>
      </c>
      <c r="G631" s="122" t="str">
        <f t="array" ref="G631">IF(
UPPER(TRIM(CLEAN($O631)))="ENTREGADO",
IFERROR(
INDEX(REPORTE_DROPI!R:R,
MATCH($T631, REPORTE_DROPI!B:B, 0)
),
""
),
""
)
</f>
        <v/>
      </c>
      <c r="H631" s="118" t="s">
        <v>3727</v>
      </c>
      <c r="I631" s="118" t="s">
        <v>3772</v>
      </c>
      <c r="J631" s="121" t="str">
        <f t="array" ref="J631">IF(
UPPER(TRIM(CLEAN($O631)))="ENTREGADO",
IFERROR(
INDEX(REPORTE_DROPI!T:T,
MATCH($T631, REPORTE_DROPI!B:B, 0)
),
""
),
""
)
</f>
        <v/>
      </c>
      <c r="K631" s="118" t="str">
        <f t="array" ref="K631">IFERROR(
INDEX(REPORTE_DROPI!S:S,
MATCH($T631, REPORTE_DROPI!B:B, 0)
),
""
)
</f>
        <v/>
      </c>
      <c r="L631" s="118">
        <f>IF(
  O631&lt;&gt;"DEVOLUCION",
  "",
  IF(
    T631="",
    "",
    SUMIF(DEVOLUCION!F:F, T631, DEVOLUCION!D:D)
  )
)
</f>
        <v>5.09</v>
      </c>
      <c r="M631" s="118" t="s">
        <v>3870</v>
      </c>
      <c r="N631" s="130" t="s">
        <v>4975</v>
      </c>
      <c r="O631" s="118" t="str">
        <f t="array" ref="O631">IFERROR(
VLOOKUP(
TRIM(CLEAN(
INDEX(REPORTE_DROPI!K:K,
MATCH(T631, REPORTE_DROPI!B:B, 0)
))),
{
TRIM(CLEAN(MAPA_ESTADOS!A:A)) ,
MAPA_ESTADOS!B:B
},
2,
FALSE
),
"REVISAR"
)
</f>
        <v>DEVOLUCION</v>
      </c>
      <c r="P631" s="118"/>
      <c r="Q631" s="122">
        <f t="shared" si="1"/>
        <v>0</v>
      </c>
      <c r="R631" s="118"/>
      <c r="S631" s="118"/>
      <c r="T631" s="118">
        <f t="array" ref="T631">IFERROR(
INDEX(REPORTE_DROPI!B:B,
MATCH(
CLEAN(TRIM(C631)),
CLEAN(TRIM(REPORTE_DROPI!E:E)),
0
)
),
""
)
</f>
        <v>4161859</v>
      </c>
      <c r="U631" s="118">
        <v>6.417652056108E12</v>
      </c>
      <c r="V631" s="78"/>
      <c r="W631" s="78"/>
      <c r="X631" s="78"/>
      <c r="Y631" s="78"/>
      <c r="Z631" s="78"/>
    </row>
    <row r="632" ht="22.5" customHeight="1">
      <c r="A632" s="118">
        <v>631.0</v>
      </c>
      <c r="B632" s="119">
        <v>46037.0</v>
      </c>
      <c r="C632" s="118" t="s">
        <v>4976</v>
      </c>
      <c r="D632" s="118" t="str">
        <f>IFERROR(__xludf.DUMMYFUNCTION("IFERROR(
  INDEX(
    FILTER(
      'NOMBRE DE PRODUCTOS'!B:B,
      REGEXMATCH(
        UPPER(
          INDEX(
            REPORTE_DROPI!AC:AC,
            MATCH(T632, REPORTE_DROPI!B:B, 0)
          )
        ),
        UPPER('NOMBRE DE PRODUCTOS'!A:A)"&amp;"
      )
    ),
    1
  ),
  ""REVISAR""
)
"),"Cuchillo Tazaki™")</f>
        <v>Cuchillo Tazaki™</v>
      </c>
      <c r="E632" s="120">
        <f t="array" ref="E632">IF(
UPPER(TRIM(CLEAN($O632)))="ENTREGADO",
IFERROR(
INDEX(REPORTE_DROPI!Y:Y,
MATCH($T632, REPORTE_DROPI!B:B, 0)
),
""
),
""
)
</f>
        <v>10.4</v>
      </c>
      <c r="F632" s="121">
        <v>4.0</v>
      </c>
      <c r="G632" s="122">
        <f t="array" ref="G632">IF(
UPPER(TRIM(CLEAN($O632)))="ENTREGADO",
IFERROR(
INDEX(REPORTE_DROPI!R:R,
MATCH($T632, REPORTE_DROPI!B:B, 0)
),
""
),
""
)
</f>
        <v>32</v>
      </c>
      <c r="H632" s="118" t="s">
        <v>3727</v>
      </c>
      <c r="I632" s="118" t="s">
        <v>3731</v>
      </c>
      <c r="J632" s="121">
        <f t="array" ref="J632">IF(
UPPER(TRIM(CLEAN($O632)))="ENTREGADO",
IFERROR(
INDEX(REPORTE_DROPI!T:T,
MATCH($T632, REPORTE_DROPI!B:B, 0)
),
""
),
""
)
</f>
        <v>6.24</v>
      </c>
      <c r="K632" s="118">
        <f t="array" ref="K632">IFERROR(
INDEX(REPORTE_DROPI!S:S,
MATCH($T632, REPORTE_DROPI!B:B, 0)
),
""
)
</f>
        <v>15.36</v>
      </c>
      <c r="L632" s="118" t="str">
        <f>IF(
  O632&lt;&gt;"DEVOLUCION",
  "",
  IF(
    T632="",
    "",
    SUMIF(DEVOLUCION!F:F, T632, DEVOLUCION!D:D)
  )
)
</f>
        <v/>
      </c>
      <c r="M632" s="118" t="s">
        <v>3870</v>
      </c>
      <c r="N632" s="130" t="s">
        <v>4977</v>
      </c>
      <c r="O632" s="118" t="str">
        <f t="array" ref="O632">IFERROR(
VLOOKUP(
TRIM(CLEAN(
INDEX(REPORTE_DROPI!K:K,
MATCH(T632, REPORTE_DROPI!B:B, 0)
))),
{
TRIM(CLEAN(MAPA_ESTADOS!A:A)) ,
MAPA_ESTADOS!B:B
},
2,
FALSE
),
"REVISAR"
)
</f>
        <v>ENTREGADO</v>
      </c>
      <c r="P632" s="118"/>
      <c r="Q632" s="122">
        <f t="shared" si="1"/>
        <v>0</v>
      </c>
      <c r="R632" s="118"/>
      <c r="S632" s="118"/>
      <c r="T632" s="118">
        <f t="array" ref="T632">IFERROR(
INDEX(REPORTE_DROPI!B:B,
MATCH(
CLEAN(TRIM(C632)),
CLEAN(TRIM(REPORTE_DROPI!E:E)),
0
)
),
""
)
</f>
        <v>4161918</v>
      </c>
      <c r="U632" s="118">
        <v>6.417660084268E12</v>
      </c>
      <c r="V632" s="78"/>
      <c r="W632" s="78"/>
      <c r="X632" s="78"/>
      <c r="Y632" s="78"/>
      <c r="Z632" s="78"/>
    </row>
    <row r="633" ht="22.5" customHeight="1">
      <c r="A633" s="118">
        <v>632.0</v>
      </c>
      <c r="B633" s="119">
        <v>46037.0</v>
      </c>
      <c r="C633" s="126" t="s">
        <v>4978</v>
      </c>
      <c r="D633" s="118" t="str">
        <f>IFERROR(__xludf.DUMMYFUNCTION("IFERROR(
  INDEX(
    FILTER(
      'NOMBRE DE PRODUCTOS'!B:B,
      REGEXMATCH(
        UPPER(
          INDEX(
            REPORTE_DROPI!AC:AC,
            MATCH(T633, REPORTE_DROPI!B:B, 0)
          )
        ),
        UPPER('NOMBRE DE PRODUCTOS'!A:A)"&amp;"
      )
    ),
    1
  ),
  ""REVISAR""
)
"),"Cuchillo Tazaki™")</f>
        <v>Cuchillo Tazaki™</v>
      </c>
      <c r="E633" s="120" t="str">
        <f t="array" ref="E633">IF(
UPPER(TRIM(CLEAN($O633)))="ENTREGADO",
IFERROR(
INDEX(REPORTE_DROPI!Y:Y,
MATCH($T633, REPORTE_DROPI!B:B, 0)
),
""
),
""
)
</f>
        <v/>
      </c>
      <c r="F633" s="121">
        <v>2.0</v>
      </c>
      <c r="G633" s="122" t="str">
        <f t="array" ref="G633">IF(
UPPER(TRIM(CLEAN($O633)))="ENTREGADO",
IFERROR(
INDEX(REPORTE_DROPI!R:R,
MATCH($T633, REPORTE_DROPI!B:B, 0)
),
""
),
""
)
</f>
        <v/>
      </c>
      <c r="H633" s="118" t="s">
        <v>3727</v>
      </c>
      <c r="I633" s="118" t="s">
        <v>3731</v>
      </c>
      <c r="J633" s="121" t="str">
        <f t="array" ref="J633">IF(
UPPER(TRIM(CLEAN($O633)))="ENTREGADO",
IFERROR(
INDEX(REPORTE_DROPI!T:T,
MATCH($T633, REPORTE_DROPI!B:B, 0)
),
""
),
""
)
</f>
        <v/>
      </c>
      <c r="K633" s="118" t="str">
        <f t="array" ref="K633">IFERROR(
INDEX(REPORTE_DROPI!S:S,
MATCH($T633, REPORTE_DROPI!B:B, 0)
),
""
)
</f>
        <v/>
      </c>
      <c r="L633" s="118">
        <f>IF(
  O633&lt;&gt;"DEVOLUCION",
  "",
  IF(
    T633="",
    "",
    SUMIF(DEVOLUCION!F:F, T633, DEVOLUCION!D:D)
  )
)
</f>
        <v>5.07</v>
      </c>
      <c r="M633" s="118" t="s">
        <v>3870</v>
      </c>
      <c r="N633" s="130" t="s">
        <v>4979</v>
      </c>
      <c r="O633" s="118" t="str">
        <f t="array" ref="O633">IFERROR(
VLOOKUP(
TRIM(CLEAN(
INDEX(REPORTE_DROPI!K:K,
MATCH(T633, REPORTE_DROPI!B:B, 0)
))),
{
TRIM(CLEAN(MAPA_ESTADOS!A:A)) ,
MAPA_ESTADOS!B:B
},
2,
FALSE
),
"REVISAR"
)
</f>
        <v>DEVOLUCION</v>
      </c>
      <c r="P633" s="118"/>
      <c r="Q633" s="122">
        <f t="shared" si="1"/>
        <v>0</v>
      </c>
      <c r="R633" s="118"/>
      <c r="S633" s="118"/>
      <c r="T633" s="118">
        <f t="array" ref="T633">IFERROR(
INDEX(REPORTE_DROPI!B:B,
MATCH(
CLEAN(TRIM(C633)),
CLEAN(TRIM(REPORTE_DROPI!E:E)),
0
)
),
""
)
</f>
        <v>4161945</v>
      </c>
      <c r="U633" s="118">
        <v>6.41766594974E12</v>
      </c>
      <c r="V633" s="78"/>
      <c r="W633" s="78"/>
      <c r="X633" s="78"/>
      <c r="Y633" s="78"/>
      <c r="Z633" s="78"/>
    </row>
    <row r="634" ht="22.5" customHeight="1">
      <c r="A634" s="118">
        <v>633.0</v>
      </c>
      <c r="B634" s="119">
        <v>46037.0</v>
      </c>
      <c r="C634" s="118" t="s">
        <v>4980</v>
      </c>
      <c r="D634" s="118" t="str">
        <f>IFERROR(__xludf.DUMMYFUNCTION("IFERROR(
  INDEX(
    FILTER(
      'NOMBRE DE PRODUCTOS'!B:B,
      REGEXMATCH(
        UPPER(
          INDEX(
            REPORTE_DROPI!AC:AC,
            MATCH(T634, REPORTE_DROPI!B:B, 0)
          )
        ),
        UPPER('NOMBRE DE PRODUCTOS'!A:A)"&amp;"
      )
    ),
    1
  ),
  ""REVISAR""
)
"),"FilmPro®")</f>
        <v>FilmPro®</v>
      </c>
      <c r="E634" s="120">
        <f t="array" ref="E634">IF(
UPPER(TRIM(CLEAN($O634)))="ENTREGADO",
IFERROR(
INDEX(REPORTE_DROPI!Y:Y,
MATCH($T634, REPORTE_DROPI!B:B, 0)
),
""
),
""
)
</f>
        <v>2.35</v>
      </c>
      <c r="F634" s="121">
        <v>1.0</v>
      </c>
      <c r="G634" s="122">
        <f t="array" ref="G634">IF(
UPPER(TRIM(CLEAN($O634)))="ENTREGADO",
IFERROR(
INDEX(REPORTE_DROPI!R:R,
MATCH($T634, REPORTE_DROPI!B:B, 0)
),
""
),
""
)
</f>
        <v>20</v>
      </c>
      <c r="H634" s="118" t="s">
        <v>3727</v>
      </c>
      <c r="I634" s="118" t="s">
        <v>3801</v>
      </c>
      <c r="J634" s="121">
        <f t="array" ref="J634">IF(
UPPER(TRIM(CLEAN($O634)))="ENTREGADO",
IFERROR(
INDEX(REPORTE_DROPI!T:T,
MATCH($T634, REPORTE_DROPI!B:B, 0)
),
""
),
""
)
</f>
        <v>5.76</v>
      </c>
      <c r="K634" s="118">
        <f t="array" ref="K634">IFERROR(
INDEX(REPORTE_DROPI!S:S,
MATCH($T634, REPORTE_DROPI!B:B, 0)
),
""
)
</f>
        <v>11.89</v>
      </c>
      <c r="L634" s="118" t="str">
        <f>IF(
  O634&lt;&gt;"DEVOLUCION",
  "",
  IF(
    T634="",
    "",
    SUMIF(DEVOLUCION!F:F, T634, DEVOLUCION!D:D)
  )
)
</f>
        <v/>
      </c>
      <c r="M634" s="118" t="s">
        <v>3870</v>
      </c>
      <c r="N634" s="130" t="s">
        <v>4981</v>
      </c>
      <c r="O634" s="118" t="str">
        <f t="array" ref="O634">IFERROR(
VLOOKUP(
TRIM(CLEAN(
INDEX(REPORTE_DROPI!K:K,
MATCH(T634, REPORTE_DROPI!B:B, 0)
))),
{
TRIM(CLEAN(MAPA_ESTADOS!A:A)) ,
MAPA_ESTADOS!B:B
},
2,
FALSE
),
"REVISAR"
)
</f>
        <v>ENTREGADO</v>
      </c>
      <c r="P634" s="118"/>
      <c r="Q634" s="122">
        <f t="shared" si="1"/>
        <v>0</v>
      </c>
      <c r="R634" s="118"/>
      <c r="S634" s="118"/>
      <c r="T634" s="118">
        <f t="array" ref="T634">IFERROR(
INDEX(REPORTE_DROPI!B:B,
MATCH(
CLEAN(TRIM(C634)),
CLEAN(TRIM(REPORTE_DROPI!E:E)),
0
)
),
""
)
</f>
        <v>4162060</v>
      </c>
      <c r="U634" s="118">
        <v>6.41769150878E12</v>
      </c>
      <c r="V634" s="78"/>
      <c r="W634" s="78"/>
      <c r="X634" s="78"/>
      <c r="Y634" s="78"/>
      <c r="Z634" s="78"/>
    </row>
    <row r="635" ht="22.5" customHeight="1">
      <c r="A635" s="118">
        <v>634.0</v>
      </c>
      <c r="B635" s="119">
        <v>46037.0</v>
      </c>
      <c r="C635" s="126" t="s">
        <v>4982</v>
      </c>
      <c r="D635" s="118" t="str">
        <f>IFERROR(__xludf.DUMMYFUNCTION("IFERROR(
  INDEX(
    FILTER(
      'NOMBRE DE PRODUCTOS'!B:B,
      REGEXMATCH(
        UPPER(
          INDEX(
            REPORTE_DROPI!AC:AC,
            MATCH(T635, REPORTE_DROPI!B:B, 0)
          )
        ),
        UPPER('NOMBRE DE PRODUCTOS'!A:A)"&amp;"
      )
    ),
    1
  ),
  ""REVISAR""
)
"),"Cuchillo Tazaki™")</f>
        <v>Cuchillo Tazaki™</v>
      </c>
      <c r="E635" s="120" t="str">
        <f t="array" ref="E635">IF(
UPPER(TRIM(CLEAN($O635)))="ENTREGADO",
IFERROR(
INDEX(REPORTE_DROPI!Y:Y,
MATCH($T635, REPORTE_DROPI!B:B, 0)
),
""
),
""
)
</f>
        <v/>
      </c>
      <c r="F635" s="121">
        <v>2.0</v>
      </c>
      <c r="G635" s="122" t="str">
        <f t="array" ref="G635">IF(
UPPER(TRIM(CLEAN($O635)))="ENTREGADO",
IFERROR(
INDEX(REPORTE_DROPI!R:R,
MATCH($T635, REPORTE_DROPI!B:B, 0)
),
""
),
""
)
</f>
        <v/>
      </c>
      <c r="H635" s="118" t="s">
        <v>3727</v>
      </c>
      <c r="I635" s="118" t="s">
        <v>3759</v>
      </c>
      <c r="J635" s="121" t="str">
        <f t="array" ref="J635">IF(
UPPER(TRIM(CLEAN($O635)))="ENTREGADO",
IFERROR(
INDEX(REPORTE_DROPI!T:T,
MATCH($T635, REPORTE_DROPI!B:B, 0)
),
""
),
""
)
</f>
        <v/>
      </c>
      <c r="K635" s="118" t="str">
        <f t="array" ref="K635">IFERROR(
INDEX(REPORTE_DROPI!S:S,
MATCH($T635, REPORTE_DROPI!B:B, 0)
),
""
)
</f>
        <v/>
      </c>
      <c r="L635" s="118" t="str">
        <f>IF(
  O635&lt;&gt;"DEVOLUCION",
  "",
  IF(
    T635="",
    "",
    SUMIF(DEVOLUCION!F:F, T635, DEVOLUCION!D:D)
  )
)
</f>
        <v/>
      </c>
      <c r="M635" s="118" t="s">
        <v>3870</v>
      </c>
      <c r="N635" s="130" t="s">
        <v>4983</v>
      </c>
      <c r="O635" s="118" t="str">
        <f t="array" ref="O635">IFERROR(
VLOOKUP(
TRIM(CLEAN(
INDEX(REPORTE_DROPI!K:K,
MATCH(T635, REPORTE_DROPI!B:B, 0)
))),
{
TRIM(CLEAN(MAPA_ESTADOS!A:A)) ,
MAPA_ESTADOS!B:B
},
2,
FALSE
),
"REVISAR"
)
</f>
        <v>PENDIENTE</v>
      </c>
      <c r="P635" s="118" t="s">
        <v>4892</v>
      </c>
      <c r="Q635" s="122">
        <f t="shared" si="1"/>
        <v>0</v>
      </c>
      <c r="R635" s="118"/>
      <c r="S635" s="118"/>
      <c r="T635" s="118">
        <f t="array" ref="T635">IFERROR(
INDEX(REPORTE_DROPI!B:B,
MATCH(
CLEAN(TRIM(C635)),
CLEAN(TRIM(REPORTE_DROPI!E:E)),
0
)
),
""
)
</f>
        <v>4162104</v>
      </c>
      <c r="U635" s="118">
        <v>6.41769724318E12</v>
      </c>
      <c r="V635" s="78"/>
      <c r="W635" s="78"/>
      <c r="X635" s="78"/>
      <c r="Y635" s="78"/>
      <c r="Z635" s="78"/>
    </row>
    <row r="636" ht="22.5" customHeight="1">
      <c r="A636" s="118">
        <v>635.0</v>
      </c>
      <c r="B636" s="119">
        <v>46037.0</v>
      </c>
      <c r="C636" s="126" t="s">
        <v>4984</v>
      </c>
      <c r="D636" s="118" t="str">
        <f>IFERROR(__xludf.DUMMYFUNCTION("IFERROR(
  INDEX(
    FILTER(
      'NOMBRE DE PRODUCTOS'!B:B,
      REGEXMATCH(
        UPPER(
          INDEX(
            REPORTE_DROPI!AC:AC,
            MATCH(T636, REPORTE_DROPI!B:B, 0)
          )
        ),
        UPPER('NOMBRE DE PRODUCTOS'!A:A)"&amp;"
      )
    ),
    1
  ),
  ""REVISAR""
)
"),"Cuchillo Tazaki™")</f>
        <v>Cuchillo Tazaki™</v>
      </c>
      <c r="E636" s="120" t="str">
        <f t="array" ref="E636">IF(
UPPER(TRIM(CLEAN($O636)))="ENTREGADO",
IFERROR(
INDEX(REPORTE_DROPI!Y:Y,
MATCH($T636, REPORTE_DROPI!B:B, 0)
),
""
),
""
)
</f>
        <v/>
      </c>
      <c r="F636" s="121">
        <v>2.0</v>
      </c>
      <c r="G636" s="122" t="str">
        <f t="array" ref="G636">IF(
UPPER(TRIM(CLEAN($O636)))="ENTREGADO",
IFERROR(
INDEX(REPORTE_DROPI!R:R,
MATCH($T636, REPORTE_DROPI!B:B, 0)
),
""
),
""
)
</f>
        <v/>
      </c>
      <c r="H636" s="118" t="s">
        <v>3727</v>
      </c>
      <c r="I636" s="118" t="s">
        <v>3912</v>
      </c>
      <c r="J636" s="121" t="str">
        <f t="array" ref="J636">IF(
UPPER(TRIM(CLEAN($O636)))="ENTREGADO",
IFERROR(
INDEX(REPORTE_DROPI!T:T,
MATCH($T636, REPORTE_DROPI!B:B, 0)
),
""
),
""
)
</f>
        <v/>
      </c>
      <c r="K636" s="118" t="str">
        <f t="array" ref="K636">IFERROR(
INDEX(REPORTE_DROPI!S:S,
MATCH($T636, REPORTE_DROPI!B:B, 0)
),
""
)
</f>
        <v/>
      </c>
      <c r="L636" s="118">
        <f>IF(
  O636&lt;&gt;"DEVOLUCION",
  "",
  IF(
    T636="",
    "",
    SUMIF(DEVOLUCION!F:F, T636, DEVOLUCION!D:D)
  )
)
</f>
        <v>5.07</v>
      </c>
      <c r="M636" s="118" t="s">
        <v>3870</v>
      </c>
      <c r="N636" s="130" t="s">
        <v>4985</v>
      </c>
      <c r="O636" s="118" t="str">
        <f t="array" ref="O636">IFERROR(
VLOOKUP(
TRIM(CLEAN(
INDEX(REPORTE_DROPI!K:K,
MATCH(T636, REPORTE_DROPI!B:B, 0)
))),
{
TRIM(CLEAN(MAPA_ESTADOS!A:A)) ,
MAPA_ESTADOS!B:B
},
2,
FALSE
),
"REVISAR"
)
</f>
        <v>DEVOLUCION</v>
      </c>
      <c r="P636" s="118"/>
      <c r="Q636" s="122">
        <f t="shared" si="1"/>
        <v>0</v>
      </c>
      <c r="R636" s="118"/>
      <c r="S636" s="118"/>
      <c r="T636" s="118">
        <f t="array" ref="T636">IFERROR(
INDEX(REPORTE_DROPI!B:B,
MATCH(
CLEAN(TRIM(C636)),
CLEAN(TRIM(REPORTE_DROPI!E:E)),
0
)
),
""
)
</f>
        <v>4162280</v>
      </c>
      <c r="U636" s="118">
        <v>6.417730306092E12</v>
      </c>
      <c r="V636" s="78"/>
      <c r="W636" s="78"/>
      <c r="X636" s="78"/>
      <c r="Y636" s="78"/>
      <c r="Z636" s="78"/>
    </row>
    <row r="637" ht="22.5" customHeight="1">
      <c r="A637" s="118">
        <v>636.0</v>
      </c>
      <c r="B637" s="119">
        <v>46037.0</v>
      </c>
      <c r="C637" s="126" t="s">
        <v>4986</v>
      </c>
      <c r="D637" s="118" t="str">
        <f>IFERROR(__xludf.DUMMYFUNCTION("IFERROR(
  INDEX(
    FILTER(
      'NOMBRE DE PRODUCTOS'!B:B,
      REGEXMATCH(
        UPPER(
          INDEX(
            REPORTE_DROPI!AC:AC,
            MATCH(T637, REPORTE_DROPI!B:B, 0)
          )
        ),
        UPPER('NOMBRE DE PRODUCTOS'!A:A)"&amp;"
      )
    ),
    1
  ),
  ""REVISAR""
)
"),"FilmPro®")</f>
        <v>FilmPro®</v>
      </c>
      <c r="E637" s="120" t="str">
        <f t="array" ref="E637">IF(
UPPER(TRIM(CLEAN($O637)))="ENTREGADO",
IFERROR(
INDEX(REPORTE_DROPI!Y:Y,
MATCH($T637, REPORTE_DROPI!B:B, 0)
),
""
),
""
)
</f>
        <v/>
      </c>
      <c r="F637" s="121">
        <v>2.0</v>
      </c>
      <c r="G637" s="122" t="str">
        <f t="array" ref="G637">IF(
UPPER(TRIM(CLEAN($O637)))="ENTREGADO",
IFERROR(
INDEX(REPORTE_DROPI!R:R,
MATCH($T637, REPORTE_DROPI!B:B, 0)
),
""
),
""
)
</f>
        <v/>
      </c>
      <c r="H637" s="118" t="s">
        <v>3727</v>
      </c>
      <c r="I637" s="118" t="s">
        <v>3772</v>
      </c>
      <c r="J637" s="121" t="str">
        <f t="array" ref="J637">IF(
UPPER(TRIM(CLEAN($O637)))="ENTREGADO",
IFERROR(
INDEX(REPORTE_DROPI!T:T,
MATCH($T637, REPORTE_DROPI!B:B, 0)
),
""
),
""
)
</f>
        <v/>
      </c>
      <c r="K637" s="118" t="str">
        <f t="array" ref="K637">IFERROR(
INDEX(REPORTE_DROPI!S:S,
MATCH($T637, REPORTE_DROPI!B:B, 0)
),
""
)
</f>
        <v/>
      </c>
      <c r="L637" s="118" t="str">
        <f>IF(
  O637&lt;&gt;"DEVOLUCION",
  "",
  IF(
    T637="",
    "",
    SUMIF(DEVOLUCION!F:F, T637, DEVOLUCION!D:D)
  )
)
</f>
        <v/>
      </c>
      <c r="M637" s="118" t="s">
        <v>3870</v>
      </c>
      <c r="N637" s="130" t="s">
        <v>4987</v>
      </c>
      <c r="O637" s="118" t="str">
        <f t="array" ref="O637">IFERROR(
VLOOKUP(
TRIM(CLEAN(
INDEX(REPORTE_DROPI!K:K,
MATCH(T637, REPORTE_DROPI!B:B, 0)
))),
{
TRIM(CLEAN(MAPA_ESTADOS!A:A)) ,
MAPA_ESTADOS!B:B
},
2,
FALSE
),
"REVISAR"
)
</f>
        <v>PENDIENTE</v>
      </c>
      <c r="P637" s="118" t="s">
        <v>4892</v>
      </c>
      <c r="Q637" s="122">
        <f t="shared" si="1"/>
        <v>0</v>
      </c>
      <c r="R637" s="118"/>
      <c r="S637" s="118"/>
      <c r="T637" s="118">
        <f t="array" ref="T637">IFERROR(
INDEX(REPORTE_DROPI!B:B,
MATCH(
CLEAN(TRIM(C637)),
CLEAN(TRIM(REPORTE_DROPI!E:E)),
0
)
),
""
)
</f>
        <v>4162282</v>
      </c>
      <c r="U637" s="118">
        <v>6.417730764844E12</v>
      </c>
      <c r="V637" s="78"/>
      <c r="W637" s="78"/>
      <c r="X637" s="78"/>
      <c r="Y637" s="78"/>
      <c r="Z637" s="78"/>
    </row>
    <row r="638" ht="22.5" customHeight="1">
      <c r="A638" s="118">
        <v>637.0</v>
      </c>
      <c r="B638" s="119">
        <v>46037.0</v>
      </c>
      <c r="C638" s="118" t="s">
        <v>4988</v>
      </c>
      <c r="D638" s="118" t="str">
        <f>IFERROR(__xludf.DUMMYFUNCTION("IFERROR(
  INDEX(
    FILTER(
      'NOMBRE DE PRODUCTOS'!B:B,
      REGEXMATCH(
        UPPER(
          INDEX(
            REPORTE_DROPI!AC:AC,
            MATCH(T638, REPORTE_DROPI!B:B, 0)
          )
        ),
        UPPER('NOMBRE DE PRODUCTOS'!A:A)"&amp;"
      )
    ),
    1
  ),
  ""REVISAR""
)
"),"Cuchillo Tazaki™")</f>
        <v>Cuchillo Tazaki™</v>
      </c>
      <c r="E638" s="120">
        <f t="array" ref="E638">IF(
UPPER(TRIM(CLEAN($O638)))="ENTREGADO",
IFERROR(
INDEX(REPORTE_DROPI!Y:Y,
MATCH($T638, REPORTE_DROPI!B:B, 0)
),
""
),
""
)
</f>
        <v>5.2</v>
      </c>
      <c r="F638" s="121">
        <v>2.0</v>
      </c>
      <c r="G638" s="122">
        <f t="array" ref="G638">IF(
UPPER(TRIM(CLEAN($O638)))="ENTREGADO",
IFERROR(
INDEX(REPORTE_DROPI!R:R,
MATCH($T638, REPORTE_DROPI!B:B, 0)
),
""
),
""
)
</f>
        <v>22</v>
      </c>
      <c r="H638" s="118" t="s">
        <v>3727</v>
      </c>
      <c r="I638" s="118" t="s">
        <v>3728</v>
      </c>
      <c r="J638" s="121">
        <f t="array" ref="J638">IF(
UPPER(TRIM(CLEAN($O638)))="ENTREGADO",
IFERROR(
INDEX(REPORTE_DROPI!T:T,
MATCH($T638, REPORTE_DROPI!B:B, 0)
),
""
),
""
)
</f>
        <v>5.84</v>
      </c>
      <c r="K638" s="118">
        <f t="array" ref="K638">IFERROR(
INDEX(REPORTE_DROPI!S:S,
MATCH($T638, REPORTE_DROPI!B:B, 0)
),
""
)
</f>
        <v>10.96</v>
      </c>
      <c r="L638" s="118" t="str">
        <f>IF(
  O638&lt;&gt;"DEVOLUCION",
  "",
  IF(
    T638="",
    "",
    SUMIF(DEVOLUCION!F:F, T638, DEVOLUCION!D:D)
  )
)
</f>
        <v/>
      </c>
      <c r="M638" s="118" t="s">
        <v>3870</v>
      </c>
      <c r="N638" s="130" t="s">
        <v>4989</v>
      </c>
      <c r="O638" s="118" t="str">
        <f t="array" ref="O638">IFERROR(
VLOOKUP(
TRIM(CLEAN(
INDEX(REPORTE_DROPI!K:K,
MATCH(T638, REPORTE_DROPI!B:B, 0)
))),
{
TRIM(CLEAN(MAPA_ESTADOS!A:A)) ,
MAPA_ESTADOS!B:B
},
2,
FALSE
),
"REVISAR"
)
</f>
        <v>ENTREGADO</v>
      </c>
      <c r="P638" s="118"/>
      <c r="Q638" s="122">
        <f t="shared" si="1"/>
        <v>0</v>
      </c>
      <c r="R638" s="118"/>
      <c r="S638" s="118"/>
      <c r="T638" s="118">
        <f t="array" ref="T638">IFERROR(
INDEX(REPORTE_DROPI!B:B,
MATCH(
CLEAN(TRIM(C638)),
CLEAN(TRIM(REPORTE_DROPI!E:E)),
0
)
),
""
)
</f>
        <v>4162316</v>
      </c>
      <c r="U638" s="118">
        <v>6.417740562476E12</v>
      </c>
      <c r="V638" s="78"/>
      <c r="W638" s="78"/>
      <c r="X638" s="78"/>
      <c r="Y638" s="78"/>
      <c r="Z638" s="78"/>
    </row>
    <row r="639" ht="22.5" customHeight="1">
      <c r="A639" s="118">
        <v>638.0</v>
      </c>
      <c r="B639" s="119">
        <v>46037.0</v>
      </c>
      <c r="C639" s="118" t="s">
        <v>4990</v>
      </c>
      <c r="D639" s="118" t="str">
        <f>IFERROR(__xludf.DUMMYFUNCTION("IFERROR(
  INDEX(
    FILTER(
      'NOMBRE DE PRODUCTOS'!B:B,
      REGEXMATCH(
        UPPER(
          INDEX(
            REPORTE_DROPI!AC:AC,
            MATCH(T639, REPORTE_DROPI!B:B, 0)
          )
        ),
        UPPER('NOMBRE DE PRODUCTOS'!A:A)"&amp;"
      )
    ),
    1
  ),
  ""REVISAR""
)
"),"Cuchillo Tazaki™")</f>
        <v>Cuchillo Tazaki™</v>
      </c>
      <c r="E639" s="120">
        <f t="array" ref="E639">IF(
UPPER(TRIM(CLEAN($O639)))="ENTREGADO",
IFERROR(
INDEX(REPORTE_DROPI!Y:Y,
MATCH($T639, REPORTE_DROPI!B:B, 0)
),
""
),
""
)
</f>
        <v>5.2</v>
      </c>
      <c r="F639" s="121">
        <v>2.0</v>
      </c>
      <c r="G639" s="122">
        <f t="array" ref="G639">IF(
UPPER(TRIM(CLEAN($O639)))="ENTREGADO",
IFERROR(
INDEX(REPORTE_DROPI!R:R,
MATCH($T639, REPORTE_DROPI!B:B, 0)
),
""
),
""
)
</f>
        <v>22</v>
      </c>
      <c r="H639" s="118" t="s">
        <v>3727</v>
      </c>
      <c r="I639" s="118" t="s">
        <v>3740</v>
      </c>
      <c r="J639" s="121">
        <f t="array" ref="J639">IF(
UPPER(TRIM(CLEAN($O639)))="ENTREGADO",
IFERROR(
INDEX(REPORTE_DROPI!T:T,
MATCH($T639, REPORTE_DROPI!B:B, 0)
),
""
),
""
)
</f>
        <v>4.23</v>
      </c>
      <c r="K639" s="118">
        <f t="array" ref="K639">IFERROR(
INDEX(REPORTE_DROPI!S:S,
MATCH($T639, REPORTE_DROPI!B:B, 0)
),
""
)
</f>
        <v>12.57</v>
      </c>
      <c r="L639" s="118" t="str">
        <f>IF(
  O639&lt;&gt;"DEVOLUCION",
  "",
  IF(
    T639="",
    "",
    SUMIF(DEVOLUCION!F:F, T639, DEVOLUCION!D:D)
  )
)
</f>
        <v/>
      </c>
      <c r="M639" s="118" t="s">
        <v>3870</v>
      </c>
      <c r="N639" s="130" t="s">
        <v>4991</v>
      </c>
      <c r="O639" s="118" t="str">
        <f t="array" ref="O639">IFERROR(
VLOOKUP(
TRIM(CLEAN(
INDEX(REPORTE_DROPI!K:K,
MATCH(T639, REPORTE_DROPI!B:B, 0)
))),
{
TRIM(CLEAN(MAPA_ESTADOS!A:A)) ,
MAPA_ESTADOS!B:B
},
2,
FALSE
),
"REVISAR"
)
</f>
        <v>ENTREGADO</v>
      </c>
      <c r="P639" s="118"/>
      <c r="Q639" s="122">
        <f t="shared" si="1"/>
        <v>0</v>
      </c>
      <c r="R639" s="118"/>
      <c r="S639" s="118"/>
      <c r="T639" s="118">
        <f t="array" ref="T639">IFERROR(
INDEX(REPORTE_DROPI!B:B,
MATCH(
CLEAN(TRIM(C639)),
CLEAN(TRIM(REPORTE_DROPI!E:E)),
0
)
),
""
)
</f>
        <v>4162745</v>
      </c>
      <c r="U639" s="118">
        <v>6.417813766188E12</v>
      </c>
      <c r="V639" s="78"/>
      <c r="W639" s="78"/>
      <c r="X639" s="78"/>
      <c r="Y639" s="78"/>
      <c r="Z639" s="78"/>
    </row>
    <row r="640" ht="22.5" customHeight="1">
      <c r="A640" s="118">
        <v>639.0</v>
      </c>
      <c r="B640" s="119">
        <v>46037.0</v>
      </c>
      <c r="C640" s="118" t="s">
        <v>4992</v>
      </c>
      <c r="D640" s="118" t="str">
        <f>IFERROR(__xludf.DUMMYFUNCTION("IFERROR(
  INDEX(
    FILTER(
      'NOMBRE DE PRODUCTOS'!B:B,
      REGEXMATCH(
        UPPER(
          INDEX(
            REPORTE_DROPI!AC:AC,
            MATCH(T640, REPORTE_DROPI!B:B, 0)
          )
        ),
        UPPER('NOMBRE DE PRODUCTOS'!A:A)"&amp;"
      )
    ),
    1
  ),
  ""REVISAR""
)
"),"FilmPro®")</f>
        <v>FilmPro®</v>
      </c>
      <c r="E640" s="120">
        <f t="array" ref="E640">IF(
UPPER(TRIM(CLEAN($O640)))="ENTREGADO",
IFERROR(
INDEX(REPORTE_DROPI!Y:Y,
MATCH($T640, REPORTE_DROPI!B:B, 0)
),
""
),
""
)
</f>
        <v>4.7</v>
      </c>
      <c r="F640" s="121">
        <v>2.0</v>
      </c>
      <c r="G640" s="122">
        <f t="array" ref="G640">IF(
UPPER(TRIM(CLEAN($O640)))="ENTREGADO",
IFERROR(
INDEX(REPORTE_DROPI!R:R,
MATCH($T640, REPORTE_DROPI!B:B, 0)
),
""
),
""
)
</f>
        <v>25</v>
      </c>
      <c r="H640" s="118" t="s">
        <v>3727</v>
      </c>
      <c r="I640" s="118" t="s">
        <v>3740</v>
      </c>
      <c r="J640" s="121">
        <f t="array" ref="J640">IF(
UPPER(TRIM(CLEAN($O640)))="ENTREGADO",
IFERROR(
INDEX(REPORTE_DROPI!T:T,
MATCH($T640, REPORTE_DROPI!B:B, 0)
),
""
),
""
)
</f>
        <v>5.96</v>
      </c>
      <c r="K640" s="118">
        <f t="array" ref="K640">IFERROR(
INDEX(REPORTE_DROPI!S:S,
MATCH($T640, REPORTE_DROPI!B:B, 0)
),
""
)
</f>
        <v>14.34</v>
      </c>
      <c r="L640" s="118" t="str">
        <f>IF(
  O640&lt;&gt;"DEVOLUCION",
  "",
  IF(
    T640="",
    "",
    SUMIF(DEVOLUCION!F:F, T640, DEVOLUCION!D:D)
  )
)
</f>
        <v/>
      </c>
      <c r="M640" s="118" t="s">
        <v>3870</v>
      </c>
      <c r="N640" s="130" t="s">
        <v>4993</v>
      </c>
      <c r="O640" s="118" t="str">
        <f t="array" ref="O640">IFERROR(
VLOOKUP(
TRIM(CLEAN(
INDEX(REPORTE_DROPI!K:K,
MATCH(T640, REPORTE_DROPI!B:B, 0)
))),
{
TRIM(CLEAN(MAPA_ESTADOS!A:A)) ,
MAPA_ESTADOS!B:B
},
2,
FALSE
),
"REVISAR"
)
</f>
        <v>ENTREGADO</v>
      </c>
      <c r="P640" s="118"/>
      <c r="Q640" s="122">
        <f t="shared" si="1"/>
        <v>0</v>
      </c>
      <c r="R640" s="118"/>
      <c r="S640" s="118"/>
      <c r="T640" s="118">
        <f t="array" ref="T640">IFERROR(
INDEX(REPORTE_DROPI!B:B,
MATCH(
CLEAN(TRIM(C640)),
CLEAN(TRIM(REPORTE_DROPI!E:E)),
0
)
),
""
)
</f>
        <v>4162820</v>
      </c>
      <c r="U640" s="118">
        <v>6.417827233836E12</v>
      </c>
      <c r="V640" s="78"/>
      <c r="W640" s="78"/>
      <c r="X640" s="78"/>
      <c r="Y640" s="78"/>
      <c r="Z640" s="78"/>
    </row>
    <row r="641" ht="22.5" customHeight="1">
      <c r="A641" s="118">
        <v>640.0</v>
      </c>
      <c r="B641" s="119">
        <v>46037.0</v>
      </c>
      <c r="C641" s="118" t="s">
        <v>4994</v>
      </c>
      <c r="D641" s="118" t="str">
        <f>IFERROR(__xludf.DUMMYFUNCTION("IFERROR(
  INDEX(
    FILTER(
      'NOMBRE DE PRODUCTOS'!B:B,
      REGEXMATCH(
        UPPER(
          INDEX(
            REPORTE_DROPI!AC:AC,
            MATCH(T641, REPORTE_DROPI!B:B, 0)
          )
        ),
        UPPER('NOMBRE DE PRODUCTOS'!A:A)"&amp;"
      )
    ),
    1
  ),
  ""REVISAR""
)
"),"FilmPro®")</f>
        <v>FilmPro®</v>
      </c>
      <c r="E641" s="120">
        <f t="array" ref="E641">IF(
UPPER(TRIM(CLEAN($O641)))="ENTREGADO",
IFERROR(
INDEX(REPORTE_DROPI!Y:Y,
MATCH($T641, REPORTE_DROPI!B:B, 0)
),
""
),
""
)
</f>
        <v>4.7</v>
      </c>
      <c r="F641" s="121">
        <v>2.0</v>
      </c>
      <c r="G641" s="122">
        <f t="array" ref="G641">IF(
UPPER(TRIM(CLEAN($O641)))="ENTREGADO",
IFERROR(
INDEX(REPORTE_DROPI!R:R,
MATCH($T641, REPORTE_DROPI!B:B, 0)
),
""
),
""
)
</f>
        <v>25</v>
      </c>
      <c r="H641" s="118" t="s">
        <v>3727</v>
      </c>
      <c r="I641" s="118" t="s">
        <v>3801</v>
      </c>
      <c r="J641" s="121">
        <f t="array" ref="J641">IF(
UPPER(TRIM(CLEAN($O641)))="ENTREGADO",
IFERROR(
INDEX(REPORTE_DROPI!T:T,
MATCH($T641, REPORTE_DROPI!B:B, 0)
),
""
),
""
)
</f>
        <v>5.96</v>
      </c>
      <c r="K641" s="118">
        <f t="array" ref="K641">IFERROR(
INDEX(REPORTE_DROPI!S:S,
MATCH($T641, REPORTE_DROPI!B:B, 0)
),
""
)
</f>
        <v>14.34</v>
      </c>
      <c r="L641" s="118" t="str">
        <f>IF(
  O641&lt;&gt;"DEVOLUCION",
  "",
  IF(
    T641="",
    "",
    SUMIF(DEVOLUCION!F:F, T641, DEVOLUCION!D:D)
  )
)
</f>
        <v/>
      </c>
      <c r="M641" s="118" t="s">
        <v>3870</v>
      </c>
      <c r="N641" s="130" t="s">
        <v>4995</v>
      </c>
      <c r="O641" s="118" t="str">
        <f t="array" ref="O641">IFERROR(
VLOOKUP(
TRIM(CLEAN(
INDEX(REPORTE_DROPI!K:K,
MATCH(T641, REPORTE_DROPI!B:B, 0)
))),
{
TRIM(CLEAN(MAPA_ESTADOS!A:A)) ,
MAPA_ESTADOS!B:B
},
2,
FALSE
),
"REVISAR"
)
</f>
        <v>ENTREGADO</v>
      </c>
      <c r="P641" s="118"/>
      <c r="Q641" s="122">
        <f t="shared" si="1"/>
        <v>0</v>
      </c>
      <c r="R641" s="118"/>
      <c r="S641" s="118"/>
      <c r="T641" s="118">
        <f t="array" ref="T641">IFERROR(
INDEX(REPORTE_DROPI!B:B,
MATCH(
CLEAN(TRIM(C641)),
CLEAN(TRIM(REPORTE_DROPI!E:E)),
0
)
),
""
)
</f>
        <v>4163040</v>
      </c>
      <c r="U641" s="118">
        <v>6.41787156894E12</v>
      </c>
      <c r="V641" s="78"/>
      <c r="W641" s="78"/>
      <c r="X641" s="78"/>
      <c r="Y641" s="78"/>
      <c r="Z641" s="78"/>
    </row>
    <row r="642" ht="22.5" customHeight="1">
      <c r="A642" s="118">
        <v>641.0</v>
      </c>
      <c r="B642" s="119">
        <v>46037.0</v>
      </c>
      <c r="C642" s="126" t="s">
        <v>4996</v>
      </c>
      <c r="D642" s="118" t="str">
        <f>IFERROR(__xludf.DUMMYFUNCTION("IFERROR(
  INDEX(
    FILTER(
      'NOMBRE DE PRODUCTOS'!B:B,
      REGEXMATCH(
        UPPER(
          INDEX(
            REPORTE_DROPI!AC:AC,
            MATCH(T642, REPORTE_DROPI!B:B, 0)
          )
        ),
        UPPER('NOMBRE DE PRODUCTOS'!A:A)"&amp;"
      )
    ),
    1
  ),
  ""REVISAR""
)
"),"FilmPro®")</f>
        <v>FilmPro®</v>
      </c>
      <c r="E642" s="120" t="str">
        <f t="array" ref="E642">IF(
UPPER(TRIM(CLEAN($O642)))="ENTREGADO",
IFERROR(
INDEX(REPORTE_DROPI!Y:Y,
MATCH($T642, REPORTE_DROPI!B:B, 0)
),
""
),
""
)
</f>
        <v/>
      </c>
      <c r="F642" s="121">
        <v>2.0</v>
      </c>
      <c r="G642" s="122" t="str">
        <f t="array" ref="G642">IF(
UPPER(TRIM(CLEAN($O642)))="ENTREGADO",
IFERROR(
INDEX(REPORTE_DROPI!R:R,
MATCH($T642, REPORTE_DROPI!B:B, 0)
),
""
),
""
)
</f>
        <v/>
      </c>
      <c r="H642" s="118" t="s">
        <v>3727</v>
      </c>
      <c r="I642" s="118" t="s">
        <v>3772</v>
      </c>
      <c r="J642" s="121" t="str">
        <f t="array" ref="J642">IF(
UPPER(TRIM(CLEAN($O642)))="ENTREGADO",
IFERROR(
INDEX(REPORTE_DROPI!T:T,
MATCH($T642, REPORTE_DROPI!B:B, 0)
),
""
),
""
)
</f>
        <v/>
      </c>
      <c r="K642" s="118" t="str">
        <f t="array" ref="K642">IFERROR(
INDEX(REPORTE_DROPI!S:S,
MATCH($T642, REPORTE_DROPI!B:B, 0)
),
""
)
</f>
        <v/>
      </c>
      <c r="L642" s="118">
        <f>IF(
  O642&lt;&gt;"DEVOLUCION",
  "",
  IF(
    T642="",
    "",
    SUMIF(DEVOLUCION!F:F, T642, DEVOLUCION!D:D)
  )
)
</f>
        <v>5.09</v>
      </c>
      <c r="M642" s="118" t="s">
        <v>3870</v>
      </c>
      <c r="N642" s="130" t="s">
        <v>4997</v>
      </c>
      <c r="O642" s="118" t="str">
        <f t="array" ref="O642">IFERROR(
VLOOKUP(
TRIM(CLEAN(
INDEX(REPORTE_DROPI!K:K,
MATCH(T642, REPORTE_DROPI!B:B, 0)
))),
{
TRIM(CLEAN(MAPA_ESTADOS!A:A)) ,
MAPA_ESTADOS!B:B
},
2,
FALSE
),
"REVISAR"
)
</f>
        <v>DEVOLUCION</v>
      </c>
      <c r="P642" s="118"/>
      <c r="Q642" s="122">
        <f t="shared" si="1"/>
        <v>0</v>
      </c>
      <c r="R642" s="118"/>
      <c r="S642" s="118"/>
      <c r="T642" s="118">
        <f t="array" ref="T642">IFERROR(
INDEX(REPORTE_DROPI!B:B,
MATCH(
CLEAN(TRIM(C642)),
CLEAN(TRIM(REPORTE_DROPI!E:E)),
0
)
),
""
)
</f>
        <v>4163042</v>
      </c>
      <c r="U642" s="118">
        <v>6.417871765548E12</v>
      </c>
      <c r="V642" s="78"/>
      <c r="W642" s="78"/>
      <c r="X642" s="78"/>
      <c r="Y642" s="78"/>
      <c r="Z642" s="78"/>
    </row>
    <row r="643" ht="22.5" customHeight="1">
      <c r="A643" s="118">
        <v>642.0</v>
      </c>
      <c r="B643" s="119">
        <v>46037.0</v>
      </c>
      <c r="C643" s="126" t="s">
        <v>4998</v>
      </c>
      <c r="D643" s="118" t="str">
        <f>IFERROR(__xludf.DUMMYFUNCTION("IFERROR(
  INDEX(
    FILTER(
      'NOMBRE DE PRODUCTOS'!B:B,
      REGEXMATCH(
        UPPER(
          INDEX(
            REPORTE_DROPI!AC:AC,
            MATCH(T643, REPORTE_DROPI!B:B, 0)
          )
        ),
        UPPER('NOMBRE DE PRODUCTOS'!A:A)"&amp;"
      )
    ),
    1
  ),
  ""REVISAR""
)
"),"FilmPro®")</f>
        <v>FilmPro®</v>
      </c>
      <c r="E643" s="120" t="str">
        <f t="array" ref="E643">IF(
UPPER(TRIM(CLEAN($O643)))="ENTREGADO",
IFERROR(
INDEX(REPORTE_DROPI!Y:Y,
MATCH($T643, REPORTE_DROPI!B:B, 0)
),
""
),
""
)
</f>
        <v/>
      </c>
      <c r="F643" s="121">
        <v>2.0</v>
      </c>
      <c r="G643" s="122" t="str">
        <f t="array" ref="G643">IF(
UPPER(TRIM(CLEAN($O643)))="ENTREGADO",
IFERROR(
INDEX(REPORTE_DROPI!R:R,
MATCH($T643, REPORTE_DROPI!B:B, 0)
),
""
),
""
)
</f>
        <v/>
      </c>
      <c r="H643" s="118" t="s">
        <v>3727</v>
      </c>
      <c r="I643" s="118" t="s">
        <v>3801</v>
      </c>
      <c r="J643" s="121" t="str">
        <f t="array" ref="J643">IF(
UPPER(TRIM(CLEAN($O643)))="ENTREGADO",
IFERROR(
INDEX(REPORTE_DROPI!T:T,
MATCH($T643, REPORTE_DROPI!B:B, 0)
),
""
),
""
)
</f>
        <v/>
      </c>
      <c r="K643" s="118" t="str">
        <f t="array" ref="K643">IFERROR(
INDEX(REPORTE_DROPI!S:S,
MATCH($T643, REPORTE_DROPI!B:B, 0)
),
""
)
</f>
        <v/>
      </c>
      <c r="L643" s="118">
        <f>IF(
  O643&lt;&gt;"DEVOLUCION",
  "",
  IF(
    T643="",
    "",
    SUMIF(DEVOLUCION!F:F, T643, DEVOLUCION!D:D)
  )
)
</f>
        <v>5.09</v>
      </c>
      <c r="M643" s="118" t="s">
        <v>3870</v>
      </c>
      <c r="N643" s="130" t="s">
        <v>4999</v>
      </c>
      <c r="O643" s="118" t="str">
        <f t="array" ref="O643">IFERROR(
VLOOKUP(
TRIM(CLEAN(
INDEX(REPORTE_DROPI!K:K,
MATCH(T643, REPORTE_DROPI!B:B, 0)
))),
{
TRIM(CLEAN(MAPA_ESTADOS!A:A)) ,
MAPA_ESTADOS!B:B
},
2,
FALSE
),
"REVISAR"
)
</f>
        <v>DEVOLUCION</v>
      </c>
      <c r="P643" s="118"/>
      <c r="Q643" s="122">
        <f t="shared" si="1"/>
        <v>0</v>
      </c>
      <c r="R643" s="118"/>
      <c r="S643" s="118"/>
      <c r="T643" s="118">
        <f t="array" ref="T643">IFERROR(
INDEX(REPORTE_DROPI!B:B,
MATCH(
CLEAN(TRIM(C643)),
CLEAN(TRIM(REPORTE_DROPI!E:E)),
0
)
),
""
)
</f>
        <v>4163059</v>
      </c>
      <c r="U643" s="118">
        <v>6.417876058156E12</v>
      </c>
      <c r="V643" s="78"/>
      <c r="W643" s="78"/>
      <c r="X643" s="78"/>
      <c r="Y643" s="78"/>
      <c r="Z643" s="78"/>
    </row>
    <row r="644" ht="22.5" customHeight="1">
      <c r="A644" s="118">
        <v>643.0</v>
      </c>
      <c r="B644" s="119">
        <v>46037.0</v>
      </c>
      <c r="C644" s="126" t="s">
        <v>5000</v>
      </c>
      <c r="D644" s="118" t="str">
        <f>IFERROR(__xludf.DUMMYFUNCTION("IFERROR(
  INDEX(
    FILTER(
      'NOMBRE DE PRODUCTOS'!B:B,
      REGEXMATCH(
        UPPER(
          INDEX(
            REPORTE_DROPI!AC:AC,
            MATCH(T644, REPORTE_DROPI!B:B, 0)
          )
        ),
        UPPER('NOMBRE DE PRODUCTOS'!A:A)"&amp;"
      )
    ),
    1
  ),
  ""REVISAR""
)
"),"FilmPro®")</f>
        <v>FilmPro®</v>
      </c>
      <c r="E644" s="120" t="str">
        <f t="array" ref="E644">IF(
UPPER(TRIM(CLEAN($O644)))="ENTREGADO",
IFERROR(
INDEX(REPORTE_DROPI!Y:Y,
MATCH($T644, REPORTE_DROPI!B:B, 0)
),
""
),
""
)
</f>
        <v/>
      </c>
      <c r="F644" s="121">
        <v>3.0</v>
      </c>
      <c r="G644" s="122" t="str">
        <f t="array" ref="G644">IF(
UPPER(TRIM(CLEAN($O644)))="ENTREGADO",
IFERROR(
INDEX(REPORTE_DROPI!R:R,
MATCH($T644, REPORTE_DROPI!B:B, 0)
),
""
),
""
)
</f>
        <v/>
      </c>
      <c r="H644" s="118" t="s">
        <v>3727</v>
      </c>
      <c r="I644" s="118" t="s">
        <v>3731</v>
      </c>
      <c r="J644" s="121" t="str">
        <f t="array" ref="J644">IF(
UPPER(TRIM(CLEAN($O644)))="ENTREGADO",
IFERROR(
INDEX(REPORTE_DROPI!T:T,
MATCH($T644, REPORTE_DROPI!B:B, 0)
),
""
),
""
)
</f>
        <v/>
      </c>
      <c r="K644" s="118" t="str">
        <f t="array" ref="K644">IFERROR(
INDEX(REPORTE_DROPI!S:S,
MATCH($T644, REPORTE_DROPI!B:B, 0)
),
""
)
</f>
        <v/>
      </c>
      <c r="L644" s="118">
        <f>IF(
  O644&lt;&gt;"DEVOLUCION",
  "",
  IF(
    T644="",
    "",
    SUMIF(DEVOLUCION!F:F, T644, DEVOLUCION!D:D)
  )
)
</f>
        <v>3.51</v>
      </c>
      <c r="M644" s="118" t="s">
        <v>3870</v>
      </c>
      <c r="N644" s="130" t="s">
        <v>5001</v>
      </c>
      <c r="O644" s="118" t="str">
        <f t="array" ref="O644">IFERROR(
VLOOKUP(
TRIM(CLEAN(
INDEX(REPORTE_DROPI!K:K,
MATCH(T644, REPORTE_DROPI!B:B, 0)
))),
{
TRIM(CLEAN(MAPA_ESTADOS!A:A)) ,
MAPA_ESTADOS!B:B
},
2,
FALSE
),
"REVISAR"
)
</f>
        <v>DEVOLUCION</v>
      </c>
      <c r="P644" s="118"/>
      <c r="Q644" s="122">
        <f t="shared" si="1"/>
        <v>0</v>
      </c>
      <c r="R644" s="118"/>
      <c r="S644" s="118"/>
      <c r="T644" s="118">
        <f t="array" ref="T644">IFERROR(
INDEX(REPORTE_DROPI!B:B,
MATCH(
CLEAN(TRIM(C644)),
CLEAN(TRIM(REPORTE_DROPI!E:E)),
0
)
),
""
)
</f>
        <v>4163193</v>
      </c>
      <c r="U644" s="118">
        <v>6.417895063596E12</v>
      </c>
      <c r="V644" s="78"/>
      <c r="W644" s="78"/>
      <c r="X644" s="78"/>
      <c r="Y644" s="78"/>
      <c r="Z644" s="78"/>
    </row>
    <row r="645" ht="22.5" customHeight="1">
      <c r="A645" s="118">
        <v>644.0</v>
      </c>
      <c r="B645" s="119">
        <v>46037.0</v>
      </c>
      <c r="C645" s="126" t="s">
        <v>5002</v>
      </c>
      <c r="D645" s="118" t="str">
        <f>IFERROR(__xludf.DUMMYFUNCTION("IFERROR(
  INDEX(
    FILTER(
      'NOMBRE DE PRODUCTOS'!B:B,
      REGEXMATCH(
        UPPER(
          INDEX(
            REPORTE_DROPI!AC:AC,
            MATCH(T645, REPORTE_DROPI!B:B, 0)
          )
        ),
        UPPER('NOMBRE DE PRODUCTOS'!A:A)"&amp;"
      )
    ),
    1
  ),
  ""REVISAR""
)
"),"FilmPro®")</f>
        <v>FilmPro®</v>
      </c>
      <c r="E645" s="120" t="str">
        <f t="array" ref="E645">IF(
UPPER(TRIM(CLEAN($O645)))="ENTREGADO",
IFERROR(
INDEX(REPORTE_DROPI!Y:Y,
MATCH($T645, REPORTE_DROPI!B:B, 0)
),
""
),
""
)
</f>
        <v/>
      </c>
      <c r="F645" s="121">
        <v>3.0</v>
      </c>
      <c r="G645" s="122" t="str">
        <f t="array" ref="G645">IF(
UPPER(TRIM(CLEAN($O645)))="ENTREGADO",
IFERROR(
INDEX(REPORTE_DROPI!R:R,
MATCH($T645, REPORTE_DROPI!B:B, 0)
),
""
),
""
)
</f>
        <v/>
      </c>
      <c r="H645" s="118" t="s">
        <v>3727</v>
      </c>
      <c r="I645" s="118" t="s">
        <v>3759</v>
      </c>
      <c r="J645" s="121" t="str">
        <f t="array" ref="J645">IF(
UPPER(TRIM(CLEAN($O645)))="ENTREGADO",
IFERROR(
INDEX(REPORTE_DROPI!T:T,
MATCH($T645, REPORTE_DROPI!B:B, 0)
),
""
),
""
)
</f>
        <v/>
      </c>
      <c r="K645" s="118" t="str">
        <f t="array" ref="K645">IFERROR(
INDEX(REPORTE_DROPI!S:S,
MATCH($T645, REPORTE_DROPI!B:B, 0)
),
""
)
</f>
        <v/>
      </c>
      <c r="L645" s="118">
        <f>IF(
  O645&lt;&gt;"DEVOLUCION",
  "",
  IF(
    T645="",
    "",
    SUMIF(DEVOLUCION!F:F, T645, DEVOLUCION!D:D)
  )
)
</f>
        <v>5.12</v>
      </c>
      <c r="M645" s="118" t="s">
        <v>3870</v>
      </c>
      <c r="N645" s="130" t="s">
        <v>5003</v>
      </c>
      <c r="O645" s="118" t="str">
        <f t="array" ref="O645">IFERROR(
VLOOKUP(
TRIM(CLEAN(
INDEX(REPORTE_DROPI!K:K,
MATCH(T645, REPORTE_DROPI!B:B, 0)
))),
{
TRIM(CLEAN(MAPA_ESTADOS!A:A)) ,
MAPA_ESTADOS!B:B
},
2,
FALSE
),
"REVISAR"
)
</f>
        <v>DEVOLUCION</v>
      </c>
      <c r="P645" s="118"/>
      <c r="Q645" s="122">
        <f t="shared" si="1"/>
        <v>0</v>
      </c>
      <c r="R645" s="118"/>
      <c r="S645" s="118"/>
      <c r="T645" s="118">
        <f t="array" ref="T645">IFERROR(
INDEX(REPORTE_DROPI!B:B,
MATCH(
CLEAN(TRIM(C645)),
CLEAN(TRIM(REPORTE_DROPI!E:E)),
0
)
),
""
)
</f>
        <v>4163443</v>
      </c>
      <c r="U645" s="118">
        <v>6.417940119596E12</v>
      </c>
      <c r="V645" s="78"/>
      <c r="W645" s="78"/>
      <c r="X645" s="78"/>
      <c r="Y645" s="78"/>
      <c r="Z645" s="78"/>
    </row>
    <row r="646" ht="22.5" customHeight="1">
      <c r="A646" s="118">
        <v>645.0</v>
      </c>
      <c r="B646" s="119">
        <v>46037.0</v>
      </c>
      <c r="C646" s="118" t="s">
        <v>5004</v>
      </c>
      <c r="D646" s="118" t="str">
        <f>IFERROR(__xludf.DUMMYFUNCTION("IFERROR(
  INDEX(
    FILTER(
      'NOMBRE DE PRODUCTOS'!B:B,
      REGEXMATCH(
        UPPER(
          INDEX(
            REPORTE_DROPI!AC:AC,
            MATCH(T646, REPORTE_DROPI!B:B, 0)
          )
        ),
        UPPER('NOMBRE DE PRODUCTOS'!A:A)"&amp;"
      )
    ),
    1
  ),
  ""REVISAR""
)
"),"FilmPro®")</f>
        <v>FilmPro®</v>
      </c>
      <c r="E646" s="120">
        <f t="array" ref="E646">IF(
UPPER(TRIM(CLEAN($O646)))="ENTREGADO",
IFERROR(
INDEX(REPORTE_DROPI!Y:Y,
MATCH($T646, REPORTE_DROPI!B:B, 0)
),
""
),
""
)
</f>
        <v>7.05</v>
      </c>
      <c r="F646" s="121">
        <v>3.0</v>
      </c>
      <c r="G646" s="122">
        <f t="array" ref="G646">IF(
UPPER(TRIM(CLEAN($O646)))="ENTREGADO",
IFERROR(
INDEX(REPORTE_DROPI!R:R,
MATCH($T646, REPORTE_DROPI!B:B, 0)
),
""
),
""
)
</f>
        <v>30</v>
      </c>
      <c r="H646" s="118" t="s">
        <v>3727</v>
      </c>
      <c r="I646" s="118" t="s">
        <v>3801</v>
      </c>
      <c r="J646" s="121">
        <f t="array" ref="J646">IF(
UPPER(TRIM(CLEAN($O646)))="ENTREGADO",
IFERROR(
INDEX(REPORTE_DROPI!T:T,
MATCH($T646, REPORTE_DROPI!B:B, 0)
),
""
),
""
)
</f>
        <v>6.16</v>
      </c>
      <c r="K646" s="118">
        <f t="array" ref="K646">IFERROR(
INDEX(REPORTE_DROPI!S:S,
MATCH($T646, REPORTE_DROPI!B:B, 0)
),
""
)
</f>
        <v>16.79</v>
      </c>
      <c r="L646" s="118" t="str">
        <f>IF(
  O646&lt;&gt;"DEVOLUCION",
  "",
  IF(
    T646="",
    "",
    SUMIF(DEVOLUCION!F:F, T646, DEVOLUCION!D:D)
  )
)
</f>
        <v/>
      </c>
      <c r="M646" s="118" t="s">
        <v>3870</v>
      </c>
      <c r="N646" s="130" t="s">
        <v>5005</v>
      </c>
      <c r="O646" s="118" t="str">
        <f t="array" ref="O646">IFERROR(
VLOOKUP(
TRIM(CLEAN(
INDEX(REPORTE_DROPI!K:K,
MATCH(T646, REPORTE_DROPI!B:B, 0)
))),
{
TRIM(CLEAN(MAPA_ESTADOS!A:A)) ,
MAPA_ESTADOS!B:B
},
2,
FALSE
),
"REVISAR"
)
</f>
        <v>ENTREGADO</v>
      </c>
      <c r="P646" s="118"/>
      <c r="Q646" s="122">
        <f t="shared" si="1"/>
        <v>0</v>
      </c>
      <c r="R646" s="118"/>
      <c r="S646" s="118"/>
      <c r="T646" s="118">
        <f t="array" ref="T646">IFERROR(
INDEX(REPORTE_DROPI!B:B,
MATCH(
CLEAN(TRIM(C646)),
CLEAN(TRIM(REPORTE_DROPI!E:E)),
0
)
),
""
)
</f>
        <v>4163653</v>
      </c>
      <c r="U646" s="118">
        <v>6.417977933868E12</v>
      </c>
      <c r="V646" s="78"/>
      <c r="W646" s="78"/>
      <c r="X646" s="78"/>
      <c r="Y646" s="78"/>
      <c r="Z646" s="78"/>
    </row>
    <row r="647" ht="22.5" customHeight="1">
      <c r="A647" s="118">
        <v>646.0</v>
      </c>
      <c r="B647" s="119">
        <v>46037.0</v>
      </c>
      <c r="C647" s="118" t="s">
        <v>5006</v>
      </c>
      <c r="D647" s="118" t="str">
        <f>IFERROR(__xludf.DUMMYFUNCTION("IFERROR(
  INDEX(
    FILTER(
      'NOMBRE DE PRODUCTOS'!B:B,
      REGEXMATCH(
        UPPER(
          INDEX(
            REPORTE_DROPI!AC:AC,
            MATCH(T647, REPORTE_DROPI!B:B, 0)
          )
        ),
        UPPER('NOMBRE DE PRODUCTOS'!A:A)"&amp;"
      )
    ),
    1
  ),
  ""REVISAR""
)
"),"Cuchillo Tazaki™")</f>
        <v>Cuchillo Tazaki™</v>
      </c>
      <c r="E647" s="120" t="str">
        <f t="array" ref="E647">IF(
UPPER(TRIM(CLEAN($O647)))="ENTREGADO",
IFERROR(
INDEX(REPORTE_DROPI!Y:Y,
MATCH($T647, REPORTE_DROPI!B:B, 0)
),
""
),
""
)
</f>
        <v/>
      </c>
      <c r="F647" s="121">
        <v>2.0</v>
      </c>
      <c r="G647" s="122" t="str">
        <f t="array" ref="G647">IF(
UPPER(TRIM(CLEAN($O647)))="ENTREGADO",
IFERROR(
INDEX(REPORTE_DROPI!R:R,
MATCH($T647, REPORTE_DROPI!B:B, 0)
),
""
),
""
)
</f>
        <v/>
      </c>
      <c r="H647" s="118" t="s">
        <v>3727</v>
      </c>
      <c r="I647" s="118" t="s">
        <v>3728</v>
      </c>
      <c r="J647" s="121" t="str">
        <f t="array" ref="J647">IF(
UPPER(TRIM(CLEAN($O647)))="ENTREGADO",
IFERROR(
INDEX(REPORTE_DROPI!T:T,
MATCH($T647, REPORTE_DROPI!B:B, 0)
),
""
),
""
)
</f>
        <v/>
      </c>
      <c r="K647" s="118" t="str">
        <f t="array" ref="K647">IFERROR(
INDEX(REPORTE_DROPI!S:S,
MATCH($T647, REPORTE_DROPI!B:B, 0)
),
""
)
</f>
        <v/>
      </c>
      <c r="L647" s="118" t="str">
        <f>IF(
  O647&lt;&gt;"DEVOLUCION",
  "",
  IF(
    T647="",
    "",
    SUMIF(DEVOLUCION!F:F, T647, DEVOLUCION!D:D)
  )
)
</f>
        <v/>
      </c>
      <c r="M647" s="118" t="s">
        <v>3870</v>
      </c>
      <c r="N647" s="130" t="s">
        <v>5007</v>
      </c>
      <c r="O647" s="118" t="str">
        <f t="array" ref="O647">IFERROR(
VLOOKUP(
TRIM(CLEAN(
INDEX(REPORTE_DROPI!K:K,
MATCH(T647, REPORTE_DROPI!B:B, 0)
))),
{
TRIM(CLEAN(MAPA_ESTADOS!A:A)) ,
MAPA_ESTADOS!B:B
},
2,
FALSE
),
"REVISAR"
)
</f>
        <v>CANCELADO</v>
      </c>
      <c r="P647" s="118" t="s">
        <v>4766</v>
      </c>
      <c r="Q647" s="122">
        <f t="shared" si="1"/>
        <v>0</v>
      </c>
      <c r="R647" s="118"/>
      <c r="S647" s="118"/>
      <c r="T647" s="118">
        <f t="array" ref="T647">IFERROR(
INDEX(REPORTE_DROPI!B:B,
MATCH(
CLEAN(TRIM(C647)),
CLEAN(TRIM(REPORTE_DROPI!E:E)),
0
)
),
""
)
</f>
        <v>4163752</v>
      </c>
      <c r="U647" s="118">
        <v>6.417991467052E12</v>
      </c>
      <c r="V647" s="78"/>
      <c r="W647" s="78"/>
      <c r="X647" s="78"/>
      <c r="Y647" s="78"/>
      <c r="Z647" s="78"/>
    </row>
    <row r="648" ht="22.5" customHeight="1">
      <c r="A648" s="118">
        <v>647.0</v>
      </c>
      <c r="B648" s="119">
        <v>46037.0</v>
      </c>
      <c r="C648" s="118" t="s">
        <v>5008</v>
      </c>
      <c r="D648" s="118" t="str">
        <f>IFERROR(__xludf.DUMMYFUNCTION("IFERROR(
  INDEX(
    FILTER(
      'NOMBRE DE PRODUCTOS'!B:B,
      REGEXMATCH(
        UPPER(
          INDEX(
            REPORTE_DROPI!AC:AC,
            MATCH(T648, REPORTE_DROPI!B:B, 0)
          )
        ),
        UPPER('NOMBRE DE PRODUCTOS'!A:A)"&amp;"
      )
    ),
    1
  ),
  ""REVISAR""
)
"),"FilmPro®")</f>
        <v>FilmPro®</v>
      </c>
      <c r="E648" s="120">
        <f t="array" ref="E648">IF(
UPPER(TRIM(CLEAN($O648)))="ENTREGADO",
IFERROR(
INDEX(REPORTE_DROPI!Y:Y,
MATCH($T648, REPORTE_DROPI!B:B, 0)
),
""
),
""
)
</f>
        <v>2.35</v>
      </c>
      <c r="F648" s="121">
        <v>1.0</v>
      </c>
      <c r="G648" s="122">
        <f t="array" ref="G648">IF(
UPPER(TRIM(CLEAN($O648)))="ENTREGADO",
IFERROR(
INDEX(REPORTE_DROPI!R:R,
MATCH($T648, REPORTE_DROPI!B:B, 0)
),
""
),
""
)
</f>
        <v>20</v>
      </c>
      <c r="H648" s="118" t="s">
        <v>3727</v>
      </c>
      <c r="I648" s="118" t="s">
        <v>3740</v>
      </c>
      <c r="J648" s="121">
        <f t="array" ref="J648">IF(
UPPER(TRIM(CLEAN($O648)))="ENTREGADO",
IFERROR(
INDEX(REPORTE_DROPI!T:T,
MATCH($T648, REPORTE_DROPI!B:B, 0)
),
""
),
""
)
</f>
        <v>5.76</v>
      </c>
      <c r="K648" s="118">
        <f t="array" ref="K648">IFERROR(
INDEX(REPORTE_DROPI!S:S,
MATCH($T648, REPORTE_DROPI!B:B, 0)
),
""
)
</f>
        <v>11.89</v>
      </c>
      <c r="L648" s="118" t="str">
        <f>IF(
  O648&lt;&gt;"DEVOLUCION",
  "",
  IF(
    T648="",
    "",
    SUMIF(DEVOLUCION!F:F, T648, DEVOLUCION!D:D)
  )
)
</f>
        <v/>
      </c>
      <c r="M648" s="118" t="s">
        <v>3870</v>
      </c>
      <c r="N648" s="130" t="s">
        <v>5009</v>
      </c>
      <c r="O648" s="118" t="str">
        <f t="array" ref="O648">IFERROR(
VLOOKUP(
TRIM(CLEAN(
INDEX(REPORTE_DROPI!K:K,
MATCH(T648, REPORTE_DROPI!B:B, 0)
))),
{
TRIM(CLEAN(MAPA_ESTADOS!A:A)) ,
MAPA_ESTADOS!B:B
},
2,
FALSE
),
"REVISAR"
)
</f>
        <v>ENTREGADO</v>
      </c>
      <c r="P648" s="118"/>
      <c r="Q648" s="122">
        <f t="shared" si="1"/>
        <v>0</v>
      </c>
      <c r="R648" s="118"/>
      <c r="S648" s="118"/>
      <c r="T648" s="118">
        <f t="array" ref="T648">IFERROR(
INDEX(REPORTE_DROPI!B:B,
MATCH(
CLEAN(TRIM(C648)),
CLEAN(TRIM(REPORTE_DROPI!E:E)),
0
)
),
""
)
</f>
        <v>4163833</v>
      </c>
      <c r="U648" s="118">
        <v>6.41800608158E12</v>
      </c>
      <c r="V648" s="78"/>
      <c r="W648" s="78"/>
      <c r="X648" s="78"/>
      <c r="Y648" s="78"/>
      <c r="Z648" s="78"/>
    </row>
    <row r="649" ht="22.5" customHeight="1">
      <c r="A649" s="118">
        <v>648.0</v>
      </c>
      <c r="B649" s="119">
        <v>46037.0</v>
      </c>
      <c r="C649" s="126" t="s">
        <v>5010</v>
      </c>
      <c r="D649" s="118" t="str">
        <f>IFERROR(__xludf.DUMMYFUNCTION("IFERROR(
  INDEX(
    FILTER(
      'NOMBRE DE PRODUCTOS'!B:B,
      REGEXMATCH(
        UPPER(
          INDEX(
            REPORTE_DROPI!AC:AC,
            MATCH(T649, REPORTE_DROPI!B:B, 0)
          )
        ),
        UPPER('NOMBRE DE PRODUCTOS'!A:A)"&amp;"
      )
    ),
    1
  ),
  ""REVISAR""
)
"),"Cuchillo Tazaki™")</f>
        <v>Cuchillo Tazaki™</v>
      </c>
      <c r="E649" s="120" t="str">
        <f t="array" ref="E649">IF(
UPPER(TRIM(CLEAN($O649)))="ENTREGADO",
IFERROR(
INDEX(REPORTE_DROPI!Y:Y,
MATCH($T649, REPORTE_DROPI!B:B, 0)
),
""
),
""
)
</f>
        <v/>
      </c>
      <c r="F649" s="121">
        <v>2.0</v>
      </c>
      <c r="G649" s="122" t="str">
        <f t="array" ref="G649">IF(
UPPER(TRIM(CLEAN($O649)))="ENTREGADO",
IFERROR(
INDEX(REPORTE_DROPI!R:R,
MATCH($T649, REPORTE_DROPI!B:B, 0)
),
""
),
""
)
</f>
        <v/>
      </c>
      <c r="H649" s="118" t="s">
        <v>3727</v>
      </c>
      <c r="I649" s="118" t="s">
        <v>3731</v>
      </c>
      <c r="J649" s="121" t="str">
        <f t="array" ref="J649">IF(
UPPER(TRIM(CLEAN($O649)))="ENTREGADO",
IFERROR(
INDEX(REPORTE_DROPI!T:T,
MATCH($T649, REPORTE_DROPI!B:B, 0)
),
""
),
""
)
</f>
        <v/>
      </c>
      <c r="K649" s="118" t="str">
        <f t="array" ref="K649">IFERROR(
INDEX(REPORTE_DROPI!S:S,
MATCH($T649, REPORTE_DROPI!B:B, 0)
),
""
)
</f>
        <v/>
      </c>
      <c r="L649" s="118" t="str">
        <f>IF(
  O649&lt;&gt;"DEVOLUCION",
  "",
  IF(
    T649="",
    "",
    SUMIF(DEVOLUCION!F:F, T649, DEVOLUCION!D:D)
  )
)
</f>
        <v/>
      </c>
      <c r="M649" s="118" t="s">
        <v>3870</v>
      </c>
      <c r="N649" s="130" t="s">
        <v>5011</v>
      </c>
      <c r="O649" s="118" t="str">
        <f t="array" ref="O649">IFERROR(
VLOOKUP(
TRIM(CLEAN(
INDEX(REPORTE_DROPI!K:K,
MATCH(T649, REPORTE_DROPI!B:B, 0)
))),
{
TRIM(CLEAN(MAPA_ESTADOS!A:A)) ,
MAPA_ESTADOS!B:B
},
2,
FALSE
),
"REVISAR"
)
</f>
        <v>PENDIENTE</v>
      </c>
      <c r="P649" s="118" t="s">
        <v>3888</v>
      </c>
      <c r="Q649" s="122">
        <f t="shared" si="1"/>
        <v>0</v>
      </c>
      <c r="R649" s="118"/>
      <c r="S649" s="118"/>
      <c r="T649" s="118">
        <f t="array" ref="T649">IFERROR(
INDEX(REPORTE_DROPI!B:B,
MATCH(
CLEAN(TRIM(C649)),
CLEAN(TRIM(REPORTE_DROPI!E:E)),
0
)
),
""
)
</f>
        <v>4201335</v>
      </c>
      <c r="U649" s="118">
        <v>6.418030919724E12</v>
      </c>
      <c r="V649" s="78"/>
      <c r="W649" s="78"/>
      <c r="X649" s="78"/>
      <c r="Y649" s="78"/>
      <c r="Z649" s="78"/>
    </row>
    <row r="650" ht="22.5" customHeight="1">
      <c r="A650" s="118">
        <v>649.0</v>
      </c>
      <c r="B650" s="119">
        <v>46037.0</v>
      </c>
      <c r="C650" s="118" t="s">
        <v>5012</v>
      </c>
      <c r="D650" s="118" t="str">
        <f>IFERROR(__xludf.DUMMYFUNCTION("IFERROR(
  INDEX(
    FILTER(
      'NOMBRE DE PRODUCTOS'!B:B,
      REGEXMATCH(
        UPPER(
          INDEX(
            REPORTE_DROPI!AC:AC,
            MATCH(T650, REPORTE_DROPI!B:B, 0)
          )
        ),
        UPPER('NOMBRE DE PRODUCTOS'!A:A)"&amp;"
      )
    ),
    1
  ),
  ""REVISAR""
)
"),"Cuchillo Tazaki™")</f>
        <v>Cuchillo Tazaki™</v>
      </c>
      <c r="E650" s="120">
        <f t="array" ref="E650">IF(
UPPER(TRIM(CLEAN($O650)))="ENTREGADO",
IFERROR(
INDEX(REPORTE_DROPI!Y:Y,
MATCH($T650, REPORTE_DROPI!B:B, 0)
),
""
),
""
)
</f>
        <v>7.8</v>
      </c>
      <c r="F650" s="121">
        <v>3.0</v>
      </c>
      <c r="G650" s="122">
        <f t="array" ref="G650">IF(
UPPER(TRIM(CLEAN($O650)))="ENTREGADO",
IFERROR(
INDEX(REPORTE_DROPI!R:R,
MATCH($T650, REPORTE_DROPI!B:B, 0)
),
""
),
""
)
</f>
        <v>27</v>
      </c>
      <c r="H650" s="118" t="s">
        <v>3727</v>
      </c>
      <c r="I650" s="118" t="s">
        <v>3731</v>
      </c>
      <c r="J650" s="121">
        <f t="array" ref="J650">IF(
UPPER(TRIM(CLEAN($O650)))="ENTREGADO",
IFERROR(
INDEX(REPORTE_DROPI!T:T,
MATCH($T650, REPORTE_DROPI!B:B, 0)
),
""
),
""
)
</f>
        <v>6.03</v>
      </c>
      <c r="K650" s="118">
        <f t="array" ref="K650">IFERROR(
INDEX(REPORTE_DROPI!S:S,
MATCH($T650, REPORTE_DROPI!B:B, 0)
),
""
)
</f>
        <v>13.17</v>
      </c>
      <c r="L650" s="118" t="str">
        <f>IF(
  O650&lt;&gt;"DEVOLUCION",
  "",
  IF(
    T650="",
    "",
    SUMIF(DEVOLUCION!F:F, T650, DEVOLUCION!D:D)
  )
)
</f>
        <v/>
      </c>
      <c r="M650" s="118"/>
      <c r="N650" s="128" t="s">
        <v>5013</v>
      </c>
      <c r="O650" s="118" t="str">
        <f t="array" ref="O650">IFERROR(
VLOOKUP(
TRIM(CLEAN(
INDEX(REPORTE_DROPI!K:K,
MATCH(T650, REPORTE_DROPI!B:B, 0)
))),
{
TRIM(CLEAN(MAPA_ESTADOS!A:A)) ,
MAPA_ESTADOS!B:B
},
2,
FALSE
),
"REVISAR"
)
</f>
        <v>ENTREGADO</v>
      </c>
      <c r="P650" s="118" t="s">
        <v>3655</v>
      </c>
      <c r="Q650" s="118" t="s">
        <v>5014</v>
      </c>
      <c r="R650" s="118"/>
      <c r="S650" s="118"/>
      <c r="T650" s="118">
        <f t="array" ref="T650">IFERROR(
INDEX(REPORTE_DROPI!B:B,
MATCH(
CLEAN(TRIM(C650)),
CLEAN(TRIM(REPORTE_DROPI!E:E)),
0
)
),
""
)
</f>
        <v>4164088</v>
      </c>
      <c r="U650" s="118">
        <v>6.41804540318E12</v>
      </c>
      <c r="V650" s="78"/>
      <c r="W650" s="78"/>
      <c r="X650" s="78"/>
      <c r="Y650" s="78"/>
      <c r="Z650" s="78"/>
    </row>
    <row r="651" ht="22.5" customHeight="1">
      <c r="A651" s="118">
        <v>650.0</v>
      </c>
      <c r="B651" s="119">
        <v>46037.0</v>
      </c>
      <c r="C651" s="118" t="s">
        <v>5015</v>
      </c>
      <c r="D651" s="118" t="str">
        <f>IFERROR(__xludf.DUMMYFUNCTION("IFERROR(
  INDEX(
    FILTER(
      'NOMBRE DE PRODUCTOS'!B:B,
      REGEXMATCH(
        UPPER(
          INDEX(
            REPORTE_DROPI!AC:AC,
            MATCH(T651, REPORTE_DROPI!B:B, 0)
          )
        ),
        UPPER('NOMBRE DE PRODUCTOS'!A:A)"&amp;"
      )
    ),
    1
  ),
  ""REVISAR""
)
"),"Cuchillo Tazaki™")</f>
        <v>Cuchillo Tazaki™</v>
      </c>
      <c r="E651" s="120">
        <f t="array" ref="E651">IF(
UPPER(TRIM(CLEAN($O651)))="ENTREGADO",
IFERROR(
INDEX(REPORTE_DROPI!Y:Y,
MATCH($T651, REPORTE_DROPI!B:B, 0)
),
""
),
""
)
</f>
        <v>5.2</v>
      </c>
      <c r="F651" s="121">
        <v>2.0</v>
      </c>
      <c r="G651" s="122">
        <f t="array" ref="G651">IF(
UPPER(TRIM(CLEAN($O651)))="ENTREGADO",
IFERROR(
INDEX(REPORTE_DROPI!R:R,
MATCH($T651, REPORTE_DROPI!B:B, 0)
),
""
),
""
)
</f>
        <v>22</v>
      </c>
      <c r="H651" s="118" t="s">
        <v>3727</v>
      </c>
      <c r="I651" s="118" t="s">
        <v>3740</v>
      </c>
      <c r="J651" s="121">
        <f t="array" ref="J651">IF(
UPPER(TRIM(CLEAN($O651)))="ENTREGADO",
IFERROR(
INDEX(REPORTE_DROPI!T:T,
MATCH($T651, REPORTE_DROPI!B:B, 0)
),
""
),
""
)
</f>
        <v>4.23</v>
      </c>
      <c r="K651" s="118">
        <f t="array" ref="K651">IFERROR(
INDEX(REPORTE_DROPI!S:S,
MATCH($T651, REPORTE_DROPI!B:B, 0)
),
""
)
</f>
        <v>12.57</v>
      </c>
      <c r="L651" s="118" t="str">
        <f>IF(
  O651&lt;&gt;"DEVOLUCION",
  "",
  IF(
    T651="",
    "",
    SUMIF(DEVOLUCION!F:F, T651, DEVOLUCION!D:D)
  )
)
</f>
        <v/>
      </c>
      <c r="M651" s="118"/>
      <c r="N651" s="130" t="s">
        <v>5016</v>
      </c>
      <c r="O651" s="118" t="str">
        <f t="array" ref="O651">IFERROR(
VLOOKUP(
TRIM(CLEAN(
INDEX(REPORTE_DROPI!K:K,
MATCH(T651, REPORTE_DROPI!B:B, 0)
))),
{
TRIM(CLEAN(MAPA_ESTADOS!A:A)) ,
MAPA_ESTADOS!B:B
},
2,
FALSE
),
"REVISAR"
)
</f>
        <v>ENTREGADO</v>
      </c>
      <c r="P651" s="118" t="s">
        <v>3655</v>
      </c>
      <c r="Q651" s="122">
        <f t="shared" ref="Q651:Q1062" si="2">G651-E651-J651-K651</f>
        <v>0</v>
      </c>
      <c r="R651" s="118"/>
      <c r="S651" s="118"/>
      <c r="T651" s="118">
        <f t="array" ref="T651">IFERROR(
INDEX(REPORTE_DROPI!B:B,
MATCH(
CLEAN(TRIM(C651)),
CLEAN(TRIM(REPORTE_DROPI!E:E)),
0
)
),
""
)
</f>
        <v>4164106</v>
      </c>
      <c r="U651" s="118">
        <v>6.418047270956E12</v>
      </c>
      <c r="V651" s="78"/>
      <c r="W651" s="78"/>
      <c r="X651" s="78"/>
      <c r="Y651" s="78"/>
      <c r="Z651" s="78"/>
    </row>
    <row r="652" ht="22.5" customHeight="1">
      <c r="A652" s="118">
        <v>651.0</v>
      </c>
      <c r="B652" s="119">
        <v>46037.0</v>
      </c>
      <c r="C652" s="118" t="s">
        <v>5017</v>
      </c>
      <c r="D652" s="118" t="str">
        <f>IFERROR(__xludf.DUMMYFUNCTION("IFERROR(
  INDEX(
    FILTER(
      'NOMBRE DE PRODUCTOS'!B:B,
      REGEXMATCH(
        UPPER(
          INDEX(
            REPORTE_DROPI!AC:AC,
            MATCH(T652, REPORTE_DROPI!B:B, 0)
          )
        ),
        UPPER('NOMBRE DE PRODUCTOS'!A:A)"&amp;"
      )
    ),
    1
  ),
  ""REVISAR""
)
"),"FilmPro®")</f>
        <v>FilmPro®</v>
      </c>
      <c r="E652" s="120" t="str">
        <f t="array" ref="E652">IF(
UPPER(TRIM(CLEAN($O652)))="ENTREGADO",
IFERROR(
INDEX(REPORTE_DROPI!Y:Y,
MATCH($T652, REPORTE_DROPI!B:B, 0)
),
""
),
""
)
</f>
        <v/>
      </c>
      <c r="F652" s="121">
        <v>2.0</v>
      </c>
      <c r="G652" s="122" t="str">
        <f t="array" ref="G652">IF(
UPPER(TRIM(CLEAN($O652)))="ENTREGADO",
IFERROR(
INDEX(REPORTE_DROPI!R:R,
MATCH($T652, REPORTE_DROPI!B:B, 0)
),
""
),
""
)
</f>
        <v/>
      </c>
      <c r="H652" s="118" t="s">
        <v>3727</v>
      </c>
      <c r="I652" s="118" t="s">
        <v>3759</v>
      </c>
      <c r="J652" s="121" t="str">
        <f t="array" ref="J652">IF(
UPPER(TRIM(CLEAN($O652)))="ENTREGADO",
IFERROR(
INDEX(REPORTE_DROPI!T:T,
MATCH($T652, REPORTE_DROPI!B:B, 0)
),
""
),
""
)
</f>
        <v/>
      </c>
      <c r="K652" s="118" t="str">
        <f t="array" ref="K652">IFERROR(
INDEX(REPORTE_DROPI!S:S,
MATCH($T652, REPORTE_DROPI!B:B, 0)
),
""
)
</f>
        <v/>
      </c>
      <c r="L652" s="118" t="str">
        <f>IF(
  O652&lt;&gt;"DEVOLUCION",
  "",
  IF(
    T652="",
    "",
    SUMIF(DEVOLUCION!F:F, T652, DEVOLUCION!D:D)
  )
)
</f>
        <v/>
      </c>
      <c r="M652" s="118"/>
      <c r="N652" s="130" t="s">
        <v>5018</v>
      </c>
      <c r="O652" s="118" t="str">
        <f t="array" ref="O652">IFERROR(
VLOOKUP(
TRIM(CLEAN(
INDEX(REPORTE_DROPI!K:K,
MATCH(T652, REPORTE_DROPI!B:B, 0)
))),
{
TRIM(CLEAN(MAPA_ESTADOS!A:A)) ,
MAPA_ESTADOS!B:B
},
2,
FALSE
),
"REVISAR"
)
</f>
        <v>CANCELADO</v>
      </c>
      <c r="P652" s="128" t="s">
        <v>5019</v>
      </c>
      <c r="Q652" s="122">
        <f t="shared" si="2"/>
        <v>0</v>
      </c>
      <c r="R652" s="118"/>
      <c r="S652" s="118"/>
      <c r="T652" s="118">
        <f t="array" ref="T652">IFERROR(
INDEX(REPORTE_DROPI!B:B,
MATCH(
CLEAN(TRIM(C652)),
CLEAN(TRIM(REPORTE_DROPI!E:E)),
0
)
),
""
)
</f>
        <v>4175406</v>
      </c>
      <c r="U652" s="118">
        <v>6.418062475308E12</v>
      </c>
      <c r="V652" s="78"/>
      <c r="W652" s="78"/>
      <c r="X652" s="78"/>
      <c r="Y652" s="78"/>
      <c r="Z652" s="78"/>
    </row>
    <row r="653" ht="22.5" customHeight="1">
      <c r="A653" s="118">
        <v>652.0</v>
      </c>
      <c r="B653" s="119">
        <v>46037.0</v>
      </c>
      <c r="C653" s="132" t="s">
        <v>5020</v>
      </c>
      <c r="D653" s="118" t="str">
        <f>IFERROR(__xludf.DUMMYFUNCTION("IFERROR(
  INDEX(
    FILTER(
      'NOMBRE DE PRODUCTOS'!B:B,
      REGEXMATCH(
        UPPER(
          INDEX(
            REPORTE_DROPI!AC:AC,
            MATCH(T653, REPORTE_DROPI!B:B, 0)
          )
        ),
        UPPER('NOMBRE DE PRODUCTOS'!A:A)"&amp;"
      )
    ),
    1
  ),
  ""REVISAR""
)
"),"FilmPro®")</f>
        <v>FilmPro®</v>
      </c>
      <c r="E653" s="120">
        <f t="array" ref="E653">IF(
UPPER(TRIM(CLEAN($O653)))="ENTREGADO",
IFERROR(
INDEX(REPORTE_DROPI!Y:Y,
MATCH($T653, REPORTE_DROPI!B:B, 0)
),
""
),
""
)
</f>
        <v>7.05</v>
      </c>
      <c r="F653" s="121">
        <v>3.0</v>
      </c>
      <c r="G653" s="122">
        <f t="array" ref="G653">IF(
UPPER(TRIM(CLEAN($O653)))="ENTREGADO",
IFERROR(
INDEX(REPORTE_DROPI!R:R,
MATCH($T653, REPORTE_DROPI!B:B, 0)
),
""
),
""
)
</f>
        <v>30</v>
      </c>
      <c r="H653" s="118" t="s">
        <v>3727</v>
      </c>
      <c r="I653" s="118" t="s">
        <v>3735</v>
      </c>
      <c r="J653" s="121">
        <f t="array" ref="J653">IF(
UPPER(TRIM(CLEAN($O653)))="ENTREGADO",
IFERROR(
INDEX(REPORTE_DROPI!T:T,
MATCH($T653, REPORTE_DROPI!B:B, 0)
),
""
),
""
)
</f>
        <v>6.16</v>
      </c>
      <c r="K653" s="118">
        <f t="array" ref="K653">IFERROR(
INDEX(REPORTE_DROPI!S:S,
MATCH($T653, REPORTE_DROPI!B:B, 0)
),
""
)
</f>
        <v>16.79</v>
      </c>
      <c r="L653" s="118" t="str">
        <f>IF(
  O653&lt;&gt;"DEVOLUCION",
  "",
  IF(
    T653="",
    "",
    SUMIF(DEVOLUCION!F:F, T653, DEVOLUCION!D:D)
  )
)
</f>
        <v/>
      </c>
      <c r="M653" s="118"/>
      <c r="N653" s="130" t="s">
        <v>5021</v>
      </c>
      <c r="O653" s="118" t="str">
        <f t="array" ref="O653">IFERROR(
VLOOKUP(
TRIM(CLEAN(
INDEX(REPORTE_DROPI!K:K,
MATCH(T653, REPORTE_DROPI!B:B, 0)
))),
{
TRIM(CLEAN(MAPA_ESTADOS!A:A)) ,
MAPA_ESTADOS!B:B
},
2,
FALSE
),
"REVISAR"
)
</f>
        <v>ENTREGADO</v>
      </c>
      <c r="P653" s="118" t="s">
        <v>3955</v>
      </c>
      <c r="Q653" s="122">
        <f t="shared" si="2"/>
        <v>0</v>
      </c>
      <c r="R653" s="118"/>
      <c r="S653" s="118"/>
      <c r="T653" s="118">
        <f t="array" ref="T653">IFERROR(
INDEX(REPORTE_DROPI!B:B,
MATCH(
CLEAN(TRIM(C653)),
CLEAN(TRIM(REPORTE_DROPI!E:E)),
0
)
),
""
)
</f>
        <v>4164247</v>
      </c>
      <c r="U653" s="118">
        <v>6.418074763308E12</v>
      </c>
      <c r="V653" s="78"/>
      <c r="W653" s="78"/>
      <c r="X653" s="78"/>
      <c r="Y653" s="78"/>
      <c r="Z653" s="78"/>
    </row>
    <row r="654" ht="22.5" customHeight="1">
      <c r="A654" s="118">
        <v>653.0</v>
      </c>
      <c r="B654" s="119">
        <v>46037.0</v>
      </c>
      <c r="C654" s="126" t="s">
        <v>5022</v>
      </c>
      <c r="D654" s="118" t="str">
        <f>IFERROR(__xludf.DUMMYFUNCTION("IFERROR(
  INDEX(
    FILTER(
      'NOMBRE DE PRODUCTOS'!B:B,
      REGEXMATCH(
        UPPER(
          INDEX(
            REPORTE_DROPI!AC:AC,
            MATCH(T654, REPORTE_DROPI!B:B, 0)
          )
        ),
        UPPER('NOMBRE DE PRODUCTOS'!A:A)"&amp;"
      )
    ),
    1
  ),
  ""REVISAR""
)
"),"Cuchillo Tazaki™")</f>
        <v>Cuchillo Tazaki™</v>
      </c>
      <c r="E654" s="120" t="str">
        <f t="array" ref="E654">IF(
UPPER(TRIM(CLEAN($O654)))="ENTREGADO",
IFERROR(
INDEX(REPORTE_DROPI!Y:Y,
MATCH($T654, REPORTE_DROPI!B:B, 0)
),
""
),
""
)
</f>
        <v/>
      </c>
      <c r="F654" s="121">
        <v>4.0</v>
      </c>
      <c r="G654" s="122" t="str">
        <f t="array" ref="G654">IF(
UPPER(TRIM(CLEAN($O654)))="ENTREGADO",
IFERROR(
INDEX(REPORTE_DROPI!R:R,
MATCH($T654, REPORTE_DROPI!B:B, 0)
),
""
),
""
)
</f>
        <v/>
      </c>
      <c r="H654" s="118" t="s">
        <v>3727</v>
      </c>
      <c r="I654" s="118" t="s">
        <v>3728</v>
      </c>
      <c r="J654" s="121" t="str">
        <f t="array" ref="J654">IF(
UPPER(TRIM(CLEAN($O654)))="ENTREGADO",
IFERROR(
INDEX(REPORTE_DROPI!T:T,
MATCH($T654, REPORTE_DROPI!B:B, 0)
),
""
),
""
)
</f>
        <v/>
      </c>
      <c r="K654" s="118" t="str">
        <f t="array" ref="K654">IFERROR(
INDEX(REPORTE_DROPI!S:S,
MATCH($T654, REPORTE_DROPI!B:B, 0)
),
""
)
</f>
        <v/>
      </c>
      <c r="L654" s="118" t="str">
        <f>IF(
  O654&lt;&gt;"DEVOLUCION",
  "",
  IF(
    T654="",
    "",
    SUMIF(DEVOLUCION!F:F, T654, DEVOLUCION!D:D)
  )
)
</f>
        <v/>
      </c>
      <c r="M654" s="118"/>
      <c r="N654" s="130" t="s">
        <v>5023</v>
      </c>
      <c r="O654" s="118" t="str">
        <f t="array" ref="O654">IFERROR(
VLOOKUP(
TRIM(CLEAN(
INDEX(REPORTE_DROPI!K:K,
MATCH(T654, REPORTE_DROPI!B:B, 0)
))),
{
TRIM(CLEAN(MAPA_ESTADOS!A:A)) ,
MAPA_ESTADOS!B:B
},
2,
FALSE
),
"REVISAR"
)
</f>
        <v>PENDIENTE</v>
      </c>
      <c r="P654" s="118" t="s">
        <v>5024</v>
      </c>
      <c r="Q654" s="122">
        <f t="shared" si="2"/>
        <v>0</v>
      </c>
      <c r="R654" s="118"/>
      <c r="S654" s="118"/>
      <c r="T654" s="118">
        <f t="array" ref="T654">IFERROR(
INDEX(REPORTE_DROPI!B:B,
MATCH(
CLEAN(TRIM(C654)),
CLEAN(TRIM(REPORTE_DROPI!E:E)),
0
)
),
""
)
</f>
        <v>4164323</v>
      </c>
      <c r="U654" s="118">
        <v>6.418087903276E12</v>
      </c>
      <c r="V654" s="78"/>
      <c r="W654" s="78"/>
      <c r="X654" s="78"/>
      <c r="Y654" s="78"/>
      <c r="Z654" s="78"/>
    </row>
    <row r="655" ht="22.5" customHeight="1">
      <c r="A655" s="118">
        <v>654.0</v>
      </c>
      <c r="B655" s="119">
        <v>46037.0</v>
      </c>
      <c r="C655" s="126" t="s">
        <v>5025</v>
      </c>
      <c r="D655" s="118" t="str">
        <f>IFERROR(__xludf.DUMMYFUNCTION("IFERROR(
  INDEX(
    FILTER(
      'NOMBRE DE PRODUCTOS'!B:B,
      REGEXMATCH(
        UPPER(
          INDEX(
            REPORTE_DROPI!AC:AC,
            MATCH(T655, REPORTE_DROPI!B:B, 0)
          )
        ),
        UPPER('NOMBRE DE PRODUCTOS'!A:A)"&amp;"
      )
    ),
    1
  ),
  ""REVISAR""
)
"),"FilmPro®")</f>
        <v>FilmPro®</v>
      </c>
      <c r="E655" s="120" t="str">
        <f t="array" ref="E655">IF(
UPPER(TRIM(CLEAN($O655)))="ENTREGADO",
IFERROR(
INDEX(REPORTE_DROPI!Y:Y,
MATCH($T655, REPORTE_DROPI!B:B, 0)
),
""
),
""
)
</f>
        <v/>
      </c>
      <c r="F655" s="121">
        <v>1.0</v>
      </c>
      <c r="G655" s="122" t="str">
        <f t="array" ref="G655">IF(
UPPER(TRIM(CLEAN($O655)))="ENTREGADO",
IFERROR(
INDEX(REPORTE_DROPI!R:R,
MATCH($T655, REPORTE_DROPI!B:B, 0)
),
""
),
""
)
</f>
        <v/>
      </c>
      <c r="H655" s="118" t="s">
        <v>3727</v>
      </c>
      <c r="I655" s="118" t="s">
        <v>3731</v>
      </c>
      <c r="J655" s="121" t="str">
        <f t="array" ref="J655">IF(
UPPER(TRIM(CLEAN($O655)))="ENTREGADO",
IFERROR(
INDEX(REPORTE_DROPI!T:T,
MATCH($T655, REPORTE_DROPI!B:B, 0)
),
""
),
""
)
</f>
        <v/>
      </c>
      <c r="K655" s="118" t="str">
        <f t="array" ref="K655">IFERROR(
INDEX(REPORTE_DROPI!S:S,
MATCH($T655, REPORTE_DROPI!B:B, 0)
),
""
)
</f>
        <v/>
      </c>
      <c r="L655" s="118" t="str">
        <f>IF(
  O655&lt;&gt;"DEVOLUCION",
  "",
  IF(
    T655="",
    "",
    SUMIF(DEVOLUCION!F:F, T655, DEVOLUCION!D:D)
  )
)
</f>
        <v/>
      </c>
      <c r="M655" s="118"/>
      <c r="N655" s="130" t="s">
        <v>5026</v>
      </c>
      <c r="O655" s="118" t="str">
        <f t="array" ref="O655">IFERROR(
VLOOKUP(
TRIM(CLEAN(
INDEX(REPORTE_DROPI!K:K,
MATCH(T655, REPORTE_DROPI!B:B, 0)
))),
{
TRIM(CLEAN(MAPA_ESTADOS!A:A)) ,
MAPA_ESTADOS!B:B
},
2,
FALSE
),
"REVISAR"
)
</f>
        <v>PENDIENTE</v>
      </c>
      <c r="P655" s="118" t="s">
        <v>5024</v>
      </c>
      <c r="Q655" s="122">
        <f t="shared" si="2"/>
        <v>0</v>
      </c>
      <c r="R655" s="118"/>
      <c r="S655" s="118"/>
      <c r="T655" s="118">
        <f t="array" ref="T655">IFERROR(
INDEX(REPORTE_DROPI!B:B,
MATCH(
CLEAN(TRIM(C655)),
CLEAN(TRIM(REPORTE_DROPI!E:E)),
0
)
),
""
)
</f>
        <v>4164324</v>
      </c>
      <c r="U655" s="118">
        <v>6.418088198188E12</v>
      </c>
      <c r="V655" s="78"/>
      <c r="W655" s="78"/>
      <c r="X655" s="78"/>
      <c r="Y655" s="78"/>
      <c r="Z655" s="78"/>
    </row>
    <row r="656" ht="22.5" customHeight="1">
      <c r="A656" s="118">
        <v>655.0</v>
      </c>
      <c r="B656" s="119">
        <v>46037.0</v>
      </c>
      <c r="C656" s="118" t="s">
        <v>5027</v>
      </c>
      <c r="D656" s="118" t="str">
        <f>IFERROR(__xludf.DUMMYFUNCTION("IFERROR(
  INDEX(
    FILTER(
      'NOMBRE DE PRODUCTOS'!B:B,
      REGEXMATCH(
        UPPER(
          INDEX(
            REPORTE_DROPI!AC:AC,
            MATCH(T656, REPORTE_DROPI!B:B, 0)
          )
        ),
        UPPER('NOMBRE DE PRODUCTOS'!A:A)"&amp;"
      )
    ),
    1
  ),
  ""REVISAR""
)
"),"FilmPro®")</f>
        <v>FilmPro®</v>
      </c>
      <c r="E656" s="120">
        <f t="array" ref="E656">IF(
UPPER(TRIM(CLEAN($O656)))="ENTREGADO",
IFERROR(
INDEX(REPORTE_DROPI!Y:Y,
MATCH($T656, REPORTE_DROPI!B:B, 0)
),
""
),
""
)
</f>
        <v>4.7</v>
      </c>
      <c r="F656" s="121">
        <v>2.0</v>
      </c>
      <c r="G656" s="122">
        <f t="array" ref="G656">IF(
UPPER(TRIM(CLEAN($O656)))="ENTREGADO",
IFERROR(
INDEX(REPORTE_DROPI!R:R,
MATCH($T656, REPORTE_DROPI!B:B, 0)
),
""
),
""
)
</f>
        <v>25</v>
      </c>
      <c r="H656" s="118" t="s">
        <v>3727</v>
      </c>
      <c r="I656" s="118" t="s">
        <v>3778</v>
      </c>
      <c r="J656" s="121">
        <f t="array" ref="J656">IF(
UPPER(TRIM(CLEAN($O656)))="ENTREGADO",
IFERROR(
INDEX(REPORTE_DROPI!T:T,
MATCH($T656, REPORTE_DROPI!B:B, 0)
),
""
),
""
)
</f>
        <v>7.75</v>
      </c>
      <c r="K656" s="118">
        <f t="array" ref="K656">IFERROR(
INDEX(REPORTE_DROPI!S:S,
MATCH($T656, REPORTE_DROPI!B:B, 0)
),
""
)
</f>
        <v>12.55</v>
      </c>
      <c r="L656" s="118" t="str">
        <f>IF(
  O656&lt;&gt;"DEVOLUCION",
  "",
  IF(
    T656="",
    "",
    SUMIF(DEVOLUCION!F:F, T656, DEVOLUCION!D:D)
  )
)
</f>
        <v/>
      </c>
      <c r="M656" s="118"/>
      <c r="N656" s="130" t="s">
        <v>5028</v>
      </c>
      <c r="O656" s="118" t="str">
        <f t="array" ref="O656">IFERROR(
VLOOKUP(
TRIM(CLEAN(
INDEX(REPORTE_DROPI!K:K,
MATCH(T656, REPORTE_DROPI!B:B, 0)
))),
{
TRIM(CLEAN(MAPA_ESTADOS!A:A)) ,
MAPA_ESTADOS!B:B
},
2,
FALSE
),
"REVISAR"
)
</f>
        <v>ENTREGADO</v>
      </c>
      <c r="P656" s="133" t="s">
        <v>3655</v>
      </c>
      <c r="Q656" s="122">
        <f t="shared" si="2"/>
        <v>0</v>
      </c>
      <c r="R656" s="118"/>
      <c r="S656" s="118"/>
      <c r="T656" s="118">
        <f t="array" ref="T656">IFERROR(
INDEX(REPORTE_DROPI!B:B,
MATCH(
CLEAN(TRIM(C656)),
CLEAN(TRIM(REPORTE_DROPI!E:E)),
0
)
),
""
)
</f>
        <v>4174082</v>
      </c>
      <c r="U656" s="118">
        <v>6.41809308062E12</v>
      </c>
      <c r="V656" s="78"/>
      <c r="W656" s="78"/>
      <c r="X656" s="78"/>
      <c r="Y656" s="78"/>
      <c r="Z656" s="78"/>
    </row>
    <row r="657" ht="22.5" customHeight="1">
      <c r="A657" s="118">
        <v>656.0</v>
      </c>
      <c r="B657" s="119">
        <v>46037.0</v>
      </c>
      <c r="C657" s="126" t="s">
        <v>5029</v>
      </c>
      <c r="D657" s="118" t="str">
        <f>IFERROR(__xludf.DUMMYFUNCTION("IFERROR(
  INDEX(
    FILTER(
      'NOMBRE DE PRODUCTOS'!B:B,
      REGEXMATCH(
        UPPER(
          INDEX(
            REPORTE_DROPI!AC:AC,
            MATCH(T657, REPORTE_DROPI!B:B, 0)
          )
        ),
        UPPER('NOMBRE DE PRODUCTOS'!A:A)"&amp;"
      )
    ),
    1
  ),
  ""REVISAR""
)
"),"Cuchillo Tazaki™")</f>
        <v>Cuchillo Tazaki™</v>
      </c>
      <c r="E657" s="120" t="str">
        <f t="array" ref="E657">IF(
UPPER(TRIM(CLEAN($O657)))="ENTREGADO",
IFERROR(
INDEX(REPORTE_DROPI!Y:Y,
MATCH($T657, REPORTE_DROPI!B:B, 0)
),
""
),
""
)
</f>
        <v/>
      </c>
      <c r="F657" s="121">
        <v>2.0</v>
      </c>
      <c r="G657" s="122" t="str">
        <f t="array" ref="G657">IF(
UPPER(TRIM(CLEAN($O657)))="ENTREGADO",
IFERROR(
INDEX(REPORTE_DROPI!R:R,
MATCH($T657, REPORTE_DROPI!B:B, 0)
),
""
),
""
)
</f>
        <v/>
      </c>
      <c r="H657" s="118" t="s">
        <v>3727</v>
      </c>
      <c r="I657" s="118" t="s">
        <v>3731</v>
      </c>
      <c r="J657" s="121" t="str">
        <f t="array" ref="J657">IF(
UPPER(TRIM(CLEAN($O657)))="ENTREGADO",
IFERROR(
INDEX(REPORTE_DROPI!T:T,
MATCH($T657, REPORTE_DROPI!B:B, 0)
),
""
),
""
)
</f>
        <v/>
      </c>
      <c r="K657" s="118" t="str">
        <f t="array" ref="K657">IFERROR(
INDEX(REPORTE_DROPI!S:S,
MATCH($T657, REPORTE_DROPI!B:B, 0)
),
""
)
</f>
        <v/>
      </c>
      <c r="L657" s="118">
        <f>IF(
  O657&lt;&gt;"DEVOLUCION",
  "",
  IF(
    T657="",
    "",
    SUMIF(DEVOLUCION!F:F, T657, DEVOLUCION!D:D)
  )
)
</f>
        <v>5.07</v>
      </c>
      <c r="M657" s="118"/>
      <c r="N657" s="130" t="s">
        <v>5030</v>
      </c>
      <c r="O657" s="118" t="str">
        <f t="array" ref="O657">IFERROR(
VLOOKUP(
TRIM(CLEAN(
INDEX(REPORTE_DROPI!K:K,
MATCH(T657, REPORTE_DROPI!B:B, 0)
))),
{
TRIM(CLEAN(MAPA_ESTADOS!A:A)) ,
MAPA_ESTADOS!B:B
},
2,
FALSE
),
"REVISAR"
)
</f>
        <v>DEVOLUCION</v>
      </c>
      <c r="P657" s="118" t="s">
        <v>3955</v>
      </c>
      <c r="Q657" s="122">
        <f t="shared" si="2"/>
        <v>0</v>
      </c>
      <c r="R657" s="118"/>
      <c r="S657" s="118"/>
      <c r="T657" s="118">
        <f t="array" ref="T657">IFERROR(
INDEX(REPORTE_DROPI!B:B,
MATCH(
CLEAN(TRIM(C657)),
CLEAN(TRIM(REPORTE_DROPI!E:E)),
0
)
),
""
)
</f>
        <v>4164479</v>
      </c>
      <c r="U657" s="118">
        <v>6.418116706348E12</v>
      </c>
      <c r="V657" s="78"/>
      <c r="W657" s="78"/>
      <c r="X657" s="78"/>
      <c r="Y657" s="78"/>
      <c r="Z657" s="78"/>
    </row>
    <row r="658" ht="22.5" customHeight="1">
      <c r="A658" s="118">
        <v>657.0</v>
      </c>
      <c r="B658" s="119">
        <v>46037.0</v>
      </c>
      <c r="C658" s="126" t="s">
        <v>5031</v>
      </c>
      <c r="D658" s="118" t="str">
        <f>IFERROR(__xludf.DUMMYFUNCTION("IFERROR(
  INDEX(
    FILTER(
      'NOMBRE DE PRODUCTOS'!B:B,
      REGEXMATCH(
        UPPER(
          INDEX(
            REPORTE_DROPI!AC:AC,
            MATCH(T658, REPORTE_DROPI!B:B, 0)
          )
        ),
        UPPER('NOMBRE DE PRODUCTOS'!A:A)"&amp;"
      )
    ),
    1
  ),
  ""REVISAR""
)
"),"FilmPro®")</f>
        <v>FilmPro®</v>
      </c>
      <c r="E658" s="120" t="str">
        <f t="array" ref="E658">IF(
UPPER(TRIM(CLEAN($O658)))="ENTREGADO",
IFERROR(
INDEX(REPORTE_DROPI!Y:Y,
MATCH($T658, REPORTE_DROPI!B:B, 0)
),
""
),
""
)
</f>
        <v/>
      </c>
      <c r="F658" s="121">
        <v>3.0</v>
      </c>
      <c r="G658" s="122" t="str">
        <f t="array" ref="G658">IF(
UPPER(TRIM(CLEAN($O658)))="ENTREGADO",
IFERROR(
INDEX(REPORTE_DROPI!R:R,
MATCH($T658, REPORTE_DROPI!B:B, 0)
),
""
),
""
)
</f>
        <v/>
      </c>
      <c r="H658" s="118" t="s">
        <v>3727</v>
      </c>
      <c r="I658" s="118" t="s">
        <v>3740</v>
      </c>
      <c r="J658" s="121" t="str">
        <f t="array" ref="J658">IF(
UPPER(TRIM(CLEAN($O658)))="ENTREGADO",
IFERROR(
INDEX(REPORTE_DROPI!T:T,
MATCH($T658, REPORTE_DROPI!B:B, 0)
),
""
),
""
)
</f>
        <v/>
      </c>
      <c r="K658" s="118" t="str">
        <f t="array" ref="K658">IFERROR(
INDEX(REPORTE_DROPI!S:S,
MATCH($T658, REPORTE_DROPI!B:B, 0)
),
""
)
</f>
        <v/>
      </c>
      <c r="L658" s="118">
        <f>IF(
  O658&lt;&gt;"DEVOLUCION",
  "",
  IF(
    T658="",
    "",
    SUMIF(DEVOLUCION!F:F, T658, DEVOLUCION!D:D)
  )
)
</f>
        <v>5.12</v>
      </c>
      <c r="M658" s="118"/>
      <c r="N658" s="130" t="s">
        <v>5032</v>
      </c>
      <c r="O658" s="118" t="str">
        <f t="array" ref="O658">IFERROR(
VLOOKUP(
TRIM(CLEAN(
INDEX(REPORTE_DROPI!K:K,
MATCH(T658, REPORTE_DROPI!B:B, 0)
))),
{
TRIM(CLEAN(MAPA_ESTADOS!A:A)) ,
MAPA_ESTADOS!B:B
},
2,
FALSE
),
"REVISAR"
)
</f>
        <v>DEVOLUCION</v>
      </c>
      <c r="P658" s="118" t="s">
        <v>3955</v>
      </c>
      <c r="Q658" s="122">
        <f t="shared" si="2"/>
        <v>0</v>
      </c>
      <c r="R658" s="118"/>
      <c r="S658" s="118"/>
      <c r="T658" s="118">
        <f t="array" ref="T658">IFERROR(
INDEX(REPORTE_DROPI!B:B,
MATCH(
CLEAN(TRIM(C658)),
CLEAN(TRIM(REPORTE_DROPI!E:E)),
0
)
),
""
)
</f>
        <v>4164664</v>
      </c>
      <c r="U658" s="118">
        <v>6.418157371436E12</v>
      </c>
      <c r="V658" s="78"/>
      <c r="W658" s="78"/>
      <c r="X658" s="78"/>
      <c r="Y658" s="78"/>
      <c r="Z658" s="78"/>
    </row>
    <row r="659" ht="22.5" customHeight="1">
      <c r="A659" s="118">
        <v>658.0</v>
      </c>
      <c r="B659" s="119">
        <v>46038.0</v>
      </c>
      <c r="C659" s="118" t="s">
        <v>5033</v>
      </c>
      <c r="D659" s="118" t="str">
        <f>IFERROR(__xludf.DUMMYFUNCTION("IFERROR(
  INDEX(
    FILTER(
      'NOMBRE DE PRODUCTOS'!B:B,
      REGEXMATCH(
        UPPER(
          INDEX(
            REPORTE_DROPI!AC:AC,
            MATCH(T659, REPORTE_DROPI!B:B, 0)
          )
        ),
        UPPER('NOMBRE DE PRODUCTOS'!A:A)"&amp;"
      )
    ),
    1
  ),
  ""REVISAR""
)
"),"Cuchillo Tazaki™")</f>
        <v>Cuchillo Tazaki™</v>
      </c>
      <c r="E659" s="120">
        <f t="array" ref="E659">IF(
UPPER(TRIM(CLEAN($O659)))="ENTREGADO",
IFERROR(
INDEX(REPORTE_DROPI!Y:Y,
MATCH($T659, REPORTE_DROPI!B:B, 0)
),
""
),
""
)
</f>
        <v>4.8</v>
      </c>
      <c r="F659" s="121">
        <v>2.0</v>
      </c>
      <c r="G659" s="122">
        <f t="array" ref="G659">IF(
UPPER(TRIM(CLEAN($O659)))="ENTREGADO",
IFERROR(
INDEX(REPORTE_DROPI!R:R,
MATCH($T659, REPORTE_DROPI!B:B, 0)
),
""
),
""
)
</f>
        <v>22</v>
      </c>
      <c r="H659" s="118" t="s">
        <v>3727</v>
      </c>
      <c r="I659" s="118" t="s">
        <v>3740</v>
      </c>
      <c r="J659" s="121">
        <f t="array" ref="J659">IF(
UPPER(TRIM(CLEAN($O659)))="ENTREGADO",
IFERROR(
INDEX(REPORTE_DROPI!T:T,
MATCH($T659, REPORTE_DROPI!B:B, 0)
),
""
),
""
)
</f>
        <v>4.77</v>
      </c>
      <c r="K659" s="118">
        <f t="array" ref="K659">IFERROR(
INDEX(REPORTE_DROPI!S:S,
MATCH($T659, REPORTE_DROPI!B:B, 0)
),
""
)
</f>
        <v>12.43</v>
      </c>
      <c r="L659" s="118" t="str">
        <f>IF(
  O659&lt;&gt;"DEVOLUCION",
  "",
  IF(
    T659="",
    "",
    SUMIF(DEVOLUCION!F:F, T659, DEVOLUCION!D:D)
  )
)
</f>
        <v/>
      </c>
      <c r="M659" s="118"/>
      <c r="N659" s="130" t="s">
        <v>5034</v>
      </c>
      <c r="O659" s="118" t="str">
        <f t="array" ref="O659">IFERROR(
VLOOKUP(
TRIM(CLEAN(
INDEX(REPORTE_DROPI!K:K,
MATCH(T659, REPORTE_DROPI!B:B, 0)
))),
{
TRIM(CLEAN(MAPA_ESTADOS!A:A)) ,
MAPA_ESTADOS!B:B
},
2,
FALSE
),
"REVISAR"
)
</f>
        <v>ENTREGADO</v>
      </c>
      <c r="P659" s="118" t="s">
        <v>3955</v>
      </c>
      <c r="Q659" s="122">
        <f t="shared" si="2"/>
        <v>0</v>
      </c>
      <c r="R659" s="118"/>
      <c r="S659" s="118"/>
      <c r="T659" s="118">
        <f t="array" ref="T659">IFERROR(
INDEX(REPORTE_DROPI!B:B,
MATCH(
CLEAN(TRIM(C659)),
CLEAN(TRIM(REPORTE_DROPI!E:E)),
0
)
),
""
)
</f>
        <v>4174116</v>
      </c>
      <c r="U659" s="118">
        <v>6.418211962924E12</v>
      </c>
      <c r="V659" s="78"/>
      <c r="W659" s="78"/>
      <c r="X659" s="78"/>
      <c r="Y659" s="78"/>
      <c r="Z659" s="78"/>
    </row>
    <row r="660" ht="22.5" customHeight="1">
      <c r="A660" s="118">
        <v>659.0</v>
      </c>
      <c r="B660" s="119">
        <v>46038.0</v>
      </c>
      <c r="C660" s="118" t="s">
        <v>5035</v>
      </c>
      <c r="D660" s="118" t="str">
        <f>IFERROR(__xludf.DUMMYFUNCTION("IFERROR(
  INDEX(
    FILTER(
      'NOMBRE DE PRODUCTOS'!B:B,
      REGEXMATCH(
        UPPER(
          INDEX(
            REPORTE_DROPI!AC:AC,
            MATCH(T660, REPORTE_DROPI!B:B, 0)
          )
        ),
        UPPER('NOMBRE DE PRODUCTOS'!A:A)"&amp;"
      )
    ),
    1
  ),
  ""REVISAR""
)
"),"Cuchillo Tazaki™")</f>
        <v>Cuchillo Tazaki™</v>
      </c>
      <c r="E660" s="120" t="str">
        <f t="array" ref="E660">IF(
UPPER(TRIM(CLEAN($O660)))="ENTREGADO",
IFERROR(
INDEX(REPORTE_DROPI!Y:Y,
MATCH($T660, REPORTE_DROPI!B:B, 0)
),
""
),
""
)
</f>
        <v/>
      </c>
      <c r="F660" s="121">
        <v>2.0</v>
      </c>
      <c r="G660" s="122" t="str">
        <f t="array" ref="G660">IF(
UPPER(TRIM(CLEAN($O660)))="ENTREGADO",
IFERROR(
INDEX(REPORTE_DROPI!R:R,
MATCH($T660, REPORTE_DROPI!B:B, 0)
),
""
),
""
)
</f>
        <v/>
      </c>
      <c r="H660" s="118" t="s">
        <v>3727</v>
      </c>
      <c r="I660" s="118" t="s">
        <v>3731</v>
      </c>
      <c r="J660" s="121" t="str">
        <f t="array" ref="J660">IF(
UPPER(TRIM(CLEAN($O660)))="ENTREGADO",
IFERROR(
INDEX(REPORTE_DROPI!T:T,
MATCH($T660, REPORTE_DROPI!B:B, 0)
),
""
),
""
)
</f>
        <v/>
      </c>
      <c r="K660" s="118" t="str">
        <f t="array" ref="K660">IFERROR(
INDEX(REPORTE_DROPI!S:S,
MATCH($T660, REPORTE_DROPI!B:B, 0)
),
""
)
</f>
        <v/>
      </c>
      <c r="L660" s="118">
        <f>IF(
  O660&lt;&gt;"DEVOLUCION",
  "",
  IF(
    T660="",
    "",
    SUMIF(DEVOLUCION!F:F, T660, DEVOLUCION!D:D)
  )
)
</f>
        <v>5.07</v>
      </c>
      <c r="M660" s="118" t="s">
        <v>3870</v>
      </c>
      <c r="N660" s="130" t="s">
        <v>5036</v>
      </c>
      <c r="O660" s="118" t="str">
        <f t="array" ref="O660">IFERROR(
VLOOKUP(
TRIM(CLEAN(
INDEX(REPORTE_DROPI!K:K,
MATCH(T660, REPORTE_DROPI!B:B, 0)
))),
{
TRIM(CLEAN(MAPA_ESTADOS!A:A)) ,
MAPA_ESTADOS!B:B
},
2,
FALSE
),
"REVISAR"
)
</f>
        <v>DEVOLUCION</v>
      </c>
      <c r="P660" s="118"/>
      <c r="Q660" s="122">
        <f t="shared" si="2"/>
        <v>0</v>
      </c>
      <c r="R660" s="118"/>
      <c r="S660" s="118"/>
      <c r="T660" s="118">
        <f t="array" ref="T660">IFERROR(
INDEX(REPORTE_DROPI!B:B,
MATCH(
CLEAN(TRIM(C660)),
CLEAN(TRIM(REPORTE_DROPI!E:E)),
0
)
),
""
)
</f>
        <v>4165019</v>
      </c>
      <c r="U660" s="118">
        <v>6.418272387116E12</v>
      </c>
      <c r="V660" s="78"/>
      <c r="W660" s="78"/>
      <c r="X660" s="78"/>
      <c r="Y660" s="78"/>
      <c r="Z660" s="78"/>
    </row>
    <row r="661" ht="22.5" customHeight="1">
      <c r="A661" s="118">
        <v>660.0</v>
      </c>
      <c r="B661" s="119">
        <v>46038.0</v>
      </c>
      <c r="C661" s="126" t="s">
        <v>5037</v>
      </c>
      <c r="D661" s="118" t="str">
        <f>IFERROR(__xludf.DUMMYFUNCTION("IFERROR(
  INDEX(
    FILTER(
      'NOMBRE DE PRODUCTOS'!B:B,
      REGEXMATCH(
        UPPER(
          INDEX(
            REPORTE_DROPI!AC:AC,
            MATCH(T661, REPORTE_DROPI!B:B, 0)
          )
        ),
        UPPER('NOMBRE DE PRODUCTOS'!A:A)"&amp;"
      )
    ),
    1
  ),
  ""REVISAR""
)
"),"FilmPro®")</f>
        <v>FilmPro®</v>
      </c>
      <c r="E661" s="120" t="str">
        <f t="array" ref="E661">IF(
UPPER(TRIM(CLEAN($O661)))="ENTREGADO",
IFERROR(
INDEX(REPORTE_DROPI!Y:Y,
MATCH($T661, REPORTE_DROPI!B:B, 0)
),
""
),
""
)
</f>
        <v/>
      </c>
      <c r="F661" s="121">
        <v>3.0</v>
      </c>
      <c r="G661" s="122" t="str">
        <f t="array" ref="G661">IF(
UPPER(TRIM(CLEAN($O661)))="ENTREGADO",
IFERROR(
INDEX(REPORTE_DROPI!R:R,
MATCH($T661, REPORTE_DROPI!B:B, 0)
),
""
),
""
)
</f>
        <v/>
      </c>
      <c r="H661" s="118" t="s">
        <v>3727</v>
      </c>
      <c r="I661" s="118" t="s">
        <v>3778</v>
      </c>
      <c r="J661" s="121" t="str">
        <f t="array" ref="J661">IF(
UPPER(TRIM(CLEAN($O661)))="ENTREGADO",
IFERROR(
INDEX(REPORTE_DROPI!T:T,
MATCH($T661, REPORTE_DROPI!B:B, 0)
),
""
),
""
)
</f>
        <v/>
      </c>
      <c r="K661" s="118" t="str">
        <f t="array" ref="K661">IFERROR(
INDEX(REPORTE_DROPI!S:S,
MATCH($T661, REPORTE_DROPI!B:B, 0)
),
""
)
</f>
        <v/>
      </c>
      <c r="L661" s="118" t="str">
        <f>IF(
  O661&lt;&gt;"DEVOLUCION",
  "",
  IF(
    T661="",
    "",
    SUMIF(DEVOLUCION!F:F, T661, DEVOLUCION!D:D)
  )
)
</f>
        <v/>
      </c>
      <c r="M661" s="118"/>
      <c r="N661" s="128" t="s">
        <v>5038</v>
      </c>
      <c r="O661" s="118" t="str">
        <f t="array" ref="O661">IFERROR(
VLOOKUP(
TRIM(CLEAN(
INDEX(REPORTE_DROPI!K:K,
MATCH(T661, REPORTE_DROPI!B:B, 0)
))),
{
TRIM(CLEAN(MAPA_ESTADOS!A:A)) ,
MAPA_ESTADOS!B:B
},
2,
FALSE
),
"REVISAR"
)
</f>
        <v>PENDIENTE</v>
      </c>
      <c r="P661" s="118" t="s">
        <v>3955</v>
      </c>
      <c r="Q661" s="122">
        <f t="shared" si="2"/>
        <v>0</v>
      </c>
      <c r="R661" s="118"/>
      <c r="S661" s="118"/>
      <c r="T661" s="118">
        <f t="array" ref="T661">IFERROR(
INDEX(REPORTE_DROPI!B:B,
MATCH(
CLEAN(TRIM(C661)),
CLEAN(TRIM(REPORTE_DROPI!E:E)),
0
)
),
""
)
</f>
        <v>4173400</v>
      </c>
      <c r="U661" s="118">
        <v>6.418308169772E12</v>
      </c>
      <c r="V661" s="78"/>
      <c r="W661" s="78"/>
      <c r="X661" s="78"/>
      <c r="Y661" s="78"/>
      <c r="Z661" s="78"/>
    </row>
    <row r="662" ht="22.5" customHeight="1">
      <c r="A662" s="118">
        <v>661.0</v>
      </c>
      <c r="B662" s="119">
        <v>46038.0</v>
      </c>
      <c r="C662" s="118" t="s">
        <v>5039</v>
      </c>
      <c r="D662" s="118" t="str">
        <f>IFERROR(__xludf.DUMMYFUNCTION("IFERROR(
  INDEX(
    FILTER(
      'NOMBRE DE PRODUCTOS'!B:B,
      REGEXMATCH(
        UPPER(
          INDEX(
            REPORTE_DROPI!AC:AC,
            MATCH(T662, REPORTE_DROPI!B:B, 0)
          )
        ),
        UPPER('NOMBRE DE PRODUCTOS'!A:A)"&amp;"
      )
    ),
    1
  ),
  ""REVISAR""
)
"),"FilmPro®")</f>
        <v>FilmPro®</v>
      </c>
      <c r="E662" s="120">
        <f t="array" ref="E662">IF(
UPPER(TRIM(CLEAN($O662)))="ENTREGADO",
IFERROR(
INDEX(REPORTE_DROPI!Y:Y,
MATCH($T662, REPORTE_DROPI!B:B, 0)
),
""
),
""
)
</f>
        <v>4.7</v>
      </c>
      <c r="F662" s="121">
        <v>2.0</v>
      </c>
      <c r="G662" s="122">
        <f t="array" ref="G662">IF(
UPPER(TRIM(CLEAN($O662)))="ENTREGADO",
IFERROR(
INDEX(REPORTE_DROPI!R:R,
MATCH($T662, REPORTE_DROPI!B:B, 0)
),
""
),
""
)
</f>
        <v>25</v>
      </c>
      <c r="H662" s="118" t="s">
        <v>3727</v>
      </c>
      <c r="I662" s="118" t="s">
        <v>3742</v>
      </c>
      <c r="J662" s="121">
        <f t="array" ref="J662">IF(
UPPER(TRIM(CLEAN($O662)))="ENTREGADO",
IFERROR(
INDEX(REPORTE_DROPI!T:T,
MATCH($T662, REPORTE_DROPI!B:B, 0)
),
""
),
""
)
</f>
        <v>5.96</v>
      </c>
      <c r="K662" s="118">
        <f t="array" ref="K662">IFERROR(
INDEX(REPORTE_DROPI!S:S,
MATCH($T662, REPORTE_DROPI!B:B, 0)
),
""
)
</f>
        <v>14.34</v>
      </c>
      <c r="L662" s="118" t="str">
        <f>IF(
  O662&lt;&gt;"DEVOLUCION",
  "",
  IF(
    T662="",
    "",
    SUMIF(DEVOLUCION!F:F, T662, DEVOLUCION!D:D)
  )
)
</f>
        <v/>
      </c>
      <c r="M662" s="118"/>
      <c r="N662" s="130" t="s">
        <v>5040</v>
      </c>
      <c r="O662" s="118" t="str">
        <f t="array" ref="O662">IFERROR(
VLOOKUP(
TRIM(CLEAN(
INDEX(REPORTE_DROPI!K:K,
MATCH(T662, REPORTE_DROPI!B:B, 0)
))),
{
TRIM(CLEAN(MAPA_ESTADOS!A:A)) ,
MAPA_ESTADOS!B:B
},
2,
FALSE
),
"REVISAR"
)
</f>
        <v>ENTREGADO</v>
      </c>
      <c r="P662" s="118" t="s">
        <v>3955</v>
      </c>
      <c r="Q662" s="122">
        <f t="shared" si="2"/>
        <v>0</v>
      </c>
      <c r="R662" s="118"/>
      <c r="S662" s="118"/>
      <c r="T662" s="118">
        <f t="array" ref="T662">IFERROR(
INDEX(REPORTE_DROPI!B:B,
MATCH(
CLEAN(TRIM(C662)),
CLEAN(TRIM(REPORTE_DROPI!E:E)),
0
)
),
""
)
</f>
        <v>4165226</v>
      </c>
      <c r="U662" s="118">
        <v>6.4183571907E12</v>
      </c>
      <c r="V662" s="78"/>
      <c r="W662" s="78"/>
      <c r="X662" s="78"/>
      <c r="Y662" s="78"/>
      <c r="Z662" s="78"/>
    </row>
    <row r="663" ht="22.5" customHeight="1">
      <c r="A663" s="118">
        <v>662.0</v>
      </c>
      <c r="B663" s="119">
        <v>46038.0</v>
      </c>
      <c r="C663" s="118" t="s">
        <v>5041</v>
      </c>
      <c r="D663" s="118" t="str">
        <f>IFERROR(__xludf.DUMMYFUNCTION("IFERROR(
  INDEX(
    FILTER(
      'NOMBRE DE PRODUCTOS'!B:B,
      REGEXMATCH(
        UPPER(
          INDEX(
            REPORTE_DROPI!AC:AC,
            MATCH(T663, REPORTE_DROPI!B:B, 0)
          )
        ),
        UPPER('NOMBRE DE PRODUCTOS'!A:A)"&amp;"
      )
    ),
    1
  ),
  ""REVISAR""
)
"),"FilmPro®")</f>
        <v>FilmPro®</v>
      </c>
      <c r="E663" s="120">
        <f t="array" ref="E663">IF(
UPPER(TRIM(CLEAN($O663)))="ENTREGADO",
IFERROR(
INDEX(REPORTE_DROPI!Y:Y,
MATCH($T663, REPORTE_DROPI!B:B, 0)
),
""
),
""
)
</f>
        <v>2.35</v>
      </c>
      <c r="F663" s="121">
        <v>1.0</v>
      </c>
      <c r="G663" s="122">
        <f t="array" ref="G663">IF(
UPPER(TRIM(CLEAN($O663)))="ENTREGADO",
IFERROR(
INDEX(REPORTE_DROPI!R:R,
MATCH($T663, REPORTE_DROPI!B:B, 0)
),
""
),
""
)
</f>
        <v>20</v>
      </c>
      <c r="H663" s="118" t="s">
        <v>3727</v>
      </c>
      <c r="I663" s="118" t="s">
        <v>3801</v>
      </c>
      <c r="J663" s="121">
        <f t="array" ref="J663">IF(
UPPER(TRIM(CLEAN($O663)))="ENTREGADO",
IFERROR(
INDEX(REPORTE_DROPI!T:T,
MATCH($T663, REPORTE_DROPI!B:B, 0)
),
""
),
""
)
</f>
        <v>7.67</v>
      </c>
      <c r="K663" s="118">
        <f t="array" ref="K663">IFERROR(
INDEX(REPORTE_DROPI!S:S,
MATCH($T663, REPORTE_DROPI!B:B, 0)
),
""
)
</f>
        <v>9.98</v>
      </c>
      <c r="L663" s="118" t="str">
        <f>IF(
  O663&lt;&gt;"DEVOLUCION",
  "",
  IF(
    T663="",
    "",
    SUMIF(DEVOLUCION!F:F, T663, DEVOLUCION!D:D)
  )
)
</f>
        <v/>
      </c>
      <c r="M663" s="118"/>
      <c r="N663" s="130" t="s">
        <v>5042</v>
      </c>
      <c r="O663" s="118" t="str">
        <f t="array" ref="O663">IFERROR(
VLOOKUP(
TRIM(CLEAN(
INDEX(REPORTE_DROPI!K:K,
MATCH(T663, REPORTE_DROPI!B:B, 0)
))),
{
TRIM(CLEAN(MAPA_ESTADOS!A:A)) ,
MAPA_ESTADOS!B:B
},
2,
FALSE
),
"REVISAR"
)
</f>
        <v>ENTREGADO</v>
      </c>
      <c r="P663" s="118" t="s">
        <v>3955</v>
      </c>
      <c r="Q663" s="122">
        <f t="shared" si="2"/>
        <v>0</v>
      </c>
      <c r="R663" s="118"/>
      <c r="S663" s="118"/>
      <c r="T663" s="118">
        <f t="array" ref="T663">IFERROR(
INDEX(REPORTE_DROPI!B:B,
MATCH(
CLEAN(TRIM(C663)),
CLEAN(TRIM(REPORTE_DROPI!E:E)),
0
)
),
""
)
</f>
        <v>4165247</v>
      </c>
      <c r="U663" s="118">
        <v>6.418370035756E12</v>
      </c>
      <c r="V663" s="78"/>
      <c r="W663" s="78"/>
      <c r="X663" s="78"/>
      <c r="Y663" s="78"/>
      <c r="Z663" s="78"/>
    </row>
    <row r="664" ht="22.5" customHeight="1">
      <c r="A664" s="118">
        <v>663.0</v>
      </c>
      <c r="B664" s="119">
        <v>46038.0</v>
      </c>
      <c r="C664" s="118" t="s">
        <v>5043</v>
      </c>
      <c r="D664" s="118" t="str">
        <f>IFERROR(__xludf.DUMMYFUNCTION("IFERROR(
  INDEX(
    FILTER(
      'NOMBRE DE PRODUCTOS'!B:B,
      REGEXMATCH(
        UPPER(
          INDEX(
            REPORTE_DROPI!AC:AC,
            MATCH(T664, REPORTE_DROPI!B:B, 0)
          )
        ),
        UPPER('NOMBRE DE PRODUCTOS'!A:A)"&amp;"
      )
    ),
    1
  ),
  ""REVISAR""
)
"),"Cuchillo Tazaki™")</f>
        <v>Cuchillo Tazaki™</v>
      </c>
      <c r="E664" s="120" t="str">
        <f t="array" ref="E664">IF(
UPPER(TRIM(CLEAN($O664)))="ENTREGADO",
IFERROR(
INDEX(REPORTE_DROPI!Y:Y,
MATCH($T664, REPORTE_DROPI!B:B, 0)
),
""
),
""
)
</f>
        <v/>
      </c>
      <c r="F664" s="121">
        <v>2.0</v>
      </c>
      <c r="G664" s="122" t="str">
        <f t="array" ref="G664">IF(
UPPER(TRIM(CLEAN($O664)))="ENTREGADO",
IFERROR(
INDEX(REPORTE_DROPI!R:R,
MATCH($T664, REPORTE_DROPI!B:B, 0)
),
""
),
""
)
</f>
        <v/>
      </c>
      <c r="H664" s="118" t="s">
        <v>3727</v>
      </c>
      <c r="I664" s="118" t="s">
        <v>3801</v>
      </c>
      <c r="J664" s="121" t="str">
        <f t="array" ref="J664">IF(
UPPER(TRIM(CLEAN($O664)))="ENTREGADO",
IFERROR(
INDEX(REPORTE_DROPI!T:T,
MATCH($T664, REPORTE_DROPI!B:B, 0)
),
""
),
""
)
</f>
        <v/>
      </c>
      <c r="K664" s="118" t="str">
        <f t="array" ref="K664">IFERROR(
INDEX(REPORTE_DROPI!S:S,
MATCH($T664, REPORTE_DROPI!B:B, 0)
),
""
)
</f>
        <v/>
      </c>
      <c r="L664" s="118">
        <f>IF(
  O664&lt;&gt;"DEVOLUCION",
  "",
  IF(
    T664="",
    "",
    SUMIF(DEVOLUCION!F:F, T664, DEVOLUCION!D:D)
  )
)
</f>
        <v>7.7</v>
      </c>
      <c r="M664" s="118"/>
      <c r="N664" s="130" t="s">
        <v>5044</v>
      </c>
      <c r="O664" s="118" t="str">
        <f t="array" ref="O664">IFERROR(
VLOOKUP(
TRIM(CLEAN(
INDEX(REPORTE_DROPI!K:K,
MATCH(T664, REPORTE_DROPI!B:B, 0)
))),
{
TRIM(CLEAN(MAPA_ESTADOS!A:A)) ,
MAPA_ESTADOS!B:B
},
2,
FALSE
),
"REVISAR"
)
</f>
        <v>DEVOLUCION</v>
      </c>
      <c r="P664" s="118" t="s">
        <v>3955</v>
      </c>
      <c r="Q664" s="122">
        <f t="shared" si="2"/>
        <v>0</v>
      </c>
      <c r="R664" s="118"/>
      <c r="S664" s="118"/>
      <c r="T664" s="118">
        <f t="array" ref="T664">IFERROR(
INDEX(REPORTE_DROPI!B:B,
MATCH(
CLEAN(TRIM(C664)),
CLEAN(TRIM(REPORTE_DROPI!E:E)),
0
)
),
""
)
</f>
        <v>4174209</v>
      </c>
      <c r="U664" s="118">
        <v>6.418370265132E12</v>
      </c>
      <c r="V664" s="78"/>
      <c r="W664" s="78"/>
      <c r="X664" s="78"/>
      <c r="Y664" s="78"/>
      <c r="Z664" s="78"/>
    </row>
    <row r="665" ht="22.5" customHeight="1">
      <c r="A665" s="118">
        <v>664.0</v>
      </c>
      <c r="B665" s="119">
        <v>46038.0</v>
      </c>
      <c r="C665" s="118" t="s">
        <v>5045</v>
      </c>
      <c r="D665" s="118" t="str">
        <f>IFERROR(__xludf.DUMMYFUNCTION("IFERROR(
  INDEX(
    FILTER(
      'NOMBRE DE PRODUCTOS'!B:B,
      REGEXMATCH(
        UPPER(
          INDEX(
            REPORTE_DROPI!AC:AC,
            MATCH(T665, REPORTE_DROPI!B:B, 0)
          )
        ),
        UPPER('NOMBRE DE PRODUCTOS'!A:A)"&amp;"
      )
    ),
    1
  ),
  ""REVISAR""
)
"),"FilmPro®")</f>
        <v>FilmPro®</v>
      </c>
      <c r="E665" s="120">
        <f t="array" ref="E665">IF(
UPPER(TRIM(CLEAN($O665)))="ENTREGADO",
IFERROR(
INDEX(REPORTE_DROPI!Y:Y,
MATCH($T665, REPORTE_DROPI!B:B, 0)
),
""
),
""
)
</f>
        <v>2.35</v>
      </c>
      <c r="F665" s="121">
        <v>1.0</v>
      </c>
      <c r="G665" s="122">
        <f t="array" ref="G665">IF(
UPPER(TRIM(CLEAN($O665)))="ENTREGADO",
IFERROR(
INDEX(REPORTE_DROPI!R:R,
MATCH($T665, REPORTE_DROPI!B:B, 0)
),
""
),
""
)
</f>
        <v>20</v>
      </c>
      <c r="H665" s="118" t="s">
        <v>3727</v>
      </c>
      <c r="I665" s="118" t="s">
        <v>3740</v>
      </c>
      <c r="J665" s="121">
        <f t="array" ref="J665">IF(
UPPER(TRIM(CLEAN($O665)))="ENTREGADO",
IFERROR(
INDEX(REPORTE_DROPI!T:T,
MATCH($T665, REPORTE_DROPI!B:B, 0)
),
""
),
""
)
</f>
        <v>5.76</v>
      </c>
      <c r="K665" s="118">
        <f t="array" ref="K665">IFERROR(
INDEX(REPORTE_DROPI!S:S,
MATCH($T665, REPORTE_DROPI!B:B, 0)
),
""
)
</f>
        <v>11.89</v>
      </c>
      <c r="L665" s="118" t="str">
        <f>IF(
  O665&lt;&gt;"DEVOLUCION",
  "",
  IF(
    T665="",
    "",
    SUMIF(DEVOLUCION!F:F, T665, DEVOLUCION!D:D)
  )
)
</f>
        <v/>
      </c>
      <c r="M665" s="118"/>
      <c r="N665" s="130" t="s">
        <v>5046</v>
      </c>
      <c r="O665" s="118" t="str">
        <f t="array" ref="O665">IFERROR(
VLOOKUP(
TRIM(CLEAN(
INDEX(REPORTE_DROPI!K:K,
MATCH(T665, REPORTE_DROPI!B:B, 0)
))),
{
TRIM(CLEAN(MAPA_ESTADOS!A:A)) ,
MAPA_ESTADOS!B:B
},
2,
FALSE
),
"REVISAR"
)
</f>
        <v>ENTREGADO</v>
      </c>
      <c r="P665" s="118" t="s">
        <v>3955</v>
      </c>
      <c r="Q665" s="122">
        <f t="shared" si="2"/>
        <v>0</v>
      </c>
      <c r="R665" s="118"/>
      <c r="S665" s="118"/>
      <c r="T665" s="118">
        <f t="array" ref="T665">IFERROR(
INDEX(REPORTE_DROPI!B:B,
MATCH(
CLEAN(TRIM(C665)),
CLEAN(TRIM(REPORTE_DROPI!E:E)),
0
)
),
""
)
</f>
        <v>4165556</v>
      </c>
      <c r="U665" s="118">
        <v>6.418555863084E12</v>
      </c>
      <c r="V665" s="78"/>
      <c r="W665" s="78"/>
      <c r="X665" s="78"/>
      <c r="Y665" s="78"/>
      <c r="Z665" s="78"/>
    </row>
    <row r="666" ht="22.5" customHeight="1">
      <c r="A666" s="118">
        <v>665.0</v>
      </c>
      <c r="B666" s="119">
        <v>46038.0</v>
      </c>
      <c r="C666" s="126" t="s">
        <v>5047</v>
      </c>
      <c r="D666" s="118" t="str">
        <f>IFERROR(__xludf.DUMMYFUNCTION("IFERROR(
  INDEX(
    FILTER(
      'NOMBRE DE PRODUCTOS'!B:B,
      REGEXMATCH(
        UPPER(
          INDEX(
            REPORTE_DROPI!AC:AC,
            MATCH(T666, REPORTE_DROPI!B:B, 0)
          )
        ),
        UPPER('NOMBRE DE PRODUCTOS'!A:A)"&amp;"
      )
    ),
    1
  ),
  ""REVISAR""
)
"),"FilmPro®")</f>
        <v>FilmPro®</v>
      </c>
      <c r="E666" s="120" t="str">
        <f t="array" ref="E666">IF(
UPPER(TRIM(CLEAN($O666)))="ENTREGADO",
IFERROR(
INDEX(REPORTE_DROPI!Y:Y,
MATCH($T666, REPORTE_DROPI!B:B, 0)
),
""
),
""
)
</f>
        <v/>
      </c>
      <c r="F666" s="121">
        <v>3.0</v>
      </c>
      <c r="G666" s="122" t="str">
        <f t="array" ref="G666">IF(
UPPER(TRIM(CLEAN($O666)))="ENTREGADO",
IFERROR(
INDEX(REPORTE_DROPI!R:R,
MATCH($T666, REPORTE_DROPI!B:B, 0)
),
""
),
""
)
</f>
        <v/>
      </c>
      <c r="H666" s="118" t="s">
        <v>3727</v>
      </c>
      <c r="I666" s="118" t="s">
        <v>3731</v>
      </c>
      <c r="J666" s="121" t="str">
        <f t="array" ref="J666">IF(
UPPER(TRIM(CLEAN($O666)))="ENTREGADO",
IFERROR(
INDEX(REPORTE_DROPI!T:T,
MATCH($T666, REPORTE_DROPI!B:B, 0)
),
""
),
""
)
</f>
        <v/>
      </c>
      <c r="K666" s="118" t="str">
        <f t="array" ref="K666">IFERROR(
INDEX(REPORTE_DROPI!S:S,
MATCH($T666, REPORTE_DROPI!B:B, 0)
),
""
)
</f>
        <v/>
      </c>
      <c r="L666" s="118" t="str">
        <f>IF(
  O666&lt;&gt;"DEVOLUCION",
  "",
  IF(
    T666="",
    "",
    SUMIF(DEVOLUCION!F:F, T666, DEVOLUCION!D:D)
  )
)
</f>
        <v/>
      </c>
      <c r="M666" s="118"/>
      <c r="N666" s="130" t="s">
        <v>5048</v>
      </c>
      <c r="O666" s="118" t="str">
        <f t="array" ref="O666">IFERROR(
VLOOKUP(
TRIM(CLEAN(
INDEX(REPORTE_DROPI!K:K,
MATCH(T666, REPORTE_DROPI!B:B, 0)
))),
{
TRIM(CLEAN(MAPA_ESTADOS!A:A)) ,
MAPA_ESTADOS!B:B
},
2,
FALSE
),
"REVISAR"
)
</f>
        <v>PENDIENTE</v>
      </c>
      <c r="P666" s="118" t="s">
        <v>3689</v>
      </c>
      <c r="Q666" s="122">
        <f t="shared" si="2"/>
        <v>0</v>
      </c>
      <c r="R666" s="118"/>
      <c r="S666" s="118"/>
      <c r="T666" s="118">
        <f t="array" ref="T666">IFERROR(
INDEX(REPORTE_DROPI!B:B,
MATCH(
CLEAN(TRIM(C666)),
CLEAN(TRIM(REPORTE_DROPI!E:E)),
0
)
),
""
)
</f>
        <v>4165725</v>
      </c>
      <c r="U666" s="118">
        <v>6.41858967966E12</v>
      </c>
      <c r="V666" s="78"/>
      <c r="W666" s="78"/>
      <c r="X666" s="78"/>
      <c r="Y666" s="78"/>
      <c r="Z666" s="78"/>
    </row>
    <row r="667" ht="22.5" customHeight="1">
      <c r="A667" s="118">
        <v>666.0</v>
      </c>
      <c r="B667" s="119">
        <v>46038.0</v>
      </c>
      <c r="C667" s="118" t="s">
        <v>5049</v>
      </c>
      <c r="D667" s="118" t="str">
        <f>IFERROR(__xludf.DUMMYFUNCTION("IFERROR(
  INDEX(
    FILTER(
      'NOMBRE DE PRODUCTOS'!B:B,
      REGEXMATCH(
        UPPER(
          INDEX(
            REPORTE_DROPI!AC:AC,
            MATCH(T667, REPORTE_DROPI!B:B, 0)
          )
        ),
        UPPER('NOMBRE DE PRODUCTOS'!A:A)"&amp;"
      )
    ),
    1
  ),
  ""REVISAR""
)
"),"FilmPro®")</f>
        <v>FilmPro®</v>
      </c>
      <c r="E667" s="120">
        <f t="array" ref="E667">IF(
UPPER(TRIM(CLEAN($O667)))="ENTREGADO",
IFERROR(
INDEX(REPORTE_DROPI!Y:Y,
MATCH($T667, REPORTE_DROPI!B:B, 0)
),
""
),
""
)
</f>
        <v>4.7</v>
      </c>
      <c r="F667" s="121">
        <v>2.0</v>
      </c>
      <c r="G667" s="122">
        <f t="array" ref="G667">IF(
UPPER(TRIM(CLEAN($O667)))="ENTREGADO",
IFERROR(
INDEX(REPORTE_DROPI!R:R,
MATCH($T667, REPORTE_DROPI!B:B, 0)
),
""
),
""
)
</f>
        <v>25</v>
      </c>
      <c r="H667" s="118" t="s">
        <v>3727</v>
      </c>
      <c r="I667" s="118" t="s">
        <v>3740</v>
      </c>
      <c r="J667" s="121">
        <f t="array" ref="J667">IF(
UPPER(TRIM(CLEAN($O667)))="ENTREGADO",
IFERROR(
INDEX(REPORTE_DROPI!T:T,
MATCH($T667, REPORTE_DROPI!B:B, 0)
),
""
),
""
)
</f>
        <v>5.96</v>
      </c>
      <c r="K667" s="118">
        <f t="array" ref="K667">IFERROR(
INDEX(REPORTE_DROPI!S:S,
MATCH($T667, REPORTE_DROPI!B:B, 0)
),
""
)
</f>
        <v>14.34</v>
      </c>
      <c r="L667" s="118" t="str">
        <f>IF(
  O667&lt;&gt;"DEVOLUCION",
  "",
  IF(
    T667="",
    "",
    SUMIF(DEVOLUCION!F:F, T667, DEVOLUCION!D:D)
  )
)
</f>
        <v/>
      </c>
      <c r="M667" s="118"/>
      <c r="N667" s="130" t="s">
        <v>5050</v>
      </c>
      <c r="O667" s="118" t="str">
        <f t="array" ref="O667">IFERROR(
VLOOKUP(
TRIM(CLEAN(
INDEX(REPORTE_DROPI!K:K,
MATCH(T667, REPORTE_DROPI!B:B, 0)
))),
{
TRIM(CLEAN(MAPA_ESTADOS!A:A)) ,
MAPA_ESTADOS!B:B
},
2,
FALSE
),
"REVISAR"
)
</f>
        <v>ENTREGADO</v>
      </c>
      <c r="P667" s="118" t="s">
        <v>3955</v>
      </c>
      <c r="Q667" s="122">
        <f t="shared" si="2"/>
        <v>0</v>
      </c>
      <c r="R667" s="118"/>
      <c r="S667" s="118"/>
      <c r="T667" s="118">
        <f t="array" ref="T667">IFERROR(
INDEX(REPORTE_DROPI!B:B,
MATCH(
CLEAN(TRIM(C667)),
CLEAN(TRIM(REPORTE_DROPI!E:E)),
0
)
),
""
)
</f>
        <v>4165783</v>
      </c>
      <c r="U667" s="118">
        <v>6.4185996739E12</v>
      </c>
      <c r="V667" s="78"/>
      <c r="W667" s="78"/>
      <c r="X667" s="78"/>
      <c r="Y667" s="78"/>
      <c r="Z667" s="78"/>
    </row>
    <row r="668" ht="22.5" customHeight="1">
      <c r="A668" s="118">
        <v>667.0</v>
      </c>
      <c r="B668" s="119">
        <v>46038.0</v>
      </c>
      <c r="C668" s="118" t="s">
        <v>5051</v>
      </c>
      <c r="D668" s="118" t="str">
        <f>IFERROR(__xludf.DUMMYFUNCTION("IFERROR(
  INDEX(
    FILTER(
      'NOMBRE DE PRODUCTOS'!B:B,
      REGEXMATCH(
        UPPER(
          INDEX(
            REPORTE_DROPI!AC:AC,
            MATCH(T668, REPORTE_DROPI!B:B, 0)
          )
        ),
        UPPER('NOMBRE DE PRODUCTOS'!A:A)"&amp;"
      )
    ),
    1
  ),
  ""REVISAR""
)
"),"Cuchillo Tazaki™")</f>
        <v>Cuchillo Tazaki™</v>
      </c>
      <c r="E668" s="120">
        <f t="array" ref="E668">IF(
UPPER(TRIM(CLEAN($O668)))="ENTREGADO",
IFERROR(
INDEX(REPORTE_DROPI!Y:Y,
MATCH($T668, REPORTE_DROPI!B:B, 0)
),
""
),
""
)
</f>
        <v>5.2</v>
      </c>
      <c r="F668" s="121">
        <v>2.0</v>
      </c>
      <c r="G668" s="122">
        <f t="array" ref="G668">IF(
UPPER(TRIM(CLEAN($O668)))="ENTREGADO",
IFERROR(
INDEX(REPORTE_DROPI!R:R,
MATCH($T668, REPORTE_DROPI!B:B, 0)
),
""
),
""
)
</f>
        <v>22</v>
      </c>
      <c r="H668" s="118" t="s">
        <v>3727</v>
      </c>
      <c r="I668" s="118" t="s">
        <v>3912</v>
      </c>
      <c r="J668" s="121">
        <f t="array" ref="J668">IF(
UPPER(TRIM(CLEAN($O668)))="ENTREGADO",
IFERROR(
INDEX(REPORTE_DROPI!T:T,
MATCH($T668, REPORTE_DROPI!B:B, 0)
),
""
),
""
)
</f>
        <v>5.84</v>
      </c>
      <c r="K668" s="118">
        <f t="array" ref="K668">IFERROR(
INDEX(REPORTE_DROPI!S:S,
MATCH($T668, REPORTE_DROPI!B:B, 0)
),
""
)
</f>
        <v>10.96</v>
      </c>
      <c r="L668" s="118" t="str">
        <f>IF(
  O668&lt;&gt;"DEVOLUCION",
  "",
  IF(
    T668="",
    "",
    SUMIF(DEVOLUCION!F:F, T668, DEVOLUCION!D:D)
  )
)
</f>
        <v/>
      </c>
      <c r="M668" s="118"/>
      <c r="N668" s="130" t="s">
        <v>5052</v>
      </c>
      <c r="O668" s="118" t="str">
        <f t="array" ref="O668">IFERROR(
VLOOKUP(
TRIM(CLEAN(
INDEX(REPORTE_DROPI!K:K,
MATCH(T668, REPORTE_DROPI!B:B, 0)
))),
{
TRIM(CLEAN(MAPA_ESTADOS!A:A)) ,
MAPA_ESTADOS!B:B
},
2,
FALSE
),
"REVISAR"
)
</f>
        <v>ENTREGADO</v>
      </c>
      <c r="P668" s="118" t="s">
        <v>3955</v>
      </c>
      <c r="Q668" s="122">
        <f t="shared" si="2"/>
        <v>0</v>
      </c>
      <c r="R668" s="118"/>
      <c r="S668" s="118"/>
      <c r="T668" s="118">
        <f t="array" ref="T668">IFERROR(
INDEX(REPORTE_DROPI!B:B,
MATCH(
CLEAN(TRIM(C668)),
CLEAN(TRIM(REPORTE_DROPI!E:E)),
0
)
),
""
)
</f>
        <v>4165797</v>
      </c>
      <c r="U668" s="118">
        <v>6.418603180076E12</v>
      </c>
      <c r="V668" s="78"/>
      <c r="W668" s="78"/>
      <c r="X668" s="78"/>
      <c r="Y668" s="78"/>
      <c r="Z668" s="78"/>
    </row>
    <row r="669" ht="22.5" customHeight="1">
      <c r="A669" s="118">
        <v>668.0</v>
      </c>
      <c r="B669" s="119">
        <v>46038.0</v>
      </c>
      <c r="C669" s="118" t="s">
        <v>5053</v>
      </c>
      <c r="D669" s="118" t="str">
        <f>IFERROR(__xludf.DUMMYFUNCTION("IFERROR(
  INDEX(
    FILTER(
      'NOMBRE DE PRODUCTOS'!B:B,
      REGEXMATCH(
        UPPER(
          INDEX(
            REPORTE_DROPI!AC:AC,
            MATCH(T669, REPORTE_DROPI!B:B, 0)
          )
        ),
        UPPER('NOMBRE DE PRODUCTOS'!A:A)"&amp;"
      )
    ),
    1
  ),
  ""REVISAR""
)
"),"Cuchillo Tazaki™")</f>
        <v>Cuchillo Tazaki™</v>
      </c>
      <c r="E669" s="120">
        <f t="array" ref="E669">IF(
UPPER(TRIM(CLEAN($O669)))="ENTREGADO",
IFERROR(
INDEX(REPORTE_DROPI!Y:Y,
MATCH($T669, REPORTE_DROPI!B:B, 0)
),
""
),
""
)
</f>
        <v>5.2</v>
      </c>
      <c r="F669" s="121">
        <v>2.0</v>
      </c>
      <c r="G669" s="122">
        <f t="array" ref="G669">IF(
UPPER(TRIM(CLEAN($O669)))="ENTREGADO",
IFERROR(
INDEX(REPORTE_DROPI!R:R,
MATCH($T669, REPORTE_DROPI!B:B, 0)
),
""
),
""
)
</f>
        <v>22</v>
      </c>
      <c r="H669" s="118" t="s">
        <v>3727</v>
      </c>
      <c r="I669" s="118" t="s">
        <v>3731</v>
      </c>
      <c r="J669" s="121">
        <f t="array" ref="J669">IF(
UPPER(TRIM(CLEAN($O669)))="ENTREGADO",
IFERROR(
INDEX(REPORTE_DROPI!T:T,
MATCH($T669, REPORTE_DROPI!B:B, 0)
),
""
),
""
)
</f>
        <v>5.84</v>
      </c>
      <c r="K669" s="118">
        <f t="array" ref="K669">IFERROR(
INDEX(REPORTE_DROPI!S:S,
MATCH($T669, REPORTE_DROPI!B:B, 0)
),
""
)
</f>
        <v>10.96</v>
      </c>
      <c r="L669" s="118" t="str">
        <f>IF(
  O669&lt;&gt;"DEVOLUCION",
  "",
  IF(
    T669="",
    "",
    SUMIF(DEVOLUCION!F:F, T669, DEVOLUCION!D:D)
  )
)
</f>
        <v/>
      </c>
      <c r="M669" s="118"/>
      <c r="N669" s="130" t="s">
        <v>5054</v>
      </c>
      <c r="O669" s="118" t="str">
        <f t="array" ref="O669">IFERROR(
VLOOKUP(
TRIM(CLEAN(
INDEX(REPORTE_DROPI!K:K,
MATCH(T669, REPORTE_DROPI!B:B, 0)
))),
{
TRIM(CLEAN(MAPA_ESTADOS!A:A)) ,
MAPA_ESTADOS!B:B
},
2,
FALSE
),
"REVISAR"
)
</f>
        <v>ENTREGADO</v>
      </c>
      <c r="P669" s="118" t="s">
        <v>3955</v>
      </c>
      <c r="Q669" s="122">
        <f t="shared" si="2"/>
        <v>0</v>
      </c>
      <c r="R669" s="118"/>
      <c r="S669" s="118"/>
      <c r="T669" s="118">
        <f t="array" ref="T669">IFERROR(
INDEX(REPORTE_DROPI!B:B,
MATCH(
CLEAN(TRIM(C669)),
CLEAN(TRIM(REPORTE_DROPI!E:E)),
0
)
),
""
)
</f>
        <v>4165858</v>
      </c>
      <c r="U669" s="118">
        <v>6.418613338156E12</v>
      </c>
      <c r="V669" s="78"/>
      <c r="W669" s="78"/>
      <c r="X669" s="78"/>
      <c r="Y669" s="78"/>
      <c r="Z669" s="78"/>
    </row>
    <row r="670" ht="22.5" customHeight="1">
      <c r="A670" s="118">
        <v>669.0</v>
      </c>
      <c r="B670" s="119">
        <v>46038.0</v>
      </c>
      <c r="C670" s="118" t="s">
        <v>5055</v>
      </c>
      <c r="D670" s="118" t="str">
        <f>IFERROR(__xludf.DUMMYFUNCTION("IFERROR(
  INDEX(
    FILTER(
      'NOMBRE DE PRODUCTOS'!B:B,
      REGEXMATCH(
        UPPER(
          INDEX(
            REPORTE_DROPI!AC:AC,
            MATCH(T670, REPORTE_DROPI!B:B, 0)
          )
        ),
        UPPER('NOMBRE DE PRODUCTOS'!A:A)"&amp;"
      )
    ),
    1
  ),
  ""REVISAR""
)
"),"FilmPro®")</f>
        <v>FilmPro®</v>
      </c>
      <c r="E670" s="120">
        <f t="array" ref="E670">IF(
UPPER(TRIM(CLEAN($O670)))="ENTREGADO",
IFERROR(
INDEX(REPORTE_DROPI!Y:Y,
MATCH($T670, REPORTE_DROPI!B:B, 0)
),
""
),
""
)
</f>
        <v>2.35</v>
      </c>
      <c r="F670" s="121">
        <v>1.0</v>
      </c>
      <c r="G670" s="122">
        <f t="array" ref="G670">IF(
UPPER(TRIM(CLEAN($O670)))="ENTREGADO",
IFERROR(
INDEX(REPORTE_DROPI!R:R,
MATCH($T670, REPORTE_DROPI!B:B, 0)
),
""
),
""
)
</f>
        <v>20</v>
      </c>
      <c r="H670" s="118" t="s">
        <v>3727</v>
      </c>
      <c r="I670" s="118" t="s">
        <v>3801</v>
      </c>
      <c r="J670" s="121">
        <f t="array" ref="J670">IF(
UPPER(TRIM(CLEAN($O670)))="ENTREGADO",
IFERROR(
INDEX(REPORTE_DROPI!T:T,
MATCH($T670, REPORTE_DROPI!B:B, 0)
),
""
),
""
)
</f>
        <v>7.67</v>
      </c>
      <c r="K670" s="118">
        <f t="array" ref="K670">IFERROR(
INDEX(REPORTE_DROPI!S:S,
MATCH($T670, REPORTE_DROPI!B:B, 0)
),
""
)
</f>
        <v>9.98</v>
      </c>
      <c r="L670" s="118" t="str">
        <f>IF(
  O670&lt;&gt;"DEVOLUCION",
  "",
  IF(
    T670="",
    "",
    SUMIF(DEVOLUCION!F:F, T670, DEVOLUCION!D:D)
  )
)
</f>
        <v/>
      </c>
      <c r="M670" s="118"/>
      <c r="N670" s="130" t="s">
        <v>5056</v>
      </c>
      <c r="O670" s="118" t="str">
        <f t="array" ref="O670">IFERROR(
VLOOKUP(
TRIM(CLEAN(
INDEX(REPORTE_DROPI!K:K,
MATCH(T670, REPORTE_DROPI!B:B, 0)
))),
{
TRIM(CLEAN(MAPA_ESTADOS!A:A)) ,
MAPA_ESTADOS!B:B
},
2,
FALSE
),
"REVISAR"
)
</f>
        <v>ENTREGADO</v>
      </c>
      <c r="P670" s="118" t="s">
        <v>3955</v>
      </c>
      <c r="Q670" s="122">
        <f t="shared" si="2"/>
        <v>0</v>
      </c>
      <c r="R670" s="118"/>
      <c r="S670" s="118"/>
      <c r="T670" s="118">
        <f t="array" ref="T670">IFERROR(
INDEX(REPORTE_DROPI!B:B,
MATCH(
CLEAN(TRIM(C670)),
CLEAN(TRIM(REPORTE_DROPI!E:E)),
0
)
),
""
)
</f>
        <v>4165894</v>
      </c>
      <c r="U670" s="118">
        <v>6.418618122284E12</v>
      </c>
      <c r="V670" s="78"/>
      <c r="W670" s="78"/>
      <c r="X670" s="78"/>
      <c r="Y670" s="78"/>
      <c r="Z670" s="78"/>
    </row>
    <row r="671" ht="22.5" customHeight="1">
      <c r="A671" s="118">
        <v>670.0</v>
      </c>
      <c r="B671" s="119">
        <v>46038.0</v>
      </c>
      <c r="C671" s="134" t="s">
        <v>5057</v>
      </c>
      <c r="D671" s="118" t="str">
        <f>IFERROR(__xludf.DUMMYFUNCTION("IFERROR(
  INDEX(
    FILTER(
      'NOMBRE DE PRODUCTOS'!B:B,
      REGEXMATCH(
        UPPER(
          INDEX(
            REPORTE_DROPI!AC:AC,
            MATCH(T671, REPORTE_DROPI!B:B, 0)
          )
        ),
        UPPER('NOMBRE DE PRODUCTOS'!A:A)"&amp;"
      )
    ),
    1
  ),
  ""REVISAR""
)
"),"FilmPro®")</f>
        <v>FilmPro®</v>
      </c>
      <c r="E671" s="120" t="str">
        <f t="array" ref="E671">IF(
UPPER(TRIM(CLEAN($O671)))="ENTREGADO",
IFERROR(
INDEX(REPORTE_DROPI!Y:Y,
MATCH($T671, REPORTE_DROPI!B:B, 0)
),
""
),
""
)
</f>
        <v/>
      </c>
      <c r="F671" s="121">
        <v>2.0</v>
      </c>
      <c r="G671" s="122" t="str">
        <f t="array" ref="G671">IF(
UPPER(TRIM(CLEAN($O671)))="ENTREGADO",
IFERROR(
INDEX(REPORTE_DROPI!R:R,
MATCH($T671, REPORTE_DROPI!B:B, 0)
),
""
),
""
)
</f>
        <v/>
      </c>
      <c r="H671" s="118" t="s">
        <v>3727</v>
      </c>
      <c r="I671" s="118" t="s">
        <v>3731</v>
      </c>
      <c r="J671" s="121" t="str">
        <f t="array" ref="J671">IF(
UPPER(TRIM(CLEAN($O671)))="ENTREGADO",
IFERROR(
INDEX(REPORTE_DROPI!T:T,
MATCH($T671, REPORTE_DROPI!B:B, 0)
),
""
),
""
)
</f>
        <v/>
      </c>
      <c r="K671" s="118" t="str">
        <f t="array" ref="K671">IFERROR(
INDEX(REPORTE_DROPI!S:S,
MATCH($T671, REPORTE_DROPI!B:B, 0)
),
""
)
</f>
        <v/>
      </c>
      <c r="L671" s="118">
        <f>IF(
  O671&lt;&gt;"DEVOLUCION",
  "",
  IF(
    T671="",
    "",
    SUMIF(DEVOLUCION!F:F, T671, DEVOLUCION!D:D)
  )
)
</f>
        <v>3.48</v>
      </c>
      <c r="M671" s="118"/>
      <c r="N671" s="130" t="s">
        <v>5058</v>
      </c>
      <c r="O671" s="118" t="str">
        <f t="array" ref="O671">IFERROR(
VLOOKUP(
TRIM(CLEAN(
INDEX(REPORTE_DROPI!K:K,
MATCH(T671, REPORTE_DROPI!B:B, 0)
))),
{
TRIM(CLEAN(MAPA_ESTADOS!A:A)) ,
MAPA_ESTADOS!B:B
},
2,
FALSE
),
"REVISAR"
)
</f>
        <v>DEVOLUCION</v>
      </c>
      <c r="P671" s="118" t="s">
        <v>3955</v>
      </c>
      <c r="Q671" s="122">
        <f t="shared" si="2"/>
        <v>0</v>
      </c>
      <c r="R671" s="118"/>
      <c r="S671" s="118"/>
      <c r="T671" s="118">
        <f t="array" ref="T671">IFERROR(
INDEX(REPORTE_DROPI!B:B,
MATCH(
CLEAN(TRIM(C671)),
CLEAN(TRIM(REPORTE_DROPI!E:E)),
0
)
),
""
)
</f>
        <v>4166036</v>
      </c>
      <c r="U671" s="118">
        <v>6.418633293868E12</v>
      </c>
      <c r="V671" s="78"/>
      <c r="W671" s="78"/>
      <c r="X671" s="78"/>
      <c r="Y671" s="78"/>
      <c r="Z671" s="78"/>
    </row>
    <row r="672" ht="22.5" customHeight="1">
      <c r="A672" s="118">
        <v>671.0</v>
      </c>
      <c r="B672" s="119">
        <v>46038.0</v>
      </c>
      <c r="C672" s="118" t="s">
        <v>5059</v>
      </c>
      <c r="D672" s="118" t="str">
        <f>IFERROR(__xludf.DUMMYFUNCTION("IFERROR(
  INDEX(
    FILTER(
      'NOMBRE DE PRODUCTOS'!B:B,
      REGEXMATCH(
        UPPER(
          INDEX(
            REPORTE_DROPI!AC:AC,
            MATCH(T672, REPORTE_DROPI!B:B, 0)
          )
        ),
        UPPER('NOMBRE DE PRODUCTOS'!A:A)"&amp;"
      )
    ),
    1
  ),
  ""REVISAR""
)
"),"Cuchillo Tazaki™")</f>
        <v>Cuchillo Tazaki™</v>
      </c>
      <c r="E672" s="120">
        <f t="array" ref="E672">IF(
UPPER(TRIM(CLEAN($O672)))="ENTREGADO",
IFERROR(
INDEX(REPORTE_DROPI!Y:Y,
MATCH($T672, REPORTE_DROPI!B:B, 0)
),
""
),
""
)
</f>
        <v>5.2</v>
      </c>
      <c r="F672" s="121">
        <v>2.0</v>
      </c>
      <c r="G672" s="122">
        <f t="array" ref="G672">IF(
UPPER(TRIM(CLEAN($O672)))="ENTREGADO",
IFERROR(
INDEX(REPORTE_DROPI!R:R,
MATCH($T672, REPORTE_DROPI!B:B, 0)
),
""
),
""
)
</f>
        <v>22</v>
      </c>
      <c r="H672" s="118" t="s">
        <v>3727</v>
      </c>
      <c r="I672" s="118" t="s">
        <v>3731</v>
      </c>
      <c r="J672" s="121">
        <f t="array" ref="J672">IF(
UPPER(TRIM(CLEAN($O672)))="ENTREGADO",
IFERROR(
INDEX(REPORTE_DROPI!T:T,
MATCH($T672, REPORTE_DROPI!B:B, 0)
),
""
),
""
)
</f>
        <v>5.84</v>
      </c>
      <c r="K672" s="118">
        <f t="array" ref="K672">IFERROR(
INDEX(REPORTE_DROPI!S:S,
MATCH($T672, REPORTE_DROPI!B:B, 0)
),
""
)
</f>
        <v>10.96</v>
      </c>
      <c r="L672" s="118" t="str">
        <f>IF(
  O672&lt;&gt;"DEVOLUCION",
  "",
  IF(
    T672="",
    "",
    SUMIF(DEVOLUCION!F:F, T672, DEVOLUCION!D:D)
  )
)
</f>
        <v/>
      </c>
      <c r="M672" s="118"/>
      <c r="N672" s="130" t="s">
        <v>5060</v>
      </c>
      <c r="O672" s="118" t="str">
        <f t="array" ref="O672">IFERROR(
VLOOKUP(
TRIM(CLEAN(
INDEX(REPORTE_DROPI!K:K,
MATCH(T672, REPORTE_DROPI!B:B, 0)
))),
{
TRIM(CLEAN(MAPA_ESTADOS!A:A)) ,
MAPA_ESTADOS!B:B
},
2,
FALSE
),
"REVISAR"
)
</f>
        <v>ENTREGADO</v>
      </c>
      <c r="P672" s="118" t="s">
        <v>3955</v>
      </c>
      <c r="Q672" s="122">
        <f t="shared" si="2"/>
        <v>0</v>
      </c>
      <c r="R672" s="118"/>
      <c r="S672" s="118"/>
      <c r="T672" s="118">
        <f t="array" ref="T672">IFERROR(
INDEX(REPORTE_DROPI!B:B,
MATCH(
CLEAN(TRIM(C672)),
CLEAN(TRIM(REPORTE_DROPI!E:E)),
0
)
),
""
)
</f>
        <v>4166077</v>
      </c>
      <c r="U672" s="118">
        <v>6.418637815852E12</v>
      </c>
      <c r="V672" s="78"/>
      <c r="W672" s="78"/>
      <c r="X672" s="78"/>
      <c r="Y672" s="78"/>
      <c r="Z672" s="78"/>
    </row>
    <row r="673" ht="22.5" customHeight="1">
      <c r="A673" s="118">
        <v>672.0</v>
      </c>
      <c r="B673" s="119">
        <v>46038.0</v>
      </c>
      <c r="C673" s="118" t="s">
        <v>5061</v>
      </c>
      <c r="D673" s="118" t="str">
        <f>IFERROR(__xludf.DUMMYFUNCTION("IFERROR(
  INDEX(
    FILTER(
      'NOMBRE DE PRODUCTOS'!B:B,
      REGEXMATCH(
        UPPER(
          INDEX(
            REPORTE_DROPI!AC:AC,
            MATCH(T673, REPORTE_DROPI!B:B, 0)
          )
        ),
        UPPER('NOMBRE DE PRODUCTOS'!A:A)"&amp;"
      )
    ),
    1
  ),
  ""REVISAR""
)
"),"FilmPro®")</f>
        <v>FilmPro®</v>
      </c>
      <c r="E673" s="120">
        <f t="array" ref="E673">IF(
UPPER(TRIM(CLEAN($O673)))="ENTREGADO",
IFERROR(
INDEX(REPORTE_DROPI!Y:Y,
MATCH($T673, REPORTE_DROPI!B:B, 0)
),
""
),
""
)
</f>
        <v>4.7</v>
      </c>
      <c r="F673" s="121">
        <v>2.0</v>
      </c>
      <c r="G673" s="122">
        <f t="array" ref="G673">IF(
UPPER(TRIM(CLEAN($O673)))="ENTREGADO",
IFERROR(
INDEX(REPORTE_DROPI!R:R,
MATCH($T673, REPORTE_DROPI!B:B, 0)
),
""
),
""
)
</f>
        <v>25</v>
      </c>
      <c r="H673" s="118" t="s">
        <v>3727</v>
      </c>
      <c r="I673" s="118" t="s">
        <v>3731</v>
      </c>
      <c r="J673" s="121">
        <f t="array" ref="J673">IF(
UPPER(TRIM(CLEAN($O673)))="ENTREGADO",
IFERROR(
INDEX(REPORTE_DROPI!T:T,
MATCH($T673, REPORTE_DROPI!B:B, 0)
),
""
),
""
)
</f>
        <v>4.35</v>
      </c>
      <c r="K673" s="118">
        <f t="array" ref="K673">IFERROR(
INDEX(REPORTE_DROPI!S:S,
MATCH($T673, REPORTE_DROPI!B:B, 0)
),
""
)
</f>
        <v>15.95</v>
      </c>
      <c r="L673" s="118" t="str">
        <f>IF(
  O673&lt;&gt;"DEVOLUCION",
  "",
  IF(
    T673="",
    "",
    SUMIF(DEVOLUCION!F:F, T673, DEVOLUCION!D:D)
  )
)
</f>
        <v/>
      </c>
      <c r="M673" s="118"/>
      <c r="N673" s="130" t="s">
        <v>5062</v>
      </c>
      <c r="O673" s="118" t="str">
        <f t="array" ref="O673">IFERROR(
VLOOKUP(
TRIM(CLEAN(
INDEX(REPORTE_DROPI!K:K,
MATCH(T673, REPORTE_DROPI!B:B, 0)
))),
{
TRIM(CLEAN(MAPA_ESTADOS!A:A)) ,
MAPA_ESTADOS!B:B
},
2,
FALSE
),
"REVISAR"
)
</f>
        <v>ENTREGADO</v>
      </c>
      <c r="P673" s="118" t="s">
        <v>3955</v>
      </c>
      <c r="Q673" s="122">
        <f t="shared" si="2"/>
        <v>0</v>
      </c>
      <c r="R673" s="118"/>
      <c r="S673" s="118"/>
      <c r="T673" s="118">
        <f t="array" ref="T673">IFERROR(
INDEX(REPORTE_DROPI!B:B,
MATCH(
CLEAN(TRIM(C673)),
CLEAN(TRIM(REPORTE_DROPI!E:E)),
0
)
),
""
)
</f>
        <v>4166122</v>
      </c>
      <c r="U673" s="118">
        <v>6.418645614636E12</v>
      </c>
      <c r="V673" s="78"/>
      <c r="W673" s="78"/>
      <c r="X673" s="78"/>
      <c r="Y673" s="78"/>
      <c r="Z673" s="78"/>
    </row>
    <row r="674" ht="22.5" customHeight="1">
      <c r="A674" s="118">
        <v>673.0</v>
      </c>
      <c r="B674" s="119">
        <v>46038.0</v>
      </c>
      <c r="C674" s="118" t="s">
        <v>5063</v>
      </c>
      <c r="D674" s="118" t="str">
        <f>IFERROR(__xludf.DUMMYFUNCTION("IFERROR(
  INDEX(
    FILTER(
      'NOMBRE DE PRODUCTOS'!B:B,
      REGEXMATCH(
        UPPER(
          INDEX(
            REPORTE_DROPI!AC:AC,
            MATCH(T674, REPORTE_DROPI!B:B, 0)
          )
        ),
        UPPER('NOMBRE DE PRODUCTOS'!A:A)"&amp;"
      )
    ),
    1
  ),
  ""REVISAR""
)
"),"FilmPro®")</f>
        <v>FilmPro®</v>
      </c>
      <c r="E674" s="120">
        <f t="array" ref="E674">IF(
UPPER(TRIM(CLEAN($O674)))="ENTREGADO",
IFERROR(
INDEX(REPORTE_DROPI!Y:Y,
MATCH($T674, REPORTE_DROPI!B:B, 0)
),
""
),
""
)
</f>
        <v>4.7</v>
      </c>
      <c r="F674" s="121">
        <v>2.0</v>
      </c>
      <c r="G674" s="122">
        <f t="array" ref="G674">IF(
UPPER(TRIM(CLEAN($O674)))="ENTREGADO",
IFERROR(
INDEX(REPORTE_DROPI!R:R,
MATCH($T674, REPORTE_DROPI!B:B, 0)
),
""
),
""
)
</f>
        <v>25</v>
      </c>
      <c r="H674" s="118" t="s">
        <v>3727</v>
      </c>
      <c r="I674" s="118" t="s">
        <v>3731</v>
      </c>
      <c r="J674" s="121">
        <f t="array" ref="J674">IF(
UPPER(TRIM(CLEAN($O674)))="ENTREGADO",
IFERROR(
INDEX(REPORTE_DROPI!T:T,
MATCH($T674, REPORTE_DROPI!B:B, 0)
),
""
),
""
)
</f>
        <v>4.35</v>
      </c>
      <c r="K674" s="118">
        <f t="array" ref="K674">IFERROR(
INDEX(REPORTE_DROPI!S:S,
MATCH($T674, REPORTE_DROPI!B:B, 0)
),
""
)
</f>
        <v>15.95</v>
      </c>
      <c r="L674" s="118" t="str">
        <f>IF(
  O674&lt;&gt;"DEVOLUCION",
  "",
  IF(
    T674="",
    "",
    SUMIF(DEVOLUCION!F:F, T674, DEVOLUCION!D:D)
  )
)
</f>
        <v/>
      </c>
      <c r="M674" s="118"/>
      <c r="N674" s="130" t="s">
        <v>5064</v>
      </c>
      <c r="O674" s="118" t="str">
        <f t="array" ref="O674">IFERROR(
VLOOKUP(
TRIM(CLEAN(
INDEX(REPORTE_DROPI!K:K,
MATCH(T674, REPORTE_DROPI!B:B, 0)
))),
{
TRIM(CLEAN(MAPA_ESTADOS!A:A)) ,
MAPA_ESTADOS!B:B
},
2,
FALSE
),
"REVISAR"
)
</f>
        <v>ENTREGADO</v>
      </c>
      <c r="P674" s="118" t="s">
        <v>3955</v>
      </c>
      <c r="Q674" s="122">
        <f t="shared" si="2"/>
        <v>0</v>
      </c>
      <c r="R674" s="118"/>
      <c r="S674" s="118"/>
      <c r="T674" s="118">
        <f t="array" ref="T674">IFERROR(
INDEX(REPORTE_DROPI!B:B,
MATCH(
CLEAN(TRIM(C674)),
CLEAN(TRIM(REPORTE_DROPI!E:E)),
0
)
),
""
)
</f>
        <v>4166346</v>
      </c>
      <c r="U674" s="118">
        <v>6.418663440428E12</v>
      </c>
      <c r="V674" s="78"/>
      <c r="W674" s="78"/>
      <c r="X674" s="78"/>
      <c r="Y674" s="78"/>
      <c r="Z674" s="78"/>
    </row>
    <row r="675" ht="22.5" customHeight="1">
      <c r="A675" s="118">
        <v>674.0</v>
      </c>
      <c r="B675" s="119">
        <v>46038.0</v>
      </c>
      <c r="C675" s="126" t="s">
        <v>5065</v>
      </c>
      <c r="D675" s="118" t="str">
        <f>IFERROR(__xludf.DUMMYFUNCTION("IFERROR(
  INDEX(
    FILTER(
      'NOMBRE DE PRODUCTOS'!B:B,
      REGEXMATCH(
        UPPER(
          INDEX(
            REPORTE_DROPI!AC:AC,
            MATCH(T675, REPORTE_DROPI!B:B, 0)
          )
        ),
        UPPER('NOMBRE DE PRODUCTOS'!A:A)"&amp;"
      )
    ),
    1
  ),
  ""REVISAR""
)
"),"FilmPro®")</f>
        <v>FilmPro®</v>
      </c>
      <c r="E675" s="120" t="str">
        <f t="array" ref="E675">IF(
UPPER(TRIM(CLEAN($O675)))="ENTREGADO",
IFERROR(
INDEX(REPORTE_DROPI!Y:Y,
MATCH($T675, REPORTE_DROPI!B:B, 0)
),
""
),
""
)
</f>
        <v/>
      </c>
      <c r="F675" s="121">
        <v>3.0</v>
      </c>
      <c r="G675" s="122" t="str">
        <f t="array" ref="G675">IF(
UPPER(TRIM(CLEAN($O675)))="ENTREGADO",
IFERROR(
INDEX(REPORTE_DROPI!R:R,
MATCH($T675, REPORTE_DROPI!B:B, 0)
),
""
),
""
)
</f>
        <v/>
      </c>
      <c r="H675" s="118" t="s">
        <v>3727</v>
      </c>
      <c r="I675" s="118" t="s">
        <v>3778</v>
      </c>
      <c r="J675" s="121" t="str">
        <f t="array" ref="J675">IF(
UPPER(TRIM(CLEAN($O675)))="ENTREGADO",
IFERROR(
INDEX(REPORTE_DROPI!T:T,
MATCH($T675, REPORTE_DROPI!B:B, 0)
),
""
),
""
)
</f>
        <v/>
      </c>
      <c r="K675" s="118" t="str">
        <f t="array" ref="K675">IFERROR(
INDEX(REPORTE_DROPI!S:S,
MATCH($T675, REPORTE_DROPI!B:B, 0)
),
""
)
</f>
        <v/>
      </c>
      <c r="L675" s="118" t="str">
        <f>IF(
  O675&lt;&gt;"DEVOLUCION",
  "",
  IF(
    T675="",
    "",
    SUMIF(DEVOLUCION!F:F, T675, DEVOLUCION!D:D)
  )
)
</f>
        <v/>
      </c>
      <c r="M675" s="118"/>
      <c r="N675" s="130" t="s">
        <v>5066</v>
      </c>
      <c r="O675" s="118" t="str">
        <f t="array" ref="O675">IFERROR(
VLOOKUP(
TRIM(CLEAN(
INDEX(REPORTE_DROPI!K:K,
MATCH(T675, REPORTE_DROPI!B:B, 0)
))),
{
TRIM(CLEAN(MAPA_ESTADOS!A:A)) ,
MAPA_ESTADOS!B:B
},
2,
FALSE
),
"REVISAR"
)
</f>
        <v>PENDIENTE</v>
      </c>
      <c r="P675" s="118" t="s">
        <v>3654</v>
      </c>
      <c r="Q675" s="122">
        <f t="shared" si="2"/>
        <v>0</v>
      </c>
      <c r="R675" s="118"/>
      <c r="S675" s="118"/>
      <c r="T675" s="118">
        <f t="array" ref="T675">IFERROR(
INDEX(REPORTE_DROPI!B:B,
MATCH(
CLEAN(TRIM(C675)),
CLEAN(TRIM(REPORTE_DROPI!E:E)),
0
)
),
""
)
</f>
        <v>4166626</v>
      </c>
      <c r="U675" s="118">
        <v>6.418692833324E12</v>
      </c>
      <c r="V675" s="78"/>
      <c r="W675" s="78"/>
      <c r="X675" s="78"/>
      <c r="Y675" s="78"/>
      <c r="Z675" s="78"/>
    </row>
    <row r="676" ht="22.5" customHeight="1">
      <c r="A676" s="118">
        <v>675.0</v>
      </c>
      <c r="B676" s="119">
        <v>46038.0</v>
      </c>
      <c r="C676" s="126" t="s">
        <v>5067</v>
      </c>
      <c r="D676" s="118" t="str">
        <f>IFERROR(__xludf.DUMMYFUNCTION("IFERROR(
  INDEX(
    FILTER(
      'NOMBRE DE PRODUCTOS'!B:B,
      REGEXMATCH(
        UPPER(
          INDEX(
            REPORTE_DROPI!AC:AC,
            MATCH(T676, REPORTE_DROPI!B:B, 0)
          )
        ),
        UPPER('NOMBRE DE PRODUCTOS'!A:A)"&amp;"
      )
    ),
    1
  ),
  ""REVISAR""
)
"),"FilmPro®")</f>
        <v>FilmPro®</v>
      </c>
      <c r="E676" s="120" t="str">
        <f t="array" ref="E676">IF(
UPPER(TRIM(CLEAN($O676)))="ENTREGADO",
IFERROR(
INDEX(REPORTE_DROPI!Y:Y,
MATCH($T676, REPORTE_DROPI!B:B, 0)
),
""
),
""
)
</f>
        <v/>
      </c>
      <c r="F676" s="121">
        <v>1.0</v>
      </c>
      <c r="G676" s="122" t="str">
        <f t="array" ref="G676">IF(
UPPER(TRIM(CLEAN($O676)))="ENTREGADO",
IFERROR(
INDEX(REPORTE_DROPI!R:R,
MATCH($T676, REPORTE_DROPI!B:B, 0)
),
""
),
""
)
</f>
        <v/>
      </c>
      <c r="H676" s="118" t="s">
        <v>3727</v>
      </c>
      <c r="I676" s="118" t="s">
        <v>3772</v>
      </c>
      <c r="J676" s="121" t="str">
        <f t="array" ref="J676">IF(
UPPER(TRIM(CLEAN($O676)))="ENTREGADO",
IFERROR(
INDEX(REPORTE_DROPI!T:T,
MATCH($T676, REPORTE_DROPI!B:B, 0)
),
""
),
""
)
</f>
        <v/>
      </c>
      <c r="K676" s="118" t="str">
        <f t="array" ref="K676">IFERROR(
INDEX(REPORTE_DROPI!S:S,
MATCH($T676, REPORTE_DROPI!B:B, 0)
),
""
)
</f>
        <v/>
      </c>
      <c r="L676" s="118" t="str">
        <f>IF(
  O676&lt;&gt;"DEVOLUCION",
  "",
  IF(
    T676="",
    "",
    SUMIF(DEVOLUCION!F:F, T676, DEVOLUCION!D:D)
  )
)
</f>
        <v/>
      </c>
      <c r="M676" s="118"/>
      <c r="N676" s="130" t="s">
        <v>5068</v>
      </c>
      <c r="O676" s="118" t="str">
        <f t="array" ref="O676">IFERROR(
VLOOKUP(
TRIM(CLEAN(
INDEX(REPORTE_DROPI!K:K,
MATCH(T676, REPORTE_DROPI!B:B, 0)
))),
{
TRIM(CLEAN(MAPA_ESTADOS!A:A)) ,
MAPA_ESTADOS!B:B
},
2,
FALSE
),
"REVISAR"
)
</f>
        <v>PENDIENTE</v>
      </c>
      <c r="P676" s="118" t="s">
        <v>3654</v>
      </c>
      <c r="Q676" s="122">
        <f t="shared" si="2"/>
        <v>0</v>
      </c>
      <c r="R676" s="118"/>
      <c r="S676" s="118"/>
      <c r="T676" s="118">
        <f t="array" ref="T676">IFERROR(
INDEX(REPORTE_DROPI!B:B,
MATCH(
CLEAN(TRIM(C676)),
CLEAN(TRIM(REPORTE_DROPI!E:E)),
0
)
),
""
)
</f>
        <v>4166759</v>
      </c>
      <c r="U676" s="118">
        <v>6.418803097644E12</v>
      </c>
      <c r="V676" s="78"/>
      <c r="W676" s="78"/>
      <c r="X676" s="78"/>
      <c r="Y676" s="78"/>
      <c r="Z676" s="78"/>
    </row>
    <row r="677" ht="22.5" customHeight="1">
      <c r="A677" s="118">
        <v>676.0</v>
      </c>
      <c r="B677" s="119">
        <v>46038.0</v>
      </c>
      <c r="C677" s="126" t="s">
        <v>5069</v>
      </c>
      <c r="D677" s="118" t="str">
        <f>IFERROR(__xludf.DUMMYFUNCTION("IFERROR(
  INDEX(
    FILTER(
      'NOMBRE DE PRODUCTOS'!B:B,
      REGEXMATCH(
        UPPER(
          INDEX(
            REPORTE_DROPI!AC:AC,
            MATCH(T677, REPORTE_DROPI!B:B, 0)
          )
        ),
        UPPER('NOMBRE DE PRODUCTOS'!A:A)"&amp;"
      )
    ),
    1
  ),
  ""REVISAR""
)
"),"FilmPro®")</f>
        <v>FilmPro®</v>
      </c>
      <c r="E677" s="120" t="str">
        <f t="array" ref="E677">IF(
UPPER(TRIM(CLEAN($O677)))="ENTREGADO",
IFERROR(
INDEX(REPORTE_DROPI!Y:Y,
MATCH($T677, REPORTE_DROPI!B:B, 0)
),
""
),
""
)
</f>
        <v/>
      </c>
      <c r="F677" s="121">
        <v>2.0</v>
      </c>
      <c r="G677" s="122" t="str">
        <f t="array" ref="G677">IF(
UPPER(TRIM(CLEAN($O677)))="ENTREGADO",
IFERROR(
INDEX(REPORTE_DROPI!R:R,
MATCH($T677, REPORTE_DROPI!B:B, 0)
),
""
),
""
)
</f>
        <v/>
      </c>
      <c r="H677" s="118" t="s">
        <v>3727</v>
      </c>
      <c r="I677" s="118" t="s">
        <v>3731</v>
      </c>
      <c r="J677" s="121" t="str">
        <f t="array" ref="J677">IF(
UPPER(TRIM(CLEAN($O677)))="ENTREGADO",
IFERROR(
INDEX(REPORTE_DROPI!T:T,
MATCH($T677, REPORTE_DROPI!B:B, 0)
),
""
),
""
)
</f>
        <v/>
      </c>
      <c r="K677" s="118" t="str">
        <f t="array" ref="K677">IFERROR(
INDEX(REPORTE_DROPI!S:S,
MATCH($T677, REPORTE_DROPI!B:B, 0)
),
""
)
</f>
        <v/>
      </c>
      <c r="L677" s="118">
        <f>IF(
  O677&lt;&gt;"DEVOLUCION",
  "",
  IF(
    T677="",
    "",
    SUMIF(DEVOLUCION!F:F, T677, DEVOLUCION!D:D)
  )
)
</f>
        <v>3.48</v>
      </c>
      <c r="M677" s="118" t="s">
        <v>3870</v>
      </c>
      <c r="N677" s="130" t="s">
        <v>5070</v>
      </c>
      <c r="O677" s="118" t="str">
        <f t="array" ref="O677">IFERROR(
VLOOKUP(
TRIM(CLEAN(
INDEX(REPORTE_DROPI!K:K,
MATCH(T677, REPORTE_DROPI!B:B, 0)
))),
{
TRIM(CLEAN(MAPA_ESTADOS!A:A)) ,
MAPA_ESTADOS!B:B
},
2,
FALSE
),
"REVISAR"
)
</f>
        <v>DEVOLUCION</v>
      </c>
      <c r="P677" s="118" t="s">
        <v>3655</v>
      </c>
      <c r="Q677" s="122">
        <f t="shared" si="2"/>
        <v>0</v>
      </c>
      <c r="R677" s="118"/>
      <c r="S677" s="118"/>
      <c r="T677" s="118">
        <f t="array" ref="T677">IFERROR(
INDEX(REPORTE_DROPI!B:B,
MATCH(
CLEAN(TRIM(C677)),
CLEAN(TRIM(REPORTE_DROPI!E:E)),
0
)
),
""
)
</f>
        <v>4166804</v>
      </c>
      <c r="U677" s="118">
        <v>6.4188790211E12</v>
      </c>
      <c r="V677" s="78"/>
      <c r="W677" s="78"/>
      <c r="X677" s="78"/>
      <c r="Y677" s="78"/>
      <c r="Z677" s="78"/>
    </row>
    <row r="678" ht="22.5" customHeight="1">
      <c r="A678" s="118">
        <v>677.0</v>
      </c>
      <c r="B678" s="119">
        <v>46038.0</v>
      </c>
      <c r="C678" s="118" t="s">
        <v>5071</v>
      </c>
      <c r="D678" s="118" t="str">
        <f>IFERROR(__xludf.DUMMYFUNCTION("IFERROR(
  INDEX(
    FILTER(
      'NOMBRE DE PRODUCTOS'!B:B,
      REGEXMATCH(
        UPPER(
          INDEX(
            REPORTE_DROPI!AC:AC,
            MATCH(T678, REPORTE_DROPI!B:B, 0)
          )
        ),
        UPPER('NOMBRE DE PRODUCTOS'!A:A)"&amp;"
      )
    ),
    1
  ),
  ""REVISAR""
)
"),"FilmPro®")</f>
        <v>FilmPro®</v>
      </c>
      <c r="E678" s="120">
        <f t="array" ref="E678">IF(
UPPER(TRIM(CLEAN($O678)))="ENTREGADO",
IFERROR(
INDEX(REPORTE_DROPI!Y:Y,
MATCH($T678, REPORTE_DROPI!B:B, 0)
),
""
),
""
)
</f>
        <v>7.05</v>
      </c>
      <c r="F678" s="121">
        <v>3.0</v>
      </c>
      <c r="G678" s="122">
        <f t="array" ref="G678">IF(
UPPER(TRIM(CLEAN($O678)))="ENTREGADO",
IFERROR(
INDEX(REPORTE_DROPI!R:R,
MATCH($T678, REPORTE_DROPI!B:B, 0)
),
""
),
""
)
</f>
        <v>30</v>
      </c>
      <c r="H678" s="118" t="s">
        <v>3727</v>
      </c>
      <c r="I678" s="118" t="s">
        <v>3740</v>
      </c>
      <c r="J678" s="121">
        <f t="array" ref="J678">IF(
UPPER(TRIM(CLEAN($O678)))="ENTREGADO",
IFERROR(
INDEX(REPORTE_DROPI!T:T,
MATCH($T678, REPORTE_DROPI!B:B, 0)
),
""
),
""
)
</f>
        <v>6.16</v>
      </c>
      <c r="K678" s="118">
        <f t="array" ref="K678">IFERROR(
INDEX(REPORTE_DROPI!S:S,
MATCH($T678, REPORTE_DROPI!B:B, 0)
),
""
)
</f>
        <v>16.79</v>
      </c>
      <c r="L678" s="118" t="str">
        <f>IF(
  O678&lt;&gt;"DEVOLUCION",
  "",
  IF(
    T678="",
    "",
    SUMIF(DEVOLUCION!F:F, T678, DEVOLUCION!D:D)
  )
)
</f>
        <v/>
      </c>
      <c r="M678" s="118"/>
      <c r="N678" s="130" t="s">
        <v>5072</v>
      </c>
      <c r="O678" s="118" t="str">
        <f t="array" ref="O678">IFERROR(
VLOOKUP(
TRIM(CLEAN(
INDEX(REPORTE_DROPI!K:K,
MATCH(T678, REPORTE_DROPI!B:B, 0)
))),
{
TRIM(CLEAN(MAPA_ESTADOS!A:A)) ,
MAPA_ESTADOS!B:B
},
2,
FALSE
),
"REVISAR"
)
</f>
        <v>ENTREGADO</v>
      </c>
      <c r="P678" s="118" t="s">
        <v>3955</v>
      </c>
      <c r="Q678" s="122">
        <f t="shared" si="2"/>
        <v>0</v>
      </c>
      <c r="R678" s="118"/>
      <c r="S678" s="118"/>
      <c r="T678" s="118">
        <f t="array" ref="T678">IFERROR(
INDEX(REPORTE_DROPI!B:B,
MATCH(
CLEAN(TRIM(C678)),
CLEAN(TRIM(REPORTE_DROPI!E:E)),
0
)
),
""
)
</f>
        <v>4166820</v>
      </c>
      <c r="U678" s="118">
        <v>6.418901237804E12</v>
      </c>
      <c r="V678" s="78"/>
      <c r="W678" s="78"/>
      <c r="X678" s="78"/>
      <c r="Y678" s="78"/>
      <c r="Z678" s="78"/>
    </row>
    <row r="679" ht="22.5" customHeight="1">
      <c r="A679" s="118">
        <v>678.0</v>
      </c>
      <c r="B679" s="119">
        <v>46038.0</v>
      </c>
      <c r="C679" s="126" t="s">
        <v>5073</v>
      </c>
      <c r="D679" s="118" t="str">
        <f>IFERROR(__xludf.DUMMYFUNCTION("IFERROR(
  INDEX(
    FILTER(
      'NOMBRE DE PRODUCTOS'!B:B,
      REGEXMATCH(
        UPPER(
          INDEX(
            REPORTE_DROPI!AC:AC,
            MATCH(T679, REPORTE_DROPI!B:B, 0)
          )
        ),
        UPPER('NOMBRE DE PRODUCTOS'!A:A)"&amp;"
      )
    ),
    1
  ),
  ""REVISAR""
)
"),"FilmPro®")</f>
        <v>FilmPro®</v>
      </c>
      <c r="E679" s="120" t="str">
        <f t="array" ref="E679">IF(
UPPER(TRIM(CLEAN($O679)))="ENTREGADO",
IFERROR(
INDEX(REPORTE_DROPI!Y:Y,
MATCH($T679, REPORTE_DROPI!B:B, 0)
),
""
),
""
)
</f>
        <v/>
      </c>
      <c r="F679" s="121">
        <v>3.0</v>
      </c>
      <c r="G679" s="122" t="str">
        <f t="array" ref="G679">IF(
UPPER(TRIM(CLEAN($O679)))="ENTREGADO",
IFERROR(
INDEX(REPORTE_DROPI!R:R,
MATCH($T679, REPORTE_DROPI!B:B, 0)
),
""
),
""
)
</f>
        <v/>
      </c>
      <c r="H679" s="118" t="s">
        <v>3727</v>
      </c>
      <c r="I679" s="118" t="s">
        <v>3728</v>
      </c>
      <c r="J679" s="121" t="str">
        <f t="array" ref="J679">IF(
UPPER(TRIM(CLEAN($O679)))="ENTREGADO",
IFERROR(
INDEX(REPORTE_DROPI!T:T,
MATCH($T679, REPORTE_DROPI!B:B, 0)
),
""
),
""
)
</f>
        <v/>
      </c>
      <c r="K679" s="118" t="str">
        <f t="array" ref="K679">IFERROR(
INDEX(REPORTE_DROPI!S:S,
MATCH($T679, REPORTE_DROPI!B:B, 0)
),
""
)
</f>
        <v/>
      </c>
      <c r="L679" s="118" t="str">
        <f>IF(
  O679&lt;&gt;"DEVOLUCION",
  "",
  IF(
    T679="",
    "",
    SUMIF(DEVOLUCION!F:F, T679, DEVOLUCION!D:D)
  )
)
</f>
        <v/>
      </c>
      <c r="M679" s="118"/>
      <c r="N679" s="130" t="s">
        <v>5074</v>
      </c>
      <c r="O679" s="118" t="str">
        <f t="array" ref="O679">IFERROR(
VLOOKUP(
TRIM(CLEAN(
INDEX(REPORTE_DROPI!K:K,
MATCH(T679, REPORTE_DROPI!B:B, 0)
))),
{
TRIM(CLEAN(MAPA_ESTADOS!A:A)) ,
MAPA_ESTADOS!B:B
},
2,
FALSE
),
"REVISAR"
)
</f>
        <v>PENDIENTE</v>
      </c>
      <c r="P679" s="118" t="s">
        <v>3689</v>
      </c>
      <c r="Q679" s="122">
        <f t="shared" si="2"/>
        <v>0</v>
      </c>
      <c r="R679" s="118"/>
      <c r="S679" s="118"/>
      <c r="T679" s="118">
        <f t="array" ref="T679">IFERROR(
INDEX(REPORTE_DROPI!B:B,
MATCH(
CLEAN(TRIM(C679)),
CLEAN(TRIM(REPORTE_DROPI!E:E)),
0
)
),
""
)
</f>
        <v>4166892</v>
      </c>
      <c r="U679" s="118">
        <v>6.419014451244E12</v>
      </c>
      <c r="V679" s="78"/>
      <c r="W679" s="78"/>
      <c r="X679" s="78"/>
      <c r="Y679" s="78"/>
      <c r="Z679" s="78"/>
    </row>
    <row r="680" ht="22.5" customHeight="1">
      <c r="A680" s="118">
        <v>679.0</v>
      </c>
      <c r="B680" s="119">
        <v>46038.0</v>
      </c>
      <c r="C680" s="126" t="s">
        <v>5075</v>
      </c>
      <c r="D680" s="118" t="str">
        <f>IFERROR(__xludf.DUMMYFUNCTION("IFERROR(
  INDEX(
    FILTER(
      'NOMBRE DE PRODUCTOS'!B:B,
      REGEXMATCH(
        UPPER(
          INDEX(
            REPORTE_DROPI!AC:AC,
            MATCH(T680, REPORTE_DROPI!B:B, 0)
          )
        ),
        UPPER('NOMBRE DE PRODUCTOS'!A:A)"&amp;"
      )
    ),
    1
  ),
  ""REVISAR""
)
"),"FilmPro®")</f>
        <v>FilmPro®</v>
      </c>
      <c r="E680" s="120" t="str">
        <f t="array" ref="E680">IF(
UPPER(TRIM(CLEAN($O680)))="ENTREGADO",
IFERROR(
INDEX(REPORTE_DROPI!Y:Y,
MATCH($T680, REPORTE_DROPI!B:B, 0)
),
""
),
""
)
</f>
        <v/>
      </c>
      <c r="F680" s="121">
        <v>1.0</v>
      </c>
      <c r="G680" s="122" t="str">
        <f t="array" ref="G680">IF(
UPPER(TRIM(CLEAN($O680)))="ENTREGADO",
IFERROR(
INDEX(REPORTE_DROPI!R:R,
MATCH($T680, REPORTE_DROPI!B:B, 0)
),
""
),
""
)
</f>
        <v/>
      </c>
      <c r="H680" s="118" t="s">
        <v>3727</v>
      </c>
      <c r="I680" s="118" t="s">
        <v>3740</v>
      </c>
      <c r="J680" s="121" t="str">
        <f t="array" ref="J680">IF(
UPPER(TRIM(CLEAN($O680)))="ENTREGADO",
IFERROR(
INDEX(REPORTE_DROPI!T:T,
MATCH($T680, REPORTE_DROPI!B:B, 0)
),
""
),
""
)
</f>
        <v/>
      </c>
      <c r="K680" s="118" t="str">
        <f t="array" ref="K680">IFERROR(
INDEX(REPORTE_DROPI!S:S,
MATCH($T680, REPORTE_DROPI!B:B, 0)
),
""
)
</f>
        <v/>
      </c>
      <c r="L680" s="118" t="str">
        <f>IF(
  O680&lt;&gt;"DEVOLUCION",
  "",
  IF(
    T680="",
    "",
    SUMIF(DEVOLUCION!F:F, T680, DEVOLUCION!D:D)
  )
)
</f>
        <v/>
      </c>
      <c r="M680" s="118"/>
      <c r="N680" s="130" t="s">
        <v>5076</v>
      </c>
      <c r="O680" s="118" t="str">
        <f t="array" ref="O680">IFERROR(
VLOOKUP(
TRIM(CLEAN(
INDEX(REPORTE_DROPI!K:K,
MATCH(T680, REPORTE_DROPI!B:B, 0)
))),
{
TRIM(CLEAN(MAPA_ESTADOS!A:A)) ,
MAPA_ESTADOS!B:B
},
2,
FALSE
),
"REVISAR"
)
</f>
        <v>PENDIENTE</v>
      </c>
      <c r="P680" s="118" t="s">
        <v>3654</v>
      </c>
      <c r="Q680" s="122">
        <f t="shared" si="2"/>
        <v>0</v>
      </c>
      <c r="R680" s="118"/>
      <c r="S680" s="118"/>
      <c r="T680" s="118">
        <f t="array" ref="T680">IFERROR(
INDEX(REPORTE_DROPI!B:B,
MATCH(
CLEAN(TRIM(C680)),
CLEAN(TRIM(REPORTE_DROPI!E:E)),
0
)
),
""
)
</f>
        <v>4167041</v>
      </c>
      <c r="U680" s="118">
        <v>6.419316736044E12</v>
      </c>
      <c r="V680" s="78"/>
      <c r="W680" s="78"/>
      <c r="X680" s="78"/>
      <c r="Y680" s="78"/>
      <c r="Z680" s="78"/>
    </row>
    <row r="681" ht="22.5" customHeight="1">
      <c r="A681" s="118">
        <v>680.0</v>
      </c>
      <c r="B681" s="119">
        <v>46038.0</v>
      </c>
      <c r="C681" s="118" t="s">
        <v>5077</v>
      </c>
      <c r="D681" s="118" t="str">
        <f>IFERROR(__xludf.DUMMYFUNCTION("IFERROR(
  INDEX(
    FILTER(
      'NOMBRE DE PRODUCTOS'!B:B,
      REGEXMATCH(
        UPPER(
          INDEX(
            REPORTE_DROPI!AC:AC,
            MATCH(T681, REPORTE_DROPI!B:B, 0)
          )
        ),
        UPPER('NOMBRE DE PRODUCTOS'!A:A)"&amp;"
      )
    ),
    1
  ),
  ""REVISAR""
)
"),"Cuchillo Tazaki™")</f>
        <v>Cuchillo Tazaki™</v>
      </c>
      <c r="E681" s="120">
        <f t="array" ref="E681">IF(
UPPER(TRIM(CLEAN($O681)))="ENTREGADO",
IFERROR(
INDEX(REPORTE_DROPI!Y:Y,
MATCH($T681, REPORTE_DROPI!B:B, 0)
),
""
),
""
)
</f>
        <v>10.4</v>
      </c>
      <c r="F681" s="121">
        <v>4.0</v>
      </c>
      <c r="G681" s="122">
        <f t="array" ref="G681">IF(
UPPER(TRIM(CLEAN($O681)))="ENTREGADO",
IFERROR(
INDEX(REPORTE_DROPI!R:R,
MATCH($T681, REPORTE_DROPI!B:B, 0)
),
""
),
""
)
</f>
        <v>32</v>
      </c>
      <c r="H681" s="118" t="s">
        <v>3727</v>
      </c>
      <c r="I681" s="118" t="s">
        <v>3740</v>
      </c>
      <c r="J681" s="121">
        <f t="array" ref="J681">IF(
UPPER(TRIM(CLEAN($O681)))="ENTREGADO",
IFERROR(
INDEX(REPORTE_DROPI!T:T,
MATCH($T681, REPORTE_DROPI!B:B, 0)
),
""
),
""
)
</f>
        <v>5.66</v>
      </c>
      <c r="K681" s="118">
        <f t="array" ref="K681">IFERROR(
INDEX(REPORTE_DROPI!S:S,
MATCH($T681, REPORTE_DROPI!B:B, 0)
),
""
)
</f>
        <v>15.94</v>
      </c>
      <c r="L681" s="118" t="str">
        <f>IF(
  O681&lt;&gt;"DEVOLUCION",
  "",
  IF(
    T681="",
    "",
    SUMIF(DEVOLUCION!F:F, T681, DEVOLUCION!D:D)
  )
)
</f>
        <v/>
      </c>
      <c r="M681" s="118"/>
      <c r="N681" s="130" t="s">
        <v>5078</v>
      </c>
      <c r="O681" s="118" t="str">
        <f t="array" ref="O681">IFERROR(
VLOOKUP(
TRIM(CLEAN(
INDEX(REPORTE_DROPI!K:K,
MATCH(T681, REPORTE_DROPI!B:B, 0)
))),
{
TRIM(CLEAN(MAPA_ESTADOS!A:A)) ,
MAPA_ESTADOS!B:B
},
2,
FALSE
),
"REVISAR"
)
</f>
        <v>ENTREGADO</v>
      </c>
      <c r="P681" s="118" t="s">
        <v>3654</v>
      </c>
      <c r="Q681" s="122">
        <f t="shared" si="2"/>
        <v>0</v>
      </c>
      <c r="R681" s="118"/>
      <c r="S681" s="118"/>
      <c r="T681" s="118">
        <f t="array" ref="T681">IFERROR(
INDEX(REPORTE_DROPI!B:B,
MATCH(
CLEAN(TRIM(C681)),
CLEAN(TRIM(REPORTE_DROPI!E:E)),
0
)
),
""
)
</f>
        <v>4167077</v>
      </c>
      <c r="U681" s="118">
        <v>6.419377455148E12</v>
      </c>
      <c r="V681" s="78"/>
      <c r="W681" s="78"/>
      <c r="X681" s="78"/>
      <c r="Y681" s="78"/>
      <c r="Z681" s="78"/>
    </row>
    <row r="682" ht="22.5" customHeight="1">
      <c r="A682" s="118">
        <v>681.0</v>
      </c>
      <c r="B682" s="119">
        <v>46038.0</v>
      </c>
      <c r="C682" s="118" t="s">
        <v>5079</v>
      </c>
      <c r="D682" s="118" t="str">
        <f>IFERROR(__xludf.DUMMYFUNCTION("IFERROR(
  INDEX(
    FILTER(
      'NOMBRE DE PRODUCTOS'!B:B,
      REGEXMATCH(
        UPPER(
          INDEX(
            REPORTE_DROPI!AC:AC,
            MATCH(T682, REPORTE_DROPI!B:B, 0)
          )
        ),
        UPPER('NOMBRE DE PRODUCTOS'!A:A)"&amp;"
      )
    ),
    1
  ),
  ""REVISAR""
)
"),"Cuchillo Tazaki™")</f>
        <v>Cuchillo Tazaki™</v>
      </c>
      <c r="E682" s="120">
        <f t="array" ref="E682">IF(
UPPER(TRIM(CLEAN($O682)))="ENTREGADO",
IFERROR(
INDEX(REPORTE_DROPI!Y:Y,
MATCH($T682, REPORTE_DROPI!B:B, 0)
),
""
),
""
)
</f>
        <v>5.2</v>
      </c>
      <c r="F682" s="121">
        <v>2.0</v>
      </c>
      <c r="G682" s="122">
        <f t="array" ref="G682">IF(
UPPER(TRIM(CLEAN($O682)))="ENTREGADO",
IFERROR(
INDEX(REPORTE_DROPI!R:R,
MATCH($T682, REPORTE_DROPI!B:B, 0)
),
""
),
""
)
</f>
        <v>22</v>
      </c>
      <c r="H682" s="118" t="s">
        <v>3727</v>
      </c>
      <c r="I682" s="118" t="s">
        <v>3728</v>
      </c>
      <c r="J682" s="121">
        <f t="array" ref="J682">IF(
UPPER(TRIM(CLEAN($O682)))="ENTREGADO",
IFERROR(
INDEX(REPORTE_DROPI!T:T,
MATCH($T682, REPORTE_DROPI!B:B, 0)
),
""
),
""
)
</f>
        <v>5.84</v>
      </c>
      <c r="K682" s="118">
        <f t="array" ref="K682">IFERROR(
INDEX(REPORTE_DROPI!S:S,
MATCH($T682, REPORTE_DROPI!B:B, 0)
),
""
)
</f>
        <v>10.96</v>
      </c>
      <c r="L682" s="118" t="str">
        <f>IF(
  O682&lt;&gt;"DEVOLUCION",
  "",
  IF(
    T682="",
    "",
    SUMIF(DEVOLUCION!F:F, T682, DEVOLUCION!D:D)
  )
)
</f>
        <v/>
      </c>
      <c r="M682" s="118"/>
      <c r="N682" s="130" t="s">
        <v>5080</v>
      </c>
      <c r="O682" s="118" t="str">
        <f t="array" ref="O682">IFERROR(
VLOOKUP(
TRIM(CLEAN(
INDEX(REPORTE_DROPI!K:K,
MATCH(T682, REPORTE_DROPI!B:B, 0)
))),
{
TRIM(CLEAN(MAPA_ESTADOS!A:A)) ,
MAPA_ESTADOS!B:B
},
2,
FALSE
),
"REVISAR"
)
</f>
        <v>ENTREGADO</v>
      </c>
      <c r="P682" s="118" t="s">
        <v>3955</v>
      </c>
      <c r="Q682" s="122">
        <f t="shared" si="2"/>
        <v>0</v>
      </c>
      <c r="R682" s="118"/>
      <c r="S682" s="118"/>
      <c r="T682" s="118">
        <f t="array" ref="T682">IFERROR(
INDEX(REPORTE_DROPI!B:B,
MATCH(
CLEAN(TRIM(C682)),
CLEAN(TRIM(REPORTE_DROPI!E:E)),
0
)
),
""
)
</f>
        <v>4167486</v>
      </c>
      <c r="U682" s="118">
        <v>6.419922714668E12</v>
      </c>
      <c r="V682" s="78"/>
      <c r="W682" s="78"/>
      <c r="X682" s="78"/>
      <c r="Y682" s="78"/>
      <c r="Z682" s="78"/>
    </row>
    <row r="683" ht="22.5" customHeight="1">
      <c r="A683" s="118">
        <v>682.0</v>
      </c>
      <c r="B683" s="119">
        <v>46038.0</v>
      </c>
      <c r="C683" s="118" t="s">
        <v>5081</v>
      </c>
      <c r="D683" s="118" t="str">
        <f>IFERROR(__xludf.DUMMYFUNCTION("IFERROR(
  INDEX(
    FILTER(
      'NOMBRE DE PRODUCTOS'!B:B,
      REGEXMATCH(
        UPPER(
          INDEX(
            REPORTE_DROPI!AC:AC,
            MATCH(T683, REPORTE_DROPI!B:B, 0)
          )
        ),
        UPPER('NOMBRE DE PRODUCTOS'!A:A)"&amp;"
      )
    ),
    1
  ),
  ""REVISAR""
)
"),"FilmPro®")</f>
        <v>FilmPro®</v>
      </c>
      <c r="E683" s="120">
        <f t="array" ref="E683">IF(
UPPER(TRIM(CLEAN($O683)))="ENTREGADO",
IFERROR(
INDEX(REPORTE_DROPI!Y:Y,
MATCH($T683, REPORTE_DROPI!B:B, 0)
),
""
),
""
)
</f>
        <v>7.05</v>
      </c>
      <c r="F683" s="121">
        <v>3.0</v>
      </c>
      <c r="G683" s="122">
        <f t="array" ref="G683">IF(
UPPER(TRIM(CLEAN($O683)))="ENTREGADO",
IFERROR(
INDEX(REPORTE_DROPI!R:R,
MATCH($T683, REPORTE_DROPI!B:B, 0)
),
""
),
""
)
</f>
        <v>30</v>
      </c>
      <c r="H683" s="118" t="s">
        <v>3727</v>
      </c>
      <c r="I683" s="118" t="s">
        <v>3731</v>
      </c>
      <c r="J683" s="121">
        <f t="array" ref="J683">IF(
UPPER(TRIM(CLEAN($O683)))="ENTREGADO",
IFERROR(
INDEX(REPORTE_DROPI!T:T,
MATCH($T683, REPORTE_DROPI!B:B, 0)
),
""
),
""
)
</f>
        <v>4.55</v>
      </c>
      <c r="K683" s="118">
        <f t="array" ref="K683">IFERROR(
INDEX(REPORTE_DROPI!S:S,
MATCH($T683, REPORTE_DROPI!B:B, 0)
),
""
)
</f>
        <v>18.4</v>
      </c>
      <c r="L683" s="118" t="str">
        <f>IF(
  O683&lt;&gt;"DEVOLUCION",
  "",
  IF(
    T683="",
    "",
    SUMIF(DEVOLUCION!F:F, T683, DEVOLUCION!D:D)
  )
)
</f>
        <v/>
      </c>
      <c r="M683" s="118"/>
      <c r="N683" s="130" t="s">
        <v>5082</v>
      </c>
      <c r="O683" s="118" t="str">
        <f t="array" ref="O683">IFERROR(
VLOOKUP(
TRIM(CLEAN(
INDEX(REPORTE_DROPI!K:K,
MATCH(T683, REPORTE_DROPI!B:B, 0)
))),
{
TRIM(CLEAN(MAPA_ESTADOS!A:A)) ,
MAPA_ESTADOS!B:B
},
2,
FALSE
),
"REVISAR"
)
</f>
        <v>ENTREGADO</v>
      </c>
      <c r="P683" s="118" t="s">
        <v>3955</v>
      </c>
      <c r="Q683" s="122">
        <f t="shared" si="2"/>
        <v>0</v>
      </c>
      <c r="R683" s="118"/>
      <c r="S683" s="118"/>
      <c r="T683" s="118">
        <f t="array" ref="T683">IFERROR(
INDEX(REPORTE_DROPI!B:B,
MATCH(
CLEAN(TRIM(C683)),
CLEAN(TRIM(REPORTE_DROPI!E:E)),
0
)
),
""
)
</f>
        <v>4167770</v>
      </c>
      <c r="U683" s="118">
        <v>6.420418756652E12</v>
      </c>
      <c r="V683" s="78"/>
      <c r="W683" s="78"/>
      <c r="X683" s="78"/>
      <c r="Y683" s="78"/>
      <c r="Z683" s="78"/>
    </row>
    <row r="684" ht="22.5" customHeight="1">
      <c r="A684" s="118">
        <v>683.0</v>
      </c>
      <c r="B684" s="119">
        <v>46038.0</v>
      </c>
      <c r="C684" s="118" t="s">
        <v>5083</v>
      </c>
      <c r="D684" s="118" t="str">
        <f>IFERROR(__xludf.DUMMYFUNCTION("IFERROR(
  INDEX(
    FILTER(
      'NOMBRE DE PRODUCTOS'!B:B,
      REGEXMATCH(
        UPPER(
          INDEX(
            REPORTE_DROPI!AC:AC,
            MATCH(T684, REPORTE_DROPI!B:B, 0)
          )
        ),
        UPPER('NOMBRE DE PRODUCTOS'!A:A)"&amp;"
      )
    ),
    1
  ),
  ""REVISAR""
)
"),"Cuchillo Tazaki™")</f>
        <v>Cuchillo Tazaki™</v>
      </c>
      <c r="E684" s="120">
        <f t="array" ref="E684">IF(
UPPER(TRIM(CLEAN($O684)))="ENTREGADO",
IFERROR(
INDEX(REPORTE_DROPI!Y:Y,
MATCH($T684, REPORTE_DROPI!B:B, 0)
),
""
),
""
)
</f>
        <v>5.2</v>
      </c>
      <c r="F684" s="121">
        <v>2.0</v>
      </c>
      <c r="G684" s="122">
        <f t="array" ref="G684">IF(
UPPER(TRIM(CLEAN($O684)))="ENTREGADO",
IFERROR(
INDEX(REPORTE_DROPI!R:R,
MATCH($T684, REPORTE_DROPI!B:B, 0)
),
""
),
""
)
</f>
        <v>22</v>
      </c>
      <c r="H684" s="118" t="s">
        <v>3727</v>
      </c>
      <c r="I684" s="118" t="s">
        <v>3809</v>
      </c>
      <c r="J684" s="121">
        <f t="array" ref="J684">IF(
UPPER(TRIM(CLEAN($O684)))="ENTREGADO",
IFERROR(
INDEX(REPORTE_DROPI!T:T,
MATCH($T684, REPORTE_DROPI!B:B, 0)
),
""
),
""
)
</f>
        <v>6.41</v>
      </c>
      <c r="K684" s="118">
        <f t="array" ref="K684">IFERROR(
INDEX(REPORTE_DROPI!S:S,
MATCH($T684, REPORTE_DROPI!B:B, 0)
),
""
)
</f>
        <v>10.39</v>
      </c>
      <c r="L684" s="118" t="str">
        <f>IF(
  O684&lt;&gt;"DEVOLUCION",
  "",
  IF(
    T684="",
    "",
    SUMIF(DEVOLUCION!F:F, T684, DEVOLUCION!D:D)
  )
)
</f>
        <v/>
      </c>
      <c r="M684" s="118" t="s">
        <v>3870</v>
      </c>
      <c r="N684" s="130" t="s">
        <v>5084</v>
      </c>
      <c r="O684" s="118" t="str">
        <f t="array" ref="O684">IFERROR(
VLOOKUP(
TRIM(CLEAN(
INDEX(REPORTE_DROPI!K:K,
MATCH(T684, REPORTE_DROPI!B:B, 0)
))),
{
TRIM(CLEAN(MAPA_ESTADOS!A:A)) ,
MAPA_ESTADOS!B:B
},
2,
FALSE
),
"REVISAR"
)
</f>
        <v>ENTREGADO</v>
      </c>
      <c r="P684" s="118"/>
      <c r="Q684" s="122">
        <f t="shared" si="2"/>
        <v>0</v>
      </c>
      <c r="R684" s="118"/>
      <c r="S684" s="118"/>
      <c r="T684" s="118">
        <f t="array" ref="T684">IFERROR(
INDEX(REPORTE_DROPI!B:B,
MATCH(
CLEAN(TRIM(C684)),
CLEAN(TRIM(REPORTE_DROPI!E:E)),
0
)
),
""
)
</f>
        <v>4168304</v>
      </c>
      <c r="U684" s="118">
        <v>6.421076246572E12</v>
      </c>
      <c r="V684" s="78"/>
      <c r="W684" s="78"/>
      <c r="X684" s="78"/>
      <c r="Y684" s="78"/>
      <c r="Z684" s="78"/>
    </row>
    <row r="685" ht="22.5" customHeight="1">
      <c r="A685" s="118">
        <v>684.0</v>
      </c>
      <c r="B685" s="119">
        <v>46038.0</v>
      </c>
      <c r="C685" s="126" t="s">
        <v>5085</v>
      </c>
      <c r="D685" s="118" t="str">
        <f>IFERROR(__xludf.DUMMYFUNCTION("IFERROR(
  INDEX(
    FILTER(
      'NOMBRE DE PRODUCTOS'!B:B,
      REGEXMATCH(
        UPPER(
          INDEX(
            REPORTE_DROPI!AC:AC,
            MATCH(T685, REPORTE_DROPI!B:B, 0)
          )
        ),
        UPPER('NOMBRE DE PRODUCTOS'!A:A)"&amp;"
      )
    ),
    1
  ),
  ""REVISAR""
)
"),"FilmPro®")</f>
        <v>FilmPro®</v>
      </c>
      <c r="E685" s="120" t="str">
        <f t="array" ref="E685">IF(
UPPER(TRIM(CLEAN($O685)))="ENTREGADO",
IFERROR(
INDEX(REPORTE_DROPI!Y:Y,
MATCH($T685, REPORTE_DROPI!B:B, 0)
),
""
),
""
)
</f>
        <v/>
      </c>
      <c r="F685" s="121">
        <v>3.0</v>
      </c>
      <c r="G685" s="122" t="str">
        <f t="array" ref="G685">IF(
UPPER(TRIM(CLEAN($O685)))="ENTREGADO",
IFERROR(
INDEX(REPORTE_DROPI!R:R,
MATCH($T685, REPORTE_DROPI!B:B, 0)
),
""
),
""
)
</f>
        <v/>
      </c>
      <c r="H685" s="118" t="s">
        <v>3727</v>
      </c>
      <c r="I685" s="118" t="s">
        <v>3740</v>
      </c>
      <c r="J685" s="121" t="str">
        <f t="array" ref="J685">IF(
UPPER(TRIM(CLEAN($O685)))="ENTREGADO",
IFERROR(
INDEX(REPORTE_DROPI!T:T,
MATCH($T685, REPORTE_DROPI!B:B, 0)
),
""
),
""
)
</f>
        <v/>
      </c>
      <c r="K685" s="118" t="str">
        <f t="array" ref="K685">IFERROR(
INDEX(REPORTE_DROPI!S:S,
MATCH($T685, REPORTE_DROPI!B:B, 0)
),
""
)
</f>
        <v/>
      </c>
      <c r="L685" s="118" t="str">
        <f>IF(
  O685&lt;&gt;"DEVOLUCION",
  "",
  IF(
    T685="",
    "",
    SUMIF(DEVOLUCION!F:F, T685, DEVOLUCION!D:D)
  )
)
</f>
        <v/>
      </c>
      <c r="M685" s="118" t="s">
        <v>3870</v>
      </c>
      <c r="N685" s="130" t="s">
        <v>5086</v>
      </c>
      <c r="O685" s="118" t="str">
        <f t="array" ref="O685">IFERROR(
VLOOKUP(
TRIM(CLEAN(
INDEX(REPORTE_DROPI!K:K,
MATCH(T685, REPORTE_DROPI!B:B, 0)
))),
{
TRIM(CLEAN(MAPA_ESTADOS!A:A)) ,
MAPA_ESTADOS!B:B
},
2,
FALSE
),
"REVISAR"
)
</f>
        <v>PENDIENTE</v>
      </c>
      <c r="P685" s="118" t="s">
        <v>4892</v>
      </c>
      <c r="Q685" s="122">
        <f t="shared" si="2"/>
        <v>0</v>
      </c>
      <c r="R685" s="118"/>
      <c r="S685" s="118"/>
      <c r="T685" s="118">
        <f t="array" ref="T685">IFERROR(
INDEX(REPORTE_DROPI!B:B,
MATCH(
CLEAN(TRIM(C685)),
CLEAN(TRIM(REPORTE_DROPI!E:E)),
0
)
),
""
)
</f>
        <v>4168503</v>
      </c>
      <c r="U685" s="118">
        <v>6.42110609822E12</v>
      </c>
      <c r="V685" s="78"/>
      <c r="W685" s="78"/>
      <c r="X685" s="78"/>
      <c r="Y685" s="78"/>
      <c r="Z685" s="78"/>
    </row>
    <row r="686" ht="22.5" customHeight="1">
      <c r="A686" s="118">
        <v>685.0</v>
      </c>
      <c r="B686" s="119">
        <v>46038.0</v>
      </c>
      <c r="C686" s="126" t="s">
        <v>5087</v>
      </c>
      <c r="D686" s="118" t="str">
        <f>IFERROR(__xludf.DUMMYFUNCTION("IFERROR(
  INDEX(
    FILTER(
      'NOMBRE DE PRODUCTOS'!B:B,
      REGEXMATCH(
        UPPER(
          INDEX(
            REPORTE_DROPI!AC:AC,
            MATCH(T686, REPORTE_DROPI!B:B, 0)
          )
        ),
        UPPER('NOMBRE DE PRODUCTOS'!A:A)"&amp;"
      )
    ),
    1
  ),
  ""REVISAR""
)
"),"Cuchillo Tazaki™")</f>
        <v>Cuchillo Tazaki™</v>
      </c>
      <c r="E686" s="120" t="str">
        <f t="array" ref="E686">IF(
UPPER(TRIM(CLEAN($O686)))="ENTREGADO",
IFERROR(
INDEX(REPORTE_DROPI!Y:Y,
MATCH($T686, REPORTE_DROPI!B:B, 0)
),
""
),
""
)
</f>
        <v/>
      </c>
      <c r="F686" s="121">
        <v>3.0</v>
      </c>
      <c r="G686" s="122" t="str">
        <f t="array" ref="G686">IF(
UPPER(TRIM(CLEAN($O686)))="ENTREGADO",
IFERROR(
INDEX(REPORTE_DROPI!R:R,
MATCH($T686, REPORTE_DROPI!B:B, 0)
),
""
),
""
)
</f>
        <v/>
      </c>
      <c r="H686" s="118" t="s">
        <v>3727</v>
      </c>
      <c r="I686" s="118" t="s">
        <v>3740</v>
      </c>
      <c r="J686" s="121" t="str">
        <f t="array" ref="J686">IF(
UPPER(TRIM(CLEAN($O686)))="ENTREGADO",
IFERROR(
INDEX(REPORTE_DROPI!T:T,
MATCH($T686, REPORTE_DROPI!B:B, 0)
),
""
),
""
)
</f>
        <v/>
      </c>
      <c r="K686" s="118" t="str">
        <f t="array" ref="K686">IFERROR(
INDEX(REPORTE_DROPI!S:S,
MATCH($T686, REPORTE_DROPI!B:B, 0)
),
""
)
</f>
        <v/>
      </c>
      <c r="L686" s="118" t="str">
        <f>IF(
  O686&lt;&gt;"DEVOLUCION",
  "",
  IF(
    T686="",
    "",
    SUMIF(DEVOLUCION!F:F, T686, DEVOLUCION!D:D)
  )
)
</f>
        <v/>
      </c>
      <c r="M686" s="118" t="s">
        <v>3870</v>
      </c>
      <c r="N686" s="130" t="s">
        <v>5088</v>
      </c>
      <c r="O686" s="118" t="str">
        <f t="array" ref="O686">IFERROR(
VLOOKUP(
TRIM(CLEAN(
INDEX(REPORTE_DROPI!K:K,
MATCH(T686, REPORTE_DROPI!B:B, 0)
))),
{
TRIM(CLEAN(MAPA_ESTADOS!A:A)) ,
MAPA_ESTADOS!B:B
},
2,
FALSE
),
"REVISAR"
)
</f>
        <v>PENDIENTE</v>
      </c>
      <c r="P686" s="118"/>
      <c r="Q686" s="122">
        <f t="shared" si="2"/>
        <v>0</v>
      </c>
      <c r="R686" s="118"/>
      <c r="S686" s="118"/>
      <c r="T686" s="118">
        <f t="array" ref="T686">IFERROR(
INDEX(REPORTE_DROPI!B:B,
MATCH(
CLEAN(TRIM(C686)),
CLEAN(TRIM(REPORTE_DROPI!E:E)),
0
)
),
""
)
</f>
        <v>4168546</v>
      </c>
      <c r="U686" s="118">
        <v>6.42111560094E12</v>
      </c>
      <c r="V686" s="78"/>
      <c r="W686" s="78"/>
      <c r="X686" s="78"/>
      <c r="Y686" s="78"/>
      <c r="Z686" s="78"/>
    </row>
    <row r="687" ht="22.5" customHeight="1">
      <c r="A687" s="118">
        <v>686.0</v>
      </c>
      <c r="B687" s="119">
        <v>46038.0</v>
      </c>
      <c r="C687" s="126" t="s">
        <v>5089</v>
      </c>
      <c r="D687" s="118" t="str">
        <f>IFERROR(__xludf.DUMMYFUNCTION("IFERROR(
  INDEX(
    FILTER(
      'NOMBRE DE PRODUCTOS'!B:B,
      REGEXMATCH(
        UPPER(
          INDEX(
            REPORTE_DROPI!AC:AC,
            MATCH(T687, REPORTE_DROPI!B:B, 0)
          )
        ),
        UPPER('NOMBRE DE PRODUCTOS'!A:A)"&amp;"
      )
    ),
    1
  ),
  ""REVISAR""
)
"),"FilmPro®")</f>
        <v>FilmPro®</v>
      </c>
      <c r="E687" s="120" t="str">
        <f t="array" ref="E687">IF(
UPPER(TRIM(CLEAN($O687)))="ENTREGADO",
IFERROR(
INDEX(REPORTE_DROPI!Y:Y,
MATCH($T687, REPORTE_DROPI!B:B, 0)
),
""
),
""
)
</f>
        <v/>
      </c>
      <c r="F687" s="121">
        <v>3.0</v>
      </c>
      <c r="G687" s="122" t="str">
        <f t="array" ref="G687">IF(
UPPER(TRIM(CLEAN($O687)))="ENTREGADO",
IFERROR(
INDEX(REPORTE_DROPI!R:R,
MATCH($T687, REPORTE_DROPI!B:B, 0)
),
""
),
""
)
</f>
        <v/>
      </c>
      <c r="H687" s="118" t="s">
        <v>3727</v>
      </c>
      <c r="I687" s="118" t="s">
        <v>3740</v>
      </c>
      <c r="J687" s="121" t="str">
        <f t="array" ref="J687">IF(
UPPER(TRIM(CLEAN($O687)))="ENTREGADO",
IFERROR(
INDEX(REPORTE_DROPI!T:T,
MATCH($T687, REPORTE_DROPI!B:B, 0)
),
""
),
""
)
</f>
        <v/>
      </c>
      <c r="K687" s="118" t="str">
        <f t="array" ref="K687">IFERROR(
INDEX(REPORTE_DROPI!S:S,
MATCH($T687, REPORTE_DROPI!B:B, 0)
),
""
)
</f>
        <v/>
      </c>
      <c r="L687" s="118" t="str">
        <f>IF(
  O687&lt;&gt;"DEVOLUCION",
  "",
  IF(
    T687="",
    "",
    SUMIF(DEVOLUCION!F:F, T687, DEVOLUCION!D:D)
  )
)
</f>
        <v/>
      </c>
      <c r="M687" s="118" t="s">
        <v>3870</v>
      </c>
      <c r="N687" s="130" t="s">
        <v>5090</v>
      </c>
      <c r="O687" s="118" t="str">
        <f t="array" ref="O687">IFERROR(
VLOOKUP(
TRIM(CLEAN(
INDEX(REPORTE_DROPI!K:K,
MATCH(T687, REPORTE_DROPI!B:B, 0)
))),
{
TRIM(CLEAN(MAPA_ESTADOS!A:A)) ,
MAPA_ESTADOS!B:B
},
2,
FALSE
),
"REVISAR"
)
</f>
        <v>PENDIENTE</v>
      </c>
      <c r="P687" s="118"/>
      <c r="Q687" s="122">
        <f t="shared" si="2"/>
        <v>0</v>
      </c>
      <c r="R687" s="118"/>
      <c r="S687" s="118"/>
      <c r="T687" s="118">
        <f t="array" ref="T687">IFERROR(
INDEX(REPORTE_DROPI!B:B,
MATCH(
CLEAN(TRIM(C687)),
CLEAN(TRIM(REPORTE_DROPI!E:E)),
0
)
),
""
)
</f>
        <v>4168557</v>
      </c>
      <c r="U687" s="118">
        <v>6.421118615596E12</v>
      </c>
      <c r="V687" s="78"/>
      <c r="W687" s="78"/>
      <c r="X687" s="78"/>
      <c r="Y687" s="78"/>
      <c r="Z687" s="78"/>
    </row>
    <row r="688" ht="22.5" customHeight="1">
      <c r="A688" s="118">
        <v>687.0</v>
      </c>
      <c r="B688" s="119">
        <v>46038.0</v>
      </c>
      <c r="C688" s="126" t="s">
        <v>5091</v>
      </c>
      <c r="D688" s="118" t="str">
        <f>IFERROR(__xludf.DUMMYFUNCTION("IFERROR(
  INDEX(
    FILTER(
      'NOMBRE DE PRODUCTOS'!B:B,
      REGEXMATCH(
        UPPER(
          INDEX(
            REPORTE_DROPI!AC:AC,
            MATCH(T688, REPORTE_DROPI!B:B, 0)
          )
        ),
        UPPER('NOMBRE DE PRODUCTOS'!A:A)"&amp;"
      )
    ),
    1
  ),
  ""REVISAR""
)
"),"FilmPro®")</f>
        <v>FilmPro®</v>
      </c>
      <c r="E688" s="120">
        <f t="array" ref="E688">IF(
UPPER(TRIM(CLEAN($O688)))="ENTREGADO",
IFERROR(
INDEX(REPORTE_DROPI!Y:Y,
MATCH($T688, REPORTE_DROPI!B:B, 0)
),
""
),
""
)
</f>
        <v>4.7</v>
      </c>
      <c r="F688" s="121">
        <v>1.0</v>
      </c>
      <c r="G688" s="122">
        <f t="array" ref="G688">IF(
UPPER(TRIM(CLEAN($O688)))="ENTREGADO",
IFERROR(
INDEX(REPORTE_DROPI!R:R,
MATCH($T688, REPORTE_DROPI!B:B, 0)
),
""
),
""
)
</f>
        <v>25</v>
      </c>
      <c r="H688" s="118" t="s">
        <v>3727</v>
      </c>
      <c r="I688" s="118" t="s">
        <v>3731</v>
      </c>
      <c r="J688" s="121">
        <f t="array" ref="J688">IF(
UPPER(TRIM(CLEAN($O688)))="ENTREGADO",
IFERROR(
INDEX(REPORTE_DROPI!T:T,
MATCH($T688, REPORTE_DROPI!B:B, 0)
),
""
),
""
)
</f>
        <v>5.96</v>
      </c>
      <c r="K688" s="118">
        <f t="array" ref="K688">IFERROR(
INDEX(REPORTE_DROPI!S:S,
MATCH($T688, REPORTE_DROPI!B:B, 0)
),
""
)
</f>
        <v>14.34</v>
      </c>
      <c r="L688" s="118" t="str">
        <f>IF(
  O688&lt;&gt;"DEVOLUCION",
  "",
  IF(
    T688="",
    "",
    SUMIF(DEVOLUCION!F:F, T688, DEVOLUCION!D:D)
  )
)
</f>
        <v/>
      </c>
      <c r="M688" s="118" t="s">
        <v>3870</v>
      </c>
      <c r="N688" s="130" t="s">
        <v>5092</v>
      </c>
      <c r="O688" s="118" t="str">
        <f t="array" ref="O688">IFERROR(
VLOOKUP(
TRIM(CLEAN(
INDEX(REPORTE_DROPI!K:K,
MATCH(T688, REPORTE_DROPI!B:B, 0)
))),
{
TRIM(CLEAN(MAPA_ESTADOS!A:A)) ,
MAPA_ESTADOS!B:B
},
2,
FALSE
),
"REVISAR"
)
</f>
        <v>ENTREGADO</v>
      </c>
      <c r="P688" s="118" t="s">
        <v>5093</v>
      </c>
      <c r="Q688" s="122">
        <f t="shared" si="2"/>
        <v>0</v>
      </c>
      <c r="R688" s="118"/>
      <c r="S688" s="118"/>
      <c r="T688" s="118">
        <f t="array" ref="T688">IFERROR(
INDEX(REPORTE_DROPI!B:B,
MATCH(
CLEAN(TRIM(C688)),
CLEAN(TRIM(REPORTE_DROPI!E:E)),
0
)
),
""
)
</f>
        <v>4349604</v>
      </c>
      <c r="U688" s="118">
        <v>6.421132574764E12</v>
      </c>
      <c r="V688" s="78"/>
      <c r="W688" s="78"/>
      <c r="X688" s="78"/>
      <c r="Y688" s="78"/>
      <c r="Z688" s="78"/>
    </row>
    <row r="689" ht="22.5" customHeight="1">
      <c r="A689" s="118">
        <v>688.0</v>
      </c>
      <c r="B689" s="119">
        <v>46038.0</v>
      </c>
      <c r="C689" s="126" t="s">
        <v>5094</v>
      </c>
      <c r="D689" s="118" t="s">
        <v>190</v>
      </c>
      <c r="E689" s="120" t="str">
        <f t="array" ref="E689">IF(
UPPER(TRIM(CLEAN($O689)))="ENTREGADO",
IFERROR(
INDEX(REPORTE_DROPI!Y:Y,
MATCH($T689, REPORTE_DROPI!B:B, 0)
),
""
),
""
)
</f>
        <v/>
      </c>
      <c r="F689" s="121">
        <v>2.0</v>
      </c>
      <c r="G689" s="122" t="str">
        <f t="array" ref="G689">IF(
UPPER(TRIM(CLEAN($O689)))="ENTREGADO",
IFERROR(
INDEX(REPORTE_DROPI!R:R,
MATCH($T689, REPORTE_DROPI!B:B, 0)
),
""
),
""
)
</f>
        <v/>
      </c>
      <c r="H689" s="118" t="s">
        <v>3727</v>
      </c>
      <c r="I689" s="118" t="s">
        <v>3770</v>
      </c>
      <c r="J689" s="121" t="str">
        <f t="array" ref="J689">IF(
UPPER(TRIM(CLEAN($O689)))="ENTREGADO",
IFERROR(
INDEX(REPORTE_DROPI!T:T,
MATCH($T689, REPORTE_DROPI!B:B, 0)
),
""
),
""
)
</f>
        <v/>
      </c>
      <c r="K689" s="118" t="str">
        <f t="array" ref="K689">IFERROR(
INDEX(REPORTE_DROPI!S:S,
MATCH($T689, REPORTE_DROPI!B:B, 0)
),
""
)
</f>
        <v/>
      </c>
      <c r="L689" s="118" t="str">
        <f>IF(
  O689&lt;&gt;"DEVOLUCION",
  "",
  IF(
    T689="",
    "",
    SUMIF(DEVOLUCION!F:F, T689, DEVOLUCION!D:D)
  )
)
</f>
        <v/>
      </c>
      <c r="M689" s="118" t="s">
        <v>3870</v>
      </c>
      <c r="N689" s="130" t="s">
        <v>5095</v>
      </c>
      <c r="O689" s="118" t="str">
        <f t="array" ref="O689">IFERROR(
VLOOKUP(
TRIM(CLEAN(
INDEX(REPORTE_DROPI!K:K,
MATCH(T689, REPORTE_DROPI!B:B, 0)
))),
{
TRIM(CLEAN(MAPA_ESTADOS!A:A)) ,
MAPA_ESTADOS!B:B
},
2,
FALSE
),
"REVISAR"
)
</f>
        <v>REVISAR</v>
      </c>
      <c r="P689" s="118"/>
      <c r="Q689" s="122">
        <f t="shared" si="2"/>
        <v>0</v>
      </c>
      <c r="R689" s="118"/>
      <c r="S689" s="118"/>
      <c r="T689" s="118" t="str">
        <f t="array" ref="T689">IFERROR(
INDEX(REPORTE_DROPI!B:B,
MATCH(
CLEAN(TRIM(C689)),
CLEAN(TRIM(REPORTE_DROPI!E:E)),
0
)
),
""
)
</f>
        <v/>
      </c>
      <c r="U689" s="118">
        <v>6.421141585964E12</v>
      </c>
      <c r="V689" s="78"/>
      <c r="W689" s="78"/>
      <c r="X689" s="78"/>
      <c r="Y689" s="78"/>
      <c r="Z689" s="78"/>
    </row>
    <row r="690" ht="22.5" customHeight="1">
      <c r="A690" s="118">
        <v>689.0</v>
      </c>
      <c r="B690" s="119">
        <v>46038.0</v>
      </c>
      <c r="C690" s="126" t="s">
        <v>5096</v>
      </c>
      <c r="D690" s="118" t="s">
        <v>190</v>
      </c>
      <c r="E690" s="120" t="str">
        <f t="array" ref="E690">IF(
UPPER(TRIM(CLEAN($O690)))="ENTREGADO",
IFERROR(
INDEX(REPORTE_DROPI!Y:Y,
MATCH($T690, REPORTE_DROPI!B:B, 0)
),
""
),
""
)
</f>
        <v/>
      </c>
      <c r="F690" s="121">
        <v>2.0</v>
      </c>
      <c r="G690" s="122" t="str">
        <f t="array" ref="G690">IF(
UPPER(TRIM(CLEAN($O690)))="ENTREGADO",
IFERROR(
INDEX(REPORTE_DROPI!R:R,
MATCH($T690, REPORTE_DROPI!B:B, 0)
),
""
),
""
)
</f>
        <v/>
      </c>
      <c r="H690" s="118" t="s">
        <v>3727</v>
      </c>
      <c r="I690" s="118" t="s">
        <v>3798</v>
      </c>
      <c r="J690" s="121" t="str">
        <f t="array" ref="J690">IF(
UPPER(TRIM(CLEAN($O690)))="ENTREGADO",
IFERROR(
INDEX(REPORTE_DROPI!T:T,
MATCH($T690, REPORTE_DROPI!B:B, 0)
),
""
),
""
)
</f>
        <v/>
      </c>
      <c r="K690" s="118" t="str">
        <f t="array" ref="K690">IFERROR(
INDEX(REPORTE_DROPI!S:S,
MATCH($T690, REPORTE_DROPI!B:B, 0)
),
""
)
</f>
        <v/>
      </c>
      <c r="L690" s="118" t="str">
        <f>IF(
  O690&lt;&gt;"DEVOLUCION",
  "",
  IF(
    T690="",
    "",
    SUMIF(DEVOLUCION!F:F, T690, DEVOLUCION!D:D)
  )
)
</f>
        <v/>
      </c>
      <c r="M690" s="118" t="s">
        <v>3870</v>
      </c>
      <c r="N690" s="130" t="s">
        <v>5097</v>
      </c>
      <c r="O690" s="118" t="str">
        <f t="array" ref="O690">IFERROR(
VLOOKUP(
TRIM(CLEAN(
INDEX(REPORTE_DROPI!K:K,
MATCH(T690, REPORTE_DROPI!B:B, 0)
))),
{
TRIM(CLEAN(MAPA_ESTADOS!A:A)) ,
MAPA_ESTADOS!B:B
},
2,
FALSE
),
"REVISAR"
)
</f>
        <v>REVISAR</v>
      </c>
      <c r="P690" s="118" t="s">
        <v>5098</v>
      </c>
      <c r="Q690" s="122">
        <f t="shared" si="2"/>
        <v>0</v>
      </c>
      <c r="R690" s="118"/>
      <c r="S690" s="118"/>
      <c r="T690" s="118" t="str">
        <f t="array" ref="T690">IFERROR(
INDEX(REPORTE_DROPI!B:B,
MATCH(
CLEAN(TRIM(C690)),
CLEAN(TRIM(REPORTE_DROPI!E:E)),
0
)
),
""
)
</f>
        <v/>
      </c>
      <c r="U690" s="118">
        <v>6.421183529004E12</v>
      </c>
      <c r="V690" s="78"/>
      <c r="W690" s="78"/>
      <c r="X690" s="78"/>
      <c r="Y690" s="78"/>
      <c r="Z690" s="78"/>
    </row>
    <row r="691" ht="22.5" customHeight="1">
      <c r="A691" s="118">
        <v>690.0</v>
      </c>
      <c r="B691" s="119">
        <v>46038.0</v>
      </c>
      <c r="C691" s="126" t="s">
        <v>5099</v>
      </c>
      <c r="D691" s="118" t="str">
        <f>IFERROR(__xludf.DUMMYFUNCTION("IFERROR(
  INDEX(
    FILTER(
      'NOMBRE DE PRODUCTOS'!B:B,
      REGEXMATCH(
        UPPER(
          INDEX(
            REPORTE_DROPI!AC:AC,
            MATCH(T691, REPORTE_DROPI!B:B, 0)
          )
        ),
        UPPER('NOMBRE DE PRODUCTOS'!A:A)"&amp;"
      )
    ),
    1
  ),
  ""REVISAR""
)
"),"FilmPro®")</f>
        <v>FilmPro®</v>
      </c>
      <c r="E691" s="120" t="str">
        <f t="array" ref="E691">IF(
UPPER(TRIM(CLEAN($O691)))="ENTREGADO",
IFERROR(
INDEX(REPORTE_DROPI!Y:Y,
MATCH($T691, REPORTE_DROPI!B:B, 0)
),
""
),
""
)
</f>
        <v/>
      </c>
      <c r="F691" s="121">
        <v>1.0</v>
      </c>
      <c r="G691" s="122" t="str">
        <f t="array" ref="G691">IF(
UPPER(TRIM(CLEAN($O691)))="ENTREGADO",
IFERROR(
INDEX(REPORTE_DROPI!R:R,
MATCH($T691, REPORTE_DROPI!B:B, 0)
),
""
),
""
)
</f>
        <v/>
      </c>
      <c r="H691" s="118" t="s">
        <v>3727</v>
      </c>
      <c r="I691" s="118" t="s">
        <v>3731</v>
      </c>
      <c r="J691" s="121" t="str">
        <f t="array" ref="J691">IF(
UPPER(TRIM(CLEAN($O691)))="ENTREGADO",
IFERROR(
INDEX(REPORTE_DROPI!T:T,
MATCH($T691, REPORTE_DROPI!B:B, 0)
),
""
),
""
)
</f>
        <v/>
      </c>
      <c r="K691" s="118" t="str">
        <f t="array" ref="K691">IFERROR(
INDEX(REPORTE_DROPI!S:S,
MATCH($T691, REPORTE_DROPI!B:B, 0)
),
""
)
</f>
        <v/>
      </c>
      <c r="L691" s="118" t="str">
        <f>IF(
  O691&lt;&gt;"DEVOLUCION",
  "",
  IF(
    T691="",
    "",
    SUMIF(DEVOLUCION!F:F, T691, DEVOLUCION!D:D)
  )
)
</f>
        <v/>
      </c>
      <c r="M691" s="118" t="s">
        <v>3870</v>
      </c>
      <c r="N691" s="130" t="s">
        <v>5100</v>
      </c>
      <c r="O691" s="118" t="str">
        <f t="array" ref="O691">IFERROR(
VLOOKUP(
TRIM(CLEAN(
INDEX(REPORTE_DROPI!K:K,
MATCH(T691, REPORTE_DROPI!B:B, 0)
))),
{
TRIM(CLEAN(MAPA_ESTADOS!A:A)) ,
MAPA_ESTADOS!B:B
},
2,
FALSE
),
"REVISAR"
)
</f>
        <v>PENDIENTE</v>
      </c>
      <c r="P691" s="118"/>
      <c r="Q691" s="122">
        <f t="shared" si="2"/>
        <v>0</v>
      </c>
      <c r="R691" s="118"/>
      <c r="S691" s="118"/>
      <c r="T691" s="118">
        <f t="array" ref="T691">IFERROR(
INDEX(REPORTE_DROPI!B:B,
MATCH(
CLEAN(TRIM(C691)),
CLEAN(TRIM(REPORTE_DROPI!E:E)),
0
)
),
""
)
</f>
        <v>4169183</v>
      </c>
      <c r="U691" s="118">
        <v>6.421226618924E12</v>
      </c>
      <c r="V691" s="78"/>
      <c r="W691" s="78"/>
      <c r="X691" s="78"/>
      <c r="Y691" s="78"/>
      <c r="Z691" s="78"/>
    </row>
    <row r="692" ht="22.5" customHeight="1">
      <c r="A692" s="118">
        <v>691.0</v>
      </c>
      <c r="B692" s="119">
        <v>46038.0</v>
      </c>
      <c r="C692" s="126" t="s">
        <v>5101</v>
      </c>
      <c r="D692" s="118" t="str">
        <f>IFERROR(__xludf.DUMMYFUNCTION("IFERROR(
  INDEX(
    FILTER(
      'NOMBRE DE PRODUCTOS'!B:B,
      REGEXMATCH(
        UPPER(
          INDEX(
            REPORTE_DROPI!AC:AC,
            MATCH(T692, REPORTE_DROPI!B:B, 0)
          )
        ),
        UPPER('NOMBRE DE PRODUCTOS'!A:A)"&amp;"
      )
    ),
    1
  ),
  ""REVISAR""
)
"),"FilmPro®")</f>
        <v>FilmPro®</v>
      </c>
      <c r="E692" s="120" t="str">
        <f t="array" ref="E692">IF(
UPPER(TRIM(CLEAN($O692)))="ENTREGADO",
IFERROR(
INDEX(REPORTE_DROPI!Y:Y,
MATCH($T692, REPORTE_DROPI!B:B, 0)
),
""
),
""
)
</f>
        <v/>
      </c>
      <c r="F692" s="121">
        <v>2.0</v>
      </c>
      <c r="G692" s="122" t="str">
        <f t="array" ref="G692">IF(
UPPER(TRIM(CLEAN($O692)))="ENTREGADO",
IFERROR(
INDEX(REPORTE_DROPI!R:R,
MATCH($T692, REPORTE_DROPI!B:B, 0)
),
""
),
""
)
</f>
        <v/>
      </c>
      <c r="H692" s="118" t="s">
        <v>3727</v>
      </c>
      <c r="I692" s="118" t="s">
        <v>3740</v>
      </c>
      <c r="J692" s="121" t="str">
        <f t="array" ref="J692">IF(
UPPER(TRIM(CLEAN($O692)))="ENTREGADO",
IFERROR(
INDEX(REPORTE_DROPI!T:T,
MATCH($T692, REPORTE_DROPI!B:B, 0)
),
""
),
""
)
</f>
        <v/>
      </c>
      <c r="K692" s="118" t="str">
        <f t="array" ref="K692">IFERROR(
INDEX(REPORTE_DROPI!S:S,
MATCH($T692, REPORTE_DROPI!B:B, 0)
),
""
)
</f>
        <v/>
      </c>
      <c r="L692" s="118" t="str">
        <f>IF(
  O692&lt;&gt;"DEVOLUCION",
  "",
  IF(
    T692="",
    "",
    SUMIF(DEVOLUCION!F:F, T692, DEVOLUCION!D:D)
  )
)
</f>
        <v/>
      </c>
      <c r="M692" s="118" t="s">
        <v>3870</v>
      </c>
      <c r="N692" s="130" t="s">
        <v>5102</v>
      </c>
      <c r="O692" s="118" t="str">
        <f t="array" ref="O692">IFERROR(
VLOOKUP(
TRIM(CLEAN(
INDEX(REPORTE_DROPI!K:K,
MATCH(T692, REPORTE_DROPI!B:B, 0)
))),
{
TRIM(CLEAN(MAPA_ESTADOS!A:A)) ,
MAPA_ESTADOS!B:B
},
2,
FALSE
),
"REVISAR"
)
</f>
        <v>PENDIENTE</v>
      </c>
      <c r="P692" s="118" t="s">
        <v>4892</v>
      </c>
      <c r="Q692" s="122">
        <f t="shared" si="2"/>
        <v>0</v>
      </c>
      <c r="R692" s="118"/>
      <c r="S692" s="118"/>
      <c r="T692" s="118">
        <f t="array" ref="T692">IFERROR(
INDEX(REPORTE_DROPI!B:B,
MATCH(
CLEAN(TRIM(C692)),
CLEAN(TRIM(REPORTE_DROPI!E:E)),
0
)
),
""
)
</f>
        <v>4170311</v>
      </c>
      <c r="U692" s="118">
        <v>6.421476442156E12</v>
      </c>
      <c r="V692" s="78"/>
      <c r="W692" s="78"/>
      <c r="X692" s="78"/>
      <c r="Y692" s="78"/>
      <c r="Z692" s="78"/>
    </row>
    <row r="693" ht="22.5" customHeight="1">
      <c r="A693" s="118">
        <v>692.0</v>
      </c>
      <c r="B693" s="119">
        <v>46038.0</v>
      </c>
      <c r="C693" s="126" t="s">
        <v>5103</v>
      </c>
      <c r="D693" s="118" t="str">
        <f>IFERROR(__xludf.DUMMYFUNCTION("IFERROR(
  INDEX(
    FILTER(
      'NOMBRE DE PRODUCTOS'!B:B,
      REGEXMATCH(
        UPPER(
          INDEX(
            REPORTE_DROPI!AC:AC,
            MATCH(T693, REPORTE_DROPI!B:B, 0)
          )
        ),
        UPPER('NOMBRE DE PRODUCTOS'!A:A)"&amp;"
      )
    ),
    1
  ),
  ""REVISAR""
)
"),"FilmPro®")</f>
        <v>FilmPro®</v>
      </c>
      <c r="E693" s="120" t="str">
        <f t="array" ref="E693">IF(
UPPER(TRIM(CLEAN($O693)))="ENTREGADO",
IFERROR(
INDEX(REPORTE_DROPI!Y:Y,
MATCH($T693, REPORTE_DROPI!B:B, 0)
),
""
),
""
)
</f>
        <v/>
      </c>
      <c r="F693" s="121">
        <v>2.0</v>
      </c>
      <c r="G693" s="122" t="str">
        <f t="array" ref="G693">IF(
UPPER(TRIM(CLEAN($O693)))="ENTREGADO",
IFERROR(
INDEX(REPORTE_DROPI!R:R,
MATCH($T693, REPORTE_DROPI!B:B, 0)
),
""
),
""
)
</f>
        <v/>
      </c>
      <c r="H693" s="118" t="s">
        <v>3727</v>
      </c>
      <c r="I693" s="118" t="s">
        <v>3740</v>
      </c>
      <c r="J693" s="121" t="str">
        <f t="array" ref="J693">IF(
UPPER(TRIM(CLEAN($O693)))="ENTREGADO",
IFERROR(
INDEX(REPORTE_DROPI!T:T,
MATCH($T693, REPORTE_DROPI!B:B, 0)
),
""
),
""
)
</f>
        <v/>
      </c>
      <c r="K693" s="118" t="str">
        <f t="array" ref="K693">IFERROR(
INDEX(REPORTE_DROPI!S:S,
MATCH($T693, REPORTE_DROPI!B:B, 0)
),
""
)
</f>
        <v/>
      </c>
      <c r="L693" s="118" t="str">
        <f>IF(
  O693&lt;&gt;"DEVOLUCION",
  "",
  IF(
    T693="",
    "",
    SUMIF(DEVOLUCION!F:F, T693, DEVOLUCION!D:D)
  )
)
</f>
        <v/>
      </c>
      <c r="M693" s="118" t="s">
        <v>3870</v>
      </c>
      <c r="N693" s="130" t="s">
        <v>5104</v>
      </c>
      <c r="O693" s="118" t="str">
        <f t="array" ref="O693">IFERROR(
VLOOKUP(
TRIM(CLEAN(
INDEX(REPORTE_DROPI!K:K,
MATCH(T693, REPORTE_DROPI!B:B, 0)
))),
{
TRIM(CLEAN(MAPA_ESTADOS!A:A)) ,
MAPA_ESTADOS!B:B
},
2,
FALSE
),
"REVISAR"
)
</f>
        <v>PENDIENTE</v>
      </c>
      <c r="P693" s="118"/>
      <c r="Q693" s="122">
        <f t="shared" si="2"/>
        <v>0</v>
      </c>
      <c r="R693" s="118"/>
      <c r="S693" s="118"/>
      <c r="T693" s="118">
        <f t="array" ref="T693">IFERROR(
INDEX(REPORTE_DROPI!B:B,
MATCH(
CLEAN(TRIM(C693)),
CLEAN(TRIM(REPORTE_DROPI!E:E)),
0
)
),
""
)
</f>
        <v>4170484</v>
      </c>
      <c r="U693" s="118">
        <v>6.421514485804E12</v>
      </c>
      <c r="V693" s="78"/>
      <c r="W693" s="78"/>
      <c r="X693" s="78"/>
      <c r="Y693" s="78"/>
      <c r="Z693" s="78"/>
    </row>
    <row r="694" ht="22.5" customHeight="1">
      <c r="A694" s="118">
        <v>693.0</v>
      </c>
      <c r="B694" s="119">
        <v>46038.0</v>
      </c>
      <c r="C694" s="126" t="s">
        <v>5105</v>
      </c>
      <c r="D694" s="118" t="str">
        <f>IFERROR(__xludf.DUMMYFUNCTION("IFERROR(
  INDEX(
    FILTER(
      'NOMBRE DE PRODUCTOS'!B:B,
      REGEXMATCH(
        UPPER(
          INDEX(
            REPORTE_DROPI!AC:AC,
            MATCH(T694, REPORTE_DROPI!B:B, 0)
          )
        ),
        UPPER('NOMBRE DE PRODUCTOS'!A:A)"&amp;"
      )
    ),
    1
  ),
  ""REVISAR""
)
"),"FilmPro®")</f>
        <v>FilmPro®</v>
      </c>
      <c r="E694" s="120" t="str">
        <f t="array" ref="E694">IF(
UPPER(TRIM(CLEAN($O694)))="ENTREGADO",
IFERROR(
INDEX(REPORTE_DROPI!Y:Y,
MATCH($T694, REPORTE_DROPI!B:B, 0)
),
""
),
""
)
</f>
        <v/>
      </c>
      <c r="F694" s="121">
        <v>3.0</v>
      </c>
      <c r="G694" s="122" t="str">
        <f t="array" ref="G694">IF(
UPPER(TRIM(CLEAN($O694)))="ENTREGADO",
IFERROR(
INDEX(REPORTE_DROPI!R:R,
MATCH($T694, REPORTE_DROPI!B:B, 0)
),
""
),
""
)
</f>
        <v/>
      </c>
      <c r="H694" s="118" t="s">
        <v>3727</v>
      </c>
      <c r="I694" s="118" t="s">
        <v>3728</v>
      </c>
      <c r="J694" s="121" t="str">
        <f t="array" ref="J694">IF(
UPPER(TRIM(CLEAN($O694)))="ENTREGADO",
IFERROR(
INDEX(REPORTE_DROPI!T:T,
MATCH($T694, REPORTE_DROPI!B:B, 0)
),
""
),
""
)
</f>
        <v/>
      </c>
      <c r="K694" s="118" t="str">
        <f t="array" ref="K694">IFERROR(
INDEX(REPORTE_DROPI!S:S,
MATCH($T694, REPORTE_DROPI!B:B, 0)
),
""
)
</f>
        <v/>
      </c>
      <c r="L694" s="118" t="str">
        <f>IF(
  O694&lt;&gt;"DEVOLUCION",
  "",
  IF(
    T694="",
    "",
    SUMIF(DEVOLUCION!F:F, T694, DEVOLUCION!D:D)
  )
)
</f>
        <v/>
      </c>
      <c r="M694" s="118" t="s">
        <v>3870</v>
      </c>
      <c r="N694" s="130" t="s">
        <v>5106</v>
      </c>
      <c r="O694" s="118" t="str">
        <f t="array" ref="O694">IFERROR(
VLOOKUP(
TRIM(CLEAN(
INDEX(REPORTE_DROPI!K:K,
MATCH(T694, REPORTE_DROPI!B:B, 0)
))),
{
TRIM(CLEAN(MAPA_ESTADOS!A:A)) ,
MAPA_ESTADOS!B:B
},
2,
FALSE
),
"REVISAR"
)
</f>
        <v>PENDIENTE</v>
      </c>
      <c r="P694" s="118" t="s">
        <v>5107</v>
      </c>
      <c r="Q694" s="122">
        <f t="shared" si="2"/>
        <v>0</v>
      </c>
      <c r="R694" s="118"/>
      <c r="S694" s="118"/>
      <c r="T694" s="118">
        <f t="array" ref="T694">IFERROR(
INDEX(REPORTE_DROPI!B:B,
MATCH(
CLEAN(TRIM(C694)),
CLEAN(TRIM(REPORTE_DROPI!E:E)),
0
)
),
""
)
</f>
        <v>4170745</v>
      </c>
      <c r="U694" s="118">
        <v>6.421599944748E12</v>
      </c>
      <c r="V694" s="78"/>
      <c r="W694" s="78"/>
      <c r="X694" s="78"/>
      <c r="Y694" s="78"/>
      <c r="Z694" s="78"/>
    </row>
    <row r="695" ht="22.5" customHeight="1">
      <c r="A695" s="118">
        <v>694.0</v>
      </c>
      <c r="B695" s="119">
        <v>46038.0</v>
      </c>
      <c r="C695" s="126" t="s">
        <v>5108</v>
      </c>
      <c r="D695" s="118" t="str">
        <f>IFERROR(__xludf.DUMMYFUNCTION("IFERROR(
  INDEX(
    FILTER(
      'NOMBRE DE PRODUCTOS'!B:B,
      REGEXMATCH(
        UPPER(
          INDEX(
            REPORTE_DROPI!AC:AC,
            MATCH(T695, REPORTE_DROPI!B:B, 0)
          )
        ),
        UPPER('NOMBRE DE PRODUCTOS'!A:A)"&amp;"
      )
    ),
    1
  ),
  ""REVISAR""
)
"),"FilmPro®")</f>
        <v>FilmPro®</v>
      </c>
      <c r="E695" s="120" t="str">
        <f t="array" ref="E695">IF(
UPPER(TRIM(CLEAN($O695)))="ENTREGADO",
IFERROR(
INDEX(REPORTE_DROPI!Y:Y,
MATCH($T695, REPORTE_DROPI!B:B, 0)
),
""
),
""
)
</f>
        <v/>
      </c>
      <c r="F695" s="121">
        <v>3.0</v>
      </c>
      <c r="G695" s="122" t="str">
        <f t="array" ref="G695">IF(
UPPER(TRIM(CLEAN($O695)))="ENTREGADO",
IFERROR(
INDEX(REPORTE_DROPI!R:R,
MATCH($T695, REPORTE_DROPI!B:B, 0)
),
""
),
""
)
</f>
        <v/>
      </c>
      <c r="H695" s="118" t="s">
        <v>3727</v>
      </c>
      <c r="I695" s="118" t="s">
        <v>3728</v>
      </c>
      <c r="J695" s="121" t="str">
        <f t="array" ref="J695">IF(
UPPER(TRIM(CLEAN($O695)))="ENTREGADO",
IFERROR(
INDEX(REPORTE_DROPI!T:T,
MATCH($T695, REPORTE_DROPI!B:B, 0)
),
""
),
""
)
</f>
        <v/>
      </c>
      <c r="K695" s="118" t="str">
        <f t="array" ref="K695">IFERROR(
INDEX(REPORTE_DROPI!S:S,
MATCH($T695, REPORTE_DROPI!B:B, 0)
),
""
)
</f>
        <v/>
      </c>
      <c r="L695" s="118">
        <f>IF(
  O695&lt;&gt;"DEVOLUCION",
  "",
  IF(
    T695="",
    "",
    SUMIF(DEVOLUCION!F:F, T695, DEVOLUCION!D:D)
  )
)
</f>
        <v>5.12</v>
      </c>
      <c r="M695" s="118" t="s">
        <v>3870</v>
      </c>
      <c r="N695" s="130" t="s">
        <v>5109</v>
      </c>
      <c r="O695" s="118" t="str">
        <f t="array" ref="O695">IFERROR(
VLOOKUP(
TRIM(CLEAN(
INDEX(REPORTE_DROPI!K:K,
MATCH(T695, REPORTE_DROPI!B:B, 0)
))),
{
TRIM(CLEAN(MAPA_ESTADOS!A:A)) ,
MAPA_ESTADOS!B:B
},
2,
FALSE
),
"REVISAR"
)
</f>
        <v>DEVOLUCION</v>
      </c>
      <c r="P695" s="118" t="s">
        <v>5110</v>
      </c>
      <c r="Q695" s="122">
        <f t="shared" si="2"/>
        <v>0</v>
      </c>
      <c r="R695" s="118"/>
      <c r="S695" s="118"/>
      <c r="T695" s="118">
        <f t="array" ref="T695">IFERROR(
INDEX(REPORTE_DROPI!B:B,
MATCH(
CLEAN(TRIM(C695)),
CLEAN(TRIM(REPORTE_DROPI!E:E)),
0
)
),
""
)
</f>
        <v>4230606</v>
      </c>
      <c r="U695" s="118">
        <v>6.421610594348E12</v>
      </c>
      <c r="V695" s="78"/>
      <c r="W695" s="78"/>
      <c r="X695" s="78"/>
      <c r="Y695" s="78"/>
      <c r="Z695" s="78"/>
    </row>
    <row r="696" ht="22.5" customHeight="1">
      <c r="A696" s="118">
        <v>695.0</v>
      </c>
      <c r="B696" s="119">
        <v>46038.0</v>
      </c>
      <c r="C696" s="126" t="s">
        <v>5111</v>
      </c>
      <c r="D696" s="118" t="str">
        <f>IFERROR(__xludf.DUMMYFUNCTION("IFERROR(
  INDEX(
    FILTER(
      'NOMBRE DE PRODUCTOS'!B:B,
      REGEXMATCH(
        UPPER(
          INDEX(
            REPORTE_DROPI!AC:AC,
            MATCH(T696, REPORTE_DROPI!B:B, 0)
          )
        ),
        UPPER('NOMBRE DE PRODUCTOS'!A:A)"&amp;"
      )
    ),
    1
  ),
  ""REVISAR""
)
"),"FilmPro®")</f>
        <v>FilmPro®</v>
      </c>
      <c r="E696" s="120" t="str">
        <f t="array" ref="E696">IF(
UPPER(TRIM(CLEAN($O696)))="ENTREGADO",
IFERROR(
INDEX(REPORTE_DROPI!Y:Y,
MATCH($T696, REPORTE_DROPI!B:B, 0)
),
""
),
""
)
</f>
        <v/>
      </c>
      <c r="F696" s="121">
        <v>3.0</v>
      </c>
      <c r="G696" s="122" t="str">
        <f t="array" ref="G696">IF(
UPPER(TRIM(CLEAN($O696)))="ENTREGADO",
IFERROR(
INDEX(REPORTE_DROPI!R:R,
MATCH($T696, REPORTE_DROPI!B:B, 0)
),
""
),
""
)
</f>
        <v/>
      </c>
      <c r="H696" s="118" t="s">
        <v>3727</v>
      </c>
      <c r="I696" s="118" t="s">
        <v>3740</v>
      </c>
      <c r="J696" s="121" t="str">
        <f t="array" ref="J696">IF(
UPPER(TRIM(CLEAN($O696)))="ENTREGADO",
IFERROR(
INDEX(REPORTE_DROPI!T:T,
MATCH($T696, REPORTE_DROPI!B:B, 0)
),
""
),
""
)
</f>
        <v/>
      </c>
      <c r="K696" s="118" t="str">
        <f t="array" ref="K696">IFERROR(
INDEX(REPORTE_DROPI!S:S,
MATCH($T696, REPORTE_DROPI!B:B, 0)
),
""
)
</f>
        <v/>
      </c>
      <c r="L696" s="118" t="str">
        <f>IF(
  O696&lt;&gt;"DEVOLUCION",
  "",
  IF(
    T696="",
    "",
    SUMIF(DEVOLUCION!F:F, T696, DEVOLUCION!D:D)
  )
)
</f>
        <v/>
      </c>
      <c r="M696" s="118" t="s">
        <v>3870</v>
      </c>
      <c r="N696" s="130" t="s">
        <v>5112</v>
      </c>
      <c r="O696" s="118" t="str">
        <f t="array" ref="O696">IFERROR(
VLOOKUP(
TRIM(CLEAN(
INDEX(REPORTE_DROPI!K:K,
MATCH(T696, REPORTE_DROPI!B:B, 0)
))),
{
TRIM(CLEAN(MAPA_ESTADOS!A:A)) ,
MAPA_ESTADOS!B:B
},
2,
FALSE
),
"REVISAR"
)
</f>
        <v>PENDIENTE</v>
      </c>
      <c r="P696" s="118" t="s">
        <v>4892</v>
      </c>
      <c r="Q696" s="122">
        <f t="shared" si="2"/>
        <v>0</v>
      </c>
      <c r="R696" s="118"/>
      <c r="S696" s="118"/>
      <c r="T696" s="118">
        <f t="array" ref="T696">IFERROR(
INDEX(REPORTE_DROPI!B:B,
MATCH(
CLEAN(TRIM(C696)),
CLEAN(TRIM(REPORTE_DROPI!E:E)),
0
)
),
""
)
</f>
        <v>4171996</v>
      </c>
      <c r="U696" s="118">
        <v>6.421939191852E12</v>
      </c>
      <c r="V696" s="78"/>
      <c r="W696" s="78"/>
      <c r="X696" s="78"/>
      <c r="Y696" s="78"/>
      <c r="Z696" s="78"/>
    </row>
    <row r="697" ht="22.5" customHeight="1">
      <c r="A697" s="118">
        <v>696.0</v>
      </c>
      <c r="B697" s="119">
        <v>46038.0</v>
      </c>
      <c r="C697" s="126" t="s">
        <v>5113</v>
      </c>
      <c r="D697" s="118" t="str">
        <f>IFERROR(__xludf.DUMMYFUNCTION("IFERROR(
  INDEX(
    FILTER(
      'NOMBRE DE PRODUCTOS'!B:B,
      REGEXMATCH(
        UPPER(
          INDEX(
            REPORTE_DROPI!AC:AC,
            MATCH(T697, REPORTE_DROPI!B:B, 0)
          )
        ),
        UPPER('NOMBRE DE PRODUCTOS'!A:A)"&amp;"
      )
    ),
    1
  ),
  ""REVISAR""
)
"),"FilmPro®")</f>
        <v>FilmPro®</v>
      </c>
      <c r="E697" s="120" t="str">
        <f t="array" ref="E697">IF(
UPPER(TRIM(CLEAN($O697)))="ENTREGADO",
IFERROR(
INDEX(REPORTE_DROPI!Y:Y,
MATCH($T697, REPORTE_DROPI!B:B, 0)
),
""
),
""
)
</f>
        <v/>
      </c>
      <c r="F697" s="121">
        <v>3.0</v>
      </c>
      <c r="G697" s="122" t="str">
        <f t="array" ref="G697">IF(
UPPER(TRIM(CLEAN($O697)))="ENTREGADO",
IFERROR(
INDEX(REPORTE_DROPI!R:R,
MATCH($T697, REPORTE_DROPI!B:B, 0)
),
""
),
""
)
</f>
        <v/>
      </c>
      <c r="H697" s="118" t="s">
        <v>3727</v>
      </c>
      <c r="I697" s="118" t="s">
        <v>3735</v>
      </c>
      <c r="J697" s="121" t="str">
        <f t="array" ref="J697">IF(
UPPER(TRIM(CLEAN($O697)))="ENTREGADO",
IFERROR(
INDEX(REPORTE_DROPI!T:T,
MATCH($T697, REPORTE_DROPI!B:B, 0)
),
""
),
""
)
</f>
        <v/>
      </c>
      <c r="K697" s="118" t="str">
        <f t="array" ref="K697">IFERROR(
INDEX(REPORTE_DROPI!S:S,
MATCH($T697, REPORTE_DROPI!B:B, 0)
),
""
)
</f>
        <v/>
      </c>
      <c r="L697" s="118">
        <f>IF(
  O697&lt;&gt;"DEVOLUCION",
  "",
  IF(
    T697="",
    "",
    SUMIF(DEVOLUCION!F:F, T697, DEVOLUCION!D:D)
  )
)
</f>
        <v>5.12</v>
      </c>
      <c r="M697" s="118" t="s">
        <v>3870</v>
      </c>
      <c r="N697" s="130" t="s">
        <v>5114</v>
      </c>
      <c r="O697" s="118" t="str">
        <f t="array" ref="O697">IFERROR(
VLOOKUP(
TRIM(CLEAN(
INDEX(REPORTE_DROPI!K:K,
MATCH(T697, REPORTE_DROPI!B:B, 0)
))),
{
TRIM(CLEAN(MAPA_ESTADOS!A:A)) ,
MAPA_ESTADOS!B:B
},
2,
FALSE
),
"REVISAR"
)
</f>
        <v>DEVOLUCION</v>
      </c>
      <c r="P697" s="118"/>
      <c r="Q697" s="122">
        <f t="shared" si="2"/>
        <v>0</v>
      </c>
      <c r="R697" s="118"/>
      <c r="S697" s="118"/>
      <c r="T697" s="118">
        <f t="array" ref="T697">IFERROR(
INDEX(REPORTE_DROPI!B:B,
MATCH(
CLEAN(TRIM(C697)),
CLEAN(TRIM(REPORTE_DROPI!E:E)),
0
)
),
""
)
</f>
        <v>4172382</v>
      </c>
      <c r="U697" s="118">
        <v>6.422025011244E12</v>
      </c>
      <c r="V697" s="78"/>
      <c r="W697" s="78"/>
      <c r="X697" s="78"/>
      <c r="Y697" s="78"/>
      <c r="Z697" s="78"/>
    </row>
    <row r="698" ht="22.5" customHeight="1">
      <c r="A698" s="118">
        <v>697.0</v>
      </c>
      <c r="B698" s="119">
        <v>46038.0</v>
      </c>
      <c r="C698" s="126" t="s">
        <v>5115</v>
      </c>
      <c r="D698" s="118" t="str">
        <f>IFERROR(__xludf.DUMMYFUNCTION("IFERROR(
  INDEX(
    FILTER(
      'NOMBRE DE PRODUCTOS'!B:B,
      REGEXMATCH(
        UPPER(
          INDEX(
            REPORTE_DROPI!AC:AC,
            MATCH(T698, REPORTE_DROPI!B:B, 0)
          )
        ),
        UPPER('NOMBRE DE PRODUCTOS'!A:A)"&amp;"
      )
    ),
    1
  ),
  ""REVISAR""
)
"),"FilmPro®")</f>
        <v>FilmPro®</v>
      </c>
      <c r="E698" s="120" t="str">
        <f t="array" ref="E698">IF(
UPPER(TRIM(CLEAN($O698)))="ENTREGADO",
IFERROR(
INDEX(REPORTE_DROPI!Y:Y,
MATCH($T698, REPORTE_DROPI!B:B, 0)
),
""
),
""
)
</f>
        <v/>
      </c>
      <c r="F698" s="121">
        <v>1.0</v>
      </c>
      <c r="G698" s="122" t="str">
        <f t="array" ref="G698">IF(
UPPER(TRIM(CLEAN($O698)))="ENTREGADO",
IFERROR(
INDEX(REPORTE_DROPI!R:R,
MATCH($T698, REPORTE_DROPI!B:B, 0)
),
""
),
""
)
</f>
        <v/>
      </c>
      <c r="H698" s="118" t="s">
        <v>3727</v>
      </c>
      <c r="I698" s="118" t="s">
        <v>3731</v>
      </c>
      <c r="J698" s="121" t="str">
        <f t="array" ref="J698">IF(
UPPER(TRIM(CLEAN($O698)))="ENTREGADO",
IFERROR(
INDEX(REPORTE_DROPI!T:T,
MATCH($T698, REPORTE_DROPI!B:B, 0)
),
""
),
""
)
</f>
        <v/>
      </c>
      <c r="K698" s="118" t="str">
        <f t="array" ref="K698">IFERROR(
INDEX(REPORTE_DROPI!S:S,
MATCH($T698, REPORTE_DROPI!B:B, 0)
),
""
)
</f>
        <v/>
      </c>
      <c r="L698" s="118">
        <f>IF(
  O698&lt;&gt;"DEVOLUCION",
  "",
  IF(
    T698="",
    "",
    SUMIF(DEVOLUCION!F:F, T698, DEVOLUCION!D:D)
  )
)
</f>
        <v>3.45</v>
      </c>
      <c r="M698" s="118" t="s">
        <v>3870</v>
      </c>
      <c r="N698" s="130" t="s">
        <v>5116</v>
      </c>
      <c r="O698" s="118" t="str">
        <f t="array" ref="O698">IFERROR(
VLOOKUP(
TRIM(CLEAN(
INDEX(REPORTE_DROPI!K:K,
MATCH(T698, REPORTE_DROPI!B:B, 0)
))),
{
TRIM(CLEAN(MAPA_ESTADOS!A:A)) ,
MAPA_ESTADOS!B:B
},
2,
FALSE
),
"REVISAR"
)
</f>
        <v>DEVOLUCION</v>
      </c>
      <c r="P698" s="118"/>
      <c r="Q698" s="122">
        <f t="shared" si="2"/>
        <v>0</v>
      </c>
      <c r="R698" s="118"/>
      <c r="S698" s="118"/>
      <c r="T698" s="118">
        <f t="array" ref="T698">IFERROR(
INDEX(REPORTE_DROPI!B:B,
MATCH(
CLEAN(TRIM(C698)),
CLEAN(TRIM(REPORTE_DROPI!E:E)),
0
)
),
""
)
</f>
        <v>4172400</v>
      </c>
      <c r="U698" s="118">
        <v>6.422030581804E12</v>
      </c>
      <c r="V698" s="78"/>
      <c r="W698" s="78"/>
      <c r="X698" s="78"/>
      <c r="Y698" s="78"/>
      <c r="Z698" s="78"/>
    </row>
    <row r="699" ht="22.5" customHeight="1">
      <c r="A699" s="118">
        <v>698.0</v>
      </c>
      <c r="B699" s="119">
        <v>46038.0</v>
      </c>
      <c r="C699" s="118" t="s">
        <v>5117</v>
      </c>
      <c r="D699" s="118" t="str">
        <f>IFERROR(__xludf.DUMMYFUNCTION("IFERROR(
  INDEX(
    FILTER(
      'NOMBRE DE PRODUCTOS'!B:B,
      REGEXMATCH(
        UPPER(
          INDEX(
            REPORTE_DROPI!AC:AC,
            MATCH(T699, REPORTE_DROPI!B:B, 0)
          )
        ),
        UPPER('NOMBRE DE PRODUCTOS'!A:A)"&amp;"
      )
    ),
    1
  ),
  ""REVISAR""
)
"),"FilmPro®")</f>
        <v>FilmPro®</v>
      </c>
      <c r="E699" s="120">
        <f t="array" ref="E699">IF(
UPPER(TRIM(CLEAN($O699)))="ENTREGADO",
IFERROR(
INDEX(REPORTE_DROPI!Y:Y,
MATCH($T699, REPORTE_DROPI!B:B, 0)
),
""
),
""
)
</f>
        <v>4.7</v>
      </c>
      <c r="F699" s="121">
        <v>2.0</v>
      </c>
      <c r="G699" s="122">
        <f t="array" ref="G699">IF(
UPPER(TRIM(CLEAN($O699)))="ENTREGADO",
IFERROR(
INDEX(REPORTE_DROPI!R:R,
MATCH($T699, REPORTE_DROPI!B:B, 0)
),
""
),
""
)
</f>
        <v>25</v>
      </c>
      <c r="H699" s="118" t="s">
        <v>3727</v>
      </c>
      <c r="I699" s="118" t="s">
        <v>3731</v>
      </c>
      <c r="J699" s="121">
        <f t="array" ref="J699">IF(
UPPER(TRIM(CLEAN($O699)))="ENTREGADO",
IFERROR(
INDEX(REPORTE_DROPI!T:T,
MATCH($T699, REPORTE_DROPI!B:B, 0)
),
""
),
""
)
</f>
        <v>4.35</v>
      </c>
      <c r="K699" s="118">
        <f t="array" ref="K699">IFERROR(
INDEX(REPORTE_DROPI!S:S,
MATCH($T699, REPORTE_DROPI!B:B, 0)
),
""
)
</f>
        <v>15.95</v>
      </c>
      <c r="L699" s="118" t="str">
        <f>IF(
  O699&lt;&gt;"DEVOLUCION",
  "",
  IF(
    T699="",
    "",
    SUMIF(DEVOLUCION!F:F, T699, DEVOLUCION!D:D)
  )
)
</f>
        <v/>
      </c>
      <c r="M699" s="118" t="s">
        <v>3870</v>
      </c>
      <c r="N699" s="130" t="s">
        <v>5118</v>
      </c>
      <c r="O699" s="118" t="str">
        <f t="array" ref="O699">IFERROR(
VLOOKUP(
TRIM(CLEAN(
INDEX(REPORTE_DROPI!K:K,
MATCH(T699, REPORTE_DROPI!B:B, 0)
))),
{
TRIM(CLEAN(MAPA_ESTADOS!A:A)) ,
MAPA_ESTADOS!B:B
},
2,
FALSE
),
"REVISAR"
)
</f>
        <v>ENTREGADO</v>
      </c>
      <c r="P699" s="118"/>
      <c r="Q699" s="122">
        <f t="shared" si="2"/>
        <v>0</v>
      </c>
      <c r="R699" s="118"/>
      <c r="S699" s="118"/>
      <c r="T699" s="118">
        <f t="array" ref="T699">IFERROR(
INDEX(REPORTE_DROPI!B:B,
MATCH(
CLEAN(TRIM(C699)),
CLEAN(TRIM(REPORTE_DROPI!E:E)),
0
)
),
""
)
</f>
        <v>4173557</v>
      </c>
      <c r="U699" s="118">
        <v>6.4222975427E12</v>
      </c>
      <c r="V699" s="78"/>
      <c r="W699" s="78"/>
      <c r="X699" s="78"/>
      <c r="Y699" s="78"/>
      <c r="Z699" s="78"/>
    </row>
    <row r="700" ht="22.5" customHeight="1">
      <c r="A700" s="118">
        <v>699.0</v>
      </c>
      <c r="B700" s="119">
        <v>46038.0</v>
      </c>
      <c r="C700" s="126" t="s">
        <v>5119</v>
      </c>
      <c r="D700" s="118" t="str">
        <f>IFERROR(__xludf.DUMMYFUNCTION("IFERROR(
  INDEX(
    FILTER(
      'NOMBRE DE PRODUCTOS'!B:B,
      REGEXMATCH(
        UPPER(
          INDEX(
            REPORTE_DROPI!AC:AC,
            MATCH(T700, REPORTE_DROPI!B:B, 0)
          )
        ),
        UPPER('NOMBRE DE PRODUCTOS'!A:A)"&amp;"
      )
    ),
    1
  ),
  ""REVISAR""
)
"),"FilmPro®")</f>
        <v>FilmPro®</v>
      </c>
      <c r="E700" s="120" t="str">
        <f t="array" ref="E700">IF(
UPPER(TRIM(CLEAN($O700)))="ENTREGADO",
IFERROR(
INDEX(REPORTE_DROPI!Y:Y,
MATCH($T700, REPORTE_DROPI!B:B, 0)
),
""
),
""
)
</f>
        <v/>
      </c>
      <c r="F700" s="121">
        <v>1.0</v>
      </c>
      <c r="G700" s="122" t="str">
        <f t="array" ref="G700">IF(
UPPER(TRIM(CLEAN($O700)))="ENTREGADO",
IFERROR(
INDEX(REPORTE_DROPI!R:R,
MATCH($T700, REPORTE_DROPI!B:B, 0)
),
""
),
""
)
</f>
        <v/>
      </c>
      <c r="H700" s="118" t="s">
        <v>3727</v>
      </c>
      <c r="I700" s="118" t="s">
        <v>3740</v>
      </c>
      <c r="J700" s="121" t="str">
        <f t="array" ref="J700">IF(
UPPER(TRIM(CLEAN($O700)))="ENTREGADO",
IFERROR(
INDEX(REPORTE_DROPI!T:T,
MATCH($T700, REPORTE_DROPI!B:B, 0)
),
""
),
""
)
</f>
        <v/>
      </c>
      <c r="K700" s="118" t="str">
        <f t="array" ref="K700">IFERROR(
INDEX(REPORTE_DROPI!S:S,
MATCH($T700, REPORTE_DROPI!B:B, 0)
),
""
)
</f>
        <v/>
      </c>
      <c r="L700" s="118" t="str">
        <f>IF(
  O700&lt;&gt;"DEVOLUCION",
  "",
  IF(
    T700="",
    "",
    SUMIF(DEVOLUCION!F:F, T700, DEVOLUCION!D:D)
  )
)
</f>
        <v/>
      </c>
      <c r="M700" s="118" t="s">
        <v>3870</v>
      </c>
      <c r="N700" s="130" t="s">
        <v>5120</v>
      </c>
      <c r="O700" s="118" t="str">
        <f t="array" ref="O700">IFERROR(
VLOOKUP(
TRIM(CLEAN(
INDEX(REPORTE_DROPI!K:K,
MATCH(T700, REPORTE_DROPI!B:B, 0)
))),
{
TRIM(CLEAN(MAPA_ESTADOS!A:A)) ,
MAPA_ESTADOS!B:B
},
2,
FALSE
),
"REVISAR"
)
</f>
        <v>PENDIENTE</v>
      </c>
      <c r="P700" s="118"/>
      <c r="Q700" s="122">
        <f t="shared" si="2"/>
        <v>0</v>
      </c>
      <c r="R700" s="118"/>
      <c r="S700" s="118"/>
      <c r="T700" s="118">
        <f t="array" ref="T700">IFERROR(
INDEX(REPORTE_DROPI!B:B,
MATCH(
CLEAN(TRIM(C700)),
CLEAN(TRIM(REPORTE_DROPI!E:E)),
0
)
),
""
)
</f>
        <v>4174414</v>
      </c>
      <c r="U700" s="118">
        <v>6.422506471468E12</v>
      </c>
      <c r="V700" s="78"/>
      <c r="W700" s="78"/>
      <c r="X700" s="78"/>
      <c r="Y700" s="78"/>
      <c r="Z700" s="78"/>
    </row>
    <row r="701" ht="22.5" customHeight="1">
      <c r="A701" s="118">
        <v>700.0</v>
      </c>
      <c r="B701" s="119">
        <v>46038.0</v>
      </c>
      <c r="C701" s="118" t="s">
        <v>5121</v>
      </c>
      <c r="D701" s="118" t="str">
        <f>IFERROR(__xludf.DUMMYFUNCTION("IFERROR(
  INDEX(
    FILTER(
      'NOMBRE DE PRODUCTOS'!B:B,
      REGEXMATCH(
        UPPER(
          INDEX(
            REPORTE_DROPI!AC:AC,
            MATCH(T701, REPORTE_DROPI!B:B, 0)
          )
        ),
        UPPER('NOMBRE DE PRODUCTOS'!A:A)"&amp;"
      )
    ),
    1
  ),
  ""REVISAR""
)
"),"FilmPro®")</f>
        <v>FilmPro®</v>
      </c>
      <c r="E701" s="120" t="str">
        <f t="array" ref="E701">IF(
UPPER(TRIM(CLEAN($O701)))="ENTREGADO",
IFERROR(
INDEX(REPORTE_DROPI!Y:Y,
MATCH($T701, REPORTE_DROPI!B:B, 0)
),
""
),
""
)
</f>
        <v/>
      </c>
      <c r="F701" s="121">
        <v>3.0</v>
      </c>
      <c r="G701" s="122" t="str">
        <f t="array" ref="G701">IF(
UPPER(TRIM(CLEAN($O701)))="ENTREGADO",
IFERROR(
INDEX(REPORTE_DROPI!R:R,
MATCH($T701, REPORTE_DROPI!B:B, 0)
),
""
),
""
)
</f>
        <v/>
      </c>
      <c r="H701" s="118" t="s">
        <v>3727</v>
      </c>
      <c r="I701" s="118" t="s">
        <v>3778</v>
      </c>
      <c r="J701" s="121" t="str">
        <f t="array" ref="J701">IF(
UPPER(TRIM(CLEAN($O701)))="ENTREGADO",
IFERROR(
INDEX(REPORTE_DROPI!T:T,
MATCH($T701, REPORTE_DROPI!B:B, 0)
),
""
),
""
)
</f>
        <v/>
      </c>
      <c r="K701" s="118" t="str">
        <f t="array" ref="K701">IFERROR(
INDEX(REPORTE_DROPI!S:S,
MATCH($T701, REPORTE_DROPI!B:B, 0)
),
""
)
</f>
        <v/>
      </c>
      <c r="L701" s="118" t="str">
        <f>IF(
  O701&lt;&gt;"DEVOLUCION",
  "",
  IF(
    T701="",
    "",
    SUMIF(DEVOLUCION!F:F, T701, DEVOLUCION!D:D)
  )
)
</f>
        <v/>
      </c>
      <c r="M701" s="118" t="s">
        <v>3870</v>
      </c>
      <c r="N701" s="130" t="s">
        <v>5122</v>
      </c>
      <c r="O701" s="118" t="str">
        <f t="array" ref="O701">IFERROR(
VLOOKUP(
TRIM(CLEAN(
INDEX(REPORTE_DROPI!K:K,
MATCH(T701, REPORTE_DROPI!B:B, 0)
))),
{
TRIM(CLEAN(MAPA_ESTADOS!A:A)) ,
MAPA_ESTADOS!B:B
},
2,
FALSE
),
"REVISAR"
)
</f>
        <v>CANCELADO</v>
      </c>
      <c r="P701" s="118" t="s">
        <v>5123</v>
      </c>
      <c r="Q701" s="122">
        <f t="shared" si="2"/>
        <v>0</v>
      </c>
      <c r="R701" s="118"/>
      <c r="S701" s="118"/>
      <c r="T701" s="118">
        <f t="array" ref="T701">IFERROR(
INDEX(REPORTE_DROPI!B:B,
MATCH(
CLEAN(TRIM(C701)),
CLEAN(TRIM(REPORTE_DROPI!E:E)),
0
)
),
""
)
</f>
        <v>4174878</v>
      </c>
      <c r="U701" s="118">
        <v>6.422633644076E12</v>
      </c>
      <c r="V701" s="78"/>
      <c r="W701" s="78"/>
      <c r="X701" s="78"/>
      <c r="Y701" s="78"/>
      <c r="Z701" s="78"/>
    </row>
    <row r="702" ht="22.5" customHeight="1">
      <c r="A702" s="118">
        <v>701.0</v>
      </c>
      <c r="B702" s="119">
        <v>46038.0</v>
      </c>
      <c r="C702" s="126" t="s">
        <v>5124</v>
      </c>
      <c r="D702" s="118" t="str">
        <f>IFERROR(__xludf.DUMMYFUNCTION("IFERROR(
  INDEX(
    FILTER(
      'NOMBRE DE PRODUCTOS'!B:B,
      REGEXMATCH(
        UPPER(
          INDEX(
            REPORTE_DROPI!AC:AC,
            MATCH(T702, REPORTE_DROPI!B:B, 0)
          )
        ),
        UPPER('NOMBRE DE PRODUCTOS'!A:A)"&amp;"
      )
    ),
    1
  ),
  ""REVISAR""
)
"),"FilmPro®")</f>
        <v>FilmPro®</v>
      </c>
      <c r="E702" s="120" t="str">
        <f t="array" ref="E702">IF(
UPPER(TRIM(CLEAN($O702)))="ENTREGADO",
IFERROR(
INDEX(REPORTE_DROPI!Y:Y,
MATCH($T702, REPORTE_DROPI!B:B, 0)
),
""
),
""
)
</f>
        <v/>
      </c>
      <c r="F702" s="121">
        <v>1.0</v>
      </c>
      <c r="G702" s="122" t="str">
        <f t="array" ref="G702">IF(
UPPER(TRIM(CLEAN($O702)))="ENTREGADO",
IFERROR(
INDEX(REPORTE_DROPI!R:R,
MATCH($T702, REPORTE_DROPI!B:B, 0)
),
""
),
""
)
</f>
        <v/>
      </c>
      <c r="H702" s="118" t="s">
        <v>3727</v>
      </c>
      <c r="I702" s="118" t="s">
        <v>3740</v>
      </c>
      <c r="J702" s="121" t="str">
        <f t="array" ref="J702">IF(
UPPER(TRIM(CLEAN($O702)))="ENTREGADO",
IFERROR(
INDEX(REPORTE_DROPI!T:T,
MATCH($T702, REPORTE_DROPI!B:B, 0)
),
""
),
""
)
</f>
        <v/>
      </c>
      <c r="K702" s="118" t="str">
        <f t="array" ref="K702">IFERROR(
INDEX(REPORTE_DROPI!S:S,
MATCH($T702, REPORTE_DROPI!B:B, 0)
),
""
)
</f>
        <v/>
      </c>
      <c r="L702" s="118">
        <f>IF(
  O702&lt;&gt;"DEVOLUCION",
  "",
  IF(
    T702="",
    "",
    SUMIF(DEVOLUCION!F:F, T702, DEVOLUCION!D:D)
  )
)
</f>
        <v>5.06</v>
      </c>
      <c r="M702" s="118" t="s">
        <v>3870</v>
      </c>
      <c r="N702" s="130" t="s">
        <v>5125</v>
      </c>
      <c r="O702" s="118" t="str">
        <f t="array" ref="O702">IFERROR(
VLOOKUP(
TRIM(CLEAN(
INDEX(REPORTE_DROPI!K:K,
MATCH(T702, REPORTE_DROPI!B:B, 0)
))),
{
TRIM(CLEAN(MAPA_ESTADOS!A:A)) ,
MAPA_ESTADOS!B:B
},
2,
FALSE
),
"REVISAR"
)
</f>
        <v>DEVOLUCION</v>
      </c>
      <c r="P702" s="118"/>
      <c r="Q702" s="122">
        <f t="shared" si="2"/>
        <v>0</v>
      </c>
      <c r="R702" s="118"/>
      <c r="S702" s="118"/>
      <c r="T702" s="118">
        <f t="array" ref="T702">IFERROR(
INDEX(REPORTE_DROPI!B:B,
MATCH(
CLEAN(TRIM(C702)),
CLEAN(TRIM(REPORTE_DROPI!E:E)),
0
)
),
""
)
</f>
        <v>4174977</v>
      </c>
      <c r="U702" s="118">
        <v>6.422658580524E12</v>
      </c>
      <c r="V702" s="78"/>
      <c r="W702" s="78"/>
      <c r="X702" s="78"/>
      <c r="Y702" s="78"/>
      <c r="Z702" s="78"/>
    </row>
    <row r="703" ht="22.5" customHeight="1">
      <c r="A703" s="118">
        <v>702.0</v>
      </c>
      <c r="B703" s="119">
        <v>46038.0</v>
      </c>
      <c r="C703" s="126" t="s">
        <v>5126</v>
      </c>
      <c r="D703" s="118" t="str">
        <f>IFERROR(__xludf.DUMMYFUNCTION("IFERROR(
  INDEX(
    FILTER(
      'NOMBRE DE PRODUCTOS'!B:B,
      REGEXMATCH(
        UPPER(
          INDEX(
            REPORTE_DROPI!AC:AC,
            MATCH(T703, REPORTE_DROPI!B:B, 0)
          )
        ),
        UPPER('NOMBRE DE PRODUCTOS'!A:A)"&amp;"
      )
    ),
    1
  ),
  ""REVISAR""
)
"),"FilmPro®")</f>
        <v>FilmPro®</v>
      </c>
      <c r="E703" s="120" t="str">
        <f t="array" ref="E703">IF(
UPPER(TRIM(CLEAN($O703)))="ENTREGADO",
IFERROR(
INDEX(REPORTE_DROPI!Y:Y,
MATCH($T703, REPORTE_DROPI!B:B, 0)
),
""
),
""
)
</f>
        <v/>
      </c>
      <c r="F703" s="121">
        <v>1.0</v>
      </c>
      <c r="G703" s="122" t="str">
        <f t="array" ref="G703">IF(
UPPER(TRIM(CLEAN($O703)))="ENTREGADO",
IFERROR(
INDEX(REPORTE_DROPI!R:R,
MATCH($T703, REPORTE_DROPI!B:B, 0)
),
""
),
""
)
</f>
        <v/>
      </c>
      <c r="H703" s="118" t="s">
        <v>3727</v>
      </c>
      <c r="I703" s="118" t="s">
        <v>3728</v>
      </c>
      <c r="J703" s="121" t="str">
        <f t="array" ref="J703">IF(
UPPER(TRIM(CLEAN($O703)))="ENTREGADO",
IFERROR(
INDEX(REPORTE_DROPI!T:T,
MATCH($T703, REPORTE_DROPI!B:B, 0)
),
""
),
""
)
</f>
        <v/>
      </c>
      <c r="K703" s="118" t="str">
        <f t="array" ref="K703">IFERROR(
INDEX(REPORTE_DROPI!S:S,
MATCH($T703, REPORTE_DROPI!B:B, 0)
),
""
)
</f>
        <v/>
      </c>
      <c r="L703" s="118" t="str">
        <f>IF(
  O703&lt;&gt;"DEVOLUCION",
  "",
  IF(
    T703="",
    "",
    SUMIF(DEVOLUCION!F:F, T703, DEVOLUCION!D:D)
  )
)
</f>
        <v/>
      </c>
      <c r="M703" s="118" t="s">
        <v>3870</v>
      </c>
      <c r="N703" s="130" t="s">
        <v>5127</v>
      </c>
      <c r="O703" s="118" t="str">
        <f t="array" ref="O703">IFERROR(
VLOOKUP(
TRIM(CLEAN(
INDEX(REPORTE_DROPI!K:K,
MATCH(T703, REPORTE_DROPI!B:B, 0)
))),
{
TRIM(CLEAN(MAPA_ESTADOS!A:A)) ,
MAPA_ESTADOS!B:B
},
2,
FALSE
),
"REVISAR"
)
</f>
        <v>PENDIENTE</v>
      </c>
      <c r="P703" s="118" t="s">
        <v>4892</v>
      </c>
      <c r="Q703" s="122">
        <f t="shared" si="2"/>
        <v>0</v>
      </c>
      <c r="R703" s="118"/>
      <c r="S703" s="118"/>
      <c r="T703" s="118">
        <f t="array" ref="T703">IFERROR(
INDEX(REPORTE_DROPI!B:B,
MATCH(
CLEAN(TRIM(C703)),
CLEAN(TRIM(REPORTE_DROPI!E:E)),
0
)
),
""
)
</f>
        <v>4175037</v>
      </c>
      <c r="U703" s="118">
        <v>6.42267322782E12</v>
      </c>
      <c r="V703" s="78"/>
      <c r="W703" s="78"/>
      <c r="X703" s="78"/>
      <c r="Y703" s="78"/>
      <c r="Z703" s="78"/>
    </row>
    <row r="704" ht="22.5" customHeight="1">
      <c r="A704" s="118">
        <v>703.0</v>
      </c>
      <c r="B704" s="119">
        <v>46038.0</v>
      </c>
      <c r="C704" s="118" t="s">
        <v>5128</v>
      </c>
      <c r="D704" s="118" t="str">
        <f>IFERROR(__xludf.DUMMYFUNCTION("IFERROR(
  INDEX(
    FILTER(
      'NOMBRE DE PRODUCTOS'!B:B,
      REGEXMATCH(
        UPPER(
          INDEX(
            REPORTE_DROPI!AC:AC,
            MATCH(T704, REPORTE_DROPI!B:B, 0)
          )
        ),
        UPPER('NOMBRE DE PRODUCTOS'!A:A)"&amp;"
      )
    ),
    1
  ),
  ""REVISAR""
)
"),"FilmPro®")</f>
        <v>FilmPro®</v>
      </c>
      <c r="E704" s="120">
        <f t="array" ref="E704">IF(
UPPER(TRIM(CLEAN($O704)))="ENTREGADO",
IFERROR(
INDEX(REPORTE_DROPI!Y:Y,
MATCH($T704, REPORTE_DROPI!B:B, 0)
),
""
),
""
)
</f>
        <v>2.35</v>
      </c>
      <c r="F704" s="121">
        <v>1.0</v>
      </c>
      <c r="G704" s="122">
        <f t="array" ref="G704">IF(
UPPER(TRIM(CLEAN($O704)))="ENTREGADO",
IFERROR(
INDEX(REPORTE_DROPI!R:R,
MATCH($T704, REPORTE_DROPI!B:B, 0)
),
""
),
""
)
</f>
        <v>20</v>
      </c>
      <c r="H704" s="118" t="s">
        <v>3727</v>
      </c>
      <c r="I704" s="118" t="s">
        <v>3728</v>
      </c>
      <c r="J704" s="121">
        <f t="array" ref="J704">IF(
UPPER(TRIM(CLEAN($O704)))="ENTREGADO",
IFERROR(
INDEX(REPORTE_DROPI!T:T,
MATCH($T704, REPORTE_DROPI!B:B, 0)
),
""
),
""
)
</f>
        <v>5.76</v>
      </c>
      <c r="K704" s="118">
        <f t="array" ref="K704">IFERROR(
INDEX(REPORTE_DROPI!S:S,
MATCH($T704, REPORTE_DROPI!B:B, 0)
),
""
)
</f>
        <v>11.89</v>
      </c>
      <c r="L704" s="118" t="str">
        <f>IF(
  O704&lt;&gt;"DEVOLUCION",
  "",
  IF(
    T704="",
    "",
    SUMIF(DEVOLUCION!F:F, T704, DEVOLUCION!D:D)
  )
)
</f>
        <v/>
      </c>
      <c r="M704" s="118" t="s">
        <v>3870</v>
      </c>
      <c r="N704" s="130" t="s">
        <v>5129</v>
      </c>
      <c r="O704" s="118" t="str">
        <f t="array" ref="O704">IFERROR(
VLOOKUP(
TRIM(CLEAN(
INDEX(REPORTE_DROPI!K:K,
MATCH(T704, REPORTE_DROPI!B:B, 0)
))),
{
TRIM(CLEAN(MAPA_ESTADOS!A:A)) ,
MAPA_ESTADOS!B:B
},
2,
FALSE
),
"REVISAR"
)
</f>
        <v>ENTREGADO</v>
      </c>
      <c r="P704" s="118"/>
      <c r="Q704" s="122">
        <f t="shared" si="2"/>
        <v>0</v>
      </c>
      <c r="R704" s="118"/>
      <c r="S704" s="118"/>
      <c r="T704" s="118">
        <f t="array" ref="T704">IFERROR(
INDEX(REPORTE_DROPI!B:B,
MATCH(
CLEAN(TRIM(C704)),
CLEAN(TRIM(REPORTE_DROPI!E:E)),
0
)
),
""
)
</f>
        <v>4175168</v>
      </c>
      <c r="U704" s="118">
        <v>6.422701604908E12</v>
      </c>
      <c r="V704" s="78"/>
      <c r="W704" s="78"/>
      <c r="X704" s="78"/>
      <c r="Y704" s="78"/>
      <c r="Z704" s="78"/>
    </row>
    <row r="705" ht="22.5" customHeight="1">
      <c r="A705" s="118">
        <v>704.0</v>
      </c>
      <c r="B705" s="119">
        <v>46038.0</v>
      </c>
      <c r="C705" s="126" t="s">
        <v>5130</v>
      </c>
      <c r="D705" s="118" t="str">
        <f>IFERROR(__xludf.DUMMYFUNCTION("IFERROR(
  INDEX(
    FILTER(
      'NOMBRE DE PRODUCTOS'!B:B,
      REGEXMATCH(
        UPPER(
          INDEX(
            REPORTE_DROPI!AC:AC,
            MATCH(T705, REPORTE_DROPI!B:B, 0)
          )
        ),
        UPPER('NOMBRE DE PRODUCTOS'!A:A)"&amp;"
      )
    ),
    1
  ),
  ""REVISAR""
)
"),"FilmPro®")</f>
        <v>FilmPro®</v>
      </c>
      <c r="E705" s="120" t="str">
        <f t="array" ref="E705">IF(
UPPER(TRIM(CLEAN($O705)))="ENTREGADO",
IFERROR(
INDEX(REPORTE_DROPI!Y:Y,
MATCH($T705, REPORTE_DROPI!B:B, 0)
),
""
),
""
)
</f>
        <v/>
      </c>
      <c r="F705" s="121">
        <v>1.0</v>
      </c>
      <c r="G705" s="122" t="str">
        <f t="array" ref="G705">IF(
UPPER(TRIM(CLEAN($O705)))="ENTREGADO",
IFERROR(
INDEX(REPORTE_DROPI!R:R,
MATCH($T705, REPORTE_DROPI!B:B, 0)
),
""
),
""
)
</f>
        <v/>
      </c>
      <c r="H705" s="118" t="s">
        <v>3727</v>
      </c>
      <c r="I705" s="118" t="s">
        <v>3738</v>
      </c>
      <c r="J705" s="121" t="str">
        <f t="array" ref="J705">IF(
UPPER(TRIM(CLEAN($O705)))="ENTREGADO",
IFERROR(
INDEX(REPORTE_DROPI!T:T,
MATCH($T705, REPORTE_DROPI!B:B, 0)
),
""
),
""
)
</f>
        <v/>
      </c>
      <c r="K705" s="118" t="str">
        <f t="array" ref="K705">IFERROR(
INDEX(REPORTE_DROPI!S:S,
MATCH($T705, REPORTE_DROPI!B:B, 0)
),
""
)
</f>
        <v/>
      </c>
      <c r="L705" s="118" t="str">
        <f>IF(
  O705&lt;&gt;"DEVOLUCION",
  "",
  IF(
    T705="",
    "",
    SUMIF(DEVOLUCION!F:F, T705, DEVOLUCION!D:D)
  )
)
</f>
        <v/>
      </c>
      <c r="M705" s="118" t="s">
        <v>3870</v>
      </c>
      <c r="N705" s="130" t="s">
        <v>5131</v>
      </c>
      <c r="O705" s="118" t="str">
        <f t="array" ref="O705">IFERROR(
VLOOKUP(
TRIM(CLEAN(
INDEX(REPORTE_DROPI!K:K,
MATCH(T705, REPORTE_DROPI!B:B, 0)
))),
{
TRIM(CLEAN(MAPA_ESTADOS!A:A)) ,
MAPA_ESTADOS!B:B
},
2,
FALSE
),
"REVISAR"
)
</f>
        <v>PENDIENTE</v>
      </c>
      <c r="P705" s="118" t="s">
        <v>4892</v>
      </c>
      <c r="Q705" s="122">
        <f t="shared" si="2"/>
        <v>0</v>
      </c>
      <c r="R705" s="118"/>
      <c r="S705" s="118"/>
      <c r="T705" s="118">
        <f t="array" ref="T705">IFERROR(
INDEX(REPORTE_DROPI!B:B,
MATCH(
CLEAN(TRIM(C705)),
CLEAN(TRIM(REPORTE_DROPI!E:E)),
0
)
),
""
)
</f>
        <v>4175229</v>
      </c>
      <c r="U705" s="118">
        <v>6.422713434156E12</v>
      </c>
      <c r="V705" s="78"/>
      <c r="W705" s="78"/>
      <c r="X705" s="78"/>
      <c r="Y705" s="78"/>
      <c r="Z705" s="78"/>
    </row>
    <row r="706" ht="22.5" customHeight="1">
      <c r="A706" s="118">
        <v>705.0</v>
      </c>
      <c r="B706" s="119">
        <v>46038.0</v>
      </c>
      <c r="C706" s="126" t="s">
        <v>5132</v>
      </c>
      <c r="D706" s="118" t="str">
        <f>IFERROR(__xludf.DUMMYFUNCTION("IFERROR(
  INDEX(
    FILTER(
      'NOMBRE DE PRODUCTOS'!B:B,
      REGEXMATCH(
        UPPER(
          INDEX(
            REPORTE_DROPI!AC:AC,
            MATCH(T706, REPORTE_DROPI!B:B, 0)
          )
        ),
        UPPER('NOMBRE DE PRODUCTOS'!A:A)"&amp;"
      )
    ),
    1
  ),
  ""REVISAR""
)
"),"FilmPro®")</f>
        <v>FilmPro®</v>
      </c>
      <c r="E706" s="120" t="str">
        <f t="array" ref="E706">IF(
UPPER(TRIM(CLEAN($O706)))="ENTREGADO",
IFERROR(
INDEX(REPORTE_DROPI!Y:Y,
MATCH($T706, REPORTE_DROPI!B:B, 0)
),
""
),
""
)
</f>
        <v/>
      </c>
      <c r="F706" s="121">
        <v>2.0</v>
      </c>
      <c r="G706" s="122" t="str">
        <f t="array" ref="G706">IF(
UPPER(TRIM(CLEAN($O706)))="ENTREGADO",
IFERROR(
INDEX(REPORTE_DROPI!R:R,
MATCH($T706, REPORTE_DROPI!B:B, 0)
),
""
),
""
)
</f>
        <v/>
      </c>
      <c r="H706" s="118" t="s">
        <v>3727</v>
      </c>
      <c r="I706" s="118" t="s">
        <v>3731</v>
      </c>
      <c r="J706" s="121" t="str">
        <f t="array" ref="J706">IF(
UPPER(TRIM(CLEAN($O706)))="ENTREGADO",
IFERROR(
INDEX(REPORTE_DROPI!T:T,
MATCH($T706, REPORTE_DROPI!B:B, 0)
),
""
),
""
)
</f>
        <v/>
      </c>
      <c r="K706" s="118" t="str">
        <f t="array" ref="K706">IFERROR(
INDEX(REPORTE_DROPI!S:S,
MATCH($T706, REPORTE_DROPI!B:B, 0)
),
""
)
</f>
        <v/>
      </c>
      <c r="L706" s="118">
        <f>IF(
  O706&lt;&gt;"DEVOLUCION",
  "",
  IF(
    T706="",
    "",
    SUMIF(DEVOLUCION!F:F, T706, DEVOLUCION!D:D)
  )
)
</f>
        <v>3.48</v>
      </c>
      <c r="M706" s="118" t="s">
        <v>3870</v>
      </c>
      <c r="N706" s="130" t="s">
        <v>5133</v>
      </c>
      <c r="O706" s="118" t="str">
        <f t="array" ref="O706">IFERROR(
VLOOKUP(
TRIM(CLEAN(
INDEX(REPORTE_DROPI!K:K,
MATCH(T706, REPORTE_DROPI!B:B, 0)
))),
{
TRIM(CLEAN(MAPA_ESTADOS!A:A)) ,
MAPA_ESTADOS!B:B
},
2,
FALSE
),
"REVISAR"
)
</f>
        <v>DEVOLUCION</v>
      </c>
      <c r="P706" s="118"/>
      <c r="Q706" s="122">
        <f t="shared" si="2"/>
        <v>0</v>
      </c>
      <c r="R706" s="118"/>
      <c r="S706" s="118"/>
      <c r="T706" s="118">
        <f t="array" ref="T706">IFERROR(
INDEX(REPORTE_DROPI!B:B,
MATCH(
CLEAN(TRIM(C706)),
CLEAN(TRIM(REPORTE_DROPI!E:E)),
0
)
),
""
)
</f>
        <v>4175299</v>
      </c>
      <c r="U706" s="118">
        <v>6.422730309676E12</v>
      </c>
      <c r="V706" s="78"/>
      <c r="W706" s="78"/>
      <c r="X706" s="78"/>
      <c r="Y706" s="78"/>
      <c r="Z706" s="78"/>
    </row>
    <row r="707" ht="22.5" customHeight="1">
      <c r="A707" s="118">
        <v>706.0</v>
      </c>
      <c r="B707" s="119">
        <v>46038.0</v>
      </c>
      <c r="C707" s="126" t="s">
        <v>5134</v>
      </c>
      <c r="D707" s="118" t="str">
        <f>IFERROR(__xludf.DUMMYFUNCTION("IFERROR(
  INDEX(
    FILTER(
      'NOMBRE DE PRODUCTOS'!B:B,
      REGEXMATCH(
        UPPER(
          INDEX(
            REPORTE_DROPI!AC:AC,
            MATCH(T707, REPORTE_DROPI!B:B, 0)
          )
        ),
        UPPER('NOMBRE DE PRODUCTOS'!A:A)"&amp;"
      )
    ),
    1
  ),
  ""REVISAR""
)
"),"FilmPro®")</f>
        <v>FilmPro®</v>
      </c>
      <c r="E707" s="120" t="str">
        <f t="array" ref="E707">IF(
UPPER(TRIM(CLEAN($O707)))="ENTREGADO",
IFERROR(
INDEX(REPORTE_DROPI!Y:Y,
MATCH($T707, REPORTE_DROPI!B:B, 0)
),
""
),
""
)
</f>
        <v/>
      </c>
      <c r="F707" s="121">
        <v>1.0</v>
      </c>
      <c r="G707" s="122" t="str">
        <f t="array" ref="G707">IF(
UPPER(TRIM(CLEAN($O707)))="ENTREGADO",
IFERROR(
INDEX(REPORTE_DROPI!R:R,
MATCH($T707, REPORTE_DROPI!B:B, 0)
),
""
),
""
)
</f>
        <v/>
      </c>
      <c r="H707" s="118" t="s">
        <v>3727</v>
      </c>
      <c r="I707" s="118" t="s">
        <v>3740</v>
      </c>
      <c r="J707" s="121" t="str">
        <f t="array" ref="J707">IF(
UPPER(TRIM(CLEAN($O707)))="ENTREGADO",
IFERROR(
INDEX(REPORTE_DROPI!T:T,
MATCH($T707, REPORTE_DROPI!B:B, 0)
),
""
),
""
)
</f>
        <v/>
      </c>
      <c r="K707" s="118" t="str">
        <f t="array" ref="K707">IFERROR(
INDEX(REPORTE_DROPI!S:S,
MATCH($T707, REPORTE_DROPI!B:B, 0)
),
""
)
</f>
        <v/>
      </c>
      <c r="L707" s="118">
        <f>IF(
  O707&lt;&gt;"DEVOLUCION",
  "",
  IF(
    T707="",
    "",
    SUMIF(DEVOLUCION!F:F, T707, DEVOLUCION!D:D)
  )
)
</f>
        <v>5.06</v>
      </c>
      <c r="M707" s="118" t="s">
        <v>3870</v>
      </c>
      <c r="N707" s="130" t="s">
        <v>5135</v>
      </c>
      <c r="O707" s="118" t="str">
        <f t="array" ref="O707">IFERROR(
VLOOKUP(
TRIM(CLEAN(
INDEX(REPORTE_DROPI!K:K,
MATCH(T707, REPORTE_DROPI!B:B, 0)
))),
{
TRIM(CLEAN(MAPA_ESTADOS!A:A)) ,
MAPA_ESTADOS!B:B
},
2,
FALSE
),
"REVISAR"
)
</f>
        <v>DEVOLUCION</v>
      </c>
      <c r="P707" s="118"/>
      <c r="Q707" s="122">
        <f t="shared" si="2"/>
        <v>0</v>
      </c>
      <c r="R707" s="118"/>
      <c r="S707" s="118"/>
      <c r="T707" s="118">
        <f t="array" ref="T707">IFERROR(
INDEX(REPORTE_DROPI!B:B,
MATCH(
CLEAN(TRIM(C707)),
CLEAN(TRIM(REPORTE_DROPI!E:E)),
0
)
),
""
)
</f>
        <v>4175305</v>
      </c>
      <c r="U707" s="118">
        <v>6.422731259948E12</v>
      </c>
      <c r="V707" s="78"/>
      <c r="W707" s="78"/>
      <c r="X707" s="78"/>
      <c r="Y707" s="78"/>
      <c r="Z707" s="78"/>
    </row>
    <row r="708" ht="22.5" customHeight="1">
      <c r="A708" s="118">
        <v>707.0</v>
      </c>
      <c r="B708" s="119">
        <v>46038.0</v>
      </c>
      <c r="C708" s="126" t="s">
        <v>5136</v>
      </c>
      <c r="D708" s="118" t="str">
        <f>IFERROR(__xludf.DUMMYFUNCTION("IFERROR(
  INDEX(
    FILTER(
      'NOMBRE DE PRODUCTOS'!B:B,
      REGEXMATCH(
        UPPER(
          INDEX(
            REPORTE_DROPI!AC:AC,
            MATCH(T708, REPORTE_DROPI!B:B, 0)
          )
        ),
        UPPER('NOMBRE DE PRODUCTOS'!A:A)"&amp;"
      )
    ),
    1
  ),
  ""REVISAR""
)
"),"FilmPro®")</f>
        <v>FilmPro®</v>
      </c>
      <c r="E708" s="120" t="str">
        <f t="array" ref="E708">IF(
UPPER(TRIM(CLEAN($O708)))="ENTREGADO",
IFERROR(
INDEX(REPORTE_DROPI!Y:Y,
MATCH($T708, REPORTE_DROPI!B:B, 0)
),
""
),
""
)
</f>
        <v/>
      </c>
      <c r="F708" s="121">
        <v>2.0</v>
      </c>
      <c r="G708" s="122" t="str">
        <f t="array" ref="G708">IF(
UPPER(TRIM(CLEAN($O708)))="ENTREGADO",
IFERROR(
INDEX(REPORTE_DROPI!R:R,
MATCH($T708, REPORTE_DROPI!B:B, 0)
),
""
),
""
)
</f>
        <v/>
      </c>
      <c r="H708" s="118" t="s">
        <v>3727</v>
      </c>
      <c r="I708" s="118" t="s">
        <v>3740</v>
      </c>
      <c r="J708" s="121" t="str">
        <f t="array" ref="J708">IF(
UPPER(TRIM(CLEAN($O708)))="ENTREGADO",
IFERROR(
INDEX(REPORTE_DROPI!T:T,
MATCH($T708, REPORTE_DROPI!B:B, 0)
),
""
),
""
)
</f>
        <v/>
      </c>
      <c r="K708" s="118" t="str">
        <f t="array" ref="K708">IFERROR(
INDEX(REPORTE_DROPI!S:S,
MATCH($T708, REPORTE_DROPI!B:B, 0)
),
""
)
</f>
        <v/>
      </c>
      <c r="L708" s="118">
        <f>IF(
  O708&lt;&gt;"DEVOLUCION",
  "",
  IF(
    T708="",
    "",
    SUMIF(DEVOLUCION!F:F, T708, DEVOLUCION!D:D)
  )
)
</f>
        <v>5.09</v>
      </c>
      <c r="M708" s="118" t="s">
        <v>3870</v>
      </c>
      <c r="N708" s="130" t="s">
        <v>5137</v>
      </c>
      <c r="O708" s="118" t="str">
        <f t="array" ref="O708">IFERROR(
VLOOKUP(
TRIM(CLEAN(
INDEX(REPORTE_DROPI!K:K,
MATCH(T708, REPORTE_DROPI!B:B, 0)
))),
{
TRIM(CLEAN(MAPA_ESTADOS!A:A)) ,
MAPA_ESTADOS!B:B
},
2,
FALSE
),
"REVISAR"
)
</f>
        <v>DEVOLUCION</v>
      </c>
      <c r="P708" s="118"/>
      <c r="Q708" s="122">
        <f t="shared" si="2"/>
        <v>0</v>
      </c>
      <c r="R708" s="118"/>
      <c r="S708" s="118"/>
      <c r="T708" s="118">
        <f t="array" ref="T708">IFERROR(
INDEX(REPORTE_DROPI!B:B,
MATCH(
CLEAN(TRIM(C708)),
CLEAN(TRIM(REPORTE_DROPI!E:E)),
0
)
),
""
)
</f>
        <v>4175342</v>
      </c>
      <c r="U708" s="118">
        <v>6.422736502828E12</v>
      </c>
      <c r="V708" s="78"/>
      <c r="W708" s="78"/>
      <c r="X708" s="78"/>
      <c r="Y708" s="78"/>
      <c r="Z708" s="78"/>
    </row>
    <row r="709" ht="22.5" customHeight="1">
      <c r="A709" s="118">
        <v>708.0</v>
      </c>
      <c r="B709" s="119">
        <v>46038.0</v>
      </c>
      <c r="C709" s="118" t="s">
        <v>5017</v>
      </c>
      <c r="D709" s="118" t="str">
        <f>IFERROR(__xludf.DUMMYFUNCTION("IFERROR(
  INDEX(
    FILTER(
      'NOMBRE DE PRODUCTOS'!B:B,
      REGEXMATCH(
        UPPER(
          INDEX(
            REPORTE_DROPI!AC:AC,
            MATCH(T709, REPORTE_DROPI!B:B, 0)
          )
        ),
        UPPER('NOMBRE DE PRODUCTOS'!A:A)"&amp;"
      )
    ),
    1
  ),
  ""REVISAR""
)
"),"FilmPro®")</f>
        <v>FilmPro®</v>
      </c>
      <c r="E709" s="120" t="str">
        <f t="array" ref="E709">IF(
UPPER(TRIM(CLEAN($O709)))="ENTREGADO",
IFERROR(
INDEX(REPORTE_DROPI!Y:Y,
MATCH($T709, REPORTE_DROPI!B:B, 0)
),
""
),
""
)
</f>
        <v/>
      </c>
      <c r="F709" s="121">
        <v>2.0</v>
      </c>
      <c r="G709" s="122" t="str">
        <f t="array" ref="G709">IF(
UPPER(TRIM(CLEAN($O709)))="ENTREGADO",
IFERROR(
INDEX(REPORTE_DROPI!R:R,
MATCH($T709, REPORTE_DROPI!B:B, 0)
),
""
),
""
)
</f>
        <v/>
      </c>
      <c r="H709" s="118" t="s">
        <v>3727</v>
      </c>
      <c r="I709" s="118" t="s">
        <v>3759</v>
      </c>
      <c r="J709" s="121" t="str">
        <f t="array" ref="J709">IF(
UPPER(TRIM(CLEAN($O709)))="ENTREGADO",
IFERROR(
INDEX(REPORTE_DROPI!T:T,
MATCH($T709, REPORTE_DROPI!B:B, 0)
),
""
),
""
)
</f>
        <v/>
      </c>
      <c r="K709" s="118" t="str">
        <f t="array" ref="K709">IFERROR(
INDEX(REPORTE_DROPI!S:S,
MATCH($T709, REPORTE_DROPI!B:B, 0)
),
""
)
</f>
        <v/>
      </c>
      <c r="L709" s="118" t="str">
        <f>IF(
  O709&lt;&gt;"DEVOLUCION",
  "",
  IF(
    T709="",
    "",
    SUMIF(DEVOLUCION!F:F, T709, DEVOLUCION!D:D)
  )
)
</f>
        <v/>
      </c>
      <c r="M709" s="118" t="s">
        <v>3870</v>
      </c>
      <c r="N709" s="130" t="s">
        <v>5138</v>
      </c>
      <c r="O709" s="118" t="str">
        <f t="array" ref="O709">IFERROR(
VLOOKUP(
TRIM(CLEAN(
INDEX(REPORTE_DROPI!K:K,
MATCH(T709, REPORTE_DROPI!B:B, 0)
))),
{
TRIM(CLEAN(MAPA_ESTADOS!A:A)) ,
MAPA_ESTADOS!B:B
},
2,
FALSE
),
"REVISAR"
)
</f>
        <v>CANCELADO</v>
      </c>
      <c r="P709" s="118" t="s">
        <v>5139</v>
      </c>
      <c r="Q709" s="122">
        <f t="shared" si="2"/>
        <v>0</v>
      </c>
      <c r="R709" s="118"/>
      <c r="S709" s="118"/>
      <c r="T709" s="118">
        <f t="array" ref="T709">IFERROR(
INDEX(REPORTE_DROPI!B:B,
MATCH(
CLEAN(TRIM(C709)),
CLEAN(TRIM(REPORTE_DROPI!E:E)),
0
)
),
""
)
</f>
        <v>4175406</v>
      </c>
      <c r="U709" s="118">
        <v>6.422751313964E12</v>
      </c>
      <c r="V709" s="78"/>
      <c r="W709" s="78"/>
      <c r="X709" s="78"/>
      <c r="Y709" s="78"/>
      <c r="Z709" s="78"/>
    </row>
    <row r="710" ht="22.5" customHeight="1">
      <c r="A710" s="118">
        <v>709.0</v>
      </c>
      <c r="B710" s="119">
        <v>46038.0</v>
      </c>
      <c r="C710" s="118" t="s">
        <v>5140</v>
      </c>
      <c r="D710" s="118" t="str">
        <f>IFERROR(__xludf.DUMMYFUNCTION("IFERROR(
  INDEX(
    FILTER(
      'NOMBRE DE PRODUCTOS'!B:B,
      REGEXMATCH(
        UPPER(
          INDEX(
            REPORTE_DROPI!AC:AC,
            MATCH(T710, REPORTE_DROPI!B:B, 0)
          )
        ),
        UPPER('NOMBRE DE PRODUCTOS'!A:A)"&amp;"
      )
    ),
    1
  ),
  ""REVISAR""
)
"),"FilmPro®")</f>
        <v>FilmPro®</v>
      </c>
      <c r="E710" s="120">
        <f t="array" ref="E710">IF(
UPPER(TRIM(CLEAN($O710)))="ENTREGADO",
IFERROR(
INDEX(REPORTE_DROPI!Y:Y,
MATCH($T710, REPORTE_DROPI!B:B, 0)
),
""
),
""
)
</f>
        <v>4.7</v>
      </c>
      <c r="F710" s="121">
        <v>2.0</v>
      </c>
      <c r="G710" s="122">
        <f t="array" ref="G710">IF(
UPPER(TRIM(CLEAN($O710)))="ENTREGADO",
IFERROR(
INDEX(REPORTE_DROPI!R:R,
MATCH($T710, REPORTE_DROPI!B:B, 0)
),
""
),
""
)
</f>
        <v>25</v>
      </c>
      <c r="H710" s="118" t="s">
        <v>3727</v>
      </c>
      <c r="I710" s="118" t="s">
        <v>3969</v>
      </c>
      <c r="J710" s="121">
        <f t="array" ref="J710">IF(
UPPER(TRIM(CLEAN($O710)))="ENTREGADO",
IFERROR(
INDEX(REPORTE_DROPI!T:T,
MATCH($T710, REPORTE_DROPI!B:B, 0)
),
""
),
""
)
</f>
        <v>5.96</v>
      </c>
      <c r="K710" s="118">
        <f t="array" ref="K710">IFERROR(
INDEX(REPORTE_DROPI!S:S,
MATCH($T710, REPORTE_DROPI!B:B, 0)
),
""
)
</f>
        <v>14.34</v>
      </c>
      <c r="L710" s="118" t="str">
        <f>IF(
  O710&lt;&gt;"DEVOLUCION",
  "",
  IF(
    T710="",
    "",
    SUMIF(DEVOLUCION!F:F, T710, DEVOLUCION!D:D)
  )
)
</f>
        <v/>
      </c>
      <c r="M710" s="118" t="s">
        <v>3870</v>
      </c>
      <c r="N710" s="130" t="s">
        <v>5141</v>
      </c>
      <c r="O710" s="118" t="str">
        <f t="array" ref="O710">IFERROR(
VLOOKUP(
TRIM(CLEAN(
INDEX(REPORTE_DROPI!K:K,
MATCH(T710, REPORTE_DROPI!B:B, 0)
))),
{
TRIM(CLEAN(MAPA_ESTADOS!A:A)) ,
MAPA_ESTADOS!B:B
},
2,
FALSE
),
"REVISAR"
)
</f>
        <v>ENTREGADO</v>
      </c>
      <c r="P710" s="118"/>
      <c r="Q710" s="122">
        <f t="shared" si="2"/>
        <v>0</v>
      </c>
      <c r="R710" s="118"/>
      <c r="S710" s="118"/>
      <c r="T710" s="118">
        <f t="array" ref="T710">IFERROR(
INDEX(REPORTE_DROPI!B:B,
MATCH(
CLEAN(TRIM(C710)),
CLEAN(TRIM(REPORTE_DROPI!E:E)),
0
)
),
""
)
</f>
        <v>4175757</v>
      </c>
      <c r="U710" s="118">
        <v>6.422827860012E12</v>
      </c>
      <c r="V710" s="78"/>
      <c r="W710" s="78"/>
      <c r="X710" s="78"/>
      <c r="Y710" s="78"/>
      <c r="Z710" s="78"/>
    </row>
    <row r="711" ht="22.5" customHeight="1">
      <c r="A711" s="118">
        <v>710.0</v>
      </c>
      <c r="B711" s="119">
        <v>46038.0</v>
      </c>
      <c r="C711" s="118" t="s">
        <v>5142</v>
      </c>
      <c r="D711" s="118" t="str">
        <f>IFERROR(__xludf.DUMMYFUNCTION("IFERROR(
  INDEX(
    FILTER(
      'NOMBRE DE PRODUCTOS'!B:B,
      REGEXMATCH(
        UPPER(
          INDEX(
            REPORTE_DROPI!AC:AC,
            MATCH(T711, REPORTE_DROPI!B:B, 0)
          )
        ),
        UPPER('NOMBRE DE PRODUCTOS'!A:A)"&amp;"
      )
    ),
    1
  ),
  ""REVISAR""
)
"),"FilmPro®")</f>
        <v>FilmPro®</v>
      </c>
      <c r="E711" s="120">
        <f t="array" ref="E711">IF(
UPPER(TRIM(CLEAN($O711)))="ENTREGADO",
IFERROR(
INDEX(REPORTE_DROPI!Y:Y,
MATCH($T711, REPORTE_DROPI!B:B, 0)
),
""
),
""
)
</f>
        <v>4.7</v>
      </c>
      <c r="F711" s="121">
        <v>2.0</v>
      </c>
      <c r="G711" s="122">
        <f t="array" ref="G711">IF(
UPPER(TRIM(CLEAN($O711)))="ENTREGADO",
IFERROR(
INDEX(REPORTE_DROPI!R:R,
MATCH($T711, REPORTE_DROPI!B:B, 0)
),
""
),
""
)
</f>
        <v>25</v>
      </c>
      <c r="H711" s="118" t="s">
        <v>3727</v>
      </c>
      <c r="I711" s="118" t="s">
        <v>3778</v>
      </c>
      <c r="J711" s="121">
        <f t="array" ref="J711">IF(
UPPER(TRIM(CLEAN($O711)))="ENTREGADO",
IFERROR(
INDEX(REPORTE_DROPI!T:T,
MATCH($T711, REPORTE_DROPI!B:B, 0)
),
""
),
""
)
</f>
        <v>5.96</v>
      </c>
      <c r="K711" s="118">
        <f t="array" ref="K711">IFERROR(
INDEX(REPORTE_DROPI!S:S,
MATCH($T711, REPORTE_DROPI!B:B, 0)
),
""
)
</f>
        <v>14.34</v>
      </c>
      <c r="L711" s="118" t="str">
        <f>IF(
  O711&lt;&gt;"DEVOLUCION",
  "",
  IF(
    T711="",
    "",
    SUMIF(DEVOLUCION!F:F, T711, DEVOLUCION!D:D)
  )
)
</f>
        <v/>
      </c>
      <c r="M711" s="118" t="s">
        <v>3870</v>
      </c>
      <c r="N711" s="130" t="s">
        <v>5143</v>
      </c>
      <c r="O711" s="118" t="str">
        <f t="array" ref="O711">IFERROR(
VLOOKUP(
TRIM(CLEAN(
INDEX(REPORTE_DROPI!K:K,
MATCH(T711, REPORTE_DROPI!B:B, 0)
))),
{
TRIM(CLEAN(MAPA_ESTADOS!A:A)) ,
MAPA_ESTADOS!B:B
},
2,
FALSE
),
"REVISAR"
)
</f>
        <v>ENTREGADO</v>
      </c>
      <c r="P711" s="118"/>
      <c r="Q711" s="122">
        <f t="shared" si="2"/>
        <v>0</v>
      </c>
      <c r="R711" s="118"/>
      <c r="S711" s="118"/>
      <c r="T711" s="118">
        <f t="array" ref="T711">IFERROR(
INDEX(REPORTE_DROPI!B:B,
MATCH(
CLEAN(TRIM(C711)),
CLEAN(TRIM(REPORTE_DROPI!E:E)),
0
)
),
""
)
</f>
        <v>4175796</v>
      </c>
      <c r="U711" s="118">
        <v>6.422837100588E12</v>
      </c>
      <c r="V711" s="78"/>
      <c r="W711" s="78"/>
      <c r="X711" s="78"/>
      <c r="Y711" s="78"/>
      <c r="Z711" s="78"/>
    </row>
    <row r="712" ht="22.5" customHeight="1">
      <c r="A712" s="118">
        <v>711.0</v>
      </c>
      <c r="B712" s="119">
        <v>46039.0</v>
      </c>
      <c r="C712" s="118" t="s">
        <v>5144</v>
      </c>
      <c r="D712" s="118" t="str">
        <f>IFERROR(__xludf.DUMMYFUNCTION("IFERROR(
  INDEX(
    FILTER(
      'NOMBRE DE PRODUCTOS'!B:B,
      REGEXMATCH(
        UPPER(
          INDEX(
            REPORTE_DROPI!AC:AC,
            MATCH(T712, REPORTE_DROPI!B:B, 0)
          )
        ),
        UPPER('NOMBRE DE PRODUCTOS'!A:A)"&amp;"
      )
    ),
    1
  ),
  ""REVISAR""
)
"),"FilmPro®")</f>
        <v>FilmPro®</v>
      </c>
      <c r="E712" s="120">
        <f t="array" ref="E712">IF(
UPPER(TRIM(CLEAN($O712)))="ENTREGADO",
IFERROR(
INDEX(REPORTE_DROPI!Y:Y,
MATCH($T712, REPORTE_DROPI!B:B, 0)
),
""
),
""
)
</f>
        <v>2.35</v>
      </c>
      <c r="F712" s="121">
        <v>1.0</v>
      </c>
      <c r="G712" s="122">
        <f t="array" ref="G712">IF(
UPPER(TRIM(CLEAN($O712)))="ENTREGADO",
IFERROR(
INDEX(REPORTE_DROPI!R:R,
MATCH($T712, REPORTE_DROPI!B:B, 0)
),
""
),
""
)
</f>
        <v>20</v>
      </c>
      <c r="H712" s="118" t="s">
        <v>3727</v>
      </c>
      <c r="I712" s="118" t="s">
        <v>3979</v>
      </c>
      <c r="J712" s="121">
        <f t="array" ref="J712">IF(
UPPER(TRIM(CLEAN($O712)))="ENTREGADO",
IFERROR(
INDEX(REPORTE_DROPI!T:T,
MATCH($T712, REPORTE_DROPI!B:B, 0)
),
""
),
""
)
</f>
        <v>5.76</v>
      </c>
      <c r="K712" s="118">
        <f t="array" ref="K712">IFERROR(
INDEX(REPORTE_DROPI!S:S,
MATCH($T712, REPORTE_DROPI!B:B, 0)
),
""
)
</f>
        <v>11.89</v>
      </c>
      <c r="L712" s="118" t="str">
        <f>IF(
  O712&lt;&gt;"DEVOLUCION",
  "",
  IF(
    T712="",
    "",
    SUMIF(DEVOLUCION!F:F, T712, DEVOLUCION!D:D)
  )
)
</f>
        <v/>
      </c>
      <c r="M712" s="118" t="s">
        <v>3870</v>
      </c>
      <c r="N712" s="130" t="s">
        <v>5145</v>
      </c>
      <c r="O712" s="118" t="str">
        <f t="array" ref="O712">IFERROR(
VLOOKUP(
TRIM(CLEAN(
INDEX(REPORTE_DROPI!K:K,
MATCH(T712, REPORTE_DROPI!B:B, 0)
))),
{
TRIM(CLEAN(MAPA_ESTADOS!A:A)) ,
MAPA_ESTADOS!B:B
},
2,
FALSE
),
"REVISAR"
)
</f>
        <v>ENTREGADO</v>
      </c>
      <c r="P712" s="118"/>
      <c r="Q712" s="122">
        <f t="shared" si="2"/>
        <v>0</v>
      </c>
      <c r="R712" s="118"/>
      <c r="S712" s="118"/>
      <c r="T712" s="118">
        <f t="array" ref="T712">IFERROR(
INDEX(REPORTE_DROPI!B:B,
MATCH(
CLEAN(TRIM(C712)),
CLEAN(TRIM(REPORTE_DROPI!E:E)),
0
)
),
""
)
</f>
        <v>4176522</v>
      </c>
      <c r="U712" s="118">
        <v>6.423049797676E12</v>
      </c>
      <c r="V712" s="78"/>
      <c r="W712" s="78"/>
      <c r="X712" s="78"/>
      <c r="Y712" s="78"/>
      <c r="Z712" s="78"/>
    </row>
    <row r="713" ht="22.5" customHeight="1">
      <c r="A713" s="118">
        <v>712.0</v>
      </c>
      <c r="B713" s="119">
        <v>46039.0</v>
      </c>
      <c r="C713" s="126" t="s">
        <v>5146</v>
      </c>
      <c r="D713" s="118" t="str">
        <f>IFERROR(__xludf.DUMMYFUNCTION("IFERROR(
  INDEX(
    FILTER(
      'NOMBRE DE PRODUCTOS'!B:B,
      REGEXMATCH(
        UPPER(
          INDEX(
            REPORTE_DROPI!AC:AC,
            MATCH(T713, REPORTE_DROPI!B:B, 0)
          )
        ),
        UPPER('NOMBRE DE PRODUCTOS'!A:A)"&amp;"
      )
    ),
    1
  ),
  ""REVISAR""
)
"),"FilmPro®")</f>
        <v>FilmPro®</v>
      </c>
      <c r="E713" s="120" t="str">
        <f t="array" ref="E713">IF(
UPPER(TRIM(CLEAN($O713)))="ENTREGADO",
IFERROR(
INDEX(REPORTE_DROPI!Y:Y,
MATCH($T713, REPORTE_DROPI!B:B, 0)
),
""
),
""
)
</f>
        <v/>
      </c>
      <c r="F713" s="121">
        <v>1.0</v>
      </c>
      <c r="G713" s="122" t="str">
        <f t="array" ref="G713">IF(
UPPER(TRIM(CLEAN($O713)))="ENTREGADO",
IFERROR(
INDEX(REPORTE_DROPI!R:R,
MATCH($T713, REPORTE_DROPI!B:B, 0)
),
""
),
""
)
</f>
        <v/>
      </c>
      <c r="H713" s="118" t="s">
        <v>3727</v>
      </c>
      <c r="I713" s="118" t="s">
        <v>3855</v>
      </c>
      <c r="J713" s="121" t="str">
        <f t="array" ref="J713">IF(
UPPER(TRIM(CLEAN($O713)))="ENTREGADO",
IFERROR(
INDEX(REPORTE_DROPI!T:T,
MATCH($T713, REPORTE_DROPI!B:B, 0)
),
""
),
""
)
</f>
        <v/>
      </c>
      <c r="K713" s="118" t="str">
        <f t="array" ref="K713">IFERROR(
INDEX(REPORTE_DROPI!S:S,
MATCH($T713, REPORTE_DROPI!B:B, 0)
),
""
)
</f>
        <v/>
      </c>
      <c r="L713" s="118">
        <f>IF(
  O713&lt;&gt;"DEVOLUCION",
  "",
  IF(
    T713="",
    "",
    SUMIF(DEVOLUCION!F:F, T713, DEVOLUCION!D:D)
  )
)
</f>
        <v>5.06</v>
      </c>
      <c r="M713" s="118" t="s">
        <v>3870</v>
      </c>
      <c r="N713" s="130" t="s">
        <v>5147</v>
      </c>
      <c r="O713" s="118" t="str">
        <f t="array" ref="O713">IFERROR(
VLOOKUP(
TRIM(CLEAN(
INDEX(REPORTE_DROPI!K:K,
MATCH(T713, REPORTE_DROPI!B:B, 0)
))),
{
TRIM(CLEAN(MAPA_ESTADOS!A:A)) ,
MAPA_ESTADOS!B:B
},
2,
FALSE
),
"REVISAR"
)
</f>
        <v>DEVOLUCION</v>
      </c>
      <c r="P713" s="118"/>
      <c r="Q713" s="122">
        <f t="shared" si="2"/>
        <v>0</v>
      </c>
      <c r="R713" s="118"/>
      <c r="S713" s="118"/>
      <c r="T713" s="118">
        <f t="array" ref="T713">IFERROR(
INDEX(REPORTE_DROPI!B:B,
MATCH(
CLEAN(TRIM(C713)),
CLEAN(TRIM(REPORTE_DROPI!E:E)),
0
)
),
""
)
</f>
        <v>4176664</v>
      </c>
      <c r="U713" s="118">
        <v>6.423116939308E12</v>
      </c>
      <c r="V713" s="78"/>
      <c r="W713" s="78"/>
      <c r="X713" s="78"/>
      <c r="Y713" s="78"/>
      <c r="Z713" s="78"/>
    </row>
    <row r="714" ht="22.5" customHeight="1">
      <c r="A714" s="118">
        <v>713.0</v>
      </c>
      <c r="B714" s="119">
        <v>46039.0</v>
      </c>
      <c r="C714" s="118" t="s">
        <v>5148</v>
      </c>
      <c r="D714" s="118" t="str">
        <f>IFERROR(__xludf.DUMMYFUNCTION("IFERROR(
  INDEX(
    FILTER(
      'NOMBRE DE PRODUCTOS'!B:B,
      REGEXMATCH(
        UPPER(
          INDEX(
            REPORTE_DROPI!AC:AC,
            MATCH(T714, REPORTE_DROPI!B:B, 0)
          )
        ),
        UPPER('NOMBRE DE PRODUCTOS'!A:A)"&amp;"
      )
    ),
    1
  ),
  ""REVISAR""
)
"),"FilmPro®")</f>
        <v>FilmPro®</v>
      </c>
      <c r="E714" s="120">
        <f t="array" ref="E714">IF(
UPPER(TRIM(CLEAN($O714)))="ENTREGADO",
IFERROR(
INDEX(REPORTE_DROPI!Y:Y,
MATCH($T714, REPORTE_DROPI!B:B, 0)
),
""
),
""
)
</f>
        <v>7.05</v>
      </c>
      <c r="F714" s="121">
        <v>3.0</v>
      </c>
      <c r="G714" s="122">
        <f t="array" ref="G714">IF(
UPPER(TRIM(CLEAN($O714)))="ENTREGADO",
IFERROR(
INDEX(REPORTE_DROPI!R:R,
MATCH($T714, REPORTE_DROPI!B:B, 0)
),
""
),
""
)
</f>
        <v>30</v>
      </c>
      <c r="H714" s="118" t="s">
        <v>3727</v>
      </c>
      <c r="I714" s="118" t="s">
        <v>3731</v>
      </c>
      <c r="J714" s="121">
        <f t="array" ref="J714">IF(
UPPER(TRIM(CLEAN($O714)))="ENTREGADO",
IFERROR(
INDEX(REPORTE_DROPI!T:T,
MATCH($T714, REPORTE_DROPI!B:B, 0)
),
""
),
""
)
</f>
        <v>4.55</v>
      </c>
      <c r="K714" s="118">
        <f t="array" ref="K714">IFERROR(
INDEX(REPORTE_DROPI!S:S,
MATCH($T714, REPORTE_DROPI!B:B, 0)
),
""
)
</f>
        <v>18.4</v>
      </c>
      <c r="L714" s="118" t="str">
        <f>IF(
  O714&lt;&gt;"DEVOLUCION",
  "",
  IF(
    T714="",
    "",
    SUMIF(DEVOLUCION!F:F, T714, DEVOLUCION!D:D)
  )
)
</f>
        <v/>
      </c>
      <c r="M714" s="118" t="s">
        <v>3870</v>
      </c>
      <c r="N714" s="130" t="s">
        <v>5149</v>
      </c>
      <c r="O714" s="118" t="str">
        <f t="array" ref="O714">IFERROR(
VLOOKUP(
TRIM(CLEAN(
INDEX(REPORTE_DROPI!K:K,
MATCH(T714, REPORTE_DROPI!B:B, 0)
))),
{
TRIM(CLEAN(MAPA_ESTADOS!A:A)) ,
MAPA_ESTADOS!B:B
},
2,
FALSE
),
"REVISAR"
)
</f>
        <v>ENTREGADO</v>
      </c>
      <c r="P714" s="118"/>
      <c r="Q714" s="122">
        <f t="shared" si="2"/>
        <v>0</v>
      </c>
      <c r="R714" s="118"/>
      <c r="S714" s="118"/>
      <c r="T714" s="118">
        <f t="array" ref="T714">IFERROR(
INDEX(REPORTE_DROPI!B:B,
MATCH(
CLEAN(TRIM(C714)),
CLEAN(TRIM(REPORTE_DROPI!E:E)),
0
)
),
""
)
</f>
        <v>4176880</v>
      </c>
      <c r="U714" s="118">
        <v>6.423291658284E12</v>
      </c>
      <c r="V714" s="78"/>
      <c r="W714" s="78"/>
      <c r="X714" s="78"/>
      <c r="Y714" s="78"/>
      <c r="Z714" s="78"/>
    </row>
    <row r="715" ht="22.5" customHeight="1">
      <c r="A715" s="118">
        <v>714.0</v>
      </c>
      <c r="B715" s="119">
        <v>46039.0</v>
      </c>
      <c r="C715" s="118" t="s">
        <v>5150</v>
      </c>
      <c r="D715" s="118" t="str">
        <f>IFERROR(__xludf.DUMMYFUNCTION("IFERROR(
  INDEX(
    FILTER(
      'NOMBRE DE PRODUCTOS'!B:B,
      REGEXMATCH(
        UPPER(
          INDEX(
            REPORTE_DROPI!AC:AC,
            MATCH(T715, REPORTE_DROPI!B:B, 0)
          )
        ),
        UPPER('NOMBRE DE PRODUCTOS'!A:A)"&amp;"
      )
    ),
    1
  ),
  ""REVISAR""
)
"),"FilmPro®")</f>
        <v>FilmPro®</v>
      </c>
      <c r="E715" s="120" t="str">
        <f t="array" ref="E715">IF(
UPPER(TRIM(CLEAN($O715)))="ENTREGADO",
IFERROR(
INDEX(REPORTE_DROPI!Y:Y,
MATCH($T715, REPORTE_DROPI!B:B, 0)
),
""
),
""
)
</f>
        <v/>
      </c>
      <c r="F715" s="121">
        <v>2.0</v>
      </c>
      <c r="G715" s="122" t="str">
        <f t="array" ref="G715">IF(
UPPER(TRIM(CLEAN($O715)))="ENTREGADO",
IFERROR(
INDEX(REPORTE_DROPI!R:R,
MATCH($T715, REPORTE_DROPI!B:B, 0)
),
""
),
""
)
</f>
        <v/>
      </c>
      <c r="H715" s="118" t="s">
        <v>3727</v>
      </c>
      <c r="I715" s="118" t="s">
        <v>3784</v>
      </c>
      <c r="J715" s="121" t="str">
        <f t="array" ref="J715">IF(
UPPER(TRIM(CLEAN($O715)))="ENTREGADO",
IFERROR(
INDEX(REPORTE_DROPI!T:T,
MATCH($T715, REPORTE_DROPI!B:B, 0)
),
""
),
""
)
</f>
        <v/>
      </c>
      <c r="K715" s="118" t="str">
        <f t="array" ref="K715">IFERROR(
INDEX(REPORTE_DROPI!S:S,
MATCH($T715, REPORTE_DROPI!B:B, 0)
),
""
)
</f>
        <v/>
      </c>
      <c r="L715" s="118">
        <f>IF(
  O715&lt;&gt;"DEVOLUCION",
  "",
  IF(
    T715="",
    "",
    SUMIF(DEVOLUCION!F:F, T715, DEVOLUCION!D:D)
  )
)
</f>
        <v>5.67</v>
      </c>
      <c r="M715" s="118" t="s">
        <v>3870</v>
      </c>
      <c r="N715" s="130" t="s">
        <v>5151</v>
      </c>
      <c r="O715" s="118" t="str">
        <f t="array" ref="O715">IFERROR(
VLOOKUP(
TRIM(CLEAN(
INDEX(REPORTE_DROPI!K:K,
MATCH(T715, REPORTE_DROPI!B:B, 0)
))),
{
TRIM(CLEAN(MAPA_ESTADOS!A:A)) ,
MAPA_ESTADOS!B:B
},
2,
FALSE
),
"REVISAR"
)
</f>
        <v>DEVOLUCION</v>
      </c>
      <c r="P715" s="118"/>
      <c r="Q715" s="122">
        <f t="shared" si="2"/>
        <v>0</v>
      </c>
      <c r="R715" s="118"/>
      <c r="S715" s="118"/>
      <c r="T715" s="118">
        <f t="array" ref="T715">IFERROR(
INDEX(REPORTE_DROPI!B:B,
MATCH(
CLEAN(TRIM(C715)),
CLEAN(TRIM(REPORTE_DROPI!E:E)),
0
)
),
""
)
</f>
        <v>4176961</v>
      </c>
      <c r="U715" s="118">
        <v>6.42331793822E12</v>
      </c>
      <c r="V715" s="78"/>
      <c r="W715" s="78"/>
      <c r="X715" s="78"/>
      <c r="Y715" s="78"/>
      <c r="Z715" s="78"/>
    </row>
    <row r="716" ht="22.5" customHeight="1">
      <c r="A716" s="118">
        <v>715.0</v>
      </c>
      <c r="B716" s="119">
        <v>46039.0</v>
      </c>
      <c r="C716" s="126" t="s">
        <v>5152</v>
      </c>
      <c r="D716" s="118" t="str">
        <f>IFERROR(__xludf.DUMMYFUNCTION("IFERROR(
  INDEX(
    FILTER(
      'NOMBRE DE PRODUCTOS'!B:B,
      REGEXMATCH(
        UPPER(
          INDEX(
            REPORTE_DROPI!AC:AC,
            MATCH(T716, REPORTE_DROPI!B:B, 0)
          )
        ),
        UPPER('NOMBRE DE PRODUCTOS'!A:A)"&amp;"
      )
    ),
    1
  ),
  ""REVISAR""
)
"),"FilmPro®")</f>
        <v>FilmPro®</v>
      </c>
      <c r="E716" s="120" t="str">
        <f t="array" ref="E716">IF(
UPPER(TRIM(CLEAN($O716)))="ENTREGADO",
IFERROR(
INDEX(REPORTE_DROPI!Y:Y,
MATCH($T716, REPORTE_DROPI!B:B, 0)
),
""
),
""
)
</f>
        <v/>
      </c>
      <c r="F716" s="121">
        <v>3.0</v>
      </c>
      <c r="G716" s="122" t="str">
        <f t="array" ref="G716">IF(
UPPER(TRIM(CLEAN($O716)))="ENTREGADO",
IFERROR(
INDEX(REPORTE_DROPI!R:R,
MATCH($T716, REPORTE_DROPI!B:B, 0)
),
""
),
""
)
</f>
        <v/>
      </c>
      <c r="H716" s="118" t="s">
        <v>3727</v>
      </c>
      <c r="I716" s="118" t="s">
        <v>3778</v>
      </c>
      <c r="J716" s="121" t="str">
        <f t="array" ref="J716">IF(
UPPER(TRIM(CLEAN($O716)))="ENTREGADO",
IFERROR(
INDEX(REPORTE_DROPI!T:T,
MATCH($T716, REPORTE_DROPI!B:B, 0)
),
""
),
""
)
</f>
        <v/>
      </c>
      <c r="K716" s="118" t="str">
        <f t="array" ref="K716">IFERROR(
INDEX(REPORTE_DROPI!S:S,
MATCH($T716, REPORTE_DROPI!B:B, 0)
),
""
)
</f>
        <v/>
      </c>
      <c r="L716" s="118">
        <f>IF(
  O716&lt;&gt;"DEVOLUCION",
  "",
  IF(
    T716="",
    "",
    SUMIF(DEVOLUCION!F:F, T716, DEVOLUCION!D:D)
  )
)
</f>
        <v>5.12</v>
      </c>
      <c r="M716" s="118" t="s">
        <v>3870</v>
      </c>
      <c r="N716" s="130" t="s">
        <v>5153</v>
      </c>
      <c r="O716" s="118" t="str">
        <f t="array" ref="O716">IFERROR(
VLOOKUP(
TRIM(CLEAN(
INDEX(REPORTE_DROPI!K:K,
MATCH(T716, REPORTE_DROPI!B:B, 0)
))),
{
TRIM(CLEAN(MAPA_ESTADOS!A:A)) ,
MAPA_ESTADOS!B:B
},
2,
FALSE
),
"REVISAR"
)
</f>
        <v>DEVOLUCION</v>
      </c>
      <c r="P716" s="118"/>
      <c r="Q716" s="122">
        <f t="shared" si="2"/>
        <v>0</v>
      </c>
      <c r="R716" s="118"/>
      <c r="S716" s="118"/>
      <c r="T716" s="118">
        <f t="array" ref="T716">IFERROR(
INDEX(REPORTE_DROPI!B:B,
MATCH(
CLEAN(TRIM(C716)),
CLEAN(TRIM(REPORTE_DROPI!E:E)),
0
)
),
""
)
</f>
        <v>4176964</v>
      </c>
      <c r="U716" s="118">
        <v>6.423318986796E12</v>
      </c>
      <c r="V716" s="78"/>
      <c r="W716" s="78"/>
      <c r="X716" s="78"/>
      <c r="Y716" s="78"/>
      <c r="Z716" s="78"/>
    </row>
    <row r="717" ht="22.5" customHeight="1">
      <c r="A717" s="118">
        <v>716.0</v>
      </c>
      <c r="B717" s="119">
        <v>46039.0</v>
      </c>
      <c r="C717" s="118" t="s">
        <v>5154</v>
      </c>
      <c r="D717" s="118" t="str">
        <f>IFERROR(__xludf.DUMMYFUNCTION("IFERROR(
  INDEX(
    FILTER(
      'NOMBRE DE PRODUCTOS'!B:B,
      REGEXMATCH(
        UPPER(
          INDEX(
            REPORTE_DROPI!AC:AC,
            MATCH(T717, REPORTE_DROPI!B:B, 0)
          )
        ),
        UPPER('NOMBRE DE PRODUCTOS'!A:A)"&amp;"
      )
    ),
    1
  ),
  ""REVISAR""
)
"),"FilmPro®")</f>
        <v>FilmPro®</v>
      </c>
      <c r="E717" s="120">
        <f t="array" ref="E717">IF(
UPPER(TRIM(CLEAN($O717)))="ENTREGADO",
IFERROR(
INDEX(REPORTE_DROPI!Y:Y,
MATCH($T717, REPORTE_DROPI!B:B, 0)
),
""
),
""
)
</f>
        <v>7.05</v>
      </c>
      <c r="F717" s="121">
        <v>3.0</v>
      </c>
      <c r="G717" s="122">
        <f t="array" ref="G717">IF(
UPPER(TRIM(CLEAN($O717)))="ENTREGADO",
IFERROR(
INDEX(REPORTE_DROPI!R:R,
MATCH($T717, REPORTE_DROPI!B:B, 0)
),
""
),
""
)
</f>
        <v>30</v>
      </c>
      <c r="H717" s="118" t="s">
        <v>3727</v>
      </c>
      <c r="I717" s="118" t="s">
        <v>3740</v>
      </c>
      <c r="J717" s="121">
        <f t="array" ref="J717">IF(
UPPER(TRIM(CLEAN($O717)))="ENTREGADO",
IFERROR(
INDEX(REPORTE_DROPI!T:T,
MATCH($T717, REPORTE_DROPI!B:B, 0)
),
""
),
""
)
</f>
        <v>6.38</v>
      </c>
      <c r="K717" s="118">
        <f t="array" ref="K717">IFERROR(
INDEX(REPORTE_DROPI!S:S,
MATCH($T717, REPORTE_DROPI!B:B, 0)
),
""
)
</f>
        <v>16.57</v>
      </c>
      <c r="L717" s="118" t="str">
        <f>IF(
  O717&lt;&gt;"DEVOLUCION",
  "",
  IF(
    T717="",
    "",
    SUMIF(DEVOLUCION!F:F, T717, DEVOLUCION!D:D)
  )
)
</f>
        <v/>
      </c>
      <c r="M717" s="118" t="s">
        <v>3870</v>
      </c>
      <c r="N717" s="130" t="s">
        <v>5155</v>
      </c>
      <c r="O717" s="118" t="str">
        <f t="array" ref="O717">IFERROR(
VLOOKUP(
TRIM(CLEAN(
INDEX(REPORTE_DROPI!K:K,
MATCH(T717, REPORTE_DROPI!B:B, 0)
))),
{
TRIM(CLEAN(MAPA_ESTADOS!A:A)) ,
MAPA_ESTADOS!B:B
},
2,
FALSE
),
"REVISAR"
)
</f>
        <v>ENTREGADO</v>
      </c>
      <c r="P717" s="118"/>
      <c r="Q717" s="122">
        <f t="shared" si="2"/>
        <v>0</v>
      </c>
      <c r="R717" s="118"/>
      <c r="S717" s="118"/>
      <c r="T717" s="118">
        <f t="array" ref="T717">IFERROR(
INDEX(REPORTE_DROPI!B:B,
MATCH(
CLEAN(TRIM(C717)),
CLEAN(TRIM(REPORTE_DROPI!E:E)),
0
)
),
""
)
</f>
        <v>4176975</v>
      </c>
      <c r="U717" s="118">
        <v>6.42332187038E12</v>
      </c>
      <c r="V717" s="78"/>
      <c r="W717" s="78"/>
      <c r="X717" s="78"/>
      <c r="Y717" s="78"/>
      <c r="Z717" s="78"/>
    </row>
    <row r="718" ht="22.5" customHeight="1">
      <c r="A718" s="118">
        <v>717.0</v>
      </c>
      <c r="B718" s="119">
        <v>46039.0</v>
      </c>
      <c r="C718" s="118" t="s">
        <v>5156</v>
      </c>
      <c r="D718" s="118" t="str">
        <f>IFERROR(__xludf.DUMMYFUNCTION("IFERROR(
  INDEX(
    FILTER(
      'NOMBRE DE PRODUCTOS'!B:B,
      REGEXMATCH(
        UPPER(
          INDEX(
            REPORTE_DROPI!AC:AC,
            MATCH(T718, REPORTE_DROPI!B:B, 0)
          )
        ),
        UPPER('NOMBRE DE PRODUCTOS'!A:A)"&amp;"
      )
    ),
    1
  ),
  ""REVISAR""
)
"),"FilmPro®")</f>
        <v>FilmPro®</v>
      </c>
      <c r="E718" s="120" t="str">
        <f t="array" ref="E718">IF(
UPPER(TRIM(CLEAN($O718)))="ENTREGADO",
IFERROR(
INDEX(REPORTE_DROPI!Y:Y,
MATCH($T718, REPORTE_DROPI!B:B, 0)
),
""
),
""
)
</f>
        <v/>
      </c>
      <c r="F718" s="121">
        <v>2.0</v>
      </c>
      <c r="G718" s="122" t="str">
        <f t="array" ref="G718">IF(
UPPER(TRIM(CLEAN($O718)))="ENTREGADO",
IFERROR(
INDEX(REPORTE_DROPI!R:R,
MATCH($T718, REPORTE_DROPI!B:B, 0)
),
""
),
""
)
</f>
        <v/>
      </c>
      <c r="H718" s="118" t="s">
        <v>3727</v>
      </c>
      <c r="I718" s="118" t="s">
        <v>3740</v>
      </c>
      <c r="J718" s="121" t="str">
        <f t="array" ref="J718">IF(
UPPER(TRIM(CLEAN($O718)))="ENTREGADO",
IFERROR(
INDEX(REPORTE_DROPI!T:T,
MATCH($T718, REPORTE_DROPI!B:B, 0)
),
""
),
""
)
</f>
        <v/>
      </c>
      <c r="K718" s="118" t="str">
        <f t="array" ref="K718">IFERROR(
INDEX(REPORTE_DROPI!S:S,
MATCH($T718, REPORTE_DROPI!B:B, 0)
),
""
)
</f>
        <v/>
      </c>
      <c r="L718" s="118">
        <f>IF(
  O718&lt;&gt;"DEVOLUCION",
  "",
  IF(
    T718="",
    "",
    SUMIF(DEVOLUCION!F:F, T718, DEVOLUCION!D:D)
  )
)
</f>
        <v>7.75</v>
      </c>
      <c r="M718" s="118" t="s">
        <v>3870</v>
      </c>
      <c r="N718" s="130" t="s">
        <v>5157</v>
      </c>
      <c r="O718" s="118" t="str">
        <f t="array" ref="O718">IFERROR(
VLOOKUP(
TRIM(CLEAN(
INDEX(REPORTE_DROPI!K:K,
MATCH(T718, REPORTE_DROPI!B:B, 0)
))),
{
TRIM(CLEAN(MAPA_ESTADOS!A:A)) ,
MAPA_ESTADOS!B:B
},
2,
FALSE
),
"REVISAR"
)
</f>
        <v>DEVOLUCION</v>
      </c>
      <c r="P718" s="118"/>
      <c r="Q718" s="122">
        <f t="shared" si="2"/>
        <v>0</v>
      </c>
      <c r="R718" s="118"/>
      <c r="S718" s="118"/>
      <c r="T718" s="118">
        <f t="array" ref="T718">IFERROR(
INDEX(REPORTE_DROPI!B:B,
MATCH(
CLEAN(TRIM(C718)),
CLEAN(TRIM(REPORTE_DROPI!E:E)),
0
)
),
""
)
</f>
        <v>4177020</v>
      </c>
      <c r="U718" s="118">
        <v>6.423333765164E12</v>
      </c>
      <c r="V718" s="78"/>
      <c r="W718" s="78"/>
      <c r="X718" s="78"/>
      <c r="Y718" s="78"/>
      <c r="Z718" s="78"/>
    </row>
    <row r="719" ht="22.5" customHeight="1">
      <c r="A719" s="118">
        <v>718.0</v>
      </c>
      <c r="B719" s="119">
        <v>46039.0</v>
      </c>
      <c r="C719" s="126" t="s">
        <v>5158</v>
      </c>
      <c r="D719" s="118" t="str">
        <f>IFERROR(__xludf.DUMMYFUNCTION("IFERROR(
  INDEX(
    FILTER(
      'NOMBRE DE PRODUCTOS'!B:B,
      REGEXMATCH(
        UPPER(
          INDEX(
            REPORTE_DROPI!AC:AC,
            MATCH(T719, REPORTE_DROPI!B:B, 0)
          )
        ),
        UPPER('NOMBRE DE PRODUCTOS'!A:A)"&amp;"
      )
    ),
    1
  ),
  ""REVISAR""
)
"),"FilmPro®")</f>
        <v>FilmPro®</v>
      </c>
      <c r="E719" s="120" t="str">
        <f t="array" ref="E719">IF(
UPPER(TRIM(CLEAN($O719)))="ENTREGADO",
IFERROR(
INDEX(REPORTE_DROPI!Y:Y,
MATCH($T719, REPORTE_DROPI!B:B, 0)
),
""
),
""
)
</f>
        <v/>
      </c>
      <c r="F719" s="121">
        <v>2.0</v>
      </c>
      <c r="G719" s="122" t="str">
        <f t="array" ref="G719">IF(
UPPER(TRIM(CLEAN($O719)))="ENTREGADO",
IFERROR(
INDEX(REPORTE_DROPI!R:R,
MATCH($T719, REPORTE_DROPI!B:B, 0)
),
""
),
""
)
</f>
        <v/>
      </c>
      <c r="H719" s="118" t="s">
        <v>3727</v>
      </c>
      <c r="I719" s="118" t="s">
        <v>3969</v>
      </c>
      <c r="J719" s="121" t="str">
        <f t="array" ref="J719">IF(
UPPER(TRIM(CLEAN($O719)))="ENTREGADO",
IFERROR(
INDEX(REPORTE_DROPI!T:T,
MATCH($T719, REPORTE_DROPI!B:B, 0)
),
""
),
""
)
</f>
        <v/>
      </c>
      <c r="K719" s="118" t="str">
        <f t="array" ref="K719">IFERROR(
INDEX(REPORTE_DROPI!S:S,
MATCH($T719, REPORTE_DROPI!B:B, 0)
),
""
)
</f>
        <v/>
      </c>
      <c r="L719" s="118" t="str">
        <f>IF(
  O719&lt;&gt;"DEVOLUCION",
  "",
  IF(
    T719="",
    "",
    SUMIF(DEVOLUCION!F:F, T719, DEVOLUCION!D:D)
  )
)
</f>
        <v/>
      </c>
      <c r="M719" s="118" t="s">
        <v>3870</v>
      </c>
      <c r="N719" s="130" t="s">
        <v>5159</v>
      </c>
      <c r="O719" s="118" t="str">
        <f t="array" ref="O719">IFERROR(
VLOOKUP(
TRIM(CLEAN(
INDEX(REPORTE_DROPI!K:K,
MATCH(T719, REPORTE_DROPI!B:B, 0)
))),
{
TRIM(CLEAN(MAPA_ESTADOS!A:A)) ,
MAPA_ESTADOS!B:B
},
2,
FALSE
),
"REVISAR"
)
</f>
        <v>PENDIENTE</v>
      </c>
      <c r="P719" s="118" t="s">
        <v>3888</v>
      </c>
      <c r="Q719" s="122">
        <f t="shared" si="2"/>
        <v>0</v>
      </c>
      <c r="R719" s="118"/>
      <c r="S719" s="118"/>
      <c r="T719" s="118">
        <f t="array" ref="T719">IFERROR(
INDEX(REPORTE_DROPI!B:B,
MATCH(
CLEAN(TRIM(C719)),
CLEAN(TRIM(REPORTE_DROPI!E:E)),
0
)
),
""
)
</f>
        <v>4221213</v>
      </c>
      <c r="U719" s="118">
        <v>6.423341236268E12</v>
      </c>
      <c r="V719" s="78"/>
      <c r="W719" s="78"/>
      <c r="X719" s="78"/>
      <c r="Y719" s="78"/>
      <c r="Z719" s="78"/>
    </row>
    <row r="720" ht="22.5" customHeight="1">
      <c r="A720" s="118">
        <v>719.0</v>
      </c>
      <c r="B720" s="119">
        <v>46039.0</v>
      </c>
      <c r="C720" s="118" t="s">
        <v>5160</v>
      </c>
      <c r="D720" s="118" t="str">
        <f>IFERROR(__xludf.DUMMYFUNCTION("IFERROR(
  INDEX(
    FILTER(
      'NOMBRE DE PRODUCTOS'!B:B,
      REGEXMATCH(
        UPPER(
          INDEX(
            REPORTE_DROPI!AC:AC,
            MATCH(T720, REPORTE_DROPI!B:B, 0)
          )
        ),
        UPPER('NOMBRE DE PRODUCTOS'!A:A)"&amp;"
      )
    ),
    1
  ),
  ""REVISAR""
)
"),"FilmPro®")</f>
        <v>FilmPro®</v>
      </c>
      <c r="E720" s="120">
        <f t="array" ref="E720">IF(
UPPER(TRIM(CLEAN($O720)))="ENTREGADO",
IFERROR(
INDEX(REPORTE_DROPI!Y:Y,
MATCH($T720, REPORTE_DROPI!B:B, 0)
),
""
),
""
)
</f>
        <v>4.7</v>
      </c>
      <c r="F720" s="121">
        <v>2.0</v>
      </c>
      <c r="G720" s="122">
        <f t="array" ref="G720">IF(
UPPER(TRIM(CLEAN($O720)))="ENTREGADO",
IFERROR(
INDEX(REPORTE_DROPI!R:R,
MATCH($T720, REPORTE_DROPI!B:B, 0)
),
""
),
""
)
</f>
        <v>25</v>
      </c>
      <c r="H720" s="118" t="s">
        <v>3727</v>
      </c>
      <c r="I720" s="118" t="s">
        <v>3740</v>
      </c>
      <c r="J720" s="121">
        <f t="array" ref="J720">IF(
UPPER(TRIM(CLEAN($O720)))="ENTREGADO",
IFERROR(
INDEX(REPORTE_DROPI!T:T,
MATCH($T720, REPORTE_DROPI!B:B, 0)
),
""
),
""
)
</f>
        <v>7.75</v>
      </c>
      <c r="K720" s="118">
        <f t="array" ref="K720">IFERROR(
INDEX(REPORTE_DROPI!S:S,
MATCH($T720, REPORTE_DROPI!B:B, 0)
),
""
)
</f>
        <v>12.55</v>
      </c>
      <c r="L720" s="118" t="str">
        <f>IF(
  O720&lt;&gt;"DEVOLUCION",
  "",
  IF(
    T720="",
    "",
    SUMIF(DEVOLUCION!F:F, T720, DEVOLUCION!D:D)
  )
)
</f>
        <v/>
      </c>
      <c r="M720" s="118" t="s">
        <v>3870</v>
      </c>
      <c r="N720" s="130" t="s">
        <v>5161</v>
      </c>
      <c r="O720" s="118" t="str">
        <f t="array" ref="O720">IFERROR(
VLOOKUP(
TRIM(CLEAN(
INDEX(REPORTE_DROPI!K:K,
MATCH(T720, REPORTE_DROPI!B:B, 0)
))),
{
TRIM(CLEAN(MAPA_ESTADOS!A:A)) ,
MAPA_ESTADOS!B:B
},
2,
FALSE
),
"REVISAR"
)
</f>
        <v>ENTREGADO</v>
      </c>
      <c r="P720" s="118"/>
      <c r="Q720" s="122">
        <f t="shared" si="2"/>
        <v>0</v>
      </c>
      <c r="R720" s="118"/>
      <c r="S720" s="118"/>
      <c r="T720" s="118">
        <f t="array" ref="T720">IFERROR(
INDEX(REPORTE_DROPI!B:B,
MATCH(
CLEAN(TRIM(C720)),
CLEAN(TRIM(REPORTE_DROPI!E:E)),
0
)
),
""
)
</f>
        <v>4177149</v>
      </c>
      <c r="U720" s="118">
        <v>6.423358144556E12</v>
      </c>
      <c r="V720" s="78"/>
      <c r="W720" s="78"/>
      <c r="X720" s="78"/>
      <c r="Y720" s="78"/>
      <c r="Z720" s="78"/>
    </row>
    <row r="721" ht="22.5" customHeight="1">
      <c r="A721" s="118">
        <v>720.0</v>
      </c>
      <c r="B721" s="119">
        <v>46039.0</v>
      </c>
      <c r="C721" s="118" t="s">
        <v>5162</v>
      </c>
      <c r="D721" s="118" t="str">
        <f>IFERROR(__xludf.DUMMYFUNCTION("IFERROR(
  INDEX(
    FILTER(
      'NOMBRE DE PRODUCTOS'!B:B,
      REGEXMATCH(
        UPPER(
          INDEX(
            REPORTE_DROPI!AC:AC,
            MATCH(T721, REPORTE_DROPI!B:B, 0)
          )
        ),
        UPPER('NOMBRE DE PRODUCTOS'!A:A)"&amp;"
      )
    ),
    1
  ),
  ""REVISAR""
)
"),"FilmPro®")</f>
        <v>FilmPro®</v>
      </c>
      <c r="E721" s="120">
        <f t="array" ref="E721">IF(
UPPER(TRIM(CLEAN($O721)))="ENTREGADO",
IFERROR(
INDEX(REPORTE_DROPI!Y:Y,
MATCH($T721, REPORTE_DROPI!B:B, 0)
),
""
),
""
)
</f>
        <v>4.7</v>
      </c>
      <c r="F721" s="121">
        <v>2.0</v>
      </c>
      <c r="G721" s="122">
        <f t="array" ref="G721">IF(
UPPER(TRIM(CLEAN($O721)))="ENTREGADO",
IFERROR(
INDEX(REPORTE_DROPI!R:R,
MATCH($T721, REPORTE_DROPI!B:B, 0)
),
""
),
""
)
</f>
        <v>25</v>
      </c>
      <c r="H721" s="118" t="s">
        <v>3727</v>
      </c>
      <c r="I721" s="118" t="s">
        <v>3784</v>
      </c>
      <c r="J721" s="121">
        <f t="array" ref="J721">IF(
UPPER(TRIM(CLEAN($O721)))="ENTREGADO",
IFERROR(
INDEX(REPORTE_DROPI!T:T,
MATCH($T721, REPORTE_DROPI!B:B, 0)
),
""
),
""
)
</f>
        <v>5.96</v>
      </c>
      <c r="K721" s="118">
        <f t="array" ref="K721">IFERROR(
INDEX(REPORTE_DROPI!S:S,
MATCH($T721, REPORTE_DROPI!B:B, 0)
),
""
)
</f>
        <v>14.34</v>
      </c>
      <c r="L721" s="118" t="str">
        <f>IF(
  O721&lt;&gt;"DEVOLUCION",
  "",
  IF(
    T721="",
    "",
    SUMIF(DEVOLUCION!F:F, T721, DEVOLUCION!D:D)
  )
)
</f>
        <v/>
      </c>
      <c r="M721" s="118" t="s">
        <v>3870</v>
      </c>
      <c r="N721" s="130" t="s">
        <v>5163</v>
      </c>
      <c r="O721" s="118" t="str">
        <f t="array" ref="O721">IFERROR(
VLOOKUP(
TRIM(CLEAN(
INDEX(REPORTE_DROPI!K:K,
MATCH(T721, REPORTE_DROPI!B:B, 0)
))),
{
TRIM(CLEAN(MAPA_ESTADOS!A:A)) ,
MAPA_ESTADOS!B:B
},
2,
FALSE
),
"REVISAR"
)
</f>
        <v>ENTREGADO</v>
      </c>
      <c r="P721" s="118"/>
      <c r="Q721" s="122">
        <f t="shared" si="2"/>
        <v>0</v>
      </c>
      <c r="R721" s="118"/>
      <c r="S721" s="118"/>
      <c r="T721" s="118">
        <f t="array" ref="T721">IFERROR(
INDEX(REPORTE_DROPI!B:B,
MATCH(
CLEAN(TRIM(C721)),
CLEAN(TRIM(REPORTE_DROPI!E:E)),
0
)
),
""
)
</f>
        <v>4177369</v>
      </c>
      <c r="U721" s="118">
        <v>6.423383015468E12</v>
      </c>
      <c r="V721" s="78"/>
      <c r="W721" s="78"/>
      <c r="X721" s="78"/>
      <c r="Y721" s="78"/>
      <c r="Z721" s="78"/>
    </row>
    <row r="722" ht="22.5" customHeight="1">
      <c r="A722" s="118">
        <v>721.0</v>
      </c>
      <c r="B722" s="119">
        <v>46039.0</v>
      </c>
      <c r="C722" s="118" t="s">
        <v>5164</v>
      </c>
      <c r="D722" s="118" t="str">
        <f>IFERROR(__xludf.DUMMYFUNCTION("IFERROR(
  INDEX(
    FILTER(
      'NOMBRE DE PRODUCTOS'!B:B,
      REGEXMATCH(
        UPPER(
          INDEX(
            REPORTE_DROPI!AC:AC,
            MATCH(T722, REPORTE_DROPI!B:B, 0)
          )
        ),
        UPPER('NOMBRE DE PRODUCTOS'!A:A)"&amp;"
      )
    ),
    1
  ),
  ""REVISAR""
)
"),"FilmPro®")</f>
        <v>FilmPro®</v>
      </c>
      <c r="E722" s="120">
        <f t="array" ref="E722">IF(
UPPER(TRIM(CLEAN($O722)))="ENTREGADO",
IFERROR(
INDEX(REPORTE_DROPI!Y:Y,
MATCH($T722, REPORTE_DROPI!B:B, 0)
),
""
),
""
)
</f>
        <v>7.05</v>
      </c>
      <c r="F722" s="121">
        <v>3.0</v>
      </c>
      <c r="G722" s="122">
        <f t="array" ref="G722">IF(
UPPER(TRIM(CLEAN($O722)))="ENTREGADO",
IFERROR(
INDEX(REPORTE_DROPI!R:R,
MATCH($T722, REPORTE_DROPI!B:B, 0)
),
""
),
""
)
</f>
        <v>30</v>
      </c>
      <c r="H722" s="118" t="s">
        <v>3727</v>
      </c>
      <c r="I722" s="118" t="s">
        <v>3731</v>
      </c>
      <c r="J722" s="121">
        <f t="array" ref="J722">IF(
UPPER(TRIM(CLEAN($O722)))="ENTREGADO",
IFERROR(
INDEX(REPORTE_DROPI!T:T,
MATCH($T722, REPORTE_DROPI!B:B, 0)
),
""
),
""
)
</f>
        <v>4.55</v>
      </c>
      <c r="K722" s="118">
        <f t="array" ref="K722">IFERROR(
INDEX(REPORTE_DROPI!S:S,
MATCH($T722, REPORTE_DROPI!B:B, 0)
),
""
)
</f>
        <v>18.4</v>
      </c>
      <c r="L722" s="118" t="str">
        <f>IF(
  O722&lt;&gt;"DEVOLUCION",
  "",
  IF(
    T722="",
    "",
    SUMIF(DEVOLUCION!F:F, T722, DEVOLUCION!D:D)
  )
)
</f>
        <v/>
      </c>
      <c r="M722" s="118" t="s">
        <v>3870</v>
      </c>
      <c r="N722" s="130" t="s">
        <v>5165</v>
      </c>
      <c r="O722" s="118" t="str">
        <f t="array" ref="O722">IFERROR(
VLOOKUP(
TRIM(CLEAN(
INDEX(REPORTE_DROPI!K:K,
MATCH(T722, REPORTE_DROPI!B:B, 0)
))),
{
TRIM(CLEAN(MAPA_ESTADOS!A:A)) ,
MAPA_ESTADOS!B:B
},
2,
FALSE
),
"REVISAR"
)
</f>
        <v>ENTREGADO</v>
      </c>
      <c r="P722" s="118"/>
      <c r="Q722" s="122">
        <f t="shared" si="2"/>
        <v>0</v>
      </c>
      <c r="R722" s="118"/>
      <c r="S722" s="118"/>
      <c r="T722" s="118">
        <f t="array" ref="T722">IFERROR(
INDEX(REPORTE_DROPI!B:B,
MATCH(
CLEAN(TRIM(C722)),
CLEAN(TRIM(REPORTE_DROPI!E:E)),
0
)
),
""
)
</f>
        <v>4177568</v>
      </c>
      <c r="U722" s="118">
        <v>6.423429546028E12</v>
      </c>
      <c r="V722" s="78"/>
      <c r="W722" s="78"/>
      <c r="X722" s="78"/>
      <c r="Y722" s="78"/>
      <c r="Z722" s="78"/>
    </row>
    <row r="723" ht="22.5" customHeight="1">
      <c r="A723" s="118">
        <v>722.0</v>
      </c>
      <c r="B723" s="119">
        <v>46039.0</v>
      </c>
      <c r="C723" s="118" t="s">
        <v>5166</v>
      </c>
      <c r="D723" s="118" t="str">
        <f>IFERROR(__xludf.DUMMYFUNCTION("IFERROR(
  INDEX(
    FILTER(
      'NOMBRE DE PRODUCTOS'!B:B,
      REGEXMATCH(
        UPPER(
          INDEX(
            REPORTE_DROPI!AC:AC,
            MATCH(T723, REPORTE_DROPI!B:B, 0)
          )
        ),
        UPPER('NOMBRE DE PRODUCTOS'!A:A)"&amp;"
      )
    ),
    1
  ),
  ""REVISAR""
)
"),"FilmPro®")</f>
        <v>FilmPro®</v>
      </c>
      <c r="E723" s="120">
        <f t="array" ref="E723">IF(
UPPER(TRIM(CLEAN($O723)))="ENTREGADO",
IFERROR(
INDEX(REPORTE_DROPI!Y:Y,
MATCH($T723, REPORTE_DROPI!B:B, 0)
),
""
),
""
)
</f>
        <v>7.05</v>
      </c>
      <c r="F723" s="121">
        <v>3.0</v>
      </c>
      <c r="G723" s="122">
        <f t="array" ref="G723">IF(
UPPER(TRIM(CLEAN($O723)))="ENTREGADO",
IFERROR(
INDEX(REPORTE_DROPI!R:R,
MATCH($T723, REPORTE_DROPI!B:B, 0)
),
""
),
""
)
</f>
        <v>30</v>
      </c>
      <c r="H723" s="118" t="s">
        <v>3727</v>
      </c>
      <c r="I723" s="118" t="s">
        <v>3740</v>
      </c>
      <c r="J723" s="121">
        <f t="array" ref="J723">IF(
UPPER(TRIM(CLEAN($O723)))="ENTREGADO",
IFERROR(
INDEX(REPORTE_DROPI!T:T,
MATCH($T723, REPORTE_DROPI!B:B, 0)
),
""
),
""
)
</f>
        <v>6.16</v>
      </c>
      <c r="K723" s="118">
        <f t="array" ref="K723">IFERROR(
INDEX(REPORTE_DROPI!S:S,
MATCH($T723, REPORTE_DROPI!B:B, 0)
),
""
)
</f>
        <v>16.79</v>
      </c>
      <c r="L723" s="118" t="str">
        <f>IF(
  O723&lt;&gt;"DEVOLUCION",
  "",
  IF(
    T723="",
    "",
    SUMIF(DEVOLUCION!F:F, T723, DEVOLUCION!D:D)
  )
)
</f>
        <v/>
      </c>
      <c r="M723" s="118" t="s">
        <v>3870</v>
      </c>
      <c r="N723" s="130" t="s">
        <v>5167</v>
      </c>
      <c r="O723" s="118" t="str">
        <f t="array" ref="O723">IFERROR(
VLOOKUP(
TRIM(CLEAN(
INDEX(REPORTE_DROPI!K:K,
MATCH(T723, REPORTE_DROPI!B:B, 0)
))),
{
TRIM(CLEAN(MAPA_ESTADOS!A:A)) ,
MAPA_ESTADOS!B:B
},
2,
FALSE
),
"REVISAR"
)
</f>
        <v>ENTREGADO</v>
      </c>
      <c r="P723" s="118"/>
      <c r="Q723" s="122">
        <f t="shared" si="2"/>
        <v>0</v>
      </c>
      <c r="R723" s="118"/>
      <c r="S723" s="118"/>
      <c r="T723" s="118">
        <f t="array" ref="T723">IFERROR(
INDEX(REPORTE_DROPI!B:B,
MATCH(
CLEAN(TRIM(C723)),
CLEAN(TRIM(REPORTE_DROPI!E:E)),
0
)
),
""
)
</f>
        <v>4177784</v>
      </c>
      <c r="U723" s="118">
        <v>6.423445438508E12</v>
      </c>
      <c r="V723" s="78"/>
      <c r="W723" s="78"/>
      <c r="X723" s="78"/>
      <c r="Y723" s="78"/>
      <c r="Z723" s="78"/>
    </row>
    <row r="724" ht="22.5" customHeight="1">
      <c r="A724" s="118">
        <v>723.0</v>
      </c>
      <c r="B724" s="119">
        <v>46039.0</v>
      </c>
      <c r="C724" s="126" t="s">
        <v>5168</v>
      </c>
      <c r="D724" s="118" t="str">
        <f>IFERROR(__xludf.DUMMYFUNCTION("IFERROR(
  INDEX(
    FILTER(
      'NOMBRE DE PRODUCTOS'!B:B,
      REGEXMATCH(
        UPPER(
          INDEX(
            REPORTE_DROPI!AC:AC,
            MATCH(T724, REPORTE_DROPI!B:B, 0)
          )
        ),
        UPPER('NOMBRE DE PRODUCTOS'!A:A)"&amp;"
      )
    ),
    1
  ),
  ""REVISAR""
)
"),"FilmPro®")</f>
        <v>FilmPro®</v>
      </c>
      <c r="E724" s="120" t="str">
        <f t="array" ref="E724">IF(
UPPER(TRIM(CLEAN($O724)))="ENTREGADO",
IFERROR(
INDEX(REPORTE_DROPI!Y:Y,
MATCH($T724, REPORTE_DROPI!B:B, 0)
),
""
),
""
)
</f>
        <v/>
      </c>
      <c r="F724" s="121">
        <v>3.0</v>
      </c>
      <c r="G724" s="122" t="str">
        <f t="array" ref="G724">IF(
UPPER(TRIM(CLEAN($O724)))="ENTREGADO",
IFERROR(
INDEX(REPORTE_DROPI!R:R,
MATCH($T724, REPORTE_DROPI!B:B, 0)
),
""
),
""
)
</f>
        <v/>
      </c>
      <c r="H724" s="118" t="s">
        <v>3727</v>
      </c>
      <c r="I724" s="118" t="s">
        <v>3728</v>
      </c>
      <c r="J724" s="121" t="str">
        <f t="array" ref="J724">IF(
UPPER(TRIM(CLEAN($O724)))="ENTREGADO",
IFERROR(
INDEX(REPORTE_DROPI!T:T,
MATCH($T724, REPORTE_DROPI!B:B, 0)
),
""
),
""
)
</f>
        <v/>
      </c>
      <c r="K724" s="118" t="str">
        <f t="array" ref="K724">IFERROR(
INDEX(REPORTE_DROPI!S:S,
MATCH($T724, REPORTE_DROPI!B:B, 0)
),
""
)
</f>
        <v/>
      </c>
      <c r="L724" s="118">
        <f>IF(
  O724&lt;&gt;"DEVOLUCION",
  "",
  IF(
    T724="",
    "",
    SUMIF(DEVOLUCION!F:F, T724, DEVOLUCION!D:D)
  )
)
</f>
        <v>6.38</v>
      </c>
      <c r="M724" s="118" t="s">
        <v>3870</v>
      </c>
      <c r="N724" s="130" t="s">
        <v>5169</v>
      </c>
      <c r="O724" s="118" t="str">
        <f t="array" ref="O724">IFERROR(
VLOOKUP(
TRIM(CLEAN(
INDEX(REPORTE_DROPI!K:K,
MATCH(T724, REPORTE_DROPI!B:B, 0)
))),
{
TRIM(CLEAN(MAPA_ESTADOS!A:A)) ,
MAPA_ESTADOS!B:B
},
2,
FALSE
),
"REVISAR"
)
</f>
        <v>DEVOLUCION</v>
      </c>
      <c r="P724" s="118"/>
      <c r="Q724" s="122">
        <f t="shared" si="2"/>
        <v>0</v>
      </c>
      <c r="R724" s="118"/>
      <c r="S724" s="118"/>
      <c r="T724" s="118">
        <f t="array" ref="T724">IFERROR(
INDEX(REPORTE_DROPI!B:B,
MATCH(
CLEAN(TRIM(C724)),
CLEAN(TRIM(REPORTE_DROPI!E:E)),
0
)
),
""
)
</f>
        <v>4183822</v>
      </c>
      <c r="U724" s="118">
        <v>6.425035112492E12</v>
      </c>
      <c r="V724" s="78"/>
      <c r="W724" s="78"/>
      <c r="X724" s="78"/>
      <c r="Y724" s="78"/>
      <c r="Z724" s="78"/>
    </row>
    <row r="725" ht="22.5" customHeight="1">
      <c r="A725" s="118">
        <v>724.0</v>
      </c>
      <c r="B725" s="119">
        <v>46039.0</v>
      </c>
      <c r="C725" s="118" t="s">
        <v>5170</v>
      </c>
      <c r="D725" s="118" t="str">
        <f>IFERROR(__xludf.DUMMYFUNCTION("IFERROR(
  INDEX(
    FILTER(
      'NOMBRE DE PRODUCTOS'!B:B,
      REGEXMATCH(
        UPPER(
          INDEX(
            REPORTE_DROPI!AC:AC,
            MATCH(T725, REPORTE_DROPI!B:B, 0)
          )
        ),
        UPPER('NOMBRE DE PRODUCTOS'!A:A)"&amp;"
      )
    ),
    1
  ),
  ""REVISAR""
)
"),"FilmPro®")</f>
        <v>FilmPro®</v>
      </c>
      <c r="E725" s="120">
        <f t="array" ref="E725">IF(
UPPER(TRIM(CLEAN($O725)))="ENTREGADO",
IFERROR(
INDEX(REPORTE_DROPI!Y:Y,
MATCH($T725, REPORTE_DROPI!B:B, 0)
),
""
),
""
)
</f>
        <v>2.35</v>
      </c>
      <c r="F725" s="121">
        <v>1.0</v>
      </c>
      <c r="G725" s="122">
        <f t="array" ref="G725">IF(
UPPER(TRIM(CLEAN($O725)))="ENTREGADO",
IFERROR(
INDEX(REPORTE_DROPI!R:R,
MATCH($T725, REPORTE_DROPI!B:B, 0)
),
""
),
""
)
</f>
        <v>20</v>
      </c>
      <c r="H725" s="118" t="s">
        <v>3727</v>
      </c>
      <c r="I725" s="118" t="s">
        <v>3731</v>
      </c>
      <c r="J725" s="121">
        <f t="array" ref="J725">IF(
UPPER(TRIM(CLEAN($O725)))="ENTREGADO",
IFERROR(
INDEX(REPORTE_DROPI!T:T,
MATCH($T725, REPORTE_DROPI!B:B, 0)
),
""
),
""
)
</f>
        <v>4.15</v>
      </c>
      <c r="K725" s="118">
        <f t="array" ref="K725">IFERROR(
INDEX(REPORTE_DROPI!S:S,
MATCH($T725, REPORTE_DROPI!B:B, 0)
),
""
)
</f>
        <v>13.5</v>
      </c>
      <c r="L725" s="118" t="str">
        <f>IF(
  O725&lt;&gt;"DEVOLUCION",
  "",
  IF(
    T725="",
    "",
    SUMIF(DEVOLUCION!F:F, T725, DEVOLUCION!D:D)
  )
)
</f>
        <v/>
      </c>
      <c r="M725" s="118" t="s">
        <v>3870</v>
      </c>
      <c r="N725" s="130" t="s">
        <v>5171</v>
      </c>
      <c r="O725" s="118" t="str">
        <f t="array" ref="O725">IFERROR(
VLOOKUP(
TRIM(CLEAN(
INDEX(REPORTE_DROPI!K:K,
MATCH(T725, REPORTE_DROPI!B:B, 0)
))),
{
TRIM(CLEAN(MAPA_ESTADOS!A:A)) ,
MAPA_ESTADOS!B:B
},
2,
FALSE
),
"REVISAR"
)
</f>
        <v>ENTREGADO</v>
      </c>
      <c r="P725" s="118"/>
      <c r="Q725" s="122">
        <f t="shared" si="2"/>
        <v>0</v>
      </c>
      <c r="R725" s="118"/>
      <c r="S725" s="118"/>
      <c r="T725" s="118">
        <f t="array" ref="T725">IFERROR(
INDEX(REPORTE_DROPI!B:B,
MATCH(
CLEAN(TRIM(C725)),
CLEAN(TRIM(REPORTE_DROPI!E:E)),
0
)
),
""
)
</f>
        <v>4184141</v>
      </c>
      <c r="U725" s="118">
        <v>6.425107300396E12</v>
      </c>
      <c r="V725" s="78"/>
      <c r="W725" s="78"/>
      <c r="X725" s="78"/>
      <c r="Y725" s="78"/>
      <c r="Z725" s="78"/>
    </row>
    <row r="726" ht="22.5" customHeight="1">
      <c r="A726" s="118">
        <v>725.0</v>
      </c>
      <c r="B726" s="119">
        <v>46039.0</v>
      </c>
      <c r="C726" s="126" t="s">
        <v>5172</v>
      </c>
      <c r="D726" s="118" t="str">
        <f>IFERROR(__xludf.DUMMYFUNCTION("IFERROR(
  INDEX(
    FILTER(
      'NOMBRE DE PRODUCTOS'!B:B,
      REGEXMATCH(
        UPPER(
          INDEX(
            REPORTE_DROPI!AC:AC,
            MATCH(T726, REPORTE_DROPI!B:B, 0)
          )
        ),
        UPPER('NOMBRE DE PRODUCTOS'!A:A)"&amp;"
      )
    ),
    1
  ),
  ""REVISAR""
)
"),"FilmPro®")</f>
        <v>FilmPro®</v>
      </c>
      <c r="E726" s="120" t="str">
        <f t="array" ref="E726">IF(
UPPER(TRIM(CLEAN($O726)))="ENTREGADO",
IFERROR(
INDEX(REPORTE_DROPI!Y:Y,
MATCH($T726, REPORTE_DROPI!B:B, 0)
),
""
),
""
)
</f>
        <v/>
      </c>
      <c r="F726" s="121">
        <v>1.0</v>
      </c>
      <c r="G726" s="122" t="str">
        <f t="array" ref="G726">IF(
UPPER(TRIM(CLEAN($O726)))="ENTREGADO",
IFERROR(
INDEX(REPORTE_DROPI!R:R,
MATCH($T726, REPORTE_DROPI!B:B, 0)
),
""
),
""
)
</f>
        <v/>
      </c>
      <c r="H726" s="118" t="s">
        <v>3727</v>
      </c>
      <c r="I726" s="118" t="s">
        <v>3912</v>
      </c>
      <c r="J726" s="121" t="str">
        <f t="array" ref="J726">IF(
UPPER(TRIM(CLEAN($O726)))="ENTREGADO",
IFERROR(
INDEX(REPORTE_DROPI!T:T,
MATCH($T726, REPORTE_DROPI!B:B, 0)
),
""
),
""
)
</f>
        <v/>
      </c>
      <c r="K726" s="118" t="str">
        <f t="array" ref="K726">IFERROR(
INDEX(REPORTE_DROPI!S:S,
MATCH($T726, REPORTE_DROPI!B:B, 0)
),
""
)
</f>
        <v/>
      </c>
      <c r="L726" s="118">
        <f>IF(
  O726&lt;&gt;"DEVOLUCION",
  "",
  IF(
    T726="",
    "",
    SUMIF(DEVOLUCION!F:F, T726, DEVOLUCION!D:D)
  )
)
</f>
        <v>5.06</v>
      </c>
      <c r="M726" s="118" t="s">
        <v>3870</v>
      </c>
      <c r="N726" s="130" t="s">
        <v>5173</v>
      </c>
      <c r="O726" s="118" t="str">
        <f t="array" ref="O726">IFERROR(
VLOOKUP(
TRIM(CLEAN(
INDEX(REPORTE_DROPI!K:K,
MATCH(T726, REPORTE_DROPI!B:B, 0)
))),
{
TRIM(CLEAN(MAPA_ESTADOS!A:A)) ,
MAPA_ESTADOS!B:B
},
2,
FALSE
),
"REVISAR"
)
</f>
        <v>DEVOLUCION</v>
      </c>
      <c r="P726" s="118"/>
      <c r="Q726" s="122">
        <f t="shared" si="2"/>
        <v>0</v>
      </c>
      <c r="R726" s="118"/>
      <c r="S726" s="118"/>
      <c r="T726" s="118">
        <f t="array" ref="T726">IFERROR(
INDEX(REPORTE_DROPI!B:B,
MATCH(
CLEAN(TRIM(C726)),
CLEAN(TRIM(REPORTE_DROPI!E:E)),
0
)
),
""
)
</f>
        <v>4184291</v>
      </c>
      <c r="U726" s="118">
        <v>6.425145212972E12</v>
      </c>
      <c r="V726" s="78"/>
      <c r="W726" s="78"/>
      <c r="X726" s="78"/>
      <c r="Y726" s="78"/>
      <c r="Z726" s="78"/>
    </row>
    <row r="727" ht="22.5" customHeight="1">
      <c r="A727" s="118">
        <v>726.0</v>
      </c>
      <c r="B727" s="119">
        <v>46039.0</v>
      </c>
      <c r="C727" s="118" t="s">
        <v>5174</v>
      </c>
      <c r="D727" s="118" t="str">
        <f>IFERROR(__xludf.DUMMYFUNCTION("IFERROR(
  INDEX(
    FILTER(
      'NOMBRE DE PRODUCTOS'!B:B,
      REGEXMATCH(
        UPPER(
          INDEX(
            REPORTE_DROPI!AC:AC,
            MATCH(T727, REPORTE_DROPI!B:B, 0)
          )
        ),
        UPPER('NOMBRE DE PRODUCTOS'!A:A)"&amp;"
      )
    ),
    1
  ),
  ""REVISAR""
)
"),"FilmPro®")</f>
        <v>FilmPro®</v>
      </c>
      <c r="E727" s="120" t="str">
        <f t="array" ref="E727">IF(
UPPER(TRIM(CLEAN($O727)))="ENTREGADO",
IFERROR(
INDEX(REPORTE_DROPI!Y:Y,
MATCH($T727, REPORTE_DROPI!B:B, 0)
),
""
),
""
)
</f>
        <v/>
      </c>
      <c r="F727" s="121">
        <v>2.0</v>
      </c>
      <c r="G727" s="122" t="str">
        <f t="array" ref="G727">IF(
UPPER(TRIM(CLEAN($O727)))="ENTREGADO",
IFERROR(
INDEX(REPORTE_DROPI!R:R,
MATCH($T727, REPORTE_DROPI!B:B, 0)
),
""
),
""
)
</f>
        <v/>
      </c>
      <c r="H727" s="118" t="s">
        <v>3727</v>
      </c>
      <c r="I727" s="118" t="s">
        <v>3798</v>
      </c>
      <c r="J727" s="121" t="str">
        <f t="array" ref="J727">IF(
UPPER(TRIM(CLEAN($O727)))="ENTREGADO",
IFERROR(
INDEX(REPORTE_DROPI!T:T,
MATCH($T727, REPORTE_DROPI!B:B, 0)
),
""
),
""
)
</f>
        <v/>
      </c>
      <c r="K727" s="118" t="str">
        <f t="array" ref="K727">IFERROR(
INDEX(REPORTE_DROPI!S:S,
MATCH($T727, REPORTE_DROPI!B:B, 0)
),
""
)
</f>
        <v/>
      </c>
      <c r="L727" s="118" t="str">
        <f>IF(
  O727&lt;&gt;"DEVOLUCION",
  "",
  IF(
    T727="",
    "",
    SUMIF(DEVOLUCION!F:F, T727, DEVOLUCION!D:D)
  )
)
</f>
        <v/>
      </c>
      <c r="M727" s="118" t="s">
        <v>3870</v>
      </c>
      <c r="N727" s="130" t="s">
        <v>5175</v>
      </c>
      <c r="O727" s="118" t="str">
        <f t="array" ref="O727">IFERROR(
VLOOKUP(
TRIM(CLEAN(
INDEX(REPORTE_DROPI!K:K,
MATCH(T727, REPORTE_DROPI!B:B, 0)
))),
{
TRIM(CLEAN(MAPA_ESTADOS!A:A)) ,
MAPA_ESTADOS!B:B
},
2,
FALSE
),
"REVISAR"
)
</f>
        <v>CANCELADO</v>
      </c>
      <c r="P727" s="118" t="s">
        <v>3891</v>
      </c>
      <c r="Q727" s="122">
        <f t="shared" si="2"/>
        <v>0</v>
      </c>
      <c r="R727" s="118"/>
      <c r="S727" s="118"/>
      <c r="T727" s="118">
        <f t="array" ref="T727">IFERROR(
INDEX(REPORTE_DROPI!B:B,
MATCH(
CLEAN(TRIM(C727)),
CLEAN(TRIM(REPORTE_DROPI!E:E)),
0
)
),
""
)
</f>
        <v>4184448</v>
      </c>
      <c r="U727" s="118">
        <v>6.425183485996E12</v>
      </c>
      <c r="V727" s="78"/>
      <c r="W727" s="78"/>
      <c r="X727" s="78"/>
      <c r="Y727" s="78"/>
      <c r="Z727" s="78"/>
    </row>
    <row r="728" ht="22.5" customHeight="1">
      <c r="A728" s="118">
        <v>727.0</v>
      </c>
      <c r="B728" s="119">
        <v>46039.0</v>
      </c>
      <c r="C728" s="126" t="s">
        <v>5176</v>
      </c>
      <c r="D728" s="118" t="str">
        <f>IFERROR(__xludf.DUMMYFUNCTION("IFERROR(
  INDEX(
    FILTER(
      'NOMBRE DE PRODUCTOS'!B:B,
      REGEXMATCH(
        UPPER(
          INDEX(
            REPORTE_DROPI!AC:AC,
            MATCH(T728, REPORTE_DROPI!B:B, 0)
          )
        ),
        UPPER('NOMBRE DE PRODUCTOS'!A:A)"&amp;"
      )
    ),
    1
  ),
  ""REVISAR""
)
"),"FilmPro®")</f>
        <v>FilmPro®</v>
      </c>
      <c r="E728" s="120" t="str">
        <f t="array" ref="E728">IF(
UPPER(TRIM(CLEAN($O728)))="ENTREGADO",
IFERROR(
INDEX(REPORTE_DROPI!Y:Y,
MATCH($T728, REPORTE_DROPI!B:B, 0)
),
""
),
""
)
</f>
        <v/>
      </c>
      <c r="F728" s="121">
        <v>3.0</v>
      </c>
      <c r="G728" s="122" t="str">
        <f t="array" ref="G728">IF(
UPPER(TRIM(CLEAN($O728)))="ENTREGADO",
IFERROR(
INDEX(REPORTE_DROPI!R:R,
MATCH($T728, REPORTE_DROPI!B:B, 0)
),
""
),
""
)
</f>
        <v/>
      </c>
      <c r="H728" s="118" t="s">
        <v>3727</v>
      </c>
      <c r="I728" s="118" t="s">
        <v>3728</v>
      </c>
      <c r="J728" s="121" t="str">
        <f t="array" ref="J728">IF(
UPPER(TRIM(CLEAN($O728)))="ENTREGADO",
IFERROR(
INDEX(REPORTE_DROPI!T:T,
MATCH($T728, REPORTE_DROPI!B:B, 0)
),
""
),
""
)
</f>
        <v/>
      </c>
      <c r="K728" s="118" t="str">
        <f t="array" ref="K728">IFERROR(
INDEX(REPORTE_DROPI!S:S,
MATCH($T728, REPORTE_DROPI!B:B, 0)
),
""
)
</f>
        <v/>
      </c>
      <c r="L728" s="118">
        <f>IF(
  O728&lt;&gt;"DEVOLUCION",
  "",
  IF(
    T728="",
    "",
    SUMIF(DEVOLUCION!F:F, T728, DEVOLUCION!D:D)
  )
)
</f>
        <v>5.12</v>
      </c>
      <c r="M728" s="118" t="s">
        <v>3870</v>
      </c>
      <c r="N728" s="130" t="s">
        <v>5177</v>
      </c>
      <c r="O728" s="118" t="str">
        <f t="array" ref="O728">IFERROR(
VLOOKUP(
TRIM(CLEAN(
INDEX(REPORTE_DROPI!K:K,
MATCH(T728, REPORTE_DROPI!B:B, 0)
))),
{
TRIM(CLEAN(MAPA_ESTADOS!A:A)) ,
MAPA_ESTADOS!B:B
},
2,
FALSE
),
"REVISAR"
)
</f>
        <v>DEVOLUCION</v>
      </c>
      <c r="P728" s="118"/>
      <c r="Q728" s="122">
        <f t="shared" si="2"/>
        <v>0</v>
      </c>
      <c r="R728" s="118"/>
      <c r="S728" s="118"/>
      <c r="T728" s="118">
        <f t="array" ref="T728">IFERROR(
INDEX(REPORTE_DROPI!B:B,
MATCH(
CLEAN(TRIM(C728)),
CLEAN(TRIM(REPORTE_DROPI!E:E)),
0
)
),
""
)
</f>
        <v>4184477</v>
      </c>
      <c r="U728" s="118">
        <v>6.425191481388E12</v>
      </c>
      <c r="V728" s="78"/>
      <c r="W728" s="78"/>
      <c r="X728" s="78"/>
      <c r="Y728" s="78"/>
      <c r="Z728" s="78"/>
    </row>
    <row r="729" ht="22.5" customHeight="1">
      <c r="A729" s="118">
        <v>728.0</v>
      </c>
      <c r="B729" s="119">
        <v>46039.0</v>
      </c>
      <c r="C729" s="118" t="s">
        <v>5178</v>
      </c>
      <c r="D729" s="118" t="str">
        <f>IFERROR(__xludf.DUMMYFUNCTION("IFERROR(
  INDEX(
    FILTER(
      'NOMBRE DE PRODUCTOS'!B:B,
      REGEXMATCH(
        UPPER(
          INDEX(
            REPORTE_DROPI!AC:AC,
            MATCH(T729, REPORTE_DROPI!B:B, 0)
          )
        ),
        UPPER('NOMBRE DE PRODUCTOS'!A:A)"&amp;"
      )
    ),
    1
  ),
  ""REVISAR""
)
"),"FilmPro®")</f>
        <v>FilmPro®</v>
      </c>
      <c r="E729" s="120" t="str">
        <f t="array" ref="E729">IF(
UPPER(TRIM(CLEAN($O729)))="ENTREGADO",
IFERROR(
INDEX(REPORTE_DROPI!Y:Y,
MATCH($T729, REPORTE_DROPI!B:B, 0)
),
""
),
""
)
</f>
        <v/>
      </c>
      <c r="F729" s="121">
        <v>1.0</v>
      </c>
      <c r="G729" s="122" t="str">
        <f t="array" ref="G729">IF(
UPPER(TRIM(CLEAN($O729)))="ENTREGADO",
IFERROR(
INDEX(REPORTE_DROPI!R:R,
MATCH($T729, REPORTE_DROPI!B:B, 0)
),
""
),
""
)
</f>
        <v/>
      </c>
      <c r="H729" s="118" t="s">
        <v>3727</v>
      </c>
      <c r="I729" s="118" t="s">
        <v>3772</v>
      </c>
      <c r="J729" s="121" t="str">
        <f t="array" ref="J729">IF(
UPPER(TRIM(CLEAN($O729)))="ENTREGADO",
IFERROR(
INDEX(REPORTE_DROPI!T:T,
MATCH($T729, REPORTE_DROPI!B:B, 0)
),
""
),
""
)
</f>
        <v/>
      </c>
      <c r="K729" s="118" t="str">
        <f t="array" ref="K729">IFERROR(
INDEX(REPORTE_DROPI!S:S,
MATCH($T729, REPORTE_DROPI!B:B, 0)
),
""
)
</f>
        <v/>
      </c>
      <c r="L729" s="118">
        <f>IF(
  O729&lt;&gt;"DEVOLUCION",
  "",
  IF(
    T729="",
    "",
    SUMIF(DEVOLUCION!F:F, T729, DEVOLUCION!D:D)
  )
)
</f>
        <v>6.24</v>
      </c>
      <c r="M729" s="118" t="s">
        <v>3870</v>
      </c>
      <c r="N729" s="130" t="s">
        <v>5179</v>
      </c>
      <c r="O729" s="118" t="str">
        <f t="array" ref="O729">IFERROR(
VLOOKUP(
TRIM(CLEAN(
INDEX(REPORTE_DROPI!K:K,
MATCH(T729, REPORTE_DROPI!B:B, 0)
))),
{
TRIM(CLEAN(MAPA_ESTADOS!A:A)) ,
MAPA_ESTADOS!B:B
},
2,
FALSE
),
"REVISAR"
)
</f>
        <v>DEVOLUCION</v>
      </c>
      <c r="P729" s="118"/>
      <c r="Q729" s="122">
        <f t="shared" si="2"/>
        <v>0</v>
      </c>
      <c r="R729" s="118"/>
      <c r="S729" s="118"/>
      <c r="T729" s="118">
        <f t="array" ref="T729">IFERROR(
INDEX(REPORTE_DROPI!B:B,
MATCH(
CLEAN(TRIM(C729)),
CLEAN(TRIM(REPORTE_DROPI!E:E)),
0
)
),
""
)
</f>
        <v>4184660</v>
      </c>
      <c r="U729" s="118">
        <v>6.425237618732E12</v>
      </c>
      <c r="V729" s="78"/>
      <c r="W729" s="78"/>
      <c r="X729" s="78"/>
      <c r="Y729" s="78"/>
      <c r="Z729" s="78"/>
    </row>
    <row r="730" ht="22.5" customHeight="1">
      <c r="A730" s="118">
        <v>729.0</v>
      </c>
      <c r="B730" s="119">
        <v>46039.0</v>
      </c>
      <c r="C730" s="118" t="s">
        <v>5180</v>
      </c>
      <c r="D730" s="118" t="str">
        <f>IFERROR(__xludf.DUMMYFUNCTION("IFERROR(
  INDEX(
    FILTER(
      'NOMBRE DE PRODUCTOS'!B:B,
      REGEXMATCH(
        UPPER(
          INDEX(
            REPORTE_DROPI!AC:AC,
            MATCH(T730, REPORTE_DROPI!B:B, 0)
          )
        ),
        UPPER('NOMBRE DE PRODUCTOS'!A:A)"&amp;"
      )
    ),
    1
  ),
  ""REVISAR""
)
"),"FilmPro®")</f>
        <v>FilmPro®</v>
      </c>
      <c r="E730" s="120" t="str">
        <f t="array" ref="E730">IF(
UPPER(TRIM(CLEAN($O730)))="ENTREGADO",
IFERROR(
INDEX(REPORTE_DROPI!Y:Y,
MATCH($T730, REPORTE_DROPI!B:B, 0)
),
""
),
""
)
</f>
        <v/>
      </c>
      <c r="F730" s="121">
        <v>1.0</v>
      </c>
      <c r="G730" s="122" t="str">
        <f t="array" ref="G730">IF(
UPPER(TRIM(CLEAN($O730)))="ENTREGADO",
IFERROR(
INDEX(REPORTE_DROPI!R:R,
MATCH($T730, REPORTE_DROPI!B:B, 0)
),
""
),
""
)
</f>
        <v/>
      </c>
      <c r="H730" s="118" t="s">
        <v>3727</v>
      </c>
      <c r="I730" s="118" t="s">
        <v>3731</v>
      </c>
      <c r="J730" s="121" t="str">
        <f t="array" ref="J730">IF(
UPPER(TRIM(CLEAN($O730)))="ENTREGADO",
IFERROR(
INDEX(REPORTE_DROPI!T:T,
MATCH($T730, REPORTE_DROPI!B:B, 0)
),
""
),
""
)
</f>
        <v/>
      </c>
      <c r="K730" s="118" t="str">
        <f t="array" ref="K730">IFERROR(
INDEX(REPORTE_DROPI!S:S,
MATCH($T730, REPORTE_DROPI!B:B, 0)
),
""
)
</f>
        <v/>
      </c>
      <c r="L730" s="118" t="str">
        <f>IF(
  O730&lt;&gt;"DEVOLUCION",
  "",
  IF(
    T730="",
    "",
    SUMIF(DEVOLUCION!F:F, T730, DEVOLUCION!D:D)
  )
)
</f>
        <v/>
      </c>
      <c r="M730" s="118" t="s">
        <v>3870</v>
      </c>
      <c r="N730" s="130" t="s">
        <v>5181</v>
      </c>
      <c r="O730" s="118" t="str">
        <f t="array" ref="O730">IFERROR(
VLOOKUP(
TRIM(CLEAN(
INDEX(REPORTE_DROPI!K:K,
MATCH(T730, REPORTE_DROPI!B:B, 0)
))),
{
TRIM(CLEAN(MAPA_ESTADOS!A:A)) ,
MAPA_ESTADOS!B:B
},
2,
FALSE
),
"REVISAR"
)
</f>
        <v>PENDIENTE</v>
      </c>
      <c r="P730" s="118" t="s">
        <v>3891</v>
      </c>
      <c r="Q730" s="122">
        <f t="shared" si="2"/>
        <v>0</v>
      </c>
      <c r="R730" s="118"/>
      <c r="S730" s="118"/>
      <c r="T730" s="118">
        <f t="array" ref="T730">IFERROR(
INDEX(REPORTE_DROPI!B:B,
MATCH(
CLEAN(TRIM(C730)),
CLEAN(TRIM(REPORTE_DROPI!E:E)),
0
)
),
""
)
</f>
        <v>4652632</v>
      </c>
      <c r="U730" s="118">
        <v>6.425268584492E12</v>
      </c>
      <c r="V730" s="78"/>
      <c r="W730" s="78"/>
      <c r="X730" s="78"/>
      <c r="Y730" s="78"/>
      <c r="Z730" s="78"/>
    </row>
    <row r="731" ht="22.5" customHeight="1">
      <c r="A731" s="118">
        <v>730.0</v>
      </c>
      <c r="B731" s="119">
        <v>46039.0</v>
      </c>
      <c r="C731" s="118" t="s">
        <v>5182</v>
      </c>
      <c r="D731" s="118" t="str">
        <f>IFERROR(__xludf.DUMMYFUNCTION("IFERROR(
  INDEX(
    FILTER(
      'NOMBRE DE PRODUCTOS'!B:B,
      REGEXMATCH(
        UPPER(
          INDEX(
            REPORTE_DROPI!AC:AC,
            MATCH(T731, REPORTE_DROPI!B:B, 0)
          )
        ),
        UPPER('NOMBRE DE PRODUCTOS'!A:A)"&amp;"
      )
    ),
    1
  ),
  ""REVISAR""
)
"),"FilmPro®")</f>
        <v>FilmPro®</v>
      </c>
      <c r="E731" s="120">
        <f t="array" ref="E731">IF(
UPPER(TRIM(CLEAN($O731)))="ENTREGADO",
IFERROR(
INDEX(REPORTE_DROPI!Y:Y,
MATCH($T731, REPORTE_DROPI!B:B, 0)
),
""
),
""
)
</f>
        <v>7.05</v>
      </c>
      <c r="F731" s="121">
        <v>3.0</v>
      </c>
      <c r="G731" s="122">
        <f t="array" ref="G731">IF(
UPPER(TRIM(CLEAN($O731)))="ENTREGADO",
IFERROR(
INDEX(REPORTE_DROPI!R:R,
MATCH($T731, REPORTE_DROPI!B:B, 0)
),
""
),
""
)
</f>
        <v>30</v>
      </c>
      <c r="H731" s="118" t="s">
        <v>3727</v>
      </c>
      <c r="I731" s="118" t="s">
        <v>3731</v>
      </c>
      <c r="J731" s="121">
        <f t="array" ref="J731">IF(
UPPER(TRIM(CLEAN($O731)))="ENTREGADO",
IFERROR(
INDEX(REPORTE_DROPI!T:T,
MATCH($T731, REPORTE_DROPI!B:B, 0)
),
""
),
""
)
</f>
        <v>5.12</v>
      </c>
      <c r="K731" s="118">
        <f t="array" ref="K731">IFERROR(
INDEX(REPORTE_DROPI!S:S,
MATCH($T731, REPORTE_DROPI!B:B, 0)
),
""
)
</f>
        <v>17.83</v>
      </c>
      <c r="L731" s="118" t="str">
        <f>IF(
  O731&lt;&gt;"DEVOLUCION",
  "",
  IF(
    T731="",
    "",
    SUMIF(DEVOLUCION!F:F, T731, DEVOLUCION!D:D)
  )
)
</f>
        <v/>
      </c>
      <c r="M731" s="118" t="s">
        <v>3870</v>
      </c>
      <c r="N731" s="130" t="s">
        <v>5183</v>
      </c>
      <c r="O731" s="118" t="str">
        <f t="array" ref="O731">IFERROR(
VLOOKUP(
TRIM(CLEAN(
INDEX(REPORTE_DROPI!K:K,
MATCH(T731, REPORTE_DROPI!B:B, 0)
))),
{
TRIM(CLEAN(MAPA_ESTADOS!A:A)) ,
MAPA_ESTADOS!B:B
},
2,
FALSE
),
"REVISAR"
)
</f>
        <v>ENTREGADO</v>
      </c>
      <c r="P731" s="118"/>
      <c r="Q731" s="122">
        <f t="shared" si="2"/>
        <v>0</v>
      </c>
      <c r="R731" s="118"/>
      <c r="S731" s="118"/>
      <c r="T731" s="118">
        <f t="array" ref="T731">IFERROR(
INDEX(REPORTE_DROPI!B:B,
MATCH(
CLEAN(TRIM(C731)),
CLEAN(TRIM(REPORTE_DROPI!E:E)),
0
)
),
""
)
</f>
        <v>4184898</v>
      </c>
      <c r="U731" s="118">
        <v>6.425300434988E12</v>
      </c>
      <c r="V731" s="78"/>
      <c r="W731" s="78"/>
      <c r="X731" s="78"/>
      <c r="Y731" s="78"/>
      <c r="Z731" s="78"/>
    </row>
    <row r="732" ht="22.5" customHeight="1">
      <c r="A732" s="118">
        <v>731.0</v>
      </c>
      <c r="B732" s="119">
        <v>46039.0</v>
      </c>
      <c r="C732" s="126" t="s">
        <v>5184</v>
      </c>
      <c r="D732" s="118" t="str">
        <f>IFERROR(__xludf.DUMMYFUNCTION("IFERROR(
  INDEX(
    FILTER(
      'NOMBRE DE PRODUCTOS'!B:B,
      REGEXMATCH(
        UPPER(
          INDEX(
            REPORTE_DROPI!AC:AC,
            MATCH(T732, REPORTE_DROPI!B:B, 0)
          )
        ),
        UPPER('NOMBRE DE PRODUCTOS'!A:A)"&amp;"
      )
    ),
    1
  ),
  ""REVISAR""
)
"),"FilmPro®")</f>
        <v>FilmPro®</v>
      </c>
      <c r="E732" s="120" t="str">
        <f t="array" ref="E732">IF(
UPPER(TRIM(CLEAN($O732)))="ENTREGADO",
IFERROR(
INDEX(REPORTE_DROPI!Y:Y,
MATCH($T732, REPORTE_DROPI!B:B, 0)
),
""
),
""
)
</f>
        <v/>
      </c>
      <c r="F732" s="121">
        <v>2.0</v>
      </c>
      <c r="G732" s="122" t="str">
        <f t="array" ref="G732">IF(
UPPER(TRIM(CLEAN($O732)))="ENTREGADO",
IFERROR(
INDEX(REPORTE_DROPI!R:R,
MATCH($T732, REPORTE_DROPI!B:B, 0)
),
""
),
""
)
</f>
        <v/>
      </c>
      <c r="H732" s="118" t="s">
        <v>3727</v>
      </c>
      <c r="I732" s="118" t="s">
        <v>3731</v>
      </c>
      <c r="J732" s="121" t="str">
        <f t="array" ref="J732">IF(
UPPER(TRIM(CLEAN($O732)))="ENTREGADO",
IFERROR(
INDEX(REPORTE_DROPI!T:T,
MATCH($T732, REPORTE_DROPI!B:B, 0)
),
""
),
""
)
</f>
        <v/>
      </c>
      <c r="K732" s="118" t="str">
        <f t="array" ref="K732">IFERROR(
INDEX(REPORTE_DROPI!S:S,
MATCH($T732, REPORTE_DROPI!B:B, 0)
),
""
)
</f>
        <v/>
      </c>
      <c r="L732" s="118" t="str">
        <f>IF(
  O732&lt;&gt;"DEVOLUCION",
  "",
  IF(
    T732="",
    "",
    SUMIF(DEVOLUCION!F:F, T732, DEVOLUCION!D:D)
  )
)
</f>
        <v/>
      </c>
      <c r="M732" s="118" t="s">
        <v>3870</v>
      </c>
      <c r="N732" s="130" t="s">
        <v>5185</v>
      </c>
      <c r="O732" s="118" t="str">
        <f t="array" ref="O732">IFERROR(
VLOOKUP(
TRIM(CLEAN(
INDEX(REPORTE_DROPI!K:K,
MATCH(T732, REPORTE_DROPI!B:B, 0)
))),
{
TRIM(CLEAN(MAPA_ESTADOS!A:A)) ,
MAPA_ESTADOS!B:B
},
2,
FALSE
),
"REVISAR"
)
</f>
        <v>PENDIENTE</v>
      </c>
      <c r="P732" s="118"/>
      <c r="Q732" s="122">
        <f t="shared" si="2"/>
        <v>0</v>
      </c>
      <c r="R732" s="118"/>
      <c r="S732" s="118"/>
      <c r="T732" s="118">
        <f t="array" ref="T732">IFERROR(
INDEX(REPORTE_DROPI!B:B,
MATCH(
CLEAN(TRIM(C732)),
CLEAN(TRIM(REPORTE_DROPI!E:E)),
0
)
),
""
)
</f>
        <v>4184954</v>
      </c>
      <c r="U732" s="118">
        <v>6.425315409964E12</v>
      </c>
      <c r="V732" s="78"/>
      <c r="W732" s="78"/>
      <c r="X732" s="78"/>
      <c r="Y732" s="78"/>
      <c r="Z732" s="78"/>
    </row>
    <row r="733" ht="22.5" customHeight="1">
      <c r="A733" s="118">
        <v>732.0</v>
      </c>
      <c r="B733" s="119">
        <v>46039.0</v>
      </c>
      <c r="C733" s="118" t="s">
        <v>5186</v>
      </c>
      <c r="D733" s="118" t="str">
        <f>IFERROR(__xludf.DUMMYFUNCTION("IFERROR(
  INDEX(
    FILTER(
      'NOMBRE DE PRODUCTOS'!B:B,
      REGEXMATCH(
        UPPER(
          INDEX(
            REPORTE_DROPI!AC:AC,
            MATCH(T733, REPORTE_DROPI!B:B, 0)
          )
        ),
        UPPER('NOMBRE DE PRODUCTOS'!A:A)"&amp;"
      )
    ),
    1
  ),
  ""REVISAR""
)
"),"FilmPro®")</f>
        <v>FilmPro®</v>
      </c>
      <c r="E733" s="120" t="str">
        <f t="array" ref="E733">IF(
UPPER(TRIM(CLEAN($O733)))="ENTREGADO",
IFERROR(
INDEX(REPORTE_DROPI!Y:Y,
MATCH($T733, REPORTE_DROPI!B:B, 0)
),
""
),
""
)
</f>
        <v/>
      </c>
      <c r="F733" s="121">
        <v>3.0</v>
      </c>
      <c r="G733" s="122" t="str">
        <f t="array" ref="G733">IF(
UPPER(TRIM(CLEAN($O733)))="ENTREGADO",
IFERROR(
INDEX(REPORTE_DROPI!R:R,
MATCH($T733, REPORTE_DROPI!B:B, 0)
),
""
),
""
)
</f>
        <v/>
      </c>
      <c r="H733" s="118" t="s">
        <v>3727</v>
      </c>
      <c r="I733" s="118" t="s">
        <v>3731</v>
      </c>
      <c r="J733" s="121" t="str">
        <f t="array" ref="J733">IF(
UPPER(TRIM(CLEAN($O733)))="ENTREGADO",
IFERROR(
INDEX(REPORTE_DROPI!T:T,
MATCH($T733, REPORTE_DROPI!B:B, 0)
),
""
),
""
)
</f>
        <v/>
      </c>
      <c r="K733" s="118" t="str">
        <f t="array" ref="K733">IFERROR(
INDEX(REPORTE_DROPI!S:S,
MATCH($T733, REPORTE_DROPI!B:B, 0)
),
""
)
</f>
        <v/>
      </c>
      <c r="L733" s="118" t="str">
        <f>IF(
  O733&lt;&gt;"DEVOLUCION",
  "",
  IF(
    T733="",
    "",
    SUMIF(DEVOLUCION!F:F, T733, DEVOLUCION!D:D)
  )
)
</f>
        <v/>
      </c>
      <c r="M733" s="118" t="s">
        <v>3870</v>
      </c>
      <c r="N733" s="130" t="s">
        <v>5187</v>
      </c>
      <c r="O733" s="118" t="str">
        <f t="array" ref="O733">IFERROR(
VLOOKUP(
TRIM(CLEAN(
INDEX(REPORTE_DROPI!K:K,
MATCH(T733, REPORTE_DROPI!B:B, 0)
))),
{
TRIM(CLEAN(MAPA_ESTADOS!A:A)) ,
MAPA_ESTADOS!B:B
},
2,
FALSE
),
"REVISAR"
)
</f>
        <v>CANCELADO</v>
      </c>
      <c r="P733" s="118" t="s">
        <v>5188</v>
      </c>
      <c r="Q733" s="122">
        <f t="shared" si="2"/>
        <v>0</v>
      </c>
      <c r="R733" s="118"/>
      <c r="S733" s="118"/>
      <c r="T733" s="118">
        <f t="array" ref="T733">IFERROR(
INDEX(REPORTE_DROPI!B:B,
MATCH(
CLEAN(TRIM(C733)),
CLEAN(TRIM(REPORTE_DROPI!E:E)),
0
)
),
""
)
</f>
        <v>4184994</v>
      </c>
      <c r="U733" s="118">
        <v>6.42532514206E12</v>
      </c>
      <c r="V733" s="78"/>
      <c r="W733" s="78"/>
      <c r="X733" s="78"/>
      <c r="Y733" s="78"/>
      <c r="Z733" s="78"/>
    </row>
    <row r="734" ht="22.5" customHeight="1">
      <c r="A734" s="118">
        <v>733.0</v>
      </c>
      <c r="B734" s="119">
        <v>46039.0</v>
      </c>
      <c r="C734" s="118" t="s">
        <v>5189</v>
      </c>
      <c r="D734" s="118" t="str">
        <f>IFERROR(__xludf.DUMMYFUNCTION("IFERROR(
  INDEX(
    FILTER(
      'NOMBRE DE PRODUCTOS'!B:B,
      REGEXMATCH(
        UPPER(
          INDEX(
            REPORTE_DROPI!AC:AC,
            MATCH(T734, REPORTE_DROPI!B:B, 0)
          )
        ),
        UPPER('NOMBRE DE PRODUCTOS'!A:A)"&amp;"
      )
    ),
    1
  ),
  ""REVISAR""
)
"),"FilmPro®")</f>
        <v>FilmPro®</v>
      </c>
      <c r="E734" s="120" t="str">
        <f t="array" ref="E734">IF(
UPPER(TRIM(CLEAN($O734)))="ENTREGADO",
IFERROR(
INDEX(REPORTE_DROPI!Y:Y,
MATCH($T734, REPORTE_DROPI!B:B, 0)
),
""
),
""
)
</f>
        <v/>
      </c>
      <c r="F734" s="121">
        <v>1.0</v>
      </c>
      <c r="G734" s="122" t="str">
        <f t="array" ref="G734">IF(
UPPER(TRIM(CLEAN($O734)))="ENTREGADO",
IFERROR(
INDEX(REPORTE_DROPI!R:R,
MATCH($T734, REPORTE_DROPI!B:B, 0)
),
""
),
""
)
</f>
        <v/>
      </c>
      <c r="H734" s="118" t="s">
        <v>3727</v>
      </c>
      <c r="I734" s="118" t="s">
        <v>3740</v>
      </c>
      <c r="J734" s="121" t="str">
        <f t="array" ref="J734">IF(
UPPER(TRIM(CLEAN($O734)))="ENTREGADO",
IFERROR(
INDEX(REPORTE_DROPI!T:T,
MATCH($T734, REPORTE_DROPI!B:B, 0)
),
""
),
""
)
</f>
        <v/>
      </c>
      <c r="K734" s="118" t="str">
        <f t="array" ref="K734">IFERROR(
INDEX(REPORTE_DROPI!S:S,
MATCH($T734, REPORTE_DROPI!B:B, 0)
),
""
)
</f>
        <v/>
      </c>
      <c r="L734" s="118" t="str">
        <f>IF(
  O734&lt;&gt;"DEVOLUCION",
  "",
  IF(
    T734="",
    "",
    SUMIF(DEVOLUCION!F:F, T734, DEVOLUCION!D:D)
  )
)
</f>
        <v/>
      </c>
      <c r="M734" s="118" t="s">
        <v>3870</v>
      </c>
      <c r="N734" s="130" t="s">
        <v>5190</v>
      </c>
      <c r="O734" s="118" t="str">
        <f t="array" ref="O734">IFERROR(
VLOOKUP(
TRIM(CLEAN(
INDEX(REPORTE_DROPI!K:K,
MATCH(T734, REPORTE_DROPI!B:B, 0)
))),
{
TRIM(CLEAN(MAPA_ESTADOS!A:A)) ,
MAPA_ESTADOS!B:B
},
2,
FALSE
),
"REVISAR"
)
</f>
        <v>CANCELADO</v>
      </c>
      <c r="P734" s="118" t="s">
        <v>5191</v>
      </c>
      <c r="Q734" s="122">
        <f t="shared" si="2"/>
        <v>0</v>
      </c>
      <c r="R734" s="118"/>
      <c r="S734" s="118"/>
      <c r="T734" s="118">
        <f t="array" ref="T734">IFERROR(
INDEX(REPORTE_DROPI!B:B,
MATCH(
CLEAN(TRIM(C734)),
CLEAN(TRIM(REPORTE_DROPI!E:E)),
0
)
),
""
)
</f>
        <v>4185126</v>
      </c>
      <c r="U734" s="118">
        <v>6.4253580739E12</v>
      </c>
      <c r="V734" s="78"/>
      <c r="W734" s="78"/>
      <c r="X734" s="78"/>
      <c r="Y734" s="78"/>
      <c r="Z734" s="78"/>
    </row>
    <row r="735" ht="22.5" customHeight="1">
      <c r="A735" s="118">
        <v>734.0</v>
      </c>
      <c r="B735" s="119">
        <v>46039.0</v>
      </c>
      <c r="C735" s="118" t="s">
        <v>5192</v>
      </c>
      <c r="D735" s="118" t="str">
        <f>IFERROR(__xludf.DUMMYFUNCTION("IFERROR(
  INDEX(
    FILTER(
      'NOMBRE DE PRODUCTOS'!B:B,
      REGEXMATCH(
        UPPER(
          INDEX(
            REPORTE_DROPI!AC:AC,
            MATCH(T735, REPORTE_DROPI!B:B, 0)
          )
        ),
        UPPER('NOMBRE DE PRODUCTOS'!A:A)"&amp;"
      )
    ),
    1
  ),
  ""REVISAR""
)
"),"FilmPro®")</f>
        <v>FilmPro®</v>
      </c>
      <c r="E735" s="120">
        <f t="array" ref="E735">IF(
UPPER(TRIM(CLEAN($O735)))="ENTREGADO",
IFERROR(
INDEX(REPORTE_DROPI!Y:Y,
MATCH($T735, REPORTE_DROPI!B:B, 0)
),
""
),
""
)
</f>
        <v>4.7</v>
      </c>
      <c r="F735" s="121">
        <v>2.0</v>
      </c>
      <c r="G735" s="122">
        <f t="array" ref="G735">IF(
UPPER(TRIM(CLEAN($O735)))="ENTREGADO",
IFERROR(
INDEX(REPORTE_DROPI!R:R,
MATCH($T735, REPORTE_DROPI!B:B, 0)
),
""
),
""
)
</f>
        <v>25</v>
      </c>
      <c r="H735" s="118" t="s">
        <v>3727</v>
      </c>
      <c r="I735" s="118" t="s">
        <v>3801</v>
      </c>
      <c r="J735" s="121">
        <f t="array" ref="J735">IF(
UPPER(TRIM(CLEAN($O735)))="ENTREGADO",
IFERROR(
INDEX(REPORTE_DROPI!T:T,
MATCH($T735, REPORTE_DROPI!B:B, 0)
),
""
),
""
)
</f>
        <v>5.96</v>
      </c>
      <c r="K735" s="118">
        <f t="array" ref="K735">IFERROR(
INDEX(REPORTE_DROPI!S:S,
MATCH($T735, REPORTE_DROPI!B:B, 0)
),
""
)
</f>
        <v>14.34</v>
      </c>
      <c r="L735" s="118" t="str">
        <f>IF(
  O735&lt;&gt;"DEVOLUCION",
  "",
  IF(
    T735="",
    "",
    SUMIF(DEVOLUCION!F:F, T735, DEVOLUCION!D:D)
  )
)
</f>
        <v/>
      </c>
      <c r="M735" s="118" t="s">
        <v>3870</v>
      </c>
      <c r="N735" s="130" t="s">
        <v>5193</v>
      </c>
      <c r="O735" s="118" t="str">
        <f t="array" ref="O735">IFERROR(
VLOOKUP(
TRIM(CLEAN(
INDEX(REPORTE_DROPI!K:K,
MATCH(T735, REPORTE_DROPI!B:B, 0)
))),
{
TRIM(CLEAN(MAPA_ESTADOS!A:A)) ,
MAPA_ESTADOS!B:B
},
2,
FALSE
),
"REVISAR"
)
</f>
        <v>ENTREGADO</v>
      </c>
      <c r="P735" s="118"/>
      <c r="Q735" s="122">
        <f t="shared" si="2"/>
        <v>0</v>
      </c>
      <c r="R735" s="118"/>
      <c r="S735" s="118"/>
      <c r="T735" s="118">
        <f t="array" ref="T735">IFERROR(
INDEX(REPORTE_DROPI!B:B,
MATCH(
CLEAN(TRIM(C735)),
CLEAN(TRIM(REPORTE_DROPI!E:E)),
0
)
),
""
)
</f>
        <v>4185201</v>
      </c>
      <c r="U735" s="118">
        <v>6.42537249182E12</v>
      </c>
      <c r="V735" s="78"/>
      <c r="W735" s="78"/>
      <c r="X735" s="78"/>
      <c r="Y735" s="78"/>
      <c r="Z735" s="78"/>
    </row>
    <row r="736" ht="22.5" customHeight="1">
      <c r="A736" s="118">
        <v>735.0</v>
      </c>
      <c r="B736" s="119">
        <v>46039.0</v>
      </c>
      <c r="C736" s="126" t="s">
        <v>5194</v>
      </c>
      <c r="D736" s="118" t="str">
        <f>IFERROR(__xludf.DUMMYFUNCTION("IFERROR(
  INDEX(
    FILTER(
      'NOMBRE DE PRODUCTOS'!B:B,
      REGEXMATCH(
        UPPER(
          INDEX(
            REPORTE_DROPI!AC:AC,
            MATCH(T736, REPORTE_DROPI!B:B, 0)
          )
        ),
        UPPER('NOMBRE DE PRODUCTOS'!A:A)"&amp;"
      )
    ),
    1
  ),
  ""REVISAR""
)
"),"FilmPro®")</f>
        <v>FilmPro®</v>
      </c>
      <c r="E736" s="120" t="str">
        <f t="array" ref="E736">IF(
UPPER(TRIM(CLEAN($O736)))="ENTREGADO",
IFERROR(
INDEX(REPORTE_DROPI!Y:Y,
MATCH($T736, REPORTE_DROPI!B:B, 0)
),
""
),
""
)
</f>
        <v/>
      </c>
      <c r="F736" s="121">
        <v>2.0</v>
      </c>
      <c r="G736" s="122" t="str">
        <f t="array" ref="G736">IF(
UPPER(TRIM(CLEAN($O736)))="ENTREGADO",
IFERROR(
INDEX(REPORTE_DROPI!R:R,
MATCH($T736, REPORTE_DROPI!B:B, 0)
),
""
),
""
)
</f>
        <v/>
      </c>
      <c r="H736" s="118" t="s">
        <v>3727</v>
      </c>
      <c r="I736" s="118" t="s">
        <v>3731</v>
      </c>
      <c r="J736" s="121" t="str">
        <f t="array" ref="J736">IF(
UPPER(TRIM(CLEAN($O736)))="ENTREGADO",
IFERROR(
INDEX(REPORTE_DROPI!T:T,
MATCH($T736, REPORTE_DROPI!B:B, 0)
),
""
),
""
)
</f>
        <v/>
      </c>
      <c r="K736" s="118" t="str">
        <f t="array" ref="K736">IFERROR(
INDEX(REPORTE_DROPI!S:S,
MATCH($T736, REPORTE_DROPI!B:B, 0)
),
""
)
</f>
        <v/>
      </c>
      <c r="L736" s="118">
        <f>IF(
  O736&lt;&gt;"DEVOLUCION",
  "",
  IF(
    T736="",
    "",
    SUMIF(DEVOLUCION!F:F, T736, DEVOLUCION!D:D)
  )
)
</f>
        <v>3.48</v>
      </c>
      <c r="M736" s="118" t="s">
        <v>3870</v>
      </c>
      <c r="N736" s="130" t="s">
        <v>5195</v>
      </c>
      <c r="O736" s="118" t="str">
        <f t="array" ref="O736">IFERROR(
VLOOKUP(
TRIM(CLEAN(
INDEX(REPORTE_DROPI!K:K,
MATCH(T736, REPORTE_DROPI!B:B, 0)
))),
{
TRIM(CLEAN(MAPA_ESTADOS!A:A)) ,
MAPA_ESTADOS!B:B
},
2,
FALSE
),
"REVISAR"
)
</f>
        <v>DEVOLUCION</v>
      </c>
      <c r="P736" s="118"/>
      <c r="Q736" s="122">
        <f t="shared" si="2"/>
        <v>0</v>
      </c>
      <c r="R736" s="118"/>
      <c r="S736" s="118"/>
      <c r="T736" s="118">
        <f t="array" ref="T736">IFERROR(
INDEX(REPORTE_DROPI!B:B,
MATCH(
CLEAN(TRIM(C736)),
CLEAN(TRIM(REPORTE_DROPI!E:E)),
0
)
),
""
)
</f>
        <v>4185404</v>
      </c>
      <c r="U736" s="118">
        <v>6.42541935006E12</v>
      </c>
      <c r="V736" s="78"/>
      <c r="W736" s="78"/>
      <c r="X736" s="78"/>
      <c r="Y736" s="78"/>
      <c r="Z736" s="78"/>
    </row>
    <row r="737" ht="22.5" customHeight="1">
      <c r="A737" s="118">
        <v>736.0</v>
      </c>
      <c r="B737" s="119">
        <v>46039.0</v>
      </c>
      <c r="C737" s="126" t="s">
        <v>5196</v>
      </c>
      <c r="D737" s="118" t="str">
        <f>IFERROR(__xludf.DUMMYFUNCTION("IFERROR(
  INDEX(
    FILTER(
      'NOMBRE DE PRODUCTOS'!B:B,
      REGEXMATCH(
        UPPER(
          INDEX(
            REPORTE_DROPI!AC:AC,
            MATCH(T737, REPORTE_DROPI!B:B, 0)
          )
        ),
        UPPER('NOMBRE DE PRODUCTOS'!A:A)"&amp;"
      )
    ),
    1
  ),
  ""REVISAR""
)
"),"FilmPro®")</f>
        <v>FilmPro®</v>
      </c>
      <c r="E737" s="120" t="str">
        <f t="array" ref="E737">IF(
UPPER(TRIM(CLEAN($O737)))="ENTREGADO",
IFERROR(
INDEX(REPORTE_DROPI!Y:Y,
MATCH($T737, REPORTE_DROPI!B:B, 0)
),
""
),
""
)
</f>
        <v/>
      </c>
      <c r="F737" s="121">
        <v>3.0</v>
      </c>
      <c r="G737" s="122" t="str">
        <f t="array" ref="G737">IF(
UPPER(TRIM(CLEAN($O737)))="ENTREGADO",
IFERROR(
INDEX(REPORTE_DROPI!R:R,
MATCH($T737, REPORTE_DROPI!B:B, 0)
),
""
),
""
)
</f>
        <v/>
      </c>
      <c r="H737" s="118" t="s">
        <v>3727</v>
      </c>
      <c r="I737" s="118" t="s">
        <v>3731</v>
      </c>
      <c r="J737" s="121" t="str">
        <f t="array" ref="J737">IF(
UPPER(TRIM(CLEAN($O737)))="ENTREGADO",
IFERROR(
INDEX(REPORTE_DROPI!T:T,
MATCH($T737, REPORTE_DROPI!B:B, 0)
),
""
),
""
)
</f>
        <v/>
      </c>
      <c r="K737" s="118" t="str">
        <f t="array" ref="K737">IFERROR(
INDEX(REPORTE_DROPI!S:S,
MATCH($T737, REPORTE_DROPI!B:B, 0)
),
""
)
</f>
        <v/>
      </c>
      <c r="L737" s="118">
        <f>IF(
  O737&lt;&gt;"DEVOLUCION",
  "",
  IF(
    T737="",
    "",
    SUMIF(DEVOLUCION!F:F, T737, DEVOLUCION!D:D)
  )
)
</f>
        <v>3.51</v>
      </c>
      <c r="M737" s="118" t="s">
        <v>3870</v>
      </c>
      <c r="N737" s="130" t="s">
        <v>5197</v>
      </c>
      <c r="O737" s="118" t="str">
        <f t="array" ref="O737">IFERROR(
VLOOKUP(
TRIM(CLEAN(
INDEX(REPORTE_DROPI!K:K,
MATCH(T737, REPORTE_DROPI!B:B, 0)
))),
{
TRIM(CLEAN(MAPA_ESTADOS!A:A)) ,
MAPA_ESTADOS!B:B
},
2,
FALSE
),
"REVISAR"
)
</f>
        <v>DEVOLUCION</v>
      </c>
      <c r="P737" s="118"/>
      <c r="Q737" s="122">
        <f t="shared" si="2"/>
        <v>0</v>
      </c>
      <c r="R737" s="118"/>
      <c r="S737" s="118"/>
      <c r="T737" s="118">
        <f t="array" ref="T737">IFERROR(
INDEX(REPORTE_DROPI!B:B,
MATCH(
CLEAN(TRIM(C737)),
CLEAN(TRIM(REPORTE_DROPI!E:E)),
0
)
),
""
)
</f>
        <v>4185466</v>
      </c>
      <c r="U737" s="118">
        <v>6.42543786398E12</v>
      </c>
      <c r="V737" s="78"/>
      <c r="W737" s="78"/>
      <c r="X737" s="78"/>
      <c r="Y737" s="78"/>
      <c r="Z737" s="78"/>
    </row>
    <row r="738" ht="22.5" customHeight="1">
      <c r="A738" s="118">
        <v>737.0</v>
      </c>
      <c r="B738" s="119">
        <v>46040.0</v>
      </c>
      <c r="C738" s="118" t="s">
        <v>5198</v>
      </c>
      <c r="D738" s="118" t="str">
        <f>IFERROR(__xludf.DUMMYFUNCTION("IFERROR(
  INDEX(
    FILTER(
      'NOMBRE DE PRODUCTOS'!B:B,
      REGEXMATCH(
        UPPER(
          INDEX(
            REPORTE_DROPI!AC:AC,
            MATCH(T738, REPORTE_DROPI!B:B, 0)
          )
        ),
        UPPER('NOMBRE DE PRODUCTOS'!A:A)"&amp;"
      )
    ),
    1
  ),
  ""REVISAR""
)
"),"FilmPro®")</f>
        <v>FilmPro®</v>
      </c>
      <c r="E738" s="120">
        <f t="array" ref="E738">IF(
UPPER(TRIM(CLEAN($O738)))="ENTREGADO",
IFERROR(
INDEX(REPORTE_DROPI!Y:Y,
MATCH($T738, REPORTE_DROPI!B:B, 0)
),
""
),
""
)
</f>
        <v>2.35</v>
      </c>
      <c r="F738" s="121">
        <v>1.0</v>
      </c>
      <c r="G738" s="122">
        <f t="array" ref="G738">IF(
UPPER(TRIM(CLEAN($O738)))="ENTREGADO",
IFERROR(
INDEX(REPORTE_DROPI!R:R,
MATCH($T738, REPORTE_DROPI!B:B, 0)
),
""
),
""
)
</f>
        <v>20</v>
      </c>
      <c r="H738" s="118" t="s">
        <v>3727</v>
      </c>
      <c r="I738" s="118" t="s">
        <v>3740</v>
      </c>
      <c r="J738" s="121">
        <f t="array" ref="J738">IF(
UPPER(TRIM(CLEAN($O738)))="ENTREGADO",
IFERROR(
INDEX(REPORTE_DROPI!T:T,
MATCH($T738, REPORTE_DROPI!B:B, 0)
),
""
),
""
)
</f>
        <v>5.76</v>
      </c>
      <c r="K738" s="118">
        <f t="array" ref="K738">IFERROR(
INDEX(REPORTE_DROPI!S:S,
MATCH($T738, REPORTE_DROPI!B:B, 0)
),
""
)
</f>
        <v>11.89</v>
      </c>
      <c r="L738" s="118" t="str">
        <f>IF(
  O738&lt;&gt;"DEVOLUCION",
  "",
  IF(
    T738="",
    "",
    SUMIF(DEVOLUCION!F:F, T738, DEVOLUCION!D:D)
  )
)
</f>
        <v/>
      </c>
      <c r="M738" s="118" t="s">
        <v>3870</v>
      </c>
      <c r="N738" s="130" t="s">
        <v>5199</v>
      </c>
      <c r="O738" s="118" t="str">
        <f t="array" ref="O738">IFERROR(
VLOOKUP(
TRIM(CLEAN(
INDEX(REPORTE_DROPI!K:K,
MATCH(T738, REPORTE_DROPI!B:B, 0)
))),
{
TRIM(CLEAN(MAPA_ESTADOS!A:A)) ,
MAPA_ESTADOS!B:B
},
2,
FALSE
),
"REVISAR"
)
</f>
        <v>ENTREGADO</v>
      </c>
      <c r="P738" s="118"/>
      <c r="Q738" s="122">
        <f t="shared" si="2"/>
        <v>0</v>
      </c>
      <c r="R738" s="118"/>
      <c r="S738" s="118"/>
      <c r="T738" s="118">
        <f t="array" ref="T738">IFERROR(
INDEX(REPORTE_DROPI!B:B,
MATCH(
CLEAN(TRIM(C738)),
CLEAN(TRIM(REPORTE_DROPI!E:E)),
0
)
),
""
)
</f>
        <v>4186470</v>
      </c>
      <c r="U738" s="118">
        <v>6.425762693164E12</v>
      </c>
      <c r="V738" s="78"/>
      <c r="W738" s="78"/>
      <c r="X738" s="78"/>
      <c r="Y738" s="78"/>
      <c r="Z738" s="78"/>
    </row>
    <row r="739" ht="22.5" customHeight="1">
      <c r="A739" s="118">
        <v>738.0</v>
      </c>
      <c r="B739" s="119">
        <v>46040.0</v>
      </c>
      <c r="C739" s="126" t="s">
        <v>5200</v>
      </c>
      <c r="D739" s="118" t="str">
        <f>IFERROR(__xludf.DUMMYFUNCTION("IFERROR(
  INDEX(
    FILTER(
      'NOMBRE DE PRODUCTOS'!B:B,
      REGEXMATCH(
        UPPER(
          INDEX(
            REPORTE_DROPI!AC:AC,
            MATCH(T739, REPORTE_DROPI!B:B, 0)
          )
        ),
        UPPER('NOMBRE DE PRODUCTOS'!A:A)"&amp;"
      )
    ),
    1
  ),
  ""REVISAR""
)
"),"FilmPro®")</f>
        <v>FilmPro®</v>
      </c>
      <c r="E739" s="120" t="str">
        <f t="array" ref="E739">IF(
UPPER(TRIM(CLEAN($O739)))="ENTREGADO",
IFERROR(
INDEX(REPORTE_DROPI!Y:Y,
MATCH($T739, REPORTE_DROPI!B:B, 0)
),
""
),
""
)
</f>
        <v/>
      </c>
      <c r="F739" s="121">
        <v>1.0</v>
      </c>
      <c r="G739" s="122" t="str">
        <f t="array" ref="G739">IF(
UPPER(TRIM(CLEAN($O739)))="ENTREGADO",
IFERROR(
INDEX(REPORTE_DROPI!R:R,
MATCH($T739, REPORTE_DROPI!B:B, 0)
),
""
),
""
)
</f>
        <v/>
      </c>
      <c r="H739" s="118" t="s">
        <v>3727</v>
      </c>
      <c r="I739" s="118" t="s">
        <v>3740</v>
      </c>
      <c r="J739" s="121" t="str">
        <f t="array" ref="J739">IF(
UPPER(TRIM(CLEAN($O739)))="ENTREGADO",
IFERROR(
INDEX(REPORTE_DROPI!T:T,
MATCH($T739, REPORTE_DROPI!B:B, 0)
),
""
),
""
)
</f>
        <v/>
      </c>
      <c r="K739" s="118" t="str">
        <f t="array" ref="K739">IFERROR(
INDEX(REPORTE_DROPI!S:S,
MATCH($T739, REPORTE_DROPI!B:B, 0)
),
""
)
</f>
        <v/>
      </c>
      <c r="L739" s="118">
        <f>IF(
  O739&lt;&gt;"DEVOLUCION",
  "",
  IF(
    T739="",
    "",
    SUMIF(DEVOLUCION!F:F, T739, DEVOLUCION!D:D)
  )
)
</f>
        <v>5.06</v>
      </c>
      <c r="M739" s="118" t="s">
        <v>3870</v>
      </c>
      <c r="N739" s="130" t="s">
        <v>5201</v>
      </c>
      <c r="O739" s="118" t="str">
        <f t="array" ref="O739">IFERROR(
VLOOKUP(
TRIM(CLEAN(
INDEX(REPORTE_DROPI!K:K,
MATCH(T739, REPORTE_DROPI!B:B, 0)
))),
{
TRIM(CLEAN(MAPA_ESTADOS!A:A)) ,
MAPA_ESTADOS!B:B
},
2,
FALSE
),
"REVISAR"
)
</f>
        <v>DEVOLUCION</v>
      </c>
      <c r="P739" s="118"/>
      <c r="Q739" s="122">
        <f t="shared" si="2"/>
        <v>0</v>
      </c>
      <c r="R739" s="118"/>
      <c r="S739" s="118"/>
      <c r="T739" s="118">
        <f t="array" ref="T739">IFERROR(
INDEX(REPORTE_DROPI!B:B,
MATCH(
CLEAN(TRIM(C739)),
CLEAN(TRIM(REPORTE_DROPI!E:E)),
0
)
),
""
)
</f>
        <v>4186515</v>
      </c>
      <c r="U739" s="118">
        <v>6.425783533612E12</v>
      </c>
      <c r="V739" s="78"/>
      <c r="W739" s="78"/>
      <c r="X739" s="78"/>
      <c r="Y739" s="78"/>
      <c r="Z739" s="78"/>
    </row>
    <row r="740" ht="22.5" customHeight="1">
      <c r="A740" s="118">
        <v>739.0</v>
      </c>
      <c r="B740" s="119">
        <v>46040.0</v>
      </c>
      <c r="C740" s="126" t="s">
        <v>5202</v>
      </c>
      <c r="D740" s="118" t="str">
        <f>IFERROR(__xludf.DUMMYFUNCTION("IFERROR(
  INDEX(
    FILTER(
      'NOMBRE DE PRODUCTOS'!B:B,
      REGEXMATCH(
        UPPER(
          INDEX(
            REPORTE_DROPI!AC:AC,
            MATCH(T740, REPORTE_DROPI!B:B, 0)
          )
        ),
        UPPER('NOMBRE DE PRODUCTOS'!A:A)"&amp;"
      )
    ),
    1
  ),
  ""REVISAR""
)
"),"FilmPro®")</f>
        <v>FilmPro®</v>
      </c>
      <c r="E740" s="120" t="str">
        <f t="array" ref="E740">IF(
UPPER(TRIM(CLEAN($O740)))="ENTREGADO",
IFERROR(
INDEX(REPORTE_DROPI!Y:Y,
MATCH($T740, REPORTE_DROPI!B:B, 0)
),
""
),
""
)
</f>
        <v/>
      </c>
      <c r="F740" s="121">
        <v>3.0</v>
      </c>
      <c r="G740" s="122" t="str">
        <f t="array" ref="G740">IF(
UPPER(TRIM(CLEAN($O740)))="ENTREGADO",
IFERROR(
INDEX(REPORTE_DROPI!R:R,
MATCH($T740, REPORTE_DROPI!B:B, 0)
),
""
),
""
)
</f>
        <v/>
      </c>
      <c r="H740" s="118" t="s">
        <v>3727</v>
      </c>
      <c r="I740" s="118" t="s">
        <v>3731</v>
      </c>
      <c r="J740" s="121" t="str">
        <f t="array" ref="J740">IF(
UPPER(TRIM(CLEAN($O740)))="ENTREGADO",
IFERROR(
INDEX(REPORTE_DROPI!T:T,
MATCH($T740, REPORTE_DROPI!B:B, 0)
),
""
),
""
)
</f>
        <v/>
      </c>
      <c r="K740" s="118" t="str">
        <f t="array" ref="K740">IFERROR(
INDEX(REPORTE_DROPI!S:S,
MATCH($T740, REPORTE_DROPI!B:B, 0)
),
""
)
</f>
        <v/>
      </c>
      <c r="L740" s="118">
        <f>IF(
  O740&lt;&gt;"DEVOLUCION",
  "",
  IF(
    T740="",
    "",
    SUMIF(DEVOLUCION!F:F, T740, DEVOLUCION!D:D)
  )
)
</f>
        <v>3.51</v>
      </c>
      <c r="M740" s="118" t="s">
        <v>3870</v>
      </c>
      <c r="N740" s="130" t="s">
        <v>5203</v>
      </c>
      <c r="O740" s="118" t="str">
        <f t="array" ref="O740">IFERROR(
VLOOKUP(
TRIM(CLEAN(
INDEX(REPORTE_DROPI!K:K,
MATCH(T740, REPORTE_DROPI!B:B, 0)
))),
{
TRIM(CLEAN(MAPA_ESTADOS!A:A)) ,
MAPA_ESTADOS!B:B
},
2,
FALSE
),
"REVISAR"
)
</f>
        <v>DEVOLUCION</v>
      </c>
      <c r="P740" s="118" t="s">
        <v>3655</v>
      </c>
      <c r="Q740" s="122">
        <f t="shared" si="2"/>
        <v>0</v>
      </c>
      <c r="R740" s="118"/>
      <c r="S740" s="118"/>
      <c r="T740" s="118">
        <f t="array" ref="T740">IFERROR(
INDEX(REPORTE_DROPI!B:B,
MATCH(
CLEAN(TRIM(C740)),
CLEAN(TRIM(REPORTE_DROPI!E:E)),
0
)
),
""
)
</f>
        <v>4221900</v>
      </c>
      <c r="U740" s="118">
        <v>6.425793855532E12</v>
      </c>
      <c r="V740" s="78"/>
      <c r="W740" s="78"/>
      <c r="X740" s="78"/>
      <c r="Y740" s="78"/>
      <c r="Z740" s="78"/>
    </row>
    <row r="741" ht="22.5" customHeight="1">
      <c r="A741" s="118">
        <v>740.0</v>
      </c>
      <c r="B741" s="119">
        <v>46040.0</v>
      </c>
      <c r="C741" s="118" t="s">
        <v>5204</v>
      </c>
      <c r="D741" s="118" t="str">
        <f>IFERROR(__xludf.DUMMYFUNCTION("IFERROR(
  INDEX(
    FILTER(
      'NOMBRE DE PRODUCTOS'!B:B,
      REGEXMATCH(
        UPPER(
          INDEX(
            REPORTE_DROPI!AC:AC,
            MATCH(T741, REPORTE_DROPI!B:B, 0)
          )
        ),
        UPPER('NOMBRE DE PRODUCTOS'!A:A)"&amp;"
      )
    ),
    1
  ),
  ""REVISAR""
)
"),"FilmPro®")</f>
        <v>FilmPro®</v>
      </c>
      <c r="E741" s="120">
        <f t="array" ref="E741">IF(
UPPER(TRIM(CLEAN($O741)))="ENTREGADO",
IFERROR(
INDEX(REPORTE_DROPI!Y:Y,
MATCH($T741, REPORTE_DROPI!B:B, 0)
),
""
),
""
)
</f>
        <v>4.7</v>
      </c>
      <c r="F741" s="121">
        <v>2.0</v>
      </c>
      <c r="G741" s="122">
        <f t="array" ref="G741">IF(
UPPER(TRIM(CLEAN($O741)))="ENTREGADO",
IFERROR(
INDEX(REPORTE_DROPI!R:R,
MATCH($T741, REPORTE_DROPI!B:B, 0)
),
""
),
""
)
</f>
        <v>25</v>
      </c>
      <c r="H741" s="118" t="s">
        <v>3727</v>
      </c>
      <c r="I741" s="118" t="s">
        <v>3740</v>
      </c>
      <c r="J741" s="121">
        <f t="array" ref="J741">IF(
UPPER(TRIM(CLEAN($O741)))="ENTREGADO",
IFERROR(
INDEX(REPORTE_DROPI!T:T,
MATCH($T741, REPORTE_DROPI!B:B, 0)
),
""
),
""
)
</f>
        <v>5.96</v>
      </c>
      <c r="K741" s="118">
        <f t="array" ref="K741">IFERROR(
INDEX(REPORTE_DROPI!S:S,
MATCH($T741, REPORTE_DROPI!B:B, 0)
),
""
)
</f>
        <v>14.34</v>
      </c>
      <c r="L741" s="118" t="str">
        <f>IF(
  O741&lt;&gt;"DEVOLUCION",
  "",
  IF(
    T741="",
    "",
    SUMIF(DEVOLUCION!F:F, T741, DEVOLUCION!D:D)
  )
)
</f>
        <v/>
      </c>
      <c r="M741" s="118" t="s">
        <v>3870</v>
      </c>
      <c r="N741" s="130" t="s">
        <v>5205</v>
      </c>
      <c r="O741" s="118" t="str">
        <f t="array" ref="O741">IFERROR(
VLOOKUP(
TRIM(CLEAN(
INDEX(REPORTE_DROPI!K:K,
MATCH(T741, REPORTE_DROPI!B:B, 0)
))),
{
TRIM(CLEAN(MAPA_ESTADOS!A:A)) ,
MAPA_ESTADOS!B:B
},
2,
FALSE
),
"REVISAR"
)
</f>
        <v>ENTREGADO</v>
      </c>
      <c r="P741" s="118"/>
      <c r="Q741" s="122">
        <f t="shared" si="2"/>
        <v>0</v>
      </c>
      <c r="R741" s="118"/>
      <c r="S741" s="118"/>
      <c r="T741" s="118">
        <f t="array" ref="T741">IFERROR(
INDEX(REPORTE_DROPI!B:B,
MATCH(
CLEAN(TRIM(C741)),
CLEAN(TRIM(REPORTE_DROPI!E:E)),
0
)
),
""
)
</f>
        <v>4186716</v>
      </c>
      <c r="U741" s="118">
        <v>6.426056261676E12</v>
      </c>
      <c r="V741" s="78"/>
      <c r="W741" s="78"/>
      <c r="X741" s="78"/>
      <c r="Y741" s="78"/>
      <c r="Z741" s="78"/>
    </row>
    <row r="742" ht="22.5" customHeight="1">
      <c r="A742" s="118">
        <v>741.0</v>
      </c>
      <c r="B742" s="119">
        <v>46040.0</v>
      </c>
      <c r="C742" s="118" t="s">
        <v>5206</v>
      </c>
      <c r="D742" s="118" t="str">
        <f>IFERROR(__xludf.DUMMYFUNCTION("IFERROR(
  INDEX(
    FILTER(
      'NOMBRE DE PRODUCTOS'!B:B,
      REGEXMATCH(
        UPPER(
          INDEX(
            REPORTE_DROPI!AC:AC,
            MATCH(T742, REPORTE_DROPI!B:B, 0)
          )
        ),
        UPPER('NOMBRE DE PRODUCTOS'!A:A)"&amp;"
      )
    ),
    1
  ),
  ""REVISAR""
)
"),"FilmPro®")</f>
        <v>FilmPro®</v>
      </c>
      <c r="E742" s="120" t="str">
        <f t="array" ref="E742">IF(
UPPER(TRIM(CLEAN($O742)))="ENTREGADO",
IFERROR(
INDEX(REPORTE_DROPI!Y:Y,
MATCH($T742, REPORTE_DROPI!B:B, 0)
),
""
),
""
)
</f>
        <v/>
      </c>
      <c r="F742" s="121">
        <v>2.0</v>
      </c>
      <c r="G742" s="122" t="str">
        <f t="array" ref="G742">IF(
UPPER(TRIM(CLEAN($O742)))="ENTREGADO",
IFERROR(
INDEX(REPORTE_DROPI!R:R,
MATCH($T742, REPORTE_DROPI!B:B, 0)
),
""
),
""
)
</f>
        <v/>
      </c>
      <c r="H742" s="118" t="s">
        <v>3727</v>
      </c>
      <c r="I742" s="118" t="s">
        <v>3731</v>
      </c>
      <c r="J742" s="121" t="str">
        <f t="array" ref="J742">IF(
UPPER(TRIM(CLEAN($O742)))="ENTREGADO",
IFERROR(
INDEX(REPORTE_DROPI!T:T,
MATCH($T742, REPORTE_DROPI!B:B, 0)
),
""
),
""
)
</f>
        <v/>
      </c>
      <c r="K742" s="118" t="str">
        <f t="array" ref="K742">IFERROR(
INDEX(REPORTE_DROPI!S:S,
MATCH($T742, REPORTE_DROPI!B:B, 0)
),
""
)
</f>
        <v/>
      </c>
      <c r="L742" s="118">
        <f>IF(
  O742&lt;&gt;"DEVOLUCION",
  "",
  IF(
    T742="",
    "",
    SUMIF(DEVOLUCION!F:F, T742, DEVOLUCION!D:D)
  )
)
</f>
        <v>5.71</v>
      </c>
      <c r="M742" s="118" t="s">
        <v>3870</v>
      </c>
      <c r="N742" s="130" t="s">
        <v>5207</v>
      </c>
      <c r="O742" s="118" t="str">
        <f t="array" ref="O742">IFERROR(
VLOOKUP(
TRIM(CLEAN(
INDEX(REPORTE_DROPI!K:K,
MATCH(T742, REPORTE_DROPI!B:B, 0)
))),
{
TRIM(CLEAN(MAPA_ESTADOS!A:A)) ,
MAPA_ESTADOS!B:B
},
2,
FALSE
),
"REVISAR"
)
</f>
        <v>DEVOLUCION</v>
      </c>
      <c r="P742" s="118"/>
      <c r="Q742" s="122">
        <f t="shared" si="2"/>
        <v>0</v>
      </c>
      <c r="R742" s="118"/>
      <c r="S742" s="118"/>
      <c r="T742" s="118">
        <f t="array" ref="T742">IFERROR(
INDEX(REPORTE_DROPI!B:B,
MATCH(
CLEAN(TRIM(C742)),
CLEAN(TRIM(REPORTE_DROPI!E:E)),
0
)
),
""
)
</f>
        <v>4186821</v>
      </c>
      <c r="U742" s="118">
        <v>6.426097221676E12</v>
      </c>
      <c r="V742" s="78"/>
      <c r="W742" s="78"/>
      <c r="X742" s="78"/>
      <c r="Y742" s="78"/>
      <c r="Z742" s="78"/>
    </row>
    <row r="743" ht="22.5" customHeight="1">
      <c r="A743" s="118">
        <v>742.0</v>
      </c>
      <c r="B743" s="119">
        <v>46040.0</v>
      </c>
      <c r="C743" s="126" t="s">
        <v>5208</v>
      </c>
      <c r="D743" s="118" t="str">
        <f>IFERROR(__xludf.DUMMYFUNCTION("IFERROR(
  INDEX(
    FILTER(
      'NOMBRE DE PRODUCTOS'!B:B,
      REGEXMATCH(
        UPPER(
          INDEX(
            REPORTE_DROPI!AC:AC,
            MATCH(T743, REPORTE_DROPI!B:B, 0)
          )
        ),
        UPPER('NOMBRE DE PRODUCTOS'!A:A)"&amp;"
      )
    ),
    1
  ),
  ""REVISAR""
)
"),"FilmPro®")</f>
        <v>FilmPro®</v>
      </c>
      <c r="E743" s="120">
        <f t="array" ref="E743">IF(
UPPER(TRIM(CLEAN($O743)))="ENTREGADO",
IFERROR(
INDEX(REPORTE_DROPI!Y:Y,
MATCH($T743, REPORTE_DROPI!B:B, 0)
),
""
),
""
)
</f>
        <v>4.7</v>
      </c>
      <c r="F743" s="121">
        <v>2.0</v>
      </c>
      <c r="G743" s="122">
        <f t="array" ref="G743">IF(
UPPER(TRIM(CLEAN($O743)))="ENTREGADO",
IFERROR(
INDEX(REPORTE_DROPI!R:R,
MATCH($T743, REPORTE_DROPI!B:B, 0)
),
""
),
""
)
</f>
        <v>25</v>
      </c>
      <c r="H743" s="118" t="s">
        <v>3727</v>
      </c>
      <c r="I743" s="118" t="s">
        <v>3951</v>
      </c>
      <c r="J743" s="121">
        <f t="array" ref="J743">IF(
UPPER(TRIM(CLEAN($O743)))="ENTREGADO",
IFERROR(
INDEX(REPORTE_DROPI!T:T,
MATCH($T743, REPORTE_DROPI!B:B, 0)
),
""
),
""
)
</f>
        <v>5.96</v>
      </c>
      <c r="K743" s="118">
        <f t="array" ref="K743">IFERROR(
INDEX(REPORTE_DROPI!S:S,
MATCH($T743, REPORTE_DROPI!B:B, 0)
),
""
)
</f>
        <v>14.34</v>
      </c>
      <c r="L743" s="118" t="str">
        <f>IF(
  O743&lt;&gt;"DEVOLUCION",
  "",
  IF(
    T743="",
    "",
    SUMIF(DEVOLUCION!F:F, T743, DEVOLUCION!D:D)
  )
)
</f>
        <v/>
      </c>
      <c r="M743" s="118" t="s">
        <v>3870</v>
      </c>
      <c r="N743" s="130" t="s">
        <v>5209</v>
      </c>
      <c r="O743" s="118" t="str">
        <f t="array" ref="O743">IFERROR(
VLOOKUP(
TRIM(CLEAN(
INDEX(REPORTE_DROPI!K:K,
MATCH(T743, REPORTE_DROPI!B:B, 0)
))),
{
TRIM(CLEAN(MAPA_ESTADOS!A:A)) ,
MAPA_ESTADOS!B:B
},
2,
FALSE
),
"REVISAR"
)
</f>
        <v>ENTREGADO</v>
      </c>
      <c r="P743" s="118" t="s">
        <v>3655</v>
      </c>
      <c r="Q743" s="122">
        <f t="shared" si="2"/>
        <v>0</v>
      </c>
      <c r="R743" s="118"/>
      <c r="S743" s="118"/>
      <c r="T743" s="118">
        <f t="array" ref="T743">IFERROR(
INDEX(REPORTE_DROPI!B:B,
MATCH(
CLEAN(TRIM(C743)),
CLEAN(TRIM(REPORTE_DROPI!E:E)),
0
)
),
""
)
</f>
        <v>4221972</v>
      </c>
      <c r="U743" s="118">
        <v>6.426117832748E12</v>
      </c>
      <c r="V743" s="78"/>
      <c r="W743" s="78"/>
      <c r="X743" s="78"/>
      <c r="Y743" s="78"/>
      <c r="Z743" s="78"/>
    </row>
    <row r="744" ht="22.5" customHeight="1">
      <c r="A744" s="118">
        <v>743.0</v>
      </c>
      <c r="B744" s="119">
        <v>46040.0</v>
      </c>
      <c r="C744" s="118" t="s">
        <v>5210</v>
      </c>
      <c r="D744" s="118" t="str">
        <f>IFERROR(__xludf.DUMMYFUNCTION("IFERROR(
  INDEX(
    FILTER(
      'NOMBRE DE PRODUCTOS'!B:B,
      REGEXMATCH(
        UPPER(
          INDEX(
            REPORTE_DROPI!AC:AC,
            MATCH(T744, REPORTE_DROPI!B:B, 0)
          )
        ),
        UPPER('NOMBRE DE PRODUCTOS'!A:A)"&amp;"
      )
    ),
    1
  ),
  ""REVISAR""
)
"),"FilmPro®")</f>
        <v>FilmPro®</v>
      </c>
      <c r="E744" s="120" t="str">
        <f t="array" ref="E744">IF(
UPPER(TRIM(CLEAN($O744)))="ENTREGADO",
IFERROR(
INDEX(REPORTE_DROPI!Y:Y,
MATCH($T744, REPORTE_DROPI!B:B, 0)
),
""
),
""
)
</f>
        <v/>
      </c>
      <c r="F744" s="121">
        <v>3.0</v>
      </c>
      <c r="G744" s="122" t="str">
        <f t="array" ref="G744">IF(
UPPER(TRIM(CLEAN($O744)))="ENTREGADO",
IFERROR(
INDEX(REPORTE_DROPI!R:R,
MATCH($T744, REPORTE_DROPI!B:B, 0)
),
""
),
""
)
</f>
        <v/>
      </c>
      <c r="H744" s="118" t="s">
        <v>3727</v>
      </c>
      <c r="I744" s="118" t="s">
        <v>3784</v>
      </c>
      <c r="J744" s="121" t="str">
        <f t="array" ref="J744">IF(
UPPER(TRIM(CLEAN($O744)))="ENTREGADO",
IFERROR(
INDEX(REPORTE_DROPI!T:T,
MATCH($T744, REPORTE_DROPI!B:B, 0)
),
""
),
""
)
</f>
        <v/>
      </c>
      <c r="K744" s="118" t="str">
        <f t="array" ref="K744">IFERROR(
INDEX(REPORTE_DROPI!S:S,
MATCH($T744, REPORTE_DROPI!B:B, 0)
),
""
)
</f>
        <v/>
      </c>
      <c r="L744" s="118" t="str">
        <f>IF(
  O744&lt;&gt;"DEVOLUCION",
  "",
  IF(
    T744="",
    "",
    SUMIF(DEVOLUCION!F:F, T744, DEVOLUCION!D:D)
  )
)
</f>
        <v/>
      </c>
      <c r="M744" s="118" t="s">
        <v>3870</v>
      </c>
      <c r="N744" s="130" t="s">
        <v>5211</v>
      </c>
      <c r="O744" s="118" t="str">
        <f t="array" ref="O744">IFERROR(
VLOOKUP(
TRIM(CLEAN(
INDEX(REPORTE_DROPI!K:K,
MATCH(T744, REPORTE_DROPI!B:B, 0)
))),
{
TRIM(CLEAN(MAPA_ESTADOS!A:A)) ,
MAPA_ESTADOS!B:B
},
2,
FALSE
),
"REVISAR"
)
</f>
        <v>CANCELADO</v>
      </c>
      <c r="P744" s="118" t="s">
        <v>3891</v>
      </c>
      <c r="Q744" s="122">
        <f t="shared" si="2"/>
        <v>0</v>
      </c>
      <c r="R744" s="118"/>
      <c r="S744" s="118"/>
      <c r="T744" s="118">
        <f t="array" ref="T744">IFERROR(
INDEX(REPORTE_DROPI!B:B,
MATCH(
CLEAN(TRIM(C744)),
CLEAN(TRIM(REPORTE_DROPI!E:E)),
0
)
),
""
)
</f>
        <v>4186998</v>
      </c>
      <c r="U744" s="118">
        <v>6.426126024748E12</v>
      </c>
      <c r="V744" s="78"/>
      <c r="W744" s="78"/>
      <c r="X744" s="78"/>
      <c r="Y744" s="78"/>
      <c r="Z744" s="78"/>
    </row>
    <row r="745" ht="22.5" customHeight="1">
      <c r="A745" s="118">
        <v>744.0</v>
      </c>
      <c r="B745" s="119">
        <v>46040.0</v>
      </c>
      <c r="C745" s="118" t="s">
        <v>5212</v>
      </c>
      <c r="D745" s="118" t="str">
        <f>IFERROR(__xludf.DUMMYFUNCTION("IFERROR(
  INDEX(
    FILTER(
      'NOMBRE DE PRODUCTOS'!B:B,
      REGEXMATCH(
        UPPER(
          INDEX(
            REPORTE_DROPI!AC:AC,
            MATCH(T745, REPORTE_DROPI!B:B, 0)
          )
        ),
        UPPER('NOMBRE DE PRODUCTOS'!A:A)"&amp;"
      )
    ),
    1
  ),
  ""REVISAR""
)
"),"FilmPro®")</f>
        <v>FilmPro®</v>
      </c>
      <c r="E745" s="120" t="str">
        <f t="array" ref="E745">IF(
UPPER(TRIM(CLEAN($O745)))="ENTREGADO",
IFERROR(
INDEX(REPORTE_DROPI!Y:Y,
MATCH($T745, REPORTE_DROPI!B:B, 0)
),
""
),
""
)
</f>
        <v/>
      </c>
      <c r="F745" s="121">
        <v>2.0</v>
      </c>
      <c r="G745" s="122" t="str">
        <f t="array" ref="G745">IF(
UPPER(TRIM(CLEAN($O745)))="ENTREGADO",
IFERROR(
INDEX(REPORTE_DROPI!R:R,
MATCH($T745, REPORTE_DROPI!B:B, 0)
),
""
),
""
)
</f>
        <v/>
      </c>
      <c r="H745" s="118" t="s">
        <v>3727</v>
      </c>
      <c r="I745" s="118" t="s">
        <v>3801</v>
      </c>
      <c r="J745" s="121" t="str">
        <f t="array" ref="J745">IF(
UPPER(TRIM(CLEAN($O745)))="ENTREGADO",
IFERROR(
INDEX(REPORTE_DROPI!T:T,
MATCH($T745, REPORTE_DROPI!B:B, 0)
),
""
),
""
)
</f>
        <v/>
      </c>
      <c r="K745" s="118" t="str">
        <f t="array" ref="K745">IFERROR(
INDEX(REPORTE_DROPI!S:S,
MATCH($T745, REPORTE_DROPI!B:B, 0)
),
""
)
</f>
        <v/>
      </c>
      <c r="L745" s="118" t="str">
        <f>IF(
  O745&lt;&gt;"DEVOLUCION",
  "",
  IF(
    T745="",
    "",
    SUMIF(DEVOLUCION!F:F, T745, DEVOLUCION!D:D)
  )
)
</f>
        <v/>
      </c>
      <c r="M745" s="118" t="s">
        <v>3870</v>
      </c>
      <c r="N745" s="130" t="s">
        <v>5213</v>
      </c>
      <c r="O745" s="118" t="str">
        <f t="array" ref="O745">IFERROR(
VLOOKUP(
TRIM(CLEAN(
INDEX(REPORTE_DROPI!K:K,
MATCH(T745, REPORTE_DROPI!B:B, 0)
))),
{
TRIM(CLEAN(MAPA_ESTADOS!A:A)) ,
MAPA_ESTADOS!B:B
},
2,
FALSE
),
"REVISAR"
)
</f>
        <v>CANCELADO</v>
      </c>
      <c r="P745" s="118" t="s">
        <v>5214</v>
      </c>
      <c r="Q745" s="122">
        <f t="shared" si="2"/>
        <v>0</v>
      </c>
      <c r="R745" s="118"/>
      <c r="S745" s="118"/>
      <c r="T745" s="118">
        <f t="array" ref="T745">IFERROR(
INDEX(REPORTE_DROPI!B:B,
MATCH(
CLEAN(TRIM(C745)),
CLEAN(TRIM(REPORTE_DROPI!E:E)),
0
)
),
""
)
</f>
        <v>4187076</v>
      </c>
      <c r="U745" s="118">
        <v>6.4261338563E12</v>
      </c>
      <c r="V745" s="78"/>
      <c r="W745" s="78"/>
      <c r="X745" s="78"/>
      <c r="Y745" s="78"/>
      <c r="Z745" s="78"/>
    </row>
    <row r="746" ht="22.5" customHeight="1">
      <c r="A746" s="118">
        <v>745.0</v>
      </c>
      <c r="B746" s="119">
        <v>46040.0</v>
      </c>
      <c r="C746" s="118" t="s">
        <v>5215</v>
      </c>
      <c r="D746" s="118" t="str">
        <f>IFERROR(__xludf.DUMMYFUNCTION("IFERROR(
  INDEX(
    FILTER(
      'NOMBRE DE PRODUCTOS'!B:B,
      REGEXMATCH(
        UPPER(
          INDEX(
            REPORTE_DROPI!AC:AC,
            MATCH(T746, REPORTE_DROPI!B:B, 0)
          )
        ),
        UPPER('NOMBRE DE PRODUCTOS'!A:A)"&amp;"
      )
    ),
    1
  ),
  ""REVISAR""
)
"),"FilmPro®")</f>
        <v>FilmPro®</v>
      </c>
      <c r="E746" s="120" t="str">
        <f t="array" ref="E746">IF(
UPPER(TRIM(CLEAN($O746)))="ENTREGADO",
IFERROR(
INDEX(REPORTE_DROPI!Y:Y,
MATCH($T746, REPORTE_DROPI!B:B, 0)
),
""
),
""
)
</f>
        <v/>
      </c>
      <c r="F746" s="121">
        <v>2.0</v>
      </c>
      <c r="G746" s="122" t="str">
        <f t="array" ref="G746">IF(
UPPER(TRIM(CLEAN($O746)))="ENTREGADO",
IFERROR(
INDEX(REPORTE_DROPI!R:R,
MATCH($T746, REPORTE_DROPI!B:B, 0)
),
""
),
""
)
</f>
        <v/>
      </c>
      <c r="H746" s="118" t="s">
        <v>3727</v>
      </c>
      <c r="I746" s="118" t="s">
        <v>3740</v>
      </c>
      <c r="J746" s="121" t="str">
        <f t="array" ref="J746">IF(
UPPER(TRIM(CLEAN($O746)))="ENTREGADO",
IFERROR(
INDEX(REPORTE_DROPI!T:T,
MATCH($T746, REPORTE_DROPI!B:B, 0)
),
""
),
""
)
</f>
        <v/>
      </c>
      <c r="K746" s="118" t="str">
        <f t="array" ref="K746">IFERROR(
INDEX(REPORTE_DROPI!S:S,
MATCH($T746, REPORTE_DROPI!B:B, 0)
),
""
)
</f>
        <v/>
      </c>
      <c r="L746" s="118">
        <f>IF(
  O746&lt;&gt;"DEVOLUCION",
  "",
  IF(
    T746="",
    "",
    SUMIF(DEVOLUCION!F:F, T746, DEVOLUCION!D:D)
  )
)
</f>
        <v>5.09</v>
      </c>
      <c r="M746" s="118" t="s">
        <v>3870</v>
      </c>
      <c r="N746" s="130" t="s">
        <v>5216</v>
      </c>
      <c r="O746" s="118" t="str">
        <f t="array" ref="O746">IFERROR(
VLOOKUP(
TRIM(CLEAN(
INDEX(REPORTE_DROPI!K:K,
MATCH(T746, REPORTE_DROPI!B:B, 0)
))),
{
TRIM(CLEAN(MAPA_ESTADOS!A:A)) ,
MAPA_ESTADOS!B:B
},
2,
FALSE
),
"REVISAR"
)
</f>
        <v>DEVOLUCION</v>
      </c>
      <c r="P746" s="118" t="s">
        <v>3655</v>
      </c>
      <c r="Q746" s="122">
        <f t="shared" si="2"/>
        <v>0</v>
      </c>
      <c r="R746" s="118"/>
      <c r="S746" s="118"/>
      <c r="T746" s="118">
        <f t="array" ref="T746">IFERROR(
INDEX(REPORTE_DROPI!B:B,
MATCH(
CLEAN(TRIM(C746)),
CLEAN(TRIM(REPORTE_DROPI!E:E)),
0
)
),
""
)
</f>
        <v>4187094</v>
      </c>
      <c r="U746" s="118">
        <v>6.42613615006E12</v>
      </c>
      <c r="V746" s="78"/>
      <c r="W746" s="78"/>
      <c r="X746" s="78"/>
      <c r="Y746" s="78"/>
      <c r="Z746" s="78"/>
    </row>
    <row r="747" ht="22.5" customHeight="1">
      <c r="A747" s="118">
        <v>746.0</v>
      </c>
      <c r="B747" s="119">
        <v>46040.0</v>
      </c>
      <c r="C747" s="118" t="s">
        <v>5217</v>
      </c>
      <c r="D747" s="118" t="str">
        <f>IFERROR(__xludf.DUMMYFUNCTION("IFERROR(
  INDEX(
    FILTER(
      'NOMBRE DE PRODUCTOS'!B:B,
      REGEXMATCH(
        UPPER(
          INDEX(
            REPORTE_DROPI!AC:AC,
            MATCH(T747, REPORTE_DROPI!B:B, 0)
          )
        ),
        UPPER('NOMBRE DE PRODUCTOS'!A:A)"&amp;"
      )
    ),
    1
  ),
  ""REVISAR""
)
"),"FilmPro®")</f>
        <v>FilmPro®</v>
      </c>
      <c r="E747" s="120">
        <f t="array" ref="E747">IF(
UPPER(TRIM(CLEAN($O747)))="ENTREGADO",
IFERROR(
INDEX(REPORTE_DROPI!Y:Y,
MATCH($T747, REPORTE_DROPI!B:B, 0)
),
""
),
""
)
</f>
        <v>4.7</v>
      </c>
      <c r="F747" s="121">
        <v>2.0</v>
      </c>
      <c r="G747" s="122">
        <f t="array" ref="G747">IF(
UPPER(TRIM(CLEAN($O747)))="ENTREGADO",
IFERROR(
INDEX(REPORTE_DROPI!R:R,
MATCH($T747, REPORTE_DROPI!B:B, 0)
),
""
),
""
)
</f>
        <v>25</v>
      </c>
      <c r="H747" s="118" t="s">
        <v>3727</v>
      </c>
      <c r="I747" s="118" t="s">
        <v>3731</v>
      </c>
      <c r="J747" s="121">
        <f t="array" ref="J747">IF(
UPPER(TRIM(CLEAN($O747)))="ENTREGADO",
IFERROR(
INDEX(REPORTE_DROPI!T:T,
MATCH($T747, REPORTE_DROPI!B:B, 0)
),
""
),
""
)
</f>
        <v>4.92</v>
      </c>
      <c r="K747" s="118">
        <f t="array" ref="K747">IFERROR(
INDEX(REPORTE_DROPI!S:S,
MATCH($T747, REPORTE_DROPI!B:B, 0)
),
""
)
</f>
        <v>15.38</v>
      </c>
      <c r="L747" s="118" t="str">
        <f>IF(
  O747&lt;&gt;"DEVOLUCION",
  "",
  IF(
    T747="",
    "",
    SUMIF(DEVOLUCION!F:F, T747, DEVOLUCION!D:D)
  )
)
</f>
        <v/>
      </c>
      <c r="M747" s="118" t="s">
        <v>3870</v>
      </c>
      <c r="N747" s="130" t="s">
        <v>5218</v>
      </c>
      <c r="O747" s="118" t="str">
        <f t="array" ref="O747">IFERROR(
VLOOKUP(
TRIM(CLEAN(
INDEX(REPORTE_DROPI!K:K,
MATCH(T747, REPORTE_DROPI!B:B, 0)
))),
{
TRIM(CLEAN(MAPA_ESTADOS!A:A)) ,
MAPA_ESTADOS!B:B
},
2,
FALSE
),
"REVISAR"
)
</f>
        <v>ENTREGADO</v>
      </c>
      <c r="P747" s="118" t="s">
        <v>3655</v>
      </c>
      <c r="Q747" s="122">
        <f t="shared" si="2"/>
        <v>0</v>
      </c>
      <c r="R747" s="118"/>
      <c r="S747" s="118"/>
      <c r="T747" s="118">
        <f t="array" ref="T747">IFERROR(
INDEX(REPORTE_DROPI!B:B,
MATCH(
CLEAN(TRIM(C747)),
CLEAN(TRIM(REPORTE_DROPI!E:E)),
0
)
),
""
)
</f>
        <v>4187207</v>
      </c>
      <c r="U747" s="118">
        <v>6.426147684396E12</v>
      </c>
      <c r="V747" s="78"/>
      <c r="W747" s="78"/>
      <c r="X747" s="78"/>
      <c r="Y747" s="78"/>
      <c r="Z747" s="78"/>
    </row>
    <row r="748" ht="22.5" customHeight="1">
      <c r="A748" s="118">
        <v>747.0</v>
      </c>
      <c r="B748" s="119">
        <v>46040.0</v>
      </c>
      <c r="C748" s="126" t="s">
        <v>5219</v>
      </c>
      <c r="D748" s="118" t="str">
        <f>IFERROR(__xludf.DUMMYFUNCTION("IFERROR(
  INDEX(
    FILTER(
      'NOMBRE DE PRODUCTOS'!B:B,
      REGEXMATCH(
        UPPER(
          INDEX(
            REPORTE_DROPI!AC:AC,
            MATCH(T748, REPORTE_DROPI!B:B, 0)
          )
        ),
        UPPER('NOMBRE DE PRODUCTOS'!A:A)"&amp;"
      )
    ),
    1
  ),
  ""REVISAR""
)
"),"FilmPro®")</f>
        <v>FilmPro®</v>
      </c>
      <c r="E748" s="120" t="str">
        <f t="array" ref="E748">IF(
UPPER(TRIM(CLEAN($O748)))="ENTREGADO",
IFERROR(
INDEX(REPORTE_DROPI!Y:Y,
MATCH($T748, REPORTE_DROPI!B:B, 0)
),
""
),
""
)
</f>
        <v/>
      </c>
      <c r="F748" s="121">
        <v>1.0</v>
      </c>
      <c r="G748" s="122" t="str">
        <f t="array" ref="G748">IF(
UPPER(TRIM(CLEAN($O748)))="ENTREGADO",
IFERROR(
INDEX(REPORTE_DROPI!R:R,
MATCH($T748, REPORTE_DROPI!B:B, 0)
),
""
),
""
)
</f>
        <v/>
      </c>
      <c r="H748" s="118" t="s">
        <v>3727</v>
      </c>
      <c r="I748" s="118" t="s">
        <v>3731</v>
      </c>
      <c r="J748" s="121" t="str">
        <f t="array" ref="J748">IF(
UPPER(TRIM(CLEAN($O748)))="ENTREGADO",
IFERROR(
INDEX(REPORTE_DROPI!T:T,
MATCH($T748, REPORTE_DROPI!B:B, 0)
),
""
),
""
)
</f>
        <v/>
      </c>
      <c r="K748" s="118" t="str">
        <f t="array" ref="K748">IFERROR(
INDEX(REPORTE_DROPI!S:S,
MATCH($T748, REPORTE_DROPI!B:B, 0)
),
""
)
</f>
        <v/>
      </c>
      <c r="L748" s="118" t="str">
        <f>IF(
  O748&lt;&gt;"DEVOLUCION",
  "",
  IF(
    T748="",
    "",
    SUMIF(DEVOLUCION!F:F, T748, DEVOLUCION!D:D)
  )
)
</f>
        <v/>
      </c>
      <c r="M748" s="118" t="s">
        <v>3870</v>
      </c>
      <c r="N748" s="130" t="s">
        <v>5220</v>
      </c>
      <c r="O748" s="118" t="str">
        <f t="array" ref="O748">IFERROR(
VLOOKUP(
TRIM(CLEAN(
INDEX(REPORTE_DROPI!K:K,
MATCH(T748, REPORTE_DROPI!B:B, 0)
))),
{
TRIM(CLEAN(MAPA_ESTADOS!A:A)) ,
MAPA_ESTADOS!B:B
},
2,
FALSE
),
"REVISAR"
)
</f>
        <v>PENDIENTE</v>
      </c>
      <c r="P748" s="118" t="s">
        <v>3655</v>
      </c>
      <c r="Q748" s="122">
        <f t="shared" si="2"/>
        <v>0</v>
      </c>
      <c r="R748" s="118"/>
      <c r="S748" s="118"/>
      <c r="T748" s="118">
        <f t="array" ref="T748">IFERROR(
INDEX(REPORTE_DROPI!B:B,
MATCH(
CLEAN(TRIM(C748)),
CLEAN(TRIM(REPORTE_DROPI!E:E)),
0
)
),
""
)
</f>
        <v>4187269</v>
      </c>
      <c r="U748" s="118">
        <v>6.426155122732E12</v>
      </c>
      <c r="V748" s="78"/>
      <c r="W748" s="78"/>
      <c r="X748" s="78"/>
      <c r="Y748" s="78"/>
      <c r="Z748" s="78"/>
    </row>
    <row r="749" ht="22.5" customHeight="1">
      <c r="A749" s="118">
        <v>748.0</v>
      </c>
      <c r="B749" s="119">
        <v>46040.0</v>
      </c>
      <c r="C749" s="118" t="s">
        <v>5221</v>
      </c>
      <c r="D749" s="118" t="str">
        <f>IFERROR(__xludf.DUMMYFUNCTION("IFERROR(
  INDEX(
    FILTER(
      'NOMBRE DE PRODUCTOS'!B:B,
      REGEXMATCH(
        UPPER(
          INDEX(
            REPORTE_DROPI!AC:AC,
            MATCH(T749, REPORTE_DROPI!B:B, 0)
          )
        ),
        UPPER('NOMBRE DE PRODUCTOS'!A:A)"&amp;"
      )
    ),
    1
  ),
  ""REVISAR""
)
"),"FilmPro®")</f>
        <v>FilmPro®</v>
      </c>
      <c r="E749" s="120" t="str">
        <f t="array" ref="E749">IF(
UPPER(TRIM(CLEAN($O749)))="ENTREGADO",
IFERROR(
INDEX(REPORTE_DROPI!Y:Y,
MATCH($T749, REPORTE_DROPI!B:B, 0)
),
""
),
""
)
</f>
        <v/>
      </c>
      <c r="F749" s="121">
        <v>3.0</v>
      </c>
      <c r="G749" s="122" t="str">
        <f t="array" ref="G749">IF(
UPPER(TRIM(CLEAN($O749)))="ENTREGADO",
IFERROR(
INDEX(REPORTE_DROPI!R:R,
MATCH($T749, REPORTE_DROPI!B:B, 0)
),
""
),
""
)
</f>
        <v/>
      </c>
      <c r="H749" s="118" t="s">
        <v>3727</v>
      </c>
      <c r="I749" s="118" t="s">
        <v>3731</v>
      </c>
      <c r="J749" s="121" t="str">
        <f t="array" ref="J749">IF(
UPPER(TRIM(CLEAN($O749)))="ENTREGADO",
IFERROR(
INDEX(REPORTE_DROPI!T:T,
MATCH($T749, REPORTE_DROPI!B:B, 0)
),
""
),
""
)
</f>
        <v/>
      </c>
      <c r="K749" s="118" t="str">
        <f t="array" ref="K749">IFERROR(
INDEX(REPORTE_DROPI!S:S,
MATCH($T749, REPORTE_DROPI!B:B, 0)
),
""
)
</f>
        <v/>
      </c>
      <c r="L749" s="118">
        <f>IF(
  O749&lt;&gt;"DEVOLUCION",
  "",
  IF(
    T749="",
    "",
    SUMIF(DEVOLUCION!F:F, T749, DEVOLUCION!D:D)
  )
)
</f>
        <v>7.82</v>
      </c>
      <c r="M749" s="118" t="s">
        <v>3870</v>
      </c>
      <c r="N749" s="130" t="s">
        <v>5222</v>
      </c>
      <c r="O749" s="118" t="str">
        <f t="array" ref="O749">IFERROR(
VLOOKUP(
TRIM(CLEAN(
INDEX(REPORTE_DROPI!K:K,
MATCH(T749, REPORTE_DROPI!B:B, 0)
))),
{
TRIM(CLEAN(MAPA_ESTADOS!A:A)) ,
MAPA_ESTADOS!B:B
},
2,
FALSE
),
"REVISAR"
)
</f>
        <v>DEVOLUCION</v>
      </c>
      <c r="P749" s="118" t="s">
        <v>3655</v>
      </c>
      <c r="Q749" s="122">
        <f t="shared" si="2"/>
        <v>0</v>
      </c>
      <c r="R749" s="118"/>
      <c r="S749" s="118"/>
      <c r="T749" s="118">
        <f t="array" ref="T749">IFERROR(
INDEX(REPORTE_DROPI!B:B,
MATCH(
CLEAN(TRIM(C749)),
CLEAN(TRIM(REPORTE_DROPI!E:E)),
0
)
),
""
)
</f>
        <v>4187558</v>
      </c>
      <c r="U749" s="118">
        <v>6.426188841004E12</v>
      </c>
      <c r="V749" s="78"/>
      <c r="W749" s="78"/>
      <c r="X749" s="78"/>
      <c r="Y749" s="78"/>
      <c r="Z749" s="78"/>
    </row>
    <row r="750" ht="22.5" customHeight="1">
      <c r="A750" s="118">
        <v>749.0</v>
      </c>
      <c r="B750" s="119">
        <v>46040.0</v>
      </c>
      <c r="C750" s="118" t="s">
        <v>5223</v>
      </c>
      <c r="D750" s="118" t="str">
        <f>IFERROR(__xludf.DUMMYFUNCTION("IFERROR(
  INDEX(
    FILTER(
      'NOMBRE DE PRODUCTOS'!B:B,
      REGEXMATCH(
        UPPER(
          INDEX(
            REPORTE_DROPI!AC:AC,
            MATCH(T750, REPORTE_DROPI!B:B, 0)
          )
        ),
        UPPER('NOMBRE DE PRODUCTOS'!A:A)"&amp;"
      )
    ),
    1
  ),
  ""REVISAR""
)
"),"Cuchillo Tazaki™")</f>
        <v>Cuchillo Tazaki™</v>
      </c>
      <c r="E750" s="120">
        <f t="array" ref="E750">IF(
UPPER(TRIM(CLEAN($O750)))="ENTREGADO",
IFERROR(
INDEX(REPORTE_DROPI!Y:Y,
MATCH($T750, REPORTE_DROPI!B:B, 0)
),
""
),
""
)
</f>
        <v>7.8</v>
      </c>
      <c r="F750" s="121">
        <v>3.0</v>
      </c>
      <c r="G750" s="122">
        <f t="array" ref="G750">IF(
UPPER(TRIM(CLEAN($O750)))="ENTREGADO",
IFERROR(
INDEX(REPORTE_DROPI!R:R,
MATCH($T750, REPORTE_DROPI!B:B, 0)
),
""
),
""
)
</f>
        <v>27</v>
      </c>
      <c r="H750" s="118" t="s">
        <v>3727</v>
      </c>
      <c r="I750" s="118" t="s">
        <v>3801</v>
      </c>
      <c r="J750" s="121">
        <f t="array" ref="J750">IF(
UPPER(TRIM(CLEAN($O750)))="ENTREGADO",
IFERROR(
INDEX(REPORTE_DROPI!T:T,
MATCH($T750, REPORTE_DROPI!B:B, 0)
),
""
),
""
)
</f>
        <v>6.03</v>
      </c>
      <c r="K750" s="118">
        <f t="array" ref="K750">IFERROR(
INDEX(REPORTE_DROPI!S:S,
MATCH($T750, REPORTE_DROPI!B:B, 0)
),
""
)
</f>
        <v>13.17</v>
      </c>
      <c r="L750" s="118" t="str">
        <f>IF(
  O750&lt;&gt;"DEVOLUCION",
  "",
  IF(
    T750="",
    "",
    SUMIF(DEVOLUCION!F:F, T750, DEVOLUCION!D:D)
  )
)
</f>
        <v/>
      </c>
      <c r="M750" s="118" t="s">
        <v>3870</v>
      </c>
      <c r="N750" s="130" t="s">
        <v>5224</v>
      </c>
      <c r="O750" s="118" t="str">
        <f t="array" ref="O750">IFERROR(
VLOOKUP(
TRIM(CLEAN(
INDEX(REPORTE_DROPI!K:K,
MATCH(T750, REPORTE_DROPI!B:B, 0)
))),
{
TRIM(CLEAN(MAPA_ESTADOS!A:A)) ,
MAPA_ESTADOS!B:B
},
2,
FALSE
),
"REVISAR"
)
</f>
        <v>ENTREGADO</v>
      </c>
      <c r="P750" s="118" t="s">
        <v>3655</v>
      </c>
      <c r="Q750" s="122">
        <f t="shared" si="2"/>
        <v>0</v>
      </c>
      <c r="R750" s="118"/>
      <c r="S750" s="118"/>
      <c r="T750" s="118">
        <f t="array" ref="T750">IFERROR(
INDEX(REPORTE_DROPI!B:B,
MATCH(
CLEAN(TRIM(C750)),
CLEAN(TRIM(REPORTE_DROPI!E:E)),
0
)
),
""
)
</f>
        <v>4190595</v>
      </c>
      <c r="U750" s="118">
        <v>6.426815004716E12</v>
      </c>
      <c r="V750" s="78"/>
      <c r="W750" s="78"/>
      <c r="X750" s="78"/>
      <c r="Y750" s="78"/>
      <c r="Z750" s="78"/>
    </row>
    <row r="751" ht="22.5" customHeight="1">
      <c r="A751" s="118">
        <v>750.0</v>
      </c>
      <c r="B751" s="119">
        <v>46044.0</v>
      </c>
      <c r="C751" s="118" t="s">
        <v>5225</v>
      </c>
      <c r="D751" s="118" t="str">
        <f>IFERROR(__xludf.DUMMYFUNCTION("IFERROR(
  INDEX(
    FILTER(
      'NOMBRE DE PRODUCTOS'!B:B,
      REGEXMATCH(
        UPPER(
          INDEX(
            REPORTE_DROPI!AC:AC,
            MATCH(T751, REPORTE_DROPI!B:B, 0)
          )
        ),
        UPPER('NOMBRE DE PRODUCTOS'!A:A)"&amp;"
      )
    ),
    1
  ),
  ""REVISAR""
)
"),"FilmPro®")</f>
        <v>FilmPro®</v>
      </c>
      <c r="E751" s="120">
        <f t="array" ref="E751">IF(
UPPER(TRIM(CLEAN($O751)))="ENTREGADO",
IFERROR(
INDEX(REPORTE_DROPI!Y:Y,
MATCH($T751, REPORTE_DROPI!B:B, 0)
),
""
),
""
)
</f>
        <v>7.05</v>
      </c>
      <c r="F751" s="121">
        <v>3.0</v>
      </c>
      <c r="G751" s="122">
        <f t="array" ref="G751">IF(
UPPER(TRIM(CLEAN($O751)))="ENTREGADO",
IFERROR(
INDEX(REPORTE_DROPI!R:R,
MATCH($T751, REPORTE_DROPI!B:B, 0)
),
""
),
""
)
</f>
        <v>30</v>
      </c>
      <c r="H751" s="118" t="s">
        <v>3727</v>
      </c>
      <c r="I751" s="118" t="s">
        <v>3759</v>
      </c>
      <c r="J751" s="121">
        <f t="array" ref="J751">IF(
UPPER(TRIM(CLEAN($O751)))="ENTREGADO",
IFERROR(
INDEX(REPORTE_DROPI!T:T,
MATCH($T751, REPORTE_DROPI!B:B, 0)
),
""
),
""
)
</f>
        <v>6.16</v>
      </c>
      <c r="K751" s="118">
        <f t="array" ref="K751">IFERROR(
INDEX(REPORTE_DROPI!S:S,
MATCH($T751, REPORTE_DROPI!B:B, 0)
),
""
)
</f>
        <v>16.79</v>
      </c>
      <c r="L751" s="118" t="str">
        <f>IF(
  O751&lt;&gt;"DEVOLUCION",
  "",
  IF(
    T751="",
    "",
    SUMIF(DEVOLUCION!F:F, T751, DEVOLUCION!D:D)
  )
)
</f>
        <v/>
      </c>
      <c r="M751" s="118" t="s">
        <v>3870</v>
      </c>
      <c r="N751" s="130" t="s">
        <v>5226</v>
      </c>
      <c r="O751" s="118" t="str">
        <f t="array" ref="O751">IFERROR(
VLOOKUP(
TRIM(CLEAN(
INDEX(REPORTE_DROPI!K:K,
MATCH(T751, REPORTE_DROPI!B:B, 0)
))),
{
TRIM(CLEAN(MAPA_ESTADOS!A:A)) ,
MAPA_ESTADOS!B:B
},
2,
FALSE
),
"REVISAR"
)
</f>
        <v>ENTREGADO</v>
      </c>
      <c r="P751" s="118" t="s">
        <v>3655</v>
      </c>
      <c r="Q751" s="122">
        <f t="shared" si="2"/>
        <v>0</v>
      </c>
      <c r="R751" s="118"/>
      <c r="S751" s="118"/>
      <c r="T751" s="118">
        <f t="array" ref="T751">IFERROR(
INDEX(REPORTE_DROPI!B:B,
MATCH(
CLEAN(TRIM(C751)),
CLEAN(TRIM(REPORTE_DROPI!E:E)),
0
)
),
""
)
</f>
        <v>4236117</v>
      </c>
      <c r="U751" s="118">
        <v>6.437634015276E12</v>
      </c>
      <c r="V751" s="78"/>
      <c r="W751" s="78"/>
      <c r="X751" s="78"/>
      <c r="Y751" s="78"/>
      <c r="Z751" s="78"/>
    </row>
    <row r="752" ht="22.5" customHeight="1">
      <c r="A752" s="118">
        <v>751.0</v>
      </c>
      <c r="B752" s="119">
        <v>46044.0</v>
      </c>
      <c r="C752" s="118" t="s">
        <v>5227</v>
      </c>
      <c r="D752" s="118" t="str">
        <f>IFERROR(__xludf.DUMMYFUNCTION("IFERROR(
  INDEX(
    FILTER(
      'NOMBRE DE PRODUCTOS'!B:B,
      REGEXMATCH(
        UPPER(
          INDEX(
            REPORTE_DROPI!AC:AC,
            MATCH(T752, REPORTE_DROPI!B:B, 0)
          )
        ),
        UPPER('NOMBRE DE PRODUCTOS'!A:A)"&amp;"
      )
    ),
    1
  ),
  ""REVISAR""
)
"),"FilmPro®")</f>
        <v>FilmPro®</v>
      </c>
      <c r="E752" s="120">
        <f t="array" ref="E752">IF(
UPPER(TRIM(CLEAN($O752)))="ENTREGADO",
IFERROR(
INDEX(REPORTE_DROPI!Y:Y,
MATCH($T752, REPORTE_DROPI!B:B, 0)
),
""
),
""
)
</f>
        <v>2.35</v>
      </c>
      <c r="F752" s="121">
        <v>1.0</v>
      </c>
      <c r="G752" s="122">
        <f t="array" ref="G752">IF(
UPPER(TRIM(CLEAN($O752)))="ENTREGADO",
IFERROR(
INDEX(REPORTE_DROPI!R:R,
MATCH($T752, REPORTE_DROPI!B:B, 0)
),
""
),
""
)
</f>
        <v>20</v>
      </c>
      <c r="H752" s="118" t="s">
        <v>3727</v>
      </c>
      <c r="I752" s="118" t="s">
        <v>3731</v>
      </c>
      <c r="J752" s="121">
        <f t="array" ref="J752">IF(
UPPER(TRIM(CLEAN($O752)))="ENTREGADO",
IFERROR(
INDEX(REPORTE_DROPI!T:T,
MATCH($T752, REPORTE_DROPI!B:B, 0)
),
""
),
""
)
</f>
        <v>4.15</v>
      </c>
      <c r="K752" s="118">
        <f t="array" ref="K752">IFERROR(
INDEX(REPORTE_DROPI!S:S,
MATCH($T752, REPORTE_DROPI!B:B, 0)
),
""
)
</f>
        <v>13.5</v>
      </c>
      <c r="L752" s="118" t="str">
        <f>IF(
  O752&lt;&gt;"DEVOLUCION",
  "",
  IF(
    T752="",
    "",
    SUMIF(DEVOLUCION!F:F, T752, DEVOLUCION!D:D)
  )
)
</f>
        <v/>
      </c>
      <c r="M752" s="118" t="s">
        <v>3870</v>
      </c>
      <c r="N752" s="130" t="s">
        <v>5228</v>
      </c>
      <c r="O752" s="118" t="str">
        <f t="array" ref="O752">IFERROR(
VLOOKUP(
TRIM(CLEAN(
INDEX(REPORTE_DROPI!K:K,
MATCH(T752, REPORTE_DROPI!B:B, 0)
))),
{
TRIM(CLEAN(MAPA_ESTADOS!A:A)) ,
MAPA_ESTADOS!B:B
},
2,
FALSE
),
"REVISAR"
)
</f>
        <v>ENTREGADO</v>
      </c>
      <c r="P752" s="118" t="s">
        <v>3655</v>
      </c>
      <c r="Q752" s="122">
        <f t="shared" si="2"/>
        <v>0</v>
      </c>
      <c r="R752" s="118"/>
      <c r="S752" s="118"/>
      <c r="T752" s="118">
        <f t="array" ref="T752">IFERROR(
INDEX(REPORTE_DROPI!B:B,
MATCH(
CLEAN(TRIM(C752)),
CLEAN(TRIM(REPORTE_DROPI!E:E)),
0
)
),
""
)
</f>
        <v>4236123</v>
      </c>
      <c r="U752" s="118">
        <v>6.437634670636E12</v>
      </c>
      <c r="V752" s="78"/>
      <c r="W752" s="78"/>
      <c r="X752" s="78"/>
      <c r="Y752" s="78"/>
      <c r="Z752" s="78"/>
    </row>
    <row r="753" ht="22.5" customHeight="1">
      <c r="A753" s="118">
        <v>752.0</v>
      </c>
      <c r="B753" s="119">
        <v>46044.0</v>
      </c>
      <c r="C753" s="126" t="s">
        <v>5229</v>
      </c>
      <c r="D753" s="118" t="str">
        <f>IFERROR(__xludf.DUMMYFUNCTION("IFERROR(
  INDEX(
    FILTER(
      'NOMBRE DE PRODUCTOS'!B:B,
      REGEXMATCH(
        UPPER(
          INDEX(
            REPORTE_DROPI!AC:AC,
            MATCH(T753, REPORTE_DROPI!B:B, 0)
          )
        ),
        UPPER('NOMBRE DE PRODUCTOS'!A:A)"&amp;"
      )
    ),
    1
  ),
  ""REVISAR""
)
"),"FilmPro®")</f>
        <v>FilmPro®</v>
      </c>
      <c r="E753" s="120" t="str">
        <f t="array" ref="E753">IF(
UPPER(TRIM(CLEAN($O753)))="ENTREGADO",
IFERROR(
INDEX(REPORTE_DROPI!Y:Y,
MATCH($T753, REPORTE_DROPI!B:B, 0)
),
""
),
""
)
</f>
        <v/>
      </c>
      <c r="F753" s="121">
        <v>1.0</v>
      </c>
      <c r="G753" s="122" t="str">
        <f t="array" ref="G753">IF(
UPPER(TRIM(CLEAN($O753)))="ENTREGADO",
IFERROR(
INDEX(REPORTE_DROPI!R:R,
MATCH($T753, REPORTE_DROPI!B:B, 0)
),
""
),
""
)
</f>
        <v/>
      </c>
      <c r="H753" s="118" t="s">
        <v>3727</v>
      </c>
      <c r="I753" s="118" t="s">
        <v>3742</v>
      </c>
      <c r="J753" s="121" t="str">
        <f t="array" ref="J753">IF(
UPPER(TRIM(CLEAN($O753)))="ENTREGADO",
IFERROR(
INDEX(REPORTE_DROPI!T:T,
MATCH($T753, REPORTE_DROPI!B:B, 0)
),
""
),
""
)
</f>
        <v/>
      </c>
      <c r="K753" s="118" t="str">
        <f t="array" ref="K753">IFERROR(
INDEX(REPORTE_DROPI!S:S,
MATCH($T753, REPORTE_DROPI!B:B, 0)
),
""
)
</f>
        <v/>
      </c>
      <c r="L753" s="118">
        <f>IF(
  O753&lt;&gt;"DEVOLUCION",
  "",
  IF(
    T753="",
    "",
    SUMIF(DEVOLUCION!F:F, T753, DEVOLUCION!D:D)
  )
)
</f>
        <v>5.06</v>
      </c>
      <c r="M753" s="118" t="s">
        <v>3870</v>
      </c>
      <c r="N753" s="130" t="s">
        <v>5230</v>
      </c>
      <c r="O753" s="118" t="str">
        <f t="array" ref="O753">IFERROR(
VLOOKUP(
TRIM(CLEAN(
INDEX(REPORTE_DROPI!K:K,
MATCH(T753, REPORTE_DROPI!B:B, 0)
))),
{
TRIM(CLEAN(MAPA_ESTADOS!A:A)) ,
MAPA_ESTADOS!B:B
},
2,
FALSE
),
"REVISAR"
)
</f>
        <v>DEVOLUCION</v>
      </c>
      <c r="P753" s="118" t="s">
        <v>3655</v>
      </c>
      <c r="Q753" s="122">
        <f t="shared" si="2"/>
        <v>0</v>
      </c>
      <c r="R753" s="118"/>
      <c r="S753" s="118"/>
      <c r="T753" s="118">
        <f t="array" ref="T753">IFERROR(
INDEX(REPORTE_DROPI!B:B,
MATCH(
CLEAN(TRIM(C753)),
CLEAN(TRIM(REPORTE_DROPI!E:E)),
0
)
),
""
)
</f>
        <v>4236197</v>
      </c>
      <c r="U753" s="118">
        <v>6.437643092012E12</v>
      </c>
      <c r="V753" s="78"/>
      <c r="W753" s="78"/>
      <c r="X753" s="78"/>
      <c r="Y753" s="78"/>
      <c r="Z753" s="78"/>
    </row>
    <row r="754" ht="22.5" customHeight="1">
      <c r="A754" s="118">
        <v>753.0</v>
      </c>
      <c r="B754" s="119">
        <v>46044.0</v>
      </c>
      <c r="C754" s="126" t="s">
        <v>5231</v>
      </c>
      <c r="D754" s="118" t="str">
        <f>IFERROR(__xludf.DUMMYFUNCTION("IFERROR(
  INDEX(
    FILTER(
      'NOMBRE DE PRODUCTOS'!B:B,
      REGEXMATCH(
        UPPER(
          INDEX(
            REPORTE_DROPI!AC:AC,
            MATCH(T754, REPORTE_DROPI!B:B, 0)
          )
        ),
        UPPER('NOMBRE DE PRODUCTOS'!A:A)"&amp;"
      )
    ),
    1
  ),
  ""REVISAR""
)
"),"FilmPro®")</f>
        <v>FilmPro®</v>
      </c>
      <c r="E754" s="120">
        <f t="array" ref="E754">IF(
UPPER(TRIM(CLEAN($O754)))="ENTREGADO",
IFERROR(
INDEX(REPORTE_DROPI!Y:Y,
MATCH($T754, REPORTE_DROPI!B:B, 0)
),
""
),
""
)
</f>
        <v>4.7</v>
      </c>
      <c r="F754" s="121">
        <v>2.0</v>
      </c>
      <c r="G754" s="122">
        <f t="array" ref="G754">IF(
UPPER(TRIM(CLEAN($O754)))="ENTREGADO",
IFERROR(
INDEX(REPORTE_DROPI!R:R,
MATCH($T754, REPORTE_DROPI!B:B, 0)
),
""
),
""
)
</f>
        <v>25</v>
      </c>
      <c r="H754" s="118" t="s">
        <v>3727</v>
      </c>
      <c r="I754" s="118" t="s">
        <v>3740</v>
      </c>
      <c r="J754" s="121">
        <f t="array" ref="J754">IF(
UPPER(TRIM(CLEAN($O754)))="ENTREGADO",
IFERROR(
INDEX(REPORTE_DROPI!T:T,
MATCH($T754, REPORTE_DROPI!B:B, 0)
),
""
),
""
)
</f>
        <v>5.96</v>
      </c>
      <c r="K754" s="118">
        <f t="array" ref="K754">IFERROR(
INDEX(REPORTE_DROPI!S:S,
MATCH($T754, REPORTE_DROPI!B:B, 0)
),
""
)
</f>
        <v>14.34</v>
      </c>
      <c r="L754" s="118" t="str">
        <f>IF(
  O754&lt;&gt;"DEVOLUCION",
  "",
  IF(
    T754="",
    "",
    SUMIF(DEVOLUCION!F:F, T754, DEVOLUCION!D:D)
  )
)
</f>
        <v/>
      </c>
      <c r="M754" s="118" t="s">
        <v>3870</v>
      </c>
      <c r="N754" s="130" t="s">
        <v>5232</v>
      </c>
      <c r="O754" s="118" t="str">
        <f t="array" ref="O754">IFERROR(
VLOOKUP(
TRIM(CLEAN(
INDEX(REPORTE_DROPI!K:K,
MATCH(T754, REPORTE_DROPI!B:B, 0)
))),
{
TRIM(CLEAN(MAPA_ESTADOS!A:A)) ,
MAPA_ESTADOS!B:B
},
2,
FALSE
),
"REVISAR"
)
</f>
        <v>ENTREGADO</v>
      </c>
      <c r="P754" s="118" t="s">
        <v>3655</v>
      </c>
      <c r="Q754" s="122">
        <f t="shared" si="2"/>
        <v>0</v>
      </c>
      <c r="R754" s="118"/>
      <c r="S754" s="118"/>
      <c r="T754" s="118">
        <f t="array" ref="T754">IFERROR(
INDEX(REPORTE_DROPI!B:B,
MATCH(
CLEAN(TRIM(C754)),
CLEAN(TRIM(REPORTE_DROPI!E:E)),
0
)
),
""
)
</f>
        <v>4236198</v>
      </c>
      <c r="U754" s="118">
        <v>6.437643550764E12</v>
      </c>
      <c r="V754" s="78"/>
      <c r="W754" s="78"/>
      <c r="X754" s="78"/>
      <c r="Y754" s="78"/>
      <c r="Z754" s="78"/>
    </row>
    <row r="755" ht="22.5" customHeight="1">
      <c r="A755" s="118">
        <v>754.0</v>
      </c>
      <c r="B755" s="119">
        <v>46044.0</v>
      </c>
      <c r="C755" s="118" t="s">
        <v>5233</v>
      </c>
      <c r="D755" s="118" t="str">
        <f>IFERROR(__xludf.DUMMYFUNCTION("IFERROR(
  INDEX(
    FILTER(
      'NOMBRE DE PRODUCTOS'!B:B,
      REGEXMATCH(
        UPPER(
          INDEX(
            REPORTE_DROPI!AC:AC,
            MATCH(T755, REPORTE_DROPI!B:B, 0)
          )
        ),
        UPPER('NOMBRE DE PRODUCTOS'!A:A)"&amp;"
      )
    ),
    1
  ),
  ""REVISAR""
)
"),"FilmPro®")</f>
        <v>FilmPro®</v>
      </c>
      <c r="E755" s="120">
        <f t="array" ref="E755">IF(
UPPER(TRIM(CLEAN($O755)))="ENTREGADO",
IFERROR(
INDEX(REPORTE_DROPI!Y:Y,
MATCH($T755, REPORTE_DROPI!B:B, 0)
),
""
),
""
)
</f>
        <v>7.05</v>
      </c>
      <c r="F755" s="121">
        <v>3.0</v>
      </c>
      <c r="G755" s="122">
        <f t="array" ref="G755">IF(
UPPER(TRIM(CLEAN($O755)))="ENTREGADO",
IFERROR(
INDEX(REPORTE_DROPI!R:R,
MATCH($T755, REPORTE_DROPI!B:B, 0)
),
""
),
""
)
</f>
        <v>30</v>
      </c>
      <c r="H755" s="118" t="s">
        <v>3727</v>
      </c>
      <c r="I755" s="118" t="s">
        <v>3740</v>
      </c>
      <c r="J755" s="121">
        <f t="array" ref="J755">IF(
UPPER(TRIM(CLEAN($O755)))="ENTREGADO",
IFERROR(
INDEX(REPORTE_DROPI!T:T,
MATCH($T755, REPORTE_DROPI!B:B, 0)
),
""
),
""
)
</f>
        <v>6.16</v>
      </c>
      <c r="K755" s="118">
        <f t="array" ref="K755">IFERROR(
INDEX(REPORTE_DROPI!S:S,
MATCH($T755, REPORTE_DROPI!B:B, 0)
),
""
)
</f>
        <v>16.79</v>
      </c>
      <c r="L755" s="118" t="str">
        <f>IF(
  O755&lt;&gt;"DEVOLUCION",
  "",
  IF(
    T755="",
    "",
    SUMIF(DEVOLUCION!F:F, T755, DEVOLUCION!D:D)
  )
)
</f>
        <v/>
      </c>
      <c r="M755" s="118" t="s">
        <v>3870</v>
      </c>
      <c r="N755" s="130" t="s">
        <v>5234</v>
      </c>
      <c r="O755" s="118" t="str">
        <f t="array" ref="O755">IFERROR(
VLOOKUP(
TRIM(CLEAN(
INDEX(REPORTE_DROPI!K:K,
MATCH(T755, REPORTE_DROPI!B:B, 0)
))),
{
TRIM(CLEAN(MAPA_ESTADOS!A:A)) ,
MAPA_ESTADOS!B:B
},
2,
FALSE
),
"REVISAR"
)
</f>
        <v>ENTREGADO</v>
      </c>
      <c r="P755" s="118" t="s">
        <v>3655</v>
      </c>
      <c r="Q755" s="122">
        <f t="shared" si="2"/>
        <v>0</v>
      </c>
      <c r="R755" s="118"/>
      <c r="S755" s="118"/>
      <c r="T755" s="118">
        <f t="array" ref="T755">IFERROR(
INDEX(REPORTE_DROPI!B:B,
MATCH(
CLEAN(TRIM(C755)),
CLEAN(TRIM(REPORTE_DROPI!E:E)),
0
)
),
""
)
</f>
        <v>4236204</v>
      </c>
      <c r="U755" s="118">
        <v>6.437644861484E12</v>
      </c>
      <c r="V755" s="78"/>
      <c r="W755" s="78"/>
      <c r="X755" s="78"/>
      <c r="Y755" s="78"/>
      <c r="Z755" s="78"/>
    </row>
    <row r="756" ht="22.5" customHeight="1">
      <c r="A756" s="118">
        <v>755.0</v>
      </c>
      <c r="B756" s="119">
        <v>46044.0</v>
      </c>
      <c r="C756" s="118" t="s">
        <v>5235</v>
      </c>
      <c r="D756" s="118" t="str">
        <f>IFERROR(__xludf.DUMMYFUNCTION("IFERROR(
  INDEX(
    FILTER(
      'NOMBRE DE PRODUCTOS'!B:B,
      REGEXMATCH(
        UPPER(
          INDEX(
            REPORTE_DROPI!AC:AC,
            MATCH(T756, REPORTE_DROPI!B:B, 0)
          )
        ),
        UPPER('NOMBRE DE PRODUCTOS'!A:A)"&amp;"
      )
    ),
    1
  ),
  ""REVISAR""
)
"),"FilmPro®")</f>
        <v>FilmPro®</v>
      </c>
      <c r="E756" s="120">
        <f t="array" ref="E756">IF(
UPPER(TRIM(CLEAN($O756)))="ENTREGADO",
IFERROR(
INDEX(REPORTE_DROPI!Y:Y,
MATCH($T756, REPORTE_DROPI!B:B, 0)
),
""
),
""
)
</f>
        <v>7.05</v>
      </c>
      <c r="F756" s="121">
        <v>3.0</v>
      </c>
      <c r="G756" s="122">
        <f t="array" ref="G756">IF(
UPPER(TRIM(CLEAN($O756)))="ENTREGADO",
IFERROR(
INDEX(REPORTE_DROPI!R:R,
MATCH($T756, REPORTE_DROPI!B:B, 0)
),
""
),
""
)
</f>
        <v>30</v>
      </c>
      <c r="H756" s="118" t="s">
        <v>3727</v>
      </c>
      <c r="I756" s="118" t="s">
        <v>3740</v>
      </c>
      <c r="J756" s="121">
        <f t="array" ref="J756">IF(
UPPER(TRIM(CLEAN($O756)))="ENTREGADO",
IFERROR(
INDEX(REPORTE_DROPI!T:T,
MATCH($T756, REPORTE_DROPI!B:B, 0)
),
""
),
""
)
</f>
        <v>6.16</v>
      </c>
      <c r="K756" s="118">
        <f t="array" ref="K756">IFERROR(
INDEX(REPORTE_DROPI!S:S,
MATCH($T756, REPORTE_DROPI!B:B, 0)
),
""
)
</f>
        <v>16.79</v>
      </c>
      <c r="L756" s="118" t="str">
        <f>IF(
  O756&lt;&gt;"DEVOLUCION",
  "",
  IF(
    T756="",
    "",
    SUMIF(DEVOLUCION!F:F, T756, DEVOLUCION!D:D)
  )
)
</f>
        <v/>
      </c>
      <c r="M756" s="118" t="s">
        <v>3870</v>
      </c>
      <c r="N756" s="130" t="s">
        <v>5236</v>
      </c>
      <c r="O756" s="118" t="str">
        <f t="array" ref="O756">IFERROR(
VLOOKUP(
TRIM(CLEAN(
INDEX(REPORTE_DROPI!K:K,
MATCH(T756, REPORTE_DROPI!B:B, 0)
))),
{
TRIM(CLEAN(MAPA_ESTADOS!A:A)) ,
MAPA_ESTADOS!B:B
},
2,
FALSE
),
"REVISAR"
)
</f>
        <v>ENTREGADO</v>
      </c>
      <c r="P756" s="118" t="s">
        <v>3655</v>
      </c>
      <c r="Q756" s="122">
        <f t="shared" si="2"/>
        <v>0</v>
      </c>
      <c r="R756" s="118"/>
      <c r="S756" s="118"/>
      <c r="T756" s="118">
        <f t="array" ref="T756">IFERROR(
INDEX(REPORTE_DROPI!B:B,
MATCH(
CLEAN(TRIM(C756)),
CLEAN(TRIM(REPORTE_DROPI!E:E)),
0
)
),
""
)
</f>
        <v>4236207</v>
      </c>
      <c r="U756" s="118">
        <v>6.437645353004E12</v>
      </c>
      <c r="V756" s="78"/>
      <c r="W756" s="78"/>
      <c r="X756" s="78"/>
      <c r="Y756" s="78"/>
      <c r="Z756" s="78"/>
    </row>
    <row r="757" ht="22.5" customHeight="1">
      <c r="A757" s="118">
        <v>756.0</v>
      </c>
      <c r="B757" s="119">
        <v>46044.0</v>
      </c>
      <c r="C757" s="126" t="s">
        <v>5237</v>
      </c>
      <c r="D757" s="118" t="str">
        <f>IFERROR(__xludf.DUMMYFUNCTION("IFERROR(
  INDEX(
    FILTER(
      'NOMBRE DE PRODUCTOS'!B:B,
      REGEXMATCH(
        UPPER(
          INDEX(
            REPORTE_DROPI!AC:AC,
            MATCH(T757, REPORTE_DROPI!B:B, 0)
          )
        ),
        UPPER('NOMBRE DE PRODUCTOS'!A:A)"&amp;"
      )
    ),
    1
  ),
  ""REVISAR""
)
"),"FilmPro®")</f>
        <v>FilmPro®</v>
      </c>
      <c r="E757" s="120" t="str">
        <f t="array" ref="E757">IF(
UPPER(TRIM(CLEAN($O757)))="ENTREGADO",
IFERROR(
INDEX(REPORTE_DROPI!Y:Y,
MATCH($T757, REPORTE_DROPI!B:B, 0)
),
""
),
""
)
</f>
        <v/>
      </c>
      <c r="F757" s="121">
        <v>3.0</v>
      </c>
      <c r="G757" s="122" t="str">
        <f t="array" ref="G757">IF(
UPPER(TRIM(CLEAN($O757)))="ENTREGADO",
IFERROR(
INDEX(REPORTE_DROPI!R:R,
MATCH($T757, REPORTE_DROPI!B:B, 0)
),
""
),
""
)
</f>
        <v/>
      </c>
      <c r="H757" s="118" t="s">
        <v>3727</v>
      </c>
      <c r="I757" s="118" t="s">
        <v>3731</v>
      </c>
      <c r="J757" s="121" t="str">
        <f t="array" ref="J757">IF(
UPPER(TRIM(CLEAN($O757)))="ENTREGADO",
IFERROR(
INDEX(REPORTE_DROPI!T:T,
MATCH($T757, REPORTE_DROPI!B:B, 0)
),
""
),
""
)
</f>
        <v/>
      </c>
      <c r="K757" s="118" t="str">
        <f t="array" ref="K757">IFERROR(
INDEX(REPORTE_DROPI!S:S,
MATCH($T757, REPORTE_DROPI!B:B, 0)
),
""
)
</f>
        <v/>
      </c>
      <c r="L757" s="118">
        <f>IF(
  O757&lt;&gt;"DEVOLUCION",
  "",
  IF(
    T757="",
    "",
    SUMIF(DEVOLUCION!F:F, T757, DEVOLUCION!D:D)
  )
)
</f>
        <v>4.08</v>
      </c>
      <c r="M757" s="118" t="s">
        <v>3870</v>
      </c>
      <c r="N757" s="130" t="s">
        <v>5238</v>
      </c>
      <c r="O757" s="118" t="str">
        <f t="array" ref="O757">IFERROR(
VLOOKUP(
TRIM(CLEAN(
INDEX(REPORTE_DROPI!K:K,
MATCH(T757, REPORTE_DROPI!B:B, 0)
))),
{
TRIM(CLEAN(MAPA_ESTADOS!A:A)) ,
MAPA_ESTADOS!B:B
},
2,
FALSE
),
"REVISAR"
)
</f>
        <v>DEVOLUCION</v>
      </c>
      <c r="P757" s="118" t="s">
        <v>3655</v>
      </c>
      <c r="Q757" s="122">
        <f t="shared" si="2"/>
        <v>0</v>
      </c>
      <c r="R757" s="118"/>
      <c r="S757" s="118"/>
      <c r="T757" s="118">
        <f t="array" ref="T757">IFERROR(
INDEX(REPORTE_DROPI!B:B,
MATCH(
CLEAN(TRIM(C757)),
CLEAN(TRIM(REPORTE_DROPI!E:E)),
0
)
),
""
)
</f>
        <v>4236228</v>
      </c>
      <c r="U757" s="118">
        <v>6.437649154092E12</v>
      </c>
      <c r="V757" s="78"/>
      <c r="W757" s="78"/>
      <c r="X757" s="78"/>
      <c r="Y757" s="78"/>
      <c r="Z757" s="78"/>
    </row>
    <row r="758" ht="22.5" customHeight="1">
      <c r="A758" s="118">
        <v>757.0</v>
      </c>
      <c r="B758" s="119">
        <v>46044.0</v>
      </c>
      <c r="C758" s="126" t="s">
        <v>5239</v>
      </c>
      <c r="D758" s="118" t="str">
        <f>IFERROR(__xludf.DUMMYFUNCTION("IFERROR(
  INDEX(
    FILTER(
      'NOMBRE DE PRODUCTOS'!B:B,
      REGEXMATCH(
        UPPER(
          INDEX(
            REPORTE_DROPI!AC:AC,
            MATCH(T758, REPORTE_DROPI!B:B, 0)
          )
        ),
        UPPER('NOMBRE DE PRODUCTOS'!A:A)"&amp;"
      )
    ),
    1
  ),
  ""REVISAR""
)
"),"FilmPro®")</f>
        <v>FilmPro®</v>
      </c>
      <c r="E758" s="120" t="str">
        <f t="array" ref="E758">IF(
UPPER(TRIM(CLEAN($O758)))="ENTREGADO",
IFERROR(
INDEX(REPORTE_DROPI!Y:Y,
MATCH($T758, REPORTE_DROPI!B:B, 0)
),
""
),
""
)
</f>
        <v/>
      </c>
      <c r="F758" s="121">
        <v>2.0</v>
      </c>
      <c r="G758" s="122" t="str">
        <f t="array" ref="G758">IF(
UPPER(TRIM(CLEAN($O758)))="ENTREGADO",
IFERROR(
INDEX(REPORTE_DROPI!R:R,
MATCH($T758, REPORTE_DROPI!B:B, 0)
),
""
),
""
)
</f>
        <v/>
      </c>
      <c r="H758" s="118" t="s">
        <v>3727</v>
      </c>
      <c r="I758" s="118" t="s">
        <v>3731</v>
      </c>
      <c r="J758" s="121" t="str">
        <f t="array" ref="J758">IF(
UPPER(TRIM(CLEAN($O758)))="ENTREGADO",
IFERROR(
INDEX(REPORTE_DROPI!T:T,
MATCH($T758, REPORTE_DROPI!B:B, 0)
),
""
),
""
)
</f>
        <v/>
      </c>
      <c r="K758" s="118" t="str">
        <f t="array" ref="K758">IFERROR(
INDEX(REPORTE_DROPI!S:S,
MATCH($T758, REPORTE_DROPI!B:B, 0)
),
""
)
</f>
        <v/>
      </c>
      <c r="L758" s="118">
        <f>IF(
  O758&lt;&gt;"DEVOLUCION",
  "",
  IF(
    T758="",
    "",
    SUMIF(DEVOLUCION!F:F, T758, DEVOLUCION!D:D)
  )
)
</f>
        <v>3.48</v>
      </c>
      <c r="M758" s="118" t="s">
        <v>3870</v>
      </c>
      <c r="N758" s="130" t="s">
        <v>5240</v>
      </c>
      <c r="O758" s="118" t="str">
        <f t="array" ref="O758">IFERROR(
VLOOKUP(
TRIM(CLEAN(
INDEX(REPORTE_DROPI!K:K,
MATCH(T758, REPORTE_DROPI!B:B, 0)
))),
{
TRIM(CLEAN(MAPA_ESTADOS!A:A)) ,
MAPA_ESTADOS!B:B
},
2,
FALSE
),
"REVISAR"
)
</f>
        <v>DEVOLUCION</v>
      </c>
      <c r="P758" s="118" t="s">
        <v>3655</v>
      </c>
      <c r="Q758" s="122">
        <f t="shared" si="2"/>
        <v>0</v>
      </c>
      <c r="R758" s="118"/>
      <c r="S758" s="118"/>
      <c r="T758" s="118">
        <f t="array" ref="T758">IFERROR(
INDEX(REPORTE_DROPI!B:B,
MATCH(
CLEAN(TRIM(C758)),
CLEAN(TRIM(REPORTE_DROPI!E:E)),
0
)
),
""
)
</f>
        <v>4236237</v>
      </c>
      <c r="U758" s="118">
        <v>6.437650038828E12</v>
      </c>
      <c r="V758" s="78"/>
      <c r="W758" s="78"/>
      <c r="X758" s="78"/>
      <c r="Y758" s="78"/>
      <c r="Z758" s="78"/>
    </row>
    <row r="759" ht="22.5" customHeight="1">
      <c r="A759" s="118">
        <v>758.0</v>
      </c>
      <c r="B759" s="119">
        <v>46044.0</v>
      </c>
      <c r="C759" s="118" t="s">
        <v>5241</v>
      </c>
      <c r="D759" s="118" t="str">
        <f>IFERROR(__xludf.DUMMYFUNCTION("IFERROR(
  INDEX(
    FILTER(
      'NOMBRE DE PRODUCTOS'!B:B,
      REGEXMATCH(
        UPPER(
          INDEX(
            REPORTE_DROPI!AC:AC,
            MATCH(T759, REPORTE_DROPI!B:B, 0)
          )
        ),
        UPPER('NOMBRE DE PRODUCTOS'!A:A)"&amp;"
      )
    ),
    1
  ),
  ""REVISAR""
)
"),"FilmPro®")</f>
        <v>FilmPro®</v>
      </c>
      <c r="E759" s="120">
        <f t="array" ref="E759">IF(
UPPER(TRIM(CLEAN($O759)))="ENTREGADO",
IFERROR(
INDEX(REPORTE_DROPI!Y:Y,
MATCH($T759, REPORTE_DROPI!B:B, 0)
),
""
),
""
)
</f>
        <v>4.7</v>
      </c>
      <c r="F759" s="121">
        <v>2.0</v>
      </c>
      <c r="G759" s="122">
        <f t="array" ref="G759">IF(
UPPER(TRIM(CLEAN($O759)))="ENTREGADO",
IFERROR(
INDEX(REPORTE_DROPI!R:R,
MATCH($T759, REPORTE_DROPI!B:B, 0)
),
""
),
""
)
</f>
        <v>25</v>
      </c>
      <c r="H759" s="118" t="s">
        <v>3727</v>
      </c>
      <c r="I759" s="118" t="s">
        <v>3801</v>
      </c>
      <c r="J759" s="121">
        <f t="array" ref="J759">IF(
UPPER(TRIM(CLEAN($O759)))="ENTREGADO",
IFERROR(
INDEX(REPORTE_DROPI!T:T,
MATCH($T759, REPORTE_DROPI!B:B, 0)
),
""
),
""
)
</f>
        <v>5.96</v>
      </c>
      <c r="K759" s="118">
        <f t="array" ref="K759">IFERROR(
INDEX(REPORTE_DROPI!S:S,
MATCH($T759, REPORTE_DROPI!B:B, 0)
),
""
)
</f>
        <v>14.34</v>
      </c>
      <c r="L759" s="118" t="str">
        <f>IF(
  O759&lt;&gt;"DEVOLUCION",
  "",
  IF(
    T759="",
    "",
    SUMIF(DEVOLUCION!F:F, T759, DEVOLUCION!D:D)
  )
)
</f>
        <v/>
      </c>
      <c r="M759" s="118" t="s">
        <v>3870</v>
      </c>
      <c r="N759" s="130" t="s">
        <v>5242</v>
      </c>
      <c r="O759" s="118" t="str">
        <f t="array" ref="O759">IFERROR(
VLOOKUP(
TRIM(CLEAN(
INDEX(REPORTE_DROPI!K:K,
MATCH(T759, REPORTE_DROPI!B:B, 0)
))),
{
TRIM(CLEAN(MAPA_ESTADOS!A:A)) ,
MAPA_ESTADOS!B:B
},
2,
FALSE
),
"REVISAR"
)
</f>
        <v>ENTREGADO</v>
      </c>
      <c r="P759" s="118" t="s">
        <v>3655</v>
      </c>
      <c r="Q759" s="122">
        <f t="shared" si="2"/>
        <v>0</v>
      </c>
      <c r="R759" s="118"/>
      <c r="S759" s="118"/>
      <c r="T759" s="118">
        <f t="array" ref="T759">IFERROR(
INDEX(REPORTE_DROPI!B:B,
MATCH(
CLEAN(TRIM(C759)),
CLEAN(TRIM(REPORTE_DROPI!E:E)),
0
)
),
""
)
</f>
        <v>4236286</v>
      </c>
      <c r="U759" s="118">
        <v>6.43765688734E12</v>
      </c>
      <c r="V759" s="78"/>
      <c r="W759" s="78"/>
      <c r="X759" s="78"/>
      <c r="Y759" s="78"/>
      <c r="Z759" s="78"/>
    </row>
    <row r="760" ht="22.5" customHeight="1">
      <c r="A760" s="118">
        <v>759.0</v>
      </c>
      <c r="B760" s="119">
        <v>46044.0</v>
      </c>
      <c r="C760" s="118" t="s">
        <v>5243</v>
      </c>
      <c r="D760" s="118" t="str">
        <f>IFERROR(__xludf.DUMMYFUNCTION("IFERROR(
  INDEX(
    FILTER(
      'NOMBRE DE PRODUCTOS'!B:B,
      REGEXMATCH(
        UPPER(
          INDEX(
            REPORTE_DROPI!AC:AC,
            MATCH(T760, REPORTE_DROPI!B:B, 0)
          )
        ),
        UPPER('NOMBRE DE PRODUCTOS'!A:A)"&amp;"
      )
    ),
    1
  ),
  ""REVISAR""
)
"),"FilmPro®")</f>
        <v>FilmPro®</v>
      </c>
      <c r="E760" s="120">
        <f t="array" ref="E760">IF(
UPPER(TRIM(CLEAN($O760)))="ENTREGADO",
IFERROR(
INDEX(REPORTE_DROPI!Y:Y,
MATCH($T760, REPORTE_DROPI!B:B, 0)
),
""
),
""
)
</f>
        <v>7.05</v>
      </c>
      <c r="F760" s="121">
        <v>3.0</v>
      </c>
      <c r="G760" s="122">
        <f t="array" ref="G760">IF(
UPPER(TRIM(CLEAN($O760)))="ENTREGADO",
IFERROR(
INDEX(REPORTE_DROPI!R:R,
MATCH($T760, REPORTE_DROPI!B:B, 0)
),
""
),
""
)
</f>
        <v>30</v>
      </c>
      <c r="H760" s="118" t="s">
        <v>3727</v>
      </c>
      <c r="I760" s="118" t="s">
        <v>3731</v>
      </c>
      <c r="J760" s="121">
        <f t="array" ref="J760">IF(
UPPER(TRIM(CLEAN($O760)))="ENTREGADO",
IFERROR(
INDEX(REPORTE_DROPI!T:T,
MATCH($T760, REPORTE_DROPI!B:B, 0)
),
""
),
""
)
</f>
        <v>5.12</v>
      </c>
      <c r="K760" s="118">
        <f t="array" ref="K760">IFERROR(
INDEX(REPORTE_DROPI!S:S,
MATCH($T760, REPORTE_DROPI!B:B, 0)
),
""
)
</f>
        <v>17.83</v>
      </c>
      <c r="L760" s="118" t="str">
        <f>IF(
  O760&lt;&gt;"DEVOLUCION",
  "",
  IF(
    T760="",
    "",
    SUMIF(DEVOLUCION!F:F, T760, DEVOLUCION!D:D)
  )
)
</f>
        <v/>
      </c>
      <c r="M760" s="118" t="s">
        <v>3870</v>
      </c>
      <c r="N760" s="130" t="s">
        <v>5244</v>
      </c>
      <c r="O760" s="118" t="str">
        <f t="array" ref="O760">IFERROR(
VLOOKUP(
TRIM(CLEAN(
INDEX(REPORTE_DROPI!K:K,
MATCH(T760, REPORTE_DROPI!B:B, 0)
))),
{
TRIM(CLEAN(MAPA_ESTADOS!A:A)) ,
MAPA_ESTADOS!B:B
},
2,
FALSE
),
"REVISAR"
)
</f>
        <v>ENTREGADO</v>
      </c>
      <c r="P760" s="118" t="s">
        <v>3655</v>
      </c>
      <c r="Q760" s="122">
        <f t="shared" si="2"/>
        <v>0</v>
      </c>
      <c r="R760" s="118"/>
      <c r="S760" s="118"/>
      <c r="T760" s="118">
        <f t="array" ref="T760">IFERROR(
INDEX(REPORTE_DROPI!B:B,
MATCH(
CLEAN(TRIM(C760)),
CLEAN(TRIM(REPORTE_DROPI!E:E)),
0
)
),
""
)
</f>
        <v>4236364</v>
      </c>
      <c r="U760" s="118">
        <v>6.437665046572E12</v>
      </c>
      <c r="V760" s="78"/>
      <c r="W760" s="78"/>
      <c r="X760" s="78"/>
      <c r="Y760" s="78"/>
      <c r="Z760" s="78"/>
    </row>
    <row r="761" ht="22.5" customHeight="1">
      <c r="A761" s="118">
        <v>760.0</v>
      </c>
      <c r="B761" s="119">
        <v>46044.0</v>
      </c>
      <c r="C761" s="118" t="s">
        <v>5245</v>
      </c>
      <c r="D761" s="118" t="str">
        <f>IFERROR(__xludf.DUMMYFUNCTION("IFERROR(
  INDEX(
    FILTER(
      'NOMBRE DE PRODUCTOS'!B:B,
      REGEXMATCH(
        UPPER(
          INDEX(
            REPORTE_DROPI!AC:AC,
            MATCH(T761, REPORTE_DROPI!B:B, 0)
          )
        ),
        UPPER('NOMBRE DE PRODUCTOS'!A:A)"&amp;"
      )
    ),
    1
  ),
  ""REVISAR""
)
"),"FilmPro®")</f>
        <v>FilmPro®</v>
      </c>
      <c r="E761" s="120">
        <f t="array" ref="E761">IF(
UPPER(TRIM(CLEAN($O761)))="ENTREGADO",
IFERROR(
INDEX(REPORTE_DROPI!Y:Y,
MATCH($T761, REPORTE_DROPI!B:B, 0)
),
""
),
""
)
</f>
        <v>7.05</v>
      </c>
      <c r="F761" s="121">
        <v>3.0</v>
      </c>
      <c r="G761" s="122">
        <f t="array" ref="G761">IF(
UPPER(TRIM(CLEAN($O761)))="ENTREGADO",
IFERROR(
INDEX(REPORTE_DROPI!R:R,
MATCH($T761, REPORTE_DROPI!B:B, 0)
),
""
),
""
)
</f>
        <v>30</v>
      </c>
      <c r="H761" s="118" t="s">
        <v>3727</v>
      </c>
      <c r="I761" s="118" t="s">
        <v>3731</v>
      </c>
      <c r="J761" s="121">
        <f t="array" ref="J761">IF(
UPPER(TRIM(CLEAN($O761)))="ENTREGADO",
IFERROR(
INDEX(REPORTE_DROPI!T:T,
MATCH($T761, REPORTE_DROPI!B:B, 0)
),
""
),
""
)
</f>
        <v>5.12</v>
      </c>
      <c r="K761" s="118">
        <f t="array" ref="K761">IFERROR(
INDEX(REPORTE_DROPI!S:S,
MATCH($T761, REPORTE_DROPI!B:B, 0)
),
""
)
</f>
        <v>17.83</v>
      </c>
      <c r="L761" s="118" t="str">
        <f>IF(
  O761&lt;&gt;"DEVOLUCION",
  "",
  IF(
    T761="",
    "",
    SUMIF(DEVOLUCION!F:F, T761, DEVOLUCION!D:D)
  )
)
</f>
        <v/>
      </c>
      <c r="M761" s="118" t="s">
        <v>3870</v>
      </c>
      <c r="N761" s="130" t="s">
        <v>5246</v>
      </c>
      <c r="O761" s="118" t="str">
        <f t="array" ref="O761">IFERROR(
VLOOKUP(
TRIM(CLEAN(
INDEX(REPORTE_DROPI!K:K,
MATCH(T761, REPORTE_DROPI!B:B, 0)
))),
{
TRIM(CLEAN(MAPA_ESTADOS!A:A)) ,
MAPA_ESTADOS!B:B
},
2,
FALSE
),
"REVISAR"
)
</f>
        <v>ENTREGADO</v>
      </c>
      <c r="P761" s="118" t="s">
        <v>3655</v>
      </c>
      <c r="Q761" s="122">
        <f t="shared" si="2"/>
        <v>0</v>
      </c>
      <c r="R761" s="118"/>
      <c r="S761" s="118"/>
      <c r="T761" s="118">
        <f t="array" ref="T761">IFERROR(
INDEX(REPORTE_DROPI!B:B,
MATCH(
CLEAN(TRIM(C761)),
CLEAN(TRIM(REPORTE_DROPI!E:E)),
0
)
),
""
)
</f>
        <v>4236370</v>
      </c>
      <c r="U761" s="118">
        <v>6.437665701932E12</v>
      </c>
      <c r="V761" s="78"/>
      <c r="W761" s="78"/>
      <c r="X761" s="78"/>
      <c r="Y761" s="78"/>
      <c r="Z761" s="78"/>
    </row>
    <row r="762" ht="22.5" customHeight="1">
      <c r="A762" s="118">
        <v>761.0</v>
      </c>
      <c r="B762" s="119">
        <v>46044.0</v>
      </c>
      <c r="C762" s="118" t="s">
        <v>5247</v>
      </c>
      <c r="D762" s="118" t="str">
        <f>IFERROR(__xludf.DUMMYFUNCTION("IFERROR(
  INDEX(
    FILTER(
      'NOMBRE DE PRODUCTOS'!B:B,
      REGEXMATCH(
        UPPER(
          INDEX(
            REPORTE_DROPI!AC:AC,
            MATCH(T762, REPORTE_DROPI!B:B, 0)
          )
        ),
        UPPER('NOMBRE DE PRODUCTOS'!A:A)"&amp;"
      )
    ),
    1
  ),
  ""REVISAR""
)
"),"FilmPro®")</f>
        <v>FilmPro®</v>
      </c>
      <c r="E762" s="120">
        <f t="array" ref="E762">IF(
UPPER(TRIM(CLEAN($O762)))="ENTREGADO",
IFERROR(
INDEX(REPORTE_DROPI!Y:Y,
MATCH($T762, REPORTE_DROPI!B:B, 0)
),
""
),
""
)
</f>
        <v>2.35</v>
      </c>
      <c r="F762" s="121">
        <v>1.0</v>
      </c>
      <c r="G762" s="122">
        <f t="array" ref="G762">IF(
UPPER(TRIM(CLEAN($O762)))="ENTREGADO",
IFERROR(
INDEX(REPORTE_DROPI!R:R,
MATCH($T762, REPORTE_DROPI!B:B, 0)
),
""
),
""
)
</f>
        <v>20</v>
      </c>
      <c r="H762" s="118" t="s">
        <v>3727</v>
      </c>
      <c r="I762" s="118" t="s">
        <v>3882</v>
      </c>
      <c r="J762" s="121">
        <f t="array" ref="J762">IF(
UPPER(TRIM(CLEAN($O762)))="ENTREGADO",
IFERROR(
INDEX(REPORTE_DROPI!T:T,
MATCH($T762, REPORTE_DROPI!B:B, 0)
),
""
),
""
)
</f>
        <v>7.67</v>
      </c>
      <c r="K762" s="118">
        <f t="array" ref="K762">IFERROR(
INDEX(REPORTE_DROPI!S:S,
MATCH($T762, REPORTE_DROPI!B:B, 0)
),
""
)
</f>
        <v>9.98</v>
      </c>
      <c r="L762" s="118" t="str">
        <f>IF(
  O762&lt;&gt;"DEVOLUCION",
  "",
  IF(
    T762="",
    "",
    SUMIF(DEVOLUCION!F:F, T762, DEVOLUCION!D:D)
  )
)
</f>
        <v/>
      </c>
      <c r="M762" s="118" t="s">
        <v>3870</v>
      </c>
      <c r="N762" s="130" t="s">
        <v>5248</v>
      </c>
      <c r="O762" s="118" t="str">
        <f t="array" ref="O762">IFERROR(
VLOOKUP(
TRIM(CLEAN(
INDEX(REPORTE_DROPI!K:K,
MATCH(T762, REPORTE_DROPI!B:B, 0)
))),
{
TRIM(CLEAN(MAPA_ESTADOS!A:A)) ,
MAPA_ESTADOS!B:B
},
2,
FALSE
),
"REVISAR"
)
</f>
        <v>ENTREGADO</v>
      </c>
      <c r="P762" s="118" t="s">
        <v>3655</v>
      </c>
      <c r="Q762" s="122">
        <f t="shared" si="2"/>
        <v>0</v>
      </c>
      <c r="R762" s="118"/>
      <c r="S762" s="118"/>
      <c r="T762" s="118">
        <f t="array" ref="T762">IFERROR(
INDEX(REPORTE_DROPI!B:B,
MATCH(
CLEAN(TRIM(C762)),
CLEAN(TRIM(REPORTE_DROPI!E:E)),
0
)
),
""
)
</f>
        <v>4236432</v>
      </c>
      <c r="U762" s="118">
        <v>6.437672976428E12</v>
      </c>
      <c r="V762" s="78"/>
      <c r="W762" s="78"/>
      <c r="X762" s="78"/>
      <c r="Y762" s="78"/>
      <c r="Z762" s="78"/>
    </row>
    <row r="763" ht="22.5" customHeight="1">
      <c r="A763" s="118">
        <v>762.0</v>
      </c>
      <c r="B763" s="119">
        <v>46044.0</v>
      </c>
      <c r="C763" s="118" t="s">
        <v>5249</v>
      </c>
      <c r="D763" s="118" t="str">
        <f>IFERROR(__xludf.DUMMYFUNCTION("IFERROR(
  INDEX(
    FILTER(
      'NOMBRE DE PRODUCTOS'!B:B,
      REGEXMATCH(
        UPPER(
          INDEX(
            REPORTE_DROPI!AC:AC,
            MATCH(T763, REPORTE_DROPI!B:B, 0)
          )
        ),
        UPPER('NOMBRE DE PRODUCTOS'!A:A)"&amp;"
      )
    ),
    1
  ),
  ""REVISAR""
)
"),"FilmPro®")</f>
        <v>FilmPro®</v>
      </c>
      <c r="E763" s="120" t="str">
        <f t="array" ref="E763">IF(
UPPER(TRIM(CLEAN($O763)))="ENTREGADO",
IFERROR(
INDEX(REPORTE_DROPI!Y:Y,
MATCH($T763, REPORTE_DROPI!B:B, 0)
),
""
),
""
)
</f>
        <v/>
      </c>
      <c r="F763" s="121">
        <v>3.0</v>
      </c>
      <c r="G763" s="122" t="str">
        <f t="array" ref="G763">IF(
UPPER(TRIM(CLEAN($O763)))="ENTREGADO",
IFERROR(
INDEX(REPORTE_DROPI!R:R,
MATCH($T763, REPORTE_DROPI!B:B, 0)
),
""
),
""
)
</f>
        <v/>
      </c>
      <c r="H763" s="118" t="s">
        <v>3727</v>
      </c>
      <c r="I763" s="118" t="s">
        <v>3731</v>
      </c>
      <c r="J763" s="121" t="str">
        <f t="array" ref="J763">IF(
UPPER(TRIM(CLEAN($O763)))="ENTREGADO",
IFERROR(
INDEX(REPORTE_DROPI!T:T,
MATCH($T763, REPORTE_DROPI!B:B, 0)
),
""
),
""
)
</f>
        <v/>
      </c>
      <c r="K763" s="118" t="str">
        <f t="array" ref="K763">IFERROR(
INDEX(REPORTE_DROPI!S:S,
MATCH($T763, REPORTE_DROPI!B:B, 0)
),
""
)
</f>
        <v/>
      </c>
      <c r="L763" s="118">
        <f>IF(
  O763&lt;&gt;"DEVOLUCION",
  "",
  IF(
    T763="",
    "",
    SUMIF(DEVOLUCION!F:F, T763, DEVOLUCION!D:D)
  )
)
</f>
        <v>4.08</v>
      </c>
      <c r="M763" s="118" t="s">
        <v>3870</v>
      </c>
      <c r="N763" s="130" t="s">
        <v>5250</v>
      </c>
      <c r="O763" s="118" t="str">
        <f t="array" ref="O763">IFERROR(
VLOOKUP(
TRIM(CLEAN(
INDEX(REPORTE_DROPI!K:K,
MATCH(T763, REPORTE_DROPI!B:B, 0)
))),
{
TRIM(CLEAN(MAPA_ESTADOS!A:A)) ,
MAPA_ESTADOS!B:B
},
2,
FALSE
),
"REVISAR"
)
</f>
        <v>DEVOLUCION</v>
      </c>
      <c r="P763" s="118" t="s">
        <v>3655</v>
      </c>
      <c r="Q763" s="122">
        <f t="shared" si="2"/>
        <v>0</v>
      </c>
      <c r="R763" s="118"/>
      <c r="S763" s="118"/>
      <c r="T763" s="118">
        <f t="array" ref="T763">IFERROR(
INDEX(REPORTE_DROPI!B:B,
MATCH(
CLEAN(TRIM(C763)),
CLEAN(TRIM(REPORTE_DROPI!E:E)),
0
)
),
""
)
</f>
        <v>4238109</v>
      </c>
      <c r="U763" s="118">
        <v>6.437888294956E12</v>
      </c>
      <c r="V763" s="78"/>
      <c r="W763" s="78"/>
      <c r="X763" s="78"/>
      <c r="Y763" s="78"/>
      <c r="Z763" s="78"/>
    </row>
    <row r="764" ht="22.5" customHeight="1">
      <c r="A764" s="118">
        <v>763.0</v>
      </c>
      <c r="B764" s="119">
        <v>46044.0</v>
      </c>
      <c r="C764" s="126" t="s">
        <v>5251</v>
      </c>
      <c r="D764" s="118" t="str">
        <f>IFERROR(__xludf.DUMMYFUNCTION("IFERROR(
  INDEX(
    FILTER(
      'NOMBRE DE PRODUCTOS'!B:B,
      REGEXMATCH(
        UPPER(
          INDEX(
            REPORTE_DROPI!AC:AC,
            MATCH(T764, REPORTE_DROPI!B:B, 0)
          )
        ),
        UPPER('NOMBRE DE PRODUCTOS'!A:A)"&amp;"
      )
    ),
    1
  ),
  ""REVISAR""
)
"),"FilmPro®")</f>
        <v>FilmPro®</v>
      </c>
      <c r="E764" s="120" t="str">
        <f t="array" ref="E764">IF(
UPPER(TRIM(CLEAN($O764)))="ENTREGADO",
IFERROR(
INDEX(REPORTE_DROPI!Y:Y,
MATCH($T764, REPORTE_DROPI!B:B, 0)
),
""
),
""
)
</f>
        <v/>
      </c>
      <c r="F764" s="121">
        <v>1.0</v>
      </c>
      <c r="G764" s="122" t="str">
        <f t="array" ref="G764">IF(
UPPER(TRIM(CLEAN($O764)))="ENTREGADO",
IFERROR(
INDEX(REPORTE_DROPI!R:R,
MATCH($T764, REPORTE_DROPI!B:B, 0)
),
""
),
""
)
</f>
        <v/>
      </c>
      <c r="H764" s="118" t="s">
        <v>3727</v>
      </c>
      <c r="I764" s="118" t="s">
        <v>3742</v>
      </c>
      <c r="J764" s="121" t="str">
        <f t="array" ref="J764">IF(
UPPER(TRIM(CLEAN($O764)))="ENTREGADO",
IFERROR(
INDEX(REPORTE_DROPI!T:T,
MATCH($T764, REPORTE_DROPI!B:B, 0)
),
""
),
""
)
</f>
        <v/>
      </c>
      <c r="K764" s="118" t="str">
        <f t="array" ref="K764">IFERROR(
INDEX(REPORTE_DROPI!S:S,
MATCH($T764, REPORTE_DROPI!B:B, 0)
),
""
)
</f>
        <v/>
      </c>
      <c r="L764" s="118" t="str">
        <f>IF(
  O764&lt;&gt;"DEVOLUCION",
  "",
  IF(
    T764="",
    "",
    SUMIF(DEVOLUCION!F:F, T764, DEVOLUCION!D:D)
  )
)
</f>
        <v/>
      </c>
      <c r="M764" s="118" t="s">
        <v>3870</v>
      </c>
      <c r="N764" s="130" t="s">
        <v>5252</v>
      </c>
      <c r="O764" s="118" t="str">
        <f t="array" ref="O764">IFERROR(
VLOOKUP(
TRIM(CLEAN(
INDEX(REPORTE_DROPI!K:K,
MATCH(T764, REPORTE_DROPI!B:B, 0)
))),
{
TRIM(CLEAN(MAPA_ESTADOS!A:A)) ,
MAPA_ESTADOS!B:B
},
2,
FALSE
),
"REVISAR"
)
</f>
        <v>PENDIENTE</v>
      </c>
      <c r="P764" s="118" t="s">
        <v>3655</v>
      </c>
      <c r="Q764" s="122">
        <f t="shared" si="2"/>
        <v>0</v>
      </c>
      <c r="R764" s="118"/>
      <c r="S764" s="118"/>
      <c r="T764" s="118">
        <f t="array" ref="T764">IFERROR(
INDEX(REPORTE_DROPI!B:B,
MATCH(
CLEAN(TRIM(C764)),
CLEAN(TRIM(REPORTE_DROPI!E:E)),
0
)
),
""
)
</f>
        <v>4244800</v>
      </c>
      <c r="U764" s="118">
        <v>6.437906153516E12</v>
      </c>
      <c r="V764" s="78"/>
      <c r="W764" s="78"/>
      <c r="X764" s="78"/>
      <c r="Y764" s="78"/>
      <c r="Z764" s="78"/>
    </row>
    <row r="765" ht="22.5" customHeight="1">
      <c r="A765" s="118">
        <v>764.0</v>
      </c>
      <c r="B765" s="119">
        <v>46044.0</v>
      </c>
      <c r="C765" s="118" t="s">
        <v>5253</v>
      </c>
      <c r="D765" s="118" t="str">
        <f>IFERROR(__xludf.DUMMYFUNCTION("IFERROR(
  INDEX(
    FILTER(
      'NOMBRE DE PRODUCTOS'!B:B,
      REGEXMATCH(
        UPPER(
          INDEX(
            REPORTE_DROPI!AC:AC,
            MATCH(T765, REPORTE_DROPI!B:B, 0)
          )
        ),
        UPPER('NOMBRE DE PRODUCTOS'!A:A)"&amp;"
      )
    ),
    1
  ),
  ""REVISAR""
)
"),"FilmPro®")</f>
        <v>FilmPro®</v>
      </c>
      <c r="E765" s="120">
        <f t="array" ref="E765">IF(
UPPER(TRIM(CLEAN($O765)))="ENTREGADO",
IFERROR(
INDEX(REPORTE_DROPI!Y:Y,
MATCH($T765, REPORTE_DROPI!B:B, 0)
),
""
),
""
)
</f>
        <v>2.35</v>
      </c>
      <c r="F765" s="121">
        <v>1.0</v>
      </c>
      <c r="G765" s="122">
        <f t="array" ref="G765">IF(
UPPER(TRIM(CLEAN($O765)))="ENTREGADO",
IFERROR(
INDEX(REPORTE_DROPI!R:R,
MATCH($T765, REPORTE_DROPI!B:B, 0)
),
""
),
""
)
</f>
        <v>20</v>
      </c>
      <c r="H765" s="118" t="s">
        <v>3727</v>
      </c>
      <c r="I765" s="118" t="s">
        <v>3731</v>
      </c>
      <c r="J765" s="121">
        <f t="array" ref="J765">IF(
UPPER(TRIM(CLEAN($O765)))="ENTREGADO",
IFERROR(
INDEX(REPORTE_DROPI!T:T,
MATCH($T765, REPORTE_DROPI!B:B, 0)
),
""
),
""
)
</f>
        <v>4.15</v>
      </c>
      <c r="K765" s="118">
        <f t="array" ref="K765">IFERROR(
INDEX(REPORTE_DROPI!S:S,
MATCH($T765, REPORTE_DROPI!B:B, 0)
),
""
)
</f>
        <v>13.5</v>
      </c>
      <c r="L765" s="118" t="str">
        <f>IF(
  O765&lt;&gt;"DEVOLUCION",
  "",
  IF(
    T765="",
    "",
    SUMIF(DEVOLUCION!F:F, T765, DEVOLUCION!D:D)
  )
)
</f>
        <v/>
      </c>
      <c r="M765" s="118" t="s">
        <v>3870</v>
      </c>
      <c r="N765" s="130" t="s">
        <v>5254</v>
      </c>
      <c r="O765" s="118" t="str">
        <f t="array" ref="O765">IFERROR(
VLOOKUP(
TRIM(CLEAN(
INDEX(REPORTE_DROPI!K:K,
MATCH(T765, REPORTE_DROPI!B:B, 0)
))),
{
TRIM(CLEAN(MAPA_ESTADOS!A:A)) ,
MAPA_ESTADOS!B:B
},
2,
FALSE
),
"REVISAR"
)
</f>
        <v>ENTREGADO</v>
      </c>
      <c r="P765" s="118" t="s">
        <v>3655</v>
      </c>
      <c r="Q765" s="122">
        <f t="shared" si="2"/>
        <v>0</v>
      </c>
      <c r="R765" s="118"/>
      <c r="S765" s="118"/>
      <c r="T765" s="118">
        <f t="array" ref="T765">IFERROR(
INDEX(REPORTE_DROPI!B:B,
MATCH(
CLEAN(TRIM(C765)),
CLEAN(TRIM(REPORTE_DROPI!E:E)),
0
)
),
""
)
</f>
        <v>4238545</v>
      </c>
      <c r="U765" s="118">
        <v>6.437951045676E12</v>
      </c>
      <c r="V765" s="78"/>
      <c r="W765" s="78"/>
      <c r="X765" s="78"/>
      <c r="Y765" s="78"/>
      <c r="Z765" s="78"/>
    </row>
    <row r="766" ht="22.5" customHeight="1">
      <c r="A766" s="118">
        <v>765.0</v>
      </c>
      <c r="B766" s="119">
        <v>46044.0</v>
      </c>
      <c r="C766" s="126" t="s">
        <v>5255</v>
      </c>
      <c r="D766" s="118" t="str">
        <f>IFERROR(__xludf.DUMMYFUNCTION("IFERROR(
  INDEX(
    FILTER(
      'NOMBRE DE PRODUCTOS'!B:B,
      REGEXMATCH(
        UPPER(
          INDEX(
            REPORTE_DROPI!AC:AC,
            MATCH(T766, REPORTE_DROPI!B:B, 0)
          )
        ),
        UPPER('NOMBRE DE PRODUCTOS'!A:A)"&amp;"
      )
    ),
    1
  ),
  ""REVISAR""
)
"),"FilmPro®")</f>
        <v>FilmPro®</v>
      </c>
      <c r="E766" s="120" t="str">
        <f t="array" ref="E766">IF(
UPPER(TRIM(CLEAN($O766)))="ENTREGADO",
IFERROR(
INDEX(REPORTE_DROPI!Y:Y,
MATCH($T766, REPORTE_DROPI!B:B, 0)
),
""
),
""
)
</f>
        <v/>
      </c>
      <c r="F766" s="121">
        <v>1.0</v>
      </c>
      <c r="G766" s="122" t="str">
        <f t="array" ref="G766">IF(
UPPER(TRIM(CLEAN($O766)))="ENTREGADO",
IFERROR(
INDEX(REPORTE_DROPI!R:R,
MATCH($T766, REPORTE_DROPI!B:B, 0)
),
""
),
""
)
</f>
        <v/>
      </c>
      <c r="H766" s="118" t="s">
        <v>3727</v>
      </c>
      <c r="I766" s="118" t="s">
        <v>3740</v>
      </c>
      <c r="J766" s="121" t="str">
        <f t="array" ref="J766">IF(
UPPER(TRIM(CLEAN($O766)))="ENTREGADO",
IFERROR(
INDEX(REPORTE_DROPI!T:T,
MATCH($T766, REPORTE_DROPI!B:B, 0)
),
""
),
""
)
</f>
        <v/>
      </c>
      <c r="K766" s="118" t="str">
        <f t="array" ref="K766">IFERROR(
INDEX(REPORTE_DROPI!S:S,
MATCH($T766, REPORTE_DROPI!B:B, 0)
),
""
)
</f>
        <v/>
      </c>
      <c r="L766" s="118">
        <f>IF(
  O766&lt;&gt;"DEVOLUCION",
  "",
  IF(
    T766="",
    "",
    SUMIF(DEVOLUCION!F:F, T766, DEVOLUCION!D:D)
  )
)
</f>
        <v>5.06</v>
      </c>
      <c r="M766" s="118" t="s">
        <v>3870</v>
      </c>
      <c r="N766" s="130" t="s">
        <v>5256</v>
      </c>
      <c r="O766" s="118" t="str">
        <f t="array" ref="O766">IFERROR(
VLOOKUP(
TRIM(CLEAN(
INDEX(REPORTE_DROPI!K:K,
MATCH(T766, REPORTE_DROPI!B:B, 0)
))),
{
TRIM(CLEAN(MAPA_ESTADOS!A:A)) ,
MAPA_ESTADOS!B:B
},
2,
FALSE
),
"REVISAR"
)
</f>
        <v>DEVOLUCION</v>
      </c>
      <c r="P766" s="118" t="s">
        <v>3655</v>
      </c>
      <c r="Q766" s="122">
        <f t="shared" si="2"/>
        <v>0</v>
      </c>
      <c r="R766" s="118"/>
      <c r="S766" s="118"/>
      <c r="T766" s="118">
        <f t="array" ref="T766">IFERROR(
INDEX(REPORTE_DROPI!B:B,
MATCH(
CLEAN(TRIM(C766)),
CLEAN(TRIM(REPORTE_DROPI!E:E)),
0
)
),
""
)
</f>
        <v>4239610</v>
      </c>
      <c r="U766" s="118">
        <v>6.438151585836E12</v>
      </c>
      <c r="V766" s="78"/>
      <c r="W766" s="78"/>
      <c r="X766" s="78"/>
      <c r="Y766" s="78"/>
      <c r="Z766" s="78"/>
    </row>
    <row r="767" ht="22.5" customHeight="1">
      <c r="A767" s="118">
        <v>766.0</v>
      </c>
      <c r="B767" s="119">
        <v>46044.0</v>
      </c>
      <c r="C767" s="118" t="s">
        <v>5257</v>
      </c>
      <c r="D767" s="118" t="str">
        <f>IFERROR(__xludf.DUMMYFUNCTION("IFERROR(
  INDEX(
    FILTER(
      'NOMBRE DE PRODUCTOS'!B:B,
      REGEXMATCH(
        UPPER(
          INDEX(
            REPORTE_DROPI!AC:AC,
            MATCH(T767, REPORTE_DROPI!B:B, 0)
          )
        ),
        UPPER('NOMBRE DE PRODUCTOS'!A:A)"&amp;"
      )
    ),
    1
  ),
  ""REVISAR""
)
"),"FilmPro®")</f>
        <v>FilmPro®</v>
      </c>
      <c r="E767" s="120">
        <f t="array" ref="E767">IF(
UPPER(TRIM(CLEAN($O767)))="ENTREGADO",
IFERROR(
INDEX(REPORTE_DROPI!Y:Y,
MATCH($T767, REPORTE_DROPI!B:B, 0)
),
""
),
""
)
</f>
        <v>4.7</v>
      </c>
      <c r="F767" s="121">
        <v>2.0</v>
      </c>
      <c r="G767" s="122">
        <f t="array" ref="G767">IF(
UPPER(TRIM(CLEAN($O767)))="ENTREGADO",
IFERROR(
INDEX(REPORTE_DROPI!R:R,
MATCH($T767, REPORTE_DROPI!B:B, 0)
),
""
),
""
)
</f>
        <v>25</v>
      </c>
      <c r="H767" s="118" t="s">
        <v>3727</v>
      </c>
      <c r="I767" s="118" t="s">
        <v>3731</v>
      </c>
      <c r="J767" s="121">
        <f t="array" ref="J767">IF(
UPPER(TRIM(CLEAN($O767)))="ENTREGADO",
IFERROR(
INDEX(REPORTE_DROPI!T:T,
MATCH($T767, REPORTE_DROPI!B:B, 0)
),
""
),
""
)
</f>
        <v>4.35</v>
      </c>
      <c r="K767" s="118">
        <f t="array" ref="K767">IFERROR(
INDEX(REPORTE_DROPI!S:S,
MATCH($T767, REPORTE_DROPI!B:B, 0)
),
""
)
</f>
        <v>15.95</v>
      </c>
      <c r="L767" s="118" t="str">
        <f>IF(
  O767&lt;&gt;"DEVOLUCION",
  "",
  IF(
    T767="",
    "",
    SUMIF(DEVOLUCION!F:F, T767, DEVOLUCION!D:D)
  )
)
</f>
        <v/>
      </c>
      <c r="M767" s="118" t="s">
        <v>3870</v>
      </c>
      <c r="N767" s="130" t="s">
        <v>5258</v>
      </c>
      <c r="O767" s="118" t="str">
        <f t="array" ref="O767">IFERROR(
VLOOKUP(
TRIM(CLEAN(
INDEX(REPORTE_DROPI!K:K,
MATCH(T767, REPORTE_DROPI!B:B, 0)
))),
{
TRIM(CLEAN(MAPA_ESTADOS!A:A)) ,
MAPA_ESTADOS!B:B
},
2,
FALSE
),
"REVISAR"
)
</f>
        <v>ENTREGADO</v>
      </c>
      <c r="P767" s="118" t="s">
        <v>3655</v>
      </c>
      <c r="Q767" s="122">
        <f t="shared" si="2"/>
        <v>0</v>
      </c>
      <c r="R767" s="118"/>
      <c r="S767" s="118"/>
      <c r="T767" s="118">
        <f t="array" ref="T767">IFERROR(
INDEX(REPORTE_DROPI!B:B,
MATCH(
CLEAN(TRIM(C767)),
CLEAN(TRIM(REPORTE_DROPI!E:E)),
0
)
),
""
)
</f>
        <v>4240895</v>
      </c>
      <c r="U767" s="118">
        <v>6.438393446444E12</v>
      </c>
      <c r="V767" s="78"/>
      <c r="W767" s="78"/>
      <c r="X767" s="78"/>
      <c r="Y767" s="78"/>
      <c r="Z767" s="78"/>
    </row>
    <row r="768" ht="22.5" customHeight="1">
      <c r="A768" s="118">
        <v>767.0</v>
      </c>
      <c r="B768" s="119">
        <v>46044.0</v>
      </c>
      <c r="C768" s="126" t="s">
        <v>5259</v>
      </c>
      <c r="D768" s="118" t="str">
        <f>IFERROR(__xludf.DUMMYFUNCTION("IFERROR(
  INDEX(
    FILTER(
      'NOMBRE DE PRODUCTOS'!B:B,
      REGEXMATCH(
        UPPER(
          INDEX(
            REPORTE_DROPI!AC:AC,
            MATCH(T768, REPORTE_DROPI!B:B, 0)
          )
        ),
        UPPER('NOMBRE DE PRODUCTOS'!A:A)"&amp;"
      )
    ),
    1
  ),
  ""REVISAR""
)
"),"FilmPro®")</f>
        <v>FilmPro®</v>
      </c>
      <c r="E768" s="120" t="str">
        <f t="array" ref="E768">IF(
UPPER(TRIM(CLEAN($O768)))="ENTREGADO",
IFERROR(
INDEX(REPORTE_DROPI!Y:Y,
MATCH($T768, REPORTE_DROPI!B:B, 0)
),
""
),
""
)
</f>
        <v/>
      </c>
      <c r="F768" s="121">
        <v>1.0</v>
      </c>
      <c r="G768" s="122" t="str">
        <f t="array" ref="G768">IF(
UPPER(TRIM(CLEAN($O768)))="ENTREGADO",
IFERROR(
INDEX(REPORTE_DROPI!R:R,
MATCH($T768, REPORTE_DROPI!B:B, 0)
),
""
),
""
)
</f>
        <v/>
      </c>
      <c r="H768" s="118" t="s">
        <v>3727</v>
      </c>
      <c r="I768" s="118" t="s">
        <v>3740</v>
      </c>
      <c r="J768" s="121" t="str">
        <f t="array" ref="J768">IF(
UPPER(TRIM(CLEAN($O768)))="ENTREGADO",
IFERROR(
INDEX(REPORTE_DROPI!T:T,
MATCH($T768, REPORTE_DROPI!B:B, 0)
),
""
),
""
)
</f>
        <v/>
      </c>
      <c r="K768" s="118" t="str">
        <f t="array" ref="K768">IFERROR(
INDEX(REPORTE_DROPI!S:S,
MATCH($T768, REPORTE_DROPI!B:B, 0)
),
""
)
</f>
        <v/>
      </c>
      <c r="L768" s="118">
        <f>IF(
  O768&lt;&gt;"DEVOLUCION",
  "",
  IF(
    T768="",
    "",
    SUMIF(DEVOLUCION!F:F, T768, DEVOLUCION!D:D)
  )
)
</f>
        <v>5.06</v>
      </c>
      <c r="M768" s="118" t="s">
        <v>3870</v>
      </c>
      <c r="N768" s="130" t="s">
        <v>5260</v>
      </c>
      <c r="O768" s="118" t="str">
        <f t="array" ref="O768">IFERROR(
VLOOKUP(
TRIM(CLEAN(
INDEX(REPORTE_DROPI!K:K,
MATCH(T768, REPORTE_DROPI!B:B, 0)
))),
{
TRIM(CLEAN(MAPA_ESTADOS!A:A)) ,
MAPA_ESTADOS!B:B
},
2,
FALSE
),
"REVISAR"
)
</f>
        <v>DEVOLUCION</v>
      </c>
      <c r="P768" s="118" t="s">
        <v>3655</v>
      </c>
      <c r="Q768" s="122">
        <f t="shared" si="2"/>
        <v>0</v>
      </c>
      <c r="R768" s="118"/>
      <c r="S768" s="118"/>
      <c r="T768" s="118">
        <f t="array" ref="T768">IFERROR(
INDEX(REPORTE_DROPI!B:B,
MATCH(
CLEAN(TRIM(C768)),
CLEAN(TRIM(REPORTE_DROPI!E:E)),
0
)
),
""
)
</f>
        <v>4241362</v>
      </c>
      <c r="U768" s="118">
        <v>6.438486802476E12</v>
      </c>
      <c r="V768" s="78"/>
      <c r="W768" s="78"/>
      <c r="X768" s="78"/>
      <c r="Y768" s="78"/>
      <c r="Z768" s="78"/>
    </row>
    <row r="769" ht="22.5" customHeight="1">
      <c r="A769" s="118">
        <v>768.0</v>
      </c>
      <c r="B769" s="119">
        <v>46044.0</v>
      </c>
      <c r="C769" s="118" t="s">
        <v>5261</v>
      </c>
      <c r="D769" s="118" t="str">
        <f>IFERROR(__xludf.DUMMYFUNCTION("IFERROR(
  INDEX(
    FILTER(
      'NOMBRE DE PRODUCTOS'!B:B,
      REGEXMATCH(
        UPPER(
          INDEX(
            REPORTE_DROPI!AC:AC,
            MATCH(T769, REPORTE_DROPI!B:B, 0)
          )
        ),
        UPPER('NOMBRE DE PRODUCTOS'!A:A)"&amp;"
      )
    ),
    1
  ),
  ""REVISAR""
)
"),"FilmPro®")</f>
        <v>FilmPro®</v>
      </c>
      <c r="E769" s="120">
        <f t="array" ref="E769">IF(
UPPER(TRIM(CLEAN($O769)))="ENTREGADO",
IFERROR(
INDEX(REPORTE_DROPI!Y:Y,
MATCH($T769, REPORTE_DROPI!B:B, 0)
),
""
),
""
)
</f>
        <v>7.05</v>
      </c>
      <c r="F769" s="121">
        <v>3.0</v>
      </c>
      <c r="G769" s="122">
        <f t="array" ref="G769">IF(
UPPER(TRIM(CLEAN($O769)))="ENTREGADO",
IFERROR(
INDEX(REPORTE_DROPI!R:R,
MATCH($T769, REPORTE_DROPI!B:B, 0)
),
""
),
""
)
</f>
        <v>30</v>
      </c>
      <c r="H769" s="118" t="s">
        <v>3727</v>
      </c>
      <c r="I769" s="118" t="s">
        <v>3759</v>
      </c>
      <c r="J769" s="121">
        <f t="array" ref="J769">IF(
UPPER(TRIM(CLEAN($O769)))="ENTREGADO",
IFERROR(
INDEX(REPORTE_DROPI!T:T,
MATCH($T769, REPORTE_DROPI!B:B, 0)
),
""
),
""
)
</f>
        <v>6.73</v>
      </c>
      <c r="K769" s="118">
        <f t="array" ref="K769">IFERROR(
INDEX(REPORTE_DROPI!S:S,
MATCH($T769, REPORTE_DROPI!B:B, 0)
),
""
)
</f>
        <v>16.22</v>
      </c>
      <c r="L769" s="118" t="str">
        <f>IF(
  O769&lt;&gt;"DEVOLUCION",
  "",
  IF(
    T769="",
    "",
    SUMIF(DEVOLUCION!F:F, T769, DEVOLUCION!D:D)
  )
)
</f>
        <v/>
      </c>
      <c r="M769" s="118" t="s">
        <v>3870</v>
      </c>
      <c r="N769" s="130" t="s">
        <v>5262</v>
      </c>
      <c r="O769" s="118" t="str">
        <f t="array" ref="O769">IFERROR(
VLOOKUP(
TRIM(CLEAN(
INDEX(REPORTE_DROPI!K:K,
MATCH(T769, REPORTE_DROPI!B:B, 0)
))),
{
TRIM(CLEAN(MAPA_ESTADOS!A:A)) ,
MAPA_ESTADOS!B:B
},
2,
FALSE
),
"REVISAR"
)
</f>
        <v>ENTREGADO</v>
      </c>
      <c r="P769" s="118" t="s">
        <v>3655</v>
      </c>
      <c r="Q769" s="122">
        <f t="shared" si="2"/>
        <v>0</v>
      </c>
      <c r="R769" s="118"/>
      <c r="S769" s="118"/>
      <c r="T769" s="118">
        <f t="array" ref="T769">IFERROR(
INDEX(REPORTE_DROPI!B:B,
MATCH(
CLEAN(TRIM(C769)),
CLEAN(TRIM(REPORTE_DROPI!E:E)),
0
)
),
""
)
</f>
        <v>4241553</v>
      </c>
      <c r="U769" s="118">
        <v>6.438532743212E12</v>
      </c>
      <c r="V769" s="78"/>
      <c r="W769" s="78"/>
      <c r="X769" s="78"/>
      <c r="Y769" s="78"/>
      <c r="Z769" s="78"/>
    </row>
    <row r="770" ht="22.5" customHeight="1">
      <c r="A770" s="118">
        <v>769.0</v>
      </c>
      <c r="B770" s="119">
        <v>46044.0</v>
      </c>
      <c r="C770" s="126" t="s">
        <v>5263</v>
      </c>
      <c r="D770" s="118" t="str">
        <f>IFERROR(__xludf.DUMMYFUNCTION("IFERROR(
  INDEX(
    FILTER(
      'NOMBRE DE PRODUCTOS'!B:B,
      REGEXMATCH(
        UPPER(
          INDEX(
            REPORTE_DROPI!AC:AC,
            MATCH(T770, REPORTE_DROPI!B:B, 0)
          )
        ),
        UPPER('NOMBRE DE PRODUCTOS'!A:A)"&amp;"
      )
    ),
    1
  ),
  ""REVISAR""
)
"),"FilmPro®")</f>
        <v>FilmPro®</v>
      </c>
      <c r="E770" s="120" t="str">
        <f t="array" ref="E770">IF(
UPPER(TRIM(CLEAN($O770)))="ENTREGADO",
IFERROR(
INDEX(REPORTE_DROPI!Y:Y,
MATCH($T770, REPORTE_DROPI!B:B, 0)
),
""
),
""
)
</f>
        <v/>
      </c>
      <c r="F770" s="121">
        <v>1.0</v>
      </c>
      <c r="G770" s="122" t="str">
        <f t="array" ref="G770">IF(
UPPER(TRIM(CLEAN($O770)))="ENTREGADO",
IFERROR(
INDEX(REPORTE_DROPI!R:R,
MATCH($T770, REPORTE_DROPI!B:B, 0)
),
""
),
""
)
</f>
        <v/>
      </c>
      <c r="H770" s="118" t="s">
        <v>3727</v>
      </c>
      <c r="I770" s="118" t="s">
        <v>3728</v>
      </c>
      <c r="J770" s="121" t="str">
        <f t="array" ref="J770">IF(
UPPER(TRIM(CLEAN($O770)))="ENTREGADO",
IFERROR(
INDEX(REPORTE_DROPI!T:T,
MATCH($T770, REPORTE_DROPI!B:B, 0)
),
""
),
""
)
</f>
        <v/>
      </c>
      <c r="K770" s="118" t="str">
        <f t="array" ref="K770">IFERROR(
INDEX(REPORTE_DROPI!S:S,
MATCH($T770, REPORTE_DROPI!B:B, 0)
),
""
)
</f>
        <v/>
      </c>
      <c r="L770" s="118">
        <f>IF(
  O770&lt;&gt;"DEVOLUCION",
  "",
  IF(
    T770="",
    "",
    SUMIF(DEVOLUCION!F:F, T770, DEVOLUCION!D:D)
  )
)
</f>
        <v>5.06</v>
      </c>
      <c r="M770" s="118" t="s">
        <v>3870</v>
      </c>
      <c r="N770" s="130" t="s">
        <v>5264</v>
      </c>
      <c r="O770" s="118" t="str">
        <f t="array" ref="O770">IFERROR(
VLOOKUP(
TRIM(CLEAN(
INDEX(REPORTE_DROPI!K:K,
MATCH(T770, REPORTE_DROPI!B:B, 0)
))),
{
TRIM(CLEAN(MAPA_ESTADOS!A:A)) ,
MAPA_ESTADOS!B:B
},
2,
FALSE
),
"REVISAR"
)
</f>
        <v>DEVOLUCION</v>
      </c>
      <c r="P770" s="118" t="s">
        <v>3655</v>
      </c>
      <c r="Q770" s="122">
        <f t="shared" si="2"/>
        <v>0</v>
      </c>
      <c r="R770" s="118"/>
      <c r="S770" s="118"/>
      <c r="T770" s="118">
        <f t="array" ref="T770">IFERROR(
INDEX(REPORTE_DROPI!B:B,
MATCH(
CLEAN(TRIM(C770)),
CLEAN(TRIM(REPORTE_DROPI!E:E)),
0
)
),
""
)
</f>
        <v>4242335</v>
      </c>
      <c r="U770" s="118">
        <v>6.438701432876E12</v>
      </c>
      <c r="V770" s="78"/>
      <c r="W770" s="78"/>
      <c r="X770" s="78"/>
      <c r="Y770" s="78"/>
      <c r="Z770" s="78"/>
    </row>
    <row r="771" ht="22.5" customHeight="1">
      <c r="A771" s="118">
        <v>770.0</v>
      </c>
      <c r="B771" s="119">
        <v>46044.0</v>
      </c>
      <c r="C771" s="118" t="s">
        <v>5265</v>
      </c>
      <c r="D771" s="118" t="str">
        <f>IFERROR(__xludf.DUMMYFUNCTION("IFERROR(
  INDEX(
    FILTER(
      'NOMBRE DE PRODUCTOS'!B:B,
      REGEXMATCH(
        UPPER(
          INDEX(
            REPORTE_DROPI!AC:AC,
            MATCH(T771, REPORTE_DROPI!B:B, 0)
          )
        ),
        UPPER('NOMBRE DE PRODUCTOS'!A:A)"&amp;"
      )
    ),
    1
  ),
  ""REVISAR""
)
"),"FilmPro®")</f>
        <v>FilmPro®</v>
      </c>
      <c r="E771" s="120">
        <f t="array" ref="E771">IF(
UPPER(TRIM(CLEAN($O771)))="ENTREGADO",
IFERROR(
INDEX(REPORTE_DROPI!Y:Y,
MATCH($T771, REPORTE_DROPI!B:B, 0)
),
""
),
""
)
</f>
        <v>7.05</v>
      </c>
      <c r="F771" s="121">
        <v>1.0</v>
      </c>
      <c r="G771" s="122">
        <f t="array" ref="G771">IF(
UPPER(TRIM(CLEAN($O771)))="ENTREGADO",
IFERROR(
INDEX(REPORTE_DROPI!R:R,
MATCH($T771, REPORTE_DROPI!B:B, 0)
),
""
),
""
)
</f>
        <v>30</v>
      </c>
      <c r="H771" s="118" t="s">
        <v>3727</v>
      </c>
      <c r="I771" s="118" t="s">
        <v>3770</v>
      </c>
      <c r="J771" s="121">
        <f t="array" ref="J771">IF(
UPPER(TRIM(CLEAN($O771)))="ENTREGADO",
IFERROR(
INDEX(REPORTE_DROPI!T:T,
MATCH($T771, REPORTE_DROPI!B:B, 0)
),
""
),
""
)
</f>
        <v>6.16</v>
      </c>
      <c r="K771" s="118">
        <f t="array" ref="K771">IFERROR(
INDEX(REPORTE_DROPI!S:S,
MATCH($T771, REPORTE_DROPI!B:B, 0)
),
""
)
</f>
        <v>16.79</v>
      </c>
      <c r="L771" s="118" t="str">
        <f>IF(
  O771&lt;&gt;"DEVOLUCION",
  "",
  IF(
    T771="",
    "",
    SUMIF(DEVOLUCION!F:F, T771, DEVOLUCION!D:D)
  )
)
</f>
        <v/>
      </c>
      <c r="M771" s="118" t="s">
        <v>3870</v>
      </c>
      <c r="N771" s="130" t="s">
        <v>5266</v>
      </c>
      <c r="O771" s="118" t="str">
        <f t="array" ref="O771">IFERROR(
VLOOKUP(
TRIM(CLEAN(
INDEX(REPORTE_DROPI!K:K,
MATCH(T771, REPORTE_DROPI!B:B, 0)
))),
{
TRIM(CLEAN(MAPA_ESTADOS!A:A)) ,
MAPA_ESTADOS!B:B
},
2,
FALSE
),
"REVISAR"
)
</f>
        <v>ENTREGADO</v>
      </c>
      <c r="P771" s="118" t="s">
        <v>3655</v>
      </c>
      <c r="Q771" s="122">
        <f t="shared" si="2"/>
        <v>0</v>
      </c>
      <c r="R771" s="118"/>
      <c r="S771" s="118"/>
      <c r="T771" s="118">
        <f t="array" ref="T771">IFERROR(
INDEX(REPORTE_DROPI!B:B,
MATCH(
CLEAN(TRIM(C771)),
CLEAN(TRIM(REPORTE_DROPI!E:E)),
0
)
),
""
)
</f>
        <v>4598492</v>
      </c>
      <c r="U771" s="118">
        <v>6.438811435052E12</v>
      </c>
      <c r="V771" s="78"/>
      <c r="W771" s="78"/>
      <c r="X771" s="78"/>
      <c r="Y771" s="78"/>
      <c r="Z771" s="78"/>
    </row>
    <row r="772" ht="22.5" customHeight="1">
      <c r="A772" s="118">
        <v>771.0</v>
      </c>
      <c r="B772" s="119">
        <v>46044.0</v>
      </c>
      <c r="C772" s="118" t="s">
        <v>5267</v>
      </c>
      <c r="D772" s="118" t="str">
        <f>IFERROR(__xludf.DUMMYFUNCTION("IFERROR(
  INDEX(
    FILTER(
      'NOMBRE DE PRODUCTOS'!B:B,
      REGEXMATCH(
        UPPER(
          INDEX(
            REPORTE_DROPI!AC:AC,
            MATCH(T772, REPORTE_DROPI!B:B, 0)
          )
        ),
        UPPER('NOMBRE DE PRODUCTOS'!A:A)"&amp;"
      )
    ),
    1
  ),
  ""REVISAR""
)
"),"FilmPro®")</f>
        <v>FilmPro®</v>
      </c>
      <c r="E772" s="120" t="str">
        <f t="array" ref="E772">IF(
UPPER(TRIM(CLEAN($O772)))="ENTREGADO",
IFERROR(
INDEX(REPORTE_DROPI!Y:Y,
MATCH($T772, REPORTE_DROPI!B:B, 0)
),
""
),
""
)
</f>
        <v/>
      </c>
      <c r="F772" s="121">
        <v>2.0</v>
      </c>
      <c r="G772" s="122" t="str">
        <f t="array" ref="G772">IF(
UPPER(TRIM(CLEAN($O772)))="ENTREGADO",
IFERROR(
INDEX(REPORTE_DROPI!R:R,
MATCH($T772, REPORTE_DROPI!B:B, 0)
),
""
),
""
)
</f>
        <v/>
      </c>
      <c r="H772" s="118" t="s">
        <v>3727</v>
      </c>
      <c r="I772" s="118" t="s">
        <v>3912</v>
      </c>
      <c r="J772" s="121" t="str">
        <f t="array" ref="J772">IF(
UPPER(TRIM(CLEAN($O772)))="ENTREGADO",
IFERROR(
INDEX(REPORTE_DROPI!T:T,
MATCH($T772, REPORTE_DROPI!B:B, 0)
),
""
),
""
)
</f>
        <v/>
      </c>
      <c r="K772" s="118" t="str">
        <f t="array" ref="K772">IFERROR(
INDEX(REPORTE_DROPI!S:S,
MATCH($T772, REPORTE_DROPI!B:B, 0)
),
""
)
</f>
        <v/>
      </c>
      <c r="L772" s="118">
        <f>IF(
  O772&lt;&gt;"DEVOLUCION",
  "",
  IF(
    T772="",
    "",
    SUMIF(DEVOLUCION!F:F, T772, DEVOLUCION!D:D)
  )
)
</f>
        <v>5.09</v>
      </c>
      <c r="M772" s="118" t="s">
        <v>3870</v>
      </c>
      <c r="N772" s="130" t="s">
        <v>5268</v>
      </c>
      <c r="O772" s="118" t="str">
        <f t="array" ref="O772">IFERROR(
VLOOKUP(
TRIM(CLEAN(
INDEX(REPORTE_DROPI!K:K,
MATCH(T772, REPORTE_DROPI!B:B, 0)
))),
{
TRIM(CLEAN(MAPA_ESTADOS!A:A)) ,
MAPA_ESTADOS!B:B
},
2,
FALSE
),
"REVISAR"
)
</f>
        <v>DEVOLUCION</v>
      </c>
      <c r="P772" s="118" t="s">
        <v>3655</v>
      </c>
      <c r="Q772" s="122">
        <f t="shared" si="2"/>
        <v>0</v>
      </c>
      <c r="R772" s="118"/>
      <c r="S772" s="118"/>
      <c r="T772" s="118">
        <f t="array" ref="T772">IFERROR(
INDEX(REPORTE_DROPI!B:B,
MATCH(
CLEAN(TRIM(C772)),
CLEAN(TRIM(REPORTE_DROPI!E:E)),
0
)
),
""
)
</f>
        <v>4244542</v>
      </c>
      <c r="U772" s="118">
        <v>6.439137083436E12</v>
      </c>
      <c r="V772" s="78"/>
      <c r="W772" s="78"/>
      <c r="X772" s="78"/>
      <c r="Y772" s="78"/>
      <c r="Z772" s="78"/>
    </row>
    <row r="773" ht="22.5" customHeight="1">
      <c r="A773" s="118">
        <v>772.0</v>
      </c>
      <c r="B773" s="119">
        <v>46044.0</v>
      </c>
      <c r="C773" s="126" t="s">
        <v>5269</v>
      </c>
      <c r="D773" s="118" t="str">
        <f>IFERROR(__xludf.DUMMYFUNCTION("IFERROR(
  INDEX(
    FILTER(
      'NOMBRE DE PRODUCTOS'!B:B,
      REGEXMATCH(
        UPPER(
          INDEX(
            REPORTE_DROPI!AC:AC,
            MATCH(T773, REPORTE_DROPI!B:B, 0)
          )
        ),
        UPPER('NOMBRE DE PRODUCTOS'!A:A)"&amp;"
      )
    ),
    1
  ),
  ""REVISAR""
)
"),"FilmPro®")</f>
        <v>FilmPro®</v>
      </c>
      <c r="E773" s="120">
        <f t="array" ref="E773">IF(
UPPER(TRIM(CLEAN($O773)))="ENTREGADO",
IFERROR(
INDEX(REPORTE_DROPI!Y:Y,
MATCH($T773, REPORTE_DROPI!B:B, 0)
),
""
),
""
)
</f>
        <v>2.35</v>
      </c>
      <c r="F773" s="121">
        <v>1.0</v>
      </c>
      <c r="G773" s="122">
        <f t="array" ref="G773">IF(
UPPER(TRIM(CLEAN($O773)))="ENTREGADO",
IFERROR(
INDEX(REPORTE_DROPI!R:R,
MATCH($T773, REPORTE_DROPI!B:B, 0)
),
""
),
""
)
</f>
        <v>20</v>
      </c>
      <c r="H773" s="118" t="s">
        <v>3727</v>
      </c>
      <c r="I773" s="118" t="s">
        <v>3759</v>
      </c>
      <c r="J773" s="121">
        <f t="array" ref="J773">IF(
UPPER(TRIM(CLEAN($O773)))="ENTREGADO",
IFERROR(
INDEX(REPORTE_DROPI!T:T,
MATCH($T773, REPORTE_DROPI!B:B, 0)
),
""
),
""
)
</f>
        <v>7.67</v>
      </c>
      <c r="K773" s="118">
        <f t="array" ref="K773">IFERROR(
INDEX(REPORTE_DROPI!S:S,
MATCH($T773, REPORTE_DROPI!B:B, 0)
),
""
)
</f>
        <v>9.98</v>
      </c>
      <c r="L773" s="118" t="str">
        <f>IF(
  O773&lt;&gt;"DEVOLUCION",
  "",
  IF(
    T773="",
    "",
    SUMIF(DEVOLUCION!F:F, T773, DEVOLUCION!D:D)
  )
)
</f>
        <v/>
      </c>
      <c r="M773" s="118" t="s">
        <v>3870</v>
      </c>
      <c r="N773" s="130" t="s">
        <v>5270</v>
      </c>
      <c r="O773" s="118" t="str">
        <f t="array" ref="O773">IFERROR(
VLOOKUP(
TRIM(CLEAN(
INDEX(REPORTE_DROPI!K:K,
MATCH(T773, REPORTE_DROPI!B:B, 0)
))),
{
TRIM(CLEAN(MAPA_ESTADOS!A:A)) ,
MAPA_ESTADOS!B:B
},
2,
FALSE
),
"REVISAR"
)
</f>
        <v>ENTREGADO</v>
      </c>
      <c r="P773" s="118" t="s">
        <v>3888</v>
      </c>
      <c r="Q773" s="122">
        <f t="shared" si="2"/>
        <v>0</v>
      </c>
      <c r="R773" s="118"/>
      <c r="S773" s="118"/>
      <c r="T773" s="118">
        <f t="array" ref="T773">IFERROR(
INDEX(REPORTE_DROPI!B:B,
MATCH(
CLEAN(TRIM(C773)),
CLEAN(TRIM(REPORTE_DROPI!E:E)),
0
)
),
""
)
</f>
        <v>4245744</v>
      </c>
      <c r="U773" s="118">
        <v>6.43914013086E12</v>
      </c>
      <c r="V773" s="78"/>
      <c r="W773" s="78"/>
      <c r="X773" s="78"/>
      <c r="Y773" s="78"/>
      <c r="Z773" s="78"/>
    </row>
    <row r="774" ht="22.5" customHeight="1">
      <c r="A774" s="118">
        <v>773.0</v>
      </c>
      <c r="B774" s="119">
        <v>46044.0</v>
      </c>
      <c r="C774" s="118" t="s">
        <v>5271</v>
      </c>
      <c r="D774" s="118" t="str">
        <f>IFERROR(__xludf.DUMMYFUNCTION("IFERROR(
  INDEX(
    FILTER(
      'NOMBRE DE PRODUCTOS'!B:B,
      REGEXMATCH(
        UPPER(
          INDEX(
            REPORTE_DROPI!AC:AC,
            MATCH(T774, REPORTE_DROPI!B:B, 0)
          )
        ),
        UPPER('NOMBRE DE PRODUCTOS'!A:A)"&amp;"
      )
    ),
    1
  ),
  ""REVISAR""
)
"),"FilmPro®")</f>
        <v>FilmPro®</v>
      </c>
      <c r="E774" s="120" t="str">
        <f t="array" ref="E774">IF(
UPPER(TRIM(CLEAN($O774)))="ENTREGADO",
IFERROR(
INDEX(REPORTE_DROPI!Y:Y,
MATCH($T774, REPORTE_DROPI!B:B, 0)
),
""
),
""
)
</f>
        <v/>
      </c>
      <c r="F774" s="121">
        <v>2.0</v>
      </c>
      <c r="G774" s="122" t="str">
        <f t="array" ref="G774">IF(
UPPER(TRIM(CLEAN($O774)))="ENTREGADO",
IFERROR(
INDEX(REPORTE_DROPI!R:R,
MATCH($T774, REPORTE_DROPI!B:B, 0)
),
""
),
""
)
</f>
        <v/>
      </c>
      <c r="H774" s="118" t="s">
        <v>3727</v>
      </c>
      <c r="I774" s="118" t="s">
        <v>3864</v>
      </c>
      <c r="J774" s="121" t="str">
        <f t="array" ref="J774">IF(
UPPER(TRIM(CLEAN($O774)))="ENTREGADO",
IFERROR(
INDEX(REPORTE_DROPI!T:T,
MATCH($T774, REPORTE_DROPI!B:B, 0)
),
""
),
""
)
</f>
        <v/>
      </c>
      <c r="K774" s="118" t="str">
        <f t="array" ref="K774">IFERROR(
INDEX(REPORTE_DROPI!S:S,
MATCH($T774, REPORTE_DROPI!B:B, 0)
),
""
)
</f>
        <v/>
      </c>
      <c r="L774" s="118" t="str">
        <f>IF(
  O774&lt;&gt;"DEVOLUCION",
  "",
  IF(
    T774="",
    "",
    SUMIF(DEVOLUCION!F:F, T774, DEVOLUCION!D:D)
  )
)
</f>
        <v/>
      </c>
      <c r="M774" s="118" t="s">
        <v>3870</v>
      </c>
      <c r="N774" s="130" t="s">
        <v>5272</v>
      </c>
      <c r="O774" s="118" t="str">
        <f t="array" ref="O774">IFERROR(
VLOOKUP(
TRIM(CLEAN(
INDEX(REPORTE_DROPI!K:K,
MATCH(T774, REPORTE_DROPI!B:B, 0)
))),
{
TRIM(CLEAN(MAPA_ESTADOS!A:A)) ,
MAPA_ESTADOS!B:B
},
2,
FALSE
),
"REVISAR"
)
</f>
        <v>CANCELADO</v>
      </c>
      <c r="P774" s="118" t="s">
        <v>4797</v>
      </c>
      <c r="Q774" s="122">
        <f t="shared" si="2"/>
        <v>0</v>
      </c>
      <c r="R774" s="118"/>
      <c r="S774" s="118"/>
      <c r="T774" s="118">
        <f t="array" ref="T774">IFERROR(
INDEX(REPORTE_DROPI!B:B,
MATCH(
CLEAN(TRIM(C774)),
CLEAN(TRIM(REPORTE_DROPI!E:E)),
0
)
),
""
)
</f>
        <v>4244935</v>
      </c>
      <c r="U774" s="118">
        <v>6.439222345772E12</v>
      </c>
      <c r="V774" s="78"/>
      <c r="W774" s="78"/>
      <c r="X774" s="78"/>
      <c r="Y774" s="78"/>
      <c r="Z774" s="78"/>
    </row>
    <row r="775" ht="22.5" customHeight="1">
      <c r="A775" s="118">
        <v>774.0</v>
      </c>
      <c r="B775" s="119">
        <v>46044.0</v>
      </c>
      <c r="C775" s="118" t="s">
        <v>5273</v>
      </c>
      <c r="D775" s="118" t="str">
        <f>IFERROR(__xludf.DUMMYFUNCTION("IFERROR(
  INDEX(
    FILTER(
      'NOMBRE DE PRODUCTOS'!B:B,
      REGEXMATCH(
        UPPER(
          INDEX(
            REPORTE_DROPI!AC:AC,
            MATCH(T775, REPORTE_DROPI!B:B, 0)
          )
        ),
        UPPER('NOMBRE DE PRODUCTOS'!A:A)"&amp;"
      )
    ),
    1
  ),
  ""REVISAR""
)
"),"FilmPro®")</f>
        <v>FilmPro®</v>
      </c>
      <c r="E775" s="120">
        <f t="array" ref="E775">IF(
UPPER(TRIM(CLEAN($O775)))="ENTREGADO",
IFERROR(
INDEX(REPORTE_DROPI!Y:Y,
MATCH($T775, REPORTE_DROPI!B:B, 0)
),
""
),
""
)
</f>
        <v>4.7</v>
      </c>
      <c r="F775" s="121">
        <v>2.0</v>
      </c>
      <c r="G775" s="122">
        <f t="array" ref="G775">IF(
UPPER(TRIM(CLEAN($O775)))="ENTREGADO",
IFERROR(
INDEX(REPORTE_DROPI!R:R,
MATCH($T775, REPORTE_DROPI!B:B, 0)
),
""
),
""
)
</f>
        <v>25</v>
      </c>
      <c r="H775" s="118" t="s">
        <v>3727</v>
      </c>
      <c r="I775" s="118" t="s">
        <v>3772</v>
      </c>
      <c r="J775" s="121">
        <f t="array" ref="J775">IF(
UPPER(TRIM(CLEAN($O775)))="ENTREGADO",
IFERROR(
INDEX(REPORTE_DROPI!T:T,
MATCH($T775, REPORTE_DROPI!B:B, 0)
),
""
),
""
)
</f>
        <v>5.96</v>
      </c>
      <c r="K775" s="118">
        <f t="array" ref="K775">IFERROR(
INDEX(REPORTE_DROPI!S:S,
MATCH($T775, REPORTE_DROPI!B:B, 0)
),
""
)
</f>
        <v>14.34</v>
      </c>
      <c r="L775" s="118" t="str">
        <f>IF(
  O775&lt;&gt;"DEVOLUCION",
  "",
  IF(
    T775="",
    "",
    SUMIF(DEVOLUCION!F:F, T775, DEVOLUCION!D:D)
  )
)
</f>
        <v/>
      </c>
      <c r="M775" s="118" t="s">
        <v>3870</v>
      </c>
      <c r="N775" s="130" t="s">
        <v>5274</v>
      </c>
      <c r="O775" s="118" t="str">
        <f t="array" ref="O775">IFERROR(
VLOOKUP(
TRIM(CLEAN(
INDEX(REPORTE_DROPI!K:K,
MATCH(T775, REPORTE_DROPI!B:B, 0)
))),
{
TRIM(CLEAN(MAPA_ESTADOS!A:A)) ,
MAPA_ESTADOS!B:B
},
2,
FALSE
),
"REVISAR"
)
</f>
        <v>ENTREGADO</v>
      </c>
      <c r="P775" s="118" t="s">
        <v>3655</v>
      </c>
      <c r="Q775" s="122">
        <f t="shared" si="2"/>
        <v>0</v>
      </c>
      <c r="R775" s="118"/>
      <c r="S775" s="118"/>
      <c r="T775" s="118">
        <f t="array" ref="T775">IFERROR(
INDEX(REPORTE_DROPI!B:B,
MATCH(
CLEAN(TRIM(C775)),
CLEAN(TRIM(REPORTE_DROPI!E:E)),
0
)
),
""
)
</f>
        <v>4245136</v>
      </c>
      <c r="U775" s="118">
        <v>6.439259209772E12</v>
      </c>
      <c r="V775" s="78"/>
      <c r="W775" s="78"/>
      <c r="X775" s="78"/>
      <c r="Y775" s="78"/>
      <c r="Z775" s="78"/>
    </row>
    <row r="776" ht="22.5" customHeight="1">
      <c r="A776" s="118">
        <v>775.0</v>
      </c>
      <c r="B776" s="119">
        <v>46044.0</v>
      </c>
      <c r="C776" s="118" t="s">
        <v>5275</v>
      </c>
      <c r="D776" s="118" t="str">
        <f>IFERROR(__xludf.DUMMYFUNCTION("IFERROR(
  INDEX(
    FILTER(
      'NOMBRE DE PRODUCTOS'!B:B,
      REGEXMATCH(
        UPPER(
          INDEX(
            REPORTE_DROPI!AC:AC,
            MATCH(T776, REPORTE_DROPI!B:B, 0)
          )
        ),
        UPPER('NOMBRE DE PRODUCTOS'!A:A)"&amp;"
      )
    ),
    1
  ),
  ""REVISAR""
)
"),"FilmPro®")</f>
        <v>FilmPro®</v>
      </c>
      <c r="E776" s="120">
        <f t="array" ref="E776">IF(
UPPER(TRIM(CLEAN($O776)))="ENTREGADO",
IFERROR(
INDEX(REPORTE_DROPI!Y:Y,
MATCH($T776, REPORTE_DROPI!B:B, 0)
),
""
),
""
)
</f>
        <v>7.05</v>
      </c>
      <c r="F776" s="121">
        <v>3.0</v>
      </c>
      <c r="G776" s="122">
        <f t="array" ref="G776">IF(
UPPER(TRIM(CLEAN($O776)))="ENTREGADO",
IFERROR(
INDEX(REPORTE_DROPI!R:R,
MATCH($T776, REPORTE_DROPI!B:B, 0)
),
""
),
""
)
</f>
        <v>30</v>
      </c>
      <c r="H776" s="118" t="s">
        <v>3727</v>
      </c>
      <c r="I776" s="118" t="s">
        <v>3784</v>
      </c>
      <c r="J776" s="121">
        <f t="array" ref="J776">IF(
UPPER(TRIM(CLEAN($O776)))="ENTREGADO",
IFERROR(
INDEX(REPORTE_DROPI!T:T,
MATCH($T776, REPORTE_DROPI!B:B, 0)
),
""
),
""
)
</f>
        <v>6.16</v>
      </c>
      <c r="K776" s="118">
        <f t="array" ref="K776">IFERROR(
INDEX(REPORTE_DROPI!S:S,
MATCH($T776, REPORTE_DROPI!B:B, 0)
),
""
)
</f>
        <v>16.79</v>
      </c>
      <c r="L776" s="118" t="str">
        <f>IF(
  O776&lt;&gt;"DEVOLUCION",
  "",
  IF(
    T776="",
    "",
    SUMIF(DEVOLUCION!F:F, T776, DEVOLUCION!D:D)
  )
)
</f>
        <v/>
      </c>
      <c r="M776" s="118" t="s">
        <v>3870</v>
      </c>
      <c r="N776" s="130" t="s">
        <v>5276</v>
      </c>
      <c r="O776" s="118" t="str">
        <f t="array" ref="O776">IFERROR(
VLOOKUP(
TRIM(CLEAN(
INDEX(REPORTE_DROPI!K:K,
MATCH(T776, REPORTE_DROPI!B:B, 0)
))),
{
TRIM(CLEAN(MAPA_ESTADOS!A:A)) ,
MAPA_ESTADOS!B:B
},
2,
FALSE
),
"REVISAR"
)
</f>
        <v>ENTREGADO</v>
      </c>
      <c r="P776" s="118" t="s">
        <v>3655</v>
      </c>
      <c r="Q776" s="122">
        <f t="shared" si="2"/>
        <v>0</v>
      </c>
      <c r="R776" s="118"/>
      <c r="S776" s="118"/>
      <c r="T776" s="118">
        <f t="array" ref="T776">IFERROR(
INDEX(REPORTE_DROPI!B:B,
MATCH(
CLEAN(TRIM(C776)),
CLEAN(TRIM(REPORTE_DROPI!E:E)),
0
)
),
""
)
</f>
        <v>4245664</v>
      </c>
      <c r="U776" s="118">
        <v>6.439362101292E12</v>
      </c>
      <c r="V776" s="78"/>
      <c r="W776" s="78"/>
      <c r="X776" s="78"/>
      <c r="Y776" s="78"/>
      <c r="Z776" s="78"/>
    </row>
    <row r="777" ht="22.5" customHeight="1">
      <c r="A777" s="118">
        <v>776.0</v>
      </c>
      <c r="B777" s="119">
        <v>46044.0</v>
      </c>
      <c r="C777" s="126" t="s">
        <v>5277</v>
      </c>
      <c r="D777" s="118" t="str">
        <f>IFERROR(__xludf.DUMMYFUNCTION("IFERROR(
  INDEX(
    FILTER(
      'NOMBRE DE PRODUCTOS'!B:B,
      REGEXMATCH(
        UPPER(
          INDEX(
            REPORTE_DROPI!AC:AC,
            MATCH(T777, REPORTE_DROPI!B:B, 0)
          )
        ),
        UPPER('NOMBRE DE PRODUCTOS'!A:A)"&amp;"
      )
    ),
    1
  ),
  ""REVISAR""
)
"),"FilmPro®")</f>
        <v>FilmPro®</v>
      </c>
      <c r="E777" s="120" t="str">
        <f t="array" ref="E777">IF(
UPPER(TRIM(CLEAN($O777)))="ENTREGADO",
IFERROR(
INDEX(REPORTE_DROPI!Y:Y,
MATCH($T777, REPORTE_DROPI!B:B, 0)
),
""
),
""
)
</f>
        <v/>
      </c>
      <c r="F777" s="121">
        <v>1.0</v>
      </c>
      <c r="G777" s="122" t="str">
        <f t="array" ref="G777">IF(
UPPER(TRIM(CLEAN($O777)))="ENTREGADO",
IFERROR(
INDEX(REPORTE_DROPI!R:R,
MATCH($T777, REPORTE_DROPI!B:B, 0)
),
""
),
""
)
</f>
        <v/>
      </c>
      <c r="H777" s="118" t="s">
        <v>3727</v>
      </c>
      <c r="I777" s="118" t="s">
        <v>3728</v>
      </c>
      <c r="J777" s="121" t="str">
        <f t="array" ref="J777">IF(
UPPER(TRIM(CLEAN($O777)))="ENTREGADO",
IFERROR(
INDEX(REPORTE_DROPI!T:T,
MATCH($T777, REPORTE_DROPI!B:B, 0)
),
""
),
""
)
</f>
        <v/>
      </c>
      <c r="K777" s="118" t="str">
        <f t="array" ref="K777">IFERROR(
INDEX(REPORTE_DROPI!S:S,
MATCH($T777, REPORTE_DROPI!B:B, 0)
),
""
)
</f>
        <v/>
      </c>
      <c r="L777" s="118">
        <f>IF(
  O777&lt;&gt;"DEVOLUCION",
  "",
  IF(
    T777="",
    "",
    SUMIF(DEVOLUCION!F:F, T777, DEVOLUCION!D:D)
  )
)
</f>
        <v>5.64</v>
      </c>
      <c r="M777" s="118" t="s">
        <v>3870</v>
      </c>
      <c r="N777" s="130" t="s">
        <v>5278</v>
      </c>
      <c r="O777" s="118" t="str">
        <f t="array" ref="O777">IFERROR(
VLOOKUP(
TRIM(CLEAN(
INDEX(REPORTE_DROPI!K:K,
MATCH(T777, REPORTE_DROPI!B:B, 0)
))),
{
TRIM(CLEAN(MAPA_ESTADOS!A:A)) ,
MAPA_ESTADOS!B:B
},
2,
FALSE
),
"REVISAR"
)
</f>
        <v>DEVOLUCION</v>
      </c>
      <c r="P777" s="118" t="s">
        <v>3655</v>
      </c>
      <c r="Q777" s="122">
        <f t="shared" si="2"/>
        <v>0</v>
      </c>
      <c r="R777" s="118"/>
      <c r="S777" s="118"/>
      <c r="T777" s="118">
        <f t="array" ref="T777">IFERROR(
INDEX(REPORTE_DROPI!B:B,
MATCH(
CLEAN(TRIM(C777)),
CLEAN(TRIM(REPORTE_DROPI!E:E)),
0
)
),
""
)
</f>
        <v>4246346</v>
      </c>
      <c r="U777" s="118">
        <v>6.439439532076E12</v>
      </c>
      <c r="V777" s="78"/>
      <c r="W777" s="78"/>
      <c r="X777" s="78"/>
      <c r="Y777" s="78"/>
      <c r="Z777" s="78"/>
    </row>
    <row r="778" ht="22.5" customHeight="1">
      <c r="A778" s="118">
        <v>777.0</v>
      </c>
      <c r="B778" s="119">
        <v>46044.0</v>
      </c>
      <c r="C778" s="126" t="s">
        <v>5279</v>
      </c>
      <c r="D778" s="118" t="str">
        <f>IFERROR(__xludf.DUMMYFUNCTION("IFERROR(
  INDEX(
    FILTER(
      'NOMBRE DE PRODUCTOS'!B:B,
      REGEXMATCH(
        UPPER(
          INDEX(
            REPORTE_DROPI!AC:AC,
            MATCH(T778, REPORTE_DROPI!B:B, 0)
          )
        ),
        UPPER('NOMBRE DE PRODUCTOS'!A:A)"&amp;"
      )
    ),
    1
  ),
  ""REVISAR""
)
"),"FilmPro®")</f>
        <v>FilmPro®</v>
      </c>
      <c r="E778" s="120" t="str">
        <f t="array" ref="E778">IF(
UPPER(TRIM(CLEAN($O778)))="ENTREGADO",
IFERROR(
INDEX(REPORTE_DROPI!Y:Y,
MATCH($T778, REPORTE_DROPI!B:B, 0)
),
""
),
""
)
</f>
        <v/>
      </c>
      <c r="F778" s="121">
        <v>3.0</v>
      </c>
      <c r="G778" s="122" t="str">
        <f t="array" ref="G778">IF(
UPPER(TRIM(CLEAN($O778)))="ENTREGADO",
IFERROR(
INDEX(REPORTE_DROPI!R:R,
MATCH($T778, REPORTE_DROPI!B:B, 0)
),
""
),
""
)
</f>
        <v/>
      </c>
      <c r="H778" s="118" t="s">
        <v>3727</v>
      </c>
      <c r="I778" s="118" t="s">
        <v>3912</v>
      </c>
      <c r="J778" s="121" t="str">
        <f t="array" ref="J778">IF(
UPPER(TRIM(CLEAN($O778)))="ENTREGADO",
IFERROR(
INDEX(REPORTE_DROPI!T:T,
MATCH($T778, REPORTE_DROPI!B:B, 0)
),
""
),
""
)
</f>
        <v/>
      </c>
      <c r="K778" s="118" t="str">
        <f t="array" ref="K778">IFERROR(
INDEX(REPORTE_DROPI!S:S,
MATCH($T778, REPORTE_DROPI!B:B, 0)
),
""
)
</f>
        <v/>
      </c>
      <c r="L778" s="118">
        <f>IF(
  O778&lt;&gt;"DEVOLUCION",
  "",
  IF(
    T778="",
    "",
    SUMIF(DEVOLUCION!F:F, T778, DEVOLUCION!D:D)
  )
)
</f>
        <v>5.12</v>
      </c>
      <c r="M778" s="118" t="s">
        <v>3870</v>
      </c>
      <c r="N778" s="130" t="s">
        <v>5280</v>
      </c>
      <c r="O778" s="118" t="str">
        <f t="array" ref="O778">IFERROR(
VLOOKUP(
TRIM(CLEAN(
INDEX(REPORTE_DROPI!K:K,
MATCH(T778, REPORTE_DROPI!B:B, 0)
))),
{
TRIM(CLEAN(MAPA_ESTADOS!A:A)) ,
MAPA_ESTADOS!B:B
},
2,
FALSE
),
"REVISAR"
)
</f>
        <v>DEVOLUCION</v>
      </c>
      <c r="P778" s="118" t="s">
        <v>3655</v>
      </c>
      <c r="Q778" s="122">
        <f t="shared" si="2"/>
        <v>0</v>
      </c>
      <c r="R778" s="118"/>
      <c r="S778" s="118"/>
      <c r="T778" s="118">
        <f t="array" ref="T778">IFERROR(
INDEX(REPORTE_DROPI!B:B,
MATCH(
CLEAN(TRIM(C778)),
CLEAN(TRIM(REPORTE_DROPI!E:E)),
0
)
),
""
)
</f>
        <v>4246793</v>
      </c>
      <c r="U778" s="118">
        <v>6.439555858476E12</v>
      </c>
      <c r="V778" s="78"/>
      <c r="W778" s="78"/>
      <c r="X778" s="78"/>
      <c r="Y778" s="78"/>
      <c r="Z778" s="78"/>
    </row>
    <row r="779" ht="22.5" customHeight="1">
      <c r="A779" s="118">
        <v>778.0</v>
      </c>
      <c r="B779" s="119">
        <v>46044.0</v>
      </c>
      <c r="C779" s="126" t="s">
        <v>5281</v>
      </c>
      <c r="D779" s="118" t="str">
        <f>IFERROR(__xludf.DUMMYFUNCTION("IFERROR(
  INDEX(
    FILTER(
      'NOMBRE DE PRODUCTOS'!B:B,
      REGEXMATCH(
        UPPER(
          INDEX(
            REPORTE_DROPI!AC:AC,
            MATCH(T779, REPORTE_DROPI!B:B, 0)
          )
        ),
        UPPER('NOMBRE DE PRODUCTOS'!A:A)"&amp;"
      )
    ),
    1
  ),
  ""REVISAR""
)
"),"FilmPro®")</f>
        <v>FilmPro®</v>
      </c>
      <c r="E779" s="120" t="str">
        <f t="array" ref="E779">IF(
UPPER(TRIM(CLEAN($O779)))="ENTREGADO",
IFERROR(
INDEX(REPORTE_DROPI!Y:Y,
MATCH($T779, REPORTE_DROPI!B:B, 0)
),
""
),
""
)
</f>
        <v/>
      </c>
      <c r="F779" s="121">
        <v>1.0</v>
      </c>
      <c r="G779" s="122" t="str">
        <f t="array" ref="G779">IF(
UPPER(TRIM(CLEAN($O779)))="ENTREGADO",
IFERROR(
INDEX(REPORTE_DROPI!R:R,
MATCH($T779, REPORTE_DROPI!B:B, 0)
),
""
),
""
)
</f>
        <v/>
      </c>
      <c r="H779" s="118" t="s">
        <v>3727</v>
      </c>
      <c r="I779" s="118" t="s">
        <v>3740</v>
      </c>
      <c r="J779" s="121" t="str">
        <f t="array" ref="J779">IF(
UPPER(TRIM(CLEAN($O779)))="ENTREGADO",
IFERROR(
INDEX(REPORTE_DROPI!T:T,
MATCH($T779, REPORTE_DROPI!B:B, 0)
),
""
),
""
)
</f>
        <v/>
      </c>
      <c r="K779" s="118" t="str">
        <f t="array" ref="K779">IFERROR(
INDEX(REPORTE_DROPI!S:S,
MATCH($T779, REPORTE_DROPI!B:B, 0)
),
""
)
</f>
        <v/>
      </c>
      <c r="L779" s="118">
        <f>IF(
  O779&lt;&gt;"DEVOLUCION",
  "",
  IF(
    T779="",
    "",
    SUMIF(DEVOLUCION!F:F, T779, DEVOLUCION!D:D)
  )
)
</f>
        <v>5.06</v>
      </c>
      <c r="M779" s="118" t="s">
        <v>3870</v>
      </c>
      <c r="N779" s="130" t="s">
        <v>5282</v>
      </c>
      <c r="O779" s="118" t="str">
        <f t="array" ref="O779">IFERROR(
VLOOKUP(
TRIM(CLEAN(
INDEX(REPORTE_DROPI!K:K,
MATCH(T779, REPORTE_DROPI!B:B, 0)
))),
{
TRIM(CLEAN(MAPA_ESTADOS!A:A)) ,
MAPA_ESTADOS!B:B
},
2,
FALSE
),
"REVISAR"
)
</f>
        <v>DEVOLUCION</v>
      </c>
      <c r="P779" s="118" t="s">
        <v>3655</v>
      </c>
      <c r="Q779" s="122">
        <f t="shared" si="2"/>
        <v>0</v>
      </c>
      <c r="R779" s="118"/>
      <c r="S779" s="118"/>
      <c r="T779" s="118">
        <f t="array" ref="T779">IFERROR(
INDEX(REPORTE_DROPI!B:B,
MATCH(
CLEAN(TRIM(C779)),
CLEAN(TRIM(REPORTE_DROPI!E:E)),
0
)
),
""
)
</f>
        <v>4246908</v>
      </c>
      <c r="U779" s="118">
        <v>6.439577223212E12</v>
      </c>
      <c r="V779" s="78"/>
      <c r="W779" s="78"/>
      <c r="X779" s="78"/>
      <c r="Y779" s="78"/>
      <c r="Z779" s="78"/>
    </row>
    <row r="780" ht="22.5" customHeight="1">
      <c r="A780" s="118">
        <v>779.0</v>
      </c>
      <c r="B780" s="119">
        <v>46044.0</v>
      </c>
      <c r="C780" s="126" t="s">
        <v>5283</v>
      </c>
      <c r="D780" s="118" t="str">
        <f>IFERROR(__xludf.DUMMYFUNCTION("IFERROR(
  INDEX(
    FILTER(
      'NOMBRE DE PRODUCTOS'!B:B,
      REGEXMATCH(
        UPPER(
          INDEX(
            REPORTE_DROPI!AC:AC,
            MATCH(T780, REPORTE_DROPI!B:B, 0)
          )
        ),
        UPPER('NOMBRE DE PRODUCTOS'!A:A)"&amp;"
      )
    ),
    1
  ),
  ""REVISAR""
)
"),"FilmPro®")</f>
        <v>FilmPro®</v>
      </c>
      <c r="E780" s="120" t="str">
        <f t="array" ref="E780">IF(
UPPER(TRIM(CLEAN($O780)))="ENTREGADO",
IFERROR(
INDEX(REPORTE_DROPI!Y:Y,
MATCH($T780, REPORTE_DROPI!B:B, 0)
),
""
),
""
)
</f>
        <v/>
      </c>
      <c r="F780" s="121">
        <v>2.0</v>
      </c>
      <c r="G780" s="122" t="str">
        <f t="array" ref="G780">IF(
UPPER(TRIM(CLEAN($O780)))="ENTREGADO",
IFERROR(
INDEX(REPORTE_DROPI!R:R,
MATCH($T780, REPORTE_DROPI!B:B, 0)
),
""
),
""
)
</f>
        <v/>
      </c>
      <c r="H780" s="118" t="s">
        <v>3727</v>
      </c>
      <c r="I780" s="118" t="s">
        <v>3740</v>
      </c>
      <c r="J780" s="121" t="str">
        <f t="array" ref="J780">IF(
UPPER(TRIM(CLEAN($O780)))="ENTREGADO",
IFERROR(
INDEX(REPORTE_DROPI!T:T,
MATCH($T780, REPORTE_DROPI!B:B, 0)
),
""
),
""
)
</f>
        <v/>
      </c>
      <c r="K780" s="118" t="str">
        <f t="array" ref="K780">IFERROR(
INDEX(REPORTE_DROPI!S:S,
MATCH($T780, REPORTE_DROPI!B:B, 0)
),
""
)
</f>
        <v/>
      </c>
      <c r="L780" s="118" t="str">
        <f>IF(
  O780&lt;&gt;"DEVOLUCION",
  "",
  IF(
    T780="",
    "",
    SUMIF(DEVOLUCION!F:F, T780, DEVOLUCION!D:D)
  )
)
</f>
        <v/>
      </c>
      <c r="M780" s="118" t="s">
        <v>3870</v>
      </c>
      <c r="N780" s="130" t="s">
        <v>5284</v>
      </c>
      <c r="O780" s="118" t="str">
        <f t="array" ref="O780">IFERROR(
VLOOKUP(
TRIM(CLEAN(
INDEX(REPORTE_DROPI!K:K,
MATCH(T780, REPORTE_DROPI!B:B, 0)
))),
{
TRIM(CLEAN(MAPA_ESTADOS!A:A)) ,
MAPA_ESTADOS!B:B
},
2,
FALSE
),
"REVISAR"
)
</f>
        <v>PENDIENTE</v>
      </c>
      <c r="P780" s="118" t="s">
        <v>3654</v>
      </c>
      <c r="Q780" s="122">
        <f t="shared" si="2"/>
        <v>0</v>
      </c>
      <c r="R780" s="118"/>
      <c r="S780" s="118"/>
      <c r="T780" s="118">
        <f t="array" ref="T780">IFERROR(
INDEX(REPORTE_DROPI!B:B,
MATCH(
CLEAN(TRIM(C780)),
CLEAN(TRIM(REPORTE_DROPI!E:E)),
0
)
),
""
)
</f>
        <v>4247184</v>
      </c>
      <c r="U780" s="118">
        <v>6.439625785388E12</v>
      </c>
      <c r="V780" s="78"/>
      <c r="W780" s="78"/>
      <c r="X780" s="78"/>
      <c r="Y780" s="78"/>
      <c r="Z780" s="78"/>
    </row>
    <row r="781" ht="22.5" customHeight="1">
      <c r="A781" s="118">
        <v>780.0</v>
      </c>
      <c r="B781" s="119">
        <v>46045.0</v>
      </c>
      <c r="C781" s="126" t="s">
        <v>4215</v>
      </c>
      <c r="D781" s="118" t="str">
        <f>IFERROR(__xludf.DUMMYFUNCTION("IFERROR(
  INDEX(
    FILTER(
      'NOMBRE DE PRODUCTOS'!B:B,
      REGEXMATCH(
        UPPER(
          INDEX(
            REPORTE_DROPI!AC:AC,
            MATCH(T781, REPORTE_DROPI!B:B, 0)
          )
        ),
        UPPER('NOMBRE DE PRODUCTOS'!A:A)"&amp;"
      )
    ),
    1
  ),
  ""REVISAR""
)
"),"FilmPro®")</f>
        <v>FilmPro®</v>
      </c>
      <c r="E781" s="120" t="str">
        <f t="array" ref="E781">IF(
UPPER(TRIM(CLEAN($O781)))="ENTREGADO",
IFERROR(
INDEX(REPORTE_DROPI!Y:Y,
MATCH($T781, REPORTE_DROPI!B:B, 0)
),
""
),
""
)
</f>
        <v/>
      </c>
      <c r="F781" s="121">
        <v>3.0</v>
      </c>
      <c r="G781" s="122" t="str">
        <f t="array" ref="G781">IF(
UPPER(TRIM(CLEAN($O781)))="ENTREGADO",
IFERROR(
INDEX(REPORTE_DROPI!R:R,
MATCH($T781, REPORTE_DROPI!B:B, 0)
),
""
),
""
)
</f>
        <v/>
      </c>
      <c r="H781" s="118" t="s">
        <v>3727</v>
      </c>
      <c r="I781" s="118" t="s">
        <v>3735</v>
      </c>
      <c r="J781" s="121" t="str">
        <f t="array" ref="J781">IF(
UPPER(TRIM(CLEAN($O781)))="ENTREGADO",
IFERROR(
INDEX(REPORTE_DROPI!T:T,
MATCH($T781, REPORTE_DROPI!B:B, 0)
),
""
),
""
)
</f>
        <v/>
      </c>
      <c r="K781" s="118" t="str">
        <f t="array" ref="K781">IFERROR(
INDEX(REPORTE_DROPI!S:S,
MATCH($T781, REPORTE_DROPI!B:B, 0)
),
""
)
</f>
        <v/>
      </c>
      <c r="L781" s="118">
        <f>IF(
  O781&lt;&gt;"DEVOLUCION",
  "",
  IF(
    T781="",
    "",
    SUMIF(DEVOLUCION!F:F, T781, DEVOLUCION!D:D)
  )
)
</f>
        <v>5.12</v>
      </c>
      <c r="M781" s="118" t="s">
        <v>3870</v>
      </c>
      <c r="N781" s="130" t="s">
        <v>5285</v>
      </c>
      <c r="O781" s="118" t="str">
        <f t="array" ref="O781">IFERROR(
VLOOKUP(
TRIM(CLEAN(
INDEX(REPORTE_DROPI!K:K,
MATCH(T781, REPORTE_DROPI!B:B, 0)
))),
{
TRIM(CLEAN(MAPA_ESTADOS!A:A)) ,
MAPA_ESTADOS!B:B
},
2,
FALSE
),
"REVISAR"
)
</f>
        <v>DEVOLUCION</v>
      </c>
      <c r="P781" s="118" t="s">
        <v>3655</v>
      </c>
      <c r="Q781" s="122">
        <f t="shared" si="2"/>
        <v>0</v>
      </c>
      <c r="R781" s="118"/>
      <c r="S781" s="118"/>
      <c r="T781" s="118">
        <f t="array" ref="T781">IFERROR(
INDEX(REPORTE_DROPI!B:B,
MATCH(
CLEAN(TRIM(C781)),
CLEAN(TRIM(REPORTE_DROPI!E:E)),
0
)
),
""
)
</f>
        <v>4248733</v>
      </c>
      <c r="U781" s="118">
        <v>6.440194834476E12</v>
      </c>
      <c r="V781" s="78"/>
      <c r="W781" s="78"/>
      <c r="X781" s="78"/>
      <c r="Y781" s="78"/>
      <c r="Z781" s="78"/>
    </row>
    <row r="782" ht="22.5" customHeight="1">
      <c r="A782" s="118">
        <v>781.0</v>
      </c>
      <c r="B782" s="119">
        <v>46045.0</v>
      </c>
      <c r="C782" s="126" t="s">
        <v>5286</v>
      </c>
      <c r="D782" s="118" t="str">
        <f>IFERROR(__xludf.DUMMYFUNCTION("IFERROR(
  INDEX(
    FILTER(
      'NOMBRE DE PRODUCTOS'!B:B,
      REGEXMATCH(
        UPPER(
          INDEX(
            REPORTE_DROPI!AC:AC,
            MATCH(T782, REPORTE_DROPI!B:B, 0)
          )
        ),
        UPPER('NOMBRE DE PRODUCTOS'!A:A)"&amp;"
      )
    ),
    1
  ),
  ""REVISAR""
)
"),"FURBLADE™")</f>
        <v>FURBLADE™</v>
      </c>
      <c r="E782" s="120" t="str">
        <f t="array" ref="E782">IF(
UPPER(TRIM(CLEAN($O782)))="ENTREGADO",
IFERROR(
INDEX(REPORTE_DROPI!Y:Y,
MATCH($T782, REPORTE_DROPI!B:B, 0)
),
""
),
""
)
</f>
        <v/>
      </c>
      <c r="F782" s="121">
        <v>1.0</v>
      </c>
      <c r="G782" s="122" t="str">
        <f t="array" ref="G782">IF(
UPPER(TRIM(CLEAN($O782)))="ENTREGADO",
IFERROR(
INDEX(REPORTE_DROPI!R:R,
MATCH($T782, REPORTE_DROPI!B:B, 0)
),
""
),
""
)
</f>
        <v/>
      </c>
      <c r="H782" s="118" t="s">
        <v>3727</v>
      </c>
      <c r="I782" s="118" t="s">
        <v>3731</v>
      </c>
      <c r="J782" s="121" t="str">
        <f t="array" ref="J782">IF(
UPPER(TRIM(CLEAN($O782)))="ENTREGADO",
IFERROR(
INDEX(REPORTE_DROPI!T:T,
MATCH($T782, REPORTE_DROPI!B:B, 0)
),
""
),
""
)
</f>
        <v/>
      </c>
      <c r="K782" s="118" t="str">
        <f t="array" ref="K782">IFERROR(
INDEX(REPORTE_DROPI!S:S,
MATCH($T782, REPORTE_DROPI!B:B, 0)
),
""
)
</f>
        <v/>
      </c>
      <c r="L782" s="118" t="str">
        <f>IF(
  O782&lt;&gt;"DEVOLUCION",
  "",
  IF(
    T782="",
    "",
    SUMIF(DEVOLUCION!F:F, T782, DEVOLUCION!D:D)
  )
)
</f>
        <v/>
      </c>
      <c r="M782" s="118" t="s">
        <v>3870</v>
      </c>
      <c r="N782" s="130" t="s">
        <v>5287</v>
      </c>
      <c r="O782" s="118" t="str">
        <f t="array" ref="O782">IFERROR(
VLOOKUP(
TRIM(CLEAN(
INDEX(REPORTE_DROPI!K:K,
MATCH(T782, REPORTE_DROPI!B:B, 0)
))),
{
TRIM(CLEAN(MAPA_ESTADOS!A:A)) ,
MAPA_ESTADOS!B:B
},
2,
FALSE
),
"REVISAR"
)
</f>
        <v>PENDIENTE</v>
      </c>
      <c r="P782" s="118" t="s">
        <v>5288</v>
      </c>
      <c r="Q782" s="122">
        <f t="shared" si="2"/>
        <v>0</v>
      </c>
      <c r="R782" s="118"/>
      <c r="S782" s="118"/>
      <c r="T782" s="118">
        <f t="array" ref="T782">IFERROR(
INDEX(REPORTE_DROPI!B:B,
MATCH(
CLEAN(TRIM(C782)),
CLEAN(TRIM(REPORTE_DROPI!E:E)),
0
)
),
""
)
</f>
        <v>4281463</v>
      </c>
      <c r="U782" s="118">
        <v>6.440206467116E12</v>
      </c>
      <c r="V782" s="78"/>
      <c r="W782" s="78"/>
      <c r="X782" s="78"/>
      <c r="Y782" s="78"/>
      <c r="Z782" s="78"/>
    </row>
    <row r="783" ht="22.5" customHeight="1">
      <c r="A783" s="118">
        <v>782.0</v>
      </c>
      <c r="B783" s="119">
        <v>46045.0</v>
      </c>
      <c r="C783" s="118" t="s">
        <v>5289</v>
      </c>
      <c r="D783" s="118" t="str">
        <f>IFERROR(__xludf.DUMMYFUNCTION("IFERROR(
  INDEX(
    FILTER(
      'NOMBRE DE PRODUCTOS'!B:B,
      REGEXMATCH(
        UPPER(
          INDEX(
            REPORTE_DROPI!AC:AC,
            MATCH(T783, REPORTE_DROPI!B:B, 0)
          )
        ),
        UPPER('NOMBRE DE PRODUCTOS'!A:A)"&amp;"
      )
    ),
    1
  ),
  ""REVISAR""
)
"),"FilmPro®")</f>
        <v>FilmPro®</v>
      </c>
      <c r="E783" s="120">
        <f t="array" ref="E783">IF(
UPPER(TRIM(CLEAN($O783)))="ENTREGADO",
IFERROR(
INDEX(REPORTE_DROPI!Y:Y,
MATCH($T783, REPORTE_DROPI!B:B, 0)
),
""
),
""
)
</f>
        <v>7.05</v>
      </c>
      <c r="F783" s="121">
        <v>3.0</v>
      </c>
      <c r="G783" s="122">
        <f t="array" ref="G783">IF(
UPPER(TRIM(CLEAN($O783)))="ENTREGADO",
IFERROR(
INDEX(REPORTE_DROPI!R:R,
MATCH($T783, REPORTE_DROPI!B:B, 0)
),
""
),
""
)
</f>
        <v>30</v>
      </c>
      <c r="H783" s="118" t="s">
        <v>3727</v>
      </c>
      <c r="I783" s="118" t="s">
        <v>3731</v>
      </c>
      <c r="J783" s="121">
        <f t="array" ref="J783">IF(
UPPER(TRIM(CLEAN($O783)))="ENTREGADO",
IFERROR(
INDEX(REPORTE_DROPI!T:T,
MATCH($T783, REPORTE_DROPI!B:B, 0)
),
""
),
""
)
</f>
        <v>6.16</v>
      </c>
      <c r="K783" s="118">
        <f t="array" ref="K783">IFERROR(
INDEX(REPORTE_DROPI!S:S,
MATCH($T783, REPORTE_DROPI!B:B, 0)
),
""
)
</f>
        <v>16.79</v>
      </c>
      <c r="L783" s="118" t="str">
        <f>IF(
  O783&lt;&gt;"DEVOLUCION",
  "",
  IF(
    T783="",
    "",
    SUMIF(DEVOLUCION!F:F, T783, DEVOLUCION!D:D)
  )
)
</f>
        <v/>
      </c>
      <c r="M783" s="118" t="s">
        <v>3870</v>
      </c>
      <c r="N783" s="130" t="s">
        <v>5290</v>
      </c>
      <c r="O783" s="118" t="str">
        <f t="array" ref="O783">IFERROR(
VLOOKUP(
TRIM(CLEAN(
INDEX(REPORTE_DROPI!K:K,
MATCH(T783, REPORTE_DROPI!B:B, 0)
))),
{
TRIM(CLEAN(MAPA_ESTADOS!A:A)) ,
MAPA_ESTADOS!B:B
},
2,
FALSE
),
"REVISAR"
)
</f>
        <v>ENTREGADO</v>
      </c>
      <c r="P783" s="118" t="s">
        <v>3655</v>
      </c>
      <c r="Q783" s="122">
        <f t="shared" si="2"/>
        <v>0</v>
      </c>
      <c r="R783" s="118"/>
      <c r="S783" s="118"/>
      <c r="T783" s="118">
        <f t="array" ref="T783">IFERROR(
INDEX(REPORTE_DROPI!B:B,
MATCH(
CLEAN(TRIM(C783)),
CLEAN(TRIM(REPORTE_DROPI!E:E)),
0
)
),
""
)
</f>
        <v>4250074</v>
      </c>
      <c r="U783" s="118">
        <v>6.440369881132E12</v>
      </c>
      <c r="V783" s="78"/>
      <c r="W783" s="78"/>
      <c r="X783" s="78"/>
      <c r="Y783" s="78"/>
      <c r="Z783" s="78"/>
    </row>
    <row r="784" ht="22.5" customHeight="1">
      <c r="A784" s="118">
        <v>783.0</v>
      </c>
      <c r="B784" s="119">
        <v>46045.0</v>
      </c>
      <c r="C784" s="118" t="s">
        <v>5291</v>
      </c>
      <c r="D784" s="135" t="s">
        <v>192</v>
      </c>
      <c r="E784" s="120">
        <f t="array" ref="E784">IF(
UPPER(TRIM(CLEAN($O784)))="ENTREGADO",
IFERROR(
INDEX(REPORTE_DROPI!Y:Y,
MATCH($T784, REPORTE_DROPI!B:B, 0)
),
""
),
""
)
</f>
        <v>3.5</v>
      </c>
      <c r="F784" s="121">
        <v>1.0</v>
      </c>
      <c r="G784" s="122">
        <f t="array" ref="G784">IF(
UPPER(TRIM(CLEAN($O784)))="ENTREGADO",
IFERROR(
INDEX(REPORTE_DROPI!R:R,
MATCH($T784, REPORTE_DROPI!B:B, 0)
),
""
),
""
)
</f>
        <v>19.99</v>
      </c>
      <c r="H784" s="118" t="s">
        <v>3727</v>
      </c>
      <c r="I784" s="118" t="s">
        <v>3731</v>
      </c>
      <c r="J784" s="121">
        <f t="array" ref="J784">IF(
UPPER(TRIM(CLEAN($O784)))="ENTREGADO",
IFERROR(
INDEX(REPORTE_DROPI!T:T,
MATCH($T784, REPORTE_DROPI!B:B, 0)
),
""
),
""
)
</f>
        <v>4.14</v>
      </c>
      <c r="K784" s="118">
        <f t="array" ref="K784">IFERROR(
INDEX(REPORTE_DROPI!S:S,
MATCH($T784, REPORTE_DROPI!B:B, 0)
),
""
)
</f>
        <v>12.35</v>
      </c>
      <c r="L784" s="118" t="str">
        <f>IF(
  O784&lt;&gt;"DEVOLUCION",
  "",
  IF(
    T784="",
    "",
    SUMIF(DEVOLUCION!F:F, T784, DEVOLUCION!D:D)
  )
)
</f>
        <v/>
      </c>
      <c r="M784" s="118" t="s">
        <v>3870</v>
      </c>
      <c r="N784" s="130" t="s">
        <v>5292</v>
      </c>
      <c r="O784" s="118" t="str">
        <f t="array" ref="O784">IFERROR(
VLOOKUP(
TRIM(CLEAN(
INDEX(REPORTE_DROPI!K:K,
MATCH(T784, REPORTE_DROPI!B:B, 0)
))),
{
TRIM(CLEAN(MAPA_ESTADOS!A:A)) ,
MAPA_ESTADOS!B:B
},
2,
FALSE
),
"REVISAR"
)
</f>
        <v>ENTREGADO</v>
      </c>
      <c r="P784" s="118" t="s">
        <v>5288</v>
      </c>
      <c r="Q784" s="122">
        <f t="shared" si="2"/>
        <v>0</v>
      </c>
      <c r="R784" s="118"/>
      <c r="S784" s="118"/>
      <c r="T784" s="118">
        <f t="array" ref="T784">IFERROR(
INDEX(REPORTE_DROPI!B:B,
MATCH(
CLEAN(TRIM(C784)),
CLEAN(TRIM(REPORTE_DROPI!E:E)),
0
)
),
""
)
</f>
        <v>4297453</v>
      </c>
      <c r="U784" s="118">
        <v>6.440379875372E12</v>
      </c>
      <c r="V784" s="78"/>
      <c r="W784" s="78"/>
      <c r="X784" s="78"/>
      <c r="Y784" s="78"/>
      <c r="Z784" s="78"/>
    </row>
    <row r="785" ht="22.5" customHeight="1">
      <c r="A785" s="118">
        <v>784.0</v>
      </c>
      <c r="B785" s="119">
        <v>46045.0</v>
      </c>
      <c r="C785" s="126" t="s">
        <v>5293</v>
      </c>
      <c r="D785" s="118" t="str">
        <f>IFERROR(__xludf.DUMMYFUNCTION("IFERROR(
  INDEX(
    FILTER(
      'NOMBRE DE PRODUCTOS'!B:B,
      REGEXMATCH(
        UPPER(
          INDEX(
            REPORTE_DROPI!AC:AC,
            MATCH(T785, REPORTE_DROPI!B:B, 0)
          )
        ),
        UPPER('NOMBRE DE PRODUCTOS'!A:A)"&amp;"
      )
    ),
    1
  ),
  ""REVISAR""
)
"),"FilmPro®")</f>
        <v>FilmPro®</v>
      </c>
      <c r="E785" s="120" t="str">
        <f t="array" ref="E785">IF(
UPPER(TRIM(CLEAN($O785)))="ENTREGADO",
IFERROR(
INDEX(REPORTE_DROPI!Y:Y,
MATCH($T785, REPORTE_DROPI!B:B, 0)
),
""
),
""
)
</f>
        <v/>
      </c>
      <c r="F785" s="121">
        <v>1.0</v>
      </c>
      <c r="G785" s="122" t="str">
        <f t="array" ref="G785">IF(
UPPER(TRIM(CLEAN($O785)))="ENTREGADO",
IFERROR(
INDEX(REPORTE_DROPI!R:R,
MATCH($T785, REPORTE_DROPI!B:B, 0)
),
""
),
""
)
</f>
        <v/>
      </c>
      <c r="H785" s="118" t="s">
        <v>3727</v>
      </c>
      <c r="I785" s="118" t="s">
        <v>3728</v>
      </c>
      <c r="J785" s="121" t="str">
        <f t="array" ref="J785">IF(
UPPER(TRIM(CLEAN($O785)))="ENTREGADO",
IFERROR(
INDEX(REPORTE_DROPI!T:T,
MATCH($T785, REPORTE_DROPI!B:B, 0)
),
""
),
""
)
</f>
        <v/>
      </c>
      <c r="K785" s="118" t="str">
        <f t="array" ref="K785">IFERROR(
INDEX(REPORTE_DROPI!S:S,
MATCH($T785, REPORTE_DROPI!B:B, 0)
),
""
)
</f>
        <v/>
      </c>
      <c r="L785" s="118">
        <f>IF(
  O785&lt;&gt;"DEVOLUCION",
  "",
  IF(
    T785="",
    "",
    SUMIF(DEVOLUCION!F:F, T785, DEVOLUCION!D:D)
  )
)
</f>
        <v>0</v>
      </c>
      <c r="M785" s="118" t="s">
        <v>3870</v>
      </c>
      <c r="N785" s="130" t="s">
        <v>5294</v>
      </c>
      <c r="O785" s="118" t="str">
        <f t="array" ref="O785">IFERROR(
VLOOKUP(
TRIM(CLEAN(
INDEX(REPORTE_DROPI!K:K,
MATCH(T785, REPORTE_DROPI!B:B, 0)
))),
{
TRIM(CLEAN(MAPA_ESTADOS!A:A)) ,
MAPA_ESTADOS!B:B
},
2,
FALSE
),
"REVISAR"
)
</f>
        <v>DEVOLUCION</v>
      </c>
      <c r="P785" s="118" t="s">
        <v>3655</v>
      </c>
      <c r="Q785" s="122">
        <f t="shared" si="2"/>
        <v>0</v>
      </c>
      <c r="R785" s="118"/>
      <c r="S785" s="118"/>
      <c r="T785" s="118">
        <f t="array" ref="T785">IFERROR(
INDEX(REPORTE_DROPI!B:B,
MATCH(
CLEAN(TRIM(C785)),
CLEAN(TRIM(REPORTE_DROPI!E:E)),
0
)
),
""
)
</f>
        <v>4250198</v>
      </c>
      <c r="U785" s="118">
        <v>6.440394620972E12</v>
      </c>
      <c r="V785" s="78"/>
      <c r="W785" s="78"/>
      <c r="X785" s="78"/>
      <c r="Y785" s="78"/>
      <c r="Z785" s="78"/>
    </row>
    <row r="786" ht="22.5" customHeight="1">
      <c r="A786" s="118">
        <v>785.0</v>
      </c>
      <c r="B786" s="119">
        <v>46045.0</v>
      </c>
      <c r="C786" s="126" t="s">
        <v>5295</v>
      </c>
      <c r="D786" s="118" t="str">
        <f>IFERROR(__xludf.DUMMYFUNCTION("IFERROR(
  INDEX(
    FILTER(
      'NOMBRE DE PRODUCTOS'!B:B,
      REGEXMATCH(
        UPPER(
          INDEX(
            REPORTE_DROPI!AC:AC,
            MATCH(T786, REPORTE_DROPI!B:B, 0)
          )
        ),
        UPPER('NOMBRE DE PRODUCTOS'!A:A)"&amp;"
      )
    ),
    1
  ),
  ""REVISAR""
)
"),"FilmPro®")</f>
        <v>FilmPro®</v>
      </c>
      <c r="E786" s="120">
        <f t="array" ref="E786">IF(
UPPER(TRIM(CLEAN($O786)))="ENTREGADO",
IFERROR(
INDEX(REPORTE_DROPI!Y:Y,
MATCH($T786, REPORTE_DROPI!B:B, 0)
),
""
),
""
)
</f>
        <v>7.05</v>
      </c>
      <c r="F786" s="121">
        <v>3.0</v>
      </c>
      <c r="G786" s="122">
        <f t="array" ref="G786">IF(
UPPER(TRIM(CLEAN($O786)))="ENTREGADO",
IFERROR(
INDEX(REPORTE_DROPI!R:R,
MATCH($T786, REPORTE_DROPI!B:B, 0)
),
""
),
""
)
</f>
        <v>30</v>
      </c>
      <c r="H786" s="118" t="s">
        <v>3727</v>
      </c>
      <c r="I786" s="118" t="s">
        <v>3801</v>
      </c>
      <c r="J786" s="121">
        <f t="array" ref="J786">IF(
UPPER(TRIM(CLEAN($O786)))="ENTREGADO",
IFERROR(
INDEX(REPORTE_DROPI!T:T,
MATCH($T786, REPORTE_DROPI!B:B, 0)
),
""
),
""
)
</f>
        <v>6.73</v>
      </c>
      <c r="K786" s="118">
        <f t="array" ref="K786">IFERROR(
INDEX(REPORTE_DROPI!S:S,
MATCH($T786, REPORTE_DROPI!B:B, 0)
),
""
)
</f>
        <v>16.22</v>
      </c>
      <c r="L786" s="118" t="str">
        <f>IF(
  O786&lt;&gt;"DEVOLUCION",
  "",
  IF(
    T786="",
    "",
    SUMIF(DEVOLUCION!F:F, T786, DEVOLUCION!D:D)
  )
)
</f>
        <v/>
      </c>
      <c r="M786" s="118" t="s">
        <v>3870</v>
      </c>
      <c r="N786" s="130" t="s">
        <v>5296</v>
      </c>
      <c r="O786" s="118" t="str">
        <f t="array" ref="O786">IFERROR(
VLOOKUP(
TRIM(CLEAN(
INDEX(REPORTE_DROPI!K:K,
MATCH(T786, REPORTE_DROPI!B:B, 0)
))),
{
TRIM(CLEAN(MAPA_ESTADOS!A:A)) ,
MAPA_ESTADOS!B:B
},
2,
FALSE
),
"REVISAR"
)
</f>
        <v>ENTREGADO</v>
      </c>
      <c r="P786" s="118" t="s">
        <v>3655</v>
      </c>
      <c r="Q786" s="122">
        <f t="shared" si="2"/>
        <v>0</v>
      </c>
      <c r="R786" s="118"/>
      <c r="S786" s="118"/>
      <c r="T786" s="118">
        <f t="array" ref="T786">IFERROR(
INDEX(REPORTE_DROPI!B:B,
MATCH(
CLEAN(TRIM(C786)),
CLEAN(TRIM(REPORTE_DROPI!E:E)),
0
)
),
""
)
</f>
        <v>4250682</v>
      </c>
      <c r="U786" s="118">
        <v>6.440460484652E12</v>
      </c>
      <c r="V786" s="78"/>
      <c r="W786" s="78"/>
      <c r="X786" s="78"/>
      <c r="Y786" s="78"/>
      <c r="Z786" s="78"/>
    </row>
    <row r="787" ht="22.5" customHeight="1">
      <c r="A787" s="118">
        <v>786.0</v>
      </c>
      <c r="B787" s="119">
        <v>46045.0</v>
      </c>
      <c r="C787" s="118" t="s">
        <v>5297</v>
      </c>
      <c r="D787" s="118" t="str">
        <f>IFERROR(__xludf.DUMMYFUNCTION("IFERROR(
  INDEX(
    FILTER(
      'NOMBRE DE PRODUCTOS'!B:B,
      REGEXMATCH(
        UPPER(
          INDEX(
            REPORTE_DROPI!AC:AC,
            MATCH(T787, REPORTE_DROPI!B:B, 0)
          )
        ),
        UPPER('NOMBRE DE PRODUCTOS'!A:A)"&amp;"
      )
    ),
    1
  ),
  ""REVISAR""
)
"),"FilmPro®")</f>
        <v>FilmPro®</v>
      </c>
      <c r="E787" s="120">
        <f t="array" ref="E787">IF(
UPPER(TRIM(CLEAN($O787)))="ENTREGADO",
IFERROR(
INDEX(REPORTE_DROPI!Y:Y,
MATCH($T787, REPORTE_DROPI!B:B, 0)
),
""
),
""
)
</f>
        <v>7.05</v>
      </c>
      <c r="F787" s="121">
        <v>3.0</v>
      </c>
      <c r="G787" s="122">
        <f t="array" ref="G787">IF(
UPPER(TRIM(CLEAN($O787)))="ENTREGADO",
IFERROR(
INDEX(REPORTE_DROPI!R:R,
MATCH($T787, REPORTE_DROPI!B:B, 0)
),
""
),
""
)
</f>
        <v>30</v>
      </c>
      <c r="H787" s="118" t="s">
        <v>3727</v>
      </c>
      <c r="I787" s="118" t="s">
        <v>3740</v>
      </c>
      <c r="J787" s="121">
        <f t="array" ref="J787">IF(
UPPER(TRIM(CLEAN($O787)))="ENTREGADO",
IFERROR(
INDEX(REPORTE_DROPI!T:T,
MATCH($T787, REPORTE_DROPI!B:B, 0)
),
""
),
""
)
</f>
        <v>7.82</v>
      </c>
      <c r="K787" s="118">
        <f t="array" ref="K787">IFERROR(
INDEX(REPORTE_DROPI!S:S,
MATCH($T787, REPORTE_DROPI!B:B, 0)
),
""
)
</f>
        <v>15.13</v>
      </c>
      <c r="L787" s="118" t="str">
        <f>IF(
  O787&lt;&gt;"DEVOLUCION",
  "",
  IF(
    T787="",
    "",
    SUMIF(DEVOLUCION!F:F, T787, DEVOLUCION!D:D)
  )
)
</f>
        <v/>
      </c>
      <c r="M787" s="118" t="s">
        <v>3870</v>
      </c>
      <c r="N787" s="130" t="s">
        <v>5298</v>
      </c>
      <c r="O787" s="118" t="str">
        <f t="array" ref="O787">IFERROR(
VLOOKUP(
TRIM(CLEAN(
INDEX(REPORTE_DROPI!K:K,
MATCH(T787, REPORTE_DROPI!B:B, 0)
))),
{
TRIM(CLEAN(MAPA_ESTADOS!A:A)) ,
MAPA_ESTADOS!B:B
},
2,
FALSE
),
"REVISAR"
)
</f>
        <v>ENTREGADO</v>
      </c>
      <c r="P787" s="118" t="s">
        <v>3655</v>
      </c>
      <c r="Q787" s="122">
        <f t="shared" si="2"/>
        <v>0</v>
      </c>
      <c r="R787" s="118"/>
      <c r="S787" s="118"/>
      <c r="T787" s="118">
        <f t="array" ref="T787">IFERROR(
INDEX(REPORTE_DROPI!B:B,
MATCH(
CLEAN(TRIM(C787)),
CLEAN(TRIM(REPORTE_DROPI!E:E)),
0
)
),
""
)
</f>
        <v>4250753</v>
      </c>
      <c r="U787" s="118">
        <v>6.440473231404E12</v>
      </c>
      <c r="V787" s="78"/>
      <c r="W787" s="78"/>
      <c r="X787" s="78"/>
      <c r="Y787" s="78"/>
      <c r="Z787" s="78"/>
    </row>
    <row r="788" ht="22.5" customHeight="1">
      <c r="A788" s="118">
        <v>787.0</v>
      </c>
      <c r="B788" s="119">
        <v>46045.0</v>
      </c>
      <c r="C788" s="118" t="s">
        <v>5299</v>
      </c>
      <c r="D788" s="118" t="str">
        <f>IFERROR(__xludf.DUMMYFUNCTION("IFERROR(
  INDEX(
    FILTER(
      'NOMBRE DE PRODUCTOS'!B:B,
      REGEXMATCH(
        UPPER(
          INDEX(
            REPORTE_DROPI!AC:AC,
            MATCH(T788, REPORTE_DROPI!B:B, 0)
          )
        ),
        UPPER('NOMBRE DE PRODUCTOS'!A:A)"&amp;"
      )
    ),
    1
  ),
  ""REVISAR""
)
"),"FilmPro®")</f>
        <v>FilmPro®</v>
      </c>
      <c r="E788" s="120">
        <f t="array" ref="E788">IF(
UPPER(TRIM(CLEAN($O788)))="ENTREGADO",
IFERROR(
INDEX(REPORTE_DROPI!Y:Y,
MATCH($T788, REPORTE_DROPI!B:B, 0)
),
""
),
""
)
</f>
        <v>4.7</v>
      </c>
      <c r="F788" s="121">
        <v>2.0</v>
      </c>
      <c r="G788" s="122">
        <f t="array" ref="G788">IF(
UPPER(TRIM(CLEAN($O788)))="ENTREGADO",
IFERROR(
INDEX(REPORTE_DROPI!R:R,
MATCH($T788, REPORTE_DROPI!B:B, 0)
),
""
),
""
)
</f>
        <v>25</v>
      </c>
      <c r="H788" s="118" t="s">
        <v>3727</v>
      </c>
      <c r="I788" s="118" t="s">
        <v>3740</v>
      </c>
      <c r="J788" s="121">
        <f t="array" ref="J788">IF(
UPPER(TRIM(CLEAN($O788)))="ENTREGADO",
IFERROR(
INDEX(REPORTE_DROPI!T:T,
MATCH($T788, REPORTE_DROPI!B:B, 0)
),
""
),
""
)
</f>
        <v>7.75</v>
      </c>
      <c r="K788" s="118">
        <f t="array" ref="K788">IFERROR(
INDEX(REPORTE_DROPI!S:S,
MATCH($T788, REPORTE_DROPI!B:B, 0)
),
""
)
</f>
        <v>12.55</v>
      </c>
      <c r="L788" s="118" t="str">
        <f>IF(
  O788&lt;&gt;"DEVOLUCION",
  "",
  IF(
    T788="",
    "",
    SUMIF(DEVOLUCION!F:F, T788, DEVOLUCION!D:D)
  )
)
</f>
        <v/>
      </c>
      <c r="M788" s="118" t="s">
        <v>3870</v>
      </c>
      <c r="N788" s="130" t="s">
        <v>5300</v>
      </c>
      <c r="O788" s="118" t="str">
        <f t="array" ref="O788">IFERROR(
VLOOKUP(
TRIM(CLEAN(
INDEX(REPORTE_DROPI!K:K,
MATCH(T788, REPORTE_DROPI!B:B, 0)
))),
{
TRIM(CLEAN(MAPA_ESTADOS!A:A)) ,
MAPA_ESTADOS!B:B
},
2,
FALSE
),
"REVISAR"
)
</f>
        <v>ENTREGADO</v>
      </c>
      <c r="P788" s="118" t="s">
        <v>3888</v>
      </c>
      <c r="Q788" s="122">
        <f t="shared" si="2"/>
        <v>0</v>
      </c>
      <c r="R788" s="118"/>
      <c r="S788" s="118"/>
      <c r="T788" s="118">
        <f t="array" ref="T788">IFERROR(
INDEX(REPORTE_DROPI!B:B,
MATCH(
CLEAN(TRIM(C788)),
CLEAN(TRIM(REPORTE_DROPI!E:E)),
0
)
),
""
)
</f>
        <v>4281888</v>
      </c>
      <c r="U788" s="118">
        <v>6.44123531678E12</v>
      </c>
      <c r="V788" s="78"/>
      <c r="W788" s="78"/>
      <c r="X788" s="78"/>
      <c r="Y788" s="78"/>
      <c r="Z788" s="78"/>
    </row>
    <row r="789" ht="22.5" customHeight="1">
      <c r="A789" s="118">
        <v>788.0</v>
      </c>
      <c r="B789" s="119">
        <v>46045.0</v>
      </c>
      <c r="C789" s="126" t="s">
        <v>5301</v>
      </c>
      <c r="D789" s="118" t="str">
        <f>IFERROR(__xludf.DUMMYFUNCTION("IFERROR(
  INDEX(
    FILTER(
      'NOMBRE DE PRODUCTOS'!B:B,
      REGEXMATCH(
        UPPER(
          INDEX(
            REPORTE_DROPI!AC:AC,
            MATCH(T789, REPORTE_DROPI!B:B, 0)
          )
        ),
        UPPER('NOMBRE DE PRODUCTOS'!A:A)"&amp;"
      )
    ),
    1
  ),
  ""REVISAR""
)
"),"FilmPro®")</f>
        <v>FilmPro®</v>
      </c>
      <c r="E789" s="120" t="str">
        <f t="array" ref="E789">IF(
UPPER(TRIM(CLEAN($O789)))="ENTREGADO",
IFERROR(
INDEX(REPORTE_DROPI!Y:Y,
MATCH($T789, REPORTE_DROPI!B:B, 0)
),
""
),
""
)
</f>
        <v/>
      </c>
      <c r="F789" s="121">
        <v>2.0</v>
      </c>
      <c r="G789" s="122" t="str">
        <f t="array" ref="G789">IF(
UPPER(TRIM(CLEAN($O789)))="ENTREGADO",
IFERROR(
INDEX(REPORTE_DROPI!R:R,
MATCH($T789, REPORTE_DROPI!B:B, 0)
),
""
),
""
)
</f>
        <v/>
      </c>
      <c r="H789" s="118" t="s">
        <v>3727</v>
      </c>
      <c r="I789" s="118" t="s">
        <v>3731</v>
      </c>
      <c r="J789" s="121" t="str">
        <f t="array" ref="J789">IF(
UPPER(TRIM(CLEAN($O789)))="ENTREGADO",
IFERROR(
INDEX(REPORTE_DROPI!T:T,
MATCH($T789, REPORTE_DROPI!B:B, 0)
),
""
),
""
)
</f>
        <v/>
      </c>
      <c r="K789" s="118" t="str">
        <f t="array" ref="K789">IFERROR(
INDEX(REPORTE_DROPI!S:S,
MATCH($T789, REPORTE_DROPI!B:B, 0)
),
""
)
</f>
        <v/>
      </c>
      <c r="L789" s="118" t="str">
        <f>IF(
  O789&lt;&gt;"DEVOLUCION",
  "",
  IF(
    T789="",
    "",
    SUMIF(DEVOLUCION!F:F, T789, DEVOLUCION!D:D)
  )
)
</f>
        <v/>
      </c>
      <c r="M789" s="118" t="s">
        <v>3870</v>
      </c>
      <c r="N789" s="130" t="s">
        <v>5302</v>
      </c>
      <c r="O789" s="118" t="str">
        <f t="array" ref="O789">IFERROR(
VLOOKUP(
TRIM(CLEAN(
INDEX(REPORTE_DROPI!K:K,
MATCH(T789, REPORTE_DROPI!B:B, 0)
))),
{
TRIM(CLEAN(MAPA_ESTADOS!A:A)) ,
MAPA_ESTADOS!B:B
},
2,
FALSE
),
"REVISAR"
)
</f>
        <v>PENDIENTE</v>
      </c>
      <c r="P789" s="118" t="s">
        <v>4892</v>
      </c>
      <c r="Q789" s="122">
        <f t="shared" si="2"/>
        <v>0</v>
      </c>
      <c r="R789" s="118"/>
      <c r="S789" s="118"/>
      <c r="T789" s="118">
        <f t="array" ref="T789">IFERROR(
INDEX(REPORTE_DROPI!B:B,
MATCH(
CLEAN(TRIM(C789)),
CLEAN(TRIM(REPORTE_DROPI!E:E)),
0
)
),
""
)
</f>
        <v>4253935</v>
      </c>
      <c r="U789" s="118">
        <v>6.441238691884E12</v>
      </c>
      <c r="V789" s="78"/>
      <c r="W789" s="78"/>
      <c r="X789" s="78"/>
      <c r="Y789" s="78"/>
      <c r="Z789" s="78"/>
    </row>
    <row r="790" ht="22.5" customHeight="1">
      <c r="A790" s="118">
        <v>789.0</v>
      </c>
      <c r="B790" s="119">
        <v>46045.0</v>
      </c>
      <c r="C790" s="118" t="s">
        <v>5303</v>
      </c>
      <c r="D790" s="118" t="str">
        <f>IFERROR(__xludf.DUMMYFUNCTION("IFERROR(
  INDEX(
    FILTER(
      'NOMBRE DE PRODUCTOS'!B:B,
      REGEXMATCH(
        UPPER(
          INDEX(
            REPORTE_DROPI!AC:AC,
            MATCH(T790, REPORTE_DROPI!B:B, 0)
          )
        ),
        UPPER('NOMBRE DE PRODUCTOS'!A:A)"&amp;"
      )
    ),
    1
  ),
  ""REVISAR""
)
"),"FilmPro®")</f>
        <v>FilmPro®</v>
      </c>
      <c r="E790" s="120" t="str">
        <f t="array" ref="E790">IF(
UPPER(TRIM(CLEAN($O790)))="ENTREGADO",
IFERROR(
INDEX(REPORTE_DROPI!Y:Y,
MATCH($T790, REPORTE_DROPI!B:B, 0)
),
""
),
""
)
</f>
        <v/>
      </c>
      <c r="F790" s="121">
        <v>2.0</v>
      </c>
      <c r="G790" s="122" t="str">
        <f t="array" ref="G790">IF(
UPPER(TRIM(CLEAN($O790)))="ENTREGADO",
IFERROR(
INDEX(REPORTE_DROPI!R:R,
MATCH($T790, REPORTE_DROPI!B:B, 0)
),
""
),
""
)
</f>
        <v/>
      </c>
      <c r="H790" s="118" t="s">
        <v>3727</v>
      </c>
      <c r="I790" s="118" t="s">
        <v>3740</v>
      </c>
      <c r="J790" s="121" t="str">
        <f t="array" ref="J790">IF(
UPPER(TRIM(CLEAN($O790)))="ENTREGADO",
IFERROR(
INDEX(REPORTE_DROPI!T:T,
MATCH($T790, REPORTE_DROPI!B:B, 0)
),
""
),
""
)
</f>
        <v/>
      </c>
      <c r="K790" s="118" t="str">
        <f t="array" ref="K790">IFERROR(
INDEX(REPORTE_DROPI!S:S,
MATCH($T790, REPORTE_DROPI!B:B, 0)
),
""
)
</f>
        <v/>
      </c>
      <c r="L790" s="118" t="str">
        <f>IF(
  O790&lt;&gt;"DEVOLUCION",
  "",
  IF(
    T790="",
    "",
    SUMIF(DEVOLUCION!F:F, T790, DEVOLUCION!D:D)
  )
)
</f>
        <v/>
      </c>
      <c r="M790" s="118" t="s">
        <v>3870</v>
      </c>
      <c r="N790" s="130" t="s">
        <v>5304</v>
      </c>
      <c r="O790" s="118" t="str">
        <f t="array" ref="O790">IFERROR(
VLOOKUP(
TRIM(CLEAN(
INDEX(REPORTE_DROPI!K:K,
MATCH(T790, REPORTE_DROPI!B:B, 0)
))),
{
TRIM(CLEAN(MAPA_ESTADOS!A:A)) ,
MAPA_ESTADOS!B:B
},
2,
FALSE
),
"REVISAR"
)
</f>
        <v>CANCELADO</v>
      </c>
      <c r="P790" s="118" t="s">
        <v>3891</v>
      </c>
      <c r="Q790" s="122">
        <f t="shared" si="2"/>
        <v>0</v>
      </c>
      <c r="R790" s="118"/>
      <c r="S790" s="118"/>
      <c r="T790" s="118">
        <f t="array" ref="T790">IFERROR(
INDEX(REPORTE_DROPI!B:B,
MATCH(
CLEAN(TRIM(C790)),
CLEAN(TRIM(REPORTE_DROPI!E:E)),
0
)
),
""
)
</f>
        <v>4256837</v>
      </c>
      <c r="U790" s="118">
        <v>6.442076864556E12</v>
      </c>
      <c r="V790" s="78"/>
      <c r="W790" s="78"/>
      <c r="X790" s="78"/>
      <c r="Y790" s="78"/>
      <c r="Z790" s="78"/>
    </row>
    <row r="791" ht="22.5" customHeight="1">
      <c r="A791" s="118">
        <v>790.0</v>
      </c>
      <c r="B791" s="119">
        <v>46045.0</v>
      </c>
      <c r="C791" s="118" t="s">
        <v>5305</v>
      </c>
      <c r="D791" s="118" t="str">
        <f>IFERROR(__xludf.DUMMYFUNCTION("IFERROR(
  INDEX(
    FILTER(
      'NOMBRE DE PRODUCTOS'!B:B,
      REGEXMATCH(
        UPPER(
          INDEX(
            REPORTE_DROPI!AC:AC,
            MATCH(T791, REPORTE_DROPI!B:B, 0)
          )
        ),
        UPPER('NOMBRE DE PRODUCTOS'!A:A)"&amp;"
      )
    ),
    1
  ),
  ""REVISAR""
)
"),"FilmPro®")</f>
        <v>FilmPro®</v>
      </c>
      <c r="E791" s="120">
        <f t="array" ref="E791">IF(
UPPER(TRIM(CLEAN($O791)))="ENTREGADO",
IFERROR(
INDEX(REPORTE_DROPI!Y:Y,
MATCH($T791, REPORTE_DROPI!B:B, 0)
),
""
),
""
)
</f>
        <v>2.35</v>
      </c>
      <c r="F791" s="121">
        <v>1.0</v>
      </c>
      <c r="G791" s="122">
        <f t="array" ref="G791">IF(
UPPER(TRIM(CLEAN($O791)))="ENTREGADO",
IFERROR(
INDEX(REPORTE_DROPI!R:R,
MATCH($T791, REPORTE_DROPI!B:B, 0)
),
""
),
""
)
</f>
        <v>20</v>
      </c>
      <c r="H791" s="118" t="s">
        <v>3727</v>
      </c>
      <c r="I791" s="118" t="s">
        <v>3740</v>
      </c>
      <c r="J791" s="121">
        <f t="array" ref="J791">IF(
UPPER(TRIM(CLEAN($O791)))="ENTREGADO",
IFERROR(
INDEX(REPORTE_DROPI!T:T,
MATCH($T791, REPORTE_DROPI!B:B, 0)
),
""
),
""
)
</f>
        <v>5.76</v>
      </c>
      <c r="K791" s="118">
        <f t="array" ref="K791">IFERROR(
INDEX(REPORTE_DROPI!S:S,
MATCH($T791, REPORTE_DROPI!B:B, 0)
),
""
)
</f>
        <v>11.89</v>
      </c>
      <c r="L791" s="118" t="str">
        <f>IF(
  O791&lt;&gt;"DEVOLUCION",
  "",
  IF(
    T791="",
    "",
    SUMIF(DEVOLUCION!F:F, T791, DEVOLUCION!D:D)
  )
)
</f>
        <v/>
      </c>
      <c r="M791" s="118" t="s">
        <v>3870</v>
      </c>
      <c r="N791" s="130" t="s">
        <v>5306</v>
      </c>
      <c r="O791" s="118" t="str">
        <f t="array" ref="O791">IFERROR(
VLOOKUP(
TRIM(CLEAN(
INDEX(REPORTE_DROPI!K:K,
MATCH(T791, REPORTE_DROPI!B:B, 0)
))),
{
TRIM(CLEAN(MAPA_ESTADOS!A:A)) ,
MAPA_ESTADOS!B:B
},
2,
FALSE
),
"REVISAR"
)
</f>
        <v>ENTREGADO</v>
      </c>
      <c r="P791" s="118" t="s">
        <v>3655</v>
      </c>
      <c r="Q791" s="122">
        <f t="shared" si="2"/>
        <v>0</v>
      </c>
      <c r="R791" s="118"/>
      <c r="S791" s="118"/>
      <c r="T791" s="118">
        <f t="array" ref="T791">IFERROR(
INDEX(REPORTE_DROPI!B:B,
MATCH(
CLEAN(TRIM(C791)),
CLEAN(TRIM(REPORTE_DROPI!E:E)),
0
)
),
""
)
</f>
        <v>4256978</v>
      </c>
      <c r="U791" s="118">
        <v>6.442109304876E12</v>
      </c>
      <c r="V791" s="78"/>
      <c r="W791" s="78"/>
      <c r="X791" s="78"/>
      <c r="Y791" s="78"/>
      <c r="Z791" s="78"/>
    </row>
    <row r="792" ht="22.5" customHeight="1">
      <c r="A792" s="118">
        <v>791.0</v>
      </c>
      <c r="B792" s="119">
        <v>46045.0</v>
      </c>
      <c r="C792" s="118" t="s">
        <v>5307</v>
      </c>
      <c r="D792" s="118" t="str">
        <f>IFERROR(__xludf.DUMMYFUNCTION("IFERROR(
  INDEX(
    FILTER(
      'NOMBRE DE PRODUCTOS'!B:B,
      REGEXMATCH(
        UPPER(
          INDEX(
            REPORTE_DROPI!AC:AC,
            MATCH(T792, REPORTE_DROPI!B:B, 0)
          )
        ),
        UPPER('NOMBRE DE PRODUCTOS'!A:A)"&amp;"
      )
    ),
    1
  ),
  ""REVISAR""
)
"),"Cuchillo Tazaki™")</f>
        <v>Cuchillo Tazaki™</v>
      </c>
      <c r="E792" s="120" t="str">
        <f t="array" ref="E792">IF(
UPPER(TRIM(CLEAN($O792)))="ENTREGADO",
IFERROR(
INDEX(REPORTE_DROPI!Y:Y,
MATCH($T792, REPORTE_DROPI!B:B, 0)
),
""
),
""
)
</f>
        <v/>
      </c>
      <c r="F792" s="121">
        <v>3.0</v>
      </c>
      <c r="G792" s="122" t="str">
        <f t="array" ref="G792">IF(
UPPER(TRIM(CLEAN($O792)))="ENTREGADO",
IFERROR(
INDEX(REPORTE_DROPI!R:R,
MATCH($T792, REPORTE_DROPI!B:B, 0)
),
""
),
""
)
</f>
        <v/>
      </c>
      <c r="H792" s="118" t="s">
        <v>3727</v>
      </c>
      <c r="I792" s="118" t="s">
        <v>3740</v>
      </c>
      <c r="J792" s="121" t="str">
        <f t="array" ref="J792">IF(
UPPER(TRIM(CLEAN($O792)))="ENTREGADO",
IFERROR(
INDEX(REPORTE_DROPI!T:T,
MATCH($T792, REPORTE_DROPI!B:B, 0)
),
""
),
""
)
</f>
        <v/>
      </c>
      <c r="K792" s="118" t="str">
        <f t="array" ref="K792">IFERROR(
INDEX(REPORTE_DROPI!S:S,
MATCH($T792, REPORTE_DROPI!B:B, 0)
),
""
)
</f>
        <v/>
      </c>
      <c r="L792" s="118" t="str">
        <f>IF(
  O792&lt;&gt;"DEVOLUCION",
  "",
  IF(
    T792="",
    "",
    SUMIF(DEVOLUCION!F:F, T792, DEVOLUCION!D:D)
  )
)
</f>
        <v/>
      </c>
      <c r="M792" s="118" t="s">
        <v>3870</v>
      </c>
      <c r="N792" s="130" t="s">
        <v>5308</v>
      </c>
      <c r="O792" s="118" t="str">
        <f t="array" ref="O792">IFERROR(
VLOOKUP(
TRIM(CLEAN(
INDEX(REPORTE_DROPI!K:K,
MATCH(T792, REPORTE_DROPI!B:B, 0)
))),
{
TRIM(CLEAN(MAPA_ESTADOS!A:A)) ,
MAPA_ESTADOS!B:B
},
2,
FALSE
),
"REVISAR"
)
</f>
        <v>PENDIENTE</v>
      </c>
      <c r="P792" s="118" t="s">
        <v>5309</v>
      </c>
      <c r="Q792" s="122">
        <f t="shared" si="2"/>
        <v>0</v>
      </c>
      <c r="R792" s="118"/>
      <c r="S792" s="118"/>
      <c r="T792" s="118">
        <f t="array" ref="T792">IFERROR(
INDEX(REPORTE_DROPI!B:B,
MATCH(
CLEAN(TRIM(C792)),
CLEAN(TRIM(REPORTE_DROPI!E:E)),
0
)
),
""
)
</f>
        <v>4924022</v>
      </c>
      <c r="U792" s="118">
        <v>6.442433937452E12</v>
      </c>
      <c r="V792" s="78"/>
      <c r="W792" s="78"/>
      <c r="X792" s="78"/>
      <c r="Y792" s="78"/>
      <c r="Z792" s="78"/>
    </row>
    <row r="793" ht="22.5" customHeight="1">
      <c r="A793" s="118">
        <v>792.0</v>
      </c>
      <c r="B793" s="119">
        <v>46046.0</v>
      </c>
      <c r="C793" s="118" t="s">
        <v>5310</v>
      </c>
      <c r="D793" s="118" t="str">
        <f>IFERROR(__xludf.DUMMYFUNCTION("IFERROR(
  INDEX(
    FILTER(
      'NOMBRE DE PRODUCTOS'!B:B,
      REGEXMATCH(
        UPPER(
          INDEX(
            REPORTE_DROPI!AC:AC,
            MATCH(T793, REPORTE_DROPI!B:B, 0)
          )
        ),
        UPPER('NOMBRE DE PRODUCTOS'!A:A)"&amp;"
      )
    ),
    1
  ),
  ""REVISAR""
)
"),"FilmPro®")</f>
        <v>FilmPro®</v>
      </c>
      <c r="E793" s="120">
        <f t="array" ref="E793">IF(
UPPER(TRIM(CLEAN($O793)))="ENTREGADO",
IFERROR(
INDEX(REPORTE_DROPI!Y:Y,
MATCH($T793, REPORTE_DROPI!B:B, 0)
),
""
),
""
)
</f>
        <v>4.7</v>
      </c>
      <c r="F793" s="121">
        <v>2.0</v>
      </c>
      <c r="G793" s="122">
        <f t="array" ref="G793">IF(
UPPER(TRIM(CLEAN($O793)))="ENTREGADO",
IFERROR(
INDEX(REPORTE_DROPI!R:R,
MATCH($T793, REPORTE_DROPI!B:B, 0)
),
""
),
""
)
</f>
        <v>25</v>
      </c>
      <c r="H793" s="118" t="s">
        <v>3727</v>
      </c>
      <c r="I793" s="118" t="s">
        <v>3740</v>
      </c>
      <c r="J793" s="121">
        <f t="array" ref="J793">IF(
UPPER(TRIM(CLEAN($O793)))="ENTREGADO",
IFERROR(
INDEX(REPORTE_DROPI!T:T,
MATCH($T793, REPORTE_DROPI!B:B, 0)
),
""
),
""
)
</f>
        <v>5.96</v>
      </c>
      <c r="K793" s="118">
        <f t="array" ref="K793">IFERROR(
INDEX(REPORTE_DROPI!S:S,
MATCH($T793, REPORTE_DROPI!B:B, 0)
),
""
)
</f>
        <v>14.34</v>
      </c>
      <c r="L793" s="118" t="str">
        <f>IF(
  O793&lt;&gt;"DEVOLUCION",
  "",
  IF(
    T793="",
    "",
    SUMIF(DEVOLUCION!F:F, T793, DEVOLUCION!D:D)
  )
)
</f>
        <v/>
      </c>
      <c r="M793" s="118" t="s">
        <v>3870</v>
      </c>
      <c r="N793" s="130" t="s">
        <v>5311</v>
      </c>
      <c r="O793" s="118" t="str">
        <f t="array" ref="O793">IFERROR(
VLOOKUP(
TRIM(CLEAN(
INDEX(REPORTE_DROPI!K:K,
MATCH(T793, REPORTE_DROPI!B:B, 0)
))),
{
TRIM(CLEAN(MAPA_ESTADOS!A:A)) ,
MAPA_ESTADOS!B:B
},
2,
FALSE
),
"REVISAR"
)
</f>
        <v>ENTREGADO</v>
      </c>
      <c r="P793" s="118" t="s">
        <v>3655</v>
      </c>
      <c r="Q793" s="122">
        <f t="shared" si="2"/>
        <v>0</v>
      </c>
      <c r="R793" s="118"/>
      <c r="S793" s="118"/>
      <c r="T793" s="118">
        <f t="array" ref="T793">IFERROR(
INDEX(REPORTE_DROPI!B:B,
MATCH(
CLEAN(TRIM(C793)),
CLEAN(TRIM(REPORTE_DROPI!E:E)),
0
)
),
""
)
</f>
        <v>4258973</v>
      </c>
      <c r="U793" s="118">
        <v>6.442724818988E12</v>
      </c>
      <c r="V793" s="78"/>
      <c r="W793" s="78"/>
      <c r="X793" s="78"/>
      <c r="Y793" s="78"/>
      <c r="Z793" s="78"/>
    </row>
    <row r="794" ht="22.5" customHeight="1">
      <c r="A794" s="118">
        <v>793.0</v>
      </c>
      <c r="B794" s="119">
        <v>46046.0</v>
      </c>
      <c r="C794" s="126" t="s">
        <v>5312</v>
      </c>
      <c r="D794" s="118" t="str">
        <f>IFERROR(__xludf.DUMMYFUNCTION("IFERROR(
  INDEX(
    FILTER(
      'NOMBRE DE PRODUCTOS'!B:B,
      REGEXMATCH(
        UPPER(
          INDEX(
            REPORTE_DROPI!AC:AC,
            MATCH(T794, REPORTE_DROPI!B:B, 0)
          )
        ),
        UPPER('NOMBRE DE PRODUCTOS'!A:A)"&amp;"
      )
    ),
    1
  ),
  ""REVISAR""
)
"),"FilmPro®")</f>
        <v>FilmPro®</v>
      </c>
      <c r="E794" s="120" t="str">
        <f t="array" ref="E794">IF(
UPPER(TRIM(CLEAN($O794)))="ENTREGADO",
IFERROR(
INDEX(REPORTE_DROPI!Y:Y,
MATCH($T794, REPORTE_DROPI!B:B, 0)
),
""
),
""
)
</f>
        <v/>
      </c>
      <c r="F794" s="121">
        <v>1.0</v>
      </c>
      <c r="G794" s="122" t="str">
        <f t="array" ref="G794">IF(
UPPER(TRIM(CLEAN($O794)))="ENTREGADO",
IFERROR(
INDEX(REPORTE_DROPI!R:R,
MATCH($T794, REPORTE_DROPI!B:B, 0)
),
""
),
""
)
</f>
        <v/>
      </c>
      <c r="H794" s="118" t="s">
        <v>3727</v>
      </c>
      <c r="I794" s="118" t="s">
        <v>3951</v>
      </c>
      <c r="J794" s="121" t="str">
        <f t="array" ref="J794">IF(
UPPER(TRIM(CLEAN($O794)))="ENTREGADO",
IFERROR(
INDEX(REPORTE_DROPI!T:T,
MATCH($T794, REPORTE_DROPI!B:B, 0)
),
""
),
""
)
</f>
        <v/>
      </c>
      <c r="K794" s="118" t="str">
        <f t="array" ref="K794">IFERROR(
INDEX(REPORTE_DROPI!S:S,
MATCH($T794, REPORTE_DROPI!B:B, 0)
),
""
)
</f>
        <v/>
      </c>
      <c r="L794" s="118" t="str">
        <f>IF(
  O794&lt;&gt;"DEVOLUCION",
  "",
  IF(
    T794="",
    "",
    SUMIF(DEVOLUCION!F:F, T794, DEVOLUCION!D:D)
  )
)
</f>
        <v/>
      </c>
      <c r="M794" s="118" t="s">
        <v>3870</v>
      </c>
      <c r="N794" s="130" t="s">
        <v>5313</v>
      </c>
      <c r="O794" s="118" t="str">
        <f t="array" ref="O794">IFERROR(
VLOOKUP(
TRIM(CLEAN(
INDEX(REPORTE_DROPI!K:K,
MATCH(T794, REPORTE_DROPI!B:B, 0)
))),
{
TRIM(CLEAN(MAPA_ESTADOS!A:A)) ,
MAPA_ESTADOS!B:B
},
2,
FALSE
),
"REVISAR"
)
</f>
        <v>PENDIENTE</v>
      </c>
      <c r="P794" s="118" t="s">
        <v>5288</v>
      </c>
      <c r="Q794" s="122">
        <f t="shared" si="2"/>
        <v>0</v>
      </c>
      <c r="R794" s="118"/>
      <c r="S794" s="118"/>
      <c r="T794" s="118">
        <f t="array" ref="T794">IFERROR(
INDEX(REPORTE_DROPI!B:B,
MATCH(
CLEAN(TRIM(C794)),
CLEAN(TRIM(REPORTE_DROPI!E:E)),
0
)
),
""
)
</f>
        <v>4282612</v>
      </c>
      <c r="U794" s="118">
        <v>6.443005378604E12</v>
      </c>
      <c r="V794" s="78"/>
      <c r="W794" s="78"/>
      <c r="X794" s="78"/>
      <c r="Y794" s="78"/>
      <c r="Z794" s="78"/>
    </row>
    <row r="795" ht="22.5" customHeight="1">
      <c r="A795" s="118">
        <v>794.0</v>
      </c>
      <c r="B795" s="119">
        <v>46046.0</v>
      </c>
      <c r="C795" s="118" t="s">
        <v>5314</v>
      </c>
      <c r="D795" s="118" t="str">
        <f>IFERROR(__xludf.DUMMYFUNCTION("IFERROR(
  INDEX(
    FILTER(
      'NOMBRE DE PRODUCTOS'!B:B,
      REGEXMATCH(
        UPPER(
          INDEX(
            REPORTE_DROPI!AC:AC,
            MATCH(T795, REPORTE_DROPI!B:B, 0)
          )
        ),
        UPPER('NOMBRE DE PRODUCTOS'!A:A)"&amp;"
      )
    ),
    1
  ),
  ""REVISAR""
)
"),"FilmPro®")</f>
        <v>FilmPro®</v>
      </c>
      <c r="E795" s="120">
        <f t="array" ref="E795">IF(
UPPER(TRIM(CLEAN($O795)))="ENTREGADO",
IFERROR(
INDEX(REPORTE_DROPI!Y:Y,
MATCH($T795, REPORTE_DROPI!B:B, 0)
),
""
),
""
)
</f>
        <v>4.7</v>
      </c>
      <c r="F795" s="121">
        <v>2.0</v>
      </c>
      <c r="G795" s="122">
        <f t="array" ref="G795">IF(
UPPER(TRIM(CLEAN($O795)))="ENTREGADO",
IFERROR(
INDEX(REPORTE_DROPI!R:R,
MATCH($T795, REPORTE_DROPI!B:B, 0)
),
""
),
""
)
</f>
        <v>25</v>
      </c>
      <c r="H795" s="118" t="s">
        <v>3727</v>
      </c>
      <c r="I795" s="118" t="s">
        <v>3731</v>
      </c>
      <c r="J795" s="121">
        <f t="array" ref="J795">IF(
UPPER(TRIM(CLEAN($O795)))="ENTREGADO",
IFERROR(
INDEX(REPORTE_DROPI!T:T,
MATCH($T795, REPORTE_DROPI!B:B, 0)
),
""
),
""
)
</f>
        <v>4.92</v>
      </c>
      <c r="K795" s="118">
        <f t="array" ref="K795">IFERROR(
INDEX(REPORTE_DROPI!S:S,
MATCH($T795, REPORTE_DROPI!B:B, 0)
),
""
)
</f>
        <v>15.38</v>
      </c>
      <c r="L795" s="118" t="str">
        <f>IF(
  O795&lt;&gt;"DEVOLUCION",
  "",
  IF(
    T795="",
    "",
    SUMIF(DEVOLUCION!F:F, T795, DEVOLUCION!D:D)
  )
)
</f>
        <v/>
      </c>
      <c r="M795" s="118" t="s">
        <v>3870</v>
      </c>
      <c r="N795" s="130" t="s">
        <v>5315</v>
      </c>
      <c r="O795" s="118" t="str">
        <f t="array" ref="O795">IFERROR(
VLOOKUP(
TRIM(CLEAN(
INDEX(REPORTE_DROPI!K:K,
MATCH(T795, REPORTE_DROPI!B:B, 0)
))),
{
TRIM(CLEAN(MAPA_ESTADOS!A:A)) ,
MAPA_ESTADOS!B:B
},
2,
FALSE
),
"REVISAR"
)
</f>
        <v>ENTREGADO</v>
      </c>
      <c r="P795" s="118" t="s">
        <v>3655</v>
      </c>
      <c r="Q795" s="122">
        <f t="shared" si="2"/>
        <v>0</v>
      </c>
      <c r="R795" s="118"/>
      <c r="S795" s="118"/>
      <c r="T795" s="118">
        <f t="array" ref="T795">IFERROR(
INDEX(REPORTE_DROPI!B:B,
MATCH(
CLEAN(TRIM(C795)),
CLEAN(TRIM(REPORTE_DROPI!E:E)),
0
)
),
""
)
</f>
        <v>4260175</v>
      </c>
      <c r="U795" s="118">
        <v>6.443112824876E12</v>
      </c>
      <c r="V795" s="78"/>
      <c r="W795" s="78"/>
      <c r="X795" s="78"/>
      <c r="Y795" s="78"/>
      <c r="Z795" s="78"/>
    </row>
    <row r="796" ht="22.5" customHeight="1">
      <c r="A796" s="118">
        <v>795.0</v>
      </c>
      <c r="B796" s="119">
        <v>46046.0</v>
      </c>
      <c r="C796" s="118" t="s">
        <v>5316</v>
      </c>
      <c r="D796" s="118" t="str">
        <f>IFERROR(__xludf.DUMMYFUNCTION("IFERROR(
  INDEX(
    FILTER(
      'NOMBRE DE PRODUCTOS'!B:B,
      REGEXMATCH(
        UPPER(
          INDEX(
            REPORTE_DROPI!AC:AC,
            MATCH(T796, REPORTE_DROPI!B:B, 0)
          )
        ),
        UPPER('NOMBRE DE PRODUCTOS'!A:A)"&amp;"
      )
    ),
    1
  ),
  ""REVISAR""
)
"),"FilmPro®")</f>
        <v>FilmPro®</v>
      </c>
      <c r="E796" s="120">
        <f t="array" ref="E796">IF(
UPPER(TRIM(CLEAN($O796)))="ENTREGADO",
IFERROR(
INDEX(REPORTE_DROPI!Y:Y,
MATCH($T796, REPORTE_DROPI!B:B, 0)
),
""
),
""
)
</f>
        <v>4.7</v>
      </c>
      <c r="F796" s="121">
        <v>2.0</v>
      </c>
      <c r="G796" s="122">
        <f t="array" ref="G796">IF(
UPPER(TRIM(CLEAN($O796)))="ENTREGADO",
IFERROR(
INDEX(REPORTE_DROPI!R:R,
MATCH($T796, REPORTE_DROPI!B:B, 0)
),
""
),
""
)
</f>
        <v>25</v>
      </c>
      <c r="H796" s="118" t="s">
        <v>3727</v>
      </c>
      <c r="I796" s="118" t="s">
        <v>3912</v>
      </c>
      <c r="J796" s="121">
        <f t="array" ref="J796">IF(
UPPER(TRIM(CLEAN($O796)))="ENTREGADO",
IFERROR(
INDEX(REPORTE_DROPI!T:T,
MATCH($T796, REPORTE_DROPI!B:B, 0)
),
""
),
""
)
</f>
        <v>5.96</v>
      </c>
      <c r="K796" s="118">
        <f t="array" ref="K796">IFERROR(
INDEX(REPORTE_DROPI!S:S,
MATCH($T796, REPORTE_DROPI!B:B, 0)
),
""
)
</f>
        <v>14.34</v>
      </c>
      <c r="L796" s="118" t="str">
        <f>IF(
  O796&lt;&gt;"DEVOLUCION",
  "",
  IF(
    T796="",
    "",
    SUMIF(DEVOLUCION!F:F, T796, DEVOLUCION!D:D)
  )
)
</f>
        <v/>
      </c>
      <c r="M796" s="118" t="s">
        <v>3870</v>
      </c>
      <c r="N796" s="130" t="s">
        <v>5317</v>
      </c>
      <c r="O796" s="118" t="str">
        <f t="array" ref="O796">IFERROR(
VLOOKUP(
TRIM(CLEAN(
INDEX(REPORTE_DROPI!K:K,
MATCH(T796, REPORTE_DROPI!B:B, 0)
))),
{
TRIM(CLEAN(MAPA_ESTADOS!A:A)) ,
MAPA_ESTADOS!B:B
},
2,
FALSE
),
"REVISAR"
)
</f>
        <v>ENTREGADO</v>
      </c>
      <c r="P796" s="118" t="s">
        <v>3655</v>
      </c>
      <c r="Q796" s="122">
        <f t="shared" si="2"/>
        <v>0</v>
      </c>
      <c r="R796" s="118"/>
      <c r="S796" s="118"/>
      <c r="T796" s="118">
        <f t="array" ref="T796">IFERROR(
INDEX(REPORTE_DROPI!B:B,
MATCH(
CLEAN(TRIM(C796)),
CLEAN(TRIM(REPORTE_DROPI!E:E)),
0
)
),
""
)
</f>
        <v>4260555</v>
      </c>
      <c r="U796" s="118">
        <v>6.443159814188E12</v>
      </c>
      <c r="V796" s="78"/>
      <c r="W796" s="78"/>
      <c r="X796" s="78"/>
      <c r="Y796" s="78"/>
      <c r="Z796" s="78"/>
    </row>
    <row r="797" ht="22.5" customHeight="1">
      <c r="A797" s="118">
        <v>796.0</v>
      </c>
      <c r="B797" s="119">
        <v>46046.0</v>
      </c>
      <c r="C797" s="126" t="s">
        <v>5318</v>
      </c>
      <c r="D797" s="118" t="str">
        <f>IFERROR(__xludf.DUMMYFUNCTION("IFERROR(
  INDEX(
    FILTER(
      'NOMBRE DE PRODUCTOS'!B:B,
      REGEXMATCH(
        UPPER(
          INDEX(
            REPORTE_DROPI!AC:AC,
            MATCH(T797, REPORTE_DROPI!B:B, 0)
          )
        ),
        UPPER('NOMBRE DE PRODUCTOS'!A:A)"&amp;"
      )
    ),
    1
  ),
  ""REVISAR""
)
"),"FilmPro®")</f>
        <v>FilmPro®</v>
      </c>
      <c r="E797" s="120" t="str">
        <f t="array" ref="E797">IF(
UPPER(TRIM(CLEAN($O797)))="ENTREGADO",
IFERROR(
INDEX(REPORTE_DROPI!Y:Y,
MATCH($T797, REPORTE_DROPI!B:B, 0)
),
""
),
""
)
</f>
        <v/>
      </c>
      <c r="F797" s="121">
        <v>2.0</v>
      </c>
      <c r="G797" s="122" t="str">
        <f t="array" ref="G797">IF(
UPPER(TRIM(CLEAN($O797)))="ENTREGADO",
IFERROR(
INDEX(REPORTE_DROPI!R:R,
MATCH($T797, REPORTE_DROPI!B:B, 0)
),
""
),
""
)
</f>
        <v/>
      </c>
      <c r="H797" s="118" t="s">
        <v>3727</v>
      </c>
      <c r="I797" s="118" t="s">
        <v>3731</v>
      </c>
      <c r="J797" s="121" t="str">
        <f t="array" ref="J797">IF(
UPPER(TRIM(CLEAN($O797)))="ENTREGADO",
IFERROR(
INDEX(REPORTE_DROPI!T:T,
MATCH($T797, REPORTE_DROPI!B:B, 0)
),
""
),
""
)
</f>
        <v/>
      </c>
      <c r="K797" s="118" t="str">
        <f t="array" ref="K797">IFERROR(
INDEX(REPORTE_DROPI!S:S,
MATCH($T797, REPORTE_DROPI!B:B, 0)
),
""
)
</f>
        <v/>
      </c>
      <c r="L797" s="118">
        <f>IF(
  O797&lt;&gt;"DEVOLUCION",
  "",
  IF(
    T797="",
    "",
    SUMIF(DEVOLUCION!F:F, T797, DEVOLUCION!D:D)
  )
)
</f>
        <v>3.48</v>
      </c>
      <c r="M797" s="118" t="s">
        <v>3870</v>
      </c>
      <c r="N797" s="130" t="s">
        <v>5319</v>
      </c>
      <c r="O797" s="118" t="str">
        <f t="array" ref="O797">IFERROR(
VLOOKUP(
TRIM(CLEAN(
INDEX(REPORTE_DROPI!K:K,
MATCH(T797, REPORTE_DROPI!B:B, 0)
))),
{
TRIM(CLEAN(MAPA_ESTADOS!A:A)) ,
MAPA_ESTADOS!B:B
},
2,
FALSE
),
"REVISAR"
)
</f>
        <v>DEVOLUCION</v>
      </c>
      <c r="P797" s="118" t="s">
        <v>3655</v>
      </c>
      <c r="Q797" s="122">
        <f t="shared" si="2"/>
        <v>0</v>
      </c>
      <c r="R797" s="118"/>
      <c r="S797" s="118"/>
      <c r="T797" s="118">
        <f t="array" ref="T797">IFERROR(
INDEX(REPORTE_DROPI!B:B,
MATCH(
CLEAN(TRIM(C797)),
CLEAN(TRIM(REPORTE_DROPI!E:E)),
0
)
),
""
)
</f>
        <v>4260626</v>
      </c>
      <c r="U797" s="118">
        <v>6.443169054764E12</v>
      </c>
      <c r="V797" s="78"/>
      <c r="W797" s="78"/>
      <c r="X797" s="78"/>
      <c r="Y797" s="78"/>
      <c r="Z797" s="78"/>
    </row>
    <row r="798" ht="22.5" customHeight="1">
      <c r="A798" s="118">
        <v>797.0</v>
      </c>
      <c r="B798" s="119">
        <v>46046.0</v>
      </c>
      <c r="C798" s="118" t="s">
        <v>5320</v>
      </c>
      <c r="D798" s="118" t="str">
        <f>IFERROR(__xludf.DUMMYFUNCTION("IFERROR(
  INDEX(
    FILTER(
      'NOMBRE DE PRODUCTOS'!B:B,
      REGEXMATCH(
        UPPER(
          INDEX(
            REPORTE_DROPI!AC:AC,
            MATCH(T798, REPORTE_DROPI!B:B, 0)
          )
        ),
        UPPER('NOMBRE DE PRODUCTOS'!A:A)"&amp;"
      )
    ),
    1
  ),
  ""REVISAR""
)
"),"FilmPro®")</f>
        <v>FilmPro®</v>
      </c>
      <c r="E798" s="120">
        <f t="array" ref="E798">IF(
UPPER(TRIM(CLEAN($O798)))="ENTREGADO",
IFERROR(
INDEX(REPORTE_DROPI!Y:Y,
MATCH($T798, REPORTE_DROPI!B:B, 0)
),
""
),
""
)
</f>
        <v>4.7</v>
      </c>
      <c r="F798" s="121">
        <v>2.0</v>
      </c>
      <c r="G798" s="122">
        <f t="array" ref="G798">IF(
UPPER(TRIM(CLEAN($O798)))="ENTREGADO",
IFERROR(
INDEX(REPORTE_DROPI!R:R,
MATCH($T798, REPORTE_DROPI!B:B, 0)
),
""
),
""
)
</f>
        <v>25</v>
      </c>
      <c r="H798" s="118" t="s">
        <v>3727</v>
      </c>
      <c r="I798" s="118" t="s">
        <v>3772</v>
      </c>
      <c r="J798" s="121">
        <f t="array" ref="J798">IF(
UPPER(TRIM(CLEAN($O798)))="ENTREGADO",
IFERROR(
INDEX(REPORTE_DROPI!T:T,
MATCH($T798, REPORTE_DROPI!B:B, 0)
),
""
),
""
)
</f>
        <v>5.96</v>
      </c>
      <c r="K798" s="118">
        <f t="array" ref="K798">IFERROR(
INDEX(REPORTE_DROPI!S:S,
MATCH($T798, REPORTE_DROPI!B:B, 0)
),
""
)
</f>
        <v>14.34</v>
      </c>
      <c r="L798" s="118" t="str">
        <f>IF(
  O798&lt;&gt;"DEVOLUCION",
  "",
  IF(
    T798="",
    "",
    SUMIF(DEVOLUCION!F:F, T798, DEVOLUCION!D:D)
  )
)
</f>
        <v/>
      </c>
      <c r="M798" s="118" t="s">
        <v>3870</v>
      </c>
      <c r="N798" s="130" t="s">
        <v>5321</v>
      </c>
      <c r="O798" s="118" t="str">
        <f t="array" ref="O798">IFERROR(
VLOOKUP(
TRIM(CLEAN(
INDEX(REPORTE_DROPI!K:K,
MATCH(T798, REPORTE_DROPI!B:B, 0)
))),
{
TRIM(CLEAN(MAPA_ESTADOS!A:A)) ,
MAPA_ESTADOS!B:B
},
2,
FALSE
),
"REVISAR"
)
</f>
        <v>ENTREGADO</v>
      </c>
      <c r="P798" s="118" t="s">
        <v>3655</v>
      </c>
      <c r="Q798" s="122">
        <f t="shared" si="2"/>
        <v>0</v>
      </c>
      <c r="R798" s="118"/>
      <c r="S798" s="118"/>
      <c r="T798" s="118">
        <f t="array" ref="T798">IFERROR(
INDEX(REPORTE_DROPI!B:B,
MATCH(
CLEAN(TRIM(C798)),
CLEAN(TRIM(REPORTE_DROPI!E:E)),
0
)
),
""
)
</f>
        <v>4261046</v>
      </c>
      <c r="U798" s="118">
        <v>6.443224858668E12</v>
      </c>
      <c r="V798" s="78"/>
      <c r="W798" s="78"/>
      <c r="X798" s="78"/>
      <c r="Y798" s="78"/>
      <c r="Z798" s="78"/>
    </row>
    <row r="799" ht="22.5" customHeight="1">
      <c r="A799" s="118">
        <v>798.0</v>
      </c>
      <c r="B799" s="119">
        <v>46046.0</v>
      </c>
      <c r="C799" s="126" t="s">
        <v>5322</v>
      </c>
      <c r="D799" s="118" t="str">
        <f>IFERROR(__xludf.DUMMYFUNCTION("IFERROR(
  INDEX(
    FILTER(
      'NOMBRE DE PRODUCTOS'!B:B,
      REGEXMATCH(
        UPPER(
          INDEX(
            REPORTE_DROPI!AC:AC,
            MATCH(T799, REPORTE_DROPI!B:B, 0)
          )
        ),
        UPPER('NOMBRE DE PRODUCTOS'!A:A)"&amp;"
      )
    ),
    1
  ),
  ""REVISAR""
)
"),"FilmPro®")</f>
        <v>FilmPro®</v>
      </c>
      <c r="E799" s="120" t="str">
        <f t="array" ref="E799">IF(
UPPER(TRIM(CLEAN($O799)))="ENTREGADO",
IFERROR(
INDEX(REPORTE_DROPI!Y:Y,
MATCH($T799, REPORTE_DROPI!B:B, 0)
),
""
),
""
)
</f>
        <v/>
      </c>
      <c r="F799" s="121">
        <v>2.0</v>
      </c>
      <c r="G799" s="122" t="str">
        <f t="array" ref="G799">IF(
UPPER(TRIM(CLEAN($O799)))="ENTREGADO",
IFERROR(
INDEX(REPORTE_DROPI!R:R,
MATCH($T799, REPORTE_DROPI!B:B, 0)
),
""
),
""
)
</f>
        <v/>
      </c>
      <c r="H799" s="118" t="s">
        <v>3727</v>
      </c>
      <c r="I799" s="118" t="s">
        <v>3778</v>
      </c>
      <c r="J799" s="121" t="str">
        <f t="array" ref="J799">IF(
UPPER(TRIM(CLEAN($O799)))="ENTREGADO",
IFERROR(
INDEX(REPORTE_DROPI!T:T,
MATCH($T799, REPORTE_DROPI!B:B, 0)
),
""
),
""
)
</f>
        <v/>
      </c>
      <c r="K799" s="118" t="str">
        <f t="array" ref="K799">IFERROR(
INDEX(REPORTE_DROPI!S:S,
MATCH($T799, REPORTE_DROPI!B:B, 0)
),
""
)
</f>
        <v/>
      </c>
      <c r="L799" s="118">
        <f>IF(
  O799&lt;&gt;"DEVOLUCION",
  "",
  IF(
    T799="",
    "",
    SUMIF(DEVOLUCION!F:F, T799, DEVOLUCION!D:D)
  )
)
</f>
        <v>4.75</v>
      </c>
      <c r="M799" s="118" t="s">
        <v>3870</v>
      </c>
      <c r="N799" s="130" t="s">
        <v>5323</v>
      </c>
      <c r="O799" s="118" t="str">
        <f t="array" ref="O799">IFERROR(
VLOOKUP(
TRIM(CLEAN(
INDEX(REPORTE_DROPI!K:K,
MATCH(T799, REPORTE_DROPI!B:B, 0)
))),
{
TRIM(CLEAN(MAPA_ESTADOS!A:A)) ,
MAPA_ESTADOS!B:B
},
2,
FALSE
),
"REVISAR"
)
</f>
        <v>DEVOLUCION</v>
      </c>
      <c r="P799" s="118" t="s">
        <v>3655</v>
      </c>
      <c r="Q799" s="122">
        <f t="shared" si="2"/>
        <v>0</v>
      </c>
      <c r="R799" s="118"/>
      <c r="S799" s="118"/>
      <c r="T799" s="118">
        <f t="array" ref="T799">IFERROR(
INDEX(REPORTE_DROPI!B:B,
MATCH(
CLEAN(TRIM(C799)),
CLEAN(TRIM(REPORTE_DROPI!E:E)),
0
)
),
""
)
</f>
        <v>4261277</v>
      </c>
      <c r="U799" s="118">
        <v>6.443264081964E12</v>
      </c>
      <c r="V799" s="78"/>
      <c r="W799" s="78"/>
      <c r="X799" s="78"/>
      <c r="Y799" s="78"/>
      <c r="Z799" s="78"/>
    </row>
    <row r="800" ht="22.5" customHeight="1">
      <c r="A800" s="118">
        <v>799.0</v>
      </c>
      <c r="B800" s="119">
        <v>46046.0</v>
      </c>
      <c r="C800" s="118" t="s">
        <v>5324</v>
      </c>
      <c r="D800" s="118" t="str">
        <f>IFERROR(__xludf.DUMMYFUNCTION("IFERROR(
  INDEX(
    FILTER(
      'NOMBRE DE PRODUCTOS'!B:B,
      REGEXMATCH(
        UPPER(
          INDEX(
            REPORTE_DROPI!AC:AC,
            MATCH(T800, REPORTE_DROPI!B:B, 0)
          )
        ),
        UPPER('NOMBRE DE PRODUCTOS'!A:A)"&amp;"
      )
    ),
    1
  ),
  ""REVISAR""
)
"),"FilmPro®")</f>
        <v>FilmPro®</v>
      </c>
      <c r="E800" s="120">
        <f t="array" ref="E800">IF(
UPPER(TRIM(CLEAN($O800)))="ENTREGADO",
IFERROR(
INDEX(REPORTE_DROPI!Y:Y,
MATCH($T800, REPORTE_DROPI!B:B, 0)
),
""
),
""
)
</f>
        <v>2.35</v>
      </c>
      <c r="F800" s="121">
        <v>1.0</v>
      </c>
      <c r="G800" s="122">
        <f t="array" ref="G800">IF(
UPPER(TRIM(CLEAN($O800)))="ENTREGADO",
IFERROR(
INDEX(REPORTE_DROPI!R:R,
MATCH($T800, REPORTE_DROPI!B:B, 0)
),
""
),
""
)
</f>
        <v>20</v>
      </c>
      <c r="H800" s="118" t="s">
        <v>3727</v>
      </c>
      <c r="I800" s="118" t="s">
        <v>3740</v>
      </c>
      <c r="J800" s="121">
        <f t="array" ref="J800">IF(
UPPER(TRIM(CLEAN($O800)))="ENTREGADO",
IFERROR(
INDEX(REPORTE_DROPI!T:T,
MATCH($T800, REPORTE_DROPI!B:B, 0)
),
""
),
""
)
</f>
        <v>5.76</v>
      </c>
      <c r="K800" s="118">
        <f t="array" ref="K800">IFERROR(
INDEX(REPORTE_DROPI!S:S,
MATCH($T800, REPORTE_DROPI!B:B, 0)
),
""
)
</f>
        <v>11.89</v>
      </c>
      <c r="L800" s="118" t="str">
        <f>IF(
  O800&lt;&gt;"DEVOLUCION",
  "",
  IF(
    T800="",
    "",
    SUMIF(DEVOLUCION!F:F, T800, DEVOLUCION!D:D)
  )
)
</f>
        <v/>
      </c>
      <c r="M800" s="118" t="s">
        <v>3870</v>
      </c>
      <c r="N800" s="130" t="s">
        <v>5325</v>
      </c>
      <c r="O800" s="118" t="str">
        <f t="array" ref="O800">IFERROR(
VLOOKUP(
TRIM(CLEAN(
INDEX(REPORTE_DROPI!K:K,
MATCH(T800, REPORTE_DROPI!B:B, 0)
))),
{
TRIM(CLEAN(MAPA_ESTADOS!A:A)) ,
MAPA_ESTADOS!B:B
},
2,
FALSE
),
"REVISAR"
)
</f>
        <v>ENTREGADO</v>
      </c>
      <c r="P800" s="118" t="s">
        <v>3655</v>
      </c>
      <c r="Q800" s="122">
        <f t="shared" si="2"/>
        <v>0</v>
      </c>
      <c r="R800" s="118"/>
      <c r="S800" s="118"/>
      <c r="T800" s="118">
        <f t="array" ref="T800">IFERROR(
INDEX(REPORTE_DROPI!B:B,
MATCH(
CLEAN(TRIM(C800)),
CLEAN(TRIM(REPORTE_DROPI!E:E)),
0
)
),
""
)
</f>
        <v>4261394</v>
      </c>
      <c r="U800" s="118">
        <v>6.443289641004E12</v>
      </c>
      <c r="V800" s="78"/>
      <c r="W800" s="78"/>
      <c r="X800" s="78"/>
      <c r="Y800" s="78"/>
      <c r="Z800" s="78"/>
    </row>
    <row r="801" ht="22.5" customHeight="1">
      <c r="A801" s="118">
        <v>800.0</v>
      </c>
      <c r="B801" s="119">
        <v>46046.0</v>
      </c>
      <c r="C801" s="118" t="s">
        <v>5326</v>
      </c>
      <c r="D801" s="118" t="str">
        <f>IFERROR(__xludf.DUMMYFUNCTION("IFERROR(
  INDEX(
    FILTER(
      'NOMBRE DE PRODUCTOS'!B:B,
      REGEXMATCH(
        UPPER(
          INDEX(
            REPORTE_DROPI!AC:AC,
            MATCH(T801, REPORTE_DROPI!B:B, 0)
          )
        ),
        UPPER('NOMBRE DE PRODUCTOS'!A:A)"&amp;"
      )
    ),
    1
  ),
  ""REVISAR""
)
"),"FilmPro®")</f>
        <v>FilmPro®</v>
      </c>
      <c r="E801" s="120">
        <f t="array" ref="E801">IF(
UPPER(TRIM(CLEAN($O801)))="ENTREGADO",
IFERROR(
INDEX(REPORTE_DROPI!Y:Y,
MATCH($T801, REPORTE_DROPI!B:B, 0)
),
""
),
""
)
</f>
        <v>4.7</v>
      </c>
      <c r="F801" s="121">
        <v>2.0</v>
      </c>
      <c r="G801" s="122">
        <f t="array" ref="G801">IF(
UPPER(TRIM(CLEAN($O801)))="ENTREGADO",
IFERROR(
INDEX(REPORTE_DROPI!R:R,
MATCH($T801, REPORTE_DROPI!B:B, 0)
),
""
),
""
)
</f>
        <v>25</v>
      </c>
      <c r="H801" s="118" t="s">
        <v>3727</v>
      </c>
      <c r="I801" s="118" t="s">
        <v>3740</v>
      </c>
      <c r="J801" s="121">
        <f t="array" ref="J801">IF(
UPPER(TRIM(CLEAN($O801)))="ENTREGADO",
IFERROR(
INDEX(REPORTE_DROPI!T:T,
MATCH($T801, REPORTE_DROPI!B:B, 0)
),
""
),
""
)
</f>
        <v>5.96</v>
      </c>
      <c r="K801" s="118">
        <f t="array" ref="K801">IFERROR(
INDEX(REPORTE_DROPI!S:S,
MATCH($T801, REPORTE_DROPI!B:B, 0)
),
""
)
</f>
        <v>14.34</v>
      </c>
      <c r="L801" s="118" t="str">
        <f>IF(
  O801&lt;&gt;"DEVOLUCION",
  "",
  IF(
    T801="",
    "",
    SUMIF(DEVOLUCION!F:F, T801, DEVOLUCION!D:D)
  )
)
</f>
        <v/>
      </c>
      <c r="M801" s="118" t="s">
        <v>3870</v>
      </c>
      <c r="N801" s="130" t="s">
        <v>5327</v>
      </c>
      <c r="O801" s="118" t="str">
        <f t="array" ref="O801">IFERROR(
VLOOKUP(
TRIM(CLEAN(
INDEX(REPORTE_DROPI!K:K,
MATCH(T801, REPORTE_DROPI!B:B, 0)
))),
{
TRIM(CLEAN(MAPA_ESTADOS!A:A)) ,
MAPA_ESTADOS!B:B
},
2,
FALSE
),
"REVISAR"
)
</f>
        <v>ENTREGADO</v>
      </c>
      <c r="P801" s="118" t="s">
        <v>3655</v>
      </c>
      <c r="Q801" s="122">
        <f t="shared" si="2"/>
        <v>0</v>
      </c>
      <c r="R801" s="118"/>
      <c r="S801" s="118"/>
      <c r="T801" s="118">
        <f t="array" ref="T801">IFERROR(
INDEX(REPORTE_DROPI!B:B,
MATCH(
CLEAN(TRIM(C801)),
CLEAN(TRIM(REPORTE_DROPI!E:E)),
0
)
),
""
)
</f>
        <v>4261890</v>
      </c>
      <c r="U801" s="118">
        <v>6.443382964268E12</v>
      </c>
      <c r="V801" s="78"/>
      <c r="W801" s="78"/>
      <c r="X801" s="78"/>
      <c r="Y801" s="78"/>
      <c r="Z801" s="78"/>
    </row>
    <row r="802" ht="22.5" customHeight="1">
      <c r="A802" s="118">
        <v>801.0</v>
      </c>
      <c r="B802" s="119">
        <v>46046.0</v>
      </c>
      <c r="C802" s="118" t="s">
        <v>5328</v>
      </c>
      <c r="D802" s="118" t="str">
        <f>IFERROR(__xludf.DUMMYFUNCTION("IFERROR(
  INDEX(
    FILTER(
      'NOMBRE DE PRODUCTOS'!B:B,
      REGEXMATCH(
        UPPER(
          INDEX(
            REPORTE_DROPI!AC:AC,
            MATCH(T802, REPORTE_DROPI!B:B, 0)
          )
        ),
        UPPER('NOMBRE DE PRODUCTOS'!A:A)"&amp;"
      )
    ),
    1
  ),
  ""REVISAR""
)
"),"FilmPro®")</f>
        <v>FilmPro®</v>
      </c>
      <c r="E802" s="120">
        <f t="array" ref="E802">IF(
UPPER(TRIM(CLEAN($O802)))="ENTREGADO",
IFERROR(
INDEX(REPORTE_DROPI!Y:Y,
MATCH($T802, REPORTE_DROPI!B:B, 0)
),
""
),
""
)
</f>
        <v>4.7</v>
      </c>
      <c r="F802" s="121">
        <v>2.0</v>
      </c>
      <c r="G802" s="122">
        <f t="array" ref="G802">IF(
UPPER(TRIM(CLEAN($O802)))="ENTREGADO",
IFERROR(
INDEX(REPORTE_DROPI!R:R,
MATCH($T802, REPORTE_DROPI!B:B, 0)
),
""
),
""
)
</f>
        <v>25</v>
      </c>
      <c r="H802" s="118" t="s">
        <v>3727</v>
      </c>
      <c r="I802" s="118" t="s">
        <v>3740</v>
      </c>
      <c r="J802" s="121">
        <f t="array" ref="J802">IF(
UPPER(TRIM(CLEAN($O802)))="ENTREGADO",
IFERROR(
INDEX(REPORTE_DROPI!T:T,
MATCH($T802, REPORTE_DROPI!B:B, 0)
),
""
),
""
)
</f>
        <v>5.96</v>
      </c>
      <c r="K802" s="118">
        <f t="array" ref="K802">IFERROR(
INDEX(REPORTE_DROPI!S:S,
MATCH($T802, REPORTE_DROPI!B:B, 0)
),
""
)
</f>
        <v>14.34</v>
      </c>
      <c r="L802" s="118" t="str">
        <f>IF(
  O802&lt;&gt;"DEVOLUCION",
  "",
  IF(
    T802="",
    "",
    SUMIF(DEVOLUCION!F:F, T802, DEVOLUCION!D:D)
  )
)
</f>
        <v/>
      </c>
      <c r="M802" s="118" t="s">
        <v>3870</v>
      </c>
      <c r="N802" s="130" t="s">
        <v>5329</v>
      </c>
      <c r="O802" s="118" t="str">
        <f t="array" ref="O802">IFERROR(
VLOOKUP(
TRIM(CLEAN(
INDEX(REPORTE_DROPI!K:K,
MATCH(T802, REPORTE_DROPI!B:B, 0)
))),
{
TRIM(CLEAN(MAPA_ESTADOS!A:A)) ,
MAPA_ESTADOS!B:B
},
2,
FALSE
),
"REVISAR"
)
</f>
        <v>ENTREGADO</v>
      </c>
      <c r="P802" s="118" t="s">
        <v>3655</v>
      </c>
      <c r="Q802" s="122">
        <f t="shared" si="2"/>
        <v>0</v>
      </c>
      <c r="R802" s="118"/>
      <c r="S802" s="118"/>
      <c r="T802" s="118">
        <f t="array" ref="T802">IFERROR(
INDEX(REPORTE_DROPI!B:B,
MATCH(
CLEAN(TRIM(C802)),
CLEAN(TRIM(REPORTE_DROPI!E:E)),
0
)
),
""
)
</f>
        <v>4261910</v>
      </c>
      <c r="U802" s="118">
        <v>6.443389354028E12</v>
      </c>
      <c r="V802" s="78"/>
      <c r="W802" s="78"/>
      <c r="X802" s="78"/>
      <c r="Y802" s="78"/>
      <c r="Z802" s="78"/>
    </row>
    <row r="803" ht="22.5" customHeight="1">
      <c r="A803" s="118">
        <v>802.0</v>
      </c>
      <c r="B803" s="119">
        <v>46046.0</v>
      </c>
      <c r="C803" s="118" t="s">
        <v>5330</v>
      </c>
      <c r="D803" s="118" t="str">
        <f>IFERROR(__xludf.DUMMYFUNCTION("IFERROR(
  INDEX(
    FILTER(
      'NOMBRE DE PRODUCTOS'!B:B,
      REGEXMATCH(
        UPPER(
          INDEX(
            REPORTE_DROPI!AC:AC,
            MATCH(T803, REPORTE_DROPI!B:B, 0)
          )
        ),
        UPPER('NOMBRE DE PRODUCTOS'!A:A)"&amp;"
      )
    ),
    1
  ),
  ""REVISAR""
)
"),"FilmPro®")</f>
        <v>FilmPro®</v>
      </c>
      <c r="E803" s="120" t="str">
        <f t="array" ref="E803">IF(
UPPER(TRIM(CLEAN($O803)))="ENTREGADO",
IFERROR(
INDEX(REPORTE_DROPI!Y:Y,
MATCH($T803, REPORTE_DROPI!B:B, 0)
),
""
),
""
)
</f>
        <v/>
      </c>
      <c r="F803" s="121">
        <v>3.0</v>
      </c>
      <c r="G803" s="122" t="str">
        <f t="array" ref="G803">IF(
UPPER(TRIM(CLEAN($O803)))="ENTREGADO",
IFERROR(
INDEX(REPORTE_DROPI!R:R,
MATCH($T803, REPORTE_DROPI!B:B, 0)
),
""
),
""
)
</f>
        <v/>
      </c>
      <c r="H803" s="118" t="s">
        <v>3727</v>
      </c>
      <c r="I803" s="118" t="s">
        <v>3772</v>
      </c>
      <c r="J803" s="121" t="str">
        <f t="array" ref="J803">IF(
UPPER(TRIM(CLEAN($O803)))="ENTREGADO",
IFERROR(
INDEX(REPORTE_DROPI!T:T,
MATCH($T803, REPORTE_DROPI!B:B, 0)
),
""
),
""
)
</f>
        <v/>
      </c>
      <c r="K803" s="118" t="str">
        <f t="array" ref="K803">IFERROR(
INDEX(REPORTE_DROPI!S:S,
MATCH($T803, REPORTE_DROPI!B:B, 0)
),
""
)
</f>
        <v/>
      </c>
      <c r="L803" s="118" t="str">
        <f>IF(
  O803&lt;&gt;"DEVOLUCION",
  "",
  IF(
    T803="",
    "",
    SUMIF(DEVOLUCION!F:F, T803, DEVOLUCION!D:D)
  )
)
</f>
        <v/>
      </c>
      <c r="M803" s="118" t="s">
        <v>3870</v>
      </c>
      <c r="N803" s="130" t="s">
        <v>5331</v>
      </c>
      <c r="O803" s="118" t="str">
        <f t="array" ref="O803">IFERROR(
VLOOKUP(
TRIM(CLEAN(
INDEX(REPORTE_DROPI!K:K,
MATCH(T803, REPORTE_DROPI!B:B, 0)
))),
{
TRIM(CLEAN(MAPA_ESTADOS!A:A)) ,
MAPA_ESTADOS!B:B
},
2,
FALSE
),
"REVISAR"
)
</f>
        <v>CANCELADO</v>
      </c>
      <c r="P803" s="118" t="s">
        <v>3891</v>
      </c>
      <c r="Q803" s="122">
        <f t="shared" si="2"/>
        <v>0</v>
      </c>
      <c r="R803" s="118"/>
      <c r="S803" s="118"/>
      <c r="T803" s="118">
        <f t="array" ref="T803">IFERROR(
INDEX(REPORTE_DROPI!B:B,
MATCH(
CLEAN(TRIM(C803)),
CLEAN(TRIM(REPORTE_DROPI!E:E)),
0
)
),
""
)
</f>
        <v>4262217</v>
      </c>
      <c r="U803" s="118">
        <v>6.443472257068E12</v>
      </c>
      <c r="V803" s="78"/>
      <c r="W803" s="78"/>
      <c r="X803" s="78"/>
      <c r="Y803" s="78"/>
      <c r="Z803" s="78"/>
    </row>
    <row r="804" ht="22.5" customHeight="1">
      <c r="A804" s="118">
        <v>803.0</v>
      </c>
      <c r="B804" s="119">
        <v>46046.0</v>
      </c>
      <c r="C804" s="118" t="s">
        <v>5332</v>
      </c>
      <c r="D804" s="118" t="str">
        <f>IFERROR(__xludf.DUMMYFUNCTION("IFERROR(
  INDEX(
    FILTER(
      'NOMBRE DE PRODUCTOS'!B:B,
      REGEXMATCH(
        UPPER(
          INDEX(
            REPORTE_DROPI!AC:AC,
            MATCH(T804, REPORTE_DROPI!B:B, 0)
          )
        ),
        UPPER('NOMBRE DE PRODUCTOS'!A:A)"&amp;"
      )
    ),
    1
  ),
  ""REVISAR""
)
"),"FilmPro®")</f>
        <v>FilmPro®</v>
      </c>
      <c r="E804" s="120">
        <f t="array" ref="E804">IF(
UPPER(TRIM(CLEAN($O804)))="ENTREGADO",
IFERROR(
INDEX(REPORTE_DROPI!Y:Y,
MATCH($T804, REPORTE_DROPI!B:B, 0)
),
""
),
""
)
</f>
        <v>4.7</v>
      </c>
      <c r="F804" s="121">
        <v>2.0</v>
      </c>
      <c r="G804" s="122">
        <f t="array" ref="G804">IF(
UPPER(TRIM(CLEAN($O804)))="ENTREGADO",
IFERROR(
INDEX(REPORTE_DROPI!R:R,
MATCH($T804, REPORTE_DROPI!B:B, 0)
),
""
),
""
)
</f>
        <v>25</v>
      </c>
      <c r="H804" s="118" t="s">
        <v>3727</v>
      </c>
      <c r="I804" s="118" t="s">
        <v>3855</v>
      </c>
      <c r="J804" s="121">
        <f t="array" ref="J804">IF(
UPPER(TRIM(CLEAN($O804)))="ENTREGADO",
IFERROR(
INDEX(REPORTE_DROPI!T:T,
MATCH($T804, REPORTE_DROPI!B:B, 0)
),
""
),
""
)
</f>
        <v>5.96</v>
      </c>
      <c r="K804" s="118">
        <f t="array" ref="K804">IFERROR(
INDEX(REPORTE_DROPI!S:S,
MATCH($T804, REPORTE_DROPI!B:B, 0)
),
""
)
</f>
        <v>14.34</v>
      </c>
      <c r="L804" s="118" t="str">
        <f>IF(
  O804&lt;&gt;"DEVOLUCION",
  "",
  IF(
    T804="",
    "",
    SUMIF(DEVOLUCION!F:F, T804, DEVOLUCION!D:D)
  )
)
</f>
        <v/>
      </c>
      <c r="M804" s="118" t="s">
        <v>3870</v>
      </c>
      <c r="N804" s="130" t="s">
        <v>5333</v>
      </c>
      <c r="O804" s="118" t="str">
        <f t="array" ref="O804">IFERROR(
VLOOKUP(
TRIM(CLEAN(
INDEX(REPORTE_DROPI!K:K,
MATCH(T804, REPORTE_DROPI!B:B, 0)
))),
{
TRIM(CLEAN(MAPA_ESTADOS!A:A)) ,
MAPA_ESTADOS!B:B
},
2,
FALSE
),
"REVISAR"
)
</f>
        <v>ENTREGADO</v>
      </c>
      <c r="P804" s="118" t="s">
        <v>3655</v>
      </c>
      <c r="Q804" s="122">
        <f t="shared" si="2"/>
        <v>0</v>
      </c>
      <c r="R804" s="118"/>
      <c r="S804" s="118"/>
      <c r="T804" s="118">
        <f t="array" ref="T804">IFERROR(
INDEX(REPORTE_DROPI!B:B,
MATCH(
CLEAN(TRIM(C804)),
CLEAN(TRIM(REPORTE_DROPI!E:E)),
0
)
),
""
)
</f>
        <v>4262404</v>
      </c>
      <c r="U804" s="118">
        <v>6.443516723244E12</v>
      </c>
      <c r="V804" s="78"/>
      <c r="W804" s="78"/>
      <c r="X804" s="78"/>
      <c r="Y804" s="78"/>
      <c r="Z804" s="78"/>
    </row>
    <row r="805" ht="22.5" customHeight="1">
      <c r="A805" s="118">
        <v>804.0</v>
      </c>
      <c r="B805" s="119">
        <v>46046.0</v>
      </c>
      <c r="C805" s="118" t="s">
        <v>5334</v>
      </c>
      <c r="D805" s="118" t="str">
        <f>IFERROR(__xludf.DUMMYFUNCTION("IFERROR(
  INDEX(
    FILTER(
      'NOMBRE DE PRODUCTOS'!B:B,
      REGEXMATCH(
        UPPER(
          INDEX(
            REPORTE_DROPI!AC:AC,
            MATCH(T805, REPORTE_DROPI!B:B, 0)
          )
        ),
        UPPER('NOMBRE DE PRODUCTOS'!A:A)"&amp;"
      )
    ),
    1
  ),
  ""REVISAR""
)
"),"FilmPro®")</f>
        <v>FilmPro®</v>
      </c>
      <c r="E805" s="120" t="str">
        <f t="array" ref="E805">IF(
UPPER(TRIM(CLEAN($O805)))="ENTREGADO",
IFERROR(
INDEX(REPORTE_DROPI!Y:Y,
MATCH($T805, REPORTE_DROPI!B:B, 0)
),
""
),
""
)
</f>
        <v/>
      </c>
      <c r="F805" s="121">
        <v>1.0</v>
      </c>
      <c r="G805" s="122" t="str">
        <f t="array" ref="G805">IF(
UPPER(TRIM(CLEAN($O805)))="ENTREGADO",
IFERROR(
INDEX(REPORTE_DROPI!R:R,
MATCH($T805, REPORTE_DROPI!B:B, 0)
),
""
),
""
)
</f>
        <v/>
      </c>
      <c r="H805" s="118" t="s">
        <v>3727</v>
      </c>
      <c r="I805" s="118" t="s">
        <v>3731</v>
      </c>
      <c r="J805" s="121" t="str">
        <f t="array" ref="J805">IF(
UPPER(TRIM(CLEAN($O805)))="ENTREGADO",
IFERROR(
INDEX(REPORTE_DROPI!T:T,
MATCH($T805, REPORTE_DROPI!B:B, 0)
),
""
),
""
)
</f>
        <v/>
      </c>
      <c r="K805" s="118" t="str">
        <f t="array" ref="K805">IFERROR(
INDEX(REPORTE_DROPI!S:S,
MATCH($T805, REPORTE_DROPI!B:B, 0)
),
""
)
</f>
        <v/>
      </c>
      <c r="L805" s="118">
        <f>IF(
  O805&lt;&gt;"DEVOLUCION",
  "",
  IF(
    T805="",
    "",
    SUMIF(DEVOLUCION!F:F, T805, DEVOLUCION!D:D)
  )
)
</f>
        <v>4.03</v>
      </c>
      <c r="M805" s="118" t="s">
        <v>3870</v>
      </c>
      <c r="N805" s="130" t="s">
        <v>5335</v>
      </c>
      <c r="O805" s="118" t="str">
        <f t="array" ref="O805">IFERROR(
VLOOKUP(
TRIM(CLEAN(
INDEX(REPORTE_DROPI!K:K,
MATCH(T805, REPORTE_DROPI!B:B, 0)
))),
{
TRIM(CLEAN(MAPA_ESTADOS!A:A)) ,
MAPA_ESTADOS!B:B
},
2,
FALSE
),
"REVISAR"
)
</f>
        <v>DEVOLUCION</v>
      </c>
      <c r="P805" s="118" t="s">
        <v>3655</v>
      </c>
      <c r="Q805" s="122">
        <f t="shared" si="2"/>
        <v>0</v>
      </c>
      <c r="R805" s="118"/>
      <c r="S805" s="118"/>
      <c r="T805" s="118">
        <f t="array" ref="T805">IFERROR(
INDEX(REPORTE_DROPI!B:B,
MATCH(
CLEAN(TRIM(C805)),
CLEAN(TRIM(REPORTE_DROPI!E:E)),
0
)
),
""
)
</f>
        <v>4262407</v>
      </c>
      <c r="U805" s="118">
        <v>6.443519836204E12</v>
      </c>
      <c r="V805" s="78"/>
      <c r="W805" s="78"/>
      <c r="X805" s="78"/>
      <c r="Y805" s="78"/>
      <c r="Z805" s="78"/>
    </row>
    <row r="806" ht="22.5" customHeight="1">
      <c r="A806" s="118">
        <v>805.0</v>
      </c>
      <c r="B806" s="119">
        <v>46046.0</v>
      </c>
      <c r="C806" s="118" t="s">
        <v>5336</v>
      </c>
      <c r="D806" s="118" t="str">
        <f>IFERROR(__xludf.DUMMYFUNCTION("IFERROR(
  INDEX(
    FILTER(
      'NOMBRE DE PRODUCTOS'!B:B,
      REGEXMATCH(
        UPPER(
          INDEX(
            REPORTE_DROPI!AC:AC,
            MATCH(T806, REPORTE_DROPI!B:B, 0)
          )
        ),
        UPPER('NOMBRE DE PRODUCTOS'!A:A)"&amp;"
      )
    ),
    1
  ),
  ""REVISAR""
)
"),"FilmPro®")</f>
        <v>FilmPro®</v>
      </c>
      <c r="E806" s="120" t="str">
        <f t="array" ref="E806">IF(
UPPER(TRIM(CLEAN($O806)))="ENTREGADO",
IFERROR(
INDEX(REPORTE_DROPI!Y:Y,
MATCH($T806, REPORTE_DROPI!B:B, 0)
),
""
),
""
)
</f>
        <v/>
      </c>
      <c r="F806" s="121">
        <v>1.0</v>
      </c>
      <c r="G806" s="122" t="str">
        <f t="array" ref="G806">IF(
UPPER(TRIM(CLEAN($O806)))="ENTREGADO",
IFERROR(
INDEX(REPORTE_DROPI!R:R,
MATCH($T806, REPORTE_DROPI!B:B, 0)
),
""
),
""
)
</f>
        <v/>
      </c>
      <c r="H806" s="118" t="s">
        <v>3727</v>
      </c>
      <c r="I806" s="118" t="s">
        <v>3801</v>
      </c>
      <c r="J806" s="121" t="str">
        <f t="array" ref="J806">IF(
UPPER(TRIM(CLEAN($O806)))="ENTREGADO",
IFERROR(
INDEX(REPORTE_DROPI!T:T,
MATCH($T806, REPORTE_DROPI!B:B, 0)
),
""
),
""
)
</f>
        <v/>
      </c>
      <c r="K806" s="118" t="str">
        <f t="array" ref="K806">IFERROR(
INDEX(REPORTE_DROPI!S:S,
MATCH($T806, REPORTE_DROPI!B:B, 0)
),
""
)
</f>
        <v/>
      </c>
      <c r="L806" s="118" t="str">
        <f>IF(
  O806&lt;&gt;"DEVOLUCION",
  "",
  IF(
    T806="",
    "",
    SUMIF(DEVOLUCION!F:F, T806, DEVOLUCION!D:D)
  )
)
</f>
        <v/>
      </c>
      <c r="M806" s="118" t="s">
        <v>3870</v>
      </c>
      <c r="N806" s="130" t="s">
        <v>5337</v>
      </c>
      <c r="O806" s="118" t="str">
        <f t="array" ref="O806">IFERROR(
VLOOKUP(
TRIM(CLEAN(
INDEX(REPORTE_DROPI!K:K,
MATCH(T806, REPORTE_DROPI!B:B, 0)
))),
{
TRIM(CLEAN(MAPA_ESTADOS!A:A)) ,
MAPA_ESTADOS!B:B
},
2,
FALSE
),
"REVISAR"
)
</f>
        <v>CANCELADO</v>
      </c>
      <c r="P806" s="118" t="s">
        <v>5338</v>
      </c>
      <c r="Q806" s="122">
        <f t="shared" si="2"/>
        <v>0</v>
      </c>
      <c r="R806" s="118"/>
      <c r="S806" s="118"/>
      <c r="T806" s="118">
        <f t="array" ref="T806">IFERROR(
INDEX(REPORTE_DROPI!B:B,
MATCH(
CLEAN(TRIM(C806)),
CLEAN(TRIM(REPORTE_DROPI!E:E)),
0
)
),
""
)
</f>
        <v>4263010</v>
      </c>
      <c r="U806" s="118">
        <v>6.443714478124E12</v>
      </c>
      <c r="V806" s="78"/>
      <c r="W806" s="78"/>
      <c r="X806" s="78"/>
      <c r="Y806" s="78"/>
      <c r="Z806" s="78"/>
    </row>
    <row r="807" ht="22.5" customHeight="1">
      <c r="A807" s="118">
        <v>806.0</v>
      </c>
      <c r="B807" s="119">
        <v>46046.0</v>
      </c>
      <c r="C807" s="126" t="s">
        <v>5339</v>
      </c>
      <c r="D807" s="118" t="str">
        <f>IFERROR(__xludf.DUMMYFUNCTION("IFERROR(
  INDEX(
    FILTER(
      'NOMBRE DE PRODUCTOS'!B:B,
      REGEXMATCH(
        UPPER(
          INDEX(
            REPORTE_DROPI!AC:AC,
            MATCH(T807, REPORTE_DROPI!B:B, 0)
          )
        ),
        UPPER('NOMBRE DE PRODUCTOS'!A:A)"&amp;"
      )
    ),
    1
  ),
  ""REVISAR""
)
"),"FilmPro®")</f>
        <v>FilmPro®</v>
      </c>
      <c r="E807" s="120" t="str">
        <f t="array" ref="E807">IF(
UPPER(TRIM(CLEAN($O807)))="ENTREGADO",
IFERROR(
INDEX(REPORTE_DROPI!Y:Y,
MATCH($T807, REPORTE_DROPI!B:B, 0)
),
""
),
""
)
</f>
        <v/>
      </c>
      <c r="F807" s="121">
        <v>2.0</v>
      </c>
      <c r="G807" s="122" t="str">
        <f t="array" ref="G807">IF(
UPPER(TRIM(CLEAN($O807)))="ENTREGADO",
IFERROR(
INDEX(REPORTE_DROPI!R:R,
MATCH($T807, REPORTE_DROPI!B:B, 0)
),
""
),
""
)
</f>
        <v/>
      </c>
      <c r="H807" s="118" t="s">
        <v>3727</v>
      </c>
      <c r="I807" s="118" t="s">
        <v>3731</v>
      </c>
      <c r="J807" s="121" t="str">
        <f t="array" ref="J807">IF(
UPPER(TRIM(CLEAN($O807)))="ENTREGADO",
IFERROR(
INDEX(REPORTE_DROPI!T:T,
MATCH($T807, REPORTE_DROPI!B:B, 0)
),
""
),
""
)
</f>
        <v/>
      </c>
      <c r="K807" s="118" t="str">
        <f t="array" ref="K807">IFERROR(
INDEX(REPORTE_DROPI!S:S,
MATCH($T807, REPORTE_DROPI!B:B, 0)
),
""
)
</f>
        <v/>
      </c>
      <c r="L807" s="118" t="str">
        <f>IF(
  O807&lt;&gt;"DEVOLUCION",
  "",
  IF(
    T807="",
    "",
    SUMIF(DEVOLUCION!F:F, T807, DEVOLUCION!D:D)
  )
)
</f>
        <v/>
      </c>
      <c r="M807" s="118" t="s">
        <v>3870</v>
      </c>
      <c r="N807" s="130" t="s">
        <v>5340</v>
      </c>
      <c r="O807" s="118" t="str">
        <f t="array" ref="O807">IFERROR(
VLOOKUP(
TRIM(CLEAN(
INDEX(REPORTE_DROPI!K:K,
MATCH(T807, REPORTE_DROPI!B:B, 0)
))),
{
TRIM(CLEAN(MAPA_ESTADOS!A:A)) ,
MAPA_ESTADOS!B:B
},
2,
FALSE
),
"REVISAR"
)
</f>
        <v>PENDIENTE</v>
      </c>
      <c r="P807" s="118" t="s">
        <v>5288</v>
      </c>
      <c r="Q807" s="122">
        <f t="shared" si="2"/>
        <v>0</v>
      </c>
      <c r="R807" s="118"/>
      <c r="S807" s="118"/>
      <c r="T807" s="118">
        <f t="array" ref="T807">IFERROR(
INDEX(REPORTE_DROPI!B:B,
MATCH(
CLEAN(TRIM(C807)),
CLEAN(TRIM(REPORTE_DROPI!E:E)),
0
)
),
""
)
</f>
        <v>4283109</v>
      </c>
      <c r="U807" s="118">
        <v>6.443729682476E12</v>
      </c>
      <c r="V807" s="78"/>
      <c r="W807" s="78"/>
      <c r="X807" s="78"/>
      <c r="Y807" s="78"/>
      <c r="Z807" s="78"/>
    </row>
    <row r="808" ht="22.5" customHeight="1">
      <c r="A808" s="118">
        <v>807.0</v>
      </c>
      <c r="B808" s="119">
        <v>46046.0</v>
      </c>
      <c r="C808" s="118" t="s">
        <v>5341</v>
      </c>
      <c r="D808" s="118" t="str">
        <f>IFERROR(__xludf.DUMMYFUNCTION("IFERROR(
  INDEX(
    FILTER(
      'NOMBRE DE PRODUCTOS'!B:B,
      REGEXMATCH(
        UPPER(
          INDEX(
            REPORTE_DROPI!AC:AC,
            MATCH(T808, REPORTE_DROPI!B:B, 0)
          )
        ),
        UPPER('NOMBRE DE PRODUCTOS'!A:A)"&amp;"
      )
    ),
    1
  ),
  ""REVISAR""
)
"),"FilmPro®")</f>
        <v>FilmPro®</v>
      </c>
      <c r="E808" s="120">
        <f t="array" ref="E808">IF(
UPPER(TRIM(CLEAN($O808)))="ENTREGADO",
IFERROR(
INDEX(REPORTE_DROPI!Y:Y,
MATCH($T808, REPORTE_DROPI!B:B, 0)
),
""
),
""
)
</f>
        <v>4.7</v>
      </c>
      <c r="F808" s="121">
        <v>2.0</v>
      </c>
      <c r="G808" s="122">
        <f t="array" ref="G808">IF(
UPPER(TRIM(CLEAN($O808)))="ENTREGADO",
IFERROR(
INDEX(REPORTE_DROPI!R:R,
MATCH($T808, REPORTE_DROPI!B:B, 0)
),
""
),
""
)
</f>
        <v>25</v>
      </c>
      <c r="H808" s="118" t="s">
        <v>3727</v>
      </c>
      <c r="I808" s="118" t="s">
        <v>3740</v>
      </c>
      <c r="J808" s="121">
        <f t="array" ref="J808">IF(
UPPER(TRIM(CLEAN($O808)))="ENTREGADO",
IFERROR(
INDEX(REPORTE_DROPI!T:T,
MATCH($T808, REPORTE_DROPI!B:B, 0)
),
""
),
""
)
</f>
        <v>5.96</v>
      </c>
      <c r="K808" s="118">
        <f t="array" ref="K808">IFERROR(
INDEX(REPORTE_DROPI!S:S,
MATCH($T808, REPORTE_DROPI!B:B, 0)
),
""
)
</f>
        <v>14.34</v>
      </c>
      <c r="L808" s="118" t="str">
        <f>IF(
  O808&lt;&gt;"DEVOLUCION",
  "",
  IF(
    T808="",
    "",
    SUMIF(DEVOLUCION!F:F, T808, DEVOLUCION!D:D)
  )
)
</f>
        <v/>
      </c>
      <c r="M808" s="118" t="s">
        <v>3870</v>
      </c>
      <c r="N808" s="130" t="s">
        <v>5342</v>
      </c>
      <c r="O808" s="118" t="str">
        <f t="array" ref="O808">IFERROR(
VLOOKUP(
TRIM(CLEAN(
INDEX(REPORTE_DROPI!K:K,
MATCH(T808, REPORTE_DROPI!B:B, 0)
))),
{
TRIM(CLEAN(MAPA_ESTADOS!A:A)) ,
MAPA_ESTADOS!B:B
},
2,
FALSE
),
"REVISAR"
)
</f>
        <v>ENTREGADO</v>
      </c>
      <c r="P808" s="118" t="s">
        <v>3655</v>
      </c>
      <c r="Q808" s="122">
        <f t="shared" si="2"/>
        <v>0</v>
      </c>
      <c r="R808" s="118"/>
      <c r="S808" s="118"/>
      <c r="T808" s="118">
        <f t="array" ref="T808">IFERROR(
INDEX(REPORTE_DROPI!B:B,
MATCH(
CLEAN(TRIM(C808)),
CLEAN(TRIM(REPORTE_DROPI!E:E)),
0
)
),
""
)
</f>
        <v>4263204</v>
      </c>
      <c r="U808" s="118">
        <v>6.443792400428E12</v>
      </c>
      <c r="V808" s="78"/>
      <c r="W808" s="78"/>
      <c r="X808" s="78"/>
      <c r="Y808" s="78"/>
      <c r="Z808" s="78"/>
    </row>
    <row r="809" ht="22.5" customHeight="1">
      <c r="A809" s="118">
        <v>808.0</v>
      </c>
      <c r="B809" s="119">
        <v>46046.0</v>
      </c>
      <c r="C809" s="118" t="s">
        <v>5343</v>
      </c>
      <c r="D809" s="118" t="str">
        <f>IFERROR(__xludf.DUMMYFUNCTION("IFERROR(
  INDEX(
    FILTER(
      'NOMBRE DE PRODUCTOS'!B:B,
      REGEXMATCH(
        UPPER(
          INDEX(
            REPORTE_DROPI!AC:AC,
            MATCH(T809, REPORTE_DROPI!B:B, 0)
          )
        ),
        UPPER('NOMBRE DE PRODUCTOS'!A:A)"&amp;"
      )
    ),
    1
  ),
  ""REVISAR""
)
"),"FilmPro®")</f>
        <v>FilmPro®</v>
      </c>
      <c r="E809" s="120" t="str">
        <f t="array" ref="E809">IF(
UPPER(TRIM(CLEAN($O809)))="ENTREGADO",
IFERROR(
INDEX(REPORTE_DROPI!Y:Y,
MATCH($T809, REPORTE_DROPI!B:B, 0)
),
""
),
""
)
</f>
        <v/>
      </c>
      <c r="F809" s="121">
        <v>2.0</v>
      </c>
      <c r="G809" s="122" t="str">
        <f t="array" ref="G809">IF(
UPPER(TRIM(CLEAN($O809)))="ENTREGADO",
IFERROR(
INDEX(REPORTE_DROPI!R:R,
MATCH($T809, REPORTE_DROPI!B:B, 0)
),
""
),
""
)
</f>
        <v/>
      </c>
      <c r="H809" s="118" t="s">
        <v>3727</v>
      </c>
      <c r="I809" s="118" t="s">
        <v>3759</v>
      </c>
      <c r="J809" s="121" t="str">
        <f t="array" ref="J809">IF(
UPPER(TRIM(CLEAN($O809)))="ENTREGADO",
IFERROR(
INDEX(REPORTE_DROPI!T:T,
MATCH($T809, REPORTE_DROPI!B:B, 0)
),
""
),
""
)
</f>
        <v/>
      </c>
      <c r="K809" s="118" t="str">
        <f t="array" ref="K809">IFERROR(
INDEX(REPORTE_DROPI!S:S,
MATCH($T809, REPORTE_DROPI!B:B, 0)
),
""
)
</f>
        <v/>
      </c>
      <c r="L809" s="118" t="str">
        <f>IF(
  O809&lt;&gt;"DEVOLUCION",
  "",
  IF(
    T809="",
    "",
    SUMIF(DEVOLUCION!F:F, T809, DEVOLUCION!D:D)
  )
)
</f>
        <v/>
      </c>
      <c r="M809" s="118" t="s">
        <v>3870</v>
      </c>
      <c r="N809" s="130" t="s">
        <v>5344</v>
      </c>
      <c r="O809" s="118" t="str">
        <f t="array" ref="O809">IFERROR(
VLOOKUP(
TRIM(CLEAN(
INDEX(REPORTE_DROPI!K:K,
MATCH(T809, REPORTE_DROPI!B:B, 0)
))),
{
TRIM(CLEAN(MAPA_ESTADOS!A:A)) ,
MAPA_ESTADOS!B:B
},
2,
FALSE
),
"REVISAR"
)
</f>
        <v>CANCELADO</v>
      </c>
      <c r="P809" s="118" t="s">
        <v>4797</v>
      </c>
      <c r="Q809" s="122">
        <f t="shared" si="2"/>
        <v>0</v>
      </c>
      <c r="R809" s="118"/>
      <c r="S809" s="118"/>
      <c r="T809" s="118">
        <f t="array" ref="T809">IFERROR(
INDEX(REPORTE_DROPI!B:B,
MATCH(
CLEAN(TRIM(C809)),
CLEAN(TRIM(REPORTE_DROPI!E:E)),
0
)
),
""
)
</f>
        <v>4263247</v>
      </c>
      <c r="U809" s="118">
        <v>6.443806720044E12</v>
      </c>
      <c r="V809" s="78"/>
      <c r="W809" s="78"/>
      <c r="X809" s="78"/>
      <c r="Y809" s="78"/>
      <c r="Z809" s="78"/>
    </row>
    <row r="810" ht="22.5" customHeight="1">
      <c r="A810" s="118">
        <v>809.0</v>
      </c>
      <c r="B810" s="119">
        <v>46046.0</v>
      </c>
      <c r="C810" s="126" t="s">
        <v>5345</v>
      </c>
      <c r="D810" s="118" t="str">
        <f>IFERROR(__xludf.DUMMYFUNCTION("IFERROR(
  INDEX(
    FILTER(
      'NOMBRE DE PRODUCTOS'!B:B,
      REGEXMATCH(
        UPPER(
          INDEX(
            REPORTE_DROPI!AC:AC,
            MATCH(T810, REPORTE_DROPI!B:B, 0)
          )
        ),
        UPPER('NOMBRE DE PRODUCTOS'!A:A)"&amp;"
      )
    ),
    1
  ),
  ""REVISAR""
)
"),"FilmPro®")</f>
        <v>FilmPro®</v>
      </c>
      <c r="E810" s="120" t="str">
        <f t="array" ref="E810">IF(
UPPER(TRIM(CLEAN($O810)))="ENTREGADO",
IFERROR(
INDEX(REPORTE_DROPI!Y:Y,
MATCH($T810, REPORTE_DROPI!B:B, 0)
),
""
),
""
)
</f>
        <v/>
      </c>
      <c r="F810" s="121">
        <v>2.0</v>
      </c>
      <c r="G810" s="122" t="str">
        <f t="array" ref="G810">IF(
UPPER(TRIM(CLEAN($O810)))="ENTREGADO",
IFERROR(
INDEX(REPORTE_DROPI!R:R,
MATCH($T810, REPORTE_DROPI!B:B, 0)
),
""
),
""
)
</f>
        <v/>
      </c>
      <c r="H810" s="118" t="s">
        <v>3727</v>
      </c>
      <c r="I810" s="118" t="s">
        <v>3912</v>
      </c>
      <c r="J810" s="121" t="str">
        <f t="array" ref="J810">IF(
UPPER(TRIM(CLEAN($O810)))="ENTREGADO",
IFERROR(
INDEX(REPORTE_DROPI!T:T,
MATCH($T810, REPORTE_DROPI!B:B, 0)
),
""
),
""
)
</f>
        <v/>
      </c>
      <c r="K810" s="118" t="str">
        <f t="array" ref="K810">IFERROR(
INDEX(REPORTE_DROPI!S:S,
MATCH($T810, REPORTE_DROPI!B:B, 0)
),
""
)
</f>
        <v/>
      </c>
      <c r="L810" s="118">
        <f>IF(
  O810&lt;&gt;"DEVOLUCION",
  "",
  IF(
    T810="",
    "",
    SUMIF(DEVOLUCION!F:F, T810, DEVOLUCION!D:D)
  )
)
</f>
        <v>5.09</v>
      </c>
      <c r="M810" s="118" t="s">
        <v>3870</v>
      </c>
      <c r="N810" s="130" t="s">
        <v>5346</v>
      </c>
      <c r="O810" s="118" t="str">
        <f t="array" ref="O810">IFERROR(
VLOOKUP(
TRIM(CLEAN(
INDEX(REPORTE_DROPI!K:K,
MATCH(T810, REPORTE_DROPI!B:B, 0)
))),
{
TRIM(CLEAN(MAPA_ESTADOS!A:A)) ,
MAPA_ESTADOS!B:B
},
2,
FALSE
),
"REVISAR"
)
</f>
        <v>DEVOLUCION</v>
      </c>
      <c r="P810" s="118" t="s">
        <v>3655</v>
      </c>
      <c r="Q810" s="122">
        <f t="shared" si="2"/>
        <v>0</v>
      </c>
      <c r="R810" s="118"/>
      <c r="S810" s="118"/>
      <c r="T810" s="118">
        <f t="array" ref="T810">IFERROR(
INDEX(REPORTE_DROPI!B:B,
MATCH(
CLEAN(TRIM(C810)),
CLEAN(TRIM(REPORTE_DROPI!E:E)),
0
)
),
""
)
</f>
        <v>4263340</v>
      </c>
      <c r="U810" s="118">
        <v>6.443840569388E12</v>
      </c>
      <c r="V810" s="78"/>
      <c r="W810" s="78"/>
      <c r="X810" s="78"/>
      <c r="Y810" s="78"/>
      <c r="Z810" s="78"/>
    </row>
    <row r="811" ht="22.5" customHeight="1">
      <c r="A811" s="118">
        <v>810.0</v>
      </c>
      <c r="B811" s="119">
        <v>46046.0</v>
      </c>
      <c r="C811" s="126" t="s">
        <v>5347</v>
      </c>
      <c r="D811" s="118" t="str">
        <f>IFERROR(__xludf.DUMMYFUNCTION("IFERROR(
  INDEX(
    FILTER(
      'NOMBRE DE PRODUCTOS'!B:B,
      REGEXMATCH(
        UPPER(
          INDEX(
            REPORTE_DROPI!AC:AC,
            MATCH(T811, REPORTE_DROPI!B:B, 0)
          )
        ),
        UPPER('NOMBRE DE PRODUCTOS'!A:A)"&amp;"
      )
    ),
    1
  ),
  ""REVISAR""
)
"),"FilmPro®")</f>
        <v>FilmPro®</v>
      </c>
      <c r="E811" s="120" t="str">
        <f t="array" ref="E811">IF(
UPPER(TRIM(CLEAN($O811)))="ENTREGADO",
IFERROR(
INDEX(REPORTE_DROPI!Y:Y,
MATCH($T811, REPORTE_DROPI!B:B, 0)
),
""
),
""
)
</f>
        <v/>
      </c>
      <c r="F811" s="121">
        <v>1.0</v>
      </c>
      <c r="G811" s="122" t="str">
        <f t="array" ref="G811">IF(
UPPER(TRIM(CLEAN($O811)))="ENTREGADO",
IFERROR(
INDEX(REPORTE_DROPI!R:R,
MATCH($T811, REPORTE_DROPI!B:B, 0)
),
""
),
""
)
</f>
        <v/>
      </c>
      <c r="H811" s="118" t="s">
        <v>3727</v>
      </c>
      <c r="I811" s="118" t="s">
        <v>3728</v>
      </c>
      <c r="J811" s="121" t="str">
        <f t="array" ref="J811">IF(
UPPER(TRIM(CLEAN($O811)))="ENTREGADO",
IFERROR(
INDEX(REPORTE_DROPI!T:T,
MATCH($T811, REPORTE_DROPI!B:B, 0)
),
""
),
""
)
</f>
        <v/>
      </c>
      <c r="K811" s="118" t="str">
        <f t="array" ref="K811">IFERROR(
INDEX(REPORTE_DROPI!S:S,
MATCH($T811, REPORTE_DROPI!B:B, 0)
),
""
)
</f>
        <v/>
      </c>
      <c r="L811" s="118">
        <f>IF(
  O811&lt;&gt;"DEVOLUCION",
  "",
  IF(
    T811="",
    "",
    SUMIF(DEVOLUCION!F:F, T811, DEVOLUCION!D:D)
  )
)
</f>
        <v>9.57</v>
      </c>
      <c r="M811" s="118" t="s">
        <v>3870</v>
      </c>
      <c r="N811" s="130" t="s">
        <v>5348</v>
      </c>
      <c r="O811" s="118" t="str">
        <f t="array" ref="O811">IFERROR(
VLOOKUP(
TRIM(CLEAN(
INDEX(REPORTE_DROPI!K:K,
MATCH(T811, REPORTE_DROPI!B:B, 0)
))),
{
TRIM(CLEAN(MAPA_ESTADOS!A:A)) ,
MAPA_ESTADOS!B:B
},
2,
FALSE
),
"REVISAR"
)
</f>
        <v>DEVOLUCION</v>
      </c>
      <c r="P811" s="118" t="s">
        <v>5349</v>
      </c>
      <c r="Q811" s="122">
        <f t="shared" si="2"/>
        <v>0</v>
      </c>
      <c r="R811" s="118"/>
      <c r="S811" s="118"/>
      <c r="T811" s="118">
        <f t="array" ref="T811">IFERROR(
INDEX(REPORTE_DROPI!B:B,
MATCH(
CLEAN(TRIM(C811)),
CLEAN(TRIM(REPORTE_DROPI!E:E)),
0
)
),
""
)
</f>
        <v>4285171</v>
      </c>
      <c r="U811" s="118">
        <v>6.443864031276E12</v>
      </c>
      <c r="V811" s="78"/>
      <c r="W811" s="78"/>
      <c r="X811" s="78"/>
      <c r="Y811" s="78"/>
      <c r="Z811" s="78"/>
    </row>
    <row r="812" ht="22.5" customHeight="1">
      <c r="A812" s="118">
        <v>811.0</v>
      </c>
      <c r="B812" s="119">
        <v>46046.0</v>
      </c>
      <c r="C812" s="126" t="s">
        <v>5350</v>
      </c>
      <c r="D812" s="118" t="str">
        <f>IFERROR(__xludf.DUMMYFUNCTION("IFERROR(
  INDEX(
    FILTER(
      'NOMBRE DE PRODUCTOS'!B:B,
      REGEXMATCH(
        UPPER(
          INDEX(
            REPORTE_DROPI!AC:AC,
            MATCH(T812, REPORTE_DROPI!B:B, 0)
          )
        ),
        UPPER('NOMBRE DE PRODUCTOS'!A:A)"&amp;"
      )
    ),
    1
  ),
  ""REVISAR""
)
"),"FilmPro®")</f>
        <v>FilmPro®</v>
      </c>
      <c r="E812" s="120">
        <f t="array" ref="E812">IF(
UPPER(TRIM(CLEAN($O812)))="ENTREGADO",
IFERROR(
INDEX(REPORTE_DROPI!Y:Y,
MATCH($T812, REPORTE_DROPI!B:B, 0)
),
""
),
""
)
</f>
        <v>4.7</v>
      </c>
      <c r="F812" s="121">
        <v>2.0</v>
      </c>
      <c r="G812" s="122">
        <f t="array" ref="G812">IF(
UPPER(TRIM(CLEAN($O812)))="ENTREGADO",
IFERROR(
INDEX(REPORTE_DROPI!R:R,
MATCH($T812, REPORTE_DROPI!B:B, 0)
),
""
),
""
)
</f>
        <v>25</v>
      </c>
      <c r="H812" s="118" t="s">
        <v>3727</v>
      </c>
      <c r="I812" s="118" t="s">
        <v>3731</v>
      </c>
      <c r="J812" s="121">
        <f t="array" ref="J812">IF(
UPPER(TRIM(CLEAN($O812)))="ENTREGADO",
IFERROR(
INDEX(REPORTE_DROPI!T:T,
MATCH($T812, REPORTE_DROPI!B:B, 0)
),
""
),
""
)
</f>
        <v>4.35</v>
      </c>
      <c r="K812" s="118">
        <f t="array" ref="K812">IFERROR(
INDEX(REPORTE_DROPI!S:S,
MATCH($T812, REPORTE_DROPI!B:B, 0)
),
""
)
</f>
        <v>15.95</v>
      </c>
      <c r="L812" s="118" t="str">
        <f>IF(
  O812&lt;&gt;"DEVOLUCION",
  "",
  IF(
    T812="",
    "",
    SUMIF(DEVOLUCION!F:F, T812, DEVOLUCION!D:D)
  )
)
</f>
        <v/>
      </c>
      <c r="M812" s="118" t="s">
        <v>3870</v>
      </c>
      <c r="N812" s="130" t="s">
        <v>5351</v>
      </c>
      <c r="O812" s="118" t="str">
        <f t="array" ref="O812">IFERROR(
VLOOKUP(
TRIM(CLEAN(
INDEX(REPORTE_DROPI!K:K,
MATCH(T812, REPORTE_DROPI!B:B, 0)
))),
{
TRIM(CLEAN(MAPA_ESTADOS!A:A)) ,
MAPA_ESTADOS!B:B
},
2,
FALSE
),
"REVISAR"
)
</f>
        <v>ENTREGADO</v>
      </c>
      <c r="P812" s="118" t="s">
        <v>3655</v>
      </c>
      <c r="Q812" s="122">
        <f t="shared" si="2"/>
        <v>0</v>
      </c>
      <c r="R812" s="118"/>
      <c r="S812" s="118"/>
      <c r="T812" s="118">
        <f t="array" ref="T812">IFERROR(
INDEX(REPORTE_DROPI!B:B,
MATCH(
CLEAN(TRIM(C812)),
CLEAN(TRIM(REPORTE_DROPI!E:E)),
0
)
),
""
)
</f>
        <v>4263579</v>
      </c>
      <c r="U812" s="118">
        <v>6.443953487916E12</v>
      </c>
      <c r="V812" s="78"/>
      <c r="W812" s="78"/>
      <c r="X812" s="78"/>
      <c r="Y812" s="78"/>
      <c r="Z812" s="78"/>
    </row>
    <row r="813" ht="22.5" customHeight="1">
      <c r="A813" s="118">
        <v>812.0</v>
      </c>
      <c r="B813" s="119">
        <v>46046.0</v>
      </c>
      <c r="C813" s="118" t="s">
        <v>5352</v>
      </c>
      <c r="D813" s="118" t="str">
        <f>IFERROR(__xludf.DUMMYFUNCTION("IFERROR(
  INDEX(
    FILTER(
      'NOMBRE DE PRODUCTOS'!B:B,
      REGEXMATCH(
        UPPER(
          INDEX(
            REPORTE_DROPI!AC:AC,
            MATCH(T813, REPORTE_DROPI!B:B, 0)
          )
        ),
        UPPER('NOMBRE DE PRODUCTOS'!A:A)"&amp;"
      )
    ),
    1
  ),
  ""REVISAR""
)
"),"FilmPro®")</f>
        <v>FilmPro®</v>
      </c>
      <c r="E813" s="120">
        <f t="array" ref="E813">IF(
UPPER(TRIM(CLEAN($O813)))="ENTREGADO",
IFERROR(
INDEX(REPORTE_DROPI!Y:Y,
MATCH($T813, REPORTE_DROPI!B:B, 0)
),
""
),
""
)
</f>
        <v>7.05</v>
      </c>
      <c r="F813" s="121">
        <v>3.0</v>
      </c>
      <c r="G813" s="122">
        <f t="array" ref="G813">IF(
UPPER(TRIM(CLEAN($O813)))="ENTREGADO",
IFERROR(
INDEX(REPORTE_DROPI!R:R,
MATCH($T813, REPORTE_DROPI!B:B, 0)
),
""
),
""
)
</f>
        <v>30</v>
      </c>
      <c r="H813" s="118" t="s">
        <v>3727</v>
      </c>
      <c r="I813" s="118" t="s">
        <v>3772</v>
      </c>
      <c r="J813" s="121">
        <f t="array" ref="J813">IF(
UPPER(TRIM(CLEAN($O813)))="ENTREGADO",
IFERROR(
INDEX(REPORTE_DROPI!T:T,
MATCH($T813, REPORTE_DROPI!B:B, 0)
),
""
),
""
)
</f>
        <v>6.16</v>
      </c>
      <c r="K813" s="118">
        <f t="array" ref="K813">IFERROR(
INDEX(REPORTE_DROPI!S:S,
MATCH($T813, REPORTE_DROPI!B:B, 0)
),
""
)
</f>
        <v>16.79</v>
      </c>
      <c r="L813" s="118" t="str">
        <f>IF(
  O813&lt;&gt;"DEVOLUCION",
  "",
  IF(
    T813="",
    "",
    SUMIF(DEVOLUCION!F:F, T813, DEVOLUCION!D:D)
  )
)
</f>
        <v/>
      </c>
      <c r="M813" s="118" t="s">
        <v>3870</v>
      </c>
      <c r="N813" s="130" t="s">
        <v>5353</v>
      </c>
      <c r="O813" s="118" t="str">
        <f t="array" ref="O813">IFERROR(
VLOOKUP(
TRIM(CLEAN(
INDEX(REPORTE_DROPI!K:K,
MATCH(T813, REPORTE_DROPI!B:B, 0)
))),
{
TRIM(CLEAN(MAPA_ESTADOS!A:A)) ,
MAPA_ESTADOS!B:B
},
2,
FALSE
),
"REVISAR"
)
</f>
        <v>ENTREGADO</v>
      </c>
      <c r="P813" s="118" t="s">
        <v>3655</v>
      </c>
      <c r="Q813" s="122">
        <f t="shared" si="2"/>
        <v>0</v>
      </c>
      <c r="R813" s="118"/>
      <c r="S813" s="118"/>
      <c r="T813" s="118">
        <f t="array" ref="T813">IFERROR(
INDEX(REPORTE_DROPI!B:B,
MATCH(
CLEAN(TRIM(C813)),
CLEAN(TRIM(REPORTE_DROPI!E:E)),
0
)
),
""
)
</f>
        <v>4263768</v>
      </c>
      <c r="U813" s="118">
        <v>6.444035538988E12</v>
      </c>
      <c r="V813" s="78"/>
      <c r="W813" s="78"/>
      <c r="X813" s="78"/>
      <c r="Y813" s="78"/>
      <c r="Z813" s="78"/>
    </row>
    <row r="814" ht="22.5" customHeight="1">
      <c r="A814" s="118">
        <v>813.0</v>
      </c>
      <c r="B814" s="119">
        <v>46046.0</v>
      </c>
      <c r="C814" s="118" t="s">
        <v>5354</v>
      </c>
      <c r="D814" s="118" t="str">
        <f>IFERROR(__xludf.DUMMYFUNCTION("IFERROR(
  INDEX(
    FILTER(
      'NOMBRE DE PRODUCTOS'!B:B,
      REGEXMATCH(
        UPPER(
          INDEX(
            REPORTE_DROPI!AC:AC,
            MATCH(T814, REPORTE_DROPI!B:B, 0)
          )
        ),
        UPPER('NOMBRE DE PRODUCTOS'!A:A)"&amp;"
      )
    ),
    1
  ),
  ""REVISAR""
)
"),"FilmPro®")</f>
        <v>FilmPro®</v>
      </c>
      <c r="E814" s="120">
        <f t="array" ref="E814">IF(
UPPER(TRIM(CLEAN($O814)))="ENTREGADO",
IFERROR(
INDEX(REPORTE_DROPI!Y:Y,
MATCH($T814, REPORTE_DROPI!B:B, 0)
),
""
),
""
)
</f>
        <v>2.35</v>
      </c>
      <c r="F814" s="121">
        <v>1.0</v>
      </c>
      <c r="G814" s="122">
        <f t="array" ref="G814">IF(
UPPER(TRIM(CLEAN($O814)))="ENTREGADO",
IFERROR(
INDEX(REPORTE_DROPI!R:R,
MATCH($T814, REPORTE_DROPI!B:B, 0)
),
""
),
""
)
</f>
        <v>20</v>
      </c>
      <c r="H814" s="118" t="s">
        <v>3727</v>
      </c>
      <c r="I814" s="118" t="s">
        <v>3740</v>
      </c>
      <c r="J814" s="121">
        <f t="array" ref="J814">IF(
UPPER(TRIM(CLEAN($O814)))="ENTREGADO",
IFERROR(
INDEX(REPORTE_DROPI!T:T,
MATCH($T814, REPORTE_DROPI!B:B, 0)
),
""
),
""
)
</f>
        <v>5.76</v>
      </c>
      <c r="K814" s="118">
        <f t="array" ref="K814">IFERROR(
INDEX(REPORTE_DROPI!S:S,
MATCH($T814, REPORTE_DROPI!B:B, 0)
),
""
)
</f>
        <v>11.89</v>
      </c>
      <c r="L814" s="118" t="str">
        <f>IF(
  O814&lt;&gt;"DEVOLUCION",
  "",
  IF(
    T814="",
    "",
    SUMIF(DEVOLUCION!F:F, T814, DEVOLUCION!D:D)
  )
)
</f>
        <v/>
      </c>
      <c r="M814" s="118" t="s">
        <v>3870</v>
      </c>
      <c r="N814" s="130" t="s">
        <v>5355</v>
      </c>
      <c r="O814" s="118" t="str">
        <f t="array" ref="O814">IFERROR(
VLOOKUP(
TRIM(CLEAN(
INDEX(REPORTE_DROPI!K:K,
MATCH(T814, REPORTE_DROPI!B:B, 0)
))),
{
TRIM(CLEAN(MAPA_ESTADOS!A:A)) ,
MAPA_ESTADOS!B:B
},
2,
FALSE
),
"REVISAR"
)
</f>
        <v>ENTREGADO</v>
      </c>
      <c r="P814" s="118" t="s">
        <v>3655</v>
      </c>
      <c r="Q814" s="122">
        <f t="shared" si="2"/>
        <v>0</v>
      </c>
      <c r="R814" s="118"/>
      <c r="S814" s="118"/>
      <c r="T814" s="118">
        <f t="array" ref="T814">IFERROR(
INDEX(REPORTE_DROPI!B:B,
MATCH(
CLEAN(TRIM(C814)),
CLEAN(TRIM(REPORTE_DROPI!E:E)),
0
)
),
""
)
</f>
        <v>4264064</v>
      </c>
      <c r="U814" s="118">
        <v>6.444168839212E12</v>
      </c>
      <c r="V814" s="78"/>
      <c r="W814" s="78"/>
      <c r="X814" s="78"/>
      <c r="Y814" s="78"/>
      <c r="Z814" s="78"/>
    </row>
    <row r="815" ht="22.5" customHeight="1">
      <c r="A815" s="118">
        <v>814.0</v>
      </c>
      <c r="B815" s="119">
        <v>46046.0</v>
      </c>
      <c r="C815" s="118" t="s">
        <v>5356</v>
      </c>
      <c r="D815" s="118" t="str">
        <f>IFERROR(__xludf.DUMMYFUNCTION("IFERROR(
  INDEX(
    FILTER(
      'NOMBRE DE PRODUCTOS'!B:B,
      REGEXMATCH(
        UPPER(
          INDEX(
            REPORTE_DROPI!AC:AC,
            MATCH(T815, REPORTE_DROPI!B:B, 0)
          )
        ),
        UPPER('NOMBRE DE PRODUCTOS'!A:A)"&amp;"
      )
    ),
    1
  ),
  ""REVISAR""
)
"),"FilmPro®")</f>
        <v>FilmPro®</v>
      </c>
      <c r="E815" s="120">
        <f t="array" ref="E815">IF(
UPPER(TRIM(CLEAN($O815)))="ENTREGADO",
IFERROR(
INDEX(REPORTE_DROPI!Y:Y,
MATCH($T815, REPORTE_DROPI!B:B, 0)
),
""
),
""
)
</f>
        <v>7.05</v>
      </c>
      <c r="F815" s="121">
        <v>3.0</v>
      </c>
      <c r="G815" s="122">
        <f t="array" ref="G815">IF(
UPPER(TRIM(CLEAN($O815)))="ENTREGADO",
IFERROR(
INDEX(REPORTE_DROPI!R:R,
MATCH($T815, REPORTE_DROPI!B:B, 0)
),
""
),
""
)
</f>
        <v>30</v>
      </c>
      <c r="H815" s="118" t="s">
        <v>3727</v>
      </c>
      <c r="I815" s="118" t="s">
        <v>3809</v>
      </c>
      <c r="J815" s="121">
        <f t="array" ref="J815">IF(
UPPER(TRIM(CLEAN($O815)))="ENTREGADO",
IFERROR(
INDEX(REPORTE_DROPI!T:T,
MATCH($T815, REPORTE_DROPI!B:B, 0)
),
""
),
""
)
</f>
        <v>7.82</v>
      </c>
      <c r="K815" s="118">
        <f t="array" ref="K815">IFERROR(
INDEX(REPORTE_DROPI!S:S,
MATCH($T815, REPORTE_DROPI!B:B, 0)
),
""
)
</f>
        <v>15.13</v>
      </c>
      <c r="L815" s="118" t="str">
        <f>IF(
  O815&lt;&gt;"DEVOLUCION",
  "",
  IF(
    T815="",
    "",
    SUMIF(DEVOLUCION!F:F, T815, DEVOLUCION!D:D)
  )
)
</f>
        <v/>
      </c>
      <c r="M815" s="118" t="s">
        <v>3870</v>
      </c>
      <c r="N815" s="130" t="s">
        <v>5357</v>
      </c>
      <c r="O815" s="118" t="str">
        <f t="array" ref="O815">IFERROR(
VLOOKUP(
TRIM(CLEAN(
INDEX(REPORTE_DROPI!K:K,
MATCH(T815, REPORTE_DROPI!B:B, 0)
))),
{
TRIM(CLEAN(MAPA_ESTADOS!A:A)) ,
MAPA_ESTADOS!B:B
},
2,
FALSE
),
"REVISAR"
)
</f>
        <v>ENTREGADO</v>
      </c>
      <c r="P815" s="118" t="s">
        <v>3655</v>
      </c>
      <c r="Q815" s="122">
        <f t="shared" si="2"/>
        <v>0</v>
      </c>
      <c r="R815" s="118"/>
      <c r="S815" s="118"/>
      <c r="T815" s="118">
        <f t="array" ref="T815">IFERROR(
INDEX(REPORTE_DROPI!B:B,
MATCH(
CLEAN(TRIM(C815)),
CLEAN(TRIM(REPORTE_DROPI!E:E)),
0
)
),
""
)
</f>
        <v>4264203</v>
      </c>
      <c r="U815" s="118">
        <v>6.444225921068E12</v>
      </c>
      <c r="V815" s="78"/>
      <c r="W815" s="78"/>
      <c r="X815" s="78"/>
      <c r="Y815" s="78"/>
      <c r="Z815" s="78"/>
    </row>
    <row r="816" ht="22.5" customHeight="1">
      <c r="A816" s="118">
        <v>815.0</v>
      </c>
      <c r="B816" s="119">
        <v>46046.0</v>
      </c>
      <c r="C816" s="126" t="s">
        <v>5358</v>
      </c>
      <c r="D816" s="118" t="str">
        <f>IFERROR(__xludf.DUMMYFUNCTION("IFERROR(
  INDEX(
    FILTER(
      'NOMBRE DE PRODUCTOS'!B:B,
      REGEXMATCH(
        UPPER(
          INDEX(
            REPORTE_DROPI!AC:AC,
            MATCH(T816, REPORTE_DROPI!B:B, 0)
          )
        ),
        UPPER('NOMBRE DE PRODUCTOS'!A:A)"&amp;"
      )
    ),
    1
  ),
  ""REVISAR""
)
"),"FilmPro®")</f>
        <v>FilmPro®</v>
      </c>
      <c r="E816" s="120" t="str">
        <f t="array" ref="E816">IF(
UPPER(TRIM(CLEAN($O816)))="ENTREGADO",
IFERROR(
INDEX(REPORTE_DROPI!Y:Y,
MATCH($T816, REPORTE_DROPI!B:B, 0)
),
""
),
""
)
</f>
        <v/>
      </c>
      <c r="F816" s="121">
        <v>3.0</v>
      </c>
      <c r="G816" s="122" t="str">
        <f t="array" ref="G816">IF(
UPPER(TRIM(CLEAN($O816)))="ENTREGADO",
IFERROR(
INDEX(REPORTE_DROPI!R:R,
MATCH($T816, REPORTE_DROPI!B:B, 0)
),
""
),
""
)
</f>
        <v/>
      </c>
      <c r="H816" s="118" t="s">
        <v>3727</v>
      </c>
      <c r="I816" s="118" t="s">
        <v>3801</v>
      </c>
      <c r="J816" s="121" t="str">
        <f t="array" ref="J816">IF(
UPPER(TRIM(CLEAN($O816)))="ENTREGADO",
IFERROR(
INDEX(REPORTE_DROPI!T:T,
MATCH($T816, REPORTE_DROPI!B:B, 0)
),
""
),
""
)
</f>
        <v/>
      </c>
      <c r="K816" s="118" t="str">
        <f t="array" ref="K816">IFERROR(
INDEX(REPORTE_DROPI!S:S,
MATCH($T816, REPORTE_DROPI!B:B, 0)
),
""
)
</f>
        <v/>
      </c>
      <c r="L816" s="118" t="str">
        <f>IF(
  O816&lt;&gt;"DEVOLUCION",
  "",
  IF(
    T816="",
    "",
    SUMIF(DEVOLUCION!F:F, T816, DEVOLUCION!D:D)
  )
)
</f>
        <v/>
      </c>
      <c r="M816" s="118" t="s">
        <v>3870</v>
      </c>
      <c r="N816" s="130" t="s">
        <v>5359</v>
      </c>
      <c r="O816" s="118" t="str">
        <f t="array" ref="O816">IFERROR(
VLOOKUP(
TRIM(CLEAN(
INDEX(REPORTE_DROPI!K:K,
MATCH(T816, REPORTE_DROPI!B:B, 0)
))),
{
TRIM(CLEAN(MAPA_ESTADOS!A:A)) ,
MAPA_ESTADOS!B:B
},
2,
FALSE
),
"REVISAR"
)
</f>
        <v>PENDIENTE</v>
      </c>
      <c r="P816" s="118" t="s">
        <v>4892</v>
      </c>
      <c r="Q816" s="122">
        <f t="shared" si="2"/>
        <v>0</v>
      </c>
      <c r="R816" s="118"/>
      <c r="S816" s="118"/>
      <c r="T816" s="118">
        <f t="array" ref="T816">IFERROR(
INDEX(REPORTE_DROPI!B:B,
MATCH(
CLEAN(TRIM(C816)),
CLEAN(TRIM(REPORTE_DROPI!E:E)),
0
)
),
""
)
</f>
        <v>4264561</v>
      </c>
      <c r="U816" s="118">
        <v>6.44435351966E12</v>
      </c>
      <c r="V816" s="78"/>
      <c r="W816" s="78"/>
      <c r="X816" s="78"/>
      <c r="Y816" s="78"/>
      <c r="Z816" s="78"/>
    </row>
    <row r="817" ht="22.5" customHeight="1">
      <c r="A817" s="118">
        <v>816.0</v>
      </c>
      <c r="B817" s="119">
        <v>46046.0</v>
      </c>
      <c r="C817" s="118" t="s">
        <v>5360</v>
      </c>
      <c r="D817" s="118" t="str">
        <f>IFERROR(__xludf.DUMMYFUNCTION("IFERROR(
  INDEX(
    FILTER(
      'NOMBRE DE PRODUCTOS'!B:B,
      REGEXMATCH(
        UPPER(
          INDEX(
            REPORTE_DROPI!AC:AC,
            MATCH(T817, REPORTE_DROPI!B:B, 0)
          )
        ),
        UPPER('NOMBRE DE PRODUCTOS'!A:A)"&amp;"
      )
    ),
    1
  ),
  ""REVISAR""
)
"),"FilmPro®")</f>
        <v>FilmPro®</v>
      </c>
      <c r="E817" s="120">
        <f t="array" ref="E817">IF(
UPPER(TRIM(CLEAN($O817)))="ENTREGADO",
IFERROR(
INDEX(REPORTE_DROPI!Y:Y,
MATCH($T817, REPORTE_DROPI!B:B, 0)
),
""
),
""
)
</f>
        <v>2.35</v>
      </c>
      <c r="F817" s="121">
        <v>1.0</v>
      </c>
      <c r="G817" s="122">
        <f t="array" ref="G817">IF(
UPPER(TRIM(CLEAN($O817)))="ENTREGADO",
IFERROR(
INDEX(REPORTE_DROPI!R:R,
MATCH($T817, REPORTE_DROPI!B:B, 0)
),
""
),
""
)
</f>
        <v>20</v>
      </c>
      <c r="H817" s="118" t="s">
        <v>3727</v>
      </c>
      <c r="I817" s="118" t="s">
        <v>3778</v>
      </c>
      <c r="J817" s="121">
        <f t="array" ref="J817">IF(
UPPER(TRIM(CLEAN($O817)))="ENTREGADO",
IFERROR(
INDEX(REPORTE_DROPI!T:T,
MATCH($T817, REPORTE_DROPI!B:B, 0)
),
""
),
""
)
</f>
        <v>5.76</v>
      </c>
      <c r="K817" s="118">
        <f t="array" ref="K817">IFERROR(
INDEX(REPORTE_DROPI!S:S,
MATCH($T817, REPORTE_DROPI!B:B, 0)
),
""
)
</f>
        <v>11.89</v>
      </c>
      <c r="L817" s="118" t="str">
        <f>IF(
  O817&lt;&gt;"DEVOLUCION",
  "",
  IF(
    T817="",
    "",
    SUMIF(DEVOLUCION!F:F, T817, DEVOLUCION!D:D)
  )
)
</f>
        <v/>
      </c>
      <c r="M817" s="118" t="s">
        <v>3870</v>
      </c>
      <c r="N817" s="130" t="s">
        <v>5361</v>
      </c>
      <c r="O817" s="118" t="str">
        <f t="array" ref="O817">IFERROR(
VLOOKUP(
TRIM(CLEAN(
INDEX(REPORTE_DROPI!K:K,
MATCH(T817, REPORTE_DROPI!B:B, 0)
))),
{
TRIM(CLEAN(MAPA_ESTADOS!A:A)) ,
MAPA_ESTADOS!B:B
},
2,
FALSE
),
"REVISAR"
)
</f>
        <v>ENTREGADO</v>
      </c>
      <c r="P817" s="118" t="s">
        <v>3655</v>
      </c>
      <c r="Q817" s="122">
        <f t="shared" si="2"/>
        <v>0</v>
      </c>
      <c r="R817" s="118"/>
      <c r="S817" s="118"/>
      <c r="T817" s="118">
        <f t="array" ref="T817">IFERROR(
INDEX(REPORTE_DROPI!B:B,
MATCH(
CLEAN(TRIM(C817)),
CLEAN(TRIM(REPORTE_DROPI!E:E)),
0
)
),
""
)
</f>
        <v>4264601</v>
      </c>
      <c r="U817" s="118">
        <v>6.444368691244E12</v>
      </c>
      <c r="V817" s="78"/>
      <c r="W817" s="78"/>
      <c r="X817" s="78"/>
      <c r="Y817" s="78"/>
      <c r="Z817" s="78"/>
    </row>
    <row r="818" ht="22.5" customHeight="1">
      <c r="A818" s="118">
        <v>817.0</v>
      </c>
      <c r="B818" s="119">
        <v>46046.0</v>
      </c>
      <c r="C818" s="118" t="s">
        <v>5362</v>
      </c>
      <c r="D818" s="118" t="str">
        <f>IFERROR(__xludf.DUMMYFUNCTION("IFERROR(
  INDEX(
    FILTER(
      'NOMBRE DE PRODUCTOS'!B:B,
      REGEXMATCH(
        UPPER(
          INDEX(
            REPORTE_DROPI!AC:AC,
            MATCH(T818, REPORTE_DROPI!B:B, 0)
          )
        ),
        UPPER('NOMBRE DE PRODUCTOS'!A:A)"&amp;"
      )
    ),
    1
  ),
  ""REVISAR""
)
"),"FilmPro®")</f>
        <v>FilmPro®</v>
      </c>
      <c r="E818" s="120">
        <f t="array" ref="E818">IF(
UPPER(TRIM(CLEAN($O818)))="ENTREGADO",
IFERROR(
INDEX(REPORTE_DROPI!Y:Y,
MATCH($T818, REPORTE_DROPI!B:B, 0)
),
""
),
""
)
</f>
        <v>7.05</v>
      </c>
      <c r="F818" s="121">
        <v>3.0</v>
      </c>
      <c r="G818" s="122">
        <f t="array" ref="G818">IF(
UPPER(TRIM(CLEAN($O818)))="ENTREGADO",
IFERROR(
INDEX(REPORTE_DROPI!R:R,
MATCH($T818, REPORTE_DROPI!B:B, 0)
),
""
),
""
)
</f>
        <v>30</v>
      </c>
      <c r="H818" s="118" t="s">
        <v>3727</v>
      </c>
      <c r="I818" s="118" t="s">
        <v>3740</v>
      </c>
      <c r="J818" s="121">
        <f t="array" ref="J818">IF(
UPPER(TRIM(CLEAN($O818)))="ENTREGADO",
IFERROR(
INDEX(REPORTE_DROPI!T:T,
MATCH($T818, REPORTE_DROPI!B:B, 0)
),
""
),
""
)
</f>
        <v>6.16</v>
      </c>
      <c r="K818" s="118">
        <f t="array" ref="K818">IFERROR(
INDEX(REPORTE_DROPI!S:S,
MATCH($T818, REPORTE_DROPI!B:B, 0)
),
""
)
</f>
        <v>16.79</v>
      </c>
      <c r="L818" s="118" t="str">
        <f>IF(
  O818&lt;&gt;"DEVOLUCION",
  "",
  IF(
    T818="",
    "",
    SUMIF(DEVOLUCION!F:F, T818, DEVOLUCION!D:D)
  )
)
</f>
        <v/>
      </c>
      <c r="M818" s="118" t="s">
        <v>3870</v>
      </c>
      <c r="N818" s="130" t="s">
        <v>5363</v>
      </c>
      <c r="O818" s="118" t="str">
        <f t="array" ref="O818">IFERROR(
VLOOKUP(
TRIM(CLEAN(
INDEX(REPORTE_DROPI!K:K,
MATCH(T818, REPORTE_DROPI!B:B, 0)
))),
{
TRIM(CLEAN(MAPA_ESTADOS!A:A)) ,
MAPA_ESTADOS!B:B
},
2,
FALSE
),
"REVISAR"
)
</f>
        <v>ENTREGADO</v>
      </c>
      <c r="P818" s="118" t="s">
        <v>3655</v>
      </c>
      <c r="Q818" s="122">
        <f t="shared" si="2"/>
        <v>0</v>
      </c>
      <c r="R818" s="118"/>
      <c r="S818" s="118"/>
      <c r="T818" s="118">
        <f t="array" ref="T818">IFERROR(
INDEX(REPORTE_DROPI!B:B,
MATCH(
CLEAN(TRIM(C818)),
CLEAN(TRIM(REPORTE_DROPI!E:E)),
0
)
),
""
)
</f>
        <v>4264663</v>
      </c>
      <c r="U818" s="118">
        <v>6.444388319276E12</v>
      </c>
      <c r="V818" s="78"/>
      <c r="W818" s="78"/>
      <c r="X818" s="78"/>
      <c r="Y818" s="78"/>
      <c r="Z818" s="78"/>
    </row>
    <row r="819" ht="22.5" customHeight="1">
      <c r="A819" s="118">
        <v>818.0</v>
      </c>
      <c r="B819" s="119">
        <v>46046.0</v>
      </c>
      <c r="C819" s="118" t="s">
        <v>5364</v>
      </c>
      <c r="D819" s="118" t="str">
        <f>IFERROR(__xludf.DUMMYFUNCTION("IFERROR(
  INDEX(
    FILTER(
      'NOMBRE DE PRODUCTOS'!B:B,
      REGEXMATCH(
        UPPER(
          INDEX(
            REPORTE_DROPI!AC:AC,
            MATCH(T819, REPORTE_DROPI!B:B, 0)
          )
        ),
        UPPER('NOMBRE DE PRODUCTOS'!A:A)"&amp;"
      )
    ),
    1
  ),
  ""REVISAR""
)
"),"FilmPro®")</f>
        <v>FilmPro®</v>
      </c>
      <c r="E819" s="120">
        <f t="array" ref="E819">IF(
UPPER(TRIM(CLEAN($O819)))="ENTREGADO",
IFERROR(
INDEX(REPORTE_DROPI!Y:Y,
MATCH($T819, REPORTE_DROPI!B:B, 0)
),
""
),
""
)
</f>
        <v>7.05</v>
      </c>
      <c r="F819" s="121">
        <v>3.0</v>
      </c>
      <c r="G819" s="122">
        <f t="array" ref="G819">IF(
UPPER(TRIM(CLEAN($O819)))="ENTREGADO",
IFERROR(
INDEX(REPORTE_DROPI!R:R,
MATCH($T819, REPORTE_DROPI!B:B, 0)
),
""
),
""
)
</f>
        <v>30</v>
      </c>
      <c r="H819" s="118" t="s">
        <v>3727</v>
      </c>
      <c r="I819" s="118" t="s">
        <v>3728</v>
      </c>
      <c r="J819" s="121">
        <f t="array" ref="J819">IF(
UPPER(TRIM(CLEAN($O819)))="ENTREGADO",
IFERROR(
INDEX(REPORTE_DROPI!T:T,
MATCH($T819, REPORTE_DROPI!B:B, 0)
),
""
),
""
)
</f>
        <v>6.16</v>
      </c>
      <c r="K819" s="118">
        <f t="array" ref="K819">IFERROR(
INDEX(REPORTE_DROPI!S:S,
MATCH($T819, REPORTE_DROPI!B:B, 0)
),
""
)
</f>
        <v>16.79</v>
      </c>
      <c r="L819" s="118" t="str">
        <f>IF(
  O819&lt;&gt;"DEVOLUCION",
  "",
  IF(
    T819="",
    "",
    SUMIF(DEVOLUCION!F:F, T819, DEVOLUCION!D:D)
  )
)
</f>
        <v/>
      </c>
      <c r="M819" s="118" t="s">
        <v>3870</v>
      </c>
      <c r="N819" s="130" t="s">
        <v>5365</v>
      </c>
      <c r="O819" s="118" t="str">
        <f t="array" ref="O819">IFERROR(
VLOOKUP(
TRIM(CLEAN(
INDEX(REPORTE_DROPI!K:K,
MATCH(T819, REPORTE_DROPI!B:B, 0)
))),
{
TRIM(CLEAN(MAPA_ESTADOS!A:A)) ,
MAPA_ESTADOS!B:B
},
2,
FALSE
),
"REVISAR"
)
</f>
        <v>ENTREGADO</v>
      </c>
      <c r="P819" s="118" t="s">
        <v>3655</v>
      </c>
      <c r="Q819" s="122">
        <f t="shared" si="2"/>
        <v>0</v>
      </c>
      <c r="R819" s="118"/>
      <c r="S819" s="118"/>
      <c r="T819" s="118">
        <f t="array" ref="T819">IFERROR(
INDEX(REPORTE_DROPI!B:B,
MATCH(
CLEAN(TRIM(C819)),
CLEAN(TRIM(REPORTE_DROPI!E:E)),
0
)
),
""
)
</f>
        <v>4265681</v>
      </c>
      <c r="U819" s="118">
        <v>6.44472412574E12</v>
      </c>
      <c r="V819" s="78"/>
      <c r="W819" s="78"/>
      <c r="X819" s="78"/>
      <c r="Y819" s="78"/>
      <c r="Z819" s="78"/>
    </row>
    <row r="820" ht="22.5" customHeight="1">
      <c r="A820" s="118">
        <v>819.0</v>
      </c>
      <c r="B820" s="119">
        <v>46046.0</v>
      </c>
      <c r="C820" s="118" t="s">
        <v>5366</v>
      </c>
      <c r="D820" s="118" t="str">
        <f>IFERROR(__xludf.DUMMYFUNCTION("IFERROR(
  INDEX(
    FILTER(
      'NOMBRE DE PRODUCTOS'!B:B,
      REGEXMATCH(
        UPPER(
          INDEX(
            REPORTE_DROPI!AC:AC,
            MATCH(T820, REPORTE_DROPI!B:B, 0)
          )
        ),
        UPPER('NOMBRE DE PRODUCTOS'!A:A)"&amp;"
      )
    ),
    1
  ),
  ""REVISAR""
)
"),"FilmPro®")</f>
        <v>FilmPro®</v>
      </c>
      <c r="E820" s="120" t="str">
        <f t="array" ref="E820">IF(
UPPER(TRIM(CLEAN($O820)))="ENTREGADO",
IFERROR(
INDEX(REPORTE_DROPI!Y:Y,
MATCH($T820, REPORTE_DROPI!B:B, 0)
),
""
),
""
)
</f>
        <v/>
      </c>
      <c r="F820" s="121">
        <v>1.0</v>
      </c>
      <c r="G820" s="122" t="str">
        <f t="array" ref="G820">IF(
UPPER(TRIM(CLEAN($O820)))="ENTREGADO",
IFERROR(
INDEX(REPORTE_DROPI!R:R,
MATCH($T820, REPORTE_DROPI!B:B, 0)
),
""
),
""
)
</f>
        <v/>
      </c>
      <c r="H820" s="118" t="s">
        <v>3727</v>
      </c>
      <c r="I820" s="118" t="s">
        <v>3731</v>
      </c>
      <c r="J820" s="121" t="str">
        <f t="array" ref="J820">IF(
UPPER(TRIM(CLEAN($O820)))="ENTREGADO",
IFERROR(
INDEX(REPORTE_DROPI!T:T,
MATCH($T820, REPORTE_DROPI!B:B, 0)
),
""
),
""
)
</f>
        <v/>
      </c>
      <c r="K820" s="118" t="str">
        <f t="array" ref="K820">IFERROR(
INDEX(REPORTE_DROPI!S:S,
MATCH($T820, REPORTE_DROPI!B:B, 0)
),
""
)
</f>
        <v/>
      </c>
      <c r="L820" s="118">
        <f>IF(
  O820&lt;&gt;"DEVOLUCION",
  "",
  IF(
    T820="",
    "",
    SUMIF(DEVOLUCION!F:F, T820, DEVOLUCION!D:D)
  )
)
</f>
        <v>4.03</v>
      </c>
      <c r="M820" s="118" t="s">
        <v>3870</v>
      </c>
      <c r="N820" s="130" t="s">
        <v>5367</v>
      </c>
      <c r="O820" s="118" t="str">
        <f t="array" ref="O820">IFERROR(
VLOOKUP(
TRIM(CLEAN(
INDEX(REPORTE_DROPI!K:K,
MATCH(T820, REPORTE_DROPI!B:B, 0)
))),
{
TRIM(CLEAN(MAPA_ESTADOS!A:A)) ,
MAPA_ESTADOS!B:B
},
2,
FALSE
),
"REVISAR"
)
</f>
        <v>DEVOLUCION</v>
      </c>
      <c r="P820" s="118" t="s">
        <v>3655</v>
      </c>
      <c r="Q820" s="122">
        <f t="shared" si="2"/>
        <v>0</v>
      </c>
      <c r="R820" s="118"/>
      <c r="S820" s="118"/>
      <c r="T820" s="118">
        <f t="array" ref="T820">IFERROR(
INDEX(REPORTE_DROPI!B:B,
MATCH(
CLEAN(TRIM(C820)),
CLEAN(TRIM(REPORTE_DROPI!E:E)),
0
)
),
""
)
</f>
        <v>4265752</v>
      </c>
      <c r="U820" s="118">
        <v>6.444749389868E12</v>
      </c>
      <c r="V820" s="78"/>
      <c r="W820" s="78"/>
      <c r="X820" s="78"/>
      <c r="Y820" s="78"/>
      <c r="Z820" s="78"/>
    </row>
    <row r="821" ht="22.5" customHeight="1">
      <c r="A821" s="118">
        <v>820.0</v>
      </c>
      <c r="B821" s="119">
        <v>46046.0</v>
      </c>
      <c r="C821" s="118" t="s">
        <v>5368</v>
      </c>
      <c r="D821" s="118" t="str">
        <f>IFERROR(__xludf.DUMMYFUNCTION("IFERROR(
  INDEX(
    FILTER(
      'NOMBRE DE PRODUCTOS'!B:B,
      REGEXMATCH(
        UPPER(
          INDEX(
            REPORTE_DROPI!AC:AC,
            MATCH(T821, REPORTE_DROPI!B:B, 0)
          )
        ),
        UPPER('NOMBRE DE PRODUCTOS'!A:A)"&amp;"
      )
    ),
    1
  ),
  ""REVISAR""
)
"),"FilmPro®")</f>
        <v>FilmPro®</v>
      </c>
      <c r="E821" s="120" t="str">
        <f t="array" ref="E821">IF(
UPPER(TRIM(CLEAN($O821)))="ENTREGADO",
IFERROR(
INDEX(REPORTE_DROPI!Y:Y,
MATCH($T821, REPORTE_DROPI!B:B, 0)
),
""
),
""
)
</f>
        <v/>
      </c>
      <c r="F821" s="121">
        <v>1.0</v>
      </c>
      <c r="G821" s="122" t="str">
        <f t="array" ref="G821">IF(
UPPER(TRIM(CLEAN($O821)))="ENTREGADO",
IFERROR(
INDEX(REPORTE_DROPI!R:R,
MATCH($T821, REPORTE_DROPI!B:B, 0)
),
""
),
""
)
</f>
        <v/>
      </c>
      <c r="H821" s="118" t="s">
        <v>3727</v>
      </c>
      <c r="I821" s="118" t="s">
        <v>3804</v>
      </c>
      <c r="J821" s="121" t="str">
        <f t="array" ref="J821">IF(
UPPER(TRIM(CLEAN($O821)))="ENTREGADO",
IFERROR(
INDEX(REPORTE_DROPI!T:T,
MATCH($T821, REPORTE_DROPI!B:B, 0)
),
""
),
""
)
</f>
        <v/>
      </c>
      <c r="K821" s="118" t="str">
        <f t="array" ref="K821">IFERROR(
INDEX(REPORTE_DROPI!S:S,
MATCH($T821, REPORTE_DROPI!B:B, 0)
),
""
)
</f>
        <v/>
      </c>
      <c r="L821" s="118" t="str">
        <f>IF(
  O821&lt;&gt;"DEVOLUCION",
  "",
  IF(
    T821="",
    "",
    SUMIF(DEVOLUCION!F:F, T821, DEVOLUCION!D:D)
  )
)
</f>
        <v/>
      </c>
      <c r="M821" s="118" t="s">
        <v>3870</v>
      </c>
      <c r="N821" s="130" t="s">
        <v>5369</v>
      </c>
      <c r="O821" s="118" t="str">
        <f t="array" ref="O821">IFERROR(
VLOOKUP(
TRIM(CLEAN(
INDEX(REPORTE_DROPI!K:K,
MATCH(T821, REPORTE_DROPI!B:B, 0)
))),
{
TRIM(CLEAN(MAPA_ESTADOS!A:A)) ,
MAPA_ESTADOS!B:B
},
2,
FALSE
),
"REVISAR"
)
</f>
        <v>CANCELADO</v>
      </c>
      <c r="P821" s="118" t="s">
        <v>3888</v>
      </c>
      <c r="Q821" s="122">
        <f t="shared" si="2"/>
        <v>0</v>
      </c>
      <c r="R821" s="118"/>
      <c r="S821" s="118"/>
      <c r="T821" s="118">
        <f t="array" ref="T821">IFERROR(
INDEX(REPORTE_DROPI!B:B,
MATCH(
CLEAN(TRIM(C821)),
CLEAN(TRIM(REPORTE_DROPI!E:E)),
0
)
),
""
)
</f>
        <v>4266069</v>
      </c>
      <c r="U821" s="118">
        <v>6.444847104044E12</v>
      </c>
      <c r="V821" s="78"/>
      <c r="W821" s="78"/>
      <c r="X821" s="78"/>
      <c r="Y821" s="78"/>
      <c r="Z821" s="78"/>
    </row>
    <row r="822" ht="22.5" customHeight="1">
      <c r="A822" s="118">
        <v>821.0</v>
      </c>
      <c r="B822" s="119">
        <v>46046.0</v>
      </c>
      <c r="C822" s="126" t="s">
        <v>5370</v>
      </c>
      <c r="D822" s="118" t="str">
        <f>IFERROR(__xludf.DUMMYFUNCTION("IFERROR(
  INDEX(
    FILTER(
      'NOMBRE DE PRODUCTOS'!B:B,
      REGEXMATCH(
        UPPER(
          INDEX(
            REPORTE_DROPI!AC:AC,
            MATCH(T822, REPORTE_DROPI!B:B, 0)
          )
        ),
        UPPER('NOMBRE DE PRODUCTOS'!A:A)"&amp;"
      )
    ),
    1
  ),
  ""REVISAR""
)
"),"FilmPro®")</f>
        <v>FilmPro®</v>
      </c>
      <c r="E822" s="120" t="str">
        <f t="array" ref="E822">IF(
UPPER(TRIM(CLEAN($O822)))="ENTREGADO",
IFERROR(
INDEX(REPORTE_DROPI!Y:Y,
MATCH($T822, REPORTE_DROPI!B:B, 0)
),
""
),
""
)
</f>
        <v/>
      </c>
      <c r="F822" s="121">
        <v>3.0</v>
      </c>
      <c r="G822" s="122" t="str">
        <f t="array" ref="G822">IF(
UPPER(TRIM(CLEAN($O822)))="ENTREGADO",
IFERROR(
INDEX(REPORTE_DROPI!R:R,
MATCH($T822, REPORTE_DROPI!B:B, 0)
),
""
),
""
)
</f>
        <v/>
      </c>
      <c r="H822" s="118" t="s">
        <v>3727</v>
      </c>
      <c r="I822" s="118" t="s">
        <v>3731</v>
      </c>
      <c r="J822" s="121" t="str">
        <f t="array" ref="J822">IF(
UPPER(TRIM(CLEAN($O822)))="ENTREGADO",
IFERROR(
INDEX(REPORTE_DROPI!T:T,
MATCH($T822, REPORTE_DROPI!B:B, 0)
),
""
),
""
)
</f>
        <v/>
      </c>
      <c r="K822" s="118" t="str">
        <f t="array" ref="K822">IFERROR(
INDEX(REPORTE_DROPI!S:S,
MATCH($T822, REPORTE_DROPI!B:B, 0)
),
""
)
</f>
        <v/>
      </c>
      <c r="L822" s="118" t="str">
        <f>IF(
  O822&lt;&gt;"DEVOLUCION",
  "",
  IF(
    T822="",
    "",
    SUMIF(DEVOLUCION!F:F, T822, DEVOLUCION!D:D)
  )
)
</f>
        <v/>
      </c>
      <c r="M822" s="118" t="s">
        <v>3870</v>
      </c>
      <c r="N822" s="130" t="s">
        <v>5371</v>
      </c>
      <c r="O822" s="118" t="str">
        <f t="array" ref="O822">IFERROR(
VLOOKUP(
TRIM(CLEAN(
INDEX(REPORTE_DROPI!K:K,
MATCH(T822, REPORTE_DROPI!B:B, 0)
))),
{
TRIM(CLEAN(MAPA_ESTADOS!A:A)) ,
MAPA_ESTADOS!B:B
},
2,
FALSE
),
"REVISAR"
)
</f>
        <v>CANCELADO</v>
      </c>
      <c r="P822" s="118" t="s">
        <v>3655</v>
      </c>
      <c r="Q822" s="122">
        <f t="shared" si="2"/>
        <v>0</v>
      </c>
      <c r="R822" s="118"/>
      <c r="S822" s="118"/>
      <c r="T822" s="118">
        <f t="array" ref="T822">IFERROR(
INDEX(REPORTE_DROPI!B:B,
MATCH(
CLEAN(TRIM(C822)),
CLEAN(TRIM(REPORTE_DROPI!E:E)),
0
)
),
""
)
</f>
        <v>4568469</v>
      </c>
      <c r="U822" s="118">
        <v>6.444870336556E12</v>
      </c>
      <c r="V822" s="78"/>
      <c r="W822" s="78"/>
      <c r="X822" s="78"/>
      <c r="Y822" s="78"/>
      <c r="Z822" s="78"/>
    </row>
    <row r="823" ht="22.5" customHeight="1">
      <c r="A823" s="118">
        <v>822.0</v>
      </c>
      <c r="B823" s="119">
        <v>46046.0</v>
      </c>
      <c r="C823" s="118" t="s">
        <v>5372</v>
      </c>
      <c r="D823" s="118" t="str">
        <f>IFERROR(__xludf.DUMMYFUNCTION("IFERROR(
  INDEX(
    FILTER(
      'NOMBRE DE PRODUCTOS'!B:B,
      REGEXMATCH(
        UPPER(
          INDEX(
            REPORTE_DROPI!AC:AC,
            MATCH(T823, REPORTE_DROPI!B:B, 0)
          )
        ),
        UPPER('NOMBRE DE PRODUCTOS'!A:A)"&amp;"
      )
    ),
    1
  ),
  ""REVISAR""
)
"),"FilmPro®")</f>
        <v>FilmPro®</v>
      </c>
      <c r="E823" s="120">
        <f t="array" ref="E823">IF(
UPPER(TRIM(CLEAN($O823)))="ENTREGADO",
IFERROR(
INDEX(REPORTE_DROPI!Y:Y,
MATCH($T823, REPORTE_DROPI!B:B, 0)
),
""
),
""
)
</f>
        <v>4.7</v>
      </c>
      <c r="F823" s="121">
        <v>2.0</v>
      </c>
      <c r="G823" s="122">
        <f t="array" ref="G823">IF(
UPPER(TRIM(CLEAN($O823)))="ENTREGADO",
IFERROR(
INDEX(REPORTE_DROPI!R:R,
MATCH($T823, REPORTE_DROPI!B:B, 0)
),
""
),
""
)
</f>
        <v>25</v>
      </c>
      <c r="H823" s="118" t="s">
        <v>3727</v>
      </c>
      <c r="I823" s="118" t="s">
        <v>3731</v>
      </c>
      <c r="J823" s="121">
        <f t="array" ref="J823">IF(
UPPER(TRIM(CLEAN($O823)))="ENTREGADO",
IFERROR(
INDEX(REPORTE_DROPI!T:T,
MATCH($T823, REPORTE_DROPI!B:B, 0)
),
""
),
""
)
</f>
        <v>4.35</v>
      </c>
      <c r="K823" s="118">
        <f t="array" ref="K823">IFERROR(
INDEX(REPORTE_DROPI!S:S,
MATCH($T823, REPORTE_DROPI!B:B, 0)
),
""
)
</f>
        <v>15.95</v>
      </c>
      <c r="L823" s="118" t="str">
        <f>IF(
  O823&lt;&gt;"DEVOLUCION",
  "",
  IF(
    T823="",
    "",
    SUMIF(DEVOLUCION!F:F, T823, DEVOLUCION!D:D)
  )
)
</f>
        <v/>
      </c>
      <c r="M823" s="118" t="s">
        <v>3870</v>
      </c>
      <c r="N823" s="130" t="s">
        <v>5373</v>
      </c>
      <c r="O823" s="118" t="str">
        <f t="array" ref="O823">IFERROR(
VLOOKUP(
TRIM(CLEAN(
INDEX(REPORTE_DROPI!K:K,
MATCH(T823, REPORTE_DROPI!B:B, 0)
))),
{
TRIM(CLEAN(MAPA_ESTADOS!A:A)) ,
MAPA_ESTADOS!B:B
},
2,
FALSE
),
"REVISAR"
)
</f>
        <v>ENTREGADO</v>
      </c>
      <c r="P823" s="118" t="s">
        <v>3655</v>
      </c>
      <c r="Q823" s="122">
        <f t="shared" si="2"/>
        <v>0</v>
      </c>
      <c r="R823" s="118"/>
      <c r="S823" s="118"/>
      <c r="T823" s="118">
        <f t="array" ref="T823">IFERROR(
INDEX(REPORTE_DROPI!B:B,
MATCH(
CLEAN(TRIM(C823)),
CLEAN(TRIM(REPORTE_DROPI!E:E)),
0
)
),
""
)
</f>
        <v>4266245</v>
      </c>
      <c r="U823" s="118">
        <v>6.4448968131E12</v>
      </c>
      <c r="V823" s="78"/>
      <c r="W823" s="78"/>
      <c r="X823" s="78"/>
      <c r="Y823" s="78"/>
      <c r="Z823" s="78"/>
    </row>
    <row r="824" ht="22.5" customHeight="1">
      <c r="A824" s="118">
        <v>823.0</v>
      </c>
      <c r="B824" s="119">
        <v>46046.0</v>
      </c>
      <c r="C824" s="118" t="s">
        <v>5374</v>
      </c>
      <c r="D824" s="118" t="str">
        <f>IFERROR(__xludf.DUMMYFUNCTION("IFERROR(
  INDEX(
    FILTER(
      'NOMBRE DE PRODUCTOS'!B:B,
      REGEXMATCH(
        UPPER(
          INDEX(
            REPORTE_DROPI!AC:AC,
            MATCH(T824, REPORTE_DROPI!B:B, 0)
          )
        ),
        UPPER('NOMBRE DE PRODUCTOS'!A:A)"&amp;"
      )
    ),
    1
  ),
  ""REVISAR""
)
"),"FilmPro®")</f>
        <v>FilmPro®</v>
      </c>
      <c r="E824" s="120">
        <f t="array" ref="E824">IF(
UPPER(TRIM(CLEAN($O824)))="ENTREGADO",
IFERROR(
INDEX(REPORTE_DROPI!Y:Y,
MATCH($T824, REPORTE_DROPI!B:B, 0)
),
""
),
""
)
</f>
        <v>4.7</v>
      </c>
      <c r="F824" s="121">
        <v>2.0</v>
      </c>
      <c r="G824" s="122">
        <f t="array" ref="G824">IF(
UPPER(TRIM(CLEAN($O824)))="ENTREGADO",
IFERROR(
INDEX(REPORTE_DROPI!R:R,
MATCH($T824, REPORTE_DROPI!B:B, 0)
),
""
),
""
)
</f>
        <v>25</v>
      </c>
      <c r="H824" s="118" t="s">
        <v>3727</v>
      </c>
      <c r="I824" s="118" t="s">
        <v>3778</v>
      </c>
      <c r="J824" s="121">
        <f t="array" ref="J824">IF(
UPPER(TRIM(CLEAN($O824)))="ENTREGADO",
IFERROR(
INDEX(REPORTE_DROPI!T:T,
MATCH($T824, REPORTE_DROPI!B:B, 0)
),
""
),
""
)
</f>
        <v>5.96</v>
      </c>
      <c r="K824" s="118">
        <f t="array" ref="K824">IFERROR(
INDEX(REPORTE_DROPI!S:S,
MATCH($T824, REPORTE_DROPI!B:B, 0)
),
""
)
</f>
        <v>14.34</v>
      </c>
      <c r="L824" s="118" t="str">
        <f>IF(
  O824&lt;&gt;"DEVOLUCION",
  "",
  IF(
    T824="",
    "",
    SUMIF(DEVOLUCION!F:F, T824, DEVOLUCION!D:D)
  )
)
</f>
        <v/>
      </c>
      <c r="M824" s="118" t="s">
        <v>3870</v>
      </c>
      <c r="N824" s="130" t="s">
        <v>5375</v>
      </c>
      <c r="O824" s="118" t="str">
        <f t="array" ref="O824">IFERROR(
VLOOKUP(
TRIM(CLEAN(
INDEX(REPORTE_DROPI!K:K,
MATCH(T824, REPORTE_DROPI!B:B, 0)
))),
{
TRIM(CLEAN(MAPA_ESTADOS!A:A)) ,
MAPA_ESTADOS!B:B
},
2,
FALSE
),
"REVISAR"
)
</f>
        <v>ENTREGADO</v>
      </c>
      <c r="P824" s="118" t="s">
        <v>3655</v>
      </c>
      <c r="Q824" s="122">
        <f t="shared" si="2"/>
        <v>0</v>
      </c>
      <c r="R824" s="118"/>
      <c r="S824" s="118"/>
      <c r="T824" s="118">
        <f t="array" ref="T824">IFERROR(
INDEX(REPORTE_DROPI!B:B,
MATCH(
CLEAN(TRIM(C824)),
CLEAN(TRIM(REPORTE_DROPI!E:E)),
0
)
),
""
)
</f>
        <v>4266542</v>
      </c>
      <c r="U824" s="118">
        <v>6.444978503724E12</v>
      </c>
      <c r="V824" s="78"/>
      <c r="W824" s="78"/>
      <c r="X824" s="78"/>
      <c r="Y824" s="78"/>
      <c r="Z824" s="78"/>
    </row>
    <row r="825" ht="22.5" customHeight="1">
      <c r="A825" s="118">
        <v>824.0</v>
      </c>
      <c r="B825" s="119">
        <v>46046.0</v>
      </c>
      <c r="C825" s="118" t="s">
        <v>5376</v>
      </c>
      <c r="D825" s="118" t="str">
        <f>IFERROR(__xludf.DUMMYFUNCTION("IFERROR(
  INDEX(
    FILTER(
      'NOMBRE DE PRODUCTOS'!B:B,
      REGEXMATCH(
        UPPER(
          INDEX(
            REPORTE_DROPI!AC:AC,
            MATCH(T825, REPORTE_DROPI!B:B, 0)
          )
        ),
        UPPER('NOMBRE DE PRODUCTOS'!A:A)"&amp;"
      )
    ),
    1
  ),
  ""REVISAR""
)
"),"FilmPro®")</f>
        <v>FilmPro®</v>
      </c>
      <c r="E825" s="120">
        <f t="array" ref="E825">IF(
UPPER(TRIM(CLEAN($O825)))="ENTREGADO",
IFERROR(
INDEX(REPORTE_DROPI!Y:Y,
MATCH($T825, REPORTE_DROPI!B:B, 0)
),
""
),
""
)
</f>
        <v>4.7</v>
      </c>
      <c r="F825" s="121">
        <v>2.0</v>
      </c>
      <c r="G825" s="122">
        <f t="array" ref="G825">IF(
UPPER(TRIM(CLEAN($O825)))="ENTREGADO",
IFERROR(
INDEX(REPORTE_DROPI!R:R,
MATCH($T825, REPORTE_DROPI!B:B, 0)
),
""
),
""
)
</f>
        <v>25</v>
      </c>
      <c r="H825" s="118" t="s">
        <v>3727</v>
      </c>
      <c r="I825" s="118" t="s">
        <v>3740</v>
      </c>
      <c r="J825" s="121">
        <f t="array" ref="J825">IF(
UPPER(TRIM(CLEAN($O825)))="ENTREGADO",
IFERROR(
INDEX(REPORTE_DROPI!T:T,
MATCH($T825, REPORTE_DROPI!B:B, 0)
),
""
),
""
)
</f>
        <v>5.96</v>
      </c>
      <c r="K825" s="118">
        <f t="array" ref="K825">IFERROR(
INDEX(REPORTE_DROPI!S:S,
MATCH($T825, REPORTE_DROPI!B:B, 0)
),
""
)
</f>
        <v>14.34</v>
      </c>
      <c r="L825" s="118" t="str">
        <f>IF(
  O825&lt;&gt;"DEVOLUCION",
  "",
  IF(
    T825="",
    "",
    SUMIF(DEVOLUCION!F:F, T825, DEVOLUCION!D:D)
  )
)
</f>
        <v/>
      </c>
      <c r="M825" s="118" t="s">
        <v>3870</v>
      </c>
      <c r="N825" s="130" t="s">
        <v>5377</v>
      </c>
      <c r="O825" s="118" t="str">
        <f t="array" ref="O825">IFERROR(
VLOOKUP(
TRIM(CLEAN(
INDEX(REPORTE_DROPI!K:K,
MATCH(T825, REPORTE_DROPI!B:B, 0)
))),
{
TRIM(CLEAN(MAPA_ESTADOS!A:A)) ,
MAPA_ESTADOS!B:B
},
2,
FALSE
),
"REVISAR"
)
</f>
        <v>ENTREGADO</v>
      </c>
      <c r="P825" s="118" t="s">
        <v>3655</v>
      </c>
      <c r="Q825" s="122">
        <f t="shared" si="2"/>
        <v>0</v>
      </c>
      <c r="R825" s="118"/>
      <c r="S825" s="118"/>
      <c r="T825" s="118">
        <f t="array" ref="T825">IFERROR(
INDEX(REPORTE_DROPI!B:B,
MATCH(
CLEAN(TRIM(C825)),
CLEAN(TRIM(REPORTE_DROPI!E:E)),
0
)
),
""
)
</f>
        <v>4266556</v>
      </c>
      <c r="U825" s="118">
        <v>6.444981944364E12</v>
      </c>
      <c r="V825" s="78"/>
      <c r="W825" s="78"/>
      <c r="X825" s="78"/>
      <c r="Y825" s="78"/>
      <c r="Z825" s="78"/>
    </row>
    <row r="826" ht="22.5" customHeight="1">
      <c r="A826" s="118">
        <v>825.0</v>
      </c>
      <c r="B826" s="119">
        <v>46046.0</v>
      </c>
      <c r="C826" s="126" t="s">
        <v>5378</v>
      </c>
      <c r="D826" s="118" t="str">
        <f>IFERROR(__xludf.DUMMYFUNCTION("IFERROR(
  INDEX(
    FILTER(
      'NOMBRE DE PRODUCTOS'!B:B,
      REGEXMATCH(
        UPPER(
          INDEX(
            REPORTE_DROPI!AC:AC,
            MATCH(T826, REPORTE_DROPI!B:B, 0)
          )
        ),
        UPPER('NOMBRE DE PRODUCTOS'!A:A)"&amp;"
      )
    ),
    1
  ),
  ""REVISAR""
)
"),"FilmPro®")</f>
        <v>FilmPro®</v>
      </c>
      <c r="E826" s="120" t="str">
        <f t="array" ref="E826">IF(
UPPER(TRIM(CLEAN($O826)))="ENTREGADO",
IFERROR(
INDEX(REPORTE_DROPI!Y:Y,
MATCH($T826, REPORTE_DROPI!B:B, 0)
),
""
),
""
)
</f>
        <v/>
      </c>
      <c r="F826" s="121">
        <v>3.0</v>
      </c>
      <c r="G826" s="122" t="str">
        <f t="array" ref="G826">IF(
UPPER(TRIM(CLEAN($O826)))="ENTREGADO",
IFERROR(
INDEX(REPORTE_DROPI!R:R,
MATCH($T826, REPORTE_DROPI!B:B, 0)
),
""
),
""
)
</f>
        <v/>
      </c>
      <c r="H826" s="118" t="s">
        <v>3727</v>
      </c>
      <c r="I826" s="118" t="s">
        <v>3731</v>
      </c>
      <c r="J826" s="121" t="str">
        <f t="array" ref="J826">IF(
UPPER(TRIM(CLEAN($O826)))="ENTREGADO",
IFERROR(
INDEX(REPORTE_DROPI!T:T,
MATCH($T826, REPORTE_DROPI!B:B, 0)
),
""
),
""
)
</f>
        <v/>
      </c>
      <c r="K826" s="118" t="str">
        <f t="array" ref="K826">IFERROR(
INDEX(REPORTE_DROPI!S:S,
MATCH($T826, REPORTE_DROPI!B:B, 0)
),
""
)
</f>
        <v/>
      </c>
      <c r="L826" s="118">
        <f>IF(
  O826&lt;&gt;"DEVOLUCION",
  "",
  IF(
    T826="",
    "",
    SUMIF(DEVOLUCION!F:F, T826, DEVOLUCION!D:D)
  )
)
</f>
        <v>7.82</v>
      </c>
      <c r="M826" s="118" t="s">
        <v>3870</v>
      </c>
      <c r="N826" s="130" t="s">
        <v>5379</v>
      </c>
      <c r="O826" s="118" t="str">
        <f t="array" ref="O826">IFERROR(
VLOOKUP(
TRIM(CLEAN(
INDEX(REPORTE_DROPI!K:K,
MATCH(T826, REPORTE_DROPI!B:B, 0)
))),
{
TRIM(CLEAN(MAPA_ESTADOS!A:A)) ,
MAPA_ESTADOS!B:B
},
2,
FALSE
),
"REVISAR"
)
</f>
        <v>DEVOLUCION</v>
      </c>
      <c r="P826" s="118" t="s">
        <v>3655</v>
      </c>
      <c r="Q826" s="122">
        <f t="shared" si="2"/>
        <v>0</v>
      </c>
      <c r="R826" s="118"/>
      <c r="S826" s="118"/>
      <c r="T826" s="118">
        <f t="array" ref="T826">IFERROR(
INDEX(REPORTE_DROPI!B:B,
MATCH(
CLEAN(TRIM(C826)),
CLEAN(TRIM(REPORTE_DROPI!E:E)),
0
)
),
""
)
</f>
        <v>4266641</v>
      </c>
      <c r="U826" s="118">
        <v>6.445010321452E12</v>
      </c>
      <c r="V826" s="78"/>
      <c r="W826" s="78"/>
      <c r="X826" s="78"/>
      <c r="Y826" s="78"/>
      <c r="Z826" s="78"/>
    </row>
    <row r="827" ht="22.5" customHeight="1">
      <c r="A827" s="118">
        <v>826.0</v>
      </c>
      <c r="B827" s="119">
        <v>46046.0</v>
      </c>
      <c r="C827" s="118" t="s">
        <v>5380</v>
      </c>
      <c r="D827" s="118" t="str">
        <f>IFERROR(__xludf.DUMMYFUNCTION("IFERROR(
  INDEX(
    FILTER(
      'NOMBRE DE PRODUCTOS'!B:B,
      REGEXMATCH(
        UPPER(
          INDEX(
            REPORTE_DROPI!AC:AC,
            MATCH(T827, REPORTE_DROPI!B:B, 0)
          )
        ),
        UPPER('NOMBRE DE PRODUCTOS'!A:A)"&amp;"
      )
    ),
    1
  ),
  ""REVISAR""
)
"),"FilmPro®")</f>
        <v>FilmPro®</v>
      </c>
      <c r="E827" s="120">
        <f t="array" ref="E827">IF(
UPPER(TRIM(CLEAN($O827)))="ENTREGADO",
IFERROR(
INDEX(REPORTE_DROPI!Y:Y,
MATCH($T827, REPORTE_DROPI!B:B, 0)
),
""
),
""
)
</f>
        <v>4.7</v>
      </c>
      <c r="F827" s="121">
        <v>2.0</v>
      </c>
      <c r="G827" s="122">
        <f t="array" ref="G827">IF(
UPPER(TRIM(CLEAN($O827)))="ENTREGADO",
IFERROR(
INDEX(REPORTE_DROPI!R:R,
MATCH($T827, REPORTE_DROPI!B:B, 0)
),
""
),
""
)
</f>
        <v>25</v>
      </c>
      <c r="H827" s="118" t="s">
        <v>3727</v>
      </c>
      <c r="I827" s="118" t="s">
        <v>3740</v>
      </c>
      <c r="J827" s="121">
        <f t="array" ref="J827">IF(
UPPER(TRIM(CLEAN($O827)))="ENTREGADO",
IFERROR(
INDEX(REPORTE_DROPI!T:T,
MATCH($T827, REPORTE_DROPI!B:B, 0)
),
""
),
""
)
</f>
        <v>7.75</v>
      </c>
      <c r="K827" s="118">
        <f t="array" ref="K827">IFERROR(
INDEX(REPORTE_DROPI!S:S,
MATCH($T827, REPORTE_DROPI!B:B, 0)
),
""
)
</f>
        <v>12.55</v>
      </c>
      <c r="L827" s="118" t="str">
        <f>IF(
  O827&lt;&gt;"DEVOLUCION",
  "",
  IF(
    T827="",
    "",
    SUMIF(DEVOLUCION!F:F, T827, DEVOLUCION!D:D)
  )
)
</f>
        <v/>
      </c>
      <c r="M827" s="118" t="s">
        <v>3870</v>
      </c>
      <c r="N827" s="130" t="s">
        <v>5381</v>
      </c>
      <c r="O827" s="118" t="str">
        <f t="array" ref="O827">IFERROR(
VLOOKUP(
TRIM(CLEAN(
INDEX(REPORTE_DROPI!K:K,
MATCH(T827, REPORTE_DROPI!B:B, 0)
))),
{
TRIM(CLEAN(MAPA_ESTADOS!A:A)) ,
MAPA_ESTADOS!B:B
},
2,
FALSE
),
"REVISAR"
)
</f>
        <v>ENTREGADO</v>
      </c>
      <c r="P827" s="118" t="s">
        <v>3888</v>
      </c>
      <c r="Q827" s="122">
        <f t="shared" si="2"/>
        <v>0</v>
      </c>
      <c r="R827" s="118"/>
      <c r="S827" s="118"/>
      <c r="T827" s="118">
        <f t="array" ref="T827">IFERROR(
INDEX(REPORTE_DROPI!B:B,
MATCH(
CLEAN(TRIM(C827)),
CLEAN(TRIM(REPORTE_DROPI!E:E)),
0
)
),
""
)
</f>
        <v>4293933</v>
      </c>
      <c r="U827" s="118">
        <v>6.44513798558E12</v>
      </c>
      <c r="V827" s="78"/>
      <c r="W827" s="78"/>
      <c r="X827" s="78"/>
      <c r="Y827" s="78"/>
      <c r="Z827" s="78"/>
    </row>
    <row r="828" ht="22.5" customHeight="1">
      <c r="A828" s="118">
        <v>827.0</v>
      </c>
      <c r="B828" s="119">
        <v>46046.0</v>
      </c>
      <c r="C828" s="126" t="s">
        <v>5382</v>
      </c>
      <c r="D828" s="118" t="str">
        <f>IFERROR(__xludf.DUMMYFUNCTION("IFERROR(
  INDEX(
    FILTER(
      'NOMBRE DE PRODUCTOS'!B:B,
      REGEXMATCH(
        UPPER(
          INDEX(
            REPORTE_DROPI!AC:AC,
            MATCH(T828, REPORTE_DROPI!B:B, 0)
          )
        ),
        UPPER('NOMBRE DE PRODUCTOS'!A:A)"&amp;"
      )
    ),
    1
  ),
  ""REVISAR""
)
"),"FilmPro®")</f>
        <v>FilmPro®</v>
      </c>
      <c r="E828" s="120" t="str">
        <f t="array" ref="E828">IF(
UPPER(TRIM(CLEAN($O828)))="ENTREGADO",
IFERROR(
INDEX(REPORTE_DROPI!Y:Y,
MATCH($T828, REPORTE_DROPI!B:B, 0)
),
""
),
""
)
</f>
        <v/>
      </c>
      <c r="F828" s="121">
        <v>2.0</v>
      </c>
      <c r="G828" s="122" t="str">
        <f t="array" ref="G828">IF(
UPPER(TRIM(CLEAN($O828)))="ENTREGADO",
IFERROR(
INDEX(REPORTE_DROPI!R:R,
MATCH($T828, REPORTE_DROPI!B:B, 0)
),
""
),
""
)
</f>
        <v/>
      </c>
      <c r="H828" s="118" t="s">
        <v>3727</v>
      </c>
      <c r="I828" s="118" t="s">
        <v>3731</v>
      </c>
      <c r="J828" s="121" t="str">
        <f t="array" ref="J828">IF(
UPPER(TRIM(CLEAN($O828)))="ENTREGADO",
IFERROR(
INDEX(REPORTE_DROPI!T:T,
MATCH($T828, REPORTE_DROPI!B:B, 0)
),
""
),
""
)
</f>
        <v/>
      </c>
      <c r="K828" s="118" t="str">
        <f t="array" ref="K828">IFERROR(
INDEX(REPORTE_DROPI!S:S,
MATCH($T828, REPORTE_DROPI!B:B, 0)
),
""
)
</f>
        <v/>
      </c>
      <c r="L828" s="118" t="str">
        <f>IF(
  O828&lt;&gt;"DEVOLUCION",
  "",
  IF(
    T828="",
    "",
    SUMIF(DEVOLUCION!F:F, T828, DEVOLUCION!D:D)
  )
)
</f>
        <v/>
      </c>
      <c r="M828" s="118" t="s">
        <v>3870</v>
      </c>
      <c r="N828" s="130" t="s">
        <v>5383</v>
      </c>
      <c r="O828" s="118" t="str">
        <f t="array" ref="O828">IFERROR(
VLOOKUP(
TRIM(CLEAN(
INDEX(REPORTE_DROPI!K:K,
MATCH(T828, REPORTE_DROPI!B:B, 0)
))),
{
TRIM(CLEAN(MAPA_ESTADOS!A:A)) ,
MAPA_ESTADOS!B:B
},
2,
FALSE
),
"REVISAR"
)
</f>
        <v>PENDIENTE</v>
      </c>
      <c r="P828" s="118" t="s">
        <v>4892</v>
      </c>
      <c r="Q828" s="122">
        <f t="shared" si="2"/>
        <v>0</v>
      </c>
      <c r="R828" s="118"/>
      <c r="S828" s="118"/>
      <c r="T828" s="118">
        <f t="array" ref="T828">IFERROR(
INDEX(REPORTE_DROPI!B:B,
MATCH(
CLEAN(TRIM(C828)),
CLEAN(TRIM(REPORTE_DROPI!E:E)),
0
)
),
""
)
</f>
        <v>4267391</v>
      </c>
      <c r="U828" s="118">
        <v>6.445198835756E12</v>
      </c>
      <c r="V828" s="78"/>
      <c r="W828" s="78"/>
      <c r="X828" s="78"/>
      <c r="Y828" s="78"/>
      <c r="Z828" s="78"/>
    </row>
    <row r="829" ht="22.5" customHeight="1">
      <c r="A829" s="118">
        <v>828.0</v>
      </c>
      <c r="B829" s="119">
        <v>46046.0</v>
      </c>
      <c r="C829" s="118" t="s">
        <v>5384</v>
      </c>
      <c r="D829" s="118" t="str">
        <f>IFERROR(__xludf.DUMMYFUNCTION("IFERROR(
  INDEX(
    FILTER(
      'NOMBRE DE PRODUCTOS'!B:B,
      REGEXMATCH(
        UPPER(
          INDEX(
            REPORTE_DROPI!AC:AC,
            MATCH(T829, REPORTE_DROPI!B:B, 0)
          )
        ),
        UPPER('NOMBRE DE PRODUCTOS'!A:A)"&amp;"
      )
    ),
    1
  ),
  ""REVISAR""
)
"),"FilmPro®")</f>
        <v>FilmPro®</v>
      </c>
      <c r="E829" s="120">
        <f t="array" ref="E829">IF(
UPPER(TRIM(CLEAN($O829)))="ENTREGADO",
IFERROR(
INDEX(REPORTE_DROPI!Y:Y,
MATCH($T829, REPORTE_DROPI!B:B, 0)
),
""
),
""
)
</f>
        <v>4.7</v>
      </c>
      <c r="F829" s="121">
        <v>2.0</v>
      </c>
      <c r="G829" s="122">
        <f t="array" ref="G829">IF(
UPPER(TRIM(CLEAN($O829)))="ENTREGADO",
IFERROR(
INDEX(REPORTE_DROPI!R:R,
MATCH($T829, REPORTE_DROPI!B:B, 0)
),
""
),
""
)
</f>
        <v>25</v>
      </c>
      <c r="H829" s="118" t="s">
        <v>3727</v>
      </c>
      <c r="I829" s="118" t="s">
        <v>3784</v>
      </c>
      <c r="J829" s="121">
        <f t="array" ref="J829">IF(
UPPER(TRIM(CLEAN($O829)))="ENTREGADO",
IFERROR(
INDEX(REPORTE_DROPI!T:T,
MATCH($T829, REPORTE_DROPI!B:B, 0)
),
""
),
""
)
</f>
        <v>5.96</v>
      </c>
      <c r="K829" s="118">
        <f t="array" ref="K829">IFERROR(
INDEX(REPORTE_DROPI!S:S,
MATCH($T829, REPORTE_DROPI!B:B, 0)
),
""
)
</f>
        <v>14.34</v>
      </c>
      <c r="L829" s="118" t="str">
        <f>IF(
  O829&lt;&gt;"DEVOLUCION",
  "",
  IF(
    T829="",
    "",
    SUMIF(DEVOLUCION!F:F, T829, DEVOLUCION!D:D)
  )
)
</f>
        <v/>
      </c>
      <c r="M829" s="118" t="s">
        <v>3870</v>
      </c>
      <c r="N829" s="130" t="s">
        <v>5385</v>
      </c>
      <c r="O829" s="118" t="str">
        <f t="array" ref="O829">IFERROR(
VLOOKUP(
TRIM(CLEAN(
INDEX(REPORTE_DROPI!K:K,
MATCH(T829, REPORTE_DROPI!B:B, 0)
))),
{
TRIM(CLEAN(MAPA_ESTADOS!A:A)) ,
MAPA_ESTADOS!B:B
},
2,
FALSE
),
"REVISAR"
)
</f>
        <v>ENTREGADO</v>
      </c>
      <c r="P829" s="118" t="s">
        <v>3655</v>
      </c>
      <c r="Q829" s="122">
        <f t="shared" si="2"/>
        <v>0</v>
      </c>
      <c r="R829" s="118"/>
      <c r="S829" s="118"/>
      <c r="T829" s="118">
        <f t="array" ref="T829">IFERROR(
INDEX(REPORTE_DROPI!B:B,
MATCH(
CLEAN(TRIM(C829)),
CLEAN(TRIM(REPORTE_DROPI!E:E)),
0
)
),
""
)
</f>
        <v>4294029</v>
      </c>
      <c r="U829" s="118">
        <v>6.445244776492E12</v>
      </c>
      <c r="V829" s="78"/>
      <c r="W829" s="78"/>
      <c r="X829" s="78"/>
      <c r="Y829" s="78"/>
      <c r="Z829" s="78"/>
    </row>
    <row r="830" ht="22.5" customHeight="1">
      <c r="A830" s="118">
        <v>829.0</v>
      </c>
      <c r="B830" s="119">
        <v>46046.0</v>
      </c>
      <c r="C830" s="118" t="s">
        <v>5386</v>
      </c>
      <c r="D830" s="118" t="str">
        <f>IFERROR(__xludf.DUMMYFUNCTION("IFERROR(
  INDEX(
    FILTER(
      'NOMBRE DE PRODUCTOS'!B:B,
      REGEXMATCH(
        UPPER(
          INDEX(
            REPORTE_DROPI!AC:AC,
            MATCH(T830, REPORTE_DROPI!B:B, 0)
          )
        ),
        UPPER('NOMBRE DE PRODUCTOS'!A:A)"&amp;"
      )
    ),
    1
  ),
  ""REVISAR""
)
"),"FilmPro®")</f>
        <v>FilmPro®</v>
      </c>
      <c r="E830" s="120">
        <f t="array" ref="E830">IF(
UPPER(TRIM(CLEAN($O830)))="ENTREGADO",
IFERROR(
INDEX(REPORTE_DROPI!Y:Y,
MATCH($T830, REPORTE_DROPI!B:B, 0)
),
""
),
""
)
</f>
        <v>2.35</v>
      </c>
      <c r="F830" s="121">
        <v>1.0</v>
      </c>
      <c r="G830" s="122">
        <f t="array" ref="G830">IF(
UPPER(TRIM(CLEAN($O830)))="ENTREGADO",
IFERROR(
INDEX(REPORTE_DROPI!R:R,
MATCH($T830, REPORTE_DROPI!B:B, 0)
),
""
),
""
)
</f>
        <v>20</v>
      </c>
      <c r="H830" s="118" t="s">
        <v>3727</v>
      </c>
      <c r="I830" s="118" t="s">
        <v>3731</v>
      </c>
      <c r="J830" s="121">
        <f t="array" ref="J830">IF(
UPPER(TRIM(CLEAN($O830)))="ENTREGADO",
IFERROR(
INDEX(REPORTE_DROPI!T:T,
MATCH($T830, REPORTE_DROPI!B:B, 0)
),
""
),
""
)
</f>
        <v>4.15</v>
      </c>
      <c r="K830" s="118">
        <f t="array" ref="K830">IFERROR(
INDEX(REPORTE_DROPI!S:S,
MATCH($T830, REPORTE_DROPI!B:B, 0)
),
""
)
</f>
        <v>13.5</v>
      </c>
      <c r="L830" s="118" t="str">
        <f>IF(
  O830&lt;&gt;"DEVOLUCION",
  "",
  IF(
    T830="",
    "",
    SUMIF(DEVOLUCION!F:F, T830, DEVOLUCION!D:D)
  )
)
</f>
        <v/>
      </c>
      <c r="M830" s="118" t="s">
        <v>3870</v>
      </c>
      <c r="N830" s="130" t="s">
        <v>5387</v>
      </c>
      <c r="O830" s="118" t="str">
        <f t="array" ref="O830">IFERROR(
VLOOKUP(
TRIM(CLEAN(
INDEX(REPORTE_DROPI!K:K,
MATCH(T830, REPORTE_DROPI!B:B, 0)
))),
{
TRIM(CLEAN(MAPA_ESTADOS!A:A)) ,
MAPA_ESTADOS!B:B
},
2,
FALSE
),
"REVISAR"
)
</f>
        <v>ENTREGADO</v>
      </c>
      <c r="P830" s="118" t="s">
        <v>3655</v>
      </c>
      <c r="Q830" s="122">
        <f t="shared" si="2"/>
        <v>0</v>
      </c>
      <c r="R830" s="118"/>
      <c r="S830" s="118"/>
      <c r="T830" s="118">
        <f t="array" ref="T830">IFERROR(
INDEX(REPORTE_DROPI!B:B,
MATCH(
CLEAN(TRIM(C830)),
CLEAN(TRIM(REPORTE_DROPI!E:E)),
0
)
),
""
)
</f>
        <v>4268146</v>
      </c>
      <c r="U830" s="118">
        <v>6.445405470764E12</v>
      </c>
      <c r="V830" s="78"/>
      <c r="W830" s="78"/>
      <c r="X830" s="78"/>
      <c r="Y830" s="78"/>
      <c r="Z830" s="78"/>
    </row>
    <row r="831" ht="22.5" customHeight="1">
      <c r="A831" s="118">
        <v>830.0</v>
      </c>
      <c r="B831" s="119">
        <v>46047.0</v>
      </c>
      <c r="C831" s="126" t="s">
        <v>5388</v>
      </c>
      <c r="D831" s="118" t="str">
        <f>IFERROR(__xludf.DUMMYFUNCTION("IFERROR(
  INDEX(
    FILTER(
      'NOMBRE DE PRODUCTOS'!B:B,
      REGEXMATCH(
        UPPER(
          INDEX(
            REPORTE_DROPI!AC:AC,
            MATCH(T831, REPORTE_DROPI!B:B, 0)
          )
        ),
        UPPER('NOMBRE DE PRODUCTOS'!A:A)"&amp;"
      )
    ),
    1
  ),
  ""REVISAR""
)
"),"FilmPro®")</f>
        <v>FilmPro®</v>
      </c>
      <c r="E831" s="120" t="str">
        <f t="array" ref="E831">IF(
UPPER(TRIM(CLEAN($O831)))="ENTREGADO",
IFERROR(
INDEX(REPORTE_DROPI!Y:Y,
MATCH($T831, REPORTE_DROPI!B:B, 0)
),
""
),
""
)
</f>
        <v/>
      </c>
      <c r="F831" s="121">
        <v>1.0</v>
      </c>
      <c r="G831" s="122" t="str">
        <f t="array" ref="G831">IF(
UPPER(TRIM(CLEAN($O831)))="ENTREGADO",
IFERROR(
INDEX(REPORTE_DROPI!R:R,
MATCH($T831, REPORTE_DROPI!B:B, 0)
),
""
),
""
)
</f>
        <v/>
      </c>
      <c r="H831" s="118" t="s">
        <v>3727</v>
      </c>
      <c r="I831" s="118" t="s">
        <v>3784</v>
      </c>
      <c r="J831" s="121" t="str">
        <f t="array" ref="J831">IF(
UPPER(TRIM(CLEAN($O831)))="ENTREGADO",
IFERROR(
INDEX(REPORTE_DROPI!T:T,
MATCH($T831, REPORTE_DROPI!B:B, 0)
),
""
),
""
)
</f>
        <v/>
      </c>
      <c r="K831" s="118" t="str">
        <f t="array" ref="K831">IFERROR(
INDEX(REPORTE_DROPI!S:S,
MATCH($T831, REPORTE_DROPI!B:B, 0)
),
""
)
</f>
        <v/>
      </c>
      <c r="L831" s="118" t="str">
        <f>IF(
  O831&lt;&gt;"DEVOLUCION",
  "",
  IF(
    T831="",
    "",
    SUMIF(DEVOLUCION!F:F, T831, DEVOLUCION!D:D)
  )
)
</f>
        <v/>
      </c>
      <c r="M831" s="118" t="s">
        <v>3870</v>
      </c>
      <c r="N831" s="130" t="s">
        <v>5389</v>
      </c>
      <c r="O831" s="118" t="str">
        <f t="array" ref="O831">IFERROR(
VLOOKUP(
TRIM(CLEAN(
INDEX(REPORTE_DROPI!K:K,
MATCH(T831, REPORTE_DROPI!B:B, 0)
))),
{
TRIM(CLEAN(MAPA_ESTADOS!A:A)) ,
MAPA_ESTADOS!B:B
},
2,
FALSE
),
"REVISAR"
)
</f>
        <v>PENDIENTE</v>
      </c>
      <c r="P831" s="118" t="s">
        <v>4892</v>
      </c>
      <c r="Q831" s="122">
        <f t="shared" si="2"/>
        <v>0</v>
      </c>
      <c r="R831" s="118"/>
      <c r="S831" s="118"/>
      <c r="T831" s="118">
        <f t="array" ref="T831">IFERROR(
INDEX(REPORTE_DROPI!B:B,
MATCH(
CLEAN(TRIM(C831)),
CLEAN(TRIM(REPORTE_DROPI!E:E)),
0
)
),
""
)
</f>
        <v>4268355</v>
      </c>
      <c r="U831" s="118">
        <v>6.445486014508E12</v>
      </c>
      <c r="V831" s="78"/>
      <c r="W831" s="78"/>
      <c r="X831" s="78"/>
      <c r="Y831" s="78"/>
      <c r="Z831" s="78"/>
    </row>
    <row r="832" ht="22.5" customHeight="1">
      <c r="A832" s="118">
        <v>831.0</v>
      </c>
      <c r="B832" s="119">
        <v>46047.0</v>
      </c>
      <c r="C832" s="126" t="s">
        <v>5390</v>
      </c>
      <c r="D832" s="118" t="str">
        <f>IFERROR(__xludf.DUMMYFUNCTION("IFERROR(
  INDEX(
    FILTER(
      'NOMBRE DE PRODUCTOS'!B:B,
      REGEXMATCH(
        UPPER(
          INDEX(
            REPORTE_DROPI!AC:AC,
            MATCH(T832, REPORTE_DROPI!B:B, 0)
          )
        ),
        UPPER('NOMBRE DE PRODUCTOS'!A:A)"&amp;"
      )
    ),
    1
  ),
  ""REVISAR""
)
"),"FilmPro®")</f>
        <v>FilmPro®</v>
      </c>
      <c r="E832" s="120" t="str">
        <f t="array" ref="E832">IF(
UPPER(TRIM(CLEAN($O832)))="ENTREGADO",
IFERROR(
INDEX(REPORTE_DROPI!Y:Y,
MATCH($T832, REPORTE_DROPI!B:B, 0)
),
""
),
""
)
</f>
        <v/>
      </c>
      <c r="F832" s="121">
        <v>3.0</v>
      </c>
      <c r="G832" s="122" t="str">
        <f t="array" ref="G832">IF(
UPPER(TRIM(CLEAN($O832)))="ENTREGADO",
IFERROR(
INDEX(REPORTE_DROPI!R:R,
MATCH($T832, REPORTE_DROPI!B:B, 0)
),
""
),
""
)
</f>
        <v/>
      </c>
      <c r="H832" s="118" t="s">
        <v>3727</v>
      </c>
      <c r="I832" s="118" t="s">
        <v>3740</v>
      </c>
      <c r="J832" s="121" t="str">
        <f t="array" ref="J832">IF(
UPPER(TRIM(CLEAN($O832)))="ENTREGADO",
IFERROR(
INDEX(REPORTE_DROPI!T:T,
MATCH($T832, REPORTE_DROPI!B:B, 0)
),
""
),
""
)
</f>
        <v/>
      </c>
      <c r="K832" s="118" t="str">
        <f t="array" ref="K832">IFERROR(
INDEX(REPORTE_DROPI!S:S,
MATCH($T832, REPORTE_DROPI!B:B, 0)
),
""
)
</f>
        <v/>
      </c>
      <c r="L832" s="118">
        <f>IF(
  O832&lt;&gt;"DEVOLUCION",
  "",
  IF(
    T832="",
    "",
    SUMIF(DEVOLUCION!F:F, T832, DEVOLUCION!D:D)
  )
)
</f>
        <v>5.12</v>
      </c>
      <c r="M832" s="118" t="s">
        <v>3870</v>
      </c>
      <c r="N832" s="130" t="s">
        <v>5391</v>
      </c>
      <c r="O832" s="118" t="str">
        <f t="array" ref="O832">IFERROR(
VLOOKUP(
TRIM(CLEAN(
INDEX(REPORTE_DROPI!K:K,
MATCH(T832, REPORTE_DROPI!B:B, 0)
))),
{
TRIM(CLEAN(MAPA_ESTADOS!A:A)) ,
MAPA_ESTADOS!B:B
},
2,
FALSE
),
"REVISAR"
)
</f>
        <v>DEVOLUCION</v>
      </c>
      <c r="P832" s="118" t="s">
        <v>3655</v>
      </c>
      <c r="Q832" s="122">
        <f t="shared" si="2"/>
        <v>0</v>
      </c>
      <c r="R832" s="118"/>
      <c r="S832" s="118"/>
      <c r="T832" s="118">
        <f t="array" ref="T832">IFERROR(
INDEX(REPORTE_DROPI!B:B,
MATCH(
CLEAN(TRIM(C832)),
CLEAN(TRIM(REPORTE_DROPI!E:E)),
0
)
),
""
)
</f>
        <v>4268391</v>
      </c>
      <c r="U832" s="118">
        <v>6.445505675308E12</v>
      </c>
      <c r="V832" s="78"/>
      <c r="W832" s="78"/>
      <c r="X832" s="78"/>
      <c r="Y832" s="78"/>
      <c r="Z832" s="78"/>
    </row>
    <row r="833" ht="22.5" customHeight="1">
      <c r="A833" s="118">
        <v>832.0</v>
      </c>
      <c r="B833" s="119">
        <v>46047.0</v>
      </c>
      <c r="C833" s="118" t="s">
        <v>5392</v>
      </c>
      <c r="D833" s="118" t="str">
        <f>IFERROR(__xludf.DUMMYFUNCTION("IFERROR(
  INDEX(
    FILTER(
      'NOMBRE DE PRODUCTOS'!B:B,
      REGEXMATCH(
        UPPER(
          INDEX(
            REPORTE_DROPI!AC:AC,
            MATCH(T833, REPORTE_DROPI!B:B, 0)
          )
        ),
        UPPER('NOMBRE DE PRODUCTOS'!A:A)"&amp;"
      )
    ),
    1
  ),
  ""REVISAR""
)
"),"FilmPro®")</f>
        <v>FilmPro®</v>
      </c>
      <c r="E833" s="120">
        <f t="array" ref="E833">IF(
UPPER(TRIM(CLEAN($O833)))="ENTREGADO",
IFERROR(
INDEX(REPORTE_DROPI!Y:Y,
MATCH($T833, REPORTE_DROPI!B:B, 0)
),
""
),
""
)
</f>
        <v>4.7</v>
      </c>
      <c r="F833" s="121">
        <v>2.0</v>
      </c>
      <c r="G833" s="122">
        <f t="array" ref="G833">IF(
UPPER(TRIM(CLEAN($O833)))="ENTREGADO",
IFERROR(
INDEX(REPORTE_DROPI!R:R,
MATCH($T833, REPORTE_DROPI!B:B, 0)
),
""
),
""
)
</f>
        <v>25</v>
      </c>
      <c r="H833" s="118" t="s">
        <v>3727</v>
      </c>
      <c r="I833" s="118" t="s">
        <v>3731</v>
      </c>
      <c r="J833" s="121">
        <f t="array" ref="J833">IF(
UPPER(TRIM(CLEAN($O833)))="ENTREGADO",
IFERROR(
INDEX(REPORTE_DROPI!T:T,
MATCH($T833, REPORTE_DROPI!B:B, 0)
),
""
),
""
)
</f>
        <v>5.38</v>
      </c>
      <c r="K833" s="118">
        <f t="array" ref="K833">IFERROR(
INDEX(REPORTE_DROPI!S:S,
MATCH($T833, REPORTE_DROPI!B:B, 0)
),
""
)
</f>
        <v>14.92</v>
      </c>
      <c r="L833" s="118" t="str">
        <f>IF(
  O833&lt;&gt;"DEVOLUCION",
  "",
  IF(
    T833="",
    "",
    SUMIF(DEVOLUCION!F:F, T833, DEVOLUCION!D:D)
  )
)
</f>
        <v/>
      </c>
      <c r="M833" s="118" t="s">
        <v>3870</v>
      </c>
      <c r="N833" s="130" t="s">
        <v>5393</v>
      </c>
      <c r="O833" s="118" t="str">
        <f t="array" ref="O833">IFERROR(
VLOOKUP(
TRIM(CLEAN(
INDEX(REPORTE_DROPI!K:K,
MATCH(T833, REPORTE_DROPI!B:B, 0)
))),
{
TRIM(CLEAN(MAPA_ESTADOS!A:A)) ,
MAPA_ESTADOS!B:B
},
2,
FALSE
),
"REVISAR"
)
</f>
        <v>ENTREGADO</v>
      </c>
      <c r="P833" s="118" t="s">
        <v>3655</v>
      </c>
      <c r="Q833" s="122">
        <f t="shared" si="2"/>
        <v>0</v>
      </c>
      <c r="R833" s="118"/>
      <c r="S833" s="118"/>
      <c r="T833" s="118">
        <f t="array" ref="T833">IFERROR(
INDEX(REPORTE_DROPI!B:B,
MATCH(
CLEAN(TRIM(C833)),
CLEAN(TRIM(REPORTE_DROPI!E:E)),
0
)
),
""
)
</f>
        <v>4268468</v>
      </c>
      <c r="U833" s="118">
        <v>6.445552926764E12</v>
      </c>
      <c r="V833" s="78"/>
      <c r="W833" s="78"/>
      <c r="X833" s="78"/>
      <c r="Y833" s="78"/>
      <c r="Z833" s="78"/>
    </row>
    <row r="834" ht="22.5" customHeight="1">
      <c r="A834" s="118">
        <v>833.0</v>
      </c>
      <c r="B834" s="119">
        <v>46047.0</v>
      </c>
      <c r="C834" s="118" t="s">
        <v>5394</v>
      </c>
      <c r="D834" s="118" t="str">
        <f>IFERROR(__xludf.DUMMYFUNCTION("IFERROR(
  INDEX(
    FILTER(
      'NOMBRE DE PRODUCTOS'!B:B,
      REGEXMATCH(
        UPPER(
          INDEX(
            REPORTE_DROPI!AC:AC,
            MATCH(T834, REPORTE_DROPI!B:B, 0)
          )
        ),
        UPPER('NOMBRE DE PRODUCTOS'!A:A)"&amp;"
      )
    ),
    1
  ),
  ""REVISAR""
)
"),"FilmPro®")</f>
        <v>FilmPro®</v>
      </c>
      <c r="E834" s="120" t="str">
        <f t="array" ref="E834">IF(
UPPER(TRIM(CLEAN($O834)))="ENTREGADO",
IFERROR(
INDEX(REPORTE_DROPI!Y:Y,
MATCH($T834, REPORTE_DROPI!B:B, 0)
),
""
),
""
)
</f>
        <v/>
      </c>
      <c r="F834" s="121">
        <v>3.0</v>
      </c>
      <c r="G834" s="122" t="str">
        <f t="array" ref="G834">IF(
UPPER(TRIM(CLEAN($O834)))="ENTREGADO",
IFERROR(
INDEX(REPORTE_DROPI!R:R,
MATCH($T834, REPORTE_DROPI!B:B, 0)
),
""
),
""
)
</f>
        <v/>
      </c>
      <c r="H834" s="118" t="s">
        <v>3727</v>
      </c>
      <c r="I834" s="118" t="s">
        <v>3731</v>
      </c>
      <c r="J834" s="121" t="str">
        <f t="array" ref="J834">IF(
UPPER(TRIM(CLEAN($O834)))="ENTREGADO",
IFERROR(
INDEX(REPORTE_DROPI!T:T,
MATCH($T834, REPORTE_DROPI!B:B, 0)
),
""
),
""
)
</f>
        <v/>
      </c>
      <c r="K834" s="118" t="str">
        <f t="array" ref="K834">IFERROR(
INDEX(REPORTE_DROPI!S:S,
MATCH($T834, REPORTE_DROPI!B:B, 0)
),
""
)
</f>
        <v/>
      </c>
      <c r="L834" s="118">
        <f>IF(
  O834&lt;&gt;"DEVOLUCION",
  "",
  IF(
    T834="",
    "",
    SUMIF(DEVOLUCION!F:F, T834, DEVOLUCION!D:D)
  )
)
</f>
        <v>3.51</v>
      </c>
      <c r="M834" s="118" t="s">
        <v>3870</v>
      </c>
      <c r="N834" s="130" t="s">
        <v>5395</v>
      </c>
      <c r="O834" s="118" t="str">
        <f t="array" ref="O834">IFERROR(
VLOOKUP(
TRIM(CLEAN(
INDEX(REPORTE_DROPI!K:K,
MATCH(T834, REPORTE_DROPI!B:B, 0)
))),
{
TRIM(CLEAN(MAPA_ESTADOS!A:A)) ,
MAPA_ESTADOS!B:B
},
2,
FALSE
),
"REVISAR"
)
</f>
        <v>DEVOLUCION</v>
      </c>
      <c r="P834" s="118" t="s">
        <v>3655</v>
      </c>
      <c r="Q834" s="122">
        <f t="shared" si="2"/>
        <v>0</v>
      </c>
      <c r="R834" s="118"/>
      <c r="S834" s="118"/>
      <c r="T834" s="118">
        <f t="array" ref="T834">IFERROR(
INDEX(REPORTE_DROPI!B:B,
MATCH(
CLEAN(TRIM(C834)),
CLEAN(TRIM(REPORTE_DROPI!E:E)),
0
)
),
""
)
</f>
        <v>4294153</v>
      </c>
      <c r="U834" s="118">
        <v>6.4455611843E12</v>
      </c>
      <c r="V834" s="78"/>
      <c r="W834" s="78"/>
      <c r="X834" s="78"/>
      <c r="Y834" s="78"/>
      <c r="Z834" s="78"/>
    </row>
    <row r="835" ht="22.5" customHeight="1">
      <c r="A835" s="118">
        <v>834.0</v>
      </c>
      <c r="B835" s="119">
        <v>46047.0</v>
      </c>
      <c r="C835" s="126" t="s">
        <v>5396</v>
      </c>
      <c r="D835" s="118" t="str">
        <f>IFERROR(__xludf.DUMMYFUNCTION("IFERROR(
  INDEX(
    FILTER(
      'NOMBRE DE PRODUCTOS'!B:B,
      REGEXMATCH(
        UPPER(
          INDEX(
            REPORTE_DROPI!AC:AC,
            MATCH(T835, REPORTE_DROPI!B:B, 0)
          )
        ),
        UPPER('NOMBRE DE PRODUCTOS'!A:A)"&amp;"
      )
    ),
    1
  ),
  ""REVISAR""
)
"),"FilmPro®")</f>
        <v>FilmPro®</v>
      </c>
      <c r="E835" s="120" t="str">
        <f t="array" ref="E835">IF(
UPPER(TRIM(CLEAN($O835)))="ENTREGADO",
IFERROR(
INDEX(REPORTE_DROPI!Y:Y,
MATCH($T835, REPORTE_DROPI!B:B, 0)
),
""
),
""
)
</f>
        <v/>
      </c>
      <c r="F835" s="121">
        <v>2.0</v>
      </c>
      <c r="G835" s="122" t="str">
        <f t="array" ref="G835">IF(
UPPER(TRIM(CLEAN($O835)))="ENTREGADO",
IFERROR(
INDEX(REPORTE_DROPI!R:R,
MATCH($T835, REPORTE_DROPI!B:B, 0)
),
""
),
""
)
</f>
        <v/>
      </c>
      <c r="H835" s="118" t="s">
        <v>3727</v>
      </c>
      <c r="I835" s="118" t="s">
        <v>3759</v>
      </c>
      <c r="J835" s="121" t="str">
        <f t="array" ref="J835">IF(
UPPER(TRIM(CLEAN($O835)))="ENTREGADO",
IFERROR(
INDEX(REPORTE_DROPI!T:T,
MATCH($T835, REPORTE_DROPI!B:B, 0)
),
""
),
""
)
</f>
        <v/>
      </c>
      <c r="K835" s="118" t="str">
        <f t="array" ref="K835">IFERROR(
INDEX(REPORTE_DROPI!S:S,
MATCH($T835, REPORTE_DROPI!B:B, 0)
),
""
)
</f>
        <v/>
      </c>
      <c r="L835" s="118" t="str">
        <f>IF(
  O835&lt;&gt;"DEVOLUCION",
  "",
  IF(
    T835="",
    "",
    SUMIF(DEVOLUCION!F:F, T835, DEVOLUCION!D:D)
  )
)
</f>
        <v/>
      </c>
      <c r="M835" s="118" t="s">
        <v>3870</v>
      </c>
      <c r="N835" s="130" t="s">
        <v>5397</v>
      </c>
      <c r="O835" s="118" t="str">
        <f t="array" ref="O835">IFERROR(
VLOOKUP(
TRIM(CLEAN(
INDEX(REPORTE_DROPI!K:K,
MATCH(T835, REPORTE_DROPI!B:B, 0)
))),
{
TRIM(CLEAN(MAPA_ESTADOS!A:A)) ,
MAPA_ESTADOS!B:B
},
2,
FALSE
),
"REVISAR"
)
</f>
        <v>PENDIENTE</v>
      </c>
      <c r="P835" s="118" t="s">
        <v>4892</v>
      </c>
      <c r="Q835" s="122">
        <f t="shared" si="2"/>
        <v>0</v>
      </c>
      <c r="R835" s="118"/>
      <c r="S835" s="118"/>
      <c r="T835" s="118">
        <f t="array" ref="T835">IFERROR(
INDEX(REPORTE_DROPI!B:B,
MATCH(
CLEAN(TRIM(C835)),
CLEAN(TRIM(REPORTE_DROPI!E:E)),
0
)
),
""
)
</f>
        <v>4268491</v>
      </c>
      <c r="U835" s="118">
        <v>6.44556659102E12</v>
      </c>
      <c r="V835" s="78"/>
      <c r="W835" s="78"/>
      <c r="X835" s="78"/>
      <c r="Y835" s="78"/>
      <c r="Z835" s="78"/>
    </row>
    <row r="836" ht="22.5" customHeight="1">
      <c r="A836" s="118">
        <v>835.0</v>
      </c>
      <c r="B836" s="119">
        <v>46047.0</v>
      </c>
      <c r="C836" s="118" t="s">
        <v>5398</v>
      </c>
      <c r="D836" s="118" t="str">
        <f>IFERROR(__xludf.DUMMYFUNCTION("IFERROR(
  INDEX(
    FILTER(
      'NOMBRE DE PRODUCTOS'!B:B,
      REGEXMATCH(
        UPPER(
          INDEX(
            REPORTE_DROPI!AC:AC,
            MATCH(T836, REPORTE_DROPI!B:B, 0)
          )
        ),
        UPPER('NOMBRE DE PRODUCTOS'!A:A)"&amp;"
      )
    ),
    1
  ),
  ""REVISAR""
)
"),"FilmPro®")</f>
        <v>FilmPro®</v>
      </c>
      <c r="E836" s="120">
        <f t="array" ref="E836">IF(
UPPER(TRIM(CLEAN($O836)))="ENTREGADO",
IFERROR(
INDEX(REPORTE_DROPI!Y:Y,
MATCH($T836, REPORTE_DROPI!B:B, 0)
),
""
),
""
)
</f>
        <v>4.7</v>
      </c>
      <c r="F836" s="121">
        <v>2.0</v>
      </c>
      <c r="G836" s="122">
        <f t="array" ref="G836">IF(
UPPER(TRIM(CLEAN($O836)))="ENTREGADO",
IFERROR(
INDEX(REPORTE_DROPI!R:R,
MATCH($T836, REPORTE_DROPI!B:B, 0)
),
""
),
""
)
</f>
        <v>25</v>
      </c>
      <c r="H836" s="118" t="s">
        <v>3727</v>
      </c>
      <c r="I836" s="118" t="s">
        <v>3740</v>
      </c>
      <c r="J836" s="121">
        <f t="array" ref="J836">IF(
UPPER(TRIM(CLEAN($O836)))="ENTREGADO",
IFERROR(
INDEX(REPORTE_DROPI!T:T,
MATCH($T836, REPORTE_DROPI!B:B, 0)
),
""
),
""
)
</f>
        <v>5.96</v>
      </c>
      <c r="K836" s="118">
        <f t="array" ref="K836">IFERROR(
INDEX(REPORTE_DROPI!S:S,
MATCH($T836, REPORTE_DROPI!B:B, 0)
),
""
)
</f>
        <v>14.34</v>
      </c>
      <c r="L836" s="118" t="str">
        <f>IF(
  O836&lt;&gt;"DEVOLUCION",
  "",
  IF(
    T836="",
    "",
    SUMIF(DEVOLUCION!F:F, T836, DEVOLUCION!D:D)
  )
)
</f>
        <v/>
      </c>
      <c r="M836" s="118" t="s">
        <v>3870</v>
      </c>
      <c r="N836" s="130" t="s">
        <v>5399</v>
      </c>
      <c r="O836" s="118" t="str">
        <f t="array" ref="O836">IFERROR(
VLOOKUP(
TRIM(CLEAN(
INDEX(REPORTE_DROPI!K:K,
MATCH(T836, REPORTE_DROPI!B:B, 0)
))),
{
TRIM(CLEAN(MAPA_ESTADOS!A:A)) ,
MAPA_ESTADOS!B:B
},
2,
FALSE
),
"REVISAR"
)
</f>
        <v>ENTREGADO</v>
      </c>
      <c r="P836" s="118" t="s">
        <v>3655</v>
      </c>
      <c r="Q836" s="122">
        <f t="shared" si="2"/>
        <v>0</v>
      </c>
      <c r="R836" s="118"/>
      <c r="S836" s="118"/>
      <c r="T836" s="118">
        <f t="array" ref="T836">IFERROR(
INDEX(REPORTE_DROPI!B:B,
MATCH(
CLEAN(TRIM(C836)),
CLEAN(TRIM(REPORTE_DROPI!E:E)),
0
)
),
""
)
</f>
        <v>4294182</v>
      </c>
      <c r="U836" s="118">
        <v>6.445942702124E12</v>
      </c>
      <c r="V836" s="78"/>
      <c r="W836" s="78"/>
      <c r="X836" s="78"/>
      <c r="Y836" s="78"/>
      <c r="Z836" s="78"/>
    </row>
    <row r="837" ht="22.5" customHeight="1">
      <c r="A837" s="118">
        <v>836.0</v>
      </c>
      <c r="B837" s="119">
        <v>46047.0</v>
      </c>
      <c r="C837" s="126" t="s">
        <v>5400</v>
      </c>
      <c r="D837" s="118" t="str">
        <f>IFERROR(__xludf.DUMMYFUNCTION("IFERROR(
  INDEX(
    FILTER(
      'NOMBRE DE PRODUCTOS'!B:B,
      REGEXMATCH(
        UPPER(
          INDEX(
            REPORTE_DROPI!AC:AC,
            MATCH(T837, REPORTE_DROPI!B:B, 0)
          )
        ),
        UPPER('NOMBRE DE PRODUCTOS'!A:A)"&amp;"
      )
    ),
    1
  ),
  ""REVISAR""
)
"),"FilmPro®")</f>
        <v>FilmPro®</v>
      </c>
      <c r="E837" s="120" t="str">
        <f t="array" ref="E837">IF(
UPPER(TRIM(CLEAN($O837)))="ENTREGADO",
IFERROR(
INDEX(REPORTE_DROPI!Y:Y,
MATCH($T837, REPORTE_DROPI!B:B, 0)
),
""
),
""
)
</f>
        <v/>
      </c>
      <c r="F837" s="121">
        <v>3.0</v>
      </c>
      <c r="G837" s="122" t="str">
        <f t="array" ref="G837">IF(
UPPER(TRIM(CLEAN($O837)))="ENTREGADO",
IFERROR(
INDEX(REPORTE_DROPI!R:R,
MATCH($T837, REPORTE_DROPI!B:B, 0)
),
""
),
""
)
</f>
        <v/>
      </c>
      <c r="H837" s="118" t="s">
        <v>3727</v>
      </c>
      <c r="I837" s="118" t="s">
        <v>3731</v>
      </c>
      <c r="J837" s="121" t="str">
        <f t="array" ref="J837">IF(
UPPER(TRIM(CLEAN($O837)))="ENTREGADO",
IFERROR(
INDEX(REPORTE_DROPI!T:T,
MATCH($T837, REPORTE_DROPI!B:B, 0)
),
""
),
""
)
</f>
        <v/>
      </c>
      <c r="K837" s="118" t="str">
        <f t="array" ref="K837">IFERROR(
INDEX(REPORTE_DROPI!S:S,
MATCH($T837, REPORTE_DROPI!B:B, 0)
),
""
)
</f>
        <v/>
      </c>
      <c r="L837" s="118" t="str">
        <f>IF(
  O837&lt;&gt;"DEVOLUCION",
  "",
  IF(
    T837="",
    "",
    SUMIF(DEVOLUCION!F:F, T837, DEVOLUCION!D:D)
  )
)
</f>
        <v/>
      </c>
      <c r="M837" s="118" t="s">
        <v>3870</v>
      </c>
      <c r="N837" s="130" t="s">
        <v>5401</v>
      </c>
      <c r="O837" s="118" t="str">
        <f t="array" ref="O837">IFERROR(
VLOOKUP(
TRIM(CLEAN(
INDEX(REPORTE_DROPI!K:K,
MATCH(T837, REPORTE_DROPI!B:B, 0)
))),
{
TRIM(CLEAN(MAPA_ESTADOS!A:A)) ,
MAPA_ESTADOS!B:B
},
2,
FALSE
),
"REVISAR"
)
</f>
        <v>PENDIENTE</v>
      </c>
      <c r="P837" s="118" t="s">
        <v>5288</v>
      </c>
      <c r="Q837" s="122">
        <f t="shared" si="2"/>
        <v>0</v>
      </c>
      <c r="R837" s="118"/>
      <c r="S837" s="118"/>
      <c r="T837" s="118">
        <f t="array" ref="T837">IFERROR(
INDEX(REPORTE_DROPI!B:B,
MATCH(
CLEAN(TRIM(C837)),
CLEAN(TRIM(REPORTE_DROPI!E:E)),
0
)
),
""
)
</f>
        <v>4294228</v>
      </c>
      <c r="U837" s="118">
        <v>6.445954007084E12</v>
      </c>
      <c r="V837" s="78"/>
      <c r="W837" s="78"/>
      <c r="X837" s="78"/>
      <c r="Y837" s="78"/>
      <c r="Z837" s="78"/>
    </row>
    <row r="838" ht="22.5" customHeight="1">
      <c r="A838" s="118">
        <v>837.0</v>
      </c>
      <c r="B838" s="119">
        <v>46047.0</v>
      </c>
      <c r="C838" s="118" t="s">
        <v>5402</v>
      </c>
      <c r="D838" s="118" t="str">
        <f>IFERROR(__xludf.DUMMYFUNCTION("IFERROR(
  INDEX(
    FILTER(
      'NOMBRE DE PRODUCTOS'!B:B,
      REGEXMATCH(
        UPPER(
          INDEX(
            REPORTE_DROPI!AC:AC,
            MATCH(T838, REPORTE_DROPI!B:B, 0)
          )
        ),
        UPPER('NOMBRE DE PRODUCTOS'!A:A)"&amp;"
      )
    ),
    1
  ),
  ""REVISAR""
)
"),"FilmPro®")</f>
        <v>FilmPro®</v>
      </c>
      <c r="E838" s="120" t="str">
        <f t="array" ref="E838">IF(
UPPER(TRIM(CLEAN($O838)))="ENTREGADO",
IFERROR(
INDEX(REPORTE_DROPI!Y:Y,
MATCH($T838, REPORTE_DROPI!B:B, 0)
),
""
),
""
)
</f>
        <v/>
      </c>
      <c r="F838" s="121">
        <v>2.0</v>
      </c>
      <c r="G838" s="122" t="str">
        <f t="array" ref="G838">IF(
UPPER(TRIM(CLEAN($O838)))="ENTREGADO",
IFERROR(
INDEX(REPORTE_DROPI!R:R,
MATCH($T838, REPORTE_DROPI!B:B, 0)
),
""
),
""
)
</f>
        <v/>
      </c>
      <c r="H838" s="118" t="s">
        <v>3727</v>
      </c>
      <c r="I838" s="118" t="s">
        <v>3772</v>
      </c>
      <c r="J838" s="121" t="str">
        <f t="array" ref="J838">IF(
UPPER(TRIM(CLEAN($O838)))="ENTREGADO",
IFERROR(
INDEX(REPORTE_DROPI!T:T,
MATCH($T838, REPORTE_DROPI!B:B, 0)
),
""
),
""
)
</f>
        <v/>
      </c>
      <c r="K838" s="118" t="str">
        <f t="array" ref="K838">IFERROR(
INDEX(REPORTE_DROPI!S:S,
MATCH($T838, REPORTE_DROPI!B:B, 0)
),
""
)
</f>
        <v/>
      </c>
      <c r="L838" s="118" t="str">
        <f>IF(
  O838&lt;&gt;"DEVOLUCION",
  "",
  IF(
    T838="",
    "",
    SUMIF(DEVOLUCION!F:F, T838, DEVOLUCION!D:D)
  )
)
</f>
        <v/>
      </c>
      <c r="M838" s="118" t="s">
        <v>3870</v>
      </c>
      <c r="N838" s="130" t="s">
        <v>5403</v>
      </c>
      <c r="O838" s="118" t="str">
        <f t="array" ref="O838">IFERROR(
VLOOKUP(
TRIM(CLEAN(
INDEX(REPORTE_DROPI!K:K,
MATCH(T838, REPORTE_DROPI!B:B, 0)
))),
{
TRIM(CLEAN(MAPA_ESTADOS!A:A)) ,
MAPA_ESTADOS!B:B
},
2,
FALSE
),
"REVISAR"
)
</f>
        <v>CANCELADO</v>
      </c>
      <c r="P838" s="118" t="s">
        <v>5404</v>
      </c>
      <c r="Q838" s="122">
        <f t="shared" si="2"/>
        <v>0</v>
      </c>
      <c r="R838" s="118"/>
      <c r="S838" s="118"/>
      <c r="T838" s="118">
        <f t="array" ref="T838">IFERROR(
INDEX(REPORTE_DROPI!B:B,
MATCH(
CLEAN(TRIM(C838)),
CLEAN(TRIM(REPORTE_DROPI!E:E)),
0
)
),
""
)
</f>
        <v>4269409</v>
      </c>
      <c r="U838" s="118">
        <v>6.445972389932E12</v>
      </c>
      <c r="V838" s="78"/>
      <c r="W838" s="78"/>
      <c r="X838" s="78"/>
      <c r="Y838" s="78"/>
      <c r="Z838" s="78"/>
    </row>
    <row r="839" ht="22.5" customHeight="1">
      <c r="A839" s="118">
        <v>838.0</v>
      </c>
      <c r="B839" s="119">
        <v>46047.0</v>
      </c>
      <c r="C839" s="126" t="s">
        <v>5405</v>
      </c>
      <c r="D839" s="118" t="str">
        <f>IFERROR(__xludf.DUMMYFUNCTION("IFERROR(
  INDEX(
    FILTER(
      'NOMBRE DE PRODUCTOS'!B:B,
      REGEXMATCH(
        UPPER(
          INDEX(
            REPORTE_DROPI!AC:AC,
            MATCH(T839, REPORTE_DROPI!B:B, 0)
          )
        ),
        UPPER('NOMBRE DE PRODUCTOS'!A:A)"&amp;"
      )
    ),
    1
  ),
  ""REVISAR""
)
"),"FilmPro®")</f>
        <v>FilmPro®</v>
      </c>
      <c r="E839" s="120" t="str">
        <f t="array" ref="E839">IF(
UPPER(TRIM(CLEAN($O839)))="ENTREGADO",
IFERROR(
INDEX(REPORTE_DROPI!Y:Y,
MATCH($T839, REPORTE_DROPI!B:B, 0)
),
""
),
""
)
</f>
        <v/>
      </c>
      <c r="F839" s="121">
        <v>2.0</v>
      </c>
      <c r="G839" s="122" t="str">
        <f t="array" ref="G839">IF(
UPPER(TRIM(CLEAN($O839)))="ENTREGADO",
IFERROR(
INDEX(REPORTE_DROPI!R:R,
MATCH($T839, REPORTE_DROPI!B:B, 0)
),
""
),
""
)
</f>
        <v/>
      </c>
      <c r="H839" s="118" t="s">
        <v>3727</v>
      </c>
      <c r="I839" s="118" t="s">
        <v>3912</v>
      </c>
      <c r="J839" s="121" t="str">
        <f t="array" ref="J839">IF(
UPPER(TRIM(CLEAN($O839)))="ENTREGADO",
IFERROR(
INDEX(REPORTE_DROPI!T:T,
MATCH($T839, REPORTE_DROPI!B:B, 0)
),
""
),
""
)
</f>
        <v/>
      </c>
      <c r="K839" s="118" t="str">
        <f t="array" ref="K839">IFERROR(
INDEX(REPORTE_DROPI!S:S,
MATCH($T839, REPORTE_DROPI!B:B, 0)
),
""
)
</f>
        <v/>
      </c>
      <c r="L839" s="118" t="str">
        <f>IF(
  O839&lt;&gt;"DEVOLUCION",
  "",
  IF(
    T839="",
    "",
    SUMIF(DEVOLUCION!F:F, T839, DEVOLUCION!D:D)
  )
)
</f>
        <v/>
      </c>
      <c r="M839" s="118" t="s">
        <v>3870</v>
      </c>
      <c r="N839" s="130" t="s">
        <v>5406</v>
      </c>
      <c r="O839" s="118" t="str">
        <f t="array" ref="O839">IFERROR(
VLOOKUP(
TRIM(CLEAN(
INDEX(REPORTE_DROPI!K:K,
MATCH(T839, REPORTE_DROPI!B:B, 0)
))),
{
TRIM(CLEAN(MAPA_ESTADOS!A:A)) ,
MAPA_ESTADOS!B:B
},
2,
FALSE
),
"REVISAR"
)
</f>
        <v>PENDIENTE</v>
      </c>
      <c r="P839" s="118" t="s">
        <v>4892</v>
      </c>
      <c r="Q839" s="122">
        <f t="shared" si="2"/>
        <v>0</v>
      </c>
      <c r="R839" s="118"/>
      <c r="S839" s="118"/>
      <c r="T839" s="118">
        <f t="array" ref="T839">IFERROR(
INDEX(REPORTE_DROPI!B:B,
MATCH(
CLEAN(TRIM(C839)),
CLEAN(TRIM(REPORTE_DROPI!E:E)),
0
)
),
""
)
</f>
        <v>4269531</v>
      </c>
      <c r="U839" s="118">
        <v>6.4459888067E12</v>
      </c>
      <c r="V839" s="78"/>
      <c r="W839" s="78"/>
      <c r="X839" s="78"/>
      <c r="Y839" s="78"/>
      <c r="Z839" s="78"/>
    </row>
    <row r="840" ht="22.5" customHeight="1">
      <c r="A840" s="118">
        <v>839.0</v>
      </c>
      <c r="B840" s="119">
        <v>46047.0</v>
      </c>
      <c r="C840" s="118" t="s">
        <v>5407</v>
      </c>
      <c r="D840" s="118" t="str">
        <f>IFERROR(__xludf.DUMMYFUNCTION("IFERROR(
  INDEX(
    FILTER(
      'NOMBRE DE PRODUCTOS'!B:B,
      REGEXMATCH(
        UPPER(
          INDEX(
            REPORTE_DROPI!AC:AC,
            MATCH(T840, REPORTE_DROPI!B:B, 0)
          )
        ),
        UPPER('NOMBRE DE PRODUCTOS'!A:A)"&amp;"
      )
    ),
    1
  ),
  ""REVISAR""
)
"),"FilmPro®")</f>
        <v>FilmPro®</v>
      </c>
      <c r="E840" s="120" t="str">
        <f t="array" ref="E840">IF(
UPPER(TRIM(CLEAN($O840)))="ENTREGADO",
IFERROR(
INDEX(REPORTE_DROPI!Y:Y,
MATCH($T840, REPORTE_DROPI!B:B, 0)
),
""
),
""
)
</f>
        <v/>
      </c>
      <c r="F840" s="121">
        <v>1.0</v>
      </c>
      <c r="G840" s="122" t="str">
        <f t="array" ref="G840">IF(
UPPER(TRIM(CLEAN($O840)))="ENTREGADO",
IFERROR(
INDEX(REPORTE_DROPI!R:R,
MATCH($T840, REPORTE_DROPI!B:B, 0)
),
""
),
""
)
</f>
        <v/>
      </c>
      <c r="H840" s="118" t="s">
        <v>3727</v>
      </c>
      <c r="I840" s="118" t="s">
        <v>3728</v>
      </c>
      <c r="J840" s="121" t="str">
        <f t="array" ref="J840">IF(
UPPER(TRIM(CLEAN($O840)))="ENTREGADO",
IFERROR(
INDEX(REPORTE_DROPI!T:T,
MATCH($T840, REPORTE_DROPI!B:B, 0)
),
""
),
""
)
</f>
        <v/>
      </c>
      <c r="K840" s="118" t="str">
        <f t="array" ref="K840">IFERROR(
INDEX(REPORTE_DROPI!S:S,
MATCH($T840, REPORTE_DROPI!B:B, 0)
),
""
)
</f>
        <v/>
      </c>
      <c r="L840" s="118">
        <f>IF(
  O840&lt;&gt;"DEVOLUCION",
  "",
  IF(
    T840="",
    "",
    SUMIF(DEVOLUCION!F:F, T840, DEVOLUCION!D:D)
  )
)
</f>
        <v>5.06</v>
      </c>
      <c r="M840" s="118" t="s">
        <v>3870</v>
      </c>
      <c r="N840" s="130" t="s">
        <v>5408</v>
      </c>
      <c r="O840" s="118" t="str">
        <f t="array" ref="O840">IFERROR(
VLOOKUP(
TRIM(CLEAN(
INDEX(REPORTE_DROPI!K:K,
MATCH(T840, REPORTE_DROPI!B:B, 0)
))),
{
TRIM(CLEAN(MAPA_ESTADOS!A:A)) ,
MAPA_ESTADOS!B:B
},
2,
FALSE
),
"REVISAR"
)
</f>
        <v>DEVOLUCION</v>
      </c>
      <c r="P840" s="118" t="s">
        <v>3655</v>
      </c>
      <c r="Q840" s="122">
        <f t="shared" si="2"/>
        <v>0</v>
      </c>
      <c r="R840" s="118"/>
      <c r="S840" s="118"/>
      <c r="T840" s="118">
        <f t="array" ref="T840">IFERROR(
INDEX(REPORTE_DROPI!B:B,
MATCH(
CLEAN(TRIM(C840)),
CLEAN(TRIM(REPORTE_DROPI!E:E)),
0
)
),
""
)
</f>
        <v>4294360</v>
      </c>
      <c r="U840" s="118">
        <v>6.445989593132E12</v>
      </c>
      <c r="V840" s="78"/>
      <c r="W840" s="78"/>
      <c r="X840" s="78"/>
      <c r="Y840" s="78"/>
      <c r="Z840" s="78"/>
    </row>
    <row r="841" ht="22.5" customHeight="1">
      <c r="A841" s="118">
        <v>840.0</v>
      </c>
      <c r="B841" s="119">
        <v>46047.0</v>
      </c>
      <c r="C841" s="126" t="s">
        <v>5409</v>
      </c>
      <c r="D841" s="118" t="str">
        <f>IFERROR(__xludf.DUMMYFUNCTION("IFERROR(
  INDEX(
    FILTER(
      'NOMBRE DE PRODUCTOS'!B:B,
      REGEXMATCH(
        UPPER(
          INDEX(
            REPORTE_DROPI!AC:AC,
            MATCH(T841, REPORTE_DROPI!B:B, 0)
          )
        ),
        UPPER('NOMBRE DE PRODUCTOS'!A:A)"&amp;"
      )
    ),
    1
  ),
  ""REVISAR""
)
"),"FilmPro®")</f>
        <v>FilmPro®</v>
      </c>
      <c r="E841" s="120" t="str">
        <f t="array" ref="E841">IF(
UPPER(TRIM(CLEAN($O841)))="ENTREGADO",
IFERROR(
INDEX(REPORTE_DROPI!Y:Y,
MATCH($T841, REPORTE_DROPI!B:B, 0)
),
""
),
""
)
</f>
        <v/>
      </c>
      <c r="F841" s="121">
        <v>3.0</v>
      </c>
      <c r="G841" s="122" t="str">
        <f t="array" ref="G841">IF(
UPPER(TRIM(CLEAN($O841)))="ENTREGADO",
IFERROR(
INDEX(REPORTE_DROPI!R:R,
MATCH($T841, REPORTE_DROPI!B:B, 0)
),
""
),
""
)
</f>
        <v/>
      </c>
      <c r="H841" s="118" t="s">
        <v>3727</v>
      </c>
      <c r="I841" s="118" t="s">
        <v>3740</v>
      </c>
      <c r="J841" s="121" t="str">
        <f t="array" ref="J841">IF(
UPPER(TRIM(CLEAN($O841)))="ENTREGADO",
IFERROR(
INDEX(REPORTE_DROPI!T:T,
MATCH($T841, REPORTE_DROPI!B:B, 0)
),
""
),
""
)
</f>
        <v/>
      </c>
      <c r="K841" s="118" t="str">
        <f t="array" ref="K841">IFERROR(
INDEX(REPORTE_DROPI!S:S,
MATCH($T841, REPORTE_DROPI!B:B, 0)
),
""
)
</f>
        <v/>
      </c>
      <c r="L841" s="118" t="str">
        <f>IF(
  O841&lt;&gt;"DEVOLUCION",
  "",
  IF(
    T841="",
    "",
    SUMIF(DEVOLUCION!F:F, T841, DEVOLUCION!D:D)
  )
)
</f>
        <v/>
      </c>
      <c r="M841" s="118" t="s">
        <v>3870</v>
      </c>
      <c r="N841" s="130" t="s">
        <v>5410</v>
      </c>
      <c r="O841" s="118" t="str">
        <f t="array" ref="O841">IFERROR(
VLOOKUP(
TRIM(CLEAN(
INDEX(REPORTE_DROPI!K:K,
MATCH(T841, REPORTE_DROPI!B:B, 0)
))),
{
TRIM(CLEAN(MAPA_ESTADOS!A:A)) ,
MAPA_ESTADOS!B:B
},
2,
FALSE
),
"REVISAR"
)
</f>
        <v>PENDIENTE</v>
      </c>
      <c r="P841" s="118"/>
      <c r="Q841" s="122">
        <f t="shared" si="2"/>
        <v>0</v>
      </c>
      <c r="R841" s="118"/>
      <c r="S841" s="118"/>
      <c r="T841" s="118">
        <f t="array" ref="T841">IFERROR(
INDEX(REPORTE_DROPI!B:B,
MATCH(
CLEAN(TRIM(C841)),
CLEAN(TRIM(REPORTE_DROPI!E:E)),
0
)
),
""
)
</f>
        <v>4269644</v>
      </c>
      <c r="U841" s="118">
        <v>6.446007517228E12</v>
      </c>
      <c r="V841" s="78"/>
      <c r="W841" s="78"/>
      <c r="X841" s="78"/>
      <c r="Y841" s="78"/>
      <c r="Z841" s="78"/>
    </row>
    <row r="842" ht="22.5" customHeight="1">
      <c r="A842" s="118">
        <v>841.0</v>
      </c>
      <c r="B842" s="119">
        <v>46047.0</v>
      </c>
      <c r="C842" s="126" t="s">
        <v>5411</v>
      </c>
      <c r="D842" s="118" t="str">
        <f>IFERROR(__xludf.DUMMYFUNCTION("IFERROR(
  INDEX(
    FILTER(
      'NOMBRE DE PRODUCTOS'!B:B,
      REGEXMATCH(
        UPPER(
          INDEX(
            REPORTE_DROPI!AC:AC,
            MATCH(T842, REPORTE_DROPI!B:B, 0)
          )
        ),
        UPPER('NOMBRE DE PRODUCTOS'!A:A)"&amp;"
      )
    ),
    1
  ),
  ""REVISAR""
)
"),"FilmPro®")</f>
        <v>FilmPro®</v>
      </c>
      <c r="E842" s="120" t="str">
        <f t="array" ref="E842">IF(
UPPER(TRIM(CLEAN($O842)))="ENTREGADO",
IFERROR(
INDEX(REPORTE_DROPI!Y:Y,
MATCH($T842, REPORTE_DROPI!B:B, 0)
),
""
),
""
)
</f>
        <v/>
      </c>
      <c r="F842" s="121">
        <v>2.0</v>
      </c>
      <c r="G842" s="122" t="str">
        <f t="array" ref="G842">IF(
UPPER(TRIM(CLEAN($O842)))="ENTREGADO",
IFERROR(
INDEX(REPORTE_DROPI!R:R,
MATCH($T842, REPORTE_DROPI!B:B, 0)
),
""
),
""
)
</f>
        <v/>
      </c>
      <c r="H842" s="118" t="s">
        <v>3727</v>
      </c>
      <c r="I842" s="118" t="s">
        <v>3969</v>
      </c>
      <c r="J842" s="121" t="str">
        <f t="array" ref="J842">IF(
UPPER(TRIM(CLEAN($O842)))="ENTREGADO",
IFERROR(
INDEX(REPORTE_DROPI!T:T,
MATCH($T842, REPORTE_DROPI!B:B, 0)
),
""
),
""
)
</f>
        <v/>
      </c>
      <c r="K842" s="118" t="str">
        <f t="array" ref="K842">IFERROR(
INDEX(REPORTE_DROPI!S:S,
MATCH($T842, REPORTE_DROPI!B:B, 0)
),
""
)
</f>
        <v/>
      </c>
      <c r="L842" s="118" t="str">
        <f>IF(
  O842&lt;&gt;"DEVOLUCION",
  "",
  IF(
    T842="",
    "",
    SUMIF(DEVOLUCION!F:F, T842, DEVOLUCION!D:D)
  )
)
</f>
        <v/>
      </c>
      <c r="M842" s="118"/>
      <c r="N842" s="130" t="s">
        <v>5412</v>
      </c>
      <c r="O842" s="118" t="str">
        <f t="array" ref="O842">IFERROR(
VLOOKUP(
TRIM(CLEAN(
INDEX(REPORTE_DROPI!K:K,
MATCH(T842, REPORTE_DROPI!B:B, 0)
))),
{
TRIM(CLEAN(MAPA_ESTADOS!A:A)) ,
MAPA_ESTADOS!B:B
},
2,
FALSE
),
"REVISAR"
)
</f>
        <v>PENDIENTE</v>
      </c>
      <c r="P842" s="118"/>
      <c r="Q842" s="122">
        <f t="shared" si="2"/>
        <v>0</v>
      </c>
      <c r="R842" s="118"/>
      <c r="S842" s="118"/>
      <c r="T842" s="118">
        <f t="array" ref="T842">IFERROR(
INDEX(REPORTE_DROPI!B:B,
MATCH(
CLEAN(TRIM(C842)),
CLEAN(TRIM(REPORTE_DROPI!E:E)),
0
)
),
""
)
</f>
        <v>4269738</v>
      </c>
      <c r="U842" s="118">
        <v>6.446020624428E12</v>
      </c>
      <c r="V842" s="78"/>
      <c r="W842" s="78"/>
      <c r="X842" s="78"/>
      <c r="Y842" s="78"/>
      <c r="Z842" s="78"/>
    </row>
    <row r="843" ht="22.5" customHeight="1">
      <c r="A843" s="118">
        <v>842.0</v>
      </c>
      <c r="B843" s="119">
        <v>46047.0</v>
      </c>
      <c r="C843" s="126" t="s">
        <v>5413</v>
      </c>
      <c r="D843" s="118" t="str">
        <f>IFERROR(__xludf.DUMMYFUNCTION("IFERROR(
  INDEX(
    FILTER(
      'NOMBRE DE PRODUCTOS'!B:B,
      REGEXMATCH(
        UPPER(
          INDEX(
            REPORTE_DROPI!AC:AC,
            MATCH(T843, REPORTE_DROPI!B:B, 0)
          )
        ),
        UPPER('NOMBRE DE PRODUCTOS'!A:A)"&amp;"
      )
    ),
    1
  ),
  ""REVISAR""
)
"),"FilmPro®")</f>
        <v>FilmPro®</v>
      </c>
      <c r="E843" s="120" t="str">
        <f t="array" ref="E843">IF(
UPPER(TRIM(CLEAN($O843)))="ENTREGADO",
IFERROR(
INDEX(REPORTE_DROPI!Y:Y,
MATCH($T843, REPORTE_DROPI!B:B, 0)
),
""
),
""
)
</f>
        <v/>
      </c>
      <c r="F843" s="121">
        <v>1.0</v>
      </c>
      <c r="G843" s="122" t="str">
        <f t="array" ref="G843">IF(
UPPER(TRIM(CLEAN($O843)))="ENTREGADO",
IFERROR(
INDEX(REPORTE_DROPI!R:R,
MATCH($T843, REPORTE_DROPI!B:B, 0)
),
""
),
""
)
</f>
        <v/>
      </c>
      <c r="H843" s="118" t="s">
        <v>3727</v>
      </c>
      <c r="I843" s="118" t="s">
        <v>3778</v>
      </c>
      <c r="J843" s="121" t="str">
        <f t="array" ref="J843">IF(
UPPER(TRIM(CLEAN($O843)))="ENTREGADO",
IFERROR(
INDEX(REPORTE_DROPI!T:T,
MATCH($T843, REPORTE_DROPI!B:B, 0)
),
""
),
""
)
</f>
        <v/>
      </c>
      <c r="K843" s="118" t="str">
        <f t="array" ref="K843">IFERROR(
INDEX(REPORTE_DROPI!S:S,
MATCH($T843, REPORTE_DROPI!B:B, 0)
),
""
)
</f>
        <v/>
      </c>
      <c r="L843" s="118" t="str">
        <f>IF(
  O843&lt;&gt;"DEVOLUCION",
  "",
  IF(
    T843="",
    "",
    SUMIF(DEVOLUCION!F:F, T843, DEVOLUCION!D:D)
  )
)
</f>
        <v/>
      </c>
      <c r="M843" s="118"/>
      <c r="N843" s="130" t="s">
        <v>5414</v>
      </c>
      <c r="O843" s="118" t="str">
        <f t="array" ref="O843">IFERROR(
VLOOKUP(
TRIM(CLEAN(
INDEX(REPORTE_DROPI!K:K,
MATCH(T843, REPORTE_DROPI!B:B, 0)
))),
{
TRIM(CLEAN(MAPA_ESTADOS!A:A)) ,
MAPA_ESTADOS!B:B
},
2,
FALSE
),
"REVISAR"
)
</f>
        <v>PENDIENTE</v>
      </c>
      <c r="P843" s="118"/>
      <c r="Q843" s="122">
        <f t="shared" si="2"/>
        <v>0</v>
      </c>
      <c r="R843" s="118"/>
      <c r="S843" s="118"/>
      <c r="T843" s="118">
        <f t="array" ref="T843">IFERROR(
INDEX(REPORTE_DROPI!B:B,
MATCH(
CLEAN(TRIM(C843)),
CLEAN(TRIM(REPORTE_DROPI!E:E)),
0
)
),
""
)
</f>
        <v>4269768</v>
      </c>
      <c r="U843" s="118">
        <v>6.446025375788E12</v>
      </c>
      <c r="V843" s="78"/>
      <c r="W843" s="78"/>
      <c r="X843" s="78"/>
      <c r="Y843" s="78"/>
      <c r="Z843" s="78"/>
    </row>
    <row r="844" ht="22.5" customHeight="1">
      <c r="A844" s="118">
        <v>843.0</v>
      </c>
      <c r="B844" s="119">
        <v>46047.0</v>
      </c>
      <c r="C844" s="126" t="s">
        <v>5415</v>
      </c>
      <c r="D844" s="118" t="str">
        <f>IFERROR(__xludf.DUMMYFUNCTION("IFERROR(
  INDEX(
    FILTER(
      'NOMBRE DE PRODUCTOS'!B:B,
      REGEXMATCH(
        UPPER(
          INDEX(
            REPORTE_DROPI!AC:AC,
            MATCH(T844, REPORTE_DROPI!B:B, 0)
          )
        ),
        UPPER('NOMBRE DE PRODUCTOS'!A:A)"&amp;"
      )
    ),
    1
  ),
  ""REVISAR""
)
"),"FilmPro®")</f>
        <v>FilmPro®</v>
      </c>
      <c r="E844" s="120" t="str">
        <f t="array" ref="E844">IF(
UPPER(TRIM(CLEAN($O844)))="ENTREGADO",
IFERROR(
INDEX(REPORTE_DROPI!Y:Y,
MATCH($T844, REPORTE_DROPI!B:B, 0)
),
""
),
""
)
</f>
        <v/>
      </c>
      <c r="F844" s="121">
        <v>1.0</v>
      </c>
      <c r="G844" s="122" t="str">
        <f t="array" ref="G844">IF(
UPPER(TRIM(CLEAN($O844)))="ENTREGADO",
IFERROR(
INDEX(REPORTE_DROPI!R:R,
MATCH($T844, REPORTE_DROPI!B:B, 0)
),
""
),
""
)
</f>
        <v/>
      </c>
      <c r="H844" s="118" t="s">
        <v>3727</v>
      </c>
      <c r="I844" s="118" t="s">
        <v>3742</v>
      </c>
      <c r="J844" s="121" t="str">
        <f t="array" ref="J844">IF(
UPPER(TRIM(CLEAN($O844)))="ENTREGADO",
IFERROR(
INDEX(REPORTE_DROPI!T:T,
MATCH($T844, REPORTE_DROPI!B:B, 0)
),
""
),
""
)
</f>
        <v/>
      </c>
      <c r="K844" s="118" t="str">
        <f t="array" ref="K844">IFERROR(
INDEX(REPORTE_DROPI!S:S,
MATCH($T844, REPORTE_DROPI!B:B, 0)
),
""
)
</f>
        <v/>
      </c>
      <c r="L844" s="118" t="str">
        <f>IF(
  O844&lt;&gt;"DEVOLUCION",
  "",
  IF(
    T844="",
    "",
    SUMIF(DEVOLUCION!F:F, T844, DEVOLUCION!D:D)
  )
)
</f>
        <v/>
      </c>
      <c r="M844" s="118"/>
      <c r="N844" s="130" t="s">
        <v>5416</v>
      </c>
      <c r="O844" s="118" t="str">
        <f t="array" ref="O844">IFERROR(
VLOOKUP(
TRIM(CLEAN(
INDEX(REPORTE_DROPI!K:K,
MATCH(T844, REPORTE_DROPI!B:B, 0)
))),
{
TRIM(CLEAN(MAPA_ESTADOS!A:A)) ,
MAPA_ESTADOS!B:B
},
2,
FALSE
),
"REVISAR"
)
</f>
        <v>PENDIENTE</v>
      </c>
      <c r="P844" s="118"/>
      <c r="Q844" s="122">
        <f t="shared" si="2"/>
        <v>0</v>
      </c>
      <c r="R844" s="118"/>
      <c r="S844" s="118"/>
      <c r="T844" s="118">
        <f t="array" ref="T844">IFERROR(
INDEX(REPORTE_DROPI!B:B,
MATCH(
CLEAN(TRIM(C844)),
CLEAN(TRIM(REPORTE_DROPI!E:E)),
0
)
),
""
)
</f>
        <v>4270065</v>
      </c>
      <c r="U844" s="118">
        <v>6.446068400172E12</v>
      </c>
      <c r="V844" s="78"/>
      <c r="W844" s="78"/>
      <c r="X844" s="78"/>
      <c r="Y844" s="78"/>
      <c r="Z844" s="78"/>
    </row>
    <row r="845" ht="22.5" customHeight="1">
      <c r="A845" s="118">
        <v>844.0</v>
      </c>
      <c r="B845" s="119">
        <v>46047.0</v>
      </c>
      <c r="C845" s="126" t="s">
        <v>5417</v>
      </c>
      <c r="D845" s="118" t="str">
        <f>IFERROR(__xludf.DUMMYFUNCTION("IFERROR(
  INDEX(
    FILTER(
      'NOMBRE DE PRODUCTOS'!B:B,
      REGEXMATCH(
        UPPER(
          INDEX(
            REPORTE_DROPI!AC:AC,
            MATCH(T845, REPORTE_DROPI!B:B, 0)
          )
        ),
        UPPER('NOMBRE DE PRODUCTOS'!A:A)"&amp;"
      )
    ),
    1
  ),
  ""REVISAR""
)
"),"FilmPro®")</f>
        <v>FilmPro®</v>
      </c>
      <c r="E845" s="120" t="str">
        <f t="array" ref="E845">IF(
UPPER(TRIM(CLEAN($O845)))="ENTREGADO",
IFERROR(
INDEX(REPORTE_DROPI!Y:Y,
MATCH($T845, REPORTE_DROPI!B:B, 0)
),
""
),
""
)
</f>
        <v/>
      </c>
      <c r="F845" s="121">
        <v>3.0</v>
      </c>
      <c r="G845" s="122" t="str">
        <f t="array" ref="G845">IF(
UPPER(TRIM(CLEAN($O845)))="ENTREGADO",
IFERROR(
INDEX(REPORTE_DROPI!R:R,
MATCH($T845, REPORTE_DROPI!B:B, 0)
),
""
),
""
)
</f>
        <v/>
      </c>
      <c r="H845" s="118" t="s">
        <v>3727</v>
      </c>
      <c r="I845" s="118" t="s">
        <v>3731</v>
      </c>
      <c r="J845" s="121" t="str">
        <f t="array" ref="J845">IF(
UPPER(TRIM(CLEAN($O845)))="ENTREGADO",
IFERROR(
INDEX(REPORTE_DROPI!T:T,
MATCH($T845, REPORTE_DROPI!B:B, 0)
),
""
),
""
)
</f>
        <v/>
      </c>
      <c r="K845" s="118" t="str">
        <f t="array" ref="K845">IFERROR(
INDEX(REPORTE_DROPI!S:S,
MATCH($T845, REPORTE_DROPI!B:B, 0)
),
""
)
</f>
        <v/>
      </c>
      <c r="L845" s="118" t="str">
        <f>IF(
  O845&lt;&gt;"DEVOLUCION",
  "",
  IF(
    T845="",
    "",
    SUMIF(DEVOLUCION!F:F, T845, DEVOLUCION!D:D)
  )
)
</f>
        <v/>
      </c>
      <c r="M845" s="118"/>
      <c r="N845" s="130" t="s">
        <v>5418</v>
      </c>
      <c r="O845" s="118" t="str">
        <f t="array" ref="O845">IFERROR(
VLOOKUP(
TRIM(CLEAN(
INDEX(REPORTE_DROPI!K:K,
MATCH(T845, REPORTE_DROPI!B:B, 0)
))),
{
TRIM(CLEAN(MAPA_ESTADOS!A:A)) ,
MAPA_ESTADOS!B:B
},
2,
FALSE
),
"REVISAR"
)
</f>
        <v>PENDIENTE</v>
      </c>
      <c r="P845" s="118"/>
      <c r="Q845" s="122">
        <f t="shared" si="2"/>
        <v>0</v>
      </c>
      <c r="R845" s="118"/>
      <c r="S845" s="118"/>
      <c r="T845" s="118">
        <f t="array" ref="T845">IFERROR(
INDEX(REPORTE_DROPI!B:B,
MATCH(
CLEAN(TRIM(C845)),
CLEAN(TRIM(REPORTE_DROPI!E:E)),
0
)
),
""
)
</f>
        <v>4270825</v>
      </c>
      <c r="U845" s="118">
        <v>6.44625127838E12</v>
      </c>
      <c r="V845" s="78"/>
      <c r="W845" s="78"/>
      <c r="X845" s="78"/>
      <c r="Y845" s="78"/>
      <c r="Z845" s="78"/>
    </row>
    <row r="846" ht="22.5" customHeight="1">
      <c r="A846" s="118">
        <v>845.0</v>
      </c>
      <c r="B846" s="119">
        <v>46047.0</v>
      </c>
      <c r="C846" s="126" t="s">
        <v>5419</v>
      </c>
      <c r="D846" s="118" t="str">
        <f>IFERROR(__xludf.DUMMYFUNCTION("IFERROR(
  INDEX(
    FILTER(
      'NOMBRE DE PRODUCTOS'!B:B,
      REGEXMATCH(
        UPPER(
          INDEX(
            REPORTE_DROPI!AC:AC,
            MATCH(T846, REPORTE_DROPI!B:B, 0)
          )
        ),
        UPPER('NOMBRE DE PRODUCTOS'!A:A)"&amp;"
      )
    ),
    1
  ),
  ""REVISAR""
)
"),"FilmPro®")</f>
        <v>FilmPro®</v>
      </c>
      <c r="E846" s="120" t="str">
        <f t="array" ref="E846">IF(
UPPER(TRIM(CLEAN($O846)))="ENTREGADO",
IFERROR(
INDEX(REPORTE_DROPI!Y:Y,
MATCH($T846, REPORTE_DROPI!B:B, 0)
),
""
),
""
)
</f>
        <v/>
      </c>
      <c r="F846" s="121">
        <v>1.0</v>
      </c>
      <c r="G846" s="122" t="str">
        <f t="array" ref="G846">IF(
UPPER(TRIM(CLEAN($O846)))="ENTREGADO",
IFERROR(
INDEX(REPORTE_DROPI!R:R,
MATCH($T846, REPORTE_DROPI!B:B, 0)
),
""
),
""
)
</f>
        <v/>
      </c>
      <c r="H846" s="118" t="s">
        <v>3727</v>
      </c>
      <c r="I846" s="118" t="s">
        <v>3731</v>
      </c>
      <c r="J846" s="121" t="str">
        <f t="array" ref="J846">IF(
UPPER(TRIM(CLEAN($O846)))="ENTREGADO",
IFERROR(
INDEX(REPORTE_DROPI!T:T,
MATCH($T846, REPORTE_DROPI!B:B, 0)
),
""
),
""
)
</f>
        <v/>
      </c>
      <c r="K846" s="118" t="str">
        <f t="array" ref="K846">IFERROR(
INDEX(REPORTE_DROPI!S:S,
MATCH($T846, REPORTE_DROPI!B:B, 0)
),
""
)
</f>
        <v/>
      </c>
      <c r="L846" s="118" t="str">
        <f>IF(
  O846&lt;&gt;"DEVOLUCION",
  "",
  IF(
    T846="",
    "",
    SUMIF(DEVOLUCION!F:F, T846, DEVOLUCION!D:D)
  )
)
</f>
        <v/>
      </c>
      <c r="M846" s="118"/>
      <c r="N846" s="130" t="s">
        <v>5420</v>
      </c>
      <c r="O846" s="118" t="str">
        <f t="array" ref="O846">IFERROR(
VLOOKUP(
TRIM(CLEAN(
INDEX(REPORTE_DROPI!K:K,
MATCH(T846, REPORTE_DROPI!B:B, 0)
))),
{
TRIM(CLEAN(MAPA_ESTADOS!A:A)) ,
MAPA_ESTADOS!B:B
},
2,
FALSE
),
"REVISAR"
)
</f>
        <v>PENDIENTE</v>
      </c>
      <c r="P846" s="118"/>
      <c r="Q846" s="122">
        <f t="shared" si="2"/>
        <v>0</v>
      </c>
      <c r="R846" s="118"/>
      <c r="S846" s="118"/>
      <c r="T846" s="118">
        <f t="array" ref="T846">IFERROR(
INDEX(REPORTE_DROPI!B:B,
MATCH(
CLEAN(TRIM(C846)),
CLEAN(TRIM(REPORTE_DROPI!E:E)),
0
)
),
""
)
</f>
        <v>4270832</v>
      </c>
      <c r="U846" s="118">
        <v>6.4462534083E12</v>
      </c>
      <c r="V846" s="78"/>
      <c r="W846" s="78"/>
      <c r="X846" s="78"/>
      <c r="Y846" s="78"/>
      <c r="Z846" s="78"/>
    </row>
    <row r="847" ht="22.5" customHeight="1">
      <c r="A847" s="118">
        <v>846.0</v>
      </c>
      <c r="B847" s="119">
        <v>46047.0</v>
      </c>
      <c r="C847" s="126" t="s">
        <v>5421</v>
      </c>
      <c r="D847" s="118" t="str">
        <f>IFERROR(__xludf.DUMMYFUNCTION("IFERROR(
  INDEX(
    FILTER(
      'NOMBRE DE PRODUCTOS'!B:B,
      REGEXMATCH(
        UPPER(
          INDEX(
            REPORTE_DROPI!AC:AC,
            MATCH(T847, REPORTE_DROPI!B:B, 0)
          )
        ),
        UPPER('NOMBRE DE PRODUCTOS'!A:A)"&amp;"
      )
    ),
    1
  ),
  ""REVISAR""
)
"),"FilmPro®")</f>
        <v>FilmPro®</v>
      </c>
      <c r="E847" s="120" t="str">
        <f t="array" ref="E847">IF(
UPPER(TRIM(CLEAN($O847)))="ENTREGADO",
IFERROR(
INDEX(REPORTE_DROPI!Y:Y,
MATCH($T847, REPORTE_DROPI!B:B, 0)
),
""
),
""
)
</f>
        <v/>
      </c>
      <c r="F847" s="121">
        <v>2.0</v>
      </c>
      <c r="G847" s="122" t="str">
        <f t="array" ref="G847">IF(
UPPER(TRIM(CLEAN($O847)))="ENTREGADO",
IFERROR(
INDEX(REPORTE_DROPI!R:R,
MATCH($T847, REPORTE_DROPI!B:B, 0)
),
""
),
""
)
</f>
        <v/>
      </c>
      <c r="H847" s="118" t="s">
        <v>3727</v>
      </c>
      <c r="I847" s="118" t="s">
        <v>3731</v>
      </c>
      <c r="J847" s="121" t="str">
        <f t="array" ref="J847">IF(
UPPER(TRIM(CLEAN($O847)))="ENTREGADO",
IFERROR(
INDEX(REPORTE_DROPI!T:T,
MATCH($T847, REPORTE_DROPI!B:B, 0)
),
""
),
""
)
</f>
        <v/>
      </c>
      <c r="K847" s="118" t="str">
        <f t="array" ref="K847">IFERROR(
INDEX(REPORTE_DROPI!S:S,
MATCH($T847, REPORTE_DROPI!B:B, 0)
),
""
)
</f>
        <v/>
      </c>
      <c r="L847" s="118" t="str">
        <f>IF(
  O847&lt;&gt;"DEVOLUCION",
  "",
  IF(
    T847="",
    "",
    SUMIF(DEVOLUCION!F:F, T847, DEVOLUCION!D:D)
  )
)
</f>
        <v/>
      </c>
      <c r="M847" s="118"/>
      <c r="N847" s="130" t="s">
        <v>5422</v>
      </c>
      <c r="O847" s="118" t="str">
        <f t="array" ref="O847">IFERROR(
VLOOKUP(
TRIM(CLEAN(
INDEX(REPORTE_DROPI!K:K,
MATCH(T847, REPORTE_DROPI!B:B, 0)
))),
{
TRIM(CLEAN(MAPA_ESTADOS!A:A)) ,
MAPA_ESTADOS!B:B
},
2,
FALSE
),
"REVISAR"
)
</f>
        <v>PENDIENTE</v>
      </c>
      <c r="P847" s="118"/>
      <c r="Q847" s="122">
        <f t="shared" si="2"/>
        <v>0</v>
      </c>
      <c r="R847" s="118"/>
      <c r="S847" s="118"/>
      <c r="T847" s="118">
        <f t="array" ref="T847">IFERROR(
INDEX(REPORTE_DROPI!B:B,
MATCH(
CLEAN(TRIM(C847)),
CLEAN(TRIM(REPORTE_DROPI!E:E)),
0
)
),
""
)
</f>
        <v>4271070</v>
      </c>
      <c r="U847" s="118">
        <v>6.44630567326E12</v>
      </c>
      <c r="V847" s="78"/>
      <c r="W847" s="78"/>
      <c r="X847" s="78"/>
      <c r="Y847" s="78"/>
      <c r="Z847" s="78"/>
    </row>
    <row r="848" ht="22.5" customHeight="1">
      <c r="A848" s="118">
        <v>847.0</v>
      </c>
      <c r="B848" s="119">
        <v>46047.0</v>
      </c>
      <c r="C848" s="126" t="s">
        <v>5423</v>
      </c>
      <c r="D848" s="118" t="s">
        <v>3827</v>
      </c>
      <c r="E848" s="120" t="str">
        <f t="array" ref="E848">IF(
UPPER(TRIM(CLEAN($O848)))="ENTREGADO",
IFERROR(
INDEX(REPORTE_DROPI!Y:Y,
MATCH($T848, REPORTE_DROPI!B:B, 0)
),
""
),
""
)
</f>
        <v/>
      </c>
      <c r="F848" s="121">
        <v>1.0</v>
      </c>
      <c r="G848" s="122" t="str">
        <f t="array" ref="G848">IF(
UPPER(TRIM(CLEAN($O848)))="ENTREGADO",
IFERROR(
INDEX(REPORTE_DROPI!R:R,
MATCH($T848, REPORTE_DROPI!B:B, 0)
),
""
),
""
)
</f>
        <v/>
      </c>
      <c r="H848" s="118" t="s">
        <v>3727</v>
      </c>
      <c r="I848" s="118" t="s">
        <v>3951</v>
      </c>
      <c r="J848" s="121" t="str">
        <f t="array" ref="J848">IF(
UPPER(TRIM(CLEAN($O848)))="ENTREGADO",
IFERROR(
INDEX(REPORTE_DROPI!T:T,
MATCH($T848, REPORTE_DROPI!B:B, 0)
),
""
),
""
)
</f>
        <v/>
      </c>
      <c r="K848" s="118" t="str">
        <f t="array" ref="K848">IFERROR(
INDEX(REPORTE_DROPI!S:S,
MATCH($T848, REPORTE_DROPI!B:B, 0)
),
""
)
</f>
        <v/>
      </c>
      <c r="L848" s="118" t="str">
        <f>IF(
  O848&lt;&gt;"DEVOLUCION",
  "",
  IF(
    T848="",
    "",
    SUMIF(DEVOLUCION!F:F, T848, DEVOLUCION!D:D)
  )
)
</f>
        <v/>
      </c>
      <c r="M848" s="118"/>
      <c r="N848" s="130" t="s">
        <v>5424</v>
      </c>
      <c r="O848" s="118" t="str">
        <f t="array" ref="O848">IFERROR(
VLOOKUP(
TRIM(CLEAN(
INDEX(REPORTE_DROPI!K:K,
MATCH(T848, REPORTE_DROPI!B:B, 0)
))),
{
TRIM(CLEAN(MAPA_ESTADOS!A:A)) ,
MAPA_ESTADOS!B:B
},
2,
FALSE
),
"REVISAR"
)
</f>
        <v>REVISAR</v>
      </c>
      <c r="P848" s="118"/>
      <c r="Q848" s="122">
        <f t="shared" si="2"/>
        <v>0</v>
      </c>
      <c r="R848" s="118"/>
      <c r="S848" s="118"/>
      <c r="T848" s="118" t="str">
        <f t="array" ref="T848">IFERROR(
INDEX(REPORTE_DROPI!B:B,
MATCH(
CLEAN(TRIM(C848)),
CLEAN(TRIM(REPORTE_DROPI!E:E)),
0
)
),
""
)
</f>
        <v/>
      </c>
      <c r="U848" s="118">
        <v>6.446415020076E12</v>
      </c>
      <c r="V848" s="78"/>
      <c r="W848" s="78"/>
      <c r="X848" s="78"/>
      <c r="Y848" s="78"/>
      <c r="Z848" s="78"/>
    </row>
    <row r="849" ht="22.5" customHeight="1">
      <c r="A849" s="118">
        <v>848.0</v>
      </c>
      <c r="B849" s="119">
        <v>46047.0</v>
      </c>
      <c r="C849" s="118" t="s">
        <v>5425</v>
      </c>
      <c r="D849" s="118" t="str">
        <f>IFERROR(__xludf.DUMMYFUNCTION("IFERROR(
  INDEX(
    FILTER(
      'NOMBRE DE PRODUCTOS'!B:B,
      REGEXMATCH(
        UPPER(
          INDEX(
            REPORTE_DROPI!AC:AC,
            MATCH(T849, REPORTE_DROPI!B:B, 0)
          )
        ),
        UPPER('NOMBRE DE PRODUCTOS'!A:A)"&amp;"
      )
    ),
    1
  ),
  ""REVISAR""
)
"),"Llave Multifuncional 360™")</f>
        <v>Llave Multifuncional 360™</v>
      </c>
      <c r="E849" s="120">
        <f t="array" ref="E849">IF(
UPPER(TRIM(CLEAN($O849)))="ENTREGADO",
IFERROR(
INDEX(REPORTE_DROPI!Y:Y,
MATCH($T849, REPORTE_DROPI!B:B, 0)
),
""
),
""
)
</f>
        <v>10</v>
      </c>
      <c r="F849" s="121">
        <v>2.0</v>
      </c>
      <c r="G849" s="122">
        <f t="array" ref="G849">IF(
UPPER(TRIM(CLEAN($O849)))="ENTREGADO",
IFERROR(
INDEX(REPORTE_DROPI!R:R,
MATCH($T849, REPORTE_DROPI!B:B, 0)
),
""
),
""
)
</f>
        <v>32</v>
      </c>
      <c r="H849" s="118" t="s">
        <v>3727</v>
      </c>
      <c r="I849" s="118" t="s">
        <v>3912</v>
      </c>
      <c r="J849" s="121">
        <f t="array" ref="J849">IF(
UPPER(TRIM(CLEAN($O849)))="ENTREGADO",
IFERROR(
INDEX(REPORTE_DROPI!T:T,
MATCH($T849, REPORTE_DROPI!B:B, 0)
),
""
),
""
)
</f>
        <v>6.24</v>
      </c>
      <c r="K849" s="118">
        <f t="array" ref="K849">IFERROR(
INDEX(REPORTE_DROPI!S:S,
MATCH($T849, REPORTE_DROPI!B:B, 0)
),
""
)
</f>
        <v>15.76</v>
      </c>
      <c r="L849" s="118" t="str">
        <f>IF(
  O849&lt;&gt;"DEVOLUCION",
  "",
  IF(
    T849="",
    "",
    SUMIF(DEVOLUCION!F:F, T849, DEVOLUCION!D:D)
  )
)
</f>
        <v/>
      </c>
      <c r="M849" s="118" t="s">
        <v>3870</v>
      </c>
      <c r="N849" s="130" t="s">
        <v>5426</v>
      </c>
      <c r="O849" s="118" t="str">
        <f t="array" ref="O849">IFERROR(
VLOOKUP(
TRIM(CLEAN(
INDEX(REPORTE_DROPI!K:K,
MATCH(T849, REPORTE_DROPI!B:B, 0)
))),
{
TRIM(CLEAN(MAPA_ESTADOS!A:A)) ,
MAPA_ESTADOS!B:B
},
2,
FALSE
),
"REVISAR"
)
</f>
        <v>ENTREGADO</v>
      </c>
      <c r="P849" s="118" t="s">
        <v>3655</v>
      </c>
      <c r="Q849" s="122">
        <f t="shared" si="2"/>
        <v>0</v>
      </c>
      <c r="R849" s="118"/>
      <c r="S849" s="118"/>
      <c r="T849" s="118">
        <f t="array" ref="T849">IFERROR(
INDEX(REPORTE_DROPI!B:B,
MATCH(
CLEAN(TRIM(C849)),
CLEAN(TRIM(REPORTE_DROPI!E:E)),
0
)
),
""
)
</f>
        <v>4292155</v>
      </c>
      <c r="U849" s="118">
        <v>6.446515650604E12</v>
      </c>
      <c r="V849" s="78"/>
      <c r="W849" s="78"/>
      <c r="X849" s="78"/>
      <c r="Y849" s="78"/>
      <c r="Z849" s="78"/>
    </row>
    <row r="850" ht="22.5" customHeight="1">
      <c r="A850" s="118">
        <v>849.0</v>
      </c>
      <c r="B850" s="119">
        <v>46047.0</v>
      </c>
      <c r="C850" s="126" t="s">
        <v>5427</v>
      </c>
      <c r="D850" s="118" t="str">
        <f>IFERROR(__xludf.DUMMYFUNCTION("IFERROR(
  INDEX(
    FILTER(
      'NOMBRE DE PRODUCTOS'!B:B,
      REGEXMATCH(
        UPPER(
          INDEX(
            REPORTE_DROPI!AC:AC,
            MATCH(T850, REPORTE_DROPI!B:B, 0)
          )
        ),
        UPPER('NOMBRE DE PRODUCTOS'!A:A)"&amp;"
      )
    ),
    1
  ),
  ""REVISAR""
)
"),"Llave Multifuncional 360™")</f>
        <v>Llave Multifuncional 360™</v>
      </c>
      <c r="E850" s="120" t="str">
        <f t="array" ref="E850">IF(
UPPER(TRIM(CLEAN($O850)))="ENTREGADO",
IFERROR(
INDEX(REPORTE_DROPI!Y:Y,
MATCH($T850, REPORTE_DROPI!B:B, 0)
),
""
),
""
)
</f>
        <v/>
      </c>
      <c r="F850" s="121">
        <v>1.0</v>
      </c>
      <c r="G850" s="122" t="str">
        <f t="array" ref="G850">IF(
UPPER(TRIM(CLEAN($O850)))="ENTREGADO",
IFERROR(
INDEX(REPORTE_DROPI!R:R,
MATCH($T850, REPORTE_DROPI!B:B, 0)
),
""
),
""
)
</f>
        <v/>
      </c>
      <c r="H850" s="118" t="s">
        <v>3727</v>
      </c>
      <c r="I850" s="118" t="s">
        <v>3740</v>
      </c>
      <c r="J850" s="121" t="str">
        <f t="array" ref="J850">IF(
UPPER(TRIM(CLEAN($O850)))="ENTREGADO",
IFERROR(
INDEX(REPORTE_DROPI!T:T,
MATCH($T850, REPORTE_DROPI!B:B, 0)
),
""
),
""
)
</f>
        <v/>
      </c>
      <c r="K850" s="118" t="str">
        <f t="array" ref="K850">IFERROR(
INDEX(REPORTE_DROPI!S:S,
MATCH($T850, REPORTE_DROPI!B:B, 0)
),
""
)
</f>
        <v/>
      </c>
      <c r="L850" s="118" t="str">
        <f>IF(
  O850&lt;&gt;"DEVOLUCION",
  "",
  IF(
    T850="",
    "",
    SUMIF(DEVOLUCION!F:F, T850, DEVOLUCION!D:D)
  )
)
</f>
        <v/>
      </c>
      <c r="M850" s="118" t="s">
        <v>3870</v>
      </c>
      <c r="N850" s="130" t="s">
        <v>5428</v>
      </c>
      <c r="O850" s="118" t="str">
        <f t="array" ref="O850">IFERROR(
VLOOKUP(
TRIM(CLEAN(
INDEX(REPORTE_DROPI!K:K,
MATCH(T850, REPORTE_DROPI!B:B, 0)
))),
{
TRIM(CLEAN(MAPA_ESTADOS!A:A)) ,
MAPA_ESTADOS!B:B
},
2,
FALSE
),
"REVISAR"
)
</f>
        <v>PENDIENTE</v>
      </c>
      <c r="P850" s="118" t="s">
        <v>4892</v>
      </c>
      <c r="Q850" s="122">
        <f t="shared" si="2"/>
        <v>0</v>
      </c>
      <c r="R850" s="118"/>
      <c r="S850" s="118"/>
      <c r="T850" s="118">
        <f t="array" ref="T850">IFERROR(
INDEX(REPORTE_DROPI!B:B,
MATCH(
CLEAN(TRIM(C850)),
CLEAN(TRIM(REPORTE_DROPI!E:E)),
0
)
),
""
)
</f>
        <v>4271809</v>
      </c>
      <c r="U850" s="118">
        <v>6.446526267436E12</v>
      </c>
      <c r="V850" s="78"/>
      <c r="W850" s="78"/>
      <c r="X850" s="78"/>
      <c r="Y850" s="78"/>
      <c r="Z850" s="78"/>
    </row>
    <row r="851" ht="22.5" customHeight="1">
      <c r="A851" s="118">
        <v>850.0</v>
      </c>
      <c r="B851" s="119">
        <v>46047.0</v>
      </c>
      <c r="C851" s="118" t="s">
        <v>5429</v>
      </c>
      <c r="D851" s="118" t="str">
        <f>IFERROR(__xludf.DUMMYFUNCTION("IFERROR(
  INDEX(
    FILTER(
      'NOMBRE DE PRODUCTOS'!B:B,
      REGEXMATCH(
        UPPER(
          INDEX(
            REPORTE_DROPI!AC:AC,
            MATCH(T851, REPORTE_DROPI!B:B, 0)
          )
        ),
        UPPER('NOMBRE DE PRODUCTOS'!A:A)"&amp;"
      )
    ),
    1
  ),
  ""REVISAR""
)
"),"Llave Multifuncional 360™")</f>
        <v>Llave Multifuncional 360™</v>
      </c>
      <c r="E851" s="120">
        <f t="array" ref="E851">IF(
UPPER(TRIM(CLEAN($O851)))="ENTREGADO",
IFERROR(
INDEX(REPORTE_DROPI!Y:Y,
MATCH($T851, REPORTE_DROPI!B:B, 0)
),
""
),
""
)
</f>
        <v>5</v>
      </c>
      <c r="F851" s="121">
        <v>1.0</v>
      </c>
      <c r="G851" s="122">
        <f t="array" ref="G851">IF(
UPPER(TRIM(CLEAN($O851)))="ENTREGADO",
IFERROR(
INDEX(REPORTE_DROPI!R:R,
MATCH($T851, REPORTE_DROPI!B:B, 0)
),
""
),
""
)
</f>
        <v>21.99</v>
      </c>
      <c r="H851" s="118" t="s">
        <v>3727</v>
      </c>
      <c r="I851" s="118" t="s">
        <v>3731</v>
      </c>
      <c r="J851" s="121">
        <f t="array" ref="J851">IF(
UPPER(TRIM(CLEAN($O851)))="ENTREGADO",
IFERROR(
INDEX(REPORTE_DROPI!T:T,
MATCH($T851, REPORTE_DROPI!B:B, 0)
),
""
),
""
)
</f>
        <v>4.23</v>
      </c>
      <c r="K851" s="118">
        <f t="array" ref="K851">IFERROR(
INDEX(REPORTE_DROPI!S:S,
MATCH($T851, REPORTE_DROPI!B:B, 0)
),
""
)
</f>
        <v>12.76</v>
      </c>
      <c r="L851" s="118" t="str">
        <f>IF(
  O851&lt;&gt;"DEVOLUCION",
  "",
  IF(
    T851="",
    "",
    SUMIF(DEVOLUCION!F:F, T851, DEVOLUCION!D:D)
  )
)
</f>
        <v/>
      </c>
      <c r="M851" s="118" t="s">
        <v>3870</v>
      </c>
      <c r="N851" s="130" t="s">
        <v>5430</v>
      </c>
      <c r="O851" s="118" t="str">
        <f t="array" ref="O851">IFERROR(
VLOOKUP(
TRIM(CLEAN(
INDEX(REPORTE_DROPI!K:K,
MATCH(T851, REPORTE_DROPI!B:B, 0)
))),
{
TRIM(CLEAN(MAPA_ESTADOS!A:A)) ,
MAPA_ESTADOS!B:B
},
2,
FALSE
),
"REVISAR"
)
</f>
        <v>ENTREGADO</v>
      </c>
      <c r="P851" s="118" t="s">
        <v>3655</v>
      </c>
      <c r="Q851" s="122">
        <f t="shared" si="2"/>
        <v>0</v>
      </c>
      <c r="R851" s="118"/>
      <c r="S851" s="118"/>
      <c r="T851" s="118">
        <f t="array" ref="T851">IFERROR(
INDEX(REPORTE_DROPI!B:B,
MATCH(
CLEAN(TRIM(C851)),
CLEAN(TRIM(REPORTE_DROPI!E:E)),
0
)
),
""
)
</f>
        <v>4292190</v>
      </c>
      <c r="U851" s="118">
        <v>6.446543274028E12</v>
      </c>
      <c r="V851" s="78"/>
      <c r="W851" s="78"/>
      <c r="X851" s="78"/>
      <c r="Y851" s="78"/>
      <c r="Z851" s="78"/>
    </row>
    <row r="852" ht="22.5" customHeight="1">
      <c r="A852" s="118">
        <v>851.0</v>
      </c>
      <c r="B852" s="119">
        <v>46047.0</v>
      </c>
      <c r="C852" s="126" t="s">
        <v>3777</v>
      </c>
      <c r="D852" s="118" t="str">
        <f>IFERROR(__xludf.DUMMYFUNCTION("IFERROR(
  INDEX(
    FILTER(
      'NOMBRE DE PRODUCTOS'!B:B,
      REGEXMATCH(
        UPPER(
          INDEX(
            REPORTE_DROPI!AC:AC,
            MATCH(T852, REPORTE_DROPI!B:B, 0)
          )
        ),
        UPPER('NOMBRE DE PRODUCTOS'!A:A)"&amp;"
      )
    ),
    1
  ),
  ""REVISAR""
)
"),"Llave Multifuncional 360™")</f>
        <v>Llave Multifuncional 360™</v>
      </c>
      <c r="E852" s="120">
        <f t="array" ref="E852">IF(
UPPER(TRIM(CLEAN($O852)))="ENTREGADO",
IFERROR(
INDEX(REPORTE_DROPI!Y:Y,
MATCH($T852, REPORTE_DROPI!B:B, 0)
),
""
),
""
)
</f>
        <v>10</v>
      </c>
      <c r="F852" s="121">
        <v>2.0</v>
      </c>
      <c r="G852" s="122">
        <f t="array" ref="G852">IF(
UPPER(TRIM(CLEAN($O852)))="ENTREGADO",
IFERROR(
INDEX(REPORTE_DROPI!R:R,
MATCH($T852, REPORTE_DROPI!B:B, 0)
),
""
),
""
)
</f>
        <v>32</v>
      </c>
      <c r="H852" s="118" t="s">
        <v>3727</v>
      </c>
      <c r="I852" s="118" t="s">
        <v>3778</v>
      </c>
      <c r="J852" s="121">
        <f t="array" ref="J852">IF(
UPPER(TRIM(CLEAN($O852)))="ENTREGADO",
IFERROR(
INDEX(REPORTE_DROPI!T:T,
MATCH($T852, REPORTE_DROPI!B:B, 0)
),
""
),
""
)
</f>
        <v>5.89</v>
      </c>
      <c r="K852" s="118">
        <f t="array" ref="K852">IFERROR(
INDEX(REPORTE_DROPI!S:S,
MATCH($T852, REPORTE_DROPI!B:B, 0)
),
""
)
</f>
        <v>16.11</v>
      </c>
      <c r="L852" s="118" t="str">
        <f>IF(
  O852&lt;&gt;"DEVOLUCION",
  "",
  IF(
    T852="",
    "",
    SUMIF(DEVOLUCION!F:F, T852, DEVOLUCION!D:D)
  )
)
</f>
        <v/>
      </c>
      <c r="M852" s="118" t="s">
        <v>3870</v>
      </c>
      <c r="N852" s="130" t="s">
        <v>5431</v>
      </c>
      <c r="O852" s="118" t="str">
        <f t="array" ref="O852">IFERROR(
VLOOKUP(
TRIM(CLEAN(
INDEX(REPORTE_DROPI!K:K,
MATCH(T852, REPORTE_DROPI!B:B, 0)
))),
{
TRIM(CLEAN(MAPA_ESTADOS!A:A)) ,
MAPA_ESTADOS!B:B
},
2,
FALSE
),
"REVISAR"
)
</f>
        <v>ENTREGADO</v>
      </c>
      <c r="P852" s="118" t="s">
        <v>5432</v>
      </c>
      <c r="Q852" s="122">
        <f t="shared" si="2"/>
        <v>0</v>
      </c>
      <c r="R852" s="118"/>
      <c r="S852" s="118"/>
      <c r="T852" s="118">
        <f t="array" ref="T852">IFERROR(
INDEX(REPORTE_DROPI!B:B,
MATCH(
CLEAN(TRIM(C852)),
CLEAN(TRIM(REPORTE_DROPI!E:E)),
0
)
),
""
)
</f>
        <v>4273607</v>
      </c>
      <c r="U852" s="118">
        <v>6.446674608172E12</v>
      </c>
      <c r="V852" s="78"/>
      <c r="W852" s="78"/>
      <c r="X852" s="78"/>
      <c r="Y852" s="78"/>
      <c r="Z852" s="78"/>
    </row>
    <row r="853" ht="22.5" customHeight="1">
      <c r="A853" s="118">
        <v>852.0</v>
      </c>
      <c r="B853" s="119">
        <v>46047.0</v>
      </c>
      <c r="C853" s="126" t="s">
        <v>5433</v>
      </c>
      <c r="D853" s="118" t="str">
        <f>IFERROR(__xludf.DUMMYFUNCTION("IFERROR(
  INDEX(
    FILTER(
      'NOMBRE DE PRODUCTOS'!B:B,
      REGEXMATCH(
        UPPER(
          INDEX(
            REPORTE_DROPI!AC:AC,
            MATCH(T853, REPORTE_DROPI!B:B, 0)
          )
        ),
        UPPER('NOMBRE DE PRODUCTOS'!A:A)"&amp;"
      )
    ),
    1
  ),
  ""REVISAR""
)
"),"FilmPro®")</f>
        <v>FilmPro®</v>
      </c>
      <c r="E853" s="120" t="str">
        <f t="array" ref="E853">IF(
UPPER(TRIM(CLEAN($O853)))="ENTREGADO",
IFERROR(
INDEX(REPORTE_DROPI!Y:Y,
MATCH($T853, REPORTE_DROPI!B:B, 0)
),
""
),
""
)
</f>
        <v/>
      </c>
      <c r="F853" s="121">
        <v>3.0</v>
      </c>
      <c r="G853" s="122" t="str">
        <f t="array" ref="G853">IF(
UPPER(TRIM(CLEAN($O853)))="ENTREGADO",
IFERROR(
INDEX(REPORTE_DROPI!R:R,
MATCH($T853, REPORTE_DROPI!B:B, 0)
),
""
),
""
)
</f>
        <v/>
      </c>
      <c r="H853" s="118" t="s">
        <v>3727</v>
      </c>
      <c r="I853" s="118" t="s">
        <v>3728</v>
      </c>
      <c r="J853" s="121" t="str">
        <f t="array" ref="J853">IF(
UPPER(TRIM(CLEAN($O853)))="ENTREGADO",
IFERROR(
INDEX(REPORTE_DROPI!T:T,
MATCH($T853, REPORTE_DROPI!B:B, 0)
),
""
),
""
)
</f>
        <v/>
      </c>
      <c r="K853" s="118" t="str">
        <f t="array" ref="K853">IFERROR(
INDEX(REPORTE_DROPI!S:S,
MATCH($T853, REPORTE_DROPI!B:B, 0)
),
""
)
</f>
        <v/>
      </c>
      <c r="L853" s="118" t="str">
        <f>IF(
  O853&lt;&gt;"DEVOLUCION",
  "",
  IF(
    T853="",
    "",
    SUMIF(DEVOLUCION!F:F, T853, DEVOLUCION!D:D)
  )
)
</f>
        <v/>
      </c>
      <c r="M853" s="118"/>
      <c r="N853" s="130" t="s">
        <v>5434</v>
      </c>
      <c r="O853" s="118" t="str">
        <f t="array" ref="O853">IFERROR(
VLOOKUP(
TRIM(CLEAN(
INDEX(REPORTE_DROPI!K:K,
MATCH(T853, REPORTE_DROPI!B:B, 0)
))),
{
TRIM(CLEAN(MAPA_ESTADOS!A:A)) ,
MAPA_ESTADOS!B:B
},
2,
FALSE
),
"REVISAR"
)
</f>
        <v>PENDIENTE</v>
      </c>
      <c r="P853" s="118"/>
      <c r="Q853" s="122">
        <f t="shared" si="2"/>
        <v>0</v>
      </c>
      <c r="R853" s="118"/>
      <c r="S853" s="118"/>
      <c r="T853" s="118">
        <f t="array" ref="T853">IFERROR(
INDEX(REPORTE_DROPI!B:B,
MATCH(
CLEAN(TRIM(C853)),
CLEAN(TRIM(REPORTE_DROPI!E:E)),
0
)
),
""
)
</f>
        <v>4272696</v>
      </c>
      <c r="U853" s="118">
        <v>6.446871117868E12</v>
      </c>
      <c r="V853" s="78"/>
      <c r="W853" s="78"/>
      <c r="X853" s="78"/>
      <c r="Y853" s="78"/>
      <c r="Z853" s="78"/>
    </row>
    <row r="854" ht="22.5" customHeight="1">
      <c r="A854" s="118">
        <v>853.0</v>
      </c>
      <c r="B854" s="119">
        <v>46047.0</v>
      </c>
      <c r="C854" s="126" t="s">
        <v>5435</v>
      </c>
      <c r="D854" s="118" t="str">
        <f>IFERROR(__xludf.DUMMYFUNCTION("IFERROR(
  INDEX(
    FILTER(
      'NOMBRE DE PRODUCTOS'!B:B,
      REGEXMATCH(
        UPPER(
          INDEX(
            REPORTE_DROPI!AC:AC,
            MATCH(T854, REPORTE_DROPI!B:B, 0)
          )
        ),
        UPPER('NOMBRE DE PRODUCTOS'!A:A)"&amp;"
      )
    ),
    1
  ),
  ""REVISAR""
)
"),"FilmPro®")</f>
        <v>FilmPro®</v>
      </c>
      <c r="E854" s="120" t="str">
        <f t="array" ref="E854">IF(
UPPER(TRIM(CLEAN($O854)))="ENTREGADO",
IFERROR(
INDEX(REPORTE_DROPI!Y:Y,
MATCH($T854, REPORTE_DROPI!B:B, 0)
),
""
),
""
)
</f>
        <v/>
      </c>
      <c r="F854" s="121">
        <v>3.0</v>
      </c>
      <c r="G854" s="122" t="str">
        <f t="array" ref="G854">IF(
UPPER(TRIM(CLEAN($O854)))="ENTREGADO",
IFERROR(
INDEX(REPORTE_DROPI!R:R,
MATCH($T854, REPORTE_DROPI!B:B, 0)
),
""
),
""
)
</f>
        <v/>
      </c>
      <c r="H854" s="118" t="s">
        <v>3727</v>
      </c>
      <c r="I854" s="118" t="s">
        <v>3912</v>
      </c>
      <c r="J854" s="121" t="str">
        <f t="array" ref="J854">IF(
UPPER(TRIM(CLEAN($O854)))="ENTREGADO",
IFERROR(
INDEX(REPORTE_DROPI!T:T,
MATCH($T854, REPORTE_DROPI!B:B, 0)
),
""
),
""
)
</f>
        <v/>
      </c>
      <c r="K854" s="118" t="str">
        <f t="array" ref="K854">IFERROR(
INDEX(REPORTE_DROPI!S:S,
MATCH($T854, REPORTE_DROPI!B:B, 0)
),
""
)
</f>
        <v/>
      </c>
      <c r="L854" s="118" t="str">
        <f>IF(
  O854&lt;&gt;"DEVOLUCION",
  "",
  IF(
    T854="",
    "",
    SUMIF(DEVOLUCION!F:F, T854, DEVOLUCION!D:D)
  )
)
</f>
        <v/>
      </c>
      <c r="M854" s="118"/>
      <c r="N854" s="130" t="s">
        <v>5436</v>
      </c>
      <c r="O854" s="118" t="str">
        <f t="array" ref="O854">IFERROR(
VLOOKUP(
TRIM(CLEAN(
INDEX(REPORTE_DROPI!K:K,
MATCH(T854, REPORTE_DROPI!B:B, 0)
))),
{
TRIM(CLEAN(MAPA_ESTADOS!A:A)) ,
MAPA_ESTADOS!B:B
},
2,
FALSE
),
"REVISAR"
)
</f>
        <v>PENDIENTE</v>
      </c>
      <c r="P854" s="118"/>
      <c r="Q854" s="122">
        <f t="shared" si="2"/>
        <v>0</v>
      </c>
      <c r="R854" s="118"/>
      <c r="S854" s="118"/>
      <c r="T854" s="118">
        <f t="array" ref="T854">IFERROR(
INDEX(REPORTE_DROPI!B:B,
MATCH(
CLEAN(TRIM(C854)),
CLEAN(TRIM(REPORTE_DROPI!E:E)),
0
)
),
""
)
</f>
        <v>4272799</v>
      </c>
      <c r="U854" s="118">
        <v>6.446903558188E12</v>
      </c>
      <c r="V854" s="78"/>
      <c r="W854" s="78"/>
      <c r="X854" s="78"/>
      <c r="Y854" s="78"/>
      <c r="Z854" s="78"/>
    </row>
    <row r="855" ht="22.5" customHeight="1">
      <c r="A855" s="118">
        <v>854.0</v>
      </c>
      <c r="B855" s="119">
        <v>46047.0</v>
      </c>
      <c r="C855" s="118" t="s">
        <v>5437</v>
      </c>
      <c r="D855" s="118" t="str">
        <f>IFERROR(__xludf.DUMMYFUNCTION("IFERROR(
  INDEX(
    FILTER(
      'NOMBRE DE PRODUCTOS'!B:B,
      REGEXMATCH(
        UPPER(
          INDEX(
            REPORTE_DROPI!AC:AC,
            MATCH(T855, REPORTE_DROPI!B:B, 0)
          )
        ),
        UPPER('NOMBRE DE PRODUCTOS'!A:A)"&amp;"
      )
    ),
    1
  ),
  ""REVISAR""
)
"),"Llave Multifuncional 360™")</f>
        <v>Llave Multifuncional 360™</v>
      </c>
      <c r="E855" s="120" t="str">
        <f t="array" ref="E855">IF(
UPPER(TRIM(CLEAN($O855)))="ENTREGADO",
IFERROR(
INDEX(REPORTE_DROPI!Y:Y,
MATCH($T855, REPORTE_DROPI!B:B, 0)
),
""
),
""
)
</f>
        <v/>
      </c>
      <c r="F855" s="121">
        <v>2.0</v>
      </c>
      <c r="G855" s="122" t="str">
        <f t="array" ref="G855">IF(
UPPER(TRIM(CLEAN($O855)))="ENTREGADO",
IFERROR(
INDEX(REPORTE_DROPI!R:R,
MATCH($T855, REPORTE_DROPI!B:B, 0)
),
""
),
""
)
</f>
        <v/>
      </c>
      <c r="H855" s="118" t="s">
        <v>3727</v>
      </c>
      <c r="I855" s="118" t="s">
        <v>3731</v>
      </c>
      <c r="J855" s="121" t="str">
        <f t="array" ref="J855">IF(
UPPER(TRIM(CLEAN($O855)))="ENTREGADO",
IFERROR(
INDEX(REPORTE_DROPI!T:T,
MATCH($T855, REPORTE_DROPI!B:B, 0)
),
""
),
""
)
</f>
        <v/>
      </c>
      <c r="K855" s="118" t="str">
        <f t="array" ref="K855">IFERROR(
INDEX(REPORTE_DROPI!S:S,
MATCH($T855, REPORTE_DROPI!B:B, 0)
),
""
)
</f>
        <v/>
      </c>
      <c r="L855" s="118" t="str">
        <f>IF(
  O855&lt;&gt;"DEVOLUCION",
  "",
  IF(
    T855="",
    "",
    SUMIF(DEVOLUCION!F:F, T855, DEVOLUCION!D:D)
  )
)
</f>
        <v/>
      </c>
      <c r="M855" s="118" t="s">
        <v>3870</v>
      </c>
      <c r="N855" s="130" t="s">
        <v>5438</v>
      </c>
      <c r="O855" s="118" t="str">
        <f t="array" ref="O855">IFERROR(
VLOOKUP(
TRIM(CLEAN(
INDEX(REPORTE_DROPI!K:K,
MATCH(T855, REPORTE_DROPI!B:B, 0)
))),
{
TRIM(CLEAN(MAPA_ESTADOS!A:A)) ,
MAPA_ESTADOS!B:B
},
2,
FALSE
),
"REVISAR"
)
</f>
        <v>CANCELADO</v>
      </c>
      <c r="P855" s="118" t="s">
        <v>3655</v>
      </c>
      <c r="Q855" s="122">
        <f t="shared" si="2"/>
        <v>0</v>
      </c>
      <c r="R855" s="118"/>
      <c r="S855" s="118"/>
      <c r="T855" s="118">
        <f t="array" ref="T855">IFERROR(
INDEX(REPORTE_DROPI!B:B,
MATCH(
CLEAN(TRIM(C855)),
CLEAN(TRIM(REPORTE_DROPI!E:E)),
0
)
),
""
)
</f>
        <v>4275694</v>
      </c>
      <c r="U855" s="118">
        <v>6.446976368684E12</v>
      </c>
      <c r="V855" s="78"/>
      <c r="W855" s="78"/>
      <c r="X855" s="78"/>
      <c r="Y855" s="78"/>
      <c r="Z855" s="78"/>
    </row>
    <row r="856" ht="22.5" customHeight="1">
      <c r="A856" s="118">
        <v>855.0</v>
      </c>
      <c r="B856" s="119">
        <v>46047.0</v>
      </c>
      <c r="C856" s="118" t="s">
        <v>5439</v>
      </c>
      <c r="D856" s="118" t="str">
        <f>IFERROR(__xludf.DUMMYFUNCTION("IFERROR(
  INDEX(
    FILTER(
      'NOMBRE DE PRODUCTOS'!B:B,
      REGEXMATCH(
        UPPER(
          INDEX(
            REPORTE_DROPI!AC:AC,
            MATCH(T856, REPORTE_DROPI!B:B, 0)
          )
        ),
        UPPER('NOMBRE DE PRODUCTOS'!A:A)"&amp;"
      )
    ),
    1
  ),
  ""REVISAR""
)
"),"REVISAR")</f>
        <v>REVISAR</v>
      </c>
      <c r="E856" s="120" t="str">
        <f t="array" ref="E856">IF(
UPPER(TRIM(CLEAN($O856)))="ENTREGADO",
IFERROR(
INDEX(REPORTE_DROPI!Y:Y,
MATCH($T856, REPORTE_DROPI!B:B, 0)
),
""
),
""
)
</f>
        <v/>
      </c>
      <c r="F856" s="121">
        <v>1.0</v>
      </c>
      <c r="G856" s="122" t="str">
        <f t="array" ref="G856">IF(
UPPER(TRIM(CLEAN($O856)))="ENTREGADO",
IFERROR(
INDEX(REPORTE_DROPI!R:R,
MATCH($T856, REPORTE_DROPI!B:B, 0)
),
""
),
""
)
</f>
        <v/>
      </c>
      <c r="H856" s="118" t="s">
        <v>3727</v>
      </c>
      <c r="I856" s="118" t="s">
        <v>3740</v>
      </c>
      <c r="J856" s="121" t="str">
        <f t="array" ref="J856">IF(
UPPER(TRIM(CLEAN($O856)))="ENTREGADO",
IFERROR(
INDEX(REPORTE_DROPI!T:T,
MATCH($T856, REPORTE_DROPI!B:B, 0)
),
""
),
""
)
</f>
        <v/>
      </c>
      <c r="K856" s="118" t="str">
        <f t="array" ref="K856">IFERROR(
INDEX(REPORTE_DROPI!S:S,
MATCH($T856, REPORTE_DROPI!B:B, 0)
),
""
)
</f>
        <v/>
      </c>
      <c r="L856" s="118" t="str">
        <f>IF(
  O856&lt;&gt;"DEVOLUCION",
  "",
  IF(
    T856="",
    "",
    SUMIF(DEVOLUCION!F:F, T856, DEVOLUCION!D:D)
  )
)
</f>
        <v/>
      </c>
      <c r="M856" s="118" t="s">
        <v>3870</v>
      </c>
      <c r="N856" s="130" t="s">
        <v>5440</v>
      </c>
      <c r="O856" s="118" t="str">
        <f t="array" ref="O856">IFERROR(
VLOOKUP(
TRIM(CLEAN(
INDEX(REPORTE_DROPI!K:K,
MATCH(T856, REPORTE_DROPI!B:B, 0)
))),
{
TRIM(CLEAN(MAPA_ESTADOS!A:A)) ,
MAPA_ESTADOS!B:B
},
2,
FALSE
),
"REVISAR"
)
</f>
        <v>REVISAR</v>
      </c>
      <c r="P856" s="118" t="s">
        <v>3655</v>
      </c>
      <c r="Q856" s="122">
        <f t="shared" si="2"/>
        <v>0</v>
      </c>
      <c r="R856" s="118" t="s">
        <v>3675</v>
      </c>
      <c r="S856" s="118">
        <v>1.0</v>
      </c>
      <c r="T856" s="118"/>
      <c r="U856" s="118">
        <v>6.446981578796E12</v>
      </c>
      <c r="V856" s="78"/>
      <c r="W856" s="78"/>
      <c r="X856" s="78"/>
      <c r="Y856" s="78"/>
      <c r="Z856" s="78"/>
    </row>
    <row r="857" ht="22.5" customHeight="1">
      <c r="A857" s="118">
        <v>856.0</v>
      </c>
      <c r="B857" s="119">
        <v>46047.0</v>
      </c>
      <c r="C857" s="118" t="s">
        <v>5441</v>
      </c>
      <c r="D857" s="118" t="str">
        <f>IFERROR(__xludf.DUMMYFUNCTION("IFERROR(
  INDEX(
    FILTER(
      'NOMBRE DE PRODUCTOS'!B:B,
      REGEXMATCH(
        UPPER(
          INDEX(
            REPORTE_DROPI!AC:AC,
            MATCH(T857, REPORTE_DROPI!B:B, 0)
          )
        ),
        UPPER('NOMBRE DE PRODUCTOS'!A:A)"&amp;"
      )
    ),
    1
  ),
  ""REVISAR""
)
"),"Llave Multifuncional 360™")</f>
        <v>Llave Multifuncional 360™</v>
      </c>
      <c r="E857" s="120" t="str">
        <f t="array" ref="E857">IF(
UPPER(TRIM(CLEAN($O857)))="ENTREGADO",
IFERROR(
INDEX(REPORTE_DROPI!Y:Y,
MATCH($T857, REPORTE_DROPI!B:B, 0)
),
""
),
""
)
</f>
        <v/>
      </c>
      <c r="F857" s="121">
        <v>1.0</v>
      </c>
      <c r="G857" s="122" t="str">
        <f t="array" ref="G857">IF(
UPPER(TRIM(CLEAN($O857)))="ENTREGADO",
IFERROR(
INDEX(REPORTE_DROPI!R:R,
MATCH($T857, REPORTE_DROPI!B:B, 0)
),
""
),
""
)
</f>
        <v/>
      </c>
      <c r="H857" s="118" t="s">
        <v>3727</v>
      </c>
      <c r="I857" s="118" t="s">
        <v>3738</v>
      </c>
      <c r="J857" s="121" t="str">
        <f t="array" ref="J857">IF(
UPPER(TRIM(CLEAN($O857)))="ENTREGADO",
IFERROR(
INDEX(REPORTE_DROPI!T:T,
MATCH($T857, REPORTE_DROPI!B:B, 0)
),
""
),
""
)
</f>
        <v/>
      </c>
      <c r="K857" s="118" t="str">
        <f t="array" ref="K857">IFERROR(
INDEX(REPORTE_DROPI!S:S,
MATCH($T857, REPORTE_DROPI!B:B, 0)
),
""
)
</f>
        <v/>
      </c>
      <c r="L857" s="118">
        <f>IF(
  O857&lt;&gt;"DEVOLUCION",
  "",
  IF(
    T857="",
    "",
    SUMIF(DEVOLUCION!F:F, T857, DEVOLUCION!D:D)
  )
)
</f>
        <v>5.65</v>
      </c>
      <c r="M857" s="118" t="s">
        <v>3870</v>
      </c>
      <c r="N857" s="130" t="s">
        <v>5442</v>
      </c>
      <c r="O857" s="118" t="str">
        <f t="array" ref="O857">IFERROR(
VLOOKUP(
TRIM(CLEAN(
INDEX(REPORTE_DROPI!K:K,
MATCH(T857, REPORTE_DROPI!B:B, 0)
))),
{
TRIM(CLEAN(MAPA_ESTADOS!A:A)) ,
MAPA_ESTADOS!B:B
},
2,
FALSE
),
"REVISAR"
)
</f>
        <v>DEVOLUCION</v>
      </c>
      <c r="P857" s="118" t="s">
        <v>3655</v>
      </c>
      <c r="Q857" s="122">
        <f t="shared" si="2"/>
        <v>0</v>
      </c>
      <c r="R857" s="118" t="s">
        <v>3675</v>
      </c>
      <c r="S857" s="118">
        <v>1.0</v>
      </c>
      <c r="T857" s="118">
        <f t="array" ref="T857">IFERROR(
INDEX(REPORTE_DROPI!B:B,
MATCH(
CLEAN(TRIM(C857)),
CLEAN(TRIM(REPORTE_DROPI!E:E)),
0
)
),
""
)
</f>
        <v>4273036</v>
      </c>
      <c r="U857" s="118">
        <v>6.446985216044E12</v>
      </c>
      <c r="V857" s="78"/>
      <c r="W857" s="78"/>
      <c r="X857" s="78"/>
      <c r="Y857" s="78"/>
      <c r="Z857" s="78"/>
    </row>
    <row r="858" ht="22.5" customHeight="1">
      <c r="A858" s="118">
        <v>857.0</v>
      </c>
      <c r="B858" s="119">
        <v>46047.0</v>
      </c>
      <c r="C858" s="118" t="s">
        <v>5443</v>
      </c>
      <c r="D858" s="118" t="str">
        <f>IFERROR(__xludf.DUMMYFUNCTION("IFERROR(
  INDEX(
    FILTER(
      'NOMBRE DE PRODUCTOS'!B:B,
      REGEXMATCH(
        UPPER(
          INDEX(
            REPORTE_DROPI!AC:AC,
            MATCH(T858, REPORTE_DROPI!B:B, 0)
          )
        ),
        UPPER('NOMBRE DE PRODUCTOS'!A:A)"&amp;"
      )
    ),
    1
  ),
  ""REVISAR""
)
"),"Llave Multifuncional 360™")</f>
        <v>Llave Multifuncional 360™</v>
      </c>
      <c r="E858" s="120">
        <f t="array" ref="E858">IF(
UPPER(TRIM(CLEAN($O858)))="ENTREGADO",
IFERROR(
INDEX(REPORTE_DROPI!Y:Y,
MATCH($T858, REPORTE_DROPI!B:B, 0)
),
""
),
""
)
</f>
        <v>5</v>
      </c>
      <c r="F858" s="121">
        <v>1.0</v>
      </c>
      <c r="G858" s="122">
        <f t="array" ref="G858">IF(
UPPER(TRIM(CLEAN($O858)))="ENTREGADO",
IFERROR(
INDEX(REPORTE_DROPI!R:R,
MATCH($T858, REPORTE_DROPI!B:B, 0)
),
""
),
""
)
</f>
        <v>21.99</v>
      </c>
      <c r="H858" s="118" t="s">
        <v>3727</v>
      </c>
      <c r="I858" s="118" t="s">
        <v>3951</v>
      </c>
      <c r="J858" s="121">
        <f t="array" ref="J858">IF(
UPPER(TRIM(CLEAN($O858)))="ENTREGADO",
IFERROR(
INDEX(REPORTE_DROPI!T:T,
MATCH($T858, REPORTE_DROPI!B:B, 0)
),
""
),
""
)
</f>
        <v>5.84</v>
      </c>
      <c r="K858" s="118">
        <f t="array" ref="K858">IFERROR(
INDEX(REPORTE_DROPI!S:S,
MATCH($T858, REPORTE_DROPI!B:B, 0)
),
""
)
</f>
        <v>11.15</v>
      </c>
      <c r="L858" s="118" t="str">
        <f>IF(
  O858&lt;&gt;"DEVOLUCION",
  "",
  IF(
    T858="",
    "",
    SUMIF(DEVOLUCION!F:F, T858, DEVOLUCION!D:D)
  )
)
</f>
        <v/>
      </c>
      <c r="M858" s="118" t="s">
        <v>3870</v>
      </c>
      <c r="N858" s="130" t="s">
        <v>5444</v>
      </c>
      <c r="O858" s="118" t="str">
        <f t="array" ref="O858">IFERROR(
VLOOKUP(
TRIM(CLEAN(
INDEX(REPORTE_DROPI!K:K,
MATCH(T858, REPORTE_DROPI!B:B, 0)
))),
{
TRIM(CLEAN(MAPA_ESTADOS!A:A)) ,
MAPA_ESTADOS!B:B
},
2,
FALSE
),
"REVISAR"
)
</f>
        <v>ENTREGADO</v>
      </c>
      <c r="P858" s="118" t="s">
        <v>3655</v>
      </c>
      <c r="Q858" s="122">
        <f t="shared" si="2"/>
        <v>0</v>
      </c>
      <c r="R858" s="118"/>
      <c r="S858" s="118"/>
      <c r="T858" s="118">
        <f t="array" ref="T858">IFERROR(
INDEX(REPORTE_DROPI!B:B,
MATCH(
CLEAN(TRIM(C858)),
CLEAN(TRIM(REPORTE_DROPI!E:E)),
0
)
),
""
)
</f>
        <v>4280620</v>
      </c>
      <c r="U858" s="118">
        <v>6.447094988844E12</v>
      </c>
      <c r="V858" s="78"/>
      <c r="W858" s="78"/>
      <c r="X858" s="78"/>
      <c r="Y858" s="78"/>
      <c r="Z858" s="78"/>
    </row>
    <row r="859" ht="22.5" customHeight="1">
      <c r="A859" s="118">
        <v>858.0</v>
      </c>
      <c r="B859" s="119">
        <v>46047.0</v>
      </c>
      <c r="C859" s="126" t="s">
        <v>3777</v>
      </c>
      <c r="D859" s="118" t="str">
        <f>IFERROR(__xludf.DUMMYFUNCTION("IFERROR(
  INDEX(
    FILTER(
      'NOMBRE DE PRODUCTOS'!B:B,
      REGEXMATCH(
        UPPER(
          INDEX(
            REPORTE_DROPI!AC:AC,
            MATCH(T859, REPORTE_DROPI!B:B, 0)
          )
        ),
        UPPER('NOMBRE DE PRODUCTOS'!A:A)"&amp;"
      )
    ),
    1
  ),
  ""REVISAR""
)
"),"Llave Multifuncional 360™")</f>
        <v>Llave Multifuncional 360™</v>
      </c>
      <c r="E859" s="120">
        <f t="array" ref="E859">IF(
UPPER(TRIM(CLEAN($O859)))="ENTREGADO",
IFERROR(
INDEX(REPORTE_DROPI!Y:Y,
MATCH($T859, REPORTE_DROPI!B:B, 0)
),
""
),
""
)
</f>
        <v>10</v>
      </c>
      <c r="F859" s="121">
        <v>2.0</v>
      </c>
      <c r="G859" s="122">
        <f t="array" ref="G859">IF(
UPPER(TRIM(CLEAN($O859)))="ENTREGADO",
IFERROR(
INDEX(REPORTE_DROPI!R:R,
MATCH($T859, REPORTE_DROPI!B:B, 0)
),
""
),
""
)
</f>
        <v>32</v>
      </c>
      <c r="H859" s="118" t="s">
        <v>3727</v>
      </c>
      <c r="I859" s="118" t="s">
        <v>3778</v>
      </c>
      <c r="J859" s="121">
        <f t="array" ref="J859">IF(
UPPER(TRIM(CLEAN($O859)))="ENTREGADO",
IFERROR(
INDEX(REPORTE_DROPI!T:T,
MATCH($T859, REPORTE_DROPI!B:B, 0)
),
""
),
""
)
</f>
        <v>5.89</v>
      </c>
      <c r="K859" s="118">
        <f t="array" ref="K859">IFERROR(
INDEX(REPORTE_DROPI!S:S,
MATCH($T859, REPORTE_DROPI!B:B, 0)
),
""
)
</f>
        <v>16.11</v>
      </c>
      <c r="L859" s="118" t="str">
        <f>IF(
  O859&lt;&gt;"DEVOLUCION",
  "",
  IF(
    T859="",
    "",
    SUMIF(DEVOLUCION!F:F, T859, DEVOLUCION!D:D)
  )
)
</f>
        <v/>
      </c>
      <c r="M859" s="118" t="s">
        <v>3870</v>
      </c>
      <c r="N859" s="130" t="s">
        <v>5445</v>
      </c>
      <c r="O859" s="118" t="str">
        <f t="array" ref="O859">IFERROR(
VLOOKUP(
TRIM(CLEAN(
INDEX(REPORTE_DROPI!K:K,
MATCH(T859, REPORTE_DROPI!B:B, 0)
))),
{
TRIM(CLEAN(MAPA_ESTADOS!A:A)) ,
MAPA_ESTADOS!B:B
},
2,
FALSE
),
"REVISAR"
)
</f>
        <v>ENTREGADO</v>
      </c>
      <c r="P859" s="118" t="s">
        <v>3655</v>
      </c>
      <c r="Q859" s="122">
        <f t="shared" si="2"/>
        <v>0</v>
      </c>
      <c r="R859" s="118"/>
      <c r="S859" s="118"/>
      <c r="T859" s="118">
        <f t="array" ref="T859">IFERROR(
INDEX(REPORTE_DROPI!B:B,
MATCH(
CLEAN(TRIM(C859)),
CLEAN(TRIM(REPORTE_DROPI!E:E)),
0
)
),
""
)
</f>
        <v>4273607</v>
      </c>
      <c r="U859" s="118">
        <v>6.447165898796E12</v>
      </c>
      <c r="V859" s="78"/>
      <c r="W859" s="78"/>
      <c r="X859" s="78"/>
      <c r="Y859" s="78"/>
      <c r="Z859" s="78"/>
    </row>
    <row r="860" ht="22.5" customHeight="1">
      <c r="A860" s="118">
        <v>859.0</v>
      </c>
      <c r="B860" s="119">
        <v>46047.0</v>
      </c>
      <c r="C860" s="118" t="s">
        <v>5446</v>
      </c>
      <c r="D860" s="118" t="str">
        <f>IFERROR(__xludf.DUMMYFUNCTION("IFERROR(
  INDEX(
    FILTER(
      'NOMBRE DE PRODUCTOS'!B:B,
      REGEXMATCH(
        UPPER(
          INDEX(
            REPORTE_DROPI!AC:AC,
            MATCH(T860, REPORTE_DROPI!B:B, 0)
          )
        ),
        UPPER('NOMBRE DE PRODUCTOS'!A:A)"&amp;"
      )
    ),
    1
  ),
  ""REVISAR""
)
"),"Llave Multifuncional 360™")</f>
        <v>Llave Multifuncional 360™</v>
      </c>
      <c r="E860" s="120" t="str">
        <f t="array" ref="E860">IF(
UPPER(TRIM(CLEAN($O860)))="ENTREGADO",
IFERROR(
INDEX(REPORTE_DROPI!Y:Y,
MATCH($T860, REPORTE_DROPI!B:B, 0)
),
""
),
""
)
</f>
        <v/>
      </c>
      <c r="F860" s="121">
        <v>1.0</v>
      </c>
      <c r="G860" s="122" t="str">
        <f t="array" ref="G860">IF(
UPPER(TRIM(CLEAN($O860)))="ENTREGADO",
IFERROR(
INDEX(REPORTE_DROPI!R:R,
MATCH($T860, REPORTE_DROPI!B:B, 0)
),
""
),
""
)
</f>
        <v/>
      </c>
      <c r="H860" s="118" t="s">
        <v>3727</v>
      </c>
      <c r="I860" s="118" t="s">
        <v>3731</v>
      </c>
      <c r="J860" s="121" t="str">
        <f t="array" ref="J860">IF(
UPPER(TRIM(CLEAN($O860)))="ENTREGADO",
IFERROR(
INDEX(REPORTE_DROPI!T:T,
MATCH($T860, REPORTE_DROPI!B:B, 0)
),
""
),
""
)
</f>
        <v/>
      </c>
      <c r="K860" s="118" t="str">
        <f t="array" ref="K860">IFERROR(
INDEX(REPORTE_DROPI!S:S,
MATCH($T860, REPORTE_DROPI!B:B, 0)
),
""
)
</f>
        <v/>
      </c>
      <c r="L860" s="118">
        <f>IF(
  O860&lt;&gt;"DEVOLUCION",
  "",
  IF(
    T860="",
    "",
    SUMIF(DEVOLUCION!F:F, T860, DEVOLUCION!D:D)
  )
)
</f>
        <v>7.7</v>
      </c>
      <c r="M860" s="118" t="s">
        <v>3870</v>
      </c>
      <c r="N860" s="130" t="s">
        <v>5447</v>
      </c>
      <c r="O860" s="118" t="str">
        <f t="array" ref="O860">IFERROR(
VLOOKUP(
TRIM(CLEAN(
INDEX(REPORTE_DROPI!K:K,
MATCH(T860, REPORTE_DROPI!B:B, 0)
))),
{
TRIM(CLEAN(MAPA_ESTADOS!A:A)) ,
MAPA_ESTADOS!B:B
},
2,
FALSE
),
"REVISAR"
)
</f>
        <v>DEVOLUCION</v>
      </c>
      <c r="P860" s="118" t="s">
        <v>3888</v>
      </c>
      <c r="Q860" s="122">
        <f t="shared" si="2"/>
        <v>0</v>
      </c>
      <c r="R860" s="118" t="s">
        <v>3675</v>
      </c>
      <c r="S860" s="118">
        <v>1.0</v>
      </c>
      <c r="T860" s="118">
        <f t="array" ref="T860">IFERROR(
INDEX(REPORTE_DROPI!B:B,
MATCH(
CLEAN(TRIM(C860)),
CLEAN(TRIM(REPORTE_DROPI!E:E)),
0
)
),
""
)
</f>
        <v>4281032</v>
      </c>
      <c r="U860" s="118">
        <v>6.447178514476E12</v>
      </c>
      <c r="V860" s="78"/>
      <c r="W860" s="78"/>
      <c r="X860" s="78"/>
      <c r="Y860" s="78"/>
      <c r="Z860" s="78"/>
    </row>
    <row r="861" ht="22.5" customHeight="1">
      <c r="A861" s="118">
        <v>860.0</v>
      </c>
      <c r="B861" s="119">
        <v>46047.0</v>
      </c>
      <c r="C861" s="126" t="s">
        <v>5448</v>
      </c>
      <c r="D861" s="118" t="str">
        <f>IFERROR(__xludf.DUMMYFUNCTION("IFERROR(
  INDEX(
    FILTER(
      'NOMBRE DE PRODUCTOS'!B:B,
      REGEXMATCH(
        UPPER(
          INDEX(
            REPORTE_DROPI!AC:AC,
            MATCH(T861, REPORTE_DROPI!B:B, 0)
          )
        ),
        UPPER('NOMBRE DE PRODUCTOS'!A:A)"&amp;"
      )
    ),
    1
  ),
  ""REVISAR""
)
"),"Llave Multifuncional 360™")</f>
        <v>Llave Multifuncional 360™</v>
      </c>
      <c r="E861" s="120" t="str">
        <f t="array" ref="E861">IF(
UPPER(TRIM(CLEAN($O861)))="ENTREGADO",
IFERROR(
INDEX(REPORTE_DROPI!Y:Y,
MATCH($T861, REPORTE_DROPI!B:B, 0)
),
""
),
""
)
</f>
        <v/>
      </c>
      <c r="F861" s="121">
        <v>1.0</v>
      </c>
      <c r="G861" s="122" t="str">
        <f t="array" ref="G861">IF(
UPPER(TRIM(CLEAN($O861)))="ENTREGADO",
IFERROR(
INDEX(REPORTE_DROPI!R:R,
MATCH($T861, REPORTE_DROPI!B:B, 0)
),
""
),
""
)
</f>
        <v/>
      </c>
      <c r="H861" s="118" t="s">
        <v>3727</v>
      </c>
      <c r="I861" s="118" t="s">
        <v>3962</v>
      </c>
      <c r="J861" s="121" t="str">
        <f t="array" ref="J861">IF(
UPPER(TRIM(CLEAN($O861)))="ENTREGADO",
IFERROR(
INDEX(REPORTE_DROPI!T:T,
MATCH($T861, REPORTE_DROPI!B:B, 0)
),
""
),
""
)
</f>
        <v/>
      </c>
      <c r="K861" s="118" t="str">
        <f t="array" ref="K861">IFERROR(
INDEX(REPORTE_DROPI!S:S,
MATCH($T861, REPORTE_DROPI!B:B, 0)
),
""
)
</f>
        <v/>
      </c>
      <c r="L861" s="118" t="str">
        <f>IF(
  O861&lt;&gt;"DEVOLUCION",
  "",
  IF(
    T861="",
    "",
    SUMIF(DEVOLUCION!F:F, T861, DEVOLUCION!D:D)
  )
)
</f>
        <v/>
      </c>
      <c r="M861" s="118" t="s">
        <v>3870</v>
      </c>
      <c r="N861" s="130" t="s">
        <v>5449</v>
      </c>
      <c r="O861" s="118" t="str">
        <f t="array" ref="O861">IFERROR(
VLOOKUP(
TRIM(CLEAN(
INDEX(REPORTE_DROPI!K:K,
MATCH(T861, REPORTE_DROPI!B:B, 0)
))),
{
TRIM(CLEAN(MAPA_ESTADOS!A:A)) ,
MAPA_ESTADOS!B:B
},
2,
FALSE
),
"REVISAR"
)
</f>
        <v>PENDIENTE</v>
      </c>
      <c r="P861" s="118" t="s">
        <v>4892</v>
      </c>
      <c r="Q861" s="122">
        <f t="shared" si="2"/>
        <v>0</v>
      </c>
      <c r="R861" s="118"/>
      <c r="S861" s="118"/>
      <c r="T861" s="118">
        <f t="array" ref="T861">IFERROR(
INDEX(REPORTE_DROPI!B:B,
MATCH(
CLEAN(TRIM(C861)),
CLEAN(TRIM(REPORTE_DROPI!E:E)),
0
)
),
""
)
</f>
        <v>4273673</v>
      </c>
      <c r="U861" s="118">
        <v>6.447187591212E12</v>
      </c>
      <c r="V861" s="78"/>
      <c r="W861" s="78"/>
      <c r="X861" s="78"/>
      <c r="Y861" s="78"/>
      <c r="Z861" s="78"/>
    </row>
    <row r="862" ht="22.5" customHeight="1">
      <c r="A862" s="118">
        <v>861.0</v>
      </c>
      <c r="B862" s="119">
        <v>46047.0</v>
      </c>
      <c r="C862" s="118" t="s">
        <v>5450</v>
      </c>
      <c r="D862" s="118" t="str">
        <f>IFERROR(__xludf.DUMMYFUNCTION("IFERROR(
  INDEX(
    FILTER(
      'NOMBRE DE PRODUCTOS'!B:B,
      REGEXMATCH(
        UPPER(
          INDEX(
            REPORTE_DROPI!AC:AC,
            MATCH(T862, REPORTE_DROPI!B:B, 0)
          )
        ),
        UPPER('NOMBRE DE PRODUCTOS'!A:A)"&amp;"
      )
    ),
    1
  ),
  ""REVISAR""
)
"),"Llave Multifuncional 360™")</f>
        <v>Llave Multifuncional 360™</v>
      </c>
      <c r="E862" s="120">
        <f t="array" ref="E862">IF(
UPPER(TRIM(CLEAN($O862)))="ENTREGADO",
IFERROR(
INDEX(REPORTE_DROPI!Y:Y,
MATCH($T862, REPORTE_DROPI!B:B, 0)
),
""
),
""
)
</f>
        <v>5</v>
      </c>
      <c r="F862" s="121">
        <v>1.0</v>
      </c>
      <c r="G862" s="122">
        <f t="array" ref="G862">IF(
UPPER(TRIM(CLEAN($O862)))="ENTREGADO",
IFERROR(
INDEX(REPORTE_DROPI!R:R,
MATCH($T862, REPORTE_DROPI!B:B, 0)
),
""
),
""
)
</f>
        <v>21.99</v>
      </c>
      <c r="H862" s="118" t="s">
        <v>3727</v>
      </c>
      <c r="I862" s="118" t="s">
        <v>3731</v>
      </c>
      <c r="J862" s="121">
        <f t="array" ref="J862">IF(
UPPER(TRIM(CLEAN($O862)))="ENTREGADO",
IFERROR(
INDEX(REPORTE_DROPI!T:T,
MATCH($T862, REPORTE_DROPI!B:B, 0)
),
""
),
""
)
</f>
        <v>4.23</v>
      </c>
      <c r="K862" s="118">
        <f t="array" ref="K862">IFERROR(
INDEX(REPORTE_DROPI!S:S,
MATCH($T862, REPORTE_DROPI!B:B, 0)
),
""
)
</f>
        <v>12.76</v>
      </c>
      <c r="L862" s="118" t="str">
        <f>IF(
  O862&lt;&gt;"DEVOLUCION",
  "",
  IF(
    T862="",
    "",
    SUMIF(DEVOLUCION!F:F, T862, DEVOLUCION!D:D)
  )
)
</f>
        <v/>
      </c>
      <c r="M862" s="118" t="s">
        <v>3870</v>
      </c>
      <c r="N862" s="130" t="s">
        <v>5451</v>
      </c>
      <c r="O862" s="118" t="str">
        <f t="array" ref="O862">IFERROR(
VLOOKUP(
TRIM(CLEAN(
INDEX(REPORTE_DROPI!K:K,
MATCH(T862, REPORTE_DROPI!B:B, 0)
))),
{
TRIM(CLEAN(MAPA_ESTADOS!A:A)) ,
MAPA_ESTADOS!B:B
},
2,
FALSE
),
"REVISAR"
)
</f>
        <v>ENTREGADO</v>
      </c>
      <c r="P862" s="118" t="s">
        <v>3655</v>
      </c>
      <c r="Q862" s="122">
        <f t="shared" si="2"/>
        <v>0</v>
      </c>
      <c r="R862" s="118"/>
      <c r="S862" s="118"/>
      <c r="T862" s="118">
        <f t="array" ref="T862">IFERROR(
INDEX(REPORTE_DROPI!B:B,
MATCH(
CLEAN(TRIM(C862)),
CLEAN(TRIM(REPORTE_DROPI!E:E)),
0
)
),
""
)
</f>
        <v>4291947</v>
      </c>
      <c r="U862" s="118">
        <v>6.447288254508E12</v>
      </c>
      <c r="V862" s="78"/>
      <c r="W862" s="78"/>
      <c r="X862" s="78"/>
      <c r="Y862" s="78"/>
      <c r="Z862" s="78"/>
    </row>
    <row r="863" ht="22.5" customHeight="1">
      <c r="A863" s="118">
        <v>862.0</v>
      </c>
      <c r="B863" s="119">
        <v>46047.0</v>
      </c>
      <c r="C863" s="126" t="s">
        <v>5452</v>
      </c>
      <c r="D863" s="118" t="str">
        <f>IFERROR(__xludf.DUMMYFUNCTION("IFERROR(
  INDEX(
    FILTER(
      'NOMBRE DE PRODUCTOS'!B:B,
      REGEXMATCH(
        UPPER(
          INDEX(
            REPORTE_DROPI!AC:AC,
            MATCH(T863, REPORTE_DROPI!B:B, 0)
          )
        ),
        UPPER('NOMBRE DE PRODUCTOS'!A:A)"&amp;"
      )
    ),
    1
  ),
  ""REVISAR""
)
"),"Llave Multifuncional 360™")</f>
        <v>Llave Multifuncional 360™</v>
      </c>
      <c r="E863" s="120" t="str">
        <f t="array" ref="E863">IF(
UPPER(TRIM(CLEAN($O863)))="ENTREGADO",
IFERROR(
INDEX(REPORTE_DROPI!Y:Y,
MATCH($T863, REPORTE_DROPI!B:B, 0)
),
""
),
""
)
</f>
        <v/>
      </c>
      <c r="F863" s="121">
        <v>2.0</v>
      </c>
      <c r="G863" s="122" t="str">
        <f t="array" ref="G863">IF(
UPPER(TRIM(CLEAN($O863)))="ENTREGADO",
IFERROR(
INDEX(REPORTE_DROPI!R:R,
MATCH($T863, REPORTE_DROPI!B:B, 0)
),
""
),
""
)
</f>
        <v/>
      </c>
      <c r="H863" s="118" t="s">
        <v>3727</v>
      </c>
      <c r="I863" s="118" t="s">
        <v>3778</v>
      </c>
      <c r="J863" s="121" t="str">
        <f t="array" ref="J863">IF(
UPPER(TRIM(CLEAN($O863)))="ENTREGADO",
IFERROR(
INDEX(REPORTE_DROPI!T:T,
MATCH($T863, REPORTE_DROPI!B:B, 0)
),
""
),
""
)
</f>
        <v/>
      </c>
      <c r="K863" s="118" t="str">
        <f t="array" ref="K863">IFERROR(
INDEX(REPORTE_DROPI!S:S,
MATCH($T863, REPORTE_DROPI!B:B, 0)
),
""
)
</f>
        <v/>
      </c>
      <c r="L863" s="118">
        <f>IF(
  O863&lt;&gt;"DEVOLUCION",
  "",
  IF(
    T863="",
    "",
    SUMIF(DEVOLUCION!F:F, T863, DEVOLUCION!D:D)
  )
)
</f>
        <v>4.78</v>
      </c>
      <c r="M863" s="118" t="s">
        <v>3870</v>
      </c>
      <c r="N863" s="130" t="s">
        <v>5453</v>
      </c>
      <c r="O863" s="118" t="str">
        <f t="array" ref="O863">IFERROR(
VLOOKUP(
TRIM(CLEAN(
INDEX(REPORTE_DROPI!K:K,
MATCH(T863, REPORTE_DROPI!B:B, 0)
))),
{
TRIM(CLEAN(MAPA_ESTADOS!A:A)) ,
MAPA_ESTADOS!B:B
},
2,
FALSE
),
"REVISAR"
)
</f>
        <v>DEVOLUCION</v>
      </c>
      <c r="P863" s="118" t="s">
        <v>3655</v>
      </c>
      <c r="Q863" s="122">
        <f t="shared" si="2"/>
        <v>0</v>
      </c>
      <c r="R863" s="118" t="s">
        <v>3675</v>
      </c>
      <c r="S863" s="118">
        <v>2.0</v>
      </c>
      <c r="T863" s="118">
        <f t="array" ref="T863">IFERROR(
INDEX(REPORTE_DROPI!B:B,
MATCH(
CLEAN(TRIM(C863)),
CLEAN(TRIM(REPORTE_DROPI!E:E)),
0
)
),
""
)
</f>
        <v>4274146</v>
      </c>
      <c r="U863" s="118">
        <v>6.447333900332E12</v>
      </c>
      <c r="V863" s="78"/>
      <c r="W863" s="78"/>
      <c r="X863" s="78"/>
      <c r="Y863" s="78"/>
      <c r="Z863" s="78"/>
    </row>
    <row r="864" ht="22.5" customHeight="1">
      <c r="A864" s="118">
        <v>863.0</v>
      </c>
      <c r="B864" s="119">
        <v>46047.0</v>
      </c>
      <c r="C864" s="118" t="s">
        <v>5454</v>
      </c>
      <c r="D864" s="118" t="str">
        <f>IFERROR(__xludf.DUMMYFUNCTION("IFERROR(
  INDEX(
    FILTER(
      'NOMBRE DE PRODUCTOS'!B:B,
      REGEXMATCH(
        UPPER(
          INDEX(
            REPORTE_DROPI!AC:AC,
            MATCH(T864, REPORTE_DROPI!B:B, 0)
          )
        ),
        UPPER('NOMBRE DE PRODUCTOS'!A:A)"&amp;"
      )
    ),
    1
  ),
  ""REVISAR""
)
"),"Llave Multifuncional 360™")</f>
        <v>Llave Multifuncional 360™</v>
      </c>
      <c r="E864" s="120">
        <f t="array" ref="E864">IF(
UPPER(TRIM(CLEAN($O864)))="ENTREGADO",
IFERROR(
INDEX(REPORTE_DROPI!Y:Y,
MATCH($T864, REPORTE_DROPI!B:B, 0)
),
""
),
""
)
</f>
        <v>10</v>
      </c>
      <c r="F864" s="121">
        <v>2.0</v>
      </c>
      <c r="G864" s="122">
        <f t="array" ref="G864">IF(
UPPER(TRIM(CLEAN($O864)))="ENTREGADO",
IFERROR(
INDEX(REPORTE_DROPI!R:R,
MATCH($T864, REPORTE_DROPI!B:B, 0)
),
""
),
""
)
</f>
        <v>32</v>
      </c>
      <c r="H864" s="118" t="s">
        <v>3727</v>
      </c>
      <c r="I864" s="118" t="s">
        <v>3772</v>
      </c>
      <c r="J864" s="121">
        <f t="array" ref="J864">IF(
UPPER(TRIM(CLEAN($O864)))="ENTREGADO",
IFERROR(
INDEX(REPORTE_DROPI!T:T,
MATCH($T864, REPORTE_DROPI!B:B, 0)
),
""
),
""
)
</f>
        <v>6.24</v>
      </c>
      <c r="K864" s="118">
        <f t="array" ref="K864">IFERROR(
INDEX(REPORTE_DROPI!S:S,
MATCH($T864, REPORTE_DROPI!B:B, 0)
),
""
)
</f>
        <v>15.76</v>
      </c>
      <c r="L864" s="118" t="str">
        <f>IF(
  O864&lt;&gt;"DEVOLUCION",
  "",
  IF(
    T864="",
    "",
    SUMIF(DEVOLUCION!F:F, T864, DEVOLUCION!D:D)
  )
)
</f>
        <v/>
      </c>
      <c r="M864" s="118" t="s">
        <v>3870</v>
      </c>
      <c r="N864" s="130" t="s">
        <v>5455</v>
      </c>
      <c r="O864" s="118" t="str">
        <f t="array" ref="O864">IFERROR(
VLOOKUP(
TRIM(CLEAN(
INDEX(REPORTE_DROPI!K:K,
MATCH(T864, REPORTE_DROPI!B:B, 0)
))),
{
TRIM(CLEAN(MAPA_ESTADOS!A:A)) ,
MAPA_ESTADOS!B:B
},
2,
FALSE
),
"REVISAR"
)
</f>
        <v>ENTREGADO</v>
      </c>
      <c r="P864" s="118" t="s">
        <v>3655</v>
      </c>
      <c r="Q864" s="122">
        <f t="shared" si="2"/>
        <v>0</v>
      </c>
      <c r="R864" s="118"/>
      <c r="S864" s="118"/>
      <c r="T864" s="118">
        <f t="array" ref="T864">IFERROR(
INDEX(REPORTE_DROPI!B:B,
MATCH(
CLEAN(TRIM(C864)),
CLEAN(TRIM(REPORTE_DROPI!E:E)),
0
)
),
""
)
</f>
        <v>4274708</v>
      </c>
      <c r="U864" s="118">
        <v>6.447486861356E12</v>
      </c>
      <c r="V864" s="78"/>
      <c r="W864" s="78"/>
      <c r="X864" s="78"/>
      <c r="Y864" s="78"/>
      <c r="Z864" s="78"/>
    </row>
    <row r="865" ht="22.5" customHeight="1">
      <c r="A865" s="118">
        <v>864.0</v>
      </c>
      <c r="B865" s="119">
        <v>46047.0</v>
      </c>
      <c r="C865" s="118" t="s">
        <v>5456</v>
      </c>
      <c r="D865" s="118" t="str">
        <f>IFERROR(__xludf.DUMMYFUNCTION("IFERROR(
  INDEX(
    FILTER(
      'NOMBRE DE PRODUCTOS'!B:B,
      REGEXMATCH(
        UPPER(
          INDEX(
            REPORTE_DROPI!AC:AC,
            MATCH(T865, REPORTE_DROPI!B:B, 0)
          )
        ),
        UPPER('NOMBRE DE PRODUCTOS'!A:A)"&amp;"
      )
    ),
    1
  ),
  ""REVISAR""
)
"),"Llave Multifuncional 360™")</f>
        <v>Llave Multifuncional 360™</v>
      </c>
      <c r="E865" s="120" t="str">
        <f t="array" ref="E865">IF(
UPPER(TRIM(CLEAN($O865)))="ENTREGADO",
IFERROR(
INDEX(REPORTE_DROPI!Y:Y,
MATCH($T865, REPORTE_DROPI!B:B, 0)
),
""
),
""
)
</f>
        <v/>
      </c>
      <c r="F865" s="121">
        <v>2.0</v>
      </c>
      <c r="G865" s="122" t="str">
        <f t="array" ref="G865">IF(
UPPER(TRIM(CLEAN($O865)))="ENTREGADO",
IFERROR(
INDEX(REPORTE_DROPI!R:R,
MATCH($T865, REPORTE_DROPI!B:B, 0)
),
""
),
""
)
</f>
        <v/>
      </c>
      <c r="H865" s="118" t="s">
        <v>3727</v>
      </c>
      <c r="I865" s="118" t="s">
        <v>3951</v>
      </c>
      <c r="J865" s="121" t="str">
        <f t="array" ref="J865">IF(
UPPER(TRIM(CLEAN($O865)))="ENTREGADO",
IFERROR(
INDEX(REPORTE_DROPI!T:T,
MATCH($T865, REPORTE_DROPI!B:B, 0)
),
""
),
""
)
</f>
        <v/>
      </c>
      <c r="K865" s="118" t="str">
        <f t="array" ref="K865">IFERROR(
INDEX(REPORTE_DROPI!S:S,
MATCH($T865, REPORTE_DROPI!B:B, 0)
),
""
)
</f>
        <v/>
      </c>
      <c r="L865" s="118">
        <f>IF(
  O865&lt;&gt;"DEVOLUCION",
  "",
  IF(
    T865="",
    "",
    SUMIF(DEVOLUCION!F:F, T865, DEVOLUCION!D:D)
  )
)
</f>
        <v>5.13</v>
      </c>
      <c r="M865" s="118" t="s">
        <v>3870</v>
      </c>
      <c r="N865" s="130" t="s">
        <v>5457</v>
      </c>
      <c r="O865" s="118" t="str">
        <f t="array" ref="O865">IFERROR(
VLOOKUP(
TRIM(CLEAN(
INDEX(REPORTE_DROPI!K:K,
MATCH(T865, REPORTE_DROPI!B:B, 0)
))),
{
TRIM(CLEAN(MAPA_ESTADOS!A:A)) ,
MAPA_ESTADOS!B:B
},
2,
FALSE
),
"REVISAR"
)
</f>
        <v>DEVOLUCION</v>
      </c>
      <c r="P865" s="118" t="s">
        <v>3655</v>
      </c>
      <c r="Q865" s="122">
        <f t="shared" si="2"/>
        <v>0</v>
      </c>
      <c r="R865" s="118" t="s">
        <v>3675</v>
      </c>
      <c r="S865" s="118">
        <v>2.0</v>
      </c>
      <c r="T865" s="118">
        <f t="array" ref="T865">IFERROR(
INDEX(REPORTE_DROPI!B:B,
MATCH(
CLEAN(TRIM(C865)),
CLEAN(TRIM(REPORTE_DROPI!E:E)),
0
)
),
""
)
</f>
        <v>4293210</v>
      </c>
      <c r="U865" s="118">
        <v>6.447529263148E12</v>
      </c>
      <c r="V865" s="78"/>
      <c r="W865" s="78"/>
      <c r="X865" s="78"/>
      <c r="Y865" s="78"/>
      <c r="Z865" s="78"/>
    </row>
    <row r="866" ht="22.5" customHeight="1">
      <c r="A866" s="118">
        <v>865.0</v>
      </c>
      <c r="B866" s="119">
        <v>46047.0</v>
      </c>
      <c r="C866" s="126" t="s">
        <v>5458</v>
      </c>
      <c r="D866" s="118" t="str">
        <f>IFERROR(__xludf.DUMMYFUNCTION("IFERROR(
  INDEX(
    FILTER(
      'NOMBRE DE PRODUCTOS'!B:B,
      REGEXMATCH(
        UPPER(
          INDEX(
            REPORTE_DROPI!AC:AC,
            MATCH(T866, REPORTE_DROPI!B:B, 0)
          )
        ),
        UPPER('NOMBRE DE PRODUCTOS'!A:A)"&amp;"
      )
    ),
    1
  ),
  ""REVISAR""
)
"),"FilmPro®")</f>
        <v>FilmPro®</v>
      </c>
      <c r="E866" s="120" t="str">
        <f t="array" ref="E866">IF(
UPPER(TRIM(CLEAN($O866)))="ENTREGADO",
IFERROR(
INDEX(REPORTE_DROPI!Y:Y,
MATCH($T866, REPORTE_DROPI!B:B, 0)
),
""
),
""
)
</f>
        <v/>
      </c>
      <c r="F866" s="121">
        <v>2.0</v>
      </c>
      <c r="G866" s="122" t="str">
        <f t="array" ref="G866">IF(
UPPER(TRIM(CLEAN($O866)))="ENTREGADO",
IFERROR(
INDEX(REPORTE_DROPI!R:R,
MATCH($T866, REPORTE_DROPI!B:B, 0)
),
""
),
""
)
</f>
        <v/>
      </c>
      <c r="H866" s="118" t="s">
        <v>3727</v>
      </c>
      <c r="I866" s="118" t="s">
        <v>3912</v>
      </c>
      <c r="J866" s="121" t="str">
        <f t="array" ref="J866">IF(
UPPER(TRIM(CLEAN($O866)))="ENTREGADO",
IFERROR(
INDEX(REPORTE_DROPI!T:T,
MATCH($T866, REPORTE_DROPI!B:B, 0)
),
""
),
""
)
</f>
        <v/>
      </c>
      <c r="K866" s="118" t="str">
        <f t="array" ref="K866">IFERROR(
INDEX(REPORTE_DROPI!S:S,
MATCH($T866, REPORTE_DROPI!B:B, 0)
),
""
)
</f>
        <v/>
      </c>
      <c r="L866" s="118" t="str">
        <f>IF(
  O866&lt;&gt;"DEVOLUCION",
  "",
  IF(
    T866="",
    "",
    SUMIF(DEVOLUCION!F:F, T866, DEVOLUCION!D:D)
  )
)
</f>
        <v/>
      </c>
      <c r="M866" s="118"/>
      <c r="N866" s="130" t="s">
        <v>5459</v>
      </c>
      <c r="O866" s="118" t="str">
        <f t="array" ref="O866">IFERROR(
VLOOKUP(
TRIM(CLEAN(
INDEX(REPORTE_DROPI!K:K,
MATCH(T866, REPORTE_DROPI!B:B, 0)
))),
{
TRIM(CLEAN(MAPA_ESTADOS!A:A)) ,
MAPA_ESTADOS!B:B
},
2,
FALSE
),
"REVISAR"
)
</f>
        <v>PENDIENTE</v>
      </c>
      <c r="P866" s="118"/>
      <c r="Q866" s="122">
        <f t="shared" si="2"/>
        <v>0</v>
      </c>
      <c r="R866" s="118"/>
      <c r="S866" s="118"/>
      <c r="T866" s="118">
        <f t="array" ref="T866">IFERROR(
INDEX(REPORTE_DROPI!B:B,
MATCH(
CLEAN(TRIM(C866)),
CLEAN(TRIM(REPORTE_DROPI!E:E)),
0
)
),
""
)
</f>
        <v>4274848</v>
      </c>
      <c r="U866" s="118">
        <v>6.447531819052E12</v>
      </c>
      <c r="V866" s="78"/>
      <c r="W866" s="78"/>
      <c r="X866" s="78"/>
      <c r="Y866" s="78"/>
      <c r="Z866" s="78"/>
    </row>
    <row r="867" ht="22.5" customHeight="1">
      <c r="A867" s="118">
        <v>866.0</v>
      </c>
      <c r="B867" s="119">
        <v>46047.0</v>
      </c>
      <c r="C867" s="118" t="s">
        <v>5460</v>
      </c>
      <c r="D867" s="118" t="str">
        <f>IFERROR(__xludf.DUMMYFUNCTION("IFERROR(
  INDEX(
    FILTER(
      'NOMBRE DE PRODUCTOS'!B:B,
      REGEXMATCH(
        UPPER(
          INDEX(
            REPORTE_DROPI!AC:AC,
            MATCH(T867, REPORTE_DROPI!B:B, 0)
          )
        ),
        UPPER('NOMBRE DE PRODUCTOS'!A:A)"&amp;"
      )
    ),
    1
  ),
  ""REVISAR""
)
"),"Llave Multifuncional 360™")</f>
        <v>Llave Multifuncional 360™</v>
      </c>
      <c r="E867" s="120">
        <f t="array" ref="E867">IF(
UPPER(TRIM(CLEAN($O867)))="ENTREGADO",
IFERROR(
INDEX(REPORTE_DROPI!Y:Y,
MATCH($T867, REPORTE_DROPI!B:B, 0)
),
""
),
""
)
</f>
        <v>5</v>
      </c>
      <c r="F867" s="121">
        <v>1.0</v>
      </c>
      <c r="G867" s="122">
        <f t="array" ref="G867">IF(
UPPER(TRIM(CLEAN($O867)))="ENTREGADO",
IFERROR(
INDEX(REPORTE_DROPI!R:R,
MATCH($T867, REPORTE_DROPI!B:B, 0)
),
""
),
""
)
</f>
        <v>21.99</v>
      </c>
      <c r="H867" s="118" t="s">
        <v>3727</v>
      </c>
      <c r="I867" s="118" t="s">
        <v>3740</v>
      </c>
      <c r="J867" s="121">
        <f t="array" ref="J867">IF(
UPPER(TRIM(CLEAN($O867)))="ENTREGADO",
IFERROR(
INDEX(REPORTE_DROPI!T:T,
MATCH($T867, REPORTE_DROPI!B:B, 0)
),
""
),
""
)
</f>
        <v>5.84</v>
      </c>
      <c r="K867" s="118">
        <f t="array" ref="K867">IFERROR(
INDEX(REPORTE_DROPI!S:S,
MATCH($T867, REPORTE_DROPI!B:B, 0)
),
""
)
</f>
        <v>11.15</v>
      </c>
      <c r="L867" s="118" t="str">
        <f>IF(
  O867&lt;&gt;"DEVOLUCION",
  "",
  IF(
    T867="",
    "",
    SUMIF(DEVOLUCION!F:F, T867, DEVOLUCION!D:D)
  )
)
</f>
        <v/>
      </c>
      <c r="M867" s="118" t="s">
        <v>3870</v>
      </c>
      <c r="N867" s="130" t="s">
        <v>5461</v>
      </c>
      <c r="O867" s="118" t="str">
        <f t="array" ref="O867">IFERROR(
VLOOKUP(
TRIM(CLEAN(
INDEX(REPORTE_DROPI!K:K,
MATCH(T867, REPORTE_DROPI!B:B, 0)
))),
{
TRIM(CLEAN(MAPA_ESTADOS!A:A)) ,
MAPA_ESTADOS!B:B
},
2,
FALSE
),
"REVISAR"
)
</f>
        <v>ENTREGADO</v>
      </c>
      <c r="P867" s="118" t="s">
        <v>3655</v>
      </c>
      <c r="Q867" s="122">
        <f t="shared" si="2"/>
        <v>0</v>
      </c>
      <c r="R867" s="118"/>
      <c r="S867" s="118"/>
      <c r="T867" s="118">
        <f t="array" ref="T867">IFERROR(
INDEX(REPORTE_DROPI!B:B,
MATCH(
CLEAN(TRIM(C867)),
CLEAN(TRIM(REPORTE_DROPI!E:E)),
0
)
),
""
)
</f>
        <v>4274981</v>
      </c>
      <c r="U867" s="118">
        <v>6.447582609452E12</v>
      </c>
      <c r="V867" s="78"/>
      <c r="W867" s="78"/>
      <c r="X867" s="78"/>
      <c r="Y867" s="78"/>
      <c r="Z867" s="78"/>
    </row>
    <row r="868" ht="22.5" customHeight="1">
      <c r="A868" s="118">
        <v>867.0</v>
      </c>
      <c r="B868" s="119">
        <v>46047.0</v>
      </c>
      <c r="C868" s="126" t="s">
        <v>5462</v>
      </c>
      <c r="D868" s="118" t="str">
        <f>IFERROR(__xludf.DUMMYFUNCTION("IFERROR(
  INDEX(
    FILTER(
      'NOMBRE DE PRODUCTOS'!B:B,
      REGEXMATCH(
        UPPER(
          INDEX(
            REPORTE_DROPI!AC:AC,
            MATCH(T868, REPORTE_DROPI!B:B, 0)
          )
        ),
        UPPER('NOMBRE DE PRODUCTOS'!A:A)"&amp;"
      )
    ),
    1
  ),
  ""REVISAR""
)
"),"FilmPro®")</f>
        <v>FilmPro®</v>
      </c>
      <c r="E868" s="120" t="str">
        <f t="array" ref="E868">IF(
UPPER(TRIM(CLEAN($O868)))="ENTREGADO",
IFERROR(
INDEX(REPORTE_DROPI!Y:Y,
MATCH($T868, REPORTE_DROPI!B:B, 0)
),
""
),
""
)
</f>
        <v/>
      </c>
      <c r="F868" s="121">
        <v>3.0</v>
      </c>
      <c r="G868" s="122" t="str">
        <f t="array" ref="G868">IF(
UPPER(TRIM(CLEAN($O868)))="ENTREGADO",
IFERROR(
INDEX(REPORTE_DROPI!R:R,
MATCH($T868, REPORTE_DROPI!B:B, 0)
),
""
),
""
)
</f>
        <v/>
      </c>
      <c r="H868" s="118" t="s">
        <v>3727</v>
      </c>
      <c r="I868" s="118" t="s">
        <v>3728</v>
      </c>
      <c r="J868" s="121" t="str">
        <f t="array" ref="J868">IF(
UPPER(TRIM(CLEAN($O868)))="ENTREGADO",
IFERROR(
INDEX(REPORTE_DROPI!T:T,
MATCH($T868, REPORTE_DROPI!B:B, 0)
),
""
),
""
)
</f>
        <v/>
      </c>
      <c r="K868" s="118" t="str">
        <f t="array" ref="K868">IFERROR(
INDEX(REPORTE_DROPI!S:S,
MATCH($T868, REPORTE_DROPI!B:B, 0)
),
""
)
</f>
        <v/>
      </c>
      <c r="L868" s="118" t="str">
        <f>IF(
  O868&lt;&gt;"DEVOLUCION",
  "",
  IF(
    T868="",
    "",
    SUMIF(DEVOLUCION!F:F, T868, DEVOLUCION!D:D)
  )
)
</f>
        <v/>
      </c>
      <c r="M868" s="118"/>
      <c r="N868" s="130" t="s">
        <v>5463</v>
      </c>
      <c r="O868" s="118" t="str">
        <f t="array" ref="O868">IFERROR(
VLOOKUP(
TRIM(CLEAN(
INDEX(REPORTE_DROPI!K:K,
MATCH(T868, REPORTE_DROPI!B:B, 0)
))),
{
TRIM(CLEAN(MAPA_ESTADOS!A:A)) ,
MAPA_ESTADOS!B:B
},
2,
FALSE
),
"REVISAR"
)
</f>
        <v>PENDIENTE</v>
      </c>
      <c r="P868" s="118"/>
      <c r="Q868" s="122">
        <f t="shared" si="2"/>
        <v>0</v>
      </c>
      <c r="R868" s="118"/>
      <c r="S868" s="118"/>
      <c r="T868" s="118">
        <f t="array" ref="T868">IFERROR(
INDEX(REPORTE_DROPI!B:B,
MATCH(
CLEAN(TRIM(C868)),
CLEAN(TRIM(REPORTE_DROPI!E:E)),
0
)
),
""
)
</f>
        <v>4275524</v>
      </c>
      <c r="U868" s="118">
        <v>6.44771355038E12</v>
      </c>
      <c r="V868" s="78"/>
      <c r="W868" s="78"/>
      <c r="X868" s="78"/>
      <c r="Y868" s="78"/>
      <c r="Z868" s="78"/>
    </row>
    <row r="869" ht="22.5" customHeight="1">
      <c r="A869" s="118">
        <v>868.0</v>
      </c>
      <c r="B869" s="119">
        <v>46047.0</v>
      </c>
      <c r="C869" s="126" t="s">
        <v>5464</v>
      </c>
      <c r="D869" s="118" t="str">
        <f>IFERROR(__xludf.DUMMYFUNCTION("IFERROR(
  INDEX(
    FILTER(
      'NOMBRE DE PRODUCTOS'!B:B,
      REGEXMATCH(
        UPPER(
          INDEX(
            REPORTE_DROPI!AC:AC,
            MATCH(T869, REPORTE_DROPI!B:B, 0)
          )
        ),
        UPPER('NOMBRE DE PRODUCTOS'!A:A)"&amp;"
      )
    ),
    1
  ),
  ""REVISAR""
)
"),"FilmPro®")</f>
        <v>FilmPro®</v>
      </c>
      <c r="E869" s="120" t="str">
        <f t="array" ref="E869">IF(
UPPER(TRIM(CLEAN($O869)))="ENTREGADO",
IFERROR(
INDEX(REPORTE_DROPI!Y:Y,
MATCH($T869, REPORTE_DROPI!B:B, 0)
),
""
),
""
)
</f>
        <v/>
      </c>
      <c r="F869" s="121">
        <v>1.0</v>
      </c>
      <c r="G869" s="122" t="str">
        <f t="array" ref="G869">IF(
UPPER(TRIM(CLEAN($O869)))="ENTREGADO",
IFERROR(
INDEX(REPORTE_DROPI!R:R,
MATCH($T869, REPORTE_DROPI!B:B, 0)
),
""
),
""
)
</f>
        <v/>
      </c>
      <c r="H869" s="118" t="s">
        <v>3727</v>
      </c>
      <c r="I869" s="118" t="s">
        <v>3740</v>
      </c>
      <c r="J869" s="121" t="str">
        <f t="array" ref="J869">IF(
UPPER(TRIM(CLEAN($O869)))="ENTREGADO",
IFERROR(
INDEX(REPORTE_DROPI!T:T,
MATCH($T869, REPORTE_DROPI!B:B, 0)
),
""
),
""
)
</f>
        <v/>
      </c>
      <c r="K869" s="118" t="str">
        <f t="array" ref="K869">IFERROR(
INDEX(REPORTE_DROPI!S:S,
MATCH($T869, REPORTE_DROPI!B:B, 0)
),
""
)
</f>
        <v/>
      </c>
      <c r="L869" s="118" t="str">
        <f>IF(
  O869&lt;&gt;"DEVOLUCION",
  "",
  IF(
    T869="",
    "",
    SUMIF(DEVOLUCION!F:F, T869, DEVOLUCION!D:D)
  )
)
</f>
        <v/>
      </c>
      <c r="M869" s="118"/>
      <c r="N869" s="130" t="s">
        <v>5465</v>
      </c>
      <c r="O869" s="118" t="str">
        <f t="array" ref="O869">IFERROR(
VLOOKUP(
TRIM(CLEAN(
INDEX(REPORTE_DROPI!K:K,
MATCH(T869, REPORTE_DROPI!B:B, 0)
))),
{
TRIM(CLEAN(MAPA_ESTADOS!A:A)) ,
MAPA_ESTADOS!B:B
},
2,
FALSE
),
"REVISAR"
)
</f>
        <v>PENDIENTE</v>
      </c>
      <c r="P869" s="118"/>
      <c r="Q869" s="122">
        <f t="shared" si="2"/>
        <v>0</v>
      </c>
      <c r="R869" s="118"/>
      <c r="S869" s="118"/>
      <c r="T869" s="118">
        <f t="array" ref="T869">IFERROR(
INDEX(REPORTE_DROPI!B:B,
MATCH(
CLEAN(TRIM(C869)),
CLEAN(TRIM(REPORTE_DROPI!E:E)),
0
)
),
""
)
</f>
        <v>4275565</v>
      </c>
      <c r="U869" s="118">
        <v>6.447722659884E12</v>
      </c>
      <c r="V869" s="78"/>
      <c r="W869" s="78"/>
      <c r="X869" s="78"/>
      <c r="Y869" s="78"/>
      <c r="Z869" s="78"/>
    </row>
    <row r="870" ht="22.5" customHeight="1">
      <c r="A870" s="118">
        <v>869.0</v>
      </c>
      <c r="B870" s="119">
        <v>46047.0</v>
      </c>
      <c r="C870" s="118" t="s">
        <v>5437</v>
      </c>
      <c r="D870" s="118" t="str">
        <f>IFERROR(__xludf.DUMMYFUNCTION("IFERROR(
  INDEX(
    FILTER(
      'NOMBRE DE PRODUCTOS'!B:B,
      REGEXMATCH(
        UPPER(
          INDEX(
            REPORTE_DROPI!AC:AC,
            MATCH(T870, REPORTE_DROPI!B:B, 0)
          )
        ),
        UPPER('NOMBRE DE PRODUCTOS'!A:A)"&amp;"
      )
    ),
    1
  ),
  ""REVISAR""
)
"),"Llave Multifuncional 360™")</f>
        <v>Llave Multifuncional 360™</v>
      </c>
      <c r="E870" s="120" t="str">
        <f t="array" ref="E870">IF(
UPPER(TRIM(CLEAN($O870)))="ENTREGADO",
IFERROR(
INDEX(REPORTE_DROPI!Y:Y,
MATCH($T870, REPORTE_DROPI!B:B, 0)
),
""
),
""
)
</f>
        <v/>
      </c>
      <c r="F870" s="121">
        <v>2.0</v>
      </c>
      <c r="G870" s="122" t="str">
        <f t="array" ref="G870">IF(
UPPER(TRIM(CLEAN($O870)))="ENTREGADO",
IFERROR(
INDEX(REPORTE_DROPI!R:R,
MATCH($T870, REPORTE_DROPI!B:B, 0)
),
""
),
""
)
</f>
        <v/>
      </c>
      <c r="H870" s="118" t="s">
        <v>3727</v>
      </c>
      <c r="I870" s="118" t="s">
        <v>3731</v>
      </c>
      <c r="J870" s="121" t="str">
        <f t="array" ref="J870">IF(
UPPER(TRIM(CLEAN($O870)))="ENTREGADO",
IFERROR(
INDEX(REPORTE_DROPI!T:T,
MATCH($T870, REPORTE_DROPI!B:B, 0)
),
""
),
""
)
</f>
        <v/>
      </c>
      <c r="K870" s="118" t="str">
        <f t="array" ref="K870">IFERROR(
INDEX(REPORTE_DROPI!S:S,
MATCH($T870, REPORTE_DROPI!B:B, 0)
),
""
)
</f>
        <v/>
      </c>
      <c r="L870" s="118" t="str">
        <f>IF(
  O870&lt;&gt;"DEVOLUCION",
  "",
  IF(
    T870="",
    "",
    SUMIF(DEVOLUCION!F:F, T870, DEVOLUCION!D:D)
  )
)
</f>
        <v/>
      </c>
      <c r="M870" s="118" t="s">
        <v>3870</v>
      </c>
      <c r="N870" s="130" t="s">
        <v>5466</v>
      </c>
      <c r="O870" s="118" t="str">
        <f t="array" ref="O870">IFERROR(
VLOOKUP(
TRIM(CLEAN(
INDEX(REPORTE_DROPI!K:K,
MATCH(T870, REPORTE_DROPI!B:B, 0)
))),
{
TRIM(CLEAN(MAPA_ESTADOS!A:A)) ,
MAPA_ESTADOS!B:B
},
2,
FALSE
),
"REVISAR"
)
</f>
        <v>CANCELADO</v>
      </c>
      <c r="P870" s="118" t="s">
        <v>5467</v>
      </c>
      <c r="Q870" s="122">
        <f t="shared" si="2"/>
        <v>0</v>
      </c>
      <c r="R870" s="118"/>
      <c r="S870" s="118"/>
      <c r="T870" s="118">
        <f t="array" ref="T870">IFERROR(
INDEX(REPORTE_DROPI!B:B,
MATCH(
CLEAN(TRIM(C870)),
CLEAN(TRIM(REPORTE_DROPI!E:E)),
0
)
),
""
)
</f>
        <v>4275694</v>
      </c>
      <c r="U870" s="118">
        <v>6.44774287774E12</v>
      </c>
      <c r="V870" s="78"/>
      <c r="W870" s="78"/>
      <c r="X870" s="78"/>
      <c r="Y870" s="78"/>
      <c r="Z870" s="78"/>
    </row>
    <row r="871" ht="22.5" customHeight="1">
      <c r="A871" s="118">
        <v>870.0</v>
      </c>
      <c r="B871" s="119">
        <v>46047.0</v>
      </c>
      <c r="C871" s="118" t="s">
        <v>5468</v>
      </c>
      <c r="D871" s="118" t="str">
        <f>IFERROR(__xludf.DUMMYFUNCTION("IFERROR(
  INDEX(
    FILTER(
      'NOMBRE DE PRODUCTOS'!B:B,
      REGEXMATCH(
        UPPER(
          INDEX(
            REPORTE_DROPI!AC:AC,
            MATCH(T871, REPORTE_DROPI!B:B, 0)
          )
        ),
        UPPER('NOMBRE DE PRODUCTOS'!A:A)"&amp;"
      )
    ),
    1
  ),
  ""REVISAR""
)
"),"Llave Multifuncional 360™")</f>
        <v>Llave Multifuncional 360™</v>
      </c>
      <c r="E871" s="120">
        <f t="array" ref="E871">IF(
UPPER(TRIM(CLEAN($O871)))="ENTREGADO",
IFERROR(
INDEX(REPORTE_DROPI!Y:Y,
MATCH($T871, REPORTE_DROPI!B:B, 0)
),
""
),
""
)
</f>
        <v>5</v>
      </c>
      <c r="F871" s="121">
        <v>1.0</v>
      </c>
      <c r="G871" s="122">
        <f t="array" ref="G871">IF(
UPPER(TRIM(CLEAN($O871)))="ENTREGADO",
IFERROR(
INDEX(REPORTE_DROPI!R:R,
MATCH($T871, REPORTE_DROPI!B:B, 0)
),
""
),
""
)
</f>
        <v>21.99</v>
      </c>
      <c r="H871" s="118" t="s">
        <v>3727</v>
      </c>
      <c r="I871" s="118" t="s">
        <v>3728</v>
      </c>
      <c r="J871" s="121">
        <f t="array" ref="J871">IF(
UPPER(TRIM(CLEAN($O871)))="ENTREGADO",
IFERROR(
INDEX(REPORTE_DROPI!T:T,
MATCH($T871, REPORTE_DROPI!B:B, 0)
),
""
),
""
)
</f>
        <v>5.84</v>
      </c>
      <c r="K871" s="118">
        <f t="array" ref="K871">IFERROR(
INDEX(REPORTE_DROPI!S:S,
MATCH($T871, REPORTE_DROPI!B:B, 0)
),
""
)
</f>
        <v>11.15</v>
      </c>
      <c r="L871" s="118" t="str">
        <f>IF(
  O871&lt;&gt;"DEVOLUCION",
  "",
  IF(
    T871="",
    "",
    SUMIF(DEVOLUCION!F:F, T871, DEVOLUCION!D:D)
  )
)
</f>
        <v/>
      </c>
      <c r="M871" s="118" t="s">
        <v>3870</v>
      </c>
      <c r="N871" s="130" t="s">
        <v>5469</v>
      </c>
      <c r="O871" s="118" t="str">
        <f t="array" ref="O871">IFERROR(
VLOOKUP(
TRIM(CLEAN(
INDEX(REPORTE_DROPI!K:K,
MATCH(T871, REPORTE_DROPI!B:B, 0)
))),
{
TRIM(CLEAN(MAPA_ESTADOS!A:A)) ,
MAPA_ESTADOS!B:B
},
2,
FALSE
),
"REVISAR"
)
</f>
        <v>ENTREGADO</v>
      </c>
      <c r="P871" s="118" t="s">
        <v>3655</v>
      </c>
      <c r="Q871" s="122">
        <f t="shared" si="2"/>
        <v>0</v>
      </c>
      <c r="R871" s="118"/>
      <c r="S871" s="118"/>
      <c r="T871" s="118">
        <f t="array" ref="T871">IFERROR(
INDEX(REPORTE_DROPI!B:B,
MATCH(
CLEAN(TRIM(C871)),
CLEAN(TRIM(REPORTE_DROPI!E:E)),
0
)
),
""
)
</f>
        <v>4292212</v>
      </c>
      <c r="U871" s="118">
        <v>6.447914057772E12</v>
      </c>
      <c r="V871" s="78"/>
      <c r="W871" s="78"/>
      <c r="X871" s="78"/>
      <c r="Y871" s="78"/>
      <c r="Z871" s="78"/>
    </row>
    <row r="872" ht="22.5" customHeight="1">
      <c r="A872" s="118">
        <v>871.0</v>
      </c>
      <c r="B872" s="119">
        <v>46047.0</v>
      </c>
      <c r="C872" s="126" t="s">
        <v>5470</v>
      </c>
      <c r="D872" s="118" t="str">
        <f>IFERROR(__xludf.DUMMYFUNCTION("IFERROR(
  INDEX(
    FILTER(
      'NOMBRE DE PRODUCTOS'!B:B,
      REGEXMATCH(
        UPPER(
          INDEX(
            REPORTE_DROPI!AC:AC,
            MATCH(T872, REPORTE_DROPI!B:B, 0)
          )
        ),
        UPPER('NOMBRE DE PRODUCTOS'!A:A)"&amp;"
      )
    ),
    1
  ),
  ""REVISAR""
)
"),"FilmPro®")</f>
        <v>FilmPro®</v>
      </c>
      <c r="E872" s="120">
        <f t="array" ref="E872">IF(
UPPER(TRIM(CLEAN($O872)))="ENTREGADO",
IFERROR(
INDEX(REPORTE_DROPI!Y:Y,
MATCH($T872, REPORTE_DROPI!B:B, 0)
),
""
),
""
)
</f>
        <v>4.7</v>
      </c>
      <c r="F872" s="121">
        <v>2.0</v>
      </c>
      <c r="G872" s="122">
        <f t="array" ref="G872">IF(
UPPER(TRIM(CLEAN($O872)))="ENTREGADO",
IFERROR(
INDEX(REPORTE_DROPI!R:R,
MATCH($T872, REPORTE_DROPI!B:B, 0)
),
""
),
""
)
</f>
        <v>25</v>
      </c>
      <c r="H872" s="118" t="s">
        <v>3727</v>
      </c>
      <c r="I872" s="118" t="s">
        <v>3740</v>
      </c>
      <c r="J872" s="121">
        <f t="array" ref="J872">IF(
UPPER(TRIM(CLEAN($O872)))="ENTREGADO",
IFERROR(
INDEX(REPORTE_DROPI!T:T,
MATCH($T872, REPORTE_DROPI!B:B, 0)
),
""
),
""
)
</f>
        <v>7.75</v>
      </c>
      <c r="K872" s="118">
        <f t="array" ref="K872">IFERROR(
INDEX(REPORTE_DROPI!S:S,
MATCH($T872, REPORTE_DROPI!B:B, 0)
),
""
)
</f>
        <v>12.55</v>
      </c>
      <c r="L872" s="118" t="str">
        <f>IF(
  O872&lt;&gt;"DEVOLUCION",
  "",
  IF(
    T872="",
    "",
    SUMIF(DEVOLUCION!F:F, T872, DEVOLUCION!D:D)
  )
)
</f>
        <v/>
      </c>
      <c r="M872" s="118" t="s">
        <v>3870</v>
      </c>
      <c r="N872" s="130" t="s">
        <v>5471</v>
      </c>
      <c r="O872" s="118" t="str">
        <f t="array" ref="O872">IFERROR(
VLOOKUP(
TRIM(CLEAN(
INDEX(REPORTE_DROPI!K:K,
MATCH(T872, REPORTE_DROPI!B:B, 0)
))),
{
TRIM(CLEAN(MAPA_ESTADOS!A:A)) ,
MAPA_ESTADOS!B:B
},
2,
FALSE
),
"REVISAR"
)
</f>
        <v>ENTREGADO</v>
      </c>
      <c r="P872" s="118" t="s">
        <v>3655</v>
      </c>
      <c r="Q872" s="122">
        <f t="shared" si="2"/>
        <v>0</v>
      </c>
      <c r="R872" s="118"/>
      <c r="S872" s="118"/>
      <c r="T872" s="118">
        <f t="array" ref="T872">IFERROR(
INDEX(REPORTE_DROPI!B:B,
MATCH(
CLEAN(TRIM(C872)),
CLEAN(TRIM(REPORTE_DROPI!E:E)),
0
)
),
""
)
</f>
        <v>4277071</v>
      </c>
      <c r="U872" s="118">
        <v>6.447964291116E12</v>
      </c>
      <c r="V872" s="78"/>
      <c r="W872" s="78"/>
      <c r="X872" s="78"/>
      <c r="Y872" s="78"/>
      <c r="Z872" s="78"/>
    </row>
    <row r="873" ht="22.5" customHeight="1">
      <c r="A873" s="118">
        <v>872.0</v>
      </c>
      <c r="B873" s="119">
        <v>46047.0</v>
      </c>
      <c r="C873" s="126" t="s">
        <v>5472</v>
      </c>
      <c r="D873" s="118" t="str">
        <f>IFERROR(__xludf.DUMMYFUNCTION("IFERROR(
  INDEX(
    FILTER(
      'NOMBRE DE PRODUCTOS'!B:B,
      REGEXMATCH(
        UPPER(
          INDEX(
            REPORTE_DROPI!AC:AC,
            MATCH(T873, REPORTE_DROPI!B:B, 0)
          )
        ),
        UPPER('NOMBRE DE PRODUCTOS'!A:A)"&amp;"
      )
    ),
    1
  ),
  ""REVISAR""
)
"),"FilmPro®")</f>
        <v>FilmPro®</v>
      </c>
      <c r="E873" s="120" t="str">
        <f t="array" ref="E873">IF(
UPPER(TRIM(CLEAN($O873)))="ENTREGADO",
IFERROR(
INDEX(REPORTE_DROPI!Y:Y,
MATCH($T873, REPORTE_DROPI!B:B, 0)
),
""
),
""
)
</f>
        <v/>
      </c>
      <c r="F873" s="121">
        <v>2.0</v>
      </c>
      <c r="G873" s="122" t="str">
        <f t="array" ref="G873">IF(
UPPER(TRIM(CLEAN($O873)))="ENTREGADO",
IFERROR(
INDEX(REPORTE_DROPI!R:R,
MATCH($T873, REPORTE_DROPI!B:B, 0)
),
""
),
""
)
</f>
        <v/>
      </c>
      <c r="H873" s="118" t="s">
        <v>3727</v>
      </c>
      <c r="I873" s="118" t="s">
        <v>3728</v>
      </c>
      <c r="J873" s="121" t="str">
        <f t="array" ref="J873">IF(
UPPER(TRIM(CLEAN($O873)))="ENTREGADO",
IFERROR(
INDEX(REPORTE_DROPI!T:T,
MATCH($T873, REPORTE_DROPI!B:B, 0)
),
""
),
""
)
</f>
        <v/>
      </c>
      <c r="K873" s="118" t="str">
        <f t="array" ref="K873">IFERROR(
INDEX(REPORTE_DROPI!S:S,
MATCH($T873, REPORTE_DROPI!B:B, 0)
),
""
)
</f>
        <v/>
      </c>
      <c r="L873" s="118">
        <f>IF(
  O873&lt;&gt;"DEVOLUCION",
  "",
  IF(
    T873="",
    "",
    SUMIF(DEVOLUCION!F:F, T873, DEVOLUCION!D:D)
  )
)
</f>
        <v>5.09</v>
      </c>
      <c r="M873" s="118" t="s">
        <v>3870</v>
      </c>
      <c r="N873" s="130" t="s">
        <v>5473</v>
      </c>
      <c r="O873" s="118" t="str">
        <f t="array" ref="O873">IFERROR(
VLOOKUP(
TRIM(CLEAN(
INDEX(REPORTE_DROPI!K:K,
MATCH(T873, REPORTE_DROPI!B:B, 0)
))),
{
TRIM(CLEAN(MAPA_ESTADOS!A:A)) ,
MAPA_ESTADOS!B:B
},
2,
FALSE
),
"REVISAR"
)
</f>
        <v>DEVOLUCION</v>
      </c>
      <c r="P873" s="118" t="s">
        <v>3655</v>
      </c>
      <c r="Q873" s="122">
        <f t="shared" si="2"/>
        <v>0</v>
      </c>
      <c r="R873" s="118"/>
      <c r="S873" s="118"/>
      <c r="T873" s="118">
        <f t="array" ref="T873">IFERROR(
INDEX(REPORTE_DROPI!B:B,
MATCH(
CLEAN(TRIM(C873)),
CLEAN(TRIM(REPORTE_DROPI!E:E)),
0
)
),
""
)
</f>
        <v>4326257</v>
      </c>
      <c r="U873" s="118">
        <v>6.448030482476E12</v>
      </c>
      <c r="V873" s="78"/>
      <c r="W873" s="78"/>
      <c r="X873" s="78"/>
      <c r="Y873" s="78"/>
      <c r="Z873" s="78"/>
    </row>
    <row r="874" ht="22.5" customHeight="1">
      <c r="A874" s="118">
        <v>873.0</v>
      </c>
      <c r="B874" s="119">
        <v>46047.0</v>
      </c>
      <c r="C874" s="126" t="s">
        <v>5474</v>
      </c>
      <c r="D874" s="118" t="str">
        <f>IFERROR(__xludf.DUMMYFUNCTION("IFERROR(
  INDEX(
    FILTER(
      'NOMBRE DE PRODUCTOS'!B:B,
      REGEXMATCH(
        UPPER(
          INDEX(
            REPORTE_DROPI!AC:AC,
            MATCH(T874, REPORTE_DROPI!B:B, 0)
          )
        ),
        UPPER('NOMBRE DE PRODUCTOS'!A:A)"&amp;"
      )
    ),
    1
  ),
  ""REVISAR""
)
"),"FilmPro®")</f>
        <v>FilmPro®</v>
      </c>
      <c r="E874" s="120">
        <f t="array" ref="E874">IF(
UPPER(TRIM(CLEAN($O874)))="ENTREGADO",
IFERROR(
INDEX(REPORTE_DROPI!Y:Y,
MATCH($T874, REPORTE_DROPI!B:B, 0)
),
""
),
""
)
</f>
        <v>4.7</v>
      </c>
      <c r="F874" s="121">
        <v>2.0</v>
      </c>
      <c r="G874" s="122">
        <f t="array" ref="G874">IF(
UPPER(TRIM(CLEAN($O874)))="ENTREGADO",
IFERROR(
INDEX(REPORTE_DROPI!R:R,
MATCH($T874, REPORTE_DROPI!B:B, 0)
),
""
),
""
)
</f>
        <v>25</v>
      </c>
      <c r="H874" s="118" t="s">
        <v>3727</v>
      </c>
      <c r="I874" s="118" t="s">
        <v>3728</v>
      </c>
      <c r="J874" s="121">
        <f t="array" ref="J874">IF(
UPPER(TRIM(CLEAN($O874)))="ENTREGADO",
IFERROR(
INDEX(REPORTE_DROPI!T:T,
MATCH($T874, REPORTE_DROPI!B:B, 0)
),
""
),
""
)
</f>
        <v>5.96</v>
      </c>
      <c r="K874" s="118">
        <f t="array" ref="K874">IFERROR(
INDEX(REPORTE_DROPI!S:S,
MATCH($T874, REPORTE_DROPI!B:B, 0)
),
""
)
</f>
        <v>14.34</v>
      </c>
      <c r="L874" s="118" t="str">
        <f>IF(
  O874&lt;&gt;"DEVOLUCION",
  "",
  IF(
    T874="",
    "",
    SUMIF(DEVOLUCION!F:F, T874, DEVOLUCION!D:D)
  )
)
</f>
        <v/>
      </c>
      <c r="M874" s="118" t="s">
        <v>3870</v>
      </c>
      <c r="N874" s="130" t="s">
        <v>5475</v>
      </c>
      <c r="O874" s="118" t="str">
        <f t="array" ref="O874">IFERROR(
VLOOKUP(
TRIM(CLEAN(
INDEX(REPORTE_DROPI!K:K,
MATCH(T874, REPORTE_DROPI!B:B, 0)
))),
{
TRIM(CLEAN(MAPA_ESTADOS!A:A)) ,
MAPA_ESTADOS!B:B
},
2,
FALSE
),
"REVISAR"
)
</f>
        <v>ENTREGADO</v>
      </c>
      <c r="P874" s="118" t="s">
        <v>3655</v>
      </c>
      <c r="Q874" s="122">
        <f t="shared" si="2"/>
        <v>0</v>
      </c>
      <c r="R874" s="118"/>
      <c r="S874" s="118"/>
      <c r="T874" s="118">
        <f t="array" ref="T874">IFERROR(
INDEX(REPORTE_DROPI!B:B,
MATCH(
CLEAN(TRIM(C874)),
CLEAN(TRIM(REPORTE_DROPI!E:E)),
0
)
),
""
)
</f>
        <v>4326176</v>
      </c>
      <c r="U874" s="118">
        <v>6.44813412766E12</v>
      </c>
      <c r="V874" s="78"/>
      <c r="W874" s="78"/>
      <c r="X874" s="78"/>
      <c r="Y874" s="78"/>
      <c r="Z874" s="78"/>
    </row>
    <row r="875" ht="22.5" customHeight="1">
      <c r="A875" s="118">
        <v>874.0</v>
      </c>
      <c r="B875" s="119">
        <v>46048.0</v>
      </c>
      <c r="C875" s="118" t="s">
        <v>5476</v>
      </c>
      <c r="D875" s="118" t="str">
        <f>IFERROR(__xludf.DUMMYFUNCTION("IFERROR(
  INDEX(
    FILTER(
      'NOMBRE DE PRODUCTOS'!B:B,
      REGEXMATCH(
        UPPER(
          INDEX(
            REPORTE_DROPI!AC:AC,
            MATCH(T875, REPORTE_DROPI!B:B, 0)
          )
        ),
        UPPER('NOMBRE DE PRODUCTOS'!A:A)"&amp;"
      )
    ),
    1
  ),
  ""REVISAR""
)
"),"Llave Multifuncional 360™")</f>
        <v>Llave Multifuncional 360™</v>
      </c>
      <c r="E875" s="120">
        <f t="array" ref="E875">IF(
UPPER(TRIM(CLEAN($O875)))="ENTREGADO",
IFERROR(
INDEX(REPORTE_DROPI!Y:Y,
MATCH($T875, REPORTE_DROPI!B:B, 0)
),
""
),
""
)
</f>
        <v>10</v>
      </c>
      <c r="F875" s="121">
        <v>2.0</v>
      </c>
      <c r="G875" s="122">
        <f t="array" ref="G875">IF(
UPPER(TRIM(CLEAN($O875)))="ENTREGADO",
IFERROR(
INDEX(REPORTE_DROPI!R:R,
MATCH($T875, REPORTE_DROPI!B:B, 0)
),
""
),
""
)
</f>
        <v>32</v>
      </c>
      <c r="H875" s="118" t="s">
        <v>3727</v>
      </c>
      <c r="I875" s="118" t="s">
        <v>3912</v>
      </c>
      <c r="J875" s="121">
        <f t="array" ref="J875">IF(
UPPER(TRIM(CLEAN($O875)))="ENTREGADO",
IFERROR(
INDEX(REPORTE_DROPI!T:T,
MATCH($T875, REPORTE_DROPI!B:B, 0)
),
""
),
""
)
</f>
        <v>6.24</v>
      </c>
      <c r="K875" s="118">
        <f t="array" ref="K875">IFERROR(
INDEX(REPORTE_DROPI!S:S,
MATCH($T875, REPORTE_DROPI!B:B, 0)
),
""
)
</f>
        <v>15.76</v>
      </c>
      <c r="L875" s="118" t="str">
        <f>IF(
  O875&lt;&gt;"DEVOLUCION",
  "",
  IF(
    T875="",
    "",
    SUMIF(DEVOLUCION!F:F, T875, DEVOLUCION!D:D)
  )
)
</f>
        <v/>
      </c>
      <c r="M875" s="118" t="s">
        <v>3870</v>
      </c>
      <c r="N875" s="130" t="s">
        <v>5477</v>
      </c>
      <c r="O875" s="118" t="str">
        <f t="array" ref="O875">IFERROR(
VLOOKUP(
TRIM(CLEAN(
INDEX(REPORTE_DROPI!K:K,
MATCH(T875, REPORTE_DROPI!B:B, 0)
))),
{
TRIM(CLEAN(MAPA_ESTADOS!A:A)) ,
MAPA_ESTADOS!B:B
},
2,
FALSE
),
"REVISAR"
)
</f>
        <v>ENTREGADO</v>
      </c>
      <c r="P875" s="118" t="s">
        <v>3655</v>
      </c>
      <c r="Q875" s="122">
        <f t="shared" si="2"/>
        <v>0</v>
      </c>
      <c r="R875" s="118"/>
      <c r="S875" s="118"/>
      <c r="T875" s="118">
        <f t="array" ref="T875">IFERROR(
INDEX(REPORTE_DROPI!B:B,
MATCH(
CLEAN(TRIM(C875)),
CLEAN(TRIM(REPORTE_DROPI!E:E)),
0
)
),
""
)
</f>
        <v>4278529</v>
      </c>
      <c r="U875" s="118">
        <v>6.448238854188E12</v>
      </c>
      <c r="V875" s="78"/>
      <c r="W875" s="78"/>
      <c r="X875" s="78"/>
      <c r="Y875" s="78"/>
      <c r="Z875" s="78"/>
    </row>
    <row r="876" ht="22.5" customHeight="1">
      <c r="A876" s="118">
        <v>875.0</v>
      </c>
      <c r="B876" s="119">
        <v>46048.0</v>
      </c>
      <c r="C876" s="126" t="s">
        <v>5478</v>
      </c>
      <c r="D876" s="118" t="str">
        <f>IFERROR(__xludf.DUMMYFUNCTION("IFERROR(
  INDEX(
    FILTER(
      'NOMBRE DE PRODUCTOS'!B:B,
      REGEXMATCH(
        UPPER(
          INDEX(
            REPORTE_DROPI!AC:AC,
            MATCH(T876, REPORTE_DROPI!B:B, 0)
          )
        ),
        UPPER('NOMBRE DE PRODUCTOS'!A:A)"&amp;"
      )
    ),
    1
  ),
  ""REVISAR""
)
"),"Llave Multifuncional 360™")</f>
        <v>Llave Multifuncional 360™</v>
      </c>
      <c r="E876" s="120" t="str">
        <f t="array" ref="E876">IF(
UPPER(TRIM(CLEAN($O876)))="ENTREGADO",
IFERROR(
INDEX(REPORTE_DROPI!Y:Y,
MATCH($T876, REPORTE_DROPI!B:B, 0)
),
""
),
""
)
</f>
        <v/>
      </c>
      <c r="F876" s="121">
        <v>2.0</v>
      </c>
      <c r="G876" s="122" t="str">
        <f t="array" ref="G876">IF(
UPPER(TRIM(CLEAN($O876)))="ENTREGADO",
IFERROR(
INDEX(REPORTE_DROPI!R:R,
MATCH($T876, REPORTE_DROPI!B:B, 0)
),
""
),
""
)
</f>
        <v/>
      </c>
      <c r="H876" s="118" t="s">
        <v>3727</v>
      </c>
      <c r="I876" s="118" t="s">
        <v>3742</v>
      </c>
      <c r="J876" s="121" t="str">
        <f t="array" ref="J876">IF(
UPPER(TRIM(CLEAN($O876)))="ENTREGADO",
IFERROR(
INDEX(REPORTE_DROPI!T:T,
MATCH($T876, REPORTE_DROPI!B:B, 0)
),
""
),
""
)
</f>
        <v/>
      </c>
      <c r="K876" s="118" t="str">
        <f t="array" ref="K876">IFERROR(
INDEX(REPORTE_DROPI!S:S,
MATCH($T876, REPORTE_DROPI!B:B, 0)
),
""
)
</f>
        <v/>
      </c>
      <c r="L876" s="118">
        <f>IF(
  O876&lt;&gt;"DEVOLUCION",
  "",
  IF(
    T876="",
    "",
    SUMIF(DEVOLUCION!F:F, T876, DEVOLUCION!D:D)
  )
)
</f>
        <v>5.13</v>
      </c>
      <c r="M876" s="118" t="s">
        <v>3870</v>
      </c>
      <c r="N876" s="130" t="s">
        <v>5479</v>
      </c>
      <c r="O876" s="118" t="str">
        <f t="array" ref="O876">IFERROR(
VLOOKUP(
TRIM(CLEAN(
INDEX(REPORTE_DROPI!K:K,
MATCH(T876, REPORTE_DROPI!B:B, 0)
))),
{
TRIM(CLEAN(MAPA_ESTADOS!A:A)) ,
MAPA_ESTADOS!B:B
},
2,
FALSE
),
"REVISAR"
)
</f>
        <v>DEVOLUCION</v>
      </c>
      <c r="P876" s="118" t="s">
        <v>3655</v>
      </c>
      <c r="Q876" s="122">
        <f t="shared" si="2"/>
        <v>0</v>
      </c>
      <c r="R876" s="118" t="s">
        <v>3675</v>
      </c>
      <c r="S876" s="118">
        <v>2.0</v>
      </c>
      <c r="T876" s="118">
        <f t="array" ref="T876">IFERROR(
INDEX(REPORTE_DROPI!B:B,
MATCH(
CLEAN(TRIM(C876)),
CLEAN(TRIM(REPORTE_DROPI!E:E)),
0
)
),
""
)
</f>
        <v>4326197</v>
      </c>
      <c r="U876" s="118">
        <v>6.448537731116E12</v>
      </c>
      <c r="V876" s="78"/>
      <c r="W876" s="78"/>
      <c r="X876" s="78"/>
      <c r="Y876" s="78"/>
      <c r="Z876" s="78"/>
    </row>
    <row r="877" ht="22.5" customHeight="1">
      <c r="A877" s="118">
        <v>876.0</v>
      </c>
      <c r="B877" s="119">
        <v>46048.0</v>
      </c>
      <c r="C877" s="126" t="s">
        <v>5480</v>
      </c>
      <c r="D877" s="118" t="str">
        <f>IFERROR(__xludf.DUMMYFUNCTION("IFERROR(
  INDEX(
    FILTER(
      'NOMBRE DE PRODUCTOS'!B:B,
      REGEXMATCH(
        UPPER(
          INDEX(
            REPORTE_DROPI!AC:AC,
            MATCH(T877, REPORTE_DROPI!B:B, 0)
          )
        ),
        UPPER('NOMBRE DE PRODUCTOS'!A:A)"&amp;"
      )
    ),
    1
  ),
  ""REVISAR""
)
"),"FilmPro®")</f>
        <v>FilmPro®</v>
      </c>
      <c r="E877" s="120">
        <f t="array" ref="E877">IF(
UPPER(TRIM(CLEAN($O877)))="ENTREGADO",
IFERROR(
INDEX(REPORTE_DROPI!Y:Y,
MATCH($T877, REPORTE_DROPI!B:B, 0)
),
""
),
""
)
</f>
        <v>4.7</v>
      </c>
      <c r="F877" s="121">
        <v>2.0</v>
      </c>
      <c r="G877" s="122">
        <f t="array" ref="G877">IF(
UPPER(TRIM(CLEAN($O877)))="ENTREGADO",
IFERROR(
INDEX(REPORTE_DROPI!R:R,
MATCH($T877, REPORTE_DROPI!B:B, 0)
),
""
),
""
)
</f>
        <v>25</v>
      </c>
      <c r="H877" s="118" t="s">
        <v>3727</v>
      </c>
      <c r="I877" s="118" t="s">
        <v>3728</v>
      </c>
      <c r="J877" s="121">
        <f t="array" ref="J877">IF(
UPPER(TRIM(CLEAN($O877)))="ENTREGADO",
IFERROR(
INDEX(REPORTE_DROPI!T:T,
MATCH($T877, REPORTE_DROPI!B:B, 0)
),
""
),
""
)
</f>
        <v>5.96</v>
      </c>
      <c r="K877" s="118">
        <f t="array" ref="K877">IFERROR(
INDEX(REPORTE_DROPI!S:S,
MATCH($T877, REPORTE_DROPI!B:B, 0)
),
""
)
</f>
        <v>14.34</v>
      </c>
      <c r="L877" s="118" t="str">
        <f>IF(
  O877&lt;&gt;"DEVOLUCION",
  "",
  IF(
    T877="",
    "",
    SUMIF(DEVOLUCION!F:F, T877, DEVOLUCION!D:D)
  )
)
</f>
        <v/>
      </c>
      <c r="M877" s="118" t="s">
        <v>3870</v>
      </c>
      <c r="N877" s="130" t="s">
        <v>5481</v>
      </c>
      <c r="O877" s="118" t="str">
        <f t="array" ref="O877">IFERROR(
VLOOKUP(
TRIM(CLEAN(
INDEX(REPORTE_DROPI!K:K,
MATCH(T877, REPORTE_DROPI!B:B, 0)
))),
{
TRIM(CLEAN(MAPA_ESTADOS!A:A)) ,
MAPA_ESTADOS!B:B
},
2,
FALSE
),
"REVISAR"
)
</f>
        <v>ENTREGADO</v>
      </c>
      <c r="P877" s="118" t="s">
        <v>3655</v>
      </c>
      <c r="Q877" s="122">
        <f t="shared" si="2"/>
        <v>0</v>
      </c>
      <c r="R877" s="118"/>
      <c r="S877" s="118"/>
      <c r="T877" s="118">
        <f t="array" ref="T877">IFERROR(
INDEX(REPORTE_DROPI!B:B,
MATCH(
CLEAN(TRIM(C877)),
CLEAN(TRIM(REPORTE_DROPI!E:E)),
0
)
),
""
)
</f>
        <v>4326126</v>
      </c>
      <c r="U877" s="118">
        <v>6.448540876844E12</v>
      </c>
      <c r="V877" s="78"/>
      <c r="W877" s="78"/>
      <c r="X877" s="78"/>
      <c r="Y877" s="78"/>
      <c r="Z877" s="78"/>
    </row>
    <row r="878" ht="22.5" customHeight="1">
      <c r="A878" s="118">
        <v>877.0</v>
      </c>
      <c r="B878" s="119">
        <v>46048.0</v>
      </c>
      <c r="C878" s="126" t="s">
        <v>5482</v>
      </c>
      <c r="D878" s="118" t="str">
        <f>IFERROR(__xludf.DUMMYFUNCTION("IFERROR(
  INDEX(
    FILTER(
      'NOMBRE DE PRODUCTOS'!B:B,
      REGEXMATCH(
        UPPER(
          INDEX(
            REPORTE_DROPI!AC:AC,
            MATCH(T878, REPORTE_DROPI!B:B, 0)
          )
        ),
        UPPER('NOMBRE DE PRODUCTOS'!A:A)"&amp;"
      )
    ),
    1
  ),
  ""REVISAR""
)
"),"FilmPro®")</f>
        <v>FilmPro®</v>
      </c>
      <c r="E878" s="120">
        <f t="array" ref="E878">IF(
UPPER(TRIM(CLEAN($O878)))="ENTREGADO",
IFERROR(
INDEX(REPORTE_DROPI!Y:Y,
MATCH($T878, REPORTE_DROPI!B:B, 0)
),
""
),
""
)
</f>
        <v>7.05</v>
      </c>
      <c r="F878" s="121">
        <v>3.0</v>
      </c>
      <c r="G878" s="122">
        <f t="array" ref="G878">IF(
UPPER(TRIM(CLEAN($O878)))="ENTREGADO",
IFERROR(
INDEX(REPORTE_DROPI!R:R,
MATCH($T878, REPORTE_DROPI!B:B, 0)
),
""
),
""
)
</f>
        <v>30</v>
      </c>
      <c r="H878" s="118" t="s">
        <v>3727</v>
      </c>
      <c r="I878" s="118" t="s">
        <v>3912</v>
      </c>
      <c r="J878" s="121">
        <f t="array" ref="J878">IF(
UPPER(TRIM(CLEAN($O878)))="ENTREGADO",
IFERROR(
INDEX(REPORTE_DROPI!T:T,
MATCH($T878, REPORTE_DROPI!B:B, 0)
),
""
),
""
)
</f>
        <v>6.16</v>
      </c>
      <c r="K878" s="118">
        <f t="array" ref="K878">IFERROR(
INDEX(REPORTE_DROPI!S:S,
MATCH($T878, REPORTE_DROPI!B:B, 0)
),
""
)
</f>
        <v>16.79</v>
      </c>
      <c r="L878" s="118" t="str">
        <f>IF(
  O878&lt;&gt;"DEVOLUCION",
  "",
  IF(
    T878="",
    "",
    SUMIF(DEVOLUCION!F:F, T878, DEVOLUCION!D:D)
  )
)
</f>
        <v/>
      </c>
      <c r="M878" s="118" t="s">
        <v>3870</v>
      </c>
      <c r="N878" s="130" t="s">
        <v>5483</v>
      </c>
      <c r="O878" s="118" t="str">
        <f t="array" ref="O878">IFERROR(
VLOOKUP(
TRIM(CLEAN(
INDEX(REPORTE_DROPI!K:K,
MATCH(T878, REPORTE_DROPI!B:B, 0)
))),
{
TRIM(CLEAN(MAPA_ESTADOS!A:A)) ,
MAPA_ESTADOS!B:B
},
2,
FALSE
),
"REVISAR"
)
</f>
        <v>ENTREGADO</v>
      </c>
      <c r="P878" s="118" t="s">
        <v>3655</v>
      </c>
      <c r="Q878" s="122">
        <f t="shared" si="2"/>
        <v>0</v>
      </c>
      <c r="R878" s="118"/>
      <c r="S878" s="118"/>
      <c r="T878" s="118">
        <f t="array" ref="T878">IFERROR(
INDEX(REPORTE_DROPI!B:B,
MATCH(
CLEAN(TRIM(C878)),
CLEAN(TRIM(REPORTE_DROPI!E:E)),
0
)
),
""
)
</f>
        <v>4326098</v>
      </c>
      <c r="U878" s="118">
        <v>6.44860549534E12</v>
      </c>
      <c r="V878" s="78"/>
      <c r="W878" s="78"/>
      <c r="X878" s="78"/>
      <c r="Y878" s="78"/>
      <c r="Z878" s="78"/>
    </row>
    <row r="879" ht="22.5" customHeight="1">
      <c r="A879" s="118">
        <v>878.0</v>
      </c>
      <c r="B879" s="119">
        <v>46048.0</v>
      </c>
      <c r="C879" s="126" t="s">
        <v>5484</v>
      </c>
      <c r="D879" s="118" t="str">
        <f>IFERROR(__xludf.DUMMYFUNCTION("IFERROR(
  INDEX(
    FILTER(
      'NOMBRE DE PRODUCTOS'!B:B,
      REGEXMATCH(
        UPPER(
          INDEX(
            REPORTE_DROPI!AC:AC,
            MATCH(T879, REPORTE_DROPI!B:B, 0)
          )
        ),
        UPPER('NOMBRE DE PRODUCTOS'!A:A)"&amp;"
      )
    ),
    1
  ),
  ""REVISAR""
)
"),"FilmPro®")</f>
        <v>FilmPro®</v>
      </c>
      <c r="E879" s="120" t="str">
        <f t="array" ref="E879">IF(
UPPER(TRIM(CLEAN($O879)))="ENTREGADO",
IFERROR(
INDEX(REPORTE_DROPI!Y:Y,
MATCH($T879, REPORTE_DROPI!B:B, 0)
),
""
),
""
)
</f>
        <v/>
      </c>
      <c r="F879" s="121">
        <v>1.0</v>
      </c>
      <c r="G879" s="122" t="str">
        <f t="array" ref="G879">IF(
UPPER(TRIM(CLEAN($O879)))="ENTREGADO",
IFERROR(
INDEX(REPORTE_DROPI!R:R,
MATCH($T879, REPORTE_DROPI!B:B, 0)
),
""
),
""
)
</f>
        <v/>
      </c>
      <c r="H879" s="118" t="s">
        <v>3727</v>
      </c>
      <c r="I879" s="118" t="s">
        <v>3740</v>
      </c>
      <c r="J879" s="121" t="str">
        <f t="array" ref="J879">IF(
UPPER(TRIM(CLEAN($O879)))="ENTREGADO",
IFERROR(
INDEX(REPORTE_DROPI!T:T,
MATCH($T879, REPORTE_DROPI!B:B, 0)
),
""
),
""
)
</f>
        <v/>
      </c>
      <c r="K879" s="118" t="str">
        <f t="array" ref="K879">IFERROR(
INDEX(REPORTE_DROPI!S:S,
MATCH($T879, REPORTE_DROPI!B:B, 0)
),
""
)
</f>
        <v/>
      </c>
      <c r="L879" s="118">
        <f>IF(
  O879&lt;&gt;"DEVOLUCION",
  "",
  IF(
    T879="",
    "",
    SUMIF(DEVOLUCION!F:F, T879, DEVOLUCION!D:D)
  )
)
</f>
        <v>5.06</v>
      </c>
      <c r="M879" s="118" t="s">
        <v>3870</v>
      </c>
      <c r="N879" s="130" t="s">
        <v>5485</v>
      </c>
      <c r="O879" s="118" t="str">
        <f t="array" ref="O879">IFERROR(
VLOOKUP(
TRIM(CLEAN(
INDEX(REPORTE_DROPI!K:K,
MATCH(T879, REPORTE_DROPI!B:B, 0)
))),
{
TRIM(CLEAN(MAPA_ESTADOS!A:A)) ,
MAPA_ESTADOS!B:B
},
2,
FALSE
),
"REVISAR"
)
</f>
        <v>DEVOLUCION</v>
      </c>
      <c r="P879" s="118" t="s">
        <v>3655</v>
      </c>
      <c r="Q879" s="122">
        <f t="shared" si="2"/>
        <v>0</v>
      </c>
      <c r="R879" s="118"/>
      <c r="S879" s="118"/>
      <c r="T879" s="118">
        <f t="array" ref="T879">IFERROR(
INDEX(REPORTE_DROPI!B:B,
MATCH(
CLEAN(TRIM(C879)),
CLEAN(TRIM(REPORTE_DROPI!E:E)),
0
)
),
""
)
</f>
        <v>4325809</v>
      </c>
      <c r="U879" s="118">
        <v>6.448648323116E12</v>
      </c>
      <c r="V879" s="78"/>
      <c r="W879" s="78"/>
      <c r="X879" s="78"/>
      <c r="Y879" s="78"/>
      <c r="Z879" s="78"/>
    </row>
    <row r="880" ht="22.5" customHeight="1">
      <c r="A880" s="118">
        <v>879.0</v>
      </c>
      <c r="B880" s="119">
        <v>46048.0</v>
      </c>
      <c r="C880" s="118" t="s">
        <v>5486</v>
      </c>
      <c r="D880" s="118" t="str">
        <f>IFERROR(__xludf.DUMMYFUNCTION("IFERROR(
  INDEX(
    FILTER(
      'NOMBRE DE PRODUCTOS'!B:B,
      REGEXMATCH(
        UPPER(
          INDEX(
            REPORTE_DROPI!AC:AC,
            MATCH(T880, REPORTE_DROPI!B:B, 0)
          )
        ),
        UPPER('NOMBRE DE PRODUCTOS'!A:A)"&amp;"
      )
    ),
    1
  ),
  ""REVISAR""
)
"),"Llave Multifuncional 360™")</f>
        <v>Llave Multifuncional 360™</v>
      </c>
      <c r="E880" s="120">
        <f t="array" ref="E880">IF(
UPPER(TRIM(CLEAN($O880)))="ENTREGADO",
IFERROR(
INDEX(REPORTE_DROPI!Y:Y,
MATCH($T880, REPORTE_DROPI!B:B, 0)
),
""
),
""
)
</f>
        <v>5</v>
      </c>
      <c r="F880" s="121">
        <v>1.0</v>
      </c>
      <c r="G880" s="122">
        <f t="array" ref="G880">IF(
UPPER(TRIM(CLEAN($O880)))="ENTREGADO",
IFERROR(
INDEX(REPORTE_DROPI!R:R,
MATCH($T880, REPORTE_DROPI!B:B, 0)
),
""
),
""
)
</f>
        <v>21.99</v>
      </c>
      <c r="H880" s="118" t="s">
        <v>3727</v>
      </c>
      <c r="I880" s="118" t="s">
        <v>3731</v>
      </c>
      <c r="J880" s="121">
        <f t="array" ref="J880">IF(
UPPER(TRIM(CLEAN($O880)))="ENTREGADO",
IFERROR(
INDEX(REPORTE_DROPI!T:T,
MATCH($T880, REPORTE_DROPI!B:B, 0)
),
""
),
""
)
</f>
        <v>4.23</v>
      </c>
      <c r="K880" s="118">
        <f t="array" ref="K880">IFERROR(
INDEX(REPORTE_DROPI!S:S,
MATCH($T880, REPORTE_DROPI!B:B, 0)
),
""
)
</f>
        <v>12.76</v>
      </c>
      <c r="L880" s="118" t="str">
        <f>IF(
  O880&lt;&gt;"DEVOLUCION",
  "",
  IF(
    T880="",
    "",
    SUMIF(DEVOLUCION!F:F, T880, DEVOLUCION!D:D)
  )
)
</f>
        <v/>
      </c>
      <c r="M880" s="118" t="s">
        <v>3870</v>
      </c>
      <c r="N880" s="130" t="s">
        <v>5487</v>
      </c>
      <c r="O880" s="118" t="str">
        <f t="array" ref="O880">IFERROR(
VLOOKUP(
TRIM(CLEAN(
INDEX(REPORTE_DROPI!K:K,
MATCH(T880, REPORTE_DROPI!B:B, 0)
))),
{
TRIM(CLEAN(MAPA_ESTADOS!A:A)) ,
MAPA_ESTADOS!B:B
},
2,
FALSE
),
"REVISAR"
)
</f>
        <v>ENTREGADO</v>
      </c>
      <c r="P880" s="118" t="s">
        <v>3655</v>
      </c>
      <c r="Q880" s="122">
        <f t="shared" si="2"/>
        <v>0</v>
      </c>
      <c r="R880" s="118"/>
      <c r="S880" s="118"/>
      <c r="T880" s="118">
        <f t="array" ref="T880">IFERROR(
INDEX(REPORTE_DROPI!B:B,
MATCH(
CLEAN(TRIM(C880)),
CLEAN(TRIM(REPORTE_DROPI!E:E)),
0
)
),
""
)
</f>
        <v>4292261</v>
      </c>
      <c r="U880" s="118">
        <v>6.448650321964E12</v>
      </c>
      <c r="V880" s="78"/>
      <c r="W880" s="78"/>
      <c r="X880" s="78"/>
      <c r="Y880" s="78"/>
      <c r="Z880" s="78"/>
    </row>
    <row r="881" ht="22.5" customHeight="1">
      <c r="A881" s="118">
        <v>880.0</v>
      </c>
      <c r="B881" s="119">
        <v>46048.0</v>
      </c>
      <c r="C881" s="126" t="s">
        <v>5488</v>
      </c>
      <c r="D881" s="118" t="str">
        <f>IFERROR(__xludf.DUMMYFUNCTION("IFERROR(
  INDEX(
    FILTER(
      'NOMBRE DE PRODUCTOS'!B:B,
      REGEXMATCH(
        UPPER(
          INDEX(
            REPORTE_DROPI!AC:AC,
            MATCH(T881, REPORTE_DROPI!B:B, 0)
          )
        ),
        UPPER('NOMBRE DE PRODUCTOS'!A:A)"&amp;"
      )
    ),
    1
  ),
  ""REVISAR""
)
"),"FilmPro®")</f>
        <v>FilmPro®</v>
      </c>
      <c r="E881" s="120">
        <f t="array" ref="E881">IF(
UPPER(TRIM(CLEAN($O881)))="ENTREGADO",
IFERROR(
INDEX(REPORTE_DROPI!Y:Y,
MATCH($T881, REPORTE_DROPI!B:B, 0)
),
""
),
""
)
</f>
        <v>7.05</v>
      </c>
      <c r="F881" s="121">
        <v>3.0</v>
      </c>
      <c r="G881" s="122">
        <f t="array" ref="G881">IF(
UPPER(TRIM(CLEAN($O881)))="ENTREGADO",
IFERROR(
INDEX(REPORTE_DROPI!R:R,
MATCH($T881, REPORTE_DROPI!B:B, 0)
),
""
),
""
)
</f>
        <v>30</v>
      </c>
      <c r="H881" s="118" t="s">
        <v>3727</v>
      </c>
      <c r="I881" s="118" t="s">
        <v>3731</v>
      </c>
      <c r="J881" s="121">
        <f t="array" ref="J881">IF(
UPPER(TRIM(CLEAN($O881)))="ENTREGADO",
IFERROR(
INDEX(REPORTE_DROPI!T:T,
MATCH($T881, REPORTE_DROPI!B:B, 0)
),
""
),
""
)
</f>
        <v>5.12</v>
      </c>
      <c r="K881" s="118">
        <f t="array" ref="K881">IFERROR(
INDEX(REPORTE_DROPI!S:S,
MATCH($T881, REPORTE_DROPI!B:B, 0)
),
""
)
</f>
        <v>17.83</v>
      </c>
      <c r="L881" s="118" t="str">
        <f>IF(
  O881&lt;&gt;"DEVOLUCION",
  "",
  IF(
    T881="",
    "",
    SUMIF(DEVOLUCION!F:F, T881, DEVOLUCION!D:D)
  )
)
</f>
        <v/>
      </c>
      <c r="M881" s="118" t="s">
        <v>3870</v>
      </c>
      <c r="N881" s="130" t="s">
        <v>5489</v>
      </c>
      <c r="O881" s="118" t="str">
        <f t="array" ref="O881">IFERROR(
VLOOKUP(
TRIM(CLEAN(
INDEX(REPORTE_DROPI!K:K,
MATCH(T881, REPORTE_DROPI!B:B, 0)
))),
{
TRIM(CLEAN(MAPA_ESTADOS!A:A)) ,
MAPA_ESTADOS!B:B
},
2,
FALSE
),
"REVISAR"
)
</f>
        <v>ENTREGADO</v>
      </c>
      <c r="P881" s="118" t="s">
        <v>3655</v>
      </c>
      <c r="Q881" s="122">
        <f t="shared" si="2"/>
        <v>0</v>
      </c>
      <c r="R881" s="118"/>
      <c r="S881" s="118"/>
      <c r="T881" s="118">
        <f t="array" ref="T881">IFERROR(
INDEX(REPORTE_DROPI!B:B,
MATCH(
CLEAN(TRIM(C881)),
CLEAN(TRIM(REPORTE_DROPI!E:E)),
0
)
),
""
)
</f>
        <v>4325616</v>
      </c>
      <c r="U881" s="118">
        <v>6.448668508204E12</v>
      </c>
      <c r="V881" s="78"/>
      <c r="W881" s="78"/>
      <c r="X881" s="78"/>
      <c r="Y881" s="78"/>
      <c r="Z881" s="78"/>
    </row>
    <row r="882" ht="22.5" customHeight="1">
      <c r="A882" s="118">
        <v>881.0</v>
      </c>
      <c r="B882" s="119">
        <v>46048.0</v>
      </c>
      <c r="C882" s="118" t="s">
        <v>5490</v>
      </c>
      <c r="D882" s="118" t="str">
        <f>IFERROR(__xludf.DUMMYFUNCTION("IFERROR(
  INDEX(
    FILTER(
      'NOMBRE DE PRODUCTOS'!B:B,
      REGEXMATCH(
        UPPER(
          INDEX(
            REPORTE_DROPI!AC:AC,
            MATCH(T882, REPORTE_DROPI!B:B, 0)
          )
        ),
        UPPER('NOMBRE DE PRODUCTOS'!A:A)"&amp;"
      )
    ),
    1
  ),
  ""REVISAR""
)
"),"Llave Multifuncional 360™")</f>
        <v>Llave Multifuncional 360™</v>
      </c>
      <c r="E882" s="120">
        <f t="array" ref="E882">IF(
UPPER(TRIM(CLEAN($O882)))="ENTREGADO",
IFERROR(
INDEX(REPORTE_DROPI!Y:Y,
MATCH($T882, REPORTE_DROPI!B:B, 0)
),
""
),
""
)
</f>
        <v>5</v>
      </c>
      <c r="F882" s="121">
        <v>1.0</v>
      </c>
      <c r="G882" s="122">
        <f t="array" ref="G882">IF(
UPPER(TRIM(CLEAN($O882)))="ENTREGADO",
IFERROR(
INDEX(REPORTE_DROPI!R:R,
MATCH($T882, REPORTE_DROPI!B:B, 0)
),
""
),
""
)
</f>
        <v>21.99</v>
      </c>
      <c r="H882" s="118" t="s">
        <v>3727</v>
      </c>
      <c r="I882" s="118" t="s">
        <v>3731</v>
      </c>
      <c r="J882" s="121">
        <f t="array" ref="J882">IF(
UPPER(TRIM(CLEAN($O882)))="ENTREGADO",
IFERROR(
INDEX(REPORTE_DROPI!T:T,
MATCH($T882, REPORTE_DROPI!B:B, 0)
),
""
),
""
)
</f>
        <v>7.7</v>
      </c>
      <c r="K882" s="118">
        <f t="array" ref="K882">IFERROR(
INDEX(REPORTE_DROPI!S:S,
MATCH($T882, REPORTE_DROPI!B:B, 0)
),
""
)
</f>
        <v>9.29</v>
      </c>
      <c r="L882" s="118" t="str">
        <f>IF(
  O882&lt;&gt;"DEVOLUCION",
  "",
  IF(
    T882="",
    "",
    SUMIF(DEVOLUCION!F:F, T882, DEVOLUCION!D:D)
  )
)
</f>
        <v/>
      </c>
      <c r="M882" s="118" t="s">
        <v>3870</v>
      </c>
      <c r="N882" s="130" t="s">
        <v>5491</v>
      </c>
      <c r="O882" s="118" t="str">
        <f t="array" ref="O882">IFERROR(
VLOOKUP(
TRIM(CLEAN(
INDEX(REPORTE_DROPI!K:K,
MATCH(T882, REPORTE_DROPI!B:B, 0)
))),
{
TRIM(CLEAN(MAPA_ESTADOS!A:A)) ,
MAPA_ESTADOS!B:B
},
2,
FALSE
),
"REVISAR"
)
</f>
        <v>ENTREGADO</v>
      </c>
      <c r="P882" s="118" t="s">
        <v>3655</v>
      </c>
      <c r="Q882" s="122">
        <f t="shared" si="2"/>
        <v>0</v>
      </c>
      <c r="R882" s="118"/>
      <c r="S882" s="118"/>
      <c r="T882" s="118">
        <f t="array" ref="T882">IFERROR(
INDEX(REPORTE_DROPI!B:B,
MATCH(
CLEAN(TRIM(C882)),
CLEAN(TRIM(REPORTE_DROPI!E:E)),
0
)
),
""
)
</f>
        <v>4280071</v>
      </c>
      <c r="U882" s="118">
        <v>6.448716677164E12</v>
      </c>
      <c r="V882" s="78"/>
      <c r="W882" s="78"/>
      <c r="X882" s="78"/>
      <c r="Y882" s="78"/>
      <c r="Z882" s="78"/>
    </row>
    <row r="883" ht="22.5" customHeight="1">
      <c r="A883" s="118">
        <v>882.0</v>
      </c>
      <c r="B883" s="119">
        <v>46048.0</v>
      </c>
      <c r="C883" s="126" t="s">
        <v>5492</v>
      </c>
      <c r="D883" s="118" t="str">
        <f>IFERROR(__xludf.DUMMYFUNCTION("IFERROR(
  INDEX(
    FILTER(
      'NOMBRE DE PRODUCTOS'!B:B,
      REGEXMATCH(
        UPPER(
          INDEX(
            REPORTE_DROPI!AC:AC,
            MATCH(T883, REPORTE_DROPI!B:B, 0)
          )
        ),
        UPPER('NOMBRE DE PRODUCTOS'!A:A)"&amp;"
      )
    ),
    1
  ),
  ""REVISAR""
)
"),"FilmPro®")</f>
        <v>FilmPro®</v>
      </c>
      <c r="E883" s="120">
        <f t="array" ref="E883">IF(
UPPER(TRIM(CLEAN($O883)))="ENTREGADO",
IFERROR(
INDEX(REPORTE_DROPI!Y:Y,
MATCH($T883, REPORTE_DROPI!B:B, 0)
),
""
),
""
)
</f>
        <v>4.7</v>
      </c>
      <c r="F883" s="121">
        <v>2.0</v>
      </c>
      <c r="G883" s="122">
        <f t="array" ref="G883">IF(
UPPER(TRIM(CLEAN($O883)))="ENTREGADO",
IFERROR(
INDEX(REPORTE_DROPI!R:R,
MATCH($T883, REPORTE_DROPI!B:B, 0)
),
""
),
""
)
</f>
        <v>25</v>
      </c>
      <c r="H883" s="118" t="s">
        <v>3727</v>
      </c>
      <c r="I883" s="118" t="s">
        <v>3740</v>
      </c>
      <c r="J883" s="121">
        <f t="array" ref="J883">IF(
UPPER(TRIM(CLEAN($O883)))="ENTREGADO",
IFERROR(
INDEX(REPORTE_DROPI!T:T,
MATCH($T883, REPORTE_DROPI!B:B, 0)
),
""
),
""
)
</f>
        <v>5.96</v>
      </c>
      <c r="K883" s="118">
        <f t="array" ref="K883">IFERROR(
INDEX(REPORTE_DROPI!S:S,
MATCH($T883, REPORTE_DROPI!B:B, 0)
),
""
)
</f>
        <v>14.34</v>
      </c>
      <c r="L883" s="118" t="str">
        <f>IF(
  O883&lt;&gt;"DEVOLUCION",
  "",
  IF(
    T883="",
    "",
    SUMIF(DEVOLUCION!F:F, T883, DEVOLUCION!D:D)
  )
)
</f>
        <v/>
      </c>
      <c r="M883" s="118" t="s">
        <v>3870</v>
      </c>
      <c r="N883" s="130" t="s">
        <v>5493</v>
      </c>
      <c r="O883" s="118" t="str">
        <f t="array" ref="O883">IFERROR(
VLOOKUP(
TRIM(CLEAN(
INDEX(REPORTE_DROPI!K:K,
MATCH(T883, REPORTE_DROPI!B:B, 0)
))),
{
TRIM(CLEAN(MAPA_ESTADOS!A:A)) ,
MAPA_ESTADOS!B:B
},
2,
FALSE
),
"REVISAR"
)
</f>
        <v>ENTREGADO</v>
      </c>
      <c r="P883" s="118" t="s">
        <v>3655</v>
      </c>
      <c r="Q883" s="122">
        <f t="shared" si="2"/>
        <v>0</v>
      </c>
      <c r="R883" s="118"/>
      <c r="S883" s="118"/>
      <c r="T883" s="118">
        <f t="array" ref="T883">IFERROR(
INDEX(REPORTE_DROPI!B:B,
MATCH(
CLEAN(TRIM(C883)),
CLEAN(TRIM(REPORTE_DROPI!E:E)),
0
)
),
""
)
</f>
        <v>4283071</v>
      </c>
      <c r="U883" s="118">
        <v>6.449022828588E12</v>
      </c>
      <c r="V883" s="78"/>
      <c r="W883" s="78"/>
      <c r="X883" s="78"/>
      <c r="Y883" s="78"/>
      <c r="Z883" s="78"/>
    </row>
    <row r="884" ht="22.5" customHeight="1">
      <c r="A884" s="118">
        <v>883.0</v>
      </c>
      <c r="B884" s="119">
        <v>46048.0</v>
      </c>
      <c r="C884" s="118" t="s">
        <v>5494</v>
      </c>
      <c r="D884" s="118" t="str">
        <f>IFERROR(__xludf.DUMMYFUNCTION("IFERROR(
  INDEX(
    FILTER(
      'NOMBRE DE PRODUCTOS'!B:B,
      REGEXMATCH(
        UPPER(
          INDEX(
            REPORTE_DROPI!AC:AC,
            MATCH(T884, REPORTE_DROPI!B:B, 0)
          )
        ),
        UPPER('NOMBRE DE PRODUCTOS'!A:A)"&amp;"
      )
    ),
    1
  ),
  ""REVISAR""
)
"),"Llave Multifuncional 360™")</f>
        <v>Llave Multifuncional 360™</v>
      </c>
      <c r="E884" s="120">
        <f t="array" ref="E884">IF(
UPPER(TRIM(CLEAN($O884)))="ENTREGADO",
IFERROR(
INDEX(REPORTE_DROPI!Y:Y,
MATCH($T884, REPORTE_DROPI!B:B, 0)
),
""
),
""
)
</f>
        <v>5</v>
      </c>
      <c r="F884" s="121">
        <v>1.0</v>
      </c>
      <c r="G884" s="122">
        <f t="array" ref="G884">IF(
UPPER(TRIM(CLEAN($O884)))="ENTREGADO",
IFERROR(
INDEX(REPORTE_DROPI!R:R,
MATCH($T884, REPORTE_DROPI!B:B, 0)
),
""
),
""
)
</f>
        <v>21.99</v>
      </c>
      <c r="H884" s="118" t="s">
        <v>3727</v>
      </c>
      <c r="I884" s="118" t="s">
        <v>3731</v>
      </c>
      <c r="J884" s="121">
        <f t="array" ref="J884">IF(
UPPER(TRIM(CLEAN($O884)))="ENTREGADO",
IFERROR(
INDEX(REPORTE_DROPI!T:T,
MATCH($T884, REPORTE_DROPI!B:B, 0)
),
""
),
""
)
</f>
        <v>4.23</v>
      </c>
      <c r="K884" s="118">
        <f t="array" ref="K884">IFERROR(
INDEX(REPORTE_DROPI!S:S,
MATCH($T884, REPORTE_DROPI!B:B, 0)
),
""
)
</f>
        <v>12.76</v>
      </c>
      <c r="L884" s="118" t="str">
        <f>IF(
  O884&lt;&gt;"DEVOLUCION",
  "",
  IF(
    T884="",
    "",
    SUMIF(DEVOLUCION!F:F, T884, DEVOLUCION!D:D)
  )
)
</f>
        <v/>
      </c>
      <c r="M884" s="118" t="s">
        <v>3870</v>
      </c>
      <c r="N884" s="130" t="s">
        <v>5495</v>
      </c>
      <c r="O884" s="118" t="str">
        <f t="array" ref="O884">IFERROR(
VLOOKUP(
TRIM(CLEAN(
INDEX(REPORTE_DROPI!K:K,
MATCH(T884, REPORTE_DROPI!B:B, 0)
))),
{
TRIM(CLEAN(MAPA_ESTADOS!A:A)) ,
MAPA_ESTADOS!B:B
},
2,
FALSE
),
"REVISAR"
)
</f>
        <v>ENTREGADO</v>
      </c>
      <c r="P884" s="118" t="s">
        <v>3655</v>
      </c>
      <c r="Q884" s="122">
        <f t="shared" si="2"/>
        <v>0</v>
      </c>
      <c r="R884" s="118"/>
      <c r="S884" s="118"/>
      <c r="T884" s="118">
        <f t="array" ref="T884">IFERROR(
INDEX(REPORTE_DROPI!B:B,
MATCH(
CLEAN(TRIM(C884)),
CLEAN(TRIM(REPORTE_DROPI!E:E)),
0
)
),
""
)
</f>
        <v>4283134</v>
      </c>
      <c r="U884" s="118">
        <v>6.449028235308E12</v>
      </c>
      <c r="V884" s="78"/>
      <c r="W884" s="78"/>
      <c r="X884" s="78"/>
      <c r="Y884" s="78"/>
      <c r="Z884" s="78"/>
    </row>
    <row r="885" ht="22.5" customHeight="1">
      <c r="A885" s="118">
        <v>884.0</v>
      </c>
      <c r="B885" s="119">
        <v>46048.0</v>
      </c>
      <c r="C885" s="126" t="s">
        <v>5496</v>
      </c>
      <c r="D885" s="118" t="str">
        <f>IFERROR(__xludf.DUMMYFUNCTION("IFERROR(
  INDEX(
    FILTER(
      'NOMBRE DE PRODUCTOS'!B:B,
      REGEXMATCH(
        UPPER(
          INDEX(
            REPORTE_DROPI!AC:AC,
            MATCH(T885, REPORTE_DROPI!B:B, 0)
          )
        ),
        UPPER('NOMBRE DE PRODUCTOS'!A:A)"&amp;"
      )
    ),
    1
  ),
  ""REVISAR""
)
"),"FilmPro®")</f>
        <v>FilmPro®</v>
      </c>
      <c r="E885" s="120">
        <f t="array" ref="E885">IF(
UPPER(TRIM(CLEAN($O885)))="ENTREGADO",
IFERROR(
INDEX(REPORTE_DROPI!Y:Y,
MATCH($T885, REPORTE_DROPI!B:B, 0)
),
""
),
""
)
</f>
        <v>4.7</v>
      </c>
      <c r="F885" s="121">
        <v>2.0</v>
      </c>
      <c r="G885" s="122">
        <f t="array" ref="G885">IF(
UPPER(TRIM(CLEAN($O885)))="ENTREGADO",
IFERROR(
INDEX(REPORTE_DROPI!R:R,
MATCH($T885, REPORTE_DROPI!B:B, 0)
),
""
),
""
)
</f>
        <v>25</v>
      </c>
      <c r="H885" s="118" t="s">
        <v>3727</v>
      </c>
      <c r="I885" s="118" t="s">
        <v>3882</v>
      </c>
      <c r="J885" s="121">
        <f t="array" ref="J885">IF(
UPPER(TRIM(CLEAN($O885)))="ENTREGADO",
IFERROR(
INDEX(REPORTE_DROPI!T:T,
MATCH($T885, REPORTE_DROPI!B:B, 0)
),
""
),
""
)
</f>
        <v>7.75</v>
      </c>
      <c r="K885" s="118">
        <f t="array" ref="K885">IFERROR(
INDEX(REPORTE_DROPI!S:S,
MATCH($T885, REPORTE_DROPI!B:B, 0)
),
""
)
</f>
        <v>12.55</v>
      </c>
      <c r="L885" s="118" t="str">
        <f>IF(
  O885&lt;&gt;"DEVOLUCION",
  "",
  IF(
    T885="",
    "",
    SUMIF(DEVOLUCION!F:F, T885, DEVOLUCION!D:D)
  )
)
</f>
        <v/>
      </c>
      <c r="M885" s="118" t="s">
        <v>3870</v>
      </c>
      <c r="N885" s="130" t="s">
        <v>5497</v>
      </c>
      <c r="O885" s="118" t="str">
        <f t="array" ref="O885">IFERROR(
VLOOKUP(
TRIM(CLEAN(
INDEX(REPORTE_DROPI!K:K,
MATCH(T885, REPORTE_DROPI!B:B, 0)
))),
{
TRIM(CLEAN(MAPA_ESTADOS!A:A)) ,
MAPA_ESTADOS!B:B
},
2,
FALSE
),
"REVISAR"
)
</f>
        <v>ENTREGADO</v>
      </c>
      <c r="P885" s="118" t="s">
        <v>3655</v>
      </c>
      <c r="Q885" s="122">
        <f t="shared" si="2"/>
        <v>0</v>
      </c>
      <c r="R885" s="118"/>
      <c r="S885" s="118"/>
      <c r="T885" s="118">
        <f t="array" ref="T885">IFERROR(
INDEX(REPORTE_DROPI!B:B,
MATCH(
CLEAN(TRIM(C885)),
CLEAN(TRIM(REPORTE_DROPI!E:E)),
0
)
),
""
)
</f>
        <v>4325580</v>
      </c>
      <c r="U885" s="118">
        <v>6.449188405292E12</v>
      </c>
      <c r="V885" s="78"/>
      <c r="W885" s="78"/>
      <c r="X885" s="78"/>
      <c r="Y885" s="78"/>
      <c r="Z885" s="78"/>
    </row>
    <row r="886" ht="22.5" customHeight="1">
      <c r="A886" s="118">
        <v>885.0</v>
      </c>
      <c r="B886" s="119">
        <v>46048.0</v>
      </c>
      <c r="C886" s="118" t="s">
        <v>5498</v>
      </c>
      <c r="D886" s="118" t="str">
        <f>IFERROR(__xludf.DUMMYFUNCTION("IFERROR(
  INDEX(
    FILTER(
      'NOMBRE DE PRODUCTOS'!B:B,
      REGEXMATCH(
        UPPER(
          INDEX(
            REPORTE_DROPI!AC:AC,
            MATCH(T886, REPORTE_DROPI!B:B, 0)
          )
        ),
        UPPER('NOMBRE DE PRODUCTOS'!A:A)"&amp;"
      )
    ),
    1
  ),
  ""REVISAR""
)
"),"Llave Multifuncional 360™")</f>
        <v>Llave Multifuncional 360™</v>
      </c>
      <c r="E886" s="120">
        <f t="array" ref="E886">IF(
UPPER(TRIM(CLEAN($O886)))="ENTREGADO",
IFERROR(
INDEX(REPORTE_DROPI!Y:Y,
MATCH($T886, REPORTE_DROPI!B:B, 0)
),
""
),
""
)
</f>
        <v>5</v>
      </c>
      <c r="F886" s="121">
        <v>1.0</v>
      </c>
      <c r="G886" s="122">
        <f t="array" ref="G886">IF(
UPPER(TRIM(CLEAN($O886)))="ENTREGADO",
IFERROR(
INDEX(REPORTE_DROPI!R:R,
MATCH($T886, REPORTE_DROPI!B:B, 0)
),
""
),
""
)
</f>
        <v>21.99</v>
      </c>
      <c r="H886" s="118" t="s">
        <v>3727</v>
      </c>
      <c r="I886" s="118" t="s">
        <v>3728</v>
      </c>
      <c r="J886" s="121">
        <f t="array" ref="J886">IF(
UPPER(TRIM(CLEAN($O886)))="ENTREGADO",
IFERROR(
INDEX(REPORTE_DROPI!T:T,
MATCH($T886, REPORTE_DROPI!B:B, 0)
),
""
),
""
)
</f>
        <v>6.41</v>
      </c>
      <c r="K886" s="118">
        <f t="array" ref="K886">IFERROR(
INDEX(REPORTE_DROPI!S:S,
MATCH($T886, REPORTE_DROPI!B:B, 0)
),
""
)
</f>
        <v>10.58</v>
      </c>
      <c r="L886" s="118" t="str">
        <f>IF(
  O886&lt;&gt;"DEVOLUCION",
  "",
  IF(
    T886="",
    "",
    SUMIF(DEVOLUCION!F:F, T886, DEVOLUCION!D:D)
  )
)
</f>
        <v/>
      </c>
      <c r="M886" s="118" t="s">
        <v>3870</v>
      </c>
      <c r="N886" s="130" t="s">
        <v>5499</v>
      </c>
      <c r="O886" s="118" t="str">
        <f t="array" ref="O886">IFERROR(
VLOOKUP(
TRIM(CLEAN(
INDEX(REPORTE_DROPI!K:K,
MATCH(T886, REPORTE_DROPI!B:B, 0)
))),
{
TRIM(CLEAN(MAPA_ESTADOS!A:A)) ,
MAPA_ESTADOS!B:B
},
2,
FALSE
),
"REVISAR"
)
</f>
        <v>ENTREGADO</v>
      </c>
      <c r="P886" s="118" t="s">
        <v>3655</v>
      </c>
      <c r="Q886" s="122">
        <f t="shared" si="2"/>
        <v>0</v>
      </c>
      <c r="R886" s="118"/>
      <c r="S886" s="118"/>
      <c r="T886" s="118">
        <f t="array" ref="T886">IFERROR(
INDEX(REPORTE_DROPI!B:B,
MATCH(
CLEAN(TRIM(C886)),
CLEAN(TRIM(REPORTE_DROPI!E:E)),
0
)
),
""
)
</f>
        <v>4284551</v>
      </c>
      <c r="U886" s="118">
        <v>6.449285169196E12</v>
      </c>
      <c r="V886" s="78"/>
      <c r="W886" s="78"/>
      <c r="X886" s="78"/>
      <c r="Y886" s="78"/>
      <c r="Z886" s="78"/>
    </row>
    <row r="887" ht="22.5" customHeight="1">
      <c r="A887" s="118">
        <v>886.0</v>
      </c>
      <c r="B887" s="119">
        <v>46048.0</v>
      </c>
      <c r="C887" s="118" t="s">
        <v>3845</v>
      </c>
      <c r="D887" s="118" t="str">
        <f>IFERROR(__xludf.DUMMYFUNCTION("IFERROR(
  INDEX(
    FILTER(
      'NOMBRE DE PRODUCTOS'!B:B,
      REGEXMATCH(
        UPPER(
          INDEX(
            REPORTE_DROPI!AC:AC,
            MATCH(T887, REPORTE_DROPI!B:B, 0)
          )
        ),
        UPPER('NOMBRE DE PRODUCTOS'!A:A)"&amp;"
      )
    ),
    1
  ),
  ""REVISAR""
)
"),"Llave Multifuncional 360™")</f>
        <v>Llave Multifuncional 360™</v>
      </c>
      <c r="E887" s="120" t="str">
        <f t="array" ref="E887">IF(
UPPER(TRIM(CLEAN($O887)))="ENTREGADO",
IFERROR(
INDEX(REPORTE_DROPI!Y:Y,
MATCH($T887, REPORTE_DROPI!B:B, 0)
),
""
),
""
)
</f>
        <v/>
      </c>
      <c r="F887" s="121">
        <v>1.0</v>
      </c>
      <c r="G887" s="122" t="str">
        <f t="array" ref="G887">IF(
UPPER(TRIM(CLEAN($O887)))="ENTREGADO",
IFERROR(
INDEX(REPORTE_DROPI!R:R,
MATCH($T887, REPORTE_DROPI!B:B, 0)
),
""
),
""
)
</f>
        <v/>
      </c>
      <c r="H887" s="118" t="s">
        <v>3727</v>
      </c>
      <c r="I887" s="118" t="s">
        <v>3801</v>
      </c>
      <c r="J887" s="121" t="str">
        <f t="array" ref="J887">IF(
UPPER(TRIM(CLEAN($O887)))="ENTREGADO",
IFERROR(
INDEX(REPORTE_DROPI!T:T,
MATCH($T887, REPORTE_DROPI!B:B, 0)
),
""
),
""
)
</f>
        <v/>
      </c>
      <c r="K887" s="118" t="str">
        <f t="array" ref="K887">IFERROR(
INDEX(REPORTE_DROPI!S:S,
MATCH($T887, REPORTE_DROPI!B:B, 0)
),
""
)
</f>
        <v/>
      </c>
      <c r="L887" s="118" t="str">
        <f>IF(
  O887&lt;&gt;"DEVOLUCION",
  "",
  IF(
    T887="",
    "",
    SUMIF(DEVOLUCION!F:F, T887, DEVOLUCION!D:D)
  )
)
</f>
        <v/>
      </c>
      <c r="M887" s="118" t="s">
        <v>3870</v>
      </c>
      <c r="N887" s="130" t="s">
        <v>5500</v>
      </c>
      <c r="O887" s="118" t="str">
        <f t="array" ref="O887">IFERROR(
VLOOKUP(
TRIM(CLEAN(
INDEX(REPORTE_DROPI!K:K,
MATCH(T887, REPORTE_DROPI!B:B, 0)
))),
{
TRIM(CLEAN(MAPA_ESTADOS!A:A)) ,
MAPA_ESTADOS!B:B
},
2,
FALSE
),
"REVISAR"
)
</f>
        <v>CANCELADO</v>
      </c>
      <c r="P887" s="118" t="s">
        <v>4766</v>
      </c>
      <c r="Q887" s="122">
        <f t="shared" si="2"/>
        <v>0</v>
      </c>
      <c r="R887" s="118"/>
      <c r="S887" s="118"/>
      <c r="T887" s="118">
        <f t="array" ref="T887">IFERROR(
INDEX(REPORTE_DROPI!B:B,
MATCH(
CLEAN(TRIM(C887)),
CLEAN(TRIM(REPORTE_DROPI!E:E)),
0
)
),
""
)
</f>
        <v>4285261</v>
      </c>
      <c r="U887" s="118">
        <v>6.449475092524E12</v>
      </c>
      <c r="V887" s="78"/>
      <c r="W887" s="78"/>
      <c r="X887" s="78"/>
      <c r="Y887" s="78"/>
      <c r="Z887" s="78"/>
    </row>
    <row r="888" ht="22.5" customHeight="1">
      <c r="A888" s="118">
        <v>887.0</v>
      </c>
      <c r="B888" s="119">
        <v>46048.0</v>
      </c>
      <c r="C888" s="118" t="s">
        <v>5501</v>
      </c>
      <c r="D888" s="118" t="str">
        <f>IFERROR(__xludf.DUMMYFUNCTION("IFERROR(
  INDEX(
    FILTER(
      'NOMBRE DE PRODUCTOS'!B:B,
      REGEXMATCH(
        UPPER(
          INDEX(
            REPORTE_DROPI!AC:AC,
            MATCH(T888, REPORTE_DROPI!B:B, 0)
          )
        ),
        UPPER('NOMBRE DE PRODUCTOS'!A:A)"&amp;"
      )
    ),
    1
  ),
  ""REVISAR""
)
"),"Llave Multifuncional 360™")</f>
        <v>Llave Multifuncional 360™</v>
      </c>
      <c r="E888" s="120">
        <f t="array" ref="E888">IF(
UPPER(TRIM(CLEAN($O888)))="ENTREGADO",
IFERROR(
INDEX(REPORTE_DROPI!Y:Y,
MATCH($T888, REPORTE_DROPI!B:B, 0)
),
""
),
""
)
</f>
        <v>5</v>
      </c>
      <c r="F888" s="121">
        <v>1.0</v>
      </c>
      <c r="G888" s="122">
        <f t="array" ref="G888">IF(
UPPER(TRIM(CLEAN($O888)))="ENTREGADO",
IFERROR(
INDEX(REPORTE_DROPI!R:R,
MATCH($T888, REPORTE_DROPI!B:B, 0)
),
""
),
""
)
</f>
        <v>21.99</v>
      </c>
      <c r="H888" s="118" t="s">
        <v>3727</v>
      </c>
      <c r="I888" s="118" t="s">
        <v>3801</v>
      </c>
      <c r="J888" s="121">
        <f t="array" ref="J888">IF(
UPPER(TRIM(CLEAN($O888)))="ENTREGADO",
IFERROR(
INDEX(REPORTE_DROPI!T:T,
MATCH($T888, REPORTE_DROPI!B:B, 0)
),
""
),
""
)
</f>
        <v>5.84</v>
      </c>
      <c r="K888" s="118">
        <f t="array" ref="K888">IFERROR(
INDEX(REPORTE_DROPI!S:S,
MATCH($T888, REPORTE_DROPI!B:B, 0)
),
""
)
</f>
        <v>11.15</v>
      </c>
      <c r="L888" s="118" t="str">
        <f>IF(
  O888&lt;&gt;"DEVOLUCION",
  "",
  IF(
    T888="",
    "",
    SUMIF(DEVOLUCION!F:F, T888, DEVOLUCION!D:D)
  )
)
</f>
        <v/>
      </c>
      <c r="M888" s="118" t="s">
        <v>3870</v>
      </c>
      <c r="N888" s="130" t="s">
        <v>5502</v>
      </c>
      <c r="O888" s="118" t="str">
        <f t="array" ref="O888">IFERROR(
VLOOKUP(
TRIM(CLEAN(
INDEX(REPORTE_DROPI!K:K,
MATCH(T888, REPORTE_DROPI!B:B, 0)
))),
{
TRIM(CLEAN(MAPA_ESTADOS!A:A)) ,
MAPA_ESTADOS!B:B
},
2,
FALSE
),
"REVISAR"
)
</f>
        <v>ENTREGADO</v>
      </c>
      <c r="P888" s="118" t="s">
        <v>3655</v>
      </c>
      <c r="Q888" s="122">
        <f t="shared" si="2"/>
        <v>0</v>
      </c>
      <c r="R888" s="118"/>
      <c r="S888" s="118"/>
      <c r="T888" s="118">
        <f t="array" ref="T888">IFERROR(
INDEX(REPORTE_DROPI!B:B,
MATCH(
CLEAN(TRIM(C888)),
CLEAN(TRIM(REPORTE_DROPI!E:E)),
0
)
),
""
)
</f>
        <v>4292594</v>
      </c>
      <c r="U888" s="118">
        <v>6.449547673644E12</v>
      </c>
      <c r="V888" s="78"/>
      <c r="W888" s="78"/>
      <c r="X888" s="78"/>
      <c r="Y888" s="78"/>
      <c r="Z888" s="78"/>
    </row>
    <row r="889" ht="22.5" customHeight="1">
      <c r="A889" s="118">
        <v>888.0</v>
      </c>
      <c r="B889" s="119">
        <v>46048.0</v>
      </c>
      <c r="C889" s="126" t="s">
        <v>5503</v>
      </c>
      <c r="D889" s="118" t="str">
        <f>IFERROR(__xludf.DUMMYFUNCTION("IFERROR(
  INDEX(
    FILTER(
      'NOMBRE DE PRODUCTOS'!B:B,
      REGEXMATCH(
        UPPER(
          INDEX(
            REPORTE_DROPI!AC:AC,
            MATCH(T889, REPORTE_DROPI!B:B, 0)
          )
        ),
        UPPER('NOMBRE DE PRODUCTOS'!A:A)"&amp;"
      )
    ),
    1
  ),
  ""REVISAR""
)
"),"FilmPro®")</f>
        <v>FilmPro®</v>
      </c>
      <c r="E889" s="120">
        <f t="array" ref="E889">IF(
UPPER(TRIM(CLEAN($O889)))="ENTREGADO",
IFERROR(
INDEX(REPORTE_DROPI!Y:Y,
MATCH($T889, REPORTE_DROPI!B:B, 0)
),
""
),
""
)
</f>
        <v>2.35</v>
      </c>
      <c r="F889" s="121">
        <v>1.0</v>
      </c>
      <c r="G889" s="122">
        <f t="array" ref="G889">IF(
UPPER(TRIM(CLEAN($O889)))="ENTREGADO",
IFERROR(
INDEX(REPORTE_DROPI!R:R,
MATCH($T889, REPORTE_DROPI!B:B, 0)
),
""
),
""
)
</f>
        <v>20</v>
      </c>
      <c r="H889" s="118" t="s">
        <v>3727</v>
      </c>
      <c r="I889" s="118" t="s">
        <v>3855</v>
      </c>
      <c r="J889" s="121">
        <f t="array" ref="J889">IF(
UPPER(TRIM(CLEAN($O889)))="ENTREGADO",
IFERROR(
INDEX(REPORTE_DROPI!T:T,
MATCH($T889, REPORTE_DROPI!B:B, 0)
),
""
),
""
)
</f>
        <v>5.76</v>
      </c>
      <c r="K889" s="118">
        <f t="array" ref="K889">IFERROR(
INDEX(REPORTE_DROPI!S:S,
MATCH($T889, REPORTE_DROPI!B:B, 0)
),
""
)
</f>
        <v>11.89</v>
      </c>
      <c r="L889" s="118" t="str">
        <f>IF(
  O889&lt;&gt;"DEVOLUCION",
  "",
  IF(
    T889="",
    "",
    SUMIF(DEVOLUCION!F:F, T889, DEVOLUCION!D:D)
  )
)
</f>
        <v/>
      </c>
      <c r="M889" s="118" t="s">
        <v>3870</v>
      </c>
      <c r="N889" s="130" t="s">
        <v>5504</v>
      </c>
      <c r="O889" s="118" t="str">
        <f t="array" ref="O889">IFERROR(
VLOOKUP(
TRIM(CLEAN(
INDEX(REPORTE_DROPI!K:K,
MATCH(T889, REPORTE_DROPI!B:B, 0)
))),
{
TRIM(CLEAN(MAPA_ESTADOS!A:A)) ,
MAPA_ESTADOS!B:B
},
2,
FALSE
),
"REVISAR"
)
</f>
        <v>ENTREGADO</v>
      </c>
      <c r="P889" s="118" t="s">
        <v>3655</v>
      </c>
      <c r="Q889" s="122">
        <f t="shared" si="2"/>
        <v>0</v>
      </c>
      <c r="R889" s="118"/>
      <c r="S889" s="118"/>
      <c r="T889" s="118">
        <f t="array" ref="T889">IFERROR(
INDEX(REPORTE_DROPI!B:B,
MATCH(
CLEAN(TRIM(C889)),
CLEAN(TRIM(REPORTE_DROPI!E:E)),
0
)
),
""
)
</f>
        <v>4325551</v>
      </c>
      <c r="U889" s="118">
        <v>6.449563566124E12</v>
      </c>
      <c r="V889" s="78"/>
      <c r="W889" s="78"/>
      <c r="X889" s="78"/>
      <c r="Y889" s="78"/>
      <c r="Z889" s="78"/>
    </row>
    <row r="890" ht="22.5" customHeight="1">
      <c r="A890" s="118">
        <v>889.0</v>
      </c>
      <c r="B890" s="119">
        <v>46048.0</v>
      </c>
      <c r="C890" s="118" t="s">
        <v>5505</v>
      </c>
      <c r="D890" s="118" t="str">
        <f>IFERROR(__xludf.DUMMYFUNCTION("IFERROR(
  INDEX(
    FILTER(
      'NOMBRE DE PRODUCTOS'!B:B,
      REGEXMATCH(
        UPPER(
          INDEX(
            REPORTE_DROPI!AC:AC,
            MATCH(T890, REPORTE_DROPI!B:B, 0)
          )
        ),
        UPPER('NOMBRE DE PRODUCTOS'!A:A)"&amp;"
      )
    ),
    1
  ),
  ""REVISAR""
)
"),"FilmPro®")</f>
        <v>FilmPro®</v>
      </c>
      <c r="E890" s="120" t="str">
        <f t="array" ref="E890">IF(
UPPER(TRIM(CLEAN($O890)))="ENTREGADO",
IFERROR(
INDEX(REPORTE_DROPI!Y:Y,
MATCH($T890, REPORTE_DROPI!B:B, 0)
),
""
),
""
)
</f>
        <v/>
      </c>
      <c r="F890" s="121">
        <v>1.0</v>
      </c>
      <c r="G890" s="122" t="str">
        <f t="array" ref="G890">IF(
UPPER(TRIM(CLEAN($O890)))="ENTREGADO",
IFERROR(
INDEX(REPORTE_DROPI!R:R,
MATCH($T890, REPORTE_DROPI!B:B, 0)
),
""
),
""
)
</f>
        <v/>
      </c>
      <c r="H890" s="118" t="s">
        <v>3727</v>
      </c>
      <c r="I890" s="118" t="s">
        <v>3742</v>
      </c>
      <c r="J890" s="121" t="str">
        <f t="array" ref="J890">IF(
UPPER(TRIM(CLEAN($O890)))="ENTREGADO",
IFERROR(
INDEX(REPORTE_DROPI!T:T,
MATCH($T890, REPORTE_DROPI!B:B, 0)
),
""
),
""
)
</f>
        <v/>
      </c>
      <c r="K890" s="118" t="str">
        <f t="array" ref="K890">IFERROR(
INDEX(REPORTE_DROPI!S:S,
MATCH($T890, REPORTE_DROPI!B:B, 0)
),
""
)
</f>
        <v/>
      </c>
      <c r="L890" s="118">
        <f>IF(
  O890&lt;&gt;"DEVOLUCION",
  "",
  IF(
    T890="",
    "",
    SUMIF(DEVOLUCION!F:F, T890, DEVOLUCION!D:D)
  )
)
</f>
        <v>5.06</v>
      </c>
      <c r="M890" s="118" t="s">
        <v>3870</v>
      </c>
      <c r="N890" s="130" t="s">
        <v>5506</v>
      </c>
      <c r="O890" s="118" t="str">
        <f t="array" ref="O890">IFERROR(
VLOOKUP(
TRIM(CLEAN(
INDEX(REPORTE_DROPI!K:K,
MATCH(T890, REPORTE_DROPI!B:B, 0)
))),
{
TRIM(CLEAN(MAPA_ESTADOS!A:A)) ,
MAPA_ESTADOS!B:B
},
2,
FALSE
),
"REVISAR"
)
</f>
        <v>DEVOLUCION</v>
      </c>
      <c r="P890" s="118" t="s">
        <v>3655</v>
      </c>
      <c r="Q890" s="122">
        <f t="shared" si="2"/>
        <v>0</v>
      </c>
      <c r="R890" s="118"/>
      <c r="S890" s="118"/>
      <c r="T890" s="118">
        <f t="array" ref="T890">IFERROR(
INDEX(REPORTE_DROPI!B:B,
MATCH(
CLEAN(TRIM(C890)),
CLEAN(TRIM(REPORTE_DROPI!E:E)),
0
)
),
""
)
</f>
        <v>4319201</v>
      </c>
      <c r="U890" s="118">
        <v>6.449747886124E12</v>
      </c>
      <c r="V890" s="78"/>
      <c r="W890" s="78"/>
      <c r="X890" s="78"/>
      <c r="Y890" s="78"/>
      <c r="Z890" s="78"/>
    </row>
    <row r="891" ht="22.5" customHeight="1">
      <c r="A891" s="118">
        <v>890.0</v>
      </c>
      <c r="B891" s="119">
        <v>46048.0</v>
      </c>
      <c r="C891" s="118" t="s">
        <v>5507</v>
      </c>
      <c r="D891" s="118" t="str">
        <f>IFERROR(__xludf.DUMMYFUNCTION("IFERROR(
  INDEX(
    FILTER(
      'NOMBRE DE PRODUCTOS'!B:B,
      REGEXMATCH(
        UPPER(
          INDEX(
            REPORTE_DROPI!AC:AC,
            MATCH(T891, REPORTE_DROPI!B:B, 0)
          )
        ),
        UPPER('NOMBRE DE PRODUCTOS'!A:A)"&amp;"
      )
    ),
    1
  ),
  ""REVISAR""
)
"),"FilmPro®")</f>
        <v>FilmPro®</v>
      </c>
      <c r="E891" s="120">
        <f t="array" ref="E891">IF(
UPPER(TRIM(CLEAN($O891)))="ENTREGADO",
IFERROR(
INDEX(REPORTE_DROPI!Y:Y,
MATCH($T891, REPORTE_DROPI!B:B, 0)
),
""
),
""
)
</f>
        <v>4.7</v>
      </c>
      <c r="F891" s="121">
        <v>2.0</v>
      </c>
      <c r="G891" s="122">
        <f t="array" ref="G891">IF(
UPPER(TRIM(CLEAN($O891)))="ENTREGADO",
IFERROR(
INDEX(REPORTE_DROPI!R:R,
MATCH($T891, REPORTE_DROPI!B:B, 0)
),
""
),
""
)
</f>
        <v>25</v>
      </c>
      <c r="H891" s="118" t="s">
        <v>3727</v>
      </c>
      <c r="I891" s="118" t="s">
        <v>3772</v>
      </c>
      <c r="J891" s="121">
        <f t="array" ref="J891">IF(
UPPER(TRIM(CLEAN($O891)))="ENTREGADO",
IFERROR(
INDEX(REPORTE_DROPI!T:T,
MATCH($T891, REPORTE_DROPI!B:B, 0)
),
""
),
""
)
</f>
        <v>6.31</v>
      </c>
      <c r="K891" s="118">
        <f t="array" ref="K891">IFERROR(
INDEX(REPORTE_DROPI!S:S,
MATCH($T891, REPORTE_DROPI!B:B, 0)
),
""
)
</f>
        <v>13.99</v>
      </c>
      <c r="L891" s="118" t="str">
        <f>IF(
  O891&lt;&gt;"DEVOLUCION",
  "",
  IF(
    T891="",
    "",
    SUMIF(DEVOLUCION!F:F, T891, DEVOLUCION!D:D)
  )
)
</f>
        <v/>
      </c>
      <c r="M891" s="118" t="s">
        <v>3870</v>
      </c>
      <c r="N891" s="130" t="s">
        <v>5508</v>
      </c>
      <c r="O891" s="118" t="str">
        <f t="array" ref="O891">IFERROR(
VLOOKUP(
TRIM(CLEAN(
INDEX(REPORTE_DROPI!K:K,
MATCH(T891, REPORTE_DROPI!B:B, 0)
))),
{
TRIM(CLEAN(MAPA_ESTADOS!A:A)) ,
MAPA_ESTADOS!B:B
},
2,
FALSE
),
"REVISAR"
)
</f>
        <v>ENTREGADO</v>
      </c>
      <c r="P891" s="118" t="s">
        <v>3888</v>
      </c>
      <c r="Q891" s="122">
        <f t="shared" si="2"/>
        <v>0</v>
      </c>
      <c r="R891" s="118"/>
      <c r="S891" s="118"/>
      <c r="T891" s="118">
        <f t="array" ref="T891">IFERROR(
INDEX(REPORTE_DROPI!B:B,
MATCH(
CLEAN(TRIM(C891)),
CLEAN(TRIM(REPORTE_DROPI!E:E)),
0
)
),
""
)
</f>
        <v>4319173</v>
      </c>
      <c r="U891" s="118">
        <v>6.449809129516E12</v>
      </c>
      <c r="V891" s="78"/>
      <c r="W891" s="78"/>
      <c r="X891" s="78"/>
      <c r="Y891" s="78"/>
      <c r="Z891" s="78"/>
    </row>
    <row r="892" ht="22.5" customHeight="1">
      <c r="A892" s="118">
        <v>891.0</v>
      </c>
      <c r="B892" s="119">
        <v>46048.0</v>
      </c>
      <c r="C892" s="118" t="s">
        <v>5509</v>
      </c>
      <c r="D892" s="118" t="str">
        <f>IFERROR(__xludf.DUMMYFUNCTION("IFERROR(
  INDEX(
    FILTER(
      'NOMBRE DE PRODUCTOS'!B:B,
      REGEXMATCH(
        UPPER(
          INDEX(
            REPORTE_DROPI!AC:AC,
            MATCH(T892, REPORTE_DROPI!B:B, 0)
          )
        ),
        UPPER('NOMBRE DE PRODUCTOS'!A:A)"&amp;"
      )
    ),
    1
  ),
  ""REVISAR""
)
"),"Llave Multifuncional 360™")</f>
        <v>Llave Multifuncional 360™</v>
      </c>
      <c r="E892" s="120">
        <f t="array" ref="E892">IF(
UPPER(TRIM(CLEAN($O892)))="ENTREGADO",
IFERROR(
INDEX(REPORTE_DROPI!Y:Y,
MATCH($T892, REPORTE_DROPI!B:B, 0)
),
""
),
""
)
</f>
        <v>5</v>
      </c>
      <c r="F892" s="121">
        <v>1.0</v>
      </c>
      <c r="G892" s="122">
        <f t="array" ref="G892">IF(
UPPER(TRIM(CLEAN($O892)))="ENTREGADO",
IFERROR(
INDEX(REPORTE_DROPI!R:R,
MATCH($T892, REPORTE_DROPI!B:B, 0)
),
""
),
""
)
</f>
        <v>21.99</v>
      </c>
      <c r="H892" s="118" t="s">
        <v>3727</v>
      </c>
      <c r="I892" s="118" t="s">
        <v>3804</v>
      </c>
      <c r="J892" s="121">
        <f t="array" ref="J892">IF(
UPPER(TRIM(CLEAN($O892)))="ENTREGADO",
IFERROR(
INDEX(REPORTE_DROPI!T:T,
MATCH($T892, REPORTE_DROPI!B:B, 0)
),
""
),
""
)
</f>
        <v>6.41</v>
      </c>
      <c r="K892" s="118">
        <f t="array" ref="K892">IFERROR(
INDEX(REPORTE_DROPI!S:S,
MATCH($T892, REPORTE_DROPI!B:B, 0)
),
""
)
</f>
        <v>10.58</v>
      </c>
      <c r="L892" s="118" t="str">
        <f>IF(
  O892&lt;&gt;"DEVOLUCION",
  "",
  IF(
    T892="",
    "",
    SUMIF(DEVOLUCION!F:F, T892, DEVOLUCION!D:D)
  )
)
</f>
        <v/>
      </c>
      <c r="M892" s="118" t="s">
        <v>3870</v>
      </c>
      <c r="N892" s="130" t="s">
        <v>5510</v>
      </c>
      <c r="O892" s="118" t="str">
        <f t="array" ref="O892">IFERROR(
VLOOKUP(
TRIM(CLEAN(
INDEX(REPORTE_DROPI!K:K,
MATCH(T892, REPORTE_DROPI!B:B, 0)
))),
{
TRIM(CLEAN(MAPA_ESTADOS!A:A)) ,
MAPA_ESTADOS!B:B
},
2,
FALSE
),
"REVISAR"
)
</f>
        <v>ENTREGADO</v>
      </c>
      <c r="P892" s="118" t="s">
        <v>3655</v>
      </c>
      <c r="Q892" s="122">
        <f t="shared" si="2"/>
        <v>0</v>
      </c>
      <c r="R892" s="118"/>
      <c r="S892" s="118"/>
      <c r="T892" s="118">
        <f t="array" ref="T892">IFERROR(
INDEX(REPORTE_DROPI!B:B,
MATCH(
CLEAN(TRIM(C892)),
CLEAN(TRIM(REPORTE_DROPI!E:E)),
0
)
),
""
)
</f>
        <v>4292529</v>
      </c>
      <c r="U892" s="118">
        <v>6.45017115038E12</v>
      </c>
      <c r="V892" s="78"/>
      <c r="W892" s="78"/>
      <c r="X892" s="78"/>
      <c r="Y892" s="78"/>
      <c r="Z892" s="78"/>
    </row>
    <row r="893" ht="22.5" customHeight="1">
      <c r="A893" s="118">
        <v>892.0</v>
      </c>
      <c r="B893" s="119">
        <v>46048.0</v>
      </c>
      <c r="C893" s="118" t="s">
        <v>4016</v>
      </c>
      <c r="D893" s="118" t="str">
        <f>IFERROR(__xludf.DUMMYFUNCTION("IFERROR(
  INDEX(
    FILTER(
      'NOMBRE DE PRODUCTOS'!B:B,
      REGEXMATCH(
        UPPER(
          INDEX(
            REPORTE_DROPI!AC:AC,
            MATCH(T893, REPORTE_DROPI!B:B, 0)
          )
        ),
        UPPER('NOMBRE DE PRODUCTOS'!A:A)"&amp;"
      )
    ),
    1
  ),
  ""REVISAR""
)
"),"FilmPro®")</f>
        <v>FilmPro®</v>
      </c>
      <c r="E893" s="120">
        <f t="array" ref="E893">IF(
UPPER(TRIM(CLEAN($O893)))="ENTREGADO",
IFERROR(
INDEX(REPORTE_DROPI!Y:Y,
MATCH($T893, REPORTE_DROPI!B:B, 0)
),
""
),
""
)
</f>
        <v>2.35</v>
      </c>
      <c r="F893" s="121">
        <v>1.0</v>
      </c>
      <c r="G893" s="122">
        <f t="array" ref="G893">IF(
UPPER(TRIM(CLEAN($O893)))="ENTREGADO",
IFERROR(
INDEX(REPORTE_DROPI!R:R,
MATCH($T893, REPORTE_DROPI!B:B, 0)
),
""
),
""
)
</f>
        <v>20</v>
      </c>
      <c r="H893" s="118" t="s">
        <v>3727</v>
      </c>
      <c r="I893" s="118" t="s">
        <v>3801</v>
      </c>
      <c r="J893" s="121">
        <f t="array" ref="J893">IF(
UPPER(TRIM(CLEAN($O893)))="ENTREGADO",
IFERROR(
INDEX(REPORTE_DROPI!T:T,
MATCH($T893, REPORTE_DROPI!B:B, 0)
),
""
),
""
)
</f>
        <v>7.67</v>
      </c>
      <c r="K893" s="118">
        <f t="array" ref="K893">IFERROR(
INDEX(REPORTE_DROPI!S:S,
MATCH($T893, REPORTE_DROPI!B:B, 0)
),
""
)
</f>
        <v>9.98</v>
      </c>
      <c r="L893" s="118" t="str">
        <f>IF(
  O893&lt;&gt;"DEVOLUCION",
  "",
  IF(
    T893="",
    "",
    SUMIF(DEVOLUCION!F:F, T893, DEVOLUCION!D:D)
  )
)
</f>
        <v/>
      </c>
      <c r="M893" s="118" t="s">
        <v>3870</v>
      </c>
      <c r="N893" s="130" t="s">
        <v>5511</v>
      </c>
      <c r="O893" s="118" t="str">
        <f t="array" ref="O893">IFERROR(
VLOOKUP(
TRIM(CLEAN(
INDEX(REPORTE_DROPI!K:K,
MATCH(T893, REPORTE_DROPI!B:B, 0)
))),
{
TRIM(CLEAN(MAPA_ESTADOS!A:A)) ,
MAPA_ESTADOS!B:B
},
2,
FALSE
),
"REVISAR"
)
</f>
        <v>ENTREGADO</v>
      </c>
      <c r="P893" s="118" t="s">
        <v>3888</v>
      </c>
      <c r="Q893" s="122">
        <f t="shared" si="2"/>
        <v>0</v>
      </c>
      <c r="R893" s="118"/>
      <c r="S893" s="118"/>
      <c r="T893" s="118">
        <f t="array" ref="T893">IFERROR(
INDEX(REPORTE_DROPI!B:B,
MATCH(
CLEAN(TRIM(C893)),
CLEAN(TRIM(REPORTE_DROPI!E:E)),
0
)
),
""
)
</f>
        <v>4299478</v>
      </c>
      <c r="U893" s="118">
        <v>6.450232852524E12</v>
      </c>
      <c r="V893" s="78"/>
      <c r="W893" s="78"/>
      <c r="X893" s="78"/>
      <c r="Y893" s="78"/>
      <c r="Z893" s="78"/>
    </row>
    <row r="894" ht="22.5" customHeight="1">
      <c r="A894" s="118">
        <v>893.0</v>
      </c>
      <c r="B894" s="119">
        <v>46048.0</v>
      </c>
      <c r="C894" s="118" t="s">
        <v>3826</v>
      </c>
      <c r="D894" s="118" t="str">
        <f>IFERROR(__xludf.DUMMYFUNCTION("IFERROR(
  INDEX(
    FILTER(
      'NOMBRE DE PRODUCTOS'!B:B,
      REGEXMATCH(
        UPPER(
          INDEX(
            REPORTE_DROPI!AC:AC,
            MATCH(T894, REPORTE_DROPI!B:B, 0)
          )
        ),
        UPPER('NOMBRE DE PRODUCTOS'!A:A)"&amp;"
      )
    ),
    1
  ),
  ""REVISAR""
)
"),"Llave Multifuncional 360™")</f>
        <v>Llave Multifuncional 360™</v>
      </c>
      <c r="E894" s="120">
        <f t="array" ref="E894">IF(
UPPER(TRIM(CLEAN($O894)))="ENTREGADO",
IFERROR(
INDEX(REPORTE_DROPI!Y:Y,
MATCH($T894, REPORTE_DROPI!B:B, 0)
),
""
),
""
)
</f>
        <v>5</v>
      </c>
      <c r="F894" s="121">
        <v>1.0</v>
      </c>
      <c r="G894" s="122">
        <f t="array" ref="G894">IF(
UPPER(TRIM(CLEAN($O894)))="ENTREGADO",
IFERROR(
INDEX(REPORTE_DROPI!R:R,
MATCH($T894, REPORTE_DROPI!B:B, 0)
),
""
),
""
)
</f>
        <v>21.99</v>
      </c>
      <c r="H894" s="118" t="s">
        <v>3727</v>
      </c>
      <c r="I894" s="118" t="s">
        <v>3951</v>
      </c>
      <c r="J894" s="121">
        <f t="array" ref="J894">IF(
UPPER(TRIM(CLEAN($O894)))="ENTREGADO",
IFERROR(
INDEX(REPORTE_DROPI!T:T,
MATCH($T894, REPORTE_DROPI!B:B, 0)
),
""
),
""
)
</f>
        <v>5.84</v>
      </c>
      <c r="K894" s="118">
        <f t="array" ref="K894">IFERROR(
INDEX(REPORTE_DROPI!S:S,
MATCH($T894, REPORTE_DROPI!B:B, 0)
),
""
)
</f>
        <v>11.15</v>
      </c>
      <c r="L894" s="118" t="str">
        <f>IF(
  O894&lt;&gt;"DEVOLUCION",
  "",
  IF(
    T894="",
    "",
    SUMIF(DEVOLUCION!F:F, T894, DEVOLUCION!D:D)
  )
)
</f>
        <v/>
      </c>
      <c r="M894" s="118" t="s">
        <v>3870</v>
      </c>
      <c r="N894" s="130" t="s">
        <v>5512</v>
      </c>
      <c r="O894" s="118" t="str">
        <f t="array" ref="O894">IFERROR(
VLOOKUP(
TRIM(CLEAN(
INDEX(REPORTE_DROPI!K:K,
MATCH(T894, REPORTE_DROPI!B:B, 0)
))),
{
TRIM(CLEAN(MAPA_ESTADOS!A:A)) ,
MAPA_ESTADOS!B:B
},
2,
FALSE
),
"REVISAR"
)
</f>
        <v>ENTREGADO</v>
      </c>
      <c r="P894" s="118" t="s">
        <v>3655</v>
      </c>
      <c r="Q894" s="122">
        <f t="shared" si="2"/>
        <v>0</v>
      </c>
      <c r="R894" s="118"/>
      <c r="S894" s="118"/>
      <c r="T894" s="118">
        <f t="array" ref="T894">IFERROR(
INDEX(REPORTE_DROPI!B:B,
MATCH(
CLEAN(TRIM(C894)),
CLEAN(TRIM(REPORTE_DROPI!E:E)),
0
)
),
""
)
</f>
        <v>4292499</v>
      </c>
      <c r="U894" s="118">
        <v>6.450254348332E12</v>
      </c>
      <c r="V894" s="78"/>
      <c r="W894" s="78"/>
      <c r="X894" s="78"/>
      <c r="Y894" s="78"/>
      <c r="Z894" s="78"/>
    </row>
    <row r="895" ht="22.5" customHeight="1">
      <c r="A895" s="118">
        <v>894.0</v>
      </c>
      <c r="B895" s="119">
        <v>46048.0</v>
      </c>
      <c r="C895" s="118" t="s">
        <v>5513</v>
      </c>
      <c r="D895" s="118" t="str">
        <f>IFERROR(__xludf.DUMMYFUNCTION("IFERROR(
  INDEX(
    FILTER(
      'NOMBRE DE PRODUCTOS'!B:B,
      REGEXMATCH(
        UPPER(
          INDEX(
            REPORTE_DROPI!AC:AC,
            MATCH(T895, REPORTE_DROPI!B:B, 0)
          )
        ),
        UPPER('NOMBRE DE PRODUCTOS'!A:A)"&amp;"
      )
    ),
    1
  ),
  ""REVISAR""
)
"),"FilmPro®")</f>
        <v>FilmPro®</v>
      </c>
      <c r="E895" s="120">
        <f t="array" ref="E895">IF(
UPPER(TRIM(CLEAN($O895)))="ENTREGADO",
IFERROR(
INDEX(REPORTE_DROPI!Y:Y,
MATCH($T895, REPORTE_DROPI!B:B, 0)
),
""
),
""
)
</f>
        <v>4.7</v>
      </c>
      <c r="F895" s="121">
        <v>2.0</v>
      </c>
      <c r="G895" s="122">
        <f t="array" ref="G895">IF(
UPPER(TRIM(CLEAN($O895)))="ENTREGADO",
IFERROR(
INDEX(REPORTE_DROPI!R:R,
MATCH($T895, REPORTE_DROPI!B:B, 0)
),
""
),
""
)
</f>
        <v>25</v>
      </c>
      <c r="H895" s="118" t="s">
        <v>3727</v>
      </c>
      <c r="I895" s="118" t="s">
        <v>3731</v>
      </c>
      <c r="J895" s="121">
        <f t="array" ref="J895">IF(
UPPER(TRIM(CLEAN($O895)))="ENTREGADO",
IFERROR(
INDEX(REPORTE_DROPI!T:T,
MATCH($T895, REPORTE_DROPI!B:B, 0)
),
""
),
""
)
</f>
        <v>4.35</v>
      </c>
      <c r="K895" s="118">
        <f t="array" ref="K895">IFERROR(
INDEX(REPORTE_DROPI!S:S,
MATCH($T895, REPORTE_DROPI!B:B, 0)
),
""
)
</f>
        <v>15.95</v>
      </c>
      <c r="L895" s="118" t="str">
        <f>IF(
  O895&lt;&gt;"DEVOLUCION",
  "",
  IF(
    T895="",
    "",
    SUMIF(DEVOLUCION!F:F, T895, DEVOLUCION!D:D)
  )
)
</f>
        <v/>
      </c>
      <c r="M895" s="118" t="s">
        <v>3870</v>
      </c>
      <c r="N895" s="130" t="s">
        <v>5514</v>
      </c>
      <c r="O895" s="118" t="str">
        <f t="array" ref="O895">IFERROR(
VLOOKUP(
TRIM(CLEAN(
INDEX(REPORTE_DROPI!K:K,
MATCH(T895, REPORTE_DROPI!B:B, 0)
))),
{
TRIM(CLEAN(MAPA_ESTADOS!A:A)) ,
MAPA_ESTADOS!B:B
},
2,
FALSE
),
"REVISAR"
)
</f>
        <v>ENTREGADO</v>
      </c>
      <c r="P895" s="118" t="s">
        <v>3655</v>
      </c>
      <c r="Q895" s="122">
        <f t="shared" si="2"/>
        <v>0</v>
      </c>
      <c r="R895" s="118"/>
      <c r="S895" s="118"/>
      <c r="T895" s="118">
        <f t="array" ref="T895">IFERROR(
INDEX(REPORTE_DROPI!B:B,
MATCH(
CLEAN(TRIM(C895)),
CLEAN(TRIM(REPORTE_DROPI!E:E)),
0
)
),
""
)
</f>
        <v>4319114</v>
      </c>
      <c r="U895" s="118">
        <v>6.450340659244E12</v>
      </c>
      <c r="V895" s="78"/>
      <c r="W895" s="78"/>
      <c r="X895" s="78"/>
      <c r="Y895" s="78"/>
      <c r="Z895" s="78"/>
    </row>
    <row r="896" ht="22.5" customHeight="1">
      <c r="A896" s="118">
        <v>895.0</v>
      </c>
      <c r="B896" s="119">
        <v>46048.0</v>
      </c>
      <c r="C896" s="118" t="s">
        <v>5515</v>
      </c>
      <c r="D896" s="118" t="str">
        <f>IFERROR(__xludf.DUMMYFUNCTION("IFERROR(
  INDEX(
    FILTER(
      'NOMBRE DE PRODUCTOS'!B:B,
      REGEXMATCH(
        UPPER(
          INDEX(
            REPORTE_DROPI!AC:AC,
            MATCH(T896, REPORTE_DROPI!B:B, 0)
          )
        ),
        UPPER('NOMBRE DE PRODUCTOS'!A:A)"&amp;"
      )
    ),
    1
  ),
  ""REVISAR""
)
"),"FilmPro®")</f>
        <v>FilmPro®</v>
      </c>
      <c r="E896" s="120" t="str">
        <f t="array" ref="E896">IF(
UPPER(TRIM(CLEAN($O896)))="ENTREGADO",
IFERROR(
INDEX(REPORTE_DROPI!Y:Y,
MATCH($T896, REPORTE_DROPI!B:B, 0)
),
""
),
""
)
</f>
        <v/>
      </c>
      <c r="F896" s="121">
        <v>3.0</v>
      </c>
      <c r="G896" s="122" t="str">
        <f t="array" ref="G896">IF(
UPPER(TRIM(CLEAN($O896)))="ENTREGADO",
IFERROR(
INDEX(REPORTE_DROPI!R:R,
MATCH($T896, REPORTE_DROPI!B:B, 0)
),
""
),
""
)
</f>
        <v/>
      </c>
      <c r="H896" s="118" t="s">
        <v>3727</v>
      </c>
      <c r="I896" s="118" t="s">
        <v>3731</v>
      </c>
      <c r="J896" s="121" t="str">
        <f t="array" ref="J896">IF(
UPPER(TRIM(CLEAN($O896)))="ENTREGADO",
IFERROR(
INDEX(REPORTE_DROPI!T:T,
MATCH($T896, REPORTE_DROPI!B:B, 0)
),
""
),
""
)
</f>
        <v/>
      </c>
      <c r="K896" s="118" t="str">
        <f t="array" ref="K896">IFERROR(
INDEX(REPORTE_DROPI!S:S,
MATCH($T896, REPORTE_DROPI!B:B, 0)
),
""
)
</f>
        <v/>
      </c>
      <c r="L896" s="118">
        <f>IF(
  O896&lt;&gt;"DEVOLUCION",
  "",
  IF(
    T896="",
    "",
    SUMIF(DEVOLUCION!F:F, T896, DEVOLUCION!D:D)
  )
)
</f>
        <v>3.51</v>
      </c>
      <c r="M896" s="118" t="s">
        <v>3870</v>
      </c>
      <c r="N896" s="130" t="s">
        <v>5516</v>
      </c>
      <c r="O896" s="118" t="str">
        <f t="array" ref="O896">IFERROR(
VLOOKUP(
TRIM(CLEAN(
INDEX(REPORTE_DROPI!K:K,
MATCH(T896, REPORTE_DROPI!B:B, 0)
))),
{
TRIM(CLEAN(MAPA_ESTADOS!A:A)) ,
MAPA_ESTADOS!B:B
},
2,
FALSE
),
"REVISAR"
)
</f>
        <v>DEVOLUCION</v>
      </c>
      <c r="P896" s="118" t="s">
        <v>3655</v>
      </c>
      <c r="Q896" s="122">
        <f t="shared" si="2"/>
        <v>0</v>
      </c>
      <c r="R896" s="118"/>
      <c r="S896" s="118"/>
      <c r="T896" s="118">
        <f t="array" ref="T896">IFERROR(
INDEX(REPORTE_DROPI!B:B,
MATCH(
CLEAN(TRIM(C896)),
CLEAN(TRIM(REPORTE_DROPI!E:E)),
0
)
),
""
)
</f>
        <v>4289528</v>
      </c>
      <c r="U896" s="118">
        <v>6.450426314796E12</v>
      </c>
      <c r="V896" s="78"/>
      <c r="W896" s="78"/>
      <c r="X896" s="78"/>
      <c r="Y896" s="78"/>
      <c r="Z896" s="78"/>
    </row>
    <row r="897" ht="22.5" customHeight="1">
      <c r="A897" s="118">
        <v>896.0</v>
      </c>
      <c r="B897" s="119">
        <v>46048.0</v>
      </c>
      <c r="C897" s="126" t="s">
        <v>5517</v>
      </c>
      <c r="D897" s="118" t="str">
        <f>IFERROR(__xludf.DUMMYFUNCTION("IFERROR(
  INDEX(
    FILTER(
      'NOMBRE DE PRODUCTOS'!B:B,
      REGEXMATCH(
        UPPER(
          INDEX(
            REPORTE_DROPI!AC:AC,
            MATCH(T897, REPORTE_DROPI!B:B, 0)
          )
        ),
        UPPER('NOMBRE DE PRODUCTOS'!A:A)"&amp;"
      )
    ),
    1
  ),
  ""REVISAR""
)
"),"FilmPro®")</f>
        <v>FilmPro®</v>
      </c>
      <c r="E897" s="120" t="str">
        <f t="array" ref="E897">IF(
UPPER(TRIM(CLEAN($O897)))="ENTREGADO",
IFERROR(
INDEX(REPORTE_DROPI!Y:Y,
MATCH($T897, REPORTE_DROPI!B:B, 0)
),
""
),
""
)
</f>
        <v/>
      </c>
      <c r="F897" s="121">
        <v>3.0</v>
      </c>
      <c r="G897" s="122" t="str">
        <f t="array" ref="G897">IF(
UPPER(TRIM(CLEAN($O897)))="ENTREGADO",
IFERROR(
INDEX(REPORTE_DROPI!R:R,
MATCH($T897, REPORTE_DROPI!B:B, 0)
),
""
),
""
)
</f>
        <v/>
      </c>
      <c r="H897" s="118" t="s">
        <v>3727</v>
      </c>
      <c r="I897" s="118" t="s">
        <v>3740</v>
      </c>
      <c r="J897" s="121" t="str">
        <f t="array" ref="J897">IF(
UPPER(TRIM(CLEAN($O897)))="ENTREGADO",
IFERROR(
INDEX(REPORTE_DROPI!T:T,
MATCH($T897, REPORTE_DROPI!B:B, 0)
),
""
),
""
)
</f>
        <v/>
      </c>
      <c r="K897" s="118" t="str">
        <f t="array" ref="K897">IFERROR(
INDEX(REPORTE_DROPI!S:S,
MATCH($T897, REPORTE_DROPI!B:B, 0)
),
""
)
</f>
        <v/>
      </c>
      <c r="L897" s="118" t="str">
        <f>IF(
  O897&lt;&gt;"DEVOLUCION",
  "",
  IF(
    T897="",
    "",
    SUMIF(DEVOLUCION!F:F, T897, DEVOLUCION!D:D)
  )
)
</f>
        <v/>
      </c>
      <c r="M897" s="118" t="s">
        <v>3870</v>
      </c>
      <c r="N897" s="130" t="s">
        <v>5518</v>
      </c>
      <c r="O897" s="118" t="str">
        <f t="array" ref="O897">IFERROR(
VLOOKUP(
TRIM(CLEAN(
INDEX(REPORTE_DROPI!K:K,
MATCH(T897, REPORTE_DROPI!B:B, 0)
))),
{
TRIM(CLEAN(MAPA_ESTADOS!A:A)) ,
MAPA_ESTADOS!B:B
},
2,
FALSE
),
"REVISAR"
)
</f>
        <v>PENDIENTE</v>
      </c>
      <c r="P897" s="118" t="s">
        <v>4892</v>
      </c>
      <c r="Q897" s="122">
        <f t="shared" si="2"/>
        <v>0</v>
      </c>
      <c r="R897" s="118"/>
      <c r="S897" s="118"/>
      <c r="T897" s="118">
        <f t="array" ref="T897">IFERROR(
INDEX(REPORTE_DROPI!B:B,
MATCH(
CLEAN(TRIM(C897)),
CLEAN(TRIM(REPORTE_DROPI!E:E)),
0
)
),
""
)
</f>
        <v>4289649</v>
      </c>
      <c r="U897" s="118">
        <v>6.4504550851E12</v>
      </c>
      <c r="V897" s="78"/>
      <c r="W897" s="78"/>
      <c r="X897" s="78"/>
      <c r="Y897" s="78"/>
      <c r="Z897" s="78"/>
    </row>
    <row r="898" ht="22.5" customHeight="1">
      <c r="A898" s="118">
        <v>897.0</v>
      </c>
      <c r="B898" s="119">
        <v>46048.0</v>
      </c>
      <c r="C898" s="118" t="s">
        <v>5519</v>
      </c>
      <c r="D898" s="118" t="str">
        <f>IFERROR(__xludf.DUMMYFUNCTION("IFERROR(
  INDEX(
    FILTER(
      'NOMBRE DE PRODUCTOS'!B:B,
      REGEXMATCH(
        UPPER(
          INDEX(
            REPORTE_DROPI!AC:AC,
            MATCH(T898, REPORTE_DROPI!B:B, 0)
          )
        ),
        UPPER('NOMBRE DE PRODUCTOS'!A:A)"&amp;"
      )
    ),
    1
  ),
  ""REVISAR""
)
"),"FilmPro®")</f>
        <v>FilmPro®</v>
      </c>
      <c r="E898" s="120" t="str">
        <f t="array" ref="E898">IF(
UPPER(TRIM(CLEAN($O898)))="ENTREGADO",
IFERROR(
INDEX(REPORTE_DROPI!Y:Y,
MATCH($T898, REPORTE_DROPI!B:B, 0)
),
""
),
""
)
</f>
        <v/>
      </c>
      <c r="F898" s="121">
        <v>1.0</v>
      </c>
      <c r="G898" s="122" t="str">
        <f t="array" ref="G898">IF(
UPPER(TRIM(CLEAN($O898)))="ENTREGADO",
IFERROR(
INDEX(REPORTE_DROPI!R:R,
MATCH($T898, REPORTE_DROPI!B:B, 0)
),
""
),
""
)
</f>
        <v/>
      </c>
      <c r="H898" s="118" t="s">
        <v>3727</v>
      </c>
      <c r="I898" s="118" t="s">
        <v>3801</v>
      </c>
      <c r="J898" s="121" t="str">
        <f t="array" ref="J898">IF(
UPPER(TRIM(CLEAN($O898)))="ENTREGADO",
IFERROR(
INDEX(REPORTE_DROPI!T:T,
MATCH($T898, REPORTE_DROPI!B:B, 0)
),
""
),
""
)
</f>
        <v/>
      </c>
      <c r="K898" s="118" t="str">
        <f t="array" ref="K898">IFERROR(
INDEX(REPORTE_DROPI!S:S,
MATCH($T898, REPORTE_DROPI!B:B, 0)
),
""
)
</f>
        <v/>
      </c>
      <c r="L898" s="118" t="str">
        <f>IF(
  O898&lt;&gt;"DEVOLUCION",
  "",
  IF(
    T898="",
    "",
    SUMIF(DEVOLUCION!F:F, T898, DEVOLUCION!D:D)
  )
)
</f>
        <v/>
      </c>
      <c r="M898" s="118" t="s">
        <v>3870</v>
      </c>
      <c r="N898" s="130" t="s">
        <v>5520</v>
      </c>
      <c r="O898" s="118" t="str">
        <f t="array" ref="O898">IFERROR(
VLOOKUP(
TRIM(CLEAN(
INDEX(REPORTE_DROPI!K:K,
MATCH(T898, REPORTE_DROPI!B:B, 0)
))),
{
TRIM(CLEAN(MAPA_ESTADOS!A:A)) ,
MAPA_ESTADOS!B:B
},
2,
FALSE
),
"REVISAR"
)
</f>
        <v>CANCELADO</v>
      </c>
      <c r="P898" s="118" t="s">
        <v>3990</v>
      </c>
      <c r="Q898" s="122">
        <f t="shared" si="2"/>
        <v>0</v>
      </c>
      <c r="R898" s="118"/>
      <c r="S898" s="118"/>
      <c r="T898" s="118">
        <f t="array" ref="T898">IFERROR(
INDEX(REPORTE_DROPI!B:B,
MATCH(
CLEAN(TRIM(C898)),
CLEAN(TRIM(REPORTE_DROPI!E:E)),
0
)
),
""
)
</f>
        <v>4290570</v>
      </c>
      <c r="U898" s="118">
        <v>6.450616827948E12</v>
      </c>
      <c r="V898" s="78"/>
      <c r="W898" s="78"/>
      <c r="X898" s="78"/>
      <c r="Y898" s="78"/>
      <c r="Z898" s="78"/>
    </row>
    <row r="899" ht="22.5" customHeight="1">
      <c r="A899" s="118">
        <v>898.0</v>
      </c>
      <c r="B899" s="119">
        <v>46048.0</v>
      </c>
      <c r="C899" s="126" t="s">
        <v>5521</v>
      </c>
      <c r="D899" s="118" t="str">
        <f>IFERROR(__xludf.DUMMYFUNCTION("IFERROR(
  INDEX(
    FILTER(
      'NOMBRE DE PRODUCTOS'!B:B,
      REGEXMATCH(
        UPPER(
          INDEX(
            REPORTE_DROPI!AC:AC,
            MATCH(T899, REPORTE_DROPI!B:B, 0)
          )
        ),
        UPPER('NOMBRE DE PRODUCTOS'!A:A)"&amp;"
      )
    ),
    1
  ),
  ""REVISAR""
)
"),"FilmPro®")</f>
        <v>FilmPro®</v>
      </c>
      <c r="E899" s="120" t="str">
        <f t="array" ref="E899">IF(
UPPER(TRIM(CLEAN($O899)))="ENTREGADO",
IFERROR(
INDEX(REPORTE_DROPI!Y:Y,
MATCH($T899, REPORTE_DROPI!B:B, 0)
),
""
),
""
)
</f>
        <v/>
      </c>
      <c r="F899" s="121">
        <v>1.0</v>
      </c>
      <c r="G899" s="122" t="str">
        <f t="array" ref="G899">IF(
UPPER(TRIM(CLEAN($O899)))="ENTREGADO",
IFERROR(
INDEX(REPORTE_DROPI!R:R,
MATCH($T899, REPORTE_DROPI!B:B, 0)
),
""
),
""
)
</f>
        <v/>
      </c>
      <c r="H899" s="118" t="s">
        <v>3727</v>
      </c>
      <c r="I899" s="118" t="s">
        <v>3951</v>
      </c>
      <c r="J899" s="121" t="str">
        <f t="array" ref="J899">IF(
UPPER(TRIM(CLEAN($O899)))="ENTREGADO",
IFERROR(
INDEX(REPORTE_DROPI!T:T,
MATCH($T899, REPORTE_DROPI!B:B, 0)
),
""
),
""
)
</f>
        <v/>
      </c>
      <c r="K899" s="118" t="str">
        <f t="array" ref="K899">IFERROR(
INDEX(REPORTE_DROPI!S:S,
MATCH($T899, REPORTE_DROPI!B:B, 0)
),
""
)
</f>
        <v/>
      </c>
      <c r="L899" s="118" t="str">
        <f>IF(
  O899&lt;&gt;"DEVOLUCION",
  "",
  IF(
    T899="",
    "",
    SUMIF(DEVOLUCION!F:F, T899, DEVOLUCION!D:D)
  )
)
</f>
        <v/>
      </c>
      <c r="M899" s="118" t="s">
        <v>3870</v>
      </c>
      <c r="N899" s="130" t="s">
        <v>5522</v>
      </c>
      <c r="O899" s="118" t="str">
        <f t="array" ref="O899">IFERROR(
VLOOKUP(
TRIM(CLEAN(
INDEX(REPORTE_DROPI!K:K,
MATCH(T899, REPORTE_DROPI!B:B, 0)
))),
{
TRIM(CLEAN(MAPA_ESTADOS!A:A)) ,
MAPA_ESTADOS!B:B
},
2,
FALSE
),
"REVISAR"
)
</f>
        <v>PENDIENTE</v>
      </c>
      <c r="P899" s="118" t="s">
        <v>5523</v>
      </c>
      <c r="Q899" s="122">
        <f t="shared" si="2"/>
        <v>0</v>
      </c>
      <c r="R899" s="118"/>
      <c r="S899" s="118"/>
      <c r="T899" s="118">
        <f t="array" ref="T899">IFERROR(
INDEX(REPORTE_DROPI!B:B,
MATCH(
CLEAN(TRIM(C899)),
CLEAN(TRIM(REPORTE_DROPI!E:E)),
0
)
),
""
)
</f>
        <v>4300697</v>
      </c>
      <c r="U899" s="118">
        <v>6.45064825246E12</v>
      </c>
      <c r="V899" s="78"/>
      <c r="W899" s="78"/>
      <c r="X899" s="78"/>
      <c r="Y899" s="78"/>
      <c r="Z899" s="78"/>
    </row>
    <row r="900" ht="22.5" customHeight="1">
      <c r="A900" s="118">
        <v>899.0</v>
      </c>
      <c r="B900" s="119">
        <v>46048.0</v>
      </c>
      <c r="C900" s="118" t="s">
        <v>5524</v>
      </c>
      <c r="D900" s="118" t="str">
        <f>IFERROR(__xludf.DUMMYFUNCTION("IFERROR(
  INDEX(
    FILTER(
      'NOMBRE DE PRODUCTOS'!B:B,
      REGEXMATCH(
        UPPER(
          INDEX(
            REPORTE_DROPI!AC:AC,
            MATCH(T900, REPORTE_DROPI!B:B, 0)
          )
        ),
        UPPER('NOMBRE DE PRODUCTOS'!A:A)"&amp;"
      )
    ),
    1
  ),
  ""REVISAR""
)
"),"FilmPro®")</f>
        <v>FilmPro®</v>
      </c>
      <c r="E900" s="120">
        <f t="array" ref="E900">IF(
UPPER(TRIM(CLEAN($O900)))="ENTREGADO",
IFERROR(
INDEX(REPORTE_DROPI!Y:Y,
MATCH($T900, REPORTE_DROPI!B:B, 0)
),
""
),
""
)
</f>
        <v>7.05</v>
      </c>
      <c r="F900" s="121">
        <v>3.0</v>
      </c>
      <c r="G900" s="122">
        <f t="array" ref="G900">IF(
UPPER(TRIM(CLEAN($O900)))="ENTREGADO",
IFERROR(
INDEX(REPORTE_DROPI!R:R,
MATCH($T900, REPORTE_DROPI!B:B, 0)
),
""
),
""
)
</f>
        <v>30</v>
      </c>
      <c r="H900" s="118" t="s">
        <v>3727</v>
      </c>
      <c r="I900" s="118" t="s">
        <v>3731</v>
      </c>
      <c r="J900" s="121">
        <f t="array" ref="J900">IF(
UPPER(TRIM(CLEAN($O900)))="ENTREGADO",
IFERROR(
INDEX(REPORTE_DROPI!T:T,
MATCH($T900, REPORTE_DROPI!B:B, 0)
),
""
),
""
)
</f>
        <v>4.55</v>
      </c>
      <c r="K900" s="118">
        <f t="array" ref="K900">IFERROR(
INDEX(REPORTE_DROPI!S:S,
MATCH($T900, REPORTE_DROPI!B:B, 0)
),
""
)
</f>
        <v>18.4</v>
      </c>
      <c r="L900" s="118" t="str">
        <f>IF(
  O900&lt;&gt;"DEVOLUCION",
  "",
  IF(
    T900="",
    "",
    SUMIF(DEVOLUCION!F:F, T900, DEVOLUCION!D:D)
  )
)
</f>
        <v/>
      </c>
      <c r="M900" s="118" t="s">
        <v>3870</v>
      </c>
      <c r="N900" s="130" t="s">
        <v>5525</v>
      </c>
      <c r="O900" s="118" t="str">
        <f t="array" ref="O900">IFERROR(
VLOOKUP(
TRIM(CLEAN(
INDEX(REPORTE_DROPI!K:K,
MATCH(T900, REPORTE_DROPI!B:B, 0)
))),
{
TRIM(CLEAN(MAPA_ESTADOS!A:A)) ,
MAPA_ESTADOS!B:B
},
2,
FALSE
),
"REVISAR"
)
</f>
        <v>ENTREGADO</v>
      </c>
      <c r="P900" s="118" t="s">
        <v>3655</v>
      </c>
      <c r="Q900" s="122">
        <f t="shared" si="2"/>
        <v>0</v>
      </c>
      <c r="R900" s="118"/>
      <c r="S900" s="118"/>
      <c r="T900" s="118">
        <f t="array" ref="T900">IFERROR(
INDEX(REPORTE_DROPI!B:B,
MATCH(
CLEAN(TRIM(C900)),
CLEAN(TRIM(REPORTE_DROPI!E:E)),
0
)
),
""
)
</f>
        <v>4290784</v>
      </c>
      <c r="U900" s="118">
        <v>6.45065136542E12</v>
      </c>
      <c r="V900" s="78"/>
      <c r="W900" s="78"/>
      <c r="X900" s="78"/>
      <c r="Y900" s="78"/>
      <c r="Z900" s="78"/>
    </row>
    <row r="901" ht="22.5" customHeight="1">
      <c r="A901" s="118">
        <v>900.0</v>
      </c>
      <c r="B901" s="119">
        <v>46049.0</v>
      </c>
      <c r="C901" s="118" t="s">
        <v>5526</v>
      </c>
      <c r="D901" s="118" t="str">
        <f>IFERROR(__xludf.DUMMYFUNCTION("IFERROR(
  INDEX(
    FILTER(
      'NOMBRE DE PRODUCTOS'!B:B,
      REGEXMATCH(
        UPPER(
          INDEX(
            REPORTE_DROPI!AC:AC,
            MATCH(T901, REPORTE_DROPI!B:B, 0)
          )
        ),
        UPPER('NOMBRE DE PRODUCTOS'!A:A)"&amp;"
      )
    ),
    1
  ),
  ""REVISAR""
)
"),"Llave Multifuncional 360™")</f>
        <v>Llave Multifuncional 360™</v>
      </c>
      <c r="E901" s="120">
        <f t="array" ref="E901">IF(
UPPER(TRIM(CLEAN($O901)))="ENTREGADO",
IFERROR(
INDEX(REPORTE_DROPI!Y:Y,
MATCH($T901, REPORTE_DROPI!B:B, 0)
),
""
),
""
)
</f>
        <v>5</v>
      </c>
      <c r="F901" s="121">
        <v>1.0</v>
      </c>
      <c r="G901" s="122">
        <f t="array" ref="G901">IF(
UPPER(TRIM(CLEAN($O901)))="ENTREGADO",
IFERROR(
INDEX(REPORTE_DROPI!R:R,
MATCH($T901, REPORTE_DROPI!B:B, 0)
),
""
),
""
)
</f>
        <v>21.99</v>
      </c>
      <c r="H901" s="118" t="s">
        <v>3727</v>
      </c>
      <c r="I901" s="118" t="s">
        <v>3728</v>
      </c>
      <c r="J901" s="121">
        <f t="array" ref="J901">IF(
UPPER(TRIM(CLEAN($O901)))="ENTREGADO",
IFERROR(
INDEX(REPORTE_DROPI!T:T,
MATCH($T901, REPORTE_DROPI!B:B, 0)
),
""
),
""
)
</f>
        <v>5.84</v>
      </c>
      <c r="K901" s="118">
        <f t="array" ref="K901">IFERROR(
INDEX(REPORTE_DROPI!S:S,
MATCH($T901, REPORTE_DROPI!B:B, 0)
),
""
)
</f>
        <v>11.15</v>
      </c>
      <c r="L901" s="118" t="str">
        <f>IF(
  O901&lt;&gt;"DEVOLUCION",
  "",
  IF(
    T901="",
    "",
    SUMIF(DEVOLUCION!F:F, T901, DEVOLUCION!D:D)
  )
)
</f>
        <v/>
      </c>
      <c r="M901" s="118" t="s">
        <v>3870</v>
      </c>
      <c r="N901" s="130" t="s">
        <v>5527</v>
      </c>
      <c r="O901" s="118" t="str">
        <f t="array" ref="O901">IFERROR(
VLOOKUP(
TRIM(CLEAN(
INDEX(REPORTE_DROPI!K:K,
MATCH(T901, REPORTE_DROPI!B:B, 0)
))),
{
TRIM(CLEAN(MAPA_ESTADOS!A:A)) ,
MAPA_ESTADOS!B:B
},
2,
FALSE
),
"REVISAR"
)
</f>
        <v>ENTREGADO</v>
      </c>
      <c r="P901" s="118" t="s">
        <v>3655</v>
      </c>
      <c r="Q901" s="122">
        <f t="shared" si="2"/>
        <v>0</v>
      </c>
      <c r="R901" s="118"/>
      <c r="S901" s="118"/>
      <c r="T901" s="118">
        <f t="array" ref="T901">IFERROR(
INDEX(REPORTE_DROPI!B:B,
MATCH(
CLEAN(TRIM(C901)),
CLEAN(TRIM(REPORTE_DROPI!E:E)),
0
)
),
""
)
</f>
        <v>4292379</v>
      </c>
      <c r="U901" s="118">
        <v>6.451164250156E12</v>
      </c>
      <c r="V901" s="78"/>
      <c r="W901" s="78"/>
      <c r="X901" s="78"/>
      <c r="Y901" s="78"/>
      <c r="Z901" s="78"/>
    </row>
    <row r="902" ht="22.5" customHeight="1">
      <c r="A902" s="118">
        <v>901.0</v>
      </c>
      <c r="B902" s="119">
        <v>46049.0</v>
      </c>
      <c r="C902" s="118" t="s">
        <v>5528</v>
      </c>
      <c r="D902" s="118" t="str">
        <f>IFERROR(__xludf.DUMMYFUNCTION("IFERROR(
  INDEX(
    FILTER(
      'NOMBRE DE PRODUCTOS'!B:B,
      REGEXMATCH(
        UPPER(
          INDEX(
            REPORTE_DROPI!AC:AC,
            MATCH(T902, REPORTE_DROPI!B:B, 0)
          )
        ),
        UPPER('NOMBRE DE PRODUCTOS'!A:A)"&amp;"
      )
    ),
    1
  ),
  ""REVISAR""
)
"),"Llave Multifuncional 360™")</f>
        <v>Llave Multifuncional 360™</v>
      </c>
      <c r="E902" s="120" t="str">
        <f t="array" ref="E902">IF(
UPPER(TRIM(CLEAN($O902)))="ENTREGADO",
IFERROR(
INDEX(REPORTE_DROPI!Y:Y,
MATCH($T902, REPORTE_DROPI!B:B, 0)
),
""
),
""
)
</f>
        <v/>
      </c>
      <c r="F902" s="121">
        <v>1.0</v>
      </c>
      <c r="G902" s="122" t="str">
        <f t="array" ref="G902">IF(
UPPER(TRIM(CLEAN($O902)))="ENTREGADO",
IFERROR(
INDEX(REPORTE_DROPI!R:R,
MATCH($T902, REPORTE_DROPI!B:B, 0)
),
""
),
""
)
</f>
        <v/>
      </c>
      <c r="H902" s="118" t="s">
        <v>3727</v>
      </c>
      <c r="I902" s="118" t="s">
        <v>3951</v>
      </c>
      <c r="J902" s="121" t="str">
        <f t="array" ref="J902">IF(
UPPER(TRIM(CLEAN($O902)))="ENTREGADO",
IFERROR(
INDEX(REPORTE_DROPI!T:T,
MATCH($T902, REPORTE_DROPI!B:B, 0)
),
""
),
""
)
</f>
        <v/>
      </c>
      <c r="K902" s="118" t="str">
        <f t="array" ref="K902">IFERROR(
INDEX(REPORTE_DROPI!S:S,
MATCH($T902, REPORTE_DROPI!B:B, 0)
),
""
)
</f>
        <v/>
      </c>
      <c r="L902" s="118">
        <f>IF(
  O902&lt;&gt;"DEVOLUCION",
  "",
  IF(
    T902="",
    "",
    SUMIF(DEVOLUCION!F:F, T902, DEVOLUCION!D:D)
  )
)
</f>
        <v>5.07</v>
      </c>
      <c r="M902" s="118" t="s">
        <v>3870</v>
      </c>
      <c r="N902" s="130" t="s">
        <v>5529</v>
      </c>
      <c r="O902" s="118" t="str">
        <f t="array" ref="O902">IFERROR(
VLOOKUP(
TRIM(CLEAN(
INDEX(REPORTE_DROPI!K:K,
MATCH(T902, REPORTE_DROPI!B:B, 0)
))),
{
TRIM(CLEAN(MAPA_ESTADOS!A:A)) ,
MAPA_ESTADOS!B:B
},
2,
FALSE
),
"REVISAR"
)
</f>
        <v>DEVOLUCION</v>
      </c>
      <c r="P902" s="118" t="s">
        <v>3655</v>
      </c>
      <c r="Q902" s="122">
        <f t="shared" si="2"/>
        <v>0</v>
      </c>
      <c r="R902" s="118" t="s">
        <v>3675</v>
      </c>
      <c r="S902" s="118">
        <v>1.0</v>
      </c>
      <c r="T902" s="118">
        <f t="array" ref="T902">IFERROR(
INDEX(REPORTE_DROPI!B:B,
MATCH(
CLEAN(TRIM(C902)),
CLEAN(TRIM(REPORTE_DROPI!E:E)),
0
)
),
""
)
</f>
        <v>4292453</v>
      </c>
      <c r="U902" s="118">
        <v>6.451225526316E12</v>
      </c>
      <c r="V902" s="78"/>
      <c r="W902" s="78"/>
      <c r="X902" s="78"/>
      <c r="Y902" s="78"/>
      <c r="Z902" s="78"/>
    </row>
    <row r="903" ht="22.5" customHeight="1">
      <c r="A903" s="118">
        <v>902.0</v>
      </c>
      <c r="B903" s="119">
        <v>46049.0</v>
      </c>
      <c r="C903" s="118" t="s">
        <v>5530</v>
      </c>
      <c r="D903" s="118" t="str">
        <f>IFERROR(__xludf.DUMMYFUNCTION("IFERROR(
  INDEX(
    FILTER(
      'NOMBRE DE PRODUCTOS'!B:B,
      REGEXMATCH(
        UPPER(
          INDEX(
            REPORTE_DROPI!AC:AC,
            MATCH(T903, REPORTE_DROPI!B:B, 0)
          )
        ),
        UPPER('NOMBRE DE PRODUCTOS'!A:A)"&amp;"
      )
    ),
    1
  ),
  ""REVISAR""
)
"),"Llave Multifuncional 360™")</f>
        <v>Llave Multifuncional 360™</v>
      </c>
      <c r="E903" s="120">
        <f t="array" ref="E903">IF(
UPPER(TRIM(CLEAN($O903)))="ENTREGADO",
IFERROR(
INDEX(REPORTE_DROPI!Y:Y,
MATCH($T903, REPORTE_DROPI!B:B, 0)
),
""
),
""
)
</f>
        <v>5</v>
      </c>
      <c r="F903" s="121">
        <v>1.0</v>
      </c>
      <c r="G903" s="122">
        <f t="array" ref="G903">IF(
UPPER(TRIM(CLEAN($O903)))="ENTREGADO",
IFERROR(
INDEX(REPORTE_DROPI!R:R,
MATCH($T903, REPORTE_DROPI!B:B, 0)
),
""
),
""
)
</f>
        <v>21.99</v>
      </c>
      <c r="H903" s="118" t="s">
        <v>3727</v>
      </c>
      <c r="I903" s="118" t="s">
        <v>3772</v>
      </c>
      <c r="J903" s="121">
        <f t="array" ref="J903">IF(
UPPER(TRIM(CLEAN($O903)))="ENTREGADO",
IFERROR(
INDEX(REPORTE_DROPI!T:T,
MATCH($T903, REPORTE_DROPI!B:B, 0)
),
""
),
""
)
</f>
        <v>5.84</v>
      </c>
      <c r="K903" s="118">
        <f t="array" ref="K903">IFERROR(
INDEX(REPORTE_DROPI!S:S,
MATCH($T903, REPORTE_DROPI!B:B, 0)
),
""
)
</f>
        <v>11.15</v>
      </c>
      <c r="L903" s="118" t="str">
        <f>IF(
  O903&lt;&gt;"DEVOLUCION",
  "",
  IF(
    T903="",
    "",
    SUMIF(DEVOLUCION!F:F, T903, DEVOLUCION!D:D)
  )
)
</f>
        <v/>
      </c>
      <c r="M903" s="118" t="s">
        <v>3870</v>
      </c>
      <c r="N903" s="130" t="s">
        <v>5531</v>
      </c>
      <c r="O903" s="118" t="str">
        <f t="array" ref="O903">IFERROR(
VLOOKUP(
TRIM(CLEAN(
INDEX(REPORTE_DROPI!K:K,
MATCH(T903, REPORTE_DROPI!B:B, 0)
))),
{
TRIM(CLEAN(MAPA_ESTADOS!A:A)) ,
MAPA_ESTADOS!B:B
},
2,
FALSE
),
"REVISAR"
)
</f>
        <v>ENTREGADO</v>
      </c>
      <c r="P903" s="118" t="s">
        <v>3655</v>
      </c>
      <c r="Q903" s="122">
        <f t="shared" si="2"/>
        <v>0</v>
      </c>
      <c r="R903" s="118"/>
      <c r="S903" s="118"/>
      <c r="T903" s="118">
        <f t="array" ref="T903">IFERROR(
INDEX(REPORTE_DROPI!B:B,
MATCH(
CLEAN(TRIM(C903)),
CLEAN(TRIM(REPORTE_DROPI!E:E)),
0
)
),
""
)
</f>
        <v>4292285</v>
      </c>
      <c r="U903" s="118">
        <v>6.451242958892E12</v>
      </c>
      <c r="V903" s="78"/>
      <c r="W903" s="78"/>
      <c r="X903" s="78"/>
      <c r="Y903" s="78"/>
      <c r="Z903" s="78"/>
    </row>
    <row r="904" ht="22.5" customHeight="1">
      <c r="A904" s="118">
        <v>903.0</v>
      </c>
      <c r="B904" s="119">
        <v>46049.0</v>
      </c>
      <c r="C904" s="126" t="s">
        <v>5532</v>
      </c>
      <c r="D904" s="118" t="str">
        <f>IFERROR(__xludf.DUMMYFUNCTION("IFERROR(
  INDEX(
    FILTER(
      'NOMBRE DE PRODUCTOS'!B:B,
      REGEXMATCH(
        UPPER(
          INDEX(
            REPORTE_DROPI!AC:AC,
            MATCH(T904, REPORTE_DROPI!B:B, 0)
          )
        ),
        UPPER('NOMBRE DE PRODUCTOS'!A:A)"&amp;"
      )
    ),
    1
  ),
  ""REVISAR""
)
"),"REVISAR")</f>
        <v>REVISAR</v>
      </c>
      <c r="E904" s="120" t="str">
        <f t="array" ref="E904">IF(
UPPER(TRIM(CLEAN($O904)))="ENTREGADO",
IFERROR(
INDEX(REPORTE_DROPI!Y:Y,
MATCH($T904, REPORTE_DROPI!B:B, 0)
),
""
),
""
)
</f>
        <v/>
      </c>
      <c r="F904" s="121">
        <v>1.0</v>
      </c>
      <c r="G904" s="122" t="str">
        <f t="array" ref="G904">IF(
UPPER(TRIM(CLEAN($O904)))="ENTREGADO",
IFERROR(
INDEX(REPORTE_DROPI!R:R,
MATCH($T904, REPORTE_DROPI!B:B, 0)
),
""
),
""
)
</f>
        <v/>
      </c>
      <c r="H904" s="118" t="s">
        <v>3727</v>
      </c>
      <c r="I904" s="118" t="s">
        <v>5533</v>
      </c>
      <c r="J904" s="121" t="str">
        <f t="array" ref="J904">IF(
UPPER(TRIM(CLEAN($O904)))="ENTREGADO",
IFERROR(
INDEX(REPORTE_DROPI!T:T,
MATCH($T904, REPORTE_DROPI!B:B, 0)
),
""
),
""
)
</f>
        <v/>
      </c>
      <c r="K904" s="118" t="str">
        <f t="array" ref="K904">IFERROR(
INDEX(REPORTE_DROPI!S:S,
MATCH($T904, REPORTE_DROPI!B:B, 0)
),
""
)
</f>
        <v/>
      </c>
      <c r="L904" s="118" t="str">
        <f>IF(
  O904&lt;&gt;"DEVOLUCION",
  "",
  IF(
    T904="",
    "",
    SUMIF(DEVOLUCION!F:F, T904, DEVOLUCION!D:D)
  )
)
</f>
        <v/>
      </c>
      <c r="M904" s="118" t="s">
        <v>3870</v>
      </c>
      <c r="N904" s="130" t="s">
        <v>5534</v>
      </c>
      <c r="O904" s="118" t="str">
        <f t="array" ref="O904">IFERROR(
VLOOKUP(
TRIM(CLEAN(
INDEX(REPORTE_DROPI!K:K,
MATCH(T904, REPORTE_DROPI!B:B, 0)
))),
{
TRIM(CLEAN(MAPA_ESTADOS!A:A)) ,
MAPA_ESTADOS!B:B
},
2,
FALSE
),
"REVISAR"
)
</f>
        <v>REVISAR</v>
      </c>
      <c r="P904" s="118" t="s">
        <v>5535</v>
      </c>
      <c r="Q904" s="122">
        <f t="shared" si="2"/>
        <v>0</v>
      </c>
      <c r="R904" s="118"/>
      <c r="S904" s="118"/>
      <c r="T904" s="118" t="str">
        <f t="array" ref="T904">IFERROR(
INDEX(REPORTE_DROPI!B:B,
MATCH(
CLEAN(TRIM(C904)),
CLEAN(TRIM(REPORTE_DROPI!E:E)),
0
)
),
""
)
</f>
        <v/>
      </c>
      <c r="U904" s="118">
        <v>6.451272548396E12</v>
      </c>
      <c r="V904" s="78"/>
      <c r="W904" s="78"/>
      <c r="X904" s="78"/>
      <c r="Y904" s="78"/>
      <c r="Z904" s="78"/>
    </row>
    <row r="905" ht="22.5" customHeight="1">
      <c r="A905" s="118">
        <v>904.0</v>
      </c>
      <c r="B905" s="119">
        <v>46049.0</v>
      </c>
      <c r="C905" s="118" t="s">
        <v>3821</v>
      </c>
      <c r="D905" s="118" t="str">
        <f>IFERROR(__xludf.DUMMYFUNCTION("IFERROR(
  INDEX(
    FILTER(
      'NOMBRE DE PRODUCTOS'!B:B,
      REGEXMATCH(
        UPPER(
          INDEX(
            REPORTE_DROPI!AC:AC,
            MATCH(T905, REPORTE_DROPI!B:B, 0)
          )
        ),
        UPPER('NOMBRE DE PRODUCTOS'!A:A)"&amp;"
      )
    ),
    1
  ),
  ""REVISAR""
)
"),"Llave Multifuncional 360™")</f>
        <v>Llave Multifuncional 360™</v>
      </c>
      <c r="E905" s="120">
        <f t="array" ref="E905">IF(
UPPER(TRIM(CLEAN($O905)))="ENTREGADO",
IFERROR(
INDEX(REPORTE_DROPI!Y:Y,
MATCH($T905, REPORTE_DROPI!B:B, 0)
),
""
),
""
)
</f>
        <v>5</v>
      </c>
      <c r="F905" s="121">
        <v>1.0</v>
      </c>
      <c r="G905" s="122">
        <f t="array" ref="G905">IF(
UPPER(TRIM(CLEAN($O905)))="ENTREGADO",
IFERROR(
INDEX(REPORTE_DROPI!R:R,
MATCH($T905, REPORTE_DROPI!B:B, 0)
),
""
),
""
)
</f>
        <v>21.99</v>
      </c>
      <c r="H905" s="118" t="s">
        <v>3727</v>
      </c>
      <c r="I905" s="118" t="s">
        <v>3731</v>
      </c>
      <c r="J905" s="121">
        <f t="array" ref="J905">IF(
UPPER(TRIM(CLEAN($O905)))="ENTREGADO",
IFERROR(
INDEX(REPORTE_DROPI!T:T,
MATCH($T905, REPORTE_DROPI!B:B, 0)
),
""
),
""
)
</f>
        <v>4.23</v>
      </c>
      <c r="K905" s="118">
        <f t="array" ref="K905">IFERROR(
INDEX(REPORTE_DROPI!S:S,
MATCH($T905, REPORTE_DROPI!B:B, 0)
),
""
)
</f>
        <v>12.76</v>
      </c>
      <c r="L905" s="118" t="str">
        <f>IF(
  O905&lt;&gt;"DEVOLUCION",
  "",
  IF(
    T905="",
    "",
    SUMIF(DEVOLUCION!F:F, T905, DEVOLUCION!D:D)
  )
)
</f>
        <v/>
      </c>
      <c r="M905" s="118" t="s">
        <v>3870</v>
      </c>
      <c r="N905" s="130" t="s">
        <v>5536</v>
      </c>
      <c r="O905" s="118" t="str">
        <f t="array" ref="O905">IFERROR(
VLOOKUP(
TRIM(CLEAN(
INDEX(REPORTE_DROPI!K:K,
MATCH(T905, REPORTE_DROPI!B:B, 0)
))),
{
TRIM(CLEAN(MAPA_ESTADOS!A:A)) ,
MAPA_ESTADOS!B:B
},
2,
FALSE
),
"REVISAR"
)
</f>
        <v>ENTREGADO</v>
      </c>
      <c r="P905" s="118" t="s">
        <v>5537</v>
      </c>
      <c r="Q905" s="122">
        <f t="shared" si="2"/>
        <v>0</v>
      </c>
      <c r="R905" s="118"/>
      <c r="S905" s="118"/>
      <c r="T905" s="118">
        <f t="array" ref="T905">IFERROR(
INDEX(REPORTE_DROPI!B:B,
MATCH(
CLEAN(TRIM(C905)),
CLEAN(TRIM(REPORTE_DROPI!E:E)),
0
)
),
""
)
</f>
        <v>4299365</v>
      </c>
      <c r="U905" s="118">
        <v>6.451276382252E12</v>
      </c>
      <c r="V905" s="78"/>
      <c r="W905" s="78"/>
      <c r="X905" s="78"/>
      <c r="Y905" s="78"/>
      <c r="Z905" s="78"/>
    </row>
    <row r="906" ht="22.5" customHeight="1">
      <c r="A906" s="118">
        <v>905.0</v>
      </c>
      <c r="B906" s="119">
        <v>46049.0</v>
      </c>
      <c r="C906" s="126" t="s">
        <v>5538</v>
      </c>
      <c r="D906" s="118" t="str">
        <f>IFERROR(__xludf.DUMMYFUNCTION("IFERROR(
  INDEX(
    FILTER(
      'NOMBRE DE PRODUCTOS'!B:B,
      REGEXMATCH(
        UPPER(
          INDEX(
            REPORTE_DROPI!AC:AC,
            MATCH(T906, REPORTE_DROPI!B:B, 0)
          )
        ),
        UPPER('NOMBRE DE PRODUCTOS'!A:A)"&amp;"
      )
    ),
    1
  ),
  ""REVISAR""
)
"),"Llave Multifuncional 360™")</f>
        <v>Llave Multifuncional 360™</v>
      </c>
      <c r="E906" s="120" t="str">
        <f t="array" ref="E906">IF(
UPPER(TRIM(CLEAN($O906)))="ENTREGADO",
IFERROR(
INDEX(REPORTE_DROPI!Y:Y,
MATCH($T906, REPORTE_DROPI!B:B, 0)
),
""
),
""
)
</f>
        <v/>
      </c>
      <c r="F906" s="121">
        <v>1.0</v>
      </c>
      <c r="G906" s="122" t="str">
        <f t="array" ref="G906">IF(
UPPER(TRIM(CLEAN($O906)))="ENTREGADO",
IFERROR(
INDEX(REPORTE_DROPI!R:R,
MATCH($T906, REPORTE_DROPI!B:B, 0)
),
""
),
""
)
</f>
        <v/>
      </c>
      <c r="H906" s="118" t="s">
        <v>3727</v>
      </c>
      <c r="I906" s="118" t="s">
        <v>3740</v>
      </c>
      <c r="J906" s="121" t="str">
        <f t="array" ref="J906">IF(
UPPER(TRIM(CLEAN($O906)))="ENTREGADO",
IFERROR(
INDEX(REPORTE_DROPI!T:T,
MATCH($T906, REPORTE_DROPI!B:B, 0)
),
""
),
""
)
</f>
        <v/>
      </c>
      <c r="K906" s="118" t="str">
        <f t="array" ref="K906">IFERROR(
INDEX(REPORTE_DROPI!S:S,
MATCH($T906, REPORTE_DROPI!B:B, 0)
),
""
)
</f>
        <v/>
      </c>
      <c r="L906" s="118" t="str">
        <f>IF(
  O906&lt;&gt;"DEVOLUCION",
  "",
  IF(
    T906="",
    "",
    SUMIF(DEVOLUCION!F:F, T906, DEVOLUCION!D:D)
  )
)
</f>
        <v/>
      </c>
      <c r="M906" s="118" t="s">
        <v>3870</v>
      </c>
      <c r="N906" s="130" t="s">
        <v>5539</v>
      </c>
      <c r="O906" s="118" t="str">
        <f t="array" ref="O906">IFERROR(
VLOOKUP(
TRIM(CLEAN(
INDEX(REPORTE_DROPI!K:K,
MATCH(T906, REPORTE_DROPI!B:B, 0)
))),
{
TRIM(CLEAN(MAPA_ESTADOS!A:A)) ,
MAPA_ESTADOS!B:B
},
2,
FALSE
),
"REVISAR"
)
</f>
        <v>PENDIENTE</v>
      </c>
      <c r="P906" s="118" t="s">
        <v>5540</v>
      </c>
      <c r="Q906" s="122">
        <f t="shared" si="2"/>
        <v>0</v>
      </c>
      <c r="R906" s="118"/>
      <c r="S906" s="118"/>
      <c r="T906" s="118">
        <f t="array" ref="T906">IFERROR(
INDEX(REPORTE_DROPI!B:B,
MATCH(
CLEAN(TRIM(C906)),
CLEAN(TRIM(REPORTE_DROPI!E:E)),
0
)
),
""
)
</f>
        <v>4292726</v>
      </c>
      <c r="U906" s="118">
        <v>6.451313180716E12</v>
      </c>
      <c r="V906" s="78"/>
      <c r="W906" s="78"/>
      <c r="X906" s="78"/>
      <c r="Y906" s="78"/>
      <c r="Z906" s="78"/>
    </row>
    <row r="907" ht="22.5" customHeight="1">
      <c r="A907" s="118">
        <v>906.0</v>
      </c>
      <c r="B907" s="119">
        <v>46049.0</v>
      </c>
      <c r="C907" s="118" t="s">
        <v>5541</v>
      </c>
      <c r="D907" s="118" t="str">
        <f>IFERROR(__xludf.DUMMYFUNCTION("IFERROR(
  INDEX(
    FILTER(
      'NOMBRE DE PRODUCTOS'!B:B,
      REGEXMATCH(
        UPPER(
          INDEX(
            REPORTE_DROPI!AC:AC,
            MATCH(T907, REPORTE_DROPI!B:B, 0)
          )
        ),
        UPPER('NOMBRE DE PRODUCTOS'!A:A)"&amp;"
      )
    ),
    1
  ),
  ""REVISAR""
)
"),"Llave Multifuncional 360™")</f>
        <v>Llave Multifuncional 360™</v>
      </c>
      <c r="E907" s="120" t="str">
        <f t="array" ref="E907">IF(
UPPER(TRIM(CLEAN($O907)))="ENTREGADO",
IFERROR(
INDEX(REPORTE_DROPI!Y:Y,
MATCH($T907, REPORTE_DROPI!B:B, 0)
),
""
),
""
)
</f>
        <v/>
      </c>
      <c r="F907" s="121">
        <v>1.0</v>
      </c>
      <c r="G907" s="122" t="str">
        <f t="array" ref="G907">IF(
UPPER(TRIM(CLEAN($O907)))="ENTREGADO",
IFERROR(
INDEX(REPORTE_DROPI!R:R,
MATCH($T907, REPORTE_DROPI!B:B, 0)
),
""
),
""
)
</f>
        <v/>
      </c>
      <c r="H907" s="118" t="s">
        <v>3727</v>
      </c>
      <c r="I907" s="118" t="s">
        <v>3731</v>
      </c>
      <c r="J907" s="121" t="str">
        <f t="array" ref="J907">IF(
UPPER(TRIM(CLEAN($O907)))="ENTREGADO",
IFERROR(
INDEX(REPORTE_DROPI!T:T,
MATCH($T907, REPORTE_DROPI!B:B, 0)
),
""
),
""
)
</f>
        <v/>
      </c>
      <c r="K907" s="118" t="str">
        <f t="array" ref="K907">IFERROR(
INDEX(REPORTE_DROPI!S:S,
MATCH($T907, REPORTE_DROPI!B:B, 0)
),
""
)
</f>
        <v/>
      </c>
      <c r="L907" s="118">
        <f>IF(
  O907&lt;&gt;"DEVOLUCION",
  "",
  IF(
    T907="",
    "",
    SUMIF(DEVOLUCION!F:F, T907, DEVOLUCION!D:D)
  )
)
</f>
        <v>4.04</v>
      </c>
      <c r="M907" s="118" t="s">
        <v>3870</v>
      </c>
      <c r="N907" s="130" t="s">
        <v>5542</v>
      </c>
      <c r="O907" s="118" t="str">
        <f t="array" ref="O907">IFERROR(
VLOOKUP(
TRIM(CLEAN(
INDEX(REPORTE_DROPI!K:K,
MATCH(T907, REPORTE_DROPI!B:B, 0)
))),
{
TRIM(CLEAN(MAPA_ESTADOS!A:A)) ,
MAPA_ESTADOS!B:B
},
2,
FALSE
),
"REVISAR"
)
</f>
        <v>DEVOLUCION</v>
      </c>
      <c r="P907" s="118" t="s">
        <v>3655</v>
      </c>
      <c r="Q907" s="122">
        <f t="shared" si="2"/>
        <v>0</v>
      </c>
      <c r="R907" s="118" t="s">
        <v>3675</v>
      </c>
      <c r="S907" s="118">
        <v>1.0</v>
      </c>
      <c r="T907" s="118">
        <f t="array" ref="T907">IFERROR(
INDEX(REPORTE_DROPI!B:B,
MATCH(
CLEAN(TRIM(C907)),
CLEAN(TRIM(REPORTE_DROPI!E:E)),
0
)
),
""
)
</f>
        <v>4294046</v>
      </c>
      <c r="U907" s="118">
        <v>6.451463159852E12</v>
      </c>
      <c r="V907" s="78"/>
      <c r="W907" s="78"/>
      <c r="X907" s="78"/>
      <c r="Y907" s="78"/>
      <c r="Z907" s="78"/>
    </row>
    <row r="908" ht="22.5" customHeight="1">
      <c r="A908" s="118">
        <v>907.0</v>
      </c>
      <c r="B908" s="119">
        <v>46049.0</v>
      </c>
      <c r="C908" s="118" t="s">
        <v>5543</v>
      </c>
      <c r="D908" s="118" t="str">
        <f>IFERROR(__xludf.DUMMYFUNCTION("IFERROR(
  INDEX(
    FILTER(
      'NOMBRE DE PRODUCTOS'!B:B,
      REGEXMATCH(
        UPPER(
          INDEX(
            REPORTE_DROPI!AC:AC,
            MATCH(T908, REPORTE_DROPI!B:B, 0)
          )
        ),
        UPPER('NOMBRE DE PRODUCTOS'!A:A)"&amp;"
      )
    ),
    1
  ),
  ""REVISAR""
)
"),"Llave Multifuncional 360™")</f>
        <v>Llave Multifuncional 360™</v>
      </c>
      <c r="E908" s="120">
        <f t="array" ref="E908">IF(
UPPER(TRIM(CLEAN($O908)))="ENTREGADO",
IFERROR(
INDEX(REPORTE_DROPI!Y:Y,
MATCH($T908, REPORTE_DROPI!B:B, 0)
),
""
),
""
)
</f>
        <v>5</v>
      </c>
      <c r="F908" s="121">
        <v>1.0</v>
      </c>
      <c r="G908" s="122">
        <f t="array" ref="G908">IF(
UPPER(TRIM(CLEAN($O908)))="ENTREGADO",
IFERROR(
INDEX(REPORTE_DROPI!R:R,
MATCH($T908, REPORTE_DROPI!B:B, 0)
),
""
),
""
)
</f>
        <v>21.99</v>
      </c>
      <c r="H908" s="118" t="s">
        <v>3727</v>
      </c>
      <c r="I908" s="118" t="s">
        <v>3784</v>
      </c>
      <c r="J908" s="121">
        <f t="array" ref="J908">IF(
UPPER(TRIM(CLEAN($O908)))="ENTREGADO",
IFERROR(
INDEX(REPORTE_DROPI!T:T,
MATCH($T908, REPORTE_DROPI!B:B, 0)
),
""
),
""
)
</f>
        <v>5.84</v>
      </c>
      <c r="K908" s="118">
        <f t="array" ref="K908">IFERROR(
INDEX(REPORTE_DROPI!S:S,
MATCH($T908, REPORTE_DROPI!B:B, 0)
),
""
)
</f>
        <v>11.15</v>
      </c>
      <c r="L908" s="118" t="str">
        <f>IF(
  O908&lt;&gt;"DEVOLUCION",
  "",
  IF(
    T908="",
    "",
    SUMIF(DEVOLUCION!F:F, T908, DEVOLUCION!D:D)
  )
)
</f>
        <v/>
      </c>
      <c r="M908" s="118" t="s">
        <v>3870</v>
      </c>
      <c r="N908" s="130" t="s">
        <v>5544</v>
      </c>
      <c r="O908" s="118" t="str">
        <f t="array" ref="O908">IFERROR(
VLOOKUP(
TRIM(CLEAN(
INDEX(REPORTE_DROPI!K:K,
MATCH(T908, REPORTE_DROPI!B:B, 0)
))),
{
TRIM(CLEAN(MAPA_ESTADOS!A:A)) ,
MAPA_ESTADOS!B:B
},
2,
FALSE
),
"REVISAR"
)
</f>
        <v>ENTREGADO</v>
      </c>
      <c r="P908" s="118" t="s">
        <v>3655</v>
      </c>
      <c r="Q908" s="122">
        <f t="shared" si="2"/>
        <v>0</v>
      </c>
      <c r="R908" s="118"/>
      <c r="S908" s="118"/>
      <c r="T908" s="118">
        <f t="array" ref="T908">IFERROR(
INDEX(REPORTE_DROPI!B:B,
MATCH(
CLEAN(TRIM(C908)),
CLEAN(TRIM(REPORTE_DROPI!E:E)),
0
)
),
""
)
</f>
        <v>4294997</v>
      </c>
      <c r="U908" s="118">
        <v>6.451595706412E12</v>
      </c>
      <c r="V908" s="78"/>
      <c r="W908" s="78"/>
      <c r="X908" s="78"/>
      <c r="Y908" s="78"/>
      <c r="Z908" s="78"/>
    </row>
    <row r="909" ht="22.5" customHeight="1">
      <c r="A909" s="118">
        <v>908.0</v>
      </c>
      <c r="B909" s="119">
        <v>46049.0</v>
      </c>
      <c r="C909" s="118" t="s">
        <v>5545</v>
      </c>
      <c r="D909" s="118" t="str">
        <f>IFERROR(__xludf.DUMMYFUNCTION("IFERROR(
  INDEX(
    FILTER(
      'NOMBRE DE PRODUCTOS'!B:B,
      REGEXMATCH(
        UPPER(
          INDEX(
            REPORTE_DROPI!AC:AC,
            MATCH(T909, REPORTE_DROPI!B:B, 0)
          )
        ),
        UPPER('NOMBRE DE PRODUCTOS'!A:A)"&amp;"
      )
    ),
    1
  ),
  ""REVISAR""
)
"),"Llave Multifuncional 360™")</f>
        <v>Llave Multifuncional 360™</v>
      </c>
      <c r="E909" s="120">
        <f t="array" ref="E909">IF(
UPPER(TRIM(CLEAN($O909)))="ENTREGADO",
IFERROR(
INDEX(REPORTE_DROPI!Y:Y,
MATCH($T909, REPORTE_DROPI!B:B, 0)
),
""
),
""
)
</f>
        <v>10</v>
      </c>
      <c r="F909" s="121">
        <v>2.0</v>
      </c>
      <c r="G909" s="122">
        <f t="array" ref="G909">IF(
UPPER(TRIM(CLEAN($O909)))="ENTREGADO",
IFERROR(
INDEX(REPORTE_DROPI!R:R,
MATCH($T909, REPORTE_DROPI!B:B, 0)
),
""
),
""
)
</f>
        <v>32</v>
      </c>
      <c r="H909" s="118" t="s">
        <v>3727</v>
      </c>
      <c r="I909" s="118" t="s">
        <v>3738</v>
      </c>
      <c r="J909" s="121">
        <f t="array" ref="J909">IF(
UPPER(TRIM(CLEAN($O909)))="ENTREGADO",
IFERROR(
INDEX(REPORTE_DROPI!T:T,
MATCH($T909, REPORTE_DROPI!B:B, 0)
),
""
),
""
)
</f>
        <v>6.24</v>
      </c>
      <c r="K909" s="118">
        <f t="array" ref="K909">IFERROR(
INDEX(REPORTE_DROPI!S:S,
MATCH($T909, REPORTE_DROPI!B:B, 0)
),
""
)
</f>
        <v>15.76</v>
      </c>
      <c r="L909" s="118" t="str">
        <f>IF(
  O909&lt;&gt;"DEVOLUCION",
  "",
  IF(
    T909="",
    "",
    SUMIF(DEVOLUCION!F:F, T909, DEVOLUCION!D:D)
  )
)
</f>
        <v/>
      </c>
      <c r="M909" s="118" t="s">
        <v>3870</v>
      </c>
      <c r="N909" s="130" t="s">
        <v>5546</v>
      </c>
      <c r="O909" s="118" t="str">
        <f t="array" ref="O909">IFERROR(
VLOOKUP(
TRIM(CLEAN(
INDEX(REPORTE_DROPI!K:K,
MATCH(T909, REPORTE_DROPI!B:B, 0)
))),
{
TRIM(CLEAN(MAPA_ESTADOS!A:A)) ,
MAPA_ESTADOS!B:B
},
2,
FALSE
),
"REVISAR"
)
</f>
        <v>ENTREGADO</v>
      </c>
      <c r="P909" s="118" t="s">
        <v>3655</v>
      </c>
      <c r="Q909" s="122">
        <f t="shared" si="2"/>
        <v>0</v>
      </c>
      <c r="R909" s="118"/>
      <c r="S909" s="118"/>
      <c r="T909" s="118">
        <f t="array" ref="T909">IFERROR(
INDEX(REPORTE_DROPI!B:B,
MATCH(
CLEAN(TRIM(C909)),
CLEAN(TRIM(REPORTE_DROPI!E:E)),
0
)
),
""
)
</f>
        <v>4295947</v>
      </c>
      <c r="U909" s="118">
        <v>6.451759546412E12</v>
      </c>
      <c r="V909" s="78"/>
      <c r="W909" s="78"/>
      <c r="X909" s="78"/>
      <c r="Y909" s="78"/>
      <c r="Z909" s="78"/>
    </row>
    <row r="910" ht="22.5" customHeight="1">
      <c r="A910" s="118">
        <v>909.0</v>
      </c>
      <c r="B910" s="119">
        <v>46049.0</v>
      </c>
      <c r="C910" s="118" t="s">
        <v>5547</v>
      </c>
      <c r="D910" s="118" t="str">
        <f>IFERROR(__xludf.DUMMYFUNCTION("IFERROR(
  INDEX(
    FILTER(
      'NOMBRE DE PRODUCTOS'!B:B,
      REGEXMATCH(
        UPPER(
          INDEX(
            REPORTE_DROPI!AC:AC,
            MATCH(T910, REPORTE_DROPI!B:B, 0)
          )
        ),
        UPPER('NOMBRE DE PRODUCTOS'!A:A)"&amp;"
      )
    ),
    1
  ),
  ""REVISAR""
)
"),"Llave Multifuncional 360™")</f>
        <v>Llave Multifuncional 360™</v>
      </c>
      <c r="E910" s="120" t="str">
        <f t="array" ref="E910">IF(
UPPER(TRIM(CLEAN($O910)))="ENTREGADO",
IFERROR(
INDEX(REPORTE_DROPI!Y:Y,
MATCH($T910, REPORTE_DROPI!B:B, 0)
),
""
),
""
)
</f>
        <v/>
      </c>
      <c r="F910" s="121">
        <v>1.0</v>
      </c>
      <c r="G910" s="122" t="str">
        <f t="array" ref="G910">IF(
UPPER(TRIM(CLEAN($O910)))="ENTREGADO",
IFERROR(
INDEX(REPORTE_DROPI!R:R,
MATCH($T910, REPORTE_DROPI!B:B, 0)
),
""
),
""
)
</f>
        <v/>
      </c>
      <c r="H910" s="118" t="s">
        <v>3727</v>
      </c>
      <c r="I910" s="118" t="s">
        <v>3742</v>
      </c>
      <c r="J910" s="121" t="str">
        <f t="array" ref="J910">IF(
UPPER(TRIM(CLEAN($O910)))="ENTREGADO",
IFERROR(
INDEX(REPORTE_DROPI!T:T,
MATCH($T910, REPORTE_DROPI!B:B, 0)
),
""
),
""
)
</f>
        <v/>
      </c>
      <c r="K910" s="118" t="str">
        <f t="array" ref="K910">IFERROR(
INDEX(REPORTE_DROPI!S:S,
MATCH($T910, REPORTE_DROPI!B:B, 0)
),
""
)
</f>
        <v/>
      </c>
      <c r="L910" s="118" t="str">
        <f>IF(
  O910&lt;&gt;"DEVOLUCION",
  "",
  IF(
    T910="",
    "",
    SUMIF(DEVOLUCION!F:F, T910, DEVOLUCION!D:D)
  )
)
</f>
        <v/>
      </c>
      <c r="M910" s="118" t="s">
        <v>3870</v>
      </c>
      <c r="N910" s="130" t="s">
        <v>5548</v>
      </c>
      <c r="O910" s="118" t="str">
        <f t="array" ref="O910">IFERROR(
VLOOKUP(
TRIM(CLEAN(
INDEX(REPORTE_DROPI!K:K,
MATCH(T910, REPORTE_DROPI!B:B, 0)
))),
{
TRIM(CLEAN(MAPA_ESTADOS!A:A)) ,
MAPA_ESTADOS!B:B
},
2,
FALSE
),
"REVISAR"
)
</f>
        <v>CANCELADO</v>
      </c>
      <c r="P910" s="118" t="s">
        <v>3655</v>
      </c>
      <c r="Q910" s="122">
        <f t="shared" si="2"/>
        <v>0</v>
      </c>
      <c r="R910" s="118"/>
      <c r="S910" s="118"/>
      <c r="T910" s="118">
        <f t="array" ref="T910">IFERROR(
INDEX(REPORTE_DROPI!B:B,
MATCH(
CLEAN(TRIM(C910)),
CLEAN(TRIM(REPORTE_DROPI!E:E)),
0
)
),
""
)
</f>
        <v>4329928</v>
      </c>
      <c r="U910" s="118">
        <v>6.451986104364E12</v>
      </c>
      <c r="V910" s="78"/>
      <c r="W910" s="78"/>
      <c r="X910" s="78"/>
      <c r="Y910" s="78"/>
      <c r="Z910" s="78"/>
    </row>
    <row r="911" ht="22.5" customHeight="1">
      <c r="A911" s="118">
        <v>910.0</v>
      </c>
      <c r="B911" s="119">
        <v>46049.0</v>
      </c>
      <c r="C911" s="118" t="s">
        <v>5549</v>
      </c>
      <c r="D911" s="118" t="str">
        <f>IFERROR(__xludf.DUMMYFUNCTION("IFERROR(
  INDEX(
    FILTER(
      'NOMBRE DE PRODUCTOS'!B:B,
      REGEXMATCH(
        UPPER(
          INDEX(
            REPORTE_DROPI!AC:AC,
            MATCH(T911, REPORTE_DROPI!B:B, 0)
          )
        ),
        UPPER('NOMBRE DE PRODUCTOS'!A:A)"&amp;"
      )
    ),
    1
  ),
  ""REVISAR""
)
"),"Llave Multifuncional 360™")</f>
        <v>Llave Multifuncional 360™</v>
      </c>
      <c r="E911" s="120">
        <f t="array" ref="E911">IF(
UPPER(TRIM(CLEAN($O911)))="ENTREGADO",
IFERROR(
INDEX(REPORTE_DROPI!Y:Y,
MATCH($T911, REPORTE_DROPI!B:B, 0)
),
""
),
""
)
</f>
        <v>5</v>
      </c>
      <c r="F911" s="121">
        <v>1.0</v>
      </c>
      <c r="G911" s="122">
        <f t="array" ref="G911">IF(
UPPER(TRIM(CLEAN($O911)))="ENTREGADO",
IFERROR(
INDEX(REPORTE_DROPI!R:R,
MATCH($T911, REPORTE_DROPI!B:B, 0)
),
""
),
""
)
</f>
        <v>21.99</v>
      </c>
      <c r="H911" s="118" t="s">
        <v>3727</v>
      </c>
      <c r="I911" s="118" t="s">
        <v>3731</v>
      </c>
      <c r="J911" s="121">
        <f t="array" ref="J911">IF(
UPPER(TRIM(CLEAN($O911)))="ENTREGADO",
IFERROR(
INDEX(REPORTE_DROPI!T:T,
MATCH($T911, REPORTE_DROPI!B:B, 0)
),
""
),
""
)
</f>
        <v>4.8</v>
      </c>
      <c r="K911" s="118">
        <f t="array" ref="K911">IFERROR(
INDEX(REPORTE_DROPI!S:S,
MATCH($T911, REPORTE_DROPI!B:B, 0)
),
""
)
</f>
        <v>12.19</v>
      </c>
      <c r="L911" s="118" t="str">
        <f>IF(
  O911&lt;&gt;"DEVOLUCION",
  "",
  IF(
    T911="",
    "",
    SUMIF(DEVOLUCION!F:F, T911, DEVOLUCION!D:D)
  )
)
</f>
        <v/>
      </c>
      <c r="M911" s="118" t="s">
        <v>3870</v>
      </c>
      <c r="N911" s="130" t="s">
        <v>5550</v>
      </c>
      <c r="O911" s="118" t="str">
        <f t="array" ref="O911">IFERROR(
VLOOKUP(
TRIM(CLEAN(
INDEX(REPORTE_DROPI!K:K,
MATCH(T911, REPORTE_DROPI!B:B, 0)
))),
{
TRIM(CLEAN(MAPA_ESTADOS!A:A)) ,
MAPA_ESTADOS!B:B
},
2,
FALSE
),
"REVISAR"
)
</f>
        <v>ENTREGADO</v>
      </c>
      <c r="P911" s="118" t="s">
        <v>3655</v>
      </c>
      <c r="Q911" s="122">
        <f t="shared" si="2"/>
        <v>0</v>
      </c>
      <c r="R911" s="118"/>
      <c r="S911" s="118"/>
      <c r="T911" s="118">
        <f t="array" ref="T911">IFERROR(
INDEX(REPORTE_DROPI!B:B,
MATCH(
CLEAN(TRIM(C911)),
CLEAN(TRIM(REPORTE_DROPI!E:E)),
0
)
),
""
)
</f>
        <v>4297531</v>
      </c>
      <c r="U911" s="118">
        <v>6.452087849004E12</v>
      </c>
      <c r="V911" s="78"/>
      <c r="W911" s="78"/>
      <c r="X911" s="78"/>
      <c r="Y911" s="78"/>
      <c r="Z911" s="78"/>
    </row>
    <row r="912" ht="22.5" customHeight="1">
      <c r="A912" s="118">
        <v>911.0</v>
      </c>
      <c r="B912" s="119">
        <v>46049.0</v>
      </c>
      <c r="C912" s="118" t="s">
        <v>5551</v>
      </c>
      <c r="D912" s="118" t="str">
        <f>IFERROR(__xludf.DUMMYFUNCTION("IFERROR(
  INDEX(
    FILTER(
      'NOMBRE DE PRODUCTOS'!B:B,
      REGEXMATCH(
        UPPER(
          INDEX(
            REPORTE_DROPI!AC:AC,
            MATCH(T912, REPORTE_DROPI!B:B, 0)
          )
        ),
        UPPER('NOMBRE DE PRODUCTOS'!A:A)"&amp;"
      )
    ),
    1
  ),
  ""REVISAR""
)
"),"FilmPro®")</f>
        <v>FilmPro®</v>
      </c>
      <c r="E912" s="120">
        <f t="array" ref="E912">IF(
UPPER(TRIM(CLEAN($O912)))="ENTREGADO",
IFERROR(
INDEX(REPORTE_DROPI!Y:Y,
MATCH($T912, REPORTE_DROPI!B:B, 0)
),
""
),
""
)
</f>
        <v>4.7</v>
      </c>
      <c r="F912" s="121">
        <v>2.0</v>
      </c>
      <c r="G912" s="122">
        <f t="array" ref="G912">IF(
UPPER(TRIM(CLEAN($O912)))="ENTREGADO",
IFERROR(
INDEX(REPORTE_DROPI!R:R,
MATCH($T912, REPORTE_DROPI!B:B, 0)
),
""
),
""
)
</f>
        <v>25</v>
      </c>
      <c r="H912" s="118" t="s">
        <v>3727</v>
      </c>
      <c r="I912" s="118" t="s">
        <v>3740</v>
      </c>
      <c r="J912" s="121">
        <f t="array" ref="J912">IF(
UPPER(TRIM(CLEAN($O912)))="ENTREGADO",
IFERROR(
INDEX(REPORTE_DROPI!T:T,
MATCH($T912, REPORTE_DROPI!B:B, 0)
),
""
),
""
)
</f>
        <v>5.96</v>
      </c>
      <c r="K912" s="118">
        <f t="array" ref="K912">IFERROR(
INDEX(REPORTE_DROPI!S:S,
MATCH($T912, REPORTE_DROPI!B:B, 0)
),
""
)
</f>
        <v>14.34</v>
      </c>
      <c r="L912" s="118" t="str">
        <f>IF(
  O912&lt;&gt;"DEVOLUCION",
  "",
  IF(
    T912="",
    "",
    SUMIF(DEVOLUCION!F:F, T912, DEVOLUCION!D:D)
  )
)
</f>
        <v/>
      </c>
      <c r="M912" s="118" t="s">
        <v>3870</v>
      </c>
      <c r="N912" s="130" t="s">
        <v>5552</v>
      </c>
      <c r="O912" s="118" t="str">
        <f t="array" ref="O912">IFERROR(
VLOOKUP(
TRIM(CLEAN(
INDEX(REPORTE_DROPI!K:K,
MATCH(T912, REPORTE_DROPI!B:B, 0)
))),
{
TRIM(CLEAN(MAPA_ESTADOS!A:A)) ,
MAPA_ESTADOS!B:B
},
2,
FALSE
),
"REVISAR"
)
</f>
        <v>ENTREGADO</v>
      </c>
      <c r="P912" s="118" t="s">
        <v>3655</v>
      </c>
      <c r="Q912" s="122">
        <f t="shared" si="2"/>
        <v>0</v>
      </c>
      <c r="R912" s="118"/>
      <c r="S912" s="118"/>
      <c r="T912" s="118">
        <f t="array" ref="T912">IFERROR(
INDEX(REPORTE_DROPI!B:B,
MATCH(
CLEAN(TRIM(C912)),
CLEAN(TRIM(REPORTE_DROPI!E:E)),
0
)
),
""
)
</f>
        <v>4299985</v>
      </c>
      <c r="U912" s="118">
        <v>6.452166819884E12</v>
      </c>
      <c r="V912" s="78"/>
      <c r="W912" s="78"/>
      <c r="X912" s="78"/>
      <c r="Y912" s="78"/>
      <c r="Z912" s="78"/>
    </row>
    <row r="913" ht="22.5" customHeight="1">
      <c r="A913" s="118">
        <v>912.0</v>
      </c>
      <c r="B913" s="119">
        <v>46049.0</v>
      </c>
      <c r="C913" s="118" t="s">
        <v>5553</v>
      </c>
      <c r="D913" s="118" t="str">
        <f>IFERROR(__xludf.DUMMYFUNCTION("IFERROR(
  INDEX(
    FILTER(
      'NOMBRE DE PRODUCTOS'!B:B,
      REGEXMATCH(
        UPPER(
          INDEX(
            REPORTE_DROPI!AC:AC,
            MATCH(T913, REPORTE_DROPI!B:B, 0)
          )
        ),
        UPPER('NOMBRE DE PRODUCTOS'!A:A)"&amp;"
      )
    ),
    1
  ),
  ""REVISAR""
)
"),"FilmPro®")</f>
        <v>FilmPro®</v>
      </c>
      <c r="E913" s="120" t="str">
        <f t="array" ref="E913">IF(
UPPER(TRIM(CLEAN($O913)))="ENTREGADO",
IFERROR(
INDEX(REPORTE_DROPI!Y:Y,
MATCH($T913, REPORTE_DROPI!B:B, 0)
),
""
),
""
)
</f>
        <v/>
      </c>
      <c r="F913" s="121">
        <v>2.0</v>
      </c>
      <c r="G913" s="122" t="str">
        <f t="array" ref="G913">IF(
UPPER(TRIM(CLEAN($O913)))="ENTREGADO",
IFERROR(
INDEX(REPORTE_DROPI!R:R,
MATCH($T913, REPORTE_DROPI!B:B, 0)
),
""
),
""
)
</f>
        <v/>
      </c>
      <c r="H913" s="118" t="s">
        <v>3727</v>
      </c>
      <c r="I913" s="118" t="s">
        <v>3778</v>
      </c>
      <c r="J913" s="121" t="str">
        <f t="array" ref="J913">IF(
UPPER(TRIM(CLEAN($O913)))="ENTREGADO",
IFERROR(
INDEX(REPORTE_DROPI!T:T,
MATCH($T913, REPORTE_DROPI!B:B, 0)
),
""
),
""
)
</f>
        <v/>
      </c>
      <c r="K913" s="118" t="str">
        <f t="array" ref="K913">IFERROR(
INDEX(REPORTE_DROPI!S:S,
MATCH($T913, REPORTE_DROPI!B:B, 0)
),
""
)
</f>
        <v/>
      </c>
      <c r="L913" s="118">
        <f>IF(
  O913&lt;&gt;"DEVOLUCION",
  "",
  IF(
    T913="",
    "",
    SUMIF(DEVOLUCION!F:F, T913, DEVOLUCION!D:D)
  )
)
</f>
        <v>9.57</v>
      </c>
      <c r="M913" s="118" t="s">
        <v>3870</v>
      </c>
      <c r="N913" s="130" t="s">
        <v>5554</v>
      </c>
      <c r="O913" s="118" t="str">
        <f t="array" ref="O913">IFERROR(
VLOOKUP(
TRIM(CLEAN(
INDEX(REPORTE_DROPI!K:K,
MATCH(T913, REPORTE_DROPI!B:B, 0)
))),
{
TRIM(CLEAN(MAPA_ESTADOS!A:A)) ,
MAPA_ESTADOS!B:B
},
2,
FALSE
),
"REVISAR"
)
</f>
        <v>DEVOLUCION</v>
      </c>
      <c r="P913" s="118" t="s">
        <v>3655</v>
      </c>
      <c r="Q913" s="122">
        <f t="shared" si="2"/>
        <v>0</v>
      </c>
      <c r="R913" s="118"/>
      <c r="S913" s="118"/>
      <c r="T913" s="118">
        <f t="array" ref="T913">IFERROR(
INDEX(REPORTE_DROPI!B:B,
MATCH(
CLEAN(TRIM(C913)),
CLEAN(TRIM(REPORTE_DROPI!E:E)),
0
)
),
""
)
</f>
        <v>4298137</v>
      </c>
      <c r="U913" s="118">
        <v>6.452202045484E12</v>
      </c>
      <c r="V913" s="78"/>
      <c r="W913" s="78"/>
      <c r="X913" s="78"/>
      <c r="Y913" s="78"/>
      <c r="Z913" s="78"/>
    </row>
    <row r="914" ht="22.5" customHeight="1">
      <c r="A914" s="118">
        <v>913.0</v>
      </c>
      <c r="B914" s="119">
        <v>46049.0</v>
      </c>
      <c r="C914" s="126" t="s">
        <v>5532</v>
      </c>
      <c r="D914" s="118" t="str">
        <f>IFERROR(__xludf.DUMMYFUNCTION("IFERROR(
  INDEX(
    FILTER(
      'NOMBRE DE PRODUCTOS'!B:B,
      REGEXMATCH(
        UPPER(
          INDEX(
            REPORTE_DROPI!AC:AC,
            MATCH(T914, REPORTE_DROPI!B:B, 0)
          )
        ),
        UPPER('NOMBRE DE PRODUCTOS'!A:A)"&amp;"
      )
    ),
    1
  ),
  ""REVISAR""
)
"),"REVISAR")</f>
        <v>REVISAR</v>
      </c>
      <c r="E914" s="120" t="str">
        <f t="array" ref="E914">IF(
UPPER(TRIM(CLEAN($O914)))="ENTREGADO",
IFERROR(
INDEX(REPORTE_DROPI!Y:Y,
MATCH($T914, REPORTE_DROPI!B:B, 0)
),
""
),
""
)
</f>
        <v/>
      </c>
      <c r="F914" s="121">
        <v>1.0</v>
      </c>
      <c r="G914" s="122" t="str">
        <f t="array" ref="G914">IF(
UPPER(TRIM(CLEAN($O914)))="ENTREGADO",
IFERROR(
INDEX(REPORTE_DROPI!R:R,
MATCH($T914, REPORTE_DROPI!B:B, 0)
),
""
),
""
)
</f>
        <v/>
      </c>
      <c r="H914" s="118" t="s">
        <v>3727</v>
      </c>
      <c r="I914" s="118" t="s">
        <v>5533</v>
      </c>
      <c r="J914" s="121" t="str">
        <f t="array" ref="J914">IF(
UPPER(TRIM(CLEAN($O914)))="ENTREGADO",
IFERROR(
INDEX(REPORTE_DROPI!T:T,
MATCH($T914, REPORTE_DROPI!B:B, 0)
),
""
),
""
)
</f>
        <v/>
      </c>
      <c r="K914" s="118" t="str">
        <f t="array" ref="K914">IFERROR(
INDEX(REPORTE_DROPI!S:S,
MATCH($T914, REPORTE_DROPI!B:B, 0)
),
""
)
</f>
        <v/>
      </c>
      <c r="L914" s="118" t="str">
        <f>IF(
  O914&lt;&gt;"DEVOLUCION",
  "",
  IF(
    T914="",
    "",
    SUMIF(DEVOLUCION!F:F, T914, DEVOLUCION!D:D)
  )
)
</f>
        <v/>
      </c>
      <c r="M914" s="118" t="s">
        <v>3870</v>
      </c>
      <c r="N914" s="130" t="s">
        <v>5555</v>
      </c>
      <c r="O914" s="118" t="str">
        <f t="array" ref="O914">IFERROR(
VLOOKUP(
TRIM(CLEAN(
INDEX(REPORTE_DROPI!K:K,
MATCH(T914, REPORTE_DROPI!B:B, 0)
))),
{
TRIM(CLEAN(MAPA_ESTADOS!A:A)) ,
MAPA_ESTADOS!B:B
},
2,
FALSE
),
"REVISAR"
)
</f>
        <v>REVISAR</v>
      </c>
      <c r="P914" s="118" t="s">
        <v>5535</v>
      </c>
      <c r="Q914" s="122">
        <f t="shared" si="2"/>
        <v>0</v>
      </c>
      <c r="R914" s="118"/>
      <c r="S914" s="118"/>
      <c r="T914" s="118" t="str">
        <f t="array" ref="T914">IFERROR(
INDEX(REPORTE_DROPI!B:B,
MATCH(
CLEAN(TRIM(C914)),
CLEAN(TRIM(REPORTE_DROPI!E:E)),
0
)
),
""
)
</f>
        <v/>
      </c>
      <c r="U914" s="118">
        <v>6.452249428012E12</v>
      </c>
      <c r="V914" s="78"/>
      <c r="W914" s="78"/>
      <c r="X914" s="78"/>
      <c r="Y914" s="78"/>
      <c r="Z914" s="78"/>
    </row>
    <row r="915" ht="22.5" customHeight="1">
      <c r="A915" s="118">
        <v>914.0</v>
      </c>
      <c r="B915" s="119">
        <v>46049.0</v>
      </c>
      <c r="C915" s="118" t="s">
        <v>5556</v>
      </c>
      <c r="D915" s="118" t="str">
        <f>IFERROR(__xludf.DUMMYFUNCTION("IFERROR(
  INDEX(
    FILTER(
      'NOMBRE DE PRODUCTOS'!B:B,
      REGEXMATCH(
        UPPER(
          INDEX(
            REPORTE_DROPI!AC:AC,
            MATCH(T915, REPORTE_DROPI!B:B, 0)
          )
        ),
        UPPER('NOMBRE DE PRODUCTOS'!A:A)"&amp;"
      )
    ),
    1
  ),
  ""REVISAR""
)
"),"Llave Multifuncional 360™")</f>
        <v>Llave Multifuncional 360™</v>
      </c>
      <c r="E915" s="120">
        <f t="array" ref="E915">IF(
UPPER(TRIM(CLEAN($O915)))="ENTREGADO",
IFERROR(
INDEX(REPORTE_DROPI!Y:Y,
MATCH($T915, REPORTE_DROPI!B:B, 0)
),
""
),
""
)
</f>
        <v>5</v>
      </c>
      <c r="F915" s="121">
        <v>1.0</v>
      </c>
      <c r="G915" s="122">
        <f t="array" ref="G915">IF(
UPPER(TRIM(CLEAN($O915)))="ENTREGADO",
IFERROR(
INDEX(REPORTE_DROPI!R:R,
MATCH($T915, REPORTE_DROPI!B:B, 0)
),
""
),
""
)
</f>
        <v>21.99</v>
      </c>
      <c r="H915" s="118" t="s">
        <v>3727</v>
      </c>
      <c r="I915" s="118" t="s">
        <v>3801</v>
      </c>
      <c r="J915" s="121">
        <f t="array" ref="J915">IF(
UPPER(TRIM(CLEAN($O915)))="ENTREGADO",
IFERROR(
INDEX(REPORTE_DROPI!T:T,
MATCH($T915, REPORTE_DROPI!B:B, 0)
),
""
),
""
)
</f>
        <v>5.84</v>
      </c>
      <c r="K915" s="118">
        <f t="array" ref="K915">IFERROR(
INDEX(REPORTE_DROPI!S:S,
MATCH($T915, REPORTE_DROPI!B:B, 0)
),
""
)
</f>
        <v>11.15</v>
      </c>
      <c r="L915" s="118" t="str">
        <f>IF(
  O915&lt;&gt;"DEVOLUCION",
  "",
  IF(
    T915="",
    "",
    SUMIF(DEVOLUCION!F:F, T915, DEVOLUCION!D:D)
  )
)
</f>
        <v/>
      </c>
      <c r="M915" s="118" t="s">
        <v>3870</v>
      </c>
      <c r="N915" s="130" t="s">
        <v>5557</v>
      </c>
      <c r="O915" s="118" t="str">
        <f t="array" ref="O915">IFERROR(
VLOOKUP(
TRIM(CLEAN(
INDEX(REPORTE_DROPI!K:K,
MATCH(T915, REPORTE_DROPI!B:B, 0)
))),
{
TRIM(CLEAN(MAPA_ESTADOS!A:A)) ,
MAPA_ESTADOS!B:B
},
2,
FALSE
),
"REVISAR"
)
</f>
        <v>ENTREGADO</v>
      </c>
      <c r="P915" s="118" t="s">
        <v>3655</v>
      </c>
      <c r="Q915" s="122">
        <f t="shared" si="2"/>
        <v>0</v>
      </c>
      <c r="R915" s="118"/>
      <c r="S915" s="118"/>
      <c r="T915" s="118">
        <f t="array" ref="T915">IFERROR(
INDEX(REPORTE_DROPI!B:B,
MATCH(
CLEAN(TRIM(C915)),
CLEAN(TRIM(REPORTE_DROPI!E:E)),
0
)
),
""
)
</f>
        <v>4299779</v>
      </c>
      <c r="U915" s="118">
        <v>6.452315881516E12</v>
      </c>
      <c r="V915" s="78"/>
      <c r="W915" s="78"/>
      <c r="X915" s="78"/>
      <c r="Y915" s="78"/>
      <c r="Z915" s="78"/>
    </row>
    <row r="916" ht="22.5" customHeight="1">
      <c r="A916" s="118">
        <v>915.0</v>
      </c>
      <c r="B916" s="119">
        <v>46049.0</v>
      </c>
      <c r="C916" s="118" t="s">
        <v>5558</v>
      </c>
      <c r="D916" s="118" t="str">
        <f>IFERROR(__xludf.DUMMYFUNCTION("IFERROR(
  INDEX(
    FILTER(
      'NOMBRE DE PRODUCTOS'!B:B,
      REGEXMATCH(
        UPPER(
          INDEX(
            REPORTE_DROPI!AC:AC,
            MATCH(T916, REPORTE_DROPI!B:B, 0)
          )
        ),
        UPPER('NOMBRE DE PRODUCTOS'!A:A)"&amp;"
      )
    ),
    1
  ),
  ""REVISAR""
)
"),"FilmPro®")</f>
        <v>FilmPro®</v>
      </c>
      <c r="E916" s="120">
        <f t="array" ref="E916">IF(
UPPER(TRIM(CLEAN($O916)))="ENTREGADO",
IFERROR(
INDEX(REPORTE_DROPI!Y:Y,
MATCH($T916, REPORTE_DROPI!B:B, 0)
),
""
),
""
)
</f>
        <v>2.35</v>
      </c>
      <c r="F916" s="121">
        <v>1.0</v>
      </c>
      <c r="G916" s="122">
        <f t="array" ref="G916">IF(
UPPER(TRIM(CLEAN($O916)))="ENTREGADO",
IFERROR(
INDEX(REPORTE_DROPI!R:R,
MATCH($T916, REPORTE_DROPI!B:B, 0)
),
""
),
""
)
</f>
        <v>20</v>
      </c>
      <c r="H916" s="118" t="s">
        <v>3727</v>
      </c>
      <c r="I916" s="118" t="s">
        <v>3912</v>
      </c>
      <c r="J916" s="121">
        <f t="array" ref="J916">IF(
UPPER(TRIM(CLEAN($O916)))="ENTREGADO",
IFERROR(
INDEX(REPORTE_DROPI!T:T,
MATCH($T916, REPORTE_DROPI!B:B, 0)
),
""
),
""
)
</f>
        <v>6.33</v>
      </c>
      <c r="K916" s="118">
        <f t="array" ref="K916">IFERROR(
INDEX(REPORTE_DROPI!S:S,
MATCH($T916, REPORTE_DROPI!B:B, 0)
),
""
)
</f>
        <v>11.32</v>
      </c>
      <c r="L916" s="118" t="str">
        <f>IF(
  O916&lt;&gt;"DEVOLUCION",
  "",
  IF(
    T916="",
    "",
    SUMIF(DEVOLUCION!F:F, T916, DEVOLUCION!D:D)
  )
)
</f>
        <v/>
      </c>
      <c r="M916" s="118" t="s">
        <v>3870</v>
      </c>
      <c r="N916" s="130" t="s">
        <v>5559</v>
      </c>
      <c r="O916" s="118" t="str">
        <f t="array" ref="O916">IFERROR(
VLOOKUP(
TRIM(CLEAN(
INDEX(REPORTE_DROPI!K:K,
MATCH(T916, REPORTE_DROPI!B:B, 0)
))),
{
TRIM(CLEAN(MAPA_ESTADOS!A:A)) ,
MAPA_ESTADOS!B:B
},
2,
FALSE
),
"REVISAR"
)
</f>
        <v>ENTREGADO</v>
      </c>
      <c r="P916" s="118" t="s">
        <v>3655</v>
      </c>
      <c r="Q916" s="122">
        <f t="shared" si="2"/>
        <v>0</v>
      </c>
      <c r="R916" s="118"/>
      <c r="S916" s="118"/>
      <c r="T916" s="118">
        <f t="array" ref="T916">IFERROR(
INDEX(REPORTE_DROPI!B:B,
MATCH(
CLEAN(TRIM(C916)),
CLEAN(TRIM(REPORTE_DROPI!E:E)),
0
)
),
""
)
</f>
        <v>4299624</v>
      </c>
      <c r="U916" s="118">
        <v>6.452359528492E12</v>
      </c>
      <c r="V916" s="78"/>
      <c r="W916" s="78"/>
      <c r="X916" s="78"/>
      <c r="Y916" s="78"/>
      <c r="Z916" s="78"/>
    </row>
    <row r="917" ht="22.5" customHeight="1">
      <c r="A917" s="118">
        <v>916.0</v>
      </c>
      <c r="B917" s="119">
        <v>46049.0</v>
      </c>
      <c r="C917" s="118" t="s">
        <v>5560</v>
      </c>
      <c r="D917" s="118" t="str">
        <f>IFERROR(__xludf.DUMMYFUNCTION("IFERROR(
  INDEX(
    FILTER(
      'NOMBRE DE PRODUCTOS'!B:B,
      REGEXMATCH(
        UPPER(
          INDEX(
            REPORTE_DROPI!AC:AC,
            MATCH(T917, REPORTE_DROPI!B:B, 0)
          )
        ),
        UPPER('NOMBRE DE PRODUCTOS'!A:A)"&amp;"
      )
    ),
    1
  ),
  ""REVISAR""
)
"),"Llave Multifuncional 360™")</f>
        <v>Llave Multifuncional 360™</v>
      </c>
      <c r="E917" s="120" t="str">
        <f t="array" ref="E917">IF(
UPPER(TRIM(CLEAN($O917)))="ENTREGADO",
IFERROR(
INDEX(REPORTE_DROPI!Y:Y,
MATCH($T917, REPORTE_DROPI!B:B, 0)
),
""
),
""
)
</f>
        <v/>
      </c>
      <c r="F917" s="121">
        <v>1.0</v>
      </c>
      <c r="G917" s="122" t="str">
        <f t="array" ref="G917">IF(
UPPER(TRIM(CLEAN($O917)))="ENTREGADO",
IFERROR(
INDEX(REPORTE_DROPI!R:R,
MATCH($T917, REPORTE_DROPI!B:B, 0)
),
""
),
""
)
</f>
        <v/>
      </c>
      <c r="H917" s="118"/>
      <c r="I917" s="118" t="s">
        <v>3728</v>
      </c>
      <c r="J917" s="121" t="str">
        <f t="array" ref="J917">IF(
UPPER(TRIM(CLEAN($O917)))="ENTREGADO",
IFERROR(
INDEX(REPORTE_DROPI!T:T,
MATCH($T917, REPORTE_DROPI!B:B, 0)
),
""
),
""
)
</f>
        <v/>
      </c>
      <c r="K917" s="118" t="str">
        <f t="array" ref="K917">IFERROR(
INDEX(REPORTE_DROPI!S:S,
MATCH($T917, REPORTE_DROPI!B:B, 0)
),
""
)
</f>
        <v/>
      </c>
      <c r="L917" s="118" t="str">
        <f>IF(
  O917&lt;&gt;"DEVOLUCION",
  "",
  IF(
    T917="",
    "",
    SUMIF(DEVOLUCION!F:F, T917, DEVOLUCION!D:D)
  )
)
</f>
        <v/>
      </c>
      <c r="M917" s="118" t="s">
        <v>3870</v>
      </c>
      <c r="N917" s="130" t="s">
        <v>5561</v>
      </c>
      <c r="O917" s="118" t="str">
        <f t="array" ref="O917">IFERROR(
VLOOKUP(
TRIM(CLEAN(
INDEX(REPORTE_DROPI!K:K,
MATCH(T917, REPORTE_DROPI!B:B, 0)
))),
{
TRIM(CLEAN(MAPA_ESTADOS!A:A)) ,
MAPA_ESTADOS!B:B
},
2,
FALSE
),
"REVISAR"
)
</f>
        <v>CANCELADO</v>
      </c>
      <c r="P917" s="118" t="s">
        <v>5562</v>
      </c>
      <c r="Q917" s="122">
        <f t="shared" si="2"/>
        <v>0</v>
      </c>
      <c r="R917" s="118"/>
      <c r="S917" s="118"/>
      <c r="T917" s="118">
        <f t="array" ref="T917">IFERROR(
INDEX(REPORTE_DROPI!B:B,
MATCH(
CLEAN(TRIM(C917)),
CLEAN(TRIM(REPORTE_DROPI!E:E)),
0
)
),
""
)
</f>
        <v>4300057</v>
      </c>
      <c r="U917" s="118">
        <v>6.452568817708E12</v>
      </c>
      <c r="V917" s="78"/>
      <c r="W917" s="78"/>
      <c r="X917" s="78"/>
      <c r="Y917" s="78"/>
      <c r="Z917" s="78"/>
    </row>
    <row r="918" ht="22.5" customHeight="1">
      <c r="A918" s="118">
        <v>917.0</v>
      </c>
      <c r="B918" s="119">
        <v>46049.0</v>
      </c>
      <c r="C918" s="118" t="s">
        <v>5563</v>
      </c>
      <c r="D918" s="118" t="str">
        <f>IFERROR(__xludf.DUMMYFUNCTION("IFERROR(
  INDEX(
    FILTER(
      'NOMBRE DE PRODUCTOS'!B:B,
      REGEXMATCH(
        UPPER(
          INDEX(
            REPORTE_DROPI!AC:AC,
            MATCH(T918, REPORTE_DROPI!B:B, 0)
          )
        ),
        UPPER('NOMBRE DE PRODUCTOS'!A:A)"&amp;"
      )
    ),
    1
  ),
  ""REVISAR""
)
"),"FilmPro®")</f>
        <v>FilmPro®</v>
      </c>
      <c r="E918" s="120">
        <f t="array" ref="E918">IF(
UPPER(TRIM(CLEAN($O918)))="ENTREGADO",
IFERROR(
INDEX(REPORTE_DROPI!Y:Y,
MATCH($T918, REPORTE_DROPI!B:B, 0)
),
""
),
""
)
</f>
        <v>7.05</v>
      </c>
      <c r="F918" s="121">
        <v>3.0</v>
      </c>
      <c r="G918" s="122">
        <f t="array" ref="G918">IF(
UPPER(TRIM(CLEAN($O918)))="ENTREGADO",
IFERROR(
INDEX(REPORTE_DROPI!R:R,
MATCH($T918, REPORTE_DROPI!B:B, 0)
),
""
),
""
)
</f>
        <v>30</v>
      </c>
      <c r="H918" s="118"/>
      <c r="I918" s="118" t="s">
        <v>3728</v>
      </c>
      <c r="J918" s="121">
        <f t="array" ref="J918">IF(
UPPER(TRIM(CLEAN($O918)))="ENTREGADO",
IFERROR(
INDEX(REPORTE_DROPI!T:T,
MATCH($T918, REPORTE_DROPI!B:B, 0)
),
""
),
""
)
</f>
        <v>6.73</v>
      </c>
      <c r="K918" s="118">
        <f t="array" ref="K918">IFERROR(
INDEX(REPORTE_DROPI!S:S,
MATCH($T918, REPORTE_DROPI!B:B, 0)
),
""
)
</f>
        <v>16.22</v>
      </c>
      <c r="L918" s="118" t="str">
        <f>IF(
  O918&lt;&gt;"DEVOLUCION",
  "",
  IF(
    T918="",
    "",
    SUMIF(DEVOLUCION!F:F, T918, DEVOLUCION!D:D)
  )
)
</f>
        <v/>
      </c>
      <c r="M918" s="118" t="s">
        <v>3870</v>
      </c>
      <c r="N918" s="130" t="s">
        <v>5564</v>
      </c>
      <c r="O918" s="118" t="str">
        <f t="array" ref="O918">IFERROR(
VLOOKUP(
TRIM(CLEAN(
INDEX(REPORTE_DROPI!K:K,
MATCH(T918, REPORTE_DROPI!B:B, 0)
))),
{
TRIM(CLEAN(MAPA_ESTADOS!A:A)) ,
MAPA_ESTADOS!B:B
},
2,
FALSE
),
"REVISAR"
)
</f>
        <v>ENTREGADO</v>
      </c>
      <c r="P918" s="118" t="s">
        <v>3655</v>
      </c>
      <c r="Q918" s="122">
        <f t="shared" si="2"/>
        <v>0</v>
      </c>
      <c r="R918" s="118"/>
      <c r="S918" s="118"/>
      <c r="T918" s="118">
        <f t="array" ref="T918">IFERROR(
INDEX(REPORTE_DROPI!B:B,
MATCH(
CLEAN(TRIM(C918)),
CLEAN(TRIM(REPORTE_DROPI!E:E)),
0
)
),
""
)
</f>
        <v>4300347</v>
      </c>
      <c r="U918" s="118">
        <v>6.4526218691E12</v>
      </c>
      <c r="V918" s="78"/>
      <c r="W918" s="78"/>
      <c r="X918" s="78"/>
      <c r="Y918" s="78"/>
      <c r="Z918" s="78"/>
    </row>
    <row r="919" ht="22.5" customHeight="1">
      <c r="A919" s="118">
        <v>918.0</v>
      </c>
      <c r="B919" s="119">
        <v>46049.0</v>
      </c>
      <c r="C919" s="118" t="s">
        <v>5565</v>
      </c>
      <c r="D919" s="118" t="str">
        <f>IFERROR(__xludf.DUMMYFUNCTION("IFERROR(
  INDEX(
    FILTER(
      'NOMBRE DE PRODUCTOS'!B:B,
      REGEXMATCH(
        UPPER(
          INDEX(
            REPORTE_DROPI!AC:AC,
            MATCH(T919, REPORTE_DROPI!B:B, 0)
          )
        ),
        UPPER('NOMBRE DE PRODUCTOS'!A:A)"&amp;"
      )
    ),
    1
  ),
  ""REVISAR""
)
"),"FURBLADE™")</f>
        <v>FURBLADE™</v>
      </c>
      <c r="E919" s="120">
        <f t="array" ref="E919">IF(
UPPER(TRIM(CLEAN($O919)))="ENTREGADO",
IFERROR(
INDEX(REPORTE_DROPI!Y:Y,
MATCH($T919, REPORTE_DROPI!B:B, 0)
),
""
),
""
)
</f>
        <v>3.5</v>
      </c>
      <c r="F919" s="121">
        <v>1.0</v>
      </c>
      <c r="G919" s="122">
        <f t="array" ref="G919">IF(
UPPER(TRIM(CLEAN($O919)))="ENTREGADO",
IFERROR(
INDEX(REPORTE_DROPI!R:R,
MATCH($T919, REPORTE_DROPI!B:B, 0)
),
""
),
""
)
</f>
        <v>20</v>
      </c>
      <c r="H919" s="118"/>
      <c r="I919" s="118" t="s">
        <v>3772</v>
      </c>
      <c r="J919" s="121">
        <f t="array" ref="J919">IF(
UPPER(TRIM(CLEAN($O919)))="ENTREGADO",
IFERROR(
INDEX(REPORTE_DROPI!T:T,
MATCH($T919, REPORTE_DROPI!B:B, 0)
),
""
),
""
)
</f>
        <v>5.76</v>
      </c>
      <c r="K919" s="118">
        <f t="array" ref="K919">IFERROR(
INDEX(REPORTE_DROPI!S:S,
MATCH($T919, REPORTE_DROPI!B:B, 0)
),
""
)
</f>
        <v>10.74</v>
      </c>
      <c r="L919" s="118" t="str">
        <f>IF(
  O919&lt;&gt;"DEVOLUCION",
  "",
  IF(
    T919="",
    "",
    SUMIF(DEVOLUCION!F:F, T919, DEVOLUCION!D:D)
  )
)
</f>
        <v/>
      </c>
      <c r="M919" s="118" t="s">
        <v>3870</v>
      </c>
      <c r="N919" s="130" t="s">
        <v>5566</v>
      </c>
      <c r="O919" s="118" t="str">
        <f t="array" ref="O919">IFERROR(
VLOOKUP(
TRIM(CLEAN(
INDEX(REPORTE_DROPI!K:K,
MATCH(T919, REPORTE_DROPI!B:B, 0)
))),
{
TRIM(CLEAN(MAPA_ESTADOS!A:A)) ,
MAPA_ESTADOS!B:B
},
2,
FALSE
),
"REVISAR"
)
</f>
        <v>ENTREGADO</v>
      </c>
      <c r="P919" s="118" t="s">
        <v>3655</v>
      </c>
      <c r="Q919" s="122">
        <f t="shared" si="2"/>
        <v>0</v>
      </c>
      <c r="R919" s="118"/>
      <c r="S919" s="118"/>
      <c r="T919" s="118">
        <f t="array" ref="T919">IFERROR(
INDEX(REPORTE_DROPI!B:B,
MATCH(
CLEAN(TRIM(C919)),
CLEAN(TRIM(REPORTE_DROPI!E:E)),
0
)
),
""
)
</f>
        <v>4300527</v>
      </c>
      <c r="U919" s="118">
        <v>6.452653752364E12</v>
      </c>
      <c r="V919" s="78"/>
      <c r="W919" s="78"/>
      <c r="X919" s="78"/>
      <c r="Y919" s="78"/>
      <c r="Z919" s="78"/>
    </row>
    <row r="920" ht="22.5" customHeight="1">
      <c r="A920" s="118">
        <v>919.0</v>
      </c>
      <c r="B920" s="119">
        <v>46049.0</v>
      </c>
      <c r="C920" s="118" t="s">
        <v>5567</v>
      </c>
      <c r="D920" s="118" t="str">
        <f>IFERROR(__xludf.DUMMYFUNCTION("IFERROR(
  INDEX(
    FILTER(
      'NOMBRE DE PRODUCTOS'!B:B,
      REGEXMATCH(
        UPPER(
          INDEX(
            REPORTE_DROPI!AC:AC,
            MATCH(T920, REPORTE_DROPI!B:B, 0)
          )
        ),
        UPPER('NOMBRE DE PRODUCTOS'!A:A)"&amp;"
      )
    ),
    1
  ),
  ""REVISAR""
)
"),"FilmPro®")</f>
        <v>FilmPro®</v>
      </c>
      <c r="E920" s="120" t="str">
        <f t="array" ref="E920">IF(
UPPER(TRIM(CLEAN($O920)))="ENTREGADO",
IFERROR(
INDEX(REPORTE_DROPI!Y:Y,
MATCH($T920, REPORTE_DROPI!B:B, 0)
),
""
),
""
)
</f>
        <v/>
      </c>
      <c r="F920" s="121">
        <v>1.0</v>
      </c>
      <c r="G920" s="122" t="str">
        <f t="array" ref="G920">IF(
UPPER(TRIM(CLEAN($O920)))="ENTREGADO",
IFERROR(
INDEX(REPORTE_DROPI!R:R,
MATCH($T920, REPORTE_DROPI!B:B, 0)
),
""
),
""
)
</f>
        <v/>
      </c>
      <c r="H920" s="118"/>
      <c r="I920" s="118" t="s">
        <v>3731</v>
      </c>
      <c r="J920" s="121" t="str">
        <f t="array" ref="J920">IF(
UPPER(TRIM(CLEAN($O920)))="ENTREGADO",
IFERROR(
INDEX(REPORTE_DROPI!T:T,
MATCH($T920, REPORTE_DROPI!B:B, 0)
),
""
),
""
)
</f>
        <v/>
      </c>
      <c r="K920" s="118" t="str">
        <f t="array" ref="K920">IFERROR(
INDEX(REPORTE_DROPI!S:S,
MATCH($T920, REPORTE_DROPI!B:B, 0)
),
""
)
</f>
        <v/>
      </c>
      <c r="L920" s="118">
        <f>IF(
  O920&lt;&gt;"DEVOLUCION",
  "",
  IF(
    T920="",
    "",
    SUMIF(DEVOLUCION!F:F, T920, DEVOLUCION!D:D)
  )
)
</f>
        <v>4.49</v>
      </c>
      <c r="M920" s="118" t="s">
        <v>3870</v>
      </c>
      <c r="N920" s="130" t="s">
        <v>5568</v>
      </c>
      <c r="O920" s="118" t="str">
        <f t="array" ref="O920">IFERROR(
VLOOKUP(
TRIM(CLEAN(
INDEX(REPORTE_DROPI!K:K,
MATCH(T920, REPORTE_DROPI!B:B, 0)
))),
{
TRIM(CLEAN(MAPA_ESTADOS!A:A)) ,
MAPA_ESTADOS!B:B
},
2,
FALSE
),
"REVISAR"
)
</f>
        <v>DEVOLUCION</v>
      </c>
      <c r="P920" s="118" t="s">
        <v>3655</v>
      </c>
      <c r="Q920" s="122">
        <f t="shared" si="2"/>
        <v>0</v>
      </c>
      <c r="R920" s="118"/>
      <c r="S920" s="118"/>
      <c r="T920" s="118">
        <f t="array" ref="T920">IFERROR(
INDEX(REPORTE_DROPI!B:B,
MATCH(
CLEAN(TRIM(C920)),
CLEAN(TRIM(REPORTE_DROPI!E:E)),
0
)
),
""
)
</f>
        <v>4300698</v>
      </c>
      <c r="U920" s="118">
        <v>6.452685013036E12</v>
      </c>
      <c r="V920" s="78"/>
      <c r="W920" s="78"/>
      <c r="X920" s="78"/>
      <c r="Y920" s="78"/>
      <c r="Z920" s="78"/>
    </row>
    <row r="921" ht="22.5" customHeight="1">
      <c r="A921" s="118">
        <v>920.0</v>
      </c>
      <c r="B921" s="119">
        <v>46049.0</v>
      </c>
      <c r="C921" s="118" t="s">
        <v>5569</v>
      </c>
      <c r="D921" s="118" t="str">
        <f>IFERROR(__xludf.DUMMYFUNCTION("IFERROR(
  INDEX(
    FILTER(
      'NOMBRE DE PRODUCTOS'!B:B,
      REGEXMATCH(
        UPPER(
          INDEX(
            REPORTE_DROPI!AC:AC,
            MATCH(T921, REPORTE_DROPI!B:B, 0)
          )
        ),
        UPPER('NOMBRE DE PRODUCTOS'!A:A)"&amp;"
      )
    ),
    1
  ),
  ""REVISAR""
)
"),"FilmPro®")</f>
        <v>FilmPro®</v>
      </c>
      <c r="E921" s="120" t="str">
        <f t="array" ref="E921">IF(
UPPER(TRIM(CLEAN($O921)))="ENTREGADO",
IFERROR(
INDEX(REPORTE_DROPI!Y:Y,
MATCH($T921, REPORTE_DROPI!B:B, 0)
),
""
),
""
)
</f>
        <v/>
      </c>
      <c r="F921" s="121">
        <v>1.0</v>
      </c>
      <c r="G921" s="122" t="str">
        <f t="array" ref="G921">IF(
UPPER(TRIM(CLEAN($O921)))="ENTREGADO",
IFERROR(
INDEX(REPORTE_DROPI!R:R,
MATCH($T921, REPORTE_DROPI!B:B, 0)
),
""
),
""
)
</f>
        <v/>
      </c>
      <c r="H921" s="118"/>
      <c r="I921" s="118" t="s">
        <v>3728</v>
      </c>
      <c r="J921" s="121" t="str">
        <f t="array" ref="J921">IF(
UPPER(TRIM(CLEAN($O921)))="ENTREGADO",
IFERROR(
INDEX(REPORTE_DROPI!T:T,
MATCH($T921, REPORTE_DROPI!B:B, 0)
),
""
),
""
)
</f>
        <v/>
      </c>
      <c r="K921" s="118" t="str">
        <f t="array" ref="K921">IFERROR(
INDEX(REPORTE_DROPI!S:S,
MATCH($T921, REPORTE_DROPI!B:B, 0)
),
""
)
</f>
        <v/>
      </c>
      <c r="L921" s="118" t="str">
        <f>IF(
  O921&lt;&gt;"DEVOLUCION",
  "",
  IF(
    T921="",
    "",
    SUMIF(DEVOLUCION!F:F, T921, DEVOLUCION!D:D)
  )
)
</f>
        <v/>
      </c>
      <c r="M921" s="118" t="s">
        <v>3870</v>
      </c>
      <c r="N921" s="130" t="s">
        <v>5570</v>
      </c>
      <c r="O921" s="118" t="str">
        <f t="array" ref="O921">IFERROR(
VLOOKUP(
TRIM(CLEAN(
INDEX(REPORTE_DROPI!K:K,
MATCH(T921, REPORTE_DROPI!B:B, 0)
))),
{
TRIM(CLEAN(MAPA_ESTADOS!A:A)) ,
MAPA_ESTADOS!B:B
},
2,
FALSE
),
"REVISAR"
)
</f>
        <v>CANCELADO</v>
      </c>
      <c r="P921" s="118" t="s">
        <v>5571</v>
      </c>
      <c r="Q921" s="122">
        <f t="shared" si="2"/>
        <v>0</v>
      </c>
      <c r="R921" s="118"/>
      <c r="S921" s="118"/>
      <c r="T921" s="118">
        <f t="array" ref="T921">IFERROR(
INDEX(REPORTE_DROPI!B:B,
MATCH(
CLEAN(TRIM(C921)),
CLEAN(TRIM(REPORTE_DROPI!E:E)),
0
)
),
""
)
</f>
        <v>4300700</v>
      </c>
      <c r="U921" s="118">
        <v>6.45268674974E12</v>
      </c>
      <c r="V921" s="78"/>
      <c r="W921" s="78"/>
      <c r="X921" s="78"/>
      <c r="Y921" s="78"/>
      <c r="Z921" s="78"/>
    </row>
    <row r="922" ht="22.5" customHeight="1">
      <c r="A922" s="118">
        <v>921.0</v>
      </c>
      <c r="B922" s="119">
        <v>46049.0</v>
      </c>
      <c r="C922" s="118" t="s">
        <v>5572</v>
      </c>
      <c r="D922" s="118" t="str">
        <f>IFERROR(__xludf.DUMMYFUNCTION("IFERROR(
  INDEX(
    FILTER(
      'NOMBRE DE PRODUCTOS'!B:B,
      REGEXMATCH(
        UPPER(
          INDEX(
            REPORTE_DROPI!AC:AC,
            MATCH(T922, REPORTE_DROPI!B:B, 0)
          )
        ),
        UPPER('NOMBRE DE PRODUCTOS'!A:A)"&amp;"
      )
    ),
    1
  ),
  ""REVISAR""
)
"),"FilmPro®")</f>
        <v>FilmPro®</v>
      </c>
      <c r="E922" s="120">
        <f t="array" ref="E922">IF(
UPPER(TRIM(CLEAN($O922)))="ENTREGADO",
IFERROR(
INDEX(REPORTE_DROPI!Y:Y,
MATCH($T922, REPORTE_DROPI!B:B, 0)
),
""
),
""
)
</f>
        <v>2.35</v>
      </c>
      <c r="F922" s="121">
        <v>1.0</v>
      </c>
      <c r="G922" s="122">
        <f t="array" ref="G922">IF(
UPPER(TRIM(CLEAN($O922)))="ENTREGADO",
IFERROR(
INDEX(REPORTE_DROPI!R:R,
MATCH($T922, REPORTE_DROPI!B:B, 0)
),
""
),
""
)
</f>
        <v>20</v>
      </c>
      <c r="H922" s="118"/>
      <c r="I922" s="118" t="s">
        <v>3912</v>
      </c>
      <c r="J922" s="121">
        <f t="array" ref="J922">IF(
UPPER(TRIM(CLEAN($O922)))="ENTREGADO",
IFERROR(
INDEX(REPORTE_DROPI!T:T,
MATCH($T922, REPORTE_DROPI!B:B, 0)
),
""
),
""
)
</f>
        <v>5.76</v>
      </c>
      <c r="K922" s="118">
        <f t="array" ref="K922">IFERROR(
INDEX(REPORTE_DROPI!S:S,
MATCH($T922, REPORTE_DROPI!B:B, 0)
),
""
)
</f>
        <v>11.89</v>
      </c>
      <c r="L922" s="118" t="str">
        <f>IF(
  O922&lt;&gt;"DEVOLUCION",
  "",
  IF(
    T922="",
    "",
    SUMIF(DEVOLUCION!F:F, T922, DEVOLUCION!D:D)
  )
)
</f>
        <v/>
      </c>
      <c r="M922" s="118" t="s">
        <v>3870</v>
      </c>
      <c r="N922" s="130" t="s">
        <v>5573</v>
      </c>
      <c r="O922" s="118" t="str">
        <f t="array" ref="O922">IFERROR(
VLOOKUP(
TRIM(CLEAN(
INDEX(REPORTE_DROPI!K:K,
MATCH(T922, REPORTE_DROPI!B:B, 0)
))),
{
TRIM(CLEAN(MAPA_ESTADOS!A:A)) ,
MAPA_ESTADOS!B:B
},
2,
FALSE
),
"REVISAR"
)
</f>
        <v>ENTREGADO</v>
      </c>
      <c r="P922" s="118" t="s">
        <v>3655</v>
      </c>
      <c r="Q922" s="122">
        <f t="shared" si="2"/>
        <v>0</v>
      </c>
      <c r="R922" s="118"/>
      <c r="S922" s="118"/>
      <c r="T922" s="118">
        <f t="array" ref="T922">IFERROR(
INDEX(REPORTE_DROPI!B:B,
MATCH(
CLEAN(TRIM(C922)),
CLEAN(TRIM(REPORTE_DROPI!E:E)),
0
)
),
""
)
</f>
        <v>4308225</v>
      </c>
      <c r="U922" s="118">
        <v>6.452727087148E12</v>
      </c>
      <c r="V922" s="78"/>
      <c r="W922" s="78"/>
      <c r="X922" s="78"/>
      <c r="Y922" s="78"/>
      <c r="Z922" s="78"/>
    </row>
    <row r="923" ht="22.5" customHeight="1">
      <c r="A923" s="118">
        <v>922.0</v>
      </c>
      <c r="B923" s="119">
        <v>46049.0</v>
      </c>
      <c r="C923" s="126" t="s">
        <v>5574</v>
      </c>
      <c r="D923" s="118" t="str">
        <f>IFERROR(__xludf.DUMMYFUNCTION("IFERROR(
  INDEX(
    FILTER(
      'NOMBRE DE PRODUCTOS'!B:B,
      REGEXMATCH(
        UPPER(
          INDEX(
            REPORTE_DROPI!AC:AC,
            MATCH(T923, REPORTE_DROPI!B:B, 0)
          )
        ),
        UPPER('NOMBRE DE PRODUCTOS'!A:A)"&amp;"
      )
    ),
    1
  ),
  ""REVISAR""
)
"),"REVISAR")</f>
        <v>REVISAR</v>
      </c>
      <c r="E923" s="120" t="str">
        <f t="array" ref="E923">IF(
UPPER(TRIM(CLEAN($O923)))="ENTREGADO",
IFERROR(
INDEX(REPORTE_DROPI!Y:Y,
MATCH($T923, REPORTE_DROPI!B:B, 0)
),
""
),
""
)
</f>
        <v/>
      </c>
      <c r="F923" s="121">
        <v>1.0</v>
      </c>
      <c r="G923" s="122" t="str">
        <f t="array" ref="G923">IF(
UPPER(TRIM(CLEAN($O923)))="ENTREGADO",
IFERROR(
INDEX(REPORTE_DROPI!R:R,
MATCH($T923, REPORTE_DROPI!B:B, 0)
),
""
),
""
)
</f>
        <v/>
      </c>
      <c r="H923" s="118"/>
      <c r="I923" s="118" t="s">
        <v>3740</v>
      </c>
      <c r="J923" s="121" t="str">
        <f t="array" ref="J923">IF(
UPPER(TRIM(CLEAN($O923)))="ENTREGADO",
IFERROR(
INDEX(REPORTE_DROPI!T:T,
MATCH($T923, REPORTE_DROPI!B:B, 0)
),
""
),
""
)
</f>
        <v/>
      </c>
      <c r="K923" s="118" t="str">
        <f t="array" ref="K923">IFERROR(
INDEX(REPORTE_DROPI!S:S,
MATCH($T923, REPORTE_DROPI!B:B, 0)
),
""
)
</f>
        <v/>
      </c>
      <c r="L923" s="118" t="str">
        <f>IF(
  O923&lt;&gt;"DEVOLUCION",
  "",
  IF(
    T923="",
    "",
    SUMIF(DEVOLUCION!F:F, T923, DEVOLUCION!D:D)
  )
)
</f>
        <v/>
      </c>
      <c r="M923" s="118" t="s">
        <v>3870</v>
      </c>
      <c r="N923" s="130" t="s">
        <v>5575</v>
      </c>
      <c r="O923" s="118" t="str">
        <f t="array" ref="O923">IFERROR(
VLOOKUP(
TRIM(CLEAN(
INDEX(REPORTE_DROPI!K:K,
MATCH(T923, REPORTE_DROPI!B:B, 0)
))),
{
TRIM(CLEAN(MAPA_ESTADOS!A:A)) ,
MAPA_ESTADOS!B:B
},
2,
FALSE
),
"REVISAR"
)
</f>
        <v>REVISAR</v>
      </c>
      <c r="P923" s="118" t="s">
        <v>5576</v>
      </c>
      <c r="Q923" s="122">
        <f t="shared" si="2"/>
        <v>0</v>
      </c>
      <c r="R923" s="118"/>
      <c r="S923" s="118"/>
      <c r="T923" s="118" t="str">
        <f t="array" ref="T923">IFERROR(
INDEX(REPORTE_DROPI!B:B,
MATCH(
CLEAN(TRIM(C923)),
CLEAN(TRIM(REPORTE_DROPI!E:E)),
0
)
),
""
)
</f>
        <v/>
      </c>
      <c r="U923" s="118">
        <v>6.452765655084E12</v>
      </c>
      <c r="V923" s="78"/>
      <c r="W923" s="78"/>
      <c r="X923" s="78"/>
      <c r="Y923" s="78"/>
      <c r="Z923" s="78"/>
    </row>
    <row r="924" ht="22.5" customHeight="1">
      <c r="A924" s="118">
        <v>923.0</v>
      </c>
      <c r="B924" s="119">
        <v>46049.0</v>
      </c>
      <c r="C924" s="118" t="s">
        <v>5577</v>
      </c>
      <c r="D924" s="118" t="str">
        <f>IFERROR(__xludf.DUMMYFUNCTION("IFERROR(
  INDEX(
    FILTER(
      'NOMBRE DE PRODUCTOS'!B:B,
      REGEXMATCH(
        UPPER(
          INDEX(
            REPORTE_DROPI!AC:AC,
            MATCH(T924, REPORTE_DROPI!B:B, 0)
          )
        ),
        UPPER('NOMBRE DE PRODUCTOS'!A:A)"&amp;"
      )
    ),
    1
  ),
  ""REVISAR""
)
"),"FilmPro®")</f>
        <v>FilmPro®</v>
      </c>
      <c r="E924" s="120">
        <f t="array" ref="E924">IF(
UPPER(TRIM(CLEAN($O924)))="ENTREGADO",
IFERROR(
INDEX(REPORTE_DROPI!Y:Y,
MATCH($T924, REPORTE_DROPI!B:B, 0)
),
""
),
""
)
</f>
        <v>4.7</v>
      </c>
      <c r="F924" s="121">
        <v>2.0</v>
      </c>
      <c r="G924" s="122">
        <f t="array" ref="G924">IF(
UPPER(TRIM(CLEAN($O924)))="ENTREGADO",
IFERROR(
INDEX(REPORTE_DROPI!R:R,
MATCH($T924, REPORTE_DROPI!B:B, 0)
),
""
),
""
)
</f>
        <v>25</v>
      </c>
      <c r="H924" s="118"/>
      <c r="I924" s="118" t="s">
        <v>3801</v>
      </c>
      <c r="J924" s="121">
        <f t="array" ref="J924">IF(
UPPER(TRIM(CLEAN($O924)))="ENTREGADO",
IFERROR(
INDEX(REPORTE_DROPI!T:T,
MATCH($T924, REPORTE_DROPI!B:B, 0)
),
""
),
""
)
</f>
        <v>5.96</v>
      </c>
      <c r="K924" s="118">
        <f t="array" ref="K924">IFERROR(
INDEX(REPORTE_DROPI!S:S,
MATCH($T924, REPORTE_DROPI!B:B, 0)
),
""
)
</f>
        <v>14.34</v>
      </c>
      <c r="L924" s="118" t="str">
        <f>IF(
  O924&lt;&gt;"DEVOLUCION",
  "",
  IF(
    T924="",
    "",
    SUMIF(DEVOLUCION!F:F, T924, DEVOLUCION!D:D)
  )
)
</f>
        <v/>
      </c>
      <c r="M924" s="118" t="s">
        <v>3870</v>
      </c>
      <c r="N924" s="130" t="s">
        <v>5578</v>
      </c>
      <c r="O924" s="118" t="str">
        <f t="array" ref="O924">IFERROR(
VLOOKUP(
TRIM(CLEAN(
INDEX(REPORTE_DROPI!K:K,
MATCH(T924, REPORTE_DROPI!B:B, 0)
))),
{
TRIM(CLEAN(MAPA_ESTADOS!A:A)) ,
MAPA_ESTADOS!B:B
},
2,
FALSE
),
"REVISAR"
)
</f>
        <v>ENTREGADO</v>
      </c>
      <c r="P924" s="118" t="s">
        <v>3655</v>
      </c>
      <c r="Q924" s="122">
        <f t="shared" si="2"/>
        <v>0</v>
      </c>
      <c r="R924" s="118"/>
      <c r="S924" s="118"/>
      <c r="T924" s="118">
        <f t="array" ref="T924">IFERROR(
INDEX(REPORTE_DROPI!B:B,
MATCH(
CLEAN(TRIM(C924)),
CLEAN(TRIM(REPORTE_DROPI!E:E)),
0
)
),
""
)
</f>
        <v>4301115</v>
      </c>
      <c r="U924" s="118">
        <v>6.452772962348E12</v>
      </c>
      <c r="V924" s="78"/>
      <c r="W924" s="78"/>
      <c r="X924" s="78"/>
      <c r="Y924" s="78"/>
      <c r="Z924" s="78"/>
    </row>
    <row r="925" ht="22.5" customHeight="1">
      <c r="A925" s="118">
        <v>924.0</v>
      </c>
      <c r="B925" s="119">
        <v>46049.0</v>
      </c>
      <c r="C925" s="118" t="s">
        <v>5579</v>
      </c>
      <c r="D925" s="118" t="str">
        <f>IFERROR(__xludf.DUMMYFUNCTION("IFERROR(
  INDEX(
    FILTER(
      'NOMBRE DE PRODUCTOS'!B:B,
      REGEXMATCH(
        UPPER(
          INDEX(
            REPORTE_DROPI!AC:AC,
            MATCH(T925, REPORTE_DROPI!B:B, 0)
          )
        ),
        UPPER('NOMBRE DE PRODUCTOS'!A:A)"&amp;"
      )
    ),
    1
  ),
  ""REVISAR""
)
"),"FilmPro®")</f>
        <v>FilmPro®</v>
      </c>
      <c r="E925" s="120">
        <f t="array" ref="E925">IF(
UPPER(TRIM(CLEAN($O925)))="ENTREGADO",
IFERROR(
INDEX(REPORTE_DROPI!Y:Y,
MATCH($T925, REPORTE_DROPI!B:B, 0)
),
""
),
""
)
</f>
        <v>2.35</v>
      </c>
      <c r="F925" s="121">
        <v>1.0</v>
      </c>
      <c r="G925" s="122">
        <f t="array" ref="G925">IF(
UPPER(TRIM(CLEAN($O925)))="ENTREGADO",
IFERROR(
INDEX(REPORTE_DROPI!R:R,
MATCH($T925, REPORTE_DROPI!B:B, 0)
),
""
),
""
)
</f>
        <v>20</v>
      </c>
      <c r="H925" s="118"/>
      <c r="I925" s="118" t="s">
        <v>3731</v>
      </c>
      <c r="J925" s="121">
        <f t="array" ref="J925">IF(
UPPER(TRIM(CLEAN($O925)))="ENTREGADO",
IFERROR(
INDEX(REPORTE_DROPI!T:T,
MATCH($T925, REPORTE_DROPI!B:B, 0)
),
""
),
""
)
</f>
        <v>4.15</v>
      </c>
      <c r="K925" s="118">
        <f t="array" ref="K925">IFERROR(
INDEX(REPORTE_DROPI!S:S,
MATCH($T925, REPORTE_DROPI!B:B, 0)
),
""
)
</f>
        <v>13.5</v>
      </c>
      <c r="L925" s="118" t="str">
        <f>IF(
  O925&lt;&gt;"DEVOLUCION",
  "",
  IF(
    T925="",
    "",
    SUMIF(DEVOLUCION!F:F, T925, DEVOLUCION!D:D)
  )
)
</f>
        <v/>
      </c>
      <c r="M925" s="118" t="s">
        <v>3870</v>
      </c>
      <c r="N925" s="130" t="s">
        <v>5580</v>
      </c>
      <c r="O925" s="118" t="str">
        <f t="array" ref="O925">IFERROR(
VLOOKUP(
TRIM(CLEAN(
INDEX(REPORTE_DROPI!K:K,
MATCH(T925, REPORTE_DROPI!B:B, 0)
))),
{
TRIM(CLEAN(MAPA_ESTADOS!A:A)) ,
MAPA_ESTADOS!B:B
},
2,
FALSE
),
"REVISAR"
)
</f>
        <v>ENTREGADO</v>
      </c>
      <c r="P925" s="118" t="s">
        <v>3655</v>
      </c>
      <c r="Q925" s="122">
        <f t="shared" si="2"/>
        <v>0</v>
      </c>
      <c r="R925" s="118"/>
      <c r="S925" s="118"/>
      <c r="T925" s="118">
        <f t="array" ref="T925">IFERROR(
INDEX(REPORTE_DROPI!B:B,
MATCH(
CLEAN(TRIM(C925)),
CLEAN(TRIM(REPORTE_DROPI!E:E)),
0
)
),
""
)
</f>
        <v>4308019</v>
      </c>
      <c r="U925" s="118">
        <v>6.452863795244E12</v>
      </c>
      <c r="V925" s="78"/>
      <c r="W925" s="78"/>
      <c r="X925" s="78"/>
      <c r="Y925" s="78"/>
      <c r="Z925" s="78"/>
    </row>
    <row r="926" ht="22.5" customHeight="1">
      <c r="A926" s="118">
        <v>925.0</v>
      </c>
      <c r="B926" s="119">
        <v>46049.0</v>
      </c>
      <c r="C926" s="118" t="s">
        <v>5581</v>
      </c>
      <c r="D926" s="118" t="str">
        <f>IFERROR(__xludf.DUMMYFUNCTION("IFERROR(
  INDEX(
    FILTER(
      'NOMBRE DE PRODUCTOS'!B:B,
      REGEXMATCH(
        UPPER(
          INDEX(
            REPORTE_DROPI!AC:AC,
            MATCH(T926, REPORTE_DROPI!B:B, 0)
          )
        ),
        UPPER('NOMBRE DE PRODUCTOS'!A:A)"&amp;"
      )
    ),
    1
  ),
  ""REVISAR""
)
"),"FilmPro®")</f>
        <v>FilmPro®</v>
      </c>
      <c r="E926" s="120" t="str">
        <f t="array" ref="E926">IF(
UPPER(TRIM(CLEAN($O926)))="ENTREGADO",
IFERROR(
INDEX(REPORTE_DROPI!Y:Y,
MATCH($T926, REPORTE_DROPI!B:B, 0)
),
""
),
""
)
</f>
        <v/>
      </c>
      <c r="F926" s="121">
        <v>2.0</v>
      </c>
      <c r="G926" s="122" t="str">
        <f t="array" ref="G926">IF(
UPPER(TRIM(CLEAN($O926)))="ENTREGADO",
IFERROR(
INDEX(REPORTE_DROPI!R:R,
MATCH($T926, REPORTE_DROPI!B:B, 0)
),
""
),
""
)
</f>
        <v/>
      </c>
      <c r="H926" s="118"/>
      <c r="I926" s="118" t="s">
        <v>3798</v>
      </c>
      <c r="J926" s="121" t="str">
        <f t="array" ref="J926">IF(
UPPER(TRIM(CLEAN($O926)))="ENTREGADO",
IFERROR(
INDEX(REPORTE_DROPI!T:T,
MATCH($T926, REPORTE_DROPI!B:B, 0)
),
""
),
""
)
</f>
        <v/>
      </c>
      <c r="K926" s="118" t="str">
        <f t="array" ref="K926">IFERROR(
INDEX(REPORTE_DROPI!S:S,
MATCH($T926, REPORTE_DROPI!B:B, 0)
),
""
)
</f>
        <v/>
      </c>
      <c r="L926" s="118">
        <f>IF(
  O926&lt;&gt;"DEVOLUCION",
  "",
  IF(
    T926="",
    "",
    SUMIF(DEVOLUCION!F:F, T926, DEVOLUCION!D:D)
  )
)
</f>
        <v>7.75</v>
      </c>
      <c r="M926" s="118" t="s">
        <v>3870</v>
      </c>
      <c r="N926" s="130" t="s">
        <v>5582</v>
      </c>
      <c r="O926" s="118" t="str">
        <f t="array" ref="O926">IFERROR(
VLOOKUP(
TRIM(CLEAN(
INDEX(REPORTE_DROPI!K:K,
MATCH(T926, REPORTE_DROPI!B:B, 0)
))),
{
TRIM(CLEAN(MAPA_ESTADOS!A:A)) ,
MAPA_ESTADOS!B:B
},
2,
FALSE
),
"REVISAR"
)
</f>
        <v>DEVOLUCION</v>
      </c>
      <c r="P926" s="118" t="s">
        <v>3888</v>
      </c>
      <c r="Q926" s="122">
        <f t="shared" si="2"/>
        <v>0</v>
      </c>
      <c r="R926" s="118"/>
      <c r="S926" s="118"/>
      <c r="T926" s="118">
        <f t="array" ref="T926">IFERROR(
INDEX(REPORTE_DROPI!B:B,
MATCH(
CLEAN(TRIM(C926)),
CLEAN(TRIM(REPORTE_DROPI!E:E)),
0
)
),
""
)
</f>
        <v>4307785</v>
      </c>
      <c r="U926" s="118">
        <v>6.452868743212E12</v>
      </c>
      <c r="V926" s="78"/>
      <c r="W926" s="78"/>
      <c r="X926" s="78"/>
      <c r="Y926" s="78"/>
      <c r="Z926" s="78"/>
    </row>
    <row r="927" ht="22.5" customHeight="1">
      <c r="A927" s="118">
        <v>926.0</v>
      </c>
      <c r="B927" s="119">
        <v>46049.0</v>
      </c>
      <c r="C927" s="126" t="s">
        <v>5583</v>
      </c>
      <c r="D927" s="118" t="str">
        <f>IFERROR(__xludf.DUMMYFUNCTION("IFERROR(
  INDEX(
    FILTER(
      'NOMBRE DE PRODUCTOS'!B:B,
      REGEXMATCH(
        UPPER(
          INDEX(
            REPORTE_DROPI!AC:AC,
            MATCH(T927, REPORTE_DROPI!B:B, 0)
          )
        ),
        UPPER('NOMBRE DE PRODUCTOS'!A:A)"&amp;"
      )
    ),
    1
  ),
  ""REVISAR""
)
"),"REVISAR")</f>
        <v>REVISAR</v>
      </c>
      <c r="E927" s="120" t="str">
        <f t="array" ref="E927">IF(
UPPER(TRIM(CLEAN($O927)))="ENTREGADO",
IFERROR(
INDEX(REPORTE_DROPI!Y:Y,
MATCH($T927, REPORTE_DROPI!B:B, 0)
),
""
),
""
)
</f>
        <v/>
      </c>
      <c r="F927" s="121">
        <v>1.0</v>
      </c>
      <c r="G927" s="122" t="str">
        <f t="array" ref="G927">IF(
UPPER(TRIM(CLEAN($O927)))="ENTREGADO",
IFERROR(
INDEX(REPORTE_DROPI!R:R,
MATCH($T927, REPORTE_DROPI!B:B, 0)
),
""
),
""
)
</f>
        <v/>
      </c>
      <c r="H927" s="118"/>
      <c r="I927" s="118" t="s">
        <v>3740</v>
      </c>
      <c r="J927" s="121" t="str">
        <f t="array" ref="J927">IF(
UPPER(TRIM(CLEAN($O927)))="ENTREGADO",
IFERROR(
INDEX(REPORTE_DROPI!T:T,
MATCH($T927, REPORTE_DROPI!B:B, 0)
),
""
),
""
)
</f>
        <v/>
      </c>
      <c r="K927" s="118" t="str">
        <f t="array" ref="K927">IFERROR(
INDEX(REPORTE_DROPI!S:S,
MATCH($T927, REPORTE_DROPI!B:B, 0)
),
""
)
</f>
        <v/>
      </c>
      <c r="L927" s="118" t="str">
        <f>IF(
  O927&lt;&gt;"DEVOLUCION",
  "",
  IF(
    T927="",
    "",
    SUMIF(DEVOLUCION!F:F, T927, DEVOLUCION!D:D)
  )
)
</f>
        <v/>
      </c>
      <c r="M927" s="118" t="s">
        <v>3870</v>
      </c>
      <c r="N927" s="130" t="s">
        <v>5584</v>
      </c>
      <c r="O927" s="118" t="str">
        <f t="array" ref="O927">IFERROR(
VLOOKUP(
TRIM(CLEAN(
INDEX(REPORTE_DROPI!K:K,
MATCH(T927, REPORTE_DROPI!B:B, 0)
))),
{
TRIM(CLEAN(MAPA_ESTADOS!A:A)) ,
MAPA_ESTADOS!B:B
},
2,
FALSE
),
"REVISAR"
)
</f>
        <v>REVISAR</v>
      </c>
      <c r="P927" s="118" t="s">
        <v>5576</v>
      </c>
      <c r="Q927" s="122">
        <f t="shared" si="2"/>
        <v>0</v>
      </c>
      <c r="R927" s="118"/>
      <c r="S927" s="118"/>
      <c r="T927" s="118" t="str">
        <f t="array" ref="T927">IFERROR(
INDEX(REPORTE_DROPI!B:B,
MATCH(
CLEAN(TRIM(C927)),
CLEAN(TRIM(REPORTE_DROPI!E:E)),
0
)
),
""
)
</f>
        <v/>
      </c>
      <c r="U927" s="118">
        <v>6.452882473004E12</v>
      </c>
      <c r="V927" s="78"/>
      <c r="W927" s="78"/>
      <c r="X927" s="78"/>
      <c r="Y927" s="78"/>
      <c r="Z927" s="78"/>
    </row>
    <row r="928" ht="22.5" customHeight="1">
      <c r="A928" s="118">
        <v>927.0</v>
      </c>
      <c r="B928" s="119">
        <v>46049.0</v>
      </c>
      <c r="C928" s="126" t="s">
        <v>5585</v>
      </c>
      <c r="D928" s="118" t="str">
        <f>IFERROR(__xludf.DUMMYFUNCTION("IFERROR(
  INDEX(
    FILTER(
      'NOMBRE DE PRODUCTOS'!B:B,
      REGEXMATCH(
        UPPER(
          INDEX(
            REPORTE_DROPI!AC:AC,
            MATCH(T928, REPORTE_DROPI!B:B, 0)
          )
        ),
        UPPER('NOMBRE DE PRODUCTOS'!A:A)"&amp;"
      )
    ),
    1
  ),
  ""REVISAR""
)
"),"FilmPro®")</f>
        <v>FilmPro®</v>
      </c>
      <c r="E928" s="120" t="str">
        <f t="array" ref="E928">IF(
UPPER(TRIM(CLEAN($O928)))="ENTREGADO",
IFERROR(
INDEX(REPORTE_DROPI!Y:Y,
MATCH($T928, REPORTE_DROPI!B:B, 0)
),
""
),
""
)
</f>
        <v/>
      </c>
      <c r="F928" s="121">
        <v>1.0</v>
      </c>
      <c r="G928" s="122" t="str">
        <f t="array" ref="G928">IF(
UPPER(TRIM(CLEAN($O928)))="ENTREGADO",
IFERROR(
INDEX(REPORTE_DROPI!R:R,
MATCH($T928, REPORTE_DROPI!B:B, 0)
),
""
),
""
)
</f>
        <v/>
      </c>
      <c r="H928" s="118"/>
      <c r="I928" s="118" t="s">
        <v>3772</v>
      </c>
      <c r="J928" s="121" t="str">
        <f t="array" ref="J928">IF(
UPPER(TRIM(CLEAN($O928)))="ENTREGADO",
IFERROR(
INDEX(REPORTE_DROPI!T:T,
MATCH($T928, REPORTE_DROPI!B:B, 0)
),
""
),
""
)
</f>
        <v/>
      </c>
      <c r="K928" s="118" t="str">
        <f t="array" ref="K928">IFERROR(
INDEX(REPORTE_DROPI!S:S,
MATCH($T928, REPORTE_DROPI!B:B, 0)
),
""
)
</f>
        <v/>
      </c>
      <c r="L928" s="118" t="str">
        <f>IF(
  O928&lt;&gt;"DEVOLUCION",
  "",
  IF(
    T928="",
    "",
    SUMIF(DEVOLUCION!F:F, T928, DEVOLUCION!D:D)
  )
)
</f>
        <v/>
      </c>
      <c r="M928" s="118" t="s">
        <v>3870</v>
      </c>
      <c r="N928" s="130" t="s">
        <v>5586</v>
      </c>
      <c r="O928" s="118" t="str">
        <f t="array" ref="O928">IFERROR(
VLOOKUP(
TRIM(CLEAN(
INDEX(REPORTE_DROPI!K:K,
MATCH(T928, REPORTE_DROPI!B:B, 0)
))),
{
TRIM(CLEAN(MAPA_ESTADOS!A:A)) ,
MAPA_ESTADOS!B:B
},
2,
FALSE
),
"REVISAR"
)
</f>
        <v>PENDIENTE</v>
      </c>
      <c r="P928" s="118" t="s">
        <v>4892</v>
      </c>
      <c r="Q928" s="122">
        <f t="shared" si="2"/>
        <v>0</v>
      </c>
      <c r="R928" s="118"/>
      <c r="S928" s="118"/>
      <c r="T928" s="118">
        <f t="array" ref="T928">IFERROR(
INDEX(REPORTE_DROPI!B:B,
MATCH(
CLEAN(TRIM(C928)),
CLEAN(TRIM(REPORTE_DROPI!E:E)),
0
)
),
""
)
</f>
        <v>4301898</v>
      </c>
      <c r="U928" s="118">
        <v>6.452978024492E12</v>
      </c>
      <c r="V928" s="78"/>
      <c r="W928" s="78"/>
      <c r="X928" s="78"/>
      <c r="Y928" s="78"/>
      <c r="Z928" s="78"/>
    </row>
    <row r="929" ht="22.5" customHeight="1">
      <c r="A929" s="118">
        <v>928.0</v>
      </c>
      <c r="B929" s="119">
        <v>46049.0</v>
      </c>
      <c r="C929" s="118" t="s">
        <v>5587</v>
      </c>
      <c r="D929" s="118" t="str">
        <f>IFERROR(__xludf.DUMMYFUNCTION("IFERROR(
  INDEX(
    FILTER(
      'NOMBRE DE PRODUCTOS'!B:B,
      REGEXMATCH(
        UPPER(
          INDEX(
            REPORTE_DROPI!AC:AC,
            MATCH(T929, REPORTE_DROPI!B:B, 0)
          )
        ),
        UPPER('NOMBRE DE PRODUCTOS'!A:A)"&amp;"
      )
    ),
    1
  ),
  ""REVISAR""
)
"),"FilmPro®")</f>
        <v>FilmPro®</v>
      </c>
      <c r="E929" s="120">
        <f t="array" ref="E929">IF(
UPPER(TRIM(CLEAN($O929)))="ENTREGADO",
IFERROR(
INDEX(REPORTE_DROPI!Y:Y,
MATCH($T929, REPORTE_DROPI!B:B, 0)
),
""
),
""
)
</f>
        <v>2.35</v>
      </c>
      <c r="F929" s="121">
        <v>1.0</v>
      </c>
      <c r="G929" s="122">
        <f t="array" ref="G929">IF(
UPPER(TRIM(CLEAN($O929)))="ENTREGADO",
IFERROR(
INDEX(REPORTE_DROPI!R:R,
MATCH($T929, REPORTE_DROPI!B:B, 0)
),
""
),
""
)
</f>
        <v>20</v>
      </c>
      <c r="H929" s="118"/>
      <c r="I929" s="118" t="s">
        <v>3731</v>
      </c>
      <c r="J929" s="121">
        <f t="array" ref="J929">IF(
UPPER(TRIM(CLEAN($O929)))="ENTREGADO",
IFERROR(
INDEX(REPORTE_DROPI!T:T,
MATCH($T929, REPORTE_DROPI!B:B, 0)
),
""
),
""
)
</f>
        <v>4.15</v>
      </c>
      <c r="K929" s="118">
        <f t="array" ref="K929">IFERROR(
INDEX(REPORTE_DROPI!S:S,
MATCH($T929, REPORTE_DROPI!B:B, 0)
),
""
)
</f>
        <v>13.5</v>
      </c>
      <c r="L929" s="118" t="str">
        <f>IF(
  O929&lt;&gt;"DEVOLUCION",
  "",
  IF(
    T929="",
    "",
    SUMIF(DEVOLUCION!F:F, T929, DEVOLUCION!D:D)
  )
)
</f>
        <v/>
      </c>
      <c r="M929" s="118" t="s">
        <v>3870</v>
      </c>
      <c r="N929" s="130" t="s">
        <v>5588</v>
      </c>
      <c r="O929" s="118" t="str">
        <f t="array" ref="O929">IFERROR(
VLOOKUP(
TRIM(CLEAN(
INDEX(REPORTE_DROPI!K:K,
MATCH(T929, REPORTE_DROPI!B:B, 0)
))),
{
TRIM(CLEAN(MAPA_ESTADOS!A:A)) ,
MAPA_ESTADOS!B:B
},
2,
FALSE
),
"REVISAR"
)
</f>
        <v>ENTREGADO</v>
      </c>
      <c r="P929" s="118" t="s">
        <v>3655</v>
      </c>
      <c r="Q929" s="122">
        <f t="shared" si="2"/>
        <v>0</v>
      </c>
      <c r="R929" s="118"/>
      <c r="S929" s="118"/>
      <c r="T929" s="118">
        <f t="array" ref="T929">IFERROR(
INDEX(REPORTE_DROPI!B:B,
MATCH(
CLEAN(TRIM(C929)),
CLEAN(TRIM(REPORTE_DROPI!E:E)),
0
)
),
""
)
</f>
        <v>4305176</v>
      </c>
      <c r="U929" s="118">
        <v>6.452982349868E12</v>
      </c>
      <c r="V929" s="78"/>
      <c r="W929" s="78"/>
      <c r="X929" s="78"/>
      <c r="Y929" s="78"/>
      <c r="Z929" s="78"/>
    </row>
    <row r="930" ht="22.5" customHeight="1">
      <c r="A930" s="118">
        <v>929.0</v>
      </c>
      <c r="B930" s="119">
        <v>46049.0</v>
      </c>
      <c r="C930" s="118" t="s">
        <v>5589</v>
      </c>
      <c r="D930" s="118" t="str">
        <f>IFERROR(__xludf.DUMMYFUNCTION("IFERROR(
  INDEX(
    FILTER(
      'NOMBRE DE PRODUCTOS'!B:B,
      REGEXMATCH(
        UPPER(
          INDEX(
            REPORTE_DROPI!AC:AC,
            MATCH(T930, REPORTE_DROPI!B:B, 0)
          )
        ),
        UPPER('NOMBRE DE PRODUCTOS'!A:A)"&amp;"
      )
    ),
    1
  ),
  ""REVISAR""
)
"),"FilmPro®")</f>
        <v>FilmPro®</v>
      </c>
      <c r="E930" s="120" t="str">
        <f t="array" ref="E930">IF(
UPPER(TRIM(CLEAN($O930)))="ENTREGADO",
IFERROR(
INDEX(REPORTE_DROPI!Y:Y,
MATCH($T930, REPORTE_DROPI!B:B, 0)
),
""
),
""
)
</f>
        <v/>
      </c>
      <c r="F930" s="121">
        <v>3.0</v>
      </c>
      <c r="G930" s="122" t="str">
        <f t="array" ref="G930">IF(
UPPER(TRIM(CLEAN($O930)))="ENTREGADO",
IFERROR(
INDEX(REPORTE_DROPI!R:R,
MATCH($T930, REPORTE_DROPI!B:B, 0)
),
""
),
""
)
</f>
        <v/>
      </c>
      <c r="H930" s="118"/>
      <c r="I930" s="118" t="s">
        <v>3735</v>
      </c>
      <c r="J930" s="121" t="str">
        <f t="array" ref="J930">IF(
UPPER(TRIM(CLEAN($O930)))="ENTREGADO",
IFERROR(
INDEX(REPORTE_DROPI!T:T,
MATCH($T930, REPORTE_DROPI!B:B, 0)
),
""
),
""
)
</f>
        <v/>
      </c>
      <c r="K930" s="118" t="str">
        <f t="array" ref="K930">IFERROR(
INDEX(REPORTE_DROPI!S:S,
MATCH($T930, REPORTE_DROPI!B:B, 0)
),
""
)
</f>
        <v/>
      </c>
      <c r="L930" s="118" t="str">
        <f>IF(
  O930&lt;&gt;"DEVOLUCION",
  "",
  IF(
    T930="",
    "",
    SUMIF(DEVOLUCION!F:F, T930, DEVOLUCION!D:D)
  )
)
</f>
        <v/>
      </c>
      <c r="M930" s="118" t="s">
        <v>3870</v>
      </c>
      <c r="N930" s="130" t="s">
        <v>5590</v>
      </c>
      <c r="O930" s="118" t="str">
        <f t="array" ref="O930">IFERROR(
VLOOKUP(
TRIM(CLEAN(
INDEX(REPORTE_DROPI!K:K,
MATCH(T930, REPORTE_DROPI!B:B, 0)
))),
{
TRIM(CLEAN(MAPA_ESTADOS!A:A)) ,
MAPA_ESTADOS!B:B
},
2,
FALSE
),
"REVISAR"
)
</f>
        <v>CANCELADO</v>
      </c>
      <c r="P930" s="118" t="s">
        <v>5591</v>
      </c>
      <c r="Q930" s="122">
        <f t="shared" si="2"/>
        <v>0</v>
      </c>
      <c r="R930" s="118"/>
      <c r="S930" s="118"/>
      <c r="T930" s="118">
        <f t="array" ref="T930">IFERROR(
INDEX(REPORTE_DROPI!B:B,
MATCH(
CLEAN(TRIM(C930)),
CLEAN(TRIM(REPORTE_DROPI!E:E)),
0
)
),
""
)
</f>
        <v>4302166</v>
      </c>
      <c r="U930" s="118">
        <v>6.45299575198E12</v>
      </c>
      <c r="V930" s="78"/>
      <c r="W930" s="78"/>
      <c r="X930" s="78"/>
      <c r="Y930" s="78"/>
      <c r="Z930" s="78"/>
    </row>
    <row r="931" ht="22.5" customHeight="1">
      <c r="A931" s="118">
        <v>930.0</v>
      </c>
      <c r="B931" s="119">
        <v>46049.0</v>
      </c>
      <c r="C931" s="126" t="s">
        <v>5592</v>
      </c>
      <c r="D931" s="118" t="str">
        <f>IFERROR(__xludf.DUMMYFUNCTION("IFERROR(
  INDEX(
    FILTER(
      'NOMBRE DE PRODUCTOS'!B:B,
      REGEXMATCH(
        UPPER(
          INDEX(
            REPORTE_DROPI!AC:AC,
            MATCH(T931, REPORTE_DROPI!B:B, 0)
          )
        ),
        UPPER('NOMBRE DE PRODUCTOS'!A:A)"&amp;"
      )
    ),
    1
  ),
  ""REVISAR""
)
"),"FURBLADE™")</f>
        <v>FURBLADE™</v>
      </c>
      <c r="E931" s="120" t="str">
        <f t="array" ref="E931">IF(
UPPER(TRIM(CLEAN($O931)))="ENTREGADO",
IFERROR(
INDEX(REPORTE_DROPI!Y:Y,
MATCH($T931, REPORTE_DROPI!B:B, 0)
),
""
),
""
)
</f>
        <v/>
      </c>
      <c r="F931" s="121">
        <v>1.0</v>
      </c>
      <c r="G931" s="122" t="str">
        <f t="array" ref="G931">IF(
UPPER(TRIM(CLEAN($O931)))="ENTREGADO",
IFERROR(
INDEX(REPORTE_DROPI!R:R,
MATCH($T931, REPORTE_DROPI!B:B, 0)
),
""
),
""
)
</f>
        <v/>
      </c>
      <c r="H931" s="118"/>
      <c r="I931" s="118" t="s">
        <v>3740</v>
      </c>
      <c r="J931" s="121" t="str">
        <f t="array" ref="J931">IF(
UPPER(TRIM(CLEAN($O931)))="ENTREGADO",
IFERROR(
INDEX(REPORTE_DROPI!T:T,
MATCH($T931, REPORTE_DROPI!B:B, 0)
),
""
),
""
)
</f>
        <v/>
      </c>
      <c r="K931" s="118" t="str">
        <f t="array" ref="K931">IFERROR(
INDEX(REPORTE_DROPI!S:S,
MATCH($T931, REPORTE_DROPI!B:B, 0)
),
""
)
</f>
        <v/>
      </c>
      <c r="L931" s="118" t="str">
        <f>IF(
  O931&lt;&gt;"DEVOLUCION",
  "",
  IF(
    T931="",
    "",
    SUMIF(DEVOLUCION!F:F, T931, DEVOLUCION!D:D)
  )
)
</f>
        <v/>
      </c>
      <c r="M931" s="118" t="s">
        <v>3870</v>
      </c>
      <c r="N931" s="130" t="s">
        <v>5593</v>
      </c>
      <c r="O931" s="118" t="str">
        <f t="array" ref="O931">IFERROR(
VLOOKUP(
TRIM(CLEAN(
INDEX(REPORTE_DROPI!K:K,
MATCH(T931, REPORTE_DROPI!B:B, 0)
))),
{
TRIM(CLEAN(MAPA_ESTADOS!A:A)) ,
MAPA_ESTADOS!B:B
},
2,
FALSE
),
"REVISAR"
)
</f>
        <v>PENDIENTE</v>
      </c>
      <c r="P931" s="118" t="s">
        <v>4892</v>
      </c>
      <c r="Q931" s="122">
        <f t="shared" si="2"/>
        <v>0</v>
      </c>
      <c r="R931" s="118"/>
      <c r="S931" s="118"/>
      <c r="T931" s="118">
        <f t="array" ref="T931">IFERROR(
INDEX(REPORTE_DROPI!B:B,
MATCH(
CLEAN(TRIM(C931)),
CLEAN(TRIM(REPORTE_DROPI!E:E)),
0
)
),
""
)
</f>
        <v>4302228</v>
      </c>
      <c r="U931" s="118">
        <v>6.453000110124E12</v>
      </c>
      <c r="V931" s="78"/>
      <c r="W931" s="78"/>
      <c r="X931" s="78"/>
      <c r="Y931" s="78"/>
      <c r="Z931" s="78"/>
    </row>
    <row r="932" ht="22.5" customHeight="1">
      <c r="A932" s="118">
        <v>931.0</v>
      </c>
      <c r="B932" s="119">
        <v>46049.0</v>
      </c>
      <c r="C932" s="126" t="s">
        <v>5594</v>
      </c>
      <c r="D932" s="118" t="str">
        <f>IFERROR(__xludf.DUMMYFUNCTION("IFERROR(
  INDEX(
    FILTER(
      'NOMBRE DE PRODUCTOS'!B:B,
      REGEXMATCH(
        UPPER(
          INDEX(
            REPORTE_DROPI!AC:AC,
            MATCH(T932, REPORTE_DROPI!B:B, 0)
          )
        ),
        UPPER('NOMBRE DE PRODUCTOS'!A:A)"&amp;"
      )
    ),
    1
  ),
  ""REVISAR""
)
"),"FilmPro®")</f>
        <v>FilmPro®</v>
      </c>
      <c r="E932" s="120" t="str">
        <f t="array" ref="E932">IF(
UPPER(TRIM(CLEAN($O932)))="ENTREGADO",
IFERROR(
INDEX(REPORTE_DROPI!Y:Y,
MATCH($T932, REPORTE_DROPI!B:B, 0)
),
""
),
""
)
</f>
        <v/>
      </c>
      <c r="F932" s="121">
        <v>2.0</v>
      </c>
      <c r="G932" s="122" t="str">
        <f t="array" ref="G932">IF(
UPPER(TRIM(CLEAN($O932)))="ENTREGADO",
IFERROR(
INDEX(REPORTE_DROPI!R:R,
MATCH($T932, REPORTE_DROPI!B:B, 0)
),
""
),
""
)
</f>
        <v/>
      </c>
      <c r="H932" s="118"/>
      <c r="I932" s="118" t="s">
        <v>3759</v>
      </c>
      <c r="J932" s="121" t="str">
        <f t="array" ref="J932">IF(
UPPER(TRIM(CLEAN($O932)))="ENTREGADO",
IFERROR(
INDEX(REPORTE_DROPI!T:T,
MATCH($T932, REPORTE_DROPI!B:B, 0)
),
""
),
""
)
</f>
        <v/>
      </c>
      <c r="K932" s="118" t="str">
        <f t="array" ref="K932">IFERROR(
INDEX(REPORTE_DROPI!S:S,
MATCH($T932, REPORTE_DROPI!B:B, 0)
),
""
)
</f>
        <v/>
      </c>
      <c r="L932" s="118" t="str">
        <f>IF(
  O932&lt;&gt;"DEVOLUCION",
  "",
  IF(
    T932="",
    "",
    SUMIF(DEVOLUCION!F:F, T932, DEVOLUCION!D:D)
  )
)
</f>
        <v/>
      </c>
      <c r="M932" s="118" t="s">
        <v>3870</v>
      </c>
      <c r="N932" s="130" t="s">
        <v>5595</v>
      </c>
      <c r="O932" s="118" t="str">
        <f t="array" ref="O932">IFERROR(
VLOOKUP(
TRIM(CLEAN(
INDEX(REPORTE_DROPI!K:K,
MATCH(T932, REPORTE_DROPI!B:B, 0)
))),
{
TRIM(CLEAN(MAPA_ESTADOS!A:A)) ,
MAPA_ESTADOS!B:B
},
2,
FALSE
),
"REVISAR"
)
</f>
        <v>PENDIENTE</v>
      </c>
      <c r="P932" s="118" t="s">
        <v>4892</v>
      </c>
      <c r="Q932" s="122">
        <f t="shared" si="2"/>
        <v>0</v>
      </c>
      <c r="R932" s="118"/>
      <c r="S932" s="118"/>
      <c r="T932" s="118">
        <f t="array" ref="T932">IFERROR(
INDEX(REPORTE_DROPI!B:B,
MATCH(
CLEAN(TRIM(C932)),
CLEAN(TRIM(REPORTE_DROPI!E:E)),
0
)
),
""
)
</f>
        <v>4302588</v>
      </c>
      <c r="U932" s="118">
        <v>6.453056077868E12</v>
      </c>
      <c r="V932" s="78"/>
      <c r="W932" s="78"/>
      <c r="X932" s="78"/>
      <c r="Y932" s="78"/>
      <c r="Z932" s="78"/>
    </row>
    <row r="933" ht="22.5" customHeight="1">
      <c r="A933" s="118">
        <v>932.0</v>
      </c>
      <c r="B933" s="119">
        <v>46049.0</v>
      </c>
      <c r="C933" s="126" t="s">
        <v>5596</v>
      </c>
      <c r="D933" s="118" t="str">
        <f>IFERROR(__xludf.DUMMYFUNCTION("IFERROR(
  INDEX(
    FILTER(
      'NOMBRE DE PRODUCTOS'!B:B,
      REGEXMATCH(
        UPPER(
          INDEX(
            REPORTE_DROPI!AC:AC,
            MATCH(T933, REPORTE_DROPI!B:B, 0)
          )
        ),
        UPPER('NOMBRE DE PRODUCTOS'!A:A)"&amp;"
      )
    ),
    1
  ),
  ""REVISAR""
)
"),"REVISAR")</f>
        <v>REVISAR</v>
      </c>
      <c r="E933" s="120" t="str">
        <f t="array" ref="E933">IF(
UPPER(TRIM(CLEAN($O933)))="ENTREGADO",
IFERROR(
INDEX(REPORTE_DROPI!Y:Y,
MATCH($T933, REPORTE_DROPI!B:B, 0)
),
""
),
""
)
</f>
        <v/>
      </c>
      <c r="F933" s="121">
        <v>1.0</v>
      </c>
      <c r="G933" s="122" t="str">
        <f t="array" ref="G933">IF(
UPPER(TRIM(CLEAN($O933)))="ENTREGADO",
IFERROR(
INDEX(REPORTE_DROPI!R:R,
MATCH($T933, REPORTE_DROPI!B:B, 0)
),
""
),
""
)
</f>
        <v/>
      </c>
      <c r="H933" s="118"/>
      <c r="I933" s="118" t="s">
        <v>3801</v>
      </c>
      <c r="J933" s="121" t="str">
        <f t="array" ref="J933">IF(
UPPER(TRIM(CLEAN($O933)))="ENTREGADO",
IFERROR(
INDEX(REPORTE_DROPI!T:T,
MATCH($T933, REPORTE_DROPI!B:B, 0)
),
""
),
""
)
</f>
        <v/>
      </c>
      <c r="K933" s="118" t="str">
        <f t="array" ref="K933">IFERROR(
INDEX(REPORTE_DROPI!S:S,
MATCH($T933, REPORTE_DROPI!B:B, 0)
),
""
)
</f>
        <v/>
      </c>
      <c r="L933" s="118" t="str">
        <f>IF(
  O933&lt;&gt;"DEVOLUCION",
  "",
  IF(
    T933="",
    "",
    SUMIF(DEVOLUCION!F:F, T933, DEVOLUCION!D:D)
  )
)
</f>
        <v/>
      </c>
      <c r="M933" s="118"/>
      <c r="N933" s="130" t="s">
        <v>5597</v>
      </c>
      <c r="O933" s="118" t="str">
        <f t="array" ref="O933">IFERROR(
VLOOKUP(
TRIM(CLEAN(
INDEX(REPORTE_DROPI!K:K,
MATCH(T933, REPORTE_DROPI!B:B, 0)
))),
{
TRIM(CLEAN(MAPA_ESTADOS!A:A)) ,
MAPA_ESTADOS!B:B
},
2,
FALSE
),
"REVISAR"
)
</f>
        <v>REVISAR</v>
      </c>
      <c r="P933" s="118"/>
      <c r="Q933" s="122">
        <f t="shared" si="2"/>
        <v>0</v>
      </c>
      <c r="R933" s="118"/>
      <c r="S933" s="118"/>
      <c r="T933" s="118" t="str">
        <f t="array" ref="T933">IFERROR(
INDEX(REPORTE_DROPI!B:B,
MATCH(
CLEAN(TRIM(C933)),
CLEAN(TRIM(REPORTE_DROPI!E:E)),
0
)
),
""
)
</f>
        <v/>
      </c>
      <c r="U933" s="118">
        <v>6.453160050732E12</v>
      </c>
      <c r="V933" s="78"/>
      <c r="W933" s="78"/>
      <c r="X933" s="78"/>
      <c r="Y933" s="78"/>
      <c r="Z933" s="78"/>
    </row>
    <row r="934" ht="22.5" customHeight="1">
      <c r="A934" s="118">
        <v>933.0</v>
      </c>
      <c r="B934" s="119">
        <v>46050.0</v>
      </c>
      <c r="C934" s="118" t="s">
        <v>5598</v>
      </c>
      <c r="D934" s="118" t="str">
        <f>IFERROR(__xludf.DUMMYFUNCTION("IFERROR(
  INDEX(
    FILTER(
      'NOMBRE DE PRODUCTOS'!B:B,
      REGEXMATCH(
        UPPER(
          INDEX(
            REPORTE_DROPI!AC:AC,
            MATCH(T934, REPORTE_DROPI!B:B, 0)
          )
        ),
        UPPER('NOMBRE DE PRODUCTOS'!A:A)"&amp;"
      )
    ),
    1
  ),
  ""REVISAR""
)
"),"FilmPro®")</f>
        <v>FilmPro®</v>
      </c>
      <c r="E934" s="120" t="str">
        <f t="array" ref="E934">IF(
UPPER(TRIM(CLEAN($O934)))="ENTREGADO",
IFERROR(
INDEX(REPORTE_DROPI!Y:Y,
MATCH($T934, REPORTE_DROPI!B:B, 0)
),
""
),
""
)
</f>
        <v/>
      </c>
      <c r="F934" s="121">
        <v>3.0</v>
      </c>
      <c r="G934" s="122" t="str">
        <f t="array" ref="G934">IF(
UPPER(TRIM(CLEAN($O934)))="ENTREGADO",
IFERROR(
INDEX(REPORTE_DROPI!R:R,
MATCH($T934, REPORTE_DROPI!B:B, 0)
),
""
),
""
)
</f>
        <v/>
      </c>
      <c r="H934" s="118"/>
      <c r="I934" s="118" t="s">
        <v>3735</v>
      </c>
      <c r="J934" s="121" t="str">
        <f t="array" ref="J934">IF(
UPPER(TRIM(CLEAN($O934)))="ENTREGADO",
IFERROR(
INDEX(REPORTE_DROPI!T:T,
MATCH($T934, REPORTE_DROPI!B:B, 0)
),
""
),
""
)
</f>
        <v/>
      </c>
      <c r="K934" s="118" t="str">
        <f t="array" ref="K934">IFERROR(
INDEX(REPORTE_DROPI!S:S,
MATCH($T934, REPORTE_DROPI!B:B, 0)
),
""
)
</f>
        <v/>
      </c>
      <c r="L934" s="118">
        <f>IF(
  O934&lt;&gt;"DEVOLUCION",
  "",
  IF(
    T934="",
    "",
    SUMIF(DEVOLUCION!F:F, T934, DEVOLUCION!D:D)
  )
)
</f>
        <v>5.69</v>
      </c>
      <c r="M934" s="118" t="s">
        <v>3870</v>
      </c>
      <c r="N934" s="130" t="s">
        <v>5599</v>
      </c>
      <c r="O934" s="118" t="str">
        <f t="array" ref="O934">IFERROR(
VLOOKUP(
TRIM(CLEAN(
INDEX(REPORTE_DROPI!K:K,
MATCH(T934, REPORTE_DROPI!B:B, 0)
))),
{
TRIM(CLEAN(MAPA_ESTADOS!A:A)) ,
MAPA_ESTADOS!B:B
},
2,
FALSE
),
"REVISAR"
)
</f>
        <v>DEVOLUCION</v>
      </c>
      <c r="P934" s="118" t="s">
        <v>3655</v>
      </c>
      <c r="Q934" s="122">
        <f t="shared" si="2"/>
        <v>0</v>
      </c>
      <c r="R934" s="118"/>
      <c r="S934" s="118"/>
      <c r="T934" s="118">
        <f t="array" ref="T934">IFERROR(
INDEX(REPORTE_DROPI!B:B,
MATCH(
CLEAN(TRIM(C934)),
CLEAN(TRIM(REPORTE_DROPI!E:E)),
0
)
),
""
)
</f>
        <v>4319018</v>
      </c>
      <c r="U934" s="118">
        <v>6.453231943724E12</v>
      </c>
      <c r="V934" s="78"/>
      <c r="W934" s="78"/>
      <c r="X934" s="78"/>
      <c r="Y934" s="78"/>
      <c r="Z934" s="78"/>
    </row>
    <row r="935" ht="22.5" customHeight="1">
      <c r="A935" s="118">
        <v>934.0</v>
      </c>
      <c r="B935" s="119">
        <v>46050.0</v>
      </c>
      <c r="C935" s="118" t="s">
        <v>5600</v>
      </c>
      <c r="D935" s="118" t="str">
        <f>IFERROR(__xludf.DUMMYFUNCTION("IFERROR(
  INDEX(
    FILTER(
      'NOMBRE DE PRODUCTOS'!B:B,
      REGEXMATCH(
        UPPER(
          INDEX(
            REPORTE_DROPI!AC:AC,
            MATCH(T935, REPORTE_DROPI!B:B, 0)
          )
        ),
        UPPER('NOMBRE DE PRODUCTOS'!A:A)"&amp;"
      )
    ),
    1
  ),
  ""REVISAR""
)
"),"FilmPro®")</f>
        <v>FilmPro®</v>
      </c>
      <c r="E935" s="120">
        <f t="array" ref="E935">IF(
UPPER(TRIM(CLEAN($O935)))="ENTREGADO",
IFERROR(
INDEX(REPORTE_DROPI!Y:Y,
MATCH($T935, REPORTE_DROPI!B:B, 0)
),
""
),
""
)
</f>
        <v>2.35</v>
      </c>
      <c r="F935" s="121">
        <v>1.0</v>
      </c>
      <c r="G935" s="122">
        <f t="array" ref="G935">IF(
UPPER(TRIM(CLEAN($O935)))="ENTREGADO",
IFERROR(
INDEX(REPORTE_DROPI!R:R,
MATCH($T935, REPORTE_DROPI!B:B, 0)
),
""
),
""
)
</f>
        <v>20</v>
      </c>
      <c r="H935" s="118"/>
      <c r="I935" s="118" t="s">
        <v>3740</v>
      </c>
      <c r="J935" s="121">
        <f t="array" ref="J935">IF(
UPPER(TRIM(CLEAN($O935)))="ENTREGADO",
IFERROR(
INDEX(REPORTE_DROPI!T:T,
MATCH($T935, REPORTE_DROPI!B:B, 0)
),
""
),
""
)
</f>
        <v>5.76</v>
      </c>
      <c r="K935" s="118">
        <f t="array" ref="K935">IFERROR(
INDEX(REPORTE_DROPI!S:S,
MATCH($T935, REPORTE_DROPI!B:B, 0)
),
""
)
</f>
        <v>11.89</v>
      </c>
      <c r="L935" s="118" t="str">
        <f>IF(
  O935&lt;&gt;"DEVOLUCION",
  "",
  IF(
    T935="",
    "",
    SUMIF(DEVOLUCION!F:F, T935, DEVOLUCION!D:D)
  )
)
</f>
        <v/>
      </c>
      <c r="M935" s="118" t="s">
        <v>3870</v>
      </c>
      <c r="N935" s="130" t="s">
        <v>5601</v>
      </c>
      <c r="O935" s="118" t="str">
        <f t="array" ref="O935">IFERROR(
VLOOKUP(
TRIM(CLEAN(
INDEX(REPORTE_DROPI!K:K,
MATCH(T935, REPORTE_DROPI!B:B, 0)
))),
{
TRIM(CLEAN(MAPA_ESTADOS!A:A)) ,
MAPA_ESTADOS!B:B
},
2,
FALSE
),
"REVISAR"
)
</f>
        <v>ENTREGADO</v>
      </c>
      <c r="P935" s="118" t="s">
        <v>3655</v>
      </c>
      <c r="Q935" s="122">
        <f t="shared" si="2"/>
        <v>0</v>
      </c>
      <c r="R935" s="118"/>
      <c r="S935" s="118"/>
      <c r="T935" s="118">
        <f t="array" ref="T935">IFERROR(
INDEX(REPORTE_DROPI!B:B,
MATCH(
CLEAN(TRIM(C935)),
CLEAN(TRIM(REPORTE_DROPI!E:E)),
0
)
),
""
)
</f>
        <v>4303450</v>
      </c>
      <c r="U935" s="118">
        <v>6.45327935902E12</v>
      </c>
      <c r="V935" s="78"/>
      <c r="W935" s="78"/>
      <c r="X935" s="78"/>
      <c r="Y935" s="78"/>
      <c r="Z935" s="78"/>
    </row>
    <row r="936" ht="22.5" customHeight="1">
      <c r="A936" s="118">
        <v>935.0</v>
      </c>
      <c r="B936" s="119">
        <v>46050.0</v>
      </c>
      <c r="C936" s="118" t="s">
        <v>5602</v>
      </c>
      <c r="D936" s="118" t="str">
        <f>IFERROR(__xludf.DUMMYFUNCTION("IFERROR(
  INDEX(
    FILTER(
      'NOMBRE DE PRODUCTOS'!B:B,
      REGEXMATCH(
        UPPER(
          INDEX(
            REPORTE_DROPI!AC:AC,
            MATCH(T936, REPORTE_DROPI!B:B, 0)
          )
        ),
        UPPER('NOMBRE DE PRODUCTOS'!A:A)"&amp;"
      )
    ),
    1
  ),
  ""REVISAR""
)
"),"FilmPro®")</f>
        <v>FilmPro®</v>
      </c>
      <c r="E936" s="120">
        <f t="array" ref="E936">IF(
UPPER(TRIM(CLEAN($O936)))="ENTREGADO",
IFERROR(
INDEX(REPORTE_DROPI!Y:Y,
MATCH($T936, REPORTE_DROPI!B:B, 0)
),
""
),
""
)
</f>
        <v>7.05</v>
      </c>
      <c r="F936" s="121">
        <v>3.0</v>
      </c>
      <c r="G936" s="122">
        <f t="array" ref="G936">IF(
UPPER(TRIM(CLEAN($O936)))="ENTREGADO",
IFERROR(
INDEX(REPORTE_DROPI!R:R,
MATCH($T936, REPORTE_DROPI!B:B, 0)
),
""
),
""
)
</f>
        <v>30</v>
      </c>
      <c r="H936" s="118"/>
      <c r="I936" s="118" t="s">
        <v>3731</v>
      </c>
      <c r="J936" s="121">
        <f t="array" ref="J936">IF(
UPPER(TRIM(CLEAN($O936)))="ENTREGADO",
IFERROR(
INDEX(REPORTE_DROPI!T:T,
MATCH($T936, REPORTE_DROPI!B:B, 0)
),
""
),
""
)
</f>
        <v>4.55</v>
      </c>
      <c r="K936" s="118">
        <f t="array" ref="K936">IFERROR(
INDEX(REPORTE_DROPI!S:S,
MATCH($T936, REPORTE_DROPI!B:B, 0)
),
""
)
</f>
        <v>18.4</v>
      </c>
      <c r="L936" s="118" t="str">
        <f>IF(
  O936&lt;&gt;"DEVOLUCION",
  "",
  IF(
    T936="",
    "",
    SUMIF(DEVOLUCION!F:F, T936, DEVOLUCION!D:D)
  )
)
</f>
        <v/>
      </c>
      <c r="M936" s="118" t="s">
        <v>3870</v>
      </c>
      <c r="N936" s="130" t="s">
        <v>5603</v>
      </c>
      <c r="O936" s="118" t="str">
        <f t="array" ref="O936">IFERROR(
VLOOKUP(
TRIM(CLEAN(
INDEX(REPORTE_DROPI!K:K,
MATCH(T936, REPORTE_DROPI!B:B, 0)
))),
{
TRIM(CLEAN(MAPA_ESTADOS!A:A)) ,
MAPA_ESTADOS!B:B
},
2,
FALSE
),
"REVISAR"
)
</f>
        <v>ENTREGADO</v>
      </c>
      <c r="P936" s="118" t="s">
        <v>3655</v>
      </c>
      <c r="Q936" s="122">
        <f t="shared" si="2"/>
        <v>0</v>
      </c>
      <c r="R936" s="118"/>
      <c r="S936" s="118"/>
      <c r="T936" s="118">
        <f t="array" ref="T936">IFERROR(
INDEX(REPORTE_DROPI!B:B,
MATCH(
CLEAN(TRIM(C936)),
CLEAN(TRIM(REPORTE_DROPI!E:E)),
0
)
),
""
)
</f>
        <v>4303857</v>
      </c>
      <c r="U936" s="118">
        <v>6.453551431724E12</v>
      </c>
      <c r="V936" s="78"/>
      <c r="W936" s="78"/>
      <c r="X936" s="78"/>
      <c r="Y936" s="78"/>
      <c r="Z936" s="78"/>
    </row>
    <row r="937" ht="22.5" customHeight="1">
      <c r="A937" s="118">
        <v>936.0</v>
      </c>
      <c r="B937" s="119">
        <v>46050.0</v>
      </c>
      <c r="C937" s="126" t="s">
        <v>5604</v>
      </c>
      <c r="D937" s="118" t="str">
        <f>IFERROR(__xludf.DUMMYFUNCTION("IFERROR(
  INDEX(
    FILTER(
      'NOMBRE DE PRODUCTOS'!B:B,
      REGEXMATCH(
        UPPER(
          INDEX(
            REPORTE_DROPI!AC:AC,
            MATCH(T937, REPORTE_DROPI!B:B, 0)
          )
        ),
        UPPER('NOMBRE DE PRODUCTOS'!A:A)"&amp;"
      )
    ),
    1
  ),
  ""REVISAR""
)
"),"FilmPro®")</f>
        <v>FilmPro®</v>
      </c>
      <c r="E937" s="120" t="str">
        <f t="array" ref="E937">IF(
UPPER(TRIM(CLEAN($O937)))="ENTREGADO",
IFERROR(
INDEX(REPORTE_DROPI!Y:Y,
MATCH($T937, REPORTE_DROPI!B:B, 0)
),
""
),
""
)
</f>
        <v/>
      </c>
      <c r="F937" s="121">
        <v>3.0</v>
      </c>
      <c r="G937" s="122" t="str">
        <f t="array" ref="G937">IF(
UPPER(TRIM(CLEAN($O937)))="ENTREGADO",
IFERROR(
INDEX(REPORTE_DROPI!R:R,
MATCH($T937, REPORTE_DROPI!B:B, 0)
),
""
),
""
)
</f>
        <v/>
      </c>
      <c r="H937" s="118"/>
      <c r="I937" s="118" t="s">
        <v>3731</v>
      </c>
      <c r="J937" s="121" t="str">
        <f t="array" ref="J937">IF(
UPPER(TRIM(CLEAN($O937)))="ENTREGADO",
IFERROR(
INDEX(REPORTE_DROPI!T:T,
MATCH($T937, REPORTE_DROPI!B:B, 0)
),
""
),
""
)
</f>
        <v/>
      </c>
      <c r="K937" s="118" t="str">
        <f t="array" ref="K937">IFERROR(
INDEX(REPORTE_DROPI!S:S,
MATCH($T937, REPORTE_DROPI!B:B, 0)
),
""
)
</f>
        <v/>
      </c>
      <c r="L937" s="118" t="str">
        <f>IF(
  O937&lt;&gt;"DEVOLUCION",
  "",
  IF(
    T937="",
    "",
    SUMIF(DEVOLUCION!F:F, T937, DEVOLUCION!D:D)
  )
)
</f>
        <v/>
      </c>
      <c r="M937" s="118" t="s">
        <v>3870</v>
      </c>
      <c r="N937" s="130" t="s">
        <v>5605</v>
      </c>
      <c r="O937" s="118" t="str">
        <f t="array" ref="O937">IFERROR(
VLOOKUP(
TRIM(CLEAN(
INDEX(REPORTE_DROPI!K:K,
MATCH(T937, REPORTE_DROPI!B:B, 0)
))),
{
TRIM(CLEAN(MAPA_ESTADOS!A:A)) ,
MAPA_ESTADOS!B:B
},
2,
FALSE
),
"REVISAR"
)
</f>
        <v>PENDIENTE</v>
      </c>
      <c r="P937" s="118" t="s">
        <v>5606</v>
      </c>
      <c r="Q937" s="122">
        <f t="shared" si="2"/>
        <v>0</v>
      </c>
      <c r="R937" s="118"/>
      <c r="S937" s="118"/>
      <c r="T937" s="118">
        <f t="array" ref="T937">IFERROR(
INDEX(REPORTE_DROPI!B:B,
MATCH(
CLEAN(TRIM(C937)),
CLEAN(TRIM(REPORTE_DROPI!E:E)),
0
)
),
""
)
</f>
        <v>4303920</v>
      </c>
      <c r="U937" s="118">
        <v>6.453567029292E12</v>
      </c>
      <c r="V937" s="78"/>
      <c r="W937" s="78"/>
      <c r="X937" s="78"/>
      <c r="Y937" s="78"/>
      <c r="Z937" s="78"/>
    </row>
    <row r="938" ht="22.5" customHeight="1">
      <c r="A938" s="118">
        <v>937.0</v>
      </c>
      <c r="B938" s="119">
        <v>46050.0</v>
      </c>
      <c r="C938" s="126" t="s">
        <v>5607</v>
      </c>
      <c r="D938" s="118" t="str">
        <f>IFERROR(__xludf.DUMMYFUNCTION("IFERROR(
  INDEX(
    FILTER(
      'NOMBRE DE PRODUCTOS'!B:B,
      REGEXMATCH(
        UPPER(
          INDEX(
            REPORTE_DROPI!AC:AC,
            MATCH(T938, REPORTE_DROPI!B:B, 0)
          )
        ),
        UPPER('NOMBRE DE PRODUCTOS'!A:A)"&amp;"
      )
    ),
    1
  ),
  ""REVISAR""
)
"),"REVISAR")</f>
        <v>REVISAR</v>
      </c>
      <c r="E938" s="120" t="str">
        <f t="array" ref="E938">IF(
UPPER(TRIM(CLEAN($O938)))="ENTREGADO",
IFERROR(
INDEX(REPORTE_DROPI!Y:Y,
MATCH($T938, REPORTE_DROPI!B:B, 0)
),
""
),
""
)
</f>
        <v/>
      </c>
      <c r="F938" s="121">
        <v>1.0</v>
      </c>
      <c r="G938" s="122" t="str">
        <f t="array" ref="G938">IF(
UPPER(TRIM(CLEAN($O938)))="ENTREGADO",
IFERROR(
INDEX(REPORTE_DROPI!R:R,
MATCH($T938, REPORTE_DROPI!B:B, 0)
),
""
),
""
)
</f>
        <v/>
      </c>
      <c r="H938" s="118"/>
      <c r="I938" s="118" t="s">
        <v>3728</v>
      </c>
      <c r="J938" s="121" t="str">
        <f t="array" ref="J938">IF(
UPPER(TRIM(CLEAN($O938)))="ENTREGADO",
IFERROR(
INDEX(REPORTE_DROPI!T:T,
MATCH($T938, REPORTE_DROPI!B:B, 0)
),
""
),
""
)
</f>
        <v/>
      </c>
      <c r="K938" s="118" t="str">
        <f t="array" ref="K938">IFERROR(
INDEX(REPORTE_DROPI!S:S,
MATCH($T938, REPORTE_DROPI!B:B, 0)
),
""
)
</f>
        <v/>
      </c>
      <c r="L938" s="118" t="str">
        <f>IF(
  O938&lt;&gt;"DEVOLUCION",
  "",
  IF(
    T938="",
    "",
    SUMIF(DEVOLUCION!F:F, T938, DEVOLUCION!D:D)
  )
)
</f>
        <v/>
      </c>
      <c r="M938" s="118"/>
      <c r="N938" s="130" t="s">
        <v>5608</v>
      </c>
      <c r="O938" s="118" t="str">
        <f t="array" ref="O938">IFERROR(
VLOOKUP(
TRIM(CLEAN(
INDEX(REPORTE_DROPI!K:K,
MATCH(T938, REPORTE_DROPI!B:B, 0)
))),
{
TRIM(CLEAN(MAPA_ESTADOS!A:A)) ,
MAPA_ESTADOS!B:B
},
2,
FALSE
),
"REVISAR"
)
</f>
        <v>REVISAR</v>
      </c>
      <c r="P938" s="118"/>
      <c r="Q938" s="122">
        <f t="shared" si="2"/>
        <v>0</v>
      </c>
      <c r="R938" s="118"/>
      <c r="S938" s="118"/>
      <c r="T938" s="118" t="str">
        <f t="array" ref="T938">IFERROR(
INDEX(REPORTE_DROPI!B:B,
MATCH(
CLEAN(TRIM(C938)),
CLEAN(TRIM(REPORTE_DROPI!E:E)),
0
)
),
""
)
</f>
        <v/>
      </c>
      <c r="U938" s="118">
        <v>6.453597470764E12</v>
      </c>
      <c r="V938" s="78"/>
      <c r="W938" s="78"/>
      <c r="X938" s="78"/>
      <c r="Y938" s="78"/>
      <c r="Z938" s="78"/>
    </row>
    <row r="939" ht="22.5" customHeight="1">
      <c r="A939" s="118">
        <v>938.0</v>
      </c>
      <c r="B939" s="119">
        <v>46050.0</v>
      </c>
      <c r="C939" s="126" t="s">
        <v>5609</v>
      </c>
      <c r="D939" s="118" t="str">
        <f>IFERROR(__xludf.DUMMYFUNCTION("IFERROR(
  INDEX(
    FILTER(
      'NOMBRE DE PRODUCTOS'!B:B,
      REGEXMATCH(
        UPPER(
          INDEX(
            REPORTE_DROPI!AC:AC,
            MATCH(T939, REPORTE_DROPI!B:B, 0)
          )
        ),
        UPPER('NOMBRE DE PRODUCTOS'!A:A)"&amp;"
      )
    ),
    1
  ),
  ""REVISAR""
)
"),"REVISAR")</f>
        <v>REVISAR</v>
      </c>
      <c r="E939" s="120" t="str">
        <f t="array" ref="E939">IF(
UPPER(TRIM(CLEAN($O939)))="ENTREGADO",
IFERROR(
INDEX(REPORTE_DROPI!Y:Y,
MATCH($T939, REPORTE_DROPI!B:B, 0)
),
""
),
""
)
</f>
        <v/>
      </c>
      <c r="F939" s="121">
        <v>1.0</v>
      </c>
      <c r="G939" s="122" t="str">
        <f t="array" ref="G939">IF(
UPPER(TRIM(CLEAN($O939)))="ENTREGADO",
IFERROR(
INDEX(REPORTE_DROPI!R:R,
MATCH($T939, REPORTE_DROPI!B:B, 0)
),
""
),
""
)
</f>
        <v/>
      </c>
      <c r="H939" s="118"/>
      <c r="I939" s="118" t="s">
        <v>3740</v>
      </c>
      <c r="J939" s="121" t="str">
        <f t="array" ref="J939">IF(
UPPER(TRIM(CLEAN($O939)))="ENTREGADO",
IFERROR(
INDEX(REPORTE_DROPI!T:T,
MATCH($T939, REPORTE_DROPI!B:B, 0)
),
""
),
""
)
</f>
        <v/>
      </c>
      <c r="K939" s="118" t="str">
        <f t="array" ref="K939">IFERROR(
INDEX(REPORTE_DROPI!S:S,
MATCH($T939, REPORTE_DROPI!B:B, 0)
),
""
)
</f>
        <v/>
      </c>
      <c r="L939" s="118" t="str">
        <f>IF(
  O939&lt;&gt;"DEVOLUCION",
  "",
  IF(
    T939="",
    "",
    SUMIF(DEVOLUCION!F:F, T939, DEVOLUCION!D:D)
  )
)
</f>
        <v/>
      </c>
      <c r="M939" s="118"/>
      <c r="N939" s="130" t="s">
        <v>5610</v>
      </c>
      <c r="O939" s="118" t="str">
        <f t="array" ref="O939">IFERROR(
VLOOKUP(
TRIM(CLEAN(
INDEX(REPORTE_DROPI!K:K,
MATCH(T939, REPORTE_DROPI!B:B, 0)
))),
{
TRIM(CLEAN(MAPA_ESTADOS!A:A)) ,
MAPA_ESTADOS!B:B
},
2,
FALSE
),
"REVISAR"
)
</f>
        <v>REVISAR</v>
      </c>
      <c r="P939" s="118"/>
      <c r="Q939" s="122">
        <f t="shared" si="2"/>
        <v>0</v>
      </c>
      <c r="R939" s="118"/>
      <c r="S939" s="118"/>
      <c r="T939" s="118" t="str">
        <f t="array" ref="T939">IFERROR(
INDEX(REPORTE_DROPI!B:B,
MATCH(
CLEAN(TRIM(C939)),
CLEAN(TRIM(REPORTE_DROPI!E:E)),
0
)
),
""
)
</f>
        <v/>
      </c>
      <c r="U939" s="118">
        <v>6.453651669036E12</v>
      </c>
      <c r="V939" s="78"/>
      <c r="W939" s="78"/>
      <c r="X939" s="78"/>
      <c r="Y939" s="78"/>
      <c r="Z939" s="78"/>
    </row>
    <row r="940" ht="22.5" customHeight="1">
      <c r="A940" s="118">
        <v>939.0</v>
      </c>
      <c r="B940" s="119">
        <v>46050.0</v>
      </c>
      <c r="C940" s="126" t="s">
        <v>5611</v>
      </c>
      <c r="D940" s="118" t="str">
        <f>IFERROR(__xludf.DUMMYFUNCTION("IFERROR(
  INDEX(
    FILTER(
      'NOMBRE DE PRODUCTOS'!B:B,
      REGEXMATCH(
        UPPER(
          INDEX(
            REPORTE_DROPI!AC:AC,
            MATCH(T940, REPORTE_DROPI!B:B, 0)
          )
        ),
        UPPER('NOMBRE DE PRODUCTOS'!A:A)"&amp;"
      )
    ),
    1
  ),
  ""REVISAR""
)
"),"REVISAR")</f>
        <v>REVISAR</v>
      </c>
      <c r="E940" s="120" t="str">
        <f t="array" ref="E940">IF(
UPPER(TRIM(CLEAN($O940)))="ENTREGADO",
IFERROR(
INDEX(REPORTE_DROPI!Y:Y,
MATCH($T940, REPORTE_DROPI!B:B, 0)
),
""
),
""
)
</f>
        <v/>
      </c>
      <c r="F940" s="121">
        <v>1.0</v>
      </c>
      <c r="G940" s="122" t="str">
        <f t="array" ref="G940">IF(
UPPER(TRIM(CLEAN($O940)))="ENTREGADO",
IFERROR(
INDEX(REPORTE_DROPI!R:R,
MATCH($T940, REPORTE_DROPI!B:B, 0)
),
""
),
""
)
</f>
        <v/>
      </c>
      <c r="H940" s="118"/>
      <c r="I940" s="118" t="s">
        <v>3742</v>
      </c>
      <c r="J940" s="121" t="str">
        <f t="array" ref="J940">IF(
UPPER(TRIM(CLEAN($O940)))="ENTREGADO",
IFERROR(
INDEX(REPORTE_DROPI!T:T,
MATCH($T940, REPORTE_DROPI!B:B, 0)
),
""
),
""
)
</f>
        <v/>
      </c>
      <c r="K940" s="118" t="str">
        <f t="array" ref="K940">IFERROR(
INDEX(REPORTE_DROPI!S:S,
MATCH($T940, REPORTE_DROPI!B:B, 0)
),
""
)
</f>
        <v/>
      </c>
      <c r="L940" s="118" t="str">
        <f>IF(
  O940&lt;&gt;"DEVOLUCION",
  "",
  IF(
    T940="",
    "",
    SUMIF(DEVOLUCION!F:F, T940, DEVOLUCION!D:D)
  )
)
</f>
        <v/>
      </c>
      <c r="M940" s="118"/>
      <c r="N940" s="130" t="s">
        <v>5612</v>
      </c>
      <c r="O940" s="118" t="str">
        <f t="array" ref="O940">IFERROR(
VLOOKUP(
TRIM(CLEAN(
INDEX(REPORTE_DROPI!K:K,
MATCH(T940, REPORTE_DROPI!B:B, 0)
))),
{
TRIM(CLEAN(MAPA_ESTADOS!A:A)) ,
MAPA_ESTADOS!B:B
},
2,
FALSE
),
"REVISAR"
)
</f>
        <v>REVISAR</v>
      </c>
      <c r="P940" s="118"/>
      <c r="Q940" s="122">
        <f t="shared" si="2"/>
        <v>0</v>
      </c>
      <c r="R940" s="118"/>
      <c r="S940" s="118"/>
      <c r="T940" s="118" t="str">
        <f t="array" ref="T940">IFERROR(
INDEX(REPORTE_DROPI!B:B,
MATCH(
CLEAN(TRIM(C940)),
CLEAN(TRIM(REPORTE_DROPI!E:E)),
0
)
),
""
)
</f>
        <v/>
      </c>
      <c r="U940" s="118">
        <v>6.453755871276E12</v>
      </c>
      <c r="V940" s="78"/>
      <c r="W940" s="78"/>
      <c r="X940" s="78"/>
      <c r="Y940" s="78"/>
      <c r="Z940" s="78"/>
    </row>
    <row r="941" ht="22.5" customHeight="1">
      <c r="A941" s="118">
        <v>940.0</v>
      </c>
      <c r="B941" s="119">
        <v>46050.0</v>
      </c>
      <c r="C941" s="118" t="s">
        <v>5613</v>
      </c>
      <c r="D941" s="118" t="str">
        <f>IFERROR(__xludf.DUMMYFUNCTION("IFERROR(
  INDEX(
    FILTER(
      'NOMBRE DE PRODUCTOS'!B:B,
      REGEXMATCH(
        UPPER(
          INDEX(
            REPORTE_DROPI!AC:AC,
            MATCH(T941, REPORTE_DROPI!B:B, 0)
          )
        ),
        UPPER('NOMBRE DE PRODUCTOS'!A:A)"&amp;"
      )
    ),
    1
  ),
  ""REVISAR""
)
"),"FilmPro®")</f>
        <v>FilmPro®</v>
      </c>
      <c r="E941" s="120">
        <f t="array" ref="E941">IF(
UPPER(TRIM(CLEAN($O941)))="ENTREGADO",
IFERROR(
INDEX(REPORTE_DROPI!Y:Y,
MATCH($T941, REPORTE_DROPI!B:B, 0)
),
""
),
""
)
</f>
        <v>2.35</v>
      </c>
      <c r="F941" s="121">
        <v>1.0</v>
      </c>
      <c r="G941" s="122">
        <f t="array" ref="G941">IF(
UPPER(TRIM(CLEAN($O941)))="ENTREGADO",
IFERROR(
INDEX(REPORTE_DROPI!R:R,
MATCH($T941, REPORTE_DROPI!B:B, 0)
),
""
),
""
)
</f>
        <v>20</v>
      </c>
      <c r="H941" s="118"/>
      <c r="I941" s="118" t="s">
        <v>3740</v>
      </c>
      <c r="J941" s="121">
        <f t="array" ref="J941">IF(
UPPER(TRIM(CLEAN($O941)))="ENTREGADO",
IFERROR(
INDEX(REPORTE_DROPI!T:T,
MATCH($T941, REPORTE_DROPI!B:B, 0)
),
""
),
""
)
</f>
        <v>5.76</v>
      </c>
      <c r="K941" s="118">
        <f t="array" ref="K941">IFERROR(
INDEX(REPORTE_DROPI!S:S,
MATCH($T941, REPORTE_DROPI!B:B, 0)
),
""
)
</f>
        <v>11.89</v>
      </c>
      <c r="L941" s="118" t="str">
        <f>IF(
  O941&lt;&gt;"DEVOLUCION",
  "",
  IF(
    T941="",
    "",
    SUMIF(DEVOLUCION!F:F, T941, DEVOLUCION!D:D)
  )
)
</f>
        <v/>
      </c>
      <c r="M941" s="118" t="s">
        <v>3870</v>
      </c>
      <c r="N941" s="130" t="s">
        <v>5614</v>
      </c>
      <c r="O941" s="118" t="str">
        <f t="array" ref="O941">IFERROR(
VLOOKUP(
TRIM(CLEAN(
INDEX(REPORTE_DROPI!K:K,
MATCH(T941, REPORTE_DROPI!B:B, 0)
))),
{
TRIM(CLEAN(MAPA_ESTADOS!A:A)) ,
MAPA_ESTADOS!B:B
},
2,
FALSE
),
"REVISAR"
)
</f>
        <v>ENTREGADO</v>
      </c>
      <c r="P941" s="118" t="s">
        <v>3655</v>
      </c>
      <c r="Q941" s="122">
        <f t="shared" si="2"/>
        <v>0</v>
      </c>
      <c r="R941" s="118"/>
      <c r="S941" s="118"/>
      <c r="T941" s="118">
        <f t="array" ref="T941">IFERROR(
INDEX(REPORTE_DROPI!B:B,
MATCH(
CLEAN(TRIM(C941)),
CLEAN(TRIM(REPORTE_DROPI!E:E)),
0
)
),
""
)
</f>
        <v>4305797</v>
      </c>
      <c r="U941" s="118">
        <v>6.453782577196E12</v>
      </c>
      <c r="V941" s="78"/>
      <c r="W941" s="78"/>
      <c r="X941" s="78"/>
      <c r="Y941" s="78"/>
      <c r="Z941" s="78"/>
    </row>
    <row r="942" ht="22.5" customHeight="1">
      <c r="A942" s="118">
        <v>941.0</v>
      </c>
      <c r="B942" s="119">
        <v>46050.0</v>
      </c>
      <c r="C942" s="118" t="s">
        <v>5615</v>
      </c>
      <c r="D942" s="118" t="str">
        <f>IFERROR(__xludf.DUMMYFUNCTION("IFERROR(
  INDEX(
    FILTER(
      'NOMBRE DE PRODUCTOS'!B:B,
      REGEXMATCH(
        UPPER(
          INDEX(
            REPORTE_DROPI!AC:AC,
            MATCH(T942, REPORTE_DROPI!B:B, 0)
          )
        ),
        UPPER('NOMBRE DE PRODUCTOS'!A:A)"&amp;"
      )
    ),
    1
  ),
  ""REVISAR""
)
"),"FilmPro®")</f>
        <v>FilmPro®</v>
      </c>
      <c r="E942" s="120">
        <f t="array" ref="E942">IF(
UPPER(TRIM(CLEAN($O942)))="ENTREGADO",
IFERROR(
INDEX(REPORTE_DROPI!Y:Y,
MATCH($T942, REPORTE_DROPI!B:B, 0)
),
""
),
""
)
</f>
        <v>2.35</v>
      </c>
      <c r="F942" s="121">
        <v>1.0</v>
      </c>
      <c r="G942" s="122">
        <f t="array" ref="G942">IF(
UPPER(TRIM(CLEAN($O942)))="ENTREGADO",
IFERROR(
INDEX(REPORTE_DROPI!R:R,
MATCH($T942, REPORTE_DROPI!B:B, 0)
),
""
),
""
)
</f>
        <v>20</v>
      </c>
      <c r="H942" s="118"/>
      <c r="I942" s="118" t="s">
        <v>3798</v>
      </c>
      <c r="J942" s="121">
        <f t="array" ref="J942">IF(
UPPER(TRIM(CLEAN($O942)))="ENTREGADO",
IFERROR(
INDEX(REPORTE_DROPI!T:T,
MATCH($T942, REPORTE_DROPI!B:B, 0)
),
""
),
""
)
</f>
        <v>5.76</v>
      </c>
      <c r="K942" s="118">
        <f t="array" ref="K942">IFERROR(
INDEX(REPORTE_DROPI!S:S,
MATCH($T942, REPORTE_DROPI!B:B, 0)
),
""
)
</f>
        <v>11.89</v>
      </c>
      <c r="L942" s="118" t="str">
        <f>IF(
  O942&lt;&gt;"DEVOLUCION",
  "",
  IF(
    T942="",
    "",
    SUMIF(DEVOLUCION!F:F, T942, DEVOLUCION!D:D)
  )
)
</f>
        <v/>
      </c>
      <c r="M942" s="118" t="s">
        <v>3870</v>
      </c>
      <c r="N942" s="130" t="s">
        <v>5616</v>
      </c>
      <c r="O942" s="118" t="str">
        <f t="array" ref="O942">IFERROR(
VLOOKUP(
TRIM(CLEAN(
INDEX(REPORTE_DROPI!K:K,
MATCH(T942, REPORTE_DROPI!B:B, 0)
))),
{
TRIM(CLEAN(MAPA_ESTADOS!A:A)) ,
MAPA_ESTADOS!B:B
},
2,
FALSE
),
"REVISAR"
)
</f>
        <v>ENTREGADO</v>
      </c>
      <c r="P942" s="118" t="s">
        <v>3655</v>
      </c>
      <c r="Q942" s="122">
        <f t="shared" si="2"/>
        <v>0</v>
      </c>
      <c r="R942" s="118"/>
      <c r="S942" s="118"/>
      <c r="T942" s="118">
        <f t="array" ref="T942">IFERROR(
INDEX(REPORTE_DROPI!B:B,
MATCH(
CLEAN(TRIM(C942)),
CLEAN(TRIM(REPORTE_DROPI!E:E)),
0
)
),
""
)
</f>
        <v>4307059</v>
      </c>
      <c r="U942" s="118">
        <v>6.453933637676E12</v>
      </c>
      <c r="V942" s="78"/>
      <c r="W942" s="78"/>
      <c r="X942" s="78"/>
      <c r="Y942" s="78"/>
      <c r="Z942" s="78"/>
    </row>
    <row r="943" ht="22.5" customHeight="1">
      <c r="A943" s="118">
        <v>942.0</v>
      </c>
      <c r="B943" s="119">
        <v>46050.0</v>
      </c>
      <c r="C943" s="126" t="s">
        <v>5617</v>
      </c>
      <c r="D943" s="118" t="str">
        <f>IFERROR(__xludf.DUMMYFUNCTION("IFERROR(
  INDEX(
    FILTER(
      'NOMBRE DE PRODUCTOS'!B:B,
      REGEXMATCH(
        UPPER(
          INDEX(
            REPORTE_DROPI!AC:AC,
            MATCH(T943, REPORTE_DROPI!B:B, 0)
          )
        ),
        UPPER('NOMBRE DE PRODUCTOS'!A:A)"&amp;"
      )
    ),
    1
  ),
  ""REVISAR""
)
"),"REVISAR")</f>
        <v>REVISAR</v>
      </c>
      <c r="E943" s="120" t="str">
        <f t="array" ref="E943">IF(
UPPER(TRIM(CLEAN($O943)))="ENTREGADO",
IFERROR(
INDEX(REPORTE_DROPI!Y:Y,
MATCH($T943, REPORTE_DROPI!B:B, 0)
),
""
),
""
)
</f>
        <v/>
      </c>
      <c r="F943" s="121">
        <v>2.0</v>
      </c>
      <c r="G943" s="122" t="str">
        <f t="array" ref="G943">IF(
UPPER(TRIM(CLEAN($O943)))="ENTREGADO",
IFERROR(
INDEX(REPORTE_DROPI!R:R,
MATCH($T943, REPORTE_DROPI!B:B, 0)
),
""
),
""
)
</f>
        <v/>
      </c>
      <c r="H943" s="118"/>
      <c r="I943" s="118" t="s">
        <v>3759</v>
      </c>
      <c r="J943" s="121" t="str">
        <f t="array" ref="J943">IF(
UPPER(TRIM(CLEAN($O943)))="ENTREGADO",
IFERROR(
INDEX(REPORTE_DROPI!T:T,
MATCH($T943, REPORTE_DROPI!B:B, 0)
),
""
),
""
)
</f>
        <v/>
      </c>
      <c r="K943" s="118" t="str">
        <f t="array" ref="K943">IFERROR(
INDEX(REPORTE_DROPI!S:S,
MATCH($T943, REPORTE_DROPI!B:B, 0)
),
""
)
</f>
        <v/>
      </c>
      <c r="L943" s="118" t="str">
        <f>IF(
  O943&lt;&gt;"DEVOLUCION",
  "",
  IF(
    T943="",
    "",
    SUMIF(DEVOLUCION!F:F, T943, DEVOLUCION!D:D)
  )
)
</f>
        <v/>
      </c>
      <c r="M943" s="118"/>
      <c r="N943" s="130" t="s">
        <v>5618</v>
      </c>
      <c r="O943" s="118" t="str">
        <f t="array" ref="O943">IFERROR(
VLOOKUP(
TRIM(CLEAN(
INDEX(REPORTE_DROPI!K:K,
MATCH(T943, REPORTE_DROPI!B:B, 0)
))),
{
TRIM(CLEAN(MAPA_ESTADOS!A:A)) ,
MAPA_ESTADOS!B:B
},
2,
FALSE
),
"REVISAR"
)
</f>
        <v>REVISAR</v>
      </c>
      <c r="P943" s="118"/>
      <c r="Q943" s="122">
        <f t="shared" si="2"/>
        <v>0</v>
      </c>
      <c r="R943" s="118"/>
      <c r="S943" s="118"/>
      <c r="T943" s="118" t="str">
        <f t="array" ref="T943">IFERROR(
INDEX(REPORTE_DROPI!B:B,
MATCH(
CLEAN(TRIM(C943)),
CLEAN(TRIM(REPORTE_DROPI!E:E)),
0
)
),
""
)
</f>
        <v/>
      </c>
      <c r="U943" s="118">
        <v>6.454116220972E12</v>
      </c>
      <c r="V943" s="78"/>
      <c r="W943" s="78"/>
      <c r="X943" s="78"/>
      <c r="Y943" s="78"/>
      <c r="Z943" s="78"/>
    </row>
    <row r="944" ht="22.5" customHeight="1">
      <c r="A944" s="118">
        <v>943.0</v>
      </c>
      <c r="B944" s="119">
        <v>46050.0</v>
      </c>
      <c r="C944" s="118" t="s">
        <v>5619</v>
      </c>
      <c r="D944" s="118" t="str">
        <f>IFERROR(__xludf.DUMMYFUNCTION("IFERROR(
  INDEX(
    FILTER(
      'NOMBRE DE PRODUCTOS'!B:B,
      REGEXMATCH(
        UPPER(
          INDEX(
            REPORTE_DROPI!AC:AC,
            MATCH(T944, REPORTE_DROPI!B:B, 0)
          )
        ),
        UPPER('NOMBRE DE PRODUCTOS'!A:A)"&amp;"
      )
    ),
    1
  ),
  ""REVISAR""
)
"),"FilmPro®")</f>
        <v>FilmPro®</v>
      </c>
      <c r="E944" s="120">
        <f t="array" ref="E944">IF(
UPPER(TRIM(CLEAN($O944)))="ENTREGADO",
IFERROR(
INDEX(REPORTE_DROPI!Y:Y,
MATCH($T944, REPORTE_DROPI!B:B, 0)
),
""
),
""
)
</f>
        <v>4.7</v>
      </c>
      <c r="F944" s="121">
        <v>2.0</v>
      </c>
      <c r="G944" s="122">
        <f t="array" ref="G944">IF(
UPPER(TRIM(CLEAN($O944)))="ENTREGADO",
IFERROR(
INDEX(REPORTE_DROPI!R:R,
MATCH($T944, REPORTE_DROPI!B:B, 0)
),
""
),
""
)
</f>
        <v>25</v>
      </c>
      <c r="H944" s="118"/>
      <c r="I944" s="118" t="s">
        <v>3740</v>
      </c>
      <c r="J944" s="121">
        <f t="array" ref="J944">IF(
UPPER(TRIM(CLEAN($O944)))="ENTREGADO",
IFERROR(
INDEX(REPORTE_DROPI!T:T,
MATCH($T944, REPORTE_DROPI!B:B, 0)
),
""
),
""
)
</f>
        <v>5.96</v>
      </c>
      <c r="K944" s="118">
        <f t="array" ref="K944">IFERROR(
INDEX(REPORTE_DROPI!S:S,
MATCH($T944, REPORTE_DROPI!B:B, 0)
),
""
)
</f>
        <v>14.34</v>
      </c>
      <c r="L944" s="118" t="str">
        <f>IF(
  O944&lt;&gt;"DEVOLUCION",
  "",
  IF(
    T944="",
    "",
    SUMIF(DEVOLUCION!F:F, T944, DEVOLUCION!D:D)
  )
)
</f>
        <v/>
      </c>
      <c r="M944" s="118" t="s">
        <v>3870</v>
      </c>
      <c r="N944" s="130" t="s">
        <v>5620</v>
      </c>
      <c r="O944" s="118" t="str">
        <f t="array" ref="O944">IFERROR(
VLOOKUP(
TRIM(CLEAN(
INDEX(REPORTE_DROPI!K:K,
MATCH(T944, REPORTE_DROPI!B:B, 0)
))),
{
TRIM(CLEAN(MAPA_ESTADOS!A:A)) ,
MAPA_ESTADOS!B:B
},
2,
FALSE
),
"REVISAR"
)
</f>
        <v>ENTREGADO</v>
      </c>
      <c r="P944" s="118" t="s">
        <v>3655</v>
      </c>
      <c r="Q944" s="122">
        <f t="shared" si="2"/>
        <v>0</v>
      </c>
      <c r="R944" s="118"/>
      <c r="S944" s="118"/>
      <c r="T944" s="118">
        <f t="array" ref="T944">IFERROR(
INDEX(REPORTE_DROPI!B:B,
MATCH(
CLEAN(TRIM(C944)),
CLEAN(TRIM(REPORTE_DROPI!E:E)),
0
)
),
""
)
</f>
        <v>4318932</v>
      </c>
      <c r="U944" s="118">
        <v>6.454223274028E12</v>
      </c>
      <c r="V944" s="78"/>
      <c r="W944" s="78"/>
      <c r="X944" s="78"/>
      <c r="Y944" s="78"/>
      <c r="Z944" s="78"/>
    </row>
    <row r="945" ht="22.5" customHeight="1">
      <c r="A945" s="118">
        <v>944.0</v>
      </c>
      <c r="B945" s="119">
        <v>46050.0</v>
      </c>
      <c r="C945" s="126" t="s">
        <v>5621</v>
      </c>
      <c r="D945" s="118" t="str">
        <f>IFERROR(__xludf.DUMMYFUNCTION("IFERROR(
  INDEX(
    FILTER(
      'NOMBRE DE PRODUCTOS'!B:B,
      REGEXMATCH(
        UPPER(
          INDEX(
            REPORTE_DROPI!AC:AC,
            MATCH(T945, REPORTE_DROPI!B:B, 0)
          )
        ),
        UPPER('NOMBRE DE PRODUCTOS'!A:A)"&amp;"
      )
    ),
    1
  ),
  ""REVISAR""
)
"),"REVISAR")</f>
        <v>REVISAR</v>
      </c>
      <c r="E945" s="120" t="str">
        <f t="array" ref="E945">IF(
UPPER(TRIM(CLEAN($O945)))="ENTREGADO",
IFERROR(
INDEX(REPORTE_DROPI!Y:Y,
MATCH($T945, REPORTE_DROPI!B:B, 0)
),
""
),
""
)
</f>
        <v/>
      </c>
      <c r="F945" s="121">
        <v>1.0</v>
      </c>
      <c r="G945" s="122" t="str">
        <f t="array" ref="G945">IF(
UPPER(TRIM(CLEAN($O945)))="ENTREGADO",
IFERROR(
INDEX(REPORTE_DROPI!R:R,
MATCH($T945, REPORTE_DROPI!B:B, 0)
),
""
),
""
)
</f>
        <v/>
      </c>
      <c r="H945" s="118"/>
      <c r="I945" s="118" t="s">
        <v>3772</v>
      </c>
      <c r="J945" s="121" t="str">
        <f t="array" ref="J945">IF(
UPPER(TRIM(CLEAN($O945)))="ENTREGADO",
IFERROR(
INDEX(REPORTE_DROPI!T:T,
MATCH($T945, REPORTE_DROPI!B:B, 0)
),
""
),
""
)
</f>
        <v/>
      </c>
      <c r="K945" s="118" t="str">
        <f t="array" ref="K945">IFERROR(
INDEX(REPORTE_DROPI!S:S,
MATCH($T945, REPORTE_DROPI!B:B, 0)
),
""
)
</f>
        <v/>
      </c>
      <c r="L945" s="118" t="str">
        <f>IF(
  O945&lt;&gt;"DEVOLUCION",
  "",
  IF(
    T945="",
    "",
    SUMIF(DEVOLUCION!F:F, T945, DEVOLUCION!D:D)
  )
)
</f>
        <v/>
      </c>
      <c r="M945" s="118"/>
      <c r="N945" s="130" t="s">
        <v>5622</v>
      </c>
      <c r="O945" s="118" t="str">
        <f t="array" ref="O945">IFERROR(
VLOOKUP(
TRIM(CLEAN(
INDEX(REPORTE_DROPI!K:K,
MATCH(T945, REPORTE_DROPI!B:B, 0)
))),
{
TRIM(CLEAN(MAPA_ESTADOS!A:A)) ,
MAPA_ESTADOS!B:B
},
2,
FALSE
),
"REVISAR"
)
</f>
        <v>REVISAR</v>
      </c>
      <c r="P945" s="118"/>
      <c r="Q945" s="122">
        <f t="shared" si="2"/>
        <v>0</v>
      </c>
      <c r="R945" s="118"/>
      <c r="S945" s="118"/>
      <c r="T945" s="118" t="str">
        <f t="array" ref="T945">IFERROR(
INDEX(REPORTE_DROPI!B:B,
MATCH(
CLEAN(TRIM(C945)),
CLEAN(TRIM(REPORTE_DROPI!E:E)),
0
)
),
""
)
</f>
        <v/>
      </c>
      <c r="U945" s="118">
        <v>6.454379905068E12</v>
      </c>
      <c r="V945" s="78"/>
      <c r="W945" s="78"/>
      <c r="X945" s="78"/>
      <c r="Y945" s="78"/>
      <c r="Z945" s="78"/>
    </row>
    <row r="946" ht="22.5" customHeight="1">
      <c r="A946" s="118">
        <v>945.0</v>
      </c>
      <c r="B946" s="119">
        <v>46050.0</v>
      </c>
      <c r="C946" s="118" t="s">
        <v>5623</v>
      </c>
      <c r="D946" s="118" t="str">
        <f>IFERROR(__xludf.DUMMYFUNCTION("IFERROR(
  INDEX(
    FILTER(
      'NOMBRE DE PRODUCTOS'!B:B,
      REGEXMATCH(
        UPPER(
          INDEX(
            REPORTE_DROPI!AC:AC,
            MATCH(T946, REPORTE_DROPI!B:B, 0)
          )
        ),
        UPPER('NOMBRE DE PRODUCTOS'!A:A)"&amp;"
      )
    ),
    1
  ),
  ""REVISAR""
)
"),"FilmPro®")</f>
        <v>FilmPro®</v>
      </c>
      <c r="E946" s="120">
        <f t="array" ref="E946">IF(
UPPER(TRIM(CLEAN($O946)))="ENTREGADO",
IFERROR(
INDEX(REPORTE_DROPI!Y:Y,
MATCH($T946, REPORTE_DROPI!B:B, 0)
),
""
),
""
)
</f>
        <v>4.7</v>
      </c>
      <c r="F946" s="121">
        <v>2.0</v>
      </c>
      <c r="G946" s="122">
        <f t="array" ref="G946">IF(
UPPER(TRIM(CLEAN($O946)))="ENTREGADO",
IFERROR(
INDEX(REPORTE_DROPI!R:R,
MATCH($T946, REPORTE_DROPI!B:B, 0)
),
""
),
""
)
</f>
        <v>25</v>
      </c>
      <c r="H946" s="118"/>
      <c r="I946" s="118" t="s">
        <v>3912</v>
      </c>
      <c r="J946" s="121">
        <f t="array" ref="J946">IF(
UPPER(TRIM(CLEAN($O946)))="ENTREGADO",
IFERROR(
INDEX(REPORTE_DROPI!T:T,
MATCH($T946, REPORTE_DROPI!B:B, 0)
),
""
),
""
)
</f>
        <v>5.96</v>
      </c>
      <c r="K946" s="118">
        <f t="array" ref="K946">IFERROR(
INDEX(REPORTE_DROPI!S:S,
MATCH($T946, REPORTE_DROPI!B:B, 0)
),
""
)
</f>
        <v>14.34</v>
      </c>
      <c r="L946" s="118" t="str">
        <f>IF(
  O946&lt;&gt;"DEVOLUCION",
  "",
  IF(
    T946="",
    "",
    SUMIF(DEVOLUCION!F:F, T946, DEVOLUCION!D:D)
  )
)
</f>
        <v/>
      </c>
      <c r="M946" s="118" t="s">
        <v>3870</v>
      </c>
      <c r="N946" s="130" t="s">
        <v>5624</v>
      </c>
      <c r="O946" s="118" t="str">
        <f t="array" ref="O946">IFERROR(
VLOOKUP(
TRIM(CLEAN(
INDEX(REPORTE_DROPI!K:K,
MATCH(T946, REPORTE_DROPI!B:B, 0)
))),
{
TRIM(CLEAN(MAPA_ESTADOS!A:A)) ,
MAPA_ESTADOS!B:B
},
2,
FALSE
),
"REVISAR"
)
</f>
        <v>ENTREGADO</v>
      </c>
      <c r="P946" s="118" t="s">
        <v>3655</v>
      </c>
      <c r="Q946" s="122">
        <f t="shared" si="2"/>
        <v>0</v>
      </c>
      <c r="R946" s="118"/>
      <c r="S946" s="118"/>
      <c r="T946" s="118">
        <f t="array" ref="T946">IFERROR(
INDEX(REPORTE_DROPI!B:B,
MATCH(
CLEAN(TRIM(C946)),
CLEAN(TRIM(REPORTE_DROPI!E:E)),
0
)
),
""
)
</f>
        <v>4318906</v>
      </c>
      <c r="U946" s="118">
        <v>6.454574645292E12</v>
      </c>
      <c r="V946" s="78"/>
      <c r="W946" s="78"/>
      <c r="X946" s="78"/>
      <c r="Y946" s="78"/>
      <c r="Z946" s="78"/>
    </row>
    <row r="947" ht="22.5" customHeight="1">
      <c r="A947" s="118">
        <v>946.0</v>
      </c>
      <c r="B947" s="119">
        <v>46050.0</v>
      </c>
      <c r="C947" s="126" t="s">
        <v>5625</v>
      </c>
      <c r="D947" s="118" t="str">
        <f>IFERROR(__xludf.DUMMYFUNCTION("IFERROR(
  INDEX(
    FILTER(
      'NOMBRE DE PRODUCTOS'!B:B,
      REGEXMATCH(
        UPPER(
          INDEX(
            REPORTE_DROPI!AC:AC,
            MATCH(T947, REPORTE_DROPI!B:B, 0)
          )
        ),
        UPPER('NOMBRE DE PRODUCTOS'!A:A)"&amp;"
      )
    ),
    1
  ),
  ""REVISAR""
)
"),"REVISAR")</f>
        <v>REVISAR</v>
      </c>
      <c r="E947" s="120" t="str">
        <f t="array" ref="E947">IF(
UPPER(TRIM(CLEAN($O947)))="ENTREGADO",
IFERROR(
INDEX(REPORTE_DROPI!Y:Y,
MATCH($T947, REPORTE_DROPI!B:B, 0)
),
""
),
""
)
</f>
        <v/>
      </c>
      <c r="F947" s="121">
        <v>1.0</v>
      </c>
      <c r="G947" s="122" t="str">
        <f t="array" ref="G947">IF(
UPPER(TRIM(CLEAN($O947)))="ENTREGADO",
IFERROR(
INDEX(REPORTE_DROPI!R:R,
MATCH($T947, REPORTE_DROPI!B:B, 0)
),
""
),
""
)
</f>
        <v/>
      </c>
      <c r="H947" s="118"/>
      <c r="I947" s="118" t="s">
        <v>3801</v>
      </c>
      <c r="J947" s="121" t="str">
        <f t="array" ref="J947">IF(
UPPER(TRIM(CLEAN($O947)))="ENTREGADO",
IFERROR(
INDEX(REPORTE_DROPI!T:T,
MATCH($T947, REPORTE_DROPI!B:B, 0)
),
""
),
""
)
</f>
        <v/>
      </c>
      <c r="K947" s="118" t="str">
        <f t="array" ref="K947">IFERROR(
INDEX(REPORTE_DROPI!S:S,
MATCH($T947, REPORTE_DROPI!B:B, 0)
),
""
)
</f>
        <v/>
      </c>
      <c r="L947" s="118" t="str">
        <f>IF(
  O947&lt;&gt;"DEVOLUCION",
  "",
  IF(
    T947="",
    "",
    SUMIF(DEVOLUCION!F:F, T947, DEVOLUCION!D:D)
  )
)
</f>
        <v/>
      </c>
      <c r="M947" s="118"/>
      <c r="N947" s="130" t="s">
        <v>5626</v>
      </c>
      <c r="O947" s="118" t="str">
        <f t="array" ref="O947">IFERROR(
VLOOKUP(
TRIM(CLEAN(
INDEX(REPORTE_DROPI!K:K,
MATCH(T947, REPORTE_DROPI!B:B, 0)
))),
{
TRIM(CLEAN(MAPA_ESTADOS!A:A)) ,
MAPA_ESTADOS!B:B
},
2,
FALSE
),
"REVISAR"
)
</f>
        <v>REVISAR</v>
      </c>
      <c r="P947" s="118"/>
      <c r="Q947" s="122">
        <f t="shared" si="2"/>
        <v>0</v>
      </c>
      <c r="R947" s="118"/>
      <c r="S947" s="118"/>
      <c r="T947" s="118" t="str">
        <f t="array" ref="T947">IFERROR(
INDEX(REPORTE_DROPI!B:B,
MATCH(
CLEAN(TRIM(C947)),
CLEAN(TRIM(REPORTE_DROPI!E:E)),
0
)
),
""
)
</f>
        <v/>
      </c>
      <c r="U947" s="118">
        <v>6.45492906398E12</v>
      </c>
      <c r="V947" s="78"/>
      <c r="W947" s="78"/>
      <c r="X947" s="78"/>
      <c r="Y947" s="78"/>
      <c r="Z947" s="78"/>
    </row>
    <row r="948" ht="22.5" customHeight="1">
      <c r="A948" s="118">
        <v>947.0</v>
      </c>
      <c r="B948" s="119">
        <v>46050.0</v>
      </c>
      <c r="C948" s="118" t="s">
        <v>5627</v>
      </c>
      <c r="D948" s="118" t="str">
        <f>IFERROR(__xludf.DUMMYFUNCTION("IFERROR(
  INDEX(
    FILTER(
      'NOMBRE DE PRODUCTOS'!B:B,
      REGEXMATCH(
        UPPER(
          INDEX(
            REPORTE_DROPI!AC:AC,
            MATCH(T948, REPORTE_DROPI!B:B, 0)
          )
        ),
        UPPER('NOMBRE DE PRODUCTOS'!A:A)"&amp;"
      )
    ),
    1
  ),
  ""REVISAR""
)
"),"FilmPro®")</f>
        <v>FilmPro®</v>
      </c>
      <c r="E948" s="120">
        <f t="array" ref="E948">IF(
UPPER(TRIM(CLEAN($O948)))="ENTREGADO",
IFERROR(
INDEX(REPORTE_DROPI!Y:Y,
MATCH($T948, REPORTE_DROPI!B:B, 0)
),
""
),
""
)
</f>
        <v>4.7</v>
      </c>
      <c r="F948" s="121">
        <v>2.0</v>
      </c>
      <c r="G948" s="122">
        <f t="array" ref="G948">IF(
UPPER(TRIM(CLEAN($O948)))="ENTREGADO",
IFERROR(
INDEX(REPORTE_DROPI!R:R,
MATCH($T948, REPORTE_DROPI!B:B, 0)
),
""
),
""
)
</f>
        <v>25</v>
      </c>
      <c r="H948" s="118"/>
      <c r="I948" s="118" t="s">
        <v>3728</v>
      </c>
      <c r="J948" s="121">
        <f t="array" ref="J948">IF(
UPPER(TRIM(CLEAN($O948)))="ENTREGADO",
IFERROR(
INDEX(REPORTE_DROPI!T:T,
MATCH($T948, REPORTE_DROPI!B:B, 0)
),
""
),
""
)
</f>
        <v>5.96</v>
      </c>
      <c r="K948" s="118">
        <f t="array" ref="K948">IFERROR(
INDEX(REPORTE_DROPI!S:S,
MATCH($T948, REPORTE_DROPI!B:B, 0)
),
""
)
</f>
        <v>14.34</v>
      </c>
      <c r="L948" s="118" t="str">
        <f>IF(
  O948&lt;&gt;"DEVOLUCION",
  "",
  IF(
    T948="",
    "",
    SUMIF(DEVOLUCION!F:F, T948, DEVOLUCION!D:D)
  )
)
</f>
        <v/>
      </c>
      <c r="M948" s="118" t="s">
        <v>3870</v>
      </c>
      <c r="N948" s="130" t="s">
        <v>5628</v>
      </c>
      <c r="O948" s="118" t="str">
        <f t="array" ref="O948">IFERROR(
VLOOKUP(
TRIM(CLEAN(
INDEX(REPORTE_DROPI!K:K,
MATCH(T948, REPORTE_DROPI!B:B, 0)
))),
{
TRIM(CLEAN(MAPA_ESTADOS!A:A)) ,
MAPA_ESTADOS!B:B
},
2,
FALSE
),
"REVISAR"
)
</f>
        <v>ENTREGADO</v>
      </c>
      <c r="P948" s="118" t="s">
        <v>3655</v>
      </c>
      <c r="Q948" s="122">
        <f t="shared" si="2"/>
        <v>0</v>
      </c>
      <c r="R948" s="118"/>
      <c r="S948" s="118"/>
      <c r="T948" s="118">
        <f t="array" ref="T948">IFERROR(
INDEX(REPORTE_DROPI!B:B,
MATCH(
CLEAN(TRIM(C948)),
CLEAN(TRIM(REPORTE_DROPI!E:E)),
0
)
),
""
)
</f>
        <v>4318900</v>
      </c>
      <c r="U948" s="118">
        <v>6.454936502316E12</v>
      </c>
      <c r="V948" s="78"/>
      <c r="W948" s="78"/>
      <c r="X948" s="78"/>
      <c r="Y948" s="78"/>
      <c r="Z948" s="78"/>
    </row>
    <row r="949" ht="22.5" customHeight="1">
      <c r="A949" s="118">
        <v>948.0</v>
      </c>
      <c r="B949" s="119">
        <v>46050.0</v>
      </c>
      <c r="C949" s="126" t="s">
        <v>5629</v>
      </c>
      <c r="D949" s="118" t="str">
        <f>IFERROR(__xludf.DUMMYFUNCTION("IFERROR(
  INDEX(
    FILTER(
      'NOMBRE DE PRODUCTOS'!B:B,
      REGEXMATCH(
        UPPER(
          INDEX(
            REPORTE_DROPI!AC:AC,
            MATCH(T949, REPORTE_DROPI!B:B, 0)
          )
        ),
        UPPER('NOMBRE DE PRODUCTOS'!A:A)"&amp;"
      )
    ),
    1
  ),
  ""REVISAR""
)
"),"REVISAR")</f>
        <v>REVISAR</v>
      </c>
      <c r="E949" s="120" t="str">
        <f t="array" ref="E949">IF(
UPPER(TRIM(CLEAN($O949)))="ENTREGADO",
IFERROR(
INDEX(REPORTE_DROPI!Y:Y,
MATCH($T949, REPORTE_DROPI!B:B, 0)
),
""
),
""
)
</f>
        <v/>
      </c>
      <c r="F949" s="121">
        <v>1.0</v>
      </c>
      <c r="G949" s="122" t="str">
        <f t="array" ref="G949">IF(
UPPER(TRIM(CLEAN($O949)))="ENTREGADO",
IFERROR(
INDEX(REPORTE_DROPI!R:R,
MATCH($T949, REPORTE_DROPI!B:B, 0)
),
""
),
""
)
</f>
        <v/>
      </c>
      <c r="H949" s="118"/>
      <c r="I949" s="118" t="s">
        <v>3731</v>
      </c>
      <c r="J949" s="121" t="str">
        <f t="array" ref="J949">IF(
UPPER(TRIM(CLEAN($O949)))="ENTREGADO",
IFERROR(
INDEX(REPORTE_DROPI!T:T,
MATCH($T949, REPORTE_DROPI!B:B, 0)
),
""
),
""
)
</f>
        <v/>
      </c>
      <c r="K949" s="118" t="str">
        <f t="array" ref="K949">IFERROR(
INDEX(REPORTE_DROPI!S:S,
MATCH($T949, REPORTE_DROPI!B:B, 0)
),
""
)
</f>
        <v/>
      </c>
      <c r="L949" s="118" t="str">
        <f>IF(
  O949&lt;&gt;"DEVOLUCION",
  "",
  IF(
    T949="",
    "",
    SUMIF(DEVOLUCION!F:F, T949, DEVOLUCION!D:D)
  )
)
</f>
        <v/>
      </c>
      <c r="M949" s="118"/>
      <c r="N949" s="130" t="s">
        <v>5630</v>
      </c>
      <c r="O949" s="118" t="str">
        <f t="array" ref="O949">IFERROR(
VLOOKUP(
TRIM(CLEAN(
INDEX(REPORTE_DROPI!K:K,
MATCH(T949, REPORTE_DROPI!B:B, 0)
))),
{
TRIM(CLEAN(MAPA_ESTADOS!A:A)) ,
MAPA_ESTADOS!B:B
},
2,
FALSE
),
"REVISAR"
)
</f>
        <v>REVISAR</v>
      </c>
      <c r="P949" s="118"/>
      <c r="Q949" s="122">
        <f t="shared" si="2"/>
        <v>0</v>
      </c>
      <c r="R949" s="118"/>
      <c r="S949" s="118"/>
      <c r="T949" s="118" t="str">
        <f t="array" ref="T949">IFERROR(
INDEX(REPORTE_DROPI!B:B,
MATCH(
CLEAN(TRIM(C949)),
CLEAN(TRIM(REPORTE_DROPI!E:E)),
0
)
),
""
)
</f>
        <v/>
      </c>
      <c r="U949" s="118">
        <v>6.454951706668E12</v>
      </c>
      <c r="V949" s="78"/>
      <c r="W949" s="78"/>
      <c r="X949" s="78"/>
      <c r="Y949" s="78"/>
      <c r="Z949" s="78"/>
    </row>
    <row r="950" ht="22.5" customHeight="1">
      <c r="A950" s="118">
        <v>949.0</v>
      </c>
      <c r="B950" s="119">
        <v>46050.0</v>
      </c>
      <c r="C950" s="126" t="s">
        <v>5631</v>
      </c>
      <c r="D950" s="118" t="str">
        <f>IFERROR(__xludf.DUMMYFUNCTION("IFERROR(
  INDEX(
    FILTER(
      'NOMBRE DE PRODUCTOS'!B:B,
      REGEXMATCH(
        UPPER(
          INDEX(
            REPORTE_DROPI!AC:AC,
            MATCH(T950, REPORTE_DROPI!B:B, 0)
          )
        ),
        UPPER('NOMBRE DE PRODUCTOS'!A:A)"&amp;"
      )
    ),
    1
  ),
  ""REVISAR""
)
"),"REVISAR")</f>
        <v>REVISAR</v>
      </c>
      <c r="E950" s="120" t="str">
        <f t="array" ref="E950">IF(
UPPER(TRIM(CLEAN($O950)))="ENTREGADO",
IFERROR(
INDEX(REPORTE_DROPI!Y:Y,
MATCH($T950, REPORTE_DROPI!B:B, 0)
),
""
),
""
)
</f>
        <v/>
      </c>
      <c r="F950" s="121">
        <v>2.0</v>
      </c>
      <c r="G950" s="122" t="str">
        <f t="array" ref="G950">IF(
UPPER(TRIM(CLEAN($O950)))="ENTREGADO",
IFERROR(
INDEX(REPORTE_DROPI!R:R,
MATCH($T950, REPORTE_DROPI!B:B, 0)
),
""
),
""
)
</f>
        <v/>
      </c>
      <c r="H950" s="118"/>
      <c r="I950" s="118" t="s">
        <v>3742</v>
      </c>
      <c r="J950" s="121" t="str">
        <f t="array" ref="J950">IF(
UPPER(TRIM(CLEAN($O950)))="ENTREGADO",
IFERROR(
INDEX(REPORTE_DROPI!T:T,
MATCH($T950, REPORTE_DROPI!B:B, 0)
),
""
),
""
)
</f>
        <v/>
      </c>
      <c r="K950" s="118" t="str">
        <f t="array" ref="K950">IFERROR(
INDEX(REPORTE_DROPI!S:S,
MATCH($T950, REPORTE_DROPI!B:B, 0)
),
""
)
</f>
        <v/>
      </c>
      <c r="L950" s="118" t="str">
        <f>IF(
  O950&lt;&gt;"DEVOLUCION",
  "",
  IF(
    T950="",
    "",
    SUMIF(DEVOLUCION!F:F, T950, DEVOLUCION!D:D)
  )
)
</f>
        <v/>
      </c>
      <c r="M950" s="118"/>
      <c r="N950" s="130" t="s">
        <v>5632</v>
      </c>
      <c r="O950" s="118" t="str">
        <f t="array" ref="O950">IFERROR(
VLOOKUP(
TRIM(CLEAN(
INDEX(REPORTE_DROPI!K:K,
MATCH(T950, REPORTE_DROPI!B:B, 0)
))),
{
TRIM(CLEAN(MAPA_ESTADOS!A:A)) ,
MAPA_ESTADOS!B:B
},
2,
FALSE
),
"REVISAR"
)
</f>
        <v>REVISAR</v>
      </c>
      <c r="P950" s="118"/>
      <c r="Q950" s="122">
        <f t="shared" si="2"/>
        <v>0</v>
      </c>
      <c r="R950" s="118"/>
      <c r="S950" s="118"/>
      <c r="T950" s="118" t="str">
        <f t="array" ref="T950">IFERROR(
INDEX(REPORTE_DROPI!B:B,
MATCH(
CLEAN(TRIM(C950)),
CLEAN(TRIM(REPORTE_DROPI!E:E)),
0
)
),
""
)
</f>
        <v/>
      </c>
      <c r="U950" s="118">
        <v>6.455072292908E12</v>
      </c>
      <c r="V950" s="78"/>
      <c r="W950" s="78"/>
      <c r="X950" s="78"/>
      <c r="Y950" s="78"/>
      <c r="Z950" s="78"/>
    </row>
    <row r="951" ht="22.5" customHeight="1">
      <c r="A951" s="118">
        <v>950.0</v>
      </c>
      <c r="B951" s="119">
        <v>46050.0</v>
      </c>
      <c r="C951" s="118" t="s">
        <v>5633</v>
      </c>
      <c r="D951" s="118" t="str">
        <f>IFERROR(__xludf.DUMMYFUNCTION("IFERROR(
  INDEX(
    FILTER(
      'NOMBRE DE PRODUCTOS'!B:B,
      REGEXMATCH(
        UPPER(
          INDEX(
            REPORTE_DROPI!AC:AC,
            MATCH(T951, REPORTE_DROPI!B:B, 0)
          )
        ),
        UPPER('NOMBRE DE PRODUCTOS'!A:A)"&amp;"
      )
    ),
    1
  ),
  ""REVISAR""
)
"),"FilmPro®")</f>
        <v>FilmPro®</v>
      </c>
      <c r="E951" s="120">
        <f t="array" ref="E951">IF(
UPPER(TRIM(CLEAN($O951)))="ENTREGADO",
IFERROR(
INDEX(REPORTE_DROPI!Y:Y,
MATCH($T951, REPORTE_DROPI!B:B, 0)
),
""
),
""
)
</f>
        <v>4.7</v>
      </c>
      <c r="F951" s="121">
        <v>2.0</v>
      </c>
      <c r="G951" s="122">
        <f t="array" ref="G951">IF(
UPPER(TRIM(CLEAN($O951)))="ENTREGADO",
IFERROR(
INDEX(REPORTE_DROPI!R:R,
MATCH($T951, REPORTE_DROPI!B:B, 0)
),
""
),
""
)
</f>
        <v>25</v>
      </c>
      <c r="H951" s="118"/>
      <c r="I951" s="118" t="s">
        <v>3728</v>
      </c>
      <c r="J951" s="121">
        <f t="array" ref="J951">IF(
UPPER(TRIM(CLEAN($O951)))="ENTREGADO",
IFERROR(
INDEX(REPORTE_DROPI!T:T,
MATCH($T951, REPORTE_DROPI!B:B, 0)
),
""
),
""
)
</f>
        <v>5.96</v>
      </c>
      <c r="K951" s="118">
        <f t="array" ref="K951">IFERROR(
INDEX(REPORTE_DROPI!S:S,
MATCH($T951, REPORTE_DROPI!B:B, 0)
),
""
)
</f>
        <v>14.34</v>
      </c>
      <c r="L951" s="118" t="str">
        <f>IF(
  O951&lt;&gt;"DEVOLUCION",
  "",
  IF(
    T951="",
    "",
    SUMIF(DEVOLUCION!F:F, T951, DEVOLUCION!D:D)
  )
)
</f>
        <v/>
      </c>
      <c r="M951" s="118" t="s">
        <v>3870</v>
      </c>
      <c r="N951" s="130" t="s">
        <v>5634</v>
      </c>
      <c r="O951" s="118" t="str">
        <f t="array" ref="O951">IFERROR(
VLOOKUP(
TRIM(CLEAN(
INDEX(REPORTE_DROPI!K:K,
MATCH(T951, REPORTE_DROPI!B:B, 0)
))),
{
TRIM(CLEAN(MAPA_ESTADOS!A:A)) ,
MAPA_ESTADOS!B:B
},
2,
FALSE
),
"REVISAR"
)
</f>
        <v>ENTREGADO</v>
      </c>
      <c r="P951" s="118" t="s">
        <v>3655</v>
      </c>
      <c r="Q951" s="122">
        <f t="shared" si="2"/>
        <v>0</v>
      </c>
      <c r="R951" s="118"/>
      <c r="S951" s="118"/>
      <c r="T951" s="118">
        <f t="array" ref="T951">IFERROR(
INDEX(REPORTE_DROPI!B:B,
MATCH(
CLEAN(TRIM(C951)),
CLEAN(TRIM(REPORTE_DROPI!E:E)),
0
)
),
""
)
</f>
        <v>4318885</v>
      </c>
      <c r="U951" s="118">
        <v>6.455169777708E12</v>
      </c>
      <c r="V951" s="78"/>
      <c r="W951" s="78"/>
      <c r="X951" s="78"/>
      <c r="Y951" s="78"/>
      <c r="Z951" s="78"/>
    </row>
    <row r="952" ht="22.5" customHeight="1">
      <c r="A952" s="118">
        <v>951.0</v>
      </c>
      <c r="B952" s="119">
        <v>46050.0</v>
      </c>
      <c r="C952" s="118" t="s">
        <v>5635</v>
      </c>
      <c r="D952" s="118" t="str">
        <f>IFERROR(__xludf.DUMMYFUNCTION("IFERROR(
  INDEX(
    FILTER(
      'NOMBRE DE PRODUCTOS'!B:B,
      REGEXMATCH(
        UPPER(
          INDEX(
            REPORTE_DROPI!AC:AC,
            MATCH(T952, REPORTE_DROPI!B:B, 0)
          )
        ),
        UPPER('NOMBRE DE PRODUCTOS'!A:A)"&amp;"
      )
    ),
    1
  ),
  ""REVISAR""
)
"),"FilmPro®")</f>
        <v>FilmPro®</v>
      </c>
      <c r="E952" s="120">
        <f t="array" ref="E952">IF(
UPPER(TRIM(CLEAN($O952)))="ENTREGADO",
IFERROR(
INDEX(REPORTE_DROPI!Y:Y,
MATCH($T952, REPORTE_DROPI!B:B, 0)
),
""
),
""
)
</f>
        <v>7.05</v>
      </c>
      <c r="F952" s="121">
        <v>3.0</v>
      </c>
      <c r="G952" s="122">
        <f t="array" ref="G952">IF(
UPPER(TRIM(CLEAN($O952)))="ENTREGADO",
IFERROR(
INDEX(REPORTE_DROPI!R:R,
MATCH($T952, REPORTE_DROPI!B:B, 0)
),
""
),
""
)
</f>
        <v>30</v>
      </c>
      <c r="H952" s="118"/>
      <c r="I952" s="118" t="s">
        <v>3731</v>
      </c>
      <c r="J952" s="121">
        <f t="array" ref="J952">IF(
UPPER(TRIM(CLEAN($O952)))="ENTREGADO",
IFERROR(
INDEX(REPORTE_DROPI!T:T,
MATCH($T952, REPORTE_DROPI!B:B, 0)
),
""
),
""
)
</f>
        <v>5.12</v>
      </c>
      <c r="K952" s="118">
        <f t="array" ref="K952">IFERROR(
INDEX(REPORTE_DROPI!S:S,
MATCH($T952, REPORTE_DROPI!B:B, 0)
),
""
)
</f>
        <v>17.83</v>
      </c>
      <c r="L952" s="118" t="str">
        <f>IF(
  O952&lt;&gt;"DEVOLUCION",
  "",
  IF(
    T952="",
    "",
    SUMIF(DEVOLUCION!F:F, T952, DEVOLUCION!D:D)
  )
)
</f>
        <v/>
      </c>
      <c r="M952" s="118" t="s">
        <v>3870</v>
      </c>
      <c r="N952" s="130" t="s">
        <v>5636</v>
      </c>
      <c r="O952" s="118" t="str">
        <f t="array" ref="O952">IFERROR(
VLOOKUP(
TRIM(CLEAN(
INDEX(REPORTE_DROPI!K:K,
MATCH(T952, REPORTE_DROPI!B:B, 0)
))),
{
TRIM(CLEAN(MAPA_ESTADOS!A:A)) ,
MAPA_ESTADOS!B:B
},
2,
FALSE
),
"REVISAR"
)
</f>
        <v>ENTREGADO</v>
      </c>
      <c r="P952" s="118" t="s">
        <v>3655</v>
      </c>
      <c r="Q952" s="122">
        <f t="shared" si="2"/>
        <v>0</v>
      </c>
      <c r="R952" s="118"/>
      <c r="S952" s="118"/>
      <c r="T952" s="118">
        <f t="array" ref="T952">IFERROR(
INDEX(REPORTE_DROPI!B:B,
MATCH(
CLEAN(TRIM(C952)),
CLEAN(TRIM(REPORTE_DROPI!E:E)),
0
)
),
""
)
</f>
        <v>4318809</v>
      </c>
      <c r="U952" s="118">
        <v>6.45539027358E12</v>
      </c>
      <c r="V952" s="78"/>
      <c r="W952" s="78"/>
      <c r="X952" s="78"/>
      <c r="Y952" s="78"/>
      <c r="Z952" s="78"/>
    </row>
    <row r="953" ht="22.5" customHeight="1">
      <c r="A953" s="118">
        <v>952.0</v>
      </c>
      <c r="B953" s="119">
        <v>46050.0</v>
      </c>
      <c r="C953" s="126" t="s">
        <v>5637</v>
      </c>
      <c r="D953" s="118" t="str">
        <f>IFERROR(__xludf.DUMMYFUNCTION("IFERROR(
  INDEX(
    FILTER(
      'NOMBRE DE PRODUCTOS'!B:B,
      REGEXMATCH(
        UPPER(
          INDEX(
            REPORTE_DROPI!AC:AC,
            MATCH(T953, REPORTE_DROPI!B:B, 0)
          )
        ),
        UPPER('NOMBRE DE PRODUCTOS'!A:A)"&amp;"
      )
    ),
    1
  ),
  ""REVISAR""
)
"),"FilmPro®")</f>
        <v>FilmPro®</v>
      </c>
      <c r="E953" s="120" t="str">
        <f t="array" ref="E953">IF(
UPPER(TRIM(CLEAN($O953)))="ENTREGADO",
IFERROR(
INDEX(REPORTE_DROPI!Y:Y,
MATCH($T953, REPORTE_DROPI!B:B, 0)
),
""
),
""
)
</f>
        <v/>
      </c>
      <c r="F953" s="121">
        <v>1.0</v>
      </c>
      <c r="G953" s="122" t="str">
        <f t="array" ref="G953">IF(
UPPER(TRIM(CLEAN($O953)))="ENTREGADO",
IFERROR(
INDEX(REPORTE_DROPI!R:R,
MATCH($T953, REPORTE_DROPI!B:B, 0)
),
""
),
""
)
</f>
        <v/>
      </c>
      <c r="H953" s="118"/>
      <c r="I953" s="118" t="s">
        <v>3864</v>
      </c>
      <c r="J953" s="121" t="str">
        <f t="array" ref="J953">IF(
UPPER(TRIM(CLEAN($O953)))="ENTREGADO",
IFERROR(
INDEX(REPORTE_DROPI!T:T,
MATCH($T953, REPORTE_DROPI!B:B, 0)
),
""
),
""
)
</f>
        <v/>
      </c>
      <c r="K953" s="118" t="str">
        <f t="array" ref="K953">IFERROR(
INDEX(REPORTE_DROPI!S:S,
MATCH($T953, REPORTE_DROPI!B:B, 0)
),
""
)
</f>
        <v/>
      </c>
      <c r="L953" s="118" t="str">
        <f>IF(
  O953&lt;&gt;"DEVOLUCION",
  "",
  IF(
    T953="",
    "",
    SUMIF(DEVOLUCION!F:F, T953, DEVOLUCION!D:D)
  )
)
</f>
        <v/>
      </c>
      <c r="M953" s="118" t="s">
        <v>3870</v>
      </c>
      <c r="N953" s="130" t="s">
        <v>5638</v>
      </c>
      <c r="O953" s="118" t="str">
        <f t="array" ref="O953">IFERROR(
VLOOKUP(
TRIM(CLEAN(
INDEX(REPORTE_DROPI!K:K,
MATCH(T953, REPORTE_DROPI!B:B, 0)
))),
{
TRIM(CLEAN(MAPA_ESTADOS!A:A)) ,
MAPA_ESTADOS!B:B
},
2,
FALSE
),
"REVISAR"
)
</f>
        <v>PENDIENTE</v>
      </c>
      <c r="P953" s="118" t="s">
        <v>5639</v>
      </c>
      <c r="Q953" s="122">
        <f t="shared" si="2"/>
        <v>0</v>
      </c>
      <c r="R953" s="118"/>
      <c r="S953" s="118"/>
      <c r="T953" s="118">
        <f t="array" ref="T953">IFERROR(
INDEX(REPORTE_DROPI!B:B,
MATCH(
CLEAN(TRIM(C953)),
CLEAN(TRIM(REPORTE_DROPI!E:E)),
0
)
),
""
)
</f>
        <v>4313316</v>
      </c>
      <c r="U953" s="118">
        <v>6.455426580524E12</v>
      </c>
      <c r="V953" s="78"/>
      <c r="W953" s="78"/>
      <c r="X953" s="78"/>
      <c r="Y953" s="78"/>
      <c r="Z953" s="78"/>
    </row>
    <row r="954" ht="22.5" customHeight="1">
      <c r="A954" s="118">
        <v>953.0</v>
      </c>
      <c r="B954" s="119">
        <v>46050.0</v>
      </c>
      <c r="C954" s="126" t="s">
        <v>5640</v>
      </c>
      <c r="D954" s="118" t="str">
        <f>IFERROR(__xludf.DUMMYFUNCTION("IFERROR(
  INDEX(
    FILTER(
      'NOMBRE DE PRODUCTOS'!B:B,
      REGEXMATCH(
        UPPER(
          INDEX(
            REPORTE_DROPI!AC:AC,
            MATCH(T954, REPORTE_DROPI!B:B, 0)
          )
        ),
        UPPER('NOMBRE DE PRODUCTOS'!A:A)"&amp;"
      )
    ),
    1
  ),
  ""REVISAR""
)
"),"Llave Multifuncional 360™")</f>
        <v>Llave Multifuncional 360™</v>
      </c>
      <c r="E954" s="120" t="str">
        <f t="array" ref="E954">IF(
UPPER(TRIM(CLEAN($O954)))="ENTREGADO",
IFERROR(
INDEX(REPORTE_DROPI!Y:Y,
MATCH($T954, REPORTE_DROPI!B:B, 0)
),
""
),
""
)
</f>
        <v/>
      </c>
      <c r="F954" s="121">
        <v>1.0</v>
      </c>
      <c r="G954" s="122" t="str">
        <f t="array" ref="G954">IF(
UPPER(TRIM(CLEAN($O954)))="ENTREGADO",
IFERROR(
INDEX(REPORTE_DROPI!R:R,
MATCH($T954, REPORTE_DROPI!B:B, 0)
),
""
),
""
)
</f>
        <v/>
      </c>
      <c r="H954" s="118"/>
      <c r="I954" s="118" t="s">
        <v>3731</v>
      </c>
      <c r="J954" s="121" t="str">
        <f t="array" ref="J954">IF(
UPPER(TRIM(CLEAN($O954)))="ENTREGADO",
IFERROR(
INDEX(REPORTE_DROPI!T:T,
MATCH($T954, REPORTE_DROPI!B:B, 0)
),
""
),
""
)
</f>
        <v/>
      </c>
      <c r="K954" s="118" t="str">
        <f t="array" ref="K954">IFERROR(
INDEX(REPORTE_DROPI!S:S,
MATCH($T954, REPORTE_DROPI!B:B, 0)
),
""
)
</f>
        <v/>
      </c>
      <c r="L954" s="118" t="str">
        <f>IF(
  O954&lt;&gt;"DEVOLUCION",
  "",
  IF(
    T954="",
    "",
    SUMIF(DEVOLUCION!F:F, T954, DEVOLUCION!D:D)
  )
)
</f>
        <v/>
      </c>
      <c r="M954" s="118" t="s">
        <v>3870</v>
      </c>
      <c r="N954" s="130" t="s">
        <v>5641</v>
      </c>
      <c r="O954" s="118" t="str">
        <f t="array" ref="O954">IFERROR(
VLOOKUP(
TRIM(CLEAN(
INDEX(REPORTE_DROPI!K:K,
MATCH(T954, REPORTE_DROPI!B:B, 0)
))),
{
TRIM(CLEAN(MAPA_ESTADOS!A:A)) ,
MAPA_ESTADOS!B:B
},
2,
FALSE
),
"REVISAR"
)
</f>
        <v>PENDIENTE</v>
      </c>
      <c r="P954" s="118" t="s">
        <v>5523</v>
      </c>
      <c r="Q954" s="122">
        <f t="shared" si="2"/>
        <v>0</v>
      </c>
      <c r="R954" s="118"/>
      <c r="S954" s="118"/>
      <c r="T954" s="118">
        <f t="array" ref="T954">IFERROR(
INDEX(REPORTE_DROPI!B:B,
MATCH(
CLEAN(TRIM(C954)),
CLEAN(TRIM(REPORTE_DROPI!E:E)),
0
)
),
""
)
</f>
        <v>4318758</v>
      </c>
      <c r="U954" s="118">
        <v>6.455545200684E12</v>
      </c>
      <c r="V954" s="78"/>
      <c r="W954" s="78"/>
      <c r="X954" s="78"/>
      <c r="Y954" s="78"/>
      <c r="Z954" s="78"/>
    </row>
    <row r="955" ht="22.5" customHeight="1">
      <c r="A955" s="118">
        <v>954.0</v>
      </c>
      <c r="B955" s="119">
        <v>46050.0</v>
      </c>
      <c r="C955" s="126" t="s">
        <v>5642</v>
      </c>
      <c r="D955" s="118" t="str">
        <f>IFERROR(__xludf.DUMMYFUNCTION("IFERROR(
  INDEX(
    FILTER(
      'NOMBRE DE PRODUCTOS'!B:B,
      REGEXMATCH(
        UPPER(
          INDEX(
            REPORTE_DROPI!AC:AC,
            MATCH(T955, REPORTE_DROPI!B:B, 0)
          )
        ),
        UPPER('NOMBRE DE PRODUCTOS'!A:A)"&amp;"
      )
    ),
    1
  ),
  ""REVISAR""
)
"),"FilmPro®")</f>
        <v>FilmPro®</v>
      </c>
      <c r="E955" s="120" t="str">
        <f t="array" ref="E955">IF(
UPPER(TRIM(CLEAN($O955)))="ENTREGADO",
IFERROR(
INDEX(REPORTE_DROPI!Y:Y,
MATCH($T955, REPORTE_DROPI!B:B, 0)
),
""
),
""
)
</f>
        <v/>
      </c>
      <c r="F955" s="121">
        <v>3.0</v>
      </c>
      <c r="G955" s="122" t="str">
        <f t="array" ref="G955">IF(
UPPER(TRIM(CLEAN($O955)))="ENTREGADO",
IFERROR(
INDEX(REPORTE_DROPI!R:R,
MATCH($T955, REPORTE_DROPI!B:B, 0)
),
""
),
""
)
</f>
        <v/>
      </c>
      <c r="H955" s="118"/>
      <c r="I955" s="118" t="s">
        <v>3731</v>
      </c>
      <c r="J955" s="121" t="str">
        <f t="array" ref="J955">IF(
UPPER(TRIM(CLEAN($O955)))="ENTREGADO",
IFERROR(
INDEX(REPORTE_DROPI!T:T,
MATCH($T955, REPORTE_DROPI!B:B, 0)
),
""
),
""
)
</f>
        <v/>
      </c>
      <c r="K955" s="118" t="str">
        <f t="array" ref="K955">IFERROR(
INDEX(REPORTE_DROPI!S:S,
MATCH($T955, REPORTE_DROPI!B:B, 0)
),
""
)
</f>
        <v/>
      </c>
      <c r="L955" s="118" t="str">
        <f>IF(
  O955&lt;&gt;"DEVOLUCION",
  "",
  IF(
    T955="",
    "",
    SUMIF(DEVOLUCION!F:F, T955, DEVOLUCION!D:D)
  )
)
</f>
        <v/>
      </c>
      <c r="M955" s="118" t="s">
        <v>3870</v>
      </c>
      <c r="N955" s="130" t="s">
        <v>5643</v>
      </c>
      <c r="O955" s="118" t="str">
        <f t="array" ref="O955">IFERROR(
VLOOKUP(
TRIM(CLEAN(
INDEX(REPORTE_DROPI!K:K,
MATCH(T955, REPORTE_DROPI!B:B, 0)
))),
{
TRIM(CLEAN(MAPA_ESTADOS!A:A)) ,
MAPA_ESTADOS!B:B
},
2,
FALSE
),
"REVISAR"
)
</f>
        <v>PENDIENTE</v>
      </c>
      <c r="P955" s="118" t="s">
        <v>5639</v>
      </c>
      <c r="Q955" s="122">
        <f t="shared" si="2"/>
        <v>0</v>
      </c>
      <c r="R955" s="118"/>
      <c r="S955" s="118"/>
      <c r="T955" s="118">
        <f t="array" ref="T955">IFERROR(
INDEX(REPORTE_DROPI!B:B,
MATCH(
CLEAN(TRIM(C955)),
CLEAN(TRIM(REPORTE_DROPI!E:E)),
0
)
),
""
)
</f>
        <v>4314370</v>
      </c>
      <c r="U955" s="118">
        <v>6.45566880158E12</v>
      </c>
      <c r="V955" s="78"/>
      <c r="W955" s="78"/>
      <c r="X955" s="78"/>
      <c r="Y955" s="78"/>
      <c r="Z955" s="78"/>
    </row>
    <row r="956" ht="22.5" customHeight="1">
      <c r="A956" s="118">
        <v>955.0</v>
      </c>
      <c r="B956" s="119">
        <v>46050.0</v>
      </c>
      <c r="C956" s="118" t="s">
        <v>5644</v>
      </c>
      <c r="D956" s="118" t="str">
        <f>IFERROR(__xludf.DUMMYFUNCTION("IFERROR(
  INDEX(
    FILTER(
      'NOMBRE DE PRODUCTOS'!B:B,
      REGEXMATCH(
        UPPER(
          INDEX(
            REPORTE_DROPI!AC:AC,
            MATCH(T956, REPORTE_DROPI!B:B, 0)
          )
        ),
        UPPER('NOMBRE DE PRODUCTOS'!A:A)"&amp;"
      )
    ),
    1
  ),
  ""REVISAR""
)
"),"FilmPro®")</f>
        <v>FilmPro®</v>
      </c>
      <c r="E956" s="120">
        <f t="array" ref="E956">IF(
UPPER(TRIM(CLEAN($O956)))="ENTREGADO",
IFERROR(
INDEX(REPORTE_DROPI!Y:Y,
MATCH($T956, REPORTE_DROPI!B:B, 0)
),
""
),
""
)
</f>
        <v>7.05</v>
      </c>
      <c r="F956" s="121">
        <v>3.0</v>
      </c>
      <c r="G956" s="122">
        <f t="array" ref="G956">IF(
UPPER(TRIM(CLEAN($O956)))="ENTREGADO",
IFERROR(
INDEX(REPORTE_DROPI!R:R,
MATCH($T956, REPORTE_DROPI!B:B, 0)
),
""
),
""
)
</f>
        <v>30</v>
      </c>
      <c r="H956" s="118"/>
      <c r="I956" s="118" t="s">
        <v>3742</v>
      </c>
      <c r="J956" s="121">
        <f t="array" ref="J956">IF(
UPPER(TRIM(CLEAN($O956)))="ENTREGADO",
IFERROR(
INDEX(REPORTE_DROPI!T:T,
MATCH($T956, REPORTE_DROPI!B:B, 0)
),
""
),
""
)
</f>
        <v>6.16</v>
      </c>
      <c r="K956" s="118">
        <f t="array" ref="K956">IFERROR(
INDEX(REPORTE_DROPI!S:S,
MATCH($T956, REPORTE_DROPI!B:B, 0)
),
""
)
</f>
        <v>16.79</v>
      </c>
      <c r="L956" s="118" t="str">
        <f>IF(
  O956&lt;&gt;"DEVOLUCION",
  "",
  IF(
    T956="",
    "",
    SUMIF(DEVOLUCION!F:F, T956, DEVOLUCION!D:D)
  )
)
</f>
        <v/>
      </c>
      <c r="M956" s="118" t="s">
        <v>3870</v>
      </c>
      <c r="N956" s="130" t="s">
        <v>5645</v>
      </c>
      <c r="O956" s="118" t="str">
        <f t="array" ref="O956">IFERROR(
VLOOKUP(
TRIM(CLEAN(
INDEX(REPORTE_DROPI!K:K,
MATCH(T956, REPORTE_DROPI!B:B, 0)
))),
{
TRIM(CLEAN(MAPA_ESTADOS!A:A)) ,
MAPA_ESTADOS!B:B
},
2,
FALSE
),
"REVISAR"
)
</f>
        <v>ENTREGADO</v>
      </c>
      <c r="P956" s="118" t="s">
        <v>3655</v>
      </c>
      <c r="Q956" s="122">
        <f t="shared" si="2"/>
        <v>0</v>
      </c>
      <c r="R956" s="118"/>
      <c r="S956" s="118"/>
      <c r="T956" s="118">
        <f t="array" ref="T956">IFERROR(
INDEX(REPORTE_DROPI!B:B,
MATCH(
CLEAN(TRIM(C956)),
CLEAN(TRIM(REPORTE_DROPI!E:E)),
0
)
),
""
)
</f>
        <v>4318392</v>
      </c>
      <c r="U956" s="118">
        <v>6.455733452844E12</v>
      </c>
      <c r="V956" s="78"/>
      <c r="W956" s="78"/>
      <c r="X956" s="78"/>
      <c r="Y956" s="78"/>
      <c r="Z956" s="78"/>
    </row>
    <row r="957" ht="22.5" customHeight="1">
      <c r="A957" s="118">
        <v>956.0</v>
      </c>
      <c r="B957" s="119">
        <v>46050.0</v>
      </c>
      <c r="C957" s="118" t="s">
        <v>5646</v>
      </c>
      <c r="D957" s="118" t="str">
        <f>IFERROR(__xludf.DUMMYFUNCTION("IFERROR(
  INDEX(
    FILTER(
      'NOMBRE DE PRODUCTOS'!B:B,
      REGEXMATCH(
        UPPER(
          INDEX(
            REPORTE_DROPI!AC:AC,
            MATCH(T957, REPORTE_DROPI!B:B, 0)
          )
        ),
        UPPER('NOMBRE DE PRODUCTOS'!A:A)"&amp;"
      )
    ),
    1
  ),
  ""REVISAR""
)
"),"FilmPro®")</f>
        <v>FilmPro®</v>
      </c>
      <c r="E957" s="120">
        <f t="array" ref="E957">IF(
UPPER(TRIM(CLEAN($O957)))="ENTREGADO",
IFERROR(
INDEX(REPORTE_DROPI!Y:Y,
MATCH($T957, REPORTE_DROPI!B:B, 0)
),
""
),
""
)
</f>
        <v>4.7</v>
      </c>
      <c r="F957" s="121">
        <v>2.0</v>
      </c>
      <c r="G957" s="122">
        <f t="array" ref="G957">IF(
UPPER(TRIM(CLEAN($O957)))="ENTREGADO",
IFERROR(
INDEX(REPORTE_DROPI!R:R,
MATCH($T957, REPORTE_DROPI!B:B, 0)
),
""
),
""
)
</f>
        <v>25</v>
      </c>
      <c r="H957" s="118"/>
      <c r="I957" s="118" t="s">
        <v>3778</v>
      </c>
      <c r="J957" s="121">
        <f t="array" ref="J957">IF(
UPPER(TRIM(CLEAN($O957)))="ENTREGADO",
IFERROR(
INDEX(REPORTE_DROPI!T:T,
MATCH($T957, REPORTE_DROPI!B:B, 0)
),
""
),
""
)
</f>
        <v>7.75</v>
      </c>
      <c r="K957" s="118">
        <f t="array" ref="K957">IFERROR(
INDEX(REPORTE_DROPI!S:S,
MATCH($T957, REPORTE_DROPI!B:B, 0)
),
""
)
</f>
        <v>12.55</v>
      </c>
      <c r="L957" s="118" t="str">
        <f>IF(
  O957&lt;&gt;"DEVOLUCION",
  "",
  IF(
    T957="",
    "",
    SUMIF(DEVOLUCION!F:F, T957, DEVOLUCION!D:D)
  )
)
</f>
        <v/>
      </c>
      <c r="M957" s="118" t="s">
        <v>3870</v>
      </c>
      <c r="N957" s="130" t="s">
        <v>5647</v>
      </c>
      <c r="O957" s="118" t="str">
        <f t="array" ref="O957">IFERROR(
VLOOKUP(
TRIM(CLEAN(
INDEX(REPORTE_DROPI!K:K,
MATCH(T957, REPORTE_DROPI!B:B, 0)
))),
{
TRIM(CLEAN(MAPA_ESTADOS!A:A)) ,
MAPA_ESTADOS!B:B
},
2,
FALSE
),
"REVISAR"
)
</f>
        <v>ENTREGADO</v>
      </c>
      <c r="P957" s="118" t="s">
        <v>3655</v>
      </c>
      <c r="Q957" s="122">
        <f t="shared" si="2"/>
        <v>0</v>
      </c>
      <c r="R957" s="118"/>
      <c r="S957" s="118"/>
      <c r="T957" s="118">
        <f t="array" ref="T957">IFERROR(
INDEX(REPORTE_DROPI!B:B,
MATCH(
CLEAN(TRIM(C957)),
CLEAN(TRIM(REPORTE_DROPI!E:E)),
0
)
),
""
)
</f>
        <v>4318031</v>
      </c>
      <c r="U957" s="118">
        <v>6.45577890206E12</v>
      </c>
      <c r="V957" s="78"/>
      <c r="W957" s="78"/>
      <c r="X957" s="78"/>
      <c r="Y957" s="78"/>
      <c r="Z957" s="78"/>
    </row>
    <row r="958" ht="22.5" customHeight="1">
      <c r="A958" s="118">
        <v>957.0</v>
      </c>
      <c r="B958" s="119">
        <v>46050.0</v>
      </c>
      <c r="C958" s="118" t="s">
        <v>5648</v>
      </c>
      <c r="D958" s="118" t="str">
        <f>IFERROR(__xludf.DUMMYFUNCTION("IFERROR(
  INDEX(
    FILTER(
      'NOMBRE DE PRODUCTOS'!B:B,
      REGEXMATCH(
        UPPER(
          INDEX(
            REPORTE_DROPI!AC:AC,
            MATCH(T958, REPORTE_DROPI!B:B, 0)
          )
        ),
        UPPER('NOMBRE DE PRODUCTOS'!A:A)"&amp;"
      )
    ),
    1
  ),
  ""REVISAR""
)
"),"FilmPro®")</f>
        <v>FilmPro®</v>
      </c>
      <c r="E958" s="120">
        <f t="array" ref="E958">IF(
UPPER(TRIM(CLEAN($O958)))="ENTREGADO",
IFERROR(
INDEX(REPORTE_DROPI!Y:Y,
MATCH($T958, REPORTE_DROPI!B:B, 0)
),
""
),
""
)
</f>
        <v>4.7</v>
      </c>
      <c r="F958" s="121">
        <v>2.0</v>
      </c>
      <c r="G958" s="122">
        <f t="array" ref="G958">IF(
UPPER(TRIM(CLEAN($O958)))="ENTREGADO",
IFERROR(
INDEX(REPORTE_DROPI!R:R,
MATCH($T958, REPORTE_DROPI!B:B, 0)
),
""
),
""
)
</f>
        <v>25</v>
      </c>
      <c r="H958" s="118"/>
      <c r="I958" s="118" t="s">
        <v>3740</v>
      </c>
      <c r="J958" s="121">
        <f t="array" ref="J958">IF(
UPPER(TRIM(CLEAN($O958)))="ENTREGADO",
IFERROR(
INDEX(REPORTE_DROPI!T:T,
MATCH($T958, REPORTE_DROPI!B:B, 0)
),
""
),
""
)
</f>
        <v>5.96</v>
      </c>
      <c r="K958" s="118">
        <f t="array" ref="K958">IFERROR(
INDEX(REPORTE_DROPI!S:S,
MATCH($T958, REPORTE_DROPI!B:B, 0)
),
""
)
</f>
        <v>14.34</v>
      </c>
      <c r="L958" s="118" t="str">
        <f>IF(
  O958&lt;&gt;"DEVOLUCION",
  "",
  IF(
    T958="",
    "",
    SUMIF(DEVOLUCION!F:F, T958, DEVOLUCION!D:D)
  )
)
</f>
        <v/>
      </c>
      <c r="M958" s="118" t="s">
        <v>3870</v>
      </c>
      <c r="N958" s="130" t="s">
        <v>5649</v>
      </c>
      <c r="O958" s="118" t="str">
        <f t="array" ref="O958">IFERROR(
VLOOKUP(
TRIM(CLEAN(
INDEX(REPORTE_DROPI!K:K,
MATCH(T958, REPORTE_DROPI!B:B, 0)
))),
{
TRIM(CLEAN(MAPA_ESTADOS!A:A)) ,
MAPA_ESTADOS!B:B
},
2,
FALSE
),
"REVISAR"
)
</f>
        <v>ENTREGADO</v>
      </c>
      <c r="P958" s="118" t="s">
        <v>3655</v>
      </c>
      <c r="Q958" s="122">
        <f t="shared" si="2"/>
        <v>0</v>
      </c>
      <c r="R958" s="118"/>
      <c r="S958" s="118"/>
      <c r="T958" s="118">
        <f t="array" ref="T958">IFERROR(
INDEX(REPORTE_DROPI!B:B,
MATCH(
CLEAN(TRIM(C958)),
CLEAN(TRIM(REPORTE_DROPI!E:E)),
0
)
),
""
)
</f>
        <v>4316924</v>
      </c>
      <c r="U958" s="118">
        <v>6.455888642092E12</v>
      </c>
      <c r="V958" s="78"/>
      <c r="W958" s="78"/>
      <c r="X958" s="78"/>
      <c r="Y958" s="78"/>
      <c r="Z958" s="78"/>
    </row>
    <row r="959" ht="22.5" customHeight="1">
      <c r="A959" s="118">
        <v>958.0</v>
      </c>
      <c r="B959" s="119">
        <v>46051.0</v>
      </c>
      <c r="C959" s="126" t="s">
        <v>5650</v>
      </c>
      <c r="D959" s="118" t="str">
        <f>IFERROR(__xludf.DUMMYFUNCTION("IFERROR(
  INDEX(
    FILTER(
      'NOMBRE DE PRODUCTOS'!B:B,
      REGEXMATCH(
        UPPER(
          INDEX(
            REPORTE_DROPI!AC:AC,
            MATCH(T959, REPORTE_DROPI!B:B, 0)
          )
        ),
        UPPER('NOMBRE DE PRODUCTOS'!A:A)"&amp;"
      )
    ),
    1
  ),
  ""REVISAR""
)
"),"Llave Multifuncional 360™")</f>
        <v>Llave Multifuncional 360™</v>
      </c>
      <c r="E959" s="120" t="str">
        <f t="array" ref="E959">IF(
UPPER(TRIM(CLEAN($O959)))="ENTREGADO",
IFERROR(
INDEX(REPORTE_DROPI!Y:Y,
MATCH($T959, REPORTE_DROPI!B:B, 0)
),
""
),
""
)
</f>
        <v/>
      </c>
      <c r="F959" s="121">
        <v>2.0</v>
      </c>
      <c r="G959" s="122" t="str">
        <f t="array" ref="G959">IF(
UPPER(TRIM(CLEAN($O959)))="ENTREGADO",
IFERROR(
INDEX(REPORTE_DROPI!R:R,
MATCH($T959, REPORTE_DROPI!B:B, 0)
),
""
),
""
)
</f>
        <v/>
      </c>
      <c r="H959" s="118"/>
      <c r="I959" s="118" t="s">
        <v>3728</v>
      </c>
      <c r="J959" s="121" t="str">
        <f t="array" ref="J959">IF(
UPPER(TRIM(CLEAN($O959)))="ENTREGADO",
IFERROR(
INDEX(REPORTE_DROPI!T:T,
MATCH($T959, REPORTE_DROPI!B:B, 0)
),
""
),
""
)
</f>
        <v/>
      </c>
      <c r="K959" s="118" t="str">
        <f t="array" ref="K959">IFERROR(
INDEX(REPORTE_DROPI!S:S,
MATCH($T959, REPORTE_DROPI!B:B, 0)
),
""
)
</f>
        <v/>
      </c>
      <c r="L959" s="118" t="str">
        <f>IF(
  O959&lt;&gt;"DEVOLUCION",
  "",
  IF(
    T959="",
    "",
    SUMIF(DEVOLUCION!F:F, T959, DEVOLUCION!D:D)
  )
)
</f>
        <v/>
      </c>
      <c r="M959" s="118" t="s">
        <v>3870</v>
      </c>
      <c r="N959" s="130" t="s">
        <v>5651</v>
      </c>
      <c r="O959" s="118" t="str">
        <f t="array" ref="O959">IFERROR(
VLOOKUP(
TRIM(CLEAN(
INDEX(REPORTE_DROPI!K:K,
MATCH(T959, REPORTE_DROPI!B:B, 0)
))),
{
TRIM(CLEAN(MAPA_ESTADOS!A:A)) ,
MAPA_ESTADOS!B:B
},
2,
FALSE
),
"REVISAR"
)
</f>
        <v>PENDIENTE</v>
      </c>
      <c r="P959" s="118" t="s">
        <v>5523</v>
      </c>
      <c r="Q959" s="122">
        <f t="shared" si="2"/>
        <v>0</v>
      </c>
      <c r="R959" s="118"/>
      <c r="S959" s="118"/>
      <c r="T959" s="118">
        <f t="array" ref="T959">IFERROR(
INDEX(REPORTE_DROPI!B:B,
MATCH(
CLEAN(TRIM(C959)),
CLEAN(TRIM(REPORTE_DROPI!E:E)),
0
)
),
""
)
</f>
        <v>4318372</v>
      </c>
      <c r="U959" s="118">
        <v>6.456239521836E12</v>
      </c>
      <c r="V959" s="78"/>
      <c r="W959" s="78"/>
      <c r="X959" s="78"/>
      <c r="Y959" s="78"/>
      <c r="Z959" s="78"/>
    </row>
    <row r="960" ht="22.5" customHeight="1">
      <c r="A960" s="118">
        <v>959.0</v>
      </c>
      <c r="B960" s="119">
        <v>46051.0</v>
      </c>
      <c r="C960" s="118" t="s">
        <v>5652</v>
      </c>
      <c r="D960" s="118" t="str">
        <f>IFERROR(__xludf.DUMMYFUNCTION("IFERROR(
  INDEX(
    FILTER(
      'NOMBRE DE PRODUCTOS'!B:B,
      REGEXMATCH(
        UPPER(
          INDEX(
            REPORTE_DROPI!AC:AC,
            MATCH(T960, REPORTE_DROPI!B:B, 0)
          )
        ),
        UPPER('NOMBRE DE PRODUCTOS'!A:A)"&amp;"
      )
    ),
    1
  ),
  ""REVISAR""
)
"),"FilmPro®")</f>
        <v>FilmPro®</v>
      </c>
      <c r="E960" s="120">
        <f t="array" ref="E960">IF(
UPPER(TRIM(CLEAN($O960)))="ENTREGADO",
IFERROR(
INDEX(REPORTE_DROPI!Y:Y,
MATCH($T960, REPORTE_DROPI!B:B, 0)
),
""
),
""
)
</f>
        <v>4.7</v>
      </c>
      <c r="F960" s="121">
        <v>2.0</v>
      </c>
      <c r="G960" s="122">
        <f t="array" ref="G960">IF(
UPPER(TRIM(CLEAN($O960)))="ENTREGADO",
IFERROR(
INDEX(REPORTE_DROPI!R:R,
MATCH($T960, REPORTE_DROPI!B:B, 0)
),
""
),
""
)
</f>
        <v>25</v>
      </c>
      <c r="H960" s="118"/>
      <c r="I960" s="118" t="s">
        <v>3804</v>
      </c>
      <c r="J960" s="121">
        <f t="array" ref="J960">IF(
UPPER(TRIM(CLEAN($O960)))="ENTREGADO",
IFERROR(
INDEX(REPORTE_DROPI!T:T,
MATCH($T960, REPORTE_DROPI!B:B, 0)
),
""
),
""
)
</f>
        <v>5.96</v>
      </c>
      <c r="K960" s="118">
        <f t="array" ref="K960">IFERROR(
INDEX(REPORTE_DROPI!S:S,
MATCH($T960, REPORTE_DROPI!B:B, 0)
),
""
)
</f>
        <v>14.34</v>
      </c>
      <c r="L960" s="118" t="str">
        <f>IF(
  O960&lt;&gt;"DEVOLUCION",
  "",
  IF(
    T960="",
    "",
    SUMIF(DEVOLUCION!F:F, T960, DEVOLUCION!D:D)
  )
)
</f>
        <v/>
      </c>
      <c r="M960" s="118" t="s">
        <v>3870</v>
      </c>
      <c r="N960" s="130" t="s">
        <v>5653</v>
      </c>
      <c r="O960" s="118" t="str">
        <f t="array" ref="O960">IFERROR(
VLOOKUP(
TRIM(CLEAN(
INDEX(REPORTE_DROPI!K:K,
MATCH(T960, REPORTE_DROPI!B:B, 0)
))),
{
TRIM(CLEAN(MAPA_ESTADOS!A:A)) ,
MAPA_ESTADOS!B:B
},
2,
FALSE
),
"REVISAR"
)
</f>
        <v>ENTREGADO</v>
      </c>
      <c r="P960" s="118" t="s">
        <v>3655</v>
      </c>
      <c r="Q960" s="122">
        <f t="shared" si="2"/>
        <v>0</v>
      </c>
      <c r="R960" s="118"/>
      <c r="S960" s="118"/>
      <c r="T960" s="118">
        <f t="array" ref="T960">IFERROR(
INDEX(REPORTE_DROPI!B:B,
MATCH(
CLEAN(TRIM(C960)),
CLEAN(TRIM(REPORTE_DROPI!E:E)),
0
)
),
""
)
</f>
        <v>4318330</v>
      </c>
      <c r="U960" s="118">
        <v>6.45629385118E12</v>
      </c>
      <c r="V960" s="78"/>
      <c r="W960" s="78"/>
      <c r="X960" s="78"/>
      <c r="Y960" s="78"/>
      <c r="Z960" s="78"/>
    </row>
    <row r="961" ht="22.5" customHeight="1">
      <c r="A961" s="118">
        <v>960.0</v>
      </c>
      <c r="B961" s="119">
        <v>46051.0</v>
      </c>
      <c r="C961" s="118" t="s">
        <v>5654</v>
      </c>
      <c r="D961" s="118" t="str">
        <f>IFERROR(__xludf.DUMMYFUNCTION("IFERROR(
  INDEX(
    FILTER(
      'NOMBRE DE PRODUCTOS'!B:B,
      REGEXMATCH(
        UPPER(
          INDEX(
            REPORTE_DROPI!AC:AC,
            MATCH(T961, REPORTE_DROPI!B:B, 0)
          )
        ),
        UPPER('NOMBRE DE PRODUCTOS'!A:A)"&amp;"
      )
    ),
    1
  ),
  ""REVISAR""
)
"),"FilmPro®")</f>
        <v>FilmPro®</v>
      </c>
      <c r="E961" s="120" t="str">
        <f t="array" ref="E961">IF(
UPPER(TRIM(CLEAN($O961)))="ENTREGADO",
IFERROR(
INDEX(REPORTE_DROPI!Y:Y,
MATCH($T961, REPORTE_DROPI!B:B, 0)
),
""
),
""
)
</f>
        <v/>
      </c>
      <c r="F961" s="121">
        <v>3.0</v>
      </c>
      <c r="G961" s="122" t="str">
        <f t="array" ref="G961">IF(
UPPER(TRIM(CLEAN($O961)))="ENTREGADO",
IFERROR(
INDEX(REPORTE_DROPI!R:R,
MATCH($T961, REPORTE_DROPI!B:B, 0)
),
""
),
""
)
</f>
        <v/>
      </c>
      <c r="H961" s="118"/>
      <c r="I961" s="118" t="s">
        <v>3772</v>
      </c>
      <c r="J961" s="121" t="str">
        <f t="array" ref="J961">IF(
UPPER(TRIM(CLEAN($O961)))="ENTREGADO",
IFERROR(
INDEX(REPORTE_DROPI!T:T,
MATCH($T961, REPORTE_DROPI!B:B, 0)
),
""
),
""
)
</f>
        <v/>
      </c>
      <c r="K961" s="118" t="str">
        <f t="array" ref="K961">IFERROR(
INDEX(REPORTE_DROPI!S:S,
MATCH($T961, REPORTE_DROPI!B:B, 0)
),
""
)
</f>
        <v/>
      </c>
      <c r="L961" s="118" t="str">
        <f>IF(
  O961&lt;&gt;"DEVOLUCION",
  "",
  IF(
    T961="",
    "",
    SUMIF(DEVOLUCION!F:F, T961, DEVOLUCION!D:D)
  )
)
</f>
        <v/>
      </c>
      <c r="M961" s="118" t="s">
        <v>3870</v>
      </c>
      <c r="N961" s="130" t="s">
        <v>5655</v>
      </c>
      <c r="O961" s="118" t="str">
        <f t="array" ref="O961">IFERROR(
VLOOKUP(
TRIM(CLEAN(
INDEX(REPORTE_DROPI!K:K,
MATCH(T961, REPORTE_DROPI!B:B, 0)
))),
{
TRIM(CLEAN(MAPA_ESTADOS!A:A)) ,
MAPA_ESTADOS!B:B
},
2,
FALSE
),
"REVISAR"
)
</f>
        <v>CANCELADO</v>
      </c>
      <c r="P961" s="118" t="s">
        <v>5656</v>
      </c>
      <c r="Q961" s="122">
        <f t="shared" si="2"/>
        <v>0</v>
      </c>
      <c r="R961" s="118"/>
      <c r="S961" s="118"/>
      <c r="T961" s="118">
        <f t="array" ref="T961">IFERROR(
INDEX(REPORTE_DROPI!B:B,
MATCH(
CLEAN(TRIM(C961)),
CLEAN(TRIM(REPORTE_DROPI!E:E)),
0
)
),
""
)
</f>
        <v>4316514</v>
      </c>
      <c r="U961" s="118">
        <v>6.45632891294E12</v>
      </c>
      <c r="V961" s="78"/>
      <c r="W961" s="78"/>
      <c r="X961" s="78"/>
      <c r="Y961" s="78"/>
      <c r="Z961" s="78"/>
    </row>
    <row r="962" ht="22.5" customHeight="1">
      <c r="A962" s="118">
        <v>961.0</v>
      </c>
      <c r="B962" s="119">
        <v>46051.0</v>
      </c>
      <c r="C962" s="118" t="s">
        <v>5657</v>
      </c>
      <c r="D962" s="118" t="str">
        <f>IFERROR(__xludf.DUMMYFUNCTION("IFERROR(
  INDEX(
    FILTER(
      'NOMBRE DE PRODUCTOS'!B:B,
      REGEXMATCH(
        UPPER(
          INDEX(
            REPORTE_DROPI!AC:AC,
            MATCH(T962, REPORTE_DROPI!B:B, 0)
          )
        ),
        UPPER('NOMBRE DE PRODUCTOS'!A:A)"&amp;"
      )
    ),
    1
  ),
  ""REVISAR""
)
"),"FilmPro®")</f>
        <v>FilmPro®</v>
      </c>
      <c r="E962" s="120">
        <f t="array" ref="E962">IF(
UPPER(TRIM(CLEAN($O962)))="ENTREGADO",
IFERROR(
INDEX(REPORTE_DROPI!Y:Y,
MATCH($T962, REPORTE_DROPI!B:B, 0)
),
""
),
""
)
</f>
        <v>4.7</v>
      </c>
      <c r="F962" s="121">
        <v>2.0</v>
      </c>
      <c r="G962" s="122">
        <f t="array" ref="G962">IF(
UPPER(TRIM(CLEAN($O962)))="ENTREGADO",
IFERROR(
INDEX(REPORTE_DROPI!R:R,
MATCH($T962, REPORTE_DROPI!B:B, 0)
),
""
),
""
)
</f>
        <v>25</v>
      </c>
      <c r="H962" s="118"/>
      <c r="I962" s="118" t="s">
        <v>3759</v>
      </c>
      <c r="J962" s="121">
        <f t="array" ref="J962">IF(
UPPER(TRIM(CLEAN($O962)))="ENTREGADO",
IFERROR(
INDEX(REPORTE_DROPI!T:T,
MATCH($T962, REPORTE_DROPI!B:B, 0)
),
""
),
""
)
</f>
        <v>5.96</v>
      </c>
      <c r="K962" s="118">
        <f t="array" ref="K962">IFERROR(
INDEX(REPORTE_DROPI!S:S,
MATCH($T962, REPORTE_DROPI!B:B, 0)
),
""
)
</f>
        <v>14.34</v>
      </c>
      <c r="L962" s="118" t="str">
        <f>IF(
  O962&lt;&gt;"DEVOLUCION",
  "",
  IF(
    T962="",
    "",
    SUMIF(DEVOLUCION!F:F, T962, DEVOLUCION!D:D)
  )
)
</f>
        <v/>
      </c>
      <c r="M962" s="118" t="s">
        <v>3870</v>
      </c>
      <c r="N962" s="130" t="s">
        <v>5658</v>
      </c>
      <c r="O962" s="118" t="str">
        <f t="array" ref="O962">IFERROR(
VLOOKUP(
TRIM(CLEAN(
INDEX(REPORTE_DROPI!K:K,
MATCH(T962, REPORTE_DROPI!B:B, 0)
))),
{
TRIM(CLEAN(MAPA_ESTADOS!A:A)) ,
MAPA_ESTADOS!B:B
},
2,
FALSE
),
"REVISAR"
)
</f>
        <v>ENTREGADO</v>
      </c>
      <c r="P962" s="118" t="s">
        <v>3655</v>
      </c>
      <c r="Q962" s="122">
        <f t="shared" si="2"/>
        <v>0</v>
      </c>
      <c r="R962" s="118"/>
      <c r="S962" s="118"/>
      <c r="T962" s="118">
        <f t="array" ref="T962">IFERROR(
INDEX(REPORTE_DROPI!B:B,
MATCH(
CLEAN(TRIM(C962)),
CLEAN(TRIM(REPORTE_DROPI!E:E)),
0
)
),
""
)
</f>
        <v>4316656</v>
      </c>
      <c r="U962" s="118">
        <v>6.45634808222E12</v>
      </c>
      <c r="V962" s="78"/>
      <c r="W962" s="78"/>
      <c r="X962" s="78"/>
      <c r="Y962" s="78"/>
      <c r="Z962" s="78"/>
    </row>
    <row r="963" ht="22.5" customHeight="1">
      <c r="A963" s="118">
        <v>962.0</v>
      </c>
      <c r="B963" s="119">
        <v>46051.0</v>
      </c>
      <c r="C963" s="118" t="s">
        <v>5659</v>
      </c>
      <c r="D963" s="118" t="str">
        <f>IFERROR(__xludf.DUMMYFUNCTION("IFERROR(
  INDEX(
    FILTER(
      'NOMBRE DE PRODUCTOS'!B:B,
      REGEXMATCH(
        UPPER(
          INDEX(
            REPORTE_DROPI!AC:AC,
            MATCH(T963, REPORTE_DROPI!B:B, 0)
          )
        ),
        UPPER('NOMBRE DE PRODUCTOS'!A:A)"&amp;"
      )
    ),
    1
  ),
  ""REVISAR""
)
"),"FilmPro®")</f>
        <v>FilmPro®</v>
      </c>
      <c r="E963" s="120">
        <f t="array" ref="E963">IF(
UPPER(TRIM(CLEAN($O963)))="ENTREGADO",
IFERROR(
INDEX(REPORTE_DROPI!Y:Y,
MATCH($T963, REPORTE_DROPI!B:B, 0)
),
""
),
""
)
</f>
        <v>4.7</v>
      </c>
      <c r="F963" s="121">
        <v>2.0</v>
      </c>
      <c r="G963" s="122">
        <f t="array" ref="G963">IF(
UPPER(TRIM(CLEAN($O963)))="ENTREGADO",
IFERROR(
INDEX(REPORTE_DROPI!R:R,
MATCH($T963, REPORTE_DROPI!B:B, 0)
),
""
),
""
)
</f>
        <v>25</v>
      </c>
      <c r="H963" s="118"/>
      <c r="I963" s="118" t="s">
        <v>3740</v>
      </c>
      <c r="J963" s="121">
        <f t="array" ref="J963">IF(
UPPER(TRIM(CLEAN($O963)))="ENTREGADO",
IFERROR(
INDEX(REPORTE_DROPI!T:T,
MATCH($T963, REPORTE_DROPI!B:B, 0)
),
""
),
""
)
</f>
        <v>5.96</v>
      </c>
      <c r="K963" s="118">
        <f t="array" ref="K963">IFERROR(
INDEX(REPORTE_DROPI!S:S,
MATCH($T963, REPORTE_DROPI!B:B, 0)
),
""
)
</f>
        <v>14.34</v>
      </c>
      <c r="L963" s="118" t="str">
        <f>IF(
  O963&lt;&gt;"DEVOLUCION",
  "",
  IF(
    T963="",
    "",
    SUMIF(DEVOLUCION!F:F, T963, DEVOLUCION!D:D)
  )
)
</f>
        <v/>
      </c>
      <c r="M963" s="118" t="s">
        <v>3870</v>
      </c>
      <c r="N963" s="130" t="s">
        <v>5660</v>
      </c>
      <c r="O963" s="118" t="str">
        <f t="array" ref="O963">IFERROR(
VLOOKUP(
TRIM(CLEAN(
INDEX(REPORTE_DROPI!K:K,
MATCH(T963, REPORTE_DROPI!B:B, 0)
))),
{
TRIM(CLEAN(MAPA_ESTADOS!A:A)) ,
MAPA_ESTADOS!B:B
},
2,
FALSE
),
"REVISAR"
)
</f>
        <v>ENTREGADO</v>
      </c>
      <c r="P963" s="118" t="s">
        <v>3655</v>
      </c>
      <c r="Q963" s="122">
        <f t="shared" si="2"/>
        <v>0</v>
      </c>
      <c r="R963" s="118"/>
      <c r="S963" s="118"/>
      <c r="T963" s="118">
        <f t="array" ref="T963">IFERROR(
INDEX(REPORTE_DROPI!B:B,
MATCH(
CLEAN(TRIM(C963)),
CLEAN(TRIM(REPORTE_DROPI!E:E)),
0
)
),
""
)
</f>
        <v>4316750</v>
      </c>
      <c r="U963" s="118">
        <v>6.456359256108E12</v>
      </c>
      <c r="V963" s="78"/>
      <c r="W963" s="78"/>
      <c r="X963" s="78"/>
      <c r="Y963" s="78"/>
      <c r="Z963" s="78"/>
    </row>
    <row r="964" ht="22.5" customHeight="1">
      <c r="A964" s="118">
        <v>963.0</v>
      </c>
      <c r="B964" s="119">
        <v>46051.0</v>
      </c>
      <c r="C964" s="118" t="s">
        <v>5661</v>
      </c>
      <c r="D964" s="118" t="str">
        <f>IFERROR(__xludf.DUMMYFUNCTION("IFERROR(
  INDEX(
    FILTER(
      'NOMBRE DE PRODUCTOS'!B:B,
      REGEXMATCH(
        UPPER(
          INDEX(
            REPORTE_DROPI!AC:AC,
            MATCH(T964, REPORTE_DROPI!B:B, 0)
          )
        ),
        UPPER('NOMBRE DE PRODUCTOS'!A:A)"&amp;"
      )
    ),
    1
  ),
  ""REVISAR""
)
"),"FilmPro®")</f>
        <v>FilmPro®</v>
      </c>
      <c r="E964" s="120" t="str">
        <f t="array" ref="E964">IF(
UPPER(TRIM(CLEAN($O964)))="ENTREGADO",
IFERROR(
INDEX(REPORTE_DROPI!Y:Y,
MATCH($T964, REPORTE_DROPI!B:B, 0)
),
""
),
""
)
</f>
        <v/>
      </c>
      <c r="F964" s="121">
        <v>1.0</v>
      </c>
      <c r="G964" s="122" t="str">
        <f t="array" ref="G964">IF(
UPPER(TRIM(CLEAN($O964)))="ENTREGADO",
IFERROR(
INDEX(REPORTE_DROPI!R:R,
MATCH($T964, REPORTE_DROPI!B:B, 0)
),
""
),
""
)
</f>
        <v/>
      </c>
      <c r="H964" s="118"/>
      <c r="I964" s="118" t="s">
        <v>3740</v>
      </c>
      <c r="J964" s="121" t="str">
        <f t="array" ref="J964">IF(
UPPER(TRIM(CLEAN($O964)))="ENTREGADO",
IFERROR(
INDEX(REPORTE_DROPI!T:T,
MATCH($T964, REPORTE_DROPI!B:B, 0)
),
""
),
""
)
</f>
        <v/>
      </c>
      <c r="K964" s="118" t="str">
        <f t="array" ref="K964">IFERROR(
INDEX(REPORTE_DROPI!S:S,
MATCH($T964, REPORTE_DROPI!B:B, 0)
),
""
)
</f>
        <v/>
      </c>
      <c r="L964" s="118">
        <f>IF(
  O964&lt;&gt;"DEVOLUCION",
  "",
  IF(
    T964="",
    "",
    SUMIF(DEVOLUCION!F:F, T964, DEVOLUCION!D:D)
  )
)
</f>
        <v>5.06</v>
      </c>
      <c r="M964" s="118" t="s">
        <v>3870</v>
      </c>
      <c r="N964" s="130" t="s">
        <v>5662</v>
      </c>
      <c r="O964" s="118" t="str">
        <f t="array" ref="O964">IFERROR(
VLOOKUP(
TRIM(CLEAN(
INDEX(REPORTE_DROPI!K:K,
MATCH(T964, REPORTE_DROPI!B:B, 0)
))),
{
TRIM(CLEAN(MAPA_ESTADOS!A:A)) ,
MAPA_ESTADOS!B:B
},
2,
FALSE
),
"REVISAR"
)
</f>
        <v>DEVOLUCION</v>
      </c>
      <c r="P964" s="118" t="s">
        <v>3655</v>
      </c>
      <c r="Q964" s="122">
        <f t="shared" si="2"/>
        <v>0</v>
      </c>
      <c r="R964" s="118"/>
      <c r="S964" s="118"/>
      <c r="T964" s="118">
        <f t="array" ref="T964">IFERROR(
INDEX(REPORTE_DROPI!B:B,
MATCH(
CLEAN(TRIM(C964)),
CLEAN(TRIM(REPORTE_DROPI!E:E)),
0
)
),
""
)
</f>
        <v>4318302</v>
      </c>
      <c r="U964" s="118">
        <v>6.456390156332E12</v>
      </c>
      <c r="V964" s="78"/>
      <c r="W964" s="78"/>
      <c r="X964" s="78"/>
      <c r="Y964" s="78"/>
      <c r="Z964" s="78"/>
    </row>
    <row r="965" ht="22.5" customHeight="1">
      <c r="A965" s="118">
        <v>964.0</v>
      </c>
      <c r="B965" s="119">
        <v>46051.0</v>
      </c>
      <c r="C965" s="126" t="s">
        <v>5663</v>
      </c>
      <c r="D965" s="118" t="str">
        <f>IFERROR(__xludf.DUMMYFUNCTION("IFERROR(
  INDEX(
    FILTER(
      'NOMBRE DE PRODUCTOS'!B:B,
      REGEXMATCH(
        UPPER(
          INDEX(
            REPORTE_DROPI!AC:AC,
            MATCH(T965, REPORTE_DROPI!B:B, 0)
          )
        ),
        UPPER('NOMBRE DE PRODUCTOS'!A:A)"&amp;"
      )
    ),
    1
  ),
  ""REVISAR""
)
"),"FilmPro®")</f>
        <v>FilmPro®</v>
      </c>
      <c r="E965" s="120" t="str">
        <f t="array" ref="E965">IF(
UPPER(TRIM(CLEAN($O965)))="ENTREGADO",
IFERROR(
INDEX(REPORTE_DROPI!Y:Y,
MATCH($T965, REPORTE_DROPI!B:B, 0)
),
""
),
""
)
</f>
        <v/>
      </c>
      <c r="F965" s="121">
        <v>3.0</v>
      </c>
      <c r="G965" s="122" t="str">
        <f t="array" ref="G965">IF(
UPPER(TRIM(CLEAN($O965)))="ENTREGADO",
IFERROR(
INDEX(REPORTE_DROPI!R:R,
MATCH($T965, REPORTE_DROPI!B:B, 0)
),
""
),
""
)
</f>
        <v/>
      </c>
      <c r="H965" s="118"/>
      <c r="I965" s="118" t="s">
        <v>3951</v>
      </c>
      <c r="J965" s="121" t="str">
        <f t="array" ref="J965">IF(
UPPER(TRIM(CLEAN($O965)))="ENTREGADO",
IFERROR(
INDEX(REPORTE_DROPI!T:T,
MATCH($T965, REPORTE_DROPI!B:B, 0)
),
""
),
""
)
</f>
        <v/>
      </c>
      <c r="K965" s="118" t="str">
        <f t="array" ref="K965">IFERROR(
INDEX(REPORTE_DROPI!S:S,
MATCH($T965, REPORTE_DROPI!B:B, 0)
),
""
)
</f>
        <v/>
      </c>
      <c r="L965" s="118" t="str">
        <f>IF(
  O965&lt;&gt;"DEVOLUCION",
  "",
  IF(
    T965="",
    "",
    SUMIF(DEVOLUCION!F:F, T965, DEVOLUCION!D:D)
  )
)
</f>
        <v/>
      </c>
      <c r="M965" s="118" t="s">
        <v>3870</v>
      </c>
      <c r="N965" s="130" t="s">
        <v>5664</v>
      </c>
      <c r="O965" s="118" t="str">
        <f t="array" ref="O965">IFERROR(
VLOOKUP(
TRIM(CLEAN(
INDEX(REPORTE_DROPI!K:K,
MATCH(T965, REPORTE_DROPI!B:B, 0)
))),
{
TRIM(CLEAN(MAPA_ESTADOS!A:A)) ,
MAPA_ESTADOS!B:B
},
2,
FALSE
),
"REVISAR"
)
</f>
        <v>PENDIENTE</v>
      </c>
      <c r="P965" s="118" t="s">
        <v>5523</v>
      </c>
      <c r="Q965" s="122">
        <f t="shared" si="2"/>
        <v>0</v>
      </c>
      <c r="R965" s="118"/>
      <c r="S965" s="118"/>
      <c r="T965" s="118">
        <f t="array" ref="T965">IFERROR(
INDEX(REPORTE_DROPI!B:B,
MATCH(
CLEAN(TRIM(C965)),
CLEAN(TRIM(REPORTE_DROPI!E:E)),
0
)
),
""
)
</f>
        <v>4318172</v>
      </c>
      <c r="U965" s="118">
        <v>6.456401526828E12</v>
      </c>
      <c r="V965" s="78"/>
      <c r="W965" s="78"/>
      <c r="X965" s="78"/>
      <c r="Y965" s="78"/>
      <c r="Z965" s="78"/>
    </row>
    <row r="966" ht="22.5" customHeight="1">
      <c r="A966" s="118">
        <v>965.0</v>
      </c>
      <c r="B966" s="119">
        <v>46051.0</v>
      </c>
      <c r="C966" s="118" t="s">
        <v>5665</v>
      </c>
      <c r="D966" s="118" t="str">
        <f>IFERROR(__xludf.DUMMYFUNCTION("IFERROR(
  INDEX(
    FILTER(
      'NOMBRE DE PRODUCTOS'!B:B,
      REGEXMATCH(
        UPPER(
          INDEX(
            REPORTE_DROPI!AC:AC,
            MATCH(T966, REPORTE_DROPI!B:B, 0)
          )
        ),
        UPPER('NOMBRE DE PRODUCTOS'!A:A)"&amp;"
      )
    ),
    1
  ),
  ""REVISAR""
)
"),"Llave Multifuncional 360™")</f>
        <v>Llave Multifuncional 360™</v>
      </c>
      <c r="E966" s="120">
        <f t="array" ref="E966">IF(
UPPER(TRIM(CLEAN($O966)))="ENTREGADO",
IFERROR(
INDEX(REPORTE_DROPI!Y:Y,
MATCH($T966, REPORTE_DROPI!B:B, 0)
),
""
),
""
)
</f>
        <v>5</v>
      </c>
      <c r="F966" s="121">
        <v>1.0</v>
      </c>
      <c r="G966" s="122">
        <f t="array" ref="G966">IF(
UPPER(TRIM(CLEAN($O966)))="ENTREGADO",
IFERROR(
INDEX(REPORTE_DROPI!R:R,
MATCH($T966, REPORTE_DROPI!B:B, 0)
),
""
),
""
)
</f>
        <v>21.99</v>
      </c>
      <c r="H966" s="118"/>
      <c r="I966" s="118" t="s">
        <v>3731</v>
      </c>
      <c r="J966" s="121">
        <f t="array" ref="J966">IF(
UPPER(TRIM(CLEAN($O966)))="ENTREGADO",
IFERROR(
INDEX(REPORTE_DROPI!T:T,
MATCH($T966, REPORTE_DROPI!B:B, 0)
),
""
),
""
)
</f>
        <v>4.23</v>
      </c>
      <c r="K966" s="118">
        <f t="array" ref="K966">IFERROR(
INDEX(REPORTE_DROPI!S:S,
MATCH($T966, REPORTE_DROPI!B:B, 0)
),
""
)
</f>
        <v>12.76</v>
      </c>
      <c r="L966" s="118" t="str">
        <f>IF(
  O966&lt;&gt;"DEVOLUCION",
  "",
  IF(
    T966="",
    "",
    SUMIF(DEVOLUCION!F:F, T966, DEVOLUCION!D:D)
  )
)
</f>
        <v/>
      </c>
      <c r="M966" s="118" t="s">
        <v>3870</v>
      </c>
      <c r="N966" s="130" t="s">
        <v>5666</v>
      </c>
      <c r="O966" s="118" t="str">
        <f t="array" ref="O966">IFERROR(
VLOOKUP(
TRIM(CLEAN(
INDEX(REPORTE_DROPI!K:K,
MATCH(T966, REPORTE_DROPI!B:B, 0)
))),
{
TRIM(CLEAN(MAPA_ESTADOS!A:A)) ,
MAPA_ESTADOS!B:B
},
2,
FALSE
),
"REVISAR"
)
</f>
        <v>ENTREGADO</v>
      </c>
      <c r="P966" s="118" t="s">
        <v>3655</v>
      </c>
      <c r="Q966" s="122">
        <f t="shared" si="2"/>
        <v>0</v>
      </c>
      <c r="R966" s="118"/>
      <c r="S966" s="118"/>
      <c r="T966" s="118">
        <f t="array" ref="T966">IFERROR(
INDEX(REPORTE_DROPI!B:B,
MATCH(
CLEAN(TRIM(C966)),
CLEAN(TRIM(REPORTE_DROPI!E:E)),
0
)
),
""
)
</f>
        <v>4317828</v>
      </c>
      <c r="U966" s="118">
        <v>6.456510152748E12</v>
      </c>
      <c r="V966" s="78"/>
      <c r="W966" s="78"/>
      <c r="X966" s="78"/>
      <c r="Y966" s="78"/>
      <c r="Z966" s="78"/>
    </row>
    <row r="967" ht="22.5" customHeight="1">
      <c r="A967" s="118">
        <v>966.0</v>
      </c>
      <c r="B967" s="119">
        <v>46051.0</v>
      </c>
      <c r="C967" s="118" t="s">
        <v>5667</v>
      </c>
      <c r="D967" s="118" t="str">
        <f>IFERROR(__xludf.DUMMYFUNCTION("IFERROR(
  INDEX(
    FILTER(
      'NOMBRE DE PRODUCTOS'!B:B,
      REGEXMATCH(
        UPPER(
          INDEX(
            REPORTE_DROPI!AC:AC,
            MATCH(T967, REPORTE_DROPI!B:B, 0)
          )
        ),
        UPPER('NOMBRE DE PRODUCTOS'!A:A)"&amp;"
      )
    ),
    1
  ),
  ""REVISAR""
)
"),"Llave Multifuncional 360™")</f>
        <v>Llave Multifuncional 360™</v>
      </c>
      <c r="E967" s="120" t="str">
        <f t="array" ref="E967">IF(
UPPER(TRIM(CLEAN($O967)))="ENTREGADO",
IFERROR(
INDEX(REPORTE_DROPI!Y:Y,
MATCH($T967, REPORTE_DROPI!B:B, 0)
),
""
),
""
)
</f>
        <v/>
      </c>
      <c r="F967" s="121">
        <v>1.0</v>
      </c>
      <c r="G967" s="122" t="str">
        <f t="array" ref="G967">IF(
UPPER(TRIM(CLEAN($O967)))="ENTREGADO",
IFERROR(
INDEX(REPORTE_DROPI!R:R,
MATCH($T967, REPORTE_DROPI!B:B, 0)
),
""
),
""
)
</f>
        <v/>
      </c>
      <c r="H967" s="118"/>
      <c r="I967" s="118" t="s">
        <v>3740</v>
      </c>
      <c r="J967" s="121" t="str">
        <f t="array" ref="J967">IF(
UPPER(TRIM(CLEAN($O967)))="ENTREGADO",
IFERROR(
INDEX(REPORTE_DROPI!T:T,
MATCH($T967, REPORTE_DROPI!B:B, 0)
),
""
),
""
)
</f>
        <v/>
      </c>
      <c r="K967" s="118" t="str">
        <f t="array" ref="K967">IFERROR(
INDEX(REPORTE_DROPI!S:S,
MATCH($T967, REPORTE_DROPI!B:B, 0)
),
""
)
</f>
        <v/>
      </c>
      <c r="L967" s="118">
        <f>IF(
  O967&lt;&gt;"DEVOLUCION",
  "",
  IF(
    T967="",
    "",
    SUMIF(DEVOLUCION!F:F, T967, DEVOLUCION!D:D)
  )
)
</f>
        <v>5.07</v>
      </c>
      <c r="M967" s="118" t="s">
        <v>3870</v>
      </c>
      <c r="N967" s="130" t="s">
        <v>5668</v>
      </c>
      <c r="O967" s="118" t="str">
        <f t="array" ref="O967">IFERROR(
VLOOKUP(
TRIM(CLEAN(
INDEX(REPORTE_DROPI!K:K,
MATCH(T967, REPORTE_DROPI!B:B, 0)
))),
{
TRIM(CLEAN(MAPA_ESTADOS!A:A)) ,
MAPA_ESTADOS!B:B
},
2,
FALSE
),
"REVISAR"
)
</f>
        <v>DEVOLUCION</v>
      </c>
      <c r="P967" s="118" t="s">
        <v>3655</v>
      </c>
      <c r="Q967" s="122">
        <f t="shared" si="2"/>
        <v>0</v>
      </c>
      <c r="R967" s="118" t="s">
        <v>3675</v>
      </c>
      <c r="S967" s="118">
        <v>1.0</v>
      </c>
      <c r="T967" s="118">
        <f t="array" ref="T967">IFERROR(
INDEX(REPORTE_DROPI!B:B,
MATCH(
CLEAN(TRIM(C967)),
CLEAN(TRIM(REPORTE_DROPI!E:E)),
0
)
),
""
)
</f>
        <v>4318001</v>
      </c>
      <c r="U967" s="118">
        <v>6.456538169388E12</v>
      </c>
      <c r="V967" s="78"/>
      <c r="W967" s="78"/>
      <c r="X967" s="78"/>
      <c r="Y967" s="78"/>
      <c r="Z967" s="78"/>
    </row>
    <row r="968" ht="22.5" customHeight="1">
      <c r="A968" s="118">
        <v>967.0</v>
      </c>
      <c r="B968" s="119">
        <v>46051.0</v>
      </c>
      <c r="C968" s="126" t="s">
        <v>5669</v>
      </c>
      <c r="D968" s="118" t="str">
        <f>IFERROR(__xludf.DUMMYFUNCTION("IFERROR(
  INDEX(
    FILTER(
      'NOMBRE DE PRODUCTOS'!B:B,
      REGEXMATCH(
        UPPER(
          INDEX(
            REPORTE_DROPI!AC:AC,
            MATCH(T968, REPORTE_DROPI!B:B, 0)
          )
        ),
        UPPER('NOMBRE DE PRODUCTOS'!A:A)"&amp;"
      )
    ),
    1
  ),
  ""REVISAR""
)
"),"Llave Multifuncional 360™")</f>
        <v>Llave Multifuncional 360™</v>
      </c>
      <c r="E968" s="120" t="str">
        <f t="array" ref="E968">IF(
UPPER(TRIM(CLEAN($O968)))="ENTREGADO",
IFERROR(
INDEX(REPORTE_DROPI!Y:Y,
MATCH($T968, REPORTE_DROPI!B:B, 0)
),
""
),
""
)
</f>
        <v/>
      </c>
      <c r="F968" s="121">
        <v>1.0</v>
      </c>
      <c r="G968" s="122" t="str">
        <f t="array" ref="G968">IF(
UPPER(TRIM(CLEAN($O968)))="ENTREGADO",
IFERROR(
INDEX(REPORTE_DROPI!R:R,
MATCH($T968, REPORTE_DROPI!B:B, 0)
),
""
),
""
)
</f>
        <v/>
      </c>
      <c r="H968" s="118"/>
      <c r="I968" s="118" t="s">
        <v>3778</v>
      </c>
      <c r="J968" s="121" t="str">
        <f t="array" ref="J968">IF(
UPPER(TRIM(CLEAN($O968)))="ENTREGADO",
IFERROR(
INDEX(REPORTE_DROPI!T:T,
MATCH($T968, REPORTE_DROPI!B:B, 0)
),
""
),
""
)
</f>
        <v/>
      </c>
      <c r="K968" s="118" t="str">
        <f t="array" ref="K968">IFERROR(
INDEX(REPORTE_DROPI!S:S,
MATCH($T968, REPORTE_DROPI!B:B, 0)
),
""
)
</f>
        <v/>
      </c>
      <c r="L968" s="118">
        <f>IF(
  O968&lt;&gt;"DEVOLUCION",
  "",
  IF(
    T968="",
    "",
    SUMIF(DEVOLUCION!F:F, T968, DEVOLUCION!D:D)
  )
)
</f>
        <v>5.07</v>
      </c>
      <c r="M968" s="118" t="s">
        <v>3870</v>
      </c>
      <c r="N968" s="130" t="s">
        <v>5670</v>
      </c>
      <c r="O968" s="118" t="str">
        <f t="array" ref="O968">IFERROR(
VLOOKUP(
TRIM(CLEAN(
INDEX(REPORTE_DROPI!K:K,
MATCH(T968, REPORTE_DROPI!B:B, 0)
))),
{
TRIM(CLEAN(MAPA_ESTADOS!A:A)) ,
MAPA_ESTADOS!B:B
},
2,
FALSE
),
"REVISAR"
)
</f>
        <v>DEVOLUCION</v>
      </c>
      <c r="P968" s="118" t="s">
        <v>3655</v>
      </c>
      <c r="Q968" s="122">
        <f t="shared" si="2"/>
        <v>0</v>
      </c>
      <c r="R968" s="118" t="s">
        <v>3675</v>
      </c>
      <c r="S968" s="118">
        <v>1.0</v>
      </c>
      <c r="T968" s="118">
        <f t="array" ref="T968">IFERROR(
INDEX(REPORTE_DROPI!B:B,
MATCH(
CLEAN(TRIM(C968)),
CLEAN(TRIM(REPORTE_DROPI!E:E)),
0
)
),
""
)
</f>
        <v>4318772</v>
      </c>
      <c r="U968" s="118"/>
      <c r="V968" s="78"/>
      <c r="W968" s="78"/>
      <c r="X968" s="78"/>
      <c r="Y968" s="78"/>
      <c r="Z968" s="78"/>
    </row>
    <row r="969" ht="22.5" customHeight="1">
      <c r="A969" s="118">
        <v>968.0</v>
      </c>
      <c r="B969" s="119">
        <v>46051.0</v>
      </c>
      <c r="C969" s="126" t="s">
        <v>5671</v>
      </c>
      <c r="D969" s="118" t="str">
        <f>IFERROR(__xludf.DUMMYFUNCTION("IFERROR(
  INDEX(
    FILTER(
      'NOMBRE DE PRODUCTOS'!B:B,
      REGEXMATCH(
        UPPER(
          INDEX(
            REPORTE_DROPI!AC:AC,
            MATCH(T969, REPORTE_DROPI!B:B, 0)
          )
        ),
        UPPER('NOMBRE DE PRODUCTOS'!A:A)"&amp;"
      )
    ),
    1
  ),
  ""REVISAR""
)
"),"Llave Multifuncional 360™")</f>
        <v>Llave Multifuncional 360™</v>
      </c>
      <c r="E969" s="120" t="str">
        <f t="array" ref="E969">IF(
UPPER(TRIM(CLEAN($O969)))="ENTREGADO",
IFERROR(
INDEX(REPORTE_DROPI!Y:Y,
MATCH($T969, REPORTE_DROPI!B:B, 0)
),
""
),
""
)
</f>
        <v/>
      </c>
      <c r="F969" s="121">
        <v>1.0</v>
      </c>
      <c r="G969" s="122" t="str">
        <f t="array" ref="G969">IF(
UPPER(TRIM(CLEAN($O969)))="ENTREGADO",
IFERROR(
INDEX(REPORTE_DROPI!R:R,
MATCH($T969, REPORTE_DROPI!B:B, 0)
),
""
),
""
)
</f>
        <v/>
      </c>
      <c r="H969" s="136"/>
      <c r="I969" s="118" t="s">
        <v>3784</v>
      </c>
      <c r="J969" s="121" t="str">
        <f t="array" ref="J969">IF(
UPPER(TRIM(CLEAN($O969)))="ENTREGADO",
IFERROR(
INDEX(REPORTE_DROPI!T:T,
MATCH($T969, REPORTE_DROPI!B:B, 0)
),
""
),
""
)
</f>
        <v/>
      </c>
      <c r="K969" s="118" t="str">
        <f t="array" ref="K969">IFERROR(
INDEX(REPORTE_DROPI!S:S,
MATCH($T969, REPORTE_DROPI!B:B, 0)
),
""
)
</f>
        <v/>
      </c>
      <c r="L969" s="118">
        <f>IF(
  O969&lt;&gt;"DEVOLUCION",
  "",
  IF(
    T969="",
    "",
    SUMIF(DEVOLUCION!F:F, T969, DEVOLUCION!D:D)
  )
)
</f>
        <v>7.7</v>
      </c>
      <c r="M969" s="118" t="s">
        <v>5672</v>
      </c>
      <c r="N969" s="118" t="s">
        <v>5673</v>
      </c>
      <c r="O969" s="118" t="str">
        <f t="array" ref="O969">IFERROR(
VLOOKUP(
TRIM(CLEAN(
INDEX(REPORTE_DROPI!K:K,
MATCH(T969, REPORTE_DROPI!B:B, 0)
))),
{
TRIM(CLEAN(MAPA_ESTADOS!A:A)) ,
MAPA_ESTADOS!B:B
},
2,
FALSE
),
"REVISAR"
)
</f>
        <v>DEVOLUCION</v>
      </c>
      <c r="P969" s="118" t="s">
        <v>5674</v>
      </c>
      <c r="Q969" s="122">
        <f t="shared" si="2"/>
        <v>0</v>
      </c>
      <c r="R969" s="118" t="s">
        <v>3675</v>
      </c>
      <c r="S969" s="118">
        <v>1.0</v>
      </c>
      <c r="T969" s="118">
        <f t="array" ref="T969">IFERROR(
INDEX(REPORTE_DROPI!B:B,
MATCH(
CLEAN(TRIM(C969)),
CLEAN(TRIM(REPORTE_DROPI!E:E)),
0
)
),
""
)
</f>
        <v>4330008</v>
      </c>
      <c r="U969" s="118"/>
      <c r="V969" s="78"/>
      <c r="W969" s="78"/>
      <c r="X969" s="78"/>
      <c r="Y969" s="78"/>
      <c r="Z969" s="78"/>
    </row>
    <row r="970" ht="22.5" customHeight="1">
      <c r="A970" s="118" t="s">
        <v>5675</v>
      </c>
      <c r="B970" s="119">
        <v>46051.0</v>
      </c>
      <c r="C970" s="126" t="s">
        <v>5676</v>
      </c>
      <c r="D970" s="118" t="str">
        <f>IFERROR(__xludf.DUMMYFUNCTION("IFERROR(
  INDEX(
    FILTER(
      'NOMBRE DE PRODUCTOS'!B:B,
      REGEXMATCH(
        UPPER(
          INDEX(
            REPORTE_DROPI!AC:AC,
            MATCH(T970, REPORTE_DROPI!B:B, 0)
          )
        ),
        UPPER('NOMBRE DE PRODUCTOS'!A:A)"&amp;"
      )
    ),
    1
  ),
  ""REVISAR""
)
"),"FilmPro®")</f>
        <v>FilmPro®</v>
      </c>
      <c r="E970" s="120">
        <f t="array" ref="E970">IF(
UPPER(TRIM(CLEAN($O970)))="ENTREGADO",
IFERROR(
INDEX(REPORTE_DROPI!Y:Y,
MATCH($T970, REPORTE_DROPI!B:B, 0)
),
""
),
""
)
</f>
        <v>2.35</v>
      </c>
      <c r="F970" s="121">
        <v>1.0</v>
      </c>
      <c r="G970" s="122">
        <f t="array" ref="G970">IF(
UPPER(TRIM(CLEAN($O970)))="ENTREGADO",
IFERROR(
INDEX(REPORTE_DROPI!R:R,
MATCH($T970, REPORTE_DROPI!B:B, 0)
),
""
),
""
)
</f>
        <v>20</v>
      </c>
      <c r="H970" s="118"/>
      <c r="I970" s="118" t="s">
        <v>3731</v>
      </c>
      <c r="J970" s="121">
        <f t="array" ref="J970">IF(
UPPER(TRIM(CLEAN($O970)))="ENTREGADO",
IFERROR(
INDEX(REPORTE_DROPI!T:T,
MATCH($T970, REPORTE_DROPI!B:B, 0)
),
""
),
""
)
</f>
        <v>5.64</v>
      </c>
      <c r="K970" s="118">
        <f t="array" ref="K970">IFERROR(
INDEX(REPORTE_DROPI!S:S,
MATCH($T970, REPORTE_DROPI!B:B, 0)
),
""
)
</f>
        <v>12.01</v>
      </c>
      <c r="L970" s="118" t="str">
        <f>IF(
  O970&lt;&gt;"DEVOLUCION",
  "",
  IF(
    T970="",
    "",
    SUMIF(DEVOLUCION!F:F, T970, DEVOLUCION!D:D)
  )
)
</f>
        <v/>
      </c>
      <c r="M970" s="118" t="s">
        <v>3870</v>
      </c>
      <c r="N970" s="130" t="s">
        <v>5677</v>
      </c>
      <c r="O970" s="118" t="str">
        <f t="array" ref="O970">IFERROR(
VLOOKUP(
TRIM(CLEAN(
INDEX(REPORTE_DROPI!K:K,
MATCH(T970, REPORTE_DROPI!B:B, 0)
))),
{
TRIM(CLEAN(MAPA_ESTADOS!A:A)) ,
MAPA_ESTADOS!B:B
},
2,
FALSE
),
"REVISAR"
)
</f>
        <v>ENTREGADO</v>
      </c>
      <c r="P970" s="118" t="s">
        <v>3655</v>
      </c>
      <c r="Q970" s="122">
        <f t="shared" si="2"/>
        <v>0</v>
      </c>
      <c r="R970" s="118"/>
      <c r="S970" s="118"/>
      <c r="T970" s="118">
        <f t="array" ref="T970">IFERROR(
INDEX(REPORTE_DROPI!B:B,
MATCH(
CLEAN(TRIM(C970)),
CLEAN(TRIM(REPORTE_DROPI!E:E)),
0
)
),
""
)
</f>
        <v>4330329</v>
      </c>
      <c r="U970" s="118">
        <v>6.459870183468E12</v>
      </c>
      <c r="V970" s="78"/>
      <c r="W970" s="78"/>
      <c r="X970" s="78"/>
      <c r="Y970" s="78"/>
      <c r="Z970" s="78"/>
    </row>
    <row r="971" ht="22.5" customHeight="1">
      <c r="A971" s="118" t="s">
        <v>5675</v>
      </c>
      <c r="B971" s="119">
        <v>46051.0</v>
      </c>
      <c r="C971" s="126" t="s">
        <v>5678</v>
      </c>
      <c r="D971" s="118" t="str">
        <f>IFERROR(__xludf.DUMMYFUNCTION("IFERROR(
  INDEX(
    FILTER(
      'NOMBRE DE PRODUCTOS'!B:B,
      REGEXMATCH(
        UPPER(
          INDEX(
            REPORTE_DROPI!AC:AC,
            MATCH(T971, REPORTE_DROPI!B:B, 0)
          )
        ),
        UPPER('NOMBRE DE PRODUCTOS'!A:A)"&amp;"
      )
    ),
    1
  ),
  ""REVISAR""
)
"),"FilmPro®")</f>
        <v>FilmPro®</v>
      </c>
      <c r="E971" s="120" t="str">
        <f t="array" ref="E971">IF(
UPPER(TRIM(CLEAN($O971)))="ENTREGADO",
IFERROR(
INDEX(REPORTE_DROPI!Y:Y,
MATCH($T971, REPORTE_DROPI!B:B, 0)
),
""
),
""
)
</f>
        <v/>
      </c>
      <c r="F971" s="121">
        <v>1.0</v>
      </c>
      <c r="G971" s="122" t="str">
        <f t="array" ref="G971">IF(
UPPER(TRIM(CLEAN($O971)))="ENTREGADO",
IFERROR(
INDEX(REPORTE_DROPI!R:R,
MATCH($T971, REPORTE_DROPI!B:B, 0)
),
""
),
""
)
</f>
        <v/>
      </c>
      <c r="H971" s="118"/>
      <c r="I971" s="118" t="s">
        <v>3731</v>
      </c>
      <c r="J971" s="121" t="str">
        <f t="array" ref="J971">IF(
UPPER(TRIM(CLEAN($O971)))="ENTREGADO",
IFERROR(
INDEX(REPORTE_DROPI!T:T,
MATCH($T971, REPORTE_DROPI!B:B, 0)
),
""
),
""
)
</f>
        <v/>
      </c>
      <c r="K971" s="118" t="str">
        <f t="array" ref="K971">IFERROR(
INDEX(REPORTE_DROPI!S:S,
MATCH($T971, REPORTE_DROPI!B:B, 0)
),
""
)
</f>
        <v/>
      </c>
      <c r="L971" s="118" t="str">
        <f>IF(
  O971&lt;&gt;"DEVOLUCION",
  "",
  IF(
    T971="",
    "",
    SUMIF(DEVOLUCION!F:F, T971, DEVOLUCION!D:D)
  )
)
</f>
        <v/>
      </c>
      <c r="M971" s="118" t="s">
        <v>3870</v>
      </c>
      <c r="N971" s="130" t="s">
        <v>5679</v>
      </c>
      <c r="O971" s="118" t="str">
        <f t="array" ref="O971">IFERROR(
VLOOKUP(
TRIM(CLEAN(
INDEX(REPORTE_DROPI!K:K,
MATCH(T971, REPORTE_DROPI!B:B, 0)
))),
{
TRIM(CLEAN(MAPA_ESTADOS!A:A)) ,
MAPA_ESTADOS!B:B
},
2,
FALSE
),
"REVISAR"
)
</f>
        <v>PENDIENTE</v>
      </c>
      <c r="P971" s="118" t="s">
        <v>5680</v>
      </c>
      <c r="Q971" s="122">
        <f t="shared" si="2"/>
        <v>0</v>
      </c>
      <c r="R971" s="118"/>
      <c r="S971" s="118"/>
      <c r="T971" s="118">
        <f t="array" ref="T971">IFERROR(
INDEX(REPORTE_DROPI!B:B,
MATCH(
CLEAN(TRIM(C971)),
CLEAN(TRIM(REPORTE_DROPI!E:E)),
0
)
),
""
)
</f>
        <v>4335152</v>
      </c>
      <c r="U971" s="118">
        <v>6.460060631084E12</v>
      </c>
      <c r="V971" s="78"/>
      <c r="W971" s="78"/>
      <c r="X971" s="78"/>
      <c r="Y971" s="78"/>
      <c r="Z971" s="78"/>
    </row>
    <row r="972" ht="22.5" customHeight="1">
      <c r="A972" s="118" t="s">
        <v>5675</v>
      </c>
      <c r="B972" s="119">
        <v>46051.0</v>
      </c>
      <c r="C972" s="126" t="s">
        <v>5681</v>
      </c>
      <c r="D972" s="118" t="str">
        <f>IFERROR(__xludf.DUMMYFUNCTION("IFERROR(
  INDEX(
    FILTER(
      'NOMBRE DE PRODUCTOS'!B:B,
      REGEXMATCH(
        UPPER(
          INDEX(
            REPORTE_DROPI!AC:AC,
            MATCH(T972, REPORTE_DROPI!B:B, 0)
          )
        ),
        UPPER('NOMBRE DE PRODUCTOS'!A:A)"&amp;"
      )
    ),
    1
  ),
  ""REVISAR""
)
"),"FilmPro®")</f>
        <v>FilmPro®</v>
      </c>
      <c r="E972" s="120" t="str">
        <f t="array" ref="E972">IF(
UPPER(TRIM(CLEAN($O972)))="ENTREGADO",
IFERROR(
INDEX(REPORTE_DROPI!Y:Y,
MATCH($T972, REPORTE_DROPI!B:B, 0)
),
""
),
""
)
</f>
        <v/>
      </c>
      <c r="F972" s="121">
        <v>3.0</v>
      </c>
      <c r="G972" s="122" t="str">
        <f t="array" ref="G972">IF(
UPPER(TRIM(CLEAN($O972)))="ENTREGADO",
IFERROR(
INDEX(REPORTE_DROPI!R:R,
MATCH($T972, REPORTE_DROPI!B:B, 0)
),
""
),
""
)
</f>
        <v/>
      </c>
      <c r="H972" s="118"/>
      <c r="I972" s="118" t="s">
        <v>3740</v>
      </c>
      <c r="J972" s="121" t="str">
        <f t="array" ref="J972">IF(
UPPER(TRIM(CLEAN($O972)))="ENTREGADO",
IFERROR(
INDEX(REPORTE_DROPI!T:T,
MATCH($T972, REPORTE_DROPI!B:B, 0)
),
""
),
""
)
</f>
        <v/>
      </c>
      <c r="K972" s="118" t="str">
        <f t="array" ref="K972">IFERROR(
INDEX(REPORTE_DROPI!S:S,
MATCH($T972, REPORTE_DROPI!B:B, 0)
),
""
)
</f>
        <v/>
      </c>
      <c r="L972" s="118">
        <f>IF(
  O972&lt;&gt;"DEVOLUCION",
  "",
  IF(
    T972="",
    "",
    SUMIF(DEVOLUCION!F:F, T972, DEVOLUCION!D:D)
  )
)
</f>
        <v>5.12</v>
      </c>
      <c r="M972" s="118" t="s">
        <v>3870</v>
      </c>
      <c r="N972" s="130" t="s">
        <v>5682</v>
      </c>
      <c r="O972" s="118" t="str">
        <f t="array" ref="O972">IFERROR(
VLOOKUP(
TRIM(CLEAN(
INDEX(REPORTE_DROPI!K:K,
MATCH(T972, REPORTE_DROPI!B:B, 0)
))),
{
TRIM(CLEAN(MAPA_ESTADOS!A:A)) ,
MAPA_ESTADOS!B:B
},
2,
FALSE
),
"REVISAR"
)
</f>
        <v>DEVOLUCION</v>
      </c>
      <c r="P972" s="118" t="s">
        <v>3655</v>
      </c>
      <c r="Q972" s="122">
        <f t="shared" si="2"/>
        <v>0</v>
      </c>
      <c r="R972" s="118"/>
      <c r="S972" s="118"/>
      <c r="T972" s="118">
        <f t="array" ref="T972">IFERROR(
INDEX(REPORTE_DROPI!B:B,
MATCH(
CLEAN(TRIM(C972)),
CLEAN(TRIM(REPORTE_DROPI!E:E)),
0
)
),
""
)
</f>
        <v>4330471</v>
      </c>
      <c r="U972" s="118">
        <v>6.460114829356E12</v>
      </c>
      <c r="V972" s="78"/>
      <c r="W972" s="78"/>
      <c r="X972" s="78"/>
      <c r="Y972" s="78"/>
      <c r="Z972" s="78"/>
    </row>
    <row r="973" ht="22.5" customHeight="1">
      <c r="A973" s="118" t="s">
        <v>5675</v>
      </c>
      <c r="B973" s="119">
        <v>46051.0</v>
      </c>
      <c r="C973" s="126" t="s">
        <v>5683</v>
      </c>
      <c r="D973" s="118" t="str">
        <f>IFERROR(__xludf.DUMMYFUNCTION("IFERROR(
  INDEX(
    FILTER(
      'NOMBRE DE PRODUCTOS'!B:B,
      REGEXMATCH(
        UPPER(
          INDEX(
            REPORTE_DROPI!AC:AC,
            MATCH(T973, REPORTE_DROPI!B:B, 0)
          )
        ),
        UPPER('NOMBRE DE PRODUCTOS'!A:A)"&amp;"
      )
    ),
    1
  ),
  ""REVISAR""
)
"),"Llave Multifuncional 360™")</f>
        <v>Llave Multifuncional 360™</v>
      </c>
      <c r="E973" s="120" t="str">
        <f t="array" ref="E973">IF(
UPPER(TRIM(CLEAN($O973)))="ENTREGADO",
IFERROR(
INDEX(REPORTE_DROPI!Y:Y,
MATCH($T973, REPORTE_DROPI!B:B, 0)
),
""
),
""
)
</f>
        <v/>
      </c>
      <c r="F973" s="121">
        <v>1.0</v>
      </c>
      <c r="G973" s="122" t="str">
        <f t="array" ref="G973">IF(
UPPER(TRIM(CLEAN($O973)))="ENTREGADO",
IFERROR(
INDEX(REPORTE_DROPI!R:R,
MATCH($T973, REPORTE_DROPI!B:B, 0)
),
""
),
""
)
</f>
        <v/>
      </c>
      <c r="H973" s="118"/>
      <c r="I973" s="118" t="s">
        <v>3731</v>
      </c>
      <c r="J973" s="121" t="str">
        <f t="array" ref="J973">IF(
UPPER(TRIM(CLEAN($O973)))="ENTREGADO",
IFERROR(
INDEX(REPORTE_DROPI!T:T,
MATCH($T973, REPORTE_DROPI!B:B, 0)
),
""
),
""
)
</f>
        <v/>
      </c>
      <c r="K973" s="118" t="str">
        <f t="array" ref="K973">IFERROR(
INDEX(REPORTE_DROPI!S:S,
MATCH($T973, REPORTE_DROPI!B:B, 0)
),
""
)
</f>
        <v/>
      </c>
      <c r="L973" s="118">
        <f>IF(
  O973&lt;&gt;"DEVOLUCION",
  "",
  IF(
    T973="",
    "",
    SUMIF(DEVOLUCION!F:F, T973, DEVOLUCION!D:D)
  )
)
</f>
        <v>3.46</v>
      </c>
      <c r="M973" s="118" t="s">
        <v>3870</v>
      </c>
      <c r="N973" s="130" t="s">
        <v>5684</v>
      </c>
      <c r="O973" s="118" t="str">
        <f t="array" ref="O973">IFERROR(
VLOOKUP(
TRIM(CLEAN(
INDEX(REPORTE_DROPI!K:K,
MATCH(T973, REPORTE_DROPI!B:B, 0)
))),
{
TRIM(CLEAN(MAPA_ESTADOS!A:A)) ,
MAPA_ESTADOS!B:B
},
2,
FALSE
),
"REVISAR"
)
</f>
        <v>DEVOLUCION</v>
      </c>
      <c r="P973" s="118" t="s">
        <v>3655</v>
      </c>
      <c r="Q973" s="122">
        <f t="shared" si="2"/>
        <v>0</v>
      </c>
      <c r="R973" s="118" t="s">
        <v>5685</v>
      </c>
      <c r="S973" s="118">
        <v>1.0</v>
      </c>
      <c r="T973" s="118">
        <f t="array" ref="T973">IFERROR(
INDEX(REPORTE_DROPI!B:B,
MATCH(
CLEAN(TRIM(C973)),
CLEAN(TRIM(REPORTE_DROPI!E:E)),
0
)
),
""
)
</f>
        <v>4322561</v>
      </c>
      <c r="U973" s="118">
        <v>6.460201402412E12</v>
      </c>
      <c r="V973" s="78"/>
      <c r="W973" s="78"/>
      <c r="X973" s="78"/>
      <c r="Y973" s="78"/>
      <c r="Z973" s="78"/>
    </row>
    <row r="974" ht="22.5" customHeight="1">
      <c r="A974" s="118" t="s">
        <v>5675</v>
      </c>
      <c r="B974" s="119">
        <v>46051.0</v>
      </c>
      <c r="C974" s="126" t="s">
        <v>5686</v>
      </c>
      <c r="D974" s="118" t="str">
        <f>IFERROR(__xludf.DUMMYFUNCTION("IFERROR(
  INDEX(
    FILTER(
      'NOMBRE DE PRODUCTOS'!B:B,
      REGEXMATCH(
        UPPER(
          INDEX(
            REPORTE_DROPI!AC:AC,
            MATCH(T974, REPORTE_DROPI!B:B, 0)
          )
        ),
        UPPER('NOMBRE DE PRODUCTOS'!A:A)"&amp;"
      )
    ),
    1
  ),
  ""REVISAR""
)
"),"Llave Multifuncional 360™")</f>
        <v>Llave Multifuncional 360™</v>
      </c>
      <c r="E974" s="120" t="str">
        <f t="array" ref="E974">IF(
UPPER(TRIM(CLEAN($O974)))="ENTREGADO",
IFERROR(
INDEX(REPORTE_DROPI!Y:Y,
MATCH($T974, REPORTE_DROPI!B:B, 0)
),
""
),
""
)
</f>
        <v/>
      </c>
      <c r="F974" s="121">
        <v>1.0</v>
      </c>
      <c r="G974" s="122" t="str">
        <f t="array" ref="G974">IF(
UPPER(TRIM(CLEAN($O974)))="ENTREGADO",
IFERROR(
INDEX(REPORTE_DROPI!R:R,
MATCH($T974, REPORTE_DROPI!B:B, 0)
),
""
),
""
)
</f>
        <v/>
      </c>
      <c r="H974" s="118"/>
      <c r="I974" s="118" t="s">
        <v>3962</v>
      </c>
      <c r="J974" s="121" t="str">
        <f t="array" ref="J974">IF(
UPPER(TRIM(CLEAN($O974)))="ENTREGADO",
IFERROR(
INDEX(REPORTE_DROPI!T:T,
MATCH($T974, REPORTE_DROPI!B:B, 0)
),
""
),
""
)
</f>
        <v/>
      </c>
      <c r="K974" s="118" t="str">
        <f t="array" ref="K974">IFERROR(
INDEX(REPORTE_DROPI!S:S,
MATCH($T974, REPORTE_DROPI!B:B, 0)
),
""
)
</f>
        <v/>
      </c>
      <c r="L974" s="118" t="str">
        <f>IF(
  O974&lt;&gt;"DEVOLUCION",
  "",
  IF(
    T974="",
    "",
    SUMIF(DEVOLUCION!F:F, T974, DEVOLUCION!D:D)
  )
)
</f>
        <v/>
      </c>
      <c r="M974" s="118"/>
      <c r="N974" s="130" t="s">
        <v>5687</v>
      </c>
      <c r="O974" s="118" t="str">
        <f t="array" ref="O974">IFERROR(
VLOOKUP(
TRIM(CLEAN(
INDEX(REPORTE_DROPI!K:K,
MATCH(T974, REPORTE_DROPI!B:B, 0)
))),
{
TRIM(CLEAN(MAPA_ESTADOS!A:A)) ,
MAPA_ESTADOS!B:B
},
2,
FALSE
),
"REVISAR"
)
</f>
        <v>PENDIENTE</v>
      </c>
      <c r="P974" s="118" t="s">
        <v>3689</v>
      </c>
      <c r="Q974" s="122">
        <f t="shared" si="2"/>
        <v>0</v>
      </c>
      <c r="R974" s="118"/>
      <c r="S974" s="118"/>
      <c r="T974" s="118">
        <f t="array" ref="T974">IFERROR(
INDEX(REPORTE_DROPI!B:B,
MATCH(
CLEAN(TRIM(C974)),
CLEAN(TRIM(REPORTE_DROPI!E:E)),
0
)
),
""
)
</f>
        <v>4323759</v>
      </c>
      <c r="U974" s="118">
        <v>6.460491563052E12</v>
      </c>
      <c r="V974" s="78"/>
      <c r="W974" s="78"/>
      <c r="X974" s="78"/>
      <c r="Y974" s="78"/>
      <c r="Z974" s="78"/>
    </row>
    <row r="975" ht="22.5" customHeight="1">
      <c r="A975" s="118" t="s">
        <v>5675</v>
      </c>
      <c r="B975" s="119">
        <v>46051.0</v>
      </c>
      <c r="C975" s="126" t="s">
        <v>5688</v>
      </c>
      <c r="D975" s="118" t="str">
        <f>IFERROR(__xludf.DUMMYFUNCTION("IFERROR(
  INDEX(
    FILTER(
      'NOMBRE DE PRODUCTOS'!B:B,
      REGEXMATCH(
        UPPER(
          INDEX(
            REPORTE_DROPI!AC:AC,
            MATCH(T975, REPORTE_DROPI!B:B, 0)
          )
        ),
        UPPER('NOMBRE DE PRODUCTOS'!A:A)"&amp;"
      )
    ),
    1
  ),
  ""REVISAR""
)
"),"FilmPro®")</f>
        <v>FilmPro®</v>
      </c>
      <c r="E975" s="120" t="str">
        <f t="array" ref="E975">IF(
UPPER(TRIM(CLEAN($O975)))="ENTREGADO",
IFERROR(
INDEX(REPORTE_DROPI!Y:Y,
MATCH($T975, REPORTE_DROPI!B:B, 0)
),
""
),
""
)
</f>
        <v/>
      </c>
      <c r="F975" s="121">
        <v>3.0</v>
      </c>
      <c r="G975" s="122" t="str">
        <f t="array" ref="G975">IF(
UPPER(TRIM(CLEAN($O975)))="ENTREGADO",
IFERROR(
INDEX(REPORTE_DROPI!R:R,
MATCH($T975, REPORTE_DROPI!B:B, 0)
),
""
),
""
)
</f>
        <v/>
      </c>
      <c r="H975" s="118"/>
      <c r="I975" s="118" t="s">
        <v>3801</v>
      </c>
      <c r="J975" s="121" t="str">
        <f t="array" ref="J975">IF(
UPPER(TRIM(CLEAN($O975)))="ENTREGADO",
IFERROR(
INDEX(REPORTE_DROPI!T:T,
MATCH($T975, REPORTE_DROPI!B:B, 0)
),
""
),
""
)
</f>
        <v/>
      </c>
      <c r="K975" s="118" t="str">
        <f t="array" ref="K975">IFERROR(
INDEX(REPORTE_DROPI!S:S,
MATCH($T975, REPORTE_DROPI!B:B, 0)
),
""
)
</f>
        <v/>
      </c>
      <c r="L975" s="118" t="str">
        <f>IF(
  O975&lt;&gt;"DEVOLUCION",
  "",
  IF(
    T975="",
    "",
    SUMIF(DEVOLUCION!F:F, T975, DEVOLUCION!D:D)
  )
)
</f>
        <v/>
      </c>
      <c r="M975" s="118"/>
      <c r="N975" s="130" t="s">
        <v>5689</v>
      </c>
      <c r="O975" s="118" t="str">
        <f t="array" ref="O975">IFERROR(
VLOOKUP(
TRIM(CLEAN(
INDEX(REPORTE_DROPI!K:K,
MATCH(T975, REPORTE_DROPI!B:B, 0)
))),
{
TRIM(CLEAN(MAPA_ESTADOS!A:A)) ,
MAPA_ESTADOS!B:B
},
2,
FALSE
),
"REVISAR"
)
</f>
        <v>PENDIENTE</v>
      </c>
      <c r="P975" s="118" t="s">
        <v>3689</v>
      </c>
      <c r="Q975" s="122">
        <f t="shared" si="2"/>
        <v>0</v>
      </c>
      <c r="R975" s="118"/>
      <c r="S975" s="118"/>
      <c r="T975" s="118">
        <f t="array" ref="T975">IFERROR(
INDEX(REPORTE_DROPI!B:B,
MATCH(
CLEAN(TRIM(C975)),
CLEAN(TRIM(REPORTE_DROPI!E:E)),
0
)
),
""
)
</f>
        <v>4326481</v>
      </c>
      <c r="U975" s="118">
        <v>6.461108486188E12</v>
      </c>
      <c r="V975" s="78"/>
      <c r="W975" s="78"/>
      <c r="X975" s="78"/>
      <c r="Y975" s="78"/>
      <c r="Z975" s="78"/>
    </row>
    <row r="976" ht="22.5" customHeight="1">
      <c r="A976" s="118" t="s">
        <v>5675</v>
      </c>
      <c r="B976" s="119">
        <v>46051.0</v>
      </c>
      <c r="C976" s="126" t="s">
        <v>5690</v>
      </c>
      <c r="D976" s="118" t="str">
        <f>IFERROR(__xludf.DUMMYFUNCTION("IFERROR(
  INDEX(
    FILTER(
      'NOMBRE DE PRODUCTOS'!B:B,
      REGEXMATCH(
        UPPER(
          INDEX(
            REPORTE_DROPI!AC:AC,
            MATCH(T976, REPORTE_DROPI!B:B, 0)
          )
        ),
        UPPER('NOMBRE DE PRODUCTOS'!A:A)"&amp;"
      )
    ),
    1
  ),
  ""REVISAR""
)
"),"Cuchillo Tazaki™")</f>
        <v>Cuchillo Tazaki™</v>
      </c>
      <c r="E976" s="120" t="str">
        <f t="array" ref="E976">IF(
UPPER(TRIM(CLEAN($O976)))="ENTREGADO",
IFERROR(
INDEX(REPORTE_DROPI!Y:Y,
MATCH($T976, REPORTE_DROPI!B:B, 0)
),
""
),
""
)
</f>
        <v/>
      </c>
      <c r="F976" s="121">
        <v>3.0</v>
      </c>
      <c r="G976" s="122" t="str">
        <f t="array" ref="G976">IF(
UPPER(TRIM(CLEAN($O976)))="ENTREGADO",
IFERROR(
INDEX(REPORTE_DROPI!R:R,
MATCH($T976, REPORTE_DROPI!B:B, 0)
),
""
),
""
)
</f>
        <v/>
      </c>
      <c r="H976" s="118"/>
      <c r="I976" s="118" t="s">
        <v>3740</v>
      </c>
      <c r="J976" s="121" t="str">
        <f t="array" ref="J976">IF(
UPPER(TRIM(CLEAN($O976)))="ENTREGADO",
IFERROR(
INDEX(REPORTE_DROPI!T:T,
MATCH($T976, REPORTE_DROPI!B:B, 0)
),
""
),
""
)
</f>
        <v/>
      </c>
      <c r="K976" s="118" t="str">
        <f t="array" ref="K976">IFERROR(
INDEX(REPORTE_DROPI!S:S,
MATCH($T976, REPORTE_DROPI!B:B, 0)
),
""
)
</f>
        <v/>
      </c>
      <c r="L976" s="118">
        <f>IF(
  O976&lt;&gt;"DEVOLUCION",
  "",
  IF(
    T976="",
    "",
    SUMIF(DEVOLUCION!F:F, T976, DEVOLUCION!D:D)
  )
)
</f>
        <v>3.46</v>
      </c>
      <c r="M976" s="118"/>
      <c r="N976" s="130" t="s">
        <v>5691</v>
      </c>
      <c r="O976" s="118" t="str">
        <f t="array" ref="O976">IFERROR(
VLOOKUP(
TRIM(CLEAN(
INDEX(REPORTE_DROPI!K:K,
MATCH(T976, REPORTE_DROPI!B:B, 0)
))),
{
TRIM(CLEAN(MAPA_ESTADOS!A:A)) ,
MAPA_ESTADOS!B:B
},
2,
FALSE
),
"REVISAR"
)
</f>
        <v>DEVOLUCION</v>
      </c>
      <c r="P976" s="118" t="s">
        <v>5692</v>
      </c>
      <c r="Q976" s="122">
        <f t="shared" si="2"/>
        <v>0</v>
      </c>
      <c r="R976" s="118"/>
      <c r="S976" s="118"/>
      <c r="T976" s="118">
        <f t="array" ref="T976">IFERROR(
INDEX(REPORTE_DROPI!B:B,
MATCH(
CLEAN(TRIM(C976)),
CLEAN(TRIM(REPORTE_DROPI!E:E)),
0
)
),
""
)
</f>
        <v>4335785</v>
      </c>
      <c r="U976" s="118">
        <v>6.46114793886E12</v>
      </c>
      <c r="V976" s="78"/>
      <c r="W976" s="78"/>
      <c r="X976" s="78"/>
      <c r="Y976" s="78"/>
      <c r="Z976" s="78"/>
    </row>
    <row r="977" ht="22.5" customHeight="1">
      <c r="A977" s="118" t="s">
        <v>5675</v>
      </c>
      <c r="B977" s="119">
        <v>46051.0</v>
      </c>
      <c r="C977" s="126" t="s">
        <v>5693</v>
      </c>
      <c r="D977" s="118" t="str">
        <f>IFERROR(__xludf.DUMMYFUNCTION("IFERROR(
  INDEX(
    FILTER(
      'NOMBRE DE PRODUCTOS'!B:B,
      REGEXMATCH(
        UPPER(
          INDEX(
            REPORTE_DROPI!AC:AC,
            MATCH(T977, REPORTE_DROPI!B:B, 0)
          )
        ),
        UPPER('NOMBRE DE PRODUCTOS'!A:A)"&amp;"
      )
    ),
    1
  ),
  ""REVISAR""
)
"),"FilmPro®")</f>
        <v>FilmPro®</v>
      </c>
      <c r="E977" s="120" t="str">
        <f t="array" ref="E977">IF(
UPPER(TRIM(CLEAN($O977)))="ENTREGADO",
IFERROR(
INDEX(REPORTE_DROPI!Y:Y,
MATCH($T977, REPORTE_DROPI!B:B, 0)
),
""
),
""
)
</f>
        <v/>
      </c>
      <c r="F977" s="121">
        <v>2.0</v>
      </c>
      <c r="G977" s="122" t="str">
        <f t="array" ref="G977">IF(
UPPER(TRIM(CLEAN($O977)))="ENTREGADO",
IFERROR(
INDEX(REPORTE_DROPI!R:R,
MATCH($T977, REPORTE_DROPI!B:B, 0)
),
""
),
""
)
</f>
        <v/>
      </c>
      <c r="H977" s="118"/>
      <c r="I977" s="118" t="s">
        <v>3804</v>
      </c>
      <c r="J977" s="121" t="str">
        <f t="array" ref="J977">IF(
UPPER(TRIM(CLEAN($O977)))="ENTREGADO",
IFERROR(
INDEX(REPORTE_DROPI!T:T,
MATCH($T977, REPORTE_DROPI!B:B, 0)
),
""
),
""
)
</f>
        <v/>
      </c>
      <c r="K977" s="118" t="str">
        <f t="array" ref="K977">IFERROR(
INDEX(REPORTE_DROPI!S:S,
MATCH($T977, REPORTE_DROPI!B:B, 0)
),
""
)
</f>
        <v/>
      </c>
      <c r="L977" s="118" t="str">
        <f>IF(
  O977&lt;&gt;"DEVOLUCION",
  "",
  IF(
    T977="",
    "",
    SUMIF(DEVOLUCION!F:F, T977, DEVOLUCION!D:D)
  )
)
</f>
        <v/>
      </c>
      <c r="M977" s="118"/>
      <c r="N977" s="130" t="s">
        <v>5694</v>
      </c>
      <c r="O977" s="118" t="str">
        <f t="array" ref="O977">IFERROR(
VLOOKUP(
TRIM(CLEAN(
INDEX(REPORTE_DROPI!K:K,
MATCH(T977, REPORTE_DROPI!B:B, 0)
))),
{
TRIM(CLEAN(MAPA_ESTADOS!A:A)) ,
MAPA_ESTADOS!B:B
},
2,
FALSE
),
"REVISAR"
)
</f>
        <v>PENDIENTE</v>
      </c>
      <c r="P977" s="118" t="s">
        <v>3689</v>
      </c>
      <c r="Q977" s="122">
        <f t="shared" si="2"/>
        <v>0</v>
      </c>
      <c r="R977" s="118"/>
      <c r="S977" s="118"/>
      <c r="T977" s="118">
        <f t="array" ref="T977">IFERROR(
INDEX(REPORTE_DROPI!B:B,
MATCH(
CLEAN(TRIM(C977)),
CLEAN(TRIM(REPORTE_DROPI!E:E)),
0
)
),
""
)
</f>
        <v>4326673</v>
      </c>
      <c r="U977" s="118">
        <v>6.461160489004E12</v>
      </c>
      <c r="V977" s="78"/>
      <c r="W977" s="78"/>
      <c r="X977" s="78"/>
      <c r="Y977" s="78"/>
      <c r="Z977" s="78"/>
    </row>
    <row r="978" ht="22.5" customHeight="1">
      <c r="A978" s="118" t="s">
        <v>5675</v>
      </c>
      <c r="B978" s="119">
        <v>46051.0</v>
      </c>
      <c r="C978" s="126" t="s">
        <v>5695</v>
      </c>
      <c r="D978" s="118" t="str">
        <f>IFERROR(__xludf.DUMMYFUNCTION("IFERROR(
  INDEX(
    FILTER(
      'NOMBRE DE PRODUCTOS'!B:B,
      REGEXMATCH(
        UPPER(
          INDEX(
            REPORTE_DROPI!AC:AC,
            MATCH(T978, REPORTE_DROPI!B:B, 0)
          )
        ),
        UPPER('NOMBRE DE PRODUCTOS'!A:A)"&amp;"
      )
    ),
    1
  ),
  ""REVISAR""
)
"),"FilmPro®")</f>
        <v>FilmPro®</v>
      </c>
      <c r="E978" s="120">
        <f t="array" ref="E978">IF(
UPPER(TRIM(CLEAN($O978)))="ENTREGADO",
IFERROR(
INDEX(REPORTE_DROPI!Y:Y,
MATCH($T978, REPORTE_DROPI!B:B, 0)
),
""
),
""
)
</f>
        <v>7.05</v>
      </c>
      <c r="F978" s="121">
        <v>3.0</v>
      </c>
      <c r="G978" s="122">
        <f t="array" ref="G978">IF(
UPPER(TRIM(CLEAN($O978)))="ENTREGADO",
IFERROR(
INDEX(REPORTE_DROPI!R:R,
MATCH($T978, REPORTE_DROPI!B:B, 0)
),
""
),
""
)
</f>
        <v>30</v>
      </c>
      <c r="H978" s="118"/>
      <c r="I978" s="118" t="s">
        <v>3728</v>
      </c>
      <c r="J978" s="121">
        <f t="array" ref="J978">IF(
UPPER(TRIM(CLEAN($O978)))="ENTREGADO",
IFERROR(
INDEX(REPORTE_DROPI!T:T,
MATCH($T978, REPORTE_DROPI!B:B, 0)
),
""
),
""
)
</f>
        <v>6.16</v>
      </c>
      <c r="K978" s="118">
        <f t="array" ref="K978">IFERROR(
INDEX(REPORTE_DROPI!S:S,
MATCH($T978, REPORTE_DROPI!B:B, 0)
),
""
)
</f>
        <v>16.79</v>
      </c>
      <c r="L978" s="118" t="str">
        <f>IF(
  O978&lt;&gt;"DEVOLUCION",
  "",
  IF(
    T978="",
    "",
    SUMIF(DEVOLUCION!F:F, T978, DEVOLUCION!D:D)
  )
)
</f>
        <v/>
      </c>
      <c r="M978" s="118"/>
      <c r="N978" s="130" t="s">
        <v>5696</v>
      </c>
      <c r="O978" s="118" t="str">
        <f t="array" ref="O978">IFERROR(
VLOOKUP(
TRIM(CLEAN(
INDEX(REPORTE_DROPI!K:K,
MATCH(T978, REPORTE_DROPI!B:B, 0)
))),
{
TRIM(CLEAN(MAPA_ESTADOS!A:A)) ,
MAPA_ESTADOS!B:B
},
2,
FALSE
),
"REVISAR"
)
</f>
        <v>ENTREGADO</v>
      </c>
      <c r="P978" s="118" t="s">
        <v>5697</v>
      </c>
      <c r="Q978" s="122">
        <f t="shared" si="2"/>
        <v>0</v>
      </c>
      <c r="R978" s="118"/>
      <c r="S978" s="118"/>
      <c r="T978" s="118">
        <f t="array" ref="T978">IFERROR(
INDEX(REPORTE_DROPI!B:B,
MATCH(
CLEAN(TRIM(C978)),
CLEAN(TRIM(REPORTE_DROPI!E:E)),
0
)
),
""
)
</f>
        <v>4327073</v>
      </c>
      <c r="U978" s="118">
        <v>6.461263183916E12</v>
      </c>
      <c r="V978" s="78"/>
      <c r="W978" s="78"/>
      <c r="X978" s="78"/>
      <c r="Y978" s="78"/>
      <c r="Z978" s="78"/>
    </row>
    <row r="979" ht="22.5" customHeight="1">
      <c r="A979" s="118" t="s">
        <v>5675</v>
      </c>
      <c r="B979" s="119">
        <v>46052.0</v>
      </c>
      <c r="C979" s="126" t="s">
        <v>5698</v>
      </c>
      <c r="D979" s="118" t="str">
        <f>IFERROR(__xludf.DUMMYFUNCTION("IFERROR(
  INDEX(
    FILTER(
      'NOMBRE DE PRODUCTOS'!B:B,
      REGEXMATCH(
        UPPER(
          INDEX(
            REPORTE_DROPI!AC:AC,
            MATCH(T979, REPORTE_DROPI!B:B, 0)
          )
        ),
        UPPER('NOMBRE DE PRODUCTOS'!A:A)"&amp;"
      )
    ),
    1
  ),
  ""REVISAR""
)
"),"FilmPro®")</f>
        <v>FilmPro®</v>
      </c>
      <c r="E979" s="120" t="str">
        <f t="array" ref="E979">IF(
UPPER(TRIM(CLEAN($O979)))="ENTREGADO",
IFERROR(
INDEX(REPORTE_DROPI!Y:Y,
MATCH($T979, REPORTE_DROPI!B:B, 0)
),
""
),
""
)
</f>
        <v/>
      </c>
      <c r="F979" s="121">
        <v>1.0</v>
      </c>
      <c r="G979" s="122" t="str">
        <f t="array" ref="G979">IF(
UPPER(TRIM(CLEAN($O979)))="ENTREGADO",
IFERROR(
INDEX(REPORTE_DROPI!R:R,
MATCH($T979, REPORTE_DROPI!B:B, 0)
),
""
),
""
)
</f>
        <v/>
      </c>
      <c r="H979" s="118"/>
      <c r="I979" s="118" t="s">
        <v>3951</v>
      </c>
      <c r="J979" s="121" t="str">
        <f t="array" ref="J979">IF(
UPPER(TRIM(CLEAN($O979)))="ENTREGADO",
IFERROR(
INDEX(REPORTE_DROPI!T:T,
MATCH($T979, REPORTE_DROPI!B:B, 0)
),
""
),
""
)
</f>
        <v/>
      </c>
      <c r="K979" s="118" t="str">
        <f t="array" ref="K979">IFERROR(
INDEX(REPORTE_DROPI!S:S,
MATCH($T979, REPORTE_DROPI!B:B, 0)
),
""
)
</f>
        <v/>
      </c>
      <c r="L979" s="118" t="str">
        <f>IF(
  O979&lt;&gt;"DEVOLUCION",
  "",
  IF(
    T979="",
    "",
    SUMIF(DEVOLUCION!F:F, T979, DEVOLUCION!D:D)
  )
)
</f>
        <v/>
      </c>
      <c r="M979" s="118"/>
      <c r="N979" s="130" t="s">
        <v>5699</v>
      </c>
      <c r="O979" s="118" t="str">
        <f t="array" ref="O979">IFERROR(
VLOOKUP(
TRIM(CLEAN(
INDEX(REPORTE_DROPI!K:K,
MATCH(T979, REPORTE_DROPI!B:B, 0)
))),
{
TRIM(CLEAN(MAPA_ESTADOS!A:A)) ,
MAPA_ESTADOS!B:B
},
2,
FALSE
),
"REVISAR"
)
</f>
        <v>PENDIENTE</v>
      </c>
      <c r="P979" s="118" t="s">
        <v>3689</v>
      </c>
      <c r="Q979" s="122">
        <f t="shared" si="2"/>
        <v>0</v>
      </c>
      <c r="R979" s="118"/>
      <c r="S979" s="118"/>
      <c r="T979" s="118">
        <f t="array" ref="T979">IFERROR(
INDEX(REPORTE_DROPI!B:B,
MATCH(
CLEAN(TRIM(C979)),
CLEAN(TRIM(REPORTE_DROPI!E:E)),
0
)
),
""
)
</f>
        <v>4365907</v>
      </c>
      <c r="U979" s="118">
        <v>6.461695885356E12</v>
      </c>
      <c r="V979" s="78"/>
      <c r="W979" s="78"/>
      <c r="X979" s="78"/>
      <c r="Y979" s="78"/>
      <c r="Z979" s="78"/>
    </row>
    <row r="980" ht="22.5" customHeight="1">
      <c r="A980" s="118" t="s">
        <v>5675</v>
      </c>
      <c r="B980" s="119">
        <v>46052.0</v>
      </c>
      <c r="C980" s="126" t="s">
        <v>5700</v>
      </c>
      <c r="D980" s="118" t="str">
        <f>IFERROR(__xludf.DUMMYFUNCTION("IFERROR(
  INDEX(
    FILTER(
      'NOMBRE DE PRODUCTOS'!B:B,
      REGEXMATCH(
        UPPER(
          INDEX(
            REPORTE_DROPI!AC:AC,
            MATCH(T980, REPORTE_DROPI!B:B, 0)
          )
        ),
        UPPER('NOMBRE DE PRODUCTOS'!A:A)"&amp;"
      )
    ),
    1
  ),
  ""REVISAR""
)
"),"FilmPro®")</f>
        <v>FilmPro®</v>
      </c>
      <c r="E980" s="120">
        <f t="array" ref="E980">IF(
UPPER(TRIM(CLEAN($O980)))="ENTREGADO",
IFERROR(
INDEX(REPORTE_DROPI!Y:Y,
MATCH($T980, REPORTE_DROPI!B:B, 0)
),
""
),
""
)
</f>
        <v>4.7</v>
      </c>
      <c r="F980" s="121">
        <v>2.0</v>
      </c>
      <c r="G980" s="122">
        <f t="array" ref="G980">IF(
UPPER(TRIM(CLEAN($O980)))="ENTREGADO",
IFERROR(
INDEX(REPORTE_DROPI!R:R,
MATCH($T980, REPORTE_DROPI!B:B, 0)
),
""
),
""
)
</f>
        <v>25</v>
      </c>
      <c r="H980" s="118"/>
      <c r="I980" s="118" t="s">
        <v>3740</v>
      </c>
      <c r="J980" s="121">
        <f t="array" ref="J980">IF(
UPPER(TRIM(CLEAN($O980)))="ENTREGADO",
IFERROR(
INDEX(REPORTE_DROPI!T:T,
MATCH($T980, REPORTE_DROPI!B:B, 0)
),
""
),
""
)
</f>
        <v>5.96</v>
      </c>
      <c r="K980" s="118">
        <f t="array" ref="K980">IFERROR(
INDEX(REPORTE_DROPI!S:S,
MATCH($T980, REPORTE_DROPI!B:B, 0)
),
""
)
</f>
        <v>14.34</v>
      </c>
      <c r="L980" s="118" t="str">
        <f>IF(
  O980&lt;&gt;"DEVOLUCION",
  "",
  IF(
    T980="",
    "",
    SUMIF(DEVOLUCION!F:F, T980, DEVOLUCION!D:D)
  )
)
</f>
        <v/>
      </c>
      <c r="M980" s="118"/>
      <c r="N980" s="130" t="s">
        <v>5701</v>
      </c>
      <c r="O980" s="118" t="str">
        <f t="array" ref="O980">IFERROR(
VLOOKUP(
TRIM(CLEAN(
INDEX(REPORTE_DROPI!K:K,
MATCH(T980, REPORTE_DROPI!B:B, 0)
))),
{
TRIM(CLEAN(MAPA_ESTADOS!A:A)) ,
MAPA_ESTADOS!B:B
},
2,
FALSE
),
"REVISAR"
)
</f>
        <v>ENTREGADO</v>
      </c>
      <c r="P980" s="118" t="s">
        <v>5692</v>
      </c>
      <c r="Q980" s="122">
        <f t="shared" si="2"/>
        <v>0</v>
      </c>
      <c r="R980" s="118"/>
      <c r="S980" s="118"/>
      <c r="T980" s="118">
        <f t="array" ref="T980">IFERROR(
INDEX(REPORTE_DROPI!B:B,
MATCH(
CLEAN(TRIM(C980)),
CLEAN(TRIM(REPORTE_DROPI!E:E)),
0
)
),
""
)
</f>
        <v>4327857</v>
      </c>
      <c r="U980" s="118">
        <v>6.461697818668E12</v>
      </c>
      <c r="V980" s="78"/>
      <c r="W980" s="78"/>
      <c r="X980" s="78"/>
      <c r="Y980" s="78"/>
      <c r="Z980" s="78"/>
    </row>
    <row r="981" ht="22.5" customHeight="1">
      <c r="A981" s="118" t="s">
        <v>5675</v>
      </c>
      <c r="B981" s="119">
        <v>46052.0</v>
      </c>
      <c r="C981" s="126" t="s">
        <v>5702</v>
      </c>
      <c r="D981" s="118" t="str">
        <f>IFERROR(__xludf.DUMMYFUNCTION("IFERROR(
  INDEX(
    FILTER(
      'NOMBRE DE PRODUCTOS'!B:B,
      REGEXMATCH(
        UPPER(
          INDEX(
            REPORTE_DROPI!AC:AC,
            MATCH(T981, REPORTE_DROPI!B:B, 0)
          )
        ),
        UPPER('NOMBRE DE PRODUCTOS'!A:A)"&amp;"
      )
    ),
    1
  ),
  ""REVISAR""
)
"),"Cuchillo Tazaki™")</f>
        <v>Cuchillo Tazaki™</v>
      </c>
      <c r="E981" s="120">
        <f t="array" ref="E981">IF(
UPPER(TRIM(CLEAN($O981)))="ENTREGADO",
IFERROR(
INDEX(REPORTE_DROPI!Y:Y,
MATCH($T981, REPORTE_DROPI!B:B, 0)
),
""
),
""
)
</f>
        <v>5.2</v>
      </c>
      <c r="F981" s="121">
        <v>2.0</v>
      </c>
      <c r="G981" s="122">
        <f t="array" ref="G981">IF(
UPPER(TRIM(CLEAN($O981)))="ENTREGADO",
IFERROR(
INDEX(REPORTE_DROPI!R:R,
MATCH($T981, REPORTE_DROPI!B:B, 0)
),
""
),
""
)
</f>
        <v>22</v>
      </c>
      <c r="H981" s="118"/>
      <c r="I981" s="118" t="s">
        <v>3772</v>
      </c>
      <c r="J981" s="121">
        <f t="array" ref="J981">IF(
UPPER(TRIM(CLEAN($O981)))="ENTREGADO",
IFERROR(
INDEX(REPORTE_DROPI!T:T,
MATCH($T981, REPORTE_DROPI!B:B, 0)
),
""
),
""
)
</f>
        <v>5.84</v>
      </c>
      <c r="K981" s="118">
        <f t="array" ref="K981">IFERROR(
INDEX(REPORTE_DROPI!S:S,
MATCH($T981, REPORTE_DROPI!B:B, 0)
),
""
)
</f>
        <v>10.96</v>
      </c>
      <c r="L981" s="118" t="str">
        <f>IF(
  O981&lt;&gt;"DEVOLUCION",
  "",
  IF(
    T981="",
    "",
    SUMIF(DEVOLUCION!F:F, T981, DEVOLUCION!D:D)
  )
)
</f>
        <v/>
      </c>
      <c r="M981" s="118"/>
      <c r="N981" s="130" t="s">
        <v>5703</v>
      </c>
      <c r="O981" s="118" t="str">
        <f t="array" ref="O981">IFERROR(
VLOOKUP(
TRIM(CLEAN(
INDEX(REPORTE_DROPI!K:K,
MATCH(T981, REPORTE_DROPI!B:B, 0)
))),
{
TRIM(CLEAN(MAPA_ESTADOS!A:A)) ,
MAPA_ESTADOS!B:B
},
2,
FALSE
),
"REVISAR"
)
</f>
        <v>ENTREGADO</v>
      </c>
      <c r="P981" s="118" t="s">
        <v>5692</v>
      </c>
      <c r="Q981" s="122">
        <f t="shared" si="2"/>
        <v>0</v>
      </c>
      <c r="R981" s="118"/>
      <c r="S981" s="118"/>
      <c r="T981" s="118">
        <f t="array" ref="T981">IFERROR(
INDEX(REPORTE_DROPI!B:B,
MATCH(
CLEAN(TRIM(C981)),
CLEAN(TRIM(REPORTE_DROPI!E:E)),
0
)
),
""
)
</f>
        <v>4328571</v>
      </c>
      <c r="U981" s="118">
        <v>6.461799923756E12</v>
      </c>
      <c r="V981" s="78"/>
      <c r="W981" s="78"/>
      <c r="X981" s="78"/>
      <c r="Y981" s="78"/>
      <c r="Z981" s="78"/>
    </row>
    <row r="982" ht="22.5" customHeight="1">
      <c r="A982" s="118" t="s">
        <v>5675</v>
      </c>
      <c r="B982" s="119">
        <v>46052.0</v>
      </c>
      <c r="C982" s="126" t="s">
        <v>5704</v>
      </c>
      <c r="D982" s="118" t="str">
        <f>IFERROR(__xludf.DUMMYFUNCTION("IFERROR(
  INDEX(
    FILTER(
      'NOMBRE DE PRODUCTOS'!B:B,
      REGEXMATCH(
        UPPER(
          INDEX(
            REPORTE_DROPI!AC:AC,
            MATCH(T982, REPORTE_DROPI!B:B, 0)
          )
        ),
        UPPER('NOMBRE DE PRODUCTOS'!A:A)"&amp;"
      )
    ),
    1
  ),
  ""REVISAR""
)
"),"FilmPro®")</f>
        <v>FilmPro®</v>
      </c>
      <c r="E982" s="120">
        <f t="array" ref="E982">IF(
UPPER(TRIM(CLEAN($O982)))="ENTREGADO",
IFERROR(
INDEX(REPORTE_DROPI!Y:Y,
MATCH($T982, REPORTE_DROPI!B:B, 0)
),
""
),
""
)
</f>
        <v>7.05</v>
      </c>
      <c r="F982" s="121">
        <v>3.0</v>
      </c>
      <c r="G982" s="122">
        <f t="array" ref="G982">IF(
UPPER(TRIM(CLEAN($O982)))="ENTREGADO",
IFERROR(
INDEX(REPORTE_DROPI!R:R,
MATCH($T982, REPORTE_DROPI!B:B, 0)
),
""
),
""
)
</f>
        <v>30</v>
      </c>
      <c r="H982" s="118"/>
      <c r="I982" s="118" t="s">
        <v>3772</v>
      </c>
      <c r="J982" s="121">
        <f t="array" ref="J982">IF(
UPPER(TRIM(CLEAN($O982)))="ENTREGADO",
IFERROR(
INDEX(REPORTE_DROPI!T:T,
MATCH($T982, REPORTE_DROPI!B:B, 0)
),
""
),
""
)
</f>
        <v>6.16</v>
      </c>
      <c r="K982" s="118">
        <f t="array" ref="K982">IFERROR(
INDEX(REPORTE_DROPI!S:S,
MATCH($T982, REPORTE_DROPI!B:B, 0)
),
""
)
</f>
        <v>16.79</v>
      </c>
      <c r="L982" s="118" t="str">
        <f>IF(
  O982&lt;&gt;"DEVOLUCION",
  "",
  IF(
    T982="",
    "",
    SUMIF(DEVOLUCION!F:F, T982, DEVOLUCION!D:D)
  )
)
</f>
        <v/>
      </c>
      <c r="M982" s="118"/>
      <c r="N982" s="130" t="s">
        <v>5705</v>
      </c>
      <c r="O982" s="118" t="str">
        <f t="array" ref="O982">IFERROR(
VLOOKUP(
TRIM(CLEAN(
INDEX(REPORTE_DROPI!K:K,
MATCH(T982, REPORTE_DROPI!B:B, 0)
))),
{
TRIM(CLEAN(MAPA_ESTADOS!A:A)) ,
MAPA_ESTADOS!B:B
},
2,
FALSE
),
"REVISAR"
)
</f>
        <v>ENTREGADO</v>
      </c>
      <c r="P982" s="118" t="s">
        <v>5692</v>
      </c>
      <c r="Q982" s="122">
        <f t="shared" si="2"/>
        <v>0</v>
      </c>
      <c r="R982" s="118"/>
      <c r="S982" s="118"/>
      <c r="T982" s="118">
        <f t="array" ref="T982">IFERROR(
INDEX(REPORTE_DROPI!B:B,
MATCH(
CLEAN(TRIM(C982)),
CLEAN(TRIM(REPORTE_DROPI!E:E)),
0
)
),
""
)
</f>
        <v>4328879</v>
      </c>
      <c r="U982" s="118">
        <v>6.461841244204E12</v>
      </c>
      <c r="V982" s="78"/>
      <c r="W982" s="78"/>
      <c r="X982" s="78"/>
      <c r="Y982" s="78"/>
      <c r="Z982" s="78"/>
    </row>
    <row r="983" ht="22.5" customHeight="1">
      <c r="A983" s="118" t="s">
        <v>5675</v>
      </c>
      <c r="B983" s="119">
        <v>46052.0</v>
      </c>
      <c r="C983" s="126" t="s">
        <v>5706</v>
      </c>
      <c r="D983" s="118" t="str">
        <f>IFERROR(__xludf.DUMMYFUNCTION("IFERROR(
  INDEX(
    FILTER(
      'NOMBRE DE PRODUCTOS'!B:B,
      REGEXMATCH(
        UPPER(
          INDEX(
            REPORTE_DROPI!AC:AC,
            MATCH(T983, REPORTE_DROPI!B:B, 0)
          )
        ),
        UPPER('NOMBRE DE PRODUCTOS'!A:A)"&amp;"
      )
    ),
    1
  ),
  ""REVISAR""
)
"),"FilmPro®")</f>
        <v>FilmPro®</v>
      </c>
      <c r="E983" s="120">
        <f t="array" ref="E983">IF(
UPPER(TRIM(CLEAN($O983)))="ENTREGADO",
IFERROR(
INDEX(REPORTE_DROPI!Y:Y,
MATCH($T983, REPORTE_DROPI!B:B, 0)
),
""
),
""
)
</f>
        <v>7.05</v>
      </c>
      <c r="F983" s="121">
        <v>3.0</v>
      </c>
      <c r="G983" s="122">
        <f t="array" ref="G983">IF(
UPPER(TRIM(CLEAN($O983)))="ENTREGADO",
IFERROR(
INDEX(REPORTE_DROPI!R:R,
MATCH($T983, REPORTE_DROPI!B:B, 0)
),
""
),
""
)
</f>
        <v>30</v>
      </c>
      <c r="H983" s="118"/>
      <c r="I983" s="118" t="s">
        <v>3740</v>
      </c>
      <c r="J983" s="121">
        <f t="array" ref="J983">IF(
UPPER(TRIM(CLEAN($O983)))="ENTREGADO",
IFERROR(
INDEX(REPORTE_DROPI!T:T,
MATCH($T983, REPORTE_DROPI!B:B, 0)
),
""
),
""
)
</f>
        <v>6.16</v>
      </c>
      <c r="K983" s="118">
        <f t="array" ref="K983">IFERROR(
INDEX(REPORTE_DROPI!S:S,
MATCH($T983, REPORTE_DROPI!B:B, 0)
),
""
)
</f>
        <v>16.79</v>
      </c>
      <c r="L983" s="118" t="str">
        <f>IF(
  O983&lt;&gt;"DEVOLUCION",
  "",
  IF(
    T983="",
    "",
    SUMIF(DEVOLUCION!F:F, T983, DEVOLUCION!D:D)
  )
)
</f>
        <v/>
      </c>
      <c r="M983" s="118"/>
      <c r="N983" s="130" t="s">
        <v>5707</v>
      </c>
      <c r="O983" s="118" t="str">
        <f t="array" ref="O983">IFERROR(
VLOOKUP(
TRIM(CLEAN(
INDEX(REPORTE_DROPI!K:K,
MATCH(T983, REPORTE_DROPI!B:B, 0)
))),
{
TRIM(CLEAN(MAPA_ESTADOS!A:A)) ,
MAPA_ESTADOS!B:B
},
2,
FALSE
),
"REVISAR"
)
</f>
        <v>ENTREGADO</v>
      </c>
      <c r="P983" s="118" t="s">
        <v>5692</v>
      </c>
      <c r="Q983" s="122">
        <f t="shared" si="2"/>
        <v>0</v>
      </c>
      <c r="R983" s="118"/>
      <c r="S983" s="118"/>
      <c r="T983" s="118">
        <f t="array" ref="T983">IFERROR(
INDEX(REPORTE_DROPI!B:B,
MATCH(
CLEAN(TRIM(C983)),
CLEAN(TRIM(REPORTE_DROPI!E:E)),
0
)
),
""
)
</f>
        <v>4329132</v>
      </c>
      <c r="U983" s="118">
        <v>6.461881974828E12</v>
      </c>
      <c r="V983" s="78"/>
      <c r="W983" s="78"/>
      <c r="X983" s="78"/>
      <c r="Y983" s="78"/>
      <c r="Z983" s="78"/>
    </row>
    <row r="984" ht="22.5" customHeight="1">
      <c r="A984" s="118" t="s">
        <v>5675</v>
      </c>
      <c r="B984" s="119">
        <v>46052.0</v>
      </c>
      <c r="C984" s="126" t="s">
        <v>5708</v>
      </c>
      <c r="D984" s="118" t="str">
        <f>IFERROR(__xludf.DUMMYFUNCTION("IFERROR(
  INDEX(
    FILTER(
      'NOMBRE DE PRODUCTOS'!B:B,
      REGEXMATCH(
        UPPER(
          INDEX(
            REPORTE_DROPI!AC:AC,
            MATCH(T984, REPORTE_DROPI!B:B, 0)
          )
        ),
        UPPER('NOMBRE DE PRODUCTOS'!A:A)"&amp;"
      )
    ),
    1
  ),
  ""REVISAR""
)
"),"FilmPro®")</f>
        <v>FilmPro®</v>
      </c>
      <c r="E984" s="120" t="str">
        <f t="array" ref="E984">IF(
UPPER(TRIM(CLEAN($O984)))="ENTREGADO",
IFERROR(
INDEX(REPORTE_DROPI!Y:Y,
MATCH($T984, REPORTE_DROPI!B:B, 0)
),
""
),
""
)
</f>
        <v/>
      </c>
      <c r="F984" s="121">
        <v>1.0</v>
      </c>
      <c r="G984" s="122" t="str">
        <f t="array" ref="G984">IF(
UPPER(TRIM(CLEAN($O984)))="ENTREGADO",
IFERROR(
INDEX(REPORTE_DROPI!R:R,
MATCH($T984, REPORTE_DROPI!B:B, 0)
),
""
),
""
)
</f>
        <v/>
      </c>
      <c r="H984" s="118"/>
      <c r="I984" s="118" t="s">
        <v>3809</v>
      </c>
      <c r="J984" s="121" t="str">
        <f t="array" ref="J984">IF(
UPPER(TRIM(CLEAN($O984)))="ENTREGADO",
IFERROR(
INDEX(REPORTE_DROPI!T:T,
MATCH($T984, REPORTE_DROPI!B:B, 0)
),
""
),
""
)
</f>
        <v/>
      </c>
      <c r="K984" s="118" t="str">
        <f t="array" ref="K984">IFERROR(
INDEX(REPORTE_DROPI!S:S,
MATCH($T984, REPORTE_DROPI!B:B, 0)
),
""
)
</f>
        <v/>
      </c>
      <c r="L984" s="118" t="str">
        <f>IF(
  O984&lt;&gt;"DEVOLUCION",
  "",
  IF(
    T984="",
    "",
    SUMIF(DEVOLUCION!F:F, T984, DEVOLUCION!D:D)
  )
)
</f>
        <v/>
      </c>
      <c r="M984" s="118" t="s">
        <v>5672</v>
      </c>
      <c r="N984" s="130" t="s">
        <v>5709</v>
      </c>
      <c r="O984" s="118" t="str">
        <f t="array" ref="O984">IFERROR(
VLOOKUP(
TRIM(CLEAN(
INDEX(REPORTE_DROPI!K:K,
MATCH(T984, REPORTE_DROPI!B:B, 0)
))),
{
TRIM(CLEAN(MAPA_ESTADOS!A:A)) ,
MAPA_ESTADOS!B:B
},
2,
FALSE
),
"REVISAR"
)
</f>
        <v>PENDIENTE</v>
      </c>
      <c r="P984" s="118" t="s">
        <v>5710</v>
      </c>
      <c r="Q984" s="122">
        <f t="shared" si="2"/>
        <v>0</v>
      </c>
      <c r="R984" s="118"/>
      <c r="S984" s="118"/>
      <c r="T984" s="118">
        <f t="array" ref="T984">IFERROR(
INDEX(REPORTE_DROPI!B:B,
MATCH(
CLEAN(TRIM(C984)),
CLEAN(TRIM(REPORTE_DROPI!E:E)),
0
)
),
""
)
</f>
        <v>4329729</v>
      </c>
      <c r="U984" s="118">
        <v>6.461977329708E12</v>
      </c>
      <c r="V984" s="78"/>
      <c r="W984" s="78"/>
      <c r="X984" s="78"/>
      <c r="Y984" s="78"/>
      <c r="Z984" s="78"/>
    </row>
    <row r="985" ht="22.5" customHeight="1">
      <c r="A985" s="118" t="s">
        <v>5675</v>
      </c>
      <c r="B985" s="119">
        <v>46052.0</v>
      </c>
      <c r="C985" s="126" t="s">
        <v>5711</v>
      </c>
      <c r="D985" s="118" t="str">
        <f>IFERROR(__xludf.DUMMYFUNCTION("IFERROR(
  INDEX(
    FILTER(
      'NOMBRE DE PRODUCTOS'!B:B,
      REGEXMATCH(
        UPPER(
          INDEX(
            REPORTE_DROPI!AC:AC,
            MATCH(T985, REPORTE_DROPI!B:B, 0)
          )
        ),
        UPPER('NOMBRE DE PRODUCTOS'!A:A)"&amp;"
      )
    ),
    1
  ),
  ""REVISAR""
)
"),"FilmPro®")</f>
        <v>FilmPro®</v>
      </c>
      <c r="E985" s="120">
        <f t="array" ref="E985">IF(
UPPER(TRIM(CLEAN($O985)))="ENTREGADO",
IFERROR(
INDEX(REPORTE_DROPI!Y:Y,
MATCH($T985, REPORTE_DROPI!B:B, 0)
),
""
),
""
)
</f>
        <v>4.7</v>
      </c>
      <c r="F985" s="121">
        <v>2.0</v>
      </c>
      <c r="G985" s="122">
        <f t="array" ref="G985">IF(
UPPER(TRIM(CLEAN($O985)))="ENTREGADO",
IFERROR(
INDEX(REPORTE_DROPI!R:R,
MATCH($T985, REPORTE_DROPI!B:B, 0)
),
""
),
""
)
</f>
        <v>25</v>
      </c>
      <c r="H985" s="118"/>
      <c r="I985" s="118" t="s">
        <v>3855</v>
      </c>
      <c r="J985" s="121">
        <f t="array" ref="J985">IF(
UPPER(TRIM(CLEAN($O985)))="ENTREGADO",
IFERROR(
INDEX(REPORTE_DROPI!T:T,
MATCH($T985, REPORTE_DROPI!B:B, 0)
),
""
),
""
)
</f>
        <v>5.96</v>
      </c>
      <c r="K985" s="118">
        <f t="array" ref="K985">IFERROR(
INDEX(REPORTE_DROPI!S:S,
MATCH($T985, REPORTE_DROPI!B:B, 0)
),
""
)
</f>
        <v>14.34</v>
      </c>
      <c r="L985" s="118" t="str">
        <f>IF(
  O985&lt;&gt;"DEVOLUCION",
  "",
  IF(
    T985="",
    "",
    SUMIF(DEVOLUCION!F:F, T985, DEVOLUCION!D:D)
  )
)
</f>
        <v/>
      </c>
      <c r="M985" s="118"/>
      <c r="N985" s="130" t="s">
        <v>5712</v>
      </c>
      <c r="O985" s="118" t="str">
        <f t="array" ref="O985">IFERROR(
VLOOKUP(
TRIM(CLEAN(
INDEX(REPORTE_DROPI!K:K,
MATCH(T985, REPORTE_DROPI!B:B, 0)
))),
{
TRIM(CLEAN(MAPA_ESTADOS!A:A)) ,
MAPA_ESTADOS!B:B
},
2,
FALSE
),
"REVISAR"
)
</f>
        <v>ENTREGADO</v>
      </c>
      <c r="P985" s="118"/>
      <c r="Q985" s="122">
        <f t="shared" si="2"/>
        <v>0</v>
      </c>
      <c r="R985" s="118"/>
      <c r="S985" s="118"/>
      <c r="T985" s="118">
        <f t="array" ref="T985">IFERROR(
INDEX(REPORTE_DROPI!B:B,
MATCH(
CLEAN(TRIM(C985)),
CLEAN(TRIM(REPORTE_DROPI!E:E)),
0
)
),
""
)
</f>
        <v>4336473</v>
      </c>
      <c r="U985" s="118">
        <v>6.462081728556E12</v>
      </c>
      <c r="V985" s="78"/>
      <c r="W985" s="78"/>
      <c r="X985" s="78"/>
      <c r="Y985" s="78"/>
      <c r="Z985" s="78"/>
    </row>
    <row r="986" ht="22.5" customHeight="1">
      <c r="A986" s="118" t="s">
        <v>5675</v>
      </c>
      <c r="B986" s="119">
        <v>46052.0</v>
      </c>
      <c r="C986" s="126" t="s">
        <v>5713</v>
      </c>
      <c r="D986" s="118" t="str">
        <f>IFERROR(__xludf.DUMMYFUNCTION("IFERROR(
  INDEX(
    FILTER(
      'NOMBRE DE PRODUCTOS'!B:B,
      REGEXMATCH(
        UPPER(
          INDEX(
            REPORTE_DROPI!AC:AC,
            MATCH(T986, REPORTE_DROPI!B:B, 0)
          )
        ),
        UPPER('NOMBRE DE PRODUCTOS'!A:A)"&amp;"
      )
    ),
    1
  ),
  ""REVISAR""
)
"),"Cuchillo Tazaki™")</f>
        <v>Cuchillo Tazaki™</v>
      </c>
      <c r="E986" s="120">
        <f t="array" ref="E986">IF(
UPPER(TRIM(CLEAN($O986)))="ENTREGADO",
IFERROR(
INDEX(REPORTE_DROPI!Y:Y,
MATCH($T986, REPORTE_DROPI!B:B, 0)
),
""
),
""
)
</f>
        <v>5.2</v>
      </c>
      <c r="F986" s="121">
        <v>2.0</v>
      </c>
      <c r="G986" s="122">
        <f t="array" ref="G986">IF(
UPPER(TRIM(CLEAN($O986)))="ENTREGADO",
IFERROR(
INDEX(REPORTE_DROPI!R:R,
MATCH($T986, REPORTE_DROPI!B:B, 0)
),
""
),
""
)
</f>
        <v>22</v>
      </c>
      <c r="H986" s="118"/>
      <c r="I986" s="118" t="s">
        <v>3801</v>
      </c>
      <c r="J986" s="121">
        <f t="array" ref="J986">IF(
UPPER(TRIM(CLEAN($O986)))="ENTREGADO",
IFERROR(
INDEX(REPORTE_DROPI!T:T,
MATCH($T986, REPORTE_DROPI!B:B, 0)
),
""
),
""
)
</f>
        <v>7.7</v>
      </c>
      <c r="K986" s="118">
        <f t="array" ref="K986">IFERROR(
INDEX(REPORTE_DROPI!S:S,
MATCH($T986, REPORTE_DROPI!B:B, 0)
),
""
)
</f>
        <v>9.1</v>
      </c>
      <c r="L986" s="118" t="str">
        <f>IF(
  O986&lt;&gt;"DEVOLUCION",
  "",
  IF(
    T986="",
    "",
    SUMIF(DEVOLUCION!F:F, T986, DEVOLUCION!D:D)
  )
)
</f>
        <v/>
      </c>
      <c r="M986" s="118"/>
      <c r="N986" s="130" t="s">
        <v>5714</v>
      </c>
      <c r="O986" s="118" t="str">
        <f t="array" ref="O986">IFERROR(
VLOOKUP(
TRIM(CLEAN(
INDEX(REPORTE_DROPI!K:K,
MATCH(T986, REPORTE_DROPI!B:B, 0)
))),
{
TRIM(CLEAN(MAPA_ESTADOS!A:A)) ,
MAPA_ESTADOS!B:B
},
2,
FALSE
),
"REVISAR"
)
</f>
        <v>ENTREGADO</v>
      </c>
      <c r="P986" s="118"/>
      <c r="Q986" s="122">
        <f t="shared" si="2"/>
        <v>0</v>
      </c>
      <c r="R986" s="118"/>
      <c r="S986" s="118"/>
      <c r="T986" s="118">
        <f t="array" ref="T986">IFERROR(
INDEX(REPORTE_DROPI!B:B,
MATCH(
CLEAN(TRIM(C986)),
CLEAN(TRIM(REPORTE_DROPI!E:E)),
0
)
),
""
)
</f>
        <v>4335635</v>
      </c>
      <c r="U986" s="118">
        <v>6.462296686636E12</v>
      </c>
      <c r="V986" s="78"/>
      <c r="W986" s="78"/>
      <c r="X986" s="78"/>
      <c r="Y986" s="78"/>
      <c r="Z986" s="78"/>
    </row>
    <row r="987" ht="22.5" customHeight="1">
      <c r="A987" s="118" t="s">
        <v>5675</v>
      </c>
      <c r="B987" s="119">
        <v>46052.0</v>
      </c>
      <c r="C987" s="126" t="s">
        <v>5715</v>
      </c>
      <c r="D987" s="118" t="str">
        <f>IFERROR(__xludf.DUMMYFUNCTION("IFERROR(
  INDEX(
    FILTER(
      'NOMBRE DE PRODUCTOS'!B:B,
      REGEXMATCH(
        UPPER(
          INDEX(
            REPORTE_DROPI!AC:AC,
            MATCH(T987, REPORTE_DROPI!B:B, 0)
          )
        ),
        UPPER('NOMBRE DE PRODUCTOS'!A:A)"&amp;"
      )
    ),
    1
  ),
  ""REVISAR""
)
"),"Cuchillo Tazaki™")</f>
        <v>Cuchillo Tazaki™</v>
      </c>
      <c r="E987" s="120">
        <f t="array" ref="E987">IF(
UPPER(TRIM(CLEAN($O987)))="ENTREGADO",
IFERROR(
INDEX(REPORTE_DROPI!Y:Y,
MATCH($T987, REPORTE_DROPI!B:B, 0)
),
""
),
""
)
</f>
        <v>7.8</v>
      </c>
      <c r="F987" s="121">
        <v>3.0</v>
      </c>
      <c r="G987" s="122">
        <f t="array" ref="G987">IF(
UPPER(TRIM(CLEAN($O987)))="ENTREGADO",
IFERROR(
INDEX(REPORTE_DROPI!R:R,
MATCH($T987, REPORTE_DROPI!B:B, 0)
),
""
),
""
)
</f>
        <v>27</v>
      </c>
      <c r="H987" s="118"/>
      <c r="I987" s="118" t="s">
        <v>3731</v>
      </c>
      <c r="J987" s="121">
        <f t="array" ref="J987">IF(
UPPER(TRIM(CLEAN($O987)))="ENTREGADO",
IFERROR(
INDEX(REPORTE_DROPI!T:T,
MATCH($T987, REPORTE_DROPI!B:B, 0)
),
""
),
""
)
</f>
        <v>6.03</v>
      </c>
      <c r="K987" s="118">
        <f t="array" ref="K987">IFERROR(
INDEX(REPORTE_DROPI!S:S,
MATCH($T987, REPORTE_DROPI!B:B, 0)
),
""
)
</f>
        <v>13.17</v>
      </c>
      <c r="L987" s="118" t="str">
        <f>IF(
  O987&lt;&gt;"DEVOLUCION",
  "",
  IF(
    T987="",
    "",
    SUMIF(DEVOLUCION!F:F, T987, DEVOLUCION!D:D)
  )
)
</f>
        <v/>
      </c>
      <c r="M987" s="118" t="s">
        <v>3870</v>
      </c>
      <c r="N987" s="130" t="s">
        <v>5716</v>
      </c>
      <c r="O987" s="118" t="str">
        <f t="array" ref="O987">IFERROR(
VLOOKUP(
TRIM(CLEAN(
INDEX(REPORTE_DROPI!K:K,
MATCH(T987, REPORTE_DROPI!B:B, 0)
))),
{
TRIM(CLEAN(MAPA_ESTADOS!A:A)) ,
MAPA_ESTADOS!B:B
},
2,
FALSE
),
"REVISAR"
)
</f>
        <v>ENTREGADO</v>
      </c>
      <c r="P987" s="118" t="s">
        <v>3655</v>
      </c>
      <c r="Q987" s="122">
        <f t="shared" si="2"/>
        <v>0</v>
      </c>
      <c r="R987" s="118"/>
      <c r="S987" s="118"/>
      <c r="T987" s="118">
        <f t="array" ref="T987">IFERROR(
INDEX(REPORTE_DROPI!B:B,
MATCH(
CLEAN(TRIM(C987)),
CLEAN(TRIM(REPORTE_DROPI!E:E)),
0
)
),
""
)
</f>
        <v>4332272</v>
      </c>
      <c r="U987" s="118">
        <v>6.46261381534E12</v>
      </c>
      <c r="V987" s="78"/>
      <c r="W987" s="78"/>
      <c r="X987" s="78"/>
      <c r="Y987" s="78"/>
      <c r="Z987" s="78"/>
    </row>
    <row r="988" ht="22.5" customHeight="1">
      <c r="A988" s="118" t="s">
        <v>5675</v>
      </c>
      <c r="B988" s="119">
        <v>46052.0</v>
      </c>
      <c r="C988" s="126" t="s">
        <v>5717</v>
      </c>
      <c r="D988" s="118" t="str">
        <f>IFERROR(__xludf.DUMMYFUNCTION("IFERROR(
  INDEX(
    FILTER(
      'NOMBRE DE PRODUCTOS'!B:B,
      REGEXMATCH(
        UPPER(
          INDEX(
            REPORTE_DROPI!AC:AC,
            MATCH(T988, REPORTE_DROPI!B:B, 0)
          )
        ),
        UPPER('NOMBRE DE PRODUCTOS'!A:A)"&amp;"
      )
    ),
    1
  ),
  ""REVISAR""
)
"),"Cuchillo Tazaki™")</f>
        <v>Cuchillo Tazaki™</v>
      </c>
      <c r="E988" s="120">
        <f t="array" ref="E988">IF(
UPPER(TRIM(CLEAN($O988)))="ENTREGADO",
IFERROR(
INDEX(REPORTE_DROPI!Y:Y,
MATCH($T988, REPORTE_DROPI!B:B, 0)
),
""
),
""
)
</f>
        <v>5.2</v>
      </c>
      <c r="F988" s="121">
        <v>2.0</v>
      </c>
      <c r="G988" s="122">
        <f t="array" ref="G988">IF(
UPPER(TRIM(CLEAN($O988)))="ENTREGADO",
IFERROR(
INDEX(REPORTE_DROPI!R:R,
MATCH($T988, REPORTE_DROPI!B:B, 0)
),
""
),
""
)
</f>
        <v>22</v>
      </c>
      <c r="H988" s="118"/>
      <c r="I988" s="118" t="s">
        <v>3738</v>
      </c>
      <c r="J988" s="121">
        <f t="array" ref="J988">IF(
UPPER(TRIM(CLEAN($O988)))="ENTREGADO",
IFERROR(
INDEX(REPORTE_DROPI!T:T,
MATCH($T988, REPORTE_DROPI!B:B, 0)
),
""
),
""
)
</f>
        <v>5.84</v>
      </c>
      <c r="K988" s="118">
        <f t="array" ref="K988">IFERROR(
INDEX(REPORTE_DROPI!S:S,
MATCH($T988, REPORTE_DROPI!B:B, 0)
),
""
)
</f>
        <v>10.96</v>
      </c>
      <c r="L988" s="118" t="str">
        <f>IF(
  O988&lt;&gt;"DEVOLUCION",
  "",
  IF(
    T988="",
    "",
    SUMIF(DEVOLUCION!F:F, T988, DEVOLUCION!D:D)
  )
)
</f>
        <v/>
      </c>
      <c r="M988" s="118" t="s">
        <v>3870</v>
      </c>
      <c r="N988" s="130" t="s">
        <v>5718</v>
      </c>
      <c r="O988" s="118" t="str">
        <f t="array" ref="O988">IFERROR(
VLOOKUP(
TRIM(CLEAN(
INDEX(REPORTE_DROPI!K:K,
MATCH(T988, REPORTE_DROPI!B:B, 0)
))),
{
TRIM(CLEAN(MAPA_ESTADOS!A:A)) ,
MAPA_ESTADOS!B:B
},
2,
FALSE
),
"REVISAR"
)
</f>
        <v>ENTREGADO</v>
      </c>
      <c r="P988" s="118" t="s">
        <v>3655</v>
      </c>
      <c r="Q988" s="122">
        <f t="shared" si="2"/>
        <v>0</v>
      </c>
      <c r="R988" s="118"/>
      <c r="S988" s="118"/>
      <c r="T988" s="118">
        <f t="array" ref="T988">IFERROR(
INDEX(REPORTE_DROPI!B:B,
MATCH(
CLEAN(TRIM(C988)),
CLEAN(TRIM(REPORTE_DROPI!E:E)),
0
)
),
""
)
</f>
        <v>4333252</v>
      </c>
      <c r="U988" s="118">
        <v>6.46289316254E12</v>
      </c>
      <c r="V988" s="78"/>
      <c r="W988" s="78"/>
      <c r="X988" s="78"/>
      <c r="Y988" s="78"/>
      <c r="Z988" s="78"/>
    </row>
    <row r="989" ht="22.5" customHeight="1">
      <c r="A989" s="118" t="s">
        <v>5675</v>
      </c>
      <c r="B989" s="119">
        <v>46052.0</v>
      </c>
      <c r="C989" s="126" t="s">
        <v>5719</v>
      </c>
      <c r="D989" s="118" t="str">
        <f>IFERROR(__xludf.DUMMYFUNCTION("IFERROR(
  INDEX(
    FILTER(
      'NOMBRE DE PRODUCTOS'!B:B,
      REGEXMATCH(
        UPPER(
          INDEX(
            REPORTE_DROPI!AC:AC,
            MATCH(T989, REPORTE_DROPI!B:B, 0)
          )
        ),
        UPPER('NOMBRE DE PRODUCTOS'!A:A)"&amp;"
      )
    ),
    1
  ),
  ""REVISAR""
)
"),"Cuchillo Tazaki™")</f>
        <v>Cuchillo Tazaki™</v>
      </c>
      <c r="E989" s="120" t="str">
        <f t="array" ref="E989">IF(
UPPER(TRIM(CLEAN($O989)))="ENTREGADO",
IFERROR(
INDEX(REPORTE_DROPI!Y:Y,
MATCH($T989, REPORTE_DROPI!B:B, 0)
),
""
),
""
)
</f>
        <v/>
      </c>
      <c r="F989" s="121">
        <v>2.0</v>
      </c>
      <c r="G989" s="122" t="str">
        <f t="array" ref="G989">IF(
UPPER(TRIM(CLEAN($O989)))="ENTREGADO",
IFERROR(
INDEX(REPORTE_DROPI!R:R,
MATCH($T989, REPORTE_DROPI!B:B, 0)
),
""
),
""
)
</f>
        <v/>
      </c>
      <c r="H989" s="118"/>
      <c r="I989" s="118" t="s">
        <v>3784</v>
      </c>
      <c r="J989" s="121" t="str">
        <f t="array" ref="J989">IF(
UPPER(TRIM(CLEAN($O989)))="ENTREGADO",
IFERROR(
INDEX(REPORTE_DROPI!T:T,
MATCH($T989, REPORTE_DROPI!B:B, 0)
),
""
),
""
)
</f>
        <v/>
      </c>
      <c r="K989" s="118" t="str">
        <f t="array" ref="K989">IFERROR(
INDEX(REPORTE_DROPI!S:S,
MATCH($T989, REPORTE_DROPI!B:B, 0)
),
""
)
</f>
        <v/>
      </c>
      <c r="L989" s="118" t="str">
        <f>IF(
  O989&lt;&gt;"DEVOLUCION",
  "",
  IF(
    T989="",
    "",
    SUMIF(DEVOLUCION!F:F, T989, DEVOLUCION!D:D)
  )
)
</f>
        <v/>
      </c>
      <c r="M989" s="118"/>
      <c r="N989" s="130" t="s">
        <v>5720</v>
      </c>
      <c r="O989" s="118" t="str">
        <f t="array" ref="O989">IFERROR(
VLOOKUP(
TRIM(CLEAN(
INDEX(REPORTE_DROPI!K:K,
MATCH(T989, REPORTE_DROPI!B:B, 0)
))),
{
TRIM(CLEAN(MAPA_ESTADOS!A:A)) ,
MAPA_ESTADOS!B:B
},
2,
FALSE
),
"REVISAR"
)
</f>
        <v>PENDIENTE</v>
      </c>
      <c r="P989" s="118" t="s">
        <v>3689</v>
      </c>
      <c r="Q989" s="122">
        <f t="shared" si="2"/>
        <v>0</v>
      </c>
      <c r="R989" s="118"/>
      <c r="S989" s="118"/>
      <c r="T989" s="118">
        <f t="array" ref="T989">IFERROR(
INDEX(REPORTE_DROPI!B:B,
MATCH(
CLEAN(TRIM(C989)),
CLEAN(TRIM(REPORTE_DROPI!E:E)),
0
)
),
""
)
</f>
        <v>4333304</v>
      </c>
      <c r="U989" s="118">
        <v>6.462908858412E12</v>
      </c>
      <c r="V989" s="78"/>
      <c r="W989" s="78"/>
      <c r="X989" s="78"/>
      <c r="Y989" s="78"/>
      <c r="Z989" s="78"/>
    </row>
    <row r="990" ht="22.5" customHeight="1">
      <c r="A990" s="118" t="s">
        <v>5675</v>
      </c>
      <c r="B990" s="119">
        <v>46052.0</v>
      </c>
      <c r="C990" s="126" t="s">
        <v>5721</v>
      </c>
      <c r="D990" s="118" t="str">
        <f>IFERROR(__xludf.DUMMYFUNCTION("IFERROR(
  INDEX(
    FILTER(
      'NOMBRE DE PRODUCTOS'!B:B,
      REGEXMATCH(
        UPPER(
          INDEX(
            REPORTE_DROPI!AC:AC,
            MATCH(T990, REPORTE_DROPI!B:B, 0)
          )
        ),
        UPPER('NOMBRE DE PRODUCTOS'!A:A)"&amp;"
      )
    ),
    1
  ),
  ""REVISAR""
)
"),"Cuchillo Tazaki™")</f>
        <v>Cuchillo Tazaki™</v>
      </c>
      <c r="E990" s="120" t="str">
        <f t="array" ref="E990">IF(
UPPER(TRIM(CLEAN($O990)))="ENTREGADO",
IFERROR(
INDEX(REPORTE_DROPI!Y:Y,
MATCH($T990, REPORTE_DROPI!B:B, 0)
),
""
),
""
)
</f>
        <v/>
      </c>
      <c r="F990" s="121">
        <v>3.0</v>
      </c>
      <c r="G990" s="122" t="str">
        <f t="array" ref="G990">IF(
UPPER(TRIM(CLEAN($O990)))="ENTREGADO",
IFERROR(
INDEX(REPORTE_DROPI!R:R,
MATCH($T990, REPORTE_DROPI!B:B, 0)
),
""
),
""
)
</f>
        <v/>
      </c>
      <c r="H990" s="118"/>
      <c r="I990" s="118" t="s">
        <v>3740</v>
      </c>
      <c r="J990" s="121" t="str">
        <f t="array" ref="J990">IF(
UPPER(TRIM(CLEAN($O990)))="ENTREGADO",
IFERROR(
INDEX(REPORTE_DROPI!T:T,
MATCH($T990, REPORTE_DROPI!B:B, 0)
),
""
),
""
)
</f>
        <v/>
      </c>
      <c r="K990" s="118" t="str">
        <f t="array" ref="K990">IFERROR(
INDEX(REPORTE_DROPI!S:S,
MATCH($T990, REPORTE_DROPI!B:B, 0)
),
""
)
</f>
        <v/>
      </c>
      <c r="L990" s="118" t="str">
        <f>IF(
  O990&lt;&gt;"DEVOLUCION",
  "",
  IF(
    T990="",
    "",
    SUMIF(DEVOLUCION!F:F, T990, DEVOLUCION!D:D)
  )
)
</f>
        <v/>
      </c>
      <c r="M990" s="118"/>
      <c r="N990" s="130" t="s">
        <v>5722</v>
      </c>
      <c r="O990" s="118" t="str">
        <f t="array" ref="O990">IFERROR(
VLOOKUP(
TRIM(CLEAN(
INDEX(REPORTE_DROPI!K:K,
MATCH(T990, REPORTE_DROPI!B:B, 0)
))),
{
TRIM(CLEAN(MAPA_ESTADOS!A:A)) ,
MAPA_ESTADOS!B:B
},
2,
FALSE
),
"REVISAR"
)
</f>
        <v>PENDIENTE</v>
      </c>
      <c r="P990" s="118" t="s">
        <v>3689</v>
      </c>
      <c r="Q990" s="122">
        <f t="shared" si="2"/>
        <v>0</v>
      </c>
      <c r="R990" s="118"/>
      <c r="S990" s="118"/>
      <c r="T990" s="118">
        <f t="array" ref="T990">IFERROR(
INDEX(REPORTE_DROPI!B:B,
MATCH(
CLEAN(TRIM(C990)),
CLEAN(TRIM(REPORTE_DROPI!E:E)),
0
)
),
""
)
</f>
        <v>4333459</v>
      </c>
      <c r="U990" s="118">
        <v>6.462944182316E12</v>
      </c>
      <c r="V990" s="78"/>
      <c r="W990" s="78"/>
      <c r="X990" s="78"/>
      <c r="Y990" s="78"/>
      <c r="Z990" s="78"/>
    </row>
    <row r="991" ht="22.5" customHeight="1">
      <c r="A991" s="118" t="s">
        <v>5675</v>
      </c>
      <c r="B991" s="119">
        <v>46052.0</v>
      </c>
      <c r="C991" s="126" t="s">
        <v>5723</v>
      </c>
      <c r="D991" s="118" t="str">
        <f>IFERROR(__xludf.DUMMYFUNCTION("IFERROR(
  INDEX(
    FILTER(
      'NOMBRE DE PRODUCTOS'!B:B,
      REGEXMATCH(
        UPPER(
          INDEX(
            REPORTE_DROPI!AC:AC,
            MATCH(T991, REPORTE_DROPI!B:B, 0)
          )
        ),
        UPPER('NOMBRE DE PRODUCTOS'!A:A)"&amp;"
      )
    ),
    1
  ),
  ""REVISAR""
)
"),"FilmPro®")</f>
        <v>FilmPro®</v>
      </c>
      <c r="E991" s="120">
        <f t="array" ref="E991">IF(
UPPER(TRIM(CLEAN($O991)))="ENTREGADO",
IFERROR(
INDEX(REPORTE_DROPI!Y:Y,
MATCH($T991, REPORTE_DROPI!B:B, 0)
),
""
),
""
)
</f>
        <v>4.7</v>
      </c>
      <c r="F991" s="121">
        <v>2.0</v>
      </c>
      <c r="G991" s="122">
        <f t="array" ref="G991">IF(
UPPER(TRIM(CLEAN($O991)))="ENTREGADO",
IFERROR(
INDEX(REPORTE_DROPI!R:R,
MATCH($T991, REPORTE_DROPI!B:B, 0)
),
""
),
""
)
</f>
        <v>25</v>
      </c>
      <c r="H991" s="118"/>
      <c r="I991" s="118" t="s">
        <v>3962</v>
      </c>
      <c r="J991" s="121">
        <f t="array" ref="J991">IF(
UPPER(TRIM(CLEAN($O991)))="ENTREGADO",
IFERROR(
INDEX(REPORTE_DROPI!T:T,
MATCH($T991, REPORTE_DROPI!B:B, 0)
),
""
),
""
)
</f>
        <v>7.75</v>
      </c>
      <c r="K991" s="118">
        <f t="array" ref="K991">IFERROR(
INDEX(REPORTE_DROPI!S:S,
MATCH($T991, REPORTE_DROPI!B:B, 0)
),
""
)
</f>
        <v>12.55</v>
      </c>
      <c r="L991" s="118" t="str">
        <f>IF(
  O991&lt;&gt;"DEVOLUCION",
  "",
  IF(
    T991="",
    "",
    SUMIF(DEVOLUCION!F:F, T991, DEVOLUCION!D:D)
  )
)
</f>
        <v/>
      </c>
      <c r="M991" s="118" t="s">
        <v>3870</v>
      </c>
      <c r="N991" s="130" t="s">
        <v>5724</v>
      </c>
      <c r="O991" s="118" t="str">
        <f t="array" ref="O991">IFERROR(
VLOOKUP(
TRIM(CLEAN(
INDEX(REPORTE_DROPI!K:K,
MATCH(T991, REPORTE_DROPI!B:B, 0)
))),
{
TRIM(CLEAN(MAPA_ESTADOS!A:A)) ,
MAPA_ESTADOS!B:B
},
2,
FALSE
),
"REVISAR"
)
</f>
        <v>ENTREGADO</v>
      </c>
      <c r="P991" s="118" t="s">
        <v>3655</v>
      </c>
      <c r="Q991" s="122">
        <f t="shared" si="2"/>
        <v>0</v>
      </c>
      <c r="R991" s="118"/>
      <c r="S991" s="118"/>
      <c r="T991" s="118">
        <f t="array" ref="T991">IFERROR(
INDEX(REPORTE_DROPI!B:B,
MATCH(
CLEAN(TRIM(C991)),
CLEAN(TRIM(REPORTE_DROPI!E:E)),
0
)
),
""
)
</f>
        <v>4333654</v>
      </c>
      <c r="U991" s="118">
        <v>6.46299310494E12</v>
      </c>
      <c r="V991" s="78"/>
      <c r="W991" s="78"/>
      <c r="X991" s="78"/>
      <c r="Y991" s="78"/>
      <c r="Z991" s="78"/>
    </row>
    <row r="992" ht="22.5" customHeight="1">
      <c r="A992" s="118" t="s">
        <v>5675</v>
      </c>
      <c r="B992" s="119">
        <v>46052.0</v>
      </c>
      <c r="C992" s="126" t="s">
        <v>5725</v>
      </c>
      <c r="D992" s="118" t="str">
        <f>IFERROR(__xludf.DUMMYFUNCTION("IFERROR(
  INDEX(
    FILTER(
      'NOMBRE DE PRODUCTOS'!B:B,
      REGEXMATCH(
        UPPER(
          INDEX(
            REPORTE_DROPI!AC:AC,
            MATCH(T992, REPORTE_DROPI!B:B, 0)
          )
        ),
        UPPER('NOMBRE DE PRODUCTOS'!A:A)"&amp;"
      )
    ),
    1
  ),
  ""REVISAR""
)
"),"FilmPro®")</f>
        <v>FilmPro®</v>
      </c>
      <c r="E992" s="120">
        <f t="array" ref="E992">IF(
UPPER(TRIM(CLEAN($O992)))="ENTREGADO",
IFERROR(
INDEX(REPORTE_DROPI!Y:Y,
MATCH($T992, REPORTE_DROPI!B:B, 0)
),
""
),
""
)
</f>
        <v>2.35</v>
      </c>
      <c r="F992" s="121">
        <v>1.0</v>
      </c>
      <c r="G992" s="122">
        <f t="array" ref="G992">IF(
UPPER(TRIM(CLEAN($O992)))="ENTREGADO",
IFERROR(
INDEX(REPORTE_DROPI!R:R,
MATCH($T992, REPORTE_DROPI!B:B, 0)
),
""
),
""
)
</f>
        <v>20</v>
      </c>
      <c r="H992" s="118"/>
      <c r="I992" s="118" t="s">
        <v>3728</v>
      </c>
      <c r="J992" s="121">
        <f t="array" ref="J992">IF(
UPPER(TRIM(CLEAN($O992)))="ENTREGADO",
IFERROR(
INDEX(REPORTE_DROPI!T:T,
MATCH($T992, REPORTE_DROPI!B:B, 0)
),
""
),
""
)
</f>
        <v>5.76</v>
      </c>
      <c r="K992" s="118">
        <f t="array" ref="K992">IFERROR(
INDEX(REPORTE_DROPI!S:S,
MATCH($T992, REPORTE_DROPI!B:B, 0)
),
""
)
</f>
        <v>11.89</v>
      </c>
      <c r="L992" s="118" t="str">
        <f>IF(
  O992&lt;&gt;"DEVOLUCION",
  "",
  IF(
    T992="",
    "",
    SUMIF(DEVOLUCION!F:F, T992, DEVOLUCION!D:D)
  )
)
</f>
        <v/>
      </c>
      <c r="M992" s="118" t="s">
        <v>3870</v>
      </c>
      <c r="N992" s="130" t="s">
        <v>5726</v>
      </c>
      <c r="O992" s="118" t="str">
        <f t="array" ref="O992">IFERROR(
VLOOKUP(
TRIM(CLEAN(
INDEX(REPORTE_DROPI!K:K,
MATCH(T992, REPORTE_DROPI!B:B, 0)
))),
{
TRIM(CLEAN(MAPA_ESTADOS!A:A)) ,
MAPA_ESTADOS!B:B
},
2,
FALSE
),
"REVISAR"
)
</f>
        <v>ENTREGADO</v>
      </c>
      <c r="P992" s="118" t="s">
        <v>3655</v>
      </c>
      <c r="Q992" s="122">
        <f t="shared" si="2"/>
        <v>0</v>
      </c>
      <c r="R992" s="118"/>
      <c r="S992" s="118"/>
      <c r="T992" s="118">
        <f t="array" ref="T992">IFERROR(
INDEX(REPORTE_DROPI!B:B,
MATCH(
CLEAN(TRIM(C992)),
CLEAN(TRIM(REPORTE_DROPI!E:E)),
0
)
),
""
)
</f>
        <v>4335450</v>
      </c>
      <c r="U992" s="118">
        <v>6.463030263852E12</v>
      </c>
      <c r="V992" s="78"/>
      <c r="W992" s="78"/>
      <c r="X992" s="78"/>
      <c r="Y992" s="78"/>
      <c r="Z992" s="78"/>
    </row>
    <row r="993" ht="22.5" customHeight="1">
      <c r="A993" s="118" t="s">
        <v>5675</v>
      </c>
      <c r="B993" s="119">
        <v>46052.0</v>
      </c>
      <c r="C993" s="126" t="s">
        <v>5727</v>
      </c>
      <c r="D993" s="118" t="str">
        <f>IFERROR(__xludf.DUMMYFUNCTION("IFERROR(
  INDEX(
    FILTER(
      'NOMBRE DE PRODUCTOS'!B:B,
      REGEXMATCH(
        UPPER(
          INDEX(
            REPORTE_DROPI!AC:AC,
            MATCH(T993, REPORTE_DROPI!B:B, 0)
          )
        ),
        UPPER('NOMBRE DE PRODUCTOS'!A:A)"&amp;"
      )
    ),
    1
  ),
  ""REVISAR""
)
"),"FilmPro®")</f>
        <v>FilmPro®</v>
      </c>
      <c r="E993" s="120">
        <f t="array" ref="E993">IF(
UPPER(TRIM(CLEAN($O993)))="ENTREGADO",
IFERROR(
INDEX(REPORTE_DROPI!Y:Y,
MATCH($T993, REPORTE_DROPI!B:B, 0)
),
""
),
""
)
</f>
        <v>4.7</v>
      </c>
      <c r="F993" s="121">
        <v>2.0</v>
      </c>
      <c r="G993" s="122">
        <f t="array" ref="G993">IF(
UPPER(TRIM(CLEAN($O993)))="ENTREGADO",
IFERROR(
INDEX(REPORTE_DROPI!R:R,
MATCH($T993, REPORTE_DROPI!B:B, 0)
),
""
),
""
)
</f>
        <v>25</v>
      </c>
      <c r="H993" s="118"/>
      <c r="I993" s="118" t="s">
        <v>3784</v>
      </c>
      <c r="J993" s="121">
        <f t="array" ref="J993">IF(
UPPER(TRIM(CLEAN($O993)))="ENTREGADO",
IFERROR(
INDEX(REPORTE_DROPI!T:T,
MATCH($T993, REPORTE_DROPI!B:B, 0)
),
""
),
""
)
</f>
        <v>5.96</v>
      </c>
      <c r="K993" s="118">
        <f t="array" ref="K993">IFERROR(
INDEX(REPORTE_DROPI!S:S,
MATCH($T993, REPORTE_DROPI!B:B, 0)
),
""
)
</f>
        <v>14.34</v>
      </c>
      <c r="L993" s="118" t="str">
        <f>IF(
  O993&lt;&gt;"DEVOLUCION",
  "",
  IF(
    T993="",
    "",
    SUMIF(DEVOLUCION!F:F, T993, DEVOLUCION!D:D)
  )
)
</f>
        <v/>
      </c>
      <c r="M993" s="118"/>
      <c r="N993" s="130" t="s">
        <v>5728</v>
      </c>
      <c r="O993" s="118" t="str">
        <f t="array" ref="O993">IFERROR(
VLOOKUP(
TRIM(CLEAN(
INDEX(REPORTE_DROPI!K:K,
MATCH(T993, REPORTE_DROPI!B:B, 0)
))),
{
TRIM(CLEAN(MAPA_ESTADOS!A:A)) ,
MAPA_ESTADOS!B:B
},
2,
FALSE
),
"REVISAR"
)
</f>
        <v>ENTREGADO</v>
      </c>
      <c r="P993" s="118" t="s">
        <v>5692</v>
      </c>
      <c r="Q993" s="122">
        <f t="shared" si="2"/>
        <v>0</v>
      </c>
      <c r="R993" s="118"/>
      <c r="S993" s="118"/>
      <c r="T993" s="118">
        <f t="array" ref="T993">IFERROR(
INDEX(REPORTE_DROPI!B:B,
MATCH(
CLEAN(TRIM(C993)),
CLEAN(TRIM(REPORTE_DROPI!E:E)),
0
)
),
""
)
</f>
        <v>4334275</v>
      </c>
      <c r="U993" s="118">
        <v>6.463099043884E12</v>
      </c>
      <c r="V993" s="78"/>
      <c r="W993" s="78"/>
      <c r="X993" s="78"/>
      <c r="Y993" s="78"/>
      <c r="Z993" s="78"/>
    </row>
    <row r="994" ht="22.5" customHeight="1">
      <c r="A994" s="118" t="s">
        <v>5675</v>
      </c>
      <c r="B994" s="119">
        <v>46052.0</v>
      </c>
      <c r="C994" s="126" t="s">
        <v>5729</v>
      </c>
      <c r="D994" s="118" t="str">
        <f>IFERROR(__xludf.DUMMYFUNCTION("IFERROR(
  INDEX(
    FILTER(
      'NOMBRE DE PRODUCTOS'!B:B,
      REGEXMATCH(
        UPPER(
          INDEX(
            REPORTE_DROPI!AC:AC,
            MATCH(T994, REPORTE_DROPI!B:B, 0)
          )
        ),
        UPPER('NOMBRE DE PRODUCTOS'!A:A)"&amp;"
      )
    ),
    1
  ),
  ""REVISAR""
)
"),"Cuchillo Tazaki™")</f>
        <v>Cuchillo Tazaki™</v>
      </c>
      <c r="E994" s="120" t="str">
        <f t="array" ref="E994">IF(
UPPER(TRIM(CLEAN($O994)))="ENTREGADO",
IFERROR(
INDEX(REPORTE_DROPI!Y:Y,
MATCH($T994, REPORTE_DROPI!B:B, 0)
),
""
),
""
)
</f>
        <v/>
      </c>
      <c r="F994" s="121">
        <v>4.0</v>
      </c>
      <c r="G994" s="122" t="str">
        <f t="array" ref="G994">IF(
UPPER(TRIM(CLEAN($O994)))="ENTREGADO",
IFERROR(
INDEX(REPORTE_DROPI!R:R,
MATCH($T994, REPORTE_DROPI!B:B, 0)
),
""
),
""
)
</f>
        <v/>
      </c>
      <c r="H994" s="118"/>
      <c r="I994" s="118" t="s">
        <v>3759</v>
      </c>
      <c r="J994" s="121" t="str">
        <f t="array" ref="J994">IF(
UPPER(TRIM(CLEAN($O994)))="ENTREGADO",
IFERROR(
INDEX(REPORTE_DROPI!T:T,
MATCH($T994, REPORTE_DROPI!B:B, 0)
),
""
),
""
)
</f>
        <v/>
      </c>
      <c r="K994" s="118" t="str">
        <f t="array" ref="K994">IFERROR(
INDEX(REPORTE_DROPI!S:S,
MATCH($T994, REPORTE_DROPI!B:B, 0)
),
""
)
</f>
        <v/>
      </c>
      <c r="L994" s="118" t="str">
        <f>IF(
  O994&lt;&gt;"DEVOLUCION",
  "",
  IF(
    T994="",
    "",
    SUMIF(DEVOLUCION!F:F, T994, DEVOLUCION!D:D)
  )
)
</f>
        <v/>
      </c>
      <c r="M994" s="118"/>
      <c r="N994" s="130" t="s">
        <v>5730</v>
      </c>
      <c r="O994" s="118" t="str">
        <f t="array" ref="O994">IFERROR(
VLOOKUP(
TRIM(CLEAN(
INDEX(REPORTE_DROPI!K:K,
MATCH(T994, REPORTE_DROPI!B:B, 0)
))),
{
TRIM(CLEAN(MAPA_ESTADOS!A:A)) ,
MAPA_ESTADOS!B:B
},
2,
FALSE
),
"REVISAR"
)
</f>
        <v>PENDIENTE</v>
      </c>
      <c r="P994" s="118" t="s">
        <v>3689</v>
      </c>
      <c r="Q994" s="122">
        <f t="shared" si="2"/>
        <v>0</v>
      </c>
      <c r="R994" s="118"/>
      <c r="S994" s="118"/>
      <c r="T994" s="118">
        <f t="array" ref="T994">IFERROR(
INDEX(REPORTE_DROPI!B:B,
MATCH(
CLEAN(TRIM(C994)),
CLEAN(TRIM(REPORTE_DROPI!E:E)),
0
)
),
""
)
</f>
        <v>4335142</v>
      </c>
      <c r="U994" s="118">
        <v>6.463314591788E12</v>
      </c>
      <c r="V994" s="78"/>
      <c r="W994" s="78"/>
      <c r="X994" s="78"/>
      <c r="Y994" s="78"/>
      <c r="Z994" s="78"/>
    </row>
    <row r="995" ht="22.5" customHeight="1">
      <c r="A995" s="118" t="s">
        <v>5675</v>
      </c>
      <c r="B995" s="119">
        <v>46052.0</v>
      </c>
      <c r="C995" s="126" t="s">
        <v>5678</v>
      </c>
      <c r="D995" s="118" t="str">
        <f>IFERROR(__xludf.DUMMYFUNCTION("IFERROR(
  INDEX(
    FILTER(
      'NOMBRE DE PRODUCTOS'!B:B,
      REGEXMATCH(
        UPPER(
          INDEX(
            REPORTE_DROPI!AC:AC,
            MATCH(T995, REPORTE_DROPI!B:B, 0)
          )
        ),
        UPPER('NOMBRE DE PRODUCTOS'!A:A)"&amp;"
      )
    ),
    1
  ),
  ""REVISAR""
)
"),"FilmPro®")</f>
        <v>FilmPro®</v>
      </c>
      <c r="E995" s="120" t="str">
        <f t="array" ref="E995">IF(
UPPER(TRIM(CLEAN($O995)))="ENTREGADO",
IFERROR(
INDEX(REPORTE_DROPI!Y:Y,
MATCH($T995, REPORTE_DROPI!B:B, 0)
),
""
),
""
)
</f>
        <v/>
      </c>
      <c r="F995" s="121">
        <v>1.0</v>
      </c>
      <c r="G995" s="122" t="str">
        <f t="array" ref="G995">IF(
UPPER(TRIM(CLEAN($O995)))="ENTREGADO",
IFERROR(
INDEX(REPORTE_DROPI!R:R,
MATCH($T995, REPORTE_DROPI!B:B, 0)
),
""
),
""
)
</f>
        <v/>
      </c>
      <c r="H995" s="118"/>
      <c r="I995" s="118" t="s">
        <v>3731</v>
      </c>
      <c r="J995" s="121" t="str">
        <f t="array" ref="J995">IF(
UPPER(TRIM(CLEAN($O995)))="ENTREGADO",
IFERROR(
INDEX(REPORTE_DROPI!T:T,
MATCH($T995, REPORTE_DROPI!B:B, 0)
),
""
),
""
)
</f>
        <v/>
      </c>
      <c r="K995" s="118" t="str">
        <f t="array" ref="K995">IFERROR(
INDEX(REPORTE_DROPI!S:S,
MATCH($T995, REPORTE_DROPI!B:B, 0)
),
""
)
</f>
        <v/>
      </c>
      <c r="L995" s="118" t="str">
        <f>IF(
  O995&lt;&gt;"DEVOLUCION",
  "",
  IF(
    T995="",
    "",
    SUMIF(DEVOLUCION!F:F, T995, DEVOLUCION!D:D)
  )
)
</f>
        <v/>
      </c>
      <c r="M995" s="118"/>
      <c r="N995" s="130" t="s">
        <v>5731</v>
      </c>
      <c r="O995" s="118" t="str">
        <f t="array" ref="O995">IFERROR(
VLOOKUP(
TRIM(CLEAN(
INDEX(REPORTE_DROPI!K:K,
MATCH(T995, REPORTE_DROPI!B:B, 0)
))),
{
TRIM(CLEAN(MAPA_ESTADOS!A:A)) ,
MAPA_ESTADOS!B:B
},
2,
FALSE
),
"REVISAR"
)
</f>
        <v>PENDIENTE</v>
      </c>
      <c r="P995" s="118" t="s">
        <v>5732</v>
      </c>
      <c r="Q995" s="122">
        <f t="shared" si="2"/>
        <v>0</v>
      </c>
      <c r="R995" s="118"/>
      <c r="S995" s="118"/>
      <c r="T995" s="118">
        <f t="array" ref="T995">IFERROR(
INDEX(REPORTE_DROPI!B:B,
MATCH(
CLEAN(TRIM(C995)),
CLEAN(TRIM(REPORTE_DROPI!E:E)),
0
)
),
""
)
</f>
        <v>4335152</v>
      </c>
      <c r="U995" s="118">
        <v>6.463319834668E12</v>
      </c>
      <c r="V995" s="78"/>
      <c r="W995" s="78"/>
      <c r="X995" s="78"/>
      <c r="Y995" s="78"/>
      <c r="Z995" s="78"/>
    </row>
    <row r="996" ht="22.5" customHeight="1">
      <c r="A996" s="118" t="s">
        <v>5675</v>
      </c>
      <c r="B996" s="119">
        <v>46052.0</v>
      </c>
      <c r="C996" s="126" t="s">
        <v>5733</v>
      </c>
      <c r="D996" s="118" t="str">
        <f>IFERROR(__xludf.DUMMYFUNCTION("IFERROR(
  INDEX(
    FILTER(
      'NOMBRE DE PRODUCTOS'!B:B,
      REGEXMATCH(
        UPPER(
          INDEX(
            REPORTE_DROPI!AC:AC,
            MATCH(T996, REPORTE_DROPI!B:B, 0)
          )
        ),
        UPPER('NOMBRE DE PRODUCTOS'!A:A)"&amp;"
      )
    ),
    1
  ),
  ""REVISAR""
)
"),"Cuchillo Tazaki™")</f>
        <v>Cuchillo Tazaki™</v>
      </c>
      <c r="E996" s="120" t="str">
        <f t="array" ref="E996">IF(
UPPER(TRIM(CLEAN($O996)))="ENTREGADO",
IFERROR(
INDEX(REPORTE_DROPI!Y:Y,
MATCH($T996, REPORTE_DROPI!B:B, 0)
),
""
),
""
)
</f>
        <v/>
      </c>
      <c r="F996" s="121">
        <v>2.0</v>
      </c>
      <c r="G996" s="122" t="str">
        <f t="array" ref="G996">IF(
UPPER(TRIM(CLEAN($O996)))="ENTREGADO",
IFERROR(
INDEX(REPORTE_DROPI!R:R,
MATCH($T996, REPORTE_DROPI!B:B, 0)
),
""
),
""
)
</f>
        <v/>
      </c>
      <c r="H996" s="118"/>
      <c r="I996" s="118" t="s">
        <v>3912</v>
      </c>
      <c r="J996" s="121" t="str">
        <f t="array" ref="J996">IF(
UPPER(TRIM(CLEAN($O996)))="ENTREGADO",
IFERROR(
INDEX(REPORTE_DROPI!T:T,
MATCH($T996, REPORTE_DROPI!B:B, 0)
),
""
),
""
)
</f>
        <v/>
      </c>
      <c r="K996" s="118" t="str">
        <f t="array" ref="K996">IFERROR(
INDEX(REPORTE_DROPI!S:S,
MATCH($T996, REPORTE_DROPI!B:B, 0)
),
""
)
</f>
        <v/>
      </c>
      <c r="L996" s="118" t="str">
        <f>IF(
  O996&lt;&gt;"DEVOLUCION",
  "",
  IF(
    T996="",
    "",
    SUMIF(DEVOLUCION!F:F, T996, DEVOLUCION!D:D)
  )
)
</f>
        <v/>
      </c>
      <c r="M996" s="118"/>
      <c r="N996" s="130" t="s">
        <v>5734</v>
      </c>
      <c r="O996" s="118" t="str">
        <f t="array" ref="O996">IFERROR(
VLOOKUP(
TRIM(CLEAN(
INDEX(REPORTE_DROPI!K:K,
MATCH(T996, REPORTE_DROPI!B:B, 0)
))),
{
TRIM(CLEAN(MAPA_ESTADOS!A:A)) ,
MAPA_ESTADOS!B:B
},
2,
FALSE
),
"REVISAR"
)
</f>
        <v>PENDIENTE</v>
      </c>
      <c r="P996" s="118" t="s">
        <v>3689</v>
      </c>
      <c r="Q996" s="122">
        <f t="shared" si="2"/>
        <v>0</v>
      </c>
      <c r="R996" s="118"/>
      <c r="S996" s="118"/>
      <c r="T996" s="118">
        <f t="array" ref="T996">IFERROR(
INDEX(REPORTE_DROPI!B:B,
MATCH(
CLEAN(TRIM(C996)),
CLEAN(TRIM(REPORTE_DROPI!E:E)),
0
)
),
""
)
</f>
        <v>4335229</v>
      </c>
      <c r="U996" s="118">
        <v>6.463341297708E12</v>
      </c>
      <c r="V996" s="78"/>
      <c r="W996" s="78"/>
      <c r="X996" s="78"/>
      <c r="Y996" s="78"/>
      <c r="Z996" s="78"/>
    </row>
    <row r="997" ht="22.5" customHeight="1">
      <c r="A997" s="118" t="s">
        <v>5675</v>
      </c>
      <c r="B997" s="119">
        <v>46052.0</v>
      </c>
      <c r="C997" s="126" t="s">
        <v>5735</v>
      </c>
      <c r="D997" s="118" t="str">
        <f>IFERROR(__xludf.DUMMYFUNCTION("IFERROR(
  INDEX(
    FILTER(
      'NOMBRE DE PRODUCTOS'!B:B,
      REGEXMATCH(
        UPPER(
          INDEX(
            REPORTE_DROPI!AC:AC,
            MATCH(T997, REPORTE_DROPI!B:B, 0)
          )
        ),
        UPPER('NOMBRE DE PRODUCTOS'!A:A)"&amp;"
      )
    ),
    1
  ),
  ""REVISAR""
)
"),"FilmPro®")</f>
        <v>FilmPro®</v>
      </c>
      <c r="E997" s="120">
        <f t="array" ref="E997">IF(
UPPER(TRIM(CLEAN($O997)))="ENTREGADO",
IFERROR(
INDEX(REPORTE_DROPI!Y:Y,
MATCH($T997, REPORTE_DROPI!B:B, 0)
),
""
),
""
)
</f>
        <v>2.35</v>
      </c>
      <c r="F997" s="121">
        <v>1.0</v>
      </c>
      <c r="G997" s="122">
        <f t="array" ref="G997">IF(
UPPER(TRIM(CLEAN($O997)))="ENTREGADO",
IFERROR(
INDEX(REPORTE_DROPI!R:R,
MATCH($T997, REPORTE_DROPI!B:B, 0)
),
""
),
""
)
</f>
        <v>20</v>
      </c>
      <c r="H997" s="118"/>
      <c r="I997" s="118" t="s">
        <v>3772</v>
      </c>
      <c r="J997" s="121">
        <f t="array" ref="J997">IF(
UPPER(TRIM(CLEAN($O997)))="ENTREGADO",
IFERROR(
INDEX(REPORTE_DROPI!T:T,
MATCH($T997, REPORTE_DROPI!B:B, 0)
),
""
),
""
)
</f>
        <v>7.67</v>
      </c>
      <c r="K997" s="118">
        <f t="array" ref="K997">IFERROR(
INDEX(REPORTE_DROPI!S:S,
MATCH($T997, REPORTE_DROPI!B:B, 0)
),
""
)
</f>
        <v>9.98</v>
      </c>
      <c r="L997" s="118" t="str">
        <f>IF(
  O997&lt;&gt;"DEVOLUCION",
  "",
  IF(
    T997="",
    "",
    SUMIF(DEVOLUCION!F:F, T997, DEVOLUCION!D:D)
  )
)
</f>
        <v/>
      </c>
      <c r="M997" s="118"/>
      <c r="N997" s="130" t="s">
        <v>5736</v>
      </c>
      <c r="O997" s="118" t="str">
        <f t="array" ref="O997">IFERROR(
VLOOKUP(
TRIM(CLEAN(
INDEX(REPORTE_DROPI!K:K,
MATCH(T997, REPORTE_DROPI!B:B, 0)
))),
{
TRIM(CLEAN(MAPA_ESTADOS!A:A)) ,
MAPA_ESTADOS!B:B
},
2,
FALSE
),
"REVISAR"
)
</f>
        <v>ENTREGADO</v>
      </c>
      <c r="P997" s="118" t="s">
        <v>5692</v>
      </c>
      <c r="Q997" s="122">
        <f t="shared" si="2"/>
        <v>0</v>
      </c>
      <c r="R997" s="118"/>
      <c r="S997" s="118"/>
      <c r="T997" s="118">
        <f t="array" ref="T997">IFERROR(
INDEX(REPORTE_DROPI!B:B,
MATCH(
CLEAN(TRIM(C997)),
CLEAN(TRIM(REPORTE_DROPI!E:E)),
0
)
),
""
)
</f>
        <v>4335681</v>
      </c>
      <c r="U997" s="118">
        <v>6.463460343852E12</v>
      </c>
      <c r="V997" s="78"/>
      <c r="W997" s="78"/>
      <c r="X997" s="78"/>
      <c r="Y997" s="78"/>
      <c r="Z997" s="78"/>
    </row>
    <row r="998" ht="22.5" customHeight="1">
      <c r="A998" s="118" t="s">
        <v>5675</v>
      </c>
      <c r="B998" s="119">
        <v>46052.0</v>
      </c>
      <c r="C998" s="126" t="s">
        <v>5737</v>
      </c>
      <c r="D998" s="118" t="str">
        <f>IFERROR(__xludf.DUMMYFUNCTION("IFERROR(
  INDEX(
    FILTER(
      'NOMBRE DE PRODUCTOS'!B:B,
      REGEXMATCH(
        UPPER(
          INDEX(
            REPORTE_DROPI!AC:AC,
            MATCH(T998, REPORTE_DROPI!B:B, 0)
          )
        ),
        UPPER('NOMBRE DE PRODUCTOS'!A:A)"&amp;"
      )
    ),
    1
  ),
  ""REVISAR""
)
"),"FilmPro®")</f>
        <v>FilmPro®</v>
      </c>
      <c r="E998" s="120" t="str">
        <f t="array" ref="E998">IF(
UPPER(TRIM(CLEAN($O998)))="ENTREGADO",
IFERROR(
INDEX(REPORTE_DROPI!Y:Y,
MATCH($T998, REPORTE_DROPI!B:B, 0)
),
""
),
""
)
</f>
        <v/>
      </c>
      <c r="F998" s="121">
        <v>2.0</v>
      </c>
      <c r="G998" s="122" t="str">
        <f t="array" ref="G998">IF(
UPPER(TRIM(CLEAN($O998)))="ENTREGADO",
IFERROR(
INDEX(REPORTE_DROPI!R:R,
MATCH($T998, REPORTE_DROPI!B:B, 0)
),
""
),
""
)
</f>
        <v/>
      </c>
      <c r="H998" s="118"/>
      <c r="I998" s="118" t="s">
        <v>3912</v>
      </c>
      <c r="J998" s="121" t="str">
        <f t="array" ref="J998">IF(
UPPER(TRIM(CLEAN($O998)))="ENTREGADO",
IFERROR(
INDEX(REPORTE_DROPI!T:T,
MATCH($T998, REPORTE_DROPI!B:B, 0)
),
""
),
""
)
</f>
        <v/>
      </c>
      <c r="K998" s="118" t="str">
        <f t="array" ref="K998">IFERROR(
INDEX(REPORTE_DROPI!S:S,
MATCH($T998, REPORTE_DROPI!B:B, 0)
),
""
)
</f>
        <v/>
      </c>
      <c r="L998" s="118" t="str">
        <f>IF(
  O998&lt;&gt;"DEVOLUCION",
  "",
  IF(
    T998="",
    "",
    SUMIF(DEVOLUCION!F:F, T998, DEVOLUCION!D:D)
  )
)
</f>
        <v/>
      </c>
      <c r="M998" s="118"/>
      <c r="N998" s="130" t="s">
        <v>5738</v>
      </c>
      <c r="O998" s="118" t="str">
        <f t="array" ref="O998">IFERROR(
VLOOKUP(
TRIM(CLEAN(
INDEX(REPORTE_DROPI!K:K,
MATCH(T998, REPORTE_DROPI!B:B, 0)
))),
{
TRIM(CLEAN(MAPA_ESTADOS!A:A)) ,
MAPA_ESTADOS!B:B
},
2,
FALSE
),
"REVISAR"
)
</f>
        <v>PENDIENTE</v>
      </c>
      <c r="P998" s="118" t="s">
        <v>3689</v>
      </c>
      <c r="Q998" s="122">
        <f t="shared" si="2"/>
        <v>0</v>
      </c>
      <c r="R998" s="118"/>
      <c r="S998" s="118"/>
      <c r="T998" s="118">
        <f t="array" ref="T998">IFERROR(
INDEX(REPORTE_DROPI!B:B,
MATCH(
CLEAN(TRIM(C998)),
CLEAN(TRIM(REPORTE_DROPI!E:E)),
0
)
),
""
)
</f>
        <v>4335766</v>
      </c>
      <c r="U998" s="118">
        <v>6.463483183148E12</v>
      </c>
      <c r="V998" s="78"/>
      <c r="W998" s="78"/>
      <c r="X998" s="78"/>
      <c r="Y998" s="78"/>
      <c r="Z998" s="78"/>
    </row>
    <row r="999" ht="22.5" customHeight="1">
      <c r="A999" s="118" t="s">
        <v>5675</v>
      </c>
      <c r="B999" s="119">
        <v>46052.0</v>
      </c>
      <c r="C999" s="126" t="s">
        <v>5739</v>
      </c>
      <c r="D999" s="118" t="str">
        <f>IFERROR(__xludf.DUMMYFUNCTION("IFERROR(
  INDEX(
    FILTER(
      'NOMBRE DE PRODUCTOS'!B:B,
      REGEXMATCH(
        UPPER(
          INDEX(
            REPORTE_DROPI!AC:AC,
            MATCH(T999, REPORTE_DROPI!B:B, 0)
          )
        ),
        UPPER('NOMBRE DE PRODUCTOS'!A:A)"&amp;"
      )
    ),
    1
  ),
  ""REVISAR""
)
"),"FilmPro®")</f>
        <v>FilmPro®</v>
      </c>
      <c r="E999" s="120">
        <f t="array" ref="E999">IF(
UPPER(TRIM(CLEAN($O999)))="ENTREGADO",
IFERROR(
INDEX(REPORTE_DROPI!Y:Y,
MATCH($T999, REPORTE_DROPI!B:B, 0)
),
""
),
""
)
</f>
        <v>4.7</v>
      </c>
      <c r="F999" s="121">
        <v>2.0</v>
      </c>
      <c r="G999" s="122">
        <f t="array" ref="G999">IF(
UPPER(TRIM(CLEAN($O999)))="ENTREGADO",
IFERROR(
INDEX(REPORTE_DROPI!R:R,
MATCH($T999, REPORTE_DROPI!B:B, 0)
),
""
),
""
)
</f>
        <v>25</v>
      </c>
      <c r="H999" s="118"/>
      <c r="I999" s="118" t="s">
        <v>3738</v>
      </c>
      <c r="J999" s="121">
        <f t="array" ref="J999">IF(
UPPER(TRIM(CLEAN($O999)))="ENTREGADO",
IFERROR(
INDEX(REPORTE_DROPI!T:T,
MATCH($T999, REPORTE_DROPI!B:B, 0)
),
""
),
""
)
</f>
        <v>5.96</v>
      </c>
      <c r="K999" s="118">
        <f t="array" ref="K999">IFERROR(
INDEX(REPORTE_DROPI!S:S,
MATCH($T999, REPORTE_DROPI!B:B, 0)
),
""
)
</f>
        <v>14.34</v>
      </c>
      <c r="L999" s="118" t="str">
        <f>IF(
  O999&lt;&gt;"DEVOLUCION",
  "",
  IF(
    T999="",
    "",
    SUMIF(DEVOLUCION!F:F, T999, DEVOLUCION!D:D)
  )
)
</f>
        <v/>
      </c>
      <c r="M999" s="118"/>
      <c r="N999" s="130" t="s">
        <v>5740</v>
      </c>
      <c r="O999" s="118" t="str">
        <f t="array" ref="O999">IFERROR(
VLOOKUP(
TRIM(CLEAN(
INDEX(REPORTE_DROPI!K:K,
MATCH(T999, REPORTE_DROPI!B:B, 0)
))),
{
TRIM(CLEAN(MAPA_ESTADOS!A:A)) ,
MAPA_ESTADOS!B:B
},
2,
FALSE
),
"REVISAR"
)
</f>
        <v>ENTREGADO</v>
      </c>
      <c r="P999" s="118" t="s">
        <v>5692</v>
      </c>
      <c r="Q999" s="122">
        <f t="shared" si="2"/>
        <v>0</v>
      </c>
      <c r="R999" s="118"/>
      <c r="S999" s="118"/>
      <c r="T999" s="118">
        <f t="array" ref="T999">IFERROR(
INDEX(REPORTE_DROPI!B:B,
MATCH(
CLEAN(TRIM(C999)),
CLEAN(TRIM(REPORTE_DROPI!E:E)),
0
)
),
""
)
</f>
        <v>4335778</v>
      </c>
      <c r="U999" s="118">
        <v>6.463490424876E12</v>
      </c>
      <c r="V999" s="78"/>
      <c r="W999" s="78"/>
      <c r="X999" s="78"/>
      <c r="Y999" s="78"/>
      <c r="Z999" s="78"/>
    </row>
    <row r="1000" ht="22.5" customHeight="1">
      <c r="A1000" s="118" t="s">
        <v>5675</v>
      </c>
      <c r="B1000" s="119">
        <v>46052.0</v>
      </c>
      <c r="C1000" s="126" t="s">
        <v>5690</v>
      </c>
      <c r="D1000" s="118" t="str">
        <f>IFERROR(__xludf.DUMMYFUNCTION("IFERROR(
  INDEX(
    FILTER(
      'NOMBRE DE PRODUCTOS'!B:B,
      REGEXMATCH(
        UPPER(
          INDEX(
            REPORTE_DROPI!AC:AC,
            MATCH(T1000, REPORTE_DROPI!B:B, 0)
          )
        ),
        UPPER('NOMBRE DE PRODUCTOS'!A:A"&amp;")
      )
    ),
    1
  ),
  ""REVISAR""
)
"),"Cuchillo Tazaki™")</f>
        <v>Cuchillo Tazaki™</v>
      </c>
      <c r="E1000" s="120" t="str">
        <f t="array" ref="E1000">IF(
UPPER(TRIM(CLEAN($O1000)))="ENTREGADO",
IFERROR(
INDEX(REPORTE_DROPI!Y:Y,
MATCH($T1000, REPORTE_DROPI!B:B, 0)
),
""
),
""
)
</f>
        <v/>
      </c>
      <c r="F1000" s="121">
        <v>2.0</v>
      </c>
      <c r="G1000" s="122" t="str">
        <f t="array" ref="G1000">IF(
UPPER(TRIM(CLEAN($O1000)))="ENTREGADO",
IFERROR(
INDEX(REPORTE_DROPI!R:R,
MATCH($T1000, REPORTE_DROPI!B:B, 0)
),
""
),
""
)
</f>
        <v/>
      </c>
      <c r="H1000" s="118"/>
      <c r="I1000" s="118" t="s">
        <v>3740</v>
      </c>
      <c r="J1000" s="121" t="str">
        <f t="array" ref="J1000">IF(
UPPER(TRIM(CLEAN($O1000)))="ENTREGADO",
IFERROR(
INDEX(REPORTE_DROPI!T:T,
MATCH($T1000, REPORTE_DROPI!B:B, 0)
),
""
),
""
)
</f>
        <v/>
      </c>
      <c r="K1000" s="118" t="str">
        <f t="array" ref="K1000">IFERROR(
INDEX(REPORTE_DROPI!S:S,
MATCH($T1000, REPORTE_DROPI!B:B, 0)
),
""
)
</f>
        <v/>
      </c>
      <c r="L1000" s="118">
        <f>IF(
  O1000&lt;&gt;"DEVOLUCION",
  "",
  IF(
    T1000="",
    "",
    SUMIF(DEVOLUCION!F:F, T1000, DEVOLUCION!D:D)
  )
)
</f>
        <v>3.46</v>
      </c>
      <c r="M1000" s="118"/>
      <c r="N1000" s="130" t="s">
        <v>5741</v>
      </c>
      <c r="O1000" s="118" t="str">
        <f t="array" ref="O1000">IFERROR(
VLOOKUP(
TRIM(CLEAN(
INDEX(REPORTE_DROPI!K:K,
MATCH(T1000, REPORTE_DROPI!B:B, 0)
))),
{
TRIM(CLEAN(MAPA_ESTADOS!A:A)) ,
MAPA_ESTADOS!B:B
},
2,
FALSE
),
"REVISAR"
)
</f>
        <v>DEVOLUCION</v>
      </c>
      <c r="P1000" s="118" t="s">
        <v>5692</v>
      </c>
      <c r="Q1000" s="122">
        <f t="shared" si="2"/>
        <v>0</v>
      </c>
      <c r="R1000" s="118"/>
      <c r="S1000" s="118"/>
      <c r="T1000" s="118">
        <f t="array" ref="T1000">IFERROR(
INDEX(REPORTE_DROPI!B:B,
MATCH(
CLEAN(TRIM(C1000)),
CLEAN(TRIM(REPORTE_DROPI!E:E)),
0
)
),
""
)
</f>
        <v>4335785</v>
      </c>
      <c r="U1000" s="118">
        <v>6.463491964972E12</v>
      </c>
      <c r="V1000" s="78"/>
      <c r="W1000" s="78"/>
      <c r="X1000" s="78"/>
      <c r="Y1000" s="78"/>
      <c r="Z1000" s="78"/>
    </row>
    <row r="1001" ht="22.5" customHeight="1">
      <c r="A1001" s="118" t="s">
        <v>5675</v>
      </c>
      <c r="B1001" s="119">
        <v>46052.0</v>
      </c>
      <c r="C1001" s="126" t="s">
        <v>5742</v>
      </c>
      <c r="D1001" s="118" t="str">
        <f>IFERROR(__xludf.DUMMYFUNCTION("IFERROR(
  INDEX(
    FILTER(
      'NOMBRE DE PRODUCTOS'!B:B,
      REGEXMATCH(
        UPPER(
          INDEX(
            REPORTE_DROPI!AC:AC,
            MATCH(T1001, REPORTE_DROPI!B:B, 0)
          )
        ),
        UPPER('NOMBRE DE PRODUCTOS'!A:A"&amp;")
      )
    ),
    1
  ),
  ""REVISAR""
)
"),"Cuchillo Tazaki™")</f>
        <v>Cuchillo Tazaki™</v>
      </c>
      <c r="E1001" s="120">
        <f t="array" ref="E1001">IF(
UPPER(TRIM(CLEAN($O1001)))="ENTREGADO",
IFERROR(
INDEX(REPORTE_DROPI!Y:Y,
MATCH($T1001, REPORTE_DROPI!B:B, 0)
),
""
),
""
)
</f>
        <v>5.2</v>
      </c>
      <c r="F1001" s="121">
        <v>2.0</v>
      </c>
      <c r="G1001" s="122">
        <f t="array" ref="G1001">IF(
UPPER(TRIM(CLEAN($O1001)))="ENTREGADO",
IFERROR(
INDEX(REPORTE_DROPI!R:R,
MATCH($T1001, REPORTE_DROPI!B:B, 0)
),
""
),
""
)
</f>
        <v>22</v>
      </c>
      <c r="H1001" s="118"/>
      <c r="I1001" s="118" t="s">
        <v>3740</v>
      </c>
      <c r="J1001" s="121">
        <f t="array" ref="J1001">IF(
UPPER(TRIM(CLEAN($O1001)))="ENTREGADO",
IFERROR(
INDEX(REPORTE_DROPI!T:T,
MATCH($T1001, REPORTE_DROPI!B:B, 0)
),
""
),
""
)
</f>
        <v>4.23</v>
      </c>
      <c r="K1001" s="118">
        <f t="array" ref="K1001">IFERROR(
INDEX(REPORTE_DROPI!S:S,
MATCH($T1001, REPORTE_DROPI!B:B, 0)
),
""
)
</f>
        <v>12.57</v>
      </c>
      <c r="L1001" s="118" t="str">
        <f>IF(
  O1001&lt;&gt;"DEVOLUCION",
  "",
  IF(
    T1001="",
    "",
    SUMIF(DEVOLUCION!F:F, T1001, DEVOLUCION!D:D)
  )
)
</f>
        <v/>
      </c>
      <c r="M1001" s="118"/>
      <c r="N1001" s="130" t="s">
        <v>5743</v>
      </c>
      <c r="O1001" s="118" t="str">
        <f t="array" ref="O1001">IFERROR(
VLOOKUP(
TRIM(CLEAN(
INDEX(REPORTE_DROPI!K:K,
MATCH(T1001, REPORTE_DROPI!B:B, 0)
))),
{
TRIM(CLEAN(MAPA_ESTADOS!A:A)) ,
MAPA_ESTADOS!B:B
},
2,
FALSE
),
"REVISAR"
)
</f>
        <v>ENTREGADO</v>
      </c>
      <c r="P1001" s="118" t="s">
        <v>5692</v>
      </c>
      <c r="Q1001" s="122">
        <f t="shared" si="2"/>
        <v>0</v>
      </c>
      <c r="R1001" s="118"/>
      <c r="S1001" s="118"/>
      <c r="T1001" s="118">
        <f t="array" ref="T1001">IFERROR(
INDEX(REPORTE_DROPI!B:B,
MATCH(
CLEAN(TRIM(C1001)),
CLEAN(TRIM(REPORTE_DROPI!E:E)),
0
)
),
""
)
</f>
        <v>4335801</v>
      </c>
      <c r="U1001" s="118">
        <v>6.463497371692E12</v>
      </c>
      <c r="V1001" s="78"/>
      <c r="W1001" s="78"/>
      <c r="X1001" s="78"/>
      <c r="Y1001" s="78"/>
      <c r="Z1001" s="78"/>
    </row>
    <row r="1002" ht="22.5" customHeight="1">
      <c r="A1002" s="118" t="s">
        <v>5675</v>
      </c>
      <c r="B1002" s="119">
        <v>46052.0</v>
      </c>
      <c r="C1002" s="126" t="s">
        <v>5744</v>
      </c>
      <c r="D1002" s="118" t="str">
        <f>IFERROR(__xludf.DUMMYFUNCTION("IFERROR(
  INDEX(
    FILTER(
      'NOMBRE DE PRODUCTOS'!B:B,
      REGEXMATCH(
        UPPER(
          INDEX(
            REPORTE_DROPI!AC:AC,
            MATCH(T1002, REPORTE_DROPI!B:B, 0)
          )
        ),
        UPPER('NOMBRE DE PRODUCTOS'!A:A"&amp;")
      )
    ),
    1
  ),
  ""REVISAR""
)
"),"FilmPro®")</f>
        <v>FilmPro®</v>
      </c>
      <c r="E1002" s="120">
        <f t="array" ref="E1002">IF(
UPPER(TRIM(CLEAN($O1002)))="ENTREGADO",
IFERROR(
INDEX(REPORTE_DROPI!Y:Y,
MATCH($T1002, REPORTE_DROPI!B:B, 0)
),
""
),
""
)
</f>
        <v>2.2</v>
      </c>
      <c r="F1002" s="121">
        <v>1.0</v>
      </c>
      <c r="G1002" s="122">
        <f t="array" ref="G1002">IF(
UPPER(TRIM(CLEAN($O1002)))="ENTREGADO",
IFERROR(
INDEX(REPORTE_DROPI!R:R,
MATCH($T1002, REPORTE_DROPI!B:B, 0)
),
""
),
""
)
</f>
        <v>20</v>
      </c>
      <c r="H1002" s="118"/>
      <c r="I1002" s="118" t="s">
        <v>3801</v>
      </c>
      <c r="J1002" s="121">
        <f t="array" ref="J1002">IF(
UPPER(TRIM(CLEAN($O1002)))="ENTREGADO",
IFERROR(
INDEX(REPORTE_DROPI!T:T,
MATCH($T1002, REPORTE_DROPI!B:B, 0)
),
""
),
""
)
</f>
        <v>5.97</v>
      </c>
      <c r="K1002" s="118">
        <f t="array" ref="K1002">IFERROR(
INDEX(REPORTE_DROPI!S:S,
MATCH($T1002, REPORTE_DROPI!B:B, 0)
),
""
)
</f>
        <v>11.83</v>
      </c>
      <c r="L1002" s="118" t="str">
        <f>IF(
  O1002&lt;&gt;"DEVOLUCION",
  "",
  IF(
    T1002="",
    "",
    SUMIF(DEVOLUCION!F:F, T1002, DEVOLUCION!D:D)
  )
)
</f>
        <v/>
      </c>
      <c r="M1002" s="118"/>
      <c r="N1002" s="130" t="s">
        <v>5745</v>
      </c>
      <c r="O1002" s="118" t="str">
        <f t="array" ref="O1002">IFERROR(
VLOOKUP(
TRIM(CLEAN(
INDEX(REPORTE_DROPI!K:K,
MATCH(T1002, REPORTE_DROPI!B:B, 0)
))),
{
TRIM(CLEAN(MAPA_ESTADOS!A:A)) ,
MAPA_ESTADOS!B:B
},
2,
FALSE
),
"REVISAR"
)
</f>
        <v>ENTREGADO</v>
      </c>
      <c r="P1002" s="118" t="s">
        <v>5692</v>
      </c>
      <c r="Q1002" s="122">
        <f t="shared" si="2"/>
        <v>0</v>
      </c>
      <c r="R1002" s="118"/>
      <c r="S1002" s="118"/>
      <c r="T1002" s="118">
        <f t="array" ref="T1002">IFERROR(
INDEX(REPORTE_DROPI!B:B,
MATCH(
CLEAN(TRIM(C1002)),
CLEAN(TRIM(REPORTE_DROPI!E:E)),
0
)
),
""
)
</f>
        <v>4369387</v>
      </c>
      <c r="U1002" s="118">
        <v>6.463548096556E12</v>
      </c>
      <c r="V1002" s="78"/>
      <c r="W1002" s="78"/>
      <c r="X1002" s="78"/>
      <c r="Y1002" s="78"/>
      <c r="Z1002" s="78"/>
    </row>
    <row r="1003" ht="22.5" customHeight="1">
      <c r="A1003" s="118" t="s">
        <v>5675</v>
      </c>
      <c r="B1003" s="119">
        <v>46052.0</v>
      </c>
      <c r="C1003" s="126" t="s">
        <v>5746</v>
      </c>
      <c r="D1003" s="118" t="str">
        <f>IFERROR(__xludf.DUMMYFUNCTION("IFERROR(
  INDEX(
    FILTER(
      'NOMBRE DE PRODUCTOS'!B:B,
      REGEXMATCH(
        UPPER(
          INDEX(
            REPORTE_DROPI!AC:AC,
            MATCH(T1003, REPORTE_DROPI!B:B, 0)
          )
        ),
        UPPER('NOMBRE DE PRODUCTOS'!A:A"&amp;")
      )
    ),
    1
  ),
  ""REVISAR""
)
"),"FilmPro®")</f>
        <v>FilmPro®</v>
      </c>
      <c r="E1003" s="120" t="str">
        <f t="array" ref="E1003">IF(
UPPER(TRIM(CLEAN($O1003)))="ENTREGADO",
IFERROR(
INDEX(REPORTE_DROPI!Y:Y,
MATCH($T1003, REPORTE_DROPI!B:B, 0)
),
""
),
""
)
</f>
        <v/>
      </c>
      <c r="F1003" s="121">
        <v>2.0</v>
      </c>
      <c r="G1003" s="122" t="str">
        <f t="array" ref="G1003">IF(
UPPER(TRIM(CLEAN($O1003)))="ENTREGADO",
IFERROR(
INDEX(REPORTE_DROPI!R:R,
MATCH($T1003, REPORTE_DROPI!B:B, 0)
),
""
),
""
)
</f>
        <v/>
      </c>
      <c r="H1003" s="118"/>
      <c r="I1003" s="118" t="s">
        <v>3951</v>
      </c>
      <c r="J1003" s="121" t="str">
        <f t="array" ref="J1003">IF(
UPPER(TRIM(CLEAN($O1003)))="ENTREGADO",
IFERROR(
INDEX(REPORTE_DROPI!T:T,
MATCH($T1003, REPORTE_DROPI!B:B, 0)
),
""
),
""
)
</f>
        <v/>
      </c>
      <c r="K1003" s="118" t="str">
        <f t="array" ref="K1003">IFERROR(
INDEX(REPORTE_DROPI!S:S,
MATCH($T1003, REPORTE_DROPI!B:B, 0)
),
""
)
</f>
        <v/>
      </c>
      <c r="L1003" s="118" t="str">
        <f>IF(
  O1003&lt;&gt;"DEVOLUCION",
  "",
  IF(
    T1003="",
    "",
    SUMIF(DEVOLUCION!F:F, T1003, DEVOLUCION!D:D)
  )
)
</f>
        <v/>
      </c>
      <c r="M1003" s="118"/>
      <c r="N1003" s="130" t="s">
        <v>5747</v>
      </c>
      <c r="O1003" s="118" t="str">
        <f t="array" ref="O1003">IFERROR(
VLOOKUP(
TRIM(CLEAN(
INDEX(REPORTE_DROPI!K:K,
MATCH(T1003, REPORTE_DROPI!B:B, 0)
))),
{
TRIM(CLEAN(MAPA_ESTADOS!A:A)) ,
MAPA_ESTADOS!B:B
},
2,
FALSE
),
"REVISAR"
)
</f>
        <v>PENDIENTE</v>
      </c>
      <c r="P1003" s="118" t="s">
        <v>3689</v>
      </c>
      <c r="Q1003" s="122">
        <f t="shared" si="2"/>
        <v>0</v>
      </c>
      <c r="R1003" s="118"/>
      <c r="S1003" s="118"/>
      <c r="T1003" s="118">
        <f t="array" ref="T1003">IFERROR(
INDEX(REPORTE_DROPI!B:B,
MATCH(
CLEAN(TRIM(C1003)),
CLEAN(TRIM(REPORTE_DROPI!E:E)),
0
)
),
""
)
</f>
        <v>4365777</v>
      </c>
      <c r="U1003" s="118">
        <v>6.46361504158E12</v>
      </c>
      <c r="V1003" s="78"/>
      <c r="W1003" s="78"/>
      <c r="X1003" s="78"/>
      <c r="Y1003" s="78"/>
      <c r="Z1003" s="78"/>
    </row>
    <row r="1004" ht="22.5" customHeight="1">
      <c r="A1004" s="118" t="s">
        <v>5675</v>
      </c>
      <c r="B1004" s="119">
        <v>46052.0</v>
      </c>
      <c r="C1004" s="126" t="s">
        <v>5748</v>
      </c>
      <c r="D1004" s="118" t="str">
        <f>IFERROR(__xludf.DUMMYFUNCTION("IFERROR(
  INDEX(
    FILTER(
      'NOMBRE DE PRODUCTOS'!B:B,
      REGEXMATCH(
        UPPER(
          INDEX(
            REPORTE_DROPI!AC:AC,
            MATCH(T1004, REPORTE_DROPI!B:B, 0)
          )
        ),
        UPPER('NOMBRE DE PRODUCTOS'!A:A"&amp;")
      )
    ),
    1
  ),
  ""REVISAR""
)
"),"Cuchillo Tazaki™")</f>
        <v>Cuchillo Tazaki™</v>
      </c>
      <c r="E1004" s="120" t="str">
        <f t="array" ref="E1004">IF(
UPPER(TRIM(CLEAN($O1004)))="ENTREGADO",
IFERROR(
INDEX(REPORTE_DROPI!Y:Y,
MATCH($T1004, REPORTE_DROPI!B:B, 0)
),
""
),
""
)
</f>
        <v/>
      </c>
      <c r="F1004" s="121">
        <v>2.0</v>
      </c>
      <c r="G1004" s="122" t="str">
        <f t="array" ref="G1004">IF(
UPPER(TRIM(CLEAN($O1004)))="ENTREGADO",
IFERROR(
INDEX(REPORTE_DROPI!R:R,
MATCH($T1004, REPORTE_DROPI!B:B, 0)
),
""
),
""
)
</f>
        <v/>
      </c>
      <c r="H1004" s="118"/>
      <c r="I1004" s="118" t="s">
        <v>3864</v>
      </c>
      <c r="J1004" s="121" t="str">
        <f t="array" ref="J1004">IF(
UPPER(TRIM(CLEAN($O1004)))="ENTREGADO",
IFERROR(
INDEX(REPORTE_DROPI!T:T,
MATCH($T1004, REPORTE_DROPI!B:B, 0)
),
""
),
""
)
</f>
        <v/>
      </c>
      <c r="K1004" s="118" t="str">
        <f t="array" ref="K1004">IFERROR(
INDEX(REPORTE_DROPI!S:S,
MATCH($T1004, REPORTE_DROPI!B:B, 0)
),
""
)
</f>
        <v/>
      </c>
      <c r="L1004" s="118" t="str">
        <f>IF(
  O1004&lt;&gt;"DEVOLUCION",
  "",
  IF(
    T1004="",
    "",
    SUMIF(DEVOLUCION!F:F, T1004, DEVOLUCION!D:D)
  )
)
</f>
        <v/>
      </c>
      <c r="M1004" s="118"/>
      <c r="N1004" s="130" t="s">
        <v>5749</v>
      </c>
      <c r="O1004" s="118" t="str">
        <f t="array" ref="O1004">IFERROR(
VLOOKUP(
TRIM(CLEAN(
INDEX(REPORTE_DROPI!K:K,
MATCH(T1004, REPORTE_DROPI!B:B, 0)
))),
{
TRIM(CLEAN(MAPA_ESTADOS!A:A)) ,
MAPA_ESTADOS!B:B
},
2,
FALSE
),
"REVISAR"
)
</f>
        <v>PENDIENTE</v>
      </c>
      <c r="P1004" s="118" t="s">
        <v>5750</v>
      </c>
      <c r="Q1004" s="122">
        <f t="shared" si="2"/>
        <v>0</v>
      </c>
      <c r="R1004" s="118"/>
      <c r="S1004" s="118"/>
      <c r="T1004" s="118">
        <f t="array" ref="T1004">IFERROR(
INDEX(REPORTE_DROPI!B:B,
MATCH(
CLEAN(TRIM(C1004)),
CLEAN(TRIM(REPORTE_DROPI!E:E)),
0
)
),
""
)
</f>
        <v>4336256</v>
      </c>
      <c r="U1004" s="118">
        <v>6.463648694316E12</v>
      </c>
      <c r="V1004" s="78"/>
      <c r="W1004" s="78"/>
      <c r="X1004" s="78"/>
      <c r="Y1004" s="78"/>
      <c r="Z1004" s="78"/>
    </row>
    <row r="1005" ht="22.5" customHeight="1">
      <c r="A1005" s="118" t="s">
        <v>5675</v>
      </c>
      <c r="B1005" s="119">
        <v>46052.0</v>
      </c>
      <c r="C1005" s="126" t="s">
        <v>5751</v>
      </c>
      <c r="D1005" s="118" t="str">
        <f>IFERROR(__xludf.DUMMYFUNCTION("IFERROR(
  INDEX(
    FILTER(
      'NOMBRE DE PRODUCTOS'!B:B,
      REGEXMATCH(
        UPPER(
          INDEX(
            REPORTE_DROPI!AC:AC,
            MATCH(T1005, REPORTE_DROPI!B:B, 0)
          )
        ),
        UPPER('NOMBRE DE PRODUCTOS'!A:A"&amp;")
      )
    ),
    1
  ),
  ""REVISAR""
)
"),"FilmPro®")</f>
        <v>FilmPro®</v>
      </c>
      <c r="E1005" s="120">
        <f t="array" ref="E1005">IF(
UPPER(TRIM(CLEAN($O1005)))="ENTREGADO",
IFERROR(
INDEX(REPORTE_DROPI!Y:Y,
MATCH($T1005, REPORTE_DROPI!B:B, 0)
),
""
),
""
)
</f>
        <v>2.35</v>
      </c>
      <c r="F1005" s="121">
        <v>1.0</v>
      </c>
      <c r="G1005" s="122">
        <f t="array" ref="G1005">IF(
UPPER(TRIM(CLEAN($O1005)))="ENTREGADO",
IFERROR(
INDEX(REPORTE_DROPI!R:R,
MATCH($T1005, REPORTE_DROPI!B:B, 0)
),
""
),
""
)
</f>
        <v>20</v>
      </c>
      <c r="H1005" s="118"/>
      <c r="I1005" s="118" t="s">
        <v>3740</v>
      </c>
      <c r="J1005" s="121">
        <f t="array" ref="J1005">IF(
UPPER(TRIM(CLEAN($O1005)))="ENTREGADO",
IFERROR(
INDEX(REPORTE_DROPI!T:T,
MATCH($T1005, REPORTE_DROPI!B:B, 0)
),
""
),
""
)
</f>
        <v>5.76</v>
      </c>
      <c r="K1005" s="118">
        <f t="array" ref="K1005">IFERROR(
INDEX(REPORTE_DROPI!S:S,
MATCH($T1005, REPORTE_DROPI!B:B, 0)
),
""
)
</f>
        <v>11.89</v>
      </c>
      <c r="L1005" s="118" t="str">
        <f>IF(
  O1005&lt;&gt;"DEVOLUCION",
  "",
  IF(
    T1005="",
    "",
    SUMIF(DEVOLUCION!F:F, T1005, DEVOLUCION!D:D)
  )
)
</f>
        <v/>
      </c>
      <c r="M1005" s="118"/>
      <c r="N1005" s="130" t="s">
        <v>5752</v>
      </c>
      <c r="O1005" s="118" t="str">
        <f t="array" ref="O1005">IFERROR(
VLOOKUP(
TRIM(CLEAN(
INDEX(REPORTE_DROPI!K:K,
MATCH(T1005, REPORTE_DROPI!B:B, 0)
))),
{
TRIM(CLEAN(MAPA_ESTADOS!A:A)) ,
MAPA_ESTADOS!B:B
},
2,
FALSE
),
"REVISAR"
)
</f>
        <v>ENTREGADO</v>
      </c>
      <c r="P1005" s="118" t="s">
        <v>5692</v>
      </c>
      <c r="Q1005" s="122">
        <f t="shared" si="2"/>
        <v>0</v>
      </c>
      <c r="R1005" s="118"/>
      <c r="S1005" s="118"/>
      <c r="T1005" s="118">
        <f t="array" ref="T1005">IFERROR(
INDEX(REPORTE_DROPI!B:B,
MATCH(
CLEAN(TRIM(C1005)),
CLEAN(TRIM(REPORTE_DROPI!E:E)),
0
)
),
""
)
</f>
        <v>4336432</v>
      </c>
      <c r="U1005" s="118">
        <v>6.463714394156E12</v>
      </c>
      <c r="V1005" s="78"/>
      <c r="W1005" s="78"/>
      <c r="X1005" s="78"/>
      <c r="Y1005" s="78"/>
      <c r="Z1005" s="78"/>
    </row>
    <row r="1006" ht="22.5" customHeight="1">
      <c r="A1006" s="118" t="s">
        <v>5675</v>
      </c>
      <c r="B1006" s="119">
        <v>46052.0</v>
      </c>
      <c r="C1006" s="126" t="s">
        <v>5753</v>
      </c>
      <c r="D1006" s="118" t="str">
        <f>IFERROR(__xludf.DUMMYFUNCTION("IFERROR(
  INDEX(
    FILTER(
      'NOMBRE DE PRODUCTOS'!B:B,
      REGEXMATCH(
        UPPER(
          INDEX(
            REPORTE_DROPI!AC:AC,
            MATCH(T1006, REPORTE_DROPI!B:B, 0)
          )
        ),
        UPPER('NOMBRE DE PRODUCTOS'!A:A"&amp;")
      )
    ),
    1
  ),
  ""REVISAR""
)
"),"Cuchillo Tazaki™")</f>
        <v>Cuchillo Tazaki™</v>
      </c>
      <c r="E1006" s="120">
        <f t="array" ref="E1006">IF(
UPPER(TRIM(CLEAN($O1006)))="ENTREGADO",
IFERROR(
INDEX(REPORTE_DROPI!Y:Y,
MATCH($T1006, REPORTE_DROPI!B:B, 0)
),
""
),
""
)
</f>
        <v>7.8</v>
      </c>
      <c r="F1006" s="121">
        <v>3.0</v>
      </c>
      <c r="G1006" s="122">
        <f t="array" ref="G1006">IF(
UPPER(TRIM(CLEAN($O1006)))="ENTREGADO",
IFERROR(
INDEX(REPORTE_DROPI!R:R,
MATCH($T1006, REPORTE_DROPI!B:B, 0)
),
""
),
""
)
</f>
        <v>27</v>
      </c>
      <c r="H1006" s="118"/>
      <c r="I1006" s="118" t="s">
        <v>3759</v>
      </c>
      <c r="J1006" s="121">
        <f t="array" ref="J1006">IF(
UPPER(TRIM(CLEAN($O1006)))="ENTREGADO",
IFERROR(
INDEX(REPORTE_DROPI!T:T,
MATCH($T1006, REPORTE_DROPI!B:B, 0)
),
""
),
""
)
</f>
        <v>7.77</v>
      </c>
      <c r="K1006" s="118">
        <f t="array" ref="K1006">IFERROR(
INDEX(REPORTE_DROPI!S:S,
MATCH($T1006, REPORTE_DROPI!B:B, 0)
),
""
)
</f>
        <v>11.43</v>
      </c>
      <c r="L1006" s="118" t="str">
        <f>IF(
  O1006&lt;&gt;"DEVOLUCION",
  "",
  IF(
    T1006="",
    "",
    SUMIF(DEVOLUCION!F:F, T1006, DEVOLUCION!D:D)
  )
)
</f>
        <v/>
      </c>
      <c r="M1006" s="118"/>
      <c r="N1006" s="130" t="s">
        <v>5754</v>
      </c>
      <c r="O1006" s="118" t="str">
        <f t="array" ref="O1006">IFERROR(
VLOOKUP(
TRIM(CLEAN(
INDEX(REPORTE_DROPI!K:K,
MATCH(T1006, REPORTE_DROPI!B:B, 0)
))),
{
TRIM(CLEAN(MAPA_ESTADOS!A:A)) ,
MAPA_ESTADOS!B:B
},
2,
FALSE
),
"REVISAR"
)
</f>
        <v>ENTREGADO</v>
      </c>
      <c r="P1006" s="118" t="s">
        <v>5692</v>
      </c>
      <c r="Q1006" s="122">
        <f t="shared" si="2"/>
        <v>0</v>
      </c>
      <c r="R1006" s="118"/>
      <c r="S1006" s="118"/>
      <c r="T1006" s="118">
        <f t="array" ref="T1006">IFERROR(
INDEX(REPORTE_DROPI!B:B,
MATCH(
CLEAN(TRIM(C1006)),
CLEAN(TRIM(REPORTE_DROPI!E:E)),
0
)
),
""
)
</f>
        <v>4336605</v>
      </c>
      <c r="U1006" s="118">
        <v>6.463776849964E12</v>
      </c>
      <c r="V1006" s="78"/>
      <c r="W1006" s="78"/>
      <c r="X1006" s="78"/>
      <c r="Y1006" s="78"/>
      <c r="Z1006" s="78"/>
    </row>
    <row r="1007" ht="22.5" customHeight="1">
      <c r="A1007" s="118" t="s">
        <v>5675</v>
      </c>
      <c r="B1007" s="119">
        <v>46052.0</v>
      </c>
      <c r="C1007" s="126" t="s">
        <v>5755</v>
      </c>
      <c r="D1007" s="118" t="str">
        <f>IFERROR(__xludf.DUMMYFUNCTION("IFERROR(
  INDEX(
    FILTER(
      'NOMBRE DE PRODUCTOS'!B:B,
      REGEXMATCH(
        UPPER(
          INDEX(
            REPORTE_DROPI!AC:AC,
            MATCH(T1007, REPORTE_DROPI!B:B, 0)
          )
        ),
        UPPER('NOMBRE DE PRODUCTOS'!A:A"&amp;")
      )
    ),
    1
  ),
  ""REVISAR""
)
"),"FilmPro®")</f>
        <v>FilmPro®</v>
      </c>
      <c r="E1007" s="120" t="str">
        <f t="array" ref="E1007">IF(
UPPER(TRIM(CLEAN($O1007)))="ENTREGADO",
IFERROR(
INDEX(REPORTE_DROPI!Y:Y,
MATCH($T1007, REPORTE_DROPI!B:B, 0)
),
""
),
""
)
</f>
        <v/>
      </c>
      <c r="F1007" s="121">
        <v>2.0</v>
      </c>
      <c r="G1007" s="122" t="str">
        <f t="array" ref="G1007">IF(
UPPER(TRIM(CLEAN($O1007)))="ENTREGADO",
IFERROR(
INDEX(REPORTE_DROPI!R:R,
MATCH($T1007, REPORTE_DROPI!B:B, 0)
),
""
),
""
)
</f>
        <v/>
      </c>
      <c r="H1007" s="118"/>
      <c r="I1007" s="118" t="s">
        <v>3798</v>
      </c>
      <c r="J1007" s="121" t="str">
        <f t="array" ref="J1007">IF(
UPPER(TRIM(CLEAN($O1007)))="ENTREGADO",
IFERROR(
INDEX(REPORTE_DROPI!T:T,
MATCH($T1007, REPORTE_DROPI!B:B, 0)
),
""
),
""
)
</f>
        <v/>
      </c>
      <c r="K1007" s="118" t="str">
        <f t="array" ref="K1007">IFERROR(
INDEX(REPORTE_DROPI!S:S,
MATCH($T1007, REPORTE_DROPI!B:B, 0)
),
""
)
</f>
        <v/>
      </c>
      <c r="L1007" s="118" t="str">
        <f>IF(
  O1007&lt;&gt;"DEVOLUCION",
  "",
  IF(
    T1007="",
    "",
    SUMIF(DEVOLUCION!F:F, T1007, DEVOLUCION!D:D)
  )
)
</f>
        <v/>
      </c>
      <c r="M1007" s="118"/>
      <c r="N1007" s="130" t="s">
        <v>5756</v>
      </c>
      <c r="O1007" s="118" t="str">
        <f t="array" ref="O1007">IFERROR(
VLOOKUP(
TRIM(CLEAN(
INDEX(REPORTE_DROPI!K:K,
MATCH(T1007, REPORTE_DROPI!B:B, 0)
))),
{
TRIM(CLEAN(MAPA_ESTADOS!A:A)) ,
MAPA_ESTADOS!B:B
},
2,
FALSE
),
"REVISAR"
)
</f>
        <v>PENDIENTE</v>
      </c>
      <c r="P1007" s="118" t="s">
        <v>4425</v>
      </c>
      <c r="Q1007" s="122">
        <f t="shared" si="2"/>
        <v>0</v>
      </c>
      <c r="R1007" s="118"/>
      <c r="S1007" s="118"/>
      <c r="T1007" s="118">
        <f t="array" ref="T1007">IFERROR(
INDEX(REPORTE_DROPI!B:B,
MATCH(
CLEAN(TRIM(C1007)),
CLEAN(TRIM(REPORTE_DROPI!E:E)),
0
)
),
""
)
</f>
        <v>4336826</v>
      </c>
      <c r="U1007" s="118">
        <v>6.463833407532E12</v>
      </c>
      <c r="V1007" s="78"/>
      <c r="W1007" s="78"/>
      <c r="X1007" s="78"/>
      <c r="Y1007" s="78"/>
      <c r="Z1007" s="78"/>
    </row>
    <row r="1008" ht="22.5" customHeight="1">
      <c r="A1008" s="118" t="s">
        <v>5675</v>
      </c>
      <c r="B1008" s="119">
        <v>46052.0</v>
      </c>
      <c r="C1008" s="126" t="s">
        <v>5757</v>
      </c>
      <c r="D1008" s="118" t="str">
        <f>IFERROR(__xludf.DUMMYFUNCTION("IFERROR(
  INDEX(
    FILTER(
      'NOMBRE DE PRODUCTOS'!B:B,
      REGEXMATCH(
        UPPER(
          INDEX(
            REPORTE_DROPI!AC:AC,
            MATCH(T1008, REPORTE_DROPI!B:B, 0)
          )
        ),
        UPPER('NOMBRE DE PRODUCTOS'!A:A"&amp;")
      )
    ),
    1
  ),
  ""REVISAR""
)
"),"Cuchillo Tazaki™")</f>
        <v>Cuchillo Tazaki™</v>
      </c>
      <c r="E1008" s="120" t="str">
        <f t="array" ref="E1008">IF(
UPPER(TRIM(CLEAN($O1008)))="ENTREGADO",
IFERROR(
INDEX(REPORTE_DROPI!Y:Y,
MATCH($T1008, REPORTE_DROPI!B:B, 0)
),
""
),
""
)
</f>
        <v/>
      </c>
      <c r="F1008" s="121">
        <v>2.0</v>
      </c>
      <c r="G1008" s="122" t="str">
        <f t="array" ref="G1008">IF(
UPPER(TRIM(CLEAN($O1008)))="ENTREGADO",
IFERROR(
INDEX(REPORTE_DROPI!R:R,
MATCH($T1008, REPORTE_DROPI!B:B, 0)
),
""
),
""
)
</f>
        <v/>
      </c>
      <c r="H1008" s="118"/>
      <c r="I1008" s="118" t="s">
        <v>3740</v>
      </c>
      <c r="J1008" s="121" t="str">
        <f t="array" ref="J1008">IF(
UPPER(TRIM(CLEAN($O1008)))="ENTREGADO",
IFERROR(
INDEX(REPORTE_DROPI!T:T,
MATCH($T1008, REPORTE_DROPI!B:B, 0)
),
""
),
""
)
</f>
        <v/>
      </c>
      <c r="K1008" s="118" t="str">
        <f t="array" ref="K1008">IFERROR(
INDEX(REPORTE_DROPI!S:S,
MATCH($T1008, REPORTE_DROPI!B:B, 0)
),
""
)
</f>
        <v/>
      </c>
      <c r="L1008" s="118">
        <f>IF(
  O1008&lt;&gt;"DEVOLUCION",
  "",
  IF(
    T1008="",
    "",
    SUMIF(DEVOLUCION!F:F, T1008, DEVOLUCION!D:D)
  )
)
</f>
        <v>3.46</v>
      </c>
      <c r="M1008" s="118"/>
      <c r="N1008" s="130" t="s">
        <v>5758</v>
      </c>
      <c r="O1008" s="118" t="str">
        <f t="array" ref="O1008">IFERROR(
VLOOKUP(
TRIM(CLEAN(
INDEX(REPORTE_DROPI!K:K,
MATCH(T1008, REPORTE_DROPI!B:B, 0)
))),
{
TRIM(CLEAN(MAPA_ESTADOS!A:A)) ,
MAPA_ESTADOS!B:B
},
2,
FALSE
),
"REVISAR"
)
</f>
        <v>DEVOLUCION</v>
      </c>
      <c r="P1008" s="118" t="s">
        <v>5692</v>
      </c>
      <c r="Q1008" s="122">
        <f t="shared" si="2"/>
        <v>0</v>
      </c>
      <c r="R1008" s="118"/>
      <c r="S1008" s="118"/>
      <c r="T1008" s="118">
        <f t="array" ref="T1008">IFERROR(
INDEX(REPORTE_DROPI!B:B,
MATCH(
CLEAN(TRIM(C1008)),
CLEAN(TRIM(REPORTE_DROPI!E:E)),
0
)
),
""
)
</f>
        <v>4337156</v>
      </c>
      <c r="U1008" s="118">
        <v>6.463906578476E12</v>
      </c>
      <c r="V1008" s="78"/>
      <c r="W1008" s="78"/>
      <c r="X1008" s="78"/>
      <c r="Y1008" s="78"/>
      <c r="Z1008" s="78"/>
    </row>
    <row r="1009" ht="22.5" customHeight="1">
      <c r="A1009" s="118" t="s">
        <v>5675</v>
      </c>
      <c r="B1009" s="119">
        <v>46052.0</v>
      </c>
      <c r="C1009" s="126" t="s">
        <v>5759</v>
      </c>
      <c r="D1009" s="118" t="str">
        <f>IFERROR(__xludf.DUMMYFUNCTION("IFERROR(
  INDEX(
    FILTER(
      'NOMBRE DE PRODUCTOS'!B:B,
      REGEXMATCH(
        UPPER(
          INDEX(
            REPORTE_DROPI!AC:AC,
            MATCH(T1009, REPORTE_DROPI!B:B, 0)
          )
        ),
        UPPER('NOMBRE DE PRODUCTOS'!A:A"&amp;")
      )
    ),
    1
  ),
  ""REVISAR""
)
"),"Cuchillo Tazaki™")</f>
        <v>Cuchillo Tazaki™</v>
      </c>
      <c r="E1009" s="120">
        <f t="array" ref="E1009">IF(
UPPER(TRIM(CLEAN($O1009)))="ENTREGADO",
IFERROR(
INDEX(REPORTE_DROPI!Y:Y,
MATCH($T1009, REPORTE_DROPI!B:B, 0)
),
""
),
""
)
</f>
        <v>5.2</v>
      </c>
      <c r="F1009" s="121">
        <v>2.0</v>
      </c>
      <c r="G1009" s="122">
        <f t="array" ref="G1009">IF(
UPPER(TRIM(CLEAN($O1009)))="ENTREGADO",
IFERROR(
INDEX(REPORTE_DROPI!R:R,
MATCH($T1009, REPORTE_DROPI!B:B, 0)
),
""
),
""
)
</f>
        <v>22</v>
      </c>
      <c r="H1009" s="118"/>
      <c r="I1009" s="118" t="s">
        <v>3731</v>
      </c>
      <c r="J1009" s="121">
        <f t="array" ref="J1009">IF(
UPPER(TRIM(CLEAN($O1009)))="ENTREGADO",
IFERROR(
INDEX(REPORTE_DROPI!T:T,
MATCH($T1009, REPORTE_DROPI!B:B, 0)
),
""
),
""
)
</f>
        <v>5.84</v>
      </c>
      <c r="K1009" s="118">
        <f t="array" ref="K1009">IFERROR(
INDEX(REPORTE_DROPI!S:S,
MATCH($T1009, REPORTE_DROPI!B:B, 0)
),
""
)
</f>
        <v>10.96</v>
      </c>
      <c r="L1009" s="118" t="str">
        <f>IF(
  O1009&lt;&gt;"DEVOLUCION",
  "",
  IF(
    T1009="",
    "",
    SUMIF(DEVOLUCION!F:F, T1009, DEVOLUCION!D:D)
  )
)
</f>
        <v/>
      </c>
      <c r="M1009" s="118"/>
      <c r="N1009" s="130" t="s">
        <v>5760</v>
      </c>
      <c r="O1009" s="118" t="str">
        <f t="array" ref="O1009">IFERROR(
VLOOKUP(
TRIM(CLEAN(
INDEX(REPORTE_DROPI!K:K,
MATCH(T1009, REPORTE_DROPI!B:B, 0)
))),
{
TRIM(CLEAN(MAPA_ESTADOS!A:A)) ,
MAPA_ESTADOS!B:B
},
2,
FALSE
),
"REVISAR"
)
</f>
        <v>ENTREGADO</v>
      </c>
      <c r="P1009" s="118" t="s">
        <v>5692</v>
      </c>
      <c r="Q1009" s="122">
        <f t="shared" si="2"/>
        <v>0</v>
      </c>
      <c r="R1009" s="118"/>
      <c r="S1009" s="118"/>
      <c r="T1009" s="118">
        <f t="array" ref="T1009">IFERROR(
INDEX(REPORTE_DROPI!B:B,
MATCH(
CLEAN(TRIM(C1009)),
CLEAN(TRIM(REPORTE_DROPI!E:E)),
0
)
),
""
)
</f>
        <v>4337316</v>
      </c>
      <c r="U1009" s="118">
        <v>6.463943114796E12</v>
      </c>
      <c r="V1009" s="78"/>
      <c r="W1009" s="78"/>
      <c r="X1009" s="78"/>
      <c r="Y1009" s="78"/>
      <c r="Z1009" s="78"/>
    </row>
    <row r="1010" ht="22.5" customHeight="1">
      <c r="A1010" s="118" t="s">
        <v>5675</v>
      </c>
      <c r="B1010" s="119">
        <v>46052.0</v>
      </c>
      <c r="C1010" s="126" t="s">
        <v>5761</v>
      </c>
      <c r="D1010" s="118" t="str">
        <f>IFERROR(__xludf.DUMMYFUNCTION("IFERROR(
  INDEX(
    FILTER(
      'NOMBRE DE PRODUCTOS'!B:B,
      REGEXMATCH(
        UPPER(
          INDEX(
            REPORTE_DROPI!AC:AC,
            MATCH(T1010, REPORTE_DROPI!B:B, 0)
          )
        ),
        UPPER('NOMBRE DE PRODUCTOS'!A:A"&amp;")
      )
    ),
    1
  ),
  ""REVISAR""
)
"),"FilmPro®")</f>
        <v>FilmPro®</v>
      </c>
      <c r="E1010" s="120" t="str">
        <f t="array" ref="E1010">IF(
UPPER(TRIM(CLEAN($O1010)))="ENTREGADO",
IFERROR(
INDEX(REPORTE_DROPI!Y:Y,
MATCH($T1010, REPORTE_DROPI!B:B, 0)
),
""
),
""
)
</f>
        <v/>
      </c>
      <c r="F1010" s="121">
        <v>3.0</v>
      </c>
      <c r="G1010" s="122" t="str">
        <f t="array" ref="G1010">IF(
UPPER(TRIM(CLEAN($O1010)))="ENTREGADO",
IFERROR(
INDEX(REPORTE_DROPI!R:R,
MATCH($T1010, REPORTE_DROPI!B:B, 0)
),
""
),
""
)
</f>
        <v/>
      </c>
      <c r="H1010" s="118"/>
      <c r="I1010" s="118" t="s">
        <v>3728</v>
      </c>
      <c r="J1010" s="121" t="str">
        <f t="array" ref="J1010">IF(
UPPER(TRIM(CLEAN($O1010)))="ENTREGADO",
IFERROR(
INDEX(REPORTE_DROPI!T:T,
MATCH($T1010, REPORTE_DROPI!B:B, 0)
),
""
),
""
)
</f>
        <v/>
      </c>
      <c r="K1010" s="118" t="str">
        <f t="array" ref="K1010">IFERROR(
INDEX(REPORTE_DROPI!S:S,
MATCH($T1010, REPORTE_DROPI!B:B, 0)
),
""
)
</f>
        <v/>
      </c>
      <c r="L1010" s="118">
        <f>IF(
  O1010&lt;&gt;"DEVOLUCION",
  "",
  IF(
    T1010="",
    "",
    SUMIF(DEVOLUCION!F:F, T1010, DEVOLUCION!D:D)
  )
)
</f>
        <v>5.12</v>
      </c>
      <c r="M1010" s="118"/>
      <c r="N1010" s="130" t="s">
        <v>5762</v>
      </c>
      <c r="O1010" s="118" t="str">
        <f t="array" ref="O1010">IFERROR(
VLOOKUP(
TRIM(CLEAN(
INDEX(REPORTE_DROPI!K:K,
MATCH(T1010, REPORTE_DROPI!B:B, 0)
))),
{
TRIM(CLEAN(MAPA_ESTADOS!A:A)) ,
MAPA_ESTADOS!B:B
},
2,
FALSE
),
"REVISAR"
)
</f>
        <v>DEVOLUCION</v>
      </c>
      <c r="P1010" s="118" t="s">
        <v>5692</v>
      </c>
      <c r="Q1010" s="122">
        <f t="shared" si="2"/>
        <v>0</v>
      </c>
      <c r="R1010" s="118"/>
      <c r="S1010" s="118"/>
      <c r="T1010" s="118">
        <f t="array" ref="T1010">IFERROR(
INDEX(REPORTE_DROPI!B:B,
MATCH(
CLEAN(TRIM(C1010)),
CLEAN(TRIM(REPORTE_DROPI!E:E)),
0
)
),
""
)
</f>
        <v>4337342</v>
      </c>
      <c r="U1010" s="118">
        <v>6.463948521516E12</v>
      </c>
      <c r="V1010" s="78"/>
      <c r="W1010" s="78"/>
      <c r="X1010" s="78"/>
      <c r="Y1010" s="78"/>
      <c r="Z1010" s="78"/>
    </row>
    <row r="1011" ht="22.5" customHeight="1">
      <c r="A1011" s="118" t="s">
        <v>5675</v>
      </c>
      <c r="B1011" s="119">
        <v>46052.0</v>
      </c>
      <c r="C1011" s="126" t="s">
        <v>5763</v>
      </c>
      <c r="D1011" s="118" t="str">
        <f>IFERROR(__xludf.DUMMYFUNCTION("IFERROR(
  INDEX(
    FILTER(
      'NOMBRE DE PRODUCTOS'!B:B,
      REGEXMATCH(
        UPPER(
          INDEX(
            REPORTE_DROPI!AC:AC,
            MATCH(T1011, REPORTE_DROPI!B:B, 0)
          )
        ),
        UPPER('NOMBRE DE PRODUCTOS'!A:A"&amp;")
      )
    ),
    1
  ),
  ""REVISAR""
)
"),"Cuchillo Tazaki™")</f>
        <v>Cuchillo Tazaki™</v>
      </c>
      <c r="E1011" s="120" t="str">
        <f t="array" ref="E1011">IF(
UPPER(TRIM(CLEAN($O1011)))="ENTREGADO",
IFERROR(
INDEX(REPORTE_DROPI!Y:Y,
MATCH($T1011, REPORTE_DROPI!B:B, 0)
),
""
),
""
)
</f>
        <v/>
      </c>
      <c r="F1011" s="121">
        <v>3.0</v>
      </c>
      <c r="G1011" s="122" t="str">
        <f t="array" ref="G1011">IF(
UPPER(TRIM(CLEAN($O1011)))="ENTREGADO",
IFERROR(
INDEX(REPORTE_DROPI!R:R,
MATCH($T1011, REPORTE_DROPI!B:B, 0)
),
""
),
""
)
</f>
        <v/>
      </c>
      <c r="H1011" s="118"/>
      <c r="I1011" s="118" t="s">
        <v>3728</v>
      </c>
      <c r="J1011" s="121" t="str">
        <f t="array" ref="J1011">IF(
UPPER(TRIM(CLEAN($O1011)))="ENTREGADO",
IFERROR(
INDEX(REPORTE_DROPI!T:T,
MATCH($T1011, REPORTE_DROPI!B:B, 0)
),
""
),
""
)
</f>
        <v/>
      </c>
      <c r="K1011" s="118" t="str">
        <f t="array" ref="K1011">IFERROR(
INDEX(REPORTE_DROPI!S:S,
MATCH($T1011, REPORTE_DROPI!B:B, 0)
),
""
)
</f>
        <v/>
      </c>
      <c r="L1011" s="118" t="str">
        <f>IF(
  O1011&lt;&gt;"DEVOLUCION",
  "",
  IF(
    T1011="",
    "",
    SUMIF(DEVOLUCION!F:F, T1011, DEVOLUCION!D:D)
  )
)
</f>
        <v/>
      </c>
      <c r="M1011" s="118"/>
      <c r="N1011" s="130" t="s">
        <v>5764</v>
      </c>
      <c r="O1011" s="118" t="str">
        <f t="array" ref="O1011">IFERROR(
VLOOKUP(
TRIM(CLEAN(
INDEX(REPORTE_DROPI!K:K,
MATCH(T1011, REPORTE_DROPI!B:B, 0)
))),
{
TRIM(CLEAN(MAPA_ESTADOS!A:A)) ,
MAPA_ESTADOS!B:B
},
2,
FALSE
),
"REVISAR"
)
</f>
        <v>PENDIENTE</v>
      </c>
      <c r="P1011" s="118" t="s">
        <v>5765</v>
      </c>
      <c r="Q1011" s="122">
        <f t="shared" si="2"/>
        <v>0</v>
      </c>
      <c r="R1011" s="118"/>
      <c r="S1011" s="118"/>
      <c r="T1011" s="118">
        <f t="array" ref="T1011">IFERROR(
INDEX(REPORTE_DROPI!B:B,
MATCH(
CLEAN(TRIM(C1011)),
CLEAN(TRIM(REPORTE_DROPI!E:E)),
0
)
),
""
)
</f>
        <v>4337413</v>
      </c>
      <c r="U1011" s="118">
        <v>6.463963660332E12</v>
      </c>
      <c r="V1011" s="78"/>
      <c r="W1011" s="78"/>
      <c r="X1011" s="78"/>
      <c r="Y1011" s="78"/>
      <c r="Z1011" s="78"/>
    </row>
    <row r="1012" ht="22.5" customHeight="1">
      <c r="A1012" s="118" t="s">
        <v>5675</v>
      </c>
      <c r="B1012" s="119">
        <v>46052.0</v>
      </c>
      <c r="C1012" s="126" t="s">
        <v>5766</v>
      </c>
      <c r="D1012" s="118" t="str">
        <f>IFERROR(__xludf.DUMMYFUNCTION("IFERROR(
  INDEX(
    FILTER(
      'NOMBRE DE PRODUCTOS'!B:B,
      REGEXMATCH(
        UPPER(
          INDEX(
            REPORTE_DROPI!AC:AC,
            MATCH(T1012, REPORTE_DROPI!B:B, 0)
          )
        ),
        UPPER('NOMBRE DE PRODUCTOS'!A:A"&amp;")
      )
    ),
    1
  ),
  ""REVISAR""
)
"),"Cuchillo Tazaki™")</f>
        <v>Cuchillo Tazaki™</v>
      </c>
      <c r="E1012" s="120" t="str">
        <f t="array" ref="E1012">IF(
UPPER(TRIM(CLEAN($O1012)))="ENTREGADO",
IFERROR(
INDEX(REPORTE_DROPI!Y:Y,
MATCH($T1012, REPORTE_DROPI!B:B, 0)
),
""
),
""
)
</f>
        <v/>
      </c>
      <c r="F1012" s="121">
        <v>2.0</v>
      </c>
      <c r="G1012" s="122" t="str">
        <f t="array" ref="G1012">IF(
UPPER(TRIM(CLEAN($O1012)))="ENTREGADO",
IFERROR(
INDEX(REPORTE_DROPI!R:R,
MATCH($T1012, REPORTE_DROPI!B:B, 0)
),
""
),
""
)
</f>
        <v/>
      </c>
      <c r="H1012" s="118"/>
      <c r="I1012" s="118" t="s">
        <v>3735</v>
      </c>
      <c r="J1012" s="121" t="str">
        <f t="array" ref="J1012">IF(
UPPER(TRIM(CLEAN($O1012)))="ENTREGADO",
IFERROR(
INDEX(REPORTE_DROPI!T:T,
MATCH($T1012, REPORTE_DROPI!B:B, 0)
),
""
),
""
)
</f>
        <v/>
      </c>
      <c r="K1012" s="118" t="str">
        <f t="array" ref="K1012">IFERROR(
INDEX(REPORTE_DROPI!S:S,
MATCH($T1012, REPORTE_DROPI!B:B, 0)
),
""
)
</f>
        <v/>
      </c>
      <c r="L1012" s="118" t="str">
        <f>IF(
  O1012&lt;&gt;"DEVOLUCION",
  "",
  IF(
    T1012="",
    "",
    SUMIF(DEVOLUCION!F:F, T1012, DEVOLUCION!D:D)
  )
)
</f>
        <v/>
      </c>
      <c r="M1012" s="118"/>
      <c r="N1012" s="130" t="s">
        <v>5767</v>
      </c>
      <c r="O1012" s="118" t="str">
        <f t="array" ref="O1012">IFERROR(
VLOOKUP(
TRIM(CLEAN(
INDEX(REPORTE_DROPI!K:K,
MATCH(T1012, REPORTE_DROPI!B:B, 0)
))),
{
TRIM(CLEAN(MAPA_ESTADOS!A:A)) ,
MAPA_ESTADOS!B:B
},
2,
FALSE
),
"REVISAR"
)
</f>
        <v>PENDIENTE</v>
      </c>
      <c r="P1012" s="118" t="s">
        <v>5765</v>
      </c>
      <c r="Q1012" s="122">
        <f t="shared" si="2"/>
        <v>0</v>
      </c>
      <c r="R1012" s="118"/>
      <c r="S1012" s="118"/>
      <c r="T1012" s="118">
        <f t="array" ref="T1012">IFERROR(
INDEX(REPORTE_DROPI!B:B,
MATCH(
CLEAN(TRIM(C1012)),
CLEAN(TRIM(REPORTE_DROPI!E:E)),
0
)
),
""
)
</f>
        <v>4337691</v>
      </c>
      <c r="U1012" s="118">
        <v>6.46402660766E12</v>
      </c>
      <c r="V1012" s="78"/>
      <c r="W1012" s="78"/>
      <c r="X1012" s="78"/>
      <c r="Y1012" s="78"/>
      <c r="Z1012" s="78"/>
    </row>
    <row r="1013" ht="22.5" customHeight="1">
      <c r="A1013" s="118" t="s">
        <v>5675</v>
      </c>
      <c r="B1013" s="119">
        <v>46052.0</v>
      </c>
      <c r="C1013" s="126" t="s">
        <v>5768</v>
      </c>
      <c r="D1013" s="118" t="str">
        <f>IFERROR(__xludf.DUMMYFUNCTION("IFERROR(
  INDEX(
    FILTER(
      'NOMBRE DE PRODUCTOS'!B:B,
      REGEXMATCH(
        UPPER(
          INDEX(
            REPORTE_DROPI!AC:AC,
            MATCH(T1013, REPORTE_DROPI!B:B, 0)
          )
        ),
        UPPER('NOMBRE DE PRODUCTOS'!A:A"&amp;")
      )
    ),
    1
  ),
  ""REVISAR""
)
"),"Cuchillo Tazaki™")</f>
        <v>Cuchillo Tazaki™</v>
      </c>
      <c r="E1013" s="120" t="str">
        <f t="array" ref="E1013">IF(
UPPER(TRIM(CLEAN($O1013)))="ENTREGADO",
IFERROR(
INDEX(REPORTE_DROPI!Y:Y,
MATCH($T1013, REPORTE_DROPI!B:B, 0)
),
""
),
""
)
</f>
        <v/>
      </c>
      <c r="F1013" s="121">
        <v>3.0</v>
      </c>
      <c r="G1013" s="122" t="str">
        <f t="array" ref="G1013">IF(
UPPER(TRIM(CLEAN($O1013)))="ENTREGADO",
IFERROR(
INDEX(REPORTE_DROPI!R:R,
MATCH($T1013, REPORTE_DROPI!B:B, 0)
),
""
),
""
)
</f>
        <v/>
      </c>
      <c r="H1013" s="118"/>
      <c r="I1013" s="118" t="s">
        <v>3731</v>
      </c>
      <c r="J1013" s="121" t="str">
        <f t="array" ref="J1013">IF(
UPPER(TRIM(CLEAN($O1013)))="ENTREGADO",
IFERROR(
INDEX(REPORTE_DROPI!T:T,
MATCH($T1013, REPORTE_DROPI!B:B, 0)
),
""
),
""
)
</f>
        <v/>
      </c>
      <c r="K1013" s="118" t="str">
        <f t="array" ref="K1013">IFERROR(
INDEX(REPORTE_DROPI!S:S,
MATCH($T1013, REPORTE_DROPI!B:B, 0)
),
""
)
</f>
        <v/>
      </c>
      <c r="L1013" s="118" t="str">
        <f>IF(
  O1013&lt;&gt;"DEVOLUCION",
  "",
  IF(
    T1013="",
    "",
    SUMIF(DEVOLUCION!F:F, T1013, DEVOLUCION!D:D)
  )
)
</f>
        <v/>
      </c>
      <c r="M1013" s="118"/>
      <c r="N1013" s="130" t="s">
        <v>5769</v>
      </c>
      <c r="O1013" s="118" t="str">
        <f t="array" ref="O1013">IFERROR(
VLOOKUP(
TRIM(CLEAN(
INDEX(REPORTE_DROPI!K:K,
MATCH(T1013, REPORTE_DROPI!B:B, 0)
))),
{
TRIM(CLEAN(MAPA_ESTADOS!A:A)) ,
MAPA_ESTADOS!B:B
},
2,
FALSE
),
"REVISAR"
)
</f>
        <v>PENDIENTE</v>
      </c>
      <c r="P1013" s="118" t="s">
        <v>3689</v>
      </c>
      <c r="Q1013" s="122">
        <f t="shared" si="2"/>
        <v>0</v>
      </c>
      <c r="R1013" s="118"/>
      <c r="S1013" s="118"/>
      <c r="T1013" s="118">
        <f t="array" ref="T1013">IFERROR(
INDEX(REPORTE_DROPI!B:B,
MATCH(
CLEAN(TRIM(C1013)),
CLEAN(TRIM(REPORTE_DROPI!E:E)),
0
)
),
""
)
</f>
        <v>4365743</v>
      </c>
      <c r="U1013" s="118">
        <v>6.464108068908E12</v>
      </c>
      <c r="V1013" s="78"/>
      <c r="W1013" s="78"/>
      <c r="X1013" s="78"/>
      <c r="Y1013" s="78"/>
      <c r="Z1013" s="78"/>
    </row>
    <row r="1014" ht="22.5" customHeight="1">
      <c r="A1014" s="118" t="s">
        <v>5675</v>
      </c>
      <c r="B1014" s="119">
        <v>46052.0</v>
      </c>
      <c r="C1014" s="126" t="s">
        <v>5770</v>
      </c>
      <c r="D1014" s="118" t="str">
        <f>IFERROR(__xludf.DUMMYFUNCTION("IFERROR(
  INDEX(
    FILTER(
      'NOMBRE DE PRODUCTOS'!B:B,
      REGEXMATCH(
        UPPER(
          INDEX(
            REPORTE_DROPI!AC:AC,
            MATCH(T1014, REPORTE_DROPI!B:B, 0)
          )
        ),
        UPPER('NOMBRE DE PRODUCTOS'!A:A"&amp;")
      )
    ),
    1
  ),
  ""REVISAR""
)
"),"FilmPro®")</f>
        <v>FilmPro®</v>
      </c>
      <c r="E1014" s="120">
        <f t="array" ref="E1014">IF(
UPPER(TRIM(CLEAN($O1014)))="ENTREGADO",
IFERROR(
INDEX(REPORTE_DROPI!Y:Y,
MATCH($T1014, REPORTE_DROPI!B:B, 0)
),
""
),
""
)
</f>
        <v>2.35</v>
      </c>
      <c r="F1014" s="121">
        <v>1.0</v>
      </c>
      <c r="G1014" s="122">
        <f t="array" ref="G1014">IF(
UPPER(TRIM(CLEAN($O1014)))="ENTREGADO",
IFERROR(
INDEX(REPORTE_DROPI!R:R,
MATCH($T1014, REPORTE_DROPI!B:B, 0)
),
""
),
""
)
</f>
        <v>20</v>
      </c>
      <c r="H1014" s="118"/>
      <c r="I1014" s="118" t="s">
        <v>3735</v>
      </c>
      <c r="J1014" s="121">
        <f t="array" ref="J1014">IF(
UPPER(TRIM(CLEAN($O1014)))="ENTREGADO",
IFERROR(
INDEX(REPORTE_DROPI!T:T,
MATCH($T1014, REPORTE_DROPI!B:B, 0)
),
""
),
""
)
</f>
        <v>5.76</v>
      </c>
      <c r="K1014" s="118">
        <f t="array" ref="K1014">IFERROR(
INDEX(REPORTE_DROPI!S:S,
MATCH($T1014, REPORTE_DROPI!B:B, 0)
),
""
)
</f>
        <v>11.89</v>
      </c>
      <c r="L1014" s="118" t="str">
        <f>IF(
  O1014&lt;&gt;"DEVOLUCION",
  "",
  IF(
    T1014="",
    "",
    SUMIF(DEVOLUCION!F:F, T1014, DEVOLUCION!D:D)
  )
)
</f>
        <v/>
      </c>
      <c r="M1014" s="118"/>
      <c r="N1014" s="130" t="s">
        <v>5771</v>
      </c>
      <c r="O1014" s="118" t="str">
        <f t="array" ref="O1014">IFERROR(
VLOOKUP(
TRIM(CLEAN(
INDEX(REPORTE_DROPI!K:K,
MATCH(T1014, REPORTE_DROPI!B:B, 0)
))),
{
TRIM(CLEAN(MAPA_ESTADOS!A:A)) ,
MAPA_ESTADOS!B:B
},
2,
FALSE
),
"REVISAR"
)
</f>
        <v>ENTREGADO</v>
      </c>
      <c r="P1014" s="118" t="s">
        <v>5692</v>
      </c>
      <c r="Q1014" s="122">
        <f t="shared" si="2"/>
        <v>0</v>
      </c>
      <c r="R1014" s="118"/>
      <c r="S1014" s="118"/>
      <c r="T1014" s="118">
        <f t="array" ref="T1014">IFERROR(
INDEX(REPORTE_DROPI!B:B,
MATCH(
CLEAN(TRIM(C1014)),
CLEAN(TRIM(REPORTE_DROPI!E:E)),
0
)
),
""
)
</f>
        <v>4338090</v>
      </c>
      <c r="U1014" s="118">
        <v>6.464121405484E12</v>
      </c>
      <c r="V1014" s="78"/>
      <c r="W1014" s="78"/>
      <c r="X1014" s="78"/>
      <c r="Y1014" s="78"/>
      <c r="Z1014" s="78"/>
    </row>
    <row r="1015" ht="22.5" customHeight="1">
      <c r="A1015" s="118" t="s">
        <v>5675</v>
      </c>
      <c r="B1015" s="119">
        <v>46052.0</v>
      </c>
      <c r="C1015" s="126" t="s">
        <v>5772</v>
      </c>
      <c r="D1015" s="118" t="str">
        <f>IFERROR(__xludf.DUMMYFUNCTION("IFERROR(
  INDEX(
    FILTER(
      'NOMBRE DE PRODUCTOS'!B:B,
      REGEXMATCH(
        UPPER(
          INDEX(
            REPORTE_DROPI!AC:AC,
            MATCH(T1015, REPORTE_DROPI!B:B, 0)
          )
        ),
        UPPER('NOMBRE DE PRODUCTOS'!A:A"&amp;")
      )
    ),
    1
  ),
  ""REVISAR""
)
"),"FilmPro®")</f>
        <v>FilmPro®</v>
      </c>
      <c r="E1015" s="120">
        <f t="array" ref="E1015">IF(
UPPER(TRIM(CLEAN($O1015)))="ENTREGADO",
IFERROR(
INDEX(REPORTE_DROPI!Y:Y,
MATCH($T1015, REPORTE_DROPI!B:B, 0)
),
""
),
""
)
</f>
        <v>7.05</v>
      </c>
      <c r="F1015" s="121">
        <v>3.0</v>
      </c>
      <c r="G1015" s="122">
        <f t="array" ref="G1015">IF(
UPPER(TRIM(CLEAN($O1015)))="ENTREGADO",
IFERROR(
INDEX(REPORTE_DROPI!R:R,
MATCH($T1015, REPORTE_DROPI!B:B, 0)
),
""
),
""
)
</f>
        <v>30</v>
      </c>
      <c r="H1015" s="118"/>
      <c r="I1015" s="118" t="s">
        <v>3740</v>
      </c>
      <c r="J1015" s="121">
        <f t="array" ref="J1015">IF(
UPPER(TRIM(CLEAN($O1015)))="ENTREGADO",
IFERROR(
INDEX(REPORTE_DROPI!T:T,
MATCH($T1015, REPORTE_DROPI!B:B, 0)
),
""
),
""
)
</f>
        <v>6.16</v>
      </c>
      <c r="K1015" s="118">
        <f t="array" ref="K1015">IFERROR(
INDEX(REPORTE_DROPI!S:S,
MATCH($T1015, REPORTE_DROPI!B:B, 0)
),
""
)
</f>
        <v>16.79</v>
      </c>
      <c r="L1015" s="118" t="str">
        <f>IF(
  O1015&lt;&gt;"DEVOLUCION",
  "",
  IF(
    T1015="",
    "",
    SUMIF(DEVOLUCION!F:F, T1015, DEVOLUCION!D:D)
  )
)
</f>
        <v/>
      </c>
      <c r="M1015" s="118"/>
      <c r="N1015" s="130" t="s">
        <v>5773</v>
      </c>
      <c r="O1015" s="118" t="str">
        <f t="array" ref="O1015">IFERROR(
VLOOKUP(
TRIM(CLEAN(
INDEX(REPORTE_DROPI!K:K,
MATCH(T1015, REPORTE_DROPI!B:B, 0)
))),
{
TRIM(CLEAN(MAPA_ESTADOS!A:A)) ,
MAPA_ESTADOS!B:B
},
2,
FALSE
),
"REVISAR"
)
</f>
        <v>ENTREGADO</v>
      </c>
      <c r="P1015" s="118" t="s">
        <v>5692</v>
      </c>
      <c r="Q1015" s="122">
        <f t="shared" si="2"/>
        <v>0</v>
      </c>
      <c r="R1015" s="118"/>
      <c r="S1015" s="118"/>
      <c r="T1015" s="118">
        <f t="array" ref="T1015">IFERROR(
INDEX(REPORTE_DROPI!B:B,
MATCH(
CLEAN(TRIM(C1015)),
CLEAN(TRIM(REPORTE_DROPI!E:E)),
0
)
),
""
)
</f>
        <v>4338216</v>
      </c>
      <c r="U1015" s="118">
        <v>6.46415276446E12</v>
      </c>
      <c r="V1015" s="78"/>
      <c r="W1015" s="78"/>
      <c r="X1015" s="78"/>
      <c r="Y1015" s="78"/>
      <c r="Z1015" s="78"/>
    </row>
    <row r="1016" ht="22.5" customHeight="1">
      <c r="A1016" s="118" t="s">
        <v>5675</v>
      </c>
      <c r="B1016" s="119">
        <v>46053.0</v>
      </c>
      <c r="C1016" s="126" t="s">
        <v>5774</v>
      </c>
      <c r="D1016" s="118" t="str">
        <f>IFERROR(__xludf.DUMMYFUNCTION("IFERROR(
  INDEX(
    FILTER(
      'NOMBRE DE PRODUCTOS'!B:B,
      REGEXMATCH(
        UPPER(
          INDEX(
            REPORTE_DROPI!AC:AC,
            MATCH(T1016, REPORTE_DROPI!B:B, 0)
          )
        ),
        UPPER('NOMBRE DE PRODUCTOS'!A:A"&amp;")
      )
    ),
    1
  ),
  ""REVISAR""
)
"),"Cuchillo Tazaki™")</f>
        <v>Cuchillo Tazaki™</v>
      </c>
      <c r="E1016" s="120" t="str">
        <f t="array" ref="E1016">IF(
UPPER(TRIM(CLEAN($O1016)))="ENTREGADO",
IFERROR(
INDEX(REPORTE_DROPI!Y:Y,
MATCH($T1016, REPORTE_DROPI!B:B, 0)
),
""
),
""
)
</f>
        <v/>
      </c>
      <c r="F1016" s="121">
        <v>2.0</v>
      </c>
      <c r="G1016" s="122" t="str">
        <f t="array" ref="G1016">IF(
UPPER(TRIM(CLEAN($O1016)))="ENTREGADO",
IFERROR(
INDEX(REPORTE_DROPI!R:R,
MATCH($T1016, REPORTE_DROPI!B:B, 0)
),
""
),
""
)
</f>
        <v/>
      </c>
      <c r="H1016" s="118"/>
      <c r="I1016" s="118" t="s">
        <v>3740</v>
      </c>
      <c r="J1016" s="121" t="str">
        <f t="array" ref="J1016">IF(
UPPER(TRIM(CLEAN($O1016)))="ENTREGADO",
IFERROR(
INDEX(REPORTE_DROPI!T:T,
MATCH($T1016, REPORTE_DROPI!B:B, 0)
),
""
),
""
)
</f>
        <v/>
      </c>
      <c r="K1016" s="118" t="str">
        <f t="array" ref="K1016">IFERROR(
INDEX(REPORTE_DROPI!S:S,
MATCH($T1016, REPORTE_DROPI!B:B, 0)
),
""
)
</f>
        <v/>
      </c>
      <c r="L1016" s="118" t="str">
        <f>IF(
  O1016&lt;&gt;"DEVOLUCION",
  "",
  IF(
    T1016="",
    "",
    SUMIF(DEVOLUCION!F:F, T1016, DEVOLUCION!D:D)
  )
)
</f>
        <v/>
      </c>
      <c r="M1016" s="118"/>
      <c r="N1016" s="130" t="s">
        <v>5775</v>
      </c>
      <c r="O1016" s="118" t="str">
        <f t="array" ref="O1016">IFERROR(
VLOOKUP(
TRIM(CLEAN(
INDEX(REPORTE_DROPI!K:K,
MATCH(T1016, REPORTE_DROPI!B:B, 0)
))),
{
TRIM(CLEAN(MAPA_ESTADOS!A:A)) ,
MAPA_ESTADOS!B:B
},
2,
FALSE
),
"REVISAR"
)
</f>
        <v>PENDIENTE</v>
      </c>
      <c r="P1016" s="118" t="s">
        <v>3689</v>
      </c>
      <c r="Q1016" s="122">
        <f t="shared" si="2"/>
        <v>0</v>
      </c>
      <c r="R1016" s="118"/>
      <c r="S1016" s="118"/>
      <c r="T1016" s="118">
        <f t="array" ref="T1016">IFERROR(
INDEX(REPORTE_DROPI!B:B,
MATCH(
CLEAN(TRIM(C1016)),
CLEAN(TRIM(REPORTE_DROPI!E:E)),
0
)
),
""
)
</f>
        <v>4338533</v>
      </c>
      <c r="U1016" s="118">
        <v>6.464237994028E12</v>
      </c>
      <c r="V1016" s="78"/>
      <c r="W1016" s="78"/>
      <c r="X1016" s="78"/>
      <c r="Y1016" s="78"/>
      <c r="Z1016" s="78"/>
    </row>
    <row r="1017" ht="22.5" customHeight="1">
      <c r="A1017" s="118" t="s">
        <v>5675</v>
      </c>
      <c r="B1017" s="119">
        <v>46053.0</v>
      </c>
      <c r="C1017" s="126" t="s">
        <v>5776</v>
      </c>
      <c r="D1017" s="118" t="str">
        <f>IFERROR(__xludf.DUMMYFUNCTION("IFERROR(
  INDEX(
    FILTER(
      'NOMBRE DE PRODUCTOS'!B:B,
      REGEXMATCH(
        UPPER(
          INDEX(
            REPORTE_DROPI!AC:AC,
            MATCH(T1017, REPORTE_DROPI!B:B, 0)
          )
        ),
        UPPER('NOMBRE DE PRODUCTOS'!A:A"&amp;")
      )
    ),
    1
  ),
  ""REVISAR""
)
"),"FilmPro®")</f>
        <v>FilmPro®</v>
      </c>
      <c r="E1017" s="120" t="str">
        <f t="array" ref="E1017">IF(
UPPER(TRIM(CLEAN($O1017)))="ENTREGADO",
IFERROR(
INDEX(REPORTE_DROPI!Y:Y,
MATCH($T1017, REPORTE_DROPI!B:B, 0)
),
""
),
""
)
</f>
        <v/>
      </c>
      <c r="F1017" s="121">
        <v>1.0</v>
      </c>
      <c r="G1017" s="122" t="str">
        <f t="array" ref="G1017">IF(
UPPER(TRIM(CLEAN($O1017)))="ENTREGADO",
IFERROR(
INDEX(REPORTE_DROPI!R:R,
MATCH($T1017, REPORTE_DROPI!B:B, 0)
),
""
),
""
)
</f>
        <v/>
      </c>
      <c r="H1017" s="118"/>
      <c r="I1017" s="118" t="s">
        <v>3809</v>
      </c>
      <c r="J1017" s="121" t="str">
        <f t="array" ref="J1017">IF(
UPPER(TRIM(CLEAN($O1017)))="ENTREGADO",
IFERROR(
INDEX(REPORTE_DROPI!T:T,
MATCH($T1017, REPORTE_DROPI!B:B, 0)
),
""
),
""
)
</f>
        <v/>
      </c>
      <c r="K1017" s="118" t="str">
        <f t="array" ref="K1017">IFERROR(
INDEX(REPORTE_DROPI!S:S,
MATCH($T1017, REPORTE_DROPI!B:B, 0)
),
""
)
</f>
        <v/>
      </c>
      <c r="L1017" s="118">
        <f>IF(
  O1017&lt;&gt;"DEVOLUCION",
  "",
  IF(
    T1017="",
    "",
    SUMIF(DEVOLUCION!F:F, T1017, DEVOLUCION!D:D)
  )
)
</f>
        <v>5.06</v>
      </c>
      <c r="M1017" s="118"/>
      <c r="N1017" s="130" t="s">
        <v>5777</v>
      </c>
      <c r="O1017" s="118" t="str">
        <f t="array" ref="O1017">IFERROR(
VLOOKUP(
TRIM(CLEAN(
INDEX(REPORTE_DROPI!K:K,
MATCH(T1017, REPORTE_DROPI!B:B, 0)
))),
{
TRIM(CLEAN(MAPA_ESTADOS!A:A)) ,
MAPA_ESTADOS!B:B
},
2,
FALSE
),
"REVISAR"
)
</f>
        <v>DEVOLUCION</v>
      </c>
      <c r="P1017" s="118" t="s">
        <v>5692</v>
      </c>
      <c r="Q1017" s="122">
        <f t="shared" si="2"/>
        <v>0</v>
      </c>
      <c r="R1017" s="118"/>
      <c r="S1017" s="118"/>
      <c r="T1017" s="118">
        <f t="array" ref="T1017">IFERROR(
INDEX(REPORTE_DROPI!B:B,
MATCH(
CLEAN(TRIM(C1017)),
CLEAN(TRIM(REPORTE_DROPI!E:E)),
0
)
),
""
)
</f>
        <v>4339125</v>
      </c>
      <c r="U1017" s="118">
        <v>6.464544866348E12</v>
      </c>
      <c r="V1017" s="78"/>
      <c r="W1017" s="78"/>
      <c r="X1017" s="78"/>
      <c r="Y1017" s="78"/>
      <c r="Z1017" s="78"/>
    </row>
    <row r="1018" ht="22.5" customHeight="1">
      <c r="A1018" s="118" t="s">
        <v>5675</v>
      </c>
      <c r="B1018" s="119">
        <v>46053.0</v>
      </c>
      <c r="C1018" s="126" t="s">
        <v>5778</v>
      </c>
      <c r="D1018" s="118" t="str">
        <f>IFERROR(__xludf.DUMMYFUNCTION("IFERROR(
  INDEX(
    FILTER(
      'NOMBRE DE PRODUCTOS'!B:B,
      REGEXMATCH(
        UPPER(
          INDEX(
            REPORTE_DROPI!AC:AC,
            MATCH(T1018, REPORTE_DROPI!B:B, 0)
          )
        ),
        UPPER('NOMBRE DE PRODUCTOS'!A:A"&amp;")
      )
    ),
    1
  ),
  ""REVISAR""
)
"),"Cuchillo Tazaki™")</f>
        <v>Cuchillo Tazaki™</v>
      </c>
      <c r="E1018" s="120" t="str">
        <f t="array" ref="E1018">IF(
UPPER(TRIM(CLEAN($O1018)))="ENTREGADO",
IFERROR(
INDEX(REPORTE_DROPI!Y:Y,
MATCH($T1018, REPORTE_DROPI!B:B, 0)
),
""
),
""
)
</f>
        <v/>
      </c>
      <c r="F1018" s="121">
        <v>2.0</v>
      </c>
      <c r="G1018" s="122" t="str">
        <f t="array" ref="G1018">IF(
UPPER(TRIM(CLEAN($O1018)))="ENTREGADO",
IFERROR(
INDEX(REPORTE_DROPI!R:R,
MATCH($T1018, REPORTE_DROPI!B:B, 0)
),
""
),
""
)
</f>
        <v/>
      </c>
      <c r="H1018" s="118"/>
      <c r="I1018" s="118" t="s">
        <v>3740</v>
      </c>
      <c r="J1018" s="121" t="str">
        <f t="array" ref="J1018">IF(
UPPER(TRIM(CLEAN($O1018)))="ENTREGADO",
IFERROR(
INDEX(REPORTE_DROPI!T:T,
MATCH($T1018, REPORTE_DROPI!B:B, 0)
),
""
),
""
)
</f>
        <v/>
      </c>
      <c r="K1018" s="118" t="str">
        <f t="array" ref="K1018">IFERROR(
INDEX(REPORTE_DROPI!S:S,
MATCH($T1018, REPORTE_DROPI!B:B, 0)
),
""
)
</f>
        <v/>
      </c>
      <c r="L1018" s="118" t="str">
        <f>IF(
  O1018&lt;&gt;"DEVOLUCION",
  "",
  IF(
    T1018="",
    "",
    SUMIF(DEVOLUCION!F:F, T1018, DEVOLUCION!D:D)
  )
)
</f>
        <v/>
      </c>
      <c r="M1018" s="118"/>
      <c r="N1018" s="130" t="s">
        <v>5779</v>
      </c>
      <c r="O1018" s="118" t="str">
        <f t="array" ref="O1018">IFERROR(
VLOOKUP(
TRIM(CLEAN(
INDEX(REPORTE_DROPI!K:K,
MATCH(T1018, REPORTE_DROPI!B:B, 0)
))),
{
TRIM(CLEAN(MAPA_ESTADOS!A:A)) ,
MAPA_ESTADOS!B:B
},
2,
FALSE
),
"REVISAR"
)
</f>
        <v>PENDIENTE</v>
      </c>
      <c r="P1018" s="118" t="s">
        <v>5765</v>
      </c>
      <c r="Q1018" s="122">
        <f t="shared" si="2"/>
        <v>0</v>
      </c>
      <c r="R1018" s="118"/>
      <c r="S1018" s="118"/>
      <c r="T1018" s="118">
        <f t="array" ref="T1018">IFERROR(
INDEX(REPORTE_DROPI!B:B,
MATCH(
CLEAN(TRIM(C1018)),
CLEAN(TRIM(REPORTE_DROPI!E:E)),
0
)
),
""
)
</f>
        <v>4339271</v>
      </c>
      <c r="U1018" s="118">
        <v>6.464602210348E12</v>
      </c>
      <c r="V1018" s="78"/>
      <c r="W1018" s="78"/>
      <c r="X1018" s="78"/>
      <c r="Y1018" s="78"/>
      <c r="Z1018" s="78"/>
    </row>
    <row r="1019" ht="22.5" customHeight="1">
      <c r="A1019" s="118" t="s">
        <v>5675</v>
      </c>
      <c r="B1019" s="119">
        <v>46053.0</v>
      </c>
      <c r="C1019" s="126" t="s">
        <v>5780</v>
      </c>
      <c r="D1019" s="118" t="str">
        <f>IFERROR(__xludf.DUMMYFUNCTION("IFERROR(
  INDEX(
    FILTER(
      'NOMBRE DE PRODUCTOS'!B:B,
      REGEXMATCH(
        UPPER(
          INDEX(
            REPORTE_DROPI!AC:AC,
            MATCH(T1019, REPORTE_DROPI!B:B, 0)
          )
        ),
        UPPER('NOMBRE DE PRODUCTOS'!A:A"&amp;")
      )
    ),
    1
  ),
  ""REVISAR""
)
"),"FilmPro®")</f>
        <v>FilmPro®</v>
      </c>
      <c r="E1019" s="120">
        <f t="array" ref="E1019">IF(
UPPER(TRIM(CLEAN($O1019)))="ENTREGADO",
IFERROR(
INDEX(REPORTE_DROPI!Y:Y,
MATCH($T1019, REPORTE_DROPI!B:B, 0)
),
""
),
""
)
</f>
        <v>4.7</v>
      </c>
      <c r="F1019" s="121">
        <v>2.0</v>
      </c>
      <c r="G1019" s="122">
        <f t="array" ref="G1019">IF(
UPPER(TRIM(CLEAN($O1019)))="ENTREGADO",
IFERROR(
INDEX(REPORTE_DROPI!R:R,
MATCH($T1019, REPORTE_DROPI!B:B, 0)
),
""
),
""
)
</f>
        <v>25</v>
      </c>
      <c r="H1019" s="118"/>
      <c r="I1019" s="118" t="s">
        <v>3784</v>
      </c>
      <c r="J1019" s="121">
        <f t="array" ref="J1019">IF(
UPPER(TRIM(CLEAN($O1019)))="ENTREGADO",
IFERROR(
INDEX(REPORTE_DROPI!T:T,
MATCH($T1019, REPORTE_DROPI!B:B, 0)
),
""
),
""
)
</f>
        <v>5.96</v>
      </c>
      <c r="K1019" s="118">
        <f t="array" ref="K1019">IFERROR(
INDEX(REPORTE_DROPI!S:S,
MATCH($T1019, REPORTE_DROPI!B:B, 0)
),
""
)
</f>
        <v>14.34</v>
      </c>
      <c r="L1019" s="118" t="str">
        <f>IF(
  O1019&lt;&gt;"DEVOLUCION",
  "",
  IF(
    T1019="",
    "",
    SUMIF(DEVOLUCION!F:F, T1019, DEVOLUCION!D:D)
  )
)
</f>
        <v/>
      </c>
      <c r="M1019" s="118"/>
      <c r="N1019" s="130" t="s">
        <v>5781</v>
      </c>
      <c r="O1019" s="118" t="str">
        <f t="array" ref="O1019">IFERROR(
VLOOKUP(
TRIM(CLEAN(
INDEX(REPORTE_DROPI!K:K,
MATCH(T1019, REPORTE_DROPI!B:B, 0)
))),
{
TRIM(CLEAN(MAPA_ESTADOS!A:A)) ,
MAPA_ESTADOS!B:B
},
2,
FALSE
),
"REVISAR"
)
</f>
        <v>ENTREGADO</v>
      </c>
      <c r="P1019" s="118" t="s">
        <v>5692</v>
      </c>
      <c r="Q1019" s="122">
        <f t="shared" si="2"/>
        <v>0</v>
      </c>
      <c r="R1019" s="118"/>
      <c r="S1019" s="118"/>
      <c r="T1019" s="118">
        <f t="array" ref="T1019">IFERROR(
INDEX(REPORTE_DROPI!B:B,
MATCH(
CLEAN(TRIM(C1019)),
CLEAN(TRIM(REPORTE_DROPI!E:E)),
0
)
),
""
)
</f>
        <v>4339399</v>
      </c>
      <c r="U1019" s="118">
        <v>6.464632225836E12</v>
      </c>
      <c r="V1019" s="78"/>
      <c r="W1019" s="78"/>
      <c r="X1019" s="78"/>
      <c r="Y1019" s="78"/>
      <c r="Z1019" s="78"/>
    </row>
    <row r="1020" ht="22.5" customHeight="1">
      <c r="A1020" s="118" t="s">
        <v>5675</v>
      </c>
      <c r="B1020" s="119">
        <v>46053.0</v>
      </c>
      <c r="C1020" s="126" t="s">
        <v>5782</v>
      </c>
      <c r="D1020" s="118" t="str">
        <f>IFERROR(__xludf.DUMMYFUNCTION("IFERROR(
  INDEX(
    FILTER(
      'NOMBRE DE PRODUCTOS'!B:B,
      REGEXMATCH(
        UPPER(
          INDEX(
            REPORTE_DROPI!AC:AC,
            MATCH(T1020, REPORTE_DROPI!B:B, 0)
          )
        ),
        UPPER('NOMBRE DE PRODUCTOS'!A:A"&amp;")
      )
    ),
    1
  ),
  ""REVISAR""
)
"),"FilmPro®")</f>
        <v>FilmPro®</v>
      </c>
      <c r="E1020" s="120">
        <f t="array" ref="E1020">IF(
UPPER(TRIM(CLEAN($O1020)))="ENTREGADO",
IFERROR(
INDEX(REPORTE_DROPI!Y:Y,
MATCH($T1020, REPORTE_DROPI!B:B, 0)
),
""
),
""
)
</f>
        <v>2.35</v>
      </c>
      <c r="F1020" s="121">
        <v>1.0</v>
      </c>
      <c r="G1020" s="122">
        <f t="array" ref="G1020">IF(
UPPER(TRIM(CLEAN($O1020)))="ENTREGADO",
IFERROR(
INDEX(REPORTE_DROPI!R:R,
MATCH($T1020, REPORTE_DROPI!B:B, 0)
),
""
),
""
)
</f>
        <v>20</v>
      </c>
      <c r="H1020" s="118"/>
      <c r="I1020" s="118" t="s">
        <v>3801</v>
      </c>
      <c r="J1020" s="121">
        <f t="array" ref="J1020">IF(
UPPER(TRIM(CLEAN($O1020)))="ENTREGADO",
IFERROR(
INDEX(REPORTE_DROPI!T:T,
MATCH($T1020, REPORTE_DROPI!B:B, 0)
),
""
),
""
)
</f>
        <v>5.76</v>
      </c>
      <c r="K1020" s="118">
        <f t="array" ref="K1020">IFERROR(
INDEX(REPORTE_DROPI!S:S,
MATCH($T1020, REPORTE_DROPI!B:B, 0)
),
""
)
</f>
        <v>11.89</v>
      </c>
      <c r="L1020" s="118" t="str">
        <f>IF(
  O1020&lt;&gt;"DEVOLUCION",
  "",
  IF(
    T1020="",
    "",
    SUMIF(DEVOLUCION!F:F, T1020, DEVOLUCION!D:D)
  )
)
</f>
        <v/>
      </c>
      <c r="M1020" s="118"/>
      <c r="N1020" s="130" t="s">
        <v>5783</v>
      </c>
      <c r="O1020" s="118" t="str">
        <f t="array" ref="O1020">IFERROR(
VLOOKUP(
TRIM(CLEAN(
INDEX(REPORTE_DROPI!K:K,
MATCH(T1020, REPORTE_DROPI!B:B, 0)
))),
{
TRIM(CLEAN(MAPA_ESTADOS!A:A)) ,
MAPA_ESTADOS!B:B
},
2,
FALSE
),
"REVISAR"
)
</f>
        <v>ENTREGADO</v>
      </c>
      <c r="P1020" s="118" t="s">
        <v>5692</v>
      </c>
      <c r="Q1020" s="122">
        <f t="shared" si="2"/>
        <v>0</v>
      </c>
      <c r="R1020" s="118"/>
      <c r="S1020" s="118"/>
      <c r="T1020" s="118">
        <f t="array" ref="T1020">IFERROR(
INDEX(REPORTE_DROPI!B:B,
MATCH(
CLEAN(TRIM(C1020)),
CLEAN(TRIM(REPORTE_DROPI!E:E)),
0
)
),
""
)
</f>
        <v>4339482</v>
      </c>
      <c r="U1020" s="118">
        <v>6.464648282156E12</v>
      </c>
      <c r="V1020" s="78"/>
      <c r="W1020" s="78"/>
      <c r="X1020" s="78"/>
      <c r="Y1020" s="78"/>
      <c r="Z1020" s="78"/>
    </row>
    <row r="1021" ht="22.5" customHeight="1">
      <c r="A1021" s="118" t="s">
        <v>5675</v>
      </c>
      <c r="B1021" s="119">
        <v>46053.0</v>
      </c>
      <c r="C1021" s="126" t="s">
        <v>5784</v>
      </c>
      <c r="D1021" s="118" t="str">
        <f>IFERROR(__xludf.DUMMYFUNCTION("IFERROR(
  INDEX(
    FILTER(
      'NOMBRE DE PRODUCTOS'!B:B,
      REGEXMATCH(
        UPPER(
          INDEX(
            REPORTE_DROPI!AC:AC,
            MATCH(T1021, REPORTE_DROPI!B:B, 0)
          )
        ),
        UPPER('NOMBRE DE PRODUCTOS'!A:A"&amp;")
      )
    ),
    1
  ),
  ""REVISAR""
)
"),"Cuchillo Tazaki™")</f>
        <v>Cuchillo Tazaki™</v>
      </c>
      <c r="E1021" s="120">
        <f t="array" ref="E1021">IF(
UPPER(TRIM(CLEAN($O1021)))="ENTREGADO",
IFERROR(
INDEX(REPORTE_DROPI!Y:Y,
MATCH($T1021, REPORTE_DROPI!B:B, 0)
),
""
),
""
)
</f>
        <v>7.8</v>
      </c>
      <c r="F1021" s="121">
        <v>3.0</v>
      </c>
      <c r="G1021" s="122">
        <f t="array" ref="G1021">IF(
UPPER(TRIM(CLEAN($O1021)))="ENTREGADO",
IFERROR(
INDEX(REPORTE_DROPI!R:R,
MATCH($T1021, REPORTE_DROPI!B:B, 0)
),
""
),
""
)
</f>
        <v>27</v>
      </c>
      <c r="H1021" s="118"/>
      <c r="I1021" s="118" t="s">
        <v>3772</v>
      </c>
      <c r="J1021" s="121">
        <f t="array" ref="J1021">IF(
UPPER(TRIM(CLEAN($O1021)))="ENTREGADO",
IFERROR(
INDEX(REPORTE_DROPI!T:T,
MATCH($T1021, REPORTE_DROPI!B:B, 0)
),
""
),
""
)
</f>
        <v>7.3</v>
      </c>
      <c r="K1021" s="118">
        <f t="array" ref="K1021">IFERROR(
INDEX(REPORTE_DROPI!S:S,
MATCH($T1021, REPORTE_DROPI!B:B, 0)
),
""
)
</f>
        <v>11.9</v>
      </c>
      <c r="L1021" s="118" t="str">
        <f>IF(
  O1021&lt;&gt;"DEVOLUCION",
  "",
  IF(
    T1021="",
    "",
    SUMIF(DEVOLUCION!F:F, T1021, DEVOLUCION!D:D)
  )
)
</f>
        <v/>
      </c>
      <c r="M1021" s="118"/>
      <c r="N1021" s="130" t="s">
        <v>5785</v>
      </c>
      <c r="O1021" s="118" t="str">
        <f t="array" ref="O1021">IFERROR(
VLOOKUP(
TRIM(CLEAN(
INDEX(REPORTE_DROPI!K:K,
MATCH(T1021, REPORTE_DROPI!B:B, 0)
))),
{
TRIM(CLEAN(MAPA_ESTADOS!A:A)) ,
MAPA_ESTADOS!B:B
},
2,
FALSE
),
"REVISAR"
)
</f>
        <v>ENTREGADO</v>
      </c>
      <c r="P1021" s="118" t="s">
        <v>5692</v>
      </c>
      <c r="Q1021" s="122">
        <f t="shared" si="2"/>
        <v>0</v>
      </c>
      <c r="R1021" s="118"/>
      <c r="S1021" s="118"/>
      <c r="T1021" s="118">
        <f t="array" ref="T1021">IFERROR(
INDEX(REPORTE_DROPI!B:B,
MATCH(
CLEAN(TRIM(C1021)),
CLEAN(TRIM(REPORTE_DROPI!E:E)),
0
)
),
""
)
</f>
        <v>4339582</v>
      </c>
      <c r="U1021" s="118">
        <v>6.464660897836E12</v>
      </c>
      <c r="V1021" s="78"/>
      <c r="W1021" s="78"/>
      <c r="X1021" s="78"/>
      <c r="Y1021" s="78"/>
      <c r="Z1021" s="78"/>
    </row>
    <row r="1022" ht="22.5" customHeight="1">
      <c r="A1022" s="118" t="s">
        <v>5675</v>
      </c>
      <c r="B1022" s="119">
        <v>46053.0</v>
      </c>
      <c r="C1022" s="126" t="s">
        <v>5786</v>
      </c>
      <c r="D1022" s="118" t="str">
        <f>IFERROR(__xludf.DUMMYFUNCTION("IFERROR(
  INDEX(
    FILTER(
      'NOMBRE DE PRODUCTOS'!B:B,
      REGEXMATCH(
        UPPER(
          INDEX(
            REPORTE_DROPI!AC:AC,
            MATCH(T1022, REPORTE_DROPI!B:B, 0)
          )
        ),
        UPPER('NOMBRE DE PRODUCTOS'!A:A"&amp;")
      )
    ),
    1
  ),
  ""REVISAR""
)
"),"FilmPro®")</f>
        <v>FilmPro®</v>
      </c>
      <c r="E1022" s="120">
        <f t="array" ref="E1022">IF(
UPPER(TRIM(CLEAN($O1022)))="ENTREGADO",
IFERROR(
INDEX(REPORTE_DROPI!Y:Y,
MATCH($T1022, REPORTE_DROPI!B:B, 0)
),
""
),
""
)
</f>
        <v>7.05</v>
      </c>
      <c r="F1022" s="121">
        <v>3.0</v>
      </c>
      <c r="G1022" s="122">
        <f t="array" ref="G1022">IF(
UPPER(TRIM(CLEAN($O1022)))="ENTREGADO",
IFERROR(
INDEX(REPORTE_DROPI!R:R,
MATCH($T1022, REPORTE_DROPI!B:B, 0)
),
""
),
""
)
</f>
        <v>30</v>
      </c>
      <c r="H1022" s="118"/>
      <c r="I1022" s="118" t="s">
        <v>3740</v>
      </c>
      <c r="J1022" s="121">
        <f t="array" ref="J1022">IF(
UPPER(TRIM(CLEAN($O1022)))="ENTREGADO",
IFERROR(
INDEX(REPORTE_DROPI!T:T,
MATCH($T1022, REPORTE_DROPI!B:B, 0)
),
""
),
""
)
</f>
        <v>6.16</v>
      </c>
      <c r="K1022" s="118">
        <f t="array" ref="K1022">IFERROR(
INDEX(REPORTE_DROPI!S:S,
MATCH($T1022, REPORTE_DROPI!B:B, 0)
),
""
)
</f>
        <v>16.79</v>
      </c>
      <c r="L1022" s="118" t="str">
        <f>IF(
  O1022&lt;&gt;"DEVOLUCION",
  "",
  IF(
    T1022="",
    "",
    SUMIF(DEVOLUCION!F:F, T1022, DEVOLUCION!D:D)
  )
)
</f>
        <v/>
      </c>
      <c r="M1022" s="118"/>
      <c r="N1022" s="130" t="s">
        <v>5787</v>
      </c>
      <c r="O1022" s="118" t="str">
        <f t="array" ref="O1022">IFERROR(
VLOOKUP(
TRIM(CLEAN(
INDEX(REPORTE_DROPI!K:K,
MATCH(T1022, REPORTE_DROPI!B:B, 0)
))),
{
TRIM(CLEAN(MAPA_ESTADOS!A:A)) ,
MAPA_ESTADOS!B:B
},
2,
FALSE
),
"REVISAR"
)
</f>
        <v>ENTREGADO</v>
      </c>
      <c r="P1022" s="118" t="s">
        <v>5692</v>
      </c>
      <c r="Q1022" s="122">
        <f t="shared" si="2"/>
        <v>0</v>
      </c>
      <c r="R1022" s="118"/>
      <c r="S1022" s="118"/>
      <c r="T1022" s="118">
        <f t="array" ref="T1022">IFERROR(
INDEX(REPORTE_DROPI!B:B,
MATCH(
CLEAN(TRIM(C1022)),
CLEAN(TRIM(REPORTE_DROPI!E:E)),
0
)
),
""
)
</f>
        <v>4339599</v>
      </c>
      <c r="U1022" s="118">
        <v>6.46466378142E12</v>
      </c>
      <c r="V1022" s="78"/>
      <c r="W1022" s="78"/>
      <c r="X1022" s="78"/>
      <c r="Y1022" s="78"/>
      <c r="Z1022" s="78"/>
    </row>
    <row r="1023" ht="22.5" customHeight="1">
      <c r="A1023" s="118" t="s">
        <v>5675</v>
      </c>
      <c r="B1023" s="119">
        <v>46053.0</v>
      </c>
      <c r="C1023" s="126" t="s">
        <v>5788</v>
      </c>
      <c r="D1023" s="118" t="str">
        <f>IFERROR(__xludf.DUMMYFUNCTION("IFERROR(
  INDEX(
    FILTER(
      'NOMBRE DE PRODUCTOS'!B:B,
      REGEXMATCH(
        UPPER(
          INDEX(
            REPORTE_DROPI!AC:AC,
            MATCH(T1023, REPORTE_DROPI!B:B, 0)
          )
        ),
        UPPER('NOMBRE DE PRODUCTOS'!A:A"&amp;")
      )
    ),
    1
  ),
  ""REVISAR""
)
"),"FilmPro®")</f>
        <v>FilmPro®</v>
      </c>
      <c r="E1023" s="120">
        <f t="array" ref="E1023">IF(
UPPER(TRIM(CLEAN($O1023)))="ENTREGADO",
IFERROR(
INDEX(REPORTE_DROPI!Y:Y,
MATCH($T1023, REPORTE_DROPI!B:B, 0)
),
""
),
""
)
</f>
        <v>7.05</v>
      </c>
      <c r="F1023" s="121">
        <v>3.0</v>
      </c>
      <c r="G1023" s="122">
        <f t="array" ref="G1023">IF(
UPPER(TRIM(CLEAN($O1023)))="ENTREGADO",
IFERROR(
INDEX(REPORTE_DROPI!R:R,
MATCH($T1023, REPORTE_DROPI!B:B, 0)
),
""
),
""
)
</f>
        <v>30</v>
      </c>
      <c r="H1023" s="118"/>
      <c r="I1023" s="118" t="s">
        <v>3731</v>
      </c>
      <c r="J1023" s="121">
        <f t="array" ref="J1023">IF(
UPPER(TRIM(CLEAN($O1023)))="ENTREGADO",
IFERROR(
INDEX(REPORTE_DROPI!T:T,
MATCH($T1023, REPORTE_DROPI!B:B, 0)
),
""
),
""
)
</f>
        <v>4.55</v>
      </c>
      <c r="K1023" s="118">
        <f t="array" ref="K1023">IFERROR(
INDEX(REPORTE_DROPI!S:S,
MATCH($T1023, REPORTE_DROPI!B:B, 0)
),
""
)
</f>
        <v>18.4</v>
      </c>
      <c r="L1023" s="118" t="str">
        <f>IF(
  O1023&lt;&gt;"DEVOLUCION",
  "",
  IF(
    T1023="",
    "",
    SUMIF(DEVOLUCION!F:F, T1023, DEVOLUCION!D:D)
  )
)
</f>
        <v/>
      </c>
      <c r="M1023" s="118"/>
      <c r="N1023" s="130" t="s">
        <v>5789</v>
      </c>
      <c r="O1023" s="118" t="str">
        <f t="array" ref="O1023">IFERROR(
VLOOKUP(
TRIM(CLEAN(
INDEX(REPORTE_DROPI!K:K,
MATCH(T1023, REPORTE_DROPI!B:B, 0)
))),
{
TRIM(CLEAN(MAPA_ESTADOS!A:A)) ,
MAPA_ESTADOS!B:B
},
2,
FALSE
),
"REVISAR"
)
</f>
        <v>ENTREGADO</v>
      </c>
      <c r="P1023" s="118" t="s">
        <v>5692</v>
      </c>
      <c r="Q1023" s="122">
        <f t="shared" si="2"/>
        <v>0</v>
      </c>
      <c r="R1023" s="118"/>
      <c r="S1023" s="118"/>
      <c r="T1023" s="118">
        <f t="array" ref="T1023">IFERROR(
INDEX(REPORTE_DROPI!B:B,
MATCH(
CLEAN(TRIM(C1023)),
CLEAN(TRIM(REPORTE_DROPI!E:E)),
0
)
),
""
)
</f>
        <v>4339702</v>
      </c>
      <c r="U1023" s="118">
        <v>6.464677314604E12</v>
      </c>
      <c r="V1023" s="78"/>
      <c r="W1023" s="78"/>
      <c r="X1023" s="78"/>
      <c r="Y1023" s="78"/>
      <c r="Z1023" s="78"/>
    </row>
    <row r="1024" ht="22.5" customHeight="1">
      <c r="A1024" s="118" t="s">
        <v>5675</v>
      </c>
      <c r="B1024" s="119">
        <v>46053.0</v>
      </c>
      <c r="C1024" s="126" t="s">
        <v>5790</v>
      </c>
      <c r="D1024" s="118" t="str">
        <f>IFERROR(__xludf.DUMMYFUNCTION("IFERROR(
  INDEX(
    FILTER(
      'NOMBRE DE PRODUCTOS'!B:B,
      REGEXMATCH(
        UPPER(
          INDEX(
            REPORTE_DROPI!AC:AC,
            MATCH(T1024, REPORTE_DROPI!B:B, 0)
          )
        ),
        UPPER('NOMBRE DE PRODUCTOS'!A:A"&amp;")
      )
    ),
    1
  ),
  ""REVISAR""
)
"),"FilmPro®")</f>
        <v>FilmPro®</v>
      </c>
      <c r="E1024" s="120" t="str">
        <f t="array" ref="E1024">IF(
UPPER(TRIM(CLEAN($O1024)))="ENTREGADO",
IFERROR(
INDEX(REPORTE_DROPI!Y:Y,
MATCH($T1024, REPORTE_DROPI!B:B, 0)
),
""
),
""
)
</f>
        <v/>
      </c>
      <c r="F1024" s="121">
        <v>3.0</v>
      </c>
      <c r="G1024" s="122" t="str">
        <f t="array" ref="G1024">IF(
UPPER(TRIM(CLEAN($O1024)))="ENTREGADO",
IFERROR(
INDEX(REPORTE_DROPI!R:R,
MATCH($T1024, REPORTE_DROPI!B:B, 0)
),
""
),
""
)
</f>
        <v/>
      </c>
      <c r="H1024" s="118"/>
      <c r="I1024" s="118" t="s">
        <v>3731</v>
      </c>
      <c r="J1024" s="121" t="str">
        <f t="array" ref="J1024">IF(
UPPER(TRIM(CLEAN($O1024)))="ENTREGADO",
IFERROR(
INDEX(REPORTE_DROPI!T:T,
MATCH($T1024, REPORTE_DROPI!B:B, 0)
),
""
),
""
)
</f>
        <v/>
      </c>
      <c r="K1024" s="118" t="str">
        <f t="array" ref="K1024">IFERROR(
INDEX(REPORTE_DROPI!S:S,
MATCH($T1024, REPORTE_DROPI!B:B, 0)
),
""
)
</f>
        <v/>
      </c>
      <c r="L1024" s="118" t="str">
        <f>IF(
  O1024&lt;&gt;"DEVOLUCION",
  "",
  IF(
    T1024="",
    "",
    SUMIF(DEVOLUCION!F:F, T1024, DEVOLUCION!D:D)
  )
)
</f>
        <v/>
      </c>
      <c r="M1024" s="118"/>
      <c r="N1024" s="130" t="s">
        <v>5791</v>
      </c>
      <c r="O1024" s="118" t="str">
        <f t="array" ref="O1024">IFERROR(
VLOOKUP(
TRIM(CLEAN(
INDEX(REPORTE_DROPI!K:K,
MATCH(T1024, REPORTE_DROPI!B:B, 0)
))),
{
TRIM(CLEAN(MAPA_ESTADOS!A:A)) ,
MAPA_ESTADOS!B:B
},
2,
FALSE
),
"REVISAR"
)
</f>
        <v>PENDIENTE</v>
      </c>
      <c r="P1024" s="118" t="s">
        <v>3689</v>
      </c>
      <c r="Q1024" s="122">
        <f t="shared" si="2"/>
        <v>0</v>
      </c>
      <c r="R1024" s="118"/>
      <c r="S1024" s="118"/>
      <c r="T1024" s="118">
        <f t="array" ref="T1024">IFERROR(
INDEX(REPORTE_DROPI!B:B,
MATCH(
CLEAN(TRIM(C1024)),
CLEAN(TRIM(REPORTE_DROPI!E:E)),
0
)
),
""
)
</f>
        <v>4339836</v>
      </c>
      <c r="U1024" s="118">
        <v>6.46468508062E12</v>
      </c>
      <c r="V1024" s="78"/>
      <c r="W1024" s="78"/>
      <c r="X1024" s="78"/>
      <c r="Y1024" s="78"/>
      <c r="Z1024" s="78"/>
    </row>
    <row r="1025" ht="22.5" customHeight="1">
      <c r="A1025" s="118" t="s">
        <v>5675</v>
      </c>
      <c r="B1025" s="119">
        <v>46053.0</v>
      </c>
      <c r="C1025" s="126" t="s">
        <v>5792</v>
      </c>
      <c r="D1025" s="118" t="str">
        <f>IFERROR(__xludf.DUMMYFUNCTION("IFERROR(
  INDEX(
    FILTER(
      'NOMBRE DE PRODUCTOS'!B:B,
      REGEXMATCH(
        UPPER(
          INDEX(
            REPORTE_DROPI!AC:AC,
            MATCH(T1025, REPORTE_DROPI!B:B, 0)
          )
        ),
        UPPER('NOMBRE DE PRODUCTOS'!A:A"&amp;")
      )
    ),
    1
  ),
  ""REVISAR""
)
"),"FilmPro®")</f>
        <v>FilmPro®</v>
      </c>
      <c r="E1025" s="120" t="str">
        <f t="array" ref="E1025">IF(
UPPER(TRIM(CLEAN($O1025)))="ENTREGADO",
IFERROR(
INDEX(REPORTE_DROPI!Y:Y,
MATCH($T1025, REPORTE_DROPI!B:B, 0)
),
""
),
""
)
</f>
        <v/>
      </c>
      <c r="F1025" s="121">
        <v>1.0</v>
      </c>
      <c r="G1025" s="122" t="str">
        <f t="array" ref="G1025">IF(
UPPER(TRIM(CLEAN($O1025)))="ENTREGADO",
IFERROR(
INDEX(REPORTE_DROPI!R:R,
MATCH($T1025, REPORTE_DROPI!B:B, 0)
),
""
),
""
)
</f>
        <v/>
      </c>
      <c r="H1025" s="118"/>
      <c r="I1025" s="118" t="s">
        <v>3731</v>
      </c>
      <c r="J1025" s="121" t="str">
        <f t="array" ref="J1025">IF(
UPPER(TRIM(CLEAN($O1025)))="ENTREGADO",
IFERROR(
INDEX(REPORTE_DROPI!T:T,
MATCH($T1025, REPORTE_DROPI!B:B, 0)
),
""
),
""
)
</f>
        <v/>
      </c>
      <c r="K1025" s="118" t="str">
        <f t="array" ref="K1025">IFERROR(
INDEX(REPORTE_DROPI!S:S,
MATCH($T1025, REPORTE_DROPI!B:B, 0)
),
""
)
</f>
        <v/>
      </c>
      <c r="L1025" s="118">
        <f>IF(
  O1025&lt;&gt;"DEVOLUCION",
  "",
  IF(
    T1025="",
    "",
    SUMIF(DEVOLUCION!F:F, T1025, DEVOLUCION!D:D)
  )
)
</f>
        <v>3.45</v>
      </c>
      <c r="M1025" s="118"/>
      <c r="N1025" s="130" t="s">
        <v>5793</v>
      </c>
      <c r="O1025" s="118" t="str">
        <f t="array" ref="O1025">IFERROR(
VLOOKUP(
TRIM(CLEAN(
INDEX(REPORTE_DROPI!K:K,
MATCH(T1025, REPORTE_DROPI!B:B, 0)
))),
{
TRIM(CLEAN(MAPA_ESTADOS!A:A)) ,
MAPA_ESTADOS!B:B
},
2,
FALSE
),
"REVISAR"
)
</f>
        <v>DEVOLUCION</v>
      </c>
      <c r="P1025" s="118" t="s">
        <v>5692</v>
      </c>
      <c r="Q1025" s="122">
        <f t="shared" si="2"/>
        <v>0</v>
      </c>
      <c r="R1025" s="118"/>
      <c r="S1025" s="118"/>
      <c r="T1025" s="118">
        <f t="array" ref="T1025">IFERROR(
INDEX(REPORTE_DROPI!B:B,
MATCH(
CLEAN(TRIM(C1025)),
CLEAN(TRIM(REPORTE_DROPI!E:E)),
0
)
),
""
)
</f>
        <v>4339845</v>
      </c>
      <c r="U1025" s="118">
        <v>6.464686260268E12</v>
      </c>
      <c r="V1025" s="78"/>
      <c r="W1025" s="78"/>
      <c r="X1025" s="78"/>
      <c r="Y1025" s="78"/>
      <c r="Z1025" s="78"/>
    </row>
    <row r="1026" ht="22.5" customHeight="1">
      <c r="A1026" s="118" t="s">
        <v>5675</v>
      </c>
      <c r="B1026" s="119">
        <v>46053.0</v>
      </c>
      <c r="C1026" s="126" t="s">
        <v>5794</v>
      </c>
      <c r="D1026" s="118" t="str">
        <f>IFERROR(__xludf.DUMMYFUNCTION("IFERROR(
  INDEX(
    FILTER(
      'NOMBRE DE PRODUCTOS'!B:B,
      REGEXMATCH(
        UPPER(
          INDEX(
            REPORTE_DROPI!AC:AC,
            MATCH(T1026, REPORTE_DROPI!B:B, 0)
          )
        ),
        UPPER('NOMBRE DE PRODUCTOS'!A:A"&amp;")
      )
    ),
    1
  ),
  ""REVISAR""
)
"),"FilmPro®")</f>
        <v>FilmPro®</v>
      </c>
      <c r="E1026" s="120" t="str">
        <f t="array" ref="E1026">IF(
UPPER(TRIM(CLEAN($O1026)))="ENTREGADO",
IFERROR(
INDEX(REPORTE_DROPI!Y:Y,
MATCH($T1026, REPORTE_DROPI!B:B, 0)
),
""
),
""
)
</f>
        <v/>
      </c>
      <c r="F1026" s="121">
        <v>2.0</v>
      </c>
      <c r="G1026" s="122" t="str">
        <f t="array" ref="G1026">IF(
UPPER(TRIM(CLEAN($O1026)))="ENTREGADO",
IFERROR(
INDEX(REPORTE_DROPI!R:R,
MATCH($T1026, REPORTE_DROPI!B:B, 0)
),
""
),
""
)
</f>
        <v/>
      </c>
      <c r="H1026" s="118"/>
      <c r="I1026" s="118" t="s">
        <v>3770</v>
      </c>
      <c r="J1026" s="121" t="str">
        <f t="array" ref="J1026">IF(
UPPER(TRIM(CLEAN($O1026)))="ENTREGADO",
IFERROR(
INDEX(REPORTE_DROPI!T:T,
MATCH($T1026, REPORTE_DROPI!B:B, 0)
),
""
),
""
)
</f>
        <v/>
      </c>
      <c r="K1026" s="118" t="str">
        <f t="array" ref="K1026">IFERROR(
INDEX(REPORTE_DROPI!S:S,
MATCH($T1026, REPORTE_DROPI!B:B, 0)
),
""
)
</f>
        <v/>
      </c>
      <c r="L1026" s="118" t="str">
        <f>IF(
  O1026&lt;&gt;"DEVOLUCION",
  "",
  IF(
    T1026="",
    "",
    SUMIF(DEVOLUCION!F:F, T1026, DEVOLUCION!D:D)
  )
)
</f>
        <v/>
      </c>
      <c r="M1026" s="118"/>
      <c r="N1026" s="130" t="s">
        <v>5795</v>
      </c>
      <c r="O1026" s="118" t="str">
        <f t="array" ref="O1026">IFERROR(
VLOOKUP(
TRIM(CLEAN(
INDEX(REPORTE_DROPI!K:K,
MATCH(T1026, REPORTE_DROPI!B:B, 0)
))),
{
TRIM(CLEAN(MAPA_ESTADOS!A:A)) ,
MAPA_ESTADOS!B:B
},
2,
FALSE
),
"REVISAR"
)
</f>
        <v>CANCELADO</v>
      </c>
      <c r="P1026" s="118" t="s">
        <v>4425</v>
      </c>
      <c r="Q1026" s="122">
        <f t="shared" si="2"/>
        <v>0</v>
      </c>
      <c r="R1026" s="118"/>
      <c r="S1026" s="118"/>
      <c r="T1026" s="118">
        <f t="array" ref="T1026">IFERROR(
INDEX(REPORTE_DROPI!B:B,
MATCH(
CLEAN(TRIM(C1026)),
CLEAN(TRIM(REPORTE_DROPI!E:E)),
0
)
),
""
)
</f>
        <v>4339929</v>
      </c>
      <c r="U1026" s="118">
        <v>6.464693141548E12</v>
      </c>
      <c r="V1026" s="78"/>
      <c r="W1026" s="78"/>
      <c r="X1026" s="78"/>
      <c r="Y1026" s="78"/>
      <c r="Z1026" s="78"/>
    </row>
    <row r="1027" ht="22.5" customHeight="1">
      <c r="A1027" s="118" t="s">
        <v>5675</v>
      </c>
      <c r="B1027" s="119">
        <v>46053.0</v>
      </c>
      <c r="C1027" s="126" t="s">
        <v>5796</v>
      </c>
      <c r="D1027" s="118" t="str">
        <f>IFERROR(__xludf.DUMMYFUNCTION("IFERROR(
  INDEX(
    FILTER(
      'NOMBRE DE PRODUCTOS'!B:B,
      REGEXMATCH(
        UPPER(
          INDEX(
            REPORTE_DROPI!AC:AC,
            MATCH(T1027, REPORTE_DROPI!B:B, 0)
          )
        ),
        UPPER('NOMBRE DE PRODUCTOS'!A:A"&amp;")
      )
    ),
    1
  ),
  ""REVISAR""
)
"),"Cuchillo Tazaki™")</f>
        <v>Cuchillo Tazaki™</v>
      </c>
      <c r="E1027" s="120">
        <f t="array" ref="E1027">IF(
UPPER(TRIM(CLEAN($O1027)))="ENTREGADO",
IFERROR(
INDEX(REPORTE_DROPI!Y:Y,
MATCH($T1027, REPORTE_DROPI!B:B, 0)
),
""
),
""
)
</f>
        <v>5.2</v>
      </c>
      <c r="F1027" s="121">
        <v>2.0</v>
      </c>
      <c r="G1027" s="122">
        <f t="array" ref="G1027">IF(
UPPER(TRIM(CLEAN($O1027)))="ENTREGADO",
IFERROR(
INDEX(REPORTE_DROPI!R:R,
MATCH($T1027, REPORTE_DROPI!B:B, 0)
),
""
),
""
)
</f>
        <v>22</v>
      </c>
      <c r="H1027" s="118"/>
      <c r="I1027" s="118" t="s">
        <v>3740</v>
      </c>
      <c r="J1027" s="121">
        <f t="array" ref="J1027">IF(
UPPER(TRIM(CLEAN($O1027)))="ENTREGADO",
IFERROR(
INDEX(REPORTE_DROPI!T:T,
MATCH($T1027, REPORTE_DROPI!B:B, 0)
),
""
),
""
)
</f>
        <v>5.67</v>
      </c>
      <c r="K1027" s="118">
        <f t="array" ref="K1027">IFERROR(
INDEX(REPORTE_DROPI!S:S,
MATCH($T1027, REPORTE_DROPI!B:B, 0)
),
""
)
</f>
        <v>11.13</v>
      </c>
      <c r="L1027" s="118" t="str">
        <f>IF(
  O1027&lt;&gt;"DEVOLUCION",
  "",
  IF(
    T1027="",
    "",
    SUMIF(DEVOLUCION!F:F, T1027, DEVOLUCION!D:D)
  )
)
</f>
        <v/>
      </c>
      <c r="M1027" s="118"/>
      <c r="N1027" s="130" t="s">
        <v>5797</v>
      </c>
      <c r="O1027" s="118" t="str">
        <f t="array" ref="O1027">IFERROR(
VLOOKUP(
TRIM(CLEAN(
INDEX(REPORTE_DROPI!K:K,
MATCH(T1027, REPORTE_DROPI!B:B, 0)
))),
{
TRIM(CLEAN(MAPA_ESTADOS!A:A)) ,
MAPA_ESTADOS!B:B
},
2,
FALSE
),
"REVISAR"
)
</f>
        <v>ENTREGADO</v>
      </c>
      <c r="P1027" s="118" t="s">
        <v>3655</v>
      </c>
      <c r="Q1027" s="122">
        <f t="shared" si="2"/>
        <v>0</v>
      </c>
      <c r="R1027" s="118"/>
      <c r="S1027" s="118"/>
      <c r="T1027" s="118">
        <f t="array" ref="T1027">IFERROR(
INDEX(REPORTE_DROPI!B:B,
MATCH(
CLEAN(TRIM(C1027)),
CLEAN(TRIM(REPORTE_DROPI!E:E)),
0
)
),
""
)
</f>
        <v>4340118</v>
      </c>
      <c r="U1027" s="118">
        <v>6.46471915934E12</v>
      </c>
      <c r="V1027" s="78"/>
      <c r="W1027" s="78"/>
      <c r="X1027" s="78"/>
      <c r="Y1027" s="78"/>
      <c r="Z1027" s="78"/>
    </row>
    <row r="1028" ht="22.5" customHeight="1">
      <c r="A1028" s="118" t="s">
        <v>5675</v>
      </c>
      <c r="B1028" s="119">
        <v>46053.0</v>
      </c>
      <c r="C1028" s="126" t="s">
        <v>5798</v>
      </c>
      <c r="D1028" s="118" t="str">
        <f>IFERROR(__xludf.DUMMYFUNCTION("IFERROR(
  INDEX(
    FILTER(
      'NOMBRE DE PRODUCTOS'!B:B,
      REGEXMATCH(
        UPPER(
          INDEX(
            REPORTE_DROPI!AC:AC,
            MATCH(T1028, REPORTE_DROPI!B:B, 0)
          )
        ),
        UPPER('NOMBRE DE PRODUCTOS'!A:A"&amp;")
      )
    ),
    1
  ),
  ""REVISAR""
)
"),"FilmPro®")</f>
        <v>FilmPro®</v>
      </c>
      <c r="E1028" s="120" t="str">
        <f t="array" ref="E1028">IF(
UPPER(TRIM(CLEAN($O1028)))="ENTREGADO",
IFERROR(
INDEX(REPORTE_DROPI!Y:Y,
MATCH($T1028, REPORTE_DROPI!B:B, 0)
),
""
),
""
)
</f>
        <v/>
      </c>
      <c r="F1028" s="121">
        <v>2.0</v>
      </c>
      <c r="G1028" s="122" t="str">
        <f t="array" ref="G1028">IF(
UPPER(TRIM(CLEAN($O1028)))="ENTREGADO",
IFERROR(
INDEX(REPORTE_DROPI!R:R,
MATCH($T1028, REPORTE_DROPI!B:B, 0)
),
""
),
""
)
</f>
        <v/>
      </c>
      <c r="H1028" s="118"/>
      <c r="I1028" s="118" t="s">
        <v>3740</v>
      </c>
      <c r="J1028" s="121" t="str">
        <f t="array" ref="J1028">IF(
UPPER(TRIM(CLEAN($O1028)))="ENTREGADO",
IFERROR(
INDEX(REPORTE_DROPI!T:T,
MATCH($T1028, REPORTE_DROPI!B:B, 0)
),
""
),
""
)
</f>
        <v/>
      </c>
      <c r="K1028" s="118" t="str">
        <f t="array" ref="K1028">IFERROR(
INDEX(REPORTE_DROPI!S:S,
MATCH($T1028, REPORTE_DROPI!B:B, 0)
),
""
)
</f>
        <v/>
      </c>
      <c r="L1028" s="118" t="str">
        <f>IF(
  O1028&lt;&gt;"DEVOLUCION",
  "",
  IF(
    T1028="",
    "",
    SUMIF(DEVOLUCION!F:F, T1028, DEVOLUCION!D:D)
  )
)
</f>
        <v/>
      </c>
      <c r="M1028" s="118"/>
      <c r="N1028" s="130" t="s">
        <v>5799</v>
      </c>
      <c r="O1028" s="118" t="str">
        <f t="array" ref="O1028">IFERROR(
VLOOKUP(
TRIM(CLEAN(
INDEX(REPORTE_DROPI!K:K,
MATCH(T1028, REPORTE_DROPI!B:B, 0)
))),
{
TRIM(CLEAN(MAPA_ESTADOS!A:A)) ,
MAPA_ESTADOS!B:B
},
2,
FALSE
),
"REVISAR"
)
</f>
        <v>PENDIENTE</v>
      </c>
      <c r="P1028" s="118" t="s">
        <v>3689</v>
      </c>
      <c r="Q1028" s="122">
        <f t="shared" si="2"/>
        <v>0</v>
      </c>
      <c r="R1028" s="118"/>
      <c r="S1028" s="118"/>
      <c r="T1028" s="118">
        <f t="array" ref="T1028">IFERROR(
INDEX(REPORTE_DROPI!B:B,
MATCH(
CLEAN(TRIM(C1028)),
CLEAN(TRIM(REPORTE_DROPI!E:E)),
0
)
),
""
)
</f>
        <v>4365588</v>
      </c>
      <c r="U1028" s="118">
        <v>6.464757694508E12</v>
      </c>
      <c r="V1028" s="78"/>
      <c r="W1028" s="78"/>
      <c r="X1028" s="78"/>
      <c r="Y1028" s="78"/>
      <c r="Z1028" s="78"/>
    </row>
    <row r="1029" ht="22.5" customHeight="1">
      <c r="A1029" s="118" t="s">
        <v>5675</v>
      </c>
      <c r="B1029" s="119">
        <v>46053.0</v>
      </c>
      <c r="C1029" s="126" t="s">
        <v>5800</v>
      </c>
      <c r="D1029" s="118" t="str">
        <f>IFERROR(__xludf.DUMMYFUNCTION("IFERROR(
  INDEX(
    FILTER(
      'NOMBRE DE PRODUCTOS'!B:B,
      REGEXMATCH(
        UPPER(
          INDEX(
            REPORTE_DROPI!AC:AC,
            MATCH(T1029, REPORTE_DROPI!B:B, 0)
          )
        ),
        UPPER('NOMBRE DE PRODUCTOS'!A:A"&amp;")
      )
    ),
    1
  ),
  ""REVISAR""
)
"),"FilmPro®")</f>
        <v>FilmPro®</v>
      </c>
      <c r="E1029" s="120">
        <f t="array" ref="E1029">IF(
UPPER(TRIM(CLEAN($O1029)))="ENTREGADO",
IFERROR(
INDEX(REPORTE_DROPI!Y:Y,
MATCH($T1029, REPORTE_DROPI!B:B, 0)
),
""
),
""
)
</f>
        <v>4.7</v>
      </c>
      <c r="F1029" s="121">
        <v>2.0</v>
      </c>
      <c r="G1029" s="122">
        <f t="array" ref="G1029">IF(
UPPER(TRIM(CLEAN($O1029)))="ENTREGADO",
IFERROR(
INDEX(REPORTE_DROPI!R:R,
MATCH($T1029, REPORTE_DROPI!B:B, 0)
),
""
),
""
)
</f>
        <v>25</v>
      </c>
      <c r="H1029" s="118"/>
      <c r="I1029" s="118" t="s">
        <v>3742</v>
      </c>
      <c r="J1029" s="121">
        <f t="array" ref="J1029">IF(
UPPER(TRIM(CLEAN($O1029)))="ENTREGADO",
IFERROR(
INDEX(REPORTE_DROPI!T:T,
MATCH($T1029, REPORTE_DROPI!B:B, 0)
),
""
),
""
)
</f>
        <v>5.96</v>
      </c>
      <c r="K1029" s="118">
        <f t="array" ref="K1029">IFERROR(
INDEX(REPORTE_DROPI!S:S,
MATCH($T1029, REPORTE_DROPI!B:B, 0)
),
""
)
</f>
        <v>14.34</v>
      </c>
      <c r="L1029" s="118" t="str">
        <f>IF(
  O1029&lt;&gt;"DEVOLUCION",
  "",
  IF(
    T1029="",
    "",
    SUMIF(DEVOLUCION!F:F, T1029, DEVOLUCION!D:D)
  )
)
</f>
        <v/>
      </c>
      <c r="M1029" s="118"/>
      <c r="N1029" s="130" t="s">
        <v>5801</v>
      </c>
      <c r="O1029" s="118" t="str">
        <f t="array" ref="O1029">IFERROR(
VLOOKUP(
TRIM(CLEAN(
INDEX(REPORTE_DROPI!K:K,
MATCH(T1029, REPORTE_DROPI!B:B, 0)
))),
{
TRIM(CLEAN(MAPA_ESTADOS!A:A)) ,
MAPA_ESTADOS!B:B
},
2,
FALSE
),
"REVISAR"
)
</f>
        <v>ENTREGADO</v>
      </c>
      <c r="P1029" s="118" t="s">
        <v>5692</v>
      </c>
      <c r="Q1029" s="122">
        <f t="shared" si="2"/>
        <v>0</v>
      </c>
      <c r="R1029" s="118"/>
      <c r="S1029" s="118"/>
      <c r="T1029" s="118">
        <f t="array" ref="T1029">IFERROR(
INDEX(REPORTE_DROPI!B:B,
MATCH(
CLEAN(TRIM(C1029)),
CLEAN(TRIM(REPORTE_DROPI!E:E)),
0
)
),
""
)
</f>
        <v>4340752</v>
      </c>
      <c r="U1029" s="118">
        <v>6.464811008044E12</v>
      </c>
      <c r="V1029" s="78"/>
      <c r="W1029" s="78"/>
      <c r="X1029" s="78"/>
      <c r="Y1029" s="78"/>
      <c r="Z1029" s="78"/>
    </row>
    <row r="1030" ht="22.5" customHeight="1">
      <c r="A1030" s="118" t="s">
        <v>5675</v>
      </c>
      <c r="B1030" s="119">
        <v>46053.0</v>
      </c>
      <c r="C1030" s="126" t="s">
        <v>5802</v>
      </c>
      <c r="D1030" s="118" t="str">
        <f>IFERROR(__xludf.DUMMYFUNCTION("IFERROR(
  INDEX(
    FILTER(
      'NOMBRE DE PRODUCTOS'!B:B,
      REGEXMATCH(
        UPPER(
          INDEX(
            REPORTE_DROPI!AC:AC,
            MATCH(T1030, REPORTE_DROPI!B:B, 0)
          )
        ),
        UPPER('NOMBRE DE PRODUCTOS'!A:A"&amp;")
      )
    ),
    1
  ),
  ""REVISAR""
)
"),"Cuchillo Tazaki™")</f>
        <v>Cuchillo Tazaki™</v>
      </c>
      <c r="E1030" s="120">
        <f t="array" ref="E1030">IF(
UPPER(TRIM(CLEAN($O1030)))="ENTREGADO",
IFERROR(
INDEX(REPORTE_DROPI!Y:Y,
MATCH($T1030, REPORTE_DROPI!B:B, 0)
),
""
),
""
)
</f>
        <v>5.2</v>
      </c>
      <c r="F1030" s="121">
        <v>2.0</v>
      </c>
      <c r="G1030" s="122">
        <f t="array" ref="G1030">IF(
UPPER(TRIM(CLEAN($O1030)))="ENTREGADO",
IFERROR(
INDEX(REPORTE_DROPI!R:R,
MATCH($T1030, REPORTE_DROPI!B:B, 0)
),
""
),
""
)
</f>
        <v>22</v>
      </c>
      <c r="H1030" s="118"/>
      <c r="I1030" s="118" t="s">
        <v>3784</v>
      </c>
      <c r="J1030" s="121">
        <f t="array" ref="J1030">IF(
UPPER(TRIM(CLEAN($O1030)))="ENTREGADO",
IFERROR(
INDEX(REPORTE_DROPI!T:T,
MATCH($T1030, REPORTE_DROPI!B:B, 0)
),
""
),
""
)
</f>
        <v>6.41</v>
      </c>
      <c r="K1030" s="118">
        <f t="array" ref="K1030">IFERROR(
INDEX(REPORTE_DROPI!S:S,
MATCH($T1030, REPORTE_DROPI!B:B, 0)
),
""
)
</f>
        <v>10.39</v>
      </c>
      <c r="L1030" s="118" t="str">
        <f>IF(
  O1030&lt;&gt;"DEVOLUCION",
  "",
  IF(
    T1030="",
    "",
    SUMIF(DEVOLUCION!F:F, T1030, DEVOLUCION!D:D)
  )
)
</f>
        <v/>
      </c>
      <c r="M1030" s="118"/>
      <c r="N1030" s="130" t="s">
        <v>5803</v>
      </c>
      <c r="O1030" s="118" t="str">
        <f t="array" ref="O1030">IFERROR(
VLOOKUP(
TRIM(CLEAN(
INDEX(REPORTE_DROPI!K:K,
MATCH(T1030, REPORTE_DROPI!B:B, 0)
))),
{
TRIM(CLEAN(MAPA_ESTADOS!A:A)) ,
MAPA_ESTADOS!B:B
},
2,
FALSE
),
"REVISAR"
)
</f>
        <v>ENTREGADO</v>
      </c>
      <c r="P1030" s="118" t="s">
        <v>5692</v>
      </c>
      <c r="Q1030" s="122">
        <f t="shared" si="2"/>
        <v>0</v>
      </c>
      <c r="R1030" s="118"/>
      <c r="S1030" s="118"/>
      <c r="T1030" s="118">
        <f t="array" ref="T1030">IFERROR(
INDEX(REPORTE_DROPI!B:B,
MATCH(
CLEAN(TRIM(C1030)),
CLEAN(TRIM(REPORTE_DROPI!E:E)),
0
)
),
""
)
</f>
        <v>4341268</v>
      </c>
      <c r="U1030" s="118">
        <v>6.464906788908E12</v>
      </c>
      <c r="V1030" s="78"/>
      <c r="W1030" s="78"/>
      <c r="X1030" s="78"/>
      <c r="Y1030" s="78"/>
      <c r="Z1030" s="78"/>
    </row>
    <row r="1031" ht="22.5" customHeight="1">
      <c r="A1031" s="118" t="s">
        <v>5675</v>
      </c>
      <c r="B1031" s="119">
        <v>46053.0</v>
      </c>
      <c r="C1031" s="126" t="s">
        <v>5804</v>
      </c>
      <c r="D1031" s="118" t="str">
        <f>IFERROR(__xludf.DUMMYFUNCTION("IFERROR(
  INDEX(
    FILTER(
      'NOMBRE DE PRODUCTOS'!B:B,
      REGEXMATCH(
        UPPER(
          INDEX(
            REPORTE_DROPI!AC:AC,
            MATCH(T1031, REPORTE_DROPI!B:B, 0)
          )
        ),
        UPPER('NOMBRE DE PRODUCTOS'!A:A"&amp;")
      )
    ),
    1
  ),
  ""REVISAR""
)
"),"Cuchillo Tazaki™")</f>
        <v>Cuchillo Tazaki™</v>
      </c>
      <c r="E1031" s="120" t="str">
        <f t="array" ref="E1031">IF(
UPPER(TRIM(CLEAN($O1031)))="ENTREGADO",
IFERROR(
INDEX(REPORTE_DROPI!Y:Y,
MATCH($T1031, REPORTE_DROPI!B:B, 0)
),
""
),
""
)
</f>
        <v/>
      </c>
      <c r="F1031" s="121">
        <v>2.0</v>
      </c>
      <c r="G1031" s="122" t="str">
        <f t="array" ref="G1031">IF(
UPPER(TRIM(CLEAN($O1031)))="ENTREGADO",
IFERROR(
INDEX(REPORTE_DROPI!R:R,
MATCH($T1031, REPORTE_DROPI!B:B, 0)
),
""
),
""
)
</f>
        <v/>
      </c>
      <c r="H1031" s="118"/>
      <c r="I1031" s="118" t="s">
        <v>3740</v>
      </c>
      <c r="J1031" s="121" t="str">
        <f t="array" ref="J1031">IF(
UPPER(TRIM(CLEAN($O1031)))="ENTREGADO",
IFERROR(
INDEX(REPORTE_DROPI!T:T,
MATCH($T1031, REPORTE_DROPI!B:B, 0)
),
""
),
""
)
</f>
        <v/>
      </c>
      <c r="K1031" s="118" t="str">
        <f t="array" ref="K1031">IFERROR(
INDEX(REPORTE_DROPI!S:S,
MATCH($T1031, REPORTE_DROPI!B:B, 0)
),
""
)
</f>
        <v/>
      </c>
      <c r="L1031" s="118">
        <f>IF(
  O1031&lt;&gt;"DEVOLUCION",
  "",
  IF(
    T1031="",
    "",
    SUMIF(DEVOLUCION!F:F, T1031, DEVOLUCION!D:D)
  )
)
</f>
        <v>3.46</v>
      </c>
      <c r="M1031" s="118"/>
      <c r="N1031" s="130" t="s">
        <v>5805</v>
      </c>
      <c r="O1031" s="118" t="str">
        <f t="array" ref="O1031">IFERROR(
VLOOKUP(
TRIM(CLEAN(
INDEX(REPORTE_DROPI!K:K,
MATCH(T1031, REPORTE_DROPI!B:B, 0)
))),
{
TRIM(CLEAN(MAPA_ESTADOS!A:A)) ,
MAPA_ESTADOS!B:B
},
2,
FALSE
),
"REVISAR"
)
</f>
        <v>DEVOLUCION</v>
      </c>
      <c r="P1031" s="118" t="s">
        <v>3655</v>
      </c>
      <c r="Q1031" s="122">
        <f t="shared" si="2"/>
        <v>0</v>
      </c>
      <c r="R1031" s="118"/>
      <c r="S1031" s="118"/>
      <c r="T1031" s="118">
        <f t="array" ref="T1031">IFERROR(
INDEX(REPORTE_DROPI!B:B,
MATCH(
CLEAN(TRIM(C1031)),
CLEAN(TRIM(REPORTE_DROPI!E:E)),
0
)
),
""
)
</f>
        <v>4341361</v>
      </c>
      <c r="U1031" s="118">
        <v>6.464923926572E12</v>
      </c>
      <c r="V1031" s="78"/>
      <c r="W1031" s="78"/>
      <c r="X1031" s="78"/>
      <c r="Y1031" s="78"/>
      <c r="Z1031" s="78"/>
    </row>
    <row r="1032" ht="22.5" customHeight="1">
      <c r="A1032" s="118" t="s">
        <v>5675</v>
      </c>
      <c r="B1032" s="119">
        <v>46053.0</v>
      </c>
      <c r="C1032" s="126" t="s">
        <v>5806</v>
      </c>
      <c r="D1032" s="118" t="str">
        <f>IFERROR(__xludf.DUMMYFUNCTION("IFERROR(
  INDEX(
    FILTER(
      'NOMBRE DE PRODUCTOS'!B:B,
      REGEXMATCH(
        UPPER(
          INDEX(
            REPORTE_DROPI!AC:AC,
            MATCH(T1032, REPORTE_DROPI!B:B, 0)
          )
        ),
        UPPER('NOMBRE DE PRODUCTOS'!A:A"&amp;")
      )
    ),
    1
  ),
  ""REVISAR""
)
"),"FilmPro®")</f>
        <v>FilmPro®</v>
      </c>
      <c r="E1032" s="120" t="str">
        <f t="array" ref="E1032">IF(
UPPER(TRIM(CLEAN($O1032)))="ENTREGADO",
IFERROR(
INDEX(REPORTE_DROPI!Y:Y,
MATCH($T1032, REPORTE_DROPI!B:B, 0)
),
""
),
""
)
</f>
        <v/>
      </c>
      <c r="F1032" s="121">
        <v>2.0</v>
      </c>
      <c r="G1032" s="122" t="str">
        <f t="array" ref="G1032">IF(
UPPER(TRIM(CLEAN($O1032)))="ENTREGADO",
IFERROR(
INDEX(REPORTE_DROPI!R:R,
MATCH($T1032, REPORTE_DROPI!B:B, 0)
),
""
),
""
)
</f>
        <v/>
      </c>
      <c r="H1032" s="118"/>
      <c r="I1032" s="118" t="s">
        <v>3772</v>
      </c>
      <c r="J1032" s="121" t="str">
        <f t="array" ref="J1032">IF(
UPPER(TRIM(CLEAN($O1032)))="ENTREGADO",
IFERROR(
INDEX(REPORTE_DROPI!T:T,
MATCH($T1032, REPORTE_DROPI!B:B, 0)
),
""
),
""
)
</f>
        <v/>
      </c>
      <c r="K1032" s="118" t="str">
        <f t="array" ref="K1032">IFERROR(
INDEX(REPORTE_DROPI!S:S,
MATCH($T1032, REPORTE_DROPI!B:B, 0)
),
""
)
</f>
        <v/>
      </c>
      <c r="L1032" s="118">
        <f>IF(
  O1032&lt;&gt;"DEVOLUCION",
  "",
  IF(
    T1032="",
    "",
    SUMIF(DEVOLUCION!F:F, T1032, DEVOLUCION!D:D)
  )
)
</f>
        <v>0</v>
      </c>
      <c r="M1032" s="118"/>
      <c r="N1032" s="130" t="s">
        <v>5807</v>
      </c>
      <c r="O1032" s="118" t="str">
        <f t="array" ref="O1032">IFERROR(
VLOOKUP(
TRIM(CLEAN(
INDEX(REPORTE_DROPI!K:K,
MATCH(T1032, REPORTE_DROPI!B:B, 0)
))),
{
TRIM(CLEAN(MAPA_ESTADOS!A:A)) ,
MAPA_ESTADOS!B:B
},
2,
FALSE
),
"REVISAR"
)
</f>
        <v>DEVOLUCION</v>
      </c>
      <c r="P1032" s="118" t="s">
        <v>3655</v>
      </c>
      <c r="Q1032" s="122">
        <f t="shared" si="2"/>
        <v>0</v>
      </c>
      <c r="R1032" s="118"/>
      <c r="S1032" s="118"/>
      <c r="T1032" s="118">
        <f t="array" ref="T1032">IFERROR(
INDEX(REPORTE_DROPI!B:B,
MATCH(
CLEAN(TRIM(C1032)),
CLEAN(TRIM(REPORTE_DROPI!E:E)),
0
)
),
""
)
</f>
        <v>4341442</v>
      </c>
      <c r="U1032" s="118">
        <v>6.464936378412E12</v>
      </c>
      <c r="V1032" s="78"/>
      <c r="W1032" s="78"/>
      <c r="X1032" s="78"/>
      <c r="Y1032" s="78"/>
      <c r="Z1032" s="78"/>
    </row>
    <row r="1033" ht="22.5" customHeight="1">
      <c r="A1033" s="118" t="s">
        <v>5675</v>
      </c>
      <c r="B1033" s="119">
        <v>46053.0</v>
      </c>
      <c r="C1033" s="126" t="s">
        <v>5808</v>
      </c>
      <c r="D1033" s="118" t="str">
        <f>IFERROR(__xludf.DUMMYFUNCTION("IFERROR(
  INDEX(
    FILTER(
      'NOMBRE DE PRODUCTOS'!B:B,
      REGEXMATCH(
        UPPER(
          INDEX(
            REPORTE_DROPI!AC:AC,
            MATCH(T1033, REPORTE_DROPI!B:B, 0)
          )
        ),
        UPPER('NOMBRE DE PRODUCTOS'!A:A"&amp;")
      )
    ),
    1
  ),
  ""REVISAR""
)
"),"Cuchillo Tazaki™")</f>
        <v>Cuchillo Tazaki™</v>
      </c>
      <c r="E1033" s="120">
        <f t="array" ref="E1033">IF(
UPPER(TRIM(CLEAN($O1033)))="ENTREGADO",
IFERROR(
INDEX(REPORTE_DROPI!Y:Y,
MATCH($T1033, REPORTE_DROPI!B:B, 0)
),
""
),
""
)
</f>
        <v>5.2</v>
      </c>
      <c r="F1033" s="121">
        <v>2.0</v>
      </c>
      <c r="G1033" s="122">
        <f t="array" ref="G1033">IF(
UPPER(TRIM(CLEAN($O1033)))="ENTREGADO",
IFERROR(
INDEX(REPORTE_DROPI!R:R,
MATCH($T1033, REPORTE_DROPI!B:B, 0)
),
""
),
""
)
</f>
        <v>22</v>
      </c>
      <c r="H1033" s="118"/>
      <c r="I1033" s="118" t="s">
        <v>3912</v>
      </c>
      <c r="J1033" s="121">
        <f t="array" ref="J1033">IF(
UPPER(TRIM(CLEAN($O1033)))="ENTREGADO",
IFERROR(
INDEX(REPORTE_DROPI!T:T,
MATCH($T1033, REPORTE_DROPI!B:B, 0)
),
""
),
""
)
</f>
        <v>5.84</v>
      </c>
      <c r="K1033" s="118">
        <f t="array" ref="K1033">IFERROR(
INDEX(REPORTE_DROPI!S:S,
MATCH($T1033, REPORTE_DROPI!B:B, 0)
),
""
)
</f>
        <v>10.96</v>
      </c>
      <c r="L1033" s="118" t="str">
        <f>IF(
  O1033&lt;&gt;"DEVOLUCION",
  "",
  IF(
    T1033="",
    "",
    SUMIF(DEVOLUCION!F:F, T1033, DEVOLUCION!D:D)
  )
)
</f>
        <v/>
      </c>
      <c r="M1033" s="118"/>
      <c r="N1033" s="130" t="s">
        <v>5809</v>
      </c>
      <c r="O1033" s="118" t="str">
        <f t="array" ref="O1033">IFERROR(
VLOOKUP(
TRIM(CLEAN(
INDEX(REPORTE_DROPI!K:K,
MATCH(T1033, REPORTE_DROPI!B:B, 0)
))),
{
TRIM(CLEAN(MAPA_ESTADOS!A:A)) ,
MAPA_ESTADOS!B:B
},
2,
FALSE
),
"REVISAR"
)
</f>
        <v>ENTREGADO</v>
      </c>
      <c r="P1033" s="118" t="s">
        <v>5692</v>
      </c>
      <c r="Q1033" s="122">
        <f t="shared" si="2"/>
        <v>0</v>
      </c>
      <c r="R1033" s="118"/>
      <c r="S1033" s="118"/>
      <c r="T1033" s="118">
        <f t="array" ref="T1033">IFERROR(
INDEX(REPORTE_DROPI!B:B,
MATCH(
CLEAN(TRIM(C1033)),
CLEAN(TRIM(REPORTE_DROPI!E:E)),
0
)
),
""
)
</f>
        <v>4341747</v>
      </c>
      <c r="U1033" s="118">
        <v>6.465014104108E12</v>
      </c>
      <c r="V1033" s="78"/>
      <c r="W1033" s="78"/>
      <c r="X1033" s="78"/>
      <c r="Y1033" s="78"/>
      <c r="Z1033" s="78"/>
    </row>
    <row r="1034" ht="22.5" customHeight="1">
      <c r="A1034" s="118" t="s">
        <v>5675</v>
      </c>
      <c r="B1034" s="119">
        <v>46053.0</v>
      </c>
      <c r="C1034" s="126" t="s">
        <v>5810</v>
      </c>
      <c r="D1034" s="118" t="str">
        <f>IFERROR(__xludf.DUMMYFUNCTION("IFERROR(
  INDEX(
    FILTER(
      'NOMBRE DE PRODUCTOS'!B:B,
      REGEXMATCH(
        UPPER(
          INDEX(
            REPORTE_DROPI!AC:AC,
            MATCH(T1034, REPORTE_DROPI!B:B, 0)
          )
        ),
        UPPER('NOMBRE DE PRODUCTOS'!A:A"&amp;")
      )
    ),
    1
  ),
  ""REVISAR""
)
"),"Cuchillo Tazaki™")</f>
        <v>Cuchillo Tazaki™</v>
      </c>
      <c r="E1034" s="120" t="str">
        <f t="array" ref="E1034">IF(
UPPER(TRIM(CLEAN($O1034)))="ENTREGADO",
IFERROR(
INDEX(REPORTE_DROPI!Y:Y,
MATCH($T1034, REPORTE_DROPI!B:B, 0)
),
""
),
""
)
</f>
        <v/>
      </c>
      <c r="F1034" s="121">
        <v>3.0</v>
      </c>
      <c r="G1034" s="122" t="str">
        <f t="array" ref="G1034">IF(
UPPER(TRIM(CLEAN($O1034)))="ENTREGADO",
IFERROR(
INDEX(REPORTE_DROPI!R:R,
MATCH($T1034, REPORTE_DROPI!B:B, 0)
),
""
),
""
)
</f>
        <v/>
      </c>
      <c r="H1034" s="118"/>
      <c r="I1034" s="118" t="s">
        <v>3735</v>
      </c>
      <c r="J1034" s="121" t="str">
        <f t="array" ref="J1034">IF(
UPPER(TRIM(CLEAN($O1034)))="ENTREGADO",
IFERROR(
INDEX(REPORTE_DROPI!T:T,
MATCH($T1034, REPORTE_DROPI!B:B, 0)
),
""
),
""
)
</f>
        <v/>
      </c>
      <c r="K1034" s="118" t="str">
        <f t="array" ref="K1034">IFERROR(
INDEX(REPORTE_DROPI!S:S,
MATCH($T1034, REPORTE_DROPI!B:B, 0)
),
""
)
</f>
        <v/>
      </c>
      <c r="L1034" s="118" t="str">
        <f>IF(
  O1034&lt;&gt;"DEVOLUCION",
  "",
  IF(
    T1034="",
    "",
    SUMIF(DEVOLUCION!F:F, T1034, DEVOLUCION!D:D)
  )
)
</f>
        <v/>
      </c>
      <c r="M1034" s="118"/>
      <c r="N1034" s="130" t="s">
        <v>5811</v>
      </c>
      <c r="O1034" s="118" t="str">
        <f t="array" ref="O1034">IFERROR(
VLOOKUP(
TRIM(CLEAN(
INDEX(REPORTE_DROPI!K:K,
MATCH(T1034, REPORTE_DROPI!B:B, 0)
))),
{
TRIM(CLEAN(MAPA_ESTADOS!A:A)) ,
MAPA_ESTADOS!B:B
},
2,
FALSE
),
"REVISAR"
)
</f>
        <v>PENDIENTE</v>
      </c>
      <c r="P1034" s="118" t="s">
        <v>3689</v>
      </c>
      <c r="Q1034" s="122">
        <f t="shared" si="2"/>
        <v>0</v>
      </c>
      <c r="R1034" s="118"/>
      <c r="S1034" s="118"/>
      <c r="T1034" s="118">
        <f t="array" ref="T1034">IFERROR(
INDEX(REPORTE_DROPI!B:B,
MATCH(
CLEAN(TRIM(C1034)),
CLEAN(TRIM(REPORTE_DROPI!E:E)),
0
)
),
""
)
</f>
        <v>4342028</v>
      </c>
      <c r="U1034" s="118">
        <v>6.465093894188E12</v>
      </c>
      <c r="V1034" s="78"/>
      <c r="W1034" s="78"/>
      <c r="X1034" s="78"/>
      <c r="Y1034" s="78"/>
      <c r="Z1034" s="78"/>
    </row>
    <row r="1035" ht="22.5" customHeight="1">
      <c r="A1035" s="118" t="s">
        <v>5675</v>
      </c>
      <c r="B1035" s="119">
        <v>46053.0</v>
      </c>
      <c r="C1035" s="126" t="s">
        <v>5812</v>
      </c>
      <c r="D1035" s="118" t="str">
        <f>IFERROR(__xludf.DUMMYFUNCTION("IFERROR(
  INDEX(
    FILTER(
      'NOMBRE DE PRODUCTOS'!B:B,
      REGEXMATCH(
        UPPER(
          INDEX(
            REPORTE_DROPI!AC:AC,
            MATCH(T1035, REPORTE_DROPI!B:B, 0)
          )
        ),
        UPPER('NOMBRE DE PRODUCTOS'!A:A"&amp;")
      )
    ),
    1
  ),
  ""REVISAR""
)
"),"Cuchillo Tazaki™")</f>
        <v>Cuchillo Tazaki™</v>
      </c>
      <c r="E1035" s="120" t="str">
        <f t="array" ref="E1035">IF(
UPPER(TRIM(CLEAN($O1035)))="ENTREGADO",
IFERROR(
INDEX(REPORTE_DROPI!Y:Y,
MATCH($T1035, REPORTE_DROPI!B:B, 0)
),
""
),
""
)
</f>
        <v/>
      </c>
      <c r="F1035" s="121">
        <v>2.0</v>
      </c>
      <c r="G1035" s="122" t="str">
        <f t="array" ref="G1035">IF(
UPPER(TRIM(CLEAN($O1035)))="ENTREGADO",
IFERROR(
INDEX(REPORTE_DROPI!R:R,
MATCH($T1035, REPORTE_DROPI!B:B, 0)
),
""
),
""
)
</f>
        <v/>
      </c>
      <c r="H1035" s="118"/>
      <c r="I1035" s="118" t="s">
        <v>3728</v>
      </c>
      <c r="J1035" s="121" t="str">
        <f t="array" ref="J1035">IF(
UPPER(TRIM(CLEAN($O1035)))="ENTREGADO",
IFERROR(
INDEX(REPORTE_DROPI!T:T,
MATCH($T1035, REPORTE_DROPI!B:B, 0)
),
""
),
""
)
</f>
        <v/>
      </c>
      <c r="K1035" s="118" t="str">
        <f t="array" ref="K1035">IFERROR(
INDEX(REPORTE_DROPI!S:S,
MATCH($T1035, REPORTE_DROPI!B:B, 0)
),
""
)
</f>
        <v/>
      </c>
      <c r="L1035" s="118" t="str">
        <f>IF(
  O1035&lt;&gt;"DEVOLUCION",
  "",
  IF(
    T1035="",
    "",
    SUMIF(DEVOLUCION!F:F, T1035, DEVOLUCION!D:D)
  )
)
</f>
        <v/>
      </c>
      <c r="M1035" s="118"/>
      <c r="N1035" s="130" t="s">
        <v>5813</v>
      </c>
      <c r="O1035" s="118" t="str">
        <f t="array" ref="O1035">IFERROR(
VLOOKUP(
TRIM(CLEAN(
INDEX(REPORTE_DROPI!K:K,
MATCH(T1035, REPORTE_DROPI!B:B, 0)
))),
{
TRIM(CLEAN(MAPA_ESTADOS!A:A)) ,
MAPA_ESTADOS!B:B
},
2,
FALSE
),
"REVISAR"
)
</f>
        <v>PENDIENTE</v>
      </c>
      <c r="P1035" s="118" t="s">
        <v>5765</v>
      </c>
      <c r="Q1035" s="122">
        <f t="shared" si="2"/>
        <v>0</v>
      </c>
      <c r="R1035" s="118"/>
      <c r="S1035" s="118"/>
      <c r="T1035" s="118">
        <f t="array" ref="T1035">IFERROR(
INDEX(REPORTE_DROPI!B:B,
MATCH(
CLEAN(TRIM(C1035)),
CLEAN(TRIM(REPORTE_DROPI!E:E)),
0
)
),
""
)
</f>
        <v>4342202</v>
      </c>
      <c r="U1035" s="118">
        <v>6.465141112876E12</v>
      </c>
      <c r="V1035" s="78"/>
      <c r="W1035" s="78"/>
      <c r="X1035" s="78"/>
      <c r="Y1035" s="78"/>
      <c r="Z1035" s="78"/>
    </row>
    <row r="1036" ht="22.5" customHeight="1">
      <c r="A1036" s="118" t="s">
        <v>5675</v>
      </c>
      <c r="B1036" s="119">
        <v>46053.0</v>
      </c>
      <c r="C1036" s="126" t="s">
        <v>5814</v>
      </c>
      <c r="D1036" s="118" t="str">
        <f>IFERROR(__xludf.DUMMYFUNCTION("IFERROR(
  INDEX(
    FILTER(
      'NOMBRE DE PRODUCTOS'!B:B,
      REGEXMATCH(
        UPPER(
          INDEX(
            REPORTE_DROPI!AC:AC,
            MATCH(T1036, REPORTE_DROPI!B:B, 0)
          )
        ),
        UPPER('NOMBRE DE PRODUCTOS'!A:A"&amp;")
      )
    ),
    1
  ),
  ""REVISAR""
)
"),"Cuchillo Tazaki™")</f>
        <v>Cuchillo Tazaki™</v>
      </c>
      <c r="E1036" s="120">
        <f t="array" ref="E1036">IF(
UPPER(TRIM(CLEAN($O1036)))="ENTREGADO",
IFERROR(
INDEX(REPORTE_DROPI!Y:Y,
MATCH($T1036, REPORTE_DROPI!B:B, 0)
),
""
),
""
)
</f>
        <v>5.2</v>
      </c>
      <c r="F1036" s="121">
        <v>2.0</v>
      </c>
      <c r="G1036" s="122">
        <f t="array" ref="G1036">IF(
UPPER(TRIM(CLEAN($O1036)))="ENTREGADO",
IFERROR(
INDEX(REPORTE_DROPI!R:R,
MATCH($T1036, REPORTE_DROPI!B:B, 0)
),
""
),
""
)
</f>
        <v>22</v>
      </c>
      <c r="H1036" s="118"/>
      <c r="I1036" s="118" t="s">
        <v>3809</v>
      </c>
      <c r="J1036" s="121">
        <f t="array" ref="J1036">IF(
UPPER(TRIM(CLEAN($O1036)))="ENTREGADO",
IFERROR(
INDEX(REPORTE_DROPI!T:T,
MATCH($T1036, REPORTE_DROPI!B:B, 0)
),
""
),
""
)
</f>
        <v>5.84</v>
      </c>
      <c r="K1036" s="118">
        <f t="array" ref="K1036">IFERROR(
INDEX(REPORTE_DROPI!S:S,
MATCH($T1036, REPORTE_DROPI!B:B, 0)
),
""
)
</f>
        <v>10.96</v>
      </c>
      <c r="L1036" s="118" t="str">
        <f>IF(
  O1036&lt;&gt;"DEVOLUCION",
  "",
  IF(
    T1036="",
    "",
    SUMIF(DEVOLUCION!F:F, T1036, DEVOLUCION!D:D)
  )
)
</f>
        <v/>
      </c>
      <c r="M1036" s="118"/>
      <c r="N1036" s="130" t="s">
        <v>5815</v>
      </c>
      <c r="O1036" s="118" t="str">
        <f t="array" ref="O1036">IFERROR(
VLOOKUP(
TRIM(CLEAN(
INDEX(REPORTE_DROPI!K:K,
MATCH(T1036, REPORTE_DROPI!B:B, 0)
))),
{
TRIM(CLEAN(MAPA_ESTADOS!A:A)) ,
MAPA_ESTADOS!B:B
},
2,
FALSE
),
"REVISAR"
)
</f>
        <v>ENTREGADO</v>
      </c>
      <c r="P1036" s="118" t="s">
        <v>5816</v>
      </c>
      <c r="Q1036" s="122">
        <f t="shared" si="2"/>
        <v>0</v>
      </c>
      <c r="R1036" s="118"/>
      <c r="S1036" s="118"/>
      <c r="T1036" s="118">
        <f t="array" ref="T1036">IFERROR(
INDEX(REPORTE_DROPI!B:B,
MATCH(
CLEAN(TRIM(C1036)),
CLEAN(TRIM(REPORTE_DROPI!E:E)),
0
)
),
""
)
</f>
        <v>4342606</v>
      </c>
      <c r="U1036" s="118">
        <v>6.46525032862E12</v>
      </c>
      <c r="V1036" s="78"/>
      <c r="W1036" s="78"/>
      <c r="X1036" s="78"/>
      <c r="Y1036" s="78"/>
      <c r="Z1036" s="78"/>
    </row>
    <row r="1037" ht="34.5" customHeight="1">
      <c r="A1037" s="118"/>
      <c r="B1037" s="119">
        <v>46053.0</v>
      </c>
      <c r="C1037" s="137" t="s">
        <v>5817</v>
      </c>
      <c r="D1037" s="118" t="str">
        <f>IFERROR(__xludf.DUMMYFUNCTION("IFERROR(
  INDEX(
    FILTER(
      'NOMBRE DE PRODUCTOS'!B:B,
      REGEXMATCH(
        UPPER(
          INDEX(
            REPORTE_DROPI!AC:AC,
            MATCH(T1037, REPORTE_DROPI!B:B, 0)
          )
        ),
        UPPER('NOMBRE DE PRODUCTOS'!A:A"&amp;")
      )
    ),
    1
  ),
  ""REVISAR""
)
"),"Llave Multifuncional 360™")</f>
        <v>Llave Multifuncional 360™</v>
      </c>
      <c r="E1037" s="120">
        <f t="array" ref="E1037">IF(
UPPER(TRIM(CLEAN($O1037)))="ENTREGADO",
IFERROR(
INDEX(REPORTE_DROPI!Y:Y,
MATCH($T1037, REPORTE_DROPI!B:B, 0)
),
""
),
""
)
</f>
        <v>10</v>
      </c>
      <c r="F1037" s="121">
        <v>2.0</v>
      </c>
      <c r="G1037" s="122">
        <f t="array" ref="G1037">IF(
UPPER(TRIM(CLEAN($O1037)))="ENTREGADO",
IFERROR(
INDEX(REPORTE_DROPI!R:R,
MATCH($T1037, REPORTE_DROPI!B:B, 0)
),
""
),
""
)
</f>
        <v>32</v>
      </c>
      <c r="H1037" s="118"/>
      <c r="I1037" s="118" t="s">
        <v>5818</v>
      </c>
      <c r="J1037" s="121">
        <f t="array" ref="J1037">IF(
UPPER(TRIM(CLEAN($O1037)))="ENTREGADO",
IFERROR(
INDEX(REPORTE_DROPI!T:T,
MATCH($T1037, REPORTE_DROPI!B:B, 0)
),
""
),
""
)
</f>
        <v>4.91</v>
      </c>
      <c r="K1037" s="118">
        <f t="array" ref="K1037">IFERROR(
INDEX(REPORTE_DROPI!S:S,
MATCH($T1037, REPORTE_DROPI!B:B, 0)
),
""
)
</f>
        <v>17.09</v>
      </c>
      <c r="L1037" s="118" t="str">
        <f>IF(
  O1037&lt;&gt;"DEVOLUCION",
  "",
  IF(
    T1037="",
    "",
    SUMIF(DEVOLUCION!F:F, T1037, DEVOLUCION!D:D)
  )
)
</f>
        <v/>
      </c>
      <c r="M1037" s="118"/>
      <c r="N1037" s="130" t="s">
        <v>5819</v>
      </c>
      <c r="O1037" s="118" t="str">
        <f t="array" ref="O1037">IFERROR(
VLOOKUP(
TRIM(CLEAN(
INDEX(REPORTE_DROPI!K:K,
MATCH(T1037, REPORTE_DROPI!B:B, 0)
))),
{
TRIM(CLEAN(MAPA_ESTADOS!A:A)) ,
MAPA_ESTADOS!B:B
},
2,
FALSE
),
"REVISAR"
)
</f>
        <v>ENTREGADO</v>
      </c>
      <c r="P1037" s="118" t="s">
        <v>5820</v>
      </c>
      <c r="Q1037" s="122">
        <f t="shared" si="2"/>
        <v>0</v>
      </c>
      <c r="R1037" s="118"/>
      <c r="S1037" s="118"/>
      <c r="T1037" s="118">
        <v>4367391.0</v>
      </c>
      <c r="U1037" s="118"/>
      <c r="V1037" s="78"/>
      <c r="W1037" s="78"/>
      <c r="X1037" s="78"/>
      <c r="Y1037" s="78"/>
      <c r="Z1037" s="78"/>
    </row>
    <row r="1038" ht="22.5" customHeight="1">
      <c r="A1038" s="118"/>
      <c r="B1038" s="119">
        <v>46053.0</v>
      </c>
      <c r="C1038" s="126" t="s">
        <v>5821</v>
      </c>
      <c r="D1038" s="118" t="str">
        <f>IFERROR(__xludf.DUMMYFUNCTION("IFERROR(
  INDEX(
    FILTER(
      'NOMBRE DE PRODUCTOS'!B:B,
      REGEXMATCH(
        UPPER(
          INDEX(
            REPORTE_DROPI!AC:AC,
            MATCH(T1038, REPORTE_DROPI!B:B, 0)
          )
        ),
        UPPER('NOMBRE DE PRODUCTOS'!A:A"&amp;")
      )
    ),
    1
  ),
  ""REVISAR""
)
"),"REVISAR")</f>
        <v>REVISAR</v>
      </c>
      <c r="E1038" s="120" t="str">
        <f t="array" ref="E1038">IF(
UPPER(TRIM(CLEAN($O1038)))="ENTREGADO",
IFERROR(
INDEX(REPORTE_DROPI!Y:Y,
MATCH($T1038, REPORTE_DROPI!B:B, 0)
),
""
),
""
)
</f>
        <v/>
      </c>
      <c r="F1038" s="121">
        <v>4.0</v>
      </c>
      <c r="G1038" s="122" t="str">
        <f t="array" ref="G1038">IF(
UPPER(TRIM(CLEAN($O1038)))="ENTREGADO",
IFERROR(
INDEX(REPORTE_DROPI!R:R,
MATCH($T1038, REPORTE_DROPI!B:B, 0)
),
""
),
""
)
</f>
        <v/>
      </c>
      <c r="H1038" s="118"/>
      <c r="I1038" s="118" t="s">
        <v>3740</v>
      </c>
      <c r="J1038" s="121" t="str">
        <f t="array" ref="J1038">IF(
UPPER(TRIM(CLEAN($O1038)))="ENTREGADO",
IFERROR(
INDEX(REPORTE_DROPI!T:T,
MATCH($T1038, REPORTE_DROPI!B:B, 0)
),
""
),
""
)
</f>
        <v/>
      </c>
      <c r="K1038" s="118" t="str">
        <f t="array" ref="K1038">IFERROR(
INDEX(REPORTE_DROPI!S:S,
MATCH($T1038, REPORTE_DROPI!B:B, 0)
),
""
)
</f>
        <v/>
      </c>
      <c r="L1038" s="118" t="str">
        <f>IF(
  O1038&lt;&gt;"DEVOLUCION",
  "",
  IF(
    T1038="",
    "",
    SUMIF(DEVOLUCION!F:F, T1038, DEVOLUCION!D:D)
  )
)
</f>
        <v/>
      </c>
      <c r="M1038" s="118"/>
      <c r="N1038" s="130" t="s">
        <v>5822</v>
      </c>
      <c r="O1038" s="118" t="str">
        <f t="array" ref="O1038">IFERROR(
VLOOKUP(
TRIM(CLEAN(
INDEX(REPORTE_DROPI!K:K,
MATCH(T1038, REPORTE_DROPI!B:B, 0)
))),
{
TRIM(CLEAN(MAPA_ESTADOS!A:A)) ,
MAPA_ESTADOS!B:B
},
2,
FALSE
),
"REVISAR"
)
</f>
        <v>REVISAR</v>
      </c>
      <c r="P1038" s="118" t="s">
        <v>5823</v>
      </c>
      <c r="Q1038" s="122">
        <f t="shared" si="2"/>
        <v>0</v>
      </c>
      <c r="R1038" s="118"/>
      <c r="S1038" s="118"/>
      <c r="T1038" s="118" t="str">
        <f t="array" ref="T1038">IFERROR(
INDEX(REPORTE_DROPI!B:B,
MATCH(
CLEAN(TRIM(C1038)),
CLEAN(TRIM(REPORTE_DROPI!E:E)),
0
)
),
""
)
</f>
        <v/>
      </c>
      <c r="U1038" s="118"/>
      <c r="V1038" s="78"/>
      <c r="W1038" s="78"/>
      <c r="X1038" s="78"/>
      <c r="Y1038" s="78"/>
      <c r="Z1038" s="78"/>
    </row>
    <row r="1039" ht="22.5" customHeight="1">
      <c r="A1039" s="118" t="s">
        <v>5675</v>
      </c>
      <c r="B1039" s="119">
        <v>46053.0</v>
      </c>
      <c r="C1039" s="126" t="s">
        <v>5824</v>
      </c>
      <c r="D1039" s="118" t="str">
        <f>IFERROR(__xludf.DUMMYFUNCTION("IFERROR(
  INDEX(
    FILTER(
      'NOMBRE DE PRODUCTOS'!B:B,
      REGEXMATCH(
        UPPER(
          INDEX(
            REPORTE_DROPI!AC:AC,
            MATCH(T1039, REPORTE_DROPI!B:B, 0)
          )
        ),
        UPPER('NOMBRE DE PRODUCTOS'!A:A"&amp;")
      )
    ),
    1
  ),
  ""REVISAR""
)
"),"Cuchillo Tazaki™")</f>
        <v>Cuchillo Tazaki™</v>
      </c>
      <c r="E1039" s="120">
        <f t="array" ref="E1039">IF(
UPPER(TRIM(CLEAN($O1039)))="ENTREGADO",
IFERROR(
INDEX(REPORTE_DROPI!Y:Y,
MATCH($T1039, REPORTE_DROPI!B:B, 0)
),
""
),
""
)
</f>
        <v>5.2</v>
      </c>
      <c r="F1039" s="121">
        <v>2.0</v>
      </c>
      <c r="G1039" s="122">
        <f t="array" ref="G1039">IF(
UPPER(TRIM(CLEAN($O1039)))="ENTREGADO",
IFERROR(
INDEX(REPORTE_DROPI!R:R,
MATCH($T1039, REPORTE_DROPI!B:B, 0)
),
""
),
""
)
</f>
        <v>22</v>
      </c>
      <c r="H1039" s="118"/>
      <c r="I1039" s="118" t="s">
        <v>3855</v>
      </c>
      <c r="J1039" s="121">
        <f t="array" ref="J1039">IF(
UPPER(TRIM(CLEAN($O1039)))="ENTREGADO",
IFERROR(
INDEX(REPORTE_DROPI!T:T,
MATCH($T1039, REPORTE_DROPI!B:B, 0)
),
""
),
""
)
</f>
        <v>7.7</v>
      </c>
      <c r="K1039" s="118">
        <f t="array" ref="K1039">IFERROR(
INDEX(REPORTE_DROPI!S:S,
MATCH($T1039, REPORTE_DROPI!B:B, 0)
),
""
)
</f>
        <v>9.1</v>
      </c>
      <c r="L1039" s="118" t="str">
        <f>IF(
  O1039&lt;&gt;"DEVOLUCION",
  "",
  IF(
    T1039="",
    "",
    SUMIF(DEVOLUCION!F:F, T1039, DEVOLUCION!D:D)
  )
)
</f>
        <v/>
      </c>
      <c r="M1039" s="118"/>
      <c r="N1039" s="130" t="s">
        <v>5825</v>
      </c>
      <c r="O1039" s="118" t="str">
        <f t="array" ref="O1039">IFERROR(
VLOOKUP(
TRIM(CLEAN(
INDEX(REPORTE_DROPI!K:K,
MATCH(T1039, REPORTE_DROPI!B:B, 0)
))),
{
TRIM(CLEAN(MAPA_ESTADOS!A:A)) ,
MAPA_ESTADOS!B:B
},
2,
FALSE
),
"REVISAR"
)
</f>
        <v>ENTREGADO</v>
      </c>
      <c r="P1039" s="118" t="s">
        <v>3655</v>
      </c>
      <c r="Q1039" s="122">
        <f t="shared" si="2"/>
        <v>0</v>
      </c>
      <c r="R1039" s="118"/>
      <c r="S1039" s="118"/>
      <c r="T1039" s="118">
        <f t="array" ref="T1039">IFERROR(
INDEX(REPORTE_DROPI!B:B,
MATCH(
CLEAN(TRIM(C1039)),
CLEAN(TRIM(REPORTE_DROPI!E:E)),
0
)
),
""
)
</f>
        <v>4367065</v>
      </c>
      <c r="U1039" s="118">
        <v>6.465276018732E12</v>
      </c>
      <c r="V1039" s="78"/>
      <c r="W1039" s="78"/>
      <c r="X1039" s="78"/>
      <c r="Y1039" s="78"/>
      <c r="Z1039" s="78"/>
    </row>
    <row r="1040" ht="22.5" customHeight="1">
      <c r="A1040" s="118" t="s">
        <v>5675</v>
      </c>
      <c r="B1040" s="119">
        <v>46053.0</v>
      </c>
      <c r="C1040" s="126" t="s">
        <v>5826</v>
      </c>
      <c r="D1040" s="118" t="str">
        <f>IFERROR(__xludf.DUMMYFUNCTION("IFERROR(
  INDEX(
    FILTER(
      'NOMBRE DE PRODUCTOS'!B:B,
      REGEXMATCH(
        UPPER(
          INDEX(
            REPORTE_DROPI!AC:AC,
            MATCH(T1040, REPORTE_DROPI!B:B, 0)
          )
        ),
        UPPER('NOMBRE DE PRODUCTOS'!A:A"&amp;")
      )
    ),
    1
  ),
  ""REVISAR""
)
"),"FilmPro®")</f>
        <v>FilmPro®</v>
      </c>
      <c r="E1040" s="120" t="str">
        <f t="array" ref="E1040">IF(
UPPER(TRIM(CLEAN($O1040)))="ENTREGADO",
IFERROR(
INDEX(REPORTE_DROPI!Y:Y,
MATCH($T1040, REPORTE_DROPI!B:B, 0)
),
""
),
""
)
</f>
        <v/>
      </c>
      <c r="F1040" s="121">
        <v>2.0</v>
      </c>
      <c r="G1040" s="122" t="str">
        <f t="array" ref="G1040">IF(
UPPER(TRIM(CLEAN($O1040)))="ENTREGADO",
IFERROR(
INDEX(REPORTE_DROPI!R:R,
MATCH($T1040, REPORTE_DROPI!B:B, 0)
),
""
),
""
)
</f>
        <v/>
      </c>
      <c r="H1040" s="118"/>
      <c r="I1040" s="118" t="s">
        <v>3740</v>
      </c>
      <c r="J1040" s="121" t="str">
        <f t="array" ref="J1040">IF(
UPPER(TRIM(CLEAN($O1040)))="ENTREGADO",
IFERROR(
INDEX(REPORTE_DROPI!T:T,
MATCH($T1040, REPORTE_DROPI!B:B, 0)
),
""
),
""
)
</f>
        <v/>
      </c>
      <c r="K1040" s="118" t="str">
        <f t="array" ref="K1040">IFERROR(
INDEX(REPORTE_DROPI!S:S,
MATCH($T1040, REPORTE_DROPI!B:B, 0)
),
""
)
</f>
        <v/>
      </c>
      <c r="L1040" s="118" t="str">
        <f>IF(
  O1040&lt;&gt;"DEVOLUCION",
  "",
  IF(
    T1040="",
    "",
    SUMIF(DEVOLUCION!F:F, T1040, DEVOLUCION!D:D)
  )
)
</f>
        <v/>
      </c>
      <c r="M1040" s="118"/>
      <c r="N1040" s="130" t="s">
        <v>5827</v>
      </c>
      <c r="O1040" s="118" t="str">
        <f t="array" ref="O1040">IFERROR(
VLOOKUP(
TRIM(CLEAN(
INDEX(REPORTE_DROPI!K:K,
MATCH(T1040, REPORTE_DROPI!B:B, 0)
))),
{
TRIM(CLEAN(MAPA_ESTADOS!A:A)) ,
MAPA_ESTADOS!B:B
},
2,
FALSE
),
"REVISAR"
)
</f>
        <v>PENDIENTE</v>
      </c>
      <c r="P1040" s="118" t="s">
        <v>3689</v>
      </c>
      <c r="Q1040" s="122">
        <f t="shared" si="2"/>
        <v>0</v>
      </c>
      <c r="R1040" s="118"/>
      <c r="S1040" s="118"/>
      <c r="T1040" s="118">
        <f t="array" ref="T1040">IFERROR(
INDEX(REPORTE_DROPI!B:B,
MATCH(
CLEAN(TRIM(C1040)),
CLEAN(TRIM(REPORTE_DROPI!E:E)),
0
)
),
""
)
</f>
        <v>4365541</v>
      </c>
      <c r="U1040" s="118">
        <v>6.465370947628E12</v>
      </c>
      <c r="V1040" s="78"/>
      <c r="W1040" s="78"/>
      <c r="X1040" s="78"/>
      <c r="Y1040" s="78"/>
      <c r="Z1040" s="78"/>
    </row>
    <row r="1041" ht="22.5" customHeight="1">
      <c r="A1041" s="118" t="s">
        <v>5675</v>
      </c>
      <c r="B1041" s="119">
        <v>46053.0</v>
      </c>
      <c r="C1041" s="126" t="s">
        <v>5828</v>
      </c>
      <c r="D1041" s="118" t="str">
        <f>IFERROR(__xludf.DUMMYFUNCTION("IFERROR(
  INDEX(
    FILTER(
      'NOMBRE DE PRODUCTOS'!B:B,
      REGEXMATCH(
        UPPER(
          INDEX(
            REPORTE_DROPI!AC:AC,
            MATCH(T1041, REPORTE_DROPI!B:B, 0)
          )
        ),
        UPPER('NOMBRE DE PRODUCTOS'!A:A"&amp;")
      )
    ),
    1
  ),
  ""REVISAR""
)
"),"Cuchillo Tazaki™")</f>
        <v>Cuchillo Tazaki™</v>
      </c>
      <c r="E1041" s="120">
        <f t="array" ref="E1041">IF(
UPPER(TRIM(CLEAN($O1041)))="ENTREGADO",
IFERROR(
INDEX(REPORTE_DROPI!Y:Y,
MATCH($T1041, REPORTE_DROPI!B:B, 0)
),
""
),
""
)
</f>
        <v>5.2</v>
      </c>
      <c r="F1041" s="121">
        <v>2.0</v>
      </c>
      <c r="G1041" s="122">
        <f t="array" ref="G1041">IF(
UPPER(TRIM(CLEAN($O1041)))="ENTREGADO",
IFERROR(
INDEX(REPORTE_DROPI!R:R,
MATCH($T1041, REPORTE_DROPI!B:B, 0)
),
""
),
""
)
</f>
        <v>22</v>
      </c>
      <c r="H1041" s="118"/>
      <c r="I1041" s="118" t="s">
        <v>3728</v>
      </c>
      <c r="J1041" s="121">
        <f t="array" ref="J1041">IF(
UPPER(TRIM(CLEAN($O1041)))="ENTREGADO",
IFERROR(
INDEX(REPORTE_DROPI!T:T,
MATCH($T1041, REPORTE_DROPI!B:B, 0)
),
""
),
""
)
</f>
        <v>5.84</v>
      </c>
      <c r="K1041" s="118">
        <f t="array" ref="K1041">IFERROR(
INDEX(REPORTE_DROPI!S:S,
MATCH($T1041, REPORTE_DROPI!B:B, 0)
),
""
)
</f>
        <v>10.96</v>
      </c>
      <c r="L1041" s="118" t="str">
        <f>IF(
  O1041&lt;&gt;"DEVOLUCION",
  "",
  IF(
    T1041="",
    "",
    SUMIF(DEVOLUCION!F:F, T1041, DEVOLUCION!D:D)
  )
)
</f>
        <v/>
      </c>
      <c r="M1041" s="118"/>
      <c r="N1041" s="130" t="s">
        <v>5829</v>
      </c>
      <c r="O1041" s="118" t="str">
        <f t="array" ref="O1041">IFERROR(
VLOOKUP(
TRIM(CLEAN(
INDEX(REPORTE_DROPI!K:K,
MATCH(T1041, REPORTE_DROPI!B:B, 0)
))),
{
TRIM(CLEAN(MAPA_ESTADOS!A:A)) ,
MAPA_ESTADOS!B:B
},
2,
FALSE
),
"REVISAR"
)
</f>
        <v>ENTREGADO</v>
      </c>
      <c r="P1041" s="118" t="s">
        <v>3655</v>
      </c>
      <c r="Q1041" s="122">
        <f t="shared" si="2"/>
        <v>0</v>
      </c>
      <c r="R1041" s="118"/>
      <c r="S1041" s="118"/>
      <c r="T1041" s="118">
        <f t="array" ref="T1041">IFERROR(
INDEX(REPORTE_DROPI!B:B,
MATCH(
CLEAN(TRIM(C1041)),
CLEAN(TRIM(REPORTE_DROPI!E:E)),
0
)
),
""
)
</f>
        <v>4343002</v>
      </c>
      <c r="U1041" s="118">
        <v>6.46538320286E12</v>
      </c>
      <c r="V1041" s="78"/>
      <c r="W1041" s="78"/>
      <c r="X1041" s="78"/>
      <c r="Y1041" s="78"/>
      <c r="Z1041" s="78"/>
    </row>
    <row r="1042" ht="22.5" customHeight="1">
      <c r="A1042" s="118" t="s">
        <v>5675</v>
      </c>
      <c r="B1042" s="119">
        <v>46053.0</v>
      </c>
      <c r="C1042" s="126" t="s">
        <v>5830</v>
      </c>
      <c r="D1042" s="118" t="str">
        <f>IFERROR(__xludf.DUMMYFUNCTION("IFERROR(
  INDEX(
    FILTER(
      'NOMBRE DE PRODUCTOS'!B:B,
      REGEXMATCH(
        UPPER(
          INDEX(
            REPORTE_DROPI!AC:AC,
            MATCH(T1042, REPORTE_DROPI!B:B, 0)
          )
        ),
        UPPER('NOMBRE DE PRODUCTOS'!A:A"&amp;")
      )
    ),
    1
  ),
  ""REVISAR""
)
"),"Cuchillo Tazaki™")</f>
        <v>Cuchillo Tazaki™</v>
      </c>
      <c r="E1042" s="120" t="str">
        <f t="array" ref="E1042">IF(
UPPER(TRIM(CLEAN($O1042)))="ENTREGADO",
IFERROR(
INDEX(REPORTE_DROPI!Y:Y,
MATCH($T1042, REPORTE_DROPI!B:B, 0)
),
""
),
""
)
</f>
        <v/>
      </c>
      <c r="F1042" s="121">
        <v>2.0</v>
      </c>
      <c r="G1042" s="122" t="str">
        <f t="array" ref="G1042">IF(
UPPER(TRIM(CLEAN($O1042)))="ENTREGADO",
IFERROR(
INDEX(REPORTE_DROPI!R:R,
MATCH($T1042, REPORTE_DROPI!B:B, 0)
),
""
),
""
)
</f>
        <v/>
      </c>
      <c r="H1042" s="118"/>
      <c r="I1042" s="118" t="s">
        <v>3740</v>
      </c>
      <c r="J1042" s="121" t="str">
        <f t="array" ref="J1042">IF(
UPPER(TRIM(CLEAN($O1042)))="ENTREGADO",
IFERROR(
INDEX(REPORTE_DROPI!T:T,
MATCH($T1042, REPORTE_DROPI!B:B, 0)
),
""
),
""
)
</f>
        <v/>
      </c>
      <c r="K1042" s="118" t="str">
        <f t="array" ref="K1042">IFERROR(
INDEX(REPORTE_DROPI!S:S,
MATCH($T1042, REPORTE_DROPI!B:B, 0)
),
""
)
</f>
        <v/>
      </c>
      <c r="L1042" s="118">
        <f>IF(
  O1042&lt;&gt;"DEVOLUCION",
  "",
  IF(
    T1042="",
    "",
    SUMIF(DEVOLUCION!F:F, T1042, DEVOLUCION!D:D)
  )
)
</f>
        <v>3.46</v>
      </c>
      <c r="M1042" s="118"/>
      <c r="N1042" s="130" t="s">
        <v>5831</v>
      </c>
      <c r="O1042" s="118" t="str">
        <f t="array" ref="O1042">IFERROR(
VLOOKUP(
TRIM(CLEAN(
INDEX(REPORTE_DROPI!K:K,
MATCH(T1042, REPORTE_DROPI!B:B, 0)
))),
{
TRIM(CLEAN(MAPA_ESTADOS!A:A)) ,
MAPA_ESTADOS!B:B
},
2,
FALSE
),
"REVISAR"
)
</f>
        <v>DEVOLUCION</v>
      </c>
      <c r="P1042" s="118" t="s">
        <v>3655</v>
      </c>
      <c r="Q1042" s="122">
        <f t="shared" si="2"/>
        <v>0</v>
      </c>
      <c r="R1042" s="118"/>
      <c r="S1042" s="118"/>
      <c r="T1042" s="118">
        <f t="array" ref="T1042">IFERROR(
INDEX(REPORTE_DROPI!B:B,
MATCH(
CLEAN(TRIM(C1042)),
CLEAN(TRIM(REPORTE_DROPI!E:E)),
0
)
),
""
)
</f>
        <v>4343159</v>
      </c>
      <c r="U1042" s="118">
        <v>6.465440677932E12</v>
      </c>
      <c r="V1042" s="78"/>
      <c r="W1042" s="78"/>
      <c r="X1042" s="78"/>
      <c r="Y1042" s="78"/>
      <c r="Z1042" s="78"/>
    </row>
    <row r="1043" ht="22.5" customHeight="1">
      <c r="A1043" s="118" t="s">
        <v>5675</v>
      </c>
      <c r="B1043" s="119">
        <v>46053.0</v>
      </c>
      <c r="C1043" s="126" t="s">
        <v>5832</v>
      </c>
      <c r="D1043" s="118" t="str">
        <f>IFERROR(__xludf.DUMMYFUNCTION("IFERROR(
  INDEX(
    FILTER(
      'NOMBRE DE PRODUCTOS'!B:B,
      REGEXMATCH(
        UPPER(
          INDEX(
            REPORTE_DROPI!AC:AC,
            MATCH(T1043, REPORTE_DROPI!B:B, 0)
          )
        ),
        UPPER('NOMBRE DE PRODUCTOS'!A:A"&amp;")
      )
    ),
    1
  ),
  ""REVISAR""
)
"),"FilmPro®")</f>
        <v>FilmPro®</v>
      </c>
      <c r="E1043" s="120" t="str">
        <f t="array" ref="E1043">IF(
UPPER(TRIM(CLEAN($O1043)))="ENTREGADO",
IFERROR(
INDEX(REPORTE_DROPI!Y:Y,
MATCH($T1043, REPORTE_DROPI!B:B, 0)
),
""
),
""
)
</f>
        <v/>
      </c>
      <c r="F1043" s="121">
        <v>1.0</v>
      </c>
      <c r="G1043" s="122" t="str">
        <f t="array" ref="G1043">IF(
UPPER(TRIM(CLEAN($O1043)))="ENTREGADO",
IFERROR(
INDEX(REPORTE_DROPI!R:R,
MATCH($T1043, REPORTE_DROPI!B:B, 0)
),
""
),
""
)
</f>
        <v/>
      </c>
      <c r="H1043" s="118"/>
      <c r="I1043" s="118" t="s">
        <v>3784</v>
      </c>
      <c r="J1043" s="121" t="str">
        <f t="array" ref="J1043">IF(
UPPER(TRIM(CLEAN($O1043)))="ENTREGADO",
IFERROR(
INDEX(REPORTE_DROPI!T:T,
MATCH($T1043, REPORTE_DROPI!B:B, 0)
),
""
),
""
)
</f>
        <v/>
      </c>
      <c r="K1043" s="118" t="str">
        <f t="array" ref="K1043">IFERROR(
INDEX(REPORTE_DROPI!S:S,
MATCH($T1043, REPORTE_DROPI!B:B, 0)
),
""
)
</f>
        <v/>
      </c>
      <c r="L1043" s="118" t="str">
        <f>IF(
  O1043&lt;&gt;"DEVOLUCION",
  "",
  IF(
    T1043="",
    "",
    SUMIF(DEVOLUCION!F:F, T1043, DEVOLUCION!D:D)
  )
)
</f>
        <v/>
      </c>
      <c r="M1043" s="118"/>
      <c r="N1043" s="130" t="s">
        <v>5833</v>
      </c>
      <c r="O1043" s="118" t="str">
        <f t="array" ref="O1043">IFERROR(
VLOOKUP(
TRIM(CLEAN(
INDEX(REPORTE_DROPI!K:K,
MATCH(T1043, REPORTE_DROPI!B:B, 0)
))),
{
TRIM(CLEAN(MAPA_ESTADOS!A:A)) ,
MAPA_ESTADOS!B:B
},
2,
FALSE
),
"REVISAR"
)
</f>
        <v>PENDIENTE</v>
      </c>
      <c r="P1043" s="118" t="s">
        <v>3689</v>
      </c>
      <c r="Q1043" s="122">
        <f t="shared" si="2"/>
        <v>0</v>
      </c>
      <c r="R1043" s="118"/>
      <c r="S1043" s="118"/>
      <c r="T1043" s="118">
        <f t="array" ref="T1043">IFERROR(
INDEX(REPORTE_DROPI!B:B,
MATCH(
CLEAN(TRIM(C1043)),
CLEAN(TRIM(REPORTE_DROPI!E:E)),
0
)
),
""
)
</f>
        <v>4343413</v>
      </c>
      <c r="U1043" s="118">
        <v>6.465534492716E12</v>
      </c>
      <c r="V1043" s="78"/>
      <c r="W1043" s="78"/>
      <c r="X1043" s="78"/>
      <c r="Y1043" s="78"/>
      <c r="Z1043" s="78"/>
    </row>
    <row r="1044" ht="22.5" customHeight="1">
      <c r="A1044" s="118" t="s">
        <v>5675</v>
      </c>
      <c r="B1044" s="119">
        <v>46053.0</v>
      </c>
      <c r="C1044" s="126" t="s">
        <v>5834</v>
      </c>
      <c r="D1044" s="118" t="str">
        <f>IFERROR(__xludf.DUMMYFUNCTION("IFERROR(
  INDEX(
    FILTER(
      'NOMBRE DE PRODUCTOS'!B:B,
      REGEXMATCH(
        UPPER(
          INDEX(
            REPORTE_DROPI!AC:AC,
            MATCH(T1044, REPORTE_DROPI!B:B, 0)
          )
        ),
        UPPER('NOMBRE DE PRODUCTOS'!A:A"&amp;")
      )
    ),
    1
  ),
  ""REVISAR""
)
"),"Cuchillo Tazaki™")</f>
        <v>Cuchillo Tazaki™</v>
      </c>
      <c r="E1044" s="120">
        <f t="array" ref="E1044">IF(
UPPER(TRIM(CLEAN($O1044)))="ENTREGADO",
IFERROR(
INDEX(REPORTE_DROPI!Y:Y,
MATCH($T1044, REPORTE_DROPI!B:B, 0)
),
""
),
""
)
</f>
        <v>7.8</v>
      </c>
      <c r="F1044" s="121">
        <v>3.0</v>
      </c>
      <c r="G1044" s="122">
        <f t="array" ref="G1044">IF(
UPPER(TRIM(CLEAN($O1044)))="ENTREGADO",
IFERROR(
INDEX(REPORTE_DROPI!R:R,
MATCH($T1044, REPORTE_DROPI!B:B, 0)
),
""
),
""
)
</f>
        <v>27</v>
      </c>
      <c r="H1044" s="118"/>
      <c r="I1044" s="118" t="s">
        <v>3728</v>
      </c>
      <c r="J1044" s="121">
        <f t="array" ref="J1044">IF(
UPPER(TRIM(CLEAN($O1044)))="ENTREGADO",
IFERROR(
INDEX(REPORTE_DROPI!T:T,
MATCH($T1044, REPORTE_DROPI!B:B, 0)
),
""
),
""
)
</f>
        <v>6.03</v>
      </c>
      <c r="K1044" s="118">
        <f t="array" ref="K1044">IFERROR(
INDEX(REPORTE_DROPI!S:S,
MATCH($T1044, REPORTE_DROPI!B:B, 0)
),
""
)
</f>
        <v>13.17</v>
      </c>
      <c r="L1044" s="118" t="str">
        <f>IF(
  O1044&lt;&gt;"DEVOLUCION",
  "",
  IF(
    T1044="",
    "",
    SUMIF(DEVOLUCION!F:F, T1044, DEVOLUCION!D:D)
  )
)
</f>
        <v/>
      </c>
      <c r="M1044" s="118"/>
      <c r="N1044" s="130" t="s">
        <v>5835</v>
      </c>
      <c r="O1044" s="118" t="str">
        <f t="array" ref="O1044">IFERROR(
VLOOKUP(
TRIM(CLEAN(
INDEX(REPORTE_DROPI!K:K,
MATCH(T1044, REPORTE_DROPI!B:B, 0)
))),
{
TRIM(CLEAN(MAPA_ESTADOS!A:A)) ,
MAPA_ESTADOS!B:B
},
2,
FALSE
),
"REVISAR"
)
</f>
        <v>ENTREGADO</v>
      </c>
      <c r="P1044" s="118" t="s">
        <v>5692</v>
      </c>
      <c r="Q1044" s="122">
        <f t="shared" si="2"/>
        <v>0</v>
      </c>
      <c r="R1044" s="118"/>
      <c r="S1044" s="118"/>
      <c r="T1044" s="118">
        <f t="array" ref="T1044">IFERROR(
INDEX(REPORTE_DROPI!B:B,
MATCH(
CLEAN(TRIM(C1044)),
CLEAN(TRIM(REPORTE_DROPI!E:E)),
0
)
),
""
)
</f>
        <v>4343499</v>
      </c>
      <c r="U1044" s="118">
        <v>6.465585446956E12</v>
      </c>
      <c r="V1044" s="78"/>
      <c r="W1044" s="78"/>
      <c r="X1044" s="78"/>
      <c r="Y1044" s="78"/>
      <c r="Z1044" s="78"/>
    </row>
    <row r="1045" ht="22.5" customHeight="1">
      <c r="A1045" s="118" t="s">
        <v>5675</v>
      </c>
      <c r="B1045" s="119">
        <v>46053.0</v>
      </c>
      <c r="C1045" s="126" t="s">
        <v>5836</v>
      </c>
      <c r="D1045" s="118" t="str">
        <f>IFERROR(__xludf.DUMMYFUNCTION("IFERROR(
  INDEX(
    FILTER(
      'NOMBRE DE PRODUCTOS'!B:B,
      REGEXMATCH(
        UPPER(
          INDEX(
            REPORTE_DROPI!AC:AC,
            MATCH(T1045, REPORTE_DROPI!B:B, 0)
          )
        ),
        UPPER('NOMBRE DE PRODUCTOS'!A:A"&amp;")
      )
    ),
    1
  ),
  ""REVISAR""
)
"),"Cuchillo Tazaki™")</f>
        <v>Cuchillo Tazaki™</v>
      </c>
      <c r="E1045" s="120">
        <f t="array" ref="E1045">IF(
UPPER(TRIM(CLEAN($O1045)))="ENTREGADO",
IFERROR(
INDEX(REPORTE_DROPI!Y:Y,
MATCH($T1045, REPORTE_DROPI!B:B, 0)
),
""
),
""
)
</f>
        <v>10.4</v>
      </c>
      <c r="F1045" s="121">
        <v>4.0</v>
      </c>
      <c r="G1045" s="122">
        <f t="array" ref="G1045">IF(
UPPER(TRIM(CLEAN($O1045)))="ENTREGADO",
IFERROR(
INDEX(REPORTE_DROPI!R:R,
MATCH($T1045, REPORTE_DROPI!B:B, 0)
),
""
),
""
)
</f>
        <v>32</v>
      </c>
      <c r="H1045" s="118"/>
      <c r="I1045" s="118" t="s">
        <v>3738</v>
      </c>
      <c r="J1045" s="121">
        <f t="array" ref="J1045">IF(
UPPER(TRIM(CLEAN($O1045)))="ENTREGADO",
IFERROR(
INDEX(REPORTE_DROPI!T:T,
MATCH($T1045, REPORTE_DROPI!B:B, 0)
),
""
),
""
)
</f>
        <v>6.24</v>
      </c>
      <c r="K1045" s="118">
        <f t="array" ref="K1045">IFERROR(
INDEX(REPORTE_DROPI!S:S,
MATCH($T1045, REPORTE_DROPI!B:B, 0)
),
""
)
</f>
        <v>15.36</v>
      </c>
      <c r="L1045" s="118" t="str">
        <f>IF(
  O1045&lt;&gt;"DEVOLUCION",
  "",
  IF(
    T1045="",
    "",
    SUMIF(DEVOLUCION!F:F, T1045, DEVOLUCION!D:D)
  )
)
</f>
        <v/>
      </c>
      <c r="M1045" s="118"/>
      <c r="N1045" s="130" t="s">
        <v>5837</v>
      </c>
      <c r="O1045" s="118" t="str">
        <f t="array" ref="O1045">IFERROR(
VLOOKUP(
TRIM(CLEAN(
INDEX(REPORTE_DROPI!K:K,
MATCH(T1045, REPORTE_DROPI!B:B, 0)
))),
{
TRIM(CLEAN(MAPA_ESTADOS!A:A)) ,
MAPA_ESTADOS!B:B
},
2,
FALSE
),
"REVISAR"
)
</f>
        <v>ENTREGADO</v>
      </c>
      <c r="P1045" s="118" t="s">
        <v>3655</v>
      </c>
      <c r="Q1045" s="122">
        <f t="shared" si="2"/>
        <v>0</v>
      </c>
      <c r="R1045" s="118"/>
      <c r="S1045" s="118"/>
      <c r="T1045" s="118">
        <f t="array" ref="T1045">IFERROR(
INDEX(REPORTE_DROPI!B:B,
MATCH(
CLEAN(TRIM(C1045)),
CLEAN(TRIM(REPORTE_DROPI!E:E)),
0
)
),
""
)
</f>
        <v>4343977</v>
      </c>
      <c r="U1045" s="118">
        <v>6.46578280862E12</v>
      </c>
      <c r="V1045" s="78"/>
      <c r="W1045" s="78"/>
      <c r="X1045" s="78"/>
      <c r="Y1045" s="78"/>
      <c r="Z1045" s="78"/>
    </row>
    <row r="1046" ht="22.5" customHeight="1">
      <c r="A1046" s="118" t="s">
        <v>5675</v>
      </c>
      <c r="B1046" s="119">
        <v>46053.0</v>
      </c>
      <c r="C1046" s="126" t="s">
        <v>5838</v>
      </c>
      <c r="D1046" s="118" t="str">
        <f>IFERROR(__xludf.DUMMYFUNCTION("IFERROR(
  INDEX(
    FILTER(
      'NOMBRE DE PRODUCTOS'!B:B,
      REGEXMATCH(
        UPPER(
          INDEX(
            REPORTE_DROPI!AC:AC,
            MATCH(T1046, REPORTE_DROPI!B:B, 0)
          )
        ),
        UPPER('NOMBRE DE PRODUCTOS'!A:A"&amp;")
      )
    ),
    1
  ),
  ""REVISAR""
)
"),"FilmPro®")</f>
        <v>FilmPro®</v>
      </c>
      <c r="E1046" s="120" t="str">
        <f t="array" ref="E1046">IF(
UPPER(TRIM(CLEAN($O1046)))="ENTREGADO",
IFERROR(
INDEX(REPORTE_DROPI!Y:Y,
MATCH($T1046, REPORTE_DROPI!B:B, 0)
),
""
),
""
)
</f>
        <v/>
      </c>
      <c r="F1046" s="121">
        <v>2.0</v>
      </c>
      <c r="G1046" s="122" t="str">
        <f t="array" ref="G1046">IF(
UPPER(TRIM(CLEAN($O1046)))="ENTREGADO",
IFERROR(
INDEX(REPORTE_DROPI!R:R,
MATCH($T1046, REPORTE_DROPI!B:B, 0)
),
""
),
""
)
</f>
        <v/>
      </c>
      <c r="H1046" s="118"/>
      <c r="I1046" s="118" t="s">
        <v>3864</v>
      </c>
      <c r="J1046" s="121" t="str">
        <f t="array" ref="J1046">IF(
UPPER(TRIM(CLEAN($O1046)))="ENTREGADO",
IFERROR(
INDEX(REPORTE_DROPI!T:T,
MATCH($T1046, REPORTE_DROPI!B:B, 0)
),
""
),
""
)
</f>
        <v/>
      </c>
      <c r="K1046" s="118" t="str">
        <f t="array" ref="K1046">IFERROR(
INDEX(REPORTE_DROPI!S:S,
MATCH($T1046, REPORTE_DROPI!B:B, 0)
),
""
)
</f>
        <v/>
      </c>
      <c r="L1046" s="118" t="str">
        <f>IF(
  O1046&lt;&gt;"DEVOLUCION",
  "",
  IF(
    T1046="",
    "",
    SUMIF(DEVOLUCION!F:F, T1046, DEVOLUCION!D:D)
  )
)
</f>
        <v/>
      </c>
      <c r="M1046" s="118"/>
      <c r="N1046" s="130" t="s">
        <v>5839</v>
      </c>
      <c r="O1046" s="118" t="str">
        <f t="array" ref="O1046">IFERROR(
VLOOKUP(
TRIM(CLEAN(
INDEX(REPORTE_DROPI!K:K,
MATCH(T1046, REPORTE_DROPI!B:B, 0)
))),
{
TRIM(CLEAN(MAPA_ESTADOS!A:A)) ,
MAPA_ESTADOS!B:B
},
2,
FALSE
),
"REVISAR"
)
</f>
        <v>PENDIENTE</v>
      </c>
      <c r="P1046" s="118" t="s">
        <v>5840</v>
      </c>
      <c r="Q1046" s="122">
        <f t="shared" si="2"/>
        <v>0</v>
      </c>
      <c r="R1046" s="118"/>
      <c r="S1046" s="118"/>
      <c r="T1046" s="118">
        <f t="array" ref="T1046">IFERROR(
INDEX(REPORTE_DROPI!B:B,
MATCH(
CLEAN(TRIM(C1046)),
CLEAN(TRIM(REPORTE_DROPI!E:E)),
0
)
),
""
)
</f>
        <v>4344218</v>
      </c>
      <c r="U1046" s="118">
        <v>6.465866137644E12</v>
      </c>
      <c r="V1046" s="78"/>
      <c r="W1046" s="78"/>
      <c r="X1046" s="78"/>
      <c r="Y1046" s="78"/>
      <c r="Z1046" s="78"/>
    </row>
    <row r="1047" ht="22.5" customHeight="1">
      <c r="A1047" s="118" t="s">
        <v>5675</v>
      </c>
      <c r="B1047" s="119">
        <v>46053.0</v>
      </c>
      <c r="C1047" s="126" t="s">
        <v>5841</v>
      </c>
      <c r="D1047" s="118" t="str">
        <f>IFERROR(__xludf.DUMMYFUNCTION("IFERROR(
  INDEX(
    FILTER(
      'NOMBRE DE PRODUCTOS'!B:B,
      REGEXMATCH(
        UPPER(
          INDEX(
            REPORTE_DROPI!AC:AC,
            MATCH(T1047, REPORTE_DROPI!B:B, 0)
          )
        ),
        UPPER('NOMBRE DE PRODUCTOS'!A:A"&amp;")
      )
    ),
    1
  ),
  ""REVISAR""
)
"),"FilmPro®")</f>
        <v>FilmPro®</v>
      </c>
      <c r="E1047" s="120" t="str">
        <f t="array" ref="E1047">IF(
UPPER(TRIM(CLEAN($O1047)))="ENTREGADO",
IFERROR(
INDEX(REPORTE_DROPI!Y:Y,
MATCH($T1047, REPORTE_DROPI!B:B, 0)
),
""
),
""
)
</f>
        <v/>
      </c>
      <c r="F1047" s="121">
        <v>3.0</v>
      </c>
      <c r="G1047" s="122" t="str">
        <f t="array" ref="G1047">IF(
UPPER(TRIM(CLEAN($O1047)))="ENTREGADO",
IFERROR(
INDEX(REPORTE_DROPI!R:R,
MATCH($T1047, REPORTE_DROPI!B:B, 0)
),
""
),
""
)
</f>
        <v/>
      </c>
      <c r="H1047" s="118"/>
      <c r="I1047" s="118" t="s">
        <v>3731</v>
      </c>
      <c r="J1047" s="121" t="str">
        <f t="array" ref="J1047">IF(
UPPER(TRIM(CLEAN($O1047)))="ENTREGADO",
IFERROR(
INDEX(REPORTE_DROPI!T:T,
MATCH($T1047, REPORTE_DROPI!B:B, 0)
),
""
),
""
)
</f>
        <v/>
      </c>
      <c r="K1047" s="118" t="str">
        <f t="array" ref="K1047">IFERROR(
INDEX(REPORTE_DROPI!S:S,
MATCH($T1047, REPORTE_DROPI!B:B, 0)
),
""
)
</f>
        <v/>
      </c>
      <c r="L1047" s="118" t="str">
        <f>IF(
  O1047&lt;&gt;"DEVOLUCION",
  "",
  IF(
    T1047="",
    "",
    SUMIF(DEVOLUCION!F:F, T1047, DEVOLUCION!D:D)
  )
)
</f>
        <v/>
      </c>
      <c r="M1047" s="118"/>
      <c r="N1047" s="130" t="s">
        <v>5842</v>
      </c>
      <c r="O1047" s="118" t="str">
        <f t="array" ref="O1047">IFERROR(
VLOOKUP(
TRIM(CLEAN(
INDEX(REPORTE_DROPI!K:K,
MATCH(T1047, REPORTE_DROPI!B:B, 0)
))),
{
TRIM(CLEAN(MAPA_ESTADOS!A:A)) ,
MAPA_ESTADOS!B:B
},
2,
FALSE
),
"REVISAR"
)
</f>
        <v>PENDIENTE</v>
      </c>
      <c r="P1047" s="118" t="s">
        <v>3689</v>
      </c>
      <c r="Q1047" s="122">
        <f t="shared" si="2"/>
        <v>0</v>
      </c>
      <c r="R1047" s="118"/>
      <c r="S1047" s="118"/>
      <c r="T1047" s="118">
        <f t="array" ref="T1047">IFERROR(
INDEX(REPORTE_DROPI!B:B,
MATCH(
CLEAN(TRIM(C1047)),
CLEAN(TRIM(REPORTE_DROPI!E:E)),
0
)
),
""
)
</f>
        <v>4344632</v>
      </c>
      <c r="U1047" s="118">
        <v>6.466029420588E12</v>
      </c>
      <c r="V1047" s="78"/>
      <c r="W1047" s="78"/>
      <c r="X1047" s="78"/>
      <c r="Y1047" s="78"/>
      <c r="Z1047" s="78"/>
    </row>
    <row r="1048" ht="22.5" customHeight="1">
      <c r="A1048" s="118" t="s">
        <v>5675</v>
      </c>
      <c r="B1048" s="119">
        <v>46053.0</v>
      </c>
      <c r="C1048" s="126" t="s">
        <v>5843</v>
      </c>
      <c r="D1048" s="118" t="str">
        <f>IFERROR(__xludf.DUMMYFUNCTION("IFERROR(
  INDEX(
    FILTER(
      'NOMBRE DE PRODUCTOS'!B:B,
      REGEXMATCH(
        UPPER(
          INDEX(
            REPORTE_DROPI!AC:AC,
            MATCH(T1048, REPORTE_DROPI!B:B, 0)
          )
        ),
        UPPER('NOMBRE DE PRODUCTOS'!A:A"&amp;")
      )
    ),
    1
  ),
  ""REVISAR""
)
"),"FilmPro®")</f>
        <v>FilmPro®</v>
      </c>
      <c r="E1048" s="120">
        <f t="array" ref="E1048">IF(
UPPER(TRIM(CLEAN($O1048)))="ENTREGADO",
IFERROR(
INDEX(REPORTE_DROPI!Y:Y,
MATCH($T1048, REPORTE_DROPI!B:B, 0)
),
""
),
""
)
</f>
        <v>2.35</v>
      </c>
      <c r="F1048" s="121">
        <v>1.0</v>
      </c>
      <c r="G1048" s="122">
        <f t="array" ref="G1048">IF(
UPPER(TRIM(CLEAN($O1048)))="ENTREGADO",
IFERROR(
INDEX(REPORTE_DROPI!R:R,
MATCH($T1048, REPORTE_DROPI!B:B, 0)
),
""
),
""
)
</f>
        <v>20</v>
      </c>
      <c r="H1048" s="118"/>
      <c r="I1048" s="118" t="s">
        <v>3882</v>
      </c>
      <c r="J1048" s="121">
        <f t="array" ref="J1048">IF(
UPPER(TRIM(CLEAN($O1048)))="ENTREGADO",
IFERROR(
INDEX(REPORTE_DROPI!T:T,
MATCH($T1048, REPORTE_DROPI!B:B, 0)
),
""
),
""
)
</f>
        <v>7.67</v>
      </c>
      <c r="K1048" s="118">
        <f t="array" ref="K1048">IFERROR(
INDEX(REPORTE_DROPI!S:S,
MATCH($T1048, REPORTE_DROPI!B:B, 0)
),
""
)
</f>
        <v>9.98</v>
      </c>
      <c r="L1048" s="118" t="str">
        <f>IF(
  O1048&lt;&gt;"DEVOLUCION",
  "",
  IF(
    T1048="",
    "",
    SUMIF(DEVOLUCION!F:F, T1048, DEVOLUCION!D:D)
  )
)
</f>
        <v/>
      </c>
      <c r="M1048" s="118"/>
      <c r="N1048" s="130" t="s">
        <v>5844</v>
      </c>
      <c r="O1048" s="118" t="str">
        <f t="array" ref="O1048">IFERROR(
VLOOKUP(
TRIM(CLEAN(
INDEX(REPORTE_DROPI!K:K,
MATCH(T1048, REPORTE_DROPI!B:B, 0)
))),
{
TRIM(CLEAN(MAPA_ESTADOS!A:A)) ,
MAPA_ESTADOS!B:B
},
2,
FALSE
),
"REVISAR"
)
</f>
        <v>ENTREGADO</v>
      </c>
      <c r="P1048" s="118" t="s">
        <v>5820</v>
      </c>
      <c r="Q1048" s="122">
        <f t="shared" si="2"/>
        <v>0</v>
      </c>
      <c r="R1048" s="118"/>
      <c r="S1048" s="118"/>
      <c r="T1048" s="118">
        <f t="array" ref="T1048">IFERROR(
INDEX(REPORTE_DROPI!B:B,
MATCH(
CLEAN(TRIM(C1048)),
CLEAN(TRIM(REPORTE_DROPI!E:E)),
0
)
),
""
)
</f>
        <v>4344956</v>
      </c>
      <c r="U1048" s="118">
        <v>6.466148139052E12</v>
      </c>
      <c r="V1048" s="78"/>
      <c r="W1048" s="78"/>
      <c r="X1048" s="78"/>
      <c r="Y1048" s="78"/>
      <c r="Z1048" s="78"/>
    </row>
    <row r="1049" ht="22.5" customHeight="1">
      <c r="A1049" s="118"/>
      <c r="B1049" s="119">
        <v>46053.0</v>
      </c>
      <c r="C1049" s="126" t="s">
        <v>5845</v>
      </c>
      <c r="D1049" s="118" t="str">
        <f>IFERROR(__xludf.DUMMYFUNCTION("IFERROR(
  INDEX(
    FILTER(
      'NOMBRE DE PRODUCTOS'!B:B,
      REGEXMATCH(
        UPPER(
          INDEX(
            REPORTE_DROPI!AC:AC,
            MATCH(T1049, REPORTE_DROPI!B:B, 0)
          )
        ),
        UPPER('NOMBRE DE PRODUCTOS'!A:A"&amp;")
      )
    ),
    1
  ),
  ""REVISAR""
)
"),"FilmPro®")</f>
        <v>FilmPro®</v>
      </c>
      <c r="E1049" s="120" t="str">
        <f t="array" ref="E1049">IF(
UPPER(TRIM(CLEAN($O1049)))="ENTREGADO",
IFERROR(
INDEX(REPORTE_DROPI!Y:Y,
MATCH($T1049, REPORTE_DROPI!B:B, 0)
),
""
),
""
)
</f>
        <v/>
      </c>
      <c r="F1049" s="121">
        <v>1.0</v>
      </c>
      <c r="G1049" s="122" t="str">
        <f t="array" ref="G1049">IF(
UPPER(TRIM(CLEAN($O1049)))="ENTREGADO",
IFERROR(
INDEX(REPORTE_DROPI!R:R,
MATCH($T1049, REPORTE_DROPI!B:B, 0)
),
""
),
""
)
</f>
        <v/>
      </c>
      <c r="H1049" s="118"/>
      <c r="I1049" s="118" t="s">
        <v>3778</v>
      </c>
      <c r="J1049" s="121" t="str">
        <f t="array" ref="J1049">IF(
UPPER(TRIM(CLEAN($O1049)))="ENTREGADO",
IFERROR(
INDEX(REPORTE_DROPI!T:T,
MATCH($T1049, REPORTE_DROPI!B:B, 0)
),
""
),
""
)
</f>
        <v/>
      </c>
      <c r="K1049" s="118" t="str">
        <f t="array" ref="K1049">IFERROR(
INDEX(REPORTE_DROPI!S:S,
MATCH($T1049, REPORTE_DROPI!B:B, 0)
),
""
)
</f>
        <v/>
      </c>
      <c r="L1049" s="118">
        <f>IF(
  O1049&lt;&gt;"DEVOLUCION",
  "",
  IF(
    T1049="",
    "",
    SUMIF(DEVOLUCION!F:F, T1049, DEVOLUCION!D:D)
  )
)
</f>
        <v>7.67</v>
      </c>
      <c r="M1049" s="118"/>
      <c r="N1049" s="130" t="s">
        <v>5846</v>
      </c>
      <c r="O1049" s="118" t="str">
        <f t="array" ref="O1049">IFERROR(
VLOOKUP(
TRIM(CLEAN(
INDEX(REPORTE_DROPI!K:K,
MATCH(T1049, REPORTE_DROPI!B:B, 0)
))),
{
TRIM(CLEAN(MAPA_ESTADOS!A:A)) ,
MAPA_ESTADOS!B:B
},
2,
FALSE
),
"REVISAR"
)
</f>
        <v>DEVOLUCION</v>
      </c>
      <c r="P1049" s="118" t="s">
        <v>5847</v>
      </c>
      <c r="Q1049" s="122">
        <f t="shared" si="2"/>
        <v>0</v>
      </c>
      <c r="R1049" s="118"/>
      <c r="S1049" s="118"/>
      <c r="T1049" s="118">
        <v>4366701.0</v>
      </c>
      <c r="U1049" s="118"/>
      <c r="V1049" s="78"/>
      <c r="W1049" s="78"/>
      <c r="X1049" s="78"/>
      <c r="Y1049" s="78"/>
      <c r="Z1049" s="78"/>
    </row>
    <row r="1050" ht="22.5" customHeight="1">
      <c r="A1050" s="118" t="s">
        <v>5675</v>
      </c>
      <c r="B1050" s="119">
        <v>46053.0</v>
      </c>
      <c r="C1050" s="126" t="s">
        <v>5848</v>
      </c>
      <c r="D1050" s="118" t="str">
        <f>IFERROR(__xludf.DUMMYFUNCTION("IFERROR(
  INDEX(
    FILTER(
      'NOMBRE DE PRODUCTOS'!B:B,
      REGEXMATCH(
        UPPER(
          INDEX(
            REPORTE_DROPI!AC:AC,
            MATCH(T1050, REPORTE_DROPI!B:B, 0)
          )
        ),
        UPPER('NOMBRE DE PRODUCTOS'!A:A"&amp;")
      )
    ),
    1
  ),
  ""REVISAR""
)
"),"Cuchillo Tazaki™")</f>
        <v>Cuchillo Tazaki™</v>
      </c>
      <c r="E1050" s="120">
        <f t="array" ref="E1050">IF(
UPPER(TRIM(CLEAN($O1050)))="ENTREGADO",
IFERROR(
INDEX(REPORTE_DROPI!Y:Y,
MATCH($T1050, REPORTE_DROPI!B:B, 0)
),
""
),
""
)
</f>
        <v>5.2</v>
      </c>
      <c r="F1050" s="121">
        <v>2.0</v>
      </c>
      <c r="G1050" s="122">
        <f t="array" ref="G1050">IF(
UPPER(TRIM(CLEAN($O1050)))="ENTREGADO",
IFERROR(
INDEX(REPORTE_DROPI!R:R,
MATCH($T1050, REPORTE_DROPI!B:B, 0)
),
""
),
""
)
</f>
        <v>22</v>
      </c>
      <c r="H1050" s="118"/>
      <c r="I1050" s="118" t="s">
        <v>3740</v>
      </c>
      <c r="J1050" s="121">
        <f t="array" ref="J1050">IF(
UPPER(TRIM(CLEAN($O1050)))="ENTREGADO",
IFERROR(
INDEX(REPORTE_DROPI!T:T,
MATCH($T1050, REPORTE_DROPI!B:B, 0)
),
""
),
""
)
</f>
        <v>4.23</v>
      </c>
      <c r="K1050" s="118">
        <f t="array" ref="K1050">IFERROR(
INDEX(REPORTE_DROPI!S:S,
MATCH($T1050, REPORTE_DROPI!B:B, 0)
),
""
)
</f>
        <v>12.57</v>
      </c>
      <c r="L1050" s="118" t="str">
        <f>IF(
  O1050&lt;&gt;"DEVOLUCION",
  "",
  IF(
    T1050="",
    "",
    SUMIF(DEVOLUCION!F:F, T1050, DEVOLUCION!D:D)
  )
)
</f>
        <v/>
      </c>
      <c r="M1050" s="118"/>
      <c r="N1050" s="130" t="s">
        <v>5849</v>
      </c>
      <c r="O1050" s="118" t="str">
        <f t="array" ref="O1050">IFERROR(
VLOOKUP(
TRIM(CLEAN(
INDEX(REPORTE_DROPI!K:K,
MATCH(T1050, REPORTE_DROPI!B:B, 0)
))),
{
TRIM(CLEAN(MAPA_ESTADOS!A:A)) ,
MAPA_ESTADOS!B:B
},
2,
FALSE
),
"REVISAR"
)
</f>
        <v>ENTREGADO</v>
      </c>
      <c r="P1050" s="118" t="s">
        <v>5692</v>
      </c>
      <c r="Q1050" s="122">
        <f t="shared" si="2"/>
        <v>0</v>
      </c>
      <c r="R1050" s="118"/>
      <c r="S1050" s="118"/>
      <c r="T1050" s="118">
        <f t="array" ref="T1050">IFERROR(
INDEX(REPORTE_DROPI!B:B,
MATCH(
CLEAN(TRIM(C1050)),
CLEAN(TRIM(REPORTE_DROPI!E:E)),
0
)
),
""
)
</f>
        <v>4345698</v>
      </c>
      <c r="U1050" s="118">
        <v>6.466414542892E12</v>
      </c>
      <c r="V1050" s="78"/>
      <c r="W1050" s="78"/>
      <c r="X1050" s="78"/>
      <c r="Y1050" s="78"/>
      <c r="Z1050" s="78"/>
    </row>
    <row r="1051" ht="22.5" customHeight="1">
      <c r="A1051" s="118" t="s">
        <v>5675</v>
      </c>
      <c r="B1051" s="119">
        <v>46053.0</v>
      </c>
      <c r="C1051" s="126" t="s">
        <v>5850</v>
      </c>
      <c r="D1051" s="118" t="str">
        <f>IFERROR(__xludf.DUMMYFUNCTION("IFERROR(
  INDEX(
    FILTER(
      'NOMBRE DE PRODUCTOS'!B:B,
      REGEXMATCH(
        UPPER(
          INDEX(
            REPORTE_DROPI!AC:AC,
            MATCH(T1051, REPORTE_DROPI!B:B, 0)
          )
        ),
        UPPER('NOMBRE DE PRODUCTOS'!A:A"&amp;")
      )
    ),
    1
  ),
  ""REVISAR""
)
"),"FilmPro®")</f>
        <v>FilmPro®</v>
      </c>
      <c r="E1051" s="120" t="str">
        <f t="array" ref="E1051">IF(
UPPER(TRIM(CLEAN($O1051)))="ENTREGADO",
IFERROR(
INDEX(REPORTE_DROPI!Y:Y,
MATCH($T1051, REPORTE_DROPI!B:B, 0)
),
""
),
""
)
</f>
        <v/>
      </c>
      <c r="F1051" s="121">
        <v>3.0</v>
      </c>
      <c r="G1051" s="122" t="str">
        <f t="array" ref="G1051">IF(
UPPER(TRIM(CLEAN($O1051)))="ENTREGADO",
IFERROR(
INDEX(REPORTE_DROPI!R:R,
MATCH($T1051, REPORTE_DROPI!B:B, 0)
),
""
),
""
)
</f>
        <v/>
      </c>
      <c r="H1051" s="118"/>
      <c r="I1051" s="118" t="s">
        <v>3728</v>
      </c>
      <c r="J1051" s="121" t="str">
        <f t="array" ref="J1051">IF(
UPPER(TRIM(CLEAN($O1051)))="ENTREGADO",
IFERROR(
INDEX(REPORTE_DROPI!T:T,
MATCH($T1051, REPORTE_DROPI!B:B, 0)
),
""
),
""
)
</f>
        <v/>
      </c>
      <c r="K1051" s="118" t="str">
        <f t="array" ref="K1051">IFERROR(
INDEX(REPORTE_DROPI!S:S,
MATCH($T1051, REPORTE_DROPI!B:B, 0)
),
""
)
</f>
        <v/>
      </c>
      <c r="L1051" s="118">
        <f>IF(
  O1051&lt;&gt;"DEVOLUCION",
  "",
  IF(
    T1051="",
    "",
    SUMIF(DEVOLUCION!F:F, T1051, DEVOLUCION!D:D)
  )
)
</f>
        <v>5.12</v>
      </c>
      <c r="M1051" s="118"/>
      <c r="N1051" s="130" t="s">
        <v>5851</v>
      </c>
      <c r="O1051" s="118" t="str">
        <f t="array" ref="O1051">IFERROR(
VLOOKUP(
TRIM(CLEAN(
INDEX(REPORTE_DROPI!K:K,
MATCH(T1051, REPORTE_DROPI!B:B, 0)
))),
{
TRIM(CLEAN(MAPA_ESTADOS!A:A)) ,
MAPA_ESTADOS!B:B
},
2,
FALSE
),
"REVISAR"
)
</f>
        <v>DEVOLUCION</v>
      </c>
      <c r="P1051" s="118" t="s">
        <v>5692</v>
      </c>
      <c r="Q1051" s="122">
        <f t="shared" si="2"/>
        <v>0</v>
      </c>
      <c r="R1051" s="118"/>
      <c r="S1051" s="118"/>
      <c r="T1051" s="118">
        <f t="array" ref="T1051">IFERROR(
INDEX(REPORTE_DROPI!B:B,
MATCH(
CLEAN(TRIM(C1051)),
CLEAN(TRIM(REPORTE_DROPI!E:E)),
0
)
),
""
)
</f>
        <v>4345823</v>
      </c>
      <c r="U1051" s="118">
        <v>6.466448228396E12</v>
      </c>
      <c r="V1051" s="78"/>
      <c r="W1051" s="78"/>
      <c r="X1051" s="78"/>
      <c r="Y1051" s="78"/>
      <c r="Z1051" s="78"/>
    </row>
    <row r="1052" ht="22.5" customHeight="1">
      <c r="A1052" s="118" t="s">
        <v>5675</v>
      </c>
      <c r="B1052" s="119">
        <v>46053.0</v>
      </c>
      <c r="C1052" s="126" t="s">
        <v>5852</v>
      </c>
      <c r="D1052" s="118" t="str">
        <f>IFERROR(__xludf.DUMMYFUNCTION("IFERROR(
  INDEX(
    FILTER(
      'NOMBRE DE PRODUCTOS'!B:B,
      REGEXMATCH(
        UPPER(
          INDEX(
            REPORTE_DROPI!AC:AC,
            MATCH(T1052, REPORTE_DROPI!B:B, 0)
          )
        ),
        UPPER('NOMBRE DE PRODUCTOS'!A:A"&amp;")
      )
    ),
    1
  ),
  ""REVISAR""
)
"),"Cuchillo Tazaki™")</f>
        <v>Cuchillo Tazaki™</v>
      </c>
      <c r="E1052" s="120" t="str">
        <f t="array" ref="E1052">IF(
UPPER(TRIM(CLEAN($O1052)))="ENTREGADO",
IFERROR(
INDEX(REPORTE_DROPI!Y:Y,
MATCH($T1052, REPORTE_DROPI!B:B, 0)
),
""
),
""
)
</f>
        <v/>
      </c>
      <c r="F1052" s="121">
        <v>2.0</v>
      </c>
      <c r="G1052" s="122" t="str">
        <f t="array" ref="G1052">IF(
UPPER(TRIM(CLEAN($O1052)))="ENTREGADO",
IFERROR(
INDEX(REPORTE_DROPI!R:R,
MATCH($T1052, REPORTE_DROPI!B:B, 0)
),
""
),
""
)
</f>
        <v/>
      </c>
      <c r="H1052" s="118"/>
      <c r="I1052" s="118" t="s">
        <v>3772</v>
      </c>
      <c r="J1052" s="121" t="str">
        <f t="array" ref="J1052">IF(
UPPER(TRIM(CLEAN($O1052)))="ENTREGADO",
IFERROR(
INDEX(REPORTE_DROPI!T:T,
MATCH($T1052, REPORTE_DROPI!B:B, 0)
),
""
),
""
)
</f>
        <v/>
      </c>
      <c r="K1052" s="118" t="str">
        <f t="array" ref="K1052">IFERROR(
INDEX(REPORTE_DROPI!S:S,
MATCH($T1052, REPORTE_DROPI!B:B, 0)
),
""
)
</f>
        <v/>
      </c>
      <c r="L1052" s="118" t="str">
        <f>IF(
  O1052&lt;&gt;"DEVOLUCION",
  "",
  IF(
    T1052="",
    "",
    SUMIF(DEVOLUCION!F:F, T1052, DEVOLUCION!D:D)
  )
)
</f>
        <v/>
      </c>
      <c r="M1052" s="118"/>
      <c r="N1052" s="130" t="s">
        <v>5853</v>
      </c>
      <c r="O1052" s="118" t="str">
        <f t="array" ref="O1052">IFERROR(
VLOOKUP(
TRIM(CLEAN(
INDEX(REPORTE_DROPI!K:K,
MATCH(T1052, REPORTE_DROPI!B:B, 0)
))),
{
TRIM(CLEAN(MAPA_ESTADOS!A:A)) ,
MAPA_ESTADOS!B:B
},
2,
FALSE
),
"REVISAR"
)
</f>
        <v>CANCELADO</v>
      </c>
      <c r="P1052" s="118" t="s">
        <v>4425</v>
      </c>
      <c r="Q1052" s="122">
        <f t="shared" si="2"/>
        <v>0</v>
      </c>
      <c r="R1052" s="118"/>
      <c r="S1052" s="118"/>
      <c r="T1052" s="118">
        <f t="array" ref="T1052">IFERROR(
INDEX(REPORTE_DROPI!B:B,
MATCH(
CLEAN(TRIM(C1052)),
CLEAN(TRIM(REPORTE_DROPI!E:E)),
0
)
),
""
)
</f>
        <v>4345858</v>
      </c>
      <c r="U1052" s="118">
        <v>6.466457698348E12</v>
      </c>
      <c r="V1052" s="78"/>
      <c r="W1052" s="78"/>
      <c r="X1052" s="78"/>
      <c r="Y1052" s="78"/>
      <c r="Z1052" s="78"/>
    </row>
    <row r="1053" ht="22.5" customHeight="1">
      <c r="A1053" s="118" t="s">
        <v>5675</v>
      </c>
      <c r="B1053" s="119">
        <v>46053.0</v>
      </c>
      <c r="C1053" s="126" t="s">
        <v>5854</v>
      </c>
      <c r="D1053" s="118" t="str">
        <f>IFERROR(__xludf.DUMMYFUNCTION("IFERROR(
  INDEX(
    FILTER(
      'NOMBRE DE PRODUCTOS'!B:B,
      REGEXMATCH(
        UPPER(
          INDEX(
            REPORTE_DROPI!AC:AC,
            MATCH(T1053, REPORTE_DROPI!B:B, 0)
          )
        ),
        UPPER('NOMBRE DE PRODUCTOS'!A:A"&amp;")
      )
    ),
    1
  ),
  ""REVISAR""
)
"),"Cuchillo Tazaki™")</f>
        <v>Cuchillo Tazaki™</v>
      </c>
      <c r="E1053" s="120">
        <f t="array" ref="E1053">IF(
UPPER(TRIM(CLEAN($O1053)))="ENTREGADO",
IFERROR(
INDEX(REPORTE_DROPI!Y:Y,
MATCH($T1053, REPORTE_DROPI!B:B, 0)
),
""
),
""
)
</f>
        <v>10.4</v>
      </c>
      <c r="F1053" s="121">
        <v>4.0</v>
      </c>
      <c r="G1053" s="122">
        <f t="array" ref="G1053">IF(
UPPER(TRIM(CLEAN($O1053)))="ENTREGADO",
IFERROR(
INDEX(REPORTE_DROPI!R:R,
MATCH($T1053, REPORTE_DROPI!B:B, 0)
),
""
),
""
)
</f>
        <v>32</v>
      </c>
      <c r="H1053" s="118"/>
      <c r="I1053" s="118" t="s">
        <v>3740</v>
      </c>
      <c r="J1053" s="121">
        <f t="array" ref="J1053">IF(
UPPER(TRIM(CLEAN($O1053)))="ENTREGADO",
IFERROR(
INDEX(REPORTE_DROPI!T:T,
MATCH($T1053, REPORTE_DROPI!B:B, 0)
),
""
),
""
)
</f>
        <v>7.85</v>
      </c>
      <c r="K1053" s="118">
        <f t="array" ref="K1053">IFERROR(
INDEX(REPORTE_DROPI!S:S,
MATCH($T1053, REPORTE_DROPI!B:B, 0)
),
""
)
</f>
        <v>13.75</v>
      </c>
      <c r="L1053" s="118" t="str">
        <f>IF(
  O1053&lt;&gt;"DEVOLUCION",
  "",
  IF(
    T1053="",
    "",
    SUMIF(DEVOLUCION!F:F, T1053, DEVOLUCION!D:D)
  )
)
</f>
        <v/>
      </c>
      <c r="M1053" s="118"/>
      <c r="N1053" s="130" t="s">
        <v>5855</v>
      </c>
      <c r="O1053" s="118" t="str">
        <f t="array" ref="O1053">IFERROR(
VLOOKUP(
TRIM(CLEAN(
INDEX(REPORTE_DROPI!K:K,
MATCH(T1053, REPORTE_DROPI!B:B, 0)
))),
{
TRIM(CLEAN(MAPA_ESTADOS!A:A)) ,
MAPA_ESTADOS!B:B
},
2,
FALSE
),
"REVISAR"
)
</f>
        <v>ENTREGADO</v>
      </c>
      <c r="P1053" s="118" t="s">
        <v>3655</v>
      </c>
      <c r="Q1053" s="122">
        <f t="shared" si="2"/>
        <v>0</v>
      </c>
      <c r="R1053" s="118"/>
      <c r="S1053" s="118"/>
      <c r="T1053" s="118">
        <f t="array" ref="T1053">IFERROR(
INDEX(REPORTE_DROPI!B:B,
MATCH(
CLEAN(TRIM(C1053)),
CLEAN(TRIM(REPORTE_DROPI!E:E)),
0
)
),
""
)
</f>
        <v>4345867</v>
      </c>
      <c r="U1053" s="118">
        <v>6.466461007916E12</v>
      </c>
      <c r="V1053" s="78"/>
      <c r="W1053" s="78"/>
      <c r="X1053" s="78"/>
      <c r="Y1053" s="78"/>
      <c r="Z1053" s="78"/>
    </row>
    <row r="1054" ht="22.5" customHeight="1">
      <c r="A1054" s="118" t="s">
        <v>5675</v>
      </c>
      <c r="B1054" s="119">
        <v>46053.0</v>
      </c>
      <c r="C1054" s="126" t="s">
        <v>5856</v>
      </c>
      <c r="D1054" s="118" t="str">
        <f>IFERROR(__xludf.DUMMYFUNCTION("IFERROR(
  INDEX(
    FILTER(
      'NOMBRE DE PRODUCTOS'!B:B,
      REGEXMATCH(
        UPPER(
          INDEX(
            REPORTE_DROPI!AC:AC,
            MATCH(T1054, REPORTE_DROPI!B:B, 0)
          )
        ),
        UPPER('NOMBRE DE PRODUCTOS'!A:A"&amp;")
      )
    ),
    1
  ),
  ""REVISAR""
)
"),"FilmPro®")</f>
        <v>FilmPro®</v>
      </c>
      <c r="E1054" s="120">
        <f t="array" ref="E1054">IF(
UPPER(TRIM(CLEAN($O1054)))="ENTREGADO",
IFERROR(
INDEX(REPORTE_DROPI!Y:Y,
MATCH($T1054, REPORTE_DROPI!B:B, 0)
),
""
),
""
)
</f>
        <v>4.7</v>
      </c>
      <c r="F1054" s="121">
        <v>2.0</v>
      </c>
      <c r="G1054" s="122">
        <f t="array" ref="G1054">IF(
UPPER(TRIM(CLEAN($O1054)))="ENTREGADO",
IFERROR(
INDEX(REPORTE_DROPI!R:R,
MATCH($T1054, REPORTE_DROPI!B:B, 0)
),
""
),
""
)
</f>
        <v>25</v>
      </c>
      <c r="H1054" s="118"/>
      <c r="I1054" s="118" t="s">
        <v>3731</v>
      </c>
      <c r="J1054" s="121">
        <f t="array" ref="J1054">IF(
UPPER(TRIM(CLEAN($O1054)))="ENTREGADO",
IFERROR(
INDEX(REPORTE_DROPI!T:T,
MATCH($T1054, REPORTE_DROPI!B:B, 0)
),
""
),
""
)
</f>
        <v>4.92</v>
      </c>
      <c r="K1054" s="118">
        <f t="array" ref="K1054">IFERROR(
INDEX(REPORTE_DROPI!S:S,
MATCH($T1054, REPORTE_DROPI!B:B, 0)
),
""
)
</f>
        <v>15.38</v>
      </c>
      <c r="L1054" s="118" t="str">
        <f>IF(
  O1054&lt;&gt;"DEVOLUCION",
  "",
  IF(
    T1054="",
    "",
    SUMIF(DEVOLUCION!F:F, T1054, DEVOLUCION!D:D)
  )
)
</f>
        <v/>
      </c>
      <c r="M1054" s="118"/>
      <c r="N1054" s="130" t="s">
        <v>5857</v>
      </c>
      <c r="O1054" s="118" t="str">
        <f t="array" ref="O1054">IFERROR(
VLOOKUP(
TRIM(CLEAN(
INDEX(REPORTE_DROPI!K:K,
MATCH(T1054, REPORTE_DROPI!B:B, 0)
))),
{
TRIM(CLEAN(MAPA_ESTADOS!A:A)) ,
MAPA_ESTADOS!B:B
},
2,
FALSE
),
"REVISAR"
)
</f>
        <v>ENTREGADO</v>
      </c>
      <c r="P1054" s="118" t="s">
        <v>3655</v>
      </c>
      <c r="Q1054" s="122">
        <f t="shared" si="2"/>
        <v>0</v>
      </c>
      <c r="R1054" s="118"/>
      <c r="S1054" s="118"/>
      <c r="T1054" s="118">
        <f t="array" ref="T1054">IFERROR(
INDEX(REPORTE_DROPI!B:B,
MATCH(
CLEAN(TRIM(C1054)),
CLEAN(TRIM(REPORTE_DROPI!E:E)),
0
)
),
""
)
</f>
        <v>4345887</v>
      </c>
      <c r="U1054" s="118">
        <v>6.466465955884E12</v>
      </c>
      <c r="V1054" s="78"/>
      <c r="W1054" s="78"/>
      <c r="X1054" s="78"/>
      <c r="Y1054" s="78"/>
      <c r="Z1054" s="78"/>
    </row>
    <row r="1055" ht="22.5" customHeight="1">
      <c r="A1055" s="118" t="s">
        <v>5675</v>
      </c>
      <c r="B1055" s="119">
        <v>46053.0</v>
      </c>
      <c r="C1055" s="126" t="s">
        <v>5858</v>
      </c>
      <c r="D1055" s="118" t="str">
        <f>IFERROR(__xludf.DUMMYFUNCTION("IFERROR(
  INDEX(
    FILTER(
      'NOMBRE DE PRODUCTOS'!B:B,
      REGEXMATCH(
        UPPER(
          INDEX(
            REPORTE_DROPI!AC:AC,
            MATCH(T1055, REPORTE_DROPI!B:B, 0)
          )
        ),
        UPPER('NOMBRE DE PRODUCTOS'!A:A"&amp;")
      )
    ),
    1
  ),
  ""REVISAR""
)
"),"FilmPro®")</f>
        <v>FilmPro®</v>
      </c>
      <c r="E1055" s="120">
        <f t="array" ref="E1055">IF(
UPPER(TRIM(CLEAN($O1055)))="ENTREGADO",
IFERROR(
INDEX(REPORTE_DROPI!Y:Y,
MATCH($T1055, REPORTE_DROPI!B:B, 0)
),
""
),
""
)
</f>
        <v>7.05</v>
      </c>
      <c r="F1055" s="121">
        <v>3.0</v>
      </c>
      <c r="G1055" s="122">
        <f t="array" ref="G1055">IF(
UPPER(TRIM(CLEAN($O1055)))="ENTREGADO",
IFERROR(
INDEX(REPORTE_DROPI!R:R,
MATCH($T1055, REPORTE_DROPI!B:B, 0)
),
""
),
""
)
</f>
        <v>30</v>
      </c>
      <c r="H1055" s="118"/>
      <c r="I1055" s="118" t="s">
        <v>3740</v>
      </c>
      <c r="J1055" s="121">
        <f t="array" ref="J1055">IF(
UPPER(TRIM(CLEAN($O1055)))="ENTREGADO",
IFERROR(
INDEX(REPORTE_DROPI!T:T,
MATCH($T1055, REPORTE_DROPI!B:B, 0)
),
""
),
""
)
</f>
        <v>6.16</v>
      </c>
      <c r="K1055" s="118">
        <f t="array" ref="K1055">IFERROR(
INDEX(REPORTE_DROPI!S:S,
MATCH($T1055, REPORTE_DROPI!B:B, 0)
),
""
)
</f>
        <v>16.79</v>
      </c>
      <c r="L1055" s="118" t="str">
        <f>IF(
  O1055&lt;&gt;"DEVOLUCION",
  "",
  IF(
    T1055="",
    "",
    SUMIF(DEVOLUCION!F:F, T1055, DEVOLUCION!D:D)
  )
)
</f>
        <v/>
      </c>
      <c r="M1055" s="118"/>
      <c r="N1055" s="130" t="s">
        <v>5859</v>
      </c>
      <c r="O1055" s="118" t="str">
        <f t="array" ref="O1055">IFERROR(
VLOOKUP(
TRIM(CLEAN(
INDEX(REPORTE_DROPI!K:K,
MATCH(T1055, REPORTE_DROPI!B:B, 0)
))),
{
TRIM(CLEAN(MAPA_ESTADOS!A:A)) ,
MAPA_ESTADOS!B:B
},
2,
FALSE
),
"REVISAR"
)
</f>
        <v>ENTREGADO</v>
      </c>
      <c r="P1055" s="118" t="s">
        <v>3655</v>
      </c>
      <c r="Q1055" s="122">
        <f t="shared" si="2"/>
        <v>0</v>
      </c>
      <c r="R1055" s="118"/>
      <c r="S1055" s="118"/>
      <c r="T1055" s="118">
        <f t="array" ref="T1055">IFERROR(
INDEX(REPORTE_DROPI!B:B,
MATCH(
CLEAN(TRIM(C1055)),
CLEAN(TRIM(REPORTE_DROPI!E:E)),
0
)
),
""
)
</f>
        <v>4346042</v>
      </c>
      <c r="U1055" s="118">
        <v>6.466509307948E12</v>
      </c>
      <c r="V1055" s="78"/>
      <c r="W1055" s="78"/>
      <c r="X1055" s="78"/>
      <c r="Y1055" s="78"/>
      <c r="Z1055" s="78"/>
    </row>
    <row r="1056" ht="22.5" customHeight="1">
      <c r="A1056" s="118" t="s">
        <v>5675</v>
      </c>
      <c r="B1056" s="119">
        <v>46053.0</v>
      </c>
      <c r="C1056" s="126" t="s">
        <v>5860</v>
      </c>
      <c r="D1056" s="118" t="str">
        <f>IFERROR(__xludf.DUMMYFUNCTION("IFERROR(
  INDEX(
    FILTER(
      'NOMBRE DE PRODUCTOS'!B:B,
      REGEXMATCH(
        UPPER(
          INDEX(
            REPORTE_DROPI!AC:AC,
            MATCH(T1056, REPORTE_DROPI!B:B, 0)
          )
        ),
        UPPER('NOMBRE DE PRODUCTOS'!A:A"&amp;")
      )
    ),
    1
  ),
  ""REVISAR""
)
"),"Cuchillo Tazaki™")</f>
        <v>Cuchillo Tazaki™</v>
      </c>
      <c r="E1056" s="120">
        <f t="array" ref="E1056">IF(
UPPER(TRIM(CLEAN($O1056)))="ENTREGADO",
IFERROR(
INDEX(REPORTE_DROPI!Y:Y,
MATCH($T1056, REPORTE_DROPI!B:B, 0)
),
""
),
""
)
</f>
        <v>7.8</v>
      </c>
      <c r="F1056" s="121">
        <v>3.0</v>
      </c>
      <c r="G1056" s="122">
        <f t="array" ref="G1056">IF(
UPPER(TRIM(CLEAN($O1056)))="ENTREGADO",
IFERROR(
INDEX(REPORTE_DROPI!R:R,
MATCH($T1056, REPORTE_DROPI!B:B, 0)
),
""
),
""
)
</f>
        <v>27</v>
      </c>
      <c r="H1056" s="118"/>
      <c r="I1056" s="118" t="s">
        <v>3728</v>
      </c>
      <c r="J1056" s="121">
        <f t="array" ref="J1056">IF(
UPPER(TRIM(CLEAN($O1056)))="ENTREGADO",
IFERROR(
INDEX(REPORTE_DROPI!T:T,
MATCH($T1056, REPORTE_DROPI!B:B, 0)
),
""
),
""
)
</f>
        <v>6.03</v>
      </c>
      <c r="K1056" s="118">
        <f t="array" ref="K1056">IFERROR(
INDEX(REPORTE_DROPI!S:S,
MATCH($T1056, REPORTE_DROPI!B:B, 0)
),
""
)
</f>
        <v>13.17</v>
      </c>
      <c r="L1056" s="118" t="str">
        <f>IF(
  O1056&lt;&gt;"DEVOLUCION",
  "",
  IF(
    T1056="",
    "",
    SUMIF(DEVOLUCION!F:F, T1056, DEVOLUCION!D:D)
  )
)
</f>
        <v/>
      </c>
      <c r="M1056" s="118"/>
      <c r="N1056" s="130" t="s">
        <v>5861</v>
      </c>
      <c r="O1056" s="118" t="str">
        <f t="array" ref="O1056">IFERROR(
VLOOKUP(
TRIM(CLEAN(
INDEX(REPORTE_DROPI!K:K,
MATCH(T1056, REPORTE_DROPI!B:B, 0)
))),
{
TRIM(CLEAN(MAPA_ESTADOS!A:A)) ,
MAPA_ESTADOS!B:B
},
2,
FALSE
),
"REVISAR"
)
</f>
        <v>ENTREGADO</v>
      </c>
      <c r="P1056" s="118" t="s">
        <v>3655</v>
      </c>
      <c r="Q1056" s="122">
        <f t="shared" si="2"/>
        <v>0</v>
      </c>
      <c r="R1056" s="118"/>
      <c r="S1056" s="118"/>
      <c r="T1056" s="118">
        <f t="array" ref="T1056">IFERROR(
INDEX(REPORTE_DROPI!B:B,
MATCH(
CLEAN(TRIM(C1056)),
CLEAN(TRIM(REPORTE_DROPI!E:E)),
0
)
),
""
)
</f>
        <v>4346381</v>
      </c>
      <c r="U1056" s="118">
        <v>6.46660839838E12</v>
      </c>
      <c r="V1056" s="78"/>
      <c r="W1056" s="78"/>
      <c r="X1056" s="78"/>
      <c r="Y1056" s="78"/>
      <c r="Z1056" s="78"/>
    </row>
    <row r="1057" ht="22.5" customHeight="1">
      <c r="A1057" s="118" t="s">
        <v>5675</v>
      </c>
      <c r="B1057" s="119">
        <v>46053.0</v>
      </c>
      <c r="C1057" s="126" t="s">
        <v>5862</v>
      </c>
      <c r="D1057" s="118" t="str">
        <f>IFERROR(__xludf.DUMMYFUNCTION("IFERROR(
  INDEX(
    FILTER(
      'NOMBRE DE PRODUCTOS'!B:B,
      REGEXMATCH(
        UPPER(
          INDEX(
            REPORTE_DROPI!AC:AC,
            MATCH(T1057, REPORTE_DROPI!B:B, 0)
          )
        ),
        UPPER('NOMBRE DE PRODUCTOS'!A:A"&amp;")
      )
    ),
    1
  ),
  ""REVISAR""
)
"),"Cuchillo Tazaki™")</f>
        <v>Cuchillo Tazaki™</v>
      </c>
      <c r="E1057" s="120">
        <f t="array" ref="E1057">IF(
UPPER(TRIM(CLEAN($O1057)))="ENTREGADO",
IFERROR(
INDEX(REPORTE_DROPI!Y:Y,
MATCH($T1057, REPORTE_DROPI!B:B, 0)
),
""
),
""
)
</f>
        <v>5.2</v>
      </c>
      <c r="F1057" s="121">
        <v>2.0</v>
      </c>
      <c r="G1057" s="122">
        <f t="array" ref="G1057">IF(
UPPER(TRIM(CLEAN($O1057)))="ENTREGADO",
IFERROR(
INDEX(REPORTE_DROPI!R:R,
MATCH($T1057, REPORTE_DROPI!B:B, 0)
),
""
),
""
)
</f>
        <v>22</v>
      </c>
      <c r="H1057" s="118"/>
      <c r="I1057" s="118" t="s">
        <v>3801</v>
      </c>
      <c r="J1057" s="121">
        <f t="array" ref="J1057">IF(
UPPER(TRIM(CLEAN($O1057)))="ENTREGADO",
IFERROR(
INDEX(REPORTE_DROPI!T:T,
MATCH($T1057, REPORTE_DROPI!B:B, 0)
),
""
),
""
)
</f>
        <v>5.84</v>
      </c>
      <c r="K1057" s="118">
        <f t="array" ref="K1057">IFERROR(
INDEX(REPORTE_DROPI!S:S,
MATCH($T1057, REPORTE_DROPI!B:B, 0)
),
""
)
</f>
        <v>10.96</v>
      </c>
      <c r="L1057" s="118" t="str">
        <f>IF(
  O1057&lt;&gt;"DEVOLUCION",
  "",
  IF(
    T1057="",
    "",
    SUMIF(DEVOLUCION!F:F, T1057, DEVOLUCION!D:D)
  )
)
</f>
        <v/>
      </c>
      <c r="M1057" s="118"/>
      <c r="N1057" s="130" t="s">
        <v>5863</v>
      </c>
      <c r="O1057" s="118" t="str">
        <f t="array" ref="O1057">IFERROR(
VLOOKUP(
TRIM(CLEAN(
INDEX(REPORTE_DROPI!K:K,
MATCH(T1057, REPORTE_DROPI!B:B, 0)
))),
{
TRIM(CLEAN(MAPA_ESTADOS!A:A)) ,
MAPA_ESTADOS!B:B
},
2,
FALSE
),
"REVISAR"
)
</f>
        <v>ENTREGADO</v>
      </c>
      <c r="P1057" s="118" t="s">
        <v>3655</v>
      </c>
      <c r="Q1057" s="122">
        <f t="shared" si="2"/>
        <v>0</v>
      </c>
      <c r="R1057" s="118"/>
      <c r="S1057" s="118"/>
      <c r="T1057" s="118">
        <f t="array" ref="T1057">IFERROR(
INDEX(REPORTE_DROPI!B:B,
MATCH(
CLEAN(TRIM(C1057)),
CLEAN(TRIM(REPORTE_DROPI!E:E)),
0
)
),
""
)
</f>
        <v>4346670</v>
      </c>
      <c r="U1057" s="118">
        <v>6.466689597484E12</v>
      </c>
      <c r="V1057" s="78"/>
      <c r="W1057" s="78"/>
      <c r="X1057" s="78"/>
      <c r="Y1057" s="78"/>
      <c r="Z1057" s="78"/>
    </row>
    <row r="1058" ht="22.5" customHeight="1">
      <c r="A1058" s="118" t="s">
        <v>5675</v>
      </c>
      <c r="B1058" s="119">
        <v>46053.0</v>
      </c>
      <c r="C1058" s="126" t="s">
        <v>3764</v>
      </c>
      <c r="D1058" s="118" t="str">
        <f>IFERROR(__xludf.DUMMYFUNCTION("IFERROR(
  INDEX(
    FILTER(
      'NOMBRE DE PRODUCTOS'!B:B,
      REGEXMATCH(
        UPPER(
          INDEX(
            REPORTE_DROPI!AC:AC,
            MATCH(T1058, REPORTE_DROPI!B:B, 0)
          )
        ),
        UPPER('NOMBRE DE PRODUCTOS'!A:A"&amp;")
      )
    ),
    1
  ),
  ""REVISAR""
)
"),"FilmPro®")</f>
        <v>FilmPro®</v>
      </c>
      <c r="E1058" s="120" t="str">
        <f t="array" ref="E1058">IF(
UPPER(TRIM(CLEAN($O1058)))="ENTREGADO",
IFERROR(
INDEX(REPORTE_DROPI!Y:Y,
MATCH($T1058, REPORTE_DROPI!B:B, 0)
),
""
),
""
)
</f>
        <v/>
      </c>
      <c r="F1058" s="121">
        <v>3.0</v>
      </c>
      <c r="G1058" s="122" t="str">
        <f t="array" ref="G1058">IF(
UPPER(TRIM(CLEAN($O1058)))="ENTREGADO",
IFERROR(
INDEX(REPORTE_DROPI!R:R,
MATCH($T1058, REPORTE_DROPI!B:B, 0)
),
""
),
""
)
</f>
        <v/>
      </c>
      <c r="H1058" s="118"/>
      <c r="I1058" s="118" t="s">
        <v>3731</v>
      </c>
      <c r="J1058" s="121" t="str">
        <f t="array" ref="J1058">IF(
UPPER(TRIM(CLEAN($O1058)))="ENTREGADO",
IFERROR(
INDEX(REPORTE_DROPI!T:T,
MATCH($T1058, REPORTE_DROPI!B:B, 0)
),
""
),
""
)
</f>
        <v/>
      </c>
      <c r="K1058" s="118" t="str">
        <f t="array" ref="K1058">IFERROR(
INDEX(REPORTE_DROPI!S:S,
MATCH($T1058, REPORTE_DROPI!B:B, 0)
),
""
)
</f>
        <v/>
      </c>
      <c r="L1058" s="118" t="str">
        <f>IF(
  O1058&lt;&gt;"DEVOLUCION",
  "",
  IF(
    T1058="",
    "",
    SUMIF(DEVOLUCION!F:F, T1058, DEVOLUCION!D:D)
  )
)
</f>
        <v/>
      </c>
      <c r="M1058" s="118"/>
      <c r="N1058" s="130" t="s">
        <v>5864</v>
      </c>
      <c r="O1058" s="118" t="str">
        <f t="array" ref="O1058">IFERROR(
VLOOKUP(
TRIM(CLEAN(
INDEX(REPORTE_DROPI!K:K,
MATCH(T1058, REPORTE_DROPI!B:B, 0)
))),
{
TRIM(CLEAN(MAPA_ESTADOS!A:A)) ,
MAPA_ESTADOS!B:B
},
2,
FALSE
),
"REVISAR"
)
</f>
        <v>PENDIENTE</v>
      </c>
      <c r="P1058" s="118" t="s">
        <v>3689</v>
      </c>
      <c r="Q1058" s="122">
        <f t="shared" si="2"/>
        <v>0</v>
      </c>
      <c r="R1058" s="118"/>
      <c r="S1058" s="118"/>
      <c r="T1058" s="118">
        <f t="array" ref="T1058">IFERROR(
INDEX(REPORTE_DROPI!B:B,
MATCH(
CLEAN(TRIM(C1058)),
CLEAN(TRIM(REPORTE_DROPI!E:E)),
0
)
),
""
)
</f>
        <v>4366108</v>
      </c>
      <c r="U1058" s="118">
        <v>6.466777579564E12</v>
      </c>
      <c r="V1058" s="78"/>
      <c r="W1058" s="78"/>
      <c r="X1058" s="78"/>
      <c r="Y1058" s="78"/>
      <c r="Z1058" s="78"/>
    </row>
    <row r="1059" ht="22.5" customHeight="1">
      <c r="A1059" s="118" t="s">
        <v>5675</v>
      </c>
      <c r="B1059" s="119">
        <v>46053.0</v>
      </c>
      <c r="C1059" s="126" t="s">
        <v>5865</v>
      </c>
      <c r="D1059" s="118" t="str">
        <f>IFERROR(__xludf.DUMMYFUNCTION("IFERROR(
  INDEX(
    FILTER(
      'NOMBRE DE PRODUCTOS'!B:B,
      REGEXMATCH(
        UPPER(
          INDEX(
            REPORTE_DROPI!AC:AC,
            MATCH(T1059, REPORTE_DROPI!B:B, 0)
          )
        ),
        UPPER('NOMBRE DE PRODUCTOS'!A:A"&amp;")
      )
    ),
    1
  ),
  ""REVISAR""
)
"),"Cuchillo Tazaki™")</f>
        <v>Cuchillo Tazaki™</v>
      </c>
      <c r="E1059" s="120" t="str">
        <f t="array" ref="E1059">IF(
UPPER(TRIM(CLEAN($O1059)))="ENTREGADO",
IFERROR(
INDEX(REPORTE_DROPI!Y:Y,
MATCH($T1059, REPORTE_DROPI!B:B, 0)
),
""
),
""
)
</f>
        <v/>
      </c>
      <c r="F1059" s="121">
        <v>2.0</v>
      </c>
      <c r="G1059" s="122" t="str">
        <f t="array" ref="G1059">IF(
UPPER(TRIM(CLEAN($O1059)))="ENTREGADO",
IFERROR(
INDEX(REPORTE_DROPI!R:R,
MATCH($T1059, REPORTE_DROPI!B:B, 0)
),
""
),
""
)
</f>
        <v/>
      </c>
      <c r="H1059" s="118"/>
      <c r="I1059" s="118" t="s">
        <v>3979</v>
      </c>
      <c r="J1059" s="121" t="str">
        <f t="array" ref="J1059">IF(
UPPER(TRIM(CLEAN($O1059)))="ENTREGADO",
IFERROR(
INDEX(REPORTE_DROPI!T:T,
MATCH($T1059, REPORTE_DROPI!B:B, 0)
),
""
),
""
)
</f>
        <v/>
      </c>
      <c r="K1059" s="118" t="str">
        <f t="array" ref="K1059">IFERROR(
INDEX(REPORTE_DROPI!S:S,
MATCH($T1059, REPORTE_DROPI!B:B, 0)
),
""
)
</f>
        <v/>
      </c>
      <c r="L1059" s="118">
        <f>IF(
  O1059&lt;&gt;"DEVOLUCION",
  "",
  IF(
    T1059="",
    "",
    SUMIF(DEVOLUCION!F:F, T1059, DEVOLUCION!D:D)
  )
)
</f>
        <v>5.07</v>
      </c>
      <c r="M1059" s="118"/>
      <c r="N1059" s="130" t="s">
        <v>5866</v>
      </c>
      <c r="O1059" s="118" t="str">
        <f t="array" ref="O1059">IFERROR(
VLOOKUP(
TRIM(CLEAN(
INDEX(REPORTE_DROPI!K:K,
MATCH(T1059, REPORTE_DROPI!B:B, 0)
))),
{
TRIM(CLEAN(MAPA_ESTADOS!A:A)) ,
MAPA_ESTADOS!B:B
},
2,
FALSE
),
"REVISAR"
)
</f>
        <v>DEVOLUCION</v>
      </c>
      <c r="P1059" s="118" t="s">
        <v>3655</v>
      </c>
      <c r="Q1059" s="122">
        <f t="shared" si="2"/>
        <v>0</v>
      </c>
      <c r="R1059" s="118"/>
      <c r="S1059" s="118"/>
      <c r="T1059" s="118">
        <f t="array" ref="T1059">IFERROR(
INDEX(REPORTE_DROPI!B:B,
MATCH(
CLEAN(TRIM(C1059)),
CLEAN(TRIM(REPORTE_DROPI!E:E)),
0
)
),
""
)
</f>
        <v>4347010</v>
      </c>
      <c r="U1059" s="118">
        <v>6.466799501356E12</v>
      </c>
      <c r="V1059" s="78"/>
      <c r="W1059" s="78"/>
      <c r="X1059" s="78"/>
      <c r="Y1059" s="78"/>
      <c r="Z1059" s="78"/>
    </row>
    <row r="1060" ht="22.5" customHeight="1">
      <c r="A1060" s="118" t="s">
        <v>5675</v>
      </c>
      <c r="B1060" s="119">
        <v>46053.0</v>
      </c>
      <c r="C1060" s="126" t="s">
        <v>5867</v>
      </c>
      <c r="D1060" s="118" t="str">
        <f>IFERROR(__xludf.DUMMYFUNCTION("IFERROR(
  INDEX(
    FILTER(
      'NOMBRE DE PRODUCTOS'!B:B,
      REGEXMATCH(
        UPPER(
          INDEX(
            REPORTE_DROPI!AC:AC,
            MATCH(T1060, REPORTE_DROPI!B:B, 0)
          )
        ),
        UPPER('NOMBRE DE PRODUCTOS'!A:A"&amp;")
      )
    ),
    1
  ),
  ""REVISAR""
)
"),"FilmPro®")</f>
        <v>FilmPro®</v>
      </c>
      <c r="E1060" s="120">
        <f t="array" ref="E1060">IF(
UPPER(TRIM(CLEAN($O1060)))="ENTREGADO",
IFERROR(
INDEX(REPORTE_DROPI!Y:Y,
MATCH($T1060, REPORTE_DROPI!B:B, 0)
),
""
),
""
)
</f>
        <v>7.05</v>
      </c>
      <c r="F1060" s="121">
        <v>3.0</v>
      </c>
      <c r="G1060" s="122">
        <f t="array" ref="G1060">IF(
UPPER(TRIM(CLEAN($O1060)))="ENTREGADO",
IFERROR(
INDEX(REPORTE_DROPI!R:R,
MATCH($T1060, REPORTE_DROPI!B:B, 0)
),
""
),
""
)
</f>
        <v>30</v>
      </c>
      <c r="H1060" s="118"/>
      <c r="I1060" s="118" t="s">
        <v>3740</v>
      </c>
      <c r="J1060" s="121">
        <f t="array" ref="J1060">IF(
UPPER(TRIM(CLEAN($O1060)))="ENTREGADO",
IFERROR(
INDEX(REPORTE_DROPI!T:T,
MATCH($T1060, REPORTE_DROPI!B:B, 0)
),
""
),
""
)
</f>
        <v>6.16</v>
      </c>
      <c r="K1060" s="118">
        <f t="array" ref="K1060">IFERROR(
INDEX(REPORTE_DROPI!S:S,
MATCH($T1060, REPORTE_DROPI!B:B, 0)
),
""
)
</f>
        <v>16.79</v>
      </c>
      <c r="L1060" s="118" t="str">
        <f>IF(
  O1060&lt;&gt;"DEVOLUCION",
  "",
  IF(
    T1060="",
    "",
    SUMIF(DEVOLUCION!F:F, T1060, DEVOLUCION!D:D)
  )
)
</f>
        <v/>
      </c>
      <c r="M1060" s="118"/>
      <c r="N1060" s="130" t="s">
        <v>5868</v>
      </c>
      <c r="O1060" s="118" t="str">
        <f t="array" ref="O1060">IFERROR(
VLOOKUP(
TRIM(CLEAN(
INDEX(REPORTE_DROPI!K:K,
MATCH(T1060, REPORTE_DROPI!B:B, 0)
))),
{
TRIM(CLEAN(MAPA_ESTADOS!A:A)) ,
MAPA_ESTADOS!B:B
},
2,
FALSE
),
"REVISAR"
)
</f>
        <v>ENTREGADO</v>
      </c>
      <c r="P1060" s="118" t="s">
        <v>5869</v>
      </c>
      <c r="Q1060" s="122">
        <f t="shared" si="2"/>
        <v>0</v>
      </c>
      <c r="R1060" s="118"/>
      <c r="S1060" s="118"/>
      <c r="T1060" s="118">
        <f t="array" ref="T1060">IFERROR(
INDEX(REPORTE_DROPI!B:B,
MATCH(
CLEAN(TRIM(C1060)),
CLEAN(TRIM(REPORTE_DROPI!E:E)),
0
)
),
""
)
</f>
        <v>4347089</v>
      </c>
      <c r="U1060" s="118">
        <v>6.466827223084E12</v>
      </c>
      <c r="V1060" s="78"/>
      <c r="W1060" s="78"/>
      <c r="X1060" s="78"/>
      <c r="Y1060" s="78"/>
      <c r="Z1060" s="78"/>
    </row>
    <row r="1061" ht="22.5" customHeight="1">
      <c r="A1061" s="118" t="s">
        <v>5675</v>
      </c>
      <c r="B1061" s="119">
        <v>46053.0</v>
      </c>
      <c r="C1061" s="126" t="s">
        <v>5870</v>
      </c>
      <c r="D1061" s="118" t="str">
        <f>IFERROR(__xludf.DUMMYFUNCTION("IFERROR(
  INDEX(
    FILTER(
      'NOMBRE DE PRODUCTOS'!B:B,
      REGEXMATCH(
        UPPER(
          INDEX(
            REPORTE_DROPI!AC:AC,
            MATCH(T1061, REPORTE_DROPI!B:B, 0)
          )
        ),
        UPPER('NOMBRE DE PRODUCTOS'!A:A"&amp;")
      )
    ),
    1
  ),
  ""REVISAR""
)
"),"Cuchillo Tazaki™")</f>
        <v>Cuchillo Tazaki™</v>
      </c>
      <c r="E1061" s="120" t="str">
        <f t="array" ref="E1061">IF(
UPPER(TRIM(CLEAN($O1061)))="ENTREGADO",
IFERROR(
INDEX(REPORTE_DROPI!Y:Y,
MATCH($T1061, REPORTE_DROPI!B:B, 0)
),
""
),
""
)
</f>
        <v/>
      </c>
      <c r="F1061" s="121">
        <v>3.0</v>
      </c>
      <c r="G1061" s="122" t="str">
        <f t="array" ref="G1061">IF(
UPPER(TRIM(CLEAN($O1061)))="ENTREGADO",
IFERROR(
INDEX(REPORTE_DROPI!R:R,
MATCH($T1061, REPORTE_DROPI!B:B, 0)
),
""
),
""
)
</f>
        <v/>
      </c>
      <c r="H1061" s="118"/>
      <c r="I1061" s="118" t="s">
        <v>3772</v>
      </c>
      <c r="J1061" s="121" t="str">
        <f t="array" ref="J1061">IF(
UPPER(TRIM(CLEAN($O1061)))="ENTREGADO",
IFERROR(
INDEX(REPORTE_DROPI!T:T,
MATCH($T1061, REPORTE_DROPI!B:B, 0)
),
""
),
""
)
</f>
        <v/>
      </c>
      <c r="K1061" s="118" t="str">
        <f t="array" ref="K1061">IFERROR(
INDEX(REPORTE_DROPI!S:S,
MATCH($T1061, REPORTE_DROPI!B:B, 0)
),
""
)
</f>
        <v/>
      </c>
      <c r="L1061" s="118" t="str">
        <f>IF(
  O1061&lt;&gt;"DEVOLUCION",
  "",
  IF(
    T1061="",
    "",
    SUMIF(DEVOLUCION!F:F, T1061, DEVOLUCION!D:D)
  )
)
</f>
        <v/>
      </c>
      <c r="M1061" s="118"/>
      <c r="N1061" s="130" t="s">
        <v>5871</v>
      </c>
      <c r="O1061" s="118" t="str">
        <f t="array" ref="O1061">IFERROR(
VLOOKUP(
TRIM(CLEAN(
INDEX(REPORTE_DROPI!K:K,
MATCH(T1061, REPORTE_DROPI!B:B, 0)
))),
{
TRIM(CLEAN(MAPA_ESTADOS!A:A)) ,
MAPA_ESTADOS!B:B
},
2,
FALSE
),
"REVISAR"
)
</f>
        <v>PENDIENTE</v>
      </c>
      <c r="P1061" s="118" t="s">
        <v>3689</v>
      </c>
      <c r="Q1061" s="122">
        <f t="shared" si="2"/>
        <v>0</v>
      </c>
      <c r="R1061" s="118"/>
      <c r="S1061" s="118"/>
      <c r="T1061" s="118">
        <f t="array" ref="T1061">IFERROR(
INDEX(REPORTE_DROPI!B:B,
MATCH(
CLEAN(TRIM(C1061)),
CLEAN(TRIM(REPORTE_DROPI!E:E)),
0
)
),
""
)
</f>
        <v>4347476</v>
      </c>
      <c r="U1061" s="118">
        <v>6.466923593772E12</v>
      </c>
      <c r="V1061" s="78"/>
      <c r="W1061" s="78"/>
      <c r="X1061" s="78"/>
      <c r="Y1061" s="78"/>
      <c r="Z1061" s="78"/>
    </row>
    <row r="1062" ht="22.5" customHeight="1">
      <c r="A1062" s="118" t="s">
        <v>5675</v>
      </c>
      <c r="B1062" s="119">
        <v>46053.0</v>
      </c>
      <c r="C1062" s="126" t="s">
        <v>5872</v>
      </c>
      <c r="D1062" s="118" t="str">
        <f>IFERROR(__xludf.DUMMYFUNCTION("IFERROR(
  INDEX(
    FILTER(
      'NOMBRE DE PRODUCTOS'!B:B,
      REGEXMATCH(
        UPPER(
          INDEX(
            REPORTE_DROPI!AC:AC,
            MATCH(T1062, REPORTE_DROPI!B:B, 0)
          )
        ),
        UPPER('NOMBRE DE PRODUCTOS'!A:A"&amp;")
      )
    ),
    1
  ),
  ""REVISAR""
)
"),"Cuchillo Tazaki™")</f>
        <v>Cuchillo Tazaki™</v>
      </c>
      <c r="E1062" s="120">
        <f t="array" ref="E1062">IF(
UPPER(TRIM(CLEAN($O1062)))="ENTREGADO",
IFERROR(
INDEX(REPORTE_DROPI!Y:Y,
MATCH($T1062, REPORTE_DROPI!B:B, 0)
),
""
),
""
)
</f>
        <v>10.4</v>
      </c>
      <c r="F1062" s="121">
        <v>4.0</v>
      </c>
      <c r="G1062" s="122">
        <f t="array" ref="G1062">IF(
UPPER(TRIM(CLEAN($O1062)))="ENTREGADO",
IFERROR(
INDEX(REPORTE_DROPI!R:R,
MATCH($T1062, REPORTE_DROPI!B:B, 0)
),
""
),
""
)
</f>
        <v>32</v>
      </c>
      <c r="H1062" s="118"/>
      <c r="I1062" s="118" t="s">
        <v>3855</v>
      </c>
      <c r="J1062" s="121">
        <f t="array" ref="J1062">IF(
UPPER(TRIM(CLEAN($O1062)))="ENTREGADO",
IFERROR(
INDEX(REPORTE_DROPI!T:T,
MATCH($T1062, REPORTE_DROPI!B:B, 0)
),
""
),
""
)
</f>
        <v>6.24</v>
      </c>
      <c r="K1062" s="118">
        <f t="array" ref="K1062">IFERROR(
INDEX(REPORTE_DROPI!S:S,
MATCH($T1062, REPORTE_DROPI!B:B, 0)
),
""
)
</f>
        <v>15.36</v>
      </c>
      <c r="L1062" s="118" t="str">
        <f>IF(
  O1062&lt;&gt;"DEVOLUCION",
  "",
  IF(
    T1062="",
    "",
    SUMIF(DEVOLUCION!F:F, T1062, DEVOLUCION!D:D)
  )
)
</f>
        <v/>
      </c>
      <c r="M1062" s="118"/>
      <c r="N1062" s="130" t="s">
        <v>5873</v>
      </c>
      <c r="O1062" s="118" t="str">
        <f t="array" ref="O1062">IFERROR(
VLOOKUP(
TRIM(CLEAN(
INDEX(REPORTE_DROPI!K:K,
MATCH(T1062, REPORTE_DROPI!B:B, 0)
))),
{
TRIM(CLEAN(MAPA_ESTADOS!A:A)) ,
MAPA_ESTADOS!B:B
},
2,
FALSE
),
"REVISAR"
)
</f>
        <v>ENTREGADO</v>
      </c>
      <c r="P1062" s="118" t="s">
        <v>5869</v>
      </c>
      <c r="Q1062" s="122">
        <f t="shared" si="2"/>
        <v>0</v>
      </c>
      <c r="R1062" s="118"/>
      <c r="S1062" s="118"/>
      <c r="T1062" s="118">
        <f t="array" ref="T1062">IFERROR(
INDEX(REPORTE_DROPI!B:B,
MATCH(
CLEAN(TRIM(C1062)),
CLEAN(TRIM(REPORTE_DROPI!E:E)),
0
)
),
""
)
</f>
        <v>4347500</v>
      </c>
      <c r="U1062" s="118">
        <v>6.466928803884E12</v>
      </c>
      <c r="V1062" s="78"/>
      <c r="W1062" s="78"/>
      <c r="X1062" s="78"/>
      <c r="Y1062" s="78"/>
      <c r="Z1062" s="78"/>
    </row>
    <row r="1063">
      <c r="A1063" s="78"/>
      <c r="B1063" s="91"/>
      <c r="C1063" s="138"/>
      <c r="D1063" s="78"/>
      <c r="E1063" s="139"/>
      <c r="F1063" s="78"/>
      <c r="G1063" s="140"/>
      <c r="H1063" s="141"/>
      <c r="I1063" s="78"/>
      <c r="J1063" s="142"/>
      <c r="K1063" s="78"/>
      <c r="L1063" s="78"/>
      <c r="M1063" s="78"/>
      <c r="N1063" s="78"/>
      <c r="O1063" s="78"/>
      <c r="P1063" s="78"/>
      <c r="Q1063" s="78"/>
      <c r="R1063" s="78"/>
      <c r="S1063" s="78"/>
      <c r="T1063" s="78"/>
      <c r="U1063" s="78"/>
      <c r="V1063" s="78"/>
      <c r="W1063" s="78"/>
      <c r="X1063" s="78"/>
      <c r="Y1063" s="78"/>
      <c r="Z1063" s="78"/>
    </row>
    <row r="1064">
      <c r="A1064" s="78">
        <v>969.0</v>
      </c>
      <c r="B1064" s="78"/>
      <c r="C1064" s="138"/>
      <c r="D1064" s="78"/>
      <c r="E1064" s="143">
        <f>SUM(E2:E1063)</f>
        <v>3327.77</v>
      </c>
      <c r="F1064" s="144"/>
      <c r="G1064" s="143">
        <f>SUM(G2:G1063)</f>
        <v>14213.64</v>
      </c>
      <c r="H1064" s="145"/>
      <c r="I1064" s="144"/>
      <c r="J1064" s="143">
        <f t="shared" ref="J1064:L1064" si="3">SUM(J2:J1063)</f>
        <v>3387.66</v>
      </c>
      <c r="K1064" s="143">
        <f t="shared" si="3"/>
        <v>7498.21</v>
      </c>
      <c r="L1064" s="143">
        <f t="shared" si="3"/>
        <v>1181.64</v>
      </c>
      <c r="M1064" s="144"/>
      <c r="N1064" s="144"/>
      <c r="O1064" s="78"/>
      <c r="P1064" s="78"/>
      <c r="Q1064" s="143">
        <f>SUM(Q2:Q1063)</f>
        <v>0</v>
      </c>
      <c r="R1064" s="78"/>
      <c r="S1064" s="78"/>
      <c r="T1064" s="78" t="str">
        <f t="array" ref="T1064">IFERROR(
INDEX(REPORTE_DROPI!B:B,
MATCH(
CLEAN(TRIM(C1064)),
CLEAN(TRIM(REPORTE_DROPI!E:E)),
0
)
),
""
)
</f>
        <v/>
      </c>
      <c r="U1064" s="78"/>
      <c r="V1064" s="78"/>
      <c r="W1064" s="78"/>
      <c r="X1064" s="78"/>
      <c r="Y1064" s="78"/>
      <c r="Z1064" s="78"/>
    </row>
    <row r="1065">
      <c r="A1065" s="78">
        <v>970.0</v>
      </c>
      <c r="B1065" s="78"/>
      <c r="C1065" s="138"/>
      <c r="D1065" s="78"/>
      <c r="E1065" s="139" t="str">
        <f t="array" ref="E1065">IF(
UPPER(TRIM(CLEAN($O1065)))="ENTREGADO",
IFERROR(
INDEX(REPORTE_DROPI!Y:Y,
MATCH($T1065, REPORTE_DROPI!B:B, 0)
),
""
),
""
)
</f>
        <v/>
      </c>
      <c r="F1065" s="78"/>
      <c r="G1065" s="78" t="str">
        <f t="array" ref="G1065">IF(
UPPER(TRIM(CLEAN($O1065)))="ENTREGADO",
IFERROR(
INDEX(REPORTE_DROPI!R:R,
MATCH($T1065, REPORTE_DROPI!B:B, 0)
),
""
),
""
)
</f>
        <v/>
      </c>
      <c r="H1065" s="78"/>
      <c r="I1065" s="78"/>
      <c r="J1065" s="78" t="str">
        <f t="array" ref="J1065">IF(
UPPER(TRIM(CLEAN($O1065)))="ENTREGADO",
IFERROR(
INDEX(REPORTE_DROPI!T:T,
MATCH($T1065, REPORTE_DROPI!B:B, 0)
),
""
),
""
)
</f>
        <v/>
      </c>
      <c r="K1065" s="78"/>
      <c r="L1065" s="78"/>
      <c r="M1065" s="78"/>
      <c r="N1065" s="78"/>
      <c r="O1065" s="78"/>
      <c r="P1065" s="78"/>
      <c r="Q1065" s="78"/>
      <c r="R1065" s="78"/>
      <c r="S1065" s="78"/>
      <c r="T1065" s="78" t="str">
        <f t="array" ref="T1065">IFERROR(
INDEX(REPORTE_DROPI!B:B,
MATCH(
CLEAN(TRIM(C1065)),
CLEAN(TRIM(REPORTE_DROPI!E:E)),
0
)
),
""
)
</f>
        <v/>
      </c>
      <c r="U1065" s="78"/>
      <c r="V1065" s="78"/>
      <c r="W1065" s="78"/>
      <c r="X1065" s="78"/>
      <c r="Y1065" s="78"/>
      <c r="Z1065" s="78"/>
    </row>
    <row r="1066">
      <c r="A1066" s="78">
        <v>971.0</v>
      </c>
      <c r="B1066" s="78"/>
      <c r="C1066" s="138"/>
      <c r="D1066" s="78"/>
      <c r="E1066" s="139" t="str">
        <f t="array" ref="E1066">IF(
UPPER(TRIM(CLEAN($O1066)))="ENTREGADO",
IFERROR(
INDEX(REPORTE_DROPI!Y:Y,
MATCH($T1066, REPORTE_DROPI!B:B, 0)
),
""
),
""
)
</f>
        <v/>
      </c>
      <c r="F1066" s="78"/>
      <c r="G1066" s="78" t="str">
        <f t="array" ref="G1066">IF(
UPPER(TRIM(CLEAN($O1066)))="ENTREGADO",
IFERROR(
INDEX(REPORTE_DROPI!R:R,
MATCH($T1066, REPORTE_DROPI!B:B, 0)
),
""
),
""
)
</f>
        <v/>
      </c>
      <c r="H1066" s="78"/>
      <c r="I1066" s="78"/>
      <c r="J1066" s="78" t="str">
        <f t="array" ref="J1066">IF(
UPPER(TRIM(CLEAN($O1066)))="ENTREGADO",
IFERROR(
INDEX(REPORTE_DROPI!T:T,
MATCH($T1066, REPORTE_DROPI!B:B, 0)
),
""
),
""
)
</f>
        <v/>
      </c>
      <c r="K1066" s="78"/>
      <c r="L1066" s="78"/>
      <c r="M1066" s="78"/>
      <c r="N1066" s="78"/>
      <c r="O1066" s="78"/>
      <c r="P1066" s="78"/>
      <c r="Q1066" s="78"/>
      <c r="R1066" s="78"/>
      <c r="S1066" s="78"/>
      <c r="T1066" s="78" t="str">
        <f t="array" ref="T1066">IFERROR(
INDEX(REPORTE_DROPI!B:B,
MATCH(
CLEAN(TRIM(C1066)),
CLEAN(TRIM(REPORTE_DROPI!E:E)),
0
)
),
""
)
</f>
        <v/>
      </c>
      <c r="U1066" s="78"/>
      <c r="V1066" s="78"/>
      <c r="W1066" s="78"/>
      <c r="X1066" s="78"/>
      <c r="Y1066" s="78"/>
      <c r="Z1066" s="78"/>
    </row>
    <row r="1067">
      <c r="A1067" s="78">
        <v>972.0</v>
      </c>
      <c r="B1067" s="78"/>
      <c r="C1067" s="146"/>
      <c r="D1067" s="78"/>
      <c r="E1067" s="139" t="str">
        <f t="array" ref="E1067">IF(
UPPER(TRIM(CLEAN($O1067)))="ENTREGADO",
IFERROR(
INDEX(REPORTE_DROPI!Y:Y,
MATCH($T1067, REPORTE_DROPI!B:B, 0)
),
""
),
""
)
</f>
        <v/>
      </c>
      <c r="F1067" s="78"/>
      <c r="G1067" s="78" t="str">
        <f t="array" ref="G1067">IF(
UPPER(TRIM(CLEAN($O1067)))="ENTREGADO",
IFERROR(
INDEX(REPORTE_DROPI!R:R,
MATCH($T1067, REPORTE_DROPI!B:B, 0)
),
""
),
""
)
</f>
        <v/>
      </c>
      <c r="H1067" s="78"/>
      <c r="I1067" s="78"/>
      <c r="J1067" s="78" t="str">
        <f t="array" ref="J1067">IF(
UPPER(TRIM(CLEAN($O1067)))="ENTREGADO",
IFERROR(
INDEX(REPORTE_DROPI!T:T,
MATCH($T1067, REPORTE_DROPI!B:B, 0)
),
""
),
""
)
</f>
        <v/>
      </c>
      <c r="K1067" s="78"/>
      <c r="L1067" s="78"/>
      <c r="M1067" s="78"/>
      <c r="N1067" s="78"/>
      <c r="O1067" s="78"/>
      <c r="P1067" s="78"/>
      <c r="Q1067" s="78"/>
      <c r="R1067" s="78"/>
      <c r="S1067" s="78"/>
      <c r="T1067" s="78" t="str">
        <f t="array" ref="T1067">IFERROR(
INDEX(REPORTE_DROPI!B:B,
MATCH(
CLEAN(TRIM(C1067)),
CLEAN(TRIM(REPORTE_DROPI!E:E)),
0
)
),
""
)
</f>
        <v/>
      </c>
      <c r="U1067" s="78"/>
      <c r="V1067" s="78"/>
      <c r="W1067" s="78"/>
      <c r="X1067" s="78"/>
      <c r="Y1067" s="78"/>
      <c r="Z1067" s="78"/>
    </row>
    <row r="1068">
      <c r="A1068" s="78">
        <v>973.0</v>
      </c>
      <c r="B1068" s="78"/>
      <c r="C1068" s="138"/>
      <c r="D1068" s="78"/>
      <c r="E1068" s="139" t="str">
        <f t="array" ref="E1068">IF(
UPPER(TRIM(CLEAN($O1068)))="ENTREGADO",
IFERROR(
INDEX(REPORTE_DROPI!Y:Y,
MATCH($T1068, REPORTE_DROPI!B:B, 0)
),
""
),
""
)
</f>
        <v/>
      </c>
      <c r="F1068" s="78"/>
      <c r="G1068" s="78" t="str">
        <f t="array" ref="G1068">IF(
UPPER(TRIM(CLEAN($O1068)))="ENTREGADO",
IFERROR(
INDEX(REPORTE_DROPI!R:R,
MATCH($T1068, REPORTE_DROPI!B:B, 0)
),
""
),
""
)
</f>
        <v/>
      </c>
      <c r="H1068" s="78"/>
      <c r="I1068" s="78"/>
      <c r="J1068" s="78" t="str">
        <f t="array" ref="J1068">IF(
UPPER(TRIM(CLEAN($O1068)))="ENTREGADO",
IFERROR(
INDEX(REPORTE_DROPI!T:T,
MATCH($T1068, REPORTE_DROPI!B:B, 0)
),
""
),
""
)
</f>
        <v/>
      </c>
      <c r="K1068" s="78"/>
      <c r="L1068" s="78"/>
      <c r="M1068" s="78"/>
      <c r="N1068" s="78"/>
      <c r="O1068" s="78"/>
      <c r="P1068" s="78"/>
      <c r="Q1068" s="78"/>
      <c r="R1068" s="78"/>
      <c r="S1068" s="78"/>
      <c r="T1068" s="78" t="str">
        <f t="array" ref="T1068">IFERROR(
INDEX(REPORTE_DROPI!B:B,
MATCH(
CLEAN(TRIM(C1068)),
CLEAN(TRIM(REPORTE_DROPI!E:E)),
0
)
),
""
)
</f>
        <v/>
      </c>
      <c r="U1068" s="78"/>
      <c r="V1068" s="78"/>
      <c r="W1068" s="78"/>
      <c r="X1068" s="78"/>
      <c r="Y1068" s="78"/>
      <c r="Z1068" s="78"/>
    </row>
    <row r="1069">
      <c r="A1069" s="78">
        <v>974.0</v>
      </c>
      <c r="B1069" s="78"/>
      <c r="C1069" s="138"/>
      <c r="D1069" s="78"/>
      <c r="E1069" s="139" t="str">
        <f t="array" ref="E1069">IF(
UPPER(TRIM(CLEAN($O1069)))="ENTREGADO",
IFERROR(
INDEX(REPORTE_DROPI!Y:Y,
MATCH($T1069, REPORTE_DROPI!B:B, 0)
),
""
),
""
)
</f>
        <v/>
      </c>
      <c r="F1069" s="78"/>
      <c r="G1069" s="78" t="str">
        <f t="array" ref="G1069">IF(
UPPER(TRIM(CLEAN($O1069)))="ENTREGADO",
IFERROR(
INDEX(REPORTE_DROPI!R:R,
MATCH($T1069, REPORTE_DROPI!B:B, 0)
),
""
),
""
)
</f>
        <v/>
      </c>
      <c r="H1069" s="78"/>
      <c r="I1069" s="78"/>
      <c r="J1069" s="78" t="str">
        <f t="array" ref="J1069">IF(
UPPER(TRIM(CLEAN($O1069)))="ENTREGADO",
IFERROR(
INDEX(REPORTE_DROPI!T:T,
MATCH($T1069, REPORTE_DROPI!B:B, 0)
),
""
),
""
)
</f>
        <v/>
      </c>
      <c r="K1069" s="78"/>
      <c r="L1069" s="78"/>
      <c r="M1069" s="78"/>
      <c r="N1069" s="78"/>
      <c r="O1069" s="78"/>
      <c r="P1069" s="78"/>
      <c r="Q1069" s="78"/>
      <c r="R1069" s="78"/>
      <c r="S1069" s="78"/>
      <c r="T1069" s="78" t="str">
        <f t="array" ref="T1069">IFERROR(
INDEX(REPORTE_DROPI!B:B,
MATCH(
CLEAN(TRIM(C1069)),
CLEAN(TRIM(REPORTE_DROPI!E:E)),
0
)
),
""
)
</f>
        <v/>
      </c>
      <c r="U1069" s="78"/>
      <c r="V1069" s="78"/>
      <c r="W1069" s="78"/>
      <c r="X1069" s="78"/>
      <c r="Y1069" s="78"/>
      <c r="Z1069" s="78"/>
    </row>
    <row r="1070">
      <c r="A1070" s="78">
        <v>975.0</v>
      </c>
      <c r="B1070" s="78"/>
      <c r="C1070" s="146"/>
      <c r="D1070" s="78"/>
      <c r="E1070" s="139" t="str">
        <f t="array" ref="E1070">IF(
UPPER(TRIM(CLEAN($O1070)))="ENTREGADO",
IFERROR(
INDEX(REPORTE_DROPI!Y:Y,
MATCH($T1070, REPORTE_DROPI!B:B, 0)
),
""
),
""
)
</f>
        <v/>
      </c>
      <c r="F1070" s="78"/>
      <c r="G1070" s="78" t="str">
        <f t="array" ref="G1070">IF(
UPPER(TRIM(CLEAN($O1070)))="ENTREGADO",
IFERROR(
INDEX(REPORTE_DROPI!R:R,
MATCH($T1070, REPORTE_DROPI!B:B, 0)
),
""
),
""
)
</f>
        <v/>
      </c>
      <c r="H1070" s="78"/>
      <c r="I1070" s="78"/>
      <c r="J1070" s="78" t="str">
        <f t="array" ref="J1070">IF(
UPPER(TRIM(CLEAN($O1070)))="ENTREGADO",
IFERROR(
INDEX(REPORTE_DROPI!T:T,
MATCH($T1070, REPORTE_DROPI!B:B, 0)
),
""
),
""
)
</f>
        <v/>
      </c>
      <c r="K1070" s="78"/>
      <c r="L1070" s="78"/>
      <c r="M1070" s="78"/>
      <c r="N1070" s="78"/>
      <c r="O1070" s="78"/>
      <c r="P1070" s="78"/>
      <c r="Q1070" s="78"/>
      <c r="R1070" s="78"/>
      <c r="S1070" s="78"/>
      <c r="T1070" s="78" t="str">
        <f t="array" ref="T1070">IFERROR(
INDEX(REPORTE_DROPI!B:B,
MATCH(
CLEAN(TRIM(C1070)),
CLEAN(TRIM(REPORTE_DROPI!E:E)),
0
)
),
""
)
</f>
        <v/>
      </c>
      <c r="U1070" s="78"/>
      <c r="V1070" s="78"/>
      <c r="W1070" s="78"/>
      <c r="X1070" s="78"/>
      <c r="Y1070" s="78"/>
      <c r="Z1070" s="78"/>
    </row>
    <row r="1071">
      <c r="A1071" s="78">
        <v>976.0</v>
      </c>
      <c r="B1071" s="78"/>
      <c r="C1071" s="138"/>
      <c r="D1071" s="78"/>
      <c r="E1071" s="139" t="str">
        <f t="array" ref="E1071">IF(
UPPER(TRIM(CLEAN($O1071)))="ENTREGADO",
IFERROR(
INDEX(REPORTE_DROPI!Y:Y,
MATCH($T1071, REPORTE_DROPI!B:B, 0)
),
""
),
""
)
</f>
        <v/>
      </c>
      <c r="F1071" s="78"/>
      <c r="G1071" s="78" t="str">
        <f t="array" ref="G1071">IF(
UPPER(TRIM(CLEAN($O1071)))="ENTREGADO",
IFERROR(
INDEX(REPORTE_DROPI!R:R,
MATCH($T1071, REPORTE_DROPI!B:B, 0)
),
""
),
""
)
</f>
        <v/>
      </c>
      <c r="H1071" s="78"/>
      <c r="I1071" s="78"/>
      <c r="J1071" s="78" t="str">
        <f t="array" ref="J1071">IF(
UPPER(TRIM(CLEAN($O1071)))="ENTREGADO",
IFERROR(
INDEX(REPORTE_DROPI!T:T,
MATCH($T1071, REPORTE_DROPI!B:B, 0)
),
""
),
""
)
</f>
        <v/>
      </c>
      <c r="K1071" s="78"/>
      <c r="L1071" s="78"/>
      <c r="M1071" s="78"/>
      <c r="N1071" s="78"/>
      <c r="O1071" s="78"/>
      <c r="P1071" s="78"/>
      <c r="Q1071" s="78"/>
      <c r="R1071" s="78"/>
      <c r="S1071" s="78"/>
      <c r="T1071" s="78" t="str">
        <f t="array" ref="T1071">IFERROR(
INDEX(REPORTE_DROPI!B:B,
MATCH(
CLEAN(TRIM(C1071)),
CLEAN(TRIM(REPORTE_DROPI!E:E)),
0
)
),
""
)
</f>
        <v/>
      </c>
      <c r="U1071" s="78"/>
      <c r="V1071" s="78"/>
      <c r="W1071" s="78"/>
      <c r="X1071" s="78"/>
      <c r="Y1071" s="78"/>
      <c r="Z1071" s="78"/>
    </row>
    <row r="1072">
      <c r="A1072" s="78">
        <v>977.0</v>
      </c>
      <c r="B1072" s="78"/>
      <c r="C1072" s="138"/>
      <c r="D1072" s="78"/>
      <c r="E1072" s="139" t="str">
        <f t="array" ref="E1072">IF(
UPPER(TRIM(CLEAN($O1072)))="ENTREGADO",
IFERROR(
INDEX(REPORTE_DROPI!Y:Y,
MATCH($T1072, REPORTE_DROPI!B:B, 0)
),
""
),
""
)
</f>
        <v/>
      </c>
      <c r="F1072" s="78"/>
      <c r="G1072" s="78" t="str">
        <f t="array" ref="G1072">IF(
UPPER(TRIM(CLEAN($O1072)))="ENTREGADO",
IFERROR(
INDEX(REPORTE_DROPI!R:R,
MATCH($T1072, REPORTE_DROPI!B:B, 0)
),
""
),
""
)
</f>
        <v/>
      </c>
      <c r="H1072" s="78"/>
      <c r="I1072" s="78"/>
      <c r="J1072" s="78" t="str">
        <f t="array" ref="J1072">IF(
UPPER(TRIM(CLEAN($O1072)))="ENTREGADO",
IFERROR(
INDEX(REPORTE_DROPI!T:T,
MATCH($T1072, REPORTE_DROPI!B:B, 0)
),
""
),
""
)
</f>
        <v/>
      </c>
      <c r="K1072" s="78"/>
      <c r="L1072" s="78"/>
      <c r="M1072" s="78"/>
      <c r="N1072" s="78"/>
      <c r="O1072" s="78"/>
      <c r="P1072" s="78"/>
      <c r="Q1072" s="78"/>
      <c r="R1072" s="78"/>
      <c r="S1072" s="78"/>
      <c r="T1072" s="78" t="str">
        <f t="array" ref="T1072">IFERROR(
INDEX(REPORTE_DROPI!B:B,
MATCH(
CLEAN(TRIM(C1072)),
CLEAN(TRIM(REPORTE_DROPI!E:E)),
0
)
),
""
)
</f>
        <v/>
      </c>
      <c r="U1072" s="78"/>
      <c r="V1072" s="78"/>
      <c r="W1072" s="78"/>
      <c r="X1072" s="78"/>
      <c r="Y1072" s="78"/>
      <c r="Z1072" s="78"/>
    </row>
    <row r="1073">
      <c r="A1073" s="78">
        <v>978.0</v>
      </c>
      <c r="B1073" s="78"/>
      <c r="C1073" s="138"/>
      <c r="D1073" s="78"/>
      <c r="E1073" s="139" t="str">
        <f t="array" ref="E1073">IF(
UPPER(TRIM(CLEAN($O1073)))="ENTREGADO",
IFERROR(
INDEX(REPORTE_DROPI!Y:Y,
MATCH($T1073, REPORTE_DROPI!B:B, 0)
),
""
),
""
)
</f>
        <v/>
      </c>
      <c r="F1073" s="78"/>
      <c r="G1073" s="78" t="str">
        <f t="array" ref="G1073">IF(
UPPER(TRIM(CLEAN($O1073)))="ENTREGADO",
IFERROR(
INDEX(REPORTE_DROPI!R:R,
MATCH($T1073, REPORTE_DROPI!B:B, 0)
),
""
),
""
)
</f>
        <v/>
      </c>
      <c r="H1073" s="78"/>
      <c r="I1073" s="78"/>
      <c r="J1073" s="78" t="str">
        <f t="array" ref="J1073">IF(
UPPER(TRIM(CLEAN($O1073)))="ENTREGADO",
IFERROR(
INDEX(REPORTE_DROPI!T:T,
MATCH($T1073, REPORTE_DROPI!B:B, 0)
),
""
),
""
)
</f>
        <v/>
      </c>
      <c r="K1073" s="78"/>
      <c r="L1073" s="78"/>
      <c r="M1073" s="78"/>
      <c r="N1073" s="78"/>
      <c r="O1073" s="78"/>
      <c r="P1073" s="78"/>
      <c r="Q1073" s="78"/>
      <c r="R1073" s="78"/>
      <c r="S1073" s="78"/>
      <c r="T1073" s="78" t="str">
        <f t="array" ref="T1073">IFERROR(
INDEX(REPORTE_DROPI!B:B,
MATCH(
CLEAN(TRIM(C1073)),
CLEAN(TRIM(REPORTE_DROPI!E:E)),
0
)
),
""
)
</f>
        <v/>
      </c>
      <c r="U1073" s="78"/>
      <c r="V1073" s="78"/>
      <c r="W1073" s="78"/>
      <c r="X1073" s="78"/>
      <c r="Y1073" s="78"/>
      <c r="Z1073" s="78"/>
    </row>
    <row r="1074">
      <c r="A1074" s="78">
        <v>979.0</v>
      </c>
      <c r="B1074" s="78"/>
      <c r="C1074" s="138"/>
      <c r="D1074" s="78"/>
      <c r="E1074" s="139" t="str">
        <f t="array" ref="E1074">IF(
UPPER(TRIM(CLEAN($O1074)))="ENTREGADO",
IFERROR(
INDEX(REPORTE_DROPI!Y:Y,
MATCH($T1074, REPORTE_DROPI!B:B, 0)
),
""
),
""
)
</f>
        <v/>
      </c>
      <c r="F1074" s="78"/>
      <c r="G1074" s="78" t="str">
        <f t="array" ref="G1074">IF(
UPPER(TRIM(CLEAN($O1074)))="ENTREGADO",
IFERROR(
INDEX(REPORTE_DROPI!R:R,
MATCH($T1074, REPORTE_DROPI!B:B, 0)
),
""
),
""
)
</f>
        <v/>
      </c>
      <c r="H1074" s="78"/>
      <c r="I1074" s="78"/>
      <c r="J1074" s="78" t="str">
        <f t="array" ref="J1074">IF(
UPPER(TRIM(CLEAN($O1074)))="ENTREGADO",
IFERROR(
INDEX(REPORTE_DROPI!T:T,
MATCH($T1074, REPORTE_DROPI!B:B, 0)
),
""
),
""
)
</f>
        <v/>
      </c>
      <c r="K1074" s="78"/>
      <c r="L1074" s="78"/>
      <c r="M1074" s="78"/>
      <c r="N1074" s="78"/>
      <c r="O1074" s="78"/>
      <c r="P1074" s="78"/>
      <c r="Q1074" s="78"/>
      <c r="R1074" s="78"/>
      <c r="S1074" s="78"/>
      <c r="T1074" s="78"/>
      <c r="U1074" s="78"/>
      <c r="V1074" s="78"/>
      <c r="W1074" s="78"/>
      <c r="X1074" s="78"/>
      <c r="Y1074" s="78"/>
      <c r="Z1074" s="78"/>
    </row>
    <row r="1075">
      <c r="A1075" s="78">
        <v>980.0</v>
      </c>
      <c r="B1075" s="78"/>
      <c r="C1075" s="138"/>
      <c r="D1075" s="78"/>
      <c r="E1075" s="139" t="str">
        <f t="array" ref="E1075">IF(
UPPER(TRIM(CLEAN($O1075)))="ENTREGADO",
IFERROR(
INDEX(REPORTE_DROPI!Y:Y,
MATCH($T1075, REPORTE_DROPI!B:B, 0)
),
""
),
""
)
</f>
        <v/>
      </c>
      <c r="F1075" s="78"/>
      <c r="G1075" s="78" t="str">
        <f t="array" ref="G1075">IF(
UPPER(TRIM(CLEAN($O1075)))="ENTREGADO",
IFERROR(
INDEX(REPORTE_DROPI!R:R,
MATCH($T1075, REPORTE_DROPI!B:B, 0)
),
""
),
""
)
</f>
        <v/>
      </c>
      <c r="H1075" s="78"/>
      <c r="I1075" s="78"/>
      <c r="J1075" s="78" t="str">
        <f t="array" ref="J1075">IF(
UPPER(TRIM(CLEAN($O1075)))="ENTREGADO",
IFERROR(
INDEX(REPORTE_DROPI!T:T,
MATCH($T1075, REPORTE_DROPI!B:B, 0)
),
""
),
""
)
</f>
        <v/>
      </c>
      <c r="K1075" s="78"/>
      <c r="L1075" s="78"/>
      <c r="M1075" s="78"/>
      <c r="N1075" s="78"/>
      <c r="O1075" s="78"/>
      <c r="P1075" s="78"/>
      <c r="Q1075" s="78"/>
      <c r="R1075" s="78"/>
      <c r="S1075" s="78"/>
      <c r="T1075" s="78"/>
      <c r="U1075" s="78"/>
      <c r="V1075" s="78"/>
      <c r="W1075" s="78"/>
      <c r="X1075" s="78"/>
      <c r="Y1075" s="78"/>
      <c r="Z1075" s="78"/>
    </row>
    <row r="1076">
      <c r="A1076" s="78">
        <v>981.0</v>
      </c>
      <c r="B1076" s="78"/>
      <c r="C1076" s="138"/>
      <c r="D1076" s="78"/>
      <c r="E1076" s="139" t="str">
        <f t="array" ref="E1076">IF(
UPPER(TRIM(CLEAN($O1076)))="ENTREGADO",
IFERROR(
INDEX(REPORTE_DROPI!Y:Y,
MATCH($T1076, REPORTE_DROPI!B:B, 0)
),
""
),
""
)
</f>
        <v/>
      </c>
      <c r="F1076" s="78"/>
      <c r="G1076" s="78" t="str">
        <f t="array" ref="G1076">IF(
UPPER(TRIM(CLEAN($O1076)))="ENTREGADO",
IFERROR(
INDEX(REPORTE_DROPI!R:R,
MATCH($T1076, REPORTE_DROPI!B:B, 0)
),
""
),
""
)
</f>
        <v/>
      </c>
      <c r="H1076" s="78"/>
      <c r="I1076" s="78"/>
      <c r="J1076" s="78" t="str">
        <f t="array" ref="J1076">IF(
UPPER(TRIM(CLEAN($O1076)))="ENTREGADO",
IFERROR(
INDEX(REPORTE_DROPI!T:T,
MATCH($T1076, REPORTE_DROPI!B:B, 0)
),
""
),
""
)
</f>
        <v/>
      </c>
      <c r="K1076" s="78"/>
      <c r="L1076" s="78"/>
      <c r="M1076" s="78"/>
      <c r="N1076" s="78"/>
      <c r="O1076" s="78"/>
      <c r="P1076" s="78"/>
      <c r="Q1076" s="78"/>
      <c r="R1076" s="78"/>
      <c r="S1076" s="78"/>
      <c r="T1076" s="78"/>
      <c r="U1076" s="78"/>
      <c r="V1076" s="78"/>
      <c r="W1076" s="78"/>
      <c r="X1076" s="78"/>
      <c r="Y1076" s="78"/>
      <c r="Z1076" s="78"/>
    </row>
    <row r="1077">
      <c r="A1077" s="78">
        <v>982.0</v>
      </c>
      <c r="B1077" s="78"/>
      <c r="C1077" s="138"/>
      <c r="D1077" s="78"/>
      <c r="E1077" s="139" t="str">
        <f t="array" ref="E1077">IF(
UPPER(TRIM(CLEAN($O1077)))="ENTREGADO",
IFERROR(
INDEX(REPORTE_DROPI!Y:Y,
MATCH($T1077, REPORTE_DROPI!B:B, 0)
),
""
),
""
)
</f>
        <v/>
      </c>
      <c r="F1077" s="78"/>
      <c r="G1077" s="78" t="str">
        <f t="array" ref="G1077">IF(
UPPER(TRIM(CLEAN($O1077)))="ENTREGADO",
IFERROR(
INDEX(REPORTE_DROPI!R:R,
MATCH($T1077, REPORTE_DROPI!B:B, 0)
),
""
),
""
)
</f>
        <v/>
      </c>
      <c r="H1077" s="78"/>
      <c r="I1077" s="78"/>
      <c r="J1077" s="78" t="str">
        <f t="array" ref="J1077">IF(
UPPER(TRIM(CLEAN($O1077)))="ENTREGADO",
IFERROR(
INDEX(REPORTE_DROPI!T:T,
MATCH($T1077, REPORTE_DROPI!B:B, 0)
),
""
),
""
)
</f>
        <v/>
      </c>
      <c r="K1077" s="78"/>
      <c r="L1077" s="78"/>
      <c r="M1077" s="78"/>
      <c r="N1077" s="78"/>
      <c r="O1077" s="78"/>
      <c r="P1077" s="78"/>
      <c r="Q1077" s="78"/>
      <c r="R1077" s="78"/>
      <c r="S1077" s="78"/>
      <c r="T1077" s="78"/>
      <c r="U1077" s="78"/>
      <c r="V1077" s="78"/>
      <c r="W1077" s="78"/>
      <c r="X1077" s="78"/>
      <c r="Y1077" s="78"/>
      <c r="Z1077" s="78"/>
    </row>
    <row r="1078">
      <c r="A1078" s="78">
        <v>983.0</v>
      </c>
      <c r="B1078" s="78"/>
      <c r="C1078" s="138"/>
      <c r="D1078" s="78"/>
      <c r="E1078" s="139" t="str">
        <f t="array" ref="E1078">IF(
UPPER(TRIM(CLEAN($O1078)))="ENTREGADO",
IFERROR(
INDEX(REPORTE_DROPI!Y:Y,
MATCH($T1078, REPORTE_DROPI!B:B, 0)
),
""
),
""
)
</f>
        <v/>
      </c>
      <c r="F1078" s="78"/>
      <c r="G1078" s="78" t="str">
        <f t="array" ref="G1078">IF(
UPPER(TRIM(CLEAN($O1078)))="ENTREGADO",
IFERROR(
INDEX(REPORTE_DROPI!R:R,
MATCH($T1078, REPORTE_DROPI!B:B, 0)
),
""
),
""
)
</f>
        <v/>
      </c>
      <c r="H1078" s="78"/>
      <c r="I1078" s="78"/>
      <c r="J1078" s="78" t="str">
        <f t="array" ref="J1078">IF(
UPPER(TRIM(CLEAN($O1078)))="ENTREGADO",
IFERROR(
INDEX(REPORTE_DROPI!T:T,
MATCH($T1078, REPORTE_DROPI!B:B, 0)
),
""
),
""
)
</f>
        <v/>
      </c>
      <c r="K1078" s="78"/>
      <c r="L1078" s="78"/>
      <c r="M1078" s="78"/>
      <c r="N1078" s="78"/>
      <c r="O1078" s="78"/>
      <c r="P1078" s="78"/>
      <c r="Q1078" s="78"/>
      <c r="R1078" s="78"/>
      <c r="S1078" s="78"/>
      <c r="T1078" s="78"/>
      <c r="U1078" s="78"/>
      <c r="V1078" s="78"/>
      <c r="W1078" s="78"/>
      <c r="X1078" s="78"/>
      <c r="Y1078" s="78"/>
      <c r="Z1078" s="78"/>
    </row>
    <row r="1079">
      <c r="A1079" s="78">
        <v>691.0</v>
      </c>
      <c r="B1079" s="78"/>
      <c r="C1079" s="138"/>
      <c r="D1079" s="78"/>
      <c r="E1079" s="139" t="str">
        <f t="array" ref="E1079">IF(
UPPER(TRIM(CLEAN($O1079)))="ENTREGADO",
IFERROR(
INDEX(REPORTE_DROPI!Y:Y,
MATCH($T1079, REPORTE_DROPI!B:B, 0)
),
""
),
""
)
</f>
        <v/>
      </c>
      <c r="F1079" s="78"/>
      <c r="G1079" s="78" t="str">
        <f t="array" ref="G1079">IF(
UPPER(TRIM(CLEAN($O1079)))="ENTREGADO",
IFERROR(
INDEX(REPORTE_DROPI!R:R,
MATCH($T1079, REPORTE_DROPI!B:B, 0)
),
""
),
""
)
</f>
        <v/>
      </c>
      <c r="H1079" s="78"/>
      <c r="I1079" s="78"/>
      <c r="J1079" s="78" t="str">
        <f t="array" ref="J1079">IF(
UPPER(TRIM(CLEAN($O1079)))="ENTREGADO",
IFERROR(
INDEX(REPORTE_DROPI!T:T,
MATCH($T1079, REPORTE_DROPI!B:B, 0)
),
""
),
""
)
</f>
        <v/>
      </c>
      <c r="K1079" s="78"/>
      <c r="L1079" s="78"/>
      <c r="M1079" s="78"/>
      <c r="N1079" s="78"/>
      <c r="O1079" s="78"/>
      <c r="P1079" s="78"/>
      <c r="Q1079" s="78"/>
      <c r="R1079" s="78"/>
      <c r="S1079" s="78"/>
      <c r="T1079" s="78"/>
      <c r="U1079" s="78"/>
      <c r="V1079" s="78"/>
      <c r="W1079" s="78"/>
      <c r="X1079" s="78"/>
      <c r="Y1079" s="78"/>
      <c r="Z1079" s="78"/>
    </row>
    <row r="1080">
      <c r="A1080" s="78">
        <v>692.0</v>
      </c>
      <c r="B1080" s="78"/>
      <c r="C1080" s="138"/>
      <c r="D1080" s="78"/>
      <c r="E1080" s="139" t="str">
        <f t="array" ref="E1080">IF(
UPPER(TRIM(CLEAN($O1080)))="ENTREGADO",
IFERROR(
INDEX(REPORTE_DROPI!Y:Y,
MATCH($T1080, REPORTE_DROPI!B:B, 0)
),
""
),
""
)
</f>
        <v/>
      </c>
      <c r="F1080" s="78"/>
      <c r="G1080" s="78" t="str">
        <f t="array" ref="G1080">IF(
UPPER(TRIM(CLEAN($O1080)))="ENTREGADO",
IFERROR(
INDEX(REPORTE_DROPI!R:R,
MATCH($T1080, REPORTE_DROPI!B:B, 0)
),
""
),
""
)
</f>
        <v/>
      </c>
      <c r="H1080" s="78"/>
      <c r="I1080" s="78"/>
      <c r="J1080" s="78" t="str">
        <f t="array" ref="J1080">IF(
UPPER(TRIM(CLEAN($O1080)))="ENTREGADO",
IFERROR(
INDEX(REPORTE_DROPI!T:T,
MATCH($T1080, REPORTE_DROPI!B:B, 0)
),
""
),
""
)
</f>
        <v/>
      </c>
      <c r="K1080" s="78"/>
      <c r="L1080" s="78"/>
      <c r="M1080" s="78"/>
      <c r="N1080" s="78"/>
      <c r="O1080" s="78"/>
      <c r="P1080" s="78"/>
      <c r="Q1080" s="78"/>
      <c r="R1080" s="78"/>
      <c r="S1080" s="78"/>
      <c r="T1080" s="78"/>
      <c r="U1080" s="78"/>
      <c r="V1080" s="78"/>
      <c r="W1080" s="78"/>
      <c r="X1080" s="78"/>
      <c r="Y1080" s="78"/>
      <c r="Z1080" s="78"/>
    </row>
    <row r="1081">
      <c r="A1081" s="78">
        <v>693.0</v>
      </c>
      <c r="B1081" s="78"/>
      <c r="C1081" s="138"/>
      <c r="D1081" s="78"/>
      <c r="E1081" s="139" t="str">
        <f t="array" ref="E1081">IF(
UPPER(TRIM(CLEAN($O1081)))="ENTREGADO",
IFERROR(
INDEX(REPORTE_DROPI!Y:Y,
MATCH($T1081, REPORTE_DROPI!B:B, 0)
),
""
),
""
)
</f>
        <v/>
      </c>
      <c r="F1081" s="78"/>
      <c r="G1081" s="78" t="str">
        <f t="array" ref="G1081">IF(
UPPER(TRIM(CLEAN($O1081)))="ENTREGADO",
IFERROR(
INDEX(REPORTE_DROPI!R:R,
MATCH($T1081, REPORTE_DROPI!B:B, 0)
),
""
),
""
)
</f>
        <v/>
      </c>
      <c r="H1081" s="78"/>
      <c r="I1081" s="78"/>
      <c r="J1081" s="78" t="str">
        <f t="array" ref="J1081">IF(
UPPER(TRIM(CLEAN($O1081)))="ENTREGADO",
IFERROR(
INDEX(REPORTE_DROPI!T:T,
MATCH($T1081, REPORTE_DROPI!B:B, 0)
),
""
),
""
)
</f>
        <v/>
      </c>
      <c r="K1081" s="78"/>
      <c r="L1081" s="78"/>
      <c r="M1081" s="78"/>
      <c r="N1081" s="78"/>
      <c r="O1081" s="78"/>
      <c r="P1081" s="78"/>
      <c r="Q1081" s="78"/>
      <c r="R1081" s="78"/>
      <c r="S1081" s="78"/>
      <c r="T1081" s="78"/>
      <c r="U1081" s="78"/>
      <c r="V1081" s="78"/>
      <c r="W1081" s="78"/>
      <c r="X1081" s="78"/>
      <c r="Y1081" s="78"/>
      <c r="Z1081" s="78"/>
    </row>
    <row r="1082">
      <c r="A1082" s="78">
        <v>694.0</v>
      </c>
      <c r="B1082" s="78"/>
      <c r="C1082" s="138"/>
      <c r="D1082" s="78"/>
      <c r="E1082" s="139" t="str">
        <f t="array" ref="E1082">IF(
UPPER(TRIM(CLEAN($O1082)))="ENTREGADO",
IFERROR(
INDEX(REPORTE_DROPI!Y:Y,
MATCH($T1082, REPORTE_DROPI!B:B, 0)
),
""
),
""
)
</f>
        <v/>
      </c>
      <c r="F1082" s="78"/>
      <c r="G1082" s="78" t="str">
        <f t="array" ref="G1082">IF(
UPPER(TRIM(CLEAN($O1082)))="ENTREGADO",
IFERROR(
INDEX(REPORTE_DROPI!R:R,
MATCH($T1082, REPORTE_DROPI!B:B, 0)
),
""
),
""
)
</f>
        <v/>
      </c>
      <c r="H1082" s="78"/>
      <c r="I1082" s="78"/>
      <c r="J1082" s="78" t="str">
        <f t="array" ref="J1082">IF(
UPPER(TRIM(CLEAN($O1082)))="ENTREGADO",
IFERROR(
INDEX(REPORTE_DROPI!T:T,
MATCH($T1082, REPORTE_DROPI!B:B, 0)
),
""
),
""
)
</f>
        <v/>
      </c>
      <c r="K1082" s="78"/>
      <c r="L1082" s="78"/>
      <c r="M1082" s="78"/>
      <c r="N1082" s="78"/>
      <c r="O1082" s="78"/>
      <c r="P1082" s="78"/>
      <c r="Q1082" s="78"/>
      <c r="R1082" s="78"/>
      <c r="S1082" s="78"/>
      <c r="T1082" s="78"/>
      <c r="U1082" s="78"/>
      <c r="V1082" s="78"/>
      <c r="W1082" s="78"/>
      <c r="X1082" s="78"/>
      <c r="Y1082" s="78"/>
      <c r="Z1082" s="78"/>
    </row>
    <row r="1083">
      <c r="A1083" s="78">
        <v>695.0</v>
      </c>
      <c r="B1083" s="78"/>
      <c r="C1083" s="138"/>
      <c r="D1083" s="78"/>
      <c r="E1083" s="139" t="str">
        <f t="array" ref="E1083">IF(
UPPER(TRIM(CLEAN($O1083)))="ENTREGADO",
IFERROR(
INDEX(REPORTE_DROPI!Y:Y,
MATCH($T1083, REPORTE_DROPI!B:B, 0)
),
""
),
""
)
</f>
        <v/>
      </c>
      <c r="F1083" s="78"/>
      <c r="G1083" s="78" t="str">
        <f t="array" ref="G1083">IF(
UPPER(TRIM(CLEAN($O1083)))="ENTREGADO",
IFERROR(
INDEX(REPORTE_DROPI!R:R,
MATCH($T1083, REPORTE_DROPI!B:B, 0)
),
""
),
""
)
</f>
        <v/>
      </c>
      <c r="H1083" s="78"/>
      <c r="I1083" s="78"/>
      <c r="J1083" s="78" t="str">
        <f t="array" ref="J1083">IF(
UPPER(TRIM(CLEAN($O1083)))="ENTREGADO",
IFERROR(
INDEX(REPORTE_DROPI!T:T,
MATCH($T1083, REPORTE_DROPI!B:B, 0)
),
""
),
""
)
</f>
        <v/>
      </c>
      <c r="K1083" s="78"/>
      <c r="L1083" s="78"/>
      <c r="M1083" s="78"/>
      <c r="N1083" s="78"/>
      <c r="O1083" s="78"/>
      <c r="P1083" s="78"/>
      <c r="Q1083" s="78"/>
      <c r="R1083" s="78"/>
      <c r="S1083" s="78"/>
      <c r="T1083" s="78"/>
      <c r="U1083" s="78"/>
      <c r="V1083" s="78"/>
      <c r="W1083" s="78"/>
      <c r="X1083" s="78"/>
      <c r="Y1083" s="78"/>
      <c r="Z1083" s="78"/>
    </row>
    <row r="1084">
      <c r="A1084" s="78">
        <v>696.0</v>
      </c>
      <c r="B1084" s="78"/>
      <c r="C1084" s="138"/>
      <c r="D1084" s="78"/>
      <c r="E1084" s="139" t="str">
        <f t="array" ref="E1084">IF(
UPPER(TRIM(CLEAN($O1084)))="ENTREGADO",
IFERROR(
INDEX(REPORTE_DROPI!Y:Y,
MATCH($T1084, REPORTE_DROPI!B:B, 0)
),
""
),
""
)
</f>
        <v/>
      </c>
      <c r="F1084" s="78"/>
      <c r="G1084" s="78" t="str">
        <f t="array" ref="G1084">IF(
UPPER(TRIM(CLEAN($O1084)))="ENTREGADO",
IFERROR(
INDEX(REPORTE_DROPI!R:R,
MATCH($T1084, REPORTE_DROPI!B:B, 0)
),
""
),
""
)
</f>
        <v/>
      </c>
      <c r="H1084" s="78"/>
      <c r="I1084" s="78"/>
      <c r="J1084" s="78" t="str">
        <f t="array" ref="J1084">IF(
UPPER(TRIM(CLEAN($O1084)))="ENTREGADO",
IFERROR(
INDEX(REPORTE_DROPI!T:T,
MATCH($T1084, REPORTE_DROPI!B:B, 0)
),
""
),
""
)
</f>
        <v/>
      </c>
      <c r="K1084" s="78"/>
      <c r="L1084" s="78"/>
      <c r="M1084" s="78"/>
      <c r="N1084" s="78"/>
      <c r="O1084" s="78"/>
      <c r="P1084" s="78"/>
      <c r="Q1084" s="78"/>
      <c r="R1084" s="78"/>
      <c r="S1084" s="78"/>
      <c r="T1084" s="78"/>
      <c r="U1084" s="78"/>
      <c r="V1084" s="78"/>
      <c r="W1084" s="78"/>
      <c r="X1084" s="78"/>
      <c r="Y1084" s="78"/>
      <c r="Z1084" s="78"/>
    </row>
    <row r="1085">
      <c r="A1085" s="78">
        <v>697.0</v>
      </c>
      <c r="B1085" s="78"/>
      <c r="C1085" s="138"/>
      <c r="D1085" s="78"/>
      <c r="E1085" s="139" t="str">
        <f t="array" ref="E1085">IF(
UPPER(TRIM(CLEAN($O1085)))="ENTREGADO",
IFERROR(
INDEX(REPORTE_DROPI!Y:Y,
MATCH($T1085, REPORTE_DROPI!B:B, 0)
),
""
),
""
)
</f>
        <v/>
      </c>
      <c r="F1085" s="78"/>
      <c r="G1085" s="78" t="str">
        <f t="array" ref="G1085">IF(
UPPER(TRIM(CLEAN($O1085)))="ENTREGADO",
IFERROR(
INDEX(REPORTE_DROPI!R:R,
MATCH($T1085, REPORTE_DROPI!B:B, 0)
),
""
),
""
)
</f>
        <v/>
      </c>
      <c r="H1085" s="78"/>
      <c r="I1085" s="78"/>
      <c r="J1085" s="78" t="str">
        <f t="array" ref="J1085">IF(
UPPER(TRIM(CLEAN($O1085)))="ENTREGADO",
IFERROR(
INDEX(REPORTE_DROPI!T:T,
MATCH($T1085, REPORTE_DROPI!B:B, 0)
),
""
),
""
)
</f>
        <v/>
      </c>
      <c r="K1085" s="78"/>
      <c r="L1085" s="78"/>
      <c r="M1085" s="78"/>
      <c r="N1085" s="78"/>
      <c r="O1085" s="78"/>
      <c r="P1085" s="78"/>
      <c r="Q1085" s="78"/>
      <c r="R1085" s="78"/>
      <c r="S1085" s="78"/>
      <c r="T1085" s="78"/>
      <c r="U1085" s="78"/>
      <c r="V1085" s="78"/>
      <c r="W1085" s="78"/>
      <c r="X1085" s="78"/>
      <c r="Y1085" s="78"/>
      <c r="Z1085" s="78"/>
    </row>
    <row r="1086">
      <c r="A1086" s="78">
        <v>698.0</v>
      </c>
      <c r="B1086" s="78"/>
      <c r="C1086" s="138"/>
      <c r="D1086" s="78"/>
      <c r="E1086" s="139" t="str">
        <f t="array" ref="E1086">IF(
UPPER(TRIM(CLEAN($O1086)))="ENTREGADO",
IFERROR(
INDEX(REPORTE_DROPI!Y:Y,
MATCH($T1086, REPORTE_DROPI!B:B, 0)
),
""
),
""
)
</f>
        <v/>
      </c>
      <c r="F1086" s="78"/>
      <c r="G1086" s="78" t="str">
        <f t="array" ref="G1086">IF(
UPPER(TRIM(CLEAN($O1086)))="ENTREGADO",
IFERROR(
INDEX(REPORTE_DROPI!R:R,
MATCH($T1086, REPORTE_DROPI!B:B, 0)
),
""
),
""
)
</f>
        <v/>
      </c>
      <c r="H1086" s="78"/>
      <c r="I1086" s="78"/>
      <c r="J1086" s="78" t="str">
        <f t="array" ref="J1086">IF(
UPPER(TRIM(CLEAN($O1086)))="ENTREGADO",
IFERROR(
INDEX(REPORTE_DROPI!T:T,
MATCH($T1086, REPORTE_DROPI!B:B, 0)
),
""
),
""
)
</f>
        <v/>
      </c>
      <c r="K1086" s="78"/>
      <c r="L1086" s="78"/>
      <c r="M1086" s="78"/>
      <c r="N1086" s="78"/>
      <c r="O1086" s="78"/>
      <c r="P1086" s="78"/>
      <c r="Q1086" s="78"/>
      <c r="R1086" s="78"/>
      <c r="S1086" s="78"/>
      <c r="T1086" s="78"/>
      <c r="U1086" s="78"/>
      <c r="V1086" s="78"/>
      <c r="W1086" s="78"/>
      <c r="X1086" s="78"/>
      <c r="Y1086" s="78"/>
      <c r="Z1086" s="78"/>
    </row>
    <row r="1087">
      <c r="A1087" s="78">
        <v>699.0</v>
      </c>
      <c r="B1087" s="78"/>
      <c r="C1087" s="138"/>
      <c r="D1087" s="78"/>
      <c r="E1087" s="139" t="str">
        <f t="array" ref="E1087">IF(
UPPER(TRIM(CLEAN($O1087)))="ENTREGADO",
IFERROR(
INDEX(REPORTE_DROPI!Y:Y,
MATCH($T1087, REPORTE_DROPI!B:B, 0)
),
""
),
""
)
</f>
        <v/>
      </c>
      <c r="F1087" s="78"/>
      <c r="G1087" s="78" t="str">
        <f t="array" ref="G1087">IF(
UPPER(TRIM(CLEAN($O1087)))="ENTREGADO",
IFERROR(
INDEX(REPORTE_DROPI!R:R,
MATCH($T1087, REPORTE_DROPI!B:B, 0)
),
""
),
""
)
</f>
        <v/>
      </c>
      <c r="H1087" s="78"/>
      <c r="I1087" s="78"/>
      <c r="J1087" s="78" t="str">
        <f t="array" ref="J1087">IF(
UPPER(TRIM(CLEAN($O1087)))="ENTREGADO",
IFERROR(
INDEX(REPORTE_DROPI!T:T,
MATCH($T1087, REPORTE_DROPI!B:B, 0)
),
""
),
""
)
</f>
        <v/>
      </c>
      <c r="K1087" s="78"/>
      <c r="L1087" s="78"/>
      <c r="M1087" s="78"/>
      <c r="N1087" s="78"/>
      <c r="O1087" s="78"/>
      <c r="P1087" s="78"/>
      <c r="Q1087" s="78"/>
      <c r="R1087" s="78"/>
      <c r="S1087" s="78"/>
      <c r="T1087" s="78"/>
      <c r="U1087" s="78"/>
      <c r="V1087" s="78"/>
      <c r="W1087" s="78"/>
      <c r="X1087" s="78"/>
      <c r="Y1087" s="78"/>
      <c r="Z1087" s="78"/>
    </row>
    <row r="1088">
      <c r="A1088" s="78">
        <v>700.0</v>
      </c>
      <c r="B1088" s="78"/>
      <c r="C1088" s="138"/>
      <c r="D1088" s="78"/>
      <c r="E1088" s="139" t="str">
        <f t="array" ref="E1088">IF(
UPPER(TRIM(CLEAN($O1088)))="ENTREGADO",
IFERROR(
INDEX(REPORTE_DROPI!Y:Y,
MATCH($T1088, REPORTE_DROPI!B:B, 0)
),
""
),
""
)
</f>
        <v/>
      </c>
      <c r="F1088" s="78"/>
      <c r="G1088" s="78" t="str">
        <f t="array" ref="G1088">IF(
UPPER(TRIM(CLEAN($O1088)))="ENTREGADO",
IFERROR(
INDEX(REPORTE_DROPI!R:R,
MATCH($T1088, REPORTE_DROPI!B:B, 0)
),
""
),
""
)
</f>
        <v/>
      </c>
      <c r="H1088" s="78"/>
      <c r="I1088" s="78"/>
      <c r="J1088" s="78" t="str">
        <f t="array" ref="J1088">IF(
UPPER(TRIM(CLEAN($O1088)))="ENTREGADO",
IFERROR(
INDEX(REPORTE_DROPI!T:T,
MATCH($T1088, REPORTE_DROPI!B:B, 0)
),
""
),
""
)
</f>
        <v/>
      </c>
      <c r="K1088" s="78"/>
      <c r="L1088" s="78"/>
      <c r="M1088" s="78"/>
      <c r="N1088" s="78"/>
      <c r="O1088" s="78"/>
      <c r="P1088" s="78"/>
      <c r="Q1088" s="78"/>
      <c r="R1088" s="78"/>
      <c r="S1088" s="78"/>
      <c r="T1088" s="78"/>
      <c r="U1088" s="78"/>
      <c r="V1088" s="78"/>
      <c r="W1088" s="78"/>
      <c r="X1088" s="78"/>
      <c r="Y1088" s="78"/>
      <c r="Z1088" s="78"/>
    </row>
    <row r="1089">
      <c r="A1089" s="78">
        <v>701.0</v>
      </c>
      <c r="B1089" s="78"/>
      <c r="C1089" s="138"/>
      <c r="D1089" s="78"/>
      <c r="E1089" s="139" t="str">
        <f t="array" ref="E1089">IF(
UPPER(TRIM(CLEAN($O1089)))="ENTREGADO",
IFERROR(
INDEX(REPORTE_DROPI!Y:Y,
MATCH($T1089, REPORTE_DROPI!B:B, 0)
),
""
),
""
)
</f>
        <v/>
      </c>
      <c r="F1089" s="78"/>
      <c r="G1089" s="78" t="str">
        <f t="array" ref="G1089">IF(
UPPER(TRIM(CLEAN($O1089)))="ENTREGADO",
IFERROR(
INDEX(REPORTE_DROPI!R:R,
MATCH($T1089, REPORTE_DROPI!B:B, 0)
),
""
),
""
)
</f>
        <v/>
      </c>
      <c r="H1089" s="78"/>
      <c r="I1089" s="78"/>
      <c r="J1089" s="78" t="str">
        <f t="array" ref="J1089">IF(
UPPER(TRIM(CLEAN($O1089)))="ENTREGADO",
IFERROR(
INDEX(REPORTE_DROPI!T:T,
MATCH($T1089, REPORTE_DROPI!B:B, 0)
),
""
),
""
)
</f>
        <v/>
      </c>
      <c r="K1089" s="78"/>
      <c r="L1089" s="78"/>
      <c r="M1089" s="78"/>
      <c r="N1089" s="78"/>
      <c r="O1089" s="78"/>
      <c r="P1089" s="78"/>
      <c r="Q1089" s="78"/>
      <c r="R1089" s="78"/>
      <c r="S1089" s="78"/>
      <c r="T1089" s="78"/>
      <c r="U1089" s="78"/>
      <c r="V1089" s="78"/>
      <c r="W1089" s="78"/>
      <c r="X1089" s="78"/>
      <c r="Y1089" s="78"/>
      <c r="Z1089" s="78"/>
    </row>
    <row r="1090">
      <c r="A1090" s="78">
        <v>702.0</v>
      </c>
      <c r="B1090" s="78"/>
      <c r="C1090" s="138"/>
      <c r="D1090" s="78"/>
      <c r="E1090" s="139" t="str">
        <f t="array" ref="E1090">IF(
UPPER(TRIM(CLEAN($O1090)))="ENTREGADO",
IFERROR(
INDEX(REPORTE_DROPI!Y:Y,
MATCH($T1090, REPORTE_DROPI!B:B, 0)
),
""
),
""
)
</f>
        <v/>
      </c>
      <c r="F1090" s="78"/>
      <c r="G1090" s="78" t="str">
        <f t="array" ref="G1090">IF(
UPPER(TRIM(CLEAN($O1090)))="ENTREGADO",
IFERROR(
INDEX(REPORTE_DROPI!R:R,
MATCH($T1090, REPORTE_DROPI!B:B, 0)
),
""
),
""
)
</f>
        <v/>
      </c>
      <c r="H1090" s="78"/>
      <c r="I1090" s="78"/>
      <c r="J1090" s="78" t="str">
        <f t="array" ref="J1090">IF(
UPPER(TRIM(CLEAN($O1090)))="ENTREGADO",
IFERROR(
INDEX(REPORTE_DROPI!T:T,
MATCH($T1090, REPORTE_DROPI!B:B, 0)
),
""
),
""
)
</f>
        <v/>
      </c>
      <c r="K1090" s="78"/>
      <c r="L1090" s="78"/>
      <c r="M1090" s="78"/>
      <c r="N1090" s="78"/>
      <c r="O1090" s="78"/>
      <c r="P1090" s="78"/>
      <c r="Q1090" s="78"/>
      <c r="R1090" s="78"/>
      <c r="S1090" s="78"/>
      <c r="T1090" s="78"/>
      <c r="U1090" s="78"/>
      <c r="V1090" s="78"/>
      <c r="W1090" s="78"/>
      <c r="X1090" s="78"/>
      <c r="Y1090" s="78"/>
      <c r="Z1090" s="78"/>
    </row>
    <row r="1091">
      <c r="A1091" s="78">
        <v>703.0</v>
      </c>
      <c r="B1091" s="78"/>
      <c r="C1091" s="138"/>
      <c r="D1091" s="78"/>
      <c r="E1091" s="139" t="str">
        <f t="array" ref="E1091">IF(
UPPER(TRIM(CLEAN($O1091)))="ENTREGADO",
IFERROR(
INDEX(REPORTE_DROPI!Y:Y,
MATCH($T1091, REPORTE_DROPI!B:B, 0)
),
""
),
""
)
</f>
        <v/>
      </c>
      <c r="F1091" s="78"/>
      <c r="G1091" s="78" t="str">
        <f t="array" ref="G1091">IF(
UPPER(TRIM(CLEAN($O1091)))="ENTREGADO",
IFERROR(
INDEX(REPORTE_DROPI!R:R,
MATCH($T1091, REPORTE_DROPI!B:B, 0)
),
""
),
""
)
</f>
        <v/>
      </c>
      <c r="H1091" s="78"/>
      <c r="I1091" s="78"/>
      <c r="J1091" s="78" t="str">
        <f t="array" ref="J1091">IF(
UPPER(TRIM(CLEAN($O1091)))="ENTREGADO",
IFERROR(
INDEX(REPORTE_DROPI!T:T,
MATCH($T1091, REPORTE_DROPI!B:B, 0)
),
""
),
""
)
</f>
        <v/>
      </c>
      <c r="K1091" s="78"/>
      <c r="L1091" s="78"/>
      <c r="M1091" s="78"/>
      <c r="N1091" s="78"/>
      <c r="O1091" s="78"/>
      <c r="P1091" s="78"/>
      <c r="Q1091" s="78"/>
      <c r="R1091" s="78"/>
      <c r="S1091" s="78"/>
      <c r="T1091" s="78"/>
      <c r="U1091" s="78"/>
      <c r="V1091" s="78"/>
      <c r="W1091" s="78"/>
      <c r="X1091" s="78"/>
      <c r="Y1091" s="78"/>
      <c r="Z1091" s="78"/>
    </row>
    <row r="1092">
      <c r="A1092" s="78">
        <v>704.0</v>
      </c>
      <c r="B1092" s="78"/>
      <c r="C1092" s="138"/>
      <c r="D1092" s="78"/>
      <c r="E1092" s="139" t="str">
        <f t="array" ref="E1092">IF(
UPPER(TRIM(CLEAN($O1092)))="ENTREGADO",
IFERROR(
INDEX(REPORTE_DROPI!Y:Y,
MATCH($T1092, REPORTE_DROPI!B:B, 0)
),
""
),
""
)
</f>
        <v/>
      </c>
      <c r="F1092" s="78"/>
      <c r="G1092" s="78" t="str">
        <f t="array" ref="G1092">IF(
UPPER(TRIM(CLEAN($O1092)))="ENTREGADO",
IFERROR(
INDEX(REPORTE_DROPI!R:R,
MATCH($T1092, REPORTE_DROPI!B:B, 0)
),
""
),
""
)
</f>
        <v/>
      </c>
      <c r="H1092" s="78"/>
      <c r="I1092" s="78"/>
      <c r="J1092" s="78" t="str">
        <f t="array" ref="J1092">IF(
UPPER(TRIM(CLEAN($O1092)))="ENTREGADO",
IFERROR(
INDEX(REPORTE_DROPI!T:T,
MATCH($T1092, REPORTE_DROPI!B:B, 0)
),
""
),
""
)
</f>
        <v/>
      </c>
      <c r="K1092" s="78"/>
      <c r="L1092" s="78"/>
      <c r="M1092" s="78"/>
      <c r="N1092" s="78"/>
      <c r="O1092" s="78"/>
      <c r="P1092" s="78"/>
      <c r="Q1092" s="78"/>
      <c r="R1092" s="78"/>
      <c r="S1092" s="78"/>
      <c r="T1092" s="78"/>
      <c r="U1092" s="78"/>
      <c r="V1092" s="78"/>
      <c r="W1092" s="78"/>
      <c r="X1092" s="78"/>
      <c r="Y1092" s="78"/>
      <c r="Z1092" s="78"/>
    </row>
    <row r="1093">
      <c r="A1093" s="78">
        <v>705.0</v>
      </c>
      <c r="B1093" s="78"/>
      <c r="C1093" s="138"/>
      <c r="D1093" s="78"/>
      <c r="E1093" s="139" t="str">
        <f t="array" ref="E1093">IF(
UPPER(TRIM(CLEAN($O1093)))="ENTREGADO",
IFERROR(
INDEX(REPORTE_DROPI!Y:Y,
MATCH($T1093, REPORTE_DROPI!B:B, 0)
),
""
),
""
)
</f>
        <v/>
      </c>
      <c r="F1093" s="78"/>
      <c r="G1093" s="78" t="str">
        <f t="array" ref="G1093">IF(
UPPER(TRIM(CLEAN($O1093)))="ENTREGADO",
IFERROR(
INDEX(REPORTE_DROPI!R:R,
MATCH($T1093, REPORTE_DROPI!B:B, 0)
),
""
),
""
)
</f>
        <v/>
      </c>
      <c r="H1093" s="78"/>
      <c r="I1093" s="78"/>
      <c r="J1093" s="78" t="str">
        <f t="array" ref="J1093">IF(
UPPER(TRIM(CLEAN($O1093)))="ENTREGADO",
IFERROR(
INDEX(REPORTE_DROPI!T:T,
MATCH($T1093, REPORTE_DROPI!B:B, 0)
),
""
),
""
)
</f>
        <v/>
      </c>
      <c r="K1093" s="78"/>
      <c r="L1093" s="78"/>
      <c r="M1093" s="78"/>
      <c r="N1093" s="78"/>
      <c r="O1093" s="78"/>
      <c r="P1093" s="78"/>
      <c r="Q1093" s="78"/>
      <c r="R1093" s="78"/>
      <c r="S1093" s="78"/>
      <c r="T1093" s="78"/>
      <c r="U1093" s="78"/>
      <c r="V1093" s="78"/>
      <c r="W1093" s="78"/>
      <c r="X1093" s="78"/>
      <c r="Y1093" s="78"/>
      <c r="Z1093" s="78"/>
    </row>
    <row r="1094">
      <c r="A1094" s="78">
        <v>706.0</v>
      </c>
      <c r="B1094" s="78"/>
      <c r="C1094" s="138"/>
      <c r="D1094" s="78"/>
      <c r="E1094" s="139" t="str">
        <f t="array" ref="E1094">IF(
UPPER(TRIM(CLEAN($O1094)))="ENTREGADO",
IFERROR(
INDEX(REPORTE_DROPI!Y:Y,
MATCH($T1094, REPORTE_DROPI!B:B, 0)
),
""
),
""
)
</f>
        <v/>
      </c>
      <c r="F1094" s="78"/>
      <c r="G1094" s="78" t="str">
        <f t="array" ref="G1094">IF(
UPPER(TRIM(CLEAN($O1094)))="ENTREGADO",
IFERROR(
INDEX(REPORTE_DROPI!R:R,
MATCH($T1094, REPORTE_DROPI!B:B, 0)
),
""
),
""
)
</f>
        <v/>
      </c>
      <c r="H1094" s="78"/>
      <c r="I1094" s="78"/>
      <c r="J1094" s="78" t="str">
        <f t="array" ref="J1094">IF(
UPPER(TRIM(CLEAN($O1094)))="ENTREGADO",
IFERROR(
INDEX(REPORTE_DROPI!T:T,
MATCH($T1094, REPORTE_DROPI!B:B, 0)
),
""
),
""
)
</f>
        <v/>
      </c>
      <c r="K1094" s="78"/>
      <c r="L1094" s="78"/>
      <c r="M1094" s="78"/>
      <c r="N1094" s="78"/>
      <c r="O1094" s="78"/>
      <c r="P1094" s="78"/>
      <c r="Q1094" s="78"/>
      <c r="R1094" s="78"/>
      <c r="S1094" s="78"/>
      <c r="T1094" s="78"/>
      <c r="U1094" s="78"/>
      <c r="V1094" s="78"/>
      <c r="W1094" s="78"/>
      <c r="X1094" s="78"/>
      <c r="Y1094" s="78"/>
      <c r="Z1094" s="78"/>
    </row>
    <row r="1095">
      <c r="A1095" s="78">
        <v>707.0</v>
      </c>
      <c r="B1095" s="78"/>
      <c r="C1095" s="138"/>
      <c r="D1095" s="78"/>
      <c r="E1095" s="139" t="str">
        <f t="array" ref="E1095">IF(
UPPER(TRIM(CLEAN($O1095)))="ENTREGADO",
IFERROR(
INDEX(REPORTE_DROPI!Y:Y,
MATCH($T1095, REPORTE_DROPI!B:B, 0)
),
""
),
""
)
</f>
        <v/>
      </c>
      <c r="F1095" s="78"/>
      <c r="G1095" s="78" t="str">
        <f t="array" ref="G1095">IF(
UPPER(TRIM(CLEAN($O1095)))="ENTREGADO",
IFERROR(
INDEX(REPORTE_DROPI!R:R,
MATCH($T1095, REPORTE_DROPI!B:B, 0)
),
""
),
""
)
</f>
        <v/>
      </c>
      <c r="H1095" s="78"/>
      <c r="I1095" s="78"/>
      <c r="J1095" s="78" t="str">
        <f t="array" ref="J1095">IF(
UPPER(TRIM(CLEAN($O1095)))="ENTREGADO",
IFERROR(
INDEX(REPORTE_DROPI!T:T,
MATCH($T1095, REPORTE_DROPI!B:B, 0)
),
""
),
""
)
</f>
        <v/>
      </c>
      <c r="K1095" s="78"/>
      <c r="L1095" s="78"/>
      <c r="M1095" s="78"/>
      <c r="N1095" s="78"/>
      <c r="O1095" s="78"/>
      <c r="P1095" s="78"/>
      <c r="Q1095" s="78"/>
      <c r="R1095" s="78"/>
      <c r="S1095" s="78"/>
      <c r="T1095" s="78"/>
      <c r="U1095" s="78"/>
      <c r="V1095" s="78"/>
      <c r="W1095" s="78"/>
      <c r="X1095" s="78"/>
      <c r="Y1095" s="78"/>
      <c r="Z1095" s="78"/>
    </row>
    <row r="1096">
      <c r="A1096" s="78">
        <v>708.0</v>
      </c>
      <c r="B1096" s="78"/>
      <c r="C1096" s="138"/>
      <c r="D1096" s="78"/>
      <c r="E1096" s="139" t="str">
        <f t="array" ref="E1096">IF(
UPPER(TRIM(CLEAN($O1096)))="ENTREGADO",
IFERROR(
INDEX(REPORTE_DROPI!Y:Y,
MATCH($T1096, REPORTE_DROPI!B:B, 0)
),
""
),
""
)
</f>
        <v/>
      </c>
      <c r="F1096" s="78"/>
      <c r="G1096" s="78" t="str">
        <f t="array" ref="G1096">IF(
UPPER(TRIM(CLEAN($O1096)))="ENTREGADO",
IFERROR(
INDEX(REPORTE_DROPI!R:R,
MATCH($T1096, REPORTE_DROPI!B:B, 0)
),
""
),
""
)
</f>
        <v/>
      </c>
      <c r="H1096" s="78"/>
      <c r="I1096" s="78"/>
      <c r="J1096" s="78" t="str">
        <f t="array" ref="J1096">IF(
UPPER(TRIM(CLEAN($O1096)))="ENTREGADO",
IFERROR(
INDEX(REPORTE_DROPI!T:T,
MATCH($T1096, REPORTE_DROPI!B:B, 0)
),
""
),
""
)
</f>
        <v/>
      </c>
      <c r="K1096" s="78"/>
      <c r="L1096" s="78"/>
      <c r="M1096" s="78"/>
      <c r="N1096" s="78"/>
      <c r="O1096" s="78"/>
      <c r="P1096" s="78"/>
      <c r="Q1096" s="78"/>
      <c r="R1096" s="78"/>
      <c r="S1096" s="78"/>
      <c r="T1096" s="78"/>
      <c r="U1096" s="78"/>
      <c r="V1096" s="78"/>
      <c r="W1096" s="78"/>
      <c r="X1096" s="78"/>
      <c r="Y1096" s="78"/>
      <c r="Z1096" s="78"/>
    </row>
    <row r="1097">
      <c r="A1097" s="78">
        <v>709.0</v>
      </c>
      <c r="B1097" s="78"/>
      <c r="C1097" s="138"/>
      <c r="D1097" s="78"/>
      <c r="E1097" s="139" t="str">
        <f t="array" ref="E1097">IF(
UPPER(TRIM(CLEAN($O1097)))="ENTREGADO",
IFERROR(
INDEX(REPORTE_DROPI!Y:Y,
MATCH($T1097, REPORTE_DROPI!B:B, 0)
),
""
),
""
)
</f>
        <v/>
      </c>
      <c r="F1097" s="78"/>
      <c r="G1097" s="78" t="str">
        <f t="array" ref="G1097">IF(
UPPER(TRIM(CLEAN($O1097)))="ENTREGADO",
IFERROR(
INDEX(REPORTE_DROPI!R:R,
MATCH($T1097, REPORTE_DROPI!B:B, 0)
),
""
),
""
)
</f>
        <v/>
      </c>
      <c r="H1097" s="78"/>
      <c r="I1097" s="78"/>
      <c r="J1097" s="78" t="str">
        <f t="array" ref="J1097">IF(
UPPER(TRIM(CLEAN($O1097)))="ENTREGADO",
IFERROR(
INDEX(REPORTE_DROPI!T:T,
MATCH($T1097, REPORTE_DROPI!B:B, 0)
),
""
),
""
)
</f>
        <v/>
      </c>
      <c r="K1097" s="78"/>
      <c r="L1097" s="78"/>
      <c r="M1097" s="78"/>
      <c r="N1097" s="78"/>
      <c r="O1097" s="78"/>
      <c r="P1097" s="78"/>
      <c r="Q1097" s="78"/>
      <c r="R1097" s="78"/>
      <c r="S1097" s="78"/>
      <c r="T1097" s="78"/>
      <c r="U1097" s="78"/>
      <c r="V1097" s="78"/>
      <c r="W1097" s="78"/>
      <c r="X1097" s="78"/>
      <c r="Y1097" s="78"/>
      <c r="Z1097" s="78"/>
    </row>
    <row r="1098">
      <c r="A1098" s="78">
        <v>710.0</v>
      </c>
      <c r="B1098" s="78"/>
      <c r="C1098" s="138"/>
      <c r="D1098" s="78"/>
      <c r="E1098" s="139" t="str">
        <f t="array" ref="E1098">IF(
UPPER(TRIM(CLEAN($O1098)))="ENTREGADO",
IFERROR(
INDEX(REPORTE_DROPI!Y:Y,
MATCH($T1098, REPORTE_DROPI!B:B, 0)
),
""
),
""
)
</f>
        <v/>
      </c>
      <c r="F1098" s="78"/>
      <c r="G1098" s="78" t="str">
        <f t="array" ref="G1098">IF(
UPPER(TRIM(CLEAN($O1098)))="ENTREGADO",
IFERROR(
INDEX(REPORTE_DROPI!R:R,
MATCH($T1098, REPORTE_DROPI!B:B, 0)
),
""
),
""
)
</f>
        <v/>
      </c>
      <c r="H1098" s="78"/>
      <c r="I1098" s="78"/>
      <c r="J1098" s="78" t="str">
        <f t="array" ref="J1098">IF(
UPPER(TRIM(CLEAN($O1098)))="ENTREGADO",
IFERROR(
INDEX(REPORTE_DROPI!T:T,
MATCH($T1098, REPORTE_DROPI!B:B, 0)
),
""
),
""
)
</f>
        <v/>
      </c>
      <c r="K1098" s="78"/>
      <c r="L1098" s="78"/>
      <c r="M1098" s="78"/>
      <c r="N1098" s="78"/>
      <c r="O1098" s="78"/>
      <c r="P1098" s="78"/>
      <c r="Q1098" s="78"/>
      <c r="R1098" s="78"/>
      <c r="S1098" s="78"/>
      <c r="T1098" s="78"/>
      <c r="U1098" s="78"/>
      <c r="V1098" s="78"/>
      <c r="W1098" s="78"/>
      <c r="X1098" s="78"/>
      <c r="Y1098" s="78"/>
      <c r="Z1098" s="78"/>
    </row>
    <row r="1099">
      <c r="A1099" s="78">
        <v>711.0</v>
      </c>
      <c r="B1099" s="78"/>
      <c r="C1099" s="138"/>
      <c r="D1099" s="78"/>
      <c r="E1099" s="139" t="str">
        <f t="array" ref="E1099">IF(
UPPER(TRIM(CLEAN($O1099)))="ENTREGADO",
IFERROR(
INDEX(REPORTE_DROPI!Y:Y,
MATCH($T1099, REPORTE_DROPI!B:B, 0)
),
""
),
""
)
</f>
        <v/>
      </c>
      <c r="F1099" s="78"/>
      <c r="G1099" s="78" t="str">
        <f t="array" ref="G1099">IF(
UPPER(TRIM(CLEAN($O1099)))="ENTREGADO",
IFERROR(
INDEX(REPORTE_DROPI!R:R,
MATCH($T1099, REPORTE_DROPI!B:B, 0)
),
""
),
""
)
</f>
        <v/>
      </c>
      <c r="H1099" s="78"/>
      <c r="I1099" s="78"/>
      <c r="J1099" s="78" t="str">
        <f t="array" ref="J1099">IF(
UPPER(TRIM(CLEAN($O1099)))="ENTREGADO",
IFERROR(
INDEX(REPORTE_DROPI!T:T,
MATCH($T1099, REPORTE_DROPI!B:B, 0)
),
""
),
""
)
</f>
        <v/>
      </c>
      <c r="K1099" s="78"/>
      <c r="L1099" s="78"/>
      <c r="M1099" s="78"/>
      <c r="N1099" s="78"/>
      <c r="O1099" s="78"/>
      <c r="P1099" s="78"/>
      <c r="Q1099" s="78"/>
      <c r="R1099" s="78"/>
      <c r="S1099" s="78"/>
      <c r="T1099" s="78"/>
      <c r="U1099" s="78"/>
      <c r="V1099" s="78"/>
      <c r="W1099" s="78"/>
      <c r="X1099" s="78"/>
      <c r="Y1099" s="78"/>
      <c r="Z1099" s="78"/>
    </row>
    <row r="1100">
      <c r="A1100" s="78">
        <v>712.0</v>
      </c>
      <c r="B1100" s="78"/>
      <c r="C1100" s="138"/>
      <c r="D1100" s="78"/>
      <c r="E1100" s="139" t="str">
        <f t="array" ref="E1100">IF(
UPPER(TRIM(CLEAN($O1100)))="ENTREGADO",
IFERROR(
INDEX(REPORTE_DROPI!Y:Y,
MATCH($T1100, REPORTE_DROPI!B:B, 0)
),
""
),
""
)
</f>
        <v/>
      </c>
      <c r="F1100" s="78"/>
      <c r="G1100" s="78" t="str">
        <f t="array" ref="G1100">IF(
UPPER(TRIM(CLEAN($O1100)))="ENTREGADO",
IFERROR(
INDEX(REPORTE_DROPI!R:R,
MATCH($T1100, REPORTE_DROPI!B:B, 0)
),
""
),
""
)
</f>
        <v/>
      </c>
      <c r="H1100" s="78"/>
      <c r="I1100" s="78"/>
      <c r="J1100" s="78" t="str">
        <f t="array" ref="J1100">IF(
UPPER(TRIM(CLEAN($O1100)))="ENTREGADO",
IFERROR(
INDEX(REPORTE_DROPI!T:T,
MATCH($T1100, REPORTE_DROPI!B:B, 0)
),
""
),
""
)
</f>
        <v/>
      </c>
      <c r="K1100" s="78"/>
      <c r="L1100" s="78"/>
      <c r="M1100" s="78"/>
      <c r="N1100" s="78"/>
      <c r="O1100" s="78"/>
      <c r="P1100" s="78"/>
      <c r="Q1100" s="78"/>
      <c r="R1100" s="78"/>
      <c r="S1100" s="78"/>
      <c r="T1100" s="78"/>
      <c r="U1100" s="78"/>
      <c r="V1100" s="78"/>
      <c r="W1100" s="78"/>
      <c r="X1100" s="78"/>
      <c r="Y1100" s="78"/>
      <c r="Z1100" s="78"/>
    </row>
    <row r="1101">
      <c r="A1101" s="78">
        <v>713.0</v>
      </c>
      <c r="B1101" s="78"/>
      <c r="C1101" s="138"/>
      <c r="D1101" s="78"/>
      <c r="E1101" s="139" t="str">
        <f t="array" ref="E1101">IF(
UPPER(TRIM(CLEAN($O1101)))="ENTREGADO",
IFERROR(
INDEX(REPORTE_DROPI!Y:Y,
MATCH($T1101, REPORTE_DROPI!B:B, 0)
),
""
),
""
)
</f>
        <v/>
      </c>
      <c r="F1101" s="78"/>
      <c r="G1101" s="78" t="str">
        <f t="array" ref="G1101">IF(
UPPER(TRIM(CLEAN($O1101)))="ENTREGADO",
IFERROR(
INDEX(REPORTE_DROPI!R:R,
MATCH($T1101, REPORTE_DROPI!B:B, 0)
),
""
),
""
)
</f>
        <v/>
      </c>
      <c r="H1101" s="78"/>
      <c r="I1101" s="78"/>
      <c r="J1101" s="78" t="str">
        <f t="array" ref="J1101">IF(
UPPER(TRIM(CLEAN($O1101)))="ENTREGADO",
IFERROR(
INDEX(REPORTE_DROPI!T:T,
MATCH($T1101, REPORTE_DROPI!B:B, 0)
),
""
),
""
)
</f>
        <v/>
      </c>
      <c r="K1101" s="78"/>
      <c r="L1101" s="78"/>
      <c r="M1101" s="78"/>
      <c r="N1101" s="78"/>
      <c r="O1101" s="78"/>
      <c r="P1101" s="78"/>
      <c r="Q1101" s="78"/>
      <c r="R1101" s="78"/>
      <c r="S1101" s="78"/>
      <c r="T1101" s="78"/>
      <c r="U1101" s="78"/>
      <c r="V1101" s="78"/>
      <c r="W1101" s="78"/>
      <c r="X1101" s="78"/>
      <c r="Y1101" s="78"/>
      <c r="Z1101" s="78"/>
    </row>
    <row r="1102">
      <c r="A1102" s="78">
        <v>714.0</v>
      </c>
      <c r="B1102" s="78"/>
      <c r="C1102" s="138"/>
      <c r="D1102" s="78"/>
      <c r="E1102" s="139" t="str">
        <f t="array" ref="E1102">IF(
UPPER(TRIM(CLEAN($O1102)))="ENTREGADO",
IFERROR(
INDEX(REPORTE_DROPI!Y:Y,
MATCH($T1102, REPORTE_DROPI!B:B, 0)
),
""
),
""
)
</f>
        <v/>
      </c>
      <c r="F1102" s="78"/>
      <c r="G1102" s="78" t="str">
        <f t="array" ref="G1102">IF(
UPPER(TRIM(CLEAN($O1102)))="ENTREGADO",
IFERROR(
INDEX(REPORTE_DROPI!R:R,
MATCH($T1102, REPORTE_DROPI!B:B, 0)
),
""
),
""
)
</f>
        <v/>
      </c>
      <c r="H1102" s="78"/>
      <c r="I1102" s="78"/>
      <c r="J1102" s="78" t="str">
        <f t="array" ref="J1102">IF(
UPPER(TRIM(CLEAN($O1102)))="ENTREGADO",
IFERROR(
INDEX(REPORTE_DROPI!T:T,
MATCH($T1102, REPORTE_DROPI!B:B, 0)
),
""
),
""
)
</f>
        <v/>
      </c>
      <c r="K1102" s="78"/>
      <c r="L1102" s="78"/>
      <c r="M1102" s="78"/>
      <c r="N1102" s="78"/>
      <c r="O1102" s="78"/>
      <c r="P1102" s="78"/>
      <c r="Q1102" s="78"/>
      <c r="R1102" s="78"/>
      <c r="S1102" s="78"/>
      <c r="T1102" s="78"/>
      <c r="U1102" s="78"/>
      <c r="V1102" s="78"/>
      <c r="W1102" s="78"/>
      <c r="X1102" s="78"/>
      <c r="Y1102" s="78"/>
      <c r="Z1102" s="78"/>
    </row>
    <row r="1103">
      <c r="A1103" s="78">
        <v>715.0</v>
      </c>
      <c r="B1103" s="78"/>
      <c r="C1103" s="138"/>
      <c r="D1103" s="78"/>
      <c r="E1103" s="139" t="str">
        <f t="array" ref="E1103">IF(
UPPER(TRIM(CLEAN($O1103)))="ENTREGADO",
IFERROR(
INDEX(REPORTE_DROPI!Y:Y,
MATCH($T1103, REPORTE_DROPI!B:B, 0)
),
""
),
""
)
</f>
        <v/>
      </c>
      <c r="F1103" s="78"/>
      <c r="G1103" s="78" t="str">
        <f t="array" ref="G1103">IF(
UPPER(TRIM(CLEAN($O1103)))="ENTREGADO",
IFERROR(
INDEX(REPORTE_DROPI!R:R,
MATCH($T1103, REPORTE_DROPI!B:B, 0)
),
""
),
""
)
</f>
        <v/>
      </c>
      <c r="H1103" s="78"/>
      <c r="I1103" s="78"/>
      <c r="J1103" s="78" t="str">
        <f t="array" ref="J1103">IF(
UPPER(TRIM(CLEAN($O1103)))="ENTREGADO",
IFERROR(
INDEX(REPORTE_DROPI!T:T,
MATCH($T1103, REPORTE_DROPI!B:B, 0)
),
""
),
""
)
</f>
        <v/>
      </c>
      <c r="K1103" s="78"/>
      <c r="L1103" s="78"/>
      <c r="M1103" s="78"/>
      <c r="N1103" s="78"/>
      <c r="O1103" s="78"/>
      <c r="P1103" s="78"/>
      <c r="Q1103" s="78"/>
      <c r="R1103" s="78"/>
      <c r="S1103" s="78"/>
      <c r="T1103" s="78"/>
      <c r="U1103" s="78"/>
      <c r="V1103" s="78"/>
      <c r="W1103" s="78"/>
      <c r="X1103" s="78"/>
      <c r="Y1103" s="78"/>
      <c r="Z1103" s="78"/>
    </row>
    <row r="1104">
      <c r="A1104" s="78">
        <v>716.0</v>
      </c>
      <c r="B1104" s="78"/>
      <c r="C1104" s="138"/>
      <c r="D1104" s="78"/>
      <c r="E1104" s="139" t="str">
        <f t="array" ref="E1104">IF(
UPPER(TRIM(CLEAN($O1104)))="ENTREGADO",
IFERROR(
INDEX(REPORTE_DROPI!Y:Y,
MATCH($T1104, REPORTE_DROPI!B:B, 0)
),
""
),
""
)
</f>
        <v/>
      </c>
      <c r="F1104" s="78"/>
      <c r="G1104" s="78" t="str">
        <f t="array" ref="G1104">IF(
UPPER(TRIM(CLEAN($O1104)))="ENTREGADO",
IFERROR(
INDEX(REPORTE_DROPI!R:R,
MATCH($T1104, REPORTE_DROPI!B:B, 0)
),
""
),
""
)
</f>
        <v/>
      </c>
      <c r="H1104" s="78"/>
      <c r="I1104" s="78"/>
      <c r="J1104" s="78" t="str">
        <f t="array" ref="J1104">IF(
UPPER(TRIM(CLEAN($O1104)))="ENTREGADO",
IFERROR(
INDEX(REPORTE_DROPI!T:T,
MATCH($T1104, REPORTE_DROPI!B:B, 0)
),
""
),
""
)
</f>
        <v/>
      </c>
      <c r="K1104" s="78"/>
      <c r="L1104" s="78"/>
      <c r="M1104" s="78"/>
      <c r="N1104" s="78"/>
      <c r="O1104" s="78"/>
      <c r="P1104" s="78"/>
      <c r="Q1104" s="78"/>
      <c r="R1104" s="78"/>
      <c r="S1104" s="78"/>
      <c r="T1104" s="78"/>
      <c r="U1104" s="78"/>
      <c r="V1104" s="78"/>
      <c r="W1104" s="78"/>
      <c r="X1104" s="78"/>
      <c r="Y1104" s="78"/>
      <c r="Z1104" s="78"/>
    </row>
    <row r="1105">
      <c r="A1105" s="78">
        <v>717.0</v>
      </c>
      <c r="B1105" s="78"/>
      <c r="C1105" s="138"/>
      <c r="D1105" s="78"/>
      <c r="E1105" s="139" t="str">
        <f t="array" ref="E1105">IF(
UPPER(TRIM(CLEAN($O1105)))="ENTREGADO",
IFERROR(
INDEX(REPORTE_DROPI!Y:Y,
MATCH($T1105, REPORTE_DROPI!B:B, 0)
),
""
),
""
)
</f>
        <v/>
      </c>
      <c r="F1105" s="78"/>
      <c r="G1105" s="78" t="str">
        <f t="array" ref="G1105">IF(
UPPER(TRIM(CLEAN($O1105)))="ENTREGADO",
IFERROR(
INDEX(REPORTE_DROPI!R:R,
MATCH($T1105, REPORTE_DROPI!B:B, 0)
),
""
),
""
)
</f>
        <v/>
      </c>
      <c r="H1105" s="78"/>
      <c r="I1105" s="78"/>
      <c r="J1105" s="78" t="str">
        <f t="array" ref="J1105">IF(
UPPER(TRIM(CLEAN($O1105)))="ENTREGADO",
IFERROR(
INDEX(REPORTE_DROPI!T:T,
MATCH($T1105, REPORTE_DROPI!B:B, 0)
),
""
),
""
)
</f>
        <v/>
      </c>
      <c r="K1105" s="78"/>
      <c r="L1105" s="78"/>
      <c r="M1105" s="78"/>
      <c r="N1105" s="78"/>
      <c r="O1105" s="78"/>
      <c r="P1105" s="78"/>
      <c r="Q1105" s="78"/>
      <c r="R1105" s="78"/>
      <c r="S1105" s="78"/>
      <c r="T1105" s="78"/>
      <c r="U1105" s="78"/>
      <c r="V1105" s="78"/>
      <c r="W1105" s="78"/>
      <c r="X1105" s="78"/>
      <c r="Y1105" s="78"/>
      <c r="Z1105" s="78"/>
    </row>
    <row r="1106">
      <c r="A1106" s="78">
        <v>718.0</v>
      </c>
      <c r="B1106" s="78"/>
      <c r="C1106" s="138"/>
      <c r="D1106" s="78"/>
      <c r="E1106" s="139" t="str">
        <f t="array" ref="E1106">IF(
UPPER(TRIM(CLEAN($O1106)))="ENTREGADO",
IFERROR(
INDEX(REPORTE_DROPI!Y:Y,
MATCH($T1106, REPORTE_DROPI!B:B, 0)
),
""
),
""
)
</f>
        <v/>
      </c>
      <c r="F1106" s="78"/>
      <c r="G1106" s="78" t="str">
        <f t="array" ref="G1106">IF(
UPPER(TRIM(CLEAN($O1106)))="ENTREGADO",
IFERROR(
INDEX(REPORTE_DROPI!R:R,
MATCH($T1106, REPORTE_DROPI!B:B, 0)
),
""
),
""
)
</f>
        <v/>
      </c>
      <c r="H1106" s="78"/>
      <c r="I1106" s="78"/>
      <c r="J1106" s="78" t="str">
        <f t="array" ref="J1106">IF(
UPPER(TRIM(CLEAN($O1106)))="ENTREGADO",
IFERROR(
INDEX(REPORTE_DROPI!T:T,
MATCH($T1106, REPORTE_DROPI!B:B, 0)
),
""
),
""
)
</f>
        <v/>
      </c>
      <c r="K1106" s="78"/>
      <c r="L1106" s="78"/>
      <c r="M1106" s="78"/>
      <c r="N1106" s="78"/>
      <c r="O1106" s="78"/>
      <c r="P1106" s="78"/>
      <c r="Q1106" s="78"/>
      <c r="R1106" s="78"/>
      <c r="S1106" s="78"/>
      <c r="T1106" s="78"/>
      <c r="U1106" s="78"/>
      <c r="V1106" s="78"/>
      <c r="W1106" s="78"/>
      <c r="X1106" s="78"/>
      <c r="Y1106" s="78"/>
      <c r="Z1106" s="78"/>
    </row>
    <row r="1107">
      <c r="A1107" s="78">
        <v>719.0</v>
      </c>
      <c r="B1107" s="78"/>
      <c r="C1107" s="138"/>
      <c r="D1107" s="78"/>
      <c r="E1107" s="139" t="str">
        <f t="array" ref="E1107">IF(
UPPER(TRIM(CLEAN($O1107)))="ENTREGADO",
IFERROR(
INDEX(REPORTE_DROPI!Y:Y,
MATCH($T1107, REPORTE_DROPI!B:B, 0)
),
""
),
""
)
</f>
        <v/>
      </c>
      <c r="F1107" s="78"/>
      <c r="G1107" s="78" t="str">
        <f t="array" ref="G1107">IF(
UPPER(TRIM(CLEAN($O1107)))="ENTREGADO",
IFERROR(
INDEX(REPORTE_DROPI!R:R,
MATCH($T1107, REPORTE_DROPI!B:B, 0)
),
""
),
""
)
</f>
        <v/>
      </c>
      <c r="H1107" s="78"/>
      <c r="I1107" s="78"/>
      <c r="J1107" s="78" t="str">
        <f t="array" ref="J1107">IF(
UPPER(TRIM(CLEAN($O1107)))="ENTREGADO",
IFERROR(
INDEX(REPORTE_DROPI!T:T,
MATCH($T1107, REPORTE_DROPI!B:B, 0)
),
""
),
""
)
</f>
        <v/>
      </c>
      <c r="K1107" s="78"/>
      <c r="L1107" s="78"/>
      <c r="M1107" s="78"/>
      <c r="N1107" s="78"/>
      <c r="O1107" s="78"/>
      <c r="P1107" s="78"/>
      <c r="Q1107" s="78"/>
      <c r="R1107" s="78"/>
      <c r="S1107" s="78"/>
      <c r="T1107" s="78"/>
      <c r="U1107" s="78"/>
      <c r="V1107" s="78"/>
      <c r="W1107" s="78"/>
      <c r="X1107" s="78"/>
      <c r="Y1107" s="78"/>
      <c r="Z1107" s="78"/>
    </row>
    <row r="1108">
      <c r="A1108" s="78">
        <v>720.0</v>
      </c>
      <c r="B1108" s="78"/>
      <c r="C1108" s="138"/>
      <c r="D1108" s="78"/>
      <c r="E1108" s="139" t="str">
        <f t="array" ref="E1108">IF(
UPPER(TRIM(CLEAN($O1108)))="ENTREGADO",
IFERROR(
INDEX(REPORTE_DROPI!Y:Y,
MATCH($T1108, REPORTE_DROPI!B:B, 0)
),
""
),
""
)
</f>
        <v/>
      </c>
      <c r="F1108" s="78"/>
      <c r="G1108" s="78" t="str">
        <f t="array" ref="G1108">IF(
UPPER(TRIM(CLEAN($O1108)))="ENTREGADO",
IFERROR(
INDEX(REPORTE_DROPI!R:R,
MATCH($T1108, REPORTE_DROPI!B:B, 0)
),
""
),
""
)
</f>
        <v/>
      </c>
      <c r="H1108" s="78"/>
      <c r="I1108" s="78"/>
      <c r="J1108" s="78" t="str">
        <f t="array" ref="J1108">IF(
UPPER(TRIM(CLEAN($O1108)))="ENTREGADO",
IFERROR(
INDEX(REPORTE_DROPI!T:T,
MATCH($T1108, REPORTE_DROPI!B:B, 0)
),
""
),
""
)
</f>
        <v/>
      </c>
      <c r="K1108" s="78"/>
      <c r="L1108" s="78"/>
      <c r="M1108" s="78"/>
      <c r="N1108" s="78"/>
      <c r="O1108" s="78"/>
      <c r="P1108" s="78"/>
      <c r="Q1108" s="78"/>
      <c r="R1108" s="78"/>
      <c r="S1108" s="78"/>
      <c r="T1108" s="78"/>
      <c r="U1108" s="78"/>
      <c r="V1108" s="78"/>
      <c r="W1108" s="78"/>
      <c r="X1108" s="78"/>
      <c r="Y1108" s="78"/>
      <c r="Z1108" s="78"/>
    </row>
    <row r="1109">
      <c r="A1109" s="78">
        <v>721.0</v>
      </c>
      <c r="B1109" s="78"/>
      <c r="C1109" s="138"/>
      <c r="D1109" s="78"/>
      <c r="E1109" s="139" t="str">
        <f t="array" ref="E1109">IF(
UPPER(TRIM(CLEAN($O1109)))="ENTREGADO",
IFERROR(
INDEX(REPORTE_DROPI!Y:Y,
MATCH($T1109, REPORTE_DROPI!B:B, 0)
),
""
),
""
)
</f>
        <v/>
      </c>
      <c r="F1109" s="78"/>
      <c r="G1109" s="78" t="str">
        <f t="array" ref="G1109">IF(
UPPER(TRIM(CLEAN($O1109)))="ENTREGADO",
IFERROR(
INDEX(REPORTE_DROPI!R:R,
MATCH($T1109, REPORTE_DROPI!B:B, 0)
),
""
),
""
)
</f>
        <v/>
      </c>
      <c r="H1109" s="78"/>
      <c r="I1109" s="78"/>
      <c r="J1109" s="78" t="str">
        <f t="array" ref="J1109">IF(
UPPER(TRIM(CLEAN($O1109)))="ENTREGADO",
IFERROR(
INDEX(REPORTE_DROPI!T:T,
MATCH($T1109, REPORTE_DROPI!B:B, 0)
),
""
),
""
)
</f>
        <v/>
      </c>
      <c r="K1109" s="78"/>
      <c r="L1109" s="78"/>
      <c r="M1109" s="78"/>
      <c r="N1109" s="78"/>
      <c r="O1109" s="78"/>
      <c r="P1109" s="78"/>
      <c r="Q1109" s="78"/>
      <c r="R1109" s="78"/>
      <c r="S1109" s="78"/>
      <c r="T1109" s="78"/>
      <c r="U1109" s="78"/>
      <c r="V1109" s="78"/>
      <c r="W1109" s="78"/>
      <c r="X1109" s="78"/>
      <c r="Y1109" s="78"/>
      <c r="Z1109" s="78"/>
    </row>
    <row r="1110">
      <c r="A1110" s="78">
        <v>722.0</v>
      </c>
      <c r="B1110" s="78"/>
      <c r="C1110" s="138"/>
      <c r="D1110" s="78"/>
      <c r="E1110" s="139" t="str">
        <f t="array" ref="E1110">IF(
UPPER(TRIM(CLEAN($O1110)))="ENTREGADO",
IFERROR(
INDEX(REPORTE_DROPI!Y:Y,
MATCH($T1110, REPORTE_DROPI!B:B, 0)
),
""
),
""
)
</f>
        <v/>
      </c>
      <c r="F1110" s="78"/>
      <c r="G1110" s="78" t="str">
        <f t="array" ref="G1110">IF(
UPPER(TRIM(CLEAN($O1110)))="ENTREGADO",
IFERROR(
INDEX(REPORTE_DROPI!R:R,
MATCH($T1110, REPORTE_DROPI!B:B, 0)
),
""
),
""
)
</f>
        <v/>
      </c>
      <c r="H1110" s="78"/>
      <c r="I1110" s="78"/>
      <c r="J1110" s="78" t="str">
        <f t="array" ref="J1110">IF(
UPPER(TRIM(CLEAN($O1110)))="ENTREGADO",
IFERROR(
INDEX(REPORTE_DROPI!T:T,
MATCH($T1110, REPORTE_DROPI!B:B, 0)
),
""
),
""
)
</f>
        <v/>
      </c>
      <c r="K1110" s="78"/>
      <c r="L1110" s="78"/>
      <c r="M1110" s="78"/>
      <c r="N1110" s="78"/>
      <c r="O1110" s="78"/>
      <c r="P1110" s="78"/>
      <c r="Q1110" s="78"/>
      <c r="R1110" s="78"/>
      <c r="S1110" s="78"/>
      <c r="T1110" s="78"/>
      <c r="U1110" s="78"/>
      <c r="V1110" s="78"/>
      <c r="W1110" s="78"/>
      <c r="X1110" s="78"/>
      <c r="Y1110" s="78"/>
      <c r="Z1110" s="78"/>
    </row>
    <row r="1111">
      <c r="A1111" s="78">
        <v>723.0</v>
      </c>
      <c r="B1111" s="78"/>
      <c r="C1111" s="138"/>
      <c r="D1111" s="78"/>
      <c r="E1111" s="139" t="str">
        <f t="array" ref="E1111">IF(
UPPER(TRIM(CLEAN($O1111)))="ENTREGADO",
IFERROR(
INDEX(REPORTE_DROPI!Y:Y,
MATCH($T1111, REPORTE_DROPI!B:B, 0)
),
""
),
""
)
</f>
        <v/>
      </c>
      <c r="F1111" s="78"/>
      <c r="G1111" s="78" t="str">
        <f t="array" ref="G1111">IF(
UPPER(TRIM(CLEAN($O1111)))="ENTREGADO",
IFERROR(
INDEX(REPORTE_DROPI!R:R,
MATCH($T1111, REPORTE_DROPI!B:B, 0)
),
""
),
""
)
</f>
        <v/>
      </c>
      <c r="H1111" s="78"/>
      <c r="I1111" s="78"/>
      <c r="J1111" s="78" t="str">
        <f t="array" ref="J1111">IF(
UPPER(TRIM(CLEAN($O1111)))="ENTREGADO",
IFERROR(
INDEX(REPORTE_DROPI!T:T,
MATCH($T1111, REPORTE_DROPI!B:B, 0)
),
""
),
""
)
</f>
        <v/>
      </c>
      <c r="K1111" s="78"/>
      <c r="L1111" s="78"/>
      <c r="M1111" s="78"/>
      <c r="N1111" s="78"/>
      <c r="O1111" s="78"/>
      <c r="P1111" s="78"/>
      <c r="Q1111" s="78"/>
      <c r="R1111" s="78"/>
      <c r="S1111" s="78"/>
      <c r="T1111" s="78"/>
      <c r="U1111" s="78"/>
      <c r="V1111" s="78"/>
      <c r="W1111" s="78"/>
      <c r="X1111" s="78"/>
      <c r="Y1111" s="78"/>
      <c r="Z1111" s="78"/>
    </row>
    <row r="1112">
      <c r="A1112" s="78">
        <v>724.0</v>
      </c>
      <c r="B1112" s="78"/>
      <c r="C1112" s="138"/>
      <c r="D1112" s="78"/>
      <c r="E1112" s="139" t="str">
        <f t="array" ref="E1112">IF(
UPPER(TRIM(CLEAN($O1112)))="ENTREGADO",
IFERROR(
INDEX(REPORTE_DROPI!Y:Y,
MATCH($T1112, REPORTE_DROPI!B:B, 0)
),
""
),
""
)
</f>
        <v/>
      </c>
      <c r="F1112" s="78"/>
      <c r="G1112" s="78" t="str">
        <f t="array" ref="G1112">IF(
UPPER(TRIM(CLEAN($O1112)))="ENTREGADO",
IFERROR(
INDEX(REPORTE_DROPI!R:R,
MATCH($T1112, REPORTE_DROPI!B:B, 0)
),
""
),
""
)
</f>
        <v/>
      </c>
      <c r="H1112" s="78"/>
      <c r="I1112" s="78"/>
      <c r="J1112" s="78" t="str">
        <f t="array" ref="J1112">IF(
UPPER(TRIM(CLEAN($O1112)))="ENTREGADO",
IFERROR(
INDEX(REPORTE_DROPI!T:T,
MATCH($T1112, REPORTE_DROPI!B:B, 0)
),
""
),
""
)
</f>
        <v/>
      </c>
      <c r="K1112" s="78"/>
      <c r="L1112" s="78"/>
      <c r="M1112" s="78"/>
      <c r="N1112" s="78"/>
      <c r="O1112" s="78"/>
      <c r="P1112" s="78"/>
      <c r="Q1112" s="78"/>
      <c r="R1112" s="78"/>
      <c r="S1112" s="78"/>
      <c r="T1112" s="78"/>
      <c r="U1112" s="78"/>
      <c r="V1112" s="78"/>
      <c r="W1112" s="78"/>
      <c r="X1112" s="78"/>
      <c r="Y1112" s="78"/>
      <c r="Z1112" s="78"/>
    </row>
    <row r="1113">
      <c r="A1113" s="78">
        <v>725.0</v>
      </c>
      <c r="B1113" s="78"/>
      <c r="C1113" s="138"/>
      <c r="D1113" s="78"/>
      <c r="E1113" s="139" t="str">
        <f t="array" ref="E1113">IF(
UPPER(TRIM(CLEAN($O1113)))="ENTREGADO",
IFERROR(
INDEX(REPORTE_DROPI!Y:Y,
MATCH($T1113, REPORTE_DROPI!B:B, 0)
),
""
),
""
)
</f>
        <v/>
      </c>
      <c r="F1113" s="78"/>
      <c r="G1113" s="78" t="str">
        <f t="array" ref="G1113">IF(
UPPER(TRIM(CLEAN($O1113)))="ENTREGADO",
IFERROR(
INDEX(REPORTE_DROPI!R:R,
MATCH($T1113, REPORTE_DROPI!B:B, 0)
),
""
),
""
)
</f>
        <v/>
      </c>
      <c r="H1113" s="78"/>
      <c r="I1113" s="78"/>
      <c r="J1113" s="78" t="str">
        <f t="array" ref="J1113">IF(
UPPER(TRIM(CLEAN($O1113)))="ENTREGADO",
IFERROR(
INDEX(REPORTE_DROPI!T:T,
MATCH($T1113, REPORTE_DROPI!B:B, 0)
),
""
),
""
)
</f>
        <v/>
      </c>
      <c r="K1113" s="78"/>
      <c r="L1113" s="78"/>
      <c r="M1113" s="78"/>
      <c r="N1113" s="78"/>
      <c r="O1113" s="78"/>
      <c r="P1113" s="78"/>
      <c r="Q1113" s="78"/>
      <c r="R1113" s="78"/>
      <c r="S1113" s="78"/>
      <c r="T1113" s="78"/>
      <c r="U1113" s="78"/>
      <c r="V1113" s="78"/>
      <c r="W1113" s="78"/>
      <c r="X1113" s="78"/>
      <c r="Y1113" s="78"/>
      <c r="Z1113" s="78"/>
    </row>
    <row r="1114">
      <c r="A1114" s="78">
        <v>726.0</v>
      </c>
      <c r="B1114" s="78"/>
      <c r="C1114" s="138"/>
      <c r="D1114" s="78"/>
      <c r="E1114" s="139" t="str">
        <f t="array" ref="E1114">IF(
UPPER(TRIM(CLEAN($O1114)))="ENTREGADO",
IFERROR(
INDEX(REPORTE_DROPI!Y:Y,
MATCH($T1114, REPORTE_DROPI!B:B, 0)
),
""
),
""
)
</f>
        <v/>
      </c>
      <c r="F1114" s="78"/>
      <c r="G1114" s="78" t="str">
        <f t="array" ref="G1114">IF(
UPPER(TRIM(CLEAN($O1114)))="ENTREGADO",
IFERROR(
INDEX(REPORTE_DROPI!R:R,
MATCH($T1114, REPORTE_DROPI!B:B, 0)
),
""
),
""
)
</f>
        <v/>
      </c>
      <c r="H1114" s="78"/>
      <c r="I1114" s="78"/>
      <c r="J1114" s="78" t="str">
        <f t="array" ref="J1114">IF(
UPPER(TRIM(CLEAN($O1114)))="ENTREGADO",
IFERROR(
INDEX(REPORTE_DROPI!T:T,
MATCH($T1114, REPORTE_DROPI!B:B, 0)
),
""
),
""
)
</f>
        <v/>
      </c>
      <c r="K1114" s="78"/>
      <c r="L1114" s="78"/>
      <c r="M1114" s="78"/>
      <c r="N1114" s="78"/>
      <c r="O1114" s="78"/>
      <c r="P1114" s="78"/>
      <c r="Q1114" s="78"/>
      <c r="R1114" s="78"/>
      <c r="S1114" s="78"/>
      <c r="T1114" s="78"/>
      <c r="U1114" s="78"/>
      <c r="V1114" s="78"/>
      <c r="W1114" s="78"/>
      <c r="X1114" s="78"/>
      <c r="Y1114" s="78"/>
      <c r="Z1114" s="78"/>
    </row>
    <row r="1115">
      <c r="A1115" s="78">
        <v>727.0</v>
      </c>
      <c r="B1115" s="78"/>
      <c r="C1115" s="138"/>
      <c r="D1115" s="78"/>
      <c r="E1115" s="139" t="str">
        <f t="array" ref="E1115">IF(
UPPER(TRIM(CLEAN($O1115)))="ENTREGADO",
IFERROR(
INDEX(REPORTE_DROPI!Y:Y,
MATCH($T1115, REPORTE_DROPI!B:B, 0)
),
""
),
""
)
</f>
        <v/>
      </c>
      <c r="F1115" s="78"/>
      <c r="G1115" s="78" t="str">
        <f t="array" ref="G1115">IF(
UPPER(TRIM(CLEAN($O1115)))="ENTREGADO",
IFERROR(
INDEX(REPORTE_DROPI!R:R,
MATCH($T1115, REPORTE_DROPI!B:B, 0)
),
""
),
""
)
</f>
        <v/>
      </c>
      <c r="H1115" s="78"/>
      <c r="I1115" s="78"/>
      <c r="J1115" s="78" t="str">
        <f t="array" ref="J1115">IF(
UPPER(TRIM(CLEAN($O1115)))="ENTREGADO",
IFERROR(
INDEX(REPORTE_DROPI!T:T,
MATCH($T1115, REPORTE_DROPI!B:B, 0)
),
""
),
""
)
</f>
        <v/>
      </c>
      <c r="K1115" s="78"/>
      <c r="L1115" s="78"/>
      <c r="M1115" s="78"/>
      <c r="N1115" s="78"/>
      <c r="O1115" s="78"/>
      <c r="P1115" s="78"/>
      <c r="Q1115" s="78"/>
      <c r="R1115" s="78"/>
      <c r="S1115" s="78"/>
      <c r="T1115" s="78"/>
      <c r="U1115" s="78"/>
      <c r="V1115" s="78"/>
      <c r="W1115" s="78"/>
      <c r="X1115" s="78"/>
      <c r="Y1115" s="78"/>
      <c r="Z1115" s="78"/>
    </row>
    <row r="1116">
      <c r="A1116" s="78">
        <v>728.0</v>
      </c>
      <c r="B1116" s="78"/>
      <c r="C1116" s="138"/>
      <c r="D1116" s="78"/>
      <c r="E1116" s="139" t="str">
        <f t="array" ref="E1116">IF(
UPPER(TRIM(CLEAN($O1116)))="ENTREGADO",
IFERROR(
INDEX(REPORTE_DROPI!Y:Y,
MATCH($T1116, REPORTE_DROPI!B:B, 0)
),
""
),
""
)
</f>
        <v/>
      </c>
      <c r="F1116" s="78"/>
      <c r="G1116" s="78" t="str">
        <f t="array" ref="G1116">IF(
UPPER(TRIM(CLEAN($O1116)))="ENTREGADO",
IFERROR(
INDEX(REPORTE_DROPI!R:R,
MATCH($T1116, REPORTE_DROPI!B:B, 0)
),
""
),
""
)
</f>
        <v/>
      </c>
      <c r="H1116" s="78"/>
      <c r="I1116" s="78"/>
      <c r="J1116" s="78" t="str">
        <f t="array" ref="J1116">IF(
UPPER(TRIM(CLEAN($O1116)))="ENTREGADO",
IFERROR(
INDEX(REPORTE_DROPI!T:T,
MATCH($T1116, REPORTE_DROPI!B:B, 0)
),
""
),
""
)
</f>
        <v/>
      </c>
      <c r="K1116" s="78"/>
      <c r="L1116" s="78"/>
      <c r="M1116" s="78"/>
      <c r="N1116" s="78"/>
      <c r="O1116" s="78"/>
      <c r="P1116" s="78"/>
      <c r="Q1116" s="78"/>
      <c r="R1116" s="78"/>
      <c r="S1116" s="78"/>
      <c r="T1116" s="78"/>
      <c r="U1116" s="78"/>
      <c r="V1116" s="78"/>
      <c r="W1116" s="78"/>
      <c r="X1116" s="78"/>
      <c r="Y1116" s="78"/>
      <c r="Z1116" s="78"/>
    </row>
    <row r="1117">
      <c r="A1117" s="78">
        <v>729.0</v>
      </c>
      <c r="B1117" s="78"/>
      <c r="C1117" s="138"/>
      <c r="D1117" s="78"/>
      <c r="E1117" s="139" t="str">
        <f t="array" ref="E1117">IF(
UPPER(TRIM(CLEAN($O1117)))="ENTREGADO",
IFERROR(
INDEX(REPORTE_DROPI!Y:Y,
MATCH($T1117, REPORTE_DROPI!B:B, 0)
),
""
),
""
)
</f>
        <v/>
      </c>
      <c r="F1117" s="78"/>
      <c r="G1117" s="78" t="str">
        <f t="array" ref="G1117">IF(
UPPER(TRIM(CLEAN($O1117)))="ENTREGADO",
IFERROR(
INDEX(REPORTE_DROPI!R:R,
MATCH($T1117, REPORTE_DROPI!B:B, 0)
),
""
),
""
)
</f>
        <v/>
      </c>
      <c r="H1117" s="78"/>
      <c r="I1117" s="78"/>
      <c r="J1117" s="78" t="str">
        <f t="array" ref="J1117">IF(
UPPER(TRIM(CLEAN($O1117)))="ENTREGADO",
IFERROR(
INDEX(REPORTE_DROPI!T:T,
MATCH($T1117, REPORTE_DROPI!B:B, 0)
),
""
),
""
)
</f>
        <v/>
      </c>
      <c r="K1117" s="78"/>
      <c r="L1117" s="78"/>
      <c r="M1117" s="78"/>
      <c r="N1117" s="78"/>
      <c r="O1117" s="78"/>
      <c r="P1117" s="78"/>
      <c r="Q1117" s="78"/>
      <c r="R1117" s="78"/>
      <c r="S1117" s="78"/>
      <c r="T1117" s="78"/>
      <c r="U1117" s="78"/>
      <c r="V1117" s="78"/>
      <c r="W1117" s="78"/>
      <c r="X1117" s="78"/>
      <c r="Y1117" s="78"/>
      <c r="Z1117" s="78"/>
    </row>
    <row r="1118">
      <c r="A1118" s="78">
        <v>730.0</v>
      </c>
      <c r="B1118" s="78"/>
      <c r="C1118" s="138"/>
      <c r="D1118" s="78"/>
      <c r="E1118" s="139" t="str">
        <f t="array" ref="E1118">IF(
UPPER(TRIM(CLEAN($O1118)))="ENTREGADO",
IFERROR(
INDEX(REPORTE_DROPI!Y:Y,
MATCH($T1118, REPORTE_DROPI!B:B, 0)
),
""
),
""
)
</f>
        <v/>
      </c>
      <c r="F1118" s="78"/>
      <c r="G1118" s="78" t="str">
        <f t="array" ref="G1118">IF(
UPPER(TRIM(CLEAN($O1118)))="ENTREGADO",
IFERROR(
INDEX(REPORTE_DROPI!R:R,
MATCH($T1118, REPORTE_DROPI!B:B, 0)
),
""
),
""
)
</f>
        <v/>
      </c>
      <c r="H1118" s="78"/>
      <c r="I1118" s="78"/>
      <c r="J1118" s="78" t="str">
        <f t="array" ref="J1118">IF(
UPPER(TRIM(CLEAN($O1118)))="ENTREGADO",
IFERROR(
INDEX(REPORTE_DROPI!T:T,
MATCH($T1118, REPORTE_DROPI!B:B, 0)
),
""
),
""
)
</f>
        <v/>
      </c>
      <c r="K1118" s="78"/>
      <c r="L1118" s="78"/>
      <c r="M1118" s="78"/>
      <c r="N1118" s="78"/>
      <c r="O1118" s="78"/>
      <c r="P1118" s="78"/>
      <c r="Q1118" s="78"/>
      <c r="R1118" s="78"/>
      <c r="S1118" s="78"/>
      <c r="T1118" s="78"/>
      <c r="U1118" s="78"/>
      <c r="V1118" s="78"/>
      <c r="W1118" s="78"/>
      <c r="X1118" s="78"/>
      <c r="Y1118" s="78"/>
      <c r="Z1118" s="78"/>
    </row>
    <row r="1119">
      <c r="A1119" s="78">
        <v>731.0</v>
      </c>
      <c r="B1119" s="78"/>
      <c r="C1119" s="138"/>
      <c r="D1119" s="78"/>
      <c r="E1119" s="139" t="str">
        <f t="array" ref="E1119">IF(
UPPER(TRIM(CLEAN($O1119)))="ENTREGADO",
IFERROR(
INDEX(REPORTE_DROPI!Y:Y,
MATCH($T1119, REPORTE_DROPI!B:B, 0)
),
""
),
""
)
</f>
        <v/>
      </c>
      <c r="F1119" s="78"/>
      <c r="G1119" s="78" t="str">
        <f t="array" ref="G1119">IF(
UPPER(TRIM(CLEAN($O1119)))="ENTREGADO",
IFERROR(
INDEX(REPORTE_DROPI!R:R,
MATCH($T1119, REPORTE_DROPI!B:B, 0)
),
""
),
""
)
</f>
        <v/>
      </c>
      <c r="H1119" s="78"/>
      <c r="I1119" s="78"/>
      <c r="J1119" s="78" t="str">
        <f t="array" ref="J1119">IF(
UPPER(TRIM(CLEAN($O1119)))="ENTREGADO",
IFERROR(
INDEX(REPORTE_DROPI!T:T,
MATCH($T1119, REPORTE_DROPI!B:B, 0)
),
""
),
""
)
</f>
        <v/>
      </c>
      <c r="K1119" s="78"/>
      <c r="L1119" s="78"/>
      <c r="M1119" s="78"/>
      <c r="N1119" s="78"/>
      <c r="O1119" s="78"/>
      <c r="P1119" s="78"/>
      <c r="Q1119" s="78"/>
      <c r="R1119" s="78"/>
      <c r="S1119" s="78"/>
      <c r="T1119" s="78"/>
      <c r="U1119" s="78"/>
      <c r="V1119" s="78"/>
      <c r="W1119" s="78"/>
      <c r="X1119" s="78"/>
      <c r="Y1119" s="78"/>
      <c r="Z1119" s="78"/>
    </row>
    <row r="1120">
      <c r="A1120" s="78">
        <v>732.0</v>
      </c>
      <c r="B1120" s="78"/>
      <c r="C1120" s="138"/>
      <c r="D1120" s="78"/>
      <c r="E1120" s="139" t="str">
        <f t="array" ref="E1120">IF(
UPPER(TRIM(CLEAN($O1120)))="ENTREGADO",
IFERROR(
INDEX(REPORTE_DROPI!Y:Y,
MATCH($T1120, REPORTE_DROPI!B:B, 0)
),
""
),
""
)
</f>
        <v/>
      </c>
      <c r="F1120" s="78"/>
      <c r="G1120" s="78" t="str">
        <f t="array" ref="G1120">IF(
UPPER(TRIM(CLEAN($O1120)))="ENTREGADO",
IFERROR(
INDEX(REPORTE_DROPI!R:R,
MATCH($T1120, REPORTE_DROPI!B:B, 0)
),
""
),
""
)
</f>
        <v/>
      </c>
      <c r="H1120" s="78"/>
      <c r="I1120" s="78"/>
      <c r="J1120" s="78" t="str">
        <f t="array" ref="J1120">IF(
UPPER(TRIM(CLEAN($O1120)))="ENTREGADO",
IFERROR(
INDEX(REPORTE_DROPI!T:T,
MATCH($T1120, REPORTE_DROPI!B:B, 0)
),
""
),
""
)
</f>
        <v/>
      </c>
      <c r="K1120" s="78"/>
      <c r="L1120" s="78"/>
      <c r="M1120" s="78"/>
      <c r="N1120" s="78"/>
      <c r="O1120" s="78"/>
      <c r="P1120" s="78"/>
      <c r="Q1120" s="78"/>
      <c r="R1120" s="78"/>
      <c r="S1120" s="78"/>
      <c r="T1120" s="78"/>
      <c r="U1120" s="78"/>
      <c r="V1120" s="78"/>
      <c r="W1120" s="78"/>
      <c r="X1120" s="78"/>
      <c r="Y1120" s="78"/>
      <c r="Z1120" s="78"/>
    </row>
    <row r="1121">
      <c r="A1121" s="78">
        <v>733.0</v>
      </c>
      <c r="B1121" s="78"/>
      <c r="C1121" s="138"/>
      <c r="D1121" s="78"/>
      <c r="E1121" s="139" t="str">
        <f t="array" ref="E1121">IF(
UPPER(TRIM(CLEAN($O1121)))="ENTREGADO",
IFERROR(
INDEX(REPORTE_DROPI!Y:Y,
MATCH($T1121, REPORTE_DROPI!B:B, 0)
),
""
),
""
)
</f>
        <v/>
      </c>
      <c r="F1121" s="78"/>
      <c r="G1121" s="78" t="str">
        <f t="array" ref="G1121">IF(
UPPER(TRIM(CLEAN($O1121)))="ENTREGADO",
IFERROR(
INDEX(REPORTE_DROPI!R:R,
MATCH($T1121, REPORTE_DROPI!B:B, 0)
),
""
),
""
)
</f>
        <v/>
      </c>
      <c r="H1121" s="78"/>
      <c r="I1121" s="78"/>
      <c r="J1121" s="78" t="str">
        <f t="array" ref="J1121">IF(
UPPER(TRIM(CLEAN($O1121)))="ENTREGADO",
IFERROR(
INDEX(REPORTE_DROPI!T:T,
MATCH($T1121, REPORTE_DROPI!B:B, 0)
),
""
),
""
)
</f>
        <v/>
      </c>
      <c r="K1121" s="78"/>
      <c r="L1121" s="78"/>
      <c r="M1121" s="78"/>
      <c r="N1121" s="78"/>
      <c r="O1121" s="78"/>
      <c r="P1121" s="78"/>
      <c r="Q1121" s="78"/>
      <c r="R1121" s="78"/>
      <c r="S1121" s="78"/>
      <c r="T1121" s="78"/>
      <c r="U1121" s="78"/>
      <c r="V1121" s="78"/>
      <c r="W1121" s="78"/>
      <c r="X1121" s="78"/>
      <c r="Y1121" s="78"/>
      <c r="Z1121" s="78"/>
    </row>
    <row r="1122">
      <c r="A1122" s="78">
        <v>734.0</v>
      </c>
      <c r="B1122" s="78"/>
      <c r="C1122" s="138"/>
      <c r="D1122" s="78"/>
      <c r="E1122" s="139" t="str">
        <f t="array" ref="E1122">IF(
UPPER(TRIM(CLEAN($O1122)))="ENTREGADO",
IFERROR(
INDEX(REPORTE_DROPI!Y:Y,
MATCH($T1122, REPORTE_DROPI!B:B, 0)
),
""
),
""
)
</f>
        <v/>
      </c>
      <c r="F1122" s="78"/>
      <c r="G1122" s="78" t="str">
        <f t="array" ref="G1122">IF(
UPPER(TRIM(CLEAN($O1122)))="ENTREGADO",
IFERROR(
INDEX(REPORTE_DROPI!R:R,
MATCH($T1122, REPORTE_DROPI!B:B, 0)
),
""
),
""
)
</f>
        <v/>
      </c>
      <c r="H1122" s="78"/>
      <c r="I1122" s="78"/>
      <c r="J1122" s="78" t="str">
        <f t="array" ref="J1122">IF(
UPPER(TRIM(CLEAN($O1122)))="ENTREGADO",
IFERROR(
INDEX(REPORTE_DROPI!T:T,
MATCH($T1122, REPORTE_DROPI!B:B, 0)
),
""
),
""
)
</f>
        <v/>
      </c>
      <c r="K1122" s="78"/>
      <c r="L1122" s="78"/>
      <c r="M1122" s="78"/>
      <c r="N1122" s="78"/>
      <c r="O1122" s="78"/>
      <c r="P1122" s="78"/>
      <c r="Q1122" s="78"/>
      <c r="R1122" s="78"/>
      <c r="S1122" s="78"/>
      <c r="T1122" s="78"/>
      <c r="U1122" s="78"/>
      <c r="V1122" s="78"/>
      <c r="W1122" s="78"/>
      <c r="X1122" s="78"/>
      <c r="Y1122" s="78"/>
      <c r="Z1122" s="78"/>
    </row>
    <row r="1123">
      <c r="A1123" s="78">
        <v>735.0</v>
      </c>
      <c r="B1123" s="78"/>
      <c r="C1123" s="138"/>
      <c r="D1123" s="78"/>
      <c r="E1123" s="139" t="str">
        <f t="array" ref="E1123">IF(
UPPER(TRIM(CLEAN($O1123)))="ENTREGADO",
IFERROR(
INDEX(REPORTE_DROPI!Y:Y,
MATCH($T1123, REPORTE_DROPI!B:B, 0)
),
""
),
""
)
</f>
        <v/>
      </c>
      <c r="F1123" s="78"/>
      <c r="G1123" s="78" t="str">
        <f t="array" ref="G1123">IF(
UPPER(TRIM(CLEAN($O1123)))="ENTREGADO",
IFERROR(
INDEX(REPORTE_DROPI!R:R,
MATCH($T1123, REPORTE_DROPI!B:B, 0)
),
""
),
""
)
</f>
        <v/>
      </c>
      <c r="H1123" s="78"/>
      <c r="I1123" s="78"/>
      <c r="J1123" s="78" t="str">
        <f t="array" ref="J1123">IF(
UPPER(TRIM(CLEAN($O1123)))="ENTREGADO",
IFERROR(
INDEX(REPORTE_DROPI!T:T,
MATCH($T1123, REPORTE_DROPI!B:B, 0)
),
""
),
""
)
</f>
        <v/>
      </c>
      <c r="K1123" s="78"/>
      <c r="L1123" s="78"/>
      <c r="M1123" s="78"/>
      <c r="N1123" s="78"/>
      <c r="O1123" s="78"/>
      <c r="P1123" s="78"/>
      <c r="Q1123" s="78"/>
      <c r="R1123" s="78"/>
      <c r="S1123" s="78"/>
      <c r="T1123" s="78"/>
      <c r="U1123" s="78"/>
      <c r="V1123" s="78"/>
      <c r="W1123" s="78"/>
      <c r="X1123" s="78"/>
      <c r="Y1123" s="78"/>
      <c r="Z1123" s="78"/>
    </row>
    <row r="1124">
      <c r="A1124" s="78">
        <v>736.0</v>
      </c>
      <c r="B1124" s="78"/>
      <c r="C1124" s="138"/>
      <c r="D1124" s="78"/>
      <c r="E1124" s="139" t="str">
        <f t="array" ref="E1124">IF(
UPPER(TRIM(CLEAN($O1124)))="ENTREGADO",
IFERROR(
INDEX(REPORTE_DROPI!Y:Y,
MATCH($T1124, REPORTE_DROPI!B:B, 0)
),
""
),
""
)
</f>
        <v/>
      </c>
      <c r="F1124" s="78"/>
      <c r="G1124" s="78" t="str">
        <f t="array" ref="G1124">IF(
UPPER(TRIM(CLEAN($O1124)))="ENTREGADO",
IFERROR(
INDEX(REPORTE_DROPI!R:R,
MATCH($T1124, REPORTE_DROPI!B:B, 0)
),
""
),
""
)
</f>
        <v/>
      </c>
      <c r="H1124" s="78"/>
      <c r="I1124" s="78"/>
      <c r="J1124" s="78" t="str">
        <f t="array" ref="J1124">IF(
UPPER(TRIM(CLEAN($O1124)))="ENTREGADO",
IFERROR(
INDEX(REPORTE_DROPI!T:T,
MATCH($T1124, REPORTE_DROPI!B:B, 0)
),
""
),
""
)
</f>
        <v/>
      </c>
      <c r="K1124" s="78"/>
      <c r="L1124" s="78"/>
      <c r="M1124" s="78"/>
      <c r="N1124" s="78"/>
      <c r="O1124" s="78"/>
      <c r="P1124" s="78"/>
      <c r="Q1124" s="78"/>
      <c r="R1124" s="78"/>
      <c r="S1124" s="78"/>
      <c r="T1124" s="78"/>
      <c r="U1124" s="78"/>
      <c r="V1124" s="78"/>
      <c r="W1124" s="78"/>
      <c r="X1124" s="78"/>
      <c r="Y1124" s="78"/>
      <c r="Z1124" s="78"/>
    </row>
    <row r="1125">
      <c r="A1125" s="78">
        <v>737.0</v>
      </c>
      <c r="B1125" s="78"/>
      <c r="C1125" s="138"/>
      <c r="D1125" s="78"/>
      <c r="E1125" s="139" t="str">
        <f t="array" ref="E1125">IF(
UPPER(TRIM(CLEAN($O1125)))="ENTREGADO",
IFERROR(
INDEX(REPORTE_DROPI!Y:Y,
MATCH($T1125, REPORTE_DROPI!B:B, 0)
),
""
),
""
)
</f>
        <v/>
      </c>
      <c r="F1125" s="78"/>
      <c r="G1125" s="78" t="str">
        <f t="array" ref="G1125">IF(
UPPER(TRIM(CLEAN($O1125)))="ENTREGADO",
IFERROR(
INDEX(REPORTE_DROPI!R:R,
MATCH($T1125, REPORTE_DROPI!B:B, 0)
),
""
),
""
)
</f>
        <v/>
      </c>
      <c r="H1125" s="78"/>
      <c r="I1125" s="78"/>
      <c r="J1125" s="78" t="str">
        <f t="array" ref="J1125">IF(
UPPER(TRIM(CLEAN($O1125)))="ENTREGADO",
IFERROR(
INDEX(REPORTE_DROPI!T:T,
MATCH($T1125, REPORTE_DROPI!B:B, 0)
),
""
),
""
)
</f>
        <v/>
      </c>
      <c r="K1125" s="78"/>
      <c r="L1125" s="78"/>
      <c r="M1125" s="78"/>
      <c r="N1125" s="78"/>
      <c r="O1125" s="78"/>
      <c r="P1125" s="78"/>
      <c r="Q1125" s="78"/>
      <c r="R1125" s="78"/>
      <c r="S1125" s="78"/>
      <c r="T1125" s="78"/>
      <c r="U1125" s="78"/>
      <c r="V1125" s="78"/>
      <c r="W1125" s="78"/>
      <c r="X1125" s="78"/>
      <c r="Y1125" s="78"/>
      <c r="Z1125" s="78"/>
    </row>
    <row r="1126">
      <c r="A1126" s="78">
        <v>738.0</v>
      </c>
      <c r="B1126" s="78"/>
      <c r="C1126" s="138"/>
      <c r="D1126" s="78"/>
      <c r="E1126" s="139" t="str">
        <f t="array" ref="E1126">IF(
UPPER(TRIM(CLEAN($O1126)))="ENTREGADO",
IFERROR(
INDEX(REPORTE_DROPI!Y:Y,
MATCH($T1126, REPORTE_DROPI!B:B, 0)
),
""
),
""
)
</f>
        <v/>
      </c>
      <c r="F1126" s="78"/>
      <c r="G1126" s="78" t="str">
        <f t="array" ref="G1126">IF(
UPPER(TRIM(CLEAN($O1126)))="ENTREGADO",
IFERROR(
INDEX(REPORTE_DROPI!R:R,
MATCH($T1126, REPORTE_DROPI!B:B, 0)
),
""
),
""
)
</f>
        <v/>
      </c>
      <c r="H1126" s="78"/>
      <c r="I1126" s="78"/>
      <c r="J1126" s="78" t="str">
        <f t="array" ref="J1126">IF(
UPPER(TRIM(CLEAN($O1126)))="ENTREGADO",
IFERROR(
INDEX(REPORTE_DROPI!T:T,
MATCH($T1126, REPORTE_DROPI!B:B, 0)
),
""
),
""
)
</f>
        <v/>
      </c>
      <c r="K1126" s="78"/>
      <c r="L1126" s="78"/>
      <c r="M1126" s="78"/>
      <c r="N1126" s="78"/>
      <c r="O1126" s="78"/>
      <c r="P1126" s="78"/>
      <c r="Q1126" s="78"/>
      <c r="R1126" s="78"/>
      <c r="S1126" s="78"/>
      <c r="T1126" s="78"/>
      <c r="U1126" s="78"/>
      <c r="V1126" s="78"/>
      <c r="W1126" s="78"/>
      <c r="X1126" s="78"/>
      <c r="Y1126" s="78"/>
      <c r="Z1126" s="78"/>
    </row>
    <row r="1127">
      <c r="A1127" s="78">
        <v>739.0</v>
      </c>
      <c r="B1127" s="78"/>
      <c r="C1127" s="138"/>
      <c r="D1127" s="78"/>
      <c r="E1127" s="139" t="str">
        <f t="array" ref="E1127">IF(
UPPER(TRIM(CLEAN($O1127)))="ENTREGADO",
IFERROR(
INDEX(REPORTE_DROPI!Y:Y,
MATCH($T1127, REPORTE_DROPI!B:B, 0)
),
""
),
""
)
</f>
        <v/>
      </c>
      <c r="F1127" s="78"/>
      <c r="G1127" s="78" t="str">
        <f t="array" ref="G1127">IF(
UPPER(TRIM(CLEAN($O1127)))="ENTREGADO",
IFERROR(
INDEX(REPORTE_DROPI!R:R,
MATCH($T1127, REPORTE_DROPI!B:B, 0)
),
""
),
""
)
</f>
        <v/>
      </c>
      <c r="H1127" s="78"/>
      <c r="I1127" s="78"/>
      <c r="J1127" s="78" t="str">
        <f t="array" ref="J1127">IF(
UPPER(TRIM(CLEAN($O1127)))="ENTREGADO",
IFERROR(
INDEX(REPORTE_DROPI!T:T,
MATCH($T1127, REPORTE_DROPI!B:B, 0)
),
""
),
""
)
</f>
        <v/>
      </c>
      <c r="K1127" s="78"/>
      <c r="L1127" s="78"/>
      <c r="M1127" s="78"/>
      <c r="N1127" s="78"/>
      <c r="O1127" s="78"/>
      <c r="P1127" s="78"/>
      <c r="Q1127" s="78"/>
      <c r="R1127" s="78"/>
      <c r="S1127" s="78"/>
      <c r="T1127" s="78"/>
      <c r="U1127" s="78"/>
      <c r="V1127" s="78"/>
      <c r="W1127" s="78"/>
      <c r="X1127" s="78"/>
      <c r="Y1127" s="78"/>
      <c r="Z1127" s="78"/>
    </row>
    <row r="1128">
      <c r="A1128" s="78">
        <v>740.0</v>
      </c>
      <c r="B1128" s="78"/>
      <c r="C1128" s="138"/>
      <c r="D1128" s="78"/>
      <c r="E1128" s="139" t="str">
        <f t="array" ref="E1128">IF(
UPPER(TRIM(CLEAN($O1128)))="ENTREGADO",
IFERROR(
INDEX(REPORTE_DROPI!Y:Y,
MATCH($T1128, REPORTE_DROPI!B:B, 0)
),
""
),
""
)
</f>
        <v/>
      </c>
      <c r="F1128" s="78"/>
      <c r="G1128" s="78" t="str">
        <f t="array" ref="G1128">IF(
UPPER(TRIM(CLEAN($O1128)))="ENTREGADO",
IFERROR(
INDEX(REPORTE_DROPI!R:R,
MATCH($T1128, REPORTE_DROPI!B:B, 0)
),
""
),
""
)
</f>
        <v/>
      </c>
      <c r="H1128" s="78"/>
      <c r="I1128" s="78"/>
      <c r="J1128" s="78" t="str">
        <f t="array" ref="J1128">IF(
UPPER(TRIM(CLEAN($O1128)))="ENTREGADO",
IFERROR(
INDEX(REPORTE_DROPI!T:T,
MATCH($T1128, REPORTE_DROPI!B:B, 0)
),
""
),
""
)
</f>
        <v/>
      </c>
      <c r="K1128" s="78"/>
      <c r="L1128" s="78"/>
      <c r="M1128" s="78"/>
      <c r="N1128" s="78"/>
      <c r="O1128" s="78"/>
      <c r="P1128" s="78"/>
      <c r="Q1128" s="78"/>
      <c r="R1128" s="78"/>
      <c r="S1128" s="78"/>
      <c r="T1128" s="78"/>
      <c r="U1128" s="78"/>
      <c r="V1128" s="78"/>
      <c r="W1128" s="78"/>
      <c r="X1128" s="78"/>
      <c r="Y1128" s="78"/>
      <c r="Z1128" s="78"/>
    </row>
    <row r="1129">
      <c r="A1129" s="78">
        <v>741.0</v>
      </c>
      <c r="B1129" s="78"/>
      <c r="C1129" s="138"/>
      <c r="D1129" s="78"/>
      <c r="E1129" s="139" t="str">
        <f t="array" ref="E1129">IF(
UPPER(TRIM(CLEAN($O1129)))="ENTREGADO",
IFERROR(
INDEX(REPORTE_DROPI!Y:Y,
MATCH($T1129, REPORTE_DROPI!B:B, 0)
),
""
),
""
)
</f>
        <v/>
      </c>
      <c r="F1129" s="78"/>
      <c r="G1129" s="78" t="str">
        <f t="array" ref="G1129">IF(
UPPER(TRIM(CLEAN($O1129)))="ENTREGADO",
IFERROR(
INDEX(REPORTE_DROPI!R:R,
MATCH($T1129, REPORTE_DROPI!B:B, 0)
),
""
),
""
)
</f>
        <v/>
      </c>
      <c r="H1129" s="78"/>
      <c r="I1129" s="78"/>
      <c r="J1129" s="78" t="str">
        <f t="array" ref="J1129">IF(
UPPER(TRIM(CLEAN($O1129)))="ENTREGADO",
IFERROR(
INDEX(REPORTE_DROPI!T:T,
MATCH($T1129, REPORTE_DROPI!B:B, 0)
),
""
),
""
)
</f>
        <v/>
      </c>
      <c r="K1129" s="78"/>
      <c r="L1129" s="78"/>
      <c r="M1129" s="78"/>
      <c r="N1129" s="78"/>
      <c r="O1129" s="78"/>
      <c r="P1129" s="78"/>
      <c r="Q1129" s="78"/>
      <c r="R1129" s="78"/>
      <c r="S1129" s="78"/>
      <c r="T1129" s="78"/>
      <c r="U1129" s="78"/>
      <c r="V1129" s="78"/>
      <c r="W1129" s="78"/>
      <c r="X1129" s="78"/>
      <c r="Y1129" s="78"/>
      <c r="Z1129" s="78"/>
    </row>
    <row r="1130">
      <c r="A1130" s="78">
        <v>742.0</v>
      </c>
      <c r="B1130" s="78"/>
      <c r="C1130" s="138"/>
      <c r="D1130" s="78"/>
      <c r="E1130" s="139" t="str">
        <f t="array" ref="E1130">IF(
UPPER(TRIM(CLEAN($O1130)))="ENTREGADO",
IFERROR(
INDEX(REPORTE_DROPI!Y:Y,
MATCH($T1130, REPORTE_DROPI!B:B, 0)
),
""
),
""
)
</f>
        <v/>
      </c>
      <c r="F1130" s="78"/>
      <c r="G1130" s="78" t="str">
        <f t="array" ref="G1130">IF(
UPPER(TRIM(CLEAN($O1130)))="ENTREGADO",
IFERROR(
INDEX(REPORTE_DROPI!R:R,
MATCH($T1130, REPORTE_DROPI!B:B, 0)
),
""
),
""
)
</f>
        <v/>
      </c>
      <c r="H1130" s="78"/>
      <c r="I1130" s="78"/>
      <c r="J1130" s="78" t="str">
        <f t="array" ref="J1130">IF(
UPPER(TRIM(CLEAN($O1130)))="ENTREGADO",
IFERROR(
INDEX(REPORTE_DROPI!T:T,
MATCH($T1130, REPORTE_DROPI!B:B, 0)
),
""
),
""
)
</f>
        <v/>
      </c>
      <c r="K1130" s="78"/>
      <c r="L1130" s="78"/>
      <c r="M1130" s="78"/>
      <c r="N1130" s="78"/>
      <c r="O1130" s="78"/>
      <c r="P1130" s="78"/>
      <c r="Q1130" s="78"/>
      <c r="R1130" s="78"/>
      <c r="S1130" s="78"/>
      <c r="T1130" s="78"/>
      <c r="U1130" s="78"/>
      <c r="V1130" s="78"/>
      <c r="W1130" s="78"/>
      <c r="X1130" s="78"/>
      <c r="Y1130" s="78"/>
      <c r="Z1130" s="78"/>
    </row>
    <row r="1131">
      <c r="A1131" s="78">
        <v>743.0</v>
      </c>
      <c r="B1131" s="78"/>
      <c r="C1131" s="138"/>
      <c r="D1131" s="78"/>
      <c r="E1131" s="139" t="str">
        <f t="array" ref="E1131">IF(
UPPER(TRIM(CLEAN($O1131)))="ENTREGADO",
IFERROR(
INDEX(REPORTE_DROPI!Y:Y,
MATCH($T1131, REPORTE_DROPI!B:B, 0)
),
""
),
""
)
</f>
        <v/>
      </c>
      <c r="F1131" s="78"/>
      <c r="G1131" s="78" t="str">
        <f t="array" ref="G1131">IF(
UPPER(TRIM(CLEAN($O1131)))="ENTREGADO",
IFERROR(
INDEX(REPORTE_DROPI!R:R,
MATCH($T1131, REPORTE_DROPI!B:B, 0)
),
""
),
""
)
</f>
        <v/>
      </c>
      <c r="H1131" s="78"/>
      <c r="I1131" s="78"/>
      <c r="J1131" s="78" t="str">
        <f t="array" ref="J1131">IF(
UPPER(TRIM(CLEAN($O1131)))="ENTREGADO",
IFERROR(
INDEX(REPORTE_DROPI!T:T,
MATCH($T1131, REPORTE_DROPI!B:B, 0)
),
""
),
""
)
</f>
        <v/>
      </c>
      <c r="K1131" s="78"/>
      <c r="L1131" s="78"/>
      <c r="M1131" s="78"/>
      <c r="N1131" s="78"/>
      <c r="O1131" s="78"/>
      <c r="P1131" s="78"/>
      <c r="Q1131" s="78"/>
      <c r="R1131" s="78"/>
      <c r="S1131" s="78"/>
      <c r="T1131" s="78"/>
      <c r="U1131" s="78"/>
      <c r="V1131" s="78"/>
      <c r="W1131" s="78"/>
      <c r="X1131" s="78"/>
      <c r="Y1131" s="78"/>
      <c r="Z1131" s="78"/>
    </row>
    <row r="1132">
      <c r="A1132" s="78">
        <v>744.0</v>
      </c>
      <c r="B1132" s="78"/>
      <c r="C1132" s="138"/>
      <c r="D1132" s="78"/>
      <c r="E1132" s="139" t="str">
        <f t="array" ref="E1132">IF(
UPPER(TRIM(CLEAN($O1132)))="ENTREGADO",
IFERROR(
INDEX(REPORTE_DROPI!Y:Y,
MATCH($T1132, REPORTE_DROPI!B:B, 0)
),
""
),
""
)
</f>
        <v/>
      </c>
      <c r="F1132" s="78"/>
      <c r="G1132" s="78" t="str">
        <f t="array" ref="G1132">IF(
UPPER(TRIM(CLEAN($O1132)))="ENTREGADO",
IFERROR(
INDEX(REPORTE_DROPI!R:R,
MATCH($T1132, REPORTE_DROPI!B:B, 0)
),
""
),
""
)
</f>
        <v/>
      </c>
      <c r="H1132" s="78"/>
      <c r="I1132" s="78"/>
      <c r="J1132" s="78" t="str">
        <f t="array" ref="J1132">IF(
UPPER(TRIM(CLEAN($O1132)))="ENTREGADO",
IFERROR(
INDEX(REPORTE_DROPI!T:T,
MATCH($T1132, REPORTE_DROPI!B:B, 0)
),
""
),
""
)
</f>
        <v/>
      </c>
      <c r="K1132" s="78"/>
      <c r="L1132" s="78"/>
      <c r="M1132" s="78"/>
      <c r="N1132" s="78"/>
      <c r="O1132" s="78"/>
      <c r="P1132" s="78"/>
      <c r="Q1132" s="78"/>
      <c r="R1132" s="78"/>
      <c r="S1132" s="78"/>
      <c r="T1132" s="78"/>
      <c r="U1132" s="78"/>
      <c r="V1132" s="78"/>
      <c r="W1132" s="78"/>
      <c r="X1132" s="78"/>
      <c r="Y1132" s="78"/>
      <c r="Z1132" s="78"/>
    </row>
    <row r="1133">
      <c r="A1133" s="78">
        <v>745.0</v>
      </c>
      <c r="B1133" s="78"/>
      <c r="C1133" s="138"/>
      <c r="D1133" s="78"/>
      <c r="E1133" s="139" t="str">
        <f t="array" ref="E1133">IF(
UPPER(TRIM(CLEAN($O1133)))="ENTREGADO",
IFERROR(
INDEX(REPORTE_DROPI!Y:Y,
MATCH($T1133, REPORTE_DROPI!B:B, 0)
),
""
),
""
)
</f>
        <v/>
      </c>
      <c r="F1133" s="78"/>
      <c r="G1133" s="78" t="str">
        <f t="array" ref="G1133">IF(
UPPER(TRIM(CLEAN($O1133)))="ENTREGADO",
IFERROR(
INDEX(REPORTE_DROPI!R:R,
MATCH($T1133, REPORTE_DROPI!B:B, 0)
),
""
),
""
)
</f>
        <v/>
      </c>
      <c r="H1133" s="78"/>
      <c r="I1133" s="78"/>
      <c r="J1133" s="78" t="str">
        <f t="array" ref="J1133">IF(
UPPER(TRIM(CLEAN($O1133)))="ENTREGADO",
IFERROR(
INDEX(REPORTE_DROPI!T:T,
MATCH($T1133, REPORTE_DROPI!B:B, 0)
),
""
),
""
)
</f>
        <v/>
      </c>
      <c r="K1133" s="78"/>
      <c r="L1133" s="78"/>
      <c r="M1133" s="78"/>
      <c r="N1133" s="78"/>
      <c r="O1133" s="78"/>
      <c r="P1133" s="78"/>
      <c r="Q1133" s="78"/>
      <c r="R1133" s="78"/>
      <c r="S1133" s="78"/>
      <c r="T1133" s="78"/>
      <c r="U1133" s="78"/>
      <c r="V1133" s="78"/>
      <c r="W1133" s="78"/>
      <c r="X1133" s="78"/>
      <c r="Y1133" s="78"/>
      <c r="Z1133" s="78"/>
    </row>
    <row r="1134">
      <c r="A1134" s="78">
        <v>746.0</v>
      </c>
      <c r="B1134" s="78"/>
      <c r="C1134" s="138"/>
      <c r="D1134" s="78"/>
      <c r="E1134" s="139" t="str">
        <f t="array" ref="E1134">IF(
UPPER(TRIM(CLEAN($O1134)))="ENTREGADO",
IFERROR(
INDEX(REPORTE_DROPI!Y:Y,
MATCH($T1134, REPORTE_DROPI!B:B, 0)
),
""
),
""
)
</f>
        <v/>
      </c>
      <c r="F1134" s="78"/>
      <c r="G1134" s="78" t="str">
        <f t="array" ref="G1134">IF(
UPPER(TRIM(CLEAN($O1134)))="ENTREGADO",
IFERROR(
INDEX(REPORTE_DROPI!R:R,
MATCH($T1134, REPORTE_DROPI!B:B, 0)
),
""
),
""
)
</f>
        <v/>
      </c>
      <c r="H1134" s="78"/>
      <c r="I1134" s="78"/>
      <c r="J1134" s="78" t="str">
        <f t="array" ref="J1134">IF(
UPPER(TRIM(CLEAN($O1134)))="ENTREGADO",
IFERROR(
INDEX(REPORTE_DROPI!T:T,
MATCH($T1134, REPORTE_DROPI!B:B, 0)
),
""
),
""
)
</f>
        <v/>
      </c>
      <c r="K1134" s="78"/>
      <c r="L1134" s="78"/>
      <c r="M1134" s="78"/>
      <c r="N1134" s="78"/>
      <c r="O1134" s="78"/>
      <c r="P1134" s="78"/>
      <c r="Q1134" s="78"/>
      <c r="R1134" s="78"/>
      <c r="S1134" s="78"/>
      <c r="T1134" s="78"/>
      <c r="U1134" s="78"/>
      <c r="V1134" s="78"/>
      <c r="W1134" s="78"/>
      <c r="X1134" s="78"/>
      <c r="Y1134" s="78"/>
      <c r="Z1134" s="78"/>
    </row>
    <row r="1135">
      <c r="A1135" s="78">
        <v>747.0</v>
      </c>
      <c r="B1135" s="78"/>
      <c r="C1135" s="138"/>
      <c r="D1135" s="78"/>
      <c r="E1135" s="139" t="str">
        <f t="array" ref="E1135">IF(
UPPER(TRIM(CLEAN($O1135)))="ENTREGADO",
IFERROR(
INDEX(REPORTE_DROPI!Y:Y,
MATCH($T1135, REPORTE_DROPI!B:B, 0)
),
""
),
""
)
</f>
        <v/>
      </c>
      <c r="F1135" s="78"/>
      <c r="G1135" s="78"/>
      <c r="H1135" s="78"/>
      <c r="I1135" s="78"/>
      <c r="J1135" s="78"/>
      <c r="K1135" s="78"/>
      <c r="L1135" s="78"/>
      <c r="M1135" s="78"/>
      <c r="N1135" s="78"/>
      <c r="O1135" s="78"/>
      <c r="P1135" s="78"/>
      <c r="Q1135" s="78"/>
      <c r="R1135" s="78"/>
      <c r="S1135" s="78"/>
      <c r="T1135" s="78"/>
      <c r="U1135" s="78"/>
      <c r="V1135" s="78"/>
      <c r="W1135" s="78"/>
      <c r="X1135" s="78"/>
      <c r="Y1135" s="78"/>
      <c r="Z1135" s="78"/>
    </row>
    <row r="1136">
      <c r="A1136" s="78">
        <v>748.0</v>
      </c>
      <c r="B1136" s="78"/>
      <c r="C1136" s="138"/>
      <c r="D1136" s="78"/>
      <c r="E1136" s="139" t="str">
        <f t="array" ref="E1136">IF(
UPPER(TRIM(CLEAN($O1136)))="ENTREGADO",
IFERROR(
INDEX(REPORTE_DROPI!Y:Y,
MATCH($T1136, REPORTE_DROPI!B:B, 0)
),
""
),
""
)
</f>
        <v/>
      </c>
      <c r="F1136" s="78"/>
      <c r="G1136" s="78"/>
      <c r="H1136" s="78"/>
      <c r="I1136" s="78"/>
      <c r="J1136" s="78"/>
      <c r="K1136" s="78"/>
      <c r="L1136" s="78"/>
      <c r="M1136" s="78"/>
      <c r="N1136" s="78"/>
      <c r="O1136" s="78"/>
      <c r="P1136" s="78"/>
      <c r="Q1136" s="78"/>
      <c r="R1136" s="78"/>
      <c r="S1136" s="78"/>
      <c r="T1136" s="78"/>
      <c r="U1136" s="78"/>
      <c r="V1136" s="78"/>
      <c r="W1136" s="78"/>
      <c r="X1136" s="78"/>
      <c r="Y1136" s="78"/>
      <c r="Z1136" s="78"/>
    </row>
    <row r="1137">
      <c r="A1137" s="78">
        <v>749.0</v>
      </c>
      <c r="B1137" s="78"/>
      <c r="C1137" s="138"/>
      <c r="D1137" s="78"/>
      <c r="E1137" s="139" t="str">
        <f t="array" ref="E1137">IF(
UPPER(TRIM(CLEAN($O1137)))="ENTREGADO",
IFERROR(
INDEX(REPORTE_DROPI!Y:Y,
MATCH($T1137, REPORTE_DROPI!B:B, 0)
),
""
),
""
)
</f>
        <v/>
      </c>
      <c r="F1137" s="78"/>
      <c r="G1137" s="78"/>
      <c r="H1137" s="78"/>
      <c r="I1137" s="78"/>
      <c r="J1137" s="78"/>
      <c r="K1137" s="78"/>
      <c r="L1137" s="78"/>
      <c r="M1137" s="78"/>
      <c r="N1137" s="78"/>
      <c r="O1137" s="78"/>
      <c r="P1137" s="78"/>
      <c r="Q1137" s="78"/>
      <c r="R1137" s="78"/>
      <c r="S1137" s="78"/>
      <c r="T1137" s="78"/>
      <c r="U1137" s="78"/>
      <c r="V1137" s="78"/>
      <c r="W1137" s="78"/>
      <c r="X1137" s="78"/>
      <c r="Y1137" s="78"/>
      <c r="Z1137" s="78"/>
    </row>
    <row r="1138">
      <c r="A1138" s="78">
        <v>750.0</v>
      </c>
      <c r="B1138" s="78"/>
      <c r="C1138" s="138"/>
      <c r="D1138" s="78"/>
      <c r="E1138" s="139" t="str">
        <f t="array" ref="E1138">IF(
UPPER(TRIM(CLEAN($O1138)))="ENTREGADO",
IFERROR(
INDEX(REPORTE_DROPI!Y:Y,
MATCH($T1138, REPORTE_DROPI!B:B, 0)
),
""
),
""
)
</f>
        <v/>
      </c>
      <c r="F1138" s="78"/>
      <c r="G1138" s="78"/>
      <c r="H1138" s="78"/>
      <c r="I1138" s="78"/>
      <c r="J1138" s="78"/>
      <c r="K1138" s="78"/>
      <c r="L1138" s="78"/>
      <c r="M1138" s="78"/>
      <c r="N1138" s="78"/>
      <c r="O1138" s="78"/>
      <c r="P1138" s="78"/>
      <c r="Q1138" s="78"/>
      <c r="R1138" s="78"/>
      <c r="S1138" s="78"/>
      <c r="T1138" s="78"/>
      <c r="U1138" s="78"/>
      <c r="V1138" s="78"/>
      <c r="W1138" s="78"/>
      <c r="X1138" s="78"/>
      <c r="Y1138" s="78"/>
      <c r="Z1138" s="78"/>
    </row>
    <row r="1139">
      <c r="A1139" s="78">
        <v>751.0</v>
      </c>
      <c r="B1139" s="78"/>
      <c r="C1139" s="138"/>
      <c r="D1139" s="78"/>
      <c r="E1139" s="139" t="str">
        <f t="array" ref="E1139">IF(
UPPER(TRIM(CLEAN($O1139)))="ENTREGADO",
IFERROR(
INDEX(REPORTE_DROPI!Y:Y,
MATCH($T1139, REPORTE_DROPI!B:B, 0)
),
""
),
""
)
</f>
        <v/>
      </c>
      <c r="F1139" s="78"/>
      <c r="G1139" s="78"/>
      <c r="H1139" s="78"/>
      <c r="I1139" s="78"/>
      <c r="J1139" s="78"/>
      <c r="K1139" s="78"/>
      <c r="L1139" s="78"/>
      <c r="M1139" s="78"/>
      <c r="N1139" s="78"/>
      <c r="O1139" s="78"/>
      <c r="P1139" s="78"/>
      <c r="Q1139" s="78"/>
      <c r="R1139" s="78"/>
      <c r="S1139" s="78"/>
      <c r="T1139" s="78"/>
      <c r="U1139" s="78"/>
      <c r="V1139" s="78"/>
      <c r="W1139" s="78"/>
      <c r="X1139" s="78"/>
      <c r="Y1139" s="78"/>
      <c r="Z1139" s="78"/>
    </row>
    <row r="1140">
      <c r="A1140" s="78">
        <v>752.0</v>
      </c>
      <c r="B1140" s="78"/>
      <c r="C1140" s="138"/>
      <c r="D1140" s="78"/>
      <c r="E1140" s="139" t="str">
        <f t="array" ref="E1140">IF(
UPPER(TRIM(CLEAN($O1140)))="ENTREGADO",
IFERROR(
INDEX(REPORTE_DROPI!Y:Y,
MATCH($T1140, REPORTE_DROPI!B:B, 0)
),
""
),
""
)
</f>
        <v/>
      </c>
      <c r="F1140" s="78"/>
      <c r="G1140" s="78"/>
      <c r="H1140" s="78"/>
      <c r="I1140" s="78"/>
      <c r="J1140" s="78"/>
      <c r="K1140" s="78"/>
      <c r="L1140" s="78"/>
      <c r="M1140" s="78"/>
      <c r="N1140" s="78"/>
      <c r="O1140" s="78"/>
      <c r="P1140" s="78"/>
      <c r="Q1140" s="78"/>
      <c r="R1140" s="78"/>
      <c r="S1140" s="78"/>
      <c r="T1140" s="78"/>
      <c r="U1140" s="78"/>
      <c r="V1140" s="78"/>
      <c r="W1140" s="78"/>
      <c r="X1140" s="78"/>
      <c r="Y1140" s="78"/>
      <c r="Z1140" s="78"/>
    </row>
    <row r="1141">
      <c r="A1141" s="78">
        <v>753.0</v>
      </c>
      <c r="B1141" s="78"/>
      <c r="C1141" s="138"/>
      <c r="D1141" s="78"/>
      <c r="E1141" s="139" t="str">
        <f t="array" ref="E1141">IF(
UPPER(TRIM(CLEAN($O1141)))="ENTREGADO",
IFERROR(
INDEX(REPORTE_DROPI!Y:Y,
MATCH($T1141, REPORTE_DROPI!B:B, 0)
),
""
),
""
)
</f>
        <v/>
      </c>
      <c r="F1141" s="78"/>
      <c r="G1141" s="78"/>
      <c r="H1141" s="78"/>
      <c r="I1141" s="78"/>
      <c r="J1141" s="78"/>
      <c r="K1141" s="78"/>
      <c r="L1141" s="78"/>
      <c r="M1141" s="78"/>
      <c r="N1141" s="78"/>
      <c r="O1141" s="78"/>
      <c r="P1141" s="78"/>
      <c r="Q1141" s="78"/>
      <c r="R1141" s="78"/>
      <c r="S1141" s="78"/>
      <c r="T1141" s="78"/>
      <c r="U1141" s="78"/>
      <c r="V1141" s="78"/>
      <c r="W1141" s="78"/>
      <c r="X1141" s="78"/>
      <c r="Y1141" s="78"/>
      <c r="Z1141" s="78"/>
    </row>
    <row r="1142">
      <c r="A1142" s="78">
        <v>754.0</v>
      </c>
      <c r="B1142" s="78"/>
      <c r="C1142" s="138"/>
      <c r="D1142" s="78"/>
      <c r="E1142" s="139" t="str">
        <f t="array" ref="E1142">IF(
UPPER(TRIM(CLEAN($O1142)))="ENTREGADO",
IFERROR(
INDEX(REPORTE_DROPI!Y:Y,
MATCH($T1142, REPORTE_DROPI!B:B, 0)
),
""
),
""
)
</f>
        <v/>
      </c>
      <c r="F1142" s="78"/>
      <c r="G1142" s="78"/>
      <c r="H1142" s="78"/>
      <c r="I1142" s="78"/>
      <c r="J1142" s="78"/>
      <c r="K1142" s="78"/>
      <c r="L1142" s="78"/>
      <c r="M1142" s="78"/>
      <c r="N1142" s="78"/>
      <c r="O1142" s="78"/>
      <c r="P1142" s="78"/>
      <c r="Q1142" s="78"/>
      <c r="R1142" s="78"/>
      <c r="S1142" s="78"/>
      <c r="T1142" s="78"/>
      <c r="U1142" s="78"/>
      <c r="V1142" s="78"/>
      <c r="W1142" s="78"/>
      <c r="X1142" s="78"/>
      <c r="Y1142" s="78"/>
      <c r="Z1142" s="78"/>
    </row>
    <row r="1143">
      <c r="A1143" s="78">
        <v>755.0</v>
      </c>
      <c r="B1143" s="78"/>
      <c r="C1143" s="138"/>
      <c r="D1143" s="78"/>
      <c r="E1143" s="139" t="str">
        <f t="array" ref="E1143">IF(
UPPER(TRIM(CLEAN($O1143)))="ENTREGADO",
IFERROR(
INDEX(REPORTE_DROPI!Y:Y,
MATCH($T1143, REPORTE_DROPI!B:B, 0)
),
""
),
""
)
</f>
        <v/>
      </c>
      <c r="F1143" s="78"/>
      <c r="G1143" s="78"/>
      <c r="H1143" s="78"/>
      <c r="I1143" s="78"/>
      <c r="J1143" s="78"/>
      <c r="K1143" s="78"/>
      <c r="L1143" s="78"/>
      <c r="M1143" s="78"/>
      <c r="N1143" s="78"/>
      <c r="O1143" s="78"/>
      <c r="P1143" s="78"/>
      <c r="Q1143" s="78"/>
      <c r="R1143" s="78"/>
      <c r="S1143" s="78"/>
      <c r="T1143" s="78"/>
      <c r="U1143" s="78"/>
      <c r="V1143" s="78"/>
      <c r="W1143" s="78"/>
      <c r="X1143" s="78"/>
      <c r="Y1143" s="78"/>
      <c r="Z1143" s="78"/>
    </row>
    <row r="1144">
      <c r="A1144" s="78">
        <v>756.0</v>
      </c>
      <c r="B1144" s="78"/>
      <c r="C1144" s="138"/>
      <c r="D1144" s="78"/>
      <c r="E1144" s="139" t="str">
        <f t="array" ref="E1144">IF(
UPPER(TRIM(CLEAN($O1144)))="ENTREGADO",
IFERROR(
INDEX(REPORTE_DROPI!Y:Y,
MATCH($T1144, REPORTE_DROPI!B:B, 0)
),
""
),
""
)
</f>
        <v/>
      </c>
      <c r="F1144" s="78"/>
      <c r="G1144" s="78"/>
      <c r="H1144" s="78"/>
      <c r="I1144" s="78"/>
      <c r="J1144" s="78"/>
      <c r="K1144" s="78"/>
      <c r="L1144" s="78"/>
      <c r="M1144" s="78"/>
      <c r="N1144" s="78"/>
      <c r="O1144" s="78"/>
      <c r="P1144" s="78"/>
      <c r="Q1144" s="78"/>
      <c r="R1144" s="78"/>
      <c r="S1144" s="78"/>
      <c r="T1144" s="78"/>
      <c r="U1144" s="78"/>
      <c r="V1144" s="78"/>
      <c r="W1144" s="78"/>
      <c r="X1144" s="78"/>
      <c r="Y1144" s="78"/>
      <c r="Z1144" s="78"/>
    </row>
    <row r="1145">
      <c r="A1145" s="78">
        <v>346.0</v>
      </c>
      <c r="B1145" s="78"/>
      <c r="C1145" s="138"/>
      <c r="D1145" s="78"/>
      <c r="E1145" s="139" t="str">
        <f t="array" ref="E1145">IF(
UPPER(TRIM(CLEAN($O1145)))="ENTREGADO",
IFERROR(
INDEX(REPORTE_DROPI!Y:Y,
MATCH($T1145, REPORTE_DROPI!B:B, 0)
),
""
),
""
)
</f>
        <v/>
      </c>
      <c r="F1145" s="78"/>
      <c r="G1145" s="78"/>
      <c r="H1145" s="78"/>
      <c r="I1145" s="78"/>
      <c r="J1145" s="78"/>
      <c r="K1145" s="78"/>
      <c r="L1145" s="78"/>
      <c r="M1145" s="78"/>
      <c r="N1145" s="78"/>
      <c r="O1145" s="78"/>
      <c r="P1145" s="78"/>
      <c r="Q1145" s="78"/>
      <c r="R1145" s="78"/>
      <c r="S1145" s="78"/>
      <c r="T1145" s="78"/>
      <c r="U1145" s="78"/>
      <c r="V1145" s="78"/>
      <c r="W1145" s="78"/>
      <c r="X1145" s="78"/>
      <c r="Y1145" s="78"/>
      <c r="Z1145" s="78"/>
    </row>
    <row r="1146">
      <c r="A1146" s="78">
        <v>346.0</v>
      </c>
      <c r="B1146" s="78"/>
      <c r="C1146" s="138"/>
      <c r="D1146" s="78"/>
      <c r="E1146" s="139" t="str">
        <f t="array" ref="E1146">IF(
UPPER(TRIM(CLEAN($O1146)))="ENTREGADO",
IFERROR(
INDEX(REPORTE_DROPI!Y:Y,
MATCH($T1146, REPORTE_DROPI!B:B, 0)
),
""
),
""
)
</f>
        <v/>
      </c>
      <c r="F1146" s="78"/>
      <c r="G1146" s="78"/>
      <c r="H1146" s="78"/>
      <c r="I1146" s="78"/>
      <c r="J1146" s="78"/>
      <c r="K1146" s="78"/>
      <c r="L1146" s="78"/>
      <c r="M1146" s="78"/>
      <c r="N1146" s="78"/>
      <c r="O1146" s="78"/>
      <c r="P1146" s="78"/>
      <c r="Q1146" s="78"/>
      <c r="R1146" s="78"/>
      <c r="S1146" s="78"/>
      <c r="T1146" s="78"/>
      <c r="U1146" s="78"/>
      <c r="V1146" s="78"/>
      <c r="W1146" s="78"/>
      <c r="X1146" s="78"/>
      <c r="Y1146" s="78"/>
      <c r="Z1146" s="78"/>
    </row>
    <row r="1147">
      <c r="A1147" s="78">
        <v>346.0</v>
      </c>
      <c r="B1147" s="78"/>
      <c r="C1147" s="138"/>
      <c r="D1147" s="78"/>
      <c r="E1147" s="139" t="str">
        <f t="array" ref="E1147">IF(
UPPER(TRIM(CLEAN($O1147)))="ENTREGADO",
IFERROR(
INDEX(REPORTE_DROPI!Y:Y,
MATCH($T1147, REPORTE_DROPI!B:B, 0)
),
""
),
""
)
</f>
        <v/>
      </c>
      <c r="F1147" s="78"/>
      <c r="G1147" s="78"/>
      <c r="H1147" s="78"/>
      <c r="I1147" s="78"/>
      <c r="J1147" s="78"/>
      <c r="K1147" s="78"/>
      <c r="L1147" s="78"/>
      <c r="M1147" s="78"/>
      <c r="N1147" s="78"/>
      <c r="O1147" s="78"/>
      <c r="P1147" s="78"/>
      <c r="Q1147" s="78"/>
      <c r="R1147" s="78"/>
      <c r="S1147" s="78"/>
      <c r="T1147" s="78"/>
      <c r="U1147" s="78"/>
      <c r="V1147" s="78"/>
      <c r="W1147" s="78"/>
      <c r="X1147" s="78"/>
      <c r="Y1147" s="78"/>
      <c r="Z1147" s="78"/>
    </row>
    <row r="1148">
      <c r="A1148" s="78">
        <v>346.0</v>
      </c>
      <c r="B1148" s="78"/>
      <c r="C1148" s="138"/>
      <c r="D1148" s="78"/>
      <c r="E1148" s="139" t="str">
        <f t="array" ref="E1148">IF(
UPPER(TRIM(CLEAN($O1148)))="ENTREGADO",
IFERROR(
INDEX(REPORTE_DROPI!Y:Y,
MATCH($T1148, REPORTE_DROPI!B:B, 0)
),
""
),
""
)
</f>
        <v/>
      </c>
      <c r="F1148" s="78"/>
      <c r="G1148" s="78"/>
      <c r="H1148" s="78"/>
      <c r="I1148" s="78"/>
      <c r="J1148" s="78"/>
      <c r="K1148" s="78"/>
      <c r="L1148" s="78"/>
      <c r="M1148" s="78"/>
      <c r="N1148" s="78"/>
      <c r="O1148" s="78"/>
      <c r="P1148" s="78"/>
      <c r="Q1148" s="78"/>
      <c r="R1148" s="78"/>
      <c r="S1148" s="78"/>
      <c r="T1148" s="78"/>
      <c r="U1148" s="78"/>
      <c r="V1148" s="78"/>
      <c r="W1148" s="78"/>
      <c r="X1148" s="78"/>
      <c r="Y1148" s="78"/>
      <c r="Z1148" s="78"/>
    </row>
    <row r="1149">
      <c r="A1149" s="78">
        <v>346.0</v>
      </c>
      <c r="B1149" s="78"/>
      <c r="C1149" s="138"/>
      <c r="D1149" s="78"/>
      <c r="E1149" s="139" t="str">
        <f t="array" ref="E1149">IF(
UPPER(TRIM(CLEAN($O1149)))="ENTREGADO",
IFERROR(
INDEX(REPORTE_DROPI!Y:Y,
MATCH($T1149, REPORTE_DROPI!B:B, 0)
),
""
),
""
)
</f>
        <v/>
      </c>
      <c r="F1149" s="78"/>
      <c r="G1149" s="78"/>
      <c r="H1149" s="78"/>
      <c r="I1149" s="78"/>
      <c r="J1149" s="78"/>
      <c r="K1149" s="78"/>
      <c r="L1149" s="78"/>
      <c r="M1149" s="78"/>
      <c r="N1149" s="78"/>
      <c r="O1149" s="78"/>
      <c r="P1149" s="78"/>
      <c r="Q1149" s="78"/>
      <c r="R1149" s="78"/>
      <c r="S1149" s="78"/>
      <c r="T1149" s="78"/>
      <c r="U1149" s="78"/>
      <c r="V1149" s="78"/>
      <c r="W1149" s="78"/>
      <c r="X1149" s="78"/>
      <c r="Y1149" s="78"/>
      <c r="Z1149" s="78"/>
    </row>
    <row r="1150">
      <c r="A1150" s="78">
        <v>346.0</v>
      </c>
      <c r="B1150" s="78"/>
      <c r="C1150" s="138"/>
      <c r="D1150" s="78"/>
      <c r="E1150" s="139" t="str">
        <f t="array" ref="E1150">IF(
UPPER(TRIM(CLEAN($O1150)))="ENTREGADO",
IFERROR(
INDEX(REPORTE_DROPI!Y:Y,
MATCH($T1150, REPORTE_DROPI!B:B, 0)
),
""
),
""
)
</f>
        <v/>
      </c>
      <c r="F1150" s="78"/>
      <c r="G1150" s="78"/>
      <c r="H1150" s="78"/>
      <c r="I1150" s="78"/>
      <c r="J1150" s="78"/>
      <c r="K1150" s="78"/>
      <c r="L1150" s="78"/>
      <c r="M1150" s="78"/>
      <c r="N1150" s="78"/>
      <c r="O1150" s="78"/>
      <c r="P1150" s="78"/>
      <c r="Q1150" s="78"/>
      <c r="R1150" s="78"/>
      <c r="S1150" s="78"/>
      <c r="T1150" s="78"/>
      <c r="U1150" s="78"/>
      <c r="V1150" s="78"/>
      <c r="W1150" s="78"/>
      <c r="X1150" s="78"/>
      <c r="Y1150" s="78"/>
      <c r="Z1150" s="78"/>
    </row>
    <row r="1151">
      <c r="A1151" s="78">
        <v>346.0</v>
      </c>
      <c r="B1151" s="78"/>
      <c r="C1151" s="138"/>
      <c r="D1151" s="78"/>
      <c r="E1151" s="139" t="str">
        <f t="array" ref="E1151">IF(
UPPER(TRIM(CLEAN($O1151)))="ENTREGADO",
IFERROR(
INDEX(REPORTE_DROPI!Y:Y,
MATCH($T1151, REPORTE_DROPI!B:B, 0)
),
""
),
""
)
</f>
        <v/>
      </c>
      <c r="F1151" s="78"/>
      <c r="G1151" s="78"/>
      <c r="H1151" s="78"/>
      <c r="I1151" s="78"/>
      <c r="J1151" s="78"/>
      <c r="K1151" s="78"/>
      <c r="L1151" s="78"/>
      <c r="M1151" s="78"/>
      <c r="N1151" s="78"/>
      <c r="O1151" s="78"/>
      <c r="P1151" s="78"/>
      <c r="Q1151" s="78"/>
      <c r="R1151" s="78"/>
      <c r="S1151" s="78"/>
      <c r="T1151" s="78"/>
      <c r="U1151" s="78"/>
      <c r="V1151" s="78"/>
      <c r="W1151" s="78"/>
      <c r="X1151" s="78"/>
      <c r="Y1151" s="78"/>
      <c r="Z1151" s="78"/>
    </row>
    <row r="1152">
      <c r="A1152" s="78">
        <v>346.0</v>
      </c>
      <c r="B1152" s="78"/>
      <c r="C1152" s="138"/>
      <c r="D1152" s="78"/>
      <c r="E1152" s="139" t="str">
        <f t="array" ref="E1152">IF(
UPPER(TRIM(CLEAN($O1152)))="ENTREGADO",
IFERROR(
INDEX(REPORTE_DROPI!Y:Y,
MATCH($T1152, REPORTE_DROPI!B:B, 0)
),
""
),
""
)
</f>
        <v/>
      </c>
      <c r="F1152" s="78"/>
      <c r="G1152" s="78"/>
      <c r="H1152" s="78"/>
      <c r="I1152" s="78"/>
      <c r="J1152" s="78"/>
      <c r="K1152" s="78"/>
      <c r="L1152" s="78"/>
      <c r="M1152" s="78"/>
      <c r="N1152" s="78"/>
      <c r="O1152" s="78"/>
      <c r="P1152" s="78"/>
      <c r="Q1152" s="78"/>
      <c r="R1152" s="78"/>
      <c r="S1152" s="78"/>
      <c r="T1152" s="78"/>
      <c r="U1152" s="78"/>
      <c r="V1152" s="78"/>
      <c r="W1152" s="78"/>
      <c r="X1152" s="78"/>
      <c r="Y1152" s="78"/>
      <c r="Z1152" s="78"/>
    </row>
    <row r="1153">
      <c r="A1153" s="78">
        <v>346.0</v>
      </c>
      <c r="B1153" s="78"/>
      <c r="C1153" s="138"/>
      <c r="D1153" s="78"/>
      <c r="E1153" s="139" t="str">
        <f t="array" ref="E1153">IF(
UPPER(TRIM(CLEAN($O1153)))="ENTREGADO",
IFERROR(
INDEX(REPORTE_DROPI!Y:Y,
MATCH($T1153, REPORTE_DROPI!B:B, 0)
),
""
),
""
)
</f>
        <v/>
      </c>
      <c r="F1153" s="78"/>
      <c r="G1153" s="78"/>
      <c r="H1153" s="78"/>
      <c r="I1153" s="78"/>
      <c r="J1153" s="78"/>
      <c r="K1153" s="78"/>
      <c r="L1153" s="78"/>
      <c r="M1153" s="78"/>
      <c r="N1153" s="78"/>
      <c r="O1153" s="78"/>
      <c r="P1153" s="78"/>
      <c r="Q1153" s="78"/>
      <c r="R1153" s="78"/>
      <c r="S1153" s="78"/>
      <c r="T1153" s="78"/>
      <c r="U1153" s="78"/>
      <c r="V1153" s="78"/>
      <c r="W1153" s="78"/>
      <c r="X1153" s="78"/>
      <c r="Y1153" s="78"/>
      <c r="Z1153" s="78"/>
    </row>
    <row r="1154">
      <c r="A1154" s="78">
        <v>346.0</v>
      </c>
      <c r="B1154" s="78"/>
      <c r="C1154" s="138"/>
      <c r="D1154" s="78"/>
      <c r="E1154" s="139" t="str">
        <f t="array" ref="E1154">IF(
UPPER(TRIM(CLEAN($O1154)))="ENTREGADO",
IFERROR(
INDEX(REPORTE_DROPI!Y:Y,
MATCH($T1154, REPORTE_DROPI!B:B, 0)
),
""
),
""
)
</f>
        <v/>
      </c>
      <c r="F1154" s="78"/>
      <c r="G1154" s="78"/>
      <c r="H1154" s="78"/>
      <c r="I1154" s="78"/>
      <c r="J1154" s="78"/>
      <c r="K1154" s="78"/>
      <c r="L1154" s="78"/>
      <c r="M1154" s="78"/>
      <c r="N1154" s="78"/>
      <c r="O1154" s="78"/>
      <c r="P1154" s="78"/>
      <c r="Q1154" s="78"/>
      <c r="R1154" s="78"/>
      <c r="S1154" s="78"/>
      <c r="T1154" s="78"/>
      <c r="U1154" s="78"/>
      <c r="V1154" s="78"/>
      <c r="W1154" s="78"/>
      <c r="X1154" s="78"/>
      <c r="Y1154" s="78"/>
      <c r="Z1154" s="78"/>
    </row>
    <row r="1155">
      <c r="A1155" s="78">
        <v>346.0</v>
      </c>
      <c r="B1155" s="78"/>
      <c r="C1155" s="138"/>
      <c r="D1155" s="78"/>
      <c r="E1155" s="139" t="str">
        <f t="array" ref="E1155">IF(
UPPER(TRIM(CLEAN($O1155)))="ENTREGADO",
IFERROR(
INDEX(REPORTE_DROPI!Y:Y,
MATCH($T1155, REPORTE_DROPI!B:B, 0)
),
""
),
""
)
</f>
        <v/>
      </c>
      <c r="F1155" s="78"/>
      <c r="G1155" s="78"/>
      <c r="H1155" s="78"/>
      <c r="I1155" s="78"/>
      <c r="J1155" s="78"/>
      <c r="K1155" s="78"/>
      <c r="L1155" s="78"/>
      <c r="M1155" s="78"/>
      <c r="N1155" s="78"/>
      <c r="O1155" s="78"/>
      <c r="P1155" s="78"/>
      <c r="Q1155" s="78"/>
      <c r="R1155" s="78"/>
      <c r="S1155" s="78"/>
      <c r="T1155" s="78"/>
      <c r="U1155" s="78"/>
      <c r="V1155" s="78"/>
      <c r="W1155" s="78"/>
      <c r="X1155" s="78"/>
      <c r="Y1155" s="78"/>
      <c r="Z1155" s="78"/>
    </row>
    <row r="1156">
      <c r="A1156" s="78">
        <v>346.0</v>
      </c>
      <c r="B1156" s="78"/>
      <c r="C1156" s="138"/>
      <c r="D1156" s="78"/>
      <c r="E1156" s="139" t="str">
        <f t="array" ref="E1156">IF(
UPPER(TRIM(CLEAN($O1156)))="ENTREGADO",
IFERROR(
INDEX(REPORTE_DROPI!Y:Y,
MATCH($T1156, REPORTE_DROPI!B:B, 0)
),
""
),
""
)
</f>
        <v/>
      </c>
      <c r="F1156" s="78"/>
      <c r="G1156" s="78"/>
      <c r="H1156" s="78"/>
      <c r="I1156" s="78"/>
      <c r="J1156" s="78"/>
      <c r="K1156" s="78"/>
      <c r="L1156" s="78"/>
      <c r="M1156" s="78"/>
      <c r="N1156" s="78"/>
      <c r="O1156" s="78"/>
      <c r="P1156" s="78"/>
      <c r="Q1156" s="78"/>
      <c r="R1156" s="78"/>
      <c r="S1156" s="78"/>
      <c r="T1156" s="78"/>
      <c r="U1156" s="78"/>
      <c r="V1156" s="78"/>
      <c r="W1156" s="78"/>
      <c r="X1156" s="78"/>
      <c r="Y1156" s="78"/>
      <c r="Z1156" s="78"/>
    </row>
    <row r="1157">
      <c r="A1157" s="78">
        <v>346.0</v>
      </c>
      <c r="B1157" s="78"/>
      <c r="C1157" s="138"/>
      <c r="D1157" s="78"/>
      <c r="E1157" s="139" t="str">
        <f t="array" ref="E1157">IF(
UPPER(TRIM(CLEAN($O1157)))="ENTREGADO",
IFERROR(
INDEX(REPORTE_DROPI!Y:Y,
MATCH($T1157, REPORTE_DROPI!B:B, 0)
),
""
),
""
)
</f>
        <v/>
      </c>
      <c r="F1157" s="78"/>
      <c r="G1157" s="78"/>
      <c r="H1157" s="78"/>
      <c r="I1157" s="78"/>
      <c r="J1157" s="78"/>
      <c r="K1157" s="78"/>
      <c r="L1157" s="78"/>
      <c r="M1157" s="78"/>
      <c r="N1157" s="78"/>
      <c r="O1157" s="78"/>
      <c r="P1157" s="78"/>
      <c r="Q1157" s="78"/>
      <c r="R1157" s="78"/>
      <c r="S1157" s="78"/>
      <c r="T1157" s="78"/>
      <c r="U1157" s="78"/>
      <c r="V1157" s="78"/>
      <c r="W1157" s="78"/>
      <c r="X1157" s="78"/>
      <c r="Y1157" s="78"/>
      <c r="Z1157" s="78"/>
    </row>
    <row r="1158">
      <c r="A1158" s="78">
        <v>346.0</v>
      </c>
      <c r="B1158" s="78"/>
      <c r="C1158" s="138"/>
      <c r="D1158" s="78"/>
      <c r="E1158" s="139" t="str">
        <f t="array" ref="E1158">IF(
UPPER(TRIM(CLEAN($O1158)))="ENTREGADO",
IFERROR(
INDEX(REPORTE_DROPI!Y:Y,
MATCH($T1158, REPORTE_DROPI!B:B, 0)
),
""
),
""
)
</f>
        <v/>
      </c>
      <c r="F1158" s="78"/>
      <c r="G1158" s="78"/>
      <c r="H1158" s="78"/>
      <c r="I1158" s="78"/>
      <c r="J1158" s="78"/>
      <c r="K1158" s="78"/>
      <c r="L1158" s="78"/>
      <c r="M1158" s="78"/>
      <c r="N1158" s="78"/>
      <c r="O1158" s="78"/>
      <c r="P1158" s="78"/>
      <c r="Q1158" s="78"/>
      <c r="R1158" s="78"/>
      <c r="S1158" s="78"/>
      <c r="T1158" s="78"/>
      <c r="U1158" s="78"/>
      <c r="V1158" s="78"/>
      <c r="W1158" s="78"/>
      <c r="X1158" s="78"/>
      <c r="Y1158" s="78"/>
      <c r="Z1158" s="78"/>
    </row>
    <row r="1159">
      <c r="A1159" s="78">
        <v>346.0</v>
      </c>
      <c r="B1159" s="78"/>
      <c r="C1159" s="138"/>
      <c r="D1159" s="78"/>
      <c r="E1159" s="139" t="str">
        <f t="array" ref="E1159">IF(
UPPER(TRIM(CLEAN($O1159)))="ENTREGADO",
IFERROR(
INDEX(REPORTE_DROPI!Y:Y,
MATCH($T1159, REPORTE_DROPI!B:B, 0)
),
""
),
""
)
</f>
        <v/>
      </c>
      <c r="F1159" s="78"/>
      <c r="G1159" s="78"/>
      <c r="H1159" s="78"/>
      <c r="I1159" s="78"/>
      <c r="J1159" s="78"/>
      <c r="K1159" s="78"/>
      <c r="L1159" s="78"/>
      <c r="M1159" s="78"/>
      <c r="N1159" s="78"/>
      <c r="O1159" s="78"/>
      <c r="P1159" s="78"/>
      <c r="Q1159" s="78"/>
      <c r="R1159" s="78"/>
      <c r="S1159" s="78"/>
      <c r="T1159" s="78"/>
      <c r="U1159" s="78"/>
      <c r="V1159" s="78"/>
      <c r="W1159" s="78"/>
      <c r="X1159" s="78"/>
      <c r="Y1159" s="78"/>
      <c r="Z1159" s="78"/>
    </row>
    <row r="1160">
      <c r="A1160" s="78">
        <v>346.0</v>
      </c>
      <c r="B1160" s="78"/>
      <c r="C1160" s="138"/>
      <c r="D1160" s="78"/>
      <c r="E1160" s="139" t="str">
        <f t="array" ref="E1160">IF(
UPPER(TRIM(CLEAN($O1160)))="ENTREGADO",
IFERROR(
INDEX(REPORTE_DROPI!Y:Y,
MATCH($T1160, REPORTE_DROPI!B:B, 0)
),
""
),
""
)
</f>
        <v/>
      </c>
      <c r="F1160" s="78"/>
      <c r="G1160" s="78"/>
      <c r="H1160" s="78"/>
      <c r="I1160" s="78"/>
      <c r="J1160" s="78"/>
      <c r="K1160" s="78"/>
      <c r="L1160" s="78"/>
      <c r="M1160" s="78"/>
      <c r="N1160" s="78"/>
      <c r="O1160" s="78"/>
      <c r="P1160" s="78"/>
      <c r="Q1160" s="78"/>
      <c r="R1160" s="78"/>
      <c r="S1160" s="78"/>
      <c r="T1160" s="78"/>
      <c r="U1160" s="78"/>
      <c r="V1160" s="78"/>
      <c r="W1160" s="78"/>
      <c r="X1160" s="78"/>
      <c r="Y1160" s="78"/>
      <c r="Z1160" s="78"/>
    </row>
    <row r="1161">
      <c r="A1161" s="78">
        <v>346.0</v>
      </c>
      <c r="B1161" s="78"/>
      <c r="C1161" s="138"/>
      <c r="D1161" s="78"/>
      <c r="E1161" s="139" t="str">
        <f t="array" ref="E1161">IF(
UPPER(TRIM(CLEAN($O1161)))="ENTREGADO",
IFERROR(
INDEX(REPORTE_DROPI!Y:Y,
MATCH($T1161, REPORTE_DROPI!B:B, 0)
),
""
),
""
)
</f>
        <v/>
      </c>
      <c r="F1161" s="78"/>
      <c r="G1161" s="78"/>
      <c r="H1161" s="78"/>
      <c r="I1161" s="78"/>
      <c r="J1161" s="78"/>
      <c r="K1161" s="78"/>
      <c r="L1161" s="78"/>
      <c r="M1161" s="78"/>
      <c r="N1161" s="78"/>
      <c r="O1161" s="78"/>
      <c r="P1161" s="78"/>
      <c r="Q1161" s="78"/>
      <c r="R1161" s="78"/>
      <c r="S1161" s="78"/>
      <c r="T1161" s="78"/>
      <c r="U1161" s="78"/>
      <c r="V1161" s="78"/>
      <c r="W1161" s="78"/>
      <c r="X1161" s="78"/>
      <c r="Y1161" s="78"/>
      <c r="Z1161" s="78"/>
    </row>
    <row r="1162">
      <c r="A1162" s="78">
        <v>346.0</v>
      </c>
      <c r="B1162" s="78"/>
      <c r="C1162" s="138"/>
      <c r="D1162" s="78"/>
      <c r="E1162" s="139" t="str">
        <f t="array" ref="E1162">IF(
UPPER(TRIM(CLEAN($O1162)))="ENTREGADO",
IFERROR(
INDEX(REPORTE_DROPI!Y:Y,
MATCH($T1162, REPORTE_DROPI!B:B, 0)
),
""
),
""
)
</f>
        <v/>
      </c>
      <c r="F1162" s="78"/>
      <c r="G1162" s="78"/>
      <c r="H1162" s="78"/>
      <c r="I1162" s="78"/>
      <c r="J1162" s="78"/>
      <c r="K1162" s="78"/>
      <c r="L1162" s="78"/>
      <c r="M1162" s="78"/>
      <c r="N1162" s="78"/>
      <c r="O1162" s="78"/>
      <c r="P1162" s="78"/>
      <c r="Q1162" s="78"/>
      <c r="R1162" s="78"/>
      <c r="S1162" s="78"/>
      <c r="T1162" s="78"/>
      <c r="U1162" s="78"/>
      <c r="V1162" s="78"/>
      <c r="W1162" s="78"/>
      <c r="X1162" s="78"/>
      <c r="Y1162" s="78"/>
      <c r="Z1162" s="78"/>
    </row>
    <row r="1163">
      <c r="A1163" s="78">
        <v>346.0</v>
      </c>
      <c r="B1163" s="78"/>
      <c r="C1163" s="138"/>
      <c r="D1163" s="78"/>
      <c r="E1163" s="139" t="str">
        <f t="array" ref="E1163">IF(
UPPER(TRIM(CLEAN($O1163)))="ENTREGADO",
IFERROR(
INDEX(REPORTE_DROPI!Y:Y,
MATCH($T1163, REPORTE_DROPI!B:B, 0)
),
""
),
""
)
</f>
        <v/>
      </c>
      <c r="F1163" s="78"/>
      <c r="G1163" s="78"/>
      <c r="H1163" s="78"/>
      <c r="I1163" s="78"/>
      <c r="J1163" s="78"/>
      <c r="K1163" s="78"/>
      <c r="L1163" s="78"/>
      <c r="M1163" s="78"/>
      <c r="N1163" s="78"/>
      <c r="O1163" s="78"/>
      <c r="P1163" s="78"/>
      <c r="Q1163" s="78"/>
      <c r="R1163" s="78"/>
      <c r="S1163" s="78"/>
      <c r="T1163" s="78"/>
      <c r="U1163" s="78"/>
      <c r="V1163" s="78"/>
      <c r="W1163" s="78"/>
      <c r="X1163" s="78"/>
      <c r="Y1163" s="78"/>
      <c r="Z1163" s="78"/>
    </row>
    <row r="1164">
      <c r="A1164" s="78">
        <v>346.0</v>
      </c>
      <c r="B1164" s="78"/>
      <c r="C1164" s="138"/>
      <c r="D1164" s="78"/>
      <c r="E1164" s="139" t="str">
        <f t="array" ref="E1164">IF(
UPPER(TRIM(CLEAN($O1164)))="ENTREGADO",
IFERROR(
INDEX(REPORTE_DROPI!Y:Y,
MATCH($T1164, REPORTE_DROPI!B:B, 0)
),
""
),
""
)
</f>
        <v/>
      </c>
      <c r="F1164" s="78"/>
      <c r="G1164" s="78"/>
      <c r="H1164" s="78"/>
      <c r="I1164" s="78"/>
      <c r="J1164" s="78"/>
      <c r="K1164" s="78"/>
      <c r="L1164" s="78"/>
      <c r="M1164" s="78"/>
      <c r="N1164" s="78"/>
      <c r="O1164" s="78"/>
      <c r="P1164" s="78"/>
      <c r="Q1164" s="78"/>
      <c r="R1164" s="78"/>
      <c r="S1164" s="78"/>
      <c r="T1164" s="78"/>
      <c r="U1164" s="78"/>
      <c r="V1164" s="78"/>
      <c r="W1164" s="78"/>
      <c r="X1164" s="78"/>
      <c r="Y1164" s="78"/>
      <c r="Z1164" s="78"/>
    </row>
    <row r="1165">
      <c r="A1165" s="78">
        <v>346.0</v>
      </c>
      <c r="B1165" s="78"/>
      <c r="C1165" s="138"/>
      <c r="D1165" s="78"/>
      <c r="E1165" s="139" t="str">
        <f t="array" ref="E1165">IF(
UPPER(TRIM(CLEAN($O1165)))="ENTREGADO",
IFERROR(
INDEX(REPORTE_DROPI!Y:Y,
MATCH($T1165, REPORTE_DROPI!B:B, 0)
),
""
),
""
)
</f>
        <v/>
      </c>
      <c r="F1165" s="78"/>
      <c r="G1165" s="78"/>
      <c r="H1165" s="78"/>
      <c r="I1165" s="78"/>
      <c r="J1165" s="78"/>
      <c r="K1165" s="78"/>
      <c r="L1165" s="78"/>
      <c r="M1165" s="78"/>
      <c r="N1165" s="78"/>
      <c r="O1165" s="78"/>
      <c r="P1165" s="78"/>
      <c r="Q1165" s="78"/>
      <c r="R1165" s="78"/>
      <c r="S1165" s="78"/>
      <c r="T1165" s="78"/>
      <c r="U1165" s="78"/>
      <c r="V1165" s="78"/>
      <c r="W1165" s="78"/>
      <c r="X1165" s="78"/>
      <c r="Y1165" s="78"/>
      <c r="Z1165" s="78"/>
    </row>
    <row r="1166">
      <c r="A1166" s="78">
        <v>346.0</v>
      </c>
      <c r="B1166" s="78"/>
      <c r="C1166" s="138"/>
      <c r="D1166" s="78"/>
      <c r="E1166" s="139" t="str">
        <f t="array" ref="E1166">IF(
UPPER(TRIM(CLEAN($O1166)))="ENTREGADO",
IFERROR(
INDEX(REPORTE_DROPI!Y:Y,
MATCH($T1166, REPORTE_DROPI!B:B, 0)
),
""
),
""
)
</f>
        <v/>
      </c>
      <c r="F1166" s="78"/>
      <c r="G1166" s="78"/>
      <c r="H1166" s="78"/>
      <c r="I1166" s="78"/>
      <c r="J1166" s="78"/>
      <c r="K1166" s="78"/>
      <c r="L1166" s="78"/>
      <c r="M1166" s="78"/>
      <c r="N1166" s="78"/>
      <c r="O1166" s="78"/>
      <c r="P1166" s="78"/>
      <c r="Q1166" s="78"/>
      <c r="R1166" s="78"/>
      <c r="S1166" s="78"/>
      <c r="T1166" s="78"/>
      <c r="U1166" s="78"/>
      <c r="V1166" s="78"/>
      <c r="W1166" s="78"/>
      <c r="X1166" s="78"/>
      <c r="Y1166" s="78"/>
      <c r="Z1166" s="78"/>
    </row>
    <row r="1167">
      <c r="A1167" s="78">
        <v>346.0</v>
      </c>
      <c r="B1167" s="78"/>
      <c r="C1167" s="138"/>
      <c r="D1167" s="78"/>
      <c r="E1167" s="139" t="str">
        <f t="array" ref="E1167">IF(
UPPER(TRIM(CLEAN($O1167)))="ENTREGADO",
IFERROR(
INDEX(REPORTE_DROPI!Y:Y,
MATCH($T1167, REPORTE_DROPI!B:B, 0)
),
""
),
""
)
</f>
        <v/>
      </c>
      <c r="F1167" s="78"/>
      <c r="G1167" s="78"/>
      <c r="H1167" s="78"/>
      <c r="I1167" s="78"/>
      <c r="J1167" s="78"/>
      <c r="K1167" s="78"/>
      <c r="L1167" s="78"/>
      <c r="M1167" s="78"/>
      <c r="N1167" s="78"/>
      <c r="O1167" s="78"/>
      <c r="P1167" s="78"/>
      <c r="Q1167" s="78"/>
      <c r="R1167" s="78"/>
      <c r="S1167" s="78"/>
      <c r="T1167" s="78"/>
      <c r="U1167" s="78"/>
      <c r="V1167" s="78"/>
      <c r="W1167" s="78"/>
      <c r="X1167" s="78"/>
      <c r="Y1167" s="78"/>
      <c r="Z1167" s="78"/>
    </row>
    <row r="1168">
      <c r="A1168" s="78">
        <v>346.0</v>
      </c>
      <c r="B1168" s="78"/>
      <c r="C1168" s="138"/>
      <c r="D1168" s="78"/>
      <c r="E1168" s="139" t="str">
        <f t="array" ref="E1168">IF(
UPPER(TRIM(CLEAN($O1168)))="ENTREGADO",
IFERROR(
INDEX(REPORTE_DROPI!Y:Y,
MATCH($T1168, REPORTE_DROPI!B:B, 0)
),
""
),
""
)
</f>
        <v/>
      </c>
      <c r="F1168" s="78"/>
      <c r="G1168" s="78"/>
      <c r="H1168" s="78"/>
      <c r="I1168" s="78"/>
      <c r="J1168" s="78"/>
      <c r="K1168" s="78"/>
      <c r="L1168" s="78"/>
      <c r="M1168" s="78"/>
      <c r="N1168" s="78"/>
      <c r="O1168" s="78"/>
      <c r="P1168" s="78"/>
      <c r="Q1168" s="78"/>
      <c r="R1168" s="78"/>
      <c r="S1168" s="78"/>
      <c r="T1168" s="78"/>
      <c r="U1168" s="78"/>
      <c r="V1168" s="78"/>
      <c r="W1168" s="78"/>
      <c r="X1168" s="78"/>
      <c r="Y1168" s="78"/>
      <c r="Z1168" s="78"/>
    </row>
    <row r="1169">
      <c r="A1169" s="78">
        <v>346.0</v>
      </c>
      <c r="B1169" s="78"/>
      <c r="C1169" s="138"/>
      <c r="D1169" s="78"/>
      <c r="E1169" s="139" t="str">
        <f t="array" ref="E1169">IF(
UPPER(TRIM(CLEAN($O1169)))="ENTREGADO",
IFERROR(
INDEX(REPORTE_DROPI!Y:Y,
MATCH($T1169, REPORTE_DROPI!B:B, 0)
),
""
),
""
)
</f>
        <v/>
      </c>
      <c r="F1169" s="78"/>
      <c r="G1169" s="78"/>
      <c r="H1169" s="78"/>
      <c r="I1169" s="78"/>
      <c r="J1169" s="78"/>
      <c r="K1169" s="78"/>
      <c r="L1169" s="78"/>
      <c r="M1169" s="78"/>
      <c r="N1169" s="78"/>
      <c r="O1169" s="78"/>
      <c r="P1169" s="78"/>
      <c r="Q1169" s="78"/>
      <c r="R1169" s="78"/>
      <c r="S1169" s="78"/>
      <c r="T1169" s="78"/>
      <c r="U1169" s="78"/>
      <c r="V1169" s="78"/>
      <c r="W1169" s="78"/>
      <c r="X1169" s="78"/>
      <c r="Y1169" s="78"/>
      <c r="Z1169" s="78"/>
    </row>
    <row r="1170">
      <c r="A1170" s="78">
        <v>346.0</v>
      </c>
      <c r="B1170" s="78"/>
      <c r="C1170" s="138"/>
      <c r="D1170" s="78"/>
      <c r="E1170" s="139" t="str">
        <f t="array" ref="E1170">IF(
UPPER(TRIM(CLEAN($O1170)))="ENTREGADO",
IFERROR(
INDEX(REPORTE_DROPI!Y:Y,
MATCH($T1170, REPORTE_DROPI!B:B, 0)
),
""
),
""
)
</f>
        <v/>
      </c>
      <c r="F1170" s="78"/>
      <c r="G1170" s="78"/>
      <c r="H1170" s="78"/>
      <c r="I1170" s="78"/>
      <c r="J1170" s="78"/>
      <c r="K1170" s="78"/>
      <c r="L1170" s="78"/>
      <c r="M1170" s="78"/>
      <c r="N1170" s="78"/>
      <c r="O1170" s="78"/>
      <c r="P1170" s="78"/>
      <c r="Q1170" s="78"/>
      <c r="R1170" s="78"/>
      <c r="S1170" s="78"/>
      <c r="T1170" s="78"/>
      <c r="U1170" s="78"/>
      <c r="V1170" s="78"/>
      <c r="W1170" s="78"/>
      <c r="X1170" s="78"/>
      <c r="Y1170" s="78"/>
      <c r="Z1170" s="78"/>
    </row>
    <row r="1171">
      <c r="A1171" s="78">
        <v>346.0</v>
      </c>
      <c r="B1171" s="78"/>
      <c r="C1171" s="138"/>
      <c r="D1171" s="78"/>
      <c r="E1171" s="139" t="str">
        <f t="array" ref="E1171">IF(
UPPER(TRIM(CLEAN($O1171)))="ENTREGADO",
IFERROR(
INDEX(REPORTE_DROPI!Y:Y,
MATCH($T1171, REPORTE_DROPI!B:B, 0)
),
""
),
""
)
</f>
        <v/>
      </c>
      <c r="F1171" s="78"/>
      <c r="G1171" s="78"/>
      <c r="H1171" s="78"/>
      <c r="I1171" s="78"/>
      <c r="J1171" s="78"/>
      <c r="K1171" s="78"/>
      <c r="L1171" s="78"/>
      <c r="M1171" s="78"/>
      <c r="N1171" s="78"/>
      <c r="O1171" s="78"/>
      <c r="P1171" s="78"/>
      <c r="Q1171" s="78"/>
      <c r="R1171" s="78"/>
      <c r="S1171" s="78"/>
      <c r="T1171" s="78"/>
      <c r="U1171" s="78"/>
      <c r="V1171" s="78"/>
      <c r="W1171" s="78"/>
      <c r="X1171" s="78"/>
      <c r="Y1171" s="78"/>
      <c r="Z1171" s="78"/>
    </row>
    <row r="1172">
      <c r="A1172" s="78">
        <v>346.0</v>
      </c>
      <c r="B1172" s="78"/>
      <c r="C1172" s="138"/>
      <c r="D1172" s="78"/>
      <c r="E1172" s="139" t="str">
        <f t="array" ref="E1172">IF(
UPPER(TRIM(CLEAN($O1172)))="ENTREGADO",
IFERROR(
INDEX(REPORTE_DROPI!Y:Y,
MATCH($T1172, REPORTE_DROPI!B:B, 0)
),
""
),
""
)
</f>
        <v/>
      </c>
      <c r="F1172" s="78"/>
      <c r="G1172" s="78"/>
      <c r="H1172" s="78"/>
      <c r="I1172" s="78"/>
      <c r="J1172" s="78"/>
      <c r="K1172" s="78"/>
      <c r="L1172" s="78"/>
      <c r="M1172" s="78"/>
      <c r="N1172" s="78"/>
      <c r="O1172" s="78"/>
      <c r="P1172" s="78"/>
      <c r="Q1172" s="78"/>
      <c r="R1172" s="78"/>
      <c r="S1172" s="78"/>
      <c r="T1172" s="78"/>
      <c r="U1172" s="78"/>
      <c r="V1172" s="78"/>
      <c r="W1172" s="78"/>
      <c r="X1172" s="78"/>
      <c r="Y1172" s="78"/>
      <c r="Z1172" s="78"/>
    </row>
    <row r="1173">
      <c r="A1173" s="78">
        <v>346.0</v>
      </c>
      <c r="B1173" s="78"/>
      <c r="C1173" s="138"/>
      <c r="D1173" s="78"/>
      <c r="E1173" s="139" t="str">
        <f t="array" ref="E1173">IF(
UPPER(TRIM(CLEAN($O1173)))="ENTREGADO",
IFERROR(
INDEX(REPORTE_DROPI!Y:Y,
MATCH($T1173, REPORTE_DROPI!B:B, 0)
),
""
),
""
)
</f>
        <v/>
      </c>
      <c r="F1173" s="78"/>
      <c r="G1173" s="78"/>
      <c r="H1173" s="78"/>
      <c r="I1173" s="78"/>
      <c r="J1173" s="78"/>
      <c r="K1173" s="78"/>
      <c r="L1173" s="78"/>
      <c r="M1173" s="78"/>
      <c r="N1173" s="78"/>
      <c r="O1173" s="78"/>
      <c r="P1173" s="78"/>
      <c r="Q1173" s="78"/>
      <c r="R1173" s="78"/>
      <c r="S1173" s="78"/>
      <c r="T1173" s="78"/>
      <c r="U1173" s="78"/>
      <c r="V1173" s="78"/>
      <c r="W1173" s="78"/>
      <c r="X1173" s="78"/>
      <c r="Y1173" s="78"/>
      <c r="Z1173" s="78"/>
    </row>
    <row r="1174">
      <c r="A1174" s="78">
        <v>346.0</v>
      </c>
      <c r="B1174" s="78"/>
      <c r="C1174" s="138"/>
      <c r="D1174" s="78"/>
      <c r="E1174" s="139" t="str">
        <f t="array" ref="E1174">IF(
UPPER(TRIM(CLEAN($O1174)))="ENTREGADO",
IFERROR(
INDEX(REPORTE_DROPI!Y:Y,
MATCH($T1174, REPORTE_DROPI!B:B, 0)
),
""
),
""
)
</f>
        <v/>
      </c>
      <c r="F1174" s="78"/>
      <c r="G1174" s="78"/>
      <c r="H1174" s="78"/>
      <c r="I1174" s="78"/>
      <c r="J1174" s="78"/>
      <c r="K1174" s="78"/>
      <c r="L1174" s="78"/>
      <c r="M1174" s="78"/>
      <c r="N1174" s="78"/>
      <c r="O1174" s="78"/>
      <c r="P1174" s="78"/>
      <c r="Q1174" s="78"/>
      <c r="R1174" s="78"/>
      <c r="S1174" s="78"/>
      <c r="T1174" s="78"/>
      <c r="U1174" s="78"/>
      <c r="V1174" s="78"/>
      <c r="W1174" s="78"/>
      <c r="X1174" s="78"/>
      <c r="Y1174" s="78"/>
      <c r="Z1174" s="78"/>
    </row>
    <row r="1175">
      <c r="A1175" s="78">
        <v>346.0</v>
      </c>
      <c r="B1175" s="78"/>
      <c r="C1175" s="138"/>
      <c r="D1175" s="78"/>
      <c r="E1175" s="139" t="str">
        <f t="array" ref="E1175">IF(
UPPER(TRIM(CLEAN($O1175)))="ENTREGADO",
IFERROR(
INDEX(REPORTE_DROPI!Y:Y,
MATCH($T1175, REPORTE_DROPI!B:B, 0)
),
""
),
""
)
</f>
        <v/>
      </c>
      <c r="F1175" s="78"/>
      <c r="G1175" s="78"/>
      <c r="H1175" s="78"/>
      <c r="I1175" s="78"/>
      <c r="J1175" s="78"/>
      <c r="K1175" s="78"/>
      <c r="L1175" s="78"/>
      <c r="M1175" s="78"/>
      <c r="N1175" s="78"/>
      <c r="O1175" s="78"/>
      <c r="P1175" s="78"/>
      <c r="Q1175" s="78"/>
      <c r="R1175" s="78"/>
      <c r="S1175" s="78"/>
      <c r="T1175" s="78"/>
      <c r="U1175" s="78"/>
      <c r="V1175" s="78"/>
      <c r="W1175" s="78"/>
      <c r="X1175" s="78"/>
      <c r="Y1175" s="78"/>
      <c r="Z1175" s="78"/>
    </row>
    <row r="1176">
      <c r="A1176" s="78">
        <v>346.0</v>
      </c>
      <c r="B1176" s="78"/>
      <c r="C1176" s="138"/>
      <c r="D1176" s="78"/>
      <c r="E1176" s="139" t="str">
        <f t="array" ref="E1176">IF(
UPPER(TRIM(CLEAN($O1176)))="ENTREGADO",
IFERROR(
INDEX(REPORTE_DROPI!Y:Y,
MATCH($T1176, REPORTE_DROPI!B:B, 0)
),
""
),
""
)
</f>
        <v/>
      </c>
      <c r="F1176" s="78"/>
      <c r="G1176" s="78"/>
      <c r="H1176" s="78"/>
      <c r="I1176" s="78"/>
      <c r="J1176" s="78"/>
      <c r="K1176" s="78"/>
      <c r="L1176" s="78"/>
      <c r="M1176" s="78"/>
      <c r="N1176" s="78"/>
      <c r="O1176" s="78"/>
      <c r="P1176" s="78"/>
      <c r="Q1176" s="78"/>
      <c r="R1176" s="78"/>
      <c r="S1176" s="78"/>
      <c r="T1176" s="78"/>
      <c r="U1176" s="78"/>
      <c r="V1176" s="78"/>
      <c r="W1176" s="78"/>
      <c r="X1176" s="78"/>
      <c r="Y1176" s="78"/>
      <c r="Z1176" s="78"/>
    </row>
    <row r="1177">
      <c r="A1177" s="78">
        <v>346.0</v>
      </c>
      <c r="B1177" s="78"/>
      <c r="C1177" s="138"/>
      <c r="D1177" s="78"/>
      <c r="E1177" s="139" t="str">
        <f t="array" ref="E1177">IF(
UPPER(TRIM(CLEAN($O1177)))="ENTREGADO",
IFERROR(
INDEX(REPORTE_DROPI!Y:Y,
MATCH($T1177, REPORTE_DROPI!B:B, 0)
),
""
),
""
)
</f>
        <v/>
      </c>
      <c r="F1177" s="78"/>
      <c r="G1177" s="78"/>
      <c r="H1177" s="78"/>
      <c r="I1177" s="78"/>
      <c r="J1177" s="78"/>
      <c r="K1177" s="78"/>
      <c r="L1177" s="78"/>
      <c r="M1177" s="78"/>
      <c r="N1177" s="78"/>
      <c r="O1177" s="78"/>
      <c r="P1177" s="78"/>
      <c r="Q1177" s="78"/>
      <c r="R1177" s="78"/>
      <c r="S1177" s="78"/>
      <c r="T1177" s="78"/>
      <c r="U1177" s="78"/>
      <c r="V1177" s="78"/>
      <c r="W1177" s="78"/>
      <c r="X1177" s="78"/>
      <c r="Y1177" s="78"/>
      <c r="Z1177" s="78"/>
    </row>
    <row r="1178">
      <c r="A1178" s="78">
        <v>346.0</v>
      </c>
      <c r="B1178" s="78"/>
      <c r="C1178" s="138"/>
      <c r="D1178" s="78"/>
      <c r="E1178" s="139" t="str">
        <f t="array" ref="E1178">IF(
UPPER(TRIM(CLEAN($O1178)))="ENTREGADO",
IFERROR(
INDEX(REPORTE_DROPI!Y:Y,
MATCH($T1178, REPORTE_DROPI!B:B, 0)
),
""
),
""
)
</f>
        <v/>
      </c>
      <c r="F1178" s="78"/>
      <c r="G1178" s="78"/>
      <c r="H1178" s="78"/>
      <c r="I1178" s="78"/>
      <c r="J1178" s="78"/>
      <c r="K1178" s="78"/>
      <c r="L1178" s="78"/>
      <c r="M1178" s="78"/>
      <c r="N1178" s="78"/>
      <c r="O1178" s="78"/>
      <c r="P1178" s="78"/>
      <c r="Q1178" s="78"/>
      <c r="R1178" s="78"/>
      <c r="S1178" s="78"/>
      <c r="T1178" s="78"/>
      <c r="U1178" s="78"/>
      <c r="V1178" s="78"/>
      <c r="W1178" s="78"/>
      <c r="X1178" s="78"/>
      <c r="Y1178" s="78"/>
      <c r="Z1178" s="78"/>
    </row>
    <row r="1179">
      <c r="A1179" s="78">
        <v>233.0</v>
      </c>
      <c r="B1179" s="78"/>
      <c r="C1179" s="138"/>
      <c r="D1179" s="78"/>
      <c r="E1179" s="139" t="str">
        <f t="array" ref="E1179">IF(
UPPER(TRIM(CLEAN($O1179)))="ENTREGADO",
IFERROR(
INDEX(REPORTE_DROPI!Y:Y,
MATCH($T1179, REPORTE_DROPI!B:B, 0)
),
""
),
""
)
</f>
        <v/>
      </c>
      <c r="F1179" s="78"/>
      <c r="G1179" s="78"/>
      <c r="H1179" s="78"/>
      <c r="I1179" s="78"/>
      <c r="J1179" s="78"/>
      <c r="K1179" s="78"/>
      <c r="L1179" s="78"/>
      <c r="M1179" s="78"/>
      <c r="N1179" s="78"/>
      <c r="O1179" s="78"/>
      <c r="P1179" s="78"/>
      <c r="Q1179" s="78"/>
      <c r="R1179" s="78"/>
      <c r="S1179" s="78"/>
      <c r="T1179" s="78"/>
      <c r="U1179" s="78"/>
      <c r="V1179" s="78"/>
      <c r="W1179" s="78"/>
      <c r="X1179" s="78"/>
      <c r="Y1179" s="78"/>
      <c r="Z1179" s="78"/>
    </row>
    <row r="1180">
      <c r="A1180" s="78">
        <v>234.0</v>
      </c>
      <c r="B1180" s="78"/>
      <c r="C1180" s="138"/>
      <c r="D1180" s="78"/>
      <c r="E1180" s="139" t="str">
        <f t="array" ref="E1180">IF(
UPPER(TRIM(CLEAN($O1180)))="ENTREGADO",
IFERROR(
INDEX(REPORTE_DROPI!Y:Y,
MATCH($T1180, REPORTE_DROPI!B:B, 0)
),
""
),
""
)
</f>
        <v/>
      </c>
      <c r="F1180" s="78"/>
      <c r="G1180" s="78"/>
      <c r="H1180" s="78"/>
      <c r="I1180" s="78"/>
      <c r="J1180" s="78"/>
      <c r="K1180" s="78"/>
      <c r="L1180" s="78"/>
      <c r="M1180" s="78"/>
      <c r="N1180" s="78"/>
      <c r="O1180" s="78"/>
      <c r="P1180" s="78"/>
      <c r="Q1180" s="78"/>
      <c r="R1180" s="78"/>
      <c r="S1180" s="78"/>
      <c r="T1180" s="78"/>
      <c r="U1180" s="78"/>
      <c r="V1180" s="78"/>
      <c r="W1180" s="78"/>
      <c r="X1180" s="78"/>
      <c r="Y1180" s="78"/>
      <c r="Z1180" s="78"/>
    </row>
    <row r="1181">
      <c r="A1181" s="78">
        <v>235.0</v>
      </c>
      <c r="B1181" s="78"/>
      <c r="C1181" s="138"/>
      <c r="D1181" s="78"/>
      <c r="E1181" s="139" t="str">
        <f t="array" ref="E1181">IF(
UPPER(TRIM(CLEAN($O1181)))="ENTREGADO",
IFERROR(
INDEX(REPORTE_DROPI!Y:Y,
MATCH($T1181, REPORTE_DROPI!B:B, 0)
),
""
),
""
)
</f>
        <v/>
      </c>
      <c r="F1181" s="78"/>
      <c r="G1181" s="78"/>
      <c r="H1181" s="78"/>
      <c r="I1181" s="78"/>
      <c r="J1181" s="78"/>
      <c r="K1181" s="78"/>
      <c r="L1181" s="78"/>
      <c r="M1181" s="78"/>
      <c r="N1181" s="78"/>
      <c r="O1181" s="78"/>
      <c r="P1181" s="78"/>
      <c r="Q1181" s="78"/>
      <c r="R1181" s="78"/>
      <c r="S1181" s="78"/>
      <c r="T1181" s="78"/>
      <c r="U1181" s="78"/>
      <c r="V1181" s="78"/>
      <c r="W1181" s="78"/>
      <c r="X1181" s="78"/>
      <c r="Y1181" s="78"/>
      <c r="Z1181" s="78"/>
    </row>
    <row r="1182">
      <c r="A1182" s="78">
        <v>236.0</v>
      </c>
      <c r="B1182" s="78"/>
      <c r="C1182" s="138"/>
      <c r="D1182" s="78"/>
      <c r="E1182" s="139" t="str">
        <f t="array" ref="E1182">IF(
UPPER(TRIM(CLEAN($O1182)))="ENTREGADO",
IFERROR(
INDEX(REPORTE_DROPI!Y:Y,
MATCH($T1182, REPORTE_DROPI!B:B, 0)
),
""
),
""
)
</f>
        <v/>
      </c>
      <c r="F1182" s="78"/>
      <c r="G1182" s="78"/>
      <c r="H1182" s="78"/>
      <c r="I1182" s="78"/>
      <c r="J1182" s="78"/>
      <c r="K1182" s="78"/>
      <c r="L1182" s="78"/>
      <c r="M1182" s="78"/>
      <c r="N1182" s="78"/>
      <c r="O1182" s="78"/>
      <c r="P1182" s="78"/>
      <c r="Q1182" s="78"/>
      <c r="R1182" s="78"/>
      <c r="S1182" s="78"/>
      <c r="T1182" s="78"/>
      <c r="U1182" s="78"/>
      <c r="V1182" s="78"/>
      <c r="W1182" s="78"/>
      <c r="X1182" s="78"/>
      <c r="Y1182" s="78"/>
      <c r="Z1182" s="78"/>
    </row>
    <row r="1183">
      <c r="A1183" s="78">
        <v>237.0</v>
      </c>
      <c r="B1183" s="78"/>
      <c r="C1183" s="138"/>
      <c r="D1183" s="78"/>
      <c r="E1183" s="139" t="str">
        <f t="array" ref="E1183">IF(
UPPER(TRIM(CLEAN($O1183)))="ENTREGADO",
IFERROR(
INDEX(REPORTE_DROPI!Y:Y,
MATCH($T1183, REPORTE_DROPI!B:B, 0)
),
""
),
""
)
</f>
        <v/>
      </c>
      <c r="F1183" s="78"/>
      <c r="G1183" s="78"/>
      <c r="H1183" s="78"/>
      <c r="I1183" s="78"/>
      <c r="J1183" s="78"/>
      <c r="K1183" s="78"/>
      <c r="L1183" s="78"/>
      <c r="M1183" s="78"/>
      <c r="N1183" s="78"/>
      <c r="O1183" s="78"/>
      <c r="P1183" s="78"/>
      <c r="Q1183" s="78"/>
      <c r="R1183" s="78"/>
      <c r="S1183" s="78"/>
      <c r="T1183" s="78"/>
      <c r="U1183" s="78"/>
      <c r="V1183" s="78"/>
      <c r="W1183" s="78"/>
      <c r="X1183" s="78"/>
      <c r="Y1183" s="78"/>
      <c r="Z1183" s="78"/>
    </row>
    <row r="1184">
      <c r="A1184" s="78">
        <v>238.0</v>
      </c>
      <c r="B1184" s="78"/>
      <c r="C1184" s="138"/>
      <c r="D1184" s="78"/>
      <c r="E1184" s="139" t="str">
        <f t="array" ref="E1184">IF(
UPPER(TRIM(CLEAN($O1184)))="ENTREGADO",
IFERROR(
INDEX(REPORTE_DROPI!Y:Y,
MATCH($T1184, REPORTE_DROPI!B:B, 0)
),
""
),
""
)
</f>
        <v/>
      </c>
      <c r="F1184" s="78"/>
      <c r="G1184" s="78"/>
      <c r="H1184" s="78"/>
      <c r="I1184" s="78"/>
      <c r="J1184" s="78"/>
      <c r="K1184" s="78"/>
      <c r="L1184" s="78"/>
      <c r="M1184" s="78"/>
      <c r="N1184" s="78"/>
      <c r="O1184" s="78"/>
      <c r="P1184" s="78"/>
      <c r="Q1184" s="78"/>
      <c r="R1184" s="78"/>
      <c r="S1184" s="78"/>
      <c r="T1184" s="78"/>
      <c r="U1184" s="78"/>
      <c r="V1184" s="78"/>
      <c r="W1184" s="78"/>
      <c r="X1184" s="78"/>
      <c r="Y1184" s="78"/>
      <c r="Z1184" s="78"/>
    </row>
    <row r="1185">
      <c r="A1185" s="78">
        <v>239.0</v>
      </c>
      <c r="B1185" s="78"/>
      <c r="C1185" s="138"/>
      <c r="D1185" s="78"/>
      <c r="E1185" s="139" t="str">
        <f t="array" ref="E1185">IF(
UPPER(TRIM(CLEAN($O1185)))="ENTREGADO",
IFERROR(
INDEX(REPORTE_DROPI!Y:Y,
MATCH($T1185, REPORTE_DROPI!B:B, 0)
),
""
),
""
)
</f>
        <v/>
      </c>
      <c r="F1185" s="78"/>
      <c r="G1185" s="78"/>
      <c r="H1185" s="78"/>
      <c r="I1185" s="78"/>
      <c r="J1185" s="78"/>
      <c r="K1185" s="78"/>
      <c r="L1185" s="78"/>
      <c r="M1185" s="78"/>
      <c r="N1185" s="78"/>
      <c r="O1185" s="78"/>
      <c r="P1185" s="78"/>
      <c r="Q1185" s="78"/>
      <c r="R1185" s="78"/>
      <c r="S1185" s="78"/>
      <c r="T1185" s="78"/>
      <c r="U1185" s="78"/>
      <c r="V1185" s="78"/>
      <c r="W1185" s="78"/>
      <c r="X1185" s="78"/>
      <c r="Y1185" s="78"/>
      <c r="Z1185" s="78"/>
    </row>
    <row r="1186">
      <c r="A1186" s="78">
        <v>240.0</v>
      </c>
      <c r="B1186" s="78"/>
      <c r="C1186" s="138"/>
      <c r="D1186" s="78"/>
      <c r="E1186" s="139" t="str">
        <f t="array" ref="E1186">IF(
UPPER(TRIM(CLEAN($O1186)))="ENTREGADO",
IFERROR(
INDEX(REPORTE_DROPI!Y:Y,
MATCH($T1186, REPORTE_DROPI!B:B, 0)
),
""
),
""
)
</f>
        <v/>
      </c>
      <c r="F1186" s="78"/>
      <c r="G1186" s="78"/>
      <c r="H1186" s="78"/>
      <c r="I1186" s="78"/>
      <c r="J1186" s="78"/>
      <c r="K1186" s="78"/>
      <c r="L1186" s="78"/>
      <c r="M1186" s="78"/>
      <c r="N1186" s="78"/>
      <c r="O1186" s="78"/>
      <c r="P1186" s="78"/>
      <c r="Q1186" s="78"/>
      <c r="R1186" s="78"/>
      <c r="S1186" s="78"/>
      <c r="T1186" s="78"/>
      <c r="U1186" s="78"/>
      <c r="V1186" s="78"/>
      <c r="W1186" s="78"/>
      <c r="X1186" s="78"/>
      <c r="Y1186" s="78"/>
      <c r="Z1186" s="78"/>
    </row>
    <row r="1187">
      <c r="A1187" s="78">
        <v>241.0</v>
      </c>
      <c r="B1187" s="78"/>
      <c r="C1187" s="138"/>
      <c r="D1187" s="78"/>
      <c r="E1187" s="139" t="str">
        <f t="array" ref="E1187">IF(
UPPER(TRIM(CLEAN($O1187)))="ENTREGADO",
IFERROR(
INDEX(REPORTE_DROPI!Y:Y,
MATCH($T1187, REPORTE_DROPI!B:B, 0)
),
""
),
""
)
</f>
        <v/>
      </c>
      <c r="F1187" s="78"/>
      <c r="G1187" s="78"/>
      <c r="H1187" s="78"/>
      <c r="I1187" s="78"/>
      <c r="J1187" s="78"/>
      <c r="K1187" s="78"/>
      <c r="L1187" s="78"/>
      <c r="M1187" s="78"/>
      <c r="N1187" s="78"/>
      <c r="O1187" s="78"/>
      <c r="P1187" s="78"/>
      <c r="Q1187" s="78"/>
      <c r="R1187" s="78"/>
      <c r="S1187" s="78"/>
      <c r="T1187" s="78"/>
      <c r="U1187" s="78"/>
      <c r="V1187" s="78"/>
      <c r="W1187" s="78"/>
      <c r="X1187" s="78"/>
      <c r="Y1187" s="78"/>
      <c r="Z1187" s="78"/>
    </row>
    <row r="1188">
      <c r="A1188" s="78">
        <v>242.0</v>
      </c>
      <c r="B1188" s="78"/>
      <c r="C1188" s="138"/>
      <c r="D1188" s="78"/>
      <c r="E1188" s="139" t="str">
        <f t="array" ref="E1188">IF(
UPPER(TRIM(CLEAN($O1188)))="ENTREGADO",
IFERROR(
INDEX(REPORTE_DROPI!Y:Y,
MATCH($T1188, REPORTE_DROPI!B:B, 0)
),
""
),
""
)
</f>
        <v/>
      </c>
      <c r="F1188" s="78"/>
      <c r="G1188" s="78"/>
      <c r="H1188" s="78"/>
      <c r="I1188" s="78"/>
      <c r="J1188" s="78"/>
      <c r="K1188" s="78"/>
      <c r="L1188" s="78"/>
      <c r="M1188" s="78"/>
      <c r="N1188" s="78"/>
      <c r="O1188" s="78"/>
      <c r="P1188" s="78"/>
      <c r="Q1188" s="78"/>
      <c r="R1188" s="78"/>
      <c r="S1188" s="78"/>
      <c r="T1188" s="78"/>
      <c r="U1188" s="78"/>
      <c r="V1188" s="78"/>
      <c r="W1188" s="78"/>
      <c r="X1188" s="78"/>
      <c r="Y1188" s="78"/>
      <c r="Z1188" s="78"/>
    </row>
    <row r="1189">
      <c r="A1189" s="78">
        <v>243.0</v>
      </c>
      <c r="B1189" s="78"/>
      <c r="C1189" s="138"/>
      <c r="D1189" s="78"/>
      <c r="E1189" s="139" t="str">
        <f t="array" ref="E1189">IF(
UPPER(TRIM(CLEAN($O1189)))="ENTREGADO",
IFERROR(
INDEX(REPORTE_DROPI!Y:Y,
MATCH($T1189, REPORTE_DROPI!B:B, 0)
),
""
),
""
)
</f>
        <v/>
      </c>
      <c r="F1189" s="78"/>
      <c r="G1189" s="78"/>
      <c r="H1189" s="78"/>
      <c r="I1189" s="78"/>
      <c r="J1189" s="78"/>
      <c r="K1189" s="78"/>
      <c r="L1189" s="78"/>
      <c r="M1189" s="78"/>
      <c r="N1189" s="78"/>
      <c r="O1189" s="78"/>
      <c r="P1189" s="78"/>
      <c r="Q1189" s="78"/>
      <c r="R1189" s="78"/>
      <c r="S1189" s="78"/>
      <c r="T1189" s="78"/>
      <c r="U1189" s="78"/>
      <c r="V1189" s="78"/>
      <c r="W1189" s="78"/>
      <c r="X1189" s="78"/>
      <c r="Y1189" s="78"/>
      <c r="Z1189" s="78"/>
    </row>
    <row r="1190">
      <c r="A1190" s="78">
        <v>244.0</v>
      </c>
      <c r="B1190" s="78"/>
      <c r="C1190" s="138"/>
      <c r="D1190" s="78"/>
      <c r="E1190" s="139" t="str">
        <f t="array" ref="E1190">IF(
UPPER(TRIM(CLEAN($O1190)))="ENTREGADO",
IFERROR(
INDEX(REPORTE_DROPI!Y:Y,
MATCH($T1190, REPORTE_DROPI!B:B, 0)
),
""
),
""
)
</f>
        <v/>
      </c>
      <c r="F1190" s="78"/>
      <c r="G1190" s="78"/>
      <c r="H1190" s="78"/>
      <c r="I1190" s="78"/>
      <c r="J1190" s="78"/>
      <c r="K1190" s="78"/>
      <c r="L1190" s="78"/>
      <c r="M1190" s="78"/>
      <c r="N1190" s="78"/>
      <c r="O1190" s="78"/>
      <c r="P1190" s="78"/>
      <c r="Q1190" s="78"/>
      <c r="R1190" s="78"/>
      <c r="S1190" s="78"/>
      <c r="T1190" s="78"/>
      <c r="U1190" s="78"/>
      <c r="V1190" s="78"/>
      <c r="W1190" s="78"/>
      <c r="X1190" s="78"/>
      <c r="Y1190" s="78"/>
      <c r="Z1190" s="78"/>
    </row>
    <row r="1191">
      <c r="A1191" s="78">
        <v>245.0</v>
      </c>
      <c r="B1191" s="78"/>
      <c r="C1191" s="138"/>
      <c r="D1191" s="78"/>
      <c r="E1191" s="139" t="str">
        <f t="array" ref="E1191">IF(
UPPER(TRIM(CLEAN($O1191)))="ENTREGADO",
IFERROR(
INDEX(REPORTE_DROPI!Y:Y,
MATCH($T1191, REPORTE_DROPI!B:B, 0)
),
""
),
""
)
</f>
        <v/>
      </c>
      <c r="F1191" s="78"/>
      <c r="G1191" s="78"/>
      <c r="H1191" s="78"/>
      <c r="I1191" s="78"/>
      <c r="J1191" s="78"/>
      <c r="K1191" s="78"/>
      <c r="L1191" s="78"/>
      <c r="M1191" s="78"/>
      <c r="N1191" s="78"/>
      <c r="O1191" s="78"/>
      <c r="P1191" s="78"/>
      <c r="Q1191" s="78"/>
      <c r="R1191" s="78"/>
      <c r="S1191" s="78"/>
      <c r="T1191" s="78"/>
      <c r="U1191" s="78"/>
      <c r="V1191" s="78"/>
      <c r="W1191" s="78"/>
      <c r="X1191" s="78"/>
      <c r="Y1191" s="78"/>
      <c r="Z1191" s="78"/>
    </row>
    <row r="1192">
      <c r="A1192" s="78">
        <v>246.0</v>
      </c>
      <c r="B1192" s="78"/>
      <c r="C1192" s="138"/>
      <c r="D1192" s="78"/>
      <c r="E1192" s="139" t="str">
        <f t="array" ref="E1192">IF(
UPPER(TRIM(CLEAN($O1192)))="ENTREGADO",
IFERROR(
INDEX(REPORTE_DROPI!Y:Y,
MATCH($T1192, REPORTE_DROPI!B:B, 0)
),
""
),
""
)
</f>
        <v/>
      </c>
      <c r="F1192" s="78"/>
      <c r="G1192" s="78"/>
      <c r="H1192" s="78"/>
      <c r="I1192" s="78"/>
      <c r="J1192" s="78"/>
      <c r="K1192" s="78"/>
      <c r="L1192" s="78"/>
      <c r="M1192" s="78"/>
      <c r="N1192" s="78"/>
      <c r="O1192" s="78"/>
      <c r="P1192" s="78"/>
      <c r="Q1192" s="78"/>
      <c r="R1192" s="78"/>
      <c r="S1192" s="78"/>
      <c r="T1192" s="78"/>
      <c r="U1192" s="78"/>
      <c r="V1192" s="78"/>
      <c r="W1192" s="78"/>
      <c r="X1192" s="78"/>
      <c r="Y1192" s="78"/>
      <c r="Z1192" s="78"/>
    </row>
    <row r="1193">
      <c r="A1193" s="78">
        <v>247.0</v>
      </c>
      <c r="B1193" s="78"/>
      <c r="C1193" s="138"/>
      <c r="D1193" s="78"/>
      <c r="E1193" s="139" t="str">
        <f t="array" ref="E1193">IF(
UPPER(TRIM(CLEAN($O1193)))="ENTREGADO",
IFERROR(
INDEX(REPORTE_DROPI!Y:Y,
MATCH($T1193, REPORTE_DROPI!B:B, 0)
),
""
),
""
)
</f>
        <v/>
      </c>
      <c r="F1193" s="78"/>
      <c r="G1193" s="78"/>
      <c r="H1193" s="78"/>
      <c r="I1193" s="78"/>
      <c r="J1193" s="78"/>
      <c r="K1193" s="78"/>
      <c r="L1193" s="78"/>
      <c r="M1193" s="78"/>
      <c r="N1193" s="78"/>
      <c r="O1193" s="78"/>
      <c r="P1193" s="78"/>
      <c r="Q1193" s="78"/>
      <c r="R1193" s="78"/>
      <c r="S1193" s="78"/>
      <c r="T1193" s="78"/>
      <c r="U1193" s="78"/>
      <c r="V1193" s="78"/>
      <c r="W1193" s="78"/>
      <c r="X1193" s="78"/>
      <c r="Y1193" s="78"/>
      <c r="Z1193" s="78"/>
    </row>
    <row r="1194">
      <c r="A1194" s="78">
        <v>248.0</v>
      </c>
      <c r="B1194" s="78"/>
      <c r="C1194" s="138"/>
      <c r="D1194" s="78"/>
      <c r="E1194" s="139" t="str">
        <f t="array" ref="E1194">IF(
UPPER(TRIM(CLEAN($O1194)))="ENTREGADO",
IFERROR(
INDEX(REPORTE_DROPI!Y:Y,
MATCH($T1194, REPORTE_DROPI!B:B, 0)
),
""
),
""
)
</f>
        <v/>
      </c>
      <c r="F1194" s="78"/>
      <c r="G1194" s="78"/>
      <c r="H1194" s="78"/>
      <c r="I1194" s="78"/>
      <c r="J1194" s="78"/>
      <c r="K1194" s="78"/>
      <c r="L1194" s="78"/>
      <c r="M1194" s="78"/>
      <c r="N1194" s="78"/>
      <c r="O1194" s="78"/>
      <c r="P1194" s="78"/>
      <c r="Q1194" s="78"/>
      <c r="R1194" s="78"/>
      <c r="S1194" s="78"/>
      <c r="T1194" s="78"/>
      <c r="U1194" s="78"/>
      <c r="V1194" s="78"/>
      <c r="W1194" s="78"/>
      <c r="X1194" s="78"/>
      <c r="Y1194" s="78"/>
      <c r="Z1194" s="78"/>
    </row>
    <row r="1195">
      <c r="A1195" s="78">
        <v>249.0</v>
      </c>
      <c r="B1195" s="78"/>
      <c r="C1195" s="138"/>
      <c r="D1195" s="78"/>
      <c r="E1195" s="139" t="str">
        <f t="array" ref="E1195">IF(
UPPER(TRIM(CLEAN($O1195)))="ENTREGADO",
IFERROR(
INDEX(REPORTE_DROPI!Y:Y,
MATCH($T1195, REPORTE_DROPI!B:B, 0)
),
""
),
""
)
</f>
        <v/>
      </c>
      <c r="F1195" s="78"/>
      <c r="G1195" s="78"/>
      <c r="H1195" s="78"/>
      <c r="I1195" s="78"/>
      <c r="J1195" s="78"/>
      <c r="K1195" s="78"/>
      <c r="L1195" s="78"/>
      <c r="M1195" s="78"/>
      <c r="N1195" s="78"/>
      <c r="O1195" s="78"/>
      <c r="P1195" s="78"/>
      <c r="Q1195" s="78"/>
      <c r="R1195" s="78"/>
      <c r="S1195" s="78"/>
      <c r="T1195" s="78"/>
      <c r="U1195" s="78"/>
      <c r="V1195" s="78"/>
      <c r="W1195" s="78"/>
      <c r="X1195" s="78"/>
      <c r="Y1195" s="78"/>
      <c r="Z1195" s="78"/>
    </row>
    <row r="1196">
      <c r="A1196" s="78">
        <v>250.0</v>
      </c>
      <c r="B1196" s="78"/>
      <c r="C1196" s="138"/>
      <c r="D1196" s="78"/>
      <c r="E1196" s="139" t="str">
        <f t="array" ref="E1196">IF(
UPPER(TRIM(CLEAN($O1196)))="ENTREGADO",
IFERROR(
INDEX(REPORTE_DROPI!Y:Y,
MATCH($T1196, REPORTE_DROPI!B:B, 0)
),
""
),
""
)
</f>
        <v/>
      </c>
      <c r="F1196" s="78"/>
      <c r="G1196" s="78"/>
      <c r="H1196" s="78"/>
      <c r="I1196" s="78"/>
      <c r="J1196" s="78"/>
      <c r="K1196" s="78"/>
      <c r="L1196" s="78"/>
      <c r="M1196" s="78"/>
      <c r="N1196" s="78"/>
      <c r="O1196" s="78"/>
      <c r="P1196" s="78"/>
      <c r="Q1196" s="78"/>
      <c r="R1196" s="78"/>
      <c r="S1196" s="78"/>
      <c r="T1196" s="78"/>
      <c r="U1196" s="78"/>
      <c r="V1196" s="78"/>
      <c r="W1196" s="78"/>
      <c r="X1196" s="78"/>
      <c r="Y1196" s="78"/>
      <c r="Z1196" s="78"/>
    </row>
    <row r="1197">
      <c r="A1197" s="78">
        <v>251.0</v>
      </c>
      <c r="B1197" s="78"/>
      <c r="C1197" s="138"/>
      <c r="D1197" s="78"/>
      <c r="E1197" s="139" t="str">
        <f t="array" ref="E1197">IF(
UPPER(TRIM(CLEAN($O1197)))="ENTREGADO",
IFERROR(
INDEX(REPORTE_DROPI!Y:Y,
MATCH($T1197, REPORTE_DROPI!B:B, 0)
),
""
),
""
)
</f>
        <v/>
      </c>
      <c r="F1197" s="78"/>
      <c r="G1197" s="78"/>
      <c r="H1197" s="78"/>
      <c r="I1197" s="78"/>
      <c r="J1197" s="78"/>
      <c r="K1197" s="78"/>
      <c r="L1197" s="78"/>
      <c r="M1197" s="78"/>
      <c r="N1197" s="78"/>
      <c r="O1197" s="78"/>
      <c r="P1197" s="78"/>
      <c r="Q1197" s="78"/>
      <c r="R1197" s="78"/>
      <c r="S1197" s="78"/>
      <c r="T1197" s="78"/>
      <c r="U1197" s="78"/>
      <c r="V1197" s="78"/>
      <c r="W1197" s="78"/>
      <c r="X1197" s="78"/>
      <c r="Y1197" s="78"/>
      <c r="Z1197" s="78"/>
    </row>
    <row r="1198">
      <c r="A1198" s="78">
        <v>252.0</v>
      </c>
      <c r="B1198" s="78"/>
      <c r="C1198" s="138"/>
      <c r="D1198" s="78"/>
      <c r="E1198" s="139" t="str">
        <f t="array" ref="E1198">IF(
UPPER(TRIM(CLEAN($O1198)))="ENTREGADO",
IFERROR(
INDEX(REPORTE_DROPI!Y:Y,
MATCH($T1198, REPORTE_DROPI!B:B, 0)
),
""
),
""
)
</f>
        <v/>
      </c>
      <c r="F1198" s="78"/>
      <c r="G1198" s="78"/>
      <c r="H1198" s="78"/>
      <c r="I1198" s="78"/>
      <c r="J1198" s="78"/>
      <c r="K1198" s="78"/>
      <c r="L1198" s="78"/>
      <c r="M1198" s="78"/>
      <c r="N1198" s="78"/>
      <c r="O1198" s="78"/>
      <c r="P1198" s="78"/>
      <c r="Q1198" s="78"/>
      <c r="R1198" s="78"/>
      <c r="S1198" s="78"/>
      <c r="T1198" s="78"/>
      <c r="U1198" s="78"/>
      <c r="V1198" s="78"/>
      <c r="W1198" s="78"/>
      <c r="X1198" s="78"/>
      <c r="Y1198" s="78"/>
      <c r="Z1198" s="78"/>
    </row>
    <row r="1199">
      <c r="A1199" s="78">
        <v>253.0</v>
      </c>
      <c r="B1199" s="78"/>
      <c r="C1199" s="138"/>
      <c r="D1199" s="78"/>
      <c r="E1199" s="139" t="str">
        <f t="array" ref="E1199">IF(
UPPER(TRIM(CLEAN($O1199)))="ENTREGADO",
IFERROR(
INDEX(REPORTE_DROPI!Y:Y,
MATCH($T1199, REPORTE_DROPI!B:B, 0)
),
""
),
""
)
</f>
        <v/>
      </c>
      <c r="F1199" s="78"/>
      <c r="G1199" s="78"/>
      <c r="H1199" s="78"/>
      <c r="I1199" s="78"/>
      <c r="J1199" s="78"/>
      <c r="K1199" s="78"/>
      <c r="L1199" s="78"/>
      <c r="M1199" s="78"/>
      <c r="N1199" s="78"/>
      <c r="O1199" s="78"/>
      <c r="P1199" s="78"/>
      <c r="Q1199" s="78"/>
      <c r="R1199" s="78"/>
      <c r="S1199" s="78"/>
      <c r="T1199" s="78"/>
      <c r="U1199" s="78"/>
      <c r="V1199" s="78"/>
      <c r="W1199" s="78"/>
      <c r="X1199" s="78"/>
      <c r="Y1199" s="78"/>
      <c r="Z1199" s="78"/>
    </row>
    <row r="1200">
      <c r="A1200" s="78">
        <v>254.0</v>
      </c>
      <c r="B1200" s="78"/>
      <c r="C1200" s="138"/>
      <c r="D1200" s="78"/>
      <c r="E1200" s="139" t="str">
        <f t="array" ref="E1200">IF(
UPPER(TRIM(CLEAN($O1200)))="ENTREGADO",
IFERROR(
INDEX(REPORTE_DROPI!Y:Y,
MATCH($T1200, REPORTE_DROPI!B:B, 0)
),
""
),
""
)
</f>
        <v/>
      </c>
      <c r="F1200" s="78"/>
      <c r="G1200" s="78"/>
      <c r="H1200" s="78"/>
      <c r="I1200" s="78"/>
      <c r="J1200" s="78"/>
      <c r="K1200" s="78"/>
      <c r="L1200" s="78"/>
      <c r="M1200" s="78"/>
      <c r="N1200" s="78"/>
      <c r="O1200" s="78"/>
      <c r="P1200" s="78"/>
      <c r="Q1200" s="78"/>
      <c r="R1200" s="78"/>
      <c r="S1200" s="78"/>
      <c r="T1200" s="78"/>
      <c r="U1200" s="78"/>
      <c r="V1200" s="78"/>
      <c r="W1200" s="78"/>
      <c r="X1200" s="78"/>
      <c r="Y1200" s="78"/>
      <c r="Z1200" s="78"/>
    </row>
    <row r="1201">
      <c r="A1201" s="78">
        <v>255.0</v>
      </c>
      <c r="B1201" s="78"/>
      <c r="C1201" s="138"/>
      <c r="D1201" s="78"/>
      <c r="E1201" s="139" t="str">
        <f t="array" ref="E1201">IF(
UPPER(TRIM(CLEAN($O1201)))="ENTREGADO",
IFERROR(
INDEX(REPORTE_DROPI!Y:Y,
MATCH($T1201, REPORTE_DROPI!B:B, 0)
),
""
),
""
)
</f>
        <v/>
      </c>
      <c r="F1201" s="78"/>
      <c r="G1201" s="78"/>
      <c r="H1201" s="78"/>
      <c r="I1201" s="78"/>
      <c r="J1201" s="78"/>
      <c r="K1201" s="78"/>
      <c r="L1201" s="78"/>
      <c r="M1201" s="78"/>
      <c r="N1201" s="78"/>
      <c r="O1201" s="78"/>
      <c r="P1201" s="78"/>
      <c r="Q1201" s="78"/>
      <c r="R1201" s="78"/>
      <c r="S1201" s="78"/>
      <c r="T1201" s="78"/>
      <c r="U1201" s="78"/>
      <c r="V1201" s="78"/>
      <c r="W1201" s="78"/>
      <c r="X1201" s="78"/>
      <c r="Y1201" s="78"/>
      <c r="Z1201" s="78"/>
    </row>
    <row r="1202">
      <c r="A1202" s="78">
        <v>256.0</v>
      </c>
      <c r="B1202" s="78"/>
      <c r="C1202" s="138"/>
      <c r="D1202" s="78"/>
      <c r="E1202" s="139" t="str">
        <f t="array" ref="E1202">IF(
UPPER(TRIM(CLEAN($O1202)))="ENTREGADO",
IFERROR(
INDEX(REPORTE_DROPI!Y:Y,
MATCH($T1202, REPORTE_DROPI!B:B, 0)
),
""
),
""
)
</f>
        <v/>
      </c>
      <c r="F1202" s="78"/>
      <c r="G1202" s="78"/>
      <c r="H1202" s="78"/>
      <c r="I1202" s="78"/>
      <c r="J1202" s="78"/>
      <c r="K1202" s="78"/>
      <c r="L1202" s="78"/>
      <c r="M1202" s="78"/>
      <c r="N1202" s="78"/>
      <c r="O1202" s="78"/>
      <c r="P1202" s="78"/>
      <c r="Q1202" s="78"/>
      <c r="R1202" s="78"/>
      <c r="S1202" s="78"/>
      <c r="T1202" s="78"/>
      <c r="U1202" s="78"/>
      <c r="V1202" s="78"/>
      <c r="W1202" s="78"/>
      <c r="X1202" s="78"/>
      <c r="Y1202" s="78"/>
      <c r="Z1202" s="78"/>
    </row>
    <row r="1203">
      <c r="A1203" s="78">
        <v>257.0</v>
      </c>
      <c r="B1203" s="78"/>
      <c r="C1203" s="138"/>
      <c r="D1203" s="78"/>
      <c r="E1203" s="139" t="str">
        <f t="array" ref="E1203">IF(
UPPER(TRIM(CLEAN($O1203)))="ENTREGADO",
IFERROR(
INDEX(REPORTE_DROPI!Y:Y,
MATCH($T1203, REPORTE_DROPI!B:B, 0)
),
""
),
""
)
</f>
        <v/>
      </c>
      <c r="F1203" s="78"/>
      <c r="G1203" s="78"/>
      <c r="H1203" s="78"/>
      <c r="I1203" s="78"/>
      <c r="J1203" s="78"/>
      <c r="K1203" s="78"/>
      <c r="L1203" s="78"/>
      <c r="M1203" s="78"/>
      <c r="N1203" s="78"/>
      <c r="O1203" s="78"/>
      <c r="P1203" s="78"/>
      <c r="Q1203" s="78"/>
      <c r="R1203" s="78"/>
      <c r="S1203" s="78"/>
      <c r="T1203" s="78"/>
      <c r="U1203" s="78"/>
      <c r="V1203" s="78"/>
      <c r="W1203" s="78"/>
      <c r="X1203" s="78"/>
      <c r="Y1203" s="78"/>
      <c r="Z1203" s="78"/>
    </row>
    <row r="1204">
      <c r="A1204" s="78">
        <v>258.0</v>
      </c>
      <c r="B1204" s="78"/>
      <c r="C1204" s="138"/>
      <c r="D1204" s="78"/>
      <c r="E1204" s="139" t="str">
        <f t="array" ref="E1204">IF(
UPPER(TRIM(CLEAN($O1204)))="ENTREGADO",
IFERROR(
INDEX(REPORTE_DROPI!Y:Y,
MATCH($T1204, REPORTE_DROPI!B:B, 0)
),
""
),
""
)
</f>
        <v/>
      </c>
      <c r="F1204" s="78"/>
      <c r="G1204" s="78"/>
      <c r="H1204" s="78"/>
      <c r="I1204" s="78"/>
      <c r="J1204" s="78"/>
      <c r="K1204" s="78"/>
      <c r="L1204" s="78"/>
      <c r="M1204" s="78"/>
      <c r="N1204" s="78"/>
      <c r="O1204" s="78"/>
      <c r="P1204" s="78"/>
      <c r="Q1204" s="78"/>
      <c r="R1204" s="78"/>
      <c r="S1204" s="78"/>
      <c r="T1204" s="78"/>
      <c r="U1204" s="78"/>
      <c r="V1204" s="78"/>
      <c r="W1204" s="78"/>
      <c r="X1204" s="78"/>
      <c r="Y1204" s="78"/>
      <c r="Z1204" s="78"/>
    </row>
    <row r="1205">
      <c r="A1205" s="78">
        <v>259.0</v>
      </c>
      <c r="B1205" s="78"/>
      <c r="C1205" s="138"/>
      <c r="D1205" s="78"/>
      <c r="E1205" s="139" t="str">
        <f t="array" ref="E1205">IF(
UPPER(TRIM(CLEAN($O1205)))="ENTREGADO",
IFERROR(
INDEX(REPORTE_DROPI!Y:Y,
MATCH($T1205, REPORTE_DROPI!B:B, 0)
),
""
),
""
)
</f>
        <v/>
      </c>
      <c r="F1205" s="78"/>
      <c r="G1205" s="78"/>
      <c r="H1205" s="78"/>
      <c r="I1205" s="78"/>
      <c r="J1205" s="78"/>
      <c r="K1205" s="78"/>
      <c r="L1205" s="78"/>
      <c r="M1205" s="78"/>
      <c r="N1205" s="78"/>
      <c r="O1205" s="78"/>
      <c r="P1205" s="78"/>
      <c r="Q1205" s="78"/>
      <c r="R1205" s="78"/>
      <c r="S1205" s="78"/>
      <c r="T1205" s="78"/>
      <c r="U1205" s="78"/>
      <c r="V1205" s="78"/>
      <c r="W1205" s="78"/>
      <c r="X1205" s="78"/>
      <c r="Y1205" s="78"/>
      <c r="Z1205" s="78"/>
    </row>
    <row r="1206">
      <c r="A1206" s="78">
        <v>260.0</v>
      </c>
      <c r="B1206" s="78"/>
      <c r="C1206" s="138"/>
      <c r="D1206" s="78"/>
      <c r="E1206" s="139" t="str">
        <f t="array" ref="E1206">IF(
UPPER(TRIM(CLEAN($O1206)))="ENTREGADO",
IFERROR(
INDEX(REPORTE_DROPI!Y:Y,
MATCH($T1206, REPORTE_DROPI!B:B, 0)
),
""
),
""
)
</f>
        <v/>
      </c>
      <c r="F1206" s="78"/>
      <c r="G1206" s="78"/>
      <c r="H1206" s="78"/>
      <c r="I1206" s="78"/>
      <c r="J1206" s="78"/>
      <c r="K1206" s="78"/>
      <c r="L1206" s="78"/>
      <c r="M1206" s="78"/>
      <c r="N1206" s="78"/>
      <c r="O1206" s="78"/>
      <c r="P1206" s="78"/>
      <c r="Q1206" s="78"/>
      <c r="R1206" s="78"/>
      <c r="S1206" s="78"/>
      <c r="T1206" s="78"/>
      <c r="U1206" s="78"/>
      <c r="V1206" s="78"/>
      <c r="W1206" s="78"/>
      <c r="X1206" s="78"/>
      <c r="Y1206" s="78"/>
      <c r="Z1206" s="78"/>
    </row>
    <row r="1207">
      <c r="A1207" s="78">
        <v>261.0</v>
      </c>
      <c r="B1207" s="78"/>
      <c r="C1207" s="138"/>
      <c r="D1207" s="78"/>
      <c r="E1207" s="139" t="str">
        <f t="array" ref="E1207">IF(
UPPER(TRIM(CLEAN($O1207)))="ENTREGADO",
IFERROR(
INDEX(REPORTE_DROPI!Y:Y,
MATCH($T1207, REPORTE_DROPI!B:B, 0)
),
""
),
""
)
</f>
        <v/>
      </c>
      <c r="F1207" s="78"/>
      <c r="G1207" s="78"/>
      <c r="H1207" s="78"/>
      <c r="I1207" s="78"/>
      <c r="J1207" s="78"/>
      <c r="K1207" s="78"/>
      <c r="L1207" s="78"/>
      <c r="M1207" s="78"/>
      <c r="N1207" s="78"/>
      <c r="O1207" s="78"/>
      <c r="P1207" s="78"/>
      <c r="Q1207" s="78"/>
      <c r="R1207" s="78"/>
      <c r="S1207" s="78"/>
      <c r="T1207" s="78"/>
      <c r="U1207" s="78"/>
      <c r="V1207" s="78"/>
      <c r="W1207" s="78"/>
      <c r="X1207" s="78"/>
      <c r="Y1207" s="78"/>
      <c r="Z1207" s="78"/>
    </row>
    <row r="1208">
      <c r="A1208" s="78">
        <v>262.0</v>
      </c>
      <c r="B1208" s="78"/>
      <c r="C1208" s="138"/>
      <c r="D1208" s="78"/>
      <c r="E1208" s="139" t="str">
        <f t="array" ref="E1208">IF(
UPPER(TRIM(CLEAN($O1208)))="ENTREGADO",
IFERROR(
INDEX(REPORTE_DROPI!Y:Y,
MATCH($T1208, REPORTE_DROPI!B:B, 0)
),
""
),
""
)
</f>
        <v/>
      </c>
      <c r="F1208" s="78"/>
      <c r="G1208" s="78"/>
      <c r="H1208" s="78"/>
      <c r="I1208" s="78"/>
      <c r="J1208" s="78"/>
      <c r="K1208" s="78"/>
      <c r="L1208" s="78"/>
      <c r="M1208" s="78"/>
      <c r="N1208" s="78"/>
      <c r="O1208" s="78"/>
      <c r="P1208" s="78"/>
      <c r="Q1208" s="78"/>
      <c r="R1208" s="78"/>
      <c r="S1208" s="78"/>
      <c r="T1208" s="78"/>
      <c r="U1208" s="78"/>
      <c r="V1208" s="78"/>
      <c r="W1208" s="78"/>
      <c r="X1208" s="78"/>
      <c r="Y1208" s="78"/>
      <c r="Z1208" s="78"/>
    </row>
    <row r="1209">
      <c r="A1209" s="78">
        <v>263.0</v>
      </c>
      <c r="B1209" s="78"/>
      <c r="C1209" s="138"/>
      <c r="D1209" s="78"/>
      <c r="E1209" s="139" t="str">
        <f t="array" ref="E1209">IF(
UPPER(TRIM(CLEAN($O1209)))="ENTREGADO",
IFERROR(
INDEX(REPORTE_DROPI!Y:Y,
MATCH($T1209, REPORTE_DROPI!B:B, 0)
),
""
),
""
)
</f>
        <v/>
      </c>
      <c r="F1209" s="78"/>
      <c r="G1209" s="78"/>
      <c r="H1209" s="78"/>
      <c r="I1209" s="78"/>
      <c r="J1209" s="78"/>
      <c r="K1209" s="78"/>
      <c r="L1209" s="78"/>
      <c r="M1209" s="78"/>
      <c r="N1209" s="78"/>
      <c r="O1209" s="78"/>
      <c r="P1209" s="78"/>
      <c r="Q1209" s="78"/>
      <c r="R1209" s="78"/>
      <c r="S1209" s="78"/>
      <c r="T1209" s="78"/>
      <c r="U1209" s="78"/>
      <c r="V1209" s="78"/>
      <c r="W1209" s="78"/>
      <c r="X1209" s="78"/>
      <c r="Y1209" s="78"/>
      <c r="Z1209" s="78"/>
    </row>
    <row r="1210">
      <c r="A1210" s="78">
        <v>264.0</v>
      </c>
      <c r="B1210" s="78"/>
      <c r="C1210" s="138"/>
      <c r="D1210" s="78"/>
      <c r="E1210" s="139" t="str">
        <f t="array" ref="E1210">IF(
UPPER(TRIM(CLEAN($O1210)))="ENTREGADO",
IFERROR(
INDEX(REPORTE_DROPI!Y:Y,
MATCH($T1210, REPORTE_DROPI!B:B, 0)
),
""
),
""
)
</f>
        <v/>
      </c>
      <c r="F1210" s="78"/>
      <c r="G1210" s="78"/>
      <c r="H1210" s="78"/>
      <c r="I1210" s="78"/>
      <c r="J1210" s="78"/>
      <c r="K1210" s="78"/>
      <c r="L1210" s="78"/>
      <c r="M1210" s="78"/>
      <c r="N1210" s="78"/>
      <c r="O1210" s="78"/>
      <c r="P1210" s="78"/>
      <c r="Q1210" s="78"/>
      <c r="R1210" s="78"/>
      <c r="S1210" s="78"/>
      <c r="T1210" s="78"/>
      <c r="U1210" s="78"/>
      <c r="V1210" s="78"/>
      <c r="W1210" s="78"/>
      <c r="X1210" s="78"/>
      <c r="Y1210" s="78"/>
      <c r="Z1210" s="78"/>
    </row>
    <row r="1211">
      <c r="A1211" s="78">
        <v>265.0</v>
      </c>
      <c r="B1211" s="78"/>
      <c r="C1211" s="138"/>
      <c r="D1211" s="78"/>
      <c r="E1211" s="139" t="str">
        <f t="array" ref="E1211">IF(
UPPER(TRIM(CLEAN($O1211)))="ENTREGADO",
IFERROR(
INDEX(REPORTE_DROPI!Y:Y,
MATCH($T1211, REPORTE_DROPI!B:B, 0)
),
""
),
""
)
</f>
        <v/>
      </c>
      <c r="F1211" s="78"/>
      <c r="G1211" s="78"/>
      <c r="H1211" s="78"/>
      <c r="I1211" s="78"/>
      <c r="J1211" s="78"/>
      <c r="K1211" s="78"/>
      <c r="L1211" s="78"/>
      <c r="M1211" s="78"/>
      <c r="N1211" s="78"/>
      <c r="O1211" s="78"/>
      <c r="P1211" s="78"/>
      <c r="Q1211" s="78"/>
      <c r="R1211" s="78"/>
      <c r="S1211" s="78"/>
      <c r="T1211" s="78"/>
      <c r="U1211" s="78"/>
      <c r="V1211" s="78"/>
      <c r="W1211" s="78"/>
      <c r="X1211" s="78"/>
      <c r="Y1211" s="78"/>
      <c r="Z1211" s="78"/>
    </row>
    <row r="1212">
      <c r="A1212" s="78">
        <v>266.0</v>
      </c>
      <c r="B1212" s="78"/>
      <c r="C1212" s="138"/>
      <c r="D1212" s="78"/>
      <c r="E1212" s="139" t="str">
        <f t="array" ref="E1212">IF(
UPPER(TRIM(CLEAN($O1212)))="ENTREGADO",
IFERROR(
INDEX(REPORTE_DROPI!Y:Y,
MATCH($T1212, REPORTE_DROPI!B:B, 0)
),
""
),
""
)
</f>
        <v/>
      </c>
      <c r="F1212" s="78"/>
      <c r="G1212" s="78"/>
      <c r="H1212" s="78"/>
      <c r="I1212" s="78"/>
      <c r="J1212" s="78"/>
      <c r="K1212" s="78"/>
      <c r="L1212" s="78"/>
      <c r="M1212" s="78"/>
      <c r="N1212" s="78"/>
      <c r="O1212" s="78"/>
      <c r="P1212" s="78"/>
      <c r="Q1212" s="78"/>
      <c r="R1212" s="78"/>
      <c r="S1212" s="78"/>
      <c r="T1212" s="78"/>
      <c r="U1212" s="78"/>
      <c r="V1212" s="78"/>
      <c r="W1212" s="78"/>
      <c r="X1212" s="78"/>
      <c r="Y1212" s="78"/>
      <c r="Z1212" s="78"/>
    </row>
    <row r="1213">
      <c r="A1213" s="78">
        <v>267.0</v>
      </c>
      <c r="B1213" s="78"/>
      <c r="C1213" s="138"/>
      <c r="D1213" s="78"/>
      <c r="E1213" s="139" t="str">
        <f t="array" ref="E1213">IF(
UPPER(TRIM(CLEAN($O1213)))="ENTREGADO",
IFERROR(
INDEX(REPORTE_DROPI!Y:Y,
MATCH($T1213, REPORTE_DROPI!B:B, 0)
),
""
),
""
)
</f>
        <v/>
      </c>
      <c r="F1213" s="78"/>
      <c r="G1213" s="78"/>
      <c r="H1213" s="78"/>
      <c r="I1213" s="78"/>
      <c r="J1213" s="78"/>
      <c r="K1213" s="78"/>
      <c r="L1213" s="78"/>
      <c r="M1213" s="78"/>
      <c r="N1213" s="78"/>
      <c r="O1213" s="78"/>
      <c r="P1213" s="78"/>
      <c r="Q1213" s="78"/>
      <c r="R1213" s="78"/>
      <c r="S1213" s="78"/>
      <c r="T1213" s="78"/>
      <c r="U1213" s="78"/>
      <c r="V1213" s="78"/>
      <c r="W1213" s="78"/>
      <c r="X1213" s="78"/>
      <c r="Y1213" s="78"/>
      <c r="Z1213" s="78"/>
    </row>
    <row r="1214">
      <c r="A1214" s="78">
        <v>268.0</v>
      </c>
      <c r="B1214" s="78"/>
      <c r="C1214" s="138"/>
      <c r="D1214" s="78"/>
      <c r="E1214" s="139" t="str">
        <f t="array" ref="E1214">IF(
UPPER(TRIM(CLEAN($O1214)))="ENTREGADO",
IFERROR(
INDEX(REPORTE_DROPI!Y:Y,
MATCH($T1214, REPORTE_DROPI!B:B, 0)
),
""
),
""
)
</f>
        <v/>
      </c>
      <c r="F1214" s="78"/>
      <c r="G1214" s="78"/>
      <c r="H1214" s="78"/>
      <c r="I1214" s="78"/>
      <c r="J1214" s="78"/>
      <c r="K1214" s="78"/>
      <c r="L1214" s="78"/>
      <c r="M1214" s="78"/>
      <c r="N1214" s="78"/>
      <c r="O1214" s="78"/>
      <c r="P1214" s="78"/>
      <c r="Q1214" s="78"/>
      <c r="R1214" s="78"/>
      <c r="S1214" s="78"/>
      <c r="T1214" s="78"/>
      <c r="U1214" s="78"/>
      <c r="V1214" s="78"/>
      <c r="W1214" s="78"/>
      <c r="X1214" s="78"/>
      <c r="Y1214" s="78"/>
      <c r="Z1214" s="78"/>
    </row>
    <row r="1215">
      <c r="A1215" s="78">
        <v>269.0</v>
      </c>
      <c r="B1215" s="78"/>
      <c r="C1215" s="138"/>
      <c r="D1215" s="78"/>
      <c r="E1215" s="139" t="str">
        <f t="array" ref="E1215">IF(
UPPER(TRIM(CLEAN($O1215)))="ENTREGADO",
IFERROR(
INDEX(REPORTE_DROPI!Y:Y,
MATCH($T1215, REPORTE_DROPI!B:B, 0)
),
""
),
""
)
</f>
        <v/>
      </c>
      <c r="F1215" s="78"/>
      <c r="G1215" s="78"/>
      <c r="H1215" s="78"/>
      <c r="I1215" s="78"/>
      <c r="J1215" s="78"/>
      <c r="K1215" s="78"/>
      <c r="L1215" s="78"/>
      <c r="M1215" s="78"/>
      <c r="N1215" s="78"/>
      <c r="O1215" s="78"/>
      <c r="P1215" s="78"/>
      <c r="Q1215" s="78"/>
      <c r="R1215" s="78"/>
      <c r="S1215" s="78"/>
      <c r="T1215" s="78"/>
      <c r="U1215" s="78"/>
      <c r="V1215" s="78"/>
      <c r="W1215" s="78"/>
      <c r="X1215" s="78"/>
      <c r="Y1215" s="78"/>
      <c r="Z1215" s="78"/>
    </row>
    <row r="1216">
      <c r="A1216" s="78">
        <v>270.0</v>
      </c>
      <c r="B1216" s="78"/>
      <c r="C1216" s="138"/>
      <c r="D1216" s="78"/>
      <c r="E1216" s="139" t="str">
        <f t="array" ref="E1216">IF(
UPPER(TRIM(CLEAN($O1216)))="ENTREGADO",
IFERROR(
INDEX(REPORTE_DROPI!Y:Y,
MATCH($T1216, REPORTE_DROPI!B:B, 0)
),
""
),
""
)
</f>
        <v/>
      </c>
      <c r="F1216" s="78"/>
      <c r="G1216" s="78"/>
      <c r="H1216" s="78"/>
      <c r="I1216" s="78"/>
      <c r="J1216" s="78"/>
      <c r="K1216" s="78"/>
      <c r="L1216" s="78"/>
      <c r="M1216" s="78"/>
      <c r="N1216" s="78"/>
      <c r="O1216" s="78"/>
      <c r="P1216" s="78"/>
      <c r="Q1216" s="78"/>
      <c r="R1216" s="78"/>
      <c r="S1216" s="78"/>
      <c r="T1216" s="78"/>
      <c r="U1216" s="78"/>
      <c r="V1216" s="78"/>
      <c r="W1216" s="78"/>
      <c r="X1216" s="78"/>
      <c r="Y1216" s="78"/>
      <c r="Z1216" s="78"/>
    </row>
    <row r="1217">
      <c r="A1217" s="78">
        <v>271.0</v>
      </c>
      <c r="B1217" s="78"/>
      <c r="C1217" s="138"/>
      <c r="D1217" s="78"/>
      <c r="E1217" s="139" t="str">
        <f t="array" ref="E1217">IF(
UPPER(TRIM(CLEAN($O1217)))="ENTREGADO",
IFERROR(
INDEX(REPORTE_DROPI!Y:Y,
MATCH($T1217, REPORTE_DROPI!B:B, 0)
),
""
),
""
)
</f>
        <v/>
      </c>
      <c r="F1217" s="78"/>
      <c r="G1217" s="78"/>
      <c r="H1217" s="78"/>
      <c r="I1217" s="78"/>
      <c r="J1217" s="78"/>
      <c r="K1217" s="78"/>
      <c r="L1217" s="78"/>
      <c r="M1217" s="78"/>
      <c r="N1217" s="78"/>
      <c r="O1217" s="78"/>
      <c r="P1217" s="78"/>
      <c r="Q1217" s="78"/>
      <c r="R1217" s="78"/>
      <c r="S1217" s="78"/>
      <c r="T1217" s="78"/>
      <c r="U1217" s="78"/>
      <c r="V1217" s="78"/>
      <c r="W1217" s="78"/>
      <c r="X1217" s="78"/>
      <c r="Y1217" s="78"/>
      <c r="Z1217" s="78"/>
    </row>
    <row r="1218">
      <c r="A1218" s="78">
        <v>272.0</v>
      </c>
      <c r="B1218" s="78"/>
      <c r="C1218" s="138"/>
      <c r="D1218" s="78"/>
      <c r="E1218" s="139" t="str">
        <f t="array" ref="E1218">IF(
UPPER(TRIM(CLEAN($O1218)))="ENTREGADO",
IFERROR(
INDEX(REPORTE_DROPI!Y:Y,
MATCH($T1218, REPORTE_DROPI!B:B, 0)
),
""
),
""
)
</f>
        <v/>
      </c>
      <c r="F1218" s="78"/>
      <c r="G1218" s="78"/>
      <c r="H1218" s="78"/>
      <c r="I1218" s="78"/>
      <c r="J1218" s="78"/>
      <c r="K1218" s="78"/>
      <c r="L1218" s="78"/>
      <c r="M1218" s="78"/>
      <c r="N1218" s="78"/>
      <c r="O1218" s="78"/>
      <c r="P1218" s="78"/>
      <c r="Q1218" s="78"/>
      <c r="R1218" s="78"/>
      <c r="S1218" s="78"/>
      <c r="T1218" s="78"/>
      <c r="U1218" s="78"/>
      <c r="V1218" s="78"/>
      <c r="W1218" s="78"/>
      <c r="X1218" s="78"/>
      <c r="Y1218" s="78"/>
      <c r="Z1218" s="78"/>
    </row>
    <row r="1219">
      <c r="A1219" s="78">
        <v>273.0</v>
      </c>
      <c r="B1219" s="78"/>
      <c r="C1219" s="138"/>
      <c r="D1219" s="78"/>
      <c r="E1219" s="139" t="str">
        <f t="array" ref="E1219">IF(
UPPER(TRIM(CLEAN($O1219)))="ENTREGADO",
IFERROR(
INDEX(REPORTE_DROPI!Y:Y,
MATCH($T1219, REPORTE_DROPI!B:B, 0)
),
""
),
""
)
</f>
        <v/>
      </c>
      <c r="F1219" s="78"/>
      <c r="G1219" s="78"/>
      <c r="H1219" s="78"/>
      <c r="I1219" s="78"/>
      <c r="J1219" s="78"/>
      <c r="K1219" s="78"/>
      <c r="L1219" s="78"/>
      <c r="M1219" s="78"/>
      <c r="N1219" s="78"/>
      <c r="O1219" s="78"/>
      <c r="P1219" s="78"/>
      <c r="Q1219" s="78"/>
      <c r="R1219" s="78"/>
      <c r="S1219" s="78"/>
      <c r="T1219" s="78"/>
      <c r="U1219" s="78"/>
      <c r="V1219" s="78"/>
      <c r="W1219" s="78"/>
      <c r="X1219" s="78"/>
      <c r="Y1219" s="78"/>
      <c r="Z1219" s="78"/>
    </row>
    <row r="1220">
      <c r="A1220" s="78">
        <v>274.0</v>
      </c>
      <c r="B1220" s="78"/>
      <c r="C1220" s="138"/>
      <c r="D1220" s="78"/>
      <c r="E1220" s="139" t="str">
        <f t="array" ref="E1220">IF(
UPPER(TRIM(CLEAN($O1220)))="ENTREGADO",
IFERROR(
INDEX(REPORTE_DROPI!Y:Y,
MATCH($T1220, REPORTE_DROPI!B:B, 0)
),
""
),
""
)
</f>
        <v/>
      </c>
      <c r="F1220" s="78"/>
      <c r="G1220" s="78"/>
      <c r="H1220" s="78"/>
      <c r="I1220" s="78"/>
      <c r="J1220" s="78"/>
      <c r="K1220" s="78"/>
      <c r="L1220" s="78"/>
      <c r="M1220" s="78"/>
      <c r="N1220" s="78"/>
      <c r="O1220" s="78"/>
      <c r="P1220" s="78"/>
      <c r="Q1220" s="78"/>
      <c r="R1220" s="78"/>
      <c r="S1220" s="78"/>
      <c r="T1220" s="78"/>
      <c r="U1220" s="78"/>
      <c r="V1220" s="78"/>
      <c r="W1220" s="78"/>
      <c r="X1220" s="78"/>
      <c r="Y1220" s="78"/>
      <c r="Z1220" s="78"/>
    </row>
    <row r="1221">
      <c r="A1221" s="78">
        <v>275.0</v>
      </c>
      <c r="B1221" s="78"/>
      <c r="C1221" s="138"/>
      <c r="D1221" s="78"/>
      <c r="E1221" s="139" t="str">
        <f t="array" ref="E1221">IF(
UPPER(TRIM(CLEAN($O1221)))="ENTREGADO",
IFERROR(
INDEX(REPORTE_DROPI!Y:Y,
MATCH($T1221, REPORTE_DROPI!B:B, 0)
),
""
),
""
)
</f>
        <v/>
      </c>
      <c r="F1221" s="78"/>
      <c r="G1221" s="78"/>
      <c r="H1221" s="78"/>
      <c r="I1221" s="78"/>
      <c r="J1221" s="78"/>
      <c r="K1221" s="78"/>
      <c r="L1221" s="78"/>
      <c r="M1221" s="78"/>
      <c r="N1221" s="78"/>
      <c r="O1221" s="78"/>
      <c r="P1221" s="78"/>
      <c r="Q1221" s="78"/>
      <c r="R1221" s="78"/>
      <c r="S1221" s="78"/>
      <c r="T1221" s="78"/>
      <c r="U1221" s="78"/>
      <c r="V1221" s="78"/>
      <c r="W1221" s="78"/>
      <c r="X1221" s="78"/>
      <c r="Y1221" s="78"/>
      <c r="Z1221" s="78"/>
    </row>
    <row r="1222">
      <c r="A1222" s="78">
        <v>276.0</v>
      </c>
      <c r="B1222" s="78"/>
      <c r="C1222" s="138"/>
      <c r="D1222" s="78"/>
      <c r="E1222" s="139" t="str">
        <f t="array" ref="E1222">IF(
UPPER(TRIM(CLEAN($O1222)))="ENTREGADO",
IFERROR(
INDEX(REPORTE_DROPI!Y:Y,
MATCH($T1222, REPORTE_DROPI!B:B, 0)
),
""
),
""
)
</f>
        <v/>
      </c>
      <c r="F1222" s="78"/>
      <c r="G1222" s="78"/>
      <c r="H1222" s="78"/>
      <c r="I1222" s="78"/>
      <c r="J1222" s="78"/>
      <c r="K1222" s="78"/>
      <c r="L1222" s="78"/>
      <c r="M1222" s="78"/>
      <c r="N1222" s="78"/>
      <c r="O1222" s="78"/>
      <c r="P1222" s="78"/>
      <c r="Q1222" s="78"/>
      <c r="R1222" s="78"/>
      <c r="S1222" s="78"/>
      <c r="T1222" s="78"/>
      <c r="U1222" s="78"/>
      <c r="V1222" s="78"/>
      <c r="W1222" s="78"/>
      <c r="X1222" s="78"/>
      <c r="Y1222" s="78"/>
      <c r="Z1222" s="78"/>
    </row>
    <row r="1223">
      <c r="A1223" s="78">
        <v>277.0</v>
      </c>
      <c r="B1223" s="78"/>
      <c r="C1223" s="138"/>
      <c r="D1223" s="78"/>
      <c r="E1223" s="139" t="str">
        <f t="array" ref="E1223">IF(
UPPER(TRIM(CLEAN($O1223)))="ENTREGADO",
IFERROR(
INDEX(REPORTE_DROPI!Y:Y,
MATCH($T1223, REPORTE_DROPI!B:B, 0)
),
""
),
""
)
</f>
        <v/>
      </c>
      <c r="F1223" s="78"/>
      <c r="G1223" s="78"/>
      <c r="H1223" s="78"/>
      <c r="I1223" s="78"/>
      <c r="J1223" s="78"/>
      <c r="K1223" s="78"/>
      <c r="L1223" s="78"/>
      <c r="M1223" s="78"/>
      <c r="N1223" s="78"/>
      <c r="O1223" s="78"/>
      <c r="P1223" s="78"/>
      <c r="Q1223" s="78"/>
      <c r="R1223" s="78"/>
      <c r="S1223" s="78"/>
      <c r="T1223" s="78"/>
      <c r="U1223" s="78"/>
      <c r="V1223" s="78"/>
      <c r="W1223" s="78"/>
      <c r="X1223" s="78"/>
      <c r="Y1223" s="78"/>
      <c r="Z1223" s="78"/>
    </row>
    <row r="1224">
      <c r="A1224" s="78">
        <v>278.0</v>
      </c>
      <c r="B1224" s="78"/>
      <c r="C1224" s="138"/>
      <c r="D1224" s="78"/>
      <c r="E1224" s="139" t="str">
        <f t="array" ref="E1224">IF(
UPPER(TRIM(CLEAN($O1224)))="ENTREGADO",
IFERROR(
INDEX(REPORTE_DROPI!Y:Y,
MATCH($T1224, REPORTE_DROPI!B:B, 0)
),
""
),
""
)
</f>
        <v/>
      </c>
      <c r="F1224" s="78"/>
      <c r="G1224" s="78"/>
      <c r="H1224" s="78"/>
      <c r="I1224" s="78"/>
      <c r="J1224" s="78"/>
      <c r="K1224" s="78"/>
      <c r="L1224" s="78"/>
      <c r="M1224" s="78"/>
      <c r="N1224" s="78"/>
      <c r="O1224" s="78"/>
      <c r="P1224" s="78"/>
      <c r="Q1224" s="78"/>
      <c r="R1224" s="78"/>
      <c r="S1224" s="78"/>
      <c r="T1224" s="78"/>
      <c r="U1224" s="78"/>
      <c r="V1224" s="78"/>
      <c r="W1224" s="78"/>
      <c r="X1224" s="78"/>
      <c r="Y1224" s="78"/>
      <c r="Z1224" s="78"/>
    </row>
    <row r="1225">
      <c r="A1225" s="78">
        <v>279.0</v>
      </c>
      <c r="B1225" s="78"/>
      <c r="C1225" s="138"/>
      <c r="D1225" s="78"/>
      <c r="E1225" s="139" t="str">
        <f t="array" ref="E1225">IF(
UPPER(TRIM(CLEAN($O1225)))="ENTREGADO",
IFERROR(
INDEX(REPORTE_DROPI!Y:Y,
MATCH($T1225, REPORTE_DROPI!B:B, 0)
),
""
),
""
)
</f>
        <v/>
      </c>
      <c r="F1225" s="78"/>
      <c r="G1225" s="78"/>
      <c r="H1225" s="78"/>
      <c r="I1225" s="78"/>
      <c r="J1225" s="78"/>
      <c r="K1225" s="78"/>
      <c r="L1225" s="78"/>
      <c r="M1225" s="78"/>
      <c r="N1225" s="78"/>
      <c r="O1225" s="78"/>
      <c r="P1225" s="78"/>
      <c r="Q1225" s="78"/>
      <c r="R1225" s="78"/>
      <c r="S1225" s="78"/>
      <c r="T1225" s="78"/>
      <c r="U1225" s="78"/>
      <c r="V1225" s="78"/>
      <c r="W1225" s="78"/>
      <c r="X1225" s="78"/>
      <c r="Y1225" s="78"/>
      <c r="Z1225" s="78"/>
    </row>
    <row r="1226">
      <c r="A1226" s="78">
        <v>280.0</v>
      </c>
      <c r="B1226" s="78"/>
      <c r="C1226" s="138"/>
      <c r="D1226" s="78"/>
      <c r="E1226" s="139" t="str">
        <f t="array" ref="E1226">IF(
UPPER(TRIM(CLEAN($O1226)))="ENTREGADO",
IFERROR(
INDEX(REPORTE_DROPI!Y:Y,
MATCH($T1226, REPORTE_DROPI!B:B, 0)
),
""
),
""
)
</f>
        <v/>
      </c>
      <c r="F1226" s="78"/>
      <c r="G1226" s="78"/>
      <c r="H1226" s="78"/>
      <c r="I1226" s="78"/>
      <c r="J1226" s="78"/>
      <c r="K1226" s="78"/>
      <c r="L1226" s="78"/>
      <c r="M1226" s="78"/>
      <c r="N1226" s="78"/>
      <c r="O1226" s="78"/>
      <c r="P1226" s="78"/>
      <c r="Q1226" s="78"/>
      <c r="R1226" s="78"/>
      <c r="S1226" s="78"/>
      <c r="T1226" s="78"/>
      <c r="U1226" s="78"/>
      <c r="V1226" s="78"/>
      <c r="W1226" s="78"/>
      <c r="X1226" s="78"/>
      <c r="Y1226" s="78"/>
      <c r="Z1226" s="78"/>
    </row>
    <row r="1227">
      <c r="A1227" s="78">
        <v>281.0</v>
      </c>
      <c r="B1227" s="78"/>
      <c r="C1227" s="138"/>
      <c r="D1227" s="78"/>
      <c r="E1227" s="139" t="str">
        <f t="array" ref="E1227">IF(
UPPER(TRIM(CLEAN($O1227)))="ENTREGADO",
IFERROR(
INDEX(REPORTE_DROPI!Y:Y,
MATCH($T1227, REPORTE_DROPI!B:B, 0)
),
""
),
""
)
</f>
        <v/>
      </c>
      <c r="F1227" s="78"/>
      <c r="G1227" s="78"/>
      <c r="H1227" s="78"/>
      <c r="I1227" s="78"/>
      <c r="J1227" s="78"/>
      <c r="K1227" s="78"/>
      <c r="L1227" s="78"/>
      <c r="M1227" s="78"/>
      <c r="N1227" s="78"/>
      <c r="O1227" s="78"/>
      <c r="P1227" s="78"/>
      <c r="Q1227" s="78"/>
      <c r="R1227" s="78"/>
      <c r="S1227" s="78"/>
      <c r="T1227" s="78"/>
      <c r="U1227" s="78"/>
      <c r="V1227" s="78"/>
      <c r="W1227" s="78"/>
      <c r="X1227" s="78"/>
      <c r="Y1227" s="78"/>
      <c r="Z1227" s="78"/>
    </row>
    <row r="1228">
      <c r="A1228" s="78">
        <v>282.0</v>
      </c>
      <c r="B1228" s="78"/>
      <c r="C1228" s="138"/>
      <c r="D1228" s="78"/>
      <c r="E1228" s="139" t="str">
        <f t="array" ref="E1228">IF(
UPPER(TRIM(CLEAN($O1228)))="ENTREGADO",
IFERROR(
INDEX(REPORTE_DROPI!Y:Y,
MATCH($T1228, REPORTE_DROPI!B:B, 0)
),
""
),
""
)
</f>
        <v/>
      </c>
      <c r="F1228" s="78"/>
      <c r="G1228" s="78"/>
      <c r="H1228" s="78"/>
      <c r="I1228" s="78"/>
      <c r="J1228" s="78"/>
      <c r="K1228" s="78"/>
      <c r="L1228" s="78"/>
      <c r="M1228" s="78"/>
      <c r="N1228" s="78"/>
      <c r="O1228" s="78"/>
      <c r="P1228" s="78"/>
      <c r="Q1228" s="78"/>
      <c r="R1228" s="78"/>
      <c r="S1228" s="78"/>
      <c r="T1228" s="78"/>
      <c r="U1228" s="78"/>
      <c r="V1228" s="78"/>
      <c r="W1228" s="78"/>
      <c r="X1228" s="78"/>
      <c r="Y1228" s="78"/>
      <c r="Z1228" s="78"/>
    </row>
    <row r="1229">
      <c r="A1229" s="78">
        <v>283.0</v>
      </c>
      <c r="B1229" s="78"/>
      <c r="C1229" s="138"/>
      <c r="D1229" s="78"/>
      <c r="E1229" s="139" t="str">
        <f t="array" ref="E1229">IF(
UPPER(TRIM(CLEAN($O1229)))="ENTREGADO",
IFERROR(
INDEX(REPORTE_DROPI!Y:Y,
MATCH($T1229, REPORTE_DROPI!B:B, 0)
),
""
),
""
)
</f>
        <v/>
      </c>
      <c r="F1229" s="78"/>
      <c r="G1229" s="78"/>
      <c r="H1229" s="78"/>
      <c r="I1229" s="78"/>
      <c r="J1229" s="78"/>
      <c r="K1229" s="78"/>
      <c r="L1229" s="78"/>
      <c r="M1229" s="78"/>
      <c r="N1229" s="78"/>
      <c r="O1229" s="78"/>
      <c r="P1229" s="78"/>
      <c r="Q1229" s="78"/>
      <c r="R1229" s="78"/>
      <c r="S1229" s="78"/>
      <c r="T1229" s="78"/>
      <c r="U1229" s="78"/>
      <c r="V1229" s="78"/>
      <c r="W1229" s="78"/>
      <c r="X1229" s="78"/>
      <c r="Y1229" s="78"/>
      <c r="Z1229" s="78"/>
    </row>
    <row r="1230">
      <c r="A1230" s="78">
        <v>284.0</v>
      </c>
      <c r="B1230" s="78"/>
      <c r="C1230" s="138"/>
      <c r="D1230" s="78"/>
      <c r="E1230" s="139" t="str">
        <f t="array" ref="E1230">IF(
UPPER(TRIM(CLEAN($O1230)))="ENTREGADO",
IFERROR(
INDEX(REPORTE_DROPI!Y:Y,
MATCH($T1230, REPORTE_DROPI!B:B, 0)
),
""
),
""
)
</f>
        <v/>
      </c>
      <c r="F1230" s="78"/>
      <c r="G1230" s="78"/>
      <c r="H1230" s="78"/>
      <c r="I1230" s="78"/>
      <c r="J1230" s="78"/>
      <c r="K1230" s="78"/>
      <c r="L1230" s="78"/>
      <c r="M1230" s="78"/>
      <c r="N1230" s="78"/>
      <c r="O1230" s="78"/>
      <c r="P1230" s="78"/>
      <c r="Q1230" s="78"/>
      <c r="R1230" s="78"/>
      <c r="S1230" s="78"/>
      <c r="T1230" s="78"/>
      <c r="U1230" s="78"/>
      <c r="V1230" s="78"/>
      <c r="W1230" s="78"/>
      <c r="X1230" s="78"/>
      <c r="Y1230" s="78"/>
      <c r="Z1230" s="78"/>
    </row>
    <row r="1231">
      <c r="A1231" s="78">
        <v>285.0</v>
      </c>
      <c r="B1231" s="78"/>
      <c r="C1231" s="138"/>
      <c r="D1231" s="78"/>
      <c r="E1231" s="139" t="str">
        <f t="array" ref="E1231">IF(
UPPER(TRIM(CLEAN($O1231)))="ENTREGADO",
IFERROR(
INDEX(REPORTE_DROPI!Y:Y,
MATCH($T1231, REPORTE_DROPI!B:B, 0)
),
""
),
""
)
</f>
        <v/>
      </c>
      <c r="F1231" s="78"/>
      <c r="G1231" s="78"/>
      <c r="H1231" s="78"/>
      <c r="I1231" s="78"/>
      <c r="J1231" s="78"/>
      <c r="K1231" s="78"/>
      <c r="L1231" s="78"/>
      <c r="M1231" s="78"/>
      <c r="N1231" s="78"/>
      <c r="O1231" s="78"/>
      <c r="P1231" s="78"/>
      <c r="Q1231" s="78"/>
      <c r="R1231" s="78"/>
      <c r="S1231" s="78"/>
      <c r="T1231" s="78"/>
      <c r="U1231" s="78"/>
      <c r="V1231" s="78"/>
      <c r="W1231" s="78"/>
      <c r="X1231" s="78"/>
      <c r="Y1231" s="78"/>
      <c r="Z1231" s="78"/>
    </row>
    <row r="1232">
      <c r="A1232" s="78">
        <v>286.0</v>
      </c>
      <c r="B1232" s="78"/>
      <c r="C1232" s="138"/>
      <c r="D1232" s="78"/>
      <c r="E1232" s="139" t="str">
        <f t="array" ref="E1232">IF(
UPPER(TRIM(CLEAN($O1232)))="ENTREGADO",
IFERROR(
INDEX(REPORTE_DROPI!Y:Y,
MATCH($T1232, REPORTE_DROPI!B:B, 0)
),
""
),
""
)
</f>
        <v/>
      </c>
      <c r="F1232" s="78"/>
      <c r="G1232" s="78"/>
      <c r="H1232" s="78"/>
      <c r="I1232" s="78"/>
      <c r="J1232" s="78"/>
      <c r="K1232" s="78"/>
      <c r="L1232" s="78"/>
      <c r="M1232" s="78"/>
      <c r="N1232" s="78"/>
      <c r="O1232" s="78"/>
      <c r="P1232" s="78"/>
      <c r="Q1232" s="78"/>
      <c r="R1232" s="78"/>
      <c r="S1232" s="78"/>
      <c r="T1232" s="78"/>
      <c r="U1232" s="78"/>
      <c r="V1232" s="78"/>
      <c r="W1232" s="78"/>
      <c r="X1232" s="78"/>
      <c r="Y1232" s="78"/>
      <c r="Z1232" s="78"/>
    </row>
    <row r="1233">
      <c r="A1233" s="78">
        <v>287.0</v>
      </c>
      <c r="B1233" s="78"/>
      <c r="C1233" s="138"/>
      <c r="D1233" s="78"/>
      <c r="E1233" s="139" t="str">
        <f t="array" ref="E1233">IF(
UPPER(TRIM(CLEAN($O1233)))="ENTREGADO",
IFERROR(
INDEX(REPORTE_DROPI!Y:Y,
MATCH($T1233, REPORTE_DROPI!B:B, 0)
),
""
),
""
)
</f>
        <v/>
      </c>
      <c r="F1233" s="78"/>
      <c r="G1233" s="78"/>
      <c r="H1233" s="78"/>
      <c r="I1233" s="78"/>
      <c r="J1233" s="78"/>
      <c r="K1233" s="78"/>
      <c r="L1233" s="78"/>
      <c r="M1233" s="78"/>
      <c r="N1233" s="78"/>
      <c r="O1233" s="78"/>
      <c r="P1233" s="78"/>
      <c r="Q1233" s="78"/>
      <c r="R1233" s="78"/>
      <c r="S1233" s="78"/>
      <c r="T1233" s="78"/>
      <c r="U1233" s="78"/>
      <c r="V1233" s="78"/>
      <c r="W1233" s="78"/>
      <c r="X1233" s="78"/>
      <c r="Y1233" s="78"/>
      <c r="Z1233" s="78"/>
    </row>
    <row r="1234">
      <c r="A1234" s="78">
        <v>288.0</v>
      </c>
      <c r="B1234" s="78"/>
      <c r="C1234" s="138"/>
      <c r="D1234" s="78"/>
      <c r="E1234" s="139" t="str">
        <f t="array" ref="E1234">IF(
UPPER(TRIM(CLEAN($O1234)))="ENTREGADO",
IFERROR(
INDEX(REPORTE_DROPI!Y:Y,
MATCH($T1234, REPORTE_DROPI!B:B, 0)
),
""
),
""
)
</f>
        <v/>
      </c>
      <c r="F1234" s="78"/>
      <c r="G1234" s="78"/>
      <c r="H1234" s="78"/>
      <c r="I1234" s="78"/>
      <c r="J1234" s="78"/>
      <c r="K1234" s="78"/>
      <c r="L1234" s="78"/>
      <c r="M1234" s="78"/>
      <c r="N1234" s="78"/>
      <c r="O1234" s="78"/>
      <c r="P1234" s="78"/>
      <c r="Q1234" s="78"/>
      <c r="R1234" s="78"/>
      <c r="S1234" s="78"/>
      <c r="T1234" s="78"/>
      <c r="U1234" s="78"/>
      <c r="V1234" s="78"/>
      <c r="W1234" s="78"/>
      <c r="X1234" s="78"/>
      <c r="Y1234" s="78"/>
      <c r="Z1234" s="78"/>
    </row>
    <row r="1235">
      <c r="A1235" s="78">
        <v>289.0</v>
      </c>
      <c r="B1235" s="78"/>
      <c r="C1235" s="138"/>
      <c r="D1235" s="78"/>
      <c r="E1235" s="139" t="str">
        <f t="array" ref="E1235">IF(
UPPER(TRIM(CLEAN($O1235)))="ENTREGADO",
IFERROR(
INDEX(REPORTE_DROPI!Y:Y,
MATCH($T1235, REPORTE_DROPI!B:B, 0)
),
""
),
""
)
</f>
        <v/>
      </c>
      <c r="F1235" s="78"/>
      <c r="G1235" s="78"/>
      <c r="H1235" s="78"/>
      <c r="I1235" s="78"/>
      <c r="J1235" s="78"/>
      <c r="K1235" s="78"/>
      <c r="L1235" s="78"/>
      <c r="M1235" s="78"/>
      <c r="N1235" s="78"/>
      <c r="O1235" s="78"/>
      <c r="P1235" s="78"/>
      <c r="Q1235" s="78"/>
      <c r="R1235" s="78"/>
      <c r="S1235" s="78"/>
      <c r="T1235" s="78"/>
      <c r="U1235" s="78"/>
      <c r="V1235" s="78"/>
      <c r="W1235" s="78"/>
      <c r="X1235" s="78"/>
      <c r="Y1235" s="78"/>
      <c r="Z1235" s="78"/>
    </row>
    <row r="1236">
      <c r="A1236" s="78">
        <v>290.0</v>
      </c>
      <c r="B1236" s="78"/>
      <c r="C1236" s="138"/>
      <c r="D1236" s="78"/>
      <c r="E1236" s="139" t="str">
        <f t="array" ref="E1236">IF(
UPPER(TRIM(CLEAN($O1236)))="ENTREGADO",
IFERROR(
INDEX(REPORTE_DROPI!Y:Y,
MATCH($T1236, REPORTE_DROPI!B:B, 0)
),
""
),
""
)
</f>
        <v/>
      </c>
      <c r="F1236" s="78"/>
      <c r="G1236" s="78"/>
      <c r="H1236" s="78"/>
      <c r="I1236" s="78"/>
      <c r="J1236" s="78"/>
      <c r="K1236" s="78"/>
      <c r="L1236" s="78"/>
      <c r="M1236" s="78"/>
      <c r="N1236" s="78"/>
      <c r="O1236" s="78"/>
      <c r="P1236" s="78"/>
      <c r="Q1236" s="78"/>
      <c r="R1236" s="78"/>
      <c r="S1236" s="78"/>
      <c r="T1236" s="78"/>
      <c r="U1236" s="78"/>
      <c r="V1236" s="78"/>
      <c r="W1236" s="78"/>
      <c r="X1236" s="78"/>
      <c r="Y1236" s="78"/>
      <c r="Z1236" s="78"/>
    </row>
    <row r="1237">
      <c r="A1237" s="78">
        <v>291.0</v>
      </c>
      <c r="B1237" s="78"/>
      <c r="C1237" s="138"/>
      <c r="D1237" s="78"/>
      <c r="E1237" s="139" t="str">
        <f t="array" ref="E1237">IF(
UPPER(TRIM(CLEAN($O1237)))="ENTREGADO",
IFERROR(
INDEX(REPORTE_DROPI!Y:Y,
MATCH($T1237, REPORTE_DROPI!B:B, 0)
),
""
),
""
)
</f>
        <v/>
      </c>
      <c r="F1237" s="78"/>
      <c r="G1237" s="78"/>
      <c r="H1237" s="78"/>
      <c r="I1237" s="78"/>
      <c r="J1237" s="78"/>
      <c r="K1237" s="78"/>
      <c r="L1237" s="78"/>
      <c r="M1237" s="78"/>
      <c r="N1237" s="78"/>
      <c r="O1237" s="78"/>
      <c r="P1237" s="78"/>
      <c r="Q1237" s="78"/>
      <c r="R1237" s="78"/>
      <c r="S1237" s="78"/>
      <c r="T1237" s="78"/>
      <c r="U1237" s="78"/>
      <c r="V1237" s="78"/>
      <c r="W1237" s="78"/>
      <c r="X1237" s="78"/>
      <c r="Y1237" s="78"/>
      <c r="Z1237" s="78"/>
    </row>
    <row r="1238">
      <c r="A1238" s="78">
        <v>292.0</v>
      </c>
      <c r="B1238" s="78"/>
      <c r="C1238" s="138"/>
      <c r="D1238" s="78"/>
      <c r="E1238" s="139" t="str">
        <f t="array" ref="E1238">IF(
UPPER(TRIM(CLEAN($O1238)))="ENTREGADO",
IFERROR(
INDEX(REPORTE_DROPI!Y:Y,
MATCH($T1238, REPORTE_DROPI!B:B, 0)
),
""
),
""
)
</f>
        <v/>
      </c>
      <c r="F1238" s="78"/>
      <c r="G1238" s="78"/>
      <c r="H1238" s="78"/>
      <c r="I1238" s="78"/>
      <c r="J1238" s="78"/>
      <c r="K1238" s="78"/>
      <c r="L1238" s="78"/>
      <c r="M1238" s="78"/>
      <c r="N1238" s="78"/>
      <c r="O1238" s="78"/>
      <c r="P1238" s="78"/>
      <c r="Q1238" s="78"/>
      <c r="R1238" s="78"/>
      <c r="S1238" s="78"/>
      <c r="T1238" s="78"/>
      <c r="U1238" s="78"/>
      <c r="V1238" s="78"/>
      <c r="W1238" s="78"/>
      <c r="X1238" s="78"/>
      <c r="Y1238" s="78"/>
      <c r="Z1238" s="78"/>
    </row>
    <row r="1239">
      <c r="A1239" s="78">
        <v>293.0</v>
      </c>
      <c r="B1239" s="78"/>
      <c r="C1239" s="138"/>
      <c r="D1239" s="78"/>
      <c r="E1239" s="139" t="str">
        <f t="array" ref="E1239">IF(
UPPER(TRIM(CLEAN($O1239)))="ENTREGADO",
IFERROR(
INDEX(REPORTE_DROPI!Y:Y,
MATCH($T1239, REPORTE_DROPI!B:B, 0)
),
""
),
""
)
</f>
        <v/>
      </c>
      <c r="F1239" s="78"/>
      <c r="G1239" s="78"/>
      <c r="H1239" s="78"/>
      <c r="I1239" s="78"/>
      <c r="J1239" s="78"/>
      <c r="K1239" s="78"/>
      <c r="L1239" s="78"/>
      <c r="M1239" s="78"/>
      <c r="N1239" s="78"/>
      <c r="O1239" s="78"/>
      <c r="P1239" s="78"/>
      <c r="Q1239" s="78"/>
      <c r="R1239" s="78"/>
      <c r="S1239" s="78"/>
      <c r="T1239" s="78"/>
      <c r="U1239" s="78"/>
      <c r="V1239" s="78"/>
      <c r="W1239" s="78"/>
      <c r="X1239" s="78"/>
      <c r="Y1239" s="78"/>
      <c r="Z1239" s="78"/>
    </row>
    <row r="1240">
      <c r="A1240" s="78">
        <v>294.0</v>
      </c>
      <c r="B1240" s="78"/>
      <c r="C1240" s="138"/>
      <c r="D1240" s="78"/>
      <c r="E1240" s="139" t="str">
        <f t="array" ref="E1240">IF(
UPPER(TRIM(CLEAN($O1240)))="ENTREGADO",
IFERROR(
INDEX(REPORTE_DROPI!Y:Y,
MATCH($T1240, REPORTE_DROPI!B:B, 0)
),
""
),
""
)
</f>
        <v/>
      </c>
      <c r="F1240" s="78"/>
      <c r="G1240" s="78"/>
      <c r="H1240" s="78"/>
      <c r="I1240" s="78"/>
      <c r="J1240" s="78"/>
      <c r="K1240" s="78"/>
      <c r="L1240" s="78"/>
      <c r="M1240" s="78"/>
      <c r="N1240" s="78"/>
      <c r="O1240" s="78"/>
      <c r="P1240" s="78"/>
      <c r="Q1240" s="78"/>
      <c r="R1240" s="78"/>
      <c r="S1240" s="78"/>
      <c r="T1240" s="78"/>
      <c r="U1240" s="78"/>
      <c r="V1240" s="78"/>
      <c r="W1240" s="78"/>
      <c r="X1240" s="78"/>
      <c r="Y1240" s="78"/>
      <c r="Z1240" s="78"/>
    </row>
    <row r="1241">
      <c r="A1241" s="78">
        <v>295.0</v>
      </c>
      <c r="B1241" s="78"/>
      <c r="C1241" s="138"/>
      <c r="D1241" s="78"/>
      <c r="E1241" s="139" t="str">
        <f t="array" ref="E1241">IF(
UPPER(TRIM(CLEAN($O1241)))="ENTREGADO",
IFERROR(
INDEX(REPORTE_DROPI!Y:Y,
MATCH($T1241, REPORTE_DROPI!B:B, 0)
),
""
),
""
)
</f>
        <v/>
      </c>
      <c r="F1241" s="78"/>
      <c r="G1241" s="78"/>
      <c r="H1241" s="78"/>
      <c r="I1241" s="78"/>
      <c r="J1241" s="78"/>
      <c r="K1241" s="78"/>
      <c r="L1241" s="78"/>
      <c r="M1241" s="78"/>
      <c r="N1241" s="78"/>
      <c r="O1241" s="78"/>
      <c r="P1241" s="78"/>
      <c r="Q1241" s="78"/>
      <c r="R1241" s="78"/>
      <c r="S1241" s="78"/>
      <c r="T1241" s="78"/>
      <c r="U1241" s="78"/>
      <c r="V1241" s="78"/>
      <c r="W1241" s="78"/>
      <c r="X1241" s="78"/>
      <c r="Y1241" s="78"/>
      <c r="Z1241" s="78"/>
    </row>
    <row r="1242">
      <c r="A1242" s="78">
        <v>296.0</v>
      </c>
      <c r="B1242" s="78"/>
      <c r="C1242" s="138"/>
      <c r="D1242" s="78"/>
      <c r="E1242" s="139" t="str">
        <f t="array" ref="E1242">IF(
UPPER(TRIM(CLEAN($O1242)))="ENTREGADO",
IFERROR(
INDEX(REPORTE_DROPI!Y:Y,
MATCH($T1242, REPORTE_DROPI!B:B, 0)
),
""
),
""
)
</f>
        <v/>
      </c>
      <c r="F1242" s="78"/>
      <c r="G1242" s="78"/>
      <c r="H1242" s="78"/>
      <c r="I1242" s="78"/>
      <c r="J1242" s="78"/>
      <c r="K1242" s="78"/>
      <c r="L1242" s="78"/>
      <c r="M1242" s="78"/>
      <c r="N1242" s="78"/>
      <c r="O1242" s="78"/>
      <c r="P1242" s="78"/>
      <c r="Q1242" s="78"/>
      <c r="R1242" s="78"/>
      <c r="S1242" s="78"/>
      <c r="T1242" s="78"/>
      <c r="U1242" s="78"/>
      <c r="V1242" s="78"/>
      <c r="W1242" s="78"/>
      <c r="X1242" s="78"/>
      <c r="Y1242" s="78"/>
      <c r="Z1242" s="78"/>
    </row>
    <row r="1243">
      <c r="A1243" s="78">
        <v>297.0</v>
      </c>
      <c r="B1243" s="78"/>
      <c r="C1243" s="138"/>
      <c r="D1243" s="78"/>
      <c r="E1243" s="139" t="str">
        <f t="array" ref="E1243">IF(
UPPER(TRIM(CLEAN($O1243)))="ENTREGADO",
IFERROR(
INDEX(REPORTE_DROPI!Y:Y,
MATCH($T1243, REPORTE_DROPI!B:B, 0)
),
""
),
""
)
</f>
        <v/>
      </c>
      <c r="F1243" s="78"/>
      <c r="G1243" s="78"/>
      <c r="H1243" s="78"/>
      <c r="I1243" s="78"/>
      <c r="J1243" s="78"/>
      <c r="K1243" s="78"/>
      <c r="L1243" s="78"/>
      <c r="M1243" s="78"/>
      <c r="N1243" s="78"/>
      <c r="O1243" s="78"/>
      <c r="P1243" s="78"/>
      <c r="Q1243" s="78"/>
      <c r="R1243" s="78"/>
      <c r="S1243" s="78"/>
      <c r="T1243" s="78"/>
      <c r="U1243" s="78"/>
      <c r="V1243" s="78"/>
      <c r="W1243" s="78"/>
      <c r="X1243" s="78"/>
      <c r="Y1243" s="78"/>
      <c r="Z1243" s="78"/>
    </row>
    <row r="1244">
      <c r="A1244" s="78">
        <v>298.0</v>
      </c>
      <c r="B1244" s="78"/>
      <c r="C1244" s="138"/>
      <c r="D1244" s="78"/>
      <c r="E1244" s="139" t="str">
        <f t="array" ref="E1244">IF(
UPPER(TRIM(CLEAN($O1244)))="ENTREGADO",
IFERROR(
INDEX(REPORTE_DROPI!Y:Y,
MATCH($T1244, REPORTE_DROPI!B:B, 0)
),
""
),
""
)
</f>
        <v/>
      </c>
      <c r="F1244" s="78"/>
      <c r="G1244" s="78"/>
      <c r="H1244" s="78"/>
      <c r="I1244" s="78"/>
      <c r="J1244" s="78"/>
      <c r="K1244" s="78"/>
      <c r="L1244" s="78"/>
      <c r="M1244" s="78"/>
      <c r="N1244" s="78"/>
      <c r="O1244" s="78"/>
      <c r="P1244" s="78"/>
      <c r="Q1244" s="78"/>
      <c r="R1244" s="78"/>
      <c r="S1244" s="78"/>
      <c r="T1244" s="78"/>
      <c r="U1244" s="78"/>
      <c r="V1244" s="78"/>
      <c r="W1244" s="78"/>
      <c r="X1244" s="78"/>
      <c r="Y1244" s="78"/>
      <c r="Z1244" s="78"/>
    </row>
    <row r="1245">
      <c r="A1245" s="78">
        <v>299.0</v>
      </c>
      <c r="B1245" s="78"/>
      <c r="C1245" s="138"/>
      <c r="D1245" s="78"/>
      <c r="E1245" s="139" t="str">
        <f t="array" ref="E1245">IF(
UPPER(TRIM(CLEAN($O1245)))="ENTREGADO",
IFERROR(
INDEX(REPORTE_DROPI!Y:Y,
MATCH($T1245, REPORTE_DROPI!B:B, 0)
),
""
),
""
)
</f>
        <v/>
      </c>
      <c r="F1245" s="78"/>
      <c r="G1245" s="78"/>
      <c r="H1245" s="78"/>
      <c r="I1245" s="78"/>
      <c r="J1245" s="78"/>
      <c r="K1245" s="78"/>
      <c r="L1245" s="78"/>
      <c r="M1245" s="78"/>
      <c r="N1245" s="78"/>
      <c r="O1245" s="78"/>
      <c r="P1245" s="78"/>
      <c r="Q1245" s="78"/>
      <c r="R1245" s="78"/>
      <c r="S1245" s="78"/>
      <c r="T1245" s="78"/>
      <c r="U1245" s="78"/>
      <c r="V1245" s="78"/>
      <c r="W1245" s="78"/>
      <c r="X1245" s="78"/>
      <c r="Y1245" s="78"/>
      <c r="Z1245" s="78"/>
    </row>
    <row r="1246">
      <c r="A1246" s="78">
        <v>300.0</v>
      </c>
      <c r="B1246" s="78"/>
      <c r="C1246" s="138"/>
      <c r="D1246" s="78"/>
      <c r="E1246" s="139" t="str">
        <f t="array" ref="E1246">IF(
UPPER(TRIM(CLEAN($O1246)))="ENTREGADO",
IFERROR(
INDEX(REPORTE_DROPI!Y:Y,
MATCH($T1246, REPORTE_DROPI!B:B, 0)
),
""
),
""
)
</f>
        <v/>
      </c>
      <c r="F1246" s="78"/>
      <c r="G1246" s="78"/>
      <c r="H1246" s="78"/>
      <c r="I1246" s="78"/>
      <c r="J1246" s="78"/>
      <c r="K1246" s="78"/>
      <c r="L1246" s="78"/>
      <c r="M1246" s="78"/>
      <c r="N1246" s="78"/>
      <c r="O1246" s="78"/>
      <c r="P1246" s="78"/>
      <c r="Q1246" s="78"/>
      <c r="R1246" s="78"/>
      <c r="S1246" s="78"/>
      <c r="T1246" s="78"/>
      <c r="U1246" s="78"/>
      <c r="V1246" s="78"/>
      <c r="W1246" s="78"/>
      <c r="X1246" s="78"/>
      <c r="Y1246" s="78"/>
      <c r="Z1246" s="78"/>
    </row>
    <row r="1247">
      <c r="A1247" s="78">
        <v>301.0</v>
      </c>
      <c r="B1247" s="78"/>
      <c r="C1247" s="138"/>
      <c r="D1247" s="78"/>
      <c r="E1247" s="139" t="str">
        <f t="array" ref="E1247">IF(
UPPER(TRIM(CLEAN($O1247)))="ENTREGADO",
IFERROR(
INDEX(REPORTE_DROPI!Y:Y,
MATCH($T1247, REPORTE_DROPI!B:B, 0)
),
""
),
""
)
</f>
        <v/>
      </c>
      <c r="F1247" s="78"/>
      <c r="G1247" s="78"/>
      <c r="H1247" s="78"/>
      <c r="I1247" s="78"/>
      <c r="J1247" s="78"/>
      <c r="K1247" s="78"/>
      <c r="L1247" s="78"/>
      <c r="M1247" s="78"/>
      <c r="N1247" s="78"/>
      <c r="O1247" s="78"/>
      <c r="P1247" s="78"/>
      <c r="Q1247" s="78"/>
      <c r="R1247" s="78"/>
      <c r="S1247" s="78"/>
      <c r="T1247" s="78"/>
      <c r="U1247" s="78"/>
      <c r="V1247" s="78"/>
      <c r="W1247" s="78"/>
      <c r="X1247" s="78"/>
      <c r="Y1247" s="78"/>
      <c r="Z1247" s="78"/>
    </row>
    <row r="1248">
      <c r="A1248" s="78">
        <v>302.0</v>
      </c>
      <c r="B1248" s="78"/>
      <c r="C1248" s="138"/>
      <c r="D1248" s="78"/>
      <c r="E1248" s="139" t="str">
        <f t="array" ref="E1248">IF(
UPPER(TRIM(CLEAN($O1248)))="ENTREGADO",
IFERROR(
INDEX(REPORTE_DROPI!Y:Y,
MATCH($T1248, REPORTE_DROPI!B:B, 0)
),
""
),
""
)
</f>
        <v/>
      </c>
      <c r="F1248" s="78"/>
      <c r="G1248" s="78"/>
      <c r="H1248" s="78"/>
      <c r="I1248" s="78"/>
      <c r="J1248" s="78"/>
      <c r="K1248" s="78"/>
      <c r="L1248" s="78"/>
      <c r="M1248" s="78"/>
      <c r="N1248" s="78"/>
      <c r="O1248" s="78"/>
      <c r="P1248" s="78"/>
      <c r="Q1248" s="78"/>
      <c r="R1248" s="78"/>
      <c r="S1248" s="78"/>
      <c r="T1248" s="78"/>
      <c r="U1248" s="78"/>
      <c r="V1248" s="78"/>
      <c r="W1248" s="78"/>
      <c r="X1248" s="78"/>
      <c r="Y1248" s="78"/>
      <c r="Z1248" s="78"/>
    </row>
    <row r="1249">
      <c r="A1249" s="78">
        <v>303.0</v>
      </c>
      <c r="B1249" s="78"/>
      <c r="C1249" s="138"/>
      <c r="D1249" s="78"/>
      <c r="E1249" s="139" t="str">
        <f t="array" ref="E1249">IF(
UPPER(TRIM(CLEAN($O1249)))="ENTREGADO",
IFERROR(
INDEX(REPORTE_DROPI!Y:Y,
MATCH($T1249, REPORTE_DROPI!B:B, 0)
),
""
),
""
)
</f>
        <v/>
      </c>
      <c r="F1249" s="78"/>
      <c r="G1249" s="78"/>
      <c r="H1249" s="78"/>
      <c r="I1249" s="78"/>
      <c r="J1249" s="78"/>
      <c r="K1249" s="78"/>
      <c r="L1249" s="78"/>
      <c r="M1249" s="78"/>
      <c r="N1249" s="78"/>
      <c r="O1249" s="78"/>
      <c r="P1249" s="78"/>
      <c r="Q1249" s="78"/>
      <c r="R1249" s="78"/>
      <c r="S1249" s="78"/>
      <c r="T1249" s="78"/>
      <c r="U1249" s="78"/>
      <c r="V1249" s="78"/>
      <c r="W1249" s="78"/>
      <c r="X1249" s="78"/>
      <c r="Y1249" s="78"/>
      <c r="Z1249" s="78"/>
    </row>
    <row r="1250">
      <c r="A1250" s="78">
        <v>304.0</v>
      </c>
      <c r="B1250" s="78"/>
      <c r="C1250" s="138"/>
      <c r="D1250" s="78"/>
      <c r="E1250" s="139" t="str">
        <f t="array" ref="E1250">IF(
UPPER(TRIM(CLEAN($O1250)))="ENTREGADO",
IFERROR(
INDEX(REPORTE_DROPI!Y:Y,
MATCH($T1250, REPORTE_DROPI!B:B, 0)
),
""
),
""
)
</f>
        <v/>
      </c>
      <c r="F1250" s="78"/>
      <c r="G1250" s="78"/>
      <c r="H1250" s="78"/>
      <c r="I1250" s="78"/>
      <c r="J1250" s="78"/>
      <c r="K1250" s="78"/>
      <c r="L1250" s="78"/>
      <c r="M1250" s="78"/>
      <c r="N1250" s="78"/>
      <c r="O1250" s="78"/>
      <c r="P1250" s="78"/>
      <c r="Q1250" s="78"/>
      <c r="R1250" s="78"/>
      <c r="S1250" s="78"/>
      <c r="T1250" s="78"/>
      <c r="U1250" s="78"/>
      <c r="V1250" s="78"/>
      <c r="W1250" s="78"/>
      <c r="X1250" s="78"/>
      <c r="Y1250" s="78"/>
      <c r="Z1250" s="78"/>
    </row>
    <row r="1251">
      <c r="A1251" s="78">
        <v>305.0</v>
      </c>
      <c r="B1251" s="78"/>
      <c r="C1251" s="138"/>
      <c r="D1251" s="78"/>
      <c r="E1251" s="139" t="str">
        <f t="array" ref="E1251">IF(
UPPER(TRIM(CLEAN($O1251)))="ENTREGADO",
IFERROR(
INDEX(REPORTE_DROPI!Y:Y,
MATCH($T1251, REPORTE_DROPI!B:B, 0)
),
""
),
""
)
</f>
        <v/>
      </c>
      <c r="F1251" s="78"/>
      <c r="G1251" s="78"/>
      <c r="H1251" s="78"/>
      <c r="I1251" s="78"/>
      <c r="J1251" s="78"/>
      <c r="K1251" s="78"/>
      <c r="L1251" s="78"/>
      <c r="M1251" s="78"/>
      <c r="N1251" s="78"/>
      <c r="O1251" s="78"/>
      <c r="P1251" s="78"/>
      <c r="Q1251" s="78"/>
      <c r="R1251" s="78"/>
      <c r="S1251" s="78"/>
      <c r="T1251" s="78"/>
      <c r="U1251" s="78"/>
      <c r="V1251" s="78"/>
      <c r="W1251" s="78"/>
      <c r="X1251" s="78"/>
      <c r="Y1251" s="78"/>
      <c r="Z1251" s="78"/>
    </row>
    <row r="1252">
      <c r="A1252" s="78">
        <v>306.0</v>
      </c>
      <c r="B1252" s="78"/>
      <c r="C1252" s="138"/>
      <c r="D1252" s="78"/>
      <c r="E1252" s="139" t="str">
        <f t="array" ref="E1252">IF(
UPPER(TRIM(CLEAN($O1252)))="ENTREGADO",
IFERROR(
INDEX(REPORTE_DROPI!Y:Y,
MATCH($T1252, REPORTE_DROPI!B:B, 0)
),
""
),
""
)
</f>
        <v/>
      </c>
      <c r="F1252" s="78"/>
      <c r="G1252" s="78"/>
      <c r="H1252" s="78"/>
      <c r="I1252" s="78"/>
      <c r="J1252" s="78"/>
      <c r="K1252" s="78"/>
      <c r="L1252" s="78"/>
      <c r="M1252" s="78"/>
      <c r="N1252" s="78"/>
      <c r="O1252" s="78"/>
      <c r="P1252" s="78"/>
      <c r="Q1252" s="78"/>
      <c r="R1252" s="78"/>
      <c r="S1252" s="78"/>
      <c r="T1252" s="78"/>
      <c r="U1252" s="78"/>
      <c r="V1252" s="78"/>
      <c r="W1252" s="78"/>
      <c r="X1252" s="78"/>
      <c r="Y1252" s="78"/>
      <c r="Z1252" s="78"/>
    </row>
    <row r="1253">
      <c r="A1253" s="78">
        <v>307.0</v>
      </c>
      <c r="B1253" s="78"/>
      <c r="C1253" s="138"/>
      <c r="D1253" s="78"/>
      <c r="E1253" s="139" t="str">
        <f t="array" ref="E1253">IF(
UPPER(TRIM(CLEAN($O1253)))="ENTREGADO",
IFERROR(
INDEX(REPORTE_DROPI!Y:Y,
MATCH($T1253, REPORTE_DROPI!B:B, 0)
),
""
),
""
)
</f>
        <v/>
      </c>
      <c r="F1253" s="78"/>
      <c r="G1253" s="78"/>
      <c r="H1253" s="78"/>
      <c r="I1253" s="78"/>
      <c r="J1253" s="78"/>
      <c r="K1253" s="78"/>
      <c r="L1253" s="78"/>
      <c r="M1253" s="78"/>
      <c r="N1253" s="78"/>
      <c r="O1253" s="78"/>
      <c r="P1253" s="78"/>
      <c r="Q1253" s="78"/>
      <c r="R1253" s="78"/>
      <c r="S1253" s="78"/>
      <c r="T1253" s="78"/>
      <c r="U1253" s="78"/>
      <c r="V1253" s="78"/>
      <c r="W1253" s="78"/>
      <c r="X1253" s="78"/>
      <c r="Y1253" s="78"/>
      <c r="Z1253" s="78"/>
    </row>
    <row r="1254">
      <c r="A1254" s="78">
        <v>308.0</v>
      </c>
      <c r="B1254" s="78"/>
      <c r="C1254" s="138"/>
      <c r="D1254" s="78"/>
      <c r="E1254" s="139" t="str">
        <f t="array" ref="E1254">IF(
UPPER(TRIM(CLEAN($O1254)))="ENTREGADO",
IFERROR(
INDEX(REPORTE_DROPI!Y:Y,
MATCH($T1254, REPORTE_DROPI!B:B, 0)
),
""
),
""
)
</f>
        <v/>
      </c>
      <c r="F1254" s="78"/>
      <c r="G1254" s="78"/>
      <c r="H1254" s="78"/>
      <c r="I1254" s="78"/>
      <c r="J1254" s="78"/>
      <c r="K1254" s="78"/>
      <c r="L1254" s="78"/>
      <c r="M1254" s="78"/>
      <c r="N1254" s="78"/>
      <c r="O1254" s="78"/>
      <c r="P1254" s="78"/>
      <c r="Q1254" s="78"/>
      <c r="R1254" s="78"/>
      <c r="S1254" s="78"/>
      <c r="T1254" s="78"/>
      <c r="U1254" s="78"/>
      <c r="V1254" s="78"/>
      <c r="W1254" s="78"/>
      <c r="X1254" s="78"/>
      <c r="Y1254" s="78"/>
      <c r="Z1254" s="78"/>
    </row>
    <row r="1255">
      <c r="A1255" s="78">
        <v>309.0</v>
      </c>
      <c r="B1255" s="78"/>
      <c r="C1255" s="138"/>
      <c r="D1255" s="78"/>
      <c r="E1255" s="139" t="str">
        <f t="array" ref="E1255">IF(
UPPER(TRIM(CLEAN($O1255)))="ENTREGADO",
IFERROR(
INDEX(REPORTE_DROPI!Y:Y,
MATCH($T1255, REPORTE_DROPI!B:B, 0)
),
""
),
""
)
</f>
        <v/>
      </c>
      <c r="F1255" s="78"/>
      <c r="G1255" s="78"/>
      <c r="H1255" s="78"/>
      <c r="I1255" s="78"/>
      <c r="J1255" s="78"/>
      <c r="K1255" s="78"/>
      <c r="L1255" s="78"/>
      <c r="M1255" s="78"/>
      <c r="N1255" s="78"/>
      <c r="O1255" s="78"/>
      <c r="P1255" s="78"/>
      <c r="Q1255" s="78"/>
      <c r="R1255" s="78"/>
      <c r="S1255" s="78"/>
      <c r="T1255" s="78"/>
      <c r="U1255" s="78"/>
      <c r="V1255" s="78"/>
      <c r="W1255" s="78"/>
      <c r="X1255" s="78"/>
      <c r="Y1255" s="78"/>
      <c r="Z1255" s="78"/>
    </row>
    <row r="1256">
      <c r="A1256" s="78">
        <v>310.0</v>
      </c>
      <c r="B1256" s="78"/>
      <c r="C1256" s="138"/>
      <c r="D1256" s="78"/>
      <c r="E1256" s="139" t="str">
        <f t="array" ref="E1256">IF(
UPPER(TRIM(CLEAN($O1256)))="ENTREGADO",
IFERROR(
INDEX(REPORTE_DROPI!Y:Y,
MATCH($T1256, REPORTE_DROPI!B:B, 0)
),
""
),
""
)
</f>
        <v/>
      </c>
      <c r="F1256" s="78"/>
      <c r="G1256" s="78"/>
      <c r="H1256" s="78"/>
      <c r="I1256" s="78"/>
      <c r="J1256" s="78"/>
      <c r="K1256" s="78"/>
      <c r="L1256" s="78"/>
      <c r="M1256" s="78"/>
      <c r="N1256" s="78"/>
      <c r="O1256" s="78"/>
      <c r="P1256" s="78"/>
      <c r="Q1256" s="78"/>
      <c r="R1256" s="78"/>
      <c r="S1256" s="78"/>
      <c r="T1256" s="78"/>
      <c r="U1256" s="78"/>
      <c r="V1256" s="78"/>
      <c r="W1256" s="78"/>
      <c r="X1256" s="78"/>
      <c r="Y1256" s="78"/>
      <c r="Z1256" s="78"/>
    </row>
    <row r="1257">
      <c r="A1257" s="78">
        <v>311.0</v>
      </c>
      <c r="B1257" s="78"/>
      <c r="C1257" s="138"/>
      <c r="D1257" s="78"/>
      <c r="E1257" s="139" t="str">
        <f t="array" ref="E1257">IF(
UPPER(TRIM(CLEAN($O1257)))="ENTREGADO",
IFERROR(
INDEX(REPORTE_DROPI!Y:Y,
MATCH($T1257, REPORTE_DROPI!B:B, 0)
),
""
),
""
)
</f>
        <v/>
      </c>
      <c r="F1257" s="78"/>
      <c r="G1257" s="78"/>
      <c r="H1257" s="78"/>
      <c r="I1257" s="78"/>
      <c r="J1257" s="78"/>
      <c r="K1257" s="78"/>
      <c r="L1257" s="78"/>
      <c r="M1257" s="78"/>
      <c r="N1257" s="78"/>
      <c r="O1257" s="78"/>
      <c r="P1257" s="78"/>
      <c r="Q1257" s="78"/>
      <c r="R1257" s="78"/>
      <c r="S1257" s="78"/>
      <c r="T1257" s="78"/>
      <c r="U1257" s="78"/>
      <c r="V1257" s="78"/>
      <c r="W1257" s="78"/>
      <c r="X1257" s="78"/>
      <c r="Y1257" s="78"/>
      <c r="Z1257" s="78"/>
    </row>
    <row r="1258">
      <c r="A1258" s="78">
        <v>312.0</v>
      </c>
      <c r="B1258" s="78"/>
      <c r="C1258" s="138"/>
      <c r="D1258" s="78"/>
      <c r="E1258" s="139" t="str">
        <f t="array" ref="E1258">IF(
UPPER(TRIM(CLEAN($O1258)))="ENTREGADO",
IFERROR(
INDEX(REPORTE_DROPI!Y:Y,
MATCH($T1258, REPORTE_DROPI!B:B, 0)
),
""
),
""
)
</f>
        <v/>
      </c>
      <c r="F1258" s="78"/>
      <c r="G1258" s="78"/>
      <c r="H1258" s="78"/>
      <c r="I1258" s="78"/>
      <c r="J1258" s="78"/>
      <c r="K1258" s="78"/>
      <c r="L1258" s="78"/>
      <c r="M1258" s="78"/>
      <c r="N1258" s="78"/>
      <c r="O1258" s="78"/>
      <c r="P1258" s="78"/>
      <c r="Q1258" s="78"/>
      <c r="R1258" s="78"/>
      <c r="S1258" s="78"/>
      <c r="T1258" s="78"/>
      <c r="U1258" s="78"/>
      <c r="V1258" s="78"/>
      <c r="W1258" s="78"/>
      <c r="X1258" s="78"/>
      <c r="Y1258" s="78"/>
      <c r="Z1258" s="78"/>
    </row>
    <row r="1259">
      <c r="A1259" s="78">
        <v>313.0</v>
      </c>
      <c r="B1259" s="78"/>
      <c r="C1259" s="138"/>
      <c r="D1259" s="78"/>
      <c r="E1259" s="139" t="str">
        <f t="array" ref="E1259">IF(
UPPER(TRIM(CLEAN($O1259)))="ENTREGADO",
IFERROR(
INDEX(REPORTE_DROPI!Y:Y,
MATCH($T1259, REPORTE_DROPI!B:B, 0)
),
""
),
""
)
</f>
        <v/>
      </c>
      <c r="F1259" s="78"/>
      <c r="G1259" s="78"/>
      <c r="H1259" s="78"/>
      <c r="I1259" s="78"/>
      <c r="J1259" s="78"/>
      <c r="K1259" s="78"/>
      <c r="L1259" s="78"/>
      <c r="M1259" s="78"/>
      <c r="N1259" s="78"/>
      <c r="O1259" s="78"/>
      <c r="P1259" s="78"/>
      <c r="Q1259" s="78"/>
      <c r="R1259" s="78"/>
      <c r="S1259" s="78"/>
      <c r="T1259" s="78"/>
      <c r="U1259" s="78"/>
      <c r="V1259" s="78"/>
      <c r="W1259" s="78"/>
      <c r="X1259" s="78"/>
      <c r="Y1259" s="78"/>
      <c r="Z1259" s="78"/>
    </row>
    <row r="1260">
      <c r="A1260" s="78">
        <v>314.0</v>
      </c>
      <c r="B1260" s="78"/>
      <c r="C1260" s="138"/>
      <c r="D1260" s="78"/>
      <c r="E1260" s="139" t="str">
        <f t="array" ref="E1260">IF(
UPPER(TRIM(CLEAN($O1260)))="ENTREGADO",
IFERROR(
INDEX(REPORTE_DROPI!Y:Y,
MATCH($T1260, REPORTE_DROPI!B:B, 0)
),
""
),
""
)
</f>
        <v/>
      </c>
      <c r="F1260" s="78"/>
      <c r="G1260" s="78"/>
      <c r="H1260" s="78"/>
      <c r="I1260" s="78"/>
      <c r="J1260" s="78"/>
      <c r="K1260" s="78"/>
      <c r="L1260" s="78"/>
      <c r="M1260" s="78"/>
      <c r="N1260" s="78"/>
      <c r="O1260" s="78"/>
      <c r="P1260" s="78"/>
      <c r="Q1260" s="78"/>
      <c r="R1260" s="78"/>
      <c r="S1260" s="78"/>
      <c r="T1260" s="78"/>
      <c r="U1260" s="78"/>
      <c r="V1260" s="78"/>
      <c r="W1260" s="78"/>
      <c r="X1260" s="78"/>
      <c r="Y1260" s="78"/>
      <c r="Z1260" s="78"/>
    </row>
    <row r="1261">
      <c r="A1261" s="78">
        <v>315.0</v>
      </c>
      <c r="B1261" s="78"/>
      <c r="C1261" s="138"/>
      <c r="D1261" s="78"/>
      <c r="E1261" s="139" t="str">
        <f t="array" ref="E1261">IF(
UPPER(TRIM(CLEAN($O1261)))="ENTREGADO",
IFERROR(
INDEX(REPORTE_DROPI!Y:Y,
MATCH($T1261, REPORTE_DROPI!B:B, 0)
),
""
),
""
)
</f>
        <v/>
      </c>
      <c r="F1261" s="78"/>
      <c r="G1261" s="78"/>
      <c r="H1261" s="78"/>
      <c r="I1261" s="78"/>
      <c r="J1261" s="78"/>
      <c r="K1261" s="78"/>
      <c r="L1261" s="78"/>
      <c r="M1261" s="78"/>
      <c r="N1261" s="78"/>
      <c r="O1261" s="78"/>
      <c r="P1261" s="78"/>
      <c r="Q1261" s="78"/>
      <c r="R1261" s="78"/>
      <c r="S1261" s="78"/>
      <c r="T1261" s="78"/>
      <c r="U1261" s="78"/>
      <c r="V1261" s="78"/>
      <c r="W1261" s="78"/>
      <c r="X1261" s="78"/>
      <c r="Y1261" s="78"/>
      <c r="Z1261" s="78"/>
    </row>
    <row r="1262">
      <c r="A1262" s="78">
        <v>316.0</v>
      </c>
      <c r="B1262" s="78"/>
      <c r="C1262" s="138"/>
      <c r="D1262" s="78"/>
      <c r="E1262" s="139" t="str">
        <f t="array" ref="E1262">IF(
UPPER(TRIM(CLEAN($O1262)))="ENTREGADO",
IFERROR(
INDEX(REPORTE_DROPI!Y:Y,
MATCH($T1262, REPORTE_DROPI!B:B, 0)
),
""
),
""
)
</f>
        <v/>
      </c>
      <c r="F1262" s="78"/>
      <c r="G1262" s="78"/>
      <c r="H1262" s="78"/>
      <c r="I1262" s="78"/>
      <c r="J1262" s="78"/>
      <c r="K1262" s="78"/>
      <c r="L1262" s="78"/>
      <c r="M1262" s="78"/>
      <c r="N1262" s="78"/>
      <c r="O1262" s="78"/>
      <c r="P1262" s="78"/>
      <c r="Q1262" s="78"/>
      <c r="R1262" s="78"/>
      <c r="S1262" s="78"/>
      <c r="T1262" s="78"/>
      <c r="U1262" s="78"/>
      <c r="V1262" s="78"/>
      <c r="W1262" s="78"/>
      <c r="X1262" s="78"/>
      <c r="Y1262" s="78"/>
      <c r="Z1262" s="78"/>
    </row>
    <row r="1263">
      <c r="A1263" s="78">
        <v>317.0</v>
      </c>
      <c r="B1263" s="78"/>
      <c r="C1263" s="138"/>
      <c r="D1263" s="78"/>
      <c r="E1263" s="139" t="str">
        <f t="array" ref="E1263">IF(
UPPER(TRIM(CLEAN($O1263)))="ENTREGADO",
IFERROR(
INDEX(REPORTE_DROPI!Y:Y,
MATCH($T1263, REPORTE_DROPI!B:B, 0)
),
""
),
""
)
</f>
        <v/>
      </c>
      <c r="F1263" s="78"/>
      <c r="G1263" s="78"/>
      <c r="H1263" s="78"/>
      <c r="I1263" s="78"/>
      <c r="J1263" s="78"/>
      <c r="K1263" s="78"/>
      <c r="L1263" s="78"/>
      <c r="M1263" s="78"/>
      <c r="N1263" s="78"/>
      <c r="O1263" s="78"/>
      <c r="P1263" s="78"/>
      <c r="Q1263" s="78"/>
      <c r="R1263" s="78"/>
      <c r="S1263" s="78"/>
      <c r="T1263" s="78"/>
      <c r="U1263" s="78"/>
      <c r="V1263" s="78"/>
      <c r="W1263" s="78"/>
      <c r="X1263" s="78"/>
      <c r="Y1263" s="78"/>
      <c r="Z1263" s="78"/>
    </row>
    <row r="1264">
      <c r="A1264" s="78">
        <v>318.0</v>
      </c>
      <c r="B1264" s="78"/>
      <c r="C1264" s="138"/>
      <c r="D1264" s="78"/>
      <c r="E1264" s="139" t="str">
        <f t="array" ref="E1264">IF(
UPPER(TRIM(CLEAN($O1264)))="ENTREGADO",
IFERROR(
INDEX(REPORTE_DROPI!Y:Y,
MATCH($T1264, REPORTE_DROPI!B:B, 0)
),
""
),
""
)
</f>
        <v/>
      </c>
      <c r="F1264" s="78"/>
      <c r="G1264" s="78"/>
      <c r="H1264" s="78"/>
      <c r="I1264" s="78"/>
      <c r="J1264" s="78"/>
      <c r="K1264" s="78"/>
      <c r="L1264" s="78"/>
      <c r="M1264" s="78"/>
      <c r="N1264" s="78"/>
      <c r="O1264" s="78"/>
      <c r="P1264" s="78"/>
      <c r="Q1264" s="78"/>
      <c r="R1264" s="78"/>
      <c r="S1264" s="78"/>
      <c r="T1264" s="78"/>
      <c r="U1264" s="78"/>
      <c r="V1264" s="78"/>
      <c r="W1264" s="78"/>
      <c r="X1264" s="78"/>
      <c r="Y1264" s="78"/>
      <c r="Z1264" s="78"/>
    </row>
    <row r="1265">
      <c r="A1265" s="78">
        <v>319.0</v>
      </c>
      <c r="B1265" s="78"/>
      <c r="C1265" s="138"/>
      <c r="D1265" s="78"/>
      <c r="E1265" s="139" t="str">
        <f t="array" ref="E1265">IF(
UPPER(TRIM(CLEAN($O1265)))="ENTREGADO",
IFERROR(
INDEX(REPORTE_DROPI!Y:Y,
MATCH($T1265, REPORTE_DROPI!B:B, 0)
),
""
),
""
)
</f>
        <v/>
      </c>
      <c r="F1265" s="78"/>
      <c r="G1265" s="78"/>
      <c r="H1265" s="78"/>
      <c r="I1265" s="78"/>
      <c r="J1265" s="78"/>
      <c r="K1265" s="78"/>
      <c r="L1265" s="78"/>
      <c r="M1265" s="78"/>
      <c r="N1265" s="78"/>
      <c r="O1265" s="78"/>
      <c r="P1265" s="78"/>
      <c r="Q1265" s="78"/>
      <c r="R1265" s="78"/>
      <c r="S1265" s="78"/>
      <c r="T1265" s="78"/>
      <c r="U1265" s="78"/>
      <c r="V1265" s="78"/>
      <c r="W1265" s="78"/>
      <c r="X1265" s="78"/>
      <c r="Y1265" s="78"/>
      <c r="Z1265" s="78"/>
    </row>
    <row r="1266">
      <c r="A1266" s="78">
        <v>320.0</v>
      </c>
      <c r="B1266" s="78"/>
      <c r="C1266" s="138"/>
      <c r="D1266" s="78"/>
      <c r="E1266" s="139" t="str">
        <f t="array" ref="E1266">IF(
UPPER(TRIM(CLEAN($O1266)))="ENTREGADO",
IFERROR(
INDEX(REPORTE_DROPI!Y:Y,
MATCH($T1266, REPORTE_DROPI!B:B, 0)
),
""
),
""
)
</f>
        <v/>
      </c>
      <c r="F1266" s="78"/>
      <c r="G1266" s="78"/>
      <c r="H1266" s="78"/>
      <c r="I1266" s="78"/>
      <c r="J1266" s="78"/>
      <c r="K1266" s="78"/>
      <c r="L1266" s="78"/>
      <c r="M1266" s="78"/>
      <c r="N1266" s="78"/>
      <c r="O1266" s="78"/>
      <c r="P1266" s="78"/>
      <c r="Q1266" s="78"/>
      <c r="R1266" s="78"/>
      <c r="S1266" s="78"/>
      <c r="T1266" s="78"/>
      <c r="U1266" s="78"/>
      <c r="V1266" s="78"/>
      <c r="W1266" s="78"/>
      <c r="X1266" s="78"/>
      <c r="Y1266" s="78"/>
      <c r="Z1266" s="78"/>
    </row>
    <row r="1267">
      <c r="A1267" s="78">
        <v>321.0</v>
      </c>
      <c r="B1267" s="78"/>
      <c r="C1267" s="138"/>
      <c r="D1267" s="78"/>
      <c r="E1267" s="139" t="str">
        <f t="array" ref="E1267">IF(
UPPER(TRIM(CLEAN($O1267)))="ENTREGADO",
IFERROR(
INDEX(REPORTE_DROPI!Y:Y,
MATCH($T1267, REPORTE_DROPI!B:B, 0)
),
""
),
""
)
</f>
        <v/>
      </c>
      <c r="F1267" s="78"/>
      <c r="G1267" s="78"/>
      <c r="H1267" s="78"/>
      <c r="I1267" s="78"/>
      <c r="J1267" s="78"/>
      <c r="K1267" s="78"/>
      <c r="L1267" s="78"/>
      <c r="M1267" s="78"/>
      <c r="N1267" s="78"/>
      <c r="O1267" s="78"/>
      <c r="P1267" s="78"/>
      <c r="Q1267" s="78"/>
      <c r="R1267" s="78"/>
      <c r="S1267" s="78"/>
      <c r="T1267" s="78"/>
      <c r="U1267" s="78"/>
      <c r="V1267" s="78"/>
      <c r="W1267" s="78"/>
      <c r="X1267" s="78"/>
      <c r="Y1267" s="78"/>
      <c r="Z1267" s="78"/>
    </row>
    <row r="1268">
      <c r="A1268" s="78">
        <v>322.0</v>
      </c>
      <c r="B1268" s="78"/>
      <c r="C1268" s="138"/>
      <c r="D1268" s="78"/>
      <c r="E1268" s="139" t="str">
        <f t="array" ref="E1268">IF(
UPPER(TRIM(CLEAN($O1268)))="ENTREGADO",
IFERROR(
INDEX(REPORTE_DROPI!Y:Y,
MATCH($T1268, REPORTE_DROPI!B:B, 0)
),
""
),
""
)
</f>
        <v/>
      </c>
      <c r="F1268" s="78"/>
      <c r="G1268" s="78"/>
      <c r="H1268" s="78"/>
      <c r="I1268" s="78"/>
      <c r="J1268" s="78"/>
      <c r="K1268" s="78"/>
      <c r="L1268" s="78"/>
      <c r="M1268" s="78"/>
      <c r="N1268" s="78"/>
      <c r="O1268" s="78"/>
      <c r="P1268" s="78"/>
      <c r="Q1268" s="78"/>
      <c r="R1268" s="78"/>
      <c r="S1268" s="78"/>
      <c r="T1268" s="78"/>
      <c r="U1268" s="78"/>
      <c r="V1268" s="78"/>
      <c r="W1268" s="78"/>
      <c r="X1268" s="78"/>
      <c r="Y1268" s="78"/>
      <c r="Z1268" s="78"/>
    </row>
    <row r="1269">
      <c r="A1269" s="78">
        <v>323.0</v>
      </c>
      <c r="B1269" s="78"/>
      <c r="C1269" s="138"/>
      <c r="D1269" s="78"/>
      <c r="E1269" s="139" t="str">
        <f t="array" ref="E1269">IF(
UPPER(TRIM(CLEAN($O1269)))="ENTREGADO",
IFERROR(
INDEX(REPORTE_DROPI!Y:Y,
MATCH($T1269, REPORTE_DROPI!B:B, 0)
),
""
),
""
)
</f>
        <v/>
      </c>
      <c r="F1269" s="78"/>
      <c r="G1269" s="78"/>
      <c r="H1269" s="78"/>
      <c r="I1269" s="78"/>
      <c r="J1269" s="78"/>
      <c r="K1269" s="78"/>
      <c r="L1269" s="78"/>
      <c r="M1269" s="78"/>
      <c r="N1269" s="78"/>
      <c r="O1269" s="78"/>
      <c r="P1269" s="78"/>
      <c r="Q1269" s="78"/>
      <c r="R1269" s="78"/>
      <c r="S1269" s="78"/>
      <c r="T1269" s="78"/>
      <c r="U1269" s="78"/>
      <c r="V1269" s="78"/>
      <c r="W1269" s="78"/>
      <c r="X1269" s="78"/>
      <c r="Y1269" s="78"/>
      <c r="Z1269" s="78"/>
    </row>
    <row r="1270">
      <c r="A1270" s="78">
        <v>324.0</v>
      </c>
      <c r="B1270" s="78"/>
      <c r="C1270" s="138"/>
      <c r="D1270" s="78"/>
      <c r="E1270" s="139" t="str">
        <f t="array" ref="E1270">IF(
UPPER(TRIM(CLEAN($O1270)))="ENTREGADO",
IFERROR(
INDEX(REPORTE_DROPI!Y:Y,
MATCH($T1270, REPORTE_DROPI!B:B, 0)
),
""
),
""
)
</f>
        <v/>
      </c>
      <c r="F1270" s="78"/>
      <c r="G1270" s="78"/>
      <c r="H1270" s="78"/>
      <c r="I1270" s="78"/>
      <c r="J1270" s="78"/>
      <c r="K1270" s="78"/>
      <c r="L1270" s="78"/>
      <c r="M1270" s="78"/>
      <c r="N1270" s="78"/>
      <c r="O1270" s="78"/>
      <c r="P1270" s="78"/>
      <c r="Q1270" s="78"/>
      <c r="R1270" s="78"/>
      <c r="S1270" s="78"/>
      <c r="T1270" s="78"/>
      <c r="U1270" s="78"/>
      <c r="V1270" s="78"/>
      <c r="W1270" s="78"/>
      <c r="X1270" s="78"/>
      <c r="Y1270" s="78"/>
      <c r="Z1270" s="78"/>
    </row>
    <row r="1271">
      <c r="A1271" s="78">
        <v>325.0</v>
      </c>
      <c r="B1271" s="78"/>
      <c r="C1271" s="138"/>
      <c r="D1271" s="78"/>
      <c r="E1271" s="139" t="str">
        <f t="array" ref="E1271">IF(
UPPER(TRIM(CLEAN($O1271)))="ENTREGADO",
IFERROR(
INDEX(REPORTE_DROPI!Y:Y,
MATCH($T1271, REPORTE_DROPI!B:B, 0)
),
""
),
""
)
</f>
        <v/>
      </c>
      <c r="F1271" s="78"/>
      <c r="G1271" s="78"/>
      <c r="H1271" s="78"/>
      <c r="I1271" s="78"/>
      <c r="J1271" s="78"/>
      <c r="K1271" s="78"/>
      <c r="L1271" s="78"/>
      <c r="M1271" s="78"/>
      <c r="N1271" s="78"/>
      <c r="O1271" s="78"/>
      <c r="P1271" s="78"/>
      <c r="Q1271" s="78"/>
      <c r="R1271" s="78"/>
      <c r="S1271" s="78"/>
      <c r="T1271" s="78"/>
      <c r="U1271" s="78"/>
      <c r="V1271" s="78"/>
      <c r="W1271" s="78"/>
      <c r="X1271" s="78"/>
      <c r="Y1271" s="78"/>
      <c r="Z1271" s="78"/>
    </row>
    <row r="1272">
      <c r="A1272" s="78">
        <v>326.0</v>
      </c>
      <c r="B1272" s="78"/>
      <c r="C1272" s="138"/>
      <c r="D1272" s="78"/>
      <c r="E1272" s="139" t="str">
        <f t="array" ref="E1272">IF(
UPPER(TRIM(CLEAN($O1272)))="ENTREGADO",
IFERROR(
INDEX(REPORTE_DROPI!Y:Y,
MATCH($T1272, REPORTE_DROPI!B:B, 0)
),
""
),
""
)
</f>
        <v/>
      </c>
      <c r="F1272" s="78"/>
      <c r="G1272" s="78"/>
      <c r="H1272" s="78"/>
      <c r="I1272" s="78"/>
      <c r="J1272" s="78"/>
      <c r="K1272" s="78"/>
      <c r="L1272" s="78"/>
      <c r="M1272" s="78"/>
      <c r="N1272" s="78"/>
      <c r="O1272" s="78"/>
      <c r="P1272" s="78"/>
      <c r="Q1272" s="78"/>
      <c r="R1272" s="78"/>
      <c r="S1272" s="78"/>
      <c r="T1272" s="78"/>
      <c r="U1272" s="78"/>
      <c r="V1272" s="78"/>
      <c r="W1272" s="78"/>
      <c r="X1272" s="78"/>
      <c r="Y1272" s="78"/>
      <c r="Z1272" s="78"/>
    </row>
    <row r="1273">
      <c r="A1273" s="78">
        <v>327.0</v>
      </c>
      <c r="B1273" s="78"/>
      <c r="C1273" s="138"/>
      <c r="D1273" s="78"/>
      <c r="E1273" s="139" t="str">
        <f t="array" ref="E1273">IF(
UPPER(TRIM(CLEAN($O1273)))="ENTREGADO",
IFERROR(
INDEX(REPORTE_DROPI!Y:Y,
MATCH($T1273, REPORTE_DROPI!B:B, 0)
),
""
),
""
)
</f>
        <v/>
      </c>
      <c r="F1273" s="78"/>
      <c r="G1273" s="78"/>
      <c r="H1273" s="78"/>
      <c r="I1273" s="78"/>
      <c r="J1273" s="78"/>
      <c r="K1273" s="78"/>
      <c r="L1273" s="78"/>
      <c r="M1273" s="78"/>
      <c r="N1273" s="78"/>
      <c r="O1273" s="78"/>
      <c r="P1273" s="78"/>
      <c r="Q1273" s="78"/>
      <c r="R1273" s="78"/>
      <c r="S1273" s="78"/>
      <c r="T1273" s="78"/>
      <c r="U1273" s="78"/>
      <c r="V1273" s="78"/>
      <c r="W1273" s="78"/>
      <c r="X1273" s="78"/>
      <c r="Y1273" s="78"/>
      <c r="Z1273" s="78"/>
    </row>
    <row r="1274">
      <c r="A1274" s="78">
        <v>328.0</v>
      </c>
      <c r="B1274" s="78"/>
      <c r="C1274" s="138"/>
      <c r="D1274" s="78"/>
      <c r="E1274" s="139" t="str">
        <f t="array" ref="E1274">IF(
UPPER(TRIM(CLEAN($O1274)))="ENTREGADO",
IFERROR(
INDEX(REPORTE_DROPI!Y:Y,
MATCH($T1274, REPORTE_DROPI!B:B, 0)
),
""
),
""
)
</f>
        <v/>
      </c>
      <c r="F1274" s="78"/>
      <c r="G1274" s="78"/>
      <c r="H1274" s="78"/>
      <c r="I1274" s="78"/>
      <c r="J1274" s="78"/>
      <c r="K1274" s="78"/>
      <c r="L1274" s="78"/>
      <c r="M1274" s="78"/>
      <c r="N1274" s="78"/>
      <c r="O1274" s="78"/>
      <c r="P1274" s="78"/>
      <c r="Q1274" s="78"/>
      <c r="R1274" s="78"/>
      <c r="S1274" s="78"/>
      <c r="T1274" s="78"/>
      <c r="U1274" s="78"/>
      <c r="V1274" s="78"/>
      <c r="W1274" s="78"/>
      <c r="X1274" s="78"/>
      <c r="Y1274" s="78"/>
      <c r="Z1274" s="78"/>
    </row>
    <row r="1275">
      <c r="A1275" s="78">
        <v>329.0</v>
      </c>
      <c r="B1275" s="78"/>
      <c r="C1275" s="138"/>
      <c r="D1275" s="78"/>
      <c r="E1275" s="139" t="str">
        <f t="array" ref="E1275">IF(
UPPER(TRIM(CLEAN($O1275)))="ENTREGADO",
IFERROR(
INDEX(REPORTE_DROPI!Y:Y,
MATCH($T1275, REPORTE_DROPI!B:B, 0)
),
""
),
""
)
</f>
        <v/>
      </c>
      <c r="F1275" s="78"/>
      <c r="G1275" s="78"/>
      <c r="H1275" s="78"/>
      <c r="I1275" s="78"/>
      <c r="J1275" s="78"/>
      <c r="K1275" s="78"/>
      <c r="L1275" s="78"/>
      <c r="M1275" s="78"/>
      <c r="N1275" s="78"/>
      <c r="O1275" s="78"/>
      <c r="P1275" s="78"/>
      <c r="Q1275" s="78"/>
      <c r="R1275" s="78"/>
      <c r="S1275" s="78"/>
      <c r="T1275" s="78"/>
      <c r="U1275" s="78"/>
      <c r="V1275" s="78"/>
      <c r="W1275" s="78"/>
      <c r="X1275" s="78"/>
      <c r="Y1275" s="78"/>
      <c r="Z1275" s="78"/>
    </row>
    <row r="1276">
      <c r="A1276" s="78">
        <v>330.0</v>
      </c>
      <c r="B1276" s="78"/>
      <c r="C1276" s="138"/>
      <c r="D1276" s="78"/>
      <c r="E1276" s="139" t="str">
        <f t="array" ref="E1276">IF(
UPPER(TRIM(CLEAN($O1276)))="ENTREGADO",
IFERROR(
INDEX(REPORTE_DROPI!Y:Y,
MATCH($T1276, REPORTE_DROPI!B:B, 0)
),
""
),
""
)
</f>
        <v/>
      </c>
      <c r="F1276" s="78"/>
      <c r="G1276" s="78"/>
      <c r="H1276" s="78"/>
      <c r="I1276" s="78"/>
      <c r="J1276" s="78"/>
      <c r="K1276" s="78"/>
      <c r="L1276" s="78"/>
      <c r="M1276" s="78"/>
      <c r="N1276" s="78"/>
      <c r="O1276" s="78"/>
      <c r="P1276" s="78"/>
      <c r="Q1276" s="78"/>
      <c r="R1276" s="78"/>
      <c r="S1276" s="78"/>
      <c r="T1276" s="78"/>
      <c r="U1276" s="78"/>
      <c r="V1276" s="78"/>
      <c r="W1276" s="78"/>
      <c r="X1276" s="78"/>
      <c r="Y1276" s="78"/>
      <c r="Z1276" s="78"/>
    </row>
    <row r="1277">
      <c r="A1277" s="78">
        <v>331.0</v>
      </c>
      <c r="B1277" s="78"/>
      <c r="C1277" s="138"/>
      <c r="D1277" s="78"/>
      <c r="E1277" s="139" t="str">
        <f t="array" ref="E1277">IF(
UPPER(TRIM(CLEAN($O1277)))="ENTREGADO",
IFERROR(
INDEX(REPORTE_DROPI!Y:Y,
MATCH($T1277, REPORTE_DROPI!B:B, 0)
),
""
),
""
)
</f>
        <v/>
      </c>
      <c r="F1277" s="78"/>
      <c r="G1277" s="78"/>
      <c r="H1277" s="78"/>
      <c r="I1277" s="78"/>
      <c r="J1277" s="78"/>
      <c r="K1277" s="78"/>
      <c r="L1277" s="78"/>
      <c r="M1277" s="78"/>
      <c r="N1277" s="78"/>
      <c r="O1277" s="78"/>
      <c r="P1277" s="78"/>
      <c r="Q1277" s="78"/>
      <c r="R1277" s="78"/>
      <c r="S1277" s="78"/>
      <c r="T1277" s="78"/>
      <c r="U1277" s="78"/>
      <c r="V1277" s="78"/>
      <c r="W1277" s="78"/>
      <c r="X1277" s="78"/>
      <c r="Y1277" s="78"/>
      <c r="Z1277" s="78"/>
    </row>
    <row r="1278">
      <c r="A1278" s="78">
        <v>332.0</v>
      </c>
      <c r="B1278" s="78"/>
      <c r="C1278" s="138"/>
      <c r="D1278" s="78"/>
      <c r="E1278" s="139" t="str">
        <f t="array" ref="E1278">IF(
UPPER(TRIM(CLEAN($O1278)))="ENTREGADO",
IFERROR(
INDEX(REPORTE_DROPI!Y:Y,
MATCH($T1278, REPORTE_DROPI!B:B, 0)
),
""
),
""
)
</f>
        <v/>
      </c>
      <c r="F1278" s="78"/>
      <c r="G1278" s="78"/>
      <c r="H1278" s="78"/>
      <c r="I1278" s="78"/>
      <c r="J1278" s="78"/>
      <c r="K1278" s="78"/>
      <c r="L1278" s="78"/>
      <c r="M1278" s="78"/>
      <c r="N1278" s="78"/>
      <c r="O1278" s="78"/>
      <c r="P1278" s="78"/>
      <c r="Q1278" s="78"/>
      <c r="R1278" s="78"/>
      <c r="S1278" s="78"/>
      <c r="T1278" s="78"/>
      <c r="U1278" s="78"/>
      <c r="V1278" s="78"/>
      <c r="W1278" s="78"/>
      <c r="X1278" s="78"/>
      <c r="Y1278" s="78"/>
      <c r="Z1278" s="78"/>
    </row>
    <row r="1279">
      <c r="A1279" s="78">
        <v>333.0</v>
      </c>
      <c r="B1279" s="78"/>
      <c r="C1279" s="138"/>
      <c r="D1279" s="78"/>
      <c r="E1279" s="139" t="str">
        <f t="array" ref="E1279">IF(
UPPER(TRIM(CLEAN($O1279)))="ENTREGADO",
IFERROR(
INDEX(REPORTE_DROPI!Y:Y,
MATCH($T1279, REPORTE_DROPI!B:B, 0)
),
""
),
""
)
</f>
        <v/>
      </c>
      <c r="F1279" s="78"/>
      <c r="G1279" s="78"/>
      <c r="H1279" s="78"/>
      <c r="I1279" s="78"/>
      <c r="J1279" s="78"/>
      <c r="K1279" s="78"/>
      <c r="L1279" s="78"/>
      <c r="M1279" s="78"/>
      <c r="N1279" s="78"/>
      <c r="O1279" s="78"/>
      <c r="P1279" s="78"/>
      <c r="Q1279" s="78"/>
      <c r="R1279" s="78"/>
      <c r="S1279" s="78"/>
      <c r="T1279" s="78"/>
      <c r="U1279" s="78"/>
      <c r="V1279" s="78"/>
      <c r="W1279" s="78"/>
      <c r="X1279" s="78"/>
      <c r="Y1279" s="78"/>
      <c r="Z1279" s="78"/>
    </row>
    <row r="1280">
      <c r="A1280" s="78">
        <v>334.0</v>
      </c>
      <c r="B1280" s="78"/>
      <c r="C1280" s="138"/>
      <c r="D1280" s="78"/>
      <c r="E1280" s="139" t="str">
        <f t="array" ref="E1280">IF(
UPPER(TRIM(CLEAN($O1280)))="ENTREGADO",
IFERROR(
INDEX(REPORTE_DROPI!Y:Y,
MATCH($T1280, REPORTE_DROPI!B:B, 0)
),
""
),
""
)
</f>
        <v/>
      </c>
      <c r="F1280" s="78"/>
      <c r="G1280" s="78"/>
      <c r="H1280" s="78"/>
      <c r="I1280" s="78"/>
      <c r="J1280" s="78"/>
      <c r="K1280" s="78"/>
      <c r="L1280" s="78"/>
      <c r="M1280" s="78"/>
      <c r="N1280" s="78"/>
      <c r="O1280" s="78"/>
      <c r="P1280" s="78"/>
      <c r="Q1280" s="78"/>
      <c r="R1280" s="78"/>
      <c r="S1280" s="78"/>
      <c r="T1280" s="78"/>
      <c r="U1280" s="78"/>
      <c r="V1280" s="78"/>
      <c r="W1280" s="78"/>
      <c r="X1280" s="78"/>
      <c r="Y1280" s="78"/>
      <c r="Z1280" s="78"/>
    </row>
    <row r="1281">
      <c r="A1281" s="78">
        <v>335.0</v>
      </c>
      <c r="B1281" s="78"/>
      <c r="C1281" s="138"/>
      <c r="D1281" s="78"/>
      <c r="E1281" s="139" t="str">
        <f t="array" ref="E1281">IF(
UPPER(TRIM(CLEAN($O1281)))="ENTREGADO",
IFERROR(
INDEX(REPORTE_DROPI!Y:Y,
MATCH($T1281, REPORTE_DROPI!B:B, 0)
),
""
),
""
)
</f>
        <v/>
      </c>
      <c r="F1281" s="78"/>
      <c r="G1281" s="78"/>
      <c r="H1281" s="78"/>
      <c r="I1281" s="78"/>
      <c r="J1281" s="78"/>
      <c r="K1281" s="78"/>
      <c r="L1281" s="78"/>
      <c r="M1281" s="78"/>
      <c r="N1281" s="78"/>
      <c r="O1281" s="78"/>
      <c r="P1281" s="78"/>
      <c r="Q1281" s="78"/>
      <c r="R1281" s="78"/>
      <c r="S1281" s="78"/>
      <c r="T1281" s="78"/>
      <c r="U1281" s="78"/>
      <c r="V1281" s="78"/>
      <c r="W1281" s="78"/>
      <c r="X1281" s="78"/>
      <c r="Y1281" s="78"/>
      <c r="Z1281" s="78"/>
    </row>
    <row r="1282">
      <c r="A1282" s="78">
        <v>336.0</v>
      </c>
      <c r="B1282" s="78"/>
      <c r="C1282" s="138"/>
      <c r="D1282" s="78"/>
      <c r="E1282" s="139" t="str">
        <f t="array" ref="E1282">IF(
UPPER(TRIM(CLEAN($O1282)))="ENTREGADO",
IFERROR(
INDEX(REPORTE_DROPI!Y:Y,
MATCH($T1282, REPORTE_DROPI!B:B, 0)
),
""
),
""
)
</f>
        <v/>
      </c>
      <c r="F1282" s="78"/>
      <c r="G1282" s="78"/>
      <c r="H1282" s="78"/>
      <c r="I1282" s="78"/>
      <c r="J1282" s="78"/>
      <c r="K1282" s="78"/>
      <c r="L1282" s="78"/>
      <c r="M1282" s="78"/>
      <c r="N1282" s="78"/>
      <c r="O1282" s="78"/>
      <c r="P1282" s="78"/>
      <c r="Q1282" s="78"/>
      <c r="R1282" s="78"/>
      <c r="S1282" s="78"/>
      <c r="T1282" s="78"/>
      <c r="U1282" s="78"/>
      <c r="V1282" s="78"/>
      <c r="W1282" s="78"/>
      <c r="X1282" s="78"/>
      <c r="Y1282" s="78"/>
      <c r="Z1282" s="78"/>
    </row>
    <row r="1283">
      <c r="A1283" s="78">
        <v>337.0</v>
      </c>
      <c r="B1283" s="78"/>
      <c r="C1283" s="138"/>
      <c r="D1283" s="78"/>
      <c r="E1283" s="139" t="str">
        <f t="array" ref="E1283">IF(
UPPER(TRIM(CLEAN($O1283)))="ENTREGADO",
IFERROR(
INDEX(REPORTE_DROPI!Y:Y,
MATCH($T1283, REPORTE_DROPI!B:B, 0)
),
""
),
""
)
</f>
        <v/>
      </c>
      <c r="F1283" s="78"/>
      <c r="G1283" s="78"/>
      <c r="H1283" s="78"/>
      <c r="I1283" s="78"/>
      <c r="J1283" s="78"/>
      <c r="K1283" s="78"/>
      <c r="L1283" s="78"/>
      <c r="M1283" s="78"/>
      <c r="N1283" s="78"/>
      <c r="O1283" s="78"/>
      <c r="P1283" s="78"/>
      <c r="Q1283" s="78"/>
      <c r="R1283" s="78"/>
      <c r="S1283" s="78"/>
      <c r="T1283" s="78"/>
      <c r="U1283" s="78"/>
      <c r="V1283" s="78"/>
      <c r="W1283" s="78"/>
      <c r="X1283" s="78"/>
      <c r="Y1283" s="78"/>
      <c r="Z1283" s="78"/>
    </row>
    <row r="1284">
      <c r="A1284" s="78">
        <v>338.0</v>
      </c>
      <c r="B1284" s="78"/>
      <c r="C1284" s="138"/>
      <c r="D1284" s="78"/>
      <c r="E1284" s="139" t="str">
        <f t="array" ref="E1284">IF(
UPPER(TRIM(CLEAN($O1284)))="ENTREGADO",
IFERROR(
INDEX(REPORTE_DROPI!Y:Y,
MATCH($T1284, REPORTE_DROPI!B:B, 0)
),
""
),
""
)
</f>
        <v/>
      </c>
      <c r="F1284" s="78"/>
      <c r="G1284" s="78"/>
      <c r="H1284" s="78"/>
      <c r="I1284" s="78"/>
      <c r="J1284" s="78"/>
      <c r="K1284" s="78"/>
      <c r="L1284" s="78"/>
      <c r="M1284" s="78"/>
      <c r="N1284" s="78"/>
      <c r="O1284" s="78"/>
      <c r="P1284" s="78"/>
      <c r="Q1284" s="78"/>
      <c r="R1284" s="78"/>
      <c r="S1284" s="78"/>
      <c r="T1284" s="78"/>
      <c r="U1284" s="78"/>
      <c r="V1284" s="78"/>
      <c r="W1284" s="78"/>
      <c r="X1284" s="78"/>
      <c r="Y1284" s="78"/>
      <c r="Z1284" s="78"/>
    </row>
    <row r="1285">
      <c r="A1285" s="78">
        <v>339.0</v>
      </c>
      <c r="B1285" s="78"/>
      <c r="C1285" s="138"/>
      <c r="D1285" s="78"/>
      <c r="E1285" s="139" t="str">
        <f t="array" ref="E1285">IF(
UPPER(TRIM(CLEAN($O1285)))="ENTREGADO",
IFERROR(
INDEX(REPORTE_DROPI!Y:Y,
MATCH($T1285, REPORTE_DROPI!B:B, 0)
),
""
),
""
)
</f>
        <v/>
      </c>
      <c r="F1285" s="78"/>
      <c r="G1285" s="78"/>
      <c r="H1285" s="78"/>
      <c r="I1285" s="78"/>
      <c r="J1285" s="78"/>
      <c r="K1285" s="78"/>
      <c r="L1285" s="78"/>
      <c r="M1285" s="78"/>
      <c r="N1285" s="78"/>
      <c r="O1285" s="78"/>
      <c r="P1285" s="78"/>
      <c r="Q1285" s="78"/>
      <c r="R1285" s="78"/>
      <c r="S1285" s="78"/>
      <c r="T1285" s="78"/>
      <c r="U1285" s="78"/>
      <c r="V1285" s="78"/>
      <c r="W1285" s="78"/>
      <c r="X1285" s="78"/>
      <c r="Y1285" s="78"/>
      <c r="Z1285" s="78"/>
    </row>
    <row r="1286">
      <c r="A1286" s="78">
        <v>340.0</v>
      </c>
      <c r="B1286" s="78"/>
      <c r="C1286" s="138"/>
      <c r="D1286" s="78"/>
      <c r="E1286" s="139" t="str">
        <f t="array" ref="E1286">IF(
UPPER(TRIM(CLEAN($O1286)))="ENTREGADO",
IFERROR(
INDEX(REPORTE_DROPI!Y:Y,
MATCH($T1286, REPORTE_DROPI!B:B, 0)
),
""
),
""
)
</f>
        <v/>
      </c>
      <c r="F1286" s="78"/>
      <c r="G1286" s="78"/>
      <c r="H1286" s="78"/>
      <c r="I1286" s="78"/>
      <c r="J1286" s="78"/>
      <c r="K1286" s="78"/>
      <c r="L1286" s="78"/>
      <c r="M1286" s="78"/>
      <c r="N1286" s="78"/>
      <c r="O1286" s="78"/>
      <c r="P1286" s="78"/>
      <c r="Q1286" s="78"/>
      <c r="R1286" s="78"/>
      <c r="S1286" s="78"/>
      <c r="T1286" s="78"/>
      <c r="U1286" s="78"/>
      <c r="V1286" s="78"/>
      <c r="W1286" s="78"/>
      <c r="X1286" s="78"/>
      <c r="Y1286" s="78"/>
      <c r="Z1286" s="78"/>
    </row>
    <row r="1287">
      <c r="A1287" s="78">
        <v>341.0</v>
      </c>
      <c r="B1287" s="78"/>
      <c r="C1287" s="138"/>
      <c r="D1287" s="78"/>
      <c r="E1287" s="139" t="str">
        <f t="array" ref="E1287">IF(
UPPER(TRIM(CLEAN($O1287)))="ENTREGADO",
IFERROR(
INDEX(REPORTE_DROPI!Y:Y,
MATCH($T1287, REPORTE_DROPI!B:B, 0)
),
""
),
""
)
</f>
        <v/>
      </c>
      <c r="F1287" s="78"/>
      <c r="G1287" s="78"/>
      <c r="H1287" s="78"/>
      <c r="I1287" s="78"/>
      <c r="J1287" s="78"/>
      <c r="K1287" s="78"/>
      <c r="L1287" s="78"/>
      <c r="M1287" s="78"/>
      <c r="N1287" s="78"/>
      <c r="O1287" s="78"/>
      <c r="P1287" s="78"/>
      <c r="Q1287" s="78"/>
      <c r="R1287" s="78"/>
      <c r="S1287" s="78"/>
      <c r="T1287" s="78"/>
      <c r="U1287" s="78"/>
      <c r="V1287" s="78"/>
      <c r="W1287" s="78"/>
      <c r="X1287" s="78"/>
      <c r="Y1287" s="78"/>
      <c r="Z1287" s="78"/>
    </row>
    <row r="1288">
      <c r="A1288" s="78">
        <v>342.0</v>
      </c>
      <c r="B1288" s="78"/>
      <c r="C1288" s="138"/>
      <c r="D1288" s="78"/>
      <c r="E1288" s="139" t="str">
        <f t="array" ref="E1288">IF(
UPPER(TRIM(CLEAN($O1288)))="ENTREGADO",
IFERROR(
INDEX(REPORTE_DROPI!Y:Y,
MATCH($T1288, REPORTE_DROPI!B:B, 0)
),
""
),
""
)
</f>
        <v/>
      </c>
      <c r="F1288" s="78"/>
      <c r="G1288" s="78"/>
      <c r="H1288" s="78"/>
      <c r="I1288" s="78"/>
      <c r="J1288" s="78"/>
      <c r="K1288" s="78"/>
      <c r="L1288" s="78"/>
      <c r="M1288" s="78"/>
      <c r="N1288" s="78"/>
      <c r="O1288" s="78"/>
      <c r="P1288" s="78"/>
      <c r="Q1288" s="78"/>
      <c r="R1288" s="78"/>
      <c r="S1288" s="78"/>
      <c r="T1288" s="78"/>
      <c r="U1288" s="78"/>
      <c r="V1288" s="78"/>
      <c r="W1288" s="78"/>
      <c r="X1288" s="78"/>
      <c r="Y1288" s="78"/>
      <c r="Z1288" s="78"/>
    </row>
    <row r="1289">
      <c r="A1289" s="78">
        <v>343.0</v>
      </c>
      <c r="B1289" s="78"/>
      <c r="C1289" s="138"/>
      <c r="D1289" s="78"/>
      <c r="E1289" s="139" t="str">
        <f t="array" ref="E1289">IF(
UPPER(TRIM(CLEAN($O1289)))="ENTREGADO",
IFERROR(
INDEX(REPORTE_DROPI!Y:Y,
MATCH($T1289, REPORTE_DROPI!B:B, 0)
),
""
),
""
)
</f>
        <v/>
      </c>
      <c r="F1289" s="78"/>
      <c r="G1289" s="78"/>
      <c r="H1289" s="78"/>
      <c r="I1289" s="78"/>
      <c r="J1289" s="78"/>
      <c r="K1289" s="78"/>
      <c r="L1289" s="78"/>
      <c r="M1289" s="78"/>
      <c r="N1289" s="78"/>
      <c r="O1289" s="78"/>
      <c r="P1289" s="78"/>
      <c r="Q1289" s="78"/>
      <c r="R1289" s="78"/>
      <c r="S1289" s="78"/>
      <c r="T1289" s="78"/>
      <c r="U1289" s="78"/>
      <c r="V1289" s="78"/>
      <c r="W1289" s="78"/>
      <c r="X1289" s="78"/>
      <c r="Y1289" s="78"/>
      <c r="Z1289" s="78"/>
    </row>
    <row r="1290">
      <c r="A1290" s="78">
        <v>344.0</v>
      </c>
      <c r="B1290" s="78"/>
      <c r="C1290" s="138"/>
      <c r="D1290" s="78"/>
      <c r="E1290" s="139" t="str">
        <f t="array" ref="E1290">IF(
UPPER(TRIM(CLEAN($O1290)))="ENTREGADO",
IFERROR(
INDEX(REPORTE_DROPI!Y:Y,
MATCH($T1290, REPORTE_DROPI!B:B, 0)
),
""
),
""
)
</f>
        <v/>
      </c>
      <c r="F1290" s="78"/>
      <c r="G1290" s="78"/>
      <c r="H1290" s="78"/>
      <c r="I1290" s="78"/>
      <c r="J1290" s="78"/>
      <c r="K1290" s="78"/>
      <c r="L1290" s="78"/>
      <c r="M1290" s="78"/>
      <c r="N1290" s="78"/>
      <c r="O1290" s="78"/>
      <c r="P1290" s="78"/>
      <c r="Q1290" s="78"/>
      <c r="R1290" s="78"/>
      <c r="S1290" s="78"/>
      <c r="T1290" s="78"/>
      <c r="U1290" s="78"/>
      <c r="V1290" s="78"/>
      <c r="W1290" s="78"/>
      <c r="X1290" s="78"/>
      <c r="Y1290" s="78"/>
      <c r="Z1290" s="78"/>
    </row>
    <row r="1291">
      <c r="A1291" s="78">
        <v>345.0</v>
      </c>
      <c r="B1291" s="78"/>
      <c r="C1291" s="138"/>
      <c r="D1291" s="78"/>
      <c r="E1291" s="139" t="str">
        <f t="array" ref="E1291">IF(
UPPER(TRIM(CLEAN($O1291)))="ENTREGADO",
IFERROR(
INDEX(REPORTE_DROPI!Y:Y,
MATCH($T1291, REPORTE_DROPI!B:B, 0)
),
""
),
""
)
</f>
        <v/>
      </c>
      <c r="F1291" s="78"/>
      <c r="G1291" s="78"/>
      <c r="H1291" s="78"/>
      <c r="I1291" s="78"/>
      <c r="J1291" s="78"/>
      <c r="K1291" s="78"/>
      <c r="L1291" s="78"/>
      <c r="M1291" s="78"/>
      <c r="N1291" s="78"/>
      <c r="O1291" s="78"/>
      <c r="P1291" s="78"/>
      <c r="Q1291" s="78"/>
      <c r="R1291" s="78"/>
      <c r="S1291" s="78"/>
      <c r="T1291" s="78"/>
      <c r="U1291" s="78"/>
      <c r="V1291" s="78"/>
      <c r="W1291" s="78"/>
      <c r="X1291" s="78"/>
      <c r="Y1291" s="78"/>
      <c r="Z1291" s="78"/>
    </row>
    <row r="1292">
      <c r="A1292" s="78">
        <v>346.0</v>
      </c>
      <c r="B1292" s="78"/>
      <c r="C1292" s="138"/>
      <c r="D1292" s="78"/>
      <c r="E1292" s="139" t="str">
        <f t="array" ref="E1292">IF(
UPPER(TRIM(CLEAN($O1292)))="ENTREGADO",
IFERROR(
INDEX(REPORTE_DROPI!Y:Y,
MATCH($T1292, REPORTE_DROPI!B:B, 0)
),
""
),
""
)
</f>
        <v/>
      </c>
      <c r="F1292" s="78"/>
      <c r="G1292" s="78"/>
      <c r="H1292" s="78"/>
      <c r="I1292" s="78"/>
      <c r="J1292" s="78"/>
      <c r="K1292" s="78"/>
      <c r="L1292" s="78"/>
      <c r="M1292" s="78"/>
      <c r="N1292" s="78"/>
      <c r="O1292" s="78"/>
      <c r="P1292" s="78"/>
      <c r="Q1292" s="78"/>
      <c r="R1292" s="78"/>
      <c r="S1292" s="78"/>
      <c r="T1292" s="78"/>
      <c r="U1292" s="78"/>
      <c r="V1292" s="78"/>
      <c r="W1292" s="78"/>
      <c r="X1292" s="78"/>
      <c r="Y1292" s="78"/>
      <c r="Z1292" s="78"/>
    </row>
    <row r="1293">
      <c r="A1293" s="78">
        <v>347.0</v>
      </c>
      <c r="B1293" s="78"/>
      <c r="C1293" s="138"/>
      <c r="D1293" s="78"/>
      <c r="E1293" s="139" t="str">
        <f t="array" ref="E1293">IF(
UPPER(TRIM(CLEAN($O1293)))="ENTREGADO",
IFERROR(
INDEX(REPORTE_DROPI!Y:Y,
MATCH($T1293, REPORTE_DROPI!B:B, 0)
),
""
),
""
)
</f>
        <v/>
      </c>
      <c r="F1293" s="78"/>
      <c r="G1293" s="78"/>
      <c r="H1293" s="78"/>
      <c r="I1293" s="78"/>
      <c r="J1293" s="78"/>
      <c r="K1293" s="78"/>
      <c r="L1293" s="78"/>
      <c r="M1293" s="78"/>
      <c r="N1293" s="78"/>
      <c r="O1293" s="78"/>
      <c r="P1293" s="78"/>
      <c r="Q1293" s="78"/>
      <c r="R1293" s="78"/>
      <c r="S1293" s="78"/>
      <c r="T1293" s="78"/>
      <c r="U1293" s="78"/>
      <c r="V1293" s="78"/>
      <c r="W1293" s="78"/>
      <c r="X1293" s="78"/>
      <c r="Y1293" s="78"/>
      <c r="Z1293" s="78"/>
    </row>
    <row r="1294">
      <c r="A1294" s="78">
        <v>348.0</v>
      </c>
      <c r="B1294" s="78"/>
      <c r="C1294" s="138"/>
      <c r="D1294" s="78"/>
      <c r="E1294" s="139" t="str">
        <f t="array" ref="E1294">IF(
UPPER(TRIM(CLEAN($O1294)))="ENTREGADO",
IFERROR(
INDEX(REPORTE_DROPI!Y:Y,
MATCH($T1294, REPORTE_DROPI!B:B, 0)
),
""
),
""
)
</f>
        <v/>
      </c>
      <c r="F1294" s="78"/>
      <c r="G1294" s="78"/>
      <c r="H1294" s="78"/>
      <c r="I1294" s="78"/>
      <c r="J1294" s="78"/>
      <c r="K1294" s="78"/>
      <c r="L1294" s="78"/>
      <c r="M1294" s="78"/>
      <c r="N1294" s="78"/>
      <c r="O1294" s="78"/>
      <c r="P1294" s="78"/>
      <c r="Q1294" s="78"/>
      <c r="R1294" s="78"/>
      <c r="S1294" s="78"/>
      <c r="T1294" s="78"/>
      <c r="U1294" s="78"/>
      <c r="V1294" s="78"/>
      <c r="W1294" s="78"/>
      <c r="X1294" s="78"/>
      <c r="Y1294" s="78"/>
      <c r="Z1294" s="78"/>
    </row>
    <row r="1295">
      <c r="A1295" s="78">
        <v>349.0</v>
      </c>
      <c r="B1295" s="78"/>
      <c r="C1295" s="138"/>
      <c r="D1295" s="78"/>
      <c r="E1295" s="139" t="str">
        <f t="array" ref="E1295">IF(
UPPER(TRIM(CLEAN($O1295)))="ENTREGADO",
IFERROR(
INDEX(REPORTE_DROPI!Y:Y,
MATCH($T1295, REPORTE_DROPI!B:B, 0)
),
""
),
""
)
</f>
        <v/>
      </c>
      <c r="F1295" s="78"/>
      <c r="G1295" s="78"/>
      <c r="H1295" s="78"/>
      <c r="I1295" s="78"/>
      <c r="J1295" s="78"/>
      <c r="K1295" s="78"/>
      <c r="L1295" s="78"/>
      <c r="M1295" s="78"/>
      <c r="N1295" s="78"/>
      <c r="O1295" s="78"/>
      <c r="P1295" s="78"/>
      <c r="Q1295" s="78"/>
      <c r="R1295" s="78"/>
      <c r="S1295" s="78"/>
      <c r="T1295" s="78"/>
      <c r="U1295" s="78"/>
      <c r="V1295" s="78"/>
      <c r="W1295" s="78"/>
      <c r="X1295" s="78"/>
      <c r="Y1295" s="78"/>
      <c r="Z1295" s="78"/>
    </row>
    <row r="1296">
      <c r="A1296" s="78">
        <v>350.0</v>
      </c>
      <c r="B1296" s="78"/>
      <c r="C1296" s="138"/>
      <c r="D1296" s="78"/>
      <c r="E1296" s="139" t="str">
        <f t="array" ref="E1296">IF(
UPPER(TRIM(CLEAN($O1296)))="ENTREGADO",
IFERROR(
INDEX(REPORTE_DROPI!Y:Y,
MATCH($T1296, REPORTE_DROPI!B:B, 0)
),
""
),
""
)
</f>
        <v/>
      </c>
      <c r="F1296" s="78"/>
      <c r="G1296" s="78"/>
      <c r="H1296" s="78"/>
      <c r="I1296" s="78"/>
      <c r="J1296" s="78"/>
      <c r="K1296" s="78"/>
      <c r="L1296" s="78"/>
      <c r="M1296" s="78"/>
      <c r="N1296" s="78"/>
      <c r="O1296" s="78"/>
      <c r="P1296" s="78"/>
      <c r="Q1296" s="78"/>
      <c r="R1296" s="78"/>
      <c r="S1296" s="78"/>
      <c r="T1296" s="78"/>
      <c r="U1296" s="78"/>
      <c r="V1296" s="78"/>
      <c r="W1296" s="78"/>
      <c r="X1296" s="78"/>
      <c r="Y1296" s="78"/>
      <c r="Z1296" s="78"/>
    </row>
    <row r="1297">
      <c r="A1297" s="78">
        <v>351.0</v>
      </c>
      <c r="B1297" s="78"/>
      <c r="C1297" s="138"/>
      <c r="D1297" s="78"/>
      <c r="E1297" s="139" t="str">
        <f t="array" ref="E1297">IF(
UPPER(TRIM(CLEAN($O1297)))="ENTREGADO",
IFERROR(
INDEX(REPORTE_DROPI!Y:Y,
MATCH($T1297, REPORTE_DROPI!B:B, 0)
),
""
),
""
)
</f>
        <v/>
      </c>
      <c r="F1297" s="78"/>
      <c r="G1297" s="78"/>
      <c r="H1297" s="78"/>
      <c r="I1297" s="78"/>
      <c r="J1297" s="78"/>
      <c r="K1297" s="78"/>
      <c r="L1297" s="78"/>
      <c r="M1297" s="78"/>
      <c r="N1297" s="78"/>
      <c r="O1297" s="78"/>
      <c r="P1297" s="78"/>
      <c r="Q1297" s="78"/>
      <c r="R1297" s="78"/>
      <c r="S1297" s="78"/>
      <c r="T1297" s="78"/>
      <c r="U1297" s="78"/>
      <c r="V1297" s="78"/>
      <c r="W1297" s="78"/>
      <c r="X1297" s="78"/>
      <c r="Y1297" s="78"/>
      <c r="Z1297" s="78"/>
    </row>
    <row r="1298">
      <c r="A1298" s="78">
        <v>352.0</v>
      </c>
      <c r="B1298" s="78"/>
      <c r="C1298" s="138"/>
      <c r="D1298" s="78"/>
      <c r="E1298" s="139" t="str">
        <f t="array" ref="E1298">IF(
UPPER(TRIM(CLEAN($O1298)))="ENTREGADO",
IFERROR(
INDEX(REPORTE_DROPI!Y:Y,
MATCH($T1298, REPORTE_DROPI!B:B, 0)
),
""
),
""
)
</f>
        <v/>
      </c>
      <c r="F1298" s="78"/>
      <c r="G1298" s="78"/>
      <c r="H1298" s="78"/>
      <c r="I1298" s="78"/>
      <c r="J1298" s="78"/>
      <c r="K1298" s="78"/>
      <c r="L1298" s="78"/>
      <c r="M1298" s="78"/>
      <c r="N1298" s="78"/>
      <c r="O1298" s="78"/>
      <c r="P1298" s="78"/>
      <c r="Q1298" s="78"/>
      <c r="R1298" s="78"/>
      <c r="S1298" s="78"/>
      <c r="T1298" s="78"/>
      <c r="U1298" s="78"/>
      <c r="V1298" s="78"/>
      <c r="W1298" s="78"/>
      <c r="X1298" s="78"/>
      <c r="Y1298" s="78"/>
      <c r="Z1298" s="78"/>
    </row>
    <row r="1299">
      <c r="A1299" s="78">
        <v>353.0</v>
      </c>
      <c r="B1299" s="78"/>
      <c r="C1299" s="138"/>
      <c r="D1299" s="78"/>
      <c r="E1299" s="139" t="str">
        <f t="array" ref="E1299">IF(
UPPER(TRIM(CLEAN($O1299)))="ENTREGADO",
IFERROR(
INDEX(REPORTE_DROPI!Y:Y,
MATCH($T1299, REPORTE_DROPI!B:B, 0)
),
""
),
""
)
</f>
        <v/>
      </c>
      <c r="F1299" s="78"/>
      <c r="G1299" s="78"/>
      <c r="H1299" s="78"/>
      <c r="I1299" s="78"/>
      <c r="J1299" s="78"/>
      <c r="K1299" s="78"/>
      <c r="L1299" s="78"/>
      <c r="M1299" s="78"/>
      <c r="N1299" s="78"/>
      <c r="O1299" s="78"/>
      <c r="P1299" s="78"/>
      <c r="Q1299" s="78"/>
      <c r="R1299" s="78"/>
      <c r="S1299" s="78"/>
      <c r="T1299" s="78"/>
      <c r="U1299" s="78"/>
      <c r="V1299" s="78"/>
      <c r="W1299" s="78"/>
      <c r="X1299" s="78"/>
      <c r="Y1299" s="78"/>
      <c r="Z1299" s="78"/>
    </row>
    <row r="1300">
      <c r="A1300" s="78">
        <v>354.0</v>
      </c>
      <c r="B1300" s="78"/>
      <c r="C1300" s="138"/>
      <c r="D1300" s="78"/>
      <c r="E1300" s="139" t="str">
        <f t="array" ref="E1300">IF(
UPPER(TRIM(CLEAN($O1300)))="ENTREGADO",
IFERROR(
INDEX(REPORTE_DROPI!Y:Y,
MATCH($T1300, REPORTE_DROPI!B:B, 0)
),
""
),
""
)
</f>
        <v/>
      </c>
      <c r="F1300" s="78"/>
      <c r="G1300" s="78"/>
      <c r="H1300" s="78"/>
      <c r="I1300" s="78"/>
      <c r="J1300" s="78"/>
      <c r="K1300" s="78"/>
      <c r="L1300" s="78"/>
      <c r="M1300" s="78"/>
      <c r="N1300" s="78"/>
      <c r="O1300" s="78"/>
      <c r="P1300" s="78"/>
      <c r="Q1300" s="78"/>
      <c r="R1300" s="78"/>
      <c r="S1300" s="78"/>
      <c r="T1300" s="78"/>
      <c r="U1300" s="78"/>
      <c r="V1300" s="78"/>
      <c r="W1300" s="78"/>
      <c r="X1300" s="78"/>
      <c r="Y1300" s="78"/>
      <c r="Z1300" s="78"/>
    </row>
    <row r="1301">
      <c r="A1301" s="78">
        <v>355.0</v>
      </c>
      <c r="B1301" s="78"/>
      <c r="C1301" s="138"/>
      <c r="D1301" s="78"/>
      <c r="E1301" s="139" t="str">
        <f t="array" ref="E1301">IF(
UPPER(TRIM(CLEAN($O1301)))="ENTREGADO",
IFERROR(
INDEX(REPORTE_DROPI!Y:Y,
MATCH($T1301, REPORTE_DROPI!B:B, 0)
),
""
),
""
)
</f>
        <v/>
      </c>
      <c r="F1301" s="78"/>
      <c r="G1301" s="78"/>
      <c r="H1301" s="78"/>
      <c r="I1301" s="78"/>
      <c r="J1301" s="78"/>
      <c r="K1301" s="78"/>
      <c r="L1301" s="78"/>
      <c r="M1301" s="78"/>
      <c r="N1301" s="78"/>
      <c r="O1301" s="78"/>
      <c r="P1301" s="78"/>
      <c r="Q1301" s="78"/>
      <c r="R1301" s="78"/>
      <c r="S1301" s="78"/>
      <c r="T1301" s="78"/>
      <c r="U1301" s="78"/>
      <c r="V1301" s="78"/>
      <c r="W1301" s="78"/>
      <c r="X1301" s="78"/>
      <c r="Y1301" s="78"/>
      <c r="Z1301" s="78"/>
    </row>
    <row r="1302">
      <c r="A1302" s="78">
        <v>356.0</v>
      </c>
      <c r="B1302" s="78"/>
      <c r="C1302" s="138"/>
      <c r="D1302" s="78"/>
      <c r="E1302" s="139" t="str">
        <f t="array" ref="E1302">IF(
UPPER(TRIM(CLEAN($O1302)))="ENTREGADO",
IFERROR(
INDEX(REPORTE_DROPI!Y:Y,
MATCH($T1302, REPORTE_DROPI!B:B, 0)
),
""
),
""
)
</f>
        <v/>
      </c>
      <c r="F1302" s="78"/>
      <c r="G1302" s="78"/>
      <c r="H1302" s="78"/>
      <c r="I1302" s="78"/>
      <c r="J1302" s="78"/>
      <c r="K1302" s="78"/>
      <c r="L1302" s="78"/>
      <c r="M1302" s="78"/>
      <c r="N1302" s="78"/>
      <c r="O1302" s="78"/>
      <c r="P1302" s="78"/>
      <c r="Q1302" s="78"/>
      <c r="R1302" s="78"/>
      <c r="S1302" s="78"/>
      <c r="T1302" s="78"/>
      <c r="U1302" s="78"/>
      <c r="V1302" s="78"/>
      <c r="W1302" s="78"/>
      <c r="X1302" s="78"/>
      <c r="Y1302" s="78"/>
      <c r="Z1302" s="78"/>
    </row>
    <row r="1303">
      <c r="A1303" s="78">
        <v>357.0</v>
      </c>
      <c r="B1303" s="78"/>
      <c r="C1303" s="138"/>
      <c r="D1303" s="78"/>
      <c r="E1303" s="139" t="str">
        <f t="array" ref="E1303">IF(
UPPER(TRIM(CLEAN($O1303)))="ENTREGADO",
IFERROR(
INDEX(REPORTE_DROPI!Y:Y,
MATCH($T1303, REPORTE_DROPI!B:B, 0)
),
""
),
""
)
</f>
        <v/>
      </c>
      <c r="F1303" s="78"/>
      <c r="G1303" s="78"/>
      <c r="H1303" s="78"/>
      <c r="I1303" s="78"/>
      <c r="J1303" s="78"/>
      <c r="K1303" s="78"/>
      <c r="L1303" s="78"/>
      <c r="M1303" s="78"/>
      <c r="N1303" s="78"/>
      <c r="O1303" s="78"/>
      <c r="P1303" s="78"/>
      <c r="Q1303" s="78"/>
      <c r="R1303" s="78"/>
      <c r="S1303" s="78"/>
      <c r="T1303" s="78"/>
      <c r="U1303" s="78"/>
      <c r="V1303" s="78"/>
      <c r="W1303" s="78"/>
      <c r="X1303" s="78"/>
      <c r="Y1303" s="78"/>
      <c r="Z1303" s="78"/>
    </row>
    <row r="1304">
      <c r="A1304" s="78">
        <v>358.0</v>
      </c>
      <c r="B1304" s="78"/>
      <c r="C1304" s="138"/>
      <c r="D1304" s="78"/>
      <c r="E1304" s="139" t="str">
        <f t="array" ref="E1304">IF(
UPPER(TRIM(CLEAN($O1304)))="ENTREGADO",
IFERROR(
INDEX(REPORTE_DROPI!Y:Y,
MATCH($T1304, REPORTE_DROPI!B:B, 0)
),
""
),
""
)
</f>
        <v/>
      </c>
      <c r="F1304" s="78"/>
      <c r="G1304" s="78"/>
      <c r="H1304" s="78"/>
      <c r="I1304" s="78"/>
      <c r="J1304" s="78"/>
      <c r="K1304" s="78"/>
      <c r="L1304" s="78"/>
      <c r="M1304" s="78"/>
      <c r="N1304" s="78"/>
      <c r="O1304" s="78"/>
      <c r="P1304" s="78"/>
      <c r="Q1304" s="78"/>
      <c r="R1304" s="78"/>
      <c r="S1304" s="78"/>
      <c r="T1304" s="78"/>
      <c r="U1304" s="78"/>
      <c r="V1304" s="78"/>
      <c r="W1304" s="78"/>
      <c r="X1304" s="78"/>
      <c r="Y1304" s="78"/>
      <c r="Z1304" s="78"/>
    </row>
    <row r="1305">
      <c r="A1305" s="78">
        <v>359.0</v>
      </c>
      <c r="B1305" s="78"/>
      <c r="C1305" s="138"/>
      <c r="D1305" s="78"/>
      <c r="E1305" s="139" t="str">
        <f t="array" ref="E1305">IF(
UPPER(TRIM(CLEAN($O1305)))="ENTREGADO",
IFERROR(
INDEX(REPORTE_DROPI!Y:Y,
MATCH($T1305, REPORTE_DROPI!B:B, 0)
),
""
),
""
)
</f>
        <v/>
      </c>
      <c r="F1305" s="78"/>
      <c r="G1305" s="78"/>
      <c r="H1305" s="78"/>
      <c r="I1305" s="78"/>
      <c r="J1305" s="78"/>
      <c r="K1305" s="78"/>
      <c r="L1305" s="78"/>
      <c r="M1305" s="78"/>
      <c r="N1305" s="78"/>
      <c r="O1305" s="78"/>
      <c r="P1305" s="78"/>
      <c r="Q1305" s="78"/>
      <c r="R1305" s="78"/>
      <c r="S1305" s="78"/>
      <c r="T1305" s="78"/>
      <c r="U1305" s="78"/>
      <c r="V1305" s="78"/>
      <c r="W1305" s="78"/>
      <c r="X1305" s="78"/>
      <c r="Y1305" s="78"/>
      <c r="Z1305" s="78"/>
    </row>
    <row r="1306">
      <c r="A1306" s="78">
        <v>360.0</v>
      </c>
      <c r="B1306" s="78"/>
      <c r="C1306" s="138"/>
      <c r="D1306" s="78"/>
      <c r="E1306" s="139" t="str">
        <f t="array" ref="E1306">IF(
UPPER(TRIM(CLEAN($O1306)))="ENTREGADO",
IFERROR(
INDEX(REPORTE_DROPI!Y:Y,
MATCH($T1306, REPORTE_DROPI!B:B, 0)
),
""
),
""
)
</f>
        <v/>
      </c>
      <c r="F1306" s="78"/>
      <c r="G1306" s="78"/>
      <c r="H1306" s="78"/>
      <c r="I1306" s="78"/>
      <c r="J1306" s="78"/>
      <c r="K1306" s="78"/>
      <c r="L1306" s="78"/>
      <c r="M1306" s="78"/>
      <c r="N1306" s="78"/>
      <c r="O1306" s="78"/>
      <c r="P1306" s="78"/>
      <c r="Q1306" s="78"/>
      <c r="R1306" s="78"/>
      <c r="S1306" s="78"/>
      <c r="T1306" s="78"/>
      <c r="U1306" s="78"/>
      <c r="V1306" s="78"/>
      <c r="W1306" s="78"/>
      <c r="X1306" s="78"/>
      <c r="Y1306" s="78"/>
      <c r="Z1306" s="78"/>
    </row>
    <row r="1307">
      <c r="A1307" s="78">
        <v>361.0</v>
      </c>
      <c r="B1307" s="78"/>
      <c r="C1307" s="138"/>
      <c r="D1307" s="78"/>
      <c r="E1307" s="139" t="str">
        <f t="array" ref="E1307">IF(
UPPER(TRIM(CLEAN($O1307)))="ENTREGADO",
IFERROR(
INDEX(REPORTE_DROPI!Y:Y,
MATCH($T1307, REPORTE_DROPI!B:B, 0)
),
""
),
""
)
</f>
        <v/>
      </c>
      <c r="F1307" s="78"/>
      <c r="G1307" s="78"/>
      <c r="H1307" s="78"/>
      <c r="I1307" s="78"/>
      <c r="J1307" s="78"/>
      <c r="K1307" s="78"/>
      <c r="L1307" s="78"/>
      <c r="M1307" s="78"/>
      <c r="N1307" s="78"/>
      <c r="O1307" s="78"/>
      <c r="P1307" s="78"/>
      <c r="Q1307" s="78"/>
      <c r="R1307" s="78"/>
      <c r="S1307" s="78"/>
      <c r="T1307" s="78"/>
      <c r="U1307" s="78"/>
      <c r="V1307" s="78"/>
      <c r="W1307" s="78"/>
      <c r="X1307" s="78"/>
      <c r="Y1307" s="78"/>
      <c r="Z1307" s="78"/>
    </row>
    <row r="1308">
      <c r="A1308" s="78">
        <v>362.0</v>
      </c>
      <c r="B1308" s="78"/>
      <c r="C1308" s="138"/>
      <c r="D1308" s="78"/>
      <c r="E1308" s="139" t="str">
        <f t="array" ref="E1308">IF(
UPPER(TRIM(CLEAN($O1308)))="ENTREGADO",
IFERROR(
INDEX(REPORTE_DROPI!Y:Y,
MATCH($T1308, REPORTE_DROPI!B:B, 0)
),
""
),
""
)
</f>
        <v/>
      </c>
      <c r="F1308" s="78"/>
      <c r="G1308" s="78"/>
      <c r="H1308" s="78"/>
      <c r="I1308" s="78"/>
      <c r="J1308" s="78"/>
      <c r="K1308" s="78"/>
      <c r="L1308" s="78"/>
      <c r="M1308" s="78"/>
      <c r="N1308" s="78"/>
      <c r="O1308" s="78"/>
      <c r="P1308" s="78"/>
      <c r="Q1308" s="78"/>
      <c r="R1308" s="78"/>
      <c r="S1308" s="78"/>
      <c r="T1308" s="78"/>
      <c r="U1308" s="78"/>
      <c r="V1308" s="78"/>
      <c r="W1308" s="78"/>
      <c r="X1308" s="78"/>
      <c r="Y1308" s="78"/>
      <c r="Z1308" s="78"/>
    </row>
    <row r="1309">
      <c r="A1309" s="78">
        <v>363.0</v>
      </c>
      <c r="B1309" s="78"/>
      <c r="C1309" s="138"/>
      <c r="D1309" s="78"/>
      <c r="E1309" s="139" t="str">
        <f t="array" ref="E1309">IF(
UPPER(TRIM(CLEAN($O1309)))="ENTREGADO",
IFERROR(
INDEX(REPORTE_DROPI!Y:Y,
MATCH($T1309, REPORTE_DROPI!B:B, 0)
),
""
),
""
)
</f>
        <v/>
      </c>
      <c r="F1309" s="78"/>
      <c r="G1309" s="78"/>
      <c r="H1309" s="78"/>
      <c r="I1309" s="78"/>
      <c r="J1309" s="78"/>
      <c r="K1309" s="78"/>
      <c r="L1309" s="78"/>
      <c r="M1309" s="78"/>
      <c r="N1309" s="78"/>
      <c r="O1309" s="78"/>
      <c r="P1309" s="78"/>
      <c r="Q1309" s="78"/>
      <c r="R1309" s="78"/>
      <c r="S1309" s="78"/>
      <c r="T1309" s="78"/>
      <c r="U1309" s="78"/>
      <c r="V1309" s="78"/>
      <c r="W1309" s="78"/>
      <c r="X1309" s="78"/>
      <c r="Y1309" s="78"/>
      <c r="Z1309" s="78"/>
    </row>
    <row r="1310">
      <c r="A1310" s="78">
        <v>364.0</v>
      </c>
      <c r="B1310" s="78"/>
      <c r="C1310" s="138"/>
      <c r="D1310" s="78"/>
      <c r="E1310" s="139" t="str">
        <f t="array" ref="E1310">IF(
UPPER(TRIM(CLEAN($O1310)))="ENTREGADO",
IFERROR(
INDEX(REPORTE_DROPI!Y:Y,
MATCH($T1310, REPORTE_DROPI!B:B, 0)
),
""
),
""
)
</f>
        <v/>
      </c>
      <c r="F1310" s="78"/>
      <c r="G1310" s="78"/>
      <c r="H1310" s="78"/>
      <c r="I1310" s="78"/>
      <c r="J1310" s="78"/>
      <c r="K1310" s="78"/>
      <c r="L1310" s="78"/>
      <c r="M1310" s="78"/>
      <c r="N1310" s="78"/>
      <c r="O1310" s="78"/>
      <c r="P1310" s="78"/>
      <c r="Q1310" s="78"/>
      <c r="R1310" s="78"/>
      <c r="S1310" s="78"/>
      <c r="T1310" s="78"/>
      <c r="U1310" s="78"/>
      <c r="V1310" s="78"/>
      <c r="W1310" s="78"/>
      <c r="X1310" s="78"/>
      <c r="Y1310" s="78"/>
      <c r="Z1310" s="78"/>
    </row>
    <row r="1311">
      <c r="A1311" s="78">
        <v>365.0</v>
      </c>
      <c r="B1311" s="78"/>
      <c r="C1311" s="138"/>
      <c r="D1311" s="78"/>
      <c r="E1311" s="139" t="str">
        <f t="array" ref="E1311">IF(
UPPER(TRIM(CLEAN($O1311)))="ENTREGADO",
IFERROR(
INDEX(REPORTE_DROPI!Y:Y,
MATCH($T1311, REPORTE_DROPI!B:B, 0)
),
""
),
""
)
</f>
        <v/>
      </c>
      <c r="F1311" s="78"/>
      <c r="G1311" s="78"/>
      <c r="H1311" s="78"/>
      <c r="I1311" s="78"/>
      <c r="J1311" s="78"/>
      <c r="K1311" s="78"/>
      <c r="L1311" s="78"/>
      <c r="M1311" s="78"/>
      <c r="N1311" s="78"/>
      <c r="O1311" s="78"/>
      <c r="P1311" s="78"/>
      <c r="Q1311" s="78"/>
      <c r="R1311" s="78"/>
      <c r="S1311" s="78"/>
      <c r="T1311" s="78"/>
      <c r="U1311" s="78"/>
      <c r="V1311" s="78"/>
      <c r="W1311" s="78"/>
      <c r="X1311" s="78"/>
      <c r="Y1311" s="78"/>
      <c r="Z1311" s="78"/>
    </row>
    <row r="1312">
      <c r="A1312" s="78">
        <v>366.0</v>
      </c>
      <c r="B1312" s="78"/>
      <c r="C1312" s="138"/>
      <c r="D1312" s="78"/>
      <c r="E1312" s="139" t="str">
        <f t="array" ref="E1312">IF(
UPPER(TRIM(CLEAN($O1312)))="ENTREGADO",
IFERROR(
INDEX(REPORTE_DROPI!Y:Y,
MATCH($T1312, REPORTE_DROPI!B:B, 0)
),
""
),
""
)
</f>
        <v/>
      </c>
      <c r="F1312" s="78"/>
      <c r="G1312" s="78"/>
      <c r="H1312" s="78"/>
      <c r="I1312" s="78"/>
      <c r="J1312" s="78"/>
      <c r="K1312" s="78"/>
      <c r="L1312" s="78"/>
      <c r="M1312" s="78"/>
      <c r="N1312" s="78"/>
      <c r="O1312" s="78"/>
      <c r="P1312" s="78"/>
      <c r="Q1312" s="78"/>
      <c r="R1312" s="78"/>
      <c r="S1312" s="78"/>
      <c r="T1312" s="78"/>
      <c r="U1312" s="78"/>
      <c r="V1312" s="78"/>
      <c r="W1312" s="78"/>
      <c r="X1312" s="78"/>
      <c r="Y1312" s="78"/>
      <c r="Z1312" s="78"/>
    </row>
    <row r="1313">
      <c r="A1313" s="78">
        <v>367.0</v>
      </c>
      <c r="B1313" s="78"/>
      <c r="C1313" s="138"/>
      <c r="D1313" s="78"/>
      <c r="E1313" s="139" t="str">
        <f t="array" ref="E1313">IF(
UPPER(TRIM(CLEAN($O1313)))="ENTREGADO",
IFERROR(
INDEX(REPORTE_DROPI!Y:Y,
MATCH($T1313, REPORTE_DROPI!B:B, 0)
),
""
),
""
)
</f>
        <v/>
      </c>
      <c r="F1313" s="78"/>
      <c r="G1313" s="78"/>
      <c r="H1313" s="78"/>
      <c r="I1313" s="78"/>
      <c r="J1313" s="78"/>
      <c r="K1313" s="78"/>
      <c r="L1313" s="78"/>
      <c r="M1313" s="78"/>
      <c r="N1313" s="78"/>
      <c r="O1313" s="78"/>
      <c r="P1313" s="78"/>
      <c r="Q1313" s="78"/>
      <c r="R1313" s="78"/>
      <c r="S1313" s="78"/>
      <c r="T1313" s="78"/>
      <c r="U1313" s="78"/>
      <c r="V1313" s="78"/>
      <c r="W1313" s="78"/>
      <c r="X1313" s="78"/>
      <c r="Y1313" s="78"/>
      <c r="Z1313" s="78"/>
    </row>
    <row r="1314">
      <c r="A1314" s="78">
        <v>368.0</v>
      </c>
      <c r="B1314" s="78"/>
      <c r="C1314" s="138"/>
      <c r="D1314" s="78"/>
      <c r="E1314" s="139" t="str">
        <f t="array" ref="E1314">IF(
UPPER(TRIM(CLEAN($O1314)))="ENTREGADO",
IFERROR(
INDEX(REPORTE_DROPI!Y:Y,
MATCH($T1314, REPORTE_DROPI!B:B, 0)
),
""
),
""
)
</f>
        <v/>
      </c>
      <c r="F1314" s="78"/>
      <c r="G1314" s="78"/>
      <c r="H1314" s="78"/>
      <c r="I1314" s="78"/>
      <c r="J1314" s="78"/>
      <c r="K1314" s="78"/>
      <c r="L1314" s="78"/>
      <c r="M1314" s="78"/>
      <c r="N1314" s="78"/>
      <c r="O1314" s="78"/>
      <c r="P1314" s="78"/>
      <c r="Q1314" s="78"/>
      <c r="R1314" s="78"/>
      <c r="S1314" s="78"/>
      <c r="T1314" s="78"/>
      <c r="U1314" s="78"/>
      <c r="V1314" s="78"/>
      <c r="W1314" s="78"/>
      <c r="X1314" s="78"/>
      <c r="Y1314" s="78"/>
      <c r="Z1314" s="78"/>
    </row>
    <row r="1315">
      <c r="A1315" s="78">
        <v>369.0</v>
      </c>
      <c r="B1315" s="78"/>
      <c r="C1315" s="138"/>
      <c r="D1315" s="78"/>
      <c r="E1315" s="139" t="str">
        <f t="array" ref="E1315">IF(
UPPER(TRIM(CLEAN($O1315)))="ENTREGADO",
IFERROR(
INDEX(REPORTE_DROPI!Y:Y,
MATCH($T1315, REPORTE_DROPI!B:B, 0)
),
""
),
""
)
</f>
        <v/>
      </c>
      <c r="F1315" s="78"/>
      <c r="G1315" s="78"/>
      <c r="H1315" s="78"/>
      <c r="I1315" s="78"/>
      <c r="J1315" s="78"/>
      <c r="K1315" s="78"/>
      <c r="L1315" s="78"/>
      <c r="M1315" s="78"/>
      <c r="N1315" s="78"/>
      <c r="O1315" s="78"/>
      <c r="P1315" s="78"/>
      <c r="Q1315" s="78"/>
      <c r="R1315" s="78"/>
      <c r="S1315" s="78"/>
      <c r="T1315" s="78"/>
      <c r="U1315" s="78"/>
      <c r="V1315" s="78"/>
      <c r="W1315" s="78"/>
      <c r="X1315" s="78"/>
      <c r="Y1315" s="78"/>
      <c r="Z1315" s="78"/>
    </row>
    <row r="1316">
      <c r="A1316" s="78">
        <v>370.0</v>
      </c>
      <c r="B1316" s="78"/>
      <c r="C1316" s="138"/>
      <c r="D1316" s="78"/>
      <c r="E1316" s="139" t="str">
        <f t="array" ref="E1316">IF(
UPPER(TRIM(CLEAN($O1316)))="ENTREGADO",
IFERROR(
INDEX(REPORTE_DROPI!Y:Y,
MATCH($T1316, REPORTE_DROPI!B:B, 0)
),
""
),
""
)
</f>
        <v/>
      </c>
      <c r="F1316" s="78"/>
      <c r="G1316" s="78"/>
      <c r="H1316" s="78"/>
      <c r="I1316" s="78"/>
      <c r="J1316" s="78"/>
      <c r="K1316" s="78"/>
      <c r="L1316" s="78"/>
      <c r="M1316" s="78"/>
      <c r="N1316" s="78"/>
      <c r="O1316" s="78"/>
      <c r="P1316" s="78"/>
      <c r="Q1316" s="78"/>
      <c r="R1316" s="78"/>
      <c r="S1316" s="78"/>
      <c r="T1316" s="78"/>
      <c r="U1316" s="78"/>
      <c r="V1316" s="78"/>
      <c r="W1316" s="78"/>
      <c r="X1316" s="78"/>
      <c r="Y1316" s="78"/>
      <c r="Z1316" s="78"/>
    </row>
    <row r="1317">
      <c r="A1317" s="78">
        <v>371.0</v>
      </c>
      <c r="B1317" s="78"/>
      <c r="C1317" s="138"/>
      <c r="D1317" s="78"/>
      <c r="E1317" s="139" t="str">
        <f t="array" ref="E1317">IF(
UPPER(TRIM(CLEAN($O1317)))="ENTREGADO",
IFERROR(
INDEX(REPORTE_DROPI!Y:Y,
MATCH($T1317, REPORTE_DROPI!B:B, 0)
),
""
),
""
)
</f>
        <v/>
      </c>
      <c r="F1317" s="78"/>
      <c r="G1317" s="78"/>
      <c r="H1317" s="78"/>
      <c r="I1317" s="78"/>
      <c r="J1317" s="78"/>
      <c r="K1317" s="78"/>
      <c r="L1317" s="78"/>
      <c r="M1317" s="78"/>
      <c r="N1317" s="78"/>
      <c r="O1317" s="78"/>
      <c r="P1317" s="78"/>
      <c r="Q1317" s="78"/>
      <c r="R1317" s="78"/>
      <c r="S1317" s="78"/>
      <c r="T1317" s="78"/>
      <c r="U1317" s="78"/>
      <c r="V1317" s="78"/>
      <c r="W1317" s="78"/>
      <c r="X1317" s="78"/>
      <c r="Y1317" s="78"/>
      <c r="Z1317" s="78"/>
    </row>
    <row r="1318">
      <c r="A1318" s="78">
        <v>372.0</v>
      </c>
      <c r="B1318" s="78"/>
      <c r="C1318" s="138"/>
      <c r="D1318" s="78"/>
      <c r="E1318" s="139" t="str">
        <f t="array" ref="E1318">IF(
UPPER(TRIM(CLEAN($O1318)))="ENTREGADO",
IFERROR(
INDEX(REPORTE_DROPI!Y:Y,
MATCH($T1318, REPORTE_DROPI!B:B, 0)
),
""
),
""
)
</f>
        <v/>
      </c>
      <c r="F1318" s="78"/>
      <c r="G1318" s="78"/>
      <c r="H1318" s="78"/>
      <c r="I1318" s="78"/>
      <c r="J1318" s="78"/>
      <c r="K1318" s="78"/>
      <c r="L1318" s="78"/>
      <c r="M1318" s="78"/>
      <c r="N1318" s="78"/>
      <c r="O1318" s="78"/>
      <c r="P1318" s="78"/>
      <c r="Q1318" s="78"/>
      <c r="R1318" s="78"/>
      <c r="S1318" s="78"/>
      <c r="T1318" s="78"/>
      <c r="U1318" s="78"/>
      <c r="V1318" s="78"/>
      <c r="W1318" s="78"/>
      <c r="X1318" s="78"/>
      <c r="Y1318" s="78"/>
      <c r="Z1318" s="78"/>
    </row>
    <row r="1319">
      <c r="A1319" s="78">
        <v>373.0</v>
      </c>
      <c r="B1319" s="78"/>
      <c r="C1319" s="138"/>
      <c r="D1319" s="78"/>
      <c r="E1319" s="139" t="str">
        <f t="array" ref="E1319">IF(
UPPER(TRIM(CLEAN($O1319)))="ENTREGADO",
IFERROR(
INDEX(REPORTE_DROPI!Y:Y,
MATCH($T1319, REPORTE_DROPI!B:B, 0)
),
""
),
""
)
</f>
        <v/>
      </c>
      <c r="F1319" s="78"/>
      <c r="G1319" s="78"/>
      <c r="H1319" s="78"/>
      <c r="I1319" s="78"/>
      <c r="J1319" s="78"/>
      <c r="K1319" s="78"/>
      <c r="L1319" s="78"/>
      <c r="M1319" s="78"/>
      <c r="N1319" s="78"/>
      <c r="O1319" s="78"/>
      <c r="P1319" s="78"/>
      <c r="Q1319" s="78"/>
      <c r="R1319" s="78"/>
      <c r="S1319" s="78"/>
      <c r="T1319" s="78"/>
      <c r="U1319" s="78"/>
      <c r="V1319" s="78"/>
      <c r="W1319" s="78"/>
      <c r="X1319" s="78"/>
      <c r="Y1319" s="78"/>
      <c r="Z1319" s="78"/>
    </row>
    <row r="1320">
      <c r="A1320" s="78">
        <v>374.0</v>
      </c>
      <c r="B1320" s="78"/>
      <c r="C1320" s="138"/>
      <c r="D1320" s="78"/>
      <c r="E1320" s="139" t="str">
        <f t="array" ref="E1320">IF(
UPPER(TRIM(CLEAN($O1320)))="ENTREGADO",
IFERROR(
INDEX(REPORTE_DROPI!Y:Y,
MATCH($T1320, REPORTE_DROPI!B:B, 0)
),
""
),
""
)
</f>
        <v/>
      </c>
      <c r="F1320" s="78"/>
      <c r="G1320" s="78"/>
      <c r="H1320" s="78"/>
      <c r="I1320" s="78"/>
      <c r="J1320" s="78"/>
      <c r="K1320" s="78"/>
      <c r="L1320" s="78"/>
      <c r="M1320" s="78"/>
      <c r="N1320" s="78"/>
      <c r="O1320" s="78"/>
      <c r="P1320" s="78"/>
      <c r="Q1320" s="78"/>
      <c r="R1320" s="78"/>
      <c r="S1320" s="78"/>
      <c r="T1320" s="78"/>
      <c r="U1320" s="78"/>
      <c r="V1320" s="78"/>
      <c r="W1320" s="78"/>
      <c r="X1320" s="78"/>
      <c r="Y1320" s="78"/>
      <c r="Z1320" s="78"/>
    </row>
    <row r="1321">
      <c r="A1321" s="78">
        <v>375.0</v>
      </c>
      <c r="B1321" s="78"/>
      <c r="C1321" s="138"/>
      <c r="D1321" s="78"/>
      <c r="E1321" s="139" t="str">
        <f t="array" ref="E1321">IF(
UPPER(TRIM(CLEAN($O1321)))="ENTREGADO",
IFERROR(
INDEX(REPORTE_DROPI!Y:Y,
MATCH($T1321, REPORTE_DROPI!B:B, 0)
),
""
),
""
)
</f>
        <v/>
      </c>
      <c r="F1321" s="78"/>
      <c r="G1321" s="78"/>
      <c r="H1321" s="78"/>
      <c r="I1321" s="78"/>
      <c r="J1321" s="78"/>
      <c r="K1321" s="78"/>
      <c r="L1321" s="78"/>
      <c r="M1321" s="78"/>
      <c r="N1321" s="78"/>
      <c r="O1321" s="78"/>
      <c r="P1321" s="78"/>
      <c r="Q1321" s="78"/>
      <c r="R1321" s="78"/>
      <c r="S1321" s="78"/>
      <c r="T1321" s="78"/>
      <c r="U1321" s="78"/>
      <c r="V1321" s="78"/>
      <c r="W1321" s="78"/>
      <c r="X1321" s="78"/>
      <c r="Y1321" s="78"/>
      <c r="Z1321" s="78"/>
    </row>
    <row r="1322">
      <c r="A1322" s="78">
        <v>376.0</v>
      </c>
      <c r="B1322" s="78"/>
      <c r="C1322" s="138"/>
      <c r="D1322" s="78"/>
      <c r="E1322" s="139" t="str">
        <f t="array" ref="E1322">IF(
UPPER(TRIM(CLEAN($O1322)))="ENTREGADO",
IFERROR(
INDEX(REPORTE_DROPI!Y:Y,
MATCH($T1322, REPORTE_DROPI!B:B, 0)
),
""
),
""
)
</f>
        <v/>
      </c>
      <c r="F1322" s="78"/>
      <c r="G1322" s="78"/>
      <c r="H1322" s="78"/>
      <c r="I1322" s="78"/>
      <c r="J1322" s="78"/>
      <c r="K1322" s="78"/>
      <c r="L1322" s="78"/>
      <c r="M1322" s="78"/>
      <c r="N1322" s="78"/>
      <c r="O1322" s="78"/>
      <c r="P1322" s="78"/>
      <c r="Q1322" s="78"/>
      <c r="R1322" s="78"/>
      <c r="S1322" s="78"/>
      <c r="T1322" s="78"/>
      <c r="U1322" s="78"/>
      <c r="V1322" s="78"/>
      <c r="W1322" s="78"/>
      <c r="X1322" s="78"/>
      <c r="Y1322" s="78"/>
      <c r="Z1322" s="78"/>
    </row>
    <row r="1323">
      <c r="A1323" s="78">
        <v>377.0</v>
      </c>
      <c r="B1323" s="78"/>
      <c r="C1323" s="138"/>
      <c r="D1323" s="78"/>
      <c r="E1323" s="139" t="str">
        <f t="array" ref="E1323">IF(
UPPER(TRIM(CLEAN($O1323)))="ENTREGADO",
IFERROR(
INDEX(REPORTE_DROPI!Y:Y,
MATCH($T1323, REPORTE_DROPI!B:B, 0)
),
""
),
""
)
</f>
        <v/>
      </c>
      <c r="F1323" s="78"/>
      <c r="G1323" s="78"/>
      <c r="H1323" s="78"/>
      <c r="I1323" s="78"/>
      <c r="J1323" s="78"/>
      <c r="K1323" s="78"/>
      <c r="L1323" s="78"/>
      <c r="M1323" s="78"/>
      <c r="N1323" s="78"/>
      <c r="O1323" s="78"/>
      <c r="P1323" s="78"/>
      <c r="Q1323" s="78"/>
      <c r="R1323" s="78"/>
      <c r="S1323" s="78"/>
      <c r="T1323" s="78"/>
      <c r="U1323" s="78"/>
      <c r="V1323" s="78"/>
      <c r="W1323" s="78"/>
      <c r="X1323" s="78"/>
      <c r="Y1323" s="78"/>
      <c r="Z1323" s="78"/>
    </row>
    <row r="1324">
      <c r="A1324" s="78">
        <v>378.0</v>
      </c>
      <c r="B1324" s="78"/>
      <c r="C1324" s="138"/>
      <c r="D1324" s="78"/>
      <c r="E1324" s="139" t="str">
        <f t="array" ref="E1324">IF(
UPPER(TRIM(CLEAN($O1324)))="ENTREGADO",
IFERROR(
INDEX(REPORTE_DROPI!Y:Y,
MATCH($T1324, REPORTE_DROPI!B:B, 0)
),
""
),
""
)
</f>
        <v/>
      </c>
      <c r="F1324" s="78"/>
      <c r="G1324" s="78"/>
      <c r="H1324" s="78"/>
      <c r="I1324" s="78"/>
      <c r="J1324" s="78"/>
      <c r="K1324" s="78"/>
      <c r="L1324" s="78"/>
      <c r="M1324" s="78"/>
      <c r="N1324" s="78"/>
      <c r="O1324" s="78"/>
      <c r="P1324" s="78"/>
      <c r="Q1324" s="78"/>
      <c r="R1324" s="78"/>
      <c r="S1324" s="78"/>
      <c r="T1324" s="78"/>
      <c r="U1324" s="78"/>
      <c r="V1324" s="78"/>
      <c r="W1324" s="78"/>
      <c r="X1324" s="78"/>
      <c r="Y1324" s="78"/>
      <c r="Z1324" s="78"/>
    </row>
    <row r="1325">
      <c r="A1325" s="78">
        <v>379.0</v>
      </c>
      <c r="B1325" s="78"/>
      <c r="C1325" s="138"/>
      <c r="D1325" s="78"/>
      <c r="E1325" s="139" t="str">
        <f t="array" ref="E1325">IF(
UPPER(TRIM(CLEAN($O1325)))="ENTREGADO",
IFERROR(
INDEX(REPORTE_DROPI!Y:Y,
MATCH($T1325, REPORTE_DROPI!B:B, 0)
),
""
),
""
)
</f>
        <v/>
      </c>
      <c r="F1325" s="78"/>
      <c r="G1325" s="78"/>
      <c r="H1325" s="78"/>
      <c r="I1325" s="78"/>
      <c r="J1325" s="78"/>
      <c r="K1325" s="78"/>
      <c r="L1325" s="78"/>
      <c r="M1325" s="78"/>
      <c r="N1325" s="78"/>
      <c r="O1325" s="78"/>
      <c r="P1325" s="78"/>
      <c r="Q1325" s="78"/>
      <c r="R1325" s="78"/>
      <c r="S1325" s="78"/>
      <c r="T1325" s="78"/>
      <c r="U1325" s="78"/>
      <c r="V1325" s="78"/>
      <c r="W1325" s="78"/>
      <c r="X1325" s="78"/>
      <c r="Y1325" s="78"/>
      <c r="Z1325" s="78"/>
    </row>
    <row r="1326">
      <c r="A1326" s="78">
        <v>380.0</v>
      </c>
      <c r="B1326" s="78"/>
      <c r="C1326" s="138"/>
      <c r="D1326" s="78"/>
      <c r="E1326" s="139" t="str">
        <f t="array" ref="E1326">IF(
UPPER(TRIM(CLEAN($O1326)))="ENTREGADO",
IFERROR(
INDEX(REPORTE_DROPI!Y:Y,
MATCH($T1326, REPORTE_DROPI!B:B, 0)
),
""
),
""
)
</f>
        <v/>
      </c>
      <c r="F1326" s="78"/>
      <c r="G1326" s="78"/>
      <c r="H1326" s="78"/>
      <c r="I1326" s="78"/>
      <c r="J1326" s="78"/>
      <c r="K1326" s="78"/>
      <c r="L1326" s="78"/>
      <c r="M1326" s="78"/>
      <c r="N1326" s="78"/>
      <c r="O1326" s="78"/>
      <c r="P1326" s="78"/>
      <c r="Q1326" s="78"/>
      <c r="R1326" s="78"/>
      <c r="S1326" s="78"/>
      <c r="T1326" s="78"/>
      <c r="U1326" s="78"/>
      <c r="V1326" s="78"/>
      <c r="W1326" s="78"/>
      <c r="X1326" s="78"/>
      <c r="Y1326" s="78"/>
      <c r="Z1326" s="78"/>
    </row>
    <row r="1327">
      <c r="A1327" s="78">
        <v>381.0</v>
      </c>
      <c r="B1327" s="78"/>
      <c r="C1327" s="138"/>
      <c r="D1327" s="78"/>
      <c r="E1327" s="139" t="str">
        <f t="array" ref="E1327">IF(
UPPER(TRIM(CLEAN($O1327)))="ENTREGADO",
IFERROR(
INDEX(REPORTE_DROPI!Y:Y,
MATCH($T1327, REPORTE_DROPI!B:B, 0)
),
""
),
""
)
</f>
        <v/>
      </c>
      <c r="F1327" s="78"/>
      <c r="G1327" s="78"/>
      <c r="H1327" s="78"/>
      <c r="I1327" s="78"/>
      <c r="J1327" s="78"/>
      <c r="K1327" s="78"/>
      <c r="L1327" s="78"/>
      <c r="M1327" s="78"/>
      <c r="N1327" s="78"/>
      <c r="O1327" s="78"/>
      <c r="P1327" s="78"/>
      <c r="Q1327" s="78"/>
      <c r="R1327" s="78"/>
      <c r="S1327" s="78"/>
      <c r="T1327" s="78"/>
      <c r="U1327" s="78"/>
      <c r="V1327" s="78"/>
      <c r="W1327" s="78"/>
      <c r="X1327" s="78"/>
      <c r="Y1327" s="78"/>
      <c r="Z1327" s="78"/>
    </row>
    <row r="1328">
      <c r="A1328" s="78">
        <v>382.0</v>
      </c>
      <c r="B1328" s="78"/>
      <c r="C1328" s="138"/>
      <c r="D1328" s="78"/>
      <c r="E1328" s="139" t="str">
        <f t="array" ref="E1328">IF(
UPPER(TRIM(CLEAN($O1328)))="ENTREGADO",
IFERROR(
INDEX(REPORTE_DROPI!Y:Y,
MATCH($T1328, REPORTE_DROPI!B:B, 0)
),
""
),
""
)
</f>
        <v/>
      </c>
      <c r="F1328" s="78"/>
      <c r="G1328" s="78"/>
      <c r="H1328" s="78"/>
      <c r="I1328" s="78"/>
      <c r="J1328" s="78"/>
      <c r="K1328" s="78"/>
      <c r="L1328" s="78"/>
      <c r="M1328" s="78"/>
      <c r="N1328" s="78"/>
      <c r="O1328" s="78"/>
      <c r="P1328" s="78"/>
      <c r="Q1328" s="78"/>
      <c r="R1328" s="78"/>
      <c r="S1328" s="78"/>
      <c r="T1328" s="78"/>
      <c r="U1328" s="78"/>
      <c r="V1328" s="78"/>
      <c r="W1328" s="78"/>
      <c r="X1328" s="78"/>
      <c r="Y1328" s="78"/>
      <c r="Z1328" s="78"/>
    </row>
    <row r="1329">
      <c r="A1329" s="78">
        <v>383.0</v>
      </c>
      <c r="B1329" s="78"/>
      <c r="C1329" s="138"/>
      <c r="D1329" s="78"/>
      <c r="E1329" s="139" t="str">
        <f t="array" ref="E1329">IF(
UPPER(TRIM(CLEAN($O1329)))="ENTREGADO",
IFERROR(
INDEX(REPORTE_DROPI!Y:Y,
MATCH($T1329, REPORTE_DROPI!B:B, 0)
),
""
),
""
)
</f>
        <v/>
      </c>
      <c r="F1329" s="78"/>
      <c r="G1329" s="78"/>
      <c r="H1329" s="78"/>
      <c r="I1329" s="78"/>
      <c r="J1329" s="78"/>
      <c r="K1329" s="78"/>
      <c r="L1329" s="78"/>
      <c r="M1329" s="78"/>
      <c r="N1329" s="78"/>
      <c r="O1329" s="78"/>
      <c r="P1329" s="78"/>
      <c r="Q1329" s="78"/>
      <c r="R1329" s="78"/>
      <c r="S1329" s="78"/>
      <c r="T1329" s="78"/>
      <c r="U1329" s="78"/>
      <c r="V1329" s="78"/>
      <c r="W1329" s="78"/>
      <c r="X1329" s="78"/>
      <c r="Y1329" s="78"/>
      <c r="Z1329" s="78"/>
    </row>
    <row r="1330">
      <c r="A1330" s="78">
        <v>384.0</v>
      </c>
      <c r="B1330" s="78"/>
      <c r="C1330" s="138"/>
      <c r="D1330" s="78"/>
      <c r="E1330" s="139" t="str">
        <f t="array" ref="E1330">IF(
UPPER(TRIM(CLEAN($O1330)))="ENTREGADO",
IFERROR(
INDEX(REPORTE_DROPI!Y:Y,
MATCH($T1330, REPORTE_DROPI!B:B, 0)
),
""
),
""
)
</f>
        <v/>
      </c>
      <c r="F1330" s="78"/>
      <c r="G1330" s="78"/>
      <c r="H1330" s="78"/>
      <c r="I1330" s="78"/>
      <c r="J1330" s="78"/>
      <c r="K1330" s="78"/>
      <c r="L1330" s="78"/>
      <c r="M1330" s="78"/>
      <c r="N1330" s="78"/>
      <c r="O1330" s="78"/>
      <c r="P1330" s="78"/>
      <c r="Q1330" s="78"/>
      <c r="R1330" s="78"/>
      <c r="S1330" s="78"/>
      <c r="T1330" s="78"/>
      <c r="U1330" s="78"/>
      <c r="V1330" s="78"/>
      <c r="W1330" s="78"/>
      <c r="X1330" s="78"/>
      <c r="Y1330" s="78"/>
      <c r="Z1330" s="78"/>
    </row>
    <row r="1331">
      <c r="A1331" s="78">
        <v>385.0</v>
      </c>
      <c r="B1331" s="78"/>
      <c r="C1331" s="138"/>
      <c r="D1331" s="78"/>
      <c r="E1331" s="139" t="str">
        <f t="array" ref="E1331">IF(
UPPER(TRIM(CLEAN($O1331)))="ENTREGADO",
IFERROR(
INDEX(REPORTE_DROPI!Y:Y,
MATCH($T1331, REPORTE_DROPI!B:B, 0)
),
""
),
""
)
</f>
        <v/>
      </c>
      <c r="F1331" s="78"/>
      <c r="G1331" s="78"/>
      <c r="H1331" s="78"/>
      <c r="I1331" s="78"/>
      <c r="J1331" s="78"/>
      <c r="K1331" s="78"/>
      <c r="L1331" s="78"/>
      <c r="M1331" s="78"/>
      <c r="N1331" s="78"/>
      <c r="O1331" s="78"/>
      <c r="P1331" s="78"/>
      <c r="Q1331" s="78"/>
      <c r="R1331" s="78"/>
      <c r="S1331" s="78"/>
      <c r="T1331" s="78"/>
      <c r="U1331" s="78"/>
      <c r="V1331" s="78"/>
      <c r="W1331" s="78"/>
      <c r="X1331" s="78"/>
      <c r="Y1331" s="78"/>
      <c r="Z1331" s="78"/>
    </row>
    <row r="1332">
      <c r="A1332" s="78">
        <v>386.0</v>
      </c>
      <c r="B1332" s="78"/>
      <c r="C1332" s="138"/>
      <c r="D1332" s="78"/>
      <c r="E1332" s="139" t="str">
        <f t="array" ref="E1332">IF(
UPPER(TRIM(CLEAN($O1332)))="ENTREGADO",
IFERROR(
INDEX(REPORTE_DROPI!Y:Y,
MATCH($T1332, REPORTE_DROPI!B:B, 0)
),
""
),
""
)
</f>
        <v/>
      </c>
      <c r="F1332" s="78"/>
      <c r="G1332" s="78"/>
      <c r="H1332" s="78"/>
      <c r="I1332" s="78"/>
      <c r="J1332" s="78"/>
      <c r="K1332" s="78"/>
      <c r="L1332" s="78"/>
      <c r="M1332" s="78"/>
      <c r="N1332" s="78"/>
      <c r="O1332" s="78"/>
      <c r="P1332" s="78"/>
      <c r="Q1332" s="78"/>
      <c r="R1332" s="78"/>
      <c r="S1332" s="78"/>
      <c r="T1332" s="78"/>
      <c r="U1332" s="78"/>
      <c r="V1332" s="78"/>
      <c r="W1332" s="78"/>
      <c r="X1332" s="78"/>
      <c r="Y1332" s="78"/>
      <c r="Z1332" s="78"/>
    </row>
    <row r="1333">
      <c r="A1333" s="78">
        <v>387.0</v>
      </c>
      <c r="B1333" s="78"/>
      <c r="C1333" s="138"/>
      <c r="D1333" s="78"/>
      <c r="E1333" s="139" t="str">
        <f t="array" ref="E1333">IF(
UPPER(TRIM(CLEAN($O1333)))="ENTREGADO",
IFERROR(
INDEX(REPORTE_DROPI!Y:Y,
MATCH($T1333, REPORTE_DROPI!B:B, 0)
),
""
),
""
)
</f>
        <v/>
      </c>
      <c r="F1333" s="78"/>
      <c r="G1333" s="78"/>
      <c r="H1333" s="78"/>
      <c r="I1333" s="78"/>
      <c r="J1333" s="78"/>
      <c r="K1333" s="78"/>
      <c r="L1333" s="78"/>
      <c r="M1333" s="78"/>
      <c r="N1333" s="78"/>
      <c r="O1333" s="78"/>
      <c r="P1333" s="78"/>
      <c r="Q1333" s="78"/>
      <c r="R1333" s="78"/>
      <c r="S1333" s="78"/>
      <c r="T1333" s="78"/>
      <c r="U1333" s="78"/>
      <c r="V1333" s="78"/>
      <c r="W1333" s="78"/>
      <c r="X1333" s="78"/>
      <c r="Y1333" s="78"/>
      <c r="Z1333" s="78"/>
    </row>
    <row r="1334">
      <c r="A1334" s="78">
        <v>388.0</v>
      </c>
      <c r="B1334" s="78"/>
      <c r="C1334" s="138"/>
      <c r="D1334" s="78"/>
      <c r="E1334" s="139" t="str">
        <f t="array" ref="E1334">IF(
UPPER(TRIM(CLEAN($O1334)))="ENTREGADO",
IFERROR(
INDEX(REPORTE_DROPI!Y:Y,
MATCH($T1334, REPORTE_DROPI!B:B, 0)
),
""
),
""
)
</f>
        <v/>
      </c>
      <c r="F1334" s="78"/>
      <c r="G1334" s="78"/>
      <c r="H1334" s="78"/>
      <c r="I1334" s="78"/>
      <c r="J1334" s="78"/>
      <c r="K1334" s="78"/>
      <c r="L1334" s="78"/>
      <c r="M1334" s="78"/>
      <c r="N1334" s="78"/>
      <c r="O1334" s="78"/>
      <c r="P1334" s="78"/>
      <c r="Q1334" s="78"/>
      <c r="R1334" s="78"/>
      <c r="S1334" s="78"/>
      <c r="T1334" s="78"/>
      <c r="U1334" s="78"/>
      <c r="V1334" s="78"/>
      <c r="W1334" s="78"/>
      <c r="X1334" s="78"/>
      <c r="Y1334" s="78"/>
      <c r="Z1334" s="78"/>
    </row>
    <row r="1335">
      <c r="A1335" s="78">
        <v>389.0</v>
      </c>
      <c r="B1335" s="78"/>
      <c r="C1335" s="138"/>
      <c r="D1335" s="78"/>
      <c r="E1335" s="139" t="str">
        <f t="array" ref="E1335">IF(
UPPER(TRIM(CLEAN($O1335)))="ENTREGADO",
IFERROR(
INDEX(REPORTE_DROPI!Y:Y,
MATCH($T1335, REPORTE_DROPI!B:B, 0)
),
""
),
""
)
</f>
        <v/>
      </c>
      <c r="F1335" s="78"/>
      <c r="G1335" s="78"/>
      <c r="H1335" s="78"/>
      <c r="I1335" s="78"/>
      <c r="J1335" s="78"/>
      <c r="K1335" s="78"/>
      <c r="L1335" s="78"/>
      <c r="M1335" s="78"/>
      <c r="N1335" s="78"/>
      <c r="O1335" s="78"/>
      <c r="P1335" s="78"/>
      <c r="Q1335" s="78"/>
      <c r="R1335" s="78"/>
      <c r="S1335" s="78"/>
      <c r="T1335" s="78"/>
      <c r="U1335" s="78"/>
      <c r="V1335" s="78"/>
      <c r="W1335" s="78"/>
      <c r="X1335" s="78"/>
      <c r="Y1335" s="78"/>
      <c r="Z1335" s="78"/>
    </row>
    <row r="1336">
      <c r="A1336" s="78">
        <v>390.0</v>
      </c>
      <c r="B1336" s="78"/>
      <c r="C1336" s="138"/>
      <c r="D1336" s="78"/>
      <c r="E1336" s="139" t="str">
        <f t="array" ref="E1336">IF(
UPPER(TRIM(CLEAN($O1336)))="ENTREGADO",
IFERROR(
INDEX(REPORTE_DROPI!Y:Y,
MATCH($T1336, REPORTE_DROPI!B:B, 0)
),
""
),
""
)
</f>
        <v/>
      </c>
      <c r="F1336" s="78"/>
      <c r="G1336" s="78"/>
      <c r="H1336" s="78"/>
      <c r="I1336" s="78"/>
      <c r="J1336" s="78"/>
      <c r="K1336" s="78"/>
      <c r="L1336" s="78"/>
      <c r="M1336" s="78"/>
      <c r="N1336" s="78"/>
      <c r="O1336" s="78"/>
      <c r="P1336" s="78"/>
      <c r="Q1336" s="78"/>
      <c r="R1336" s="78"/>
      <c r="S1336" s="78"/>
      <c r="T1336" s="78"/>
      <c r="U1336" s="78"/>
      <c r="V1336" s="78"/>
      <c r="W1336" s="78"/>
      <c r="X1336" s="78"/>
      <c r="Y1336" s="78"/>
      <c r="Z1336" s="78"/>
    </row>
    <row r="1337">
      <c r="A1337" s="78">
        <v>391.0</v>
      </c>
      <c r="B1337" s="78"/>
      <c r="C1337" s="138"/>
      <c r="D1337" s="78"/>
      <c r="E1337" s="139" t="str">
        <f t="array" ref="E1337">IF(
UPPER(TRIM(CLEAN($O1337)))="ENTREGADO",
IFERROR(
INDEX(REPORTE_DROPI!Y:Y,
MATCH($T1337, REPORTE_DROPI!B:B, 0)
),
""
),
""
)
</f>
        <v/>
      </c>
      <c r="F1337" s="78"/>
      <c r="G1337" s="78"/>
      <c r="H1337" s="78"/>
      <c r="I1337" s="78"/>
      <c r="J1337" s="78"/>
      <c r="K1337" s="78"/>
      <c r="L1337" s="78"/>
      <c r="M1337" s="78"/>
      <c r="N1337" s="78"/>
      <c r="O1337" s="78"/>
      <c r="P1337" s="78"/>
      <c r="Q1337" s="78"/>
      <c r="R1337" s="78"/>
      <c r="S1337" s="78"/>
      <c r="T1337" s="78"/>
      <c r="U1337" s="78"/>
      <c r="V1337" s="78"/>
      <c r="W1337" s="78"/>
      <c r="X1337" s="78"/>
      <c r="Y1337" s="78"/>
      <c r="Z1337" s="78"/>
    </row>
    <row r="1338">
      <c r="A1338" s="78">
        <v>392.0</v>
      </c>
      <c r="B1338" s="78"/>
      <c r="C1338" s="138"/>
      <c r="D1338" s="78"/>
      <c r="E1338" s="139" t="str">
        <f t="array" ref="E1338">IF(
UPPER(TRIM(CLEAN($O1338)))="ENTREGADO",
IFERROR(
INDEX(REPORTE_DROPI!Y:Y,
MATCH($T1338, REPORTE_DROPI!B:B, 0)
),
""
),
""
)
</f>
        <v/>
      </c>
      <c r="F1338" s="78"/>
      <c r="G1338" s="78"/>
      <c r="H1338" s="78"/>
      <c r="I1338" s="78"/>
      <c r="J1338" s="78"/>
      <c r="K1338" s="78"/>
      <c r="L1338" s="78"/>
      <c r="M1338" s="78"/>
      <c r="N1338" s="78"/>
      <c r="O1338" s="78"/>
      <c r="P1338" s="78"/>
      <c r="Q1338" s="78"/>
      <c r="R1338" s="78"/>
      <c r="S1338" s="78"/>
      <c r="T1338" s="78"/>
      <c r="U1338" s="78"/>
      <c r="V1338" s="78"/>
      <c r="W1338" s="78"/>
      <c r="X1338" s="78"/>
      <c r="Y1338" s="78"/>
      <c r="Z1338" s="78"/>
    </row>
    <row r="1339">
      <c r="A1339" s="78">
        <v>393.0</v>
      </c>
      <c r="B1339" s="78"/>
      <c r="C1339" s="138"/>
      <c r="D1339" s="78"/>
      <c r="E1339" s="139" t="str">
        <f t="array" ref="E1339">IF(
UPPER(TRIM(CLEAN($O1339)))="ENTREGADO",
IFERROR(
INDEX(REPORTE_DROPI!Y:Y,
MATCH($T1339, REPORTE_DROPI!B:B, 0)
),
""
),
""
)
</f>
        <v/>
      </c>
      <c r="F1339" s="78"/>
      <c r="G1339" s="78"/>
      <c r="H1339" s="78"/>
      <c r="I1339" s="78"/>
      <c r="J1339" s="78"/>
      <c r="K1339" s="78"/>
      <c r="L1339" s="78"/>
      <c r="M1339" s="78"/>
      <c r="N1339" s="78"/>
      <c r="O1339" s="78"/>
      <c r="P1339" s="78"/>
      <c r="Q1339" s="78"/>
      <c r="R1339" s="78"/>
      <c r="S1339" s="78"/>
      <c r="T1339" s="78"/>
      <c r="U1339" s="78"/>
      <c r="V1339" s="78"/>
      <c r="W1339" s="78"/>
      <c r="X1339" s="78"/>
      <c r="Y1339" s="78"/>
      <c r="Z1339" s="78"/>
    </row>
    <row r="1340">
      <c r="A1340" s="78">
        <v>394.0</v>
      </c>
      <c r="B1340" s="78"/>
      <c r="C1340" s="138"/>
      <c r="D1340" s="78"/>
      <c r="E1340" s="139" t="str">
        <f t="array" ref="E1340">IF(
UPPER(TRIM(CLEAN($O1340)))="ENTREGADO",
IFERROR(
INDEX(REPORTE_DROPI!Y:Y,
MATCH($T1340, REPORTE_DROPI!B:B, 0)
),
""
),
""
)
</f>
        <v/>
      </c>
      <c r="F1340" s="78"/>
      <c r="G1340" s="78"/>
      <c r="H1340" s="78"/>
      <c r="I1340" s="78"/>
      <c r="J1340" s="78"/>
      <c r="K1340" s="78"/>
      <c r="L1340" s="78"/>
      <c r="M1340" s="78"/>
      <c r="N1340" s="78"/>
      <c r="O1340" s="78"/>
      <c r="P1340" s="78"/>
      <c r="Q1340" s="78"/>
      <c r="R1340" s="78"/>
      <c r="S1340" s="78"/>
      <c r="T1340" s="78"/>
      <c r="U1340" s="78"/>
      <c r="V1340" s="78"/>
      <c r="W1340" s="78"/>
      <c r="X1340" s="78"/>
      <c r="Y1340" s="78"/>
      <c r="Z1340" s="78"/>
    </row>
    <row r="1341">
      <c r="A1341" s="78">
        <v>395.0</v>
      </c>
      <c r="B1341" s="78"/>
      <c r="C1341" s="138"/>
      <c r="D1341" s="78"/>
      <c r="E1341" s="139" t="str">
        <f t="array" ref="E1341">IF(
UPPER(TRIM(CLEAN($O1341)))="ENTREGADO",
IFERROR(
INDEX(REPORTE_DROPI!Y:Y,
MATCH($T1341, REPORTE_DROPI!B:B, 0)
),
""
),
""
)
</f>
        <v/>
      </c>
      <c r="F1341" s="78"/>
      <c r="G1341" s="78"/>
      <c r="H1341" s="78"/>
      <c r="I1341" s="78"/>
      <c r="J1341" s="78"/>
      <c r="K1341" s="78"/>
      <c r="L1341" s="78"/>
      <c r="M1341" s="78"/>
      <c r="N1341" s="78"/>
      <c r="O1341" s="78"/>
      <c r="P1341" s="78"/>
      <c r="Q1341" s="78"/>
      <c r="R1341" s="78"/>
      <c r="S1341" s="78"/>
      <c r="T1341" s="78"/>
      <c r="U1341" s="78"/>
      <c r="V1341" s="78"/>
      <c r="W1341" s="78"/>
      <c r="X1341" s="78"/>
      <c r="Y1341" s="78"/>
      <c r="Z1341" s="78"/>
    </row>
    <row r="1342">
      <c r="A1342" s="78">
        <v>396.0</v>
      </c>
      <c r="B1342" s="78"/>
      <c r="C1342" s="138"/>
      <c r="D1342" s="78"/>
      <c r="E1342" s="139" t="str">
        <f t="array" ref="E1342">IF(
UPPER(TRIM(CLEAN($O1342)))="ENTREGADO",
IFERROR(
INDEX(REPORTE_DROPI!Y:Y,
MATCH($T1342, REPORTE_DROPI!B:B, 0)
),
""
),
""
)
</f>
        <v/>
      </c>
      <c r="F1342" s="78"/>
      <c r="G1342" s="78"/>
      <c r="H1342" s="78"/>
      <c r="I1342" s="78"/>
      <c r="J1342" s="78"/>
      <c r="K1342" s="78"/>
      <c r="L1342" s="78"/>
      <c r="M1342" s="78"/>
      <c r="N1342" s="78"/>
      <c r="O1342" s="78"/>
      <c r="P1342" s="78"/>
      <c r="Q1342" s="78"/>
      <c r="R1342" s="78"/>
      <c r="S1342" s="78"/>
      <c r="T1342" s="78"/>
      <c r="U1342" s="78"/>
      <c r="V1342" s="78"/>
      <c r="W1342" s="78"/>
      <c r="X1342" s="78"/>
      <c r="Y1342" s="78"/>
      <c r="Z1342" s="78"/>
    </row>
    <row r="1343">
      <c r="A1343" s="78">
        <v>397.0</v>
      </c>
      <c r="B1343" s="78"/>
      <c r="C1343" s="138"/>
      <c r="D1343" s="78"/>
      <c r="E1343" s="139" t="str">
        <f t="array" ref="E1343">IF(
UPPER(TRIM(CLEAN($O1343)))="ENTREGADO",
IFERROR(
INDEX(REPORTE_DROPI!Y:Y,
MATCH($T1343, REPORTE_DROPI!B:B, 0)
),
""
),
""
)
</f>
        <v/>
      </c>
      <c r="F1343" s="78"/>
      <c r="G1343" s="78"/>
      <c r="H1343" s="78"/>
      <c r="I1343" s="78"/>
      <c r="J1343" s="78"/>
      <c r="K1343" s="78"/>
      <c r="L1343" s="78"/>
      <c r="M1343" s="78"/>
      <c r="N1343" s="78"/>
      <c r="O1343" s="78"/>
      <c r="P1343" s="78"/>
      <c r="Q1343" s="78"/>
      <c r="R1343" s="78"/>
      <c r="S1343" s="78"/>
      <c r="T1343" s="78"/>
      <c r="U1343" s="78"/>
      <c r="V1343" s="78"/>
      <c r="W1343" s="78"/>
      <c r="X1343" s="78"/>
      <c r="Y1343" s="78"/>
      <c r="Z1343" s="78"/>
    </row>
    <row r="1344">
      <c r="A1344" s="78">
        <v>398.0</v>
      </c>
      <c r="B1344" s="78"/>
      <c r="C1344" s="138"/>
      <c r="D1344" s="78"/>
      <c r="E1344" s="139" t="str">
        <f t="array" ref="E1344">IF(
UPPER(TRIM(CLEAN($O1344)))="ENTREGADO",
IFERROR(
INDEX(REPORTE_DROPI!Y:Y,
MATCH($T1344, REPORTE_DROPI!B:B, 0)
),
""
),
""
)
</f>
        <v/>
      </c>
      <c r="F1344" s="78"/>
      <c r="G1344" s="78"/>
      <c r="H1344" s="78"/>
      <c r="I1344" s="78"/>
      <c r="J1344" s="78"/>
      <c r="K1344" s="78"/>
      <c r="L1344" s="78"/>
      <c r="M1344" s="78"/>
      <c r="N1344" s="78"/>
      <c r="O1344" s="78"/>
      <c r="P1344" s="78"/>
      <c r="Q1344" s="78"/>
      <c r="R1344" s="78"/>
      <c r="S1344" s="78"/>
      <c r="T1344" s="78"/>
      <c r="U1344" s="78"/>
      <c r="V1344" s="78"/>
      <c r="W1344" s="78"/>
      <c r="X1344" s="78"/>
      <c r="Y1344" s="78"/>
      <c r="Z1344" s="78"/>
    </row>
    <row r="1345">
      <c r="A1345" s="78">
        <v>399.0</v>
      </c>
      <c r="B1345" s="78"/>
      <c r="C1345" s="138"/>
      <c r="D1345" s="78"/>
      <c r="E1345" s="139" t="str">
        <f t="array" ref="E1345">IF(
UPPER(TRIM(CLEAN($O1345)))="ENTREGADO",
IFERROR(
INDEX(REPORTE_DROPI!Y:Y,
MATCH($T1345, REPORTE_DROPI!B:B, 0)
),
""
),
""
)
</f>
        <v/>
      </c>
      <c r="F1345" s="78"/>
      <c r="G1345" s="78"/>
      <c r="H1345" s="78"/>
      <c r="I1345" s="78"/>
      <c r="J1345" s="78"/>
      <c r="K1345" s="78"/>
      <c r="L1345" s="78"/>
      <c r="M1345" s="78"/>
      <c r="N1345" s="78"/>
      <c r="O1345" s="78"/>
      <c r="P1345" s="78"/>
      <c r="Q1345" s="78"/>
      <c r="R1345" s="78"/>
      <c r="S1345" s="78"/>
      <c r="T1345" s="78"/>
      <c r="U1345" s="78"/>
      <c r="V1345" s="78"/>
      <c r="W1345" s="78"/>
      <c r="X1345" s="78"/>
      <c r="Y1345" s="78"/>
      <c r="Z1345" s="78"/>
    </row>
    <row r="1346">
      <c r="A1346" s="78">
        <v>400.0</v>
      </c>
      <c r="B1346" s="78"/>
      <c r="C1346" s="138"/>
      <c r="D1346" s="78"/>
      <c r="E1346" s="139" t="str">
        <f t="array" ref="E1346">IF(
UPPER(TRIM(CLEAN($O1346)))="ENTREGADO",
IFERROR(
INDEX(REPORTE_DROPI!Y:Y,
MATCH($T1346, REPORTE_DROPI!B:B, 0)
),
""
),
""
)
</f>
        <v/>
      </c>
      <c r="F1346" s="78"/>
      <c r="G1346" s="78"/>
      <c r="H1346" s="78"/>
      <c r="I1346" s="78"/>
      <c r="J1346" s="78"/>
      <c r="K1346" s="78"/>
      <c r="L1346" s="78"/>
      <c r="M1346" s="78"/>
      <c r="N1346" s="78"/>
      <c r="O1346" s="78"/>
      <c r="P1346" s="78"/>
      <c r="Q1346" s="78"/>
      <c r="R1346" s="78"/>
      <c r="S1346" s="78"/>
      <c r="T1346" s="78"/>
      <c r="U1346" s="78"/>
      <c r="V1346" s="78"/>
      <c r="W1346" s="78"/>
      <c r="X1346" s="78"/>
      <c r="Y1346" s="78"/>
      <c r="Z1346" s="78"/>
    </row>
    <row r="1347">
      <c r="A1347" s="78">
        <v>401.0</v>
      </c>
      <c r="B1347" s="78"/>
      <c r="C1347" s="138"/>
      <c r="D1347" s="78"/>
      <c r="E1347" s="139" t="str">
        <f t="array" ref="E1347">IF(
UPPER(TRIM(CLEAN($O1347)))="ENTREGADO",
IFERROR(
INDEX(REPORTE_DROPI!Y:Y,
MATCH($T1347, REPORTE_DROPI!B:B, 0)
),
""
),
""
)
</f>
        <v/>
      </c>
      <c r="F1347" s="78"/>
      <c r="G1347" s="78"/>
      <c r="H1347" s="78"/>
      <c r="I1347" s="78"/>
      <c r="J1347" s="78"/>
      <c r="K1347" s="78"/>
      <c r="L1347" s="78"/>
      <c r="M1347" s="78"/>
      <c r="N1347" s="78"/>
      <c r="O1347" s="78"/>
      <c r="P1347" s="78"/>
      <c r="Q1347" s="78"/>
      <c r="R1347" s="78"/>
      <c r="S1347" s="78"/>
      <c r="T1347" s="78"/>
      <c r="U1347" s="78"/>
      <c r="V1347" s="78"/>
      <c r="W1347" s="78"/>
      <c r="X1347" s="78"/>
      <c r="Y1347" s="78"/>
      <c r="Z1347" s="78"/>
    </row>
    <row r="1348">
      <c r="A1348" s="78">
        <v>402.0</v>
      </c>
      <c r="B1348" s="78"/>
      <c r="C1348" s="138"/>
      <c r="D1348" s="78"/>
      <c r="E1348" s="139" t="str">
        <f t="array" ref="E1348">IF(
UPPER(TRIM(CLEAN($O1348)))="ENTREGADO",
IFERROR(
INDEX(REPORTE_DROPI!Y:Y,
MATCH($T1348, REPORTE_DROPI!B:B, 0)
),
""
),
""
)
</f>
        <v/>
      </c>
      <c r="F1348" s="78"/>
      <c r="G1348" s="78"/>
      <c r="H1348" s="78"/>
      <c r="I1348" s="78"/>
      <c r="J1348" s="78"/>
      <c r="K1348" s="78"/>
      <c r="L1348" s="78"/>
      <c r="M1348" s="78"/>
      <c r="N1348" s="78"/>
      <c r="O1348" s="78"/>
      <c r="P1348" s="78"/>
      <c r="Q1348" s="78"/>
      <c r="R1348" s="78"/>
      <c r="S1348" s="78"/>
      <c r="T1348" s="78"/>
      <c r="U1348" s="78"/>
      <c r="V1348" s="78"/>
      <c r="W1348" s="78"/>
      <c r="X1348" s="78"/>
      <c r="Y1348" s="78"/>
      <c r="Z1348" s="78"/>
    </row>
    <row r="1349">
      <c r="A1349" s="78">
        <v>403.0</v>
      </c>
      <c r="B1349" s="78"/>
      <c r="C1349" s="138"/>
      <c r="D1349" s="78"/>
      <c r="E1349" s="139" t="str">
        <f t="array" ref="E1349">IF(
UPPER(TRIM(CLEAN($O1349)))="ENTREGADO",
IFERROR(
INDEX(REPORTE_DROPI!Y:Y,
MATCH($T1349, REPORTE_DROPI!B:B, 0)
),
""
),
""
)
</f>
        <v/>
      </c>
      <c r="F1349" s="78"/>
      <c r="G1349" s="78"/>
      <c r="H1349" s="78"/>
      <c r="I1349" s="78"/>
      <c r="J1349" s="78"/>
      <c r="K1349" s="78"/>
      <c r="L1349" s="78"/>
      <c r="M1349" s="78"/>
      <c r="N1349" s="78"/>
      <c r="O1349" s="78"/>
      <c r="P1349" s="78"/>
      <c r="Q1349" s="78"/>
      <c r="R1349" s="78"/>
      <c r="S1349" s="78"/>
      <c r="T1349" s="78"/>
      <c r="U1349" s="78"/>
      <c r="V1349" s="78"/>
      <c r="W1349" s="78"/>
      <c r="X1349" s="78"/>
      <c r="Y1349" s="78"/>
      <c r="Z1349" s="78"/>
    </row>
    <row r="1350">
      <c r="A1350" s="78">
        <v>404.0</v>
      </c>
      <c r="B1350" s="78"/>
      <c r="C1350" s="138"/>
      <c r="D1350" s="78"/>
      <c r="E1350" s="139" t="str">
        <f t="array" ref="E1350">IF(
UPPER(TRIM(CLEAN($O1350)))="ENTREGADO",
IFERROR(
INDEX(REPORTE_DROPI!Y:Y,
MATCH($T1350, REPORTE_DROPI!B:B, 0)
),
""
),
""
)
</f>
        <v/>
      </c>
      <c r="F1350" s="78"/>
      <c r="G1350" s="78"/>
      <c r="H1350" s="78"/>
      <c r="I1350" s="78"/>
      <c r="J1350" s="78"/>
      <c r="K1350" s="78"/>
      <c r="L1350" s="78"/>
      <c r="M1350" s="78"/>
      <c r="N1350" s="78"/>
      <c r="O1350" s="78"/>
      <c r="P1350" s="78"/>
      <c r="Q1350" s="78"/>
      <c r="R1350" s="78"/>
      <c r="S1350" s="78"/>
      <c r="T1350" s="78"/>
      <c r="U1350" s="78"/>
      <c r="V1350" s="78"/>
      <c r="W1350" s="78"/>
      <c r="X1350" s="78"/>
      <c r="Y1350" s="78"/>
      <c r="Z1350" s="78"/>
    </row>
    <row r="1351">
      <c r="A1351" s="78">
        <v>405.0</v>
      </c>
      <c r="B1351" s="78"/>
      <c r="C1351" s="138"/>
      <c r="D1351" s="78"/>
      <c r="E1351" s="139" t="str">
        <f t="array" ref="E1351">IF(
UPPER(TRIM(CLEAN($O1351)))="ENTREGADO",
IFERROR(
INDEX(REPORTE_DROPI!Y:Y,
MATCH($T1351, REPORTE_DROPI!B:B, 0)
),
""
),
""
)
</f>
        <v/>
      </c>
      <c r="F1351" s="78"/>
      <c r="G1351" s="78"/>
      <c r="H1351" s="78"/>
      <c r="I1351" s="78"/>
      <c r="J1351" s="78"/>
      <c r="K1351" s="78"/>
      <c r="L1351" s="78"/>
      <c r="M1351" s="78"/>
      <c r="N1351" s="78"/>
      <c r="O1351" s="78"/>
      <c r="P1351" s="78"/>
      <c r="Q1351" s="78"/>
      <c r="R1351" s="78"/>
      <c r="S1351" s="78"/>
      <c r="T1351" s="78"/>
      <c r="U1351" s="78"/>
      <c r="V1351" s="78"/>
      <c r="W1351" s="78"/>
      <c r="X1351" s="78"/>
      <c r="Y1351" s="78"/>
      <c r="Z1351" s="78"/>
    </row>
    <row r="1352">
      <c r="A1352" s="78">
        <v>406.0</v>
      </c>
      <c r="B1352" s="78"/>
      <c r="C1352" s="138"/>
      <c r="D1352" s="78"/>
      <c r="E1352" s="139" t="str">
        <f t="array" ref="E1352">IF(
UPPER(TRIM(CLEAN($O1352)))="ENTREGADO",
IFERROR(
INDEX(REPORTE_DROPI!Y:Y,
MATCH($T1352, REPORTE_DROPI!B:B, 0)
),
""
),
""
)
</f>
        <v/>
      </c>
      <c r="F1352" s="78"/>
      <c r="G1352" s="78"/>
      <c r="H1352" s="78"/>
      <c r="I1352" s="78"/>
      <c r="J1352" s="78"/>
      <c r="K1352" s="78"/>
      <c r="L1352" s="78"/>
      <c r="M1352" s="78"/>
      <c r="N1352" s="78"/>
      <c r="O1352" s="78"/>
      <c r="P1352" s="78"/>
      <c r="Q1352" s="78"/>
      <c r="R1352" s="78"/>
      <c r="S1352" s="78"/>
      <c r="T1352" s="78"/>
      <c r="U1352" s="78"/>
      <c r="V1352" s="78"/>
      <c r="W1352" s="78"/>
      <c r="X1352" s="78"/>
      <c r="Y1352" s="78"/>
      <c r="Z1352" s="78"/>
    </row>
    <row r="1353">
      <c r="A1353" s="78">
        <v>407.0</v>
      </c>
      <c r="B1353" s="78"/>
      <c r="C1353" s="138"/>
      <c r="D1353" s="78"/>
      <c r="E1353" s="139" t="str">
        <f t="array" ref="E1353">IF(
UPPER(TRIM(CLEAN($O1353)))="ENTREGADO",
IFERROR(
INDEX(REPORTE_DROPI!Y:Y,
MATCH($T1353, REPORTE_DROPI!B:B, 0)
),
""
),
""
)
</f>
        <v/>
      </c>
      <c r="F1353" s="78"/>
      <c r="G1353" s="78"/>
      <c r="H1353" s="78"/>
      <c r="I1353" s="78"/>
      <c r="J1353" s="78"/>
      <c r="K1353" s="78"/>
      <c r="L1353" s="78"/>
      <c r="M1353" s="78"/>
      <c r="N1353" s="78"/>
      <c r="O1353" s="78"/>
      <c r="P1353" s="78"/>
      <c r="Q1353" s="78"/>
      <c r="R1353" s="78"/>
      <c r="S1353" s="78"/>
      <c r="T1353" s="78"/>
      <c r="U1353" s="78"/>
      <c r="V1353" s="78"/>
      <c r="W1353" s="78"/>
      <c r="X1353" s="78"/>
      <c r="Y1353" s="78"/>
      <c r="Z1353" s="78"/>
    </row>
    <row r="1354">
      <c r="A1354" s="78">
        <v>408.0</v>
      </c>
      <c r="B1354" s="78"/>
      <c r="C1354" s="138"/>
      <c r="D1354" s="78"/>
      <c r="E1354" s="139" t="str">
        <f t="array" ref="E1354">IF(
UPPER(TRIM(CLEAN($O1354)))="ENTREGADO",
IFERROR(
INDEX(REPORTE_DROPI!Y:Y,
MATCH($T1354, REPORTE_DROPI!B:B, 0)
),
""
),
""
)
</f>
        <v/>
      </c>
      <c r="F1354" s="78"/>
      <c r="G1354" s="78"/>
      <c r="H1354" s="78"/>
      <c r="I1354" s="78"/>
      <c r="J1354" s="78"/>
      <c r="K1354" s="78"/>
      <c r="L1354" s="78"/>
      <c r="M1354" s="78"/>
      <c r="N1354" s="78"/>
      <c r="O1354" s="78"/>
      <c r="P1354" s="78"/>
      <c r="Q1354" s="78"/>
      <c r="R1354" s="78"/>
      <c r="S1354" s="78"/>
      <c r="T1354" s="78"/>
      <c r="U1354" s="78"/>
      <c r="V1354" s="78"/>
      <c r="W1354" s="78"/>
      <c r="X1354" s="78"/>
      <c r="Y1354" s="78"/>
      <c r="Z1354" s="78"/>
    </row>
    <row r="1355">
      <c r="A1355" s="78">
        <v>409.0</v>
      </c>
      <c r="B1355" s="78"/>
      <c r="C1355" s="138"/>
      <c r="D1355" s="78"/>
      <c r="E1355" s="139" t="str">
        <f t="array" ref="E1355">IF(
UPPER(TRIM(CLEAN($O1355)))="ENTREGADO",
IFERROR(
INDEX(REPORTE_DROPI!Y:Y,
MATCH($T1355, REPORTE_DROPI!B:B, 0)
),
""
),
""
)
</f>
        <v/>
      </c>
      <c r="F1355" s="78"/>
      <c r="G1355" s="78"/>
      <c r="H1355" s="78"/>
      <c r="I1355" s="78"/>
      <c r="J1355" s="78"/>
      <c r="K1355" s="78"/>
      <c r="L1355" s="78"/>
      <c r="M1355" s="78"/>
      <c r="N1355" s="78"/>
      <c r="O1355" s="78"/>
      <c r="P1355" s="78"/>
      <c r="Q1355" s="78"/>
      <c r="R1355" s="78"/>
      <c r="S1355" s="78"/>
      <c r="T1355" s="78"/>
      <c r="U1355" s="78"/>
      <c r="V1355" s="78"/>
      <c r="W1355" s="78"/>
      <c r="X1355" s="78"/>
      <c r="Y1355" s="78"/>
      <c r="Z1355" s="78"/>
    </row>
    <row r="1356">
      <c r="A1356" s="78">
        <v>410.0</v>
      </c>
      <c r="B1356" s="78"/>
      <c r="C1356" s="138"/>
      <c r="D1356" s="78"/>
      <c r="E1356" s="139" t="str">
        <f t="array" ref="E1356">IF(
UPPER(TRIM(CLEAN($O1356)))="ENTREGADO",
IFERROR(
INDEX(REPORTE_DROPI!Y:Y,
MATCH($T1356, REPORTE_DROPI!B:B, 0)
),
""
),
""
)
</f>
        <v/>
      </c>
      <c r="F1356" s="78"/>
      <c r="G1356" s="78"/>
      <c r="H1356" s="78"/>
      <c r="I1356" s="78"/>
      <c r="J1356" s="78"/>
      <c r="K1356" s="78"/>
      <c r="L1356" s="78"/>
      <c r="M1356" s="78"/>
      <c r="N1356" s="78"/>
      <c r="O1356" s="78"/>
      <c r="P1356" s="78"/>
      <c r="Q1356" s="78"/>
      <c r="R1356" s="78"/>
      <c r="S1356" s="78"/>
      <c r="T1356" s="78"/>
      <c r="U1356" s="78"/>
      <c r="V1356" s="78"/>
      <c r="W1356" s="78"/>
      <c r="X1356" s="78"/>
      <c r="Y1356" s="78"/>
      <c r="Z1356" s="78"/>
    </row>
    <row r="1357">
      <c r="A1357" s="78">
        <v>411.0</v>
      </c>
      <c r="B1357" s="78"/>
      <c r="C1357" s="138"/>
      <c r="D1357" s="78"/>
      <c r="E1357" s="139" t="str">
        <f t="array" ref="E1357">IF(
UPPER(TRIM(CLEAN($O1357)))="ENTREGADO",
IFERROR(
INDEX(REPORTE_DROPI!Y:Y,
MATCH($T1357, REPORTE_DROPI!B:B, 0)
),
""
),
""
)
</f>
        <v/>
      </c>
      <c r="F1357" s="78"/>
      <c r="G1357" s="78"/>
      <c r="H1357" s="78"/>
      <c r="I1357" s="78"/>
      <c r="J1357" s="78"/>
      <c r="K1357" s="78"/>
      <c r="L1357" s="78"/>
      <c r="M1357" s="78"/>
      <c r="N1357" s="78"/>
      <c r="O1357" s="78"/>
      <c r="P1357" s="78"/>
      <c r="Q1357" s="78"/>
      <c r="R1357" s="78"/>
      <c r="S1357" s="78"/>
      <c r="T1357" s="78"/>
      <c r="U1357" s="78"/>
      <c r="V1357" s="78"/>
      <c r="W1357" s="78"/>
      <c r="X1357" s="78"/>
      <c r="Y1357" s="78"/>
      <c r="Z1357" s="78"/>
    </row>
    <row r="1358">
      <c r="A1358" s="78">
        <v>412.0</v>
      </c>
      <c r="B1358" s="78"/>
      <c r="C1358" s="138"/>
      <c r="D1358" s="78"/>
      <c r="E1358" s="139" t="str">
        <f t="array" ref="E1358">IF(
UPPER(TRIM(CLEAN($O1358)))="ENTREGADO",
IFERROR(
INDEX(REPORTE_DROPI!Y:Y,
MATCH($T1358, REPORTE_DROPI!B:B, 0)
),
""
),
""
)
</f>
        <v/>
      </c>
      <c r="F1358" s="78"/>
      <c r="G1358" s="78"/>
      <c r="H1358" s="78"/>
      <c r="I1358" s="78"/>
      <c r="J1358" s="78"/>
      <c r="K1358" s="78"/>
      <c r="L1358" s="78"/>
      <c r="M1358" s="78"/>
      <c r="N1358" s="78"/>
      <c r="O1358" s="78"/>
      <c r="P1358" s="78"/>
      <c r="Q1358" s="78"/>
      <c r="R1358" s="78"/>
      <c r="S1358" s="78"/>
      <c r="T1358" s="78"/>
      <c r="U1358" s="78"/>
      <c r="V1358" s="78"/>
      <c r="W1358" s="78"/>
      <c r="X1358" s="78"/>
      <c r="Y1358" s="78"/>
      <c r="Z1358" s="78"/>
    </row>
    <row r="1359">
      <c r="A1359" s="78">
        <v>413.0</v>
      </c>
      <c r="B1359" s="78"/>
      <c r="C1359" s="138"/>
      <c r="D1359" s="78"/>
      <c r="E1359" s="139" t="str">
        <f t="array" ref="E1359">IF(
UPPER(TRIM(CLEAN($O1359)))="ENTREGADO",
IFERROR(
INDEX(REPORTE_DROPI!Y:Y,
MATCH($T1359, REPORTE_DROPI!B:B, 0)
),
""
),
""
)
</f>
        <v/>
      </c>
      <c r="F1359" s="78"/>
      <c r="G1359" s="78"/>
      <c r="H1359" s="78"/>
      <c r="I1359" s="78"/>
      <c r="J1359" s="78"/>
      <c r="K1359" s="78"/>
      <c r="L1359" s="78"/>
      <c r="M1359" s="78"/>
      <c r="N1359" s="78"/>
      <c r="O1359" s="78"/>
      <c r="P1359" s="78"/>
      <c r="Q1359" s="78"/>
      <c r="R1359" s="78"/>
      <c r="S1359" s="78"/>
      <c r="T1359" s="78"/>
      <c r="U1359" s="78"/>
      <c r="V1359" s="78"/>
      <c r="W1359" s="78"/>
      <c r="X1359" s="78"/>
      <c r="Y1359" s="78"/>
      <c r="Z1359" s="78"/>
    </row>
    <row r="1360">
      <c r="A1360" s="78">
        <v>414.0</v>
      </c>
      <c r="B1360" s="78"/>
      <c r="C1360" s="138"/>
      <c r="D1360" s="78"/>
      <c r="E1360" s="139" t="str">
        <f t="array" ref="E1360">IF(
UPPER(TRIM(CLEAN($O1360)))="ENTREGADO",
IFERROR(
INDEX(REPORTE_DROPI!Y:Y,
MATCH($T1360, REPORTE_DROPI!B:B, 0)
),
""
),
""
)
</f>
        <v/>
      </c>
      <c r="F1360" s="78"/>
      <c r="G1360" s="78"/>
      <c r="H1360" s="78"/>
      <c r="I1360" s="78"/>
      <c r="J1360" s="78"/>
      <c r="K1360" s="78"/>
      <c r="L1360" s="78"/>
      <c r="M1360" s="78"/>
      <c r="N1360" s="78"/>
      <c r="O1360" s="78"/>
      <c r="P1360" s="78"/>
      <c r="Q1360" s="78"/>
      <c r="R1360" s="78"/>
      <c r="S1360" s="78"/>
      <c r="T1360" s="78"/>
      <c r="U1360" s="78"/>
      <c r="V1360" s="78"/>
      <c r="W1360" s="78"/>
      <c r="X1360" s="78"/>
      <c r="Y1360" s="78"/>
      <c r="Z1360" s="78"/>
    </row>
    <row r="1361">
      <c r="A1361" s="78">
        <v>415.0</v>
      </c>
      <c r="B1361" s="78"/>
      <c r="C1361" s="138"/>
      <c r="D1361" s="78"/>
      <c r="E1361" s="139" t="str">
        <f t="array" ref="E1361">IF(
UPPER(TRIM(CLEAN($O1361)))="ENTREGADO",
IFERROR(
INDEX(REPORTE_DROPI!Y:Y,
MATCH($T1361, REPORTE_DROPI!B:B, 0)
),
""
),
""
)
</f>
        <v/>
      </c>
      <c r="F1361" s="78"/>
      <c r="G1361" s="78"/>
      <c r="H1361" s="78"/>
      <c r="I1361" s="78"/>
      <c r="J1361" s="78"/>
      <c r="K1361" s="78"/>
      <c r="L1361" s="78"/>
      <c r="M1361" s="78"/>
      <c r="N1361" s="78"/>
      <c r="O1361" s="78"/>
      <c r="P1361" s="78"/>
      <c r="Q1361" s="78"/>
      <c r="R1361" s="78"/>
      <c r="S1361" s="78"/>
      <c r="T1361" s="78"/>
      <c r="U1361" s="78"/>
      <c r="V1361" s="78"/>
      <c r="W1361" s="78"/>
      <c r="X1361" s="78"/>
      <c r="Y1361" s="78"/>
      <c r="Z1361" s="78"/>
    </row>
    <row r="1362">
      <c r="A1362" s="78">
        <v>416.0</v>
      </c>
      <c r="B1362" s="78"/>
      <c r="C1362" s="138"/>
      <c r="D1362" s="78"/>
      <c r="E1362" s="139" t="str">
        <f t="array" ref="E1362">IF(
UPPER(TRIM(CLEAN($O1362)))="ENTREGADO",
IFERROR(
INDEX(REPORTE_DROPI!Y:Y,
MATCH($T1362, REPORTE_DROPI!B:B, 0)
),
""
),
""
)
</f>
        <v/>
      </c>
      <c r="F1362" s="78"/>
      <c r="G1362" s="78"/>
      <c r="H1362" s="78"/>
      <c r="I1362" s="78"/>
      <c r="J1362" s="78"/>
      <c r="K1362" s="78"/>
      <c r="L1362" s="78"/>
      <c r="M1362" s="78"/>
      <c r="N1362" s="78"/>
      <c r="O1362" s="78"/>
      <c r="P1362" s="78"/>
      <c r="Q1362" s="78"/>
      <c r="R1362" s="78"/>
      <c r="S1362" s="78"/>
      <c r="T1362" s="78"/>
      <c r="U1362" s="78"/>
      <c r="V1362" s="78"/>
      <c r="W1362" s="78"/>
      <c r="X1362" s="78"/>
      <c r="Y1362" s="78"/>
      <c r="Z1362" s="78"/>
    </row>
    <row r="1363">
      <c r="A1363" s="78">
        <v>417.0</v>
      </c>
      <c r="B1363" s="78"/>
      <c r="C1363" s="138"/>
      <c r="D1363" s="78"/>
      <c r="E1363" s="139" t="str">
        <f t="array" ref="E1363">IF(
UPPER(TRIM(CLEAN($O1363)))="ENTREGADO",
IFERROR(
INDEX(REPORTE_DROPI!Y:Y,
MATCH($T1363, REPORTE_DROPI!B:B, 0)
),
""
),
""
)
</f>
        <v/>
      </c>
      <c r="F1363" s="78"/>
      <c r="G1363" s="78"/>
      <c r="H1363" s="78"/>
      <c r="I1363" s="78"/>
      <c r="J1363" s="78"/>
      <c r="K1363" s="78"/>
      <c r="L1363" s="78"/>
      <c r="M1363" s="78"/>
      <c r="N1363" s="78"/>
      <c r="O1363" s="78"/>
      <c r="P1363" s="78"/>
      <c r="Q1363" s="78"/>
      <c r="R1363" s="78"/>
      <c r="S1363" s="78"/>
      <c r="T1363" s="78"/>
      <c r="U1363" s="78"/>
      <c r="V1363" s="78"/>
      <c r="W1363" s="78"/>
      <c r="X1363" s="78"/>
      <c r="Y1363" s="78"/>
      <c r="Z1363" s="78"/>
    </row>
    <row r="1364">
      <c r="A1364" s="78">
        <v>418.0</v>
      </c>
      <c r="B1364" s="78"/>
      <c r="C1364" s="138"/>
      <c r="D1364" s="78"/>
      <c r="E1364" s="139" t="str">
        <f t="array" ref="E1364">IF(
UPPER(TRIM(CLEAN($O1364)))="ENTREGADO",
IFERROR(
INDEX(REPORTE_DROPI!Y:Y,
MATCH($T1364, REPORTE_DROPI!B:B, 0)
),
""
),
""
)
</f>
        <v/>
      </c>
      <c r="F1364" s="78"/>
      <c r="G1364" s="78"/>
      <c r="H1364" s="78"/>
      <c r="I1364" s="78"/>
      <c r="J1364" s="78"/>
      <c r="K1364" s="78"/>
      <c r="L1364" s="78"/>
      <c r="M1364" s="78"/>
      <c r="N1364" s="78"/>
      <c r="O1364" s="78"/>
      <c r="P1364" s="78"/>
      <c r="Q1364" s="78"/>
      <c r="R1364" s="78"/>
      <c r="S1364" s="78"/>
      <c r="T1364" s="78"/>
      <c r="U1364" s="78"/>
      <c r="V1364" s="78"/>
      <c r="W1364" s="78"/>
      <c r="X1364" s="78"/>
      <c r="Y1364" s="78"/>
      <c r="Z1364" s="78"/>
    </row>
    <row r="1365">
      <c r="A1365" s="78">
        <v>419.0</v>
      </c>
      <c r="B1365" s="78"/>
      <c r="C1365" s="138"/>
      <c r="D1365" s="78"/>
      <c r="E1365" s="139" t="str">
        <f t="array" ref="E1365">IF(
UPPER(TRIM(CLEAN($O1365)))="ENTREGADO",
IFERROR(
INDEX(REPORTE_DROPI!Y:Y,
MATCH($T1365, REPORTE_DROPI!B:B, 0)
),
""
),
""
)
</f>
        <v/>
      </c>
      <c r="F1365" s="78"/>
      <c r="G1365" s="78"/>
      <c r="H1365" s="78"/>
      <c r="I1365" s="78"/>
      <c r="J1365" s="78"/>
      <c r="K1365" s="78"/>
      <c r="L1365" s="78"/>
      <c r="M1365" s="78"/>
      <c r="N1365" s="78"/>
      <c r="O1365" s="78"/>
      <c r="P1365" s="78"/>
      <c r="Q1365" s="78"/>
      <c r="R1365" s="78"/>
      <c r="S1365" s="78"/>
      <c r="T1365" s="78"/>
      <c r="U1365" s="78"/>
      <c r="V1365" s="78"/>
      <c r="W1365" s="78"/>
      <c r="X1365" s="78"/>
      <c r="Y1365" s="78"/>
      <c r="Z1365" s="78"/>
    </row>
    <row r="1366">
      <c r="A1366" s="78">
        <v>420.0</v>
      </c>
      <c r="B1366" s="78"/>
      <c r="C1366" s="138"/>
      <c r="D1366" s="78"/>
      <c r="E1366" s="139" t="str">
        <f t="array" ref="E1366">IF(
UPPER(TRIM(CLEAN($O1366)))="ENTREGADO",
IFERROR(
INDEX(REPORTE_DROPI!Y:Y,
MATCH($T1366, REPORTE_DROPI!B:B, 0)
),
""
),
""
)
</f>
        <v/>
      </c>
      <c r="F1366" s="78"/>
      <c r="G1366" s="78"/>
      <c r="H1366" s="78"/>
      <c r="I1366" s="78"/>
      <c r="J1366" s="78"/>
      <c r="K1366" s="78"/>
      <c r="L1366" s="78"/>
      <c r="M1366" s="78"/>
      <c r="N1366" s="78"/>
      <c r="O1366" s="78"/>
      <c r="P1366" s="78"/>
      <c r="Q1366" s="78"/>
      <c r="R1366" s="78"/>
      <c r="S1366" s="78"/>
      <c r="T1366" s="78"/>
      <c r="U1366" s="78"/>
      <c r="V1366" s="78"/>
      <c r="W1366" s="78"/>
      <c r="X1366" s="78"/>
      <c r="Y1366" s="78"/>
      <c r="Z1366" s="78"/>
    </row>
    <row r="1367">
      <c r="A1367" s="78">
        <v>421.0</v>
      </c>
      <c r="B1367" s="78"/>
      <c r="C1367" s="138"/>
      <c r="D1367" s="78"/>
      <c r="E1367" s="139" t="str">
        <f t="array" ref="E1367">IF(
UPPER(TRIM(CLEAN($O1367)))="ENTREGADO",
IFERROR(
INDEX(REPORTE_DROPI!Y:Y,
MATCH($T1367, REPORTE_DROPI!B:B, 0)
),
""
),
""
)
</f>
        <v/>
      </c>
      <c r="F1367" s="78"/>
      <c r="G1367" s="78"/>
      <c r="H1367" s="78"/>
      <c r="I1367" s="78"/>
      <c r="J1367" s="78"/>
      <c r="K1367" s="78"/>
      <c r="L1367" s="78"/>
      <c r="M1367" s="78"/>
      <c r="N1367" s="78"/>
      <c r="O1367" s="78"/>
      <c r="P1367" s="78"/>
      <c r="Q1367" s="78"/>
      <c r="R1367" s="78"/>
      <c r="S1367" s="78"/>
      <c r="T1367" s="78"/>
      <c r="U1367" s="78"/>
      <c r="V1367" s="78"/>
      <c r="W1367" s="78"/>
      <c r="X1367" s="78"/>
      <c r="Y1367" s="78"/>
      <c r="Z1367" s="78"/>
    </row>
    <row r="1368">
      <c r="A1368" s="78">
        <v>422.0</v>
      </c>
      <c r="B1368" s="78"/>
      <c r="C1368" s="138"/>
      <c r="D1368" s="78"/>
      <c r="E1368" s="139" t="str">
        <f t="array" ref="E1368">IF(
UPPER(TRIM(CLEAN($O1368)))="ENTREGADO",
IFERROR(
INDEX(REPORTE_DROPI!Y:Y,
MATCH($T1368, REPORTE_DROPI!B:B, 0)
),
""
),
""
)
</f>
        <v/>
      </c>
      <c r="F1368" s="78"/>
      <c r="G1368" s="78"/>
      <c r="H1368" s="78"/>
      <c r="I1368" s="78"/>
      <c r="J1368" s="78"/>
      <c r="K1368" s="78"/>
      <c r="L1368" s="78"/>
      <c r="M1368" s="78"/>
      <c r="N1368" s="78"/>
      <c r="O1368" s="78"/>
      <c r="P1368" s="78"/>
      <c r="Q1368" s="78"/>
      <c r="R1368" s="78"/>
      <c r="S1368" s="78"/>
      <c r="T1368" s="78"/>
      <c r="U1368" s="78"/>
      <c r="V1368" s="78"/>
      <c r="W1368" s="78"/>
      <c r="X1368" s="78"/>
      <c r="Y1368" s="78"/>
      <c r="Z1368" s="78"/>
    </row>
    <row r="1369">
      <c r="A1369" s="78">
        <v>423.0</v>
      </c>
      <c r="B1369" s="78"/>
      <c r="C1369" s="138"/>
      <c r="D1369" s="78"/>
      <c r="E1369" s="139" t="str">
        <f t="array" ref="E1369">IF(
UPPER(TRIM(CLEAN($O1369)))="ENTREGADO",
IFERROR(
INDEX(REPORTE_DROPI!Y:Y,
MATCH($T1369, REPORTE_DROPI!B:B, 0)
),
""
),
""
)
</f>
        <v/>
      </c>
      <c r="F1369" s="78"/>
      <c r="G1369" s="78"/>
      <c r="H1369" s="78"/>
      <c r="I1369" s="78"/>
      <c r="J1369" s="78"/>
      <c r="K1369" s="78"/>
      <c r="L1369" s="78"/>
      <c r="M1369" s="78"/>
      <c r="N1369" s="78"/>
      <c r="O1369" s="78"/>
      <c r="P1369" s="78"/>
      <c r="Q1369" s="78"/>
      <c r="R1369" s="78"/>
      <c r="S1369" s="78"/>
      <c r="T1369" s="78"/>
      <c r="U1369" s="78"/>
      <c r="V1369" s="78"/>
      <c r="W1369" s="78"/>
      <c r="X1369" s="78"/>
      <c r="Y1369" s="78"/>
      <c r="Z1369" s="78"/>
    </row>
    <row r="1370">
      <c r="A1370" s="78">
        <v>424.0</v>
      </c>
      <c r="B1370" s="78"/>
      <c r="C1370" s="138"/>
      <c r="D1370" s="78"/>
      <c r="E1370" s="139" t="str">
        <f t="array" ref="E1370">IF(
UPPER(TRIM(CLEAN($O1370)))="ENTREGADO",
IFERROR(
INDEX(REPORTE_DROPI!Y:Y,
MATCH($T1370, REPORTE_DROPI!B:B, 0)
),
""
),
""
)
</f>
        <v/>
      </c>
      <c r="F1370" s="78"/>
      <c r="G1370" s="78"/>
      <c r="H1370" s="78"/>
      <c r="I1370" s="78"/>
      <c r="J1370" s="78"/>
      <c r="K1370" s="78"/>
      <c r="L1370" s="78"/>
      <c r="M1370" s="78"/>
      <c r="N1370" s="78"/>
      <c r="O1370" s="78"/>
      <c r="P1370" s="78"/>
      <c r="Q1370" s="78"/>
      <c r="R1370" s="78"/>
      <c r="S1370" s="78"/>
      <c r="T1370" s="78"/>
      <c r="U1370" s="78"/>
      <c r="V1370" s="78"/>
      <c r="W1370" s="78"/>
      <c r="X1370" s="78"/>
      <c r="Y1370" s="78"/>
      <c r="Z1370" s="78"/>
    </row>
    <row r="1371">
      <c r="A1371" s="78">
        <v>425.0</v>
      </c>
      <c r="B1371" s="78"/>
      <c r="C1371" s="138"/>
      <c r="D1371" s="78"/>
      <c r="E1371" s="139" t="str">
        <f t="array" ref="E1371">IF(
UPPER(TRIM(CLEAN($O1371)))="ENTREGADO",
IFERROR(
INDEX(REPORTE_DROPI!Y:Y,
MATCH($T1371, REPORTE_DROPI!B:B, 0)
),
""
),
""
)
</f>
        <v/>
      </c>
      <c r="F1371" s="78"/>
      <c r="G1371" s="78"/>
      <c r="H1371" s="78"/>
      <c r="I1371" s="78"/>
      <c r="J1371" s="78"/>
      <c r="K1371" s="78"/>
      <c r="L1371" s="78"/>
      <c r="M1371" s="78"/>
      <c r="N1371" s="78"/>
      <c r="O1371" s="78"/>
      <c r="P1371" s="78"/>
      <c r="Q1371" s="78"/>
      <c r="R1371" s="78"/>
      <c r="S1371" s="78"/>
      <c r="T1371" s="78"/>
      <c r="U1371" s="78"/>
      <c r="V1371" s="78"/>
      <c r="W1371" s="78"/>
      <c r="X1371" s="78"/>
      <c r="Y1371" s="78"/>
      <c r="Z1371" s="78"/>
    </row>
    <row r="1372">
      <c r="A1372" s="78">
        <v>426.0</v>
      </c>
      <c r="B1372" s="78"/>
      <c r="C1372" s="138"/>
      <c r="D1372" s="78"/>
      <c r="E1372" s="139" t="str">
        <f t="array" ref="E1372">IF(
UPPER(TRIM(CLEAN($O1372)))="ENTREGADO",
IFERROR(
INDEX(REPORTE_DROPI!Y:Y,
MATCH($T1372, REPORTE_DROPI!B:B, 0)
),
""
),
""
)
</f>
        <v/>
      </c>
      <c r="F1372" s="78"/>
      <c r="G1372" s="78"/>
      <c r="H1372" s="78"/>
      <c r="I1372" s="78"/>
      <c r="J1372" s="78"/>
      <c r="K1372" s="78"/>
      <c r="L1372" s="78"/>
      <c r="M1372" s="78"/>
      <c r="N1372" s="78"/>
      <c r="O1372" s="78"/>
      <c r="P1372" s="78"/>
      <c r="Q1372" s="78"/>
      <c r="R1372" s="78"/>
      <c r="S1372" s="78"/>
      <c r="T1372" s="78"/>
      <c r="U1372" s="78"/>
      <c r="V1372" s="78"/>
      <c r="W1372" s="78"/>
      <c r="X1372" s="78"/>
      <c r="Y1372" s="78"/>
      <c r="Z1372" s="78"/>
    </row>
    <row r="1373">
      <c r="A1373" s="78">
        <v>427.0</v>
      </c>
      <c r="B1373" s="78"/>
      <c r="C1373" s="138"/>
      <c r="D1373" s="78"/>
      <c r="E1373" s="139" t="str">
        <f t="array" ref="E1373">IF(
UPPER(TRIM(CLEAN($O1373)))="ENTREGADO",
IFERROR(
INDEX(REPORTE_DROPI!Y:Y,
MATCH($T1373, REPORTE_DROPI!B:B, 0)
),
""
),
""
)
</f>
        <v/>
      </c>
      <c r="F1373" s="78"/>
      <c r="G1373" s="78"/>
      <c r="H1373" s="78"/>
      <c r="I1373" s="78"/>
      <c r="J1373" s="78"/>
      <c r="K1373" s="78"/>
      <c r="L1373" s="78"/>
      <c r="M1373" s="78"/>
      <c r="N1373" s="78"/>
      <c r="O1373" s="78"/>
      <c r="P1373" s="78"/>
      <c r="Q1373" s="78"/>
      <c r="R1373" s="78"/>
      <c r="S1373" s="78"/>
      <c r="T1373" s="78"/>
      <c r="U1373" s="78"/>
      <c r="V1373" s="78"/>
      <c r="W1373" s="78"/>
      <c r="X1373" s="78"/>
      <c r="Y1373" s="78"/>
      <c r="Z1373" s="78"/>
    </row>
    <row r="1374">
      <c r="A1374" s="78">
        <v>428.0</v>
      </c>
      <c r="B1374" s="78"/>
      <c r="C1374" s="138"/>
      <c r="D1374" s="78"/>
      <c r="E1374" s="139" t="str">
        <f t="array" ref="E1374">IF(
UPPER(TRIM(CLEAN($O1374)))="ENTREGADO",
IFERROR(
INDEX(REPORTE_DROPI!Y:Y,
MATCH($T1374, REPORTE_DROPI!B:B, 0)
),
""
),
""
)
</f>
        <v/>
      </c>
      <c r="F1374" s="78"/>
      <c r="G1374" s="78"/>
      <c r="H1374" s="78"/>
      <c r="I1374" s="78"/>
      <c r="J1374" s="78"/>
      <c r="K1374" s="78"/>
      <c r="L1374" s="78"/>
      <c r="M1374" s="78"/>
      <c r="N1374" s="78"/>
      <c r="O1374" s="78"/>
      <c r="P1374" s="78"/>
      <c r="Q1374" s="78"/>
      <c r="R1374" s="78"/>
      <c r="S1374" s="78"/>
      <c r="T1374" s="78"/>
      <c r="U1374" s="78"/>
      <c r="V1374" s="78"/>
      <c r="W1374" s="78"/>
      <c r="X1374" s="78"/>
      <c r="Y1374" s="78"/>
      <c r="Z1374" s="78"/>
    </row>
    <row r="1375">
      <c r="A1375" s="78">
        <v>429.0</v>
      </c>
      <c r="B1375" s="78"/>
      <c r="C1375" s="138"/>
      <c r="D1375" s="78"/>
      <c r="E1375" s="139" t="str">
        <f t="array" ref="E1375">IF(
UPPER(TRIM(CLEAN($O1375)))="ENTREGADO",
IFERROR(
INDEX(REPORTE_DROPI!Y:Y,
MATCH($T1375, REPORTE_DROPI!B:B, 0)
),
""
),
""
)
</f>
        <v/>
      </c>
      <c r="F1375" s="78"/>
      <c r="G1375" s="78"/>
      <c r="H1375" s="78"/>
      <c r="I1375" s="78"/>
      <c r="J1375" s="78"/>
      <c r="K1375" s="78"/>
      <c r="L1375" s="78"/>
      <c r="M1375" s="78"/>
      <c r="N1375" s="78"/>
      <c r="O1375" s="78"/>
      <c r="P1375" s="78"/>
      <c r="Q1375" s="78"/>
      <c r="R1375" s="78"/>
      <c r="S1375" s="78"/>
      <c r="T1375" s="78"/>
      <c r="U1375" s="78"/>
      <c r="V1375" s="78"/>
      <c r="W1375" s="78"/>
      <c r="X1375" s="78"/>
      <c r="Y1375" s="78"/>
      <c r="Z1375" s="78"/>
    </row>
    <row r="1376">
      <c r="A1376" s="78">
        <v>430.0</v>
      </c>
      <c r="B1376" s="78"/>
      <c r="C1376" s="138"/>
      <c r="D1376" s="78"/>
      <c r="E1376" s="139" t="str">
        <f t="array" ref="E1376">IF(
UPPER(TRIM(CLEAN($O1376)))="ENTREGADO",
IFERROR(
INDEX(REPORTE_DROPI!Y:Y,
MATCH($T1376, REPORTE_DROPI!B:B, 0)
),
""
),
""
)
</f>
        <v/>
      </c>
      <c r="F1376" s="78"/>
      <c r="G1376" s="78"/>
      <c r="H1376" s="78"/>
      <c r="I1376" s="78"/>
      <c r="J1376" s="78"/>
      <c r="K1376" s="78"/>
      <c r="L1376" s="78"/>
      <c r="M1376" s="78"/>
      <c r="N1376" s="78"/>
      <c r="O1376" s="78"/>
      <c r="P1376" s="78"/>
      <c r="Q1376" s="78"/>
      <c r="R1376" s="78"/>
      <c r="S1376" s="78"/>
      <c r="T1376" s="78"/>
      <c r="U1376" s="78"/>
      <c r="V1376" s="78"/>
      <c r="W1376" s="78"/>
      <c r="X1376" s="78"/>
      <c r="Y1376" s="78"/>
      <c r="Z1376" s="78"/>
    </row>
    <row r="1377">
      <c r="A1377" s="78">
        <v>431.0</v>
      </c>
      <c r="B1377" s="78"/>
      <c r="C1377" s="138"/>
      <c r="D1377" s="78"/>
      <c r="E1377" s="139" t="str">
        <f t="array" ref="E1377">IF(
UPPER(TRIM(CLEAN($O1377)))="ENTREGADO",
IFERROR(
INDEX(REPORTE_DROPI!Y:Y,
MATCH($T1377, REPORTE_DROPI!B:B, 0)
),
""
),
""
)
</f>
        <v/>
      </c>
      <c r="F1377" s="78"/>
      <c r="G1377" s="78"/>
      <c r="H1377" s="78"/>
      <c r="I1377" s="78"/>
      <c r="J1377" s="78"/>
      <c r="K1377" s="78"/>
      <c r="L1377" s="78"/>
      <c r="M1377" s="78"/>
      <c r="N1377" s="78"/>
      <c r="O1377" s="78"/>
      <c r="P1377" s="78"/>
      <c r="Q1377" s="78"/>
      <c r="R1377" s="78"/>
      <c r="S1377" s="78"/>
      <c r="T1377" s="78"/>
      <c r="U1377" s="78"/>
      <c r="V1377" s="78"/>
      <c r="W1377" s="78"/>
      <c r="X1377" s="78"/>
      <c r="Y1377" s="78"/>
      <c r="Z1377" s="78"/>
    </row>
    <row r="1378">
      <c r="A1378" s="78">
        <v>432.0</v>
      </c>
      <c r="B1378" s="78"/>
      <c r="C1378" s="138"/>
      <c r="D1378" s="78"/>
      <c r="E1378" s="139" t="str">
        <f t="array" ref="E1378">IF(
UPPER(TRIM(CLEAN($O1378)))="ENTREGADO",
IFERROR(
INDEX(REPORTE_DROPI!Y:Y,
MATCH($T1378, REPORTE_DROPI!B:B, 0)
),
""
),
""
)
</f>
        <v/>
      </c>
      <c r="F1378" s="78"/>
      <c r="G1378" s="78"/>
      <c r="H1378" s="78"/>
      <c r="I1378" s="78"/>
      <c r="J1378" s="78"/>
      <c r="K1378" s="78"/>
      <c r="L1378" s="78"/>
      <c r="M1378" s="78"/>
      <c r="N1378" s="78"/>
      <c r="O1378" s="78"/>
      <c r="P1378" s="78"/>
      <c r="Q1378" s="78"/>
      <c r="R1378" s="78"/>
      <c r="S1378" s="78"/>
      <c r="T1378" s="78"/>
      <c r="U1378" s="78"/>
      <c r="V1378" s="78"/>
      <c r="W1378" s="78"/>
      <c r="X1378" s="78"/>
      <c r="Y1378" s="78"/>
      <c r="Z1378" s="78"/>
    </row>
    <row r="1379">
      <c r="A1379" s="78">
        <v>433.0</v>
      </c>
      <c r="B1379" s="78"/>
      <c r="C1379" s="138"/>
      <c r="D1379" s="78"/>
      <c r="E1379" s="139" t="str">
        <f t="array" ref="E1379">IF(
UPPER(TRIM(CLEAN($O1379)))="ENTREGADO",
IFERROR(
INDEX(REPORTE_DROPI!Y:Y,
MATCH($T1379, REPORTE_DROPI!B:B, 0)
),
""
),
""
)
</f>
        <v/>
      </c>
      <c r="F1379" s="78"/>
      <c r="G1379" s="78"/>
      <c r="H1379" s="78"/>
      <c r="I1379" s="78"/>
      <c r="J1379" s="78"/>
      <c r="K1379" s="78"/>
      <c r="L1379" s="78"/>
      <c r="M1379" s="78"/>
      <c r="N1379" s="78"/>
      <c r="O1379" s="78"/>
      <c r="P1379" s="78"/>
      <c r="Q1379" s="78"/>
      <c r="R1379" s="78"/>
      <c r="S1379" s="78"/>
      <c r="T1379" s="78"/>
      <c r="U1379" s="78"/>
      <c r="V1379" s="78"/>
      <c r="W1379" s="78"/>
      <c r="X1379" s="78"/>
      <c r="Y1379" s="78"/>
      <c r="Z1379" s="78"/>
    </row>
    <row r="1380">
      <c r="A1380" s="78">
        <v>434.0</v>
      </c>
      <c r="B1380" s="78"/>
      <c r="C1380" s="138"/>
      <c r="D1380" s="78"/>
      <c r="E1380" s="139" t="str">
        <f t="array" ref="E1380">IF(
UPPER(TRIM(CLEAN($O1380)))="ENTREGADO",
IFERROR(
INDEX(REPORTE_DROPI!Y:Y,
MATCH($T1380, REPORTE_DROPI!B:B, 0)
),
""
),
""
)
</f>
        <v/>
      </c>
      <c r="F1380" s="78"/>
      <c r="G1380" s="78"/>
      <c r="H1380" s="78"/>
      <c r="I1380" s="78"/>
      <c r="J1380" s="78"/>
      <c r="K1380" s="78"/>
      <c r="L1380" s="78"/>
      <c r="M1380" s="78"/>
      <c r="N1380" s="78"/>
      <c r="O1380" s="78"/>
      <c r="P1380" s="78"/>
      <c r="Q1380" s="78"/>
      <c r="R1380" s="78"/>
      <c r="S1380" s="78"/>
      <c r="T1380" s="78"/>
      <c r="U1380" s="78"/>
      <c r="V1380" s="78"/>
      <c r="W1380" s="78"/>
      <c r="X1380" s="78"/>
      <c r="Y1380" s="78"/>
      <c r="Z1380" s="78"/>
    </row>
    <row r="1381">
      <c r="A1381" s="78">
        <v>435.0</v>
      </c>
      <c r="B1381" s="78"/>
      <c r="C1381" s="138"/>
      <c r="D1381" s="78"/>
      <c r="E1381" s="139" t="str">
        <f t="array" ref="E1381">IF(
UPPER(TRIM(CLEAN($O1381)))="ENTREGADO",
IFERROR(
INDEX(REPORTE_DROPI!Y:Y,
MATCH($T1381, REPORTE_DROPI!B:B, 0)
),
""
),
""
)
</f>
        <v/>
      </c>
      <c r="F1381" s="78"/>
      <c r="G1381" s="78"/>
      <c r="H1381" s="78"/>
      <c r="I1381" s="78"/>
      <c r="J1381" s="78"/>
      <c r="K1381" s="78"/>
      <c r="L1381" s="78"/>
      <c r="M1381" s="78"/>
      <c r="N1381" s="78"/>
      <c r="O1381" s="78"/>
      <c r="P1381" s="78"/>
      <c r="Q1381" s="78"/>
      <c r="R1381" s="78"/>
      <c r="S1381" s="78"/>
      <c r="T1381" s="78"/>
      <c r="U1381" s="78"/>
      <c r="V1381" s="78"/>
      <c r="W1381" s="78"/>
      <c r="X1381" s="78"/>
      <c r="Y1381" s="78"/>
      <c r="Z1381" s="78"/>
    </row>
    <row r="1382">
      <c r="A1382" s="78">
        <v>436.0</v>
      </c>
      <c r="B1382" s="78"/>
      <c r="C1382" s="138"/>
      <c r="D1382" s="78"/>
      <c r="E1382" s="139" t="str">
        <f t="array" ref="E1382">IF(
UPPER(TRIM(CLEAN($O1382)))="ENTREGADO",
IFERROR(
INDEX(REPORTE_DROPI!Y:Y,
MATCH($T1382, REPORTE_DROPI!B:B, 0)
),
""
),
""
)
</f>
        <v/>
      </c>
      <c r="F1382" s="78"/>
      <c r="G1382" s="78"/>
      <c r="H1382" s="78"/>
      <c r="I1382" s="78"/>
      <c r="J1382" s="78"/>
      <c r="K1382" s="78"/>
      <c r="L1382" s="78"/>
      <c r="M1382" s="78"/>
      <c r="N1382" s="78"/>
      <c r="O1382" s="78"/>
      <c r="P1382" s="78"/>
      <c r="Q1382" s="78"/>
      <c r="R1382" s="78"/>
      <c r="S1382" s="78"/>
      <c r="T1382" s="78"/>
      <c r="U1382" s="78"/>
      <c r="V1382" s="78"/>
      <c r="W1382" s="78"/>
      <c r="X1382" s="78"/>
      <c r="Y1382" s="78"/>
      <c r="Z1382" s="78"/>
    </row>
    <row r="1383">
      <c r="A1383" s="78">
        <v>437.0</v>
      </c>
      <c r="B1383" s="78"/>
      <c r="C1383" s="138"/>
      <c r="D1383" s="78"/>
      <c r="E1383" s="139" t="str">
        <f t="array" ref="E1383">IF(
UPPER(TRIM(CLEAN($O1383)))="ENTREGADO",
IFERROR(
INDEX(REPORTE_DROPI!Y:Y,
MATCH($T1383, REPORTE_DROPI!B:B, 0)
),
""
),
""
)
</f>
        <v/>
      </c>
      <c r="F1383" s="78"/>
      <c r="G1383" s="78"/>
      <c r="H1383" s="78"/>
      <c r="I1383" s="78"/>
      <c r="J1383" s="78"/>
      <c r="K1383" s="78"/>
      <c r="L1383" s="78"/>
      <c r="M1383" s="78"/>
      <c r="N1383" s="78"/>
      <c r="O1383" s="78"/>
      <c r="P1383" s="78"/>
      <c r="Q1383" s="78"/>
      <c r="R1383" s="78"/>
      <c r="S1383" s="78"/>
      <c r="T1383" s="78"/>
      <c r="U1383" s="78"/>
      <c r="V1383" s="78"/>
      <c r="W1383" s="78"/>
      <c r="X1383" s="78"/>
      <c r="Y1383" s="78"/>
      <c r="Z1383" s="78"/>
    </row>
    <row r="1384">
      <c r="A1384" s="78">
        <v>438.0</v>
      </c>
      <c r="B1384" s="78"/>
      <c r="C1384" s="138"/>
      <c r="D1384" s="78"/>
      <c r="E1384" s="139" t="str">
        <f t="array" ref="E1384">IF(
UPPER(TRIM(CLEAN($O1384)))="ENTREGADO",
IFERROR(
INDEX(REPORTE_DROPI!Y:Y,
MATCH($T1384, REPORTE_DROPI!B:B, 0)
),
""
),
""
)
</f>
        <v/>
      </c>
      <c r="F1384" s="78"/>
      <c r="G1384" s="78"/>
      <c r="H1384" s="78"/>
      <c r="I1384" s="78"/>
      <c r="J1384" s="78"/>
      <c r="K1384" s="78"/>
      <c r="L1384" s="78"/>
      <c r="M1384" s="78"/>
      <c r="N1384" s="78"/>
      <c r="O1384" s="78"/>
      <c r="P1384" s="78"/>
      <c r="Q1384" s="78"/>
      <c r="R1384" s="78"/>
      <c r="S1384" s="78"/>
      <c r="T1384" s="78"/>
      <c r="U1384" s="78"/>
      <c r="V1384" s="78"/>
      <c r="W1384" s="78"/>
      <c r="X1384" s="78"/>
      <c r="Y1384" s="78"/>
      <c r="Z1384" s="78"/>
    </row>
    <row r="1385">
      <c r="A1385" s="78">
        <v>439.0</v>
      </c>
      <c r="B1385" s="78"/>
      <c r="C1385" s="138"/>
      <c r="D1385" s="78"/>
      <c r="E1385" s="139" t="str">
        <f t="array" ref="E1385">IF(
UPPER(TRIM(CLEAN($O1385)))="ENTREGADO",
IFERROR(
INDEX(REPORTE_DROPI!Y:Y,
MATCH($T1385, REPORTE_DROPI!B:B, 0)
),
""
),
""
)
</f>
        <v/>
      </c>
      <c r="F1385" s="78"/>
      <c r="G1385" s="78"/>
      <c r="H1385" s="78"/>
      <c r="I1385" s="78"/>
      <c r="J1385" s="78"/>
      <c r="K1385" s="78"/>
      <c r="L1385" s="78"/>
      <c r="M1385" s="78"/>
      <c r="N1385" s="78"/>
      <c r="O1385" s="78"/>
      <c r="P1385" s="78"/>
      <c r="Q1385" s="78"/>
      <c r="R1385" s="78"/>
      <c r="S1385" s="78"/>
      <c r="T1385" s="78"/>
      <c r="U1385" s="78"/>
      <c r="V1385" s="78"/>
      <c r="W1385" s="78"/>
      <c r="X1385" s="78"/>
      <c r="Y1385" s="78"/>
      <c r="Z1385" s="78"/>
    </row>
    <row r="1386">
      <c r="A1386" s="78">
        <v>440.0</v>
      </c>
      <c r="B1386" s="78"/>
      <c r="C1386" s="138"/>
      <c r="D1386" s="78"/>
      <c r="E1386" s="139" t="str">
        <f t="array" ref="E1386">IF(
UPPER(TRIM(CLEAN($O1386)))="ENTREGADO",
IFERROR(
INDEX(REPORTE_DROPI!Y:Y,
MATCH($T1386, REPORTE_DROPI!B:B, 0)
),
""
),
""
)
</f>
        <v/>
      </c>
      <c r="F1386" s="78"/>
      <c r="G1386" s="78"/>
      <c r="H1386" s="78"/>
      <c r="I1386" s="78"/>
      <c r="J1386" s="78"/>
      <c r="K1386" s="78"/>
      <c r="L1386" s="78"/>
      <c r="M1386" s="78"/>
      <c r="N1386" s="78"/>
      <c r="O1386" s="78"/>
      <c r="P1386" s="78"/>
      <c r="Q1386" s="78"/>
      <c r="R1386" s="78"/>
      <c r="S1386" s="78"/>
      <c r="T1386" s="78"/>
      <c r="U1386" s="78"/>
      <c r="V1386" s="78"/>
      <c r="W1386" s="78"/>
      <c r="X1386" s="78"/>
      <c r="Y1386" s="78"/>
      <c r="Z1386" s="78"/>
    </row>
    <row r="1387">
      <c r="A1387" s="78">
        <v>441.0</v>
      </c>
      <c r="B1387" s="78"/>
      <c r="C1387" s="138"/>
      <c r="D1387" s="78"/>
      <c r="E1387" s="139" t="str">
        <f t="array" ref="E1387">IF(
UPPER(TRIM(CLEAN($O1387)))="ENTREGADO",
IFERROR(
INDEX(REPORTE_DROPI!Y:Y,
MATCH($T1387, REPORTE_DROPI!B:B, 0)
),
""
),
""
)
</f>
        <v/>
      </c>
      <c r="F1387" s="78"/>
      <c r="G1387" s="78"/>
      <c r="H1387" s="78"/>
      <c r="I1387" s="78"/>
      <c r="J1387" s="78"/>
      <c r="K1387" s="78"/>
      <c r="L1387" s="78"/>
      <c r="M1387" s="78"/>
      <c r="N1387" s="78"/>
      <c r="O1387" s="78"/>
      <c r="P1387" s="78"/>
      <c r="Q1387" s="78"/>
      <c r="R1387" s="78"/>
      <c r="S1387" s="78"/>
      <c r="T1387" s="78"/>
      <c r="U1387" s="78"/>
      <c r="V1387" s="78"/>
      <c r="W1387" s="78"/>
      <c r="X1387" s="78"/>
      <c r="Y1387" s="78"/>
      <c r="Z1387" s="78"/>
    </row>
    <row r="1388">
      <c r="A1388" s="78">
        <v>442.0</v>
      </c>
      <c r="B1388" s="78"/>
      <c r="C1388" s="138"/>
      <c r="D1388" s="78"/>
      <c r="E1388" s="139" t="str">
        <f t="array" ref="E1388">IF(
UPPER(TRIM(CLEAN($O1388)))="ENTREGADO",
IFERROR(
INDEX(REPORTE_DROPI!Y:Y,
MATCH($T1388, REPORTE_DROPI!B:B, 0)
),
""
),
""
)
</f>
        <v/>
      </c>
      <c r="F1388" s="78"/>
      <c r="G1388" s="78"/>
      <c r="H1388" s="78"/>
      <c r="I1388" s="78"/>
      <c r="J1388" s="78"/>
      <c r="K1388" s="78"/>
      <c r="L1388" s="78"/>
      <c r="M1388" s="78"/>
      <c r="N1388" s="78"/>
      <c r="O1388" s="78"/>
      <c r="P1388" s="78"/>
      <c r="Q1388" s="78"/>
      <c r="R1388" s="78"/>
      <c r="S1388" s="78"/>
      <c r="T1388" s="78"/>
      <c r="U1388" s="78"/>
      <c r="V1388" s="78"/>
      <c r="W1388" s="78"/>
      <c r="X1388" s="78"/>
      <c r="Y1388" s="78"/>
      <c r="Z1388" s="78"/>
    </row>
    <row r="1389">
      <c r="A1389" s="78">
        <v>443.0</v>
      </c>
      <c r="B1389" s="78"/>
      <c r="C1389" s="138"/>
      <c r="D1389" s="78"/>
      <c r="E1389" s="139" t="str">
        <f t="array" ref="E1389">IF(
UPPER(TRIM(CLEAN($O1389)))="ENTREGADO",
IFERROR(
INDEX(REPORTE_DROPI!Y:Y,
MATCH($T1389, REPORTE_DROPI!B:B, 0)
),
""
),
""
)
</f>
        <v/>
      </c>
      <c r="F1389" s="78"/>
      <c r="G1389" s="78"/>
      <c r="H1389" s="78"/>
      <c r="I1389" s="78"/>
      <c r="J1389" s="78"/>
      <c r="K1389" s="78"/>
      <c r="L1389" s="78"/>
      <c r="M1389" s="78"/>
      <c r="N1389" s="78"/>
      <c r="O1389" s="78"/>
      <c r="P1389" s="78"/>
      <c r="Q1389" s="78"/>
      <c r="R1389" s="78"/>
      <c r="S1389" s="78"/>
      <c r="T1389" s="78"/>
      <c r="U1389" s="78"/>
      <c r="V1389" s="78"/>
      <c r="W1389" s="78"/>
      <c r="X1389" s="78"/>
      <c r="Y1389" s="78"/>
      <c r="Z1389" s="78"/>
    </row>
    <row r="1390">
      <c r="A1390" s="78">
        <v>444.0</v>
      </c>
      <c r="B1390" s="78"/>
      <c r="C1390" s="138"/>
      <c r="D1390" s="78"/>
      <c r="E1390" s="139" t="str">
        <f t="array" ref="E1390">IF(
UPPER(TRIM(CLEAN($O1390)))="ENTREGADO",
IFERROR(
INDEX(REPORTE_DROPI!Y:Y,
MATCH($T1390, REPORTE_DROPI!B:B, 0)
),
""
),
""
)
</f>
        <v/>
      </c>
      <c r="F1390" s="78"/>
      <c r="G1390" s="78"/>
      <c r="H1390" s="78"/>
      <c r="I1390" s="78"/>
      <c r="J1390" s="78"/>
      <c r="K1390" s="78"/>
      <c r="L1390" s="78"/>
      <c r="M1390" s="78"/>
      <c r="N1390" s="78"/>
      <c r="O1390" s="78"/>
      <c r="P1390" s="78"/>
      <c r="Q1390" s="78"/>
      <c r="R1390" s="78"/>
      <c r="S1390" s="78"/>
      <c r="T1390" s="78"/>
      <c r="U1390" s="78"/>
      <c r="V1390" s="78"/>
      <c r="W1390" s="78"/>
      <c r="X1390" s="78"/>
      <c r="Y1390" s="78"/>
      <c r="Z1390" s="78"/>
    </row>
    <row r="1391">
      <c r="A1391" s="78">
        <v>445.0</v>
      </c>
      <c r="B1391" s="78"/>
      <c r="C1391" s="138"/>
      <c r="D1391" s="78"/>
      <c r="E1391" s="139" t="str">
        <f t="array" ref="E1391">IF(
UPPER(TRIM(CLEAN($O1391)))="ENTREGADO",
IFERROR(
INDEX(REPORTE_DROPI!Y:Y,
MATCH($T1391, REPORTE_DROPI!B:B, 0)
),
""
),
""
)
</f>
        <v/>
      </c>
      <c r="F1391" s="78"/>
      <c r="G1391" s="78"/>
      <c r="H1391" s="78"/>
      <c r="I1391" s="78"/>
      <c r="J1391" s="78"/>
      <c r="K1391" s="78"/>
      <c r="L1391" s="78"/>
      <c r="M1391" s="78"/>
      <c r="N1391" s="78"/>
      <c r="O1391" s="78"/>
      <c r="P1391" s="78"/>
      <c r="Q1391" s="78"/>
      <c r="R1391" s="78"/>
      <c r="S1391" s="78"/>
      <c r="T1391" s="78"/>
      <c r="U1391" s="78"/>
      <c r="V1391" s="78"/>
      <c r="W1391" s="78"/>
      <c r="X1391" s="78"/>
      <c r="Y1391" s="78"/>
      <c r="Z1391" s="78"/>
    </row>
    <row r="1392">
      <c r="A1392" s="78">
        <v>446.0</v>
      </c>
      <c r="B1392" s="78"/>
      <c r="C1392" s="138"/>
      <c r="D1392" s="78"/>
      <c r="E1392" s="139" t="str">
        <f t="array" ref="E1392">IF(
UPPER(TRIM(CLEAN($O1392)))="ENTREGADO",
IFERROR(
INDEX(REPORTE_DROPI!Y:Y,
MATCH($T1392, REPORTE_DROPI!B:B, 0)
),
""
),
""
)
</f>
        <v/>
      </c>
      <c r="F1392" s="78"/>
      <c r="G1392" s="78"/>
      <c r="H1392" s="78"/>
      <c r="I1392" s="78"/>
      <c r="J1392" s="78"/>
      <c r="K1392" s="78"/>
      <c r="L1392" s="78"/>
      <c r="M1392" s="78"/>
      <c r="N1392" s="78"/>
      <c r="O1392" s="78"/>
      <c r="P1392" s="78"/>
      <c r="Q1392" s="78"/>
      <c r="R1392" s="78"/>
      <c r="S1392" s="78"/>
      <c r="T1392" s="78"/>
      <c r="U1392" s="78"/>
      <c r="V1392" s="78"/>
      <c r="W1392" s="78"/>
      <c r="X1392" s="78"/>
      <c r="Y1392" s="78"/>
      <c r="Z1392" s="78"/>
    </row>
    <row r="1393">
      <c r="A1393" s="78">
        <v>447.0</v>
      </c>
      <c r="B1393" s="78"/>
      <c r="C1393" s="138"/>
      <c r="D1393" s="78"/>
      <c r="E1393" s="139" t="str">
        <f t="array" ref="E1393">IF(
UPPER(TRIM(CLEAN($O1393)))="ENTREGADO",
IFERROR(
INDEX(REPORTE_DROPI!Y:Y,
MATCH($T1393, REPORTE_DROPI!B:B, 0)
),
""
),
""
)
</f>
        <v/>
      </c>
      <c r="F1393" s="78"/>
      <c r="G1393" s="78"/>
      <c r="H1393" s="78"/>
      <c r="I1393" s="78"/>
      <c r="J1393" s="78"/>
      <c r="K1393" s="78"/>
      <c r="L1393" s="78"/>
      <c r="M1393" s="78"/>
      <c r="N1393" s="78"/>
      <c r="O1393" s="78"/>
      <c r="P1393" s="78"/>
      <c r="Q1393" s="78"/>
      <c r="R1393" s="78"/>
      <c r="S1393" s="78"/>
      <c r="T1393" s="78"/>
      <c r="U1393" s="78"/>
      <c r="V1393" s="78"/>
      <c r="W1393" s="78"/>
      <c r="X1393" s="78"/>
      <c r="Y1393" s="78"/>
      <c r="Z1393" s="78"/>
    </row>
    <row r="1394">
      <c r="A1394" s="78">
        <v>448.0</v>
      </c>
      <c r="B1394" s="78"/>
      <c r="C1394" s="138"/>
      <c r="D1394" s="78"/>
      <c r="E1394" s="139" t="str">
        <f t="array" ref="E1394">IF(
UPPER(TRIM(CLEAN($O1394)))="ENTREGADO",
IFERROR(
INDEX(REPORTE_DROPI!Y:Y,
MATCH($T1394, REPORTE_DROPI!B:B, 0)
),
""
),
""
)
</f>
        <v/>
      </c>
      <c r="F1394" s="78"/>
      <c r="G1394" s="78"/>
      <c r="H1394" s="78"/>
      <c r="I1394" s="78"/>
      <c r="J1394" s="78"/>
      <c r="K1394" s="78"/>
      <c r="L1394" s="78"/>
      <c r="M1394" s="78"/>
      <c r="N1394" s="78"/>
      <c r="O1394" s="78"/>
      <c r="P1394" s="78"/>
      <c r="Q1394" s="78"/>
      <c r="R1394" s="78"/>
      <c r="S1394" s="78"/>
      <c r="T1394" s="78"/>
      <c r="U1394" s="78"/>
      <c r="V1394" s="78"/>
      <c r="W1394" s="78"/>
      <c r="X1394" s="78"/>
      <c r="Y1394" s="78"/>
      <c r="Z1394" s="78"/>
    </row>
    <row r="1395">
      <c r="A1395" s="78">
        <v>449.0</v>
      </c>
      <c r="B1395" s="78"/>
      <c r="C1395" s="138"/>
      <c r="D1395" s="78"/>
      <c r="E1395" s="139" t="str">
        <f t="array" ref="E1395">IF(
UPPER(TRIM(CLEAN($O1395)))="ENTREGADO",
IFERROR(
INDEX(REPORTE_DROPI!Y:Y,
MATCH($T1395, REPORTE_DROPI!B:B, 0)
),
""
),
""
)
</f>
        <v/>
      </c>
      <c r="F1395" s="78"/>
      <c r="G1395" s="78"/>
      <c r="H1395" s="78"/>
      <c r="I1395" s="78"/>
      <c r="J1395" s="78"/>
      <c r="K1395" s="78"/>
      <c r="L1395" s="78"/>
      <c r="M1395" s="78"/>
      <c r="N1395" s="78"/>
      <c r="O1395" s="78"/>
      <c r="P1395" s="78"/>
      <c r="Q1395" s="78"/>
      <c r="R1395" s="78"/>
      <c r="S1395" s="78"/>
      <c r="T1395" s="78"/>
      <c r="U1395" s="78"/>
      <c r="V1395" s="78"/>
      <c r="W1395" s="78"/>
      <c r="X1395" s="78"/>
      <c r="Y1395" s="78"/>
      <c r="Z1395" s="78"/>
    </row>
    <row r="1396">
      <c r="A1396" s="78">
        <v>450.0</v>
      </c>
      <c r="B1396" s="78"/>
      <c r="C1396" s="138"/>
      <c r="D1396" s="78"/>
      <c r="E1396" s="139" t="str">
        <f t="array" ref="E1396">IF(
UPPER(TRIM(CLEAN($O1396)))="ENTREGADO",
IFERROR(
INDEX(REPORTE_DROPI!Y:Y,
MATCH($T1396, REPORTE_DROPI!B:B, 0)
),
""
),
""
)
</f>
        <v/>
      </c>
      <c r="F1396" s="78"/>
      <c r="G1396" s="78"/>
      <c r="H1396" s="78"/>
      <c r="I1396" s="78"/>
      <c r="J1396" s="78"/>
      <c r="K1396" s="78"/>
      <c r="L1396" s="78"/>
      <c r="M1396" s="78"/>
      <c r="N1396" s="78"/>
      <c r="O1396" s="78"/>
      <c r="P1396" s="78"/>
      <c r="Q1396" s="78"/>
      <c r="R1396" s="78"/>
      <c r="S1396" s="78"/>
      <c r="T1396" s="78"/>
      <c r="U1396" s="78"/>
      <c r="V1396" s="78"/>
      <c r="W1396" s="78"/>
      <c r="X1396" s="78"/>
      <c r="Y1396" s="78"/>
      <c r="Z1396" s="78"/>
    </row>
    <row r="1397">
      <c r="A1397" s="78">
        <v>451.0</v>
      </c>
      <c r="B1397" s="78"/>
      <c r="C1397" s="138"/>
      <c r="D1397" s="78"/>
      <c r="E1397" s="139" t="str">
        <f t="array" ref="E1397">IF(
UPPER(TRIM(CLEAN($O1397)))="ENTREGADO",
IFERROR(
INDEX(REPORTE_DROPI!Y:Y,
MATCH($T1397, REPORTE_DROPI!B:B, 0)
),
""
),
""
)
</f>
        <v/>
      </c>
      <c r="F1397" s="78"/>
      <c r="G1397" s="78"/>
      <c r="H1397" s="78"/>
      <c r="I1397" s="78"/>
      <c r="J1397" s="78"/>
      <c r="K1397" s="78"/>
      <c r="L1397" s="78"/>
      <c r="M1397" s="78"/>
      <c r="N1397" s="78"/>
      <c r="O1397" s="78"/>
      <c r="P1397" s="78"/>
      <c r="Q1397" s="78"/>
      <c r="R1397" s="78"/>
      <c r="S1397" s="78"/>
      <c r="T1397" s="78"/>
      <c r="U1397" s="78"/>
      <c r="V1397" s="78"/>
      <c r="W1397" s="78"/>
      <c r="X1397" s="78"/>
      <c r="Y1397" s="78"/>
      <c r="Z1397" s="78"/>
    </row>
    <row r="1398">
      <c r="A1398" s="78">
        <v>452.0</v>
      </c>
      <c r="B1398" s="78"/>
      <c r="C1398" s="138"/>
      <c r="D1398" s="78"/>
      <c r="E1398" s="139" t="str">
        <f t="array" ref="E1398">IF(
UPPER(TRIM(CLEAN($O1398)))="ENTREGADO",
IFERROR(
INDEX(REPORTE_DROPI!Y:Y,
MATCH($T1398, REPORTE_DROPI!B:B, 0)
),
""
),
""
)
</f>
        <v/>
      </c>
      <c r="F1398" s="78"/>
      <c r="G1398" s="78"/>
      <c r="H1398" s="78"/>
      <c r="I1398" s="78"/>
      <c r="J1398" s="78"/>
      <c r="K1398" s="78"/>
      <c r="L1398" s="78"/>
      <c r="M1398" s="78"/>
      <c r="N1398" s="78"/>
      <c r="O1398" s="78"/>
      <c r="P1398" s="78"/>
      <c r="Q1398" s="78"/>
      <c r="R1398" s="78"/>
      <c r="S1398" s="78"/>
      <c r="T1398" s="78"/>
      <c r="U1398" s="78"/>
      <c r="V1398" s="78"/>
      <c r="W1398" s="78"/>
      <c r="X1398" s="78"/>
      <c r="Y1398" s="78"/>
      <c r="Z1398" s="78"/>
    </row>
    <row r="1399">
      <c r="A1399" s="78">
        <v>453.0</v>
      </c>
      <c r="B1399" s="78"/>
      <c r="C1399" s="138"/>
      <c r="D1399" s="78"/>
      <c r="E1399" s="139" t="str">
        <f t="array" ref="E1399">IF(
UPPER(TRIM(CLEAN($O1399)))="ENTREGADO",
IFERROR(
INDEX(REPORTE_DROPI!Y:Y,
MATCH($T1399, REPORTE_DROPI!B:B, 0)
),
""
),
""
)
</f>
        <v/>
      </c>
      <c r="F1399" s="78"/>
      <c r="G1399" s="78"/>
      <c r="H1399" s="78"/>
      <c r="I1399" s="78"/>
      <c r="J1399" s="78"/>
      <c r="K1399" s="78"/>
      <c r="L1399" s="78"/>
      <c r="M1399" s="78"/>
      <c r="N1399" s="78"/>
      <c r="O1399" s="78"/>
      <c r="P1399" s="78"/>
      <c r="Q1399" s="78"/>
      <c r="R1399" s="78"/>
      <c r="S1399" s="78"/>
      <c r="T1399" s="78"/>
      <c r="U1399" s="78"/>
      <c r="V1399" s="78"/>
      <c r="W1399" s="78"/>
      <c r="X1399" s="78"/>
      <c r="Y1399" s="78"/>
      <c r="Z1399" s="78"/>
    </row>
    <row r="1400">
      <c r="A1400" s="78">
        <v>454.0</v>
      </c>
      <c r="B1400" s="78"/>
      <c r="C1400" s="138"/>
      <c r="D1400" s="78"/>
      <c r="E1400" s="139" t="str">
        <f t="array" ref="E1400">IF(
UPPER(TRIM(CLEAN($O1400)))="ENTREGADO",
IFERROR(
INDEX(REPORTE_DROPI!Y:Y,
MATCH($T1400, REPORTE_DROPI!B:B, 0)
),
""
),
""
)
</f>
        <v/>
      </c>
      <c r="F1400" s="78"/>
      <c r="G1400" s="78"/>
      <c r="H1400" s="78"/>
      <c r="I1400" s="78"/>
      <c r="J1400" s="78"/>
      <c r="K1400" s="78"/>
      <c r="L1400" s="78"/>
      <c r="M1400" s="78"/>
      <c r="N1400" s="78"/>
      <c r="O1400" s="78"/>
      <c r="P1400" s="78"/>
      <c r="Q1400" s="78"/>
      <c r="R1400" s="78"/>
      <c r="S1400" s="78"/>
      <c r="T1400" s="78"/>
      <c r="U1400" s="78"/>
      <c r="V1400" s="78"/>
      <c r="W1400" s="78"/>
      <c r="X1400" s="78"/>
      <c r="Y1400" s="78"/>
      <c r="Z1400" s="78"/>
    </row>
    <row r="1401">
      <c r="A1401" s="78">
        <v>455.0</v>
      </c>
      <c r="B1401" s="78"/>
      <c r="C1401" s="138"/>
      <c r="D1401" s="78"/>
      <c r="E1401" s="139" t="str">
        <f t="array" ref="E1401">IF(
UPPER(TRIM(CLEAN($O1401)))="ENTREGADO",
IFERROR(
INDEX(REPORTE_DROPI!Y:Y,
MATCH($T1401, REPORTE_DROPI!B:B, 0)
),
""
),
""
)
</f>
        <v/>
      </c>
      <c r="F1401" s="78"/>
      <c r="G1401" s="78"/>
      <c r="H1401" s="78"/>
      <c r="I1401" s="78"/>
      <c r="J1401" s="78"/>
      <c r="K1401" s="78"/>
      <c r="L1401" s="78"/>
      <c r="M1401" s="78"/>
      <c r="N1401" s="78"/>
      <c r="O1401" s="78"/>
      <c r="P1401" s="78"/>
      <c r="Q1401" s="78"/>
      <c r="R1401" s="78"/>
      <c r="S1401" s="78"/>
      <c r="T1401" s="78"/>
      <c r="U1401" s="78"/>
      <c r="V1401" s="78"/>
      <c r="W1401" s="78"/>
      <c r="X1401" s="78"/>
      <c r="Y1401" s="78"/>
      <c r="Z1401" s="78"/>
    </row>
    <row r="1402">
      <c r="A1402" s="78">
        <v>456.0</v>
      </c>
      <c r="B1402" s="78"/>
      <c r="C1402" s="138"/>
      <c r="D1402" s="78"/>
      <c r="E1402" s="139" t="str">
        <f t="array" ref="E1402">IF(
UPPER(TRIM(CLEAN($O1402)))="ENTREGADO",
IFERROR(
INDEX(REPORTE_DROPI!Y:Y,
MATCH($T1402, REPORTE_DROPI!B:B, 0)
),
""
),
""
)
</f>
        <v/>
      </c>
      <c r="F1402" s="78"/>
      <c r="G1402" s="78"/>
      <c r="H1402" s="78"/>
      <c r="I1402" s="78"/>
      <c r="J1402" s="78"/>
      <c r="K1402" s="78"/>
      <c r="L1402" s="78"/>
      <c r="M1402" s="78"/>
      <c r="N1402" s="78"/>
      <c r="O1402" s="78"/>
      <c r="P1402" s="78"/>
      <c r="Q1402" s="78"/>
      <c r="R1402" s="78"/>
      <c r="S1402" s="78"/>
      <c r="T1402" s="78"/>
      <c r="U1402" s="78"/>
      <c r="V1402" s="78"/>
      <c r="W1402" s="78"/>
      <c r="X1402" s="78"/>
      <c r="Y1402" s="78"/>
      <c r="Z1402" s="78"/>
    </row>
    <row r="1403">
      <c r="A1403" s="78">
        <v>457.0</v>
      </c>
      <c r="B1403" s="78"/>
      <c r="C1403" s="138"/>
      <c r="D1403" s="78"/>
      <c r="E1403" s="139" t="str">
        <f t="array" ref="E1403">IF(
UPPER(TRIM(CLEAN($O1403)))="ENTREGADO",
IFERROR(
INDEX(REPORTE_DROPI!Y:Y,
MATCH($T1403, REPORTE_DROPI!B:B, 0)
),
""
),
""
)
</f>
        <v/>
      </c>
      <c r="F1403" s="78"/>
      <c r="G1403" s="78"/>
      <c r="H1403" s="78"/>
      <c r="I1403" s="78"/>
      <c r="J1403" s="78"/>
      <c r="K1403" s="78"/>
      <c r="L1403" s="78"/>
      <c r="M1403" s="78"/>
      <c r="N1403" s="78"/>
      <c r="O1403" s="78"/>
      <c r="P1403" s="78"/>
      <c r="Q1403" s="78"/>
      <c r="R1403" s="78"/>
      <c r="S1403" s="78"/>
      <c r="T1403" s="78"/>
      <c r="U1403" s="78"/>
      <c r="V1403" s="78"/>
      <c r="W1403" s="78"/>
      <c r="X1403" s="78"/>
      <c r="Y1403" s="78"/>
      <c r="Z1403" s="78"/>
    </row>
    <row r="1404">
      <c r="A1404" s="78">
        <v>458.0</v>
      </c>
      <c r="B1404" s="78"/>
      <c r="C1404" s="138"/>
      <c r="D1404" s="78"/>
      <c r="E1404" s="139" t="str">
        <f t="array" ref="E1404">IF(
UPPER(TRIM(CLEAN($O1404)))="ENTREGADO",
IFERROR(
INDEX(REPORTE_DROPI!Y:Y,
MATCH($T1404, REPORTE_DROPI!B:B, 0)
),
""
),
""
)
</f>
        <v/>
      </c>
      <c r="F1404" s="78"/>
      <c r="G1404" s="78"/>
      <c r="H1404" s="78"/>
      <c r="I1404" s="78"/>
      <c r="J1404" s="78"/>
      <c r="K1404" s="78"/>
      <c r="L1404" s="78"/>
      <c r="M1404" s="78"/>
      <c r="N1404" s="78"/>
      <c r="O1404" s="78"/>
      <c r="P1404" s="78"/>
      <c r="Q1404" s="78"/>
      <c r="R1404" s="78"/>
      <c r="S1404" s="78"/>
      <c r="T1404" s="78"/>
      <c r="U1404" s="78"/>
      <c r="V1404" s="78"/>
      <c r="W1404" s="78"/>
      <c r="X1404" s="78"/>
      <c r="Y1404" s="78"/>
      <c r="Z1404" s="78"/>
    </row>
    <row r="1405">
      <c r="A1405" s="78">
        <v>459.0</v>
      </c>
      <c r="B1405" s="78"/>
      <c r="C1405" s="138"/>
      <c r="D1405" s="78"/>
      <c r="E1405" s="139" t="str">
        <f t="array" ref="E1405">IF(
UPPER(TRIM(CLEAN($O1405)))="ENTREGADO",
IFERROR(
INDEX(REPORTE_DROPI!Y:Y,
MATCH($T1405, REPORTE_DROPI!B:B, 0)
),
""
),
""
)
</f>
        <v/>
      </c>
      <c r="F1405" s="78"/>
      <c r="G1405" s="78"/>
      <c r="H1405" s="78"/>
      <c r="I1405" s="78"/>
      <c r="J1405" s="78"/>
      <c r="K1405" s="78"/>
      <c r="L1405" s="78"/>
      <c r="M1405" s="78"/>
      <c r="N1405" s="78"/>
      <c r="O1405" s="78"/>
      <c r="P1405" s="78"/>
      <c r="Q1405" s="78"/>
      <c r="R1405" s="78"/>
      <c r="S1405" s="78"/>
      <c r="T1405" s="78"/>
      <c r="U1405" s="78"/>
      <c r="V1405" s="78"/>
      <c r="W1405" s="78"/>
      <c r="X1405" s="78"/>
      <c r="Y1405" s="78"/>
      <c r="Z1405" s="78"/>
    </row>
    <row r="1406">
      <c r="A1406" s="78">
        <v>460.0</v>
      </c>
      <c r="B1406" s="78"/>
      <c r="C1406" s="138"/>
      <c r="D1406" s="78"/>
      <c r="E1406" s="139" t="str">
        <f t="array" ref="E1406">IF(
UPPER(TRIM(CLEAN($O1406)))="ENTREGADO",
IFERROR(
INDEX(REPORTE_DROPI!Y:Y,
MATCH($T1406, REPORTE_DROPI!B:B, 0)
),
""
),
""
)
</f>
        <v/>
      </c>
      <c r="F1406" s="78"/>
      <c r="G1406" s="78"/>
      <c r="H1406" s="78"/>
      <c r="I1406" s="78"/>
      <c r="J1406" s="78"/>
      <c r="K1406" s="78"/>
      <c r="L1406" s="78"/>
      <c r="M1406" s="78"/>
      <c r="N1406" s="78"/>
      <c r="O1406" s="78"/>
      <c r="P1406" s="78"/>
      <c r="Q1406" s="78"/>
      <c r="R1406" s="78"/>
      <c r="S1406" s="78"/>
      <c r="T1406" s="78"/>
      <c r="U1406" s="78"/>
      <c r="V1406" s="78"/>
      <c r="W1406" s="78"/>
      <c r="X1406" s="78"/>
      <c r="Y1406" s="78"/>
      <c r="Z1406" s="78"/>
    </row>
    <row r="1407">
      <c r="A1407" s="78">
        <v>461.0</v>
      </c>
      <c r="B1407" s="78"/>
      <c r="C1407" s="138"/>
      <c r="D1407" s="78"/>
      <c r="E1407" s="139" t="str">
        <f t="array" ref="E1407">IF(
UPPER(TRIM(CLEAN($O1407)))="ENTREGADO",
IFERROR(
INDEX(REPORTE_DROPI!Y:Y,
MATCH($T1407, REPORTE_DROPI!B:B, 0)
),
""
),
""
)
</f>
        <v/>
      </c>
      <c r="F1407" s="78"/>
      <c r="G1407" s="78"/>
      <c r="H1407" s="78"/>
      <c r="I1407" s="78"/>
      <c r="J1407" s="78"/>
      <c r="K1407" s="78"/>
      <c r="L1407" s="78"/>
      <c r="M1407" s="78"/>
      <c r="N1407" s="78"/>
      <c r="O1407" s="78"/>
      <c r="P1407" s="78"/>
      <c r="Q1407" s="78"/>
      <c r="R1407" s="78"/>
      <c r="S1407" s="78"/>
      <c r="T1407" s="78"/>
      <c r="U1407" s="78"/>
      <c r="V1407" s="78"/>
      <c r="W1407" s="78"/>
      <c r="X1407" s="78"/>
      <c r="Y1407" s="78"/>
      <c r="Z1407" s="78"/>
    </row>
    <row r="1408">
      <c r="A1408" s="78">
        <v>462.0</v>
      </c>
      <c r="B1408" s="78"/>
      <c r="C1408" s="138"/>
      <c r="D1408" s="78"/>
      <c r="E1408" s="139" t="str">
        <f t="array" ref="E1408">IF(
UPPER(TRIM(CLEAN($O1408)))="ENTREGADO",
IFERROR(
INDEX(REPORTE_DROPI!Y:Y,
MATCH($T1408, REPORTE_DROPI!B:B, 0)
),
""
),
""
)
</f>
        <v/>
      </c>
      <c r="F1408" s="78"/>
      <c r="G1408" s="78"/>
      <c r="H1408" s="78"/>
      <c r="I1408" s="78"/>
      <c r="J1408" s="78"/>
      <c r="K1408" s="78"/>
      <c r="L1408" s="78"/>
      <c r="M1408" s="78"/>
      <c r="N1408" s="78"/>
      <c r="O1408" s="78"/>
      <c r="P1408" s="78"/>
      <c r="Q1408" s="78"/>
      <c r="R1408" s="78"/>
      <c r="S1408" s="78"/>
      <c r="T1408" s="78"/>
      <c r="U1408" s="78"/>
      <c r="V1408" s="78"/>
      <c r="W1408" s="78"/>
      <c r="X1408" s="78"/>
      <c r="Y1408" s="78"/>
      <c r="Z1408" s="78"/>
    </row>
    <row r="1409">
      <c r="A1409" s="78">
        <v>463.0</v>
      </c>
      <c r="B1409" s="78"/>
      <c r="C1409" s="138"/>
      <c r="D1409" s="78"/>
      <c r="E1409" s="139" t="str">
        <f t="array" ref="E1409">IF(
UPPER(TRIM(CLEAN($O1409)))="ENTREGADO",
IFERROR(
INDEX(REPORTE_DROPI!Y:Y,
MATCH($T1409, REPORTE_DROPI!B:B, 0)
),
""
),
""
)
</f>
        <v/>
      </c>
      <c r="F1409" s="78"/>
      <c r="G1409" s="78"/>
      <c r="H1409" s="78"/>
      <c r="I1409" s="78"/>
      <c r="J1409" s="78"/>
      <c r="K1409" s="78"/>
      <c r="L1409" s="78"/>
      <c r="M1409" s="78"/>
      <c r="N1409" s="78"/>
      <c r="O1409" s="78"/>
      <c r="P1409" s="78"/>
      <c r="Q1409" s="78"/>
      <c r="R1409" s="78"/>
      <c r="S1409" s="78"/>
      <c r="T1409" s="78"/>
      <c r="U1409" s="78"/>
      <c r="V1409" s="78"/>
      <c r="W1409" s="78"/>
      <c r="X1409" s="78"/>
      <c r="Y1409" s="78"/>
      <c r="Z1409" s="78"/>
    </row>
    <row r="1410">
      <c r="A1410" s="78">
        <v>464.0</v>
      </c>
      <c r="B1410" s="78"/>
      <c r="C1410" s="138"/>
      <c r="D1410" s="78"/>
      <c r="E1410" s="139" t="str">
        <f t="array" ref="E1410">IF(
UPPER(TRIM(CLEAN($O1410)))="ENTREGADO",
IFERROR(
INDEX(REPORTE_DROPI!Y:Y,
MATCH($T1410, REPORTE_DROPI!B:B, 0)
),
""
),
""
)
</f>
        <v/>
      </c>
      <c r="F1410" s="78"/>
      <c r="G1410" s="78"/>
      <c r="H1410" s="78"/>
      <c r="I1410" s="78"/>
      <c r="J1410" s="78"/>
      <c r="K1410" s="78"/>
      <c r="L1410" s="78"/>
      <c r="M1410" s="78"/>
      <c r="N1410" s="78"/>
      <c r="O1410" s="78"/>
      <c r="P1410" s="78"/>
      <c r="Q1410" s="78"/>
      <c r="R1410" s="78"/>
      <c r="S1410" s="78"/>
      <c r="T1410" s="78"/>
      <c r="U1410" s="78"/>
      <c r="V1410" s="78"/>
      <c r="W1410" s="78"/>
      <c r="X1410" s="78"/>
      <c r="Y1410" s="78"/>
      <c r="Z1410" s="78"/>
    </row>
    <row r="1411">
      <c r="A1411" s="78">
        <v>465.0</v>
      </c>
      <c r="B1411" s="78"/>
      <c r="C1411" s="138"/>
      <c r="D1411" s="78"/>
      <c r="E1411" s="139" t="str">
        <f t="array" ref="E1411">IF(
UPPER(TRIM(CLEAN($O1411)))="ENTREGADO",
IFERROR(
INDEX(REPORTE_DROPI!Y:Y,
MATCH($T1411, REPORTE_DROPI!B:B, 0)
),
""
),
""
)
</f>
        <v/>
      </c>
      <c r="F1411" s="78"/>
      <c r="G1411" s="78"/>
      <c r="H1411" s="78"/>
      <c r="I1411" s="78"/>
      <c r="J1411" s="78"/>
      <c r="K1411" s="78"/>
      <c r="L1411" s="78"/>
      <c r="M1411" s="78"/>
      <c r="N1411" s="78"/>
      <c r="O1411" s="78"/>
      <c r="P1411" s="78"/>
      <c r="Q1411" s="78"/>
      <c r="R1411" s="78"/>
      <c r="S1411" s="78"/>
      <c r="T1411" s="78"/>
      <c r="U1411" s="78"/>
      <c r="V1411" s="78"/>
      <c r="W1411" s="78"/>
      <c r="X1411" s="78"/>
      <c r="Y1411" s="78"/>
      <c r="Z1411" s="78"/>
    </row>
    <row r="1412">
      <c r="A1412" s="78">
        <v>466.0</v>
      </c>
      <c r="B1412" s="78"/>
      <c r="C1412" s="138"/>
      <c r="D1412" s="78"/>
      <c r="E1412" s="139" t="str">
        <f t="array" ref="E1412">IF(
UPPER(TRIM(CLEAN($O1412)))="ENTREGADO",
IFERROR(
INDEX(REPORTE_DROPI!Y:Y,
MATCH($T1412, REPORTE_DROPI!B:B, 0)
),
""
),
""
)
</f>
        <v/>
      </c>
      <c r="F1412" s="78"/>
      <c r="G1412" s="78"/>
      <c r="H1412" s="78"/>
      <c r="I1412" s="78"/>
      <c r="J1412" s="78"/>
      <c r="K1412" s="78"/>
      <c r="L1412" s="78"/>
      <c r="M1412" s="78"/>
      <c r="N1412" s="78"/>
      <c r="O1412" s="78"/>
      <c r="P1412" s="78"/>
      <c r="Q1412" s="78"/>
      <c r="R1412" s="78"/>
      <c r="S1412" s="78"/>
      <c r="T1412" s="78"/>
      <c r="U1412" s="78"/>
      <c r="V1412" s="78"/>
      <c r="W1412" s="78"/>
      <c r="X1412" s="78"/>
      <c r="Y1412" s="78"/>
      <c r="Z1412" s="78"/>
    </row>
    <row r="1413">
      <c r="A1413" s="78">
        <v>467.0</v>
      </c>
      <c r="B1413" s="78"/>
      <c r="C1413" s="138"/>
      <c r="D1413" s="78"/>
      <c r="E1413" s="139" t="str">
        <f t="array" ref="E1413">IF(
UPPER(TRIM(CLEAN($O1413)))="ENTREGADO",
IFERROR(
INDEX(REPORTE_DROPI!Y:Y,
MATCH($T1413, REPORTE_DROPI!B:B, 0)
),
""
),
""
)
</f>
        <v/>
      </c>
      <c r="F1413" s="78"/>
      <c r="G1413" s="78"/>
      <c r="H1413" s="78"/>
      <c r="I1413" s="78"/>
      <c r="J1413" s="78"/>
      <c r="K1413" s="78"/>
      <c r="L1413" s="78"/>
      <c r="M1413" s="78"/>
      <c r="N1413" s="78"/>
      <c r="O1413" s="78"/>
      <c r="P1413" s="78"/>
      <c r="Q1413" s="78"/>
      <c r="R1413" s="78"/>
      <c r="S1413" s="78"/>
      <c r="T1413" s="78"/>
      <c r="U1413" s="78"/>
      <c r="V1413" s="78"/>
      <c r="W1413" s="78"/>
      <c r="X1413" s="78"/>
      <c r="Y1413" s="78"/>
      <c r="Z1413" s="78"/>
    </row>
    <row r="1414">
      <c r="A1414" s="78">
        <v>468.0</v>
      </c>
      <c r="B1414" s="78"/>
      <c r="C1414" s="138"/>
      <c r="D1414" s="78"/>
      <c r="E1414" s="139" t="str">
        <f t="array" ref="E1414">IF(
UPPER(TRIM(CLEAN($O1414)))="ENTREGADO",
IFERROR(
INDEX(REPORTE_DROPI!Y:Y,
MATCH($T1414, REPORTE_DROPI!B:B, 0)
),
""
),
""
)
</f>
        <v/>
      </c>
      <c r="F1414" s="78"/>
      <c r="G1414" s="78"/>
      <c r="H1414" s="78"/>
      <c r="I1414" s="78"/>
      <c r="J1414" s="78"/>
      <c r="K1414" s="78"/>
      <c r="L1414" s="78"/>
      <c r="M1414" s="78"/>
      <c r="N1414" s="78"/>
      <c r="O1414" s="78"/>
      <c r="P1414" s="78"/>
      <c r="Q1414" s="78"/>
      <c r="R1414" s="78"/>
      <c r="S1414" s="78"/>
      <c r="T1414" s="78"/>
      <c r="U1414" s="78"/>
      <c r="V1414" s="78"/>
      <c r="W1414" s="78"/>
      <c r="X1414" s="78"/>
      <c r="Y1414" s="78"/>
      <c r="Z1414" s="78"/>
    </row>
    <row r="1415">
      <c r="A1415" s="78">
        <v>469.0</v>
      </c>
      <c r="B1415" s="78"/>
      <c r="C1415" s="138"/>
      <c r="D1415" s="78"/>
      <c r="E1415" s="139" t="str">
        <f t="array" ref="E1415">IF(
UPPER(TRIM(CLEAN($O1415)))="ENTREGADO",
IFERROR(
INDEX(REPORTE_DROPI!Y:Y,
MATCH($T1415, REPORTE_DROPI!B:B, 0)
),
""
),
""
)
</f>
        <v/>
      </c>
      <c r="F1415" s="78"/>
      <c r="G1415" s="78"/>
      <c r="H1415" s="78"/>
      <c r="I1415" s="78"/>
      <c r="J1415" s="78"/>
      <c r="K1415" s="78"/>
      <c r="L1415" s="78"/>
      <c r="M1415" s="78"/>
      <c r="N1415" s="78"/>
      <c r="O1415" s="78"/>
      <c r="P1415" s="78"/>
      <c r="Q1415" s="78"/>
      <c r="R1415" s="78"/>
      <c r="S1415" s="78"/>
      <c r="T1415" s="78"/>
      <c r="U1415" s="78"/>
      <c r="V1415" s="78"/>
      <c r="W1415" s="78"/>
      <c r="X1415" s="78"/>
      <c r="Y1415" s="78"/>
      <c r="Z1415" s="78"/>
    </row>
    <row r="1416">
      <c r="A1416" s="78">
        <v>470.0</v>
      </c>
      <c r="B1416" s="78"/>
      <c r="C1416" s="138"/>
      <c r="D1416" s="78"/>
      <c r="E1416" s="139" t="str">
        <f t="array" ref="E1416">IF(
UPPER(TRIM(CLEAN($O1416)))="ENTREGADO",
IFERROR(
INDEX(REPORTE_DROPI!Y:Y,
MATCH($T1416, REPORTE_DROPI!B:B, 0)
),
""
),
""
)
</f>
        <v/>
      </c>
      <c r="F1416" s="78"/>
      <c r="G1416" s="78"/>
      <c r="H1416" s="78"/>
      <c r="I1416" s="78"/>
      <c r="J1416" s="78"/>
      <c r="K1416" s="78"/>
      <c r="L1416" s="78"/>
      <c r="M1416" s="78"/>
      <c r="N1416" s="78"/>
      <c r="O1416" s="78"/>
      <c r="P1416" s="78"/>
      <c r="Q1416" s="78"/>
      <c r="R1416" s="78"/>
      <c r="S1416" s="78"/>
      <c r="T1416" s="78"/>
      <c r="U1416" s="78"/>
      <c r="V1416" s="78"/>
      <c r="W1416" s="78"/>
      <c r="X1416" s="78"/>
      <c r="Y1416" s="78"/>
      <c r="Z1416" s="78"/>
    </row>
    <row r="1417">
      <c r="A1417" s="78">
        <v>471.0</v>
      </c>
      <c r="B1417" s="78"/>
      <c r="C1417" s="138"/>
      <c r="D1417" s="78"/>
      <c r="E1417" s="139" t="str">
        <f t="array" ref="E1417">IF(
UPPER(TRIM(CLEAN($O1417)))="ENTREGADO",
IFERROR(
INDEX(REPORTE_DROPI!Y:Y,
MATCH($T1417, REPORTE_DROPI!B:B, 0)
),
""
),
""
)
</f>
        <v/>
      </c>
      <c r="F1417" s="78"/>
      <c r="G1417" s="78"/>
      <c r="H1417" s="78"/>
      <c r="I1417" s="78"/>
      <c r="J1417" s="78"/>
      <c r="K1417" s="78"/>
      <c r="L1417" s="78"/>
      <c r="M1417" s="78"/>
      <c r="N1417" s="78"/>
      <c r="O1417" s="78"/>
      <c r="P1417" s="78"/>
      <c r="Q1417" s="78"/>
      <c r="R1417" s="78"/>
      <c r="S1417" s="78"/>
      <c r="T1417" s="78"/>
      <c r="U1417" s="78"/>
      <c r="V1417" s="78"/>
      <c r="W1417" s="78"/>
      <c r="X1417" s="78"/>
      <c r="Y1417" s="78"/>
      <c r="Z1417" s="78"/>
    </row>
    <row r="1418">
      <c r="A1418" s="78">
        <v>472.0</v>
      </c>
      <c r="B1418" s="78"/>
      <c r="C1418" s="138"/>
      <c r="D1418" s="78"/>
      <c r="E1418" s="139" t="str">
        <f t="array" ref="E1418">IF(
UPPER(TRIM(CLEAN($O1418)))="ENTREGADO",
IFERROR(
INDEX(REPORTE_DROPI!Y:Y,
MATCH($T1418, REPORTE_DROPI!B:B, 0)
),
""
),
""
)
</f>
        <v/>
      </c>
      <c r="F1418" s="78"/>
      <c r="G1418" s="78"/>
      <c r="H1418" s="78"/>
      <c r="I1418" s="78"/>
      <c r="J1418" s="78"/>
      <c r="K1418" s="78"/>
      <c r="L1418" s="78"/>
      <c r="M1418" s="78"/>
      <c r="N1418" s="78"/>
      <c r="O1418" s="78"/>
      <c r="P1418" s="78"/>
      <c r="Q1418" s="78"/>
      <c r="R1418" s="78"/>
      <c r="S1418" s="78"/>
      <c r="T1418" s="78"/>
      <c r="U1418" s="78"/>
      <c r="V1418" s="78"/>
      <c r="W1418" s="78"/>
      <c r="X1418" s="78"/>
      <c r="Y1418" s="78"/>
      <c r="Z1418" s="78"/>
    </row>
    <row r="1419">
      <c r="A1419" s="78">
        <v>473.0</v>
      </c>
      <c r="B1419" s="78"/>
      <c r="C1419" s="138"/>
      <c r="D1419" s="78"/>
      <c r="E1419" s="139" t="str">
        <f t="array" ref="E1419">IF(
UPPER(TRIM(CLEAN($O1419)))="ENTREGADO",
IFERROR(
INDEX(REPORTE_DROPI!Y:Y,
MATCH($T1419, REPORTE_DROPI!B:B, 0)
),
""
),
""
)
</f>
        <v/>
      </c>
      <c r="F1419" s="78"/>
      <c r="G1419" s="78"/>
      <c r="H1419" s="78"/>
      <c r="I1419" s="78"/>
      <c r="J1419" s="78"/>
      <c r="K1419" s="78"/>
      <c r="L1419" s="78"/>
      <c r="M1419" s="78"/>
      <c r="N1419" s="78"/>
      <c r="O1419" s="78"/>
      <c r="P1419" s="78"/>
      <c r="Q1419" s="78"/>
      <c r="R1419" s="78"/>
      <c r="S1419" s="78"/>
      <c r="T1419" s="78"/>
      <c r="U1419" s="78"/>
      <c r="V1419" s="78"/>
      <c r="W1419" s="78"/>
      <c r="X1419" s="78"/>
      <c r="Y1419" s="78"/>
      <c r="Z1419" s="78"/>
    </row>
    <row r="1420">
      <c r="A1420" s="78">
        <v>474.0</v>
      </c>
      <c r="B1420" s="78"/>
      <c r="C1420" s="138"/>
      <c r="D1420" s="78"/>
      <c r="E1420" s="139" t="str">
        <f t="array" ref="E1420">IF(
UPPER(TRIM(CLEAN($O1420)))="ENTREGADO",
IFERROR(
INDEX(REPORTE_DROPI!Y:Y,
MATCH($T1420, REPORTE_DROPI!B:B, 0)
),
""
),
""
)
</f>
        <v/>
      </c>
      <c r="F1420" s="78"/>
      <c r="G1420" s="78"/>
      <c r="H1420" s="78"/>
      <c r="I1420" s="78"/>
      <c r="J1420" s="78"/>
      <c r="K1420" s="78"/>
      <c r="L1420" s="78"/>
      <c r="M1420" s="78"/>
      <c r="N1420" s="78"/>
      <c r="O1420" s="78"/>
      <c r="P1420" s="78"/>
      <c r="Q1420" s="78"/>
      <c r="R1420" s="78"/>
      <c r="S1420" s="78"/>
      <c r="T1420" s="78"/>
      <c r="U1420" s="78"/>
      <c r="V1420" s="78"/>
      <c r="W1420" s="78"/>
      <c r="X1420" s="78"/>
      <c r="Y1420" s="78"/>
      <c r="Z1420" s="78"/>
    </row>
    <row r="1421">
      <c r="A1421" s="78">
        <v>475.0</v>
      </c>
      <c r="B1421" s="78"/>
      <c r="C1421" s="138"/>
      <c r="D1421" s="78"/>
      <c r="E1421" s="139" t="str">
        <f t="array" ref="E1421">IF(
UPPER(TRIM(CLEAN($O1421)))="ENTREGADO",
IFERROR(
INDEX(REPORTE_DROPI!Y:Y,
MATCH($T1421, REPORTE_DROPI!B:B, 0)
),
""
),
""
)
</f>
        <v/>
      </c>
      <c r="F1421" s="78"/>
      <c r="G1421" s="78"/>
      <c r="H1421" s="78"/>
      <c r="I1421" s="78"/>
      <c r="J1421" s="78"/>
      <c r="K1421" s="78"/>
      <c r="L1421" s="78"/>
      <c r="M1421" s="78"/>
      <c r="N1421" s="78"/>
      <c r="O1421" s="78"/>
      <c r="P1421" s="78"/>
      <c r="Q1421" s="78"/>
      <c r="R1421" s="78"/>
      <c r="S1421" s="78"/>
      <c r="T1421" s="78"/>
      <c r="U1421" s="78"/>
      <c r="V1421" s="78"/>
      <c r="W1421" s="78"/>
      <c r="X1421" s="78"/>
      <c r="Y1421" s="78"/>
      <c r="Z1421" s="78"/>
    </row>
    <row r="1422">
      <c r="A1422" s="78">
        <v>476.0</v>
      </c>
      <c r="B1422" s="78"/>
      <c r="C1422" s="138"/>
      <c r="D1422" s="78"/>
      <c r="E1422" s="139" t="str">
        <f t="array" ref="E1422">IF(
UPPER(TRIM(CLEAN($O1422)))="ENTREGADO",
IFERROR(
INDEX(REPORTE_DROPI!Y:Y,
MATCH($T1422, REPORTE_DROPI!B:B, 0)
),
""
),
""
)
</f>
        <v/>
      </c>
      <c r="F1422" s="78"/>
      <c r="G1422" s="78"/>
      <c r="H1422" s="78"/>
      <c r="I1422" s="78"/>
      <c r="J1422" s="78"/>
      <c r="K1422" s="78"/>
      <c r="L1422" s="78"/>
      <c r="M1422" s="78"/>
      <c r="N1422" s="78"/>
      <c r="O1422" s="78"/>
      <c r="P1422" s="78"/>
      <c r="Q1422" s="78"/>
      <c r="R1422" s="78"/>
      <c r="S1422" s="78"/>
      <c r="T1422" s="78"/>
      <c r="U1422" s="78"/>
      <c r="V1422" s="78"/>
      <c r="W1422" s="78"/>
      <c r="X1422" s="78"/>
      <c r="Y1422" s="78"/>
      <c r="Z1422" s="78"/>
    </row>
    <row r="1423">
      <c r="A1423" s="78">
        <v>477.0</v>
      </c>
      <c r="B1423" s="78"/>
      <c r="C1423" s="138"/>
      <c r="D1423" s="78"/>
      <c r="E1423" s="139" t="str">
        <f t="array" ref="E1423">IF(
UPPER(TRIM(CLEAN($O1423)))="ENTREGADO",
IFERROR(
INDEX(REPORTE_DROPI!Y:Y,
MATCH($T1423, REPORTE_DROPI!B:B, 0)
),
""
),
""
)
</f>
        <v/>
      </c>
      <c r="F1423" s="78"/>
      <c r="G1423" s="78"/>
      <c r="H1423" s="78"/>
      <c r="I1423" s="78"/>
      <c r="J1423" s="78"/>
      <c r="K1423" s="78"/>
      <c r="L1423" s="78"/>
      <c r="M1423" s="78"/>
      <c r="N1423" s="78"/>
      <c r="O1423" s="78"/>
      <c r="P1423" s="78"/>
      <c r="Q1423" s="78"/>
      <c r="R1423" s="78"/>
      <c r="S1423" s="78"/>
      <c r="T1423" s="78"/>
      <c r="U1423" s="78"/>
      <c r="V1423" s="78"/>
      <c r="W1423" s="78"/>
      <c r="X1423" s="78"/>
      <c r="Y1423" s="78"/>
      <c r="Z1423" s="78"/>
    </row>
    <row r="1424">
      <c r="A1424" s="78">
        <v>478.0</v>
      </c>
      <c r="B1424" s="78"/>
      <c r="C1424" s="138"/>
      <c r="D1424" s="78"/>
      <c r="E1424" s="139" t="str">
        <f t="array" ref="E1424">IF(
UPPER(TRIM(CLEAN($O1424)))="ENTREGADO",
IFERROR(
INDEX(REPORTE_DROPI!Y:Y,
MATCH($T1424, REPORTE_DROPI!B:B, 0)
),
""
),
""
)
</f>
        <v/>
      </c>
      <c r="F1424" s="78"/>
      <c r="G1424" s="78"/>
      <c r="H1424" s="78"/>
      <c r="I1424" s="78"/>
      <c r="J1424" s="78"/>
      <c r="K1424" s="78"/>
      <c r="L1424" s="78"/>
      <c r="M1424" s="78"/>
      <c r="N1424" s="78"/>
      <c r="O1424" s="78"/>
      <c r="P1424" s="78"/>
      <c r="Q1424" s="78"/>
      <c r="R1424" s="78"/>
      <c r="S1424" s="78"/>
      <c r="T1424" s="78"/>
      <c r="U1424" s="78"/>
      <c r="V1424" s="78"/>
      <c r="W1424" s="78"/>
      <c r="X1424" s="78"/>
      <c r="Y1424" s="78"/>
      <c r="Z1424" s="78"/>
    </row>
    <row r="1425">
      <c r="A1425" s="78">
        <v>479.0</v>
      </c>
      <c r="B1425" s="78"/>
      <c r="C1425" s="138"/>
      <c r="D1425" s="78"/>
      <c r="E1425" s="139" t="str">
        <f t="array" ref="E1425">IF(
UPPER(TRIM(CLEAN($O1425)))="ENTREGADO",
IFERROR(
INDEX(REPORTE_DROPI!Y:Y,
MATCH($T1425, REPORTE_DROPI!B:B, 0)
),
""
),
""
)
</f>
        <v/>
      </c>
      <c r="F1425" s="78"/>
      <c r="G1425" s="78"/>
      <c r="H1425" s="78"/>
      <c r="I1425" s="78"/>
      <c r="J1425" s="78"/>
      <c r="K1425" s="78"/>
      <c r="L1425" s="78"/>
      <c r="M1425" s="78"/>
      <c r="N1425" s="78"/>
      <c r="O1425" s="78"/>
      <c r="P1425" s="78"/>
      <c r="Q1425" s="78"/>
      <c r="R1425" s="78"/>
      <c r="S1425" s="78"/>
      <c r="T1425" s="78"/>
      <c r="U1425" s="78"/>
      <c r="V1425" s="78"/>
      <c r="W1425" s="78"/>
      <c r="X1425" s="78"/>
      <c r="Y1425" s="78"/>
      <c r="Z1425" s="78"/>
    </row>
    <row r="1426">
      <c r="A1426" s="78">
        <v>480.0</v>
      </c>
      <c r="B1426" s="78"/>
      <c r="C1426" s="138"/>
      <c r="D1426" s="78"/>
      <c r="E1426" s="139" t="str">
        <f t="array" ref="E1426">IF(
UPPER(TRIM(CLEAN($O1426)))="ENTREGADO",
IFERROR(
INDEX(REPORTE_DROPI!Y:Y,
MATCH($T1426, REPORTE_DROPI!B:B, 0)
),
""
),
""
)
</f>
        <v/>
      </c>
      <c r="F1426" s="78"/>
      <c r="G1426" s="78"/>
      <c r="H1426" s="78"/>
      <c r="I1426" s="78"/>
      <c r="J1426" s="78"/>
      <c r="K1426" s="78"/>
      <c r="L1426" s="78"/>
      <c r="M1426" s="78"/>
      <c r="N1426" s="78"/>
      <c r="O1426" s="78"/>
      <c r="P1426" s="78"/>
      <c r="Q1426" s="78"/>
      <c r="R1426" s="78"/>
      <c r="S1426" s="78"/>
      <c r="T1426" s="78"/>
      <c r="U1426" s="78"/>
      <c r="V1426" s="78"/>
      <c r="W1426" s="78"/>
      <c r="X1426" s="78"/>
      <c r="Y1426" s="78"/>
      <c r="Z1426" s="78"/>
    </row>
    <row r="1427">
      <c r="A1427" s="78">
        <v>481.0</v>
      </c>
      <c r="B1427" s="78"/>
      <c r="C1427" s="138"/>
      <c r="D1427" s="78"/>
      <c r="E1427" s="139" t="str">
        <f t="array" ref="E1427">IF(
UPPER(TRIM(CLEAN($O1427)))="ENTREGADO",
IFERROR(
INDEX(REPORTE_DROPI!Y:Y,
MATCH($T1427, REPORTE_DROPI!B:B, 0)
),
""
),
""
)
</f>
        <v/>
      </c>
      <c r="F1427" s="78"/>
      <c r="G1427" s="78"/>
      <c r="H1427" s="78"/>
      <c r="I1427" s="78"/>
      <c r="J1427" s="78"/>
      <c r="K1427" s="78"/>
      <c r="L1427" s="78"/>
      <c r="M1427" s="78"/>
      <c r="N1427" s="78"/>
      <c r="O1427" s="78"/>
      <c r="P1427" s="78"/>
      <c r="Q1427" s="78"/>
      <c r="R1427" s="78"/>
      <c r="S1427" s="78"/>
      <c r="T1427" s="78"/>
      <c r="U1427" s="78"/>
      <c r="V1427" s="78"/>
      <c r="W1427" s="78"/>
      <c r="X1427" s="78"/>
      <c r="Y1427" s="78"/>
      <c r="Z1427" s="78"/>
    </row>
    <row r="1428">
      <c r="A1428" s="78">
        <v>482.0</v>
      </c>
      <c r="B1428" s="78"/>
      <c r="C1428" s="138"/>
      <c r="D1428" s="78"/>
      <c r="E1428" s="139" t="str">
        <f t="array" ref="E1428">IF(
UPPER(TRIM(CLEAN($O1428)))="ENTREGADO",
IFERROR(
INDEX(REPORTE_DROPI!Y:Y,
MATCH($T1428, REPORTE_DROPI!B:B, 0)
),
""
),
""
)
</f>
        <v/>
      </c>
      <c r="F1428" s="78"/>
      <c r="G1428" s="78"/>
      <c r="H1428" s="78"/>
      <c r="I1428" s="78"/>
      <c r="J1428" s="78"/>
      <c r="K1428" s="78"/>
      <c r="L1428" s="78"/>
      <c r="M1428" s="78"/>
      <c r="N1428" s="78"/>
      <c r="O1428" s="78"/>
      <c r="P1428" s="78"/>
      <c r="Q1428" s="78"/>
      <c r="R1428" s="78"/>
      <c r="S1428" s="78"/>
      <c r="T1428" s="78"/>
      <c r="U1428" s="78"/>
      <c r="V1428" s="78"/>
      <c r="W1428" s="78"/>
      <c r="X1428" s="78"/>
      <c r="Y1428" s="78"/>
      <c r="Z1428" s="78"/>
    </row>
    <row r="1429">
      <c r="A1429" s="78">
        <v>483.0</v>
      </c>
      <c r="B1429" s="78"/>
      <c r="C1429" s="138"/>
      <c r="D1429" s="78"/>
      <c r="E1429" s="139" t="str">
        <f t="array" ref="E1429">IF(
UPPER(TRIM(CLEAN($O1429)))="ENTREGADO",
IFERROR(
INDEX(REPORTE_DROPI!Y:Y,
MATCH($T1429, REPORTE_DROPI!B:B, 0)
),
""
),
""
)
</f>
        <v/>
      </c>
      <c r="F1429" s="78"/>
      <c r="G1429" s="78"/>
      <c r="H1429" s="78"/>
      <c r="I1429" s="78"/>
      <c r="J1429" s="78"/>
      <c r="K1429" s="78"/>
      <c r="L1429" s="78"/>
      <c r="M1429" s="78"/>
      <c r="N1429" s="78"/>
      <c r="O1429" s="78"/>
      <c r="P1429" s="78"/>
      <c r="Q1429" s="78"/>
      <c r="R1429" s="78"/>
      <c r="S1429" s="78"/>
      <c r="T1429" s="78"/>
      <c r="U1429" s="78"/>
      <c r="V1429" s="78"/>
      <c r="W1429" s="78"/>
      <c r="X1429" s="78"/>
      <c r="Y1429" s="78"/>
      <c r="Z1429" s="78"/>
    </row>
    <row r="1430">
      <c r="A1430" s="78">
        <v>484.0</v>
      </c>
      <c r="B1430" s="78"/>
      <c r="C1430" s="138"/>
      <c r="D1430" s="78"/>
      <c r="E1430" s="139" t="str">
        <f t="array" ref="E1430">IF(
UPPER(TRIM(CLEAN($O1430)))="ENTREGADO",
IFERROR(
INDEX(REPORTE_DROPI!Y:Y,
MATCH($T1430, REPORTE_DROPI!B:B, 0)
),
""
),
""
)
</f>
        <v/>
      </c>
      <c r="F1430" s="78"/>
      <c r="G1430" s="78"/>
      <c r="H1430" s="78"/>
      <c r="I1430" s="78"/>
      <c r="J1430" s="78"/>
      <c r="K1430" s="78"/>
      <c r="L1430" s="78"/>
      <c r="M1430" s="78"/>
      <c r="N1430" s="78"/>
      <c r="O1430" s="78"/>
      <c r="P1430" s="78"/>
      <c r="Q1430" s="78"/>
      <c r="R1430" s="78"/>
      <c r="S1430" s="78"/>
      <c r="T1430" s="78"/>
      <c r="U1430" s="78"/>
      <c r="V1430" s="78"/>
      <c r="W1430" s="78"/>
      <c r="X1430" s="78"/>
      <c r="Y1430" s="78"/>
      <c r="Z1430" s="78"/>
    </row>
    <row r="1431">
      <c r="A1431" s="78">
        <v>485.0</v>
      </c>
      <c r="B1431" s="78"/>
      <c r="C1431" s="138"/>
      <c r="D1431" s="78"/>
      <c r="E1431" s="139" t="str">
        <f t="array" ref="E1431">IF(
UPPER(TRIM(CLEAN($O1431)))="ENTREGADO",
IFERROR(
INDEX(REPORTE_DROPI!Y:Y,
MATCH($T1431, REPORTE_DROPI!B:B, 0)
),
""
),
""
)
</f>
        <v/>
      </c>
      <c r="F1431" s="78"/>
      <c r="G1431" s="78"/>
      <c r="H1431" s="78"/>
      <c r="I1431" s="78"/>
      <c r="J1431" s="78"/>
      <c r="K1431" s="78"/>
      <c r="L1431" s="78"/>
      <c r="M1431" s="78"/>
      <c r="N1431" s="78"/>
      <c r="O1431" s="78"/>
      <c r="P1431" s="78"/>
      <c r="Q1431" s="78"/>
      <c r="R1431" s="78"/>
      <c r="S1431" s="78"/>
      <c r="T1431" s="78"/>
      <c r="U1431" s="78"/>
      <c r="V1431" s="78"/>
      <c r="W1431" s="78"/>
      <c r="X1431" s="78"/>
      <c r="Y1431" s="78"/>
      <c r="Z1431" s="78"/>
    </row>
    <row r="1432">
      <c r="A1432" s="78">
        <v>486.0</v>
      </c>
      <c r="B1432" s="78"/>
      <c r="C1432" s="138"/>
      <c r="D1432" s="78"/>
      <c r="E1432" s="139" t="str">
        <f t="array" ref="E1432">IF(
UPPER(TRIM(CLEAN($O1432)))="ENTREGADO",
IFERROR(
INDEX(REPORTE_DROPI!Y:Y,
MATCH($T1432, REPORTE_DROPI!B:B, 0)
),
""
),
""
)
</f>
        <v/>
      </c>
      <c r="F1432" s="78"/>
      <c r="G1432" s="78"/>
      <c r="H1432" s="78"/>
      <c r="I1432" s="78"/>
      <c r="J1432" s="78"/>
      <c r="K1432" s="78"/>
      <c r="L1432" s="78"/>
      <c r="M1432" s="78"/>
      <c r="N1432" s="78"/>
      <c r="O1432" s="78"/>
      <c r="P1432" s="78"/>
      <c r="Q1432" s="78"/>
      <c r="R1432" s="78"/>
      <c r="S1432" s="78"/>
      <c r="T1432" s="78"/>
      <c r="U1432" s="78"/>
      <c r="V1432" s="78"/>
      <c r="W1432" s="78"/>
      <c r="X1432" s="78"/>
      <c r="Y1432" s="78"/>
      <c r="Z1432" s="78"/>
    </row>
    <row r="1433">
      <c r="A1433" s="78">
        <v>487.0</v>
      </c>
      <c r="B1433" s="78"/>
      <c r="C1433" s="138"/>
      <c r="D1433" s="78"/>
      <c r="E1433" s="139" t="str">
        <f t="array" ref="E1433">IF(
UPPER(TRIM(CLEAN($O1433)))="ENTREGADO",
IFERROR(
INDEX(REPORTE_DROPI!Y:Y,
MATCH($T1433, REPORTE_DROPI!B:B, 0)
),
""
),
""
)
</f>
        <v/>
      </c>
      <c r="F1433" s="78"/>
      <c r="G1433" s="78"/>
      <c r="H1433" s="78"/>
      <c r="I1433" s="78"/>
      <c r="J1433" s="78"/>
      <c r="K1433" s="78"/>
      <c r="L1433" s="78"/>
      <c r="M1433" s="78"/>
      <c r="N1433" s="78"/>
      <c r="O1433" s="78"/>
      <c r="P1433" s="78"/>
      <c r="Q1433" s="78"/>
      <c r="R1433" s="78"/>
      <c r="S1433" s="78"/>
      <c r="T1433" s="78"/>
      <c r="U1433" s="78"/>
      <c r="V1433" s="78"/>
      <c r="W1433" s="78"/>
      <c r="X1433" s="78"/>
      <c r="Y1433" s="78"/>
      <c r="Z1433" s="78"/>
    </row>
    <row r="1434">
      <c r="A1434" s="78">
        <v>488.0</v>
      </c>
      <c r="B1434" s="78"/>
      <c r="C1434" s="138"/>
      <c r="D1434" s="78"/>
      <c r="E1434" s="139" t="str">
        <f t="array" ref="E1434">IF(
UPPER(TRIM(CLEAN($O1434)))="ENTREGADO",
IFERROR(
INDEX(REPORTE_DROPI!Y:Y,
MATCH($T1434, REPORTE_DROPI!B:B, 0)
),
""
),
""
)
</f>
        <v/>
      </c>
      <c r="F1434" s="78"/>
      <c r="G1434" s="78"/>
      <c r="H1434" s="78"/>
      <c r="I1434" s="78"/>
      <c r="J1434" s="78"/>
      <c r="K1434" s="78"/>
      <c r="L1434" s="78"/>
      <c r="M1434" s="78"/>
      <c r="N1434" s="78"/>
      <c r="O1434" s="78"/>
      <c r="P1434" s="78"/>
      <c r="Q1434" s="78"/>
      <c r="R1434" s="78"/>
      <c r="S1434" s="78"/>
      <c r="T1434" s="78"/>
      <c r="U1434" s="78"/>
      <c r="V1434" s="78"/>
      <c r="W1434" s="78"/>
      <c r="X1434" s="78"/>
      <c r="Y1434" s="78"/>
      <c r="Z1434" s="78"/>
    </row>
    <row r="1435">
      <c r="A1435" s="78">
        <v>489.0</v>
      </c>
      <c r="B1435" s="78"/>
      <c r="C1435" s="138"/>
      <c r="D1435" s="78"/>
      <c r="E1435" s="139" t="str">
        <f t="array" ref="E1435">IF(
UPPER(TRIM(CLEAN($O1435)))="ENTREGADO",
IFERROR(
INDEX(REPORTE_DROPI!Y:Y,
MATCH($T1435, REPORTE_DROPI!B:B, 0)
),
""
),
""
)
</f>
        <v/>
      </c>
      <c r="F1435" s="78"/>
      <c r="G1435" s="78"/>
      <c r="H1435" s="78"/>
      <c r="I1435" s="78"/>
      <c r="J1435" s="78"/>
      <c r="K1435" s="78"/>
      <c r="L1435" s="78"/>
      <c r="M1435" s="78"/>
      <c r="N1435" s="78"/>
      <c r="O1435" s="78"/>
      <c r="P1435" s="78"/>
      <c r="Q1435" s="78"/>
      <c r="R1435" s="78"/>
      <c r="S1435" s="78"/>
      <c r="T1435" s="78"/>
      <c r="U1435" s="78"/>
      <c r="V1435" s="78"/>
      <c r="W1435" s="78"/>
      <c r="X1435" s="78"/>
      <c r="Y1435" s="78"/>
      <c r="Z1435" s="78"/>
    </row>
    <row r="1436">
      <c r="A1436" s="78">
        <v>490.0</v>
      </c>
      <c r="B1436" s="78"/>
      <c r="C1436" s="138"/>
      <c r="D1436" s="78"/>
      <c r="E1436" s="139" t="str">
        <f t="array" ref="E1436">IF(
UPPER(TRIM(CLEAN($O1436)))="ENTREGADO",
IFERROR(
INDEX(REPORTE_DROPI!Y:Y,
MATCH($T1436, REPORTE_DROPI!B:B, 0)
),
""
),
""
)
</f>
        <v/>
      </c>
      <c r="F1436" s="78"/>
      <c r="G1436" s="78"/>
      <c r="H1436" s="78"/>
      <c r="I1436" s="78"/>
      <c r="J1436" s="78"/>
      <c r="K1436" s="78"/>
      <c r="L1436" s="78"/>
      <c r="M1436" s="78"/>
      <c r="N1436" s="78"/>
      <c r="O1436" s="78"/>
      <c r="P1436" s="78"/>
      <c r="Q1436" s="78"/>
      <c r="R1436" s="78"/>
      <c r="S1436" s="78"/>
      <c r="T1436" s="78"/>
      <c r="U1436" s="78"/>
      <c r="V1436" s="78"/>
      <c r="W1436" s="78"/>
      <c r="X1436" s="78"/>
      <c r="Y1436" s="78"/>
      <c r="Z1436" s="78"/>
    </row>
    <row r="1437">
      <c r="A1437" s="78">
        <v>491.0</v>
      </c>
      <c r="B1437" s="78"/>
      <c r="C1437" s="138"/>
      <c r="D1437" s="78"/>
      <c r="E1437" s="139" t="str">
        <f t="array" ref="E1437">IF(
UPPER(TRIM(CLEAN($O1437)))="ENTREGADO",
IFERROR(
INDEX(REPORTE_DROPI!Y:Y,
MATCH($T1437, REPORTE_DROPI!B:B, 0)
),
""
),
""
)
</f>
        <v/>
      </c>
      <c r="F1437" s="78"/>
      <c r="G1437" s="78"/>
      <c r="H1437" s="78"/>
      <c r="I1437" s="78"/>
      <c r="J1437" s="78"/>
      <c r="K1437" s="78"/>
      <c r="L1437" s="78"/>
      <c r="M1437" s="78"/>
      <c r="N1437" s="78"/>
      <c r="O1437" s="78"/>
      <c r="P1437" s="78"/>
      <c r="Q1437" s="78"/>
      <c r="R1437" s="78"/>
      <c r="S1437" s="78"/>
      <c r="T1437" s="78"/>
      <c r="U1437" s="78"/>
      <c r="V1437" s="78"/>
      <c r="W1437" s="78"/>
      <c r="X1437" s="78"/>
      <c r="Y1437" s="78"/>
      <c r="Z1437" s="78"/>
    </row>
    <row r="1438">
      <c r="A1438" s="78">
        <v>492.0</v>
      </c>
      <c r="B1438" s="78"/>
      <c r="C1438" s="138"/>
      <c r="D1438" s="78"/>
      <c r="E1438" s="139" t="str">
        <f t="array" ref="E1438">IF(
UPPER(TRIM(CLEAN($O1438)))="ENTREGADO",
IFERROR(
INDEX(REPORTE_DROPI!Y:Y,
MATCH($T1438, REPORTE_DROPI!B:B, 0)
),
""
),
""
)
</f>
        <v/>
      </c>
      <c r="F1438" s="78"/>
      <c r="G1438" s="78"/>
      <c r="H1438" s="78"/>
      <c r="I1438" s="78"/>
      <c r="J1438" s="78"/>
      <c r="K1438" s="78"/>
      <c r="L1438" s="78"/>
      <c r="M1438" s="78"/>
      <c r="N1438" s="78"/>
      <c r="O1438" s="78"/>
      <c r="P1438" s="78"/>
      <c r="Q1438" s="78"/>
      <c r="R1438" s="78"/>
      <c r="S1438" s="78"/>
      <c r="T1438" s="78"/>
      <c r="U1438" s="78"/>
      <c r="V1438" s="78"/>
      <c r="W1438" s="78"/>
      <c r="X1438" s="78"/>
      <c r="Y1438" s="78"/>
      <c r="Z1438" s="78"/>
    </row>
    <row r="1439">
      <c r="A1439" s="78">
        <v>493.0</v>
      </c>
      <c r="B1439" s="78"/>
      <c r="C1439" s="138"/>
      <c r="D1439" s="78"/>
      <c r="E1439" s="139" t="str">
        <f t="array" ref="E1439">IF(
UPPER(TRIM(CLEAN($O1439)))="ENTREGADO",
IFERROR(
INDEX(REPORTE_DROPI!Y:Y,
MATCH($T1439, REPORTE_DROPI!B:B, 0)
),
""
),
""
)
</f>
        <v/>
      </c>
      <c r="F1439" s="78"/>
      <c r="G1439" s="78"/>
      <c r="H1439" s="78"/>
      <c r="I1439" s="78"/>
      <c r="J1439" s="78"/>
      <c r="K1439" s="78"/>
      <c r="L1439" s="78"/>
      <c r="M1439" s="78"/>
      <c r="N1439" s="78"/>
      <c r="O1439" s="78"/>
      <c r="P1439" s="78"/>
      <c r="Q1439" s="78"/>
      <c r="R1439" s="78"/>
      <c r="S1439" s="78"/>
      <c r="T1439" s="78"/>
      <c r="U1439" s="78"/>
      <c r="V1439" s="78"/>
      <c r="W1439" s="78"/>
      <c r="X1439" s="78"/>
      <c r="Y1439" s="78"/>
      <c r="Z1439" s="78"/>
    </row>
    <row r="1440">
      <c r="A1440" s="78">
        <v>494.0</v>
      </c>
      <c r="B1440" s="78"/>
      <c r="C1440" s="138"/>
      <c r="D1440" s="78"/>
      <c r="E1440" s="139" t="str">
        <f t="array" ref="E1440">IF(
UPPER(TRIM(CLEAN($O1440)))="ENTREGADO",
IFERROR(
INDEX(REPORTE_DROPI!Y:Y,
MATCH($T1440, REPORTE_DROPI!B:B, 0)
),
""
),
""
)
</f>
        <v/>
      </c>
      <c r="F1440" s="78"/>
      <c r="G1440" s="78"/>
      <c r="H1440" s="78"/>
      <c r="I1440" s="78"/>
      <c r="J1440" s="78"/>
      <c r="K1440" s="78"/>
      <c r="L1440" s="78"/>
      <c r="M1440" s="78"/>
      <c r="N1440" s="78"/>
      <c r="O1440" s="78"/>
      <c r="P1440" s="78"/>
      <c r="Q1440" s="78"/>
      <c r="R1440" s="78"/>
      <c r="S1440" s="78"/>
      <c r="T1440" s="78"/>
      <c r="U1440" s="78"/>
      <c r="V1440" s="78"/>
      <c r="W1440" s="78"/>
      <c r="X1440" s="78"/>
      <c r="Y1440" s="78"/>
      <c r="Z1440" s="78"/>
    </row>
    <row r="1441">
      <c r="A1441" s="78">
        <v>495.0</v>
      </c>
      <c r="B1441" s="78"/>
      <c r="C1441" s="138"/>
      <c r="D1441" s="78"/>
      <c r="E1441" s="139" t="str">
        <f t="array" ref="E1441">IF(
UPPER(TRIM(CLEAN($O1441)))="ENTREGADO",
IFERROR(
INDEX(REPORTE_DROPI!Y:Y,
MATCH($T1441, REPORTE_DROPI!B:B, 0)
),
""
),
""
)
</f>
        <v/>
      </c>
      <c r="F1441" s="78"/>
      <c r="G1441" s="78"/>
      <c r="H1441" s="78"/>
      <c r="I1441" s="78"/>
      <c r="J1441" s="78"/>
      <c r="K1441" s="78"/>
      <c r="L1441" s="78"/>
      <c r="M1441" s="78"/>
      <c r="N1441" s="78"/>
      <c r="O1441" s="78"/>
      <c r="P1441" s="78"/>
      <c r="Q1441" s="78"/>
      <c r="R1441" s="78"/>
      <c r="S1441" s="78"/>
      <c r="T1441" s="78"/>
      <c r="U1441" s="78"/>
      <c r="V1441" s="78"/>
      <c r="W1441" s="78"/>
      <c r="X1441" s="78"/>
      <c r="Y1441" s="78"/>
      <c r="Z1441" s="78"/>
    </row>
    <row r="1442">
      <c r="A1442" s="78">
        <v>496.0</v>
      </c>
      <c r="B1442" s="78"/>
      <c r="C1442" s="138"/>
      <c r="D1442" s="78"/>
      <c r="E1442" s="139" t="str">
        <f t="array" ref="E1442">IF(
UPPER(TRIM(CLEAN($O1442)))="ENTREGADO",
IFERROR(
INDEX(REPORTE_DROPI!Y:Y,
MATCH($T1442, REPORTE_DROPI!B:B, 0)
),
""
),
""
)
</f>
        <v/>
      </c>
      <c r="F1442" s="78"/>
      <c r="G1442" s="78"/>
      <c r="H1442" s="78"/>
      <c r="I1442" s="78"/>
      <c r="J1442" s="78"/>
      <c r="K1442" s="78"/>
      <c r="L1442" s="78"/>
      <c r="M1442" s="78"/>
      <c r="N1442" s="78"/>
      <c r="O1442" s="78"/>
      <c r="P1442" s="78"/>
      <c r="Q1442" s="78"/>
      <c r="R1442" s="78"/>
      <c r="S1442" s="78"/>
      <c r="T1442" s="78"/>
      <c r="U1442" s="78"/>
      <c r="V1442" s="78"/>
      <c r="W1442" s="78"/>
      <c r="X1442" s="78"/>
      <c r="Y1442" s="78"/>
      <c r="Z1442" s="78"/>
    </row>
    <row r="1443">
      <c r="A1443" s="78">
        <v>497.0</v>
      </c>
      <c r="B1443" s="78"/>
      <c r="C1443" s="138"/>
      <c r="D1443" s="78"/>
      <c r="E1443" s="139" t="str">
        <f t="array" ref="E1443">IF(
UPPER(TRIM(CLEAN($O1443)))="ENTREGADO",
IFERROR(
INDEX(REPORTE_DROPI!Y:Y,
MATCH($T1443, REPORTE_DROPI!B:B, 0)
),
""
),
""
)
</f>
        <v/>
      </c>
      <c r="F1443" s="78"/>
      <c r="G1443" s="78"/>
      <c r="H1443" s="78"/>
      <c r="I1443" s="78"/>
      <c r="J1443" s="78"/>
      <c r="K1443" s="78"/>
      <c r="L1443" s="78"/>
      <c r="M1443" s="78"/>
      <c r="N1443" s="78"/>
      <c r="O1443" s="78"/>
      <c r="P1443" s="78"/>
      <c r="Q1443" s="78"/>
      <c r="R1443" s="78"/>
      <c r="S1443" s="78"/>
      <c r="T1443" s="78"/>
      <c r="U1443" s="78"/>
      <c r="V1443" s="78"/>
      <c r="W1443" s="78"/>
      <c r="X1443" s="78"/>
      <c r="Y1443" s="78"/>
      <c r="Z1443" s="78"/>
    </row>
    <row r="1444">
      <c r="A1444" s="78">
        <v>498.0</v>
      </c>
      <c r="B1444" s="78"/>
      <c r="C1444" s="138"/>
      <c r="D1444" s="78"/>
      <c r="E1444" s="139" t="str">
        <f t="array" ref="E1444">IF(
UPPER(TRIM(CLEAN($O1444)))="ENTREGADO",
IFERROR(
INDEX(REPORTE_DROPI!Y:Y,
MATCH($T1444, REPORTE_DROPI!B:B, 0)
),
""
),
""
)
</f>
        <v/>
      </c>
      <c r="F1444" s="78"/>
      <c r="G1444" s="78"/>
      <c r="H1444" s="78"/>
      <c r="I1444" s="78"/>
      <c r="J1444" s="78"/>
      <c r="K1444" s="78"/>
      <c r="L1444" s="78"/>
      <c r="M1444" s="78"/>
      <c r="N1444" s="78"/>
      <c r="O1444" s="78"/>
      <c r="P1444" s="78"/>
      <c r="Q1444" s="78"/>
      <c r="R1444" s="78"/>
      <c r="S1444" s="78"/>
      <c r="T1444" s="78"/>
      <c r="U1444" s="78"/>
      <c r="V1444" s="78"/>
      <c r="W1444" s="78"/>
      <c r="X1444" s="78"/>
      <c r="Y1444" s="78"/>
      <c r="Z1444" s="78"/>
    </row>
    <row r="1445">
      <c r="A1445" s="78">
        <v>499.0</v>
      </c>
      <c r="B1445" s="78"/>
      <c r="C1445" s="138"/>
      <c r="D1445" s="78"/>
      <c r="E1445" s="139" t="str">
        <f t="array" ref="E1445">IF(
UPPER(TRIM(CLEAN($O1445)))="ENTREGADO",
IFERROR(
INDEX(REPORTE_DROPI!Y:Y,
MATCH($T1445, REPORTE_DROPI!B:B, 0)
),
""
),
""
)
</f>
        <v/>
      </c>
      <c r="F1445" s="78"/>
      <c r="G1445" s="78"/>
      <c r="H1445" s="78"/>
      <c r="I1445" s="78"/>
      <c r="J1445" s="78"/>
      <c r="K1445" s="78"/>
      <c r="L1445" s="78"/>
      <c r="M1445" s="78"/>
      <c r="N1445" s="78"/>
      <c r="O1445" s="78"/>
      <c r="P1445" s="78"/>
      <c r="Q1445" s="78"/>
      <c r="R1445" s="78"/>
      <c r="S1445" s="78"/>
      <c r="T1445" s="78"/>
      <c r="U1445" s="78"/>
      <c r="V1445" s="78"/>
      <c r="W1445" s="78"/>
      <c r="X1445" s="78"/>
      <c r="Y1445" s="78"/>
      <c r="Z1445" s="78"/>
    </row>
    <row r="1446">
      <c r="A1446" s="78">
        <v>500.0</v>
      </c>
      <c r="B1446" s="78"/>
      <c r="C1446" s="138"/>
      <c r="D1446" s="78"/>
      <c r="E1446" s="139" t="str">
        <f t="array" ref="E1446">IF(
UPPER(TRIM(CLEAN($O1446)))="ENTREGADO",
IFERROR(
INDEX(REPORTE_DROPI!Y:Y,
MATCH($T1446, REPORTE_DROPI!B:B, 0)
),
""
),
""
)
</f>
        <v/>
      </c>
      <c r="F1446" s="78"/>
      <c r="G1446" s="78"/>
      <c r="H1446" s="78"/>
      <c r="I1446" s="78"/>
      <c r="J1446" s="78"/>
      <c r="K1446" s="78"/>
      <c r="L1446" s="78"/>
      <c r="M1446" s="78"/>
      <c r="N1446" s="78"/>
      <c r="O1446" s="78"/>
      <c r="P1446" s="78"/>
      <c r="Q1446" s="78"/>
      <c r="R1446" s="78"/>
      <c r="S1446" s="78"/>
      <c r="T1446" s="78"/>
      <c r="U1446" s="78"/>
      <c r="V1446" s="78"/>
      <c r="W1446" s="78"/>
      <c r="X1446" s="78"/>
      <c r="Y1446" s="78"/>
      <c r="Z1446" s="78"/>
    </row>
    <row r="1447">
      <c r="A1447" s="78">
        <v>501.0</v>
      </c>
      <c r="B1447" s="78"/>
      <c r="C1447" s="138"/>
      <c r="D1447" s="78"/>
      <c r="E1447" s="139" t="str">
        <f t="array" ref="E1447">IF(
UPPER(TRIM(CLEAN($O1447)))="ENTREGADO",
IFERROR(
INDEX(REPORTE_DROPI!Y:Y,
MATCH($T1447, REPORTE_DROPI!B:B, 0)
),
""
),
""
)
</f>
        <v/>
      </c>
      <c r="F1447" s="78"/>
      <c r="G1447" s="78"/>
      <c r="H1447" s="78"/>
      <c r="I1447" s="78"/>
      <c r="J1447" s="78"/>
      <c r="K1447" s="78"/>
      <c r="L1447" s="78"/>
      <c r="M1447" s="78"/>
      <c r="N1447" s="78"/>
      <c r="O1447" s="78"/>
      <c r="P1447" s="78"/>
      <c r="Q1447" s="78"/>
      <c r="R1447" s="78"/>
      <c r="S1447" s="78"/>
      <c r="T1447" s="78"/>
      <c r="U1447" s="78"/>
      <c r="V1447" s="78"/>
      <c r="W1447" s="78"/>
      <c r="X1447" s="78"/>
      <c r="Y1447" s="78"/>
      <c r="Z1447" s="78"/>
    </row>
    <row r="1448">
      <c r="A1448" s="78">
        <v>502.0</v>
      </c>
      <c r="B1448" s="78"/>
      <c r="C1448" s="138"/>
      <c r="D1448" s="78"/>
      <c r="E1448" s="139" t="str">
        <f t="array" ref="E1448">IF(
UPPER(TRIM(CLEAN($O1448)))="ENTREGADO",
IFERROR(
INDEX(REPORTE_DROPI!Y:Y,
MATCH($T1448, REPORTE_DROPI!B:B, 0)
),
""
),
""
)
</f>
        <v/>
      </c>
      <c r="F1448" s="78"/>
      <c r="G1448" s="78"/>
      <c r="H1448" s="78"/>
      <c r="I1448" s="78"/>
      <c r="J1448" s="78"/>
      <c r="K1448" s="78"/>
      <c r="L1448" s="78"/>
      <c r="M1448" s="78"/>
      <c r="N1448" s="78"/>
      <c r="O1448" s="78"/>
      <c r="P1448" s="78"/>
      <c r="Q1448" s="78"/>
      <c r="R1448" s="78"/>
      <c r="S1448" s="78"/>
      <c r="T1448" s="78"/>
      <c r="U1448" s="78"/>
      <c r="V1448" s="78"/>
      <c r="W1448" s="78"/>
      <c r="X1448" s="78"/>
      <c r="Y1448" s="78"/>
      <c r="Z1448" s="78"/>
    </row>
    <row r="1449">
      <c r="A1449" s="78">
        <v>503.0</v>
      </c>
      <c r="B1449" s="78"/>
      <c r="C1449" s="138"/>
      <c r="D1449" s="78"/>
      <c r="E1449" s="139" t="str">
        <f t="array" ref="E1449">IF(
UPPER(TRIM(CLEAN($O1449)))="ENTREGADO",
IFERROR(
INDEX(REPORTE_DROPI!Y:Y,
MATCH($T1449, REPORTE_DROPI!B:B, 0)
),
""
),
""
)
</f>
        <v/>
      </c>
      <c r="F1449" s="78"/>
      <c r="G1449" s="78"/>
      <c r="H1449" s="78"/>
      <c r="I1449" s="78"/>
      <c r="J1449" s="78"/>
      <c r="K1449" s="78"/>
      <c r="L1449" s="78"/>
      <c r="M1449" s="78"/>
      <c r="N1449" s="78"/>
      <c r="O1449" s="78"/>
      <c r="P1449" s="78"/>
      <c r="Q1449" s="78"/>
      <c r="R1449" s="78"/>
      <c r="S1449" s="78"/>
      <c r="T1449" s="78"/>
      <c r="U1449" s="78"/>
      <c r="V1449" s="78"/>
      <c r="W1449" s="78"/>
      <c r="X1449" s="78"/>
      <c r="Y1449" s="78"/>
      <c r="Z1449" s="78"/>
    </row>
    <row r="1450">
      <c r="A1450" s="78">
        <v>504.0</v>
      </c>
      <c r="B1450" s="78"/>
      <c r="C1450" s="138"/>
      <c r="D1450" s="78"/>
      <c r="E1450" s="139" t="str">
        <f t="array" ref="E1450">IF(
UPPER(TRIM(CLEAN($O1450)))="ENTREGADO",
IFERROR(
INDEX(REPORTE_DROPI!Y:Y,
MATCH($T1450, REPORTE_DROPI!B:B, 0)
),
""
),
""
)
</f>
        <v/>
      </c>
      <c r="F1450" s="78"/>
      <c r="G1450" s="78"/>
      <c r="H1450" s="78"/>
      <c r="I1450" s="78"/>
      <c r="J1450" s="78"/>
      <c r="K1450" s="78"/>
      <c r="L1450" s="78"/>
      <c r="M1450" s="78"/>
      <c r="N1450" s="78"/>
      <c r="O1450" s="78"/>
      <c r="P1450" s="78"/>
      <c r="Q1450" s="78"/>
      <c r="R1450" s="78"/>
      <c r="S1450" s="78"/>
      <c r="T1450" s="78"/>
      <c r="U1450" s="78"/>
      <c r="V1450" s="78"/>
      <c r="W1450" s="78"/>
      <c r="X1450" s="78"/>
      <c r="Y1450" s="78"/>
      <c r="Z1450" s="78"/>
    </row>
    <row r="1451">
      <c r="A1451" s="78">
        <v>505.0</v>
      </c>
      <c r="B1451" s="78"/>
      <c r="C1451" s="138"/>
      <c r="D1451" s="78"/>
      <c r="E1451" s="139" t="str">
        <f t="array" ref="E1451">IF(
UPPER(TRIM(CLEAN($O1451)))="ENTREGADO",
IFERROR(
INDEX(REPORTE_DROPI!Y:Y,
MATCH($T1451, REPORTE_DROPI!B:B, 0)
),
""
),
""
)
</f>
        <v/>
      </c>
      <c r="F1451" s="78"/>
      <c r="G1451" s="78"/>
      <c r="H1451" s="78"/>
      <c r="I1451" s="78"/>
      <c r="J1451" s="78"/>
      <c r="K1451" s="78"/>
      <c r="L1451" s="78"/>
      <c r="M1451" s="78"/>
      <c r="N1451" s="78"/>
      <c r="O1451" s="78"/>
      <c r="P1451" s="78"/>
      <c r="Q1451" s="78"/>
      <c r="R1451" s="78"/>
      <c r="S1451" s="78"/>
      <c r="T1451" s="78"/>
      <c r="U1451" s="78"/>
      <c r="V1451" s="78"/>
      <c r="W1451" s="78"/>
      <c r="X1451" s="78"/>
      <c r="Y1451" s="78"/>
      <c r="Z1451" s="78"/>
    </row>
    <row r="1452">
      <c r="A1452" s="78">
        <v>506.0</v>
      </c>
      <c r="B1452" s="78"/>
      <c r="C1452" s="138"/>
      <c r="D1452" s="78"/>
      <c r="E1452" s="139" t="str">
        <f t="array" ref="E1452">IF(
UPPER(TRIM(CLEAN($O1452)))="ENTREGADO",
IFERROR(
INDEX(REPORTE_DROPI!Y:Y,
MATCH($T1452, REPORTE_DROPI!B:B, 0)
),
""
),
""
)
</f>
        <v/>
      </c>
      <c r="F1452" s="78"/>
      <c r="G1452" s="78"/>
      <c r="H1452" s="78"/>
      <c r="I1452" s="78"/>
      <c r="J1452" s="78"/>
      <c r="K1452" s="78"/>
      <c r="L1452" s="78"/>
      <c r="M1452" s="78"/>
      <c r="N1452" s="78"/>
      <c r="O1452" s="78"/>
      <c r="P1452" s="78"/>
      <c r="Q1452" s="78"/>
      <c r="R1452" s="78"/>
      <c r="S1452" s="78"/>
      <c r="T1452" s="78"/>
      <c r="U1452" s="78"/>
      <c r="V1452" s="78"/>
      <c r="W1452" s="78"/>
      <c r="X1452" s="78"/>
      <c r="Y1452" s="78"/>
      <c r="Z1452" s="78"/>
    </row>
    <row r="1453">
      <c r="A1453" s="78">
        <v>507.0</v>
      </c>
      <c r="B1453" s="78"/>
      <c r="C1453" s="138"/>
      <c r="D1453" s="78"/>
      <c r="E1453" s="139" t="str">
        <f t="array" ref="E1453">IF(
UPPER(TRIM(CLEAN($O1453)))="ENTREGADO",
IFERROR(
INDEX(REPORTE_DROPI!Y:Y,
MATCH($T1453, REPORTE_DROPI!B:B, 0)
),
""
),
""
)
</f>
        <v/>
      </c>
      <c r="F1453" s="78"/>
      <c r="G1453" s="78"/>
      <c r="H1453" s="78"/>
      <c r="I1453" s="78"/>
      <c r="J1453" s="78"/>
      <c r="K1453" s="78"/>
      <c r="L1453" s="78"/>
      <c r="M1453" s="78"/>
      <c r="N1453" s="78"/>
      <c r="O1453" s="78"/>
      <c r="P1453" s="78"/>
      <c r="Q1453" s="78"/>
      <c r="R1453" s="78"/>
      <c r="S1453" s="78"/>
      <c r="T1453" s="78"/>
      <c r="U1453" s="78"/>
      <c r="V1453" s="78"/>
      <c r="W1453" s="78"/>
      <c r="X1453" s="78"/>
      <c r="Y1453" s="78"/>
      <c r="Z1453" s="78"/>
    </row>
    <row r="1454">
      <c r="A1454" s="78">
        <v>508.0</v>
      </c>
      <c r="B1454" s="78"/>
      <c r="C1454" s="138"/>
      <c r="D1454" s="78"/>
      <c r="E1454" s="139" t="str">
        <f t="array" ref="E1454">IF(
UPPER(TRIM(CLEAN($O1454)))="ENTREGADO",
IFERROR(
INDEX(REPORTE_DROPI!Y:Y,
MATCH($T1454, REPORTE_DROPI!B:B, 0)
),
""
),
""
)
</f>
        <v/>
      </c>
      <c r="F1454" s="78"/>
      <c r="G1454" s="78"/>
      <c r="H1454" s="78"/>
      <c r="I1454" s="78"/>
      <c r="J1454" s="78"/>
      <c r="K1454" s="78"/>
      <c r="L1454" s="78"/>
      <c r="M1454" s="78"/>
      <c r="N1454" s="78"/>
      <c r="O1454" s="78"/>
      <c r="P1454" s="78"/>
      <c r="Q1454" s="78"/>
      <c r="R1454" s="78"/>
      <c r="S1454" s="78"/>
      <c r="T1454" s="78"/>
      <c r="U1454" s="78"/>
      <c r="V1454" s="78"/>
      <c r="W1454" s="78"/>
      <c r="X1454" s="78"/>
      <c r="Y1454" s="78"/>
      <c r="Z1454" s="78"/>
    </row>
    <row r="1455">
      <c r="A1455" s="78">
        <v>509.0</v>
      </c>
      <c r="B1455" s="78"/>
      <c r="C1455" s="138"/>
      <c r="D1455" s="78"/>
      <c r="E1455" s="139" t="str">
        <f t="array" ref="E1455">IF(
UPPER(TRIM(CLEAN($O1455)))="ENTREGADO",
IFERROR(
INDEX(REPORTE_DROPI!Y:Y,
MATCH($T1455, REPORTE_DROPI!B:B, 0)
),
""
),
""
)
</f>
        <v/>
      </c>
      <c r="F1455" s="78"/>
      <c r="G1455" s="78"/>
      <c r="H1455" s="78"/>
      <c r="I1455" s="78"/>
      <c r="J1455" s="78"/>
      <c r="K1455" s="78"/>
      <c r="L1455" s="78"/>
      <c r="M1455" s="78"/>
      <c r="N1455" s="78"/>
      <c r="O1455" s="78"/>
      <c r="P1455" s="78"/>
      <c r="Q1455" s="78"/>
      <c r="R1455" s="78"/>
      <c r="S1455" s="78"/>
      <c r="T1455" s="78"/>
      <c r="U1455" s="78"/>
      <c r="V1455" s="78"/>
      <c r="W1455" s="78"/>
      <c r="X1455" s="78"/>
      <c r="Y1455" s="78"/>
      <c r="Z1455" s="78"/>
    </row>
    <row r="1456">
      <c r="A1456" s="78">
        <v>510.0</v>
      </c>
      <c r="B1456" s="78"/>
      <c r="C1456" s="138"/>
      <c r="D1456" s="78"/>
      <c r="E1456" s="139" t="str">
        <f t="array" ref="E1456">IF(
UPPER(TRIM(CLEAN($O1456)))="ENTREGADO",
IFERROR(
INDEX(REPORTE_DROPI!Y:Y,
MATCH($T1456, REPORTE_DROPI!B:B, 0)
),
""
),
""
)
</f>
        <v/>
      </c>
      <c r="F1456" s="78"/>
      <c r="G1456" s="78"/>
      <c r="H1456" s="78"/>
      <c r="I1456" s="78"/>
      <c r="J1456" s="78"/>
      <c r="K1456" s="78"/>
      <c r="L1456" s="78"/>
      <c r="M1456" s="78"/>
      <c r="N1456" s="78"/>
      <c r="O1456" s="78"/>
      <c r="P1456" s="78"/>
      <c r="Q1456" s="78"/>
      <c r="R1456" s="78"/>
      <c r="S1456" s="78"/>
      <c r="T1456" s="78"/>
      <c r="U1456" s="78"/>
      <c r="V1456" s="78"/>
      <c r="W1456" s="78"/>
      <c r="X1456" s="78"/>
      <c r="Y1456" s="78"/>
      <c r="Z1456" s="78"/>
    </row>
    <row r="1457">
      <c r="A1457" s="78">
        <v>511.0</v>
      </c>
      <c r="B1457" s="78"/>
      <c r="C1457" s="138"/>
      <c r="D1457" s="78"/>
      <c r="E1457" s="139" t="str">
        <f t="array" ref="E1457">IF(
UPPER(TRIM(CLEAN($O1457)))="ENTREGADO",
IFERROR(
INDEX(REPORTE_DROPI!Y:Y,
MATCH($T1457, REPORTE_DROPI!B:B, 0)
),
""
),
""
)
</f>
        <v/>
      </c>
      <c r="F1457" s="78"/>
      <c r="G1457" s="78"/>
      <c r="H1457" s="78"/>
      <c r="I1457" s="78"/>
      <c r="J1457" s="78"/>
      <c r="K1457" s="78"/>
      <c r="L1457" s="78"/>
      <c r="M1457" s="78"/>
      <c r="N1457" s="78"/>
      <c r="O1457" s="78"/>
      <c r="P1457" s="78"/>
      <c r="Q1457" s="78"/>
      <c r="R1457" s="78"/>
      <c r="S1457" s="78"/>
      <c r="T1457" s="78"/>
      <c r="U1457" s="78"/>
      <c r="V1457" s="78"/>
      <c r="W1457" s="78"/>
      <c r="X1457" s="78"/>
      <c r="Y1457" s="78"/>
      <c r="Z1457" s="78"/>
    </row>
    <row r="1458">
      <c r="A1458" s="78">
        <v>512.0</v>
      </c>
      <c r="B1458" s="78"/>
      <c r="C1458" s="138"/>
      <c r="D1458" s="78"/>
      <c r="E1458" s="139" t="str">
        <f t="array" ref="E1458">IF(
UPPER(TRIM(CLEAN($O1458)))="ENTREGADO",
IFERROR(
INDEX(REPORTE_DROPI!Y:Y,
MATCH($T1458, REPORTE_DROPI!B:B, 0)
),
""
),
""
)
</f>
        <v/>
      </c>
      <c r="F1458" s="78"/>
      <c r="G1458" s="78"/>
      <c r="H1458" s="78"/>
      <c r="I1458" s="78"/>
      <c r="J1458" s="78"/>
      <c r="K1458" s="78"/>
      <c r="L1458" s="78"/>
      <c r="M1458" s="78"/>
      <c r="N1458" s="78"/>
      <c r="O1458" s="78"/>
      <c r="P1458" s="78"/>
      <c r="Q1458" s="78"/>
      <c r="R1458" s="78"/>
      <c r="S1458" s="78"/>
      <c r="T1458" s="78"/>
      <c r="U1458" s="78"/>
      <c r="V1458" s="78"/>
      <c r="W1458" s="78"/>
      <c r="X1458" s="78"/>
      <c r="Y1458" s="78"/>
      <c r="Z1458" s="78"/>
    </row>
    <row r="1459">
      <c r="A1459" s="78">
        <v>513.0</v>
      </c>
      <c r="B1459" s="78"/>
      <c r="C1459" s="138"/>
      <c r="D1459" s="78"/>
      <c r="E1459" s="139" t="str">
        <f t="array" ref="E1459">IF(
UPPER(TRIM(CLEAN($O1459)))="ENTREGADO",
IFERROR(
INDEX(REPORTE_DROPI!Y:Y,
MATCH($T1459, REPORTE_DROPI!B:B, 0)
),
""
),
""
)
</f>
        <v/>
      </c>
      <c r="F1459" s="78"/>
      <c r="G1459" s="78"/>
      <c r="H1459" s="78"/>
      <c r="I1459" s="78"/>
      <c r="J1459" s="78"/>
      <c r="K1459" s="78"/>
      <c r="L1459" s="78"/>
      <c r="M1459" s="78"/>
      <c r="N1459" s="78"/>
      <c r="O1459" s="78"/>
      <c r="P1459" s="78"/>
      <c r="Q1459" s="78"/>
      <c r="R1459" s="78"/>
      <c r="S1459" s="78"/>
      <c r="T1459" s="78"/>
      <c r="U1459" s="78"/>
      <c r="V1459" s="78"/>
      <c r="W1459" s="78"/>
      <c r="X1459" s="78"/>
      <c r="Y1459" s="78"/>
      <c r="Z1459" s="78"/>
    </row>
    <row r="1460">
      <c r="A1460" s="78">
        <v>514.0</v>
      </c>
      <c r="B1460" s="78"/>
      <c r="C1460" s="138"/>
      <c r="D1460" s="78"/>
      <c r="E1460" s="139" t="str">
        <f t="array" ref="E1460">IF(
UPPER(TRIM(CLEAN($O1460)))="ENTREGADO",
IFERROR(
INDEX(REPORTE_DROPI!Y:Y,
MATCH($T1460, REPORTE_DROPI!B:B, 0)
),
""
),
""
)
</f>
        <v/>
      </c>
      <c r="F1460" s="78"/>
      <c r="G1460" s="78"/>
      <c r="H1460" s="78"/>
      <c r="I1460" s="78"/>
      <c r="J1460" s="78"/>
      <c r="K1460" s="78"/>
      <c r="L1460" s="78"/>
      <c r="M1460" s="78"/>
      <c r="N1460" s="78"/>
      <c r="O1460" s="78"/>
      <c r="P1460" s="78"/>
      <c r="Q1460" s="78"/>
      <c r="R1460" s="78"/>
      <c r="S1460" s="78"/>
      <c r="T1460" s="78"/>
      <c r="U1460" s="78"/>
      <c r="V1460" s="78"/>
      <c r="W1460" s="78"/>
      <c r="X1460" s="78"/>
      <c r="Y1460" s="78"/>
      <c r="Z1460" s="78"/>
    </row>
    <row r="1461">
      <c r="A1461" s="78">
        <v>515.0</v>
      </c>
      <c r="B1461" s="78"/>
      <c r="C1461" s="138"/>
      <c r="D1461" s="78"/>
      <c r="E1461" s="139" t="str">
        <f t="array" ref="E1461">IF(
UPPER(TRIM(CLEAN($O1461)))="ENTREGADO",
IFERROR(
INDEX(REPORTE_DROPI!Y:Y,
MATCH($T1461, REPORTE_DROPI!B:B, 0)
),
""
),
""
)
</f>
        <v/>
      </c>
      <c r="F1461" s="78"/>
      <c r="G1461" s="78"/>
      <c r="H1461" s="78"/>
      <c r="I1461" s="78"/>
      <c r="J1461" s="78"/>
      <c r="K1461" s="78"/>
      <c r="L1461" s="78"/>
      <c r="M1461" s="78"/>
      <c r="N1461" s="78"/>
      <c r="O1461" s="78"/>
      <c r="P1461" s="78"/>
      <c r="Q1461" s="78"/>
      <c r="R1461" s="78"/>
      <c r="S1461" s="78"/>
      <c r="T1461" s="78"/>
      <c r="U1461" s="78"/>
      <c r="V1461" s="78"/>
      <c r="W1461" s="78"/>
      <c r="X1461" s="78"/>
      <c r="Y1461" s="78"/>
      <c r="Z1461" s="78"/>
    </row>
    <row r="1462">
      <c r="A1462" s="78">
        <v>516.0</v>
      </c>
      <c r="B1462" s="78"/>
      <c r="C1462" s="138"/>
      <c r="D1462" s="78"/>
      <c r="E1462" s="139" t="str">
        <f t="array" ref="E1462">IF(
UPPER(TRIM(CLEAN($O1462)))="ENTREGADO",
IFERROR(
INDEX(REPORTE_DROPI!Y:Y,
MATCH($T1462, REPORTE_DROPI!B:B, 0)
),
""
),
""
)
</f>
        <v/>
      </c>
      <c r="F1462" s="78"/>
      <c r="G1462" s="78"/>
      <c r="H1462" s="78"/>
      <c r="I1462" s="78"/>
      <c r="J1462" s="78"/>
      <c r="K1462" s="78"/>
      <c r="L1462" s="78"/>
      <c r="M1462" s="78"/>
      <c r="N1462" s="78"/>
      <c r="O1462" s="78"/>
      <c r="P1462" s="78"/>
      <c r="Q1462" s="78"/>
      <c r="R1462" s="78"/>
      <c r="S1462" s="78"/>
      <c r="T1462" s="78"/>
      <c r="U1462" s="78"/>
      <c r="V1462" s="78"/>
      <c r="W1462" s="78"/>
      <c r="X1462" s="78"/>
      <c r="Y1462" s="78"/>
      <c r="Z1462" s="78"/>
    </row>
    <row r="1463">
      <c r="A1463" s="78">
        <v>517.0</v>
      </c>
      <c r="B1463" s="78"/>
      <c r="C1463" s="138"/>
      <c r="D1463" s="78"/>
      <c r="E1463" s="139" t="str">
        <f t="array" ref="E1463">IF(
UPPER(TRIM(CLEAN($O1463)))="ENTREGADO",
IFERROR(
INDEX(REPORTE_DROPI!Y:Y,
MATCH($T1463, REPORTE_DROPI!B:B, 0)
),
""
),
""
)
</f>
        <v/>
      </c>
      <c r="F1463" s="78"/>
      <c r="G1463" s="78"/>
      <c r="H1463" s="78"/>
      <c r="I1463" s="78"/>
      <c r="J1463" s="78"/>
      <c r="K1463" s="78"/>
      <c r="L1463" s="78"/>
      <c r="M1463" s="78"/>
      <c r="N1463" s="78"/>
      <c r="O1463" s="78"/>
      <c r="P1463" s="78"/>
      <c r="Q1463" s="78"/>
      <c r="R1463" s="78"/>
      <c r="S1463" s="78"/>
      <c r="T1463" s="78"/>
      <c r="U1463" s="78"/>
      <c r="V1463" s="78"/>
      <c r="W1463" s="78"/>
      <c r="X1463" s="78"/>
      <c r="Y1463" s="78"/>
      <c r="Z1463" s="78"/>
    </row>
    <row r="1464">
      <c r="A1464" s="78">
        <v>518.0</v>
      </c>
      <c r="B1464" s="78"/>
      <c r="C1464" s="138"/>
      <c r="D1464" s="78"/>
      <c r="E1464" s="139" t="str">
        <f t="array" ref="E1464">IF(
UPPER(TRIM(CLEAN($O1464)))="ENTREGADO",
IFERROR(
INDEX(REPORTE_DROPI!Y:Y,
MATCH($T1464, REPORTE_DROPI!B:B, 0)
),
""
),
""
)
</f>
        <v/>
      </c>
      <c r="F1464" s="78"/>
      <c r="G1464" s="78"/>
      <c r="H1464" s="78"/>
      <c r="I1464" s="78"/>
      <c r="J1464" s="78"/>
      <c r="K1464" s="78"/>
      <c r="L1464" s="78"/>
      <c r="M1464" s="78"/>
      <c r="N1464" s="78"/>
      <c r="O1464" s="78"/>
      <c r="P1464" s="78"/>
      <c r="Q1464" s="78"/>
      <c r="R1464" s="78"/>
      <c r="S1464" s="78"/>
      <c r="T1464" s="78"/>
      <c r="U1464" s="78"/>
      <c r="V1464" s="78"/>
      <c r="W1464" s="78"/>
      <c r="X1464" s="78"/>
      <c r="Y1464" s="78"/>
      <c r="Z1464" s="78"/>
    </row>
    <row r="1465">
      <c r="A1465" s="78">
        <v>519.0</v>
      </c>
      <c r="B1465" s="78"/>
      <c r="C1465" s="138"/>
      <c r="D1465" s="78"/>
      <c r="E1465" s="139" t="str">
        <f t="array" ref="E1465">IF(
UPPER(TRIM(CLEAN($O1465)))="ENTREGADO",
IFERROR(
INDEX(REPORTE_DROPI!Y:Y,
MATCH($T1465, REPORTE_DROPI!B:B, 0)
),
""
),
""
)
</f>
        <v/>
      </c>
      <c r="F1465" s="78"/>
      <c r="G1465" s="78"/>
      <c r="H1465" s="78"/>
      <c r="I1465" s="78"/>
      <c r="J1465" s="78"/>
      <c r="K1465" s="78"/>
      <c r="L1465" s="78"/>
      <c r="M1465" s="78"/>
      <c r="N1465" s="78"/>
      <c r="O1465" s="78"/>
      <c r="P1465" s="78"/>
      <c r="Q1465" s="78"/>
      <c r="R1465" s="78"/>
      <c r="S1465" s="78"/>
      <c r="T1465" s="78"/>
      <c r="U1465" s="78"/>
      <c r="V1465" s="78"/>
      <c r="W1465" s="78"/>
      <c r="X1465" s="78"/>
      <c r="Y1465" s="78"/>
      <c r="Z1465" s="78"/>
    </row>
    <row r="1466">
      <c r="A1466" s="78">
        <v>520.0</v>
      </c>
      <c r="B1466" s="78"/>
      <c r="C1466" s="138"/>
      <c r="D1466" s="78"/>
      <c r="E1466" s="139" t="str">
        <f t="array" ref="E1466">IF(
UPPER(TRIM(CLEAN($O1466)))="ENTREGADO",
IFERROR(
INDEX(REPORTE_DROPI!Y:Y,
MATCH($T1466, REPORTE_DROPI!B:B, 0)
),
""
),
""
)
</f>
        <v/>
      </c>
      <c r="F1466" s="78"/>
      <c r="G1466" s="78"/>
      <c r="H1466" s="78"/>
      <c r="I1466" s="78"/>
      <c r="J1466" s="78"/>
      <c r="K1466" s="78"/>
      <c r="L1466" s="78"/>
      <c r="M1466" s="78"/>
      <c r="N1466" s="78"/>
      <c r="O1466" s="78"/>
      <c r="P1466" s="78"/>
      <c r="Q1466" s="78"/>
      <c r="R1466" s="78"/>
      <c r="S1466" s="78"/>
      <c r="T1466" s="78"/>
      <c r="U1466" s="78"/>
      <c r="V1466" s="78"/>
      <c r="W1466" s="78"/>
      <c r="X1466" s="78"/>
      <c r="Y1466" s="78"/>
      <c r="Z1466" s="78"/>
    </row>
    <row r="1467">
      <c r="A1467" s="78">
        <v>521.0</v>
      </c>
      <c r="B1467" s="78"/>
      <c r="C1467" s="138"/>
      <c r="D1467" s="78"/>
      <c r="E1467" s="139" t="str">
        <f t="array" ref="E1467">IF(
UPPER(TRIM(CLEAN($O1467)))="ENTREGADO",
IFERROR(
INDEX(REPORTE_DROPI!Y:Y,
MATCH($T1467, REPORTE_DROPI!B:B, 0)
),
""
),
""
)
</f>
        <v/>
      </c>
      <c r="F1467" s="78"/>
      <c r="G1467" s="78"/>
      <c r="H1467" s="78"/>
      <c r="I1467" s="78"/>
      <c r="J1467" s="78"/>
      <c r="K1467" s="78"/>
      <c r="L1467" s="78"/>
      <c r="M1467" s="78"/>
      <c r="N1467" s="78"/>
      <c r="O1467" s="78"/>
      <c r="P1467" s="78"/>
      <c r="Q1467" s="78"/>
      <c r="R1467" s="78"/>
      <c r="S1467" s="78"/>
      <c r="T1467" s="78"/>
      <c r="U1467" s="78"/>
      <c r="V1467" s="78"/>
      <c r="W1467" s="78"/>
      <c r="X1467" s="78"/>
      <c r="Y1467" s="78"/>
      <c r="Z1467" s="78"/>
    </row>
    <row r="1468">
      <c r="A1468" s="78">
        <v>522.0</v>
      </c>
      <c r="B1468" s="78"/>
      <c r="C1468" s="138"/>
      <c r="D1468" s="78"/>
      <c r="E1468" s="139" t="str">
        <f t="array" ref="E1468">IF(
UPPER(TRIM(CLEAN($O1468)))="ENTREGADO",
IFERROR(
INDEX(REPORTE_DROPI!Y:Y,
MATCH($T1468, REPORTE_DROPI!B:B, 0)
),
""
),
""
)
</f>
        <v/>
      </c>
      <c r="F1468" s="78"/>
      <c r="G1468" s="78"/>
      <c r="H1468" s="78"/>
      <c r="I1468" s="78"/>
      <c r="J1468" s="78"/>
      <c r="K1468" s="78"/>
      <c r="L1468" s="78"/>
      <c r="M1468" s="78"/>
      <c r="N1468" s="78"/>
      <c r="O1468" s="78"/>
      <c r="P1468" s="78"/>
      <c r="Q1468" s="78"/>
      <c r="R1468" s="78"/>
      <c r="S1468" s="78"/>
      <c r="T1468" s="78"/>
      <c r="U1468" s="78"/>
      <c r="V1468" s="78"/>
      <c r="W1468" s="78"/>
      <c r="X1468" s="78"/>
      <c r="Y1468" s="78"/>
      <c r="Z1468" s="78"/>
    </row>
    <row r="1469">
      <c r="A1469" s="78">
        <v>523.0</v>
      </c>
      <c r="B1469" s="78"/>
      <c r="C1469" s="138"/>
      <c r="D1469" s="78"/>
      <c r="E1469" s="139" t="str">
        <f t="array" ref="E1469">IF(
UPPER(TRIM(CLEAN($O1469)))="ENTREGADO",
IFERROR(
INDEX(REPORTE_DROPI!Y:Y,
MATCH($T1469, REPORTE_DROPI!B:B, 0)
),
""
),
""
)
</f>
        <v/>
      </c>
      <c r="F1469" s="78"/>
      <c r="G1469" s="78"/>
      <c r="H1469" s="78"/>
      <c r="I1469" s="78"/>
      <c r="J1469" s="78"/>
      <c r="K1469" s="78"/>
      <c r="L1469" s="78"/>
      <c r="M1469" s="78"/>
      <c r="N1469" s="78"/>
      <c r="O1469" s="78"/>
      <c r="P1469" s="78"/>
      <c r="Q1469" s="78"/>
      <c r="R1469" s="78"/>
      <c r="S1469" s="78"/>
      <c r="T1469" s="78"/>
      <c r="U1469" s="78"/>
      <c r="V1469" s="78"/>
      <c r="W1469" s="78"/>
      <c r="X1469" s="78"/>
      <c r="Y1469" s="78"/>
      <c r="Z1469" s="78"/>
    </row>
    <row r="1470">
      <c r="A1470" s="78">
        <v>524.0</v>
      </c>
      <c r="B1470" s="78"/>
      <c r="C1470" s="138"/>
      <c r="D1470" s="78"/>
      <c r="E1470" s="139" t="str">
        <f t="array" ref="E1470">IF(
UPPER(TRIM(CLEAN($O1470)))="ENTREGADO",
IFERROR(
INDEX(REPORTE_DROPI!Y:Y,
MATCH($T1470, REPORTE_DROPI!B:B, 0)
),
""
),
""
)
</f>
        <v/>
      </c>
      <c r="F1470" s="78"/>
      <c r="G1470" s="78"/>
      <c r="H1470" s="78"/>
      <c r="I1470" s="78"/>
      <c r="J1470" s="78"/>
      <c r="K1470" s="78"/>
      <c r="L1470" s="78"/>
      <c r="M1470" s="78"/>
      <c r="N1470" s="78"/>
      <c r="O1470" s="78"/>
      <c r="P1470" s="78"/>
      <c r="Q1470" s="78"/>
      <c r="R1470" s="78"/>
      <c r="S1470" s="78"/>
      <c r="T1470" s="78"/>
      <c r="U1470" s="78"/>
      <c r="V1470" s="78"/>
      <c r="W1470" s="78"/>
      <c r="X1470" s="78"/>
      <c r="Y1470" s="78"/>
      <c r="Z1470" s="78"/>
    </row>
    <row r="1471">
      <c r="A1471" s="78">
        <v>525.0</v>
      </c>
      <c r="B1471" s="78"/>
      <c r="C1471" s="138"/>
      <c r="D1471" s="78"/>
      <c r="E1471" s="139" t="str">
        <f t="array" ref="E1471">IF(
UPPER(TRIM(CLEAN($O1471)))="ENTREGADO",
IFERROR(
INDEX(REPORTE_DROPI!Y:Y,
MATCH($T1471, REPORTE_DROPI!B:B, 0)
),
""
),
""
)
</f>
        <v/>
      </c>
      <c r="F1471" s="78"/>
      <c r="G1471" s="78"/>
      <c r="H1471" s="78"/>
      <c r="I1471" s="78"/>
      <c r="J1471" s="78"/>
      <c r="K1471" s="78"/>
      <c r="L1471" s="78"/>
      <c r="M1471" s="78"/>
      <c r="N1471" s="78"/>
      <c r="O1471" s="78"/>
      <c r="P1471" s="78"/>
      <c r="Q1471" s="78"/>
      <c r="R1471" s="78"/>
      <c r="S1471" s="78"/>
      <c r="T1471" s="78"/>
      <c r="U1471" s="78"/>
      <c r="V1471" s="78"/>
      <c r="W1471" s="78"/>
      <c r="X1471" s="78"/>
      <c r="Y1471" s="78"/>
      <c r="Z1471" s="78"/>
    </row>
    <row r="1472">
      <c r="A1472" s="78">
        <v>526.0</v>
      </c>
      <c r="B1472" s="78"/>
      <c r="C1472" s="138"/>
      <c r="D1472" s="78"/>
      <c r="E1472" s="139" t="str">
        <f t="array" ref="E1472">IF(
UPPER(TRIM(CLEAN($O1472)))="ENTREGADO",
IFERROR(
INDEX(REPORTE_DROPI!Y:Y,
MATCH($T1472, REPORTE_DROPI!B:B, 0)
),
""
),
""
)
</f>
        <v/>
      </c>
      <c r="F1472" s="78"/>
      <c r="G1472" s="78"/>
      <c r="H1472" s="78"/>
      <c r="I1472" s="78"/>
      <c r="J1472" s="78"/>
      <c r="K1472" s="78"/>
      <c r="L1472" s="78"/>
      <c r="M1472" s="78"/>
      <c r="N1472" s="78"/>
      <c r="O1472" s="78"/>
      <c r="P1472" s="78"/>
      <c r="Q1472" s="78"/>
      <c r="R1472" s="78"/>
      <c r="S1472" s="78"/>
      <c r="T1472" s="78"/>
      <c r="U1472" s="78"/>
      <c r="V1472" s="78"/>
      <c r="W1472" s="78"/>
      <c r="X1472" s="78"/>
      <c r="Y1472" s="78"/>
      <c r="Z1472" s="78"/>
    </row>
    <row r="1473">
      <c r="A1473" s="78">
        <v>527.0</v>
      </c>
      <c r="B1473" s="78"/>
      <c r="C1473" s="138"/>
      <c r="D1473" s="78"/>
      <c r="E1473" s="139" t="str">
        <f t="array" ref="E1473">IF(
UPPER(TRIM(CLEAN($O1473)))="ENTREGADO",
IFERROR(
INDEX(REPORTE_DROPI!Y:Y,
MATCH($T1473, REPORTE_DROPI!B:B, 0)
),
""
),
""
)
</f>
        <v/>
      </c>
      <c r="F1473" s="78"/>
      <c r="G1473" s="78"/>
      <c r="H1473" s="78"/>
      <c r="I1473" s="78"/>
      <c r="J1473" s="78"/>
      <c r="K1473" s="78"/>
      <c r="L1473" s="78"/>
      <c r="M1473" s="78"/>
      <c r="N1473" s="78"/>
      <c r="O1473" s="78"/>
      <c r="P1473" s="78"/>
      <c r="Q1473" s="78"/>
      <c r="R1473" s="78"/>
      <c r="S1473" s="78"/>
      <c r="T1473" s="78"/>
      <c r="U1473" s="78"/>
      <c r="V1473" s="78"/>
      <c r="W1473" s="78"/>
      <c r="X1473" s="78"/>
      <c r="Y1473" s="78"/>
      <c r="Z1473" s="78"/>
    </row>
    <row r="1474">
      <c r="A1474" s="78">
        <v>528.0</v>
      </c>
      <c r="B1474" s="78"/>
      <c r="C1474" s="138"/>
      <c r="D1474" s="78"/>
      <c r="E1474" s="139" t="str">
        <f t="array" ref="E1474">IF(
UPPER(TRIM(CLEAN($O1474)))="ENTREGADO",
IFERROR(
INDEX(REPORTE_DROPI!Y:Y,
MATCH($T1474, REPORTE_DROPI!B:B, 0)
),
""
),
""
)
</f>
        <v/>
      </c>
      <c r="F1474" s="78"/>
      <c r="G1474" s="78"/>
      <c r="H1474" s="78"/>
      <c r="I1474" s="78"/>
      <c r="J1474" s="78"/>
      <c r="K1474" s="78"/>
      <c r="L1474" s="78"/>
      <c r="M1474" s="78"/>
      <c r="N1474" s="78"/>
      <c r="O1474" s="78"/>
      <c r="P1474" s="78"/>
      <c r="Q1474" s="78"/>
      <c r="R1474" s="78"/>
      <c r="S1474" s="78"/>
      <c r="T1474" s="78"/>
      <c r="U1474" s="78"/>
      <c r="V1474" s="78"/>
      <c r="W1474" s="78"/>
      <c r="X1474" s="78"/>
      <c r="Y1474" s="78"/>
      <c r="Z1474" s="78"/>
    </row>
    <row r="1475">
      <c r="A1475" s="78">
        <v>529.0</v>
      </c>
      <c r="B1475" s="78"/>
      <c r="C1475" s="138"/>
      <c r="D1475" s="78"/>
      <c r="E1475" s="139" t="str">
        <f t="array" ref="E1475">IF(
UPPER(TRIM(CLEAN($O1475)))="ENTREGADO",
IFERROR(
INDEX(REPORTE_DROPI!Y:Y,
MATCH($T1475, REPORTE_DROPI!B:B, 0)
),
""
),
""
)
</f>
        <v/>
      </c>
      <c r="F1475" s="78"/>
      <c r="G1475" s="78"/>
      <c r="H1475" s="78"/>
      <c r="I1475" s="78"/>
      <c r="J1475" s="78"/>
      <c r="K1475" s="78"/>
      <c r="L1475" s="78"/>
      <c r="M1475" s="78"/>
      <c r="N1475" s="78"/>
      <c r="O1475" s="78"/>
      <c r="P1475" s="78"/>
      <c r="Q1475" s="78"/>
      <c r="R1475" s="78"/>
      <c r="S1475" s="78"/>
      <c r="T1475" s="78"/>
      <c r="U1475" s="78"/>
      <c r="V1475" s="78"/>
      <c r="W1475" s="78"/>
      <c r="X1475" s="78"/>
      <c r="Y1475" s="78"/>
      <c r="Z1475" s="78"/>
    </row>
    <row r="1476">
      <c r="A1476" s="78">
        <v>530.0</v>
      </c>
      <c r="B1476" s="78"/>
      <c r="C1476" s="138"/>
      <c r="D1476" s="78"/>
      <c r="E1476" s="139" t="str">
        <f t="array" ref="E1476">IF(
UPPER(TRIM(CLEAN($O1476)))="ENTREGADO",
IFERROR(
INDEX(REPORTE_DROPI!Y:Y,
MATCH($T1476, REPORTE_DROPI!B:B, 0)
),
""
),
""
)
</f>
        <v/>
      </c>
      <c r="F1476" s="78"/>
      <c r="G1476" s="78"/>
      <c r="H1476" s="78"/>
      <c r="I1476" s="78"/>
      <c r="J1476" s="78"/>
      <c r="K1476" s="78"/>
      <c r="L1476" s="78"/>
      <c r="M1476" s="78"/>
      <c r="N1476" s="78"/>
      <c r="O1476" s="78"/>
      <c r="P1476" s="78"/>
      <c r="Q1476" s="78"/>
      <c r="R1476" s="78"/>
      <c r="S1476" s="78"/>
      <c r="T1476" s="78"/>
      <c r="U1476" s="78"/>
      <c r="V1476" s="78"/>
      <c r="W1476" s="78"/>
      <c r="X1476" s="78"/>
      <c r="Y1476" s="78"/>
      <c r="Z1476" s="78"/>
    </row>
    <row r="1477">
      <c r="A1477" s="78">
        <v>531.0</v>
      </c>
      <c r="B1477" s="78"/>
      <c r="C1477" s="138"/>
      <c r="D1477" s="78"/>
      <c r="E1477" s="139" t="str">
        <f t="array" ref="E1477">IF(
UPPER(TRIM(CLEAN($O1477)))="ENTREGADO",
IFERROR(
INDEX(REPORTE_DROPI!Y:Y,
MATCH($T1477, REPORTE_DROPI!B:B, 0)
),
""
),
""
)
</f>
        <v/>
      </c>
      <c r="F1477" s="78"/>
      <c r="G1477" s="78"/>
      <c r="H1477" s="78"/>
      <c r="I1477" s="78"/>
      <c r="J1477" s="78"/>
      <c r="K1477" s="78"/>
      <c r="L1477" s="78"/>
      <c r="M1477" s="78"/>
      <c r="N1477" s="78"/>
      <c r="O1477" s="78"/>
      <c r="P1477" s="78"/>
      <c r="Q1477" s="78"/>
      <c r="R1477" s="78"/>
      <c r="S1477" s="78"/>
      <c r="T1477" s="78"/>
      <c r="U1477" s="78"/>
      <c r="V1477" s="78"/>
      <c r="W1477" s="78"/>
      <c r="X1477" s="78"/>
      <c r="Y1477" s="78"/>
      <c r="Z1477" s="78"/>
    </row>
    <row r="1478">
      <c r="A1478" s="78">
        <v>532.0</v>
      </c>
      <c r="B1478" s="78"/>
      <c r="C1478" s="138"/>
      <c r="D1478" s="78"/>
      <c r="E1478" s="139" t="str">
        <f t="array" ref="E1478">IF(
UPPER(TRIM(CLEAN($O1478)))="ENTREGADO",
IFERROR(
INDEX(REPORTE_DROPI!Y:Y,
MATCH($T1478, REPORTE_DROPI!B:B, 0)
),
""
),
""
)
</f>
        <v/>
      </c>
      <c r="F1478" s="78"/>
      <c r="G1478" s="78"/>
      <c r="H1478" s="78"/>
      <c r="I1478" s="78"/>
      <c r="J1478" s="78"/>
      <c r="K1478" s="78"/>
      <c r="L1478" s="78"/>
      <c r="M1478" s="78"/>
      <c r="N1478" s="78"/>
      <c r="O1478" s="78"/>
      <c r="P1478" s="78"/>
      <c r="Q1478" s="78"/>
      <c r="R1478" s="78"/>
      <c r="S1478" s="78"/>
      <c r="T1478" s="78"/>
      <c r="U1478" s="78"/>
      <c r="V1478" s="78"/>
      <c r="W1478" s="78"/>
      <c r="X1478" s="78"/>
      <c r="Y1478" s="78"/>
      <c r="Z1478" s="78"/>
    </row>
    <row r="1479">
      <c r="A1479" s="78">
        <v>533.0</v>
      </c>
      <c r="B1479" s="78"/>
      <c r="C1479" s="138"/>
      <c r="D1479" s="78"/>
      <c r="E1479" s="139" t="str">
        <f t="array" ref="E1479">IF(
UPPER(TRIM(CLEAN($O1479)))="ENTREGADO",
IFERROR(
INDEX(REPORTE_DROPI!Y:Y,
MATCH($T1479, REPORTE_DROPI!B:B, 0)
),
""
),
""
)
</f>
        <v/>
      </c>
      <c r="F1479" s="78"/>
      <c r="G1479" s="78"/>
      <c r="H1479" s="78"/>
      <c r="I1479" s="78"/>
      <c r="J1479" s="78"/>
      <c r="K1479" s="78"/>
      <c r="L1479" s="78"/>
      <c r="M1479" s="78"/>
      <c r="N1479" s="78"/>
      <c r="O1479" s="78"/>
      <c r="P1479" s="78"/>
      <c r="Q1479" s="78"/>
      <c r="R1479" s="78"/>
      <c r="S1479" s="78"/>
      <c r="T1479" s="78"/>
      <c r="U1479" s="78"/>
      <c r="V1479" s="78"/>
      <c r="W1479" s="78"/>
      <c r="X1479" s="78"/>
      <c r="Y1479" s="78"/>
      <c r="Z1479" s="78"/>
    </row>
    <row r="1480">
      <c r="A1480" s="78">
        <v>534.0</v>
      </c>
      <c r="B1480" s="78"/>
      <c r="C1480" s="138"/>
      <c r="D1480" s="78"/>
      <c r="E1480" s="139" t="str">
        <f t="array" ref="E1480">IF(
UPPER(TRIM(CLEAN($O1480)))="ENTREGADO",
IFERROR(
INDEX(REPORTE_DROPI!Y:Y,
MATCH($T1480, REPORTE_DROPI!B:B, 0)
),
""
),
""
)
</f>
        <v/>
      </c>
      <c r="F1480" s="78"/>
      <c r="G1480" s="78"/>
      <c r="H1480" s="78"/>
      <c r="I1480" s="78"/>
      <c r="J1480" s="78"/>
      <c r="K1480" s="78"/>
      <c r="L1480" s="78"/>
      <c r="M1480" s="78"/>
      <c r="N1480" s="78"/>
      <c r="O1480" s="78"/>
      <c r="P1480" s="78"/>
      <c r="Q1480" s="78"/>
      <c r="R1480" s="78"/>
      <c r="S1480" s="78"/>
      <c r="T1480" s="78"/>
      <c r="U1480" s="78"/>
      <c r="V1480" s="78"/>
      <c r="W1480" s="78"/>
      <c r="X1480" s="78"/>
      <c r="Y1480" s="78"/>
      <c r="Z1480" s="78"/>
    </row>
    <row r="1481">
      <c r="A1481" s="78">
        <v>535.0</v>
      </c>
      <c r="B1481" s="78"/>
      <c r="C1481" s="138"/>
      <c r="D1481" s="78"/>
      <c r="E1481" s="139" t="str">
        <f t="array" ref="E1481">IF(
UPPER(TRIM(CLEAN($O1481)))="ENTREGADO",
IFERROR(
INDEX(REPORTE_DROPI!Y:Y,
MATCH($T1481, REPORTE_DROPI!B:B, 0)
),
""
),
""
)
</f>
        <v/>
      </c>
      <c r="F1481" s="78"/>
      <c r="G1481" s="78"/>
      <c r="H1481" s="78"/>
      <c r="I1481" s="78"/>
      <c r="J1481" s="78"/>
      <c r="K1481" s="78"/>
      <c r="L1481" s="78"/>
      <c r="M1481" s="78"/>
      <c r="N1481" s="78"/>
      <c r="O1481" s="78"/>
      <c r="P1481" s="78"/>
      <c r="Q1481" s="78"/>
      <c r="R1481" s="78"/>
      <c r="S1481" s="78"/>
      <c r="T1481" s="78"/>
      <c r="U1481" s="78"/>
      <c r="V1481" s="78"/>
      <c r="W1481" s="78"/>
      <c r="X1481" s="78"/>
      <c r="Y1481" s="78"/>
      <c r="Z1481" s="78"/>
    </row>
    <row r="1482">
      <c r="A1482" s="78">
        <v>536.0</v>
      </c>
      <c r="B1482" s="78"/>
      <c r="C1482" s="138"/>
      <c r="D1482" s="78"/>
      <c r="E1482" s="139" t="str">
        <f t="array" ref="E1482">IF(
UPPER(TRIM(CLEAN($O1482)))="ENTREGADO",
IFERROR(
INDEX(REPORTE_DROPI!Y:Y,
MATCH($T1482, REPORTE_DROPI!B:B, 0)
),
""
),
""
)
</f>
        <v/>
      </c>
      <c r="F1482" s="78"/>
      <c r="G1482" s="78"/>
      <c r="H1482" s="78"/>
      <c r="I1482" s="78"/>
      <c r="J1482" s="78"/>
      <c r="K1482" s="78"/>
      <c r="L1482" s="78"/>
      <c r="M1482" s="78"/>
      <c r="N1482" s="78"/>
      <c r="O1482" s="78"/>
      <c r="P1482" s="78"/>
      <c r="Q1482" s="78"/>
      <c r="R1482" s="78"/>
      <c r="S1482" s="78"/>
      <c r="T1482" s="78"/>
      <c r="U1482" s="78"/>
      <c r="V1482" s="78"/>
      <c r="W1482" s="78"/>
      <c r="X1482" s="78"/>
      <c r="Y1482" s="78"/>
      <c r="Z1482" s="78"/>
    </row>
    <row r="1483">
      <c r="A1483" s="78">
        <v>537.0</v>
      </c>
      <c r="B1483" s="78"/>
      <c r="C1483" s="138"/>
      <c r="D1483" s="78"/>
      <c r="E1483" s="139" t="str">
        <f t="array" ref="E1483">IF(
UPPER(TRIM(CLEAN($O1483)))="ENTREGADO",
IFERROR(
INDEX(REPORTE_DROPI!Y:Y,
MATCH($T1483, REPORTE_DROPI!B:B, 0)
),
""
),
""
)
</f>
        <v/>
      </c>
      <c r="F1483" s="78"/>
      <c r="G1483" s="78"/>
      <c r="H1483" s="78"/>
      <c r="I1483" s="78"/>
      <c r="J1483" s="78"/>
      <c r="K1483" s="78"/>
      <c r="L1483" s="78"/>
      <c r="M1483" s="78"/>
      <c r="N1483" s="78"/>
      <c r="O1483" s="78"/>
      <c r="P1483" s="78"/>
      <c r="Q1483" s="78"/>
      <c r="R1483" s="78"/>
      <c r="S1483" s="78"/>
      <c r="T1483" s="78"/>
      <c r="U1483" s="78"/>
      <c r="V1483" s="78"/>
      <c r="W1483" s="78"/>
      <c r="X1483" s="78"/>
      <c r="Y1483" s="78"/>
      <c r="Z1483" s="78"/>
    </row>
    <row r="1484">
      <c r="A1484" s="78">
        <v>538.0</v>
      </c>
      <c r="B1484" s="78"/>
      <c r="C1484" s="138"/>
      <c r="D1484" s="78"/>
      <c r="E1484" s="139" t="str">
        <f t="array" ref="E1484">IF(
UPPER(TRIM(CLEAN($O1484)))="ENTREGADO",
IFERROR(
INDEX(REPORTE_DROPI!Y:Y,
MATCH($T1484, REPORTE_DROPI!B:B, 0)
),
""
),
""
)
</f>
        <v/>
      </c>
      <c r="F1484" s="78"/>
      <c r="G1484" s="78"/>
      <c r="H1484" s="78"/>
      <c r="I1484" s="78"/>
      <c r="J1484" s="78"/>
      <c r="K1484" s="78"/>
      <c r="L1484" s="78"/>
      <c r="M1484" s="78"/>
      <c r="N1484" s="78"/>
      <c r="O1484" s="78"/>
      <c r="P1484" s="78"/>
      <c r="Q1484" s="78"/>
      <c r="R1484" s="78"/>
      <c r="S1484" s="78"/>
      <c r="T1484" s="78"/>
      <c r="U1484" s="78"/>
      <c r="V1484" s="78"/>
      <c r="W1484" s="78"/>
      <c r="X1484" s="78"/>
      <c r="Y1484" s="78"/>
      <c r="Z1484" s="78"/>
    </row>
    <row r="1485">
      <c r="A1485" s="78">
        <v>539.0</v>
      </c>
      <c r="B1485" s="78"/>
      <c r="C1485" s="138"/>
      <c r="D1485" s="78"/>
      <c r="E1485" s="139" t="str">
        <f t="array" ref="E1485">IF(
UPPER(TRIM(CLEAN($O1485)))="ENTREGADO",
IFERROR(
INDEX(REPORTE_DROPI!Y:Y,
MATCH($T1485, REPORTE_DROPI!B:B, 0)
),
""
),
""
)
</f>
        <v/>
      </c>
      <c r="F1485" s="78"/>
      <c r="G1485" s="78"/>
      <c r="H1485" s="78"/>
      <c r="I1485" s="78"/>
      <c r="J1485" s="78"/>
      <c r="K1485" s="78"/>
      <c r="L1485" s="78"/>
      <c r="M1485" s="78"/>
      <c r="N1485" s="78"/>
      <c r="O1485" s="78"/>
      <c r="P1485" s="78"/>
      <c r="Q1485" s="78"/>
      <c r="R1485" s="78"/>
      <c r="S1485" s="78"/>
      <c r="T1485" s="78"/>
      <c r="U1485" s="78"/>
      <c r="V1485" s="78"/>
      <c r="W1485" s="78"/>
      <c r="X1485" s="78"/>
      <c r="Y1485" s="78"/>
      <c r="Z1485" s="78"/>
    </row>
    <row r="1486">
      <c r="A1486" s="78">
        <v>540.0</v>
      </c>
      <c r="B1486" s="78"/>
      <c r="C1486" s="138"/>
      <c r="D1486" s="78"/>
      <c r="E1486" s="139" t="str">
        <f t="array" ref="E1486">IF(
UPPER(TRIM(CLEAN($O1486)))="ENTREGADO",
IFERROR(
INDEX(REPORTE_DROPI!Y:Y,
MATCH($T1486, REPORTE_DROPI!B:B, 0)
),
""
),
""
)
</f>
        <v/>
      </c>
      <c r="F1486" s="78"/>
      <c r="G1486" s="78"/>
      <c r="H1486" s="78"/>
      <c r="I1486" s="78"/>
      <c r="J1486" s="78"/>
      <c r="K1486" s="78"/>
      <c r="L1486" s="78"/>
      <c r="M1486" s="78"/>
      <c r="N1486" s="78"/>
      <c r="O1486" s="78"/>
      <c r="P1486" s="78"/>
      <c r="Q1486" s="78"/>
      <c r="R1486" s="78"/>
      <c r="S1486" s="78"/>
      <c r="T1486" s="78"/>
      <c r="U1486" s="78"/>
      <c r="V1486" s="78"/>
      <c r="W1486" s="78"/>
      <c r="X1486" s="78"/>
      <c r="Y1486" s="78"/>
      <c r="Z1486" s="78"/>
    </row>
    <row r="1487">
      <c r="A1487" s="78">
        <v>541.0</v>
      </c>
      <c r="B1487" s="78"/>
      <c r="C1487" s="138"/>
      <c r="D1487" s="78"/>
      <c r="E1487" s="139" t="str">
        <f t="array" ref="E1487">IF(
UPPER(TRIM(CLEAN($O1487)))="ENTREGADO",
IFERROR(
INDEX(REPORTE_DROPI!Y:Y,
MATCH($T1487, REPORTE_DROPI!B:B, 0)
),
""
),
""
)
</f>
        <v/>
      </c>
      <c r="F1487" s="78"/>
      <c r="G1487" s="78"/>
      <c r="H1487" s="78"/>
      <c r="I1487" s="78"/>
      <c r="J1487" s="78"/>
      <c r="K1487" s="78"/>
      <c r="L1487" s="78"/>
      <c r="M1487" s="78"/>
      <c r="N1487" s="78"/>
      <c r="O1487" s="78"/>
      <c r="P1487" s="78"/>
      <c r="Q1487" s="78"/>
      <c r="R1487" s="78"/>
      <c r="S1487" s="78"/>
      <c r="T1487" s="78"/>
      <c r="U1487" s="78"/>
      <c r="V1487" s="78"/>
      <c r="W1487" s="78"/>
      <c r="X1487" s="78"/>
      <c r="Y1487" s="78"/>
      <c r="Z1487" s="78"/>
    </row>
    <row r="1488">
      <c r="A1488" s="78">
        <v>542.0</v>
      </c>
      <c r="B1488" s="78"/>
      <c r="C1488" s="138"/>
      <c r="D1488" s="78"/>
      <c r="E1488" s="139" t="str">
        <f t="array" ref="E1488">IF(
UPPER(TRIM(CLEAN($O1488)))="ENTREGADO",
IFERROR(
INDEX(REPORTE_DROPI!Y:Y,
MATCH($T1488, REPORTE_DROPI!B:B, 0)
),
""
),
""
)
</f>
        <v/>
      </c>
      <c r="F1488" s="78"/>
      <c r="G1488" s="78"/>
      <c r="H1488" s="78"/>
      <c r="I1488" s="78"/>
      <c r="J1488" s="78"/>
      <c r="K1488" s="78"/>
      <c r="L1488" s="78"/>
      <c r="M1488" s="78"/>
      <c r="N1488" s="78"/>
      <c r="O1488" s="78"/>
      <c r="P1488" s="78"/>
      <c r="Q1488" s="78"/>
      <c r="R1488" s="78"/>
      <c r="S1488" s="78"/>
      <c r="T1488" s="78"/>
      <c r="U1488" s="78"/>
      <c r="V1488" s="78"/>
      <c r="W1488" s="78"/>
      <c r="X1488" s="78"/>
      <c r="Y1488" s="78"/>
      <c r="Z1488" s="78"/>
    </row>
    <row r="1489">
      <c r="A1489" s="78">
        <v>543.0</v>
      </c>
      <c r="B1489" s="78"/>
      <c r="C1489" s="138"/>
      <c r="D1489" s="78"/>
      <c r="E1489" s="139" t="str">
        <f t="array" ref="E1489">IF(
UPPER(TRIM(CLEAN($O1489)))="ENTREGADO",
IFERROR(
INDEX(REPORTE_DROPI!Y:Y,
MATCH($T1489, REPORTE_DROPI!B:B, 0)
),
""
),
""
)
</f>
        <v/>
      </c>
      <c r="F1489" s="78"/>
      <c r="G1489" s="78"/>
      <c r="H1489" s="78"/>
      <c r="I1489" s="78"/>
      <c r="J1489" s="78"/>
      <c r="K1489" s="78"/>
      <c r="L1489" s="78"/>
      <c r="M1489" s="78"/>
      <c r="N1489" s="78"/>
      <c r="O1489" s="78"/>
      <c r="P1489" s="78"/>
      <c r="Q1489" s="78"/>
      <c r="R1489" s="78"/>
      <c r="S1489" s="78"/>
      <c r="T1489" s="78"/>
      <c r="U1489" s="78"/>
      <c r="V1489" s="78"/>
      <c r="W1489" s="78"/>
      <c r="X1489" s="78"/>
      <c r="Y1489" s="78"/>
      <c r="Z1489" s="78"/>
    </row>
    <row r="1490">
      <c r="A1490" s="78">
        <v>544.0</v>
      </c>
      <c r="B1490" s="78"/>
      <c r="C1490" s="138"/>
      <c r="D1490" s="78"/>
      <c r="E1490" s="139" t="str">
        <f t="array" ref="E1490">IF(
UPPER(TRIM(CLEAN($O1490)))="ENTREGADO",
IFERROR(
INDEX(REPORTE_DROPI!Y:Y,
MATCH($T1490, REPORTE_DROPI!B:B, 0)
),
""
),
""
)
</f>
        <v/>
      </c>
      <c r="F1490" s="78"/>
      <c r="G1490" s="78"/>
      <c r="H1490" s="78"/>
      <c r="I1490" s="78"/>
      <c r="J1490" s="78"/>
      <c r="K1490" s="78"/>
      <c r="L1490" s="78"/>
      <c r="M1490" s="78"/>
      <c r="N1490" s="78"/>
      <c r="O1490" s="78"/>
      <c r="P1490" s="78"/>
      <c r="Q1490" s="78"/>
      <c r="R1490" s="78"/>
      <c r="S1490" s="78"/>
      <c r="T1490" s="78"/>
      <c r="U1490" s="78"/>
      <c r="V1490" s="78"/>
      <c r="W1490" s="78"/>
      <c r="X1490" s="78"/>
      <c r="Y1490" s="78"/>
      <c r="Z1490" s="78"/>
    </row>
    <row r="1491">
      <c r="A1491" s="78">
        <v>545.0</v>
      </c>
      <c r="B1491" s="78"/>
      <c r="C1491" s="138"/>
      <c r="D1491" s="78"/>
      <c r="E1491" s="139" t="str">
        <f t="array" ref="E1491">IF(
UPPER(TRIM(CLEAN($O1491)))="ENTREGADO",
IFERROR(
INDEX(REPORTE_DROPI!Y:Y,
MATCH($T1491, REPORTE_DROPI!B:B, 0)
),
""
),
""
)
</f>
        <v/>
      </c>
      <c r="F1491" s="78"/>
      <c r="G1491" s="78"/>
      <c r="H1491" s="78"/>
      <c r="I1491" s="78"/>
      <c r="J1491" s="78"/>
      <c r="K1491" s="78"/>
      <c r="L1491" s="78"/>
      <c r="M1491" s="78"/>
      <c r="N1491" s="78"/>
      <c r="O1491" s="78"/>
      <c r="P1491" s="78"/>
      <c r="Q1491" s="78"/>
      <c r="R1491" s="78"/>
      <c r="S1491" s="78"/>
      <c r="T1491" s="78"/>
      <c r="U1491" s="78"/>
      <c r="V1491" s="78"/>
      <c r="W1491" s="78"/>
      <c r="X1491" s="78"/>
      <c r="Y1491" s="78"/>
      <c r="Z1491" s="78"/>
    </row>
    <row r="1492">
      <c r="A1492" s="78">
        <v>546.0</v>
      </c>
      <c r="B1492" s="78"/>
      <c r="C1492" s="138"/>
      <c r="D1492" s="78"/>
      <c r="E1492" s="139" t="str">
        <f t="array" ref="E1492">IF(
UPPER(TRIM(CLEAN($O1492)))="ENTREGADO",
IFERROR(
INDEX(REPORTE_DROPI!Y:Y,
MATCH($T1492, REPORTE_DROPI!B:B, 0)
),
""
),
""
)
</f>
        <v/>
      </c>
      <c r="F1492" s="78"/>
      <c r="G1492" s="78"/>
      <c r="H1492" s="78"/>
      <c r="I1492" s="78"/>
      <c r="J1492" s="78"/>
      <c r="K1492" s="78"/>
      <c r="L1492" s="78"/>
      <c r="M1492" s="78"/>
      <c r="N1492" s="78"/>
      <c r="O1492" s="78"/>
      <c r="P1492" s="78"/>
      <c r="Q1492" s="78"/>
      <c r="R1492" s="78"/>
      <c r="S1492" s="78"/>
      <c r="T1492" s="78"/>
      <c r="U1492" s="78"/>
      <c r="V1492" s="78"/>
      <c r="W1492" s="78"/>
      <c r="X1492" s="78"/>
      <c r="Y1492" s="78"/>
      <c r="Z1492" s="78"/>
    </row>
    <row r="1493">
      <c r="A1493" s="78">
        <v>547.0</v>
      </c>
      <c r="B1493" s="78"/>
      <c r="C1493" s="138"/>
      <c r="D1493" s="78"/>
      <c r="E1493" s="139" t="str">
        <f t="array" ref="E1493">IF(
UPPER(TRIM(CLEAN($O1493)))="ENTREGADO",
IFERROR(
INDEX(REPORTE_DROPI!Y:Y,
MATCH($T1493, REPORTE_DROPI!B:B, 0)
),
""
),
""
)
</f>
        <v/>
      </c>
      <c r="F1493" s="78"/>
      <c r="G1493" s="78"/>
      <c r="H1493" s="78"/>
      <c r="I1493" s="78"/>
      <c r="J1493" s="78"/>
      <c r="K1493" s="78"/>
      <c r="L1493" s="78"/>
      <c r="M1493" s="78"/>
      <c r="N1493" s="78"/>
      <c r="O1493" s="78"/>
      <c r="P1493" s="78"/>
      <c r="Q1493" s="78"/>
      <c r="R1493" s="78"/>
      <c r="S1493" s="78"/>
      <c r="T1493" s="78"/>
      <c r="U1493" s="78"/>
      <c r="V1493" s="78"/>
      <c r="W1493" s="78"/>
      <c r="X1493" s="78"/>
      <c r="Y1493" s="78"/>
      <c r="Z1493" s="78"/>
    </row>
    <row r="1494">
      <c r="A1494" s="78">
        <v>548.0</v>
      </c>
      <c r="B1494" s="78"/>
      <c r="C1494" s="138"/>
      <c r="D1494" s="78"/>
      <c r="E1494" s="139" t="str">
        <f t="array" ref="E1494">IF(
UPPER(TRIM(CLEAN($O1494)))="ENTREGADO",
IFERROR(
INDEX(REPORTE_DROPI!Y:Y,
MATCH($T1494, REPORTE_DROPI!B:B, 0)
),
""
),
""
)
</f>
        <v/>
      </c>
      <c r="F1494" s="78"/>
      <c r="G1494" s="78"/>
      <c r="H1494" s="78"/>
      <c r="I1494" s="78"/>
      <c r="J1494" s="78"/>
      <c r="K1494" s="78"/>
      <c r="L1494" s="78"/>
      <c r="M1494" s="78"/>
      <c r="N1494" s="78"/>
      <c r="O1494" s="78"/>
      <c r="P1494" s="78"/>
      <c r="Q1494" s="78"/>
      <c r="R1494" s="78"/>
      <c r="S1494" s="78"/>
      <c r="T1494" s="78"/>
      <c r="U1494" s="78"/>
      <c r="V1494" s="78"/>
      <c r="W1494" s="78"/>
      <c r="X1494" s="78"/>
      <c r="Y1494" s="78"/>
      <c r="Z1494" s="78"/>
    </row>
    <row r="1495">
      <c r="A1495" s="78">
        <v>549.0</v>
      </c>
      <c r="B1495" s="78"/>
      <c r="C1495" s="138"/>
      <c r="D1495" s="78"/>
      <c r="E1495" s="139" t="str">
        <f t="array" ref="E1495">IF(
UPPER(TRIM(CLEAN($O1495)))="ENTREGADO",
IFERROR(
INDEX(REPORTE_DROPI!Y:Y,
MATCH($T1495, REPORTE_DROPI!B:B, 0)
),
""
),
""
)
</f>
        <v/>
      </c>
      <c r="F1495" s="78"/>
      <c r="G1495" s="78"/>
      <c r="H1495" s="78"/>
      <c r="I1495" s="78"/>
      <c r="J1495" s="78"/>
      <c r="K1495" s="78"/>
      <c r="L1495" s="78"/>
      <c r="M1495" s="78"/>
      <c r="N1495" s="78"/>
      <c r="O1495" s="78"/>
      <c r="P1495" s="78"/>
      <c r="Q1495" s="78"/>
      <c r="R1495" s="78"/>
      <c r="S1495" s="78"/>
      <c r="T1495" s="78"/>
      <c r="U1495" s="78"/>
      <c r="V1495" s="78"/>
      <c r="W1495" s="78"/>
      <c r="X1495" s="78"/>
      <c r="Y1495" s="78"/>
      <c r="Z1495" s="78"/>
    </row>
    <row r="1496">
      <c r="A1496" s="78">
        <v>550.0</v>
      </c>
      <c r="B1496" s="78"/>
      <c r="C1496" s="138"/>
      <c r="D1496" s="78"/>
      <c r="E1496" s="139" t="str">
        <f t="array" ref="E1496">IF(
UPPER(TRIM(CLEAN($O1496)))="ENTREGADO",
IFERROR(
INDEX(REPORTE_DROPI!Y:Y,
MATCH($T1496, REPORTE_DROPI!B:B, 0)
),
""
),
""
)
</f>
        <v/>
      </c>
      <c r="F1496" s="78"/>
      <c r="G1496" s="78"/>
      <c r="H1496" s="78"/>
      <c r="I1496" s="78"/>
      <c r="J1496" s="78"/>
      <c r="K1496" s="78"/>
      <c r="L1496" s="78"/>
      <c r="M1496" s="78"/>
      <c r="N1496" s="78"/>
      <c r="O1496" s="78"/>
      <c r="P1496" s="78"/>
      <c r="Q1496" s="78"/>
      <c r="R1496" s="78"/>
      <c r="S1496" s="78"/>
      <c r="T1496" s="78"/>
      <c r="U1496" s="78"/>
      <c r="V1496" s="78"/>
      <c r="W1496" s="78"/>
      <c r="X1496" s="78"/>
      <c r="Y1496" s="78"/>
      <c r="Z1496" s="78"/>
    </row>
    <row r="1497">
      <c r="A1497" s="78">
        <v>551.0</v>
      </c>
      <c r="B1497" s="78"/>
      <c r="C1497" s="138"/>
      <c r="D1497" s="78"/>
      <c r="E1497" s="139" t="str">
        <f t="array" ref="E1497">IF(
UPPER(TRIM(CLEAN($O1497)))="ENTREGADO",
IFERROR(
INDEX(REPORTE_DROPI!Y:Y,
MATCH($T1497, REPORTE_DROPI!B:B, 0)
),
""
),
""
)
</f>
        <v/>
      </c>
      <c r="F1497" s="78"/>
      <c r="G1497" s="78"/>
      <c r="H1497" s="78"/>
      <c r="I1497" s="78"/>
      <c r="J1497" s="78"/>
      <c r="K1497" s="78"/>
      <c r="L1497" s="78"/>
      <c r="M1497" s="78"/>
      <c r="N1497" s="78"/>
      <c r="O1497" s="78"/>
      <c r="P1497" s="78"/>
      <c r="Q1497" s="78"/>
      <c r="R1497" s="78"/>
      <c r="S1497" s="78"/>
      <c r="T1497" s="78"/>
      <c r="U1497" s="78"/>
      <c r="V1497" s="78"/>
      <c r="W1497" s="78"/>
      <c r="X1497" s="78"/>
      <c r="Y1497" s="78"/>
      <c r="Z1497" s="78"/>
    </row>
    <row r="1498">
      <c r="A1498" s="78">
        <v>552.0</v>
      </c>
      <c r="B1498" s="78"/>
      <c r="C1498" s="138"/>
      <c r="D1498" s="78"/>
      <c r="E1498" s="139" t="str">
        <f t="array" ref="E1498">IF(
UPPER(TRIM(CLEAN($O1498)))="ENTREGADO",
IFERROR(
INDEX(REPORTE_DROPI!Y:Y,
MATCH($T1498, REPORTE_DROPI!B:B, 0)
),
""
),
""
)
</f>
        <v/>
      </c>
      <c r="F1498" s="78"/>
      <c r="G1498" s="78"/>
      <c r="H1498" s="78"/>
      <c r="I1498" s="78"/>
      <c r="J1498" s="78"/>
      <c r="K1498" s="78"/>
      <c r="L1498" s="78"/>
      <c r="M1498" s="78"/>
      <c r="N1498" s="78"/>
      <c r="O1498" s="78"/>
      <c r="P1498" s="78"/>
      <c r="Q1498" s="78"/>
      <c r="R1498" s="78"/>
      <c r="S1498" s="78"/>
      <c r="T1498" s="78"/>
      <c r="U1498" s="78"/>
      <c r="V1498" s="78"/>
      <c r="W1498" s="78"/>
      <c r="X1498" s="78"/>
      <c r="Y1498" s="78"/>
      <c r="Z1498" s="78"/>
    </row>
    <row r="1499">
      <c r="A1499" s="78">
        <v>553.0</v>
      </c>
      <c r="B1499" s="78"/>
      <c r="C1499" s="138"/>
      <c r="D1499" s="78"/>
      <c r="E1499" s="139" t="str">
        <f t="array" ref="E1499">IF(
UPPER(TRIM(CLEAN($O1499)))="ENTREGADO",
IFERROR(
INDEX(REPORTE_DROPI!Y:Y,
MATCH($T1499, REPORTE_DROPI!B:B, 0)
),
""
),
""
)
</f>
        <v/>
      </c>
      <c r="F1499" s="78"/>
      <c r="G1499" s="78"/>
      <c r="H1499" s="78"/>
      <c r="I1499" s="78"/>
      <c r="J1499" s="78"/>
      <c r="K1499" s="78"/>
      <c r="L1499" s="78"/>
      <c r="M1499" s="78"/>
      <c r="N1499" s="78"/>
      <c r="O1499" s="78"/>
      <c r="P1499" s="78"/>
      <c r="Q1499" s="78"/>
      <c r="R1499" s="78"/>
      <c r="S1499" s="78"/>
      <c r="T1499" s="78"/>
      <c r="U1499" s="78"/>
      <c r="V1499" s="78"/>
      <c r="W1499" s="78"/>
      <c r="X1499" s="78"/>
      <c r="Y1499" s="78"/>
      <c r="Z1499" s="78"/>
    </row>
    <row r="1500">
      <c r="A1500" s="78">
        <v>554.0</v>
      </c>
      <c r="B1500" s="78"/>
      <c r="C1500" s="138"/>
      <c r="D1500" s="78"/>
      <c r="E1500" s="139" t="str">
        <f t="array" ref="E1500">IF(
UPPER(TRIM(CLEAN($O1500)))="ENTREGADO",
IFERROR(
INDEX(REPORTE_DROPI!Y:Y,
MATCH($T1500, REPORTE_DROPI!B:B, 0)
),
""
),
""
)
</f>
        <v/>
      </c>
      <c r="F1500" s="78"/>
      <c r="G1500" s="78"/>
      <c r="H1500" s="78"/>
      <c r="I1500" s="78"/>
      <c r="J1500" s="78"/>
      <c r="K1500" s="78"/>
      <c r="L1500" s="78"/>
      <c r="M1500" s="78"/>
      <c r="N1500" s="78"/>
      <c r="O1500" s="78"/>
      <c r="P1500" s="78"/>
      <c r="Q1500" s="78"/>
      <c r="R1500" s="78"/>
      <c r="S1500" s="78"/>
      <c r="T1500" s="78"/>
      <c r="U1500" s="78"/>
      <c r="V1500" s="78"/>
      <c r="W1500" s="78"/>
      <c r="X1500" s="78"/>
      <c r="Y1500" s="78"/>
      <c r="Z1500" s="78"/>
    </row>
    <row r="1501">
      <c r="A1501" s="78">
        <v>555.0</v>
      </c>
      <c r="B1501" s="78"/>
      <c r="C1501" s="138"/>
      <c r="D1501" s="78"/>
      <c r="E1501" s="139" t="str">
        <f t="array" ref="E1501">IF(
UPPER(TRIM(CLEAN($O1501)))="ENTREGADO",
IFERROR(
INDEX(REPORTE_DROPI!Y:Y,
MATCH($T1501, REPORTE_DROPI!B:B, 0)
),
""
),
""
)
</f>
        <v/>
      </c>
      <c r="F1501" s="78"/>
      <c r="G1501" s="78"/>
      <c r="H1501" s="78"/>
      <c r="I1501" s="78"/>
      <c r="J1501" s="78"/>
      <c r="K1501" s="78"/>
      <c r="L1501" s="78"/>
      <c r="M1501" s="78"/>
      <c r="N1501" s="78"/>
      <c r="O1501" s="78"/>
      <c r="P1501" s="78"/>
      <c r="Q1501" s="78"/>
      <c r="R1501" s="78"/>
      <c r="S1501" s="78"/>
      <c r="T1501" s="78"/>
      <c r="U1501" s="78"/>
      <c r="V1501" s="78"/>
      <c r="W1501" s="78"/>
      <c r="X1501" s="78"/>
      <c r="Y1501" s="78"/>
      <c r="Z1501" s="78"/>
    </row>
    <row r="1502">
      <c r="A1502" s="78">
        <v>556.0</v>
      </c>
      <c r="B1502" s="78"/>
      <c r="C1502" s="138"/>
      <c r="D1502" s="78"/>
      <c r="E1502" s="139" t="str">
        <f t="array" ref="E1502">IF(
UPPER(TRIM(CLEAN($O1502)))="ENTREGADO",
IFERROR(
INDEX(REPORTE_DROPI!Y:Y,
MATCH($T1502, REPORTE_DROPI!B:B, 0)
),
""
),
""
)
</f>
        <v/>
      </c>
      <c r="F1502" s="78"/>
      <c r="G1502" s="78"/>
      <c r="H1502" s="78"/>
      <c r="I1502" s="78"/>
      <c r="J1502" s="78"/>
      <c r="K1502" s="78"/>
      <c r="L1502" s="78"/>
      <c r="M1502" s="78"/>
      <c r="N1502" s="78"/>
      <c r="O1502" s="78"/>
      <c r="P1502" s="78"/>
      <c r="Q1502" s="78"/>
      <c r="R1502" s="78"/>
      <c r="S1502" s="78"/>
      <c r="T1502" s="78"/>
      <c r="U1502" s="78"/>
      <c r="V1502" s="78"/>
      <c r="W1502" s="78"/>
      <c r="X1502" s="78"/>
      <c r="Y1502" s="78"/>
      <c r="Z1502" s="78"/>
    </row>
    <row r="1503">
      <c r="A1503" s="78">
        <v>557.0</v>
      </c>
      <c r="B1503" s="78"/>
      <c r="C1503" s="138"/>
      <c r="D1503" s="78"/>
      <c r="E1503" s="139" t="str">
        <f t="array" ref="E1503">IF(
UPPER(TRIM(CLEAN($O1503)))="ENTREGADO",
IFERROR(
INDEX(REPORTE_DROPI!Y:Y,
MATCH($T1503, REPORTE_DROPI!B:B, 0)
),
""
),
""
)
</f>
        <v/>
      </c>
      <c r="F1503" s="78"/>
      <c r="G1503" s="78"/>
      <c r="H1503" s="78"/>
      <c r="I1503" s="78"/>
      <c r="J1503" s="78"/>
      <c r="K1503" s="78"/>
      <c r="L1503" s="78"/>
      <c r="M1503" s="78"/>
      <c r="N1503" s="78"/>
      <c r="O1503" s="78"/>
      <c r="P1503" s="78"/>
      <c r="Q1503" s="78"/>
      <c r="R1503" s="78"/>
      <c r="S1503" s="78"/>
      <c r="T1503" s="78"/>
      <c r="U1503" s="78"/>
      <c r="V1503" s="78"/>
      <c r="W1503" s="78"/>
      <c r="X1503" s="78"/>
      <c r="Y1503" s="78"/>
      <c r="Z1503" s="78"/>
    </row>
    <row r="1504">
      <c r="A1504" s="78">
        <v>558.0</v>
      </c>
      <c r="B1504" s="78"/>
      <c r="C1504" s="138"/>
      <c r="D1504" s="78"/>
      <c r="E1504" s="139" t="str">
        <f t="array" ref="E1504">IF(
UPPER(TRIM(CLEAN($O1504)))="ENTREGADO",
IFERROR(
INDEX(REPORTE_DROPI!Y:Y,
MATCH($T1504, REPORTE_DROPI!B:B, 0)
),
""
),
""
)
</f>
        <v/>
      </c>
      <c r="F1504" s="78"/>
      <c r="G1504" s="78"/>
      <c r="H1504" s="78"/>
      <c r="I1504" s="78"/>
      <c r="J1504" s="78"/>
      <c r="K1504" s="78"/>
      <c r="L1504" s="78"/>
      <c r="M1504" s="78"/>
      <c r="N1504" s="78"/>
      <c r="O1504" s="78"/>
      <c r="P1504" s="78"/>
      <c r="Q1504" s="78"/>
      <c r="R1504" s="78"/>
      <c r="S1504" s="78"/>
      <c r="T1504" s="78"/>
      <c r="U1504" s="78"/>
      <c r="V1504" s="78"/>
      <c r="W1504" s="78"/>
      <c r="X1504" s="78"/>
      <c r="Y1504" s="78"/>
      <c r="Z1504" s="78"/>
    </row>
    <row r="1505">
      <c r="A1505" s="78">
        <v>559.0</v>
      </c>
      <c r="B1505" s="78"/>
      <c r="C1505" s="138"/>
      <c r="D1505" s="78"/>
      <c r="E1505" s="139" t="str">
        <f t="array" ref="E1505">IF(
UPPER(TRIM(CLEAN($O1505)))="ENTREGADO",
IFERROR(
INDEX(REPORTE_DROPI!Y:Y,
MATCH($T1505, REPORTE_DROPI!B:B, 0)
),
""
),
""
)
</f>
        <v/>
      </c>
      <c r="F1505" s="78"/>
      <c r="G1505" s="78"/>
      <c r="H1505" s="78"/>
      <c r="I1505" s="78"/>
      <c r="J1505" s="78"/>
      <c r="K1505" s="78"/>
      <c r="L1505" s="78"/>
      <c r="M1505" s="78"/>
      <c r="N1505" s="78"/>
      <c r="O1505" s="78"/>
      <c r="P1505" s="78"/>
      <c r="Q1505" s="78"/>
      <c r="R1505" s="78"/>
      <c r="S1505" s="78"/>
      <c r="T1505" s="78"/>
      <c r="U1505" s="78"/>
      <c r="V1505" s="78"/>
      <c r="W1505" s="78"/>
      <c r="X1505" s="78"/>
      <c r="Y1505" s="78"/>
      <c r="Z1505" s="78"/>
    </row>
    <row r="1506">
      <c r="A1506" s="78">
        <v>560.0</v>
      </c>
      <c r="B1506" s="78"/>
      <c r="C1506" s="138"/>
      <c r="D1506" s="78"/>
      <c r="E1506" s="139" t="str">
        <f t="array" ref="E1506">IF(
UPPER(TRIM(CLEAN($O1506)))="ENTREGADO",
IFERROR(
INDEX(REPORTE_DROPI!Y:Y,
MATCH($T1506, REPORTE_DROPI!B:B, 0)
),
""
),
""
)
</f>
        <v/>
      </c>
      <c r="F1506" s="78"/>
      <c r="G1506" s="78"/>
      <c r="H1506" s="78"/>
      <c r="I1506" s="78"/>
      <c r="J1506" s="78"/>
      <c r="K1506" s="78"/>
      <c r="L1506" s="78"/>
      <c r="M1506" s="78"/>
      <c r="N1506" s="78"/>
      <c r="O1506" s="78"/>
      <c r="P1506" s="78"/>
      <c r="Q1506" s="78"/>
      <c r="R1506" s="78"/>
      <c r="S1506" s="78"/>
      <c r="T1506" s="78"/>
      <c r="U1506" s="78"/>
      <c r="V1506" s="78"/>
      <c r="W1506" s="78"/>
      <c r="X1506" s="78"/>
      <c r="Y1506" s="78"/>
      <c r="Z1506" s="78"/>
    </row>
    <row r="1507">
      <c r="A1507" s="78">
        <v>561.0</v>
      </c>
      <c r="B1507" s="78"/>
      <c r="C1507" s="138"/>
      <c r="D1507" s="78"/>
      <c r="E1507" s="139" t="str">
        <f t="array" ref="E1507">IF(
UPPER(TRIM(CLEAN($O1507)))="ENTREGADO",
IFERROR(
INDEX(REPORTE_DROPI!Y:Y,
MATCH($T1507, REPORTE_DROPI!B:B, 0)
),
""
),
""
)
</f>
        <v/>
      </c>
      <c r="F1507" s="78"/>
      <c r="G1507" s="78"/>
      <c r="H1507" s="78"/>
      <c r="I1507" s="78"/>
      <c r="J1507" s="78"/>
      <c r="K1507" s="78"/>
      <c r="L1507" s="78"/>
      <c r="M1507" s="78"/>
      <c r="N1507" s="78"/>
      <c r="O1507" s="78"/>
      <c r="P1507" s="78"/>
      <c r="Q1507" s="78"/>
      <c r="R1507" s="78"/>
      <c r="S1507" s="78"/>
      <c r="T1507" s="78"/>
      <c r="U1507" s="78"/>
      <c r="V1507" s="78"/>
      <c r="W1507" s="78"/>
      <c r="X1507" s="78"/>
      <c r="Y1507" s="78"/>
      <c r="Z1507" s="78"/>
    </row>
    <row r="1508">
      <c r="A1508" s="78">
        <v>562.0</v>
      </c>
      <c r="B1508" s="78"/>
      <c r="C1508" s="138"/>
      <c r="D1508" s="78"/>
      <c r="E1508" s="139" t="str">
        <f t="array" ref="E1508">IF(
UPPER(TRIM(CLEAN($O1508)))="ENTREGADO",
IFERROR(
INDEX(REPORTE_DROPI!Y:Y,
MATCH($T1508, REPORTE_DROPI!B:B, 0)
),
""
),
""
)
</f>
        <v/>
      </c>
      <c r="F1508" s="78"/>
      <c r="G1508" s="78"/>
      <c r="H1508" s="78"/>
      <c r="I1508" s="78"/>
      <c r="J1508" s="78"/>
      <c r="K1508" s="78"/>
      <c r="L1508" s="78"/>
      <c r="M1508" s="78"/>
      <c r="N1508" s="78"/>
      <c r="O1508" s="78"/>
      <c r="P1508" s="78"/>
      <c r="Q1508" s="78"/>
      <c r="R1508" s="78"/>
      <c r="S1508" s="78"/>
      <c r="T1508" s="78"/>
      <c r="U1508" s="78"/>
      <c r="V1508" s="78"/>
      <c r="W1508" s="78"/>
      <c r="X1508" s="78"/>
      <c r="Y1508" s="78"/>
      <c r="Z1508" s="78"/>
    </row>
    <row r="1509">
      <c r="A1509" s="78">
        <v>563.0</v>
      </c>
      <c r="B1509" s="78"/>
      <c r="C1509" s="138"/>
      <c r="D1509" s="78"/>
      <c r="E1509" s="139" t="str">
        <f t="array" ref="E1509">IF(
UPPER(TRIM(CLEAN($O1509)))="ENTREGADO",
IFERROR(
INDEX(REPORTE_DROPI!Y:Y,
MATCH($T1509, REPORTE_DROPI!B:B, 0)
),
""
),
""
)
</f>
        <v/>
      </c>
      <c r="F1509" s="78"/>
      <c r="G1509" s="78"/>
      <c r="H1509" s="78"/>
      <c r="I1509" s="78"/>
      <c r="J1509" s="78"/>
      <c r="K1509" s="78"/>
      <c r="L1509" s="78"/>
      <c r="M1509" s="78"/>
      <c r="N1509" s="78"/>
      <c r="O1509" s="78"/>
      <c r="P1509" s="78"/>
      <c r="Q1509" s="78"/>
      <c r="R1509" s="78"/>
      <c r="S1509" s="78"/>
      <c r="T1509" s="78"/>
      <c r="U1509" s="78"/>
      <c r="V1509" s="78"/>
      <c r="W1509" s="78"/>
      <c r="X1509" s="78"/>
      <c r="Y1509" s="78"/>
      <c r="Z1509" s="78"/>
    </row>
    <row r="1510">
      <c r="A1510" s="78">
        <v>564.0</v>
      </c>
      <c r="B1510" s="78"/>
      <c r="C1510" s="138"/>
      <c r="D1510" s="78"/>
      <c r="E1510" s="139" t="str">
        <f t="array" ref="E1510">IF(
UPPER(TRIM(CLEAN($O1510)))="ENTREGADO",
IFERROR(
INDEX(REPORTE_DROPI!Y:Y,
MATCH($T1510, REPORTE_DROPI!B:B, 0)
),
""
),
""
)
</f>
        <v/>
      </c>
      <c r="F1510" s="78"/>
      <c r="G1510" s="78"/>
      <c r="H1510" s="78"/>
      <c r="I1510" s="78"/>
      <c r="J1510" s="78"/>
      <c r="K1510" s="78"/>
      <c r="L1510" s="78"/>
      <c r="M1510" s="78"/>
      <c r="N1510" s="78"/>
      <c r="O1510" s="78"/>
      <c r="P1510" s="78"/>
      <c r="Q1510" s="78"/>
      <c r="R1510" s="78"/>
      <c r="S1510" s="78"/>
      <c r="T1510" s="78"/>
      <c r="U1510" s="78"/>
      <c r="V1510" s="78"/>
      <c r="W1510" s="78"/>
      <c r="X1510" s="78"/>
      <c r="Y1510" s="78"/>
      <c r="Z1510" s="78"/>
    </row>
    <row r="1511">
      <c r="A1511" s="78">
        <v>565.0</v>
      </c>
      <c r="B1511" s="78"/>
      <c r="C1511" s="138"/>
      <c r="D1511" s="78"/>
      <c r="E1511" s="139" t="str">
        <f t="array" ref="E1511">IF(
UPPER(TRIM(CLEAN($O1511)))="ENTREGADO",
IFERROR(
INDEX(REPORTE_DROPI!Y:Y,
MATCH($T1511, REPORTE_DROPI!B:B, 0)
),
""
),
""
)
</f>
        <v/>
      </c>
      <c r="F1511" s="78"/>
      <c r="G1511" s="78"/>
      <c r="H1511" s="78"/>
      <c r="I1511" s="78"/>
      <c r="J1511" s="78"/>
      <c r="K1511" s="78"/>
      <c r="L1511" s="78"/>
      <c r="M1511" s="78"/>
      <c r="N1511" s="78"/>
      <c r="O1511" s="78"/>
      <c r="P1511" s="78"/>
      <c r="Q1511" s="78"/>
      <c r="R1511" s="78"/>
      <c r="S1511" s="78"/>
      <c r="T1511" s="78"/>
      <c r="U1511" s="78"/>
      <c r="V1511" s="78"/>
      <c r="W1511" s="78"/>
      <c r="X1511" s="78"/>
      <c r="Y1511" s="78"/>
      <c r="Z1511" s="78"/>
    </row>
    <row r="1512">
      <c r="A1512" s="78">
        <v>566.0</v>
      </c>
      <c r="B1512" s="78"/>
      <c r="C1512" s="138"/>
      <c r="D1512" s="78"/>
      <c r="E1512" s="139" t="str">
        <f t="array" ref="E1512">IF(
UPPER(TRIM(CLEAN($O1512)))="ENTREGADO",
IFERROR(
INDEX(REPORTE_DROPI!Y:Y,
MATCH($T1512, REPORTE_DROPI!B:B, 0)
),
""
),
""
)
</f>
        <v/>
      </c>
      <c r="F1512" s="78"/>
      <c r="G1512" s="78"/>
      <c r="H1512" s="78"/>
      <c r="I1512" s="78"/>
      <c r="J1512" s="78"/>
      <c r="K1512" s="78"/>
      <c r="L1512" s="78"/>
      <c r="M1512" s="78"/>
      <c r="N1512" s="78"/>
      <c r="O1512" s="78"/>
      <c r="P1512" s="78"/>
      <c r="Q1512" s="78"/>
      <c r="R1512" s="78"/>
      <c r="S1512" s="78"/>
      <c r="T1512" s="78"/>
      <c r="U1512" s="78"/>
      <c r="V1512" s="78"/>
      <c r="W1512" s="78"/>
      <c r="X1512" s="78"/>
      <c r="Y1512" s="78"/>
      <c r="Z1512" s="78"/>
    </row>
    <row r="1513">
      <c r="A1513" s="78">
        <v>567.0</v>
      </c>
      <c r="B1513" s="78"/>
      <c r="C1513" s="138"/>
      <c r="D1513" s="78"/>
      <c r="E1513" s="139" t="str">
        <f t="array" ref="E1513">IF(
UPPER(TRIM(CLEAN($O1513)))="ENTREGADO",
IFERROR(
INDEX(REPORTE_DROPI!Y:Y,
MATCH($T1513, REPORTE_DROPI!B:B, 0)
),
""
),
""
)
</f>
        <v/>
      </c>
      <c r="F1513" s="78"/>
      <c r="G1513" s="78"/>
      <c r="H1513" s="78"/>
      <c r="I1513" s="78"/>
      <c r="J1513" s="78"/>
      <c r="K1513" s="78"/>
      <c r="L1513" s="78"/>
      <c r="M1513" s="78"/>
      <c r="N1513" s="78"/>
      <c r="O1513" s="78"/>
      <c r="P1513" s="78"/>
      <c r="Q1513" s="78"/>
      <c r="R1513" s="78"/>
      <c r="S1513" s="78"/>
      <c r="T1513" s="78"/>
      <c r="U1513" s="78"/>
      <c r="V1513" s="78"/>
      <c r="W1513" s="78"/>
      <c r="X1513" s="78"/>
      <c r="Y1513" s="78"/>
      <c r="Z1513" s="78"/>
    </row>
    <row r="1514">
      <c r="A1514" s="78">
        <v>568.0</v>
      </c>
      <c r="B1514" s="78"/>
      <c r="C1514" s="138"/>
      <c r="D1514" s="78"/>
      <c r="E1514" s="139" t="str">
        <f t="array" ref="E1514">IF(
UPPER(TRIM(CLEAN($O1514)))="ENTREGADO",
IFERROR(
INDEX(REPORTE_DROPI!Y:Y,
MATCH($T1514, REPORTE_DROPI!B:B, 0)
),
""
),
""
)
</f>
        <v/>
      </c>
      <c r="F1514" s="78"/>
      <c r="G1514" s="78"/>
      <c r="H1514" s="78"/>
      <c r="I1514" s="78"/>
      <c r="J1514" s="78"/>
      <c r="K1514" s="78"/>
      <c r="L1514" s="78"/>
      <c r="M1514" s="78"/>
      <c r="N1514" s="78"/>
      <c r="O1514" s="78"/>
      <c r="P1514" s="78"/>
      <c r="Q1514" s="78"/>
      <c r="R1514" s="78"/>
      <c r="S1514" s="78"/>
      <c r="T1514" s="78"/>
      <c r="U1514" s="78"/>
      <c r="V1514" s="78"/>
      <c r="W1514" s="78"/>
      <c r="X1514" s="78"/>
      <c r="Y1514" s="78"/>
      <c r="Z1514" s="78"/>
    </row>
    <row r="1515">
      <c r="A1515" s="78">
        <v>569.0</v>
      </c>
      <c r="B1515" s="78"/>
      <c r="C1515" s="138"/>
      <c r="D1515" s="78"/>
      <c r="E1515" s="139" t="str">
        <f t="array" ref="E1515">IF(
UPPER(TRIM(CLEAN($O1515)))="ENTREGADO",
IFERROR(
INDEX(REPORTE_DROPI!Y:Y,
MATCH($T1515, REPORTE_DROPI!B:B, 0)
),
""
),
""
)
</f>
        <v/>
      </c>
      <c r="F1515" s="78"/>
      <c r="G1515" s="78"/>
      <c r="H1515" s="78"/>
      <c r="I1515" s="78"/>
      <c r="J1515" s="78"/>
      <c r="K1515" s="78"/>
      <c r="L1515" s="78"/>
      <c r="M1515" s="78"/>
      <c r="N1515" s="78"/>
      <c r="O1515" s="78"/>
      <c r="P1515" s="78"/>
      <c r="Q1515" s="78"/>
      <c r="R1515" s="78"/>
      <c r="S1515" s="78"/>
      <c r="T1515" s="78"/>
      <c r="U1515" s="78"/>
      <c r="V1515" s="78"/>
      <c r="W1515" s="78"/>
      <c r="X1515" s="78"/>
      <c r="Y1515" s="78"/>
      <c r="Z1515" s="78"/>
    </row>
    <row r="1516">
      <c r="A1516" s="78">
        <v>570.0</v>
      </c>
      <c r="B1516" s="78"/>
      <c r="C1516" s="138"/>
      <c r="D1516" s="78"/>
      <c r="E1516" s="139" t="str">
        <f t="array" ref="E1516">IF(
UPPER(TRIM(CLEAN($O1516)))="ENTREGADO",
IFERROR(
INDEX(REPORTE_DROPI!Y:Y,
MATCH($T1516, REPORTE_DROPI!B:B, 0)
),
""
),
""
)
</f>
        <v/>
      </c>
      <c r="F1516" s="78"/>
      <c r="G1516" s="78"/>
      <c r="H1516" s="78"/>
      <c r="I1516" s="78"/>
      <c r="J1516" s="78"/>
      <c r="K1516" s="78"/>
      <c r="L1516" s="78"/>
      <c r="M1516" s="78"/>
      <c r="N1516" s="78"/>
      <c r="O1516" s="78"/>
      <c r="P1516" s="78"/>
      <c r="Q1516" s="78"/>
      <c r="R1516" s="78"/>
      <c r="S1516" s="78"/>
      <c r="T1516" s="78"/>
      <c r="U1516" s="78"/>
      <c r="V1516" s="78"/>
      <c r="W1516" s="78"/>
      <c r="X1516" s="78"/>
      <c r="Y1516" s="78"/>
      <c r="Z1516" s="78"/>
    </row>
    <row r="1517">
      <c r="A1517" s="78">
        <v>571.0</v>
      </c>
      <c r="B1517" s="78"/>
      <c r="C1517" s="138"/>
      <c r="D1517" s="78"/>
      <c r="E1517" s="139" t="str">
        <f t="array" ref="E1517">IF(
UPPER(TRIM(CLEAN($O1517)))="ENTREGADO",
IFERROR(
INDEX(REPORTE_DROPI!Y:Y,
MATCH($T1517, REPORTE_DROPI!B:B, 0)
),
""
),
""
)
</f>
        <v/>
      </c>
      <c r="F1517" s="78"/>
      <c r="G1517" s="78"/>
      <c r="H1517" s="78"/>
      <c r="I1517" s="78"/>
      <c r="J1517" s="78"/>
      <c r="K1517" s="78"/>
      <c r="L1517" s="78"/>
      <c r="M1517" s="78"/>
      <c r="N1517" s="78"/>
      <c r="O1517" s="78"/>
      <c r="P1517" s="78"/>
      <c r="Q1517" s="78"/>
      <c r="R1517" s="78"/>
      <c r="S1517" s="78"/>
      <c r="T1517" s="78"/>
      <c r="U1517" s="78"/>
      <c r="V1517" s="78"/>
      <c r="W1517" s="78"/>
      <c r="X1517" s="78"/>
      <c r="Y1517" s="78"/>
      <c r="Z1517" s="78"/>
    </row>
    <row r="1518">
      <c r="A1518" s="78">
        <v>572.0</v>
      </c>
      <c r="B1518" s="78"/>
      <c r="C1518" s="138"/>
      <c r="D1518" s="78"/>
      <c r="E1518" s="139" t="str">
        <f t="array" ref="E1518">IF(
UPPER(TRIM(CLEAN($O1518)))="ENTREGADO",
IFERROR(
INDEX(REPORTE_DROPI!Y:Y,
MATCH($T1518, REPORTE_DROPI!B:B, 0)
),
""
),
""
)
</f>
        <v/>
      </c>
      <c r="F1518" s="78"/>
      <c r="G1518" s="78"/>
      <c r="H1518" s="78"/>
      <c r="I1518" s="78"/>
      <c r="J1518" s="78"/>
      <c r="K1518" s="78"/>
      <c r="L1518" s="78"/>
      <c r="M1518" s="78"/>
      <c r="N1518" s="78"/>
      <c r="O1518" s="78"/>
      <c r="P1518" s="78"/>
      <c r="Q1518" s="78"/>
      <c r="R1518" s="78"/>
      <c r="S1518" s="78"/>
      <c r="T1518" s="78"/>
      <c r="U1518" s="78"/>
      <c r="V1518" s="78"/>
      <c r="W1518" s="78"/>
      <c r="X1518" s="78"/>
      <c r="Y1518" s="78"/>
      <c r="Z1518" s="78"/>
    </row>
    <row r="1519">
      <c r="A1519" s="78">
        <v>573.0</v>
      </c>
      <c r="B1519" s="78"/>
      <c r="C1519" s="138"/>
      <c r="D1519" s="78"/>
      <c r="E1519" s="139" t="str">
        <f t="array" ref="E1519">IF(
UPPER(TRIM(CLEAN($O1519)))="ENTREGADO",
IFERROR(
INDEX(REPORTE_DROPI!Y:Y,
MATCH($T1519, REPORTE_DROPI!B:B, 0)
),
""
),
""
)
</f>
        <v/>
      </c>
      <c r="F1519" s="78"/>
      <c r="G1519" s="78"/>
      <c r="H1519" s="78"/>
      <c r="I1519" s="78"/>
      <c r="J1519" s="78"/>
      <c r="K1519" s="78"/>
      <c r="L1519" s="78"/>
      <c r="M1519" s="78"/>
      <c r="N1519" s="78"/>
      <c r="O1519" s="78"/>
      <c r="P1519" s="78"/>
      <c r="Q1519" s="78"/>
      <c r="R1519" s="78"/>
      <c r="S1519" s="78"/>
      <c r="T1519" s="78"/>
      <c r="U1519" s="78"/>
      <c r="V1519" s="78"/>
      <c r="W1519" s="78"/>
      <c r="X1519" s="78"/>
      <c r="Y1519" s="78"/>
      <c r="Z1519" s="78"/>
    </row>
    <row r="1520">
      <c r="A1520" s="78">
        <v>574.0</v>
      </c>
      <c r="B1520" s="78"/>
      <c r="C1520" s="138"/>
      <c r="D1520" s="78"/>
      <c r="E1520" s="139" t="str">
        <f t="array" ref="E1520">IF(
UPPER(TRIM(CLEAN($O1520)))="ENTREGADO",
IFERROR(
INDEX(REPORTE_DROPI!Y:Y,
MATCH($T1520, REPORTE_DROPI!B:B, 0)
),
""
),
""
)
</f>
        <v/>
      </c>
      <c r="F1520" s="78"/>
      <c r="G1520" s="78"/>
      <c r="H1520" s="78"/>
      <c r="I1520" s="78"/>
      <c r="J1520" s="78"/>
      <c r="K1520" s="78"/>
      <c r="L1520" s="78"/>
      <c r="M1520" s="78"/>
      <c r="N1520" s="78"/>
      <c r="O1520" s="78"/>
      <c r="P1520" s="78"/>
      <c r="Q1520" s="78"/>
      <c r="R1520" s="78"/>
      <c r="S1520" s="78"/>
      <c r="T1520" s="78"/>
      <c r="U1520" s="78"/>
      <c r="V1520" s="78"/>
      <c r="W1520" s="78"/>
      <c r="X1520" s="78"/>
      <c r="Y1520" s="78"/>
      <c r="Z1520" s="78"/>
    </row>
    <row r="1521">
      <c r="A1521" s="78">
        <v>575.0</v>
      </c>
      <c r="B1521" s="78"/>
      <c r="C1521" s="138"/>
      <c r="D1521" s="78"/>
      <c r="E1521" s="139" t="str">
        <f t="array" ref="E1521">IF(
UPPER(TRIM(CLEAN($O1521)))="ENTREGADO",
IFERROR(
INDEX(REPORTE_DROPI!Y:Y,
MATCH($T1521, REPORTE_DROPI!B:B, 0)
),
""
),
""
)
</f>
        <v/>
      </c>
      <c r="F1521" s="78"/>
      <c r="G1521" s="78"/>
      <c r="H1521" s="78"/>
      <c r="I1521" s="78"/>
      <c r="J1521" s="78"/>
      <c r="K1521" s="78"/>
      <c r="L1521" s="78"/>
      <c r="M1521" s="78"/>
      <c r="N1521" s="78"/>
      <c r="O1521" s="78"/>
      <c r="P1521" s="78"/>
      <c r="Q1521" s="78"/>
      <c r="R1521" s="78"/>
      <c r="S1521" s="78"/>
      <c r="T1521" s="78"/>
      <c r="U1521" s="78"/>
      <c r="V1521" s="78"/>
      <c r="W1521" s="78"/>
      <c r="X1521" s="78"/>
      <c r="Y1521" s="78"/>
      <c r="Z1521" s="78"/>
    </row>
    <row r="1522">
      <c r="A1522" s="78">
        <v>576.0</v>
      </c>
      <c r="B1522" s="78"/>
      <c r="C1522" s="138"/>
      <c r="D1522" s="78"/>
      <c r="E1522" s="139" t="str">
        <f t="array" ref="E1522">IF(
UPPER(TRIM(CLEAN($O1522)))="ENTREGADO",
IFERROR(
INDEX(REPORTE_DROPI!Y:Y,
MATCH($T1522, REPORTE_DROPI!B:B, 0)
),
""
),
""
)
</f>
        <v/>
      </c>
      <c r="F1522" s="78"/>
      <c r="G1522" s="78"/>
      <c r="H1522" s="78"/>
      <c r="I1522" s="78"/>
      <c r="J1522" s="78"/>
      <c r="K1522" s="78"/>
      <c r="L1522" s="78"/>
      <c r="M1522" s="78"/>
      <c r="N1522" s="78"/>
      <c r="O1522" s="78"/>
      <c r="P1522" s="78"/>
      <c r="Q1522" s="78"/>
      <c r="R1522" s="78"/>
      <c r="S1522" s="78"/>
      <c r="T1522" s="78"/>
      <c r="U1522" s="78"/>
      <c r="V1522" s="78"/>
      <c r="W1522" s="78"/>
      <c r="X1522" s="78"/>
      <c r="Y1522" s="78"/>
      <c r="Z1522" s="78"/>
    </row>
    <row r="1523">
      <c r="A1523" s="78">
        <v>577.0</v>
      </c>
      <c r="B1523" s="78"/>
      <c r="C1523" s="138"/>
      <c r="D1523" s="78"/>
      <c r="E1523" s="139" t="str">
        <f t="array" ref="E1523">IF(
UPPER(TRIM(CLEAN($O1523)))="ENTREGADO",
IFERROR(
INDEX(REPORTE_DROPI!Y:Y,
MATCH($T1523, REPORTE_DROPI!B:B, 0)
),
""
),
""
)
</f>
        <v/>
      </c>
      <c r="F1523" s="78"/>
      <c r="G1523" s="78"/>
      <c r="H1523" s="78"/>
      <c r="I1523" s="78"/>
      <c r="J1523" s="78"/>
      <c r="K1523" s="78"/>
      <c r="L1523" s="78"/>
      <c r="M1523" s="78"/>
      <c r="N1523" s="78"/>
      <c r="O1523" s="78"/>
      <c r="P1523" s="78"/>
      <c r="Q1523" s="78"/>
      <c r="R1523" s="78"/>
      <c r="S1523" s="78"/>
      <c r="T1523" s="78"/>
      <c r="U1523" s="78"/>
      <c r="V1523" s="78"/>
      <c r="W1523" s="78"/>
      <c r="X1523" s="78"/>
      <c r="Y1523" s="78"/>
      <c r="Z1523" s="78"/>
    </row>
    <row r="1524">
      <c r="A1524" s="78">
        <v>578.0</v>
      </c>
      <c r="B1524" s="78"/>
      <c r="C1524" s="138"/>
      <c r="D1524" s="78"/>
      <c r="E1524" s="139" t="str">
        <f t="array" ref="E1524">IF(
UPPER(TRIM(CLEAN($O1524)))="ENTREGADO",
IFERROR(
INDEX(REPORTE_DROPI!Y:Y,
MATCH($T1524, REPORTE_DROPI!B:B, 0)
),
""
),
""
)
</f>
        <v/>
      </c>
      <c r="F1524" s="78"/>
      <c r="G1524" s="78"/>
      <c r="H1524" s="78"/>
      <c r="I1524" s="78"/>
      <c r="J1524" s="78"/>
      <c r="K1524" s="78"/>
      <c r="L1524" s="78"/>
      <c r="M1524" s="78"/>
      <c r="N1524" s="78"/>
      <c r="O1524" s="78"/>
      <c r="P1524" s="78"/>
      <c r="Q1524" s="78"/>
      <c r="R1524" s="78"/>
      <c r="S1524" s="78"/>
      <c r="T1524" s="78"/>
      <c r="U1524" s="78"/>
      <c r="V1524" s="78"/>
      <c r="W1524" s="78"/>
      <c r="X1524" s="78"/>
      <c r="Y1524" s="78"/>
      <c r="Z1524" s="78"/>
    </row>
    <row r="1525">
      <c r="A1525" s="78">
        <v>579.0</v>
      </c>
      <c r="B1525" s="78"/>
      <c r="C1525" s="138"/>
      <c r="D1525" s="78"/>
      <c r="E1525" s="139" t="str">
        <f t="array" ref="E1525">IF(
UPPER(TRIM(CLEAN($O1525)))="ENTREGADO",
IFERROR(
INDEX(REPORTE_DROPI!Y:Y,
MATCH($T1525, REPORTE_DROPI!B:B, 0)
),
""
),
""
)
</f>
        <v/>
      </c>
      <c r="F1525" s="78"/>
      <c r="G1525" s="78"/>
      <c r="H1525" s="78"/>
      <c r="I1525" s="78"/>
      <c r="J1525" s="78"/>
      <c r="K1525" s="78"/>
      <c r="L1525" s="78"/>
      <c r="M1525" s="78"/>
      <c r="N1525" s="78"/>
      <c r="O1525" s="78"/>
      <c r="P1525" s="78"/>
      <c r="Q1525" s="78"/>
      <c r="R1525" s="78"/>
      <c r="S1525" s="78"/>
      <c r="T1525" s="78"/>
      <c r="U1525" s="78"/>
      <c r="V1525" s="78"/>
      <c r="W1525" s="78"/>
      <c r="X1525" s="78"/>
      <c r="Y1525" s="78"/>
      <c r="Z1525" s="78"/>
    </row>
    <row r="1526">
      <c r="A1526" s="78">
        <v>580.0</v>
      </c>
      <c r="B1526" s="78"/>
      <c r="C1526" s="138"/>
      <c r="D1526" s="78"/>
      <c r="E1526" s="139" t="str">
        <f t="array" ref="E1526">IF(
UPPER(TRIM(CLEAN($O1526)))="ENTREGADO",
IFERROR(
INDEX(REPORTE_DROPI!Y:Y,
MATCH($T1526, REPORTE_DROPI!B:B, 0)
),
""
),
""
)
</f>
        <v/>
      </c>
      <c r="F1526" s="78"/>
      <c r="G1526" s="78"/>
      <c r="H1526" s="78"/>
      <c r="I1526" s="78"/>
      <c r="J1526" s="78"/>
      <c r="K1526" s="78"/>
      <c r="L1526" s="78"/>
      <c r="M1526" s="78"/>
      <c r="N1526" s="78"/>
      <c r="O1526" s="78"/>
      <c r="P1526" s="78"/>
      <c r="Q1526" s="78"/>
      <c r="R1526" s="78"/>
      <c r="S1526" s="78"/>
      <c r="T1526" s="78"/>
      <c r="U1526" s="78"/>
      <c r="V1526" s="78"/>
      <c r="W1526" s="78"/>
      <c r="X1526" s="78"/>
      <c r="Y1526" s="78"/>
      <c r="Z1526" s="78"/>
    </row>
    <row r="1527">
      <c r="A1527" s="78">
        <v>581.0</v>
      </c>
      <c r="B1527" s="78"/>
      <c r="C1527" s="138"/>
      <c r="D1527" s="78"/>
      <c r="E1527" s="139" t="str">
        <f t="array" ref="E1527">IF(
UPPER(TRIM(CLEAN($O1527)))="ENTREGADO",
IFERROR(
INDEX(REPORTE_DROPI!Y:Y,
MATCH($T1527, REPORTE_DROPI!B:B, 0)
),
""
),
""
)
</f>
        <v/>
      </c>
      <c r="F1527" s="78"/>
      <c r="G1527" s="78"/>
      <c r="H1527" s="78"/>
      <c r="I1527" s="78"/>
      <c r="J1527" s="78"/>
      <c r="K1527" s="78"/>
      <c r="L1527" s="78"/>
      <c r="M1527" s="78"/>
      <c r="N1527" s="78"/>
      <c r="O1527" s="78"/>
      <c r="P1527" s="78"/>
      <c r="Q1527" s="78"/>
      <c r="R1527" s="78"/>
      <c r="S1527" s="78"/>
      <c r="T1527" s="78"/>
      <c r="U1527" s="78"/>
      <c r="V1527" s="78"/>
      <c r="W1527" s="78"/>
      <c r="X1527" s="78"/>
      <c r="Y1527" s="78"/>
      <c r="Z1527" s="78"/>
    </row>
    <row r="1528">
      <c r="A1528" s="78">
        <v>582.0</v>
      </c>
      <c r="B1528" s="78"/>
      <c r="C1528" s="138"/>
      <c r="D1528" s="78"/>
      <c r="E1528" s="139" t="str">
        <f t="array" ref="E1528">IF(
UPPER(TRIM(CLEAN($O1528)))="ENTREGADO",
IFERROR(
INDEX(REPORTE_DROPI!Y:Y,
MATCH($T1528, REPORTE_DROPI!B:B, 0)
),
""
),
""
)
</f>
        <v/>
      </c>
      <c r="F1528" s="78"/>
      <c r="G1528" s="78"/>
      <c r="H1528" s="78"/>
      <c r="I1528" s="78"/>
      <c r="J1528" s="78"/>
      <c r="K1528" s="78"/>
      <c r="L1528" s="78"/>
      <c r="M1528" s="78"/>
      <c r="N1528" s="78"/>
      <c r="O1528" s="78"/>
      <c r="P1528" s="78"/>
      <c r="Q1528" s="78"/>
      <c r="R1528" s="78"/>
      <c r="S1528" s="78"/>
      <c r="T1528" s="78"/>
      <c r="U1528" s="78"/>
      <c r="V1528" s="78"/>
      <c r="W1528" s="78"/>
      <c r="X1528" s="78"/>
      <c r="Y1528" s="78"/>
      <c r="Z1528" s="78"/>
    </row>
    <row r="1529">
      <c r="A1529" s="78">
        <v>583.0</v>
      </c>
      <c r="B1529" s="78"/>
      <c r="C1529" s="138"/>
      <c r="D1529" s="78"/>
      <c r="E1529" s="139" t="str">
        <f t="array" ref="E1529">IF(
UPPER(TRIM(CLEAN($O1529)))="ENTREGADO",
IFERROR(
INDEX(REPORTE_DROPI!Y:Y,
MATCH($T1529, REPORTE_DROPI!B:B, 0)
),
""
),
""
)
</f>
        <v/>
      </c>
      <c r="F1529" s="78"/>
      <c r="G1529" s="78"/>
      <c r="H1529" s="78"/>
      <c r="I1529" s="78"/>
      <c r="J1529" s="78"/>
      <c r="K1529" s="78"/>
      <c r="L1529" s="78"/>
      <c r="M1529" s="78"/>
      <c r="N1529" s="78"/>
      <c r="O1529" s="78"/>
      <c r="P1529" s="78"/>
      <c r="Q1529" s="78"/>
      <c r="R1529" s="78"/>
      <c r="S1529" s="78"/>
      <c r="T1529" s="78"/>
      <c r="U1529" s="78"/>
      <c r="V1529" s="78"/>
      <c r="W1529" s="78"/>
      <c r="X1529" s="78"/>
      <c r="Y1529" s="78"/>
      <c r="Z1529" s="78"/>
    </row>
    <row r="1530">
      <c r="A1530" s="78">
        <v>584.0</v>
      </c>
      <c r="B1530" s="78"/>
      <c r="C1530" s="138"/>
      <c r="D1530" s="78"/>
      <c r="E1530" s="139" t="str">
        <f t="array" ref="E1530">IF(
UPPER(TRIM(CLEAN($O1530)))="ENTREGADO",
IFERROR(
INDEX(REPORTE_DROPI!Y:Y,
MATCH($T1530, REPORTE_DROPI!B:B, 0)
),
""
),
""
)
</f>
        <v/>
      </c>
      <c r="F1530" s="78"/>
      <c r="G1530" s="78"/>
      <c r="H1530" s="78"/>
      <c r="I1530" s="78"/>
      <c r="J1530" s="78"/>
      <c r="K1530" s="78"/>
      <c r="L1530" s="78"/>
      <c r="M1530" s="78"/>
      <c r="N1530" s="78"/>
      <c r="O1530" s="78"/>
      <c r="P1530" s="78"/>
      <c r="Q1530" s="78"/>
      <c r="R1530" s="78"/>
      <c r="S1530" s="78"/>
      <c r="T1530" s="78"/>
      <c r="U1530" s="78"/>
      <c r="V1530" s="78"/>
      <c r="W1530" s="78"/>
      <c r="X1530" s="78"/>
      <c r="Y1530" s="78"/>
      <c r="Z1530" s="78"/>
    </row>
    <row r="1531">
      <c r="A1531" s="78">
        <v>585.0</v>
      </c>
      <c r="B1531" s="78"/>
      <c r="C1531" s="138"/>
      <c r="D1531" s="78"/>
      <c r="E1531" s="139" t="str">
        <f t="array" ref="E1531">IF(
UPPER(TRIM(CLEAN($O1531)))="ENTREGADO",
IFERROR(
INDEX(REPORTE_DROPI!Y:Y,
MATCH($T1531, REPORTE_DROPI!B:B, 0)
),
""
),
""
)
</f>
        <v/>
      </c>
      <c r="F1531" s="78"/>
      <c r="G1531" s="78"/>
      <c r="H1531" s="78"/>
      <c r="I1531" s="78"/>
      <c r="J1531" s="78"/>
      <c r="K1531" s="78"/>
      <c r="L1531" s="78"/>
      <c r="M1531" s="78"/>
      <c r="N1531" s="78"/>
      <c r="O1531" s="78"/>
      <c r="P1531" s="78"/>
      <c r="Q1531" s="78"/>
      <c r="R1531" s="78"/>
      <c r="S1531" s="78"/>
      <c r="T1531" s="78"/>
      <c r="U1531" s="78"/>
      <c r="V1531" s="78"/>
      <c r="W1531" s="78"/>
      <c r="X1531" s="78"/>
      <c r="Y1531" s="78"/>
      <c r="Z1531" s="78"/>
    </row>
    <row r="1532">
      <c r="A1532" s="78">
        <v>586.0</v>
      </c>
      <c r="B1532" s="78"/>
      <c r="C1532" s="138"/>
      <c r="D1532" s="78"/>
      <c r="E1532" s="139" t="str">
        <f t="array" ref="E1532">IF(
UPPER(TRIM(CLEAN($O1532)))="ENTREGADO",
IFERROR(
INDEX(REPORTE_DROPI!Y:Y,
MATCH($T1532, REPORTE_DROPI!B:B, 0)
),
""
),
""
)
</f>
        <v/>
      </c>
      <c r="F1532" s="78"/>
      <c r="G1532" s="78"/>
      <c r="H1532" s="78"/>
      <c r="I1532" s="78"/>
      <c r="J1532" s="78"/>
      <c r="K1532" s="78"/>
      <c r="L1532" s="78"/>
      <c r="M1532" s="78"/>
      <c r="N1532" s="78"/>
      <c r="O1532" s="78"/>
      <c r="P1532" s="78"/>
      <c r="Q1532" s="78"/>
      <c r="R1532" s="78"/>
      <c r="S1532" s="78"/>
      <c r="T1532" s="78"/>
      <c r="U1532" s="78"/>
      <c r="V1532" s="78"/>
      <c r="W1532" s="78"/>
      <c r="X1532" s="78"/>
      <c r="Y1532" s="78"/>
      <c r="Z1532" s="78"/>
    </row>
    <row r="1533">
      <c r="A1533" s="78">
        <v>587.0</v>
      </c>
      <c r="B1533" s="78"/>
      <c r="C1533" s="138"/>
      <c r="D1533" s="78"/>
      <c r="E1533" s="139" t="str">
        <f t="array" ref="E1533">IF(
UPPER(TRIM(CLEAN($O1533)))="ENTREGADO",
IFERROR(
INDEX(REPORTE_DROPI!Y:Y,
MATCH($T1533, REPORTE_DROPI!B:B, 0)
),
""
),
""
)
</f>
        <v/>
      </c>
      <c r="F1533" s="78"/>
      <c r="G1533" s="78"/>
      <c r="H1533" s="78"/>
      <c r="I1533" s="78"/>
      <c r="J1533" s="78"/>
      <c r="K1533" s="78"/>
      <c r="L1533" s="78"/>
      <c r="M1533" s="78"/>
      <c r="N1533" s="78"/>
      <c r="O1533" s="78"/>
      <c r="P1533" s="78"/>
      <c r="Q1533" s="78"/>
      <c r="R1533" s="78"/>
      <c r="S1533" s="78"/>
      <c r="T1533" s="78"/>
      <c r="U1533" s="78"/>
      <c r="V1533" s="78"/>
      <c r="W1533" s="78"/>
      <c r="X1533" s="78"/>
      <c r="Y1533" s="78"/>
      <c r="Z1533" s="78"/>
    </row>
    <row r="1534">
      <c r="A1534" s="78">
        <v>588.0</v>
      </c>
      <c r="B1534" s="78"/>
      <c r="C1534" s="138"/>
      <c r="D1534" s="78"/>
      <c r="E1534" s="139" t="str">
        <f t="array" ref="E1534">IF(
UPPER(TRIM(CLEAN($O1534)))="ENTREGADO",
IFERROR(
INDEX(REPORTE_DROPI!Y:Y,
MATCH($T1534, REPORTE_DROPI!B:B, 0)
),
""
),
""
)
</f>
        <v/>
      </c>
      <c r="F1534" s="78"/>
      <c r="G1534" s="78"/>
      <c r="H1534" s="78"/>
      <c r="I1534" s="78"/>
      <c r="J1534" s="78"/>
      <c r="K1534" s="78"/>
      <c r="L1534" s="78"/>
      <c r="M1534" s="78"/>
      <c r="N1534" s="78"/>
      <c r="O1534" s="78"/>
      <c r="P1534" s="78"/>
      <c r="Q1534" s="78"/>
      <c r="R1534" s="78"/>
      <c r="S1534" s="78"/>
      <c r="T1534" s="78"/>
      <c r="U1534" s="78"/>
      <c r="V1534" s="78"/>
      <c r="W1534" s="78"/>
      <c r="X1534" s="78"/>
      <c r="Y1534" s="78"/>
      <c r="Z1534" s="78"/>
    </row>
    <row r="1535">
      <c r="A1535" s="78">
        <v>589.0</v>
      </c>
      <c r="B1535" s="78"/>
      <c r="C1535" s="138"/>
      <c r="D1535" s="78"/>
      <c r="E1535" s="139" t="str">
        <f t="array" ref="E1535">IF(
UPPER(TRIM(CLEAN($O1535)))="ENTREGADO",
IFERROR(
INDEX(REPORTE_DROPI!Y:Y,
MATCH($T1535, REPORTE_DROPI!B:B, 0)
),
""
),
""
)
</f>
        <v/>
      </c>
      <c r="F1535" s="78"/>
      <c r="G1535" s="78"/>
      <c r="H1535" s="78"/>
      <c r="I1535" s="78"/>
      <c r="J1535" s="78"/>
      <c r="K1535" s="78"/>
      <c r="L1535" s="78"/>
      <c r="M1535" s="78"/>
      <c r="N1535" s="78"/>
      <c r="O1535" s="78"/>
      <c r="P1535" s="78"/>
      <c r="Q1535" s="78"/>
      <c r="R1535" s="78"/>
      <c r="S1535" s="78"/>
      <c r="T1535" s="78"/>
      <c r="U1535" s="78"/>
      <c r="V1535" s="78"/>
      <c r="W1535" s="78"/>
      <c r="X1535" s="78"/>
      <c r="Y1535" s="78"/>
      <c r="Z1535" s="78"/>
    </row>
    <row r="1536">
      <c r="A1536" s="78">
        <v>590.0</v>
      </c>
      <c r="B1536" s="78"/>
      <c r="C1536" s="138"/>
      <c r="D1536" s="78"/>
      <c r="E1536" s="139" t="str">
        <f t="array" ref="E1536">IF(
UPPER(TRIM(CLEAN($O1536)))="ENTREGADO",
IFERROR(
INDEX(REPORTE_DROPI!Y:Y,
MATCH($T1536, REPORTE_DROPI!B:B, 0)
),
""
),
""
)
</f>
        <v/>
      </c>
      <c r="F1536" s="78"/>
      <c r="G1536" s="78"/>
      <c r="H1536" s="78"/>
      <c r="I1536" s="78"/>
      <c r="J1536" s="78"/>
      <c r="K1536" s="78"/>
      <c r="L1536" s="78"/>
      <c r="M1536" s="78"/>
      <c r="N1536" s="78"/>
      <c r="O1536" s="78"/>
      <c r="P1536" s="78"/>
      <c r="Q1536" s="78"/>
      <c r="R1536" s="78"/>
      <c r="S1536" s="78"/>
      <c r="T1536" s="78"/>
      <c r="U1536" s="78"/>
      <c r="V1536" s="78"/>
      <c r="W1536" s="78"/>
      <c r="X1536" s="78"/>
      <c r="Y1536" s="78"/>
      <c r="Z1536" s="78"/>
    </row>
    <row r="1537">
      <c r="A1537" s="78">
        <v>591.0</v>
      </c>
      <c r="B1537" s="78"/>
      <c r="C1537" s="138"/>
      <c r="D1537" s="78"/>
      <c r="E1537" s="139" t="str">
        <f t="array" ref="E1537">IF(
UPPER(TRIM(CLEAN($O1537)))="ENTREGADO",
IFERROR(
INDEX(REPORTE_DROPI!Y:Y,
MATCH($T1537, REPORTE_DROPI!B:B, 0)
),
""
),
""
)
</f>
        <v/>
      </c>
      <c r="F1537" s="78"/>
      <c r="G1537" s="78"/>
      <c r="H1537" s="78"/>
      <c r="I1537" s="78"/>
      <c r="J1537" s="78"/>
      <c r="K1537" s="78"/>
      <c r="L1537" s="78"/>
      <c r="M1537" s="78"/>
      <c r="N1537" s="78"/>
      <c r="O1537" s="78"/>
      <c r="P1537" s="78"/>
      <c r="Q1537" s="78"/>
      <c r="R1537" s="78"/>
      <c r="S1537" s="78"/>
      <c r="T1537" s="78"/>
      <c r="U1537" s="78"/>
      <c r="V1537" s="78"/>
      <c r="W1537" s="78"/>
      <c r="X1537" s="78"/>
      <c r="Y1537" s="78"/>
      <c r="Z1537" s="78"/>
    </row>
    <row r="1538">
      <c r="A1538" s="78">
        <v>592.0</v>
      </c>
      <c r="B1538" s="78"/>
      <c r="C1538" s="138"/>
      <c r="D1538" s="78"/>
      <c r="E1538" s="139" t="str">
        <f t="array" ref="E1538">IF(
UPPER(TRIM(CLEAN($O1538)))="ENTREGADO",
IFERROR(
INDEX(REPORTE_DROPI!Y:Y,
MATCH($T1538, REPORTE_DROPI!B:B, 0)
),
""
),
""
)
</f>
        <v/>
      </c>
      <c r="F1538" s="78"/>
      <c r="G1538" s="78"/>
      <c r="H1538" s="78"/>
      <c r="I1538" s="78"/>
      <c r="J1538" s="78"/>
      <c r="K1538" s="78"/>
      <c r="L1538" s="78"/>
      <c r="M1538" s="78"/>
      <c r="N1538" s="78"/>
      <c r="O1538" s="78"/>
      <c r="P1538" s="78"/>
      <c r="Q1538" s="78"/>
      <c r="R1538" s="78"/>
      <c r="S1538" s="78"/>
      <c r="T1538" s="78"/>
      <c r="U1538" s="78"/>
      <c r="V1538" s="78"/>
      <c r="W1538" s="78"/>
      <c r="X1538" s="78"/>
      <c r="Y1538" s="78"/>
      <c r="Z1538" s="78"/>
    </row>
    <row r="1539">
      <c r="A1539" s="78">
        <v>593.0</v>
      </c>
      <c r="B1539" s="78"/>
      <c r="C1539" s="138"/>
      <c r="D1539" s="78"/>
      <c r="E1539" s="139" t="str">
        <f t="array" ref="E1539">IF(
UPPER(TRIM(CLEAN($O1539)))="ENTREGADO",
IFERROR(
INDEX(REPORTE_DROPI!Y:Y,
MATCH($T1539, REPORTE_DROPI!B:B, 0)
),
""
),
""
)
</f>
        <v/>
      </c>
      <c r="F1539" s="78"/>
      <c r="G1539" s="78"/>
      <c r="H1539" s="78"/>
      <c r="I1539" s="78"/>
      <c r="J1539" s="78"/>
      <c r="K1539" s="78"/>
      <c r="L1539" s="78"/>
      <c r="M1539" s="78"/>
      <c r="N1539" s="78"/>
      <c r="O1539" s="78"/>
      <c r="P1539" s="78"/>
      <c r="Q1539" s="78"/>
      <c r="R1539" s="78"/>
      <c r="S1539" s="78"/>
      <c r="T1539" s="78"/>
      <c r="U1539" s="78"/>
      <c r="V1539" s="78"/>
      <c r="W1539" s="78"/>
      <c r="X1539" s="78"/>
      <c r="Y1539" s="78"/>
      <c r="Z1539" s="78"/>
    </row>
    <row r="1540">
      <c r="A1540" s="78">
        <v>594.0</v>
      </c>
      <c r="B1540" s="78"/>
      <c r="C1540" s="138"/>
      <c r="D1540" s="78"/>
      <c r="E1540" s="139" t="str">
        <f t="array" ref="E1540">IF(
UPPER(TRIM(CLEAN($O1540)))="ENTREGADO",
IFERROR(
INDEX(REPORTE_DROPI!Y:Y,
MATCH($T1540, REPORTE_DROPI!B:B, 0)
),
""
),
""
)
</f>
        <v/>
      </c>
      <c r="F1540" s="78"/>
      <c r="G1540" s="78"/>
      <c r="H1540" s="78"/>
      <c r="I1540" s="78"/>
      <c r="J1540" s="78"/>
      <c r="K1540" s="78"/>
      <c r="L1540" s="78"/>
      <c r="M1540" s="78"/>
      <c r="N1540" s="78"/>
      <c r="O1540" s="78"/>
      <c r="P1540" s="78"/>
      <c r="Q1540" s="78"/>
      <c r="R1540" s="78"/>
      <c r="S1540" s="78"/>
      <c r="T1540" s="78"/>
      <c r="U1540" s="78"/>
      <c r="V1540" s="78"/>
      <c r="W1540" s="78"/>
      <c r="X1540" s="78"/>
      <c r="Y1540" s="78"/>
      <c r="Z1540" s="78"/>
    </row>
    <row r="1541">
      <c r="A1541" s="78">
        <v>595.0</v>
      </c>
      <c r="B1541" s="78"/>
      <c r="C1541" s="138"/>
      <c r="D1541" s="78"/>
      <c r="E1541" s="139" t="str">
        <f t="array" ref="E1541">IF(
UPPER(TRIM(CLEAN($O1541)))="ENTREGADO",
IFERROR(
INDEX(REPORTE_DROPI!Y:Y,
MATCH($T1541, REPORTE_DROPI!B:B, 0)
),
""
),
""
)
</f>
        <v/>
      </c>
      <c r="F1541" s="78"/>
      <c r="G1541" s="78"/>
      <c r="H1541" s="78"/>
      <c r="I1541" s="78"/>
      <c r="J1541" s="78"/>
      <c r="K1541" s="78"/>
      <c r="L1541" s="78"/>
      <c r="M1541" s="78"/>
      <c r="N1541" s="78"/>
      <c r="O1541" s="78"/>
      <c r="P1541" s="78"/>
      <c r="Q1541" s="78"/>
      <c r="R1541" s="78"/>
      <c r="S1541" s="78"/>
      <c r="T1541" s="78"/>
      <c r="U1541" s="78"/>
      <c r="V1541" s="78"/>
      <c r="W1541" s="78"/>
      <c r="X1541" s="78"/>
      <c r="Y1541" s="78"/>
      <c r="Z1541" s="78"/>
    </row>
    <row r="1542">
      <c r="A1542" s="78">
        <v>596.0</v>
      </c>
      <c r="B1542" s="78"/>
      <c r="C1542" s="138"/>
      <c r="D1542" s="78"/>
      <c r="E1542" s="139" t="str">
        <f t="array" ref="E1542">IF(
UPPER(TRIM(CLEAN($O1542)))="ENTREGADO",
IFERROR(
INDEX(REPORTE_DROPI!Y:Y,
MATCH($T1542, REPORTE_DROPI!B:B, 0)
),
""
),
""
)
</f>
        <v/>
      </c>
      <c r="F1542" s="78"/>
      <c r="G1542" s="78"/>
      <c r="H1542" s="78"/>
      <c r="I1542" s="78"/>
      <c r="J1542" s="78"/>
      <c r="K1542" s="78"/>
      <c r="L1542" s="78"/>
      <c r="M1542" s="78"/>
      <c r="N1542" s="78"/>
      <c r="O1542" s="78"/>
      <c r="P1542" s="78"/>
      <c r="Q1542" s="78"/>
      <c r="R1542" s="78"/>
      <c r="S1542" s="78"/>
      <c r="T1542" s="78"/>
      <c r="U1542" s="78"/>
      <c r="V1542" s="78"/>
      <c r="W1542" s="78"/>
      <c r="X1542" s="78"/>
      <c r="Y1542" s="78"/>
      <c r="Z1542" s="78"/>
    </row>
    <row r="1543">
      <c r="A1543" s="78">
        <v>597.0</v>
      </c>
      <c r="B1543" s="78"/>
      <c r="C1543" s="138"/>
      <c r="D1543" s="78"/>
      <c r="E1543" s="139" t="str">
        <f t="array" ref="E1543">IF(
UPPER(TRIM(CLEAN($O1543)))="ENTREGADO",
IFERROR(
INDEX(REPORTE_DROPI!Y:Y,
MATCH($T1543, REPORTE_DROPI!B:B, 0)
),
""
),
""
)
</f>
        <v/>
      </c>
      <c r="F1543" s="78"/>
      <c r="G1543" s="78"/>
      <c r="H1543" s="78"/>
      <c r="I1543" s="78"/>
      <c r="J1543" s="78"/>
      <c r="K1543" s="78"/>
      <c r="L1543" s="78"/>
      <c r="M1543" s="78"/>
      <c r="N1543" s="78"/>
      <c r="O1543" s="78"/>
      <c r="P1543" s="78"/>
      <c r="Q1543" s="78"/>
      <c r="R1543" s="78"/>
      <c r="S1543" s="78"/>
      <c r="T1543" s="78"/>
      <c r="U1543" s="78"/>
      <c r="V1543" s="78"/>
      <c r="W1543" s="78"/>
      <c r="X1543" s="78"/>
      <c r="Y1543" s="78"/>
      <c r="Z1543" s="78"/>
    </row>
    <row r="1544">
      <c r="A1544" s="78">
        <v>598.0</v>
      </c>
      <c r="B1544" s="78"/>
      <c r="C1544" s="138"/>
      <c r="D1544" s="78"/>
      <c r="E1544" s="139" t="str">
        <f t="array" ref="E1544">IF(
UPPER(TRIM(CLEAN($O1544)))="ENTREGADO",
IFERROR(
INDEX(REPORTE_DROPI!Y:Y,
MATCH($T1544, REPORTE_DROPI!B:B, 0)
),
""
),
""
)
</f>
        <v/>
      </c>
      <c r="F1544" s="78"/>
      <c r="G1544" s="78"/>
      <c r="H1544" s="78"/>
      <c r="I1544" s="78"/>
      <c r="J1544" s="78"/>
      <c r="K1544" s="78"/>
      <c r="L1544" s="78"/>
      <c r="M1544" s="78"/>
      <c r="N1544" s="78"/>
      <c r="O1544" s="78"/>
      <c r="P1544" s="78"/>
      <c r="Q1544" s="78"/>
      <c r="R1544" s="78"/>
      <c r="S1544" s="78"/>
      <c r="T1544" s="78"/>
      <c r="U1544" s="78"/>
      <c r="V1544" s="78"/>
      <c r="W1544" s="78"/>
      <c r="X1544" s="78"/>
      <c r="Y1544" s="78"/>
      <c r="Z1544" s="78"/>
    </row>
    <row r="1545">
      <c r="A1545" s="78">
        <v>599.0</v>
      </c>
      <c r="B1545" s="78"/>
      <c r="C1545" s="138"/>
      <c r="D1545" s="78"/>
      <c r="E1545" s="139" t="str">
        <f t="array" ref="E1545">IF(
UPPER(TRIM(CLEAN($O1545)))="ENTREGADO",
IFERROR(
INDEX(REPORTE_DROPI!Y:Y,
MATCH($T1545, REPORTE_DROPI!B:B, 0)
),
""
),
""
)
</f>
        <v/>
      </c>
      <c r="F1545" s="78"/>
      <c r="G1545" s="78"/>
      <c r="H1545" s="78"/>
      <c r="I1545" s="78"/>
      <c r="J1545" s="78"/>
      <c r="K1545" s="78"/>
      <c r="L1545" s="78"/>
      <c r="M1545" s="78"/>
      <c r="N1545" s="78"/>
      <c r="O1545" s="78"/>
      <c r="P1545" s="78"/>
      <c r="Q1545" s="78"/>
      <c r="R1545" s="78"/>
      <c r="S1545" s="78"/>
      <c r="T1545" s="78"/>
      <c r="U1545" s="78"/>
      <c r="V1545" s="78"/>
      <c r="W1545" s="78"/>
      <c r="X1545" s="78"/>
      <c r="Y1545" s="78"/>
      <c r="Z1545" s="78"/>
    </row>
    <row r="1546">
      <c r="A1546" s="78">
        <v>600.0</v>
      </c>
      <c r="B1546" s="78"/>
      <c r="C1546" s="138"/>
      <c r="D1546" s="78"/>
      <c r="E1546" s="139" t="str">
        <f t="array" ref="E1546">IF(
UPPER(TRIM(CLEAN($O1546)))="ENTREGADO",
IFERROR(
INDEX(REPORTE_DROPI!Y:Y,
MATCH($T1546, REPORTE_DROPI!B:B, 0)
),
""
),
""
)
</f>
        <v/>
      </c>
      <c r="F1546" s="78"/>
      <c r="G1546" s="78"/>
      <c r="H1546" s="78"/>
      <c r="I1546" s="78"/>
      <c r="J1546" s="78"/>
      <c r="K1546" s="78"/>
      <c r="L1546" s="78"/>
      <c r="M1546" s="78"/>
      <c r="N1546" s="78"/>
      <c r="O1546" s="78"/>
      <c r="P1546" s="78"/>
      <c r="Q1546" s="78"/>
      <c r="R1546" s="78"/>
      <c r="S1546" s="78"/>
      <c r="T1546" s="78"/>
      <c r="U1546" s="78"/>
      <c r="V1546" s="78"/>
      <c r="W1546" s="78"/>
      <c r="X1546" s="78"/>
      <c r="Y1546" s="78"/>
      <c r="Z1546" s="78"/>
    </row>
    <row r="1547">
      <c r="A1547" s="78">
        <v>601.0</v>
      </c>
      <c r="B1547" s="78"/>
      <c r="C1547" s="138"/>
      <c r="D1547" s="78"/>
      <c r="E1547" s="139" t="str">
        <f t="array" ref="E1547">IF(
UPPER(TRIM(CLEAN($O1547)))="ENTREGADO",
IFERROR(
INDEX(REPORTE_DROPI!Y:Y,
MATCH($T1547, REPORTE_DROPI!B:B, 0)
),
""
),
""
)
</f>
        <v/>
      </c>
      <c r="F1547" s="78"/>
      <c r="G1547" s="78"/>
      <c r="H1547" s="78"/>
      <c r="I1547" s="78"/>
      <c r="J1547" s="78"/>
      <c r="K1547" s="78"/>
      <c r="L1547" s="78"/>
      <c r="M1547" s="78"/>
      <c r="N1547" s="78"/>
      <c r="O1547" s="78"/>
      <c r="P1547" s="78"/>
      <c r="Q1547" s="78"/>
      <c r="R1547" s="78"/>
      <c r="S1547" s="78"/>
      <c r="T1547" s="78"/>
      <c r="U1547" s="78"/>
      <c r="V1547" s="78"/>
      <c r="W1547" s="78"/>
      <c r="X1547" s="78"/>
      <c r="Y1547" s="78"/>
      <c r="Z1547" s="78"/>
    </row>
    <row r="1548">
      <c r="A1548" s="78">
        <v>602.0</v>
      </c>
      <c r="B1548" s="78"/>
      <c r="C1548" s="138"/>
      <c r="D1548" s="78"/>
      <c r="E1548" s="139" t="str">
        <f t="array" ref="E1548">IF(
UPPER(TRIM(CLEAN($O1548)))="ENTREGADO",
IFERROR(
INDEX(REPORTE_DROPI!Y:Y,
MATCH($T1548, REPORTE_DROPI!B:B, 0)
),
""
),
""
)
</f>
        <v/>
      </c>
      <c r="F1548" s="78"/>
      <c r="G1548" s="78"/>
      <c r="H1548" s="78"/>
      <c r="I1548" s="78"/>
      <c r="J1548" s="78"/>
      <c r="K1548" s="78"/>
      <c r="L1548" s="78"/>
      <c r="M1548" s="78"/>
      <c r="N1548" s="78"/>
      <c r="O1548" s="78"/>
      <c r="P1548" s="78"/>
      <c r="Q1548" s="78"/>
      <c r="R1548" s="78"/>
      <c r="S1548" s="78"/>
      <c r="T1548" s="78"/>
      <c r="U1548" s="78"/>
      <c r="V1548" s="78"/>
      <c r="W1548" s="78"/>
      <c r="X1548" s="78"/>
      <c r="Y1548" s="78"/>
      <c r="Z1548" s="78"/>
    </row>
    <row r="1549">
      <c r="A1549" s="78">
        <v>603.0</v>
      </c>
      <c r="B1549" s="78"/>
      <c r="C1549" s="138"/>
      <c r="D1549" s="78"/>
      <c r="E1549" s="139" t="str">
        <f t="array" ref="E1549">IF(
UPPER(TRIM(CLEAN($O1549)))="ENTREGADO",
IFERROR(
INDEX(REPORTE_DROPI!Y:Y,
MATCH($T1549, REPORTE_DROPI!B:B, 0)
),
""
),
""
)
</f>
        <v/>
      </c>
      <c r="F1549" s="78"/>
      <c r="G1549" s="78"/>
      <c r="H1549" s="78"/>
      <c r="I1549" s="78"/>
      <c r="J1549" s="78"/>
      <c r="K1549" s="78"/>
      <c r="L1549" s="78"/>
      <c r="M1549" s="78"/>
      <c r="N1549" s="78"/>
      <c r="O1549" s="78"/>
      <c r="P1549" s="78"/>
      <c r="Q1549" s="78"/>
      <c r="R1549" s="78"/>
      <c r="S1549" s="78"/>
      <c r="T1549" s="78"/>
      <c r="U1549" s="78"/>
      <c r="V1549" s="78"/>
      <c r="W1549" s="78"/>
      <c r="X1549" s="78"/>
      <c r="Y1549" s="78"/>
      <c r="Z1549" s="78"/>
    </row>
    <row r="1550">
      <c r="A1550" s="78">
        <v>604.0</v>
      </c>
      <c r="B1550" s="78"/>
      <c r="C1550" s="138"/>
      <c r="D1550" s="78"/>
      <c r="E1550" s="139" t="str">
        <f t="array" ref="E1550">IF(
UPPER(TRIM(CLEAN($O1550)))="ENTREGADO",
IFERROR(
INDEX(REPORTE_DROPI!Y:Y,
MATCH($T1550, REPORTE_DROPI!B:B, 0)
),
""
),
""
)
</f>
        <v/>
      </c>
      <c r="F1550" s="78"/>
      <c r="G1550" s="78"/>
      <c r="H1550" s="78"/>
      <c r="I1550" s="78"/>
      <c r="J1550" s="78"/>
      <c r="K1550" s="78"/>
      <c r="L1550" s="78"/>
      <c r="M1550" s="78"/>
      <c r="N1550" s="78"/>
      <c r="O1550" s="78"/>
      <c r="P1550" s="78"/>
      <c r="Q1550" s="78"/>
      <c r="R1550" s="78"/>
      <c r="S1550" s="78"/>
      <c r="T1550" s="78"/>
      <c r="U1550" s="78"/>
      <c r="V1550" s="78"/>
      <c r="W1550" s="78"/>
      <c r="X1550" s="78"/>
      <c r="Y1550" s="78"/>
      <c r="Z1550" s="78"/>
    </row>
    <row r="1551">
      <c r="A1551" s="78">
        <v>605.0</v>
      </c>
      <c r="B1551" s="78"/>
      <c r="C1551" s="138"/>
      <c r="D1551" s="78"/>
      <c r="E1551" s="139" t="str">
        <f t="array" ref="E1551">IF(
UPPER(TRIM(CLEAN($O1551)))="ENTREGADO",
IFERROR(
INDEX(REPORTE_DROPI!Y:Y,
MATCH($T1551, REPORTE_DROPI!B:B, 0)
),
""
),
""
)
</f>
        <v/>
      </c>
      <c r="F1551" s="78"/>
      <c r="G1551" s="78"/>
      <c r="H1551" s="78"/>
      <c r="I1551" s="78"/>
      <c r="J1551" s="78"/>
      <c r="K1551" s="78"/>
      <c r="L1551" s="78"/>
      <c r="M1551" s="78"/>
      <c r="N1551" s="78"/>
      <c r="O1551" s="78"/>
      <c r="P1551" s="78"/>
      <c r="Q1551" s="78"/>
      <c r="R1551" s="78"/>
      <c r="S1551" s="78"/>
      <c r="T1551" s="78"/>
      <c r="U1551" s="78"/>
      <c r="V1551" s="78"/>
      <c r="W1551" s="78"/>
      <c r="X1551" s="78"/>
      <c r="Y1551" s="78"/>
      <c r="Z1551" s="78"/>
    </row>
    <row r="1552">
      <c r="A1552" s="78">
        <v>606.0</v>
      </c>
      <c r="B1552" s="78"/>
      <c r="C1552" s="138"/>
      <c r="D1552" s="78"/>
      <c r="E1552" s="139" t="str">
        <f t="array" ref="E1552">IF(
UPPER(TRIM(CLEAN($O1552)))="ENTREGADO",
IFERROR(
INDEX(REPORTE_DROPI!Y:Y,
MATCH($T1552, REPORTE_DROPI!B:B, 0)
),
""
),
""
)
</f>
        <v/>
      </c>
      <c r="F1552" s="78"/>
      <c r="G1552" s="78"/>
      <c r="H1552" s="78"/>
      <c r="I1552" s="78"/>
      <c r="J1552" s="78"/>
      <c r="K1552" s="78"/>
      <c r="L1552" s="78"/>
      <c r="M1552" s="78"/>
      <c r="N1552" s="78"/>
      <c r="O1552" s="78"/>
      <c r="P1552" s="78"/>
      <c r="Q1552" s="78"/>
      <c r="R1552" s="78"/>
      <c r="S1552" s="78"/>
      <c r="T1552" s="78"/>
      <c r="U1552" s="78"/>
      <c r="V1552" s="78"/>
      <c r="W1552" s="78"/>
      <c r="X1552" s="78"/>
      <c r="Y1552" s="78"/>
      <c r="Z1552" s="78"/>
    </row>
    <row r="1553">
      <c r="A1553" s="78">
        <v>607.0</v>
      </c>
      <c r="B1553" s="78"/>
      <c r="C1553" s="138"/>
      <c r="D1553" s="78"/>
      <c r="E1553" s="139" t="str">
        <f t="array" ref="E1553">IF(
UPPER(TRIM(CLEAN($O1553)))="ENTREGADO",
IFERROR(
INDEX(REPORTE_DROPI!Y:Y,
MATCH($T1553, REPORTE_DROPI!B:B, 0)
),
""
),
""
)
</f>
        <v/>
      </c>
      <c r="F1553" s="78"/>
      <c r="G1553" s="78"/>
      <c r="H1553" s="78"/>
      <c r="I1553" s="78"/>
      <c r="J1553" s="78"/>
      <c r="K1553" s="78"/>
      <c r="L1553" s="78"/>
      <c r="M1553" s="78"/>
      <c r="N1553" s="78"/>
      <c r="O1553" s="78"/>
      <c r="P1553" s="78"/>
      <c r="Q1553" s="78"/>
      <c r="R1553" s="78"/>
      <c r="S1553" s="78"/>
      <c r="T1553" s="78"/>
      <c r="U1553" s="78"/>
      <c r="V1553" s="78"/>
      <c r="W1553" s="78"/>
      <c r="X1553" s="78"/>
      <c r="Y1553" s="78"/>
      <c r="Z1553" s="78"/>
    </row>
    <row r="1554">
      <c r="A1554" s="78">
        <v>608.0</v>
      </c>
      <c r="B1554" s="78"/>
      <c r="C1554" s="138"/>
      <c r="D1554" s="78"/>
      <c r="E1554" s="139" t="str">
        <f t="array" ref="E1554">IF(
UPPER(TRIM(CLEAN($O1554)))="ENTREGADO",
IFERROR(
INDEX(REPORTE_DROPI!Y:Y,
MATCH($T1554, REPORTE_DROPI!B:B, 0)
),
""
),
""
)
</f>
        <v/>
      </c>
      <c r="F1554" s="78"/>
      <c r="G1554" s="78"/>
      <c r="H1554" s="78"/>
      <c r="I1554" s="78"/>
      <c r="J1554" s="78"/>
      <c r="K1554" s="78"/>
      <c r="L1554" s="78"/>
      <c r="M1554" s="78"/>
      <c r="N1554" s="78"/>
      <c r="O1554" s="78"/>
      <c r="P1554" s="78"/>
      <c r="Q1554" s="78"/>
      <c r="R1554" s="78"/>
      <c r="S1554" s="78"/>
      <c r="T1554" s="78"/>
      <c r="U1554" s="78"/>
      <c r="V1554" s="78"/>
      <c r="W1554" s="78"/>
      <c r="X1554" s="78"/>
      <c r="Y1554" s="78"/>
      <c r="Z1554" s="78"/>
    </row>
    <row r="1555">
      <c r="A1555" s="78">
        <v>609.0</v>
      </c>
      <c r="B1555" s="78"/>
      <c r="C1555" s="138"/>
      <c r="D1555" s="78"/>
      <c r="E1555" s="139" t="str">
        <f t="array" ref="E1555">IF(
UPPER(TRIM(CLEAN($O1555)))="ENTREGADO",
IFERROR(
INDEX(REPORTE_DROPI!Y:Y,
MATCH($T1555, REPORTE_DROPI!B:B, 0)
),
""
),
""
)
</f>
        <v/>
      </c>
      <c r="F1555" s="78"/>
      <c r="G1555" s="78"/>
      <c r="H1555" s="78"/>
      <c r="I1555" s="78"/>
      <c r="J1555" s="78"/>
      <c r="K1555" s="78"/>
      <c r="L1555" s="78"/>
      <c r="M1555" s="78"/>
      <c r="N1555" s="78"/>
      <c r="O1555" s="78"/>
      <c r="P1555" s="78"/>
      <c r="Q1555" s="78"/>
      <c r="R1555" s="78"/>
      <c r="S1555" s="78"/>
      <c r="T1555" s="78"/>
      <c r="U1555" s="78"/>
      <c r="V1555" s="78"/>
      <c r="W1555" s="78"/>
      <c r="X1555" s="78"/>
      <c r="Y1555" s="78"/>
      <c r="Z1555" s="78"/>
    </row>
    <row r="1556">
      <c r="A1556" s="78">
        <v>610.0</v>
      </c>
      <c r="B1556" s="78"/>
      <c r="C1556" s="138"/>
      <c r="D1556" s="78"/>
      <c r="E1556" s="139" t="str">
        <f t="array" ref="E1556">IF(
UPPER(TRIM(CLEAN($O1556)))="ENTREGADO",
IFERROR(
INDEX(REPORTE_DROPI!Y:Y,
MATCH($T1556, REPORTE_DROPI!B:B, 0)
),
""
),
""
)
</f>
        <v/>
      </c>
      <c r="F1556" s="78"/>
      <c r="G1556" s="78"/>
      <c r="H1556" s="78"/>
      <c r="I1556" s="78"/>
      <c r="J1556" s="78"/>
      <c r="K1556" s="78"/>
      <c r="L1556" s="78"/>
      <c r="M1556" s="78"/>
      <c r="N1556" s="78"/>
      <c r="O1556" s="78"/>
      <c r="P1556" s="78"/>
      <c r="Q1556" s="78"/>
      <c r="R1556" s="78"/>
      <c r="S1556" s="78"/>
      <c r="T1556" s="78"/>
      <c r="U1556" s="78"/>
      <c r="V1556" s="78"/>
      <c r="W1556" s="78"/>
      <c r="X1556" s="78"/>
      <c r="Y1556" s="78"/>
      <c r="Z1556" s="78"/>
    </row>
    <row r="1557">
      <c r="A1557" s="78">
        <v>611.0</v>
      </c>
      <c r="B1557" s="78"/>
      <c r="C1557" s="138"/>
      <c r="D1557" s="78"/>
      <c r="E1557" s="139" t="str">
        <f t="array" ref="E1557">IF(
UPPER(TRIM(CLEAN($O1557)))="ENTREGADO",
IFERROR(
INDEX(REPORTE_DROPI!Y:Y,
MATCH($T1557, REPORTE_DROPI!B:B, 0)
),
""
),
""
)
</f>
        <v/>
      </c>
      <c r="F1557" s="78"/>
      <c r="G1557" s="78"/>
      <c r="H1557" s="78"/>
      <c r="I1557" s="78"/>
      <c r="J1557" s="78"/>
      <c r="K1557" s="78"/>
      <c r="L1557" s="78"/>
      <c r="M1557" s="78"/>
      <c r="N1557" s="78"/>
      <c r="O1557" s="78"/>
      <c r="P1557" s="78"/>
      <c r="Q1557" s="78"/>
      <c r="R1557" s="78"/>
      <c r="S1557" s="78"/>
      <c r="T1557" s="78"/>
      <c r="U1557" s="78"/>
      <c r="V1557" s="78"/>
      <c r="W1557" s="78"/>
      <c r="X1557" s="78"/>
      <c r="Y1557" s="78"/>
      <c r="Z1557" s="78"/>
    </row>
    <row r="1558">
      <c r="A1558" s="78">
        <v>612.0</v>
      </c>
      <c r="B1558" s="78"/>
      <c r="C1558" s="138"/>
      <c r="D1558" s="78"/>
      <c r="E1558" s="139" t="str">
        <f t="array" ref="E1558">IF(
UPPER(TRIM(CLEAN($O1558)))="ENTREGADO",
IFERROR(
INDEX(REPORTE_DROPI!Y:Y,
MATCH($T1558, REPORTE_DROPI!B:B, 0)
),
""
),
""
)
</f>
        <v/>
      </c>
      <c r="F1558" s="78"/>
      <c r="G1558" s="78"/>
      <c r="H1558" s="78"/>
      <c r="I1558" s="78"/>
      <c r="J1558" s="78"/>
      <c r="K1558" s="78"/>
      <c r="L1558" s="78"/>
      <c r="M1558" s="78"/>
      <c r="N1558" s="78"/>
      <c r="O1558" s="78"/>
      <c r="P1558" s="78"/>
      <c r="Q1558" s="78"/>
      <c r="R1558" s="78"/>
      <c r="S1558" s="78"/>
      <c r="T1558" s="78"/>
      <c r="U1558" s="78"/>
      <c r="V1558" s="78"/>
      <c r="W1558" s="78"/>
      <c r="X1558" s="78"/>
      <c r="Y1558" s="78"/>
      <c r="Z1558" s="78"/>
    </row>
    <row r="1559">
      <c r="A1559" s="78">
        <v>613.0</v>
      </c>
      <c r="B1559" s="78"/>
      <c r="C1559" s="138"/>
      <c r="D1559" s="78"/>
      <c r="E1559" s="139" t="str">
        <f t="array" ref="E1559">IF(
UPPER(TRIM(CLEAN($O1559)))="ENTREGADO",
IFERROR(
INDEX(REPORTE_DROPI!Y:Y,
MATCH($T1559, REPORTE_DROPI!B:B, 0)
),
""
),
""
)
</f>
        <v/>
      </c>
      <c r="F1559" s="78"/>
      <c r="G1559" s="78"/>
      <c r="H1559" s="78"/>
      <c r="I1559" s="78"/>
      <c r="J1559" s="78"/>
      <c r="K1559" s="78"/>
      <c r="L1559" s="78"/>
      <c r="M1559" s="78"/>
      <c r="N1559" s="78"/>
      <c r="O1559" s="78"/>
      <c r="P1559" s="78"/>
      <c r="Q1559" s="78"/>
      <c r="R1559" s="78"/>
      <c r="S1559" s="78"/>
      <c r="T1559" s="78"/>
      <c r="U1559" s="78"/>
      <c r="V1559" s="78"/>
      <c r="W1559" s="78"/>
      <c r="X1559" s="78"/>
      <c r="Y1559" s="78"/>
      <c r="Z1559" s="78"/>
    </row>
    <row r="1560">
      <c r="A1560" s="78">
        <v>614.0</v>
      </c>
      <c r="B1560" s="78"/>
      <c r="C1560" s="138"/>
      <c r="D1560" s="78"/>
      <c r="E1560" s="139" t="str">
        <f t="array" ref="E1560">IF(
UPPER(TRIM(CLEAN($O1560)))="ENTREGADO",
IFERROR(
INDEX(REPORTE_DROPI!Y:Y,
MATCH($T1560, REPORTE_DROPI!B:B, 0)
),
""
),
""
)
</f>
        <v/>
      </c>
      <c r="F1560" s="78"/>
      <c r="G1560" s="78"/>
      <c r="H1560" s="78"/>
      <c r="I1560" s="78"/>
      <c r="J1560" s="78"/>
      <c r="K1560" s="78"/>
      <c r="L1560" s="78"/>
      <c r="M1560" s="78"/>
      <c r="N1560" s="78"/>
      <c r="O1560" s="78"/>
      <c r="P1560" s="78"/>
      <c r="Q1560" s="78"/>
      <c r="R1560" s="78"/>
      <c r="S1560" s="78"/>
      <c r="T1560" s="78"/>
      <c r="U1560" s="78"/>
      <c r="V1560" s="78"/>
      <c r="W1560" s="78"/>
      <c r="X1560" s="78"/>
      <c r="Y1560" s="78"/>
      <c r="Z1560" s="78"/>
    </row>
    <row r="1561">
      <c r="A1561" s="78">
        <v>615.0</v>
      </c>
      <c r="B1561" s="78"/>
      <c r="C1561" s="138"/>
      <c r="D1561" s="78"/>
      <c r="E1561" s="139" t="str">
        <f t="array" ref="E1561">IF(
UPPER(TRIM(CLEAN($O1561)))="ENTREGADO",
IFERROR(
INDEX(REPORTE_DROPI!Y:Y,
MATCH($T1561, REPORTE_DROPI!B:B, 0)
),
""
),
""
)
</f>
        <v/>
      </c>
      <c r="F1561" s="78"/>
      <c r="G1561" s="78"/>
      <c r="H1561" s="78"/>
      <c r="I1561" s="78"/>
      <c r="J1561" s="78"/>
      <c r="K1561" s="78"/>
      <c r="L1561" s="78"/>
      <c r="M1561" s="78"/>
      <c r="N1561" s="78"/>
      <c r="O1561" s="78"/>
      <c r="P1561" s="78"/>
      <c r="Q1561" s="78"/>
      <c r="R1561" s="78"/>
      <c r="S1561" s="78"/>
      <c r="T1561" s="78"/>
      <c r="U1561" s="78"/>
      <c r="V1561" s="78"/>
      <c r="W1561" s="78"/>
      <c r="X1561" s="78"/>
      <c r="Y1561" s="78"/>
      <c r="Z1561" s="78"/>
    </row>
    <row r="1562">
      <c r="A1562" s="78">
        <v>616.0</v>
      </c>
      <c r="B1562" s="78"/>
      <c r="C1562" s="138"/>
      <c r="D1562" s="78"/>
      <c r="E1562" s="139" t="str">
        <f t="array" ref="E1562">IF(
UPPER(TRIM(CLEAN($O1562)))="ENTREGADO",
IFERROR(
INDEX(REPORTE_DROPI!Y:Y,
MATCH($T1562, REPORTE_DROPI!B:B, 0)
),
""
),
""
)
</f>
        <v/>
      </c>
      <c r="F1562" s="78"/>
      <c r="G1562" s="78"/>
      <c r="H1562" s="78"/>
      <c r="I1562" s="78"/>
      <c r="J1562" s="78"/>
      <c r="K1562" s="78"/>
      <c r="L1562" s="78"/>
      <c r="M1562" s="78"/>
      <c r="N1562" s="78"/>
      <c r="O1562" s="78"/>
      <c r="P1562" s="78"/>
      <c r="Q1562" s="78"/>
      <c r="R1562" s="78"/>
      <c r="S1562" s="78"/>
      <c r="T1562" s="78"/>
      <c r="U1562" s="78"/>
      <c r="V1562" s="78"/>
      <c r="W1562" s="78"/>
      <c r="X1562" s="78"/>
      <c r="Y1562" s="78"/>
      <c r="Z1562" s="78"/>
    </row>
    <row r="1563">
      <c r="A1563" s="78">
        <v>617.0</v>
      </c>
      <c r="B1563" s="78"/>
      <c r="C1563" s="138"/>
      <c r="D1563" s="78"/>
      <c r="E1563" s="139" t="str">
        <f t="array" ref="E1563">IF(
UPPER(TRIM(CLEAN($O1563)))="ENTREGADO",
IFERROR(
INDEX(REPORTE_DROPI!Y:Y,
MATCH($T1563, REPORTE_DROPI!B:B, 0)
),
""
),
""
)
</f>
        <v/>
      </c>
      <c r="F1563" s="78"/>
      <c r="G1563" s="78"/>
      <c r="H1563" s="78"/>
      <c r="I1563" s="78"/>
      <c r="J1563" s="78"/>
      <c r="K1563" s="78"/>
      <c r="L1563" s="78"/>
      <c r="M1563" s="78"/>
      <c r="N1563" s="78"/>
      <c r="O1563" s="78"/>
      <c r="P1563" s="78"/>
      <c r="Q1563" s="78"/>
      <c r="R1563" s="78"/>
      <c r="S1563" s="78"/>
      <c r="T1563" s="78"/>
      <c r="U1563" s="78"/>
      <c r="V1563" s="78"/>
      <c r="W1563" s="78"/>
      <c r="X1563" s="78"/>
      <c r="Y1563" s="78"/>
      <c r="Z1563" s="78"/>
    </row>
    <row r="1564">
      <c r="A1564" s="78">
        <v>618.0</v>
      </c>
      <c r="B1564" s="78"/>
      <c r="C1564" s="138"/>
      <c r="D1564" s="78"/>
      <c r="E1564" s="139" t="str">
        <f t="array" ref="E1564">IF(
UPPER(TRIM(CLEAN($O1564)))="ENTREGADO",
IFERROR(
INDEX(REPORTE_DROPI!Y:Y,
MATCH($T1564, REPORTE_DROPI!B:B, 0)
),
""
),
""
)
</f>
        <v/>
      </c>
      <c r="F1564" s="78"/>
      <c r="G1564" s="78"/>
      <c r="H1564" s="78"/>
      <c r="I1564" s="78"/>
      <c r="J1564" s="78"/>
      <c r="K1564" s="78"/>
      <c r="L1564" s="78"/>
      <c r="M1564" s="78"/>
      <c r="N1564" s="78"/>
      <c r="O1564" s="78"/>
      <c r="P1564" s="78"/>
      <c r="Q1564" s="78"/>
      <c r="R1564" s="78"/>
      <c r="S1564" s="78"/>
      <c r="T1564" s="78"/>
      <c r="U1564" s="78"/>
      <c r="V1564" s="78"/>
      <c r="W1564" s="78"/>
      <c r="X1564" s="78"/>
      <c r="Y1564" s="78"/>
      <c r="Z1564" s="78"/>
    </row>
    <row r="1565">
      <c r="A1565" s="78">
        <v>619.0</v>
      </c>
      <c r="B1565" s="78"/>
      <c r="C1565" s="138"/>
      <c r="D1565" s="78"/>
      <c r="E1565" s="139" t="str">
        <f t="array" ref="E1565">IF(
UPPER(TRIM(CLEAN($O1565)))="ENTREGADO",
IFERROR(
INDEX(REPORTE_DROPI!Y:Y,
MATCH($T1565, REPORTE_DROPI!B:B, 0)
),
""
),
""
)
</f>
        <v/>
      </c>
      <c r="F1565" s="78"/>
      <c r="G1565" s="78"/>
      <c r="H1565" s="78"/>
      <c r="I1565" s="78"/>
      <c r="J1565" s="78"/>
      <c r="K1565" s="78"/>
      <c r="L1565" s="78"/>
      <c r="M1565" s="78"/>
      <c r="N1565" s="78"/>
      <c r="O1565" s="78"/>
      <c r="P1565" s="78"/>
      <c r="Q1565" s="78"/>
      <c r="R1565" s="78"/>
      <c r="S1565" s="78"/>
      <c r="T1565" s="78"/>
      <c r="U1565" s="78"/>
      <c r="V1565" s="78"/>
      <c r="W1565" s="78"/>
      <c r="X1565" s="78"/>
      <c r="Y1565" s="78"/>
      <c r="Z1565" s="78"/>
    </row>
    <row r="1566">
      <c r="A1566" s="78">
        <v>620.0</v>
      </c>
      <c r="B1566" s="78"/>
      <c r="C1566" s="138"/>
      <c r="D1566" s="78"/>
      <c r="E1566" s="139" t="str">
        <f t="array" ref="E1566">IF(
UPPER(TRIM(CLEAN($O1566)))="ENTREGADO",
IFERROR(
INDEX(REPORTE_DROPI!Y:Y,
MATCH($T1566, REPORTE_DROPI!B:B, 0)
),
""
),
""
)
</f>
        <v/>
      </c>
      <c r="F1566" s="78"/>
      <c r="G1566" s="78"/>
      <c r="H1566" s="78"/>
      <c r="I1566" s="78"/>
      <c r="J1566" s="78"/>
      <c r="K1566" s="78"/>
      <c r="L1566" s="78"/>
      <c r="M1566" s="78"/>
      <c r="N1566" s="78"/>
      <c r="O1566" s="78"/>
      <c r="P1566" s="78"/>
      <c r="Q1566" s="78"/>
      <c r="R1566" s="78"/>
      <c r="S1566" s="78"/>
      <c r="T1566" s="78"/>
      <c r="U1566" s="78"/>
      <c r="V1566" s="78"/>
      <c r="W1566" s="78"/>
      <c r="X1566" s="78"/>
      <c r="Y1566" s="78"/>
      <c r="Z1566" s="78"/>
    </row>
    <row r="1567">
      <c r="A1567" s="78">
        <v>621.0</v>
      </c>
      <c r="B1567" s="78"/>
      <c r="C1567" s="138"/>
      <c r="D1567" s="78"/>
      <c r="E1567" s="139" t="str">
        <f t="array" ref="E1567">IF(
UPPER(TRIM(CLEAN($O1567)))="ENTREGADO",
IFERROR(
INDEX(REPORTE_DROPI!Y:Y,
MATCH($T1567, REPORTE_DROPI!B:B, 0)
),
""
),
""
)
</f>
        <v/>
      </c>
      <c r="F1567" s="78"/>
      <c r="G1567" s="78"/>
      <c r="H1567" s="78"/>
      <c r="I1567" s="78"/>
      <c r="J1567" s="78"/>
      <c r="K1567" s="78"/>
      <c r="L1567" s="78"/>
      <c r="M1567" s="78"/>
      <c r="N1567" s="78"/>
      <c r="O1567" s="78"/>
      <c r="P1567" s="78"/>
      <c r="Q1567" s="78"/>
      <c r="R1567" s="78"/>
      <c r="S1567" s="78"/>
      <c r="T1567" s="78"/>
      <c r="U1567" s="78"/>
      <c r="V1567" s="78"/>
      <c r="W1567" s="78"/>
      <c r="X1567" s="78"/>
      <c r="Y1567" s="78"/>
      <c r="Z1567" s="78"/>
    </row>
    <row r="1568">
      <c r="A1568" s="78">
        <v>622.0</v>
      </c>
      <c r="B1568" s="78"/>
      <c r="C1568" s="138"/>
      <c r="D1568" s="78"/>
      <c r="E1568" s="139" t="str">
        <f t="array" ref="E1568">IF(
UPPER(TRIM(CLEAN($O1568)))="ENTREGADO",
IFERROR(
INDEX(REPORTE_DROPI!Y:Y,
MATCH($T1568, REPORTE_DROPI!B:B, 0)
),
""
),
""
)
</f>
        <v/>
      </c>
      <c r="F1568" s="78"/>
      <c r="G1568" s="78"/>
      <c r="H1568" s="78"/>
      <c r="I1568" s="78"/>
      <c r="J1568" s="78"/>
      <c r="K1568" s="78"/>
      <c r="L1568" s="78"/>
      <c r="M1568" s="78"/>
      <c r="N1568" s="78"/>
      <c r="O1568" s="78"/>
      <c r="P1568" s="78"/>
      <c r="Q1568" s="78"/>
      <c r="R1568" s="78"/>
      <c r="S1568" s="78"/>
      <c r="T1568" s="78"/>
      <c r="U1568" s="78"/>
      <c r="V1568" s="78"/>
      <c r="W1568" s="78"/>
      <c r="X1568" s="78"/>
      <c r="Y1568" s="78"/>
      <c r="Z1568" s="78"/>
    </row>
    <row r="1569">
      <c r="A1569" s="78">
        <v>623.0</v>
      </c>
      <c r="B1569" s="78"/>
      <c r="C1569" s="138"/>
      <c r="D1569" s="78"/>
      <c r="E1569" s="139" t="str">
        <f t="array" ref="E1569">IF(
UPPER(TRIM(CLEAN($O1569)))="ENTREGADO",
IFERROR(
INDEX(REPORTE_DROPI!Y:Y,
MATCH($T1569, REPORTE_DROPI!B:B, 0)
),
""
),
""
)
</f>
        <v/>
      </c>
      <c r="F1569" s="78"/>
      <c r="G1569" s="78"/>
      <c r="H1569" s="78"/>
      <c r="I1569" s="78"/>
      <c r="J1569" s="78"/>
      <c r="K1569" s="78"/>
      <c r="L1569" s="78"/>
      <c r="M1569" s="78"/>
      <c r="N1569" s="78"/>
      <c r="O1569" s="78"/>
      <c r="P1569" s="78"/>
      <c r="Q1569" s="78"/>
      <c r="R1569" s="78"/>
      <c r="S1569" s="78"/>
      <c r="T1569" s="78"/>
      <c r="U1569" s="78"/>
      <c r="V1569" s="78"/>
      <c r="W1569" s="78"/>
      <c r="X1569" s="78"/>
      <c r="Y1569" s="78"/>
      <c r="Z1569" s="78"/>
    </row>
    <row r="1570">
      <c r="A1570" s="78">
        <v>624.0</v>
      </c>
      <c r="B1570" s="78"/>
      <c r="C1570" s="138"/>
      <c r="D1570" s="78"/>
      <c r="E1570" s="139" t="str">
        <f t="array" ref="E1570">IF(
UPPER(TRIM(CLEAN($O1570)))="ENTREGADO",
IFERROR(
INDEX(REPORTE_DROPI!Y:Y,
MATCH($T1570, REPORTE_DROPI!B:B, 0)
),
""
),
""
)
</f>
        <v/>
      </c>
      <c r="F1570" s="78"/>
      <c r="G1570" s="78"/>
      <c r="H1570" s="78"/>
      <c r="I1570" s="78"/>
      <c r="J1570" s="78"/>
      <c r="K1570" s="78"/>
      <c r="L1570" s="78"/>
      <c r="M1570" s="78"/>
      <c r="N1570" s="78"/>
      <c r="O1570" s="78"/>
      <c r="P1570" s="78"/>
      <c r="Q1570" s="78"/>
      <c r="R1570" s="78"/>
      <c r="S1570" s="78"/>
      <c r="T1570" s="78"/>
      <c r="U1570" s="78"/>
      <c r="V1570" s="78"/>
      <c r="W1570" s="78"/>
      <c r="X1570" s="78"/>
      <c r="Y1570" s="78"/>
      <c r="Z1570" s="78"/>
    </row>
    <row r="1571">
      <c r="A1571" s="78">
        <v>625.0</v>
      </c>
      <c r="B1571" s="78"/>
      <c r="C1571" s="138"/>
      <c r="D1571" s="78"/>
      <c r="E1571" s="139" t="str">
        <f t="array" ref="E1571">IF(
UPPER(TRIM(CLEAN($O1571)))="ENTREGADO",
IFERROR(
INDEX(REPORTE_DROPI!Y:Y,
MATCH($T1571, REPORTE_DROPI!B:B, 0)
),
""
),
""
)
</f>
        <v/>
      </c>
      <c r="F1571" s="78"/>
      <c r="G1571" s="78"/>
      <c r="H1571" s="78"/>
      <c r="I1571" s="78"/>
      <c r="J1571" s="78"/>
      <c r="K1571" s="78"/>
      <c r="L1571" s="78"/>
      <c r="M1571" s="78"/>
      <c r="N1571" s="78"/>
      <c r="O1571" s="78"/>
      <c r="P1571" s="78"/>
      <c r="Q1571" s="78"/>
      <c r="R1571" s="78"/>
      <c r="S1571" s="78"/>
      <c r="T1571" s="78"/>
      <c r="U1571" s="78"/>
      <c r="V1571" s="78"/>
      <c r="W1571" s="78"/>
      <c r="X1571" s="78"/>
      <c r="Y1571" s="78"/>
      <c r="Z1571" s="78"/>
    </row>
    <row r="1572">
      <c r="A1572" s="78">
        <v>626.0</v>
      </c>
      <c r="B1572" s="78"/>
      <c r="C1572" s="138"/>
      <c r="D1572" s="78"/>
      <c r="E1572" s="139" t="str">
        <f t="array" ref="E1572">IF(
UPPER(TRIM(CLEAN($O1572)))="ENTREGADO",
IFERROR(
INDEX(REPORTE_DROPI!Y:Y,
MATCH($T1572, REPORTE_DROPI!B:B, 0)
),
""
),
""
)
</f>
        <v/>
      </c>
      <c r="F1572" s="78"/>
      <c r="G1572" s="78"/>
      <c r="H1572" s="78"/>
      <c r="I1572" s="78"/>
      <c r="J1572" s="78"/>
      <c r="K1572" s="78"/>
      <c r="L1572" s="78"/>
      <c r="M1572" s="78"/>
      <c r="N1572" s="78"/>
      <c r="O1572" s="78"/>
      <c r="P1572" s="78"/>
      <c r="Q1572" s="78"/>
      <c r="R1572" s="78"/>
      <c r="S1572" s="78"/>
      <c r="T1572" s="78"/>
      <c r="U1572" s="78"/>
      <c r="V1572" s="78"/>
      <c r="W1572" s="78"/>
      <c r="X1572" s="78"/>
      <c r="Y1572" s="78"/>
      <c r="Z1572" s="78"/>
    </row>
    <row r="1573">
      <c r="A1573" s="78">
        <v>627.0</v>
      </c>
      <c r="B1573" s="78"/>
      <c r="C1573" s="138"/>
      <c r="D1573" s="78"/>
      <c r="E1573" s="139" t="str">
        <f t="array" ref="E1573">IF(
UPPER(TRIM(CLEAN($O1573)))="ENTREGADO",
IFERROR(
INDEX(REPORTE_DROPI!Y:Y,
MATCH($T1573, REPORTE_DROPI!B:B, 0)
),
""
),
""
)
</f>
        <v/>
      </c>
      <c r="F1573" s="78"/>
      <c r="G1573" s="78"/>
      <c r="H1573" s="78"/>
      <c r="I1573" s="78"/>
      <c r="J1573" s="78"/>
      <c r="K1573" s="78"/>
      <c r="L1573" s="78"/>
      <c r="M1573" s="78"/>
      <c r="N1573" s="78"/>
      <c r="O1573" s="78"/>
      <c r="P1573" s="78"/>
      <c r="Q1573" s="78"/>
      <c r="R1573" s="78"/>
      <c r="S1573" s="78"/>
      <c r="T1573" s="78"/>
      <c r="U1573" s="78"/>
      <c r="V1573" s="78"/>
      <c r="W1573" s="78"/>
      <c r="X1573" s="78"/>
      <c r="Y1573" s="78"/>
      <c r="Z1573" s="78"/>
    </row>
    <row r="1574">
      <c r="A1574" s="78">
        <v>628.0</v>
      </c>
      <c r="B1574" s="78"/>
      <c r="C1574" s="138"/>
      <c r="D1574" s="78"/>
      <c r="E1574" s="139" t="str">
        <f t="array" ref="E1574">IF(
UPPER(TRIM(CLEAN($O1574)))="ENTREGADO",
IFERROR(
INDEX(REPORTE_DROPI!Y:Y,
MATCH($T1574, REPORTE_DROPI!B:B, 0)
),
""
),
""
)
</f>
        <v/>
      </c>
      <c r="F1574" s="78"/>
      <c r="G1574" s="78"/>
      <c r="H1574" s="78"/>
      <c r="I1574" s="78"/>
      <c r="J1574" s="78"/>
      <c r="K1574" s="78"/>
      <c r="L1574" s="78"/>
      <c r="M1574" s="78"/>
      <c r="N1574" s="78"/>
      <c r="O1574" s="78"/>
      <c r="P1574" s="78"/>
      <c r="Q1574" s="78"/>
      <c r="R1574" s="78"/>
      <c r="S1574" s="78"/>
      <c r="T1574" s="78"/>
      <c r="U1574" s="78"/>
      <c r="V1574" s="78"/>
      <c r="W1574" s="78"/>
      <c r="X1574" s="78"/>
      <c r="Y1574" s="78"/>
      <c r="Z1574" s="78"/>
    </row>
    <row r="1575">
      <c r="A1575" s="78">
        <v>629.0</v>
      </c>
      <c r="B1575" s="78"/>
      <c r="C1575" s="138"/>
      <c r="D1575" s="78"/>
      <c r="E1575" s="139" t="str">
        <f t="array" ref="E1575">IF(
UPPER(TRIM(CLEAN($O1575)))="ENTREGADO",
IFERROR(
INDEX(REPORTE_DROPI!Y:Y,
MATCH($T1575, REPORTE_DROPI!B:B, 0)
),
""
),
""
)
</f>
        <v/>
      </c>
      <c r="F1575" s="78"/>
      <c r="G1575" s="78"/>
      <c r="H1575" s="78"/>
      <c r="I1575" s="78"/>
      <c r="J1575" s="78"/>
      <c r="K1575" s="78"/>
      <c r="L1575" s="78"/>
      <c r="M1575" s="78"/>
      <c r="N1575" s="78"/>
      <c r="O1575" s="78"/>
      <c r="P1575" s="78"/>
      <c r="Q1575" s="78"/>
      <c r="R1575" s="78"/>
      <c r="S1575" s="78"/>
      <c r="T1575" s="78"/>
      <c r="U1575" s="78"/>
      <c r="V1575" s="78"/>
      <c r="W1575" s="78"/>
      <c r="X1575" s="78"/>
      <c r="Y1575" s="78"/>
      <c r="Z1575" s="78"/>
    </row>
    <row r="1576">
      <c r="A1576" s="78">
        <v>630.0</v>
      </c>
      <c r="B1576" s="78"/>
      <c r="C1576" s="138"/>
      <c r="D1576" s="78"/>
      <c r="E1576" s="139" t="str">
        <f t="array" ref="E1576">IF(
UPPER(TRIM(CLEAN($O1576)))="ENTREGADO",
IFERROR(
INDEX(REPORTE_DROPI!Y:Y,
MATCH($T1576, REPORTE_DROPI!B:B, 0)
),
""
),
""
)
</f>
        <v/>
      </c>
      <c r="F1576" s="78"/>
      <c r="G1576" s="78"/>
      <c r="H1576" s="78"/>
      <c r="I1576" s="78"/>
      <c r="J1576" s="78"/>
      <c r="K1576" s="78"/>
      <c r="L1576" s="78"/>
      <c r="M1576" s="78"/>
      <c r="N1576" s="78"/>
      <c r="O1576" s="78"/>
      <c r="P1576" s="78"/>
      <c r="Q1576" s="78"/>
      <c r="R1576" s="78"/>
      <c r="S1576" s="78"/>
      <c r="T1576" s="78"/>
      <c r="U1576" s="78"/>
      <c r="V1576" s="78"/>
      <c r="W1576" s="78"/>
      <c r="X1576" s="78"/>
      <c r="Y1576" s="78"/>
      <c r="Z1576" s="78"/>
    </row>
    <row r="1577">
      <c r="A1577" s="78">
        <v>631.0</v>
      </c>
      <c r="B1577" s="78"/>
      <c r="C1577" s="138"/>
      <c r="D1577" s="78"/>
      <c r="E1577" s="139" t="str">
        <f t="array" ref="E1577">IF(
UPPER(TRIM(CLEAN($O1577)))="ENTREGADO",
IFERROR(
INDEX(REPORTE_DROPI!Y:Y,
MATCH($T1577, REPORTE_DROPI!B:B, 0)
),
""
),
""
)
</f>
        <v/>
      </c>
      <c r="F1577" s="78"/>
      <c r="G1577" s="78"/>
      <c r="H1577" s="78"/>
      <c r="I1577" s="78"/>
      <c r="J1577" s="78"/>
      <c r="K1577" s="78"/>
      <c r="L1577" s="78"/>
      <c r="M1577" s="78"/>
      <c r="N1577" s="78"/>
      <c r="O1577" s="78"/>
      <c r="P1577" s="78"/>
      <c r="Q1577" s="78"/>
      <c r="R1577" s="78"/>
      <c r="S1577" s="78"/>
      <c r="T1577" s="78"/>
      <c r="U1577" s="78"/>
      <c r="V1577" s="78"/>
      <c r="W1577" s="78"/>
      <c r="X1577" s="78"/>
      <c r="Y1577" s="78"/>
      <c r="Z1577" s="78"/>
    </row>
    <row r="1578">
      <c r="A1578" s="78">
        <v>632.0</v>
      </c>
      <c r="B1578" s="78"/>
      <c r="C1578" s="138"/>
      <c r="D1578" s="78"/>
      <c r="E1578" s="139" t="str">
        <f t="array" ref="E1578">IF(
UPPER(TRIM(CLEAN($O1578)))="ENTREGADO",
IFERROR(
INDEX(REPORTE_DROPI!Y:Y,
MATCH($T1578, REPORTE_DROPI!B:B, 0)
),
""
),
""
)
</f>
        <v/>
      </c>
      <c r="F1578" s="78"/>
      <c r="G1578" s="78"/>
      <c r="H1578" s="78"/>
      <c r="I1578" s="78"/>
      <c r="J1578" s="78"/>
      <c r="K1578" s="78"/>
      <c r="L1578" s="78"/>
      <c r="M1578" s="78"/>
      <c r="N1578" s="78"/>
      <c r="O1578" s="78"/>
      <c r="P1578" s="78"/>
      <c r="Q1578" s="78"/>
      <c r="R1578" s="78"/>
      <c r="S1578" s="78"/>
      <c r="T1578" s="78"/>
      <c r="U1578" s="78"/>
      <c r="V1578" s="78"/>
      <c r="W1578" s="78"/>
      <c r="X1578" s="78"/>
      <c r="Y1578" s="78"/>
      <c r="Z1578" s="78"/>
    </row>
    <row r="1579">
      <c r="A1579" s="78">
        <v>633.0</v>
      </c>
      <c r="B1579" s="78"/>
      <c r="C1579" s="138"/>
      <c r="D1579" s="78"/>
      <c r="E1579" s="139" t="str">
        <f t="array" ref="E1579">IF(
UPPER(TRIM(CLEAN($O1579)))="ENTREGADO",
IFERROR(
INDEX(REPORTE_DROPI!Y:Y,
MATCH($T1579, REPORTE_DROPI!B:B, 0)
),
""
),
""
)
</f>
        <v/>
      </c>
      <c r="F1579" s="78"/>
      <c r="G1579" s="78"/>
      <c r="H1579" s="78"/>
      <c r="I1579" s="78"/>
      <c r="J1579" s="78"/>
      <c r="K1579" s="78"/>
      <c r="L1579" s="78"/>
      <c r="M1579" s="78"/>
      <c r="N1579" s="78"/>
      <c r="O1579" s="78"/>
      <c r="P1579" s="78"/>
      <c r="Q1579" s="78"/>
      <c r="R1579" s="78"/>
      <c r="S1579" s="78"/>
      <c r="T1579" s="78"/>
      <c r="U1579" s="78"/>
      <c r="V1579" s="78"/>
      <c r="W1579" s="78"/>
      <c r="X1579" s="78"/>
      <c r="Y1579" s="78"/>
      <c r="Z1579" s="78"/>
    </row>
    <row r="1580">
      <c r="A1580" s="78">
        <v>634.0</v>
      </c>
      <c r="B1580" s="78"/>
      <c r="C1580" s="138"/>
      <c r="D1580" s="78"/>
      <c r="E1580" s="139" t="str">
        <f t="array" ref="E1580">IF(
UPPER(TRIM(CLEAN($O1580)))="ENTREGADO",
IFERROR(
INDEX(REPORTE_DROPI!Y:Y,
MATCH($T1580, REPORTE_DROPI!B:B, 0)
),
""
),
""
)
</f>
        <v/>
      </c>
      <c r="F1580" s="78"/>
      <c r="G1580" s="78"/>
      <c r="H1580" s="78"/>
      <c r="I1580" s="78"/>
      <c r="J1580" s="78"/>
      <c r="K1580" s="78"/>
      <c r="L1580" s="78"/>
      <c r="M1580" s="78"/>
      <c r="N1580" s="78"/>
      <c r="O1580" s="78"/>
      <c r="P1580" s="78"/>
      <c r="Q1580" s="78"/>
      <c r="R1580" s="78"/>
      <c r="S1580" s="78"/>
      <c r="T1580" s="78"/>
      <c r="U1580" s="78"/>
      <c r="V1580" s="78"/>
      <c r="W1580" s="78"/>
      <c r="X1580" s="78"/>
      <c r="Y1580" s="78"/>
      <c r="Z1580" s="78"/>
    </row>
    <row r="1581">
      <c r="A1581" s="78">
        <v>635.0</v>
      </c>
      <c r="B1581" s="78"/>
      <c r="C1581" s="138"/>
      <c r="D1581" s="78"/>
      <c r="E1581" s="139" t="str">
        <f t="array" ref="E1581">IF(
UPPER(TRIM(CLEAN($O1581)))="ENTREGADO",
IFERROR(
INDEX(REPORTE_DROPI!Y:Y,
MATCH($T1581, REPORTE_DROPI!B:B, 0)
),
""
),
""
)
</f>
        <v/>
      </c>
      <c r="F1581" s="78"/>
      <c r="G1581" s="78"/>
      <c r="H1581" s="78"/>
      <c r="I1581" s="78"/>
      <c r="J1581" s="78"/>
      <c r="K1581" s="78"/>
      <c r="L1581" s="78"/>
      <c r="M1581" s="78"/>
      <c r="N1581" s="78"/>
      <c r="O1581" s="78"/>
      <c r="P1581" s="78"/>
      <c r="Q1581" s="78"/>
      <c r="R1581" s="78"/>
      <c r="S1581" s="78"/>
      <c r="T1581" s="78"/>
      <c r="U1581" s="78"/>
      <c r="V1581" s="78"/>
      <c r="W1581" s="78"/>
      <c r="X1581" s="78"/>
      <c r="Y1581" s="78"/>
      <c r="Z1581" s="78"/>
    </row>
    <row r="1582">
      <c r="A1582" s="78">
        <v>636.0</v>
      </c>
      <c r="B1582" s="78"/>
      <c r="C1582" s="138"/>
      <c r="D1582" s="78"/>
      <c r="E1582" s="139" t="str">
        <f t="array" ref="E1582">IF(
UPPER(TRIM(CLEAN($O1582)))="ENTREGADO",
IFERROR(
INDEX(REPORTE_DROPI!Y:Y,
MATCH($T1582, REPORTE_DROPI!B:B, 0)
),
""
),
""
)
</f>
        <v/>
      </c>
      <c r="F1582" s="78"/>
      <c r="G1582" s="78"/>
      <c r="H1582" s="78"/>
      <c r="I1582" s="78"/>
      <c r="J1582" s="78"/>
      <c r="K1582" s="78"/>
      <c r="L1582" s="78"/>
      <c r="M1582" s="78"/>
      <c r="N1582" s="78"/>
      <c r="O1582" s="78"/>
      <c r="P1582" s="78"/>
      <c r="Q1582" s="78"/>
      <c r="R1582" s="78"/>
      <c r="S1582" s="78"/>
      <c r="T1582" s="78"/>
      <c r="U1582" s="78"/>
      <c r="V1582" s="78"/>
      <c r="W1582" s="78"/>
      <c r="X1582" s="78"/>
      <c r="Y1582" s="78"/>
      <c r="Z1582" s="78"/>
    </row>
    <row r="1583">
      <c r="A1583" s="78">
        <v>637.0</v>
      </c>
      <c r="B1583" s="78"/>
      <c r="C1583" s="138"/>
      <c r="D1583" s="78"/>
      <c r="E1583" s="139" t="str">
        <f t="array" ref="E1583">IF(
UPPER(TRIM(CLEAN($O1583)))="ENTREGADO",
IFERROR(
INDEX(REPORTE_DROPI!Y:Y,
MATCH($T1583, REPORTE_DROPI!B:B, 0)
),
""
),
""
)
</f>
        <v/>
      </c>
      <c r="F1583" s="78"/>
      <c r="G1583" s="78"/>
      <c r="H1583" s="78"/>
      <c r="I1583" s="78"/>
      <c r="J1583" s="78"/>
      <c r="K1583" s="78"/>
      <c r="L1583" s="78"/>
      <c r="M1583" s="78"/>
      <c r="N1583" s="78"/>
      <c r="O1583" s="78"/>
      <c r="P1583" s="78"/>
      <c r="Q1583" s="78"/>
      <c r="R1583" s="78"/>
      <c r="S1583" s="78"/>
      <c r="T1583" s="78"/>
      <c r="U1583" s="78"/>
      <c r="V1583" s="78"/>
      <c r="W1583" s="78"/>
      <c r="X1583" s="78"/>
      <c r="Y1583" s="78"/>
      <c r="Z1583" s="78"/>
    </row>
    <row r="1584">
      <c r="A1584" s="78">
        <v>638.0</v>
      </c>
      <c r="B1584" s="78"/>
      <c r="C1584" s="138"/>
      <c r="D1584" s="78"/>
      <c r="E1584" s="139" t="str">
        <f t="array" ref="E1584">IF(
UPPER(TRIM(CLEAN($O1584)))="ENTREGADO",
IFERROR(
INDEX(REPORTE_DROPI!Y:Y,
MATCH($T1584, REPORTE_DROPI!B:B, 0)
),
""
),
""
)
</f>
        <v/>
      </c>
      <c r="F1584" s="78"/>
      <c r="G1584" s="78"/>
      <c r="H1584" s="78"/>
      <c r="I1584" s="78"/>
      <c r="J1584" s="78"/>
      <c r="K1584" s="78"/>
      <c r="L1584" s="78"/>
      <c r="M1584" s="78"/>
      <c r="N1584" s="78"/>
      <c r="O1584" s="78"/>
      <c r="P1584" s="78"/>
      <c r="Q1584" s="78"/>
      <c r="R1584" s="78"/>
      <c r="S1584" s="78"/>
      <c r="T1584" s="78"/>
      <c r="U1584" s="78"/>
      <c r="V1584" s="78"/>
      <c r="W1584" s="78"/>
      <c r="X1584" s="78"/>
      <c r="Y1584" s="78"/>
      <c r="Z1584" s="78"/>
    </row>
    <row r="1585">
      <c r="A1585" s="78">
        <v>639.0</v>
      </c>
      <c r="B1585" s="78"/>
      <c r="C1585" s="138"/>
      <c r="D1585" s="78"/>
      <c r="E1585" s="139" t="str">
        <f t="array" ref="E1585">IF(
UPPER(TRIM(CLEAN($O1585)))="ENTREGADO",
IFERROR(
INDEX(REPORTE_DROPI!Y:Y,
MATCH($T1585, REPORTE_DROPI!B:B, 0)
),
""
),
""
)
</f>
        <v/>
      </c>
      <c r="F1585" s="78"/>
      <c r="G1585" s="78"/>
      <c r="H1585" s="78"/>
      <c r="I1585" s="78"/>
      <c r="J1585" s="78"/>
      <c r="K1585" s="78"/>
      <c r="L1585" s="78"/>
      <c r="M1585" s="78"/>
      <c r="N1585" s="78"/>
      <c r="O1585" s="78"/>
      <c r="P1585" s="78"/>
      <c r="Q1585" s="78"/>
      <c r="R1585" s="78"/>
      <c r="S1585" s="78"/>
      <c r="T1585" s="78"/>
      <c r="U1585" s="78"/>
      <c r="V1585" s="78"/>
      <c r="W1585" s="78"/>
      <c r="X1585" s="78"/>
      <c r="Y1585" s="78"/>
      <c r="Z1585" s="78"/>
    </row>
    <row r="1586">
      <c r="A1586" s="78">
        <v>640.0</v>
      </c>
      <c r="B1586" s="78"/>
      <c r="C1586" s="138"/>
      <c r="D1586" s="78"/>
      <c r="E1586" s="139" t="str">
        <f t="array" ref="E1586">IF(
UPPER(TRIM(CLEAN($O1586)))="ENTREGADO",
IFERROR(
INDEX(REPORTE_DROPI!Y:Y,
MATCH($T1586, REPORTE_DROPI!B:B, 0)
),
""
),
""
)
</f>
        <v/>
      </c>
      <c r="F1586" s="78"/>
      <c r="G1586" s="78"/>
      <c r="H1586" s="78"/>
      <c r="I1586" s="78"/>
      <c r="J1586" s="78"/>
      <c r="K1586" s="78"/>
      <c r="L1586" s="78"/>
      <c r="M1586" s="78"/>
      <c r="N1586" s="78"/>
      <c r="O1586" s="78"/>
      <c r="P1586" s="78"/>
      <c r="Q1586" s="78"/>
      <c r="R1586" s="78"/>
      <c r="S1586" s="78"/>
      <c r="T1586" s="78"/>
      <c r="U1586" s="78"/>
      <c r="V1586" s="78"/>
      <c r="W1586" s="78"/>
      <c r="X1586" s="78"/>
      <c r="Y1586" s="78"/>
      <c r="Z1586" s="78"/>
    </row>
    <row r="1587">
      <c r="A1587" s="78">
        <v>641.0</v>
      </c>
      <c r="B1587" s="78"/>
      <c r="C1587" s="138"/>
      <c r="D1587" s="78"/>
      <c r="E1587" s="139" t="str">
        <f t="array" ref="E1587">IF(
UPPER(TRIM(CLEAN($O1587)))="ENTREGADO",
IFERROR(
INDEX(REPORTE_DROPI!Y:Y,
MATCH($T1587, REPORTE_DROPI!B:B, 0)
),
""
),
""
)
</f>
        <v/>
      </c>
      <c r="F1587" s="78"/>
      <c r="G1587" s="78"/>
      <c r="H1587" s="78"/>
      <c r="I1587" s="78"/>
      <c r="J1587" s="78"/>
      <c r="K1587" s="78"/>
      <c r="L1587" s="78"/>
      <c r="M1587" s="78"/>
      <c r="N1587" s="78"/>
      <c r="O1587" s="78"/>
      <c r="P1587" s="78"/>
      <c r="Q1587" s="78"/>
      <c r="R1587" s="78"/>
      <c r="S1587" s="78"/>
      <c r="T1587" s="78"/>
      <c r="U1587" s="78"/>
      <c r="V1587" s="78"/>
      <c r="W1587" s="78"/>
      <c r="X1587" s="78"/>
      <c r="Y1587" s="78"/>
      <c r="Z1587" s="78"/>
    </row>
    <row r="1588">
      <c r="A1588" s="78">
        <v>642.0</v>
      </c>
      <c r="B1588" s="78"/>
      <c r="C1588" s="138"/>
      <c r="D1588" s="78"/>
      <c r="E1588" s="139" t="str">
        <f t="array" ref="E1588">IF(
UPPER(TRIM(CLEAN($O1588)))="ENTREGADO",
IFERROR(
INDEX(REPORTE_DROPI!Y:Y,
MATCH($T1588, REPORTE_DROPI!B:B, 0)
),
""
),
""
)
</f>
        <v/>
      </c>
      <c r="F1588" s="78"/>
      <c r="G1588" s="78"/>
      <c r="H1588" s="78"/>
      <c r="I1588" s="78"/>
      <c r="J1588" s="78"/>
      <c r="K1588" s="78"/>
      <c r="L1588" s="78"/>
      <c r="M1588" s="78"/>
      <c r="N1588" s="78"/>
      <c r="O1588" s="78"/>
      <c r="P1588" s="78"/>
      <c r="Q1588" s="78"/>
      <c r="R1588" s="78"/>
      <c r="S1588" s="78"/>
      <c r="T1588" s="78"/>
      <c r="U1588" s="78"/>
      <c r="V1588" s="78"/>
      <c r="W1588" s="78"/>
      <c r="X1588" s="78"/>
      <c r="Y1588" s="78"/>
      <c r="Z1588" s="78"/>
    </row>
    <row r="1589">
      <c r="A1589" s="78">
        <v>643.0</v>
      </c>
      <c r="B1589" s="78"/>
      <c r="C1589" s="138"/>
      <c r="D1589" s="78"/>
      <c r="E1589" s="139" t="str">
        <f t="array" ref="E1589">IF(
UPPER(TRIM(CLEAN($O1589)))="ENTREGADO",
IFERROR(
INDEX(REPORTE_DROPI!Y:Y,
MATCH($T1589, REPORTE_DROPI!B:B, 0)
),
""
),
""
)
</f>
        <v/>
      </c>
      <c r="F1589" s="78"/>
      <c r="G1589" s="78"/>
      <c r="H1589" s="78"/>
      <c r="I1589" s="78"/>
      <c r="J1589" s="78"/>
      <c r="K1589" s="78"/>
      <c r="L1589" s="78"/>
      <c r="M1589" s="78"/>
      <c r="N1589" s="78"/>
      <c r="O1589" s="78"/>
      <c r="P1589" s="78"/>
      <c r="Q1589" s="78"/>
      <c r="R1589" s="78"/>
      <c r="S1589" s="78"/>
      <c r="T1589" s="78"/>
      <c r="U1589" s="78"/>
      <c r="V1589" s="78"/>
      <c r="W1589" s="78"/>
      <c r="X1589" s="78"/>
      <c r="Y1589" s="78"/>
      <c r="Z1589" s="78"/>
    </row>
    <row r="1590">
      <c r="A1590" s="78">
        <v>644.0</v>
      </c>
      <c r="B1590" s="78"/>
      <c r="C1590" s="138"/>
      <c r="D1590" s="78"/>
      <c r="E1590" s="139" t="str">
        <f t="array" ref="E1590">IF(
UPPER(TRIM(CLEAN($O1590)))="ENTREGADO",
IFERROR(
INDEX(REPORTE_DROPI!Y:Y,
MATCH($T1590, REPORTE_DROPI!B:B, 0)
),
""
),
""
)
</f>
        <v/>
      </c>
      <c r="F1590" s="78"/>
      <c r="G1590" s="78"/>
      <c r="H1590" s="78"/>
      <c r="I1590" s="78"/>
      <c r="J1590" s="78"/>
      <c r="K1590" s="78"/>
      <c r="L1590" s="78"/>
      <c r="M1590" s="78"/>
      <c r="N1590" s="78"/>
      <c r="O1590" s="78"/>
      <c r="P1590" s="78"/>
      <c r="Q1590" s="78"/>
      <c r="R1590" s="78"/>
      <c r="S1590" s="78"/>
      <c r="T1590" s="78"/>
      <c r="U1590" s="78"/>
      <c r="V1590" s="78"/>
      <c r="W1590" s="78"/>
      <c r="X1590" s="78"/>
      <c r="Y1590" s="78"/>
      <c r="Z1590" s="78"/>
    </row>
    <row r="1591">
      <c r="A1591" s="78">
        <v>645.0</v>
      </c>
      <c r="B1591" s="78"/>
      <c r="C1591" s="138"/>
      <c r="D1591" s="78"/>
      <c r="E1591" s="139" t="str">
        <f t="array" ref="E1591">IF(
UPPER(TRIM(CLEAN($O1591)))="ENTREGADO",
IFERROR(
INDEX(REPORTE_DROPI!Y:Y,
MATCH($T1591, REPORTE_DROPI!B:B, 0)
),
""
),
""
)
</f>
        <v/>
      </c>
      <c r="F1591" s="78"/>
      <c r="G1591" s="78"/>
      <c r="H1591" s="78"/>
      <c r="I1591" s="78"/>
      <c r="J1591" s="78"/>
      <c r="K1591" s="78"/>
      <c r="L1591" s="78"/>
      <c r="M1591" s="78"/>
      <c r="N1591" s="78"/>
      <c r="O1591" s="78"/>
      <c r="P1591" s="78"/>
      <c r="Q1591" s="78"/>
      <c r="R1591" s="78"/>
      <c r="S1591" s="78"/>
      <c r="T1591" s="78"/>
      <c r="U1591" s="78"/>
      <c r="V1591" s="78"/>
      <c r="W1591" s="78"/>
      <c r="X1591" s="78"/>
      <c r="Y1591" s="78"/>
      <c r="Z1591" s="78"/>
    </row>
    <row r="1592">
      <c r="A1592" s="78">
        <v>646.0</v>
      </c>
      <c r="B1592" s="78"/>
      <c r="C1592" s="138"/>
      <c r="D1592" s="78"/>
      <c r="E1592" s="139" t="str">
        <f t="array" ref="E1592">IF(
UPPER(TRIM(CLEAN($O1592)))="ENTREGADO",
IFERROR(
INDEX(REPORTE_DROPI!Y:Y,
MATCH($T1592, REPORTE_DROPI!B:B, 0)
),
""
),
""
)
</f>
        <v/>
      </c>
      <c r="F1592" s="78"/>
      <c r="G1592" s="78"/>
      <c r="H1592" s="78"/>
      <c r="I1592" s="78"/>
      <c r="J1592" s="78"/>
      <c r="K1592" s="78"/>
      <c r="L1592" s="78"/>
      <c r="M1592" s="78"/>
      <c r="N1592" s="78"/>
      <c r="O1592" s="78"/>
      <c r="P1592" s="78"/>
      <c r="Q1592" s="78"/>
      <c r="R1592" s="78"/>
      <c r="S1592" s="78"/>
      <c r="T1592" s="78"/>
      <c r="U1592" s="78"/>
      <c r="V1592" s="78"/>
      <c r="W1592" s="78"/>
      <c r="X1592" s="78"/>
      <c r="Y1592" s="78"/>
      <c r="Z1592" s="78"/>
    </row>
    <row r="1593">
      <c r="A1593" s="78">
        <v>647.0</v>
      </c>
      <c r="B1593" s="78"/>
      <c r="C1593" s="138"/>
      <c r="D1593" s="78"/>
      <c r="E1593" s="139" t="str">
        <f t="array" ref="E1593">IF(
UPPER(TRIM(CLEAN($O1593)))="ENTREGADO",
IFERROR(
INDEX(REPORTE_DROPI!Y:Y,
MATCH($T1593, REPORTE_DROPI!B:B, 0)
),
""
),
""
)
</f>
        <v/>
      </c>
      <c r="F1593" s="78"/>
      <c r="G1593" s="78"/>
      <c r="H1593" s="78"/>
      <c r="I1593" s="78"/>
      <c r="J1593" s="78"/>
      <c r="K1593" s="78"/>
      <c r="L1593" s="78"/>
      <c r="M1593" s="78"/>
      <c r="N1593" s="78"/>
      <c r="O1593" s="78"/>
      <c r="P1593" s="78"/>
      <c r="Q1593" s="78"/>
      <c r="R1593" s="78"/>
      <c r="S1593" s="78"/>
      <c r="T1593" s="78"/>
      <c r="U1593" s="78"/>
      <c r="V1593" s="78"/>
      <c r="W1593" s="78"/>
      <c r="X1593" s="78"/>
      <c r="Y1593" s="78"/>
      <c r="Z1593" s="78"/>
    </row>
    <row r="1594">
      <c r="A1594" s="78">
        <v>648.0</v>
      </c>
      <c r="B1594" s="78"/>
      <c r="C1594" s="138"/>
      <c r="D1594" s="78"/>
      <c r="E1594" s="139" t="str">
        <f t="array" ref="E1594">IF(
UPPER(TRIM(CLEAN($O1594)))="ENTREGADO",
IFERROR(
INDEX(REPORTE_DROPI!Y:Y,
MATCH($T1594, REPORTE_DROPI!B:B, 0)
),
""
),
""
)
</f>
        <v/>
      </c>
      <c r="F1594" s="78"/>
      <c r="G1594" s="78"/>
      <c r="H1594" s="78"/>
      <c r="I1594" s="78"/>
      <c r="J1594" s="78"/>
      <c r="K1594" s="78"/>
      <c r="L1594" s="78"/>
      <c r="M1594" s="78"/>
      <c r="N1594" s="78"/>
      <c r="O1594" s="78"/>
      <c r="P1594" s="78"/>
      <c r="Q1594" s="78"/>
      <c r="R1594" s="78"/>
      <c r="S1594" s="78"/>
      <c r="T1594" s="78"/>
      <c r="U1594" s="78"/>
      <c r="V1594" s="78"/>
      <c r="W1594" s="78"/>
      <c r="X1594" s="78"/>
      <c r="Y1594" s="78"/>
      <c r="Z1594" s="78"/>
    </row>
    <row r="1595">
      <c r="A1595" s="78">
        <v>649.0</v>
      </c>
      <c r="B1595" s="78"/>
      <c r="C1595" s="138"/>
      <c r="D1595" s="78"/>
      <c r="E1595" s="139" t="str">
        <f t="array" ref="E1595">IF(
UPPER(TRIM(CLEAN($O1595)))="ENTREGADO",
IFERROR(
INDEX(REPORTE_DROPI!Y:Y,
MATCH($T1595, REPORTE_DROPI!B:B, 0)
),
""
),
""
)
</f>
        <v/>
      </c>
      <c r="F1595" s="78"/>
      <c r="G1595" s="78"/>
      <c r="H1595" s="78"/>
      <c r="I1595" s="78"/>
      <c r="J1595" s="78"/>
      <c r="K1595" s="78"/>
      <c r="L1595" s="78"/>
      <c r="M1595" s="78"/>
      <c r="N1595" s="78"/>
      <c r="O1595" s="78"/>
      <c r="P1595" s="78"/>
      <c r="Q1595" s="78"/>
      <c r="R1595" s="78"/>
      <c r="S1595" s="78"/>
      <c r="T1595" s="78"/>
      <c r="U1595" s="78"/>
      <c r="V1595" s="78"/>
      <c r="W1595" s="78"/>
      <c r="X1595" s="78"/>
      <c r="Y1595" s="78"/>
      <c r="Z1595" s="78"/>
    </row>
    <row r="1596">
      <c r="A1596" s="78">
        <v>650.0</v>
      </c>
      <c r="B1596" s="78"/>
      <c r="C1596" s="138"/>
      <c r="D1596" s="78"/>
      <c r="E1596" s="139" t="str">
        <f t="array" ref="E1596">IF(
UPPER(TRIM(CLEAN($O1596)))="ENTREGADO",
IFERROR(
INDEX(REPORTE_DROPI!Y:Y,
MATCH($T1596, REPORTE_DROPI!B:B, 0)
),
""
),
""
)
</f>
        <v/>
      </c>
      <c r="F1596" s="78"/>
      <c r="G1596" s="78"/>
      <c r="H1596" s="78"/>
      <c r="I1596" s="78"/>
      <c r="J1596" s="78"/>
      <c r="K1596" s="78"/>
      <c r="L1596" s="78"/>
      <c r="M1596" s="78"/>
      <c r="N1596" s="78"/>
      <c r="O1596" s="78"/>
      <c r="P1596" s="78"/>
      <c r="Q1596" s="78"/>
      <c r="R1596" s="78"/>
      <c r="S1596" s="78"/>
      <c r="T1596" s="78"/>
      <c r="U1596" s="78"/>
      <c r="V1596" s="78"/>
      <c r="W1596" s="78"/>
      <c r="X1596" s="78"/>
      <c r="Y1596" s="78"/>
      <c r="Z1596" s="78"/>
    </row>
    <row r="1597">
      <c r="A1597" s="78">
        <v>651.0</v>
      </c>
      <c r="B1597" s="78"/>
      <c r="C1597" s="138"/>
      <c r="D1597" s="78"/>
      <c r="E1597" s="139" t="str">
        <f t="array" ref="E1597">IF(
UPPER(TRIM(CLEAN($O1597)))="ENTREGADO",
IFERROR(
INDEX(REPORTE_DROPI!Y:Y,
MATCH($T1597, REPORTE_DROPI!B:B, 0)
),
""
),
""
)
</f>
        <v/>
      </c>
      <c r="F1597" s="78"/>
      <c r="G1597" s="78"/>
      <c r="H1597" s="78"/>
      <c r="I1597" s="78"/>
      <c r="J1597" s="78"/>
      <c r="K1597" s="78"/>
      <c r="L1597" s="78"/>
      <c r="M1597" s="78"/>
      <c r="N1597" s="78"/>
      <c r="O1597" s="78"/>
      <c r="P1597" s="78"/>
      <c r="Q1597" s="78"/>
      <c r="R1597" s="78"/>
      <c r="S1597" s="78"/>
      <c r="T1597" s="78"/>
      <c r="U1597" s="78"/>
      <c r="V1597" s="78"/>
      <c r="W1597" s="78"/>
      <c r="X1597" s="78"/>
      <c r="Y1597" s="78"/>
      <c r="Z1597" s="78"/>
    </row>
    <row r="1598">
      <c r="A1598" s="78">
        <v>652.0</v>
      </c>
      <c r="B1598" s="78"/>
      <c r="C1598" s="138"/>
      <c r="D1598" s="78"/>
      <c r="E1598" s="139" t="str">
        <f t="array" ref="E1598">IF(
UPPER(TRIM(CLEAN($O1598)))="ENTREGADO",
IFERROR(
INDEX(REPORTE_DROPI!Y:Y,
MATCH($T1598, REPORTE_DROPI!B:B, 0)
),
""
),
""
)
</f>
        <v/>
      </c>
      <c r="F1598" s="78"/>
      <c r="G1598" s="78"/>
      <c r="H1598" s="78"/>
      <c r="I1598" s="78"/>
      <c r="J1598" s="78"/>
      <c r="K1598" s="78"/>
      <c r="L1598" s="78"/>
      <c r="M1598" s="78"/>
      <c r="N1598" s="78"/>
      <c r="O1598" s="78"/>
      <c r="P1598" s="78"/>
      <c r="Q1598" s="78"/>
      <c r="R1598" s="78"/>
      <c r="S1598" s="78"/>
      <c r="T1598" s="78"/>
      <c r="U1598" s="78"/>
      <c r="V1598" s="78"/>
      <c r="W1598" s="78"/>
      <c r="X1598" s="78"/>
      <c r="Y1598" s="78"/>
      <c r="Z1598" s="78"/>
    </row>
    <row r="1599">
      <c r="A1599" s="78">
        <v>653.0</v>
      </c>
      <c r="B1599" s="78"/>
      <c r="C1599" s="138"/>
      <c r="D1599" s="78"/>
      <c r="E1599" s="139" t="str">
        <f t="array" ref="E1599">IF(
UPPER(TRIM(CLEAN($O1599)))="ENTREGADO",
IFERROR(
INDEX(REPORTE_DROPI!Y:Y,
MATCH($T1599, REPORTE_DROPI!B:B, 0)
),
""
),
""
)
</f>
        <v/>
      </c>
      <c r="F1599" s="78"/>
      <c r="G1599" s="78"/>
      <c r="H1599" s="78"/>
      <c r="I1599" s="78"/>
      <c r="J1599" s="78"/>
      <c r="K1599" s="78"/>
      <c r="L1599" s="78"/>
      <c r="M1599" s="78"/>
      <c r="N1599" s="78"/>
      <c r="O1599" s="78"/>
      <c r="P1599" s="78"/>
      <c r="Q1599" s="78"/>
      <c r="R1599" s="78"/>
      <c r="S1599" s="78"/>
      <c r="T1599" s="78"/>
      <c r="U1599" s="78"/>
      <c r="V1599" s="78"/>
      <c r="W1599" s="78"/>
      <c r="X1599" s="78"/>
      <c r="Y1599" s="78"/>
      <c r="Z1599" s="78"/>
    </row>
    <row r="1600">
      <c r="A1600" s="78">
        <v>654.0</v>
      </c>
      <c r="B1600" s="78"/>
      <c r="C1600" s="138"/>
      <c r="D1600" s="78"/>
      <c r="E1600" s="139" t="str">
        <f t="array" ref="E1600">IF(
UPPER(TRIM(CLEAN($O1600)))="ENTREGADO",
IFERROR(
INDEX(REPORTE_DROPI!Y:Y,
MATCH($T1600, REPORTE_DROPI!B:B, 0)
),
""
),
""
)
</f>
        <v/>
      </c>
      <c r="F1600" s="78"/>
      <c r="G1600" s="78"/>
      <c r="H1600" s="78"/>
      <c r="I1600" s="78"/>
      <c r="J1600" s="78"/>
      <c r="K1600" s="78"/>
      <c r="L1600" s="78"/>
      <c r="M1600" s="78"/>
      <c r="N1600" s="78"/>
      <c r="O1600" s="78"/>
      <c r="P1600" s="78"/>
      <c r="Q1600" s="78"/>
      <c r="R1600" s="78"/>
      <c r="S1600" s="78"/>
      <c r="T1600" s="78"/>
      <c r="U1600" s="78"/>
      <c r="V1600" s="78"/>
      <c r="W1600" s="78"/>
      <c r="X1600" s="78"/>
      <c r="Y1600" s="78"/>
      <c r="Z1600" s="78"/>
    </row>
    <row r="1601">
      <c r="A1601" s="78">
        <v>655.0</v>
      </c>
      <c r="B1601" s="78"/>
      <c r="C1601" s="138"/>
      <c r="D1601" s="78"/>
      <c r="E1601" s="139" t="str">
        <f t="array" ref="E1601">IF(
UPPER(TRIM(CLEAN($O1601)))="ENTREGADO",
IFERROR(
INDEX(REPORTE_DROPI!Y:Y,
MATCH($T1601, REPORTE_DROPI!B:B, 0)
),
""
),
""
)
</f>
        <v/>
      </c>
      <c r="F1601" s="78"/>
      <c r="G1601" s="78"/>
      <c r="H1601" s="78"/>
      <c r="I1601" s="78"/>
      <c r="J1601" s="78"/>
      <c r="K1601" s="78"/>
      <c r="L1601" s="78"/>
      <c r="M1601" s="78"/>
      <c r="N1601" s="78"/>
      <c r="O1601" s="78"/>
      <c r="P1601" s="78"/>
      <c r="Q1601" s="78"/>
      <c r="R1601" s="78"/>
      <c r="S1601" s="78"/>
      <c r="T1601" s="78"/>
      <c r="U1601" s="78"/>
      <c r="V1601" s="78"/>
      <c r="W1601" s="78"/>
      <c r="X1601" s="78"/>
      <c r="Y1601" s="78"/>
      <c r="Z1601" s="78"/>
    </row>
    <row r="1602">
      <c r="A1602" s="78">
        <v>656.0</v>
      </c>
      <c r="B1602" s="78"/>
      <c r="C1602" s="138"/>
      <c r="D1602" s="78"/>
      <c r="E1602" s="139" t="str">
        <f t="array" ref="E1602">IF(
UPPER(TRIM(CLEAN($O1602)))="ENTREGADO",
IFERROR(
INDEX(REPORTE_DROPI!Y:Y,
MATCH($T1602, REPORTE_DROPI!B:B, 0)
),
""
),
""
)
</f>
        <v/>
      </c>
      <c r="F1602" s="78"/>
      <c r="G1602" s="78"/>
      <c r="H1602" s="78"/>
      <c r="I1602" s="78"/>
      <c r="J1602" s="78"/>
      <c r="K1602" s="78"/>
      <c r="L1602" s="78"/>
      <c r="M1602" s="78"/>
      <c r="N1602" s="78"/>
      <c r="O1602" s="78"/>
      <c r="P1602" s="78"/>
      <c r="Q1602" s="78"/>
      <c r="R1602" s="78"/>
      <c r="S1602" s="78"/>
      <c r="T1602" s="78"/>
      <c r="U1602" s="78"/>
      <c r="V1602" s="78"/>
      <c r="W1602" s="78"/>
      <c r="X1602" s="78"/>
      <c r="Y1602" s="78"/>
      <c r="Z1602" s="78"/>
    </row>
    <row r="1603">
      <c r="A1603" s="78">
        <v>657.0</v>
      </c>
      <c r="B1603" s="78"/>
      <c r="C1603" s="138"/>
      <c r="D1603" s="78"/>
      <c r="E1603" s="139" t="str">
        <f t="array" ref="E1603">IF(
UPPER(TRIM(CLEAN($O1603)))="ENTREGADO",
IFERROR(
INDEX(REPORTE_DROPI!Y:Y,
MATCH($T1603, REPORTE_DROPI!B:B, 0)
),
""
),
""
)
</f>
        <v/>
      </c>
      <c r="F1603" s="78"/>
      <c r="G1603" s="78"/>
      <c r="H1603" s="78"/>
      <c r="I1603" s="78"/>
      <c r="J1603" s="78"/>
      <c r="K1603" s="78"/>
      <c r="L1603" s="78"/>
      <c r="M1603" s="78"/>
      <c r="N1603" s="78"/>
      <c r="O1603" s="78"/>
      <c r="P1603" s="78"/>
      <c r="Q1603" s="78"/>
      <c r="R1603" s="78"/>
      <c r="S1603" s="78"/>
      <c r="T1603" s="78"/>
      <c r="U1603" s="78"/>
      <c r="V1603" s="78"/>
      <c r="W1603" s="78"/>
      <c r="X1603" s="78"/>
      <c r="Y1603" s="78"/>
      <c r="Z1603" s="78"/>
    </row>
    <row r="1604">
      <c r="A1604" s="78">
        <v>658.0</v>
      </c>
      <c r="B1604" s="78"/>
      <c r="C1604" s="138"/>
      <c r="D1604" s="78"/>
      <c r="E1604" s="139" t="str">
        <f t="array" ref="E1604">IF(
UPPER(TRIM(CLEAN($O1604)))="ENTREGADO",
IFERROR(
INDEX(REPORTE_DROPI!Y:Y,
MATCH($T1604, REPORTE_DROPI!B:B, 0)
),
""
),
""
)
</f>
        <v/>
      </c>
      <c r="F1604" s="78"/>
      <c r="G1604" s="78"/>
      <c r="H1604" s="78"/>
      <c r="I1604" s="78"/>
      <c r="J1604" s="78"/>
      <c r="K1604" s="78"/>
      <c r="L1604" s="78"/>
      <c r="M1604" s="78"/>
      <c r="N1604" s="78"/>
      <c r="O1604" s="78"/>
      <c r="P1604" s="78"/>
      <c r="Q1604" s="78"/>
      <c r="R1604" s="78"/>
      <c r="S1604" s="78"/>
      <c r="T1604" s="78"/>
      <c r="U1604" s="78"/>
      <c r="V1604" s="78"/>
      <c r="W1604" s="78"/>
      <c r="X1604" s="78"/>
      <c r="Y1604" s="78"/>
      <c r="Z1604" s="78"/>
    </row>
    <row r="1605">
      <c r="A1605" s="78">
        <v>659.0</v>
      </c>
      <c r="B1605" s="78"/>
      <c r="C1605" s="138"/>
      <c r="D1605" s="78"/>
      <c r="E1605" s="139" t="str">
        <f t="array" ref="E1605">IF(
UPPER(TRIM(CLEAN($O1605)))="ENTREGADO",
IFERROR(
INDEX(REPORTE_DROPI!Y:Y,
MATCH($T1605, REPORTE_DROPI!B:B, 0)
),
""
),
""
)
</f>
        <v/>
      </c>
      <c r="F1605" s="78"/>
      <c r="G1605" s="78"/>
      <c r="H1605" s="78"/>
      <c r="I1605" s="78"/>
      <c r="J1605" s="78"/>
      <c r="K1605" s="78"/>
      <c r="L1605" s="78"/>
      <c r="M1605" s="78"/>
      <c r="N1605" s="78"/>
      <c r="O1605" s="78"/>
      <c r="P1605" s="78"/>
      <c r="Q1605" s="78"/>
      <c r="R1605" s="78"/>
      <c r="S1605" s="78"/>
      <c r="T1605" s="78"/>
      <c r="U1605" s="78"/>
      <c r="V1605" s="78"/>
      <c r="W1605" s="78"/>
      <c r="X1605" s="78"/>
      <c r="Y1605" s="78"/>
      <c r="Z1605" s="78"/>
    </row>
    <row r="1606">
      <c r="A1606" s="78">
        <v>660.0</v>
      </c>
      <c r="B1606" s="78"/>
      <c r="C1606" s="138"/>
      <c r="D1606" s="78"/>
      <c r="E1606" s="139" t="str">
        <f t="array" ref="E1606">IF(
UPPER(TRIM(CLEAN($O1606)))="ENTREGADO",
IFERROR(
INDEX(REPORTE_DROPI!Y:Y,
MATCH($T1606, REPORTE_DROPI!B:B, 0)
),
""
),
""
)
</f>
        <v/>
      </c>
      <c r="F1606" s="78"/>
      <c r="G1606" s="78"/>
      <c r="H1606" s="78"/>
      <c r="I1606" s="78"/>
      <c r="J1606" s="78"/>
      <c r="K1606" s="78"/>
      <c r="L1606" s="78"/>
      <c r="M1606" s="78"/>
      <c r="N1606" s="78"/>
      <c r="O1606" s="78"/>
      <c r="P1606" s="78"/>
      <c r="Q1606" s="78"/>
      <c r="R1606" s="78"/>
      <c r="S1606" s="78"/>
      <c r="T1606" s="78"/>
      <c r="U1606" s="78"/>
      <c r="V1606" s="78"/>
      <c r="W1606" s="78"/>
      <c r="X1606" s="78"/>
      <c r="Y1606" s="78"/>
      <c r="Z1606" s="78"/>
    </row>
    <row r="1607">
      <c r="A1607" s="78">
        <v>661.0</v>
      </c>
      <c r="B1607" s="78"/>
      <c r="C1607" s="138"/>
      <c r="D1607" s="78"/>
      <c r="E1607" s="139" t="str">
        <f t="array" ref="E1607">IF(
UPPER(TRIM(CLEAN($O1607)))="ENTREGADO",
IFERROR(
INDEX(REPORTE_DROPI!Y:Y,
MATCH($T1607, REPORTE_DROPI!B:B, 0)
),
""
),
""
)
</f>
        <v/>
      </c>
      <c r="F1607" s="78"/>
      <c r="G1607" s="78"/>
      <c r="H1607" s="78"/>
      <c r="I1607" s="78"/>
      <c r="J1607" s="78"/>
      <c r="K1607" s="78"/>
      <c r="L1607" s="78"/>
      <c r="M1607" s="78"/>
      <c r="N1607" s="78"/>
      <c r="O1607" s="78"/>
      <c r="P1607" s="78"/>
      <c r="Q1607" s="78"/>
      <c r="R1607" s="78"/>
      <c r="S1607" s="78"/>
      <c r="T1607" s="78"/>
      <c r="U1607" s="78"/>
      <c r="V1607" s="78"/>
      <c r="W1607" s="78"/>
      <c r="X1607" s="78"/>
      <c r="Y1607" s="78"/>
      <c r="Z1607" s="78"/>
    </row>
    <row r="1608">
      <c r="A1608" s="78">
        <v>662.0</v>
      </c>
      <c r="B1608" s="78"/>
      <c r="C1608" s="138"/>
      <c r="D1608" s="78"/>
      <c r="E1608" s="139" t="str">
        <f t="array" ref="E1608">IF(
UPPER(TRIM(CLEAN($O1608)))="ENTREGADO",
IFERROR(
INDEX(REPORTE_DROPI!Y:Y,
MATCH($T1608, REPORTE_DROPI!B:B, 0)
),
""
),
""
)
</f>
        <v/>
      </c>
      <c r="F1608" s="78"/>
      <c r="G1608" s="78"/>
      <c r="H1608" s="78"/>
      <c r="I1608" s="78"/>
      <c r="J1608" s="78"/>
      <c r="K1608" s="78"/>
      <c r="L1608" s="78"/>
      <c r="M1608" s="78"/>
      <c r="N1608" s="78"/>
      <c r="O1608" s="78"/>
      <c r="P1608" s="78"/>
      <c r="Q1608" s="78"/>
      <c r="R1608" s="78"/>
      <c r="S1608" s="78"/>
      <c r="T1608" s="78"/>
      <c r="U1608" s="78"/>
      <c r="V1608" s="78"/>
      <c r="W1608" s="78"/>
      <c r="X1608" s="78"/>
      <c r="Y1608" s="78"/>
      <c r="Z1608" s="78"/>
    </row>
    <row r="1609">
      <c r="A1609" s="78">
        <v>663.0</v>
      </c>
      <c r="B1609" s="78"/>
      <c r="C1609" s="138"/>
      <c r="D1609" s="78"/>
      <c r="E1609" s="139" t="str">
        <f t="array" ref="E1609">IF(
UPPER(TRIM(CLEAN($O1609)))="ENTREGADO",
IFERROR(
INDEX(REPORTE_DROPI!Y:Y,
MATCH($T1609, REPORTE_DROPI!B:B, 0)
),
""
),
""
)
</f>
        <v/>
      </c>
      <c r="F1609" s="78"/>
      <c r="G1609" s="78"/>
      <c r="H1609" s="78"/>
      <c r="I1609" s="78"/>
      <c r="J1609" s="78"/>
      <c r="K1609" s="78"/>
      <c r="L1609" s="78"/>
      <c r="M1609" s="78"/>
      <c r="N1609" s="78"/>
      <c r="O1609" s="78"/>
      <c r="P1609" s="78"/>
      <c r="Q1609" s="78"/>
      <c r="R1609" s="78"/>
      <c r="S1609" s="78"/>
      <c r="T1609" s="78"/>
      <c r="U1609" s="78"/>
      <c r="V1609" s="78"/>
      <c r="W1609" s="78"/>
      <c r="X1609" s="78"/>
      <c r="Y1609" s="78"/>
      <c r="Z1609" s="78"/>
    </row>
    <row r="1610">
      <c r="A1610" s="78">
        <v>664.0</v>
      </c>
      <c r="B1610" s="78"/>
      <c r="C1610" s="138"/>
      <c r="D1610" s="78"/>
      <c r="E1610" s="139" t="str">
        <f t="array" ref="E1610">IF(
UPPER(TRIM(CLEAN($O1610)))="ENTREGADO",
IFERROR(
INDEX(REPORTE_DROPI!Y:Y,
MATCH($T1610, REPORTE_DROPI!B:B, 0)
),
""
),
""
)
</f>
        <v/>
      </c>
      <c r="F1610" s="78"/>
      <c r="G1610" s="78"/>
      <c r="H1610" s="78"/>
      <c r="I1610" s="78"/>
      <c r="J1610" s="78"/>
      <c r="K1610" s="78"/>
      <c r="L1610" s="78"/>
      <c r="M1610" s="78"/>
      <c r="N1610" s="78"/>
      <c r="O1610" s="78"/>
      <c r="P1610" s="78"/>
      <c r="Q1610" s="78"/>
      <c r="R1610" s="78"/>
      <c r="S1610" s="78"/>
      <c r="T1610" s="78"/>
      <c r="U1610" s="78"/>
      <c r="V1610" s="78"/>
      <c r="W1610" s="78"/>
      <c r="X1610" s="78"/>
      <c r="Y1610" s="78"/>
      <c r="Z1610" s="78"/>
    </row>
    <row r="1611">
      <c r="A1611" s="78">
        <v>665.0</v>
      </c>
      <c r="B1611" s="78"/>
      <c r="C1611" s="138"/>
      <c r="D1611" s="78"/>
      <c r="E1611" s="139" t="str">
        <f t="array" ref="E1611">IF(
UPPER(TRIM(CLEAN($O1611)))="ENTREGADO",
IFERROR(
INDEX(REPORTE_DROPI!Y:Y,
MATCH($T1611, REPORTE_DROPI!B:B, 0)
),
""
),
""
)
</f>
        <v/>
      </c>
      <c r="F1611" s="78"/>
      <c r="G1611" s="78"/>
      <c r="H1611" s="78"/>
      <c r="I1611" s="78"/>
      <c r="J1611" s="78"/>
      <c r="K1611" s="78"/>
      <c r="L1611" s="78"/>
      <c r="M1611" s="78"/>
      <c r="N1611" s="78"/>
      <c r="O1611" s="78"/>
      <c r="P1611" s="78"/>
      <c r="Q1611" s="78"/>
      <c r="R1611" s="78"/>
      <c r="S1611" s="78"/>
      <c r="T1611" s="78"/>
      <c r="U1611" s="78"/>
      <c r="V1611" s="78"/>
      <c r="W1611" s="78"/>
      <c r="X1611" s="78"/>
      <c r="Y1611" s="78"/>
      <c r="Z1611" s="78"/>
    </row>
    <row r="1612">
      <c r="A1612" s="78">
        <v>666.0</v>
      </c>
      <c r="B1612" s="78"/>
      <c r="C1612" s="138"/>
      <c r="D1612" s="78"/>
      <c r="E1612" s="139" t="str">
        <f t="array" ref="E1612">IF(
UPPER(TRIM(CLEAN($O1612)))="ENTREGADO",
IFERROR(
INDEX(REPORTE_DROPI!Y:Y,
MATCH($T1612, REPORTE_DROPI!B:B, 0)
),
""
),
""
)
</f>
        <v/>
      </c>
      <c r="F1612" s="78"/>
      <c r="G1612" s="78"/>
      <c r="H1612" s="78"/>
      <c r="I1612" s="78"/>
      <c r="J1612" s="78"/>
      <c r="K1612" s="78"/>
      <c r="L1612" s="78"/>
      <c r="M1612" s="78"/>
      <c r="N1612" s="78"/>
      <c r="O1612" s="78"/>
      <c r="P1612" s="78"/>
      <c r="Q1612" s="78"/>
      <c r="R1612" s="78"/>
      <c r="S1612" s="78"/>
      <c r="T1612" s="78"/>
      <c r="U1612" s="78"/>
      <c r="V1612" s="78"/>
      <c r="W1612" s="78"/>
      <c r="X1612" s="78"/>
      <c r="Y1612" s="78"/>
      <c r="Z1612" s="78"/>
    </row>
    <row r="1613">
      <c r="A1613" s="78">
        <v>667.0</v>
      </c>
      <c r="B1613" s="78"/>
      <c r="C1613" s="138"/>
      <c r="D1613" s="78"/>
      <c r="E1613" s="139" t="str">
        <f t="array" ref="E1613">IF(
UPPER(TRIM(CLEAN($O1613)))="ENTREGADO",
IFERROR(
INDEX(REPORTE_DROPI!Y:Y,
MATCH($T1613, REPORTE_DROPI!B:B, 0)
),
""
),
""
)
</f>
        <v/>
      </c>
      <c r="F1613" s="78"/>
      <c r="G1613" s="78"/>
      <c r="H1613" s="78"/>
      <c r="I1613" s="78"/>
      <c r="J1613" s="78"/>
      <c r="K1613" s="78"/>
      <c r="L1613" s="78"/>
      <c r="M1613" s="78"/>
      <c r="N1613" s="78"/>
      <c r="O1613" s="78"/>
      <c r="P1613" s="78"/>
      <c r="Q1613" s="78"/>
      <c r="R1613" s="78"/>
      <c r="S1613" s="78"/>
      <c r="T1613" s="78"/>
      <c r="U1613" s="78"/>
      <c r="V1613" s="78"/>
      <c r="W1613" s="78"/>
      <c r="X1613" s="78"/>
      <c r="Y1613" s="78"/>
      <c r="Z1613" s="78"/>
    </row>
    <row r="1614">
      <c r="A1614" s="78">
        <v>668.0</v>
      </c>
      <c r="B1614" s="78"/>
      <c r="C1614" s="138"/>
      <c r="D1614" s="78"/>
      <c r="E1614" s="139" t="str">
        <f t="array" ref="E1614">IF(
UPPER(TRIM(CLEAN($O1614)))="ENTREGADO",
IFERROR(
INDEX(REPORTE_DROPI!Y:Y,
MATCH($T1614, REPORTE_DROPI!B:B, 0)
),
""
),
""
)
</f>
        <v/>
      </c>
      <c r="F1614" s="78"/>
      <c r="G1614" s="78"/>
      <c r="H1614" s="78"/>
      <c r="I1614" s="78"/>
      <c r="J1614" s="78"/>
      <c r="K1614" s="78"/>
      <c r="L1614" s="78"/>
      <c r="M1614" s="78"/>
      <c r="N1614" s="78"/>
      <c r="O1614" s="78"/>
      <c r="P1614" s="78"/>
      <c r="Q1614" s="78"/>
      <c r="R1614" s="78"/>
      <c r="S1614" s="78"/>
      <c r="T1614" s="78"/>
      <c r="U1614" s="78"/>
      <c r="V1614" s="78"/>
      <c r="W1614" s="78"/>
      <c r="X1614" s="78"/>
      <c r="Y1614" s="78"/>
      <c r="Z1614" s="78"/>
    </row>
    <row r="1615">
      <c r="A1615" s="78">
        <v>669.0</v>
      </c>
      <c r="B1615" s="78"/>
      <c r="C1615" s="138"/>
      <c r="D1615" s="78"/>
      <c r="E1615" s="139" t="str">
        <f t="array" ref="E1615">IF(
UPPER(TRIM(CLEAN($O1615)))="ENTREGADO",
IFERROR(
INDEX(REPORTE_DROPI!Y:Y,
MATCH($T1615, REPORTE_DROPI!B:B, 0)
),
""
),
""
)
</f>
        <v/>
      </c>
      <c r="F1615" s="78"/>
      <c r="G1615" s="78"/>
      <c r="H1615" s="78"/>
      <c r="I1615" s="78"/>
      <c r="J1615" s="78"/>
      <c r="K1615" s="78"/>
      <c r="L1615" s="78"/>
      <c r="M1615" s="78"/>
      <c r="N1615" s="78"/>
      <c r="O1615" s="78"/>
      <c r="P1615" s="78"/>
      <c r="Q1615" s="78"/>
      <c r="R1615" s="78"/>
      <c r="S1615" s="78"/>
      <c r="T1615" s="78"/>
      <c r="U1615" s="78"/>
      <c r="V1615" s="78"/>
      <c r="W1615" s="78"/>
      <c r="X1615" s="78"/>
      <c r="Y1615" s="78"/>
      <c r="Z1615" s="78"/>
    </row>
    <row r="1616">
      <c r="A1616" s="78">
        <v>670.0</v>
      </c>
      <c r="B1616" s="78"/>
      <c r="C1616" s="138"/>
      <c r="D1616" s="78"/>
      <c r="E1616" s="139" t="str">
        <f t="array" ref="E1616">IF(
UPPER(TRIM(CLEAN($O1616)))="ENTREGADO",
IFERROR(
INDEX(REPORTE_DROPI!Y:Y,
MATCH($T1616, REPORTE_DROPI!B:B, 0)
),
""
),
""
)
</f>
        <v/>
      </c>
      <c r="F1616" s="78"/>
      <c r="G1616" s="78"/>
      <c r="H1616" s="78"/>
      <c r="I1616" s="78"/>
      <c r="J1616" s="78"/>
      <c r="K1616" s="78"/>
      <c r="L1616" s="78"/>
      <c r="M1616" s="78"/>
      <c r="N1616" s="78"/>
      <c r="O1616" s="78"/>
      <c r="P1616" s="78"/>
      <c r="Q1616" s="78"/>
      <c r="R1616" s="78"/>
      <c r="S1616" s="78"/>
      <c r="T1616" s="78"/>
      <c r="U1616" s="78"/>
      <c r="V1616" s="78"/>
      <c r="W1616" s="78"/>
      <c r="X1616" s="78"/>
      <c r="Y1616" s="78"/>
      <c r="Z1616" s="78"/>
    </row>
    <row r="1617">
      <c r="A1617" s="78">
        <v>671.0</v>
      </c>
      <c r="B1617" s="78"/>
      <c r="C1617" s="138"/>
      <c r="D1617" s="78"/>
      <c r="E1617" s="139" t="str">
        <f t="array" ref="E1617">IF(
UPPER(TRIM(CLEAN($O1617)))="ENTREGADO",
IFERROR(
INDEX(REPORTE_DROPI!Y:Y,
MATCH($T1617, REPORTE_DROPI!B:B, 0)
),
""
),
""
)
</f>
        <v/>
      </c>
      <c r="F1617" s="78"/>
      <c r="G1617" s="78"/>
      <c r="H1617" s="78"/>
      <c r="I1617" s="78"/>
      <c r="J1617" s="78"/>
      <c r="K1617" s="78"/>
      <c r="L1617" s="78"/>
      <c r="M1617" s="78"/>
      <c r="N1617" s="78"/>
      <c r="O1617" s="78"/>
      <c r="P1617" s="78"/>
      <c r="Q1617" s="78"/>
      <c r="R1617" s="78"/>
      <c r="S1617" s="78"/>
      <c r="T1617" s="78"/>
      <c r="U1617" s="78"/>
      <c r="V1617" s="78"/>
      <c r="W1617" s="78"/>
      <c r="X1617" s="78"/>
      <c r="Y1617" s="78"/>
      <c r="Z1617" s="78"/>
    </row>
    <row r="1618">
      <c r="A1618" s="78">
        <v>672.0</v>
      </c>
      <c r="B1618" s="78"/>
      <c r="C1618" s="138"/>
      <c r="D1618" s="78"/>
      <c r="E1618" s="139" t="str">
        <f t="array" ref="E1618">IF(
UPPER(TRIM(CLEAN($O1618)))="ENTREGADO",
IFERROR(
INDEX(REPORTE_DROPI!Y:Y,
MATCH($T1618, REPORTE_DROPI!B:B, 0)
),
""
),
""
)
</f>
        <v/>
      </c>
      <c r="F1618" s="78"/>
      <c r="G1618" s="78"/>
      <c r="H1618" s="78"/>
      <c r="I1618" s="78"/>
      <c r="J1618" s="78"/>
      <c r="K1618" s="78"/>
      <c r="L1618" s="78"/>
      <c r="M1618" s="78"/>
      <c r="N1618" s="78"/>
      <c r="O1618" s="78"/>
      <c r="P1618" s="78"/>
      <c r="Q1618" s="78"/>
      <c r="R1618" s="78"/>
      <c r="S1618" s="78"/>
      <c r="T1618" s="78"/>
      <c r="U1618" s="78"/>
      <c r="V1618" s="78"/>
      <c r="W1618" s="78"/>
      <c r="X1618" s="78"/>
      <c r="Y1618" s="78"/>
      <c r="Z1618" s="78"/>
    </row>
    <row r="1619">
      <c r="A1619" s="78">
        <v>673.0</v>
      </c>
      <c r="B1619" s="78"/>
      <c r="C1619" s="138"/>
      <c r="D1619" s="78"/>
      <c r="E1619" s="139" t="str">
        <f t="array" ref="E1619">IF(
UPPER(TRIM(CLEAN($O1619)))="ENTREGADO",
IFERROR(
INDEX(REPORTE_DROPI!Y:Y,
MATCH($T1619, REPORTE_DROPI!B:B, 0)
),
""
),
""
)
</f>
        <v/>
      </c>
      <c r="F1619" s="78"/>
      <c r="G1619" s="78"/>
      <c r="H1619" s="78"/>
      <c r="I1619" s="78"/>
      <c r="J1619" s="78"/>
      <c r="K1619" s="78"/>
      <c r="L1619" s="78"/>
      <c r="M1619" s="78"/>
      <c r="N1619" s="78"/>
      <c r="O1619" s="78"/>
      <c r="P1619" s="78"/>
      <c r="Q1619" s="78"/>
      <c r="R1619" s="78"/>
      <c r="S1619" s="78"/>
      <c r="T1619" s="78"/>
      <c r="U1619" s="78"/>
      <c r="V1619" s="78"/>
      <c r="W1619" s="78"/>
      <c r="X1619" s="78"/>
      <c r="Y1619" s="78"/>
      <c r="Z1619" s="78"/>
    </row>
    <row r="1620">
      <c r="A1620" s="78">
        <v>674.0</v>
      </c>
      <c r="B1620" s="78"/>
      <c r="C1620" s="138"/>
      <c r="D1620" s="78"/>
      <c r="E1620" s="139" t="str">
        <f t="array" ref="E1620">IF(
UPPER(TRIM(CLEAN($O1620)))="ENTREGADO",
IFERROR(
INDEX(REPORTE_DROPI!Y:Y,
MATCH($T1620, REPORTE_DROPI!B:B, 0)
),
""
),
""
)
</f>
        <v/>
      </c>
      <c r="F1620" s="78"/>
      <c r="G1620" s="78"/>
      <c r="H1620" s="78"/>
      <c r="I1620" s="78"/>
      <c r="J1620" s="78"/>
      <c r="K1620" s="78"/>
      <c r="L1620" s="78"/>
      <c r="M1620" s="78"/>
      <c r="N1620" s="78"/>
      <c r="O1620" s="78"/>
      <c r="P1620" s="78"/>
      <c r="Q1620" s="78"/>
      <c r="R1620" s="78"/>
      <c r="S1620" s="78"/>
      <c r="T1620" s="78"/>
      <c r="U1620" s="78"/>
      <c r="V1620" s="78"/>
      <c r="W1620" s="78"/>
      <c r="X1620" s="78"/>
      <c r="Y1620" s="78"/>
      <c r="Z1620" s="78"/>
    </row>
    <row r="1621">
      <c r="A1621" s="78">
        <v>675.0</v>
      </c>
      <c r="B1621" s="78"/>
      <c r="C1621" s="138"/>
      <c r="D1621" s="78"/>
      <c r="E1621" s="139" t="str">
        <f t="array" ref="E1621">IF(
UPPER(TRIM(CLEAN($O1621)))="ENTREGADO",
IFERROR(
INDEX(REPORTE_DROPI!Y:Y,
MATCH($T1621, REPORTE_DROPI!B:B, 0)
),
""
),
""
)
</f>
        <v/>
      </c>
      <c r="F1621" s="78"/>
      <c r="G1621" s="78"/>
      <c r="H1621" s="78"/>
      <c r="I1621" s="78"/>
      <c r="J1621" s="78"/>
      <c r="K1621" s="78"/>
      <c r="L1621" s="78"/>
      <c r="M1621" s="78"/>
      <c r="N1621" s="78"/>
      <c r="O1621" s="78"/>
      <c r="P1621" s="78"/>
      <c r="Q1621" s="78"/>
      <c r="R1621" s="78"/>
      <c r="S1621" s="78"/>
      <c r="T1621" s="78"/>
      <c r="U1621" s="78"/>
      <c r="V1621" s="78"/>
      <c r="W1621" s="78"/>
      <c r="X1621" s="78"/>
      <c r="Y1621" s="78"/>
      <c r="Z1621" s="78"/>
    </row>
    <row r="1622">
      <c r="A1622" s="78">
        <v>676.0</v>
      </c>
      <c r="B1622" s="78"/>
      <c r="C1622" s="138"/>
      <c r="D1622" s="78"/>
      <c r="E1622" s="139" t="str">
        <f t="array" ref="E1622">IF(
UPPER(TRIM(CLEAN($O1622)))="ENTREGADO",
IFERROR(
INDEX(REPORTE_DROPI!Y:Y,
MATCH($T1622, REPORTE_DROPI!B:B, 0)
),
""
),
""
)
</f>
        <v/>
      </c>
      <c r="F1622" s="78"/>
      <c r="G1622" s="78"/>
      <c r="H1622" s="78"/>
      <c r="I1622" s="78"/>
      <c r="J1622" s="78"/>
      <c r="K1622" s="78"/>
      <c r="L1622" s="78"/>
      <c r="M1622" s="78"/>
      <c r="N1622" s="78"/>
      <c r="O1622" s="78"/>
      <c r="P1622" s="78"/>
      <c r="Q1622" s="78"/>
      <c r="R1622" s="78"/>
      <c r="S1622" s="78"/>
      <c r="T1622" s="78"/>
      <c r="U1622" s="78"/>
      <c r="V1622" s="78"/>
      <c r="W1622" s="78"/>
      <c r="X1622" s="78"/>
      <c r="Y1622" s="78"/>
      <c r="Z1622" s="78"/>
    </row>
    <row r="1623">
      <c r="A1623" s="78">
        <v>677.0</v>
      </c>
      <c r="B1623" s="78"/>
      <c r="C1623" s="138"/>
      <c r="D1623" s="78"/>
      <c r="E1623" s="139" t="str">
        <f t="array" ref="E1623">IF(
UPPER(TRIM(CLEAN($O1623)))="ENTREGADO",
IFERROR(
INDEX(REPORTE_DROPI!Y:Y,
MATCH($T1623, REPORTE_DROPI!B:B, 0)
),
""
),
""
)
</f>
        <v/>
      </c>
      <c r="F1623" s="78"/>
      <c r="G1623" s="78"/>
      <c r="H1623" s="78"/>
      <c r="I1623" s="78"/>
      <c r="J1623" s="78"/>
      <c r="K1623" s="78"/>
      <c r="L1623" s="78"/>
      <c r="M1623" s="78"/>
      <c r="N1623" s="78"/>
      <c r="O1623" s="78"/>
      <c r="P1623" s="78"/>
      <c r="Q1623" s="78"/>
      <c r="R1623" s="78"/>
      <c r="S1623" s="78"/>
      <c r="T1623" s="78"/>
      <c r="U1623" s="78"/>
      <c r="V1623" s="78"/>
      <c r="W1623" s="78"/>
      <c r="X1623" s="78"/>
      <c r="Y1623" s="78"/>
      <c r="Z1623" s="78"/>
    </row>
    <row r="1624">
      <c r="A1624" s="78">
        <v>678.0</v>
      </c>
      <c r="B1624" s="78"/>
      <c r="C1624" s="138"/>
      <c r="D1624" s="78"/>
      <c r="E1624" s="139" t="str">
        <f t="array" ref="E1624">IF(
UPPER(TRIM(CLEAN($O1624)))="ENTREGADO",
IFERROR(
INDEX(REPORTE_DROPI!Y:Y,
MATCH($T1624, REPORTE_DROPI!B:B, 0)
),
""
),
""
)
</f>
        <v/>
      </c>
      <c r="F1624" s="78"/>
      <c r="G1624" s="78"/>
      <c r="H1624" s="78"/>
      <c r="I1624" s="78"/>
      <c r="J1624" s="78"/>
      <c r="K1624" s="78"/>
      <c r="L1624" s="78"/>
      <c r="M1624" s="78"/>
      <c r="N1624" s="78"/>
      <c r="O1624" s="78"/>
      <c r="P1624" s="78"/>
      <c r="Q1624" s="78"/>
      <c r="R1624" s="78"/>
      <c r="S1624" s="78"/>
      <c r="T1624" s="78"/>
      <c r="U1624" s="78"/>
      <c r="V1624" s="78"/>
      <c r="W1624" s="78"/>
      <c r="X1624" s="78"/>
      <c r="Y1624" s="78"/>
      <c r="Z1624" s="78"/>
    </row>
    <row r="1625">
      <c r="A1625" s="78">
        <v>679.0</v>
      </c>
      <c r="B1625" s="78"/>
      <c r="C1625" s="138"/>
      <c r="D1625" s="78"/>
      <c r="E1625" s="139" t="str">
        <f t="array" ref="E1625">IF(
UPPER(TRIM(CLEAN($O1625)))="ENTREGADO",
IFERROR(
INDEX(REPORTE_DROPI!Y:Y,
MATCH($T1625, REPORTE_DROPI!B:B, 0)
),
""
),
""
)
</f>
        <v/>
      </c>
      <c r="F1625" s="78"/>
      <c r="G1625" s="78"/>
      <c r="H1625" s="78"/>
      <c r="I1625" s="78"/>
      <c r="J1625" s="78"/>
      <c r="K1625" s="78"/>
      <c r="L1625" s="78"/>
      <c r="M1625" s="78"/>
      <c r="N1625" s="78"/>
      <c r="O1625" s="78"/>
      <c r="P1625" s="78"/>
      <c r="Q1625" s="78"/>
      <c r="R1625" s="78"/>
      <c r="S1625" s="78"/>
      <c r="T1625" s="78"/>
      <c r="U1625" s="78"/>
      <c r="V1625" s="78"/>
      <c r="W1625" s="78"/>
      <c r="X1625" s="78"/>
      <c r="Y1625" s="78"/>
      <c r="Z1625" s="78"/>
    </row>
    <row r="1626">
      <c r="A1626" s="78">
        <v>680.0</v>
      </c>
      <c r="B1626" s="78"/>
      <c r="C1626" s="138"/>
      <c r="D1626" s="78"/>
      <c r="E1626" s="139" t="str">
        <f t="array" ref="E1626">IF(
UPPER(TRIM(CLEAN($O1626)))="ENTREGADO",
IFERROR(
INDEX(REPORTE_DROPI!Y:Y,
MATCH($T1626, REPORTE_DROPI!B:B, 0)
),
""
),
""
)
</f>
        <v/>
      </c>
      <c r="F1626" s="78"/>
      <c r="G1626" s="78"/>
      <c r="H1626" s="78"/>
      <c r="I1626" s="78"/>
      <c r="J1626" s="78"/>
      <c r="K1626" s="78"/>
      <c r="L1626" s="78"/>
      <c r="M1626" s="78"/>
      <c r="N1626" s="78"/>
      <c r="O1626" s="78"/>
      <c r="P1626" s="78"/>
      <c r="Q1626" s="78"/>
      <c r="R1626" s="78"/>
      <c r="S1626" s="78"/>
      <c r="T1626" s="78"/>
      <c r="U1626" s="78"/>
      <c r="V1626" s="78"/>
      <c r="W1626" s="78"/>
      <c r="X1626" s="78"/>
      <c r="Y1626" s="78"/>
      <c r="Z1626" s="78"/>
    </row>
    <row r="1627">
      <c r="A1627" s="78">
        <v>681.0</v>
      </c>
      <c r="B1627" s="78"/>
      <c r="C1627" s="138"/>
      <c r="D1627" s="78"/>
      <c r="E1627" s="139" t="str">
        <f t="array" ref="E1627">IF(
UPPER(TRIM(CLEAN($O1627)))="ENTREGADO",
IFERROR(
INDEX(REPORTE_DROPI!Y:Y,
MATCH($T1627, REPORTE_DROPI!B:B, 0)
),
""
),
""
)
</f>
        <v/>
      </c>
      <c r="F1627" s="78"/>
      <c r="G1627" s="78"/>
      <c r="H1627" s="78"/>
      <c r="I1627" s="78"/>
      <c r="J1627" s="78"/>
      <c r="K1627" s="78"/>
      <c r="L1627" s="78"/>
      <c r="M1627" s="78"/>
      <c r="N1627" s="78"/>
      <c r="O1627" s="78"/>
      <c r="P1627" s="78"/>
      <c r="Q1627" s="78"/>
      <c r="R1627" s="78"/>
      <c r="S1627" s="78"/>
      <c r="T1627" s="78"/>
      <c r="U1627" s="78"/>
      <c r="V1627" s="78"/>
      <c r="W1627" s="78"/>
      <c r="X1627" s="78"/>
      <c r="Y1627" s="78"/>
      <c r="Z1627" s="78"/>
    </row>
    <row r="1628">
      <c r="A1628" s="78">
        <v>682.0</v>
      </c>
      <c r="B1628" s="78"/>
      <c r="C1628" s="138"/>
      <c r="D1628" s="78"/>
      <c r="E1628" s="139" t="str">
        <f t="array" ref="E1628">IF(
UPPER(TRIM(CLEAN($O1628)))="ENTREGADO",
IFERROR(
INDEX(REPORTE_DROPI!Y:Y,
MATCH($T1628, REPORTE_DROPI!B:B, 0)
),
""
),
""
)
</f>
        <v/>
      </c>
      <c r="F1628" s="78"/>
      <c r="G1628" s="78"/>
      <c r="H1628" s="78"/>
      <c r="I1628" s="78"/>
      <c r="J1628" s="78"/>
      <c r="K1628" s="78"/>
      <c r="L1628" s="78"/>
      <c r="M1628" s="78"/>
      <c r="N1628" s="78"/>
      <c r="O1628" s="78"/>
      <c r="P1628" s="78"/>
      <c r="Q1628" s="78"/>
      <c r="R1628" s="78"/>
      <c r="S1628" s="78"/>
      <c r="T1628" s="78"/>
      <c r="U1628" s="78"/>
      <c r="V1628" s="78"/>
      <c r="W1628" s="78"/>
      <c r="X1628" s="78"/>
      <c r="Y1628" s="78"/>
      <c r="Z1628" s="78"/>
    </row>
    <row r="1629">
      <c r="A1629" s="78">
        <v>683.0</v>
      </c>
      <c r="B1629" s="78"/>
      <c r="C1629" s="138"/>
      <c r="D1629" s="78"/>
      <c r="E1629" s="139" t="str">
        <f t="array" ref="E1629">IF(
UPPER(TRIM(CLEAN($O1629)))="ENTREGADO",
IFERROR(
INDEX(REPORTE_DROPI!Y:Y,
MATCH($T1629, REPORTE_DROPI!B:B, 0)
),
""
),
""
)
</f>
        <v/>
      </c>
      <c r="F1629" s="78"/>
      <c r="G1629" s="78"/>
      <c r="H1629" s="78"/>
      <c r="I1629" s="78"/>
      <c r="J1629" s="78"/>
      <c r="K1629" s="78"/>
      <c r="L1629" s="78"/>
      <c r="M1629" s="78"/>
      <c r="N1629" s="78"/>
      <c r="O1629" s="78"/>
      <c r="P1629" s="78"/>
      <c r="Q1629" s="78"/>
      <c r="R1629" s="78"/>
      <c r="S1629" s="78"/>
      <c r="T1629" s="78"/>
      <c r="U1629" s="78"/>
      <c r="V1629" s="78"/>
      <c r="W1629" s="78"/>
      <c r="X1629" s="78"/>
      <c r="Y1629" s="78"/>
      <c r="Z1629" s="78"/>
    </row>
    <row r="1630">
      <c r="A1630" s="78">
        <v>684.0</v>
      </c>
      <c r="B1630" s="78"/>
      <c r="C1630" s="138"/>
      <c r="D1630" s="78"/>
      <c r="E1630" s="139" t="str">
        <f t="array" ref="E1630">IF(
UPPER(TRIM(CLEAN($O1630)))="ENTREGADO",
IFERROR(
INDEX(REPORTE_DROPI!Y:Y,
MATCH($T1630, REPORTE_DROPI!B:B, 0)
),
""
),
""
)
</f>
        <v/>
      </c>
      <c r="F1630" s="78"/>
      <c r="G1630" s="78"/>
      <c r="H1630" s="78"/>
      <c r="I1630" s="78"/>
      <c r="J1630" s="78"/>
      <c r="K1630" s="78"/>
      <c r="L1630" s="78"/>
      <c r="M1630" s="78"/>
      <c r="N1630" s="78"/>
      <c r="O1630" s="78"/>
      <c r="P1630" s="78"/>
      <c r="Q1630" s="78"/>
      <c r="R1630" s="78"/>
      <c r="S1630" s="78"/>
      <c r="T1630" s="78"/>
      <c r="U1630" s="78"/>
      <c r="V1630" s="78"/>
      <c r="W1630" s="78"/>
      <c r="X1630" s="78"/>
      <c r="Y1630" s="78"/>
      <c r="Z1630" s="78"/>
    </row>
    <row r="1631">
      <c r="A1631" s="78">
        <v>685.0</v>
      </c>
      <c r="B1631" s="78"/>
      <c r="C1631" s="138"/>
      <c r="D1631" s="78"/>
      <c r="E1631" s="139" t="str">
        <f t="array" ref="E1631">IF(
UPPER(TRIM(CLEAN($O1631)))="ENTREGADO",
IFERROR(
INDEX(REPORTE_DROPI!Y:Y,
MATCH($T1631, REPORTE_DROPI!B:B, 0)
),
""
),
""
)
</f>
        <v/>
      </c>
      <c r="F1631" s="78"/>
      <c r="G1631" s="78"/>
      <c r="H1631" s="78"/>
      <c r="I1631" s="78"/>
      <c r="J1631" s="78"/>
      <c r="K1631" s="78"/>
      <c r="L1631" s="78"/>
      <c r="M1631" s="78"/>
      <c r="N1631" s="78"/>
      <c r="O1631" s="78"/>
      <c r="P1631" s="78"/>
      <c r="Q1631" s="78"/>
      <c r="R1631" s="78"/>
      <c r="S1631" s="78"/>
      <c r="T1631" s="78"/>
      <c r="U1631" s="78"/>
      <c r="V1631" s="78"/>
      <c r="W1631" s="78"/>
      <c r="X1631" s="78"/>
      <c r="Y1631" s="78"/>
      <c r="Z1631" s="78"/>
    </row>
    <row r="1632">
      <c r="A1632" s="78">
        <v>686.0</v>
      </c>
      <c r="B1632" s="78"/>
      <c r="C1632" s="138"/>
      <c r="D1632" s="78"/>
      <c r="E1632" s="139" t="str">
        <f t="array" ref="E1632">IF(
UPPER(TRIM(CLEAN($O1632)))="ENTREGADO",
IFERROR(
INDEX(REPORTE_DROPI!Y:Y,
MATCH($T1632, REPORTE_DROPI!B:B, 0)
),
""
),
""
)
</f>
        <v/>
      </c>
      <c r="F1632" s="78"/>
      <c r="G1632" s="78"/>
      <c r="H1632" s="78"/>
      <c r="I1632" s="78"/>
      <c r="J1632" s="78"/>
      <c r="K1632" s="78"/>
      <c r="L1632" s="78"/>
      <c r="M1632" s="78"/>
      <c r="N1632" s="78"/>
      <c r="O1632" s="78"/>
      <c r="P1632" s="78"/>
      <c r="Q1632" s="78"/>
      <c r="R1632" s="78"/>
      <c r="S1632" s="78"/>
      <c r="T1632" s="78"/>
      <c r="U1632" s="78"/>
      <c r="V1632" s="78"/>
      <c r="W1632" s="78"/>
      <c r="X1632" s="78"/>
      <c r="Y1632" s="78"/>
      <c r="Z1632" s="78"/>
    </row>
    <row r="1633">
      <c r="A1633" s="78">
        <v>687.0</v>
      </c>
      <c r="B1633" s="78"/>
      <c r="C1633" s="138"/>
      <c r="D1633" s="78"/>
      <c r="E1633" s="139" t="str">
        <f t="array" ref="E1633">IF(
UPPER(TRIM(CLEAN($O1633)))="ENTREGADO",
IFERROR(
INDEX(REPORTE_DROPI!Y:Y,
MATCH($T1633, REPORTE_DROPI!B:B, 0)
),
""
),
""
)
</f>
        <v/>
      </c>
      <c r="F1633" s="78"/>
      <c r="G1633" s="78"/>
      <c r="H1633" s="78"/>
      <c r="I1633" s="78"/>
      <c r="J1633" s="78"/>
      <c r="K1633" s="78"/>
      <c r="L1633" s="78"/>
      <c r="M1633" s="78"/>
      <c r="N1633" s="78"/>
      <c r="O1633" s="78"/>
      <c r="P1633" s="78"/>
      <c r="Q1633" s="78"/>
      <c r="R1633" s="78"/>
      <c r="S1633" s="78"/>
      <c r="T1633" s="78"/>
      <c r="U1633" s="78"/>
      <c r="V1633" s="78"/>
      <c r="W1633" s="78"/>
      <c r="X1633" s="78"/>
      <c r="Y1633" s="78"/>
      <c r="Z1633" s="78"/>
    </row>
    <row r="1634">
      <c r="A1634" s="78">
        <v>688.0</v>
      </c>
      <c r="B1634" s="78"/>
      <c r="C1634" s="138"/>
      <c r="D1634" s="78"/>
      <c r="E1634" s="139" t="str">
        <f t="array" ref="E1634">IF(
UPPER(TRIM(CLEAN($O1634)))="ENTREGADO",
IFERROR(
INDEX(REPORTE_DROPI!Y:Y,
MATCH($T1634, REPORTE_DROPI!B:B, 0)
),
""
),
""
)
</f>
        <v/>
      </c>
      <c r="F1634" s="78"/>
      <c r="G1634" s="78"/>
      <c r="H1634" s="78"/>
      <c r="I1634" s="78"/>
      <c r="J1634" s="78"/>
      <c r="K1634" s="78"/>
      <c r="L1634" s="78"/>
      <c r="M1634" s="78"/>
      <c r="N1634" s="78"/>
      <c r="O1634" s="78"/>
      <c r="P1634" s="78"/>
      <c r="Q1634" s="78"/>
      <c r="R1634" s="78"/>
      <c r="S1634" s="78"/>
      <c r="T1634" s="78"/>
      <c r="U1634" s="78"/>
      <c r="V1634" s="78"/>
      <c r="W1634" s="78"/>
      <c r="X1634" s="78"/>
      <c r="Y1634" s="78"/>
      <c r="Z1634" s="78"/>
    </row>
    <row r="1635">
      <c r="A1635" s="78">
        <v>689.0</v>
      </c>
      <c r="B1635" s="78"/>
      <c r="C1635" s="138"/>
      <c r="D1635" s="78"/>
      <c r="E1635" s="139" t="str">
        <f t="array" ref="E1635">IF(
UPPER(TRIM(CLEAN($O1635)))="ENTREGADO",
IFERROR(
INDEX(REPORTE_DROPI!Y:Y,
MATCH($T1635, REPORTE_DROPI!B:B, 0)
),
""
),
""
)
</f>
        <v/>
      </c>
      <c r="F1635" s="78"/>
      <c r="G1635" s="78"/>
      <c r="H1635" s="78"/>
      <c r="I1635" s="78"/>
      <c r="J1635" s="78"/>
      <c r="K1635" s="78"/>
      <c r="L1635" s="78"/>
      <c r="M1635" s="78"/>
      <c r="N1635" s="78"/>
      <c r="O1635" s="78"/>
      <c r="P1635" s="78"/>
      <c r="Q1635" s="78"/>
      <c r="R1635" s="78"/>
      <c r="S1635" s="78"/>
      <c r="T1635" s="78"/>
      <c r="U1635" s="78"/>
      <c r="V1635" s="78"/>
      <c r="W1635" s="78"/>
      <c r="X1635" s="78"/>
      <c r="Y1635" s="78"/>
      <c r="Z1635" s="78"/>
    </row>
    <row r="1636">
      <c r="A1636" s="78">
        <v>690.0</v>
      </c>
      <c r="B1636" s="78"/>
      <c r="C1636" s="138"/>
      <c r="D1636" s="78"/>
      <c r="E1636" s="139" t="str">
        <f t="array" ref="E1636">IF(
UPPER(TRIM(CLEAN($O1636)))="ENTREGADO",
IFERROR(
INDEX(REPORTE_DROPI!Y:Y,
MATCH($T1636, REPORTE_DROPI!B:B, 0)
),
""
),
""
)
</f>
        <v/>
      </c>
      <c r="F1636" s="78"/>
      <c r="G1636" s="78"/>
      <c r="H1636" s="78"/>
      <c r="I1636" s="78"/>
      <c r="J1636" s="78"/>
      <c r="K1636" s="78"/>
      <c r="L1636" s="78"/>
      <c r="M1636" s="78"/>
      <c r="N1636" s="78"/>
      <c r="O1636" s="78"/>
      <c r="P1636" s="78"/>
      <c r="Q1636" s="78"/>
      <c r="R1636" s="78"/>
      <c r="S1636" s="78"/>
      <c r="T1636" s="78"/>
      <c r="U1636" s="78"/>
      <c r="V1636" s="78"/>
      <c r="W1636" s="78"/>
      <c r="X1636" s="78"/>
      <c r="Y1636" s="78"/>
      <c r="Z1636" s="78"/>
    </row>
    <row r="1637">
      <c r="A1637" s="78">
        <v>691.0</v>
      </c>
      <c r="B1637" s="78"/>
      <c r="C1637" s="138"/>
      <c r="D1637" s="78"/>
      <c r="E1637" s="139" t="str">
        <f t="array" ref="E1637">IF(
UPPER(TRIM(CLEAN($O1637)))="ENTREGADO",
IFERROR(
INDEX(REPORTE_DROPI!Y:Y,
MATCH($T1637, REPORTE_DROPI!B:B, 0)
),
""
),
""
)
</f>
        <v/>
      </c>
      <c r="F1637" s="78"/>
      <c r="G1637" s="78"/>
      <c r="H1637" s="78"/>
      <c r="I1637" s="78"/>
      <c r="J1637" s="78"/>
      <c r="K1637" s="78"/>
      <c r="L1637" s="78"/>
      <c r="M1637" s="78"/>
      <c r="N1637" s="78"/>
      <c r="O1637" s="78"/>
      <c r="P1637" s="78"/>
      <c r="Q1637" s="78"/>
      <c r="R1637" s="78"/>
      <c r="S1637" s="78"/>
      <c r="T1637" s="78"/>
      <c r="U1637" s="78"/>
      <c r="V1637" s="78"/>
      <c r="W1637" s="78"/>
      <c r="X1637" s="78"/>
      <c r="Y1637" s="78"/>
      <c r="Z1637" s="78"/>
    </row>
    <row r="1638">
      <c r="A1638" s="78">
        <v>692.0</v>
      </c>
      <c r="B1638" s="78"/>
      <c r="C1638" s="138"/>
      <c r="D1638" s="78"/>
      <c r="E1638" s="139" t="str">
        <f t="array" ref="E1638">IF(
UPPER(TRIM(CLEAN($O1638)))="ENTREGADO",
IFERROR(
INDEX(REPORTE_DROPI!Y:Y,
MATCH($T1638, REPORTE_DROPI!B:B, 0)
),
""
),
""
)
</f>
        <v/>
      </c>
      <c r="F1638" s="78"/>
      <c r="G1638" s="78"/>
      <c r="H1638" s="78"/>
      <c r="I1638" s="78"/>
      <c r="J1638" s="78"/>
      <c r="K1638" s="78"/>
      <c r="L1638" s="78"/>
      <c r="M1638" s="78"/>
      <c r="N1638" s="78"/>
      <c r="O1638" s="78"/>
      <c r="P1638" s="78"/>
      <c r="Q1638" s="78"/>
      <c r="R1638" s="78"/>
      <c r="S1638" s="78"/>
      <c r="T1638" s="78"/>
      <c r="U1638" s="78"/>
      <c r="V1638" s="78"/>
      <c r="W1638" s="78"/>
      <c r="X1638" s="78"/>
      <c r="Y1638" s="78"/>
      <c r="Z1638" s="78"/>
    </row>
    <row r="1639">
      <c r="A1639" s="78">
        <v>693.0</v>
      </c>
      <c r="B1639" s="78"/>
      <c r="C1639" s="138"/>
      <c r="D1639" s="78"/>
      <c r="E1639" s="139" t="str">
        <f t="array" ref="E1639">IF(
UPPER(TRIM(CLEAN($O1639)))="ENTREGADO",
IFERROR(
INDEX(REPORTE_DROPI!Y:Y,
MATCH($T1639, REPORTE_DROPI!B:B, 0)
),
""
),
""
)
</f>
        <v/>
      </c>
      <c r="F1639" s="78"/>
      <c r="G1639" s="78"/>
      <c r="H1639" s="78"/>
      <c r="I1639" s="78"/>
      <c r="J1639" s="78"/>
      <c r="K1639" s="78"/>
      <c r="L1639" s="78"/>
      <c r="M1639" s="78"/>
      <c r="N1639" s="78"/>
      <c r="O1639" s="78"/>
      <c r="P1639" s="78"/>
      <c r="Q1639" s="78"/>
      <c r="R1639" s="78"/>
      <c r="S1639" s="78"/>
      <c r="T1639" s="78"/>
      <c r="U1639" s="78"/>
      <c r="V1639" s="78"/>
      <c r="W1639" s="78"/>
      <c r="X1639" s="78"/>
      <c r="Y1639" s="78"/>
      <c r="Z1639" s="78"/>
    </row>
    <row r="1640">
      <c r="A1640" s="78">
        <v>694.0</v>
      </c>
      <c r="B1640" s="78"/>
      <c r="C1640" s="138"/>
      <c r="D1640" s="78"/>
      <c r="E1640" s="139" t="str">
        <f t="array" ref="E1640">IF(
UPPER(TRIM(CLEAN($O1640)))="ENTREGADO",
IFERROR(
INDEX(REPORTE_DROPI!Y:Y,
MATCH($T1640, REPORTE_DROPI!B:B, 0)
),
""
),
""
)
</f>
        <v/>
      </c>
      <c r="F1640" s="78"/>
      <c r="G1640" s="78"/>
      <c r="H1640" s="78"/>
      <c r="I1640" s="78"/>
      <c r="J1640" s="78"/>
      <c r="K1640" s="78"/>
      <c r="L1640" s="78"/>
      <c r="M1640" s="78"/>
      <c r="N1640" s="78"/>
      <c r="O1640" s="78"/>
      <c r="P1640" s="78"/>
      <c r="Q1640" s="78"/>
      <c r="R1640" s="78"/>
      <c r="S1640" s="78"/>
      <c r="T1640" s="78"/>
      <c r="U1640" s="78"/>
      <c r="V1640" s="78"/>
      <c r="W1640" s="78"/>
      <c r="X1640" s="78"/>
      <c r="Y1640" s="78"/>
      <c r="Z1640" s="78"/>
    </row>
    <row r="1641">
      <c r="A1641" s="78">
        <v>695.0</v>
      </c>
      <c r="B1641" s="78"/>
      <c r="C1641" s="138"/>
      <c r="D1641" s="78"/>
      <c r="E1641" s="139" t="str">
        <f t="array" ref="E1641">IF(
UPPER(TRIM(CLEAN($O1641)))="ENTREGADO",
IFERROR(
INDEX(REPORTE_DROPI!Y:Y,
MATCH($T1641, REPORTE_DROPI!B:B, 0)
),
""
),
""
)
</f>
        <v/>
      </c>
      <c r="F1641" s="78"/>
      <c r="G1641" s="78"/>
      <c r="H1641" s="78"/>
      <c r="I1641" s="78"/>
      <c r="J1641" s="78"/>
      <c r="K1641" s="78"/>
      <c r="L1641" s="78"/>
      <c r="M1641" s="78"/>
      <c r="N1641" s="78"/>
      <c r="O1641" s="78"/>
      <c r="P1641" s="78"/>
      <c r="Q1641" s="78"/>
      <c r="R1641" s="78"/>
      <c r="S1641" s="78"/>
      <c r="T1641" s="78"/>
      <c r="U1641" s="78"/>
      <c r="V1641" s="78"/>
      <c r="W1641" s="78"/>
      <c r="X1641" s="78"/>
      <c r="Y1641" s="78"/>
      <c r="Z1641" s="78"/>
    </row>
    <row r="1642">
      <c r="A1642" s="78">
        <v>696.0</v>
      </c>
      <c r="B1642" s="78"/>
      <c r="C1642" s="138"/>
      <c r="D1642" s="78"/>
      <c r="E1642" s="139" t="str">
        <f t="array" ref="E1642">IF(
UPPER(TRIM(CLEAN($O1642)))="ENTREGADO",
IFERROR(
INDEX(REPORTE_DROPI!Y:Y,
MATCH($T1642, REPORTE_DROPI!B:B, 0)
),
""
),
""
)
</f>
        <v/>
      </c>
      <c r="F1642" s="78"/>
      <c r="G1642" s="78"/>
      <c r="H1642" s="78"/>
      <c r="I1642" s="78"/>
      <c r="J1642" s="78"/>
      <c r="K1642" s="78"/>
      <c r="L1642" s="78"/>
      <c r="M1642" s="78"/>
      <c r="N1642" s="78"/>
      <c r="O1642" s="78"/>
      <c r="P1642" s="78"/>
      <c r="Q1642" s="78"/>
      <c r="R1642" s="78"/>
      <c r="S1642" s="78"/>
      <c r="T1642" s="78"/>
      <c r="U1642" s="78"/>
      <c r="V1642" s="78"/>
      <c r="W1642" s="78"/>
      <c r="X1642" s="78"/>
      <c r="Y1642" s="78"/>
      <c r="Z1642" s="78"/>
    </row>
    <row r="1643">
      <c r="A1643" s="78">
        <v>697.0</v>
      </c>
      <c r="B1643" s="78"/>
      <c r="C1643" s="138"/>
      <c r="D1643" s="78"/>
      <c r="E1643" s="139" t="str">
        <f t="array" ref="E1643">IF(
UPPER(TRIM(CLEAN($O1643)))="ENTREGADO",
IFERROR(
INDEX(REPORTE_DROPI!Y:Y,
MATCH($T1643, REPORTE_DROPI!B:B, 0)
),
""
),
""
)
</f>
        <v/>
      </c>
      <c r="F1643" s="78"/>
      <c r="G1643" s="78"/>
      <c r="H1643" s="78"/>
      <c r="I1643" s="78"/>
      <c r="J1643" s="78"/>
      <c r="K1643" s="78"/>
      <c r="L1643" s="78"/>
      <c r="M1643" s="78"/>
      <c r="N1643" s="78"/>
      <c r="O1643" s="78"/>
      <c r="P1643" s="78"/>
      <c r="Q1643" s="78"/>
      <c r="R1643" s="78"/>
      <c r="S1643" s="78"/>
      <c r="T1643" s="78"/>
      <c r="U1643" s="78"/>
      <c r="V1643" s="78"/>
      <c r="W1643" s="78"/>
      <c r="X1643" s="78"/>
      <c r="Y1643" s="78"/>
      <c r="Z1643" s="78"/>
    </row>
    <row r="1644">
      <c r="A1644" s="78">
        <v>698.0</v>
      </c>
      <c r="B1644" s="78"/>
      <c r="C1644" s="138"/>
      <c r="D1644" s="78"/>
      <c r="E1644" s="139" t="str">
        <f t="array" ref="E1644">IF(
UPPER(TRIM(CLEAN($O1644)))="ENTREGADO",
IFERROR(
INDEX(REPORTE_DROPI!Y:Y,
MATCH($T1644, REPORTE_DROPI!B:B, 0)
),
""
),
""
)
</f>
        <v/>
      </c>
      <c r="F1644" s="78"/>
      <c r="G1644" s="78"/>
      <c r="H1644" s="78"/>
      <c r="I1644" s="78"/>
      <c r="J1644" s="78"/>
      <c r="K1644" s="78"/>
      <c r="L1644" s="78"/>
      <c r="M1644" s="78"/>
      <c r="N1644" s="78"/>
      <c r="O1644" s="78"/>
      <c r="P1644" s="78"/>
      <c r="Q1644" s="78"/>
      <c r="R1644" s="78"/>
      <c r="S1644" s="78"/>
      <c r="T1644" s="78"/>
      <c r="U1644" s="78"/>
      <c r="V1644" s="78"/>
      <c r="W1644" s="78"/>
      <c r="X1644" s="78"/>
      <c r="Y1644" s="78"/>
      <c r="Z1644" s="78"/>
    </row>
    <row r="1645">
      <c r="A1645" s="78">
        <v>699.0</v>
      </c>
      <c r="B1645" s="78"/>
      <c r="C1645" s="138"/>
      <c r="D1645" s="78"/>
      <c r="E1645" s="139" t="str">
        <f t="array" ref="E1645">IF(
UPPER(TRIM(CLEAN($O1645)))="ENTREGADO",
IFERROR(
INDEX(REPORTE_DROPI!Y:Y,
MATCH($T1645, REPORTE_DROPI!B:B, 0)
),
""
),
""
)
</f>
        <v/>
      </c>
      <c r="F1645" s="78"/>
      <c r="G1645" s="78"/>
      <c r="H1645" s="78"/>
      <c r="I1645" s="78"/>
      <c r="J1645" s="78"/>
      <c r="K1645" s="78"/>
      <c r="L1645" s="78"/>
      <c r="M1645" s="78"/>
      <c r="N1645" s="78"/>
      <c r="O1645" s="78"/>
      <c r="P1645" s="78"/>
      <c r="Q1645" s="78"/>
      <c r="R1645" s="78"/>
      <c r="S1645" s="78"/>
      <c r="T1645" s="78"/>
      <c r="U1645" s="78"/>
      <c r="V1645" s="78"/>
      <c r="W1645" s="78"/>
      <c r="X1645" s="78"/>
      <c r="Y1645" s="78"/>
      <c r="Z1645" s="78"/>
    </row>
    <row r="1646">
      <c r="A1646" s="78">
        <v>700.0</v>
      </c>
      <c r="B1646" s="78"/>
      <c r="C1646" s="138"/>
      <c r="D1646" s="78"/>
      <c r="E1646" s="139" t="str">
        <f t="array" ref="E1646">IF(
UPPER(TRIM(CLEAN($O1646)))="ENTREGADO",
IFERROR(
INDEX(REPORTE_DROPI!Y:Y,
MATCH($T1646, REPORTE_DROPI!B:B, 0)
),
""
),
""
)
</f>
        <v/>
      </c>
      <c r="F1646" s="78"/>
      <c r="G1646" s="78"/>
      <c r="H1646" s="78"/>
      <c r="I1646" s="78"/>
      <c r="J1646" s="78"/>
      <c r="K1646" s="78"/>
      <c r="L1646" s="78"/>
      <c r="M1646" s="78"/>
      <c r="N1646" s="78"/>
      <c r="O1646" s="78"/>
      <c r="P1646" s="78"/>
      <c r="Q1646" s="78"/>
      <c r="R1646" s="78"/>
      <c r="S1646" s="78"/>
      <c r="T1646" s="78"/>
      <c r="U1646" s="78"/>
      <c r="V1646" s="78"/>
      <c r="W1646" s="78"/>
      <c r="X1646" s="78"/>
      <c r="Y1646" s="78"/>
      <c r="Z1646" s="78"/>
    </row>
    <row r="1647">
      <c r="A1647" s="78">
        <v>701.0</v>
      </c>
      <c r="B1647" s="78"/>
      <c r="C1647" s="138"/>
      <c r="D1647" s="78"/>
      <c r="E1647" s="139" t="str">
        <f t="array" ref="E1647">IF(
UPPER(TRIM(CLEAN($O1647)))="ENTREGADO",
IFERROR(
INDEX(REPORTE_DROPI!Y:Y,
MATCH($T1647, REPORTE_DROPI!B:B, 0)
),
""
),
""
)
</f>
        <v/>
      </c>
      <c r="F1647" s="78"/>
      <c r="G1647" s="78"/>
      <c r="H1647" s="78"/>
      <c r="I1647" s="78"/>
      <c r="J1647" s="78"/>
      <c r="K1647" s="78"/>
      <c r="L1647" s="78"/>
      <c r="M1647" s="78"/>
      <c r="N1647" s="78"/>
      <c r="O1647" s="78"/>
      <c r="P1647" s="78"/>
      <c r="Q1647" s="78"/>
      <c r="R1647" s="78"/>
      <c r="S1647" s="78"/>
      <c r="T1647" s="78"/>
      <c r="U1647" s="78"/>
      <c r="V1647" s="78"/>
      <c r="W1647" s="78"/>
      <c r="X1647" s="78"/>
      <c r="Y1647" s="78"/>
      <c r="Z1647" s="78"/>
    </row>
    <row r="1648">
      <c r="A1648" s="78">
        <v>702.0</v>
      </c>
      <c r="B1648" s="78"/>
      <c r="C1648" s="138"/>
      <c r="D1648" s="78"/>
      <c r="E1648" s="139" t="str">
        <f t="array" ref="E1648">IF(
UPPER(TRIM(CLEAN($O1648)))="ENTREGADO",
IFERROR(
INDEX(REPORTE_DROPI!Y:Y,
MATCH($T1648, REPORTE_DROPI!B:B, 0)
),
""
),
""
)
</f>
        <v/>
      </c>
      <c r="F1648" s="78"/>
      <c r="G1648" s="78"/>
      <c r="H1648" s="78"/>
      <c r="I1648" s="78"/>
      <c r="J1648" s="78"/>
      <c r="K1648" s="78"/>
      <c r="L1648" s="78"/>
      <c r="M1648" s="78"/>
      <c r="N1648" s="78"/>
      <c r="O1648" s="78"/>
      <c r="P1648" s="78"/>
      <c r="Q1648" s="78"/>
      <c r="R1648" s="78"/>
      <c r="S1648" s="78"/>
      <c r="T1648" s="78"/>
      <c r="U1648" s="78"/>
      <c r="V1648" s="78"/>
      <c r="W1648" s="78"/>
      <c r="X1648" s="78"/>
      <c r="Y1648" s="78"/>
      <c r="Z1648" s="78"/>
    </row>
    <row r="1649">
      <c r="A1649" s="78">
        <v>703.0</v>
      </c>
      <c r="B1649" s="78"/>
      <c r="C1649" s="138"/>
      <c r="D1649" s="78"/>
      <c r="E1649" s="139" t="str">
        <f t="array" ref="E1649">IF(
UPPER(TRIM(CLEAN($O1649)))="ENTREGADO",
IFERROR(
INDEX(REPORTE_DROPI!Y:Y,
MATCH($T1649, REPORTE_DROPI!B:B, 0)
),
""
),
""
)
</f>
        <v/>
      </c>
      <c r="F1649" s="78"/>
      <c r="G1649" s="78"/>
      <c r="H1649" s="78"/>
      <c r="I1649" s="78"/>
      <c r="J1649" s="78"/>
      <c r="K1649" s="78"/>
      <c r="L1649" s="78"/>
      <c r="M1649" s="78"/>
      <c r="N1649" s="78"/>
      <c r="O1649" s="78"/>
      <c r="P1649" s="78"/>
      <c r="Q1649" s="78"/>
      <c r="R1649" s="78"/>
      <c r="S1649" s="78"/>
      <c r="T1649" s="78"/>
      <c r="U1649" s="78"/>
      <c r="V1649" s="78"/>
      <c r="W1649" s="78"/>
      <c r="X1649" s="78"/>
      <c r="Y1649" s="78"/>
      <c r="Z1649" s="78"/>
    </row>
    <row r="1650">
      <c r="A1650" s="78">
        <v>704.0</v>
      </c>
      <c r="B1650" s="78"/>
      <c r="C1650" s="138"/>
      <c r="D1650" s="78"/>
      <c r="E1650" s="139" t="str">
        <f t="array" ref="E1650">IF(
UPPER(TRIM(CLEAN($O1650)))="ENTREGADO",
IFERROR(
INDEX(REPORTE_DROPI!Y:Y,
MATCH($T1650, REPORTE_DROPI!B:B, 0)
),
""
),
""
)
</f>
        <v/>
      </c>
      <c r="F1650" s="78"/>
      <c r="G1650" s="78"/>
      <c r="H1650" s="78"/>
      <c r="I1650" s="78"/>
      <c r="J1650" s="78"/>
      <c r="K1650" s="78"/>
      <c r="L1650" s="78"/>
      <c r="M1650" s="78"/>
      <c r="N1650" s="78"/>
      <c r="O1650" s="78"/>
      <c r="P1650" s="78"/>
      <c r="Q1650" s="78"/>
      <c r="R1650" s="78"/>
      <c r="S1650" s="78"/>
      <c r="T1650" s="78"/>
      <c r="U1650" s="78"/>
      <c r="V1650" s="78"/>
      <c r="W1650" s="78"/>
      <c r="X1650" s="78"/>
      <c r="Y1650" s="78"/>
      <c r="Z1650" s="78"/>
    </row>
    <row r="1651">
      <c r="A1651" s="78">
        <v>705.0</v>
      </c>
      <c r="B1651" s="78"/>
      <c r="C1651" s="138"/>
      <c r="D1651" s="78"/>
      <c r="E1651" s="139" t="str">
        <f t="array" ref="E1651">IF(
UPPER(TRIM(CLEAN($O1651)))="ENTREGADO",
IFERROR(
INDEX(REPORTE_DROPI!Y:Y,
MATCH($T1651, REPORTE_DROPI!B:B, 0)
),
""
),
""
)
</f>
        <v/>
      </c>
      <c r="F1651" s="78"/>
      <c r="G1651" s="78"/>
      <c r="H1651" s="78"/>
      <c r="I1651" s="78"/>
      <c r="J1651" s="78"/>
      <c r="K1651" s="78"/>
      <c r="L1651" s="78"/>
      <c r="M1651" s="78"/>
      <c r="N1651" s="78"/>
      <c r="O1651" s="78"/>
      <c r="P1651" s="78"/>
      <c r="Q1651" s="78"/>
      <c r="R1651" s="78"/>
      <c r="S1651" s="78"/>
      <c r="T1651" s="78"/>
      <c r="U1651" s="78"/>
      <c r="V1651" s="78"/>
      <c r="W1651" s="78"/>
      <c r="X1651" s="78"/>
      <c r="Y1651" s="78"/>
      <c r="Z1651" s="78"/>
    </row>
    <row r="1652">
      <c r="A1652" s="78">
        <v>706.0</v>
      </c>
      <c r="B1652" s="78"/>
      <c r="C1652" s="138"/>
      <c r="D1652" s="78"/>
      <c r="E1652" s="139" t="str">
        <f t="array" ref="E1652">IF(
UPPER(TRIM(CLEAN($O1652)))="ENTREGADO",
IFERROR(
INDEX(REPORTE_DROPI!Y:Y,
MATCH($T1652, REPORTE_DROPI!B:B, 0)
),
""
),
""
)
</f>
        <v/>
      </c>
      <c r="F1652" s="78"/>
      <c r="G1652" s="78"/>
      <c r="H1652" s="78"/>
      <c r="I1652" s="78"/>
      <c r="J1652" s="78"/>
      <c r="K1652" s="78"/>
      <c r="L1652" s="78"/>
      <c r="M1652" s="78"/>
      <c r="N1652" s="78"/>
      <c r="O1652" s="78"/>
      <c r="P1652" s="78"/>
      <c r="Q1652" s="78"/>
      <c r="R1652" s="78"/>
      <c r="S1652" s="78"/>
      <c r="T1652" s="78"/>
      <c r="U1652" s="78"/>
      <c r="V1652" s="78"/>
      <c r="W1652" s="78"/>
      <c r="X1652" s="78"/>
      <c r="Y1652" s="78"/>
      <c r="Z1652" s="78"/>
    </row>
    <row r="1653">
      <c r="A1653" s="78">
        <v>707.0</v>
      </c>
      <c r="B1653" s="78"/>
      <c r="C1653" s="138"/>
      <c r="D1653" s="78"/>
      <c r="E1653" s="139" t="str">
        <f t="array" ref="E1653">IF(
UPPER(TRIM(CLEAN($O1653)))="ENTREGADO",
IFERROR(
INDEX(REPORTE_DROPI!Y:Y,
MATCH($T1653, REPORTE_DROPI!B:B, 0)
),
""
),
""
)
</f>
        <v/>
      </c>
      <c r="F1653" s="78"/>
      <c r="G1653" s="78"/>
      <c r="H1653" s="78"/>
      <c r="I1653" s="78"/>
      <c r="J1653" s="78"/>
      <c r="K1653" s="78"/>
      <c r="L1653" s="78"/>
      <c r="M1653" s="78"/>
      <c r="N1653" s="78"/>
      <c r="O1653" s="78"/>
      <c r="P1653" s="78"/>
      <c r="Q1653" s="78"/>
      <c r="R1653" s="78"/>
      <c r="S1653" s="78"/>
      <c r="T1653" s="78"/>
      <c r="U1653" s="78"/>
      <c r="V1653" s="78"/>
      <c r="W1653" s="78"/>
      <c r="X1653" s="78"/>
      <c r="Y1653" s="78"/>
      <c r="Z1653" s="78"/>
    </row>
    <row r="1654">
      <c r="A1654" s="78">
        <v>708.0</v>
      </c>
      <c r="B1654" s="78"/>
      <c r="C1654" s="138"/>
      <c r="D1654" s="78"/>
      <c r="E1654" s="139" t="str">
        <f t="array" ref="E1654">IF(
UPPER(TRIM(CLEAN($O1654)))="ENTREGADO",
IFERROR(
INDEX(REPORTE_DROPI!Y:Y,
MATCH($T1654, REPORTE_DROPI!B:B, 0)
),
""
),
""
)
</f>
        <v/>
      </c>
      <c r="F1654" s="78"/>
      <c r="G1654" s="78"/>
      <c r="H1654" s="78"/>
      <c r="I1654" s="78"/>
      <c r="J1654" s="78"/>
      <c r="K1654" s="78"/>
      <c r="L1654" s="78"/>
      <c r="M1654" s="78"/>
      <c r="N1654" s="78"/>
      <c r="O1654" s="78"/>
      <c r="P1654" s="78"/>
      <c r="Q1654" s="78"/>
      <c r="R1654" s="78"/>
      <c r="S1654" s="78"/>
      <c r="T1654" s="78"/>
      <c r="U1654" s="78"/>
      <c r="V1654" s="78"/>
      <c r="W1654" s="78"/>
      <c r="X1654" s="78"/>
      <c r="Y1654" s="78"/>
      <c r="Z1654" s="78"/>
    </row>
    <row r="1655">
      <c r="A1655" s="78">
        <v>709.0</v>
      </c>
      <c r="B1655" s="78"/>
      <c r="C1655" s="138"/>
      <c r="D1655" s="78"/>
      <c r="E1655" s="139" t="str">
        <f t="array" ref="E1655">IF(
UPPER(TRIM(CLEAN($O1655)))="ENTREGADO",
IFERROR(
INDEX(REPORTE_DROPI!Y:Y,
MATCH($T1655, REPORTE_DROPI!B:B, 0)
),
""
),
""
)
</f>
        <v/>
      </c>
      <c r="F1655" s="78"/>
      <c r="G1655" s="78"/>
      <c r="H1655" s="78"/>
      <c r="I1655" s="78"/>
      <c r="J1655" s="78"/>
      <c r="K1655" s="78"/>
      <c r="L1655" s="78"/>
      <c r="M1655" s="78"/>
      <c r="N1655" s="78"/>
      <c r="O1655" s="78"/>
      <c r="P1655" s="78"/>
      <c r="Q1655" s="78"/>
      <c r="R1655" s="78"/>
      <c r="S1655" s="78"/>
      <c r="T1655" s="78"/>
      <c r="U1655" s="78"/>
      <c r="V1655" s="78"/>
      <c r="W1655" s="78"/>
      <c r="X1655" s="78"/>
      <c r="Y1655" s="78"/>
      <c r="Z1655" s="78"/>
    </row>
    <row r="1656">
      <c r="A1656" s="78">
        <v>710.0</v>
      </c>
      <c r="B1656" s="78"/>
      <c r="C1656" s="138"/>
      <c r="D1656" s="78"/>
      <c r="E1656" s="139" t="str">
        <f t="array" ref="E1656">IF(
UPPER(TRIM(CLEAN($O1656)))="ENTREGADO",
IFERROR(
INDEX(REPORTE_DROPI!Y:Y,
MATCH($T1656, REPORTE_DROPI!B:B, 0)
),
""
),
""
)
</f>
        <v/>
      </c>
      <c r="F1656" s="78"/>
      <c r="G1656" s="78"/>
      <c r="H1656" s="78"/>
      <c r="I1656" s="78"/>
      <c r="J1656" s="78"/>
      <c r="K1656" s="78"/>
      <c r="L1656" s="78"/>
      <c r="M1656" s="78"/>
      <c r="N1656" s="78"/>
      <c r="O1656" s="78"/>
      <c r="P1656" s="78"/>
      <c r="Q1656" s="78"/>
      <c r="R1656" s="78"/>
      <c r="S1656" s="78"/>
      <c r="T1656" s="78"/>
      <c r="U1656" s="78"/>
      <c r="V1656" s="78"/>
      <c r="W1656" s="78"/>
      <c r="X1656" s="78"/>
      <c r="Y1656" s="78"/>
      <c r="Z1656" s="78"/>
    </row>
    <row r="1657">
      <c r="A1657" s="78">
        <v>711.0</v>
      </c>
      <c r="B1657" s="78"/>
      <c r="C1657" s="138"/>
      <c r="D1657" s="78"/>
      <c r="E1657" s="139" t="str">
        <f t="array" ref="E1657">IF(
UPPER(TRIM(CLEAN($O1657)))="ENTREGADO",
IFERROR(
INDEX(REPORTE_DROPI!Y:Y,
MATCH($T1657, REPORTE_DROPI!B:B, 0)
),
""
),
""
)
</f>
        <v/>
      </c>
      <c r="F1657" s="78"/>
      <c r="G1657" s="78"/>
      <c r="H1657" s="78"/>
      <c r="I1657" s="78"/>
      <c r="J1657" s="78"/>
      <c r="K1657" s="78"/>
      <c r="L1657" s="78"/>
      <c r="M1657" s="78"/>
      <c r="N1657" s="78"/>
      <c r="O1657" s="78"/>
      <c r="P1657" s="78"/>
      <c r="Q1657" s="78"/>
      <c r="R1657" s="78"/>
      <c r="S1657" s="78"/>
      <c r="T1657" s="78"/>
      <c r="U1657" s="78"/>
      <c r="V1657" s="78"/>
      <c r="W1657" s="78"/>
      <c r="X1657" s="78"/>
      <c r="Y1657" s="78"/>
      <c r="Z1657" s="78"/>
    </row>
    <row r="1658">
      <c r="A1658" s="78">
        <v>712.0</v>
      </c>
      <c r="B1658" s="78"/>
      <c r="C1658" s="138"/>
      <c r="D1658" s="78"/>
      <c r="E1658" s="139" t="str">
        <f t="array" ref="E1658">IF(
UPPER(TRIM(CLEAN($O1658)))="ENTREGADO",
IFERROR(
INDEX(REPORTE_DROPI!Y:Y,
MATCH($T1658, REPORTE_DROPI!B:B, 0)
),
""
),
""
)
</f>
        <v/>
      </c>
      <c r="F1658" s="78"/>
      <c r="G1658" s="78"/>
      <c r="H1658" s="78"/>
      <c r="I1658" s="78"/>
      <c r="J1658" s="78"/>
      <c r="K1658" s="78"/>
      <c r="L1658" s="78"/>
      <c r="M1658" s="78"/>
      <c r="N1658" s="78"/>
      <c r="O1658" s="78"/>
      <c r="P1658" s="78"/>
      <c r="Q1658" s="78"/>
      <c r="R1658" s="78"/>
      <c r="S1658" s="78"/>
      <c r="T1658" s="78"/>
      <c r="U1658" s="78"/>
      <c r="V1658" s="78"/>
      <c r="W1658" s="78"/>
      <c r="X1658" s="78"/>
      <c r="Y1658" s="78"/>
      <c r="Z1658" s="78"/>
    </row>
    <row r="1659">
      <c r="A1659" s="78">
        <v>713.0</v>
      </c>
      <c r="B1659" s="78"/>
      <c r="C1659" s="138"/>
      <c r="D1659" s="78"/>
      <c r="E1659" s="139" t="str">
        <f t="array" ref="E1659">IF(
UPPER(TRIM(CLEAN($O1659)))="ENTREGADO",
IFERROR(
INDEX(REPORTE_DROPI!Y:Y,
MATCH($T1659, REPORTE_DROPI!B:B, 0)
),
""
),
""
)
</f>
        <v/>
      </c>
      <c r="F1659" s="78"/>
      <c r="G1659" s="78"/>
      <c r="H1659" s="78"/>
      <c r="I1659" s="78"/>
      <c r="J1659" s="78"/>
      <c r="K1659" s="78"/>
      <c r="L1659" s="78"/>
      <c r="M1659" s="78"/>
      <c r="N1659" s="78"/>
      <c r="O1659" s="78"/>
      <c r="P1659" s="78"/>
      <c r="Q1659" s="78"/>
      <c r="R1659" s="78"/>
      <c r="S1659" s="78"/>
      <c r="T1659" s="78"/>
      <c r="U1659" s="78"/>
      <c r="V1659" s="78"/>
      <c r="W1659" s="78"/>
      <c r="X1659" s="78"/>
      <c r="Y1659" s="78"/>
      <c r="Z1659" s="78"/>
    </row>
    <row r="1660">
      <c r="A1660" s="78">
        <v>714.0</v>
      </c>
      <c r="B1660" s="78"/>
      <c r="C1660" s="138"/>
      <c r="D1660" s="78"/>
      <c r="E1660" s="139" t="str">
        <f t="array" ref="E1660">IF(
UPPER(TRIM(CLEAN($O1660)))="ENTREGADO",
IFERROR(
INDEX(REPORTE_DROPI!Y:Y,
MATCH($T1660, REPORTE_DROPI!B:B, 0)
),
""
),
""
)
</f>
        <v/>
      </c>
      <c r="F1660" s="78"/>
      <c r="G1660" s="78"/>
      <c r="H1660" s="78"/>
      <c r="I1660" s="78"/>
      <c r="J1660" s="78"/>
      <c r="K1660" s="78"/>
      <c r="L1660" s="78"/>
      <c r="M1660" s="78"/>
      <c r="N1660" s="78"/>
      <c r="O1660" s="78"/>
      <c r="P1660" s="78"/>
      <c r="Q1660" s="78"/>
      <c r="R1660" s="78"/>
      <c r="S1660" s="78"/>
      <c r="T1660" s="78"/>
      <c r="U1660" s="78"/>
      <c r="V1660" s="78"/>
      <c r="W1660" s="78"/>
      <c r="X1660" s="78"/>
      <c r="Y1660" s="78"/>
      <c r="Z1660" s="78"/>
    </row>
    <row r="1661">
      <c r="A1661" s="78">
        <v>715.0</v>
      </c>
      <c r="B1661" s="78"/>
      <c r="C1661" s="138"/>
      <c r="D1661" s="78"/>
      <c r="E1661" s="139" t="str">
        <f t="array" ref="E1661">IF(
UPPER(TRIM(CLEAN($O1661)))="ENTREGADO",
IFERROR(
INDEX(REPORTE_DROPI!Y:Y,
MATCH($T1661, REPORTE_DROPI!B:B, 0)
),
""
),
""
)
</f>
        <v/>
      </c>
      <c r="F1661" s="78"/>
      <c r="G1661" s="78"/>
      <c r="H1661" s="78"/>
      <c r="I1661" s="78"/>
      <c r="J1661" s="78"/>
      <c r="K1661" s="78"/>
      <c r="L1661" s="78"/>
      <c r="M1661" s="78"/>
      <c r="N1661" s="78"/>
      <c r="O1661" s="78"/>
      <c r="P1661" s="78"/>
      <c r="Q1661" s="78"/>
      <c r="R1661" s="78"/>
      <c r="S1661" s="78"/>
      <c r="T1661" s="78"/>
      <c r="U1661" s="78"/>
      <c r="V1661" s="78"/>
      <c r="W1661" s="78"/>
      <c r="X1661" s="78"/>
      <c r="Y1661" s="78"/>
      <c r="Z1661" s="78"/>
    </row>
    <row r="1662">
      <c r="A1662" s="78">
        <v>716.0</v>
      </c>
      <c r="B1662" s="78"/>
      <c r="C1662" s="138"/>
      <c r="D1662" s="78"/>
      <c r="E1662" s="139" t="str">
        <f t="array" ref="E1662">IF(
UPPER(TRIM(CLEAN($O1662)))="ENTREGADO",
IFERROR(
INDEX(REPORTE_DROPI!Y:Y,
MATCH($T1662, REPORTE_DROPI!B:B, 0)
),
""
),
""
)
</f>
        <v/>
      </c>
      <c r="F1662" s="78"/>
      <c r="G1662" s="78"/>
      <c r="H1662" s="78"/>
      <c r="I1662" s="78"/>
      <c r="J1662" s="78"/>
      <c r="K1662" s="78"/>
      <c r="L1662" s="78"/>
      <c r="M1662" s="78"/>
      <c r="N1662" s="78"/>
      <c r="O1662" s="78"/>
      <c r="P1662" s="78"/>
      <c r="Q1662" s="78"/>
      <c r="R1662" s="78"/>
      <c r="S1662" s="78"/>
      <c r="T1662" s="78"/>
      <c r="U1662" s="78"/>
      <c r="V1662" s="78"/>
      <c r="W1662" s="78"/>
      <c r="X1662" s="78"/>
      <c r="Y1662" s="78"/>
      <c r="Z1662" s="78"/>
    </row>
    <row r="1663">
      <c r="A1663" s="78">
        <v>717.0</v>
      </c>
      <c r="B1663" s="78"/>
      <c r="C1663" s="138"/>
      <c r="D1663" s="78"/>
      <c r="E1663" s="139" t="str">
        <f t="array" ref="E1663">IF(
UPPER(TRIM(CLEAN($O1663)))="ENTREGADO",
IFERROR(
INDEX(REPORTE_DROPI!Y:Y,
MATCH($T1663, REPORTE_DROPI!B:B, 0)
),
""
),
""
)
</f>
        <v/>
      </c>
      <c r="F1663" s="78"/>
      <c r="G1663" s="78"/>
      <c r="H1663" s="78"/>
      <c r="I1663" s="78"/>
      <c r="J1663" s="78"/>
      <c r="K1663" s="78"/>
      <c r="L1663" s="78"/>
      <c r="M1663" s="78"/>
      <c r="N1663" s="78"/>
      <c r="O1663" s="78"/>
      <c r="P1663" s="78"/>
      <c r="Q1663" s="78"/>
      <c r="R1663" s="78"/>
      <c r="S1663" s="78"/>
      <c r="T1663" s="78"/>
      <c r="U1663" s="78"/>
      <c r="V1663" s="78"/>
      <c r="W1663" s="78"/>
      <c r="X1663" s="78"/>
      <c r="Y1663" s="78"/>
      <c r="Z1663" s="78"/>
    </row>
    <row r="1664">
      <c r="A1664" s="78">
        <v>718.0</v>
      </c>
      <c r="B1664" s="78"/>
      <c r="C1664" s="138"/>
      <c r="D1664" s="78"/>
      <c r="E1664" s="139" t="str">
        <f t="array" ref="E1664">IF(
UPPER(TRIM(CLEAN($O1664)))="ENTREGADO",
IFERROR(
INDEX(REPORTE_DROPI!Y:Y,
MATCH($T1664, REPORTE_DROPI!B:B, 0)
),
""
),
""
)
</f>
        <v/>
      </c>
      <c r="F1664" s="78"/>
      <c r="G1664" s="78"/>
      <c r="H1664" s="78"/>
      <c r="I1664" s="78"/>
      <c r="J1664" s="78"/>
      <c r="K1664" s="78"/>
      <c r="L1664" s="78"/>
      <c r="M1664" s="78"/>
      <c r="N1664" s="78"/>
      <c r="O1664" s="78"/>
      <c r="P1664" s="78"/>
      <c r="Q1664" s="78"/>
      <c r="R1664" s="78"/>
      <c r="S1664" s="78"/>
      <c r="T1664" s="78"/>
      <c r="U1664" s="78"/>
      <c r="V1664" s="78"/>
      <c r="W1664" s="78"/>
      <c r="X1664" s="78"/>
      <c r="Y1664" s="78"/>
      <c r="Z1664" s="78"/>
    </row>
    <row r="1665">
      <c r="A1665" s="78">
        <v>719.0</v>
      </c>
      <c r="B1665" s="78"/>
      <c r="C1665" s="138"/>
      <c r="D1665" s="78"/>
      <c r="E1665" s="139" t="str">
        <f t="array" ref="E1665">IF(
UPPER(TRIM(CLEAN($O1665)))="ENTREGADO",
IFERROR(
INDEX(REPORTE_DROPI!Y:Y,
MATCH($T1665, REPORTE_DROPI!B:B, 0)
),
""
),
""
)
</f>
        <v/>
      </c>
      <c r="F1665" s="78"/>
      <c r="G1665" s="78"/>
      <c r="H1665" s="78"/>
      <c r="I1665" s="78"/>
      <c r="J1665" s="78"/>
      <c r="K1665" s="78"/>
      <c r="L1665" s="78"/>
      <c r="M1665" s="78"/>
      <c r="N1665" s="78"/>
      <c r="O1665" s="78"/>
      <c r="P1665" s="78"/>
      <c r="Q1665" s="78"/>
      <c r="R1665" s="78"/>
      <c r="S1665" s="78"/>
      <c r="T1665" s="78"/>
      <c r="U1665" s="78"/>
      <c r="V1665" s="78"/>
      <c r="W1665" s="78"/>
      <c r="X1665" s="78"/>
      <c r="Y1665" s="78"/>
      <c r="Z1665" s="78"/>
    </row>
    <row r="1666">
      <c r="A1666" s="78">
        <v>720.0</v>
      </c>
      <c r="B1666" s="78"/>
      <c r="C1666" s="138"/>
      <c r="D1666" s="78"/>
      <c r="E1666" s="139" t="str">
        <f t="array" ref="E1666">IF(
UPPER(TRIM(CLEAN($O1666)))="ENTREGADO",
IFERROR(
INDEX(REPORTE_DROPI!Y:Y,
MATCH($T1666, REPORTE_DROPI!B:B, 0)
),
""
),
""
)
</f>
        <v/>
      </c>
      <c r="F1666" s="78"/>
      <c r="G1666" s="78"/>
      <c r="H1666" s="78"/>
      <c r="I1666" s="78"/>
      <c r="J1666" s="78"/>
      <c r="K1666" s="78"/>
      <c r="L1666" s="78"/>
      <c r="M1666" s="78"/>
      <c r="N1666" s="78"/>
      <c r="O1666" s="78"/>
      <c r="P1666" s="78"/>
      <c r="Q1666" s="78"/>
      <c r="R1666" s="78"/>
      <c r="S1666" s="78"/>
      <c r="T1666" s="78"/>
      <c r="U1666" s="78"/>
      <c r="V1666" s="78"/>
      <c r="W1666" s="78"/>
      <c r="X1666" s="78"/>
      <c r="Y1666" s="78"/>
      <c r="Z1666" s="78"/>
    </row>
    <row r="1667">
      <c r="A1667" s="78">
        <v>721.0</v>
      </c>
      <c r="B1667" s="78"/>
      <c r="C1667" s="138"/>
      <c r="D1667" s="78"/>
      <c r="E1667" s="139" t="str">
        <f t="array" ref="E1667">IF(
UPPER(TRIM(CLEAN($O1667)))="ENTREGADO",
IFERROR(
INDEX(REPORTE_DROPI!Y:Y,
MATCH($T1667, REPORTE_DROPI!B:B, 0)
),
""
),
""
)
</f>
        <v/>
      </c>
      <c r="F1667" s="78"/>
      <c r="G1667" s="78"/>
      <c r="H1667" s="78"/>
      <c r="I1667" s="78"/>
      <c r="J1667" s="78"/>
      <c r="K1667" s="78"/>
      <c r="L1667" s="78"/>
      <c r="M1667" s="78"/>
      <c r="N1667" s="78"/>
      <c r="O1667" s="78"/>
      <c r="P1667" s="78"/>
      <c r="Q1667" s="78"/>
      <c r="R1667" s="78"/>
      <c r="S1667" s="78"/>
      <c r="T1667" s="78"/>
      <c r="U1667" s="78"/>
      <c r="V1667" s="78"/>
      <c r="W1667" s="78"/>
      <c r="X1667" s="78"/>
      <c r="Y1667" s="78"/>
      <c r="Z1667" s="78"/>
    </row>
    <row r="1668">
      <c r="A1668" s="78">
        <v>722.0</v>
      </c>
      <c r="B1668" s="78"/>
      <c r="C1668" s="138"/>
      <c r="D1668" s="78"/>
      <c r="E1668" s="139" t="str">
        <f t="array" ref="E1668">IF(
UPPER(TRIM(CLEAN($O1668)))="ENTREGADO",
IFERROR(
INDEX(REPORTE_DROPI!Y:Y,
MATCH($T1668, REPORTE_DROPI!B:B, 0)
),
""
),
""
)
</f>
        <v/>
      </c>
      <c r="F1668" s="78"/>
      <c r="G1668" s="78"/>
      <c r="H1668" s="78"/>
      <c r="I1668" s="78"/>
      <c r="J1668" s="78"/>
      <c r="K1668" s="78"/>
      <c r="L1668" s="78"/>
      <c r="M1668" s="78"/>
      <c r="N1668" s="78"/>
      <c r="O1668" s="78"/>
      <c r="P1668" s="78"/>
      <c r="Q1668" s="78"/>
      <c r="R1668" s="78"/>
      <c r="S1668" s="78"/>
      <c r="T1668" s="78"/>
      <c r="U1668" s="78"/>
      <c r="V1668" s="78"/>
      <c r="W1668" s="78"/>
      <c r="X1668" s="78"/>
      <c r="Y1668" s="78"/>
      <c r="Z1668" s="78"/>
    </row>
    <row r="1669">
      <c r="A1669" s="78">
        <v>723.0</v>
      </c>
      <c r="B1669" s="78"/>
      <c r="C1669" s="138"/>
      <c r="D1669" s="78"/>
      <c r="E1669" s="139" t="str">
        <f t="array" ref="E1669">IF(
UPPER(TRIM(CLEAN($O1669)))="ENTREGADO",
IFERROR(
INDEX(REPORTE_DROPI!Y:Y,
MATCH($T1669, REPORTE_DROPI!B:B, 0)
),
""
),
""
)
</f>
        <v/>
      </c>
      <c r="F1669" s="78"/>
      <c r="G1669" s="78"/>
      <c r="H1669" s="78"/>
      <c r="I1669" s="78"/>
      <c r="J1669" s="78"/>
      <c r="K1669" s="78"/>
      <c r="L1669" s="78"/>
      <c r="M1669" s="78"/>
      <c r="N1669" s="78"/>
      <c r="O1669" s="78"/>
      <c r="P1669" s="78"/>
      <c r="Q1669" s="78"/>
      <c r="R1669" s="78"/>
      <c r="S1669" s="78"/>
      <c r="T1669" s="78"/>
      <c r="U1669" s="78"/>
      <c r="V1669" s="78"/>
      <c r="W1669" s="78"/>
      <c r="X1669" s="78"/>
      <c r="Y1669" s="78"/>
      <c r="Z1669" s="78"/>
    </row>
    <row r="1670">
      <c r="A1670" s="78">
        <v>724.0</v>
      </c>
      <c r="B1670" s="78"/>
      <c r="C1670" s="138"/>
      <c r="D1670" s="78"/>
      <c r="E1670" s="139" t="str">
        <f t="array" ref="E1670">IF(
UPPER(TRIM(CLEAN($O1670)))="ENTREGADO",
IFERROR(
INDEX(REPORTE_DROPI!Y:Y,
MATCH($T1670, REPORTE_DROPI!B:B, 0)
),
""
),
""
)
</f>
        <v/>
      </c>
      <c r="F1670" s="78"/>
      <c r="G1670" s="78"/>
      <c r="H1670" s="78"/>
      <c r="I1670" s="78"/>
      <c r="J1670" s="78"/>
      <c r="K1670" s="78"/>
      <c r="L1670" s="78"/>
      <c r="M1670" s="78"/>
      <c r="N1670" s="78"/>
      <c r="O1670" s="78"/>
      <c r="P1670" s="78"/>
      <c r="Q1670" s="78"/>
      <c r="R1670" s="78"/>
      <c r="S1670" s="78"/>
      <c r="T1670" s="78"/>
      <c r="U1670" s="78"/>
      <c r="V1670" s="78"/>
      <c r="W1670" s="78"/>
      <c r="X1670" s="78"/>
      <c r="Y1670" s="78"/>
      <c r="Z1670" s="78"/>
    </row>
    <row r="1671">
      <c r="A1671" s="78">
        <v>725.0</v>
      </c>
      <c r="B1671" s="78"/>
      <c r="C1671" s="138"/>
      <c r="D1671" s="78"/>
      <c r="E1671" s="139" t="str">
        <f t="array" ref="E1671">IF(
UPPER(TRIM(CLEAN($O1671)))="ENTREGADO",
IFERROR(
INDEX(REPORTE_DROPI!Y:Y,
MATCH($T1671, REPORTE_DROPI!B:B, 0)
),
""
),
""
)
</f>
        <v/>
      </c>
      <c r="F1671" s="78"/>
      <c r="G1671" s="78"/>
      <c r="H1671" s="78"/>
      <c r="I1671" s="78"/>
      <c r="J1671" s="78"/>
      <c r="K1671" s="78"/>
      <c r="L1671" s="78"/>
      <c r="M1671" s="78"/>
      <c r="N1671" s="78"/>
      <c r="O1671" s="78"/>
      <c r="P1671" s="78"/>
      <c r="Q1671" s="78"/>
      <c r="R1671" s="78"/>
      <c r="S1671" s="78"/>
      <c r="T1671" s="78"/>
      <c r="U1671" s="78"/>
      <c r="V1671" s="78"/>
      <c r="W1671" s="78"/>
      <c r="X1671" s="78"/>
      <c r="Y1671" s="78"/>
      <c r="Z1671" s="78"/>
    </row>
    <row r="1672">
      <c r="A1672" s="78">
        <v>726.0</v>
      </c>
      <c r="B1672" s="78"/>
      <c r="C1672" s="138"/>
      <c r="D1672" s="78"/>
      <c r="E1672" s="139" t="str">
        <f t="array" ref="E1672">IF(
UPPER(TRIM(CLEAN($O1672)))="ENTREGADO",
IFERROR(
INDEX(REPORTE_DROPI!Y:Y,
MATCH($T1672, REPORTE_DROPI!B:B, 0)
),
""
),
""
)
</f>
        <v/>
      </c>
      <c r="F1672" s="78"/>
      <c r="G1672" s="78"/>
      <c r="H1672" s="78"/>
      <c r="I1672" s="78"/>
      <c r="J1672" s="78"/>
      <c r="K1672" s="78"/>
      <c r="L1672" s="78"/>
      <c r="M1672" s="78"/>
      <c r="N1672" s="78"/>
      <c r="O1672" s="78"/>
      <c r="P1672" s="78"/>
      <c r="Q1672" s="78"/>
      <c r="R1672" s="78"/>
      <c r="S1672" s="78"/>
      <c r="T1672" s="78"/>
      <c r="U1672" s="78"/>
      <c r="V1672" s="78"/>
      <c r="W1672" s="78"/>
      <c r="X1672" s="78"/>
      <c r="Y1672" s="78"/>
      <c r="Z1672" s="78"/>
    </row>
    <row r="1673">
      <c r="A1673" s="78">
        <v>727.0</v>
      </c>
      <c r="B1673" s="78"/>
      <c r="C1673" s="138"/>
      <c r="D1673" s="78"/>
      <c r="E1673" s="139" t="str">
        <f t="array" ref="E1673">IF(
UPPER(TRIM(CLEAN($O1673)))="ENTREGADO",
IFERROR(
INDEX(REPORTE_DROPI!Y:Y,
MATCH($T1673, REPORTE_DROPI!B:B, 0)
),
""
),
""
)
</f>
        <v/>
      </c>
      <c r="F1673" s="78"/>
      <c r="G1673" s="78"/>
      <c r="H1673" s="78"/>
      <c r="I1673" s="78"/>
      <c r="J1673" s="78"/>
      <c r="K1673" s="78"/>
      <c r="L1673" s="78"/>
      <c r="M1673" s="78"/>
      <c r="N1673" s="78"/>
      <c r="O1673" s="78"/>
      <c r="P1673" s="78"/>
      <c r="Q1673" s="78"/>
      <c r="R1673" s="78"/>
      <c r="S1673" s="78"/>
      <c r="T1673" s="78"/>
      <c r="U1673" s="78"/>
      <c r="V1673" s="78"/>
      <c r="W1673" s="78"/>
      <c r="X1673" s="78"/>
      <c r="Y1673" s="78"/>
      <c r="Z1673" s="78"/>
    </row>
    <row r="1674">
      <c r="A1674" s="78">
        <v>728.0</v>
      </c>
      <c r="B1674" s="78"/>
      <c r="C1674" s="138"/>
      <c r="D1674" s="78"/>
      <c r="E1674" s="139" t="str">
        <f t="array" ref="E1674">IF(
UPPER(TRIM(CLEAN($O1674)))="ENTREGADO",
IFERROR(
INDEX(REPORTE_DROPI!Y:Y,
MATCH($T1674, REPORTE_DROPI!B:B, 0)
),
""
),
""
)
</f>
        <v/>
      </c>
      <c r="F1674" s="78"/>
      <c r="G1674" s="78"/>
      <c r="H1674" s="78"/>
      <c r="I1674" s="78"/>
      <c r="J1674" s="78"/>
      <c r="K1674" s="78"/>
      <c r="L1674" s="78"/>
      <c r="M1674" s="78"/>
      <c r="N1674" s="78"/>
      <c r="O1674" s="78"/>
      <c r="P1674" s="78"/>
      <c r="Q1674" s="78"/>
      <c r="R1674" s="78"/>
      <c r="S1674" s="78"/>
      <c r="T1674" s="78"/>
      <c r="U1674" s="78"/>
      <c r="V1674" s="78"/>
      <c r="W1674" s="78"/>
      <c r="X1674" s="78"/>
      <c r="Y1674" s="78"/>
      <c r="Z1674" s="78"/>
    </row>
    <row r="1675">
      <c r="A1675" s="78">
        <v>729.0</v>
      </c>
      <c r="B1675" s="78"/>
      <c r="C1675" s="138"/>
      <c r="D1675" s="78"/>
      <c r="E1675" s="139" t="str">
        <f t="array" ref="E1675">IF(
UPPER(TRIM(CLEAN($O1675)))="ENTREGADO",
IFERROR(
INDEX(REPORTE_DROPI!Y:Y,
MATCH($T1675, REPORTE_DROPI!B:B, 0)
),
""
),
""
)
</f>
        <v/>
      </c>
      <c r="F1675" s="78"/>
      <c r="G1675" s="78"/>
      <c r="H1675" s="78"/>
      <c r="I1675" s="78"/>
      <c r="J1675" s="78"/>
      <c r="K1675" s="78"/>
      <c r="L1675" s="78"/>
      <c r="M1675" s="78"/>
      <c r="N1675" s="78"/>
      <c r="O1675" s="78"/>
      <c r="P1675" s="78"/>
      <c r="Q1675" s="78"/>
      <c r="R1675" s="78"/>
      <c r="S1675" s="78"/>
      <c r="T1675" s="78"/>
      <c r="U1675" s="78"/>
      <c r="V1675" s="78"/>
      <c r="W1675" s="78"/>
      <c r="X1675" s="78"/>
      <c r="Y1675" s="78"/>
      <c r="Z1675" s="78"/>
    </row>
    <row r="1676">
      <c r="A1676" s="78">
        <v>730.0</v>
      </c>
      <c r="B1676" s="78"/>
      <c r="C1676" s="138"/>
      <c r="D1676" s="78"/>
      <c r="E1676" s="139" t="str">
        <f t="array" ref="E1676">IF(
UPPER(TRIM(CLEAN($O1676)))="ENTREGADO",
IFERROR(
INDEX(REPORTE_DROPI!Y:Y,
MATCH($T1676, REPORTE_DROPI!B:B, 0)
),
""
),
""
)
</f>
        <v/>
      </c>
      <c r="F1676" s="78"/>
      <c r="G1676" s="78"/>
      <c r="H1676" s="78"/>
      <c r="I1676" s="78"/>
      <c r="J1676" s="78"/>
      <c r="K1676" s="78"/>
      <c r="L1676" s="78"/>
      <c r="M1676" s="78"/>
      <c r="N1676" s="78"/>
      <c r="O1676" s="78"/>
      <c r="P1676" s="78"/>
      <c r="Q1676" s="78"/>
      <c r="R1676" s="78"/>
      <c r="S1676" s="78"/>
      <c r="T1676" s="78"/>
      <c r="U1676" s="78"/>
      <c r="V1676" s="78"/>
      <c r="W1676" s="78"/>
      <c r="X1676" s="78"/>
      <c r="Y1676" s="78"/>
      <c r="Z1676" s="78"/>
    </row>
    <row r="1677">
      <c r="A1677" s="78">
        <v>731.0</v>
      </c>
      <c r="B1677" s="78"/>
      <c r="C1677" s="138"/>
      <c r="D1677" s="78"/>
      <c r="E1677" s="139" t="str">
        <f t="array" ref="E1677">IF(
UPPER(TRIM(CLEAN($O1677)))="ENTREGADO",
IFERROR(
INDEX(REPORTE_DROPI!Y:Y,
MATCH($T1677, REPORTE_DROPI!B:B, 0)
),
""
),
""
)
</f>
        <v/>
      </c>
      <c r="F1677" s="78"/>
      <c r="G1677" s="78"/>
      <c r="H1677" s="78"/>
      <c r="I1677" s="78"/>
      <c r="J1677" s="78"/>
      <c r="K1677" s="78"/>
      <c r="L1677" s="78"/>
      <c r="M1677" s="78"/>
      <c r="N1677" s="78"/>
      <c r="O1677" s="78"/>
      <c r="P1677" s="78"/>
      <c r="Q1677" s="78"/>
      <c r="R1677" s="78"/>
      <c r="S1677" s="78"/>
      <c r="T1677" s="78"/>
      <c r="U1677" s="78"/>
      <c r="V1677" s="78"/>
      <c r="W1677" s="78"/>
      <c r="X1677" s="78"/>
      <c r="Y1677" s="78"/>
      <c r="Z1677" s="78"/>
    </row>
    <row r="1678">
      <c r="A1678" s="78">
        <v>732.0</v>
      </c>
      <c r="B1678" s="78"/>
      <c r="C1678" s="138"/>
      <c r="D1678" s="78"/>
      <c r="E1678" s="139" t="str">
        <f t="array" ref="E1678">IF(
UPPER(TRIM(CLEAN($O1678)))="ENTREGADO",
IFERROR(
INDEX(REPORTE_DROPI!Y:Y,
MATCH($T1678, REPORTE_DROPI!B:B, 0)
),
""
),
""
)
</f>
        <v/>
      </c>
      <c r="F1678" s="78"/>
      <c r="G1678" s="78"/>
      <c r="H1678" s="78"/>
      <c r="I1678" s="78"/>
      <c r="J1678" s="78"/>
      <c r="K1678" s="78"/>
      <c r="L1678" s="78"/>
      <c r="M1678" s="78"/>
      <c r="N1678" s="78"/>
      <c r="O1678" s="78"/>
      <c r="P1678" s="78"/>
      <c r="Q1678" s="78"/>
      <c r="R1678" s="78"/>
      <c r="S1678" s="78"/>
      <c r="T1678" s="78"/>
      <c r="U1678" s="78"/>
      <c r="V1678" s="78"/>
      <c r="W1678" s="78"/>
      <c r="X1678" s="78"/>
      <c r="Y1678" s="78"/>
      <c r="Z1678" s="78"/>
    </row>
    <row r="1679">
      <c r="A1679" s="78">
        <v>733.0</v>
      </c>
      <c r="B1679" s="78"/>
      <c r="C1679" s="138"/>
      <c r="D1679" s="78"/>
      <c r="E1679" s="139" t="str">
        <f t="array" ref="E1679">IF(
UPPER(TRIM(CLEAN($O1679)))="ENTREGADO",
IFERROR(
INDEX(REPORTE_DROPI!Y:Y,
MATCH($T1679, REPORTE_DROPI!B:B, 0)
),
""
),
""
)
</f>
        <v/>
      </c>
      <c r="F1679" s="78"/>
      <c r="G1679" s="78"/>
      <c r="H1679" s="78"/>
      <c r="I1679" s="78"/>
      <c r="J1679" s="78"/>
      <c r="K1679" s="78"/>
      <c r="L1679" s="78"/>
      <c r="M1679" s="78"/>
      <c r="N1679" s="78"/>
      <c r="O1679" s="78"/>
      <c r="P1679" s="78"/>
      <c r="Q1679" s="78"/>
      <c r="R1679" s="78"/>
      <c r="S1679" s="78"/>
      <c r="T1679" s="78"/>
      <c r="U1679" s="78"/>
      <c r="V1679" s="78"/>
      <c r="W1679" s="78"/>
      <c r="X1679" s="78"/>
      <c r="Y1679" s="78"/>
      <c r="Z1679" s="78"/>
    </row>
    <row r="1680">
      <c r="A1680" s="78">
        <v>734.0</v>
      </c>
      <c r="B1680" s="78"/>
      <c r="C1680" s="138"/>
      <c r="D1680" s="78"/>
      <c r="E1680" s="139" t="str">
        <f t="array" ref="E1680">IF(
UPPER(TRIM(CLEAN($O1680)))="ENTREGADO",
IFERROR(
INDEX(REPORTE_DROPI!Y:Y,
MATCH($T1680, REPORTE_DROPI!B:B, 0)
),
""
),
""
)
</f>
        <v/>
      </c>
      <c r="F1680" s="78"/>
      <c r="G1680" s="78"/>
      <c r="H1680" s="78"/>
      <c r="I1680" s="78"/>
      <c r="J1680" s="78"/>
      <c r="K1680" s="78"/>
      <c r="L1680" s="78"/>
      <c r="M1680" s="78"/>
      <c r="N1680" s="78"/>
      <c r="O1680" s="78"/>
      <c r="P1680" s="78"/>
      <c r="Q1680" s="78"/>
      <c r="R1680" s="78"/>
      <c r="S1680" s="78"/>
      <c r="T1680" s="78"/>
      <c r="U1680" s="78"/>
      <c r="V1680" s="78"/>
      <c r="W1680" s="78"/>
      <c r="X1680" s="78"/>
      <c r="Y1680" s="78"/>
      <c r="Z1680" s="78"/>
    </row>
    <row r="1681">
      <c r="A1681" s="78">
        <v>735.0</v>
      </c>
      <c r="B1681" s="78"/>
      <c r="C1681" s="138"/>
      <c r="D1681" s="78"/>
      <c r="E1681" s="139" t="str">
        <f t="array" ref="E1681">IF(
UPPER(TRIM(CLEAN($O1681)))="ENTREGADO",
IFERROR(
INDEX(REPORTE_DROPI!Y:Y,
MATCH($T1681, REPORTE_DROPI!B:B, 0)
),
""
),
""
)
</f>
        <v/>
      </c>
      <c r="F1681" s="78"/>
      <c r="G1681" s="78"/>
      <c r="H1681" s="78"/>
      <c r="I1681" s="78"/>
      <c r="J1681" s="78"/>
      <c r="K1681" s="78"/>
      <c r="L1681" s="78"/>
      <c r="M1681" s="78"/>
      <c r="N1681" s="78"/>
      <c r="O1681" s="78"/>
      <c r="P1681" s="78"/>
      <c r="Q1681" s="78"/>
      <c r="R1681" s="78"/>
      <c r="S1681" s="78"/>
      <c r="T1681" s="78"/>
      <c r="U1681" s="78"/>
      <c r="V1681" s="78"/>
      <c r="W1681" s="78"/>
      <c r="X1681" s="78"/>
      <c r="Y1681" s="78"/>
      <c r="Z1681" s="78"/>
    </row>
    <row r="1682">
      <c r="A1682" s="78">
        <v>736.0</v>
      </c>
      <c r="B1682" s="78"/>
      <c r="C1682" s="138"/>
      <c r="D1682" s="78"/>
      <c r="E1682" s="139" t="str">
        <f t="array" ref="E1682">IF(
UPPER(TRIM(CLEAN($O1682)))="ENTREGADO",
IFERROR(
INDEX(REPORTE_DROPI!Y:Y,
MATCH($T1682, REPORTE_DROPI!B:B, 0)
),
""
),
""
)
</f>
        <v/>
      </c>
      <c r="F1682" s="78"/>
      <c r="G1682" s="78"/>
      <c r="H1682" s="78"/>
      <c r="I1682" s="78"/>
      <c r="J1682" s="78"/>
      <c r="K1682" s="78"/>
      <c r="L1682" s="78"/>
      <c r="M1682" s="78"/>
      <c r="N1682" s="78"/>
      <c r="O1682" s="78"/>
      <c r="P1682" s="78"/>
      <c r="Q1682" s="78"/>
      <c r="R1682" s="78"/>
      <c r="S1682" s="78"/>
      <c r="T1682" s="78"/>
      <c r="U1682" s="78"/>
      <c r="V1682" s="78"/>
      <c r="W1682" s="78"/>
      <c r="X1682" s="78"/>
      <c r="Y1682" s="78"/>
      <c r="Z1682" s="78"/>
    </row>
    <row r="1683">
      <c r="A1683" s="78">
        <v>737.0</v>
      </c>
      <c r="B1683" s="78"/>
      <c r="C1683" s="138"/>
      <c r="D1683" s="78"/>
      <c r="E1683" s="139" t="str">
        <f t="array" ref="E1683">IF(
UPPER(TRIM(CLEAN($O1683)))="ENTREGADO",
IFERROR(
INDEX(REPORTE_DROPI!Y:Y,
MATCH($T1683, REPORTE_DROPI!B:B, 0)
),
""
),
""
)
</f>
        <v/>
      </c>
      <c r="F1683" s="78"/>
      <c r="G1683" s="78"/>
      <c r="H1683" s="78"/>
      <c r="I1683" s="78"/>
      <c r="J1683" s="78"/>
      <c r="K1683" s="78"/>
      <c r="L1683" s="78"/>
      <c r="M1683" s="78"/>
      <c r="N1683" s="78"/>
      <c r="O1683" s="78"/>
      <c r="P1683" s="78"/>
      <c r="Q1683" s="78"/>
      <c r="R1683" s="78"/>
      <c r="S1683" s="78"/>
      <c r="T1683" s="78"/>
      <c r="U1683" s="78"/>
      <c r="V1683" s="78"/>
      <c r="W1683" s="78"/>
      <c r="X1683" s="78"/>
      <c r="Y1683" s="78"/>
      <c r="Z1683" s="78"/>
    </row>
    <row r="1684">
      <c r="A1684" s="78">
        <v>738.0</v>
      </c>
      <c r="B1684" s="78"/>
      <c r="C1684" s="138"/>
      <c r="D1684" s="78"/>
      <c r="E1684" s="139" t="str">
        <f t="array" ref="E1684">IF(
UPPER(TRIM(CLEAN($O1684)))="ENTREGADO",
IFERROR(
INDEX(REPORTE_DROPI!Y:Y,
MATCH($T1684, REPORTE_DROPI!B:B, 0)
),
""
),
""
)
</f>
        <v/>
      </c>
      <c r="F1684" s="78"/>
      <c r="G1684" s="78"/>
      <c r="H1684" s="78"/>
      <c r="I1684" s="78"/>
      <c r="J1684" s="78"/>
      <c r="K1684" s="78"/>
      <c r="L1684" s="78"/>
      <c r="M1684" s="78"/>
      <c r="N1684" s="78"/>
      <c r="O1684" s="78"/>
      <c r="P1684" s="78"/>
      <c r="Q1684" s="78"/>
      <c r="R1684" s="78"/>
      <c r="S1684" s="78"/>
      <c r="T1684" s="78"/>
      <c r="U1684" s="78"/>
      <c r="V1684" s="78"/>
      <c r="W1684" s="78"/>
      <c r="X1684" s="78"/>
      <c r="Y1684" s="78"/>
      <c r="Z1684" s="78"/>
    </row>
    <row r="1685">
      <c r="A1685" s="78">
        <v>739.0</v>
      </c>
      <c r="B1685" s="78"/>
      <c r="C1685" s="138"/>
      <c r="D1685" s="78"/>
      <c r="E1685" s="139" t="str">
        <f t="array" ref="E1685">IF(
UPPER(TRIM(CLEAN($O1685)))="ENTREGADO",
IFERROR(
INDEX(REPORTE_DROPI!Y:Y,
MATCH($T1685, REPORTE_DROPI!B:B, 0)
),
""
),
""
)
</f>
        <v/>
      </c>
      <c r="F1685" s="78"/>
      <c r="G1685" s="78"/>
      <c r="H1685" s="78"/>
      <c r="I1685" s="78"/>
      <c r="J1685" s="78"/>
      <c r="K1685" s="78"/>
      <c r="L1685" s="78"/>
      <c r="M1685" s="78"/>
      <c r="N1685" s="78"/>
      <c r="O1685" s="78"/>
      <c r="P1685" s="78"/>
      <c r="Q1685" s="78"/>
      <c r="R1685" s="78"/>
      <c r="S1685" s="78"/>
      <c r="T1685" s="78"/>
      <c r="U1685" s="78"/>
      <c r="V1685" s="78"/>
      <c r="W1685" s="78"/>
      <c r="X1685" s="78"/>
      <c r="Y1685" s="78"/>
      <c r="Z1685" s="78"/>
    </row>
    <row r="1686">
      <c r="A1686" s="78">
        <v>740.0</v>
      </c>
      <c r="B1686" s="78"/>
      <c r="C1686" s="138"/>
      <c r="D1686" s="78"/>
      <c r="E1686" s="139" t="str">
        <f t="array" ref="E1686">IF(
UPPER(TRIM(CLEAN($O1686)))="ENTREGADO",
IFERROR(
INDEX(REPORTE_DROPI!Y:Y,
MATCH($T1686, REPORTE_DROPI!B:B, 0)
),
""
),
""
)
</f>
        <v/>
      </c>
      <c r="F1686" s="78"/>
      <c r="G1686" s="78"/>
      <c r="H1686" s="78"/>
      <c r="I1686" s="78"/>
      <c r="J1686" s="78"/>
      <c r="K1686" s="78"/>
      <c r="L1686" s="78"/>
      <c r="M1686" s="78"/>
      <c r="N1686" s="78"/>
      <c r="O1686" s="78"/>
      <c r="P1686" s="78"/>
      <c r="Q1686" s="78"/>
      <c r="R1686" s="78"/>
      <c r="S1686" s="78"/>
      <c r="T1686" s="78"/>
      <c r="U1686" s="78"/>
      <c r="V1686" s="78"/>
      <c r="W1686" s="78"/>
      <c r="X1686" s="78"/>
      <c r="Y1686" s="78"/>
      <c r="Z1686" s="78"/>
    </row>
    <row r="1687">
      <c r="A1687" s="78">
        <v>741.0</v>
      </c>
      <c r="B1687" s="78"/>
      <c r="C1687" s="138"/>
      <c r="D1687" s="78"/>
      <c r="E1687" s="139" t="str">
        <f t="array" ref="E1687">IF(
UPPER(TRIM(CLEAN($O1687)))="ENTREGADO",
IFERROR(
INDEX(REPORTE_DROPI!Y:Y,
MATCH($T1687, REPORTE_DROPI!B:B, 0)
),
""
),
""
)
</f>
        <v/>
      </c>
      <c r="F1687" s="78"/>
      <c r="G1687" s="78"/>
      <c r="H1687" s="78"/>
      <c r="I1687" s="78"/>
      <c r="J1687" s="78"/>
      <c r="K1687" s="78"/>
      <c r="L1687" s="78"/>
      <c r="M1687" s="78"/>
      <c r="N1687" s="78"/>
      <c r="O1687" s="78"/>
      <c r="P1687" s="78"/>
      <c r="Q1687" s="78"/>
      <c r="R1687" s="78"/>
      <c r="S1687" s="78"/>
      <c r="T1687" s="78"/>
      <c r="U1687" s="78"/>
      <c r="V1687" s="78"/>
      <c r="W1687" s="78"/>
      <c r="X1687" s="78"/>
      <c r="Y1687" s="78"/>
      <c r="Z1687" s="78"/>
    </row>
    <row r="1688">
      <c r="A1688" s="78">
        <v>742.0</v>
      </c>
      <c r="B1688" s="78"/>
      <c r="C1688" s="138"/>
      <c r="D1688" s="78"/>
      <c r="E1688" s="139" t="str">
        <f t="array" ref="E1688">IF(
UPPER(TRIM(CLEAN($O1688)))="ENTREGADO",
IFERROR(
INDEX(REPORTE_DROPI!Y:Y,
MATCH($T1688, REPORTE_DROPI!B:B, 0)
),
""
),
""
)
</f>
        <v/>
      </c>
      <c r="F1688" s="78"/>
      <c r="G1688" s="78"/>
      <c r="H1688" s="78"/>
      <c r="I1688" s="78"/>
      <c r="J1688" s="78"/>
      <c r="K1688" s="78"/>
      <c r="L1688" s="78"/>
      <c r="M1688" s="78"/>
      <c r="N1688" s="78"/>
      <c r="O1688" s="78"/>
      <c r="P1688" s="78"/>
      <c r="Q1688" s="78"/>
      <c r="R1688" s="78"/>
      <c r="S1688" s="78"/>
      <c r="T1688" s="78"/>
      <c r="U1688" s="78"/>
      <c r="V1688" s="78"/>
      <c r="W1688" s="78"/>
      <c r="X1688" s="78"/>
      <c r="Y1688" s="78"/>
      <c r="Z1688" s="78"/>
    </row>
    <row r="1689">
      <c r="A1689" s="78">
        <v>743.0</v>
      </c>
      <c r="B1689" s="78"/>
      <c r="C1689" s="138"/>
      <c r="D1689" s="78"/>
      <c r="E1689" s="139" t="str">
        <f t="array" ref="E1689">IF(
UPPER(TRIM(CLEAN($O1689)))="ENTREGADO",
IFERROR(
INDEX(REPORTE_DROPI!Y:Y,
MATCH($T1689, REPORTE_DROPI!B:B, 0)
),
""
),
""
)
</f>
        <v/>
      </c>
      <c r="F1689" s="78"/>
      <c r="G1689" s="78"/>
      <c r="H1689" s="78"/>
      <c r="I1689" s="78"/>
      <c r="J1689" s="78"/>
      <c r="K1689" s="78"/>
      <c r="L1689" s="78"/>
      <c r="M1689" s="78"/>
      <c r="N1689" s="78"/>
      <c r="O1689" s="78"/>
      <c r="P1689" s="78"/>
      <c r="Q1689" s="78"/>
      <c r="R1689" s="78"/>
      <c r="S1689" s="78"/>
      <c r="T1689" s="78"/>
      <c r="U1689" s="78"/>
      <c r="V1689" s="78"/>
      <c r="W1689" s="78"/>
      <c r="X1689" s="78"/>
      <c r="Y1689" s="78"/>
      <c r="Z1689" s="78"/>
    </row>
    <row r="1690">
      <c r="A1690" s="78">
        <v>744.0</v>
      </c>
      <c r="B1690" s="78"/>
      <c r="C1690" s="138"/>
      <c r="D1690" s="78"/>
      <c r="E1690" s="139" t="str">
        <f t="array" ref="E1690">IF(
UPPER(TRIM(CLEAN($O1690)))="ENTREGADO",
IFERROR(
INDEX(REPORTE_DROPI!Y:Y,
MATCH($T1690, REPORTE_DROPI!B:B, 0)
),
""
),
""
)
</f>
        <v/>
      </c>
      <c r="F1690" s="78"/>
      <c r="G1690" s="78"/>
      <c r="H1690" s="78"/>
      <c r="I1690" s="78"/>
      <c r="J1690" s="78"/>
      <c r="K1690" s="78"/>
      <c r="L1690" s="78"/>
      <c r="M1690" s="78"/>
      <c r="N1690" s="78"/>
      <c r="O1690" s="78"/>
      <c r="P1690" s="78"/>
      <c r="Q1690" s="78"/>
      <c r="R1690" s="78"/>
      <c r="S1690" s="78"/>
      <c r="T1690" s="78"/>
      <c r="U1690" s="78"/>
      <c r="V1690" s="78"/>
      <c r="W1690" s="78"/>
      <c r="X1690" s="78"/>
      <c r="Y1690" s="78"/>
      <c r="Z1690" s="78"/>
    </row>
    <row r="1691">
      <c r="A1691" s="78">
        <v>745.0</v>
      </c>
      <c r="B1691" s="78"/>
      <c r="C1691" s="138"/>
      <c r="D1691" s="78"/>
      <c r="E1691" s="139" t="str">
        <f t="array" ref="E1691">IF(
UPPER(TRIM(CLEAN($O1691)))="ENTREGADO",
IFERROR(
INDEX(REPORTE_DROPI!Y:Y,
MATCH($T1691, REPORTE_DROPI!B:B, 0)
),
""
),
""
)
</f>
        <v/>
      </c>
      <c r="F1691" s="78"/>
      <c r="G1691" s="78"/>
      <c r="H1691" s="78"/>
      <c r="I1691" s="78"/>
      <c r="J1691" s="78"/>
      <c r="K1691" s="78"/>
      <c r="L1691" s="78"/>
      <c r="M1691" s="78"/>
      <c r="N1691" s="78"/>
      <c r="O1691" s="78"/>
      <c r="P1691" s="78"/>
      <c r="Q1691" s="78"/>
      <c r="R1691" s="78"/>
      <c r="S1691" s="78"/>
      <c r="T1691" s="78"/>
      <c r="U1691" s="78"/>
      <c r="V1691" s="78"/>
      <c r="W1691" s="78"/>
      <c r="X1691" s="78"/>
      <c r="Y1691" s="78"/>
      <c r="Z1691" s="78"/>
    </row>
    <row r="1692">
      <c r="A1692" s="78">
        <v>746.0</v>
      </c>
      <c r="B1692" s="78"/>
      <c r="C1692" s="138"/>
      <c r="D1692" s="78"/>
      <c r="E1692" s="139" t="str">
        <f t="array" ref="E1692">IF(
UPPER(TRIM(CLEAN($O1692)))="ENTREGADO",
IFERROR(
INDEX(REPORTE_DROPI!Y:Y,
MATCH($T1692, REPORTE_DROPI!B:B, 0)
),
""
),
""
)
</f>
        <v/>
      </c>
      <c r="F1692" s="78"/>
      <c r="G1692" s="78"/>
      <c r="H1692" s="78"/>
      <c r="I1692" s="78"/>
      <c r="J1692" s="78"/>
      <c r="K1692" s="78"/>
      <c r="L1692" s="78"/>
      <c r="M1692" s="78"/>
      <c r="N1692" s="78"/>
      <c r="O1692" s="78"/>
      <c r="P1692" s="78"/>
      <c r="Q1692" s="78"/>
      <c r="R1692" s="78"/>
      <c r="S1692" s="78"/>
      <c r="T1692" s="78"/>
      <c r="U1692" s="78"/>
      <c r="V1692" s="78"/>
      <c r="W1692" s="78"/>
      <c r="X1692" s="78"/>
      <c r="Y1692" s="78"/>
      <c r="Z1692" s="78"/>
    </row>
    <row r="1693">
      <c r="A1693" s="78">
        <v>747.0</v>
      </c>
      <c r="B1693" s="78"/>
      <c r="C1693" s="138"/>
      <c r="D1693" s="78"/>
      <c r="E1693" s="139" t="str">
        <f t="array" ref="E1693">IF(
UPPER(TRIM(CLEAN($O1693)))="ENTREGADO",
IFERROR(
INDEX(REPORTE_DROPI!Y:Y,
MATCH($T1693, REPORTE_DROPI!B:B, 0)
),
""
),
""
)
</f>
        <v/>
      </c>
      <c r="F1693" s="78"/>
      <c r="G1693" s="78"/>
      <c r="H1693" s="78"/>
      <c r="I1693" s="78"/>
      <c r="J1693" s="78"/>
      <c r="K1693" s="78"/>
      <c r="L1693" s="78"/>
      <c r="M1693" s="78"/>
      <c r="N1693" s="78"/>
      <c r="O1693" s="78"/>
      <c r="P1693" s="78"/>
      <c r="Q1693" s="78"/>
      <c r="R1693" s="78"/>
      <c r="S1693" s="78"/>
      <c r="T1693" s="78"/>
      <c r="U1693" s="78"/>
      <c r="V1693" s="78"/>
      <c r="W1693" s="78"/>
      <c r="X1693" s="78"/>
      <c r="Y1693" s="78"/>
      <c r="Z1693" s="78"/>
    </row>
    <row r="1694">
      <c r="A1694" s="78">
        <v>748.0</v>
      </c>
      <c r="B1694" s="78"/>
      <c r="C1694" s="138"/>
      <c r="D1694" s="78"/>
      <c r="E1694" s="139" t="str">
        <f t="array" ref="E1694">IF(
UPPER(TRIM(CLEAN($O1694)))="ENTREGADO",
IFERROR(
INDEX(REPORTE_DROPI!Y:Y,
MATCH($T1694, REPORTE_DROPI!B:B, 0)
),
""
),
""
)
</f>
        <v/>
      </c>
      <c r="F1694" s="78"/>
      <c r="G1694" s="78"/>
      <c r="H1694" s="78"/>
      <c r="I1694" s="78"/>
      <c r="J1694" s="78"/>
      <c r="K1694" s="78"/>
      <c r="L1694" s="78"/>
      <c r="M1694" s="78"/>
      <c r="N1694" s="78"/>
      <c r="O1694" s="78"/>
      <c r="P1694" s="78"/>
      <c r="Q1694" s="78"/>
      <c r="R1694" s="78"/>
      <c r="S1694" s="78"/>
      <c r="T1694" s="78"/>
      <c r="U1694" s="78"/>
      <c r="V1694" s="78"/>
      <c r="W1694" s="78"/>
      <c r="X1694" s="78"/>
      <c r="Y1694" s="78"/>
      <c r="Z1694" s="78"/>
    </row>
    <row r="1695">
      <c r="A1695" s="78">
        <v>749.0</v>
      </c>
      <c r="B1695" s="78"/>
      <c r="C1695" s="138"/>
      <c r="D1695" s="78"/>
      <c r="E1695" s="139" t="str">
        <f t="array" ref="E1695">IF(
UPPER(TRIM(CLEAN($O1695)))="ENTREGADO",
IFERROR(
INDEX(REPORTE_DROPI!Y:Y,
MATCH($T1695, REPORTE_DROPI!B:B, 0)
),
""
),
""
)
</f>
        <v/>
      </c>
      <c r="F1695" s="78"/>
      <c r="G1695" s="78"/>
      <c r="H1695" s="78"/>
      <c r="I1695" s="78"/>
      <c r="J1695" s="78"/>
      <c r="K1695" s="78"/>
      <c r="L1695" s="78"/>
      <c r="M1695" s="78"/>
      <c r="N1695" s="78"/>
      <c r="O1695" s="78"/>
      <c r="P1695" s="78"/>
      <c r="Q1695" s="78"/>
      <c r="R1695" s="78"/>
      <c r="S1695" s="78"/>
      <c r="T1695" s="78"/>
      <c r="U1695" s="78"/>
      <c r="V1695" s="78"/>
      <c r="W1695" s="78"/>
      <c r="X1695" s="78"/>
      <c r="Y1695" s="78"/>
      <c r="Z1695" s="78"/>
    </row>
    <row r="1696">
      <c r="A1696" s="78">
        <v>750.0</v>
      </c>
      <c r="B1696" s="78"/>
      <c r="C1696" s="138"/>
      <c r="D1696" s="78"/>
      <c r="E1696" s="139" t="str">
        <f t="array" ref="E1696">IF(
UPPER(TRIM(CLEAN($O1696)))="ENTREGADO",
IFERROR(
INDEX(REPORTE_DROPI!Y:Y,
MATCH($T1696, REPORTE_DROPI!B:B, 0)
),
""
),
""
)
</f>
        <v/>
      </c>
      <c r="F1696" s="78"/>
      <c r="G1696" s="78"/>
      <c r="H1696" s="78"/>
      <c r="I1696" s="78"/>
      <c r="J1696" s="78"/>
      <c r="K1696" s="78"/>
      <c r="L1696" s="78"/>
      <c r="M1696" s="78"/>
      <c r="N1696" s="78"/>
      <c r="O1696" s="78"/>
      <c r="P1696" s="78"/>
      <c r="Q1696" s="78"/>
      <c r="R1696" s="78"/>
      <c r="S1696" s="78"/>
      <c r="T1696" s="78"/>
      <c r="U1696" s="78"/>
      <c r="V1696" s="78"/>
      <c r="W1696" s="78"/>
      <c r="X1696" s="78"/>
      <c r="Y1696" s="78"/>
      <c r="Z1696" s="78"/>
    </row>
    <row r="1697">
      <c r="A1697" s="78">
        <v>751.0</v>
      </c>
      <c r="B1697" s="78"/>
      <c r="C1697" s="138"/>
      <c r="D1697" s="78"/>
      <c r="E1697" s="139" t="str">
        <f t="array" ref="E1697">IF(
UPPER(TRIM(CLEAN($O1697)))="ENTREGADO",
IFERROR(
INDEX(REPORTE_DROPI!Y:Y,
MATCH($T1697, REPORTE_DROPI!B:B, 0)
),
""
),
""
)
</f>
        <v/>
      </c>
      <c r="F1697" s="78"/>
      <c r="G1697" s="78"/>
      <c r="H1697" s="78"/>
      <c r="I1697" s="78"/>
      <c r="J1697" s="78"/>
      <c r="K1697" s="78"/>
      <c r="L1697" s="78"/>
      <c r="M1697" s="78"/>
      <c r="N1697" s="78"/>
      <c r="O1697" s="78"/>
      <c r="P1697" s="78"/>
      <c r="Q1697" s="78"/>
      <c r="R1697" s="78"/>
      <c r="S1697" s="78"/>
      <c r="T1697" s="78"/>
      <c r="U1697" s="78"/>
      <c r="V1697" s="78"/>
      <c r="W1697" s="78"/>
      <c r="X1697" s="78"/>
      <c r="Y1697" s="78"/>
      <c r="Z1697" s="78"/>
    </row>
    <row r="1698">
      <c r="A1698" s="78">
        <v>752.0</v>
      </c>
      <c r="B1698" s="78"/>
      <c r="C1698" s="138"/>
      <c r="D1698" s="78"/>
      <c r="E1698" s="139" t="str">
        <f t="array" ref="E1698">IF(
UPPER(TRIM(CLEAN($O1698)))="ENTREGADO",
IFERROR(
INDEX(REPORTE_DROPI!Y:Y,
MATCH($T1698, REPORTE_DROPI!B:B, 0)
),
""
),
""
)
</f>
        <v/>
      </c>
      <c r="F1698" s="78"/>
      <c r="G1698" s="78"/>
      <c r="H1698" s="78"/>
      <c r="I1698" s="78"/>
      <c r="J1698" s="78"/>
      <c r="K1698" s="78"/>
      <c r="L1698" s="78"/>
      <c r="M1698" s="78"/>
      <c r="N1698" s="78"/>
      <c r="O1698" s="78"/>
      <c r="P1698" s="78"/>
      <c r="Q1698" s="78"/>
      <c r="R1698" s="78"/>
      <c r="S1698" s="78"/>
      <c r="T1698" s="78"/>
      <c r="U1698" s="78"/>
      <c r="V1698" s="78"/>
      <c r="W1698" s="78"/>
      <c r="X1698" s="78"/>
      <c r="Y1698" s="78"/>
      <c r="Z1698" s="78"/>
    </row>
    <row r="1699">
      <c r="A1699" s="78">
        <v>753.0</v>
      </c>
      <c r="B1699" s="78"/>
      <c r="C1699" s="138"/>
      <c r="D1699" s="78"/>
      <c r="E1699" s="139" t="str">
        <f t="array" ref="E1699">IF(
UPPER(TRIM(CLEAN($O1699)))="ENTREGADO",
IFERROR(
INDEX(REPORTE_DROPI!Y:Y,
MATCH($T1699, REPORTE_DROPI!B:B, 0)
),
""
),
""
)
</f>
        <v/>
      </c>
      <c r="F1699" s="78"/>
      <c r="G1699" s="78"/>
      <c r="H1699" s="78"/>
      <c r="I1699" s="78"/>
      <c r="J1699" s="78"/>
      <c r="K1699" s="78"/>
      <c r="L1699" s="78"/>
      <c r="M1699" s="78"/>
      <c r="N1699" s="78"/>
      <c r="O1699" s="78"/>
      <c r="P1699" s="78"/>
      <c r="Q1699" s="78"/>
      <c r="R1699" s="78"/>
      <c r="S1699" s="78"/>
      <c r="T1699" s="78"/>
      <c r="U1699" s="78"/>
      <c r="V1699" s="78"/>
      <c r="W1699" s="78"/>
      <c r="X1699" s="78"/>
      <c r="Y1699" s="78"/>
      <c r="Z1699" s="78"/>
    </row>
    <row r="1700">
      <c r="A1700" s="78">
        <v>754.0</v>
      </c>
      <c r="B1700" s="78"/>
      <c r="C1700" s="138"/>
      <c r="D1700" s="78"/>
      <c r="E1700" s="139" t="str">
        <f t="array" ref="E1700">IF(
UPPER(TRIM(CLEAN($O1700)))="ENTREGADO",
IFERROR(
INDEX(REPORTE_DROPI!Y:Y,
MATCH($T1700, REPORTE_DROPI!B:B, 0)
),
""
),
""
)
</f>
        <v/>
      </c>
      <c r="F1700" s="78"/>
      <c r="G1700" s="78"/>
      <c r="H1700" s="78"/>
      <c r="I1700" s="78"/>
      <c r="J1700" s="78"/>
      <c r="K1700" s="78"/>
      <c r="L1700" s="78"/>
      <c r="M1700" s="78"/>
      <c r="N1700" s="78"/>
      <c r="O1700" s="78"/>
      <c r="P1700" s="78"/>
      <c r="Q1700" s="78"/>
      <c r="R1700" s="78"/>
      <c r="S1700" s="78"/>
      <c r="T1700" s="78"/>
      <c r="U1700" s="78"/>
      <c r="V1700" s="78"/>
      <c r="W1700" s="78"/>
      <c r="X1700" s="78"/>
      <c r="Y1700" s="78"/>
      <c r="Z1700" s="78"/>
    </row>
    <row r="1701">
      <c r="A1701" s="78">
        <v>755.0</v>
      </c>
      <c r="B1701" s="78"/>
      <c r="C1701" s="138"/>
      <c r="D1701" s="78"/>
      <c r="E1701" s="139" t="str">
        <f t="array" ref="E1701">IF(
UPPER(TRIM(CLEAN($O1701)))="ENTREGADO",
IFERROR(
INDEX(REPORTE_DROPI!Y:Y,
MATCH($T1701, REPORTE_DROPI!B:B, 0)
),
""
),
""
)
</f>
        <v/>
      </c>
      <c r="F1701" s="78"/>
      <c r="G1701" s="78"/>
      <c r="H1701" s="78"/>
      <c r="I1701" s="78"/>
      <c r="J1701" s="78"/>
      <c r="K1701" s="78"/>
      <c r="L1701" s="78"/>
      <c r="M1701" s="78"/>
      <c r="N1701" s="78"/>
      <c r="O1701" s="78"/>
      <c r="P1701" s="78"/>
      <c r="Q1701" s="78"/>
      <c r="R1701" s="78"/>
      <c r="S1701" s="78"/>
      <c r="T1701" s="78"/>
      <c r="U1701" s="78"/>
      <c r="V1701" s="78"/>
      <c r="W1701" s="78"/>
      <c r="X1701" s="78"/>
      <c r="Y1701" s="78"/>
      <c r="Z1701" s="78"/>
    </row>
    <row r="1702">
      <c r="A1702" s="78">
        <v>756.0</v>
      </c>
      <c r="B1702" s="78"/>
      <c r="C1702" s="138"/>
      <c r="D1702" s="78"/>
      <c r="E1702" s="139" t="str">
        <f t="array" ref="E1702">IF(
UPPER(TRIM(CLEAN($O1702)))="ENTREGADO",
IFERROR(
INDEX(REPORTE_DROPI!Y:Y,
MATCH($T1702, REPORTE_DROPI!B:B, 0)
),
""
),
""
)
</f>
        <v/>
      </c>
      <c r="F1702" s="78"/>
      <c r="G1702" s="78"/>
      <c r="H1702" s="78"/>
      <c r="I1702" s="78"/>
      <c r="J1702" s="78"/>
      <c r="K1702" s="78"/>
      <c r="L1702" s="78"/>
      <c r="M1702" s="78"/>
      <c r="N1702" s="78"/>
      <c r="O1702" s="78"/>
      <c r="P1702" s="78"/>
      <c r="Q1702" s="78"/>
      <c r="R1702" s="78"/>
      <c r="S1702" s="78"/>
      <c r="T1702" s="78"/>
      <c r="U1702" s="78"/>
      <c r="V1702" s="78"/>
      <c r="W1702" s="78"/>
      <c r="X1702" s="78"/>
      <c r="Y1702" s="78"/>
      <c r="Z1702" s="78"/>
    </row>
    <row r="1703">
      <c r="A1703" s="78">
        <v>757.0</v>
      </c>
      <c r="B1703" s="78"/>
      <c r="C1703" s="138"/>
      <c r="D1703" s="78"/>
      <c r="E1703" s="139" t="str">
        <f t="array" ref="E1703">IF(
UPPER(TRIM(CLEAN($O1703)))="ENTREGADO",
IFERROR(
INDEX(REPORTE_DROPI!Y:Y,
MATCH($T1703, REPORTE_DROPI!B:B, 0)
),
""
),
""
)
</f>
        <v/>
      </c>
      <c r="F1703" s="78"/>
      <c r="G1703" s="78"/>
      <c r="H1703" s="78"/>
      <c r="I1703" s="78"/>
      <c r="J1703" s="78"/>
      <c r="K1703" s="78"/>
      <c r="L1703" s="78"/>
      <c r="M1703" s="78"/>
      <c r="N1703" s="78"/>
      <c r="O1703" s="78"/>
      <c r="P1703" s="78"/>
      <c r="Q1703" s="78"/>
      <c r="R1703" s="78"/>
      <c r="S1703" s="78"/>
      <c r="T1703" s="78"/>
      <c r="U1703" s="78"/>
      <c r="V1703" s="78"/>
      <c r="W1703" s="78"/>
      <c r="X1703" s="78"/>
      <c r="Y1703" s="78"/>
      <c r="Z1703" s="78"/>
    </row>
    <row r="1704">
      <c r="A1704" s="78">
        <v>758.0</v>
      </c>
      <c r="B1704" s="78"/>
      <c r="C1704" s="138"/>
      <c r="D1704" s="78"/>
      <c r="E1704" s="139" t="str">
        <f t="array" ref="E1704">IF(
UPPER(TRIM(CLEAN($O1704)))="ENTREGADO",
IFERROR(
INDEX(REPORTE_DROPI!Y:Y,
MATCH($T1704, REPORTE_DROPI!B:B, 0)
),
""
),
""
)
</f>
        <v/>
      </c>
      <c r="F1704" s="78"/>
      <c r="G1704" s="78"/>
      <c r="H1704" s="78"/>
      <c r="I1704" s="78"/>
      <c r="J1704" s="78"/>
      <c r="K1704" s="78"/>
      <c r="L1704" s="78"/>
      <c r="M1704" s="78"/>
      <c r="N1704" s="78"/>
      <c r="O1704" s="78"/>
      <c r="P1704" s="78"/>
      <c r="Q1704" s="78"/>
      <c r="R1704" s="78"/>
      <c r="S1704" s="78"/>
      <c r="T1704" s="78"/>
      <c r="U1704" s="78"/>
      <c r="V1704" s="78"/>
      <c r="W1704" s="78"/>
      <c r="X1704" s="78"/>
      <c r="Y1704" s="78"/>
      <c r="Z1704" s="78"/>
    </row>
    <row r="1705">
      <c r="A1705" s="78">
        <v>759.0</v>
      </c>
      <c r="B1705" s="78"/>
      <c r="C1705" s="138"/>
      <c r="D1705" s="78"/>
      <c r="E1705" s="139" t="str">
        <f t="array" ref="E1705">IF(
UPPER(TRIM(CLEAN($O1705)))="ENTREGADO",
IFERROR(
INDEX(REPORTE_DROPI!Y:Y,
MATCH($T1705, REPORTE_DROPI!B:B, 0)
),
""
),
""
)
</f>
        <v/>
      </c>
      <c r="F1705" s="78"/>
      <c r="G1705" s="78"/>
      <c r="H1705" s="78"/>
      <c r="I1705" s="78"/>
      <c r="J1705" s="78"/>
      <c r="K1705" s="78"/>
      <c r="L1705" s="78"/>
      <c r="M1705" s="78"/>
      <c r="N1705" s="78"/>
      <c r="O1705" s="78"/>
      <c r="P1705" s="78"/>
      <c r="Q1705" s="78"/>
      <c r="R1705" s="78"/>
      <c r="S1705" s="78"/>
      <c r="T1705" s="78"/>
      <c r="U1705" s="78"/>
      <c r="V1705" s="78"/>
      <c r="W1705" s="78"/>
      <c r="X1705" s="78"/>
      <c r="Y1705" s="78"/>
      <c r="Z1705" s="78"/>
    </row>
    <row r="1706">
      <c r="A1706" s="78">
        <v>760.0</v>
      </c>
      <c r="B1706" s="78"/>
      <c r="C1706" s="138"/>
      <c r="D1706" s="78"/>
      <c r="E1706" s="139" t="str">
        <f t="array" ref="E1706">IF(
UPPER(TRIM(CLEAN($O1706)))="ENTREGADO",
IFERROR(
INDEX(REPORTE_DROPI!Y:Y,
MATCH($T1706, REPORTE_DROPI!B:B, 0)
),
""
),
""
)
</f>
        <v/>
      </c>
      <c r="F1706" s="78"/>
      <c r="G1706" s="78"/>
      <c r="H1706" s="78"/>
      <c r="I1706" s="78"/>
      <c r="J1706" s="78"/>
      <c r="K1706" s="78"/>
      <c r="L1706" s="78"/>
      <c r="M1706" s="78"/>
      <c r="N1706" s="78"/>
      <c r="O1706" s="78"/>
      <c r="P1706" s="78"/>
      <c r="Q1706" s="78"/>
      <c r="R1706" s="78"/>
      <c r="S1706" s="78"/>
      <c r="T1706" s="78"/>
      <c r="U1706" s="78"/>
      <c r="V1706" s="78"/>
      <c r="W1706" s="78"/>
      <c r="X1706" s="78"/>
      <c r="Y1706" s="78"/>
      <c r="Z1706" s="78"/>
    </row>
    <row r="1707">
      <c r="A1707" s="78">
        <v>761.0</v>
      </c>
      <c r="B1707" s="78"/>
      <c r="C1707" s="138"/>
      <c r="D1707" s="78"/>
      <c r="E1707" s="139" t="str">
        <f t="array" ref="E1707">IF(
UPPER(TRIM(CLEAN($O1707)))="ENTREGADO",
IFERROR(
INDEX(REPORTE_DROPI!Y:Y,
MATCH($T1707, REPORTE_DROPI!B:B, 0)
),
""
),
""
)
</f>
        <v/>
      </c>
      <c r="F1707" s="78"/>
      <c r="G1707" s="78"/>
      <c r="H1707" s="78"/>
      <c r="I1707" s="78"/>
      <c r="J1707" s="78"/>
      <c r="K1707" s="78"/>
      <c r="L1707" s="78"/>
      <c r="M1707" s="78"/>
      <c r="N1707" s="78"/>
      <c r="O1707" s="78"/>
      <c r="P1707" s="78"/>
      <c r="Q1707" s="78"/>
      <c r="R1707" s="78"/>
      <c r="S1707" s="78"/>
      <c r="T1707" s="78"/>
      <c r="U1707" s="78"/>
      <c r="V1707" s="78"/>
      <c r="W1707" s="78"/>
      <c r="X1707" s="78"/>
      <c r="Y1707" s="78"/>
      <c r="Z1707" s="78"/>
    </row>
    <row r="1708">
      <c r="A1708" s="78">
        <v>762.0</v>
      </c>
      <c r="B1708" s="78"/>
      <c r="C1708" s="138"/>
      <c r="D1708" s="78"/>
      <c r="E1708" s="139" t="str">
        <f t="array" ref="E1708">IF(
UPPER(TRIM(CLEAN($O1708)))="ENTREGADO",
IFERROR(
INDEX(REPORTE_DROPI!Y:Y,
MATCH($T1708, REPORTE_DROPI!B:B, 0)
),
""
),
""
)
</f>
        <v/>
      </c>
      <c r="F1708" s="78"/>
      <c r="G1708" s="78"/>
      <c r="H1708" s="78"/>
      <c r="I1708" s="78"/>
      <c r="J1708" s="78"/>
      <c r="K1708" s="78"/>
      <c r="L1708" s="78"/>
      <c r="M1708" s="78"/>
      <c r="N1708" s="78"/>
      <c r="O1708" s="78"/>
      <c r="P1708" s="78"/>
      <c r="Q1708" s="78"/>
      <c r="R1708" s="78"/>
      <c r="S1708" s="78"/>
      <c r="T1708" s="78"/>
      <c r="U1708" s="78"/>
      <c r="V1708" s="78"/>
      <c r="W1708" s="78"/>
      <c r="X1708" s="78"/>
      <c r="Y1708" s="78"/>
      <c r="Z1708" s="78"/>
    </row>
    <row r="1709">
      <c r="A1709" s="78">
        <v>763.0</v>
      </c>
      <c r="B1709" s="78"/>
      <c r="C1709" s="138"/>
      <c r="D1709" s="78"/>
      <c r="E1709" s="139" t="str">
        <f t="array" ref="E1709">IF(
UPPER(TRIM(CLEAN($O1709)))="ENTREGADO",
IFERROR(
INDEX(REPORTE_DROPI!Y:Y,
MATCH($T1709, REPORTE_DROPI!B:B, 0)
),
""
),
""
)
</f>
        <v/>
      </c>
      <c r="F1709" s="78"/>
      <c r="G1709" s="78"/>
      <c r="H1709" s="78"/>
      <c r="I1709" s="78"/>
      <c r="J1709" s="78"/>
      <c r="K1709" s="78"/>
      <c r="L1709" s="78"/>
      <c r="M1709" s="78"/>
      <c r="N1709" s="78"/>
      <c r="O1709" s="78"/>
      <c r="P1709" s="78"/>
      <c r="Q1709" s="78"/>
      <c r="R1709" s="78"/>
      <c r="S1709" s="78"/>
      <c r="T1709" s="78"/>
      <c r="U1709" s="78"/>
      <c r="V1709" s="78"/>
      <c r="W1709" s="78"/>
      <c r="X1709" s="78"/>
      <c r="Y1709" s="78"/>
      <c r="Z1709" s="78"/>
    </row>
    <row r="1710">
      <c r="A1710" s="78">
        <v>764.0</v>
      </c>
      <c r="B1710" s="78"/>
      <c r="C1710" s="138"/>
      <c r="D1710" s="78"/>
      <c r="E1710" s="139" t="str">
        <f t="array" ref="E1710">IF(
UPPER(TRIM(CLEAN($O1710)))="ENTREGADO",
IFERROR(
INDEX(REPORTE_DROPI!Y:Y,
MATCH($T1710, REPORTE_DROPI!B:B, 0)
),
""
),
""
)
</f>
        <v/>
      </c>
      <c r="F1710" s="78"/>
      <c r="G1710" s="78"/>
      <c r="H1710" s="78"/>
      <c r="I1710" s="78"/>
      <c r="J1710" s="78"/>
      <c r="K1710" s="78"/>
      <c r="L1710" s="78"/>
      <c r="M1710" s="78"/>
      <c r="N1710" s="78"/>
      <c r="O1710" s="78"/>
      <c r="P1710" s="78"/>
      <c r="Q1710" s="78"/>
      <c r="R1710" s="78"/>
      <c r="S1710" s="78"/>
      <c r="T1710" s="78"/>
      <c r="U1710" s="78"/>
      <c r="V1710" s="78"/>
      <c r="W1710" s="78"/>
      <c r="X1710" s="78"/>
      <c r="Y1710" s="78"/>
      <c r="Z1710" s="78"/>
    </row>
    <row r="1711">
      <c r="A1711" s="78">
        <v>765.0</v>
      </c>
      <c r="B1711" s="78"/>
      <c r="C1711" s="138"/>
      <c r="D1711" s="78"/>
      <c r="E1711" s="139" t="str">
        <f t="array" ref="E1711">IF(
UPPER(TRIM(CLEAN($O1711)))="ENTREGADO",
IFERROR(
INDEX(REPORTE_DROPI!Y:Y,
MATCH($T1711, REPORTE_DROPI!B:B, 0)
),
""
),
""
)
</f>
        <v/>
      </c>
      <c r="F1711" s="78"/>
      <c r="G1711" s="78"/>
      <c r="H1711" s="78"/>
      <c r="I1711" s="78"/>
      <c r="J1711" s="78"/>
      <c r="K1711" s="78"/>
      <c r="L1711" s="78"/>
      <c r="M1711" s="78"/>
      <c r="N1711" s="78"/>
      <c r="O1711" s="78"/>
      <c r="P1711" s="78"/>
      <c r="Q1711" s="78"/>
      <c r="R1711" s="78"/>
      <c r="S1711" s="78"/>
      <c r="T1711" s="78"/>
      <c r="U1711" s="78"/>
      <c r="V1711" s="78"/>
      <c r="W1711" s="78"/>
      <c r="X1711" s="78"/>
      <c r="Y1711" s="78"/>
      <c r="Z1711" s="78"/>
    </row>
    <row r="1712">
      <c r="A1712" s="78">
        <v>766.0</v>
      </c>
      <c r="B1712" s="78"/>
      <c r="C1712" s="138"/>
      <c r="D1712" s="78"/>
      <c r="E1712" s="139" t="str">
        <f t="array" ref="E1712">IF(
UPPER(TRIM(CLEAN($O1712)))="ENTREGADO",
IFERROR(
INDEX(REPORTE_DROPI!Y:Y,
MATCH($T1712, REPORTE_DROPI!B:B, 0)
),
""
),
""
)
</f>
        <v/>
      </c>
      <c r="F1712" s="78"/>
      <c r="G1712" s="78"/>
      <c r="H1712" s="78"/>
      <c r="I1712" s="78"/>
      <c r="J1712" s="78"/>
      <c r="K1712" s="78"/>
      <c r="L1712" s="78"/>
      <c r="M1712" s="78"/>
      <c r="N1712" s="78"/>
      <c r="O1712" s="78"/>
      <c r="P1712" s="78"/>
      <c r="Q1712" s="78"/>
      <c r="R1712" s="78"/>
      <c r="S1712" s="78"/>
      <c r="T1712" s="78"/>
      <c r="U1712" s="78"/>
      <c r="V1712" s="78"/>
      <c r="W1712" s="78"/>
      <c r="X1712" s="78"/>
      <c r="Y1712" s="78"/>
      <c r="Z1712" s="78"/>
    </row>
    <row r="1713">
      <c r="A1713" s="78">
        <v>767.0</v>
      </c>
      <c r="B1713" s="78"/>
      <c r="C1713" s="138"/>
      <c r="D1713" s="78"/>
      <c r="E1713" s="139" t="str">
        <f t="array" ref="E1713">IF(
UPPER(TRIM(CLEAN($O1713)))="ENTREGADO",
IFERROR(
INDEX(REPORTE_DROPI!Y:Y,
MATCH($T1713, REPORTE_DROPI!B:B, 0)
),
""
),
""
)
</f>
        <v/>
      </c>
      <c r="F1713" s="78"/>
      <c r="G1713" s="78"/>
      <c r="H1713" s="78"/>
      <c r="I1713" s="78"/>
      <c r="J1713" s="78"/>
      <c r="K1713" s="78"/>
      <c r="L1713" s="78"/>
      <c r="M1713" s="78"/>
      <c r="N1713" s="78"/>
      <c r="O1713" s="78"/>
      <c r="P1713" s="78"/>
      <c r="Q1713" s="78"/>
      <c r="R1713" s="78"/>
      <c r="S1713" s="78"/>
      <c r="T1713" s="78"/>
      <c r="U1713" s="78"/>
      <c r="V1713" s="78"/>
      <c r="W1713" s="78"/>
      <c r="X1713" s="78"/>
      <c r="Y1713" s="78"/>
      <c r="Z1713" s="78"/>
    </row>
    <row r="1714">
      <c r="A1714" s="78">
        <v>768.0</v>
      </c>
      <c r="B1714" s="78"/>
      <c r="C1714" s="138"/>
      <c r="D1714" s="78"/>
      <c r="E1714" s="139" t="str">
        <f t="array" ref="E1714">IF(
UPPER(TRIM(CLEAN($O1714)))="ENTREGADO",
IFERROR(
INDEX(REPORTE_DROPI!Y:Y,
MATCH($T1714, REPORTE_DROPI!B:B, 0)
),
""
),
""
)
</f>
        <v/>
      </c>
      <c r="F1714" s="78"/>
      <c r="G1714" s="78"/>
      <c r="H1714" s="78"/>
      <c r="I1714" s="78"/>
      <c r="J1714" s="78"/>
      <c r="K1714" s="78"/>
      <c r="L1714" s="78"/>
      <c r="M1714" s="78"/>
      <c r="N1714" s="78"/>
      <c r="O1714" s="78"/>
      <c r="P1714" s="78"/>
      <c r="Q1714" s="78"/>
      <c r="R1714" s="78"/>
      <c r="S1714" s="78"/>
      <c r="T1714" s="78"/>
      <c r="U1714" s="78"/>
      <c r="V1714" s="78"/>
      <c r="W1714" s="78"/>
      <c r="X1714" s="78"/>
      <c r="Y1714" s="78"/>
      <c r="Z1714" s="78"/>
    </row>
    <row r="1715">
      <c r="A1715" s="78">
        <v>769.0</v>
      </c>
      <c r="B1715" s="78"/>
      <c r="C1715" s="138"/>
      <c r="D1715" s="78"/>
      <c r="E1715" s="139" t="str">
        <f t="array" ref="E1715">IF(
UPPER(TRIM(CLEAN($O1715)))="ENTREGADO",
IFERROR(
INDEX(REPORTE_DROPI!Y:Y,
MATCH($T1715, REPORTE_DROPI!B:B, 0)
),
""
),
""
)
</f>
        <v/>
      </c>
      <c r="F1715" s="78"/>
      <c r="G1715" s="78"/>
      <c r="H1715" s="78"/>
      <c r="I1715" s="78"/>
      <c r="J1715" s="78"/>
      <c r="K1715" s="78"/>
      <c r="L1715" s="78"/>
      <c r="M1715" s="78"/>
      <c r="N1715" s="78"/>
      <c r="O1715" s="78"/>
      <c r="P1715" s="78"/>
      <c r="Q1715" s="78"/>
      <c r="R1715" s="78"/>
      <c r="S1715" s="78"/>
      <c r="T1715" s="78"/>
      <c r="U1715" s="78"/>
      <c r="V1715" s="78"/>
      <c r="W1715" s="78"/>
      <c r="X1715" s="78"/>
      <c r="Y1715" s="78"/>
      <c r="Z1715" s="78"/>
    </row>
    <row r="1716">
      <c r="A1716" s="78">
        <v>770.0</v>
      </c>
      <c r="B1716" s="78"/>
      <c r="C1716" s="138"/>
      <c r="D1716" s="78"/>
      <c r="E1716" s="139" t="str">
        <f t="array" ref="E1716">IF(
UPPER(TRIM(CLEAN($O1716)))="ENTREGADO",
IFERROR(
INDEX(REPORTE_DROPI!Y:Y,
MATCH($T1716, REPORTE_DROPI!B:B, 0)
),
""
),
""
)
</f>
        <v/>
      </c>
      <c r="F1716" s="78"/>
      <c r="G1716" s="78"/>
      <c r="H1716" s="78"/>
      <c r="I1716" s="78"/>
      <c r="J1716" s="78"/>
      <c r="K1716" s="78"/>
      <c r="L1716" s="78"/>
      <c r="M1716" s="78"/>
      <c r="N1716" s="78"/>
      <c r="O1716" s="78"/>
      <c r="P1716" s="78"/>
      <c r="Q1716" s="78"/>
      <c r="R1716" s="78"/>
      <c r="S1716" s="78"/>
      <c r="T1716" s="78"/>
      <c r="U1716" s="78"/>
      <c r="V1716" s="78"/>
      <c r="W1716" s="78"/>
      <c r="X1716" s="78"/>
      <c r="Y1716" s="78"/>
      <c r="Z1716" s="78"/>
    </row>
    <row r="1717">
      <c r="A1717" s="78">
        <v>771.0</v>
      </c>
      <c r="B1717" s="78"/>
      <c r="C1717" s="138"/>
      <c r="D1717" s="78"/>
      <c r="E1717" s="139" t="str">
        <f t="array" ref="E1717">IF(
UPPER(TRIM(CLEAN($O1717)))="ENTREGADO",
IFERROR(
INDEX(REPORTE_DROPI!Y:Y,
MATCH($T1717, REPORTE_DROPI!B:B, 0)
),
""
),
""
)
</f>
        <v/>
      </c>
      <c r="F1717" s="78"/>
      <c r="G1717" s="78"/>
      <c r="H1717" s="78"/>
      <c r="I1717" s="78"/>
      <c r="J1717" s="78"/>
      <c r="K1717" s="78"/>
      <c r="L1717" s="78"/>
      <c r="M1717" s="78"/>
      <c r="N1717" s="78"/>
      <c r="O1717" s="78"/>
      <c r="P1717" s="78"/>
      <c r="Q1717" s="78"/>
      <c r="R1717" s="78"/>
      <c r="S1717" s="78"/>
      <c r="T1717" s="78"/>
      <c r="U1717" s="78"/>
      <c r="V1717" s="78"/>
      <c r="W1717" s="78"/>
      <c r="X1717" s="78"/>
      <c r="Y1717" s="78"/>
      <c r="Z1717" s="78"/>
    </row>
    <row r="1718">
      <c r="A1718" s="78">
        <v>772.0</v>
      </c>
      <c r="B1718" s="78"/>
      <c r="C1718" s="138"/>
      <c r="D1718" s="78"/>
      <c r="E1718" s="139" t="str">
        <f t="array" ref="E1718">IF(
UPPER(TRIM(CLEAN($O1718)))="ENTREGADO",
IFERROR(
INDEX(REPORTE_DROPI!Y:Y,
MATCH($T1718, REPORTE_DROPI!B:B, 0)
),
""
),
""
)
</f>
        <v/>
      </c>
      <c r="F1718" s="78"/>
      <c r="G1718" s="78"/>
      <c r="H1718" s="78"/>
      <c r="I1718" s="78"/>
      <c r="J1718" s="78"/>
      <c r="K1718" s="78"/>
      <c r="L1718" s="78"/>
      <c r="M1718" s="78"/>
      <c r="N1718" s="78"/>
      <c r="O1718" s="78"/>
      <c r="P1718" s="78"/>
      <c r="Q1718" s="78"/>
      <c r="R1718" s="78"/>
      <c r="S1718" s="78"/>
      <c r="T1718" s="78"/>
      <c r="U1718" s="78"/>
      <c r="V1718" s="78"/>
      <c r="W1718" s="78"/>
      <c r="X1718" s="78"/>
      <c r="Y1718" s="78"/>
      <c r="Z1718" s="78"/>
    </row>
    <row r="1719">
      <c r="A1719" s="78">
        <v>773.0</v>
      </c>
      <c r="B1719" s="78"/>
      <c r="C1719" s="138"/>
      <c r="D1719" s="78"/>
      <c r="E1719" s="139" t="str">
        <f t="array" ref="E1719">IF(
UPPER(TRIM(CLEAN($O1719)))="ENTREGADO",
IFERROR(
INDEX(REPORTE_DROPI!Y:Y,
MATCH($T1719, REPORTE_DROPI!B:B, 0)
),
""
),
""
)
</f>
        <v/>
      </c>
      <c r="F1719" s="78"/>
      <c r="G1719" s="78"/>
      <c r="H1719" s="78"/>
      <c r="I1719" s="78"/>
      <c r="J1719" s="78"/>
      <c r="K1719" s="78"/>
      <c r="L1719" s="78"/>
      <c r="M1719" s="78"/>
      <c r="N1719" s="78"/>
      <c r="O1719" s="78"/>
      <c r="P1719" s="78"/>
      <c r="Q1719" s="78"/>
      <c r="R1719" s="78"/>
      <c r="S1719" s="78"/>
      <c r="T1719" s="78"/>
      <c r="U1719" s="78"/>
      <c r="V1719" s="78"/>
      <c r="W1719" s="78"/>
      <c r="X1719" s="78"/>
      <c r="Y1719" s="78"/>
      <c r="Z1719" s="78"/>
    </row>
    <row r="1720">
      <c r="A1720" s="78">
        <v>774.0</v>
      </c>
      <c r="B1720" s="78"/>
      <c r="C1720" s="138"/>
      <c r="D1720" s="78"/>
      <c r="E1720" s="139" t="str">
        <f t="array" ref="E1720">IF(
UPPER(TRIM(CLEAN($O1720)))="ENTREGADO",
IFERROR(
INDEX(REPORTE_DROPI!Y:Y,
MATCH($T1720, REPORTE_DROPI!B:B, 0)
),
""
),
""
)
</f>
        <v/>
      </c>
      <c r="F1720" s="78"/>
      <c r="G1720" s="78"/>
      <c r="H1720" s="78"/>
      <c r="I1720" s="78"/>
      <c r="J1720" s="78"/>
      <c r="K1720" s="78"/>
      <c r="L1720" s="78"/>
      <c r="M1720" s="78"/>
      <c r="N1720" s="78"/>
      <c r="O1720" s="78"/>
      <c r="P1720" s="78"/>
      <c r="Q1720" s="78"/>
      <c r="R1720" s="78"/>
      <c r="S1720" s="78"/>
      <c r="T1720" s="78"/>
      <c r="U1720" s="78"/>
      <c r="V1720" s="78"/>
      <c r="W1720" s="78"/>
      <c r="X1720" s="78"/>
      <c r="Y1720" s="78"/>
      <c r="Z1720" s="78"/>
    </row>
    <row r="1721">
      <c r="A1721" s="78">
        <v>775.0</v>
      </c>
      <c r="B1721" s="78"/>
      <c r="C1721" s="138"/>
      <c r="D1721" s="78"/>
      <c r="E1721" s="139" t="str">
        <f t="array" ref="E1721">IF(
UPPER(TRIM(CLEAN($O1721)))="ENTREGADO",
IFERROR(
INDEX(REPORTE_DROPI!Y:Y,
MATCH($T1721, REPORTE_DROPI!B:B, 0)
),
""
),
""
)
</f>
        <v/>
      </c>
      <c r="F1721" s="78"/>
      <c r="G1721" s="78"/>
      <c r="H1721" s="78"/>
      <c r="I1721" s="78"/>
      <c r="J1721" s="78"/>
      <c r="K1721" s="78"/>
      <c r="L1721" s="78"/>
      <c r="M1721" s="78"/>
      <c r="N1721" s="78"/>
      <c r="O1721" s="78"/>
      <c r="P1721" s="78"/>
      <c r="Q1721" s="78"/>
      <c r="R1721" s="78"/>
      <c r="S1721" s="78"/>
      <c r="T1721" s="78"/>
      <c r="U1721" s="78"/>
      <c r="V1721" s="78"/>
      <c r="W1721" s="78"/>
      <c r="X1721" s="78"/>
      <c r="Y1721" s="78"/>
      <c r="Z1721" s="78"/>
    </row>
    <row r="1722">
      <c r="A1722" s="78">
        <v>776.0</v>
      </c>
      <c r="B1722" s="78"/>
      <c r="C1722" s="138"/>
      <c r="D1722" s="78"/>
      <c r="E1722" s="139" t="str">
        <f t="array" ref="E1722">IF(
UPPER(TRIM(CLEAN($O1722)))="ENTREGADO",
IFERROR(
INDEX(REPORTE_DROPI!Y:Y,
MATCH($T1722, REPORTE_DROPI!B:B, 0)
),
""
),
""
)
</f>
        <v/>
      </c>
      <c r="F1722" s="78"/>
      <c r="G1722" s="78"/>
      <c r="H1722" s="78"/>
      <c r="I1722" s="78"/>
      <c r="J1722" s="78"/>
      <c r="K1722" s="78"/>
      <c r="L1722" s="78"/>
      <c r="M1722" s="78"/>
      <c r="N1722" s="78"/>
      <c r="O1722" s="78"/>
      <c r="P1722" s="78"/>
      <c r="Q1722" s="78"/>
      <c r="R1722" s="78"/>
      <c r="S1722" s="78"/>
      <c r="T1722" s="78"/>
      <c r="U1722" s="78"/>
      <c r="V1722" s="78"/>
      <c r="W1722" s="78"/>
      <c r="X1722" s="78"/>
      <c r="Y1722" s="78"/>
      <c r="Z1722" s="78"/>
    </row>
    <row r="1723">
      <c r="A1723" s="78">
        <v>777.0</v>
      </c>
      <c r="B1723" s="78"/>
      <c r="C1723" s="138"/>
      <c r="D1723" s="78"/>
      <c r="E1723" s="139" t="str">
        <f t="array" ref="E1723">IF(
UPPER(TRIM(CLEAN($O1723)))="ENTREGADO",
IFERROR(
INDEX(REPORTE_DROPI!Y:Y,
MATCH($T1723, REPORTE_DROPI!B:B, 0)
),
""
),
""
)
</f>
        <v/>
      </c>
      <c r="F1723" s="78"/>
      <c r="G1723" s="78"/>
      <c r="H1723" s="78"/>
      <c r="I1723" s="78"/>
      <c r="J1723" s="78"/>
      <c r="K1723" s="78"/>
      <c r="L1723" s="78"/>
      <c r="M1723" s="78"/>
      <c r="N1723" s="78"/>
      <c r="O1723" s="78"/>
      <c r="P1723" s="78"/>
      <c r="Q1723" s="78"/>
      <c r="R1723" s="78"/>
      <c r="S1723" s="78"/>
      <c r="T1723" s="78"/>
      <c r="U1723" s="78"/>
      <c r="V1723" s="78"/>
      <c r="W1723" s="78"/>
      <c r="X1723" s="78"/>
      <c r="Y1723" s="78"/>
      <c r="Z1723" s="78"/>
    </row>
    <row r="1724">
      <c r="A1724" s="78">
        <v>778.0</v>
      </c>
      <c r="B1724" s="78"/>
      <c r="C1724" s="138"/>
      <c r="D1724" s="78"/>
      <c r="E1724" s="139" t="str">
        <f t="array" ref="E1724">IF(
UPPER(TRIM(CLEAN($O1724)))="ENTREGADO",
IFERROR(
INDEX(REPORTE_DROPI!Y:Y,
MATCH($T1724, REPORTE_DROPI!B:B, 0)
),
""
),
""
)
</f>
        <v/>
      </c>
      <c r="F1724" s="78"/>
      <c r="G1724" s="78"/>
      <c r="H1724" s="78"/>
      <c r="I1724" s="78"/>
      <c r="J1724" s="78"/>
      <c r="K1724" s="78"/>
      <c r="L1724" s="78"/>
      <c r="M1724" s="78"/>
      <c r="N1724" s="78"/>
      <c r="O1724" s="78"/>
      <c r="P1724" s="78"/>
      <c r="Q1724" s="78"/>
      <c r="R1724" s="78"/>
      <c r="S1724" s="78"/>
      <c r="T1724" s="78"/>
      <c r="U1724" s="78"/>
      <c r="V1724" s="78"/>
      <c r="W1724" s="78"/>
      <c r="X1724" s="78"/>
      <c r="Y1724" s="78"/>
      <c r="Z1724" s="78"/>
    </row>
    <row r="1725">
      <c r="A1725" s="78">
        <v>779.0</v>
      </c>
      <c r="B1725" s="78"/>
      <c r="C1725" s="138"/>
      <c r="D1725" s="78"/>
      <c r="E1725" s="139" t="str">
        <f t="array" ref="E1725">IF(
UPPER(TRIM(CLEAN($O1725)))="ENTREGADO",
IFERROR(
INDEX(REPORTE_DROPI!Y:Y,
MATCH($T1725, REPORTE_DROPI!B:B, 0)
),
""
),
""
)
</f>
        <v/>
      </c>
      <c r="F1725" s="78"/>
      <c r="G1725" s="78"/>
      <c r="H1725" s="78"/>
      <c r="I1725" s="78"/>
      <c r="J1725" s="78"/>
      <c r="K1725" s="78"/>
      <c r="L1725" s="78"/>
      <c r="M1725" s="78"/>
      <c r="N1725" s="78"/>
      <c r="O1725" s="78"/>
      <c r="P1725" s="78"/>
      <c r="Q1725" s="78"/>
      <c r="R1725" s="78"/>
      <c r="S1725" s="78"/>
      <c r="T1725" s="78"/>
      <c r="U1725" s="78"/>
      <c r="V1725" s="78"/>
      <c r="W1725" s="78"/>
      <c r="X1725" s="78"/>
      <c r="Y1725" s="78"/>
      <c r="Z1725" s="78"/>
    </row>
    <row r="1726">
      <c r="A1726" s="78">
        <v>780.0</v>
      </c>
      <c r="B1726" s="78"/>
      <c r="C1726" s="138"/>
      <c r="D1726" s="78"/>
      <c r="E1726" s="139" t="str">
        <f t="array" ref="E1726">IF(
UPPER(TRIM(CLEAN($O1726)))="ENTREGADO",
IFERROR(
INDEX(REPORTE_DROPI!Y:Y,
MATCH($T1726, REPORTE_DROPI!B:B, 0)
),
""
),
""
)
</f>
        <v/>
      </c>
      <c r="F1726" s="78"/>
      <c r="G1726" s="78"/>
      <c r="H1726" s="78"/>
      <c r="I1726" s="78"/>
      <c r="J1726" s="78"/>
      <c r="K1726" s="78"/>
      <c r="L1726" s="78"/>
      <c r="M1726" s="78"/>
      <c r="N1726" s="78"/>
      <c r="O1726" s="78"/>
      <c r="P1726" s="78"/>
      <c r="Q1726" s="78"/>
      <c r="R1726" s="78"/>
      <c r="S1726" s="78"/>
      <c r="T1726" s="78"/>
      <c r="U1726" s="78"/>
      <c r="V1726" s="78"/>
      <c r="W1726" s="78"/>
      <c r="X1726" s="78"/>
      <c r="Y1726" s="78"/>
      <c r="Z1726" s="78"/>
    </row>
    <row r="1727">
      <c r="A1727" s="78">
        <v>781.0</v>
      </c>
      <c r="B1727" s="78"/>
      <c r="C1727" s="138"/>
      <c r="D1727" s="78"/>
      <c r="E1727" s="139" t="str">
        <f t="array" ref="E1727">IF(
UPPER(TRIM(CLEAN($O1727)))="ENTREGADO",
IFERROR(
INDEX(REPORTE_DROPI!Y:Y,
MATCH($T1727, REPORTE_DROPI!B:B, 0)
),
""
),
""
)
</f>
        <v/>
      </c>
      <c r="F1727" s="78"/>
      <c r="G1727" s="78"/>
      <c r="H1727" s="78"/>
      <c r="I1727" s="78"/>
      <c r="J1727" s="78"/>
      <c r="K1727" s="78"/>
      <c r="L1727" s="78"/>
      <c r="M1727" s="78"/>
      <c r="N1727" s="78"/>
      <c r="O1727" s="78"/>
      <c r="P1727" s="78"/>
      <c r="Q1727" s="78"/>
      <c r="R1727" s="78"/>
      <c r="S1727" s="78"/>
      <c r="T1727" s="78"/>
      <c r="U1727" s="78"/>
      <c r="V1727" s="78"/>
      <c r="W1727" s="78"/>
      <c r="X1727" s="78"/>
      <c r="Y1727" s="78"/>
      <c r="Z1727" s="78"/>
    </row>
    <row r="1728">
      <c r="A1728" s="78">
        <v>782.0</v>
      </c>
      <c r="B1728" s="78"/>
      <c r="C1728" s="138"/>
      <c r="D1728" s="78"/>
      <c r="E1728" s="139" t="str">
        <f t="array" ref="E1728">IF(
UPPER(TRIM(CLEAN($O1728)))="ENTREGADO",
IFERROR(
INDEX(REPORTE_DROPI!Y:Y,
MATCH($T1728, REPORTE_DROPI!B:B, 0)
),
""
),
""
)
</f>
        <v/>
      </c>
      <c r="F1728" s="78"/>
      <c r="G1728" s="78"/>
      <c r="H1728" s="78"/>
      <c r="I1728" s="78"/>
      <c r="J1728" s="78"/>
      <c r="K1728" s="78"/>
      <c r="L1728" s="78"/>
      <c r="M1728" s="78"/>
      <c r="N1728" s="78"/>
      <c r="O1728" s="78"/>
      <c r="P1728" s="78"/>
      <c r="Q1728" s="78"/>
      <c r="R1728" s="78"/>
      <c r="S1728" s="78"/>
      <c r="T1728" s="78"/>
      <c r="U1728" s="78"/>
      <c r="V1728" s="78"/>
      <c r="W1728" s="78"/>
      <c r="X1728" s="78"/>
      <c r="Y1728" s="78"/>
      <c r="Z1728" s="78"/>
    </row>
    <row r="1729">
      <c r="A1729" s="78">
        <v>783.0</v>
      </c>
      <c r="B1729" s="78"/>
      <c r="C1729" s="138"/>
      <c r="D1729" s="78"/>
      <c r="E1729" s="139" t="str">
        <f t="array" ref="E1729">IF(
UPPER(TRIM(CLEAN($O1729)))="ENTREGADO",
IFERROR(
INDEX(REPORTE_DROPI!Y:Y,
MATCH($T1729, REPORTE_DROPI!B:B, 0)
),
""
),
""
)
</f>
        <v/>
      </c>
      <c r="F1729" s="78"/>
      <c r="G1729" s="78"/>
      <c r="H1729" s="78"/>
      <c r="I1729" s="78"/>
      <c r="J1729" s="78"/>
      <c r="K1729" s="78"/>
      <c r="L1729" s="78"/>
      <c r="M1729" s="78"/>
      <c r="N1729" s="78"/>
      <c r="O1729" s="78"/>
      <c r="P1729" s="78"/>
      <c r="Q1729" s="78"/>
      <c r="R1729" s="78"/>
      <c r="S1729" s="78"/>
      <c r="T1729" s="78"/>
      <c r="U1729" s="78"/>
      <c r="V1729" s="78"/>
      <c r="W1729" s="78"/>
      <c r="X1729" s="78"/>
      <c r="Y1729" s="78"/>
      <c r="Z1729" s="78"/>
    </row>
    <row r="1730">
      <c r="A1730" s="78">
        <v>784.0</v>
      </c>
      <c r="B1730" s="78"/>
      <c r="C1730" s="138"/>
      <c r="D1730" s="78"/>
      <c r="E1730" s="139" t="str">
        <f t="array" ref="E1730">IF(
UPPER(TRIM(CLEAN($O1730)))="ENTREGADO",
IFERROR(
INDEX(REPORTE_DROPI!Y:Y,
MATCH($T1730, REPORTE_DROPI!B:B, 0)
),
""
),
""
)
</f>
        <v/>
      </c>
      <c r="F1730" s="78"/>
      <c r="G1730" s="78"/>
      <c r="H1730" s="78"/>
      <c r="I1730" s="78"/>
      <c r="J1730" s="78"/>
      <c r="K1730" s="78"/>
      <c r="L1730" s="78"/>
      <c r="M1730" s="78"/>
      <c r="N1730" s="78"/>
      <c r="O1730" s="78"/>
      <c r="P1730" s="78"/>
      <c r="Q1730" s="78"/>
      <c r="R1730" s="78"/>
      <c r="S1730" s="78"/>
      <c r="T1730" s="78"/>
      <c r="U1730" s="78"/>
      <c r="V1730" s="78"/>
      <c r="W1730" s="78"/>
      <c r="X1730" s="78"/>
      <c r="Y1730" s="78"/>
      <c r="Z1730" s="78"/>
    </row>
    <row r="1731">
      <c r="A1731" s="78">
        <v>785.0</v>
      </c>
      <c r="B1731" s="78"/>
      <c r="C1731" s="138"/>
      <c r="D1731" s="78"/>
      <c r="E1731" s="139" t="str">
        <f t="array" ref="E1731">IF(
UPPER(TRIM(CLEAN($O1731)))="ENTREGADO",
IFERROR(
INDEX(REPORTE_DROPI!Y:Y,
MATCH($T1731, REPORTE_DROPI!B:B, 0)
),
""
),
""
)
</f>
        <v/>
      </c>
      <c r="F1731" s="78"/>
      <c r="G1731" s="78"/>
      <c r="H1731" s="78"/>
      <c r="I1731" s="78"/>
      <c r="J1731" s="78"/>
      <c r="K1731" s="78"/>
      <c r="L1731" s="78"/>
      <c r="M1731" s="78"/>
      <c r="N1731" s="78"/>
      <c r="O1731" s="78"/>
      <c r="P1731" s="78"/>
      <c r="Q1731" s="78"/>
      <c r="R1731" s="78"/>
      <c r="S1731" s="78"/>
      <c r="T1731" s="78"/>
      <c r="U1731" s="78"/>
      <c r="V1731" s="78"/>
      <c r="W1731" s="78"/>
      <c r="X1731" s="78"/>
      <c r="Y1731" s="78"/>
      <c r="Z1731" s="78"/>
    </row>
    <row r="1732">
      <c r="A1732" s="78">
        <v>786.0</v>
      </c>
      <c r="B1732" s="78"/>
      <c r="C1732" s="138"/>
      <c r="D1732" s="78"/>
      <c r="E1732" s="139" t="str">
        <f t="array" ref="E1732">IF(
UPPER(TRIM(CLEAN($O1732)))="ENTREGADO",
IFERROR(
INDEX(REPORTE_DROPI!Y:Y,
MATCH($T1732, REPORTE_DROPI!B:B, 0)
),
""
),
""
)
</f>
        <v/>
      </c>
      <c r="F1732" s="78"/>
      <c r="G1732" s="78"/>
      <c r="H1732" s="78"/>
      <c r="I1732" s="78"/>
      <c r="J1732" s="78"/>
      <c r="K1732" s="78"/>
      <c r="L1732" s="78"/>
      <c r="M1732" s="78"/>
      <c r="N1732" s="78"/>
      <c r="O1732" s="78"/>
      <c r="P1732" s="78"/>
      <c r="Q1732" s="78"/>
      <c r="R1732" s="78"/>
      <c r="S1732" s="78"/>
      <c r="T1732" s="78"/>
      <c r="U1732" s="78"/>
      <c r="V1732" s="78"/>
      <c r="W1732" s="78"/>
      <c r="X1732" s="78"/>
      <c r="Y1732" s="78"/>
      <c r="Z1732" s="78"/>
    </row>
    <row r="1733">
      <c r="A1733" s="78">
        <v>787.0</v>
      </c>
      <c r="B1733" s="78"/>
      <c r="C1733" s="138"/>
      <c r="D1733" s="78"/>
      <c r="E1733" s="139" t="str">
        <f t="array" ref="E1733">IF(
UPPER(TRIM(CLEAN($O1733)))="ENTREGADO",
IFERROR(
INDEX(REPORTE_DROPI!Y:Y,
MATCH($T1733, REPORTE_DROPI!B:B, 0)
),
""
),
""
)
</f>
        <v/>
      </c>
      <c r="F1733" s="78"/>
      <c r="G1733" s="78"/>
      <c r="H1733" s="78"/>
      <c r="I1733" s="78"/>
      <c r="J1733" s="78"/>
      <c r="K1733" s="78"/>
      <c r="L1733" s="78"/>
      <c r="M1733" s="78"/>
      <c r="N1733" s="78"/>
      <c r="O1733" s="78"/>
      <c r="P1733" s="78"/>
      <c r="Q1733" s="78"/>
      <c r="R1733" s="78"/>
      <c r="S1733" s="78"/>
      <c r="T1733" s="78"/>
      <c r="U1733" s="78"/>
      <c r="V1733" s="78"/>
      <c r="W1733" s="78"/>
      <c r="X1733" s="78"/>
      <c r="Y1733" s="78"/>
      <c r="Z1733" s="78"/>
    </row>
    <row r="1734">
      <c r="A1734" s="78">
        <v>788.0</v>
      </c>
      <c r="B1734" s="78"/>
      <c r="C1734" s="138"/>
      <c r="D1734" s="78"/>
      <c r="E1734" s="139" t="str">
        <f t="array" ref="E1734">IF(
UPPER(TRIM(CLEAN($O1734)))="ENTREGADO",
IFERROR(
INDEX(REPORTE_DROPI!Y:Y,
MATCH($T1734, REPORTE_DROPI!B:B, 0)
),
""
),
""
)
</f>
        <v/>
      </c>
      <c r="F1734" s="78"/>
      <c r="G1734" s="78"/>
      <c r="H1734" s="78"/>
      <c r="I1734" s="78"/>
      <c r="J1734" s="78"/>
      <c r="K1734" s="78"/>
      <c r="L1734" s="78"/>
      <c r="M1734" s="78"/>
      <c r="N1734" s="78"/>
      <c r="O1734" s="78"/>
      <c r="P1734" s="78"/>
      <c r="Q1734" s="78"/>
      <c r="R1734" s="78"/>
      <c r="S1734" s="78"/>
      <c r="T1734" s="78"/>
      <c r="U1734" s="78"/>
      <c r="V1734" s="78"/>
      <c r="W1734" s="78"/>
      <c r="X1734" s="78"/>
      <c r="Y1734" s="78"/>
      <c r="Z1734" s="78"/>
    </row>
    <row r="1735">
      <c r="A1735" s="78">
        <v>789.0</v>
      </c>
      <c r="B1735" s="78"/>
      <c r="C1735" s="138"/>
      <c r="D1735" s="78"/>
      <c r="E1735" s="139" t="str">
        <f t="array" ref="E1735">IF(
UPPER(TRIM(CLEAN($O1735)))="ENTREGADO",
IFERROR(
INDEX(REPORTE_DROPI!Y:Y,
MATCH($T1735, REPORTE_DROPI!B:B, 0)
),
""
),
""
)
</f>
        <v/>
      </c>
      <c r="F1735" s="78"/>
      <c r="G1735" s="78"/>
      <c r="H1735" s="78"/>
      <c r="I1735" s="78"/>
      <c r="J1735" s="78"/>
      <c r="K1735" s="78"/>
      <c r="L1735" s="78"/>
      <c r="M1735" s="78"/>
      <c r="N1735" s="78"/>
      <c r="O1735" s="78"/>
      <c r="P1735" s="78"/>
      <c r="Q1735" s="78"/>
      <c r="R1735" s="78"/>
      <c r="S1735" s="78"/>
      <c r="T1735" s="78"/>
      <c r="U1735" s="78"/>
      <c r="V1735" s="78"/>
      <c r="W1735" s="78"/>
      <c r="X1735" s="78"/>
      <c r="Y1735" s="78"/>
      <c r="Z1735" s="78"/>
    </row>
    <row r="1736">
      <c r="A1736" s="78">
        <v>790.0</v>
      </c>
      <c r="B1736" s="78"/>
      <c r="C1736" s="138"/>
      <c r="D1736" s="78"/>
      <c r="E1736" s="139" t="str">
        <f t="array" ref="E1736">IF(
UPPER(TRIM(CLEAN($O1736)))="ENTREGADO",
IFERROR(
INDEX(REPORTE_DROPI!Y:Y,
MATCH($T1736, REPORTE_DROPI!B:B, 0)
),
""
),
""
)
</f>
        <v/>
      </c>
      <c r="F1736" s="78"/>
      <c r="G1736" s="78"/>
      <c r="H1736" s="78"/>
      <c r="I1736" s="78"/>
      <c r="J1736" s="78"/>
      <c r="K1736" s="78"/>
      <c r="L1736" s="78"/>
      <c r="M1736" s="78"/>
      <c r="N1736" s="78"/>
      <c r="O1736" s="78"/>
      <c r="P1736" s="78"/>
      <c r="Q1736" s="78"/>
      <c r="R1736" s="78"/>
      <c r="S1736" s="78"/>
      <c r="T1736" s="78"/>
      <c r="U1736" s="78"/>
      <c r="V1736" s="78"/>
      <c r="W1736" s="78"/>
      <c r="X1736" s="78"/>
      <c r="Y1736" s="78"/>
      <c r="Z1736" s="78"/>
    </row>
    <row r="1737">
      <c r="A1737" s="78">
        <v>791.0</v>
      </c>
      <c r="B1737" s="78"/>
      <c r="C1737" s="138"/>
      <c r="D1737" s="78"/>
      <c r="E1737" s="139" t="str">
        <f t="array" ref="E1737">IF(
UPPER(TRIM(CLEAN($O1737)))="ENTREGADO",
IFERROR(
INDEX(REPORTE_DROPI!Y:Y,
MATCH($T1737, REPORTE_DROPI!B:B, 0)
),
""
),
""
)
</f>
        <v/>
      </c>
      <c r="F1737" s="78"/>
      <c r="G1737" s="78"/>
      <c r="H1737" s="78"/>
      <c r="I1737" s="78"/>
      <c r="J1737" s="78"/>
      <c r="K1737" s="78"/>
      <c r="L1737" s="78"/>
      <c r="M1737" s="78"/>
      <c r="N1737" s="78"/>
      <c r="O1737" s="78"/>
      <c r="P1737" s="78"/>
      <c r="Q1737" s="78"/>
      <c r="R1737" s="78"/>
      <c r="S1737" s="78"/>
      <c r="T1737" s="78"/>
      <c r="U1737" s="78"/>
      <c r="V1737" s="78"/>
      <c r="W1737" s="78"/>
      <c r="X1737" s="78"/>
      <c r="Y1737" s="78"/>
      <c r="Z1737" s="78"/>
    </row>
    <row r="1738">
      <c r="A1738" s="78">
        <v>792.0</v>
      </c>
      <c r="B1738" s="78"/>
      <c r="C1738" s="138"/>
      <c r="D1738" s="78"/>
      <c r="E1738" s="139" t="str">
        <f t="array" ref="E1738">IF(
UPPER(TRIM(CLEAN($O1738)))="ENTREGADO",
IFERROR(
INDEX(REPORTE_DROPI!Y:Y,
MATCH($T1738, REPORTE_DROPI!B:B, 0)
),
""
),
""
)
</f>
        <v/>
      </c>
      <c r="F1738" s="78"/>
      <c r="G1738" s="78"/>
      <c r="H1738" s="78"/>
      <c r="I1738" s="78"/>
      <c r="J1738" s="78"/>
      <c r="K1738" s="78"/>
      <c r="L1738" s="78"/>
      <c r="M1738" s="78"/>
      <c r="N1738" s="78"/>
      <c r="O1738" s="78"/>
      <c r="P1738" s="78"/>
      <c r="Q1738" s="78"/>
      <c r="R1738" s="78"/>
      <c r="S1738" s="78"/>
      <c r="T1738" s="78"/>
      <c r="U1738" s="78"/>
      <c r="V1738" s="78"/>
      <c r="W1738" s="78"/>
      <c r="X1738" s="78"/>
      <c r="Y1738" s="78"/>
      <c r="Z1738" s="78"/>
    </row>
    <row r="1739">
      <c r="A1739" s="78">
        <v>793.0</v>
      </c>
      <c r="B1739" s="78"/>
      <c r="C1739" s="138"/>
      <c r="D1739" s="78"/>
      <c r="E1739" s="139" t="str">
        <f t="array" ref="E1739">IF(
UPPER(TRIM(CLEAN($O1739)))="ENTREGADO",
IFERROR(
INDEX(REPORTE_DROPI!Y:Y,
MATCH($T1739, REPORTE_DROPI!B:B, 0)
),
""
),
""
)
</f>
        <v/>
      </c>
      <c r="F1739" s="78"/>
      <c r="G1739" s="78"/>
      <c r="H1739" s="78"/>
      <c r="I1739" s="78"/>
      <c r="J1739" s="78"/>
      <c r="K1739" s="78"/>
      <c r="L1739" s="78"/>
      <c r="M1739" s="78"/>
      <c r="N1739" s="78"/>
      <c r="O1739" s="78"/>
      <c r="P1739" s="78"/>
      <c r="Q1739" s="78"/>
      <c r="R1739" s="78"/>
      <c r="S1739" s="78"/>
      <c r="T1739" s="78"/>
      <c r="U1739" s="78"/>
      <c r="V1739" s="78"/>
      <c r="W1739" s="78"/>
      <c r="X1739" s="78"/>
      <c r="Y1739" s="78"/>
      <c r="Z1739" s="78"/>
    </row>
    <row r="1740">
      <c r="A1740" s="78">
        <v>794.0</v>
      </c>
      <c r="B1740" s="78"/>
      <c r="C1740" s="138"/>
      <c r="D1740" s="78"/>
      <c r="E1740" s="139" t="str">
        <f t="array" ref="E1740">IF(
UPPER(TRIM(CLEAN($O1740)))="ENTREGADO",
IFERROR(
INDEX(REPORTE_DROPI!Y:Y,
MATCH($T1740, REPORTE_DROPI!B:B, 0)
),
""
),
""
)
</f>
        <v/>
      </c>
      <c r="F1740" s="78"/>
      <c r="G1740" s="78"/>
      <c r="H1740" s="78"/>
      <c r="I1740" s="78"/>
      <c r="J1740" s="78"/>
      <c r="K1740" s="78"/>
      <c r="L1740" s="78"/>
      <c r="M1740" s="78"/>
      <c r="N1740" s="78"/>
      <c r="O1740" s="78"/>
      <c r="P1740" s="78"/>
      <c r="Q1740" s="78"/>
      <c r="R1740" s="78"/>
      <c r="S1740" s="78"/>
      <c r="T1740" s="78"/>
      <c r="U1740" s="78"/>
      <c r="V1740" s="78"/>
      <c r="W1740" s="78"/>
      <c r="X1740" s="78"/>
      <c r="Y1740" s="78"/>
      <c r="Z1740" s="78"/>
    </row>
    <row r="1741">
      <c r="A1741" s="78">
        <v>795.0</v>
      </c>
      <c r="B1741" s="78"/>
      <c r="C1741" s="138"/>
      <c r="D1741" s="78"/>
      <c r="E1741" s="139" t="str">
        <f t="array" ref="E1741">IF(
UPPER(TRIM(CLEAN($O1741)))="ENTREGADO",
IFERROR(
INDEX(REPORTE_DROPI!Y:Y,
MATCH($T1741, REPORTE_DROPI!B:B, 0)
),
""
),
""
)
</f>
        <v/>
      </c>
      <c r="F1741" s="78"/>
      <c r="G1741" s="78"/>
      <c r="H1741" s="78"/>
      <c r="I1741" s="78"/>
      <c r="J1741" s="78"/>
      <c r="K1741" s="78"/>
      <c r="L1741" s="78"/>
      <c r="M1741" s="78"/>
      <c r="N1741" s="78"/>
      <c r="O1741" s="78"/>
      <c r="P1741" s="78"/>
      <c r="Q1741" s="78"/>
      <c r="R1741" s="78"/>
      <c r="S1741" s="78"/>
      <c r="T1741" s="78"/>
      <c r="U1741" s="78"/>
      <c r="V1741" s="78"/>
      <c r="W1741" s="78"/>
      <c r="X1741" s="78"/>
      <c r="Y1741" s="78"/>
      <c r="Z1741" s="78"/>
    </row>
    <row r="1742">
      <c r="A1742" s="78">
        <v>796.0</v>
      </c>
      <c r="B1742" s="78"/>
      <c r="C1742" s="138"/>
      <c r="D1742" s="78"/>
      <c r="E1742" s="139" t="str">
        <f t="array" ref="E1742">IF(
UPPER(TRIM(CLEAN($O1742)))="ENTREGADO",
IFERROR(
INDEX(REPORTE_DROPI!Y:Y,
MATCH($T1742, REPORTE_DROPI!B:B, 0)
),
""
),
""
)
</f>
        <v/>
      </c>
      <c r="F1742" s="78"/>
      <c r="G1742" s="78"/>
      <c r="H1742" s="78"/>
      <c r="I1742" s="78"/>
      <c r="J1742" s="78"/>
      <c r="K1742" s="78"/>
      <c r="L1742" s="78"/>
      <c r="M1742" s="78"/>
      <c r="N1742" s="78"/>
      <c r="O1742" s="78"/>
      <c r="P1742" s="78"/>
      <c r="Q1742" s="78"/>
      <c r="R1742" s="78"/>
      <c r="S1742" s="78"/>
      <c r="T1742" s="78"/>
      <c r="U1742" s="78"/>
      <c r="V1742" s="78"/>
      <c r="W1742" s="78"/>
      <c r="X1742" s="78"/>
      <c r="Y1742" s="78"/>
      <c r="Z1742" s="78"/>
    </row>
    <row r="1743">
      <c r="A1743" s="78">
        <v>797.0</v>
      </c>
      <c r="B1743" s="78"/>
      <c r="C1743" s="138"/>
      <c r="D1743" s="78"/>
      <c r="E1743" s="139" t="str">
        <f t="array" ref="E1743">IF(
UPPER(TRIM(CLEAN($O1743)))="ENTREGADO",
IFERROR(
INDEX(REPORTE_DROPI!Y:Y,
MATCH($T1743, REPORTE_DROPI!B:B, 0)
),
""
),
""
)
</f>
        <v/>
      </c>
      <c r="F1743" s="78"/>
      <c r="G1743" s="78"/>
      <c r="H1743" s="78"/>
      <c r="I1743" s="78"/>
      <c r="J1743" s="78"/>
      <c r="K1743" s="78"/>
      <c r="L1743" s="78"/>
      <c r="M1743" s="78"/>
      <c r="N1743" s="78"/>
      <c r="O1743" s="78"/>
      <c r="P1743" s="78"/>
      <c r="Q1743" s="78"/>
      <c r="R1743" s="78"/>
      <c r="S1743" s="78"/>
      <c r="T1743" s="78"/>
      <c r="U1743" s="78"/>
      <c r="V1743" s="78"/>
      <c r="W1743" s="78"/>
      <c r="X1743" s="78"/>
      <c r="Y1743" s="78"/>
      <c r="Z1743" s="78"/>
    </row>
    <row r="1744">
      <c r="A1744" s="78">
        <v>798.0</v>
      </c>
      <c r="B1744" s="78"/>
      <c r="C1744" s="138"/>
      <c r="D1744" s="78"/>
      <c r="E1744" s="139" t="str">
        <f t="array" ref="E1744">IF(
UPPER(TRIM(CLEAN($O1744)))="ENTREGADO",
IFERROR(
INDEX(REPORTE_DROPI!Y:Y,
MATCH($T1744, REPORTE_DROPI!B:B, 0)
),
""
),
""
)
</f>
        <v/>
      </c>
      <c r="F1744" s="78"/>
      <c r="G1744" s="78"/>
      <c r="H1744" s="78"/>
      <c r="I1744" s="78"/>
      <c r="J1744" s="78"/>
      <c r="K1744" s="78"/>
      <c r="L1744" s="78"/>
      <c r="M1744" s="78"/>
      <c r="N1744" s="78"/>
      <c r="O1744" s="78"/>
      <c r="P1744" s="78"/>
      <c r="Q1744" s="78"/>
      <c r="R1744" s="78"/>
      <c r="S1744" s="78"/>
      <c r="T1744" s="78"/>
      <c r="U1744" s="78"/>
      <c r="V1744" s="78"/>
      <c r="W1744" s="78"/>
      <c r="X1744" s="78"/>
      <c r="Y1744" s="78"/>
      <c r="Z1744" s="78"/>
    </row>
    <row r="1745">
      <c r="A1745" s="78">
        <v>799.0</v>
      </c>
      <c r="B1745" s="78"/>
      <c r="C1745" s="138"/>
      <c r="D1745" s="78"/>
      <c r="E1745" s="139" t="str">
        <f t="array" ref="E1745">IF(
UPPER(TRIM(CLEAN($O1745)))="ENTREGADO",
IFERROR(
INDEX(REPORTE_DROPI!Y:Y,
MATCH($T1745, REPORTE_DROPI!B:B, 0)
),
""
),
""
)
</f>
        <v/>
      </c>
      <c r="F1745" s="78"/>
      <c r="G1745" s="78"/>
      <c r="H1745" s="78"/>
      <c r="I1745" s="78"/>
      <c r="J1745" s="78"/>
      <c r="K1745" s="78"/>
      <c r="L1745" s="78"/>
      <c r="M1745" s="78"/>
      <c r="N1745" s="78"/>
      <c r="O1745" s="78"/>
      <c r="P1745" s="78"/>
      <c r="Q1745" s="78"/>
      <c r="R1745" s="78"/>
      <c r="S1745" s="78"/>
      <c r="T1745" s="78"/>
      <c r="U1745" s="78"/>
      <c r="V1745" s="78"/>
      <c r="W1745" s="78"/>
      <c r="X1745" s="78"/>
      <c r="Y1745" s="78"/>
      <c r="Z1745" s="78"/>
    </row>
    <row r="1746">
      <c r="A1746" s="78">
        <v>800.0</v>
      </c>
      <c r="B1746" s="78"/>
      <c r="C1746" s="138"/>
      <c r="D1746" s="78"/>
      <c r="E1746" s="139" t="str">
        <f t="array" ref="E1746">IF(
UPPER(TRIM(CLEAN($O1746)))="ENTREGADO",
IFERROR(
INDEX(REPORTE_DROPI!Y:Y,
MATCH($T1746, REPORTE_DROPI!B:B, 0)
),
""
),
""
)
</f>
        <v/>
      </c>
      <c r="F1746" s="78"/>
      <c r="G1746" s="78"/>
      <c r="H1746" s="78"/>
      <c r="I1746" s="78"/>
      <c r="J1746" s="78"/>
      <c r="K1746" s="78"/>
      <c r="L1746" s="78"/>
      <c r="M1746" s="78"/>
      <c r="N1746" s="78"/>
      <c r="O1746" s="78"/>
      <c r="P1746" s="78"/>
      <c r="Q1746" s="78"/>
      <c r="R1746" s="78"/>
      <c r="S1746" s="78"/>
      <c r="T1746" s="78"/>
      <c r="U1746" s="78"/>
      <c r="V1746" s="78"/>
      <c r="W1746" s="78"/>
      <c r="X1746" s="78"/>
      <c r="Y1746" s="78"/>
      <c r="Z1746" s="78"/>
    </row>
    <row r="1747">
      <c r="A1747" s="78">
        <v>801.0</v>
      </c>
      <c r="B1747" s="78"/>
      <c r="C1747" s="138"/>
      <c r="D1747" s="78"/>
      <c r="E1747" s="139" t="str">
        <f t="array" ref="E1747">IF(
UPPER(TRIM(CLEAN($O1747)))="ENTREGADO",
IFERROR(
INDEX(REPORTE_DROPI!Y:Y,
MATCH($T1747, REPORTE_DROPI!B:B, 0)
),
""
),
""
)
</f>
        <v/>
      </c>
      <c r="F1747" s="78"/>
      <c r="G1747" s="78"/>
      <c r="H1747" s="78"/>
      <c r="I1747" s="78"/>
      <c r="J1747" s="78"/>
      <c r="K1747" s="78"/>
      <c r="L1747" s="78"/>
      <c r="M1747" s="78"/>
      <c r="N1747" s="78"/>
      <c r="O1747" s="78"/>
      <c r="P1747" s="78"/>
      <c r="Q1747" s="78"/>
      <c r="R1747" s="78"/>
      <c r="S1747" s="78"/>
      <c r="T1747" s="78"/>
      <c r="U1747" s="78"/>
      <c r="V1747" s="78"/>
      <c r="W1747" s="78"/>
      <c r="X1747" s="78"/>
      <c r="Y1747" s="78"/>
      <c r="Z1747" s="78"/>
    </row>
    <row r="1748">
      <c r="A1748" s="78">
        <v>802.0</v>
      </c>
      <c r="B1748" s="78"/>
      <c r="C1748" s="138"/>
      <c r="D1748" s="78"/>
      <c r="E1748" s="139" t="str">
        <f t="array" ref="E1748">IF(
UPPER(TRIM(CLEAN($O1748)))="ENTREGADO",
IFERROR(
INDEX(REPORTE_DROPI!Y:Y,
MATCH($T1748, REPORTE_DROPI!B:B, 0)
),
""
),
""
)
</f>
        <v/>
      </c>
      <c r="F1748" s="78"/>
      <c r="G1748" s="78"/>
      <c r="H1748" s="78"/>
      <c r="I1748" s="78"/>
      <c r="J1748" s="78"/>
      <c r="K1748" s="78"/>
      <c r="L1748" s="78"/>
      <c r="M1748" s="78"/>
      <c r="N1748" s="78"/>
      <c r="O1748" s="78"/>
      <c r="P1748" s="78"/>
      <c r="Q1748" s="78"/>
      <c r="R1748" s="78"/>
      <c r="S1748" s="78"/>
      <c r="T1748" s="78"/>
      <c r="U1748" s="78"/>
      <c r="V1748" s="78"/>
      <c r="W1748" s="78"/>
      <c r="X1748" s="78"/>
      <c r="Y1748" s="78"/>
      <c r="Z1748" s="78"/>
    </row>
    <row r="1749">
      <c r="A1749" s="78">
        <v>803.0</v>
      </c>
      <c r="B1749" s="78"/>
      <c r="C1749" s="138"/>
      <c r="D1749" s="78"/>
      <c r="E1749" s="139" t="str">
        <f t="array" ref="E1749">IF(
UPPER(TRIM(CLEAN($O1749)))="ENTREGADO",
IFERROR(
INDEX(REPORTE_DROPI!Y:Y,
MATCH($T1749, REPORTE_DROPI!B:B, 0)
),
""
),
""
)
</f>
        <v/>
      </c>
      <c r="F1749" s="78"/>
      <c r="G1749" s="78"/>
      <c r="H1749" s="78"/>
      <c r="I1749" s="78"/>
      <c r="J1749" s="78"/>
      <c r="K1749" s="78"/>
      <c r="L1749" s="78"/>
      <c r="M1749" s="78"/>
      <c r="N1749" s="78"/>
      <c r="O1749" s="78"/>
      <c r="P1749" s="78"/>
      <c r="Q1749" s="78"/>
      <c r="R1749" s="78"/>
      <c r="S1749" s="78"/>
      <c r="T1749" s="78"/>
      <c r="U1749" s="78"/>
      <c r="V1749" s="78"/>
      <c r="W1749" s="78"/>
      <c r="X1749" s="78"/>
      <c r="Y1749" s="78"/>
      <c r="Z1749" s="78"/>
    </row>
    <row r="1750">
      <c r="A1750" s="78">
        <v>804.0</v>
      </c>
      <c r="B1750" s="78"/>
      <c r="C1750" s="138"/>
      <c r="D1750" s="78"/>
      <c r="E1750" s="139" t="str">
        <f t="array" ref="E1750">IF(
UPPER(TRIM(CLEAN($O1750)))="ENTREGADO",
IFERROR(
INDEX(REPORTE_DROPI!Y:Y,
MATCH($T1750, REPORTE_DROPI!B:B, 0)
),
""
),
""
)
</f>
        <v/>
      </c>
      <c r="F1750" s="78"/>
      <c r="G1750" s="78"/>
      <c r="H1750" s="78"/>
      <c r="I1750" s="78"/>
      <c r="J1750" s="78"/>
      <c r="K1750" s="78"/>
      <c r="L1750" s="78"/>
      <c r="M1750" s="78"/>
      <c r="N1750" s="78"/>
      <c r="O1750" s="78"/>
      <c r="P1750" s="78"/>
      <c r="Q1750" s="78"/>
      <c r="R1750" s="78"/>
      <c r="S1750" s="78"/>
      <c r="T1750" s="78"/>
      <c r="U1750" s="78"/>
      <c r="V1750" s="78"/>
      <c r="W1750" s="78"/>
      <c r="X1750" s="78"/>
      <c r="Y1750" s="78"/>
      <c r="Z1750" s="78"/>
    </row>
    <row r="1751">
      <c r="A1751" s="78">
        <v>805.0</v>
      </c>
      <c r="B1751" s="78"/>
      <c r="C1751" s="138"/>
      <c r="D1751" s="78"/>
      <c r="E1751" s="139" t="str">
        <f t="array" ref="E1751">IF(
UPPER(TRIM(CLEAN($O1751)))="ENTREGADO",
IFERROR(
INDEX(REPORTE_DROPI!Y:Y,
MATCH($T1751, REPORTE_DROPI!B:B, 0)
),
""
),
""
)
</f>
        <v/>
      </c>
      <c r="F1751" s="78"/>
      <c r="G1751" s="78"/>
      <c r="H1751" s="78"/>
      <c r="I1751" s="78"/>
      <c r="J1751" s="78"/>
      <c r="K1751" s="78"/>
      <c r="L1751" s="78"/>
      <c r="M1751" s="78"/>
      <c r="N1751" s="78"/>
      <c r="O1751" s="78"/>
      <c r="P1751" s="78"/>
      <c r="Q1751" s="78"/>
      <c r="R1751" s="78"/>
      <c r="S1751" s="78"/>
      <c r="T1751" s="78"/>
      <c r="U1751" s="78"/>
      <c r="V1751" s="78"/>
      <c r="W1751" s="78"/>
      <c r="X1751" s="78"/>
      <c r="Y1751" s="78"/>
      <c r="Z1751" s="78"/>
    </row>
    <row r="1752">
      <c r="A1752" s="78">
        <v>806.0</v>
      </c>
      <c r="B1752" s="78"/>
      <c r="C1752" s="138"/>
      <c r="D1752" s="78"/>
      <c r="E1752" s="139" t="str">
        <f t="array" ref="E1752">IF(
UPPER(TRIM(CLEAN($O1752)))="ENTREGADO",
IFERROR(
INDEX(REPORTE_DROPI!Y:Y,
MATCH($T1752, REPORTE_DROPI!B:B, 0)
),
""
),
""
)
</f>
        <v/>
      </c>
      <c r="F1752" s="78"/>
      <c r="G1752" s="78"/>
      <c r="H1752" s="78"/>
      <c r="I1752" s="78"/>
      <c r="J1752" s="78"/>
      <c r="K1752" s="78"/>
      <c r="L1752" s="78"/>
      <c r="M1752" s="78"/>
      <c r="N1752" s="78"/>
      <c r="O1752" s="78"/>
      <c r="P1752" s="78"/>
      <c r="Q1752" s="78"/>
      <c r="R1752" s="78"/>
      <c r="S1752" s="78"/>
      <c r="T1752" s="78"/>
      <c r="U1752" s="78"/>
      <c r="V1752" s="78"/>
      <c r="W1752" s="78"/>
      <c r="X1752" s="78"/>
      <c r="Y1752" s="78"/>
      <c r="Z1752" s="78"/>
    </row>
    <row r="1753">
      <c r="A1753" s="78">
        <v>807.0</v>
      </c>
      <c r="B1753" s="78"/>
      <c r="C1753" s="138"/>
      <c r="D1753" s="78"/>
      <c r="E1753" s="139" t="str">
        <f t="array" ref="E1753">IF(
UPPER(TRIM(CLEAN($O1753)))="ENTREGADO",
IFERROR(
INDEX(REPORTE_DROPI!Y:Y,
MATCH($T1753, REPORTE_DROPI!B:B, 0)
),
""
),
""
)
</f>
        <v/>
      </c>
      <c r="F1753" s="78"/>
      <c r="G1753" s="78"/>
      <c r="H1753" s="78"/>
      <c r="I1753" s="78"/>
      <c r="J1753" s="78"/>
      <c r="K1753" s="78"/>
      <c r="L1753" s="78"/>
      <c r="M1753" s="78"/>
      <c r="N1753" s="78"/>
      <c r="O1753" s="78"/>
      <c r="P1753" s="78"/>
      <c r="Q1753" s="78"/>
      <c r="R1753" s="78"/>
      <c r="S1753" s="78"/>
      <c r="T1753" s="78"/>
      <c r="U1753" s="78"/>
      <c r="V1753" s="78"/>
      <c r="W1753" s="78"/>
      <c r="X1753" s="78"/>
      <c r="Y1753" s="78"/>
      <c r="Z1753" s="78"/>
    </row>
    <row r="1754">
      <c r="A1754" s="78">
        <v>808.0</v>
      </c>
      <c r="B1754" s="78"/>
      <c r="C1754" s="138"/>
      <c r="D1754" s="78"/>
      <c r="E1754" s="139" t="str">
        <f t="array" ref="E1754">IF(
UPPER(TRIM(CLEAN($O1754)))="ENTREGADO",
IFERROR(
INDEX(REPORTE_DROPI!Y:Y,
MATCH($T1754, REPORTE_DROPI!B:B, 0)
),
""
),
""
)
</f>
        <v/>
      </c>
      <c r="F1754" s="78"/>
      <c r="G1754" s="78"/>
      <c r="H1754" s="78"/>
      <c r="I1754" s="78"/>
      <c r="J1754" s="78"/>
      <c r="K1754" s="78"/>
      <c r="L1754" s="78"/>
      <c r="M1754" s="78"/>
      <c r="N1754" s="78"/>
      <c r="O1754" s="78"/>
      <c r="P1754" s="78"/>
      <c r="Q1754" s="78"/>
      <c r="R1754" s="78"/>
      <c r="S1754" s="78"/>
      <c r="T1754" s="78"/>
      <c r="U1754" s="78"/>
      <c r="V1754" s="78"/>
      <c r="W1754" s="78"/>
      <c r="X1754" s="78"/>
      <c r="Y1754" s="78"/>
      <c r="Z1754" s="78"/>
    </row>
    <row r="1755">
      <c r="A1755" s="78">
        <v>809.0</v>
      </c>
      <c r="B1755" s="78"/>
      <c r="C1755" s="138"/>
      <c r="D1755" s="78"/>
      <c r="E1755" s="139" t="str">
        <f t="array" ref="E1755">IF(
UPPER(TRIM(CLEAN($O1755)))="ENTREGADO",
IFERROR(
INDEX(REPORTE_DROPI!Y:Y,
MATCH($T1755, REPORTE_DROPI!B:B, 0)
),
""
),
""
)
</f>
        <v/>
      </c>
      <c r="F1755" s="78"/>
      <c r="G1755" s="78"/>
      <c r="H1755" s="78"/>
      <c r="I1755" s="78"/>
      <c r="J1755" s="78"/>
      <c r="K1755" s="78"/>
      <c r="L1755" s="78"/>
      <c r="M1755" s="78"/>
      <c r="N1755" s="78"/>
      <c r="O1755" s="78"/>
      <c r="P1755" s="78"/>
      <c r="Q1755" s="78"/>
      <c r="R1755" s="78"/>
      <c r="S1755" s="78"/>
      <c r="T1755" s="78"/>
      <c r="U1755" s="78"/>
      <c r="V1755" s="78"/>
      <c r="W1755" s="78"/>
      <c r="X1755" s="78"/>
      <c r="Y1755" s="78"/>
      <c r="Z1755" s="78"/>
    </row>
    <row r="1756">
      <c r="A1756" s="78">
        <v>810.0</v>
      </c>
      <c r="B1756" s="78"/>
      <c r="C1756" s="138"/>
      <c r="D1756" s="78"/>
      <c r="E1756" s="139" t="str">
        <f t="array" ref="E1756">IF(
UPPER(TRIM(CLEAN($O1756)))="ENTREGADO",
IFERROR(
INDEX(REPORTE_DROPI!Y:Y,
MATCH($T1756, REPORTE_DROPI!B:B, 0)
),
""
),
""
)
</f>
        <v/>
      </c>
      <c r="F1756" s="78"/>
      <c r="G1756" s="78"/>
      <c r="H1756" s="78"/>
      <c r="I1756" s="78"/>
      <c r="J1756" s="78"/>
      <c r="K1756" s="78"/>
      <c r="L1756" s="78"/>
      <c r="M1756" s="78"/>
      <c r="N1756" s="78"/>
      <c r="O1756" s="78"/>
      <c r="P1756" s="78"/>
      <c r="Q1756" s="78"/>
      <c r="R1756" s="78"/>
      <c r="S1756" s="78"/>
      <c r="T1756" s="78"/>
      <c r="U1756" s="78"/>
      <c r="V1756" s="78"/>
      <c r="W1756" s="78"/>
      <c r="X1756" s="78"/>
      <c r="Y1756" s="78"/>
      <c r="Z1756" s="78"/>
    </row>
    <row r="1757">
      <c r="A1757" s="78">
        <v>811.0</v>
      </c>
      <c r="B1757" s="78"/>
      <c r="C1757" s="138"/>
      <c r="D1757" s="78"/>
      <c r="E1757" s="139" t="str">
        <f t="array" ref="E1757">IF(
UPPER(TRIM(CLEAN($O1757)))="ENTREGADO",
IFERROR(
INDEX(REPORTE_DROPI!Y:Y,
MATCH($T1757, REPORTE_DROPI!B:B, 0)
),
""
),
""
)
</f>
        <v/>
      </c>
      <c r="F1757" s="78"/>
      <c r="G1757" s="78"/>
      <c r="H1757" s="78"/>
      <c r="I1757" s="78"/>
      <c r="J1757" s="78"/>
      <c r="K1757" s="78"/>
      <c r="L1757" s="78"/>
      <c r="M1757" s="78"/>
      <c r="N1757" s="78"/>
      <c r="O1757" s="78"/>
      <c r="P1757" s="78"/>
      <c r="Q1757" s="78"/>
      <c r="R1757" s="78"/>
      <c r="S1757" s="78"/>
      <c r="T1757" s="78"/>
      <c r="U1757" s="78"/>
      <c r="V1757" s="78"/>
      <c r="W1757" s="78"/>
      <c r="X1757" s="78"/>
      <c r="Y1757" s="78"/>
      <c r="Z1757" s="78"/>
    </row>
    <row r="1758">
      <c r="A1758" s="78">
        <v>812.0</v>
      </c>
      <c r="B1758" s="78"/>
      <c r="C1758" s="138"/>
      <c r="D1758" s="78"/>
      <c r="E1758" s="139" t="str">
        <f t="array" ref="E1758">IF(
UPPER(TRIM(CLEAN($O1758)))="ENTREGADO",
IFERROR(
INDEX(REPORTE_DROPI!Y:Y,
MATCH($T1758, REPORTE_DROPI!B:B, 0)
),
""
),
""
)
</f>
        <v/>
      </c>
      <c r="F1758" s="78"/>
      <c r="G1758" s="78"/>
      <c r="H1758" s="78"/>
      <c r="I1758" s="78"/>
      <c r="J1758" s="78"/>
      <c r="K1758" s="78"/>
      <c r="L1758" s="78"/>
      <c r="M1758" s="78"/>
      <c r="N1758" s="78"/>
      <c r="O1758" s="78"/>
      <c r="P1758" s="78"/>
      <c r="Q1758" s="78"/>
      <c r="R1758" s="78"/>
      <c r="S1758" s="78"/>
      <c r="T1758" s="78"/>
      <c r="U1758" s="78"/>
      <c r="V1758" s="78"/>
      <c r="W1758" s="78"/>
      <c r="X1758" s="78"/>
      <c r="Y1758" s="78"/>
      <c r="Z1758" s="78"/>
    </row>
    <row r="1759">
      <c r="A1759" s="78">
        <v>813.0</v>
      </c>
      <c r="B1759" s="78"/>
      <c r="C1759" s="138"/>
      <c r="D1759" s="78"/>
      <c r="E1759" s="139" t="str">
        <f t="array" ref="E1759">IF(
UPPER(TRIM(CLEAN($O1759)))="ENTREGADO",
IFERROR(
INDEX(REPORTE_DROPI!Y:Y,
MATCH($T1759, REPORTE_DROPI!B:B, 0)
),
""
),
""
)
</f>
        <v/>
      </c>
      <c r="F1759" s="78"/>
      <c r="G1759" s="78"/>
      <c r="H1759" s="78"/>
      <c r="I1759" s="78"/>
      <c r="J1759" s="78"/>
      <c r="K1759" s="78"/>
      <c r="L1759" s="78"/>
      <c r="M1759" s="78"/>
      <c r="N1759" s="78"/>
      <c r="O1759" s="78"/>
      <c r="P1759" s="78"/>
      <c r="Q1759" s="78"/>
      <c r="R1759" s="78"/>
      <c r="S1759" s="78"/>
      <c r="T1759" s="78"/>
      <c r="U1759" s="78"/>
      <c r="V1759" s="78"/>
      <c r="W1759" s="78"/>
      <c r="X1759" s="78"/>
      <c r="Y1759" s="78"/>
      <c r="Z1759" s="78"/>
    </row>
    <row r="1760">
      <c r="A1760" s="78">
        <v>814.0</v>
      </c>
      <c r="B1760" s="78"/>
      <c r="C1760" s="138"/>
      <c r="D1760" s="78"/>
      <c r="E1760" s="139" t="str">
        <f t="array" ref="E1760">IF(
UPPER(TRIM(CLEAN($O1760)))="ENTREGADO",
IFERROR(
INDEX(REPORTE_DROPI!Y:Y,
MATCH($T1760, REPORTE_DROPI!B:B, 0)
),
""
),
""
)
</f>
        <v/>
      </c>
      <c r="F1760" s="78"/>
      <c r="G1760" s="78"/>
      <c r="H1760" s="78"/>
      <c r="I1760" s="78"/>
      <c r="J1760" s="78"/>
      <c r="K1760" s="78"/>
      <c r="L1760" s="78"/>
      <c r="M1760" s="78"/>
      <c r="N1760" s="78"/>
      <c r="O1760" s="78"/>
      <c r="P1760" s="78"/>
      <c r="Q1760" s="78"/>
      <c r="R1760" s="78"/>
      <c r="S1760" s="78"/>
      <c r="T1760" s="78"/>
      <c r="U1760" s="78"/>
      <c r="V1760" s="78"/>
      <c r="W1760" s="78"/>
      <c r="X1760" s="78"/>
      <c r="Y1760" s="78"/>
      <c r="Z1760" s="78"/>
    </row>
    <row r="1761">
      <c r="A1761" s="78">
        <v>815.0</v>
      </c>
      <c r="B1761" s="78"/>
      <c r="C1761" s="138"/>
      <c r="D1761" s="78"/>
      <c r="E1761" s="139" t="str">
        <f t="array" ref="E1761">IF(
UPPER(TRIM(CLEAN($O1761)))="ENTREGADO",
IFERROR(
INDEX(REPORTE_DROPI!Y:Y,
MATCH($T1761, REPORTE_DROPI!B:B, 0)
),
""
),
""
)
</f>
        <v/>
      </c>
      <c r="F1761" s="78"/>
      <c r="G1761" s="78"/>
      <c r="H1761" s="78"/>
      <c r="I1761" s="78"/>
      <c r="J1761" s="78"/>
      <c r="K1761" s="78"/>
      <c r="L1761" s="78"/>
      <c r="M1761" s="78"/>
      <c r="N1761" s="78"/>
      <c r="O1761" s="78"/>
      <c r="P1761" s="78"/>
      <c r="Q1761" s="78"/>
      <c r="R1761" s="78"/>
      <c r="S1761" s="78"/>
      <c r="T1761" s="78"/>
      <c r="U1761" s="78"/>
      <c r="V1761" s="78"/>
      <c r="W1761" s="78"/>
      <c r="X1761" s="78"/>
      <c r="Y1761" s="78"/>
      <c r="Z1761" s="78"/>
    </row>
    <row r="1762">
      <c r="A1762" s="78">
        <v>816.0</v>
      </c>
      <c r="B1762" s="78"/>
      <c r="C1762" s="138"/>
      <c r="D1762" s="78"/>
      <c r="E1762" s="139" t="str">
        <f t="array" ref="E1762">IF(
UPPER(TRIM(CLEAN($O1762)))="ENTREGADO",
IFERROR(
INDEX(REPORTE_DROPI!Y:Y,
MATCH($T1762, REPORTE_DROPI!B:B, 0)
),
""
),
""
)
</f>
        <v/>
      </c>
      <c r="F1762" s="78"/>
      <c r="G1762" s="78"/>
      <c r="H1762" s="78"/>
      <c r="I1762" s="78"/>
      <c r="J1762" s="78"/>
      <c r="K1762" s="78"/>
      <c r="L1762" s="78"/>
      <c r="M1762" s="78"/>
      <c r="N1762" s="78"/>
      <c r="O1762" s="78"/>
      <c r="P1762" s="78"/>
      <c r="Q1762" s="78"/>
      <c r="R1762" s="78"/>
      <c r="S1762" s="78"/>
      <c r="T1762" s="78"/>
      <c r="U1762" s="78"/>
      <c r="V1762" s="78"/>
      <c r="W1762" s="78"/>
      <c r="X1762" s="78"/>
      <c r="Y1762" s="78"/>
      <c r="Z1762" s="78"/>
    </row>
    <row r="1763">
      <c r="A1763" s="78">
        <v>817.0</v>
      </c>
      <c r="B1763" s="78"/>
      <c r="C1763" s="138"/>
      <c r="D1763" s="78"/>
      <c r="E1763" s="139" t="str">
        <f t="array" ref="E1763">IF(
UPPER(TRIM(CLEAN($O1763)))="ENTREGADO",
IFERROR(
INDEX(REPORTE_DROPI!Y:Y,
MATCH($T1763, REPORTE_DROPI!B:B, 0)
),
""
),
""
)
</f>
        <v/>
      </c>
      <c r="F1763" s="78"/>
      <c r="G1763" s="78"/>
      <c r="H1763" s="78"/>
      <c r="I1763" s="78"/>
      <c r="J1763" s="78"/>
      <c r="K1763" s="78"/>
      <c r="L1763" s="78"/>
      <c r="M1763" s="78"/>
      <c r="N1763" s="78"/>
      <c r="O1763" s="78"/>
      <c r="P1763" s="78"/>
      <c r="Q1763" s="78"/>
      <c r="R1763" s="78"/>
      <c r="S1763" s="78"/>
      <c r="T1763" s="78"/>
      <c r="U1763" s="78"/>
      <c r="V1763" s="78"/>
      <c r="W1763" s="78"/>
      <c r="X1763" s="78"/>
      <c r="Y1763" s="78"/>
      <c r="Z1763" s="78"/>
    </row>
    <row r="1764">
      <c r="A1764" s="78">
        <v>818.0</v>
      </c>
      <c r="B1764" s="78"/>
      <c r="C1764" s="138"/>
      <c r="D1764" s="78"/>
      <c r="E1764" s="139" t="str">
        <f t="array" ref="E1764">IF(
UPPER(TRIM(CLEAN($O1764)))="ENTREGADO",
IFERROR(
INDEX(REPORTE_DROPI!Y:Y,
MATCH($T1764, REPORTE_DROPI!B:B, 0)
),
""
),
""
)
</f>
        <v/>
      </c>
      <c r="F1764" s="78"/>
      <c r="G1764" s="78"/>
      <c r="H1764" s="78"/>
      <c r="I1764" s="78"/>
      <c r="J1764" s="78"/>
      <c r="K1764" s="78"/>
      <c r="L1764" s="78"/>
      <c r="M1764" s="78"/>
      <c r="N1764" s="78"/>
      <c r="O1764" s="78"/>
      <c r="P1764" s="78"/>
      <c r="Q1764" s="78"/>
      <c r="R1764" s="78"/>
      <c r="S1764" s="78"/>
      <c r="T1764" s="78"/>
      <c r="U1764" s="78"/>
      <c r="V1764" s="78"/>
      <c r="W1764" s="78"/>
      <c r="X1764" s="78"/>
      <c r="Y1764" s="78"/>
      <c r="Z1764" s="78"/>
    </row>
    <row r="1765">
      <c r="A1765" s="78">
        <v>819.0</v>
      </c>
      <c r="B1765" s="78"/>
      <c r="C1765" s="138"/>
      <c r="D1765" s="78"/>
      <c r="E1765" s="139" t="str">
        <f t="array" ref="E1765">IF(
UPPER(TRIM(CLEAN($O1765)))="ENTREGADO",
IFERROR(
INDEX(REPORTE_DROPI!Y:Y,
MATCH($T1765, REPORTE_DROPI!B:B, 0)
),
""
),
""
)
</f>
        <v/>
      </c>
      <c r="F1765" s="78"/>
      <c r="G1765" s="78"/>
      <c r="H1765" s="78"/>
      <c r="I1765" s="78"/>
      <c r="J1765" s="78"/>
      <c r="K1765" s="78"/>
      <c r="L1765" s="78"/>
      <c r="M1765" s="78"/>
      <c r="N1765" s="78"/>
      <c r="O1765" s="78"/>
      <c r="P1765" s="78"/>
      <c r="Q1765" s="78"/>
      <c r="R1765" s="78"/>
      <c r="S1765" s="78"/>
      <c r="T1765" s="78"/>
      <c r="U1765" s="78"/>
      <c r="V1765" s="78"/>
      <c r="W1765" s="78"/>
      <c r="X1765" s="78"/>
      <c r="Y1765" s="78"/>
      <c r="Z1765" s="78"/>
    </row>
    <row r="1766">
      <c r="A1766" s="78">
        <v>820.0</v>
      </c>
      <c r="B1766" s="78"/>
      <c r="C1766" s="138"/>
      <c r="D1766" s="78"/>
      <c r="E1766" s="139" t="str">
        <f t="array" ref="E1766">IF(
UPPER(TRIM(CLEAN($O1766)))="ENTREGADO",
IFERROR(
INDEX(REPORTE_DROPI!Y:Y,
MATCH($T1766, REPORTE_DROPI!B:B, 0)
),
""
),
""
)
</f>
        <v/>
      </c>
      <c r="F1766" s="78"/>
      <c r="G1766" s="78"/>
      <c r="H1766" s="78"/>
      <c r="I1766" s="78"/>
      <c r="J1766" s="78"/>
      <c r="K1766" s="78"/>
      <c r="L1766" s="78"/>
      <c r="M1766" s="78"/>
      <c r="N1766" s="78"/>
      <c r="O1766" s="78"/>
      <c r="P1766" s="78"/>
      <c r="Q1766" s="78"/>
      <c r="R1766" s="78"/>
      <c r="S1766" s="78"/>
      <c r="T1766" s="78"/>
      <c r="U1766" s="78"/>
      <c r="V1766" s="78"/>
      <c r="W1766" s="78"/>
      <c r="X1766" s="78"/>
      <c r="Y1766" s="78"/>
      <c r="Z1766" s="78"/>
    </row>
    <row r="1767">
      <c r="A1767" s="78">
        <v>821.0</v>
      </c>
      <c r="B1767" s="78"/>
      <c r="C1767" s="138"/>
      <c r="D1767" s="78"/>
      <c r="E1767" s="139" t="str">
        <f t="array" ref="E1767">IF(
UPPER(TRIM(CLEAN($O1767)))="ENTREGADO",
IFERROR(
INDEX(REPORTE_DROPI!Y:Y,
MATCH($T1767, REPORTE_DROPI!B:B, 0)
),
""
),
""
)
</f>
        <v/>
      </c>
      <c r="F1767" s="78"/>
      <c r="G1767" s="78"/>
      <c r="H1767" s="78"/>
      <c r="I1767" s="78"/>
      <c r="J1767" s="78"/>
      <c r="K1767" s="78"/>
      <c r="L1767" s="78"/>
      <c r="M1767" s="78"/>
      <c r="N1767" s="78"/>
      <c r="O1767" s="78"/>
      <c r="P1767" s="78"/>
      <c r="Q1767" s="78"/>
      <c r="R1767" s="78"/>
      <c r="S1767" s="78"/>
      <c r="T1767" s="78"/>
      <c r="U1767" s="78"/>
      <c r="V1767" s="78"/>
      <c r="W1767" s="78"/>
      <c r="X1767" s="78"/>
      <c r="Y1767" s="78"/>
      <c r="Z1767" s="78"/>
    </row>
    <row r="1768">
      <c r="A1768" s="78">
        <v>822.0</v>
      </c>
      <c r="B1768" s="78"/>
      <c r="C1768" s="138"/>
      <c r="D1768" s="78"/>
      <c r="E1768" s="139" t="str">
        <f t="array" ref="E1768">IF(
UPPER(TRIM(CLEAN($O1768)))="ENTREGADO",
IFERROR(
INDEX(REPORTE_DROPI!Y:Y,
MATCH($T1768, REPORTE_DROPI!B:B, 0)
),
""
),
""
)
</f>
        <v/>
      </c>
      <c r="F1768" s="78"/>
      <c r="G1768" s="78"/>
      <c r="H1768" s="78"/>
      <c r="I1768" s="78"/>
      <c r="J1768" s="78"/>
      <c r="K1768" s="78"/>
      <c r="L1768" s="78"/>
      <c r="M1768" s="78"/>
      <c r="N1768" s="78"/>
      <c r="O1768" s="78"/>
      <c r="P1768" s="78"/>
      <c r="Q1768" s="78"/>
      <c r="R1768" s="78"/>
      <c r="S1768" s="78"/>
      <c r="T1768" s="78"/>
      <c r="U1768" s="78"/>
      <c r="V1768" s="78"/>
      <c r="W1768" s="78"/>
      <c r="X1768" s="78"/>
      <c r="Y1768" s="78"/>
      <c r="Z1768" s="78"/>
    </row>
    <row r="1769">
      <c r="A1769" s="78">
        <v>823.0</v>
      </c>
      <c r="B1769" s="78"/>
      <c r="C1769" s="138"/>
      <c r="D1769" s="78"/>
      <c r="E1769" s="139" t="str">
        <f t="array" ref="E1769">IF(
UPPER(TRIM(CLEAN($O1769)))="ENTREGADO",
IFERROR(
INDEX(REPORTE_DROPI!Y:Y,
MATCH($T1769, REPORTE_DROPI!B:B, 0)
),
""
),
""
)
</f>
        <v/>
      </c>
      <c r="F1769" s="78"/>
      <c r="G1769" s="78"/>
      <c r="H1769" s="78"/>
      <c r="I1769" s="78"/>
      <c r="J1769" s="78"/>
      <c r="K1769" s="78"/>
      <c r="L1769" s="78"/>
      <c r="M1769" s="78"/>
      <c r="N1769" s="78"/>
      <c r="O1769" s="78"/>
      <c r="P1769" s="78"/>
      <c r="Q1769" s="78"/>
      <c r="R1769" s="78"/>
      <c r="S1769" s="78"/>
      <c r="T1769" s="78"/>
      <c r="U1769" s="78"/>
      <c r="V1769" s="78"/>
      <c r="W1769" s="78"/>
      <c r="X1769" s="78"/>
      <c r="Y1769" s="78"/>
      <c r="Z1769" s="78"/>
    </row>
    <row r="1770">
      <c r="A1770" s="78">
        <v>824.0</v>
      </c>
      <c r="B1770" s="78"/>
      <c r="C1770" s="138"/>
      <c r="D1770" s="78"/>
      <c r="E1770" s="139" t="str">
        <f t="array" ref="E1770">IF(
UPPER(TRIM(CLEAN($O1770)))="ENTREGADO",
IFERROR(
INDEX(REPORTE_DROPI!Y:Y,
MATCH($T1770, REPORTE_DROPI!B:B, 0)
),
""
),
""
)
</f>
        <v/>
      </c>
      <c r="F1770" s="78"/>
      <c r="G1770" s="78"/>
      <c r="H1770" s="78"/>
      <c r="I1770" s="78"/>
      <c r="J1770" s="78"/>
      <c r="K1770" s="78"/>
      <c r="L1770" s="78"/>
      <c r="M1770" s="78"/>
      <c r="N1770" s="78"/>
      <c r="O1770" s="78"/>
      <c r="P1770" s="78"/>
      <c r="Q1770" s="78"/>
      <c r="R1770" s="78"/>
      <c r="S1770" s="78"/>
      <c r="T1770" s="78"/>
      <c r="U1770" s="78"/>
      <c r="V1770" s="78"/>
      <c r="W1770" s="78"/>
      <c r="X1770" s="78"/>
      <c r="Y1770" s="78"/>
      <c r="Z1770" s="78"/>
    </row>
    <row r="1771">
      <c r="A1771" s="78">
        <v>825.0</v>
      </c>
      <c r="B1771" s="78"/>
      <c r="C1771" s="138"/>
      <c r="D1771" s="78"/>
      <c r="E1771" s="139" t="str">
        <f t="array" ref="E1771">IF(
UPPER(TRIM(CLEAN($O1771)))="ENTREGADO",
IFERROR(
INDEX(REPORTE_DROPI!Y:Y,
MATCH($T1771, REPORTE_DROPI!B:B, 0)
),
""
),
""
)
</f>
        <v/>
      </c>
      <c r="F1771" s="78"/>
      <c r="G1771" s="78"/>
      <c r="H1771" s="78"/>
      <c r="I1771" s="78"/>
      <c r="J1771" s="78"/>
      <c r="K1771" s="78"/>
      <c r="L1771" s="78"/>
      <c r="M1771" s="78"/>
      <c r="N1771" s="78"/>
      <c r="O1771" s="78"/>
      <c r="P1771" s="78"/>
      <c r="Q1771" s="78"/>
      <c r="R1771" s="78"/>
      <c r="S1771" s="78"/>
      <c r="T1771" s="78"/>
      <c r="U1771" s="78"/>
      <c r="V1771" s="78"/>
      <c r="W1771" s="78"/>
      <c r="X1771" s="78"/>
      <c r="Y1771" s="78"/>
      <c r="Z1771" s="78"/>
    </row>
    <row r="1772">
      <c r="A1772" s="78">
        <v>826.0</v>
      </c>
      <c r="B1772" s="78"/>
      <c r="C1772" s="138"/>
      <c r="D1772" s="78"/>
      <c r="E1772" s="139" t="str">
        <f t="array" ref="E1772">IF(
UPPER(TRIM(CLEAN($O1772)))="ENTREGADO",
IFERROR(
INDEX(REPORTE_DROPI!Y:Y,
MATCH($T1772, REPORTE_DROPI!B:B, 0)
),
""
),
""
)
</f>
        <v/>
      </c>
      <c r="F1772" s="78"/>
      <c r="G1772" s="78"/>
      <c r="H1772" s="78"/>
      <c r="I1772" s="78"/>
      <c r="J1772" s="78"/>
      <c r="K1772" s="78"/>
      <c r="L1772" s="78"/>
      <c r="M1772" s="78"/>
      <c r="N1772" s="78"/>
      <c r="O1772" s="78"/>
      <c r="P1772" s="78"/>
      <c r="Q1772" s="78"/>
      <c r="R1772" s="78"/>
      <c r="S1772" s="78"/>
      <c r="T1772" s="78"/>
      <c r="U1772" s="78"/>
      <c r="V1772" s="78"/>
      <c r="W1772" s="78"/>
      <c r="X1772" s="78"/>
      <c r="Y1772" s="78"/>
      <c r="Z1772" s="78"/>
    </row>
    <row r="1773">
      <c r="A1773" s="78">
        <v>827.0</v>
      </c>
      <c r="B1773" s="78"/>
      <c r="C1773" s="138"/>
      <c r="D1773" s="78"/>
      <c r="E1773" s="139" t="str">
        <f t="array" ref="E1773">IF(
UPPER(TRIM(CLEAN($O1773)))="ENTREGADO",
IFERROR(
INDEX(REPORTE_DROPI!Y:Y,
MATCH($T1773, REPORTE_DROPI!B:B, 0)
),
""
),
""
)
</f>
        <v/>
      </c>
      <c r="F1773" s="78"/>
      <c r="G1773" s="78"/>
      <c r="H1773" s="78"/>
      <c r="I1773" s="78"/>
      <c r="J1773" s="78"/>
      <c r="K1773" s="78"/>
      <c r="L1773" s="78"/>
      <c r="M1773" s="78"/>
      <c r="N1773" s="78"/>
      <c r="O1773" s="78"/>
      <c r="P1773" s="78"/>
      <c r="Q1773" s="78"/>
      <c r="R1773" s="78"/>
      <c r="S1773" s="78"/>
      <c r="T1773" s="78"/>
      <c r="U1773" s="78"/>
      <c r="V1773" s="78"/>
      <c r="W1773" s="78"/>
      <c r="X1773" s="78"/>
      <c r="Y1773" s="78"/>
      <c r="Z1773" s="78"/>
    </row>
    <row r="1774">
      <c r="A1774" s="78">
        <v>828.0</v>
      </c>
      <c r="B1774" s="78"/>
      <c r="C1774" s="138"/>
      <c r="D1774" s="78"/>
      <c r="E1774" s="139" t="str">
        <f t="array" ref="E1774">IF(
UPPER(TRIM(CLEAN($O1774)))="ENTREGADO",
IFERROR(
INDEX(REPORTE_DROPI!Y:Y,
MATCH($T1774, REPORTE_DROPI!B:B, 0)
),
""
),
""
)
</f>
        <v/>
      </c>
      <c r="F1774" s="78"/>
      <c r="G1774" s="78"/>
      <c r="H1774" s="78"/>
      <c r="I1774" s="78"/>
      <c r="J1774" s="78"/>
      <c r="K1774" s="78"/>
      <c r="L1774" s="78"/>
      <c r="M1774" s="78"/>
      <c r="N1774" s="78"/>
      <c r="O1774" s="78"/>
      <c r="P1774" s="78"/>
      <c r="Q1774" s="78"/>
      <c r="R1774" s="78"/>
      <c r="S1774" s="78"/>
      <c r="T1774" s="78"/>
      <c r="U1774" s="78"/>
      <c r="V1774" s="78"/>
      <c r="W1774" s="78"/>
      <c r="X1774" s="78"/>
      <c r="Y1774" s="78"/>
      <c r="Z1774" s="78"/>
    </row>
    <row r="1775">
      <c r="A1775" s="78">
        <v>829.0</v>
      </c>
      <c r="B1775" s="78"/>
      <c r="C1775" s="138"/>
      <c r="D1775" s="78"/>
      <c r="E1775" s="139" t="str">
        <f t="array" ref="E1775">IF(
UPPER(TRIM(CLEAN($O1775)))="ENTREGADO",
IFERROR(
INDEX(REPORTE_DROPI!Y:Y,
MATCH($T1775, REPORTE_DROPI!B:B, 0)
),
""
),
""
)
</f>
        <v/>
      </c>
      <c r="F1775" s="78"/>
      <c r="G1775" s="78"/>
      <c r="H1775" s="78"/>
      <c r="I1775" s="78"/>
      <c r="J1775" s="78"/>
      <c r="K1775" s="78"/>
      <c r="L1775" s="78"/>
      <c r="M1775" s="78"/>
      <c r="N1775" s="78"/>
      <c r="O1775" s="78"/>
      <c r="P1775" s="78"/>
      <c r="Q1775" s="78"/>
      <c r="R1775" s="78"/>
      <c r="S1775" s="78"/>
      <c r="T1775" s="78"/>
      <c r="U1775" s="78"/>
      <c r="V1775" s="78"/>
      <c r="W1775" s="78"/>
      <c r="X1775" s="78"/>
      <c r="Y1775" s="78"/>
      <c r="Z1775" s="78"/>
    </row>
    <row r="1776">
      <c r="A1776" s="78">
        <v>830.0</v>
      </c>
      <c r="B1776" s="78"/>
      <c r="C1776" s="138"/>
      <c r="D1776" s="78"/>
      <c r="E1776" s="139" t="str">
        <f t="array" ref="E1776">IF(
UPPER(TRIM(CLEAN($O1776)))="ENTREGADO",
IFERROR(
INDEX(REPORTE_DROPI!Y:Y,
MATCH($T1776, REPORTE_DROPI!B:B, 0)
),
""
),
""
)
</f>
        <v/>
      </c>
      <c r="F1776" s="78"/>
      <c r="G1776" s="78"/>
      <c r="H1776" s="78"/>
      <c r="I1776" s="78"/>
      <c r="J1776" s="78"/>
      <c r="K1776" s="78"/>
      <c r="L1776" s="78"/>
      <c r="M1776" s="78"/>
      <c r="N1776" s="78"/>
      <c r="O1776" s="78"/>
      <c r="P1776" s="78"/>
      <c r="Q1776" s="78"/>
      <c r="R1776" s="78"/>
      <c r="S1776" s="78"/>
      <c r="T1776" s="78"/>
      <c r="U1776" s="78"/>
      <c r="V1776" s="78"/>
      <c r="W1776" s="78"/>
      <c r="X1776" s="78"/>
      <c r="Y1776" s="78"/>
      <c r="Z1776" s="78"/>
    </row>
    <row r="1777">
      <c r="A1777" s="78">
        <v>831.0</v>
      </c>
      <c r="B1777" s="78"/>
      <c r="C1777" s="138"/>
      <c r="D1777" s="78"/>
      <c r="E1777" s="139" t="str">
        <f t="array" ref="E1777">IF(
UPPER(TRIM(CLEAN($O1777)))="ENTREGADO",
IFERROR(
INDEX(REPORTE_DROPI!Y:Y,
MATCH($T1777, REPORTE_DROPI!B:B, 0)
),
""
),
""
)
</f>
        <v/>
      </c>
      <c r="F1777" s="78"/>
      <c r="G1777" s="78"/>
      <c r="H1777" s="78"/>
      <c r="I1777" s="78"/>
      <c r="J1777" s="78"/>
      <c r="K1777" s="78"/>
      <c r="L1777" s="78"/>
      <c r="M1777" s="78"/>
      <c r="N1777" s="78"/>
      <c r="O1777" s="78"/>
      <c r="P1777" s="78"/>
      <c r="Q1777" s="78"/>
      <c r="R1777" s="78"/>
      <c r="S1777" s="78"/>
      <c r="T1777" s="78"/>
      <c r="U1777" s="78"/>
      <c r="V1777" s="78"/>
      <c r="W1777" s="78"/>
      <c r="X1777" s="78"/>
      <c r="Y1777" s="78"/>
      <c r="Z1777" s="78"/>
    </row>
    <row r="1778">
      <c r="A1778" s="78">
        <v>832.0</v>
      </c>
      <c r="B1778" s="78"/>
      <c r="C1778" s="138"/>
      <c r="D1778" s="78"/>
      <c r="E1778" s="139" t="str">
        <f t="array" ref="E1778">IF(
UPPER(TRIM(CLEAN($O1778)))="ENTREGADO",
IFERROR(
INDEX(REPORTE_DROPI!Y:Y,
MATCH($T1778, REPORTE_DROPI!B:B, 0)
),
""
),
""
)
</f>
        <v/>
      </c>
      <c r="F1778" s="78"/>
      <c r="G1778" s="78"/>
      <c r="H1778" s="78"/>
      <c r="I1778" s="78"/>
      <c r="J1778" s="78"/>
      <c r="K1778" s="78"/>
      <c r="L1778" s="78"/>
      <c r="M1778" s="78"/>
      <c r="N1778" s="78"/>
      <c r="O1778" s="78"/>
      <c r="P1778" s="78"/>
      <c r="Q1778" s="78"/>
      <c r="R1778" s="78"/>
      <c r="S1778" s="78"/>
      <c r="T1778" s="78"/>
      <c r="U1778" s="78"/>
      <c r="V1778" s="78"/>
      <c r="W1778" s="78"/>
      <c r="X1778" s="78"/>
      <c r="Y1778" s="78"/>
      <c r="Z1778" s="78"/>
    </row>
    <row r="1779">
      <c r="A1779" s="78">
        <v>833.0</v>
      </c>
      <c r="B1779" s="78"/>
      <c r="C1779" s="138"/>
      <c r="D1779" s="78"/>
      <c r="E1779" s="139" t="str">
        <f t="array" ref="E1779">IF(
UPPER(TRIM(CLEAN($O1779)))="ENTREGADO",
IFERROR(
INDEX(REPORTE_DROPI!Y:Y,
MATCH($T1779, REPORTE_DROPI!B:B, 0)
),
""
),
""
)
</f>
        <v/>
      </c>
      <c r="F1779" s="78"/>
      <c r="G1779" s="78"/>
      <c r="H1779" s="78"/>
      <c r="I1779" s="78"/>
      <c r="J1779" s="78"/>
      <c r="K1779" s="78"/>
      <c r="L1779" s="78"/>
      <c r="M1779" s="78"/>
      <c r="N1779" s="78"/>
      <c r="O1779" s="78"/>
      <c r="P1779" s="78"/>
      <c r="Q1779" s="78"/>
      <c r="R1779" s="78"/>
      <c r="S1779" s="78"/>
      <c r="T1779" s="78"/>
      <c r="U1779" s="78"/>
      <c r="V1779" s="78"/>
      <c r="W1779" s="78"/>
      <c r="X1779" s="78"/>
      <c r="Y1779" s="78"/>
      <c r="Z1779" s="78"/>
    </row>
    <row r="1780">
      <c r="A1780" s="78">
        <v>834.0</v>
      </c>
      <c r="B1780" s="78"/>
      <c r="C1780" s="138"/>
      <c r="D1780" s="78"/>
      <c r="E1780" s="139" t="str">
        <f t="array" ref="E1780">IF(
UPPER(TRIM(CLEAN($O1780)))="ENTREGADO",
IFERROR(
INDEX(REPORTE_DROPI!Y:Y,
MATCH($T1780, REPORTE_DROPI!B:B, 0)
),
""
),
""
)
</f>
        <v/>
      </c>
      <c r="F1780" s="78"/>
      <c r="G1780" s="78"/>
      <c r="H1780" s="78"/>
      <c r="I1780" s="78"/>
      <c r="J1780" s="78"/>
      <c r="K1780" s="78"/>
      <c r="L1780" s="78"/>
      <c r="M1780" s="78"/>
      <c r="N1780" s="78"/>
      <c r="O1780" s="78"/>
      <c r="P1780" s="78"/>
      <c r="Q1780" s="78"/>
      <c r="R1780" s="78"/>
      <c r="S1780" s="78"/>
      <c r="T1780" s="78"/>
      <c r="U1780" s="78"/>
      <c r="V1780" s="78"/>
      <c r="W1780" s="78"/>
      <c r="X1780" s="78"/>
      <c r="Y1780" s="78"/>
      <c r="Z1780" s="78"/>
    </row>
    <row r="1781">
      <c r="A1781" s="78">
        <v>835.0</v>
      </c>
      <c r="B1781" s="78"/>
      <c r="C1781" s="138"/>
      <c r="D1781" s="78"/>
      <c r="E1781" s="139" t="str">
        <f t="array" ref="E1781">IF(
UPPER(TRIM(CLEAN($O1781)))="ENTREGADO",
IFERROR(
INDEX(REPORTE_DROPI!Y:Y,
MATCH($T1781, REPORTE_DROPI!B:B, 0)
),
""
),
""
)
</f>
        <v/>
      </c>
      <c r="F1781" s="78"/>
      <c r="G1781" s="78"/>
      <c r="H1781" s="78"/>
      <c r="I1781" s="78"/>
      <c r="J1781" s="78"/>
      <c r="K1781" s="78"/>
      <c r="L1781" s="78"/>
      <c r="M1781" s="78"/>
      <c r="N1781" s="78"/>
      <c r="O1781" s="78"/>
      <c r="P1781" s="78"/>
      <c r="Q1781" s="78"/>
      <c r="R1781" s="78"/>
      <c r="S1781" s="78"/>
      <c r="T1781" s="78"/>
      <c r="U1781" s="78"/>
      <c r="V1781" s="78"/>
      <c r="W1781" s="78"/>
      <c r="X1781" s="78"/>
      <c r="Y1781" s="78"/>
      <c r="Z1781" s="78"/>
    </row>
    <row r="1782">
      <c r="A1782" s="78">
        <v>836.0</v>
      </c>
      <c r="B1782" s="78"/>
      <c r="C1782" s="138"/>
      <c r="D1782" s="78"/>
      <c r="E1782" s="139" t="str">
        <f t="array" ref="E1782">IF(
UPPER(TRIM(CLEAN($O1782)))="ENTREGADO",
IFERROR(
INDEX(REPORTE_DROPI!Y:Y,
MATCH($T1782, REPORTE_DROPI!B:B, 0)
),
""
),
""
)
</f>
        <v/>
      </c>
      <c r="F1782" s="78"/>
      <c r="G1782" s="78"/>
      <c r="H1782" s="78"/>
      <c r="I1782" s="78"/>
      <c r="J1782" s="78"/>
      <c r="K1782" s="78"/>
      <c r="L1782" s="78"/>
      <c r="M1782" s="78"/>
      <c r="N1782" s="78"/>
      <c r="O1782" s="78"/>
      <c r="P1782" s="78"/>
      <c r="Q1782" s="78"/>
      <c r="R1782" s="78"/>
      <c r="S1782" s="78"/>
      <c r="T1782" s="78"/>
      <c r="U1782" s="78"/>
      <c r="V1782" s="78"/>
      <c r="W1782" s="78"/>
      <c r="X1782" s="78"/>
      <c r="Y1782" s="78"/>
      <c r="Z1782" s="78"/>
    </row>
    <row r="1783">
      <c r="A1783" s="78">
        <v>837.0</v>
      </c>
      <c r="B1783" s="78"/>
      <c r="C1783" s="138"/>
      <c r="D1783" s="78"/>
      <c r="E1783" s="139" t="str">
        <f t="array" ref="E1783">IF(
UPPER(TRIM(CLEAN($O1783)))="ENTREGADO",
IFERROR(
INDEX(REPORTE_DROPI!Y:Y,
MATCH($T1783, REPORTE_DROPI!B:B, 0)
),
""
),
""
)
</f>
        <v/>
      </c>
      <c r="F1783" s="78"/>
      <c r="G1783" s="78"/>
      <c r="H1783" s="78"/>
      <c r="I1783" s="78"/>
      <c r="J1783" s="78"/>
      <c r="K1783" s="78"/>
      <c r="L1783" s="78"/>
      <c r="M1783" s="78"/>
      <c r="N1783" s="78"/>
      <c r="O1783" s="78"/>
      <c r="P1783" s="78"/>
      <c r="Q1783" s="78"/>
      <c r="R1783" s="78"/>
      <c r="S1783" s="78"/>
      <c r="T1783" s="78"/>
      <c r="U1783" s="78"/>
      <c r="V1783" s="78"/>
      <c r="W1783" s="78"/>
      <c r="X1783" s="78"/>
      <c r="Y1783" s="78"/>
      <c r="Z1783" s="78"/>
    </row>
    <row r="1784">
      <c r="A1784" s="78">
        <v>838.0</v>
      </c>
      <c r="B1784" s="78"/>
      <c r="C1784" s="138"/>
      <c r="D1784" s="78"/>
      <c r="E1784" s="139" t="str">
        <f t="array" ref="E1784">IF(
UPPER(TRIM(CLEAN($O1784)))="ENTREGADO",
IFERROR(
INDEX(REPORTE_DROPI!Y:Y,
MATCH($T1784, REPORTE_DROPI!B:B, 0)
),
""
),
""
)
</f>
        <v/>
      </c>
      <c r="F1784" s="78"/>
      <c r="G1784" s="78"/>
      <c r="H1784" s="78"/>
      <c r="I1784" s="78"/>
      <c r="J1784" s="78"/>
      <c r="K1784" s="78"/>
      <c r="L1784" s="78"/>
      <c r="M1784" s="78"/>
      <c r="N1784" s="78"/>
      <c r="O1784" s="78"/>
      <c r="P1784" s="78"/>
      <c r="Q1784" s="78"/>
      <c r="R1784" s="78"/>
      <c r="S1784" s="78"/>
      <c r="T1784" s="78"/>
      <c r="U1784" s="78"/>
      <c r="V1784" s="78"/>
      <c r="W1784" s="78"/>
      <c r="X1784" s="78"/>
      <c r="Y1784" s="78"/>
      <c r="Z1784" s="78"/>
    </row>
    <row r="1785">
      <c r="A1785" s="78">
        <v>839.0</v>
      </c>
      <c r="B1785" s="78"/>
      <c r="C1785" s="138"/>
      <c r="D1785" s="78"/>
      <c r="E1785" s="139" t="str">
        <f t="array" ref="E1785">IF(
UPPER(TRIM(CLEAN($O1785)))="ENTREGADO",
IFERROR(
INDEX(REPORTE_DROPI!Y:Y,
MATCH($T1785, REPORTE_DROPI!B:B, 0)
),
""
),
""
)
</f>
        <v/>
      </c>
      <c r="F1785" s="78"/>
      <c r="G1785" s="78"/>
      <c r="H1785" s="78"/>
      <c r="I1785" s="78"/>
      <c r="J1785" s="78"/>
      <c r="K1785" s="78"/>
      <c r="L1785" s="78"/>
      <c r="M1785" s="78"/>
      <c r="N1785" s="78"/>
      <c r="O1785" s="78"/>
      <c r="P1785" s="78"/>
      <c r="Q1785" s="78"/>
      <c r="R1785" s="78"/>
      <c r="S1785" s="78"/>
      <c r="T1785" s="78"/>
      <c r="U1785" s="78"/>
      <c r="V1785" s="78"/>
      <c r="W1785" s="78"/>
      <c r="X1785" s="78"/>
      <c r="Y1785" s="78"/>
      <c r="Z1785" s="78"/>
    </row>
    <row r="1786">
      <c r="A1786" s="78">
        <v>840.0</v>
      </c>
      <c r="B1786" s="78"/>
      <c r="C1786" s="138"/>
      <c r="D1786" s="78"/>
      <c r="E1786" s="139" t="str">
        <f t="array" ref="E1786">IF(
UPPER(TRIM(CLEAN($O1786)))="ENTREGADO",
IFERROR(
INDEX(REPORTE_DROPI!Y:Y,
MATCH($T1786, REPORTE_DROPI!B:B, 0)
),
""
),
""
)
</f>
        <v/>
      </c>
      <c r="F1786" s="78"/>
      <c r="G1786" s="78"/>
      <c r="H1786" s="78"/>
      <c r="I1786" s="78"/>
      <c r="J1786" s="78"/>
      <c r="K1786" s="78"/>
      <c r="L1786" s="78"/>
      <c r="M1786" s="78"/>
      <c r="N1786" s="78"/>
      <c r="O1786" s="78"/>
      <c r="P1786" s="78"/>
      <c r="Q1786" s="78"/>
      <c r="R1786" s="78"/>
      <c r="S1786" s="78"/>
      <c r="T1786" s="78"/>
      <c r="U1786" s="78"/>
      <c r="V1786" s="78"/>
      <c r="W1786" s="78"/>
      <c r="X1786" s="78"/>
      <c r="Y1786" s="78"/>
      <c r="Z1786" s="78"/>
    </row>
    <row r="1787">
      <c r="A1787" s="78">
        <v>841.0</v>
      </c>
      <c r="B1787" s="78"/>
      <c r="C1787" s="138"/>
      <c r="D1787" s="78"/>
      <c r="E1787" s="139" t="str">
        <f t="array" ref="E1787">IF(
UPPER(TRIM(CLEAN($O1787)))="ENTREGADO",
IFERROR(
INDEX(REPORTE_DROPI!Y:Y,
MATCH($T1787, REPORTE_DROPI!B:B, 0)
),
""
),
""
)
</f>
        <v/>
      </c>
      <c r="F1787" s="78"/>
      <c r="G1787" s="78"/>
      <c r="H1787" s="78"/>
      <c r="I1787" s="78"/>
      <c r="J1787" s="78"/>
      <c r="K1787" s="78"/>
      <c r="L1787" s="78"/>
      <c r="M1787" s="78"/>
      <c r="N1787" s="78"/>
      <c r="O1787" s="78"/>
      <c r="P1787" s="78"/>
      <c r="Q1787" s="78"/>
      <c r="R1787" s="78"/>
      <c r="S1787" s="78"/>
      <c r="T1787" s="78"/>
      <c r="U1787" s="78"/>
      <c r="V1787" s="78"/>
      <c r="W1787" s="78"/>
      <c r="X1787" s="78"/>
      <c r="Y1787" s="78"/>
      <c r="Z1787" s="78"/>
    </row>
    <row r="1788">
      <c r="A1788" s="78">
        <v>842.0</v>
      </c>
      <c r="B1788" s="78"/>
      <c r="C1788" s="138"/>
      <c r="D1788" s="78"/>
      <c r="E1788" s="139" t="str">
        <f t="array" ref="E1788">IF(
UPPER(TRIM(CLEAN($O1788)))="ENTREGADO",
IFERROR(
INDEX(REPORTE_DROPI!Y:Y,
MATCH($T1788, REPORTE_DROPI!B:B, 0)
),
""
),
""
)
</f>
        <v/>
      </c>
      <c r="F1788" s="78"/>
      <c r="G1788" s="78"/>
      <c r="H1788" s="78"/>
      <c r="I1788" s="78"/>
      <c r="J1788" s="78"/>
      <c r="K1788" s="78"/>
      <c r="L1788" s="78"/>
      <c r="M1788" s="78"/>
      <c r="N1788" s="78"/>
      <c r="O1788" s="78"/>
      <c r="P1788" s="78"/>
      <c r="Q1788" s="78"/>
      <c r="R1788" s="78"/>
      <c r="S1788" s="78"/>
      <c r="T1788" s="78"/>
      <c r="U1788" s="78"/>
      <c r="V1788" s="78"/>
      <c r="W1788" s="78"/>
      <c r="X1788" s="78"/>
      <c r="Y1788" s="78"/>
      <c r="Z1788" s="78"/>
    </row>
    <row r="1789">
      <c r="A1789" s="78">
        <v>843.0</v>
      </c>
      <c r="B1789" s="78"/>
      <c r="C1789" s="138"/>
      <c r="D1789" s="78"/>
      <c r="E1789" s="139" t="str">
        <f t="array" ref="E1789">IF(
UPPER(TRIM(CLEAN($O1789)))="ENTREGADO",
IFERROR(
INDEX(REPORTE_DROPI!Y:Y,
MATCH($T1789, REPORTE_DROPI!B:B, 0)
),
""
),
""
)
</f>
        <v/>
      </c>
      <c r="F1789" s="78"/>
      <c r="G1789" s="78"/>
      <c r="H1789" s="78"/>
      <c r="I1789" s="78"/>
      <c r="J1789" s="78"/>
      <c r="K1789" s="78"/>
      <c r="L1789" s="78"/>
      <c r="M1789" s="78"/>
      <c r="N1789" s="78"/>
      <c r="O1789" s="78"/>
      <c r="P1789" s="78"/>
      <c r="Q1789" s="78"/>
      <c r="R1789" s="78"/>
      <c r="S1789" s="78"/>
      <c r="T1789" s="78"/>
      <c r="U1789" s="78"/>
      <c r="V1789" s="78"/>
      <c r="W1789" s="78"/>
      <c r="X1789" s="78"/>
      <c r="Y1789" s="78"/>
      <c r="Z1789" s="78"/>
    </row>
    <row r="1790">
      <c r="A1790" s="78">
        <v>844.0</v>
      </c>
      <c r="B1790" s="78"/>
      <c r="C1790" s="138"/>
      <c r="D1790" s="78"/>
      <c r="E1790" s="139" t="str">
        <f t="array" ref="E1790">IF(
UPPER(TRIM(CLEAN($O1790)))="ENTREGADO",
IFERROR(
INDEX(REPORTE_DROPI!Y:Y,
MATCH($T1790, REPORTE_DROPI!B:B, 0)
),
""
),
""
)
</f>
        <v/>
      </c>
      <c r="F1790" s="78"/>
      <c r="G1790" s="78"/>
      <c r="H1790" s="78"/>
      <c r="I1790" s="78"/>
      <c r="J1790" s="78"/>
      <c r="K1790" s="78"/>
      <c r="L1790" s="78"/>
      <c r="M1790" s="78"/>
      <c r="N1790" s="78"/>
      <c r="O1790" s="78"/>
      <c r="P1790" s="78"/>
      <c r="Q1790" s="78"/>
      <c r="R1790" s="78"/>
      <c r="S1790" s="78"/>
      <c r="T1790" s="78"/>
      <c r="U1790" s="78"/>
      <c r="V1790" s="78"/>
      <c r="W1790" s="78"/>
      <c r="X1790" s="78"/>
      <c r="Y1790" s="78"/>
      <c r="Z1790" s="78"/>
    </row>
    <row r="1791">
      <c r="A1791" s="78">
        <v>845.0</v>
      </c>
      <c r="B1791" s="78"/>
      <c r="C1791" s="138"/>
      <c r="D1791" s="78"/>
      <c r="E1791" s="139" t="str">
        <f t="array" ref="E1791">IF(
UPPER(TRIM(CLEAN($O1791)))="ENTREGADO",
IFERROR(
INDEX(REPORTE_DROPI!Y:Y,
MATCH($T1791, REPORTE_DROPI!B:B, 0)
),
""
),
""
)
</f>
        <v/>
      </c>
      <c r="F1791" s="78"/>
      <c r="G1791" s="78"/>
      <c r="H1791" s="78"/>
      <c r="I1791" s="78"/>
      <c r="J1791" s="78"/>
      <c r="K1791" s="78"/>
      <c r="L1791" s="78"/>
      <c r="M1791" s="78"/>
      <c r="N1791" s="78"/>
      <c r="O1791" s="78"/>
      <c r="P1791" s="78"/>
      <c r="Q1791" s="78"/>
      <c r="R1791" s="78"/>
      <c r="S1791" s="78"/>
      <c r="T1791" s="78"/>
      <c r="U1791" s="78"/>
      <c r="V1791" s="78"/>
      <c r="W1791" s="78"/>
      <c r="X1791" s="78"/>
      <c r="Y1791" s="78"/>
      <c r="Z1791" s="78"/>
    </row>
    <row r="1792">
      <c r="A1792" s="78">
        <v>846.0</v>
      </c>
      <c r="B1792" s="78"/>
      <c r="C1792" s="138"/>
      <c r="D1792" s="78"/>
      <c r="E1792" s="139" t="str">
        <f t="array" ref="E1792">IF(
UPPER(TRIM(CLEAN($O1792)))="ENTREGADO",
IFERROR(
INDEX(REPORTE_DROPI!Y:Y,
MATCH($T1792, REPORTE_DROPI!B:B, 0)
),
""
),
""
)
</f>
        <v/>
      </c>
      <c r="F1792" s="78"/>
      <c r="G1792" s="78"/>
      <c r="H1792" s="78"/>
      <c r="I1792" s="78"/>
      <c r="J1792" s="78"/>
      <c r="K1792" s="78"/>
      <c r="L1792" s="78"/>
      <c r="M1792" s="78"/>
      <c r="N1792" s="78"/>
      <c r="O1792" s="78"/>
      <c r="P1792" s="78"/>
      <c r="Q1792" s="78"/>
      <c r="R1792" s="78"/>
      <c r="S1792" s="78"/>
      <c r="T1792" s="78"/>
      <c r="U1792" s="78"/>
      <c r="V1792" s="78"/>
      <c r="W1792" s="78"/>
      <c r="X1792" s="78"/>
      <c r="Y1792" s="78"/>
      <c r="Z1792" s="78"/>
    </row>
    <row r="1793">
      <c r="A1793" s="78">
        <v>847.0</v>
      </c>
      <c r="B1793" s="78"/>
      <c r="C1793" s="138"/>
      <c r="D1793" s="78"/>
      <c r="E1793" s="139" t="str">
        <f t="array" ref="E1793">IF(
UPPER(TRIM(CLEAN($O1793)))="ENTREGADO",
IFERROR(
INDEX(REPORTE_DROPI!Y:Y,
MATCH($T1793, REPORTE_DROPI!B:B, 0)
),
""
),
""
)
</f>
        <v/>
      </c>
      <c r="F1793" s="78"/>
      <c r="G1793" s="78"/>
      <c r="H1793" s="78"/>
      <c r="I1793" s="78"/>
      <c r="J1793" s="78"/>
      <c r="K1793" s="78"/>
      <c r="L1793" s="78"/>
      <c r="M1793" s="78"/>
      <c r="N1793" s="78"/>
      <c r="O1793" s="78"/>
      <c r="P1793" s="78"/>
      <c r="Q1793" s="78"/>
      <c r="R1793" s="78"/>
      <c r="S1793" s="78"/>
      <c r="T1793" s="78"/>
      <c r="U1793" s="78"/>
      <c r="V1793" s="78"/>
      <c r="W1793" s="78"/>
      <c r="X1793" s="78"/>
      <c r="Y1793" s="78"/>
      <c r="Z1793" s="78"/>
    </row>
    <row r="1794">
      <c r="A1794" s="78">
        <v>848.0</v>
      </c>
      <c r="B1794" s="78"/>
      <c r="C1794" s="138"/>
      <c r="D1794" s="78"/>
      <c r="E1794" s="139" t="str">
        <f t="array" ref="E1794">IF(
UPPER(TRIM(CLEAN($O1794)))="ENTREGADO",
IFERROR(
INDEX(REPORTE_DROPI!Y:Y,
MATCH($T1794, REPORTE_DROPI!B:B, 0)
),
""
),
""
)
</f>
        <v/>
      </c>
      <c r="F1794" s="78"/>
      <c r="G1794" s="78"/>
      <c r="H1794" s="78"/>
      <c r="I1794" s="78"/>
      <c r="J1794" s="78"/>
      <c r="K1794" s="78"/>
      <c r="L1794" s="78"/>
      <c r="M1794" s="78"/>
      <c r="N1794" s="78"/>
      <c r="O1794" s="78"/>
      <c r="P1794" s="78"/>
      <c r="Q1794" s="78"/>
      <c r="R1794" s="78"/>
      <c r="S1794" s="78"/>
      <c r="T1794" s="78"/>
      <c r="U1794" s="78"/>
      <c r="V1794" s="78"/>
      <c r="W1794" s="78"/>
      <c r="X1794" s="78"/>
      <c r="Y1794" s="78"/>
      <c r="Z1794" s="78"/>
    </row>
    <row r="1795">
      <c r="A1795" s="78">
        <v>849.0</v>
      </c>
      <c r="B1795" s="78"/>
      <c r="C1795" s="138"/>
      <c r="D1795" s="78"/>
      <c r="E1795" s="139" t="str">
        <f t="array" ref="E1795">IF(
UPPER(TRIM(CLEAN($O1795)))="ENTREGADO",
IFERROR(
INDEX(REPORTE_DROPI!Y:Y,
MATCH($T1795, REPORTE_DROPI!B:B, 0)
),
""
),
""
)
</f>
        <v/>
      </c>
      <c r="F1795" s="78"/>
      <c r="G1795" s="78"/>
      <c r="H1795" s="78"/>
      <c r="I1795" s="78"/>
      <c r="J1795" s="78"/>
      <c r="K1795" s="78"/>
      <c r="L1795" s="78"/>
      <c r="M1795" s="78"/>
      <c r="N1795" s="78"/>
      <c r="O1795" s="78"/>
      <c r="P1795" s="78"/>
      <c r="Q1795" s="78"/>
      <c r="R1795" s="78"/>
      <c r="S1795" s="78"/>
      <c r="T1795" s="78"/>
      <c r="U1795" s="78"/>
      <c r="V1795" s="78"/>
      <c r="W1795" s="78"/>
      <c r="X1795" s="78"/>
      <c r="Y1795" s="78"/>
      <c r="Z1795" s="78"/>
    </row>
    <row r="1796">
      <c r="A1796" s="78">
        <v>850.0</v>
      </c>
      <c r="B1796" s="78"/>
      <c r="C1796" s="138"/>
      <c r="D1796" s="78"/>
      <c r="E1796" s="139" t="str">
        <f t="array" ref="E1796">IF(
UPPER(TRIM(CLEAN($O1796)))="ENTREGADO",
IFERROR(
INDEX(REPORTE_DROPI!Y:Y,
MATCH($T1796, REPORTE_DROPI!B:B, 0)
),
""
),
""
)
</f>
        <v/>
      </c>
      <c r="F1796" s="78"/>
      <c r="G1796" s="78"/>
      <c r="H1796" s="78"/>
      <c r="I1796" s="78"/>
      <c r="J1796" s="78"/>
      <c r="K1796" s="78"/>
      <c r="L1796" s="78"/>
      <c r="M1796" s="78"/>
      <c r="N1796" s="78"/>
      <c r="O1796" s="78"/>
      <c r="P1796" s="78"/>
      <c r="Q1796" s="78"/>
      <c r="R1796" s="78"/>
      <c r="S1796" s="78"/>
      <c r="T1796" s="78"/>
      <c r="U1796" s="78"/>
      <c r="V1796" s="78"/>
      <c r="W1796" s="78"/>
      <c r="X1796" s="78"/>
      <c r="Y1796" s="78"/>
      <c r="Z1796" s="78"/>
    </row>
    <row r="1797">
      <c r="A1797" s="78">
        <v>851.0</v>
      </c>
      <c r="B1797" s="78"/>
      <c r="C1797" s="138"/>
      <c r="D1797" s="78"/>
      <c r="E1797" s="139" t="str">
        <f t="array" ref="E1797">IF(
UPPER(TRIM(CLEAN($O1797)))="ENTREGADO",
IFERROR(
INDEX(REPORTE_DROPI!Y:Y,
MATCH($T1797, REPORTE_DROPI!B:B, 0)
),
""
),
""
)
</f>
        <v/>
      </c>
      <c r="F1797" s="78"/>
      <c r="G1797" s="78"/>
      <c r="H1797" s="78"/>
      <c r="I1797" s="78"/>
      <c r="J1797" s="78"/>
      <c r="K1797" s="78"/>
      <c r="L1797" s="78"/>
      <c r="M1797" s="78"/>
      <c r="N1797" s="78"/>
      <c r="O1797" s="78"/>
      <c r="P1797" s="78"/>
      <c r="Q1797" s="78"/>
      <c r="R1797" s="78"/>
      <c r="S1797" s="78"/>
      <c r="T1797" s="78"/>
      <c r="U1797" s="78"/>
      <c r="V1797" s="78"/>
      <c r="W1797" s="78"/>
      <c r="X1797" s="78"/>
      <c r="Y1797" s="78"/>
      <c r="Z1797" s="78"/>
    </row>
    <row r="1798">
      <c r="A1798" s="78">
        <v>852.0</v>
      </c>
      <c r="B1798" s="78"/>
      <c r="C1798" s="138"/>
      <c r="D1798" s="78"/>
      <c r="E1798" s="139" t="str">
        <f t="array" ref="E1798">IF(
UPPER(TRIM(CLEAN($O1798)))="ENTREGADO",
IFERROR(
INDEX(REPORTE_DROPI!Y:Y,
MATCH($T1798, REPORTE_DROPI!B:B, 0)
),
""
),
""
)
</f>
        <v/>
      </c>
      <c r="F1798" s="78"/>
      <c r="G1798" s="78"/>
      <c r="H1798" s="78"/>
      <c r="I1798" s="78"/>
      <c r="J1798" s="78"/>
      <c r="K1798" s="78"/>
      <c r="L1798" s="78"/>
      <c r="M1798" s="78"/>
      <c r="N1798" s="78"/>
      <c r="O1798" s="78"/>
      <c r="P1798" s="78"/>
      <c r="Q1798" s="78"/>
      <c r="R1798" s="78"/>
      <c r="S1798" s="78"/>
      <c r="T1798" s="78"/>
      <c r="U1798" s="78"/>
      <c r="V1798" s="78"/>
      <c r="W1798" s="78"/>
      <c r="X1798" s="78"/>
      <c r="Y1798" s="78"/>
      <c r="Z1798" s="78"/>
    </row>
    <row r="1799">
      <c r="A1799" s="78">
        <v>853.0</v>
      </c>
      <c r="B1799" s="78"/>
      <c r="C1799" s="138"/>
      <c r="D1799" s="78"/>
      <c r="E1799" s="139" t="str">
        <f t="array" ref="E1799">IF(
UPPER(TRIM(CLEAN($O1799)))="ENTREGADO",
IFERROR(
INDEX(REPORTE_DROPI!Y:Y,
MATCH($T1799, REPORTE_DROPI!B:B, 0)
),
""
),
""
)
</f>
        <v/>
      </c>
      <c r="F1799" s="78"/>
      <c r="G1799" s="78"/>
      <c r="H1799" s="78"/>
      <c r="I1799" s="78"/>
      <c r="J1799" s="78"/>
      <c r="K1799" s="78"/>
      <c r="L1799" s="78"/>
      <c r="M1799" s="78"/>
      <c r="N1799" s="78"/>
      <c r="O1799" s="78"/>
      <c r="P1799" s="78"/>
      <c r="Q1799" s="78"/>
      <c r="R1799" s="78"/>
      <c r="S1799" s="78"/>
      <c r="T1799" s="78"/>
      <c r="U1799" s="78"/>
      <c r="V1799" s="78"/>
      <c r="W1799" s="78"/>
      <c r="X1799" s="78"/>
      <c r="Y1799" s="78"/>
      <c r="Z1799" s="78"/>
    </row>
    <row r="1800">
      <c r="A1800" s="78">
        <v>854.0</v>
      </c>
      <c r="B1800" s="78"/>
      <c r="C1800" s="138"/>
      <c r="D1800" s="78"/>
      <c r="E1800" s="139" t="str">
        <f t="array" ref="E1800">IF(
UPPER(TRIM(CLEAN($O1800)))="ENTREGADO",
IFERROR(
INDEX(REPORTE_DROPI!Y:Y,
MATCH($T1800, REPORTE_DROPI!B:B, 0)
),
""
),
""
)
</f>
        <v/>
      </c>
      <c r="F1800" s="78"/>
      <c r="G1800" s="78"/>
      <c r="H1800" s="78"/>
      <c r="I1800" s="78"/>
      <c r="J1800" s="78"/>
      <c r="K1800" s="78"/>
      <c r="L1800" s="78"/>
      <c r="M1800" s="78"/>
      <c r="N1800" s="78"/>
      <c r="O1800" s="78"/>
      <c r="P1800" s="78"/>
      <c r="Q1800" s="78"/>
      <c r="R1800" s="78"/>
      <c r="S1800" s="78"/>
      <c r="T1800" s="78"/>
      <c r="U1800" s="78"/>
      <c r="V1800" s="78"/>
      <c r="W1800" s="78"/>
      <c r="X1800" s="78"/>
      <c r="Y1800" s="78"/>
      <c r="Z1800" s="78"/>
    </row>
    <row r="1801">
      <c r="A1801" s="78">
        <v>855.0</v>
      </c>
      <c r="B1801" s="78"/>
      <c r="C1801" s="138"/>
      <c r="D1801" s="78"/>
      <c r="E1801" s="139" t="str">
        <f t="array" ref="E1801">IF(
UPPER(TRIM(CLEAN($O1801)))="ENTREGADO",
IFERROR(
INDEX(REPORTE_DROPI!Y:Y,
MATCH($T1801, REPORTE_DROPI!B:B, 0)
),
""
),
""
)
</f>
        <v/>
      </c>
      <c r="F1801" s="78"/>
      <c r="G1801" s="78"/>
      <c r="H1801" s="78"/>
      <c r="I1801" s="78"/>
      <c r="J1801" s="78"/>
      <c r="K1801" s="78"/>
      <c r="L1801" s="78"/>
      <c r="M1801" s="78"/>
      <c r="N1801" s="78"/>
      <c r="O1801" s="78"/>
      <c r="P1801" s="78"/>
      <c r="Q1801" s="78"/>
      <c r="R1801" s="78"/>
      <c r="S1801" s="78"/>
      <c r="T1801" s="78"/>
      <c r="U1801" s="78"/>
      <c r="V1801" s="78"/>
      <c r="W1801" s="78"/>
      <c r="X1801" s="78"/>
      <c r="Y1801" s="78"/>
      <c r="Z1801" s="78"/>
    </row>
    <row r="1802">
      <c r="A1802" s="78">
        <v>856.0</v>
      </c>
      <c r="B1802" s="78"/>
      <c r="C1802" s="138"/>
      <c r="D1802" s="78"/>
      <c r="E1802" s="139" t="str">
        <f t="array" ref="E1802">IF(
UPPER(TRIM(CLEAN($O1802)))="ENTREGADO",
IFERROR(
INDEX(REPORTE_DROPI!Y:Y,
MATCH($T1802, REPORTE_DROPI!B:B, 0)
),
""
),
""
)
</f>
        <v/>
      </c>
      <c r="F1802" s="78"/>
      <c r="G1802" s="78"/>
      <c r="H1802" s="78"/>
      <c r="I1802" s="78"/>
      <c r="J1802" s="78"/>
      <c r="K1802" s="78"/>
      <c r="L1802" s="78"/>
      <c r="M1802" s="78"/>
      <c r="N1802" s="78"/>
      <c r="O1802" s="78"/>
      <c r="P1802" s="78"/>
      <c r="Q1802" s="78"/>
      <c r="R1802" s="78"/>
      <c r="S1802" s="78"/>
      <c r="T1802" s="78"/>
      <c r="U1802" s="78"/>
      <c r="V1802" s="78"/>
      <c r="W1802" s="78"/>
      <c r="X1802" s="78"/>
      <c r="Y1802" s="78"/>
      <c r="Z1802" s="78"/>
    </row>
    <row r="1803">
      <c r="A1803" s="78">
        <v>857.0</v>
      </c>
      <c r="B1803" s="78"/>
      <c r="C1803" s="138"/>
      <c r="D1803" s="78"/>
      <c r="E1803" s="139" t="str">
        <f t="array" ref="E1803">IF(
UPPER(TRIM(CLEAN($O1803)))="ENTREGADO",
IFERROR(
INDEX(REPORTE_DROPI!Y:Y,
MATCH($T1803, REPORTE_DROPI!B:B, 0)
),
""
),
""
)
</f>
        <v/>
      </c>
      <c r="F1803" s="78"/>
      <c r="G1803" s="78"/>
      <c r="H1803" s="78"/>
      <c r="I1803" s="78"/>
      <c r="J1803" s="78"/>
      <c r="K1803" s="78"/>
      <c r="L1803" s="78"/>
      <c r="M1803" s="78"/>
      <c r="N1803" s="78"/>
      <c r="O1803" s="78"/>
      <c r="P1803" s="78"/>
      <c r="Q1803" s="78"/>
      <c r="R1803" s="78"/>
      <c r="S1803" s="78"/>
      <c r="T1803" s="78"/>
      <c r="U1803" s="78"/>
      <c r="V1803" s="78"/>
      <c r="W1803" s="78"/>
      <c r="X1803" s="78"/>
      <c r="Y1803" s="78"/>
      <c r="Z1803" s="78"/>
    </row>
    <row r="1804">
      <c r="A1804" s="78">
        <v>858.0</v>
      </c>
      <c r="B1804" s="78"/>
      <c r="C1804" s="138"/>
      <c r="D1804" s="78"/>
      <c r="E1804" s="139" t="str">
        <f t="array" ref="E1804">IF(
UPPER(TRIM(CLEAN($O1804)))="ENTREGADO",
IFERROR(
INDEX(REPORTE_DROPI!Y:Y,
MATCH($T1804, REPORTE_DROPI!B:B, 0)
),
""
),
""
)
</f>
        <v/>
      </c>
      <c r="F1804" s="78"/>
      <c r="G1804" s="78"/>
      <c r="H1804" s="78"/>
      <c r="I1804" s="78"/>
      <c r="J1804" s="78"/>
      <c r="K1804" s="78"/>
      <c r="L1804" s="78"/>
      <c r="M1804" s="78"/>
      <c r="N1804" s="78"/>
      <c r="O1804" s="78"/>
      <c r="P1804" s="78"/>
      <c r="Q1804" s="78"/>
      <c r="R1804" s="78"/>
      <c r="S1804" s="78"/>
      <c r="T1804" s="78"/>
      <c r="U1804" s="78"/>
      <c r="V1804" s="78"/>
      <c r="W1804" s="78"/>
      <c r="X1804" s="78"/>
      <c r="Y1804" s="78"/>
      <c r="Z1804" s="78"/>
    </row>
    <row r="1805">
      <c r="A1805" s="78">
        <v>859.0</v>
      </c>
      <c r="B1805" s="78"/>
      <c r="C1805" s="138"/>
      <c r="D1805" s="78"/>
      <c r="E1805" s="139" t="str">
        <f t="array" ref="E1805">IF(
UPPER(TRIM(CLEAN($O1805)))="ENTREGADO",
IFERROR(
INDEX(REPORTE_DROPI!Y:Y,
MATCH($T1805, REPORTE_DROPI!B:B, 0)
),
""
),
""
)
</f>
        <v/>
      </c>
      <c r="F1805" s="78"/>
      <c r="G1805" s="78"/>
      <c r="H1805" s="78"/>
      <c r="I1805" s="78"/>
      <c r="J1805" s="78"/>
      <c r="K1805" s="78"/>
      <c r="L1805" s="78"/>
      <c r="M1805" s="78"/>
      <c r="N1805" s="78"/>
      <c r="O1805" s="78"/>
      <c r="P1805" s="78"/>
      <c r="Q1805" s="78"/>
      <c r="R1805" s="78"/>
      <c r="S1805" s="78"/>
      <c r="T1805" s="78"/>
      <c r="U1805" s="78"/>
      <c r="V1805" s="78"/>
      <c r="W1805" s="78"/>
      <c r="X1805" s="78"/>
      <c r="Y1805" s="78"/>
      <c r="Z1805" s="78"/>
    </row>
    <row r="1806">
      <c r="A1806" s="78">
        <v>860.0</v>
      </c>
      <c r="B1806" s="78"/>
      <c r="C1806" s="138"/>
      <c r="D1806" s="78"/>
      <c r="E1806" s="139" t="str">
        <f t="array" ref="E1806">IF(
UPPER(TRIM(CLEAN($O1806)))="ENTREGADO",
IFERROR(
INDEX(REPORTE_DROPI!Y:Y,
MATCH($T1806, REPORTE_DROPI!B:B, 0)
),
""
),
""
)
</f>
        <v/>
      </c>
      <c r="F1806" s="78"/>
      <c r="G1806" s="78"/>
      <c r="H1806" s="78"/>
      <c r="I1806" s="78"/>
      <c r="J1806" s="78"/>
      <c r="K1806" s="78"/>
      <c r="L1806" s="78"/>
      <c r="M1806" s="78"/>
      <c r="N1806" s="78"/>
      <c r="O1806" s="78"/>
      <c r="P1806" s="78"/>
      <c r="Q1806" s="78"/>
      <c r="R1806" s="78"/>
      <c r="S1806" s="78"/>
      <c r="T1806" s="78"/>
      <c r="U1806" s="78"/>
      <c r="V1806" s="78"/>
      <c r="W1806" s="78"/>
      <c r="X1806" s="78"/>
      <c r="Y1806" s="78"/>
      <c r="Z1806" s="78"/>
    </row>
    <row r="1807">
      <c r="A1807" s="78">
        <v>861.0</v>
      </c>
      <c r="B1807" s="78"/>
      <c r="C1807" s="138"/>
      <c r="D1807" s="78"/>
      <c r="E1807" s="139" t="str">
        <f t="array" ref="E1807">IF(
UPPER(TRIM(CLEAN($O1807)))="ENTREGADO",
IFERROR(
INDEX(REPORTE_DROPI!Y:Y,
MATCH($T1807, REPORTE_DROPI!B:B, 0)
),
""
),
""
)
</f>
        <v/>
      </c>
      <c r="F1807" s="78"/>
      <c r="G1807" s="78"/>
      <c r="H1807" s="78"/>
      <c r="I1807" s="78"/>
      <c r="J1807" s="78"/>
      <c r="K1807" s="78"/>
      <c r="L1807" s="78"/>
      <c r="M1807" s="78"/>
      <c r="N1807" s="78"/>
      <c r="O1807" s="78"/>
      <c r="P1807" s="78"/>
      <c r="Q1807" s="78"/>
      <c r="R1807" s="78"/>
      <c r="S1807" s="78"/>
      <c r="T1807" s="78"/>
      <c r="U1807" s="78"/>
      <c r="V1807" s="78"/>
      <c r="W1807" s="78"/>
      <c r="X1807" s="78"/>
      <c r="Y1807" s="78"/>
      <c r="Z1807" s="78"/>
    </row>
    <row r="1808">
      <c r="A1808" s="78">
        <v>862.0</v>
      </c>
      <c r="B1808" s="78"/>
      <c r="C1808" s="138"/>
      <c r="D1808" s="78"/>
      <c r="E1808" s="139" t="str">
        <f t="array" ref="E1808">IF(
UPPER(TRIM(CLEAN($O1808)))="ENTREGADO",
IFERROR(
INDEX(REPORTE_DROPI!Y:Y,
MATCH($T1808, REPORTE_DROPI!B:B, 0)
),
""
),
""
)
</f>
        <v/>
      </c>
      <c r="F1808" s="78"/>
      <c r="G1808" s="78"/>
      <c r="H1808" s="78"/>
      <c r="I1808" s="78"/>
      <c r="J1808" s="78"/>
      <c r="K1808" s="78"/>
      <c r="L1808" s="78"/>
      <c r="M1808" s="78"/>
      <c r="N1808" s="78"/>
      <c r="O1808" s="78"/>
      <c r="P1808" s="78"/>
      <c r="Q1808" s="78"/>
      <c r="R1808" s="78"/>
      <c r="S1808" s="78"/>
      <c r="T1808" s="78"/>
      <c r="U1808" s="78"/>
      <c r="V1808" s="78"/>
      <c r="W1808" s="78"/>
      <c r="X1808" s="78"/>
      <c r="Y1808" s="78"/>
      <c r="Z1808" s="78"/>
    </row>
    <row r="1809">
      <c r="A1809" s="78">
        <v>863.0</v>
      </c>
      <c r="B1809" s="78"/>
      <c r="C1809" s="138"/>
      <c r="D1809" s="78"/>
      <c r="E1809" s="139" t="str">
        <f t="array" ref="E1809">IF(
UPPER(TRIM(CLEAN($O1809)))="ENTREGADO",
IFERROR(
INDEX(REPORTE_DROPI!Y:Y,
MATCH($T1809, REPORTE_DROPI!B:B, 0)
),
""
),
""
)
</f>
        <v/>
      </c>
      <c r="F1809" s="78"/>
      <c r="G1809" s="78"/>
      <c r="H1809" s="78"/>
      <c r="I1809" s="78"/>
      <c r="J1809" s="78"/>
      <c r="K1809" s="78"/>
      <c r="L1809" s="78"/>
      <c r="M1809" s="78"/>
      <c r="N1809" s="78"/>
      <c r="O1809" s="78"/>
      <c r="P1809" s="78"/>
      <c r="Q1809" s="78"/>
      <c r="R1809" s="78"/>
      <c r="S1809" s="78"/>
      <c r="T1809" s="78"/>
      <c r="U1809" s="78"/>
      <c r="V1809" s="78"/>
      <c r="W1809" s="78"/>
      <c r="X1809" s="78"/>
      <c r="Y1809" s="78"/>
      <c r="Z1809" s="78"/>
    </row>
    <row r="1810">
      <c r="A1810" s="78">
        <v>864.0</v>
      </c>
      <c r="B1810" s="78"/>
      <c r="C1810" s="138"/>
      <c r="D1810" s="78"/>
      <c r="E1810" s="139" t="str">
        <f t="array" ref="E1810">IF(
UPPER(TRIM(CLEAN($O1810)))="ENTREGADO",
IFERROR(
INDEX(REPORTE_DROPI!Y:Y,
MATCH($T1810, REPORTE_DROPI!B:B, 0)
),
""
),
""
)
</f>
        <v/>
      </c>
      <c r="F1810" s="78"/>
      <c r="G1810" s="78"/>
      <c r="H1810" s="78"/>
      <c r="I1810" s="78"/>
      <c r="J1810" s="78"/>
      <c r="K1810" s="78"/>
      <c r="L1810" s="78"/>
      <c r="M1810" s="78"/>
      <c r="N1810" s="78"/>
      <c r="O1810" s="78"/>
      <c r="P1810" s="78"/>
      <c r="Q1810" s="78"/>
      <c r="R1810" s="78"/>
      <c r="S1810" s="78"/>
      <c r="T1810" s="78"/>
      <c r="U1810" s="78"/>
      <c r="V1810" s="78"/>
      <c r="W1810" s="78"/>
      <c r="X1810" s="78"/>
      <c r="Y1810" s="78"/>
      <c r="Z1810" s="78"/>
    </row>
    <row r="1811">
      <c r="A1811" s="78">
        <v>865.0</v>
      </c>
      <c r="B1811" s="78"/>
      <c r="C1811" s="138"/>
      <c r="D1811" s="78"/>
      <c r="E1811" s="139" t="str">
        <f t="array" ref="E1811">IF(
UPPER(TRIM(CLEAN($O1811)))="ENTREGADO",
IFERROR(
INDEX(REPORTE_DROPI!Y:Y,
MATCH($T1811, REPORTE_DROPI!B:B, 0)
),
""
),
""
)
</f>
        <v/>
      </c>
      <c r="F1811" s="78"/>
      <c r="G1811" s="78"/>
      <c r="H1811" s="78"/>
      <c r="I1811" s="78"/>
      <c r="J1811" s="78"/>
      <c r="K1811" s="78"/>
      <c r="L1811" s="78"/>
      <c r="M1811" s="78"/>
      <c r="N1811" s="78"/>
      <c r="O1811" s="78"/>
      <c r="P1811" s="78"/>
      <c r="Q1811" s="78"/>
      <c r="R1811" s="78"/>
      <c r="S1811" s="78"/>
      <c r="T1811" s="78"/>
      <c r="U1811" s="78"/>
      <c r="V1811" s="78"/>
      <c r="W1811" s="78"/>
      <c r="X1811" s="78"/>
      <c r="Y1811" s="78"/>
      <c r="Z1811" s="78"/>
    </row>
    <row r="1812">
      <c r="A1812" s="78">
        <v>866.0</v>
      </c>
      <c r="B1812" s="78"/>
      <c r="C1812" s="138"/>
      <c r="D1812" s="78"/>
      <c r="E1812" s="139" t="str">
        <f t="array" ref="E1812">IF(
UPPER(TRIM(CLEAN($O1812)))="ENTREGADO",
IFERROR(
INDEX(REPORTE_DROPI!Y:Y,
MATCH($T1812, REPORTE_DROPI!B:B, 0)
),
""
),
""
)
</f>
        <v/>
      </c>
      <c r="F1812" s="78"/>
      <c r="G1812" s="78"/>
      <c r="H1812" s="78"/>
      <c r="I1812" s="78"/>
      <c r="J1812" s="78"/>
      <c r="K1812" s="78"/>
      <c r="L1812" s="78"/>
      <c r="M1812" s="78"/>
      <c r="N1812" s="78"/>
      <c r="O1812" s="78"/>
      <c r="P1812" s="78"/>
      <c r="Q1812" s="78"/>
      <c r="R1812" s="78"/>
      <c r="S1812" s="78"/>
      <c r="T1812" s="78"/>
      <c r="U1812" s="78"/>
      <c r="V1812" s="78"/>
      <c r="W1812" s="78"/>
      <c r="X1812" s="78"/>
      <c r="Y1812" s="78"/>
      <c r="Z1812" s="78"/>
    </row>
    <row r="1813">
      <c r="A1813" s="78">
        <v>867.0</v>
      </c>
      <c r="B1813" s="78"/>
      <c r="C1813" s="138"/>
      <c r="D1813" s="78"/>
      <c r="E1813" s="139" t="str">
        <f t="array" ref="E1813">IF(
UPPER(TRIM(CLEAN($O1813)))="ENTREGADO",
IFERROR(
INDEX(REPORTE_DROPI!Y:Y,
MATCH($T1813, REPORTE_DROPI!B:B, 0)
),
""
),
""
)
</f>
        <v/>
      </c>
      <c r="F1813" s="78"/>
      <c r="G1813" s="78"/>
      <c r="H1813" s="78"/>
      <c r="I1813" s="78"/>
      <c r="J1813" s="78"/>
      <c r="K1813" s="78"/>
      <c r="L1813" s="78"/>
      <c r="M1813" s="78"/>
      <c r="N1813" s="78"/>
      <c r="O1813" s="78"/>
      <c r="P1813" s="78"/>
      <c r="Q1813" s="78"/>
      <c r="R1813" s="78"/>
      <c r="S1813" s="78"/>
      <c r="T1813" s="78"/>
      <c r="U1813" s="78"/>
      <c r="V1813" s="78"/>
      <c r="W1813" s="78"/>
      <c r="X1813" s="78"/>
      <c r="Y1813" s="78"/>
      <c r="Z1813" s="78"/>
    </row>
    <row r="1814">
      <c r="A1814" s="78">
        <v>868.0</v>
      </c>
      <c r="B1814" s="78"/>
      <c r="C1814" s="138"/>
      <c r="D1814" s="78"/>
      <c r="E1814" s="139" t="str">
        <f t="array" ref="E1814">IF(
UPPER(TRIM(CLEAN($O1814)))="ENTREGADO",
IFERROR(
INDEX(REPORTE_DROPI!Y:Y,
MATCH($T1814, REPORTE_DROPI!B:B, 0)
),
""
),
""
)
</f>
        <v/>
      </c>
      <c r="F1814" s="78"/>
      <c r="G1814" s="78"/>
      <c r="H1814" s="78"/>
      <c r="I1814" s="78"/>
      <c r="J1814" s="78"/>
      <c r="K1814" s="78"/>
      <c r="L1814" s="78"/>
      <c r="M1814" s="78"/>
      <c r="N1814" s="78"/>
      <c r="O1814" s="78"/>
      <c r="P1814" s="78"/>
      <c r="Q1814" s="78"/>
      <c r="R1814" s="78"/>
      <c r="S1814" s="78"/>
      <c r="T1814" s="78"/>
      <c r="U1814" s="78"/>
      <c r="V1814" s="78"/>
      <c r="W1814" s="78"/>
      <c r="X1814" s="78"/>
      <c r="Y1814" s="78"/>
      <c r="Z1814" s="78"/>
    </row>
    <row r="1815">
      <c r="A1815" s="78">
        <v>869.0</v>
      </c>
      <c r="B1815" s="78"/>
      <c r="C1815" s="138"/>
      <c r="D1815" s="78"/>
      <c r="E1815" s="139" t="str">
        <f t="array" ref="E1815">IF(
UPPER(TRIM(CLEAN($O1815)))="ENTREGADO",
IFERROR(
INDEX(REPORTE_DROPI!Y:Y,
MATCH($T1815, REPORTE_DROPI!B:B, 0)
),
""
),
""
)
</f>
        <v/>
      </c>
      <c r="F1815" s="78"/>
      <c r="G1815" s="78"/>
      <c r="H1815" s="78"/>
      <c r="I1815" s="78"/>
      <c r="J1815" s="78"/>
      <c r="K1815" s="78"/>
      <c r="L1815" s="78"/>
      <c r="M1815" s="78"/>
      <c r="N1815" s="78"/>
      <c r="O1815" s="78"/>
      <c r="P1815" s="78"/>
      <c r="Q1815" s="78"/>
      <c r="R1815" s="78"/>
      <c r="S1815" s="78"/>
      <c r="T1815" s="78"/>
      <c r="U1815" s="78"/>
      <c r="V1815" s="78"/>
      <c r="W1815" s="78"/>
      <c r="X1815" s="78"/>
      <c r="Y1815" s="78"/>
      <c r="Z1815" s="78"/>
    </row>
    <row r="1816">
      <c r="A1816" s="78">
        <v>870.0</v>
      </c>
      <c r="B1816" s="78"/>
      <c r="C1816" s="138"/>
      <c r="D1816" s="78"/>
      <c r="E1816" s="139" t="str">
        <f t="array" ref="E1816">IF(
UPPER(TRIM(CLEAN($O1816)))="ENTREGADO",
IFERROR(
INDEX(REPORTE_DROPI!Y:Y,
MATCH($T1816, REPORTE_DROPI!B:B, 0)
),
""
),
""
)
</f>
        <v/>
      </c>
      <c r="F1816" s="78"/>
      <c r="G1816" s="78"/>
      <c r="H1816" s="78"/>
      <c r="I1816" s="78"/>
      <c r="J1816" s="78"/>
      <c r="K1816" s="78"/>
      <c r="L1816" s="78"/>
      <c r="M1816" s="78"/>
      <c r="N1816" s="78"/>
      <c r="O1816" s="78"/>
      <c r="P1816" s="78"/>
      <c r="Q1816" s="78"/>
      <c r="R1816" s="78"/>
      <c r="S1816" s="78"/>
      <c r="T1816" s="78"/>
      <c r="U1816" s="78"/>
      <c r="V1816" s="78"/>
      <c r="W1816" s="78"/>
      <c r="X1816" s="78"/>
      <c r="Y1816" s="78"/>
      <c r="Z1816" s="78"/>
    </row>
    <row r="1817">
      <c r="A1817" s="78">
        <v>871.0</v>
      </c>
      <c r="B1817" s="78"/>
      <c r="C1817" s="138"/>
      <c r="D1817" s="78"/>
      <c r="E1817" s="139" t="str">
        <f t="array" ref="E1817">IF(
UPPER(TRIM(CLEAN($O1817)))="ENTREGADO",
IFERROR(
INDEX(REPORTE_DROPI!Y:Y,
MATCH($T1817, REPORTE_DROPI!B:B, 0)
),
""
),
""
)
</f>
        <v/>
      </c>
      <c r="F1817" s="78"/>
      <c r="G1817" s="78"/>
      <c r="H1817" s="78"/>
      <c r="I1817" s="78"/>
      <c r="J1817" s="78"/>
      <c r="K1817" s="78"/>
      <c r="L1817" s="78"/>
      <c r="M1817" s="78"/>
      <c r="N1817" s="78"/>
      <c r="O1817" s="78"/>
      <c r="P1817" s="78"/>
      <c r="Q1817" s="78"/>
      <c r="R1817" s="78"/>
      <c r="S1817" s="78"/>
      <c r="T1817" s="78"/>
      <c r="U1817" s="78"/>
      <c r="V1817" s="78"/>
      <c r="W1817" s="78"/>
      <c r="X1817" s="78"/>
      <c r="Y1817" s="78"/>
      <c r="Z1817" s="78"/>
    </row>
    <row r="1818">
      <c r="A1818" s="78">
        <v>872.0</v>
      </c>
      <c r="B1818" s="78"/>
      <c r="C1818" s="138"/>
      <c r="D1818" s="78"/>
      <c r="E1818" s="139" t="str">
        <f t="array" ref="E1818">IF(
UPPER(TRIM(CLEAN($O1818)))="ENTREGADO",
IFERROR(
INDEX(REPORTE_DROPI!Y:Y,
MATCH($T1818, REPORTE_DROPI!B:B, 0)
),
""
),
""
)
</f>
        <v/>
      </c>
      <c r="F1818" s="78"/>
      <c r="G1818" s="78"/>
      <c r="H1818" s="78"/>
      <c r="I1818" s="78"/>
      <c r="J1818" s="78"/>
      <c r="K1818" s="78"/>
      <c r="L1818" s="78"/>
      <c r="M1818" s="78"/>
      <c r="N1818" s="78"/>
      <c r="O1818" s="78"/>
      <c r="P1818" s="78"/>
      <c r="Q1818" s="78"/>
      <c r="R1818" s="78"/>
      <c r="S1818" s="78"/>
      <c r="T1818" s="78"/>
      <c r="U1818" s="78"/>
      <c r="V1818" s="78"/>
      <c r="W1818" s="78"/>
      <c r="X1818" s="78"/>
      <c r="Y1818" s="78"/>
      <c r="Z1818" s="78"/>
    </row>
    <row r="1819">
      <c r="A1819" s="78">
        <v>873.0</v>
      </c>
      <c r="B1819" s="78"/>
      <c r="C1819" s="138"/>
      <c r="D1819" s="78"/>
      <c r="E1819" s="139" t="str">
        <f t="array" ref="E1819">IF(
UPPER(TRIM(CLEAN($O1819)))="ENTREGADO",
IFERROR(
INDEX(REPORTE_DROPI!Y:Y,
MATCH($T1819, REPORTE_DROPI!B:B, 0)
),
""
),
""
)
</f>
        <v/>
      </c>
      <c r="F1819" s="78"/>
      <c r="G1819" s="78"/>
      <c r="H1819" s="78"/>
      <c r="I1819" s="78"/>
      <c r="J1819" s="78"/>
      <c r="K1819" s="78"/>
      <c r="L1819" s="78"/>
      <c r="M1819" s="78"/>
      <c r="N1819" s="78"/>
      <c r="O1819" s="78"/>
      <c r="P1819" s="78"/>
      <c r="Q1819" s="78"/>
      <c r="R1819" s="78"/>
      <c r="S1819" s="78"/>
      <c r="T1819" s="78"/>
      <c r="U1819" s="78"/>
      <c r="V1819" s="78"/>
      <c r="W1819" s="78"/>
      <c r="X1819" s="78"/>
      <c r="Y1819" s="78"/>
      <c r="Z1819" s="78"/>
    </row>
    <row r="1820">
      <c r="A1820" s="78">
        <v>874.0</v>
      </c>
      <c r="B1820" s="78"/>
      <c r="C1820" s="138"/>
      <c r="D1820" s="78"/>
      <c r="E1820" s="139" t="str">
        <f t="array" ref="E1820">IF(
UPPER(TRIM(CLEAN($O1820)))="ENTREGADO",
IFERROR(
INDEX(REPORTE_DROPI!Y:Y,
MATCH($T1820, REPORTE_DROPI!B:B, 0)
),
""
),
""
)
</f>
        <v/>
      </c>
      <c r="F1820" s="78"/>
      <c r="G1820" s="78"/>
      <c r="H1820" s="78"/>
      <c r="I1820" s="78"/>
      <c r="J1820" s="78"/>
      <c r="K1820" s="78"/>
      <c r="L1820" s="78"/>
      <c r="M1820" s="78"/>
      <c r="N1820" s="78"/>
      <c r="O1820" s="78"/>
      <c r="P1820" s="78"/>
      <c r="Q1820" s="78"/>
      <c r="R1820" s="78"/>
      <c r="S1820" s="78"/>
      <c r="T1820" s="78"/>
      <c r="U1820" s="78"/>
      <c r="V1820" s="78"/>
      <c r="W1820" s="78"/>
      <c r="X1820" s="78"/>
      <c r="Y1820" s="78"/>
      <c r="Z1820" s="78"/>
    </row>
    <row r="1821">
      <c r="A1821" s="78">
        <v>875.0</v>
      </c>
      <c r="B1821" s="78"/>
      <c r="C1821" s="138"/>
      <c r="D1821" s="78"/>
      <c r="E1821" s="139" t="str">
        <f t="array" ref="E1821">IF(
UPPER(TRIM(CLEAN($O1821)))="ENTREGADO",
IFERROR(
INDEX(REPORTE_DROPI!Y:Y,
MATCH($T1821, REPORTE_DROPI!B:B, 0)
),
""
),
""
)
</f>
        <v/>
      </c>
      <c r="F1821" s="78"/>
      <c r="G1821" s="78"/>
      <c r="H1821" s="78"/>
      <c r="I1821" s="78"/>
      <c r="J1821" s="78"/>
      <c r="K1821" s="78"/>
      <c r="L1821" s="78"/>
      <c r="M1821" s="78"/>
      <c r="N1821" s="78"/>
      <c r="O1821" s="78"/>
      <c r="P1821" s="78"/>
      <c r="Q1821" s="78"/>
      <c r="R1821" s="78"/>
      <c r="S1821" s="78"/>
      <c r="T1821" s="78"/>
      <c r="U1821" s="78"/>
      <c r="V1821" s="78"/>
      <c r="W1821" s="78"/>
      <c r="X1821" s="78"/>
      <c r="Y1821" s="78"/>
      <c r="Z1821" s="78"/>
    </row>
    <row r="1822">
      <c r="A1822" s="78">
        <v>876.0</v>
      </c>
      <c r="B1822" s="78"/>
      <c r="C1822" s="138"/>
      <c r="D1822" s="78"/>
      <c r="E1822" s="139" t="str">
        <f t="array" ref="E1822">IF(
UPPER(TRIM(CLEAN($O1822)))="ENTREGADO",
IFERROR(
INDEX(REPORTE_DROPI!Y:Y,
MATCH($T1822, REPORTE_DROPI!B:B, 0)
),
""
),
""
)
</f>
        <v/>
      </c>
      <c r="F1822" s="78"/>
      <c r="G1822" s="78"/>
      <c r="H1822" s="78"/>
      <c r="I1822" s="78"/>
      <c r="J1822" s="78"/>
      <c r="K1822" s="78"/>
      <c r="L1822" s="78"/>
      <c r="M1822" s="78"/>
      <c r="N1822" s="78"/>
      <c r="O1822" s="78"/>
      <c r="P1822" s="78"/>
      <c r="Q1822" s="78"/>
      <c r="R1822" s="78"/>
      <c r="S1822" s="78"/>
      <c r="T1822" s="78"/>
      <c r="U1822" s="78"/>
      <c r="V1822" s="78"/>
      <c r="W1822" s="78"/>
      <c r="X1822" s="78"/>
      <c r="Y1822" s="78"/>
      <c r="Z1822" s="78"/>
    </row>
    <row r="1823">
      <c r="A1823" s="78">
        <v>877.0</v>
      </c>
      <c r="B1823" s="78"/>
      <c r="C1823" s="138"/>
      <c r="D1823" s="78"/>
      <c r="E1823" s="139" t="str">
        <f t="array" ref="E1823">IF(
UPPER(TRIM(CLEAN($O1823)))="ENTREGADO",
IFERROR(
INDEX(REPORTE_DROPI!Y:Y,
MATCH($T1823, REPORTE_DROPI!B:B, 0)
),
""
),
""
)
</f>
        <v/>
      </c>
      <c r="F1823" s="78"/>
      <c r="G1823" s="78"/>
      <c r="H1823" s="78"/>
      <c r="I1823" s="78"/>
      <c r="J1823" s="78"/>
      <c r="K1823" s="78"/>
      <c r="L1823" s="78"/>
      <c r="M1823" s="78"/>
      <c r="N1823" s="78"/>
      <c r="O1823" s="78"/>
      <c r="P1823" s="78"/>
      <c r="Q1823" s="78"/>
      <c r="R1823" s="78"/>
      <c r="S1823" s="78"/>
      <c r="T1823" s="78"/>
      <c r="U1823" s="78"/>
      <c r="V1823" s="78"/>
      <c r="W1823" s="78"/>
      <c r="X1823" s="78"/>
      <c r="Y1823" s="78"/>
      <c r="Z1823" s="78"/>
    </row>
    <row r="1824">
      <c r="A1824" s="78">
        <v>878.0</v>
      </c>
      <c r="B1824" s="78"/>
      <c r="C1824" s="138"/>
      <c r="D1824" s="78"/>
      <c r="E1824" s="139" t="str">
        <f t="array" ref="E1824">IF(
UPPER(TRIM(CLEAN($O1824)))="ENTREGADO",
IFERROR(
INDEX(REPORTE_DROPI!Y:Y,
MATCH($T1824, REPORTE_DROPI!B:B, 0)
),
""
),
""
)
</f>
        <v/>
      </c>
      <c r="F1824" s="78"/>
      <c r="G1824" s="78"/>
      <c r="H1824" s="78"/>
      <c r="I1824" s="78"/>
      <c r="J1824" s="78"/>
      <c r="K1824" s="78"/>
      <c r="L1824" s="78"/>
      <c r="M1824" s="78"/>
      <c r="N1824" s="78"/>
      <c r="O1824" s="78"/>
      <c r="P1824" s="78"/>
      <c r="Q1824" s="78"/>
      <c r="R1824" s="78"/>
      <c r="S1824" s="78"/>
      <c r="T1824" s="78"/>
      <c r="U1824" s="78"/>
      <c r="V1824" s="78"/>
      <c r="W1824" s="78"/>
      <c r="X1824" s="78"/>
      <c r="Y1824" s="78"/>
      <c r="Z1824" s="78"/>
    </row>
    <row r="1825">
      <c r="A1825" s="78">
        <v>879.0</v>
      </c>
      <c r="B1825" s="78"/>
      <c r="C1825" s="138"/>
      <c r="D1825" s="78"/>
      <c r="E1825" s="139" t="str">
        <f t="array" ref="E1825">IF(
UPPER(TRIM(CLEAN($O1825)))="ENTREGADO",
IFERROR(
INDEX(REPORTE_DROPI!Y:Y,
MATCH($T1825, REPORTE_DROPI!B:B, 0)
),
""
),
""
)
</f>
        <v/>
      </c>
      <c r="F1825" s="78"/>
      <c r="G1825" s="78"/>
      <c r="H1825" s="78"/>
      <c r="I1825" s="78"/>
      <c r="J1825" s="78"/>
      <c r="K1825" s="78"/>
      <c r="L1825" s="78"/>
      <c r="M1825" s="78"/>
      <c r="N1825" s="78"/>
      <c r="O1825" s="78"/>
      <c r="P1825" s="78"/>
      <c r="Q1825" s="78"/>
      <c r="R1825" s="78"/>
      <c r="S1825" s="78"/>
      <c r="T1825" s="78"/>
      <c r="U1825" s="78"/>
      <c r="V1825" s="78"/>
      <c r="W1825" s="78"/>
      <c r="X1825" s="78"/>
      <c r="Y1825" s="78"/>
      <c r="Z1825" s="78"/>
    </row>
    <row r="1826">
      <c r="A1826" s="78">
        <v>880.0</v>
      </c>
      <c r="B1826" s="78"/>
      <c r="C1826" s="138"/>
      <c r="D1826" s="78"/>
      <c r="E1826" s="139" t="str">
        <f t="array" ref="E1826">IF(
UPPER(TRIM(CLEAN($O1826)))="ENTREGADO",
IFERROR(
INDEX(REPORTE_DROPI!Y:Y,
MATCH($T1826, REPORTE_DROPI!B:B, 0)
),
""
),
""
)
</f>
        <v/>
      </c>
      <c r="F1826" s="78"/>
      <c r="G1826" s="78"/>
      <c r="H1826" s="78"/>
      <c r="I1826" s="78"/>
      <c r="J1826" s="78"/>
      <c r="K1826" s="78"/>
      <c r="L1826" s="78"/>
      <c r="M1826" s="78"/>
      <c r="N1826" s="78"/>
      <c r="O1826" s="78"/>
      <c r="P1826" s="78"/>
      <c r="Q1826" s="78"/>
      <c r="R1826" s="78"/>
      <c r="S1826" s="78"/>
      <c r="T1826" s="78"/>
      <c r="U1826" s="78"/>
      <c r="V1826" s="78"/>
      <c r="W1826" s="78"/>
      <c r="X1826" s="78"/>
      <c r="Y1826" s="78"/>
      <c r="Z1826" s="78"/>
    </row>
    <row r="1827">
      <c r="A1827" s="78">
        <v>881.0</v>
      </c>
      <c r="B1827" s="78"/>
      <c r="C1827" s="138"/>
      <c r="D1827" s="78"/>
      <c r="E1827" s="139" t="str">
        <f t="array" ref="E1827">IF(
UPPER(TRIM(CLEAN($O1827)))="ENTREGADO",
IFERROR(
INDEX(REPORTE_DROPI!Y:Y,
MATCH($T1827, REPORTE_DROPI!B:B, 0)
),
""
),
""
)
</f>
        <v/>
      </c>
      <c r="F1827" s="78"/>
      <c r="G1827" s="78"/>
      <c r="H1827" s="78"/>
      <c r="I1827" s="78"/>
      <c r="J1827" s="78"/>
      <c r="K1827" s="78"/>
      <c r="L1827" s="78"/>
      <c r="M1827" s="78"/>
      <c r="N1827" s="78"/>
      <c r="O1827" s="78"/>
      <c r="P1827" s="78"/>
      <c r="Q1827" s="78"/>
      <c r="R1827" s="78"/>
      <c r="S1827" s="78"/>
      <c r="T1827" s="78"/>
      <c r="U1827" s="78"/>
      <c r="V1827" s="78"/>
      <c r="W1827" s="78"/>
      <c r="X1827" s="78"/>
      <c r="Y1827" s="78"/>
      <c r="Z1827" s="78"/>
    </row>
    <row r="1828">
      <c r="A1828" s="78">
        <v>882.0</v>
      </c>
      <c r="B1828" s="78"/>
      <c r="C1828" s="138"/>
      <c r="D1828" s="78"/>
      <c r="E1828" s="139" t="str">
        <f t="array" ref="E1828">IF(
UPPER(TRIM(CLEAN($O1828)))="ENTREGADO",
IFERROR(
INDEX(REPORTE_DROPI!Y:Y,
MATCH($T1828, REPORTE_DROPI!B:B, 0)
),
""
),
""
)
</f>
        <v/>
      </c>
      <c r="F1828" s="78"/>
      <c r="G1828" s="78"/>
      <c r="H1828" s="78"/>
      <c r="I1828" s="78"/>
      <c r="J1828" s="78"/>
      <c r="K1828" s="78"/>
      <c r="L1828" s="78"/>
      <c r="M1828" s="78"/>
      <c r="N1828" s="78"/>
      <c r="O1828" s="78"/>
      <c r="P1828" s="78"/>
      <c r="Q1828" s="78"/>
      <c r="R1828" s="78"/>
      <c r="S1828" s="78"/>
      <c r="T1828" s="78"/>
      <c r="U1828" s="78"/>
      <c r="V1828" s="78"/>
      <c r="W1828" s="78"/>
      <c r="X1828" s="78"/>
      <c r="Y1828" s="78"/>
      <c r="Z1828" s="78"/>
    </row>
    <row r="1829">
      <c r="A1829" s="78">
        <v>883.0</v>
      </c>
      <c r="B1829" s="78"/>
      <c r="C1829" s="138"/>
      <c r="D1829" s="78"/>
      <c r="E1829" s="139" t="str">
        <f t="array" ref="E1829">IF(
UPPER(TRIM(CLEAN($O1829)))="ENTREGADO",
IFERROR(
INDEX(REPORTE_DROPI!Y:Y,
MATCH($T1829, REPORTE_DROPI!B:B, 0)
),
""
),
""
)
</f>
        <v/>
      </c>
      <c r="F1829" s="78"/>
      <c r="G1829" s="78"/>
      <c r="H1829" s="78"/>
      <c r="I1829" s="78"/>
      <c r="J1829" s="78"/>
      <c r="K1829" s="78"/>
      <c r="L1829" s="78"/>
      <c r="M1829" s="78"/>
      <c r="N1829" s="78"/>
      <c r="O1829" s="78"/>
      <c r="P1829" s="78"/>
      <c r="Q1829" s="78"/>
      <c r="R1829" s="78"/>
      <c r="S1829" s="78"/>
      <c r="T1829" s="78"/>
      <c r="U1829" s="78"/>
      <c r="V1829" s="78"/>
      <c r="W1829" s="78"/>
      <c r="X1829" s="78"/>
      <c r="Y1829" s="78"/>
      <c r="Z1829" s="78"/>
    </row>
    <row r="1830">
      <c r="A1830" s="78">
        <v>884.0</v>
      </c>
      <c r="B1830" s="78"/>
      <c r="C1830" s="138"/>
      <c r="D1830" s="78"/>
      <c r="E1830" s="139" t="str">
        <f t="array" ref="E1830">IF(
UPPER(TRIM(CLEAN($O1830)))="ENTREGADO",
IFERROR(
INDEX(REPORTE_DROPI!Y:Y,
MATCH($T1830, REPORTE_DROPI!B:B, 0)
),
""
),
""
)
</f>
        <v/>
      </c>
      <c r="F1830" s="78"/>
      <c r="G1830" s="78"/>
      <c r="H1830" s="78"/>
      <c r="I1830" s="78"/>
      <c r="J1830" s="78"/>
      <c r="K1830" s="78"/>
      <c r="L1830" s="78"/>
      <c r="M1830" s="78"/>
      <c r="N1830" s="78"/>
      <c r="O1830" s="78"/>
      <c r="P1830" s="78"/>
      <c r="Q1830" s="78"/>
      <c r="R1830" s="78"/>
      <c r="S1830" s="78"/>
      <c r="T1830" s="78"/>
      <c r="U1830" s="78"/>
      <c r="V1830" s="78"/>
      <c r="W1830" s="78"/>
      <c r="X1830" s="78"/>
      <c r="Y1830" s="78"/>
      <c r="Z1830" s="78"/>
    </row>
    <row r="1831">
      <c r="A1831" s="78">
        <v>885.0</v>
      </c>
      <c r="B1831" s="78"/>
      <c r="C1831" s="138"/>
      <c r="D1831" s="78"/>
      <c r="E1831" s="139" t="str">
        <f t="array" ref="E1831">IF(
UPPER(TRIM(CLEAN($O1831)))="ENTREGADO",
IFERROR(
INDEX(REPORTE_DROPI!Y:Y,
MATCH($T1831, REPORTE_DROPI!B:B, 0)
),
""
),
""
)
</f>
        <v/>
      </c>
      <c r="F1831" s="78"/>
      <c r="G1831" s="78"/>
      <c r="H1831" s="78"/>
      <c r="I1831" s="78"/>
      <c r="J1831" s="78"/>
      <c r="K1831" s="78"/>
      <c r="L1831" s="78"/>
      <c r="M1831" s="78"/>
      <c r="N1831" s="78"/>
      <c r="O1831" s="78"/>
      <c r="P1831" s="78"/>
      <c r="Q1831" s="78"/>
      <c r="R1831" s="78"/>
      <c r="S1831" s="78"/>
      <c r="T1831" s="78"/>
      <c r="U1831" s="78"/>
      <c r="V1831" s="78"/>
      <c r="W1831" s="78"/>
      <c r="X1831" s="78"/>
      <c r="Y1831" s="78"/>
      <c r="Z1831" s="78"/>
    </row>
    <row r="1832">
      <c r="A1832" s="78">
        <v>886.0</v>
      </c>
      <c r="B1832" s="78"/>
      <c r="C1832" s="138"/>
      <c r="D1832" s="78"/>
      <c r="E1832" s="139" t="str">
        <f t="array" ref="E1832">IF(
UPPER(TRIM(CLEAN($O1832)))="ENTREGADO",
IFERROR(
INDEX(REPORTE_DROPI!Y:Y,
MATCH($T1832, REPORTE_DROPI!B:B, 0)
),
""
),
""
)
</f>
        <v/>
      </c>
      <c r="F1832" s="78"/>
      <c r="G1832" s="78"/>
      <c r="H1832" s="78"/>
      <c r="I1832" s="78"/>
      <c r="J1832" s="78"/>
      <c r="K1832" s="78"/>
      <c r="L1832" s="78"/>
      <c r="M1832" s="78"/>
      <c r="N1832" s="78"/>
      <c r="O1832" s="78"/>
      <c r="P1832" s="78"/>
      <c r="Q1832" s="78"/>
      <c r="R1832" s="78"/>
      <c r="S1832" s="78"/>
      <c r="T1832" s="78"/>
      <c r="U1832" s="78"/>
      <c r="V1832" s="78"/>
      <c r="W1832" s="78"/>
      <c r="X1832" s="78"/>
      <c r="Y1832" s="78"/>
      <c r="Z1832" s="78"/>
    </row>
    <row r="1833">
      <c r="A1833" s="78">
        <v>887.0</v>
      </c>
      <c r="B1833" s="78"/>
      <c r="C1833" s="138"/>
      <c r="D1833" s="78"/>
      <c r="E1833" s="139" t="str">
        <f t="array" ref="E1833">IF(
UPPER(TRIM(CLEAN($O1833)))="ENTREGADO",
IFERROR(
INDEX(REPORTE_DROPI!Y:Y,
MATCH($T1833, REPORTE_DROPI!B:B, 0)
),
""
),
""
)
</f>
        <v/>
      </c>
      <c r="F1833" s="78"/>
      <c r="G1833" s="78"/>
      <c r="H1833" s="78"/>
      <c r="I1833" s="78"/>
      <c r="J1833" s="78"/>
      <c r="K1833" s="78"/>
      <c r="L1833" s="78"/>
      <c r="M1833" s="78"/>
      <c r="N1833" s="78"/>
      <c r="O1833" s="78"/>
      <c r="P1833" s="78"/>
      <c r="Q1833" s="78"/>
      <c r="R1833" s="78"/>
      <c r="S1833" s="78"/>
      <c r="T1833" s="78"/>
      <c r="U1833" s="78"/>
      <c r="V1833" s="78"/>
      <c r="W1833" s="78"/>
      <c r="X1833" s="78"/>
      <c r="Y1833" s="78"/>
      <c r="Z1833" s="78"/>
    </row>
    <row r="1834">
      <c r="A1834" s="78">
        <v>888.0</v>
      </c>
      <c r="B1834" s="78"/>
      <c r="C1834" s="138"/>
      <c r="D1834" s="78"/>
      <c r="E1834" s="139" t="str">
        <f t="array" ref="E1834">IF(
UPPER(TRIM(CLEAN($O1834)))="ENTREGADO",
IFERROR(
INDEX(REPORTE_DROPI!Y:Y,
MATCH($T1834, REPORTE_DROPI!B:B, 0)
),
""
),
""
)
</f>
        <v/>
      </c>
      <c r="F1834" s="78"/>
      <c r="G1834" s="78"/>
      <c r="H1834" s="78"/>
      <c r="I1834" s="78"/>
      <c r="J1834" s="78"/>
      <c r="K1834" s="78"/>
      <c r="L1834" s="78"/>
      <c r="M1834" s="78"/>
      <c r="N1834" s="78"/>
      <c r="O1834" s="78"/>
      <c r="P1834" s="78"/>
      <c r="Q1834" s="78"/>
      <c r="R1834" s="78"/>
      <c r="S1834" s="78"/>
      <c r="T1834" s="78"/>
      <c r="U1834" s="78"/>
      <c r="V1834" s="78"/>
      <c r="W1834" s="78"/>
      <c r="X1834" s="78"/>
      <c r="Y1834" s="78"/>
      <c r="Z1834" s="78"/>
    </row>
    <row r="1835">
      <c r="A1835" s="78">
        <v>889.0</v>
      </c>
      <c r="B1835" s="78"/>
      <c r="C1835" s="138"/>
      <c r="D1835" s="78"/>
      <c r="E1835" s="139" t="str">
        <f t="array" ref="E1835">IF(
UPPER(TRIM(CLEAN($O1835)))="ENTREGADO",
IFERROR(
INDEX(REPORTE_DROPI!Y:Y,
MATCH($T1835, REPORTE_DROPI!B:B, 0)
),
""
),
""
)
</f>
        <v/>
      </c>
      <c r="F1835" s="78"/>
      <c r="G1835" s="78"/>
      <c r="H1835" s="78"/>
      <c r="I1835" s="78"/>
      <c r="J1835" s="78"/>
      <c r="K1835" s="78"/>
      <c r="L1835" s="78"/>
      <c r="M1835" s="78"/>
      <c r="N1835" s="78"/>
      <c r="O1835" s="78"/>
      <c r="P1835" s="78"/>
      <c r="Q1835" s="78"/>
      <c r="R1835" s="78"/>
      <c r="S1835" s="78"/>
      <c r="T1835" s="78"/>
      <c r="U1835" s="78"/>
      <c r="V1835" s="78"/>
      <c r="W1835" s="78"/>
      <c r="X1835" s="78"/>
      <c r="Y1835" s="78"/>
      <c r="Z1835" s="78"/>
    </row>
    <row r="1836">
      <c r="A1836" s="78">
        <v>890.0</v>
      </c>
      <c r="B1836" s="78"/>
      <c r="C1836" s="138"/>
      <c r="D1836" s="78"/>
      <c r="E1836" s="139" t="str">
        <f t="array" ref="E1836">IF(
UPPER(TRIM(CLEAN($O1836)))="ENTREGADO",
IFERROR(
INDEX(REPORTE_DROPI!Y:Y,
MATCH($T1836, REPORTE_DROPI!B:B, 0)
),
""
),
""
)
</f>
        <v/>
      </c>
      <c r="F1836" s="78"/>
      <c r="G1836" s="78"/>
      <c r="H1836" s="78"/>
      <c r="I1836" s="78"/>
      <c r="J1836" s="78"/>
      <c r="K1836" s="78"/>
      <c r="L1836" s="78"/>
      <c r="M1836" s="78"/>
      <c r="N1836" s="78"/>
      <c r="O1836" s="78"/>
      <c r="P1836" s="78"/>
      <c r="Q1836" s="78"/>
      <c r="R1836" s="78"/>
      <c r="S1836" s="78"/>
      <c r="T1836" s="78"/>
      <c r="U1836" s="78"/>
      <c r="V1836" s="78"/>
      <c r="W1836" s="78"/>
      <c r="X1836" s="78"/>
      <c r="Y1836" s="78"/>
      <c r="Z1836" s="78"/>
    </row>
    <row r="1837">
      <c r="A1837" s="78">
        <v>891.0</v>
      </c>
      <c r="B1837" s="78"/>
      <c r="C1837" s="138"/>
      <c r="D1837" s="78"/>
      <c r="E1837" s="139" t="str">
        <f t="array" ref="E1837">IF(
UPPER(TRIM(CLEAN($O1837)))="ENTREGADO",
IFERROR(
INDEX(REPORTE_DROPI!Y:Y,
MATCH($T1837, REPORTE_DROPI!B:B, 0)
),
""
),
""
)
</f>
        <v/>
      </c>
      <c r="F1837" s="78"/>
      <c r="G1837" s="78"/>
      <c r="H1837" s="78"/>
      <c r="I1837" s="78"/>
      <c r="J1837" s="78"/>
      <c r="K1837" s="78"/>
      <c r="L1837" s="78"/>
      <c r="M1837" s="78"/>
      <c r="N1837" s="78"/>
      <c r="O1837" s="78"/>
      <c r="P1837" s="78"/>
      <c r="Q1837" s="78"/>
      <c r="R1837" s="78"/>
      <c r="S1837" s="78"/>
      <c r="T1837" s="78"/>
      <c r="U1837" s="78"/>
      <c r="V1837" s="78"/>
      <c r="W1837" s="78"/>
      <c r="X1837" s="78"/>
      <c r="Y1837" s="78"/>
      <c r="Z1837" s="78"/>
    </row>
    <row r="1838">
      <c r="A1838" s="78">
        <v>892.0</v>
      </c>
      <c r="B1838" s="78"/>
      <c r="C1838" s="138"/>
      <c r="D1838" s="78"/>
      <c r="E1838" s="139" t="str">
        <f t="array" ref="E1838">IF(
UPPER(TRIM(CLEAN($O1838)))="ENTREGADO",
IFERROR(
INDEX(REPORTE_DROPI!Y:Y,
MATCH($T1838, REPORTE_DROPI!B:B, 0)
),
""
),
""
)
</f>
        <v/>
      </c>
      <c r="F1838" s="78"/>
      <c r="G1838" s="78"/>
      <c r="H1838" s="78"/>
      <c r="I1838" s="78"/>
      <c r="J1838" s="78"/>
      <c r="K1838" s="78"/>
      <c r="L1838" s="78"/>
      <c r="M1838" s="78"/>
      <c r="N1838" s="78"/>
      <c r="O1838" s="78"/>
      <c r="P1838" s="78"/>
      <c r="Q1838" s="78"/>
      <c r="R1838" s="78"/>
      <c r="S1838" s="78"/>
      <c r="T1838" s="78"/>
      <c r="U1838" s="78"/>
      <c r="V1838" s="78"/>
      <c r="W1838" s="78"/>
      <c r="X1838" s="78"/>
      <c r="Y1838" s="78"/>
      <c r="Z1838" s="78"/>
    </row>
    <row r="1839">
      <c r="A1839" s="78">
        <v>893.0</v>
      </c>
      <c r="B1839" s="78"/>
      <c r="C1839" s="138"/>
      <c r="D1839" s="78"/>
      <c r="E1839" s="139" t="str">
        <f t="array" ref="E1839">IF(
UPPER(TRIM(CLEAN($O1839)))="ENTREGADO",
IFERROR(
INDEX(REPORTE_DROPI!Y:Y,
MATCH($T1839, REPORTE_DROPI!B:B, 0)
),
""
),
""
)
</f>
        <v/>
      </c>
      <c r="F1839" s="78"/>
      <c r="G1839" s="78"/>
      <c r="H1839" s="78"/>
      <c r="I1839" s="78"/>
      <c r="J1839" s="78"/>
      <c r="K1839" s="78"/>
      <c r="L1839" s="78"/>
      <c r="M1839" s="78"/>
      <c r="N1839" s="78"/>
      <c r="O1839" s="78"/>
      <c r="P1839" s="78"/>
      <c r="Q1839" s="78"/>
      <c r="R1839" s="78"/>
      <c r="S1839" s="78"/>
      <c r="T1839" s="78"/>
      <c r="U1839" s="78"/>
      <c r="V1839" s="78"/>
      <c r="W1839" s="78"/>
      <c r="X1839" s="78"/>
      <c r="Y1839" s="78"/>
      <c r="Z1839" s="78"/>
    </row>
    <row r="1840">
      <c r="A1840" s="78">
        <v>894.0</v>
      </c>
      <c r="B1840" s="78"/>
      <c r="C1840" s="138"/>
      <c r="D1840" s="78"/>
      <c r="E1840" s="139" t="str">
        <f t="array" ref="E1840">IF(
UPPER(TRIM(CLEAN($O1840)))="ENTREGADO",
IFERROR(
INDEX(REPORTE_DROPI!Y:Y,
MATCH($T1840, REPORTE_DROPI!B:B, 0)
),
""
),
""
)
</f>
        <v/>
      </c>
      <c r="F1840" s="78"/>
      <c r="G1840" s="78"/>
      <c r="H1840" s="78"/>
      <c r="I1840" s="78"/>
      <c r="J1840" s="78"/>
      <c r="K1840" s="78"/>
      <c r="L1840" s="78"/>
      <c r="M1840" s="78"/>
      <c r="N1840" s="78"/>
      <c r="O1840" s="78"/>
      <c r="P1840" s="78"/>
      <c r="Q1840" s="78"/>
      <c r="R1840" s="78"/>
      <c r="S1840" s="78"/>
      <c r="T1840" s="78"/>
      <c r="U1840" s="78"/>
      <c r="V1840" s="78"/>
      <c r="W1840" s="78"/>
      <c r="X1840" s="78"/>
      <c r="Y1840" s="78"/>
      <c r="Z1840" s="78"/>
    </row>
    <row r="1841">
      <c r="A1841" s="78">
        <v>895.0</v>
      </c>
      <c r="B1841" s="78"/>
      <c r="C1841" s="138"/>
      <c r="D1841" s="78"/>
      <c r="E1841" s="139" t="str">
        <f t="array" ref="E1841">IF(
UPPER(TRIM(CLEAN($O1841)))="ENTREGADO",
IFERROR(
INDEX(REPORTE_DROPI!Y:Y,
MATCH($T1841, REPORTE_DROPI!B:B, 0)
),
""
),
""
)
</f>
        <v/>
      </c>
      <c r="F1841" s="78"/>
      <c r="G1841" s="78"/>
      <c r="H1841" s="78"/>
      <c r="I1841" s="78"/>
      <c r="J1841" s="78"/>
      <c r="K1841" s="78"/>
      <c r="L1841" s="78"/>
      <c r="M1841" s="78"/>
      <c r="N1841" s="78"/>
      <c r="O1841" s="78"/>
      <c r="P1841" s="78"/>
      <c r="Q1841" s="78"/>
      <c r="R1841" s="78"/>
      <c r="S1841" s="78"/>
      <c r="T1841" s="78"/>
      <c r="U1841" s="78"/>
      <c r="V1841" s="78"/>
      <c r="W1841" s="78"/>
      <c r="X1841" s="78"/>
      <c r="Y1841" s="78"/>
      <c r="Z1841" s="78"/>
    </row>
    <row r="1842">
      <c r="A1842" s="78">
        <v>896.0</v>
      </c>
      <c r="B1842" s="78"/>
      <c r="C1842" s="138"/>
      <c r="D1842" s="78"/>
      <c r="E1842" s="139" t="str">
        <f t="array" ref="E1842">IF(
UPPER(TRIM(CLEAN($O1842)))="ENTREGADO",
IFERROR(
INDEX(REPORTE_DROPI!Y:Y,
MATCH($T1842, REPORTE_DROPI!B:B, 0)
),
""
),
""
)
</f>
        <v/>
      </c>
      <c r="F1842" s="78"/>
      <c r="G1842" s="78"/>
      <c r="H1842" s="78"/>
      <c r="I1842" s="78"/>
      <c r="J1842" s="78"/>
      <c r="K1842" s="78"/>
      <c r="L1842" s="78"/>
      <c r="M1842" s="78"/>
      <c r="N1842" s="78"/>
      <c r="O1842" s="78"/>
      <c r="P1842" s="78"/>
      <c r="Q1842" s="78"/>
      <c r="R1842" s="78"/>
      <c r="S1842" s="78"/>
      <c r="T1842" s="78"/>
      <c r="U1842" s="78"/>
      <c r="V1842" s="78"/>
      <c r="W1842" s="78"/>
      <c r="X1842" s="78"/>
      <c r="Y1842" s="78"/>
      <c r="Z1842" s="78"/>
    </row>
    <row r="1843">
      <c r="A1843" s="78">
        <v>897.0</v>
      </c>
      <c r="B1843" s="78"/>
      <c r="C1843" s="138"/>
      <c r="D1843" s="78"/>
      <c r="E1843" s="139" t="str">
        <f t="array" ref="E1843">IF(
UPPER(TRIM(CLEAN($O1843)))="ENTREGADO",
IFERROR(
INDEX(REPORTE_DROPI!Y:Y,
MATCH($T1843, REPORTE_DROPI!B:B, 0)
),
""
),
""
)
</f>
        <v/>
      </c>
      <c r="F1843" s="78"/>
      <c r="G1843" s="78"/>
      <c r="H1843" s="78"/>
      <c r="I1843" s="78"/>
      <c r="J1843" s="78"/>
      <c r="K1843" s="78"/>
      <c r="L1843" s="78"/>
      <c r="M1843" s="78"/>
      <c r="N1843" s="78"/>
      <c r="O1843" s="78"/>
      <c r="P1843" s="78"/>
      <c r="Q1843" s="78"/>
      <c r="R1843" s="78"/>
      <c r="S1843" s="78"/>
      <c r="T1843" s="78"/>
      <c r="U1843" s="78"/>
      <c r="V1843" s="78"/>
      <c r="W1843" s="78"/>
      <c r="X1843" s="78"/>
      <c r="Y1843" s="78"/>
      <c r="Z1843" s="78"/>
    </row>
    <row r="1844">
      <c r="A1844" s="78">
        <v>898.0</v>
      </c>
      <c r="B1844" s="78"/>
      <c r="C1844" s="138"/>
      <c r="D1844" s="78"/>
      <c r="E1844" s="139" t="str">
        <f t="array" ref="E1844">IF(
UPPER(TRIM(CLEAN($O1844)))="ENTREGADO",
IFERROR(
INDEX(REPORTE_DROPI!Y:Y,
MATCH($T1844, REPORTE_DROPI!B:B, 0)
),
""
),
""
)
</f>
        <v/>
      </c>
      <c r="F1844" s="78"/>
      <c r="G1844" s="78"/>
      <c r="H1844" s="78"/>
      <c r="I1844" s="78"/>
      <c r="J1844" s="78"/>
      <c r="K1844" s="78"/>
      <c r="L1844" s="78"/>
      <c r="M1844" s="78"/>
      <c r="N1844" s="78"/>
      <c r="O1844" s="78"/>
      <c r="P1844" s="78"/>
      <c r="Q1844" s="78"/>
      <c r="R1844" s="78"/>
      <c r="S1844" s="78"/>
      <c r="T1844" s="78"/>
      <c r="U1844" s="78"/>
      <c r="V1844" s="78"/>
      <c r="W1844" s="78"/>
      <c r="X1844" s="78"/>
      <c r="Y1844" s="78"/>
      <c r="Z1844" s="78"/>
    </row>
    <row r="1845">
      <c r="A1845" s="78">
        <v>899.0</v>
      </c>
      <c r="B1845" s="78"/>
      <c r="C1845" s="138"/>
      <c r="D1845" s="78"/>
      <c r="E1845" s="139" t="str">
        <f t="array" ref="E1845">IF(
UPPER(TRIM(CLEAN($O1845)))="ENTREGADO",
IFERROR(
INDEX(REPORTE_DROPI!Y:Y,
MATCH($T1845, REPORTE_DROPI!B:B, 0)
),
""
),
""
)
</f>
        <v/>
      </c>
      <c r="F1845" s="78"/>
      <c r="G1845" s="78"/>
      <c r="H1845" s="78"/>
      <c r="I1845" s="78"/>
      <c r="J1845" s="78"/>
      <c r="K1845" s="78"/>
      <c r="L1845" s="78"/>
      <c r="M1845" s="78"/>
      <c r="N1845" s="78"/>
      <c r="O1845" s="78"/>
      <c r="P1845" s="78"/>
      <c r="Q1845" s="78"/>
      <c r="R1845" s="78"/>
      <c r="S1845" s="78"/>
      <c r="T1845" s="78"/>
      <c r="U1845" s="78"/>
      <c r="V1845" s="78"/>
      <c r="W1845" s="78"/>
      <c r="X1845" s="78"/>
      <c r="Y1845" s="78"/>
      <c r="Z1845" s="78"/>
    </row>
    <row r="1846">
      <c r="A1846" s="78">
        <v>900.0</v>
      </c>
      <c r="B1846" s="78"/>
      <c r="C1846" s="138"/>
      <c r="D1846" s="78"/>
      <c r="E1846" s="139" t="str">
        <f t="array" ref="E1846">IF(
UPPER(TRIM(CLEAN($O1846)))="ENTREGADO",
IFERROR(
INDEX(REPORTE_DROPI!Y:Y,
MATCH($T1846, REPORTE_DROPI!B:B, 0)
),
""
),
""
)
</f>
        <v/>
      </c>
      <c r="F1846" s="78"/>
      <c r="G1846" s="78"/>
      <c r="H1846" s="78"/>
      <c r="I1846" s="78"/>
      <c r="J1846" s="78"/>
      <c r="K1846" s="78"/>
      <c r="L1846" s="78"/>
      <c r="M1846" s="78"/>
      <c r="N1846" s="78"/>
      <c r="O1846" s="78"/>
      <c r="P1846" s="78"/>
      <c r="Q1846" s="78"/>
      <c r="R1846" s="78"/>
      <c r="S1846" s="78"/>
      <c r="T1846" s="78"/>
      <c r="U1846" s="78"/>
      <c r="V1846" s="78"/>
      <c r="W1846" s="78"/>
      <c r="X1846" s="78"/>
      <c r="Y1846" s="78"/>
      <c r="Z1846" s="78"/>
    </row>
    <row r="1847">
      <c r="A1847" s="78">
        <v>901.0</v>
      </c>
      <c r="B1847" s="78"/>
      <c r="C1847" s="138"/>
      <c r="D1847" s="78"/>
      <c r="E1847" s="139" t="str">
        <f t="array" ref="E1847">IF(
UPPER(TRIM(CLEAN($O1847)))="ENTREGADO",
IFERROR(
INDEX(REPORTE_DROPI!Y:Y,
MATCH($T1847, REPORTE_DROPI!B:B, 0)
),
""
),
""
)
</f>
        <v/>
      </c>
      <c r="F1847" s="78"/>
      <c r="G1847" s="78"/>
      <c r="H1847" s="78"/>
      <c r="I1847" s="78"/>
      <c r="J1847" s="78"/>
      <c r="K1847" s="78"/>
      <c r="L1847" s="78"/>
      <c r="M1847" s="78"/>
      <c r="N1847" s="78"/>
      <c r="O1847" s="78"/>
      <c r="P1847" s="78"/>
      <c r="Q1847" s="78"/>
      <c r="R1847" s="78"/>
      <c r="S1847" s="78"/>
      <c r="T1847" s="78"/>
      <c r="U1847" s="78"/>
      <c r="V1847" s="78"/>
      <c r="W1847" s="78"/>
      <c r="X1847" s="78"/>
      <c r="Y1847" s="78"/>
      <c r="Z1847" s="78"/>
    </row>
    <row r="1848">
      <c r="A1848" s="78">
        <v>902.0</v>
      </c>
      <c r="B1848" s="78"/>
      <c r="C1848" s="138"/>
      <c r="D1848" s="78"/>
      <c r="E1848" s="139" t="str">
        <f t="array" ref="E1848">IF(
UPPER(TRIM(CLEAN($O1848)))="ENTREGADO",
IFERROR(
INDEX(REPORTE_DROPI!Y:Y,
MATCH($T1848, REPORTE_DROPI!B:B, 0)
),
""
),
""
)
</f>
        <v/>
      </c>
      <c r="F1848" s="78"/>
      <c r="G1848" s="78"/>
      <c r="H1848" s="78"/>
      <c r="I1848" s="78"/>
      <c r="J1848" s="78"/>
      <c r="K1848" s="78"/>
      <c r="L1848" s="78"/>
      <c r="M1848" s="78"/>
      <c r="N1848" s="78"/>
      <c r="O1848" s="78"/>
      <c r="P1848" s="78"/>
      <c r="Q1848" s="78"/>
      <c r="R1848" s="78"/>
      <c r="S1848" s="78"/>
      <c r="T1848" s="78"/>
      <c r="U1848" s="78"/>
      <c r="V1848" s="78"/>
      <c r="W1848" s="78"/>
      <c r="X1848" s="78"/>
      <c r="Y1848" s="78"/>
      <c r="Z1848" s="78"/>
    </row>
    <row r="1849">
      <c r="A1849" s="78">
        <v>903.0</v>
      </c>
      <c r="B1849" s="78"/>
      <c r="C1849" s="138"/>
      <c r="D1849" s="78"/>
      <c r="E1849" s="139" t="str">
        <f t="array" ref="E1849">IF(
UPPER(TRIM(CLEAN($O1849)))="ENTREGADO",
IFERROR(
INDEX(REPORTE_DROPI!Y:Y,
MATCH($T1849, REPORTE_DROPI!B:B, 0)
),
""
),
""
)
</f>
        <v/>
      </c>
      <c r="F1849" s="78"/>
      <c r="G1849" s="78"/>
      <c r="H1849" s="78"/>
      <c r="I1849" s="78"/>
      <c r="J1849" s="78"/>
      <c r="K1849" s="78"/>
      <c r="L1849" s="78"/>
      <c r="M1849" s="78"/>
      <c r="N1849" s="78"/>
      <c r="O1849" s="78"/>
      <c r="P1849" s="78"/>
      <c r="Q1849" s="78"/>
      <c r="R1849" s="78"/>
      <c r="S1849" s="78"/>
      <c r="T1849" s="78"/>
      <c r="U1849" s="78"/>
      <c r="V1849" s="78"/>
      <c r="W1849" s="78"/>
      <c r="X1849" s="78"/>
      <c r="Y1849" s="78"/>
      <c r="Z1849" s="78"/>
    </row>
    <row r="1850">
      <c r="A1850" s="78">
        <v>904.0</v>
      </c>
      <c r="B1850" s="78"/>
      <c r="C1850" s="138"/>
      <c r="D1850" s="78"/>
      <c r="E1850" s="139" t="str">
        <f t="array" ref="E1850">IF(
UPPER(TRIM(CLEAN($O1850)))="ENTREGADO",
IFERROR(
INDEX(REPORTE_DROPI!Y:Y,
MATCH($T1850, REPORTE_DROPI!B:B, 0)
),
""
),
""
)
</f>
        <v/>
      </c>
      <c r="F1850" s="78"/>
      <c r="G1850" s="78"/>
      <c r="H1850" s="78"/>
      <c r="I1850" s="78"/>
      <c r="J1850" s="78"/>
      <c r="K1850" s="78"/>
      <c r="L1850" s="78"/>
      <c r="M1850" s="78"/>
      <c r="N1850" s="78"/>
      <c r="O1850" s="78"/>
      <c r="P1850" s="78"/>
      <c r="Q1850" s="78"/>
      <c r="R1850" s="78"/>
      <c r="S1850" s="78"/>
      <c r="T1850" s="78"/>
      <c r="U1850" s="78"/>
      <c r="V1850" s="78"/>
      <c r="W1850" s="78"/>
      <c r="X1850" s="78"/>
      <c r="Y1850" s="78"/>
      <c r="Z1850" s="78"/>
    </row>
    <row r="1851">
      <c r="A1851" s="78">
        <v>905.0</v>
      </c>
      <c r="B1851" s="78"/>
      <c r="C1851" s="138"/>
      <c r="D1851" s="78"/>
      <c r="E1851" s="139" t="str">
        <f t="array" ref="E1851">IF(
UPPER(TRIM(CLEAN($O1851)))="ENTREGADO",
IFERROR(
INDEX(REPORTE_DROPI!Y:Y,
MATCH($T1851, REPORTE_DROPI!B:B, 0)
),
""
),
""
)
</f>
        <v/>
      </c>
      <c r="F1851" s="78"/>
      <c r="G1851" s="78"/>
      <c r="H1851" s="78"/>
      <c r="I1851" s="78"/>
      <c r="J1851" s="78"/>
      <c r="K1851" s="78"/>
      <c r="L1851" s="78"/>
      <c r="M1851" s="78"/>
      <c r="N1851" s="78"/>
      <c r="O1851" s="78"/>
      <c r="P1851" s="78"/>
      <c r="Q1851" s="78"/>
      <c r="R1851" s="78"/>
      <c r="S1851" s="78"/>
      <c r="T1851" s="78"/>
      <c r="U1851" s="78"/>
      <c r="V1851" s="78"/>
      <c r="W1851" s="78"/>
      <c r="X1851" s="78"/>
      <c r="Y1851" s="78"/>
      <c r="Z1851" s="78"/>
    </row>
    <row r="1852">
      <c r="A1852" s="78">
        <v>906.0</v>
      </c>
      <c r="B1852" s="78"/>
      <c r="C1852" s="138"/>
      <c r="D1852" s="78"/>
      <c r="E1852" s="139" t="str">
        <f t="array" ref="E1852">IF(
UPPER(TRIM(CLEAN($O1852)))="ENTREGADO",
IFERROR(
INDEX(REPORTE_DROPI!Y:Y,
MATCH($T1852, REPORTE_DROPI!B:B, 0)
),
""
),
""
)
</f>
        <v/>
      </c>
      <c r="F1852" s="78"/>
      <c r="G1852" s="78"/>
      <c r="H1852" s="78"/>
      <c r="I1852" s="78"/>
      <c r="J1852" s="78"/>
      <c r="K1852" s="78"/>
      <c r="L1852" s="78"/>
      <c r="M1852" s="78"/>
      <c r="N1852" s="78"/>
      <c r="O1852" s="78"/>
      <c r="P1852" s="78"/>
      <c r="Q1852" s="78"/>
      <c r="R1852" s="78"/>
      <c r="S1852" s="78"/>
      <c r="T1852" s="78"/>
      <c r="U1852" s="78"/>
      <c r="V1852" s="78"/>
      <c r="W1852" s="78"/>
      <c r="X1852" s="78"/>
      <c r="Y1852" s="78"/>
      <c r="Z1852" s="78"/>
    </row>
    <row r="1853">
      <c r="A1853" s="78">
        <v>907.0</v>
      </c>
      <c r="B1853" s="78"/>
      <c r="C1853" s="138"/>
      <c r="D1853" s="78"/>
      <c r="E1853" s="139" t="str">
        <f t="array" ref="E1853">IF(
UPPER(TRIM(CLEAN($O1853)))="ENTREGADO",
IFERROR(
INDEX(REPORTE_DROPI!Y:Y,
MATCH($T1853, REPORTE_DROPI!B:B, 0)
),
""
),
""
)
</f>
        <v/>
      </c>
      <c r="F1853" s="78"/>
      <c r="G1853" s="78"/>
      <c r="H1853" s="78"/>
      <c r="I1853" s="78"/>
      <c r="J1853" s="78"/>
      <c r="K1853" s="78"/>
      <c r="L1853" s="78"/>
      <c r="M1853" s="78"/>
      <c r="N1853" s="78"/>
      <c r="O1853" s="78"/>
      <c r="P1853" s="78"/>
      <c r="Q1853" s="78"/>
      <c r="R1853" s="78"/>
      <c r="S1853" s="78"/>
      <c r="T1853" s="78"/>
      <c r="U1853" s="78"/>
      <c r="V1853" s="78"/>
      <c r="W1853" s="78"/>
      <c r="X1853" s="78"/>
      <c r="Y1853" s="78"/>
      <c r="Z1853" s="78"/>
    </row>
    <row r="1854">
      <c r="A1854" s="78">
        <v>908.0</v>
      </c>
      <c r="B1854" s="78"/>
      <c r="C1854" s="138"/>
      <c r="D1854" s="78"/>
      <c r="E1854" s="139" t="str">
        <f t="array" ref="E1854">IF(
UPPER(TRIM(CLEAN($O1854)))="ENTREGADO",
IFERROR(
INDEX(REPORTE_DROPI!Y:Y,
MATCH($T1854, REPORTE_DROPI!B:B, 0)
),
""
),
""
)
</f>
        <v/>
      </c>
      <c r="F1854" s="78"/>
      <c r="G1854" s="78"/>
      <c r="H1854" s="78"/>
      <c r="I1854" s="78"/>
      <c r="J1854" s="78"/>
      <c r="K1854" s="78"/>
      <c r="L1854" s="78"/>
      <c r="M1854" s="78"/>
      <c r="N1854" s="78"/>
      <c r="O1854" s="78"/>
      <c r="P1854" s="78"/>
      <c r="Q1854" s="78"/>
      <c r="R1854" s="78"/>
      <c r="S1854" s="78"/>
      <c r="T1854" s="78"/>
      <c r="U1854" s="78"/>
      <c r="V1854" s="78"/>
      <c r="W1854" s="78"/>
      <c r="X1854" s="78"/>
      <c r="Y1854" s="78"/>
      <c r="Z1854" s="78"/>
    </row>
    <row r="1855">
      <c r="A1855" s="78">
        <v>909.0</v>
      </c>
      <c r="B1855" s="78"/>
      <c r="C1855" s="138"/>
      <c r="D1855" s="78"/>
      <c r="E1855" s="139" t="str">
        <f t="array" ref="E1855">IF(
UPPER(TRIM(CLEAN($O1855)))="ENTREGADO",
IFERROR(
INDEX(REPORTE_DROPI!Y:Y,
MATCH($T1855, REPORTE_DROPI!B:B, 0)
),
""
),
""
)
</f>
        <v/>
      </c>
      <c r="F1855" s="78"/>
      <c r="G1855" s="78"/>
      <c r="H1855" s="78"/>
      <c r="I1855" s="78"/>
      <c r="J1855" s="78"/>
      <c r="K1855" s="78"/>
      <c r="L1855" s="78"/>
      <c r="M1855" s="78"/>
      <c r="N1855" s="78"/>
      <c r="O1855" s="78"/>
      <c r="P1855" s="78"/>
      <c r="Q1855" s="78"/>
      <c r="R1855" s="78"/>
      <c r="S1855" s="78"/>
      <c r="T1855" s="78"/>
      <c r="U1855" s="78"/>
      <c r="V1855" s="78"/>
      <c r="W1855" s="78"/>
      <c r="X1855" s="78"/>
      <c r="Y1855" s="78"/>
      <c r="Z1855" s="78"/>
    </row>
    <row r="1856">
      <c r="A1856" s="78">
        <v>910.0</v>
      </c>
      <c r="B1856" s="78"/>
      <c r="C1856" s="138"/>
      <c r="D1856" s="78"/>
      <c r="E1856" s="139" t="str">
        <f t="array" ref="E1856">IF(
UPPER(TRIM(CLEAN($O1856)))="ENTREGADO",
IFERROR(
INDEX(REPORTE_DROPI!Y:Y,
MATCH($T1856, REPORTE_DROPI!B:B, 0)
),
""
),
""
)
</f>
        <v/>
      </c>
      <c r="F1856" s="78"/>
      <c r="G1856" s="78"/>
      <c r="H1856" s="78"/>
      <c r="I1856" s="78"/>
      <c r="J1856" s="78"/>
      <c r="K1856" s="78"/>
      <c r="L1856" s="78"/>
      <c r="M1856" s="78"/>
      <c r="N1856" s="78"/>
      <c r="O1856" s="78"/>
      <c r="P1856" s="78"/>
      <c r="Q1856" s="78"/>
      <c r="R1856" s="78"/>
      <c r="S1856" s="78"/>
      <c r="T1856" s="78"/>
      <c r="U1856" s="78"/>
      <c r="V1856" s="78"/>
      <c r="W1856" s="78"/>
      <c r="X1856" s="78"/>
      <c r="Y1856" s="78"/>
      <c r="Z1856" s="78"/>
    </row>
    <row r="1857">
      <c r="A1857" s="78">
        <v>911.0</v>
      </c>
      <c r="B1857" s="78"/>
      <c r="C1857" s="138"/>
      <c r="D1857" s="78"/>
      <c r="E1857" s="139" t="str">
        <f t="array" ref="E1857">IF(
UPPER(TRIM(CLEAN($O1857)))="ENTREGADO",
IFERROR(
INDEX(REPORTE_DROPI!Y:Y,
MATCH($T1857, REPORTE_DROPI!B:B, 0)
),
""
),
""
)
</f>
        <v/>
      </c>
      <c r="F1857" s="78"/>
      <c r="G1857" s="78"/>
      <c r="H1857" s="78"/>
      <c r="I1857" s="78"/>
      <c r="J1857" s="78"/>
      <c r="K1857" s="78"/>
      <c r="L1857" s="78"/>
      <c r="M1857" s="78"/>
      <c r="N1857" s="78"/>
      <c r="O1857" s="78"/>
      <c r="P1857" s="78"/>
      <c r="Q1857" s="78"/>
      <c r="R1857" s="78"/>
      <c r="S1857" s="78"/>
      <c r="T1857" s="78"/>
      <c r="U1857" s="78"/>
      <c r="V1857" s="78"/>
      <c r="W1857" s="78"/>
      <c r="X1857" s="78"/>
      <c r="Y1857" s="78"/>
      <c r="Z1857" s="78"/>
    </row>
    <row r="1858">
      <c r="A1858" s="78">
        <v>912.0</v>
      </c>
      <c r="B1858" s="78"/>
      <c r="C1858" s="138"/>
      <c r="D1858" s="78"/>
      <c r="E1858" s="139" t="str">
        <f t="array" ref="E1858">IF(
UPPER(TRIM(CLEAN($O1858)))="ENTREGADO",
IFERROR(
INDEX(REPORTE_DROPI!Y:Y,
MATCH($T1858, REPORTE_DROPI!B:B, 0)
),
""
),
""
)
</f>
        <v/>
      </c>
      <c r="F1858" s="78"/>
      <c r="G1858" s="78"/>
      <c r="H1858" s="78"/>
      <c r="I1858" s="78"/>
      <c r="J1858" s="78"/>
      <c r="K1858" s="78"/>
      <c r="L1858" s="78"/>
      <c r="M1858" s="78"/>
      <c r="N1858" s="78"/>
      <c r="O1858" s="78"/>
      <c r="P1858" s="78"/>
      <c r="Q1858" s="78"/>
      <c r="R1858" s="78"/>
      <c r="S1858" s="78"/>
      <c r="T1858" s="78"/>
      <c r="U1858" s="78"/>
      <c r="V1858" s="78"/>
      <c r="W1858" s="78"/>
      <c r="X1858" s="78"/>
      <c r="Y1858" s="78"/>
      <c r="Z1858" s="78"/>
    </row>
    <row r="1859">
      <c r="A1859" s="78">
        <v>913.0</v>
      </c>
      <c r="B1859" s="78"/>
      <c r="C1859" s="138"/>
      <c r="D1859" s="78"/>
      <c r="E1859" s="139" t="str">
        <f t="array" ref="E1859">IF(
UPPER(TRIM(CLEAN($O1859)))="ENTREGADO",
IFERROR(
INDEX(REPORTE_DROPI!Y:Y,
MATCH($T1859, REPORTE_DROPI!B:B, 0)
),
""
),
""
)
</f>
        <v/>
      </c>
      <c r="F1859" s="78"/>
      <c r="G1859" s="78"/>
      <c r="H1859" s="78"/>
      <c r="I1859" s="78"/>
      <c r="J1859" s="78"/>
      <c r="K1859" s="78"/>
      <c r="L1859" s="78"/>
      <c r="M1859" s="78"/>
      <c r="N1859" s="78"/>
      <c r="O1859" s="78"/>
      <c r="P1859" s="78"/>
      <c r="Q1859" s="78"/>
      <c r="R1859" s="78"/>
      <c r="S1859" s="78"/>
      <c r="T1859" s="78"/>
      <c r="U1859" s="78"/>
      <c r="V1859" s="78"/>
      <c r="W1859" s="78"/>
      <c r="X1859" s="78"/>
      <c r="Y1859" s="78"/>
      <c r="Z1859" s="78"/>
    </row>
    <row r="1860">
      <c r="A1860" s="78">
        <v>914.0</v>
      </c>
      <c r="B1860" s="78"/>
      <c r="C1860" s="138"/>
      <c r="D1860" s="78"/>
      <c r="E1860" s="139" t="str">
        <f t="array" ref="E1860">IF(
UPPER(TRIM(CLEAN($O1860)))="ENTREGADO",
IFERROR(
INDEX(REPORTE_DROPI!Y:Y,
MATCH($T1860, REPORTE_DROPI!B:B, 0)
),
""
),
""
)
</f>
        <v/>
      </c>
      <c r="F1860" s="78"/>
      <c r="G1860" s="78"/>
      <c r="H1860" s="78"/>
      <c r="I1860" s="78"/>
      <c r="J1860" s="78"/>
      <c r="K1860" s="78"/>
      <c r="L1860" s="78"/>
      <c r="M1860" s="78"/>
      <c r="N1860" s="78"/>
      <c r="O1860" s="78"/>
      <c r="P1860" s="78"/>
      <c r="Q1860" s="78"/>
      <c r="R1860" s="78"/>
      <c r="S1860" s="78"/>
      <c r="T1860" s="78"/>
      <c r="U1860" s="78"/>
      <c r="V1860" s="78"/>
      <c r="W1860" s="78"/>
      <c r="X1860" s="78"/>
      <c r="Y1860" s="78"/>
      <c r="Z1860" s="78"/>
    </row>
    <row r="1861">
      <c r="A1861" s="78">
        <v>915.0</v>
      </c>
      <c r="B1861" s="78"/>
      <c r="C1861" s="138"/>
      <c r="D1861" s="78"/>
      <c r="E1861" s="139" t="str">
        <f t="array" ref="E1861">IF(
UPPER(TRIM(CLEAN($O1861)))="ENTREGADO",
IFERROR(
INDEX(REPORTE_DROPI!Y:Y,
MATCH($T1861, REPORTE_DROPI!B:B, 0)
),
""
),
""
)
</f>
        <v/>
      </c>
      <c r="F1861" s="78"/>
      <c r="G1861" s="78"/>
      <c r="H1861" s="78"/>
      <c r="I1861" s="78"/>
      <c r="J1861" s="78"/>
      <c r="K1861" s="78"/>
      <c r="L1861" s="78"/>
      <c r="M1861" s="78"/>
      <c r="N1861" s="78"/>
      <c r="O1861" s="78"/>
      <c r="P1861" s="78"/>
      <c r="Q1861" s="78"/>
      <c r="R1861" s="78"/>
      <c r="S1861" s="78"/>
      <c r="T1861" s="78"/>
      <c r="U1861" s="78"/>
      <c r="V1861" s="78"/>
      <c r="W1861" s="78"/>
      <c r="X1861" s="78"/>
      <c r="Y1861" s="78"/>
      <c r="Z1861" s="78"/>
    </row>
    <row r="1862">
      <c r="A1862" s="78">
        <v>916.0</v>
      </c>
      <c r="B1862" s="78"/>
      <c r="C1862" s="138"/>
      <c r="D1862" s="78"/>
      <c r="E1862" s="139" t="str">
        <f t="array" ref="E1862">IF(
UPPER(TRIM(CLEAN($O1862)))="ENTREGADO",
IFERROR(
INDEX(REPORTE_DROPI!Y:Y,
MATCH($T1862, REPORTE_DROPI!B:B, 0)
),
""
),
""
)
</f>
        <v/>
      </c>
      <c r="F1862" s="78"/>
      <c r="G1862" s="78"/>
      <c r="H1862" s="78"/>
      <c r="I1862" s="78"/>
      <c r="J1862" s="78"/>
      <c r="K1862" s="78"/>
      <c r="L1862" s="78"/>
      <c r="M1862" s="78"/>
      <c r="N1862" s="78"/>
      <c r="O1862" s="78"/>
      <c r="P1862" s="78"/>
      <c r="Q1862" s="78"/>
      <c r="R1862" s="78"/>
      <c r="S1862" s="78"/>
      <c r="T1862" s="78"/>
      <c r="U1862" s="78"/>
      <c r="V1862" s="78"/>
      <c r="W1862" s="78"/>
      <c r="X1862" s="78"/>
      <c r="Y1862" s="78"/>
      <c r="Z1862" s="78"/>
    </row>
    <row r="1863">
      <c r="A1863" s="78">
        <v>917.0</v>
      </c>
      <c r="B1863" s="78"/>
      <c r="C1863" s="138"/>
      <c r="D1863" s="78"/>
      <c r="E1863" s="139" t="str">
        <f t="array" ref="E1863">IF(
UPPER(TRIM(CLEAN($O1863)))="ENTREGADO",
IFERROR(
INDEX(REPORTE_DROPI!Y:Y,
MATCH($T1863, REPORTE_DROPI!B:B, 0)
),
""
),
""
)
</f>
        <v/>
      </c>
      <c r="F1863" s="78"/>
      <c r="G1863" s="78"/>
      <c r="H1863" s="78"/>
      <c r="I1863" s="78"/>
      <c r="J1863" s="78"/>
      <c r="K1863" s="78"/>
      <c r="L1863" s="78"/>
      <c r="M1863" s="78"/>
      <c r="N1863" s="78"/>
      <c r="O1863" s="78"/>
      <c r="P1863" s="78"/>
      <c r="Q1863" s="78"/>
      <c r="R1863" s="78"/>
      <c r="S1863" s="78"/>
      <c r="T1863" s="78"/>
      <c r="U1863" s="78"/>
      <c r="V1863" s="78"/>
      <c r="W1863" s="78"/>
      <c r="X1863" s="78"/>
      <c r="Y1863" s="78"/>
      <c r="Z1863" s="78"/>
    </row>
    <row r="1864">
      <c r="A1864" s="78">
        <v>918.0</v>
      </c>
      <c r="B1864" s="78"/>
      <c r="C1864" s="138"/>
      <c r="D1864" s="78"/>
      <c r="E1864" s="139" t="str">
        <f t="array" ref="E1864">IF(
UPPER(TRIM(CLEAN($O1864)))="ENTREGADO",
IFERROR(
INDEX(REPORTE_DROPI!Y:Y,
MATCH($T1864, REPORTE_DROPI!B:B, 0)
),
""
),
""
)
</f>
        <v/>
      </c>
      <c r="F1864" s="78"/>
      <c r="G1864" s="78"/>
      <c r="H1864" s="78"/>
      <c r="I1864" s="78"/>
      <c r="J1864" s="78"/>
      <c r="K1864" s="78"/>
      <c r="L1864" s="78"/>
      <c r="M1864" s="78"/>
      <c r="N1864" s="78"/>
      <c r="O1864" s="78"/>
      <c r="P1864" s="78"/>
      <c r="Q1864" s="78"/>
      <c r="R1864" s="78"/>
      <c r="S1864" s="78"/>
      <c r="T1864" s="78"/>
      <c r="U1864" s="78"/>
      <c r="V1864" s="78"/>
      <c r="W1864" s="78"/>
      <c r="X1864" s="78"/>
      <c r="Y1864" s="78"/>
      <c r="Z1864" s="78"/>
    </row>
    <row r="1865">
      <c r="A1865" s="78">
        <v>919.0</v>
      </c>
      <c r="B1865" s="78"/>
      <c r="C1865" s="138"/>
      <c r="D1865" s="78"/>
      <c r="E1865" s="139" t="str">
        <f t="array" ref="E1865">IF(
UPPER(TRIM(CLEAN($O1865)))="ENTREGADO",
IFERROR(
INDEX(REPORTE_DROPI!Y:Y,
MATCH($T1865, REPORTE_DROPI!B:B, 0)
),
""
),
""
)
</f>
        <v/>
      </c>
      <c r="F1865" s="78"/>
      <c r="G1865" s="78"/>
      <c r="H1865" s="78"/>
      <c r="I1865" s="78"/>
      <c r="J1865" s="78"/>
      <c r="K1865" s="78"/>
      <c r="L1865" s="78"/>
      <c r="M1865" s="78"/>
      <c r="N1865" s="78"/>
      <c r="O1865" s="78"/>
      <c r="P1865" s="78"/>
      <c r="Q1865" s="78"/>
      <c r="R1865" s="78"/>
      <c r="S1865" s="78"/>
      <c r="T1865" s="78"/>
      <c r="U1865" s="78"/>
      <c r="V1865" s="78"/>
      <c r="W1865" s="78"/>
      <c r="X1865" s="78"/>
      <c r="Y1865" s="78"/>
      <c r="Z1865" s="78"/>
    </row>
    <row r="1866">
      <c r="A1866" s="78">
        <v>920.0</v>
      </c>
      <c r="B1866" s="78"/>
      <c r="C1866" s="138"/>
      <c r="D1866" s="78"/>
      <c r="E1866" s="139" t="str">
        <f t="array" ref="E1866">IF(
UPPER(TRIM(CLEAN($O1866)))="ENTREGADO",
IFERROR(
INDEX(REPORTE_DROPI!Y:Y,
MATCH($T1866, REPORTE_DROPI!B:B, 0)
),
""
),
""
)
</f>
        <v/>
      </c>
      <c r="F1866" s="78"/>
      <c r="G1866" s="78"/>
      <c r="H1866" s="78"/>
      <c r="I1866" s="78"/>
      <c r="J1866" s="78"/>
      <c r="K1866" s="78"/>
      <c r="L1866" s="78"/>
      <c r="M1866" s="78"/>
      <c r="N1866" s="78"/>
      <c r="O1866" s="78"/>
      <c r="P1866" s="78"/>
      <c r="Q1866" s="78"/>
      <c r="R1866" s="78"/>
      <c r="S1866" s="78"/>
      <c r="T1866" s="78"/>
      <c r="U1866" s="78"/>
      <c r="V1866" s="78"/>
      <c r="W1866" s="78"/>
      <c r="X1866" s="78"/>
      <c r="Y1866" s="78"/>
      <c r="Z1866" s="78"/>
    </row>
    <row r="1867">
      <c r="A1867" s="78">
        <v>921.0</v>
      </c>
      <c r="B1867" s="78"/>
      <c r="C1867" s="138"/>
      <c r="D1867" s="78"/>
      <c r="E1867" s="139" t="str">
        <f t="array" ref="E1867">IF(
UPPER(TRIM(CLEAN($O1867)))="ENTREGADO",
IFERROR(
INDEX(REPORTE_DROPI!Y:Y,
MATCH($T1867, REPORTE_DROPI!B:B, 0)
),
""
),
""
)
</f>
        <v/>
      </c>
      <c r="F1867" s="78"/>
      <c r="G1867" s="78"/>
      <c r="H1867" s="78"/>
      <c r="I1867" s="78"/>
      <c r="J1867" s="78"/>
      <c r="K1867" s="78"/>
      <c r="L1867" s="78"/>
      <c r="M1867" s="78"/>
      <c r="N1867" s="78"/>
      <c r="O1867" s="78"/>
      <c r="P1867" s="78"/>
      <c r="Q1867" s="78"/>
      <c r="R1867" s="78"/>
      <c r="S1867" s="78"/>
      <c r="T1867" s="78"/>
      <c r="U1867" s="78"/>
      <c r="V1867" s="78"/>
      <c r="W1867" s="78"/>
      <c r="X1867" s="78"/>
      <c r="Y1867" s="78"/>
      <c r="Z1867" s="78"/>
    </row>
    <row r="1868">
      <c r="A1868" s="78">
        <v>922.0</v>
      </c>
      <c r="B1868" s="78"/>
      <c r="C1868" s="138"/>
      <c r="D1868" s="78"/>
      <c r="E1868" s="139" t="str">
        <f t="array" ref="E1868">IF(
UPPER(TRIM(CLEAN($O1868)))="ENTREGADO",
IFERROR(
INDEX(REPORTE_DROPI!Y:Y,
MATCH($T1868, REPORTE_DROPI!B:B, 0)
),
""
),
""
)
</f>
        <v/>
      </c>
      <c r="F1868" s="78"/>
      <c r="G1868" s="78"/>
      <c r="H1868" s="78"/>
      <c r="I1868" s="78"/>
      <c r="J1868" s="78"/>
      <c r="K1868" s="78"/>
      <c r="L1868" s="78"/>
      <c r="M1868" s="78"/>
      <c r="N1868" s="78"/>
      <c r="O1868" s="78"/>
      <c r="P1868" s="78"/>
      <c r="Q1868" s="78"/>
      <c r="R1868" s="78"/>
      <c r="S1868" s="78"/>
      <c r="T1868" s="78"/>
      <c r="U1868" s="78"/>
      <c r="V1868" s="78"/>
      <c r="W1868" s="78"/>
      <c r="X1868" s="78"/>
      <c r="Y1868" s="78"/>
      <c r="Z1868" s="78"/>
    </row>
    <row r="1869">
      <c r="A1869" s="78">
        <v>923.0</v>
      </c>
      <c r="B1869" s="78"/>
      <c r="C1869" s="138"/>
      <c r="D1869" s="78"/>
      <c r="E1869" s="139" t="str">
        <f t="array" ref="E1869">IF(
UPPER(TRIM(CLEAN($O1869)))="ENTREGADO",
IFERROR(
INDEX(REPORTE_DROPI!Y:Y,
MATCH($T1869, REPORTE_DROPI!B:B, 0)
),
""
),
""
)
</f>
        <v/>
      </c>
      <c r="F1869" s="78"/>
      <c r="G1869" s="78"/>
      <c r="H1869" s="78"/>
      <c r="I1869" s="78"/>
      <c r="J1869" s="78"/>
      <c r="K1869" s="78"/>
      <c r="L1869" s="78"/>
      <c r="M1869" s="78"/>
      <c r="N1869" s="78"/>
      <c r="O1869" s="78"/>
      <c r="P1869" s="78"/>
      <c r="Q1869" s="78"/>
      <c r="R1869" s="78"/>
      <c r="S1869" s="78"/>
      <c r="T1869" s="78"/>
      <c r="U1869" s="78"/>
      <c r="V1869" s="78"/>
      <c r="W1869" s="78"/>
      <c r="X1869" s="78"/>
      <c r="Y1869" s="78"/>
      <c r="Z1869" s="78"/>
    </row>
    <row r="1870">
      <c r="A1870" s="78">
        <v>924.0</v>
      </c>
      <c r="B1870" s="78"/>
      <c r="C1870" s="138"/>
      <c r="D1870" s="78"/>
      <c r="E1870" s="139" t="str">
        <f t="array" ref="E1870">IF(
UPPER(TRIM(CLEAN($O1870)))="ENTREGADO",
IFERROR(
INDEX(REPORTE_DROPI!Y:Y,
MATCH($T1870, REPORTE_DROPI!B:B, 0)
),
""
),
""
)
</f>
        <v/>
      </c>
      <c r="F1870" s="78"/>
      <c r="G1870" s="78"/>
      <c r="H1870" s="78"/>
      <c r="I1870" s="78"/>
      <c r="J1870" s="78"/>
      <c r="K1870" s="78"/>
      <c r="L1870" s="78"/>
      <c r="M1870" s="78"/>
      <c r="N1870" s="78"/>
      <c r="O1870" s="78"/>
      <c r="P1870" s="78"/>
      <c r="Q1870" s="78"/>
      <c r="R1870" s="78"/>
      <c r="S1870" s="78"/>
      <c r="T1870" s="78"/>
      <c r="U1870" s="78"/>
      <c r="V1870" s="78"/>
      <c r="W1870" s="78"/>
      <c r="X1870" s="78"/>
      <c r="Y1870" s="78"/>
      <c r="Z1870" s="78"/>
    </row>
    <row r="1871">
      <c r="A1871" s="78">
        <v>925.0</v>
      </c>
      <c r="B1871" s="78"/>
      <c r="C1871" s="138"/>
      <c r="D1871" s="78"/>
      <c r="E1871" s="139" t="str">
        <f t="array" ref="E1871">IF(
UPPER(TRIM(CLEAN($O1871)))="ENTREGADO",
IFERROR(
INDEX(REPORTE_DROPI!Y:Y,
MATCH($T1871, REPORTE_DROPI!B:B, 0)
),
""
),
""
)
</f>
        <v/>
      </c>
      <c r="F1871" s="78"/>
      <c r="G1871" s="78"/>
      <c r="H1871" s="78"/>
      <c r="I1871" s="78"/>
      <c r="J1871" s="78"/>
      <c r="K1871" s="78"/>
      <c r="L1871" s="78"/>
      <c r="M1871" s="78"/>
      <c r="N1871" s="78"/>
      <c r="O1871" s="78"/>
      <c r="P1871" s="78"/>
      <c r="Q1871" s="78"/>
      <c r="R1871" s="78"/>
      <c r="S1871" s="78"/>
      <c r="T1871" s="78"/>
      <c r="U1871" s="78"/>
      <c r="V1871" s="78"/>
      <c r="W1871" s="78"/>
      <c r="X1871" s="78"/>
      <c r="Y1871" s="78"/>
      <c r="Z1871" s="78"/>
    </row>
    <row r="1872">
      <c r="A1872" s="78">
        <v>926.0</v>
      </c>
      <c r="B1872" s="78"/>
      <c r="C1872" s="138"/>
      <c r="D1872" s="78"/>
      <c r="E1872" s="139" t="str">
        <f t="array" ref="E1872">IF(
UPPER(TRIM(CLEAN($O1872)))="ENTREGADO",
IFERROR(
INDEX(REPORTE_DROPI!Y:Y,
MATCH($T1872, REPORTE_DROPI!B:B, 0)
),
""
),
""
)
</f>
        <v/>
      </c>
      <c r="F1872" s="78"/>
      <c r="G1872" s="78"/>
      <c r="H1872" s="78"/>
      <c r="I1872" s="78"/>
      <c r="J1872" s="78"/>
      <c r="K1872" s="78"/>
      <c r="L1872" s="78"/>
      <c r="M1872" s="78"/>
      <c r="N1872" s="78"/>
      <c r="O1872" s="78"/>
      <c r="P1872" s="78"/>
      <c r="Q1872" s="78"/>
      <c r="R1872" s="78"/>
      <c r="S1872" s="78"/>
      <c r="T1872" s="78"/>
      <c r="U1872" s="78"/>
      <c r="V1872" s="78"/>
      <c r="W1872" s="78"/>
      <c r="X1872" s="78"/>
      <c r="Y1872" s="78"/>
      <c r="Z1872" s="78"/>
    </row>
    <row r="1873">
      <c r="A1873" s="78">
        <v>927.0</v>
      </c>
      <c r="B1873" s="78"/>
      <c r="C1873" s="138"/>
      <c r="D1873" s="78"/>
      <c r="E1873" s="139" t="str">
        <f t="array" ref="E1873">IF(
UPPER(TRIM(CLEAN($O1873)))="ENTREGADO",
IFERROR(
INDEX(REPORTE_DROPI!Y:Y,
MATCH($T1873, REPORTE_DROPI!B:B, 0)
),
""
),
""
)
</f>
        <v/>
      </c>
      <c r="F1873" s="78"/>
      <c r="G1873" s="78"/>
      <c r="H1873" s="78"/>
      <c r="I1873" s="78"/>
      <c r="J1873" s="78"/>
      <c r="K1873" s="78"/>
      <c r="L1873" s="78"/>
      <c r="M1873" s="78"/>
      <c r="N1873" s="78"/>
      <c r="O1873" s="78"/>
      <c r="P1873" s="78"/>
      <c r="Q1873" s="78"/>
      <c r="R1873" s="78"/>
      <c r="S1873" s="78"/>
      <c r="T1873" s="78"/>
      <c r="U1873" s="78"/>
      <c r="V1873" s="78"/>
      <c r="W1873" s="78"/>
      <c r="X1873" s="78"/>
      <c r="Y1873" s="78"/>
      <c r="Z1873" s="78"/>
    </row>
    <row r="1874">
      <c r="A1874" s="78">
        <v>928.0</v>
      </c>
      <c r="B1874" s="78"/>
      <c r="C1874" s="138"/>
      <c r="D1874" s="78"/>
      <c r="E1874" s="139" t="str">
        <f t="array" ref="E1874">IF(
UPPER(TRIM(CLEAN($O1874)))="ENTREGADO",
IFERROR(
INDEX(REPORTE_DROPI!Y:Y,
MATCH($T1874, REPORTE_DROPI!B:B, 0)
),
""
),
""
)
</f>
        <v/>
      </c>
      <c r="F1874" s="78"/>
      <c r="G1874" s="78"/>
      <c r="H1874" s="78"/>
      <c r="I1874" s="78"/>
      <c r="J1874" s="78"/>
      <c r="K1874" s="78"/>
      <c r="L1874" s="78"/>
      <c r="M1874" s="78"/>
      <c r="N1874" s="78"/>
      <c r="O1874" s="78"/>
      <c r="P1874" s="78"/>
      <c r="Q1874" s="78"/>
      <c r="R1874" s="78"/>
      <c r="S1874" s="78"/>
      <c r="T1874" s="78"/>
      <c r="U1874" s="78"/>
      <c r="V1874" s="78"/>
      <c r="W1874" s="78"/>
      <c r="X1874" s="78"/>
      <c r="Y1874" s="78"/>
      <c r="Z1874" s="78"/>
    </row>
    <row r="1875">
      <c r="A1875" s="78">
        <v>929.0</v>
      </c>
      <c r="B1875" s="78"/>
      <c r="C1875" s="138"/>
      <c r="D1875" s="78"/>
      <c r="E1875" s="139" t="str">
        <f t="array" ref="E1875">IF(
UPPER(TRIM(CLEAN($O1875)))="ENTREGADO",
IFERROR(
INDEX(REPORTE_DROPI!Y:Y,
MATCH($T1875, REPORTE_DROPI!B:B, 0)
),
""
),
""
)
</f>
        <v/>
      </c>
      <c r="F1875" s="78"/>
      <c r="G1875" s="78"/>
      <c r="H1875" s="78"/>
      <c r="I1875" s="78"/>
      <c r="J1875" s="78"/>
      <c r="K1875" s="78"/>
      <c r="L1875" s="78"/>
      <c r="M1875" s="78"/>
      <c r="N1875" s="78"/>
      <c r="O1875" s="78"/>
      <c r="P1875" s="78"/>
      <c r="Q1875" s="78"/>
      <c r="R1875" s="78"/>
      <c r="S1875" s="78"/>
      <c r="T1875" s="78"/>
      <c r="U1875" s="78"/>
      <c r="V1875" s="78"/>
      <c r="W1875" s="78"/>
      <c r="X1875" s="78"/>
      <c r="Y1875" s="78"/>
      <c r="Z1875" s="78"/>
    </row>
    <row r="1876">
      <c r="A1876" s="78">
        <v>930.0</v>
      </c>
      <c r="B1876" s="78"/>
      <c r="C1876" s="138"/>
      <c r="D1876" s="78"/>
      <c r="E1876" s="139" t="str">
        <f t="array" ref="E1876">IF(
UPPER(TRIM(CLEAN($O1876)))="ENTREGADO",
IFERROR(
INDEX(REPORTE_DROPI!Y:Y,
MATCH($T1876, REPORTE_DROPI!B:B, 0)
),
""
),
""
)
</f>
        <v/>
      </c>
      <c r="F1876" s="78"/>
      <c r="G1876" s="78"/>
      <c r="H1876" s="78"/>
      <c r="I1876" s="78"/>
      <c r="J1876" s="78"/>
      <c r="K1876" s="78"/>
      <c r="L1876" s="78"/>
      <c r="M1876" s="78"/>
      <c r="N1876" s="78"/>
      <c r="O1876" s="78"/>
      <c r="P1876" s="78"/>
      <c r="Q1876" s="78"/>
      <c r="R1876" s="78"/>
      <c r="S1876" s="78"/>
      <c r="T1876" s="78"/>
      <c r="U1876" s="78"/>
      <c r="V1876" s="78"/>
      <c r="W1876" s="78"/>
      <c r="X1876" s="78"/>
      <c r="Y1876" s="78"/>
      <c r="Z1876" s="78"/>
    </row>
    <row r="1877">
      <c r="A1877" s="78">
        <v>931.0</v>
      </c>
      <c r="B1877" s="78"/>
      <c r="C1877" s="138"/>
      <c r="D1877" s="78"/>
      <c r="E1877" s="139" t="str">
        <f t="array" ref="E1877">IF(
UPPER(TRIM(CLEAN($O1877)))="ENTREGADO",
IFERROR(
INDEX(REPORTE_DROPI!Y:Y,
MATCH($T1877, REPORTE_DROPI!B:B, 0)
),
""
),
""
)
</f>
        <v/>
      </c>
      <c r="F1877" s="78"/>
      <c r="G1877" s="78"/>
      <c r="H1877" s="78"/>
      <c r="I1877" s="78"/>
      <c r="J1877" s="78"/>
      <c r="K1877" s="78"/>
      <c r="L1877" s="78"/>
      <c r="M1877" s="78"/>
      <c r="N1877" s="78"/>
      <c r="O1877" s="78"/>
      <c r="P1877" s="78"/>
      <c r="Q1877" s="78"/>
      <c r="R1877" s="78"/>
      <c r="S1877" s="78"/>
      <c r="T1877" s="78"/>
      <c r="U1877" s="78"/>
      <c r="V1877" s="78"/>
      <c r="W1877" s="78"/>
      <c r="X1877" s="78"/>
      <c r="Y1877" s="78"/>
      <c r="Z1877" s="78"/>
    </row>
    <row r="1878">
      <c r="A1878" s="78">
        <v>932.0</v>
      </c>
      <c r="B1878" s="78"/>
      <c r="C1878" s="138"/>
      <c r="D1878" s="78"/>
      <c r="E1878" s="139" t="str">
        <f t="array" ref="E1878">IF(
UPPER(TRIM(CLEAN($O1878)))="ENTREGADO",
IFERROR(
INDEX(REPORTE_DROPI!Y:Y,
MATCH($T1878, REPORTE_DROPI!B:B, 0)
),
""
),
""
)
</f>
        <v/>
      </c>
      <c r="F1878" s="78"/>
      <c r="G1878" s="78"/>
      <c r="H1878" s="78"/>
      <c r="I1878" s="78"/>
      <c r="J1878" s="78"/>
      <c r="K1878" s="78"/>
      <c r="L1878" s="78"/>
      <c r="M1878" s="78"/>
      <c r="N1878" s="78"/>
      <c r="O1878" s="78"/>
      <c r="P1878" s="78"/>
      <c r="Q1878" s="78"/>
      <c r="R1878" s="78"/>
      <c r="S1878" s="78"/>
      <c r="T1878" s="78"/>
      <c r="U1878" s="78"/>
      <c r="V1878" s="78"/>
      <c r="W1878" s="78"/>
      <c r="X1878" s="78"/>
      <c r="Y1878" s="78"/>
      <c r="Z1878" s="78"/>
    </row>
    <row r="1879">
      <c r="A1879" s="78">
        <v>933.0</v>
      </c>
      <c r="B1879" s="78"/>
      <c r="C1879" s="138"/>
      <c r="D1879" s="78"/>
      <c r="E1879" s="139" t="str">
        <f t="array" ref="E1879">IF(
UPPER(TRIM(CLEAN($O1879)))="ENTREGADO",
IFERROR(
INDEX(REPORTE_DROPI!Y:Y,
MATCH($T1879, REPORTE_DROPI!B:B, 0)
),
""
),
""
)
</f>
        <v/>
      </c>
      <c r="F1879" s="78"/>
      <c r="G1879" s="78"/>
      <c r="H1879" s="78"/>
      <c r="I1879" s="78"/>
      <c r="J1879" s="78"/>
      <c r="K1879" s="78"/>
      <c r="L1879" s="78"/>
      <c r="M1879" s="78"/>
      <c r="N1879" s="78"/>
      <c r="O1879" s="78"/>
      <c r="P1879" s="78"/>
      <c r="Q1879" s="78"/>
      <c r="R1879" s="78"/>
      <c r="S1879" s="78"/>
      <c r="T1879" s="78"/>
      <c r="U1879" s="78"/>
      <c r="V1879" s="78"/>
      <c r="W1879" s="78"/>
      <c r="X1879" s="78"/>
      <c r="Y1879" s="78"/>
      <c r="Z1879" s="78"/>
    </row>
    <row r="1880">
      <c r="A1880" s="78">
        <v>934.0</v>
      </c>
      <c r="B1880" s="78"/>
      <c r="C1880" s="138"/>
      <c r="D1880" s="78"/>
      <c r="E1880" s="139" t="str">
        <f t="array" ref="E1880">IF(
UPPER(TRIM(CLEAN($O1880)))="ENTREGADO",
IFERROR(
INDEX(REPORTE_DROPI!Y:Y,
MATCH($T1880, REPORTE_DROPI!B:B, 0)
),
""
),
""
)
</f>
        <v/>
      </c>
      <c r="F1880" s="78"/>
      <c r="G1880" s="78"/>
      <c r="H1880" s="78"/>
      <c r="I1880" s="78"/>
      <c r="J1880" s="78"/>
      <c r="K1880" s="78"/>
      <c r="L1880" s="78"/>
      <c r="M1880" s="78"/>
      <c r="N1880" s="78"/>
      <c r="O1880" s="78"/>
      <c r="P1880" s="78"/>
      <c r="Q1880" s="78"/>
      <c r="R1880" s="78"/>
      <c r="S1880" s="78"/>
      <c r="T1880" s="78"/>
      <c r="U1880" s="78"/>
      <c r="V1880" s="78"/>
      <c r="W1880" s="78"/>
      <c r="X1880" s="78"/>
      <c r="Y1880" s="78"/>
      <c r="Z1880" s="78"/>
    </row>
    <row r="1881">
      <c r="A1881" s="78">
        <v>935.0</v>
      </c>
      <c r="B1881" s="78"/>
      <c r="C1881" s="138"/>
      <c r="D1881" s="78"/>
      <c r="E1881" s="139" t="str">
        <f t="array" ref="E1881">IF(
UPPER(TRIM(CLEAN($O1881)))="ENTREGADO",
IFERROR(
INDEX(REPORTE_DROPI!Y:Y,
MATCH($T1881, REPORTE_DROPI!B:B, 0)
),
""
),
""
)
</f>
        <v/>
      </c>
      <c r="F1881" s="78"/>
      <c r="G1881" s="78"/>
      <c r="H1881" s="78"/>
      <c r="I1881" s="78"/>
      <c r="J1881" s="78"/>
      <c r="K1881" s="78"/>
      <c r="L1881" s="78"/>
      <c r="M1881" s="78"/>
      <c r="N1881" s="78"/>
      <c r="O1881" s="78"/>
      <c r="P1881" s="78"/>
      <c r="Q1881" s="78"/>
      <c r="R1881" s="78"/>
      <c r="S1881" s="78"/>
      <c r="T1881" s="78"/>
      <c r="U1881" s="78"/>
      <c r="V1881" s="78"/>
      <c r="W1881" s="78"/>
      <c r="X1881" s="78"/>
      <c r="Y1881" s="78"/>
      <c r="Z1881" s="78"/>
    </row>
    <row r="1882">
      <c r="A1882" s="78">
        <v>936.0</v>
      </c>
      <c r="B1882" s="78"/>
      <c r="C1882" s="138"/>
      <c r="D1882" s="78"/>
      <c r="E1882" s="139" t="str">
        <f t="array" ref="E1882">IF(
UPPER(TRIM(CLEAN($O1882)))="ENTREGADO",
IFERROR(
INDEX(REPORTE_DROPI!Y:Y,
MATCH($T1882, REPORTE_DROPI!B:B, 0)
),
""
),
""
)
</f>
        <v/>
      </c>
      <c r="F1882" s="78"/>
      <c r="G1882" s="78"/>
      <c r="H1882" s="78"/>
      <c r="I1882" s="78"/>
      <c r="J1882" s="78"/>
      <c r="K1882" s="78"/>
      <c r="L1882" s="78"/>
      <c r="M1882" s="78"/>
      <c r="N1882" s="78"/>
      <c r="O1882" s="78"/>
      <c r="P1882" s="78"/>
      <c r="Q1882" s="78"/>
      <c r="R1882" s="78"/>
      <c r="S1882" s="78"/>
      <c r="T1882" s="78"/>
      <c r="U1882" s="78"/>
      <c r="V1882" s="78"/>
      <c r="W1882" s="78"/>
      <c r="X1882" s="78"/>
      <c r="Y1882" s="78"/>
      <c r="Z1882" s="78"/>
    </row>
    <row r="1883">
      <c r="A1883" s="78">
        <v>937.0</v>
      </c>
      <c r="B1883" s="78"/>
      <c r="C1883" s="138"/>
      <c r="D1883" s="78"/>
      <c r="E1883" s="139" t="str">
        <f t="array" ref="E1883">IF(
UPPER(TRIM(CLEAN($O1883)))="ENTREGADO",
IFERROR(
INDEX(REPORTE_DROPI!Y:Y,
MATCH($T1883, REPORTE_DROPI!B:B, 0)
),
""
),
""
)
</f>
        <v/>
      </c>
      <c r="F1883" s="78"/>
      <c r="G1883" s="78"/>
      <c r="H1883" s="78"/>
      <c r="I1883" s="78"/>
      <c r="J1883" s="78"/>
      <c r="K1883" s="78"/>
      <c r="L1883" s="78"/>
      <c r="M1883" s="78"/>
      <c r="N1883" s="78"/>
      <c r="O1883" s="78"/>
      <c r="P1883" s="78"/>
      <c r="Q1883" s="78"/>
      <c r="R1883" s="78"/>
      <c r="S1883" s="78"/>
      <c r="T1883" s="78"/>
      <c r="U1883" s="78"/>
      <c r="V1883" s="78"/>
      <c r="W1883" s="78"/>
      <c r="X1883" s="78"/>
      <c r="Y1883" s="78"/>
      <c r="Z1883" s="78"/>
    </row>
    <row r="1884">
      <c r="A1884" s="78">
        <v>938.0</v>
      </c>
      <c r="B1884" s="78"/>
      <c r="C1884" s="138"/>
      <c r="D1884" s="78"/>
      <c r="E1884" s="139" t="str">
        <f t="array" ref="E1884">IF(
UPPER(TRIM(CLEAN($O1884)))="ENTREGADO",
IFERROR(
INDEX(REPORTE_DROPI!Y:Y,
MATCH($T1884, REPORTE_DROPI!B:B, 0)
),
""
),
""
)
</f>
        <v/>
      </c>
      <c r="F1884" s="78"/>
      <c r="G1884" s="78"/>
      <c r="H1884" s="78"/>
      <c r="I1884" s="78"/>
      <c r="J1884" s="78"/>
      <c r="K1884" s="78"/>
      <c r="L1884" s="78"/>
      <c r="M1884" s="78"/>
      <c r="N1884" s="78"/>
      <c r="O1884" s="78"/>
      <c r="P1884" s="78"/>
      <c r="Q1884" s="78"/>
      <c r="R1884" s="78"/>
      <c r="S1884" s="78"/>
      <c r="T1884" s="78"/>
      <c r="U1884" s="78"/>
      <c r="V1884" s="78"/>
      <c r="W1884" s="78"/>
      <c r="X1884" s="78"/>
      <c r="Y1884" s="78"/>
      <c r="Z1884" s="78"/>
    </row>
    <row r="1885">
      <c r="A1885" s="78">
        <v>939.0</v>
      </c>
      <c r="B1885" s="78"/>
      <c r="C1885" s="138"/>
      <c r="D1885" s="78"/>
      <c r="E1885" s="139" t="str">
        <f t="array" ref="E1885">IF(
UPPER(TRIM(CLEAN($O1885)))="ENTREGADO",
IFERROR(
INDEX(REPORTE_DROPI!Y:Y,
MATCH($T1885, REPORTE_DROPI!B:B, 0)
),
""
),
""
)
</f>
        <v/>
      </c>
      <c r="F1885" s="78"/>
      <c r="G1885" s="78"/>
      <c r="H1885" s="78"/>
      <c r="I1885" s="78"/>
      <c r="J1885" s="78"/>
      <c r="K1885" s="78"/>
      <c r="L1885" s="78"/>
      <c r="M1885" s="78"/>
      <c r="N1885" s="78"/>
      <c r="O1885" s="78"/>
      <c r="P1885" s="78"/>
      <c r="Q1885" s="78"/>
      <c r="R1885" s="78"/>
      <c r="S1885" s="78"/>
      <c r="T1885" s="78"/>
      <c r="U1885" s="78"/>
      <c r="V1885" s="78"/>
      <c r="W1885" s="78"/>
      <c r="X1885" s="78"/>
      <c r="Y1885" s="78"/>
      <c r="Z1885" s="78"/>
    </row>
    <row r="1886">
      <c r="A1886" s="78">
        <v>940.0</v>
      </c>
      <c r="B1886" s="78"/>
      <c r="C1886" s="138"/>
      <c r="D1886" s="78"/>
      <c r="E1886" s="139" t="str">
        <f t="array" ref="E1886">IF(
UPPER(TRIM(CLEAN($O1886)))="ENTREGADO",
IFERROR(
INDEX(REPORTE_DROPI!Y:Y,
MATCH($T1886, REPORTE_DROPI!B:B, 0)
),
""
),
""
)
</f>
        <v/>
      </c>
      <c r="F1886" s="78"/>
      <c r="G1886" s="78"/>
      <c r="H1886" s="78"/>
      <c r="I1886" s="78"/>
      <c r="J1886" s="78"/>
      <c r="K1886" s="78"/>
      <c r="L1886" s="78"/>
      <c r="M1886" s="78"/>
      <c r="N1886" s="78"/>
      <c r="O1886" s="78"/>
      <c r="P1886" s="78"/>
      <c r="Q1886" s="78"/>
      <c r="R1886" s="78"/>
      <c r="S1886" s="78"/>
      <c r="T1886" s="78"/>
      <c r="U1886" s="78"/>
      <c r="V1886" s="78"/>
      <c r="W1886" s="78"/>
      <c r="X1886" s="78"/>
      <c r="Y1886" s="78"/>
      <c r="Z1886" s="78"/>
    </row>
    <row r="1887">
      <c r="A1887" s="78">
        <v>941.0</v>
      </c>
      <c r="B1887" s="78"/>
      <c r="C1887" s="138"/>
      <c r="D1887" s="78"/>
      <c r="E1887" s="139" t="str">
        <f t="array" ref="E1887">IF(
UPPER(TRIM(CLEAN($O1887)))="ENTREGADO",
IFERROR(
INDEX(REPORTE_DROPI!Y:Y,
MATCH($T1887, REPORTE_DROPI!B:B, 0)
),
""
),
""
)
</f>
        <v/>
      </c>
      <c r="F1887" s="78"/>
      <c r="G1887" s="78"/>
      <c r="H1887" s="78"/>
      <c r="I1887" s="78"/>
      <c r="J1887" s="78"/>
      <c r="K1887" s="78"/>
      <c r="L1887" s="78"/>
      <c r="M1887" s="78"/>
      <c r="N1887" s="78"/>
      <c r="O1887" s="78"/>
      <c r="P1887" s="78"/>
      <c r="Q1887" s="78"/>
      <c r="R1887" s="78"/>
      <c r="S1887" s="78"/>
      <c r="T1887" s="78"/>
      <c r="U1887" s="78"/>
      <c r="V1887" s="78"/>
      <c r="W1887" s="78"/>
      <c r="X1887" s="78"/>
      <c r="Y1887" s="78"/>
      <c r="Z1887" s="78"/>
    </row>
    <row r="1888">
      <c r="A1888" s="78">
        <v>942.0</v>
      </c>
      <c r="B1888" s="78"/>
      <c r="C1888" s="138"/>
      <c r="D1888" s="78"/>
      <c r="E1888" s="139" t="str">
        <f t="array" ref="E1888">IF(
UPPER(TRIM(CLEAN($O1888)))="ENTREGADO",
IFERROR(
INDEX(REPORTE_DROPI!Y:Y,
MATCH($T1888, REPORTE_DROPI!B:B, 0)
),
""
),
""
)
</f>
        <v/>
      </c>
      <c r="F1888" s="78"/>
      <c r="G1888" s="78"/>
      <c r="H1888" s="78"/>
      <c r="I1888" s="78"/>
      <c r="J1888" s="78"/>
      <c r="K1888" s="78"/>
      <c r="L1888" s="78"/>
      <c r="M1888" s="78"/>
      <c r="N1888" s="78"/>
      <c r="O1888" s="78"/>
      <c r="P1888" s="78"/>
      <c r="Q1888" s="78"/>
      <c r="R1888" s="78"/>
      <c r="S1888" s="78"/>
      <c r="T1888" s="78"/>
      <c r="U1888" s="78"/>
      <c r="V1888" s="78"/>
      <c r="W1888" s="78"/>
      <c r="X1888" s="78"/>
      <c r="Y1888" s="78"/>
      <c r="Z1888" s="78"/>
    </row>
    <row r="1889">
      <c r="A1889" s="78">
        <v>943.0</v>
      </c>
      <c r="B1889" s="78"/>
      <c r="C1889" s="138"/>
      <c r="D1889" s="78"/>
      <c r="E1889" s="139" t="str">
        <f t="array" ref="E1889">IF(
UPPER(TRIM(CLEAN($O1889)))="ENTREGADO",
IFERROR(
INDEX(REPORTE_DROPI!Y:Y,
MATCH($T1889, REPORTE_DROPI!B:B, 0)
),
""
),
""
)
</f>
        <v/>
      </c>
      <c r="F1889" s="78"/>
      <c r="G1889" s="78"/>
      <c r="H1889" s="78"/>
      <c r="I1889" s="78"/>
      <c r="J1889" s="78"/>
      <c r="K1889" s="78"/>
      <c r="L1889" s="78"/>
      <c r="M1889" s="78"/>
      <c r="N1889" s="78"/>
      <c r="O1889" s="78"/>
      <c r="P1889" s="78"/>
      <c r="Q1889" s="78"/>
      <c r="R1889" s="78"/>
      <c r="S1889" s="78"/>
      <c r="T1889" s="78"/>
      <c r="U1889" s="78"/>
      <c r="V1889" s="78"/>
      <c r="W1889" s="78"/>
      <c r="X1889" s="78"/>
      <c r="Y1889" s="78"/>
      <c r="Z1889" s="78"/>
    </row>
    <row r="1890">
      <c r="A1890" s="78">
        <v>944.0</v>
      </c>
      <c r="B1890" s="78"/>
      <c r="C1890" s="138"/>
      <c r="D1890" s="78"/>
      <c r="E1890" s="139" t="str">
        <f t="array" ref="E1890">IF(
UPPER(TRIM(CLEAN($O1890)))="ENTREGADO",
IFERROR(
INDEX(REPORTE_DROPI!Y:Y,
MATCH($T1890, REPORTE_DROPI!B:B, 0)
),
""
),
""
)
</f>
        <v/>
      </c>
      <c r="F1890" s="78"/>
      <c r="G1890" s="78"/>
      <c r="H1890" s="78"/>
      <c r="I1890" s="78"/>
      <c r="J1890" s="78"/>
      <c r="K1890" s="78"/>
      <c r="L1890" s="78"/>
      <c r="M1890" s="78"/>
      <c r="N1890" s="78"/>
      <c r="O1890" s="78"/>
      <c r="P1890" s="78"/>
      <c r="Q1890" s="78"/>
      <c r="R1890" s="78"/>
      <c r="S1890" s="78"/>
      <c r="T1890" s="78"/>
      <c r="U1890" s="78"/>
      <c r="V1890" s="78"/>
      <c r="W1890" s="78"/>
      <c r="X1890" s="78"/>
      <c r="Y1890" s="78"/>
      <c r="Z1890" s="78"/>
    </row>
    <row r="1891">
      <c r="A1891" s="78">
        <v>945.0</v>
      </c>
      <c r="B1891" s="78"/>
      <c r="C1891" s="138"/>
      <c r="D1891" s="78"/>
      <c r="E1891" s="78"/>
      <c r="F1891" s="78"/>
      <c r="G1891" s="78"/>
      <c r="H1891" s="78"/>
      <c r="I1891" s="78"/>
      <c r="J1891" s="78"/>
      <c r="K1891" s="78"/>
      <c r="L1891" s="78"/>
      <c r="M1891" s="78"/>
      <c r="N1891" s="78"/>
      <c r="O1891" s="78"/>
      <c r="P1891" s="78"/>
      <c r="Q1891" s="78"/>
      <c r="R1891" s="78"/>
      <c r="S1891" s="78"/>
      <c r="T1891" s="78"/>
      <c r="U1891" s="78"/>
      <c r="V1891" s="78"/>
      <c r="W1891" s="78"/>
      <c r="X1891" s="78"/>
      <c r="Y1891" s="78"/>
      <c r="Z1891" s="78"/>
    </row>
    <row r="1892">
      <c r="A1892" s="78">
        <v>946.0</v>
      </c>
      <c r="B1892" s="78"/>
      <c r="C1892" s="138"/>
      <c r="D1892" s="78"/>
      <c r="E1892" s="78"/>
      <c r="F1892" s="78"/>
      <c r="G1892" s="78"/>
      <c r="H1892" s="78"/>
      <c r="I1892" s="78"/>
      <c r="J1892" s="78"/>
      <c r="K1892" s="78"/>
      <c r="L1892" s="78"/>
      <c r="M1892" s="78"/>
      <c r="N1892" s="78"/>
      <c r="O1892" s="78"/>
      <c r="P1892" s="78"/>
      <c r="Q1892" s="78"/>
      <c r="R1892" s="78"/>
      <c r="S1892" s="78"/>
      <c r="T1892" s="78"/>
      <c r="U1892" s="78"/>
      <c r="V1892" s="78"/>
      <c r="W1892" s="78"/>
      <c r="X1892" s="78"/>
      <c r="Y1892" s="78"/>
      <c r="Z1892" s="78"/>
    </row>
    <row r="1893">
      <c r="A1893" s="78">
        <v>947.0</v>
      </c>
      <c r="B1893" s="78"/>
      <c r="C1893" s="138"/>
      <c r="D1893" s="78"/>
      <c r="E1893" s="78"/>
      <c r="F1893" s="78"/>
      <c r="G1893" s="78"/>
      <c r="H1893" s="78"/>
      <c r="I1893" s="78"/>
      <c r="J1893" s="78"/>
      <c r="K1893" s="78"/>
      <c r="L1893" s="78"/>
      <c r="M1893" s="78"/>
      <c r="N1893" s="78"/>
      <c r="O1893" s="78"/>
      <c r="P1893" s="78"/>
      <c r="Q1893" s="78"/>
      <c r="R1893" s="78"/>
      <c r="S1893" s="78"/>
      <c r="T1893" s="78"/>
      <c r="U1893" s="78"/>
      <c r="V1893" s="78"/>
      <c r="W1893" s="78"/>
      <c r="X1893" s="78"/>
      <c r="Y1893" s="78"/>
      <c r="Z1893" s="78"/>
    </row>
    <row r="1894">
      <c r="A1894" s="78">
        <v>948.0</v>
      </c>
      <c r="B1894" s="78"/>
      <c r="C1894" s="138"/>
      <c r="D1894" s="78"/>
      <c r="E1894" s="78"/>
      <c r="F1894" s="78"/>
      <c r="G1894" s="78"/>
      <c r="H1894" s="78"/>
      <c r="I1894" s="78"/>
      <c r="J1894" s="78"/>
      <c r="K1894" s="78"/>
      <c r="L1894" s="78"/>
      <c r="M1894" s="78"/>
      <c r="N1894" s="78"/>
      <c r="O1894" s="78"/>
      <c r="P1894" s="78"/>
      <c r="Q1894" s="78"/>
      <c r="R1894" s="78"/>
      <c r="S1894" s="78"/>
      <c r="T1894" s="78"/>
      <c r="U1894" s="78"/>
      <c r="V1894" s="78"/>
      <c r="W1894" s="78"/>
      <c r="X1894" s="78"/>
      <c r="Y1894" s="78"/>
      <c r="Z1894" s="78"/>
    </row>
    <row r="1895">
      <c r="A1895" s="78">
        <v>949.0</v>
      </c>
      <c r="B1895" s="78"/>
      <c r="C1895" s="138"/>
      <c r="D1895" s="78"/>
      <c r="E1895" s="78"/>
      <c r="F1895" s="78"/>
      <c r="G1895" s="78"/>
      <c r="H1895" s="78"/>
      <c r="I1895" s="78"/>
      <c r="J1895" s="78"/>
      <c r="K1895" s="78"/>
      <c r="L1895" s="78"/>
      <c r="M1895" s="78"/>
      <c r="N1895" s="78"/>
      <c r="O1895" s="78"/>
      <c r="P1895" s="78"/>
      <c r="Q1895" s="78"/>
      <c r="R1895" s="78"/>
      <c r="S1895" s="78"/>
      <c r="T1895" s="78"/>
      <c r="U1895" s="78"/>
      <c r="V1895" s="78"/>
      <c r="W1895" s="78"/>
      <c r="X1895" s="78"/>
      <c r="Y1895" s="78"/>
      <c r="Z1895" s="78"/>
    </row>
    <row r="1896">
      <c r="A1896" s="78">
        <v>950.0</v>
      </c>
      <c r="B1896" s="78"/>
      <c r="C1896" s="138"/>
      <c r="D1896" s="78"/>
      <c r="E1896" s="78"/>
      <c r="F1896" s="78"/>
      <c r="G1896" s="78"/>
      <c r="H1896" s="78"/>
      <c r="I1896" s="78"/>
      <c r="J1896" s="78"/>
      <c r="K1896" s="78"/>
      <c r="L1896" s="78"/>
      <c r="M1896" s="78"/>
      <c r="N1896" s="78"/>
      <c r="O1896" s="78"/>
      <c r="P1896" s="78"/>
      <c r="Q1896" s="78"/>
      <c r="R1896" s="78"/>
      <c r="S1896" s="78"/>
      <c r="T1896" s="78"/>
      <c r="U1896" s="78"/>
      <c r="V1896" s="78"/>
      <c r="W1896" s="78"/>
      <c r="X1896" s="78"/>
      <c r="Y1896" s="78"/>
      <c r="Z1896" s="78"/>
    </row>
    <row r="1897">
      <c r="A1897" s="78">
        <v>951.0</v>
      </c>
      <c r="B1897" s="78"/>
      <c r="C1897" s="138"/>
      <c r="D1897" s="78"/>
      <c r="E1897" s="78"/>
      <c r="F1897" s="78"/>
      <c r="G1897" s="78"/>
      <c r="H1897" s="78"/>
      <c r="I1897" s="78"/>
      <c r="J1897" s="78"/>
      <c r="K1897" s="78"/>
      <c r="L1897" s="78"/>
      <c r="M1897" s="78"/>
      <c r="N1897" s="78"/>
      <c r="O1897" s="78"/>
      <c r="P1897" s="78"/>
      <c r="Q1897" s="78"/>
      <c r="R1897" s="78"/>
      <c r="S1897" s="78"/>
      <c r="T1897" s="78"/>
      <c r="U1897" s="78"/>
      <c r="V1897" s="78"/>
      <c r="W1897" s="78"/>
      <c r="X1897" s="78"/>
      <c r="Y1897" s="78"/>
      <c r="Z1897" s="78"/>
    </row>
    <row r="1898">
      <c r="A1898" s="78">
        <v>952.0</v>
      </c>
      <c r="B1898" s="78"/>
      <c r="C1898" s="138"/>
      <c r="D1898" s="78"/>
      <c r="E1898" s="78"/>
      <c r="F1898" s="78"/>
      <c r="G1898" s="78"/>
      <c r="H1898" s="78"/>
      <c r="I1898" s="78"/>
      <c r="J1898" s="78"/>
      <c r="K1898" s="78"/>
      <c r="L1898" s="78"/>
      <c r="M1898" s="78"/>
      <c r="N1898" s="78"/>
      <c r="O1898" s="78"/>
      <c r="P1898" s="78"/>
      <c r="Q1898" s="78"/>
      <c r="R1898" s="78"/>
      <c r="S1898" s="78"/>
      <c r="T1898" s="78"/>
      <c r="U1898" s="78"/>
      <c r="V1898" s="78"/>
      <c r="W1898" s="78"/>
      <c r="X1898" s="78"/>
      <c r="Y1898" s="78"/>
      <c r="Z1898" s="78"/>
    </row>
    <row r="1899">
      <c r="A1899" s="78">
        <v>953.0</v>
      </c>
      <c r="B1899" s="78"/>
      <c r="C1899" s="138"/>
      <c r="D1899" s="78"/>
      <c r="E1899" s="78"/>
      <c r="F1899" s="78"/>
      <c r="G1899" s="78"/>
      <c r="H1899" s="78"/>
      <c r="I1899" s="78"/>
      <c r="J1899" s="78"/>
      <c r="K1899" s="78"/>
      <c r="L1899" s="78"/>
      <c r="M1899" s="78"/>
      <c r="N1899" s="78"/>
      <c r="O1899" s="78"/>
      <c r="P1899" s="78"/>
      <c r="Q1899" s="78"/>
      <c r="R1899" s="78"/>
      <c r="S1899" s="78"/>
      <c r="T1899" s="78"/>
      <c r="U1899" s="78"/>
      <c r="V1899" s="78"/>
      <c r="W1899" s="78"/>
      <c r="X1899" s="78"/>
      <c r="Y1899" s="78"/>
      <c r="Z1899" s="78"/>
    </row>
    <row r="1900">
      <c r="A1900" s="78">
        <v>954.0</v>
      </c>
      <c r="B1900" s="78"/>
      <c r="C1900" s="138"/>
      <c r="D1900" s="78"/>
      <c r="E1900" s="78"/>
      <c r="F1900" s="78"/>
      <c r="G1900" s="78"/>
      <c r="H1900" s="78"/>
      <c r="I1900" s="78"/>
      <c r="J1900" s="78"/>
      <c r="K1900" s="78"/>
      <c r="L1900" s="78"/>
      <c r="M1900" s="78"/>
      <c r="N1900" s="78"/>
      <c r="O1900" s="78"/>
      <c r="P1900" s="78"/>
      <c r="Q1900" s="78"/>
      <c r="R1900" s="78"/>
      <c r="S1900" s="78"/>
      <c r="T1900" s="78"/>
      <c r="U1900" s="78"/>
      <c r="V1900" s="78"/>
      <c r="W1900" s="78"/>
      <c r="X1900" s="78"/>
      <c r="Y1900" s="78"/>
      <c r="Z1900" s="78"/>
    </row>
    <row r="1901">
      <c r="A1901" s="78">
        <v>955.0</v>
      </c>
      <c r="B1901" s="78"/>
      <c r="C1901" s="138"/>
      <c r="D1901" s="78"/>
      <c r="E1901" s="78"/>
      <c r="F1901" s="78"/>
      <c r="G1901" s="78"/>
      <c r="H1901" s="78"/>
      <c r="I1901" s="78"/>
      <c r="J1901" s="78"/>
      <c r="K1901" s="78"/>
      <c r="L1901" s="78"/>
      <c r="M1901" s="78"/>
      <c r="N1901" s="78"/>
      <c r="O1901" s="78"/>
      <c r="P1901" s="78"/>
      <c r="Q1901" s="78"/>
      <c r="R1901" s="78"/>
      <c r="S1901" s="78"/>
      <c r="T1901" s="78"/>
      <c r="U1901" s="78"/>
      <c r="V1901" s="78"/>
      <c r="W1901" s="78"/>
      <c r="X1901" s="78"/>
      <c r="Y1901" s="78"/>
      <c r="Z1901" s="78"/>
    </row>
    <row r="1902">
      <c r="A1902" s="78">
        <v>956.0</v>
      </c>
      <c r="B1902" s="78"/>
      <c r="C1902" s="138"/>
      <c r="D1902" s="78"/>
      <c r="E1902" s="78"/>
      <c r="F1902" s="78"/>
      <c r="G1902" s="78"/>
      <c r="H1902" s="78"/>
      <c r="I1902" s="78"/>
      <c r="J1902" s="78"/>
      <c r="K1902" s="78"/>
      <c r="L1902" s="78"/>
      <c r="M1902" s="78"/>
      <c r="N1902" s="78"/>
      <c r="O1902" s="78"/>
      <c r="P1902" s="78"/>
      <c r="Q1902" s="78"/>
      <c r="R1902" s="78"/>
      <c r="S1902" s="78"/>
      <c r="T1902" s="78"/>
      <c r="U1902" s="78"/>
      <c r="V1902" s="78"/>
      <c r="W1902" s="78"/>
      <c r="X1902" s="78"/>
      <c r="Y1902" s="78"/>
      <c r="Z1902" s="78"/>
    </row>
    <row r="1903">
      <c r="A1903" s="78">
        <v>957.0</v>
      </c>
      <c r="B1903" s="78"/>
      <c r="C1903" s="138"/>
      <c r="D1903" s="78"/>
      <c r="E1903" s="78"/>
      <c r="F1903" s="78"/>
      <c r="G1903" s="78"/>
      <c r="H1903" s="78"/>
      <c r="I1903" s="78"/>
      <c r="J1903" s="78"/>
      <c r="K1903" s="78"/>
      <c r="L1903" s="78"/>
      <c r="M1903" s="78"/>
      <c r="N1903" s="78"/>
      <c r="O1903" s="78"/>
      <c r="P1903" s="78"/>
      <c r="Q1903" s="78"/>
      <c r="R1903" s="78"/>
      <c r="S1903" s="78"/>
      <c r="T1903" s="78"/>
      <c r="U1903" s="78"/>
      <c r="V1903" s="78"/>
      <c r="W1903" s="78"/>
      <c r="X1903" s="78"/>
      <c r="Y1903" s="78"/>
      <c r="Z1903" s="78"/>
    </row>
    <row r="1904">
      <c r="A1904" s="78">
        <v>958.0</v>
      </c>
      <c r="B1904" s="78"/>
      <c r="C1904" s="138"/>
      <c r="D1904" s="78"/>
      <c r="E1904" s="78"/>
      <c r="F1904" s="78"/>
      <c r="G1904" s="78"/>
      <c r="H1904" s="78"/>
      <c r="I1904" s="78"/>
      <c r="J1904" s="78"/>
      <c r="K1904" s="78"/>
      <c r="L1904" s="78"/>
      <c r="M1904" s="78"/>
      <c r="N1904" s="78"/>
      <c r="O1904" s="78"/>
      <c r="P1904" s="78"/>
      <c r="Q1904" s="78"/>
      <c r="R1904" s="78"/>
      <c r="S1904" s="78"/>
      <c r="T1904" s="78"/>
      <c r="U1904" s="78"/>
      <c r="V1904" s="78"/>
      <c r="W1904" s="78"/>
      <c r="X1904" s="78"/>
      <c r="Y1904" s="78"/>
      <c r="Z1904" s="78"/>
    </row>
    <row r="1905">
      <c r="A1905" s="78">
        <v>959.0</v>
      </c>
      <c r="B1905" s="78"/>
      <c r="C1905" s="138"/>
      <c r="D1905" s="78"/>
      <c r="E1905" s="78"/>
      <c r="F1905" s="78"/>
      <c r="G1905" s="78"/>
      <c r="H1905" s="78"/>
      <c r="I1905" s="78"/>
      <c r="J1905" s="78"/>
      <c r="K1905" s="78"/>
      <c r="L1905" s="78"/>
      <c r="M1905" s="78"/>
      <c r="N1905" s="78"/>
      <c r="O1905" s="78"/>
      <c r="P1905" s="78"/>
      <c r="Q1905" s="78"/>
      <c r="R1905" s="78"/>
      <c r="S1905" s="78"/>
      <c r="T1905" s="78"/>
      <c r="U1905" s="78"/>
      <c r="V1905" s="78"/>
      <c r="W1905" s="78"/>
      <c r="X1905" s="78"/>
      <c r="Y1905" s="78"/>
      <c r="Z1905" s="78"/>
    </row>
    <row r="1906">
      <c r="A1906" s="78">
        <v>960.0</v>
      </c>
      <c r="B1906" s="78"/>
      <c r="C1906" s="138"/>
      <c r="D1906" s="78"/>
      <c r="E1906" s="78"/>
      <c r="F1906" s="78"/>
      <c r="G1906" s="78"/>
      <c r="H1906" s="78"/>
      <c r="I1906" s="78"/>
      <c r="J1906" s="78"/>
      <c r="K1906" s="78"/>
      <c r="L1906" s="78"/>
      <c r="M1906" s="78"/>
      <c r="N1906" s="78"/>
      <c r="O1906" s="78"/>
      <c r="P1906" s="78"/>
      <c r="Q1906" s="78"/>
      <c r="R1906" s="78"/>
      <c r="S1906" s="78"/>
      <c r="T1906" s="78"/>
      <c r="U1906" s="78"/>
      <c r="V1906" s="78"/>
      <c r="W1906" s="78"/>
      <c r="X1906" s="78"/>
      <c r="Y1906" s="78"/>
      <c r="Z1906" s="78"/>
    </row>
    <row r="1907">
      <c r="A1907" s="78">
        <v>961.0</v>
      </c>
      <c r="B1907" s="78"/>
      <c r="C1907" s="138"/>
      <c r="D1907" s="78"/>
      <c r="E1907" s="78"/>
      <c r="F1907" s="78"/>
      <c r="G1907" s="78"/>
      <c r="H1907" s="78"/>
      <c r="I1907" s="78"/>
      <c r="J1907" s="78"/>
      <c r="K1907" s="78"/>
      <c r="L1907" s="78"/>
      <c r="M1907" s="78"/>
      <c r="N1907" s="78"/>
      <c r="O1907" s="78"/>
      <c r="P1907" s="78"/>
      <c r="Q1907" s="78"/>
      <c r="R1907" s="78"/>
      <c r="S1907" s="78"/>
      <c r="T1907" s="78"/>
      <c r="U1907" s="78"/>
      <c r="V1907" s="78"/>
      <c r="W1907" s="78"/>
      <c r="X1907" s="78"/>
      <c r="Y1907" s="78"/>
      <c r="Z1907" s="78"/>
    </row>
    <row r="1908">
      <c r="A1908" s="78">
        <v>962.0</v>
      </c>
      <c r="B1908" s="78"/>
      <c r="C1908" s="138"/>
      <c r="D1908" s="78"/>
      <c r="E1908" s="78"/>
      <c r="F1908" s="78"/>
      <c r="G1908" s="78"/>
      <c r="H1908" s="78"/>
      <c r="I1908" s="78"/>
      <c r="J1908" s="78"/>
      <c r="K1908" s="78"/>
      <c r="L1908" s="78"/>
      <c r="M1908" s="78"/>
      <c r="N1908" s="78"/>
      <c r="O1908" s="78"/>
      <c r="P1908" s="78"/>
      <c r="Q1908" s="78"/>
      <c r="R1908" s="78"/>
      <c r="S1908" s="78"/>
      <c r="T1908" s="78"/>
      <c r="U1908" s="78"/>
      <c r="V1908" s="78"/>
      <c r="W1908" s="78"/>
      <c r="X1908" s="78"/>
      <c r="Y1908" s="78"/>
      <c r="Z1908" s="78"/>
    </row>
    <row r="1909">
      <c r="A1909" s="78">
        <v>963.0</v>
      </c>
      <c r="B1909" s="78"/>
      <c r="C1909" s="138"/>
      <c r="D1909" s="78"/>
      <c r="E1909" s="78"/>
      <c r="F1909" s="78"/>
      <c r="G1909" s="78"/>
      <c r="H1909" s="78"/>
      <c r="I1909" s="78"/>
      <c r="J1909" s="78"/>
      <c r="K1909" s="78"/>
      <c r="L1909" s="78"/>
      <c r="M1909" s="78"/>
      <c r="N1909" s="78"/>
      <c r="O1909" s="78"/>
      <c r="P1909" s="78"/>
      <c r="Q1909" s="78"/>
      <c r="R1909" s="78"/>
      <c r="S1909" s="78"/>
      <c r="T1909" s="78"/>
      <c r="U1909" s="78"/>
      <c r="V1909" s="78"/>
      <c r="W1909" s="78"/>
      <c r="X1909" s="78"/>
      <c r="Y1909" s="78"/>
      <c r="Z1909" s="78"/>
    </row>
    <row r="1910">
      <c r="A1910" s="78">
        <v>964.0</v>
      </c>
      <c r="B1910" s="78"/>
      <c r="C1910" s="138"/>
      <c r="D1910" s="78"/>
      <c r="E1910" s="78"/>
      <c r="F1910" s="78"/>
      <c r="G1910" s="78"/>
      <c r="H1910" s="78"/>
      <c r="I1910" s="78"/>
      <c r="J1910" s="78"/>
      <c r="K1910" s="78"/>
      <c r="L1910" s="78"/>
      <c r="M1910" s="78"/>
      <c r="N1910" s="78"/>
      <c r="O1910" s="78"/>
      <c r="P1910" s="78"/>
      <c r="Q1910" s="78"/>
      <c r="R1910" s="78"/>
      <c r="S1910" s="78"/>
      <c r="T1910" s="78"/>
      <c r="U1910" s="78"/>
      <c r="V1910" s="78"/>
      <c r="W1910" s="78"/>
      <c r="X1910" s="78"/>
      <c r="Y1910" s="78"/>
      <c r="Z1910" s="78"/>
    </row>
    <row r="1911">
      <c r="A1911" s="78">
        <v>965.0</v>
      </c>
      <c r="B1911" s="78"/>
      <c r="C1911" s="138"/>
      <c r="D1911" s="78"/>
      <c r="E1911" s="78"/>
      <c r="F1911" s="78"/>
      <c r="G1911" s="78"/>
      <c r="H1911" s="78"/>
      <c r="I1911" s="78"/>
      <c r="J1911" s="78"/>
      <c r="K1911" s="78"/>
      <c r="L1911" s="78"/>
      <c r="M1911" s="78"/>
      <c r="N1911" s="78"/>
      <c r="O1911" s="78"/>
      <c r="P1911" s="78"/>
      <c r="Q1911" s="78"/>
      <c r="R1911" s="78"/>
      <c r="S1911" s="78"/>
      <c r="T1911" s="78"/>
      <c r="U1911" s="78"/>
      <c r="V1911" s="78"/>
      <c r="W1911" s="78"/>
      <c r="X1911" s="78"/>
      <c r="Y1911" s="78"/>
      <c r="Z1911" s="78"/>
    </row>
    <row r="1912">
      <c r="A1912" s="78">
        <v>966.0</v>
      </c>
      <c r="B1912" s="78"/>
      <c r="C1912" s="138"/>
      <c r="D1912" s="78"/>
      <c r="E1912" s="78"/>
      <c r="F1912" s="78"/>
      <c r="G1912" s="78"/>
      <c r="H1912" s="78"/>
      <c r="I1912" s="78"/>
      <c r="J1912" s="78"/>
      <c r="K1912" s="78"/>
      <c r="L1912" s="78"/>
      <c r="M1912" s="78"/>
      <c r="N1912" s="78"/>
      <c r="O1912" s="78"/>
      <c r="P1912" s="78"/>
      <c r="Q1912" s="78"/>
      <c r="R1912" s="78"/>
      <c r="S1912" s="78"/>
      <c r="T1912" s="78"/>
      <c r="U1912" s="78"/>
      <c r="V1912" s="78"/>
      <c r="W1912" s="78"/>
      <c r="X1912" s="78"/>
      <c r="Y1912" s="78"/>
      <c r="Z1912" s="78"/>
    </row>
    <row r="1913">
      <c r="A1913" s="78">
        <v>967.0</v>
      </c>
      <c r="B1913" s="78"/>
      <c r="C1913" s="138"/>
      <c r="D1913" s="78"/>
      <c r="E1913" s="78"/>
      <c r="F1913" s="78"/>
      <c r="G1913" s="78"/>
      <c r="H1913" s="78"/>
      <c r="I1913" s="78"/>
      <c r="J1913" s="78"/>
      <c r="K1913" s="78"/>
      <c r="L1913" s="78"/>
      <c r="M1913" s="78"/>
      <c r="N1913" s="78"/>
      <c r="O1913" s="78"/>
      <c r="P1913" s="78"/>
      <c r="Q1913" s="78"/>
      <c r="R1913" s="78"/>
      <c r="S1913" s="78"/>
      <c r="T1913" s="78"/>
      <c r="U1913" s="78"/>
      <c r="V1913" s="78"/>
      <c r="W1913" s="78"/>
      <c r="X1913" s="78"/>
      <c r="Y1913" s="78"/>
      <c r="Z1913" s="78"/>
    </row>
    <row r="1914">
      <c r="A1914" s="78">
        <v>968.0</v>
      </c>
      <c r="B1914" s="78"/>
      <c r="C1914" s="138"/>
      <c r="D1914" s="78"/>
      <c r="E1914" s="78"/>
      <c r="F1914" s="78"/>
      <c r="G1914" s="78"/>
      <c r="H1914" s="78"/>
      <c r="I1914" s="78"/>
      <c r="J1914" s="78"/>
      <c r="K1914" s="78"/>
      <c r="L1914" s="78"/>
      <c r="M1914" s="78"/>
      <c r="N1914" s="78"/>
      <c r="O1914" s="78"/>
      <c r="P1914" s="78"/>
      <c r="Q1914" s="78"/>
      <c r="R1914" s="78"/>
      <c r="S1914" s="78"/>
      <c r="T1914" s="78"/>
      <c r="U1914" s="78"/>
      <c r="V1914" s="78"/>
      <c r="W1914" s="78"/>
      <c r="X1914" s="78"/>
      <c r="Y1914" s="78"/>
      <c r="Z1914" s="78"/>
    </row>
    <row r="1915">
      <c r="A1915" s="78">
        <v>969.0</v>
      </c>
      <c r="B1915" s="78"/>
      <c r="C1915" s="138"/>
      <c r="D1915" s="78"/>
      <c r="E1915" s="78"/>
      <c r="F1915" s="78"/>
      <c r="G1915" s="78"/>
      <c r="H1915" s="78"/>
      <c r="I1915" s="78"/>
      <c r="J1915" s="78"/>
      <c r="K1915" s="78"/>
      <c r="L1915" s="78"/>
      <c r="M1915" s="78"/>
      <c r="N1915" s="78"/>
      <c r="O1915" s="78"/>
      <c r="P1915" s="78"/>
      <c r="Q1915" s="78"/>
      <c r="R1915" s="78"/>
      <c r="S1915" s="78"/>
      <c r="T1915" s="78"/>
      <c r="U1915" s="78"/>
      <c r="V1915" s="78"/>
      <c r="W1915" s="78"/>
      <c r="X1915" s="78"/>
      <c r="Y1915" s="78"/>
      <c r="Z1915" s="78"/>
    </row>
    <row r="1916">
      <c r="A1916" s="78">
        <v>970.0</v>
      </c>
      <c r="B1916" s="78"/>
      <c r="C1916" s="138"/>
      <c r="D1916" s="78"/>
      <c r="E1916" s="78"/>
      <c r="F1916" s="78"/>
      <c r="G1916" s="78"/>
      <c r="H1916" s="78"/>
      <c r="I1916" s="78"/>
      <c r="J1916" s="78"/>
      <c r="K1916" s="78"/>
      <c r="L1916" s="78"/>
      <c r="M1916" s="78"/>
      <c r="N1916" s="78"/>
      <c r="O1916" s="78"/>
      <c r="P1916" s="78"/>
      <c r="Q1916" s="78"/>
      <c r="R1916" s="78"/>
      <c r="S1916" s="78"/>
      <c r="T1916" s="78"/>
      <c r="U1916" s="78"/>
      <c r="V1916" s="78"/>
      <c r="W1916" s="78"/>
      <c r="X1916" s="78"/>
      <c r="Y1916" s="78"/>
      <c r="Z1916" s="78"/>
    </row>
    <row r="1917">
      <c r="A1917" s="78">
        <v>971.0</v>
      </c>
      <c r="B1917" s="78"/>
      <c r="C1917" s="138"/>
      <c r="D1917" s="78"/>
      <c r="E1917" s="78"/>
      <c r="F1917" s="78"/>
      <c r="G1917" s="78"/>
      <c r="H1917" s="78"/>
      <c r="I1917" s="78"/>
      <c r="J1917" s="78"/>
      <c r="K1917" s="78"/>
      <c r="L1917" s="78"/>
      <c r="M1917" s="78"/>
      <c r="N1917" s="78"/>
      <c r="O1917" s="78"/>
      <c r="P1917" s="78"/>
      <c r="Q1917" s="78"/>
      <c r="R1917" s="78"/>
      <c r="S1917" s="78"/>
      <c r="T1917" s="78"/>
      <c r="U1917" s="78"/>
      <c r="V1917" s="78"/>
      <c r="W1917" s="78"/>
      <c r="X1917" s="78"/>
      <c r="Y1917" s="78"/>
      <c r="Z1917" s="78"/>
    </row>
    <row r="1918">
      <c r="A1918" s="78">
        <v>972.0</v>
      </c>
      <c r="B1918" s="78"/>
      <c r="C1918" s="138"/>
      <c r="D1918" s="78"/>
      <c r="E1918" s="78"/>
      <c r="F1918" s="78"/>
      <c r="G1918" s="78"/>
      <c r="H1918" s="78"/>
      <c r="I1918" s="78"/>
      <c r="J1918" s="78"/>
      <c r="K1918" s="78"/>
      <c r="L1918" s="78"/>
      <c r="M1918" s="78"/>
      <c r="N1918" s="78"/>
      <c r="O1918" s="78"/>
      <c r="P1918" s="78"/>
      <c r="Q1918" s="78"/>
      <c r="R1918" s="78"/>
      <c r="S1918" s="78"/>
      <c r="T1918" s="78"/>
      <c r="U1918" s="78"/>
      <c r="V1918" s="78"/>
      <c r="W1918" s="78"/>
      <c r="X1918" s="78"/>
      <c r="Y1918" s="78"/>
      <c r="Z1918" s="78"/>
    </row>
    <row r="1919">
      <c r="A1919" s="78">
        <v>973.0</v>
      </c>
      <c r="B1919" s="78"/>
      <c r="C1919" s="138"/>
      <c r="D1919" s="78"/>
      <c r="E1919" s="78"/>
      <c r="F1919" s="78"/>
      <c r="G1919" s="78"/>
      <c r="H1919" s="78"/>
      <c r="I1919" s="78"/>
      <c r="J1919" s="78"/>
      <c r="K1919" s="78"/>
      <c r="L1919" s="78"/>
      <c r="M1919" s="78"/>
      <c r="N1919" s="78"/>
      <c r="O1919" s="78"/>
      <c r="P1919" s="78"/>
      <c r="Q1919" s="78"/>
      <c r="R1919" s="78"/>
      <c r="S1919" s="78"/>
      <c r="T1919" s="78"/>
      <c r="U1919" s="78"/>
      <c r="V1919" s="78"/>
      <c r="W1919" s="78"/>
      <c r="X1919" s="78"/>
      <c r="Y1919" s="78"/>
      <c r="Z1919" s="78"/>
    </row>
    <row r="1920">
      <c r="A1920" s="78">
        <v>974.0</v>
      </c>
      <c r="B1920" s="78"/>
      <c r="C1920" s="138"/>
      <c r="D1920" s="78"/>
      <c r="E1920" s="78"/>
      <c r="F1920" s="78"/>
      <c r="G1920" s="78"/>
      <c r="H1920" s="78"/>
      <c r="I1920" s="78"/>
      <c r="J1920" s="78"/>
      <c r="K1920" s="78"/>
      <c r="L1920" s="78"/>
      <c r="M1920" s="78"/>
      <c r="N1920" s="78"/>
      <c r="O1920" s="78"/>
      <c r="P1920" s="78"/>
      <c r="Q1920" s="78"/>
      <c r="R1920" s="78"/>
      <c r="S1920" s="78"/>
      <c r="T1920" s="78"/>
      <c r="U1920" s="78"/>
      <c r="V1920" s="78"/>
      <c r="W1920" s="78"/>
      <c r="X1920" s="78"/>
      <c r="Y1920" s="78"/>
      <c r="Z1920" s="78"/>
    </row>
    <row r="1921">
      <c r="A1921" s="78">
        <v>975.0</v>
      </c>
      <c r="B1921" s="78"/>
      <c r="C1921" s="138"/>
      <c r="D1921" s="78"/>
      <c r="E1921" s="78"/>
      <c r="F1921" s="78"/>
      <c r="G1921" s="78"/>
      <c r="H1921" s="78"/>
      <c r="I1921" s="78"/>
      <c r="J1921" s="78"/>
      <c r="K1921" s="78"/>
      <c r="L1921" s="78"/>
      <c r="M1921" s="78"/>
      <c r="N1921" s="78"/>
      <c r="O1921" s="78"/>
      <c r="P1921" s="78"/>
      <c r="Q1921" s="78"/>
      <c r="R1921" s="78"/>
      <c r="S1921" s="78"/>
      <c r="T1921" s="78"/>
      <c r="U1921" s="78"/>
      <c r="V1921" s="78"/>
      <c r="W1921" s="78"/>
      <c r="X1921" s="78"/>
      <c r="Y1921" s="78"/>
      <c r="Z1921" s="78"/>
    </row>
    <row r="1922">
      <c r="A1922" s="78">
        <v>976.0</v>
      </c>
      <c r="B1922" s="78"/>
      <c r="C1922" s="138"/>
      <c r="D1922" s="78"/>
      <c r="E1922" s="78"/>
      <c r="F1922" s="78"/>
      <c r="G1922" s="78"/>
      <c r="H1922" s="78"/>
      <c r="I1922" s="78"/>
      <c r="J1922" s="78"/>
      <c r="K1922" s="78"/>
      <c r="L1922" s="78"/>
      <c r="M1922" s="78"/>
      <c r="N1922" s="78"/>
      <c r="O1922" s="78"/>
      <c r="P1922" s="78"/>
      <c r="Q1922" s="78"/>
      <c r="R1922" s="78"/>
      <c r="S1922" s="78"/>
      <c r="T1922" s="78"/>
      <c r="U1922" s="78"/>
      <c r="V1922" s="78"/>
      <c r="W1922" s="78"/>
      <c r="X1922" s="78"/>
      <c r="Y1922" s="78"/>
      <c r="Z1922" s="78"/>
    </row>
    <row r="1923">
      <c r="A1923" s="78">
        <v>977.0</v>
      </c>
      <c r="B1923" s="78"/>
      <c r="C1923" s="138"/>
      <c r="D1923" s="78"/>
      <c r="E1923" s="78"/>
      <c r="F1923" s="78"/>
      <c r="G1923" s="78"/>
      <c r="H1923" s="78"/>
      <c r="I1923" s="78"/>
      <c r="J1923" s="78"/>
      <c r="K1923" s="78"/>
      <c r="L1923" s="78"/>
      <c r="M1923" s="78"/>
      <c r="N1923" s="78"/>
      <c r="O1923" s="78"/>
      <c r="P1923" s="78"/>
      <c r="Q1923" s="78"/>
      <c r="R1923" s="78"/>
      <c r="S1923" s="78"/>
      <c r="T1923" s="78"/>
      <c r="U1923" s="78"/>
      <c r="V1923" s="78"/>
      <c r="W1923" s="78"/>
      <c r="X1923" s="78"/>
      <c r="Y1923" s="78"/>
      <c r="Z1923" s="78"/>
    </row>
    <row r="1924">
      <c r="A1924" s="78">
        <v>978.0</v>
      </c>
      <c r="B1924" s="78"/>
      <c r="C1924" s="138"/>
      <c r="D1924" s="78"/>
      <c r="E1924" s="78"/>
      <c r="F1924" s="78"/>
      <c r="G1924" s="78"/>
      <c r="H1924" s="78"/>
      <c r="I1924" s="78"/>
      <c r="J1924" s="78"/>
      <c r="K1924" s="78"/>
      <c r="L1924" s="78"/>
      <c r="M1924" s="78"/>
      <c r="N1924" s="78"/>
      <c r="O1924" s="78"/>
      <c r="P1924" s="78"/>
      <c r="Q1924" s="78"/>
      <c r="R1924" s="78"/>
      <c r="S1924" s="78"/>
      <c r="T1924" s="78"/>
      <c r="U1924" s="78"/>
      <c r="V1924" s="78"/>
      <c r="W1924" s="78"/>
      <c r="X1924" s="78"/>
      <c r="Y1924" s="78"/>
      <c r="Z1924" s="78"/>
    </row>
    <row r="1925">
      <c r="A1925" s="78">
        <v>979.0</v>
      </c>
      <c r="B1925" s="78"/>
      <c r="C1925" s="138"/>
      <c r="D1925" s="78"/>
      <c r="E1925" s="78"/>
      <c r="F1925" s="78"/>
      <c r="G1925" s="78"/>
      <c r="H1925" s="78"/>
      <c r="I1925" s="78"/>
      <c r="J1925" s="78"/>
      <c r="K1925" s="78"/>
      <c r="L1925" s="78"/>
      <c r="M1925" s="78"/>
      <c r="N1925" s="78"/>
      <c r="O1925" s="78"/>
      <c r="P1925" s="78"/>
      <c r="Q1925" s="78"/>
      <c r="R1925" s="78"/>
      <c r="S1925" s="78"/>
      <c r="T1925" s="78"/>
      <c r="U1925" s="78"/>
      <c r="V1925" s="78"/>
      <c r="W1925" s="78"/>
      <c r="X1925" s="78"/>
      <c r="Y1925" s="78"/>
      <c r="Z1925" s="78"/>
    </row>
    <row r="1926">
      <c r="A1926" s="78">
        <v>980.0</v>
      </c>
      <c r="B1926" s="78"/>
      <c r="C1926" s="138"/>
      <c r="D1926" s="78"/>
      <c r="E1926" s="78"/>
      <c r="F1926" s="78"/>
      <c r="G1926" s="78"/>
      <c r="H1926" s="78"/>
      <c r="I1926" s="78"/>
      <c r="J1926" s="78"/>
      <c r="K1926" s="78"/>
      <c r="L1926" s="78"/>
      <c r="M1926" s="78"/>
      <c r="N1926" s="78"/>
      <c r="O1926" s="78"/>
      <c r="P1926" s="78"/>
      <c r="Q1926" s="78"/>
      <c r="R1926" s="78"/>
      <c r="S1926" s="78"/>
      <c r="T1926" s="78"/>
      <c r="U1926" s="78"/>
      <c r="V1926" s="78"/>
      <c r="W1926" s="78"/>
      <c r="X1926" s="78"/>
      <c r="Y1926" s="78"/>
      <c r="Z1926" s="78"/>
    </row>
    <row r="1927">
      <c r="A1927" s="78">
        <v>981.0</v>
      </c>
      <c r="B1927" s="78"/>
      <c r="C1927" s="138"/>
      <c r="D1927" s="78"/>
      <c r="E1927" s="78"/>
      <c r="F1927" s="78"/>
      <c r="G1927" s="78"/>
      <c r="H1927" s="78"/>
      <c r="I1927" s="78"/>
      <c r="J1927" s="78"/>
      <c r="K1927" s="78"/>
      <c r="L1927" s="78"/>
      <c r="M1927" s="78"/>
      <c r="N1927" s="78"/>
      <c r="O1927" s="78"/>
      <c r="P1927" s="78"/>
      <c r="Q1927" s="78"/>
      <c r="R1927" s="78"/>
      <c r="S1927" s="78"/>
      <c r="T1927" s="78"/>
      <c r="U1927" s="78"/>
      <c r="V1927" s="78"/>
      <c r="W1927" s="78"/>
      <c r="X1927" s="78"/>
      <c r="Y1927" s="78"/>
      <c r="Z1927" s="78"/>
    </row>
    <row r="1928">
      <c r="A1928" s="78">
        <v>982.0</v>
      </c>
      <c r="B1928" s="78"/>
      <c r="C1928" s="138"/>
      <c r="D1928" s="78"/>
      <c r="E1928" s="78"/>
      <c r="F1928" s="78"/>
      <c r="G1928" s="78"/>
      <c r="H1928" s="78"/>
      <c r="I1928" s="78"/>
      <c r="J1928" s="78"/>
      <c r="K1928" s="78"/>
      <c r="L1928" s="78"/>
      <c r="M1928" s="78"/>
      <c r="N1928" s="78"/>
      <c r="O1928" s="78"/>
      <c r="P1928" s="78"/>
      <c r="Q1928" s="78"/>
      <c r="R1928" s="78"/>
      <c r="S1928" s="78"/>
      <c r="T1928" s="78"/>
      <c r="U1928" s="78"/>
      <c r="V1928" s="78"/>
      <c r="W1928" s="78"/>
      <c r="X1928" s="78"/>
      <c r="Y1928" s="78"/>
      <c r="Z1928" s="78"/>
    </row>
    <row r="1929">
      <c r="A1929" s="78">
        <v>983.0</v>
      </c>
      <c r="B1929" s="78"/>
      <c r="C1929" s="138"/>
      <c r="D1929" s="78"/>
      <c r="E1929" s="78"/>
      <c r="F1929" s="78"/>
      <c r="G1929" s="78"/>
      <c r="H1929" s="78"/>
      <c r="I1929" s="78"/>
      <c r="J1929" s="78"/>
      <c r="K1929" s="78"/>
      <c r="L1929" s="78"/>
      <c r="M1929" s="78"/>
      <c r="N1929" s="78"/>
      <c r="O1929" s="78"/>
      <c r="P1929" s="78"/>
      <c r="Q1929" s="78"/>
      <c r="R1929" s="78"/>
      <c r="S1929" s="78"/>
      <c r="T1929" s="78"/>
      <c r="U1929" s="78"/>
      <c r="V1929" s="78"/>
      <c r="W1929" s="78"/>
      <c r="X1929" s="78"/>
      <c r="Y1929" s="78"/>
      <c r="Z1929" s="78"/>
    </row>
    <row r="1930">
      <c r="A1930" s="78">
        <v>984.0</v>
      </c>
      <c r="B1930" s="78"/>
      <c r="C1930" s="138"/>
      <c r="D1930" s="78"/>
      <c r="E1930" s="78"/>
      <c r="F1930" s="78"/>
      <c r="G1930" s="78"/>
      <c r="H1930" s="78"/>
      <c r="I1930" s="78"/>
      <c r="J1930" s="78"/>
      <c r="K1930" s="78"/>
      <c r="L1930" s="78"/>
      <c r="M1930" s="78"/>
      <c r="N1930" s="78"/>
      <c r="O1930" s="78"/>
      <c r="P1930" s="78"/>
      <c r="Q1930" s="78"/>
      <c r="R1930" s="78"/>
      <c r="S1930" s="78"/>
      <c r="T1930" s="78"/>
      <c r="U1930" s="78"/>
      <c r="V1930" s="78"/>
      <c r="W1930" s="78"/>
      <c r="X1930" s="78"/>
      <c r="Y1930" s="78"/>
      <c r="Z1930" s="78"/>
    </row>
    <row r="1931">
      <c r="A1931" s="78">
        <v>985.0</v>
      </c>
      <c r="B1931" s="78"/>
      <c r="C1931" s="138"/>
      <c r="D1931" s="78"/>
      <c r="E1931" s="78"/>
      <c r="F1931" s="78"/>
      <c r="G1931" s="78"/>
      <c r="H1931" s="78"/>
      <c r="I1931" s="78"/>
      <c r="J1931" s="78"/>
      <c r="K1931" s="78"/>
      <c r="L1931" s="78"/>
      <c r="M1931" s="78"/>
      <c r="N1931" s="78"/>
      <c r="O1931" s="78"/>
      <c r="P1931" s="78"/>
      <c r="Q1931" s="78"/>
      <c r="R1931" s="78"/>
      <c r="S1931" s="78"/>
      <c r="T1931" s="78"/>
      <c r="U1931" s="78"/>
      <c r="V1931" s="78"/>
      <c r="W1931" s="78"/>
      <c r="X1931" s="78"/>
      <c r="Y1931" s="78"/>
      <c r="Z1931" s="78"/>
    </row>
    <row r="1932">
      <c r="A1932" s="78">
        <v>986.0</v>
      </c>
      <c r="B1932" s="78"/>
      <c r="C1932" s="138"/>
      <c r="D1932" s="78"/>
      <c r="E1932" s="78"/>
      <c r="F1932" s="78"/>
      <c r="G1932" s="78"/>
      <c r="H1932" s="78"/>
      <c r="I1932" s="78"/>
      <c r="J1932" s="78"/>
      <c r="K1932" s="78"/>
      <c r="L1932" s="78"/>
      <c r="M1932" s="78"/>
      <c r="N1932" s="78"/>
      <c r="O1932" s="78"/>
      <c r="P1932" s="78"/>
      <c r="Q1932" s="78"/>
      <c r="R1932" s="78"/>
      <c r="S1932" s="78"/>
      <c r="T1932" s="78"/>
      <c r="U1932" s="78"/>
      <c r="V1932" s="78"/>
      <c r="W1932" s="78"/>
      <c r="X1932" s="78"/>
      <c r="Y1932" s="78"/>
      <c r="Z1932" s="78"/>
    </row>
    <row r="1933">
      <c r="A1933" s="78">
        <v>987.0</v>
      </c>
      <c r="B1933" s="78"/>
      <c r="C1933" s="138"/>
      <c r="D1933" s="78"/>
      <c r="E1933" s="78"/>
      <c r="F1933" s="78"/>
      <c r="G1933" s="78"/>
      <c r="H1933" s="78"/>
      <c r="I1933" s="78"/>
      <c r="J1933" s="78"/>
      <c r="K1933" s="78"/>
      <c r="L1933" s="78"/>
      <c r="M1933" s="78"/>
      <c r="N1933" s="78"/>
      <c r="O1933" s="78"/>
      <c r="P1933" s="78"/>
      <c r="Q1933" s="78"/>
      <c r="R1933" s="78"/>
      <c r="S1933" s="78"/>
      <c r="T1933" s="78"/>
      <c r="U1933" s="78"/>
      <c r="V1933" s="78"/>
      <c r="W1933" s="78"/>
      <c r="X1933" s="78"/>
      <c r="Y1933" s="78"/>
      <c r="Z1933" s="78"/>
    </row>
    <row r="1934">
      <c r="A1934" s="78">
        <v>988.0</v>
      </c>
      <c r="B1934" s="78"/>
      <c r="C1934" s="138"/>
      <c r="D1934" s="78"/>
      <c r="E1934" s="78"/>
      <c r="F1934" s="78"/>
      <c r="G1934" s="78"/>
      <c r="H1934" s="78"/>
      <c r="I1934" s="78"/>
      <c r="J1934" s="78"/>
      <c r="K1934" s="78"/>
      <c r="L1934" s="78"/>
      <c r="M1934" s="78"/>
      <c r="N1934" s="78"/>
      <c r="O1934" s="78"/>
      <c r="P1934" s="78"/>
      <c r="Q1934" s="78"/>
      <c r="R1934" s="78"/>
      <c r="S1934" s="78"/>
      <c r="T1934" s="78"/>
      <c r="U1934" s="78"/>
      <c r="V1934" s="78"/>
      <c r="W1934" s="78"/>
      <c r="X1934" s="78"/>
      <c r="Y1934" s="78"/>
      <c r="Z1934" s="78"/>
    </row>
    <row r="1935">
      <c r="A1935" s="78">
        <v>989.0</v>
      </c>
      <c r="B1935" s="78"/>
      <c r="C1935" s="138"/>
      <c r="D1935" s="78"/>
      <c r="E1935" s="78"/>
      <c r="F1935" s="78"/>
      <c r="G1935" s="78"/>
      <c r="H1935" s="78"/>
      <c r="I1935" s="78"/>
      <c r="J1935" s="78"/>
      <c r="K1935" s="78"/>
      <c r="L1935" s="78"/>
      <c r="M1935" s="78"/>
      <c r="N1935" s="78"/>
      <c r="O1935" s="78"/>
      <c r="P1935" s="78"/>
      <c r="Q1935" s="78"/>
      <c r="R1935" s="78"/>
      <c r="S1935" s="78"/>
      <c r="T1935" s="78"/>
      <c r="U1935" s="78"/>
      <c r="V1935" s="78"/>
      <c r="W1935" s="78"/>
      <c r="X1935" s="78"/>
      <c r="Y1935" s="78"/>
      <c r="Z1935" s="78"/>
    </row>
    <row r="1936">
      <c r="A1936" s="78">
        <v>990.0</v>
      </c>
      <c r="B1936" s="78"/>
      <c r="C1936" s="138"/>
      <c r="D1936" s="78"/>
      <c r="E1936" s="78"/>
      <c r="F1936" s="78"/>
      <c r="G1936" s="78"/>
      <c r="H1936" s="78"/>
      <c r="I1936" s="78"/>
      <c r="J1936" s="78"/>
      <c r="K1936" s="78"/>
      <c r="L1936" s="78"/>
      <c r="M1936" s="78"/>
      <c r="N1936" s="78"/>
      <c r="O1936" s="78"/>
      <c r="P1936" s="78"/>
      <c r="Q1936" s="78"/>
      <c r="R1936" s="78"/>
      <c r="S1936" s="78"/>
      <c r="T1936" s="78"/>
      <c r="U1936" s="78"/>
      <c r="V1936" s="78"/>
      <c r="W1936" s="78"/>
      <c r="X1936" s="78"/>
      <c r="Y1936" s="78"/>
      <c r="Z1936" s="78"/>
    </row>
    <row r="1937">
      <c r="A1937" s="78">
        <v>991.0</v>
      </c>
      <c r="B1937" s="78"/>
      <c r="C1937" s="138"/>
      <c r="D1937" s="78"/>
      <c r="E1937" s="78"/>
      <c r="F1937" s="78"/>
      <c r="G1937" s="78"/>
      <c r="H1937" s="78"/>
      <c r="I1937" s="78"/>
      <c r="J1937" s="78"/>
      <c r="K1937" s="78"/>
      <c r="L1937" s="78"/>
      <c r="M1937" s="78"/>
      <c r="N1937" s="78"/>
      <c r="O1937" s="78"/>
      <c r="P1937" s="78"/>
      <c r="Q1937" s="78"/>
      <c r="R1937" s="78"/>
      <c r="S1937" s="78"/>
      <c r="T1937" s="78"/>
      <c r="U1937" s="78"/>
      <c r="V1937" s="78"/>
      <c r="W1937" s="78"/>
      <c r="X1937" s="78"/>
      <c r="Y1937" s="78"/>
      <c r="Z1937" s="78"/>
    </row>
    <row r="1938">
      <c r="A1938" s="78">
        <v>992.0</v>
      </c>
      <c r="B1938" s="78"/>
      <c r="C1938" s="138"/>
      <c r="D1938" s="78"/>
      <c r="E1938" s="78"/>
      <c r="F1938" s="78"/>
      <c r="G1938" s="78"/>
      <c r="H1938" s="78"/>
      <c r="I1938" s="78"/>
      <c r="J1938" s="78"/>
      <c r="K1938" s="78"/>
      <c r="L1938" s="78"/>
      <c r="M1938" s="78"/>
      <c r="N1938" s="78"/>
      <c r="O1938" s="78"/>
      <c r="P1938" s="78"/>
      <c r="Q1938" s="78"/>
      <c r="R1938" s="78"/>
      <c r="S1938" s="78"/>
      <c r="T1938" s="78"/>
      <c r="U1938" s="78"/>
      <c r="V1938" s="78"/>
      <c r="W1938" s="78"/>
      <c r="X1938" s="78"/>
      <c r="Y1938" s="78"/>
      <c r="Z1938" s="78"/>
    </row>
    <row r="1939">
      <c r="A1939" s="78">
        <v>993.0</v>
      </c>
      <c r="B1939" s="78"/>
      <c r="C1939" s="138"/>
      <c r="D1939" s="78"/>
      <c r="E1939" s="78"/>
      <c r="F1939" s="78"/>
      <c r="G1939" s="78"/>
      <c r="H1939" s="78"/>
      <c r="I1939" s="78"/>
      <c r="J1939" s="78"/>
      <c r="K1939" s="78"/>
      <c r="L1939" s="78"/>
      <c r="M1939" s="78"/>
      <c r="N1939" s="78"/>
      <c r="O1939" s="78"/>
      <c r="P1939" s="78"/>
      <c r="Q1939" s="78"/>
      <c r="R1939" s="78"/>
      <c r="S1939" s="78"/>
      <c r="T1939" s="78"/>
      <c r="U1939" s="78"/>
      <c r="V1939" s="78"/>
      <c r="W1939" s="78"/>
      <c r="X1939" s="78"/>
      <c r="Y1939" s="78"/>
      <c r="Z1939" s="78"/>
    </row>
    <row r="1940">
      <c r="A1940" s="78">
        <v>994.0</v>
      </c>
      <c r="B1940" s="78"/>
      <c r="C1940" s="138"/>
      <c r="D1940" s="78"/>
      <c r="E1940" s="78"/>
      <c r="F1940" s="78"/>
      <c r="G1940" s="78"/>
      <c r="H1940" s="78"/>
      <c r="I1940" s="78"/>
      <c r="J1940" s="78"/>
      <c r="K1940" s="78"/>
      <c r="L1940" s="78"/>
      <c r="M1940" s="78"/>
      <c r="N1940" s="78"/>
      <c r="O1940" s="78"/>
      <c r="P1940" s="78"/>
      <c r="Q1940" s="78"/>
      <c r="R1940" s="78"/>
      <c r="S1940" s="78"/>
      <c r="T1940" s="78"/>
      <c r="U1940" s="78"/>
      <c r="V1940" s="78"/>
      <c r="W1940" s="78"/>
      <c r="X1940" s="78"/>
      <c r="Y1940" s="78"/>
      <c r="Z1940" s="78"/>
    </row>
    <row r="1941">
      <c r="A1941" s="78">
        <v>995.0</v>
      </c>
      <c r="B1941" s="78"/>
      <c r="C1941" s="138"/>
      <c r="D1941" s="78"/>
      <c r="E1941" s="78"/>
      <c r="F1941" s="78"/>
      <c r="G1941" s="78"/>
      <c r="H1941" s="78"/>
      <c r="I1941" s="78"/>
      <c r="J1941" s="78"/>
      <c r="K1941" s="78"/>
      <c r="L1941" s="78"/>
      <c r="M1941" s="78"/>
      <c r="N1941" s="78"/>
      <c r="O1941" s="78"/>
      <c r="P1941" s="78"/>
      <c r="Q1941" s="78"/>
      <c r="R1941" s="78"/>
      <c r="S1941" s="78"/>
      <c r="T1941" s="78"/>
      <c r="U1941" s="78"/>
      <c r="V1941" s="78"/>
      <c r="W1941" s="78"/>
      <c r="X1941" s="78"/>
      <c r="Y1941" s="78"/>
      <c r="Z1941" s="78"/>
    </row>
    <row r="1942">
      <c r="A1942" s="78">
        <v>996.0</v>
      </c>
      <c r="B1942" s="78"/>
      <c r="C1942" s="138"/>
      <c r="D1942" s="78"/>
      <c r="E1942" s="78"/>
      <c r="F1942" s="78"/>
      <c r="G1942" s="78"/>
      <c r="H1942" s="78"/>
      <c r="I1942" s="78"/>
      <c r="J1942" s="78"/>
      <c r="K1942" s="78"/>
      <c r="L1942" s="78"/>
      <c r="M1942" s="78"/>
      <c r="N1942" s="78"/>
      <c r="O1942" s="78"/>
      <c r="P1942" s="78"/>
      <c r="Q1942" s="78"/>
      <c r="R1942" s="78"/>
      <c r="S1942" s="78"/>
      <c r="T1942" s="78"/>
      <c r="U1942" s="78"/>
      <c r="V1942" s="78"/>
      <c r="W1942" s="78"/>
      <c r="X1942" s="78"/>
      <c r="Y1942" s="78"/>
      <c r="Z1942" s="78"/>
    </row>
    <row r="1943">
      <c r="A1943" s="78">
        <v>997.0</v>
      </c>
      <c r="B1943" s="78"/>
      <c r="C1943" s="138"/>
      <c r="D1943" s="78"/>
      <c r="E1943" s="78"/>
      <c r="F1943" s="78"/>
      <c r="G1943" s="78"/>
      <c r="H1943" s="78"/>
      <c r="I1943" s="78"/>
      <c r="J1943" s="78"/>
      <c r="K1943" s="78"/>
      <c r="L1943" s="78"/>
      <c r="M1943" s="78"/>
      <c r="N1943" s="78"/>
      <c r="O1943" s="78"/>
      <c r="P1943" s="78"/>
      <c r="Q1943" s="78"/>
      <c r="R1943" s="78"/>
      <c r="S1943" s="78"/>
      <c r="T1943" s="78"/>
      <c r="U1943" s="78"/>
      <c r="V1943" s="78"/>
      <c r="W1943" s="78"/>
      <c r="X1943" s="78"/>
      <c r="Y1943" s="78"/>
      <c r="Z1943" s="78"/>
    </row>
    <row r="1944">
      <c r="A1944" s="78">
        <v>998.0</v>
      </c>
      <c r="B1944" s="78"/>
      <c r="C1944" s="138"/>
      <c r="D1944" s="78"/>
      <c r="E1944" s="78"/>
      <c r="F1944" s="78"/>
      <c r="G1944" s="78"/>
      <c r="H1944" s="78"/>
      <c r="I1944" s="78"/>
      <c r="J1944" s="78"/>
      <c r="K1944" s="78"/>
      <c r="L1944" s="78"/>
      <c r="M1944" s="78"/>
      <c r="N1944" s="78"/>
      <c r="O1944" s="78"/>
      <c r="P1944" s="78"/>
      <c r="Q1944" s="78"/>
      <c r="R1944" s="78"/>
      <c r="S1944" s="78"/>
      <c r="T1944" s="78"/>
      <c r="U1944" s="78"/>
      <c r="V1944" s="78"/>
      <c r="W1944" s="78"/>
      <c r="X1944" s="78"/>
      <c r="Y1944" s="78"/>
      <c r="Z1944" s="78"/>
    </row>
    <row r="1945">
      <c r="A1945" s="78">
        <v>999.0</v>
      </c>
      <c r="B1945" s="78"/>
      <c r="C1945" s="138"/>
      <c r="D1945" s="78"/>
      <c r="E1945" s="78"/>
      <c r="F1945" s="78"/>
      <c r="G1945" s="78"/>
      <c r="H1945" s="78"/>
      <c r="I1945" s="78"/>
      <c r="J1945" s="78"/>
      <c r="K1945" s="78"/>
      <c r="L1945" s="78"/>
      <c r="M1945" s="78"/>
      <c r="N1945" s="78"/>
      <c r="O1945" s="78"/>
      <c r="P1945" s="78"/>
      <c r="Q1945" s="78"/>
      <c r="R1945" s="78"/>
      <c r="S1945" s="78"/>
      <c r="T1945" s="78"/>
      <c r="U1945" s="78"/>
      <c r="V1945" s="78"/>
      <c r="W1945" s="78"/>
      <c r="X1945" s="78"/>
      <c r="Y1945" s="78"/>
      <c r="Z1945" s="78"/>
    </row>
    <row r="1946">
      <c r="A1946" s="78">
        <v>1000.0</v>
      </c>
      <c r="B1946" s="78"/>
      <c r="C1946" s="138"/>
      <c r="D1946" s="78"/>
      <c r="E1946" s="78"/>
      <c r="F1946" s="78"/>
      <c r="G1946" s="78"/>
      <c r="H1946" s="78"/>
      <c r="I1946" s="78"/>
      <c r="J1946" s="78"/>
      <c r="K1946" s="78"/>
      <c r="L1946" s="78"/>
      <c r="M1946" s="78"/>
      <c r="N1946" s="78"/>
      <c r="O1946" s="78"/>
      <c r="P1946" s="78"/>
      <c r="Q1946" s="78"/>
      <c r="R1946" s="78"/>
      <c r="S1946" s="78"/>
      <c r="T1946" s="78"/>
      <c r="U1946" s="78"/>
      <c r="V1946" s="78"/>
      <c r="W1946" s="78"/>
      <c r="X1946" s="78"/>
      <c r="Y1946" s="78"/>
      <c r="Z1946" s="78"/>
    </row>
    <row r="1947">
      <c r="A1947" s="78">
        <v>1001.0</v>
      </c>
      <c r="B1947" s="78"/>
      <c r="C1947" s="138"/>
      <c r="D1947" s="78"/>
      <c r="E1947" s="78"/>
      <c r="F1947" s="78"/>
      <c r="G1947" s="78"/>
      <c r="H1947" s="78"/>
      <c r="I1947" s="78"/>
      <c r="J1947" s="78"/>
      <c r="K1947" s="78"/>
      <c r="L1947" s="78"/>
      <c r="M1947" s="78"/>
      <c r="N1947" s="78"/>
      <c r="O1947" s="78"/>
      <c r="P1947" s="78"/>
      <c r="Q1947" s="78"/>
      <c r="R1947" s="78"/>
      <c r="S1947" s="78"/>
      <c r="T1947" s="78"/>
      <c r="U1947" s="78"/>
      <c r="V1947" s="78"/>
      <c r="W1947" s="78"/>
      <c r="X1947" s="78"/>
      <c r="Y1947" s="78"/>
      <c r="Z1947" s="78"/>
    </row>
    <row r="1948">
      <c r="A1948" s="78">
        <v>1002.0</v>
      </c>
      <c r="B1948" s="78"/>
      <c r="C1948" s="138"/>
      <c r="D1948" s="78"/>
      <c r="E1948" s="78"/>
      <c r="F1948" s="78"/>
      <c r="G1948" s="78"/>
      <c r="H1948" s="78"/>
      <c r="I1948" s="78"/>
      <c r="J1948" s="78"/>
      <c r="K1948" s="78"/>
      <c r="L1948" s="78"/>
      <c r="M1948" s="78"/>
      <c r="N1948" s="78"/>
      <c r="O1948" s="78"/>
      <c r="P1948" s="78"/>
      <c r="Q1948" s="78"/>
      <c r="R1948" s="78"/>
      <c r="S1948" s="78"/>
      <c r="T1948" s="78"/>
      <c r="U1948" s="78"/>
      <c r="V1948" s="78"/>
      <c r="W1948" s="78"/>
      <c r="X1948" s="78"/>
      <c r="Y1948" s="78"/>
      <c r="Z1948" s="78"/>
    </row>
    <row r="1949">
      <c r="A1949" s="78">
        <v>1003.0</v>
      </c>
      <c r="B1949" s="78"/>
      <c r="C1949" s="138"/>
      <c r="D1949" s="78"/>
      <c r="E1949" s="78"/>
      <c r="F1949" s="78"/>
      <c r="G1949" s="78"/>
      <c r="H1949" s="78"/>
      <c r="I1949" s="78"/>
      <c r="J1949" s="78"/>
      <c r="K1949" s="78"/>
      <c r="L1949" s="78"/>
      <c r="M1949" s="78"/>
      <c r="N1949" s="78"/>
      <c r="O1949" s="78"/>
      <c r="P1949" s="78"/>
      <c r="Q1949" s="78"/>
      <c r="R1949" s="78"/>
      <c r="S1949" s="78"/>
      <c r="T1949" s="78"/>
      <c r="U1949" s="78"/>
      <c r="V1949" s="78"/>
      <c r="W1949" s="78"/>
      <c r="X1949" s="78"/>
      <c r="Y1949" s="78"/>
      <c r="Z1949" s="78"/>
    </row>
    <row r="1950">
      <c r="A1950" s="78">
        <v>1004.0</v>
      </c>
      <c r="B1950" s="78"/>
      <c r="C1950" s="138"/>
      <c r="D1950" s="78"/>
      <c r="E1950" s="78"/>
      <c r="F1950" s="78"/>
      <c r="G1950" s="78"/>
      <c r="H1950" s="78"/>
      <c r="I1950" s="78"/>
      <c r="J1950" s="78"/>
      <c r="K1950" s="78"/>
      <c r="L1950" s="78"/>
      <c r="M1950" s="78"/>
      <c r="N1950" s="78"/>
      <c r="O1950" s="78"/>
      <c r="P1950" s="78"/>
      <c r="Q1950" s="78"/>
      <c r="R1950" s="78"/>
      <c r="S1950" s="78"/>
      <c r="T1950" s="78"/>
      <c r="U1950" s="78"/>
      <c r="V1950" s="78"/>
      <c r="W1950" s="78"/>
      <c r="X1950" s="78"/>
      <c r="Y1950" s="78"/>
      <c r="Z1950" s="78"/>
    </row>
    <row r="1951">
      <c r="A1951" s="78">
        <v>1005.0</v>
      </c>
      <c r="B1951" s="78"/>
      <c r="C1951" s="138"/>
      <c r="D1951" s="78"/>
      <c r="E1951" s="78"/>
      <c r="F1951" s="78"/>
      <c r="G1951" s="78"/>
      <c r="H1951" s="78"/>
      <c r="I1951" s="78"/>
      <c r="J1951" s="78"/>
      <c r="K1951" s="78"/>
      <c r="L1951" s="78"/>
      <c r="M1951" s="78"/>
      <c r="N1951" s="78"/>
      <c r="O1951" s="78"/>
      <c r="P1951" s="78"/>
      <c r="Q1951" s="78"/>
      <c r="R1951" s="78"/>
      <c r="S1951" s="78"/>
      <c r="T1951" s="78"/>
      <c r="U1951" s="78"/>
      <c r="V1951" s="78"/>
      <c r="W1951" s="78"/>
      <c r="X1951" s="78"/>
      <c r="Y1951" s="78"/>
      <c r="Z1951" s="78"/>
    </row>
    <row r="1952">
      <c r="A1952" s="78">
        <v>1006.0</v>
      </c>
      <c r="B1952" s="78"/>
      <c r="C1952" s="138"/>
      <c r="D1952" s="78"/>
      <c r="E1952" s="78"/>
      <c r="F1952" s="78"/>
      <c r="G1952" s="78"/>
      <c r="H1952" s="78"/>
      <c r="I1952" s="78"/>
      <c r="J1952" s="78"/>
      <c r="K1952" s="78"/>
      <c r="L1952" s="78"/>
      <c r="M1952" s="78"/>
      <c r="N1952" s="78"/>
      <c r="O1952" s="78"/>
      <c r="P1952" s="78"/>
      <c r="Q1952" s="78"/>
      <c r="R1952" s="78"/>
      <c r="S1952" s="78"/>
      <c r="T1952" s="78"/>
      <c r="U1952" s="78"/>
      <c r="V1952" s="78"/>
      <c r="W1952" s="78"/>
      <c r="X1952" s="78"/>
      <c r="Y1952" s="78"/>
      <c r="Z1952" s="78"/>
    </row>
    <row r="1953">
      <c r="A1953" s="78">
        <v>1007.0</v>
      </c>
      <c r="B1953" s="78"/>
      <c r="C1953" s="138"/>
      <c r="D1953" s="78"/>
      <c r="E1953" s="78"/>
      <c r="F1953" s="78"/>
      <c r="G1953" s="78"/>
      <c r="H1953" s="78"/>
      <c r="I1953" s="78"/>
      <c r="J1953" s="78"/>
      <c r="K1953" s="78"/>
      <c r="L1953" s="78"/>
      <c r="M1953" s="78"/>
      <c r="N1953" s="78"/>
      <c r="O1953" s="78"/>
      <c r="P1953" s="78"/>
      <c r="Q1953" s="78"/>
      <c r="R1953" s="78"/>
      <c r="S1953" s="78"/>
      <c r="T1953" s="78"/>
      <c r="U1953" s="78"/>
      <c r="V1953" s="78"/>
      <c r="W1953" s="78"/>
      <c r="X1953" s="78"/>
      <c r="Y1953" s="78"/>
      <c r="Z1953" s="78"/>
    </row>
    <row r="1954">
      <c r="A1954" s="78"/>
      <c r="B1954" s="78"/>
      <c r="C1954" s="138"/>
      <c r="D1954" s="78"/>
      <c r="E1954" s="78"/>
      <c r="F1954" s="78"/>
      <c r="G1954" s="78"/>
      <c r="H1954" s="78"/>
      <c r="I1954" s="78"/>
      <c r="J1954" s="78"/>
      <c r="K1954" s="78"/>
      <c r="L1954" s="78"/>
      <c r="M1954" s="78"/>
      <c r="N1954" s="78"/>
      <c r="O1954" s="78"/>
      <c r="P1954" s="78"/>
      <c r="Q1954" s="78"/>
      <c r="R1954" s="78"/>
      <c r="S1954" s="78"/>
      <c r="T1954" s="78"/>
      <c r="U1954" s="78"/>
      <c r="V1954" s="78"/>
      <c r="W1954" s="78"/>
      <c r="X1954" s="78"/>
      <c r="Y1954" s="78"/>
      <c r="Z1954" s="78"/>
    </row>
    <row r="1955">
      <c r="A1955" s="78"/>
      <c r="B1955" s="78"/>
      <c r="C1955" s="138"/>
      <c r="D1955" s="78"/>
      <c r="E1955" s="78"/>
      <c r="F1955" s="78"/>
      <c r="G1955" s="78"/>
      <c r="H1955" s="78"/>
      <c r="I1955" s="78"/>
      <c r="J1955" s="78"/>
      <c r="K1955" s="78"/>
      <c r="L1955" s="78"/>
      <c r="M1955" s="78"/>
      <c r="N1955" s="78"/>
      <c r="O1955" s="78"/>
      <c r="P1955" s="78"/>
      <c r="Q1955" s="78"/>
      <c r="R1955" s="78"/>
      <c r="S1955" s="78"/>
      <c r="T1955" s="78"/>
      <c r="U1955" s="78"/>
      <c r="V1955" s="78"/>
      <c r="W1955" s="78"/>
      <c r="X1955" s="78"/>
      <c r="Y1955" s="78"/>
      <c r="Z1955" s="78"/>
    </row>
    <row r="1956">
      <c r="A1956" s="78"/>
      <c r="B1956" s="78"/>
      <c r="C1956" s="138"/>
      <c r="D1956" s="78"/>
      <c r="E1956" s="78"/>
      <c r="F1956" s="78"/>
      <c r="G1956" s="78"/>
      <c r="H1956" s="78"/>
      <c r="I1956" s="78"/>
      <c r="J1956" s="78"/>
      <c r="K1956" s="78"/>
      <c r="L1956" s="78"/>
      <c r="M1956" s="78"/>
      <c r="N1956" s="78"/>
      <c r="O1956" s="78"/>
      <c r="P1956" s="78"/>
      <c r="Q1956" s="78"/>
      <c r="R1956" s="78"/>
      <c r="S1956" s="78"/>
      <c r="T1956" s="78"/>
      <c r="U1956" s="78"/>
      <c r="V1956" s="78"/>
      <c r="W1956" s="78"/>
      <c r="X1956" s="78"/>
      <c r="Y1956" s="78"/>
      <c r="Z1956" s="78"/>
    </row>
    <row r="1957">
      <c r="A1957" s="78"/>
      <c r="B1957" s="78"/>
      <c r="C1957" s="138"/>
      <c r="D1957" s="78"/>
      <c r="E1957" s="78"/>
      <c r="F1957" s="78"/>
      <c r="G1957" s="78"/>
      <c r="H1957" s="78"/>
      <c r="I1957" s="78"/>
      <c r="J1957" s="78"/>
      <c r="K1957" s="78"/>
      <c r="L1957" s="78"/>
      <c r="M1957" s="78"/>
      <c r="N1957" s="78"/>
      <c r="O1957" s="78"/>
      <c r="P1957" s="78"/>
      <c r="Q1957" s="78"/>
      <c r="R1957" s="78"/>
      <c r="S1957" s="78"/>
      <c r="T1957" s="78"/>
      <c r="U1957" s="78"/>
      <c r="V1957" s="78"/>
      <c r="W1957" s="78"/>
      <c r="X1957" s="78"/>
      <c r="Y1957" s="78"/>
      <c r="Z1957" s="78"/>
    </row>
    <row r="1958">
      <c r="A1958" s="78"/>
      <c r="B1958" s="78"/>
      <c r="C1958" s="138"/>
      <c r="D1958" s="78"/>
      <c r="E1958" s="78"/>
      <c r="F1958" s="78"/>
      <c r="G1958" s="78"/>
      <c r="H1958" s="78"/>
      <c r="I1958" s="78"/>
      <c r="J1958" s="78"/>
      <c r="K1958" s="78"/>
      <c r="L1958" s="78"/>
      <c r="M1958" s="78"/>
      <c r="N1958" s="78"/>
      <c r="O1958" s="78"/>
      <c r="P1958" s="78"/>
      <c r="Q1958" s="78"/>
      <c r="R1958" s="78"/>
      <c r="S1958" s="78"/>
      <c r="T1958" s="78"/>
      <c r="U1958" s="78"/>
      <c r="V1958" s="78"/>
      <c r="W1958" s="78"/>
      <c r="X1958" s="78"/>
      <c r="Y1958" s="78"/>
      <c r="Z1958" s="78"/>
    </row>
    <row r="1959">
      <c r="A1959" s="78"/>
      <c r="B1959" s="78"/>
      <c r="C1959" s="138"/>
      <c r="D1959" s="78"/>
      <c r="E1959" s="78"/>
      <c r="F1959" s="78"/>
      <c r="G1959" s="78"/>
      <c r="H1959" s="78"/>
      <c r="I1959" s="78"/>
      <c r="J1959" s="78"/>
      <c r="K1959" s="78"/>
      <c r="L1959" s="78"/>
      <c r="M1959" s="78"/>
      <c r="N1959" s="78"/>
      <c r="O1959" s="78"/>
      <c r="P1959" s="78"/>
      <c r="Q1959" s="78"/>
      <c r="R1959" s="78"/>
      <c r="S1959" s="78"/>
      <c r="T1959" s="78"/>
      <c r="U1959" s="78"/>
      <c r="V1959" s="78"/>
      <c r="W1959" s="78"/>
      <c r="X1959" s="78"/>
      <c r="Y1959" s="78"/>
      <c r="Z1959" s="78"/>
    </row>
    <row r="1960">
      <c r="A1960" s="78"/>
      <c r="B1960" s="78"/>
      <c r="C1960" s="138"/>
      <c r="D1960" s="78"/>
      <c r="E1960" s="78"/>
      <c r="F1960" s="78"/>
      <c r="G1960" s="78"/>
      <c r="H1960" s="78"/>
      <c r="I1960" s="78"/>
      <c r="J1960" s="78"/>
      <c r="K1960" s="78"/>
      <c r="L1960" s="78"/>
      <c r="M1960" s="78"/>
      <c r="N1960" s="78"/>
      <c r="O1960" s="78"/>
      <c r="P1960" s="78"/>
      <c r="Q1960" s="78"/>
      <c r="R1960" s="78"/>
      <c r="S1960" s="78"/>
      <c r="T1960" s="78"/>
      <c r="U1960" s="78"/>
      <c r="V1960" s="78"/>
      <c r="W1960" s="78"/>
      <c r="X1960" s="78"/>
      <c r="Y1960" s="78"/>
      <c r="Z1960" s="78"/>
    </row>
    <row r="1961">
      <c r="A1961" s="78"/>
      <c r="B1961" s="78"/>
      <c r="C1961" s="138"/>
      <c r="D1961" s="78"/>
      <c r="E1961" s="78"/>
      <c r="F1961" s="78"/>
      <c r="G1961" s="78"/>
      <c r="H1961" s="78"/>
      <c r="I1961" s="78"/>
      <c r="J1961" s="78"/>
      <c r="K1961" s="78"/>
      <c r="L1961" s="78"/>
      <c r="M1961" s="78"/>
      <c r="N1961" s="78"/>
      <c r="O1961" s="78"/>
      <c r="P1961" s="78"/>
      <c r="Q1961" s="78"/>
      <c r="R1961" s="78"/>
      <c r="S1961" s="78"/>
      <c r="T1961" s="78"/>
      <c r="U1961" s="78"/>
      <c r="V1961" s="78"/>
      <c r="W1961" s="78"/>
      <c r="X1961" s="78"/>
      <c r="Y1961" s="78"/>
      <c r="Z1961" s="78"/>
    </row>
    <row r="1962">
      <c r="A1962" s="78"/>
      <c r="B1962" s="78"/>
      <c r="C1962" s="138"/>
      <c r="D1962" s="78"/>
      <c r="E1962" s="78"/>
      <c r="F1962" s="78"/>
      <c r="G1962" s="78"/>
      <c r="H1962" s="78"/>
      <c r="I1962" s="78"/>
      <c r="J1962" s="78"/>
      <c r="K1962" s="78"/>
      <c r="L1962" s="78"/>
      <c r="M1962" s="78"/>
      <c r="N1962" s="78"/>
      <c r="O1962" s="78"/>
      <c r="P1962" s="78"/>
      <c r="Q1962" s="78"/>
      <c r="R1962" s="78"/>
      <c r="S1962" s="78"/>
      <c r="T1962" s="78"/>
      <c r="U1962" s="78"/>
      <c r="V1962" s="78"/>
      <c r="W1962" s="78"/>
      <c r="X1962" s="78"/>
      <c r="Y1962" s="78"/>
      <c r="Z1962" s="78"/>
    </row>
    <row r="1963">
      <c r="A1963" s="78"/>
      <c r="B1963" s="78"/>
      <c r="C1963" s="138"/>
      <c r="D1963" s="78"/>
      <c r="E1963" s="78"/>
      <c r="F1963" s="78"/>
      <c r="G1963" s="78"/>
      <c r="H1963" s="78"/>
      <c r="I1963" s="78"/>
      <c r="J1963" s="78"/>
      <c r="K1963" s="78"/>
      <c r="L1963" s="78"/>
      <c r="M1963" s="78"/>
      <c r="N1963" s="78"/>
      <c r="O1963" s="78"/>
      <c r="P1963" s="78"/>
      <c r="Q1963" s="78"/>
      <c r="R1963" s="78"/>
      <c r="S1963" s="78"/>
      <c r="T1963" s="78"/>
      <c r="U1963" s="78"/>
      <c r="V1963" s="78"/>
      <c r="W1963" s="78"/>
      <c r="X1963" s="78"/>
      <c r="Y1963" s="78"/>
      <c r="Z1963" s="78"/>
    </row>
    <row r="1964">
      <c r="A1964" s="78"/>
      <c r="B1964" s="78"/>
      <c r="C1964" s="138"/>
      <c r="D1964" s="78"/>
      <c r="E1964" s="78"/>
      <c r="F1964" s="78"/>
      <c r="G1964" s="78"/>
      <c r="H1964" s="78"/>
      <c r="I1964" s="78"/>
      <c r="J1964" s="78"/>
      <c r="K1964" s="78"/>
      <c r="L1964" s="78"/>
      <c r="M1964" s="78"/>
      <c r="N1964" s="78"/>
      <c r="O1964" s="78"/>
      <c r="P1964" s="78"/>
      <c r="Q1964" s="78"/>
      <c r="R1964" s="78"/>
      <c r="S1964" s="78"/>
      <c r="T1964" s="78"/>
      <c r="U1964" s="78"/>
      <c r="V1964" s="78"/>
      <c r="W1964" s="78"/>
      <c r="X1964" s="78"/>
      <c r="Y1964" s="78"/>
      <c r="Z1964" s="78"/>
    </row>
    <row r="1965">
      <c r="A1965" s="78"/>
      <c r="B1965" s="78"/>
      <c r="C1965" s="138"/>
      <c r="D1965" s="78"/>
      <c r="E1965" s="78"/>
      <c r="F1965" s="78"/>
      <c r="G1965" s="78"/>
      <c r="H1965" s="78"/>
      <c r="I1965" s="78"/>
      <c r="J1965" s="78"/>
      <c r="K1965" s="78"/>
      <c r="L1965" s="78"/>
      <c r="M1965" s="78"/>
      <c r="N1965" s="78"/>
      <c r="O1965" s="78"/>
      <c r="P1965" s="78"/>
      <c r="Q1965" s="78"/>
      <c r="R1965" s="78"/>
      <c r="S1965" s="78"/>
      <c r="T1965" s="78"/>
      <c r="U1965" s="78"/>
      <c r="V1965" s="78"/>
      <c r="W1965" s="78"/>
      <c r="X1965" s="78"/>
      <c r="Y1965" s="78"/>
      <c r="Z1965" s="78"/>
    </row>
    <row r="1966">
      <c r="A1966" s="78"/>
      <c r="B1966" s="78"/>
      <c r="C1966" s="138"/>
      <c r="D1966" s="78"/>
      <c r="E1966" s="78"/>
      <c r="F1966" s="78"/>
      <c r="G1966" s="78"/>
      <c r="H1966" s="78"/>
      <c r="I1966" s="78"/>
      <c r="J1966" s="78"/>
      <c r="K1966" s="78"/>
      <c r="L1966" s="78"/>
      <c r="M1966" s="78"/>
      <c r="N1966" s="78"/>
      <c r="O1966" s="78"/>
      <c r="P1966" s="78"/>
      <c r="Q1966" s="78"/>
      <c r="R1966" s="78"/>
      <c r="S1966" s="78"/>
      <c r="T1966" s="78"/>
      <c r="U1966" s="78"/>
      <c r="V1966" s="78"/>
      <c r="W1966" s="78"/>
      <c r="X1966" s="78"/>
      <c r="Y1966" s="78"/>
      <c r="Z1966" s="78"/>
    </row>
    <row r="1967">
      <c r="A1967" s="78"/>
      <c r="B1967" s="78"/>
      <c r="C1967" s="138"/>
      <c r="D1967" s="78"/>
      <c r="E1967" s="78"/>
      <c r="F1967" s="78"/>
      <c r="G1967" s="78"/>
      <c r="H1967" s="78"/>
      <c r="I1967" s="78"/>
      <c r="J1967" s="78"/>
      <c r="K1967" s="78"/>
      <c r="L1967" s="78"/>
      <c r="M1967" s="78"/>
      <c r="N1967" s="78"/>
      <c r="O1967" s="78"/>
      <c r="P1967" s="78"/>
      <c r="Q1967" s="78"/>
      <c r="R1967" s="78"/>
      <c r="S1967" s="78"/>
      <c r="T1967" s="78"/>
      <c r="U1967" s="78"/>
      <c r="V1967" s="78"/>
      <c r="W1967" s="78"/>
      <c r="X1967" s="78"/>
      <c r="Y1967" s="78"/>
      <c r="Z1967" s="78"/>
    </row>
    <row r="1968">
      <c r="A1968" s="78"/>
      <c r="B1968" s="78"/>
      <c r="C1968" s="138"/>
      <c r="D1968" s="78"/>
      <c r="E1968" s="78"/>
      <c r="F1968" s="78"/>
      <c r="G1968" s="78"/>
      <c r="H1968" s="78"/>
      <c r="I1968" s="78"/>
      <c r="J1968" s="78"/>
      <c r="K1968" s="78"/>
      <c r="L1968" s="78"/>
      <c r="M1968" s="78"/>
      <c r="N1968" s="78"/>
      <c r="O1968" s="78"/>
      <c r="P1968" s="78"/>
      <c r="Q1968" s="78"/>
      <c r="R1968" s="78"/>
      <c r="S1968" s="78"/>
      <c r="T1968" s="78"/>
      <c r="U1968" s="78"/>
      <c r="V1968" s="78"/>
      <c r="W1968" s="78"/>
      <c r="X1968" s="78"/>
      <c r="Y1968" s="78"/>
      <c r="Z1968" s="78"/>
    </row>
    <row r="1969">
      <c r="A1969" s="78"/>
      <c r="B1969" s="78"/>
      <c r="C1969" s="138"/>
      <c r="D1969" s="78"/>
      <c r="E1969" s="78"/>
      <c r="F1969" s="78"/>
      <c r="G1969" s="78"/>
      <c r="H1969" s="78"/>
      <c r="I1969" s="78"/>
      <c r="J1969" s="78"/>
      <c r="K1969" s="78"/>
      <c r="L1969" s="78"/>
      <c r="M1969" s="78"/>
      <c r="N1969" s="78"/>
      <c r="O1969" s="78"/>
      <c r="P1969" s="78"/>
      <c r="Q1969" s="78"/>
      <c r="R1969" s="78"/>
      <c r="S1969" s="78"/>
      <c r="T1969" s="78"/>
      <c r="U1969" s="78"/>
      <c r="V1969" s="78"/>
      <c r="W1969" s="78"/>
      <c r="X1969" s="78"/>
      <c r="Y1969" s="78"/>
      <c r="Z1969" s="78"/>
    </row>
    <row r="1970">
      <c r="A1970" s="78"/>
      <c r="B1970" s="78"/>
      <c r="C1970" s="138"/>
      <c r="D1970" s="78"/>
      <c r="E1970" s="78"/>
      <c r="F1970" s="78"/>
      <c r="G1970" s="78"/>
      <c r="H1970" s="78"/>
      <c r="I1970" s="78"/>
      <c r="J1970" s="78"/>
      <c r="K1970" s="78"/>
      <c r="L1970" s="78"/>
      <c r="M1970" s="78"/>
      <c r="N1970" s="78"/>
      <c r="O1970" s="78"/>
      <c r="P1970" s="78"/>
      <c r="Q1970" s="78"/>
      <c r="R1970" s="78"/>
      <c r="S1970" s="78"/>
      <c r="T1970" s="78"/>
      <c r="U1970" s="78"/>
      <c r="V1970" s="78"/>
      <c r="W1970" s="78"/>
      <c r="X1970" s="78"/>
      <c r="Y1970" s="78"/>
      <c r="Z1970" s="78"/>
    </row>
    <row r="1971">
      <c r="A1971" s="78"/>
      <c r="B1971" s="78"/>
      <c r="C1971" s="138"/>
      <c r="D1971" s="78"/>
      <c r="E1971" s="78"/>
      <c r="F1971" s="78"/>
      <c r="G1971" s="78"/>
      <c r="H1971" s="78"/>
      <c r="I1971" s="78"/>
      <c r="J1971" s="78"/>
      <c r="K1971" s="78"/>
      <c r="L1971" s="78"/>
      <c r="M1971" s="78"/>
      <c r="N1971" s="78"/>
      <c r="O1971" s="78"/>
      <c r="P1971" s="78"/>
      <c r="Q1971" s="78"/>
      <c r="R1971" s="78"/>
      <c r="S1971" s="78"/>
      <c r="T1971" s="78"/>
      <c r="U1971" s="78"/>
      <c r="V1971" s="78"/>
      <c r="W1971" s="78"/>
      <c r="X1971" s="78"/>
      <c r="Y1971" s="78"/>
      <c r="Z1971" s="78"/>
    </row>
    <row r="1972">
      <c r="A1972" s="78"/>
      <c r="B1972" s="78"/>
      <c r="C1972" s="138"/>
      <c r="D1972" s="78"/>
      <c r="E1972" s="78"/>
      <c r="F1972" s="78"/>
      <c r="G1972" s="78"/>
      <c r="H1972" s="78"/>
      <c r="I1972" s="78"/>
      <c r="J1972" s="78"/>
      <c r="K1972" s="78"/>
      <c r="L1972" s="78"/>
      <c r="M1972" s="78"/>
      <c r="N1972" s="78"/>
      <c r="O1972" s="78"/>
      <c r="P1972" s="78"/>
      <c r="Q1972" s="78"/>
      <c r="R1972" s="78"/>
      <c r="S1972" s="78"/>
      <c r="T1972" s="78"/>
      <c r="U1972" s="78"/>
      <c r="V1972" s="78"/>
      <c r="W1972" s="78"/>
      <c r="X1972" s="78"/>
      <c r="Y1972" s="78"/>
      <c r="Z1972" s="78"/>
    </row>
    <row r="1973">
      <c r="A1973" s="78"/>
      <c r="B1973" s="78"/>
      <c r="C1973" s="138"/>
      <c r="D1973" s="78"/>
      <c r="E1973" s="78"/>
      <c r="F1973" s="78"/>
      <c r="G1973" s="78"/>
      <c r="H1973" s="78"/>
      <c r="I1973" s="78"/>
      <c r="J1973" s="78"/>
      <c r="K1973" s="78"/>
      <c r="L1973" s="78"/>
      <c r="M1973" s="78"/>
      <c r="N1973" s="78"/>
      <c r="O1973" s="78"/>
      <c r="P1973" s="78"/>
      <c r="Q1973" s="78"/>
      <c r="R1973" s="78"/>
      <c r="S1973" s="78"/>
      <c r="T1973" s="78"/>
      <c r="U1973" s="78"/>
      <c r="V1973" s="78"/>
      <c r="W1973" s="78"/>
      <c r="X1973" s="78"/>
      <c r="Y1973" s="78"/>
      <c r="Z1973" s="78"/>
    </row>
    <row r="1974">
      <c r="A1974" s="78"/>
      <c r="B1974" s="78"/>
      <c r="C1974" s="138"/>
      <c r="D1974" s="78"/>
      <c r="E1974" s="78"/>
      <c r="F1974" s="78"/>
      <c r="G1974" s="78"/>
      <c r="H1974" s="78"/>
      <c r="I1974" s="78"/>
      <c r="J1974" s="78"/>
      <c r="K1974" s="78"/>
      <c r="L1974" s="78"/>
      <c r="M1974" s="78"/>
      <c r="N1974" s="78"/>
      <c r="O1974" s="78"/>
      <c r="P1974" s="78"/>
      <c r="Q1974" s="78"/>
      <c r="R1974" s="78"/>
      <c r="S1974" s="78"/>
      <c r="T1974" s="78"/>
      <c r="U1974" s="78"/>
      <c r="V1974" s="78"/>
      <c r="W1974" s="78"/>
      <c r="X1974" s="78"/>
      <c r="Y1974" s="78"/>
      <c r="Z1974" s="78"/>
    </row>
    <row r="1975">
      <c r="A1975" s="78"/>
      <c r="B1975" s="78"/>
      <c r="C1975" s="138"/>
      <c r="D1975" s="78"/>
      <c r="E1975" s="78"/>
      <c r="F1975" s="78"/>
      <c r="G1975" s="78"/>
      <c r="H1975" s="78"/>
      <c r="I1975" s="78"/>
      <c r="J1975" s="78"/>
      <c r="K1975" s="78"/>
      <c r="L1975" s="78"/>
      <c r="M1975" s="78"/>
      <c r="N1975" s="78"/>
      <c r="O1975" s="78"/>
      <c r="P1975" s="78"/>
      <c r="Q1975" s="78"/>
      <c r="R1975" s="78"/>
      <c r="S1975" s="78"/>
      <c r="T1975" s="78"/>
      <c r="U1975" s="78"/>
      <c r="V1975" s="78"/>
      <c r="W1975" s="78"/>
      <c r="X1975" s="78"/>
      <c r="Y1975" s="78"/>
      <c r="Z1975" s="78"/>
    </row>
    <row r="1976">
      <c r="A1976" s="78"/>
      <c r="B1976" s="78"/>
      <c r="C1976" s="138"/>
      <c r="D1976" s="78"/>
      <c r="E1976" s="78"/>
      <c r="F1976" s="78"/>
      <c r="G1976" s="78"/>
      <c r="H1976" s="78"/>
      <c r="I1976" s="78"/>
      <c r="J1976" s="78"/>
      <c r="K1976" s="78"/>
      <c r="L1976" s="78"/>
      <c r="M1976" s="78"/>
      <c r="N1976" s="78"/>
      <c r="O1976" s="78"/>
      <c r="P1976" s="78"/>
      <c r="Q1976" s="78"/>
      <c r="R1976" s="78"/>
      <c r="S1976" s="78"/>
      <c r="T1976" s="78"/>
      <c r="U1976" s="78"/>
      <c r="V1976" s="78"/>
      <c r="W1976" s="78"/>
      <c r="X1976" s="78"/>
      <c r="Y1976" s="78"/>
      <c r="Z1976" s="78"/>
    </row>
    <row r="1977">
      <c r="A1977" s="78"/>
      <c r="B1977" s="78"/>
      <c r="C1977" s="138"/>
      <c r="D1977" s="78"/>
      <c r="E1977" s="78"/>
      <c r="F1977" s="78"/>
      <c r="G1977" s="78"/>
      <c r="H1977" s="78"/>
      <c r="I1977" s="78"/>
      <c r="J1977" s="78"/>
      <c r="K1977" s="78"/>
      <c r="L1977" s="78"/>
      <c r="M1977" s="78"/>
      <c r="N1977" s="78"/>
      <c r="O1977" s="78"/>
      <c r="P1977" s="78"/>
      <c r="Q1977" s="78"/>
      <c r="R1977" s="78"/>
      <c r="S1977" s="78"/>
      <c r="T1977" s="78"/>
      <c r="U1977" s="78"/>
      <c r="V1977" s="78"/>
      <c r="W1977" s="78"/>
      <c r="X1977" s="78"/>
      <c r="Y1977" s="78"/>
      <c r="Z1977" s="78"/>
    </row>
    <row r="1978">
      <c r="A1978" s="78"/>
      <c r="B1978" s="78"/>
      <c r="C1978" s="138"/>
      <c r="D1978" s="78"/>
      <c r="E1978" s="78"/>
      <c r="F1978" s="78"/>
      <c r="G1978" s="78"/>
      <c r="H1978" s="78"/>
      <c r="I1978" s="78"/>
      <c r="J1978" s="78"/>
      <c r="K1978" s="78"/>
      <c r="L1978" s="78"/>
      <c r="M1978" s="78"/>
      <c r="N1978" s="78"/>
      <c r="O1978" s="78"/>
      <c r="P1978" s="78"/>
      <c r="Q1978" s="78"/>
      <c r="R1978" s="78"/>
      <c r="S1978" s="78"/>
      <c r="T1978" s="78"/>
      <c r="U1978" s="78"/>
      <c r="V1978" s="78"/>
      <c r="W1978" s="78"/>
      <c r="X1978" s="78"/>
      <c r="Y1978" s="78"/>
      <c r="Z1978" s="78"/>
    </row>
    <row r="1979">
      <c r="A1979" s="78"/>
      <c r="B1979" s="78"/>
      <c r="C1979" s="138"/>
      <c r="D1979" s="78"/>
      <c r="E1979" s="78"/>
      <c r="F1979" s="78"/>
      <c r="G1979" s="78"/>
      <c r="H1979" s="78"/>
      <c r="I1979" s="78"/>
      <c r="J1979" s="78"/>
      <c r="K1979" s="78"/>
      <c r="L1979" s="78"/>
      <c r="M1979" s="78"/>
      <c r="N1979" s="78"/>
      <c r="O1979" s="78"/>
      <c r="P1979" s="78"/>
      <c r="Q1979" s="78"/>
      <c r="R1979" s="78"/>
      <c r="S1979" s="78"/>
      <c r="T1979" s="78"/>
      <c r="U1979" s="78"/>
      <c r="V1979" s="78"/>
      <c r="W1979" s="78"/>
      <c r="X1979" s="78"/>
      <c r="Y1979" s="78"/>
      <c r="Z1979" s="78"/>
    </row>
    <row r="1980">
      <c r="A1980" s="78"/>
      <c r="B1980" s="78"/>
      <c r="C1980" s="138"/>
      <c r="D1980" s="78"/>
      <c r="E1980" s="78"/>
      <c r="F1980" s="78"/>
      <c r="G1980" s="78"/>
      <c r="H1980" s="78"/>
      <c r="I1980" s="78"/>
      <c r="J1980" s="78"/>
      <c r="K1980" s="78"/>
      <c r="L1980" s="78"/>
      <c r="M1980" s="78"/>
      <c r="N1980" s="78"/>
      <c r="O1980" s="78"/>
      <c r="P1980" s="78"/>
      <c r="Q1980" s="78"/>
      <c r="R1980" s="78"/>
      <c r="S1980" s="78"/>
      <c r="T1980" s="78"/>
      <c r="U1980" s="78"/>
      <c r="V1980" s="78"/>
      <c r="W1980" s="78"/>
      <c r="X1980" s="78"/>
      <c r="Y1980" s="78"/>
      <c r="Z1980" s="78"/>
    </row>
    <row r="1981">
      <c r="A1981" s="78"/>
      <c r="B1981" s="78"/>
      <c r="C1981" s="138"/>
      <c r="D1981" s="78"/>
      <c r="E1981" s="78"/>
      <c r="F1981" s="78"/>
      <c r="G1981" s="78"/>
      <c r="H1981" s="78"/>
      <c r="I1981" s="78"/>
      <c r="J1981" s="78"/>
      <c r="K1981" s="78"/>
      <c r="L1981" s="78"/>
      <c r="M1981" s="78"/>
      <c r="N1981" s="78"/>
      <c r="O1981" s="78"/>
      <c r="P1981" s="78"/>
      <c r="Q1981" s="78"/>
      <c r="R1981" s="78"/>
      <c r="S1981" s="78"/>
      <c r="T1981" s="78"/>
      <c r="U1981" s="78"/>
      <c r="V1981" s="78"/>
      <c r="W1981" s="78"/>
      <c r="X1981" s="78"/>
      <c r="Y1981" s="78"/>
      <c r="Z1981" s="78"/>
    </row>
    <row r="1982">
      <c r="A1982" s="78"/>
      <c r="B1982" s="78"/>
      <c r="C1982" s="138"/>
      <c r="D1982" s="78"/>
      <c r="E1982" s="78"/>
      <c r="F1982" s="78"/>
      <c r="G1982" s="78"/>
      <c r="H1982" s="78"/>
      <c r="I1982" s="78"/>
      <c r="J1982" s="78"/>
      <c r="K1982" s="78"/>
      <c r="L1982" s="78"/>
      <c r="M1982" s="78"/>
      <c r="N1982" s="78"/>
      <c r="O1982" s="78"/>
      <c r="P1982" s="78"/>
      <c r="Q1982" s="78"/>
      <c r="R1982" s="78"/>
      <c r="S1982" s="78"/>
      <c r="T1982" s="78"/>
      <c r="U1982" s="78"/>
      <c r="V1982" s="78"/>
      <c r="W1982" s="78"/>
      <c r="X1982" s="78"/>
      <c r="Y1982" s="78"/>
      <c r="Z1982" s="78"/>
    </row>
    <row r="1983">
      <c r="A1983" s="78"/>
      <c r="B1983" s="78"/>
      <c r="C1983" s="138"/>
      <c r="D1983" s="78"/>
      <c r="E1983" s="78"/>
      <c r="F1983" s="78"/>
      <c r="G1983" s="78"/>
      <c r="H1983" s="78"/>
      <c r="I1983" s="78"/>
      <c r="J1983" s="78"/>
      <c r="K1983" s="78"/>
      <c r="L1983" s="78"/>
      <c r="M1983" s="78"/>
      <c r="N1983" s="78"/>
      <c r="O1983" s="78"/>
      <c r="P1983" s="78"/>
      <c r="Q1983" s="78"/>
      <c r="R1983" s="78"/>
      <c r="S1983" s="78"/>
      <c r="T1983" s="78"/>
      <c r="U1983" s="78"/>
      <c r="V1983" s="78"/>
      <c r="W1983" s="78"/>
      <c r="X1983" s="78"/>
      <c r="Y1983" s="78"/>
      <c r="Z1983" s="78"/>
    </row>
    <row r="1984">
      <c r="A1984" s="78"/>
      <c r="B1984" s="78"/>
      <c r="C1984" s="138"/>
      <c r="D1984" s="78"/>
      <c r="E1984" s="78"/>
      <c r="F1984" s="78"/>
      <c r="G1984" s="78"/>
      <c r="H1984" s="78"/>
      <c r="I1984" s="78"/>
      <c r="J1984" s="78"/>
      <c r="K1984" s="78"/>
      <c r="L1984" s="78"/>
      <c r="M1984" s="78"/>
      <c r="N1984" s="78"/>
      <c r="O1984" s="78"/>
      <c r="P1984" s="78"/>
      <c r="Q1984" s="78"/>
      <c r="R1984" s="78"/>
      <c r="S1984" s="78"/>
      <c r="T1984" s="78"/>
      <c r="U1984" s="78"/>
      <c r="V1984" s="78"/>
      <c r="W1984" s="78"/>
      <c r="X1984" s="78"/>
      <c r="Y1984" s="78"/>
      <c r="Z1984" s="78"/>
    </row>
    <row r="1985">
      <c r="A1985" s="78"/>
      <c r="B1985" s="78"/>
      <c r="C1985" s="138"/>
      <c r="D1985" s="78"/>
      <c r="E1985" s="78"/>
      <c r="F1985" s="78"/>
      <c r="G1985" s="78"/>
      <c r="H1985" s="78"/>
      <c r="I1985" s="78"/>
      <c r="J1985" s="78"/>
      <c r="K1985" s="78"/>
      <c r="L1985" s="78"/>
      <c r="M1985" s="78"/>
      <c r="N1985" s="78"/>
      <c r="O1985" s="78"/>
      <c r="P1985" s="78"/>
      <c r="Q1985" s="78"/>
      <c r="R1985" s="78"/>
      <c r="S1985" s="78"/>
      <c r="T1985" s="78"/>
      <c r="U1985" s="78"/>
      <c r="V1985" s="78"/>
      <c r="W1985" s="78"/>
      <c r="X1985" s="78"/>
      <c r="Y1985" s="78"/>
      <c r="Z1985" s="78"/>
    </row>
    <row r="1986">
      <c r="A1986" s="78"/>
      <c r="B1986" s="78"/>
      <c r="C1986" s="138"/>
      <c r="D1986" s="78"/>
      <c r="E1986" s="78"/>
      <c r="F1986" s="78"/>
      <c r="G1986" s="78"/>
      <c r="H1986" s="78"/>
      <c r="I1986" s="78"/>
      <c r="J1986" s="78"/>
      <c r="K1986" s="78"/>
      <c r="L1986" s="78"/>
      <c r="M1986" s="78"/>
      <c r="N1986" s="78"/>
      <c r="O1986" s="78"/>
      <c r="P1986" s="78"/>
      <c r="Q1986" s="78"/>
      <c r="R1986" s="78"/>
      <c r="S1986" s="78"/>
      <c r="T1986" s="78"/>
      <c r="U1986" s="78"/>
      <c r="V1986" s="78"/>
      <c r="W1986" s="78"/>
      <c r="X1986" s="78"/>
      <c r="Y1986" s="78"/>
      <c r="Z1986" s="78"/>
    </row>
    <row r="1987">
      <c r="A1987" s="78"/>
      <c r="B1987" s="78"/>
      <c r="C1987" s="138"/>
      <c r="D1987" s="78"/>
      <c r="E1987" s="78"/>
      <c r="F1987" s="78"/>
      <c r="G1987" s="78"/>
      <c r="H1987" s="78"/>
      <c r="I1987" s="78"/>
      <c r="J1987" s="78"/>
      <c r="K1987" s="78"/>
      <c r="L1987" s="78"/>
      <c r="M1987" s="78"/>
      <c r="N1987" s="78"/>
      <c r="O1987" s="78"/>
      <c r="P1987" s="78"/>
      <c r="Q1987" s="78"/>
      <c r="R1987" s="78"/>
      <c r="S1987" s="78"/>
      <c r="T1987" s="78"/>
      <c r="U1987" s="78"/>
      <c r="V1987" s="78"/>
      <c r="W1987" s="78"/>
      <c r="X1987" s="78"/>
      <c r="Y1987" s="78"/>
      <c r="Z1987" s="78"/>
    </row>
    <row r="1988">
      <c r="A1988" s="78"/>
      <c r="B1988" s="78"/>
      <c r="C1988" s="138"/>
      <c r="D1988" s="78"/>
      <c r="E1988" s="78"/>
      <c r="F1988" s="78"/>
      <c r="G1988" s="78"/>
      <c r="H1988" s="78"/>
      <c r="I1988" s="78"/>
      <c r="J1988" s="78"/>
      <c r="K1988" s="78"/>
      <c r="L1988" s="78"/>
      <c r="M1988" s="78"/>
      <c r="N1988" s="78"/>
      <c r="O1988" s="78"/>
      <c r="P1988" s="78"/>
      <c r="Q1988" s="78"/>
      <c r="R1988" s="78"/>
      <c r="S1988" s="78"/>
      <c r="T1988" s="78"/>
      <c r="U1988" s="78"/>
      <c r="V1988" s="78"/>
      <c r="W1988" s="78"/>
      <c r="X1988" s="78"/>
      <c r="Y1988" s="78"/>
      <c r="Z1988" s="78"/>
    </row>
    <row r="1989">
      <c r="A1989" s="78"/>
      <c r="B1989" s="78"/>
      <c r="C1989" s="138"/>
      <c r="D1989" s="78"/>
      <c r="E1989" s="78"/>
      <c r="F1989" s="78"/>
      <c r="G1989" s="78"/>
      <c r="H1989" s="78"/>
      <c r="I1989" s="78"/>
      <c r="J1989" s="78"/>
      <c r="K1989" s="78"/>
      <c r="L1989" s="78"/>
      <c r="M1989" s="78"/>
      <c r="N1989" s="78"/>
      <c r="O1989" s="78"/>
      <c r="P1989" s="78"/>
      <c r="Q1989" s="78"/>
      <c r="R1989" s="78"/>
      <c r="S1989" s="78"/>
      <c r="T1989" s="78"/>
      <c r="U1989" s="78"/>
      <c r="V1989" s="78"/>
      <c r="W1989" s="78"/>
      <c r="X1989" s="78"/>
      <c r="Y1989" s="78"/>
      <c r="Z1989" s="78"/>
    </row>
    <row r="1990">
      <c r="A1990" s="78"/>
      <c r="B1990" s="78"/>
      <c r="C1990" s="138"/>
      <c r="D1990" s="78"/>
      <c r="E1990" s="78"/>
      <c r="F1990" s="78"/>
      <c r="G1990" s="78"/>
      <c r="H1990" s="78"/>
      <c r="I1990" s="78"/>
      <c r="J1990" s="78"/>
      <c r="K1990" s="78"/>
      <c r="L1990" s="78"/>
      <c r="M1990" s="78"/>
      <c r="N1990" s="78"/>
      <c r="O1990" s="78"/>
      <c r="P1990" s="78"/>
      <c r="Q1990" s="78"/>
      <c r="R1990" s="78"/>
      <c r="S1990" s="78"/>
      <c r="T1990" s="78"/>
      <c r="U1990" s="78"/>
      <c r="V1990" s="78"/>
      <c r="W1990" s="78"/>
      <c r="X1990" s="78"/>
      <c r="Y1990" s="78"/>
      <c r="Z1990" s="78"/>
    </row>
    <row r="1991">
      <c r="A1991" s="78"/>
      <c r="B1991" s="78"/>
      <c r="C1991" s="138"/>
      <c r="D1991" s="78"/>
      <c r="E1991" s="78"/>
      <c r="F1991" s="78"/>
      <c r="G1991" s="78"/>
      <c r="H1991" s="78"/>
      <c r="I1991" s="78"/>
      <c r="J1991" s="78"/>
      <c r="K1991" s="78"/>
      <c r="L1991" s="78"/>
      <c r="M1991" s="78"/>
      <c r="N1991" s="78"/>
      <c r="O1991" s="78"/>
      <c r="P1991" s="78"/>
      <c r="Q1991" s="78"/>
      <c r="R1991" s="78"/>
      <c r="S1991" s="78"/>
      <c r="T1991" s="78"/>
      <c r="U1991" s="78"/>
      <c r="V1991" s="78"/>
      <c r="W1991" s="78"/>
      <c r="X1991" s="78"/>
      <c r="Y1991" s="78"/>
      <c r="Z1991" s="78"/>
    </row>
    <row r="1992">
      <c r="A1992" s="78"/>
      <c r="B1992" s="78"/>
      <c r="C1992" s="138"/>
      <c r="D1992" s="78"/>
      <c r="E1992" s="78"/>
      <c r="F1992" s="78"/>
      <c r="G1992" s="78"/>
      <c r="H1992" s="78"/>
      <c r="I1992" s="78"/>
      <c r="J1992" s="78"/>
      <c r="K1992" s="78"/>
      <c r="L1992" s="78"/>
      <c r="M1992" s="78"/>
      <c r="N1992" s="78"/>
      <c r="O1992" s="78"/>
      <c r="P1992" s="78"/>
      <c r="Q1992" s="78"/>
      <c r="R1992" s="78"/>
      <c r="S1992" s="78"/>
      <c r="T1992" s="78"/>
      <c r="U1992" s="78"/>
      <c r="V1992" s="78"/>
      <c r="W1992" s="78"/>
      <c r="X1992" s="78"/>
      <c r="Y1992" s="78"/>
      <c r="Z1992" s="78"/>
    </row>
    <row r="1993">
      <c r="A1993" s="78"/>
      <c r="B1993" s="78"/>
      <c r="C1993" s="138"/>
      <c r="D1993" s="78"/>
      <c r="E1993" s="78"/>
      <c r="F1993" s="78"/>
      <c r="G1993" s="78"/>
      <c r="H1993" s="78"/>
      <c r="I1993" s="78"/>
      <c r="J1993" s="78"/>
      <c r="K1993" s="78"/>
      <c r="L1993" s="78"/>
      <c r="M1993" s="78"/>
      <c r="N1993" s="78"/>
      <c r="O1993" s="78"/>
      <c r="P1993" s="78"/>
      <c r="Q1993" s="78"/>
      <c r="R1993" s="78"/>
      <c r="S1993" s="78"/>
      <c r="T1993" s="78"/>
      <c r="U1993" s="78"/>
      <c r="V1993" s="78"/>
      <c r="W1993" s="78"/>
      <c r="X1993" s="78"/>
      <c r="Y1993" s="78"/>
      <c r="Z1993" s="78"/>
    </row>
    <row r="1994">
      <c r="A1994" s="78"/>
      <c r="B1994" s="78"/>
      <c r="C1994" s="138"/>
      <c r="D1994" s="78"/>
      <c r="E1994" s="78"/>
      <c r="F1994" s="78"/>
      <c r="G1994" s="78"/>
      <c r="H1994" s="78"/>
      <c r="I1994" s="78"/>
      <c r="J1994" s="78"/>
      <c r="K1994" s="78"/>
      <c r="L1994" s="78"/>
      <c r="M1994" s="78"/>
      <c r="N1994" s="78"/>
      <c r="O1994" s="78"/>
      <c r="P1994" s="78"/>
      <c r="Q1994" s="78"/>
      <c r="R1994" s="78"/>
      <c r="S1994" s="78"/>
      <c r="T1994" s="78"/>
      <c r="U1994" s="78"/>
      <c r="V1994" s="78"/>
      <c r="W1994" s="78"/>
      <c r="X1994" s="78"/>
      <c r="Y1994" s="78"/>
      <c r="Z1994" s="78"/>
    </row>
    <row r="1995">
      <c r="A1995" s="78"/>
      <c r="B1995" s="78"/>
      <c r="C1995" s="138"/>
      <c r="D1995" s="78"/>
      <c r="E1995" s="78"/>
      <c r="F1995" s="78"/>
      <c r="G1995" s="78"/>
      <c r="H1995" s="78"/>
      <c r="I1995" s="78"/>
      <c r="J1995" s="78"/>
      <c r="K1995" s="78"/>
      <c r="L1995" s="78"/>
      <c r="M1995" s="78"/>
      <c r="N1995" s="78"/>
      <c r="O1995" s="78"/>
      <c r="P1995" s="78"/>
      <c r="Q1995" s="78"/>
      <c r="R1995" s="78"/>
      <c r="S1995" s="78"/>
      <c r="T1995" s="78"/>
      <c r="U1995" s="78"/>
      <c r="V1995" s="78"/>
      <c r="W1995" s="78"/>
      <c r="X1995" s="78"/>
      <c r="Y1995" s="78"/>
      <c r="Z1995" s="78"/>
    </row>
    <row r="1996">
      <c r="A1996" s="78"/>
      <c r="B1996" s="78"/>
      <c r="C1996" s="138"/>
      <c r="D1996" s="78"/>
      <c r="E1996" s="78"/>
      <c r="F1996" s="78"/>
      <c r="G1996" s="78"/>
      <c r="H1996" s="78"/>
      <c r="I1996" s="78"/>
      <c r="J1996" s="78"/>
      <c r="K1996" s="78"/>
      <c r="L1996" s="78"/>
      <c r="M1996" s="78"/>
      <c r="N1996" s="78"/>
      <c r="O1996" s="78"/>
      <c r="P1996" s="78"/>
      <c r="Q1996" s="78"/>
      <c r="R1996" s="78"/>
      <c r="S1996" s="78"/>
      <c r="T1996" s="78"/>
      <c r="U1996" s="78"/>
      <c r="V1996" s="78"/>
      <c r="W1996" s="78"/>
      <c r="X1996" s="78"/>
      <c r="Y1996" s="78"/>
      <c r="Z1996" s="78"/>
    </row>
    <row r="1997">
      <c r="A1997" s="78"/>
      <c r="B1997" s="78"/>
      <c r="C1997" s="138"/>
      <c r="D1997" s="78"/>
      <c r="E1997" s="78"/>
      <c r="F1997" s="78"/>
      <c r="G1997" s="78"/>
      <c r="H1997" s="78"/>
      <c r="I1997" s="78"/>
      <c r="J1997" s="78"/>
      <c r="K1997" s="78"/>
      <c r="L1997" s="78"/>
      <c r="M1997" s="78"/>
      <c r="N1997" s="78"/>
      <c r="O1997" s="78"/>
      <c r="P1997" s="78"/>
      <c r="Q1997" s="78"/>
      <c r="R1997" s="78"/>
      <c r="S1997" s="78"/>
      <c r="T1997" s="78"/>
      <c r="U1997" s="78"/>
      <c r="V1997" s="78"/>
      <c r="W1997" s="78"/>
      <c r="X1997" s="78"/>
      <c r="Y1997" s="78"/>
      <c r="Z1997" s="78"/>
    </row>
    <row r="1998">
      <c r="A1998" s="78"/>
      <c r="B1998" s="78"/>
      <c r="C1998" s="138"/>
      <c r="D1998" s="78"/>
      <c r="E1998" s="78"/>
      <c r="F1998" s="78"/>
      <c r="G1998" s="78"/>
      <c r="H1998" s="78"/>
      <c r="I1998" s="78"/>
      <c r="J1998" s="78"/>
      <c r="K1998" s="78"/>
      <c r="L1998" s="78"/>
      <c r="M1998" s="78"/>
      <c r="N1998" s="78"/>
      <c r="O1998" s="78"/>
      <c r="P1998" s="78"/>
      <c r="Q1998" s="78"/>
      <c r="R1998" s="78"/>
      <c r="S1998" s="78"/>
      <c r="T1998" s="78"/>
      <c r="U1998" s="78"/>
      <c r="V1998" s="78"/>
      <c r="W1998" s="78"/>
      <c r="X1998" s="78"/>
      <c r="Y1998" s="78"/>
      <c r="Z1998" s="78"/>
    </row>
    <row r="1999">
      <c r="A1999" s="78"/>
      <c r="B1999" s="78"/>
      <c r="C1999" s="138"/>
      <c r="D1999" s="78"/>
      <c r="E1999" s="78"/>
      <c r="F1999" s="78"/>
      <c r="G1999" s="78"/>
      <c r="H1999" s="78"/>
      <c r="I1999" s="78"/>
      <c r="J1999" s="78"/>
      <c r="K1999" s="78"/>
      <c r="L1999" s="78"/>
      <c r="M1999" s="78"/>
      <c r="N1999" s="78"/>
      <c r="O1999" s="78"/>
      <c r="P1999" s="78"/>
      <c r="Q1999" s="78"/>
      <c r="R1999" s="78"/>
      <c r="S1999" s="78"/>
      <c r="T1999" s="78"/>
      <c r="U1999" s="78"/>
      <c r="V1999" s="78"/>
      <c r="W1999" s="78"/>
      <c r="X1999" s="78"/>
      <c r="Y1999" s="78"/>
      <c r="Z1999" s="78"/>
    </row>
    <row r="2000">
      <c r="A2000" s="78"/>
      <c r="B2000" s="78"/>
      <c r="C2000" s="138"/>
      <c r="D2000" s="78"/>
      <c r="E2000" s="78"/>
      <c r="F2000" s="78"/>
      <c r="G2000" s="78"/>
      <c r="H2000" s="78"/>
      <c r="I2000" s="78"/>
      <c r="J2000" s="78"/>
      <c r="K2000" s="78"/>
      <c r="L2000" s="78"/>
      <c r="M2000" s="78"/>
      <c r="N2000" s="78"/>
      <c r="O2000" s="78"/>
      <c r="P2000" s="78"/>
      <c r="Q2000" s="78"/>
      <c r="R2000" s="78"/>
      <c r="S2000" s="78"/>
      <c r="T2000" s="78"/>
      <c r="U2000" s="78"/>
      <c r="V2000" s="78"/>
      <c r="W2000" s="78"/>
      <c r="X2000" s="78"/>
      <c r="Y2000" s="78"/>
      <c r="Z2000" s="78"/>
    </row>
    <row r="2001">
      <c r="A2001" s="78"/>
      <c r="B2001" s="78"/>
      <c r="C2001" s="138"/>
      <c r="D2001" s="78"/>
      <c r="E2001" s="78"/>
      <c r="F2001" s="78"/>
      <c r="G2001" s="78"/>
      <c r="H2001" s="78"/>
      <c r="I2001" s="78"/>
      <c r="J2001" s="78"/>
      <c r="K2001" s="78"/>
      <c r="L2001" s="78"/>
      <c r="M2001" s="78"/>
      <c r="N2001" s="78"/>
      <c r="O2001" s="78"/>
      <c r="P2001" s="78"/>
      <c r="Q2001" s="78"/>
      <c r="R2001" s="78"/>
      <c r="S2001" s="78"/>
      <c r="T2001" s="78"/>
      <c r="U2001" s="78"/>
      <c r="V2001" s="78"/>
      <c r="W2001" s="78"/>
      <c r="X2001" s="78"/>
      <c r="Y2001" s="78"/>
      <c r="Z2001" s="78"/>
    </row>
    <row r="2002">
      <c r="A2002" s="78"/>
      <c r="B2002" s="78"/>
      <c r="C2002" s="138"/>
      <c r="D2002" s="78"/>
      <c r="E2002" s="78"/>
      <c r="F2002" s="78"/>
      <c r="G2002" s="78"/>
      <c r="H2002" s="78"/>
      <c r="I2002" s="78"/>
      <c r="J2002" s="78"/>
      <c r="K2002" s="78"/>
      <c r="L2002" s="78"/>
      <c r="M2002" s="78"/>
      <c r="N2002" s="78"/>
      <c r="O2002" s="78"/>
      <c r="P2002" s="78"/>
      <c r="Q2002" s="78"/>
      <c r="R2002" s="78"/>
      <c r="S2002" s="78"/>
      <c r="T2002" s="78"/>
      <c r="U2002" s="78"/>
      <c r="V2002" s="78"/>
      <c r="W2002" s="78"/>
      <c r="X2002" s="78"/>
      <c r="Y2002" s="78"/>
      <c r="Z2002" s="78"/>
    </row>
    <row r="2003">
      <c r="A2003" s="78"/>
      <c r="B2003" s="78"/>
      <c r="C2003" s="138"/>
      <c r="D2003" s="78"/>
      <c r="E2003" s="78"/>
      <c r="F2003" s="78"/>
      <c r="G2003" s="78"/>
      <c r="H2003" s="78"/>
      <c r="I2003" s="78"/>
      <c r="J2003" s="78"/>
      <c r="K2003" s="78"/>
      <c r="L2003" s="78"/>
      <c r="M2003" s="78"/>
      <c r="N2003" s="78"/>
      <c r="O2003" s="78"/>
      <c r="P2003" s="78"/>
      <c r="Q2003" s="78"/>
      <c r="R2003" s="78"/>
      <c r="S2003" s="78"/>
      <c r="T2003" s="78"/>
      <c r="U2003" s="78"/>
      <c r="V2003" s="78"/>
      <c r="W2003" s="78"/>
      <c r="X2003" s="78"/>
      <c r="Y2003" s="78"/>
      <c r="Z2003" s="78"/>
    </row>
    <row r="2004">
      <c r="A2004" s="78"/>
      <c r="B2004" s="78"/>
      <c r="C2004" s="138"/>
      <c r="D2004" s="78"/>
      <c r="E2004" s="78"/>
      <c r="F2004" s="78"/>
      <c r="G2004" s="78"/>
      <c r="H2004" s="78"/>
      <c r="I2004" s="78"/>
      <c r="J2004" s="78"/>
      <c r="K2004" s="78"/>
      <c r="L2004" s="78"/>
      <c r="M2004" s="78"/>
      <c r="N2004" s="78"/>
      <c r="O2004" s="78"/>
      <c r="P2004" s="78"/>
      <c r="Q2004" s="78"/>
      <c r="R2004" s="78"/>
      <c r="S2004" s="78"/>
      <c r="T2004" s="78"/>
      <c r="U2004" s="78"/>
      <c r="V2004" s="78"/>
      <c r="W2004" s="78"/>
      <c r="X2004" s="78"/>
      <c r="Y2004" s="78"/>
      <c r="Z2004" s="78"/>
    </row>
    <row r="2005">
      <c r="A2005" s="78"/>
      <c r="B2005" s="78"/>
      <c r="C2005" s="138"/>
      <c r="D2005" s="78"/>
      <c r="E2005" s="78"/>
      <c r="F2005" s="78"/>
      <c r="G2005" s="78"/>
      <c r="H2005" s="78"/>
      <c r="I2005" s="78"/>
      <c r="J2005" s="78"/>
      <c r="K2005" s="78"/>
      <c r="L2005" s="78"/>
      <c r="M2005" s="78"/>
      <c r="N2005" s="78"/>
      <c r="O2005" s="78"/>
      <c r="P2005" s="78"/>
      <c r="Q2005" s="78"/>
      <c r="R2005" s="78"/>
      <c r="S2005" s="78"/>
      <c r="T2005" s="78"/>
      <c r="U2005" s="78"/>
      <c r="V2005" s="78"/>
      <c r="W2005" s="78"/>
      <c r="X2005" s="78"/>
      <c r="Y2005" s="78"/>
      <c r="Z2005" s="78"/>
    </row>
    <row r="2006">
      <c r="A2006" s="78"/>
      <c r="B2006" s="78"/>
      <c r="C2006" s="138"/>
      <c r="D2006" s="78"/>
      <c r="E2006" s="78"/>
      <c r="F2006" s="78"/>
      <c r="G2006" s="78"/>
      <c r="H2006" s="78"/>
      <c r="I2006" s="78"/>
      <c r="J2006" s="78"/>
      <c r="K2006" s="78"/>
      <c r="L2006" s="78"/>
      <c r="M2006" s="78"/>
      <c r="N2006" s="78"/>
      <c r="O2006" s="78"/>
      <c r="P2006" s="78"/>
      <c r="Q2006" s="78"/>
      <c r="R2006" s="78"/>
      <c r="S2006" s="78"/>
      <c r="T2006" s="78"/>
      <c r="U2006" s="78"/>
      <c r="V2006" s="78"/>
      <c r="W2006" s="78"/>
      <c r="X2006" s="78"/>
      <c r="Y2006" s="78"/>
      <c r="Z2006" s="78"/>
    </row>
    <row r="2007">
      <c r="A2007" s="78"/>
      <c r="B2007" s="78"/>
      <c r="C2007" s="138"/>
      <c r="D2007" s="78"/>
      <c r="E2007" s="78"/>
      <c r="F2007" s="78"/>
      <c r="G2007" s="78"/>
      <c r="H2007" s="78"/>
      <c r="I2007" s="78"/>
      <c r="J2007" s="78"/>
      <c r="K2007" s="78"/>
      <c r="L2007" s="78"/>
      <c r="M2007" s="78"/>
      <c r="N2007" s="78"/>
      <c r="O2007" s="78"/>
      <c r="P2007" s="78"/>
      <c r="Q2007" s="78"/>
      <c r="R2007" s="78"/>
      <c r="S2007" s="78"/>
      <c r="T2007" s="78"/>
      <c r="U2007" s="78"/>
      <c r="V2007" s="78"/>
      <c r="W2007" s="78"/>
      <c r="X2007" s="78"/>
      <c r="Y2007" s="78"/>
      <c r="Z2007" s="78"/>
    </row>
    <row r="2008">
      <c r="A2008" s="78"/>
      <c r="B2008" s="78"/>
      <c r="C2008" s="138"/>
      <c r="D2008" s="78"/>
      <c r="E2008" s="78"/>
      <c r="F2008" s="78"/>
      <c r="G2008" s="78"/>
      <c r="H2008" s="78"/>
      <c r="I2008" s="78"/>
      <c r="J2008" s="78"/>
      <c r="K2008" s="78"/>
      <c r="L2008" s="78"/>
      <c r="M2008" s="78"/>
      <c r="N2008" s="78"/>
      <c r="O2008" s="78"/>
      <c r="P2008" s="78"/>
      <c r="Q2008" s="78"/>
      <c r="R2008" s="78"/>
      <c r="S2008" s="78"/>
      <c r="T2008" s="78"/>
      <c r="U2008" s="78"/>
      <c r="V2008" s="78"/>
      <c r="W2008" s="78"/>
      <c r="X2008" s="78"/>
      <c r="Y2008" s="78"/>
      <c r="Z2008" s="78"/>
    </row>
    <row r="2009">
      <c r="A2009" s="78"/>
      <c r="B2009" s="78"/>
      <c r="C2009" s="138"/>
      <c r="D2009" s="78"/>
      <c r="E2009" s="78"/>
      <c r="F2009" s="78"/>
      <c r="G2009" s="78"/>
      <c r="H2009" s="78"/>
      <c r="I2009" s="78"/>
      <c r="J2009" s="78"/>
      <c r="K2009" s="78"/>
      <c r="L2009" s="78"/>
      <c r="M2009" s="78"/>
      <c r="N2009" s="78"/>
      <c r="O2009" s="78"/>
      <c r="P2009" s="78"/>
      <c r="Q2009" s="78"/>
      <c r="R2009" s="78"/>
      <c r="S2009" s="78"/>
      <c r="T2009" s="78"/>
      <c r="U2009" s="78"/>
      <c r="V2009" s="78"/>
      <c r="W2009" s="78"/>
      <c r="X2009" s="78"/>
      <c r="Y2009" s="78"/>
      <c r="Z2009" s="78"/>
    </row>
    <row r="2010">
      <c r="A2010" s="78"/>
      <c r="B2010" s="78"/>
      <c r="C2010" s="138"/>
      <c r="D2010" s="78"/>
      <c r="E2010" s="78"/>
      <c r="F2010" s="78"/>
      <c r="G2010" s="78"/>
      <c r="H2010" s="78"/>
      <c r="I2010" s="78"/>
      <c r="J2010" s="78"/>
      <c r="K2010" s="78"/>
      <c r="L2010" s="78"/>
      <c r="M2010" s="78"/>
      <c r="N2010" s="78"/>
      <c r="O2010" s="78"/>
      <c r="P2010" s="78"/>
      <c r="Q2010" s="78"/>
      <c r="R2010" s="78"/>
      <c r="S2010" s="78"/>
      <c r="T2010" s="78"/>
      <c r="U2010" s="78"/>
      <c r="V2010" s="78"/>
      <c r="W2010" s="78"/>
      <c r="X2010" s="78"/>
      <c r="Y2010" s="78"/>
      <c r="Z2010" s="78"/>
    </row>
    <row r="2011">
      <c r="A2011" s="78"/>
      <c r="B2011" s="78"/>
      <c r="C2011" s="138"/>
      <c r="D2011" s="78"/>
      <c r="E2011" s="78"/>
      <c r="F2011" s="78"/>
      <c r="G2011" s="78"/>
      <c r="H2011" s="78"/>
      <c r="I2011" s="78"/>
      <c r="J2011" s="78"/>
      <c r="K2011" s="78"/>
      <c r="L2011" s="78"/>
      <c r="M2011" s="78"/>
      <c r="N2011" s="78"/>
      <c r="O2011" s="78"/>
      <c r="P2011" s="78"/>
      <c r="Q2011" s="78"/>
      <c r="R2011" s="78"/>
      <c r="S2011" s="78"/>
      <c r="T2011" s="78"/>
      <c r="U2011" s="78"/>
      <c r="V2011" s="78"/>
      <c r="W2011" s="78"/>
      <c r="X2011" s="78"/>
      <c r="Y2011" s="78"/>
      <c r="Z2011" s="78"/>
    </row>
    <row r="2012">
      <c r="A2012" s="78"/>
      <c r="B2012" s="78"/>
      <c r="C2012" s="138"/>
      <c r="D2012" s="78"/>
      <c r="E2012" s="78"/>
      <c r="F2012" s="78"/>
      <c r="G2012" s="78"/>
      <c r="H2012" s="78"/>
      <c r="I2012" s="78"/>
      <c r="J2012" s="78"/>
      <c r="K2012" s="78"/>
      <c r="L2012" s="78"/>
      <c r="M2012" s="78"/>
      <c r="N2012" s="78"/>
      <c r="O2012" s="78"/>
      <c r="P2012" s="78"/>
      <c r="Q2012" s="78"/>
      <c r="R2012" s="78"/>
      <c r="S2012" s="78"/>
      <c r="T2012" s="78"/>
      <c r="U2012" s="78"/>
      <c r="V2012" s="78"/>
      <c r="W2012" s="78"/>
      <c r="X2012" s="78"/>
      <c r="Y2012" s="78"/>
      <c r="Z2012" s="78"/>
    </row>
    <row r="2013">
      <c r="A2013" s="78"/>
      <c r="B2013" s="78"/>
      <c r="C2013" s="138"/>
      <c r="D2013" s="78"/>
      <c r="E2013" s="78"/>
      <c r="F2013" s="78"/>
      <c r="G2013" s="78"/>
      <c r="H2013" s="78"/>
      <c r="I2013" s="78"/>
      <c r="J2013" s="78"/>
      <c r="K2013" s="78"/>
      <c r="L2013" s="78"/>
      <c r="M2013" s="78"/>
      <c r="N2013" s="78"/>
      <c r="O2013" s="78"/>
      <c r="P2013" s="78"/>
      <c r="Q2013" s="78"/>
      <c r="R2013" s="78"/>
      <c r="S2013" s="78"/>
      <c r="T2013" s="78"/>
      <c r="U2013" s="78"/>
      <c r="V2013" s="78"/>
      <c r="W2013" s="78"/>
      <c r="X2013" s="78"/>
      <c r="Y2013" s="78"/>
      <c r="Z2013" s="78"/>
    </row>
    <row r="2014">
      <c r="A2014" s="78"/>
      <c r="B2014" s="78"/>
      <c r="C2014" s="138"/>
      <c r="D2014" s="78"/>
      <c r="E2014" s="78"/>
      <c r="F2014" s="78"/>
      <c r="G2014" s="78"/>
      <c r="H2014" s="78"/>
      <c r="I2014" s="78"/>
      <c r="J2014" s="78"/>
      <c r="K2014" s="78"/>
      <c r="L2014" s="78"/>
      <c r="M2014" s="78"/>
      <c r="N2014" s="78"/>
      <c r="O2014" s="78"/>
      <c r="P2014" s="78"/>
      <c r="Q2014" s="78"/>
      <c r="R2014" s="78"/>
      <c r="S2014" s="78"/>
      <c r="T2014" s="78"/>
      <c r="U2014" s="78"/>
      <c r="V2014" s="78"/>
      <c r="W2014" s="78"/>
      <c r="X2014" s="78"/>
      <c r="Y2014" s="78"/>
      <c r="Z2014" s="78"/>
    </row>
    <row r="2015">
      <c r="A2015" s="78"/>
      <c r="B2015" s="78"/>
      <c r="C2015" s="138"/>
      <c r="D2015" s="78"/>
      <c r="E2015" s="78"/>
      <c r="F2015" s="78"/>
      <c r="G2015" s="78"/>
      <c r="H2015" s="78"/>
      <c r="I2015" s="78"/>
      <c r="J2015" s="78"/>
      <c r="K2015" s="78"/>
      <c r="L2015" s="78"/>
      <c r="M2015" s="78"/>
      <c r="N2015" s="78"/>
      <c r="O2015" s="78"/>
      <c r="P2015" s="78"/>
      <c r="Q2015" s="78"/>
      <c r="R2015" s="78"/>
      <c r="S2015" s="78"/>
      <c r="T2015" s="78"/>
      <c r="U2015" s="78"/>
      <c r="V2015" s="78"/>
      <c r="W2015" s="78"/>
      <c r="X2015" s="78"/>
      <c r="Y2015" s="78"/>
      <c r="Z2015" s="78"/>
    </row>
    <row r="2016">
      <c r="A2016" s="78"/>
      <c r="B2016" s="78"/>
      <c r="C2016" s="138"/>
      <c r="D2016" s="78"/>
      <c r="E2016" s="78"/>
      <c r="F2016" s="78"/>
      <c r="G2016" s="78"/>
      <c r="H2016" s="78"/>
      <c r="I2016" s="78"/>
      <c r="J2016" s="78"/>
      <c r="K2016" s="78"/>
      <c r="L2016" s="78"/>
      <c r="M2016" s="78"/>
      <c r="N2016" s="78"/>
      <c r="O2016" s="78"/>
      <c r="P2016" s="78"/>
      <c r="Q2016" s="78"/>
      <c r="R2016" s="78"/>
      <c r="S2016" s="78"/>
      <c r="T2016" s="78"/>
      <c r="U2016" s="78"/>
      <c r="V2016" s="78"/>
      <c r="W2016" s="78"/>
      <c r="X2016" s="78"/>
      <c r="Y2016" s="78"/>
      <c r="Z2016" s="78"/>
    </row>
    <row r="2017">
      <c r="A2017" s="78"/>
      <c r="B2017" s="78"/>
      <c r="C2017" s="138"/>
      <c r="D2017" s="78"/>
      <c r="E2017" s="78"/>
      <c r="F2017" s="78"/>
      <c r="G2017" s="78"/>
      <c r="H2017" s="78"/>
      <c r="I2017" s="78"/>
      <c r="J2017" s="78"/>
      <c r="K2017" s="78"/>
      <c r="L2017" s="78"/>
      <c r="M2017" s="78"/>
      <c r="N2017" s="78"/>
      <c r="O2017" s="78"/>
      <c r="P2017" s="78"/>
      <c r="Q2017" s="78"/>
      <c r="R2017" s="78"/>
      <c r="S2017" s="78"/>
      <c r="T2017" s="78"/>
      <c r="U2017" s="78"/>
      <c r="V2017" s="78"/>
      <c r="W2017" s="78"/>
      <c r="X2017" s="78"/>
      <c r="Y2017" s="78"/>
      <c r="Z2017" s="78"/>
    </row>
    <row r="2018">
      <c r="A2018" s="78"/>
      <c r="B2018" s="78"/>
      <c r="C2018" s="138"/>
      <c r="D2018" s="78"/>
      <c r="E2018" s="78"/>
      <c r="F2018" s="78"/>
      <c r="G2018" s="78"/>
      <c r="H2018" s="78"/>
      <c r="I2018" s="78"/>
      <c r="J2018" s="78"/>
      <c r="K2018" s="78"/>
      <c r="L2018" s="78"/>
      <c r="M2018" s="78"/>
      <c r="N2018" s="78"/>
      <c r="O2018" s="78"/>
      <c r="P2018" s="78"/>
      <c r="Q2018" s="78"/>
      <c r="R2018" s="78"/>
      <c r="S2018" s="78"/>
      <c r="T2018" s="78"/>
      <c r="U2018" s="78"/>
      <c r="V2018" s="78"/>
      <c r="W2018" s="78"/>
      <c r="X2018" s="78"/>
      <c r="Y2018" s="78"/>
      <c r="Z2018" s="78"/>
    </row>
    <row r="2019">
      <c r="A2019" s="78"/>
      <c r="B2019" s="78"/>
      <c r="C2019" s="138"/>
      <c r="D2019" s="78"/>
      <c r="E2019" s="78"/>
      <c r="F2019" s="78"/>
      <c r="G2019" s="78"/>
      <c r="H2019" s="78"/>
      <c r="I2019" s="78"/>
      <c r="J2019" s="78"/>
      <c r="K2019" s="78"/>
      <c r="L2019" s="78"/>
      <c r="M2019" s="78"/>
      <c r="N2019" s="78"/>
      <c r="O2019" s="78"/>
      <c r="P2019" s="78"/>
      <c r="Q2019" s="78"/>
      <c r="R2019" s="78"/>
      <c r="S2019" s="78"/>
      <c r="T2019" s="78"/>
      <c r="U2019" s="78"/>
      <c r="V2019" s="78"/>
      <c r="W2019" s="78"/>
      <c r="X2019" s="78"/>
      <c r="Y2019" s="78"/>
      <c r="Z2019" s="78"/>
    </row>
    <row r="2020">
      <c r="A2020" s="78"/>
      <c r="B2020" s="78"/>
      <c r="C2020" s="138"/>
      <c r="D2020" s="78"/>
      <c r="E2020" s="78"/>
      <c r="F2020" s="78"/>
      <c r="G2020" s="78"/>
      <c r="H2020" s="78"/>
      <c r="I2020" s="78"/>
      <c r="J2020" s="78"/>
      <c r="K2020" s="78"/>
      <c r="L2020" s="78"/>
      <c r="M2020" s="78"/>
      <c r="N2020" s="78"/>
      <c r="O2020" s="78"/>
      <c r="P2020" s="78"/>
      <c r="Q2020" s="78"/>
      <c r="R2020" s="78"/>
      <c r="S2020" s="78"/>
      <c r="T2020" s="78"/>
      <c r="U2020" s="78"/>
      <c r="V2020" s="78"/>
      <c r="W2020" s="78"/>
      <c r="X2020" s="78"/>
      <c r="Y2020" s="78"/>
      <c r="Z2020" s="78"/>
    </row>
    <row r="2021">
      <c r="A2021" s="78"/>
      <c r="B2021" s="78"/>
      <c r="C2021" s="138"/>
      <c r="D2021" s="78"/>
      <c r="E2021" s="78"/>
      <c r="F2021" s="78"/>
      <c r="G2021" s="78"/>
      <c r="H2021" s="78"/>
      <c r="I2021" s="78"/>
      <c r="J2021" s="78"/>
      <c r="K2021" s="78"/>
      <c r="L2021" s="78"/>
      <c r="M2021" s="78"/>
      <c r="N2021" s="78"/>
      <c r="O2021" s="78"/>
      <c r="P2021" s="78"/>
      <c r="Q2021" s="78"/>
      <c r="R2021" s="78"/>
      <c r="S2021" s="78"/>
      <c r="T2021" s="78"/>
      <c r="U2021" s="78"/>
      <c r="V2021" s="78"/>
      <c r="W2021" s="78"/>
      <c r="X2021" s="78"/>
      <c r="Y2021" s="78"/>
      <c r="Z2021" s="78"/>
    </row>
    <row r="2022">
      <c r="A2022" s="78"/>
      <c r="B2022" s="78"/>
      <c r="C2022" s="138"/>
      <c r="D2022" s="78"/>
      <c r="E2022" s="78"/>
      <c r="F2022" s="78"/>
      <c r="G2022" s="78"/>
      <c r="H2022" s="78"/>
      <c r="I2022" s="78"/>
      <c r="J2022" s="78"/>
      <c r="K2022" s="78"/>
      <c r="L2022" s="78"/>
      <c r="M2022" s="78"/>
      <c r="N2022" s="78"/>
      <c r="O2022" s="78"/>
      <c r="P2022" s="78"/>
      <c r="Q2022" s="78"/>
      <c r="R2022" s="78"/>
      <c r="S2022" s="78"/>
      <c r="T2022" s="78"/>
      <c r="U2022" s="78"/>
      <c r="V2022" s="78"/>
      <c r="W2022" s="78"/>
      <c r="X2022" s="78"/>
      <c r="Y2022" s="78"/>
      <c r="Z2022" s="78"/>
    </row>
    <row r="2023">
      <c r="A2023" s="78"/>
      <c r="B2023" s="78"/>
      <c r="C2023" s="138"/>
      <c r="D2023" s="78"/>
      <c r="E2023" s="78"/>
      <c r="F2023" s="78"/>
      <c r="G2023" s="78"/>
      <c r="H2023" s="78"/>
      <c r="I2023" s="78"/>
      <c r="J2023" s="78"/>
      <c r="K2023" s="78"/>
      <c r="L2023" s="78"/>
      <c r="M2023" s="78"/>
      <c r="N2023" s="78"/>
      <c r="O2023" s="78"/>
      <c r="P2023" s="78"/>
      <c r="Q2023" s="78"/>
      <c r="R2023" s="78"/>
      <c r="S2023" s="78"/>
      <c r="T2023" s="78"/>
      <c r="U2023" s="78"/>
      <c r="V2023" s="78"/>
      <c r="W2023" s="78"/>
      <c r="X2023" s="78"/>
      <c r="Y2023" s="78"/>
      <c r="Z2023" s="78"/>
    </row>
    <row r="2024">
      <c r="A2024" s="78"/>
      <c r="B2024" s="78"/>
      <c r="C2024" s="138"/>
      <c r="D2024" s="78"/>
      <c r="E2024" s="78"/>
      <c r="F2024" s="78"/>
      <c r="G2024" s="78"/>
      <c r="H2024" s="78"/>
      <c r="I2024" s="78"/>
      <c r="J2024" s="78"/>
      <c r="K2024" s="78"/>
      <c r="L2024" s="78"/>
      <c r="M2024" s="78"/>
      <c r="N2024" s="78"/>
      <c r="O2024" s="78"/>
      <c r="P2024" s="78"/>
      <c r="Q2024" s="78"/>
      <c r="R2024" s="78"/>
      <c r="S2024" s="78"/>
      <c r="T2024" s="78"/>
      <c r="U2024" s="78"/>
      <c r="V2024" s="78"/>
      <c r="W2024" s="78"/>
      <c r="X2024" s="78"/>
      <c r="Y2024" s="78"/>
      <c r="Z2024" s="78"/>
    </row>
    <row r="2025">
      <c r="A2025" s="78"/>
      <c r="B2025" s="78"/>
      <c r="C2025" s="138"/>
      <c r="D2025" s="78"/>
      <c r="E2025" s="78"/>
      <c r="F2025" s="78"/>
      <c r="G2025" s="78"/>
      <c r="H2025" s="78"/>
      <c r="I2025" s="78"/>
      <c r="J2025" s="78"/>
      <c r="K2025" s="78"/>
      <c r="L2025" s="78"/>
      <c r="M2025" s="78"/>
      <c r="N2025" s="78"/>
      <c r="O2025" s="78"/>
      <c r="P2025" s="78"/>
      <c r="Q2025" s="78"/>
      <c r="R2025" s="78"/>
      <c r="S2025" s="78"/>
      <c r="T2025" s="78"/>
      <c r="U2025" s="78"/>
      <c r="V2025" s="78"/>
      <c r="W2025" s="78"/>
      <c r="X2025" s="78"/>
      <c r="Y2025" s="78"/>
      <c r="Z2025" s="78"/>
    </row>
    <row r="2026">
      <c r="A2026" s="78"/>
      <c r="B2026" s="78"/>
      <c r="C2026" s="138"/>
      <c r="D2026" s="78"/>
      <c r="E2026" s="78"/>
      <c r="F2026" s="78"/>
      <c r="G2026" s="78"/>
      <c r="H2026" s="78"/>
      <c r="I2026" s="78"/>
      <c r="J2026" s="78"/>
      <c r="K2026" s="78"/>
      <c r="L2026" s="78"/>
      <c r="M2026" s="78"/>
      <c r="N2026" s="78"/>
      <c r="O2026" s="78"/>
      <c r="P2026" s="78"/>
      <c r="Q2026" s="78"/>
      <c r="R2026" s="78"/>
      <c r="S2026" s="78"/>
      <c r="T2026" s="78"/>
      <c r="U2026" s="78"/>
      <c r="V2026" s="78"/>
      <c r="W2026" s="78"/>
      <c r="X2026" s="78"/>
      <c r="Y2026" s="78"/>
      <c r="Z2026" s="78"/>
    </row>
    <row r="2027">
      <c r="A2027" s="78"/>
      <c r="B2027" s="78"/>
      <c r="C2027" s="138"/>
      <c r="D2027" s="78"/>
      <c r="E2027" s="78"/>
      <c r="F2027" s="78"/>
      <c r="G2027" s="78"/>
      <c r="H2027" s="78"/>
      <c r="I2027" s="78"/>
      <c r="J2027" s="78"/>
      <c r="K2027" s="78"/>
      <c r="L2027" s="78"/>
      <c r="M2027" s="78"/>
      <c r="N2027" s="78"/>
      <c r="O2027" s="78"/>
      <c r="P2027" s="78"/>
      <c r="Q2027" s="78"/>
      <c r="R2027" s="78"/>
      <c r="S2027" s="78"/>
      <c r="T2027" s="78"/>
      <c r="U2027" s="78"/>
      <c r="V2027" s="78"/>
      <c r="W2027" s="78"/>
      <c r="X2027" s="78"/>
      <c r="Y2027" s="78"/>
      <c r="Z2027" s="78"/>
    </row>
    <row r="2028">
      <c r="A2028" s="78"/>
      <c r="B2028" s="78"/>
      <c r="C2028" s="138"/>
      <c r="D2028" s="78"/>
      <c r="E2028" s="78"/>
      <c r="F2028" s="78"/>
      <c r="G2028" s="78"/>
      <c r="H2028" s="78"/>
      <c r="I2028" s="78"/>
      <c r="J2028" s="78"/>
      <c r="K2028" s="78"/>
      <c r="L2028" s="78"/>
      <c r="M2028" s="78"/>
      <c r="N2028" s="78"/>
      <c r="O2028" s="78"/>
      <c r="P2028" s="78"/>
      <c r="Q2028" s="78"/>
      <c r="R2028" s="78"/>
      <c r="S2028" s="78"/>
      <c r="T2028" s="78"/>
      <c r="U2028" s="78"/>
      <c r="V2028" s="78"/>
      <c r="W2028" s="78"/>
      <c r="X2028" s="78"/>
      <c r="Y2028" s="78"/>
      <c r="Z2028" s="78"/>
    </row>
    <row r="2029">
      <c r="A2029" s="78"/>
      <c r="B2029" s="78"/>
      <c r="C2029" s="138"/>
      <c r="D2029" s="78"/>
      <c r="E2029" s="78"/>
      <c r="F2029" s="78"/>
      <c r="G2029" s="78"/>
      <c r="H2029" s="78"/>
      <c r="I2029" s="78"/>
      <c r="J2029" s="78"/>
      <c r="K2029" s="78"/>
      <c r="L2029" s="78"/>
      <c r="M2029" s="78"/>
      <c r="N2029" s="78"/>
      <c r="O2029" s="78"/>
      <c r="P2029" s="78"/>
      <c r="Q2029" s="78"/>
      <c r="R2029" s="78"/>
      <c r="S2029" s="78"/>
      <c r="T2029" s="78"/>
      <c r="U2029" s="78"/>
      <c r="V2029" s="78"/>
      <c r="W2029" s="78"/>
      <c r="X2029" s="78"/>
      <c r="Y2029" s="78"/>
      <c r="Z2029" s="78"/>
    </row>
    <row r="2030">
      <c r="A2030" s="78"/>
      <c r="B2030" s="78"/>
      <c r="C2030" s="138"/>
      <c r="D2030" s="78"/>
      <c r="E2030" s="78"/>
      <c r="F2030" s="78"/>
      <c r="G2030" s="78"/>
      <c r="H2030" s="78"/>
      <c r="I2030" s="78"/>
      <c r="J2030" s="78"/>
      <c r="K2030" s="78"/>
      <c r="L2030" s="78"/>
      <c r="M2030" s="78"/>
      <c r="N2030" s="78"/>
      <c r="O2030" s="78"/>
      <c r="P2030" s="78"/>
      <c r="Q2030" s="78"/>
      <c r="R2030" s="78"/>
      <c r="S2030" s="78"/>
      <c r="T2030" s="78"/>
      <c r="U2030" s="78"/>
      <c r="V2030" s="78"/>
      <c r="W2030" s="78"/>
      <c r="X2030" s="78"/>
      <c r="Y2030" s="78"/>
      <c r="Z2030" s="78"/>
    </row>
    <row r="2031">
      <c r="A2031" s="78"/>
      <c r="B2031" s="78"/>
      <c r="C2031" s="138"/>
      <c r="D2031" s="78"/>
      <c r="E2031" s="78"/>
      <c r="F2031" s="78"/>
      <c r="G2031" s="78"/>
      <c r="H2031" s="78"/>
      <c r="I2031" s="78"/>
      <c r="J2031" s="78"/>
      <c r="K2031" s="78"/>
      <c r="L2031" s="78"/>
      <c r="M2031" s="78"/>
      <c r="N2031" s="78"/>
      <c r="O2031" s="78"/>
      <c r="P2031" s="78"/>
      <c r="Q2031" s="78"/>
      <c r="R2031" s="78"/>
      <c r="S2031" s="78"/>
      <c r="T2031" s="78"/>
      <c r="U2031" s="78"/>
      <c r="V2031" s="78"/>
      <c r="W2031" s="78"/>
      <c r="X2031" s="78"/>
      <c r="Y2031" s="78"/>
      <c r="Z2031" s="78"/>
    </row>
    <row r="2032">
      <c r="A2032" s="78"/>
      <c r="B2032" s="78"/>
      <c r="C2032" s="138"/>
      <c r="D2032" s="78"/>
      <c r="E2032" s="78"/>
      <c r="F2032" s="78"/>
      <c r="G2032" s="78"/>
      <c r="H2032" s="78"/>
      <c r="I2032" s="78"/>
      <c r="J2032" s="78"/>
      <c r="K2032" s="78"/>
      <c r="L2032" s="78"/>
      <c r="M2032" s="78"/>
      <c r="N2032" s="78"/>
      <c r="O2032" s="78"/>
      <c r="P2032" s="78"/>
      <c r="Q2032" s="78"/>
      <c r="R2032" s="78"/>
      <c r="S2032" s="78"/>
      <c r="T2032" s="78"/>
      <c r="U2032" s="78"/>
      <c r="V2032" s="78"/>
      <c r="W2032" s="78"/>
      <c r="X2032" s="78"/>
      <c r="Y2032" s="78"/>
      <c r="Z2032" s="78"/>
    </row>
    <row r="2033">
      <c r="A2033" s="78"/>
      <c r="B2033" s="78"/>
      <c r="C2033" s="138"/>
      <c r="D2033" s="78"/>
      <c r="E2033" s="78"/>
      <c r="F2033" s="78"/>
      <c r="G2033" s="78"/>
      <c r="H2033" s="78"/>
      <c r="I2033" s="78"/>
      <c r="J2033" s="78"/>
      <c r="K2033" s="78"/>
      <c r="L2033" s="78"/>
      <c r="M2033" s="78"/>
      <c r="N2033" s="78"/>
      <c r="O2033" s="78"/>
      <c r="P2033" s="78"/>
      <c r="Q2033" s="78"/>
      <c r="R2033" s="78"/>
      <c r="S2033" s="78"/>
      <c r="T2033" s="78"/>
      <c r="U2033" s="78"/>
      <c r="V2033" s="78"/>
      <c r="W2033" s="78"/>
      <c r="X2033" s="78"/>
      <c r="Y2033" s="78"/>
      <c r="Z2033" s="78"/>
    </row>
    <row r="2034">
      <c r="A2034" s="78"/>
      <c r="B2034" s="78"/>
      <c r="C2034" s="138"/>
      <c r="D2034" s="78"/>
      <c r="E2034" s="78"/>
      <c r="F2034" s="78"/>
      <c r="G2034" s="78"/>
      <c r="H2034" s="78"/>
      <c r="I2034" s="78"/>
      <c r="J2034" s="78"/>
      <c r="K2034" s="78"/>
      <c r="L2034" s="78"/>
      <c r="M2034" s="78"/>
      <c r="N2034" s="78"/>
      <c r="O2034" s="78"/>
      <c r="P2034" s="78"/>
      <c r="Q2034" s="78"/>
      <c r="R2034" s="78"/>
      <c r="S2034" s="78"/>
      <c r="T2034" s="78"/>
      <c r="U2034" s="78"/>
      <c r="V2034" s="78"/>
      <c r="W2034" s="78"/>
      <c r="X2034" s="78"/>
      <c r="Y2034" s="78"/>
      <c r="Z2034" s="78"/>
    </row>
    <row r="2035">
      <c r="A2035" s="78"/>
      <c r="B2035" s="78"/>
      <c r="C2035" s="138"/>
      <c r="D2035" s="78"/>
      <c r="E2035" s="78"/>
      <c r="F2035" s="78"/>
      <c r="G2035" s="78"/>
      <c r="H2035" s="78"/>
      <c r="I2035" s="78"/>
      <c r="J2035" s="78"/>
      <c r="K2035" s="78"/>
      <c r="L2035" s="78"/>
      <c r="M2035" s="78"/>
      <c r="N2035" s="78"/>
      <c r="O2035" s="78"/>
      <c r="P2035" s="78"/>
      <c r="Q2035" s="78"/>
      <c r="R2035" s="78"/>
      <c r="S2035" s="78"/>
      <c r="T2035" s="78"/>
      <c r="U2035" s="78"/>
      <c r="V2035" s="78"/>
      <c r="W2035" s="78"/>
      <c r="X2035" s="78"/>
      <c r="Y2035" s="78"/>
      <c r="Z2035" s="78"/>
    </row>
    <row r="2036">
      <c r="A2036" s="78"/>
      <c r="B2036" s="78"/>
      <c r="C2036" s="138"/>
      <c r="D2036" s="78"/>
      <c r="E2036" s="78"/>
      <c r="F2036" s="78"/>
      <c r="G2036" s="78"/>
      <c r="H2036" s="78"/>
      <c r="I2036" s="78"/>
      <c r="J2036" s="78"/>
      <c r="K2036" s="78"/>
      <c r="L2036" s="78"/>
      <c r="M2036" s="78"/>
      <c r="N2036" s="78"/>
      <c r="O2036" s="78"/>
      <c r="P2036" s="78"/>
      <c r="Q2036" s="78"/>
      <c r="R2036" s="78"/>
      <c r="S2036" s="78"/>
      <c r="T2036" s="78"/>
      <c r="U2036" s="78"/>
      <c r="V2036" s="78"/>
      <c r="W2036" s="78"/>
      <c r="X2036" s="78"/>
      <c r="Y2036" s="78"/>
      <c r="Z2036" s="78"/>
    </row>
    <row r="2037">
      <c r="A2037" s="78"/>
      <c r="B2037" s="78"/>
      <c r="C2037" s="138"/>
      <c r="D2037" s="78"/>
      <c r="E2037" s="78"/>
      <c r="F2037" s="78"/>
      <c r="G2037" s="78"/>
      <c r="H2037" s="78"/>
      <c r="I2037" s="78"/>
      <c r="J2037" s="78"/>
      <c r="K2037" s="78"/>
      <c r="L2037" s="78"/>
      <c r="M2037" s="78"/>
      <c r="N2037" s="78"/>
      <c r="O2037" s="78"/>
      <c r="P2037" s="78"/>
      <c r="Q2037" s="78"/>
      <c r="R2037" s="78"/>
      <c r="S2037" s="78"/>
      <c r="T2037" s="78"/>
      <c r="U2037" s="78"/>
      <c r="V2037" s="78"/>
      <c r="W2037" s="78"/>
      <c r="X2037" s="78"/>
      <c r="Y2037" s="78"/>
      <c r="Z2037" s="78"/>
    </row>
    <row r="2038">
      <c r="A2038" s="78"/>
      <c r="B2038" s="78"/>
      <c r="C2038" s="138"/>
      <c r="D2038" s="78"/>
      <c r="E2038" s="78"/>
      <c r="F2038" s="78"/>
      <c r="G2038" s="78"/>
      <c r="H2038" s="78"/>
      <c r="I2038" s="78"/>
      <c r="J2038" s="78"/>
      <c r="K2038" s="78"/>
      <c r="L2038" s="78"/>
      <c r="M2038" s="78"/>
      <c r="N2038" s="78"/>
      <c r="O2038" s="78"/>
      <c r="P2038" s="78"/>
      <c r="Q2038" s="78"/>
      <c r="R2038" s="78"/>
      <c r="S2038" s="78"/>
      <c r="T2038" s="78"/>
      <c r="U2038" s="78"/>
      <c r="V2038" s="78"/>
      <c r="W2038" s="78"/>
      <c r="X2038" s="78"/>
      <c r="Y2038" s="78"/>
      <c r="Z2038" s="78"/>
    </row>
    <row r="2039">
      <c r="A2039" s="78"/>
      <c r="B2039" s="78"/>
      <c r="C2039" s="138"/>
      <c r="D2039" s="78"/>
      <c r="E2039" s="78"/>
      <c r="F2039" s="78"/>
      <c r="G2039" s="78"/>
      <c r="H2039" s="78"/>
      <c r="I2039" s="78"/>
      <c r="J2039" s="78"/>
      <c r="K2039" s="78"/>
      <c r="L2039" s="78"/>
      <c r="M2039" s="78"/>
      <c r="N2039" s="78"/>
      <c r="O2039" s="78"/>
      <c r="P2039" s="78"/>
      <c r="Q2039" s="78"/>
      <c r="R2039" s="78"/>
      <c r="S2039" s="78"/>
      <c r="T2039" s="78"/>
      <c r="U2039" s="78"/>
      <c r="V2039" s="78"/>
      <c r="W2039" s="78"/>
      <c r="X2039" s="78"/>
      <c r="Y2039" s="78"/>
      <c r="Z2039" s="78"/>
    </row>
    <row r="2040">
      <c r="A2040" s="78"/>
      <c r="B2040" s="78"/>
      <c r="C2040" s="138"/>
      <c r="D2040" s="78"/>
      <c r="E2040" s="78"/>
      <c r="F2040" s="78"/>
      <c r="G2040" s="78"/>
      <c r="H2040" s="78"/>
      <c r="I2040" s="78"/>
      <c r="J2040" s="78"/>
      <c r="K2040" s="78"/>
      <c r="L2040" s="78"/>
      <c r="M2040" s="78"/>
      <c r="N2040" s="78"/>
      <c r="O2040" s="78"/>
      <c r="P2040" s="78"/>
      <c r="Q2040" s="78"/>
      <c r="R2040" s="78"/>
      <c r="S2040" s="78"/>
      <c r="T2040" s="78"/>
      <c r="U2040" s="78"/>
      <c r="V2040" s="78"/>
      <c r="W2040" s="78"/>
      <c r="X2040" s="78"/>
      <c r="Y2040" s="78"/>
      <c r="Z2040" s="78"/>
    </row>
    <row r="2041">
      <c r="A2041" s="78"/>
      <c r="B2041" s="78"/>
      <c r="C2041" s="138"/>
      <c r="D2041" s="78"/>
      <c r="E2041" s="78"/>
      <c r="F2041" s="78"/>
      <c r="G2041" s="78"/>
      <c r="H2041" s="78"/>
      <c r="I2041" s="78"/>
      <c r="J2041" s="78"/>
      <c r="K2041" s="78"/>
      <c r="L2041" s="78"/>
      <c r="M2041" s="78"/>
      <c r="N2041" s="78"/>
      <c r="O2041" s="78"/>
      <c r="P2041" s="78"/>
      <c r="Q2041" s="78"/>
      <c r="R2041" s="78"/>
      <c r="S2041" s="78"/>
      <c r="T2041" s="78"/>
      <c r="U2041" s="78"/>
      <c r="V2041" s="78"/>
      <c r="W2041" s="78"/>
      <c r="X2041" s="78"/>
      <c r="Y2041" s="78"/>
      <c r="Z2041" s="78"/>
    </row>
    <row r="2042">
      <c r="A2042" s="78"/>
      <c r="B2042" s="78"/>
      <c r="C2042" s="138"/>
      <c r="D2042" s="78"/>
      <c r="E2042" s="78"/>
      <c r="F2042" s="78"/>
      <c r="G2042" s="78"/>
      <c r="H2042" s="78"/>
      <c r="I2042" s="78"/>
      <c r="J2042" s="78"/>
      <c r="K2042" s="78"/>
      <c r="L2042" s="78"/>
      <c r="M2042" s="78"/>
      <c r="N2042" s="78"/>
      <c r="O2042" s="78"/>
      <c r="P2042" s="78"/>
      <c r="Q2042" s="78"/>
      <c r="R2042" s="78"/>
      <c r="S2042" s="78"/>
      <c r="T2042" s="78"/>
      <c r="U2042" s="78"/>
      <c r="V2042" s="78"/>
      <c r="W2042" s="78"/>
      <c r="X2042" s="78"/>
      <c r="Y2042" s="78"/>
      <c r="Z2042" s="78"/>
    </row>
    <row r="2043">
      <c r="A2043" s="78"/>
      <c r="B2043" s="78"/>
      <c r="C2043" s="138"/>
      <c r="D2043" s="78"/>
      <c r="E2043" s="78"/>
      <c r="F2043" s="78"/>
      <c r="G2043" s="78"/>
      <c r="H2043" s="78"/>
      <c r="I2043" s="78"/>
      <c r="J2043" s="78"/>
      <c r="K2043" s="78"/>
      <c r="L2043" s="78"/>
      <c r="M2043" s="78"/>
      <c r="N2043" s="78"/>
      <c r="O2043" s="78"/>
      <c r="P2043" s="78"/>
      <c r="Q2043" s="78"/>
      <c r="R2043" s="78"/>
      <c r="S2043" s="78"/>
      <c r="T2043" s="78"/>
      <c r="U2043" s="78"/>
      <c r="V2043" s="78"/>
      <c r="W2043" s="78"/>
      <c r="X2043" s="78"/>
      <c r="Y2043" s="78"/>
      <c r="Z2043" s="78"/>
    </row>
    <row r="2044">
      <c r="A2044" s="78"/>
      <c r="B2044" s="78"/>
      <c r="C2044" s="138"/>
      <c r="D2044" s="78"/>
      <c r="E2044" s="78"/>
      <c r="F2044" s="78"/>
      <c r="G2044" s="78"/>
      <c r="H2044" s="78"/>
      <c r="I2044" s="78"/>
      <c r="J2044" s="78"/>
      <c r="K2044" s="78"/>
      <c r="L2044" s="78"/>
      <c r="M2044" s="78"/>
      <c r="N2044" s="78"/>
      <c r="O2044" s="78"/>
      <c r="P2044" s="78"/>
      <c r="Q2044" s="78"/>
      <c r="R2044" s="78"/>
      <c r="S2044" s="78"/>
      <c r="T2044" s="78"/>
      <c r="U2044" s="78"/>
      <c r="V2044" s="78"/>
      <c r="W2044" s="78"/>
      <c r="X2044" s="78"/>
      <c r="Y2044" s="78"/>
      <c r="Z2044" s="78"/>
    </row>
    <row r="2045">
      <c r="A2045" s="78"/>
      <c r="B2045" s="78"/>
      <c r="C2045" s="138"/>
      <c r="D2045" s="78"/>
      <c r="E2045" s="78"/>
      <c r="F2045" s="78"/>
      <c r="G2045" s="78"/>
      <c r="H2045" s="78"/>
      <c r="I2045" s="78"/>
      <c r="J2045" s="78"/>
      <c r="K2045" s="78"/>
      <c r="L2045" s="78"/>
      <c r="M2045" s="78"/>
      <c r="N2045" s="78"/>
      <c r="O2045" s="78"/>
      <c r="P2045" s="78"/>
      <c r="Q2045" s="78"/>
      <c r="R2045" s="78"/>
      <c r="S2045" s="78"/>
      <c r="T2045" s="78"/>
      <c r="U2045" s="78"/>
      <c r="V2045" s="78"/>
      <c r="W2045" s="78"/>
      <c r="X2045" s="78"/>
      <c r="Y2045" s="78"/>
      <c r="Z2045" s="78"/>
    </row>
    <row r="2046">
      <c r="A2046" s="78"/>
      <c r="B2046" s="78"/>
      <c r="C2046" s="138"/>
      <c r="D2046" s="78"/>
      <c r="E2046" s="78"/>
      <c r="F2046" s="78"/>
      <c r="G2046" s="78"/>
      <c r="H2046" s="78"/>
      <c r="I2046" s="78"/>
      <c r="J2046" s="78"/>
      <c r="K2046" s="78"/>
      <c r="L2046" s="78"/>
      <c r="M2046" s="78"/>
      <c r="N2046" s="78"/>
      <c r="O2046" s="78"/>
      <c r="P2046" s="78"/>
      <c r="Q2046" s="78"/>
      <c r="R2046" s="78"/>
      <c r="S2046" s="78"/>
      <c r="T2046" s="78"/>
      <c r="U2046" s="78"/>
      <c r="V2046" s="78"/>
      <c r="W2046" s="78"/>
      <c r="X2046" s="78"/>
      <c r="Y2046" s="78"/>
      <c r="Z2046" s="78"/>
    </row>
    <row r="2047">
      <c r="A2047" s="78"/>
      <c r="B2047" s="78"/>
      <c r="C2047" s="138"/>
      <c r="D2047" s="78"/>
      <c r="E2047" s="78"/>
      <c r="F2047" s="78"/>
      <c r="G2047" s="78"/>
      <c r="H2047" s="78"/>
      <c r="I2047" s="78"/>
      <c r="J2047" s="78"/>
      <c r="K2047" s="78"/>
      <c r="L2047" s="78"/>
      <c r="M2047" s="78"/>
      <c r="N2047" s="78"/>
      <c r="O2047" s="78"/>
      <c r="P2047" s="78"/>
      <c r="Q2047" s="78"/>
      <c r="R2047" s="78"/>
      <c r="S2047" s="78"/>
      <c r="T2047" s="78"/>
      <c r="U2047" s="78"/>
      <c r="V2047" s="78"/>
      <c r="W2047" s="78"/>
      <c r="X2047" s="78"/>
      <c r="Y2047" s="78"/>
      <c r="Z2047" s="78"/>
    </row>
    <row r="2048">
      <c r="A2048" s="78"/>
      <c r="B2048" s="78"/>
      <c r="C2048" s="138"/>
      <c r="D2048" s="78"/>
      <c r="E2048" s="78"/>
      <c r="F2048" s="78"/>
      <c r="G2048" s="78"/>
      <c r="H2048" s="78"/>
      <c r="I2048" s="78"/>
      <c r="J2048" s="78"/>
      <c r="K2048" s="78"/>
      <c r="L2048" s="78"/>
      <c r="M2048" s="78"/>
      <c r="N2048" s="78"/>
      <c r="O2048" s="78"/>
      <c r="P2048" s="78"/>
      <c r="Q2048" s="78"/>
      <c r="R2048" s="78"/>
      <c r="S2048" s="78"/>
      <c r="T2048" s="78"/>
      <c r="U2048" s="78"/>
      <c r="V2048" s="78"/>
      <c r="W2048" s="78"/>
      <c r="X2048" s="78"/>
      <c r="Y2048" s="78"/>
      <c r="Z2048" s="78"/>
    </row>
    <row r="2049">
      <c r="A2049" s="124"/>
      <c r="B2049" s="124"/>
      <c r="C2049" s="147"/>
      <c r="D2049" s="124"/>
      <c r="E2049" s="124"/>
      <c r="F2049" s="124"/>
      <c r="G2049" s="124"/>
      <c r="H2049" s="124"/>
      <c r="I2049" s="124"/>
      <c r="J2049" s="124"/>
      <c r="K2049" s="124"/>
      <c r="L2049" s="124"/>
      <c r="M2049" s="124"/>
      <c r="N2049" s="124"/>
      <c r="O2049" s="124"/>
      <c r="P2049" s="124"/>
      <c r="Q2049" s="124"/>
      <c r="R2049" s="124"/>
      <c r="S2049" s="124"/>
      <c r="T2049" s="124"/>
      <c r="U2049" s="124"/>
      <c r="V2049" s="124"/>
      <c r="W2049" s="124"/>
      <c r="X2049" s="124"/>
      <c r="Y2049" s="124"/>
      <c r="Z2049" s="124"/>
    </row>
    <row r="2050">
      <c r="A2050" s="124"/>
      <c r="B2050" s="124"/>
      <c r="C2050" s="147"/>
      <c r="D2050" s="124"/>
      <c r="E2050" s="124"/>
      <c r="F2050" s="124"/>
      <c r="G2050" s="124"/>
      <c r="H2050" s="124"/>
      <c r="I2050" s="124"/>
      <c r="J2050" s="124"/>
      <c r="K2050" s="124"/>
      <c r="L2050" s="124"/>
      <c r="M2050" s="124"/>
      <c r="N2050" s="124"/>
      <c r="O2050" s="124"/>
      <c r="P2050" s="124"/>
      <c r="Q2050" s="124"/>
      <c r="R2050" s="124"/>
      <c r="S2050" s="124"/>
      <c r="T2050" s="124"/>
      <c r="U2050" s="124"/>
      <c r="V2050" s="124"/>
      <c r="W2050" s="124"/>
      <c r="X2050" s="124"/>
      <c r="Y2050" s="124"/>
      <c r="Z2050" s="124"/>
    </row>
    <row r="2051">
      <c r="A2051" s="124"/>
      <c r="B2051" s="124"/>
      <c r="C2051" s="147"/>
      <c r="D2051" s="124"/>
      <c r="E2051" s="124"/>
      <c r="F2051" s="124"/>
      <c r="G2051" s="124"/>
      <c r="H2051" s="124"/>
      <c r="I2051" s="124"/>
      <c r="J2051" s="124"/>
      <c r="K2051" s="124"/>
      <c r="L2051" s="124"/>
      <c r="M2051" s="124"/>
      <c r="N2051" s="124"/>
      <c r="O2051" s="124"/>
      <c r="P2051" s="124"/>
      <c r="Q2051" s="124"/>
      <c r="R2051" s="124"/>
      <c r="S2051" s="124"/>
      <c r="T2051" s="124"/>
      <c r="U2051" s="124"/>
      <c r="V2051" s="124"/>
      <c r="W2051" s="124"/>
      <c r="X2051" s="124"/>
      <c r="Y2051" s="124"/>
      <c r="Z2051" s="124"/>
    </row>
    <row r="2052">
      <c r="A2052" s="124"/>
      <c r="B2052" s="124"/>
      <c r="C2052" s="147"/>
      <c r="D2052" s="124"/>
      <c r="E2052" s="124"/>
      <c r="F2052" s="124"/>
      <c r="G2052" s="124"/>
      <c r="H2052" s="124"/>
      <c r="I2052" s="124"/>
      <c r="J2052" s="124"/>
      <c r="K2052" s="124"/>
      <c r="L2052" s="124"/>
      <c r="M2052" s="124"/>
      <c r="N2052" s="124"/>
      <c r="O2052" s="124"/>
      <c r="P2052" s="124"/>
      <c r="Q2052" s="124"/>
      <c r="R2052" s="124"/>
      <c r="S2052" s="124"/>
      <c r="T2052" s="124"/>
      <c r="U2052" s="124"/>
      <c r="V2052" s="124"/>
      <c r="W2052" s="124"/>
      <c r="X2052" s="124"/>
      <c r="Y2052" s="124"/>
      <c r="Z2052" s="124"/>
    </row>
    <row r="2053">
      <c r="A2053" s="124"/>
      <c r="B2053" s="124"/>
      <c r="C2053" s="147"/>
      <c r="D2053" s="124"/>
      <c r="E2053" s="124"/>
      <c r="F2053" s="124"/>
      <c r="G2053" s="124"/>
      <c r="H2053" s="124"/>
      <c r="I2053" s="124"/>
      <c r="J2053" s="124"/>
      <c r="K2053" s="124"/>
      <c r="L2053" s="124"/>
      <c r="M2053" s="124"/>
      <c r="N2053" s="124"/>
      <c r="O2053" s="124"/>
      <c r="P2053" s="124"/>
      <c r="Q2053" s="124"/>
      <c r="R2053" s="124"/>
      <c r="S2053" s="124"/>
      <c r="T2053" s="124"/>
      <c r="U2053" s="124"/>
      <c r="V2053" s="124"/>
      <c r="W2053" s="124"/>
      <c r="X2053" s="124"/>
      <c r="Y2053" s="124"/>
      <c r="Z2053" s="124"/>
    </row>
    <row r="2054">
      <c r="A2054" s="124"/>
      <c r="B2054" s="124"/>
      <c r="C2054" s="147"/>
      <c r="D2054" s="124"/>
      <c r="E2054" s="124"/>
      <c r="F2054" s="124"/>
      <c r="G2054" s="124"/>
      <c r="H2054" s="124"/>
      <c r="I2054" s="124"/>
      <c r="J2054" s="124"/>
      <c r="K2054" s="124"/>
      <c r="L2054" s="124"/>
      <c r="M2054" s="124"/>
      <c r="N2054" s="124"/>
      <c r="O2054" s="124"/>
      <c r="P2054" s="124"/>
      <c r="Q2054" s="124"/>
      <c r="R2054" s="124"/>
      <c r="S2054" s="124"/>
      <c r="T2054" s="124"/>
      <c r="U2054" s="124"/>
      <c r="V2054" s="124"/>
      <c r="W2054" s="124"/>
      <c r="X2054" s="124"/>
      <c r="Y2054" s="124"/>
      <c r="Z2054" s="124"/>
    </row>
    <row r="2055">
      <c r="A2055" s="124"/>
      <c r="B2055" s="124"/>
      <c r="C2055" s="147"/>
      <c r="D2055" s="124"/>
      <c r="E2055" s="124"/>
      <c r="F2055" s="124"/>
      <c r="G2055" s="124"/>
      <c r="H2055" s="124"/>
      <c r="I2055" s="124"/>
      <c r="J2055" s="124"/>
      <c r="K2055" s="124"/>
      <c r="L2055" s="124"/>
      <c r="M2055" s="124"/>
      <c r="N2055" s="124"/>
      <c r="O2055" s="124"/>
      <c r="P2055" s="124"/>
      <c r="Q2055" s="124"/>
      <c r="R2055" s="124"/>
      <c r="S2055" s="124"/>
      <c r="T2055" s="124"/>
      <c r="U2055" s="124"/>
      <c r="V2055" s="124"/>
      <c r="W2055" s="124"/>
      <c r="X2055" s="124"/>
      <c r="Y2055" s="124"/>
      <c r="Z2055" s="124"/>
    </row>
    <row r="2056">
      <c r="A2056" s="124"/>
      <c r="B2056" s="124"/>
      <c r="C2056" s="147"/>
      <c r="D2056" s="124"/>
      <c r="E2056" s="124"/>
      <c r="F2056" s="124"/>
      <c r="G2056" s="124"/>
      <c r="H2056" s="124"/>
      <c r="I2056" s="124"/>
      <c r="J2056" s="124"/>
      <c r="K2056" s="124"/>
      <c r="L2056" s="124"/>
      <c r="M2056" s="124"/>
      <c r="N2056" s="124"/>
      <c r="O2056" s="124"/>
      <c r="P2056" s="124"/>
      <c r="Q2056" s="124"/>
      <c r="R2056" s="124"/>
      <c r="S2056" s="124"/>
      <c r="T2056" s="124"/>
      <c r="U2056" s="124"/>
      <c r="V2056" s="124"/>
      <c r="W2056" s="124"/>
      <c r="X2056" s="124"/>
      <c r="Y2056" s="124"/>
      <c r="Z2056" s="124"/>
    </row>
    <row r="2057">
      <c r="A2057" s="124"/>
      <c r="B2057" s="124"/>
      <c r="C2057" s="147"/>
      <c r="D2057" s="124"/>
      <c r="E2057" s="124"/>
      <c r="F2057" s="124"/>
      <c r="G2057" s="124"/>
      <c r="H2057" s="124"/>
      <c r="I2057" s="124"/>
      <c r="J2057" s="124"/>
      <c r="K2057" s="124"/>
      <c r="L2057" s="124"/>
      <c r="M2057" s="124"/>
      <c r="N2057" s="124"/>
      <c r="O2057" s="124"/>
      <c r="P2057" s="124"/>
      <c r="Q2057" s="124"/>
      <c r="R2057" s="124"/>
      <c r="S2057" s="124"/>
      <c r="T2057" s="124"/>
      <c r="U2057" s="124"/>
      <c r="V2057" s="124"/>
      <c r="W2057" s="124"/>
      <c r="X2057" s="124"/>
      <c r="Y2057" s="124"/>
      <c r="Z2057" s="124"/>
    </row>
    <row r="2058">
      <c r="A2058" s="124"/>
      <c r="B2058" s="124"/>
      <c r="C2058" s="147"/>
      <c r="D2058" s="124"/>
      <c r="E2058" s="124"/>
      <c r="F2058" s="124"/>
      <c r="G2058" s="124"/>
      <c r="H2058" s="124"/>
      <c r="I2058" s="124"/>
      <c r="J2058" s="124"/>
      <c r="K2058" s="124"/>
      <c r="L2058" s="124"/>
      <c r="M2058" s="124"/>
      <c r="N2058" s="124"/>
      <c r="O2058" s="124"/>
      <c r="P2058" s="124"/>
      <c r="Q2058" s="124"/>
      <c r="R2058" s="124"/>
      <c r="S2058" s="124"/>
      <c r="T2058" s="124"/>
      <c r="U2058" s="124"/>
      <c r="V2058" s="124"/>
      <c r="W2058" s="124"/>
      <c r="X2058" s="124"/>
      <c r="Y2058" s="124"/>
      <c r="Z2058" s="124"/>
    </row>
    <row r="2059">
      <c r="A2059" s="124"/>
      <c r="B2059" s="124"/>
      <c r="C2059" s="147"/>
      <c r="D2059" s="124"/>
      <c r="E2059" s="124"/>
      <c r="F2059" s="124"/>
      <c r="G2059" s="124"/>
      <c r="H2059" s="124"/>
      <c r="I2059" s="124"/>
      <c r="J2059" s="124"/>
      <c r="K2059" s="124"/>
      <c r="L2059" s="124"/>
      <c r="M2059" s="124"/>
      <c r="N2059" s="124"/>
      <c r="O2059" s="124"/>
      <c r="P2059" s="124"/>
      <c r="Q2059" s="124"/>
      <c r="R2059" s="124"/>
      <c r="S2059" s="124"/>
      <c r="T2059" s="124"/>
      <c r="U2059" s="124"/>
      <c r="V2059" s="124"/>
      <c r="W2059" s="124"/>
      <c r="X2059" s="124"/>
      <c r="Y2059" s="124"/>
      <c r="Z2059" s="124"/>
    </row>
    <row r="2060">
      <c r="A2060" s="124"/>
      <c r="B2060" s="124"/>
      <c r="C2060" s="147"/>
      <c r="D2060" s="124"/>
      <c r="E2060" s="124"/>
      <c r="F2060" s="124"/>
      <c r="G2060" s="124"/>
      <c r="H2060" s="124"/>
      <c r="I2060" s="124"/>
      <c r="J2060" s="124"/>
      <c r="K2060" s="124"/>
      <c r="L2060" s="124"/>
      <c r="M2060" s="124"/>
      <c r="N2060" s="124"/>
      <c r="O2060" s="124"/>
      <c r="P2060" s="124"/>
      <c r="Q2060" s="124"/>
      <c r="R2060" s="124"/>
      <c r="S2060" s="124"/>
      <c r="T2060" s="124"/>
      <c r="U2060" s="124"/>
      <c r="V2060" s="124"/>
      <c r="W2060" s="124"/>
      <c r="X2060" s="124"/>
      <c r="Y2060" s="124"/>
      <c r="Z2060" s="124"/>
    </row>
    <row r="2061">
      <c r="A2061" s="124"/>
      <c r="B2061" s="124"/>
      <c r="C2061" s="147"/>
      <c r="D2061" s="124"/>
      <c r="E2061" s="124"/>
      <c r="F2061" s="124"/>
      <c r="G2061" s="124"/>
      <c r="H2061" s="124"/>
      <c r="I2061" s="124"/>
      <c r="J2061" s="124"/>
      <c r="K2061" s="124"/>
      <c r="L2061" s="124"/>
      <c r="M2061" s="124"/>
      <c r="N2061" s="124"/>
      <c r="O2061" s="124"/>
      <c r="P2061" s="124"/>
      <c r="Q2061" s="124"/>
      <c r="R2061" s="124"/>
      <c r="S2061" s="124"/>
      <c r="T2061" s="124"/>
      <c r="U2061" s="124"/>
      <c r="V2061" s="124"/>
      <c r="W2061" s="124"/>
      <c r="X2061" s="124"/>
      <c r="Y2061" s="124"/>
      <c r="Z2061" s="124"/>
    </row>
    <row r="2062">
      <c r="A2062" s="124"/>
      <c r="B2062" s="124"/>
      <c r="C2062" s="147"/>
      <c r="D2062" s="124"/>
      <c r="E2062" s="124"/>
      <c r="F2062" s="124"/>
      <c r="G2062" s="124"/>
      <c r="H2062" s="124"/>
      <c r="I2062" s="124"/>
      <c r="J2062" s="124"/>
      <c r="K2062" s="124"/>
      <c r="L2062" s="124"/>
      <c r="M2062" s="124"/>
      <c r="N2062" s="124"/>
      <c r="O2062" s="124"/>
      <c r="P2062" s="124"/>
      <c r="Q2062" s="124"/>
      <c r="R2062" s="124"/>
      <c r="S2062" s="124"/>
      <c r="T2062" s="124"/>
      <c r="U2062" s="124"/>
      <c r="V2062" s="124"/>
      <c r="W2062" s="124"/>
      <c r="X2062" s="124"/>
      <c r="Y2062" s="124"/>
      <c r="Z2062" s="124"/>
    </row>
    <row r="2063">
      <c r="A2063" s="124"/>
      <c r="B2063" s="124"/>
      <c r="C2063" s="147"/>
      <c r="D2063" s="124"/>
      <c r="E2063" s="124"/>
      <c r="F2063" s="124"/>
      <c r="G2063" s="124"/>
      <c r="H2063" s="124"/>
      <c r="I2063" s="124"/>
      <c r="J2063" s="124"/>
      <c r="K2063" s="124"/>
      <c r="L2063" s="124"/>
      <c r="M2063" s="124"/>
      <c r="N2063" s="124"/>
      <c r="O2063" s="124"/>
      <c r="P2063" s="124"/>
      <c r="Q2063" s="124"/>
      <c r="R2063" s="124"/>
      <c r="S2063" s="124"/>
      <c r="T2063" s="124"/>
      <c r="U2063" s="124"/>
      <c r="V2063" s="124"/>
      <c r="W2063" s="124"/>
      <c r="X2063" s="124"/>
      <c r="Y2063" s="124"/>
      <c r="Z2063" s="124"/>
    </row>
    <row r="2064">
      <c r="A2064" s="124"/>
      <c r="B2064" s="124"/>
      <c r="C2064" s="147"/>
      <c r="D2064" s="124"/>
      <c r="E2064" s="124"/>
      <c r="F2064" s="124"/>
      <c r="G2064" s="124"/>
      <c r="H2064" s="124"/>
      <c r="I2064" s="124"/>
      <c r="J2064" s="124"/>
      <c r="K2064" s="124"/>
      <c r="L2064" s="124"/>
      <c r="M2064" s="124"/>
      <c r="N2064" s="124"/>
      <c r="O2064" s="124"/>
      <c r="P2064" s="124"/>
      <c r="Q2064" s="124"/>
      <c r="R2064" s="124"/>
      <c r="S2064" s="124"/>
      <c r="T2064" s="124"/>
      <c r="U2064" s="124"/>
      <c r="V2064" s="124"/>
      <c r="W2064" s="124"/>
      <c r="X2064" s="124"/>
      <c r="Y2064" s="124"/>
      <c r="Z2064" s="124"/>
    </row>
    <row r="2065">
      <c r="A2065" s="124"/>
      <c r="B2065" s="124"/>
      <c r="C2065" s="147"/>
      <c r="D2065" s="124"/>
      <c r="E2065" s="124"/>
      <c r="F2065" s="124"/>
      <c r="G2065" s="124"/>
      <c r="H2065" s="124"/>
      <c r="I2065" s="124"/>
      <c r="J2065" s="124"/>
      <c r="K2065" s="124"/>
      <c r="L2065" s="124"/>
      <c r="M2065" s="124"/>
      <c r="N2065" s="124"/>
      <c r="O2065" s="124"/>
      <c r="P2065" s="124"/>
      <c r="Q2065" s="124"/>
      <c r="R2065" s="124"/>
      <c r="S2065" s="124"/>
      <c r="T2065" s="124"/>
      <c r="U2065" s="124"/>
      <c r="V2065" s="124"/>
      <c r="W2065" s="124"/>
      <c r="X2065" s="124"/>
      <c r="Y2065" s="124"/>
      <c r="Z2065" s="124"/>
    </row>
    <row r="2066">
      <c r="A2066" s="124"/>
      <c r="B2066" s="124"/>
      <c r="C2066" s="147"/>
      <c r="D2066" s="124"/>
      <c r="E2066" s="124"/>
      <c r="F2066" s="124"/>
      <c r="G2066" s="124"/>
      <c r="H2066" s="124"/>
      <c r="I2066" s="124"/>
      <c r="J2066" s="124"/>
      <c r="K2066" s="124"/>
      <c r="L2066" s="124"/>
      <c r="M2066" s="124"/>
      <c r="N2066" s="124"/>
      <c r="O2066" s="124"/>
      <c r="P2066" s="124"/>
      <c r="Q2066" s="124"/>
      <c r="R2066" s="124"/>
      <c r="S2066" s="124"/>
      <c r="T2066" s="124"/>
      <c r="U2066" s="124"/>
      <c r="V2066" s="124"/>
      <c r="W2066" s="124"/>
      <c r="X2066" s="124"/>
      <c r="Y2066" s="124"/>
      <c r="Z2066" s="124"/>
    </row>
    <row r="2067">
      <c r="A2067" s="124"/>
      <c r="B2067" s="124"/>
      <c r="C2067" s="147"/>
      <c r="D2067" s="124"/>
      <c r="E2067" s="124"/>
      <c r="F2067" s="124"/>
      <c r="G2067" s="124"/>
      <c r="H2067" s="124"/>
      <c r="I2067" s="124"/>
      <c r="J2067" s="124"/>
      <c r="K2067" s="124"/>
      <c r="L2067" s="124"/>
      <c r="M2067" s="124"/>
      <c r="N2067" s="124"/>
      <c r="O2067" s="124"/>
      <c r="P2067" s="124"/>
      <c r="Q2067" s="124"/>
      <c r="R2067" s="124"/>
      <c r="S2067" s="124"/>
      <c r="T2067" s="124"/>
      <c r="U2067" s="124"/>
      <c r="V2067" s="124"/>
      <c r="W2067" s="124"/>
      <c r="X2067" s="124"/>
      <c r="Y2067" s="124"/>
      <c r="Z2067" s="124"/>
    </row>
    <row r="2068">
      <c r="A2068" s="124"/>
      <c r="B2068" s="124"/>
      <c r="C2068" s="147"/>
      <c r="D2068" s="124"/>
      <c r="E2068" s="124"/>
      <c r="F2068" s="124"/>
      <c r="G2068" s="124"/>
      <c r="H2068" s="124"/>
      <c r="I2068" s="124"/>
      <c r="J2068" s="124"/>
      <c r="K2068" s="124"/>
      <c r="L2068" s="124"/>
      <c r="M2068" s="124"/>
      <c r="N2068" s="124"/>
      <c r="O2068" s="124"/>
      <c r="P2068" s="124"/>
      <c r="Q2068" s="124"/>
      <c r="R2068" s="124"/>
      <c r="S2068" s="124"/>
      <c r="T2068" s="124"/>
      <c r="U2068" s="124"/>
      <c r="V2068" s="124"/>
      <c r="W2068" s="124"/>
      <c r="X2068" s="124"/>
      <c r="Y2068" s="124"/>
      <c r="Z2068" s="124"/>
    </row>
    <row r="2069">
      <c r="A2069" s="124"/>
      <c r="B2069" s="124"/>
      <c r="C2069" s="147"/>
      <c r="D2069" s="124"/>
      <c r="E2069" s="124"/>
      <c r="F2069" s="124"/>
      <c r="G2069" s="124"/>
      <c r="H2069" s="124"/>
      <c r="I2069" s="124"/>
      <c r="J2069" s="124"/>
      <c r="K2069" s="124"/>
      <c r="L2069" s="124"/>
      <c r="M2069" s="124"/>
      <c r="N2069" s="124"/>
      <c r="O2069" s="124"/>
      <c r="P2069" s="124"/>
      <c r="Q2069" s="124"/>
      <c r="R2069" s="124"/>
      <c r="S2069" s="124"/>
      <c r="T2069" s="124"/>
      <c r="U2069" s="124"/>
      <c r="V2069" s="124"/>
      <c r="W2069" s="124"/>
      <c r="X2069" s="124"/>
      <c r="Y2069" s="124"/>
      <c r="Z2069" s="124"/>
    </row>
    <row r="2070">
      <c r="A2070" s="124"/>
      <c r="B2070" s="124"/>
      <c r="C2070" s="147"/>
      <c r="D2070" s="124"/>
      <c r="E2070" s="124"/>
      <c r="F2070" s="124"/>
      <c r="G2070" s="124"/>
      <c r="H2070" s="124"/>
      <c r="I2070" s="124"/>
      <c r="J2070" s="124"/>
      <c r="K2070" s="124"/>
      <c r="L2070" s="124"/>
      <c r="M2070" s="124"/>
      <c r="N2070" s="124"/>
      <c r="O2070" s="124"/>
      <c r="P2070" s="124"/>
      <c r="Q2070" s="124"/>
      <c r="R2070" s="124"/>
      <c r="S2070" s="124"/>
      <c r="T2070" s="124"/>
      <c r="U2070" s="124"/>
      <c r="V2070" s="124"/>
      <c r="W2070" s="124"/>
      <c r="X2070" s="124"/>
      <c r="Y2070" s="124"/>
      <c r="Z2070" s="124"/>
    </row>
    <row r="2071">
      <c r="A2071" s="124"/>
      <c r="B2071" s="124"/>
      <c r="C2071" s="147"/>
      <c r="D2071" s="124"/>
      <c r="E2071" s="124"/>
      <c r="F2071" s="124"/>
      <c r="G2071" s="124"/>
      <c r="H2071" s="124"/>
      <c r="I2071" s="124"/>
      <c r="J2071" s="124"/>
      <c r="K2071" s="124"/>
      <c r="L2071" s="124"/>
      <c r="M2071" s="124"/>
      <c r="N2071" s="124"/>
      <c r="O2071" s="124"/>
      <c r="P2071" s="124"/>
      <c r="Q2071" s="124"/>
      <c r="R2071" s="124"/>
      <c r="S2071" s="124"/>
      <c r="T2071" s="124"/>
      <c r="U2071" s="124"/>
      <c r="V2071" s="124"/>
      <c r="W2071" s="124"/>
      <c r="X2071" s="124"/>
      <c r="Y2071" s="124"/>
      <c r="Z2071" s="124"/>
    </row>
    <row r="2072">
      <c r="A2072" s="124"/>
      <c r="B2072" s="124"/>
      <c r="C2072" s="147"/>
      <c r="D2072" s="124"/>
      <c r="E2072" s="124"/>
      <c r="F2072" s="124"/>
      <c r="G2072" s="124"/>
      <c r="H2072" s="124"/>
      <c r="I2072" s="124"/>
      <c r="J2072" s="124"/>
      <c r="K2072" s="124"/>
      <c r="L2072" s="124"/>
      <c r="M2072" s="124"/>
      <c r="N2072" s="124"/>
      <c r="O2072" s="124"/>
      <c r="P2072" s="124"/>
      <c r="Q2072" s="124"/>
      <c r="R2072" s="124"/>
      <c r="S2072" s="124"/>
      <c r="T2072" s="124"/>
      <c r="U2072" s="124"/>
      <c r="V2072" s="124"/>
      <c r="W2072" s="124"/>
      <c r="X2072" s="124"/>
      <c r="Y2072" s="124"/>
      <c r="Z2072" s="124"/>
    </row>
    <row r="2073">
      <c r="A2073" s="124"/>
      <c r="B2073" s="124"/>
      <c r="C2073" s="147"/>
      <c r="D2073" s="124"/>
      <c r="E2073" s="124"/>
      <c r="F2073" s="124"/>
      <c r="G2073" s="124"/>
      <c r="H2073" s="124"/>
      <c r="I2073" s="124"/>
      <c r="J2073" s="124"/>
      <c r="K2073" s="124"/>
      <c r="L2073" s="124"/>
      <c r="M2073" s="124"/>
      <c r="N2073" s="124"/>
      <c r="O2073" s="124"/>
      <c r="P2073" s="124"/>
      <c r="Q2073" s="124"/>
      <c r="R2073" s="124"/>
      <c r="S2073" s="124"/>
      <c r="T2073" s="124"/>
      <c r="U2073" s="124"/>
      <c r="V2073" s="124"/>
      <c r="W2073" s="124"/>
      <c r="X2073" s="124"/>
      <c r="Y2073" s="124"/>
      <c r="Z2073" s="124"/>
    </row>
    <row r="2074">
      <c r="A2074" s="124"/>
      <c r="B2074" s="124"/>
      <c r="C2074" s="147"/>
      <c r="D2074" s="124"/>
      <c r="E2074" s="124"/>
      <c r="F2074" s="124"/>
      <c r="G2074" s="124"/>
      <c r="H2074" s="124"/>
      <c r="I2074" s="124"/>
      <c r="J2074" s="124"/>
      <c r="K2074" s="124"/>
      <c r="L2074" s="124"/>
      <c r="M2074" s="124"/>
      <c r="N2074" s="124"/>
      <c r="O2074" s="124"/>
      <c r="P2074" s="124"/>
      <c r="Q2074" s="124"/>
      <c r="R2074" s="124"/>
      <c r="S2074" s="124"/>
      <c r="T2074" s="124"/>
      <c r="U2074" s="124"/>
      <c r="V2074" s="124"/>
      <c r="W2074" s="124"/>
      <c r="X2074" s="124"/>
      <c r="Y2074" s="124"/>
      <c r="Z2074" s="124"/>
    </row>
    <row r="2075">
      <c r="A2075" s="124"/>
      <c r="B2075" s="124"/>
      <c r="C2075" s="147"/>
      <c r="D2075" s="124"/>
      <c r="E2075" s="124"/>
      <c r="F2075" s="124"/>
      <c r="G2075" s="124"/>
      <c r="H2075" s="124"/>
      <c r="I2075" s="124"/>
      <c r="J2075" s="124"/>
      <c r="K2075" s="124"/>
      <c r="L2075" s="124"/>
      <c r="M2075" s="124"/>
      <c r="N2075" s="124"/>
      <c r="O2075" s="124"/>
      <c r="P2075" s="124"/>
      <c r="Q2075" s="124"/>
      <c r="R2075" s="124"/>
      <c r="S2075" s="124"/>
      <c r="T2075" s="124"/>
      <c r="U2075" s="124"/>
      <c r="V2075" s="124"/>
      <c r="W2075" s="124"/>
      <c r="X2075" s="124"/>
      <c r="Y2075" s="124"/>
      <c r="Z2075" s="124"/>
    </row>
    <row r="2076">
      <c r="A2076" s="124"/>
      <c r="B2076" s="124"/>
      <c r="C2076" s="147"/>
      <c r="D2076" s="124"/>
      <c r="E2076" s="124"/>
      <c r="F2076" s="124"/>
      <c r="G2076" s="124"/>
      <c r="H2076" s="124"/>
      <c r="I2076" s="124"/>
      <c r="J2076" s="124"/>
      <c r="K2076" s="124"/>
      <c r="L2076" s="124"/>
      <c r="M2076" s="124"/>
      <c r="N2076" s="124"/>
      <c r="O2076" s="124"/>
      <c r="P2076" s="124"/>
      <c r="Q2076" s="124"/>
      <c r="R2076" s="124"/>
      <c r="S2076" s="124"/>
      <c r="T2076" s="124"/>
      <c r="U2076" s="124"/>
      <c r="V2076" s="124"/>
      <c r="W2076" s="124"/>
      <c r="X2076" s="124"/>
      <c r="Y2076" s="124"/>
      <c r="Z2076" s="124"/>
    </row>
    <row r="2077">
      <c r="A2077" s="124"/>
      <c r="B2077" s="124"/>
      <c r="C2077" s="147"/>
      <c r="D2077" s="124"/>
      <c r="E2077" s="124"/>
      <c r="F2077" s="124"/>
      <c r="G2077" s="124"/>
      <c r="H2077" s="124"/>
      <c r="I2077" s="124"/>
      <c r="J2077" s="124"/>
      <c r="K2077" s="124"/>
      <c r="L2077" s="124"/>
      <c r="M2077" s="124"/>
      <c r="N2077" s="124"/>
      <c r="O2077" s="124"/>
      <c r="P2077" s="124"/>
      <c r="Q2077" s="124"/>
      <c r="R2077" s="124"/>
      <c r="S2077" s="124"/>
      <c r="T2077" s="124"/>
      <c r="U2077" s="124"/>
      <c r="V2077" s="124"/>
      <c r="W2077" s="124"/>
      <c r="X2077" s="124"/>
      <c r="Y2077" s="124"/>
      <c r="Z2077" s="124"/>
    </row>
    <row r="2078">
      <c r="A2078" s="124"/>
      <c r="B2078" s="124"/>
      <c r="C2078" s="147"/>
      <c r="D2078" s="124"/>
      <c r="E2078" s="124"/>
      <c r="F2078" s="124"/>
      <c r="G2078" s="124"/>
      <c r="H2078" s="124"/>
      <c r="I2078" s="124"/>
      <c r="J2078" s="124"/>
      <c r="K2078" s="124"/>
      <c r="L2078" s="124"/>
      <c r="M2078" s="124"/>
      <c r="N2078" s="124"/>
      <c r="O2078" s="124"/>
      <c r="P2078" s="124"/>
      <c r="Q2078" s="124"/>
      <c r="R2078" s="124"/>
      <c r="S2078" s="124"/>
      <c r="T2078" s="124"/>
      <c r="U2078" s="124"/>
      <c r="V2078" s="124"/>
      <c r="W2078" s="124"/>
      <c r="X2078" s="124"/>
      <c r="Y2078" s="124"/>
      <c r="Z2078" s="124"/>
    </row>
    <row r="2079">
      <c r="A2079" s="124"/>
      <c r="B2079" s="124"/>
      <c r="C2079" s="147"/>
      <c r="D2079" s="124"/>
      <c r="E2079" s="124"/>
      <c r="F2079" s="124"/>
      <c r="G2079" s="124"/>
      <c r="H2079" s="124"/>
      <c r="I2079" s="124"/>
      <c r="J2079" s="124"/>
      <c r="K2079" s="124"/>
      <c r="L2079" s="124"/>
      <c r="M2079" s="124"/>
      <c r="N2079" s="124"/>
      <c r="O2079" s="124"/>
      <c r="P2079" s="124"/>
      <c r="Q2079" s="124"/>
      <c r="R2079" s="124"/>
      <c r="S2079" s="124"/>
      <c r="T2079" s="124"/>
      <c r="U2079" s="124"/>
      <c r="V2079" s="124"/>
      <c r="W2079" s="124"/>
      <c r="X2079" s="124"/>
      <c r="Y2079" s="124"/>
      <c r="Z2079" s="124"/>
    </row>
    <row r="2080">
      <c r="A2080" s="124"/>
      <c r="B2080" s="124"/>
      <c r="C2080" s="147"/>
      <c r="D2080" s="124"/>
      <c r="E2080" s="124"/>
      <c r="F2080" s="124"/>
      <c r="G2080" s="124"/>
      <c r="H2080" s="124"/>
      <c r="I2080" s="124"/>
      <c r="J2080" s="124"/>
      <c r="K2080" s="124"/>
      <c r="L2080" s="124"/>
      <c r="M2080" s="124"/>
      <c r="N2080" s="124"/>
      <c r="O2080" s="124"/>
      <c r="P2080" s="124"/>
      <c r="Q2080" s="124"/>
      <c r="R2080" s="124"/>
      <c r="S2080" s="124"/>
      <c r="T2080" s="124"/>
      <c r="U2080" s="124"/>
      <c r="V2080" s="124"/>
      <c r="W2080" s="124"/>
      <c r="X2080" s="124"/>
      <c r="Y2080" s="124"/>
      <c r="Z2080" s="124"/>
    </row>
    <row r="2081">
      <c r="A2081" s="124"/>
      <c r="B2081" s="124"/>
      <c r="C2081" s="147"/>
      <c r="D2081" s="124"/>
      <c r="E2081" s="124"/>
      <c r="F2081" s="124"/>
      <c r="G2081" s="124"/>
      <c r="H2081" s="124"/>
      <c r="I2081" s="124"/>
      <c r="J2081" s="124"/>
      <c r="K2081" s="124"/>
      <c r="L2081" s="124"/>
      <c r="M2081" s="124"/>
      <c r="N2081" s="124"/>
      <c r="O2081" s="124"/>
      <c r="P2081" s="124"/>
      <c r="Q2081" s="124"/>
      <c r="R2081" s="124"/>
      <c r="S2081" s="124"/>
      <c r="T2081" s="124"/>
      <c r="U2081" s="124"/>
      <c r="V2081" s="124"/>
      <c r="W2081" s="124"/>
      <c r="X2081" s="124"/>
      <c r="Y2081" s="124"/>
      <c r="Z2081" s="124"/>
    </row>
    <row r="2082">
      <c r="A2082" s="124"/>
      <c r="B2082" s="124"/>
      <c r="C2082" s="147"/>
      <c r="D2082" s="124"/>
      <c r="E2082" s="124"/>
      <c r="F2082" s="124"/>
      <c r="G2082" s="124"/>
      <c r="H2082" s="124"/>
      <c r="I2082" s="124"/>
      <c r="J2082" s="124"/>
      <c r="K2082" s="124"/>
      <c r="L2082" s="124"/>
      <c r="M2082" s="124"/>
      <c r="N2082" s="124"/>
      <c r="O2082" s="124"/>
      <c r="P2082" s="124"/>
      <c r="Q2082" s="124"/>
      <c r="R2082" s="124"/>
      <c r="S2082" s="124"/>
      <c r="T2082" s="124"/>
      <c r="U2082" s="124"/>
      <c r="V2082" s="124"/>
      <c r="W2082" s="124"/>
      <c r="X2082" s="124"/>
      <c r="Y2082" s="124"/>
      <c r="Z2082" s="124"/>
    </row>
    <row r="2083">
      <c r="A2083" s="124"/>
      <c r="B2083" s="124"/>
      <c r="C2083" s="147"/>
      <c r="D2083" s="124"/>
      <c r="E2083" s="124"/>
      <c r="F2083" s="124"/>
      <c r="G2083" s="124"/>
      <c r="H2083" s="124"/>
      <c r="I2083" s="124"/>
      <c r="J2083" s="124"/>
      <c r="K2083" s="124"/>
      <c r="L2083" s="124"/>
      <c r="M2083" s="124"/>
      <c r="N2083" s="124"/>
      <c r="O2083" s="124"/>
      <c r="P2083" s="124"/>
      <c r="Q2083" s="124"/>
      <c r="R2083" s="124"/>
      <c r="S2083" s="124"/>
      <c r="T2083" s="124"/>
      <c r="U2083" s="124"/>
      <c r="V2083" s="124"/>
      <c r="W2083" s="124"/>
      <c r="X2083" s="124"/>
      <c r="Y2083" s="124"/>
      <c r="Z2083" s="124"/>
    </row>
    <row r="2084">
      <c r="A2084" s="124"/>
      <c r="B2084" s="124"/>
      <c r="C2084" s="147"/>
      <c r="D2084" s="124"/>
      <c r="E2084" s="124"/>
      <c r="F2084" s="124"/>
      <c r="G2084" s="124"/>
      <c r="H2084" s="124"/>
      <c r="I2084" s="124"/>
      <c r="J2084" s="124"/>
      <c r="K2084" s="124"/>
      <c r="L2084" s="124"/>
      <c r="M2084" s="124"/>
      <c r="N2084" s="124"/>
      <c r="O2084" s="124"/>
      <c r="P2084" s="124"/>
      <c r="Q2084" s="124"/>
      <c r="R2084" s="124"/>
      <c r="S2084" s="124"/>
      <c r="T2084" s="124"/>
      <c r="U2084" s="124"/>
      <c r="V2084" s="124"/>
      <c r="W2084" s="124"/>
      <c r="X2084" s="124"/>
      <c r="Y2084" s="124"/>
      <c r="Z2084" s="124"/>
    </row>
    <row r="2085">
      <c r="A2085" s="124"/>
      <c r="B2085" s="124"/>
      <c r="C2085" s="147"/>
      <c r="D2085" s="124"/>
      <c r="E2085" s="124"/>
      <c r="F2085" s="124"/>
      <c r="G2085" s="124"/>
      <c r="H2085" s="124"/>
      <c r="I2085" s="124"/>
      <c r="J2085" s="124"/>
      <c r="K2085" s="124"/>
      <c r="L2085" s="124"/>
      <c r="M2085" s="124"/>
      <c r="N2085" s="124"/>
      <c r="O2085" s="124"/>
      <c r="P2085" s="124"/>
      <c r="Q2085" s="124"/>
      <c r="R2085" s="124"/>
      <c r="S2085" s="124"/>
      <c r="T2085" s="124"/>
      <c r="U2085" s="124"/>
      <c r="V2085" s="124"/>
      <c r="W2085" s="124"/>
      <c r="X2085" s="124"/>
      <c r="Y2085" s="124"/>
      <c r="Z2085" s="124"/>
    </row>
    <row r="2086">
      <c r="A2086" s="124"/>
      <c r="B2086" s="124"/>
      <c r="C2086" s="147"/>
      <c r="D2086" s="124"/>
      <c r="E2086" s="124"/>
      <c r="F2086" s="124"/>
      <c r="G2086" s="124"/>
      <c r="H2086" s="124"/>
      <c r="I2086" s="124"/>
      <c r="J2086" s="124"/>
      <c r="K2086" s="124"/>
      <c r="L2086" s="124"/>
      <c r="M2086" s="124"/>
      <c r="N2086" s="124"/>
      <c r="O2086" s="124"/>
      <c r="P2086" s="124"/>
      <c r="Q2086" s="124"/>
      <c r="R2086" s="124"/>
      <c r="S2086" s="124"/>
      <c r="T2086" s="124"/>
      <c r="U2086" s="124"/>
      <c r="V2086" s="124"/>
      <c r="W2086" s="124"/>
      <c r="X2086" s="124"/>
      <c r="Y2086" s="124"/>
      <c r="Z2086" s="124"/>
    </row>
    <row r="2087">
      <c r="A2087" s="124"/>
      <c r="B2087" s="124"/>
      <c r="C2087" s="147"/>
      <c r="D2087" s="124"/>
      <c r="E2087" s="124"/>
      <c r="F2087" s="124"/>
      <c r="G2087" s="124"/>
      <c r="H2087" s="124"/>
      <c r="I2087" s="124"/>
      <c r="J2087" s="124"/>
      <c r="K2087" s="124"/>
      <c r="L2087" s="124"/>
      <c r="M2087" s="124"/>
      <c r="N2087" s="124"/>
      <c r="O2087" s="124"/>
      <c r="P2087" s="124"/>
      <c r="Q2087" s="124"/>
      <c r="R2087" s="124"/>
      <c r="S2087" s="124"/>
      <c r="T2087" s="124"/>
      <c r="U2087" s="124"/>
      <c r="V2087" s="124"/>
      <c r="W2087" s="124"/>
      <c r="X2087" s="124"/>
      <c r="Y2087" s="124"/>
      <c r="Z2087" s="124"/>
    </row>
    <row r="2088">
      <c r="A2088" s="124"/>
      <c r="B2088" s="124"/>
      <c r="C2088" s="147"/>
      <c r="D2088" s="124"/>
      <c r="E2088" s="124"/>
      <c r="F2088" s="124"/>
      <c r="G2088" s="124"/>
      <c r="H2088" s="124"/>
      <c r="I2088" s="124"/>
      <c r="J2088" s="124"/>
      <c r="K2088" s="124"/>
      <c r="L2088" s="124"/>
      <c r="M2088" s="124"/>
      <c r="N2088" s="124"/>
      <c r="O2088" s="124"/>
      <c r="P2088" s="124"/>
      <c r="Q2088" s="124"/>
      <c r="R2088" s="124"/>
      <c r="S2088" s="124"/>
      <c r="T2088" s="124"/>
      <c r="U2088" s="124"/>
      <c r="V2088" s="124"/>
      <c r="W2088" s="124"/>
      <c r="X2088" s="124"/>
      <c r="Y2088" s="124"/>
      <c r="Z2088" s="124"/>
    </row>
    <row r="2089">
      <c r="A2089" s="124"/>
      <c r="B2089" s="124"/>
      <c r="C2089" s="147"/>
      <c r="D2089" s="124"/>
      <c r="E2089" s="124"/>
      <c r="F2089" s="124"/>
      <c r="G2089" s="124"/>
      <c r="H2089" s="124"/>
      <c r="I2089" s="124"/>
      <c r="J2089" s="124"/>
      <c r="K2089" s="124"/>
      <c r="L2089" s="124"/>
      <c r="M2089" s="124"/>
      <c r="N2089" s="124"/>
      <c r="O2089" s="124"/>
      <c r="P2089" s="124"/>
      <c r="Q2089" s="124"/>
      <c r="R2089" s="124"/>
      <c r="S2089" s="124"/>
      <c r="T2089" s="124"/>
      <c r="U2089" s="124"/>
      <c r="V2089" s="124"/>
      <c r="W2089" s="124"/>
      <c r="X2089" s="124"/>
      <c r="Y2089" s="124"/>
      <c r="Z2089" s="124"/>
    </row>
    <row r="2090">
      <c r="A2090" s="124"/>
      <c r="B2090" s="124"/>
      <c r="C2090" s="147"/>
      <c r="D2090" s="124"/>
      <c r="E2090" s="124"/>
      <c r="F2090" s="124"/>
      <c r="G2090" s="124"/>
      <c r="H2090" s="124"/>
      <c r="I2090" s="124"/>
      <c r="J2090" s="124"/>
      <c r="K2090" s="124"/>
      <c r="L2090" s="124"/>
      <c r="M2090" s="124"/>
      <c r="N2090" s="124"/>
      <c r="O2090" s="124"/>
      <c r="P2090" s="124"/>
      <c r="Q2090" s="124"/>
      <c r="R2090" s="124"/>
      <c r="S2090" s="124"/>
      <c r="T2090" s="124"/>
      <c r="U2090" s="124"/>
      <c r="V2090" s="124"/>
      <c r="W2090" s="124"/>
      <c r="X2090" s="124"/>
      <c r="Y2090" s="124"/>
      <c r="Z2090" s="124"/>
    </row>
    <row r="2091">
      <c r="A2091" s="124"/>
      <c r="B2091" s="124"/>
      <c r="C2091" s="147"/>
      <c r="D2091" s="124"/>
      <c r="E2091" s="124"/>
      <c r="F2091" s="124"/>
      <c r="G2091" s="124"/>
      <c r="H2091" s="124"/>
      <c r="I2091" s="124"/>
      <c r="J2091" s="124"/>
      <c r="K2091" s="124"/>
      <c r="L2091" s="124"/>
      <c r="M2091" s="124"/>
      <c r="N2091" s="124"/>
      <c r="O2091" s="124"/>
      <c r="P2091" s="124"/>
      <c r="Q2091" s="124"/>
      <c r="R2091" s="124"/>
      <c r="S2091" s="124"/>
      <c r="T2091" s="124"/>
      <c r="U2091" s="124"/>
      <c r="V2091" s="124"/>
      <c r="W2091" s="124"/>
      <c r="X2091" s="124"/>
      <c r="Y2091" s="124"/>
      <c r="Z2091" s="124"/>
    </row>
    <row r="2092">
      <c r="A2092" s="124"/>
      <c r="B2092" s="124"/>
      <c r="C2092" s="147"/>
      <c r="D2092" s="124"/>
      <c r="E2092" s="124"/>
      <c r="F2092" s="124"/>
      <c r="G2092" s="124"/>
      <c r="H2092" s="124"/>
      <c r="I2092" s="124"/>
      <c r="J2092" s="124"/>
      <c r="K2092" s="124"/>
      <c r="L2092" s="124"/>
      <c r="M2092" s="124"/>
      <c r="N2092" s="124"/>
      <c r="O2092" s="124"/>
      <c r="P2092" s="124"/>
      <c r="Q2092" s="124"/>
      <c r="R2092" s="124"/>
      <c r="S2092" s="124"/>
      <c r="T2092" s="124"/>
      <c r="U2092" s="124"/>
      <c r="V2092" s="124"/>
      <c r="W2092" s="124"/>
      <c r="X2092" s="124"/>
      <c r="Y2092" s="124"/>
      <c r="Z2092" s="124"/>
    </row>
    <row r="2093">
      <c r="A2093" s="124"/>
      <c r="B2093" s="124"/>
      <c r="C2093" s="147"/>
      <c r="D2093" s="124"/>
      <c r="E2093" s="124"/>
      <c r="F2093" s="124"/>
      <c r="G2093" s="124"/>
      <c r="H2093" s="124"/>
      <c r="I2093" s="124"/>
      <c r="J2093" s="124"/>
      <c r="K2093" s="124"/>
      <c r="L2093" s="124"/>
      <c r="M2093" s="124"/>
      <c r="N2093" s="124"/>
      <c r="O2093" s="124"/>
      <c r="P2093" s="124"/>
      <c r="Q2093" s="124"/>
      <c r="R2093" s="124"/>
      <c r="S2093" s="124"/>
      <c r="T2093" s="124"/>
      <c r="U2093" s="124"/>
      <c r="V2093" s="124"/>
      <c r="W2093" s="124"/>
      <c r="X2093" s="124"/>
      <c r="Y2093" s="124"/>
      <c r="Z2093" s="124"/>
    </row>
    <row r="2094">
      <c r="A2094" s="124"/>
      <c r="B2094" s="124"/>
      <c r="C2094" s="147"/>
      <c r="D2094" s="124"/>
      <c r="E2094" s="124"/>
      <c r="F2094" s="124"/>
      <c r="G2094" s="124"/>
      <c r="H2094" s="124"/>
      <c r="I2094" s="124"/>
      <c r="J2094" s="124"/>
      <c r="K2094" s="124"/>
      <c r="L2094" s="124"/>
      <c r="M2094" s="124"/>
      <c r="N2094" s="124"/>
      <c r="O2094" s="124"/>
      <c r="P2094" s="124"/>
      <c r="Q2094" s="124"/>
      <c r="R2094" s="124"/>
      <c r="S2094" s="124"/>
      <c r="T2094" s="124"/>
      <c r="U2094" s="124"/>
      <c r="V2094" s="124"/>
      <c r="W2094" s="124"/>
      <c r="X2094" s="124"/>
      <c r="Y2094" s="124"/>
      <c r="Z2094" s="124"/>
    </row>
    <row r="2095">
      <c r="A2095" s="124"/>
      <c r="B2095" s="124"/>
      <c r="C2095" s="147"/>
      <c r="D2095" s="124"/>
      <c r="E2095" s="124"/>
      <c r="F2095" s="124"/>
      <c r="G2095" s="124"/>
      <c r="H2095" s="124"/>
      <c r="I2095" s="124"/>
      <c r="J2095" s="124"/>
      <c r="K2095" s="124"/>
      <c r="L2095" s="124"/>
      <c r="M2095" s="124"/>
      <c r="N2095" s="124"/>
      <c r="O2095" s="124"/>
      <c r="P2095" s="124"/>
      <c r="Q2095" s="124"/>
      <c r="R2095" s="124"/>
      <c r="S2095" s="124"/>
      <c r="T2095" s="124"/>
      <c r="U2095" s="124"/>
      <c r="V2095" s="124"/>
      <c r="W2095" s="124"/>
      <c r="X2095" s="124"/>
      <c r="Y2095" s="124"/>
      <c r="Z2095" s="124"/>
    </row>
    <row r="2096">
      <c r="A2096" s="124"/>
      <c r="B2096" s="124"/>
      <c r="C2096" s="147"/>
      <c r="D2096" s="124"/>
      <c r="E2096" s="124"/>
      <c r="F2096" s="124"/>
      <c r="G2096" s="124"/>
      <c r="H2096" s="124"/>
      <c r="I2096" s="124"/>
      <c r="J2096" s="124"/>
      <c r="K2096" s="124"/>
      <c r="L2096" s="124"/>
      <c r="M2096" s="124"/>
      <c r="N2096" s="124"/>
      <c r="O2096" s="124"/>
      <c r="P2096" s="124"/>
      <c r="Q2096" s="124"/>
      <c r="R2096" s="124"/>
      <c r="S2096" s="124"/>
      <c r="T2096" s="124"/>
      <c r="U2096" s="124"/>
      <c r="V2096" s="124"/>
      <c r="W2096" s="124"/>
      <c r="X2096" s="124"/>
      <c r="Y2096" s="124"/>
      <c r="Z2096" s="124"/>
    </row>
    <row r="2097">
      <c r="A2097" s="124"/>
      <c r="B2097" s="124"/>
      <c r="C2097" s="147"/>
      <c r="D2097" s="124"/>
      <c r="E2097" s="124"/>
      <c r="F2097" s="124"/>
      <c r="G2097" s="124"/>
      <c r="H2097" s="124"/>
      <c r="I2097" s="124"/>
      <c r="J2097" s="124"/>
      <c r="K2097" s="124"/>
      <c r="L2097" s="124"/>
      <c r="M2097" s="124"/>
      <c r="N2097" s="124"/>
      <c r="O2097" s="124"/>
      <c r="P2097" s="124"/>
      <c r="Q2097" s="124"/>
      <c r="R2097" s="124"/>
      <c r="S2097" s="124"/>
      <c r="T2097" s="124"/>
      <c r="U2097" s="124"/>
      <c r="V2097" s="124"/>
      <c r="W2097" s="124"/>
      <c r="X2097" s="124"/>
      <c r="Y2097" s="124"/>
      <c r="Z2097" s="124"/>
    </row>
    <row r="2098">
      <c r="A2098" s="124"/>
      <c r="B2098" s="124"/>
      <c r="C2098" s="147"/>
      <c r="D2098" s="124"/>
      <c r="E2098" s="124"/>
      <c r="F2098" s="124"/>
      <c r="G2098" s="124"/>
      <c r="H2098" s="124"/>
      <c r="I2098" s="124"/>
      <c r="J2098" s="124"/>
      <c r="K2098" s="124"/>
      <c r="L2098" s="124"/>
      <c r="M2098" s="124"/>
      <c r="N2098" s="124"/>
      <c r="O2098" s="124"/>
      <c r="P2098" s="124"/>
      <c r="Q2098" s="124"/>
      <c r="R2098" s="124"/>
      <c r="S2098" s="124"/>
      <c r="T2098" s="124"/>
      <c r="U2098" s="124"/>
      <c r="V2098" s="124"/>
      <c r="W2098" s="124"/>
      <c r="X2098" s="124"/>
      <c r="Y2098" s="124"/>
      <c r="Z2098" s="124"/>
    </row>
    <row r="2099">
      <c r="A2099" s="124"/>
      <c r="B2099" s="124"/>
      <c r="C2099" s="147"/>
      <c r="D2099" s="124"/>
      <c r="E2099" s="124"/>
      <c r="F2099" s="124"/>
      <c r="G2099" s="124"/>
      <c r="H2099" s="124"/>
      <c r="I2099" s="124"/>
      <c r="J2099" s="124"/>
      <c r="K2099" s="124"/>
      <c r="L2099" s="124"/>
      <c r="M2099" s="124"/>
      <c r="N2099" s="124"/>
      <c r="O2099" s="124"/>
      <c r="P2099" s="124"/>
      <c r="Q2099" s="124"/>
      <c r="R2099" s="124"/>
      <c r="S2099" s="124"/>
      <c r="T2099" s="124"/>
      <c r="U2099" s="124"/>
      <c r="V2099" s="124"/>
      <c r="W2099" s="124"/>
      <c r="X2099" s="124"/>
      <c r="Y2099" s="124"/>
      <c r="Z2099" s="124"/>
    </row>
    <row r="2100">
      <c r="A2100" s="124"/>
      <c r="B2100" s="124"/>
      <c r="C2100" s="147"/>
      <c r="D2100" s="124"/>
      <c r="E2100" s="124"/>
      <c r="F2100" s="124"/>
      <c r="G2100" s="124"/>
      <c r="H2100" s="124"/>
      <c r="I2100" s="124"/>
      <c r="J2100" s="124"/>
      <c r="K2100" s="124"/>
      <c r="L2100" s="124"/>
      <c r="M2100" s="124"/>
      <c r="N2100" s="124"/>
      <c r="O2100" s="124"/>
      <c r="P2100" s="124"/>
      <c r="Q2100" s="124"/>
      <c r="R2100" s="124"/>
      <c r="S2100" s="124"/>
      <c r="T2100" s="124"/>
      <c r="U2100" s="124"/>
      <c r="V2100" s="124"/>
      <c r="W2100" s="124"/>
      <c r="X2100" s="124"/>
      <c r="Y2100" s="124"/>
      <c r="Z2100" s="124"/>
    </row>
    <row r="2101">
      <c r="A2101" s="124"/>
      <c r="B2101" s="124"/>
      <c r="C2101" s="147"/>
      <c r="D2101" s="124"/>
      <c r="E2101" s="124"/>
      <c r="F2101" s="124"/>
      <c r="G2101" s="124"/>
      <c r="H2101" s="124"/>
      <c r="I2101" s="124"/>
      <c r="J2101" s="124"/>
      <c r="K2101" s="124"/>
      <c r="L2101" s="124"/>
      <c r="M2101" s="124"/>
      <c r="N2101" s="124"/>
      <c r="O2101" s="124"/>
      <c r="P2101" s="124"/>
      <c r="Q2101" s="124"/>
      <c r="R2101" s="124"/>
      <c r="S2101" s="124"/>
      <c r="T2101" s="124"/>
      <c r="U2101" s="124"/>
      <c r="V2101" s="124"/>
      <c r="W2101" s="124"/>
      <c r="X2101" s="124"/>
      <c r="Y2101" s="124"/>
      <c r="Z2101" s="124"/>
    </row>
    <row r="2102">
      <c r="A2102" s="124"/>
      <c r="B2102" s="124"/>
      <c r="C2102" s="147"/>
      <c r="D2102" s="124"/>
      <c r="E2102" s="124"/>
      <c r="F2102" s="124"/>
      <c r="G2102" s="124"/>
      <c r="H2102" s="124"/>
      <c r="I2102" s="124"/>
      <c r="J2102" s="124"/>
      <c r="K2102" s="124"/>
      <c r="L2102" s="124"/>
      <c r="M2102" s="124"/>
      <c r="N2102" s="124"/>
      <c r="O2102" s="124"/>
      <c r="P2102" s="124"/>
      <c r="Q2102" s="124"/>
      <c r="R2102" s="124"/>
      <c r="S2102" s="124"/>
      <c r="T2102" s="124"/>
      <c r="U2102" s="124"/>
      <c r="V2102" s="124"/>
      <c r="W2102" s="124"/>
      <c r="X2102" s="124"/>
      <c r="Y2102" s="124"/>
      <c r="Z2102" s="124"/>
    </row>
    <row r="2103">
      <c r="A2103" s="124"/>
      <c r="B2103" s="124"/>
      <c r="C2103" s="147"/>
      <c r="D2103" s="124"/>
      <c r="E2103" s="124"/>
      <c r="F2103" s="124"/>
      <c r="G2103" s="124"/>
      <c r="H2103" s="124"/>
      <c r="I2103" s="124"/>
      <c r="J2103" s="124"/>
      <c r="K2103" s="124"/>
      <c r="L2103" s="124"/>
      <c r="M2103" s="124"/>
      <c r="N2103" s="124"/>
      <c r="O2103" s="124"/>
      <c r="P2103" s="124"/>
      <c r="Q2103" s="124"/>
      <c r="R2103" s="124"/>
      <c r="S2103" s="124"/>
      <c r="T2103" s="124"/>
      <c r="U2103" s="124"/>
      <c r="V2103" s="124"/>
      <c r="W2103" s="124"/>
      <c r="X2103" s="124"/>
      <c r="Y2103" s="124"/>
      <c r="Z2103" s="124"/>
    </row>
    <row r="2104">
      <c r="A2104" s="124"/>
      <c r="B2104" s="124"/>
      <c r="C2104" s="147"/>
      <c r="D2104" s="124"/>
      <c r="E2104" s="124"/>
      <c r="F2104" s="124"/>
      <c r="G2104" s="124"/>
      <c r="H2104" s="124"/>
      <c r="I2104" s="124"/>
      <c r="J2104" s="124"/>
      <c r="K2104" s="124"/>
      <c r="L2104" s="124"/>
      <c r="M2104" s="124"/>
      <c r="N2104" s="124"/>
      <c r="O2104" s="124"/>
      <c r="P2104" s="124"/>
      <c r="Q2104" s="124"/>
      <c r="R2104" s="124"/>
      <c r="S2104" s="124"/>
      <c r="T2104" s="124"/>
      <c r="U2104" s="124"/>
      <c r="V2104" s="124"/>
      <c r="W2104" s="124"/>
      <c r="X2104" s="124"/>
      <c r="Y2104" s="124"/>
      <c r="Z2104" s="124"/>
    </row>
    <row r="2105">
      <c r="A2105" s="124"/>
      <c r="B2105" s="124"/>
      <c r="C2105" s="147"/>
      <c r="D2105" s="124"/>
      <c r="E2105" s="124"/>
      <c r="F2105" s="124"/>
      <c r="G2105" s="124"/>
      <c r="H2105" s="124"/>
      <c r="I2105" s="124"/>
      <c r="J2105" s="124"/>
      <c r="K2105" s="124"/>
      <c r="L2105" s="124"/>
      <c r="M2105" s="124"/>
      <c r="N2105" s="124"/>
      <c r="O2105" s="124"/>
      <c r="P2105" s="124"/>
      <c r="Q2105" s="124"/>
      <c r="R2105" s="124"/>
      <c r="S2105" s="124"/>
      <c r="T2105" s="124"/>
      <c r="U2105" s="124"/>
      <c r="V2105" s="124"/>
      <c r="W2105" s="124"/>
      <c r="X2105" s="124"/>
      <c r="Y2105" s="124"/>
      <c r="Z2105" s="124"/>
    </row>
    <row r="2106">
      <c r="A2106" s="124"/>
      <c r="B2106" s="124"/>
      <c r="C2106" s="147"/>
      <c r="D2106" s="124"/>
      <c r="E2106" s="124"/>
      <c r="F2106" s="124"/>
      <c r="G2106" s="124"/>
      <c r="H2106" s="124"/>
      <c r="I2106" s="124"/>
      <c r="J2106" s="124"/>
      <c r="K2106" s="124"/>
      <c r="L2106" s="124"/>
      <c r="M2106" s="124"/>
      <c r="N2106" s="124"/>
      <c r="O2106" s="124"/>
      <c r="P2106" s="124"/>
      <c r="Q2106" s="124"/>
      <c r="R2106" s="124"/>
      <c r="S2106" s="124"/>
      <c r="T2106" s="124"/>
      <c r="U2106" s="124"/>
      <c r="V2106" s="124"/>
      <c r="W2106" s="124"/>
      <c r="X2106" s="124"/>
      <c r="Y2106" s="124"/>
      <c r="Z2106" s="124"/>
    </row>
    <row r="2107">
      <c r="A2107" s="124"/>
      <c r="B2107" s="124"/>
      <c r="C2107" s="147"/>
      <c r="D2107" s="124"/>
      <c r="E2107" s="124"/>
      <c r="F2107" s="124"/>
      <c r="G2107" s="124"/>
      <c r="H2107" s="124"/>
      <c r="I2107" s="124"/>
      <c r="J2107" s="124"/>
      <c r="K2107" s="124"/>
      <c r="L2107" s="124"/>
      <c r="M2107" s="124"/>
      <c r="N2107" s="124"/>
      <c r="O2107" s="124"/>
      <c r="P2107" s="124"/>
      <c r="Q2107" s="124"/>
      <c r="R2107" s="124"/>
      <c r="S2107" s="124"/>
      <c r="T2107" s="124"/>
      <c r="U2107" s="124"/>
      <c r="V2107" s="124"/>
      <c r="W2107" s="124"/>
      <c r="X2107" s="124"/>
      <c r="Y2107" s="124"/>
      <c r="Z2107" s="124"/>
    </row>
    <row r="2108">
      <c r="A2108" s="124"/>
      <c r="B2108" s="124"/>
      <c r="C2108" s="147"/>
      <c r="D2108" s="124"/>
      <c r="E2108" s="124"/>
      <c r="F2108" s="124"/>
      <c r="G2108" s="124"/>
      <c r="H2108" s="124"/>
      <c r="I2108" s="124"/>
      <c r="J2108" s="124"/>
      <c r="K2108" s="124"/>
      <c r="L2108" s="124"/>
      <c r="M2108" s="124"/>
      <c r="N2108" s="124"/>
      <c r="O2108" s="124"/>
      <c r="P2108" s="124"/>
      <c r="Q2108" s="124"/>
      <c r="R2108" s="124"/>
      <c r="S2108" s="124"/>
      <c r="T2108" s="124"/>
      <c r="U2108" s="124"/>
      <c r="V2108" s="124"/>
      <c r="W2108" s="124"/>
      <c r="X2108" s="124"/>
      <c r="Y2108" s="124"/>
      <c r="Z2108" s="124"/>
    </row>
    <row r="2109">
      <c r="A2109" s="124"/>
      <c r="B2109" s="124"/>
      <c r="C2109" s="147"/>
      <c r="D2109" s="124"/>
      <c r="E2109" s="124"/>
      <c r="F2109" s="124"/>
      <c r="G2109" s="124"/>
      <c r="H2109" s="124"/>
      <c r="I2109" s="124"/>
      <c r="J2109" s="124"/>
      <c r="K2109" s="124"/>
      <c r="L2109" s="124"/>
      <c r="M2109" s="124"/>
      <c r="N2109" s="124"/>
      <c r="O2109" s="124"/>
      <c r="P2109" s="124"/>
      <c r="Q2109" s="124"/>
      <c r="R2109" s="124"/>
      <c r="S2109" s="124"/>
      <c r="T2109" s="124"/>
      <c r="U2109" s="124"/>
      <c r="V2109" s="124"/>
      <c r="W2109" s="124"/>
      <c r="X2109" s="124"/>
      <c r="Y2109" s="124"/>
      <c r="Z2109" s="124"/>
    </row>
    <row r="2110">
      <c r="A2110" s="124"/>
      <c r="B2110" s="124"/>
      <c r="C2110" s="147"/>
      <c r="D2110" s="124"/>
      <c r="E2110" s="124"/>
      <c r="F2110" s="124"/>
      <c r="G2110" s="124"/>
      <c r="H2110" s="124"/>
      <c r="I2110" s="124"/>
      <c r="J2110" s="124"/>
      <c r="K2110" s="124"/>
      <c r="L2110" s="124"/>
      <c r="M2110" s="124"/>
      <c r="N2110" s="124"/>
      <c r="O2110" s="124"/>
      <c r="P2110" s="124"/>
      <c r="Q2110" s="124"/>
      <c r="R2110" s="124"/>
      <c r="S2110" s="124"/>
      <c r="T2110" s="124"/>
      <c r="U2110" s="124"/>
      <c r="V2110" s="124"/>
      <c r="W2110" s="124"/>
      <c r="X2110" s="124"/>
      <c r="Y2110" s="124"/>
      <c r="Z2110" s="124"/>
    </row>
    <row r="2111">
      <c r="A2111" s="124"/>
      <c r="B2111" s="124"/>
      <c r="C2111" s="147"/>
      <c r="D2111" s="124"/>
      <c r="E2111" s="124"/>
      <c r="F2111" s="124"/>
      <c r="G2111" s="124"/>
      <c r="H2111" s="124"/>
      <c r="I2111" s="124"/>
      <c r="J2111" s="124"/>
      <c r="K2111" s="124"/>
      <c r="L2111" s="124"/>
      <c r="M2111" s="124"/>
      <c r="N2111" s="124"/>
      <c r="O2111" s="124"/>
      <c r="P2111" s="124"/>
      <c r="Q2111" s="124"/>
      <c r="R2111" s="124"/>
      <c r="S2111" s="124"/>
      <c r="T2111" s="124"/>
      <c r="U2111" s="124"/>
      <c r="V2111" s="124"/>
      <c r="W2111" s="124"/>
      <c r="X2111" s="124"/>
      <c r="Y2111" s="124"/>
      <c r="Z2111" s="124"/>
    </row>
    <row r="2112">
      <c r="A2112" s="124"/>
      <c r="B2112" s="124"/>
      <c r="C2112" s="147"/>
      <c r="D2112" s="124"/>
      <c r="E2112" s="124"/>
      <c r="F2112" s="124"/>
      <c r="G2112" s="124"/>
      <c r="H2112" s="124"/>
      <c r="I2112" s="124"/>
      <c r="J2112" s="124"/>
      <c r="K2112" s="124"/>
      <c r="L2112" s="124"/>
      <c r="M2112" s="124"/>
      <c r="N2112" s="124"/>
      <c r="O2112" s="124"/>
      <c r="P2112" s="124"/>
      <c r="Q2112" s="124"/>
      <c r="R2112" s="124"/>
      <c r="S2112" s="124"/>
      <c r="T2112" s="124"/>
      <c r="U2112" s="124"/>
      <c r="V2112" s="124"/>
      <c r="W2112" s="124"/>
      <c r="X2112" s="124"/>
      <c r="Y2112" s="124"/>
      <c r="Z2112" s="124"/>
    </row>
    <row r="2113">
      <c r="A2113" s="124"/>
      <c r="B2113" s="124"/>
      <c r="C2113" s="147"/>
      <c r="D2113" s="124"/>
      <c r="E2113" s="124"/>
      <c r="F2113" s="124"/>
      <c r="G2113" s="124"/>
      <c r="H2113" s="124"/>
      <c r="I2113" s="124"/>
      <c r="J2113" s="124"/>
      <c r="K2113" s="124"/>
      <c r="L2113" s="124"/>
      <c r="M2113" s="124"/>
      <c r="N2113" s="124"/>
      <c r="O2113" s="124"/>
      <c r="P2113" s="124"/>
      <c r="Q2113" s="124"/>
      <c r="R2113" s="124"/>
      <c r="S2113" s="124"/>
      <c r="T2113" s="124"/>
      <c r="U2113" s="124"/>
      <c r="V2113" s="124"/>
      <c r="W2113" s="124"/>
      <c r="X2113" s="124"/>
      <c r="Y2113" s="124"/>
      <c r="Z2113" s="124"/>
    </row>
    <row r="2114">
      <c r="A2114" s="124"/>
      <c r="B2114" s="124"/>
      <c r="C2114" s="147"/>
      <c r="D2114" s="124"/>
      <c r="E2114" s="124"/>
      <c r="F2114" s="124"/>
      <c r="G2114" s="124"/>
      <c r="H2114" s="124"/>
      <c r="I2114" s="124"/>
      <c r="J2114" s="124"/>
      <c r="K2114" s="124"/>
      <c r="L2114" s="124"/>
      <c r="M2114" s="124"/>
      <c r="N2114" s="124"/>
      <c r="O2114" s="124"/>
      <c r="P2114" s="124"/>
      <c r="Q2114" s="124"/>
      <c r="R2114" s="124"/>
      <c r="S2114" s="124"/>
      <c r="T2114" s="124"/>
      <c r="U2114" s="124"/>
      <c r="V2114" s="124"/>
      <c r="W2114" s="124"/>
      <c r="X2114" s="124"/>
      <c r="Y2114" s="124"/>
      <c r="Z2114" s="124"/>
    </row>
    <row r="2115">
      <c r="A2115" s="124"/>
      <c r="B2115" s="124"/>
      <c r="C2115" s="147"/>
      <c r="D2115" s="124"/>
      <c r="E2115" s="124"/>
      <c r="F2115" s="124"/>
      <c r="G2115" s="124"/>
      <c r="H2115" s="124"/>
      <c r="I2115" s="124"/>
      <c r="J2115" s="124"/>
      <c r="K2115" s="124"/>
      <c r="L2115" s="124"/>
      <c r="M2115" s="124"/>
      <c r="N2115" s="124"/>
      <c r="O2115" s="124"/>
      <c r="P2115" s="124"/>
      <c r="Q2115" s="124"/>
      <c r="R2115" s="124"/>
      <c r="S2115" s="124"/>
      <c r="T2115" s="124"/>
      <c r="U2115" s="124"/>
      <c r="V2115" s="124"/>
      <c r="W2115" s="124"/>
      <c r="X2115" s="124"/>
      <c r="Y2115" s="124"/>
      <c r="Z2115" s="124"/>
    </row>
    <row r="2116">
      <c r="A2116" s="124"/>
      <c r="B2116" s="124"/>
      <c r="C2116" s="147"/>
      <c r="D2116" s="124"/>
      <c r="E2116" s="124"/>
      <c r="F2116" s="124"/>
      <c r="G2116" s="124"/>
      <c r="H2116" s="124"/>
      <c r="I2116" s="124"/>
      <c r="J2116" s="124"/>
      <c r="K2116" s="124"/>
      <c r="L2116" s="124"/>
      <c r="M2116" s="124"/>
      <c r="N2116" s="124"/>
      <c r="O2116" s="124"/>
      <c r="P2116" s="124"/>
      <c r="Q2116" s="124"/>
      <c r="R2116" s="124"/>
      <c r="S2116" s="124"/>
      <c r="T2116" s="124"/>
      <c r="U2116" s="124"/>
      <c r="V2116" s="124"/>
      <c r="W2116" s="124"/>
      <c r="X2116" s="124"/>
      <c r="Y2116" s="124"/>
      <c r="Z2116" s="124"/>
    </row>
    <row r="2117">
      <c r="A2117" s="124"/>
      <c r="B2117" s="124"/>
      <c r="C2117" s="147"/>
      <c r="D2117" s="124"/>
      <c r="E2117" s="124"/>
      <c r="F2117" s="124"/>
      <c r="G2117" s="124"/>
      <c r="H2117" s="124"/>
      <c r="I2117" s="124"/>
      <c r="J2117" s="124"/>
      <c r="K2117" s="124"/>
      <c r="L2117" s="124"/>
      <c r="M2117" s="124"/>
      <c r="N2117" s="124"/>
      <c r="O2117" s="124"/>
      <c r="P2117" s="124"/>
      <c r="Q2117" s="124"/>
      <c r="R2117" s="124"/>
      <c r="S2117" s="124"/>
      <c r="T2117" s="124"/>
      <c r="U2117" s="124"/>
      <c r="V2117" s="124"/>
      <c r="W2117" s="124"/>
      <c r="X2117" s="124"/>
      <c r="Y2117" s="124"/>
      <c r="Z2117" s="124"/>
    </row>
    <row r="2118">
      <c r="A2118" s="124"/>
      <c r="B2118" s="124"/>
      <c r="C2118" s="147"/>
      <c r="D2118" s="124"/>
      <c r="E2118" s="124"/>
      <c r="F2118" s="124"/>
      <c r="G2118" s="124"/>
      <c r="H2118" s="124"/>
      <c r="I2118" s="124"/>
      <c r="J2118" s="124"/>
      <c r="K2118" s="124"/>
      <c r="L2118" s="124"/>
      <c r="M2118" s="124"/>
      <c r="N2118" s="124"/>
      <c r="O2118" s="124"/>
      <c r="P2118" s="124"/>
      <c r="Q2118" s="124"/>
      <c r="R2118" s="124"/>
      <c r="S2118" s="124"/>
      <c r="T2118" s="124"/>
      <c r="U2118" s="124"/>
      <c r="V2118" s="124"/>
      <c r="W2118" s="124"/>
      <c r="X2118" s="124"/>
      <c r="Y2118" s="124"/>
      <c r="Z2118" s="124"/>
    </row>
    <row r="2119">
      <c r="A2119" s="124"/>
      <c r="B2119" s="124"/>
      <c r="C2119" s="147"/>
      <c r="D2119" s="124"/>
      <c r="E2119" s="124"/>
      <c r="F2119" s="124"/>
      <c r="G2119" s="124"/>
      <c r="H2119" s="124"/>
      <c r="I2119" s="124"/>
      <c r="J2119" s="124"/>
      <c r="K2119" s="124"/>
      <c r="L2119" s="124"/>
      <c r="M2119" s="124"/>
      <c r="N2119" s="124"/>
      <c r="O2119" s="124"/>
      <c r="P2119" s="124"/>
      <c r="Q2119" s="124"/>
      <c r="R2119" s="124"/>
      <c r="S2119" s="124"/>
      <c r="T2119" s="124"/>
      <c r="U2119" s="124"/>
      <c r="V2119" s="124"/>
      <c r="W2119" s="124"/>
      <c r="X2119" s="124"/>
      <c r="Y2119" s="124"/>
      <c r="Z2119" s="124"/>
    </row>
    <row r="2120">
      <c r="A2120" s="124"/>
      <c r="B2120" s="124"/>
      <c r="C2120" s="147"/>
      <c r="D2120" s="124"/>
      <c r="E2120" s="124"/>
      <c r="F2120" s="124"/>
      <c r="G2120" s="124"/>
      <c r="H2120" s="124"/>
      <c r="I2120" s="124"/>
      <c r="J2120" s="124"/>
      <c r="K2120" s="124"/>
      <c r="L2120" s="124"/>
      <c r="M2120" s="124"/>
      <c r="N2120" s="124"/>
      <c r="O2120" s="124"/>
      <c r="P2120" s="124"/>
      <c r="Q2120" s="124"/>
      <c r="R2120" s="124"/>
      <c r="S2120" s="124"/>
      <c r="T2120" s="124"/>
      <c r="U2120" s="124"/>
      <c r="V2120" s="124"/>
      <c r="W2120" s="124"/>
      <c r="X2120" s="124"/>
      <c r="Y2120" s="124"/>
      <c r="Z2120" s="124"/>
    </row>
    <row r="2121">
      <c r="A2121" s="124"/>
      <c r="B2121" s="124"/>
      <c r="C2121" s="147"/>
      <c r="D2121" s="124"/>
      <c r="E2121" s="124"/>
      <c r="F2121" s="124"/>
      <c r="G2121" s="124"/>
      <c r="H2121" s="124"/>
      <c r="I2121" s="124"/>
      <c r="J2121" s="124"/>
      <c r="K2121" s="124"/>
      <c r="L2121" s="124"/>
      <c r="M2121" s="124"/>
      <c r="N2121" s="124"/>
      <c r="O2121" s="124"/>
      <c r="P2121" s="124"/>
      <c r="Q2121" s="124"/>
      <c r="R2121" s="124"/>
      <c r="S2121" s="124"/>
      <c r="T2121" s="124"/>
      <c r="U2121" s="124"/>
      <c r="V2121" s="124"/>
      <c r="W2121" s="124"/>
      <c r="X2121" s="124"/>
      <c r="Y2121" s="124"/>
      <c r="Z2121" s="124"/>
    </row>
    <row r="2122">
      <c r="A2122" s="124"/>
      <c r="B2122" s="124"/>
      <c r="C2122" s="147"/>
      <c r="D2122" s="124"/>
      <c r="E2122" s="124"/>
      <c r="F2122" s="124"/>
      <c r="G2122" s="124"/>
      <c r="H2122" s="124"/>
      <c r="I2122" s="124"/>
      <c r="J2122" s="124"/>
      <c r="K2122" s="124"/>
      <c r="L2122" s="124"/>
      <c r="M2122" s="124"/>
      <c r="N2122" s="124"/>
      <c r="O2122" s="124"/>
      <c r="P2122" s="124"/>
      <c r="Q2122" s="124"/>
      <c r="R2122" s="124"/>
      <c r="S2122" s="124"/>
      <c r="T2122" s="124"/>
      <c r="U2122" s="124"/>
      <c r="V2122" s="124"/>
      <c r="W2122" s="124"/>
      <c r="X2122" s="124"/>
      <c r="Y2122" s="124"/>
      <c r="Z2122" s="124"/>
    </row>
    <row r="2123">
      <c r="A2123" s="124"/>
      <c r="B2123" s="124"/>
      <c r="C2123" s="147"/>
      <c r="D2123" s="124"/>
      <c r="E2123" s="124"/>
      <c r="F2123" s="124"/>
      <c r="G2123" s="124"/>
      <c r="H2123" s="124"/>
      <c r="I2123" s="124"/>
      <c r="J2123" s="124"/>
      <c r="K2123" s="124"/>
      <c r="L2123" s="124"/>
      <c r="M2123" s="124"/>
      <c r="N2123" s="124"/>
      <c r="O2123" s="124"/>
      <c r="P2123" s="124"/>
      <c r="Q2123" s="124"/>
      <c r="R2123" s="124"/>
      <c r="S2123" s="124"/>
      <c r="T2123" s="124"/>
      <c r="U2123" s="124"/>
      <c r="V2123" s="124"/>
      <c r="W2123" s="124"/>
      <c r="X2123" s="124"/>
      <c r="Y2123" s="124"/>
      <c r="Z2123" s="124"/>
    </row>
    <row r="2124">
      <c r="A2124" s="124"/>
      <c r="B2124" s="124"/>
      <c r="C2124" s="147"/>
      <c r="D2124" s="124"/>
      <c r="E2124" s="124"/>
      <c r="F2124" s="124"/>
      <c r="G2124" s="124"/>
      <c r="H2124" s="124"/>
      <c r="I2124" s="124"/>
      <c r="J2124" s="124"/>
      <c r="K2124" s="124"/>
      <c r="L2124" s="124"/>
      <c r="M2124" s="124"/>
      <c r="N2124" s="124"/>
      <c r="O2124" s="124"/>
      <c r="P2124" s="124"/>
      <c r="Q2124" s="124"/>
      <c r="R2124" s="124"/>
      <c r="S2124" s="124"/>
      <c r="T2124" s="124"/>
      <c r="U2124" s="124"/>
      <c r="V2124" s="124"/>
      <c r="W2124" s="124"/>
      <c r="X2124" s="124"/>
      <c r="Y2124" s="124"/>
      <c r="Z2124" s="124"/>
    </row>
    <row r="2125">
      <c r="A2125" s="124"/>
      <c r="B2125" s="124"/>
      <c r="C2125" s="147"/>
      <c r="D2125" s="124"/>
      <c r="E2125" s="124"/>
      <c r="F2125" s="124"/>
      <c r="G2125" s="124"/>
      <c r="H2125" s="124"/>
      <c r="I2125" s="124"/>
      <c r="J2125" s="124"/>
      <c r="K2125" s="124"/>
      <c r="L2125" s="124"/>
      <c r="M2125" s="124"/>
      <c r="N2125" s="124"/>
      <c r="O2125" s="124"/>
      <c r="P2125" s="124"/>
      <c r="Q2125" s="124"/>
      <c r="R2125" s="124"/>
      <c r="S2125" s="124"/>
      <c r="T2125" s="124"/>
      <c r="U2125" s="124"/>
      <c r="V2125" s="124"/>
      <c r="W2125" s="124"/>
      <c r="X2125" s="124"/>
      <c r="Y2125" s="124"/>
      <c r="Z2125" s="124"/>
    </row>
    <row r="2126">
      <c r="A2126" s="124"/>
      <c r="B2126" s="124"/>
      <c r="C2126" s="147"/>
      <c r="D2126" s="124"/>
      <c r="E2126" s="124"/>
      <c r="F2126" s="124"/>
      <c r="G2126" s="124"/>
      <c r="H2126" s="124"/>
      <c r="I2126" s="124"/>
      <c r="J2126" s="124"/>
      <c r="K2126" s="124"/>
      <c r="L2126" s="124"/>
      <c r="M2126" s="124"/>
      <c r="N2126" s="124"/>
      <c r="O2126" s="124"/>
      <c r="P2126" s="124"/>
      <c r="Q2126" s="124"/>
      <c r="R2126" s="124"/>
      <c r="S2126" s="124"/>
      <c r="T2126" s="124"/>
      <c r="U2126" s="124"/>
      <c r="V2126" s="124"/>
      <c r="W2126" s="124"/>
      <c r="X2126" s="124"/>
      <c r="Y2126" s="124"/>
      <c r="Z2126" s="124"/>
    </row>
    <row r="2127">
      <c r="A2127" s="124"/>
      <c r="B2127" s="124"/>
      <c r="C2127" s="147"/>
      <c r="D2127" s="124"/>
      <c r="E2127" s="124"/>
      <c r="F2127" s="124"/>
      <c r="G2127" s="124"/>
      <c r="H2127" s="124"/>
      <c r="I2127" s="124"/>
      <c r="J2127" s="124"/>
      <c r="K2127" s="124"/>
      <c r="L2127" s="124"/>
      <c r="M2127" s="124"/>
      <c r="N2127" s="124"/>
      <c r="O2127" s="124"/>
      <c r="P2127" s="124"/>
      <c r="Q2127" s="124"/>
      <c r="R2127" s="124"/>
      <c r="S2127" s="124"/>
      <c r="T2127" s="124"/>
      <c r="U2127" s="124"/>
      <c r="V2127" s="124"/>
      <c r="W2127" s="124"/>
      <c r="X2127" s="124"/>
      <c r="Y2127" s="124"/>
      <c r="Z2127" s="124"/>
    </row>
    <row r="2128">
      <c r="A2128" s="124"/>
      <c r="B2128" s="124"/>
      <c r="C2128" s="147"/>
      <c r="D2128" s="124"/>
      <c r="E2128" s="124"/>
      <c r="F2128" s="124"/>
      <c r="G2128" s="124"/>
      <c r="H2128" s="124"/>
      <c r="I2128" s="124"/>
      <c r="J2128" s="124"/>
      <c r="K2128" s="124"/>
      <c r="L2128" s="124"/>
      <c r="M2128" s="124"/>
      <c r="N2128" s="124"/>
      <c r="O2128" s="124"/>
      <c r="P2128" s="124"/>
      <c r="Q2128" s="124"/>
      <c r="R2128" s="124"/>
      <c r="S2128" s="124"/>
      <c r="T2128" s="124"/>
      <c r="U2128" s="124"/>
      <c r="V2128" s="124"/>
      <c r="W2128" s="124"/>
      <c r="X2128" s="124"/>
      <c r="Y2128" s="124"/>
      <c r="Z2128" s="124"/>
    </row>
    <row r="2129">
      <c r="A2129" s="124"/>
      <c r="B2129" s="124"/>
      <c r="C2129" s="147"/>
      <c r="D2129" s="124"/>
      <c r="E2129" s="124"/>
      <c r="F2129" s="124"/>
      <c r="G2129" s="124"/>
      <c r="H2129" s="124"/>
      <c r="I2129" s="124"/>
      <c r="J2129" s="124"/>
      <c r="K2129" s="124"/>
      <c r="L2129" s="124"/>
      <c r="M2129" s="124"/>
      <c r="N2129" s="124"/>
      <c r="O2129" s="124"/>
      <c r="P2129" s="124"/>
      <c r="Q2129" s="124"/>
      <c r="R2129" s="124"/>
      <c r="S2129" s="124"/>
      <c r="T2129" s="124"/>
      <c r="U2129" s="124"/>
      <c r="V2129" s="124"/>
      <c r="W2129" s="124"/>
      <c r="X2129" s="124"/>
      <c r="Y2129" s="124"/>
      <c r="Z2129" s="124"/>
    </row>
    <row r="2130">
      <c r="A2130" s="124"/>
      <c r="B2130" s="124"/>
      <c r="C2130" s="147"/>
      <c r="D2130" s="124"/>
      <c r="E2130" s="124"/>
      <c r="F2130" s="124"/>
      <c r="G2130" s="124"/>
      <c r="H2130" s="124"/>
      <c r="I2130" s="124"/>
      <c r="J2130" s="124"/>
      <c r="K2130" s="124"/>
      <c r="L2130" s="124"/>
      <c r="M2130" s="124"/>
      <c r="N2130" s="124"/>
      <c r="O2130" s="124"/>
      <c r="P2130" s="124"/>
      <c r="Q2130" s="124"/>
      <c r="R2130" s="124"/>
      <c r="S2130" s="124"/>
      <c r="T2130" s="124"/>
      <c r="U2130" s="124"/>
      <c r="V2130" s="124"/>
      <c r="W2130" s="124"/>
      <c r="X2130" s="124"/>
      <c r="Y2130" s="124"/>
      <c r="Z2130" s="124"/>
    </row>
    <row r="2131">
      <c r="A2131" s="124"/>
      <c r="B2131" s="124"/>
      <c r="C2131" s="147"/>
      <c r="D2131" s="124"/>
      <c r="E2131" s="124"/>
      <c r="F2131" s="124"/>
      <c r="G2131" s="124"/>
      <c r="H2131" s="124"/>
      <c r="I2131" s="124"/>
      <c r="J2131" s="124"/>
      <c r="K2131" s="124"/>
      <c r="L2131" s="124"/>
      <c r="M2131" s="124"/>
      <c r="N2131" s="124"/>
      <c r="O2131" s="124"/>
      <c r="P2131" s="124"/>
      <c r="Q2131" s="124"/>
      <c r="R2131" s="124"/>
      <c r="S2131" s="124"/>
      <c r="T2131" s="124"/>
      <c r="U2131" s="124"/>
      <c r="V2131" s="124"/>
      <c r="W2131" s="124"/>
      <c r="X2131" s="124"/>
      <c r="Y2131" s="124"/>
      <c r="Z2131" s="124"/>
    </row>
    <row r="2132">
      <c r="A2132" s="124"/>
      <c r="B2132" s="124"/>
      <c r="C2132" s="147"/>
      <c r="D2132" s="124"/>
      <c r="E2132" s="124"/>
      <c r="F2132" s="124"/>
      <c r="G2132" s="124"/>
      <c r="H2132" s="124"/>
      <c r="I2132" s="124"/>
      <c r="J2132" s="124"/>
      <c r="K2132" s="124"/>
      <c r="L2132" s="124"/>
      <c r="M2132" s="124"/>
      <c r="N2132" s="124"/>
      <c r="O2132" s="124"/>
      <c r="P2132" s="124"/>
      <c r="Q2132" s="124"/>
      <c r="R2132" s="124"/>
      <c r="S2132" s="124"/>
      <c r="T2132" s="124"/>
      <c r="U2132" s="124"/>
      <c r="V2132" s="124"/>
      <c r="W2132" s="124"/>
      <c r="X2132" s="124"/>
      <c r="Y2132" s="124"/>
      <c r="Z2132" s="124"/>
    </row>
    <row r="2133">
      <c r="A2133" s="124"/>
      <c r="B2133" s="124"/>
      <c r="C2133" s="147"/>
      <c r="D2133" s="124"/>
      <c r="E2133" s="124"/>
      <c r="F2133" s="124"/>
      <c r="G2133" s="124"/>
      <c r="H2133" s="124"/>
      <c r="I2133" s="124"/>
      <c r="J2133" s="124"/>
      <c r="K2133" s="124"/>
      <c r="L2133" s="124"/>
      <c r="M2133" s="124"/>
      <c r="N2133" s="124"/>
      <c r="O2133" s="124"/>
      <c r="P2133" s="124"/>
      <c r="Q2133" s="124"/>
      <c r="R2133" s="124"/>
      <c r="S2133" s="124"/>
      <c r="T2133" s="124"/>
      <c r="U2133" s="124"/>
      <c r="V2133" s="124"/>
      <c r="W2133" s="124"/>
      <c r="X2133" s="124"/>
      <c r="Y2133" s="124"/>
      <c r="Z2133" s="124"/>
    </row>
    <row r="2134">
      <c r="A2134" s="124"/>
      <c r="B2134" s="124"/>
      <c r="C2134" s="147"/>
      <c r="D2134" s="124"/>
      <c r="E2134" s="124"/>
      <c r="F2134" s="124"/>
      <c r="G2134" s="124"/>
      <c r="H2134" s="124"/>
      <c r="I2134" s="124"/>
      <c r="J2134" s="124"/>
      <c r="K2134" s="124"/>
      <c r="L2134" s="124"/>
      <c r="M2134" s="124"/>
      <c r="N2134" s="124"/>
      <c r="O2134" s="124"/>
      <c r="P2134" s="124"/>
      <c r="Q2134" s="124"/>
      <c r="R2134" s="124"/>
      <c r="S2134" s="124"/>
      <c r="T2134" s="124"/>
      <c r="U2134" s="124"/>
      <c r="V2134" s="124"/>
      <c r="W2134" s="124"/>
      <c r="X2134" s="124"/>
      <c r="Y2134" s="124"/>
      <c r="Z2134" s="124"/>
    </row>
    <row r="2135">
      <c r="A2135" s="124"/>
      <c r="B2135" s="124"/>
      <c r="C2135" s="147"/>
      <c r="D2135" s="124"/>
      <c r="E2135" s="124"/>
      <c r="F2135" s="124"/>
      <c r="G2135" s="124"/>
      <c r="H2135" s="124"/>
      <c r="I2135" s="124"/>
      <c r="J2135" s="124"/>
      <c r="K2135" s="124"/>
      <c r="L2135" s="124"/>
      <c r="M2135" s="124"/>
      <c r="N2135" s="124"/>
      <c r="O2135" s="124"/>
      <c r="P2135" s="124"/>
      <c r="Q2135" s="124"/>
      <c r="R2135" s="124"/>
      <c r="S2135" s="124"/>
      <c r="T2135" s="124"/>
      <c r="U2135" s="124"/>
      <c r="V2135" s="124"/>
      <c r="W2135" s="124"/>
      <c r="X2135" s="124"/>
      <c r="Y2135" s="124"/>
      <c r="Z2135" s="124"/>
    </row>
    <row r="2136">
      <c r="A2136" s="124"/>
      <c r="B2136" s="124"/>
      <c r="C2136" s="147"/>
      <c r="D2136" s="124"/>
      <c r="E2136" s="124"/>
      <c r="F2136" s="124"/>
      <c r="G2136" s="124"/>
      <c r="H2136" s="124"/>
      <c r="I2136" s="124"/>
      <c r="J2136" s="124"/>
      <c r="K2136" s="124"/>
      <c r="L2136" s="124"/>
      <c r="M2136" s="124"/>
      <c r="N2136" s="124"/>
      <c r="O2136" s="124"/>
      <c r="P2136" s="124"/>
      <c r="Q2136" s="124"/>
      <c r="R2136" s="124"/>
      <c r="S2136" s="124"/>
      <c r="T2136" s="124"/>
      <c r="U2136" s="124"/>
      <c r="V2136" s="124"/>
      <c r="W2136" s="124"/>
      <c r="X2136" s="124"/>
      <c r="Y2136" s="124"/>
      <c r="Z2136" s="124"/>
    </row>
    <row r="2137">
      <c r="A2137" s="124"/>
      <c r="B2137" s="124"/>
      <c r="C2137" s="147"/>
      <c r="D2137" s="124"/>
      <c r="E2137" s="124"/>
      <c r="F2137" s="124"/>
      <c r="G2137" s="124"/>
      <c r="H2137" s="124"/>
      <c r="I2137" s="124"/>
      <c r="J2137" s="124"/>
      <c r="K2137" s="124"/>
      <c r="L2137" s="124"/>
      <c r="M2137" s="124"/>
      <c r="N2137" s="124"/>
      <c r="O2137" s="124"/>
      <c r="P2137" s="124"/>
      <c r="Q2137" s="124"/>
      <c r="R2137" s="124"/>
      <c r="S2137" s="124"/>
      <c r="T2137" s="124"/>
      <c r="U2137" s="124"/>
      <c r="V2137" s="124"/>
      <c r="W2137" s="124"/>
      <c r="X2137" s="124"/>
      <c r="Y2137" s="124"/>
      <c r="Z2137" s="124"/>
    </row>
    <row r="2138">
      <c r="A2138" s="124"/>
      <c r="B2138" s="124"/>
      <c r="C2138" s="147"/>
      <c r="D2138" s="124"/>
      <c r="E2138" s="124"/>
      <c r="F2138" s="124"/>
      <c r="G2138" s="124"/>
      <c r="H2138" s="124"/>
      <c r="I2138" s="124"/>
      <c r="J2138" s="124"/>
      <c r="K2138" s="124"/>
      <c r="L2138" s="124"/>
      <c r="M2138" s="124"/>
      <c r="N2138" s="124"/>
      <c r="O2138" s="124"/>
      <c r="P2138" s="124"/>
      <c r="Q2138" s="124"/>
      <c r="R2138" s="124"/>
      <c r="S2138" s="124"/>
      <c r="T2138" s="124"/>
      <c r="U2138" s="124"/>
      <c r="V2138" s="124"/>
      <c r="W2138" s="124"/>
      <c r="X2138" s="124"/>
      <c r="Y2138" s="124"/>
      <c r="Z2138" s="124"/>
    </row>
    <row r="2139">
      <c r="A2139" s="124"/>
      <c r="B2139" s="124"/>
      <c r="C2139" s="147"/>
      <c r="D2139" s="124"/>
      <c r="E2139" s="124"/>
      <c r="F2139" s="124"/>
      <c r="G2139" s="124"/>
      <c r="H2139" s="124"/>
      <c r="I2139" s="124"/>
      <c r="J2139" s="124"/>
      <c r="K2139" s="124"/>
      <c r="L2139" s="124"/>
      <c r="M2139" s="124"/>
      <c r="N2139" s="124"/>
      <c r="O2139" s="124"/>
      <c r="P2139" s="124"/>
      <c r="Q2139" s="124"/>
      <c r="R2139" s="124"/>
      <c r="S2139" s="124"/>
      <c r="T2139" s="124"/>
      <c r="U2139" s="124"/>
      <c r="V2139" s="124"/>
      <c r="W2139" s="124"/>
      <c r="X2139" s="124"/>
      <c r="Y2139" s="124"/>
      <c r="Z2139" s="124"/>
    </row>
    <row r="2140">
      <c r="A2140" s="124"/>
      <c r="B2140" s="124"/>
      <c r="C2140" s="147"/>
      <c r="D2140" s="124"/>
      <c r="E2140" s="124"/>
      <c r="F2140" s="124"/>
      <c r="G2140" s="124"/>
      <c r="H2140" s="124"/>
      <c r="I2140" s="124"/>
      <c r="J2140" s="124"/>
      <c r="K2140" s="124"/>
      <c r="L2140" s="124"/>
      <c r="M2140" s="124"/>
      <c r="N2140" s="124"/>
      <c r="O2140" s="124"/>
      <c r="P2140" s="124"/>
      <c r="Q2140" s="124"/>
      <c r="R2140" s="124"/>
      <c r="S2140" s="124"/>
      <c r="T2140" s="124"/>
      <c r="U2140" s="124"/>
      <c r="V2140" s="124"/>
      <c r="W2140" s="124"/>
      <c r="X2140" s="124"/>
      <c r="Y2140" s="124"/>
      <c r="Z2140" s="124"/>
    </row>
    <row r="2141">
      <c r="A2141" s="124"/>
      <c r="B2141" s="124"/>
      <c r="C2141" s="147"/>
      <c r="D2141" s="124"/>
      <c r="E2141" s="124"/>
      <c r="F2141" s="124"/>
      <c r="G2141" s="124"/>
      <c r="H2141" s="124"/>
      <c r="I2141" s="124"/>
      <c r="J2141" s="124"/>
      <c r="K2141" s="124"/>
      <c r="L2141" s="124"/>
      <c r="M2141" s="124"/>
      <c r="N2141" s="124"/>
      <c r="O2141" s="124"/>
      <c r="P2141" s="124"/>
      <c r="Q2141" s="124"/>
      <c r="R2141" s="124"/>
      <c r="S2141" s="124"/>
      <c r="T2141" s="124"/>
      <c r="U2141" s="124"/>
      <c r="V2141" s="124"/>
      <c r="W2141" s="124"/>
      <c r="X2141" s="124"/>
      <c r="Y2141" s="124"/>
      <c r="Z2141" s="124"/>
    </row>
    <row r="2142">
      <c r="A2142" s="124"/>
      <c r="B2142" s="124"/>
      <c r="C2142" s="147"/>
      <c r="D2142" s="124"/>
      <c r="E2142" s="124"/>
      <c r="F2142" s="124"/>
      <c r="G2142" s="124"/>
      <c r="H2142" s="124"/>
      <c r="I2142" s="124"/>
      <c r="J2142" s="124"/>
      <c r="K2142" s="124"/>
      <c r="L2142" s="124"/>
      <c r="M2142" s="124"/>
      <c r="N2142" s="124"/>
      <c r="O2142" s="124"/>
      <c r="P2142" s="124"/>
      <c r="Q2142" s="124"/>
      <c r="R2142" s="124"/>
      <c r="S2142" s="124"/>
      <c r="T2142" s="124"/>
      <c r="U2142" s="124"/>
      <c r="V2142" s="124"/>
      <c r="W2142" s="124"/>
      <c r="X2142" s="124"/>
      <c r="Y2142" s="124"/>
      <c r="Z2142" s="124"/>
    </row>
    <row r="2143">
      <c r="A2143" s="124"/>
      <c r="B2143" s="124"/>
      <c r="C2143" s="147"/>
      <c r="D2143" s="124"/>
      <c r="E2143" s="124"/>
      <c r="F2143" s="124"/>
      <c r="G2143" s="124"/>
      <c r="H2143" s="124"/>
      <c r="I2143" s="124"/>
      <c r="J2143" s="124"/>
      <c r="K2143" s="124"/>
      <c r="L2143" s="124"/>
      <c r="M2143" s="124"/>
      <c r="N2143" s="124"/>
      <c r="O2143" s="124"/>
      <c r="P2143" s="124"/>
      <c r="Q2143" s="124"/>
      <c r="R2143" s="124"/>
      <c r="S2143" s="124"/>
      <c r="T2143" s="124"/>
      <c r="U2143" s="124"/>
      <c r="V2143" s="124"/>
      <c r="W2143" s="124"/>
      <c r="X2143" s="124"/>
      <c r="Y2143" s="124"/>
      <c r="Z2143" s="124"/>
    </row>
    <row r="2144">
      <c r="A2144" s="124"/>
      <c r="B2144" s="124"/>
      <c r="C2144" s="147"/>
      <c r="D2144" s="124"/>
      <c r="E2144" s="124"/>
      <c r="F2144" s="124"/>
      <c r="G2144" s="124"/>
      <c r="H2144" s="124"/>
      <c r="I2144" s="124"/>
      <c r="J2144" s="124"/>
      <c r="K2144" s="124"/>
      <c r="L2144" s="124"/>
      <c r="M2144" s="124"/>
      <c r="N2144" s="124"/>
      <c r="O2144" s="124"/>
      <c r="P2144" s="124"/>
      <c r="Q2144" s="124"/>
      <c r="R2144" s="124"/>
      <c r="S2144" s="124"/>
      <c r="T2144" s="124"/>
      <c r="U2144" s="124"/>
      <c r="V2144" s="124"/>
      <c r="W2144" s="124"/>
      <c r="X2144" s="124"/>
      <c r="Y2144" s="124"/>
      <c r="Z2144" s="124"/>
    </row>
    <row r="2145">
      <c r="A2145" s="124"/>
      <c r="B2145" s="124"/>
      <c r="C2145" s="147"/>
      <c r="D2145" s="124"/>
      <c r="E2145" s="124"/>
      <c r="F2145" s="124"/>
      <c r="G2145" s="124"/>
      <c r="H2145" s="124"/>
      <c r="I2145" s="124"/>
      <c r="J2145" s="124"/>
      <c r="K2145" s="124"/>
      <c r="L2145" s="124"/>
      <c r="M2145" s="124"/>
      <c r="N2145" s="124"/>
      <c r="O2145" s="124"/>
      <c r="P2145" s="124"/>
      <c r="Q2145" s="124"/>
      <c r="R2145" s="124"/>
      <c r="S2145" s="124"/>
      <c r="T2145" s="124"/>
      <c r="U2145" s="124"/>
      <c r="V2145" s="124"/>
      <c r="W2145" s="124"/>
      <c r="X2145" s="124"/>
      <c r="Y2145" s="124"/>
      <c r="Z2145" s="124"/>
    </row>
    <row r="2146">
      <c r="A2146" s="124"/>
      <c r="B2146" s="124"/>
      <c r="C2146" s="147"/>
      <c r="D2146" s="124"/>
      <c r="E2146" s="124"/>
      <c r="F2146" s="124"/>
      <c r="G2146" s="124"/>
      <c r="H2146" s="124"/>
      <c r="I2146" s="124"/>
      <c r="J2146" s="124"/>
      <c r="K2146" s="124"/>
      <c r="L2146" s="124"/>
      <c r="M2146" s="124"/>
      <c r="N2146" s="124"/>
      <c r="O2146" s="124"/>
      <c r="P2146" s="124"/>
      <c r="Q2146" s="124"/>
      <c r="R2146" s="124"/>
      <c r="S2146" s="124"/>
      <c r="T2146" s="124"/>
      <c r="U2146" s="124"/>
      <c r="V2146" s="124"/>
      <c r="W2146" s="124"/>
      <c r="X2146" s="124"/>
      <c r="Y2146" s="124"/>
      <c r="Z2146" s="124"/>
    </row>
    <row r="2147">
      <c r="A2147" s="124"/>
      <c r="B2147" s="124"/>
      <c r="C2147" s="147"/>
      <c r="D2147" s="124"/>
      <c r="E2147" s="124"/>
      <c r="F2147" s="124"/>
      <c r="G2147" s="124"/>
      <c r="H2147" s="124"/>
      <c r="I2147" s="124"/>
      <c r="J2147" s="124"/>
      <c r="K2147" s="124"/>
      <c r="L2147" s="124"/>
      <c r="M2147" s="124"/>
      <c r="N2147" s="124"/>
      <c r="O2147" s="124"/>
      <c r="P2147" s="124"/>
      <c r="Q2147" s="124"/>
      <c r="R2147" s="124"/>
      <c r="S2147" s="124"/>
      <c r="T2147" s="124"/>
      <c r="U2147" s="124"/>
      <c r="V2147" s="124"/>
      <c r="W2147" s="124"/>
      <c r="X2147" s="124"/>
      <c r="Y2147" s="124"/>
      <c r="Z2147" s="124"/>
    </row>
    <row r="2148">
      <c r="A2148" s="124"/>
      <c r="B2148" s="124"/>
      <c r="C2148" s="147"/>
      <c r="D2148" s="124"/>
      <c r="E2148" s="124"/>
      <c r="F2148" s="124"/>
      <c r="G2148" s="124"/>
      <c r="H2148" s="124"/>
      <c r="I2148" s="124"/>
      <c r="J2148" s="124"/>
      <c r="K2148" s="124"/>
      <c r="L2148" s="124"/>
      <c r="M2148" s="124"/>
      <c r="N2148" s="124"/>
      <c r="O2148" s="124"/>
      <c r="P2148" s="124"/>
      <c r="Q2148" s="124"/>
      <c r="R2148" s="124"/>
      <c r="S2148" s="124"/>
      <c r="T2148" s="124"/>
      <c r="U2148" s="124"/>
      <c r="V2148" s="124"/>
      <c r="W2148" s="124"/>
      <c r="X2148" s="124"/>
      <c r="Y2148" s="124"/>
      <c r="Z2148" s="124"/>
    </row>
    <row r="2149">
      <c r="A2149" s="124"/>
      <c r="B2149" s="124"/>
      <c r="C2149" s="147"/>
      <c r="D2149" s="124"/>
      <c r="E2149" s="124"/>
      <c r="F2149" s="124"/>
      <c r="G2149" s="124"/>
      <c r="H2149" s="124"/>
      <c r="I2149" s="124"/>
      <c r="J2149" s="124"/>
      <c r="K2149" s="124"/>
      <c r="L2149" s="124"/>
      <c r="M2149" s="124"/>
      <c r="N2149" s="124"/>
      <c r="O2149" s="124"/>
      <c r="P2149" s="124"/>
      <c r="Q2149" s="124"/>
      <c r="R2149" s="124"/>
      <c r="S2149" s="124"/>
      <c r="T2149" s="124"/>
      <c r="U2149" s="124"/>
      <c r="V2149" s="124"/>
      <c r="W2149" s="124"/>
      <c r="X2149" s="124"/>
      <c r="Y2149" s="124"/>
      <c r="Z2149" s="124"/>
    </row>
    <row r="2150">
      <c r="A2150" s="124"/>
      <c r="B2150" s="124"/>
      <c r="C2150" s="147"/>
      <c r="D2150" s="124"/>
      <c r="E2150" s="124"/>
      <c r="F2150" s="124"/>
      <c r="G2150" s="124"/>
      <c r="H2150" s="124"/>
      <c r="I2150" s="124"/>
      <c r="J2150" s="124"/>
      <c r="K2150" s="124"/>
      <c r="L2150" s="124"/>
      <c r="M2150" s="124"/>
      <c r="N2150" s="124"/>
      <c r="O2150" s="124"/>
      <c r="P2150" s="124"/>
      <c r="Q2150" s="124"/>
      <c r="R2150" s="124"/>
      <c r="S2150" s="124"/>
      <c r="T2150" s="124"/>
      <c r="U2150" s="124"/>
      <c r="V2150" s="124"/>
      <c r="W2150" s="124"/>
      <c r="X2150" s="124"/>
      <c r="Y2150" s="124"/>
      <c r="Z2150" s="124"/>
    </row>
    <row r="2151">
      <c r="A2151" s="124"/>
      <c r="B2151" s="124"/>
      <c r="C2151" s="147"/>
      <c r="D2151" s="124"/>
      <c r="E2151" s="124"/>
      <c r="F2151" s="124"/>
      <c r="G2151" s="124"/>
      <c r="H2151" s="124"/>
      <c r="I2151" s="124"/>
      <c r="J2151" s="124"/>
      <c r="K2151" s="124"/>
      <c r="L2151" s="124"/>
      <c r="M2151" s="124"/>
      <c r="N2151" s="124"/>
      <c r="O2151" s="124"/>
      <c r="P2151" s="124"/>
      <c r="Q2151" s="124"/>
      <c r="R2151" s="124"/>
      <c r="S2151" s="124"/>
      <c r="T2151" s="124"/>
      <c r="U2151" s="124"/>
      <c r="V2151" s="124"/>
      <c r="W2151" s="124"/>
      <c r="X2151" s="124"/>
      <c r="Y2151" s="124"/>
      <c r="Z2151" s="124"/>
    </row>
    <row r="2152">
      <c r="A2152" s="124"/>
      <c r="B2152" s="124"/>
      <c r="C2152" s="147"/>
      <c r="D2152" s="124"/>
      <c r="E2152" s="124"/>
      <c r="F2152" s="124"/>
      <c r="G2152" s="124"/>
      <c r="H2152" s="124"/>
      <c r="I2152" s="124"/>
      <c r="J2152" s="124"/>
      <c r="K2152" s="124"/>
      <c r="L2152" s="124"/>
      <c r="M2152" s="124"/>
      <c r="N2152" s="124"/>
      <c r="O2152" s="124"/>
      <c r="P2152" s="124"/>
      <c r="Q2152" s="124"/>
      <c r="R2152" s="124"/>
      <c r="S2152" s="124"/>
      <c r="T2152" s="124"/>
      <c r="U2152" s="124"/>
      <c r="V2152" s="124"/>
      <c r="W2152" s="124"/>
      <c r="X2152" s="124"/>
      <c r="Y2152" s="124"/>
      <c r="Z2152" s="124"/>
    </row>
    <row r="2153">
      <c r="A2153" s="124"/>
      <c r="B2153" s="124"/>
      <c r="C2153" s="147"/>
      <c r="D2153" s="124"/>
      <c r="E2153" s="124"/>
      <c r="F2153" s="124"/>
      <c r="G2153" s="124"/>
      <c r="H2153" s="124"/>
      <c r="I2153" s="124"/>
      <c r="J2153" s="124"/>
      <c r="K2153" s="124"/>
      <c r="L2153" s="124"/>
      <c r="M2153" s="124"/>
      <c r="N2153" s="124"/>
      <c r="O2153" s="124"/>
      <c r="P2153" s="124"/>
      <c r="Q2153" s="124"/>
      <c r="R2153" s="124"/>
      <c r="S2153" s="124"/>
      <c r="T2153" s="124"/>
      <c r="U2153" s="124"/>
      <c r="V2153" s="124"/>
      <c r="W2153" s="124"/>
      <c r="X2153" s="124"/>
      <c r="Y2153" s="124"/>
      <c r="Z2153" s="124"/>
    </row>
    <row r="2154">
      <c r="A2154" s="124"/>
      <c r="B2154" s="124"/>
      <c r="C2154" s="147"/>
      <c r="D2154" s="124"/>
      <c r="E2154" s="124"/>
      <c r="F2154" s="124"/>
      <c r="G2154" s="124"/>
      <c r="H2154" s="124"/>
      <c r="I2154" s="124"/>
      <c r="J2154" s="124"/>
      <c r="K2154" s="124"/>
      <c r="L2154" s="124"/>
      <c r="M2154" s="124"/>
      <c r="N2154" s="124"/>
      <c r="O2154" s="124"/>
      <c r="P2154" s="124"/>
      <c r="Q2154" s="124"/>
      <c r="R2154" s="124"/>
      <c r="S2154" s="124"/>
      <c r="T2154" s="124"/>
      <c r="U2154" s="124"/>
      <c r="V2154" s="124"/>
      <c r="W2154" s="124"/>
      <c r="X2154" s="124"/>
      <c r="Y2154" s="124"/>
      <c r="Z2154" s="124"/>
    </row>
    <row r="2155">
      <c r="A2155" s="124"/>
      <c r="B2155" s="124"/>
      <c r="C2155" s="147"/>
      <c r="D2155" s="124"/>
      <c r="E2155" s="124"/>
      <c r="F2155" s="124"/>
      <c r="G2155" s="124"/>
      <c r="H2155" s="124"/>
      <c r="I2155" s="124"/>
      <c r="J2155" s="124"/>
      <c r="K2155" s="124"/>
      <c r="L2155" s="124"/>
      <c r="M2155" s="124"/>
      <c r="N2155" s="124"/>
      <c r="O2155" s="124"/>
      <c r="P2155" s="124"/>
      <c r="Q2155" s="124"/>
      <c r="R2155" s="124"/>
      <c r="S2155" s="124"/>
      <c r="T2155" s="124"/>
      <c r="U2155" s="124"/>
      <c r="V2155" s="124"/>
      <c r="W2155" s="124"/>
      <c r="X2155" s="124"/>
      <c r="Y2155" s="124"/>
      <c r="Z2155" s="124"/>
    </row>
    <row r="2156">
      <c r="A2156" s="124"/>
      <c r="B2156" s="124"/>
      <c r="C2156" s="147"/>
      <c r="D2156" s="124"/>
      <c r="E2156" s="124"/>
      <c r="F2156" s="124"/>
      <c r="G2156" s="124"/>
      <c r="H2156" s="124"/>
      <c r="I2156" s="124"/>
      <c r="J2156" s="124"/>
      <c r="K2156" s="124"/>
      <c r="L2156" s="124"/>
      <c r="M2156" s="124"/>
      <c r="N2156" s="124"/>
      <c r="O2156" s="124"/>
      <c r="P2156" s="124"/>
      <c r="Q2156" s="124"/>
      <c r="R2156" s="124"/>
      <c r="S2156" s="124"/>
      <c r="T2156" s="124"/>
      <c r="U2156" s="124"/>
      <c r="V2156" s="124"/>
      <c r="W2156" s="124"/>
      <c r="X2156" s="124"/>
      <c r="Y2156" s="124"/>
      <c r="Z2156" s="124"/>
    </row>
    <row r="2157">
      <c r="A2157" s="124"/>
      <c r="B2157" s="124"/>
      <c r="C2157" s="147"/>
      <c r="D2157" s="124"/>
      <c r="E2157" s="124"/>
      <c r="F2157" s="124"/>
      <c r="G2157" s="124"/>
      <c r="H2157" s="124"/>
      <c r="I2157" s="124"/>
      <c r="J2157" s="124"/>
      <c r="K2157" s="124"/>
      <c r="L2157" s="124"/>
      <c r="M2157" s="124"/>
      <c r="N2157" s="124"/>
      <c r="O2157" s="124"/>
      <c r="P2157" s="124"/>
      <c r="Q2157" s="124"/>
      <c r="R2157" s="124"/>
      <c r="S2157" s="124"/>
      <c r="T2157" s="124"/>
      <c r="U2157" s="124"/>
      <c r="V2157" s="124"/>
      <c r="W2157" s="124"/>
      <c r="X2157" s="124"/>
      <c r="Y2157" s="124"/>
      <c r="Z2157" s="124"/>
    </row>
    <row r="2158">
      <c r="A2158" s="124"/>
      <c r="B2158" s="124"/>
      <c r="C2158" s="147"/>
      <c r="D2158" s="124"/>
      <c r="E2158" s="124"/>
      <c r="F2158" s="124"/>
      <c r="G2158" s="124"/>
      <c r="H2158" s="124"/>
      <c r="I2158" s="124"/>
      <c r="J2158" s="124"/>
      <c r="K2158" s="124"/>
      <c r="L2158" s="124"/>
      <c r="M2158" s="124"/>
      <c r="N2158" s="124"/>
      <c r="O2158" s="124"/>
      <c r="P2158" s="124"/>
      <c r="Q2158" s="124"/>
      <c r="R2158" s="124"/>
      <c r="S2158" s="124"/>
      <c r="T2158" s="124"/>
      <c r="U2158" s="124"/>
      <c r="V2158" s="124"/>
      <c r="W2158" s="124"/>
      <c r="X2158" s="124"/>
      <c r="Y2158" s="124"/>
      <c r="Z2158" s="124"/>
    </row>
    <row r="2159">
      <c r="A2159" s="124"/>
      <c r="B2159" s="124"/>
      <c r="C2159" s="147"/>
      <c r="D2159" s="124"/>
      <c r="E2159" s="124"/>
      <c r="F2159" s="124"/>
      <c r="G2159" s="124"/>
      <c r="H2159" s="124"/>
      <c r="I2159" s="124"/>
      <c r="J2159" s="124"/>
      <c r="K2159" s="124"/>
      <c r="L2159" s="124"/>
      <c r="M2159" s="124"/>
      <c r="N2159" s="124"/>
      <c r="O2159" s="124"/>
      <c r="P2159" s="124"/>
      <c r="Q2159" s="124"/>
      <c r="R2159" s="124"/>
      <c r="S2159" s="124"/>
      <c r="T2159" s="124"/>
      <c r="U2159" s="124"/>
      <c r="V2159" s="124"/>
      <c r="W2159" s="124"/>
      <c r="X2159" s="124"/>
      <c r="Y2159" s="124"/>
      <c r="Z2159" s="124"/>
    </row>
    <row r="2160">
      <c r="A2160" s="124"/>
      <c r="B2160" s="124"/>
      <c r="C2160" s="147"/>
      <c r="D2160" s="124"/>
      <c r="E2160" s="124"/>
      <c r="F2160" s="124"/>
      <c r="G2160" s="124"/>
      <c r="H2160" s="124"/>
      <c r="I2160" s="124"/>
      <c r="J2160" s="124"/>
      <c r="K2160" s="124"/>
      <c r="L2160" s="124"/>
      <c r="M2160" s="124"/>
      <c r="N2160" s="124"/>
      <c r="O2160" s="124"/>
      <c r="P2160" s="124"/>
      <c r="Q2160" s="124"/>
      <c r="R2160" s="124"/>
      <c r="S2160" s="124"/>
      <c r="T2160" s="124"/>
      <c r="U2160" s="124"/>
      <c r="V2160" s="124"/>
      <c r="W2160" s="124"/>
      <c r="X2160" s="124"/>
      <c r="Y2160" s="124"/>
      <c r="Z2160" s="124"/>
    </row>
    <row r="2161">
      <c r="A2161" s="124"/>
      <c r="B2161" s="124"/>
      <c r="C2161" s="147"/>
      <c r="D2161" s="124"/>
      <c r="E2161" s="124"/>
      <c r="F2161" s="124"/>
      <c r="G2161" s="124"/>
      <c r="H2161" s="124"/>
      <c r="I2161" s="124"/>
      <c r="J2161" s="124"/>
      <c r="K2161" s="124"/>
      <c r="L2161" s="124"/>
      <c r="M2161" s="124"/>
      <c r="N2161" s="124"/>
      <c r="O2161" s="124"/>
      <c r="P2161" s="124"/>
      <c r="Q2161" s="124"/>
      <c r="R2161" s="124"/>
      <c r="S2161" s="124"/>
      <c r="T2161" s="124"/>
      <c r="U2161" s="124"/>
      <c r="V2161" s="124"/>
      <c r="W2161" s="124"/>
      <c r="X2161" s="124"/>
      <c r="Y2161" s="124"/>
      <c r="Z2161" s="124"/>
    </row>
    <row r="2162">
      <c r="A2162" s="124"/>
      <c r="B2162" s="124"/>
      <c r="C2162" s="147"/>
      <c r="D2162" s="124"/>
      <c r="E2162" s="124"/>
      <c r="F2162" s="124"/>
      <c r="G2162" s="124"/>
      <c r="H2162" s="124"/>
      <c r="I2162" s="124"/>
      <c r="J2162" s="124"/>
      <c r="K2162" s="124"/>
      <c r="L2162" s="124"/>
      <c r="M2162" s="124"/>
      <c r="N2162" s="124"/>
      <c r="O2162" s="124"/>
      <c r="P2162" s="124"/>
      <c r="Q2162" s="124"/>
      <c r="R2162" s="124"/>
      <c r="S2162" s="124"/>
      <c r="T2162" s="124"/>
      <c r="U2162" s="124"/>
      <c r="V2162" s="124"/>
      <c r="W2162" s="124"/>
      <c r="X2162" s="124"/>
      <c r="Y2162" s="124"/>
      <c r="Z2162" s="124"/>
    </row>
    <row r="2163">
      <c r="A2163" s="124"/>
      <c r="B2163" s="124"/>
      <c r="C2163" s="147"/>
      <c r="D2163" s="124"/>
      <c r="E2163" s="124"/>
      <c r="F2163" s="124"/>
      <c r="G2163" s="124"/>
      <c r="H2163" s="124"/>
      <c r="I2163" s="124"/>
      <c r="J2163" s="124"/>
      <c r="K2163" s="124"/>
      <c r="L2163" s="124"/>
      <c r="M2163" s="124"/>
      <c r="N2163" s="124"/>
      <c r="O2163" s="124"/>
      <c r="P2163" s="124"/>
      <c r="Q2163" s="124"/>
      <c r="R2163" s="124"/>
      <c r="S2163" s="124"/>
      <c r="T2163" s="124"/>
      <c r="U2163" s="124"/>
      <c r="V2163" s="124"/>
      <c r="W2163" s="124"/>
      <c r="X2163" s="124"/>
      <c r="Y2163" s="124"/>
      <c r="Z2163" s="124"/>
    </row>
    <row r="2164">
      <c r="A2164" s="124"/>
      <c r="B2164" s="124"/>
      <c r="C2164" s="147"/>
      <c r="D2164" s="124"/>
      <c r="E2164" s="124"/>
      <c r="F2164" s="124"/>
      <c r="G2164" s="124"/>
      <c r="H2164" s="124"/>
      <c r="I2164" s="124"/>
      <c r="J2164" s="124"/>
      <c r="K2164" s="124"/>
      <c r="L2164" s="124"/>
      <c r="M2164" s="124"/>
      <c r="N2164" s="124"/>
      <c r="O2164" s="124"/>
      <c r="P2164" s="124"/>
      <c r="Q2164" s="124"/>
      <c r="R2164" s="124"/>
      <c r="S2164" s="124"/>
      <c r="T2164" s="124"/>
      <c r="U2164" s="124"/>
      <c r="V2164" s="124"/>
      <c r="W2164" s="124"/>
      <c r="X2164" s="124"/>
      <c r="Y2164" s="124"/>
      <c r="Z2164" s="124"/>
    </row>
    <row r="2165">
      <c r="A2165" s="124"/>
      <c r="B2165" s="124"/>
      <c r="C2165" s="147"/>
      <c r="D2165" s="124"/>
      <c r="E2165" s="124"/>
      <c r="F2165" s="124"/>
      <c r="G2165" s="124"/>
      <c r="H2165" s="124"/>
      <c r="I2165" s="124"/>
      <c r="J2165" s="124"/>
      <c r="K2165" s="124"/>
      <c r="L2165" s="124"/>
      <c r="M2165" s="124"/>
      <c r="N2165" s="124"/>
      <c r="O2165" s="124"/>
      <c r="P2165" s="124"/>
      <c r="Q2165" s="124"/>
      <c r="R2165" s="124"/>
      <c r="S2165" s="124"/>
      <c r="T2165" s="124"/>
      <c r="U2165" s="124"/>
      <c r="V2165" s="124"/>
      <c r="W2165" s="124"/>
      <c r="X2165" s="124"/>
      <c r="Y2165" s="124"/>
      <c r="Z2165" s="124"/>
    </row>
    <row r="2166">
      <c r="A2166" s="124"/>
      <c r="B2166" s="124"/>
      <c r="C2166" s="147"/>
      <c r="D2166" s="124"/>
      <c r="E2166" s="124"/>
      <c r="F2166" s="124"/>
      <c r="G2166" s="124"/>
      <c r="H2166" s="124"/>
      <c r="I2166" s="124"/>
      <c r="J2166" s="124"/>
      <c r="K2166" s="124"/>
      <c r="L2166" s="124"/>
      <c r="M2166" s="124"/>
      <c r="N2166" s="124"/>
      <c r="O2166" s="124"/>
      <c r="P2166" s="124"/>
      <c r="Q2166" s="124"/>
      <c r="R2166" s="124"/>
      <c r="S2166" s="124"/>
      <c r="T2166" s="124"/>
      <c r="U2166" s="124"/>
      <c r="V2166" s="124"/>
      <c r="W2166" s="124"/>
      <c r="X2166" s="124"/>
      <c r="Y2166" s="124"/>
      <c r="Z2166" s="124"/>
    </row>
    <row r="2167">
      <c r="A2167" s="124"/>
      <c r="B2167" s="124"/>
      <c r="C2167" s="147"/>
      <c r="D2167" s="124"/>
      <c r="E2167" s="124"/>
      <c r="F2167" s="124"/>
      <c r="G2167" s="124"/>
      <c r="H2167" s="124"/>
      <c r="I2167" s="124"/>
      <c r="J2167" s="124"/>
      <c r="K2167" s="124"/>
      <c r="L2167" s="124"/>
      <c r="M2167" s="124"/>
      <c r="N2167" s="124"/>
      <c r="O2167" s="124"/>
      <c r="P2167" s="124"/>
      <c r="Q2167" s="124"/>
      <c r="R2167" s="124"/>
      <c r="S2167" s="124"/>
      <c r="T2167" s="124"/>
      <c r="U2167" s="124"/>
      <c r="V2167" s="124"/>
      <c r="W2167" s="124"/>
      <c r="X2167" s="124"/>
      <c r="Y2167" s="124"/>
      <c r="Z2167" s="124"/>
    </row>
    <row r="2168">
      <c r="A2168" s="124"/>
      <c r="B2168" s="124"/>
      <c r="C2168" s="147"/>
      <c r="D2168" s="124"/>
      <c r="E2168" s="124"/>
      <c r="F2168" s="124"/>
      <c r="G2168" s="124"/>
      <c r="H2168" s="124"/>
      <c r="I2168" s="124"/>
      <c r="J2168" s="124"/>
      <c r="K2168" s="124"/>
      <c r="L2168" s="124"/>
      <c r="M2168" s="124"/>
      <c r="N2168" s="124"/>
      <c r="O2168" s="124"/>
      <c r="P2168" s="124"/>
      <c r="Q2168" s="124"/>
      <c r="R2168" s="124"/>
      <c r="S2168" s="124"/>
      <c r="T2168" s="124"/>
      <c r="U2168" s="124"/>
      <c r="V2168" s="124"/>
      <c r="W2168" s="124"/>
      <c r="X2168" s="124"/>
      <c r="Y2168" s="124"/>
      <c r="Z2168" s="124"/>
    </row>
    <row r="2169">
      <c r="A2169" s="124"/>
      <c r="B2169" s="124"/>
      <c r="C2169" s="147"/>
      <c r="D2169" s="124"/>
      <c r="E2169" s="124"/>
      <c r="F2169" s="124"/>
      <c r="G2169" s="124"/>
      <c r="H2169" s="124"/>
      <c r="I2169" s="124"/>
      <c r="J2169" s="124"/>
      <c r="K2169" s="124"/>
      <c r="L2169" s="124"/>
      <c r="M2169" s="124"/>
      <c r="N2169" s="124"/>
      <c r="O2169" s="124"/>
      <c r="P2169" s="124"/>
      <c r="Q2169" s="124"/>
      <c r="R2169" s="124"/>
      <c r="S2169" s="124"/>
      <c r="T2169" s="124"/>
      <c r="U2169" s="124"/>
      <c r="V2169" s="124"/>
      <c r="W2169" s="124"/>
      <c r="X2169" s="124"/>
      <c r="Y2169" s="124"/>
      <c r="Z2169" s="124"/>
    </row>
    <row r="2170">
      <c r="A2170" s="124"/>
      <c r="B2170" s="124"/>
      <c r="C2170" s="147"/>
      <c r="D2170" s="124"/>
      <c r="E2170" s="124"/>
      <c r="F2170" s="124"/>
      <c r="G2170" s="124"/>
      <c r="H2170" s="124"/>
      <c r="I2170" s="124"/>
      <c r="J2170" s="124"/>
      <c r="K2170" s="124"/>
      <c r="L2170" s="124"/>
      <c r="M2170" s="124"/>
      <c r="N2170" s="124"/>
      <c r="O2170" s="124"/>
      <c r="P2170" s="124"/>
      <c r="Q2170" s="124"/>
      <c r="R2170" s="124"/>
      <c r="S2170" s="124"/>
      <c r="T2170" s="124"/>
      <c r="U2170" s="124"/>
      <c r="V2170" s="124"/>
      <c r="W2170" s="124"/>
      <c r="X2170" s="124"/>
      <c r="Y2170" s="124"/>
      <c r="Z2170" s="124"/>
    </row>
    <row r="2171">
      <c r="A2171" s="124"/>
      <c r="B2171" s="124"/>
      <c r="C2171" s="147"/>
      <c r="D2171" s="124"/>
      <c r="E2171" s="124"/>
      <c r="F2171" s="124"/>
      <c r="G2171" s="124"/>
      <c r="H2171" s="124"/>
      <c r="I2171" s="124"/>
      <c r="J2171" s="124"/>
      <c r="K2171" s="124"/>
      <c r="L2171" s="124"/>
      <c r="M2171" s="124"/>
      <c r="N2171" s="124"/>
      <c r="O2171" s="124"/>
      <c r="P2171" s="124"/>
      <c r="Q2171" s="124"/>
      <c r="R2171" s="124"/>
      <c r="S2171" s="124"/>
      <c r="T2171" s="124"/>
      <c r="U2171" s="124"/>
      <c r="V2171" s="124"/>
      <c r="W2171" s="124"/>
      <c r="X2171" s="124"/>
      <c r="Y2171" s="124"/>
      <c r="Z2171" s="124"/>
    </row>
    <row r="2172">
      <c r="A2172" s="124"/>
      <c r="B2172" s="124"/>
      <c r="C2172" s="147"/>
      <c r="D2172" s="124"/>
      <c r="E2172" s="124"/>
      <c r="F2172" s="124"/>
      <c r="G2172" s="124"/>
      <c r="H2172" s="124"/>
      <c r="I2172" s="124"/>
      <c r="J2172" s="124"/>
      <c r="K2172" s="124"/>
      <c r="L2172" s="124"/>
      <c r="M2172" s="124"/>
      <c r="N2172" s="124"/>
      <c r="O2172" s="124"/>
      <c r="P2172" s="124"/>
      <c r="Q2172" s="124"/>
      <c r="R2172" s="124"/>
      <c r="S2172" s="124"/>
      <c r="T2172" s="124"/>
      <c r="U2172" s="124"/>
      <c r="V2172" s="124"/>
      <c r="W2172" s="124"/>
      <c r="X2172" s="124"/>
      <c r="Y2172" s="124"/>
      <c r="Z2172" s="124"/>
    </row>
    <row r="2173">
      <c r="A2173" s="124"/>
      <c r="B2173" s="124"/>
      <c r="C2173" s="147"/>
      <c r="D2173" s="124"/>
      <c r="E2173" s="124"/>
      <c r="F2173" s="124"/>
      <c r="G2173" s="124"/>
      <c r="H2173" s="124"/>
      <c r="I2173" s="124"/>
      <c r="J2173" s="124"/>
      <c r="K2173" s="124"/>
      <c r="L2173" s="124"/>
      <c r="M2173" s="124"/>
      <c r="N2173" s="124"/>
      <c r="O2173" s="124"/>
      <c r="P2173" s="124"/>
      <c r="Q2173" s="124"/>
      <c r="R2173" s="124"/>
      <c r="S2173" s="124"/>
      <c r="T2173" s="124"/>
      <c r="U2173" s="124"/>
      <c r="V2173" s="124"/>
      <c r="W2173" s="124"/>
      <c r="X2173" s="124"/>
      <c r="Y2173" s="124"/>
      <c r="Z2173" s="124"/>
    </row>
    <row r="2174">
      <c r="A2174" s="124"/>
      <c r="B2174" s="124"/>
      <c r="C2174" s="147"/>
      <c r="D2174" s="124"/>
      <c r="E2174" s="124"/>
      <c r="F2174" s="124"/>
      <c r="G2174" s="124"/>
      <c r="H2174" s="124"/>
      <c r="I2174" s="124"/>
      <c r="J2174" s="124"/>
      <c r="K2174" s="124"/>
      <c r="L2174" s="124"/>
      <c r="M2174" s="124"/>
      <c r="N2174" s="124"/>
      <c r="O2174" s="124"/>
      <c r="P2174" s="124"/>
      <c r="Q2174" s="124"/>
      <c r="R2174" s="124"/>
      <c r="S2174" s="124"/>
      <c r="T2174" s="124"/>
      <c r="U2174" s="124"/>
      <c r="V2174" s="124"/>
      <c r="W2174" s="124"/>
      <c r="X2174" s="124"/>
      <c r="Y2174" s="124"/>
      <c r="Z2174" s="124"/>
    </row>
    <row r="2175">
      <c r="A2175" s="124"/>
      <c r="B2175" s="124"/>
      <c r="C2175" s="147"/>
      <c r="D2175" s="124"/>
      <c r="E2175" s="124"/>
      <c r="F2175" s="124"/>
      <c r="G2175" s="124"/>
      <c r="H2175" s="124"/>
      <c r="I2175" s="124"/>
      <c r="J2175" s="124"/>
      <c r="K2175" s="124"/>
      <c r="L2175" s="124"/>
      <c r="M2175" s="124"/>
      <c r="N2175" s="124"/>
      <c r="O2175" s="124"/>
      <c r="P2175" s="124"/>
      <c r="Q2175" s="124"/>
      <c r="R2175" s="124"/>
      <c r="S2175" s="124"/>
      <c r="T2175" s="124"/>
      <c r="U2175" s="124"/>
      <c r="V2175" s="124"/>
      <c r="W2175" s="124"/>
      <c r="X2175" s="124"/>
      <c r="Y2175" s="124"/>
      <c r="Z2175" s="124"/>
    </row>
    <row r="2176">
      <c r="A2176" s="124"/>
      <c r="B2176" s="124"/>
      <c r="C2176" s="147"/>
      <c r="D2176" s="124"/>
      <c r="E2176" s="124"/>
      <c r="F2176" s="124"/>
      <c r="G2176" s="124"/>
      <c r="H2176" s="124"/>
      <c r="I2176" s="124"/>
      <c r="J2176" s="124"/>
      <c r="K2176" s="124"/>
      <c r="L2176" s="124"/>
      <c r="M2176" s="124"/>
      <c r="N2176" s="124"/>
      <c r="O2176" s="124"/>
      <c r="P2176" s="124"/>
      <c r="Q2176" s="124"/>
      <c r="R2176" s="124"/>
      <c r="S2176" s="124"/>
      <c r="T2176" s="124"/>
      <c r="U2176" s="124"/>
      <c r="V2176" s="124"/>
      <c r="W2176" s="124"/>
      <c r="X2176" s="124"/>
      <c r="Y2176" s="124"/>
      <c r="Z2176" s="124"/>
    </row>
    <row r="2177">
      <c r="A2177" s="124"/>
      <c r="B2177" s="124"/>
      <c r="C2177" s="147"/>
      <c r="D2177" s="124"/>
      <c r="E2177" s="124"/>
      <c r="F2177" s="124"/>
      <c r="G2177" s="124"/>
      <c r="H2177" s="124"/>
      <c r="I2177" s="124"/>
      <c r="J2177" s="124"/>
      <c r="K2177" s="124"/>
      <c r="L2177" s="124"/>
      <c r="M2177" s="124"/>
      <c r="N2177" s="124"/>
      <c r="O2177" s="124"/>
      <c r="P2177" s="124"/>
      <c r="Q2177" s="124"/>
      <c r="R2177" s="124"/>
      <c r="S2177" s="124"/>
      <c r="T2177" s="124"/>
      <c r="U2177" s="124"/>
      <c r="V2177" s="124"/>
      <c r="W2177" s="124"/>
      <c r="X2177" s="124"/>
      <c r="Y2177" s="124"/>
      <c r="Z2177" s="124"/>
    </row>
    <row r="2178">
      <c r="A2178" s="124"/>
      <c r="B2178" s="124"/>
      <c r="C2178" s="147"/>
      <c r="D2178" s="124"/>
      <c r="E2178" s="124"/>
      <c r="F2178" s="124"/>
      <c r="G2178" s="124"/>
      <c r="H2178" s="124"/>
      <c r="I2178" s="124"/>
      <c r="J2178" s="124"/>
      <c r="K2178" s="124"/>
      <c r="L2178" s="124"/>
      <c r="M2178" s="124"/>
      <c r="N2178" s="124"/>
      <c r="O2178" s="124"/>
      <c r="P2178" s="124"/>
      <c r="Q2178" s="124"/>
      <c r="R2178" s="124"/>
      <c r="S2178" s="124"/>
      <c r="T2178" s="124"/>
      <c r="U2178" s="124"/>
      <c r="V2178" s="124"/>
      <c r="W2178" s="124"/>
      <c r="X2178" s="124"/>
      <c r="Y2178" s="124"/>
      <c r="Z2178" s="124"/>
    </row>
    <row r="2179">
      <c r="A2179" s="124"/>
      <c r="B2179" s="124"/>
      <c r="C2179" s="147"/>
      <c r="D2179" s="124"/>
      <c r="E2179" s="124"/>
      <c r="F2179" s="124"/>
      <c r="G2179" s="124"/>
      <c r="H2179" s="124"/>
      <c r="I2179" s="124"/>
      <c r="J2179" s="124"/>
      <c r="K2179" s="124"/>
      <c r="L2179" s="124"/>
      <c r="M2179" s="124"/>
      <c r="N2179" s="124"/>
      <c r="O2179" s="124"/>
      <c r="P2179" s="124"/>
      <c r="Q2179" s="124"/>
      <c r="R2179" s="124"/>
      <c r="S2179" s="124"/>
      <c r="T2179" s="124"/>
      <c r="U2179" s="124"/>
      <c r="V2179" s="124"/>
      <c r="W2179" s="124"/>
      <c r="X2179" s="124"/>
      <c r="Y2179" s="124"/>
      <c r="Z2179" s="124"/>
    </row>
    <row r="2180">
      <c r="A2180" s="124"/>
      <c r="B2180" s="124"/>
      <c r="C2180" s="147"/>
      <c r="D2180" s="124"/>
      <c r="E2180" s="124"/>
      <c r="F2180" s="124"/>
      <c r="G2180" s="124"/>
      <c r="H2180" s="124"/>
      <c r="I2180" s="124"/>
      <c r="J2180" s="124"/>
      <c r="K2180" s="124"/>
      <c r="L2180" s="124"/>
      <c r="M2180" s="124"/>
      <c r="N2180" s="124"/>
      <c r="O2180" s="124"/>
      <c r="P2180" s="124"/>
      <c r="Q2180" s="124"/>
      <c r="R2180" s="124"/>
      <c r="S2180" s="124"/>
      <c r="T2180" s="124"/>
      <c r="U2180" s="124"/>
      <c r="V2180" s="124"/>
      <c r="W2180" s="124"/>
      <c r="X2180" s="124"/>
      <c r="Y2180" s="124"/>
      <c r="Z2180" s="124"/>
    </row>
    <row r="2181">
      <c r="A2181" s="124"/>
      <c r="B2181" s="124"/>
      <c r="C2181" s="147"/>
      <c r="D2181" s="124"/>
      <c r="E2181" s="124"/>
      <c r="F2181" s="124"/>
      <c r="G2181" s="124"/>
      <c r="H2181" s="124"/>
      <c r="I2181" s="124"/>
      <c r="J2181" s="124"/>
      <c r="K2181" s="124"/>
      <c r="L2181" s="124"/>
      <c r="M2181" s="124"/>
      <c r="N2181" s="124"/>
      <c r="O2181" s="124"/>
      <c r="P2181" s="124"/>
      <c r="Q2181" s="124"/>
      <c r="R2181" s="124"/>
      <c r="S2181" s="124"/>
      <c r="T2181" s="124"/>
      <c r="U2181" s="124"/>
      <c r="V2181" s="124"/>
      <c r="W2181" s="124"/>
      <c r="X2181" s="124"/>
      <c r="Y2181" s="124"/>
      <c r="Z2181" s="124"/>
    </row>
    <row r="2182">
      <c r="A2182" s="124"/>
      <c r="B2182" s="124"/>
      <c r="C2182" s="147"/>
      <c r="D2182" s="124"/>
      <c r="E2182" s="124"/>
      <c r="F2182" s="124"/>
      <c r="G2182" s="124"/>
      <c r="H2182" s="124"/>
      <c r="I2182" s="124"/>
      <c r="J2182" s="124"/>
      <c r="K2182" s="124"/>
      <c r="L2182" s="124"/>
      <c r="M2182" s="124"/>
      <c r="N2182" s="124"/>
      <c r="O2182" s="124"/>
      <c r="P2182" s="124"/>
      <c r="Q2182" s="124"/>
      <c r="R2182" s="124"/>
      <c r="S2182" s="124"/>
      <c r="T2182" s="124"/>
      <c r="U2182" s="124"/>
      <c r="V2182" s="124"/>
      <c r="W2182" s="124"/>
      <c r="X2182" s="124"/>
      <c r="Y2182" s="124"/>
      <c r="Z2182" s="124"/>
    </row>
    <row r="2183">
      <c r="A2183" s="124"/>
      <c r="B2183" s="124"/>
      <c r="C2183" s="147"/>
      <c r="D2183" s="124"/>
      <c r="E2183" s="124"/>
      <c r="F2183" s="124"/>
      <c r="G2183" s="124"/>
      <c r="H2183" s="124"/>
      <c r="I2183" s="124"/>
      <c r="J2183" s="124"/>
      <c r="K2183" s="124"/>
      <c r="L2183" s="124"/>
      <c r="M2183" s="124"/>
      <c r="N2183" s="124"/>
      <c r="O2183" s="124"/>
      <c r="P2183" s="124"/>
      <c r="Q2183" s="124"/>
      <c r="R2183" s="124"/>
      <c r="S2183" s="124"/>
      <c r="T2183" s="124"/>
      <c r="U2183" s="124"/>
      <c r="V2183" s="124"/>
      <c r="W2183" s="124"/>
      <c r="X2183" s="124"/>
      <c r="Y2183" s="124"/>
      <c r="Z2183" s="124"/>
    </row>
    <row r="2184">
      <c r="A2184" s="124"/>
      <c r="B2184" s="124"/>
      <c r="C2184" s="147"/>
      <c r="D2184" s="124"/>
      <c r="E2184" s="124"/>
      <c r="F2184" s="124"/>
      <c r="G2184" s="124"/>
      <c r="H2184" s="124"/>
      <c r="I2184" s="124"/>
      <c r="J2184" s="124"/>
      <c r="K2184" s="124"/>
      <c r="L2184" s="124"/>
      <c r="M2184" s="124"/>
      <c r="N2184" s="124"/>
      <c r="O2184" s="124"/>
      <c r="P2184" s="124"/>
      <c r="Q2184" s="124"/>
      <c r="R2184" s="124"/>
      <c r="S2184" s="124"/>
      <c r="T2184" s="124"/>
      <c r="U2184" s="124"/>
      <c r="V2184" s="124"/>
      <c r="W2184" s="124"/>
      <c r="X2184" s="124"/>
      <c r="Y2184" s="124"/>
      <c r="Z2184" s="124"/>
    </row>
    <row r="2185">
      <c r="A2185" s="124"/>
      <c r="B2185" s="124"/>
      <c r="C2185" s="147"/>
      <c r="D2185" s="124"/>
      <c r="E2185" s="124"/>
      <c r="F2185" s="124"/>
      <c r="G2185" s="124"/>
      <c r="H2185" s="124"/>
      <c r="I2185" s="124"/>
      <c r="J2185" s="124"/>
      <c r="K2185" s="124"/>
      <c r="L2185" s="124"/>
      <c r="M2185" s="124"/>
      <c r="N2185" s="124"/>
      <c r="O2185" s="124"/>
      <c r="P2185" s="124"/>
      <c r="Q2185" s="124"/>
      <c r="R2185" s="124"/>
      <c r="S2185" s="124"/>
      <c r="T2185" s="124"/>
      <c r="U2185" s="124"/>
      <c r="V2185" s="124"/>
      <c r="W2185" s="124"/>
      <c r="X2185" s="124"/>
      <c r="Y2185" s="124"/>
      <c r="Z2185" s="124"/>
    </row>
    <row r="2186">
      <c r="A2186" s="124"/>
      <c r="B2186" s="124"/>
      <c r="C2186" s="147"/>
      <c r="D2186" s="124"/>
      <c r="E2186" s="124"/>
      <c r="F2186" s="124"/>
      <c r="G2186" s="124"/>
      <c r="H2186" s="124"/>
      <c r="I2186" s="124"/>
      <c r="J2186" s="124"/>
      <c r="K2186" s="124"/>
      <c r="L2186" s="124"/>
      <c r="M2186" s="124"/>
      <c r="N2186" s="124"/>
      <c r="O2186" s="124"/>
      <c r="P2186" s="124"/>
      <c r="Q2186" s="124"/>
      <c r="R2186" s="124"/>
      <c r="S2186" s="124"/>
      <c r="T2186" s="124"/>
      <c r="U2186" s="124"/>
      <c r="V2186" s="124"/>
      <c r="W2186" s="124"/>
      <c r="X2186" s="124"/>
      <c r="Y2186" s="124"/>
      <c r="Z2186" s="124"/>
    </row>
    <row r="2187">
      <c r="A2187" s="124"/>
      <c r="B2187" s="124"/>
      <c r="C2187" s="147"/>
      <c r="D2187" s="124"/>
      <c r="E2187" s="124"/>
      <c r="F2187" s="124"/>
      <c r="G2187" s="124"/>
      <c r="H2187" s="124"/>
      <c r="I2187" s="124"/>
      <c r="J2187" s="124"/>
      <c r="K2187" s="124"/>
      <c r="L2187" s="124"/>
      <c r="M2187" s="124"/>
      <c r="N2187" s="124"/>
      <c r="O2187" s="124"/>
      <c r="P2187" s="124"/>
      <c r="Q2187" s="124"/>
      <c r="R2187" s="124"/>
      <c r="S2187" s="124"/>
      <c r="T2187" s="124"/>
      <c r="U2187" s="124"/>
      <c r="V2187" s="124"/>
      <c r="W2187" s="124"/>
      <c r="X2187" s="124"/>
      <c r="Y2187" s="124"/>
      <c r="Z2187" s="124"/>
    </row>
    <row r="2188">
      <c r="A2188" s="124"/>
      <c r="B2188" s="124"/>
      <c r="C2188" s="147"/>
      <c r="D2188" s="124"/>
      <c r="E2188" s="124"/>
      <c r="F2188" s="124"/>
      <c r="G2188" s="124"/>
      <c r="H2188" s="124"/>
      <c r="I2188" s="124"/>
      <c r="J2188" s="124"/>
      <c r="K2188" s="124"/>
      <c r="L2188" s="124"/>
      <c r="M2188" s="124"/>
      <c r="N2188" s="124"/>
      <c r="O2188" s="124"/>
      <c r="P2188" s="124"/>
      <c r="Q2188" s="124"/>
      <c r="R2188" s="124"/>
      <c r="S2188" s="124"/>
      <c r="T2188" s="124"/>
      <c r="U2188" s="124"/>
      <c r="V2188" s="124"/>
      <c r="W2188" s="124"/>
      <c r="X2188" s="124"/>
      <c r="Y2188" s="124"/>
      <c r="Z2188" s="124"/>
    </row>
    <row r="2189">
      <c r="A2189" s="124"/>
      <c r="B2189" s="124"/>
      <c r="C2189" s="147"/>
      <c r="D2189" s="124"/>
      <c r="E2189" s="124"/>
      <c r="F2189" s="124"/>
      <c r="G2189" s="124"/>
      <c r="H2189" s="124"/>
      <c r="I2189" s="124"/>
      <c r="J2189" s="124"/>
      <c r="K2189" s="124"/>
      <c r="L2189" s="124"/>
      <c r="M2189" s="124"/>
      <c r="N2189" s="124"/>
      <c r="O2189" s="124"/>
      <c r="P2189" s="124"/>
      <c r="Q2189" s="124"/>
      <c r="R2189" s="124"/>
      <c r="S2189" s="124"/>
      <c r="T2189" s="124"/>
      <c r="U2189" s="124"/>
      <c r="V2189" s="124"/>
      <c r="W2189" s="124"/>
      <c r="X2189" s="124"/>
      <c r="Y2189" s="124"/>
      <c r="Z2189" s="124"/>
    </row>
    <row r="2190">
      <c r="A2190" s="124"/>
      <c r="B2190" s="124"/>
      <c r="C2190" s="147"/>
      <c r="D2190" s="124"/>
      <c r="E2190" s="124"/>
      <c r="F2190" s="124"/>
      <c r="G2190" s="124"/>
      <c r="H2190" s="124"/>
      <c r="I2190" s="124"/>
      <c r="J2190" s="124"/>
      <c r="K2190" s="124"/>
      <c r="L2190" s="124"/>
      <c r="M2190" s="124"/>
      <c r="N2190" s="124"/>
      <c r="O2190" s="124"/>
      <c r="P2190" s="124"/>
      <c r="Q2190" s="124"/>
      <c r="R2190" s="124"/>
      <c r="S2190" s="124"/>
      <c r="T2190" s="124"/>
      <c r="U2190" s="124"/>
      <c r="V2190" s="124"/>
      <c r="W2190" s="124"/>
      <c r="X2190" s="124"/>
      <c r="Y2190" s="124"/>
      <c r="Z2190" s="124"/>
    </row>
    <row r="2191">
      <c r="A2191" s="124"/>
      <c r="B2191" s="124"/>
      <c r="C2191" s="147"/>
      <c r="D2191" s="124"/>
      <c r="E2191" s="124"/>
      <c r="F2191" s="124"/>
      <c r="G2191" s="124"/>
      <c r="H2191" s="124"/>
      <c r="I2191" s="124"/>
      <c r="J2191" s="124"/>
      <c r="K2191" s="124"/>
      <c r="L2191" s="124"/>
      <c r="M2191" s="124"/>
      <c r="N2191" s="124"/>
      <c r="O2191" s="124"/>
      <c r="P2191" s="124"/>
      <c r="Q2191" s="124"/>
      <c r="R2191" s="124"/>
      <c r="S2191" s="124"/>
      <c r="T2191" s="124"/>
      <c r="U2191" s="124"/>
      <c r="V2191" s="124"/>
      <c r="W2191" s="124"/>
      <c r="X2191" s="124"/>
      <c r="Y2191" s="124"/>
      <c r="Z2191" s="124"/>
    </row>
    <row r="2192">
      <c r="A2192" s="124"/>
      <c r="B2192" s="124"/>
      <c r="C2192" s="147"/>
      <c r="D2192" s="124"/>
      <c r="E2192" s="124"/>
      <c r="F2192" s="124"/>
      <c r="G2192" s="124"/>
      <c r="H2192" s="124"/>
      <c r="I2192" s="124"/>
      <c r="J2192" s="124"/>
      <c r="K2192" s="124"/>
      <c r="L2192" s="124"/>
      <c r="M2192" s="124"/>
      <c r="N2192" s="124"/>
      <c r="O2192" s="124"/>
      <c r="P2192" s="124"/>
      <c r="Q2192" s="124"/>
      <c r="R2192" s="124"/>
      <c r="S2192" s="124"/>
      <c r="T2192" s="124"/>
      <c r="U2192" s="124"/>
      <c r="V2192" s="124"/>
      <c r="W2192" s="124"/>
      <c r="X2192" s="124"/>
      <c r="Y2192" s="124"/>
      <c r="Z2192" s="124"/>
    </row>
    <row r="2193">
      <c r="A2193" s="124"/>
      <c r="B2193" s="124"/>
      <c r="C2193" s="147"/>
      <c r="D2193" s="124"/>
      <c r="E2193" s="124"/>
      <c r="F2193" s="124"/>
      <c r="G2193" s="124"/>
      <c r="H2193" s="124"/>
      <c r="I2193" s="124"/>
      <c r="J2193" s="124"/>
      <c r="K2193" s="124"/>
      <c r="L2193" s="124"/>
      <c r="M2193" s="124"/>
      <c r="N2193" s="124"/>
      <c r="O2193" s="124"/>
      <c r="P2193" s="124"/>
      <c r="Q2193" s="124"/>
      <c r="R2193" s="124"/>
      <c r="S2193" s="124"/>
      <c r="T2193" s="124"/>
      <c r="U2193" s="124"/>
      <c r="V2193" s="124"/>
      <c r="W2193" s="124"/>
      <c r="X2193" s="124"/>
      <c r="Y2193" s="124"/>
      <c r="Z2193" s="124"/>
    </row>
    <row r="2194">
      <c r="A2194" s="124"/>
      <c r="B2194" s="124"/>
      <c r="C2194" s="147"/>
      <c r="D2194" s="124"/>
      <c r="E2194" s="124"/>
      <c r="F2194" s="124"/>
      <c r="G2194" s="124"/>
      <c r="H2194" s="124"/>
      <c r="I2194" s="124"/>
      <c r="J2194" s="124"/>
      <c r="K2194" s="124"/>
      <c r="L2194" s="124"/>
      <c r="M2194" s="124"/>
      <c r="N2194" s="124"/>
      <c r="O2194" s="124"/>
      <c r="P2194" s="124"/>
      <c r="Q2194" s="124"/>
      <c r="R2194" s="124"/>
      <c r="S2194" s="124"/>
      <c r="T2194" s="124"/>
      <c r="U2194" s="124"/>
      <c r="V2194" s="124"/>
      <c r="W2194" s="124"/>
      <c r="X2194" s="124"/>
      <c r="Y2194" s="124"/>
      <c r="Z2194" s="124"/>
    </row>
    <row r="2195">
      <c r="A2195" s="124"/>
      <c r="B2195" s="124"/>
      <c r="C2195" s="147"/>
      <c r="D2195" s="124"/>
      <c r="E2195" s="124"/>
      <c r="F2195" s="124"/>
      <c r="G2195" s="124"/>
      <c r="H2195" s="124"/>
      <c r="I2195" s="124"/>
      <c r="J2195" s="124"/>
      <c r="K2195" s="124"/>
      <c r="L2195" s="124"/>
      <c r="M2195" s="124"/>
      <c r="N2195" s="124"/>
      <c r="O2195" s="124"/>
      <c r="P2195" s="124"/>
      <c r="Q2195" s="124"/>
      <c r="R2195" s="124"/>
      <c r="S2195" s="124"/>
      <c r="T2195" s="124"/>
      <c r="U2195" s="124"/>
      <c r="V2195" s="124"/>
      <c r="W2195" s="124"/>
      <c r="X2195" s="124"/>
      <c r="Y2195" s="124"/>
      <c r="Z2195" s="124"/>
    </row>
    <row r="2196">
      <c r="A2196" s="124"/>
      <c r="B2196" s="124"/>
      <c r="C2196" s="147"/>
      <c r="D2196" s="124"/>
      <c r="E2196" s="124"/>
      <c r="F2196" s="124"/>
      <c r="G2196" s="124"/>
      <c r="H2196" s="124"/>
      <c r="I2196" s="124"/>
      <c r="J2196" s="124"/>
      <c r="K2196" s="124"/>
      <c r="L2196" s="124"/>
      <c r="M2196" s="124"/>
      <c r="N2196" s="124"/>
      <c r="O2196" s="124"/>
      <c r="P2196" s="124"/>
      <c r="Q2196" s="124"/>
      <c r="R2196" s="124"/>
      <c r="S2196" s="124"/>
      <c r="T2196" s="124"/>
      <c r="U2196" s="124"/>
      <c r="V2196" s="124"/>
      <c r="W2196" s="124"/>
      <c r="X2196" s="124"/>
      <c r="Y2196" s="124"/>
      <c r="Z2196" s="124"/>
    </row>
    <row r="2197">
      <c r="A2197" s="124"/>
      <c r="B2197" s="124"/>
      <c r="C2197" s="147"/>
      <c r="D2197" s="124"/>
      <c r="E2197" s="124"/>
      <c r="F2197" s="124"/>
      <c r="G2197" s="124"/>
      <c r="H2197" s="124"/>
      <c r="I2197" s="124"/>
      <c r="J2197" s="124"/>
      <c r="K2197" s="124"/>
      <c r="L2197" s="124"/>
      <c r="M2197" s="124"/>
      <c r="N2197" s="124"/>
      <c r="O2197" s="124"/>
      <c r="P2197" s="124"/>
      <c r="Q2197" s="124"/>
      <c r="R2197" s="124"/>
      <c r="S2197" s="124"/>
      <c r="T2197" s="124"/>
      <c r="U2197" s="124"/>
      <c r="V2197" s="124"/>
      <c r="W2197" s="124"/>
      <c r="X2197" s="124"/>
      <c r="Y2197" s="124"/>
      <c r="Z2197" s="124"/>
    </row>
    <row r="2198">
      <c r="A2198" s="124"/>
      <c r="B2198" s="124"/>
      <c r="C2198" s="147"/>
      <c r="D2198" s="124"/>
      <c r="E2198" s="124"/>
      <c r="F2198" s="124"/>
      <c r="G2198" s="124"/>
      <c r="H2198" s="124"/>
      <c r="I2198" s="124"/>
      <c r="J2198" s="124"/>
      <c r="K2198" s="124"/>
      <c r="L2198" s="124"/>
      <c r="M2198" s="124"/>
      <c r="N2198" s="124"/>
      <c r="O2198" s="124"/>
      <c r="P2198" s="124"/>
      <c r="Q2198" s="124"/>
      <c r="R2198" s="124"/>
      <c r="S2198" s="124"/>
      <c r="T2198" s="124"/>
      <c r="U2198" s="124"/>
      <c r="V2198" s="124"/>
      <c r="W2198" s="124"/>
      <c r="X2198" s="124"/>
      <c r="Y2198" s="124"/>
      <c r="Z2198" s="124"/>
    </row>
    <row r="2199">
      <c r="A2199" s="124"/>
      <c r="B2199" s="124"/>
      <c r="C2199" s="147"/>
      <c r="D2199" s="124"/>
      <c r="E2199" s="124"/>
      <c r="F2199" s="124"/>
      <c r="G2199" s="124"/>
      <c r="H2199" s="124"/>
      <c r="I2199" s="124"/>
      <c r="J2199" s="124"/>
      <c r="K2199" s="124"/>
      <c r="L2199" s="124"/>
      <c r="M2199" s="124"/>
      <c r="N2199" s="124"/>
      <c r="O2199" s="124"/>
      <c r="P2199" s="124"/>
      <c r="Q2199" s="124"/>
      <c r="R2199" s="124"/>
      <c r="S2199" s="124"/>
      <c r="T2199" s="124"/>
      <c r="U2199" s="124"/>
      <c r="V2199" s="124"/>
      <c r="W2199" s="124"/>
      <c r="X2199" s="124"/>
      <c r="Y2199" s="124"/>
      <c r="Z2199" s="124"/>
    </row>
    <row r="2200">
      <c r="A2200" s="124"/>
      <c r="B2200" s="124"/>
      <c r="C2200" s="147"/>
      <c r="D2200" s="124"/>
      <c r="E2200" s="124"/>
      <c r="F2200" s="124"/>
      <c r="G2200" s="124"/>
      <c r="H2200" s="124"/>
      <c r="I2200" s="124"/>
      <c r="J2200" s="124"/>
      <c r="K2200" s="124"/>
      <c r="L2200" s="124"/>
      <c r="M2200" s="124"/>
      <c r="N2200" s="124"/>
      <c r="O2200" s="124"/>
      <c r="P2200" s="124"/>
      <c r="Q2200" s="124"/>
      <c r="R2200" s="124"/>
      <c r="S2200" s="124"/>
      <c r="T2200" s="124"/>
      <c r="U2200" s="124"/>
      <c r="V2200" s="124"/>
      <c r="W2200" s="124"/>
      <c r="X2200" s="124"/>
      <c r="Y2200" s="124"/>
      <c r="Z2200" s="124"/>
    </row>
    <row r="2201">
      <c r="A2201" s="124"/>
      <c r="B2201" s="124"/>
      <c r="C2201" s="147"/>
      <c r="D2201" s="124"/>
      <c r="E2201" s="124"/>
      <c r="F2201" s="124"/>
      <c r="G2201" s="124"/>
      <c r="H2201" s="124"/>
      <c r="I2201" s="124"/>
      <c r="J2201" s="124"/>
      <c r="K2201" s="124"/>
      <c r="L2201" s="124"/>
      <c r="M2201" s="124"/>
      <c r="N2201" s="124"/>
      <c r="O2201" s="124"/>
      <c r="P2201" s="124"/>
      <c r="Q2201" s="124"/>
      <c r="R2201" s="124"/>
      <c r="S2201" s="124"/>
      <c r="T2201" s="124"/>
      <c r="U2201" s="124"/>
      <c r="V2201" s="124"/>
      <c r="W2201" s="124"/>
      <c r="X2201" s="124"/>
      <c r="Y2201" s="124"/>
      <c r="Z2201" s="124"/>
    </row>
    <row r="2202">
      <c r="A2202" s="124"/>
      <c r="B2202" s="124"/>
      <c r="C2202" s="147"/>
      <c r="D2202" s="124"/>
      <c r="E2202" s="124"/>
      <c r="F2202" s="124"/>
      <c r="G2202" s="124"/>
      <c r="H2202" s="124"/>
      <c r="I2202" s="124"/>
      <c r="J2202" s="124"/>
      <c r="K2202" s="124"/>
      <c r="L2202" s="124"/>
      <c r="M2202" s="124"/>
      <c r="N2202" s="124"/>
      <c r="O2202" s="124"/>
      <c r="P2202" s="124"/>
      <c r="Q2202" s="124"/>
      <c r="R2202" s="124"/>
      <c r="S2202" s="124"/>
      <c r="T2202" s="124"/>
      <c r="U2202" s="124"/>
      <c r="V2202" s="124"/>
      <c r="W2202" s="124"/>
      <c r="X2202" s="124"/>
      <c r="Y2202" s="124"/>
      <c r="Z2202" s="124"/>
    </row>
    <row r="2203">
      <c r="A2203" s="124"/>
      <c r="B2203" s="124"/>
      <c r="C2203" s="147"/>
      <c r="D2203" s="124"/>
      <c r="E2203" s="124"/>
      <c r="F2203" s="124"/>
      <c r="G2203" s="124"/>
      <c r="H2203" s="124"/>
      <c r="I2203" s="124"/>
      <c r="J2203" s="124"/>
      <c r="K2203" s="124"/>
      <c r="L2203" s="124"/>
      <c r="M2203" s="124"/>
      <c r="N2203" s="124"/>
      <c r="O2203" s="124"/>
      <c r="P2203" s="124"/>
      <c r="Q2203" s="124"/>
      <c r="R2203" s="124"/>
      <c r="S2203" s="124"/>
      <c r="T2203" s="124"/>
      <c r="U2203" s="124"/>
      <c r="V2203" s="124"/>
      <c r="W2203" s="124"/>
      <c r="X2203" s="124"/>
      <c r="Y2203" s="124"/>
      <c r="Z2203" s="124"/>
    </row>
    <row r="2204">
      <c r="A2204" s="124"/>
      <c r="B2204" s="124"/>
      <c r="C2204" s="147"/>
      <c r="D2204" s="124"/>
      <c r="E2204" s="124"/>
      <c r="F2204" s="124"/>
      <c r="G2204" s="124"/>
      <c r="H2204" s="124"/>
      <c r="I2204" s="124"/>
      <c r="J2204" s="124"/>
      <c r="K2204" s="124"/>
      <c r="L2204" s="124"/>
      <c r="M2204" s="124"/>
      <c r="N2204" s="124"/>
      <c r="O2204" s="124"/>
      <c r="P2204" s="124"/>
      <c r="Q2204" s="124"/>
      <c r="R2204" s="124"/>
      <c r="S2204" s="124"/>
      <c r="T2204" s="124"/>
      <c r="U2204" s="124"/>
      <c r="V2204" s="124"/>
      <c r="W2204" s="124"/>
      <c r="X2204" s="124"/>
      <c r="Y2204" s="124"/>
      <c r="Z2204" s="124"/>
    </row>
    <row r="2205">
      <c r="A2205" s="124"/>
      <c r="B2205" s="124"/>
      <c r="C2205" s="147"/>
      <c r="D2205" s="124"/>
      <c r="E2205" s="124"/>
      <c r="F2205" s="124"/>
      <c r="G2205" s="124"/>
      <c r="H2205" s="124"/>
      <c r="I2205" s="124"/>
      <c r="J2205" s="124"/>
      <c r="K2205" s="124"/>
      <c r="L2205" s="124"/>
      <c r="M2205" s="124"/>
      <c r="N2205" s="124"/>
      <c r="O2205" s="124"/>
      <c r="P2205" s="124"/>
      <c r="Q2205" s="124"/>
      <c r="R2205" s="124"/>
      <c r="S2205" s="124"/>
      <c r="T2205" s="124"/>
      <c r="U2205" s="124"/>
      <c r="V2205" s="124"/>
      <c r="W2205" s="124"/>
      <c r="X2205" s="124"/>
      <c r="Y2205" s="124"/>
      <c r="Z2205" s="124"/>
    </row>
    <row r="2206">
      <c r="A2206" s="124"/>
      <c r="B2206" s="124"/>
      <c r="C2206" s="147"/>
      <c r="D2206" s="124"/>
      <c r="E2206" s="124"/>
      <c r="F2206" s="124"/>
      <c r="G2206" s="124"/>
      <c r="H2206" s="124"/>
      <c r="I2206" s="124"/>
      <c r="J2206" s="124"/>
      <c r="K2206" s="124"/>
      <c r="L2206" s="124"/>
      <c r="M2206" s="124"/>
      <c r="N2206" s="124"/>
      <c r="O2206" s="124"/>
      <c r="P2206" s="124"/>
      <c r="Q2206" s="124"/>
      <c r="R2206" s="124"/>
      <c r="S2206" s="124"/>
      <c r="T2206" s="124"/>
      <c r="U2206" s="124"/>
      <c r="V2206" s="124"/>
      <c r="W2206" s="124"/>
      <c r="X2206" s="124"/>
      <c r="Y2206" s="124"/>
      <c r="Z2206" s="124"/>
    </row>
    <row r="2207">
      <c r="A2207" s="124"/>
      <c r="B2207" s="124"/>
      <c r="C2207" s="147"/>
      <c r="D2207" s="124"/>
      <c r="E2207" s="124"/>
      <c r="F2207" s="124"/>
      <c r="G2207" s="124"/>
      <c r="H2207" s="124"/>
      <c r="I2207" s="124"/>
      <c r="J2207" s="124"/>
      <c r="K2207" s="124"/>
      <c r="L2207" s="124"/>
      <c r="M2207" s="124"/>
      <c r="N2207" s="124"/>
      <c r="O2207" s="124"/>
      <c r="P2207" s="124"/>
      <c r="Q2207" s="124"/>
      <c r="R2207" s="124"/>
      <c r="S2207" s="124"/>
      <c r="T2207" s="124"/>
      <c r="U2207" s="124"/>
      <c r="V2207" s="124"/>
      <c r="W2207" s="124"/>
      <c r="X2207" s="124"/>
      <c r="Y2207" s="124"/>
      <c r="Z2207" s="124"/>
    </row>
    <row r="2208">
      <c r="A2208" s="124"/>
      <c r="B2208" s="124"/>
      <c r="C2208" s="147"/>
      <c r="D2208" s="124"/>
      <c r="E2208" s="124"/>
      <c r="F2208" s="124"/>
      <c r="G2208" s="124"/>
      <c r="H2208" s="124"/>
      <c r="I2208" s="124"/>
      <c r="J2208" s="124"/>
      <c r="K2208" s="124"/>
      <c r="L2208" s="124"/>
      <c r="M2208" s="124"/>
      <c r="N2208" s="124"/>
      <c r="O2208" s="124"/>
      <c r="P2208" s="124"/>
      <c r="Q2208" s="124"/>
      <c r="R2208" s="124"/>
      <c r="S2208" s="124"/>
      <c r="T2208" s="124"/>
      <c r="U2208" s="124"/>
      <c r="V2208" s="124"/>
      <c r="W2208" s="124"/>
      <c r="X2208" s="124"/>
      <c r="Y2208" s="124"/>
      <c r="Z2208" s="124"/>
    </row>
    <row r="2209">
      <c r="A2209" s="124"/>
      <c r="B2209" s="124"/>
      <c r="C2209" s="147"/>
      <c r="D2209" s="124"/>
      <c r="E2209" s="124"/>
      <c r="F2209" s="124"/>
      <c r="G2209" s="124"/>
      <c r="H2209" s="124"/>
      <c r="I2209" s="124"/>
      <c r="J2209" s="124"/>
      <c r="K2209" s="124"/>
      <c r="L2209" s="124"/>
      <c r="M2209" s="124"/>
      <c r="N2209" s="124"/>
      <c r="O2209" s="124"/>
      <c r="P2209" s="124"/>
      <c r="Q2209" s="124"/>
      <c r="R2209" s="124"/>
      <c r="S2209" s="124"/>
      <c r="T2209" s="124"/>
      <c r="U2209" s="124"/>
      <c r="V2209" s="124"/>
      <c r="W2209" s="124"/>
      <c r="X2209" s="124"/>
      <c r="Y2209" s="124"/>
      <c r="Z2209" s="124"/>
    </row>
    <row r="2210">
      <c r="A2210" s="124"/>
      <c r="B2210" s="124"/>
      <c r="C2210" s="147"/>
      <c r="D2210" s="124"/>
      <c r="E2210" s="124"/>
      <c r="F2210" s="124"/>
      <c r="G2210" s="124"/>
      <c r="H2210" s="124"/>
      <c r="I2210" s="124"/>
      <c r="J2210" s="124"/>
      <c r="K2210" s="124"/>
      <c r="L2210" s="124"/>
      <c r="M2210" s="124"/>
      <c r="N2210" s="124"/>
      <c r="O2210" s="124"/>
      <c r="P2210" s="124"/>
      <c r="Q2210" s="124"/>
      <c r="R2210" s="124"/>
      <c r="S2210" s="124"/>
      <c r="T2210" s="124"/>
      <c r="U2210" s="124"/>
      <c r="V2210" s="124"/>
      <c r="W2210" s="124"/>
      <c r="X2210" s="124"/>
      <c r="Y2210" s="124"/>
      <c r="Z2210" s="124"/>
    </row>
    <row r="2211">
      <c r="A2211" s="124"/>
      <c r="B2211" s="124"/>
      <c r="C2211" s="147"/>
      <c r="D2211" s="124"/>
      <c r="E2211" s="124"/>
      <c r="F2211" s="124"/>
      <c r="G2211" s="124"/>
      <c r="H2211" s="124"/>
      <c r="I2211" s="124"/>
      <c r="J2211" s="124"/>
      <c r="K2211" s="124"/>
      <c r="L2211" s="124"/>
      <c r="M2211" s="124"/>
      <c r="N2211" s="124"/>
      <c r="O2211" s="124"/>
      <c r="P2211" s="124"/>
      <c r="Q2211" s="124"/>
      <c r="R2211" s="124"/>
      <c r="S2211" s="124"/>
      <c r="T2211" s="124"/>
      <c r="U2211" s="124"/>
      <c r="V2211" s="124"/>
      <c r="W2211" s="124"/>
      <c r="X2211" s="124"/>
      <c r="Y2211" s="124"/>
      <c r="Z2211" s="124"/>
    </row>
    <row r="2212">
      <c r="A2212" s="124"/>
      <c r="B2212" s="124"/>
      <c r="C2212" s="147"/>
      <c r="D2212" s="124"/>
      <c r="E2212" s="124"/>
      <c r="F2212" s="124"/>
      <c r="G2212" s="124"/>
      <c r="H2212" s="124"/>
      <c r="I2212" s="124"/>
      <c r="J2212" s="124"/>
      <c r="K2212" s="124"/>
      <c r="L2212" s="124"/>
      <c r="M2212" s="124"/>
      <c r="N2212" s="124"/>
      <c r="O2212" s="124"/>
      <c r="P2212" s="124"/>
      <c r="Q2212" s="124"/>
      <c r="R2212" s="124"/>
      <c r="S2212" s="124"/>
      <c r="T2212" s="124"/>
      <c r="U2212" s="124"/>
      <c r="V2212" s="124"/>
      <c r="W2212" s="124"/>
      <c r="X2212" s="124"/>
      <c r="Y2212" s="124"/>
      <c r="Z2212" s="124"/>
    </row>
    <row r="2213">
      <c r="A2213" s="124"/>
      <c r="B2213" s="124"/>
      <c r="C2213" s="147"/>
      <c r="D2213" s="124"/>
      <c r="E2213" s="124"/>
      <c r="F2213" s="124"/>
      <c r="G2213" s="124"/>
      <c r="H2213" s="124"/>
      <c r="I2213" s="124"/>
      <c r="J2213" s="124"/>
      <c r="K2213" s="124"/>
      <c r="L2213" s="124"/>
      <c r="M2213" s="124"/>
      <c r="N2213" s="124"/>
      <c r="O2213" s="124"/>
      <c r="P2213" s="124"/>
      <c r="Q2213" s="124"/>
      <c r="R2213" s="124"/>
      <c r="S2213" s="124"/>
      <c r="T2213" s="124"/>
      <c r="U2213" s="124"/>
      <c r="V2213" s="124"/>
      <c r="W2213" s="124"/>
      <c r="X2213" s="124"/>
      <c r="Y2213" s="124"/>
      <c r="Z2213" s="124"/>
    </row>
    <row r="2214">
      <c r="A2214" s="124"/>
      <c r="B2214" s="124"/>
      <c r="C2214" s="147"/>
      <c r="D2214" s="124"/>
      <c r="E2214" s="124"/>
      <c r="F2214" s="124"/>
      <c r="G2214" s="124"/>
      <c r="H2214" s="124"/>
      <c r="I2214" s="124"/>
      <c r="J2214" s="124"/>
      <c r="K2214" s="124"/>
      <c r="L2214" s="124"/>
      <c r="M2214" s="124"/>
      <c r="N2214" s="124"/>
      <c r="O2214" s="124"/>
      <c r="P2214" s="124"/>
      <c r="Q2214" s="124"/>
      <c r="R2214" s="124"/>
      <c r="S2214" s="124"/>
      <c r="T2214" s="124"/>
      <c r="U2214" s="124"/>
      <c r="V2214" s="124"/>
      <c r="W2214" s="124"/>
      <c r="X2214" s="124"/>
      <c r="Y2214" s="124"/>
      <c r="Z2214" s="124"/>
    </row>
    <row r="2215">
      <c r="A2215" s="124"/>
      <c r="B2215" s="124"/>
      <c r="C2215" s="147"/>
      <c r="D2215" s="124"/>
      <c r="E2215" s="124"/>
      <c r="F2215" s="124"/>
      <c r="G2215" s="124"/>
      <c r="H2215" s="124"/>
      <c r="I2215" s="124"/>
      <c r="J2215" s="124"/>
      <c r="K2215" s="124"/>
      <c r="L2215" s="124"/>
      <c r="M2215" s="124"/>
      <c r="N2215" s="124"/>
      <c r="O2215" s="124"/>
      <c r="P2215" s="124"/>
      <c r="Q2215" s="124"/>
      <c r="R2215" s="124"/>
      <c r="S2215" s="124"/>
      <c r="T2215" s="124"/>
      <c r="U2215" s="124"/>
      <c r="V2215" s="124"/>
      <c r="W2215" s="124"/>
      <c r="X2215" s="124"/>
      <c r="Y2215" s="124"/>
      <c r="Z2215" s="124"/>
    </row>
    <row r="2216">
      <c r="A2216" s="124"/>
      <c r="B2216" s="124"/>
      <c r="C2216" s="147"/>
      <c r="D2216" s="124"/>
      <c r="E2216" s="124"/>
      <c r="F2216" s="124"/>
      <c r="G2216" s="124"/>
      <c r="H2216" s="124"/>
      <c r="I2216" s="124"/>
      <c r="J2216" s="124"/>
      <c r="K2216" s="124"/>
      <c r="L2216" s="124"/>
      <c r="M2216" s="124"/>
      <c r="N2216" s="124"/>
      <c r="O2216" s="124"/>
      <c r="P2216" s="124"/>
      <c r="Q2216" s="124"/>
      <c r="R2216" s="124"/>
      <c r="S2216" s="124"/>
      <c r="T2216" s="124"/>
      <c r="U2216" s="124"/>
      <c r="V2216" s="124"/>
      <c r="W2216" s="124"/>
      <c r="X2216" s="124"/>
      <c r="Y2216" s="124"/>
      <c r="Z2216" s="124"/>
    </row>
    <row r="2217">
      <c r="A2217" s="124"/>
      <c r="B2217" s="124"/>
      <c r="C2217" s="147"/>
      <c r="D2217" s="124"/>
      <c r="E2217" s="124"/>
      <c r="F2217" s="124"/>
      <c r="G2217" s="124"/>
      <c r="H2217" s="124"/>
      <c r="I2217" s="124"/>
      <c r="J2217" s="124"/>
      <c r="K2217" s="124"/>
      <c r="L2217" s="124"/>
      <c r="M2217" s="124"/>
      <c r="N2217" s="124"/>
      <c r="O2217" s="124"/>
      <c r="P2217" s="124"/>
      <c r="Q2217" s="124"/>
      <c r="R2217" s="124"/>
      <c r="S2217" s="124"/>
      <c r="T2217" s="124"/>
      <c r="U2217" s="124"/>
      <c r="V2217" s="124"/>
      <c r="W2217" s="124"/>
      <c r="X2217" s="124"/>
      <c r="Y2217" s="124"/>
      <c r="Z2217" s="124"/>
    </row>
    <row r="2218">
      <c r="A2218" s="124"/>
      <c r="B2218" s="124"/>
      <c r="C2218" s="147"/>
      <c r="D2218" s="124"/>
      <c r="E2218" s="124"/>
      <c r="F2218" s="124"/>
      <c r="G2218" s="124"/>
      <c r="H2218" s="124"/>
      <c r="I2218" s="124"/>
      <c r="J2218" s="124"/>
      <c r="K2218" s="124"/>
      <c r="L2218" s="124"/>
      <c r="M2218" s="124"/>
      <c r="N2218" s="124"/>
      <c r="O2218" s="124"/>
      <c r="P2218" s="124"/>
      <c r="Q2218" s="124"/>
      <c r="R2218" s="124"/>
      <c r="S2218" s="124"/>
      <c r="T2218" s="124"/>
      <c r="U2218" s="124"/>
      <c r="V2218" s="124"/>
      <c r="W2218" s="124"/>
      <c r="X2218" s="124"/>
      <c r="Y2218" s="124"/>
      <c r="Z2218" s="124"/>
    </row>
    <row r="2219">
      <c r="A2219" s="124"/>
      <c r="B2219" s="124"/>
      <c r="C2219" s="147"/>
      <c r="D2219" s="124"/>
      <c r="E2219" s="124"/>
      <c r="F2219" s="124"/>
      <c r="G2219" s="124"/>
      <c r="H2219" s="124"/>
      <c r="I2219" s="124"/>
      <c r="J2219" s="124"/>
      <c r="K2219" s="124"/>
      <c r="L2219" s="124"/>
      <c r="M2219" s="124"/>
      <c r="N2219" s="124"/>
      <c r="O2219" s="124"/>
      <c r="P2219" s="124"/>
      <c r="Q2219" s="124"/>
      <c r="R2219" s="124"/>
      <c r="S2219" s="124"/>
      <c r="T2219" s="124"/>
      <c r="U2219" s="124"/>
      <c r="V2219" s="124"/>
      <c r="W2219" s="124"/>
      <c r="X2219" s="124"/>
      <c r="Y2219" s="124"/>
      <c r="Z2219" s="124"/>
    </row>
    <row r="2220">
      <c r="A2220" s="124"/>
      <c r="B2220" s="124"/>
      <c r="C2220" s="147"/>
      <c r="D2220" s="124"/>
      <c r="E2220" s="124"/>
      <c r="F2220" s="124"/>
      <c r="G2220" s="124"/>
      <c r="H2220" s="124"/>
      <c r="I2220" s="124"/>
      <c r="J2220" s="124"/>
      <c r="K2220" s="124"/>
      <c r="L2220" s="124"/>
      <c r="M2220" s="124"/>
      <c r="N2220" s="124"/>
      <c r="O2220" s="124"/>
      <c r="P2220" s="124"/>
      <c r="Q2220" s="124"/>
      <c r="R2220" s="124"/>
      <c r="S2220" s="124"/>
      <c r="T2220" s="124"/>
      <c r="U2220" s="124"/>
      <c r="V2220" s="124"/>
      <c r="W2220" s="124"/>
      <c r="X2220" s="124"/>
      <c r="Y2220" s="124"/>
      <c r="Z2220" s="124"/>
    </row>
    <row r="2221">
      <c r="A2221" s="124"/>
      <c r="B2221" s="124"/>
      <c r="C2221" s="147"/>
      <c r="D2221" s="124"/>
      <c r="E2221" s="124"/>
      <c r="F2221" s="124"/>
      <c r="G2221" s="124"/>
      <c r="H2221" s="124"/>
      <c r="I2221" s="124"/>
      <c r="J2221" s="124"/>
      <c r="K2221" s="124"/>
      <c r="L2221" s="124"/>
      <c r="M2221" s="124"/>
      <c r="N2221" s="124"/>
      <c r="O2221" s="124"/>
      <c r="P2221" s="124"/>
      <c r="Q2221" s="124"/>
      <c r="R2221" s="124"/>
      <c r="S2221" s="124"/>
      <c r="T2221" s="124"/>
      <c r="U2221" s="124"/>
      <c r="V2221" s="124"/>
      <c r="W2221" s="124"/>
      <c r="X2221" s="124"/>
      <c r="Y2221" s="124"/>
      <c r="Z2221" s="124"/>
    </row>
    <row r="2222">
      <c r="A2222" s="124"/>
      <c r="B2222" s="124"/>
      <c r="C2222" s="147"/>
      <c r="D2222" s="124"/>
      <c r="E2222" s="124"/>
      <c r="F2222" s="124"/>
      <c r="G2222" s="124"/>
      <c r="H2222" s="124"/>
      <c r="I2222" s="124"/>
      <c r="J2222" s="124"/>
      <c r="K2222" s="124"/>
      <c r="L2222" s="124"/>
      <c r="M2222" s="124"/>
      <c r="N2222" s="124"/>
      <c r="O2222" s="124"/>
      <c r="P2222" s="124"/>
      <c r="Q2222" s="124"/>
      <c r="R2222" s="124"/>
      <c r="S2222" s="124"/>
      <c r="T2222" s="124"/>
      <c r="U2222" s="124"/>
      <c r="V2222" s="124"/>
      <c r="W2222" s="124"/>
      <c r="X2222" s="124"/>
      <c r="Y2222" s="124"/>
      <c r="Z2222" s="124"/>
    </row>
    <row r="2223">
      <c r="A2223" s="124"/>
      <c r="B2223" s="124"/>
      <c r="C2223" s="147"/>
      <c r="D2223" s="124"/>
      <c r="E2223" s="124"/>
      <c r="F2223" s="124"/>
      <c r="G2223" s="124"/>
      <c r="H2223" s="124"/>
      <c r="I2223" s="124"/>
      <c r="J2223" s="124"/>
      <c r="K2223" s="124"/>
      <c r="L2223" s="124"/>
      <c r="M2223" s="124"/>
      <c r="N2223" s="124"/>
      <c r="O2223" s="124"/>
      <c r="P2223" s="124"/>
      <c r="Q2223" s="124"/>
      <c r="R2223" s="124"/>
      <c r="S2223" s="124"/>
      <c r="T2223" s="124"/>
      <c r="U2223" s="124"/>
      <c r="V2223" s="124"/>
      <c r="W2223" s="124"/>
      <c r="X2223" s="124"/>
      <c r="Y2223" s="124"/>
      <c r="Z2223" s="124"/>
    </row>
    <row r="2224">
      <c r="A2224" s="124"/>
      <c r="B2224" s="124"/>
      <c r="C2224" s="147"/>
      <c r="D2224" s="124"/>
      <c r="E2224" s="124"/>
      <c r="F2224" s="124"/>
      <c r="G2224" s="124"/>
      <c r="H2224" s="124"/>
      <c r="I2224" s="124"/>
      <c r="J2224" s="124"/>
      <c r="K2224" s="124"/>
      <c r="L2224" s="124"/>
      <c r="M2224" s="124"/>
      <c r="N2224" s="124"/>
      <c r="O2224" s="124"/>
      <c r="P2224" s="124"/>
      <c r="Q2224" s="124"/>
      <c r="R2224" s="124"/>
      <c r="S2224" s="124"/>
      <c r="T2224" s="124"/>
      <c r="U2224" s="124"/>
      <c r="V2224" s="124"/>
      <c r="W2224" s="124"/>
      <c r="X2224" s="124"/>
      <c r="Y2224" s="124"/>
      <c r="Z2224" s="124"/>
    </row>
    <row r="2225">
      <c r="A2225" s="124"/>
      <c r="B2225" s="124"/>
      <c r="C2225" s="147"/>
      <c r="D2225" s="124"/>
      <c r="E2225" s="124"/>
      <c r="F2225" s="124"/>
      <c r="G2225" s="124"/>
      <c r="H2225" s="124"/>
      <c r="I2225" s="124"/>
      <c r="J2225" s="124"/>
      <c r="K2225" s="124"/>
      <c r="L2225" s="124"/>
      <c r="M2225" s="124"/>
      <c r="N2225" s="124"/>
      <c r="O2225" s="124"/>
      <c r="P2225" s="124"/>
      <c r="Q2225" s="124"/>
      <c r="R2225" s="124"/>
      <c r="S2225" s="124"/>
      <c r="T2225" s="124"/>
      <c r="U2225" s="124"/>
      <c r="V2225" s="124"/>
      <c r="W2225" s="124"/>
      <c r="X2225" s="124"/>
      <c r="Y2225" s="124"/>
      <c r="Z2225" s="124"/>
    </row>
    <row r="2226">
      <c r="A2226" s="124"/>
      <c r="B2226" s="124"/>
      <c r="C2226" s="147"/>
      <c r="D2226" s="124"/>
      <c r="E2226" s="124"/>
      <c r="F2226" s="124"/>
      <c r="G2226" s="124"/>
      <c r="H2226" s="124"/>
      <c r="I2226" s="124"/>
      <c r="J2226" s="124"/>
      <c r="K2226" s="124"/>
      <c r="L2226" s="124"/>
      <c r="M2226" s="124"/>
      <c r="N2226" s="124"/>
      <c r="O2226" s="124"/>
      <c r="P2226" s="124"/>
      <c r="Q2226" s="124"/>
      <c r="R2226" s="124"/>
      <c r="S2226" s="124"/>
      <c r="T2226" s="124"/>
      <c r="U2226" s="124"/>
      <c r="V2226" s="124"/>
      <c r="W2226" s="124"/>
      <c r="X2226" s="124"/>
      <c r="Y2226" s="124"/>
      <c r="Z2226" s="124"/>
    </row>
    <row r="2227">
      <c r="A2227" s="124"/>
      <c r="B2227" s="124"/>
      <c r="C2227" s="147"/>
      <c r="D2227" s="124"/>
      <c r="E2227" s="124"/>
      <c r="F2227" s="124"/>
      <c r="G2227" s="124"/>
      <c r="H2227" s="124"/>
      <c r="I2227" s="124"/>
      <c r="J2227" s="124"/>
      <c r="K2227" s="124"/>
      <c r="L2227" s="124"/>
      <c r="M2227" s="124"/>
      <c r="N2227" s="124"/>
      <c r="O2227" s="124"/>
      <c r="P2227" s="124"/>
      <c r="Q2227" s="124"/>
      <c r="R2227" s="124"/>
      <c r="S2227" s="124"/>
      <c r="T2227" s="124"/>
      <c r="U2227" s="124"/>
      <c r="V2227" s="124"/>
      <c r="W2227" s="124"/>
      <c r="X2227" s="124"/>
      <c r="Y2227" s="124"/>
      <c r="Z2227" s="124"/>
    </row>
    <row r="2228">
      <c r="A2228" s="124"/>
      <c r="B2228" s="124"/>
      <c r="C2228" s="147"/>
      <c r="D2228" s="124"/>
      <c r="E2228" s="124"/>
      <c r="F2228" s="124"/>
      <c r="G2228" s="124"/>
      <c r="H2228" s="124"/>
      <c r="I2228" s="124"/>
      <c r="J2228" s="124"/>
      <c r="K2228" s="124"/>
      <c r="L2228" s="124"/>
      <c r="M2228" s="124"/>
      <c r="N2228" s="124"/>
      <c r="O2228" s="124"/>
      <c r="P2228" s="124"/>
      <c r="Q2228" s="124"/>
      <c r="R2228" s="124"/>
      <c r="S2228" s="124"/>
      <c r="T2228" s="124"/>
      <c r="U2228" s="124"/>
      <c r="V2228" s="124"/>
      <c r="W2228" s="124"/>
      <c r="X2228" s="124"/>
      <c r="Y2228" s="124"/>
      <c r="Z2228" s="124"/>
    </row>
    <row r="2229">
      <c r="A2229" s="124"/>
      <c r="B2229" s="124"/>
      <c r="C2229" s="147"/>
      <c r="D2229" s="124"/>
      <c r="E2229" s="124"/>
      <c r="F2229" s="124"/>
      <c r="G2229" s="124"/>
      <c r="H2229" s="124"/>
      <c r="I2229" s="124"/>
      <c r="J2229" s="124"/>
      <c r="K2229" s="124"/>
      <c r="L2229" s="124"/>
      <c r="M2229" s="124"/>
      <c r="N2229" s="124"/>
      <c r="O2229" s="124"/>
      <c r="P2229" s="124"/>
      <c r="Q2229" s="124"/>
      <c r="R2229" s="124"/>
      <c r="S2229" s="124"/>
      <c r="T2229" s="124"/>
      <c r="U2229" s="124"/>
      <c r="V2229" s="124"/>
      <c r="W2229" s="124"/>
      <c r="X2229" s="124"/>
      <c r="Y2229" s="124"/>
      <c r="Z2229" s="124"/>
    </row>
    <row r="2230">
      <c r="A2230" s="124"/>
      <c r="B2230" s="124"/>
      <c r="C2230" s="147"/>
      <c r="D2230" s="124"/>
      <c r="E2230" s="124"/>
      <c r="F2230" s="124"/>
      <c r="G2230" s="124"/>
      <c r="H2230" s="124"/>
      <c r="I2230" s="124"/>
      <c r="J2230" s="124"/>
      <c r="K2230" s="124"/>
      <c r="L2230" s="124"/>
      <c r="M2230" s="124"/>
      <c r="N2230" s="124"/>
      <c r="O2230" s="124"/>
      <c r="P2230" s="124"/>
      <c r="Q2230" s="124"/>
      <c r="R2230" s="124"/>
      <c r="S2230" s="124"/>
      <c r="T2230" s="124"/>
      <c r="U2230" s="124"/>
      <c r="V2230" s="124"/>
      <c r="W2230" s="124"/>
      <c r="X2230" s="124"/>
      <c r="Y2230" s="124"/>
      <c r="Z2230" s="124"/>
    </row>
    <row r="2231">
      <c r="A2231" s="124"/>
      <c r="B2231" s="124"/>
      <c r="C2231" s="147"/>
      <c r="D2231" s="124"/>
      <c r="E2231" s="124"/>
      <c r="F2231" s="124"/>
      <c r="G2231" s="124"/>
      <c r="H2231" s="124"/>
      <c r="I2231" s="124"/>
      <c r="J2231" s="124"/>
      <c r="K2231" s="124"/>
      <c r="L2231" s="124"/>
      <c r="M2231" s="124"/>
      <c r="N2231" s="124"/>
      <c r="O2231" s="124"/>
      <c r="P2231" s="124"/>
      <c r="Q2231" s="124"/>
      <c r="R2231" s="124"/>
      <c r="S2231" s="124"/>
      <c r="T2231" s="124"/>
      <c r="U2231" s="124"/>
      <c r="V2231" s="124"/>
      <c r="W2231" s="124"/>
      <c r="X2231" s="124"/>
      <c r="Y2231" s="124"/>
      <c r="Z2231" s="124"/>
    </row>
    <row r="2232">
      <c r="A2232" s="124"/>
      <c r="B2232" s="124"/>
      <c r="C2232" s="147"/>
      <c r="D2232" s="124"/>
      <c r="E2232" s="124"/>
      <c r="F2232" s="124"/>
      <c r="G2232" s="124"/>
      <c r="H2232" s="124"/>
      <c r="I2232" s="124"/>
      <c r="J2232" s="124"/>
      <c r="K2232" s="124"/>
      <c r="L2232" s="124"/>
      <c r="M2232" s="124"/>
      <c r="N2232" s="124"/>
      <c r="O2232" s="124"/>
      <c r="P2232" s="124"/>
      <c r="Q2232" s="124"/>
      <c r="R2232" s="124"/>
      <c r="S2232" s="124"/>
      <c r="T2232" s="124"/>
      <c r="U2232" s="124"/>
      <c r="V2232" s="124"/>
      <c r="W2232" s="124"/>
      <c r="X2232" s="124"/>
      <c r="Y2232" s="124"/>
      <c r="Z2232" s="124"/>
    </row>
    <row r="2233">
      <c r="A2233" s="124"/>
      <c r="B2233" s="124"/>
      <c r="C2233" s="147"/>
      <c r="D2233" s="124"/>
      <c r="E2233" s="124"/>
      <c r="F2233" s="124"/>
      <c r="G2233" s="124"/>
      <c r="H2233" s="124"/>
      <c r="I2233" s="124"/>
      <c r="J2233" s="124"/>
      <c r="K2233" s="124"/>
      <c r="L2233" s="124"/>
      <c r="M2233" s="124"/>
      <c r="N2233" s="124"/>
      <c r="O2233" s="124"/>
      <c r="P2233" s="124"/>
      <c r="Q2233" s="124"/>
      <c r="R2233" s="124"/>
      <c r="S2233" s="124"/>
      <c r="T2233" s="124"/>
      <c r="U2233" s="124"/>
      <c r="V2233" s="124"/>
      <c r="W2233" s="124"/>
      <c r="X2233" s="124"/>
      <c r="Y2233" s="124"/>
      <c r="Z2233" s="124"/>
    </row>
    <row r="2234">
      <c r="A2234" s="124"/>
      <c r="B2234" s="124"/>
      <c r="C2234" s="147"/>
      <c r="D2234" s="124"/>
      <c r="E2234" s="124"/>
      <c r="F2234" s="124"/>
      <c r="G2234" s="124"/>
      <c r="H2234" s="124"/>
      <c r="I2234" s="124"/>
      <c r="J2234" s="124"/>
      <c r="K2234" s="124"/>
      <c r="L2234" s="124"/>
      <c r="M2234" s="124"/>
      <c r="N2234" s="124"/>
      <c r="O2234" s="124"/>
      <c r="P2234" s="124"/>
      <c r="Q2234" s="124"/>
      <c r="R2234" s="124"/>
      <c r="S2234" s="124"/>
      <c r="T2234" s="124"/>
      <c r="U2234" s="124"/>
      <c r="V2234" s="124"/>
      <c r="W2234" s="124"/>
      <c r="X2234" s="124"/>
      <c r="Y2234" s="124"/>
      <c r="Z2234" s="124"/>
    </row>
    <row r="2235">
      <c r="A2235" s="124"/>
      <c r="B2235" s="124"/>
      <c r="C2235" s="147"/>
      <c r="D2235" s="124"/>
      <c r="E2235" s="124"/>
      <c r="F2235" s="124"/>
      <c r="G2235" s="124"/>
      <c r="H2235" s="124"/>
      <c r="I2235" s="124"/>
      <c r="J2235" s="124"/>
      <c r="K2235" s="124"/>
      <c r="L2235" s="124"/>
      <c r="M2235" s="124"/>
      <c r="N2235" s="124"/>
      <c r="O2235" s="124"/>
      <c r="P2235" s="124"/>
      <c r="Q2235" s="124"/>
      <c r="R2235" s="124"/>
      <c r="S2235" s="124"/>
      <c r="T2235" s="124"/>
      <c r="U2235" s="124"/>
      <c r="V2235" s="124"/>
      <c r="W2235" s="124"/>
      <c r="X2235" s="124"/>
      <c r="Y2235" s="124"/>
      <c r="Z2235" s="124"/>
    </row>
    <row r="2236">
      <c r="A2236" s="124"/>
      <c r="B2236" s="124"/>
      <c r="C2236" s="147"/>
      <c r="D2236" s="124"/>
      <c r="E2236" s="124"/>
      <c r="F2236" s="124"/>
      <c r="G2236" s="124"/>
      <c r="H2236" s="124"/>
      <c r="I2236" s="124"/>
      <c r="J2236" s="124"/>
      <c r="K2236" s="124"/>
      <c r="L2236" s="124"/>
      <c r="M2236" s="124"/>
      <c r="N2236" s="124"/>
      <c r="O2236" s="124"/>
      <c r="P2236" s="124"/>
      <c r="Q2236" s="124"/>
      <c r="R2236" s="124"/>
      <c r="S2236" s="124"/>
      <c r="T2236" s="124"/>
      <c r="U2236" s="124"/>
      <c r="V2236" s="124"/>
      <c r="W2236" s="124"/>
      <c r="X2236" s="124"/>
      <c r="Y2236" s="124"/>
      <c r="Z2236" s="124"/>
    </row>
    <row r="2237">
      <c r="A2237" s="124"/>
      <c r="B2237" s="124"/>
      <c r="C2237" s="147"/>
      <c r="D2237" s="124"/>
      <c r="E2237" s="124"/>
      <c r="F2237" s="124"/>
      <c r="G2237" s="124"/>
      <c r="H2237" s="124"/>
      <c r="I2237" s="124"/>
      <c r="J2237" s="124"/>
      <c r="K2237" s="124"/>
      <c r="L2237" s="124"/>
      <c r="M2237" s="124"/>
      <c r="N2237" s="124"/>
      <c r="O2237" s="124"/>
      <c r="P2237" s="124"/>
      <c r="Q2237" s="124"/>
      <c r="R2237" s="124"/>
      <c r="S2237" s="124"/>
      <c r="T2237" s="124"/>
      <c r="U2237" s="124"/>
      <c r="V2237" s="124"/>
      <c r="W2237" s="124"/>
      <c r="X2237" s="124"/>
      <c r="Y2237" s="124"/>
      <c r="Z2237" s="124"/>
    </row>
    <row r="2238">
      <c r="A2238" s="124"/>
      <c r="B2238" s="124"/>
      <c r="C2238" s="147"/>
      <c r="D2238" s="124"/>
      <c r="E2238" s="124"/>
      <c r="F2238" s="124"/>
      <c r="G2238" s="124"/>
      <c r="H2238" s="124"/>
      <c r="I2238" s="124"/>
      <c r="J2238" s="124"/>
      <c r="K2238" s="124"/>
      <c r="L2238" s="124"/>
      <c r="M2238" s="124"/>
      <c r="N2238" s="124"/>
      <c r="O2238" s="124"/>
      <c r="P2238" s="124"/>
      <c r="Q2238" s="124"/>
      <c r="R2238" s="124"/>
      <c r="S2238" s="124"/>
      <c r="T2238" s="124"/>
      <c r="U2238" s="124"/>
      <c r="V2238" s="124"/>
      <c r="W2238" s="124"/>
      <c r="X2238" s="124"/>
      <c r="Y2238" s="124"/>
      <c r="Z2238" s="124"/>
    </row>
    <row r="2239">
      <c r="A2239" s="124"/>
      <c r="B2239" s="124"/>
      <c r="C2239" s="147"/>
      <c r="D2239" s="124"/>
      <c r="E2239" s="124"/>
      <c r="F2239" s="124"/>
      <c r="G2239" s="124"/>
      <c r="H2239" s="124"/>
      <c r="I2239" s="124"/>
      <c r="J2239" s="124"/>
      <c r="K2239" s="124"/>
      <c r="L2239" s="124"/>
      <c r="M2239" s="124"/>
      <c r="N2239" s="124"/>
      <c r="O2239" s="124"/>
      <c r="P2239" s="124"/>
      <c r="Q2239" s="124"/>
      <c r="R2239" s="124"/>
      <c r="S2239" s="124"/>
      <c r="T2239" s="124"/>
      <c r="U2239" s="124"/>
      <c r="V2239" s="124"/>
      <c r="W2239" s="124"/>
      <c r="X2239" s="124"/>
      <c r="Y2239" s="124"/>
      <c r="Z2239" s="124"/>
    </row>
    <row r="2240">
      <c r="A2240" s="124"/>
      <c r="B2240" s="124"/>
      <c r="C2240" s="147"/>
      <c r="D2240" s="124"/>
      <c r="E2240" s="124"/>
      <c r="F2240" s="124"/>
      <c r="G2240" s="124"/>
      <c r="H2240" s="124"/>
      <c r="I2240" s="124"/>
      <c r="J2240" s="124"/>
      <c r="K2240" s="124"/>
      <c r="L2240" s="124"/>
      <c r="M2240" s="124"/>
      <c r="N2240" s="124"/>
      <c r="O2240" s="124"/>
      <c r="P2240" s="124"/>
      <c r="Q2240" s="124"/>
      <c r="R2240" s="124"/>
      <c r="S2240" s="124"/>
      <c r="T2240" s="124"/>
      <c r="U2240" s="124"/>
      <c r="V2240" s="124"/>
      <c r="W2240" s="124"/>
      <c r="X2240" s="124"/>
      <c r="Y2240" s="124"/>
      <c r="Z2240" s="124"/>
    </row>
    <row r="2241">
      <c r="A2241" s="124"/>
      <c r="B2241" s="124"/>
      <c r="C2241" s="147"/>
      <c r="D2241" s="124"/>
      <c r="E2241" s="124"/>
      <c r="F2241" s="124"/>
      <c r="G2241" s="124"/>
      <c r="H2241" s="124"/>
      <c r="I2241" s="124"/>
      <c r="J2241" s="124"/>
      <c r="K2241" s="124"/>
      <c r="L2241" s="124"/>
      <c r="M2241" s="124"/>
      <c r="N2241" s="124"/>
      <c r="O2241" s="124"/>
      <c r="P2241" s="124"/>
      <c r="Q2241" s="124"/>
      <c r="R2241" s="124"/>
      <c r="S2241" s="124"/>
      <c r="T2241" s="124"/>
      <c r="U2241" s="124"/>
      <c r="V2241" s="124"/>
      <c r="W2241" s="124"/>
      <c r="X2241" s="124"/>
      <c r="Y2241" s="124"/>
      <c r="Z2241" s="124"/>
    </row>
    <row r="2242">
      <c r="A2242" s="124"/>
      <c r="B2242" s="124"/>
      <c r="C2242" s="147"/>
      <c r="D2242" s="124"/>
      <c r="E2242" s="124"/>
      <c r="F2242" s="124"/>
      <c r="G2242" s="124"/>
      <c r="H2242" s="124"/>
      <c r="I2242" s="124"/>
      <c r="J2242" s="124"/>
      <c r="K2242" s="124"/>
      <c r="L2242" s="124"/>
      <c r="M2242" s="124"/>
      <c r="N2242" s="124"/>
      <c r="O2242" s="124"/>
      <c r="P2242" s="124"/>
      <c r="Q2242" s="124"/>
      <c r="R2242" s="124"/>
      <c r="S2242" s="124"/>
      <c r="T2242" s="124"/>
      <c r="U2242" s="124"/>
      <c r="V2242" s="124"/>
      <c r="W2242" s="124"/>
      <c r="X2242" s="124"/>
      <c r="Y2242" s="124"/>
      <c r="Z2242" s="124"/>
    </row>
    <row r="2243">
      <c r="A2243" s="124"/>
      <c r="B2243" s="124"/>
      <c r="C2243" s="147"/>
      <c r="D2243" s="124"/>
      <c r="E2243" s="124"/>
      <c r="F2243" s="124"/>
      <c r="G2243" s="124"/>
      <c r="H2243" s="124"/>
      <c r="I2243" s="124"/>
      <c r="J2243" s="124"/>
      <c r="K2243" s="124"/>
      <c r="L2243" s="124"/>
      <c r="M2243" s="124"/>
      <c r="N2243" s="124"/>
      <c r="O2243" s="124"/>
      <c r="P2243" s="124"/>
      <c r="Q2243" s="124"/>
      <c r="R2243" s="124"/>
      <c r="S2243" s="124"/>
      <c r="T2243" s="124"/>
      <c r="U2243" s="124"/>
      <c r="V2243" s="124"/>
      <c r="W2243" s="124"/>
      <c r="X2243" s="124"/>
      <c r="Y2243" s="124"/>
      <c r="Z2243" s="124"/>
    </row>
    <row r="2244">
      <c r="A2244" s="124"/>
      <c r="B2244" s="124"/>
      <c r="C2244" s="147"/>
      <c r="D2244" s="124"/>
      <c r="E2244" s="124"/>
      <c r="F2244" s="124"/>
      <c r="G2244" s="124"/>
      <c r="H2244" s="124"/>
      <c r="I2244" s="124"/>
      <c r="J2244" s="124"/>
      <c r="K2244" s="124"/>
      <c r="L2244" s="124"/>
      <c r="M2244" s="124"/>
      <c r="N2244" s="124"/>
      <c r="O2244" s="124"/>
      <c r="P2244" s="124"/>
      <c r="Q2244" s="124"/>
      <c r="R2244" s="124"/>
      <c r="S2244" s="124"/>
      <c r="T2244" s="124"/>
      <c r="U2244" s="124"/>
      <c r="V2244" s="124"/>
      <c r="W2244" s="124"/>
      <c r="X2244" s="124"/>
      <c r="Y2244" s="124"/>
      <c r="Z2244" s="124"/>
    </row>
    <row r="2245">
      <c r="A2245" s="124"/>
      <c r="B2245" s="124"/>
      <c r="C2245" s="147"/>
      <c r="D2245" s="124"/>
      <c r="E2245" s="124"/>
      <c r="F2245" s="124"/>
      <c r="G2245" s="124"/>
      <c r="H2245" s="124"/>
      <c r="I2245" s="124"/>
      <c r="J2245" s="124"/>
      <c r="K2245" s="124"/>
      <c r="L2245" s="124"/>
      <c r="M2245" s="124"/>
      <c r="N2245" s="124"/>
      <c r="O2245" s="124"/>
      <c r="P2245" s="124"/>
      <c r="Q2245" s="124"/>
      <c r="R2245" s="124"/>
      <c r="S2245" s="124"/>
      <c r="T2245" s="124"/>
      <c r="U2245" s="124"/>
      <c r="V2245" s="124"/>
      <c r="W2245" s="124"/>
      <c r="X2245" s="124"/>
      <c r="Y2245" s="124"/>
      <c r="Z2245" s="124"/>
    </row>
    <row r="2246">
      <c r="A2246" s="124"/>
      <c r="B2246" s="124"/>
      <c r="C2246" s="147"/>
      <c r="D2246" s="124"/>
      <c r="E2246" s="124"/>
      <c r="F2246" s="124"/>
      <c r="G2246" s="124"/>
      <c r="H2246" s="124"/>
      <c r="I2246" s="124"/>
      <c r="J2246" s="124"/>
      <c r="K2246" s="124"/>
      <c r="L2246" s="124"/>
      <c r="M2246" s="124"/>
      <c r="N2246" s="124"/>
      <c r="O2246" s="124"/>
      <c r="P2246" s="124"/>
      <c r="Q2246" s="124"/>
      <c r="R2246" s="124"/>
      <c r="S2246" s="124"/>
      <c r="T2246" s="124"/>
      <c r="U2246" s="124"/>
      <c r="V2246" s="124"/>
      <c r="W2246" s="124"/>
      <c r="X2246" s="124"/>
      <c r="Y2246" s="124"/>
      <c r="Z2246" s="124"/>
    </row>
    <row r="2247">
      <c r="A2247" s="124"/>
      <c r="B2247" s="124"/>
      <c r="C2247" s="147"/>
      <c r="D2247" s="124"/>
      <c r="E2247" s="124"/>
      <c r="F2247" s="124"/>
      <c r="G2247" s="124"/>
      <c r="H2247" s="124"/>
      <c r="I2247" s="124"/>
      <c r="J2247" s="124"/>
      <c r="K2247" s="124"/>
      <c r="L2247" s="124"/>
      <c r="M2247" s="124"/>
      <c r="N2247" s="124"/>
      <c r="O2247" s="124"/>
      <c r="P2247" s="124"/>
      <c r="Q2247" s="124"/>
      <c r="R2247" s="124"/>
      <c r="S2247" s="124"/>
      <c r="T2247" s="124"/>
      <c r="U2247" s="124"/>
      <c r="V2247" s="124"/>
      <c r="W2247" s="124"/>
      <c r="X2247" s="124"/>
      <c r="Y2247" s="124"/>
      <c r="Z2247" s="124"/>
    </row>
    <row r="2248">
      <c r="A2248" s="124"/>
      <c r="B2248" s="124"/>
      <c r="C2248" s="147"/>
      <c r="D2248" s="124"/>
      <c r="E2248" s="124"/>
      <c r="F2248" s="124"/>
      <c r="G2248" s="124"/>
      <c r="H2248" s="124"/>
      <c r="I2248" s="124"/>
      <c r="J2248" s="124"/>
      <c r="K2248" s="124"/>
      <c r="L2248" s="124"/>
      <c r="M2248" s="124"/>
      <c r="N2248" s="124"/>
      <c r="O2248" s="124"/>
      <c r="P2248" s="124"/>
      <c r="Q2248" s="124"/>
      <c r="R2248" s="124"/>
      <c r="S2248" s="124"/>
      <c r="T2248" s="124"/>
      <c r="U2248" s="124"/>
      <c r="V2248" s="124"/>
      <c r="W2248" s="124"/>
      <c r="X2248" s="124"/>
      <c r="Y2248" s="124"/>
      <c r="Z2248" s="124"/>
    </row>
    <row r="2249">
      <c r="A2249" s="124"/>
      <c r="B2249" s="124"/>
      <c r="C2249" s="147"/>
      <c r="D2249" s="124"/>
      <c r="E2249" s="124"/>
      <c r="F2249" s="124"/>
      <c r="G2249" s="124"/>
      <c r="H2249" s="124"/>
      <c r="I2249" s="124"/>
      <c r="J2249" s="124"/>
      <c r="K2249" s="124"/>
      <c r="L2249" s="124"/>
      <c r="M2249" s="124"/>
      <c r="N2249" s="124"/>
      <c r="O2249" s="124"/>
      <c r="P2249" s="124"/>
      <c r="Q2249" s="124"/>
      <c r="R2249" s="124"/>
      <c r="S2249" s="124"/>
      <c r="T2249" s="124"/>
      <c r="U2249" s="124"/>
      <c r="V2249" s="124"/>
      <c r="W2249" s="124"/>
      <c r="X2249" s="124"/>
      <c r="Y2249" s="124"/>
      <c r="Z2249" s="124"/>
    </row>
    <row r="2250">
      <c r="A2250" s="124"/>
      <c r="B2250" s="124"/>
      <c r="C2250" s="147"/>
      <c r="D2250" s="124"/>
      <c r="E2250" s="124"/>
      <c r="F2250" s="124"/>
      <c r="G2250" s="124"/>
      <c r="H2250" s="124"/>
      <c r="I2250" s="124"/>
      <c r="J2250" s="124"/>
      <c r="K2250" s="124"/>
      <c r="L2250" s="124"/>
      <c r="M2250" s="124"/>
      <c r="N2250" s="124"/>
      <c r="O2250" s="124"/>
      <c r="P2250" s="124"/>
      <c r="Q2250" s="124"/>
      <c r="R2250" s="124"/>
      <c r="S2250" s="124"/>
      <c r="T2250" s="124"/>
      <c r="U2250" s="124"/>
      <c r="V2250" s="124"/>
      <c r="W2250" s="124"/>
      <c r="X2250" s="124"/>
      <c r="Y2250" s="124"/>
      <c r="Z2250" s="124"/>
    </row>
    <row r="2251">
      <c r="A2251" s="124"/>
      <c r="B2251" s="124"/>
      <c r="C2251" s="147"/>
      <c r="D2251" s="124"/>
      <c r="E2251" s="124"/>
      <c r="F2251" s="124"/>
      <c r="G2251" s="124"/>
      <c r="H2251" s="124"/>
      <c r="I2251" s="124"/>
      <c r="J2251" s="124"/>
      <c r="K2251" s="124"/>
      <c r="L2251" s="124"/>
      <c r="M2251" s="124"/>
      <c r="N2251" s="124"/>
      <c r="O2251" s="124"/>
      <c r="P2251" s="124"/>
      <c r="Q2251" s="124"/>
      <c r="R2251" s="124"/>
      <c r="S2251" s="124"/>
      <c r="T2251" s="124"/>
      <c r="U2251" s="124"/>
      <c r="V2251" s="124"/>
      <c r="W2251" s="124"/>
      <c r="X2251" s="124"/>
      <c r="Y2251" s="124"/>
      <c r="Z2251" s="124"/>
    </row>
    <row r="2252">
      <c r="A2252" s="124"/>
      <c r="B2252" s="124"/>
      <c r="C2252" s="147"/>
      <c r="D2252" s="124"/>
      <c r="E2252" s="124"/>
      <c r="F2252" s="124"/>
      <c r="G2252" s="124"/>
      <c r="H2252" s="124"/>
      <c r="I2252" s="124"/>
      <c r="J2252" s="124"/>
      <c r="K2252" s="124"/>
      <c r="L2252" s="124"/>
      <c r="M2252" s="124"/>
      <c r="N2252" s="124"/>
      <c r="O2252" s="124"/>
      <c r="P2252" s="124"/>
      <c r="Q2252" s="124"/>
      <c r="R2252" s="124"/>
      <c r="S2252" s="124"/>
      <c r="T2252" s="124"/>
      <c r="U2252" s="124"/>
      <c r="V2252" s="124"/>
      <c r="W2252" s="124"/>
      <c r="X2252" s="124"/>
      <c r="Y2252" s="124"/>
      <c r="Z2252" s="124"/>
    </row>
    <row r="2253">
      <c r="A2253" s="124"/>
      <c r="B2253" s="124"/>
      <c r="C2253" s="147"/>
      <c r="D2253" s="124"/>
      <c r="E2253" s="124"/>
      <c r="F2253" s="124"/>
      <c r="G2253" s="124"/>
      <c r="H2253" s="124"/>
      <c r="I2253" s="124"/>
      <c r="J2253" s="124"/>
      <c r="K2253" s="124"/>
      <c r="L2253" s="124"/>
      <c r="M2253" s="124"/>
      <c r="N2253" s="124"/>
      <c r="O2253" s="124"/>
      <c r="P2253" s="124"/>
      <c r="Q2253" s="124"/>
      <c r="R2253" s="124"/>
      <c r="S2253" s="124"/>
      <c r="T2253" s="124"/>
      <c r="U2253" s="124"/>
      <c r="V2253" s="124"/>
      <c r="W2253" s="124"/>
      <c r="X2253" s="124"/>
      <c r="Y2253" s="124"/>
      <c r="Z2253" s="124"/>
    </row>
    <row r="2254">
      <c r="A2254" s="124"/>
      <c r="B2254" s="124"/>
      <c r="C2254" s="147"/>
      <c r="D2254" s="124"/>
      <c r="E2254" s="124"/>
      <c r="F2254" s="124"/>
      <c r="G2254" s="124"/>
      <c r="H2254" s="124"/>
      <c r="I2254" s="124"/>
      <c r="J2254" s="124"/>
      <c r="K2254" s="124"/>
      <c r="L2254" s="124"/>
      <c r="M2254" s="124"/>
      <c r="N2254" s="124"/>
      <c r="O2254" s="124"/>
      <c r="P2254" s="124"/>
      <c r="Q2254" s="124"/>
      <c r="R2254" s="124"/>
      <c r="S2254" s="124"/>
      <c r="T2254" s="124"/>
      <c r="U2254" s="124"/>
      <c r="V2254" s="124"/>
      <c r="W2254" s="124"/>
      <c r="X2254" s="124"/>
      <c r="Y2254" s="124"/>
      <c r="Z2254" s="124"/>
    </row>
    <row r="2255">
      <c r="A2255" s="124"/>
      <c r="B2255" s="124"/>
      <c r="C2255" s="147"/>
      <c r="D2255" s="124"/>
      <c r="E2255" s="124"/>
      <c r="F2255" s="124"/>
      <c r="G2255" s="124"/>
      <c r="H2255" s="124"/>
      <c r="I2255" s="124"/>
      <c r="J2255" s="124"/>
      <c r="K2255" s="124"/>
      <c r="L2255" s="124"/>
      <c r="M2255" s="124"/>
      <c r="N2255" s="124"/>
      <c r="O2255" s="124"/>
      <c r="P2255" s="124"/>
      <c r="Q2255" s="124"/>
      <c r="R2255" s="124"/>
      <c r="S2255" s="124"/>
      <c r="T2255" s="124"/>
      <c r="U2255" s="124"/>
      <c r="V2255" s="124"/>
      <c r="W2255" s="124"/>
      <c r="X2255" s="124"/>
      <c r="Y2255" s="124"/>
      <c r="Z2255" s="124"/>
    </row>
    <row r="2256">
      <c r="A2256" s="124"/>
      <c r="B2256" s="124"/>
      <c r="C2256" s="147"/>
      <c r="D2256" s="124"/>
      <c r="E2256" s="124"/>
      <c r="F2256" s="124"/>
      <c r="G2256" s="124"/>
      <c r="H2256" s="124"/>
      <c r="I2256" s="124"/>
      <c r="J2256" s="124"/>
      <c r="K2256" s="124"/>
      <c r="L2256" s="124"/>
      <c r="M2256" s="124"/>
      <c r="N2256" s="124"/>
      <c r="O2256" s="124"/>
      <c r="P2256" s="124"/>
      <c r="Q2256" s="124"/>
      <c r="R2256" s="124"/>
      <c r="S2256" s="124"/>
      <c r="T2256" s="124"/>
      <c r="U2256" s="124"/>
      <c r="V2256" s="124"/>
      <c r="W2256" s="124"/>
      <c r="X2256" s="124"/>
      <c r="Y2256" s="124"/>
      <c r="Z2256" s="124"/>
    </row>
    <row r="2257">
      <c r="A2257" s="124"/>
      <c r="B2257" s="124"/>
      <c r="C2257" s="147"/>
      <c r="D2257" s="124"/>
      <c r="E2257" s="124"/>
      <c r="F2257" s="124"/>
      <c r="G2257" s="124"/>
      <c r="H2257" s="124"/>
      <c r="I2257" s="124"/>
      <c r="J2257" s="124"/>
      <c r="K2257" s="124"/>
      <c r="L2257" s="124"/>
      <c r="M2257" s="124"/>
      <c r="N2257" s="124"/>
      <c r="O2257" s="124"/>
      <c r="P2257" s="124"/>
      <c r="Q2257" s="124"/>
      <c r="R2257" s="124"/>
      <c r="S2257" s="124"/>
      <c r="T2257" s="124"/>
      <c r="U2257" s="124"/>
      <c r="V2257" s="124"/>
      <c r="W2257" s="124"/>
      <c r="X2257" s="124"/>
      <c r="Y2257" s="124"/>
      <c r="Z2257" s="124"/>
    </row>
    <row r="2258">
      <c r="A2258" s="124"/>
      <c r="B2258" s="124"/>
      <c r="C2258" s="147"/>
      <c r="D2258" s="124"/>
      <c r="E2258" s="124"/>
      <c r="F2258" s="124"/>
      <c r="G2258" s="124"/>
      <c r="H2258" s="124"/>
      <c r="I2258" s="124"/>
      <c r="J2258" s="124"/>
      <c r="K2258" s="124"/>
      <c r="L2258" s="124"/>
      <c r="M2258" s="124"/>
      <c r="N2258" s="124"/>
      <c r="O2258" s="124"/>
      <c r="P2258" s="124"/>
      <c r="Q2258" s="124"/>
      <c r="R2258" s="124"/>
      <c r="S2258" s="124"/>
      <c r="T2258" s="124"/>
      <c r="U2258" s="124"/>
      <c r="V2258" s="124"/>
      <c r="W2258" s="124"/>
      <c r="X2258" s="124"/>
      <c r="Y2258" s="124"/>
      <c r="Z2258" s="124"/>
    </row>
    <row r="2259">
      <c r="A2259" s="124"/>
      <c r="B2259" s="124"/>
      <c r="C2259" s="147"/>
      <c r="D2259" s="124"/>
      <c r="E2259" s="124"/>
      <c r="F2259" s="124"/>
      <c r="G2259" s="124"/>
      <c r="H2259" s="124"/>
      <c r="I2259" s="124"/>
      <c r="J2259" s="124"/>
      <c r="K2259" s="124"/>
      <c r="L2259" s="124"/>
      <c r="M2259" s="124"/>
      <c r="N2259" s="124"/>
      <c r="O2259" s="124"/>
      <c r="P2259" s="124"/>
      <c r="Q2259" s="124"/>
      <c r="R2259" s="124"/>
      <c r="S2259" s="124"/>
      <c r="T2259" s="124"/>
      <c r="U2259" s="124"/>
      <c r="V2259" s="124"/>
      <c r="W2259" s="124"/>
      <c r="X2259" s="124"/>
      <c r="Y2259" s="124"/>
      <c r="Z2259" s="124"/>
    </row>
    <row r="2260">
      <c r="A2260" s="124"/>
      <c r="B2260" s="124"/>
      <c r="C2260" s="147"/>
      <c r="D2260" s="124"/>
      <c r="E2260" s="124"/>
      <c r="F2260" s="124"/>
      <c r="G2260" s="124"/>
      <c r="H2260" s="124"/>
      <c r="I2260" s="124"/>
      <c r="J2260" s="124"/>
      <c r="K2260" s="124"/>
      <c r="L2260" s="124"/>
      <c r="M2260" s="124"/>
      <c r="N2260" s="124"/>
      <c r="O2260" s="124"/>
      <c r="P2260" s="124"/>
      <c r="Q2260" s="124"/>
      <c r="R2260" s="124"/>
      <c r="S2260" s="124"/>
      <c r="T2260" s="124"/>
      <c r="U2260" s="124"/>
      <c r="V2260" s="124"/>
      <c r="W2260" s="124"/>
      <c r="X2260" s="124"/>
      <c r="Y2260" s="124"/>
      <c r="Z2260" s="124"/>
    </row>
    <row r="2261">
      <c r="A2261" s="124"/>
      <c r="B2261" s="124"/>
      <c r="C2261" s="147"/>
      <c r="D2261" s="124"/>
      <c r="E2261" s="124"/>
      <c r="F2261" s="124"/>
      <c r="G2261" s="124"/>
      <c r="H2261" s="124"/>
      <c r="I2261" s="124"/>
      <c r="J2261" s="124"/>
      <c r="K2261" s="124"/>
      <c r="L2261" s="124"/>
      <c r="M2261" s="124"/>
      <c r="N2261" s="124"/>
      <c r="O2261" s="124"/>
      <c r="P2261" s="124"/>
      <c r="Q2261" s="124"/>
      <c r="R2261" s="124"/>
      <c r="S2261" s="124"/>
      <c r="T2261" s="124"/>
      <c r="U2261" s="124"/>
      <c r="V2261" s="124"/>
      <c r="W2261" s="124"/>
      <c r="X2261" s="124"/>
      <c r="Y2261" s="124"/>
      <c r="Z2261" s="124"/>
    </row>
    <row r="2262">
      <c r="A2262" s="124"/>
      <c r="B2262" s="124"/>
      <c r="C2262" s="147"/>
      <c r="D2262" s="124"/>
      <c r="E2262" s="124"/>
      <c r="F2262" s="124"/>
      <c r="G2262" s="124"/>
      <c r="H2262" s="124"/>
      <c r="I2262" s="124"/>
      <c r="J2262" s="124"/>
      <c r="K2262" s="124"/>
      <c r="L2262" s="124"/>
      <c r="M2262" s="124"/>
      <c r="N2262" s="124"/>
      <c r="O2262" s="124"/>
      <c r="P2262" s="124"/>
      <c r="Q2262" s="124"/>
      <c r="R2262" s="124"/>
      <c r="S2262" s="124"/>
      <c r="T2262" s="124"/>
      <c r="U2262" s="124"/>
      <c r="V2262" s="124"/>
      <c r="W2262" s="124"/>
      <c r="X2262" s="124"/>
      <c r="Y2262" s="124"/>
      <c r="Z2262" s="124"/>
    </row>
    <row r="2263">
      <c r="A2263" s="124"/>
      <c r="B2263" s="124"/>
      <c r="C2263" s="147"/>
      <c r="D2263" s="124"/>
      <c r="E2263" s="124"/>
      <c r="F2263" s="124"/>
      <c r="G2263" s="124"/>
      <c r="H2263" s="124"/>
      <c r="I2263" s="124"/>
      <c r="J2263" s="124"/>
      <c r="K2263" s="124"/>
      <c r="L2263" s="124"/>
      <c r="M2263" s="124"/>
      <c r="N2263" s="124"/>
      <c r="O2263" s="124"/>
      <c r="P2263" s="124"/>
      <c r="Q2263" s="124"/>
      <c r="R2263" s="124"/>
      <c r="S2263" s="124"/>
      <c r="T2263" s="124"/>
      <c r="U2263" s="124"/>
      <c r="V2263" s="124"/>
      <c r="W2263" s="124"/>
      <c r="X2263" s="124"/>
      <c r="Y2263" s="124"/>
      <c r="Z2263" s="124"/>
    </row>
    <row r="2264">
      <c r="A2264" s="124"/>
      <c r="B2264" s="124"/>
      <c r="C2264" s="147"/>
      <c r="D2264" s="124"/>
      <c r="E2264" s="124"/>
      <c r="F2264" s="124"/>
      <c r="G2264" s="124"/>
      <c r="H2264" s="124"/>
      <c r="I2264" s="124"/>
      <c r="J2264" s="124"/>
      <c r="K2264" s="124"/>
      <c r="L2264" s="124"/>
      <c r="M2264" s="124"/>
      <c r="N2264" s="124"/>
      <c r="O2264" s="124"/>
      <c r="P2264" s="124"/>
      <c r="Q2264" s="124"/>
      <c r="R2264" s="124"/>
      <c r="S2264" s="124"/>
      <c r="T2264" s="124"/>
      <c r="U2264" s="124"/>
      <c r="V2264" s="124"/>
      <c r="W2264" s="124"/>
      <c r="X2264" s="124"/>
      <c r="Y2264" s="124"/>
      <c r="Z2264" s="124"/>
    </row>
    <row r="2265">
      <c r="A2265" s="124"/>
      <c r="B2265" s="124"/>
      <c r="C2265" s="147"/>
      <c r="D2265" s="124"/>
      <c r="E2265" s="124"/>
      <c r="F2265" s="124"/>
      <c r="G2265" s="124"/>
      <c r="H2265" s="124"/>
      <c r="I2265" s="124"/>
      <c r="J2265" s="124"/>
      <c r="K2265" s="124"/>
      <c r="L2265" s="124"/>
      <c r="M2265" s="124"/>
      <c r="N2265" s="124"/>
      <c r="O2265" s="124"/>
      <c r="P2265" s="124"/>
      <c r="Q2265" s="124"/>
      <c r="R2265" s="124"/>
      <c r="S2265" s="124"/>
      <c r="T2265" s="124"/>
      <c r="U2265" s="124"/>
      <c r="V2265" s="124"/>
      <c r="W2265" s="124"/>
      <c r="X2265" s="124"/>
      <c r="Y2265" s="124"/>
      <c r="Z2265" s="124"/>
    </row>
    <row r="2266">
      <c r="A2266" s="124"/>
      <c r="B2266" s="124"/>
      <c r="C2266" s="147"/>
      <c r="D2266" s="124"/>
      <c r="E2266" s="124"/>
      <c r="F2266" s="124"/>
      <c r="G2266" s="124"/>
      <c r="H2266" s="124"/>
      <c r="I2266" s="124"/>
      <c r="J2266" s="124"/>
      <c r="K2266" s="124"/>
      <c r="L2266" s="124"/>
      <c r="M2266" s="124"/>
      <c r="N2266" s="124"/>
      <c r="O2266" s="124"/>
      <c r="P2266" s="124"/>
      <c r="Q2266" s="124"/>
      <c r="R2266" s="124"/>
      <c r="S2266" s="124"/>
      <c r="T2266" s="124"/>
      <c r="U2266" s="124"/>
      <c r="V2266" s="124"/>
      <c r="W2266" s="124"/>
      <c r="X2266" s="124"/>
      <c r="Y2266" s="124"/>
      <c r="Z2266" s="124"/>
    </row>
    <row r="2267">
      <c r="A2267" s="124"/>
      <c r="B2267" s="124"/>
      <c r="C2267" s="147"/>
      <c r="D2267" s="124"/>
      <c r="E2267" s="124"/>
      <c r="F2267" s="124"/>
      <c r="G2267" s="124"/>
      <c r="H2267" s="124"/>
      <c r="I2267" s="124"/>
      <c r="J2267" s="124"/>
      <c r="K2267" s="124"/>
      <c r="L2267" s="124"/>
      <c r="M2267" s="124"/>
      <c r="N2267" s="124"/>
      <c r="O2267" s="124"/>
      <c r="P2267" s="124"/>
      <c r="Q2267" s="124"/>
      <c r="R2267" s="124"/>
      <c r="S2267" s="124"/>
      <c r="T2267" s="124"/>
      <c r="U2267" s="124"/>
      <c r="V2267" s="124"/>
      <c r="W2267" s="124"/>
      <c r="X2267" s="124"/>
      <c r="Y2267" s="124"/>
      <c r="Z2267" s="124"/>
    </row>
    <row r="2268">
      <c r="A2268" s="124"/>
      <c r="B2268" s="124"/>
      <c r="C2268" s="147"/>
      <c r="D2268" s="124"/>
      <c r="E2268" s="124"/>
      <c r="F2268" s="124"/>
      <c r="G2268" s="124"/>
      <c r="H2268" s="124"/>
      <c r="I2268" s="124"/>
      <c r="J2268" s="124"/>
      <c r="K2268" s="124"/>
      <c r="L2268" s="124"/>
      <c r="M2268" s="124"/>
      <c r="N2268" s="124"/>
      <c r="O2268" s="124"/>
      <c r="P2268" s="124"/>
      <c r="Q2268" s="124"/>
      <c r="R2268" s="124"/>
      <c r="S2268" s="124"/>
      <c r="T2268" s="124"/>
      <c r="U2268" s="124"/>
      <c r="V2268" s="124"/>
      <c r="W2268" s="124"/>
      <c r="X2268" s="124"/>
      <c r="Y2268" s="124"/>
      <c r="Z2268" s="124"/>
    </row>
    <row r="2269">
      <c r="A2269" s="124"/>
      <c r="B2269" s="124"/>
      <c r="C2269" s="147"/>
      <c r="D2269" s="124"/>
      <c r="E2269" s="124"/>
      <c r="F2269" s="124"/>
      <c r="G2269" s="124"/>
      <c r="H2269" s="124"/>
      <c r="I2269" s="124"/>
      <c r="J2269" s="124"/>
      <c r="K2269" s="124"/>
      <c r="L2269" s="124"/>
      <c r="M2269" s="124"/>
      <c r="N2269" s="124"/>
      <c r="O2269" s="124"/>
      <c r="P2269" s="124"/>
      <c r="Q2269" s="124"/>
      <c r="R2269" s="124"/>
      <c r="S2269" s="124"/>
      <c r="T2269" s="124"/>
      <c r="U2269" s="124"/>
      <c r="V2269" s="124"/>
      <c r="W2269" s="124"/>
      <c r="X2269" s="124"/>
      <c r="Y2269" s="124"/>
      <c r="Z2269" s="124"/>
    </row>
    <row r="2270">
      <c r="A2270" s="124"/>
      <c r="B2270" s="124"/>
      <c r="C2270" s="147"/>
      <c r="D2270" s="124"/>
      <c r="E2270" s="124"/>
      <c r="F2270" s="124"/>
      <c r="G2270" s="124"/>
      <c r="H2270" s="124"/>
      <c r="I2270" s="124"/>
      <c r="J2270" s="124"/>
      <c r="K2270" s="124"/>
      <c r="L2270" s="124"/>
      <c r="M2270" s="124"/>
      <c r="N2270" s="124"/>
      <c r="O2270" s="124"/>
      <c r="P2270" s="124"/>
      <c r="Q2270" s="124"/>
      <c r="R2270" s="124"/>
      <c r="S2270" s="124"/>
      <c r="T2270" s="124"/>
      <c r="U2270" s="124"/>
      <c r="V2270" s="124"/>
      <c r="W2270" s="124"/>
      <c r="X2270" s="124"/>
      <c r="Y2270" s="124"/>
      <c r="Z2270" s="124"/>
    </row>
    <row r="2271">
      <c r="A2271" s="124"/>
      <c r="B2271" s="124"/>
      <c r="C2271" s="147"/>
      <c r="D2271" s="124"/>
      <c r="E2271" s="124"/>
      <c r="F2271" s="124"/>
      <c r="G2271" s="124"/>
      <c r="H2271" s="124"/>
      <c r="I2271" s="124"/>
      <c r="J2271" s="124"/>
      <c r="K2271" s="124"/>
      <c r="L2271" s="124"/>
      <c r="M2271" s="124"/>
      <c r="N2271" s="124"/>
      <c r="O2271" s="124"/>
      <c r="P2271" s="124"/>
      <c r="Q2271" s="124"/>
      <c r="R2271" s="124"/>
      <c r="S2271" s="124"/>
      <c r="T2271" s="124"/>
      <c r="U2271" s="124"/>
      <c r="V2271" s="124"/>
      <c r="W2271" s="124"/>
      <c r="X2271" s="124"/>
      <c r="Y2271" s="124"/>
      <c r="Z2271" s="124"/>
    </row>
    <row r="2272">
      <c r="A2272" s="124"/>
      <c r="B2272" s="124"/>
      <c r="C2272" s="147"/>
      <c r="D2272" s="124"/>
      <c r="E2272" s="124"/>
      <c r="F2272" s="124"/>
      <c r="G2272" s="124"/>
      <c r="H2272" s="124"/>
      <c r="I2272" s="124"/>
      <c r="J2272" s="124"/>
      <c r="K2272" s="124"/>
      <c r="L2272" s="124"/>
      <c r="M2272" s="124"/>
      <c r="N2272" s="124"/>
      <c r="O2272" s="124"/>
      <c r="P2272" s="124"/>
      <c r="Q2272" s="124"/>
      <c r="R2272" s="124"/>
      <c r="S2272" s="124"/>
      <c r="T2272" s="124"/>
      <c r="U2272" s="124"/>
      <c r="V2272" s="124"/>
      <c r="W2272" s="124"/>
      <c r="X2272" s="124"/>
      <c r="Y2272" s="124"/>
      <c r="Z2272" s="124"/>
    </row>
    <row r="2273">
      <c r="A2273" s="124"/>
      <c r="B2273" s="124"/>
      <c r="C2273" s="147"/>
      <c r="D2273" s="124"/>
      <c r="E2273" s="124"/>
      <c r="F2273" s="124"/>
      <c r="G2273" s="124"/>
      <c r="H2273" s="124"/>
      <c r="I2273" s="124"/>
      <c r="J2273" s="124"/>
      <c r="K2273" s="124"/>
      <c r="L2273" s="124"/>
      <c r="M2273" s="124"/>
      <c r="N2273" s="124"/>
      <c r="O2273" s="124"/>
      <c r="P2273" s="124"/>
      <c r="Q2273" s="124"/>
      <c r="R2273" s="124"/>
      <c r="S2273" s="124"/>
      <c r="T2273" s="124"/>
      <c r="U2273" s="124"/>
      <c r="V2273" s="124"/>
      <c r="W2273" s="124"/>
      <c r="X2273" s="124"/>
      <c r="Y2273" s="124"/>
      <c r="Z2273" s="124"/>
    </row>
    <row r="2274">
      <c r="A2274" s="124"/>
      <c r="B2274" s="124"/>
      <c r="C2274" s="147"/>
      <c r="D2274" s="124"/>
      <c r="E2274" s="124"/>
      <c r="F2274" s="124"/>
      <c r="G2274" s="124"/>
      <c r="H2274" s="124"/>
      <c r="I2274" s="124"/>
      <c r="J2274" s="124"/>
      <c r="K2274" s="124"/>
      <c r="L2274" s="124"/>
      <c r="M2274" s="124"/>
      <c r="N2274" s="124"/>
      <c r="O2274" s="124"/>
      <c r="P2274" s="124"/>
      <c r="Q2274" s="124"/>
      <c r="R2274" s="124"/>
      <c r="S2274" s="124"/>
      <c r="T2274" s="124"/>
      <c r="U2274" s="124"/>
      <c r="V2274" s="124"/>
      <c r="W2274" s="124"/>
      <c r="X2274" s="124"/>
      <c r="Y2274" s="124"/>
      <c r="Z2274" s="124"/>
    </row>
    <row r="2275">
      <c r="A2275" s="124"/>
      <c r="B2275" s="124"/>
      <c r="C2275" s="147"/>
      <c r="D2275" s="124"/>
      <c r="E2275" s="124"/>
      <c r="F2275" s="124"/>
      <c r="G2275" s="124"/>
      <c r="H2275" s="124"/>
      <c r="I2275" s="124"/>
      <c r="J2275" s="124"/>
      <c r="K2275" s="124"/>
      <c r="L2275" s="124"/>
      <c r="M2275" s="124"/>
      <c r="N2275" s="124"/>
      <c r="O2275" s="124"/>
      <c r="P2275" s="124"/>
      <c r="Q2275" s="124"/>
      <c r="R2275" s="124"/>
      <c r="S2275" s="124"/>
      <c r="T2275" s="124"/>
      <c r="U2275" s="124"/>
      <c r="V2275" s="124"/>
      <c r="W2275" s="124"/>
      <c r="X2275" s="124"/>
      <c r="Y2275" s="124"/>
      <c r="Z2275" s="124"/>
    </row>
    <row r="2276">
      <c r="A2276" s="124"/>
      <c r="B2276" s="124"/>
      <c r="C2276" s="147"/>
      <c r="D2276" s="124"/>
      <c r="E2276" s="124"/>
      <c r="F2276" s="124"/>
      <c r="G2276" s="124"/>
      <c r="H2276" s="124"/>
      <c r="I2276" s="124"/>
      <c r="J2276" s="124"/>
      <c r="K2276" s="124"/>
      <c r="L2276" s="124"/>
      <c r="M2276" s="124"/>
      <c r="N2276" s="124"/>
      <c r="O2276" s="124"/>
      <c r="P2276" s="124"/>
      <c r="Q2276" s="124"/>
      <c r="R2276" s="124"/>
      <c r="S2276" s="124"/>
      <c r="T2276" s="124"/>
      <c r="U2276" s="124"/>
      <c r="V2276" s="124"/>
      <c r="W2276" s="124"/>
      <c r="X2276" s="124"/>
      <c r="Y2276" s="124"/>
      <c r="Z2276" s="124"/>
    </row>
    <row r="2277">
      <c r="A2277" s="124"/>
      <c r="B2277" s="124"/>
      <c r="C2277" s="147"/>
      <c r="D2277" s="124"/>
      <c r="E2277" s="124"/>
      <c r="F2277" s="124"/>
      <c r="G2277" s="124"/>
      <c r="H2277" s="124"/>
      <c r="I2277" s="124"/>
      <c r="J2277" s="124"/>
      <c r="K2277" s="124"/>
      <c r="L2277" s="124"/>
      <c r="M2277" s="124"/>
      <c r="N2277" s="124"/>
      <c r="O2277" s="124"/>
      <c r="P2277" s="124"/>
      <c r="Q2277" s="124"/>
      <c r="R2277" s="124"/>
      <c r="S2277" s="124"/>
      <c r="T2277" s="124"/>
      <c r="U2277" s="124"/>
      <c r="V2277" s="124"/>
      <c r="W2277" s="124"/>
      <c r="X2277" s="124"/>
      <c r="Y2277" s="124"/>
      <c r="Z2277" s="124"/>
    </row>
    <row r="2278">
      <c r="A2278" s="124"/>
      <c r="B2278" s="124"/>
      <c r="C2278" s="147"/>
      <c r="D2278" s="124"/>
      <c r="E2278" s="124"/>
      <c r="F2278" s="124"/>
      <c r="G2278" s="124"/>
      <c r="H2278" s="124"/>
      <c r="I2278" s="124"/>
      <c r="J2278" s="124"/>
      <c r="K2278" s="124"/>
      <c r="L2278" s="124"/>
      <c r="M2278" s="124"/>
      <c r="N2278" s="124"/>
      <c r="O2278" s="124"/>
      <c r="P2278" s="124"/>
      <c r="Q2278" s="124"/>
      <c r="R2278" s="124"/>
      <c r="S2278" s="124"/>
      <c r="T2278" s="124"/>
      <c r="U2278" s="124"/>
      <c r="V2278" s="124"/>
      <c r="W2278" s="124"/>
      <c r="X2278" s="124"/>
      <c r="Y2278" s="124"/>
      <c r="Z2278" s="124"/>
    </row>
    <row r="2279">
      <c r="A2279" s="124"/>
      <c r="B2279" s="124"/>
      <c r="C2279" s="147"/>
      <c r="D2279" s="124"/>
      <c r="E2279" s="124"/>
      <c r="F2279" s="124"/>
      <c r="G2279" s="124"/>
      <c r="H2279" s="124"/>
      <c r="I2279" s="124"/>
      <c r="J2279" s="124"/>
      <c r="K2279" s="124"/>
      <c r="L2279" s="124"/>
      <c r="M2279" s="124"/>
      <c r="N2279" s="124"/>
      <c r="O2279" s="124"/>
      <c r="P2279" s="124"/>
      <c r="Q2279" s="124"/>
      <c r="R2279" s="124"/>
      <c r="S2279" s="124"/>
      <c r="T2279" s="124"/>
      <c r="U2279" s="124"/>
      <c r="V2279" s="124"/>
      <c r="W2279" s="124"/>
      <c r="X2279" s="124"/>
      <c r="Y2279" s="124"/>
      <c r="Z2279" s="124"/>
    </row>
    <row r="2280">
      <c r="A2280" s="124"/>
      <c r="B2280" s="124"/>
      <c r="C2280" s="147"/>
      <c r="D2280" s="124"/>
      <c r="E2280" s="124"/>
      <c r="F2280" s="124"/>
      <c r="G2280" s="124"/>
      <c r="H2280" s="124"/>
      <c r="I2280" s="124"/>
      <c r="J2280" s="124"/>
      <c r="K2280" s="124"/>
      <c r="L2280" s="124"/>
      <c r="M2280" s="124"/>
      <c r="N2280" s="124"/>
      <c r="O2280" s="124"/>
      <c r="P2280" s="124"/>
      <c r="Q2280" s="124"/>
      <c r="R2280" s="124"/>
      <c r="S2280" s="124"/>
      <c r="T2280" s="124"/>
      <c r="U2280" s="124"/>
      <c r="V2280" s="124"/>
      <c r="W2280" s="124"/>
      <c r="X2280" s="124"/>
      <c r="Y2280" s="124"/>
      <c r="Z2280" s="124"/>
    </row>
    <row r="2281">
      <c r="A2281" s="124"/>
      <c r="B2281" s="124"/>
      <c r="C2281" s="147"/>
      <c r="D2281" s="124"/>
      <c r="E2281" s="124"/>
      <c r="F2281" s="124"/>
      <c r="G2281" s="124"/>
      <c r="H2281" s="124"/>
      <c r="I2281" s="124"/>
      <c r="J2281" s="124"/>
      <c r="K2281" s="124"/>
      <c r="L2281" s="124"/>
      <c r="M2281" s="124"/>
      <c r="N2281" s="124"/>
      <c r="O2281" s="124"/>
      <c r="P2281" s="124"/>
      <c r="Q2281" s="124"/>
      <c r="R2281" s="124"/>
      <c r="S2281" s="124"/>
      <c r="T2281" s="124"/>
      <c r="U2281" s="124"/>
      <c r="V2281" s="124"/>
      <c r="W2281" s="124"/>
      <c r="X2281" s="124"/>
      <c r="Y2281" s="124"/>
      <c r="Z2281" s="124"/>
    </row>
    <row r="2282">
      <c r="A2282" s="124"/>
      <c r="B2282" s="124"/>
      <c r="C2282" s="147"/>
      <c r="D2282" s="124"/>
      <c r="E2282" s="124"/>
      <c r="F2282" s="124"/>
      <c r="G2282" s="124"/>
      <c r="H2282" s="124"/>
      <c r="I2282" s="124"/>
      <c r="J2282" s="124"/>
      <c r="K2282" s="124"/>
      <c r="L2282" s="124"/>
      <c r="M2282" s="124"/>
      <c r="N2282" s="124"/>
      <c r="O2282" s="124"/>
      <c r="P2282" s="124"/>
      <c r="Q2282" s="124"/>
      <c r="R2282" s="124"/>
      <c r="S2282" s="124"/>
      <c r="T2282" s="124"/>
      <c r="U2282" s="124"/>
      <c r="V2282" s="124"/>
      <c r="W2282" s="124"/>
      <c r="X2282" s="124"/>
      <c r="Y2282" s="124"/>
      <c r="Z2282" s="124"/>
    </row>
    <row r="2283">
      <c r="A2283" s="124"/>
      <c r="B2283" s="124"/>
      <c r="C2283" s="147"/>
      <c r="D2283" s="124"/>
      <c r="E2283" s="124"/>
      <c r="F2283" s="124"/>
      <c r="G2283" s="124"/>
      <c r="H2283" s="124"/>
      <c r="I2283" s="124"/>
      <c r="J2283" s="124"/>
      <c r="K2283" s="124"/>
      <c r="L2283" s="124"/>
      <c r="M2283" s="124"/>
      <c r="N2283" s="124"/>
      <c r="O2283" s="124"/>
      <c r="P2283" s="124"/>
      <c r="Q2283" s="124"/>
      <c r="R2283" s="124"/>
      <c r="S2283" s="124"/>
      <c r="T2283" s="124"/>
      <c r="U2283" s="124"/>
      <c r="V2283" s="124"/>
      <c r="W2283" s="124"/>
      <c r="X2283" s="124"/>
      <c r="Y2283" s="124"/>
      <c r="Z2283" s="124"/>
    </row>
    <row r="2284">
      <c r="A2284" s="124"/>
      <c r="B2284" s="124"/>
      <c r="C2284" s="147"/>
      <c r="D2284" s="124"/>
      <c r="E2284" s="124"/>
      <c r="F2284" s="124"/>
      <c r="G2284" s="124"/>
      <c r="H2284" s="124"/>
      <c r="I2284" s="124"/>
      <c r="J2284" s="124"/>
      <c r="K2284" s="124"/>
      <c r="L2284" s="124"/>
      <c r="M2284" s="124"/>
      <c r="N2284" s="124"/>
      <c r="O2284" s="124"/>
      <c r="P2284" s="124"/>
      <c r="Q2284" s="124"/>
      <c r="R2284" s="124"/>
      <c r="S2284" s="124"/>
      <c r="T2284" s="124"/>
      <c r="U2284" s="124"/>
      <c r="V2284" s="124"/>
      <c r="W2284" s="124"/>
      <c r="X2284" s="124"/>
      <c r="Y2284" s="124"/>
      <c r="Z2284" s="124"/>
    </row>
    <row r="2285">
      <c r="A2285" s="124"/>
      <c r="B2285" s="124"/>
      <c r="C2285" s="147"/>
      <c r="D2285" s="124"/>
      <c r="E2285" s="124"/>
      <c r="F2285" s="124"/>
      <c r="G2285" s="124"/>
      <c r="H2285" s="124"/>
      <c r="I2285" s="124"/>
      <c r="J2285" s="124"/>
      <c r="K2285" s="124"/>
      <c r="L2285" s="124"/>
      <c r="M2285" s="124"/>
      <c r="N2285" s="124"/>
      <c r="O2285" s="124"/>
      <c r="P2285" s="124"/>
      <c r="Q2285" s="124"/>
      <c r="R2285" s="124"/>
      <c r="S2285" s="124"/>
      <c r="T2285" s="124"/>
      <c r="U2285" s="124"/>
      <c r="V2285" s="124"/>
      <c r="W2285" s="124"/>
      <c r="X2285" s="124"/>
      <c r="Y2285" s="124"/>
      <c r="Z2285" s="124"/>
    </row>
    <row r="2286">
      <c r="A2286" s="124"/>
      <c r="B2286" s="124"/>
      <c r="C2286" s="147"/>
      <c r="D2286" s="124"/>
      <c r="E2286" s="124"/>
      <c r="F2286" s="124"/>
      <c r="G2286" s="124"/>
      <c r="H2286" s="124"/>
      <c r="I2286" s="124"/>
      <c r="J2286" s="124"/>
      <c r="K2286" s="124"/>
      <c r="L2286" s="124"/>
      <c r="M2286" s="124"/>
      <c r="N2286" s="124"/>
      <c r="O2286" s="124"/>
      <c r="P2286" s="124"/>
      <c r="Q2286" s="124"/>
      <c r="R2286" s="124"/>
      <c r="S2286" s="124"/>
      <c r="T2286" s="124"/>
      <c r="U2286" s="124"/>
      <c r="V2286" s="124"/>
      <c r="W2286" s="124"/>
      <c r="X2286" s="124"/>
      <c r="Y2286" s="124"/>
      <c r="Z2286" s="124"/>
    </row>
    <row r="2287">
      <c r="A2287" s="124"/>
      <c r="B2287" s="124"/>
      <c r="C2287" s="147"/>
      <c r="D2287" s="124"/>
      <c r="E2287" s="124"/>
      <c r="F2287" s="124"/>
      <c r="G2287" s="124"/>
      <c r="H2287" s="124"/>
      <c r="I2287" s="124"/>
      <c r="J2287" s="124"/>
      <c r="K2287" s="124"/>
      <c r="L2287" s="124"/>
      <c r="M2287" s="124"/>
      <c r="N2287" s="124"/>
      <c r="O2287" s="124"/>
      <c r="P2287" s="124"/>
      <c r="Q2287" s="124"/>
      <c r="R2287" s="124"/>
      <c r="S2287" s="124"/>
      <c r="T2287" s="124"/>
      <c r="U2287" s="124"/>
      <c r="V2287" s="124"/>
      <c r="W2287" s="124"/>
      <c r="X2287" s="124"/>
      <c r="Y2287" s="124"/>
      <c r="Z2287" s="124"/>
    </row>
    <row r="2288">
      <c r="A2288" s="124"/>
      <c r="B2288" s="124"/>
      <c r="C2288" s="147"/>
      <c r="D2288" s="124"/>
      <c r="E2288" s="124"/>
      <c r="F2288" s="124"/>
      <c r="G2288" s="124"/>
      <c r="H2288" s="124"/>
      <c r="I2288" s="124"/>
      <c r="J2288" s="124"/>
      <c r="K2288" s="124"/>
      <c r="L2288" s="124"/>
      <c r="M2288" s="124"/>
      <c r="N2288" s="124"/>
      <c r="O2288" s="124"/>
      <c r="P2288" s="124"/>
      <c r="Q2288" s="124"/>
      <c r="R2288" s="124"/>
      <c r="S2288" s="124"/>
      <c r="T2288" s="124"/>
      <c r="U2288" s="124"/>
      <c r="V2288" s="124"/>
      <c r="W2288" s="124"/>
      <c r="X2288" s="124"/>
      <c r="Y2288" s="124"/>
      <c r="Z2288" s="124"/>
    </row>
    <row r="2289">
      <c r="A2289" s="124"/>
      <c r="B2289" s="124"/>
      <c r="C2289" s="147"/>
      <c r="D2289" s="124"/>
      <c r="E2289" s="124"/>
      <c r="F2289" s="124"/>
      <c r="G2289" s="124"/>
      <c r="H2289" s="124"/>
      <c r="I2289" s="124"/>
      <c r="J2289" s="124"/>
      <c r="K2289" s="124"/>
      <c r="L2289" s="124"/>
      <c r="M2289" s="124"/>
      <c r="N2289" s="124"/>
      <c r="O2289" s="124"/>
      <c r="P2289" s="124"/>
      <c r="Q2289" s="124"/>
      <c r="R2289" s="124"/>
      <c r="S2289" s="124"/>
      <c r="T2289" s="124"/>
      <c r="U2289" s="124"/>
      <c r="V2289" s="124"/>
      <c r="W2289" s="124"/>
      <c r="X2289" s="124"/>
      <c r="Y2289" s="124"/>
      <c r="Z2289" s="124"/>
    </row>
    <row r="2290">
      <c r="A2290" s="124"/>
      <c r="B2290" s="124"/>
      <c r="C2290" s="147"/>
      <c r="D2290" s="124"/>
      <c r="E2290" s="124"/>
      <c r="F2290" s="124"/>
      <c r="G2290" s="124"/>
      <c r="H2290" s="124"/>
      <c r="I2290" s="124"/>
      <c r="J2290" s="124"/>
      <c r="K2290" s="124"/>
      <c r="L2290" s="124"/>
      <c r="M2290" s="124"/>
      <c r="N2290" s="124"/>
      <c r="O2290" s="124"/>
      <c r="P2290" s="124"/>
      <c r="Q2290" s="124"/>
      <c r="R2290" s="124"/>
      <c r="S2290" s="124"/>
      <c r="T2290" s="124"/>
      <c r="U2290" s="124"/>
      <c r="V2290" s="124"/>
      <c r="W2290" s="124"/>
      <c r="X2290" s="124"/>
      <c r="Y2290" s="124"/>
      <c r="Z2290" s="124"/>
    </row>
    <row r="2291">
      <c r="A2291" s="124"/>
      <c r="B2291" s="124"/>
      <c r="C2291" s="147"/>
      <c r="D2291" s="124"/>
      <c r="E2291" s="124"/>
      <c r="F2291" s="124"/>
      <c r="G2291" s="124"/>
      <c r="H2291" s="124"/>
      <c r="I2291" s="124"/>
      <c r="J2291" s="124"/>
      <c r="K2291" s="124"/>
      <c r="L2291" s="124"/>
      <c r="M2291" s="124"/>
      <c r="N2291" s="124"/>
      <c r="O2291" s="124"/>
      <c r="P2291" s="124"/>
      <c r="Q2291" s="124"/>
      <c r="R2291" s="124"/>
      <c r="S2291" s="124"/>
      <c r="T2291" s="124"/>
      <c r="U2291" s="124"/>
      <c r="V2291" s="124"/>
      <c r="W2291" s="124"/>
      <c r="X2291" s="124"/>
      <c r="Y2291" s="124"/>
      <c r="Z2291" s="124"/>
    </row>
    <row r="2292">
      <c r="A2292" s="124"/>
      <c r="B2292" s="124"/>
      <c r="C2292" s="147"/>
      <c r="D2292" s="124"/>
      <c r="E2292" s="124"/>
      <c r="F2292" s="124"/>
      <c r="G2292" s="124"/>
      <c r="H2292" s="124"/>
      <c r="I2292" s="124"/>
      <c r="J2292" s="124"/>
      <c r="K2292" s="124"/>
      <c r="L2292" s="124"/>
      <c r="M2292" s="124"/>
      <c r="N2292" s="124"/>
      <c r="O2292" s="124"/>
      <c r="P2292" s="124"/>
      <c r="Q2292" s="124"/>
      <c r="R2292" s="124"/>
      <c r="S2292" s="124"/>
      <c r="T2292" s="124"/>
      <c r="U2292" s="124"/>
      <c r="V2292" s="124"/>
      <c r="W2292" s="124"/>
      <c r="X2292" s="124"/>
      <c r="Y2292" s="124"/>
      <c r="Z2292" s="124"/>
    </row>
    <row r="2293">
      <c r="A2293" s="124"/>
      <c r="B2293" s="124"/>
      <c r="C2293" s="147"/>
      <c r="D2293" s="124"/>
      <c r="E2293" s="124"/>
      <c r="F2293" s="124"/>
      <c r="G2293" s="124"/>
      <c r="H2293" s="124"/>
      <c r="I2293" s="124"/>
      <c r="J2293" s="124"/>
      <c r="K2293" s="124"/>
      <c r="L2293" s="124"/>
      <c r="M2293" s="124"/>
      <c r="N2293" s="124"/>
      <c r="O2293" s="124"/>
      <c r="P2293" s="124"/>
      <c r="Q2293" s="124"/>
      <c r="R2293" s="124"/>
      <c r="S2293" s="124"/>
      <c r="T2293" s="124"/>
      <c r="U2293" s="124"/>
      <c r="V2293" s="124"/>
      <c r="W2293" s="124"/>
      <c r="X2293" s="124"/>
      <c r="Y2293" s="124"/>
      <c r="Z2293" s="124"/>
    </row>
    <row r="2294">
      <c r="A2294" s="124"/>
      <c r="B2294" s="124"/>
      <c r="C2294" s="147"/>
      <c r="D2294" s="124"/>
      <c r="E2294" s="124"/>
      <c r="F2294" s="124"/>
      <c r="G2294" s="124"/>
      <c r="H2294" s="124"/>
      <c r="I2294" s="124"/>
      <c r="J2294" s="124"/>
      <c r="K2294" s="124"/>
      <c r="L2294" s="124"/>
      <c r="M2294" s="124"/>
      <c r="N2294" s="124"/>
      <c r="O2294" s="124"/>
      <c r="P2294" s="124"/>
      <c r="Q2294" s="124"/>
      <c r="R2294" s="124"/>
      <c r="S2294" s="124"/>
      <c r="T2294" s="124"/>
      <c r="U2294" s="124"/>
      <c r="V2294" s="124"/>
      <c r="W2294" s="124"/>
      <c r="X2294" s="124"/>
      <c r="Y2294" s="124"/>
      <c r="Z2294" s="124"/>
    </row>
    <row r="2295">
      <c r="A2295" s="124"/>
      <c r="B2295" s="124"/>
      <c r="C2295" s="147"/>
      <c r="D2295" s="124"/>
      <c r="E2295" s="124"/>
      <c r="F2295" s="124"/>
      <c r="G2295" s="124"/>
      <c r="H2295" s="124"/>
      <c r="I2295" s="124"/>
      <c r="J2295" s="124"/>
      <c r="K2295" s="124"/>
      <c r="L2295" s="124"/>
      <c r="M2295" s="124"/>
      <c r="N2295" s="124"/>
      <c r="O2295" s="124"/>
      <c r="P2295" s="124"/>
      <c r="Q2295" s="124"/>
      <c r="R2295" s="124"/>
      <c r="S2295" s="124"/>
      <c r="T2295" s="124"/>
      <c r="U2295" s="124"/>
      <c r="V2295" s="124"/>
      <c r="W2295" s="124"/>
      <c r="X2295" s="124"/>
      <c r="Y2295" s="124"/>
      <c r="Z2295" s="124"/>
    </row>
    <row r="2296">
      <c r="A2296" s="124"/>
      <c r="B2296" s="124"/>
      <c r="C2296" s="147"/>
      <c r="D2296" s="124"/>
      <c r="E2296" s="124"/>
      <c r="F2296" s="124"/>
      <c r="G2296" s="124"/>
      <c r="H2296" s="124"/>
      <c r="I2296" s="124"/>
      <c r="J2296" s="124"/>
      <c r="K2296" s="124"/>
      <c r="L2296" s="124"/>
      <c r="M2296" s="124"/>
      <c r="N2296" s="124"/>
      <c r="O2296" s="124"/>
      <c r="P2296" s="124"/>
      <c r="Q2296" s="124"/>
      <c r="R2296" s="124"/>
      <c r="S2296" s="124"/>
      <c r="T2296" s="124"/>
      <c r="U2296" s="124"/>
      <c r="V2296" s="124"/>
      <c r="W2296" s="124"/>
      <c r="X2296" s="124"/>
      <c r="Y2296" s="124"/>
      <c r="Z2296" s="124"/>
    </row>
    <row r="2297">
      <c r="A2297" s="124"/>
      <c r="B2297" s="124"/>
      <c r="C2297" s="147"/>
      <c r="D2297" s="124"/>
      <c r="E2297" s="124"/>
      <c r="F2297" s="124"/>
      <c r="G2297" s="124"/>
      <c r="H2297" s="124"/>
      <c r="I2297" s="124"/>
      <c r="J2297" s="124"/>
      <c r="K2297" s="124"/>
      <c r="L2297" s="124"/>
      <c r="M2297" s="124"/>
      <c r="N2297" s="124"/>
      <c r="O2297" s="124"/>
      <c r="P2297" s="124"/>
      <c r="Q2297" s="124"/>
      <c r="R2297" s="124"/>
      <c r="S2297" s="124"/>
      <c r="T2297" s="124"/>
      <c r="U2297" s="124"/>
      <c r="V2297" s="124"/>
      <c r="W2297" s="124"/>
      <c r="X2297" s="124"/>
      <c r="Y2297" s="124"/>
      <c r="Z2297" s="124"/>
    </row>
    <row r="2298">
      <c r="A2298" s="124"/>
      <c r="B2298" s="124"/>
      <c r="C2298" s="147"/>
      <c r="D2298" s="124"/>
      <c r="E2298" s="124"/>
      <c r="F2298" s="124"/>
      <c r="G2298" s="124"/>
      <c r="H2298" s="124"/>
      <c r="I2298" s="124"/>
      <c r="J2298" s="124"/>
      <c r="K2298" s="124"/>
      <c r="L2298" s="124"/>
      <c r="M2298" s="124"/>
      <c r="N2298" s="124"/>
      <c r="O2298" s="124"/>
      <c r="P2298" s="124"/>
      <c r="Q2298" s="124"/>
      <c r="R2298" s="124"/>
      <c r="S2298" s="124"/>
      <c r="T2298" s="124"/>
      <c r="U2298" s="124"/>
      <c r="V2298" s="124"/>
      <c r="W2298" s="124"/>
      <c r="X2298" s="124"/>
      <c r="Y2298" s="124"/>
      <c r="Z2298" s="124"/>
    </row>
    <row r="2299">
      <c r="A2299" s="124"/>
      <c r="B2299" s="124"/>
      <c r="C2299" s="147"/>
      <c r="D2299" s="124"/>
      <c r="E2299" s="124"/>
      <c r="F2299" s="124"/>
      <c r="G2299" s="124"/>
      <c r="H2299" s="124"/>
      <c r="I2299" s="124"/>
      <c r="J2299" s="124"/>
      <c r="K2299" s="124"/>
      <c r="L2299" s="124"/>
      <c r="M2299" s="124"/>
      <c r="N2299" s="124"/>
      <c r="O2299" s="124"/>
      <c r="P2299" s="124"/>
      <c r="Q2299" s="124"/>
      <c r="R2299" s="124"/>
      <c r="S2299" s="124"/>
      <c r="T2299" s="124"/>
      <c r="U2299" s="124"/>
      <c r="V2299" s="124"/>
      <c r="W2299" s="124"/>
      <c r="X2299" s="124"/>
      <c r="Y2299" s="124"/>
      <c r="Z2299" s="124"/>
    </row>
    <row r="2300">
      <c r="A2300" s="124"/>
      <c r="B2300" s="124"/>
      <c r="C2300" s="147"/>
      <c r="D2300" s="124"/>
      <c r="E2300" s="124"/>
      <c r="F2300" s="124"/>
      <c r="G2300" s="124"/>
      <c r="H2300" s="124"/>
      <c r="I2300" s="124"/>
      <c r="J2300" s="124"/>
      <c r="K2300" s="124"/>
      <c r="L2300" s="124"/>
      <c r="M2300" s="124"/>
      <c r="N2300" s="124"/>
      <c r="O2300" s="124"/>
      <c r="P2300" s="124"/>
      <c r="Q2300" s="124"/>
      <c r="R2300" s="124"/>
      <c r="S2300" s="124"/>
      <c r="T2300" s="124"/>
      <c r="U2300" s="124"/>
      <c r="V2300" s="124"/>
      <c r="W2300" s="124"/>
      <c r="X2300" s="124"/>
      <c r="Y2300" s="124"/>
      <c r="Z2300" s="124"/>
    </row>
    <row r="2301">
      <c r="A2301" s="124"/>
      <c r="B2301" s="124"/>
      <c r="C2301" s="147"/>
      <c r="D2301" s="124"/>
      <c r="E2301" s="124"/>
      <c r="F2301" s="124"/>
      <c r="G2301" s="124"/>
      <c r="H2301" s="124"/>
      <c r="I2301" s="124"/>
      <c r="J2301" s="124"/>
      <c r="K2301" s="124"/>
      <c r="L2301" s="124"/>
      <c r="M2301" s="124"/>
      <c r="N2301" s="124"/>
      <c r="O2301" s="124"/>
      <c r="P2301" s="124"/>
      <c r="Q2301" s="124"/>
      <c r="R2301" s="124"/>
      <c r="S2301" s="124"/>
      <c r="T2301" s="124"/>
      <c r="U2301" s="124"/>
      <c r="V2301" s="124"/>
      <c r="W2301" s="124"/>
      <c r="X2301" s="124"/>
      <c r="Y2301" s="124"/>
      <c r="Z2301" s="124"/>
    </row>
    <row r="2302">
      <c r="A2302" s="124"/>
      <c r="B2302" s="124"/>
      <c r="C2302" s="147"/>
      <c r="D2302" s="124"/>
      <c r="E2302" s="124"/>
      <c r="F2302" s="124"/>
      <c r="G2302" s="124"/>
      <c r="H2302" s="124"/>
      <c r="I2302" s="124"/>
      <c r="J2302" s="124"/>
      <c r="K2302" s="124"/>
      <c r="L2302" s="124"/>
      <c r="M2302" s="124"/>
      <c r="N2302" s="124"/>
      <c r="O2302" s="124"/>
      <c r="P2302" s="124"/>
      <c r="Q2302" s="124"/>
      <c r="R2302" s="124"/>
      <c r="S2302" s="124"/>
      <c r="T2302" s="124"/>
      <c r="U2302" s="124"/>
      <c r="V2302" s="124"/>
      <c r="W2302" s="124"/>
      <c r="X2302" s="124"/>
      <c r="Y2302" s="124"/>
      <c r="Z2302" s="124"/>
    </row>
    <row r="2303">
      <c r="A2303" s="124"/>
      <c r="B2303" s="124"/>
      <c r="C2303" s="147"/>
      <c r="D2303" s="124"/>
      <c r="E2303" s="124"/>
      <c r="F2303" s="124"/>
      <c r="G2303" s="124"/>
      <c r="H2303" s="124"/>
      <c r="I2303" s="124"/>
      <c r="J2303" s="124"/>
      <c r="K2303" s="124"/>
      <c r="L2303" s="124"/>
      <c r="M2303" s="124"/>
      <c r="N2303" s="124"/>
      <c r="O2303" s="124"/>
      <c r="P2303" s="124"/>
      <c r="Q2303" s="124"/>
      <c r="R2303" s="124"/>
      <c r="S2303" s="124"/>
      <c r="T2303" s="124"/>
      <c r="U2303" s="124"/>
      <c r="V2303" s="124"/>
      <c r="W2303" s="124"/>
      <c r="X2303" s="124"/>
      <c r="Y2303" s="124"/>
      <c r="Z2303" s="124"/>
    </row>
    <row r="2304">
      <c r="A2304" s="124"/>
      <c r="B2304" s="124"/>
      <c r="C2304" s="147"/>
      <c r="D2304" s="124"/>
      <c r="E2304" s="124"/>
      <c r="F2304" s="124"/>
      <c r="G2304" s="124"/>
      <c r="H2304" s="124"/>
      <c r="I2304" s="124"/>
      <c r="J2304" s="124"/>
      <c r="K2304" s="124"/>
      <c r="L2304" s="124"/>
      <c r="M2304" s="124"/>
      <c r="N2304" s="124"/>
      <c r="O2304" s="124"/>
      <c r="P2304" s="124"/>
      <c r="Q2304" s="124"/>
      <c r="R2304" s="124"/>
      <c r="S2304" s="124"/>
      <c r="T2304" s="124"/>
      <c r="U2304" s="124"/>
      <c r="V2304" s="124"/>
      <c r="W2304" s="124"/>
      <c r="X2304" s="124"/>
      <c r="Y2304" s="124"/>
      <c r="Z2304" s="124"/>
    </row>
    <row r="2305">
      <c r="A2305" s="124"/>
      <c r="B2305" s="124"/>
      <c r="C2305" s="147"/>
      <c r="D2305" s="124"/>
      <c r="E2305" s="124"/>
      <c r="F2305" s="124"/>
      <c r="G2305" s="124"/>
      <c r="H2305" s="124"/>
      <c r="I2305" s="124"/>
      <c r="J2305" s="124"/>
      <c r="K2305" s="124"/>
      <c r="L2305" s="124"/>
      <c r="M2305" s="124"/>
      <c r="N2305" s="124"/>
      <c r="O2305" s="124"/>
      <c r="P2305" s="124"/>
      <c r="Q2305" s="124"/>
      <c r="R2305" s="124"/>
      <c r="S2305" s="124"/>
      <c r="T2305" s="124"/>
      <c r="U2305" s="124"/>
      <c r="V2305" s="124"/>
      <c r="W2305" s="124"/>
      <c r="X2305" s="124"/>
      <c r="Y2305" s="124"/>
      <c r="Z2305" s="124"/>
    </row>
    <row r="2306">
      <c r="A2306" s="124"/>
      <c r="B2306" s="124"/>
      <c r="C2306" s="147"/>
      <c r="D2306" s="124"/>
      <c r="E2306" s="124"/>
      <c r="F2306" s="124"/>
      <c r="G2306" s="124"/>
      <c r="H2306" s="124"/>
      <c r="I2306" s="124"/>
      <c r="J2306" s="124"/>
      <c r="K2306" s="124"/>
      <c r="L2306" s="124"/>
      <c r="M2306" s="124"/>
      <c r="N2306" s="124"/>
      <c r="O2306" s="124"/>
      <c r="P2306" s="124"/>
      <c r="Q2306" s="124"/>
      <c r="R2306" s="124"/>
      <c r="S2306" s="124"/>
      <c r="T2306" s="124"/>
      <c r="U2306" s="124"/>
      <c r="V2306" s="124"/>
      <c r="W2306" s="124"/>
      <c r="X2306" s="124"/>
      <c r="Y2306" s="124"/>
      <c r="Z2306" s="124"/>
    </row>
    <row r="2307">
      <c r="A2307" s="124"/>
      <c r="B2307" s="124"/>
      <c r="C2307" s="147"/>
      <c r="D2307" s="124"/>
      <c r="E2307" s="124"/>
      <c r="F2307" s="124"/>
      <c r="G2307" s="124"/>
      <c r="H2307" s="124"/>
      <c r="I2307" s="124"/>
      <c r="J2307" s="124"/>
      <c r="K2307" s="124"/>
      <c r="L2307" s="124"/>
      <c r="M2307" s="124"/>
      <c r="N2307" s="124"/>
      <c r="O2307" s="124"/>
      <c r="P2307" s="124"/>
      <c r="Q2307" s="124"/>
      <c r="R2307" s="124"/>
      <c r="S2307" s="124"/>
      <c r="T2307" s="124"/>
      <c r="U2307" s="124"/>
      <c r="V2307" s="124"/>
      <c r="W2307" s="124"/>
      <c r="X2307" s="124"/>
      <c r="Y2307" s="124"/>
      <c r="Z2307" s="124"/>
    </row>
    <row r="2308">
      <c r="A2308" s="124"/>
      <c r="B2308" s="124"/>
      <c r="C2308" s="147"/>
      <c r="D2308" s="124"/>
      <c r="E2308" s="124"/>
      <c r="F2308" s="124"/>
      <c r="G2308" s="124"/>
      <c r="H2308" s="124"/>
      <c r="I2308" s="124"/>
      <c r="J2308" s="124"/>
      <c r="K2308" s="124"/>
      <c r="L2308" s="124"/>
      <c r="M2308" s="124"/>
      <c r="N2308" s="124"/>
      <c r="O2308" s="124"/>
      <c r="P2308" s="124"/>
      <c r="Q2308" s="124"/>
      <c r="R2308" s="124"/>
      <c r="S2308" s="124"/>
      <c r="T2308" s="124"/>
      <c r="U2308" s="124"/>
      <c r="V2308" s="124"/>
      <c r="W2308" s="124"/>
      <c r="X2308" s="124"/>
      <c r="Y2308" s="124"/>
      <c r="Z2308" s="124"/>
    </row>
    <row r="2309">
      <c r="A2309" s="124"/>
      <c r="B2309" s="124"/>
      <c r="C2309" s="147"/>
      <c r="D2309" s="124"/>
      <c r="E2309" s="124"/>
      <c r="F2309" s="124"/>
      <c r="G2309" s="124"/>
      <c r="H2309" s="124"/>
      <c r="I2309" s="124"/>
      <c r="J2309" s="124"/>
      <c r="K2309" s="124"/>
      <c r="L2309" s="124"/>
      <c r="M2309" s="124"/>
      <c r="N2309" s="124"/>
      <c r="O2309" s="124"/>
      <c r="P2309" s="124"/>
      <c r="Q2309" s="124"/>
      <c r="R2309" s="124"/>
      <c r="S2309" s="124"/>
      <c r="T2309" s="124"/>
      <c r="U2309" s="124"/>
      <c r="V2309" s="124"/>
      <c r="W2309" s="124"/>
      <c r="X2309" s="124"/>
      <c r="Y2309" s="124"/>
      <c r="Z2309" s="124"/>
    </row>
    <row r="2310">
      <c r="A2310" s="124"/>
      <c r="B2310" s="124"/>
      <c r="C2310" s="147"/>
      <c r="D2310" s="124"/>
      <c r="E2310" s="124"/>
      <c r="F2310" s="124"/>
      <c r="G2310" s="124"/>
      <c r="H2310" s="124"/>
      <c r="I2310" s="124"/>
      <c r="J2310" s="124"/>
      <c r="K2310" s="124"/>
      <c r="L2310" s="124"/>
      <c r="M2310" s="124"/>
      <c r="N2310" s="124"/>
      <c r="O2310" s="124"/>
      <c r="P2310" s="124"/>
      <c r="Q2310" s="124"/>
      <c r="R2310" s="124"/>
      <c r="S2310" s="124"/>
      <c r="T2310" s="124"/>
      <c r="U2310" s="124"/>
      <c r="V2310" s="124"/>
      <c r="W2310" s="124"/>
      <c r="X2310" s="124"/>
      <c r="Y2310" s="124"/>
      <c r="Z2310" s="124"/>
    </row>
    <row r="2311">
      <c r="A2311" s="124"/>
      <c r="B2311" s="124"/>
      <c r="C2311" s="147"/>
      <c r="D2311" s="124"/>
      <c r="E2311" s="124"/>
      <c r="F2311" s="124"/>
      <c r="G2311" s="124"/>
      <c r="H2311" s="124"/>
      <c r="I2311" s="124"/>
      <c r="J2311" s="124"/>
      <c r="K2311" s="124"/>
      <c r="L2311" s="124"/>
      <c r="M2311" s="124"/>
      <c r="N2311" s="124"/>
      <c r="O2311" s="124"/>
      <c r="P2311" s="124"/>
      <c r="Q2311" s="124"/>
      <c r="R2311" s="124"/>
      <c r="S2311" s="124"/>
      <c r="T2311" s="124"/>
      <c r="U2311" s="124"/>
      <c r="V2311" s="124"/>
      <c r="W2311" s="124"/>
      <c r="X2311" s="124"/>
      <c r="Y2311" s="124"/>
      <c r="Z2311" s="124"/>
    </row>
    <row r="2312">
      <c r="A2312" s="124"/>
      <c r="B2312" s="124"/>
      <c r="C2312" s="147"/>
      <c r="D2312" s="124"/>
      <c r="E2312" s="124"/>
      <c r="F2312" s="124"/>
      <c r="G2312" s="124"/>
      <c r="H2312" s="124"/>
      <c r="I2312" s="124"/>
      <c r="J2312" s="124"/>
      <c r="K2312" s="124"/>
      <c r="L2312" s="124"/>
      <c r="M2312" s="124"/>
      <c r="N2312" s="124"/>
      <c r="O2312" s="124"/>
      <c r="P2312" s="124"/>
      <c r="Q2312" s="124"/>
      <c r="R2312" s="124"/>
      <c r="S2312" s="124"/>
      <c r="T2312" s="124"/>
      <c r="U2312" s="124"/>
      <c r="V2312" s="124"/>
      <c r="W2312" s="124"/>
      <c r="X2312" s="124"/>
      <c r="Y2312" s="124"/>
      <c r="Z2312" s="124"/>
    </row>
    <row r="2313">
      <c r="A2313" s="124"/>
      <c r="B2313" s="124"/>
      <c r="C2313" s="147"/>
      <c r="D2313" s="124"/>
      <c r="E2313" s="124"/>
      <c r="F2313" s="124"/>
      <c r="G2313" s="124"/>
      <c r="H2313" s="124"/>
      <c r="I2313" s="124"/>
      <c r="J2313" s="124"/>
      <c r="K2313" s="124"/>
      <c r="L2313" s="124"/>
      <c r="M2313" s="124"/>
      <c r="N2313" s="124"/>
      <c r="O2313" s="124"/>
      <c r="P2313" s="124"/>
      <c r="Q2313" s="124"/>
      <c r="R2313" s="124"/>
      <c r="S2313" s="124"/>
      <c r="T2313" s="124"/>
      <c r="U2313" s="124"/>
      <c r="V2313" s="124"/>
      <c r="W2313" s="124"/>
      <c r="X2313" s="124"/>
      <c r="Y2313" s="124"/>
      <c r="Z2313" s="124"/>
    </row>
    <row r="2314">
      <c r="A2314" s="124"/>
      <c r="B2314" s="124"/>
      <c r="C2314" s="147"/>
      <c r="D2314" s="124"/>
      <c r="E2314" s="124"/>
      <c r="F2314" s="124"/>
      <c r="G2314" s="124"/>
      <c r="H2314" s="124"/>
      <c r="I2314" s="124"/>
      <c r="J2314" s="124"/>
      <c r="K2314" s="124"/>
      <c r="L2314" s="124"/>
      <c r="M2314" s="124"/>
      <c r="N2314" s="124"/>
      <c r="O2314" s="124"/>
      <c r="P2314" s="124"/>
      <c r="Q2314" s="124"/>
      <c r="R2314" s="124"/>
      <c r="S2314" s="124"/>
      <c r="T2314" s="124"/>
      <c r="U2314" s="124"/>
      <c r="V2314" s="124"/>
      <c r="W2314" s="124"/>
      <c r="X2314" s="124"/>
      <c r="Y2314" s="124"/>
      <c r="Z2314" s="124"/>
    </row>
    <row r="2315">
      <c r="A2315" s="124"/>
      <c r="B2315" s="124"/>
      <c r="C2315" s="147"/>
      <c r="D2315" s="124"/>
      <c r="E2315" s="124"/>
      <c r="F2315" s="124"/>
      <c r="G2315" s="124"/>
      <c r="H2315" s="124"/>
      <c r="I2315" s="124"/>
      <c r="J2315" s="124"/>
      <c r="K2315" s="124"/>
      <c r="L2315" s="124"/>
      <c r="M2315" s="124"/>
      <c r="N2315" s="124"/>
      <c r="O2315" s="124"/>
      <c r="P2315" s="124"/>
      <c r="Q2315" s="124"/>
      <c r="R2315" s="124"/>
      <c r="S2315" s="124"/>
      <c r="T2315" s="124"/>
      <c r="U2315" s="124"/>
      <c r="V2315" s="124"/>
      <c r="W2315" s="124"/>
      <c r="X2315" s="124"/>
      <c r="Y2315" s="124"/>
      <c r="Z2315" s="124"/>
    </row>
    <row r="2316">
      <c r="A2316" s="124"/>
      <c r="B2316" s="124"/>
      <c r="C2316" s="147"/>
      <c r="D2316" s="124"/>
      <c r="E2316" s="124"/>
      <c r="F2316" s="124"/>
      <c r="G2316" s="124"/>
      <c r="H2316" s="124"/>
      <c r="I2316" s="124"/>
      <c r="J2316" s="124"/>
      <c r="K2316" s="124"/>
      <c r="L2316" s="124"/>
      <c r="M2316" s="124"/>
      <c r="N2316" s="124"/>
      <c r="O2316" s="124"/>
      <c r="P2316" s="124"/>
      <c r="Q2316" s="124"/>
      <c r="R2316" s="124"/>
      <c r="S2316" s="124"/>
      <c r="T2316" s="124"/>
      <c r="U2316" s="124"/>
      <c r="V2316" s="124"/>
      <c r="W2316" s="124"/>
      <c r="X2316" s="124"/>
      <c r="Y2316" s="124"/>
      <c r="Z2316" s="124"/>
    </row>
    <row r="2317">
      <c r="A2317" s="124"/>
      <c r="B2317" s="124"/>
      <c r="C2317" s="147"/>
      <c r="D2317" s="124"/>
      <c r="E2317" s="124"/>
      <c r="F2317" s="124"/>
      <c r="G2317" s="124"/>
      <c r="H2317" s="124"/>
      <c r="I2317" s="124"/>
      <c r="J2317" s="124"/>
      <c r="K2317" s="124"/>
      <c r="L2317" s="124"/>
      <c r="M2317" s="124"/>
      <c r="N2317" s="124"/>
      <c r="O2317" s="124"/>
      <c r="P2317" s="124"/>
      <c r="Q2317" s="124"/>
      <c r="R2317" s="124"/>
      <c r="S2317" s="124"/>
      <c r="T2317" s="124"/>
      <c r="U2317" s="124"/>
      <c r="V2317" s="124"/>
      <c r="W2317" s="124"/>
      <c r="X2317" s="124"/>
      <c r="Y2317" s="124"/>
      <c r="Z2317" s="124"/>
    </row>
    <row r="2318">
      <c r="A2318" s="124"/>
      <c r="B2318" s="124"/>
      <c r="C2318" s="147"/>
      <c r="D2318" s="124"/>
      <c r="E2318" s="124"/>
      <c r="F2318" s="124"/>
      <c r="G2318" s="124"/>
      <c r="H2318" s="124"/>
      <c r="I2318" s="124"/>
      <c r="J2318" s="124"/>
      <c r="K2318" s="124"/>
      <c r="L2318" s="124"/>
      <c r="M2318" s="124"/>
      <c r="N2318" s="124"/>
      <c r="O2318" s="124"/>
      <c r="P2318" s="124"/>
      <c r="Q2318" s="124"/>
      <c r="R2318" s="124"/>
      <c r="S2318" s="124"/>
      <c r="T2318" s="124"/>
      <c r="U2318" s="124"/>
      <c r="V2318" s="124"/>
      <c r="W2318" s="124"/>
      <c r="X2318" s="124"/>
      <c r="Y2318" s="124"/>
      <c r="Z2318" s="124"/>
    </row>
    <row r="2319">
      <c r="A2319" s="124"/>
      <c r="B2319" s="124"/>
      <c r="C2319" s="147"/>
      <c r="D2319" s="124"/>
      <c r="E2319" s="124"/>
      <c r="F2319" s="124"/>
      <c r="G2319" s="124"/>
      <c r="H2319" s="124"/>
      <c r="I2319" s="124"/>
      <c r="J2319" s="124"/>
      <c r="K2319" s="124"/>
      <c r="L2319" s="124"/>
      <c r="M2319" s="124"/>
      <c r="N2319" s="124"/>
      <c r="O2319" s="124"/>
      <c r="P2319" s="124"/>
      <c r="Q2319" s="124"/>
      <c r="R2319" s="124"/>
      <c r="S2319" s="124"/>
      <c r="T2319" s="124"/>
      <c r="U2319" s="124"/>
      <c r="V2319" s="124"/>
      <c r="W2319" s="124"/>
      <c r="X2319" s="124"/>
      <c r="Y2319" s="124"/>
      <c r="Z2319" s="124"/>
    </row>
    <row r="2320">
      <c r="A2320" s="124"/>
      <c r="B2320" s="124"/>
      <c r="C2320" s="147"/>
      <c r="D2320" s="124"/>
      <c r="E2320" s="124"/>
      <c r="F2320" s="124"/>
      <c r="G2320" s="124"/>
      <c r="H2320" s="124"/>
      <c r="I2320" s="124"/>
      <c r="J2320" s="124"/>
      <c r="K2320" s="124"/>
      <c r="L2320" s="124"/>
      <c r="M2320" s="124"/>
      <c r="N2320" s="124"/>
      <c r="O2320" s="124"/>
      <c r="P2320" s="124"/>
      <c r="Q2320" s="124"/>
      <c r="R2320" s="124"/>
      <c r="S2320" s="124"/>
      <c r="T2320" s="124"/>
      <c r="U2320" s="124"/>
      <c r="V2320" s="124"/>
      <c r="W2320" s="124"/>
      <c r="X2320" s="124"/>
      <c r="Y2320" s="124"/>
      <c r="Z2320" s="124"/>
    </row>
    <row r="2321">
      <c r="A2321" s="124"/>
      <c r="B2321" s="124"/>
      <c r="C2321" s="147"/>
      <c r="D2321" s="124"/>
      <c r="E2321" s="124"/>
      <c r="F2321" s="124"/>
      <c r="G2321" s="124"/>
      <c r="H2321" s="124"/>
      <c r="I2321" s="124"/>
      <c r="J2321" s="124"/>
      <c r="K2321" s="124"/>
      <c r="L2321" s="124"/>
      <c r="M2321" s="124"/>
      <c r="N2321" s="124"/>
      <c r="O2321" s="124"/>
      <c r="P2321" s="124"/>
      <c r="Q2321" s="124"/>
      <c r="R2321" s="124"/>
      <c r="S2321" s="124"/>
      <c r="T2321" s="124"/>
      <c r="U2321" s="124"/>
      <c r="V2321" s="124"/>
      <c r="W2321" s="124"/>
      <c r="X2321" s="124"/>
      <c r="Y2321" s="124"/>
      <c r="Z2321" s="124"/>
    </row>
    <row r="2322">
      <c r="A2322" s="124"/>
      <c r="B2322" s="124"/>
      <c r="C2322" s="147"/>
      <c r="D2322" s="124"/>
      <c r="E2322" s="124"/>
      <c r="F2322" s="124"/>
      <c r="G2322" s="124"/>
      <c r="H2322" s="124"/>
      <c r="I2322" s="124"/>
      <c r="J2322" s="124"/>
      <c r="K2322" s="124"/>
      <c r="L2322" s="124"/>
      <c r="M2322" s="124"/>
      <c r="N2322" s="124"/>
      <c r="O2322" s="124"/>
      <c r="P2322" s="124"/>
      <c r="Q2322" s="124"/>
      <c r="R2322" s="124"/>
      <c r="S2322" s="124"/>
      <c r="T2322" s="124"/>
      <c r="U2322" s="124"/>
      <c r="V2322" s="124"/>
      <c r="W2322" s="124"/>
      <c r="X2322" s="124"/>
      <c r="Y2322" s="124"/>
      <c r="Z2322" s="124"/>
    </row>
    <row r="2323">
      <c r="A2323" s="124"/>
      <c r="B2323" s="124"/>
      <c r="C2323" s="147"/>
      <c r="D2323" s="124"/>
      <c r="E2323" s="124"/>
      <c r="F2323" s="124"/>
      <c r="G2323" s="124"/>
      <c r="H2323" s="124"/>
      <c r="I2323" s="124"/>
      <c r="J2323" s="124"/>
      <c r="K2323" s="124"/>
      <c r="L2323" s="124"/>
      <c r="M2323" s="124"/>
      <c r="N2323" s="124"/>
      <c r="O2323" s="124"/>
      <c r="P2323" s="124"/>
      <c r="Q2323" s="124"/>
      <c r="R2323" s="124"/>
      <c r="S2323" s="124"/>
      <c r="T2323" s="124"/>
      <c r="U2323" s="124"/>
      <c r="V2323" s="124"/>
      <c r="W2323" s="124"/>
      <c r="X2323" s="124"/>
      <c r="Y2323" s="124"/>
      <c r="Z2323" s="124"/>
    </row>
    <row r="2324">
      <c r="A2324" s="124"/>
      <c r="B2324" s="124"/>
      <c r="C2324" s="147"/>
      <c r="D2324" s="124"/>
      <c r="E2324" s="124"/>
      <c r="F2324" s="124"/>
      <c r="G2324" s="124"/>
      <c r="H2324" s="124"/>
      <c r="I2324" s="124"/>
      <c r="J2324" s="124"/>
      <c r="K2324" s="124"/>
      <c r="L2324" s="124"/>
      <c r="M2324" s="124"/>
      <c r="N2324" s="124"/>
      <c r="O2324" s="124"/>
      <c r="P2324" s="124"/>
      <c r="Q2324" s="124"/>
      <c r="R2324" s="124"/>
      <c r="S2324" s="124"/>
      <c r="T2324" s="124"/>
      <c r="U2324" s="124"/>
      <c r="V2324" s="124"/>
      <c r="W2324" s="124"/>
      <c r="X2324" s="124"/>
      <c r="Y2324" s="124"/>
      <c r="Z2324" s="124"/>
    </row>
    <row r="2325">
      <c r="A2325" s="124"/>
      <c r="B2325" s="124"/>
      <c r="C2325" s="147"/>
      <c r="D2325" s="124"/>
      <c r="E2325" s="124"/>
      <c r="F2325" s="124"/>
      <c r="G2325" s="124"/>
      <c r="H2325" s="124"/>
      <c r="I2325" s="124"/>
      <c r="J2325" s="124"/>
      <c r="K2325" s="124"/>
      <c r="L2325" s="124"/>
      <c r="M2325" s="124"/>
      <c r="N2325" s="124"/>
      <c r="O2325" s="124"/>
      <c r="P2325" s="124"/>
      <c r="Q2325" s="124"/>
      <c r="R2325" s="124"/>
      <c r="S2325" s="124"/>
      <c r="T2325" s="124"/>
      <c r="U2325" s="124"/>
      <c r="V2325" s="124"/>
      <c r="W2325" s="124"/>
      <c r="X2325" s="124"/>
      <c r="Y2325" s="124"/>
      <c r="Z2325" s="124"/>
    </row>
    <row r="2326">
      <c r="A2326" s="124"/>
      <c r="B2326" s="124"/>
      <c r="C2326" s="147"/>
      <c r="D2326" s="124"/>
      <c r="E2326" s="124"/>
      <c r="F2326" s="124"/>
      <c r="G2326" s="124"/>
      <c r="H2326" s="124"/>
      <c r="I2326" s="124"/>
      <c r="J2326" s="124"/>
      <c r="K2326" s="124"/>
      <c r="L2326" s="124"/>
      <c r="M2326" s="124"/>
      <c r="N2326" s="124"/>
      <c r="O2326" s="124"/>
      <c r="P2326" s="124"/>
      <c r="Q2326" s="124"/>
      <c r="R2326" s="124"/>
      <c r="S2326" s="124"/>
      <c r="T2326" s="124"/>
      <c r="U2326" s="124"/>
      <c r="V2326" s="124"/>
      <c r="W2326" s="124"/>
      <c r="X2326" s="124"/>
      <c r="Y2326" s="124"/>
      <c r="Z2326" s="124"/>
    </row>
    <row r="2327">
      <c r="A2327" s="124"/>
      <c r="B2327" s="124"/>
      <c r="C2327" s="147"/>
      <c r="D2327" s="124"/>
      <c r="E2327" s="124"/>
      <c r="F2327" s="124"/>
      <c r="G2327" s="124"/>
      <c r="H2327" s="124"/>
      <c r="I2327" s="124"/>
      <c r="J2327" s="124"/>
      <c r="K2327" s="124"/>
      <c r="L2327" s="124"/>
      <c r="M2327" s="124"/>
      <c r="N2327" s="124"/>
      <c r="O2327" s="124"/>
      <c r="P2327" s="124"/>
      <c r="Q2327" s="124"/>
      <c r="R2327" s="124"/>
      <c r="S2327" s="124"/>
      <c r="T2327" s="124"/>
      <c r="U2327" s="124"/>
      <c r="V2327" s="124"/>
      <c r="W2327" s="124"/>
      <c r="X2327" s="124"/>
      <c r="Y2327" s="124"/>
      <c r="Z2327" s="124"/>
    </row>
    <row r="2328">
      <c r="A2328" s="124"/>
      <c r="B2328" s="124"/>
      <c r="C2328" s="147"/>
      <c r="D2328" s="124"/>
      <c r="E2328" s="124"/>
      <c r="F2328" s="124"/>
      <c r="G2328" s="124"/>
      <c r="H2328" s="124"/>
      <c r="I2328" s="124"/>
      <c r="J2328" s="124"/>
      <c r="K2328" s="124"/>
      <c r="L2328" s="124"/>
      <c r="M2328" s="124"/>
      <c r="N2328" s="124"/>
      <c r="O2328" s="124"/>
      <c r="P2328" s="124"/>
      <c r="Q2328" s="124"/>
      <c r="R2328" s="124"/>
      <c r="S2328" s="124"/>
      <c r="T2328" s="124"/>
      <c r="U2328" s="124"/>
      <c r="V2328" s="124"/>
      <c r="W2328" s="124"/>
      <c r="X2328" s="124"/>
      <c r="Y2328" s="124"/>
      <c r="Z2328" s="124"/>
    </row>
    <row r="2329">
      <c r="A2329" s="124"/>
      <c r="B2329" s="124"/>
      <c r="C2329" s="147"/>
      <c r="D2329" s="124"/>
      <c r="E2329" s="124"/>
      <c r="F2329" s="124"/>
      <c r="G2329" s="124"/>
      <c r="H2329" s="124"/>
      <c r="I2329" s="124"/>
      <c r="J2329" s="124"/>
      <c r="K2329" s="124"/>
      <c r="L2329" s="124"/>
      <c r="M2329" s="124"/>
      <c r="N2329" s="124"/>
      <c r="O2329" s="124"/>
      <c r="P2329" s="124"/>
      <c r="Q2329" s="124"/>
      <c r="R2329" s="124"/>
      <c r="S2329" s="124"/>
      <c r="T2329" s="124"/>
      <c r="U2329" s="124"/>
      <c r="V2329" s="124"/>
      <c r="W2329" s="124"/>
      <c r="X2329" s="124"/>
      <c r="Y2329" s="124"/>
      <c r="Z2329" s="124"/>
    </row>
    <row r="2330">
      <c r="A2330" s="124"/>
      <c r="B2330" s="124"/>
      <c r="C2330" s="147"/>
      <c r="D2330" s="124"/>
      <c r="E2330" s="124"/>
      <c r="F2330" s="124"/>
      <c r="G2330" s="124"/>
      <c r="H2330" s="124"/>
      <c r="I2330" s="124"/>
      <c r="J2330" s="124"/>
      <c r="K2330" s="124"/>
      <c r="L2330" s="124"/>
      <c r="M2330" s="124"/>
      <c r="N2330" s="124"/>
      <c r="O2330" s="124"/>
      <c r="P2330" s="124"/>
      <c r="Q2330" s="124"/>
      <c r="R2330" s="124"/>
      <c r="S2330" s="124"/>
      <c r="T2330" s="124"/>
      <c r="U2330" s="124"/>
      <c r="V2330" s="124"/>
      <c r="W2330" s="124"/>
      <c r="X2330" s="124"/>
      <c r="Y2330" s="124"/>
      <c r="Z2330" s="124"/>
    </row>
    <row r="2331">
      <c r="A2331" s="124"/>
      <c r="B2331" s="124"/>
      <c r="C2331" s="147"/>
      <c r="D2331" s="124"/>
      <c r="E2331" s="124"/>
      <c r="F2331" s="124"/>
      <c r="G2331" s="124"/>
      <c r="H2331" s="124"/>
      <c r="I2331" s="124"/>
      <c r="J2331" s="124"/>
      <c r="K2331" s="124"/>
      <c r="L2331" s="124"/>
      <c r="M2331" s="124"/>
      <c r="N2331" s="124"/>
      <c r="O2331" s="124"/>
      <c r="P2331" s="124"/>
      <c r="Q2331" s="124"/>
      <c r="R2331" s="124"/>
      <c r="S2331" s="124"/>
      <c r="T2331" s="124"/>
      <c r="U2331" s="124"/>
      <c r="V2331" s="124"/>
      <c r="W2331" s="124"/>
      <c r="X2331" s="124"/>
      <c r="Y2331" s="124"/>
      <c r="Z2331" s="124"/>
    </row>
    <row r="2332">
      <c r="A2332" s="124"/>
      <c r="B2332" s="124"/>
      <c r="C2332" s="147"/>
      <c r="D2332" s="124"/>
      <c r="E2332" s="124"/>
      <c r="F2332" s="124"/>
      <c r="G2332" s="124"/>
      <c r="H2332" s="124"/>
      <c r="I2332" s="124"/>
      <c r="J2332" s="124"/>
      <c r="K2332" s="124"/>
      <c r="L2332" s="124"/>
      <c r="M2332" s="124"/>
      <c r="N2332" s="124"/>
      <c r="O2332" s="124"/>
      <c r="P2332" s="124"/>
      <c r="Q2332" s="124"/>
      <c r="R2332" s="124"/>
      <c r="S2332" s="124"/>
      <c r="T2332" s="124"/>
      <c r="U2332" s="124"/>
      <c r="V2332" s="124"/>
      <c r="W2332" s="124"/>
      <c r="X2332" s="124"/>
      <c r="Y2332" s="124"/>
      <c r="Z2332" s="124"/>
    </row>
    <row r="2333">
      <c r="A2333" s="124"/>
      <c r="B2333" s="124"/>
      <c r="C2333" s="147"/>
      <c r="D2333" s="124"/>
      <c r="E2333" s="124"/>
      <c r="F2333" s="124"/>
      <c r="G2333" s="124"/>
      <c r="H2333" s="124"/>
      <c r="I2333" s="124"/>
      <c r="J2333" s="124"/>
      <c r="K2333" s="124"/>
      <c r="L2333" s="124"/>
      <c r="M2333" s="124"/>
      <c r="N2333" s="124"/>
      <c r="O2333" s="124"/>
      <c r="P2333" s="124"/>
      <c r="Q2333" s="124"/>
      <c r="R2333" s="124"/>
      <c r="S2333" s="124"/>
      <c r="T2333" s="124"/>
      <c r="U2333" s="124"/>
      <c r="V2333" s="124"/>
      <c r="W2333" s="124"/>
      <c r="X2333" s="124"/>
      <c r="Y2333" s="124"/>
      <c r="Z2333" s="124"/>
    </row>
    <row r="2334">
      <c r="A2334" s="124"/>
      <c r="B2334" s="124"/>
      <c r="C2334" s="147"/>
      <c r="D2334" s="124"/>
      <c r="E2334" s="124"/>
      <c r="F2334" s="124"/>
      <c r="G2334" s="124"/>
      <c r="H2334" s="124"/>
      <c r="I2334" s="124"/>
      <c r="J2334" s="124"/>
      <c r="K2334" s="124"/>
      <c r="L2334" s="124"/>
      <c r="M2334" s="124"/>
      <c r="N2334" s="124"/>
      <c r="O2334" s="124"/>
      <c r="P2334" s="124"/>
      <c r="Q2334" s="124"/>
      <c r="R2334" s="124"/>
      <c r="S2334" s="124"/>
      <c r="T2334" s="124"/>
      <c r="U2334" s="124"/>
      <c r="V2334" s="124"/>
      <c r="W2334" s="124"/>
      <c r="X2334" s="124"/>
      <c r="Y2334" s="124"/>
      <c r="Z2334" s="124"/>
    </row>
    <row r="2335">
      <c r="A2335" s="124"/>
      <c r="B2335" s="124"/>
      <c r="C2335" s="147"/>
      <c r="D2335" s="124"/>
      <c r="E2335" s="124"/>
      <c r="F2335" s="124"/>
      <c r="G2335" s="124"/>
      <c r="H2335" s="124"/>
      <c r="I2335" s="124"/>
      <c r="J2335" s="124"/>
      <c r="K2335" s="124"/>
      <c r="L2335" s="124"/>
      <c r="M2335" s="124"/>
      <c r="N2335" s="124"/>
      <c r="O2335" s="124"/>
      <c r="P2335" s="124"/>
      <c r="Q2335" s="124"/>
      <c r="R2335" s="124"/>
      <c r="S2335" s="124"/>
      <c r="T2335" s="124"/>
      <c r="U2335" s="124"/>
      <c r="V2335" s="124"/>
      <c r="W2335" s="124"/>
      <c r="X2335" s="124"/>
      <c r="Y2335" s="124"/>
      <c r="Z2335" s="124"/>
    </row>
    <row r="2336">
      <c r="A2336" s="124"/>
      <c r="B2336" s="124"/>
      <c r="C2336" s="147"/>
      <c r="D2336" s="124"/>
      <c r="E2336" s="124"/>
      <c r="F2336" s="124"/>
      <c r="G2336" s="124"/>
      <c r="H2336" s="124"/>
      <c r="I2336" s="124"/>
      <c r="J2336" s="124"/>
      <c r="K2336" s="124"/>
      <c r="L2336" s="124"/>
      <c r="M2336" s="124"/>
      <c r="N2336" s="124"/>
      <c r="O2336" s="124"/>
      <c r="P2336" s="124"/>
      <c r="Q2336" s="124"/>
      <c r="R2336" s="124"/>
      <c r="S2336" s="124"/>
      <c r="T2336" s="124"/>
      <c r="U2336" s="124"/>
      <c r="V2336" s="124"/>
      <c r="W2336" s="124"/>
      <c r="X2336" s="124"/>
      <c r="Y2336" s="124"/>
      <c r="Z2336" s="124"/>
    </row>
    <row r="2337">
      <c r="A2337" s="124"/>
      <c r="B2337" s="124"/>
      <c r="C2337" s="147"/>
      <c r="D2337" s="124"/>
      <c r="E2337" s="124"/>
      <c r="F2337" s="124"/>
      <c r="G2337" s="124"/>
      <c r="H2337" s="124"/>
      <c r="I2337" s="124"/>
      <c r="J2337" s="124"/>
      <c r="K2337" s="124"/>
      <c r="L2337" s="124"/>
      <c r="M2337" s="124"/>
      <c r="N2337" s="124"/>
      <c r="O2337" s="124"/>
      <c r="P2337" s="124"/>
      <c r="Q2337" s="124"/>
      <c r="R2337" s="124"/>
      <c r="S2337" s="124"/>
      <c r="T2337" s="124"/>
      <c r="U2337" s="124"/>
      <c r="V2337" s="124"/>
      <c r="W2337" s="124"/>
      <c r="X2337" s="124"/>
      <c r="Y2337" s="124"/>
      <c r="Z2337" s="124"/>
    </row>
    <row r="2338">
      <c r="A2338" s="124"/>
      <c r="B2338" s="124"/>
      <c r="C2338" s="147"/>
      <c r="D2338" s="124"/>
      <c r="E2338" s="124"/>
      <c r="F2338" s="124"/>
      <c r="G2338" s="124"/>
      <c r="H2338" s="124"/>
      <c r="I2338" s="124"/>
      <c r="J2338" s="124"/>
      <c r="K2338" s="124"/>
      <c r="L2338" s="124"/>
      <c r="M2338" s="124"/>
      <c r="N2338" s="124"/>
      <c r="O2338" s="124"/>
      <c r="P2338" s="124"/>
      <c r="Q2338" s="124"/>
      <c r="R2338" s="124"/>
      <c r="S2338" s="124"/>
      <c r="T2338" s="124"/>
      <c r="U2338" s="124"/>
      <c r="V2338" s="124"/>
      <c r="W2338" s="124"/>
      <c r="X2338" s="124"/>
      <c r="Y2338" s="124"/>
      <c r="Z2338" s="124"/>
    </row>
    <row r="2339">
      <c r="A2339" s="124"/>
      <c r="B2339" s="124"/>
      <c r="C2339" s="147"/>
      <c r="D2339" s="124"/>
      <c r="E2339" s="124"/>
      <c r="F2339" s="124"/>
      <c r="G2339" s="124"/>
      <c r="H2339" s="124"/>
      <c r="I2339" s="124"/>
      <c r="J2339" s="124"/>
      <c r="K2339" s="124"/>
      <c r="L2339" s="124"/>
      <c r="M2339" s="124"/>
      <c r="N2339" s="124"/>
      <c r="O2339" s="124"/>
      <c r="P2339" s="124"/>
      <c r="Q2339" s="124"/>
      <c r="R2339" s="124"/>
      <c r="S2339" s="124"/>
      <c r="T2339" s="124"/>
      <c r="U2339" s="124"/>
      <c r="V2339" s="124"/>
      <c r="W2339" s="124"/>
      <c r="X2339" s="124"/>
      <c r="Y2339" s="124"/>
      <c r="Z2339" s="124"/>
    </row>
    <row r="2340">
      <c r="A2340" s="124"/>
      <c r="B2340" s="124"/>
      <c r="C2340" s="147"/>
      <c r="D2340" s="124"/>
      <c r="E2340" s="124"/>
      <c r="F2340" s="124"/>
      <c r="G2340" s="124"/>
      <c r="H2340" s="124"/>
      <c r="I2340" s="124"/>
      <c r="J2340" s="124"/>
      <c r="K2340" s="124"/>
      <c r="L2340" s="124"/>
      <c r="M2340" s="124"/>
      <c r="N2340" s="124"/>
      <c r="O2340" s="124"/>
      <c r="P2340" s="124"/>
      <c r="Q2340" s="124"/>
      <c r="R2340" s="124"/>
      <c r="S2340" s="124"/>
      <c r="T2340" s="124"/>
      <c r="U2340" s="124"/>
      <c r="V2340" s="124"/>
      <c r="W2340" s="124"/>
      <c r="X2340" s="124"/>
      <c r="Y2340" s="124"/>
      <c r="Z2340" s="124"/>
    </row>
    <row r="2341">
      <c r="A2341" s="124"/>
      <c r="B2341" s="124"/>
      <c r="C2341" s="147"/>
      <c r="D2341" s="124"/>
      <c r="E2341" s="124"/>
      <c r="F2341" s="124"/>
      <c r="G2341" s="124"/>
      <c r="H2341" s="124"/>
      <c r="I2341" s="124"/>
      <c r="J2341" s="124"/>
      <c r="K2341" s="124"/>
      <c r="L2341" s="124"/>
      <c r="M2341" s="124"/>
      <c r="N2341" s="124"/>
      <c r="O2341" s="124"/>
      <c r="P2341" s="124"/>
      <c r="Q2341" s="124"/>
      <c r="R2341" s="124"/>
      <c r="S2341" s="124"/>
      <c r="T2341" s="124"/>
      <c r="U2341" s="124"/>
      <c r="V2341" s="124"/>
      <c r="W2341" s="124"/>
      <c r="X2341" s="124"/>
      <c r="Y2341" s="124"/>
      <c r="Z2341" s="124"/>
    </row>
    <row r="2342">
      <c r="A2342" s="124"/>
      <c r="B2342" s="124"/>
      <c r="C2342" s="147"/>
      <c r="D2342" s="124"/>
      <c r="E2342" s="124"/>
      <c r="F2342" s="124"/>
      <c r="G2342" s="124"/>
      <c r="H2342" s="124"/>
      <c r="I2342" s="124"/>
      <c r="J2342" s="124"/>
      <c r="K2342" s="124"/>
      <c r="L2342" s="124"/>
      <c r="M2342" s="124"/>
      <c r="N2342" s="124"/>
      <c r="O2342" s="124"/>
      <c r="P2342" s="124"/>
      <c r="Q2342" s="124"/>
      <c r="R2342" s="124"/>
      <c r="S2342" s="124"/>
      <c r="T2342" s="124"/>
      <c r="U2342" s="124"/>
      <c r="V2342" s="124"/>
      <c r="W2342" s="124"/>
      <c r="X2342" s="124"/>
      <c r="Y2342" s="124"/>
      <c r="Z2342" s="124"/>
    </row>
    <row r="2343">
      <c r="A2343" s="124"/>
      <c r="B2343" s="124"/>
      <c r="C2343" s="147"/>
      <c r="D2343" s="124"/>
      <c r="E2343" s="124"/>
      <c r="F2343" s="124"/>
      <c r="G2343" s="124"/>
      <c r="H2343" s="124"/>
      <c r="I2343" s="124"/>
      <c r="J2343" s="124"/>
      <c r="K2343" s="124"/>
      <c r="L2343" s="124"/>
      <c r="M2343" s="124"/>
      <c r="N2343" s="124"/>
      <c r="O2343" s="124"/>
      <c r="P2343" s="124"/>
      <c r="Q2343" s="124"/>
      <c r="R2343" s="124"/>
      <c r="S2343" s="124"/>
      <c r="T2343" s="124"/>
      <c r="U2343" s="124"/>
      <c r="V2343" s="124"/>
      <c r="W2343" s="124"/>
      <c r="X2343" s="124"/>
      <c r="Y2343" s="124"/>
      <c r="Z2343" s="124"/>
    </row>
    <row r="2344">
      <c r="A2344" s="124"/>
      <c r="B2344" s="124"/>
      <c r="C2344" s="147"/>
      <c r="D2344" s="124"/>
      <c r="E2344" s="124"/>
      <c r="F2344" s="124"/>
      <c r="G2344" s="124"/>
      <c r="H2344" s="124"/>
      <c r="I2344" s="124"/>
      <c r="J2344" s="124"/>
      <c r="K2344" s="124"/>
      <c r="L2344" s="124"/>
      <c r="M2344" s="124"/>
      <c r="N2344" s="124"/>
      <c r="O2344" s="124"/>
      <c r="P2344" s="124"/>
      <c r="Q2344" s="124"/>
      <c r="R2344" s="124"/>
      <c r="S2344" s="124"/>
      <c r="T2344" s="124"/>
      <c r="U2344" s="124"/>
      <c r="V2344" s="124"/>
      <c r="W2344" s="124"/>
      <c r="X2344" s="124"/>
      <c r="Y2344" s="124"/>
      <c r="Z2344" s="124"/>
    </row>
    <row r="2345">
      <c r="A2345" s="124"/>
      <c r="B2345" s="124"/>
      <c r="C2345" s="147"/>
      <c r="D2345" s="124"/>
      <c r="E2345" s="124"/>
      <c r="F2345" s="124"/>
      <c r="G2345" s="124"/>
      <c r="H2345" s="124"/>
      <c r="I2345" s="124"/>
      <c r="J2345" s="124"/>
      <c r="K2345" s="124"/>
      <c r="L2345" s="124"/>
      <c r="M2345" s="124"/>
      <c r="N2345" s="124"/>
      <c r="O2345" s="124"/>
      <c r="P2345" s="124"/>
      <c r="Q2345" s="124"/>
      <c r="R2345" s="124"/>
      <c r="S2345" s="124"/>
      <c r="T2345" s="124"/>
      <c r="U2345" s="124"/>
      <c r="V2345" s="124"/>
      <c r="W2345" s="124"/>
      <c r="X2345" s="124"/>
      <c r="Y2345" s="124"/>
      <c r="Z2345" s="124"/>
    </row>
    <row r="2346">
      <c r="A2346" s="124"/>
      <c r="B2346" s="124"/>
      <c r="C2346" s="147"/>
      <c r="D2346" s="124"/>
      <c r="E2346" s="124"/>
      <c r="F2346" s="124"/>
      <c r="G2346" s="124"/>
      <c r="H2346" s="124"/>
      <c r="I2346" s="124"/>
      <c r="J2346" s="124"/>
      <c r="K2346" s="124"/>
      <c r="L2346" s="124"/>
      <c r="M2346" s="124"/>
      <c r="N2346" s="124"/>
      <c r="O2346" s="124"/>
      <c r="P2346" s="124"/>
      <c r="Q2346" s="124"/>
      <c r="R2346" s="124"/>
      <c r="S2346" s="124"/>
      <c r="T2346" s="124"/>
      <c r="U2346" s="124"/>
      <c r="V2346" s="124"/>
      <c r="W2346" s="124"/>
      <c r="X2346" s="124"/>
      <c r="Y2346" s="124"/>
      <c r="Z2346" s="124"/>
    </row>
    <row r="2347">
      <c r="A2347" s="124"/>
      <c r="B2347" s="124"/>
      <c r="C2347" s="147"/>
      <c r="D2347" s="124"/>
      <c r="E2347" s="124"/>
      <c r="F2347" s="124"/>
      <c r="G2347" s="124"/>
      <c r="H2347" s="124"/>
      <c r="I2347" s="124"/>
      <c r="J2347" s="124"/>
      <c r="K2347" s="124"/>
      <c r="L2347" s="124"/>
      <c r="M2347" s="124"/>
      <c r="N2347" s="124"/>
      <c r="O2347" s="124"/>
      <c r="P2347" s="124"/>
      <c r="Q2347" s="124"/>
      <c r="R2347" s="124"/>
      <c r="S2347" s="124"/>
      <c r="T2347" s="124"/>
      <c r="U2347" s="124"/>
      <c r="V2347" s="124"/>
      <c r="W2347" s="124"/>
      <c r="X2347" s="124"/>
      <c r="Y2347" s="124"/>
      <c r="Z2347" s="124"/>
    </row>
    <row r="2348">
      <c r="A2348" s="124"/>
      <c r="B2348" s="124"/>
      <c r="C2348" s="147"/>
      <c r="D2348" s="124"/>
      <c r="E2348" s="124"/>
      <c r="F2348" s="124"/>
      <c r="G2348" s="124"/>
      <c r="H2348" s="124"/>
      <c r="I2348" s="124"/>
      <c r="J2348" s="124"/>
      <c r="K2348" s="124"/>
      <c r="L2348" s="124"/>
      <c r="M2348" s="124"/>
      <c r="N2348" s="124"/>
      <c r="O2348" s="124"/>
      <c r="P2348" s="124"/>
      <c r="Q2348" s="124"/>
      <c r="R2348" s="124"/>
      <c r="S2348" s="124"/>
      <c r="T2348" s="124"/>
      <c r="U2348" s="124"/>
      <c r="V2348" s="124"/>
      <c r="W2348" s="124"/>
      <c r="X2348" s="124"/>
      <c r="Y2348" s="124"/>
      <c r="Z2348" s="124"/>
    </row>
    <row r="2349">
      <c r="A2349" s="124"/>
      <c r="B2349" s="124"/>
      <c r="C2349" s="147"/>
      <c r="D2349" s="124"/>
      <c r="E2349" s="124"/>
      <c r="F2349" s="124"/>
      <c r="G2349" s="124"/>
      <c r="H2349" s="124"/>
      <c r="I2349" s="124"/>
      <c r="J2349" s="124"/>
      <c r="K2349" s="124"/>
      <c r="L2349" s="124"/>
      <c r="M2349" s="124"/>
      <c r="N2349" s="124"/>
      <c r="O2349" s="124"/>
      <c r="P2349" s="124"/>
      <c r="Q2349" s="124"/>
      <c r="R2349" s="124"/>
      <c r="S2349" s="124"/>
      <c r="T2349" s="124"/>
      <c r="U2349" s="124"/>
      <c r="V2349" s="124"/>
      <c r="W2349" s="124"/>
      <c r="X2349" s="124"/>
      <c r="Y2349" s="124"/>
      <c r="Z2349" s="124"/>
    </row>
    <row r="2350">
      <c r="A2350" s="124"/>
      <c r="B2350" s="124"/>
      <c r="C2350" s="147"/>
      <c r="D2350" s="124"/>
      <c r="E2350" s="124"/>
      <c r="F2350" s="124"/>
      <c r="G2350" s="124"/>
      <c r="H2350" s="124"/>
      <c r="I2350" s="124"/>
      <c r="J2350" s="124"/>
      <c r="K2350" s="124"/>
      <c r="L2350" s="124"/>
      <c r="M2350" s="124"/>
      <c r="N2350" s="124"/>
      <c r="O2350" s="124"/>
      <c r="P2350" s="124"/>
      <c r="Q2350" s="124"/>
      <c r="R2350" s="124"/>
      <c r="S2350" s="124"/>
      <c r="T2350" s="124"/>
      <c r="U2350" s="124"/>
      <c r="V2350" s="124"/>
      <c r="W2350" s="124"/>
      <c r="X2350" s="124"/>
      <c r="Y2350" s="124"/>
      <c r="Z2350" s="124"/>
    </row>
    <row r="2351">
      <c r="A2351" s="124"/>
      <c r="B2351" s="124"/>
      <c r="C2351" s="147"/>
      <c r="D2351" s="124"/>
      <c r="E2351" s="124"/>
      <c r="F2351" s="124"/>
      <c r="G2351" s="124"/>
      <c r="H2351" s="124"/>
      <c r="I2351" s="124"/>
      <c r="J2351" s="124"/>
      <c r="K2351" s="124"/>
      <c r="L2351" s="124"/>
      <c r="M2351" s="124"/>
      <c r="N2351" s="124"/>
      <c r="O2351" s="124"/>
      <c r="P2351" s="124"/>
      <c r="Q2351" s="124"/>
      <c r="R2351" s="124"/>
      <c r="S2351" s="124"/>
      <c r="T2351" s="124"/>
      <c r="U2351" s="124"/>
      <c r="V2351" s="124"/>
      <c r="W2351" s="124"/>
      <c r="X2351" s="124"/>
      <c r="Y2351" s="124"/>
      <c r="Z2351" s="124"/>
    </row>
    <row r="2352">
      <c r="A2352" s="124"/>
      <c r="B2352" s="124"/>
      <c r="C2352" s="147"/>
      <c r="D2352" s="124"/>
      <c r="E2352" s="124"/>
      <c r="F2352" s="124"/>
      <c r="G2352" s="124"/>
      <c r="H2352" s="124"/>
      <c r="I2352" s="124"/>
      <c r="J2352" s="124"/>
      <c r="K2352" s="124"/>
      <c r="L2352" s="124"/>
      <c r="M2352" s="124"/>
      <c r="N2352" s="124"/>
      <c r="O2352" s="124"/>
      <c r="P2352" s="124"/>
      <c r="Q2352" s="124"/>
      <c r="R2352" s="124"/>
      <c r="S2352" s="124"/>
      <c r="T2352" s="124"/>
      <c r="U2352" s="124"/>
      <c r="V2352" s="124"/>
      <c r="W2352" s="124"/>
      <c r="X2352" s="124"/>
      <c r="Y2352" s="124"/>
      <c r="Z2352" s="124"/>
    </row>
    <row r="2353">
      <c r="A2353" s="124"/>
      <c r="B2353" s="124"/>
      <c r="C2353" s="147"/>
      <c r="D2353" s="124"/>
      <c r="E2353" s="124"/>
      <c r="F2353" s="124"/>
      <c r="G2353" s="124"/>
      <c r="H2353" s="124"/>
      <c r="I2353" s="124"/>
      <c r="J2353" s="124"/>
      <c r="K2353" s="124"/>
      <c r="L2353" s="124"/>
      <c r="M2353" s="124"/>
      <c r="N2353" s="124"/>
      <c r="O2353" s="124"/>
      <c r="P2353" s="124"/>
      <c r="Q2353" s="124"/>
      <c r="R2353" s="124"/>
      <c r="S2353" s="124"/>
      <c r="T2353" s="124"/>
      <c r="U2353" s="124"/>
      <c r="V2353" s="124"/>
      <c r="W2353" s="124"/>
      <c r="X2353" s="124"/>
      <c r="Y2353" s="124"/>
      <c r="Z2353" s="124"/>
    </row>
    <row r="2354">
      <c r="A2354" s="124"/>
      <c r="B2354" s="124"/>
      <c r="C2354" s="147"/>
      <c r="D2354" s="124"/>
      <c r="E2354" s="124"/>
      <c r="F2354" s="124"/>
      <c r="G2354" s="124"/>
      <c r="H2354" s="124"/>
      <c r="I2354" s="124"/>
      <c r="J2354" s="124"/>
      <c r="K2354" s="124"/>
      <c r="L2354" s="124"/>
      <c r="M2354" s="124"/>
      <c r="N2354" s="124"/>
      <c r="O2354" s="124"/>
      <c r="P2354" s="124"/>
      <c r="Q2354" s="124"/>
      <c r="R2354" s="124"/>
      <c r="S2354" s="124"/>
      <c r="T2354" s="124"/>
      <c r="U2354" s="124"/>
      <c r="V2354" s="124"/>
      <c r="W2354" s="124"/>
      <c r="X2354" s="124"/>
      <c r="Y2354" s="124"/>
      <c r="Z2354" s="124"/>
    </row>
    <row r="2355">
      <c r="A2355" s="124"/>
      <c r="B2355" s="124"/>
      <c r="C2355" s="147"/>
      <c r="D2355" s="124"/>
      <c r="E2355" s="124"/>
      <c r="F2355" s="124"/>
      <c r="G2355" s="124"/>
      <c r="H2355" s="124"/>
      <c r="I2355" s="124"/>
      <c r="J2355" s="124"/>
      <c r="K2355" s="124"/>
      <c r="L2355" s="124"/>
      <c r="M2355" s="124"/>
      <c r="N2355" s="124"/>
      <c r="O2355" s="124"/>
      <c r="P2355" s="124"/>
      <c r="Q2355" s="124"/>
      <c r="R2355" s="124"/>
      <c r="S2355" s="124"/>
      <c r="T2355" s="124"/>
      <c r="U2355" s="124"/>
      <c r="V2355" s="124"/>
      <c r="W2355" s="124"/>
      <c r="X2355" s="124"/>
      <c r="Y2355" s="124"/>
      <c r="Z2355" s="124"/>
    </row>
    <row r="2356">
      <c r="A2356" s="124"/>
      <c r="B2356" s="124"/>
      <c r="C2356" s="147"/>
      <c r="D2356" s="124"/>
      <c r="E2356" s="124"/>
      <c r="F2356" s="124"/>
      <c r="G2356" s="124"/>
      <c r="H2356" s="124"/>
      <c r="I2356" s="124"/>
      <c r="J2356" s="124"/>
      <c r="K2356" s="124"/>
      <c r="L2356" s="124"/>
      <c r="M2356" s="124"/>
      <c r="N2356" s="124"/>
      <c r="O2356" s="124"/>
      <c r="P2356" s="124"/>
      <c r="Q2356" s="124"/>
      <c r="R2356" s="124"/>
      <c r="S2356" s="124"/>
      <c r="T2356" s="124"/>
      <c r="U2356" s="124"/>
      <c r="V2356" s="124"/>
      <c r="W2356" s="124"/>
      <c r="X2356" s="124"/>
      <c r="Y2356" s="124"/>
      <c r="Z2356" s="124"/>
    </row>
    <row r="2357">
      <c r="A2357" s="124"/>
      <c r="B2357" s="124"/>
      <c r="C2357" s="147"/>
      <c r="D2357" s="124"/>
      <c r="E2357" s="124"/>
      <c r="F2357" s="124"/>
      <c r="G2357" s="124"/>
      <c r="H2357" s="124"/>
      <c r="I2357" s="124"/>
      <c r="J2357" s="124"/>
      <c r="K2357" s="124"/>
      <c r="L2357" s="124"/>
      <c r="M2357" s="124"/>
      <c r="N2357" s="124"/>
      <c r="O2357" s="124"/>
      <c r="P2357" s="124"/>
      <c r="Q2357" s="124"/>
      <c r="R2357" s="124"/>
      <c r="S2357" s="124"/>
      <c r="T2357" s="124"/>
      <c r="U2357" s="124"/>
      <c r="V2357" s="124"/>
      <c r="W2357" s="124"/>
      <c r="X2357" s="124"/>
      <c r="Y2357" s="124"/>
      <c r="Z2357" s="124"/>
    </row>
    <row r="2358">
      <c r="A2358" s="124"/>
      <c r="B2358" s="124"/>
      <c r="C2358" s="147"/>
      <c r="D2358" s="124"/>
      <c r="E2358" s="124"/>
      <c r="F2358" s="124"/>
      <c r="G2358" s="124"/>
      <c r="H2358" s="124"/>
      <c r="I2358" s="124"/>
      <c r="J2358" s="124"/>
      <c r="K2358" s="124"/>
      <c r="L2358" s="124"/>
      <c r="M2358" s="124"/>
      <c r="N2358" s="124"/>
      <c r="O2358" s="124"/>
      <c r="P2358" s="124"/>
      <c r="Q2358" s="124"/>
      <c r="R2358" s="124"/>
      <c r="S2358" s="124"/>
      <c r="T2358" s="124"/>
      <c r="U2358" s="124"/>
      <c r="V2358" s="124"/>
      <c r="W2358" s="124"/>
      <c r="X2358" s="124"/>
      <c r="Y2358" s="124"/>
      <c r="Z2358" s="124"/>
    </row>
    <row r="2359">
      <c r="A2359" s="124"/>
      <c r="B2359" s="124"/>
      <c r="C2359" s="147"/>
      <c r="D2359" s="124"/>
      <c r="E2359" s="124"/>
      <c r="F2359" s="124"/>
      <c r="G2359" s="124"/>
      <c r="H2359" s="124"/>
      <c r="I2359" s="124"/>
      <c r="J2359" s="124"/>
      <c r="K2359" s="124"/>
      <c r="L2359" s="124"/>
      <c r="M2359" s="124"/>
      <c r="N2359" s="124"/>
      <c r="O2359" s="124"/>
      <c r="P2359" s="124"/>
      <c r="Q2359" s="124"/>
      <c r="R2359" s="124"/>
      <c r="S2359" s="124"/>
      <c r="T2359" s="124"/>
      <c r="U2359" s="124"/>
      <c r="V2359" s="124"/>
      <c r="W2359" s="124"/>
      <c r="X2359" s="124"/>
      <c r="Y2359" s="124"/>
      <c r="Z2359" s="124"/>
    </row>
    <row r="2360">
      <c r="A2360" s="124"/>
      <c r="B2360" s="124"/>
      <c r="C2360" s="147"/>
      <c r="D2360" s="124"/>
      <c r="E2360" s="124"/>
      <c r="F2360" s="124"/>
      <c r="G2360" s="124"/>
      <c r="H2360" s="124"/>
      <c r="I2360" s="124"/>
      <c r="J2360" s="124"/>
      <c r="K2360" s="124"/>
      <c r="L2360" s="124"/>
      <c r="M2360" s="124"/>
      <c r="N2360" s="124"/>
      <c r="O2360" s="124"/>
      <c r="P2360" s="124"/>
      <c r="Q2360" s="124"/>
      <c r="R2360" s="124"/>
      <c r="S2360" s="124"/>
      <c r="T2360" s="124"/>
      <c r="U2360" s="124"/>
      <c r="V2360" s="124"/>
      <c r="W2360" s="124"/>
      <c r="X2360" s="124"/>
      <c r="Y2360" s="124"/>
      <c r="Z2360" s="124"/>
    </row>
    <row r="2361">
      <c r="A2361" s="124"/>
      <c r="B2361" s="124"/>
      <c r="C2361" s="147"/>
      <c r="D2361" s="124"/>
      <c r="E2361" s="124"/>
      <c r="F2361" s="124"/>
      <c r="G2361" s="124"/>
      <c r="H2361" s="124"/>
      <c r="I2361" s="124"/>
      <c r="J2361" s="124"/>
      <c r="K2361" s="124"/>
      <c r="L2361" s="124"/>
      <c r="M2361" s="124"/>
      <c r="N2361" s="124"/>
      <c r="O2361" s="124"/>
      <c r="P2361" s="124"/>
      <c r="Q2361" s="124"/>
      <c r="R2361" s="124"/>
      <c r="S2361" s="124"/>
      <c r="T2361" s="124"/>
      <c r="U2361" s="124"/>
      <c r="V2361" s="124"/>
      <c r="W2361" s="124"/>
      <c r="X2361" s="124"/>
      <c r="Y2361" s="124"/>
      <c r="Z2361" s="124"/>
    </row>
    <row r="2362">
      <c r="A2362" s="124"/>
      <c r="B2362" s="124"/>
      <c r="C2362" s="147"/>
      <c r="D2362" s="124"/>
      <c r="E2362" s="124"/>
      <c r="F2362" s="124"/>
      <c r="G2362" s="124"/>
      <c r="H2362" s="124"/>
      <c r="I2362" s="124"/>
      <c r="J2362" s="124"/>
      <c r="K2362" s="124"/>
      <c r="L2362" s="124"/>
      <c r="M2362" s="124"/>
      <c r="N2362" s="124"/>
      <c r="O2362" s="124"/>
      <c r="P2362" s="124"/>
      <c r="Q2362" s="124"/>
      <c r="R2362" s="124"/>
      <c r="S2362" s="124"/>
      <c r="T2362" s="124"/>
      <c r="U2362" s="124"/>
      <c r="V2362" s="124"/>
      <c r="W2362" s="124"/>
      <c r="X2362" s="124"/>
      <c r="Y2362" s="124"/>
      <c r="Z2362" s="124"/>
    </row>
    <row r="2363">
      <c r="A2363" s="124"/>
      <c r="B2363" s="124"/>
      <c r="C2363" s="147"/>
      <c r="D2363" s="124"/>
      <c r="E2363" s="124"/>
      <c r="F2363" s="124"/>
      <c r="G2363" s="124"/>
      <c r="H2363" s="124"/>
      <c r="I2363" s="124"/>
      <c r="J2363" s="124"/>
      <c r="K2363" s="124"/>
      <c r="L2363" s="124"/>
      <c r="M2363" s="124"/>
      <c r="N2363" s="124"/>
      <c r="O2363" s="124"/>
      <c r="P2363" s="124"/>
      <c r="Q2363" s="124"/>
      <c r="R2363" s="124"/>
      <c r="S2363" s="124"/>
      <c r="T2363" s="124"/>
      <c r="U2363" s="124"/>
      <c r="V2363" s="124"/>
      <c r="W2363" s="124"/>
      <c r="X2363" s="124"/>
      <c r="Y2363" s="124"/>
      <c r="Z2363" s="124"/>
    </row>
    <row r="2364">
      <c r="A2364" s="124"/>
      <c r="B2364" s="124"/>
      <c r="C2364" s="147"/>
      <c r="D2364" s="124"/>
      <c r="E2364" s="124"/>
      <c r="F2364" s="124"/>
      <c r="G2364" s="124"/>
      <c r="H2364" s="124"/>
      <c r="I2364" s="124"/>
      <c r="J2364" s="124"/>
      <c r="K2364" s="124"/>
      <c r="L2364" s="124"/>
      <c r="M2364" s="124"/>
      <c r="N2364" s="124"/>
      <c r="O2364" s="124"/>
      <c r="P2364" s="124"/>
      <c r="Q2364" s="124"/>
      <c r="R2364" s="124"/>
      <c r="S2364" s="124"/>
      <c r="T2364" s="124"/>
      <c r="U2364" s="124"/>
      <c r="V2364" s="124"/>
      <c r="W2364" s="124"/>
      <c r="X2364" s="124"/>
      <c r="Y2364" s="124"/>
      <c r="Z2364" s="124"/>
    </row>
    <row r="2365">
      <c r="A2365" s="124"/>
      <c r="B2365" s="124"/>
      <c r="C2365" s="147"/>
      <c r="D2365" s="124"/>
      <c r="E2365" s="124"/>
      <c r="F2365" s="124"/>
      <c r="G2365" s="124"/>
      <c r="H2365" s="124"/>
      <c r="I2365" s="124"/>
      <c r="J2365" s="124"/>
      <c r="K2365" s="124"/>
      <c r="L2365" s="124"/>
      <c r="M2365" s="124"/>
      <c r="N2365" s="124"/>
      <c r="O2365" s="124"/>
      <c r="P2365" s="124"/>
      <c r="Q2365" s="124"/>
      <c r="R2365" s="124"/>
      <c r="S2365" s="124"/>
      <c r="T2365" s="124"/>
      <c r="U2365" s="124"/>
      <c r="V2365" s="124"/>
      <c r="W2365" s="124"/>
      <c r="X2365" s="124"/>
      <c r="Y2365" s="124"/>
      <c r="Z2365" s="124"/>
    </row>
    <row r="2366">
      <c r="A2366" s="124"/>
      <c r="B2366" s="124"/>
      <c r="C2366" s="147"/>
      <c r="D2366" s="124"/>
      <c r="E2366" s="124"/>
      <c r="F2366" s="124"/>
      <c r="G2366" s="124"/>
      <c r="H2366" s="124"/>
      <c r="I2366" s="124"/>
      <c r="J2366" s="124"/>
      <c r="K2366" s="124"/>
      <c r="L2366" s="124"/>
      <c r="M2366" s="124"/>
      <c r="N2366" s="124"/>
      <c r="O2366" s="124"/>
      <c r="P2366" s="124"/>
      <c r="Q2366" s="124"/>
      <c r="R2366" s="124"/>
      <c r="S2366" s="124"/>
      <c r="T2366" s="124"/>
      <c r="U2366" s="124"/>
      <c r="V2366" s="124"/>
      <c r="W2366" s="124"/>
      <c r="X2366" s="124"/>
      <c r="Y2366" s="124"/>
      <c r="Z2366" s="124"/>
    </row>
    <row r="2367">
      <c r="A2367" s="124"/>
      <c r="B2367" s="124"/>
      <c r="C2367" s="147"/>
      <c r="D2367" s="124"/>
      <c r="E2367" s="124"/>
      <c r="F2367" s="124"/>
      <c r="G2367" s="124"/>
      <c r="H2367" s="124"/>
      <c r="I2367" s="124"/>
      <c r="J2367" s="124"/>
      <c r="K2367" s="124"/>
      <c r="L2367" s="124"/>
      <c r="M2367" s="124"/>
      <c r="N2367" s="124"/>
      <c r="O2367" s="124"/>
      <c r="P2367" s="124"/>
      <c r="Q2367" s="124"/>
      <c r="R2367" s="124"/>
      <c r="S2367" s="124"/>
      <c r="T2367" s="124"/>
      <c r="U2367" s="124"/>
      <c r="V2367" s="124"/>
      <c r="W2367" s="124"/>
      <c r="X2367" s="124"/>
      <c r="Y2367" s="124"/>
      <c r="Z2367" s="124"/>
    </row>
    <row r="2368">
      <c r="A2368" s="124"/>
      <c r="B2368" s="124"/>
      <c r="C2368" s="147"/>
      <c r="D2368" s="124"/>
      <c r="E2368" s="124"/>
      <c r="F2368" s="124"/>
      <c r="G2368" s="124"/>
      <c r="H2368" s="124"/>
      <c r="I2368" s="124"/>
      <c r="J2368" s="124"/>
      <c r="K2368" s="124"/>
      <c r="L2368" s="124"/>
      <c r="M2368" s="124"/>
      <c r="N2368" s="124"/>
      <c r="O2368" s="124"/>
      <c r="P2368" s="124"/>
      <c r="Q2368" s="124"/>
      <c r="R2368" s="124"/>
      <c r="S2368" s="124"/>
      <c r="T2368" s="124"/>
      <c r="U2368" s="124"/>
      <c r="V2368" s="124"/>
      <c r="W2368" s="124"/>
      <c r="X2368" s="124"/>
      <c r="Y2368" s="124"/>
      <c r="Z2368" s="124"/>
    </row>
    <row r="2369">
      <c r="A2369" s="124"/>
      <c r="B2369" s="124"/>
      <c r="C2369" s="147"/>
      <c r="D2369" s="124"/>
      <c r="E2369" s="124"/>
      <c r="F2369" s="124"/>
      <c r="G2369" s="124"/>
      <c r="H2369" s="124"/>
      <c r="I2369" s="124"/>
      <c r="J2369" s="124"/>
      <c r="K2369" s="124"/>
      <c r="L2369" s="124"/>
      <c r="M2369" s="124"/>
      <c r="N2369" s="124"/>
      <c r="O2369" s="124"/>
      <c r="P2369" s="124"/>
      <c r="Q2369" s="124"/>
      <c r="R2369" s="124"/>
      <c r="S2369" s="124"/>
      <c r="T2369" s="124"/>
      <c r="U2369" s="124"/>
      <c r="V2369" s="124"/>
      <c r="W2369" s="124"/>
      <c r="X2369" s="124"/>
      <c r="Y2369" s="124"/>
      <c r="Z2369" s="124"/>
    </row>
    <row r="2370">
      <c r="A2370" s="124"/>
      <c r="B2370" s="124"/>
      <c r="C2370" s="147"/>
      <c r="D2370" s="124"/>
      <c r="E2370" s="124"/>
      <c r="F2370" s="124"/>
      <c r="G2370" s="124"/>
      <c r="H2370" s="124"/>
      <c r="I2370" s="124"/>
      <c r="J2370" s="124"/>
      <c r="K2370" s="124"/>
      <c r="L2370" s="124"/>
      <c r="M2370" s="124"/>
      <c r="N2370" s="124"/>
      <c r="O2370" s="124"/>
      <c r="P2370" s="124"/>
      <c r="Q2370" s="124"/>
      <c r="R2370" s="124"/>
      <c r="S2370" s="124"/>
      <c r="T2370" s="124"/>
      <c r="U2370" s="124"/>
      <c r="V2370" s="124"/>
      <c r="W2370" s="124"/>
      <c r="X2370" s="124"/>
      <c r="Y2370" s="124"/>
      <c r="Z2370" s="124"/>
    </row>
    <row r="2371">
      <c r="A2371" s="124"/>
      <c r="B2371" s="124"/>
      <c r="C2371" s="147"/>
      <c r="D2371" s="124"/>
      <c r="E2371" s="124"/>
      <c r="F2371" s="124"/>
      <c r="G2371" s="124"/>
      <c r="H2371" s="124"/>
      <c r="I2371" s="124"/>
      <c r="J2371" s="124"/>
      <c r="K2371" s="124"/>
      <c r="L2371" s="124"/>
      <c r="M2371" s="124"/>
      <c r="N2371" s="124"/>
      <c r="O2371" s="124"/>
      <c r="P2371" s="124"/>
      <c r="Q2371" s="124"/>
      <c r="R2371" s="124"/>
      <c r="S2371" s="124"/>
      <c r="T2371" s="124"/>
      <c r="U2371" s="124"/>
      <c r="V2371" s="124"/>
      <c r="W2371" s="124"/>
      <c r="X2371" s="124"/>
      <c r="Y2371" s="124"/>
      <c r="Z2371" s="124"/>
    </row>
    <row r="2372">
      <c r="A2372" s="124"/>
      <c r="B2372" s="124"/>
      <c r="C2372" s="147"/>
      <c r="D2372" s="124"/>
      <c r="E2372" s="124"/>
      <c r="F2372" s="124"/>
      <c r="G2372" s="124"/>
      <c r="H2372" s="124"/>
      <c r="I2372" s="124"/>
      <c r="J2372" s="124"/>
      <c r="K2372" s="124"/>
      <c r="L2372" s="124"/>
      <c r="M2372" s="124"/>
      <c r="N2372" s="124"/>
      <c r="O2372" s="124"/>
      <c r="P2372" s="124"/>
      <c r="Q2372" s="124"/>
      <c r="R2372" s="124"/>
      <c r="S2372" s="124"/>
      <c r="T2372" s="124"/>
      <c r="U2372" s="124"/>
      <c r="V2372" s="124"/>
      <c r="W2372" s="124"/>
      <c r="X2372" s="124"/>
      <c r="Y2372" s="124"/>
      <c r="Z2372" s="124"/>
    </row>
    <row r="2373">
      <c r="A2373" s="124"/>
      <c r="B2373" s="124"/>
      <c r="C2373" s="147"/>
      <c r="D2373" s="124"/>
      <c r="E2373" s="124"/>
      <c r="F2373" s="124"/>
      <c r="G2373" s="124"/>
      <c r="H2373" s="124"/>
      <c r="I2373" s="124"/>
      <c r="J2373" s="124"/>
      <c r="K2373" s="124"/>
      <c r="L2373" s="124"/>
      <c r="M2373" s="124"/>
      <c r="N2373" s="124"/>
      <c r="O2373" s="124"/>
      <c r="P2373" s="124"/>
      <c r="Q2373" s="124"/>
      <c r="R2373" s="124"/>
      <c r="S2373" s="124"/>
      <c r="T2373" s="124"/>
      <c r="U2373" s="124"/>
      <c r="V2373" s="124"/>
      <c r="W2373" s="124"/>
      <c r="X2373" s="124"/>
      <c r="Y2373" s="124"/>
      <c r="Z2373" s="124"/>
    </row>
    <row r="2374">
      <c r="A2374" s="124"/>
      <c r="B2374" s="124"/>
      <c r="C2374" s="147"/>
      <c r="D2374" s="124"/>
      <c r="E2374" s="124"/>
      <c r="F2374" s="124"/>
      <c r="G2374" s="124"/>
      <c r="H2374" s="124"/>
      <c r="I2374" s="124"/>
      <c r="J2374" s="124"/>
      <c r="K2374" s="124"/>
      <c r="L2374" s="124"/>
      <c r="M2374" s="124"/>
      <c r="N2374" s="124"/>
      <c r="O2374" s="124"/>
      <c r="P2374" s="124"/>
      <c r="Q2374" s="124"/>
      <c r="R2374" s="124"/>
      <c r="S2374" s="124"/>
      <c r="T2374" s="124"/>
      <c r="U2374" s="124"/>
      <c r="V2374" s="124"/>
      <c r="W2374" s="124"/>
      <c r="X2374" s="124"/>
      <c r="Y2374" s="124"/>
      <c r="Z2374" s="124"/>
    </row>
    <row r="2375">
      <c r="A2375" s="124"/>
      <c r="B2375" s="124"/>
      <c r="C2375" s="147"/>
      <c r="D2375" s="124"/>
      <c r="E2375" s="124"/>
      <c r="F2375" s="124"/>
      <c r="G2375" s="124"/>
      <c r="H2375" s="124"/>
      <c r="I2375" s="124"/>
      <c r="J2375" s="124"/>
      <c r="K2375" s="124"/>
      <c r="L2375" s="124"/>
      <c r="M2375" s="124"/>
      <c r="N2375" s="124"/>
      <c r="O2375" s="124"/>
      <c r="P2375" s="124"/>
      <c r="Q2375" s="124"/>
      <c r="R2375" s="124"/>
      <c r="S2375" s="124"/>
      <c r="T2375" s="124"/>
      <c r="U2375" s="124"/>
      <c r="V2375" s="124"/>
      <c r="W2375" s="124"/>
      <c r="X2375" s="124"/>
      <c r="Y2375" s="124"/>
      <c r="Z2375" s="124"/>
    </row>
    <row r="2376">
      <c r="A2376" s="124"/>
      <c r="B2376" s="124"/>
      <c r="C2376" s="147"/>
      <c r="D2376" s="124"/>
      <c r="E2376" s="124"/>
      <c r="F2376" s="124"/>
      <c r="G2376" s="124"/>
      <c r="H2376" s="124"/>
      <c r="I2376" s="124"/>
      <c r="J2376" s="124"/>
      <c r="K2376" s="124"/>
      <c r="L2376" s="124"/>
      <c r="M2376" s="124"/>
      <c r="N2376" s="124"/>
      <c r="O2376" s="124"/>
      <c r="P2376" s="124"/>
      <c r="Q2376" s="124"/>
      <c r="R2376" s="124"/>
      <c r="S2376" s="124"/>
      <c r="T2376" s="124"/>
      <c r="U2376" s="124"/>
      <c r="V2376" s="124"/>
      <c r="W2376" s="124"/>
      <c r="X2376" s="124"/>
      <c r="Y2376" s="124"/>
      <c r="Z2376" s="124"/>
    </row>
    <row r="2377">
      <c r="A2377" s="124"/>
      <c r="B2377" s="124"/>
      <c r="C2377" s="147"/>
      <c r="D2377" s="124"/>
      <c r="E2377" s="124"/>
      <c r="F2377" s="124"/>
      <c r="G2377" s="124"/>
      <c r="H2377" s="124"/>
      <c r="I2377" s="124"/>
      <c r="J2377" s="124"/>
      <c r="K2377" s="124"/>
      <c r="L2377" s="124"/>
      <c r="M2377" s="124"/>
      <c r="N2377" s="124"/>
      <c r="O2377" s="124"/>
      <c r="P2377" s="124"/>
      <c r="Q2377" s="124"/>
      <c r="R2377" s="124"/>
      <c r="S2377" s="124"/>
      <c r="T2377" s="124"/>
      <c r="U2377" s="124"/>
      <c r="V2377" s="124"/>
      <c r="W2377" s="124"/>
      <c r="X2377" s="124"/>
      <c r="Y2377" s="124"/>
      <c r="Z2377" s="124"/>
    </row>
    <row r="2378">
      <c r="A2378" s="124"/>
      <c r="B2378" s="124"/>
      <c r="C2378" s="147"/>
      <c r="D2378" s="124"/>
      <c r="E2378" s="124"/>
      <c r="F2378" s="124"/>
      <c r="G2378" s="124"/>
      <c r="H2378" s="124"/>
      <c r="I2378" s="124"/>
      <c r="J2378" s="124"/>
      <c r="K2378" s="124"/>
      <c r="L2378" s="124"/>
      <c r="M2378" s="124"/>
      <c r="N2378" s="124"/>
      <c r="O2378" s="124"/>
      <c r="P2378" s="124"/>
      <c r="Q2378" s="124"/>
      <c r="R2378" s="124"/>
      <c r="S2378" s="124"/>
      <c r="T2378" s="124"/>
      <c r="U2378" s="124"/>
      <c r="V2378" s="124"/>
      <c r="W2378" s="124"/>
      <c r="X2378" s="124"/>
      <c r="Y2378" s="124"/>
      <c r="Z2378" s="124"/>
    </row>
    <row r="2379">
      <c r="A2379" s="124"/>
      <c r="B2379" s="124"/>
      <c r="C2379" s="147"/>
      <c r="D2379" s="124"/>
      <c r="E2379" s="124"/>
      <c r="F2379" s="124"/>
      <c r="G2379" s="124"/>
      <c r="H2379" s="124"/>
      <c r="I2379" s="124"/>
      <c r="J2379" s="124"/>
      <c r="K2379" s="124"/>
      <c r="L2379" s="124"/>
      <c r="M2379" s="124"/>
      <c r="N2379" s="124"/>
      <c r="O2379" s="124"/>
      <c r="P2379" s="124"/>
      <c r="Q2379" s="124"/>
      <c r="R2379" s="124"/>
      <c r="S2379" s="124"/>
      <c r="T2379" s="124"/>
      <c r="U2379" s="124"/>
      <c r="V2379" s="124"/>
      <c r="W2379" s="124"/>
      <c r="X2379" s="124"/>
      <c r="Y2379" s="124"/>
      <c r="Z2379" s="124"/>
    </row>
    <row r="2380">
      <c r="A2380" s="124"/>
      <c r="B2380" s="124"/>
      <c r="C2380" s="147"/>
      <c r="D2380" s="124"/>
      <c r="E2380" s="124"/>
      <c r="F2380" s="124"/>
      <c r="G2380" s="124"/>
      <c r="H2380" s="124"/>
      <c r="I2380" s="124"/>
      <c r="J2380" s="124"/>
      <c r="K2380" s="124"/>
      <c r="L2380" s="124"/>
      <c r="M2380" s="124"/>
      <c r="N2380" s="124"/>
      <c r="O2380" s="124"/>
      <c r="P2380" s="124"/>
      <c r="Q2380" s="124"/>
      <c r="R2380" s="124"/>
      <c r="S2380" s="124"/>
      <c r="T2380" s="124"/>
      <c r="U2380" s="124"/>
      <c r="V2380" s="124"/>
      <c r="W2380" s="124"/>
      <c r="X2380" s="124"/>
      <c r="Y2380" s="124"/>
      <c r="Z2380" s="124"/>
    </row>
    <row r="2381">
      <c r="A2381" s="124"/>
      <c r="B2381" s="124"/>
      <c r="C2381" s="147"/>
      <c r="D2381" s="124"/>
      <c r="E2381" s="124"/>
      <c r="F2381" s="124"/>
      <c r="G2381" s="124"/>
      <c r="H2381" s="124"/>
      <c r="I2381" s="124"/>
      <c r="J2381" s="124"/>
      <c r="K2381" s="124"/>
      <c r="L2381" s="124"/>
      <c r="M2381" s="124"/>
      <c r="N2381" s="124"/>
      <c r="O2381" s="124"/>
      <c r="P2381" s="124"/>
      <c r="Q2381" s="124"/>
      <c r="R2381" s="124"/>
      <c r="S2381" s="124"/>
      <c r="T2381" s="124"/>
      <c r="U2381" s="124"/>
      <c r="V2381" s="124"/>
      <c r="W2381" s="124"/>
      <c r="X2381" s="124"/>
      <c r="Y2381" s="124"/>
      <c r="Z2381" s="124"/>
    </row>
    <row r="2382">
      <c r="A2382" s="124"/>
      <c r="B2382" s="124"/>
      <c r="C2382" s="147"/>
      <c r="D2382" s="124"/>
      <c r="E2382" s="124"/>
      <c r="F2382" s="124"/>
      <c r="G2382" s="124"/>
      <c r="H2382" s="124"/>
      <c r="I2382" s="124"/>
      <c r="J2382" s="124"/>
      <c r="K2382" s="124"/>
      <c r="L2382" s="124"/>
      <c r="M2382" s="124"/>
      <c r="N2382" s="124"/>
      <c r="O2382" s="124"/>
      <c r="P2382" s="124"/>
      <c r="Q2382" s="124"/>
      <c r="R2382" s="124"/>
      <c r="S2382" s="124"/>
      <c r="T2382" s="124"/>
      <c r="U2382" s="124"/>
      <c r="V2382" s="124"/>
      <c r="W2382" s="124"/>
      <c r="X2382" s="124"/>
      <c r="Y2382" s="124"/>
      <c r="Z2382" s="124"/>
    </row>
    <row r="2383">
      <c r="A2383" s="124"/>
      <c r="B2383" s="124"/>
      <c r="C2383" s="147"/>
      <c r="D2383" s="124"/>
      <c r="E2383" s="124"/>
      <c r="F2383" s="124"/>
      <c r="G2383" s="124"/>
      <c r="H2383" s="124"/>
      <c r="I2383" s="124"/>
      <c r="J2383" s="124"/>
      <c r="K2383" s="124"/>
      <c r="L2383" s="124"/>
      <c r="M2383" s="124"/>
      <c r="N2383" s="124"/>
      <c r="O2383" s="124"/>
      <c r="P2383" s="124"/>
      <c r="Q2383" s="124"/>
      <c r="R2383" s="124"/>
      <c r="S2383" s="124"/>
      <c r="T2383" s="124"/>
      <c r="U2383" s="124"/>
      <c r="V2383" s="124"/>
      <c r="W2383" s="124"/>
      <c r="X2383" s="124"/>
      <c r="Y2383" s="124"/>
      <c r="Z2383" s="124"/>
    </row>
    <row r="2384">
      <c r="A2384" s="124"/>
      <c r="B2384" s="124"/>
      <c r="C2384" s="147"/>
      <c r="D2384" s="124"/>
      <c r="E2384" s="124"/>
      <c r="F2384" s="124"/>
      <c r="G2384" s="124"/>
      <c r="H2384" s="124"/>
      <c r="I2384" s="124"/>
      <c r="J2384" s="124"/>
      <c r="K2384" s="124"/>
      <c r="L2384" s="124"/>
      <c r="M2384" s="124"/>
      <c r="N2384" s="124"/>
      <c r="O2384" s="124"/>
      <c r="P2384" s="124"/>
      <c r="Q2384" s="124"/>
      <c r="R2384" s="124"/>
      <c r="S2384" s="124"/>
      <c r="T2384" s="124"/>
      <c r="U2384" s="124"/>
      <c r="V2384" s="124"/>
      <c r="W2384" s="124"/>
      <c r="X2384" s="124"/>
      <c r="Y2384" s="124"/>
      <c r="Z2384" s="124"/>
    </row>
    <row r="2385">
      <c r="A2385" s="124"/>
      <c r="B2385" s="124"/>
      <c r="C2385" s="147"/>
      <c r="D2385" s="124"/>
      <c r="E2385" s="124"/>
      <c r="F2385" s="124"/>
      <c r="G2385" s="124"/>
      <c r="H2385" s="124"/>
      <c r="I2385" s="124"/>
      <c r="J2385" s="124"/>
      <c r="K2385" s="124"/>
      <c r="L2385" s="124"/>
      <c r="M2385" s="124"/>
      <c r="N2385" s="124"/>
      <c r="O2385" s="124"/>
      <c r="P2385" s="124"/>
      <c r="Q2385" s="124"/>
      <c r="R2385" s="124"/>
      <c r="S2385" s="124"/>
      <c r="T2385" s="124"/>
      <c r="U2385" s="124"/>
      <c r="V2385" s="124"/>
      <c r="W2385" s="124"/>
      <c r="X2385" s="124"/>
      <c r="Y2385" s="124"/>
      <c r="Z2385" s="124"/>
    </row>
    <row r="2386">
      <c r="A2386" s="124"/>
      <c r="B2386" s="124"/>
      <c r="C2386" s="147"/>
      <c r="D2386" s="124"/>
      <c r="E2386" s="124"/>
      <c r="F2386" s="124"/>
      <c r="G2386" s="124"/>
      <c r="H2386" s="124"/>
      <c r="I2386" s="124"/>
      <c r="J2386" s="124"/>
      <c r="K2386" s="124"/>
      <c r="L2386" s="124"/>
      <c r="M2386" s="124"/>
      <c r="N2386" s="124"/>
      <c r="O2386" s="124"/>
      <c r="P2386" s="124"/>
      <c r="Q2386" s="124"/>
      <c r="R2386" s="124"/>
      <c r="S2386" s="124"/>
      <c r="T2386" s="124"/>
      <c r="U2386" s="124"/>
      <c r="V2386" s="124"/>
      <c r="W2386" s="124"/>
      <c r="X2386" s="124"/>
      <c r="Y2386" s="124"/>
      <c r="Z2386" s="124"/>
    </row>
    <row r="2387">
      <c r="A2387" s="124"/>
      <c r="B2387" s="124"/>
      <c r="C2387" s="147"/>
      <c r="D2387" s="124"/>
      <c r="E2387" s="124"/>
      <c r="F2387" s="124"/>
      <c r="G2387" s="124"/>
      <c r="H2387" s="124"/>
      <c r="I2387" s="124"/>
      <c r="J2387" s="124"/>
      <c r="K2387" s="124"/>
      <c r="L2387" s="124"/>
      <c r="M2387" s="124"/>
      <c r="N2387" s="124"/>
      <c r="O2387" s="124"/>
      <c r="P2387" s="124"/>
      <c r="Q2387" s="124"/>
      <c r="R2387" s="124"/>
      <c r="S2387" s="124"/>
      <c r="T2387" s="124"/>
      <c r="U2387" s="124"/>
      <c r="V2387" s="124"/>
      <c r="W2387" s="124"/>
      <c r="X2387" s="124"/>
      <c r="Y2387" s="124"/>
      <c r="Z2387" s="124"/>
    </row>
    <row r="2388">
      <c r="A2388" s="124"/>
      <c r="B2388" s="124"/>
      <c r="C2388" s="147"/>
      <c r="D2388" s="124"/>
      <c r="E2388" s="124"/>
      <c r="F2388" s="124"/>
      <c r="G2388" s="124"/>
      <c r="H2388" s="124"/>
      <c r="I2388" s="124"/>
      <c r="J2388" s="124"/>
      <c r="K2388" s="124"/>
      <c r="L2388" s="124"/>
      <c r="M2388" s="124"/>
      <c r="N2388" s="124"/>
      <c r="O2388" s="124"/>
      <c r="P2388" s="124"/>
      <c r="Q2388" s="124"/>
      <c r="R2388" s="124"/>
      <c r="S2388" s="124"/>
      <c r="T2388" s="124"/>
      <c r="U2388" s="124"/>
      <c r="V2388" s="124"/>
      <c r="W2388" s="124"/>
      <c r="X2388" s="124"/>
      <c r="Y2388" s="124"/>
      <c r="Z2388" s="124"/>
    </row>
    <row r="2389">
      <c r="A2389" s="124"/>
      <c r="B2389" s="124"/>
      <c r="C2389" s="147"/>
      <c r="D2389" s="124"/>
      <c r="E2389" s="124"/>
      <c r="F2389" s="124"/>
      <c r="G2389" s="124"/>
      <c r="H2389" s="124"/>
      <c r="I2389" s="124"/>
      <c r="J2389" s="124"/>
      <c r="K2389" s="124"/>
      <c r="L2389" s="124"/>
      <c r="M2389" s="124"/>
      <c r="N2389" s="124"/>
      <c r="O2389" s="124"/>
      <c r="P2389" s="124"/>
      <c r="Q2389" s="124"/>
      <c r="R2389" s="124"/>
      <c r="S2389" s="124"/>
      <c r="T2389" s="124"/>
      <c r="U2389" s="124"/>
      <c r="V2389" s="124"/>
      <c r="W2389" s="124"/>
      <c r="X2389" s="124"/>
      <c r="Y2389" s="124"/>
      <c r="Z2389" s="124"/>
    </row>
    <row r="2390">
      <c r="A2390" s="124"/>
      <c r="B2390" s="124"/>
      <c r="C2390" s="147"/>
      <c r="D2390" s="124"/>
      <c r="E2390" s="124"/>
      <c r="F2390" s="124"/>
      <c r="G2390" s="124"/>
      <c r="H2390" s="124"/>
      <c r="I2390" s="124"/>
      <c r="J2390" s="124"/>
      <c r="K2390" s="124"/>
      <c r="L2390" s="124"/>
      <c r="M2390" s="124"/>
      <c r="N2390" s="124"/>
      <c r="O2390" s="124"/>
      <c r="P2390" s="124"/>
      <c r="Q2390" s="124"/>
      <c r="R2390" s="124"/>
      <c r="S2390" s="124"/>
      <c r="T2390" s="124"/>
      <c r="U2390" s="124"/>
      <c r="V2390" s="124"/>
      <c r="W2390" s="124"/>
      <c r="X2390" s="124"/>
      <c r="Y2390" s="124"/>
      <c r="Z2390" s="124"/>
    </row>
    <row r="2391">
      <c r="A2391" s="124"/>
      <c r="B2391" s="124"/>
      <c r="C2391" s="147"/>
      <c r="D2391" s="124"/>
      <c r="E2391" s="124"/>
      <c r="F2391" s="124"/>
      <c r="G2391" s="124"/>
      <c r="H2391" s="124"/>
      <c r="I2391" s="124"/>
      <c r="J2391" s="124"/>
      <c r="K2391" s="124"/>
      <c r="L2391" s="124"/>
      <c r="M2391" s="124"/>
      <c r="N2391" s="124"/>
      <c r="O2391" s="124"/>
      <c r="P2391" s="124"/>
      <c r="Q2391" s="124"/>
      <c r="R2391" s="124"/>
      <c r="S2391" s="124"/>
      <c r="T2391" s="124"/>
      <c r="U2391" s="124"/>
      <c r="V2391" s="124"/>
      <c r="W2391" s="124"/>
      <c r="X2391" s="124"/>
      <c r="Y2391" s="124"/>
      <c r="Z2391" s="124"/>
    </row>
    <row r="2392">
      <c r="A2392" s="124"/>
      <c r="B2392" s="124"/>
      <c r="C2392" s="147"/>
      <c r="D2392" s="124"/>
      <c r="E2392" s="124"/>
      <c r="F2392" s="124"/>
      <c r="G2392" s="124"/>
      <c r="H2392" s="124"/>
      <c r="I2392" s="124"/>
      <c r="J2392" s="124"/>
      <c r="K2392" s="124"/>
      <c r="L2392" s="124"/>
      <c r="M2392" s="124"/>
      <c r="N2392" s="124"/>
      <c r="O2392" s="124"/>
      <c r="P2392" s="124"/>
      <c r="Q2392" s="124"/>
      <c r="R2392" s="124"/>
      <c r="S2392" s="124"/>
      <c r="T2392" s="124"/>
      <c r="U2392" s="124"/>
      <c r="V2392" s="124"/>
      <c r="W2392" s="124"/>
      <c r="X2392" s="124"/>
      <c r="Y2392" s="124"/>
      <c r="Z2392" s="124"/>
    </row>
    <row r="2393">
      <c r="A2393" s="124"/>
      <c r="B2393" s="124"/>
      <c r="C2393" s="147"/>
      <c r="D2393" s="124"/>
      <c r="E2393" s="124"/>
      <c r="F2393" s="124"/>
      <c r="G2393" s="124"/>
      <c r="H2393" s="124"/>
      <c r="I2393" s="124"/>
      <c r="J2393" s="124"/>
      <c r="K2393" s="124"/>
      <c r="L2393" s="124"/>
      <c r="M2393" s="124"/>
      <c r="N2393" s="124"/>
      <c r="O2393" s="124"/>
      <c r="P2393" s="124"/>
      <c r="Q2393" s="124"/>
      <c r="R2393" s="124"/>
      <c r="S2393" s="124"/>
      <c r="T2393" s="124"/>
      <c r="U2393" s="124"/>
      <c r="V2393" s="124"/>
      <c r="W2393" s="124"/>
      <c r="X2393" s="124"/>
      <c r="Y2393" s="124"/>
      <c r="Z2393" s="124"/>
    </row>
    <row r="2394">
      <c r="A2394" s="124"/>
      <c r="B2394" s="124"/>
      <c r="C2394" s="147"/>
      <c r="D2394" s="124"/>
      <c r="E2394" s="124"/>
      <c r="F2394" s="124"/>
      <c r="G2394" s="124"/>
      <c r="H2394" s="124"/>
      <c r="I2394" s="124"/>
      <c r="J2394" s="124"/>
      <c r="K2394" s="124"/>
      <c r="L2394" s="124"/>
      <c r="M2394" s="124"/>
      <c r="N2394" s="124"/>
      <c r="O2394" s="124"/>
      <c r="P2394" s="124"/>
      <c r="Q2394" s="124"/>
      <c r="R2394" s="124"/>
      <c r="S2394" s="124"/>
      <c r="T2394" s="124"/>
      <c r="U2394" s="124"/>
      <c r="V2394" s="124"/>
      <c r="W2394" s="124"/>
      <c r="X2394" s="124"/>
      <c r="Y2394" s="124"/>
      <c r="Z2394" s="124"/>
    </row>
    <row r="2395">
      <c r="A2395" s="124"/>
      <c r="B2395" s="124"/>
      <c r="C2395" s="147"/>
      <c r="D2395" s="124"/>
      <c r="E2395" s="124"/>
      <c r="F2395" s="124"/>
      <c r="G2395" s="124"/>
      <c r="H2395" s="124"/>
      <c r="I2395" s="124"/>
      <c r="J2395" s="124"/>
      <c r="K2395" s="124"/>
      <c r="L2395" s="124"/>
      <c r="M2395" s="124"/>
      <c r="N2395" s="124"/>
      <c r="O2395" s="124"/>
      <c r="P2395" s="124"/>
      <c r="Q2395" s="124"/>
      <c r="R2395" s="124"/>
      <c r="S2395" s="124"/>
      <c r="T2395" s="124"/>
      <c r="U2395" s="124"/>
      <c r="V2395" s="124"/>
      <c r="W2395" s="124"/>
      <c r="X2395" s="124"/>
      <c r="Y2395" s="124"/>
      <c r="Z2395" s="124"/>
    </row>
    <row r="2396">
      <c r="A2396" s="124"/>
      <c r="B2396" s="124"/>
      <c r="C2396" s="147"/>
      <c r="D2396" s="124"/>
      <c r="E2396" s="124"/>
      <c r="F2396" s="124"/>
      <c r="G2396" s="124"/>
      <c r="H2396" s="124"/>
      <c r="I2396" s="124"/>
      <c r="J2396" s="124"/>
      <c r="K2396" s="124"/>
      <c r="L2396" s="124"/>
      <c r="M2396" s="124"/>
      <c r="N2396" s="124"/>
      <c r="O2396" s="124"/>
      <c r="P2396" s="124"/>
      <c r="Q2396" s="124"/>
      <c r="R2396" s="124"/>
      <c r="S2396" s="124"/>
      <c r="T2396" s="124"/>
      <c r="U2396" s="124"/>
      <c r="V2396" s="124"/>
      <c r="W2396" s="124"/>
      <c r="X2396" s="124"/>
      <c r="Y2396" s="124"/>
      <c r="Z2396" s="124"/>
    </row>
    <row r="2397">
      <c r="A2397" s="124"/>
      <c r="B2397" s="124"/>
      <c r="C2397" s="147"/>
      <c r="D2397" s="124"/>
      <c r="E2397" s="124"/>
      <c r="F2397" s="124"/>
      <c r="G2397" s="124"/>
      <c r="H2397" s="124"/>
      <c r="I2397" s="124"/>
      <c r="J2397" s="124"/>
      <c r="K2397" s="124"/>
      <c r="L2397" s="124"/>
      <c r="M2397" s="124"/>
      <c r="N2397" s="124"/>
      <c r="O2397" s="124"/>
      <c r="P2397" s="124"/>
      <c r="Q2397" s="124"/>
      <c r="R2397" s="124"/>
      <c r="S2397" s="124"/>
      <c r="T2397" s="124"/>
      <c r="U2397" s="124"/>
      <c r="V2397" s="124"/>
      <c r="W2397" s="124"/>
      <c r="X2397" s="124"/>
      <c r="Y2397" s="124"/>
      <c r="Z2397" s="124"/>
    </row>
    <row r="2398">
      <c r="A2398" s="124"/>
      <c r="B2398" s="124"/>
      <c r="C2398" s="147"/>
      <c r="D2398" s="124"/>
      <c r="E2398" s="124"/>
      <c r="F2398" s="124"/>
      <c r="G2398" s="124"/>
      <c r="H2398" s="124"/>
      <c r="I2398" s="124"/>
      <c r="J2398" s="124"/>
      <c r="K2398" s="124"/>
      <c r="L2398" s="124"/>
      <c r="M2398" s="124"/>
      <c r="N2398" s="124"/>
      <c r="O2398" s="124"/>
      <c r="P2398" s="124"/>
      <c r="Q2398" s="124"/>
      <c r="R2398" s="124"/>
      <c r="S2398" s="124"/>
      <c r="T2398" s="124"/>
      <c r="U2398" s="124"/>
      <c r="V2398" s="124"/>
      <c r="W2398" s="124"/>
      <c r="X2398" s="124"/>
      <c r="Y2398" s="124"/>
      <c r="Z2398" s="124"/>
    </row>
    <row r="2399">
      <c r="A2399" s="124"/>
      <c r="B2399" s="124"/>
      <c r="C2399" s="147"/>
      <c r="D2399" s="124"/>
      <c r="E2399" s="124"/>
      <c r="F2399" s="124"/>
      <c r="G2399" s="124"/>
      <c r="H2399" s="124"/>
      <c r="I2399" s="124"/>
      <c r="J2399" s="124"/>
      <c r="K2399" s="124"/>
      <c r="L2399" s="124"/>
      <c r="M2399" s="124"/>
      <c r="N2399" s="124"/>
      <c r="O2399" s="124"/>
      <c r="P2399" s="124"/>
      <c r="Q2399" s="124"/>
      <c r="R2399" s="124"/>
      <c r="S2399" s="124"/>
      <c r="T2399" s="124"/>
      <c r="U2399" s="124"/>
      <c r="V2399" s="124"/>
      <c r="W2399" s="124"/>
      <c r="X2399" s="124"/>
      <c r="Y2399" s="124"/>
      <c r="Z2399" s="124"/>
    </row>
    <row r="2400">
      <c r="A2400" s="124"/>
      <c r="B2400" s="124"/>
      <c r="C2400" s="147"/>
      <c r="D2400" s="124"/>
      <c r="E2400" s="124"/>
      <c r="F2400" s="124"/>
      <c r="G2400" s="124"/>
      <c r="H2400" s="124"/>
      <c r="I2400" s="124"/>
      <c r="J2400" s="124"/>
      <c r="K2400" s="124"/>
      <c r="L2400" s="124"/>
      <c r="M2400" s="124"/>
      <c r="N2400" s="124"/>
      <c r="O2400" s="124"/>
      <c r="P2400" s="124"/>
      <c r="Q2400" s="124"/>
      <c r="R2400" s="124"/>
      <c r="S2400" s="124"/>
      <c r="T2400" s="124"/>
      <c r="U2400" s="124"/>
      <c r="V2400" s="124"/>
      <c r="W2400" s="124"/>
      <c r="X2400" s="124"/>
      <c r="Y2400" s="124"/>
      <c r="Z2400" s="124"/>
    </row>
    <row r="2401">
      <c r="A2401" s="124"/>
      <c r="B2401" s="124"/>
      <c r="C2401" s="147"/>
      <c r="D2401" s="124"/>
      <c r="E2401" s="124"/>
      <c r="F2401" s="124"/>
      <c r="G2401" s="124"/>
      <c r="H2401" s="124"/>
      <c r="I2401" s="124"/>
      <c r="J2401" s="124"/>
      <c r="K2401" s="124"/>
      <c r="L2401" s="124"/>
      <c r="M2401" s="124"/>
      <c r="N2401" s="124"/>
      <c r="O2401" s="124"/>
      <c r="P2401" s="124"/>
      <c r="Q2401" s="124"/>
      <c r="R2401" s="124"/>
      <c r="S2401" s="124"/>
      <c r="T2401" s="124"/>
      <c r="U2401" s="124"/>
      <c r="V2401" s="124"/>
      <c r="W2401" s="124"/>
      <c r="X2401" s="124"/>
      <c r="Y2401" s="124"/>
      <c r="Z2401" s="124"/>
    </row>
    <row r="2402">
      <c r="A2402" s="124"/>
      <c r="B2402" s="124"/>
      <c r="C2402" s="147"/>
      <c r="D2402" s="124"/>
      <c r="E2402" s="124"/>
      <c r="F2402" s="124"/>
      <c r="G2402" s="124"/>
      <c r="H2402" s="124"/>
      <c r="I2402" s="124"/>
      <c r="J2402" s="124"/>
      <c r="K2402" s="124"/>
      <c r="L2402" s="124"/>
      <c r="M2402" s="124"/>
      <c r="N2402" s="124"/>
      <c r="O2402" s="124"/>
      <c r="P2402" s="124"/>
      <c r="Q2402" s="124"/>
      <c r="R2402" s="124"/>
      <c r="S2402" s="124"/>
      <c r="T2402" s="124"/>
      <c r="U2402" s="124"/>
      <c r="V2402" s="124"/>
      <c r="W2402" s="124"/>
      <c r="X2402" s="124"/>
      <c r="Y2402" s="124"/>
      <c r="Z2402" s="124"/>
    </row>
    <row r="2403">
      <c r="A2403" s="124"/>
      <c r="B2403" s="124"/>
      <c r="C2403" s="147"/>
      <c r="D2403" s="124"/>
      <c r="E2403" s="124"/>
      <c r="F2403" s="124"/>
      <c r="G2403" s="124"/>
      <c r="H2403" s="124"/>
      <c r="I2403" s="124"/>
      <c r="J2403" s="124"/>
      <c r="K2403" s="124"/>
      <c r="L2403" s="124"/>
      <c r="M2403" s="124"/>
      <c r="N2403" s="124"/>
      <c r="O2403" s="124"/>
      <c r="P2403" s="124"/>
      <c r="Q2403" s="124"/>
      <c r="R2403" s="124"/>
      <c r="S2403" s="124"/>
      <c r="T2403" s="124"/>
      <c r="U2403" s="124"/>
      <c r="V2403" s="124"/>
      <c r="W2403" s="124"/>
      <c r="X2403" s="124"/>
      <c r="Y2403" s="124"/>
      <c r="Z2403" s="124"/>
    </row>
    <row r="2404">
      <c r="A2404" s="124"/>
      <c r="B2404" s="124"/>
      <c r="C2404" s="147"/>
      <c r="D2404" s="124"/>
      <c r="E2404" s="124"/>
      <c r="F2404" s="124"/>
      <c r="G2404" s="124"/>
      <c r="H2404" s="124"/>
      <c r="I2404" s="124"/>
      <c r="J2404" s="124"/>
      <c r="K2404" s="124"/>
      <c r="L2404" s="124"/>
      <c r="M2404" s="124"/>
      <c r="N2404" s="124"/>
      <c r="O2404" s="124"/>
      <c r="P2404" s="124"/>
      <c r="Q2404" s="124"/>
      <c r="R2404" s="124"/>
      <c r="S2404" s="124"/>
      <c r="T2404" s="124"/>
      <c r="U2404" s="124"/>
      <c r="V2404" s="124"/>
      <c r="W2404" s="124"/>
      <c r="X2404" s="124"/>
      <c r="Y2404" s="124"/>
      <c r="Z2404" s="124"/>
    </row>
    <row r="2405">
      <c r="A2405" s="124"/>
      <c r="B2405" s="124"/>
      <c r="C2405" s="147"/>
      <c r="D2405" s="124"/>
      <c r="E2405" s="124"/>
      <c r="F2405" s="124"/>
      <c r="G2405" s="124"/>
      <c r="H2405" s="124"/>
      <c r="I2405" s="124"/>
      <c r="J2405" s="124"/>
      <c r="K2405" s="124"/>
      <c r="L2405" s="124"/>
      <c r="M2405" s="124"/>
      <c r="N2405" s="124"/>
      <c r="O2405" s="124"/>
      <c r="P2405" s="124"/>
      <c r="Q2405" s="124"/>
      <c r="R2405" s="124"/>
      <c r="S2405" s="124"/>
      <c r="T2405" s="124"/>
      <c r="U2405" s="124"/>
      <c r="V2405" s="124"/>
      <c r="W2405" s="124"/>
      <c r="X2405" s="124"/>
      <c r="Y2405" s="124"/>
      <c r="Z2405" s="124"/>
    </row>
    <row r="2406">
      <c r="A2406" s="124"/>
      <c r="B2406" s="124"/>
      <c r="C2406" s="147"/>
      <c r="D2406" s="124"/>
      <c r="E2406" s="124"/>
      <c r="F2406" s="124"/>
      <c r="G2406" s="124"/>
      <c r="H2406" s="124"/>
      <c r="I2406" s="124"/>
      <c r="J2406" s="124"/>
      <c r="K2406" s="124"/>
      <c r="L2406" s="124"/>
      <c r="M2406" s="124"/>
      <c r="N2406" s="124"/>
      <c r="O2406" s="124"/>
      <c r="P2406" s="124"/>
      <c r="Q2406" s="124"/>
      <c r="R2406" s="124"/>
      <c r="S2406" s="124"/>
      <c r="T2406" s="124"/>
      <c r="U2406" s="124"/>
      <c r="V2406" s="124"/>
      <c r="W2406" s="124"/>
      <c r="X2406" s="124"/>
      <c r="Y2406" s="124"/>
      <c r="Z2406" s="124"/>
    </row>
    <row r="2407">
      <c r="A2407" s="124"/>
      <c r="B2407" s="124"/>
      <c r="C2407" s="147"/>
      <c r="D2407" s="124"/>
      <c r="E2407" s="124"/>
      <c r="F2407" s="124"/>
      <c r="G2407" s="124"/>
      <c r="H2407" s="124"/>
      <c r="I2407" s="124"/>
      <c r="J2407" s="124"/>
      <c r="K2407" s="124"/>
      <c r="L2407" s="124"/>
      <c r="M2407" s="124"/>
      <c r="N2407" s="124"/>
      <c r="O2407" s="124"/>
      <c r="P2407" s="124"/>
      <c r="Q2407" s="124"/>
      <c r="R2407" s="124"/>
      <c r="S2407" s="124"/>
      <c r="T2407" s="124"/>
      <c r="U2407" s="124"/>
      <c r="V2407" s="124"/>
      <c r="W2407" s="124"/>
      <c r="X2407" s="124"/>
      <c r="Y2407" s="124"/>
      <c r="Z2407" s="124"/>
    </row>
    <row r="2408">
      <c r="A2408" s="124"/>
      <c r="B2408" s="124"/>
      <c r="C2408" s="147"/>
      <c r="D2408" s="124"/>
      <c r="E2408" s="124"/>
      <c r="F2408" s="124"/>
      <c r="G2408" s="124"/>
      <c r="H2408" s="124"/>
      <c r="I2408" s="124"/>
      <c r="J2408" s="124"/>
      <c r="K2408" s="124"/>
      <c r="L2408" s="124"/>
      <c r="M2408" s="124"/>
      <c r="N2408" s="124"/>
      <c r="O2408" s="124"/>
      <c r="P2408" s="124"/>
      <c r="Q2408" s="124"/>
      <c r="R2408" s="124"/>
      <c r="S2408" s="124"/>
      <c r="T2408" s="124"/>
      <c r="U2408" s="124"/>
      <c r="V2408" s="124"/>
      <c r="W2408" s="124"/>
      <c r="X2408" s="124"/>
      <c r="Y2408" s="124"/>
      <c r="Z2408" s="124"/>
    </row>
    <row r="2409">
      <c r="A2409" s="124"/>
      <c r="B2409" s="124"/>
      <c r="C2409" s="147"/>
      <c r="D2409" s="124"/>
      <c r="E2409" s="124"/>
      <c r="F2409" s="124"/>
      <c r="G2409" s="124"/>
      <c r="H2409" s="124"/>
      <c r="I2409" s="124"/>
      <c r="J2409" s="124"/>
      <c r="K2409" s="124"/>
      <c r="L2409" s="124"/>
      <c r="M2409" s="124"/>
      <c r="N2409" s="124"/>
      <c r="O2409" s="124"/>
      <c r="P2409" s="124"/>
      <c r="Q2409" s="124"/>
      <c r="R2409" s="124"/>
      <c r="S2409" s="124"/>
      <c r="T2409" s="124"/>
      <c r="U2409" s="124"/>
      <c r="V2409" s="124"/>
      <c r="W2409" s="124"/>
      <c r="X2409" s="124"/>
      <c r="Y2409" s="124"/>
      <c r="Z2409" s="124"/>
    </row>
    <row r="2410">
      <c r="A2410" s="124"/>
      <c r="B2410" s="124"/>
      <c r="C2410" s="147"/>
      <c r="D2410" s="124"/>
      <c r="E2410" s="124"/>
      <c r="F2410" s="124"/>
      <c r="G2410" s="124"/>
      <c r="H2410" s="124"/>
      <c r="I2410" s="124"/>
      <c r="J2410" s="124"/>
      <c r="K2410" s="124"/>
      <c r="L2410" s="124"/>
      <c r="M2410" s="124"/>
      <c r="N2410" s="124"/>
      <c r="O2410" s="124"/>
      <c r="P2410" s="124"/>
      <c r="Q2410" s="124"/>
      <c r="R2410" s="124"/>
      <c r="S2410" s="124"/>
      <c r="T2410" s="124"/>
      <c r="U2410" s="124"/>
      <c r="V2410" s="124"/>
      <c r="W2410" s="124"/>
      <c r="X2410" s="124"/>
      <c r="Y2410" s="124"/>
      <c r="Z2410" s="124"/>
    </row>
    <row r="2411">
      <c r="A2411" s="124"/>
      <c r="B2411" s="124"/>
      <c r="C2411" s="147"/>
      <c r="D2411" s="124"/>
      <c r="E2411" s="124"/>
      <c r="F2411" s="124"/>
      <c r="G2411" s="124"/>
      <c r="H2411" s="124"/>
      <c r="I2411" s="124"/>
      <c r="J2411" s="124"/>
      <c r="K2411" s="124"/>
      <c r="L2411" s="124"/>
      <c r="M2411" s="124"/>
      <c r="N2411" s="124"/>
      <c r="O2411" s="124"/>
      <c r="P2411" s="124"/>
      <c r="Q2411" s="124"/>
      <c r="R2411" s="124"/>
      <c r="S2411" s="124"/>
      <c r="T2411" s="124"/>
      <c r="U2411" s="124"/>
      <c r="V2411" s="124"/>
      <c r="W2411" s="124"/>
      <c r="X2411" s="124"/>
      <c r="Y2411" s="124"/>
      <c r="Z2411" s="124"/>
    </row>
    <row r="2412">
      <c r="A2412" s="124"/>
      <c r="B2412" s="124"/>
      <c r="C2412" s="147"/>
      <c r="D2412" s="124"/>
      <c r="E2412" s="124"/>
      <c r="F2412" s="124"/>
      <c r="G2412" s="124"/>
      <c r="H2412" s="124"/>
      <c r="I2412" s="124"/>
      <c r="J2412" s="124"/>
      <c r="K2412" s="124"/>
      <c r="L2412" s="124"/>
      <c r="M2412" s="124"/>
      <c r="N2412" s="124"/>
      <c r="O2412" s="124"/>
      <c r="P2412" s="124"/>
      <c r="Q2412" s="124"/>
      <c r="R2412" s="124"/>
      <c r="S2412" s="124"/>
      <c r="T2412" s="124"/>
      <c r="U2412" s="124"/>
      <c r="V2412" s="124"/>
      <c r="W2412" s="124"/>
      <c r="X2412" s="124"/>
      <c r="Y2412" s="124"/>
      <c r="Z2412" s="124"/>
    </row>
    <row r="2413">
      <c r="A2413" s="124"/>
      <c r="B2413" s="124"/>
      <c r="C2413" s="147"/>
      <c r="D2413" s="124"/>
      <c r="E2413" s="124"/>
      <c r="F2413" s="124"/>
      <c r="G2413" s="124"/>
      <c r="H2413" s="124"/>
      <c r="I2413" s="124"/>
      <c r="J2413" s="124"/>
      <c r="K2413" s="124"/>
      <c r="L2413" s="124"/>
      <c r="M2413" s="124"/>
      <c r="N2413" s="124"/>
      <c r="O2413" s="124"/>
      <c r="P2413" s="124"/>
      <c r="Q2413" s="124"/>
      <c r="R2413" s="124"/>
      <c r="S2413" s="124"/>
      <c r="T2413" s="124"/>
      <c r="U2413" s="124"/>
      <c r="V2413" s="124"/>
      <c r="W2413" s="124"/>
      <c r="X2413" s="124"/>
      <c r="Y2413" s="124"/>
      <c r="Z2413" s="124"/>
    </row>
    <row r="2414">
      <c r="A2414" s="124"/>
      <c r="B2414" s="124"/>
      <c r="C2414" s="147"/>
      <c r="D2414" s="124"/>
      <c r="E2414" s="124"/>
      <c r="F2414" s="124"/>
      <c r="G2414" s="124"/>
      <c r="H2414" s="124"/>
      <c r="I2414" s="124"/>
      <c r="J2414" s="124"/>
      <c r="K2414" s="124"/>
      <c r="L2414" s="124"/>
      <c r="M2414" s="124"/>
      <c r="N2414" s="124"/>
      <c r="O2414" s="124"/>
      <c r="P2414" s="124"/>
      <c r="Q2414" s="124"/>
      <c r="R2414" s="124"/>
      <c r="S2414" s="124"/>
      <c r="T2414" s="124"/>
      <c r="U2414" s="124"/>
      <c r="V2414" s="124"/>
      <c r="W2414" s="124"/>
      <c r="X2414" s="124"/>
      <c r="Y2414" s="124"/>
      <c r="Z2414" s="124"/>
    </row>
    <row r="2415">
      <c r="A2415" s="124"/>
      <c r="B2415" s="124"/>
      <c r="C2415" s="147"/>
      <c r="D2415" s="124"/>
      <c r="E2415" s="124"/>
      <c r="F2415" s="124"/>
      <c r="G2415" s="124"/>
      <c r="H2415" s="124"/>
      <c r="I2415" s="124"/>
      <c r="J2415" s="124"/>
      <c r="K2415" s="124"/>
      <c r="L2415" s="124"/>
      <c r="M2415" s="124"/>
      <c r="N2415" s="124"/>
      <c r="O2415" s="124"/>
      <c r="P2415" s="124"/>
      <c r="Q2415" s="124"/>
      <c r="R2415" s="124"/>
      <c r="S2415" s="124"/>
      <c r="T2415" s="124"/>
      <c r="U2415" s="124"/>
      <c r="V2415" s="124"/>
      <c r="W2415" s="124"/>
      <c r="X2415" s="124"/>
      <c r="Y2415" s="124"/>
      <c r="Z2415" s="124"/>
    </row>
    <row r="2416">
      <c r="A2416" s="124"/>
      <c r="B2416" s="124"/>
      <c r="C2416" s="147"/>
      <c r="D2416" s="124"/>
      <c r="E2416" s="124"/>
      <c r="F2416" s="124"/>
      <c r="G2416" s="124"/>
      <c r="H2416" s="124"/>
      <c r="I2416" s="124"/>
      <c r="J2416" s="124"/>
      <c r="K2416" s="124"/>
      <c r="L2416" s="124"/>
      <c r="M2416" s="124"/>
      <c r="N2416" s="124"/>
      <c r="O2416" s="124"/>
      <c r="P2416" s="124"/>
      <c r="Q2416" s="124"/>
      <c r="R2416" s="124"/>
      <c r="S2416" s="124"/>
      <c r="T2416" s="124"/>
      <c r="U2416" s="124"/>
      <c r="V2416" s="124"/>
      <c r="W2416" s="124"/>
      <c r="X2416" s="124"/>
      <c r="Y2416" s="124"/>
      <c r="Z2416" s="124"/>
    </row>
    <row r="2417">
      <c r="A2417" s="124"/>
      <c r="B2417" s="124"/>
      <c r="C2417" s="147"/>
      <c r="D2417" s="124"/>
      <c r="E2417" s="124"/>
      <c r="F2417" s="124"/>
      <c r="G2417" s="124"/>
      <c r="H2417" s="124"/>
      <c r="I2417" s="124"/>
      <c r="J2417" s="124"/>
      <c r="K2417" s="124"/>
      <c r="L2417" s="124"/>
      <c r="M2417" s="124"/>
      <c r="N2417" s="124"/>
      <c r="O2417" s="124"/>
      <c r="P2417" s="124"/>
      <c r="Q2417" s="124"/>
      <c r="R2417" s="124"/>
      <c r="S2417" s="124"/>
      <c r="T2417" s="124"/>
      <c r="U2417" s="124"/>
      <c r="V2417" s="124"/>
      <c r="W2417" s="124"/>
      <c r="X2417" s="124"/>
      <c r="Y2417" s="124"/>
      <c r="Z2417" s="124"/>
    </row>
    <row r="2418">
      <c r="A2418" s="124"/>
      <c r="B2418" s="124"/>
      <c r="C2418" s="147"/>
      <c r="D2418" s="124"/>
      <c r="E2418" s="124"/>
      <c r="F2418" s="124"/>
      <c r="G2418" s="124"/>
      <c r="H2418" s="124"/>
      <c r="I2418" s="124"/>
      <c r="J2418" s="124"/>
      <c r="K2418" s="124"/>
      <c r="L2418" s="124"/>
      <c r="M2418" s="124"/>
      <c r="N2418" s="124"/>
      <c r="O2418" s="124"/>
      <c r="P2418" s="124"/>
      <c r="Q2418" s="124"/>
      <c r="R2418" s="124"/>
      <c r="S2418" s="124"/>
      <c r="T2418" s="124"/>
      <c r="U2418" s="124"/>
      <c r="V2418" s="124"/>
      <c r="W2418" s="124"/>
      <c r="X2418" s="124"/>
      <c r="Y2418" s="124"/>
      <c r="Z2418" s="124"/>
    </row>
    <row r="2419">
      <c r="A2419" s="124"/>
      <c r="B2419" s="124"/>
      <c r="C2419" s="147"/>
      <c r="D2419" s="124"/>
      <c r="E2419" s="124"/>
      <c r="F2419" s="124"/>
      <c r="G2419" s="124"/>
      <c r="H2419" s="124"/>
      <c r="I2419" s="124"/>
      <c r="J2419" s="124"/>
      <c r="K2419" s="124"/>
      <c r="L2419" s="124"/>
      <c r="M2419" s="124"/>
      <c r="N2419" s="124"/>
      <c r="O2419" s="124"/>
      <c r="P2419" s="124"/>
      <c r="Q2419" s="124"/>
      <c r="R2419" s="124"/>
      <c r="S2419" s="124"/>
      <c r="T2419" s="124"/>
      <c r="U2419" s="124"/>
      <c r="V2419" s="124"/>
      <c r="W2419" s="124"/>
      <c r="X2419" s="124"/>
      <c r="Y2419" s="124"/>
      <c r="Z2419" s="124"/>
    </row>
    <row r="2420">
      <c r="A2420" s="124"/>
      <c r="B2420" s="124"/>
      <c r="C2420" s="147"/>
      <c r="D2420" s="124"/>
      <c r="E2420" s="124"/>
      <c r="F2420" s="124"/>
      <c r="G2420" s="124"/>
      <c r="H2420" s="124"/>
      <c r="I2420" s="124"/>
      <c r="J2420" s="124"/>
      <c r="K2420" s="124"/>
      <c r="L2420" s="124"/>
      <c r="M2420" s="124"/>
      <c r="N2420" s="124"/>
      <c r="O2420" s="124"/>
      <c r="P2420" s="124"/>
      <c r="Q2420" s="124"/>
      <c r="R2420" s="124"/>
      <c r="S2420" s="124"/>
      <c r="T2420" s="124"/>
      <c r="U2420" s="124"/>
      <c r="V2420" s="124"/>
      <c r="W2420" s="124"/>
      <c r="X2420" s="124"/>
      <c r="Y2420" s="124"/>
      <c r="Z2420" s="124"/>
    </row>
    <row r="2421">
      <c r="A2421" s="124"/>
      <c r="B2421" s="124"/>
      <c r="C2421" s="147"/>
      <c r="D2421" s="124"/>
      <c r="E2421" s="124"/>
      <c r="F2421" s="124"/>
      <c r="G2421" s="124"/>
      <c r="H2421" s="124"/>
      <c r="I2421" s="124"/>
      <c r="J2421" s="124"/>
      <c r="K2421" s="124"/>
      <c r="L2421" s="124"/>
      <c r="M2421" s="124"/>
      <c r="N2421" s="124"/>
      <c r="O2421" s="124"/>
      <c r="P2421" s="124"/>
      <c r="Q2421" s="124"/>
      <c r="R2421" s="124"/>
      <c r="S2421" s="124"/>
      <c r="T2421" s="124"/>
      <c r="U2421" s="124"/>
      <c r="V2421" s="124"/>
      <c r="W2421" s="124"/>
      <c r="X2421" s="124"/>
      <c r="Y2421" s="124"/>
      <c r="Z2421" s="124"/>
    </row>
    <row r="2422">
      <c r="A2422" s="124"/>
      <c r="B2422" s="124"/>
      <c r="C2422" s="147"/>
      <c r="D2422" s="124"/>
      <c r="E2422" s="124"/>
      <c r="F2422" s="124"/>
      <c r="G2422" s="124"/>
      <c r="H2422" s="124"/>
      <c r="I2422" s="124"/>
      <c r="J2422" s="124"/>
      <c r="K2422" s="124"/>
      <c r="L2422" s="124"/>
      <c r="M2422" s="124"/>
      <c r="N2422" s="124"/>
      <c r="O2422" s="124"/>
      <c r="P2422" s="124"/>
      <c r="Q2422" s="124"/>
      <c r="R2422" s="124"/>
      <c r="S2422" s="124"/>
      <c r="T2422" s="124"/>
      <c r="U2422" s="124"/>
      <c r="V2422" s="124"/>
      <c r="W2422" s="124"/>
      <c r="X2422" s="124"/>
      <c r="Y2422" s="124"/>
      <c r="Z2422" s="124"/>
    </row>
    <row r="2423">
      <c r="A2423" s="124"/>
      <c r="B2423" s="124"/>
      <c r="C2423" s="147"/>
      <c r="D2423" s="124"/>
      <c r="E2423" s="124"/>
      <c r="F2423" s="124"/>
      <c r="G2423" s="124"/>
      <c r="H2423" s="124"/>
      <c r="I2423" s="124"/>
      <c r="J2423" s="124"/>
      <c r="K2423" s="124"/>
      <c r="L2423" s="124"/>
      <c r="M2423" s="124"/>
      <c r="N2423" s="124"/>
      <c r="O2423" s="124"/>
      <c r="P2423" s="124"/>
      <c r="Q2423" s="124"/>
      <c r="R2423" s="124"/>
      <c r="S2423" s="124"/>
      <c r="T2423" s="124"/>
      <c r="U2423" s="124"/>
      <c r="V2423" s="124"/>
      <c r="W2423" s="124"/>
      <c r="X2423" s="124"/>
      <c r="Y2423" s="124"/>
      <c r="Z2423" s="124"/>
    </row>
    <row r="2424">
      <c r="A2424" s="124"/>
      <c r="B2424" s="124"/>
      <c r="C2424" s="147"/>
      <c r="D2424" s="124"/>
      <c r="E2424" s="124"/>
      <c r="F2424" s="124"/>
      <c r="G2424" s="124"/>
      <c r="H2424" s="124"/>
      <c r="I2424" s="124"/>
      <c r="J2424" s="124"/>
      <c r="K2424" s="124"/>
      <c r="L2424" s="124"/>
      <c r="M2424" s="124"/>
      <c r="N2424" s="124"/>
      <c r="O2424" s="124"/>
      <c r="P2424" s="124"/>
      <c r="Q2424" s="124"/>
      <c r="R2424" s="124"/>
      <c r="S2424" s="124"/>
      <c r="T2424" s="124"/>
      <c r="U2424" s="124"/>
      <c r="V2424" s="124"/>
      <c r="W2424" s="124"/>
      <c r="X2424" s="124"/>
      <c r="Y2424" s="124"/>
      <c r="Z2424" s="124"/>
    </row>
    <row r="2425">
      <c r="A2425" s="124"/>
      <c r="B2425" s="124"/>
      <c r="C2425" s="147"/>
      <c r="D2425" s="124"/>
      <c r="E2425" s="124"/>
      <c r="F2425" s="124"/>
      <c r="G2425" s="124"/>
      <c r="H2425" s="124"/>
      <c r="I2425" s="124"/>
      <c r="J2425" s="124"/>
      <c r="K2425" s="124"/>
      <c r="L2425" s="124"/>
      <c r="M2425" s="124"/>
      <c r="N2425" s="124"/>
      <c r="O2425" s="124"/>
      <c r="P2425" s="124"/>
      <c r="Q2425" s="124"/>
      <c r="R2425" s="124"/>
      <c r="S2425" s="124"/>
      <c r="T2425" s="124"/>
      <c r="U2425" s="124"/>
      <c r="V2425" s="124"/>
      <c r="W2425" s="124"/>
      <c r="X2425" s="124"/>
      <c r="Y2425" s="124"/>
      <c r="Z2425" s="124"/>
    </row>
    <row r="2426">
      <c r="A2426" s="124"/>
      <c r="B2426" s="124"/>
      <c r="C2426" s="147"/>
      <c r="D2426" s="124"/>
      <c r="E2426" s="124"/>
      <c r="F2426" s="124"/>
      <c r="G2426" s="124"/>
      <c r="H2426" s="124"/>
      <c r="I2426" s="124"/>
      <c r="J2426" s="124"/>
      <c r="K2426" s="124"/>
      <c r="L2426" s="124"/>
      <c r="M2426" s="124"/>
      <c r="N2426" s="124"/>
      <c r="O2426" s="124"/>
      <c r="P2426" s="124"/>
      <c r="Q2426" s="124"/>
      <c r="R2426" s="124"/>
      <c r="S2426" s="124"/>
      <c r="T2426" s="124"/>
      <c r="U2426" s="124"/>
      <c r="V2426" s="124"/>
      <c r="W2426" s="124"/>
      <c r="X2426" s="124"/>
      <c r="Y2426" s="124"/>
      <c r="Z2426" s="124"/>
    </row>
    <row r="2427">
      <c r="A2427" s="124"/>
      <c r="B2427" s="124"/>
      <c r="C2427" s="147"/>
      <c r="D2427" s="124"/>
      <c r="E2427" s="124"/>
      <c r="F2427" s="124"/>
      <c r="G2427" s="124"/>
      <c r="H2427" s="124"/>
      <c r="I2427" s="124"/>
      <c r="J2427" s="124"/>
      <c r="K2427" s="124"/>
      <c r="L2427" s="124"/>
      <c r="M2427" s="124"/>
      <c r="N2427" s="124"/>
      <c r="O2427" s="124"/>
      <c r="P2427" s="124"/>
      <c r="Q2427" s="124"/>
      <c r="R2427" s="124"/>
      <c r="S2427" s="124"/>
      <c r="T2427" s="124"/>
      <c r="U2427" s="124"/>
      <c r="V2427" s="124"/>
      <c r="W2427" s="124"/>
      <c r="X2427" s="124"/>
      <c r="Y2427" s="124"/>
      <c r="Z2427" s="124"/>
    </row>
    <row r="2428">
      <c r="A2428" s="124"/>
      <c r="B2428" s="124"/>
      <c r="C2428" s="147"/>
      <c r="D2428" s="124"/>
      <c r="E2428" s="124"/>
      <c r="F2428" s="124"/>
      <c r="G2428" s="124"/>
      <c r="H2428" s="124"/>
      <c r="I2428" s="124"/>
      <c r="J2428" s="124"/>
      <c r="K2428" s="124"/>
      <c r="L2428" s="124"/>
      <c r="M2428" s="124"/>
      <c r="N2428" s="124"/>
      <c r="O2428" s="124"/>
      <c r="P2428" s="124"/>
      <c r="Q2428" s="124"/>
      <c r="R2428" s="124"/>
      <c r="S2428" s="124"/>
      <c r="T2428" s="124"/>
      <c r="U2428" s="124"/>
      <c r="V2428" s="124"/>
      <c r="W2428" s="124"/>
      <c r="X2428" s="124"/>
      <c r="Y2428" s="124"/>
      <c r="Z2428" s="124"/>
    </row>
    <row r="2429">
      <c r="A2429" s="124"/>
      <c r="B2429" s="124"/>
      <c r="C2429" s="147"/>
      <c r="D2429" s="124"/>
      <c r="E2429" s="124"/>
      <c r="F2429" s="124"/>
      <c r="G2429" s="124"/>
      <c r="H2429" s="124"/>
      <c r="I2429" s="124"/>
      <c r="J2429" s="124"/>
      <c r="K2429" s="124"/>
      <c r="L2429" s="124"/>
      <c r="M2429" s="124"/>
      <c r="N2429" s="124"/>
      <c r="O2429" s="124"/>
      <c r="P2429" s="124"/>
      <c r="Q2429" s="124"/>
      <c r="R2429" s="124"/>
      <c r="S2429" s="124"/>
      <c r="T2429" s="124"/>
      <c r="U2429" s="124"/>
      <c r="V2429" s="124"/>
      <c r="W2429" s="124"/>
      <c r="X2429" s="124"/>
      <c r="Y2429" s="124"/>
      <c r="Z2429" s="124"/>
    </row>
    <row r="2430">
      <c r="A2430" s="124"/>
      <c r="B2430" s="124"/>
      <c r="C2430" s="147"/>
      <c r="D2430" s="124"/>
      <c r="E2430" s="124"/>
      <c r="F2430" s="124"/>
      <c r="G2430" s="124"/>
      <c r="H2430" s="124"/>
      <c r="I2430" s="124"/>
      <c r="J2430" s="124"/>
      <c r="K2430" s="124"/>
      <c r="L2430" s="124"/>
      <c r="M2430" s="124"/>
      <c r="N2430" s="124"/>
      <c r="O2430" s="124"/>
      <c r="P2430" s="124"/>
      <c r="Q2430" s="124"/>
      <c r="R2430" s="124"/>
      <c r="S2430" s="124"/>
      <c r="T2430" s="124"/>
      <c r="U2430" s="124"/>
      <c r="V2430" s="124"/>
      <c r="W2430" s="124"/>
      <c r="X2430" s="124"/>
      <c r="Y2430" s="124"/>
      <c r="Z2430" s="124"/>
    </row>
    <row r="2431">
      <c r="A2431" s="124"/>
      <c r="B2431" s="124"/>
      <c r="C2431" s="147"/>
      <c r="D2431" s="124"/>
      <c r="E2431" s="124"/>
      <c r="F2431" s="124"/>
      <c r="G2431" s="124"/>
      <c r="H2431" s="124"/>
      <c r="I2431" s="124"/>
      <c r="J2431" s="124"/>
      <c r="K2431" s="124"/>
      <c r="L2431" s="124"/>
      <c r="M2431" s="124"/>
      <c r="N2431" s="124"/>
      <c r="O2431" s="124"/>
      <c r="P2431" s="124"/>
      <c r="Q2431" s="124"/>
      <c r="R2431" s="124"/>
      <c r="S2431" s="124"/>
      <c r="T2431" s="124"/>
      <c r="U2431" s="124"/>
      <c r="V2431" s="124"/>
      <c r="W2431" s="124"/>
      <c r="X2431" s="124"/>
      <c r="Y2431" s="124"/>
      <c r="Z2431" s="124"/>
    </row>
    <row r="2432">
      <c r="A2432" s="124"/>
      <c r="B2432" s="124"/>
      <c r="C2432" s="147"/>
      <c r="D2432" s="124"/>
      <c r="E2432" s="124"/>
      <c r="F2432" s="124"/>
      <c r="G2432" s="124"/>
      <c r="H2432" s="124"/>
      <c r="I2432" s="124"/>
      <c r="J2432" s="124"/>
      <c r="K2432" s="124"/>
      <c r="L2432" s="124"/>
      <c r="M2432" s="124"/>
      <c r="N2432" s="124"/>
      <c r="O2432" s="124"/>
      <c r="P2432" s="124"/>
      <c r="Q2432" s="124"/>
      <c r="R2432" s="124"/>
      <c r="S2432" s="124"/>
      <c r="T2432" s="124"/>
      <c r="U2432" s="124"/>
      <c r="V2432" s="124"/>
      <c r="W2432" s="124"/>
      <c r="X2432" s="124"/>
      <c r="Y2432" s="124"/>
      <c r="Z2432" s="124"/>
    </row>
    <row r="2433">
      <c r="A2433" s="124"/>
      <c r="B2433" s="124"/>
      <c r="C2433" s="147"/>
      <c r="D2433" s="124"/>
      <c r="E2433" s="124"/>
      <c r="F2433" s="124"/>
      <c r="G2433" s="124"/>
      <c r="H2433" s="124"/>
      <c r="I2433" s="124"/>
      <c r="J2433" s="124"/>
      <c r="K2433" s="124"/>
      <c r="L2433" s="124"/>
      <c r="M2433" s="124"/>
      <c r="N2433" s="124"/>
      <c r="O2433" s="124"/>
      <c r="P2433" s="124"/>
      <c r="Q2433" s="124"/>
      <c r="R2433" s="124"/>
      <c r="S2433" s="124"/>
      <c r="T2433" s="124"/>
      <c r="U2433" s="124"/>
      <c r="V2433" s="124"/>
      <c r="W2433" s="124"/>
      <c r="X2433" s="124"/>
      <c r="Y2433" s="124"/>
      <c r="Z2433" s="124"/>
    </row>
    <row r="2434">
      <c r="A2434" s="124"/>
      <c r="B2434" s="124"/>
      <c r="C2434" s="147"/>
      <c r="D2434" s="124"/>
      <c r="E2434" s="124"/>
      <c r="F2434" s="124"/>
      <c r="G2434" s="124"/>
      <c r="H2434" s="124"/>
      <c r="I2434" s="124"/>
      <c r="J2434" s="124"/>
      <c r="K2434" s="124"/>
      <c r="L2434" s="124"/>
      <c r="M2434" s="124"/>
      <c r="N2434" s="124"/>
      <c r="O2434" s="124"/>
      <c r="P2434" s="124"/>
      <c r="Q2434" s="124"/>
      <c r="R2434" s="124"/>
      <c r="S2434" s="124"/>
      <c r="T2434" s="124"/>
      <c r="U2434" s="124"/>
      <c r="V2434" s="124"/>
      <c r="W2434" s="124"/>
      <c r="X2434" s="124"/>
      <c r="Y2434" s="124"/>
      <c r="Z2434" s="124"/>
    </row>
    <row r="2435">
      <c r="A2435" s="124"/>
      <c r="B2435" s="124"/>
      <c r="C2435" s="147"/>
      <c r="D2435" s="124"/>
      <c r="E2435" s="124"/>
      <c r="F2435" s="124"/>
      <c r="G2435" s="124"/>
      <c r="H2435" s="124"/>
      <c r="I2435" s="124"/>
      <c r="J2435" s="124"/>
      <c r="K2435" s="124"/>
      <c r="L2435" s="124"/>
      <c r="M2435" s="124"/>
      <c r="N2435" s="124"/>
      <c r="O2435" s="124"/>
      <c r="P2435" s="124"/>
      <c r="Q2435" s="124"/>
      <c r="R2435" s="124"/>
      <c r="S2435" s="124"/>
      <c r="T2435" s="124"/>
      <c r="U2435" s="124"/>
      <c r="V2435" s="124"/>
      <c r="W2435" s="124"/>
      <c r="X2435" s="124"/>
      <c r="Y2435" s="124"/>
      <c r="Z2435" s="124"/>
    </row>
    <row r="2436">
      <c r="A2436" s="124"/>
      <c r="B2436" s="124"/>
      <c r="C2436" s="147"/>
      <c r="D2436" s="124"/>
      <c r="E2436" s="124"/>
      <c r="F2436" s="124"/>
      <c r="G2436" s="124"/>
      <c r="H2436" s="124"/>
      <c r="I2436" s="124"/>
      <c r="J2436" s="124"/>
      <c r="K2436" s="124"/>
      <c r="L2436" s="124"/>
      <c r="M2436" s="124"/>
      <c r="N2436" s="124"/>
      <c r="O2436" s="124"/>
      <c r="P2436" s="124"/>
      <c r="Q2436" s="124"/>
      <c r="R2436" s="124"/>
      <c r="S2436" s="124"/>
      <c r="T2436" s="124"/>
      <c r="U2436" s="124"/>
      <c r="V2436" s="124"/>
      <c r="W2436" s="124"/>
      <c r="X2436" s="124"/>
      <c r="Y2436" s="124"/>
      <c r="Z2436" s="124"/>
    </row>
    <row r="2437">
      <c r="A2437" s="124"/>
      <c r="B2437" s="124"/>
      <c r="C2437" s="147"/>
      <c r="D2437" s="124"/>
      <c r="E2437" s="124"/>
      <c r="F2437" s="124"/>
      <c r="G2437" s="124"/>
      <c r="H2437" s="124"/>
      <c r="I2437" s="124"/>
      <c r="J2437" s="124"/>
      <c r="K2437" s="124"/>
      <c r="L2437" s="124"/>
      <c r="M2437" s="124"/>
      <c r="N2437" s="124"/>
      <c r="O2437" s="124"/>
      <c r="P2437" s="124"/>
      <c r="Q2437" s="124"/>
      <c r="R2437" s="124"/>
      <c r="S2437" s="124"/>
      <c r="T2437" s="124"/>
      <c r="U2437" s="124"/>
      <c r="V2437" s="124"/>
      <c r="W2437" s="124"/>
      <c r="X2437" s="124"/>
      <c r="Y2437" s="124"/>
      <c r="Z2437" s="124"/>
    </row>
    <row r="2438">
      <c r="A2438" s="124"/>
      <c r="B2438" s="124"/>
      <c r="C2438" s="147"/>
      <c r="D2438" s="124"/>
      <c r="E2438" s="124"/>
      <c r="F2438" s="124"/>
      <c r="G2438" s="124"/>
      <c r="H2438" s="124"/>
      <c r="I2438" s="124"/>
      <c r="J2438" s="124"/>
      <c r="K2438" s="124"/>
      <c r="L2438" s="124"/>
      <c r="M2438" s="124"/>
      <c r="N2438" s="124"/>
      <c r="O2438" s="124"/>
      <c r="P2438" s="124"/>
      <c r="Q2438" s="124"/>
      <c r="R2438" s="124"/>
      <c r="S2438" s="124"/>
      <c r="T2438" s="124"/>
      <c r="U2438" s="124"/>
      <c r="V2438" s="124"/>
      <c r="W2438" s="124"/>
      <c r="X2438" s="124"/>
      <c r="Y2438" s="124"/>
      <c r="Z2438" s="124"/>
    </row>
    <row r="2439">
      <c r="A2439" s="124"/>
      <c r="B2439" s="124"/>
      <c r="C2439" s="147"/>
      <c r="D2439" s="124"/>
      <c r="E2439" s="124"/>
      <c r="F2439" s="124"/>
      <c r="G2439" s="124"/>
      <c r="H2439" s="124"/>
      <c r="I2439" s="124"/>
      <c r="J2439" s="124"/>
      <c r="K2439" s="124"/>
      <c r="L2439" s="124"/>
      <c r="M2439" s="124"/>
      <c r="N2439" s="124"/>
      <c r="O2439" s="124"/>
      <c r="P2439" s="124"/>
      <c r="Q2439" s="124"/>
      <c r="R2439" s="124"/>
      <c r="S2439" s="124"/>
      <c r="T2439" s="124"/>
      <c r="U2439" s="124"/>
      <c r="V2439" s="124"/>
      <c r="W2439" s="124"/>
      <c r="X2439" s="124"/>
      <c r="Y2439" s="124"/>
      <c r="Z2439" s="124"/>
    </row>
    <row r="2440">
      <c r="A2440" s="124"/>
      <c r="B2440" s="124"/>
      <c r="C2440" s="147"/>
      <c r="D2440" s="124"/>
      <c r="E2440" s="124"/>
      <c r="F2440" s="124"/>
      <c r="G2440" s="124"/>
      <c r="H2440" s="124"/>
      <c r="I2440" s="124"/>
      <c r="J2440" s="124"/>
      <c r="K2440" s="124"/>
      <c r="L2440" s="124"/>
      <c r="M2440" s="124"/>
      <c r="N2440" s="124"/>
      <c r="O2440" s="124"/>
      <c r="P2440" s="124"/>
      <c r="Q2440" s="124"/>
      <c r="R2440" s="124"/>
      <c r="S2440" s="124"/>
      <c r="T2440" s="124"/>
      <c r="U2440" s="124"/>
      <c r="V2440" s="124"/>
      <c r="W2440" s="124"/>
      <c r="X2440" s="124"/>
      <c r="Y2440" s="124"/>
      <c r="Z2440" s="124"/>
    </row>
    <row r="2441">
      <c r="A2441" s="124"/>
      <c r="B2441" s="124"/>
      <c r="C2441" s="147"/>
      <c r="D2441" s="124"/>
      <c r="E2441" s="124"/>
      <c r="F2441" s="124"/>
      <c r="G2441" s="124"/>
      <c r="H2441" s="124"/>
      <c r="I2441" s="124"/>
      <c r="J2441" s="124"/>
      <c r="K2441" s="124"/>
      <c r="L2441" s="124"/>
      <c r="M2441" s="124"/>
      <c r="N2441" s="124"/>
      <c r="O2441" s="124"/>
      <c r="P2441" s="124"/>
      <c r="Q2441" s="124"/>
      <c r="R2441" s="124"/>
      <c r="S2441" s="124"/>
      <c r="T2441" s="124"/>
      <c r="U2441" s="124"/>
      <c r="V2441" s="124"/>
      <c r="W2441" s="124"/>
      <c r="X2441" s="124"/>
      <c r="Y2441" s="124"/>
      <c r="Z2441" s="124"/>
    </row>
    <row r="2442">
      <c r="A2442" s="124"/>
      <c r="B2442" s="124"/>
      <c r="C2442" s="147"/>
      <c r="D2442" s="124"/>
      <c r="E2442" s="124"/>
      <c r="F2442" s="124"/>
      <c r="G2442" s="124"/>
      <c r="H2442" s="124"/>
      <c r="I2442" s="124"/>
      <c r="J2442" s="124"/>
      <c r="K2442" s="124"/>
      <c r="L2442" s="124"/>
      <c r="M2442" s="124"/>
      <c r="N2442" s="124"/>
      <c r="O2442" s="124"/>
      <c r="P2442" s="124"/>
      <c r="Q2442" s="124"/>
      <c r="R2442" s="124"/>
      <c r="S2442" s="124"/>
      <c r="T2442" s="124"/>
      <c r="U2442" s="124"/>
      <c r="V2442" s="124"/>
      <c r="W2442" s="124"/>
      <c r="X2442" s="124"/>
      <c r="Y2442" s="124"/>
      <c r="Z2442" s="124"/>
    </row>
    <row r="2443">
      <c r="A2443" s="124"/>
      <c r="B2443" s="124"/>
      <c r="C2443" s="147"/>
      <c r="D2443" s="124"/>
      <c r="E2443" s="124"/>
      <c r="F2443" s="124"/>
      <c r="G2443" s="124"/>
      <c r="H2443" s="124"/>
      <c r="I2443" s="124"/>
      <c r="J2443" s="124"/>
      <c r="K2443" s="124"/>
      <c r="L2443" s="124"/>
      <c r="M2443" s="124"/>
      <c r="N2443" s="124"/>
      <c r="O2443" s="124"/>
      <c r="P2443" s="124"/>
      <c r="Q2443" s="124"/>
      <c r="R2443" s="124"/>
      <c r="S2443" s="124"/>
      <c r="T2443" s="124"/>
      <c r="U2443" s="124"/>
      <c r="V2443" s="124"/>
      <c r="W2443" s="124"/>
      <c r="X2443" s="124"/>
      <c r="Y2443" s="124"/>
      <c r="Z2443" s="124"/>
    </row>
    <row r="2444">
      <c r="A2444" s="124"/>
      <c r="B2444" s="124"/>
      <c r="C2444" s="147"/>
      <c r="D2444" s="124"/>
      <c r="E2444" s="124"/>
      <c r="F2444" s="124"/>
      <c r="G2444" s="124"/>
      <c r="H2444" s="124"/>
      <c r="I2444" s="124"/>
      <c r="J2444" s="124"/>
      <c r="K2444" s="124"/>
      <c r="L2444" s="124"/>
      <c r="M2444" s="124"/>
      <c r="N2444" s="124"/>
      <c r="O2444" s="124"/>
      <c r="P2444" s="124"/>
      <c r="Q2444" s="124"/>
      <c r="R2444" s="124"/>
      <c r="S2444" s="124"/>
      <c r="T2444" s="124"/>
      <c r="U2444" s="124"/>
      <c r="V2444" s="124"/>
      <c r="W2444" s="124"/>
      <c r="X2444" s="124"/>
      <c r="Y2444" s="124"/>
      <c r="Z2444" s="124"/>
    </row>
    <row r="2445">
      <c r="A2445" s="124"/>
      <c r="B2445" s="124"/>
      <c r="C2445" s="147"/>
      <c r="D2445" s="124"/>
      <c r="E2445" s="124"/>
      <c r="F2445" s="124"/>
      <c r="G2445" s="124"/>
      <c r="H2445" s="124"/>
      <c r="I2445" s="124"/>
      <c r="J2445" s="124"/>
      <c r="K2445" s="124"/>
      <c r="L2445" s="124"/>
      <c r="M2445" s="124"/>
      <c r="N2445" s="124"/>
      <c r="O2445" s="124"/>
      <c r="P2445" s="124"/>
      <c r="Q2445" s="124"/>
      <c r="R2445" s="124"/>
      <c r="S2445" s="124"/>
      <c r="T2445" s="124"/>
      <c r="U2445" s="124"/>
      <c r="V2445" s="124"/>
      <c r="W2445" s="124"/>
      <c r="X2445" s="124"/>
      <c r="Y2445" s="124"/>
      <c r="Z2445" s="124"/>
    </row>
    <row r="2446">
      <c r="A2446" s="124"/>
      <c r="B2446" s="124"/>
      <c r="C2446" s="147"/>
      <c r="D2446" s="124"/>
      <c r="E2446" s="124"/>
      <c r="F2446" s="124"/>
      <c r="G2446" s="124"/>
      <c r="H2446" s="124"/>
      <c r="I2446" s="124"/>
      <c r="J2446" s="124"/>
      <c r="K2446" s="124"/>
      <c r="L2446" s="124"/>
      <c r="M2446" s="124"/>
      <c r="N2446" s="124"/>
      <c r="O2446" s="124"/>
      <c r="P2446" s="124"/>
      <c r="Q2446" s="124"/>
      <c r="R2446" s="124"/>
      <c r="S2446" s="124"/>
      <c r="T2446" s="124"/>
      <c r="U2446" s="124"/>
      <c r="V2446" s="124"/>
      <c r="W2446" s="124"/>
      <c r="X2446" s="124"/>
      <c r="Y2446" s="124"/>
      <c r="Z2446" s="124"/>
    </row>
    <row r="2447">
      <c r="A2447" s="124"/>
      <c r="B2447" s="124"/>
      <c r="C2447" s="147"/>
      <c r="D2447" s="124"/>
      <c r="E2447" s="124"/>
      <c r="F2447" s="124"/>
      <c r="G2447" s="124"/>
      <c r="H2447" s="124"/>
      <c r="I2447" s="124"/>
      <c r="J2447" s="124"/>
      <c r="K2447" s="124"/>
      <c r="L2447" s="124"/>
      <c r="M2447" s="124"/>
      <c r="N2447" s="124"/>
      <c r="O2447" s="124"/>
      <c r="P2447" s="124"/>
      <c r="Q2447" s="124"/>
      <c r="R2447" s="124"/>
      <c r="S2447" s="124"/>
      <c r="T2447" s="124"/>
      <c r="U2447" s="124"/>
      <c r="V2447" s="124"/>
      <c r="W2447" s="124"/>
      <c r="X2447" s="124"/>
      <c r="Y2447" s="124"/>
      <c r="Z2447" s="124"/>
    </row>
    <row r="2448">
      <c r="A2448" s="124"/>
      <c r="B2448" s="124"/>
      <c r="C2448" s="147"/>
      <c r="D2448" s="124"/>
      <c r="E2448" s="124"/>
      <c r="F2448" s="124"/>
      <c r="G2448" s="124"/>
      <c r="H2448" s="124"/>
      <c r="I2448" s="124"/>
      <c r="J2448" s="124"/>
      <c r="K2448" s="124"/>
      <c r="L2448" s="124"/>
      <c r="M2448" s="124"/>
      <c r="N2448" s="124"/>
      <c r="O2448" s="124"/>
      <c r="P2448" s="124"/>
      <c r="Q2448" s="124"/>
      <c r="R2448" s="124"/>
      <c r="S2448" s="124"/>
      <c r="T2448" s="124"/>
      <c r="U2448" s="124"/>
      <c r="V2448" s="124"/>
      <c r="W2448" s="124"/>
      <c r="X2448" s="124"/>
      <c r="Y2448" s="124"/>
      <c r="Z2448" s="124"/>
    </row>
    <row r="2449">
      <c r="A2449" s="124"/>
      <c r="B2449" s="124"/>
      <c r="C2449" s="147"/>
      <c r="D2449" s="124"/>
      <c r="E2449" s="124"/>
      <c r="F2449" s="124"/>
      <c r="G2449" s="124"/>
      <c r="H2449" s="124"/>
      <c r="I2449" s="124"/>
      <c r="J2449" s="124"/>
      <c r="K2449" s="124"/>
      <c r="L2449" s="124"/>
      <c r="M2449" s="124"/>
      <c r="N2449" s="124"/>
      <c r="O2449" s="124"/>
      <c r="P2449" s="124"/>
      <c r="Q2449" s="124"/>
      <c r="R2449" s="124"/>
      <c r="S2449" s="124"/>
      <c r="T2449" s="124"/>
      <c r="U2449" s="124"/>
      <c r="V2449" s="124"/>
      <c r="W2449" s="124"/>
      <c r="X2449" s="124"/>
      <c r="Y2449" s="124"/>
      <c r="Z2449" s="124"/>
    </row>
    <row r="2450">
      <c r="A2450" s="124"/>
      <c r="B2450" s="124"/>
      <c r="C2450" s="147"/>
      <c r="D2450" s="124"/>
      <c r="E2450" s="124"/>
      <c r="F2450" s="124"/>
      <c r="G2450" s="124"/>
      <c r="H2450" s="124"/>
      <c r="I2450" s="124"/>
      <c r="J2450" s="124"/>
      <c r="K2450" s="124"/>
      <c r="L2450" s="124"/>
      <c r="M2450" s="124"/>
      <c r="N2450" s="124"/>
      <c r="O2450" s="124"/>
      <c r="P2450" s="124"/>
      <c r="Q2450" s="124"/>
      <c r="R2450" s="124"/>
      <c r="S2450" s="124"/>
      <c r="T2450" s="124"/>
      <c r="U2450" s="124"/>
      <c r="V2450" s="124"/>
      <c r="W2450" s="124"/>
      <c r="X2450" s="124"/>
      <c r="Y2450" s="124"/>
      <c r="Z2450" s="124"/>
    </row>
    <row r="2451">
      <c r="A2451" s="124"/>
      <c r="B2451" s="124"/>
      <c r="C2451" s="147"/>
      <c r="D2451" s="124"/>
      <c r="E2451" s="124"/>
      <c r="F2451" s="124"/>
      <c r="G2451" s="124"/>
      <c r="H2451" s="124"/>
      <c r="I2451" s="124"/>
      <c r="J2451" s="124"/>
      <c r="K2451" s="124"/>
      <c r="L2451" s="124"/>
      <c r="M2451" s="124"/>
      <c r="N2451" s="124"/>
      <c r="O2451" s="124"/>
      <c r="P2451" s="124"/>
      <c r="Q2451" s="124"/>
      <c r="R2451" s="124"/>
      <c r="S2451" s="124"/>
      <c r="T2451" s="124"/>
      <c r="U2451" s="124"/>
      <c r="V2451" s="124"/>
      <c r="W2451" s="124"/>
      <c r="X2451" s="124"/>
      <c r="Y2451" s="124"/>
      <c r="Z2451" s="124"/>
    </row>
    <row r="2452">
      <c r="A2452" s="124"/>
      <c r="B2452" s="124"/>
      <c r="C2452" s="147"/>
      <c r="D2452" s="124"/>
      <c r="E2452" s="124"/>
      <c r="F2452" s="124"/>
      <c r="G2452" s="124"/>
      <c r="H2452" s="124"/>
      <c r="I2452" s="124"/>
      <c r="J2452" s="124"/>
      <c r="K2452" s="124"/>
      <c r="L2452" s="124"/>
      <c r="M2452" s="124"/>
      <c r="N2452" s="124"/>
      <c r="O2452" s="124"/>
      <c r="P2452" s="124"/>
      <c r="Q2452" s="124"/>
      <c r="R2452" s="124"/>
      <c r="S2452" s="124"/>
      <c r="T2452" s="124"/>
      <c r="U2452" s="124"/>
      <c r="V2452" s="124"/>
      <c r="W2452" s="124"/>
      <c r="X2452" s="124"/>
      <c r="Y2452" s="124"/>
      <c r="Z2452" s="124"/>
    </row>
    <row r="2453">
      <c r="A2453" s="124"/>
      <c r="B2453" s="124"/>
      <c r="C2453" s="147"/>
      <c r="D2453" s="124"/>
      <c r="E2453" s="124"/>
      <c r="F2453" s="124"/>
      <c r="G2453" s="124"/>
      <c r="H2453" s="124"/>
      <c r="I2453" s="124"/>
      <c r="J2453" s="124"/>
      <c r="K2453" s="124"/>
      <c r="L2453" s="124"/>
      <c r="M2453" s="124"/>
      <c r="N2453" s="124"/>
      <c r="O2453" s="124"/>
      <c r="P2453" s="124"/>
      <c r="Q2453" s="124"/>
      <c r="R2453" s="124"/>
      <c r="S2453" s="124"/>
      <c r="T2453" s="124"/>
      <c r="U2453" s="124"/>
      <c r="V2453" s="124"/>
      <c r="W2453" s="124"/>
      <c r="X2453" s="124"/>
      <c r="Y2453" s="124"/>
      <c r="Z2453" s="124"/>
    </row>
    <row r="2454">
      <c r="A2454" s="124"/>
      <c r="B2454" s="124"/>
      <c r="C2454" s="147"/>
      <c r="D2454" s="124"/>
      <c r="E2454" s="124"/>
      <c r="F2454" s="124"/>
      <c r="G2454" s="124"/>
      <c r="H2454" s="124"/>
      <c r="I2454" s="124"/>
      <c r="J2454" s="124"/>
      <c r="K2454" s="124"/>
      <c r="L2454" s="124"/>
      <c r="M2454" s="124"/>
      <c r="N2454" s="124"/>
      <c r="O2454" s="124"/>
      <c r="P2454" s="124"/>
      <c r="Q2454" s="124"/>
      <c r="R2454" s="124"/>
      <c r="S2454" s="124"/>
      <c r="T2454" s="124"/>
      <c r="U2454" s="124"/>
      <c r="V2454" s="124"/>
      <c r="W2454" s="124"/>
      <c r="X2454" s="124"/>
      <c r="Y2454" s="124"/>
      <c r="Z2454" s="124"/>
    </row>
    <row r="2455">
      <c r="A2455" s="124"/>
      <c r="B2455" s="124"/>
      <c r="C2455" s="147"/>
      <c r="D2455" s="124"/>
      <c r="E2455" s="124"/>
      <c r="F2455" s="124"/>
      <c r="G2455" s="124"/>
      <c r="H2455" s="124"/>
      <c r="I2455" s="124"/>
      <c r="J2455" s="124"/>
      <c r="K2455" s="124"/>
      <c r="L2455" s="124"/>
      <c r="M2455" s="124"/>
      <c r="N2455" s="124"/>
      <c r="O2455" s="124"/>
      <c r="P2455" s="124"/>
      <c r="Q2455" s="124"/>
      <c r="R2455" s="124"/>
      <c r="S2455" s="124"/>
      <c r="T2455" s="124"/>
      <c r="U2455" s="124"/>
      <c r="V2455" s="124"/>
      <c r="W2455" s="124"/>
      <c r="X2455" s="124"/>
      <c r="Y2455" s="124"/>
      <c r="Z2455" s="124"/>
    </row>
    <row r="2456">
      <c r="A2456" s="124"/>
      <c r="B2456" s="124"/>
      <c r="C2456" s="147"/>
      <c r="D2456" s="124"/>
      <c r="E2456" s="124"/>
      <c r="F2456" s="124"/>
      <c r="G2456" s="124"/>
      <c r="H2456" s="124"/>
      <c r="I2456" s="124"/>
      <c r="J2456" s="124"/>
      <c r="K2456" s="124"/>
      <c r="L2456" s="124"/>
      <c r="M2456" s="124"/>
      <c r="N2456" s="124"/>
      <c r="O2456" s="124"/>
      <c r="P2456" s="124"/>
      <c r="Q2456" s="124"/>
      <c r="R2456" s="124"/>
      <c r="S2456" s="124"/>
      <c r="T2456" s="124"/>
      <c r="U2456" s="124"/>
      <c r="V2456" s="124"/>
      <c r="W2456" s="124"/>
      <c r="X2456" s="124"/>
      <c r="Y2456" s="124"/>
      <c r="Z2456" s="124"/>
    </row>
    <row r="2457">
      <c r="A2457" s="124"/>
      <c r="B2457" s="124"/>
      <c r="C2457" s="147"/>
      <c r="D2457" s="124"/>
      <c r="E2457" s="124"/>
      <c r="F2457" s="124"/>
      <c r="G2457" s="124"/>
      <c r="H2457" s="124"/>
      <c r="I2457" s="124"/>
      <c r="J2457" s="124"/>
      <c r="K2457" s="124"/>
      <c r="L2457" s="124"/>
      <c r="M2457" s="124"/>
      <c r="N2457" s="124"/>
      <c r="O2457" s="124"/>
      <c r="P2457" s="124"/>
      <c r="Q2457" s="124"/>
      <c r="R2457" s="124"/>
      <c r="S2457" s="124"/>
      <c r="T2457" s="124"/>
      <c r="U2457" s="124"/>
      <c r="V2457" s="124"/>
      <c r="W2457" s="124"/>
      <c r="X2457" s="124"/>
      <c r="Y2457" s="124"/>
      <c r="Z2457" s="124"/>
    </row>
    <row r="2458">
      <c r="A2458" s="124"/>
      <c r="B2458" s="124"/>
      <c r="C2458" s="147"/>
      <c r="D2458" s="124"/>
      <c r="E2458" s="124"/>
      <c r="F2458" s="124"/>
      <c r="G2458" s="124"/>
      <c r="H2458" s="124"/>
      <c r="I2458" s="124"/>
      <c r="J2458" s="124"/>
      <c r="K2458" s="124"/>
      <c r="L2458" s="124"/>
      <c r="M2458" s="124"/>
      <c r="N2458" s="124"/>
      <c r="O2458" s="124"/>
      <c r="P2458" s="124"/>
      <c r="Q2458" s="124"/>
      <c r="R2458" s="124"/>
      <c r="S2458" s="124"/>
      <c r="T2458" s="124"/>
      <c r="U2458" s="124"/>
      <c r="V2458" s="124"/>
      <c r="W2458" s="124"/>
      <c r="X2458" s="124"/>
      <c r="Y2458" s="124"/>
      <c r="Z2458" s="124"/>
    </row>
    <row r="2459">
      <c r="A2459" s="124"/>
      <c r="B2459" s="124"/>
      <c r="C2459" s="147"/>
      <c r="D2459" s="124"/>
      <c r="E2459" s="124"/>
      <c r="F2459" s="124"/>
      <c r="G2459" s="124"/>
      <c r="H2459" s="124"/>
      <c r="I2459" s="124"/>
      <c r="J2459" s="124"/>
      <c r="K2459" s="124"/>
      <c r="L2459" s="124"/>
      <c r="M2459" s="124"/>
      <c r="N2459" s="124"/>
      <c r="O2459" s="124"/>
      <c r="P2459" s="124"/>
      <c r="Q2459" s="124"/>
      <c r="R2459" s="124"/>
      <c r="S2459" s="124"/>
      <c r="T2459" s="124"/>
      <c r="U2459" s="124"/>
      <c r="V2459" s="124"/>
      <c r="W2459" s="124"/>
      <c r="X2459" s="124"/>
      <c r="Y2459" s="124"/>
      <c r="Z2459" s="124"/>
    </row>
    <row r="2460">
      <c r="A2460" s="124"/>
      <c r="B2460" s="124"/>
      <c r="C2460" s="147"/>
      <c r="D2460" s="124"/>
      <c r="E2460" s="124"/>
      <c r="F2460" s="124"/>
      <c r="G2460" s="124"/>
      <c r="H2460" s="124"/>
      <c r="I2460" s="124"/>
      <c r="J2460" s="124"/>
      <c r="K2460" s="124"/>
      <c r="L2460" s="124"/>
      <c r="M2460" s="124"/>
      <c r="N2460" s="124"/>
      <c r="O2460" s="124"/>
      <c r="P2460" s="124"/>
      <c r="Q2460" s="124"/>
      <c r="R2460" s="124"/>
      <c r="S2460" s="124"/>
      <c r="T2460" s="124"/>
      <c r="U2460" s="124"/>
      <c r="V2460" s="124"/>
      <c r="W2460" s="124"/>
      <c r="X2460" s="124"/>
      <c r="Y2460" s="124"/>
      <c r="Z2460" s="124"/>
    </row>
    <row r="2461">
      <c r="A2461" s="124"/>
      <c r="B2461" s="124"/>
      <c r="C2461" s="147"/>
      <c r="D2461" s="124"/>
      <c r="E2461" s="124"/>
      <c r="F2461" s="124"/>
      <c r="G2461" s="124"/>
      <c r="H2461" s="124"/>
      <c r="I2461" s="124"/>
      <c r="J2461" s="124"/>
      <c r="K2461" s="124"/>
      <c r="L2461" s="124"/>
      <c r="M2461" s="124"/>
      <c r="N2461" s="124"/>
      <c r="O2461" s="124"/>
      <c r="P2461" s="124"/>
      <c r="Q2461" s="124"/>
      <c r="R2461" s="124"/>
      <c r="S2461" s="124"/>
      <c r="T2461" s="124"/>
      <c r="U2461" s="124"/>
      <c r="V2461" s="124"/>
      <c r="W2461" s="124"/>
      <c r="X2461" s="124"/>
      <c r="Y2461" s="124"/>
      <c r="Z2461" s="124"/>
    </row>
    <row r="2462">
      <c r="A2462" s="124"/>
      <c r="B2462" s="124"/>
      <c r="C2462" s="147"/>
      <c r="D2462" s="124"/>
      <c r="E2462" s="124"/>
      <c r="F2462" s="124"/>
      <c r="G2462" s="124"/>
      <c r="H2462" s="124"/>
      <c r="I2462" s="124"/>
      <c r="J2462" s="124"/>
      <c r="K2462" s="124"/>
      <c r="L2462" s="124"/>
      <c r="M2462" s="124"/>
      <c r="N2462" s="124"/>
      <c r="O2462" s="124"/>
      <c r="P2462" s="124"/>
      <c r="Q2462" s="124"/>
      <c r="R2462" s="124"/>
      <c r="S2462" s="124"/>
      <c r="T2462" s="124"/>
      <c r="U2462" s="124"/>
      <c r="V2462" s="124"/>
      <c r="W2462" s="124"/>
      <c r="X2462" s="124"/>
      <c r="Y2462" s="124"/>
      <c r="Z2462" s="124"/>
    </row>
    <row r="2463">
      <c r="A2463" s="124"/>
      <c r="B2463" s="124"/>
      <c r="C2463" s="147"/>
      <c r="D2463" s="124"/>
      <c r="E2463" s="124"/>
      <c r="F2463" s="124"/>
      <c r="G2463" s="124"/>
      <c r="H2463" s="124"/>
      <c r="I2463" s="124"/>
      <c r="J2463" s="124"/>
      <c r="K2463" s="124"/>
      <c r="L2463" s="124"/>
      <c r="M2463" s="124"/>
      <c r="N2463" s="124"/>
      <c r="O2463" s="124"/>
      <c r="P2463" s="124"/>
      <c r="Q2463" s="124"/>
      <c r="R2463" s="124"/>
      <c r="S2463" s="124"/>
      <c r="T2463" s="124"/>
      <c r="U2463" s="124"/>
      <c r="V2463" s="124"/>
      <c r="W2463" s="124"/>
      <c r="X2463" s="124"/>
      <c r="Y2463" s="124"/>
      <c r="Z2463" s="124"/>
    </row>
    <row r="2464">
      <c r="A2464" s="124"/>
      <c r="B2464" s="124"/>
      <c r="C2464" s="147"/>
      <c r="D2464" s="124"/>
      <c r="E2464" s="124"/>
      <c r="F2464" s="124"/>
      <c r="G2464" s="124"/>
      <c r="H2464" s="124"/>
      <c r="I2464" s="124"/>
      <c r="J2464" s="124"/>
      <c r="K2464" s="124"/>
      <c r="L2464" s="124"/>
      <c r="M2464" s="124"/>
      <c r="N2464" s="124"/>
      <c r="O2464" s="124"/>
      <c r="P2464" s="124"/>
      <c r="Q2464" s="124"/>
      <c r="R2464" s="124"/>
      <c r="S2464" s="124"/>
      <c r="T2464" s="124"/>
      <c r="U2464" s="124"/>
      <c r="V2464" s="124"/>
      <c r="W2464" s="124"/>
      <c r="X2464" s="124"/>
      <c r="Y2464" s="124"/>
      <c r="Z2464" s="124"/>
    </row>
    <row r="2465">
      <c r="A2465" s="124"/>
      <c r="B2465" s="124"/>
      <c r="C2465" s="147"/>
      <c r="D2465" s="124"/>
      <c r="E2465" s="124"/>
      <c r="F2465" s="124"/>
      <c r="G2465" s="124"/>
      <c r="H2465" s="124"/>
      <c r="I2465" s="124"/>
      <c r="J2465" s="124"/>
      <c r="K2465" s="124"/>
      <c r="L2465" s="124"/>
      <c r="M2465" s="124"/>
      <c r="N2465" s="124"/>
      <c r="O2465" s="124"/>
      <c r="P2465" s="124"/>
      <c r="Q2465" s="124"/>
      <c r="R2465" s="124"/>
      <c r="S2465" s="124"/>
      <c r="T2465" s="124"/>
      <c r="U2465" s="124"/>
      <c r="V2465" s="124"/>
      <c r="W2465" s="124"/>
      <c r="X2465" s="124"/>
      <c r="Y2465" s="124"/>
      <c r="Z2465" s="124"/>
    </row>
    <row r="2466">
      <c r="A2466" s="124"/>
      <c r="B2466" s="124"/>
      <c r="C2466" s="147"/>
      <c r="D2466" s="124"/>
      <c r="E2466" s="124"/>
      <c r="F2466" s="124"/>
      <c r="G2466" s="124"/>
      <c r="H2466" s="124"/>
      <c r="I2466" s="124"/>
      <c r="J2466" s="124"/>
      <c r="K2466" s="124"/>
      <c r="L2466" s="124"/>
      <c r="M2466" s="124"/>
      <c r="N2466" s="124"/>
      <c r="O2466" s="124"/>
      <c r="P2466" s="124"/>
      <c r="Q2466" s="124"/>
      <c r="R2466" s="124"/>
      <c r="S2466" s="124"/>
      <c r="T2466" s="124"/>
      <c r="U2466" s="124"/>
      <c r="V2466" s="124"/>
      <c r="W2466" s="124"/>
      <c r="X2466" s="124"/>
      <c r="Y2466" s="124"/>
      <c r="Z2466" s="124"/>
    </row>
    <row r="2467">
      <c r="A2467" s="124"/>
      <c r="B2467" s="124"/>
      <c r="C2467" s="147"/>
      <c r="D2467" s="124"/>
      <c r="E2467" s="124"/>
      <c r="F2467" s="124"/>
      <c r="G2467" s="124"/>
      <c r="H2467" s="124"/>
      <c r="I2467" s="124"/>
      <c r="J2467" s="124"/>
      <c r="K2467" s="124"/>
      <c r="L2467" s="124"/>
      <c r="M2467" s="124"/>
      <c r="N2467" s="124"/>
      <c r="O2467" s="124"/>
      <c r="P2467" s="124"/>
      <c r="Q2467" s="124"/>
      <c r="R2467" s="124"/>
      <c r="S2467" s="124"/>
      <c r="T2467" s="124"/>
      <c r="U2467" s="124"/>
      <c r="V2467" s="124"/>
      <c r="W2467" s="124"/>
      <c r="X2467" s="124"/>
      <c r="Y2467" s="124"/>
      <c r="Z2467" s="124"/>
    </row>
    <row r="2468">
      <c r="A2468" s="124"/>
      <c r="B2468" s="124"/>
      <c r="C2468" s="147"/>
      <c r="D2468" s="124"/>
      <c r="E2468" s="124"/>
      <c r="F2468" s="124"/>
      <c r="G2468" s="124"/>
      <c r="H2468" s="124"/>
      <c r="I2468" s="124"/>
      <c r="J2468" s="124"/>
      <c r="K2468" s="124"/>
      <c r="L2468" s="124"/>
      <c r="M2468" s="124"/>
      <c r="N2468" s="124"/>
      <c r="O2468" s="124"/>
      <c r="P2468" s="124"/>
      <c r="Q2468" s="124"/>
      <c r="R2468" s="124"/>
      <c r="S2468" s="124"/>
      <c r="T2468" s="124"/>
      <c r="U2468" s="124"/>
      <c r="V2468" s="124"/>
      <c r="W2468" s="124"/>
      <c r="X2468" s="124"/>
      <c r="Y2468" s="124"/>
      <c r="Z2468" s="124"/>
    </row>
    <row r="2469">
      <c r="A2469" s="124"/>
      <c r="B2469" s="124"/>
      <c r="C2469" s="147"/>
      <c r="D2469" s="124"/>
      <c r="E2469" s="124"/>
      <c r="F2469" s="124"/>
      <c r="G2469" s="124"/>
      <c r="H2469" s="124"/>
      <c r="I2469" s="124"/>
      <c r="J2469" s="124"/>
      <c r="K2469" s="124"/>
      <c r="L2469" s="124"/>
      <c r="M2469" s="124"/>
      <c r="N2469" s="124"/>
      <c r="O2469" s="124"/>
      <c r="P2469" s="124"/>
      <c r="Q2469" s="124"/>
      <c r="R2469" s="124"/>
      <c r="S2469" s="124"/>
      <c r="T2469" s="124"/>
      <c r="U2469" s="124"/>
      <c r="V2469" s="124"/>
      <c r="W2469" s="124"/>
      <c r="X2469" s="124"/>
      <c r="Y2469" s="124"/>
      <c r="Z2469" s="124"/>
    </row>
    <row r="2470">
      <c r="A2470" s="124"/>
      <c r="B2470" s="124"/>
      <c r="C2470" s="147"/>
      <c r="D2470" s="124"/>
      <c r="E2470" s="124"/>
      <c r="F2470" s="124"/>
      <c r="G2470" s="124"/>
      <c r="H2470" s="124"/>
      <c r="I2470" s="124"/>
      <c r="J2470" s="124"/>
      <c r="K2470" s="124"/>
      <c r="L2470" s="124"/>
      <c r="M2470" s="124"/>
      <c r="N2470" s="124"/>
      <c r="O2470" s="124"/>
      <c r="P2470" s="124"/>
      <c r="Q2470" s="124"/>
      <c r="R2470" s="124"/>
      <c r="S2470" s="124"/>
      <c r="T2470" s="124"/>
      <c r="U2470" s="124"/>
      <c r="V2470" s="124"/>
      <c r="W2470" s="124"/>
      <c r="X2470" s="124"/>
      <c r="Y2470" s="124"/>
      <c r="Z2470" s="124"/>
    </row>
    <row r="2471">
      <c r="A2471" s="124"/>
      <c r="B2471" s="124"/>
      <c r="C2471" s="147"/>
      <c r="D2471" s="124"/>
      <c r="E2471" s="124"/>
      <c r="F2471" s="124"/>
      <c r="G2471" s="124"/>
      <c r="H2471" s="124"/>
      <c r="I2471" s="124"/>
      <c r="J2471" s="124"/>
      <c r="K2471" s="124"/>
      <c r="L2471" s="124"/>
      <c r="M2471" s="124"/>
      <c r="N2471" s="124"/>
      <c r="O2471" s="124"/>
      <c r="P2471" s="124"/>
      <c r="Q2471" s="124"/>
      <c r="R2471" s="124"/>
      <c r="S2471" s="124"/>
      <c r="T2471" s="124"/>
      <c r="U2471" s="124"/>
      <c r="V2471" s="124"/>
      <c r="W2471" s="124"/>
      <c r="X2471" s="124"/>
      <c r="Y2471" s="124"/>
      <c r="Z2471" s="124"/>
    </row>
    <row r="2472">
      <c r="A2472" s="124"/>
      <c r="B2472" s="124"/>
      <c r="C2472" s="147"/>
      <c r="D2472" s="124"/>
      <c r="E2472" s="124"/>
      <c r="F2472" s="124"/>
      <c r="G2472" s="124"/>
      <c r="H2472" s="124"/>
      <c r="I2472" s="124"/>
      <c r="J2472" s="124"/>
      <c r="K2472" s="124"/>
      <c r="L2472" s="124"/>
      <c r="M2472" s="124"/>
      <c r="N2472" s="124"/>
      <c r="O2472" s="124"/>
      <c r="P2472" s="124"/>
      <c r="Q2472" s="124"/>
      <c r="R2472" s="124"/>
      <c r="S2472" s="124"/>
      <c r="T2472" s="124"/>
      <c r="U2472" s="124"/>
      <c r="V2472" s="124"/>
      <c r="W2472" s="124"/>
      <c r="X2472" s="124"/>
      <c r="Y2472" s="124"/>
      <c r="Z2472" s="124"/>
    </row>
    <row r="2473">
      <c r="A2473" s="124"/>
      <c r="B2473" s="124"/>
      <c r="C2473" s="147"/>
      <c r="D2473" s="124"/>
      <c r="E2473" s="124"/>
      <c r="F2473" s="124"/>
      <c r="G2473" s="124"/>
      <c r="H2473" s="124"/>
      <c r="I2473" s="124"/>
      <c r="J2473" s="124"/>
      <c r="K2473" s="124"/>
      <c r="L2473" s="124"/>
      <c r="M2473" s="124"/>
      <c r="N2473" s="124"/>
      <c r="O2473" s="124"/>
      <c r="P2473" s="124"/>
      <c r="Q2473" s="124"/>
      <c r="R2473" s="124"/>
      <c r="S2473" s="124"/>
      <c r="T2473" s="124"/>
      <c r="U2473" s="124"/>
      <c r="V2473" s="124"/>
      <c r="W2473" s="124"/>
      <c r="X2473" s="124"/>
      <c r="Y2473" s="124"/>
      <c r="Z2473" s="124"/>
    </row>
    <row r="2474">
      <c r="A2474" s="124"/>
      <c r="B2474" s="124"/>
      <c r="C2474" s="147"/>
      <c r="D2474" s="124"/>
      <c r="E2474" s="124"/>
      <c r="F2474" s="124"/>
      <c r="G2474" s="124"/>
      <c r="H2474" s="124"/>
      <c r="I2474" s="124"/>
      <c r="J2474" s="124"/>
      <c r="K2474" s="124"/>
      <c r="L2474" s="124"/>
      <c r="M2474" s="124"/>
      <c r="N2474" s="124"/>
      <c r="O2474" s="124"/>
      <c r="P2474" s="124"/>
      <c r="Q2474" s="124"/>
      <c r="R2474" s="124"/>
      <c r="S2474" s="124"/>
      <c r="T2474" s="124"/>
      <c r="U2474" s="124"/>
      <c r="V2474" s="124"/>
      <c r="W2474" s="124"/>
      <c r="X2474" s="124"/>
      <c r="Y2474" s="124"/>
      <c r="Z2474" s="124"/>
    </row>
    <row r="2475">
      <c r="A2475" s="124"/>
      <c r="B2475" s="124"/>
      <c r="C2475" s="147"/>
      <c r="D2475" s="124"/>
      <c r="E2475" s="124"/>
      <c r="F2475" s="124"/>
      <c r="G2475" s="124"/>
      <c r="H2475" s="124"/>
      <c r="I2475" s="124"/>
      <c r="J2475" s="124"/>
      <c r="K2475" s="124"/>
      <c r="L2475" s="124"/>
      <c r="M2475" s="124"/>
      <c r="N2475" s="124"/>
      <c r="O2475" s="124"/>
      <c r="P2475" s="124"/>
      <c r="Q2475" s="124"/>
      <c r="R2475" s="124"/>
      <c r="S2475" s="124"/>
      <c r="T2475" s="124"/>
      <c r="U2475" s="124"/>
      <c r="V2475" s="124"/>
      <c r="W2475" s="124"/>
      <c r="X2475" s="124"/>
      <c r="Y2475" s="124"/>
      <c r="Z2475" s="124"/>
    </row>
    <row r="2476">
      <c r="A2476" s="124"/>
      <c r="B2476" s="124"/>
      <c r="C2476" s="147"/>
      <c r="D2476" s="124"/>
      <c r="E2476" s="124"/>
      <c r="F2476" s="124"/>
      <c r="G2476" s="124"/>
      <c r="H2476" s="124"/>
      <c r="I2476" s="124"/>
      <c r="J2476" s="124"/>
      <c r="K2476" s="124"/>
      <c r="L2476" s="124"/>
      <c r="M2476" s="124"/>
      <c r="N2476" s="124"/>
      <c r="O2476" s="124"/>
      <c r="P2476" s="124"/>
      <c r="Q2476" s="124"/>
      <c r="R2476" s="124"/>
      <c r="S2476" s="124"/>
      <c r="T2476" s="124"/>
      <c r="U2476" s="124"/>
      <c r="V2476" s="124"/>
      <c r="W2476" s="124"/>
      <c r="X2476" s="124"/>
      <c r="Y2476" s="124"/>
      <c r="Z2476" s="124"/>
    </row>
    <row r="2477">
      <c r="A2477" s="124"/>
      <c r="B2477" s="124"/>
      <c r="C2477" s="147"/>
      <c r="D2477" s="124"/>
      <c r="E2477" s="124"/>
      <c r="F2477" s="124"/>
      <c r="G2477" s="124"/>
      <c r="H2477" s="124"/>
      <c r="I2477" s="124"/>
      <c r="J2477" s="124"/>
      <c r="K2477" s="124"/>
      <c r="L2477" s="124"/>
      <c r="M2477" s="124"/>
      <c r="N2477" s="124"/>
      <c r="O2477" s="124"/>
      <c r="P2477" s="124"/>
      <c r="Q2477" s="124"/>
      <c r="R2477" s="124"/>
      <c r="S2477" s="124"/>
      <c r="T2477" s="124"/>
      <c r="U2477" s="124"/>
      <c r="V2477" s="124"/>
      <c r="W2477" s="124"/>
      <c r="X2477" s="124"/>
      <c r="Y2477" s="124"/>
      <c r="Z2477" s="124"/>
    </row>
    <row r="2478">
      <c r="A2478" s="124"/>
      <c r="B2478" s="124"/>
      <c r="C2478" s="147"/>
      <c r="D2478" s="124"/>
      <c r="E2478" s="124"/>
      <c r="F2478" s="124"/>
      <c r="G2478" s="124"/>
      <c r="H2478" s="124"/>
      <c r="I2478" s="124"/>
      <c r="J2478" s="124"/>
      <c r="K2478" s="124"/>
      <c r="L2478" s="124"/>
      <c r="M2478" s="124"/>
      <c r="N2478" s="124"/>
      <c r="O2478" s="124"/>
      <c r="P2478" s="124"/>
      <c r="Q2478" s="124"/>
      <c r="R2478" s="124"/>
      <c r="S2478" s="124"/>
      <c r="T2478" s="124"/>
      <c r="U2478" s="124"/>
      <c r="V2478" s="124"/>
      <c r="W2478" s="124"/>
      <c r="X2478" s="124"/>
      <c r="Y2478" s="124"/>
      <c r="Z2478" s="124"/>
    </row>
    <row r="2479">
      <c r="A2479" s="124"/>
      <c r="B2479" s="124"/>
      <c r="C2479" s="147"/>
      <c r="D2479" s="124"/>
      <c r="E2479" s="124"/>
      <c r="F2479" s="124"/>
      <c r="G2479" s="124"/>
      <c r="H2479" s="124"/>
      <c r="I2479" s="124"/>
      <c r="J2479" s="124"/>
      <c r="K2479" s="124"/>
      <c r="L2479" s="124"/>
      <c r="M2479" s="124"/>
      <c r="N2479" s="124"/>
      <c r="O2479" s="124"/>
      <c r="P2479" s="124"/>
      <c r="Q2479" s="124"/>
      <c r="R2479" s="124"/>
      <c r="S2479" s="124"/>
      <c r="T2479" s="124"/>
      <c r="U2479" s="124"/>
      <c r="V2479" s="124"/>
      <c r="W2479" s="124"/>
      <c r="X2479" s="124"/>
      <c r="Y2479" s="124"/>
      <c r="Z2479" s="124"/>
    </row>
    <row r="2480">
      <c r="A2480" s="124"/>
      <c r="B2480" s="124"/>
      <c r="C2480" s="147"/>
      <c r="D2480" s="124"/>
      <c r="E2480" s="124"/>
      <c r="F2480" s="124"/>
      <c r="G2480" s="124"/>
      <c r="H2480" s="124"/>
      <c r="I2480" s="124"/>
      <c r="J2480" s="124"/>
      <c r="K2480" s="124"/>
      <c r="L2480" s="124"/>
      <c r="M2480" s="124"/>
      <c r="N2480" s="124"/>
      <c r="O2480" s="124"/>
      <c r="P2480" s="124"/>
      <c r="Q2480" s="124"/>
      <c r="R2480" s="124"/>
      <c r="S2480" s="124"/>
      <c r="T2480" s="124"/>
      <c r="U2480" s="124"/>
      <c r="V2480" s="124"/>
      <c r="W2480" s="124"/>
      <c r="X2480" s="124"/>
      <c r="Y2480" s="124"/>
      <c r="Z2480" s="124"/>
    </row>
    <row r="2481">
      <c r="A2481" s="124"/>
      <c r="B2481" s="124"/>
      <c r="C2481" s="147"/>
      <c r="D2481" s="124"/>
      <c r="E2481" s="124"/>
      <c r="F2481" s="124"/>
      <c r="G2481" s="124"/>
      <c r="H2481" s="124"/>
      <c r="I2481" s="124"/>
      <c r="J2481" s="124"/>
      <c r="K2481" s="124"/>
      <c r="L2481" s="124"/>
      <c r="M2481" s="124"/>
      <c r="N2481" s="124"/>
      <c r="O2481" s="124"/>
      <c r="P2481" s="124"/>
      <c r="Q2481" s="124"/>
      <c r="R2481" s="124"/>
      <c r="S2481" s="124"/>
      <c r="T2481" s="124"/>
      <c r="U2481" s="124"/>
      <c r="V2481" s="124"/>
      <c r="W2481" s="124"/>
      <c r="X2481" s="124"/>
      <c r="Y2481" s="124"/>
      <c r="Z2481" s="124"/>
    </row>
    <row r="2482">
      <c r="A2482" s="124"/>
      <c r="B2482" s="124"/>
      <c r="C2482" s="147"/>
      <c r="D2482" s="124"/>
      <c r="E2482" s="124"/>
      <c r="F2482" s="124"/>
      <c r="G2482" s="124"/>
      <c r="H2482" s="124"/>
      <c r="I2482" s="124"/>
      <c r="J2482" s="124"/>
      <c r="K2482" s="124"/>
      <c r="L2482" s="124"/>
      <c r="M2482" s="124"/>
      <c r="N2482" s="124"/>
      <c r="O2482" s="124"/>
      <c r="P2482" s="124"/>
      <c r="Q2482" s="124"/>
      <c r="R2482" s="124"/>
      <c r="S2482" s="124"/>
      <c r="T2482" s="124"/>
      <c r="U2482" s="124"/>
      <c r="V2482" s="124"/>
      <c r="W2482" s="124"/>
      <c r="X2482" s="124"/>
      <c r="Y2482" s="124"/>
      <c r="Z2482" s="124"/>
    </row>
    <row r="2483">
      <c r="A2483" s="124"/>
      <c r="B2483" s="124"/>
      <c r="C2483" s="147"/>
      <c r="D2483" s="124"/>
      <c r="E2483" s="124"/>
      <c r="F2483" s="124"/>
      <c r="G2483" s="124"/>
      <c r="H2483" s="124"/>
      <c r="I2483" s="124"/>
      <c r="J2483" s="124"/>
      <c r="K2483" s="124"/>
      <c r="L2483" s="124"/>
      <c r="M2483" s="124"/>
      <c r="N2483" s="124"/>
      <c r="O2483" s="124"/>
      <c r="P2483" s="124"/>
      <c r="Q2483" s="124"/>
      <c r="R2483" s="124"/>
      <c r="S2483" s="124"/>
      <c r="T2483" s="124"/>
      <c r="U2483" s="124"/>
      <c r="V2483" s="124"/>
      <c r="W2483" s="124"/>
      <c r="X2483" s="124"/>
      <c r="Y2483" s="124"/>
      <c r="Z2483" s="124"/>
    </row>
    <row r="2484">
      <c r="A2484" s="124"/>
      <c r="B2484" s="124"/>
      <c r="C2484" s="147"/>
      <c r="D2484" s="124"/>
      <c r="E2484" s="124"/>
      <c r="F2484" s="124"/>
      <c r="G2484" s="124"/>
      <c r="H2484" s="124"/>
      <c r="I2484" s="124"/>
      <c r="J2484" s="124"/>
      <c r="K2484" s="124"/>
      <c r="L2484" s="124"/>
      <c r="M2484" s="124"/>
      <c r="N2484" s="124"/>
      <c r="O2484" s="124"/>
      <c r="P2484" s="124"/>
      <c r="Q2484" s="124"/>
      <c r="R2484" s="124"/>
      <c r="S2484" s="124"/>
      <c r="T2484" s="124"/>
      <c r="U2484" s="124"/>
      <c r="V2484" s="124"/>
      <c r="W2484" s="124"/>
      <c r="X2484" s="124"/>
      <c r="Y2484" s="124"/>
      <c r="Z2484" s="124"/>
    </row>
    <row r="2485">
      <c r="A2485" s="124"/>
      <c r="B2485" s="124"/>
      <c r="C2485" s="147"/>
      <c r="D2485" s="124"/>
      <c r="E2485" s="124"/>
      <c r="F2485" s="124"/>
      <c r="G2485" s="124"/>
      <c r="H2485" s="124"/>
      <c r="I2485" s="124"/>
      <c r="J2485" s="124"/>
      <c r="K2485" s="124"/>
      <c r="L2485" s="124"/>
      <c r="M2485" s="124"/>
      <c r="N2485" s="124"/>
      <c r="O2485" s="124"/>
      <c r="P2485" s="124"/>
      <c r="Q2485" s="124"/>
      <c r="R2485" s="124"/>
      <c r="S2485" s="124"/>
      <c r="T2485" s="124"/>
      <c r="U2485" s="124"/>
      <c r="V2485" s="124"/>
      <c r="W2485" s="124"/>
      <c r="X2485" s="124"/>
      <c r="Y2485" s="124"/>
      <c r="Z2485" s="124"/>
    </row>
    <row r="2486">
      <c r="A2486" s="124"/>
      <c r="B2486" s="124"/>
      <c r="C2486" s="147"/>
      <c r="D2486" s="124"/>
      <c r="E2486" s="124"/>
      <c r="F2486" s="124"/>
      <c r="G2486" s="124"/>
      <c r="H2486" s="124"/>
      <c r="I2486" s="124"/>
      <c r="J2486" s="124"/>
      <c r="K2486" s="124"/>
      <c r="L2486" s="124"/>
      <c r="M2486" s="124"/>
      <c r="N2486" s="124"/>
      <c r="O2486" s="124"/>
      <c r="P2486" s="124"/>
      <c r="Q2486" s="124"/>
      <c r="R2486" s="124"/>
      <c r="S2486" s="124"/>
      <c r="T2486" s="124"/>
      <c r="U2486" s="124"/>
      <c r="V2486" s="124"/>
      <c r="W2486" s="124"/>
      <c r="X2486" s="124"/>
      <c r="Y2486" s="124"/>
      <c r="Z2486" s="124"/>
    </row>
    <row r="2487">
      <c r="A2487" s="124"/>
      <c r="B2487" s="124"/>
      <c r="C2487" s="147"/>
      <c r="D2487" s="124"/>
      <c r="E2487" s="124"/>
      <c r="F2487" s="124"/>
      <c r="G2487" s="124"/>
      <c r="H2487" s="124"/>
      <c r="I2487" s="124"/>
      <c r="J2487" s="124"/>
      <c r="K2487" s="124"/>
      <c r="L2487" s="124"/>
      <c r="M2487" s="124"/>
      <c r="N2487" s="124"/>
      <c r="O2487" s="124"/>
      <c r="P2487" s="124"/>
      <c r="Q2487" s="124"/>
      <c r="R2487" s="124"/>
      <c r="S2487" s="124"/>
      <c r="T2487" s="124"/>
      <c r="U2487" s="124"/>
      <c r="V2487" s="124"/>
      <c r="W2487" s="124"/>
      <c r="X2487" s="124"/>
      <c r="Y2487" s="124"/>
      <c r="Z2487" s="124"/>
    </row>
    <row r="2488">
      <c r="A2488" s="124"/>
      <c r="B2488" s="124"/>
      <c r="C2488" s="147"/>
      <c r="D2488" s="124"/>
      <c r="E2488" s="124"/>
      <c r="F2488" s="124"/>
      <c r="G2488" s="124"/>
      <c r="H2488" s="124"/>
      <c r="I2488" s="124"/>
      <c r="J2488" s="124"/>
      <c r="K2488" s="124"/>
      <c r="L2488" s="124"/>
      <c r="M2488" s="124"/>
      <c r="N2488" s="124"/>
      <c r="O2488" s="124"/>
      <c r="P2488" s="124"/>
      <c r="Q2488" s="124"/>
      <c r="R2488" s="124"/>
      <c r="S2488" s="124"/>
      <c r="T2488" s="124"/>
      <c r="U2488" s="124"/>
      <c r="V2488" s="124"/>
      <c r="W2488" s="124"/>
      <c r="X2488" s="124"/>
      <c r="Y2488" s="124"/>
      <c r="Z2488" s="124"/>
    </row>
    <row r="2489">
      <c r="A2489" s="124"/>
      <c r="B2489" s="124"/>
      <c r="C2489" s="147"/>
      <c r="D2489" s="124"/>
      <c r="E2489" s="124"/>
      <c r="F2489" s="124"/>
      <c r="G2489" s="124"/>
      <c r="H2489" s="124"/>
      <c r="I2489" s="124"/>
      <c r="J2489" s="124"/>
      <c r="K2489" s="124"/>
      <c r="L2489" s="124"/>
      <c r="M2489" s="124"/>
      <c r="N2489" s="124"/>
      <c r="O2489" s="124"/>
      <c r="P2489" s="124"/>
      <c r="Q2489" s="124"/>
      <c r="R2489" s="124"/>
      <c r="S2489" s="124"/>
      <c r="T2489" s="124"/>
      <c r="U2489" s="124"/>
      <c r="V2489" s="124"/>
      <c r="W2489" s="124"/>
      <c r="X2489" s="124"/>
      <c r="Y2489" s="124"/>
      <c r="Z2489" s="124"/>
    </row>
    <row r="2490">
      <c r="A2490" s="124"/>
      <c r="B2490" s="124"/>
      <c r="C2490" s="147"/>
      <c r="D2490" s="124"/>
      <c r="E2490" s="124"/>
      <c r="F2490" s="124"/>
      <c r="G2490" s="124"/>
      <c r="H2490" s="124"/>
      <c r="I2490" s="124"/>
      <c r="J2490" s="124"/>
      <c r="K2490" s="124"/>
      <c r="L2490" s="124"/>
      <c r="M2490" s="124"/>
      <c r="N2490" s="124"/>
      <c r="O2490" s="124"/>
      <c r="P2490" s="124"/>
      <c r="Q2490" s="124"/>
      <c r="R2490" s="124"/>
      <c r="S2490" s="124"/>
      <c r="T2490" s="124"/>
      <c r="U2490" s="124"/>
      <c r="V2490" s="124"/>
      <c r="W2490" s="124"/>
      <c r="X2490" s="124"/>
      <c r="Y2490" s="124"/>
      <c r="Z2490" s="124"/>
    </row>
    <row r="2491">
      <c r="A2491" s="124"/>
      <c r="B2491" s="124"/>
      <c r="C2491" s="147"/>
      <c r="D2491" s="124"/>
      <c r="E2491" s="124"/>
      <c r="F2491" s="124"/>
      <c r="G2491" s="124"/>
      <c r="H2491" s="124"/>
      <c r="I2491" s="124"/>
      <c r="J2491" s="124"/>
      <c r="K2491" s="124"/>
      <c r="L2491" s="124"/>
      <c r="M2491" s="124"/>
      <c r="N2491" s="124"/>
      <c r="O2491" s="124"/>
      <c r="P2491" s="124"/>
      <c r="Q2491" s="124"/>
      <c r="R2491" s="124"/>
      <c r="S2491" s="124"/>
      <c r="T2491" s="124"/>
      <c r="U2491" s="124"/>
      <c r="V2491" s="124"/>
      <c r="W2491" s="124"/>
      <c r="X2491" s="124"/>
      <c r="Y2491" s="124"/>
      <c r="Z2491" s="124"/>
    </row>
    <row r="2492">
      <c r="A2492" s="124"/>
      <c r="B2492" s="124"/>
      <c r="C2492" s="147"/>
      <c r="D2492" s="124"/>
      <c r="E2492" s="124"/>
      <c r="F2492" s="124"/>
      <c r="G2492" s="124"/>
      <c r="H2492" s="124"/>
      <c r="I2492" s="124"/>
      <c r="J2492" s="124"/>
      <c r="K2492" s="124"/>
      <c r="L2492" s="124"/>
      <c r="M2492" s="124"/>
      <c r="N2492" s="124"/>
      <c r="O2492" s="124"/>
      <c r="P2492" s="124"/>
      <c r="Q2492" s="124"/>
      <c r="R2492" s="124"/>
      <c r="S2492" s="124"/>
      <c r="T2492" s="124"/>
      <c r="U2492" s="124"/>
      <c r="V2492" s="124"/>
      <c r="W2492" s="124"/>
      <c r="X2492" s="124"/>
      <c r="Y2492" s="124"/>
      <c r="Z2492" s="124"/>
    </row>
    <row r="2493">
      <c r="A2493" s="124"/>
      <c r="B2493" s="124"/>
      <c r="C2493" s="147"/>
      <c r="D2493" s="124"/>
      <c r="E2493" s="124"/>
      <c r="F2493" s="124"/>
      <c r="G2493" s="124"/>
      <c r="H2493" s="124"/>
      <c r="I2493" s="124"/>
      <c r="J2493" s="124"/>
      <c r="K2493" s="124"/>
      <c r="L2493" s="124"/>
      <c r="M2493" s="124"/>
      <c r="N2493" s="124"/>
      <c r="O2493" s="124"/>
      <c r="P2493" s="124"/>
      <c r="Q2493" s="124"/>
      <c r="R2493" s="124"/>
      <c r="S2493" s="124"/>
      <c r="T2493" s="124"/>
      <c r="U2493" s="124"/>
      <c r="V2493" s="124"/>
      <c r="W2493" s="124"/>
      <c r="X2493" s="124"/>
      <c r="Y2493" s="124"/>
      <c r="Z2493" s="124"/>
    </row>
    <row r="2494">
      <c r="A2494" s="124"/>
      <c r="B2494" s="124"/>
      <c r="C2494" s="147"/>
      <c r="D2494" s="124"/>
      <c r="E2494" s="124"/>
      <c r="F2494" s="124"/>
      <c r="G2494" s="124"/>
      <c r="H2494" s="124"/>
      <c r="I2494" s="124"/>
      <c r="J2494" s="124"/>
      <c r="K2494" s="124"/>
      <c r="L2494" s="124"/>
      <c r="M2494" s="124"/>
      <c r="N2494" s="124"/>
      <c r="O2494" s="124"/>
      <c r="P2494" s="124"/>
      <c r="Q2494" s="124"/>
      <c r="R2494" s="124"/>
      <c r="S2494" s="124"/>
      <c r="T2494" s="124"/>
      <c r="U2494" s="124"/>
      <c r="V2494" s="124"/>
      <c r="W2494" s="124"/>
      <c r="X2494" s="124"/>
      <c r="Y2494" s="124"/>
      <c r="Z2494" s="124"/>
    </row>
    <row r="2495">
      <c r="A2495" s="124"/>
      <c r="B2495" s="124"/>
      <c r="C2495" s="147"/>
      <c r="D2495" s="124"/>
      <c r="E2495" s="124"/>
      <c r="F2495" s="124"/>
      <c r="G2495" s="124"/>
      <c r="H2495" s="124"/>
      <c r="I2495" s="124"/>
      <c r="J2495" s="124"/>
      <c r="K2495" s="124"/>
      <c r="L2495" s="124"/>
      <c r="M2495" s="124"/>
      <c r="N2495" s="124"/>
      <c r="O2495" s="124"/>
      <c r="P2495" s="124"/>
      <c r="Q2495" s="124"/>
      <c r="R2495" s="124"/>
      <c r="S2495" s="124"/>
      <c r="T2495" s="124"/>
      <c r="U2495" s="124"/>
      <c r="V2495" s="124"/>
      <c r="W2495" s="124"/>
      <c r="X2495" s="124"/>
      <c r="Y2495" s="124"/>
      <c r="Z2495" s="124"/>
    </row>
    <row r="2496">
      <c r="A2496" s="124"/>
      <c r="B2496" s="124"/>
      <c r="C2496" s="147"/>
      <c r="D2496" s="124"/>
      <c r="E2496" s="124"/>
      <c r="F2496" s="124"/>
      <c r="G2496" s="124"/>
      <c r="H2496" s="124"/>
      <c r="I2496" s="124"/>
      <c r="J2496" s="124"/>
      <c r="K2496" s="124"/>
      <c r="L2496" s="124"/>
      <c r="M2496" s="124"/>
      <c r="N2496" s="124"/>
      <c r="O2496" s="124"/>
      <c r="P2496" s="124"/>
      <c r="Q2496" s="124"/>
      <c r="R2496" s="124"/>
      <c r="S2496" s="124"/>
      <c r="T2496" s="124"/>
      <c r="U2496" s="124"/>
      <c r="V2496" s="124"/>
      <c r="W2496" s="124"/>
      <c r="X2496" s="124"/>
      <c r="Y2496" s="124"/>
      <c r="Z2496" s="124"/>
    </row>
    <row r="2497">
      <c r="A2497" s="124"/>
      <c r="B2497" s="124"/>
      <c r="C2497" s="147"/>
      <c r="D2497" s="124"/>
      <c r="E2497" s="124"/>
      <c r="F2497" s="124"/>
      <c r="G2497" s="124"/>
      <c r="H2497" s="124"/>
      <c r="I2497" s="124"/>
      <c r="J2497" s="124"/>
      <c r="K2497" s="124"/>
      <c r="L2497" s="124"/>
      <c r="M2497" s="124"/>
      <c r="N2497" s="124"/>
      <c r="O2497" s="124"/>
      <c r="P2497" s="124"/>
      <c r="Q2497" s="124"/>
      <c r="R2497" s="124"/>
      <c r="S2497" s="124"/>
      <c r="T2497" s="124"/>
      <c r="U2497" s="124"/>
      <c r="V2497" s="124"/>
      <c r="W2497" s="124"/>
      <c r="X2497" s="124"/>
      <c r="Y2497" s="124"/>
      <c r="Z2497" s="124"/>
    </row>
    <row r="2498">
      <c r="A2498" s="124"/>
      <c r="B2498" s="124"/>
      <c r="C2498" s="147"/>
      <c r="D2498" s="124"/>
      <c r="E2498" s="124"/>
      <c r="F2498" s="124"/>
      <c r="G2498" s="124"/>
      <c r="H2498" s="124"/>
      <c r="I2498" s="124"/>
      <c r="J2498" s="124"/>
      <c r="K2498" s="124"/>
      <c r="L2498" s="124"/>
      <c r="M2498" s="124"/>
      <c r="N2498" s="124"/>
      <c r="O2498" s="124"/>
      <c r="P2498" s="124"/>
      <c r="Q2498" s="124"/>
      <c r="R2498" s="124"/>
      <c r="S2498" s="124"/>
      <c r="T2498" s="124"/>
      <c r="U2498" s="124"/>
      <c r="V2498" s="124"/>
      <c r="W2498" s="124"/>
      <c r="X2498" s="124"/>
      <c r="Y2498" s="124"/>
      <c r="Z2498" s="124"/>
    </row>
    <row r="2499">
      <c r="A2499" s="124"/>
      <c r="B2499" s="124"/>
      <c r="C2499" s="147"/>
      <c r="D2499" s="124"/>
      <c r="E2499" s="124"/>
      <c r="F2499" s="124"/>
      <c r="G2499" s="124"/>
      <c r="H2499" s="124"/>
      <c r="I2499" s="124"/>
      <c r="J2499" s="124"/>
      <c r="K2499" s="124"/>
      <c r="L2499" s="124"/>
      <c r="M2499" s="124"/>
      <c r="N2499" s="124"/>
      <c r="O2499" s="124"/>
      <c r="P2499" s="124"/>
      <c r="Q2499" s="124"/>
      <c r="R2499" s="124"/>
      <c r="S2499" s="124"/>
      <c r="T2499" s="124"/>
      <c r="U2499" s="124"/>
      <c r="V2499" s="124"/>
      <c r="W2499" s="124"/>
      <c r="X2499" s="124"/>
      <c r="Y2499" s="124"/>
      <c r="Z2499" s="124"/>
    </row>
    <row r="2500">
      <c r="A2500" s="124"/>
      <c r="B2500" s="124"/>
      <c r="C2500" s="147"/>
      <c r="D2500" s="124"/>
      <c r="E2500" s="124"/>
      <c r="F2500" s="124"/>
      <c r="G2500" s="124"/>
      <c r="H2500" s="124"/>
      <c r="I2500" s="124"/>
      <c r="J2500" s="124"/>
      <c r="K2500" s="124"/>
      <c r="L2500" s="124"/>
      <c r="M2500" s="124"/>
      <c r="N2500" s="124"/>
      <c r="O2500" s="124"/>
      <c r="P2500" s="124"/>
      <c r="Q2500" s="124"/>
      <c r="R2500" s="124"/>
      <c r="S2500" s="124"/>
      <c r="T2500" s="124"/>
      <c r="U2500" s="124"/>
      <c r="V2500" s="124"/>
      <c r="W2500" s="124"/>
      <c r="X2500" s="124"/>
      <c r="Y2500" s="124"/>
      <c r="Z2500" s="124"/>
    </row>
    <row r="2501">
      <c r="A2501" s="124"/>
      <c r="B2501" s="124"/>
      <c r="C2501" s="147"/>
      <c r="D2501" s="124"/>
      <c r="E2501" s="124"/>
      <c r="F2501" s="124"/>
      <c r="G2501" s="124"/>
      <c r="H2501" s="124"/>
      <c r="I2501" s="124"/>
      <c r="J2501" s="124"/>
      <c r="K2501" s="124"/>
      <c r="L2501" s="124"/>
      <c r="M2501" s="124"/>
      <c r="N2501" s="124"/>
      <c r="O2501" s="124"/>
      <c r="P2501" s="124"/>
      <c r="Q2501" s="124"/>
      <c r="R2501" s="124"/>
      <c r="S2501" s="124"/>
      <c r="T2501" s="124"/>
      <c r="U2501" s="124"/>
      <c r="V2501" s="124"/>
      <c r="W2501" s="124"/>
      <c r="X2501" s="124"/>
      <c r="Y2501" s="124"/>
      <c r="Z2501" s="124"/>
    </row>
    <row r="2502">
      <c r="A2502" s="124"/>
      <c r="B2502" s="124"/>
      <c r="C2502" s="147"/>
      <c r="D2502" s="124"/>
      <c r="E2502" s="124"/>
      <c r="F2502" s="124"/>
      <c r="G2502" s="124"/>
      <c r="H2502" s="124"/>
      <c r="I2502" s="124"/>
      <c r="J2502" s="124"/>
      <c r="K2502" s="124"/>
      <c r="L2502" s="124"/>
      <c r="M2502" s="124"/>
      <c r="N2502" s="124"/>
      <c r="O2502" s="124"/>
      <c r="P2502" s="124"/>
      <c r="Q2502" s="124"/>
      <c r="R2502" s="124"/>
      <c r="S2502" s="124"/>
      <c r="T2502" s="124"/>
      <c r="U2502" s="124"/>
      <c r="V2502" s="124"/>
      <c r="W2502" s="124"/>
      <c r="X2502" s="124"/>
      <c r="Y2502" s="124"/>
      <c r="Z2502" s="124"/>
    </row>
    <row r="2503">
      <c r="A2503" s="124"/>
      <c r="B2503" s="124"/>
      <c r="C2503" s="147"/>
      <c r="D2503" s="124"/>
      <c r="E2503" s="124"/>
      <c r="F2503" s="124"/>
      <c r="G2503" s="124"/>
      <c r="H2503" s="124"/>
      <c r="I2503" s="124"/>
      <c r="J2503" s="124"/>
      <c r="K2503" s="124"/>
      <c r="L2503" s="124"/>
      <c r="M2503" s="124"/>
      <c r="N2503" s="124"/>
      <c r="O2503" s="124"/>
      <c r="P2503" s="124"/>
      <c r="Q2503" s="124"/>
      <c r="R2503" s="124"/>
      <c r="S2503" s="124"/>
      <c r="T2503" s="124"/>
      <c r="U2503" s="124"/>
      <c r="V2503" s="124"/>
      <c r="W2503" s="124"/>
      <c r="X2503" s="124"/>
      <c r="Y2503" s="124"/>
      <c r="Z2503" s="124"/>
    </row>
    <row r="2504">
      <c r="A2504" s="124"/>
      <c r="B2504" s="124"/>
      <c r="C2504" s="147"/>
      <c r="D2504" s="124"/>
      <c r="E2504" s="124"/>
      <c r="F2504" s="124"/>
      <c r="G2504" s="124"/>
      <c r="H2504" s="124"/>
      <c r="I2504" s="124"/>
      <c r="J2504" s="124"/>
      <c r="K2504" s="124"/>
      <c r="L2504" s="124"/>
      <c r="M2504" s="124"/>
      <c r="N2504" s="124"/>
      <c r="O2504" s="124"/>
      <c r="P2504" s="124"/>
      <c r="Q2504" s="124"/>
      <c r="R2504" s="124"/>
      <c r="S2504" s="124"/>
      <c r="T2504" s="124"/>
      <c r="U2504" s="124"/>
      <c r="V2504" s="124"/>
      <c r="W2504" s="124"/>
      <c r="X2504" s="124"/>
      <c r="Y2504" s="124"/>
      <c r="Z2504" s="124"/>
    </row>
    <row r="2505">
      <c r="A2505" s="124"/>
      <c r="B2505" s="124"/>
      <c r="C2505" s="147"/>
      <c r="D2505" s="124"/>
      <c r="E2505" s="124"/>
      <c r="F2505" s="124"/>
      <c r="G2505" s="124"/>
      <c r="H2505" s="124"/>
      <c r="I2505" s="124"/>
      <c r="J2505" s="124"/>
      <c r="K2505" s="124"/>
      <c r="L2505" s="124"/>
      <c r="M2505" s="124"/>
      <c r="N2505" s="124"/>
      <c r="O2505" s="124"/>
      <c r="P2505" s="124"/>
      <c r="Q2505" s="124"/>
      <c r="R2505" s="124"/>
      <c r="S2505" s="124"/>
      <c r="T2505" s="124"/>
      <c r="U2505" s="124"/>
      <c r="V2505" s="124"/>
      <c r="W2505" s="124"/>
      <c r="X2505" s="124"/>
      <c r="Y2505" s="124"/>
      <c r="Z2505" s="124"/>
    </row>
    <row r="2506">
      <c r="A2506" s="124"/>
      <c r="B2506" s="124"/>
      <c r="C2506" s="147"/>
      <c r="D2506" s="124"/>
      <c r="E2506" s="124"/>
      <c r="F2506" s="124"/>
      <c r="G2506" s="124"/>
      <c r="H2506" s="124"/>
      <c r="I2506" s="124"/>
      <c r="J2506" s="124"/>
      <c r="K2506" s="124"/>
      <c r="L2506" s="124"/>
      <c r="M2506" s="124"/>
      <c r="N2506" s="124"/>
      <c r="O2506" s="124"/>
      <c r="P2506" s="124"/>
      <c r="Q2506" s="124"/>
      <c r="R2506" s="124"/>
      <c r="S2506" s="124"/>
      <c r="T2506" s="124"/>
      <c r="U2506" s="124"/>
      <c r="V2506" s="124"/>
      <c r="W2506" s="124"/>
      <c r="X2506" s="124"/>
      <c r="Y2506" s="124"/>
      <c r="Z2506" s="124"/>
    </row>
    <row r="2507">
      <c r="A2507" s="124"/>
      <c r="B2507" s="124"/>
      <c r="C2507" s="147"/>
      <c r="D2507" s="124"/>
      <c r="E2507" s="124"/>
      <c r="F2507" s="124"/>
      <c r="G2507" s="124"/>
      <c r="H2507" s="124"/>
      <c r="I2507" s="124"/>
      <c r="J2507" s="124"/>
      <c r="K2507" s="124"/>
      <c r="L2507" s="124"/>
      <c r="M2507" s="124"/>
      <c r="N2507" s="124"/>
      <c r="O2507" s="124"/>
      <c r="P2507" s="124"/>
      <c r="Q2507" s="124"/>
      <c r="R2507" s="124"/>
      <c r="S2507" s="124"/>
      <c r="T2507" s="124"/>
      <c r="U2507" s="124"/>
      <c r="V2507" s="124"/>
      <c r="W2507" s="124"/>
      <c r="X2507" s="124"/>
      <c r="Y2507" s="124"/>
      <c r="Z2507" s="124"/>
    </row>
    <row r="2508">
      <c r="A2508" s="124"/>
      <c r="B2508" s="124"/>
      <c r="C2508" s="147"/>
      <c r="D2508" s="124"/>
      <c r="E2508" s="124"/>
      <c r="F2508" s="124"/>
      <c r="G2508" s="124"/>
      <c r="H2508" s="124"/>
      <c r="I2508" s="124"/>
      <c r="J2508" s="124"/>
      <c r="K2508" s="124"/>
      <c r="L2508" s="124"/>
      <c r="M2508" s="124"/>
      <c r="N2508" s="124"/>
      <c r="O2508" s="124"/>
      <c r="P2508" s="124"/>
      <c r="Q2508" s="124"/>
      <c r="R2508" s="124"/>
      <c r="S2508" s="124"/>
      <c r="T2508" s="124"/>
      <c r="U2508" s="124"/>
      <c r="V2508" s="124"/>
      <c r="W2508" s="124"/>
      <c r="X2508" s="124"/>
      <c r="Y2508" s="124"/>
      <c r="Z2508" s="124"/>
    </row>
    <row r="2509">
      <c r="A2509" s="124"/>
      <c r="B2509" s="124"/>
      <c r="C2509" s="147"/>
      <c r="D2509" s="124"/>
      <c r="E2509" s="124"/>
      <c r="F2509" s="124"/>
      <c r="G2509" s="124"/>
      <c r="H2509" s="124"/>
      <c r="I2509" s="124"/>
      <c r="J2509" s="124"/>
      <c r="K2509" s="124"/>
      <c r="L2509" s="124"/>
      <c r="M2509" s="124"/>
      <c r="N2509" s="124"/>
      <c r="O2509" s="124"/>
      <c r="P2509" s="124"/>
      <c r="Q2509" s="124"/>
      <c r="R2509" s="124"/>
      <c r="S2509" s="124"/>
      <c r="T2509" s="124"/>
      <c r="U2509" s="124"/>
      <c r="V2509" s="124"/>
      <c r="W2509" s="124"/>
      <c r="X2509" s="124"/>
      <c r="Y2509" s="124"/>
      <c r="Z2509" s="124"/>
    </row>
    <row r="2510">
      <c r="A2510" s="124"/>
      <c r="B2510" s="124"/>
      <c r="C2510" s="147"/>
      <c r="D2510" s="124"/>
      <c r="E2510" s="124"/>
      <c r="F2510" s="124"/>
      <c r="G2510" s="124"/>
      <c r="H2510" s="124"/>
      <c r="I2510" s="124"/>
      <c r="J2510" s="124"/>
      <c r="K2510" s="124"/>
      <c r="L2510" s="124"/>
      <c r="M2510" s="124"/>
      <c r="N2510" s="124"/>
      <c r="O2510" s="124"/>
      <c r="P2510" s="124"/>
      <c r="Q2510" s="124"/>
      <c r="R2510" s="124"/>
      <c r="S2510" s="124"/>
      <c r="T2510" s="124"/>
      <c r="U2510" s="124"/>
      <c r="V2510" s="124"/>
      <c r="W2510" s="124"/>
      <c r="X2510" s="124"/>
      <c r="Y2510" s="124"/>
      <c r="Z2510" s="124"/>
    </row>
    <row r="2511">
      <c r="A2511" s="124"/>
      <c r="B2511" s="124"/>
      <c r="C2511" s="147"/>
      <c r="D2511" s="124"/>
      <c r="E2511" s="124"/>
      <c r="F2511" s="124"/>
      <c r="G2511" s="124"/>
      <c r="H2511" s="124"/>
      <c r="I2511" s="124"/>
      <c r="J2511" s="124"/>
      <c r="K2511" s="124"/>
      <c r="L2511" s="124"/>
      <c r="M2511" s="124"/>
      <c r="N2511" s="124"/>
      <c r="O2511" s="124"/>
      <c r="P2511" s="124"/>
      <c r="Q2511" s="124"/>
      <c r="R2511" s="124"/>
      <c r="S2511" s="124"/>
      <c r="T2511" s="124"/>
      <c r="U2511" s="124"/>
      <c r="V2511" s="124"/>
      <c r="W2511" s="124"/>
      <c r="X2511" s="124"/>
      <c r="Y2511" s="124"/>
      <c r="Z2511" s="124"/>
    </row>
    <row r="2512">
      <c r="A2512" s="124"/>
      <c r="B2512" s="124"/>
      <c r="C2512" s="147"/>
      <c r="D2512" s="124"/>
      <c r="E2512" s="124"/>
      <c r="F2512" s="124"/>
      <c r="G2512" s="124"/>
      <c r="H2512" s="124"/>
      <c r="I2512" s="124"/>
      <c r="J2512" s="124"/>
      <c r="K2512" s="124"/>
      <c r="L2512" s="124"/>
      <c r="M2512" s="124"/>
      <c r="N2512" s="124"/>
      <c r="O2512" s="124"/>
      <c r="P2512" s="124"/>
      <c r="Q2512" s="124"/>
      <c r="R2512" s="124"/>
      <c r="S2512" s="124"/>
      <c r="T2512" s="124"/>
      <c r="U2512" s="124"/>
      <c r="V2512" s="124"/>
      <c r="W2512" s="124"/>
      <c r="X2512" s="124"/>
      <c r="Y2512" s="124"/>
      <c r="Z2512" s="124"/>
    </row>
    <row r="2513">
      <c r="A2513" s="124"/>
      <c r="B2513" s="124"/>
      <c r="C2513" s="147"/>
      <c r="D2513" s="124"/>
      <c r="E2513" s="124"/>
      <c r="F2513" s="124"/>
      <c r="G2513" s="124"/>
      <c r="H2513" s="124"/>
      <c r="I2513" s="124"/>
      <c r="J2513" s="124"/>
      <c r="K2513" s="124"/>
      <c r="L2513" s="124"/>
      <c r="M2513" s="124"/>
      <c r="N2513" s="124"/>
      <c r="O2513" s="124"/>
      <c r="P2513" s="124"/>
      <c r="Q2513" s="124"/>
      <c r="R2513" s="124"/>
      <c r="S2513" s="124"/>
      <c r="T2513" s="124"/>
      <c r="U2513" s="124"/>
      <c r="V2513" s="124"/>
      <c r="W2513" s="124"/>
      <c r="X2513" s="124"/>
      <c r="Y2513" s="124"/>
      <c r="Z2513" s="124"/>
    </row>
    <row r="2514">
      <c r="A2514" s="124"/>
      <c r="B2514" s="124"/>
      <c r="C2514" s="147"/>
      <c r="D2514" s="124"/>
      <c r="E2514" s="124"/>
      <c r="F2514" s="124"/>
      <c r="G2514" s="124"/>
      <c r="H2514" s="124"/>
      <c r="I2514" s="124"/>
      <c r="J2514" s="124"/>
      <c r="K2514" s="124"/>
      <c r="L2514" s="124"/>
      <c r="M2514" s="124"/>
      <c r="N2514" s="124"/>
      <c r="O2514" s="124"/>
      <c r="P2514" s="124"/>
      <c r="Q2514" s="124"/>
      <c r="R2514" s="124"/>
      <c r="S2514" s="124"/>
      <c r="T2514" s="124"/>
      <c r="U2514" s="124"/>
      <c r="V2514" s="124"/>
      <c r="W2514" s="124"/>
      <c r="X2514" s="124"/>
      <c r="Y2514" s="124"/>
      <c r="Z2514" s="124"/>
    </row>
    <row r="2515">
      <c r="A2515" s="124"/>
      <c r="B2515" s="124"/>
      <c r="C2515" s="147"/>
      <c r="D2515" s="124"/>
      <c r="E2515" s="124"/>
      <c r="F2515" s="124"/>
      <c r="G2515" s="124"/>
      <c r="H2515" s="124"/>
      <c r="I2515" s="124"/>
      <c r="J2515" s="124"/>
      <c r="K2515" s="124"/>
      <c r="L2515" s="124"/>
      <c r="M2515" s="124"/>
      <c r="N2515" s="124"/>
      <c r="O2515" s="124"/>
      <c r="P2515" s="124"/>
      <c r="Q2515" s="124"/>
      <c r="R2515" s="124"/>
      <c r="S2515" s="124"/>
      <c r="T2515" s="124"/>
      <c r="U2515" s="124"/>
      <c r="V2515" s="124"/>
      <c r="W2515" s="124"/>
      <c r="X2515" s="124"/>
      <c r="Y2515" s="124"/>
      <c r="Z2515" s="124"/>
    </row>
    <row r="2516">
      <c r="A2516" s="124"/>
      <c r="B2516" s="124"/>
      <c r="C2516" s="147"/>
      <c r="D2516" s="124"/>
      <c r="E2516" s="124"/>
      <c r="F2516" s="124"/>
      <c r="G2516" s="124"/>
      <c r="H2516" s="124"/>
      <c r="I2516" s="124"/>
      <c r="J2516" s="124"/>
      <c r="K2516" s="124"/>
      <c r="L2516" s="124"/>
      <c r="M2516" s="124"/>
      <c r="N2516" s="124"/>
      <c r="O2516" s="124"/>
      <c r="P2516" s="124"/>
      <c r="Q2516" s="124"/>
      <c r="R2516" s="124"/>
      <c r="S2516" s="124"/>
      <c r="T2516" s="124"/>
      <c r="U2516" s="124"/>
      <c r="V2516" s="124"/>
      <c r="W2516" s="124"/>
      <c r="X2516" s="124"/>
      <c r="Y2516" s="124"/>
      <c r="Z2516" s="124"/>
    </row>
    <row r="2517">
      <c r="A2517" s="124"/>
      <c r="B2517" s="124"/>
      <c r="C2517" s="147"/>
      <c r="D2517" s="124"/>
      <c r="E2517" s="124"/>
      <c r="F2517" s="124"/>
      <c r="G2517" s="124"/>
      <c r="H2517" s="124"/>
      <c r="I2517" s="124"/>
      <c r="J2517" s="124"/>
      <c r="K2517" s="124"/>
      <c r="L2517" s="124"/>
      <c r="M2517" s="124"/>
      <c r="N2517" s="124"/>
      <c r="O2517" s="124"/>
      <c r="P2517" s="124"/>
      <c r="Q2517" s="124"/>
      <c r="R2517" s="124"/>
      <c r="S2517" s="124"/>
      <c r="T2517" s="124"/>
      <c r="U2517" s="124"/>
      <c r="V2517" s="124"/>
      <c r="W2517" s="124"/>
      <c r="X2517" s="124"/>
      <c r="Y2517" s="124"/>
      <c r="Z2517" s="124"/>
    </row>
    <row r="2518">
      <c r="A2518" s="124"/>
      <c r="B2518" s="124"/>
      <c r="C2518" s="147"/>
      <c r="D2518" s="124"/>
      <c r="E2518" s="124"/>
      <c r="F2518" s="124"/>
      <c r="G2518" s="124"/>
      <c r="H2518" s="124"/>
      <c r="I2518" s="124"/>
      <c r="J2518" s="124"/>
      <c r="K2518" s="124"/>
      <c r="L2518" s="124"/>
      <c r="M2518" s="124"/>
      <c r="N2518" s="124"/>
      <c r="O2518" s="124"/>
      <c r="P2518" s="124"/>
      <c r="Q2518" s="124"/>
      <c r="R2518" s="124"/>
      <c r="S2518" s="124"/>
      <c r="T2518" s="124"/>
      <c r="U2518" s="124"/>
      <c r="V2518" s="124"/>
      <c r="W2518" s="124"/>
      <c r="X2518" s="124"/>
      <c r="Y2518" s="124"/>
      <c r="Z2518" s="124"/>
    </row>
    <row r="2519">
      <c r="A2519" s="124"/>
      <c r="B2519" s="124"/>
      <c r="C2519" s="147"/>
      <c r="D2519" s="124"/>
      <c r="E2519" s="124"/>
      <c r="F2519" s="124"/>
      <c r="G2519" s="124"/>
      <c r="H2519" s="124"/>
      <c r="I2519" s="124"/>
      <c r="J2519" s="124"/>
      <c r="K2519" s="124"/>
      <c r="L2519" s="124"/>
      <c r="M2519" s="124"/>
      <c r="N2519" s="124"/>
      <c r="O2519" s="124"/>
      <c r="P2519" s="124"/>
      <c r="Q2519" s="124"/>
      <c r="R2519" s="124"/>
      <c r="S2519" s="124"/>
      <c r="T2519" s="124"/>
      <c r="U2519" s="124"/>
      <c r="V2519" s="124"/>
      <c r="W2519" s="124"/>
      <c r="X2519" s="124"/>
      <c r="Y2519" s="124"/>
      <c r="Z2519" s="124"/>
    </row>
    <row r="2520">
      <c r="A2520" s="124"/>
      <c r="B2520" s="124"/>
      <c r="C2520" s="147"/>
      <c r="D2520" s="124"/>
      <c r="E2520" s="124"/>
      <c r="F2520" s="124"/>
      <c r="G2520" s="124"/>
      <c r="H2520" s="124"/>
      <c r="I2520" s="124"/>
      <c r="J2520" s="124"/>
      <c r="K2520" s="124"/>
      <c r="L2520" s="124"/>
      <c r="M2520" s="124"/>
      <c r="N2520" s="124"/>
      <c r="O2520" s="124"/>
      <c r="P2520" s="124"/>
      <c r="Q2520" s="124"/>
      <c r="R2520" s="124"/>
      <c r="S2520" s="124"/>
      <c r="T2520" s="124"/>
      <c r="U2520" s="124"/>
      <c r="V2520" s="124"/>
      <c r="W2520" s="124"/>
      <c r="X2520" s="124"/>
      <c r="Y2520" s="124"/>
      <c r="Z2520" s="124"/>
    </row>
    <row r="2521">
      <c r="A2521" s="124"/>
      <c r="B2521" s="124"/>
      <c r="C2521" s="147"/>
      <c r="D2521" s="124"/>
      <c r="E2521" s="124"/>
      <c r="F2521" s="124"/>
      <c r="G2521" s="124"/>
      <c r="H2521" s="124"/>
      <c r="I2521" s="124"/>
      <c r="J2521" s="124"/>
      <c r="K2521" s="124"/>
      <c r="L2521" s="124"/>
      <c r="M2521" s="124"/>
      <c r="N2521" s="124"/>
      <c r="O2521" s="124"/>
      <c r="P2521" s="124"/>
      <c r="Q2521" s="124"/>
      <c r="R2521" s="124"/>
      <c r="S2521" s="124"/>
      <c r="T2521" s="124"/>
      <c r="U2521" s="124"/>
      <c r="V2521" s="124"/>
      <c r="W2521" s="124"/>
      <c r="X2521" s="124"/>
      <c r="Y2521" s="124"/>
      <c r="Z2521" s="124"/>
    </row>
    <row r="2522">
      <c r="A2522" s="124"/>
      <c r="B2522" s="124"/>
      <c r="C2522" s="147"/>
      <c r="D2522" s="124"/>
      <c r="E2522" s="124"/>
      <c r="F2522" s="124"/>
      <c r="G2522" s="124"/>
      <c r="H2522" s="124"/>
      <c r="I2522" s="124"/>
      <c r="J2522" s="124"/>
      <c r="K2522" s="124"/>
      <c r="L2522" s="124"/>
      <c r="M2522" s="124"/>
      <c r="N2522" s="124"/>
      <c r="O2522" s="124"/>
      <c r="P2522" s="124"/>
      <c r="Q2522" s="124"/>
      <c r="R2522" s="124"/>
      <c r="S2522" s="124"/>
      <c r="T2522" s="124"/>
      <c r="U2522" s="124"/>
      <c r="V2522" s="124"/>
      <c r="W2522" s="124"/>
      <c r="X2522" s="124"/>
      <c r="Y2522" s="124"/>
      <c r="Z2522" s="124"/>
    </row>
    <row r="2523">
      <c r="A2523" s="124"/>
      <c r="B2523" s="124"/>
      <c r="C2523" s="147"/>
      <c r="D2523" s="124"/>
      <c r="E2523" s="124"/>
      <c r="F2523" s="124"/>
      <c r="G2523" s="124"/>
      <c r="H2523" s="124"/>
      <c r="I2523" s="124"/>
      <c r="J2523" s="124"/>
      <c r="K2523" s="124"/>
      <c r="L2523" s="124"/>
      <c r="M2523" s="124"/>
      <c r="N2523" s="124"/>
      <c r="O2523" s="124"/>
      <c r="P2523" s="124"/>
      <c r="Q2523" s="124"/>
      <c r="R2523" s="124"/>
      <c r="S2523" s="124"/>
      <c r="T2523" s="124"/>
      <c r="U2523" s="124"/>
      <c r="V2523" s="124"/>
      <c r="W2523" s="124"/>
      <c r="X2523" s="124"/>
      <c r="Y2523" s="124"/>
      <c r="Z2523" s="124"/>
    </row>
    <row r="2524">
      <c r="A2524" s="124"/>
      <c r="B2524" s="124"/>
      <c r="C2524" s="147"/>
      <c r="D2524" s="124"/>
      <c r="E2524" s="124"/>
      <c r="F2524" s="124"/>
      <c r="G2524" s="124"/>
      <c r="H2524" s="124"/>
      <c r="I2524" s="124"/>
      <c r="J2524" s="124"/>
      <c r="K2524" s="124"/>
      <c r="L2524" s="124"/>
      <c r="M2524" s="124"/>
      <c r="N2524" s="124"/>
      <c r="O2524" s="124"/>
      <c r="P2524" s="124"/>
      <c r="Q2524" s="124"/>
      <c r="R2524" s="124"/>
      <c r="S2524" s="124"/>
      <c r="T2524" s="124"/>
      <c r="U2524" s="124"/>
      <c r="V2524" s="124"/>
      <c r="W2524" s="124"/>
      <c r="X2524" s="124"/>
      <c r="Y2524" s="124"/>
      <c r="Z2524" s="124"/>
    </row>
    <row r="2525">
      <c r="A2525" s="124"/>
      <c r="B2525" s="124"/>
      <c r="C2525" s="147"/>
      <c r="D2525" s="124"/>
      <c r="E2525" s="124"/>
      <c r="F2525" s="124"/>
      <c r="G2525" s="124"/>
      <c r="H2525" s="124"/>
      <c r="I2525" s="124"/>
      <c r="J2525" s="124"/>
      <c r="K2525" s="124"/>
      <c r="L2525" s="124"/>
      <c r="M2525" s="124"/>
      <c r="N2525" s="124"/>
      <c r="O2525" s="124"/>
      <c r="P2525" s="124"/>
      <c r="Q2525" s="124"/>
      <c r="R2525" s="124"/>
      <c r="S2525" s="124"/>
      <c r="T2525" s="124"/>
      <c r="U2525" s="124"/>
      <c r="V2525" s="124"/>
      <c r="W2525" s="124"/>
      <c r="X2525" s="124"/>
      <c r="Y2525" s="124"/>
      <c r="Z2525" s="124"/>
    </row>
    <row r="2526">
      <c r="A2526" s="124"/>
      <c r="B2526" s="124"/>
      <c r="C2526" s="147"/>
      <c r="D2526" s="124"/>
      <c r="E2526" s="124"/>
      <c r="F2526" s="124"/>
      <c r="G2526" s="124"/>
      <c r="H2526" s="124"/>
      <c r="I2526" s="124"/>
      <c r="J2526" s="124"/>
      <c r="K2526" s="124"/>
      <c r="L2526" s="124"/>
      <c r="M2526" s="124"/>
      <c r="N2526" s="124"/>
      <c r="O2526" s="124"/>
      <c r="P2526" s="124"/>
      <c r="Q2526" s="124"/>
      <c r="R2526" s="124"/>
      <c r="S2526" s="124"/>
      <c r="T2526" s="124"/>
      <c r="U2526" s="124"/>
      <c r="V2526" s="124"/>
      <c r="W2526" s="124"/>
      <c r="X2526" s="124"/>
      <c r="Y2526" s="124"/>
      <c r="Z2526" s="124"/>
    </row>
    <row r="2527">
      <c r="A2527" s="124"/>
      <c r="B2527" s="124"/>
      <c r="C2527" s="147"/>
      <c r="D2527" s="124"/>
      <c r="E2527" s="124"/>
      <c r="F2527" s="124"/>
      <c r="G2527" s="124"/>
      <c r="H2527" s="124"/>
      <c r="I2527" s="124"/>
      <c r="J2527" s="124"/>
      <c r="K2527" s="124"/>
      <c r="L2527" s="124"/>
      <c r="M2527" s="124"/>
      <c r="N2527" s="124"/>
      <c r="O2527" s="124"/>
      <c r="P2527" s="124"/>
      <c r="Q2527" s="124"/>
      <c r="R2527" s="124"/>
      <c r="S2527" s="124"/>
      <c r="T2527" s="124"/>
      <c r="U2527" s="124"/>
      <c r="V2527" s="124"/>
      <c r="W2527" s="124"/>
      <c r="X2527" s="124"/>
      <c r="Y2527" s="124"/>
      <c r="Z2527" s="124"/>
    </row>
    <row r="2528">
      <c r="A2528" s="124"/>
      <c r="B2528" s="124"/>
      <c r="C2528" s="147"/>
      <c r="D2528" s="124"/>
      <c r="E2528" s="124"/>
      <c r="F2528" s="124"/>
      <c r="G2528" s="124"/>
      <c r="H2528" s="124"/>
      <c r="I2528" s="124"/>
      <c r="J2528" s="124"/>
      <c r="K2528" s="124"/>
      <c r="L2528" s="124"/>
      <c r="M2528" s="124"/>
      <c r="N2528" s="124"/>
      <c r="O2528" s="124"/>
      <c r="P2528" s="124"/>
      <c r="Q2528" s="124"/>
      <c r="R2528" s="124"/>
      <c r="S2528" s="124"/>
      <c r="T2528" s="124"/>
      <c r="U2528" s="124"/>
      <c r="V2528" s="124"/>
      <c r="W2528" s="124"/>
      <c r="X2528" s="124"/>
      <c r="Y2528" s="124"/>
      <c r="Z2528" s="124"/>
    </row>
    <row r="2529">
      <c r="A2529" s="124"/>
      <c r="B2529" s="124"/>
      <c r="C2529" s="147"/>
      <c r="D2529" s="124"/>
      <c r="E2529" s="124"/>
      <c r="F2529" s="124"/>
      <c r="G2529" s="124"/>
      <c r="H2529" s="124"/>
      <c r="I2529" s="124"/>
      <c r="J2529" s="124"/>
      <c r="K2529" s="124"/>
      <c r="L2529" s="124"/>
      <c r="M2529" s="124"/>
      <c r="N2529" s="124"/>
      <c r="O2529" s="124"/>
      <c r="P2529" s="124"/>
      <c r="Q2529" s="124"/>
      <c r="R2529" s="124"/>
      <c r="S2529" s="124"/>
      <c r="T2529" s="124"/>
      <c r="U2529" s="124"/>
      <c r="V2529" s="124"/>
      <c r="W2529" s="124"/>
      <c r="X2529" s="124"/>
      <c r="Y2529" s="124"/>
      <c r="Z2529" s="124"/>
    </row>
    <row r="2530">
      <c r="A2530" s="124"/>
      <c r="B2530" s="124"/>
      <c r="C2530" s="147"/>
      <c r="D2530" s="124"/>
      <c r="E2530" s="124"/>
      <c r="F2530" s="124"/>
      <c r="G2530" s="124"/>
      <c r="H2530" s="124"/>
      <c r="I2530" s="124"/>
      <c r="J2530" s="124"/>
      <c r="K2530" s="124"/>
      <c r="L2530" s="124"/>
      <c r="M2530" s="124"/>
      <c r="N2530" s="124"/>
      <c r="O2530" s="124"/>
      <c r="P2530" s="124"/>
      <c r="Q2530" s="124"/>
      <c r="R2530" s="124"/>
      <c r="S2530" s="124"/>
      <c r="T2530" s="124"/>
      <c r="U2530" s="124"/>
      <c r="V2530" s="124"/>
      <c r="W2530" s="124"/>
      <c r="X2530" s="124"/>
      <c r="Y2530" s="124"/>
      <c r="Z2530" s="124"/>
    </row>
    <row r="2531">
      <c r="A2531" s="124"/>
      <c r="B2531" s="124"/>
      <c r="C2531" s="147"/>
      <c r="D2531" s="124"/>
      <c r="E2531" s="124"/>
      <c r="F2531" s="124"/>
      <c r="G2531" s="124"/>
      <c r="H2531" s="124"/>
      <c r="I2531" s="124"/>
      <c r="J2531" s="124"/>
      <c r="K2531" s="124"/>
      <c r="L2531" s="124"/>
      <c r="M2531" s="124"/>
      <c r="N2531" s="124"/>
      <c r="O2531" s="124"/>
      <c r="P2531" s="124"/>
      <c r="Q2531" s="124"/>
      <c r="R2531" s="124"/>
      <c r="S2531" s="124"/>
      <c r="T2531" s="124"/>
      <c r="U2531" s="124"/>
      <c r="V2531" s="124"/>
      <c r="W2531" s="124"/>
      <c r="X2531" s="124"/>
      <c r="Y2531" s="124"/>
      <c r="Z2531" s="124"/>
    </row>
    <row r="2532">
      <c r="A2532" s="124"/>
      <c r="B2532" s="124"/>
      <c r="C2532" s="147"/>
      <c r="D2532" s="124"/>
      <c r="E2532" s="124"/>
      <c r="F2532" s="124"/>
      <c r="G2532" s="124"/>
      <c r="H2532" s="124"/>
      <c r="I2532" s="124"/>
      <c r="J2532" s="124"/>
      <c r="K2532" s="124"/>
      <c r="L2532" s="124"/>
      <c r="M2532" s="124"/>
      <c r="N2532" s="124"/>
      <c r="O2532" s="124"/>
      <c r="P2532" s="124"/>
      <c r="Q2532" s="124"/>
      <c r="R2532" s="124"/>
      <c r="S2532" s="124"/>
      <c r="T2532" s="124"/>
      <c r="U2532" s="124"/>
      <c r="V2532" s="124"/>
      <c r="W2532" s="124"/>
      <c r="X2532" s="124"/>
      <c r="Y2532" s="124"/>
      <c r="Z2532" s="124"/>
    </row>
    <row r="2533">
      <c r="A2533" s="124"/>
      <c r="B2533" s="124"/>
      <c r="C2533" s="147"/>
      <c r="D2533" s="124"/>
      <c r="E2533" s="124"/>
      <c r="F2533" s="124"/>
      <c r="G2533" s="124"/>
      <c r="H2533" s="124"/>
      <c r="I2533" s="124"/>
      <c r="J2533" s="124"/>
      <c r="K2533" s="124"/>
      <c r="L2533" s="124"/>
      <c r="M2533" s="124"/>
      <c r="N2533" s="124"/>
      <c r="O2533" s="124"/>
      <c r="P2533" s="124"/>
      <c r="Q2533" s="124"/>
      <c r="R2533" s="124"/>
      <c r="S2533" s="124"/>
      <c r="T2533" s="124"/>
      <c r="U2533" s="124"/>
      <c r="V2533" s="124"/>
      <c r="W2533" s="124"/>
      <c r="X2533" s="124"/>
      <c r="Y2533" s="124"/>
      <c r="Z2533" s="124"/>
    </row>
    <row r="2534">
      <c r="A2534" s="124"/>
      <c r="B2534" s="124"/>
      <c r="C2534" s="147"/>
      <c r="D2534" s="124"/>
      <c r="E2534" s="124"/>
      <c r="F2534" s="124"/>
      <c r="G2534" s="124"/>
      <c r="H2534" s="124"/>
      <c r="I2534" s="124"/>
      <c r="J2534" s="124"/>
      <c r="K2534" s="124"/>
      <c r="L2534" s="124"/>
      <c r="M2534" s="124"/>
      <c r="N2534" s="124"/>
      <c r="O2534" s="124"/>
      <c r="P2534" s="124"/>
      <c r="Q2534" s="124"/>
      <c r="R2534" s="124"/>
      <c r="S2534" s="124"/>
      <c r="T2534" s="124"/>
      <c r="U2534" s="124"/>
      <c r="V2534" s="124"/>
      <c r="W2534" s="124"/>
      <c r="X2534" s="124"/>
      <c r="Y2534" s="124"/>
      <c r="Z2534" s="124"/>
    </row>
    <row r="2535">
      <c r="A2535" s="124"/>
      <c r="B2535" s="124"/>
      <c r="C2535" s="147"/>
      <c r="D2535" s="124"/>
      <c r="E2535" s="124"/>
      <c r="F2535" s="124"/>
      <c r="G2535" s="124"/>
      <c r="H2535" s="124"/>
      <c r="I2535" s="124"/>
      <c r="J2535" s="124"/>
      <c r="K2535" s="124"/>
      <c r="L2535" s="124"/>
      <c r="M2535" s="124"/>
      <c r="N2535" s="124"/>
      <c r="O2535" s="124"/>
      <c r="P2535" s="124"/>
      <c r="Q2535" s="124"/>
      <c r="R2535" s="124"/>
      <c r="S2535" s="124"/>
      <c r="T2535" s="124"/>
      <c r="U2535" s="124"/>
      <c r="V2535" s="124"/>
      <c r="W2535" s="124"/>
      <c r="X2535" s="124"/>
      <c r="Y2535" s="124"/>
      <c r="Z2535" s="124"/>
    </row>
    <row r="2536">
      <c r="A2536" s="124"/>
      <c r="B2536" s="124"/>
      <c r="C2536" s="147"/>
      <c r="D2536" s="124"/>
      <c r="E2536" s="124"/>
      <c r="F2536" s="124"/>
      <c r="G2536" s="124"/>
      <c r="H2536" s="124"/>
      <c r="I2536" s="124"/>
      <c r="J2536" s="124"/>
      <c r="K2536" s="124"/>
      <c r="L2536" s="124"/>
      <c r="M2536" s="124"/>
      <c r="N2536" s="124"/>
      <c r="O2536" s="124"/>
      <c r="P2536" s="124"/>
      <c r="Q2536" s="124"/>
      <c r="R2536" s="124"/>
      <c r="S2536" s="124"/>
      <c r="T2536" s="124"/>
      <c r="U2536" s="124"/>
      <c r="V2536" s="124"/>
      <c r="W2536" s="124"/>
      <c r="X2536" s="124"/>
      <c r="Y2536" s="124"/>
      <c r="Z2536" s="124"/>
    </row>
    <row r="2537">
      <c r="A2537" s="124"/>
      <c r="B2537" s="124"/>
      <c r="C2537" s="147"/>
      <c r="D2537" s="124"/>
      <c r="E2537" s="124"/>
      <c r="F2537" s="124"/>
      <c r="G2537" s="124"/>
      <c r="H2537" s="124"/>
      <c r="I2537" s="124"/>
      <c r="J2537" s="124"/>
      <c r="K2537" s="124"/>
      <c r="L2537" s="124"/>
      <c r="M2537" s="124"/>
      <c r="N2537" s="124"/>
      <c r="O2537" s="124"/>
      <c r="P2537" s="124"/>
      <c r="Q2537" s="124"/>
      <c r="R2537" s="124"/>
      <c r="S2537" s="124"/>
      <c r="T2537" s="124"/>
      <c r="U2537" s="124"/>
      <c r="V2537" s="124"/>
      <c r="W2537" s="124"/>
      <c r="X2537" s="124"/>
      <c r="Y2537" s="124"/>
      <c r="Z2537" s="124"/>
    </row>
    <row r="2538">
      <c r="A2538" s="124"/>
      <c r="B2538" s="124"/>
      <c r="C2538" s="147"/>
      <c r="D2538" s="124"/>
      <c r="E2538" s="124"/>
      <c r="F2538" s="124"/>
      <c r="G2538" s="124"/>
      <c r="H2538" s="124"/>
      <c r="I2538" s="124"/>
      <c r="J2538" s="124"/>
      <c r="K2538" s="124"/>
      <c r="L2538" s="124"/>
      <c r="M2538" s="124"/>
      <c r="N2538" s="124"/>
      <c r="O2538" s="124"/>
      <c r="P2538" s="124"/>
      <c r="Q2538" s="124"/>
      <c r="R2538" s="124"/>
      <c r="S2538" s="124"/>
      <c r="T2538" s="124"/>
      <c r="U2538" s="124"/>
      <c r="V2538" s="124"/>
      <c r="W2538" s="124"/>
      <c r="X2538" s="124"/>
      <c r="Y2538" s="124"/>
      <c r="Z2538" s="124"/>
    </row>
    <row r="2539">
      <c r="A2539" s="124"/>
      <c r="B2539" s="124"/>
      <c r="C2539" s="147"/>
      <c r="D2539" s="124"/>
      <c r="E2539" s="124"/>
      <c r="F2539" s="124"/>
      <c r="G2539" s="124"/>
      <c r="H2539" s="124"/>
      <c r="I2539" s="124"/>
      <c r="J2539" s="124"/>
      <c r="K2539" s="124"/>
      <c r="L2539" s="124"/>
      <c r="M2539" s="124"/>
      <c r="N2539" s="124"/>
      <c r="O2539" s="124"/>
      <c r="P2539" s="124"/>
      <c r="Q2539" s="124"/>
      <c r="R2539" s="124"/>
      <c r="S2539" s="124"/>
      <c r="T2539" s="124"/>
      <c r="U2539" s="124"/>
      <c r="V2539" s="124"/>
      <c r="W2539" s="124"/>
      <c r="X2539" s="124"/>
      <c r="Y2539" s="124"/>
      <c r="Z2539" s="124"/>
    </row>
    <row r="2540">
      <c r="A2540" s="124"/>
      <c r="B2540" s="124"/>
      <c r="C2540" s="147"/>
      <c r="D2540" s="124"/>
      <c r="E2540" s="124"/>
      <c r="F2540" s="124"/>
      <c r="G2540" s="124"/>
      <c r="H2540" s="124"/>
      <c r="I2540" s="124"/>
      <c r="J2540" s="124"/>
      <c r="K2540" s="124"/>
      <c r="L2540" s="124"/>
      <c r="M2540" s="124"/>
      <c r="N2540" s="124"/>
      <c r="O2540" s="124"/>
      <c r="P2540" s="124"/>
      <c r="Q2540" s="124"/>
      <c r="R2540" s="124"/>
      <c r="S2540" s="124"/>
      <c r="T2540" s="124"/>
      <c r="U2540" s="124"/>
      <c r="V2540" s="124"/>
      <c r="W2540" s="124"/>
      <c r="X2540" s="124"/>
      <c r="Y2540" s="124"/>
      <c r="Z2540" s="124"/>
    </row>
    <row r="2541">
      <c r="A2541" s="124"/>
      <c r="B2541" s="124"/>
      <c r="C2541" s="147"/>
      <c r="D2541" s="124"/>
      <c r="E2541" s="124"/>
      <c r="F2541" s="124"/>
      <c r="G2541" s="124"/>
      <c r="H2541" s="124"/>
      <c r="I2541" s="124"/>
      <c r="J2541" s="124"/>
      <c r="K2541" s="124"/>
      <c r="L2541" s="124"/>
      <c r="M2541" s="124"/>
      <c r="N2541" s="124"/>
      <c r="O2541" s="124"/>
      <c r="P2541" s="124"/>
      <c r="Q2541" s="124"/>
      <c r="R2541" s="124"/>
      <c r="S2541" s="124"/>
      <c r="T2541" s="124"/>
      <c r="U2541" s="124"/>
      <c r="V2541" s="124"/>
      <c r="W2541" s="124"/>
      <c r="X2541" s="124"/>
      <c r="Y2541" s="124"/>
      <c r="Z2541" s="124"/>
    </row>
    <row r="2542">
      <c r="A2542" s="124"/>
      <c r="B2542" s="124"/>
      <c r="C2542" s="147"/>
      <c r="D2542" s="124"/>
      <c r="E2542" s="124"/>
      <c r="F2542" s="124"/>
      <c r="G2542" s="124"/>
      <c r="H2542" s="124"/>
      <c r="I2542" s="124"/>
      <c r="J2542" s="124"/>
      <c r="K2542" s="124"/>
      <c r="L2542" s="124"/>
      <c r="M2542" s="124"/>
      <c r="N2542" s="124"/>
      <c r="O2542" s="124"/>
      <c r="P2542" s="124"/>
      <c r="Q2542" s="124"/>
      <c r="R2542" s="124"/>
      <c r="S2542" s="124"/>
      <c r="T2542" s="124"/>
      <c r="U2542" s="124"/>
      <c r="V2542" s="124"/>
      <c r="W2542" s="124"/>
      <c r="X2542" s="124"/>
      <c r="Y2542" s="124"/>
      <c r="Z2542" s="124"/>
    </row>
    <row r="2543">
      <c r="A2543" s="124"/>
      <c r="B2543" s="124"/>
      <c r="C2543" s="147"/>
      <c r="D2543" s="124"/>
      <c r="E2543" s="124"/>
      <c r="F2543" s="124"/>
      <c r="G2543" s="124"/>
      <c r="H2543" s="124"/>
      <c r="I2543" s="124"/>
      <c r="J2543" s="124"/>
      <c r="K2543" s="124"/>
      <c r="L2543" s="124"/>
      <c r="M2543" s="124"/>
      <c r="N2543" s="124"/>
      <c r="O2543" s="124"/>
      <c r="P2543" s="124"/>
      <c r="Q2543" s="124"/>
      <c r="R2543" s="124"/>
      <c r="S2543" s="124"/>
      <c r="T2543" s="124"/>
      <c r="U2543" s="124"/>
      <c r="V2543" s="124"/>
      <c r="W2543" s="124"/>
      <c r="X2543" s="124"/>
      <c r="Y2543" s="124"/>
      <c r="Z2543" s="124"/>
    </row>
    <row r="2544">
      <c r="A2544" s="124"/>
      <c r="B2544" s="124"/>
      <c r="C2544" s="147"/>
      <c r="D2544" s="124"/>
      <c r="E2544" s="124"/>
      <c r="F2544" s="124"/>
      <c r="G2544" s="124"/>
      <c r="H2544" s="124"/>
      <c r="I2544" s="124"/>
      <c r="J2544" s="124"/>
      <c r="K2544" s="124"/>
      <c r="L2544" s="124"/>
      <c r="M2544" s="124"/>
      <c r="N2544" s="124"/>
      <c r="O2544" s="124"/>
      <c r="P2544" s="124"/>
      <c r="Q2544" s="124"/>
      <c r="R2544" s="124"/>
      <c r="S2544" s="124"/>
      <c r="T2544" s="124"/>
      <c r="U2544" s="124"/>
      <c r="V2544" s="124"/>
      <c r="W2544" s="124"/>
      <c r="X2544" s="124"/>
      <c r="Y2544" s="124"/>
      <c r="Z2544" s="124"/>
    </row>
    <row r="2545">
      <c r="A2545" s="124"/>
      <c r="B2545" s="124"/>
      <c r="C2545" s="147"/>
      <c r="D2545" s="124"/>
      <c r="E2545" s="124"/>
      <c r="F2545" s="124"/>
      <c r="G2545" s="124"/>
      <c r="H2545" s="124"/>
      <c r="I2545" s="124"/>
      <c r="J2545" s="124"/>
      <c r="K2545" s="124"/>
      <c r="L2545" s="124"/>
      <c r="M2545" s="124"/>
      <c r="N2545" s="124"/>
      <c r="O2545" s="124"/>
      <c r="P2545" s="124"/>
      <c r="Q2545" s="124"/>
      <c r="R2545" s="124"/>
      <c r="S2545" s="124"/>
      <c r="T2545" s="124"/>
      <c r="U2545" s="124"/>
      <c r="V2545" s="124"/>
      <c r="W2545" s="124"/>
      <c r="X2545" s="124"/>
      <c r="Y2545" s="124"/>
      <c r="Z2545" s="124"/>
    </row>
    <row r="2546">
      <c r="A2546" s="124"/>
      <c r="B2546" s="124"/>
      <c r="C2546" s="147"/>
      <c r="D2546" s="124"/>
      <c r="E2546" s="124"/>
      <c r="F2546" s="124"/>
      <c r="G2546" s="124"/>
      <c r="H2546" s="124"/>
      <c r="I2546" s="124"/>
      <c r="J2546" s="124"/>
      <c r="K2546" s="124"/>
      <c r="L2546" s="124"/>
      <c r="M2546" s="124"/>
      <c r="N2546" s="124"/>
      <c r="O2546" s="124"/>
      <c r="P2546" s="124"/>
      <c r="Q2546" s="124"/>
      <c r="R2546" s="124"/>
      <c r="S2546" s="124"/>
      <c r="T2546" s="124"/>
      <c r="U2546" s="124"/>
      <c r="V2546" s="124"/>
      <c r="W2546" s="124"/>
      <c r="X2546" s="124"/>
      <c r="Y2546" s="124"/>
      <c r="Z2546" s="124"/>
    </row>
    <row r="2547">
      <c r="A2547" s="124"/>
      <c r="B2547" s="124"/>
      <c r="C2547" s="147"/>
      <c r="D2547" s="124"/>
      <c r="E2547" s="124"/>
      <c r="F2547" s="124"/>
      <c r="G2547" s="124"/>
      <c r="H2547" s="124"/>
      <c r="I2547" s="124"/>
      <c r="J2547" s="124"/>
      <c r="K2547" s="124"/>
      <c r="L2547" s="124"/>
      <c r="M2547" s="124"/>
      <c r="N2547" s="124"/>
      <c r="O2547" s="124"/>
      <c r="P2547" s="124"/>
      <c r="Q2547" s="124"/>
      <c r="R2547" s="124"/>
      <c r="S2547" s="124"/>
      <c r="T2547" s="124"/>
      <c r="U2547" s="124"/>
      <c r="V2547" s="124"/>
      <c r="W2547" s="124"/>
      <c r="X2547" s="124"/>
      <c r="Y2547" s="124"/>
      <c r="Z2547" s="124"/>
    </row>
    <row r="2548">
      <c r="A2548" s="124"/>
      <c r="B2548" s="124"/>
      <c r="C2548" s="147"/>
      <c r="D2548" s="124"/>
      <c r="E2548" s="124"/>
      <c r="F2548" s="124"/>
      <c r="G2548" s="124"/>
      <c r="H2548" s="124"/>
      <c r="I2548" s="124"/>
      <c r="J2548" s="124"/>
      <c r="K2548" s="124"/>
      <c r="L2548" s="124"/>
      <c r="M2548" s="124"/>
      <c r="N2548" s="124"/>
      <c r="O2548" s="124"/>
      <c r="P2548" s="124"/>
      <c r="Q2548" s="124"/>
      <c r="R2548" s="124"/>
      <c r="S2548" s="124"/>
      <c r="T2548" s="124"/>
      <c r="U2548" s="124"/>
      <c r="V2548" s="124"/>
      <c r="W2548" s="124"/>
      <c r="X2548" s="124"/>
      <c r="Y2548" s="124"/>
      <c r="Z2548" s="124"/>
    </row>
    <row r="2549">
      <c r="A2549" s="124"/>
      <c r="B2549" s="124"/>
      <c r="C2549" s="147"/>
      <c r="D2549" s="124"/>
      <c r="E2549" s="124"/>
      <c r="F2549" s="124"/>
      <c r="G2549" s="124"/>
      <c r="H2549" s="124"/>
      <c r="I2549" s="124"/>
      <c r="J2549" s="124"/>
      <c r="K2549" s="124"/>
      <c r="L2549" s="124"/>
      <c r="M2549" s="124"/>
      <c r="N2549" s="124"/>
      <c r="O2549" s="124"/>
      <c r="P2549" s="124"/>
      <c r="Q2549" s="124"/>
      <c r="R2549" s="124"/>
      <c r="S2549" s="124"/>
      <c r="T2549" s="124"/>
      <c r="U2549" s="124"/>
      <c r="V2549" s="124"/>
      <c r="W2549" s="124"/>
      <c r="X2549" s="124"/>
      <c r="Y2549" s="124"/>
      <c r="Z2549" s="124"/>
    </row>
    <row r="2550">
      <c r="A2550" s="124"/>
      <c r="B2550" s="124"/>
      <c r="C2550" s="147"/>
      <c r="D2550" s="124"/>
      <c r="E2550" s="124"/>
      <c r="F2550" s="124"/>
      <c r="G2550" s="124"/>
      <c r="H2550" s="124"/>
      <c r="I2550" s="124"/>
      <c r="J2550" s="124"/>
      <c r="K2550" s="124"/>
      <c r="L2550" s="124"/>
      <c r="M2550" s="124"/>
      <c r="N2550" s="124"/>
      <c r="O2550" s="124"/>
      <c r="P2550" s="124"/>
      <c r="Q2550" s="124"/>
      <c r="R2550" s="124"/>
      <c r="S2550" s="124"/>
      <c r="T2550" s="124"/>
      <c r="U2550" s="124"/>
      <c r="V2550" s="124"/>
      <c r="W2550" s="124"/>
      <c r="X2550" s="124"/>
      <c r="Y2550" s="124"/>
      <c r="Z2550" s="124"/>
    </row>
    <row r="2551">
      <c r="A2551" s="124"/>
      <c r="B2551" s="124"/>
      <c r="C2551" s="147"/>
      <c r="D2551" s="124"/>
      <c r="E2551" s="124"/>
      <c r="F2551" s="124"/>
      <c r="G2551" s="124"/>
      <c r="H2551" s="124"/>
      <c r="I2551" s="124"/>
      <c r="J2551" s="124"/>
      <c r="K2551" s="124"/>
      <c r="L2551" s="124"/>
      <c r="M2551" s="124"/>
      <c r="N2551" s="124"/>
      <c r="O2551" s="124"/>
      <c r="P2551" s="124"/>
      <c r="Q2551" s="124"/>
      <c r="R2551" s="124"/>
      <c r="S2551" s="124"/>
      <c r="T2551" s="124"/>
      <c r="U2551" s="124"/>
      <c r="V2551" s="124"/>
      <c r="W2551" s="124"/>
      <c r="X2551" s="124"/>
      <c r="Y2551" s="124"/>
      <c r="Z2551" s="124"/>
    </row>
    <row r="2552">
      <c r="A2552" s="124"/>
      <c r="B2552" s="124"/>
      <c r="C2552" s="147"/>
      <c r="D2552" s="124"/>
      <c r="E2552" s="124"/>
      <c r="F2552" s="124"/>
      <c r="G2552" s="124"/>
      <c r="H2552" s="124"/>
      <c r="I2552" s="124"/>
      <c r="J2552" s="124"/>
      <c r="K2552" s="124"/>
      <c r="L2552" s="124"/>
      <c r="M2552" s="124"/>
      <c r="N2552" s="124"/>
      <c r="O2552" s="124"/>
      <c r="P2552" s="124"/>
      <c r="Q2552" s="124"/>
      <c r="R2552" s="124"/>
      <c r="S2552" s="124"/>
      <c r="T2552" s="124"/>
      <c r="U2552" s="124"/>
      <c r="V2552" s="124"/>
      <c r="W2552" s="124"/>
      <c r="X2552" s="124"/>
      <c r="Y2552" s="124"/>
      <c r="Z2552" s="124"/>
    </row>
    <row r="2553">
      <c r="A2553" s="124"/>
      <c r="B2553" s="124"/>
      <c r="C2553" s="147"/>
      <c r="D2553" s="124"/>
      <c r="E2553" s="124"/>
      <c r="F2553" s="124"/>
      <c r="G2553" s="124"/>
      <c r="H2553" s="124"/>
      <c r="I2553" s="124"/>
      <c r="J2553" s="124"/>
      <c r="K2553" s="124"/>
      <c r="L2553" s="124"/>
      <c r="M2553" s="124"/>
      <c r="N2553" s="124"/>
      <c r="O2553" s="124"/>
      <c r="P2553" s="124"/>
      <c r="Q2553" s="124"/>
      <c r="R2553" s="124"/>
      <c r="S2553" s="124"/>
      <c r="T2553" s="124"/>
      <c r="U2553" s="124"/>
      <c r="V2553" s="124"/>
      <c r="W2553" s="124"/>
      <c r="X2553" s="124"/>
      <c r="Y2553" s="124"/>
      <c r="Z2553" s="124"/>
    </row>
    <row r="2554">
      <c r="A2554" s="124"/>
      <c r="B2554" s="124"/>
      <c r="C2554" s="147"/>
      <c r="D2554" s="124"/>
      <c r="E2554" s="124"/>
      <c r="F2554" s="124"/>
      <c r="G2554" s="124"/>
      <c r="H2554" s="124"/>
      <c r="I2554" s="124"/>
      <c r="J2554" s="124"/>
      <c r="K2554" s="124"/>
      <c r="L2554" s="124"/>
      <c r="M2554" s="124"/>
      <c r="N2554" s="124"/>
      <c r="O2554" s="124"/>
      <c r="P2554" s="124"/>
      <c r="Q2554" s="124"/>
      <c r="R2554" s="124"/>
      <c r="S2554" s="124"/>
      <c r="T2554" s="124"/>
      <c r="U2554" s="124"/>
      <c r="V2554" s="124"/>
      <c r="W2554" s="124"/>
      <c r="X2554" s="124"/>
      <c r="Y2554" s="124"/>
      <c r="Z2554" s="124"/>
    </row>
    <row r="2555">
      <c r="A2555" s="124"/>
      <c r="B2555" s="124"/>
      <c r="C2555" s="147"/>
      <c r="D2555" s="124"/>
      <c r="E2555" s="124"/>
      <c r="F2555" s="124"/>
      <c r="G2555" s="124"/>
      <c r="H2555" s="124"/>
      <c r="I2555" s="124"/>
      <c r="J2555" s="124"/>
      <c r="K2555" s="124"/>
      <c r="L2555" s="124"/>
      <c r="M2555" s="124"/>
      <c r="N2555" s="124"/>
      <c r="O2555" s="124"/>
      <c r="P2555" s="124"/>
      <c r="Q2555" s="124"/>
      <c r="R2555" s="124"/>
      <c r="S2555" s="124"/>
      <c r="T2555" s="124"/>
      <c r="U2555" s="124"/>
      <c r="V2555" s="124"/>
      <c r="W2555" s="124"/>
      <c r="X2555" s="124"/>
      <c r="Y2555" s="124"/>
      <c r="Z2555" s="124"/>
    </row>
    <row r="2556">
      <c r="A2556" s="124"/>
      <c r="B2556" s="124"/>
      <c r="C2556" s="147"/>
      <c r="D2556" s="124"/>
      <c r="E2556" s="124"/>
      <c r="F2556" s="124"/>
      <c r="G2556" s="124"/>
      <c r="H2556" s="124"/>
      <c r="I2556" s="124"/>
      <c r="J2556" s="124"/>
      <c r="K2556" s="124"/>
      <c r="L2556" s="124"/>
      <c r="M2556" s="124"/>
      <c r="N2556" s="124"/>
      <c r="O2556" s="124"/>
      <c r="P2556" s="124"/>
      <c r="Q2556" s="124"/>
      <c r="R2556" s="124"/>
      <c r="S2556" s="124"/>
      <c r="T2556" s="124"/>
      <c r="U2556" s="124"/>
      <c r="V2556" s="124"/>
      <c r="W2556" s="124"/>
      <c r="X2556" s="124"/>
      <c r="Y2556" s="124"/>
      <c r="Z2556" s="124"/>
    </row>
    <row r="2557">
      <c r="A2557" s="124"/>
      <c r="B2557" s="124"/>
      <c r="C2557" s="147"/>
      <c r="D2557" s="124"/>
      <c r="E2557" s="124"/>
      <c r="F2557" s="124"/>
      <c r="G2557" s="124"/>
      <c r="H2557" s="124"/>
      <c r="I2557" s="124"/>
      <c r="J2557" s="124"/>
      <c r="K2557" s="124"/>
      <c r="L2557" s="124"/>
      <c r="M2557" s="124"/>
      <c r="N2557" s="124"/>
      <c r="O2557" s="124"/>
      <c r="P2557" s="124"/>
      <c r="Q2557" s="124"/>
      <c r="R2557" s="124"/>
      <c r="S2557" s="124"/>
      <c r="T2557" s="124"/>
      <c r="U2557" s="124"/>
      <c r="V2557" s="124"/>
      <c r="W2557" s="124"/>
      <c r="X2557" s="124"/>
      <c r="Y2557" s="124"/>
      <c r="Z2557" s="124"/>
    </row>
    <row r="2558">
      <c r="A2558" s="124"/>
      <c r="B2558" s="124"/>
      <c r="C2558" s="147"/>
      <c r="D2558" s="124"/>
      <c r="E2558" s="124"/>
      <c r="F2558" s="124"/>
      <c r="G2558" s="124"/>
      <c r="H2558" s="124"/>
      <c r="I2558" s="124"/>
      <c r="J2558" s="124"/>
      <c r="K2558" s="124"/>
      <c r="L2558" s="124"/>
      <c r="M2558" s="124"/>
      <c r="N2558" s="124"/>
      <c r="O2558" s="124"/>
      <c r="P2558" s="124"/>
      <c r="Q2558" s="124"/>
      <c r="R2558" s="124"/>
      <c r="S2558" s="124"/>
      <c r="T2558" s="124"/>
      <c r="U2558" s="124"/>
      <c r="V2558" s="124"/>
      <c r="W2558" s="124"/>
      <c r="X2558" s="124"/>
      <c r="Y2558" s="124"/>
      <c r="Z2558" s="124"/>
    </row>
    <row r="2559">
      <c r="A2559" s="124"/>
      <c r="B2559" s="124"/>
      <c r="C2559" s="147"/>
      <c r="D2559" s="124"/>
      <c r="E2559" s="124"/>
      <c r="F2559" s="124"/>
      <c r="G2559" s="124"/>
      <c r="H2559" s="124"/>
      <c r="I2559" s="124"/>
      <c r="J2559" s="124"/>
      <c r="K2559" s="124"/>
      <c r="L2559" s="124"/>
      <c r="M2559" s="124"/>
      <c r="N2559" s="124"/>
      <c r="O2559" s="124"/>
      <c r="P2559" s="124"/>
      <c r="Q2559" s="124"/>
      <c r="R2559" s="124"/>
      <c r="S2559" s="124"/>
      <c r="T2559" s="124"/>
      <c r="U2559" s="124"/>
      <c r="V2559" s="124"/>
      <c r="W2559" s="124"/>
      <c r="X2559" s="124"/>
      <c r="Y2559" s="124"/>
      <c r="Z2559" s="124"/>
    </row>
    <row r="2560">
      <c r="A2560" s="124"/>
      <c r="B2560" s="124"/>
      <c r="C2560" s="147"/>
      <c r="D2560" s="124"/>
      <c r="E2560" s="124"/>
      <c r="F2560" s="124"/>
      <c r="G2560" s="124"/>
      <c r="H2560" s="124"/>
      <c r="I2560" s="124"/>
      <c r="J2560" s="124"/>
      <c r="K2560" s="124"/>
      <c r="L2560" s="124"/>
      <c r="M2560" s="124"/>
      <c r="N2560" s="124"/>
      <c r="O2560" s="124"/>
      <c r="P2560" s="124"/>
      <c r="Q2560" s="124"/>
      <c r="R2560" s="124"/>
      <c r="S2560" s="124"/>
      <c r="T2560" s="124"/>
      <c r="U2560" s="124"/>
      <c r="V2560" s="124"/>
      <c r="W2560" s="124"/>
      <c r="X2560" s="124"/>
      <c r="Y2560" s="124"/>
      <c r="Z2560" s="124"/>
    </row>
    <row r="2561">
      <c r="A2561" s="124"/>
      <c r="B2561" s="124"/>
      <c r="C2561" s="147"/>
      <c r="D2561" s="124"/>
      <c r="E2561" s="124"/>
      <c r="F2561" s="124"/>
      <c r="G2561" s="124"/>
      <c r="H2561" s="124"/>
      <c r="I2561" s="124"/>
      <c r="J2561" s="124"/>
      <c r="K2561" s="124"/>
      <c r="L2561" s="124"/>
      <c r="M2561" s="124"/>
      <c r="N2561" s="124"/>
      <c r="O2561" s="124"/>
      <c r="P2561" s="124"/>
      <c r="Q2561" s="124"/>
      <c r="R2561" s="124"/>
      <c r="S2561" s="124"/>
      <c r="T2561" s="124"/>
      <c r="U2561" s="124"/>
      <c r="V2561" s="124"/>
      <c r="W2561" s="124"/>
      <c r="X2561" s="124"/>
      <c r="Y2561" s="124"/>
      <c r="Z2561" s="124"/>
    </row>
    <row r="2562">
      <c r="A2562" s="124"/>
      <c r="B2562" s="124"/>
      <c r="C2562" s="147"/>
      <c r="D2562" s="124"/>
      <c r="E2562" s="124"/>
      <c r="F2562" s="124"/>
      <c r="G2562" s="124"/>
      <c r="H2562" s="124"/>
      <c r="I2562" s="124"/>
      <c r="J2562" s="124"/>
      <c r="K2562" s="124"/>
      <c r="L2562" s="124"/>
      <c r="M2562" s="124"/>
      <c r="N2562" s="124"/>
      <c r="O2562" s="124"/>
      <c r="P2562" s="124"/>
      <c r="Q2562" s="124"/>
      <c r="R2562" s="124"/>
      <c r="S2562" s="124"/>
      <c r="T2562" s="124"/>
      <c r="U2562" s="124"/>
      <c r="V2562" s="124"/>
      <c r="W2562" s="124"/>
      <c r="X2562" s="124"/>
      <c r="Y2562" s="124"/>
      <c r="Z2562" s="124"/>
    </row>
    <row r="2563">
      <c r="A2563" s="124"/>
      <c r="B2563" s="124"/>
      <c r="C2563" s="147"/>
      <c r="D2563" s="124"/>
      <c r="E2563" s="124"/>
      <c r="F2563" s="124"/>
      <c r="G2563" s="124"/>
      <c r="H2563" s="124"/>
      <c r="I2563" s="124"/>
      <c r="J2563" s="124"/>
      <c r="K2563" s="124"/>
      <c r="L2563" s="124"/>
      <c r="M2563" s="124"/>
      <c r="N2563" s="124"/>
      <c r="O2563" s="124"/>
      <c r="P2563" s="124"/>
      <c r="Q2563" s="124"/>
      <c r="R2563" s="124"/>
      <c r="S2563" s="124"/>
      <c r="T2563" s="124"/>
      <c r="U2563" s="124"/>
      <c r="V2563" s="124"/>
      <c r="W2563" s="124"/>
      <c r="X2563" s="124"/>
      <c r="Y2563" s="124"/>
      <c r="Z2563" s="124"/>
    </row>
    <row r="2564">
      <c r="A2564" s="124"/>
      <c r="B2564" s="124"/>
      <c r="C2564" s="147"/>
      <c r="D2564" s="124"/>
      <c r="E2564" s="124"/>
      <c r="F2564" s="124"/>
      <c r="G2564" s="124"/>
      <c r="H2564" s="124"/>
      <c r="I2564" s="124"/>
      <c r="J2564" s="124"/>
      <c r="K2564" s="124"/>
      <c r="L2564" s="124"/>
      <c r="M2564" s="124"/>
      <c r="N2564" s="124"/>
      <c r="O2564" s="124"/>
      <c r="P2564" s="124"/>
      <c r="Q2564" s="124"/>
      <c r="R2564" s="124"/>
      <c r="S2564" s="124"/>
      <c r="T2564" s="124"/>
      <c r="U2564" s="124"/>
      <c r="V2564" s="124"/>
      <c r="W2564" s="124"/>
      <c r="X2564" s="124"/>
      <c r="Y2564" s="124"/>
      <c r="Z2564" s="124"/>
    </row>
    <row r="2565">
      <c r="A2565" s="124"/>
      <c r="B2565" s="124"/>
      <c r="C2565" s="147"/>
      <c r="D2565" s="124"/>
      <c r="E2565" s="124"/>
      <c r="F2565" s="124"/>
      <c r="G2565" s="124"/>
      <c r="H2565" s="124"/>
      <c r="I2565" s="124"/>
      <c r="J2565" s="124"/>
      <c r="K2565" s="124"/>
      <c r="L2565" s="124"/>
      <c r="M2565" s="124"/>
      <c r="N2565" s="124"/>
      <c r="O2565" s="124"/>
      <c r="P2565" s="124"/>
      <c r="Q2565" s="124"/>
      <c r="R2565" s="124"/>
      <c r="S2565" s="124"/>
      <c r="T2565" s="124"/>
      <c r="U2565" s="124"/>
      <c r="V2565" s="124"/>
      <c r="W2565" s="124"/>
      <c r="X2565" s="124"/>
      <c r="Y2565" s="124"/>
      <c r="Z2565" s="124"/>
    </row>
    <row r="2566">
      <c r="A2566" s="124"/>
      <c r="B2566" s="124"/>
      <c r="C2566" s="147"/>
      <c r="D2566" s="124"/>
      <c r="E2566" s="124"/>
      <c r="F2566" s="124"/>
      <c r="G2566" s="124"/>
      <c r="H2566" s="124"/>
      <c r="I2566" s="124"/>
      <c r="J2566" s="124"/>
      <c r="K2566" s="124"/>
      <c r="L2566" s="124"/>
      <c r="M2566" s="124"/>
      <c r="N2566" s="124"/>
      <c r="O2566" s="124"/>
      <c r="P2566" s="124"/>
      <c r="Q2566" s="124"/>
      <c r="R2566" s="124"/>
      <c r="S2566" s="124"/>
      <c r="T2566" s="124"/>
      <c r="U2566" s="124"/>
      <c r="V2566" s="124"/>
      <c r="W2566" s="124"/>
      <c r="X2566" s="124"/>
      <c r="Y2566" s="124"/>
      <c r="Z2566" s="124"/>
    </row>
    <row r="2567">
      <c r="A2567" s="124"/>
      <c r="B2567" s="124"/>
      <c r="C2567" s="147"/>
      <c r="D2567" s="124"/>
      <c r="E2567" s="124"/>
      <c r="F2567" s="124"/>
      <c r="G2567" s="124"/>
      <c r="H2567" s="124"/>
      <c r="I2567" s="124"/>
      <c r="J2567" s="124"/>
      <c r="K2567" s="124"/>
      <c r="L2567" s="124"/>
      <c r="M2567" s="124"/>
      <c r="N2567" s="124"/>
      <c r="O2567" s="124"/>
      <c r="P2567" s="124"/>
      <c r="Q2567" s="124"/>
      <c r="R2567" s="124"/>
      <c r="S2567" s="124"/>
      <c r="T2567" s="124"/>
      <c r="U2567" s="124"/>
      <c r="V2567" s="124"/>
      <c r="W2567" s="124"/>
      <c r="X2567" s="124"/>
      <c r="Y2567" s="124"/>
      <c r="Z2567" s="124"/>
    </row>
    <row r="2568">
      <c r="A2568" s="124"/>
      <c r="B2568" s="124"/>
      <c r="C2568" s="147"/>
      <c r="D2568" s="124"/>
      <c r="E2568" s="124"/>
      <c r="F2568" s="124"/>
      <c r="G2568" s="124"/>
      <c r="H2568" s="124"/>
      <c r="I2568" s="124"/>
      <c r="J2568" s="124"/>
      <c r="K2568" s="124"/>
      <c r="L2568" s="124"/>
      <c r="M2568" s="124"/>
      <c r="N2568" s="124"/>
      <c r="O2568" s="124"/>
      <c r="P2568" s="124"/>
      <c r="Q2568" s="124"/>
      <c r="R2568" s="124"/>
      <c r="S2568" s="124"/>
      <c r="T2568" s="124"/>
      <c r="U2568" s="124"/>
      <c r="V2568" s="124"/>
      <c r="W2568" s="124"/>
      <c r="X2568" s="124"/>
      <c r="Y2568" s="124"/>
      <c r="Z2568" s="124"/>
    </row>
    <row r="2569">
      <c r="A2569" s="124"/>
      <c r="B2569" s="124"/>
      <c r="C2569" s="147"/>
      <c r="D2569" s="124"/>
      <c r="E2569" s="124"/>
      <c r="F2569" s="124"/>
      <c r="G2569" s="124"/>
      <c r="H2569" s="124"/>
      <c r="I2569" s="124"/>
      <c r="J2569" s="124"/>
      <c r="K2569" s="124"/>
      <c r="L2569" s="124"/>
      <c r="M2569" s="124"/>
      <c r="N2569" s="124"/>
      <c r="O2569" s="124"/>
      <c r="P2569" s="124"/>
      <c r="Q2569" s="124"/>
      <c r="R2569" s="124"/>
      <c r="S2569" s="124"/>
      <c r="T2569" s="124"/>
      <c r="U2569" s="124"/>
      <c r="V2569" s="124"/>
      <c r="W2569" s="124"/>
      <c r="X2569" s="124"/>
      <c r="Y2569" s="124"/>
      <c r="Z2569" s="124"/>
    </row>
    <row r="2570">
      <c r="A2570" s="124"/>
      <c r="B2570" s="124"/>
      <c r="C2570" s="147"/>
      <c r="D2570" s="124"/>
      <c r="E2570" s="124"/>
      <c r="F2570" s="124"/>
      <c r="G2570" s="124"/>
      <c r="H2570" s="124"/>
      <c r="I2570" s="124"/>
      <c r="J2570" s="124"/>
      <c r="K2570" s="124"/>
      <c r="L2570" s="124"/>
      <c r="M2570" s="124"/>
      <c r="N2570" s="124"/>
      <c r="O2570" s="124"/>
      <c r="P2570" s="124"/>
      <c r="Q2570" s="124"/>
      <c r="R2570" s="124"/>
      <c r="S2570" s="124"/>
      <c r="T2570" s="124"/>
      <c r="U2570" s="124"/>
      <c r="V2570" s="124"/>
      <c r="W2570" s="124"/>
      <c r="X2570" s="124"/>
      <c r="Y2570" s="124"/>
      <c r="Z2570" s="124"/>
    </row>
    <row r="2571">
      <c r="A2571" s="124"/>
      <c r="B2571" s="124"/>
      <c r="C2571" s="147"/>
      <c r="D2571" s="124"/>
      <c r="E2571" s="124"/>
      <c r="F2571" s="124"/>
      <c r="G2571" s="124"/>
      <c r="H2571" s="124"/>
      <c r="I2571" s="124"/>
      <c r="J2571" s="124"/>
      <c r="K2571" s="124"/>
      <c r="L2571" s="124"/>
      <c r="M2571" s="124"/>
      <c r="N2571" s="124"/>
      <c r="O2571" s="124"/>
      <c r="P2571" s="124"/>
      <c r="Q2571" s="124"/>
      <c r="R2571" s="124"/>
      <c r="S2571" s="124"/>
      <c r="T2571" s="124"/>
      <c r="U2571" s="124"/>
      <c r="V2571" s="124"/>
      <c r="W2571" s="124"/>
      <c r="X2571" s="124"/>
      <c r="Y2571" s="124"/>
      <c r="Z2571" s="124"/>
    </row>
    <row r="2572">
      <c r="A2572" s="124"/>
      <c r="B2572" s="124"/>
      <c r="C2572" s="147"/>
      <c r="D2572" s="124"/>
      <c r="E2572" s="124"/>
      <c r="F2572" s="124"/>
      <c r="G2572" s="124"/>
      <c r="H2572" s="124"/>
      <c r="I2572" s="124"/>
      <c r="J2572" s="124"/>
      <c r="K2572" s="124"/>
      <c r="L2572" s="124"/>
      <c r="M2572" s="124"/>
      <c r="N2572" s="124"/>
      <c r="O2572" s="124"/>
      <c r="P2572" s="124"/>
      <c r="Q2572" s="124"/>
      <c r="R2572" s="124"/>
      <c r="S2572" s="124"/>
      <c r="T2572" s="124"/>
      <c r="U2572" s="124"/>
      <c r="V2572" s="124"/>
      <c r="W2572" s="124"/>
      <c r="X2572" s="124"/>
      <c r="Y2572" s="124"/>
      <c r="Z2572" s="124"/>
    </row>
    <row r="2573">
      <c r="A2573" s="124"/>
      <c r="B2573" s="124"/>
      <c r="C2573" s="147"/>
      <c r="D2573" s="124"/>
      <c r="E2573" s="124"/>
      <c r="F2573" s="124"/>
      <c r="G2573" s="124"/>
      <c r="H2573" s="124"/>
      <c r="I2573" s="124"/>
      <c r="J2573" s="124"/>
      <c r="K2573" s="124"/>
      <c r="L2573" s="124"/>
      <c r="M2573" s="124"/>
      <c r="N2573" s="124"/>
      <c r="O2573" s="124"/>
      <c r="P2573" s="124"/>
      <c r="Q2573" s="124"/>
      <c r="R2573" s="124"/>
      <c r="S2573" s="124"/>
      <c r="T2573" s="124"/>
      <c r="U2573" s="124"/>
      <c r="V2573" s="124"/>
      <c r="W2573" s="124"/>
      <c r="X2573" s="124"/>
      <c r="Y2573" s="124"/>
      <c r="Z2573" s="124"/>
    </row>
    <row r="2574">
      <c r="A2574" s="124"/>
      <c r="B2574" s="124"/>
      <c r="C2574" s="147"/>
      <c r="D2574" s="124"/>
      <c r="E2574" s="124"/>
      <c r="F2574" s="124"/>
      <c r="G2574" s="124"/>
      <c r="H2574" s="124"/>
      <c r="I2574" s="124"/>
      <c r="J2574" s="124"/>
      <c r="K2574" s="124"/>
      <c r="L2574" s="124"/>
      <c r="M2574" s="124"/>
      <c r="N2574" s="124"/>
      <c r="O2574" s="124"/>
      <c r="P2574" s="124"/>
      <c r="Q2574" s="124"/>
      <c r="R2574" s="124"/>
      <c r="S2574" s="124"/>
      <c r="T2574" s="124"/>
      <c r="U2574" s="124"/>
      <c r="V2574" s="124"/>
      <c r="W2574" s="124"/>
      <c r="X2574" s="124"/>
      <c r="Y2574" s="124"/>
      <c r="Z2574" s="124"/>
    </row>
    <row r="2575">
      <c r="A2575" s="124"/>
      <c r="B2575" s="124"/>
      <c r="C2575" s="147"/>
      <c r="D2575" s="124"/>
      <c r="E2575" s="124"/>
      <c r="F2575" s="124"/>
      <c r="G2575" s="124"/>
      <c r="H2575" s="124"/>
      <c r="I2575" s="124"/>
      <c r="J2575" s="124"/>
      <c r="K2575" s="124"/>
      <c r="L2575" s="124"/>
      <c r="M2575" s="124"/>
      <c r="N2575" s="124"/>
      <c r="O2575" s="124"/>
      <c r="P2575" s="124"/>
      <c r="Q2575" s="124"/>
      <c r="R2575" s="124"/>
      <c r="S2575" s="124"/>
      <c r="T2575" s="124"/>
      <c r="U2575" s="124"/>
      <c r="V2575" s="124"/>
      <c r="W2575" s="124"/>
      <c r="X2575" s="124"/>
      <c r="Y2575" s="124"/>
      <c r="Z2575" s="124"/>
    </row>
    <row r="2576">
      <c r="A2576" s="124"/>
      <c r="B2576" s="124"/>
      <c r="C2576" s="147"/>
      <c r="D2576" s="124"/>
      <c r="E2576" s="124"/>
      <c r="F2576" s="124"/>
      <c r="G2576" s="124"/>
      <c r="H2576" s="124"/>
      <c r="I2576" s="124"/>
      <c r="J2576" s="124"/>
      <c r="K2576" s="124"/>
      <c r="L2576" s="124"/>
      <c r="M2576" s="124"/>
      <c r="N2576" s="124"/>
      <c r="O2576" s="124"/>
      <c r="P2576" s="124"/>
      <c r="Q2576" s="124"/>
      <c r="R2576" s="124"/>
      <c r="S2576" s="124"/>
      <c r="T2576" s="124"/>
      <c r="U2576" s="124"/>
      <c r="V2576" s="124"/>
      <c r="W2576" s="124"/>
      <c r="X2576" s="124"/>
      <c r="Y2576" s="124"/>
      <c r="Z2576" s="124"/>
    </row>
    <row r="2577">
      <c r="A2577" s="124"/>
      <c r="B2577" s="124"/>
      <c r="C2577" s="147"/>
      <c r="D2577" s="124"/>
      <c r="E2577" s="124"/>
      <c r="F2577" s="124"/>
      <c r="G2577" s="124"/>
      <c r="H2577" s="124"/>
      <c r="I2577" s="124"/>
      <c r="J2577" s="124"/>
      <c r="K2577" s="124"/>
      <c r="L2577" s="124"/>
      <c r="M2577" s="124"/>
      <c r="N2577" s="124"/>
      <c r="O2577" s="124"/>
      <c r="P2577" s="124"/>
      <c r="Q2577" s="124"/>
      <c r="R2577" s="124"/>
      <c r="S2577" s="124"/>
      <c r="T2577" s="124"/>
      <c r="U2577" s="124"/>
      <c r="V2577" s="124"/>
      <c r="W2577" s="124"/>
      <c r="X2577" s="124"/>
      <c r="Y2577" s="124"/>
      <c r="Z2577" s="124"/>
    </row>
    <row r="2578">
      <c r="A2578" s="124"/>
      <c r="B2578" s="124"/>
      <c r="C2578" s="147"/>
      <c r="D2578" s="124"/>
      <c r="E2578" s="124"/>
      <c r="F2578" s="124"/>
      <c r="G2578" s="124"/>
      <c r="H2578" s="124"/>
      <c r="I2578" s="124"/>
      <c r="J2578" s="124"/>
      <c r="K2578" s="124"/>
      <c r="L2578" s="124"/>
      <c r="M2578" s="124"/>
      <c r="N2578" s="124"/>
      <c r="O2578" s="124"/>
      <c r="P2578" s="124"/>
      <c r="Q2578" s="124"/>
      <c r="R2578" s="124"/>
      <c r="S2578" s="124"/>
      <c r="T2578" s="124"/>
      <c r="U2578" s="124"/>
      <c r="V2578" s="124"/>
      <c r="W2578" s="124"/>
      <c r="X2578" s="124"/>
      <c r="Y2578" s="124"/>
      <c r="Z2578" s="124"/>
    </row>
    <row r="2579">
      <c r="A2579" s="124"/>
      <c r="B2579" s="124"/>
      <c r="C2579" s="147"/>
      <c r="D2579" s="124"/>
      <c r="E2579" s="124"/>
      <c r="F2579" s="124"/>
      <c r="G2579" s="124"/>
      <c r="H2579" s="124"/>
      <c r="I2579" s="124"/>
      <c r="J2579" s="124"/>
      <c r="K2579" s="124"/>
      <c r="L2579" s="124"/>
      <c r="M2579" s="124"/>
      <c r="N2579" s="124"/>
      <c r="O2579" s="124"/>
      <c r="P2579" s="124"/>
      <c r="Q2579" s="124"/>
      <c r="R2579" s="124"/>
      <c r="S2579" s="124"/>
      <c r="T2579" s="124"/>
      <c r="U2579" s="124"/>
      <c r="V2579" s="124"/>
      <c r="W2579" s="124"/>
      <c r="X2579" s="124"/>
      <c r="Y2579" s="124"/>
      <c r="Z2579" s="124"/>
    </row>
    <row r="2580">
      <c r="A2580" s="124"/>
      <c r="B2580" s="124"/>
      <c r="C2580" s="147"/>
      <c r="D2580" s="124"/>
      <c r="E2580" s="124"/>
      <c r="F2580" s="124"/>
      <c r="G2580" s="124"/>
      <c r="H2580" s="124"/>
      <c r="I2580" s="124"/>
      <c r="J2580" s="124"/>
      <c r="K2580" s="124"/>
      <c r="L2580" s="124"/>
      <c r="M2580" s="124"/>
      <c r="N2580" s="124"/>
      <c r="O2580" s="124"/>
      <c r="P2580" s="124"/>
      <c r="Q2580" s="124"/>
      <c r="R2580" s="124"/>
      <c r="S2580" s="124"/>
      <c r="T2580" s="124"/>
      <c r="U2580" s="124"/>
      <c r="V2580" s="124"/>
      <c r="W2580" s="124"/>
      <c r="X2580" s="124"/>
      <c r="Y2580" s="124"/>
      <c r="Z2580" s="124"/>
    </row>
    <row r="2581">
      <c r="A2581" s="124"/>
      <c r="B2581" s="124"/>
      <c r="C2581" s="147"/>
      <c r="D2581" s="124"/>
      <c r="E2581" s="124"/>
      <c r="F2581" s="124"/>
      <c r="G2581" s="124"/>
      <c r="H2581" s="124"/>
      <c r="I2581" s="124"/>
      <c r="J2581" s="124"/>
      <c r="K2581" s="124"/>
      <c r="L2581" s="124"/>
      <c r="M2581" s="124"/>
      <c r="N2581" s="124"/>
      <c r="O2581" s="124"/>
      <c r="P2581" s="124"/>
      <c r="Q2581" s="124"/>
      <c r="R2581" s="124"/>
      <c r="S2581" s="124"/>
      <c r="T2581" s="124"/>
      <c r="U2581" s="124"/>
      <c r="V2581" s="124"/>
      <c r="W2581" s="124"/>
      <c r="X2581" s="124"/>
      <c r="Y2581" s="124"/>
      <c r="Z2581" s="124"/>
    </row>
    <row r="2582">
      <c r="A2582" s="124"/>
      <c r="B2582" s="124"/>
      <c r="C2582" s="147"/>
      <c r="D2582" s="124"/>
      <c r="E2582" s="124"/>
      <c r="F2582" s="124"/>
      <c r="G2582" s="124"/>
      <c r="H2582" s="124"/>
      <c r="I2582" s="124"/>
      <c r="J2582" s="124"/>
      <c r="K2582" s="124"/>
      <c r="L2582" s="124"/>
      <c r="M2582" s="124"/>
      <c r="N2582" s="124"/>
      <c r="O2582" s="124"/>
      <c r="P2582" s="124"/>
      <c r="Q2582" s="124"/>
      <c r="R2582" s="124"/>
      <c r="S2582" s="124"/>
      <c r="T2582" s="124"/>
      <c r="U2582" s="124"/>
      <c r="V2582" s="124"/>
      <c r="W2582" s="124"/>
      <c r="X2582" s="124"/>
      <c r="Y2582" s="124"/>
      <c r="Z2582" s="124"/>
    </row>
    <row r="2583">
      <c r="A2583" s="124"/>
      <c r="B2583" s="124"/>
      <c r="C2583" s="147"/>
      <c r="D2583" s="124"/>
      <c r="E2583" s="124"/>
      <c r="F2583" s="124"/>
      <c r="G2583" s="124"/>
      <c r="H2583" s="124"/>
      <c r="I2583" s="124"/>
      <c r="J2583" s="124"/>
      <c r="K2583" s="124"/>
      <c r="L2583" s="124"/>
      <c r="M2583" s="124"/>
      <c r="N2583" s="124"/>
      <c r="O2583" s="124"/>
      <c r="P2583" s="124"/>
      <c r="Q2583" s="124"/>
      <c r="R2583" s="124"/>
      <c r="S2583" s="124"/>
      <c r="T2583" s="124"/>
      <c r="U2583" s="124"/>
      <c r="V2583" s="124"/>
      <c r="W2583" s="124"/>
      <c r="X2583" s="124"/>
      <c r="Y2583" s="124"/>
      <c r="Z2583" s="124"/>
    </row>
    <row r="2584">
      <c r="A2584" s="124"/>
      <c r="B2584" s="124"/>
      <c r="C2584" s="147"/>
      <c r="D2584" s="124"/>
      <c r="E2584" s="124"/>
      <c r="F2584" s="124"/>
      <c r="G2584" s="124"/>
      <c r="H2584" s="124"/>
      <c r="I2584" s="124"/>
      <c r="J2584" s="124"/>
      <c r="K2584" s="124"/>
      <c r="L2584" s="124"/>
      <c r="M2584" s="124"/>
      <c r="N2584" s="124"/>
      <c r="O2584" s="124"/>
      <c r="P2584" s="124"/>
      <c r="Q2584" s="124"/>
      <c r="R2584" s="124"/>
      <c r="S2584" s="124"/>
      <c r="T2584" s="124"/>
      <c r="U2584" s="124"/>
      <c r="V2584" s="124"/>
      <c r="W2584" s="124"/>
      <c r="X2584" s="124"/>
      <c r="Y2584" s="124"/>
      <c r="Z2584" s="124"/>
    </row>
    <row r="2585">
      <c r="A2585" s="124"/>
      <c r="B2585" s="124"/>
      <c r="C2585" s="147"/>
      <c r="D2585" s="124"/>
      <c r="E2585" s="124"/>
      <c r="F2585" s="124"/>
      <c r="G2585" s="124"/>
      <c r="H2585" s="124"/>
      <c r="I2585" s="124"/>
      <c r="J2585" s="124"/>
      <c r="K2585" s="124"/>
      <c r="L2585" s="124"/>
      <c r="M2585" s="124"/>
      <c r="N2585" s="124"/>
      <c r="O2585" s="124"/>
      <c r="P2585" s="124"/>
      <c r="Q2585" s="124"/>
      <c r="R2585" s="124"/>
      <c r="S2585" s="124"/>
      <c r="T2585" s="124"/>
      <c r="U2585" s="124"/>
      <c r="V2585" s="124"/>
      <c r="W2585" s="124"/>
      <c r="X2585" s="124"/>
      <c r="Y2585" s="124"/>
      <c r="Z2585" s="124"/>
    </row>
    <row r="2586">
      <c r="A2586" s="124"/>
      <c r="B2586" s="124"/>
      <c r="C2586" s="147"/>
      <c r="D2586" s="124"/>
      <c r="E2586" s="124"/>
      <c r="F2586" s="124"/>
      <c r="G2586" s="124"/>
      <c r="H2586" s="124"/>
      <c r="I2586" s="124"/>
      <c r="J2586" s="124"/>
      <c r="K2586" s="124"/>
      <c r="L2586" s="124"/>
      <c r="M2586" s="124"/>
      <c r="N2586" s="124"/>
      <c r="O2586" s="124"/>
      <c r="P2586" s="124"/>
      <c r="Q2586" s="124"/>
      <c r="R2586" s="124"/>
      <c r="S2586" s="124"/>
      <c r="T2586" s="124"/>
      <c r="U2586" s="124"/>
      <c r="V2586" s="124"/>
      <c r="W2586" s="124"/>
      <c r="X2586" s="124"/>
      <c r="Y2586" s="124"/>
      <c r="Z2586" s="124"/>
    </row>
    <row r="2587">
      <c r="A2587" s="124"/>
      <c r="B2587" s="124"/>
      <c r="C2587" s="147"/>
      <c r="D2587" s="124"/>
      <c r="E2587" s="124"/>
      <c r="F2587" s="124"/>
      <c r="G2587" s="124"/>
      <c r="H2587" s="124"/>
      <c r="I2587" s="124"/>
      <c r="J2587" s="124"/>
      <c r="K2587" s="124"/>
      <c r="L2587" s="124"/>
      <c r="M2587" s="124"/>
      <c r="N2587" s="124"/>
      <c r="O2587" s="124"/>
      <c r="P2587" s="124"/>
      <c r="Q2587" s="124"/>
      <c r="R2587" s="124"/>
      <c r="S2587" s="124"/>
      <c r="T2587" s="124"/>
      <c r="U2587" s="124"/>
      <c r="V2587" s="124"/>
      <c r="W2587" s="124"/>
      <c r="X2587" s="124"/>
      <c r="Y2587" s="124"/>
      <c r="Z2587" s="124"/>
    </row>
    <row r="2588">
      <c r="A2588" s="124"/>
      <c r="B2588" s="124"/>
      <c r="C2588" s="147"/>
      <c r="D2588" s="124"/>
      <c r="E2588" s="124"/>
      <c r="F2588" s="124"/>
      <c r="G2588" s="124"/>
      <c r="H2588" s="124"/>
      <c r="I2588" s="124"/>
      <c r="J2588" s="124"/>
      <c r="K2588" s="124"/>
      <c r="L2588" s="124"/>
      <c r="M2588" s="124"/>
      <c r="N2588" s="124"/>
      <c r="O2588" s="124"/>
      <c r="P2588" s="124"/>
      <c r="Q2588" s="124"/>
      <c r="R2588" s="124"/>
      <c r="S2588" s="124"/>
      <c r="T2588" s="124"/>
      <c r="U2588" s="124"/>
      <c r="V2588" s="124"/>
      <c r="W2588" s="124"/>
      <c r="X2588" s="124"/>
      <c r="Y2588" s="124"/>
      <c r="Z2588" s="124"/>
    </row>
    <row r="2589">
      <c r="A2589" s="124"/>
      <c r="B2589" s="124"/>
      <c r="C2589" s="147"/>
      <c r="D2589" s="124"/>
      <c r="E2589" s="124"/>
      <c r="F2589" s="124"/>
      <c r="G2589" s="124"/>
      <c r="H2589" s="124"/>
      <c r="I2589" s="124"/>
      <c r="J2589" s="124"/>
      <c r="K2589" s="124"/>
      <c r="L2589" s="124"/>
      <c r="M2589" s="124"/>
      <c r="N2589" s="124"/>
      <c r="O2589" s="124"/>
      <c r="P2589" s="124"/>
      <c r="Q2589" s="124"/>
      <c r="R2589" s="124"/>
      <c r="S2589" s="124"/>
      <c r="T2589" s="124"/>
      <c r="U2589" s="124"/>
      <c r="V2589" s="124"/>
      <c r="W2589" s="124"/>
      <c r="X2589" s="124"/>
      <c r="Y2589" s="124"/>
      <c r="Z2589" s="124"/>
    </row>
    <row r="2590">
      <c r="A2590" s="124"/>
      <c r="B2590" s="124"/>
      <c r="C2590" s="147"/>
      <c r="D2590" s="124"/>
      <c r="E2590" s="124"/>
      <c r="F2590" s="124"/>
      <c r="G2590" s="124"/>
      <c r="H2590" s="124"/>
      <c r="I2590" s="124"/>
      <c r="J2590" s="124"/>
      <c r="K2590" s="124"/>
      <c r="L2590" s="124"/>
      <c r="M2590" s="124"/>
      <c r="N2590" s="124"/>
      <c r="O2590" s="124"/>
      <c r="P2590" s="124"/>
      <c r="Q2590" s="124"/>
      <c r="R2590" s="124"/>
      <c r="S2590" s="124"/>
      <c r="T2590" s="124"/>
      <c r="U2590" s="124"/>
      <c r="V2590" s="124"/>
      <c r="W2590" s="124"/>
      <c r="X2590" s="124"/>
      <c r="Y2590" s="124"/>
      <c r="Z2590" s="124"/>
    </row>
    <row r="2591">
      <c r="A2591" s="124"/>
      <c r="B2591" s="124"/>
      <c r="C2591" s="147"/>
      <c r="D2591" s="124"/>
      <c r="E2591" s="124"/>
      <c r="F2591" s="124"/>
      <c r="G2591" s="124"/>
      <c r="H2591" s="124"/>
      <c r="I2591" s="124"/>
      <c r="J2591" s="124"/>
      <c r="K2591" s="124"/>
      <c r="L2591" s="124"/>
      <c r="M2591" s="124"/>
      <c r="N2591" s="124"/>
      <c r="O2591" s="124"/>
      <c r="P2591" s="124"/>
      <c r="Q2591" s="124"/>
      <c r="R2591" s="124"/>
      <c r="S2591" s="124"/>
      <c r="T2591" s="124"/>
      <c r="U2591" s="124"/>
      <c r="V2591" s="124"/>
      <c r="W2591" s="124"/>
      <c r="X2591" s="124"/>
      <c r="Y2591" s="124"/>
      <c r="Z2591" s="124"/>
    </row>
    <row r="2592">
      <c r="A2592" s="124"/>
      <c r="B2592" s="124"/>
      <c r="C2592" s="147"/>
      <c r="D2592" s="124"/>
      <c r="E2592" s="124"/>
      <c r="F2592" s="124"/>
      <c r="G2592" s="124"/>
      <c r="H2592" s="124"/>
      <c r="I2592" s="124"/>
      <c r="J2592" s="124"/>
      <c r="K2592" s="124"/>
      <c r="L2592" s="124"/>
      <c r="M2592" s="124"/>
      <c r="N2592" s="124"/>
      <c r="O2592" s="124"/>
      <c r="P2592" s="124"/>
      <c r="Q2592" s="124"/>
      <c r="R2592" s="124"/>
      <c r="S2592" s="124"/>
      <c r="T2592" s="124"/>
      <c r="U2592" s="124"/>
      <c r="V2592" s="124"/>
      <c r="W2592" s="124"/>
      <c r="X2592" s="124"/>
      <c r="Y2592" s="124"/>
      <c r="Z2592" s="124"/>
    </row>
    <row r="2593">
      <c r="A2593" s="124"/>
      <c r="B2593" s="124"/>
      <c r="C2593" s="147"/>
      <c r="D2593" s="124"/>
      <c r="E2593" s="124"/>
      <c r="F2593" s="124"/>
      <c r="G2593" s="124"/>
      <c r="H2593" s="124"/>
      <c r="I2593" s="124"/>
      <c r="J2593" s="124"/>
      <c r="K2593" s="124"/>
      <c r="L2593" s="124"/>
      <c r="M2593" s="124"/>
      <c r="N2593" s="124"/>
      <c r="O2593" s="124"/>
      <c r="P2593" s="124"/>
      <c r="Q2593" s="124"/>
      <c r="R2593" s="124"/>
      <c r="S2593" s="124"/>
      <c r="T2593" s="124"/>
      <c r="U2593" s="124"/>
      <c r="V2593" s="124"/>
      <c r="W2593" s="124"/>
      <c r="X2593" s="124"/>
      <c r="Y2593" s="124"/>
      <c r="Z2593" s="124"/>
    </row>
    <row r="2594">
      <c r="A2594" s="124"/>
      <c r="B2594" s="124"/>
      <c r="C2594" s="147"/>
      <c r="D2594" s="124"/>
      <c r="E2594" s="124"/>
      <c r="F2594" s="124"/>
      <c r="G2594" s="124"/>
      <c r="H2594" s="124"/>
      <c r="I2594" s="124"/>
      <c r="J2594" s="124"/>
      <c r="K2594" s="124"/>
      <c r="L2594" s="124"/>
      <c r="M2594" s="124"/>
      <c r="N2594" s="124"/>
      <c r="O2594" s="124"/>
      <c r="P2594" s="124"/>
      <c r="Q2594" s="124"/>
      <c r="R2594" s="124"/>
      <c r="S2594" s="124"/>
      <c r="T2594" s="124"/>
      <c r="U2594" s="124"/>
      <c r="V2594" s="124"/>
      <c r="W2594" s="124"/>
      <c r="X2594" s="124"/>
      <c r="Y2594" s="124"/>
      <c r="Z2594" s="124"/>
    </row>
    <row r="2595">
      <c r="A2595" s="124"/>
      <c r="B2595" s="124"/>
      <c r="C2595" s="147"/>
      <c r="D2595" s="124"/>
      <c r="E2595" s="124"/>
      <c r="F2595" s="124"/>
      <c r="G2595" s="124"/>
      <c r="H2595" s="124"/>
      <c r="I2595" s="124"/>
      <c r="J2595" s="124"/>
      <c r="K2595" s="124"/>
      <c r="L2595" s="124"/>
      <c r="M2595" s="124"/>
      <c r="N2595" s="124"/>
      <c r="O2595" s="124"/>
      <c r="P2595" s="124"/>
      <c r="Q2595" s="124"/>
      <c r="R2595" s="124"/>
      <c r="S2595" s="124"/>
      <c r="T2595" s="124"/>
      <c r="U2595" s="124"/>
      <c r="V2595" s="124"/>
      <c r="W2595" s="124"/>
      <c r="X2595" s="124"/>
      <c r="Y2595" s="124"/>
      <c r="Z2595" s="124"/>
    </row>
    <row r="2596">
      <c r="A2596" s="124"/>
      <c r="B2596" s="124"/>
      <c r="C2596" s="147"/>
      <c r="D2596" s="124"/>
      <c r="E2596" s="124"/>
      <c r="F2596" s="124"/>
      <c r="G2596" s="124"/>
      <c r="H2596" s="124"/>
      <c r="I2596" s="124"/>
      <c r="J2596" s="124"/>
      <c r="K2596" s="124"/>
      <c r="L2596" s="124"/>
      <c r="M2596" s="124"/>
      <c r="N2596" s="124"/>
      <c r="O2596" s="124"/>
      <c r="P2596" s="124"/>
      <c r="Q2596" s="124"/>
      <c r="R2596" s="124"/>
      <c r="S2596" s="124"/>
      <c r="T2596" s="124"/>
      <c r="U2596" s="124"/>
      <c r="V2596" s="124"/>
      <c r="W2596" s="124"/>
      <c r="X2596" s="124"/>
      <c r="Y2596" s="124"/>
      <c r="Z2596" s="124"/>
    </row>
    <row r="2597">
      <c r="A2597" s="124"/>
      <c r="B2597" s="124"/>
      <c r="C2597" s="147"/>
      <c r="D2597" s="124"/>
      <c r="E2597" s="124"/>
      <c r="F2597" s="124"/>
      <c r="G2597" s="124"/>
      <c r="H2597" s="124"/>
      <c r="I2597" s="124"/>
      <c r="J2597" s="124"/>
      <c r="K2597" s="124"/>
      <c r="L2597" s="124"/>
      <c r="M2597" s="124"/>
      <c r="N2597" s="124"/>
      <c r="O2597" s="124"/>
      <c r="P2597" s="124"/>
      <c r="Q2597" s="124"/>
      <c r="R2597" s="124"/>
      <c r="S2597" s="124"/>
      <c r="T2597" s="124"/>
      <c r="U2597" s="124"/>
      <c r="V2597" s="124"/>
      <c r="W2597" s="124"/>
      <c r="X2597" s="124"/>
      <c r="Y2597" s="124"/>
      <c r="Z2597" s="124"/>
    </row>
    <row r="2598">
      <c r="A2598" s="124"/>
      <c r="B2598" s="124"/>
      <c r="C2598" s="147"/>
      <c r="D2598" s="124"/>
      <c r="E2598" s="124"/>
      <c r="F2598" s="124"/>
      <c r="G2598" s="124"/>
      <c r="H2598" s="124"/>
      <c r="I2598" s="124"/>
      <c r="J2598" s="124"/>
      <c r="K2598" s="124"/>
      <c r="L2598" s="124"/>
      <c r="M2598" s="124"/>
      <c r="N2598" s="124"/>
      <c r="O2598" s="124"/>
      <c r="P2598" s="124"/>
      <c r="Q2598" s="124"/>
      <c r="R2598" s="124"/>
      <c r="S2598" s="124"/>
      <c r="T2598" s="124"/>
      <c r="U2598" s="124"/>
      <c r="V2598" s="124"/>
      <c r="W2598" s="124"/>
      <c r="X2598" s="124"/>
      <c r="Y2598" s="124"/>
      <c r="Z2598" s="124"/>
    </row>
    <row r="2599">
      <c r="A2599" s="124"/>
      <c r="B2599" s="124"/>
      <c r="C2599" s="147"/>
      <c r="D2599" s="124"/>
      <c r="E2599" s="124"/>
      <c r="F2599" s="124"/>
      <c r="G2599" s="124"/>
      <c r="H2599" s="124"/>
      <c r="I2599" s="124"/>
      <c r="J2599" s="124"/>
      <c r="K2599" s="124"/>
      <c r="L2599" s="124"/>
      <c r="M2599" s="124"/>
      <c r="N2599" s="124"/>
      <c r="O2599" s="124"/>
      <c r="P2599" s="124"/>
      <c r="Q2599" s="124"/>
      <c r="R2599" s="124"/>
      <c r="S2599" s="124"/>
      <c r="T2599" s="124"/>
      <c r="U2599" s="124"/>
      <c r="V2599" s="124"/>
      <c r="W2599" s="124"/>
      <c r="X2599" s="124"/>
      <c r="Y2599" s="124"/>
      <c r="Z2599" s="124"/>
    </row>
    <row r="2600">
      <c r="A2600" s="124"/>
      <c r="B2600" s="124"/>
      <c r="C2600" s="147"/>
      <c r="D2600" s="124"/>
      <c r="E2600" s="124"/>
      <c r="F2600" s="124"/>
      <c r="G2600" s="124"/>
      <c r="H2600" s="124"/>
      <c r="I2600" s="124"/>
      <c r="J2600" s="124"/>
      <c r="K2600" s="124"/>
      <c r="L2600" s="124"/>
      <c r="M2600" s="124"/>
      <c r="N2600" s="124"/>
      <c r="O2600" s="124"/>
      <c r="P2600" s="124"/>
      <c r="Q2600" s="124"/>
      <c r="R2600" s="124"/>
      <c r="S2600" s="124"/>
      <c r="T2600" s="124"/>
      <c r="U2600" s="124"/>
      <c r="V2600" s="124"/>
      <c r="W2600" s="124"/>
      <c r="X2600" s="124"/>
      <c r="Y2600" s="124"/>
      <c r="Z2600" s="124"/>
    </row>
    <row r="2601">
      <c r="A2601" s="124"/>
      <c r="B2601" s="124"/>
      <c r="C2601" s="147"/>
      <c r="D2601" s="124"/>
      <c r="E2601" s="124"/>
      <c r="F2601" s="124"/>
      <c r="G2601" s="124"/>
      <c r="H2601" s="124"/>
      <c r="I2601" s="124"/>
      <c r="J2601" s="124"/>
      <c r="K2601" s="124"/>
      <c r="L2601" s="124"/>
      <c r="M2601" s="124"/>
      <c r="N2601" s="124"/>
      <c r="O2601" s="124"/>
      <c r="P2601" s="124"/>
      <c r="Q2601" s="124"/>
      <c r="R2601" s="124"/>
      <c r="S2601" s="124"/>
      <c r="T2601" s="124"/>
      <c r="U2601" s="124"/>
      <c r="V2601" s="124"/>
      <c r="W2601" s="124"/>
      <c r="X2601" s="124"/>
      <c r="Y2601" s="124"/>
      <c r="Z2601" s="124"/>
    </row>
    <row r="2602">
      <c r="A2602" s="124"/>
      <c r="B2602" s="124"/>
      <c r="C2602" s="147"/>
      <c r="D2602" s="124"/>
      <c r="E2602" s="124"/>
      <c r="F2602" s="124"/>
      <c r="G2602" s="124"/>
      <c r="H2602" s="124"/>
      <c r="I2602" s="124"/>
      <c r="J2602" s="124"/>
      <c r="K2602" s="124"/>
      <c r="L2602" s="124"/>
      <c r="M2602" s="124"/>
      <c r="N2602" s="124"/>
      <c r="O2602" s="124"/>
      <c r="P2602" s="124"/>
      <c r="Q2602" s="124"/>
      <c r="R2602" s="124"/>
      <c r="S2602" s="124"/>
      <c r="T2602" s="124"/>
      <c r="U2602" s="124"/>
      <c r="V2602" s="124"/>
      <c r="W2602" s="124"/>
      <c r="X2602" s="124"/>
      <c r="Y2602" s="124"/>
      <c r="Z2602" s="124"/>
    </row>
    <row r="2603">
      <c r="A2603" s="124"/>
      <c r="B2603" s="124"/>
      <c r="C2603" s="147"/>
      <c r="D2603" s="124"/>
      <c r="E2603" s="124"/>
      <c r="F2603" s="124"/>
      <c r="G2603" s="124"/>
      <c r="H2603" s="124"/>
      <c r="I2603" s="124"/>
      <c r="J2603" s="124"/>
      <c r="K2603" s="124"/>
      <c r="L2603" s="124"/>
      <c r="M2603" s="124"/>
      <c r="N2603" s="124"/>
      <c r="O2603" s="124"/>
      <c r="P2603" s="124"/>
      <c r="Q2603" s="124"/>
      <c r="R2603" s="124"/>
      <c r="S2603" s="124"/>
      <c r="T2603" s="124"/>
      <c r="U2603" s="124"/>
      <c r="V2603" s="124"/>
      <c r="W2603" s="124"/>
      <c r="X2603" s="124"/>
      <c r="Y2603" s="124"/>
      <c r="Z2603" s="124"/>
    </row>
    <row r="2604">
      <c r="A2604" s="124"/>
      <c r="B2604" s="124"/>
      <c r="C2604" s="147"/>
      <c r="D2604" s="124"/>
      <c r="E2604" s="124"/>
      <c r="F2604" s="124"/>
      <c r="G2604" s="124"/>
      <c r="H2604" s="124"/>
      <c r="I2604" s="124"/>
      <c r="J2604" s="124"/>
      <c r="K2604" s="124"/>
      <c r="L2604" s="124"/>
      <c r="M2604" s="124"/>
      <c r="N2604" s="124"/>
      <c r="O2604" s="124"/>
      <c r="P2604" s="124"/>
      <c r="Q2604" s="124"/>
      <c r="R2604" s="124"/>
      <c r="S2604" s="124"/>
      <c r="T2604" s="124"/>
      <c r="U2604" s="124"/>
      <c r="V2604" s="124"/>
      <c r="W2604" s="124"/>
      <c r="X2604" s="124"/>
      <c r="Y2604" s="124"/>
      <c r="Z2604" s="124"/>
    </row>
    <row r="2605">
      <c r="A2605" s="124"/>
      <c r="B2605" s="124"/>
      <c r="C2605" s="147"/>
      <c r="D2605" s="124"/>
      <c r="E2605" s="124"/>
      <c r="F2605" s="124"/>
      <c r="G2605" s="124"/>
      <c r="H2605" s="124"/>
      <c r="I2605" s="124"/>
      <c r="J2605" s="124"/>
      <c r="K2605" s="124"/>
      <c r="L2605" s="124"/>
      <c r="M2605" s="124"/>
      <c r="N2605" s="124"/>
      <c r="O2605" s="124"/>
      <c r="P2605" s="124"/>
      <c r="Q2605" s="124"/>
      <c r="R2605" s="124"/>
      <c r="S2605" s="124"/>
      <c r="T2605" s="124"/>
      <c r="U2605" s="124"/>
      <c r="V2605" s="124"/>
      <c r="W2605" s="124"/>
      <c r="X2605" s="124"/>
      <c r="Y2605" s="124"/>
      <c r="Z2605" s="124"/>
    </row>
    <row r="2606">
      <c r="A2606" s="124"/>
      <c r="B2606" s="124"/>
      <c r="C2606" s="147"/>
      <c r="D2606" s="124"/>
      <c r="E2606" s="124"/>
      <c r="F2606" s="124"/>
      <c r="G2606" s="124"/>
      <c r="H2606" s="124"/>
      <c r="I2606" s="124"/>
      <c r="J2606" s="124"/>
      <c r="K2606" s="124"/>
      <c r="L2606" s="124"/>
      <c r="M2606" s="124"/>
      <c r="N2606" s="124"/>
      <c r="O2606" s="124"/>
      <c r="P2606" s="124"/>
      <c r="Q2606" s="124"/>
      <c r="R2606" s="124"/>
      <c r="S2606" s="124"/>
      <c r="T2606" s="124"/>
      <c r="U2606" s="124"/>
      <c r="V2606" s="124"/>
      <c r="W2606" s="124"/>
      <c r="X2606" s="124"/>
      <c r="Y2606" s="124"/>
      <c r="Z2606" s="124"/>
    </row>
    <row r="2607">
      <c r="A2607" s="124"/>
      <c r="B2607" s="124"/>
      <c r="C2607" s="147"/>
      <c r="D2607" s="124"/>
      <c r="E2607" s="124"/>
      <c r="F2607" s="124"/>
      <c r="G2607" s="124"/>
      <c r="H2607" s="124"/>
      <c r="I2607" s="124"/>
      <c r="J2607" s="124"/>
      <c r="K2607" s="124"/>
      <c r="L2607" s="124"/>
      <c r="M2607" s="124"/>
      <c r="N2607" s="124"/>
      <c r="O2607" s="124"/>
      <c r="P2607" s="124"/>
      <c r="Q2607" s="124"/>
      <c r="R2607" s="124"/>
      <c r="S2607" s="124"/>
      <c r="T2607" s="124"/>
      <c r="U2607" s="124"/>
      <c r="V2607" s="124"/>
      <c r="W2607" s="124"/>
      <c r="X2607" s="124"/>
      <c r="Y2607" s="124"/>
      <c r="Z2607" s="124"/>
    </row>
    <row r="2608">
      <c r="A2608" s="124"/>
      <c r="B2608" s="124"/>
      <c r="C2608" s="147"/>
      <c r="D2608" s="124"/>
      <c r="E2608" s="124"/>
      <c r="F2608" s="124"/>
      <c r="G2608" s="124"/>
      <c r="H2608" s="124"/>
      <c r="I2608" s="124"/>
      <c r="J2608" s="124"/>
      <c r="K2608" s="124"/>
      <c r="L2608" s="124"/>
      <c r="M2608" s="124"/>
      <c r="N2608" s="124"/>
      <c r="O2608" s="124"/>
      <c r="P2608" s="124"/>
      <c r="Q2608" s="124"/>
      <c r="R2608" s="124"/>
      <c r="S2608" s="124"/>
      <c r="T2608" s="124"/>
      <c r="U2608" s="124"/>
      <c r="V2608" s="124"/>
      <c r="W2608" s="124"/>
      <c r="X2608" s="124"/>
      <c r="Y2608" s="124"/>
      <c r="Z2608" s="124"/>
    </row>
    <row r="2609">
      <c r="A2609" s="124"/>
      <c r="B2609" s="124"/>
      <c r="C2609" s="147"/>
      <c r="D2609" s="124"/>
      <c r="E2609" s="124"/>
      <c r="F2609" s="124"/>
      <c r="G2609" s="124"/>
      <c r="H2609" s="124"/>
      <c r="I2609" s="124"/>
      <c r="J2609" s="124"/>
      <c r="K2609" s="124"/>
      <c r="L2609" s="124"/>
      <c r="M2609" s="124"/>
      <c r="N2609" s="124"/>
      <c r="O2609" s="124"/>
      <c r="P2609" s="124"/>
      <c r="Q2609" s="124"/>
      <c r="R2609" s="124"/>
      <c r="S2609" s="124"/>
      <c r="T2609" s="124"/>
      <c r="U2609" s="124"/>
      <c r="V2609" s="124"/>
      <c r="W2609" s="124"/>
      <c r="X2609" s="124"/>
      <c r="Y2609" s="124"/>
      <c r="Z2609" s="124"/>
    </row>
    <row r="2610">
      <c r="A2610" s="124"/>
      <c r="B2610" s="124"/>
      <c r="C2610" s="147"/>
      <c r="D2610" s="124"/>
      <c r="E2610" s="124"/>
      <c r="F2610" s="124"/>
      <c r="G2610" s="124"/>
      <c r="H2610" s="124"/>
      <c r="I2610" s="124"/>
      <c r="J2610" s="124"/>
      <c r="K2610" s="124"/>
      <c r="L2610" s="124"/>
      <c r="M2610" s="124"/>
      <c r="N2610" s="124"/>
      <c r="O2610" s="124"/>
      <c r="P2610" s="124"/>
      <c r="Q2610" s="124"/>
      <c r="R2610" s="124"/>
      <c r="S2610" s="124"/>
      <c r="T2610" s="124"/>
      <c r="U2610" s="124"/>
      <c r="V2610" s="124"/>
      <c r="W2610" s="124"/>
      <c r="X2610" s="124"/>
      <c r="Y2610" s="124"/>
      <c r="Z2610" s="124"/>
    </row>
    <row r="2611">
      <c r="A2611" s="124"/>
      <c r="B2611" s="124"/>
      <c r="C2611" s="147"/>
      <c r="D2611" s="124"/>
      <c r="E2611" s="124"/>
      <c r="F2611" s="124"/>
      <c r="G2611" s="124"/>
      <c r="H2611" s="124"/>
      <c r="I2611" s="124"/>
      <c r="J2611" s="124"/>
      <c r="K2611" s="124"/>
      <c r="L2611" s="124"/>
      <c r="M2611" s="124"/>
      <c r="N2611" s="124"/>
      <c r="O2611" s="124"/>
      <c r="P2611" s="124"/>
      <c r="Q2611" s="124"/>
      <c r="R2611" s="124"/>
      <c r="S2611" s="124"/>
      <c r="T2611" s="124"/>
      <c r="U2611" s="124"/>
      <c r="V2611" s="124"/>
      <c r="W2611" s="124"/>
      <c r="X2611" s="124"/>
      <c r="Y2611" s="124"/>
      <c r="Z2611" s="124"/>
    </row>
    <row r="2612">
      <c r="A2612" s="124"/>
      <c r="B2612" s="124"/>
      <c r="C2612" s="147"/>
      <c r="D2612" s="124"/>
      <c r="E2612" s="124"/>
      <c r="F2612" s="124"/>
      <c r="G2612" s="124"/>
      <c r="H2612" s="124"/>
      <c r="I2612" s="124"/>
      <c r="J2612" s="124"/>
      <c r="K2612" s="124"/>
      <c r="L2612" s="124"/>
      <c r="M2612" s="124"/>
      <c r="N2612" s="124"/>
      <c r="O2612" s="124"/>
      <c r="P2612" s="124"/>
      <c r="Q2612" s="124"/>
      <c r="R2612" s="124"/>
      <c r="S2612" s="124"/>
      <c r="T2612" s="124"/>
      <c r="U2612" s="124"/>
      <c r="V2612" s="124"/>
      <c r="W2612" s="124"/>
      <c r="X2612" s="124"/>
      <c r="Y2612" s="124"/>
      <c r="Z2612" s="124"/>
    </row>
    <row r="2613">
      <c r="A2613" s="124"/>
      <c r="B2613" s="124"/>
      <c r="C2613" s="147"/>
      <c r="D2613" s="124"/>
      <c r="E2613" s="124"/>
      <c r="F2613" s="124"/>
      <c r="G2613" s="124"/>
      <c r="H2613" s="124"/>
      <c r="I2613" s="124"/>
      <c r="J2613" s="124"/>
      <c r="K2613" s="124"/>
      <c r="L2613" s="124"/>
      <c r="M2613" s="124"/>
      <c r="N2613" s="124"/>
      <c r="O2613" s="124"/>
      <c r="P2613" s="124"/>
      <c r="Q2613" s="124"/>
      <c r="R2613" s="124"/>
      <c r="S2613" s="124"/>
      <c r="T2613" s="124"/>
      <c r="U2613" s="124"/>
      <c r="V2613" s="124"/>
      <c r="W2613" s="124"/>
      <c r="X2613" s="124"/>
      <c r="Y2613" s="124"/>
      <c r="Z2613" s="124"/>
    </row>
    <row r="2614">
      <c r="A2614" s="124"/>
      <c r="B2614" s="124"/>
      <c r="C2614" s="147"/>
      <c r="D2614" s="124"/>
      <c r="E2614" s="124"/>
      <c r="F2614" s="124"/>
      <c r="G2614" s="124"/>
      <c r="H2614" s="124"/>
      <c r="I2614" s="124"/>
      <c r="J2614" s="124"/>
      <c r="K2614" s="124"/>
      <c r="L2614" s="124"/>
      <c r="M2614" s="124"/>
      <c r="N2614" s="124"/>
      <c r="O2614" s="124"/>
      <c r="P2614" s="124"/>
      <c r="Q2614" s="124"/>
      <c r="R2614" s="124"/>
      <c r="S2614" s="124"/>
      <c r="T2614" s="124"/>
      <c r="U2614" s="124"/>
      <c r="V2614" s="124"/>
      <c r="W2614" s="124"/>
      <c r="X2614" s="124"/>
      <c r="Y2614" s="124"/>
      <c r="Z2614" s="124"/>
    </row>
    <row r="2615">
      <c r="A2615" s="124"/>
      <c r="B2615" s="124"/>
      <c r="C2615" s="147"/>
      <c r="D2615" s="124"/>
      <c r="E2615" s="124"/>
      <c r="F2615" s="124"/>
      <c r="G2615" s="124"/>
      <c r="H2615" s="124"/>
      <c r="I2615" s="124"/>
      <c r="J2615" s="124"/>
      <c r="K2615" s="124"/>
      <c r="L2615" s="124"/>
      <c r="M2615" s="124"/>
      <c r="N2615" s="124"/>
      <c r="O2615" s="124"/>
      <c r="P2615" s="124"/>
      <c r="Q2615" s="124"/>
      <c r="R2615" s="124"/>
      <c r="S2615" s="124"/>
      <c r="T2615" s="124"/>
      <c r="U2615" s="124"/>
      <c r="V2615" s="124"/>
      <c r="W2615" s="124"/>
      <c r="X2615" s="124"/>
      <c r="Y2615" s="124"/>
      <c r="Z2615" s="124"/>
    </row>
    <row r="2616">
      <c r="A2616" s="124"/>
      <c r="B2616" s="124"/>
      <c r="C2616" s="147"/>
      <c r="D2616" s="124"/>
      <c r="E2616" s="124"/>
      <c r="F2616" s="124"/>
      <c r="G2616" s="124"/>
      <c r="H2616" s="124"/>
      <c r="I2616" s="124"/>
      <c r="J2616" s="124"/>
      <c r="K2616" s="124"/>
      <c r="L2616" s="124"/>
      <c r="M2616" s="124"/>
      <c r="N2616" s="124"/>
      <c r="O2616" s="124"/>
      <c r="P2616" s="124"/>
      <c r="Q2616" s="124"/>
      <c r="R2616" s="124"/>
      <c r="S2616" s="124"/>
      <c r="T2616" s="124"/>
      <c r="U2616" s="124"/>
      <c r="V2616" s="124"/>
      <c r="W2616" s="124"/>
      <c r="X2616" s="124"/>
      <c r="Y2616" s="124"/>
      <c r="Z2616" s="124"/>
    </row>
    <row r="2617">
      <c r="A2617" s="124"/>
      <c r="B2617" s="124"/>
      <c r="C2617" s="147"/>
      <c r="D2617" s="124"/>
      <c r="E2617" s="124"/>
      <c r="F2617" s="124"/>
      <c r="G2617" s="124"/>
      <c r="H2617" s="124"/>
      <c r="I2617" s="124"/>
      <c r="J2617" s="124"/>
      <c r="K2617" s="124"/>
      <c r="L2617" s="124"/>
      <c r="M2617" s="124"/>
      <c r="N2617" s="124"/>
      <c r="O2617" s="124"/>
      <c r="P2617" s="124"/>
      <c r="Q2617" s="124"/>
      <c r="R2617" s="124"/>
      <c r="S2617" s="124"/>
      <c r="T2617" s="124"/>
      <c r="U2617" s="124"/>
      <c r="V2617" s="124"/>
      <c r="W2617" s="124"/>
      <c r="X2617" s="124"/>
      <c r="Y2617" s="124"/>
      <c r="Z2617" s="124"/>
    </row>
    <row r="2618">
      <c r="A2618" s="124"/>
      <c r="B2618" s="124"/>
      <c r="C2618" s="147"/>
      <c r="D2618" s="124"/>
      <c r="E2618" s="124"/>
      <c r="F2618" s="124"/>
      <c r="G2618" s="124"/>
      <c r="H2618" s="124"/>
      <c r="I2618" s="124"/>
      <c r="J2618" s="124"/>
      <c r="K2618" s="124"/>
      <c r="L2618" s="124"/>
      <c r="M2618" s="124"/>
      <c r="N2618" s="124"/>
      <c r="O2618" s="124"/>
      <c r="P2618" s="124"/>
      <c r="Q2618" s="124"/>
      <c r="R2618" s="124"/>
      <c r="S2618" s="124"/>
      <c r="T2618" s="124"/>
      <c r="U2618" s="124"/>
      <c r="V2618" s="124"/>
      <c r="W2618" s="124"/>
      <c r="X2618" s="124"/>
      <c r="Y2618" s="124"/>
      <c r="Z2618" s="124"/>
    </row>
    <row r="2619">
      <c r="A2619" s="124"/>
      <c r="B2619" s="124"/>
      <c r="C2619" s="147"/>
      <c r="D2619" s="124"/>
      <c r="E2619" s="124"/>
      <c r="F2619" s="124"/>
      <c r="G2619" s="124"/>
      <c r="H2619" s="124"/>
      <c r="I2619" s="124"/>
      <c r="J2619" s="124"/>
      <c r="K2619" s="124"/>
      <c r="L2619" s="124"/>
      <c r="M2619" s="124"/>
      <c r="N2619" s="124"/>
      <c r="O2619" s="124"/>
      <c r="P2619" s="124"/>
      <c r="Q2619" s="124"/>
      <c r="R2619" s="124"/>
      <c r="S2619" s="124"/>
      <c r="T2619" s="124"/>
      <c r="U2619" s="124"/>
      <c r="V2619" s="124"/>
      <c r="W2619" s="124"/>
      <c r="X2619" s="124"/>
      <c r="Y2619" s="124"/>
      <c r="Z2619" s="124"/>
    </row>
    <row r="2620">
      <c r="A2620" s="124"/>
      <c r="B2620" s="124"/>
      <c r="C2620" s="147"/>
      <c r="D2620" s="124"/>
      <c r="E2620" s="124"/>
      <c r="F2620" s="124"/>
      <c r="G2620" s="124"/>
      <c r="H2620" s="124"/>
      <c r="I2620" s="124"/>
      <c r="J2620" s="124"/>
      <c r="K2620" s="124"/>
      <c r="L2620" s="124"/>
      <c r="M2620" s="124"/>
      <c r="N2620" s="124"/>
      <c r="O2620" s="124"/>
      <c r="P2620" s="124"/>
      <c r="Q2620" s="124"/>
      <c r="R2620" s="124"/>
      <c r="S2620" s="124"/>
      <c r="T2620" s="124"/>
      <c r="U2620" s="124"/>
      <c r="V2620" s="124"/>
      <c r="W2620" s="124"/>
      <c r="X2620" s="124"/>
      <c r="Y2620" s="124"/>
      <c r="Z2620" s="124"/>
    </row>
    <row r="2621">
      <c r="A2621" s="124"/>
      <c r="B2621" s="124"/>
      <c r="C2621" s="147"/>
      <c r="D2621" s="124"/>
      <c r="E2621" s="124"/>
      <c r="F2621" s="124"/>
      <c r="G2621" s="124"/>
      <c r="H2621" s="124"/>
      <c r="I2621" s="124"/>
      <c r="J2621" s="124"/>
      <c r="K2621" s="124"/>
      <c r="L2621" s="124"/>
      <c r="M2621" s="124"/>
      <c r="N2621" s="124"/>
      <c r="O2621" s="124"/>
      <c r="P2621" s="124"/>
      <c r="Q2621" s="124"/>
      <c r="R2621" s="124"/>
      <c r="S2621" s="124"/>
      <c r="T2621" s="124"/>
      <c r="U2621" s="124"/>
      <c r="V2621" s="124"/>
      <c r="W2621" s="124"/>
      <c r="X2621" s="124"/>
      <c r="Y2621" s="124"/>
      <c r="Z2621" s="124"/>
    </row>
    <row r="2622">
      <c r="A2622" s="124"/>
      <c r="B2622" s="124"/>
      <c r="C2622" s="147"/>
      <c r="D2622" s="124"/>
      <c r="E2622" s="124"/>
      <c r="F2622" s="124"/>
      <c r="G2622" s="124"/>
      <c r="H2622" s="124"/>
      <c r="I2622" s="124"/>
      <c r="J2622" s="124"/>
      <c r="K2622" s="124"/>
      <c r="L2622" s="124"/>
      <c r="M2622" s="124"/>
      <c r="N2622" s="124"/>
      <c r="O2622" s="124"/>
      <c r="P2622" s="124"/>
      <c r="Q2622" s="124"/>
      <c r="R2622" s="124"/>
      <c r="S2622" s="124"/>
      <c r="T2622" s="124"/>
      <c r="U2622" s="124"/>
      <c r="V2622" s="124"/>
      <c r="W2622" s="124"/>
      <c r="X2622" s="124"/>
      <c r="Y2622" s="124"/>
      <c r="Z2622" s="124"/>
    </row>
    <row r="2623">
      <c r="A2623" s="124"/>
      <c r="B2623" s="124"/>
      <c r="C2623" s="147"/>
      <c r="D2623" s="124"/>
      <c r="E2623" s="124"/>
      <c r="F2623" s="124"/>
      <c r="G2623" s="124"/>
      <c r="H2623" s="124"/>
      <c r="I2623" s="124"/>
      <c r="J2623" s="124"/>
      <c r="K2623" s="124"/>
      <c r="L2623" s="124"/>
      <c r="M2623" s="124"/>
      <c r="N2623" s="124"/>
      <c r="O2623" s="124"/>
      <c r="P2623" s="124"/>
      <c r="Q2623" s="124"/>
      <c r="R2623" s="124"/>
      <c r="S2623" s="124"/>
      <c r="T2623" s="124"/>
      <c r="U2623" s="124"/>
      <c r="V2623" s="124"/>
      <c r="W2623" s="124"/>
      <c r="X2623" s="124"/>
      <c r="Y2623" s="124"/>
      <c r="Z2623" s="124"/>
    </row>
    <row r="2624">
      <c r="A2624" s="124"/>
      <c r="B2624" s="124"/>
      <c r="C2624" s="147"/>
      <c r="D2624" s="124"/>
      <c r="E2624" s="124"/>
      <c r="F2624" s="124"/>
      <c r="G2624" s="124"/>
      <c r="H2624" s="124"/>
      <c r="I2624" s="124"/>
      <c r="J2624" s="124"/>
      <c r="K2624" s="124"/>
      <c r="L2624" s="124"/>
      <c r="M2624" s="124"/>
      <c r="N2624" s="124"/>
      <c r="O2624" s="124"/>
      <c r="P2624" s="124"/>
      <c r="Q2624" s="124"/>
      <c r="R2624" s="124"/>
      <c r="S2624" s="124"/>
      <c r="T2624" s="124"/>
      <c r="U2624" s="124"/>
      <c r="V2624" s="124"/>
      <c r="W2624" s="124"/>
      <c r="X2624" s="124"/>
      <c r="Y2624" s="124"/>
      <c r="Z2624" s="124"/>
    </row>
    <row r="2625">
      <c r="A2625" s="124"/>
      <c r="B2625" s="124"/>
      <c r="C2625" s="147"/>
      <c r="D2625" s="124"/>
      <c r="E2625" s="124"/>
      <c r="F2625" s="124"/>
      <c r="G2625" s="124"/>
      <c r="H2625" s="124"/>
      <c r="I2625" s="124"/>
      <c r="J2625" s="124"/>
      <c r="K2625" s="124"/>
      <c r="L2625" s="124"/>
      <c r="M2625" s="124"/>
      <c r="N2625" s="124"/>
      <c r="O2625" s="124"/>
      <c r="P2625" s="124"/>
      <c r="Q2625" s="124"/>
      <c r="R2625" s="124"/>
      <c r="S2625" s="124"/>
      <c r="T2625" s="124"/>
      <c r="U2625" s="124"/>
      <c r="V2625" s="124"/>
      <c r="W2625" s="124"/>
      <c r="X2625" s="124"/>
      <c r="Y2625" s="124"/>
      <c r="Z2625" s="124"/>
    </row>
    <row r="2626">
      <c r="A2626" s="124"/>
      <c r="B2626" s="124"/>
      <c r="C2626" s="147"/>
      <c r="D2626" s="124"/>
      <c r="E2626" s="124"/>
      <c r="F2626" s="124"/>
      <c r="G2626" s="124"/>
      <c r="H2626" s="124"/>
      <c r="I2626" s="124"/>
      <c r="J2626" s="124"/>
      <c r="K2626" s="124"/>
      <c r="L2626" s="124"/>
      <c r="M2626" s="124"/>
      <c r="N2626" s="124"/>
      <c r="O2626" s="124"/>
      <c r="P2626" s="124"/>
      <c r="Q2626" s="124"/>
      <c r="R2626" s="124"/>
      <c r="S2626" s="124"/>
      <c r="T2626" s="124"/>
      <c r="U2626" s="124"/>
      <c r="V2626" s="124"/>
      <c r="W2626" s="124"/>
      <c r="X2626" s="124"/>
      <c r="Y2626" s="124"/>
      <c r="Z2626" s="124"/>
    </row>
    <row r="2627">
      <c r="A2627" s="124"/>
      <c r="B2627" s="124"/>
      <c r="C2627" s="147"/>
      <c r="D2627" s="124"/>
      <c r="E2627" s="124"/>
      <c r="F2627" s="124"/>
      <c r="G2627" s="124"/>
      <c r="H2627" s="124"/>
      <c r="I2627" s="124"/>
      <c r="J2627" s="124"/>
      <c r="K2627" s="124"/>
      <c r="L2627" s="124"/>
      <c r="M2627" s="124"/>
      <c r="N2627" s="124"/>
      <c r="O2627" s="124"/>
      <c r="P2627" s="124"/>
      <c r="Q2627" s="124"/>
      <c r="R2627" s="124"/>
      <c r="S2627" s="124"/>
      <c r="T2627" s="124"/>
      <c r="U2627" s="124"/>
      <c r="V2627" s="124"/>
      <c r="W2627" s="124"/>
      <c r="X2627" s="124"/>
      <c r="Y2627" s="124"/>
      <c r="Z2627" s="124"/>
    </row>
    <row r="2628">
      <c r="A2628" s="124"/>
      <c r="B2628" s="124"/>
      <c r="C2628" s="147"/>
      <c r="D2628" s="124"/>
      <c r="E2628" s="124"/>
      <c r="F2628" s="124"/>
      <c r="G2628" s="124"/>
      <c r="H2628" s="124"/>
      <c r="I2628" s="124"/>
      <c r="J2628" s="124"/>
      <c r="K2628" s="124"/>
      <c r="L2628" s="124"/>
      <c r="M2628" s="124"/>
      <c r="N2628" s="124"/>
      <c r="O2628" s="124"/>
      <c r="P2628" s="124"/>
      <c r="Q2628" s="124"/>
      <c r="R2628" s="124"/>
      <c r="S2628" s="124"/>
      <c r="T2628" s="124"/>
      <c r="U2628" s="124"/>
      <c r="V2628" s="124"/>
      <c r="W2628" s="124"/>
      <c r="X2628" s="124"/>
      <c r="Y2628" s="124"/>
      <c r="Z2628" s="124"/>
    </row>
    <row r="2629">
      <c r="A2629" s="124"/>
      <c r="B2629" s="124"/>
      <c r="C2629" s="147"/>
      <c r="D2629" s="124"/>
      <c r="E2629" s="124"/>
      <c r="F2629" s="124"/>
      <c r="G2629" s="124"/>
      <c r="H2629" s="124"/>
      <c r="I2629" s="124"/>
      <c r="J2629" s="124"/>
      <c r="K2629" s="124"/>
      <c r="L2629" s="124"/>
      <c r="M2629" s="124"/>
      <c r="N2629" s="124"/>
      <c r="O2629" s="124"/>
      <c r="P2629" s="124"/>
      <c r="Q2629" s="124"/>
      <c r="R2629" s="124"/>
      <c r="S2629" s="124"/>
      <c r="T2629" s="124"/>
      <c r="U2629" s="124"/>
      <c r="V2629" s="124"/>
      <c r="W2629" s="124"/>
      <c r="X2629" s="124"/>
      <c r="Y2629" s="124"/>
      <c r="Z2629" s="124"/>
    </row>
    <row r="2630">
      <c r="A2630" s="124"/>
      <c r="B2630" s="124"/>
      <c r="C2630" s="147"/>
      <c r="D2630" s="124"/>
      <c r="E2630" s="124"/>
      <c r="F2630" s="124"/>
      <c r="G2630" s="124"/>
      <c r="H2630" s="124"/>
      <c r="I2630" s="124"/>
      <c r="J2630" s="124"/>
      <c r="K2630" s="124"/>
      <c r="L2630" s="124"/>
      <c r="M2630" s="124"/>
      <c r="N2630" s="124"/>
      <c r="O2630" s="124"/>
      <c r="P2630" s="124"/>
      <c r="Q2630" s="124"/>
      <c r="R2630" s="124"/>
      <c r="S2630" s="124"/>
      <c r="T2630" s="124"/>
      <c r="U2630" s="124"/>
      <c r="V2630" s="124"/>
      <c r="W2630" s="124"/>
      <c r="X2630" s="124"/>
      <c r="Y2630" s="124"/>
      <c r="Z2630" s="124"/>
    </row>
    <row r="2631">
      <c r="A2631" s="124"/>
      <c r="B2631" s="124"/>
      <c r="C2631" s="147"/>
      <c r="D2631" s="124"/>
      <c r="E2631" s="124"/>
      <c r="F2631" s="124"/>
      <c r="G2631" s="124"/>
      <c r="H2631" s="124"/>
      <c r="I2631" s="124"/>
      <c r="J2631" s="124"/>
      <c r="K2631" s="124"/>
      <c r="L2631" s="124"/>
      <c r="M2631" s="124"/>
      <c r="N2631" s="124"/>
      <c r="O2631" s="124"/>
      <c r="P2631" s="124"/>
      <c r="Q2631" s="124"/>
      <c r="R2631" s="124"/>
      <c r="S2631" s="124"/>
      <c r="T2631" s="124"/>
      <c r="U2631" s="124"/>
      <c r="V2631" s="124"/>
      <c r="W2631" s="124"/>
      <c r="X2631" s="124"/>
      <c r="Y2631" s="124"/>
      <c r="Z2631" s="124"/>
    </row>
    <row r="2632">
      <c r="A2632" s="124"/>
      <c r="B2632" s="124"/>
      <c r="C2632" s="147"/>
      <c r="D2632" s="124"/>
      <c r="E2632" s="124"/>
      <c r="F2632" s="124"/>
      <c r="G2632" s="124"/>
      <c r="H2632" s="124"/>
      <c r="I2632" s="124"/>
      <c r="J2632" s="124"/>
      <c r="K2632" s="124"/>
      <c r="L2632" s="124"/>
      <c r="M2632" s="124"/>
      <c r="N2632" s="124"/>
      <c r="O2632" s="124"/>
      <c r="P2632" s="124"/>
      <c r="Q2632" s="124"/>
      <c r="R2632" s="124"/>
      <c r="S2632" s="124"/>
      <c r="T2632" s="124"/>
      <c r="U2632" s="124"/>
      <c r="V2632" s="124"/>
      <c r="W2632" s="124"/>
      <c r="X2632" s="124"/>
      <c r="Y2632" s="124"/>
      <c r="Z2632" s="124"/>
    </row>
    <row r="2633">
      <c r="A2633" s="124"/>
      <c r="B2633" s="124"/>
      <c r="C2633" s="147"/>
      <c r="D2633" s="124"/>
      <c r="E2633" s="124"/>
      <c r="F2633" s="124"/>
      <c r="G2633" s="124"/>
      <c r="H2633" s="124"/>
      <c r="I2633" s="124"/>
      <c r="J2633" s="124"/>
      <c r="K2633" s="124"/>
      <c r="L2633" s="124"/>
      <c r="M2633" s="124"/>
      <c r="N2633" s="124"/>
      <c r="O2633" s="124"/>
      <c r="P2633" s="124"/>
      <c r="Q2633" s="124"/>
      <c r="R2633" s="124"/>
      <c r="S2633" s="124"/>
      <c r="T2633" s="124"/>
      <c r="U2633" s="124"/>
      <c r="V2633" s="124"/>
      <c r="W2633" s="124"/>
      <c r="X2633" s="124"/>
      <c r="Y2633" s="124"/>
      <c r="Z2633" s="124"/>
    </row>
    <row r="2634">
      <c r="A2634" s="124"/>
      <c r="B2634" s="124"/>
      <c r="C2634" s="147"/>
      <c r="D2634" s="124"/>
      <c r="E2634" s="124"/>
      <c r="F2634" s="124"/>
      <c r="G2634" s="124"/>
      <c r="H2634" s="124"/>
      <c r="I2634" s="124"/>
      <c r="J2634" s="124"/>
      <c r="K2634" s="124"/>
      <c r="L2634" s="124"/>
      <c r="M2634" s="124"/>
      <c r="N2634" s="124"/>
      <c r="O2634" s="124"/>
      <c r="P2634" s="124"/>
      <c r="Q2634" s="124"/>
      <c r="R2634" s="124"/>
      <c r="S2634" s="124"/>
      <c r="T2634" s="124"/>
      <c r="U2634" s="124"/>
      <c r="V2634" s="124"/>
      <c r="W2634" s="124"/>
      <c r="X2634" s="124"/>
      <c r="Y2634" s="124"/>
      <c r="Z2634" s="124"/>
    </row>
    <row r="2635">
      <c r="A2635" s="124"/>
      <c r="B2635" s="124"/>
      <c r="C2635" s="147"/>
      <c r="D2635" s="124"/>
      <c r="E2635" s="124"/>
      <c r="F2635" s="124"/>
      <c r="G2635" s="124"/>
      <c r="H2635" s="124"/>
      <c r="I2635" s="124"/>
      <c r="J2635" s="124"/>
      <c r="K2635" s="124"/>
      <c r="L2635" s="124"/>
      <c r="M2635" s="124"/>
      <c r="N2635" s="124"/>
      <c r="O2635" s="124"/>
      <c r="P2635" s="124"/>
      <c r="Q2635" s="124"/>
      <c r="R2635" s="124"/>
      <c r="S2635" s="124"/>
      <c r="T2635" s="124"/>
      <c r="U2635" s="124"/>
      <c r="V2635" s="124"/>
      <c r="W2635" s="124"/>
      <c r="X2635" s="124"/>
      <c r="Y2635" s="124"/>
      <c r="Z2635" s="124"/>
    </row>
    <row r="2636">
      <c r="A2636" s="124"/>
      <c r="B2636" s="124"/>
      <c r="C2636" s="147"/>
      <c r="D2636" s="124"/>
      <c r="E2636" s="124"/>
      <c r="F2636" s="124"/>
      <c r="G2636" s="124"/>
      <c r="H2636" s="124"/>
      <c r="I2636" s="124"/>
      <c r="J2636" s="124"/>
      <c r="K2636" s="124"/>
      <c r="L2636" s="124"/>
      <c r="M2636" s="124"/>
      <c r="N2636" s="124"/>
      <c r="O2636" s="124"/>
      <c r="P2636" s="124"/>
      <c r="Q2636" s="124"/>
      <c r="R2636" s="124"/>
      <c r="S2636" s="124"/>
      <c r="T2636" s="124"/>
      <c r="U2636" s="124"/>
      <c r="V2636" s="124"/>
      <c r="W2636" s="124"/>
      <c r="X2636" s="124"/>
      <c r="Y2636" s="124"/>
      <c r="Z2636" s="124"/>
    </row>
    <row r="2637">
      <c r="A2637" s="124"/>
      <c r="B2637" s="124"/>
      <c r="C2637" s="147"/>
      <c r="D2637" s="124"/>
      <c r="E2637" s="124"/>
      <c r="F2637" s="124"/>
      <c r="G2637" s="124"/>
      <c r="H2637" s="124"/>
      <c r="I2637" s="124"/>
      <c r="J2637" s="124"/>
      <c r="K2637" s="124"/>
      <c r="L2637" s="124"/>
      <c r="M2637" s="124"/>
      <c r="N2637" s="124"/>
      <c r="O2637" s="124"/>
      <c r="P2637" s="124"/>
      <c r="Q2637" s="124"/>
      <c r="R2637" s="124"/>
      <c r="S2637" s="124"/>
      <c r="T2637" s="124"/>
      <c r="U2637" s="124"/>
      <c r="V2637" s="124"/>
      <c r="W2637" s="124"/>
      <c r="X2637" s="124"/>
      <c r="Y2637" s="124"/>
      <c r="Z2637" s="124"/>
    </row>
    <row r="2638">
      <c r="A2638" s="124"/>
      <c r="B2638" s="124"/>
      <c r="C2638" s="147"/>
      <c r="D2638" s="124"/>
      <c r="E2638" s="124"/>
      <c r="F2638" s="124"/>
      <c r="G2638" s="124"/>
      <c r="H2638" s="124"/>
      <c r="I2638" s="124"/>
      <c r="J2638" s="124"/>
      <c r="K2638" s="124"/>
      <c r="L2638" s="124"/>
      <c r="M2638" s="124"/>
      <c r="N2638" s="124"/>
      <c r="O2638" s="124"/>
      <c r="P2638" s="124"/>
      <c r="Q2638" s="124"/>
      <c r="R2638" s="124"/>
      <c r="S2638" s="124"/>
      <c r="T2638" s="124"/>
      <c r="U2638" s="124"/>
      <c r="V2638" s="124"/>
      <c r="W2638" s="124"/>
      <c r="X2638" s="124"/>
      <c r="Y2638" s="124"/>
      <c r="Z2638" s="124"/>
    </row>
    <row r="2639">
      <c r="A2639" s="124"/>
      <c r="B2639" s="124"/>
      <c r="C2639" s="147"/>
      <c r="D2639" s="124"/>
      <c r="E2639" s="124"/>
      <c r="F2639" s="124"/>
      <c r="G2639" s="124"/>
      <c r="H2639" s="124"/>
      <c r="I2639" s="124"/>
      <c r="J2639" s="124"/>
      <c r="K2639" s="124"/>
      <c r="L2639" s="124"/>
      <c r="M2639" s="124"/>
      <c r="N2639" s="124"/>
      <c r="O2639" s="124"/>
      <c r="P2639" s="124"/>
      <c r="Q2639" s="124"/>
      <c r="R2639" s="124"/>
      <c r="S2639" s="124"/>
      <c r="T2639" s="124"/>
      <c r="U2639" s="124"/>
      <c r="V2639" s="124"/>
      <c r="W2639" s="124"/>
      <c r="X2639" s="124"/>
      <c r="Y2639" s="124"/>
      <c r="Z2639" s="124"/>
    </row>
    <row r="2640">
      <c r="A2640" s="124"/>
      <c r="B2640" s="124"/>
      <c r="C2640" s="147"/>
      <c r="D2640" s="124"/>
      <c r="E2640" s="124"/>
      <c r="F2640" s="124"/>
      <c r="G2640" s="124"/>
      <c r="H2640" s="124"/>
      <c r="I2640" s="124"/>
      <c r="J2640" s="124"/>
      <c r="K2640" s="124"/>
      <c r="L2640" s="124"/>
      <c r="M2640" s="124"/>
      <c r="N2640" s="124"/>
      <c r="O2640" s="124"/>
      <c r="P2640" s="124"/>
      <c r="Q2640" s="124"/>
      <c r="R2640" s="124"/>
      <c r="S2640" s="124"/>
      <c r="T2640" s="124"/>
      <c r="U2640" s="124"/>
      <c r="V2640" s="124"/>
      <c r="W2640" s="124"/>
      <c r="X2640" s="124"/>
      <c r="Y2640" s="124"/>
      <c r="Z2640" s="124"/>
    </row>
    <row r="2641">
      <c r="A2641" s="124"/>
      <c r="B2641" s="124"/>
      <c r="C2641" s="147"/>
      <c r="D2641" s="124"/>
      <c r="E2641" s="124"/>
      <c r="F2641" s="124"/>
      <c r="G2641" s="124"/>
      <c r="H2641" s="124"/>
      <c r="I2641" s="124"/>
      <c r="J2641" s="124"/>
      <c r="K2641" s="124"/>
      <c r="L2641" s="124"/>
      <c r="M2641" s="124"/>
      <c r="N2641" s="124"/>
      <c r="O2641" s="124"/>
      <c r="P2641" s="124"/>
      <c r="Q2641" s="124"/>
      <c r="R2641" s="124"/>
      <c r="S2641" s="124"/>
      <c r="T2641" s="124"/>
      <c r="U2641" s="124"/>
      <c r="V2641" s="124"/>
      <c r="W2641" s="124"/>
      <c r="X2641" s="124"/>
      <c r="Y2641" s="124"/>
      <c r="Z2641" s="124"/>
    </row>
    <row r="2642">
      <c r="A2642" s="124"/>
      <c r="B2642" s="124"/>
      <c r="C2642" s="147"/>
      <c r="D2642" s="124"/>
      <c r="E2642" s="124"/>
      <c r="F2642" s="124"/>
      <c r="G2642" s="124"/>
      <c r="H2642" s="124"/>
      <c r="I2642" s="124"/>
      <c r="J2642" s="124"/>
      <c r="K2642" s="124"/>
      <c r="L2642" s="124"/>
      <c r="M2642" s="124"/>
      <c r="N2642" s="124"/>
      <c r="O2642" s="124"/>
      <c r="P2642" s="124"/>
      <c r="Q2642" s="124"/>
      <c r="R2642" s="124"/>
      <c r="S2642" s="124"/>
      <c r="T2642" s="124"/>
      <c r="U2642" s="124"/>
      <c r="V2642" s="124"/>
      <c r="W2642" s="124"/>
      <c r="X2642" s="124"/>
      <c r="Y2642" s="124"/>
      <c r="Z2642" s="124"/>
    </row>
    <row r="2643">
      <c r="A2643" s="124"/>
      <c r="B2643" s="124"/>
      <c r="C2643" s="147"/>
      <c r="D2643" s="124"/>
      <c r="E2643" s="124"/>
      <c r="F2643" s="124"/>
      <c r="G2643" s="124"/>
      <c r="H2643" s="124"/>
      <c r="I2643" s="124"/>
      <c r="J2643" s="124"/>
      <c r="K2643" s="124"/>
      <c r="L2643" s="124"/>
      <c r="M2643" s="124"/>
      <c r="N2643" s="124"/>
      <c r="O2643" s="124"/>
      <c r="P2643" s="124"/>
      <c r="Q2643" s="124"/>
      <c r="R2643" s="124"/>
      <c r="S2643" s="124"/>
      <c r="T2643" s="124"/>
      <c r="U2643" s="124"/>
      <c r="V2643" s="124"/>
      <c r="W2643" s="124"/>
      <c r="X2643" s="124"/>
      <c r="Y2643" s="124"/>
      <c r="Z2643" s="124"/>
    </row>
    <row r="2644">
      <c r="A2644" s="124"/>
      <c r="B2644" s="124"/>
      <c r="C2644" s="147"/>
      <c r="D2644" s="124"/>
      <c r="E2644" s="124"/>
      <c r="F2644" s="124"/>
      <c r="G2644" s="124"/>
      <c r="H2644" s="124"/>
      <c r="I2644" s="124"/>
      <c r="J2644" s="124"/>
      <c r="K2644" s="124"/>
      <c r="L2644" s="124"/>
      <c r="M2644" s="124"/>
      <c r="N2644" s="124"/>
      <c r="O2644" s="124"/>
      <c r="P2644" s="124"/>
      <c r="Q2644" s="124"/>
      <c r="R2644" s="124"/>
      <c r="S2644" s="124"/>
      <c r="T2644" s="124"/>
      <c r="U2644" s="124"/>
      <c r="V2644" s="124"/>
      <c r="W2644" s="124"/>
      <c r="X2644" s="124"/>
      <c r="Y2644" s="124"/>
      <c r="Z2644" s="124"/>
    </row>
    <row r="2645">
      <c r="A2645" s="124"/>
      <c r="B2645" s="124"/>
      <c r="C2645" s="147"/>
      <c r="D2645" s="124"/>
      <c r="E2645" s="124"/>
      <c r="F2645" s="124"/>
      <c r="G2645" s="124"/>
      <c r="H2645" s="124"/>
      <c r="I2645" s="124"/>
      <c r="J2645" s="124"/>
      <c r="K2645" s="124"/>
      <c r="L2645" s="124"/>
      <c r="M2645" s="124"/>
      <c r="N2645" s="124"/>
      <c r="O2645" s="124"/>
      <c r="P2645" s="124"/>
      <c r="Q2645" s="124"/>
      <c r="R2645" s="124"/>
      <c r="S2645" s="124"/>
      <c r="T2645" s="124"/>
      <c r="U2645" s="124"/>
      <c r="V2645" s="124"/>
      <c r="W2645" s="124"/>
      <c r="X2645" s="124"/>
      <c r="Y2645" s="124"/>
      <c r="Z2645" s="124"/>
    </row>
    <row r="2646">
      <c r="A2646" s="124"/>
      <c r="B2646" s="124"/>
      <c r="C2646" s="147"/>
      <c r="D2646" s="124"/>
      <c r="E2646" s="124"/>
      <c r="F2646" s="124"/>
      <c r="G2646" s="124"/>
      <c r="H2646" s="124"/>
      <c r="I2646" s="124"/>
      <c r="J2646" s="124"/>
      <c r="K2646" s="124"/>
      <c r="L2646" s="124"/>
      <c r="M2646" s="124"/>
      <c r="N2646" s="124"/>
      <c r="O2646" s="124"/>
      <c r="P2646" s="124"/>
      <c r="Q2646" s="124"/>
      <c r="R2646" s="124"/>
      <c r="S2646" s="124"/>
      <c r="T2646" s="124"/>
      <c r="U2646" s="124"/>
      <c r="V2646" s="124"/>
      <c r="W2646" s="124"/>
      <c r="X2646" s="124"/>
      <c r="Y2646" s="124"/>
      <c r="Z2646" s="124"/>
    </row>
    <row r="2647">
      <c r="A2647" s="124"/>
      <c r="B2647" s="124"/>
      <c r="C2647" s="147"/>
      <c r="D2647" s="124"/>
      <c r="E2647" s="124"/>
      <c r="F2647" s="124"/>
      <c r="G2647" s="124"/>
      <c r="H2647" s="124"/>
      <c r="I2647" s="124"/>
      <c r="J2647" s="124"/>
      <c r="K2647" s="124"/>
      <c r="L2647" s="124"/>
      <c r="M2647" s="124"/>
      <c r="N2647" s="124"/>
      <c r="O2647" s="124"/>
      <c r="P2647" s="124"/>
      <c r="Q2647" s="124"/>
      <c r="R2647" s="124"/>
      <c r="S2647" s="124"/>
      <c r="T2647" s="124"/>
      <c r="U2647" s="124"/>
      <c r="V2647" s="124"/>
      <c r="W2647" s="124"/>
      <c r="X2647" s="124"/>
      <c r="Y2647" s="124"/>
      <c r="Z2647" s="124"/>
    </row>
    <row r="2648">
      <c r="A2648" s="124"/>
      <c r="B2648" s="124"/>
      <c r="C2648" s="147"/>
      <c r="D2648" s="124"/>
      <c r="E2648" s="124"/>
      <c r="F2648" s="124"/>
      <c r="G2648" s="124"/>
      <c r="H2648" s="124"/>
      <c r="I2648" s="124"/>
      <c r="J2648" s="124"/>
      <c r="K2648" s="124"/>
      <c r="L2648" s="124"/>
      <c r="M2648" s="124"/>
      <c r="N2648" s="124"/>
      <c r="O2648" s="124"/>
      <c r="P2648" s="124"/>
      <c r="Q2648" s="124"/>
      <c r="R2648" s="124"/>
      <c r="S2648" s="124"/>
      <c r="T2648" s="124"/>
      <c r="U2648" s="124"/>
      <c r="V2648" s="124"/>
      <c r="W2648" s="124"/>
      <c r="X2648" s="124"/>
      <c r="Y2648" s="124"/>
      <c r="Z2648" s="124"/>
    </row>
    <row r="2649">
      <c r="A2649" s="124"/>
      <c r="B2649" s="124"/>
      <c r="C2649" s="147"/>
      <c r="D2649" s="124"/>
      <c r="E2649" s="124"/>
      <c r="F2649" s="124"/>
      <c r="G2649" s="124"/>
      <c r="H2649" s="124"/>
      <c r="I2649" s="124"/>
      <c r="J2649" s="124"/>
      <c r="K2649" s="124"/>
      <c r="L2649" s="124"/>
      <c r="M2649" s="124"/>
      <c r="N2649" s="124"/>
      <c r="O2649" s="124"/>
      <c r="P2649" s="124"/>
      <c r="Q2649" s="124"/>
      <c r="R2649" s="124"/>
      <c r="S2649" s="124"/>
      <c r="T2649" s="124"/>
      <c r="U2649" s="124"/>
      <c r="V2649" s="124"/>
      <c r="W2649" s="124"/>
      <c r="X2649" s="124"/>
      <c r="Y2649" s="124"/>
      <c r="Z2649" s="124"/>
    </row>
    <row r="2650">
      <c r="A2650" s="124"/>
      <c r="B2650" s="124"/>
      <c r="C2650" s="147"/>
      <c r="D2650" s="124"/>
      <c r="E2650" s="124"/>
      <c r="F2650" s="124"/>
      <c r="G2650" s="124"/>
      <c r="H2650" s="124"/>
      <c r="I2650" s="124"/>
      <c r="J2650" s="124"/>
      <c r="K2650" s="124"/>
      <c r="L2650" s="124"/>
      <c r="M2650" s="124"/>
      <c r="N2650" s="124"/>
      <c r="O2650" s="124"/>
      <c r="P2650" s="124"/>
      <c r="Q2650" s="124"/>
      <c r="R2650" s="124"/>
      <c r="S2650" s="124"/>
      <c r="T2650" s="124"/>
      <c r="U2650" s="124"/>
      <c r="V2650" s="124"/>
      <c r="W2650" s="124"/>
      <c r="X2650" s="124"/>
      <c r="Y2650" s="124"/>
      <c r="Z2650" s="124"/>
    </row>
    <row r="2651">
      <c r="A2651" s="124"/>
      <c r="B2651" s="124"/>
      <c r="C2651" s="147"/>
      <c r="D2651" s="124"/>
      <c r="E2651" s="124"/>
      <c r="F2651" s="124"/>
      <c r="G2651" s="124"/>
      <c r="H2651" s="124"/>
      <c r="I2651" s="124"/>
      <c r="J2651" s="124"/>
      <c r="K2651" s="124"/>
      <c r="L2651" s="124"/>
      <c r="M2651" s="124"/>
      <c r="N2651" s="124"/>
      <c r="O2651" s="124"/>
      <c r="P2651" s="124"/>
      <c r="Q2651" s="124"/>
      <c r="R2651" s="124"/>
      <c r="S2651" s="124"/>
      <c r="T2651" s="124"/>
      <c r="U2651" s="124"/>
      <c r="V2651" s="124"/>
      <c r="W2651" s="124"/>
      <c r="X2651" s="124"/>
      <c r="Y2651" s="124"/>
      <c r="Z2651" s="124"/>
    </row>
    <row r="2652">
      <c r="A2652" s="124"/>
      <c r="B2652" s="124"/>
      <c r="C2652" s="147"/>
      <c r="D2652" s="124"/>
      <c r="E2652" s="124"/>
      <c r="F2652" s="124"/>
      <c r="G2652" s="124"/>
      <c r="H2652" s="124"/>
      <c r="I2652" s="124"/>
      <c r="J2652" s="124"/>
      <c r="K2652" s="124"/>
      <c r="L2652" s="124"/>
      <c r="M2652" s="124"/>
      <c r="N2652" s="124"/>
      <c r="O2652" s="124"/>
      <c r="P2652" s="124"/>
      <c r="Q2652" s="124"/>
      <c r="R2652" s="124"/>
      <c r="S2652" s="124"/>
      <c r="T2652" s="124"/>
      <c r="U2652" s="124"/>
      <c r="V2652" s="124"/>
      <c r="W2652" s="124"/>
      <c r="X2652" s="124"/>
      <c r="Y2652" s="124"/>
      <c r="Z2652" s="124"/>
    </row>
    <row r="2653">
      <c r="A2653" s="124"/>
      <c r="B2653" s="124"/>
      <c r="C2653" s="147"/>
      <c r="D2653" s="124"/>
      <c r="E2653" s="124"/>
      <c r="F2653" s="124"/>
      <c r="G2653" s="124"/>
      <c r="H2653" s="124"/>
      <c r="I2653" s="124"/>
      <c r="J2653" s="124"/>
      <c r="K2653" s="124"/>
      <c r="L2653" s="124"/>
      <c r="M2653" s="124"/>
      <c r="N2653" s="124"/>
      <c r="O2653" s="124"/>
      <c r="P2653" s="124"/>
      <c r="Q2653" s="124"/>
      <c r="R2653" s="124"/>
      <c r="S2653" s="124"/>
      <c r="T2653" s="124"/>
      <c r="U2653" s="124"/>
      <c r="V2653" s="124"/>
      <c r="W2653" s="124"/>
      <c r="X2653" s="124"/>
      <c r="Y2653" s="124"/>
      <c r="Z2653" s="124"/>
    </row>
    <row r="2654">
      <c r="A2654" s="124"/>
      <c r="B2654" s="124"/>
      <c r="C2654" s="147"/>
      <c r="D2654" s="124"/>
      <c r="E2654" s="124"/>
      <c r="F2654" s="124"/>
      <c r="G2654" s="124"/>
      <c r="H2654" s="124"/>
      <c r="I2654" s="124"/>
      <c r="J2654" s="124"/>
      <c r="K2654" s="124"/>
      <c r="L2654" s="124"/>
      <c r="M2654" s="124"/>
      <c r="N2654" s="124"/>
      <c r="O2654" s="124"/>
      <c r="P2654" s="124"/>
      <c r="Q2654" s="124"/>
      <c r="R2654" s="124"/>
      <c r="S2654" s="124"/>
      <c r="T2654" s="124"/>
      <c r="U2654" s="124"/>
      <c r="V2654" s="124"/>
      <c r="W2654" s="124"/>
      <c r="X2654" s="124"/>
      <c r="Y2654" s="124"/>
      <c r="Z2654" s="124"/>
    </row>
    <row r="2655">
      <c r="A2655" s="124"/>
      <c r="B2655" s="124"/>
      <c r="C2655" s="147"/>
      <c r="D2655" s="124"/>
      <c r="E2655" s="124"/>
      <c r="F2655" s="124"/>
      <c r="G2655" s="124"/>
      <c r="H2655" s="124"/>
      <c r="I2655" s="124"/>
      <c r="J2655" s="124"/>
      <c r="K2655" s="124"/>
      <c r="L2655" s="124"/>
      <c r="M2655" s="124"/>
      <c r="N2655" s="124"/>
      <c r="O2655" s="124"/>
      <c r="P2655" s="124"/>
      <c r="Q2655" s="124"/>
      <c r="R2655" s="124"/>
      <c r="S2655" s="124"/>
      <c r="T2655" s="124"/>
      <c r="U2655" s="124"/>
      <c r="V2655" s="124"/>
      <c r="W2655" s="124"/>
      <c r="X2655" s="124"/>
      <c r="Y2655" s="124"/>
      <c r="Z2655" s="124"/>
    </row>
    <row r="2656">
      <c r="A2656" s="124"/>
      <c r="B2656" s="124"/>
      <c r="C2656" s="147"/>
      <c r="D2656" s="124"/>
      <c r="E2656" s="124"/>
      <c r="F2656" s="124"/>
      <c r="G2656" s="124"/>
      <c r="H2656" s="124"/>
      <c r="I2656" s="124"/>
      <c r="J2656" s="124"/>
      <c r="K2656" s="124"/>
      <c r="L2656" s="124"/>
      <c r="M2656" s="124"/>
      <c r="N2656" s="124"/>
      <c r="O2656" s="124"/>
      <c r="P2656" s="124"/>
      <c r="Q2656" s="124"/>
      <c r="R2656" s="124"/>
      <c r="S2656" s="124"/>
      <c r="T2656" s="124"/>
      <c r="U2656" s="124"/>
      <c r="V2656" s="124"/>
      <c r="W2656" s="124"/>
      <c r="X2656" s="124"/>
      <c r="Y2656" s="124"/>
      <c r="Z2656" s="124"/>
    </row>
    <row r="2657">
      <c r="A2657" s="124"/>
      <c r="B2657" s="124"/>
      <c r="C2657" s="147"/>
      <c r="D2657" s="124"/>
      <c r="E2657" s="124"/>
      <c r="F2657" s="124"/>
      <c r="G2657" s="124"/>
      <c r="H2657" s="124"/>
      <c r="I2657" s="124"/>
      <c r="J2657" s="124"/>
      <c r="K2657" s="124"/>
      <c r="L2657" s="124"/>
      <c r="M2657" s="124"/>
      <c r="N2657" s="124"/>
      <c r="O2657" s="124"/>
      <c r="P2657" s="124"/>
      <c r="Q2657" s="124"/>
      <c r="R2657" s="124"/>
      <c r="S2657" s="124"/>
      <c r="T2657" s="124"/>
      <c r="U2657" s="124"/>
      <c r="V2657" s="124"/>
      <c r="W2657" s="124"/>
      <c r="X2657" s="124"/>
      <c r="Y2657" s="124"/>
      <c r="Z2657" s="124"/>
    </row>
    <row r="2658">
      <c r="A2658" s="124"/>
      <c r="B2658" s="124"/>
      <c r="C2658" s="147"/>
      <c r="D2658" s="124"/>
      <c r="E2658" s="124"/>
      <c r="F2658" s="124"/>
      <c r="G2658" s="124"/>
      <c r="H2658" s="124"/>
      <c r="I2658" s="124"/>
      <c r="J2658" s="124"/>
      <c r="K2658" s="124"/>
      <c r="L2658" s="124"/>
      <c r="M2658" s="124"/>
      <c r="N2658" s="124"/>
      <c r="O2658" s="124"/>
      <c r="P2658" s="124"/>
      <c r="Q2658" s="124"/>
      <c r="R2658" s="124"/>
      <c r="S2658" s="124"/>
      <c r="T2658" s="124"/>
      <c r="U2658" s="124"/>
      <c r="V2658" s="124"/>
      <c r="W2658" s="124"/>
      <c r="X2658" s="124"/>
      <c r="Y2658" s="124"/>
      <c r="Z2658" s="124"/>
    </row>
    <row r="2659">
      <c r="A2659" s="124"/>
      <c r="B2659" s="124"/>
      <c r="C2659" s="147"/>
      <c r="D2659" s="124"/>
      <c r="E2659" s="124"/>
      <c r="F2659" s="124"/>
      <c r="G2659" s="124"/>
      <c r="H2659" s="124"/>
      <c r="I2659" s="124"/>
      <c r="J2659" s="124"/>
      <c r="K2659" s="124"/>
      <c r="L2659" s="124"/>
      <c r="M2659" s="124"/>
      <c r="N2659" s="124"/>
      <c r="O2659" s="124"/>
      <c r="P2659" s="124"/>
      <c r="Q2659" s="124"/>
      <c r="R2659" s="124"/>
      <c r="S2659" s="124"/>
      <c r="T2659" s="124"/>
      <c r="U2659" s="124"/>
      <c r="V2659" s="124"/>
      <c r="W2659" s="124"/>
      <c r="X2659" s="124"/>
      <c r="Y2659" s="124"/>
      <c r="Z2659" s="124"/>
    </row>
    <row r="2660">
      <c r="A2660" s="124"/>
      <c r="B2660" s="124"/>
      <c r="C2660" s="147"/>
      <c r="D2660" s="124"/>
      <c r="E2660" s="124"/>
      <c r="F2660" s="124"/>
      <c r="G2660" s="124"/>
      <c r="H2660" s="124"/>
      <c r="I2660" s="124"/>
      <c r="J2660" s="124"/>
      <c r="K2660" s="124"/>
      <c r="L2660" s="124"/>
      <c r="M2660" s="124"/>
      <c r="N2660" s="124"/>
      <c r="O2660" s="124"/>
      <c r="P2660" s="124"/>
      <c r="Q2660" s="124"/>
      <c r="R2660" s="124"/>
      <c r="S2660" s="124"/>
      <c r="T2660" s="124"/>
      <c r="U2660" s="124"/>
      <c r="V2660" s="124"/>
      <c r="W2660" s="124"/>
      <c r="X2660" s="124"/>
      <c r="Y2660" s="124"/>
      <c r="Z2660" s="124"/>
    </row>
    <row r="2661">
      <c r="A2661" s="124"/>
      <c r="B2661" s="124"/>
      <c r="C2661" s="147"/>
      <c r="D2661" s="124"/>
      <c r="E2661" s="124"/>
      <c r="F2661" s="124"/>
      <c r="G2661" s="124"/>
      <c r="H2661" s="124"/>
      <c r="I2661" s="124"/>
      <c r="J2661" s="124"/>
      <c r="K2661" s="124"/>
      <c r="L2661" s="124"/>
      <c r="M2661" s="124"/>
      <c r="N2661" s="124"/>
      <c r="O2661" s="124"/>
      <c r="P2661" s="124"/>
      <c r="Q2661" s="124"/>
      <c r="R2661" s="124"/>
      <c r="S2661" s="124"/>
      <c r="T2661" s="124"/>
      <c r="U2661" s="124"/>
      <c r="V2661" s="124"/>
      <c r="W2661" s="124"/>
      <c r="X2661" s="124"/>
      <c r="Y2661" s="124"/>
      <c r="Z2661" s="124"/>
    </row>
    <row r="2662">
      <c r="A2662" s="124"/>
      <c r="B2662" s="124"/>
      <c r="C2662" s="147"/>
      <c r="D2662" s="124"/>
      <c r="E2662" s="124"/>
      <c r="F2662" s="124"/>
      <c r="G2662" s="124"/>
      <c r="H2662" s="124"/>
      <c r="I2662" s="124"/>
      <c r="J2662" s="124"/>
      <c r="K2662" s="124"/>
      <c r="L2662" s="124"/>
      <c r="M2662" s="124"/>
      <c r="N2662" s="124"/>
      <c r="O2662" s="124"/>
      <c r="P2662" s="124"/>
      <c r="Q2662" s="124"/>
      <c r="R2662" s="124"/>
      <c r="S2662" s="124"/>
      <c r="T2662" s="124"/>
      <c r="U2662" s="124"/>
      <c r="V2662" s="124"/>
      <c r="W2662" s="124"/>
      <c r="X2662" s="124"/>
      <c r="Y2662" s="124"/>
      <c r="Z2662" s="124"/>
    </row>
    <row r="2663">
      <c r="A2663" s="124"/>
      <c r="B2663" s="124"/>
      <c r="C2663" s="147"/>
      <c r="D2663" s="124"/>
      <c r="E2663" s="124"/>
      <c r="F2663" s="124"/>
      <c r="G2663" s="124"/>
      <c r="H2663" s="124"/>
      <c r="I2663" s="124"/>
      <c r="J2663" s="124"/>
      <c r="K2663" s="124"/>
      <c r="L2663" s="124"/>
      <c r="M2663" s="124"/>
      <c r="N2663" s="124"/>
      <c r="O2663" s="124"/>
      <c r="P2663" s="124"/>
      <c r="Q2663" s="124"/>
      <c r="R2663" s="124"/>
      <c r="S2663" s="124"/>
      <c r="T2663" s="124"/>
      <c r="U2663" s="124"/>
      <c r="V2663" s="124"/>
      <c r="W2663" s="124"/>
      <c r="X2663" s="124"/>
      <c r="Y2663" s="124"/>
      <c r="Z2663" s="124"/>
    </row>
    <row r="2664">
      <c r="A2664" s="124"/>
      <c r="B2664" s="124"/>
      <c r="C2664" s="147"/>
      <c r="D2664" s="124"/>
      <c r="E2664" s="124"/>
      <c r="F2664" s="124"/>
      <c r="G2664" s="124"/>
      <c r="H2664" s="124"/>
      <c r="I2664" s="124"/>
      <c r="J2664" s="124"/>
      <c r="K2664" s="124"/>
      <c r="L2664" s="124"/>
      <c r="M2664" s="124"/>
      <c r="N2664" s="124"/>
      <c r="O2664" s="124"/>
      <c r="P2664" s="124"/>
      <c r="Q2664" s="124"/>
      <c r="R2664" s="124"/>
      <c r="S2664" s="124"/>
      <c r="T2664" s="124"/>
      <c r="U2664" s="124"/>
      <c r="V2664" s="124"/>
      <c r="W2664" s="124"/>
      <c r="X2664" s="124"/>
      <c r="Y2664" s="124"/>
      <c r="Z2664" s="124"/>
    </row>
    <row r="2665">
      <c r="A2665" s="124"/>
      <c r="B2665" s="124"/>
      <c r="C2665" s="147"/>
      <c r="D2665" s="124"/>
      <c r="E2665" s="124"/>
      <c r="F2665" s="124"/>
      <c r="G2665" s="124"/>
      <c r="H2665" s="124"/>
      <c r="I2665" s="124"/>
      <c r="J2665" s="124"/>
      <c r="K2665" s="124"/>
      <c r="L2665" s="124"/>
      <c r="M2665" s="124"/>
      <c r="N2665" s="124"/>
      <c r="O2665" s="124"/>
      <c r="P2665" s="124"/>
      <c r="Q2665" s="124"/>
      <c r="R2665" s="124"/>
      <c r="S2665" s="124"/>
      <c r="T2665" s="124"/>
      <c r="U2665" s="124"/>
      <c r="V2665" s="124"/>
      <c r="W2665" s="124"/>
      <c r="X2665" s="124"/>
      <c r="Y2665" s="124"/>
      <c r="Z2665" s="124"/>
    </row>
    <row r="2666">
      <c r="A2666" s="124"/>
      <c r="B2666" s="124"/>
      <c r="C2666" s="147"/>
      <c r="D2666" s="124"/>
      <c r="E2666" s="124"/>
      <c r="F2666" s="124"/>
      <c r="G2666" s="124"/>
      <c r="H2666" s="124"/>
      <c r="I2666" s="124"/>
      <c r="J2666" s="124"/>
      <c r="K2666" s="124"/>
      <c r="L2666" s="124"/>
      <c r="M2666" s="124"/>
      <c r="N2666" s="124"/>
      <c r="O2666" s="124"/>
      <c r="P2666" s="124"/>
      <c r="Q2666" s="124"/>
      <c r="R2666" s="124"/>
      <c r="S2666" s="124"/>
      <c r="T2666" s="124"/>
      <c r="U2666" s="124"/>
      <c r="V2666" s="124"/>
      <c r="W2666" s="124"/>
      <c r="X2666" s="124"/>
      <c r="Y2666" s="124"/>
      <c r="Z2666" s="124"/>
    </row>
    <row r="2667">
      <c r="A2667" s="124"/>
      <c r="B2667" s="124"/>
      <c r="C2667" s="147"/>
      <c r="D2667" s="124"/>
      <c r="E2667" s="124"/>
      <c r="F2667" s="124"/>
      <c r="G2667" s="124"/>
      <c r="H2667" s="124"/>
      <c r="I2667" s="124"/>
      <c r="J2667" s="124"/>
      <c r="K2667" s="124"/>
      <c r="L2667" s="124"/>
      <c r="M2667" s="124"/>
      <c r="N2667" s="124"/>
      <c r="O2667" s="124"/>
      <c r="P2667" s="124"/>
      <c r="Q2667" s="124"/>
      <c r="R2667" s="124"/>
      <c r="S2667" s="124"/>
      <c r="T2667" s="124"/>
      <c r="U2667" s="124"/>
      <c r="V2667" s="124"/>
      <c r="W2667" s="124"/>
      <c r="X2667" s="124"/>
      <c r="Y2667" s="124"/>
      <c r="Z2667" s="124"/>
    </row>
    <row r="2668">
      <c r="A2668" s="124"/>
      <c r="B2668" s="124"/>
      <c r="C2668" s="147"/>
      <c r="D2668" s="124"/>
      <c r="E2668" s="124"/>
      <c r="F2668" s="124"/>
      <c r="G2668" s="124"/>
      <c r="H2668" s="124"/>
      <c r="I2668" s="124"/>
      <c r="J2668" s="124"/>
      <c r="K2668" s="124"/>
      <c r="L2668" s="124"/>
      <c r="M2668" s="124"/>
      <c r="N2668" s="124"/>
      <c r="O2668" s="124"/>
      <c r="P2668" s="124"/>
      <c r="Q2668" s="124"/>
      <c r="R2668" s="124"/>
      <c r="S2668" s="124"/>
      <c r="T2668" s="124"/>
      <c r="U2668" s="124"/>
      <c r="V2668" s="124"/>
      <c r="W2668" s="124"/>
      <c r="X2668" s="124"/>
      <c r="Y2668" s="124"/>
      <c r="Z2668" s="124"/>
    </row>
    <row r="2669">
      <c r="A2669" s="124"/>
      <c r="B2669" s="124"/>
      <c r="C2669" s="147"/>
      <c r="D2669" s="124"/>
      <c r="E2669" s="124"/>
      <c r="F2669" s="124"/>
      <c r="G2669" s="124"/>
      <c r="H2669" s="124"/>
      <c r="I2669" s="124"/>
      <c r="J2669" s="124"/>
      <c r="K2669" s="124"/>
      <c r="L2669" s="124"/>
      <c r="M2669" s="124"/>
      <c r="N2669" s="124"/>
      <c r="O2669" s="124"/>
      <c r="P2669" s="124"/>
      <c r="Q2669" s="124"/>
      <c r="R2669" s="124"/>
      <c r="S2669" s="124"/>
      <c r="T2669" s="124"/>
      <c r="U2669" s="124"/>
      <c r="V2669" s="124"/>
      <c r="W2669" s="124"/>
      <c r="X2669" s="124"/>
      <c r="Y2669" s="124"/>
      <c r="Z2669" s="124"/>
    </row>
    <row r="2670">
      <c r="A2670" s="124"/>
      <c r="B2670" s="124"/>
      <c r="C2670" s="147"/>
      <c r="D2670" s="124"/>
      <c r="E2670" s="124"/>
      <c r="F2670" s="124"/>
      <c r="G2670" s="124"/>
      <c r="H2670" s="124"/>
      <c r="I2670" s="124"/>
      <c r="J2670" s="124"/>
      <c r="K2670" s="124"/>
      <c r="L2670" s="124"/>
      <c r="M2670" s="124"/>
      <c r="N2670" s="124"/>
      <c r="O2670" s="124"/>
      <c r="P2670" s="124"/>
      <c r="Q2670" s="124"/>
      <c r="R2670" s="124"/>
      <c r="S2670" s="124"/>
      <c r="T2670" s="124"/>
      <c r="U2670" s="124"/>
      <c r="V2670" s="124"/>
      <c r="W2670" s="124"/>
      <c r="X2670" s="124"/>
      <c r="Y2670" s="124"/>
      <c r="Z2670" s="124"/>
    </row>
    <row r="2671">
      <c r="A2671" s="124"/>
      <c r="B2671" s="124"/>
      <c r="C2671" s="147"/>
      <c r="D2671" s="124"/>
      <c r="E2671" s="124"/>
      <c r="F2671" s="124"/>
      <c r="G2671" s="124"/>
      <c r="H2671" s="124"/>
      <c r="I2671" s="124"/>
      <c r="J2671" s="124"/>
      <c r="K2671" s="124"/>
      <c r="L2671" s="124"/>
      <c r="M2671" s="124"/>
      <c r="N2671" s="124"/>
      <c r="O2671" s="124"/>
      <c r="P2671" s="124"/>
      <c r="Q2671" s="124"/>
      <c r="R2671" s="124"/>
      <c r="S2671" s="124"/>
      <c r="T2671" s="124"/>
      <c r="U2671" s="124"/>
      <c r="V2671" s="124"/>
      <c r="W2671" s="124"/>
      <c r="X2671" s="124"/>
      <c r="Y2671" s="124"/>
      <c r="Z2671" s="124"/>
    </row>
    <row r="2672">
      <c r="A2672" s="124"/>
      <c r="B2672" s="124"/>
      <c r="C2672" s="147"/>
      <c r="D2672" s="124"/>
      <c r="E2672" s="124"/>
      <c r="F2672" s="124"/>
      <c r="G2672" s="124"/>
      <c r="H2672" s="124"/>
      <c r="I2672" s="124"/>
      <c r="J2672" s="124"/>
      <c r="K2672" s="124"/>
      <c r="L2672" s="124"/>
      <c r="M2672" s="124"/>
      <c r="N2672" s="124"/>
      <c r="O2672" s="124"/>
      <c r="P2672" s="124"/>
      <c r="Q2672" s="124"/>
      <c r="R2672" s="124"/>
      <c r="S2672" s="124"/>
      <c r="T2672" s="124"/>
      <c r="U2672" s="124"/>
      <c r="V2672" s="124"/>
      <c r="W2672" s="124"/>
      <c r="X2672" s="124"/>
      <c r="Y2672" s="124"/>
      <c r="Z2672" s="124"/>
    </row>
    <row r="2673">
      <c r="A2673" s="124"/>
      <c r="B2673" s="124"/>
      <c r="C2673" s="147"/>
      <c r="D2673" s="124"/>
      <c r="E2673" s="124"/>
      <c r="F2673" s="124"/>
      <c r="G2673" s="124"/>
      <c r="H2673" s="124"/>
      <c r="I2673" s="124"/>
      <c r="J2673" s="124"/>
      <c r="K2673" s="124"/>
      <c r="L2673" s="124"/>
      <c r="M2673" s="124"/>
      <c r="N2673" s="124"/>
      <c r="O2673" s="124"/>
      <c r="P2673" s="124"/>
      <c r="Q2673" s="124"/>
      <c r="R2673" s="124"/>
      <c r="S2673" s="124"/>
      <c r="T2673" s="124"/>
      <c r="U2673" s="124"/>
      <c r="V2673" s="124"/>
      <c r="W2673" s="124"/>
      <c r="X2673" s="124"/>
      <c r="Y2673" s="124"/>
      <c r="Z2673" s="124"/>
    </row>
    <row r="2674">
      <c r="A2674" s="124"/>
      <c r="B2674" s="124"/>
      <c r="C2674" s="147"/>
      <c r="D2674" s="124"/>
      <c r="E2674" s="124"/>
      <c r="F2674" s="124"/>
      <c r="G2674" s="124"/>
      <c r="H2674" s="124"/>
      <c r="I2674" s="124"/>
      <c r="J2674" s="124"/>
      <c r="K2674" s="124"/>
      <c r="L2674" s="124"/>
      <c r="M2674" s="124"/>
      <c r="N2674" s="124"/>
      <c r="O2674" s="124"/>
      <c r="P2674" s="124"/>
      <c r="Q2674" s="124"/>
      <c r="R2674" s="124"/>
      <c r="S2674" s="124"/>
      <c r="T2674" s="124"/>
      <c r="U2674" s="124"/>
      <c r="V2674" s="124"/>
      <c r="W2674" s="124"/>
      <c r="X2674" s="124"/>
      <c r="Y2674" s="124"/>
      <c r="Z2674" s="124"/>
    </row>
    <row r="2675">
      <c r="A2675" s="124"/>
      <c r="B2675" s="124"/>
      <c r="C2675" s="147"/>
      <c r="D2675" s="124"/>
      <c r="E2675" s="124"/>
      <c r="F2675" s="124"/>
      <c r="G2675" s="124"/>
      <c r="H2675" s="124"/>
      <c r="I2675" s="124"/>
      <c r="J2675" s="124"/>
      <c r="K2675" s="124"/>
      <c r="L2675" s="124"/>
      <c r="M2675" s="124"/>
      <c r="N2675" s="124"/>
      <c r="O2675" s="124"/>
      <c r="P2675" s="124"/>
      <c r="Q2675" s="124"/>
      <c r="R2675" s="124"/>
      <c r="S2675" s="124"/>
      <c r="T2675" s="124"/>
      <c r="U2675" s="124"/>
      <c r="V2675" s="124"/>
      <c r="W2675" s="124"/>
      <c r="X2675" s="124"/>
      <c r="Y2675" s="124"/>
      <c r="Z2675" s="124"/>
    </row>
    <row r="2676">
      <c r="A2676" s="124"/>
      <c r="B2676" s="124"/>
      <c r="C2676" s="147"/>
      <c r="D2676" s="124"/>
      <c r="E2676" s="124"/>
      <c r="F2676" s="124"/>
      <c r="G2676" s="124"/>
      <c r="H2676" s="124"/>
      <c r="I2676" s="124"/>
      <c r="J2676" s="124"/>
      <c r="K2676" s="124"/>
      <c r="L2676" s="124"/>
      <c r="M2676" s="124"/>
      <c r="N2676" s="124"/>
      <c r="O2676" s="124"/>
      <c r="P2676" s="124"/>
      <c r="Q2676" s="124"/>
      <c r="R2676" s="124"/>
      <c r="S2676" s="124"/>
      <c r="T2676" s="124"/>
      <c r="U2676" s="124"/>
      <c r="V2676" s="124"/>
      <c r="W2676" s="124"/>
      <c r="X2676" s="124"/>
      <c r="Y2676" s="124"/>
      <c r="Z2676" s="124"/>
    </row>
    <row r="2677">
      <c r="A2677" s="124"/>
      <c r="B2677" s="124"/>
      <c r="C2677" s="147"/>
      <c r="D2677" s="124"/>
      <c r="E2677" s="124"/>
      <c r="F2677" s="124"/>
      <c r="G2677" s="124"/>
      <c r="H2677" s="124"/>
      <c r="I2677" s="124"/>
      <c r="J2677" s="124"/>
      <c r="K2677" s="124"/>
      <c r="L2677" s="124"/>
      <c r="M2677" s="124"/>
      <c r="N2677" s="124"/>
      <c r="O2677" s="124"/>
      <c r="P2677" s="124"/>
      <c r="Q2677" s="124"/>
      <c r="R2677" s="124"/>
      <c r="S2677" s="124"/>
      <c r="T2677" s="124"/>
      <c r="U2677" s="124"/>
      <c r="V2677" s="124"/>
      <c r="W2677" s="124"/>
      <c r="X2677" s="124"/>
      <c r="Y2677" s="124"/>
      <c r="Z2677" s="124"/>
    </row>
    <row r="2678">
      <c r="A2678" s="124"/>
      <c r="B2678" s="124"/>
      <c r="C2678" s="147"/>
      <c r="D2678" s="124"/>
      <c r="E2678" s="124"/>
      <c r="F2678" s="124"/>
      <c r="G2678" s="124"/>
      <c r="H2678" s="124"/>
      <c r="I2678" s="124"/>
      <c r="J2678" s="124"/>
      <c r="K2678" s="124"/>
      <c r="L2678" s="124"/>
      <c r="M2678" s="124"/>
      <c r="N2678" s="124"/>
      <c r="O2678" s="124"/>
      <c r="P2678" s="124"/>
      <c r="Q2678" s="124"/>
      <c r="R2678" s="124"/>
      <c r="S2678" s="124"/>
      <c r="T2678" s="124"/>
      <c r="U2678" s="124"/>
      <c r="V2678" s="124"/>
      <c r="W2678" s="124"/>
      <c r="X2678" s="124"/>
      <c r="Y2678" s="124"/>
      <c r="Z2678" s="124"/>
    </row>
    <row r="2679">
      <c r="A2679" s="124"/>
      <c r="B2679" s="124"/>
      <c r="C2679" s="147"/>
      <c r="D2679" s="124"/>
      <c r="E2679" s="124"/>
      <c r="F2679" s="124"/>
      <c r="G2679" s="124"/>
      <c r="H2679" s="124"/>
      <c r="I2679" s="124"/>
      <c r="J2679" s="124"/>
      <c r="K2679" s="124"/>
      <c r="L2679" s="124"/>
      <c r="M2679" s="124"/>
      <c r="N2679" s="124"/>
      <c r="O2679" s="124"/>
      <c r="P2679" s="124"/>
      <c r="Q2679" s="124"/>
      <c r="R2679" s="124"/>
      <c r="S2679" s="124"/>
      <c r="T2679" s="124"/>
      <c r="U2679" s="124"/>
      <c r="V2679" s="124"/>
      <c r="W2679" s="124"/>
      <c r="X2679" s="124"/>
      <c r="Y2679" s="124"/>
      <c r="Z2679" s="124"/>
    </row>
    <row r="2680">
      <c r="A2680" s="124"/>
      <c r="B2680" s="124"/>
      <c r="C2680" s="147"/>
      <c r="D2680" s="124"/>
      <c r="E2680" s="124"/>
      <c r="F2680" s="124"/>
      <c r="G2680" s="124"/>
      <c r="H2680" s="124"/>
      <c r="I2680" s="124"/>
      <c r="J2680" s="124"/>
      <c r="K2680" s="124"/>
      <c r="L2680" s="124"/>
      <c r="M2680" s="124"/>
      <c r="N2680" s="124"/>
      <c r="O2680" s="124"/>
      <c r="P2680" s="124"/>
      <c r="Q2680" s="124"/>
      <c r="R2680" s="124"/>
      <c r="S2680" s="124"/>
      <c r="T2680" s="124"/>
      <c r="U2680" s="124"/>
      <c r="V2680" s="124"/>
      <c r="W2680" s="124"/>
      <c r="X2680" s="124"/>
      <c r="Y2680" s="124"/>
      <c r="Z2680" s="124"/>
    </row>
    <row r="2681">
      <c r="A2681" s="124"/>
      <c r="B2681" s="124"/>
      <c r="C2681" s="147"/>
      <c r="D2681" s="124"/>
      <c r="E2681" s="124"/>
      <c r="F2681" s="124"/>
      <c r="G2681" s="124"/>
      <c r="H2681" s="124"/>
      <c r="I2681" s="124"/>
      <c r="J2681" s="124"/>
      <c r="K2681" s="124"/>
      <c r="L2681" s="124"/>
      <c r="M2681" s="124"/>
      <c r="N2681" s="124"/>
      <c r="O2681" s="124"/>
      <c r="P2681" s="124"/>
      <c r="Q2681" s="124"/>
      <c r="R2681" s="124"/>
      <c r="S2681" s="124"/>
      <c r="T2681" s="124"/>
      <c r="U2681" s="124"/>
      <c r="V2681" s="124"/>
      <c r="W2681" s="124"/>
      <c r="X2681" s="124"/>
      <c r="Y2681" s="124"/>
      <c r="Z2681" s="124"/>
    </row>
    <row r="2682">
      <c r="A2682" s="124"/>
      <c r="B2682" s="124"/>
      <c r="C2682" s="147"/>
      <c r="D2682" s="124"/>
      <c r="E2682" s="124"/>
      <c r="F2682" s="124"/>
      <c r="G2682" s="124"/>
      <c r="H2682" s="124"/>
      <c r="I2682" s="124"/>
      <c r="J2682" s="124"/>
      <c r="K2682" s="124"/>
      <c r="L2682" s="124"/>
      <c r="M2682" s="124"/>
      <c r="N2682" s="124"/>
      <c r="O2682" s="124"/>
      <c r="P2682" s="124"/>
      <c r="Q2682" s="124"/>
      <c r="R2682" s="124"/>
      <c r="S2682" s="124"/>
      <c r="T2682" s="124"/>
      <c r="U2682" s="124"/>
      <c r="V2682" s="124"/>
      <c r="W2682" s="124"/>
      <c r="X2682" s="124"/>
      <c r="Y2682" s="124"/>
      <c r="Z2682" s="124"/>
    </row>
    <row r="2683">
      <c r="A2683" s="124"/>
      <c r="B2683" s="124"/>
      <c r="C2683" s="147"/>
      <c r="D2683" s="124"/>
      <c r="E2683" s="124"/>
      <c r="F2683" s="124"/>
      <c r="G2683" s="124"/>
      <c r="H2683" s="124"/>
      <c r="I2683" s="124"/>
      <c r="J2683" s="124"/>
      <c r="K2683" s="124"/>
      <c r="L2683" s="124"/>
      <c r="M2683" s="124"/>
      <c r="N2683" s="124"/>
      <c r="O2683" s="124"/>
      <c r="P2683" s="124"/>
      <c r="Q2683" s="124"/>
      <c r="R2683" s="124"/>
      <c r="S2683" s="124"/>
      <c r="T2683" s="124"/>
      <c r="U2683" s="124"/>
      <c r="V2683" s="124"/>
      <c r="W2683" s="124"/>
      <c r="X2683" s="124"/>
      <c r="Y2683" s="124"/>
      <c r="Z2683" s="124"/>
    </row>
    <row r="2684">
      <c r="A2684" s="124"/>
      <c r="B2684" s="124"/>
      <c r="C2684" s="147"/>
      <c r="D2684" s="124"/>
      <c r="E2684" s="124"/>
      <c r="F2684" s="124"/>
      <c r="G2684" s="124"/>
      <c r="H2684" s="124"/>
      <c r="I2684" s="124"/>
      <c r="J2684" s="124"/>
      <c r="K2684" s="124"/>
      <c r="L2684" s="124"/>
      <c r="M2684" s="124"/>
      <c r="N2684" s="124"/>
      <c r="O2684" s="124"/>
      <c r="P2684" s="124"/>
      <c r="Q2684" s="124"/>
      <c r="R2684" s="124"/>
      <c r="S2684" s="124"/>
      <c r="T2684" s="124"/>
      <c r="U2684" s="124"/>
      <c r="V2684" s="124"/>
      <c r="W2684" s="124"/>
      <c r="X2684" s="124"/>
      <c r="Y2684" s="124"/>
      <c r="Z2684" s="124"/>
    </row>
    <row r="2685">
      <c r="A2685" s="124"/>
      <c r="B2685" s="124"/>
      <c r="C2685" s="147"/>
      <c r="D2685" s="124"/>
      <c r="E2685" s="124"/>
      <c r="F2685" s="124"/>
      <c r="G2685" s="124"/>
      <c r="H2685" s="124"/>
      <c r="I2685" s="124"/>
      <c r="J2685" s="124"/>
      <c r="K2685" s="124"/>
      <c r="L2685" s="124"/>
      <c r="M2685" s="124"/>
      <c r="N2685" s="124"/>
      <c r="O2685" s="124"/>
      <c r="P2685" s="124"/>
      <c r="Q2685" s="124"/>
      <c r="R2685" s="124"/>
      <c r="S2685" s="124"/>
      <c r="T2685" s="124"/>
      <c r="U2685" s="124"/>
      <c r="V2685" s="124"/>
      <c r="W2685" s="124"/>
      <c r="X2685" s="124"/>
      <c r="Y2685" s="124"/>
      <c r="Z2685" s="124"/>
    </row>
    <row r="2686">
      <c r="A2686" s="124"/>
      <c r="B2686" s="124"/>
      <c r="C2686" s="147"/>
      <c r="D2686" s="124"/>
      <c r="E2686" s="124"/>
      <c r="F2686" s="124"/>
      <c r="G2686" s="124"/>
      <c r="H2686" s="124"/>
      <c r="I2686" s="124"/>
      <c r="J2686" s="124"/>
      <c r="K2686" s="124"/>
      <c r="L2686" s="124"/>
      <c r="M2686" s="124"/>
      <c r="N2686" s="124"/>
      <c r="O2686" s="124"/>
      <c r="P2686" s="124"/>
      <c r="Q2686" s="124"/>
      <c r="R2686" s="124"/>
      <c r="S2686" s="124"/>
      <c r="T2686" s="124"/>
      <c r="U2686" s="124"/>
      <c r="V2686" s="124"/>
      <c r="W2686" s="124"/>
      <c r="X2686" s="124"/>
      <c r="Y2686" s="124"/>
      <c r="Z2686" s="124"/>
    </row>
    <row r="2687">
      <c r="A2687" s="124"/>
      <c r="B2687" s="124"/>
      <c r="C2687" s="147"/>
      <c r="D2687" s="124"/>
      <c r="E2687" s="124"/>
      <c r="F2687" s="124"/>
      <c r="G2687" s="124"/>
      <c r="H2687" s="124"/>
      <c r="I2687" s="124"/>
      <c r="J2687" s="124"/>
      <c r="K2687" s="124"/>
      <c r="L2687" s="124"/>
      <c r="M2687" s="124"/>
      <c r="N2687" s="124"/>
      <c r="O2687" s="124"/>
      <c r="P2687" s="124"/>
      <c r="Q2687" s="124"/>
      <c r="R2687" s="124"/>
      <c r="S2687" s="124"/>
      <c r="T2687" s="124"/>
      <c r="U2687" s="124"/>
      <c r="V2687" s="124"/>
      <c r="W2687" s="124"/>
      <c r="X2687" s="124"/>
      <c r="Y2687" s="124"/>
      <c r="Z2687" s="124"/>
    </row>
    <row r="2688">
      <c r="A2688" s="124"/>
      <c r="B2688" s="124"/>
      <c r="C2688" s="147"/>
      <c r="D2688" s="124"/>
      <c r="E2688" s="124"/>
      <c r="F2688" s="124"/>
      <c r="G2688" s="124"/>
      <c r="H2688" s="124"/>
      <c r="I2688" s="124"/>
      <c r="J2688" s="124"/>
      <c r="K2688" s="124"/>
      <c r="L2688" s="124"/>
      <c r="M2688" s="124"/>
      <c r="N2688" s="124"/>
      <c r="O2688" s="124"/>
      <c r="P2688" s="124"/>
      <c r="Q2688" s="124"/>
      <c r="R2688" s="124"/>
      <c r="S2688" s="124"/>
      <c r="T2688" s="124"/>
      <c r="U2688" s="124"/>
      <c r="V2688" s="124"/>
      <c r="W2688" s="124"/>
      <c r="X2688" s="124"/>
      <c r="Y2688" s="124"/>
      <c r="Z2688" s="124"/>
    </row>
    <row r="2689">
      <c r="A2689" s="124"/>
      <c r="B2689" s="124"/>
      <c r="C2689" s="147"/>
      <c r="D2689" s="124"/>
      <c r="E2689" s="124"/>
      <c r="F2689" s="124"/>
      <c r="G2689" s="124"/>
      <c r="H2689" s="124"/>
      <c r="I2689" s="124"/>
      <c r="J2689" s="124"/>
      <c r="K2689" s="124"/>
      <c r="L2689" s="124"/>
      <c r="M2689" s="124"/>
      <c r="N2689" s="124"/>
      <c r="O2689" s="124"/>
      <c r="P2689" s="124"/>
      <c r="Q2689" s="124"/>
      <c r="R2689" s="124"/>
      <c r="S2689" s="124"/>
      <c r="T2689" s="124"/>
      <c r="U2689" s="124"/>
      <c r="V2689" s="124"/>
      <c r="W2689" s="124"/>
      <c r="X2689" s="124"/>
      <c r="Y2689" s="124"/>
      <c r="Z2689" s="124"/>
    </row>
    <row r="2690">
      <c r="A2690" s="124"/>
      <c r="B2690" s="124"/>
      <c r="C2690" s="147"/>
      <c r="D2690" s="124"/>
      <c r="E2690" s="124"/>
      <c r="F2690" s="124"/>
      <c r="G2690" s="124"/>
      <c r="H2690" s="124"/>
      <c r="I2690" s="124"/>
      <c r="J2690" s="124"/>
      <c r="K2690" s="124"/>
      <c r="L2690" s="124"/>
      <c r="M2690" s="124"/>
      <c r="N2690" s="124"/>
      <c r="O2690" s="124"/>
      <c r="P2690" s="124"/>
      <c r="Q2690" s="124"/>
      <c r="R2690" s="124"/>
      <c r="S2690" s="124"/>
      <c r="T2690" s="124"/>
      <c r="U2690" s="124"/>
      <c r="V2690" s="124"/>
      <c r="W2690" s="124"/>
      <c r="X2690" s="124"/>
      <c r="Y2690" s="124"/>
      <c r="Z2690" s="124"/>
    </row>
    <row r="2691">
      <c r="A2691" s="124"/>
      <c r="B2691" s="124"/>
      <c r="C2691" s="147"/>
      <c r="D2691" s="124"/>
      <c r="E2691" s="124"/>
      <c r="F2691" s="124"/>
      <c r="G2691" s="124"/>
      <c r="H2691" s="124"/>
      <c r="I2691" s="124"/>
      <c r="J2691" s="124"/>
      <c r="K2691" s="124"/>
      <c r="L2691" s="124"/>
      <c r="M2691" s="124"/>
      <c r="N2691" s="124"/>
      <c r="O2691" s="124"/>
      <c r="P2691" s="124"/>
      <c r="Q2691" s="124"/>
      <c r="R2691" s="124"/>
      <c r="S2691" s="124"/>
      <c r="T2691" s="124"/>
      <c r="U2691" s="124"/>
      <c r="V2691" s="124"/>
      <c r="W2691" s="124"/>
      <c r="X2691" s="124"/>
      <c r="Y2691" s="124"/>
      <c r="Z2691" s="124"/>
    </row>
    <row r="2692">
      <c r="A2692" s="124"/>
      <c r="B2692" s="124"/>
      <c r="C2692" s="147"/>
      <c r="D2692" s="124"/>
      <c r="E2692" s="124"/>
      <c r="F2692" s="124"/>
      <c r="G2692" s="124"/>
      <c r="H2692" s="124"/>
      <c r="I2692" s="124"/>
      <c r="J2692" s="124"/>
      <c r="K2692" s="124"/>
      <c r="L2692" s="124"/>
      <c r="M2692" s="124"/>
      <c r="N2692" s="124"/>
      <c r="O2692" s="124"/>
      <c r="P2692" s="124"/>
      <c r="Q2692" s="124"/>
      <c r="R2692" s="124"/>
      <c r="S2692" s="124"/>
      <c r="T2692" s="124"/>
      <c r="U2692" s="124"/>
      <c r="V2692" s="124"/>
      <c r="W2692" s="124"/>
      <c r="X2692" s="124"/>
      <c r="Y2692" s="124"/>
      <c r="Z2692" s="124"/>
    </row>
    <row r="2693">
      <c r="A2693" s="124"/>
      <c r="B2693" s="124"/>
      <c r="C2693" s="147"/>
      <c r="D2693" s="124"/>
      <c r="E2693" s="124"/>
      <c r="F2693" s="124"/>
      <c r="G2693" s="124"/>
      <c r="H2693" s="124"/>
      <c r="I2693" s="124"/>
      <c r="J2693" s="124"/>
      <c r="K2693" s="124"/>
      <c r="L2693" s="124"/>
      <c r="M2693" s="124"/>
      <c r="N2693" s="124"/>
      <c r="O2693" s="124"/>
      <c r="P2693" s="124"/>
      <c r="Q2693" s="124"/>
      <c r="R2693" s="124"/>
      <c r="S2693" s="124"/>
      <c r="T2693" s="124"/>
      <c r="U2693" s="124"/>
      <c r="V2693" s="124"/>
      <c r="W2693" s="124"/>
      <c r="X2693" s="124"/>
      <c r="Y2693" s="124"/>
      <c r="Z2693" s="124"/>
    </row>
    <row r="2694">
      <c r="A2694" s="124"/>
      <c r="B2694" s="124"/>
      <c r="C2694" s="147"/>
      <c r="D2694" s="124"/>
      <c r="E2694" s="124"/>
      <c r="F2694" s="124"/>
      <c r="G2694" s="124"/>
      <c r="H2694" s="124"/>
      <c r="I2694" s="124"/>
      <c r="J2694" s="124"/>
      <c r="K2694" s="124"/>
      <c r="L2694" s="124"/>
      <c r="M2694" s="124"/>
      <c r="N2694" s="124"/>
      <c r="O2694" s="124"/>
      <c r="P2694" s="124"/>
      <c r="Q2694" s="124"/>
      <c r="R2694" s="124"/>
      <c r="S2694" s="124"/>
      <c r="T2694" s="124"/>
      <c r="U2694" s="124"/>
      <c r="V2694" s="124"/>
      <c r="W2694" s="124"/>
      <c r="X2694" s="124"/>
      <c r="Y2694" s="124"/>
      <c r="Z2694" s="124"/>
    </row>
    <row r="2695">
      <c r="A2695" s="124"/>
      <c r="B2695" s="124"/>
      <c r="C2695" s="147"/>
      <c r="D2695" s="124"/>
      <c r="E2695" s="124"/>
      <c r="F2695" s="124"/>
      <c r="G2695" s="124"/>
      <c r="H2695" s="124"/>
      <c r="I2695" s="124"/>
      <c r="J2695" s="124"/>
      <c r="K2695" s="124"/>
      <c r="L2695" s="124"/>
      <c r="M2695" s="124"/>
      <c r="N2695" s="124"/>
      <c r="O2695" s="124"/>
      <c r="P2695" s="124"/>
      <c r="Q2695" s="124"/>
      <c r="R2695" s="124"/>
      <c r="S2695" s="124"/>
      <c r="T2695" s="124"/>
      <c r="U2695" s="124"/>
      <c r="V2695" s="124"/>
      <c r="W2695" s="124"/>
      <c r="X2695" s="124"/>
      <c r="Y2695" s="124"/>
      <c r="Z2695" s="124"/>
    </row>
    <row r="2696">
      <c r="A2696" s="124"/>
      <c r="B2696" s="124"/>
      <c r="C2696" s="147"/>
      <c r="D2696" s="124"/>
      <c r="E2696" s="124"/>
      <c r="F2696" s="124"/>
      <c r="G2696" s="124"/>
      <c r="H2696" s="124"/>
      <c r="I2696" s="124"/>
      <c r="J2696" s="124"/>
      <c r="K2696" s="124"/>
      <c r="L2696" s="124"/>
      <c r="M2696" s="124"/>
      <c r="N2696" s="124"/>
      <c r="O2696" s="124"/>
      <c r="P2696" s="124"/>
      <c r="Q2696" s="124"/>
      <c r="R2696" s="124"/>
      <c r="S2696" s="124"/>
      <c r="T2696" s="124"/>
      <c r="U2696" s="124"/>
      <c r="V2696" s="124"/>
      <c r="W2696" s="124"/>
      <c r="X2696" s="124"/>
      <c r="Y2696" s="124"/>
      <c r="Z2696" s="124"/>
    </row>
    <row r="2697">
      <c r="A2697" s="124"/>
      <c r="B2697" s="124"/>
      <c r="C2697" s="147"/>
      <c r="D2697" s="124"/>
      <c r="E2697" s="124"/>
      <c r="F2697" s="124"/>
      <c r="G2697" s="124"/>
      <c r="H2697" s="124"/>
      <c r="I2697" s="124"/>
      <c r="J2697" s="124"/>
      <c r="K2697" s="124"/>
      <c r="L2697" s="124"/>
      <c r="M2697" s="124"/>
      <c r="N2697" s="124"/>
      <c r="O2697" s="124"/>
      <c r="P2697" s="124"/>
      <c r="Q2697" s="124"/>
      <c r="R2697" s="124"/>
      <c r="S2697" s="124"/>
      <c r="T2697" s="124"/>
      <c r="U2697" s="124"/>
      <c r="V2697" s="124"/>
      <c r="W2697" s="124"/>
      <c r="X2697" s="124"/>
      <c r="Y2697" s="124"/>
      <c r="Z2697" s="124"/>
    </row>
    <row r="2698">
      <c r="A2698" s="124"/>
      <c r="B2698" s="124"/>
      <c r="C2698" s="147"/>
      <c r="D2698" s="124"/>
      <c r="E2698" s="124"/>
      <c r="F2698" s="124"/>
      <c r="G2698" s="124"/>
      <c r="H2698" s="124"/>
      <c r="I2698" s="124"/>
      <c r="J2698" s="124"/>
      <c r="K2698" s="124"/>
      <c r="L2698" s="124"/>
      <c r="M2698" s="124"/>
      <c r="N2698" s="124"/>
      <c r="O2698" s="124"/>
      <c r="P2698" s="124"/>
      <c r="Q2698" s="124"/>
      <c r="R2698" s="124"/>
      <c r="S2698" s="124"/>
      <c r="T2698" s="124"/>
      <c r="U2698" s="124"/>
      <c r="V2698" s="124"/>
      <c r="W2698" s="124"/>
      <c r="X2698" s="124"/>
      <c r="Y2698" s="124"/>
      <c r="Z2698" s="124"/>
    </row>
    <row r="2699">
      <c r="A2699" s="124"/>
      <c r="B2699" s="124"/>
      <c r="C2699" s="147"/>
      <c r="D2699" s="124"/>
      <c r="E2699" s="124"/>
      <c r="F2699" s="124"/>
      <c r="G2699" s="124"/>
      <c r="H2699" s="124"/>
      <c r="I2699" s="124"/>
      <c r="J2699" s="124"/>
      <c r="K2699" s="124"/>
      <c r="L2699" s="124"/>
      <c r="M2699" s="124"/>
      <c r="N2699" s="124"/>
      <c r="O2699" s="124"/>
      <c r="P2699" s="124"/>
      <c r="Q2699" s="124"/>
      <c r="R2699" s="124"/>
      <c r="S2699" s="124"/>
      <c r="T2699" s="124"/>
      <c r="U2699" s="124"/>
      <c r="V2699" s="124"/>
      <c r="W2699" s="124"/>
      <c r="X2699" s="124"/>
      <c r="Y2699" s="124"/>
      <c r="Z2699" s="124"/>
    </row>
    <row r="2700">
      <c r="A2700" s="124"/>
      <c r="B2700" s="124"/>
      <c r="C2700" s="147"/>
      <c r="D2700" s="124"/>
      <c r="E2700" s="124"/>
      <c r="F2700" s="124"/>
      <c r="G2700" s="124"/>
      <c r="H2700" s="124"/>
      <c r="I2700" s="124"/>
      <c r="J2700" s="124"/>
      <c r="K2700" s="124"/>
      <c r="L2700" s="124"/>
      <c r="M2700" s="124"/>
      <c r="N2700" s="124"/>
      <c r="O2700" s="124"/>
      <c r="P2700" s="124"/>
      <c r="Q2700" s="124"/>
      <c r="R2700" s="124"/>
      <c r="S2700" s="124"/>
      <c r="T2700" s="124"/>
      <c r="U2700" s="124"/>
      <c r="V2700" s="124"/>
      <c r="W2700" s="124"/>
      <c r="X2700" s="124"/>
      <c r="Y2700" s="124"/>
      <c r="Z2700" s="124"/>
    </row>
    <row r="2701">
      <c r="A2701" s="124"/>
      <c r="B2701" s="124"/>
      <c r="C2701" s="147"/>
      <c r="D2701" s="124"/>
      <c r="E2701" s="124"/>
      <c r="F2701" s="124"/>
      <c r="G2701" s="124"/>
      <c r="H2701" s="124"/>
      <c r="I2701" s="124"/>
      <c r="J2701" s="124"/>
      <c r="K2701" s="124"/>
      <c r="L2701" s="124"/>
      <c r="M2701" s="124"/>
      <c r="N2701" s="124"/>
      <c r="O2701" s="124"/>
      <c r="P2701" s="124"/>
      <c r="Q2701" s="124"/>
      <c r="R2701" s="124"/>
      <c r="S2701" s="124"/>
      <c r="T2701" s="124"/>
      <c r="U2701" s="124"/>
      <c r="V2701" s="124"/>
      <c r="W2701" s="124"/>
      <c r="X2701" s="124"/>
      <c r="Y2701" s="124"/>
      <c r="Z2701" s="124"/>
    </row>
    <row r="2702">
      <c r="A2702" s="124"/>
      <c r="B2702" s="124"/>
      <c r="C2702" s="147"/>
      <c r="D2702" s="124"/>
      <c r="E2702" s="124"/>
      <c r="F2702" s="124"/>
      <c r="G2702" s="124"/>
      <c r="H2702" s="124"/>
      <c r="I2702" s="124"/>
      <c r="J2702" s="124"/>
      <c r="K2702" s="124"/>
      <c r="L2702" s="124"/>
      <c r="M2702" s="124"/>
      <c r="N2702" s="124"/>
      <c r="O2702" s="124"/>
      <c r="P2702" s="124"/>
      <c r="Q2702" s="124"/>
      <c r="R2702" s="124"/>
      <c r="S2702" s="124"/>
      <c r="T2702" s="124"/>
      <c r="U2702" s="124"/>
      <c r="V2702" s="124"/>
      <c r="W2702" s="124"/>
      <c r="X2702" s="124"/>
      <c r="Y2702" s="124"/>
      <c r="Z2702" s="124"/>
    </row>
    <row r="2703">
      <c r="A2703" s="124"/>
      <c r="B2703" s="124"/>
      <c r="C2703" s="147"/>
      <c r="D2703" s="124"/>
      <c r="E2703" s="124"/>
      <c r="F2703" s="124"/>
      <c r="G2703" s="124"/>
      <c r="H2703" s="124"/>
      <c r="I2703" s="124"/>
      <c r="J2703" s="124"/>
      <c r="K2703" s="124"/>
      <c r="L2703" s="124"/>
      <c r="M2703" s="124"/>
      <c r="N2703" s="124"/>
      <c r="O2703" s="124"/>
      <c r="P2703" s="124"/>
      <c r="Q2703" s="124"/>
      <c r="R2703" s="124"/>
      <c r="S2703" s="124"/>
      <c r="T2703" s="124"/>
      <c r="U2703" s="124"/>
      <c r="V2703" s="124"/>
      <c r="W2703" s="124"/>
      <c r="X2703" s="124"/>
      <c r="Y2703" s="124"/>
      <c r="Z2703" s="124"/>
    </row>
    <row r="2704">
      <c r="A2704" s="124"/>
      <c r="B2704" s="124"/>
      <c r="C2704" s="147"/>
      <c r="D2704" s="124"/>
      <c r="E2704" s="124"/>
      <c r="F2704" s="124"/>
      <c r="G2704" s="124"/>
      <c r="H2704" s="124"/>
      <c r="I2704" s="124"/>
      <c r="J2704" s="124"/>
      <c r="K2704" s="124"/>
      <c r="L2704" s="124"/>
      <c r="M2704" s="124"/>
      <c r="N2704" s="124"/>
      <c r="O2704" s="124"/>
      <c r="P2704" s="124"/>
      <c r="Q2704" s="124"/>
      <c r="R2704" s="124"/>
      <c r="S2704" s="124"/>
      <c r="T2704" s="124"/>
      <c r="U2704" s="124"/>
      <c r="V2704" s="124"/>
      <c r="W2704" s="124"/>
      <c r="X2704" s="124"/>
      <c r="Y2704" s="124"/>
      <c r="Z2704" s="124"/>
    </row>
    <row r="2705">
      <c r="A2705" s="124"/>
      <c r="B2705" s="124"/>
      <c r="C2705" s="147"/>
      <c r="D2705" s="124"/>
      <c r="E2705" s="124"/>
      <c r="F2705" s="124"/>
      <c r="G2705" s="124"/>
      <c r="H2705" s="124"/>
      <c r="I2705" s="124"/>
      <c r="J2705" s="124"/>
      <c r="K2705" s="124"/>
      <c r="L2705" s="124"/>
      <c r="M2705" s="124"/>
      <c r="N2705" s="124"/>
      <c r="O2705" s="124"/>
      <c r="P2705" s="124"/>
      <c r="Q2705" s="124"/>
      <c r="R2705" s="124"/>
      <c r="S2705" s="124"/>
      <c r="T2705" s="124"/>
      <c r="U2705" s="124"/>
      <c r="V2705" s="124"/>
      <c r="W2705" s="124"/>
      <c r="X2705" s="124"/>
      <c r="Y2705" s="124"/>
      <c r="Z2705" s="124"/>
    </row>
    <row r="2706">
      <c r="A2706" s="124"/>
      <c r="B2706" s="124"/>
      <c r="C2706" s="147"/>
      <c r="D2706" s="124"/>
      <c r="E2706" s="124"/>
      <c r="F2706" s="124"/>
      <c r="G2706" s="124"/>
      <c r="H2706" s="124"/>
      <c r="I2706" s="124"/>
      <c r="J2706" s="124"/>
      <c r="K2706" s="124"/>
      <c r="L2706" s="124"/>
      <c r="M2706" s="124"/>
      <c r="N2706" s="124"/>
      <c r="O2706" s="124"/>
      <c r="P2706" s="124"/>
      <c r="Q2706" s="124"/>
      <c r="R2706" s="124"/>
      <c r="S2706" s="124"/>
      <c r="T2706" s="124"/>
      <c r="U2706" s="124"/>
      <c r="V2706" s="124"/>
      <c r="W2706" s="124"/>
      <c r="X2706" s="124"/>
      <c r="Y2706" s="124"/>
      <c r="Z2706" s="124"/>
    </row>
    <row r="2707">
      <c r="A2707" s="124"/>
      <c r="B2707" s="124"/>
      <c r="C2707" s="147"/>
      <c r="D2707" s="124"/>
      <c r="E2707" s="124"/>
      <c r="F2707" s="124"/>
      <c r="G2707" s="124"/>
      <c r="H2707" s="124"/>
      <c r="I2707" s="124"/>
      <c r="J2707" s="124"/>
      <c r="K2707" s="124"/>
      <c r="L2707" s="124"/>
      <c r="M2707" s="124"/>
      <c r="N2707" s="124"/>
      <c r="O2707" s="124"/>
      <c r="P2707" s="124"/>
      <c r="Q2707" s="124"/>
      <c r="R2707" s="124"/>
      <c r="S2707" s="124"/>
      <c r="T2707" s="124"/>
      <c r="U2707" s="124"/>
      <c r="V2707" s="124"/>
      <c r="W2707" s="124"/>
      <c r="X2707" s="124"/>
      <c r="Y2707" s="124"/>
      <c r="Z2707" s="124"/>
    </row>
    <row r="2708">
      <c r="A2708" s="124"/>
      <c r="B2708" s="124"/>
      <c r="C2708" s="147"/>
      <c r="D2708" s="124"/>
      <c r="E2708" s="124"/>
      <c r="F2708" s="124"/>
      <c r="G2708" s="124"/>
      <c r="H2708" s="124"/>
      <c r="I2708" s="124"/>
      <c r="J2708" s="124"/>
      <c r="K2708" s="124"/>
      <c r="L2708" s="124"/>
      <c r="M2708" s="124"/>
      <c r="N2708" s="124"/>
      <c r="O2708" s="124"/>
      <c r="P2708" s="124"/>
      <c r="Q2708" s="124"/>
      <c r="R2708" s="124"/>
      <c r="S2708" s="124"/>
      <c r="T2708" s="124"/>
      <c r="U2708" s="124"/>
      <c r="V2708" s="124"/>
      <c r="W2708" s="124"/>
      <c r="X2708" s="124"/>
      <c r="Y2708" s="124"/>
      <c r="Z2708" s="124"/>
    </row>
    <row r="2709">
      <c r="A2709" s="124"/>
      <c r="B2709" s="124"/>
      <c r="C2709" s="147"/>
      <c r="D2709" s="124"/>
      <c r="E2709" s="124"/>
      <c r="F2709" s="124"/>
      <c r="G2709" s="124"/>
      <c r="H2709" s="124"/>
      <c r="I2709" s="124"/>
      <c r="J2709" s="124"/>
      <c r="K2709" s="124"/>
      <c r="L2709" s="124"/>
      <c r="M2709" s="124"/>
      <c r="N2709" s="124"/>
      <c r="O2709" s="124"/>
      <c r="P2709" s="124"/>
      <c r="Q2709" s="124"/>
      <c r="R2709" s="124"/>
      <c r="S2709" s="124"/>
      <c r="T2709" s="124"/>
      <c r="U2709" s="124"/>
      <c r="V2709" s="124"/>
      <c r="W2709" s="124"/>
      <c r="X2709" s="124"/>
      <c r="Y2709" s="124"/>
      <c r="Z2709" s="124"/>
    </row>
    <row r="2710">
      <c r="A2710" s="124"/>
      <c r="B2710" s="124"/>
      <c r="C2710" s="147"/>
      <c r="D2710" s="124"/>
      <c r="E2710" s="124"/>
      <c r="F2710" s="124"/>
      <c r="G2710" s="124"/>
      <c r="H2710" s="124"/>
      <c r="I2710" s="124"/>
      <c r="J2710" s="124"/>
      <c r="K2710" s="124"/>
      <c r="L2710" s="124"/>
      <c r="M2710" s="124"/>
      <c r="N2710" s="124"/>
      <c r="O2710" s="124"/>
      <c r="P2710" s="124"/>
      <c r="Q2710" s="124"/>
      <c r="R2710" s="124"/>
      <c r="S2710" s="124"/>
      <c r="T2710" s="124"/>
      <c r="U2710" s="124"/>
      <c r="V2710" s="124"/>
      <c r="W2710" s="124"/>
      <c r="X2710" s="124"/>
      <c r="Y2710" s="124"/>
      <c r="Z2710" s="124"/>
    </row>
    <row r="2711">
      <c r="A2711" s="124"/>
      <c r="B2711" s="124"/>
      <c r="C2711" s="147"/>
      <c r="D2711" s="124"/>
      <c r="E2711" s="124"/>
      <c r="F2711" s="124"/>
      <c r="G2711" s="124"/>
      <c r="H2711" s="124"/>
      <c r="I2711" s="124"/>
      <c r="J2711" s="124"/>
      <c r="K2711" s="124"/>
      <c r="L2711" s="124"/>
      <c r="M2711" s="124"/>
      <c r="N2711" s="124"/>
      <c r="O2711" s="124"/>
      <c r="P2711" s="124"/>
      <c r="Q2711" s="124"/>
      <c r="R2711" s="124"/>
      <c r="S2711" s="124"/>
      <c r="T2711" s="124"/>
      <c r="U2711" s="124"/>
      <c r="V2711" s="124"/>
      <c r="W2711" s="124"/>
      <c r="X2711" s="124"/>
      <c r="Y2711" s="124"/>
      <c r="Z2711" s="124"/>
    </row>
    <row r="2712">
      <c r="A2712" s="124"/>
      <c r="B2712" s="124"/>
      <c r="C2712" s="147"/>
      <c r="D2712" s="124"/>
      <c r="E2712" s="124"/>
      <c r="F2712" s="124"/>
      <c r="G2712" s="124"/>
      <c r="H2712" s="124"/>
      <c r="I2712" s="124"/>
      <c r="J2712" s="124"/>
      <c r="K2712" s="124"/>
      <c r="L2712" s="124"/>
      <c r="M2712" s="124"/>
      <c r="N2712" s="124"/>
      <c r="O2712" s="124"/>
      <c r="P2712" s="124"/>
      <c r="Q2712" s="124"/>
      <c r="R2712" s="124"/>
      <c r="S2712" s="124"/>
      <c r="T2712" s="124"/>
      <c r="U2712" s="124"/>
      <c r="V2712" s="124"/>
      <c r="W2712" s="124"/>
      <c r="X2712" s="124"/>
      <c r="Y2712" s="124"/>
      <c r="Z2712" s="124"/>
    </row>
    <row r="2713">
      <c r="A2713" s="124"/>
      <c r="B2713" s="124"/>
      <c r="C2713" s="147"/>
      <c r="D2713" s="124"/>
      <c r="E2713" s="124"/>
      <c r="F2713" s="124"/>
      <c r="G2713" s="124"/>
      <c r="H2713" s="124"/>
      <c r="I2713" s="124"/>
      <c r="J2713" s="124"/>
      <c r="K2713" s="124"/>
      <c r="L2713" s="124"/>
      <c r="M2713" s="124"/>
      <c r="N2713" s="124"/>
      <c r="O2713" s="124"/>
      <c r="P2713" s="124"/>
      <c r="Q2713" s="124"/>
      <c r="R2713" s="124"/>
      <c r="S2713" s="124"/>
      <c r="T2713" s="124"/>
      <c r="U2713" s="124"/>
      <c r="V2713" s="124"/>
      <c r="W2713" s="124"/>
      <c r="X2713" s="124"/>
      <c r="Y2713" s="124"/>
      <c r="Z2713" s="124"/>
    </row>
    <row r="2714">
      <c r="A2714" s="124"/>
      <c r="B2714" s="124"/>
      <c r="C2714" s="147"/>
      <c r="D2714" s="124"/>
      <c r="E2714" s="124"/>
      <c r="F2714" s="124"/>
      <c r="G2714" s="124"/>
      <c r="H2714" s="124"/>
      <c r="I2714" s="124"/>
      <c r="J2714" s="124"/>
      <c r="K2714" s="124"/>
      <c r="L2714" s="124"/>
      <c r="M2714" s="124"/>
      <c r="N2714" s="124"/>
      <c r="O2714" s="124"/>
      <c r="P2714" s="124"/>
      <c r="Q2714" s="124"/>
      <c r="R2714" s="124"/>
      <c r="S2714" s="124"/>
      <c r="T2714" s="124"/>
      <c r="U2714" s="124"/>
      <c r="V2714" s="124"/>
      <c r="W2714" s="124"/>
      <c r="X2714" s="124"/>
      <c r="Y2714" s="124"/>
      <c r="Z2714" s="124"/>
    </row>
    <row r="2715">
      <c r="A2715" s="124"/>
      <c r="B2715" s="124"/>
      <c r="C2715" s="147"/>
      <c r="D2715" s="124"/>
      <c r="E2715" s="124"/>
      <c r="F2715" s="124"/>
      <c r="G2715" s="124"/>
      <c r="H2715" s="124"/>
      <c r="I2715" s="124"/>
      <c r="J2715" s="124"/>
      <c r="K2715" s="124"/>
      <c r="L2715" s="124"/>
      <c r="M2715" s="124"/>
      <c r="N2715" s="124"/>
      <c r="O2715" s="124"/>
      <c r="P2715" s="124"/>
      <c r="Q2715" s="124"/>
      <c r="R2715" s="124"/>
      <c r="S2715" s="124"/>
      <c r="T2715" s="124"/>
      <c r="U2715" s="124"/>
      <c r="V2715" s="124"/>
      <c r="W2715" s="124"/>
      <c r="X2715" s="124"/>
      <c r="Y2715" s="124"/>
      <c r="Z2715" s="124"/>
    </row>
    <row r="2716">
      <c r="A2716" s="124"/>
      <c r="B2716" s="124"/>
      <c r="C2716" s="147"/>
      <c r="D2716" s="124"/>
      <c r="E2716" s="124"/>
      <c r="F2716" s="124"/>
      <c r="G2716" s="124"/>
      <c r="H2716" s="124"/>
      <c r="I2716" s="124"/>
      <c r="J2716" s="124"/>
      <c r="K2716" s="124"/>
      <c r="L2716" s="124"/>
      <c r="M2716" s="124"/>
      <c r="N2716" s="124"/>
      <c r="O2716" s="124"/>
      <c r="P2716" s="124"/>
      <c r="Q2716" s="124"/>
      <c r="R2716" s="124"/>
      <c r="S2716" s="124"/>
      <c r="T2716" s="124"/>
      <c r="U2716" s="124"/>
      <c r="V2716" s="124"/>
      <c r="W2716" s="124"/>
      <c r="X2716" s="124"/>
      <c r="Y2716" s="124"/>
      <c r="Z2716" s="124"/>
    </row>
    <row r="2717">
      <c r="A2717" s="124"/>
      <c r="B2717" s="124"/>
      <c r="C2717" s="147"/>
      <c r="D2717" s="124"/>
      <c r="E2717" s="124"/>
      <c r="F2717" s="124"/>
      <c r="G2717" s="124"/>
      <c r="H2717" s="124"/>
      <c r="I2717" s="124"/>
      <c r="J2717" s="124"/>
      <c r="K2717" s="124"/>
      <c r="L2717" s="124"/>
      <c r="M2717" s="124"/>
      <c r="N2717" s="124"/>
      <c r="O2717" s="124"/>
      <c r="P2717" s="124"/>
      <c r="Q2717" s="124"/>
      <c r="R2717" s="124"/>
      <c r="S2717" s="124"/>
      <c r="T2717" s="124"/>
      <c r="U2717" s="124"/>
      <c r="V2717" s="124"/>
      <c r="W2717" s="124"/>
      <c r="X2717" s="124"/>
      <c r="Y2717" s="124"/>
      <c r="Z2717" s="124"/>
    </row>
    <row r="2718">
      <c r="A2718" s="124"/>
      <c r="B2718" s="124"/>
      <c r="C2718" s="147"/>
      <c r="D2718" s="124"/>
      <c r="E2718" s="124"/>
      <c r="F2718" s="124"/>
      <c r="G2718" s="124"/>
      <c r="H2718" s="124"/>
      <c r="I2718" s="124"/>
      <c r="J2718" s="124"/>
      <c r="K2718" s="124"/>
      <c r="L2718" s="124"/>
      <c r="M2718" s="124"/>
      <c r="N2718" s="124"/>
      <c r="O2718" s="124"/>
      <c r="P2718" s="124"/>
      <c r="Q2718" s="124"/>
      <c r="R2718" s="124"/>
      <c r="S2718" s="124"/>
      <c r="T2718" s="124"/>
      <c r="U2718" s="124"/>
      <c r="V2718" s="124"/>
      <c r="W2718" s="124"/>
      <c r="X2718" s="124"/>
      <c r="Y2718" s="124"/>
      <c r="Z2718" s="124"/>
    </row>
    <row r="2719">
      <c r="A2719" s="124"/>
      <c r="B2719" s="124"/>
      <c r="C2719" s="147"/>
      <c r="D2719" s="124"/>
      <c r="E2719" s="124"/>
      <c r="F2719" s="124"/>
      <c r="G2719" s="124"/>
      <c r="H2719" s="124"/>
      <c r="I2719" s="124"/>
      <c r="J2719" s="124"/>
      <c r="K2719" s="124"/>
      <c r="L2719" s="124"/>
      <c r="M2719" s="124"/>
      <c r="N2719" s="124"/>
      <c r="O2719" s="124"/>
      <c r="P2719" s="124"/>
      <c r="Q2719" s="124"/>
      <c r="R2719" s="124"/>
      <c r="S2719" s="124"/>
      <c r="T2719" s="124"/>
      <c r="U2719" s="124"/>
      <c r="V2719" s="124"/>
      <c r="W2719" s="124"/>
      <c r="X2719" s="124"/>
      <c r="Y2719" s="124"/>
      <c r="Z2719" s="124"/>
    </row>
    <row r="2720">
      <c r="A2720" s="124"/>
      <c r="B2720" s="124"/>
      <c r="C2720" s="147"/>
      <c r="D2720" s="124"/>
      <c r="E2720" s="124"/>
      <c r="F2720" s="124"/>
      <c r="G2720" s="124"/>
      <c r="H2720" s="124"/>
      <c r="I2720" s="124"/>
      <c r="J2720" s="124"/>
      <c r="K2720" s="124"/>
      <c r="L2720" s="124"/>
      <c r="M2720" s="124"/>
      <c r="N2720" s="124"/>
      <c r="O2720" s="124"/>
      <c r="P2720" s="124"/>
      <c r="Q2720" s="124"/>
      <c r="R2720" s="124"/>
      <c r="S2720" s="124"/>
      <c r="T2720" s="124"/>
      <c r="U2720" s="124"/>
      <c r="V2720" s="124"/>
      <c r="W2720" s="124"/>
      <c r="X2720" s="124"/>
      <c r="Y2720" s="124"/>
      <c r="Z2720" s="124"/>
    </row>
    <row r="2721">
      <c r="A2721" s="124"/>
      <c r="B2721" s="124"/>
      <c r="C2721" s="147"/>
      <c r="D2721" s="124"/>
      <c r="E2721" s="124"/>
      <c r="F2721" s="124"/>
      <c r="G2721" s="124"/>
      <c r="H2721" s="124"/>
      <c r="I2721" s="124"/>
      <c r="J2721" s="124"/>
      <c r="K2721" s="124"/>
      <c r="L2721" s="124"/>
      <c r="M2721" s="124"/>
      <c r="N2721" s="124"/>
      <c r="O2721" s="124"/>
      <c r="P2721" s="124"/>
      <c r="Q2721" s="124"/>
      <c r="R2721" s="124"/>
      <c r="S2721" s="124"/>
      <c r="T2721" s="124"/>
      <c r="U2721" s="124"/>
      <c r="V2721" s="124"/>
      <c r="W2721" s="124"/>
      <c r="X2721" s="124"/>
      <c r="Y2721" s="124"/>
      <c r="Z2721" s="124"/>
    </row>
    <row r="2722">
      <c r="A2722" s="124"/>
      <c r="B2722" s="124"/>
      <c r="C2722" s="147"/>
      <c r="D2722" s="124"/>
      <c r="E2722" s="124"/>
      <c r="F2722" s="124"/>
      <c r="G2722" s="124"/>
      <c r="H2722" s="124"/>
      <c r="I2722" s="124"/>
      <c r="J2722" s="124"/>
      <c r="K2722" s="124"/>
      <c r="L2722" s="124"/>
      <c r="M2722" s="124"/>
      <c r="N2722" s="124"/>
      <c r="O2722" s="124"/>
      <c r="P2722" s="124"/>
      <c r="Q2722" s="124"/>
      <c r="R2722" s="124"/>
      <c r="S2722" s="124"/>
      <c r="T2722" s="124"/>
      <c r="U2722" s="124"/>
      <c r="V2722" s="124"/>
      <c r="W2722" s="124"/>
      <c r="X2722" s="124"/>
      <c r="Y2722" s="124"/>
      <c r="Z2722" s="124"/>
    </row>
    <row r="2723">
      <c r="A2723" s="124"/>
      <c r="B2723" s="124"/>
      <c r="C2723" s="147"/>
      <c r="D2723" s="124"/>
      <c r="E2723" s="124"/>
      <c r="F2723" s="124"/>
      <c r="G2723" s="124"/>
      <c r="H2723" s="124"/>
      <c r="I2723" s="124"/>
      <c r="J2723" s="124"/>
      <c r="K2723" s="124"/>
      <c r="L2723" s="124"/>
      <c r="M2723" s="124"/>
      <c r="N2723" s="124"/>
      <c r="O2723" s="124"/>
      <c r="P2723" s="124"/>
      <c r="Q2723" s="124"/>
      <c r="R2723" s="124"/>
      <c r="S2723" s="124"/>
      <c r="T2723" s="124"/>
      <c r="U2723" s="124"/>
      <c r="V2723" s="124"/>
      <c r="W2723" s="124"/>
      <c r="X2723" s="124"/>
      <c r="Y2723" s="124"/>
      <c r="Z2723" s="124"/>
    </row>
    <row r="2724">
      <c r="A2724" s="124"/>
      <c r="B2724" s="124"/>
      <c r="C2724" s="147"/>
      <c r="D2724" s="124"/>
      <c r="E2724" s="124"/>
      <c r="F2724" s="124"/>
      <c r="G2724" s="124"/>
      <c r="H2724" s="124"/>
      <c r="I2724" s="124"/>
      <c r="J2724" s="124"/>
      <c r="K2724" s="124"/>
      <c r="L2724" s="124"/>
      <c r="M2724" s="124"/>
      <c r="N2724" s="124"/>
      <c r="O2724" s="124"/>
      <c r="P2724" s="124"/>
      <c r="Q2724" s="124"/>
      <c r="R2724" s="124"/>
      <c r="S2724" s="124"/>
      <c r="T2724" s="124"/>
      <c r="U2724" s="124"/>
      <c r="V2724" s="124"/>
      <c r="W2724" s="124"/>
      <c r="X2724" s="124"/>
      <c r="Y2724" s="124"/>
      <c r="Z2724" s="124"/>
    </row>
    <row r="2725">
      <c r="A2725" s="124"/>
      <c r="B2725" s="124"/>
      <c r="C2725" s="147"/>
      <c r="D2725" s="124"/>
      <c r="E2725" s="124"/>
      <c r="F2725" s="124"/>
      <c r="G2725" s="124"/>
      <c r="H2725" s="124"/>
      <c r="I2725" s="124"/>
      <c r="J2725" s="124"/>
      <c r="K2725" s="124"/>
      <c r="L2725" s="124"/>
      <c r="M2725" s="124"/>
      <c r="N2725" s="124"/>
      <c r="O2725" s="124"/>
      <c r="P2725" s="124"/>
      <c r="Q2725" s="124"/>
      <c r="R2725" s="124"/>
      <c r="S2725" s="124"/>
      <c r="T2725" s="124"/>
      <c r="U2725" s="124"/>
      <c r="V2725" s="124"/>
      <c r="W2725" s="124"/>
      <c r="X2725" s="124"/>
      <c r="Y2725" s="124"/>
      <c r="Z2725" s="124"/>
    </row>
    <row r="2726">
      <c r="A2726" s="124"/>
      <c r="B2726" s="124"/>
      <c r="C2726" s="147"/>
      <c r="D2726" s="124"/>
      <c r="E2726" s="124"/>
      <c r="F2726" s="124"/>
      <c r="G2726" s="124"/>
      <c r="H2726" s="124"/>
      <c r="I2726" s="124"/>
      <c r="J2726" s="124"/>
      <c r="K2726" s="124"/>
      <c r="L2726" s="124"/>
      <c r="M2726" s="124"/>
      <c r="N2726" s="124"/>
      <c r="O2726" s="124"/>
      <c r="P2726" s="124"/>
      <c r="Q2726" s="124"/>
      <c r="R2726" s="124"/>
      <c r="S2726" s="124"/>
      <c r="T2726" s="124"/>
      <c r="U2726" s="124"/>
      <c r="V2726" s="124"/>
      <c r="W2726" s="124"/>
      <c r="X2726" s="124"/>
      <c r="Y2726" s="124"/>
      <c r="Z2726" s="124"/>
    </row>
    <row r="2727">
      <c r="A2727" s="124"/>
      <c r="B2727" s="124"/>
      <c r="C2727" s="147"/>
      <c r="D2727" s="124"/>
      <c r="E2727" s="124"/>
      <c r="F2727" s="124"/>
      <c r="G2727" s="124"/>
      <c r="H2727" s="124"/>
      <c r="I2727" s="124"/>
      <c r="J2727" s="124"/>
      <c r="K2727" s="124"/>
      <c r="L2727" s="124"/>
      <c r="M2727" s="124"/>
      <c r="N2727" s="124"/>
      <c r="O2727" s="124"/>
      <c r="P2727" s="124"/>
      <c r="Q2727" s="124"/>
      <c r="R2727" s="124"/>
      <c r="S2727" s="124"/>
      <c r="T2727" s="124"/>
      <c r="U2727" s="124"/>
      <c r="V2727" s="124"/>
      <c r="W2727" s="124"/>
      <c r="X2727" s="124"/>
      <c r="Y2727" s="124"/>
      <c r="Z2727" s="124"/>
    </row>
    <row r="2728">
      <c r="A2728" s="124"/>
      <c r="B2728" s="124"/>
      <c r="C2728" s="147"/>
      <c r="D2728" s="124"/>
      <c r="E2728" s="124"/>
      <c r="F2728" s="124"/>
      <c r="G2728" s="124"/>
      <c r="H2728" s="124"/>
      <c r="I2728" s="124"/>
      <c r="J2728" s="124"/>
      <c r="K2728" s="124"/>
      <c r="L2728" s="124"/>
      <c r="M2728" s="124"/>
      <c r="N2728" s="124"/>
      <c r="O2728" s="124"/>
      <c r="P2728" s="124"/>
      <c r="Q2728" s="124"/>
      <c r="R2728" s="124"/>
      <c r="S2728" s="124"/>
      <c r="T2728" s="124"/>
      <c r="U2728" s="124"/>
      <c r="V2728" s="124"/>
      <c r="W2728" s="124"/>
      <c r="X2728" s="124"/>
      <c r="Y2728" s="124"/>
      <c r="Z2728" s="124"/>
    </row>
    <row r="2729">
      <c r="A2729" s="124"/>
      <c r="B2729" s="124"/>
      <c r="C2729" s="147"/>
      <c r="D2729" s="124"/>
      <c r="E2729" s="124"/>
      <c r="F2729" s="124"/>
      <c r="G2729" s="124"/>
      <c r="H2729" s="124"/>
      <c r="I2729" s="124"/>
      <c r="J2729" s="124"/>
      <c r="K2729" s="124"/>
      <c r="L2729" s="124"/>
      <c r="M2729" s="124"/>
      <c r="N2729" s="124"/>
      <c r="O2729" s="124"/>
      <c r="P2729" s="124"/>
      <c r="Q2729" s="124"/>
      <c r="R2729" s="124"/>
      <c r="S2729" s="124"/>
      <c r="T2729" s="124"/>
      <c r="U2729" s="124"/>
      <c r="V2729" s="124"/>
      <c r="W2729" s="124"/>
      <c r="X2729" s="124"/>
      <c r="Y2729" s="124"/>
      <c r="Z2729" s="124"/>
    </row>
    <row r="2730">
      <c r="A2730" s="124"/>
      <c r="B2730" s="124"/>
      <c r="C2730" s="147"/>
      <c r="D2730" s="124"/>
      <c r="E2730" s="124"/>
      <c r="F2730" s="124"/>
      <c r="G2730" s="124"/>
      <c r="H2730" s="124"/>
      <c r="I2730" s="124"/>
      <c r="J2730" s="124"/>
      <c r="K2730" s="124"/>
      <c r="L2730" s="124"/>
      <c r="M2730" s="124"/>
      <c r="N2730" s="124"/>
      <c r="O2730" s="124"/>
      <c r="P2730" s="124"/>
      <c r="Q2730" s="124"/>
      <c r="R2730" s="124"/>
      <c r="S2730" s="124"/>
      <c r="T2730" s="124"/>
      <c r="U2730" s="124"/>
      <c r="V2730" s="124"/>
      <c r="W2730" s="124"/>
      <c r="X2730" s="124"/>
      <c r="Y2730" s="124"/>
      <c r="Z2730" s="124"/>
    </row>
    <row r="2731">
      <c r="A2731" s="124"/>
      <c r="B2731" s="124"/>
      <c r="C2731" s="147"/>
      <c r="D2731" s="124"/>
      <c r="E2731" s="124"/>
      <c r="F2731" s="124"/>
      <c r="G2731" s="124"/>
      <c r="H2731" s="124"/>
      <c r="I2731" s="124"/>
      <c r="J2731" s="124"/>
      <c r="K2731" s="124"/>
      <c r="L2731" s="124"/>
      <c r="M2731" s="124"/>
      <c r="N2731" s="124"/>
      <c r="O2731" s="124"/>
      <c r="P2731" s="124"/>
      <c r="Q2731" s="124"/>
      <c r="R2731" s="124"/>
      <c r="S2731" s="124"/>
      <c r="T2731" s="124"/>
      <c r="U2731" s="124"/>
      <c r="V2731" s="124"/>
      <c r="W2731" s="124"/>
      <c r="X2731" s="124"/>
      <c r="Y2731" s="124"/>
      <c r="Z2731" s="124"/>
    </row>
    <row r="2732">
      <c r="A2732" s="124"/>
      <c r="B2732" s="124"/>
      <c r="C2732" s="147"/>
      <c r="D2732" s="124"/>
      <c r="E2732" s="124"/>
      <c r="F2732" s="124"/>
      <c r="G2732" s="124"/>
      <c r="H2732" s="124"/>
      <c r="I2732" s="124"/>
      <c r="J2732" s="124"/>
      <c r="K2732" s="124"/>
      <c r="L2732" s="124"/>
      <c r="M2732" s="124"/>
      <c r="N2732" s="124"/>
      <c r="O2732" s="124"/>
      <c r="P2732" s="124"/>
      <c r="Q2732" s="124"/>
      <c r="R2732" s="124"/>
      <c r="S2732" s="124"/>
      <c r="T2732" s="124"/>
      <c r="U2732" s="124"/>
      <c r="V2732" s="124"/>
      <c r="W2732" s="124"/>
      <c r="X2732" s="124"/>
      <c r="Y2732" s="124"/>
      <c r="Z2732" s="124"/>
    </row>
    <row r="2733">
      <c r="A2733" s="124"/>
      <c r="B2733" s="124"/>
      <c r="C2733" s="147"/>
      <c r="D2733" s="124"/>
      <c r="E2733" s="124"/>
      <c r="F2733" s="124"/>
      <c r="G2733" s="124"/>
      <c r="H2733" s="124"/>
      <c r="I2733" s="124"/>
      <c r="J2733" s="124"/>
      <c r="K2733" s="124"/>
      <c r="L2733" s="124"/>
      <c r="M2733" s="124"/>
      <c r="N2733" s="124"/>
      <c r="O2733" s="124"/>
      <c r="P2733" s="124"/>
      <c r="Q2733" s="124"/>
      <c r="R2733" s="124"/>
      <c r="S2733" s="124"/>
      <c r="T2733" s="124"/>
      <c r="U2733" s="124"/>
      <c r="V2733" s="124"/>
      <c r="W2733" s="124"/>
      <c r="X2733" s="124"/>
      <c r="Y2733" s="124"/>
      <c r="Z2733" s="124"/>
    </row>
    <row r="2734">
      <c r="A2734" s="124"/>
      <c r="B2734" s="124"/>
      <c r="C2734" s="147"/>
      <c r="D2734" s="124"/>
      <c r="E2734" s="124"/>
      <c r="F2734" s="124"/>
      <c r="G2734" s="124"/>
      <c r="H2734" s="124"/>
      <c r="I2734" s="124"/>
      <c r="J2734" s="124"/>
      <c r="K2734" s="124"/>
      <c r="L2734" s="124"/>
      <c r="M2734" s="124"/>
      <c r="N2734" s="124"/>
      <c r="O2734" s="124"/>
      <c r="P2734" s="124"/>
      <c r="Q2734" s="124"/>
      <c r="R2734" s="124"/>
      <c r="S2734" s="124"/>
      <c r="T2734" s="124"/>
      <c r="U2734" s="124"/>
      <c r="V2734" s="124"/>
      <c r="W2734" s="124"/>
      <c r="X2734" s="124"/>
      <c r="Y2734" s="124"/>
      <c r="Z2734" s="124"/>
    </row>
    <row r="2735">
      <c r="A2735" s="124"/>
      <c r="B2735" s="124"/>
      <c r="C2735" s="147"/>
      <c r="D2735" s="124"/>
      <c r="E2735" s="124"/>
      <c r="F2735" s="124"/>
      <c r="G2735" s="124"/>
      <c r="H2735" s="124"/>
      <c r="I2735" s="124"/>
      <c r="J2735" s="124"/>
      <c r="K2735" s="124"/>
      <c r="L2735" s="124"/>
      <c r="M2735" s="124"/>
      <c r="N2735" s="124"/>
      <c r="O2735" s="124"/>
      <c r="P2735" s="124"/>
      <c r="Q2735" s="124"/>
      <c r="R2735" s="124"/>
      <c r="S2735" s="124"/>
      <c r="T2735" s="124"/>
      <c r="U2735" s="124"/>
      <c r="V2735" s="124"/>
      <c r="W2735" s="124"/>
      <c r="X2735" s="124"/>
      <c r="Y2735" s="124"/>
      <c r="Z2735" s="124"/>
    </row>
    <row r="2736">
      <c r="A2736" s="124"/>
      <c r="B2736" s="124"/>
      <c r="C2736" s="147"/>
      <c r="D2736" s="124"/>
      <c r="E2736" s="124"/>
      <c r="F2736" s="124"/>
      <c r="G2736" s="124"/>
      <c r="H2736" s="124"/>
      <c r="I2736" s="124"/>
      <c r="J2736" s="124"/>
      <c r="K2736" s="124"/>
      <c r="L2736" s="124"/>
      <c r="M2736" s="124"/>
      <c r="N2736" s="124"/>
      <c r="O2736" s="124"/>
      <c r="P2736" s="124"/>
      <c r="Q2736" s="124"/>
      <c r="R2736" s="124"/>
      <c r="S2736" s="124"/>
      <c r="T2736" s="124"/>
      <c r="U2736" s="124"/>
      <c r="V2736" s="124"/>
      <c r="W2736" s="124"/>
      <c r="X2736" s="124"/>
      <c r="Y2736" s="124"/>
      <c r="Z2736" s="124"/>
    </row>
    <row r="2737">
      <c r="A2737" s="124"/>
      <c r="B2737" s="124"/>
      <c r="C2737" s="147"/>
      <c r="D2737" s="124"/>
      <c r="E2737" s="124"/>
      <c r="F2737" s="124"/>
      <c r="G2737" s="124"/>
      <c r="H2737" s="124"/>
      <c r="I2737" s="124"/>
      <c r="J2737" s="124"/>
      <c r="K2737" s="124"/>
      <c r="L2737" s="124"/>
      <c r="M2737" s="124"/>
      <c r="N2737" s="124"/>
      <c r="O2737" s="124"/>
      <c r="P2737" s="124"/>
      <c r="Q2737" s="124"/>
      <c r="R2737" s="124"/>
      <c r="S2737" s="124"/>
      <c r="T2737" s="124"/>
      <c r="U2737" s="124"/>
      <c r="V2737" s="124"/>
      <c r="W2737" s="124"/>
      <c r="X2737" s="124"/>
      <c r="Y2737" s="124"/>
      <c r="Z2737" s="124"/>
    </row>
    <row r="2738">
      <c r="A2738" s="124"/>
      <c r="B2738" s="124"/>
      <c r="C2738" s="147"/>
      <c r="D2738" s="124"/>
      <c r="E2738" s="124"/>
      <c r="F2738" s="124"/>
      <c r="G2738" s="124"/>
      <c r="H2738" s="124"/>
      <c r="I2738" s="124"/>
      <c r="J2738" s="124"/>
      <c r="K2738" s="124"/>
      <c r="L2738" s="124"/>
      <c r="M2738" s="124"/>
      <c r="N2738" s="124"/>
      <c r="O2738" s="124"/>
      <c r="P2738" s="124"/>
      <c r="Q2738" s="124"/>
      <c r="R2738" s="124"/>
      <c r="S2738" s="124"/>
      <c r="T2738" s="124"/>
      <c r="U2738" s="124"/>
      <c r="V2738" s="124"/>
      <c r="W2738" s="124"/>
      <c r="X2738" s="124"/>
      <c r="Y2738" s="124"/>
      <c r="Z2738" s="124"/>
    </row>
    <row r="2739">
      <c r="A2739" s="124"/>
      <c r="B2739" s="124"/>
      <c r="C2739" s="147"/>
      <c r="D2739" s="124"/>
      <c r="E2739" s="124"/>
      <c r="F2739" s="124"/>
      <c r="G2739" s="124"/>
      <c r="H2739" s="124"/>
      <c r="I2739" s="124"/>
      <c r="J2739" s="124"/>
      <c r="K2739" s="124"/>
      <c r="L2739" s="124"/>
      <c r="M2739" s="124"/>
      <c r="N2739" s="124"/>
      <c r="O2739" s="124"/>
      <c r="P2739" s="124"/>
      <c r="Q2739" s="124"/>
      <c r="R2739" s="124"/>
      <c r="S2739" s="124"/>
      <c r="T2739" s="124"/>
      <c r="U2739" s="124"/>
      <c r="V2739" s="124"/>
      <c r="W2739" s="124"/>
      <c r="X2739" s="124"/>
      <c r="Y2739" s="124"/>
      <c r="Z2739" s="124"/>
    </row>
    <row r="2740">
      <c r="A2740" s="124"/>
      <c r="B2740" s="124"/>
      <c r="C2740" s="147"/>
      <c r="D2740" s="124"/>
      <c r="E2740" s="124"/>
      <c r="F2740" s="124"/>
      <c r="G2740" s="124"/>
      <c r="H2740" s="124"/>
      <c r="I2740" s="124"/>
      <c r="J2740" s="124"/>
      <c r="K2740" s="124"/>
      <c r="L2740" s="124"/>
      <c r="M2740" s="124"/>
      <c r="N2740" s="124"/>
      <c r="O2740" s="124"/>
      <c r="P2740" s="124"/>
      <c r="Q2740" s="124"/>
      <c r="R2740" s="124"/>
      <c r="S2740" s="124"/>
      <c r="T2740" s="124"/>
      <c r="U2740" s="124"/>
      <c r="V2740" s="124"/>
      <c r="W2740" s="124"/>
      <c r="X2740" s="124"/>
      <c r="Y2740" s="124"/>
      <c r="Z2740" s="124"/>
    </row>
    <row r="2741">
      <c r="A2741" s="124"/>
      <c r="B2741" s="124"/>
      <c r="C2741" s="147"/>
      <c r="D2741" s="124"/>
      <c r="E2741" s="124"/>
      <c r="F2741" s="124"/>
      <c r="G2741" s="124"/>
      <c r="H2741" s="124"/>
      <c r="I2741" s="124"/>
      <c r="J2741" s="124"/>
      <c r="K2741" s="124"/>
      <c r="L2741" s="124"/>
      <c r="M2741" s="124"/>
      <c r="N2741" s="124"/>
      <c r="O2741" s="124"/>
      <c r="P2741" s="124"/>
      <c r="Q2741" s="124"/>
      <c r="R2741" s="124"/>
      <c r="S2741" s="124"/>
      <c r="T2741" s="124"/>
      <c r="U2741" s="124"/>
      <c r="V2741" s="124"/>
      <c r="W2741" s="124"/>
      <c r="X2741" s="124"/>
      <c r="Y2741" s="124"/>
      <c r="Z2741" s="124"/>
    </row>
    <row r="2742">
      <c r="A2742" s="124"/>
      <c r="B2742" s="124"/>
      <c r="C2742" s="147"/>
      <c r="D2742" s="124"/>
      <c r="E2742" s="124"/>
      <c r="F2742" s="124"/>
      <c r="G2742" s="124"/>
      <c r="H2742" s="124"/>
      <c r="I2742" s="124"/>
      <c r="J2742" s="124"/>
      <c r="K2742" s="124"/>
      <c r="L2742" s="124"/>
      <c r="M2742" s="124"/>
      <c r="N2742" s="124"/>
      <c r="O2742" s="124"/>
      <c r="P2742" s="124"/>
      <c r="Q2742" s="124"/>
      <c r="R2742" s="124"/>
      <c r="S2742" s="124"/>
      <c r="T2742" s="124"/>
      <c r="U2742" s="124"/>
      <c r="V2742" s="124"/>
      <c r="W2742" s="124"/>
      <c r="X2742" s="124"/>
      <c r="Y2742" s="124"/>
      <c r="Z2742" s="124"/>
    </row>
    <row r="2743">
      <c r="A2743" s="124"/>
      <c r="B2743" s="124"/>
      <c r="C2743" s="147"/>
      <c r="D2743" s="124"/>
      <c r="E2743" s="124"/>
      <c r="F2743" s="124"/>
      <c r="G2743" s="124"/>
      <c r="H2743" s="124"/>
      <c r="I2743" s="124"/>
      <c r="J2743" s="124"/>
      <c r="K2743" s="124"/>
      <c r="L2743" s="124"/>
      <c r="M2743" s="124"/>
      <c r="N2743" s="124"/>
      <c r="O2743" s="124"/>
      <c r="P2743" s="124"/>
      <c r="Q2743" s="124"/>
      <c r="R2743" s="124"/>
      <c r="S2743" s="124"/>
      <c r="T2743" s="124"/>
      <c r="U2743" s="124"/>
      <c r="V2743" s="124"/>
      <c r="W2743" s="124"/>
      <c r="X2743" s="124"/>
      <c r="Y2743" s="124"/>
      <c r="Z2743" s="124"/>
    </row>
    <row r="2744">
      <c r="A2744" s="124"/>
      <c r="B2744" s="124"/>
      <c r="C2744" s="147"/>
      <c r="D2744" s="124"/>
      <c r="E2744" s="124"/>
      <c r="F2744" s="124"/>
      <c r="G2744" s="124"/>
      <c r="H2744" s="124"/>
      <c r="I2744" s="124"/>
      <c r="J2744" s="124"/>
      <c r="K2744" s="124"/>
      <c r="L2744" s="124"/>
      <c r="M2744" s="124"/>
      <c r="N2744" s="124"/>
      <c r="O2744" s="124"/>
      <c r="P2744" s="124"/>
      <c r="Q2744" s="124"/>
      <c r="R2744" s="124"/>
      <c r="S2744" s="124"/>
      <c r="T2744" s="124"/>
      <c r="U2744" s="124"/>
      <c r="V2744" s="124"/>
      <c r="W2744" s="124"/>
      <c r="X2744" s="124"/>
      <c r="Y2744" s="124"/>
      <c r="Z2744" s="124"/>
    </row>
    <row r="2745">
      <c r="A2745" s="124"/>
      <c r="B2745" s="124"/>
      <c r="C2745" s="147"/>
      <c r="D2745" s="124"/>
      <c r="E2745" s="124"/>
      <c r="F2745" s="124"/>
      <c r="G2745" s="124"/>
      <c r="H2745" s="124"/>
      <c r="I2745" s="124"/>
      <c r="J2745" s="124"/>
      <c r="K2745" s="124"/>
      <c r="L2745" s="124"/>
      <c r="M2745" s="124"/>
      <c r="N2745" s="124"/>
      <c r="O2745" s="124"/>
      <c r="P2745" s="124"/>
      <c r="Q2745" s="124"/>
      <c r="R2745" s="124"/>
      <c r="S2745" s="124"/>
      <c r="T2745" s="124"/>
      <c r="U2745" s="124"/>
      <c r="V2745" s="124"/>
      <c r="W2745" s="124"/>
      <c r="X2745" s="124"/>
      <c r="Y2745" s="124"/>
      <c r="Z2745" s="124"/>
    </row>
    <row r="2746">
      <c r="A2746" s="124"/>
      <c r="B2746" s="124"/>
      <c r="C2746" s="147"/>
      <c r="D2746" s="124"/>
      <c r="E2746" s="124"/>
      <c r="F2746" s="124"/>
      <c r="G2746" s="124"/>
      <c r="H2746" s="124"/>
      <c r="I2746" s="124"/>
      <c r="J2746" s="124"/>
      <c r="K2746" s="124"/>
      <c r="L2746" s="124"/>
      <c r="M2746" s="124"/>
      <c r="N2746" s="124"/>
      <c r="O2746" s="124"/>
      <c r="P2746" s="124"/>
      <c r="Q2746" s="124"/>
      <c r="R2746" s="124"/>
      <c r="S2746" s="124"/>
      <c r="T2746" s="124"/>
      <c r="U2746" s="124"/>
      <c r="V2746" s="124"/>
      <c r="W2746" s="124"/>
      <c r="X2746" s="124"/>
      <c r="Y2746" s="124"/>
      <c r="Z2746" s="124"/>
    </row>
    <row r="2747">
      <c r="A2747" s="124"/>
      <c r="B2747" s="124"/>
      <c r="C2747" s="147"/>
      <c r="D2747" s="124"/>
      <c r="E2747" s="124"/>
      <c r="F2747" s="124"/>
      <c r="G2747" s="124"/>
      <c r="H2747" s="124"/>
      <c r="I2747" s="124"/>
      <c r="J2747" s="124"/>
      <c r="K2747" s="124"/>
      <c r="L2747" s="124"/>
      <c r="M2747" s="124"/>
      <c r="N2747" s="124"/>
      <c r="O2747" s="124"/>
      <c r="P2747" s="124"/>
      <c r="Q2747" s="124"/>
      <c r="R2747" s="124"/>
      <c r="S2747" s="124"/>
      <c r="T2747" s="124"/>
      <c r="U2747" s="124"/>
      <c r="V2747" s="124"/>
      <c r="W2747" s="124"/>
      <c r="X2747" s="124"/>
      <c r="Y2747" s="124"/>
      <c r="Z2747" s="124"/>
    </row>
    <row r="2748">
      <c r="A2748" s="124"/>
      <c r="B2748" s="124"/>
      <c r="C2748" s="147"/>
      <c r="D2748" s="124"/>
      <c r="E2748" s="124"/>
      <c r="F2748" s="124"/>
      <c r="G2748" s="124"/>
      <c r="H2748" s="124"/>
      <c r="I2748" s="124"/>
      <c r="J2748" s="124"/>
      <c r="K2748" s="124"/>
      <c r="L2748" s="124"/>
      <c r="M2748" s="124"/>
      <c r="N2748" s="124"/>
      <c r="O2748" s="124"/>
      <c r="P2748" s="124"/>
      <c r="Q2748" s="124"/>
      <c r="R2748" s="124"/>
      <c r="S2748" s="124"/>
      <c r="T2748" s="124"/>
      <c r="U2748" s="124"/>
      <c r="V2748" s="124"/>
      <c r="W2748" s="124"/>
      <c r="X2748" s="124"/>
      <c r="Y2748" s="124"/>
      <c r="Z2748" s="124"/>
    </row>
    <row r="2749">
      <c r="A2749" s="124"/>
      <c r="B2749" s="124"/>
      <c r="C2749" s="147"/>
      <c r="D2749" s="124"/>
      <c r="E2749" s="124"/>
      <c r="F2749" s="124"/>
      <c r="G2749" s="124"/>
      <c r="H2749" s="124"/>
      <c r="I2749" s="124"/>
      <c r="J2749" s="124"/>
      <c r="K2749" s="124"/>
      <c r="L2749" s="124"/>
      <c r="M2749" s="124"/>
      <c r="N2749" s="124"/>
      <c r="O2749" s="124"/>
      <c r="P2749" s="124"/>
      <c r="Q2749" s="124"/>
      <c r="R2749" s="124"/>
      <c r="S2749" s="124"/>
      <c r="T2749" s="124"/>
      <c r="U2749" s="124"/>
      <c r="V2749" s="124"/>
      <c r="W2749" s="124"/>
      <c r="X2749" s="124"/>
      <c r="Y2749" s="124"/>
      <c r="Z2749" s="124"/>
    </row>
    <row r="2750">
      <c r="A2750" s="124"/>
      <c r="B2750" s="124"/>
      <c r="C2750" s="147"/>
      <c r="D2750" s="124"/>
      <c r="E2750" s="124"/>
      <c r="F2750" s="124"/>
      <c r="G2750" s="124"/>
      <c r="H2750" s="124"/>
      <c r="I2750" s="124"/>
      <c r="J2750" s="124"/>
      <c r="K2750" s="124"/>
      <c r="L2750" s="124"/>
      <c r="M2750" s="124"/>
      <c r="N2750" s="124"/>
      <c r="O2750" s="124"/>
      <c r="P2750" s="124"/>
      <c r="Q2750" s="124"/>
      <c r="R2750" s="124"/>
      <c r="S2750" s="124"/>
      <c r="T2750" s="124"/>
      <c r="U2750" s="124"/>
      <c r="V2750" s="124"/>
      <c r="W2750" s="124"/>
      <c r="X2750" s="124"/>
      <c r="Y2750" s="124"/>
      <c r="Z2750" s="124"/>
    </row>
    <row r="2751">
      <c r="A2751" s="124"/>
      <c r="B2751" s="124"/>
      <c r="C2751" s="147"/>
      <c r="D2751" s="124"/>
      <c r="E2751" s="124"/>
      <c r="F2751" s="124"/>
      <c r="G2751" s="124"/>
      <c r="H2751" s="124"/>
      <c r="I2751" s="124"/>
      <c r="J2751" s="124"/>
      <c r="K2751" s="124"/>
      <c r="L2751" s="124"/>
      <c r="M2751" s="124"/>
      <c r="N2751" s="124"/>
      <c r="O2751" s="124"/>
      <c r="P2751" s="124"/>
      <c r="Q2751" s="124"/>
      <c r="R2751" s="124"/>
      <c r="S2751" s="124"/>
      <c r="T2751" s="124"/>
      <c r="U2751" s="124"/>
      <c r="V2751" s="124"/>
      <c r="W2751" s="124"/>
      <c r="X2751" s="124"/>
      <c r="Y2751" s="124"/>
      <c r="Z2751" s="124"/>
    </row>
    <row r="2752">
      <c r="A2752" s="124"/>
      <c r="B2752" s="124"/>
      <c r="C2752" s="147"/>
      <c r="D2752" s="124"/>
      <c r="E2752" s="124"/>
      <c r="F2752" s="124"/>
      <c r="G2752" s="124"/>
      <c r="H2752" s="124"/>
      <c r="I2752" s="124"/>
      <c r="J2752" s="124"/>
      <c r="K2752" s="124"/>
      <c r="L2752" s="124"/>
      <c r="M2752" s="124"/>
      <c r="N2752" s="124"/>
      <c r="O2752" s="124"/>
      <c r="P2752" s="124"/>
      <c r="Q2752" s="124"/>
      <c r="R2752" s="124"/>
      <c r="S2752" s="124"/>
      <c r="T2752" s="124"/>
      <c r="U2752" s="124"/>
      <c r="V2752" s="124"/>
      <c r="W2752" s="124"/>
      <c r="X2752" s="124"/>
      <c r="Y2752" s="124"/>
      <c r="Z2752" s="124"/>
    </row>
    <row r="2753">
      <c r="A2753" s="124"/>
      <c r="B2753" s="124"/>
      <c r="C2753" s="147"/>
      <c r="D2753" s="124"/>
      <c r="E2753" s="124"/>
      <c r="F2753" s="124"/>
      <c r="G2753" s="124"/>
      <c r="H2753" s="124"/>
      <c r="I2753" s="124"/>
      <c r="J2753" s="124"/>
      <c r="K2753" s="124"/>
      <c r="L2753" s="124"/>
      <c r="M2753" s="124"/>
      <c r="N2753" s="124"/>
      <c r="O2753" s="124"/>
      <c r="P2753" s="124"/>
      <c r="Q2753" s="124"/>
      <c r="R2753" s="124"/>
      <c r="S2753" s="124"/>
      <c r="T2753" s="124"/>
      <c r="U2753" s="124"/>
      <c r="V2753" s="124"/>
      <c r="W2753" s="124"/>
      <c r="X2753" s="124"/>
      <c r="Y2753" s="124"/>
      <c r="Z2753" s="124"/>
    </row>
    <row r="2754">
      <c r="A2754" s="124"/>
      <c r="B2754" s="124"/>
      <c r="C2754" s="147"/>
      <c r="D2754" s="124"/>
      <c r="E2754" s="124"/>
      <c r="F2754" s="124"/>
      <c r="G2754" s="124"/>
      <c r="H2754" s="124"/>
      <c r="I2754" s="124"/>
      <c r="J2754" s="124"/>
      <c r="K2754" s="124"/>
      <c r="L2754" s="124"/>
      <c r="M2754" s="124"/>
      <c r="N2754" s="124"/>
      <c r="O2754" s="124"/>
      <c r="P2754" s="124"/>
      <c r="Q2754" s="124"/>
      <c r="R2754" s="124"/>
      <c r="S2754" s="124"/>
      <c r="T2754" s="124"/>
      <c r="U2754" s="124"/>
      <c r="V2754" s="124"/>
      <c r="W2754" s="124"/>
      <c r="X2754" s="124"/>
      <c r="Y2754" s="124"/>
      <c r="Z2754" s="124"/>
    </row>
    <row r="2755">
      <c r="A2755" s="124"/>
      <c r="B2755" s="124"/>
      <c r="C2755" s="147"/>
      <c r="D2755" s="124"/>
      <c r="E2755" s="124"/>
      <c r="F2755" s="124"/>
      <c r="G2755" s="124"/>
      <c r="H2755" s="124"/>
      <c r="I2755" s="124"/>
      <c r="J2755" s="124"/>
      <c r="K2755" s="124"/>
      <c r="L2755" s="124"/>
      <c r="M2755" s="124"/>
      <c r="N2755" s="124"/>
      <c r="O2755" s="124"/>
      <c r="P2755" s="124"/>
      <c r="Q2755" s="124"/>
      <c r="R2755" s="124"/>
      <c r="S2755" s="124"/>
      <c r="T2755" s="124"/>
      <c r="U2755" s="124"/>
      <c r="V2755" s="124"/>
      <c r="W2755" s="124"/>
      <c r="X2755" s="124"/>
      <c r="Y2755" s="124"/>
      <c r="Z2755" s="124"/>
    </row>
    <row r="2756">
      <c r="A2756" s="124"/>
      <c r="B2756" s="124"/>
      <c r="C2756" s="147"/>
      <c r="D2756" s="124"/>
      <c r="E2756" s="124"/>
      <c r="F2756" s="124"/>
      <c r="G2756" s="124"/>
      <c r="H2756" s="124"/>
      <c r="I2756" s="124"/>
      <c r="J2756" s="124"/>
      <c r="K2756" s="124"/>
      <c r="L2756" s="124"/>
      <c r="M2756" s="124"/>
      <c r="N2756" s="124"/>
      <c r="O2756" s="124"/>
      <c r="P2756" s="124"/>
      <c r="Q2756" s="124"/>
      <c r="R2756" s="124"/>
      <c r="S2756" s="124"/>
      <c r="T2756" s="124"/>
      <c r="U2756" s="124"/>
      <c r="V2756" s="124"/>
      <c r="W2756" s="124"/>
      <c r="X2756" s="124"/>
      <c r="Y2756" s="124"/>
      <c r="Z2756" s="124"/>
    </row>
    <row r="2757">
      <c r="A2757" s="124"/>
      <c r="B2757" s="124"/>
      <c r="C2757" s="147"/>
      <c r="D2757" s="124"/>
      <c r="E2757" s="124"/>
      <c r="F2757" s="124"/>
      <c r="G2757" s="124"/>
      <c r="H2757" s="124"/>
      <c r="I2757" s="124"/>
      <c r="J2757" s="124"/>
      <c r="K2757" s="124"/>
      <c r="L2757" s="124"/>
      <c r="M2757" s="124"/>
      <c r="N2757" s="124"/>
      <c r="O2757" s="124"/>
      <c r="P2757" s="124"/>
      <c r="Q2757" s="124"/>
      <c r="R2757" s="124"/>
      <c r="S2757" s="124"/>
      <c r="T2757" s="124"/>
      <c r="U2757" s="124"/>
      <c r="V2757" s="124"/>
      <c r="W2757" s="124"/>
      <c r="X2757" s="124"/>
      <c r="Y2757" s="124"/>
      <c r="Z2757" s="124"/>
    </row>
    <row r="2758">
      <c r="A2758" s="124"/>
      <c r="B2758" s="124"/>
      <c r="C2758" s="147"/>
      <c r="D2758" s="124"/>
      <c r="E2758" s="124"/>
      <c r="F2758" s="124"/>
      <c r="G2758" s="124"/>
      <c r="H2758" s="124"/>
      <c r="I2758" s="124"/>
      <c r="J2758" s="124"/>
      <c r="K2758" s="124"/>
      <c r="L2758" s="124"/>
      <c r="M2758" s="124"/>
      <c r="N2758" s="124"/>
      <c r="O2758" s="124"/>
      <c r="P2758" s="124"/>
      <c r="Q2758" s="124"/>
      <c r="R2758" s="124"/>
      <c r="S2758" s="124"/>
      <c r="T2758" s="124"/>
      <c r="U2758" s="124"/>
      <c r="V2758" s="124"/>
      <c r="W2758" s="124"/>
      <c r="X2758" s="124"/>
      <c r="Y2758" s="124"/>
      <c r="Z2758" s="124"/>
    </row>
    <row r="2759">
      <c r="A2759" s="124"/>
      <c r="B2759" s="124"/>
      <c r="C2759" s="147"/>
      <c r="D2759" s="124"/>
      <c r="E2759" s="124"/>
      <c r="F2759" s="124"/>
      <c r="G2759" s="124"/>
      <c r="H2759" s="124"/>
      <c r="I2759" s="124"/>
      <c r="J2759" s="124"/>
      <c r="K2759" s="124"/>
      <c r="L2759" s="124"/>
      <c r="M2759" s="124"/>
      <c r="N2759" s="124"/>
      <c r="O2759" s="124"/>
      <c r="P2759" s="124"/>
      <c r="Q2759" s="124"/>
      <c r="R2759" s="124"/>
      <c r="S2759" s="124"/>
      <c r="T2759" s="124"/>
      <c r="U2759" s="124"/>
      <c r="V2759" s="124"/>
      <c r="W2759" s="124"/>
      <c r="X2759" s="124"/>
      <c r="Y2759" s="124"/>
      <c r="Z2759" s="124"/>
    </row>
    <row r="2760">
      <c r="A2760" s="124"/>
      <c r="B2760" s="124"/>
      <c r="C2760" s="147"/>
      <c r="D2760" s="124"/>
      <c r="E2760" s="124"/>
      <c r="F2760" s="124"/>
      <c r="G2760" s="124"/>
      <c r="H2760" s="124"/>
      <c r="I2760" s="124"/>
      <c r="J2760" s="124"/>
      <c r="K2760" s="124"/>
      <c r="L2760" s="124"/>
      <c r="M2760" s="124"/>
      <c r="N2760" s="124"/>
      <c r="O2760" s="124"/>
      <c r="P2760" s="124"/>
      <c r="Q2760" s="124"/>
      <c r="R2760" s="124"/>
      <c r="S2760" s="124"/>
      <c r="T2760" s="124"/>
      <c r="U2760" s="124"/>
      <c r="V2760" s="124"/>
      <c r="W2760" s="124"/>
      <c r="X2760" s="124"/>
      <c r="Y2760" s="124"/>
      <c r="Z2760" s="124"/>
    </row>
    <row r="2761">
      <c r="A2761" s="124"/>
      <c r="B2761" s="124"/>
      <c r="C2761" s="147"/>
      <c r="D2761" s="124"/>
      <c r="E2761" s="124"/>
      <c r="F2761" s="124"/>
      <c r="G2761" s="124"/>
      <c r="H2761" s="124"/>
      <c r="I2761" s="124"/>
      <c r="J2761" s="124"/>
      <c r="K2761" s="124"/>
      <c r="L2761" s="124"/>
      <c r="M2761" s="124"/>
      <c r="N2761" s="124"/>
      <c r="O2761" s="124"/>
      <c r="P2761" s="124"/>
      <c r="Q2761" s="124"/>
      <c r="R2761" s="124"/>
      <c r="S2761" s="124"/>
      <c r="T2761" s="124"/>
      <c r="U2761" s="124"/>
      <c r="V2761" s="124"/>
      <c r="W2761" s="124"/>
      <c r="X2761" s="124"/>
      <c r="Y2761" s="124"/>
      <c r="Z2761" s="124"/>
    </row>
    <row r="2762">
      <c r="A2762" s="124"/>
      <c r="B2762" s="124"/>
      <c r="C2762" s="147"/>
      <c r="D2762" s="124"/>
      <c r="E2762" s="124"/>
      <c r="F2762" s="124"/>
      <c r="G2762" s="124"/>
      <c r="H2762" s="124"/>
      <c r="I2762" s="124"/>
      <c r="J2762" s="124"/>
      <c r="K2762" s="124"/>
      <c r="L2762" s="124"/>
      <c r="M2762" s="124"/>
      <c r="N2762" s="124"/>
      <c r="O2762" s="124"/>
      <c r="P2762" s="124"/>
      <c r="Q2762" s="124"/>
      <c r="R2762" s="124"/>
      <c r="S2762" s="124"/>
      <c r="T2762" s="124"/>
      <c r="U2762" s="124"/>
      <c r="V2762" s="124"/>
      <c r="W2762" s="124"/>
      <c r="X2762" s="124"/>
      <c r="Y2762" s="124"/>
      <c r="Z2762" s="124"/>
    </row>
    <row r="2763">
      <c r="A2763" s="124"/>
      <c r="B2763" s="124"/>
      <c r="C2763" s="147"/>
      <c r="D2763" s="124"/>
      <c r="E2763" s="124"/>
      <c r="F2763" s="124"/>
      <c r="G2763" s="124"/>
      <c r="H2763" s="124"/>
      <c r="I2763" s="124"/>
      <c r="J2763" s="124"/>
      <c r="K2763" s="124"/>
      <c r="L2763" s="124"/>
      <c r="M2763" s="124"/>
      <c r="N2763" s="124"/>
      <c r="O2763" s="124"/>
      <c r="P2763" s="124"/>
      <c r="Q2763" s="124"/>
      <c r="R2763" s="124"/>
      <c r="S2763" s="124"/>
      <c r="T2763" s="124"/>
      <c r="U2763" s="124"/>
      <c r="V2763" s="124"/>
      <c r="W2763" s="124"/>
      <c r="X2763" s="124"/>
      <c r="Y2763" s="124"/>
      <c r="Z2763" s="124"/>
    </row>
    <row r="2764">
      <c r="A2764" s="124"/>
      <c r="B2764" s="124"/>
      <c r="C2764" s="147"/>
      <c r="D2764" s="124"/>
      <c r="E2764" s="124"/>
      <c r="F2764" s="124"/>
      <c r="G2764" s="124"/>
      <c r="H2764" s="124"/>
      <c r="I2764" s="124"/>
      <c r="J2764" s="124"/>
      <c r="K2764" s="124"/>
      <c r="L2764" s="124"/>
      <c r="M2764" s="124"/>
      <c r="N2764" s="124"/>
      <c r="O2764" s="124"/>
      <c r="P2764" s="124"/>
      <c r="Q2764" s="124"/>
      <c r="R2764" s="124"/>
      <c r="S2764" s="124"/>
      <c r="T2764" s="124"/>
      <c r="U2764" s="124"/>
      <c r="V2764" s="124"/>
      <c r="W2764" s="124"/>
      <c r="X2764" s="124"/>
      <c r="Y2764" s="124"/>
      <c r="Z2764" s="124"/>
    </row>
    <row r="2765">
      <c r="A2765" s="124"/>
      <c r="B2765" s="124"/>
      <c r="C2765" s="147"/>
      <c r="D2765" s="124"/>
      <c r="E2765" s="124"/>
      <c r="F2765" s="124"/>
      <c r="G2765" s="124"/>
      <c r="H2765" s="124"/>
      <c r="I2765" s="124"/>
      <c r="J2765" s="124"/>
      <c r="K2765" s="124"/>
      <c r="L2765" s="124"/>
      <c r="M2765" s="124"/>
      <c r="N2765" s="124"/>
      <c r="O2765" s="124"/>
      <c r="P2765" s="124"/>
      <c r="Q2765" s="124"/>
      <c r="R2765" s="124"/>
      <c r="S2765" s="124"/>
      <c r="T2765" s="124"/>
      <c r="U2765" s="124"/>
      <c r="V2765" s="124"/>
      <c r="W2765" s="124"/>
      <c r="X2765" s="124"/>
      <c r="Y2765" s="124"/>
      <c r="Z2765" s="124"/>
    </row>
    <row r="2766">
      <c r="A2766" s="124"/>
      <c r="B2766" s="124"/>
      <c r="C2766" s="147"/>
      <c r="D2766" s="124"/>
      <c r="E2766" s="124"/>
      <c r="F2766" s="124"/>
      <c r="G2766" s="124"/>
      <c r="H2766" s="124"/>
      <c r="I2766" s="124"/>
      <c r="J2766" s="124"/>
      <c r="K2766" s="124"/>
      <c r="L2766" s="124"/>
      <c r="M2766" s="124"/>
      <c r="N2766" s="124"/>
      <c r="O2766" s="124"/>
      <c r="P2766" s="124"/>
      <c r="Q2766" s="124"/>
      <c r="R2766" s="124"/>
      <c r="S2766" s="124"/>
      <c r="T2766" s="124"/>
      <c r="U2766" s="124"/>
      <c r="V2766" s="124"/>
      <c r="W2766" s="124"/>
      <c r="X2766" s="124"/>
      <c r="Y2766" s="124"/>
      <c r="Z2766" s="124"/>
    </row>
    <row r="2767">
      <c r="A2767" s="124"/>
      <c r="B2767" s="124"/>
      <c r="C2767" s="147"/>
      <c r="D2767" s="124"/>
      <c r="E2767" s="124"/>
      <c r="F2767" s="124"/>
      <c r="G2767" s="124"/>
      <c r="H2767" s="124"/>
      <c r="I2767" s="124"/>
      <c r="J2767" s="124"/>
      <c r="K2767" s="124"/>
      <c r="L2767" s="124"/>
      <c r="M2767" s="124"/>
      <c r="N2767" s="124"/>
      <c r="O2767" s="124"/>
      <c r="P2767" s="124"/>
      <c r="Q2767" s="124"/>
      <c r="R2767" s="124"/>
      <c r="S2767" s="124"/>
      <c r="T2767" s="124"/>
      <c r="U2767" s="124"/>
      <c r="V2767" s="124"/>
      <c r="W2767" s="124"/>
      <c r="X2767" s="124"/>
      <c r="Y2767" s="124"/>
      <c r="Z2767" s="124"/>
    </row>
    <row r="2768">
      <c r="A2768" s="124"/>
      <c r="B2768" s="124"/>
      <c r="C2768" s="147"/>
      <c r="D2768" s="124"/>
      <c r="E2768" s="124"/>
      <c r="F2768" s="124"/>
      <c r="G2768" s="124"/>
      <c r="H2768" s="124"/>
      <c r="I2768" s="124"/>
      <c r="J2768" s="124"/>
      <c r="K2768" s="124"/>
      <c r="L2768" s="124"/>
      <c r="M2768" s="124"/>
      <c r="N2768" s="124"/>
      <c r="O2768" s="124"/>
      <c r="P2768" s="124"/>
      <c r="Q2768" s="124"/>
      <c r="R2768" s="124"/>
      <c r="S2768" s="124"/>
      <c r="T2768" s="124"/>
      <c r="U2768" s="124"/>
      <c r="V2768" s="124"/>
      <c r="W2768" s="124"/>
      <c r="X2768" s="124"/>
      <c r="Y2768" s="124"/>
      <c r="Z2768" s="124"/>
    </row>
    <row r="2769">
      <c r="A2769" s="124"/>
      <c r="B2769" s="124"/>
      <c r="C2769" s="147"/>
      <c r="D2769" s="124"/>
      <c r="E2769" s="124"/>
      <c r="F2769" s="124"/>
      <c r="G2769" s="124"/>
      <c r="H2769" s="124"/>
      <c r="I2769" s="124"/>
      <c r="J2769" s="124"/>
      <c r="K2769" s="124"/>
      <c r="L2769" s="124"/>
      <c r="M2769" s="124"/>
      <c r="N2769" s="124"/>
      <c r="O2769" s="124"/>
      <c r="P2769" s="124"/>
      <c r="Q2769" s="124"/>
      <c r="R2769" s="124"/>
      <c r="S2769" s="124"/>
      <c r="T2769" s="124"/>
      <c r="U2769" s="124"/>
      <c r="V2769" s="124"/>
      <c r="W2769" s="124"/>
      <c r="X2769" s="124"/>
      <c r="Y2769" s="124"/>
      <c r="Z2769" s="124"/>
    </row>
    <row r="2770">
      <c r="A2770" s="124"/>
      <c r="B2770" s="124"/>
      <c r="C2770" s="147"/>
      <c r="D2770" s="124"/>
      <c r="E2770" s="124"/>
      <c r="F2770" s="124"/>
      <c r="G2770" s="124"/>
      <c r="H2770" s="124"/>
      <c r="I2770" s="124"/>
      <c r="J2770" s="124"/>
      <c r="K2770" s="124"/>
      <c r="L2770" s="124"/>
      <c r="M2770" s="124"/>
      <c r="N2770" s="124"/>
      <c r="O2770" s="124"/>
      <c r="P2770" s="124"/>
      <c r="Q2770" s="124"/>
      <c r="R2770" s="124"/>
      <c r="S2770" s="124"/>
      <c r="T2770" s="124"/>
      <c r="U2770" s="124"/>
      <c r="V2770" s="124"/>
      <c r="W2770" s="124"/>
      <c r="X2770" s="124"/>
      <c r="Y2770" s="124"/>
      <c r="Z2770" s="124"/>
    </row>
    <row r="2771">
      <c r="A2771" s="124"/>
      <c r="B2771" s="124"/>
      <c r="C2771" s="147"/>
      <c r="D2771" s="124"/>
      <c r="E2771" s="124"/>
      <c r="F2771" s="124"/>
      <c r="G2771" s="124"/>
      <c r="H2771" s="124"/>
      <c r="I2771" s="124"/>
      <c r="J2771" s="124"/>
      <c r="K2771" s="124"/>
      <c r="L2771" s="124"/>
      <c r="M2771" s="124"/>
      <c r="N2771" s="124"/>
      <c r="O2771" s="124"/>
      <c r="P2771" s="124"/>
      <c r="Q2771" s="124"/>
      <c r="R2771" s="124"/>
      <c r="S2771" s="124"/>
      <c r="T2771" s="124"/>
      <c r="U2771" s="124"/>
      <c r="V2771" s="124"/>
      <c r="W2771" s="124"/>
      <c r="X2771" s="124"/>
      <c r="Y2771" s="124"/>
      <c r="Z2771" s="124"/>
    </row>
    <row r="2772">
      <c r="A2772" s="124"/>
      <c r="B2772" s="124"/>
      <c r="C2772" s="147"/>
      <c r="D2772" s="124"/>
      <c r="E2772" s="124"/>
      <c r="F2772" s="124"/>
      <c r="G2772" s="124"/>
      <c r="H2772" s="124"/>
      <c r="I2772" s="124"/>
      <c r="J2772" s="124"/>
      <c r="K2772" s="124"/>
      <c r="L2772" s="124"/>
      <c r="M2772" s="124"/>
      <c r="N2772" s="124"/>
      <c r="O2772" s="124"/>
      <c r="P2772" s="124"/>
      <c r="Q2772" s="124"/>
      <c r="R2772" s="124"/>
      <c r="S2772" s="124"/>
      <c r="T2772" s="124"/>
      <c r="U2772" s="124"/>
      <c r="V2772" s="124"/>
      <c r="W2772" s="124"/>
      <c r="X2772" s="124"/>
      <c r="Y2772" s="124"/>
      <c r="Z2772" s="124"/>
    </row>
    <row r="2773">
      <c r="A2773" s="124"/>
      <c r="B2773" s="124"/>
      <c r="C2773" s="147"/>
      <c r="D2773" s="124"/>
      <c r="E2773" s="124"/>
      <c r="F2773" s="124"/>
      <c r="G2773" s="124"/>
      <c r="H2773" s="124"/>
      <c r="I2773" s="124"/>
      <c r="J2773" s="124"/>
      <c r="K2773" s="124"/>
      <c r="L2773" s="124"/>
      <c r="M2773" s="124"/>
      <c r="N2773" s="124"/>
      <c r="O2773" s="124"/>
      <c r="P2773" s="124"/>
      <c r="Q2773" s="124"/>
      <c r="R2773" s="124"/>
      <c r="S2773" s="124"/>
      <c r="T2773" s="124"/>
      <c r="U2773" s="124"/>
      <c r="V2773" s="124"/>
      <c r="W2773" s="124"/>
      <c r="X2773" s="124"/>
      <c r="Y2773" s="124"/>
      <c r="Z2773" s="124"/>
    </row>
    <row r="2774">
      <c r="A2774" s="124"/>
      <c r="B2774" s="124"/>
      <c r="C2774" s="147"/>
      <c r="D2774" s="124"/>
      <c r="E2774" s="124"/>
      <c r="F2774" s="124"/>
      <c r="G2774" s="124"/>
      <c r="H2774" s="124"/>
      <c r="I2774" s="124"/>
      <c r="J2774" s="124"/>
      <c r="K2774" s="124"/>
      <c r="L2774" s="124"/>
      <c r="M2774" s="124"/>
      <c r="N2774" s="124"/>
      <c r="O2774" s="124"/>
      <c r="P2774" s="124"/>
      <c r="Q2774" s="124"/>
      <c r="R2774" s="124"/>
      <c r="S2774" s="124"/>
      <c r="T2774" s="124"/>
      <c r="U2774" s="124"/>
      <c r="V2774" s="124"/>
      <c r="W2774" s="124"/>
      <c r="X2774" s="124"/>
      <c r="Y2774" s="124"/>
      <c r="Z2774" s="124"/>
    </row>
    <row r="2775">
      <c r="A2775" s="124"/>
      <c r="B2775" s="124"/>
      <c r="C2775" s="147"/>
      <c r="D2775" s="124"/>
      <c r="E2775" s="124"/>
      <c r="F2775" s="124"/>
      <c r="G2775" s="124"/>
      <c r="H2775" s="124"/>
      <c r="I2775" s="124"/>
      <c r="J2775" s="124"/>
      <c r="K2775" s="124"/>
      <c r="L2775" s="124"/>
      <c r="M2775" s="124"/>
      <c r="N2775" s="124"/>
      <c r="O2775" s="124"/>
      <c r="P2775" s="124"/>
      <c r="Q2775" s="124"/>
      <c r="R2775" s="124"/>
      <c r="S2775" s="124"/>
      <c r="T2775" s="124"/>
      <c r="U2775" s="124"/>
      <c r="V2775" s="124"/>
      <c r="W2775" s="124"/>
      <c r="X2775" s="124"/>
      <c r="Y2775" s="124"/>
      <c r="Z2775" s="124"/>
    </row>
    <row r="2776">
      <c r="A2776" s="124"/>
      <c r="B2776" s="124"/>
      <c r="C2776" s="147"/>
      <c r="D2776" s="124"/>
      <c r="E2776" s="124"/>
      <c r="F2776" s="124"/>
      <c r="G2776" s="124"/>
      <c r="H2776" s="124"/>
      <c r="I2776" s="124"/>
      <c r="J2776" s="124"/>
      <c r="K2776" s="124"/>
      <c r="L2776" s="124"/>
      <c r="M2776" s="124"/>
      <c r="N2776" s="124"/>
      <c r="O2776" s="124"/>
      <c r="P2776" s="124"/>
      <c r="Q2776" s="124"/>
      <c r="R2776" s="124"/>
      <c r="S2776" s="124"/>
      <c r="T2776" s="124"/>
      <c r="U2776" s="124"/>
      <c r="V2776" s="124"/>
      <c r="W2776" s="124"/>
      <c r="X2776" s="124"/>
      <c r="Y2776" s="124"/>
      <c r="Z2776" s="124"/>
    </row>
    <row r="2777">
      <c r="A2777" s="124"/>
      <c r="B2777" s="124"/>
      <c r="C2777" s="147"/>
      <c r="D2777" s="124"/>
      <c r="E2777" s="124"/>
      <c r="F2777" s="124"/>
      <c r="G2777" s="124"/>
      <c r="H2777" s="124"/>
      <c r="I2777" s="124"/>
      <c r="J2777" s="124"/>
      <c r="K2777" s="124"/>
      <c r="L2777" s="124"/>
      <c r="M2777" s="124"/>
      <c r="N2777" s="124"/>
      <c r="O2777" s="124"/>
      <c r="P2777" s="124"/>
      <c r="Q2777" s="124"/>
      <c r="R2777" s="124"/>
      <c r="S2777" s="124"/>
      <c r="T2777" s="124"/>
      <c r="U2777" s="124"/>
      <c r="V2777" s="124"/>
      <c r="W2777" s="124"/>
      <c r="X2777" s="124"/>
      <c r="Y2777" s="124"/>
      <c r="Z2777" s="124"/>
    </row>
    <row r="2778">
      <c r="A2778" s="124"/>
      <c r="B2778" s="124"/>
      <c r="C2778" s="147"/>
      <c r="D2778" s="124"/>
      <c r="E2778" s="124"/>
      <c r="F2778" s="124"/>
      <c r="G2778" s="124"/>
      <c r="H2778" s="124"/>
      <c r="I2778" s="124"/>
      <c r="J2778" s="124"/>
      <c r="K2778" s="124"/>
      <c r="L2778" s="124"/>
      <c r="M2778" s="124"/>
      <c r="N2778" s="124"/>
      <c r="O2778" s="124"/>
      <c r="P2778" s="124"/>
      <c r="Q2778" s="124"/>
      <c r="R2778" s="124"/>
      <c r="S2778" s="124"/>
      <c r="T2778" s="124"/>
      <c r="U2778" s="124"/>
      <c r="V2778" s="124"/>
      <c r="W2778" s="124"/>
      <c r="X2778" s="124"/>
      <c r="Y2778" s="124"/>
      <c r="Z2778" s="124"/>
    </row>
    <row r="2779">
      <c r="A2779" s="124"/>
      <c r="B2779" s="124"/>
      <c r="C2779" s="147"/>
      <c r="D2779" s="124"/>
      <c r="E2779" s="124"/>
      <c r="F2779" s="124"/>
      <c r="G2779" s="124"/>
      <c r="H2779" s="124"/>
      <c r="I2779" s="124"/>
      <c r="J2779" s="124"/>
      <c r="K2779" s="124"/>
      <c r="L2779" s="124"/>
      <c r="M2779" s="124"/>
      <c r="N2779" s="124"/>
      <c r="O2779" s="124"/>
      <c r="P2779" s="124"/>
      <c r="Q2779" s="124"/>
      <c r="R2779" s="124"/>
      <c r="S2779" s="124"/>
      <c r="T2779" s="124"/>
      <c r="U2779" s="124"/>
      <c r="V2779" s="124"/>
      <c r="W2779" s="124"/>
      <c r="X2779" s="124"/>
      <c r="Y2779" s="124"/>
      <c r="Z2779" s="124"/>
    </row>
    <row r="2780">
      <c r="A2780" s="124"/>
      <c r="B2780" s="124"/>
      <c r="C2780" s="147"/>
      <c r="D2780" s="124"/>
      <c r="E2780" s="124"/>
      <c r="F2780" s="124"/>
      <c r="G2780" s="124"/>
      <c r="H2780" s="124"/>
      <c r="I2780" s="124"/>
      <c r="J2780" s="124"/>
      <c r="K2780" s="124"/>
      <c r="L2780" s="124"/>
      <c r="M2780" s="124"/>
      <c r="N2780" s="124"/>
      <c r="O2780" s="124"/>
      <c r="P2780" s="124"/>
      <c r="Q2780" s="124"/>
      <c r="R2780" s="124"/>
      <c r="S2780" s="124"/>
      <c r="T2780" s="124"/>
      <c r="U2780" s="124"/>
      <c r="V2780" s="124"/>
      <c r="W2780" s="124"/>
      <c r="X2780" s="124"/>
      <c r="Y2780" s="124"/>
      <c r="Z2780" s="124"/>
    </row>
    <row r="2781">
      <c r="A2781" s="124"/>
      <c r="B2781" s="124"/>
      <c r="C2781" s="147"/>
      <c r="D2781" s="124"/>
      <c r="E2781" s="124"/>
      <c r="F2781" s="124"/>
      <c r="G2781" s="124"/>
      <c r="H2781" s="124"/>
      <c r="I2781" s="124"/>
      <c r="J2781" s="124"/>
      <c r="K2781" s="124"/>
      <c r="L2781" s="124"/>
      <c r="M2781" s="124"/>
      <c r="N2781" s="124"/>
      <c r="O2781" s="124"/>
      <c r="P2781" s="124"/>
      <c r="Q2781" s="124"/>
      <c r="R2781" s="124"/>
      <c r="S2781" s="124"/>
      <c r="T2781" s="124"/>
      <c r="U2781" s="124"/>
      <c r="V2781" s="124"/>
      <c r="W2781" s="124"/>
      <c r="X2781" s="124"/>
      <c r="Y2781" s="124"/>
      <c r="Z2781" s="124"/>
    </row>
    <row r="2782">
      <c r="A2782" s="124"/>
      <c r="B2782" s="124"/>
      <c r="C2782" s="147"/>
      <c r="D2782" s="124"/>
      <c r="E2782" s="124"/>
      <c r="F2782" s="124"/>
      <c r="G2782" s="124"/>
      <c r="H2782" s="124"/>
      <c r="I2782" s="124"/>
      <c r="J2782" s="124"/>
      <c r="K2782" s="124"/>
      <c r="L2782" s="124"/>
      <c r="M2782" s="124"/>
      <c r="N2782" s="124"/>
      <c r="O2782" s="124"/>
      <c r="P2782" s="124"/>
      <c r="Q2782" s="124"/>
      <c r="R2782" s="124"/>
      <c r="S2782" s="124"/>
      <c r="T2782" s="124"/>
      <c r="U2782" s="124"/>
      <c r="V2782" s="124"/>
      <c r="W2782" s="124"/>
      <c r="X2782" s="124"/>
      <c r="Y2782" s="124"/>
      <c r="Z2782" s="124"/>
    </row>
    <row r="2783">
      <c r="A2783" s="124"/>
      <c r="B2783" s="124"/>
      <c r="C2783" s="147"/>
      <c r="D2783" s="124"/>
      <c r="E2783" s="124"/>
      <c r="F2783" s="124"/>
      <c r="G2783" s="124"/>
      <c r="H2783" s="124"/>
      <c r="I2783" s="124"/>
      <c r="J2783" s="124"/>
      <c r="K2783" s="124"/>
      <c r="L2783" s="124"/>
      <c r="M2783" s="124"/>
      <c r="N2783" s="124"/>
      <c r="O2783" s="124"/>
      <c r="P2783" s="124"/>
      <c r="Q2783" s="124"/>
      <c r="R2783" s="124"/>
      <c r="S2783" s="124"/>
      <c r="T2783" s="124"/>
      <c r="U2783" s="124"/>
      <c r="V2783" s="124"/>
      <c r="W2783" s="124"/>
      <c r="X2783" s="124"/>
      <c r="Y2783" s="124"/>
      <c r="Z2783" s="124"/>
    </row>
    <row r="2784">
      <c r="A2784" s="124"/>
      <c r="B2784" s="124"/>
      <c r="C2784" s="147"/>
      <c r="D2784" s="124"/>
      <c r="E2784" s="124"/>
      <c r="F2784" s="124"/>
      <c r="G2784" s="124"/>
      <c r="H2784" s="124"/>
      <c r="I2784" s="124"/>
      <c r="J2784" s="124"/>
      <c r="K2784" s="124"/>
      <c r="L2784" s="124"/>
      <c r="M2784" s="124"/>
      <c r="N2784" s="124"/>
      <c r="O2784" s="124"/>
      <c r="P2784" s="124"/>
      <c r="Q2784" s="124"/>
      <c r="R2784" s="124"/>
      <c r="S2784" s="124"/>
      <c r="T2784" s="124"/>
      <c r="U2784" s="124"/>
      <c r="V2784" s="124"/>
      <c r="W2784" s="124"/>
      <c r="X2784" s="124"/>
      <c r="Y2784" s="124"/>
      <c r="Z2784" s="124"/>
    </row>
    <row r="2785">
      <c r="A2785" s="124"/>
      <c r="B2785" s="124"/>
      <c r="C2785" s="147"/>
      <c r="D2785" s="124"/>
      <c r="E2785" s="124"/>
      <c r="F2785" s="124"/>
      <c r="G2785" s="124"/>
      <c r="H2785" s="124"/>
      <c r="I2785" s="124"/>
      <c r="J2785" s="124"/>
      <c r="K2785" s="124"/>
      <c r="L2785" s="124"/>
      <c r="M2785" s="124"/>
      <c r="N2785" s="124"/>
      <c r="O2785" s="124"/>
      <c r="P2785" s="124"/>
      <c r="Q2785" s="124"/>
      <c r="R2785" s="124"/>
      <c r="S2785" s="124"/>
      <c r="T2785" s="124"/>
      <c r="U2785" s="124"/>
      <c r="V2785" s="124"/>
      <c r="W2785" s="124"/>
      <c r="X2785" s="124"/>
      <c r="Y2785" s="124"/>
      <c r="Z2785" s="124"/>
    </row>
    <row r="2786">
      <c r="A2786" s="124"/>
      <c r="B2786" s="124"/>
      <c r="C2786" s="147"/>
      <c r="D2786" s="124"/>
      <c r="E2786" s="124"/>
      <c r="F2786" s="124"/>
      <c r="G2786" s="124"/>
      <c r="H2786" s="124"/>
      <c r="I2786" s="124"/>
      <c r="J2786" s="124"/>
      <c r="K2786" s="124"/>
      <c r="L2786" s="124"/>
      <c r="M2786" s="124"/>
      <c r="N2786" s="124"/>
      <c r="O2786" s="124"/>
      <c r="P2786" s="124"/>
      <c r="Q2786" s="124"/>
      <c r="R2786" s="124"/>
      <c r="S2786" s="124"/>
      <c r="T2786" s="124"/>
      <c r="U2786" s="124"/>
      <c r="V2786" s="124"/>
      <c r="W2786" s="124"/>
      <c r="X2786" s="124"/>
      <c r="Y2786" s="124"/>
      <c r="Z2786" s="124"/>
    </row>
    <row r="2787">
      <c r="A2787" s="124"/>
      <c r="B2787" s="124"/>
      <c r="C2787" s="147"/>
      <c r="D2787" s="124"/>
      <c r="E2787" s="124"/>
      <c r="F2787" s="124"/>
      <c r="G2787" s="124"/>
      <c r="H2787" s="124"/>
      <c r="I2787" s="124"/>
      <c r="J2787" s="124"/>
      <c r="K2787" s="124"/>
      <c r="L2787" s="124"/>
      <c r="M2787" s="124"/>
      <c r="N2787" s="124"/>
      <c r="O2787" s="124"/>
      <c r="P2787" s="124"/>
      <c r="Q2787" s="124"/>
      <c r="R2787" s="124"/>
      <c r="S2787" s="124"/>
      <c r="T2787" s="124"/>
      <c r="U2787" s="124"/>
      <c r="V2787" s="124"/>
      <c r="W2787" s="124"/>
      <c r="X2787" s="124"/>
      <c r="Y2787" s="124"/>
      <c r="Z2787" s="124"/>
    </row>
    <row r="2788">
      <c r="A2788" s="124"/>
      <c r="B2788" s="124"/>
      <c r="C2788" s="147"/>
      <c r="D2788" s="124"/>
      <c r="E2788" s="124"/>
      <c r="F2788" s="124"/>
      <c r="G2788" s="124"/>
      <c r="H2788" s="124"/>
      <c r="I2788" s="124"/>
      <c r="J2788" s="124"/>
      <c r="K2788" s="124"/>
      <c r="L2788" s="124"/>
      <c r="M2788" s="124"/>
      <c r="N2788" s="124"/>
      <c r="O2788" s="124"/>
      <c r="P2788" s="124"/>
      <c r="Q2788" s="124"/>
      <c r="R2788" s="124"/>
      <c r="S2788" s="124"/>
      <c r="T2788" s="124"/>
      <c r="U2788" s="124"/>
      <c r="V2788" s="124"/>
      <c r="W2788" s="124"/>
      <c r="X2788" s="124"/>
      <c r="Y2788" s="124"/>
      <c r="Z2788" s="124"/>
    </row>
    <row r="2789">
      <c r="A2789" s="124"/>
      <c r="B2789" s="124"/>
      <c r="C2789" s="147"/>
      <c r="D2789" s="124"/>
      <c r="E2789" s="124"/>
      <c r="F2789" s="124"/>
      <c r="G2789" s="124"/>
      <c r="H2789" s="124"/>
      <c r="I2789" s="124"/>
      <c r="J2789" s="124"/>
      <c r="K2789" s="124"/>
      <c r="L2789" s="124"/>
      <c r="M2789" s="124"/>
      <c r="N2789" s="124"/>
      <c r="O2789" s="124"/>
      <c r="P2789" s="124"/>
      <c r="Q2789" s="124"/>
      <c r="R2789" s="124"/>
      <c r="S2789" s="124"/>
      <c r="T2789" s="124"/>
      <c r="U2789" s="124"/>
      <c r="V2789" s="124"/>
      <c r="W2789" s="124"/>
      <c r="X2789" s="124"/>
      <c r="Y2789" s="124"/>
      <c r="Z2789" s="124"/>
    </row>
    <row r="2790">
      <c r="A2790" s="124"/>
      <c r="B2790" s="124"/>
      <c r="C2790" s="147"/>
      <c r="D2790" s="124"/>
      <c r="E2790" s="124"/>
      <c r="F2790" s="124"/>
      <c r="G2790" s="124"/>
      <c r="H2790" s="124"/>
      <c r="I2790" s="124"/>
      <c r="J2790" s="124"/>
      <c r="K2790" s="124"/>
      <c r="L2790" s="124"/>
      <c r="M2790" s="124"/>
      <c r="N2790" s="124"/>
      <c r="O2790" s="124"/>
      <c r="P2790" s="124"/>
      <c r="Q2790" s="124"/>
      <c r="R2790" s="124"/>
      <c r="S2790" s="124"/>
      <c r="T2790" s="124"/>
      <c r="U2790" s="124"/>
      <c r="V2790" s="124"/>
      <c r="W2790" s="124"/>
      <c r="X2790" s="124"/>
      <c r="Y2790" s="124"/>
      <c r="Z2790" s="124"/>
    </row>
    <row r="2791">
      <c r="A2791" s="124"/>
      <c r="B2791" s="124"/>
      <c r="C2791" s="147"/>
      <c r="D2791" s="124"/>
      <c r="E2791" s="124"/>
      <c r="F2791" s="124"/>
      <c r="G2791" s="124"/>
      <c r="H2791" s="124"/>
      <c r="I2791" s="124"/>
      <c r="J2791" s="124"/>
      <c r="K2791" s="124"/>
      <c r="L2791" s="124"/>
      <c r="M2791" s="124"/>
      <c r="N2791" s="124"/>
      <c r="O2791" s="124"/>
      <c r="P2791" s="124"/>
      <c r="Q2791" s="124"/>
      <c r="R2791" s="124"/>
      <c r="S2791" s="124"/>
      <c r="T2791" s="124"/>
      <c r="U2791" s="124"/>
      <c r="V2791" s="124"/>
      <c r="W2791" s="124"/>
      <c r="X2791" s="124"/>
      <c r="Y2791" s="124"/>
      <c r="Z2791" s="124"/>
    </row>
    <row r="2792">
      <c r="A2792" s="124"/>
      <c r="B2792" s="124"/>
      <c r="C2792" s="147"/>
      <c r="D2792" s="124"/>
      <c r="E2792" s="124"/>
      <c r="F2792" s="124"/>
      <c r="G2792" s="124"/>
      <c r="H2792" s="124"/>
      <c r="I2792" s="124"/>
      <c r="J2792" s="124"/>
      <c r="K2792" s="124"/>
      <c r="L2792" s="124"/>
      <c r="M2792" s="124"/>
      <c r="N2792" s="124"/>
      <c r="O2792" s="124"/>
      <c r="P2792" s="124"/>
      <c r="Q2792" s="124"/>
      <c r="R2792" s="124"/>
      <c r="S2792" s="124"/>
      <c r="T2792" s="124"/>
      <c r="U2792" s="124"/>
      <c r="V2792" s="124"/>
      <c r="W2792" s="124"/>
      <c r="X2792" s="124"/>
      <c r="Y2792" s="124"/>
      <c r="Z2792" s="124"/>
    </row>
    <row r="2793">
      <c r="A2793" s="124"/>
      <c r="B2793" s="124"/>
      <c r="C2793" s="147"/>
      <c r="D2793" s="124"/>
      <c r="E2793" s="124"/>
      <c r="F2793" s="124"/>
      <c r="G2793" s="124"/>
      <c r="H2793" s="124"/>
      <c r="I2793" s="124"/>
      <c r="J2793" s="124"/>
      <c r="K2793" s="124"/>
      <c r="L2793" s="124"/>
      <c r="M2793" s="124"/>
      <c r="N2793" s="124"/>
      <c r="O2793" s="124"/>
      <c r="P2793" s="124"/>
      <c r="Q2793" s="124"/>
      <c r="R2793" s="124"/>
      <c r="S2793" s="124"/>
      <c r="T2793" s="124"/>
      <c r="U2793" s="124"/>
      <c r="V2793" s="124"/>
      <c r="W2793" s="124"/>
      <c r="X2793" s="124"/>
      <c r="Y2793" s="124"/>
      <c r="Z2793" s="124"/>
    </row>
    <row r="2794">
      <c r="A2794" s="124"/>
      <c r="B2794" s="124"/>
      <c r="C2794" s="147"/>
      <c r="D2794" s="124"/>
      <c r="E2794" s="124"/>
      <c r="F2794" s="124"/>
      <c r="G2794" s="124"/>
      <c r="H2794" s="124"/>
      <c r="I2794" s="124"/>
      <c r="J2794" s="124"/>
      <c r="K2794" s="124"/>
      <c r="L2794" s="124"/>
      <c r="M2794" s="124"/>
      <c r="N2794" s="124"/>
      <c r="O2794" s="124"/>
      <c r="P2794" s="124"/>
      <c r="Q2794" s="124"/>
      <c r="R2794" s="124"/>
      <c r="S2794" s="124"/>
      <c r="T2794" s="124"/>
      <c r="U2794" s="124"/>
      <c r="V2794" s="124"/>
      <c r="W2794" s="124"/>
      <c r="X2794" s="124"/>
      <c r="Y2794" s="124"/>
      <c r="Z2794" s="124"/>
    </row>
    <row r="2795">
      <c r="A2795" s="124"/>
      <c r="B2795" s="124"/>
      <c r="C2795" s="147"/>
      <c r="D2795" s="124"/>
      <c r="E2795" s="124"/>
      <c r="F2795" s="124"/>
      <c r="G2795" s="124"/>
      <c r="H2795" s="124"/>
      <c r="I2795" s="124"/>
      <c r="J2795" s="124"/>
      <c r="K2795" s="124"/>
      <c r="L2795" s="124"/>
      <c r="M2795" s="124"/>
      <c r="N2795" s="124"/>
      <c r="O2795" s="124"/>
      <c r="P2795" s="124"/>
      <c r="Q2795" s="124"/>
      <c r="R2795" s="124"/>
      <c r="S2795" s="124"/>
      <c r="T2795" s="124"/>
      <c r="U2795" s="124"/>
      <c r="V2795" s="124"/>
      <c r="W2795" s="124"/>
      <c r="X2795" s="124"/>
      <c r="Y2795" s="124"/>
      <c r="Z2795" s="124"/>
    </row>
    <row r="2796">
      <c r="A2796" s="124"/>
      <c r="B2796" s="124"/>
      <c r="C2796" s="147"/>
      <c r="D2796" s="124"/>
      <c r="E2796" s="124"/>
      <c r="F2796" s="124"/>
      <c r="G2796" s="124"/>
      <c r="H2796" s="124"/>
      <c r="I2796" s="124"/>
      <c r="J2796" s="124"/>
      <c r="K2796" s="124"/>
      <c r="L2796" s="124"/>
      <c r="M2796" s="124"/>
      <c r="N2796" s="124"/>
      <c r="O2796" s="124"/>
      <c r="P2796" s="124"/>
      <c r="Q2796" s="124"/>
      <c r="R2796" s="124"/>
      <c r="S2796" s="124"/>
      <c r="T2796" s="124"/>
      <c r="U2796" s="124"/>
      <c r="V2796" s="124"/>
      <c r="W2796" s="124"/>
      <c r="X2796" s="124"/>
      <c r="Y2796" s="124"/>
      <c r="Z2796" s="124"/>
    </row>
    <row r="2797">
      <c r="A2797" s="124"/>
      <c r="B2797" s="124"/>
      <c r="C2797" s="147"/>
      <c r="D2797" s="124"/>
      <c r="E2797" s="124"/>
      <c r="F2797" s="124"/>
      <c r="G2797" s="124"/>
      <c r="H2797" s="124"/>
      <c r="I2797" s="124"/>
      <c r="J2797" s="124"/>
      <c r="K2797" s="124"/>
      <c r="L2797" s="124"/>
      <c r="M2797" s="124"/>
      <c r="N2797" s="124"/>
      <c r="O2797" s="124"/>
      <c r="P2797" s="124"/>
      <c r="Q2797" s="124"/>
      <c r="R2797" s="124"/>
      <c r="S2797" s="124"/>
      <c r="T2797" s="124"/>
      <c r="U2797" s="124"/>
      <c r="V2797" s="124"/>
      <c r="W2797" s="124"/>
      <c r="X2797" s="124"/>
      <c r="Y2797" s="124"/>
      <c r="Z2797" s="124"/>
    </row>
    <row r="2798">
      <c r="A2798" s="124"/>
      <c r="B2798" s="124"/>
      <c r="C2798" s="147"/>
      <c r="D2798" s="124"/>
      <c r="E2798" s="124"/>
      <c r="F2798" s="124"/>
      <c r="G2798" s="124"/>
      <c r="H2798" s="124"/>
      <c r="I2798" s="124"/>
      <c r="J2798" s="124"/>
      <c r="K2798" s="124"/>
      <c r="L2798" s="124"/>
      <c r="M2798" s="124"/>
      <c r="N2798" s="124"/>
      <c r="O2798" s="124"/>
      <c r="P2798" s="124"/>
      <c r="Q2798" s="124"/>
      <c r="R2798" s="124"/>
      <c r="S2798" s="124"/>
      <c r="T2798" s="124"/>
      <c r="U2798" s="124"/>
      <c r="V2798" s="124"/>
      <c r="W2798" s="124"/>
      <c r="X2798" s="124"/>
      <c r="Y2798" s="124"/>
      <c r="Z2798" s="124"/>
    </row>
    <row r="2799">
      <c r="A2799" s="124"/>
      <c r="B2799" s="124"/>
      <c r="C2799" s="147"/>
      <c r="D2799" s="124"/>
      <c r="E2799" s="124"/>
      <c r="F2799" s="124"/>
      <c r="G2799" s="124"/>
      <c r="H2799" s="124"/>
      <c r="I2799" s="124"/>
      <c r="J2799" s="124"/>
      <c r="K2799" s="124"/>
      <c r="L2799" s="124"/>
      <c r="M2799" s="124"/>
      <c r="N2799" s="124"/>
      <c r="O2799" s="124"/>
      <c r="P2799" s="124"/>
      <c r="Q2799" s="124"/>
      <c r="R2799" s="124"/>
      <c r="S2799" s="124"/>
      <c r="T2799" s="124"/>
      <c r="U2799" s="124"/>
      <c r="V2799" s="124"/>
      <c r="W2799" s="124"/>
      <c r="X2799" s="124"/>
      <c r="Y2799" s="124"/>
      <c r="Z2799" s="124"/>
    </row>
    <row r="2800">
      <c r="A2800" s="124"/>
      <c r="B2800" s="124"/>
      <c r="C2800" s="147"/>
      <c r="D2800" s="124"/>
      <c r="E2800" s="124"/>
      <c r="F2800" s="124"/>
      <c r="G2800" s="124"/>
      <c r="H2800" s="124"/>
      <c r="I2800" s="124"/>
      <c r="J2800" s="124"/>
      <c r="K2800" s="124"/>
      <c r="L2800" s="124"/>
      <c r="M2800" s="124"/>
      <c r="N2800" s="124"/>
      <c r="O2800" s="124"/>
      <c r="P2800" s="124"/>
      <c r="Q2800" s="124"/>
      <c r="R2800" s="124"/>
      <c r="S2800" s="124"/>
      <c r="T2800" s="124"/>
      <c r="U2800" s="124"/>
      <c r="V2800" s="124"/>
      <c r="W2800" s="124"/>
      <c r="X2800" s="124"/>
      <c r="Y2800" s="124"/>
      <c r="Z2800" s="124"/>
    </row>
    <row r="2801">
      <c r="A2801" s="124"/>
      <c r="B2801" s="124"/>
      <c r="C2801" s="147"/>
      <c r="D2801" s="124"/>
      <c r="E2801" s="124"/>
      <c r="F2801" s="124"/>
      <c r="G2801" s="124"/>
      <c r="H2801" s="124"/>
      <c r="I2801" s="124"/>
      <c r="J2801" s="124"/>
      <c r="K2801" s="124"/>
      <c r="L2801" s="124"/>
      <c r="M2801" s="124"/>
      <c r="N2801" s="124"/>
      <c r="O2801" s="124"/>
      <c r="P2801" s="124"/>
      <c r="Q2801" s="124"/>
      <c r="R2801" s="124"/>
      <c r="S2801" s="124"/>
      <c r="T2801" s="124"/>
      <c r="U2801" s="124"/>
      <c r="V2801" s="124"/>
      <c r="W2801" s="124"/>
      <c r="X2801" s="124"/>
      <c r="Y2801" s="124"/>
      <c r="Z2801" s="124"/>
    </row>
    <row r="2802">
      <c r="A2802" s="124"/>
      <c r="B2802" s="124"/>
      <c r="C2802" s="147"/>
      <c r="D2802" s="124"/>
      <c r="E2802" s="124"/>
      <c r="F2802" s="124"/>
      <c r="G2802" s="124"/>
      <c r="H2802" s="124"/>
      <c r="I2802" s="124"/>
      <c r="J2802" s="124"/>
      <c r="K2802" s="124"/>
      <c r="L2802" s="124"/>
      <c r="M2802" s="124"/>
      <c r="N2802" s="124"/>
      <c r="O2802" s="124"/>
      <c r="P2802" s="124"/>
      <c r="Q2802" s="124"/>
      <c r="R2802" s="124"/>
      <c r="S2802" s="124"/>
      <c r="T2802" s="124"/>
      <c r="U2802" s="124"/>
      <c r="V2802" s="124"/>
      <c r="W2802" s="124"/>
      <c r="X2802" s="124"/>
      <c r="Y2802" s="124"/>
      <c r="Z2802" s="124"/>
    </row>
    <row r="2803">
      <c r="A2803" s="124"/>
      <c r="B2803" s="124"/>
      <c r="C2803" s="147"/>
      <c r="D2803" s="124"/>
      <c r="E2803" s="124"/>
      <c r="F2803" s="124"/>
      <c r="G2803" s="124"/>
      <c r="H2803" s="124"/>
      <c r="I2803" s="124"/>
      <c r="J2803" s="124"/>
      <c r="K2803" s="124"/>
      <c r="L2803" s="124"/>
      <c r="M2803" s="124"/>
      <c r="N2803" s="124"/>
      <c r="O2803" s="124"/>
      <c r="P2803" s="124"/>
      <c r="Q2803" s="124"/>
      <c r="R2803" s="124"/>
      <c r="S2803" s="124"/>
      <c r="T2803" s="124"/>
      <c r="U2803" s="124"/>
      <c r="V2803" s="124"/>
      <c r="W2803" s="124"/>
      <c r="X2803" s="124"/>
      <c r="Y2803" s="124"/>
      <c r="Z2803" s="124"/>
    </row>
    <row r="2804">
      <c r="A2804" s="124"/>
      <c r="B2804" s="124"/>
      <c r="C2804" s="147"/>
      <c r="D2804" s="124"/>
      <c r="E2804" s="124"/>
      <c r="F2804" s="124"/>
      <c r="G2804" s="124"/>
      <c r="H2804" s="124"/>
      <c r="I2804" s="124"/>
      <c r="J2804" s="124"/>
      <c r="K2804" s="124"/>
      <c r="L2804" s="124"/>
      <c r="M2804" s="124"/>
      <c r="N2804" s="124"/>
      <c r="O2804" s="124"/>
      <c r="P2804" s="124"/>
      <c r="Q2804" s="124"/>
      <c r="R2804" s="124"/>
      <c r="S2804" s="124"/>
      <c r="T2804" s="124"/>
      <c r="U2804" s="124"/>
      <c r="V2804" s="124"/>
      <c r="W2804" s="124"/>
      <c r="X2804" s="124"/>
      <c r="Y2804" s="124"/>
      <c r="Z2804" s="124"/>
    </row>
    <row r="2805">
      <c r="A2805" s="124"/>
      <c r="B2805" s="124"/>
      <c r="C2805" s="147"/>
      <c r="D2805" s="124"/>
      <c r="E2805" s="124"/>
      <c r="F2805" s="124"/>
      <c r="G2805" s="124"/>
      <c r="H2805" s="124"/>
      <c r="I2805" s="124"/>
      <c r="J2805" s="124"/>
      <c r="K2805" s="124"/>
      <c r="L2805" s="124"/>
      <c r="M2805" s="124"/>
      <c r="N2805" s="124"/>
      <c r="O2805" s="124"/>
      <c r="P2805" s="124"/>
      <c r="Q2805" s="124"/>
      <c r="R2805" s="124"/>
      <c r="S2805" s="124"/>
      <c r="T2805" s="124"/>
      <c r="U2805" s="124"/>
      <c r="V2805" s="124"/>
      <c r="W2805" s="124"/>
      <c r="X2805" s="124"/>
      <c r="Y2805" s="124"/>
      <c r="Z2805" s="124"/>
    </row>
    <row r="2806">
      <c r="A2806" s="124"/>
      <c r="B2806" s="124"/>
      <c r="C2806" s="147"/>
      <c r="D2806" s="124"/>
      <c r="E2806" s="124"/>
      <c r="F2806" s="124"/>
      <c r="G2806" s="124"/>
      <c r="H2806" s="124"/>
      <c r="I2806" s="124"/>
      <c r="J2806" s="124"/>
      <c r="K2806" s="124"/>
      <c r="L2806" s="124"/>
      <c r="M2806" s="124"/>
      <c r="N2806" s="124"/>
      <c r="O2806" s="124"/>
      <c r="P2806" s="124"/>
      <c r="Q2806" s="124"/>
      <c r="R2806" s="124"/>
      <c r="S2806" s="124"/>
      <c r="T2806" s="124"/>
      <c r="U2806" s="124"/>
      <c r="V2806" s="124"/>
      <c r="W2806" s="124"/>
      <c r="X2806" s="124"/>
      <c r="Y2806" s="124"/>
      <c r="Z2806" s="124"/>
    </row>
    <row r="2807">
      <c r="A2807" s="124"/>
      <c r="B2807" s="124"/>
      <c r="C2807" s="147"/>
      <c r="D2807" s="124"/>
      <c r="E2807" s="124"/>
      <c r="F2807" s="124"/>
      <c r="G2807" s="124"/>
      <c r="H2807" s="124"/>
      <c r="I2807" s="124"/>
      <c r="J2807" s="124"/>
      <c r="K2807" s="124"/>
      <c r="L2807" s="124"/>
      <c r="M2807" s="124"/>
      <c r="N2807" s="124"/>
      <c r="O2807" s="124"/>
      <c r="P2807" s="124"/>
      <c r="Q2807" s="124"/>
      <c r="R2807" s="124"/>
      <c r="S2807" s="124"/>
      <c r="T2807" s="124"/>
      <c r="U2807" s="124"/>
      <c r="V2807" s="124"/>
      <c r="W2807" s="124"/>
      <c r="X2807" s="124"/>
      <c r="Y2807" s="124"/>
      <c r="Z2807" s="124"/>
    </row>
    <row r="2808">
      <c r="A2808" s="124"/>
      <c r="B2808" s="124"/>
      <c r="C2808" s="147"/>
      <c r="D2808" s="124"/>
      <c r="E2808" s="124"/>
      <c r="F2808" s="124"/>
      <c r="G2808" s="124"/>
      <c r="H2808" s="124"/>
      <c r="I2808" s="124"/>
      <c r="J2808" s="124"/>
      <c r="K2808" s="124"/>
      <c r="L2808" s="124"/>
      <c r="M2808" s="124"/>
      <c r="N2808" s="124"/>
      <c r="O2808" s="124"/>
      <c r="P2808" s="124"/>
      <c r="Q2808" s="124"/>
      <c r="R2808" s="124"/>
      <c r="S2808" s="124"/>
      <c r="T2808" s="124"/>
      <c r="U2808" s="124"/>
      <c r="V2808" s="124"/>
      <c r="W2808" s="124"/>
      <c r="X2808" s="124"/>
      <c r="Y2808" s="124"/>
      <c r="Z2808" s="124"/>
    </row>
    <row r="2809">
      <c r="A2809" s="124"/>
      <c r="B2809" s="124"/>
      <c r="C2809" s="147"/>
      <c r="D2809" s="124"/>
      <c r="E2809" s="124"/>
      <c r="F2809" s="124"/>
      <c r="G2809" s="124"/>
      <c r="H2809" s="124"/>
      <c r="I2809" s="124"/>
      <c r="J2809" s="124"/>
      <c r="K2809" s="124"/>
      <c r="L2809" s="124"/>
      <c r="M2809" s="124"/>
      <c r="N2809" s="124"/>
      <c r="O2809" s="124"/>
      <c r="P2809" s="124"/>
      <c r="Q2809" s="124"/>
      <c r="R2809" s="124"/>
      <c r="S2809" s="124"/>
      <c r="T2809" s="124"/>
      <c r="U2809" s="124"/>
      <c r="V2809" s="124"/>
      <c r="W2809" s="124"/>
      <c r="X2809" s="124"/>
      <c r="Y2809" s="124"/>
      <c r="Z2809" s="124"/>
    </row>
    <row r="2810">
      <c r="A2810" s="124"/>
      <c r="B2810" s="124"/>
      <c r="C2810" s="147"/>
      <c r="D2810" s="124"/>
      <c r="E2810" s="124"/>
      <c r="F2810" s="124"/>
      <c r="G2810" s="124"/>
      <c r="H2810" s="124"/>
      <c r="I2810" s="124"/>
      <c r="J2810" s="124"/>
      <c r="K2810" s="124"/>
      <c r="L2810" s="124"/>
      <c r="M2810" s="124"/>
      <c r="N2810" s="124"/>
      <c r="O2810" s="124"/>
      <c r="P2810" s="124"/>
      <c r="Q2810" s="124"/>
      <c r="R2810" s="124"/>
      <c r="S2810" s="124"/>
      <c r="T2810" s="124"/>
      <c r="U2810" s="124"/>
      <c r="V2810" s="124"/>
      <c r="W2810" s="124"/>
      <c r="X2810" s="124"/>
      <c r="Y2810" s="124"/>
      <c r="Z2810" s="124"/>
    </row>
    <row r="2811">
      <c r="A2811" s="124"/>
      <c r="B2811" s="124"/>
      <c r="C2811" s="147"/>
      <c r="D2811" s="124"/>
      <c r="E2811" s="124"/>
      <c r="F2811" s="124"/>
      <c r="G2811" s="124"/>
      <c r="H2811" s="124"/>
      <c r="I2811" s="124"/>
      <c r="J2811" s="124"/>
      <c r="K2811" s="124"/>
      <c r="L2811" s="124"/>
      <c r="M2811" s="124"/>
      <c r="N2811" s="124"/>
      <c r="O2811" s="124"/>
      <c r="P2811" s="124"/>
      <c r="Q2811" s="124"/>
      <c r="R2811" s="124"/>
      <c r="S2811" s="124"/>
      <c r="T2811" s="124"/>
      <c r="U2811" s="124"/>
      <c r="V2811" s="124"/>
      <c r="W2811" s="124"/>
      <c r="X2811" s="124"/>
      <c r="Y2811" s="124"/>
      <c r="Z2811" s="124"/>
    </row>
    <row r="2812">
      <c r="A2812" s="124"/>
      <c r="B2812" s="124"/>
      <c r="C2812" s="147"/>
      <c r="D2812" s="124"/>
      <c r="E2812" s="124"/>
      <c r="F2812" s="124"/>
      <c r="G2812" s="124"/>
      <c r="H2812" s="124"/>
      <c r="I2812" s="124"/>
      <c r="J2812" s="124"/>
      <c r="K2812" s="124"/>
      <c r="L2812" s="124"/>
      <c r="M2812" s="124"/>
      <c r="N2812" s="124"/>
      <c r="O2812" s="124"/>
      <c r="P2812" s="124"/>
      <c r="Q2812" s="124"/>
      <c r="R2812" s="124"/>
      <c r="S2812" s="124"/>
      <c r="T2812" s="124"/>
      <c r="U2812" s="124"/>
      <c r="V2812" s="124"/>
      <c r="W2812" s="124"/>
      <c r="X2812" s="124"/>
      <c r="Y2812" s="124"/>
      <c r="Z2812" s="124"/>
    </row>
    <row r="2813">
      <c r="A2813" s="124"/>
      <c r="B2813" s="124"/>
      <c r="C2813" s="147"/>
      <c r="D2813" s="124"/>
      <c r="E2813" s="124"/>
      <c r="F2813" s="124"/>
      <c r="G2813" s="124"/>
      <c r="H2813" s="124"/>
      <c r="I2813" s="124"/>
      <c r="J2813" s="124"/>
      <c r="K2813" s="124"/>
      <c r="L2813" s="124"/>
      <c r="M2813" s="124"/>
      <c r="N2813" s="124"/>
      <c r="O2813" s="124"/>
      <c r="P2813" s="124"/>
      <c r="Q2813" s="124"/>
      <c r="R2813" s="124"/>
      <c r="S2813" s="124"/>
      <c r="T2813" s="124"/>
      <c r="U2813" s="124"/>
      <c r="V2813" s="124"/>
      <c r="W2813" s="124"/>
      <c r="X2813" s="124"/>
      <c r="Y2813" s="124"/>
      <c r="Z2813" s="124"/>
    </row>
    <row r="2814">
      <c r="A2814" s="124"/>
      <c r="B2814" s="124"/>
      <c r="C2814" s="147"/>
      <c r="D2814" s="124"/>
      <c r="E2814" s="124"/>
      <c r="F2814" s="124"/>
      <c r="G2814" s="124"/>
      <c r="H2814" s="124"/>
      <c r="I2814" s="124"/>
      <c r="J2814" s="124"/>
      <c r="K2814" s="124"/>
      <c r="L2814" s="124"/>
      <c r="M2814" s="124"/>
      <c r="N2814" s="124"/>
      <c r="O2814" s="124"/>
      <c r="P2814" s="124"/>
      <c r="Q2814" s="124"/>
      <c r="R2814" s="124"/>
      <c r="S2814" s="124"/>
      <c r="T2814" s="124"/>
      <c r="U2814" s="124"/>
      <c r="V2814" s="124"/>
      <c r="W2814" s="124"/>
      <c r="X2814" s="124"/>
      <c r="Y2814" s="124"/>
      <c r="Z2814" s="124"/>
    </row>
    <row r="2815">
      <c r="A2815" s="124"/>
      <c r="B2815" s="124"/>
      <c r="C2815" s="147"/>
      <c r="D2815" s="124"/>
      <c r="E2815" s="124"/>
      <c r="F2815" s="124"/>
      <c r="G2815" s="124"/>
      <c r="H2815" s="124"/>
      <c r="I2815" s="124"/>
      <c r="J2815" s="124"/>
      <c r="K2815" s="124"/>
      <c r="L2815" s="124"/>
      <c r="M2815" s="124"/>
      <c r="N2815" s="124"/>
      <c r="O2815" s="124"/>
      <c r="P2815" s="124"/>
      <c r="Q2815" s="124"/>
      <c r="R2815" s="124"/>
      <c r="S2815" s="124"/>
      <c r="T2815" s="124"/>
      <c r="U2815" s="124"/>
      <c r="V2815" s="124"/>
      <c r="W2815" s="124"/>
      <c r="X2815" s="124"/>
      <c r="Y2815" s="124"/>
      <c r="Z2815" s="124"/>
    </row>
    <row r="2816">
      <c r="A2816" s="124"/>
      <c r="B2816" s="124"/>
      <c r="C2816" s="147"/>
      <c r="D2816" s="124"/>
      <c r="E2816" s="124"/>
      <c r="F2816" s="124"/>
      <c r="G2816" s="124"/>
      <c r="H2816" s="124"/>
      <c r="I2816" s="124"/>
      <c r="J2816" s="124"/>
      <c r="K2816" s="124"/>
      <c r="L2816" s="124"/>
      <c r="M2816" s="124"/>
      <c r="N2816" s="124"/>
      <c r="O2816" s="124"/>
      <c r="P2816" s="124"/>
      <c r="Q2816" s="124"/>
      <c r="R2816" s="124"/>
      <c r="S2816" s="124"/>
      <c r="T2816" s="124"/>
      <c r="U2816" s="124"/>
      <c r="V2816" s="124"/>
      <c r="W2816" s="124"/>
      <c r="X2816" s="124"/>
      <c r="Y2816" s="124"/>
      <c r="Z2816" s="124"/>
    </row>
    <row r="2817">
      <c r="A2817" s="124"/>
      <c r="B2817" s="124"/>
      <c r="C2817" s="147"/>
      <c r="D2817" s="124"/>
      <c r="E2817" s="124"/>
      <c r="F2817" s="124"/>
      <c r="G2817" s="124"/>
      <c r="H2817" s="124"/>
      <c r="I2817" s="124"/>
      <c r="J2817" s="124"/>
      <c r="K2817" s="124"/>
      <c r="L2817" s="124"/>
      <c r="M2817" s="124"/>
      <c r="N2817" s="124"/>
      <c r="O2817" s="124"/>
      <c r="P2817" s="124"/>
      <c r="Q2817" s="124"/>
      <c r="R2817" s="124"/>
      <c r="S2817" s="124"/>
      <c r="T2817" s="124"/>
      <c r="U2817" s="124"/>
      <c r="V2817" s="124"/>
      <c r="W2817" s="124"/>
      <c r="X2817" s="124"/>
      <c r="Y2817" s="124"/>
      <c r="Z2817" s="124"/>
    </row>
    <row r="2818">
      <c r="A2818" s="124"/>
      <c r="B2818" s="124"/>
      <c r="C2818" s="147"/>
      <c r="D2818" s="124"/>
      <c r="E2818" s="124"/>
      <c r="F2818" s="124"/>
      <c r="G2818" s="124"/>
      <c r="H2818" s="124"/>
      <c r="I2818" s="124"/>
      <c r="J2818" s="124"/>
      <c r="K2818" s="124"/>
      <c r="L2818" s="124"/>
      <c r="M2818" s="124"/>
      <c r="N2818" s="124"/>
      <c r="O2818" s="124"/>
      <c r="P2818" s="124"/>
      <c r="Q2818" s="124"/>
      <c r="R2818" s="124"/>
      <c r="S2818" s="124"/>
      <c r="T2818" s="124"/>
      <c r="U2818" s="124"/>
      <c r="V2818" s="124"/>
      <c r="W2818" s="124"/>
      <c r="X2818" s="124"/>
      <c r="Y2818" s="124"/>
      <c r="Z2818" s="124"/>
    </row>
    <row r="2819">
      <c r="A2819" s="124"/>
      <c r="B2819" s="124"/>
      <c r="C2819" s="147"/>
      <c r="D2819" s="124"/>
      <c r="E2819" s="124"/>
      <c r="F2819" s="124"/>
      <c r="G2819" s="124"/>
      <c r="H2819" s="124"/>
      <c r="I2819" s="124"/>
      <c r="J2819" s="124"/>
      <c r="K2819" s="124"/>
      <c r="L2819" s="124"/>
      <c r="M2819" s="124"/>
      <c r="N2819" s="124"/>
      <c r="O2819" s="124"/>
      <c r="P2819" s="124"/>
      <c r="Q2819" s="124"/>
      <c r="R2819" s="124"/>
      <c r="S2819" s="124"/>
      <c r="T2819" s="124"/>
      <c r="U2819" s="124"/>
      <c r="V2819" s="124"/>
      <c r="W2819" s="124"/>
      <c r="X2819" s="124"/>
      <c r="Y2819" s="124"/>
      <c r="Z2819" s="124"/>
    </row>
    <row r="2820">
      <c r="A2820" s="124"/>
      <c r="B2820" s="124"/>
      <c r="C2820" s="147"/>
      <c r="D2820" s="124"/>
      <c r="E2820" s="124"/>
      <c r="F2820" s="124"/>
      <c r="G2820" s="124"/>
      <c r="H2820" s="124"/>
      <c r="I2820" s="124"/>
      <c r="J2820" s="124"/>
      <c r="K2820" s="124"/>
      <c r="L2820" s="124"/>
      <c r="M2820" s="124"/>
      <c r="N2820" s="124"/>
      <c r="O2820" s="124"/>
      <c r="P2820" s="124"/>
      <c r="Q2820" s="124"/>
      <c r="R2820" s="124"/>
      <c r="S2820" s="124"/>
      <c r="T2820" s="124"/>
      <c r="U2820" s="124"/>
      <c r="V2820" s="124"/>
      <c r="W2820" s="124"/>
      <c r="X2820" s="124"/>
      <c r="Y2820" s="124"/>
      <c r="Z2820" s="124"/>
    </row>
    <row r="2821">
      <c r="A2821" s="124"/>
      <c r="B2821" s="124"/>
      <c r="C2821" s="147"/>
      <c r="D2821" s="124"/>
      <c r="E2821" s="124"/>
      <c r="F2821" s="124"/>
      <c r="G2821" s="124"/>
      <c r="H2821" s="124"/>
      <c r="I2821" s="124"/>
      <c r="J2821" s="124"/>
      <c r="K2821" s="124"/>
      <c r="L2821" s="124"/>
      <c r="M2821" s="124"/>
      <c r="N2821" s="124"/>
      <c r="O2821" s="124"/>
      <c r="P2821" s="124"/>
      <c r="Q2821" s="124"/>
      <c r="R2821" s="124"/>
      <c r="S2821" s="124"/>
      <c r="T2821" s="124"/>
      <c r="U2821" s="124"/>
      <c r="V2821" s="124"/>
      <c r="W2821" s="124"/>
      <c r="X2821" s="124"/>
      <c r="Y2821" s="124"/>
      <c r="Z2821" s="124"/>
    </row>
    <row r="2822">
      <c r="A2822" s="124"/>
      <c r="B2822" s="124"/>
      <c r="C2822" s="147"/>
      <c r="D2822" s="124"/>
      <c r="E2822" s="124"/>
      <c r="F2822" s="124"/>
      <c r="G2822" s="124"/>
      <c r="H2822" s="124"/>
      <c r="I2822" s="124"/>
      <c r="J2822" s="124"/>
      <c r="K2822" s="124"/>
      <c r="L2822" s="124"/>
      <c r="M2822" s="124"/>
      <c r="N2822" s="124"/>
      <c r="O2822" s="124"/>
      <c r="P2822" s="124"/>
      <c r="Q2822" s="124"/>
      <c r="R2822" s="124"/>
      <c r="S2822" s="124"/>
      <c r="T2822" s="124"/>
      <c r="U2822" s="124"/>
      <c r="V2822" s="124"/>
      <c r="W2822" s="124"/>
      <c r="X2822" s="124"/>
      <c r="Y2822" s="124"/>
      <c r="Z2822" s="124"/>
    </row>
    <row r="2823">
      <c r="A2823" s="124"/>
      <c r="B2823" s="124"/>
      <c r="C2823" s="147"/>
      <c r="D2823" s="124"/>
      <c r="E2823" s="124"/>
      <c r="F2823" s="124"/>
      <c r="G2823" s="124"/>
      <c r="H2823" s="124"/>
      <c r="I2823" s="124"/>
      <c r="J2823" s="124"/>
      <c r="K2823" s="124"/>
      <c r="L2823" s="124"/>
      <c r="M2823" s="124"/>
      <c r="N2823" s="124"/>
      <c r="O2823" s="124"/>
      <c r="P2823" s="124"/>
      <c r="Q2823" s="124"/>
      <c r="R2823" s="124"/>
      <c r="S2823" s="124"/>
      <c r="T2823" s="124"/>
      <c r="U2823" s="124"/>
      <c r="V2823" s="124"/>
      <c r="W2823" s="124"/>
      <c r="X2823" s="124"/>
      <c r="Y2823" s="124"/>
      <c r="Z2823" s="124"/>
    </row>
    <row r="2824">
      <c r="A2824" s="124"/>
      <c r="B2824" s="124"/>
      <c r="C2824" s="147"/>
      <c r="D2824" s="124"/>
      <c r="E2824" s="124"/>
      <c r="F2824" s="124"/>
      <c r="G2824" s="124"/>
      <c r="H2824" s="124"/>
      <c r="I2824" s="124"/>
      <c r="J2824" s="124"/>
      <c r="K2824" s="124"/>
      <c r="L2824" s="124"/>
      <c r="M2824" s="124"/>
      <c r="N2824" s="124"/>
      <c r="O2824" s="124"/>
      <c r="P2824" s="124"/>
      <c r="Q2824" s="124"/>
      <c r="R2824" s="124"/>
      <c r="S2824" s="124"/>
      <c r="T2824" s="124"/>
      <c r="U2824" s="124"/>
      <c r="V2824" s="124"/>
      <c r="W2824" s="124"/>
      <c r="X2824" s="124"/>
      <c r="Y2824" s="124"/>
      <c r="Z2824" s="124"/>
    </row>
    <row r="2825">
      <c r="A2825" s="124"/>
      <c r="B2825" s="124"/>
      <c r="C2825" s="147"/>
      <c r="D2825" s="124"/>
      <c r="E2825" s="124"/>
      <c r="F2825" s="124"/>
      <c r="G2825" s="124"/>
      <c r="H2825" s="124"/>
      <c r="I2825" s="124"/>
      <c r="J2825" s="124"/>
      <c r="K2825" s="124"/>
      <c r="L2825" s="124"/>
      <c r="M2825" s="124"/>
      <c r="N2825" s="124"/>
      <c r="O2825" s="124"/>
      <c r="P2825" s="124"/>
      <c r="Q2825" s="124"/>
      <c r="R2825" s="124"/>
      <c r="S2825" s="124"/>
      <c r="T2825" s="124"/>
      <c r="U2825" s="124"/>
      <c r="V2825" s="124"/>
      <c r="W2825" s="124"/>
      <c r="X2825" s="124"/>
      <c r="Y2825" s="124"/>
      <c r="Z2825" s="124"/>
    </row>
    <row r="2826">
      <c r="A2826" s="124"/>
      <c r="B2826" s="124"/>
      <c r="C2826" s="147"/>
      <c r="D2826" s="124"/>
      <c r="E2826" s="124"/>
      <c r="F2826" s="124"/>
      <c r="G2826" s="124"/>
      <c r="H2826" s="124"/>
      <c r="I2826" s="124"/>
      <c r="J2826" s="124"/>
      <c r="K2826" s="124"/>
      <c r="L2826" s="124"/>
      <c r="M2826" s="124"/>
      <c r="N2826" s="124"/>
      <c r="O2826" s="124"/>
      <c r="P2826" s="124"/>
      <c r="Q2826" s="124"/>
      <c r="R2826" s="124"/>
      <c r="S2826" s="124"/>
      <c r="T2826" s="124"/>
      <c r="U2826" s="124"/>
      <c r="V2826" s="124"/>
      <c r="W2826" s="124"/>
      <c r="X2826" s="124"/>
      <c r="Y2826" s="124"/>
      <c r="Z2826" s="124"/>
    </row>
    <row r="2827">
      <c r="A2827" s="124"/>
      <c r="B2827" s="124"/>
      <c r="C2827" s="147"/>
      <c r="D2827" s="124"/>
      <c r="E2827" s="124"/>
      <c r="F2827" s="124"/>
      <c r="G2827" s="124"/>
      <c r="H2827" s="124"/>
      <c r="I2827" s="124"/>
      <c r="J2827" s="124"/>
      <c r="K2827" s="124"/>
      <c r="L2827" s="124"/>
      <c r="M2827" s="124"/>
      <c r="N2827" s="124"/>
      <c r="O2827" s="124"/>
      <c r="P2827" s="124"/>
      <c r="Q2827" s="124"/>
      <c r="R2827" s="124"/>
      <c r="S2827" s="124"/>
      <c r="T2827" s="124"/>
      <c r="U2827" s="124"/>
      <c r="V2827" s="124"/>
      <c r="W2827" s="124"/>
      <c r="X2827" s="124"/>
      <c r="Y2827" s="124"/>
      <c r="Z2827" s="124"/>
    </row>
    <row r="2828">
      <c r="A2828" s="124"/>
      <c r="B2828" s="124"/>
      <c r="C2828" s="147"/>
      <c r="D2828" s="124"/>
      <c r="E2828" s="124"/>
      <c r="F2828" s="124"/>
      <c r="G2828" s="124"/>
      <c r="H2828" s="124"/>
      <c r="I2828" s="124"/>
      <c r="J2828" s="124"/>
      <c r="K2828" s="124"/>
      <c r="L2828" s="124"/>
      <c r="M2828" s="124"/>
      <c r="N2828" s="124"/>
      <c r="O2828" s="124"/>
      <c r="P2828" s="124"/>
      <c r="Q2828" s="124"/>
      <c r="R2828" s="124"/>
      <c r="S2828" s="124"/>
      <c r="T2828" s="124"/>
      <c r="U2828" s="124"/>
      <c r="V2828" s="124"/>
      <c r="W2828" s="124"/>
      <c r="X2828" s="124"/>
      <c r="Y2828" s="124"/>
      <c r="Z2828" s="124"/>
    </row>
    <row r="2829">
      <c r="A2829" s="124"/>
      <c r="B2829" s="124"/>
      <c r="C2829" s="147"/>
      <c r="D2829" s="124"/>
      <c r="E2829" s="124"/>
      <c r="F2829" s="124"/>
      <c r="G2829" s="124"/>
      <c r="H2829" s="124"/>
      <c r="I2829" s="124"/>
      <c r="J2829" s="124"/>
      <c r="K2829" s="124"/>
      <c r="L2829" s="124"/>
      <c r="M2829" s="124"/>
      <c r="N2829" s="124"/>
      <c r="O2829" s="124"/>
      <c r="P2829" s="124"/>
      <c r="Q2829" s="124"/>
      <c r="R2829" s="124"/>
      <c r="S2829" s="124"/>
      <c r="T2829" s="124"/>
      <c r="U2829" s="124"/>
      <c r="V2829" s="124"/>
      <c r="W2829" s="124"/>
      <c r="X2829" s="124"/>
      <c r="Y2829" s="124"/>
      <c r="Z2829" s="124"/>
    </row>
    <row r="2830">
      <c r="A2830" s="124"/>
      <c r="B2830" s="124"/>
      <c r="C2830" s="147"/>
      <c r="D2830" s="124"/>
      <c r="E2830" s="124"/>
      <c r="F2830" s="124"/>
      <c r="G2830" s="124"/>
      <c r="H2830" s="124"/>
      <c r="I2830" s="124"/>
      <c r="J2830" s="124"/>
      <c r="K2830" s="124"/>
      <c r="L2830" s="124"/>
      <c r="M2830" s="124"/>
      <c r="N2830" s="124"/>
      <c r="O2830" s="124"/>
      <c r="P2830" s="124"/>
      <c r="Q2830" s="124"/>
      <c r="R2830" s="124"/>
      <c r="S2830" s="124"/>
      <c r="T2830" s="124"/>
      <c r="U2830" s="124"/>
      <c r="V2830" s="124"/>
      <c r="W2830" s="124"/>
      <c r="X2830" s="124"/>
      <c r="Y2830" s="124"/>
      <c r="Z2830" s="124"/>
    </row>
    <row r="2831">
      <c r="A2831" s="124"/>
      <c r="B2831" s="124"/>
      <c r="C2831" s="147"/>
      <c r="D2831" s="124"/>
      <c r="E2831" s="124"/>
      <c r="F2831" s="124"/>
      <c r="G2831" s="124"/>
      <c r="H2831" s="124"/>
      <c r="I2831" s="124"/>
      <c r="J2831" s="124"/>
      <c r="K2831" s="124"/>
      <c r="L2831" s="124"/>
      <c r="M2831" s="124"/>
      <c r="N2831" s="124"/>
      <c r="O2831" s="124"/>
      <c r="P2831" s="124"/>
      <c r="Q2831" s="124"/>
      <c r="R2831" s="124"/>
      <c r="S2831" s="124"/>
      <c r="T2831" s="124"/>
      <c r="U2831" s="124"/>
      <c r="V2831" s="124"/>
      <c r="W2831" s="124"/>
      <c r="X2831" s="124"/>
      <c r="Y2831" s="124"/>
      <c r="Z2831" s="124"/>
    </row>
    <row r="2832">
      <c r="A2832" s="124"/>
      <c r="B2832" s="124"/>
      <c r="C2832" s="147"/>
      <c r="D2832" s="124"/>
      <c r="E2832" s="124"/>
      <c r="F2832" s="124"/>
      <c r="G2832" s="124"/>
      <c r="H2832" s="124"/>
      <c r="I2832" s="124"/>
      <c r="J2832" s="124"/>
      <c r="K2832" s="124"/>
      <c r="L2832" s="124"/>
      <c r="M2832" s="124"/>
      <c r="N2832" s="124"/>
      <c r="O2832" s="124"/>
      <c r="P2832" s="124"/>
      <c r="Q2832" s="124"/>
      <c r="R2832" s="124"/>
      <c r="S2832" s="124"/>
      <c r="T2832" s="124"/>
      <c r="U2832" s="124"/>
      <c r="V2832" s="124"/>
      <c r="W2832" s="124"/>
      <c r="X2832" s="124"/>
      <c r="Y2832" s="124"/>
      <c r="Z2832" s="124"/>
    </row>
    <row r="2833">
      <c r="A2833" s="124"/>
      <c r="B2833" s="124"/>
      <c r="C2833" s="147"/>
      <c r="D2833" s="124"/>
      <c r="E2833" s="124"/>
      <c r="F2833" s="124"/>
      <c r="G2833" s="124"/>
      <c r="H2833" s="124"/>
      <c r="I2833" s="124"/>
      <c r="J2833" s="124"/>
      <c r="K2833" s="124"/>
      <c r="L2833" s="124"/>
      <c r="M2833" s="124"/>
      <c r="N2833" s="124"/>
      <c r="O2833" s="124"/>
      <c r="P2833" s="124"/>
      <c r="Q2833" s="124"/>
      <c r="R2833" s="124"/>
      <c r="S2833" s="124"/>
      <c r="T2833" s="124"/>
      <c r="U2833" s="124"/>
      <c r="V2833" s="124"/>
      <c r="W2833" s="124"/>
      <c r="X2833" s="124"/>
      <c r="Y2833" s="124"/>
      <c r="Z2833" s="124"/>
    </row>
    <row r="2834">
      <c r="A2834" s="124"/>
      <c r="B2834" s="124"/>
      <c r="C2834" s="147"/>
      <c r="D2834" s="124"/>
      <c r="E2834" s="124"/>
      <c r="F2834" s="124"/>
      <c r="G2834" s="124"/>
      <c r="H2834" s="124"/>
      <c r="I2834" s="124"/>
      <c r="J2834" s="124"/>
      <c r="K2834" s="124"/>
      <c r="L2834" s="124"/>
      <c r="M2834" s="124"/>
      <c r="N2834" s="124"/>
      <c r="O2834" s="124"/>
      <c r="P2834" s="124"/>
      <c r="Q2834" s="124"/>
      <c r="R2834" s="124"/>
      <c r="S2834" s="124"/>
      <c r="T2834" s="124"/>
      <c r="U2834" s="124"/>
      <c r="V2834" s="124"/>
      <c r="W2834" s="124"/>
      <c r="X2834" s="124"/>
      <c r="Y2834" s="124"/>
      <c r="Z2834" s="124"/>
    </row>
    <row r="2835">
      <c r="A2835" s="124"/>
      <c r="B2835" s="124"/>
      <c r="C2835" s="147"/>
      <c r="D2835" s="124"/>
      <c r="E2835" s="124"/>
      <c r="F2835" s="124"/>
      <c r="G2835" s="124"/>
      <c r="H2835" s="124"/>
      <c r="I2835" s="124"/>
      <c r="J2835" s="124"/>
      <c r="K2835" s="124"/>
      <c r="L2835" s="124"/>
      <c r="M2835" s="124"/>
      <c r="N2835" s="124"/>
      <c r="O2835" s="124"/>
      <c r="P2835" s="124"/>
      <c r="Q2835" s="124"/>
      <c r="R2835" s="124"/>
      <c r="S2835" s="124"/>
      <c r="T2835" s="124"/>
      <c r="U2835" s="124"/>
      <c r="V2835" s="124"/>
      <c r="W2835" s="124"/>
      <c r="X2835" s="124"/>
      <c r="Y2835" s="124"/>
      <c r="Z2835" s="124"/>
    </row>
    <row r="2836">
      <c r="A2836" s="124"/>
      <c r="B2836" s="124"/>
      <c r="C2836" s="147"/>
      <c r="D2836" s="124"/>
      <c r="E2836" s="124"/>
      <c r="F2836" s="124"/>
      <c r="G2836" s="124"/>
      <c r="H2836" s="124"/>
      <c r="I2836" s="124"/>
      <c r="J2836" s="124"/>
      <c r="K2836" s="124"/>
      <c r="L2836" s="124"/>
      <c r="M2836" s="124"/>
      <c r="N2836" s="124"/>
      <c r="O2836" s="124"/>
      <c r="P2836" s="124"/>
      <c r="Q2836" s="124"/>
      <c r="R2836" s="124"/>
      <c r="S2836" s="124"/>
      <c r="T2836" s="124"/>
      <c r="U2836" s="124"/>
      <c r="V2836" s="124"/>
      <c r="W2836" s="124"/>
      <c r="X2836" s="124"/>
      <c r="Y2836" s="124"/>
      <c r="Z2836" s="124"/>
    </row>
    <row r="2837">
      <c r="A2837" s="124"/>
      <c r="B2837" s="124"/>
      <c r="C2837" s="147"/>
      <c r="D2837" s="124"/>
      <c r="E2837" s="124"/>
      <c r="F2837" s="124"/>
      <c r="G2837" s="124"/>
      <c r="H2837" s="124"/>
      <c r="I2837" s="124"/>
      <c r="J2837" s="124"/>
      <c r="K2837" s="124"/>
      <c r="L2837" s="124"/>
      <c r="M2837" s="124"/>
      <c r="N2837" s="124"/>
      <c r="O2837" s="124"/>
      <c r="P2837" s="124"/>
      <c r="Q2837" s="124"/>
      <c r="R2837" s="124"/>
      <c r="S2837" s="124"/>
      <c r="T2837" s="124"/>
      <c r="U2837" s="124"/>
      <c r="V2837" s="124"/>
      <c r="W2837" s="124"/>
      <c r="X2837" s="124"/>
      <c r="Y2837" s="124"/>
      <c r="Z2837" s="124"/>
    </row>
    <row r="2838">
      <c r="A2838" s="124"/>
      <c r="B2838" s="124"/>
      <c r="C2838" s="147"/>
      <c r="D2838" s="124"/>
      <c r="E2838" s="124"/>
      <c r="F2838" s="124"/>
      <c r="G2838" s="124"/>
      <c r="H2838" s="124"/>
      <c r="I2838" s="124"/>
      <c r="J2838" s="124"/>
      <c r="K2838" s="124"/>
      <c r="L2838" s="124"/>
      <c r="M2838" s="124"/>
      <c r="N2838" s="124"/>
      <c r="O2838" s="124"/>
      <c r="P2838" s="124"/>
      <c r="Q2838" s="124"/>
      <c r="R2838" s="124"/>
      <c r="S2838" s="124"/>
      <c r="T2838" s="124"/>
      <c r="U2838" s="124"/>
      <c r="V2838" s="124"/>
      <c r="W2838" s="124"/>
      <c r="X2838" s="124"/>
      <c r="Y2838" s="124"/>
      <c r="Z2838" s="124"/>
    </row>
    <row r="2839">
      <c r="A2839" s="124"/>
      <c r="B2839" s="124"/>
      <c r="C2839" s="147"/>
      <c r="D2839" s="124"/>
      <c r="E2839" s="124"/>
      <c r="F2839" s="124"/>
      <c r="G2839" s="124"/>
      <c r="H2839" s="124"/>
      <c r="I2839" s="124"/>
      <c r="J2839" s="124"/>
      <c r="K2839" s="124"/>
      <c r="L2839" s="124"/>
      <c r="M2839" s="124"/>
      <c r="N2839" s="124"/>
      <c r="O2839" s="124"/>
      <c r="P2839" s="124"/>
      <c r="Q2839" s="124"/>
      <c r="R2839" s="124"/>
      <c r="S2839" s="124"/>
      <c r="T2839" s="124"/>
      <c r="U2839" s="124"/>
      <c r="V2839" s="124"/>
      <c r="W2839" s="124"/>
      <c r="X2839" s="124"/>
      <c r="Y2839" s="124"/>
      <c r="Z2839" s="124"/>
    </row>
    <row r="2840">
      <c r="A2840" s="124"/>
      <c r="B2840" s="124"/>
      <c r="C2840" s="147"/>
      <c r="D2840" s="124"/>
      <c r="E2840" s="124"/>
      <c r="F2840" s="124"/>
      <c r="G2840" s="124"/>
      <c r="H2840" s="124"/>
      <c r="I2840" s="124"/>
      <c r="J2840" s="124"/>
      <c r="K2840" s="124"/>
      <c r="L2840" s="124"/>
      <c r="M2840" s="124"/>
      <c r="N2840" s="124"/>
      <c r="O2840" s="124"/>
      <c r="P2840" s="124"/>
      <c r="Q2840" s="124"/>
      <c r="R2840" s="124"/>
      <c r="S2840" s="124"/>
      <c r="T2840" s="124"/>
      <c r="U2840" s="124"/>
      <c r="V2840" s="124"/>
      <c r="W2840" s="124"/>
      <c r="X2840" s="124"/>
      <c r="Y2840" s="124"/>
      <c r="Z2840" s="124"/>
    </row>
    <row r="2841">
      <c r="A2841" s="124"/>
      <c r="B2841" s="124"/>
      <c r="C2841" s="147"/>
      <c r="D2841" s="124"/>
      <c r="E2841" s="124"/>
      <c r="F2841" s="124"/>
      <c r="G2841" s="124"/>
      <c r="H2841" s="124"/>
      <c r="I2841" s="124"/>
      <c r="J2841" s="124"/>
      <c r="K2841" s="124"/>
      <c r="L2841" s="124"/>
      <c r="M2841" s="124"/>
      <c r="N2841" s="124"/>
      <c r="O2841" s="124"/>
      <c r="P2841" s="124"/>
      <c r="Q2841" s="124"/>
      <c r="R2841" s="124"/>
      <c r="S2841" s="124"/>
      <c r="T2841" s="124"/>
      <c r="U2841" s="124"/>
      <c r="V2841" s="124"/>
      <c r="W2841" s="124"/>
      <c r="X2841" s="124"/>
      <c r="Y2841" s="124"/>
      <c r="Z2841" s="124"/>
    </row>
    <row r="2842">
      <c r="A2842" s="124"/>
      <c r="B2842" s="124"/>
      <c r="C2842" s="147"/>
      <c r="D2842" s="124"/>
      <c r="E2842" s="124"/>
      <c r="F2842" s="124"/>
      <c r="G2842" s="124"/>
      <c r="H2842" s="124"/>
      <c r="I2842" s="124"/>
      <c r="J2842" s="124"/>
      <c r="K2842" s="124"/>
      <c r="L2842" s="124"/>
      <c r="M2842" s="124"/>
      <c r="N2842" s="124"/>
      <c r="O2842" s="124"/>
      <c r="P2842" s="124"/>
      <c r="Q2842" s="124"/>
      <c r="R2842" s="124"/>
      <c r="S2842" s="124"/>
      <c r="T2842" s="124"/>
      <c r="U2842" s="124"/>
      <c r="V2842" s="124"/>
      <c r="W2842" s="124"/>
      <c r="X2842" s="124"/>
      <c r="Y2842" s="124"/>
      <c r="Z2842" s="124"/>
    </row>
    <row r="2843">
      <c r="A2843" s="124"/>
      <c r="B2843" s="124"/>
      <c r="C2843" s="147"/>
      <c r="D2843" s="124"/>
      <c r="E2843" s="124"/>
      <c r="F2843" s="124"/>
      <c r="G2843" s="124"/>
      <c r="H2843" s="124"/>
      <c r="I2843" s="124"/>
      <c r="J2843" s="124"/>
      <c r="K2843" s="124"/>
      <c r="L2843" s="124"/>
      <c r="M2843" s="124"/>
      <c r="N2843" s="124"/>
      <c r="O2843" s="124"/>
      <c r="P2843" s="124"/>
      <c r="Q2843" s="124"/>
      <c r="R2843" s="124"/>
      <c r="S2843" s="124"/>
      <c r="T2843" s="124"/>
      <c r="U2843" s="124"/>
      <c r="V2843" s="124"/>
      <c r="W2843" s="124"/>
      <c r="X2843" s="124"/>
      <c r="Y2843" s="124"/>
      <c r="Z2843" s="124"/>
    </row>
    <row r="2844">
      <c r="A2844" s="124"/>
      <c r="B2844" s="124"/>
      <c r="C2844" s="147"/>
      <c r="D2844" s="124"/>
      <c r="E2844" s="124"/>
      <c r="F2844" s="124"/>
      <c r="G2844" s="124"/>
      <c r="H2844" s="124"/>
      <c r="I2844" s="124"/>
      <c r="J2844" s="124"/>
      <c r="K2844" s="124"/>
      <c r="L2844" s="124"/>
      <c r="M2844" s="124"/>
      <c r="N2844" s="124"/>
      <c r="O2844" s="124"/>
      <c r="P2844" s="124"/>
      <c r="Q2844" s="124"/>
      <c r="R2844" s="124"/>
      <c r="S2844" s="124"/>
      <c r="T2844" s="124"/>
      <c r="U2844" s="124"/>
      <c r="V2844" s="124"/>
      <c r="W2844" s="124"/>
      <c r="X2844" s="124"/>
      <c r="Y2844" s="124"/>
      <c r="Z2844" s="124"/>
    </row>
    <row r="2845">
      <c r="A2845" s="124"/>
      <c r="B2845" s="124"/>
      <c r="C2845" s="147"/>
      <c r="D2845" s="124"/>
      <c r="E2845" s="124"/>
      <c r="F2845" s="124"/>
      <c r="G2845" s="124"/>
      <c r="H2845" s="124"/>
      <c r="I2845" s="124"/>
      <c r="J2845" s="124"/>
      <c r="K2845" s="124"/>
      <c r="L2845" s="124"/>
      <c r="M2845" s="124"/>
      <c r="N2845" s="124"/>
      <c r="O2845" s="124"/>
      <c r="P2845" s="124"/>
      <c r="Q2845" s="124"/>
      <c r="R2845" s="124"/>
      <c r="S2845" s="124"/>
      <c r="T2845" s="124"/>
      <c r="U2845" s="124"/>
      <c r="V2845" s="124"/>
      <c r="W2845" s="124"/>
      <c r="X2845" s="124"/>
      <c r="Y2845" s="124"/>
      <c r="Z2845" s="124"/>
    </row>
    <row r="2846">
      <c r="A2846" s="124"/>
      <c r="B2846" s="124"/>
      <c r="C2846" s="147"/>
      <c r="D2846" s="124"/>
      <c r="E2846" s="124"/>
      <c r="F2846" s="124"/>
      <c r="G2846" s="124"/>
      <c r="H2846" s="124"/>
      <c r="I2846" s="124"/>
      <c r="J2846" s="124"/>
      <c r="K2846" s="124"/>
      <c r="L2846" s="124"/>
      <c r="M2846" s="124"/>
      <c r="N2846" s="124"/>
      <c r="O2846" s="124"/>
      <c r="P2846" s="124"/>
      <c r="Q2846" s="124"/>
      <c r="R2846" s="124"/>
      <c r="S2846" s="124"/>
      <c r="T2846" s="124"/>
      <c r="U2846" s="124"/>
      <c r="V2846" s="124"/>
      <c r="W2846" s="124"/>
      <c r="X2846" s="124"/>
      <c r="Y2846" s="124"/>
      <c r="Z2846" s="124"/>
    </row>
    <row r="2847">
      <c r="A2847" s="124"/>
      <c r="B2847" s="124"/>
      <c r="C2847" s="147"/>
      <c r="D2847" s="124"/>
      <c r="E2847" s="124"/>
      <c r="F2847" s="124"/>
      <c r="G2847" s="124"/>
      <c r="H2847" s="124"/>
      <c r="I2847" s="124"/>
      <c r="J2847" s="124"/>
      <c r="K2847" s="124"/>
      <c r="L2847" s="124"/>
      <c r="M2847" s="124"/>
      <c r="N2847" s="124"/>
      <c r="O2847" s="124"/>
      <c r="P2847" s="124"/>
      <c r="Q2847" s="124"/>
      <c r="R2847" s="124"/>
      <c r="S2847" s="124"/>
      <c r="T2847" s="124"/>
      <c r="U2847" s="124"/>
      <c r="V2847" s="124"/>
      <c r="W2847" s="124"/>
      <c r="X2847" s="124"/>
      <c r="Y2847" s="124"/>
      <c r="Z2847" s="124"/>
    </row>
    <row r="2848">
      <c r="A2848" s="124"/>
      <c r="B2848" s="124"/>
      <c r="C2848" s="147"/>
      <c r="D2848" s="124"/>
      <c r="E2848" s="124"/>
      <c r="F2848" s="124"/>
      <c r="G2848" s="124"/>
      <c r="H2848" s="124"/>
      <c r="I2848" s="124"/>
      <c r="J2848" s="124"/>
      <c r="K2848" s="124"/>
      <c r="L2848" s="124"/>
      <c r="M2848" s="124"/>
      <c r="N2848" s="124"/>
      <c r="O2848" s="124"/>
      <c r="P2848" s="124"/>
      <c r="Q2848" s="124"/>
      <c r="R2848" s="124"/>
      <c r="S2848" s="124"/>
      <c r="T2848" s="124"/>
      <c r="U2848" s="124"/>
      <c r="V2848" s="124"/>
      <c r="W2848" s="124"/>
      <c r="X2848" s="124"/>
      <c r="Y2848" s="124"/>
      <c r="Z2848" s="124"/>
    </row>
    <row r="2849">
      <c r="A2849" s="124"/>
      <c r="B2849" s="124"/>
      <c r="C2849" s="147"/>
      <c r="D2849" s="124"/>
      <c r="E2849" s="124"/>
      <c r="F2849" s="124"/>
      <c r="G2849" s="124"/>
      <c r="H2849" s="124"/>
      <c r="I2849" s="124"/>
      <c r="J2849" s="124"/>
      <c r="K2849" s="124"/>
      <c r="L2849" s="124"/>
      <c r="M2849" s="124"/>
      <c r="N2849" s="124"/>
      <c r="O2849" s="124"/>
      <c r="P2849" s="124"/>
      <c r="Q2849" s="124"/>
      <c r="R2849" s="124"/>
      <c r="S2849" s="124"/>
      <c r="T2849" s="124"/>
      <c r="U2849" s="124"/>
      <c r="V2849" s="124"/>
      <c r="W2849" s="124"/>
      <c r="X2849" s="124"/>
      <c r="Y2849" s="124"/>
      <c r="Z2849" s="124"/>
    </row>
    <row r="2850">
      <c r="A2850" s="124"/>
      <c r="B2850" s="124"/>
      <c r="C2850" s="147"/>
      <c r="D2850" s="124"/>
      <c r="E2850" s="124"/>
      <c r="F2850" s="124"/>
      <c r="G2850" s="124"/>
      <c r="H2850" s="124"/>
      <c r="I2850" s="124"/>
      <c r="J2850" s="124"/>
      <c r="K2850" s="124"/>
      <c r="L2850" s="124"/>
      <c r="M2850" s="124"/>
      <c r="N2850" s="124"/>
      <c r="O2850" s="124"/>
      <c r="P2850" s="124"/>
      <c r="Q2850" s="124"/>
      <c r="R2850" s="124"/>
      <c r="S2850" s="124"/>
      <c r="T2850" s="124"/>
      <c r="U2850" s="124"/>
      <c r="V2850" s="124"/>
      <c r="W2850" s="124"/>
      <c r="X2850" s="124"/>
      <c r="Y2850" s="124"/>
      <c r="Z2850" s="124"/>
    </row>
    <row r="2851">
      <c r="A2851" s="124"/>
      <c r="B2851" s="124"/>
      <c r="C2851" s="147"/>
      <c r="D2851" s="124"/>
      <c r="E2851" s="124"/>
      <c r="F2851" s="124"/>
      <c r="G2851" s="124"/>
      <c r="H2851" s="124"/>
      <c r="I2851" s="124"/>
      <c r="J2851" s="124"/>
      <c r="K2851" s="124"/>
      <c r="L2851" s="124"/>
      <c r="M2851" s="124"/>
      <c r="N2851" s="124"/>
      <c r="O2851" s="124"/>
      <c r="P2851" s="124"/>
      <c r="Q2851" s="124"/>
      <c r="R2851" s="124"/>
      <c r="S2851" s="124"/>
      <c r="T2851" s="124"/>
      <c r="U2851" s="124"/>
      <c r="V2851" s="124"/>
      <c r="W2851" s="124"/>
      <c r="X2851" s="124"/>
      <c r="Y2851" s="124"/>
      <c r="Z2851" s="124"/>
    </row>
    <row r="2852">
      <c r="A2852" s="124"/>
      <c r="B2852" s="124"/>
      <c r="C2852" s="147"/>
      <c r="D2852" s="124"/>
      <c r="E2852" s="124"/>
      <c r="F2852" s="124"/>
      <c r="G2852" s="124"/>
      <c r="H2852" s="124"/>
      <c r="I2852" s="124"/>
      <c r="J2852" s="124"/>
      <c r="K2852" s="124"/>
      <c r="L2852" s="124"/>
      <c r="M2852" s="124"/>
      <c r="N2852" s="124"/>
      <c r="O2852" s="124"/>
      <c r="P2852" s="124"/>
      <c r="Q2852" s="124"/>
      <c r="R2852" s="124"/>
      <c r="S2852" s="124"/>
      <c r="T2852" s="124"/>
      <c r="U2852" s="124"/>
      <c r="V2852" s="124"/>
      <c r="W2852" s="124"/>
      <c r="X2852" s="124"/>
      <c r="Y2852" s="124"/>
      <c r="Z2852" s="124"/>
    </row>
    <row r="2853">
      <c r="A2853" s="124"/>
      <c r="B2853" s="124"/>
      <c r="C2853" s="147"/>
      <c r="D2853" s="124"/>
      <c r="E2853" s="124"/>
      <c r="F2853" s="124"/>
      <c r="G2853" s="124"/>
      <c r="H2853" s="124"/>
      <c r="I2853" s="124"/>
      <c r="J2853" s="124"/>
      <c r="K2853" s="124"/>
      <c r="L2853" s="124"/>
      <c r="M2853" s="124"/>
      <c r="N2853" s="124"/>
      <c r="O2853" s="124"/>
      <c r="P2853" s="124"/>
      <c r="Q2853" s="124"/>
      <c r="R2853" s="124"/>
      <c r="S2853" s="124"/>
      <c r="T2853" s="124"/>
      <c r="U2853" s="124"/>
      <c r="V2853" s="124"/>
      <c r="W2853" s="124"/>
      <c r="X2853" s="124"/>
      <c r="Y2853" s="124"/>
      <c r="Z2853" s="124"/>
    </row>
    <row r="2854">
      <c r="A2854" s="124"/>
      <c r="B2854" s="124"/>
      <c r="C2854" s="147"/>
      <c r="D2854" s="124"/>
      <c r="E2854" s="124"/>
      <c r="F2854" s="124"/>
      <c r="G2854" s="124"/>
      <c r="H2854" s="124"/>
      <c r="I2854" s="124"/>
      <c r="J2854" s="124"/>
      <c r="K2854" s="124"/>
      <c r="L2854" s="124"/>
      <c r="M2854" s="124"/>
      <c r="N2854" s="124"/>
      <c r="O2854" s="124"/>
      <c r="P2854" s="124"/>
      <c r="Q2854" s="124"/>
      <c r="R2854" s="124"/>
      <c r="S2854" s="124"/>
      <c r="T2854" s="124"/>
      <c r="U2854" s="124"/>
      <c r="V2854" s="124"/>
      <c r="W2854" s="124"/>
      <c r="X2854" s="124"/>
      <c r="Y2854" s="124"/>
      <c r="Z2854" s="124"/>
    </row>
    <row r="2855">
      <c r="A2855" s="124"/>
      <c r="B2855" s="124"/>
      <c r="C2855" s="147"/>
      <c r="D2855" s="124"/>
      <c r="E2855" s="124"/>
      <c r="F2855" s="124"/>
      <c r="G2855" s="124"/>
      <c r="H2855" s="124"/>
      <c r="I2855" s="124"/>
      <c r="J2855" s="124"/>
      <c r="K2855" s="124"/>
      <c r="L2855" s="124"/>
      <c r="M2855" s="124"/>
      <c r="N2855" s="124"/>
      <c r="O2855" s="124"/>
      <c r="P2855" s="124"/>
      <c r="Q2855" s="124"/>
      <c r="R2855" s="124"/>
      <c r="S2855" s="124"/>
      <c r="T2855" s="124"/>
      <c r="U2855" s="124"/>
      <c r="V2855" s="124"/>
      <c r="W2855" s="124"/>
      <c r="X2855" s="124"/>
      <c r="Y2855" s="124"/>
      <c r="Z2855" s="124"/>
    </row>
    <row r="2856">
      <c r="A2856" s="124"/>
      <c r="B2856" s="124"/>
      <c r="C2856" s="147"/>
      <c r="D2856" s="124"/>
      <c r="E2856" s="124"/>
      <c r="F2856" s="124"/>
      <c r="G2856" s="124"/>
      <c r="H2856" s="124"/>
      <c r="I2856" s="124"/>
      <c r="J2856" s="124"/>
      <c r="K2856" s="124"/>
      <c r="L2856" s="124"/>
      <c r="M2856" s="124"/>
      <c r="N2856" s="124"/>
      <c r="O2856" s="124"/>
      <c r="P2856" s="124"/>
      <c r="Q2856" s="124"/>
      <c r="R2856" s="124"/>
      <c r="S2856" s="124"/>
      <c r="T2856" s="124"/>
      <c r="U2856" s="124"/>
      <c r="V2856" s="124"/>
      <c r="W2856" s="124"/>
      <c r="X2856" s="124"/>
      <c r="Y2856" s="124"/>
      <c r="Z2856" s="124"/>
    </row>
    <row r="2857">
      <c r="A2857" s="124"/>
      <c r="B2857" s="124"/>
      <c r="C2857" s="147"/>
      <c r="D2857" s="124"/>
      <c r="E2857" s="124"/>
      <c r="F2857" s="124"/>
      <c r="G2857" s="124"/>
      <c r="H2857" s="124"/>
      <c r="I2857" s="124"/>
      <c r="J2857" s="124"/>
      <c r="K2857" s="124"/>
      <c r="L2857" s="124"/>
      <c r="M2857" s="124"/>
      <c r="N2857" s="124"/>
      <c r="O2857" s="124"/>
      <c r="P2857" s="124"/>
      <c r="Q2857" s="124"/>
      <c r="R2857" s="124"/>
      <c r="S2857" s="124"/>
      <c r="T2857" s="124"/>
      <c r="U2857" s="124"/>
      <c r="V2857" s="124"/>
      <c r="W2857" s="124"/>
      <c r="X2857" s="124"/>
      <c r="Y2857" s="124"/>
      <c r="Z2857" s="124"/>
    </row>
    <row r="2858">
      <c r="A2858" s="124"/>
      <c r="B2858" s="124"/>
      <c r="C2858" s="147"/>
      <c r="D2858" s="124"/>
      <c r="E2858" s="124"/>
      <c r="F2858" s="124"/>
      <c r="G2858" s="124"/>
      <c r="H2858" s="124"/>
      <c r="I2858" s="124"/>
      <c r="J2858" s="124"/>
      <c r="K2858" s="124"/>
      <c r="L2858" s="124"/>
      <c r="M2858" s="124"/>
      <c r="N2858" s="124"/>
      <c r="O2858" s="124"/>
      <c r="P2858" s="124"/>
      <c r="Q2858" s="124"/>
      <c r="R2858" s="124"/>
      <c r="S2858" s="124"/>
      <c r="T2858" s="124"/>
      <c r="U2858" s="124"/>
      <c r="V2858" s="124"/>
      <c r="W2858" s="124"/>
      <c r="X2858" s="124"/>
      <c r="Y2858" s="124"/>
      <c r="Z2858" s="124"/>
    </row>
    <row r="2859">
      <c r="A2859" s="124"/>
      <c r="B2859" s="124"/>
      <c r="C2859" s="147"/>
      <c r="D2859" s="124"/>
      <c r="E2859" s="124"/>
      <c r="F2859" s="124"/>
      <c r="G2859" s="124"/>
      <c r="H2859" s="124"/>
      <c r="I2859" s="124"/>
      <c r="J2859" s="124"/>
      <c r="K2859" s="124"/>
      <c r="L2859" s="124"/>
      <c r="M2859" s="124"/>
      <c r="N2859" s="124"/>
      <c r="O2859" s="124"/>
      <c r="P2859" s="124"/>
      <c r="Q2859" s="124"/>
      <c r="R2859" s="124"/>
      <c r="S2859" s="124"/>
      <c r="T2859" s="124"/>
      <c r="U2859" s="124"/>
      <c r="V2859" s="124"/>
      <c r="W2859" s="124"/>
      <c r="X2859" s="124"/>
      <c r="Y2859" s="124"/>
      <c r="Z2859" s="124"/>
    </row>
    <row r="2860">
      <c r="A2860" s="124"/>
      <c r="B2860" s="124"/>
      <c r="C2860" s="147"/>
      <c r="D2860" s="124"/>
      <c r="E2860" s="124"/>
      <c r="F2860" s="124"/>
      <c r="G2860" s="124"/>
      <c r="H2860" s="124"/>
      <c r="I2860" s="124"/>
      <c r="J2860" s="124"/>
      <c r="K2860" s="124"/>
      <c r="L2860" s="124"/>
      <c r="M2860" s="124"/>
      <c r="N2860" s="124"/>
      <c r="O2860" s="124"/>
      <c r="P2860" s="124"/>
      <c r="Q2860" s="124"/>
      <c r="R2860" s="124"/>
      <c r="S2860" s="124"/>
      <c r="T2860" s="124"/>
      <c r="U2860" s="124"/>
      <c r="V2860" s="124"/>
      <c r="W2860" s="124"/>
      <c r="X2860" s="124"/>
      <c r="Y2860" s="124"/>
      <c r="Z2860" s="124"/>
    </row>
    <row r="2861">
      <c r="A2861" s="124"/>
      <c r="B2861" s="124"/>
      <c r="C2861" s="147"/>
      <c r="D2861" s="124"/>
      <c r="E2861" s="124"/>
      <c r="F2861" s="124"/>
      <c r="G2861" s="124"/>
      <c r="H2861" s="124"/>
      <c r="I2861" s="124"/>
      <c r="J2861" s="124"/>
      <c r="K2861" s="124"/>
      <c r="L2861" s="124"/>
      <c r="M2861" s="124"/>
      <c r="N2861" s="124"/>
      <c r="O2861" s="124"/>
      <c r="P2861" s="124"/>
      <c r="Q2861" s="124"/>
      <c r="R2861" s="124"/>
      <c r="S2861" s="124"/>
      <c r="T2861" s="124"/>
      <c r="U2861" s="124"/>
      <c r="V2861" s="124"/>
      <c r="W2861" s="124"/>
      <c r="X2861" s="124"/>
      <c r="Y2861" s="124"/>
      <c r="Z2861" s="124"/>
    </row>
    <row r="2862">
      <c r="A2862" s="124"/>
      <c r="B2862" s="124"/>
      <c r="C2862" s="147"/>
      <c r="D2862" s="124"/>
      <c r="E2862" s="124"/>
      <c r="F2862" s="124"/>
      <c r="G2862" s="124"/>
      <c r="H2862" s="124"/>
      <c r="I2862" s="124"/>
      <c r="J2862" s="124"/>
      <c r="K2862" s="124"/>
      <c r="L2862" s="124"/>
      <c r="M2862" s="124"/>
      <c r="N2862" s="124"/>
      <c r="O2862" s="124"/>
      <c r="P2862" s="124"/>
      <c r="Q2862" s="124"/>
      <c r="R2862" s="124"/>
      <c r="S2862" s="124"/>
      <c r="T2862" s="124"/>
      <c r="U2862" s="124"/>
      <c r="V2862" s="124"/>
      <c r="W2862" s="124"/>
      <c r="X2862" s="124"/>
      <c r="Y2862" s="124"/>
      <c r="Z2862" s="124"/>
    </row>
    <row r="2863">
      <c r="A2863" s="124"/>
      <c r="B2863" s="124"/>
      <c r="C2863" s="147"/>
      <c r="D2863" s="124"/>
      <c r="E2863" s="124"/>
      <c r="F2863" s="124"/>
      <c r="G2863" s="124"/>
      <c r="H2863" s="124"/>
      <c r="I2863" s="124"/>
      <c r="J2863" s="124"/>
      <c r="K2863" s="124"/>
      <c r="L2863" s="124"/>
      <c r="M2863" s="124"/>
      <c r="N2863" s="124"/>
      <c r="O2863" s="124"/>
      <c r="P2863" s="124"/>
      <c r="Q2863" s="124"/>
      <c r="R2863" s="124"/>
      <c r="S2863" s="124"/>
      <c r="T2863" s="124"/>
      <c r="U2863" s="124"/>
      <c r="V2863" s="124"/>
      <c r="W2863" s="124"/>
      <c r="X2863" s="124"/>
      <c r="Y2863" s="124"/>
      <c r="Z2863" s="124"/>
    </row>
    <row r="2864">
      <c r="A2864" s="124"/>
      <c r="B2864" s="124"/>
      <c r="C2864" s="147"/>
      <c r="D2864" s="124"/>
      <c r="E2864" s="124"/>
      <c r="F2864" s="124"/>
      <c r="G2864" s="124"/>
      <c r="H2864" s="124"/>
      <c r="I2864" s="124"/>
      <c r="J2864" s="124"/>
      <c r="K2864" s="124"/>
      <c r="L2864" s="124"/>
      <c r="M2864" s="124"/>
      <c r="N2864" s="124"/>
      <c r="O2864" s="124"/>
      <c r="P2864" s="124"/>
      <c r="Q2864" s="124"/>
      <c r="R2864" s="124"/>
      <c r="S2864" s="124"/>
      <c r="T2864" s="124"/>
      <c r="U2864" s="124"/>
      <c r="V2864" s="124"/>
      <c r="W2864" s="124"/>
      <c r="X2864" s="124"/>
      <c r="Y2864" s="124"/>
      <c r="Z2864" s="124"/>
    </row>
    <row r="2865">
      <c r="A2865" s="124"/>
      <c r="B2865" s="124"/>
      <c r="C2865" s="147"/>
      <c r="D2865" s="124"/>
      <c r="E2865" s="124"/>
      <c r="F2865" s="124"/>
      <c r="G2865" s="124"/>
      <c r="H2865" s="124"/>
      <c r="I2865" s="124"/>
      <c r="J2865" s="124"/>
      <c r="K2865" s="124"/>
      <c r="L2865" s="124"/>
      <c r="M2865" s="124"/>
      <c r="N2865" s="124"/>
      <c r="O2865" s="124"/>
      <c r="P2865" s="124"/>
      <c r="Q2865" s="124"/>
      <c r="R2865" s="124"/>
      <c r="S2865" s="124"/>
      <c r="T2865" s="124"/>
      <c r="U2865" s="124"/>
      <c r="V2865" s="124"/>
      <c r="W2865" s="124"/>
      <c r="X2865" s="124"/>
      <c r="Y2865" s="124"/>
      <c r="Z2865" s="124"/>
    </row>
    <row r="2866">
      <c r="A2866" s="124"/>
      <c r="B2866" s="124"/>
      <c r="C2866" s="147"/>
      <c r="D2866" s="124"/>
      <c r="E2866" s="124"/>
      <c r="F2866" s="124"/>
      <c r="G2866" s="124"/>
      <c r="H2866" s="124"/>
      <c r="I2866" s="124"/>
      <c r="J2866" s="124"/>
      <c r="K2866" s="124"/>
      <c r="L2866" s="124"/>
      <c r="M2866" s="124"/>
      <c r="N2866" s="124"/>
      <c r="O2866" s="124"/>
      <c r="P2866" s="124"/>
      <c r="Q2866" s="124"/>
      <c r="R2866" s="124"/>
      <c r="S2866" s="124"/>
      <c r="T2866" s="124"/>
      <c r="U2866" s="124"/>
      <c r="V2866" s="124"/>
      <c r="W2866" s="124"/>
      <c r="X2866" s="124"/>
      <c r="Y2866" s="124"/>
      <c r="Z2866" s="124"/>
    </row>
    <row r="2867">
      <c r="A2867" s="124"/>
      <c r="B2867" s="124"/>
      <c r="C2867" s="147"/>
      <c r="D2867" s="124"/>
      <c r="E2867" s="124"/>
      <c r="F2867" s="124"/>
      <c r="G2867" s="124"/>
      <c r="H2867" s="124"/>
      <c r="I2867" s="124"/>
      <c r="J2867" s="124"/>
      <c r="K2867" s="124"/>
      <c r="L2867" s="124"/>
      <c r="M2867" s="124"/>
      <c r="N2867" s="124"/>
      <c r="O2867" s="124"/>
      <c r="P2867" s="124"/>
      <c r="Q2867" s="124"/>
      <c r="R2867" s="124"/>
      <c r="S2867" s="124"/>
      <c r="T2867" s="124"/>
      <c r="U2867" s="124"/>
      <c r="V2867" s="124"/>
      <c r="W2867" s="124"/>
      <c r="X2867" s="124"/>
      <c r="Y2867" s="124"/>
      <c r="Z2867" s="124"/>
    </row>
    <row r="2868">
      <c r="A2868" s="124"/>
      <c r="B2868" s="124"/>
      <c r="C2868" s="147"/>
      <c r="D2868" s="124"/>
      <c r="E2868" s="124"/>
      <c r="F2868" s="124"/>
      <c r="G2868" s="124"/>
      <c r="H2868" s="124"/>
      <c r="I2868" s="124"/>
      <c r="J2868" s="124"/>
      <c r="K2868" s="124"/>
      <c r="L2868" s="124"/>
      <c r="M2868" s="124"/>
      <c r="N2868" s="124"/>
      <c r="O2868" s="124"/>
      <c r="P2868" s="124"/>
      <c r="Q2868" s="124"/>
      <c r="R2868" s="124"/>
      <c r="S2868" s="124"/>
      <c r="T2868" s="124"/>
      <c r="U2868" s="124"/>
      <c r="V2868" s="124"/>
      <c r="W2868" s="124"/>
      <c r="X2868" s="124"/>
      <c r="Y2868" s="124"/>
      <c r="Z2868" s="124"/>
    </row>
    <row r="2869">
      <c r="A2869" s="124"/>
      <c r="B2869" s="124"/>
      <c r="C2869" s="147"/>
      <c r="D2869" s="124"/>
      <c r="E2869" s="124"/>
      <c r="F2869" s="124"/>
      <c r="G2869" s="124"/>
      <c r="H2869" s="124"/>
      <c r="I2869" s="124"/>
      <c r="J2869" s="124"/>
      <c r="K2869" s="124"/>
      <c r="L2869" s="124"/>
      <c r="M2869" s="124"/>
      <c r="N2869" s="124"/>
      <c r="O2869" s="124"/>
      <c r="P2869" s="124"/>
      <c r="Q2869" s="124"/>
      <c r="R2869" s="124"/>
      <c r="S2869" s="124"/>
      <c r="T2869" s="124"/>
      <c r="U2869" s="124"/>
      <c r="V2869" s="124"/>
      <c r="W2869" s="124"/>
      <c r="X2869" s="124"/>
      <c r="Y2869" s="124"/>
      <c r="Z2869" s="124"/>
    </row>
    <row r="2870">
      <c r="A2870" s="124"/>
      <c r="B2870" s="124"/>
      <c r="C2870" s="147"/>
      <c r="D2870" s="124"/>
      <c r="E2870" s="124"/>
      <c r="F2870" s="124"/>
      <c r="G2870" s="124"/>
      <c r="H2870" s="124"/>
      <c r="I2870" s="124"/>
      <c r="J2870" s="124"/>
      <c r="K2870" s="124"/>
      <c r="L2870" s="124"/>
      <c r="M2870" s="124"/>
      <c r="N2870" s="124"/>
      <c r="O2870" s="124"/>
      <c r="P2870" s="124"/>
      <c r="Q2870" s="124"/>
      <c r="R2870" s="124"/>
      <c r="S2870" s="124"/>
      <c r="T2870" s="124"/>
      <c r="U2870" s="124"/>
      <c r="V2870" s="124"/>
      <c r="W2870" s="124"/>
      <c r="X2870" s="124"/>
      <c r="Y2870" s="124"/>
      <c r="Z2870" s="124"/>
    </row>
    <row r="2871">
      <c r="A2871" s="124"/>
      <c r="B2871" s="124"/>
      <c r="C2871" s="147"/>
      <c r="D2871" s="124"/>
      <c r="E2871" s="124"/>
      <c r="F2871" s="124"/>
      <c r="G2871" s="124"/>
      <c r="H2871" s="124"/>
      <c r="I2871" s="124"/>
      <c r="J2871" s="124"/>
      <c r="K2871" s="124"/>
      <c r="L2871" s="124"/>
      <c r="M2871" s="124"/>
      <c r="N2871" s="124"/>
      <c r="O2871" s="124"/>
      <c r="P2871" s="124"/>
      <c r="Q2871" s="124"/>
      <c r="R2871" s="124"/>
      <c r="S2871" s="124"/>
      <c r="T2871" s="124"/>
      <c r="U2871" s="124"/>
      <c r="V2871" s="124"/>
      <c r="W2871" s="124"/>
      <c r="X2871" s="124"/>
      <c r="Y2871" s="124"/>
      <c r="Z2871" s="124"/>
    </row>
    <row r="2872">
      <c r="A2872" s="124"/>
      <c r="B2872" s="124"/>
      <c r="C2872" s="147"/>
      <c r="D2872" s="124"/>
      <c r="E2872" s="124"/>
      <c r="F2872" s="124"/>
      <c r="G2872" s="124"/>
      <c r="H2872" s="124"/>
      <c r="I2872" s="124"/>
      <c r="J2872" s="124"/>
      <c r="K2872" s="124"/>
      <c r="L2872" s="124"/>
      <c r="M2872" s="124"/>
      <c r="N2872" s="124"/>
      <c r="O2872" s="124"/>
      <c r="P2872" s="124"/>
      <c r="Q2872" s="124"/>
      <c r="R2872" s="124"/>
      <c r="S2872" s="124"/>
      <c r="T2872" s="124"/>
      <c r="U2872" s="124"/>
      <c r="V2872" s="124"/>
      <c r="W2872" s="124"/>
      <c r="X2872" s="124"/>
      <c r="Y2872" s="124"/>
      <c r="Z2872" s="124"/>
    </row>
    <row r="2873">
      <c r="A2873" s="124"/>
      <c r="B2873" s="124"/>
      <c r="C2873" s="147"/>
      <c r="D2873" s="124"/>
      <c r="E2873" s="124"/>
      <c r="F2873" s="124"/>
      <c r="G2873" s="124"/>
      <c r="H2873" s="124"/>
      <c r="I2873" s="124"/>
      <c r="J2873" s="124"/>
      <c r="K2873" s="124"/>
      <c r="L2873" s="124"/>
      <c r="M2873" s="124"/>
      <c r="N2873" s="124"/>
      <c r="O2873" s="124"/>
      <c r="P2873" s="124"/>
      <c r="Q2873" s="124"/>
      <c r="R2873" s="124"/>
      <c r="S2873" s="124"/>
      <c r="T2873" s="124"/>
      <c r="U2873" s="124"/>
      <c r="V2873" s="124"/>
      <c r="W2873" s="124"/>
      <c r="X2873" s="124"/>
      <c r="Y2873" s="124"/>
      <c r="Z2873" s="124"/>
    </row>
    <row r="2874">
      <c r="A2874" s="124"/>
      <c r="B2874" s="124"/>
      <c r="C2874" s="147"/>
      <c r="D2874" s="124"/>
      <c r="E2874" s="124"/>
      <c r="F2874" s="124"/>
      <c r="G2874" s="124"/>
      <c r="H2874" s="124"/>
      <c r="I2874" s="124"/>
      <c r="J2874" s="124"/>
      <c r="K2874" s="124"/>
      <c r="L2874" s="124"/>
      <c r="M2874" s="124"/>
      <c r="N2874" s="124"/>
      <c r="O2874" s="124"/>
      <c r="P2874" s="124"/>
      <c r="Q2874" s="124"/>
      <c r="R2874" s="124"/>
      <c r="S2874" s="124"/>
      <c r="T2874" s="124"/>
      <c r="U2874" s="124"/>
      <c r="V2874" s="124"/>
      <c r="W2874" s="124"/>
      <c r="X2874" s="124"/>
      <c r="Y2874" s="124"/>
      <c r="Z2874" s="124"/>
    </row>
    <row r="2875">
      <c r="A2875" s="124"/>
      <c r="B2875" s="124"/>
      <c r="C2875" s="147"/>
      <c r="D2875" s="124"/>
      <c r="E2875" s="124"/>
      <c r="F2875" s="124"/>
      <c r="G2875" s="124"/>
      <c r="H2875" s="124"/>
      <c r="I2875" s="124"/>
      <c r="J2875" s="124"/>
      <c r="K2875" s="124"/>
      <c r="L2875" s="124"/>
      <c r="M2875" s="124"/>
      <c r="N2875" s="124"/>
      <c r="O2875" s="124"/>
      <c r="P2875" s="124"/>
      <c r="Q2875" s="124"/>
      <c r="R2875" s="124"/>
      <c r="S2875" s="124"/>
      <c r="T2875" s="124"/>
      <c r="U2875" s="124"/>
      <c r="V2875" s="124"/>
      <c r="W2875" s="124"/>
      <c r="X2875" s="124"/>
      <c r="Y2875" s="124"/>
      <c r="Z2875" s="124"/>
    </row>
    <row r="2876">
      <c r="A2876" s="124"/>
      <c r="B2876" s="124"/>
      <c r="C2876" s="147"/>
      <c r="D2876" s="124"/>
      <c r="E2876" s="124"/>
      <c r="F2876" s="124"/>
      <c r="G2876" s="124"/>
      <c r="H2876" s="124"/>
      <c r="I2876" s="124"/>
      <c r="J2876" s="124"/>
      <c r="K2876" s="124"/>
      <c r="L2876" s="124"/>
      <c r="M2876" s="124"/>
      <c r="N2876" s="124"/>
      <c r="O2876" s="124"/>
      <c r="P2876" s="124"/>
      <c r="Q2876" s="124"/>
      <c r="R2876" s="124"/>
      <c r="S2876" s="124"/>
      <c r="T2876" s="124"/>
      <c r="U2876" s="124"/>
      <c r="V2876" s="124"/>
      <c r="W2876" s="124"/>
      <c r="X2876" s="124"/>
      <c r="Y2876" s="124"/>
      <c r="Z2876" s="124"/>
    </row>
    <row r="2877">
      <c r="A2877" s="124"/>
      <c r="B2877" s="124"/>
      <c r="C2877" s="147"/>
      <c r="D2877" s="124"/>
      <c r="E2877" s="124"/>
      <c r="F2877" s="124"/>
      <c r="G2877" s="124"/>
      <c r="H2877" s="124"/>
      <c r="I2877" s="124"/>
      <c r="J2877" s="124"/>
      <c r="K2877" s="124"/>
      <c r="L2877" s="124"/>
      <c r="M2877" s="124"/>
      <c r="N2877" s="124"/>
      <c r="O2877" s="124"/>
      <c r="P2877" s="124"/>
      <c r="Q2877" s="124"/>
      <c r="R2877" s="124"/>
      <c r="S2877" s="124"/>
      <c r="T2877" s="124"/>
      <c r="U2877" s="124"/>
      <c r="V2877" s="124"/>
      <c r="W2877" s="124"/>
      <c r="X2877" s="124"/>
      <c r="Y2877" s="124"/>
      <c r="Z2877" s="124"/>
    </row>
    <row r="2878">
      <c r="A2878" s="124"/>
      <c r="B2878" s="124"/>
      <c r="C2878" s="147"/>
      <c r="D2878" s="124"/>
      <c r="E2878" s="124"/>
      <c r="F2878" s="124"/>
      <c r="G2878" s="124"/>
      <c r="H2878" s="124"/>
      <c r="I2878" s="124"/>
      <c r="J2878" s="124"/>
      <c r="K2878" s="124"/>
      <c r="L2878" s="124"/>
      <c r="M2878" s="124"/>
      <c r="N2878" s="124"/>
      <c r="O2878" s="124"/>
      <c r="P2878" s="124"/>
      <c r="Q2878" s="124"/>
      <c r="R2878" s="124"/>
      <c r="S2878" s="124"/>
      <c r="T2878" s="124"/>
      <c r="U2878" s="124"/>
      <c r="V2878" s="124"/>
      <c r="W2878" s="124"/>
      <c r="X2878" s="124"/>
      <c r="Y2878" s="124"/>
      <c r="Z2878" s="124"/>
    </row>
    <row r="2879">
      <c r="A2879" s="124"/>
      <c r="B2879" s="124"/>
      <c r="C2879" s="147"/>
      <c r="D2879" s="124"/>
      <c r="E2879" s="124"/>
      <c r="F2879" s="124"/>
      <c r="G2879" s="124"/>
      <c r="H2879" s="124"/>
      <c r="I2879" s="124"/>
      <c r="J2879" s="124"/>
      <c r="K2879" s="124"/>
      <c r="L2879" s="124"/>
      <c r="M2879" s="124"/>
      <c r="N2879" s="124"/>
      <c r="O2879" s="124"/>
      <c r="P2879" s="124"/>
      <c r="Q2879" s="124"/>
      <c r="R2879" s="124"/>
      <c r="S2879" s="124"/>
      <c r="T2879" s="124"/>
      <c r="U2879" s="124"/>
      <c r="V2879" s="124"/>
      <c r="W2879" s="124"/>
      <c r="X2879" s="124"/>
      <c r="Y2879" s="124"/>
      <c r="Z2879" s="124"/>
    </row>
    <row r="2880">
      <c r="A2880" s="124"/>
      <c r="B2880" s="124"/>
      <c r="C2880" s="147"/>
      <c r="D2880" s="124"/>
      <c r="E2880" s="124"/>
      <c r="F2880" s="124"/>
      <c r="G2880" s="124"/>
      <c r="H2880" s="124"/>
      <c r="I2880" s="124"/>
      <c r="J2880" s="124"/>
      <c r="K2880" s="124"/>
      <c r="L2880" s="124"/>
      <c r="M2880" s="124"/>
      <c r="N2880" s="124"/>
      <c r="O2880" s="124"/>
      <c r="P2880" s="124"/>
      <c r="Q2880" s="124"/>
      <c r="R2880" s="124"/>
      <c r="S2880" s="124"/>
      <c r="T2880" s="124"/>
      <c r="U2880" s="124"/>
      <c r="V2880" s="124"/>
      <c r="W2880" s="124"/>
      <c r="X2880" s="124"/>
      <c r="Y2880" s="124"/>
      <c r="Z2880" s="124"/>
    </row>
    <row r="2881">
      <c r="A2881" s="124"/>
      <c r="B2881" s="124"/>
      <c r="C2881" s="147"/>
      <c r="D2881" s="124"/>
      <c r="E2881" s="124"/>
      <c r="F2881" s="124"/>
      <c r="G2881" s="124"/>
      <c r="H2881" s="124"/>
      <c r="I2881" s="124"/>
      <c r="J2881" s="124"/>
      <c r="K2881" s="124"/>
      <c r="L2881" s="124"/>
      <c r="M2881" s="124"/>
      <c r="N2881" s="124"/>
      <c r="O2881" s="124"/>
      <c r="P2881" s="124"/>
      <c r="Q2881" s="124"/>
      <c r="R2881" s="124"/>
      <c r="S2881" s="124"/>
      <c r="T2881" s="124"/>
      <c r="U2881" s="124"/>
      <c r="V2881" s="124"/>
      <c r="W2881" s="124"/>
      <c r="X2881" s="124"/>
      <c r="Y2881" s="124"/>
      <c r="Z2881" s="124"/>
    </row>
    <row r="2882">
      <c r="A2882" s="124"/>
      <c r="B2882" s="124"/>
      <c r="C2882" s="147"/>
      <c r="D2882" s="124"/>
      <c r="E2882" s="124"/>
      <c r="F2882" s="124"/>
      <c r="G2882" s="124"/>
      <c r="H2882" s="124"/>
      <c r="I2882" s="124"/>
      <c r="J2882" s="124"/>
      <c r="K2882" s="124"/>
      <c r="L2882" s="124"/>
      <c r="M2882" s="124"/>
      <c r="N2882" s="124"/>
      <c r="O2882" s="124"/>
      <c r="P2882" s="124"/>
      <c r="Q2882" s="124"/>
      <c r="R2882" s="124"/>
      <c r="S2882" s="124"/>
      <c r="T2882" s="124"/>
      <c r="U2882" s="124"/>
      <c r="V2882" s="124"/>
      <c r="W2882" s="124"/>
      <c r="X2882" s="124"/>
      <c r="Y2882" s="124"/>
      <c r="Z2882" s="124"/>
    </row>
    <row r="2883">
      <c r="A2883" s="124"/>
      <c r="B2883" s="124"/>
      <c r="C2883" s="147"/>
      <c r="D2883" s="124"/>
      <c r="E2883" s="124"/>
      <c r="F2883" s="124"/>
      <c r="G2883" s="124"/>
      <c r="H2883" s="124"/>
      <c r="I2883" s="124"/>
      <c r="J2883" s="124"/>
      <c r="K2883" s="124"/>
      <c r="L2883" s="124"/>
      <c r="M2883" s="124"/>
      <c r="N2883" s="124"/>
      <c r="O2883" s="124"/>
      <c r="P2883" s="124"/>
      <c r="Q2883" s="124"/>
      <c r="R2883" s="124"/>
      <c r="S2883" s="124"/>
      <c r="T2883" s="124"/>
      <c r="U2883" s="124"/>
      <c r="V2883" s="124"/>
      <c r="W2883" s="124"/>
      <c r="X2883" s="124"/>
      <c r="Y2883" s="124"/>
      <c r="Z2883" s="124"/>
    </row>
    <row r="2884">
      <c r="A2884" s="124"/>
      <c r="B2884" s="124"/>
      <c r="C2884" s="147"/>
      <c r="D2884" s="124"/>
      <c r="E2884" s="124"/>
      <c r="F2884" s="124"/>
      <c r="G2884" s="124"/>
      <c r="H2884" s="124"/>
      <c r="I2884" s="124"/>
      <c r="J2884" s="124"/>
      <c r="K2884" s="124"/>
      <c r="L2884" s="124"/>
      <c r="M2884" s="124"/>
      <c r="N2884" s="124"/>
      <c r="O2884" s="124"/>
      <c r="P2884" s="124"/>
      <c r="Q2884" s="124"/>
      <c r="R2884" s="124"/>
      <c r="S2884" s="124"/>
      <c r="T2884" s="124"/>
      <c r="U2884" s="124"/>
      <c r="V2884" s="124"/>
      <c r="W2884" s="124"/>
      <c r="X2884" s="124"/>
      <c r="Y2884" s="124"/>
      <c r="Z2884" s="124"/>
    </row>
    <row r="2885">
      <c r="A2885" s="124"/>
      <c r="B2885" s="124"/>
      <c r="C2885" s="147"/>
      <c r="D2885" s="124"/>
      <c r="E2885" s="124"/>
      <c r="F2885" s="124"/>
      <c r="G2885" s="124"/>
      <c r="H2885" s="124"/>
      <c r="I2885" s="124"/>
      <c r="J2885" s="124"/>
      <c r="K2885" s="124"/>
      <c r="L2885" s="124"/>
      <c r="M2885" s="124"/>
      <c r="N2885" s="124"/>
      <c r="O2885" s="124"/>
      <c r="P2885" s="124"/>
      <c r="Q2885" s="124"/>
      <c r="R2885" s="124"/>
      <c r="S2885" s="124"/>
      <c r="T2885" s="124"/>
      <c r="U2885" s="124"/>
      <c r="V2885" s="124"/>
      <c r="W2885" s="124"/>
      <c r="X2885" s="124"/>
      <c r="Y2885" s="124"/>
      <c r="Z2885" s="124"/>
    </row>
    <row r="2886">
      <c r="A2886" s="124"/>
      <c r="B2886" s="124"/>
      <c r="C2886" s="147"/>
      <c r="D2886" s="124"/>
      <c r="E2886" s="124"/>
      <c r="F2886" s="124"/>
      <c r="G2886" s="124"/>
      <c r="H2886" s="124"/>
      <c r="I2886" s="124"/>
      <c r="J2886" s="124"/>
      <c r="K2886" s="124"/>
      <c r="L2886" s="124"/>
      <c r="M2886" s="124"/>
      <c r="N2886" s="124"/>
      <c r="O2886" s="124"/>
      <c r="P2886" s="124"/>
      <c r="Q2886" s="124"/>
      <c r="R2886" s="124"/>
      <c r="S2886" s="124"/>
      <c r="T2886" s="124"/>
      <c r="U2886" s="124"/>
      <c r="V2886" s="124"/>
      <c r="W2886" s="124"/>
      <c r="X2886" s="124"/>
      <c r="Y2886" s="124"/>
      <c r="Z2886" s="124"/>
    </row>
    <row r="2887">
      <c r="A2887" s="124"/>
      <c r="B2887" s="124"/>
      <c r="C2887" s="147"/>
      <c r="D2887" s="124"/>
      <c r="E2887" s="124"/>
      <c r="F2887" s="124"/>
      <c r="G2887" s="124"/>
      <c r="H2887" s="124"/>
      <c r="I2887" s="124"/>
      <c r="J2887" s="124"/>
      <c r="K2887" s="124"/>
      <c r="L2887" s="124"/>
      <c r="M2887" s="124"/>
      <c r="N2887" s="124"/>
      <c r="O2887" s="124"/>
      <c r="P2887" s="124"/>
      <c r="Q2887" s="124"/>
      <c r="R2887" s="124"/>
      <c r="S2887" s="124"/>
      <c r="T2887" s="124"/>
      <c r="U2887" s="124"/>
      <c r="V2887" s="124"/>
      <c r="W2887" s="124"/>
      <c r="X2887" s="124"/>
      <c r="Y2887" s="124"/>
      <c r="Z2887" s="124"/>
    </row>
    <row r="2888">
      <c r="A2888" s="124"/>
      <c r="B2888" s="124"/>
      <c r="C2888" s="147"/>
      <c r="D2888" s="124"/>
      <c r="E2888" s="124"/>
      <c r="F2888" s="124"/>
      <c r="G2888" s="124"/>
      <c r="H2888" s="124"/>
      <c r="I2888" s="124"/>
      <c r="J2888" s="124"/>
      <c r="K2888" s="124"/>
      <c r="L2888" s="124"/>
      <c r="M2888" s="124"/>
      <c r="N2888" s="124"/>
      <c r="O2888" s="124"/>
      <c r="P2888" s="124"/>
      <c r="Q2888" s="124"/>
      <c r="R2888" s="124"/>
      <c r="S2888" s="124"/>
      <c r="T2888" s="124"/>
      <c r="U2888" s="124"/>
      <c r="V2888" s="124"/>
      <c r="W2888" s="124"/>
      <c r="X2888" s="124"/>
      <c r="Y2888" s="124"/>
      <c r="Z2888" s="124"/>
    </row>
    <row r="2889">
      <c r="A2889" s="124"/>
      <c r="B2889" s="124"/>
      <c r="C2889" s="147"/>
      <c r="D2889" s="124"/>
      <c r="E2889" s="124"/>
      <c r="F2889" s="124"/>
      <c r="G2889" s="124"/>
      <c r="H2889" s="124"/>
      <c r="I2889" s="124"/>
      <c r="J2889" s="124"/>
      <c r="K2889" s="124"/>
      <c r="L2889" s="124"/>
      <c r="M2889" s="124"/>
      <c r="N2889" s="124"/>
      <c r="O2889" s="124"/>
      <c r="P2889" s="124"/>
      <c r="Q2889" s="124"/>
      <c r="R2889" s="124"/>
      <c r="S2889" s="124"/>
      <c r="T2889" s="124"/>
      <c r="U2889" s="124"/>
      <c r="V2889" s="124"/>
      <c r="W2889" s="124"/>
      <c r="X2889" s="124"/>
      <c r="Y2889" s="124"/>
      <c r="Z2889" s="124"/>
    </row>
    <row r="2890">
      <c r="A2890" s="124"/>
      <c r="B2890" s="124"/>
      <c r="C2890" s="147"/>
      <c r="D2890" s="124"/>
      <c r="E2890" s="124"/>
      <c r="F2890" s="124"/>
      <c r="G2890" s="124"/>
      <c r="H2890" s="124"/>
      <c r="I2890" s="124"/>
      <c r="J2890" s="124"/>
      <c r="K2890" s="124"/>
      <c r="L2890" s="124"/>
      <c r="M2890" s="124"/>
      <c r="N2890" s="124"/>
      <c r="O2890" s="124"/>
      <c r="P2890" s="124"/>
      <c r="Q2890" s="124"/>
      <c r="R2890" s="124"/>
      <c r="S2890" s="124"/>
      <c r="T2890" s="124"/>
      <c r="U2890" s="124"/>
      <c r="V2890" s="124"/>
      <c r="W2890" s="124"/>
      <c r="X2890" s="124"/>
      <c r="Y2890" s="124"/>
      <c r="Z2890" s="124"/>
    </row>
    <row r="2891">
      <c r="A2891" s="124"/>
      <c r="B2891" s="124"/>
      <c r="C2891" s="147"/>
      <c r="D2891" s="124"/>
      <c r="E2891" s="124"/>
      <c r="F2891" s="124"/>
      <c r="G2891" s="124"/>
      <c r="H2891" s="124"/>
      <c r="I2891" s="124"/>
      <c r="J2891" s="124"/>
      <c r="K2891" s="124"/>
      <c r="L2891" s="124"/>
      <c r="M2891" s="124"/>
      <c r="N2891" s="124"/>
      <c r="O2891" s="124"/>
      <c r="P2891" s="124"/>
      <c r="Q2891" s="124"/>
      <c r="R2891" s="124"/>
      <c r="S2891" s="124"/>
      <c r="T2891" s="124"/>
      <c r="U2891" s="124"/>
      <c r="V2891" s="124"/>
      <c r="W2891" s="124"/>
      <c r="X2891" s="124"/>
      <c r="Y2891" s="124"/>
      <c r="Z2891" s="124"/>
    </row>
    <row r="2892">
      <c r="A2892" s="124"/>
      <c r="B2892" s="124"/>
      <c r="C2892" s="147"/>
      <c r="D2892" s="124"/>
      <c r="E2892" s="124"/>
      <c r="F2892" s="124"/>
      <c r="G2892" s="124"/>
      <c r="H2892" s="124"/>
      <c r="I2892" s="124"/>
      <c r="J2892" s="124"/>
      <c r="K2892" s="124"/>
      <c r="L2892" s="124"/>
      <c r="M2892" s="124"/>
      <c r="N2892" s="124"/>
      <c r="O2892" s="124"/>
      <c r="P2892" s="124"/>
      <c r="Q2892" s="124"/>
      <c r="R2892" s="124"/>
      <c r="S2892" s="124"/>
      <c r="T2892" s="124"/>
      <c r="U2892" s="124"/>
      <c r="V2892" s="124"/>
      <c r="W2892" s="124"/>
      <c r="X2892" s="124"/>
      <c r="Y2892" s="124"/>
      <c r="Z2892" s="124"/>
    </row>
    <row r="2893">
      <c r="A2893" s="124"/>
      <c r="B2893" s="124"/>
      <c r="C2893" s="147"/>
      <c r="D2893" s="124"/>
      <c r="E2893" s="124"/>
      <c r="F2893" s="124"/>
      <c r="G2893" s="124"/>
      <c r="H2893" s="124"/>
      <c r="I2893" s="124"/>
      <c r="J2893" s="124"/>
      <c r="K2893" s="124"/>
      <c r="L2893" s="124"/>
      <c r="M2893" s="124"/>
      <c r="N2893" s="124"/>
      <c r="O2893" s="124"/>
      <c r="P2893" s="124"/>
      <c r="Q2893" s="124"/>
      <c r="R2893" s="124"/>
      <c r="S2893" s="124"/>
      <c r="T2893" s="124"/>
      <c r="U2893" s="124"/>
      <c r="V2893" s="124"/>
      <c r="W2893" s="124"/>
      <c r="X2893" s="124"/>
      <c r="Y2893" s="124"/>
      <c r="Z2893" s="124"/>
    </row>
    <row r="2894">
      <c r="A2894" s="124"/>
      <c r="B2894" s="124"/>
      <c r="C2894" s="147"/>
      <c r="D2894" s="124"/>
      <c r="E2894" s="124"/>
      <c r="F2894" s="124"/>
      <c r="G2894" s="124"/>
      <c r="H2894" s="124"/>
      <c r="I2894" s="124"/>
      <c r="J2894" s="124"/>
      <c r="K2894" s="124"/>
      <c r="L2894" s="124"/>
      <c r="M2894" s="124"/>
      <c r="N2894" s="124"/>
      <c r="O2894" s="124"/>
      <c r="P2894" s="124"/>
      <c r="Q2894" s="124"/>
      <c r="R2894" s="124"/>
      <c r="S2894" s="124"/>
      <c r="T2894" s="124"/>
      <c r="U2894" s="124"/>
      <c r="V2894" s="124"/>
      <c r="W2894" s="124"/>
      <c r="X2894" s="124"/>
      <c r="Y2894" s="124"/>
      <c r="Z2894" s="124"/>
    </row>
    <row r="2895">
      <c r="A2895" s="124"/>
      <c r="B2895" s="124"/>
      <c r="C2895" s="147"/>
      <c r="D2895" s="124"/>
      <c r="E2895" s="124"/>
      <c r="F2895" s="124"/>
      <c r="G2895" s="124"/>
      <c r="H2895" s="124"/>
      <c r="I2895" s="124"/>
      <c r="J2895" s="124"/>
      <c r="K2895" s="124"/>
      <c r="L2895" s="124"/>
      <c r="M2895" s="124"/>
      <c r="N2895" s="124"/>
      <c r="O2895" s="124"/>
      <c r="P2895" s="124"/>
      <c r="Q2895" s="124"/>
      <c r="R2895" s="124"/>
      <c r="S2895" s="124"/>
      <c r="T2895" s="124"/>
      <c r="U2895" s="124"/>
      <c r="V2895" s="124"/>
      <c r="W2895" s="124"/>
      <c r="X2895" s="124"/>
      <c r="Y2895" s="124"/>
      <c r="Z2895" s="124"/>
    </row>
    <row r="2896">
      <c r="A2896" s="124"/>
      <c r="B2896" s="124"/>
      <c r="C2896" s="147"/>
      <c r="D2896" s="124"/>
      <c r="E2896" s="124"/>
      <c r="F2896" s="124"/>
      <c r="G2896" s="124"/>
      <c r="H2896" s="124"/>
      <c r="I2896" s="124"/>
      <c r="J2896" s="124"/>
      <c r="K2896" s="124"/>
      <c r="L2896" s="124"/>
      <c r="M2896" s="124"/>
      <c r="N2896" s="124"/>
      <c r="O2896" s="124"/>
      <c r="P2896" s="124"/>
      <c r="Q2896" s="124"/>
      <c r="R2896" s="124"/>
      <c r="S2896" s="124"/>
      <c r="T2896" s="124"/>
      <c r="U2896" s="124"/>
      <c r="V2896" s="124"/>
      <c r="W2896" s="124"/>
      <c r="X2896" s="124"/>
      <c r="Y2896" s="124"/>
      <c r="Z2896" s="124"/>
    </row>
    <row r="2897">
      <c r="A2897" s="124"/>
      <c r="B2897" s="124"/>
      <c r="C2897" s="147"/>
      <c r="D2897" s="124"/>
      <c r="E2897" s="124"/>
      <c r="F2897" s="124"/>
      <c r="G2897" s="124"/>
      <c r="H2897" s="124"/>
      <c r="I2897" s="124"/>
      <c r="J2897" s="124"/>
      <c r="K2897" s="124"/>
      <c r="L2897" s="124"/>
      <c r="M2897" s="124"/>
      <c r="N2897" s="124"/>
      <c r="O2897" s="124"/>
      <c r="P2897" s="124"/>
      <c r="Q2897" s="124"/>
      <c r="R2897" s="124"/>
      <c r="S2897" s="124"/>
      <c r="T2897" s="124"/>
      <c r="U2897" s="124"/>
      <c r="V2897" s="124"/>
      <c r="W2897" s="124"/>
      <c r="X2897" s="124"/>
      <c r="Y2897" s="124"/>
      <c r="Z2897" s="124"/>
    </row>
    <row r="2898">
      <c r="A2898" s="124"/>
      <c r="B2898" s="124"/>
      <c r="C2898" s="147"/>
      <c r="D2898" s="124"/>
      <c r="E2898" s="124"/>
      <c r="F2898" s="124"/>
      <c r="G2898" s="124"/>
      <c r="H2898" s="124"/>
      <c r="I2898" s="124"/>
      <c r="J2898" s="124"/>
      <c r="K2898" s="124"/>
      <c r="L2898" s="124"/>
      <c r="M2898" s="124"/>
      <c r="N2898" s="124"/>
      <c r="O2898" s="124"/>
      <c r="P2898" s="124"/>
      <c r="Q2898" s="124"/>
      <c r="R2898" s="124"/>
      <c r="S2898" s="124"/>
      <c r="T2898" s="124"/>
      <c r="U2898" s="124"/>
      <c r="V2898" s="124"/>
      <c r="W2898" s="124"/>
      <c r="X2898" s="124"/>
      <c r="Y2898" s="124"/>
      <c r="Z2898" s="124"/>
    </row>
    <row r="2899">
      <c r="A2899" s="124"/>
      <c r="B2899" s="124"/>
      <c r="C2899" s="147"/>
      <c r="D2899" s="124"/>
      <c r="E2899" s="124"/>
      <c r="F2899" s="124"/>
      <c r="G2899" s="124"/>
      <c r="H2899" s="124"/>
      <c r="I2899" s="124"/>
      <c r="J2899" s="124"/>
      <c r="K2899" s="124"/>
      <c r="L2899" s="124"/>
      <c r="M2899" s="124"/>
      <c r="N2899" s="124"/>
      <c r="O2899" s="124"/>
      <c r="P2899" s="124"/>
      <c r="Q2899" s="124"/>
      <c r="R2899" s="124"/>
      <c r="S2899" s="124"/>
      <c r="T2899" s="124"/>
      <c r="U2899" s="124"/>
      <c r="V2899" s="124"/>
      <c r="W2899" s="124"/>
      <c r="X2899" s="124"/>
      <c r="Y2899" s="124"/>
      <c r="Z2899" s="124"/>
    </row>
    <row r="2900">
      <c r="A2900" s="124"/>
      <c r="B2900" s="124"/>
      <c r="C2900" s="147"/>
      <c r="D2900" s="124"/>
      <c r="E2900" s="124"/>
      <c r="F2900" s="124"/>
      <c r="G2900" s="124"/>
      <c r="H2900" s="124"/>
      <c r="I2900" s="124"/>
      <c r="J2900" s="124"/>
      <c r="K2900" s="124"/>
      <c r="L2900" s="124"/>
      <c r="M2900" s="124"/>
      <c r="N2900" s="124"/>
      <c r="O2900" s="124"/>
      <c r="P2900" s="124"/>
      <c r="Q2900" s="124"/>
      <c r="R2900" s="124"/>
      <c r="S2900" s="124"/>
      <c r="T2900" s="124"/>
      <c r="U2900" s="124"/>
      <c r="V2900" s="124"/>
      <c r="W2900" s="124"/>
      <c r="X2900" s="124"/>
      <c r="Y2900" s="124"/>
      <c r="Z2900" s="124"/>
    </row>
    <row r="2901">
      <c r="A2901" s="124"/>
      <c r="B2901" s="124"/>
      <c r="C2901" s="147"/>
      <c r="D2901" s="124"/>
      <c r="E2901" s="124"/>
      <c r="F2901" s="124"/>
      <c r="G2901" s="124"/>
      <c r="H2901" s="124"/>
      <c r="I2901" s="124"/>
      <c r="J2901" s="124"/>
      <c r="K2901" s="124"/>
      <c r="L2901" s="124"/>
      <c r="M2901" s="124"/>
      <c r="N2901" s="124"/>
      <c r="O2901" s="124"/>
      <c r="P2901" s="124"/>
      <c r="Q2901" s="124"/>
      <c r="R2901" s="124"/>
      <c r="S2901" s="124"/>
      <c r="T2901" s="124"/>
      <c r="U2901" s="124"/>
      <c r="V2901" s="124"/>
      <c r="W2901" s="124"/>
      <c r="X2901" s="124"/>
      <c r="Y2901" s="124"/>
      <c r="Z2901" s="124"/>
    </row>
    <row r="2902">
      <c r="A2902" s="124"/>
      <c r="B2902" s="124"/>
      <c r="C2902" s="147"/>
      <c r="D2902" s="124"/>
      <c r="E2902" s="124"/>
      <c r="F2902" s="124"/>
      <c r="G2902" s="124"/>
      <c r="H2902" s="124"/>
      <c r="I2902" s="124"/>
      <c r="J2902" s="124"/>
      <c r="K2902" s="124"/>
      <c r="L2902" s="124"/>
      <c r="M2902" s="124"/>
      <c r="N2902" s="124"/>
      <c r="O2902" s="124"/>
      <c r="P2902" s="124"/>
      <c r="Q2902" s="124"/>
      <c r="R2902" s="124"/>
      <c r="S2902" s="124"/>
      <c r="T2902" s="124"/>
      <c r="U2902" s="124"/>
      <c r="V2902" s="124"/>
      <c r="W2902" s="124"/>
      <c r="X2902" s="124"/>
      <c r="Y2902" s="124"/>
      <c r="Z2902" s="124"/>
    </row>
    <row r="2903">
      <c r="A2903" s="124"/>
      <c r="B2903" s="124"/>
      <c r="C2903" s="147"/>
      <c r="D2903" s="124"/>
      <c r="E2903" s="124"/>
      <c r="F2903" s="124"/>
      <c r="G2903" s="124"/>
      <c r="H2903" s="124"/>
      <c r="I2903" s="124"/>
      <c r="J2903" s="124"/>
      <c r="K2903" s="124"/>
      <c r="L2903" s="124"/>
      <c r="M2903" s="124"/>
      <c r="N2903" s="124"/>
      <c r="O2903" s="124"/>
      <c r="P2903" s="124"/>
      <c r="Q2903" s="124"/>
      <c r="R2903" s="124"/>
      <c r="S2903" s="124"/>
      <c r="T2903" s="124"/>
      <c r="U2903" s="124"/>
      <c r="V2903" s="124"/>
      <c r="W2903" s="124"/>
      <c r="X2903" s="124"/>
      <c r="Y2903" s="124"/>
      <c r="Z2903" s="124"/>
    </row>
    <row r="2904">
      <c r="A2904" s="124"/>
      <c r="B2904" s="124"/>
      <c r="C2904" s="147"/>
      <c r="D2904" s="124"/>
      <c r="E2904" s="124"/>
      <c r="F2904" s="124"/>
      <c r="G2904" s="124"/>
      <c r="H2904" s="124"/>
      <c r="I2904" s="124"/>
      <c r="J2904" s="124"/>
      <c r="K2904" s="124"/>
      <c r="L2904" s="124"/>
      <c r="M2904" s="124"/>
      <c r="N2904" s="124"/>
      <c r="O2904" s="124"/>
      <c r="P2904" s="124"/>
      <c r="Q2904" s="124"/>
      <c r="R2904" s="124"/>
      <c r="S2904" s="124"/>
      <c r="T2904" s="124"/>
      <c r="U2904" s="124"/>
      <c r="V2904" s="124"/>
      <c r="W2904" s="124"/>
      <c r="X2904" s="124"/>
      <c r="Y2904" s="124"/>
      <c r="Z2904" s="124"/>
    </row>
    <row r="2905">
      <c r="A2905" s="124"/>
      <c r="B2905" s="124"/>
      <c r="C2905" s="147"/>
      <c r="D2905" s="124"/>
      <c r="E2905" s="124"/>
      <c r="F2905" s="124"/>
      <c r="G2905" s="124"/>
      <c r="H2905" s="124"/>
      <c r="I2905" s="124"/>
      <c r="J2905" s="124"/>
      <c r="K2905" s="124"/>
      <c r="L2905" s="124"/>
      <c r="M2905" s="124"/>
      <c r="N2905" s="124"/>
      <c r="O2905" s="124"/>
      <c r="P2905" s="124"/>
      <c r="Q2905" s="124"/>
      <c r="R2905" s="124"/>
      <c r="S2905" s="124"/>
      <c r="T2905" s="124"/>
      <c r="U2905" s="124"/>
      <c r="V2905" s="124"/>
      <c r="W2905" s="124"/>
      <c r="X2905" s="124"/>
      <c r="Y2905" s="124"/>
      <c r="Z2905" s="124"/>
    </row>
    <row r="2906">
      <c r="A2906" s="124"/>
      <c r="B2906" s="124"/>
      <c r="C2906" s="147"/>
      <c r="D2906" s="124"/>
      <c r="E2906" s="124"/>
      <c r="F2906" s="124"/>
      <c r="G2906" s="124"/>
      <c r="H2906" s="124"/>
      <c r="I2906" s="124"/>
      <c r="J2906" s="124"/>
      <c r="K2906" s="124"/>
      <c r="L2906" s="124"/>
      <c r="M2906" s="124"/>
      <c r="N2906" s="124"/>
      <c r="O2906" s="124"/>
      <c r="P2906" s="124"/>
      <c r="Q2906" s="124"/>
      <c r="R2906" s="124"/>
      <c r="S2906" s="124"/>
      <c r="T2906" s="124"/>
      <c r="U2906" s="124"/>
      <c r="V2906" s="124"/>
      <c r="W2906" s="124"/>
      <c r="X2906" s="124"/>
      <c r="Y2906" s="124"/>
      <c r="Z2906" s="124"/>
    </row>
    <row r="2907">
      <c r="A2907" s="124"/>
      <c r="B2907" s="124"/>
      <c r="C2907" s="147"/>
      <c r="D2907" s="124"/>
      <c r="E2907" s="124"/>
      <c r="F2907" s="124"/>
      <c r="G2907" s="124"/>
      <c r="H2907" s="124"/>
      <c r="I2907" s="124"/>
      <c r="J2907" s="124"/>
      <c r="K2907" s="124"/>
      <c r="L2907" s="124"/>
      <c r="M2907" s="124"/>
      <c r="N2907" s="124"/>
      <c r="O2907" s="124"/>
      <c r="P2907" s="124"/>
      <c r="Q2907" s="124"/>
      <c r="R2907" s="124"/>
      <c r="S2907" s="124"/>
      <c r="T2907" s="124"/>
      <c r="U2907" s="124"/>
      <c r="V2907" s="124"/>
      <c r="W2907" s="124"/>
      <c r="X2907" s="124"/>
      <c r="Y2907" s="124"/>
      <c r="Z2907" s="124"/>
    </row>
    <row r="2908">
      <c r="A2908" s="124"/>
      <c r="B2908" s="124"/>
      <c r="C2908" s="147"/>
      <c r="D2908" s="124"/>
      <c r="E2908" s="124"/>
      <c r="F2908" s="124"/>
      <c r="G2908" s="124"/>
      <c r="H2908" s="124"/>
      <c r="I2908" s="124"/>
      <c r="J2908" s="124"/>
      <c r="K2908" s="124"/>
      <c r="L2908" s="124"/>
      <c r="M2908" s="124"/>
      <c r="N2908" s="124"/>
      <c r="O2908" s="124"/>
      <c r="P2908" s="124"/>
      <c r="Q2908" s="124"/>
      <c r="R2908" s="124"/>
      <c r="S2908" s="124"/>
      <c r="T2908" s="124"/>
      <c r="U2908" s="124"/>
      <c r="V2908" s="124"/>
      <c r="W2908" s="124"/>
      <c r="X2908" s="124"/>
      <c r="Y2908" s="124"/>
      <c r="Z2908" s="124"/>
    </row>
    <row r="2909">
      <c r="A2909" s="124"/>
      <c r="B2909" s="124"/>
      <c r="C2909" s="147"/>
      <c r="D2909" s="124"/>
      <c r="E2909" s="124"/>
      <c r="F2909" s="124"/>
      <c r="G2909" s="124"/>
      <c r="H2909" s="124"/>
      <c r="I2909" s="124"/>
      <c r="J2909" s="124"/>
      <c r="K2909" s="124"/>
      <c r="L2909" s="124"/>
      <c r="M2909" s="124"/>
      <c r="N2909" s="124"/>
      <c r="O2909" s="124"/>
      <c r="P2909" s="124"/>
      <c r="Q2909" s="124"/>
      <c r="R2909" s="124"/>
      <c r="S2909" s="124"/>
      <c r="T2909" s="124"/>
      <c r="U2909" s="124"/>
      <c r="V2909" s="124"/>
      <c r="W2909" s="124"/>
      <c r="X2909" s="124"/>
      <c r="Y2909" s="124"/>
      <c r="Z2909" s="124"/>
    </row>
    <row r="2910">
      <c r="A2910" s="124"/>
      <c r="B2910" s="124"/>
      <c r="C2910" s="147"/>
      <c r="D2910" s="124"/>
      <c r="E2910" s="124"/>
      <c r="F2910" s="124"/>
      <c r="G2910" s="124"/>
      <c r="H2910" s="124"/>
      <c r="I2910" s="124"/>
      <c r="J2910" s="124"/>
      <c r="K2910" s="124"/>
      <c r="L2910" s="124"/>
      <c r="M2910" s="124"/>
      <c r="N2910" s="124"/>
      <c r="O2910" s="124"/>
      <c r="P2910" s="124"/>
      <c r="Q2910" s="124"/>
      <c r="R2910" s="124"/>
      <c r="S2910" s="124"/>
      <c r="T2910" s="124"/>
      <c r="U2910" s="124"/>
      <c r="V2910" s="124"/>
      <c r="W2910" s="124"/>
      <c r="X2910" s="124"/>
      <c r="Y2910" s="124"/>
      <c r="Z2910" s="124"/>
    </row>
    <row r="2911">
      <c r="A2911" s="124"/>
      <c r="B2911" s="124"/>
      <c r="C2911" s="147"/>
      <c r="D2911" s="124"/>
      <c r="E2911" s="124"/>
      <c r="F2911" s="124"/>
      <c r="G2911" s="124"/>
      <c r="H2911" s="124"/>
      <c r="I2911" s="124"/>
      <c r="J2911" s="124"/>
      <c r="K2911" s="124"/>
      <c r="L2911" s="124"/>
      <c r="M2911" s="124"/>
      <c r="N2911" s="124"/>
      <c r="O2911" s="124"/>
      <c r="P2911" s="124"/>
      <c r="Q2911" s="124"/>
      <c r="R2911" s="124"/>
      <c r="S2911" s="124"/>
      <c r="T2911" s="124"/>
      <c r="U2911" s="124"/>
      <c r="V2911" s="124"/>
      <c r="W2911" s="124"/>
      <c r="X2911" s="124"/>
      <c r="Y2911" s="124"/>
      <c r="Z2911" s="124"/>
    </row>
    <row r="2912">
      <c r="A2912" s="124"/>
      <c r="B2912" s="124"/>
      <c r="C2912" s="147"/>
      <c r="D2912" s="124"/>
      <c r="E2912" s="124"/>
      <c r="F2912" s="124"/>
      <c r="G2912" s="124"/>
      <c r="H2912" s="124"/>
      <c r="I2912" s="124"/>
      <c r="J2912" s="124"/>
      <c r="K2912" s="124"/>
      <c r="L2912" s="124"/>
      <c r="M2912" s="124"/>
      <c r="N2912" s="124"/>
      <c r="O2912" s="124"/>
      <c r="P2912" s="124"/>
      <c r="Q2912" s="124"/>
      <c r="R2912" s="124"/>
      <c r="S2912" s="124"/>
      <c r="T2912" s="124"/>
      <c r="U2912" s="124"/>
      <c r="V2912" s="124"/>
      <c r="W2912" s="124"/>
      <c r="X2912" s="124"/>
      <c r="Y2912" s="124"/>
      <c r="Z2912" s="124"/>
    </row>
    <row r="2913">
      <c r="A2913" s="124"/>
      <c r="B2913" s="124"/>
      <c r="C2913" s="147"/>
      <c r="D2913" s="124"/>
      <c r="E2913" s="124"/>
      <c r="F2913" s="124"/>
      <c r="G2913" s="124"/>
      <c r="H2913" s="124"/>
      <c r="I2913" s="124"/>
      <c r="J2913" s="124"/>
      <c r="K2913" s="124"/>
      <c r="L2913" s="124"/>
      <c r="M2913" s="124"/>
      <c r="N2913" s="124"/>
      <c r="O2913" s="124"/>
      <c r="P2913" s="124"/>
      <c r="Q2913" s="124"/>
      <c r="R2913" s="124"/>
      <c r="S2913" s="124"/>
      <c r="T2913" s="124"/>
      <c r="U2913" s="124"/>
      <c r="V2913" s="124"/>
      <c r="W2913" s="124"/>
      <c r="X2913" s="124"/>
      <c r="Y2913" s="124"/>
      <c r="Z2913" s="124"/>
    </row>
    <row r="2914">
      <c r="A2914" s="124"/>
      <c r="B2914" s="124"/>
      <c r="C2914" s="147"/>
      <c r="D2914" s="124"/>
      <c r="E2914" s="124"/>
      <c r="F2914" s="124"/>
      <c r="G2914" s="124"/>
      <c r="H2914" s="124"/>
      <c r="I2914" s="124"/>
      <c r="J2914" s="124"/>
      <c r="K2914" s="124"/>
      <c r="L2914" s="124"/>
      <c r="M2914" s="124"/>
      <c r="N2914" s="124"/>
      <c r="O2914" s="124"/>
      <c r="P2914" s="124"/>
      <c r="Q2914" s="124"/>
      <c r="R2914" s="124"/>
      <c r="S2914" s="124"/>
      <c r="T2914" s="124"/>
      <c r="U2914" s="124"/>
      <c r="V2914" s="124"/>
      <c r="W2914" s="124"/>
      <c r="X2914" s="124"/>
      <c r="Y2914" s="124"/>
      <c r="Z2914" s="124"/>
    </row>
    <row r="2915">
      <c r="A2915" s="124"/>
      <c r="B2915" s="124"/>
      <c r="C2915" s="147"/>
      <c r="D2915" s="124"/>
      <c r="E2915" s="124"/>
      <c r="F2915" s="124"/>
      <c r="G2915" s="124"/>
      <c r="H2915" s="124"/>
      <c r="I2915" s="124"/>
      <c r="J2915" s="124"/>
      <c r="K2915" s="124"/>
      <c r="L2915" s="124"/>
      <c r="M2915" s="124"/>
      <c r="N2915" s="124"/>
      <c r="O2915" s="124"/>
      <c r="P2915" s="124"/>
      <c r="Q2915" s="124"/>
      <c r="R2915" s="124"/>
      <c r="S2915" s="124"/>
      <c r="T2915" s="124"/>
      <c r="U2915" s="124"/>
      <c r="V2915" s="124"/>
      <c r="W2915" s="124"/>
      <c r="X2915" s="124"/>
      <c r="Y2915" s="124"/>
      <c r="Z2915" s="124"/>
    </row>
    <row r="2916">
      <c r="A2916" s="124"/>
      <c r="B2916" s="124"/>
      <c r="C2916" s="147"/>
      <c r="D2916" s="124"/>
      <c r="E2916" s="124"/>
      <c r="F2916" s="124"/>
      <c r="G2916" s="124"/>
      <c r="H2916" s="124"/>
      <c r="I2916" s="124"/>
      <c r="J2916" s="124"/>
      <c r="K2916" s="124"/>
      <c r="L2916" s="124"/>
      <c r="M2916" s="124"/>
      <c r="N2916" s="124"/>
      <c r="O2916" s="124"/>
      <c r="P2916" s="124"/>
      <c r="Q2916" s="124"/>
      <c r="R2916" s="124"/>
      <c r="S2916" s="124"/>
      <c r="T2916" s="124"/>
      <c r="U2916" s="124"/>
      <c r="V2916" s="124"/>
      <c r="W2916" s="124"/>
      <c r="X2916" s="124"/>
      <c r="Y2916" s="124"/>
      <c r="Z2916" s="124"/>
    </row>
    <row r="2917">
      <c r="A2917" s="124"/>
      <c r="B2917" s="124"/>
      <c r="C2917" s="147"/>
      <c r="D2917" s="124"/>
      <c r="E2917" s="124"/>
      <c r="F2917" s="124"/>
      <c r="G2917" s="124"/>
      <c r="H2917" s="124"/>
      <c r="I2917" s="124"/>
      <c r="J2917" s="124"/>
      <c r="K2917" s="124"/>
      <c r="L2917" s="124"/>
      <c r="M2917" s="124"/>
      <c r="N2917" s="124"/>
      <c r="O2917" s="124"/>
      <c r="P2917" s="124"/>
      <c r="Q2917" s="124"/>
      <c r="R2917" s="124"/>
      <c r="S2917" s="124"/>
      <c r="T2917" s="124"/>
      <c r="U2917" s="124"/>
      <c r="V2917" s="124"/>
      <c r="W2917" s="124"/>
      <c r="X2917" s="124"/>
      <c r="Y2917" s="124"/>
      <c r="Z2917" s="124"/>
    </row>
    <row r="2918">
      <c r="A2918" s="124"/>
      <c r="B2918" s="124"/>
      <c r="C2918" s="147"/>
      <c r="D2918" s="124"/>
      <c r="E2918" s="124"/>
      <c r="F2918" s="124"/>
      <c r="G2918" s="124"/>
      <c r="H2918" s="124"/>
      <c r="I2918" s="124"/>
      <c r="J2918" s="124"/>
      <c r="K2918" s="124"/>
      <c r="L2918" s="124"/>
      <c r="M2918" s="124"/>
      <c r="N2918" s="124"/>
      <c r="O2918" s="124"/>
      <c r="P2918" s="124"/>
      <c r="Q2918" s="124"/>
      <c r="R2918" s="124"/>
      <c r="S2918" s="124"/>
      <c r="T2918" s="124"/>
      <c r="U2918" s="124"/>
      <c r="V2918" s="124"/>
      <c r="W2918" s="124"/>
      <c r="X2918" s="124"/>
      <c r="Y2918" s="124"/>
      <c r="Z2918" s="124"/>
    </row>
    <row r="2919">
      <c r="A2919" s="124"/>
      <c r="B2919" s="124"/>
      <c r="C2919" s="147"/>
      <c r="D2919" s="124"/>
      <c r="E2919" s="124"/>
      <c r="F2919" s="124"/>
      <c r="G2919" s="124"/>
      <c r="H2919" s="124"/>
      <c r="I2919" s="124"/>
      <c r="J2919" s="124"/>
      <c r="K2919" s="124"/>
      <c r="L2919" s="124"/>
      <c r="M2919" s="124"/>
      <c r="N2919" s="124"/>
      <c r="O2919" s="124"/>
      <c r="P2919" s="124"/>
      <c r="Q2919" s="124"/>
      <c r="R2919" s="124"/>
      <c r="S2919" s="124"/>
      <c r="T2919" s="124"/>
      <c r="U2919" s="124"/>
      <c r="V2919" s="124"/>
      <c r="W2919" s="124"/>
      <c r="X2919" s="124"/>
      <c r="Y2919" s="124"/>
      <c r="Z2919" s="124"/>
    </row>
    <row r="2920">
      <c r="A2920" s="124"/>
      <c r="B2920" s="124"/>
      <c r="C2920" s="147"/>
      <c r="D2920" s="124"/>
      <c r="E2920" s="124"/>
      <c r="F2920" s="124"/>
      <c r="G2920" s="124"/>
      <c r="H2920" s="124"/>
      <c r="I2920" s="124"/>
      <c r="J2920" s="124"/>
      <c r="K2920" s="124"/>
      <c r="L2920" s="124"/>
      <c r="M2920" s="124"/>
      <c r="N2920" s="124"/>
      <c r="O2920" s="124"/>
      <c r="P2920" s="124"/>
      <c r="Q2920" s="124"/>
      <c r="R2920" s="124"/>
      <c r="S2920" s="124"/>
      <c r="T2920" s="124"/>
      <c r="U2920" s="124"/>
      <c r="V2920" s="124"/>
      <c r="W2920" s="124"/>
      <c r="X2920" s="124"/>
      <c r="Y2920" s="124"/>
      <c r="Z2920" s="124"/>
    </row>
    <row r="2921">
      <c r="A2921" s="124"/>
      <c r="B2921" s="124"/>
      <c r="C2921" s="147"/>
      <c r="D2921" s="124"/>
      <c r="E2921" s="124"/>
      <c r="F2921" s="124"/>
      <c r="G2921" s="124"/>
      <c r="H2921" s="124"/>
      <c r="I2921" s="124"/>
      <c r="J2921" s="124"/>
      <c r="K2921" s="124"/>
      <c r="L2921" s="124"/>
      <c r="M2921" s="124"/>
      <c r="N2921" s="124"/>
      <c r="O2921" s="124"/>
      <c r="P2921" s="124"/>
      <c r="Q2921" s="124"/>
      <c r="R2921" s="124"/>
      <c r="S2921" s="124"/>
      <c r="T2921" s="124"/>
      <c r="U2921" s="124"/>
      <c r="V2921" s="124"/>
      <c r="W2921" s="124"/>
      <c r="X2921" s="124"/>
      <c r="Y2921" s="124"/>
      <c r="Z2921" s="124"/>
    </row>
    <row r="2922">
      <c r="A2922" s="124"/>
      <c r="B2922" s="124"/>
      <c r="C2922" s="147"/>
      <c r="D2922" s="124"/>
      <c r="E2922" s="124"/>
      <c r="F2922" s="124"/>
      <c r="G2922" s="124"/>
      <c r="H2922" s="124"/>
      <c r="I2922" s="124"/>
      <c r="J2922" s="124"/>
      <c r="K2922" s="124"/>
      <c r="L2922" s="124"/>
      <c r="M2922" s="124"/>
      <c r="N2922" s="124"/>
      <c r="O2922" s="124"/>
      <c r="P2922" s="124"/>
      <c r="Q2922" s="124"/>
      <c r="R2922" s="124"/>
      <c r="S2922" s="124"/>
      <c r="T2922" s="124"/>
      <c r="U2922" s="124"/>
      <c r="V2922" s="124"/>
      <c r="W2922" s="124"/>
      <c r="X2922" s="124"/>
      <c r="Y2922" s="124"/>
      <c r="Z2922" s="124"/>
    </row>
    <row r="2923">
      <c r="A2923" s="124"/>
      <c r="B2923" s="124"/>
      <c r="C2923" s="147"/>
      <c r="D2923" s="124"/>
      <c r="E2923" s="124"/>
      <c r="F2923" s="124"/>
      <c r="G2923" s="124"/>
      <c r="H2923" s="124"/>
      <c r="I2923" s="124"/>
      <c r="J2923" s="124"/>
      <c r="K2923" s="124"/>
      <c r="L2923" s="124"/>
      <c r="M2923" s="124"/>
      <c r="N2923" s="124"/>
      <c r="O2923" s="124"/>
      <c r="P2923" s="124"/>
      <c r="Q2923" s="124"/>
      <c r="R2923" s="124"/>
      <c r="S2923" s="124"/>
      <c r="T2923" s="124"/>
      <c r="U2923" s="124"/>
      <c r="V2923" s="124"/>
      <c r="W2923" s="124"/>
      <c r="X2923" s="124"/>
      <c r="Y2923" s="124"/>
      <c r="Z2923" s="124"/>
    </row>
    <row r="2924">
      <c r="A2924" s="124"/>
      <c r="B2924" s="124"/>
      <c r="C2924" s="147"/>
      <c r="D2924" s="124"/>
      <c r="E2924" s="124"/>
      <c r="F2924" s="124"/>
      <c r="G2924" s="124"/>
      <c r="H2924" s="124"/>
      <c r="I2924" s="124"/>
      <c r="J2924" s="124"/>
      <c r="K2924" s="124"/>
      <c r="L2924" s="124"/>
      <c r="M2924" s="124"/>
      <c r="N2924" s="124"/>
      <c r="O2924" s="124"/>
      <c r="P2924" s="124"/>
      <c r="Q2924" s="124"/>
      <c r="R2924" s="124"/>
      <c r="S2924" s="124"/>
      <c r="T2924" s="124"/>
      <c r="U2924" s="124"/>
      <c r="V2924" s="124"/>
      <c r="W2924" s="124"/>
      <c r="X2924" s="124"/>
      <c r="Y2924" s="124"/>
      <c r="Z2924" s="124"/>
    </row>
    <row r="2925">
      <c r="A2925" s="124"/>
      <c r="B2925" s="124"/>
      <c r="C2925" s="147"/>
      <c r="D2925" s="124"/>
      <c r="E2925" s="124"/>
      <c r="F2925" s="124"/>
      <c r="G2925" s="124"/>
      <c r="H2925" s="124"/>
      <c r="I2925" s="124"/>
      <c r="J2925" s="124"/>
      <c r="K2925" s="124"/>
      <c r="L2925" s="124"/>
      <c r="M2925" s="124"/>
      <c r="N2925" s="124"/>
      <c r="O2925" s="124"/>
      <c r="P2925" s="124"/>
      <c r="Q2925" s="124"/>
      <c r="R2925" s="124"/>
      <c r="S2925" s="124"/>
      <c r="T2925" s="124"/>
      <c r="U2925" s="124"/>
      <c r="V2925" s="124"/>
      <c r="W2925" s="124"/>
      <c r="X2925" s="124"/>
      <c r="Y2925" s="124"/>
      <c r="Z2925" s="124"/>
    </row>
    <row r="2926">
      <c r="A2926" s="124"/>
      <c r="B2926" s="124"/>
      <c r="C2926" s="147"/>
      <c r="D2926" s="124"/>
      <c r="E2926" s="124"/>
      <c r="F2926" s="124"/>
      <c r="G2926" s="124"/>
      <c r="H2926" s="124"/>
      <c r="I2926" s="124"/>
      <c r="J2926" s="124"/>
      <c r="K2926" s="124"/>
      <c r="L2926" s="124"/>
      <c r="M2926" s="124"/>
      <c r="N2926" s="124"/>
      <c r="O2926" s="124"/>
      <c r="P2926" s="124"/>
      <c r="Q2926" s="124"/>
      <c r="R2926" s="124"/>
      <c r="S2926" s="124"/>
      <c r="T2926" s="124"/>
      <c r="U2926" s="124"/>
      <c r="V2926" s="124"/>
      <c r="W2926" s="124"/>
      <c r="X2926" s="124"/>
      <c r="Y2926" s="124"/>
      <c r="Z2926" s="124"/>
    </row>
    <row r="2927">
      <c r="A2927" s="124"/>
      <c r="B2927" s="124"/>
      <c r="C2927" s="147"/>
      <c r="D2927" s="124"/>
      <c r="E2927" s="124"/>
      <c r="F2927" s="124"/>
      <c r="G2927" s="124"/>
      <c r="H2927" s="124"/>
      <c r="I2927" s="124"/>
      <c r="J2927" s="124"/>
      <c r="K2927" s="124"/>
      <c r="L2927" s="124"/>
      <c r="M2927" s="124"/>
      <c r="N2927" s="124"/>
      <c r="O2927" s="124"/>
      <c r="P2927" s="124"/>
      <c r="Q2927" s="124"/>
      <c r="R2927" s="124"/>
      <c r="S2927" s="124"/>
      <c r="T2927" s="124"/>
      <c r="U2927" s="124"/>
      <c r="V2927" s="124"/>
      <c r="W2927" s="124"/>
      <c r="X2927" s="124"/>
      <c r="Y2927" s="124"/>
      <c r="Z2927" s="124"/>
    </row>
    <row r="2928">
      <c r="A2928" s="124"/>
      <c r="B2928" s="124"/>
      <c r="C2928" s="147"/>
      <c r="D2928" s="124"/>
      <c r="E2928" s="124"/>
      <c r="F2928" s="124"/>
      <c r="G2928" s="124"/>
      <c r="H2928" s="124"/>
      <c r="I2928" s="124"/>
      <c r="J2928" s="124"/>
      <c r="K2928" s="124"/>
      <c r="L2928" s="124"/>
      <c r="M2928" s="124"/>
      <c r="N2928" s="124"/>
      <c r="O2928" s="124"/>
      <c r="P2928" s="124"/>
      <c r="Q2928" s="124"/>
      <c r="R2928" s="124"/>
      <c r="S2928" s="124"/>
      <c r="T2928" s="124"/>
      <c r="U2928" s="124"/>
      <c r="V2928" s="124"/>
      <c r="W2928" s="124"/>
      <c r="X2928" s="124"/>
      <c r="Y2928" s="124"/>
      <c r="Z2928" s="124"/>
    </row>
    <row r="2929">
      <c r="A2929" s="124"/>
      <c r="B2929" s="124"/>
      <c r="C2929" s="147"/>
      <c r="D2929" s="124"/>
      <c r="E2929" s="124"/>
      <c r="F2929" s="124"/>
      <c r="G2929" s="124"/>
      <c r="H2929" s="124"/>
      <c r="I2929" s="124"/>
      <c r="J2929" s="124"/>
      <c r="K2929" s="124"/>
      <c r="L2929" s="124"/>
      <c r="M2929" s="124"/>
      <c r="N2929" s="124"/>
      <c r="O2929" s="124"/>
      <c r="P2929" s="124"/>
      <c r="Q2929" s="124"/>
      <c r="R2929" s="124"/>
      <c r="S2929" s="124"/>
      <c r="T2929" s="124"/>
      <c r="U2929" s="124"/>
      <c r="V2929" s="124"/>
      <c r="W2929" s="124"/>
      <c r="X2929" s="124"/>
      <c r="Y2929" s="124"/>
      <c r="Z2929" s="124"/>
    </row>
    <row r="2930">
      <c r="A2930" s="124"/>
      <c r="B2930" s="124"/>
      <c r="C2930" s="147"/>
      <c r="D2930" s="124"/>
      <c r="E2930" s="124"/>
      <c r="F2930" s="124"/>
      <c r="G2930" s="124"/>
      <c r="H2930" s="124"/>
      <c r="I2930" s="124"/>
      <c r="J2930" s="124"/>
      <c r="K2930" s="124"/>
      <c r="L2930" s="124"/>
      <c r="M2930" s="124"/>
      <c r="N2930" s="124"/>
      <c r="O2930" s="124"/>
      <c r="P2930" s="124"/>
      <c r="Q2930" s="124"/>
      <c r="R2930" s="124"/>
      <c r="S2930" s="124"/>
      <c r="T2930" s="124"/>
      <c r="U2930" s="124"/>
      <c r="V2930" s="124"/>
      <c r="W2930" s="124"/>
      <c r="X2930" s="124"/>
      <c r="Y2930" s="124"/>
      <c r="Z2930" s="124"/>
    </row>
    <row r="2931">
      <c r="A2931" s="124"/>
      <c r="B2931" s="124"/>
      <c r="C2931" s="147"/>
      <c r="D2931" s="124"/>
      <c r="E2931" s="124"/>
      <c r="F2931" s="124"/>
      <c r="G2931" s="124"/>
      <c r="H2931" s="124"/>
      <c r="I2931" s="124"/>
      <c r="J2931" s="124"/>
      <c r="K2931" s="124"/>
      <c r="L2931" s="124"/>
      <c r="M2931" s="124"/>
      <c r="N2931" s="124"/>
      <c r="O2931" s="124"/>
      <c r="P2931" s="124"/>
      <c r="Q2931" s="124"/>
      <c r="R2931" s="124"/>
      <c r="S2931" s="124"/>
      <c r="T2931" s="124"/>
      <c r="U2931" s="124"/>
      <c r="V2931" s="124"/>
      <c r="W2931" s="124"/>
      <c r="X2931" s="124"/>
      <c r="Y2931" s="124"/>
      <c r="Z2931" s="124"/>
    </row>
    <row r="2932">
      <c r="A2932" s="124"/>
      <c r="B2932" s="124"/>
      <c r="C2932" s="147"/>
      <c r="D2932" s="124"/>
      <c r="E2932" s="124"/>
      <c r="F2932" s="124"/>
      <c r="G2932" s="124"/>
      <c r="H2932" s="124"/>
      <c r="I2932" s="124"/>
      <c r="J2932" s="124"/>
      <c r="K2932" s="124"/>
      <c r="L2932" s="124"/>
      <c r="M2932" s="124"/>
      <c r="N2932" s="124"/>
      <c r="O2932" s="124"/>
      <c r="P2932" s="124"/>
      <c r="Q2932" s="124"/>
      <c r="R2932" s="124"/>
      <c r="S2932" s="124"/>
      <c r="T2932" s="124"/>
      <c r="U2932" s="124"/>
      <c r="V2932" s="124"/>
      <c r="W2932" s="124"/>
      <c r="X2932" s="124"/>
      <c r="Y2932" s="124"/>
      <c r="Z2932" s="124"/>
    </row>
    <row r="2933">
      <c r="A2933" s="124"/>
      <c r="B2933" s="124"/>
      <c r="C2933" s="147"/>
      <c r="D2933" s="124"/>
      <c r="E2933" s="124"/>
      <c r="F2933" s="124"/>
      <c r="G2933" s="124"/>
      <c r="H2933" s="124"/>
      <c r="I2933" s="124"/>
      <c r="J2933" s="124"/>
      <c r="K2933" s="124"/>
      <c r="L2933" s="124"/>
      <c r="M2933" s="124"/>
      <c r="N2933" s="124"/>
      <c r="O2933" s="124"/>
      <c r="P2933" s="124"/>
      <c r="Q2933" s="124"/>
      <c r="R2933" s="124"/>
      <c r="S2933" s="124"/>
      <c r="T2933" s="124"/>
      <c r="U2933" s="124"/>
      <c r="V2933" s="124"/>
      <c r="W2933" s="124"/>
      <c r="X2933" s="124"/>
      <c r="Y2933" s="124"/>
      <c r="Z2933" s="124"/>
    </row>
    <row r="2934">
      <c r="A2934" s="124"/>
      <c r="B2934" s="124"/>
      <c r="C2934" s="147"/>
      <c r="D2934" s="124"/>
      <c r="E2934" s="124"/>
      <c r="F2934" s="124"/>
      <c r="G2934" s="124"/>
      <c r="H2934" s="124"/>
      <c r="I2934" s="124"/>
      <c r="J2934" s="124"/>
      <c r="K2934" s="124"/>
      <c r="L2934" s="124"/>
      <c r="M2934" s="124"/>
      <c r="N2934" s="124"/>
      <c r="O2934" s="124"/>
      <c r="P2934" s="124"/>
      <c r="Q2934" s="124"/>
      <c r="R2934" s="124"/>
      <c r="S2934" s="124"/>
      <c r="T2934" s="124"/>
      <c r="U2934" s="124"/>
      <c r="V2934" s="124"/>
      <c r="W2934" s="124"/>
      <c r="X2934" s="124"/>
      <c r="Y2934" s="124"/>
      <c r="Z2934" s="124"/>
    </row>
    <row r="2935">
      <c r="A2935" s="124"/>
      <c r="B2935" s="124"/>
      <c r="C2935" s="147"/>
      <c r="D2935" s="124"/>
      <c r="E2935" s="124"/>
      <c r="F2935" s="124"/>
      <c r="G2935" s="124"/>
      <c r="H2935" s="124"/>
      <c r="I2935" s="124"/>
      <c r="J2935" s="124"/>
      <c r="K2935" s="124"/>
      <c r="L2935" s="124"/>
      <c r="M2935" s="124"/>
      <c r="N2935" s="124"/>
      <c r="O2935" s="124"/>
      <c r="P2935" s="124"/>
      <c r="Q2935" s="124"/>
      <c r="R2935" s="124"/>
      <c r="S2935" s="124"/>
      <c r="T2935" s="124"/>
      <c r="U2935" s="124"/>
      <c r="V2935" s="124"/>
      <c r="W2935" s="124"/>
      <c r="X2935" s="124"/>
      <c r="Y2935" s="124"/>
      <c r="Z2935" s="124"/>
    </row>
    <row r="2936">
      <c r="A2936" s="124"/>
      <c r="B2936" s="124"/>
      <c r="C2936" s="147"/>
      <c r="D2936" s="124"/>
      <c r="E2936" s="124"/>
      <c r="F2936" s="124"/>
      <c r="G2936" s="124"/>
      <c r="H2936" s="124"/>
      <c r="I2936" s="124"/>
      <c r="J2936" s="124"/>
      <c r="K2936" s="124"/>
      <c r="L2936" s="124"/>
      <c r="M2936" s="124"/>
      <c r="N2936" s="124"/>
      <c r="O2936" s="124"/>
      <c r="P2936" s="124"/>
      <c r="Q2936" s="124"/>
      <c r="R2936" s="124"/>
      <c r="S2936" s="124"/>
      <c r="T2936" s="124"/>
      <c r="U2936" s="124"/>
      <c r="V2936" s="124"/>
      <c r="W2936" s="124"/>
      <c r="X2936" s="124"/>
      <c r="Y2936" s="124"/>
      <c r="Z2936" s="124"/>
    </row>
    <row r="2937">
      <c r="A2937" s="124"/>
      <c r="B2937" s="124"/>
      <c r="C2937" s="147"/>
      <c r="D2937" s="124"/>
      <c r="E2937" s="124"/>
      <c r="F2937" s="124"/>
      <c r="G2937" s="124"/>
      <c r="H2937" s="124"/>
      <c r="I2937" s="124"/>
      <c r="J2937" s="124"/>
      <c r="K2937" s="124"/>
      <c r="L2937" s="124"/>
      <c r="M2937" s="124"/>
      <c r="N2937" s="124"/>
      <c r="O2937" s="124"/>
      <c r="P2937" s="124"/>
      <c r="Q2937" s="124"/>
      <c r="R2937" s="124"/>
      <c r="S2937" s="124"/>
      <c r="T2937" s="124"/>
      <c r="U2937" s="124"/>
      <c r="V2937" s="124"/>
      <c r="W2937" s="124"/>
      <c r="X2937" s="124"/>
      <c r="Y2937" s="124"/>
      <c r="Z2937" s="124"/>
    </row>
    <row r="2938">
      <c r="A2938" s="124"/>
      <c r="B2938" s="124"/>
      <c r="C2938" s="147"/>
      <c r="D2938" s="124"/>
      <c r="E2938" s="124"/>
      <c r="F2938" s="124"/>
      <c r="G2938" s="124"/>
      <c r="H2938" s="124"/>
      <c r="I2938" s="124"/>
      <c r="J2938" s="124"/>
      <c r="K2938" s="124"/>
      <c r="L2938" s="124"/>
      <c r="M2938" s="124"/>
      <c r="N2938" s="124"/>
      <c r="O2938" s="124"/>
      <c r="P2938" s="124"/>
      <c r="Q2938" s="124"/>
      <c r="R2938" s="124"/>
      <c r="S2938" s="124"/>
      <c r="T2938" s="124"/>
      <c r="U2938" s="124"/>
      <c r="V2938" s="124"/>
      <c r="W2938" s="124"/>
      <c r="X2938" s="124"/>
      <c r="Y2938" s="124"/>
      <c r="Z2938" s="124"/>
    </row>
    <row r="2939">
      <c r="A2939" s="124"/>
      <c r="B2939" s="124"/>
      <c r="C2939" s="147"/>
      <c r="D2939" s="124"/>
      <c r="E2939" s="124"/>
      <c r="F2939" s="124"/>
      <c r="G2939" s="124"/>
      <c r="H2939" s="124"/>
      <c r="I2939" s="124"/>
      <c r="J2939" s="124"/>
      <c r="K2939" s="124"/>
      <c r="L2939" s="124"/>
      <c r="M2939" s="124"/>
      <c r="N2939" s="124"/>
      <c r="O2939" s="124"/>
      <c r="P2939" s="124"/>
      <c r="Q2939" s="124"/>
      <c r="R2939" s="124"/>
      <c r="S2939" s="124"/>
      <c r="T2939" s="124"/>
      <c r="U2939" s="124"/>
      <c r="V2939" s="124"/>
      <c r="W2939" s="124"/>
      <c r="X2939" s="124"/>
      <c r="Y2939" s="124"/>
      <c r="Z2939" s="124"/>
    </row>
    <row r="2940">
      <c r="A2940" s="124"/>
      <c r="B2940" s="124"/>
      <c r="C2940" s="147"/>
      <c r="D2940" s="124"/>
      <c r="E2940" s="124"/>
      <c r="F2940" s="124"/>
      <c r="G2940" s="124"/>
      <c r="H2940" s="124"/>
      <c r="I2940" s="124"/>
      <c r="J2940" s="124"/>
      <c r="K2940" s="124"/>
      <c r="L2940" s="124"/>
      <c r="M2940" s="124"/>
      <c r="N2940" s="124"/>
      <c r="O2940" s="124"/>
      <c r="P2940" s="124"/>
      <c r="Q2940" s="124"/>
      <c r="R2940" s="124"/>
      <c r="S2940" s="124"/>
      <c r="T2940" s="124"/>
      <c r="U2940" s="124"/>
      <c r="V2940" s="124"/>
      <c r="W2940" s="124"/>
      <c r="X2940" s="124"/>
      <c r="Y2940" s="124"/>
      <c r="Z2940" s="124"/>
    </row>
    <row r="2941">
      <c r="A2941" s="124"/>
      <c r="B2941" s="124"/>
      <c r="C2941" s="147"/>
      <c r="D2941" s="124"/>
      <c r="E2941" s="124"/>
      <c r="F2941" s="124"/>
      <c r="G2941" s="124"/>
      <c r="H2941" s="124"/>
      <c r="I2941" s="124"/>
      <c r="J2941" s="124"/>
      <c r="K2941" s="124"/>
      <c r="L2941" s="124"/>
      <c r="M2941" s="124"/>
      <c r="N2941" s="124"/>
      <c r="O2941" s="124"/>
      <c r="P2941" s="124"/>
      <c r="Q2941" s="124"/>
      <c r="R2941" s="124"/>
      <c r="S2941" s="124"/>
      <c r="T2941" s="124"/>
      <c r="U2941" s="124"/>
      <c r="V2941" s="124"/>
      <c r="W2941" s="124"/>
      <c r="X2941" s="124"/>
      <c r="Y2941" s="124"/>
      <c r="Z2941" s="124"/>
    </row>
    <row r="2942">
      <c r="A2942" s="124"/>
      <c r="B2942" s="124"/>
      <c r="C2942" s="147"/>
      <c r="D2942" s="124"/>
      <c r="E2942" s="124"/>
      <c r="F2942" s="124"/>
      <c r="G2942" s="124"/>
      <c r="H2942" s="124"/>
      <c r="I2942" s="124"/>
      <c r="J2942" s="124"/>
      <c r="K2942" s="124"/>
      <c r="L2942" s="124"/>
      <c r="M2942" s="124"/>
      <c r="N2942" s="124"/>
      <c r="O2942" s="124"/>
      <c r="P2942" s="124"/>
      <c r="Q2942" s="124"/>
      <c r="R2942" s="124"/>
      <c r="S2942" s="124"/>
      <c r="T2942" s="124"/>
      <c r="U2942" s="124"/>
      <c r="V2942" s="124"/>
      <c r="W2942" s="124"/>
      <c r="X2942" s="124"/>
      <c r="Y2942" s="124"/>
      <c r="Z2942" s="124"/>
    </row>
    <row r="2943">
      <c r="A2943" s="124"/>
      <c r="B2943" s="124"/>
      <c r="C2943" s="147"/>
      <c r="D2943" s="124"/>
      <c r="E2943" s="124"/>
      <c r="F2943" s="124"/>
      <c r="G2943" s="124"/>
      <c r="H2943" s="124"/>
      <c r="I2943" s="124"/>
      <c r="J2943" s="124"/>
      <c r="K2943" s="124"/>
      <c r="L2943" s="124"/>
      <c r="M2943" s="124"/>
      <c r="N2943" s="124"/>
      <c r="O2943" s="124"/>
      <c r="P2943" s="124"/>
      <c r="Q2943" s="124"/>
      <c r="R2943" s="124"/>
      <c r="S2943" s="124"/>
      <c r="T2943" s="124"/>
      <c r="U2943" s="124"/>
      <c r="V2943" s="124"/>
      <c r="W2943" s="124"/>
      <c r="X2943" s="124"/>
      <c r="Y2943" s="124"/>
      <c r="Z2943" s="124"/>
    </row>
    <row r="2944">
      <c r="A2944" s="124"/>
      <c r="B2944" s="124"/>
      <c r="C2944" s="147"/>
      <c r="D2944" s="124"/>
      <c r="E2944" s="124"/>
      <c r="F2944" s="124"/>
      <c r="G2944" s="124"/>
      <c r="H2944" s="124"/>
      <c r="I2944" s="124"/>
      <c r="J2944" s="124"/>
      <c r="K2944" s="124"/>
      <c r="L2944" s="124"/>
      <c r="M2944" s="124"/>
      <c r="N2944" s="124"/>
      <c r="O2944" s="124"/>
      <c r="P2944" s="124"/>
      <c r="Q2944" s="124"/>
      <c r="R2944" s="124"/>
      <c r="S2944" s="124"/>
      <c r="T2944" s="124"/>
      <c r="U2944" s="124"/>
      <c r="V2944" s="124"/>
      <c r="W2944" s="124"/>
      <c r="X2944" s="124"/>
      <c r="Y2944" s="124"/>
      <c r="Z2944" s="124"/>
    </row>
    <row r="2945">
      <c r="A2945" s="124"/>
      <c r="B2945" s="124"/>
      <c r="C2945" s="147"/>
      <c r="D2945" s="124"/>
      <c r="E2945" s="124"/>
      <c r="F2945" s="124"/>
      <c r="G2945" s="124"/>
      <c r="H2945" s="124"/>
      <c r="I2945" s="124"/>
      <c r="J2945" s="124"/>
      <c r="K2945" s="124"/>
      <c r="L2945" s="124"/>
      <c r="M2945" s="124"/>
      <c r="N2945" s="124"/>
      <c r="O2945" s="124"/>
      <c r="P2945" s="124"/>
      <c r="Q2945" s="124"/>
      <c r="R2945" s="124"/>
      <c r="S2945" s="124"/>
      <c r="T2945" s="124"/>
      <c r="U2945" s="124"/>
      <c r="V2945" s="124"/>
      <c r="W2945" s="124"/>
      <c r="X2945" s="124"/>
      <c r="Y2945" s="124"/>
      <c r="Z2945" s="124"/>
    </row>
    <row r="2946">
      <c r="A2946" s="124"/>
      <c r="B2946" s="124"/>
      <c r="C2946" s="147"/>
      <c r="D2946" s="124"/>
      <c r="E2946" s="124"/>
      <c r="F2946" s="124"/>
      <c r="G2946" s="124"/>
      <c r="H2946" s="124"/>
      <c r="I2946" s="124"/>
      <c r="J2946" s="124"/>
      <c r="K2946" s="124"/>
      <c r="L2946" s="124"/>
      <c r="M2946" s="124"/>
      <c r="N2946" s="124"/>
      <c r="O2946" s="124"/>
      <c r="P2946" s="124"/>
      <c r="Q2946" s="124"/>
      <c r="R2946" s="124"/>
      <c r="S2946" s="124"/>
      <c r="T2946" s="124"/>
      <c r="U2946" s="124"/>
      <c r="V2946" s="124"/>
      <c r="W2946" s="124"/>
      <c r="X2946" s="124"/>
      <c r="Y2946" s="124"/>
      <c r="Z2946" s="124"/>
    </row>
    <row r="2947">
      <c r="A2947" s="124"/>
      <c r="B2947" s="124"/>
      <c r="C2947" s="147"/>
      <c r="D2947" s="124"/>
      <c r="E2947" s="124"/>
      <c r="F2947" s="124"/>
      <c r="G2947" s="124"/>
      <c r="H2947" s="124"/>
      <c r="I2947" s="124"/>
      <c r="J2947" s="124"/>
      <c r="K2947" s="124"/>
      <c r="L2947" s="124"/>
      <c r="M2947" s="124"/>
      <c r="N2947" s="124"/>
      <c r="O2947" s="124"/>
      <c r="P2947" s="124"/>
      <c r="Q2947" s="124"/>
      <c r="R2947" s="124"/>
      <c r="S2947" s="124"/>
      <c r="T2947" s="124"/>
      <c r="U2947" s="124"/>
      <c r="V2947" s="124"/>
      <c r="W2947" s="124"/>
      <c r="X2947" s="124"/>
      <c r="Y2947" s="124"/>
      <c r="Z2947" s="124"/>
    </row>
    <row r="2948">
      <c r="A2948" s="124"/>
      <c r="B2948" s="124"/>
      <c r="C2948" s="147"/>
      <c r="D2948" s="124"/>
      <c r="E2948" s="124"/>
      <c r="F2948" s="124"/>
      <c r="G2948" s="124"/>
      <c r="H2948" s="124"/>
      <c r="I2948" s="124"/>
      <c r="J2948" s="124"/>
      <c r="K2948" s="124"/>
      <c r="L2948" s="124"/>
      <c r="M2948" s="124"/>
      <c r="N2948" s="124"/>
      <c r="O2948" s="124"/>
      <c r="P2948" s="124"/>
      <c r="Q2948" s="124"/>
      <c r="R2948" s="124"/>
      <c r="S2948" s="124"/>
      <c r="T2948" s="124"/>
      <c r="U2948" s="124"/>
      <c r="V2948" s="124"/>
      <c r="W2948" s="124"/>
      <c r="X2948" s="124"/>
      <c r="Y2948" s="124"/>
      <c r="Z2948" s="124"/>
    </row>
    <row r="2949">
      <c r="A2949" s="124"/>
      <c r="B2949" s="124"/>
      <c r="C2949" s="147"/>
      <c r="D2949" s="124"/>
      <c r="E2949" s="124"/>
      <c r="F2949" s="124"/>
      <c r="G2949" s="124"/>
      <c r="H2949" s="124"/>
      <c r="I2949" s="124"/>
      <c r="J2949" s="124"/>
      <c r="K2949" s="124"/>
      <c r="L2949" s="124"/>
      <c r="M2949" s="124"/>
      <c r="N2949" s="124"/>
      <c r="O2949" s="124"/>
      <c r="P2949" s="124"/>
      <c r="Q2949" s="124"/>
      <c r="R2949" s="124"/>
      <c r="S2949" s="124"/>
      <c r="T2949" s="124"/>
      <c r="U2949" s="124"/>
      <c r="V2949" s="124"/>
      <c r="W2949" s="124"/>
      <c r="X2949" s="124"/>
      <c r="Y2949" s="124"/>
      <c r="Z2949" s="124"/>
    </row>
    <row r="2950">
      <c r="A2950" s="124"/>
      <c r="B2950" s="124"/>
      <c r="C2950" s="147"/>
      <c r="D2950" s="124"/>
      <c r="E2950" s="124"/>
      <c r="F2950" s="124"/>
      <c r="G2950" s="124"/>
      <c r="H2950" s="124"/>
      <c r="I2950" s="124"/>
      <c r="J2950" s="124"/>
      <c r="K2950" s="124"/>
      <c r="L2950" s="124"/>
      <c r="M2950" s="124"/>
      <c r="N2950" s="124"/>
      <c r="O2950" s="124"/>
      <c r="P2950" s="124"/>
      <c r="Q2950" s="124"/>
      <c r="R2950" s="124"/>
      <c r="S2950" s="124"/>
      <c r="T2950" s="124"/>
      <c r="U2950" s="124"/>
      <c r="V2950" s="124"/>
      <c r="W2950" s="124"/>
      <c r="X2950" s="124"/>
      <c r="Y2950" s="124"/>
      <c r="Z2950" s="124"/>
    </row>
    <row r="2951">
      <c r="A2951" s="124"/>
      <c r="B2951" s="124"/>
      <c r="C2951" s="147"/>
      <c r="D2951" s="124"/>
      <c r="E2951" s="124"/>
      <c r="F2951" s="124"/>
      <c r="G2951" s="124"/>
      <c r="H2951" s="124"/>
      <c r="I2951" s="124"/>
      <c r="J2951" s="124"/>
      <c r="K2951" s="124"/>
      <c r="L2951" s="124"/>
      <c r="M2951" s="124"/>
      <c r="N2951" s="124"/>
      <c r="O2951" s="124"/>
      <c r="P2951" s="124"/>
      <c r="Q2951" s="124"/>
      <c r="R2951" s="124"/>
      <c r="S2951" s="124"/>
      <c r="T2951" s="124"/>
      <c r="U2951" s="124"/>
      <c r="V2951" s="124"/>
      <c r="W2951" s="124"/>
      <c r="X2951" s="124"/>
      <c r="Y2951" s="124"/>
      <c r="Z2951" s="124"/>
    </row>
    <row r="2952">
      <c r="A2952" s="124"/>
      <c r="B2952" s="124"/>
      <c r="C2952" s="147"/>
      <c r="D2952" s="124"/>
      <c r="E2952" s="124"/>
      <c r="F2952" s="124"/>
      <c r="G2952" s="124"/>
      <c r="H2952" s="124"/>
      <c r="I2952" s="124"/>
      <c r="J2952" s="124"/>
      <c r="K2952" s="124"/>
      <c r="L2952" s="124"/>
      <c r="M2952" s="124"/>
      <c r="N2952" s="124"/>
      <c r="O2952" s="124"/>
      <c r="P2952" s="124"/>
      <c r="Q2952" s="124"/>
      <c r="R2952" s="124"/>
      <c r="S2952" s="124"/>
      <c r="T2952" s="124"/>
      <c r="U2952" s="124"/>
      <c r="V2952" s="124"/>
      <c r="W2952" s="124"/>
      <c r="X2952" s="124"/>
      <c r="Y2952" s="124"/>
      <c r="Z2952" s="124"/>
    </row>
    <row r="2953">
      <c r="A2953" s="124"/>
      <c r="B2953" s="124"/>
      <c r="C2953" s="147"/>
      <c r="D2953" s="124"/>
      <c r="E2953" s="124"/>
      <c r="F2953" s="124"/>
      <c r="G2953" s="124"/>
      <c r="H2953" s="124"/>
      <c r="I2953" s="124"/>
      <c r="J2953" s="124"/>
      <c r="K2953" s="124"/>
      <c r="L2953" s="124"/>
      <c r="M2953" s="124"/>
      <c r="N2953" s="124"/>
      <c r="O2953" s="124"/>
      <c r="P2953" s="124"/>
      <c r="Q2953" s="124"/>
      <c r="R2953" s="124"/>
      <c r="S2953" s="124"/>
      <c r="T2953" s="124"/>
      <c r="U2953" s="124"/>
      <c r="V2953" s="124"/>
      <c r="W2953" s="124"/>
      <c r="X2953" s="124"/>
      <c r="Y2953" s="124"/>
      <c r="Z2953" s="124"/>
    </row>
    <row r="2954">
      <c r="A2954" s="124"/>
      <c r="B2954" s="124"/>
      <c r="C2954" s="147"/>
      <c r="D2954" s="124"/>
      <c r="E2954" s="124"/>
      <c r="F2954" s="124"/>
      <c r="G2954" s="124"/>
      <c r="H2954" s="124"/>
      <c r="I2954" s="124"/>
      <c r="J2954" s="124"/>
      <c r="K2954" s="124"/>
      <c r="L2954" s="124"/>
      <c r="M2954" s="124"/>
      <c r="N2954" s="124"/>
      <c r="O2954" s="124"/>
      <c r="P2954" s="124"/>
      <c r="Q2954" s="124"/>
      <c r="R2954" s="124"/>
      <c r="S2954" s="124"/>
      <c r="T2954" s="124"/>
      <c r="U2954" s="124"/>
      <c r="V2954" s="124"/>
      <c r="W2954" s="124"/>
      <c r="X2954" s="124"/>
      <c r="Y2954" s="124"/>
      <c r="Z2954" s="124"/>
    </row>
    <row r="2955">
      <c r="A2955" s="124"/>
      <c r="B2955" s="124"/>
      <c r="C2955" s="147"/>
      <c r="D2955" s="124"/>
      <c r="E2955" s="124"/>
      <c r="F2955" s="124"/>
      <c r="G2955" s="124"/>
      <c r="H2955" s="124"/>
      <c r="I2955" s="124"/>
      <c r="J2955" s="124"/>
      <c r="K2955" s="124"/>
      <c r="L2955" s="124"/>
      <c r="M2955" s="124"/>
      <c r="N2955" s="124"/>
      <c r="O2955" s="124"/>
      <c r="P2955" s="124"/>
      <c r="Q2955" s="124"/>
      <c r="R2955" s="124"/>
      <c r="S2955" s="124"/>
      <c r="T2955" s="124"/>
      <c r="U2955" s="124"/>
      <c r="V2955" s="124"/>
      <c r="W2955" s="124"/>
      <c r="X2955" s="124"/>
      <c r="Y2955" s="124"/>
      <c r="Z2955" s="124"/>
    </row>
    <row r="2956">
      <c r="A2956" s="124"/>
      <c r="B2956" s="124"/>
      <c r="C2956" s="147"/>
      <c r="D2956" s="124"/>
      <c r="E2956" s="124"/>
      <c r="F2956" s="124"/>
      <c r="G2956" s="124"/>
      <c r="H2956" s="124"/>
      <c r="I2956" s="124"/>
      <c r="J2956" s="124"/>
      <c r="K2956" s="124"/>
      <c r="L2956" s="124"/>
      <c r="M2956" s="124"/>
      <c r="N2956" s="124"/>
      <c r="O2956" s="124"/>
      <c r="P2956" s="124"/>
      <c r="Q2956" s="124"/>
      <c r="R2956" s="124"/>
      <c r="S2956" s="124"/>
      <c r="T2956" s="124"/>
      <c r="U2956" s="124"/>
      <c r="V2956" s="124"/>
      <c r="W2956" s="124"/>
      <c r="X2956" s="124"/>
      <c r="Y2956" s="124"/>
      <c r="Z2956" s="124"/>
    </row>
    <row r="2957">
      <c r="A2957" s="124"/>
      <c r="B2957" s="124"/>
      <c r="C2957" s="147"/>
      <c r="D2957" s="124"/>
      <c r="E2957" s="124"/>
      <c r="F2957" s="124"/>
      <c r="G2957" s="124"/>
      <c r="H2957" s="124"/>
      <c r="I2957" s="124"/>
      <c r="J2957" s="124"/>
      <c r="K2957" s="124"/>
      <c r="L2957" s="124"/>
      <c r="M2957" s="124"/>
      <c r="N2957" s="124"/>
      <c r="O2957" s="124"/>
      <c r="P2957" s="124"/>
      <c r="Q2957" s="124"/>
      <c r="R2957" s="124"/>
      <c r="S2957" s="124"/>
      <c r="T2957" s="124"/>
      <c r="U2957" s="124"/>
      <c r="V2957" s="124"/>
      <c r="W2957" s="124"/>
      <c r="X2957" s="124"/>
      <c r="Y2957" s="124"/>
      <c r="Z2957" s="124"/>
    </row>
    <row r="2958">
      <c r="A2958" s="124"/>
      <c r="B2958" s="124"/>
      <c r="C2958" s="147"/>
      <c r="D2958" s="124"/>
      <c r="E2958" s="124"/>
      <c r="F2958" s="124"/>
      <c r="G2958" s="124"/>
      <c r="H2958" s="124"/>
      <c r="I2958" s="124"/>
      <c r="J2958" s="124"/>
      <c r="K2958" s="124"/>
      <c r="L2958" s="124"/>
      <c r="M2958" s="124"/>
      <c r="N2958" s="124"/>
      <c r="O2958" s="124"/>
      <c r="P2958" s="124"/>
      <c r="Q2958" s="124"/>
      <c r="R2958" s="124"/>
      <c r="S2958" s="124"/>
      <c r="T2958" s="124"/>
      <c r="U2958" s="124"/>
      <c r="V2958" s="124"/>
      <c r="W2958" s="124"/>
      <c r="X2958" s="124"/>
      <c r="Y2958" s="124"/>
      <c r="Z2958" s="124"/>
    </row>
    <row r="2959">
      <c r="A2959" s="124"/>
      <c r="B2959" s="124"/>
      <c r="C2959" s="147"/>
      <c r="D2959" s="124"/>
      <c r="E2959" s="124"/>
      <c r="F2959" s="124"/>
      <c r="G2959" s="124"/>
      <c r="H2959" s="124"/>
      <c r="I2959" s="124"/>
      <c r="J2959" s="124"/>
      <c r="K2959" s="124"/>
      <c r="L2959" s="124"/>
      <c r="M2959" s="124"/>
      <c r="N2959" s="124"/>
      <c r="O2959" s="124"/>
      <c r="P2959" s="124"/>
      <c r="Q2959" s="124"/>
      <c r="R2959" s="124"/>
      <c r="S2959" s="124"/>
      <c r="T2959" s="124"/>
      <c r="U2959" s="124"/>
      <c r="V2959" s="124"/>
      <c r="W2959" s="124"/>
      <c r="X2959" s="124"/>
      <c r="Y2959" s="124"/>
      <c r="Z2959" s="124"/>
    </row>
    <row r="2960">
      <c r="A2960" s="124"/>
      <c r="B2960" s="124"/>
      <c r="C2960" s="147"/>
      <c r="D2960" s="124"/>
      <c r="E2960" s="124"/>
      <c r="F2960" s="124"/>
      <c r="G2960" s="124"/>
      <c r="H2960" s="124"/>
      <c r="I2960" s="124"/>
      <c r="J2960" s="124"/>
      <c r="K2960" s="124"/>
      <c r="L2960" s="124"/>
      <c r="M2960" s="124"/>
      <c r="N2960" s="124"/>
      <c r="O2960" s="124"/>
      <c r="P2960" s="124"/>
      <c r="Q2960" s="124"/>
      <c r="R2960" s="124"/>
      <c r="S2960" s="124"/>
      <c r="T2960" s="124"/>
      <c r="U2960" s="124"/>
      <c r="V2960" s="124"/>
      <c r="W2960" s="124"/>
      <c r="X2960" s="124"/>
      <c r="Y2960" s="124"/>
      <c r="Z2960" s="124"/>
    </row>
    <row r="2961">
      <c r="A2961" s="124"/>
      <c r="B2961" s="124"/>
      <c r="C2961" s="147"/>
      <c r="D2961" s="124"/>
      <c r="E2961" s="124"/>
      <c r="F2961" s="124"/>
      <c r="G2961" s="124"/>
      <c r="H2961" s="124"/>
      <c r="I2961" s="124"/>
      <c r="J2961" s="124"/>
      <c r="K2961" s="124"/>
      <c r="L2961" s="124"/>
      <c r="M2961" s="124"/>
      <c r="N2961" s="124"/>
      <c r="O2961" s="124"/>
      <c r="P2961" s="124"/>
      <c r="Q2961" s="124"/>
      <c r="R2961" s="124"/>
      <c r="S2961" s="124"/>
      <c r="T2961" s="124"/>
      <c r="U2961" s="124"/>
      <c r="V2961" s="124"/>
      <c r="W2961" s="124"/>
      <c r="X2961" s="124"/>
      <c r="Y2961" s="124"/>
      <c r="Z2961" s="124"/>
    </row>
    <row r="2962">
      <c r="A2962" s="124"/>
      <c r="B2962" s="124"/>
      <c r="C2962" s="147"/>
      <c r="D2962" s="124"/>
      <c r="E2962" s="124"/>
      <c r="F2962" s="124"/>
      <c r="G2962" s="124"/>
      <c r="H2962" s="124"/>
      <c r="I2962" s="124"/>
      <c r="J2962" s="124"/>
      <c r="K2962" s="124"/>
      <c r="L2962" s="124"/>
      <c r="M2962" s="124"/>
      <c r="N2962" s="124"/>
      <c r="O2962" s="124"/>
      <c r="P2962" s="124"/>
      <c r="Q2962" s="124"/>
      <c r="R2962" s="124"/>
      <c r="S2962" s="124"/>
      <c r="T2962" s="124"/>
      <c r="U2962" s="124"/>
      <c r="V2962" s="124"/>
      <c r="W2962" s="124"/>
      <c r="X2962" s="124"/>
      <c r="Y2962" s="124"/>
      <c r="Z2962" s="124"/>
    </row>
    <row r="2963">
      <c r="A2963" s="124"/>
      <c r="B2963" s="124"/>
      <c r="C2963" s="147"/>
      <c r="D2963" s="124"/>
      <c r="E2963" s="124"/>
      <c r="F2963" s="124"/>
      <c r="G2963" s="124"/>
      <c r="H2963" s="124"/>
      <c r="I2963" s="124"/>
      <c r="J2963" s="124"/>
      <c r="K2963" s="124"/>
      <c r="L2963" s="124"/>
      <c r="M2963" s="124"/>
      <c r="N2963" s="124"/>
      <c r="O2963" s="124"/>
      <c r="P2963" s="124"/>
      <c r="Q2963" s="124"/>
      <c r="R2963" s="124"/>
      <c r="S2963" s="124"/>
      <c r="T2963" s="124"/>
      <c r="U2963" s="124"/>
      <c r="V2963" s="124"/>
      <c r="W2963" s="124"/>
      <c r="X2963" s="124"/>
      <c r="Y2963" s="124"/>
      <c r="Z2963" s="124"/>
    </row>
    <row r="2964">
      <c r="A2964" s="124"/>
      <c r="B2964" s="124"/>
      <c r="C2964" s="147"/>
      <c r="D2964" s="124"/>
      <c r="E2964" s="124"/>
      <c r="F2964" s="124"/>
      <c r="G2964" s="124"/>
      <c r="H2964" s="124"/>
      <c r="I2964" s="124"/>
      <c r="J2964" s="124"/>
      <c r="K2964" s="124"/>
      <c r="L2964" s="124"/>
      <c r="M2964" s="124"/>
      <c r="N2964" s="124"/>
      <c r="O2964" s="124"/>
      <c r="P2964" s="124"/>
      <c r="Q2964" s="124"/>
      <c r="R2964" s="124"/>
      <c r="S2964" s="124"/>
      <c r="T2964" s="124"/>
      <c r="U2964" s="124"/>
      <c r="V2964" s="124"/>
      <c r="W2964" s="124"/>
      <c r="X2964" s="124"/>
      <c r="Y2964" s="124"/>
      <c r="Z2964" s="124"/>
    </row>
    <row r="2965">
      <c r="A2965" s="124"/>
      <c r="B2965" s="124"/>
      <c r="C2965" s="147"/>
      <c r="D2965" s="124"/>
      <c r="E2965" s="124"/>
      <c r="F2965" s="124"/>
      <c r="G2965" s="124"/>
      <c r="H2965" s="124"/>
      <c r="I2965" s="124"/>
      <c r="J2965" s="124"/>
      <c r="K2965" s="124"/>
      <c r="L2965" s="124"/>
      <c r="M2965" s="124"/>
      <c r="N2965" s="124"/>
      <c r="O2965" s="124"/>
      <c r="P2965" s="124"/>
      <c r="Q2965" s="124"/>
      <c r="R2965" s="124"/>
      <c r="S2965" s="124"/>
      <c r="T2965" s="124"/>
      <c r="U2965" s="124"/>
      <c r="V2965" s="124"/>
      <c r="W2965" s="124"/>
      <c r="X2965" s="124"/>
      <c r="Y2965" s="124"/>
      <c r="Z2965" s="124"/>
    </row>
    <row r="2966">
      <c r="A2966" s="124"/>
      <c r="B2966" s="124"/>
      <c r="C2966" s="147"/>
      <c r="D2966" s="124"/>
      <c r="E2966" s="124"/>
      <c r="F2966" s="124"/>
      <c r="G2966" s="124"/>
      <c r="H2966" s="124"/>
      <c r="I2966" s="124"/>
      <c r="J2966" s="124"/>
      <c r="K2966" s="124"/>
      <c r="L2966" s="124"/>
      <c r="M2966" s="124"/>
      <c r="N2966" s="124"/>
      <c r="O2966" s="124"/>
      <c r="P2966" s="124"/>
      <c r="Q2966" s="124"/>
      <c r="R2966" s="124"/>
      <c r="S2966" s="124"/>
      <c r="T2966" s="124"/>
      <c r="U2966" s="124"/>
      <c r="V2966" s="124"/>
      <c r="W2966" s="124"/>
      <c r="X2966" s="124"/>
      <c r="Y2966" s="124"/>
      <c r="Z2966" s="124"/>
    </row>
    <row r="2967">
      <c r="A2967" s="124"/>
      <c r="B2967" s="124"/>
      <c r="C2967" s="147"/>
      <c r="D2967" s="124"/>
      <c r="E2967" s="124"/>
      <c r="F2967" s="124"/>
      <c r="G2967" s="124"/>
      <c r="H2967" s="124"/>
      <c r="I2967" s="124"/>
      <c r="J2967" s="124"/>
      <c r="K2967" s="124"/>
      <c r="L2967" s="124"/>
      <c r="M2967" s="124"/>
      <c r="N2967" s="124"/>
      <c r="O2967" s="124"/>
      <c r="P2967" s="124"/>
      <c r="Q2967" s="124"/>
      <c r="R2967" s="124"/>
      <c r="S2967" s="124"/>
      <c r="T2967" s="124"/>
      <c r="U2967" s="124"/>
      <c r="V2967" s="124"/>
      <c r="W2967" s="124"/>
      <c r="X2967" s="124"/>
      <c r="Y2967" s="124"/>
      <c r="Z2967" s="124"/>
    </row>
    <row r="2968">
      <c r="A2968" s="124"/>
      <c r="B2968" s="124"/>
      <c r="C2968" s="147"/>
      <c r="D2968" s="124"/>
      <c r="E2968" s="124"/>
      <c r="F2968" s="124"/>
      <c r="G2968" s="124"/>
      <c r="H2968" s="124"/>
      <c r="I2968" s="124"/>
      <c r="J2968" s="124"/>
      <c r="K2968" s="124"/>
      <c r="L2968" s="124"/>
      <c r="M2968" s="124"/>
      <c r="N2968" s="124"/>
      <c r="O2968" s="124"/>
      <c r="P2968" s="124"/>
      <c r="Q2968" s="124"/>
      <c r="R2968" s="124"/>
      <c r="S2968" s="124"/>
      <c r="T2968" s="124"/>
      <c r="U2968" s="124"/>
      <c r="V2968" s="124"/>
      <c r="W2968" s="124"/>
      <c r="X2968" s="124"/>
      <c r="Y2968" s="124"/>
      <c r="Z2968" s="124"/>
    </row>
    <row r="2969">
      <c r="A2969" s="124"/>
      <c r="B2969" s="124"/>
      <c r="C2969" s="147"/>
      <c r="D2969" s="124"/>
      <c r="E2969" s="124"/>
      <c r="F2969" s="124"/>
      <c r="G2969" s="124"/>
      <c r="H2969" s="124"/>
      <c r="I2969" s="124"/>
      <c r="J2969" s="124"/>
      <c r="K2969" s="124"/>
      <c r="L2969" s="124"/>
      <c r="M2969" s="124"/>
      <c r="N2969" s="124"/>
      <c r="O2969" s="124"/>
      <c r="P2969" s="124"/>
      <c r="Q2969" s="124"/>
      <c r="R2969" s="124"/>
      <c r="S2969" s="124"/>
      <c r="T2969" s="124"/>
      <c r="U2969" s="124"/>
      <c r="V2969" s="124"/>
      <c r="W2969" s="124"/>
      <c r="X2969" s="124"/>
      <c r="Y2969" s="124"/>
      <c r="Z2969" s="124"/>
    </row>
    <row r="2970">
      <c r="A2970" s="124"/>
      <c r="B2970" s="124"/>
      <c r="C2970" s="147"/>
      <c r="D2970" s="124"/>
      <c r="E2970" s="124"/>
      <c r="F2970" s="124"/>
      <c r="G2970" s="124"/>
      <c r="H2970" s="124"/>
      <c r="I2970" s="124"/>
      <c r="J2970" s="124"/>
      <c r="K2970" s="124"/>
      <c r="L2970" s="124"/>
      <c r="M2970" s="124"/>
      <c r="N2970" s="124"/>
      <c r="O2970" s="124"/>
      <c r="P2970" s="124"/>
      <c r="Q2970" s="124"/>
      <c r="R2970" s="124"/>
      <c r="S2970" s="124"/>
      <c r="T2970" s="124"/>
      <c r="U2970" s="124"/>
      <c r="V2970" s="124"/>
      <c r="W2970" s="124"/>
      <c r="X2970" s="124"/>
      <c r="Y2970" s="124"/>
      <c r="Z2970" s="124"/>
    </row>
    <row r="2971">
      <c r="A2971" s="124"/>
      <c r="B2971" s="124"/>
      <c r="C2971" s="147"/>
      <c r="D2971" s="124"/>
      <c r="E2971" s="124"/>
      <c r="F2971" s="124"/>
      <c r="G2971" s="124"/>
      <c r="H2971" s="124"/>
      <c r="I2971" s="124"/>
      <c r="J2971" s="124"/>
      <c r="K2971" s="124"/>
      <c r="L2971" s="124"/>
      <c r="M2971" s="124"/>
      <c r="N2971" s="124"/>
      <c r="O2971" s="124"/>
      <c r="P2971" s="124"/>
      <c r="Q2971" s="124"/>
      <c r="R2971" s="124"/>
      <c r="S2971" s="124"/>
      <c r="T2971" s="124"/>
      <c r="U2971" s="124"/>
      <c r="V2971" s="124"/>
      <c r="W2971" s="124"/>
      <c r="X2971" s="124"/>
      <c r="Y2971" s="124"/>
      <c r="Z2971" s="124"/>
    </row>
    <row r="2972">
      <c r="A2972" s="124"/>
      <c r="B2972" s="124"/>
      <c r="C2972" s="147"/>
      <c r="D2972" s="124"/>
      <c r="E2972" s="124"/>
      <c r="F2972" s="124"/>
      <c r="G2972" s="124"/>
      <c r="H2972" s="124"/>
      <c r="I2972" s="124"/>
      <c r="J2972" s="124"/>
      <c r="K2972" s="124"/>
      <c r="L2972" s="124"/>
      <c r="M2972" s="124"/>
      <c r="N2972" s="124"/>
      <c r="O2972" s="124"/>
      <c r="P2972" s="124"/>
      <c r="Q2972" s="124"/>
      <c r="R2972" s="124"/>
      <c r="S2972" s="124"/>
      <c r="T2972" s="124"/>
      <c r="U2972" s="124"/>
      <c r="V2972" s="124"/>
      <c r="W2972" s="124"/>
      <c r="X2972" s="124"/>
      <c r="Y2972" s="124"/>
      <c r="Z2972" s="124"/>
    </row>
    <row r="2973">
      <c r="A2973" s="124"/>
      <c r="B2973" s="124"/>
      <c r="C2973" s="147"/>
      <c r="D2973" s="124"/>
      <c r="E2973" s="124"/>
      <c r="F2973" s="124"/>
      <c r="G2973" s="124"/>
      <c r="H2973" s="124"/>
      <c r="I2973" s="124"/>
      <c r="J2973" s="124"/>
      <c r="K2973" s="124"/>
      <c r="L2973" s="124"/>
      <c r="M2973" s="124"/>
      <c r="N2973" s="124"/>
      <c r="O2973" s="124"/>
      <c r="P2973" s="124"/>
      <c r="Q2973" s="124"/>
      <c r="R2973" s="124"/>
      <c r="S2973" s="124"/>
      <c r="T2973" s="124"/>
      <c r="U2973" s="124"/>
      <c r="V2973" s="124"/>
      <c r="W2973" s="124"/>
      <c r="X2973" s="124"/>
      <c r="Y2973" s="124"/>
      <c r="Z2973" s="124"/>
    </row>
    <row r="2974">
      <c r="A2974" s="124"/>
      <c r="B2974" s="124"/>
      <c r="C2974" s="147"/>
      <c r="D2974" s="124"/>
      <c r="E2974" s="124"/>
      <c r="F2974" s="124"/>
      <c r="G2974" s="124"/>
      <c r="H2974" s="124"/>
      <c r="I2974" s="124"/>
      <c r="J2974" s="124"/>
      <c r="K2974" s="124"/>
      <c r="L2974" s="124"/>
      <c r="M2974" s="124"/>
      <c r="N2974" s="124"/>
      <c r="O2974" s="124"/>
      <c r="P2974" s="124"/>
      <c r="Q2974" s="124"/>
      <c r="R2974" s="124"/>
      <c r="S2974" s="124"/>
      <c r="T2974" s="124"/>
      <c r="U2974" s="124"/>
      <c r="V2974" s="124"/>
      <c r="W2974" s="124"/>
      <c r="X2974" s="124"/>
      <c r="Y2974" s="124"/>
      <c r="Z2974" s="124"/>
    </row>
    <row r="2975">
      <c r="A2975" s="124"/>
      <c r="B2975" s="124"/>
      <c r="C2975" s="147"/>
      <c r="D2975" s="124"/>
      <c r="E2975" s="124"/>
      <c r="F2975" s="124"/>
      <c r="G2975" s="124"/>
      <c r="H2975" s="124"/>
      <c r="I2975" s="124"/>
      <c r="J2975" s="124"/>
      <c r="K2975" s="124"/>
      <c r="L2975" s="124"/>
      <c r="M2975" s="124"/>
      <c r="N2975" s="124"/>
      <c r="O2975" s="124"/>
      <c r="P2975" s="124"/>
      <c r="Q2975" s="124"/>
      <c r="R2975" s="124"/>
      <c r="S2975" s="124"/>
      <c r="T2975" s="124"/>
      <c r="U2975" s="124"/>
      <c r="V2975" s="124"/>
      <c r="W2975" s="124"/>
      <c r="X2975" s="124"/>
      <c r="Y2975" s="124"/>
      <c r="Z2975" s="124"/>
    </row>
    <row r="2976">
      <c r="A2976" s="124"/>
      <c r="B2976" s="124"/>
      <c r="C2976" s="147"/>
      <c r="D2976" s="124"/>
      <c r="E2976" s="124"/>
      <c r="F2976" s="124"/>
      <c r="G2976" s="124"/>
      <c r="H2976" s="124"/>
      <c r="I2976" s="124"/>
      <c r="J2976" s="124"/>
      <c r="K2976" s="124"/>
      <c r="L2976" s="124"/>
      <c r="M2976" s="124"/>
      <c r="N2976" s="124"/>
      <c r="O2976" s="124"/>
      <c r="P2976" s="124"/>
      <c r="Q2976" s="124"/>
      <c r="R2976" s="124"/>
      <c r="S2976" s="124"/>
      <c r="T2976" s="124"/>
      <c r="U2976" s="124"/>
      <c r="V2976" s="124"/>
      <c r="W2976" s="124"/>
      <c r="X2976" s="124"/>
      <c r="Y2976" s="124"/>
      <c r="Z2976" s="124"/>
    </row>
    <row r="2977">
      <c r="A2977" s="124"/>
      <c r="B2977" s="124"/>
      <c r="C2977" s="147"/>
      <c r="D2977" s="124"/>
      <c r="E2977" s="124"/>
      <c r="F2977" s="124"/>
      <c r="G2977" s="124"/>
      <c r="H2977" s="124"/>
      <c r="I2977" s="124"/>
      <c r="J2977" s="124"/>
      <c r="K2977" s="124"/>
      <c r="L2977" s="124"/>
      <c r="M2977" s="124"/>
      <c r="N2977" s="124"/>
      <c r="O2977" s="124"/>
      <c r="P2977" s="124"/>
      <c r="Q2977" s="124"/>
      <c r="R2977" s="124"/>
      <c r="S2977" s="124"/>
      <c r="T2977" s="124"/>
      <c r="U2977" s="124"/>
      <c r="V2977" s="124"/>
      <c r="W2977" s="124"/>
      <c r="X2977" s="124"/>
      <c r="Y2977" s="124"/>
      <c r="Z2977" s="124"/>
    </row>
    <row r="2978">
      <c r="A2978" s="124"/>
      <c r="B2978" s="124"/>
      <c r="C2978" s="147"/>
      <c r="D2978" s="124"/>
      <c r="E2978" s="124"/>
      <c r="F2978" s="124"/>
      <c r="G2978" s="124"/>
      <c r="H2978" s="124"/>
      <c r="I2978" s="124"/>
      <c r="J2978" s="124"/>
      <c r="K2978" s="124"/>
      <c r="L2978" s="124"/>
      <c r="M2978" s="124"/>
      <c r="N2978" s="124"/>
      <c r="O2978" s="124"/>
      <c r="P2978" s="124"/>
      <c r="Q2978" s="124"/>
      <c r="R2978" s="124"/>
      <c r="S2978" s="124"/>
      <c r="T2978" s="124"/>
      <c r="U2978" s="124"/>
      <c r="V2978" s="124"/>
      <c r="W2978" s="124"/>
      <c r="X2978" s="124"/>
      <c r="Y2978" s="124"/>
      <c r="Z2978" s="124"/>
    </row>
    <row r="2979">
      <c r="A2979" s="124"/>
      <c r="B2979" s="124"/>
      <c r="C2979" s="147"/>
      <c r="D2979" s="124"/>
      <c r="E2979" s="124"/>
      <c r="F2979" s="124"/>
      <c r="G2979" s="124"/>
      <c r="H2979" s="124"/>
      <c r="I2979" s="124"/>
      <c r="J2979" s="124"/>
      <c r="K2979" s="124"/>
      <c r="L2979" s="124"/>
      <c r="M2979" s="124"/>
      <c r="N2979" s="124"/>
      <c r="O2979" s="124"/>
      <c r="P2979" s="124"/>
      <c r="Q2979" s="124"/>
      <c r="R2979" s="124"/>
      <c r="S2979" s="124"/>
      <c r="T2979" s="124"/>
      <c r="U2979" s="124"/>
      <c r="V2979" s="124"/>
      <c r="W2979" s="124"/>
      <c r="X2979" s="124"/>
      <c r="Y2979" s="124"/>
      <c r="Z2979" s="124"/>
    </row>
    <row r="2980">
      <c r="A2980" s="124"/>
      <c r="B2980" s="124"/>
      <c r="C2980" s="147"/>
      <c r="D2980" s="124"/>
      <c r="E2980" s="124"/>
      <c r="F2980" s="124"/>
      <c r="G2980" s="124"/>
      <c r="H2980" s="124"/>
      <c r="I2980" s="124"/>
      <c r="J2980" s="124"/>
      <c r="K2980" s="124"/>
      <c r="L2980" s="124"/>
      <c r="M2980" s="124"/>
      <c r="N2980" s="124"/>
      <c r="O2980" s="124"/>
      <c r="P2980" s="124"/>
      <c r="Q2980" s="124"/>
      <c r="R2980" s="124"/>
      <c r="S2980" s="124"/>
      <c r="T2980" s="124"/>
      <c r="U2980" s="124"/>
      <c r="V2980" s="124"/>
      <c r="W2980" s="124"/>
      <c r="X2980" s="124"/>
      <c r="Y2980" s="124"/>
      <c r="Z2980" s="124"/>
    </row>
    <row r="2981">
      <c r="A2981" s="124"/>
      <c r="B2981" s="124"/>
      <c r="C2981" s="147"/>
      <c r="D2981" s="124"/>
      <c r="E2981" s="124"/>
      <c r="F2981" s="124"/>
      <c r="G2981" s="124"/>
      <c r="H2981" s="124"/>
      <c r="I2981" s="124"/>
      <c r="J2981" s="124"/>
      <c r="K2981" s="124"/>
      <c r="L2981" s="124"/>
      <c r="M2981" s="124"/>
      <c r="N2981" s="124"/>
      <c r="O2981" s="124"/>
      <c r="P2981" s="124"/>
      <c r="Q2981" s="124"/>
      <c r="R2981" s="124"/>
      <c r="S2981" s="124"/>
      <c r="T2981" s="124"/>
      <c r="U2981" s="124"/>
      <c r="V2981" s="124"/>
      <c r="W2981" s="124"/>
      <c r="X2981" s="124"/>
      <c r="Y2981" s="124"/>
      <c r="Z2981" s="124"/>
    </row>
    <row r="2982">
      <c r="A2982" s="124"/>
      <c r="B2982" s="124"/>
      <c r="C2982" s="147"/>
      <c r="D2982" s="124"/>
      <c r="E2982" s="124"/>
      <c r="F2982" s="124"/>
      <c r="G2982" s="124"/>
      <c r="H2982" s="124"/>
      <c r="I2982" s="124"/>
      <c r="J2982" s="124"/>
      <c r="K2982" s="124"/>
      <c r="L2982" s="124"/>
      <c r="M2982" s="124"/>
      <c r="N2982" s="124"/>
      <c r="O2982" s="124"/>
      <c r="P2982" s="124"/>
      <c r="Q2982" s="124"/>
      <c r="R2982" s="124"/>
      <c r="S2982" s="124"/>
      <c r="T2982" s="124"/>
      <c r="U2982" s="124"/>
      <c r="V2982" s="124"/>
      <c r="W2982" s="124"/>
      <c r="X2982" s="124"/>
      <c r="Y2982" s="124"/>
      <c r="Z2982" s="124"/>
    </row>
    <row r="2983">
      <c r="A2983" s="124"/>
      <c r="B2983" s="124"/>
      <c r="C2983" s="147"/>
      <c r="D2983" s="124"/>
      <c r="E2983" s="124"/>
      <c r="F2983" s="124"/>
      <c r="G2983" s="124"/>
      <c r="H2983" s="124"/>
      <c r="I2983" s="124"/>
      <c r="J2983" s="124"/>
      <c r="K2983" s="124"/>
      <c r="L2983" s="124"/>
      <c r="M2983" s="124"/>
      <c r="N2983" s="124"/>
      <c r="O2983" s="124"/>
      <c r="P2983" s="124"/>
      <c r="Q2983" s="124"/>
      <c r="R2983" s="124"/>
      <c r="S2983" s="124"/>
      <c r="T2983" s="124"/>
      <c r="U2983" s="124"/>
      <c r="V2983" s="124"/>
      <c r="W2983" s="124"/>
      <c r="X2983" s="124"/>
      <c r="Y2983" s="124"/>
      <c r="Z2983" s="124"/>
    </row>
    <row r="2984">
      <c r="A2984" s="124"/>
      <c r="B2984" s="124"/>
      <c r="C2984" s="147"/>
      <c r="D2984" s="124"/>
      <c r="E2984" s="124"/>
      <c r="F2984" s="124"/>
      <c r="G2984" s="124"/>
      <c r="H2984" s="124"/>
      <c r="I2984" s="124"/>
      <c r="J2984" s="124"/>
      <c r="K2984" s="124"/>
      <c r="L2984" s="124"/>
      <c r="M2984" s="124"/>
      <c r="N2984" s="124"/>
      <c r="O2984" s="124"/>
      <c r="P2984" s="124"/>
      <c r="Q2984" s="124"/>
      <c r="R2984" s="124"/>
      <c r="S2984" s="124"/>
      <c r="T2984" s="124"/>
      <c r="U2984" s="124"/>
      <c r="V2984" s="124"/>
      <c r="W2984" s="124"/>
      <c r="X2984" s="124"/>
      <c r="Y2984" s="124"/>
      <c r="Z2984" s="124"/>
    </row>
    <row r="2985">
      <c r="A2985" s="124"/>
      <c r="B2985" s="124"/>
      <c r="C2985" s="147"/>
      <c r="D2985" s="124"/>
      <c r="E2985" s="124"/>
      <c r="F2985" s="124"/>
      <c r="G2985" s="124"/>
      <c r="H2985" s="124"/>
      <c r="I2985" s="124"/>
      <c r="J2985" s="124"/>
      <c r="K2985" s="124"/>
      <c r="L2985" s="124"/>
      <c r="M2985" s="124"/>
      <c r="N2985" s="124"/>
      <c r="O2985" s="124"/>
      <c r="P2985" s="124"/>
      <c r="Q2985" s="124"/>
      <c r="R2985" s="124"/>
      <c r="S2985" s="124"/>
      <c r="T2985" s="124"/>
      <c r="U2985" s="124"/>
      <c r="V2985" s="124"/>
      <c r="W2985" s="124"/>
      <c r="X2985" s="124"/>
      <c r="Y2985" s="124"/>
      <c r="Z2985" s="124"/>
    </row>
    <row r="2986">
      <c r="A2986" s="124"/>
      <c r="B2986" s="124"/>
      <c r="C2986" s="147"/>
      <c r="D2986" s="124"/>
      <c r="E2986" s="124"/>
      <c r="F2986" s="124"/>
      <c r="G2986" s="124"/>
      <c r="H2986" s="124"/>
      <c r="I2986" s="124"/>
      <c r="J2986" s="124"/>
      <c r="K2986" s="124"/>
      <c r="L2986" s="124"/>
      <c r="M2986" s="124"/>
      <c r="N2986" s="124"/>
      <c r="O2986" s="124"/>
      <c r="P2986" s="124"/>
      <c r="Q2986" s="124"/>
      <c r="R2986" s="124"/>
      <c r="S2986" s="124"/>
      <c r="T2986" s="124"/>
      <c r="U2986" s="124"/>
      <c r="V2986" s="124"/>
      <c r="W2986" s="124"/>
      <c r="X2986" s="124"/>
      <c r="Y2986" s="124"/>
      <c r="Z2986" s="124"/>
    </row>
    <row r="2987">
      <c r="A2987" s="124"/>
      <c r="B2987" s="124"/>
      <c r="C2987" s="147"/>
      <c r="D2987" s="124"/>
      <c r="E2987" s="124"/>
      <c r="F2987" s="124"/>
      <c r="G2987" s="124"/>
      <c r="H2987" s="124"/>
      <c r="I2987" s="124"/>
      <c r="J2987" s="124"/>
      <c r="K2987" s="124"/>
      <c r="L2987" s="124"/>
      <c r="M2987" s="124"/>
      <c r="N2987" s="124"/>
      <c r="O2987" s="124"/>
      <c r="P2987" s="124"/>
      <c r="Q2987" s="124"/>
      <c r="R2987" s="124"/>
      <c r="S2987" s="124"/>
      <c r="T2987" s="124"/>
      <c r="U2987" s="124"/>
      <c r="V2987" s="124"/>
      <c r="W2987" s="124"/>
      <c r="X2987" s="124"/>
      <c r="Y2987" s="124"/>
      <c r="Z2987" s="124"/>
    </row>
    <row r="2988">
      <c r="A2988" s="124"/>
      <c r="B2988" s="124"/>
      <c r="C2988" s="147"/>
      <c r="D2988" s="124"/>
      <c r="E2988" s="124"/>
      <c r="F2988" s="124"/>
      <c r="G2988" s="124"/>
      <c r="H2988" s="124"/>
      <c r="I2988" s="124"/>
      <c r="J2988" s="124"/>
      <c r="K2988" s="124"/>
      <c r="L2988" s="124"/>
      <c r="M2988" s="124"/>
      <c r="N2988" s="124"/>
      <c r="O2988" s="124"/>
      <c r="P2988" s="124"/>
      <c r="Q2988" s="124"/>
      <c r="R2988" s="124"/>
      <c r="S2988" s="124"/>
      <c r="T2988" s="124"/>
      <c r="U2988" s="124"/>
      <c r="V2988" s="124"/>
      <c r="W2988" s="124"/>
      <c r="X2988" s="124"/>
      <c r="Y2988" s="124"/>
      <c r="Z2988" s="124"/>
    </row>
    <row r="2989">
      <c r="A2989" s="124"/>
      <c r="B2989" s="124"/>
      <c r="C2989" s="147"/>
      <c r="D2989" s="124"/>
      <c r="E2989" s="124"/>
      <c r="F2989" s="124"/>
      <c r="G2989" s="124"/>
      <c r="H2989" s="124"/>
      <c r="I2989" s="124"/>
      <c r="J2989" s="124"/>
      <c r="K2989" s="124"/>
      <c r="L2989" s="124"/>
      <c r="M2989" s="124"/>
      <c r="N2989" s="124"/>
      <c r="O2989" s="124"/>
      <c r="P2989" s="124"/>
      <c r="Q2989" s="124"/>
      <c r="R2989" s="124"/>
      <c r="S2989" s="124"/>
      <c r="T2989" s="124"/>
      <c r="U2989" s="124"/>
      <c r="V2989" s="124"/>
      <c r="W2989" s="124"/>
      <c r="X2989" s="124"/>
      <c r="Y2989" s="124"/>
      <c r="Z2989" s="124"/>
    </row>
    <row r="2990">
      <c r="A2990" s="124"/>
      <c r="B2990" s="124"/>
      <c r="C2990" s="147"/>
      <c r="D2990" s="124"/>
      <c r="E2990" s="124"/>
      <c r="F2990" s="124"/>
      <c r="G2990" s="124"/>
      <c r="H2990" s="124"/>
      <c r="I2990" s="124"/>
      <c r="J2990" s="124"/>
      <c r="K2990" s="124"/>
      <c r="L2990" s="124"/>
      <c r="M2990" s="124"/>
      <c r="N2990" s="124"/>
      <c r="O2990" s="124"/>
      <c r="P2990" s="124"/>
      <c r="Q2990" s="124"/>
      <c r="R2990" s="124"/>
      <c r="S2990" s="124"/>
      <c r="T2990" s="124"/>
      <c r="U2990" s="124"/>
      <c r="V2990" s="124"/>
      <c r="W2990" s="124"/>
      <c r="X2990" s="124"/>
      <c r="Y2990" s="124"/>
      <c r="Z2990" s="124"/>
    </row>
    <row r="2991">
      <c r="A2991" s="124"/>
      <c r="B2991" s="124"/>
      <c r="C2991" s="147"/>
      <c r="D2991" s="124"/>
      <c r="E2991" s="124"/>
      <c r="F2991" s="124"/>
      <c r="G2991" s="124"/>
      <c r="H2991" s="124"/>
      <c r="I2991" s="124"/>
      <c r="J2991" s="124"/>
      <c r="K2991" s="124"/>
      <c r="L2991" s="124"/>
      <c r="M2991" s="124"/>
      <c r="N2991" s="124"/>
      <c r="O2991" s="124"/>
      <c r="P2991" s="124"/>
      <c r="Q2991" s="124"/>
      <c r="R2991" s="124"/>
      <c r="S2991" s="124"/>
      <c r="T2991" s="124"/>
      <c r="U2991" s="124"/>
      <c r="V2991" s="124"/>
      <c r="W2991" s="124"/>
      <c r="X2991" s="124"/>
      <c r="Y2991" s="124"/>
      <c r="Z2991" s="124"/>
    </row>
    <row r="2992">
      <c r="A2992" s="124"/>
      <c r="B2992" s="124"/>
      <c r="C2992" s="147"/>
      <c r="D2992" s="124"/>
      <c r="E2992" s="124"/>
      <c r="F2992" s="124"/>
      <c r="G2992" s="124"/>
      <c r="H2992" s="124"/>
      <c r="I2992" s="124"/>
      <c r="J2992" s="124"/>
      <c r="K2992" s="124"/>
      <c r="L2992" s="124"/>
      <c r="M2992" s="124"/>
      <c r="N2992" s="124"/>
      <c r="O2992" s="124"/>
      <c r="P2992" s="124"/>
      <c r="Q2992" s="124"/>
      <c r="R2992" s="124"/>
      <c r="S2992" s="124"/>
      <c r="T2992" s="124"/>
      <c r="U2992" s="124"/>
      <c r="V2992" s="124"/>
      <c r="W2992" s="124"/>
      <c r="X2992" s="124"/>
      <c r="Y2992" s="124"/>
      <c r="Z2992" s="124"/>
    </row>
    <row r="2993">
      <c r="A2993" s="124"/>
      <c r="B2993" s="124"/>
      <c r="C2993" s="147"/>
      <c r="D2993" s="124"/>
      <c r="E2993" s="124"/>
      <c r="F2993" s="124"/>
      <c r="G2993" s="124"/>
      <c r="H2993" s="124"/>
      <c r="I2993" s="124"/>
      <c r="J2993" s="124"/>
      <c r="K2993" s="124"/>
      <c r="L2993" s="124"/>
      <c r="M2993" s="124"/>
      <c r="N2993" s="124"/>
      <c r="O2993" s="124"/>
      <c r="P2993" s="124"/>
      <c r="Q2993" s="124"/>
      <c r="R2993" s="124"/>
      <c r="S2993" s="124"/>
      <c r="T2993" s="124"/>
      <c r="U2993" s="124"/>
      <c r="V2993" s="124"/>
      <c r="W2993" s="124"/>
      <c r="X2993" s="124"/>
      <c r="Y2993" s="124"/>
      <c r="Z2993" s="124"/>
    </row>
    <row r="2994">
      <c r="A2994" s="124"/>
      <c r="B2994" s="124"/>
      <c r="C2994" s="147"/>
      <c r="D2994" s="124"/>
      <c r="E2994" s="124"/>
      <c r="F2994" s="124"/>
      <c r="G2994" s="124"/>
      <c r="H2994" s="124"/>
      <c r="I2994" s="124"/>
      <c r="J2994" s="124"/>
      <c r="K2994" s="124"/>
      <c r="L2994" s="124"/>
      <c r="M2994" s="124"/>
      <c r="N2994" s="124"/>
      <c r="O2994" s="124"/>
      <c r="P2994" s="124"/>
      <c r="Q2994" s="124"/>
      <c r="R2994" s="124"/>
      <c r="S2994" s="124"/>
      <c r="T2994" s="124"/>
      <c r="U2994" s="124"/>
      <c r="V2994" s="124"/>
      <c r="W2994" s="124"/>
      <c r="X2994" s="124"/>
      <c r="Y2994" s="124"/>
      <c r="Z2994" s="124"/>
    </row>
    <row r="2995">
      <c r="A2995" s="124"/>
      <c r="B2995" s="124"/>
      <c r="C2995" s="147"/>
      <c r="D2995" s="124"/>
      <c r="E2995" s="124"/>
      <c r="F2995" s="124"/>
      <c r="G2995" s="124"/>
      <c r="H2995" s="124"/>
      <c r="I2995" s="124"/>
      <c r="J2995" s="124"/>
      <c r="K2995" s="124"/>
      <c r="L2995" s="124"/>
      <c r="M2995" s="124"/>
      <c r="N2995" s="124"/>
      <c r="O2995" s="124"/>
      <c r="P2995" s="124"/>
      <c r="Q2995" s="124"/>
      <c r="R2995" s="124"/>
      <c r="S2995" s="124"/>
      <c r="T2995" s="124"/>
      <c r="U2995" s="124"/>
      <c r="V2995" s="124"/>
      <c r="W2995" s="124"/>
      <c r="X2995" s="124"/>
      <c r="Y2995" s="124"/>
      <c r="Z2995" s="124"/>
    </row>
    <row r="2996">
      <c r="A2996" s="124"/>
      <c r="B2996" s="124"/>
      <c r="C2996" s="147"/>
      <c r="D2996" s="124"/>
      <c r="E2996" s="124"/>
      <c r="F2996" s="124"/>
      <c r="G2996" s="124"/>
      <c r="H2996" s="124"/>
      <c r="I2996" s="124"/>
      <c r="J2996" s="124"/>
      <c r="K2996" s="124"/>
      <c r="L2996" s="124"/>
      <c r="M2996" s="124"/>
      <c r="N2996" s="124"/>
      <c r="O2996" s="124"/>
      <c r="P2996" s="124"/>
      <c r="Q2996" s="124"/>
      <c r="R2996" s="124"/>
      <c r="S2996" s="124"/>
      <c r="T2996" s="124"/>
      <c r="U2996" s="124"/>
      <c r="V2996" s="124"/>
      <c r="W2996" s="124"/>
      <c r="X2996" s="124"/>
      <c r="Y2996" s="124"/>
      <c r="Z2996" s="124"/>
    </row>
    <row r="2997">
      <c r="A2997" s="124"/>
      <c r="B2997" s="124"/>
      <c r="C2997" s="147"/>
      <c r="D2997" s="124"/>
      <c r="E2997" s="124"/>
      <c r="F2997" s="124"/>
      <c r="G2997" s="124"/>
      <c r="H2997" s="124"/>
      <c r="I2997" s="124"/>
      <c r="J2997" s="124"/>
      <c r="K2997" s="124"/>
      <c r="L2997" s="124"/>
      <c r="M2997" s="124"/>
      <c r="N2997" s="124"/>
      <c r="O2997" s="124"/>
      <c r="P2997" s="124"/>
      <c r="Q2997" s="124"/>
      <c r="R2997" s="124"/>
      <c r="S2997" s="124"/>
      <c r="T2997" s="124"/>
      <c r="U2997" s="124"/>
      <c r="V2997" s="124"/>
      <c r="W2997" s="124"/>
      <c r="X2997" s="124"/>
      <c r="Y2997" s="124"/>
      <c r="Z2997" s="124"/>
    </row>
    <row r="2998">
      <c r="A2998" s="124"/>
      <c r="B2998" s="124"/>
      <c r="C2998" s="147"/>
      <c r="D2998" s="124"/>
      <c r="E2998" s="124"/>
      <c r="F2998" s="124"/>
      <c r="G2998" s="124"/>
      <c r="H2998" s="124"/>
      <c r="I2998" s="124"/>
      <c r="J2998" s="124"/>
      <c r="K2998" s="124"/>
      <c r="L2998" s="124"/>
      <c r="M2998" s="124"/>
      <c r="N2998" s="124"/>
      <c r="O2998" s="124"/>
      <c r="P2998" s="124"/>
      <c r="Q2998" s="124"/>
      <c r="R2998" s="124"/>
      <c r="S2998" s="124"/>
      <c r="T2998" s="124"/>
      <c r="U2998" s="124"/>
      <c r="V2998" s="124"/>
      <c r="W2998" s="124"/>
      <c r="X2998" s="124"/>
      <c r="Y2998" s="124"/>
      <c r="Z2998" s="124"/>
    </row>
    <row r="2999">
      <c r="A2999" s="124"/>
      <c r="B2999" s="124"/>
      <c r="C2999" s="147"/>
      <c r="D2999" s="124"/>
      <c r="E2999" s="124"/>
      <c r="F2999" s="124"/>
      <c r="G2999" s="124"/>
      <c r="H2999" s="124"/>
      <c r="I2999" s="124"/>
      <c r="J2999" s="124"/>
      <c r="K2999" s="124"/>
      <c r="L2999" s="124"/>
      <c r="M2999" s="124"/>
      <c r="N2999" s="124"/>
      <c r="O2999" s="124"/>
      <c r="P2999" s="124"/>
      <c r="Q2999" s="124"/>
      <c r="R2999" s="124"/>
      <c r="S2999" s="124"/>
      <c r="T2999" s="124"/>
      <c r="U2999" s="124"/>
      <c r="V2999" s="124"/>
      <c r="W2999" s="124"/>
      <c r="X2999" s="124"/>
      <c r="Y2999" s="124"/>
      <c r="Z2999" s="124"/>
    </row>
    <row r="3000">
      <c r="A3000" s="124"/>
      <c r="B3000" s="124"/>
      <c r="C3000" s="147"/>
      <c r="D3000" s="124"/>
      <c r="E3000" s="124"/>
      <c r="F3000" s="124"/>
      <c r="G3000" s="124"/>
      <c r="H3000" s="124"/>
      <c r="I3000" s="124"/>
      <c r="J3000" s="124"/>
      <c r="K3000" s="124"/>
      <c r="L3000" s="124"/>
      <c r="M3000" s="124"/>
      <c r="N3000" s="124"/>
      <c r="O3000" s="124"/>
      <c r="P3000" s="124"/>
      <c r="Q3000" s="124"/>
      <c r="R3000" s="124"/>
      <c r="S3000" s="124"/>
      <c r="T3000" s="124"/>
      <c r="U3000" s="124"/>
      <c r="V3000" s="124"/>
      <c r="W3000" s="124"/>
      <c r="X3000" s="124"/>
      <c r="Y3000" s="124"/>
      <c r="Z3000" s="124"/>
    </row>
    <row r="3001">
      <c r="A3001" s="124"/>
      <c r="B3001" s="124"/>
      <c r="C3001" s="147"/>
      <c r="D3001" s="124"/>
      <c r="E3001" s="124"/>
      <c r="F3001" s="124"/>
      <c r="G3001" s="124"/>
      <c r="H3001" s="124"/>
      <c r="I3001" s="124"/>
      <c r="J3001" s="124"/>
      <c r="K3001" s="124"/>
      <c r="L3001" s="124"/>
      <c r="M3001" s="124"/>
      <c r="N3001" s="124"/>
      <c r="O3001" s="124"/>
      <c r="P3001" s="124"/>
      <c r="Q3001" s="124"/>
      <c r="R3001" s="124"/>
      <c r="S3001" s="124"/>
      <c r="T3001" s="124"/>
      <c r="U3001" s="124"/>
      <c r="V3001" s="124"/>
      <c r="W3001" s="124"/>
      <c r="X3001" s="124"/>
      <c r="Y3001" s="124"/>
      <c r="Z3001" s="124"/>
    </row>
    <row r="3002">
      <c r="A3002" s="124"/>
      <c r="B3002" s="124"/>
      <c r="C3002" s="147"/>
      <c r="D3002" s="124"/>
      <c r="E3002" s="124"/>
      <c r="F3002" s="124"/>
      <c r="G3002" s="124"/>
      <c r="H3002" s="124"/>
      <c r="I3002" s="124"/>
      <c r="J3002" s="124"/>
      <c r="K3002" s="124"/>
      <c r="L3002" s="124"/>
      <c r="M3002" s="124"/>
      <c r="N3002" s="124"/>
      <c r="O3002" s="124"/>
      <c r="P3002" s="124"/>
      <c r="Q3002" s="124"/>
      <c r="R3002" s="124"/>
      <c r="S3002" s="124"/>
      <c r="T3002" s="124"/>
      <c r="U3002" s="124"/>
      <c r="V3002" s="124"/>
      <c r="W3002" s="124"/>
      <c r="X3002" s="124"/>
      <c r="Y3002" s="124"/>
      <c r="Z3002" s="124"/>
    </row>
    <row r="3003">
      <c r="A3003" s="124"/>
      <c r="B3003" s="124"/>
      <c r="C3003" s="147"/>
      <c r="D3003" s="124"/>
      <c r="E3003" s="124"/>
      <c r="F3003" s="124"/>
      <c r="G3003" s="124"/>
      <c r="H3003" s="124"/>
      <c r="I3003" s="124"/>
      <c r="J3003" s="124"/>
      <c r="K3003" s="124"/>
      <c r="L3003" s="124"/>
      <c r="M3003" s="124"/>
      <c r="N3003" s="124"/>
      <c r="O3003" s="124"/>
      <c r="P3003" s="124"/>
      <c r="Q3003" s="124"/>
      <c r="R3003" s="124"/>
      <c r="S3003" s="124"/>
      <c r="T3003" s="124"/>
      <c r="U3003" s="124"/>
      <c r="V3003" s="124"/>
      <c r="W3003" s="124"/>
      <c r="X3003" s="124"/>
      <c r="Y3003" s="124"/>
      <c r="Z3003" s="124"/>
    </row>
    <row r="3004">
      <c r="A3004" s="124"/>
      <c r="B3004" s="124"/>
      <c r="C3004" s="147"/>
      <c r="D3004" s="124"/>
      <c r="E3004" s="124"/>
      <c r="F3004" s="124"/>
      <c r="G3004" s="124"/>
      <c r="H3004" s="124"/>
      <c r="I3004" s="124"/>
      <c r="J3004" s="124"/>
      <c r="K3004" s="124"/>
      <c r="L3004" s="124"/>
      <c r="M3004" s="124"/>
      <c r="N3004" s="124"/>
      <c r="O3004" s="124"/>
      <c r="P3004" s="124"/>
      <c r="Q3004" s="124"/>
      <c r="R3004" s="124"/>
      <c r="S3004" s="124"/>
      <c r="T3004" s="124"/>
      <c r="U3004" s="124"/>
      <c r="V3004" s="124"/>
      <c r="W3004" s="124"/>
      <c r="X3004" s="124"/>
      <c r="Y3004" s="124"/>
      <c r="Z3004" s="124"/>
    </row>
    <row r="3005">
      <c r="A3005" s="124"/>
      <c r="B3005" s="124"/>
      <c r="C3005" s="147"/>
      <c r="D3005" s="124"/>
      <c r="E3005" s="124"/>
      <c r="F3005" s="124"/>
      <c r="G3005" s="124"/>
      <c r="H3005" s="124"/>
      <c r="I3005" s="124"/>
      <c r="J3005" s="124"/>
      <c r="K3005" s="124"/>
      <c r="L3005" s="124"/>
      <c r="M3005" s="124"/>
      <c r="N3005" s="124"/>
      <c r="O3005" s="124"/>
      <c r="P3005" s="124"/>
      <c r="Q3005" s="124"/>
      <c r="R3005" s="124"/>
      <c r="S3005" s="124"/>
      <c r="T3005" s="124"/>
      <c r="U3005" s="124"/>
      <c r="V3005" s="124"/>
      <c r="W3005" s="124"/>
      <c r="X3005" s="124"/>
      <c r="Y3005" s="124"/>
      <c r="Z3005" s="124"/>
    </row>
    <row r="3006">
      <c r="A3006" s="124"/>
      <c r="B3006" s="124"/>
      <c r="C3006" s="147"/>
      <c r="D3006" s="124"/>
      <c r="E3006" s="124"/>
      <c r="F3006" s="124"/>
      <c r="G3006" s="124"/>
      <c r="H3006" s="124"/>
      <c r="I3006" s="124"/>
      <c r="J3006" s="124"/>
      <c r="K3006" s="124"/>
      <c r="L3006" s="124"/>
      <c r="M3006" s="124"/>
      <c r="N3006" s="124"/>
      <c r="O3006" s="124"/>
      <c r="P3006" s="124"/>
      <c r="Q3006" s="124"/>
      <c r="R3006" s="124"/>
      <c r="S3006" s="124"/>
      <c r="T3006" s="124"/>
      <c r="U3006" s="124"/>
      <c r="V3006" s="124"/>
      <c r="W3006" s="124"/>
      <c r="X3006" s="124"/>
      <c r="Y3006" s="124"/>
      <c r="Z3006" s="124"/>
    </row>
    <row r="3007">
      <c r="A3007" s="124"/>
      <c r="B3007" s="124"/>
      <c r="C3007" s="147"/>
      <c r="D3007" s="124"/>
      <c r="E3007" s="124"/>
      <c r="F3007" s="124"/>
      <c r="G3007" s="124"/>
      <c r="H3007" s="124"/>
      <c r="I3007" s="124"/>
      <c r="J3007" s="124"/>
      <c r="K3007" s="124"/>
      <c r="L3007" s="124"/>
      <c r="M3007" s="124"/>
      <c r="N3007" s="124"/>
      <c r="O3007" s="124"/>
      <c r="P3007" s="124"/>
      <c r="Q3007" s="124"/>
      <c r="R3007" s="124"/>
      <c r="S3007" s="124"/>
      <c r="T3007" s="124"/>
      <c r="U3007" s="124"/>
      <c r="V3007" s="124"/>
      <c r="W3007" s="124"/>
      <c r="X3007" s="124"/>
      <c r="Y3007" s="124"/>
      <c r="Z3007" s="124"/>
    </row>
    <row r="3008">
      <c r="A3008" s="124"/>
      <c r="B3008" s="124"/>
      <c r="C3008" s="147"/>
      <c r="D3008" s="124"/>
      <c r="E3008" s="124"/>
      <c r="F3008" s="124"/>
      <c r="G3008" s="124"/>
      <c r="H3008" s="124"/>
      <c r="I3008" s="124"/>
      <c r="J3008" s="124"/>
      <c r="K3008" s="124"/>
      <c r="L3008" s="124"/>
      <c r="M3008" s="124"/>
      <c r="N3008" s="124"/>
      <c r="O3008" s="124"/>
      <c r="P3008" s="124"/>
      <c r="Q3008" s="124"/>
      <c r="R3008" s="124"/>
      <c r="S3008" s="124"/>
      <c r="T3008" s="124"/>
      <c r="U3008" s="124"/>
      <c r="V3008" s="124"/>
      <c r="W3008" s="124"/>
      <c r="X3008" s="124"/>
      <c r="Y3008" s="124"/>
      <c r="Z3008" s="124"/>
    </row>
    <row r="3009">
      <c r="A3009" s="124"/>
      <c r="B3009" s="124"/>
      <c r="C3009" s="147"/>
      <c r="D3009" s="124"/>
      <c r="E3009" s="124"/>
      <c r="F3009" s="124"/>
      <c r="G3009" s="124"/>
      <c r="H3009" s="124"/>
      <c r="I3009" s="124"/>
      <c r="J3009" s="124"/>
      <c r="K3009" s="124"/>
      <c r="L3009" s="124"/>
      <c r="M3009" s="124"/>
      <c r="N3009" s="124"/>
      <c r="O3009" s="124"/>
      <c r="P3009" s="124"/>
      <c r="Q3009" s="124"/>
      <c r="R3009" s="124"/>
      <c r="S3009" s="124"/>
      <c r="T3009" s="124"/>
      <c r="U3009" s="124"/>
      <c r="V3009" s="124"/>
      <c r="W3009" s="124"/>
      <c r="X3009" s="124"/>
      <c r="Y3009" s="124"/>
      <c r="Z3009" s="124"/>
    </row>
    <row r="3010">
      <c r="A3010" s="124"/>
      <c r="B3010" s="124"/>
      <c r="C3010" s="147"/>
      <c r="D3010" s="124"/>
      <c r="E3010" s="124"/>
      <c r="F3010" s="124"/>
      <c r="G3010" s="124"/>
      <c r="H3010" s="124"/>
      <c r="I3010" s="124"/>
      <c r="J3010" s="124"/>
      <c r="K3010" s="124"/>
      <c r="L3010" s="124"/>
      <c r="M3010" s="124"/>
      <c r="N3010" s="124"/>
      <c r="O3010" s="124"/>
      <c r="P3010" s="124"/>
      <c r="Q3010" s="124"/>
      <c r="R3010" s="124"/>
      <c r="S3010" s="124"/>
      <c r="T3010" s="124"/>
      <c r="U3010" s="124"/>
      <c r="V3010" s="124"/>
      <c r="W3010" s="124"/>
      <c r="X3010" s="124"/>
      <c r="Y3010" s="124"/>
      <c r="Z3010" s="124"/>
    </row>
    <row r="3011">
      <c r="A3011" s="124"/>
      <c r="B3011" s="124"/>
      <c r="C3011" s="147"/>
      <c r="D3011" s="124"/>
      <c r="E3011" s="124"/>
      <c r="F3011" s="124"/>
      <c r="G3011" s="124"/>
      <c r="H3011" s="124"/>
      <c r="I3011" s="124"/>
      <c r="J3011" s="124"/>
      <c r="K3011" s="124"/>
      <c r="L3011" s="124"/>
      <c r="M3011" s="124"/>
      <c r="N3011" s="124"/>
      <c r="O3011" s="124"/>
      <c r="P3011" s="124"/>
      <c r="Q3011" s="124"/>
      <c r="R3011" s="124"/>
      <c r="S3011" s="124"/>
      <c r="T3011" s="124"/>
      <c r="U3011" s="124"/>
      <c r="V3011" s="124"/>
      <c r="W3011" s="124"/>
      <c r="X3011" s="124"/>
      <c r="Y3011" s="124"/>
      <c r="Z3011" s="124"/>
    </row>
    <row r="3012">
      <c r="A3012" s="124"/>
      <c r="B3012" s="124"/>
      <c r="C3012" s="147"/>
      <c r="D3012" s="124"/>
      <c r="E3012" s="124"/>
      <c r="F3012" s="124"/>
      <c r="G3012" s="124"/>
      <c r="H3012" s="124"/>
      <c r="I3012" s="124"/>
      <c r="J3012" s="124"/>
      <c r="K3012" s="124"/>
      <c r="L3012" s="124"/>
      <c r="M3012" s="124"/>
      <c r="N3012" s="124"/>
      <c r="O3012" s="124"/>
      <c r="P3012" s="124"/>
      <c r="Q3012" s="124"/>
      <c r="R3012" s="124"/>
      <c r="S3012" s="124"/>
      <c r="T3012" s="124"/>
      <c r="U3012" s="124"/>
      <c r="V3012" s="124"/>
      <c r="W3012" s="124"/>
      <c r="X3012" s="124"/>
      <c r="Y3012" s="124"/>
      <c r="Z3012" s="124"/>
    </row>
    <row r="3013">
      <c r="A3013" s="124"/>
      <c r="B3013" s="124"/>
      <c r="C3013" s="147"/>
      <c r="D3013" s="124"/>
      <c r="E3013" s="124"/>
      <c r="F3013" s="124"/>
      <c r="G3013" s="124"/>
      <c r="H3013" s="124"/>
      <c r="I3013" s="124"/>
      <c r="J3013" s="124"/>
      <c r="K3013" s="124"/>
      <c r="L3013" s="124"/>
      <c r="M3013" s="124"/>
      <c r="N3013" s="124"/>
      <c r="O3013" s="124"/>
      <c r="P3013" s="124"/>
      <c r="Q3013" s="124"/>
      <c r="R3013" s="124"/>
      <c r="S3013" s="124"/>
      <c r="T3013" s="124"/>
      <c r="U3013" s="124"/>
      <c r="V3013" s="124"/>
      <c r="W3013" s="124"/>
      <c r="X3013" s="124"/>
      <c r="Y3013" s="124"/>
      <c r="Z3013" s="124"/>
    </row>
    <row r="3014">
      <c r="A3014" s="124"/>
      <c r="B3014" s="124"/>
      <c r="C3014" s="147"/>
      <c r="D3014" s="124"/>
      <c r="E3014" s="124"/>
      <c r="F3014" s="124"/>
      <c r="G3014" s="124"/>
      <c r="H3014" s="124"/>
      <c r="I3014" s="124"/>
      <c r="J3014" s="124"/>
      <c r="K3014" s="124"/>
      <c r="L3014" s="124"/>
      <c r="M3014" s="124"/>
      <c r="N3014" s="124"/>
      <c r="O3014" s="124"/>
      <c r="P3014" s="124"/>
      <c r="Q3014" s="124"/>
      <c r="R3014" s="124"/>
      <c r="S3014" s="124"/>
      <c r="T3014" s="124"/>
      <c r="U3014" s="124"/>
      <c r="V3014" s="124"/>
      <c r="W3014" s="124"/>
      <c r="X3014" s="124"/>
      <c r="Y3014" s="124"/>
      <c r="Z3014" s="124"/>
    </row>
    <row r="3015">
      <c r="A3015" s="124"/>
      <c r="B3015" s="124"/>
      <c r="C3015" s="147"/>
      <c r="D3015" s="124"/>
      <c r="E3015" s="124"/>
      <c r="F3015" s="124"/>
      <c r="G3015" s="124"/>
      <c r="H3015" s="124"/>
      <c r="I3015" s="124"/>
      <c r="J3015" s="124"/>
      <c r="K3015" s="124"/>
      <c r="L3015" s="124"/>
      <c r="M3015" s="124"/>
      <c r="N3015" s="124"/>
      <c r="O3015" s="124"/>
      <c r="P3015" s="124"/>
      <c r="Q3015" s="124"/>
      <c r="R3015" s="124"/>
      <c r="S3015" s="124"/>
      <c r="T3015" s="124"/>
      <c r="U3015" s="124"/>
      <c r="V3015" s="124"/>
      <c r="W3015" s="124"/>
      <c r="X3015" s="124"/>
      <c r="Y3015" s="124"/>
      <c r="Z3015" s="124"/>
    </row>
    <row r="3016">
      <c r="A3016" s="124"/>
      <c r="B3016" s="124"/>
      <c r="C3016" s="147"/>
      <c r="D3016" s="124"/>
      <c r="E3016" s="124"/>
      <c r="F3016" s="124"/>
      <c r="G3016" s="124"/>
      <c r="H3016" s="124"/>
      <c r="I3016" s="124"/>
      <c r="J3016" s="124"/>
      <c r="K3016" s="124"/>
      <c r="L3016" s="124"/>
      <c r="M3016" s="124"/>
      <c r="N3016" s="124"/>
      <c r="O3016" s="124"/>
      <c r="P3016" s="124"/>
      <c r="Q3016" s="124"/>
      <c r="R3016" s="124"/>
      <c r="S3016" s="124"/>
      <c r="T3016" s="124"/>
      <c r="U3016" s="124"/>
      <c r="V3016" s="124"/>
      <c r="W3016" s="124"/>
      <c r="X3016" s="124"/>
      <c r="Y3016" s="124"/>
      <c r="Z3016" s="124"/>
    </row>
    <row r="3017">
      <c r="A3017" s="124"/>
      <c r="B3017" s="124"/>
      <c r="C3017" s="147"/>
      <c r="D3017" s="124"/>
      <c r="E3017" s="124"/>
      <c r="F3017" s="124"/>
      <c r="G3017" s="124"/>
      <c r="H3017" s="124"/>
      <c r="I3017" s="124"/>
      <c r="J3017" s="124"/>
      <c r="K3017" s="124"/>
      <c r="L3017" s="124"/>
      <c r="M3017" s="124"/>
      <c r="N3017" s="124"/>
      <c r="O3017" s="124"/>
      <c r="P3017" s="124"/>
      <c r="Q3017" s="124"/>
      <c r="R3017" s="124"/>
      <c r="S3017" s="124"/>
      <c r="T3017" s="124"/>
      <c r="U3017" s="124"/>
      <c r="V3017" s="124"/>
      <c r="W3017" s="124"/>
      <c r="X3017" s="124"/>
      <c r="Y3017" s="124"/>
      <c r="Z3017" s="124"/>
    </row>
    <row r="3018">
      <c r="A3018" s="124"/>
      <c r="B3018" s="124"/>
      <c r="C3018" s="147"/>
      <c r="D3018" s="124"/>
      <c r="E3018" s="124"/>
      <c r="F3018" s="124"/>
      <c r="G3018" s="124"/>
      <c r="H3018" s="124"/>
      <c r="I3018" s="124"/>
      <c r="J3018" s="124"/>
      <c r="K3018" s="124"/>
      <c r="L3018" s="124"/>
      <c r="M3018" s="124"/>
      <c r="N3018" s="124"/>
      <c r="O3018" s="124"/>
      <c r="P3018" s="124"/>
      <c r="Q3018" s="124"/>
      <c r="R3018" s="124"/>
      <c r="S3018" s="124"/>
      <c r="T3018" s="124"/>
      <c r="U3018" s="124"/>
      <c r="V3018" s="124"/>
      <c r="W3018" s="124"/>
      <c r="X3018" s="124"/>
      <c r="Y3018" s="124"/>
      <c r="Z3018" s="124"/>
    </row>
    <row r="3019">
      <c r="A3019" s="124"/>
      <c r="B3019" s="124"/>
      <c r="C3019" s="147"/>
      <c r="D3019" s="124"/>
      <c r="E3019" s="124"/>
      <c r="F3019" s="124"/>
      <c r="G3019" s="124"/>
      <c r="H3019" s="124"/>
      <c r="I3019" s="124"/>
      <c r="J3019" s="124"/>
      <c r="K3019" s="124"/>
      <c r="L3019" s="124"/>
      <c r="M3019" s="124"/>
      <c r="N3019" s="124"/>
      <c r="O3019" s="124"/>
      <c r="P3019" s="124"/>
      <c r="Q3019" s="124"/>
      <c r="R3019" s="124"/>
      <c r="S3019" s="124"/>
      <c r="T3019" s="124"/>
      <c r="U3019" s="124"/>
      <c r="V3019" s="124"/>
      <c r="W3019" s="124"/>
      <c r="X3019" s="124"/>
      <c r="Y3019" s="124"/>
      <c r="Z3019" s="124"/>
    </row>
    <row r="3020">
      <c r="A3020" s="124"/>
      <c r="B3020" s="124"/>
      <c r="C3020" s="147"/>
      <c r="D3020" s="124"/>
      <c r="E3020" s="124"/>
      <c r="F3020" s="124"/>
      <c r="G3020" s="124"/>
      <c r="H3020" s="124"/>
      <c r="I3020" s="124"/>
      <c r="J3020" s="124"/>
      <c r="K3020" s="124"/>
      <c r="L3020" s="124"/>
      <c r="M3020" s="124"/>
      <c r="N3020" s="124"/>
      <c r="O3020" s="124"/>
      <c r="P3020" s="124"/>
      <c r="Q3020" s="124"/>
      <c r="R3020" s="124"/>
      <c r="S3020" s="124"/>
      <c r="T3020" s="124"/>
      <c r="U3020" s="124"/>
      <c r="V3020" s="124"/>
      <c r="W3020" s="124"/>
      <c r="X3020" s="124"/>
      <c r="Y3020" s="124"/>
      <c r="Z3020" s="124"/>
    </row>
    <row r="3021">
      <c r="A3021" s="124"/>
      <c r="B3021" s="124"/>
      <c r="C3021" s="147"/>
      <c r="D3021" s="124"/>
      <c r="E3021" s="124"/>
      <c r="F3021" s="124"/>
      <c r="G3021" s="124"/>
      <c r="H3021" s="124"/>
      <c r="I3021" s="124"/>
      <c r="J3021" s="124"/>
      <c r="K3021" s="124"/>
      <c r="L3021" s="124"/>
      <c r="M3021" s="124"/>
      <c r="N3021" s="124"/>
      <c r="O3021" s="124"/>
      <c r="P3021" s="124"/>
      <c r="Q3021" s="124"/>
      <c r="R3021" s="124"/>
      <c r="S3021" s="124"/>
      <c r="T3021" s="124"/>
      <c r="U3021" s="124"/>
      <c r="V3021" s="124"/>
      <c r="W3021" s="124"/>
      <c r="X3021" s="124"/>
      <c r="Y3021" s="124"/>
      <c r="Z3021" s="124"/>
    </row>
    <row r="3022">
      <c r="A3022" s="124"/>
      <c r="B3022" s="124"/>
      <c r="C3022" s="147"/>
      <c r="D3022" s="124"/>
      <c r="E3022" s="124"/>
      <c r="F3022" s="124"/>
      <c r="G3022" s="124"/>
      <c r="H3022" s="124"/>
      <c r="I3022" s="124"/>
      <c r="J3022" s="124"/>
      <c r="K3022" s="124"/>
      <c r="L3022" s="124"/>
      <c r="M3022" s="124"/>
      <c r="N3022" s="124"/>
      <c r="O3022" s="124"/>
      <c r="P3022" s="124"/>
      <c r="Q3022" s="124"/>
      <c r="R3022" s="124"/>
      <c r="S3022" s="124"/>
      <c r="T3022" s="124"/>
      <c r="U3022" s="124"/>
      <c r="V3022" s="124"/>
      <c r="W3022" s="124"/>
      <c r="X3022" s="124"/>
      <c r="Y3022" s="124"/>
      <c r="Z3022" s="124"/>
    </row>
    <row r="3023">
      <c r="A3023" s="124"/>
      <c r="B3023" s="124"/>
      <c r="C3023" s="147"/>
      <c r="D3023" s="124"/>
      <c r="E3023" s="124"/>
      <c r="F3023" s="124"/>
      <c r="G3023" s="124"/>
      <c r="H3023" s="124"/>
      <c r="I3023" s="124"/>
      <c r="J3023" s="124"/>
      <c r="K3023" s="124"/>
      <c r="L3023" s="124"/>
      <c r="M3023" s="124"/>
      <c r="N3023" s="124"/>
      <c r="O3023" s="124"/>
      <c r="P3023" s="124"/>
      <c r="Q3023" s="124"/>
      <c r="R3023" s="124"/>
      <c r="S3023" s="124"/>
      <c r="T3023" s="124"/>
      <c r="U3023" s="124"/>
      <c r="V3023" s="124"/>
      <c r="W3023" s="124"/>
      <c r="X3023" s="124"/>
      <c r="Y3023" s="124"/>
      <c r="Z3023" s="124"/>
    </row>
    <row r="3024">
      <c r="A3024" s="124"/>
      <c r="B3024" s="124"/>
      <c r="C3024" s="147"/>
      <c r="D3024" s="124"/>
      <c r="E3024" s="124"/>
      <c r="F3024" s="124"/>
      <c r="G3024" s="124"/>
      <c r="H3024" s="124"/>
      <c r="I3024" s="124"/>
      <c r="J3024" s="124"/>
      <c r="K3024" s="124"/>
      <c r="L3024" s="124"/>
      <c r="M3024" s="124"/>
      <c r="N3024" s="124"/>
      <c r="O3024" s="124"/>
      <c r="P3024" s="124"/>
      <c r="Q3024" s="124"/>
      <c r="R3024" s="124"/>
      <c r="S3024" s="124"/>
      <c r="T3024" s="124"/>
      <c r="U3024" s="124"/>
      <c r="V3024" s="124"/>
      <c r="W3024" s="124"/>
      <c r="X3024" s="124"/>
      <c r="Y3024" s="124"/>
      <c r="Z3024" s="124"/>
    </row>
    <row r="3025">
      <c r="A3025" s="124"/>
      <c r="B3025" s="124"/>
      <c r="C3025" s="147"/>
      <c r="D3025" s="124"/>
      <c r="E3025" s="124"/>
      <c r="F3025" s="124"/>
      <c r="G3025" s="124"/>
      <c r="H3025" s="124"/>
      <c r="I3025" s="124"/>
      <c r="J3025" s="124"/>
      <c r="K3025" s="124"/>
      <c r="L3025" s="124"/>
      <c r="M3025" s="124"/>
      <c r="N3025" s="124"/>
      <c r="O3025" s="124"/>
      <c r="P3025" s="124"/>
      <c r="Q3025" s="124"/>
      <c r="R3025" s="124"/>
      <c r="S3025" s="124"/>
      <c r="T3025" s="124"/>
      <c r="U3025" s="124"/>
      <c r="V3025" s="124"/>
      <c r="W3025" s="124"/>
      <c r="X3025" s="124"/>
      <c r="Y3025" s="124"/>
      <c r="Z3025" s="124"/>
    </row>
    <row r="3026">
      <c r="A3026" s="124"/>
      <c r="B3026" s="124"/>
      <c r="C3026" s="147"/>
      <c r="D3026" s="124"/>
      <c r="E3026" s="124"/>
      <c r="F3026" s="124"/>
      <c r="G3026" s="124"/>
      <c r="H3026" s="124"/>
      <c r="I3026" s="124"/>
      <c r="J3026" s="124"/>
      <c r="K3026" s="124"/>
      <c r="L3026" s="124"/>
      <c r="M3026" s="124"/>
      <c r="N3026" s="124"/>
      <c r="O3026" s="124"/>
      <c r="P3026" s="124"/>
      <c r="Q3026" s="124"/>
      <c r="R3026" s="124"/>
      <c r="S3026" s="124"/>
      <c r="T3026" s="124"/>
      <c r="U3026" s="124"/>
      <c r="V3026" s="124"/>
      <c r="W3026" s="124"/>
      <c r="X3026" s="124"/>
      <c r="Y3026" s="124"/>
      <c r="Z3026" s="124"/>
    </row>
    <row r="3027">
      <c r="A3027" s="124"/>
      <c r="B3027" s="124"/>
      <c r="C3027" s="147"/>
      <c r="D3027" s="124"/>
      <c r="E3027" s="124"/>
      <c r="F3027" s="124"/>
      <c r="G3027" s="124"/>
      <c r="H3027" s="124"/>
      <c r="I3027" s="124"/>
      <c r="J3027" s="124"/>
      <c r="K3027" s="124"/>
      <c r="L3027" s="124"/>
      <c r="M3027" s="124"/>
      <c r="N3027" s="124"/>
      <c r="O3027" s="124"/>
      <c r="P3027" s="124"/>
      <c r="Q3027" s="124"/>
      <c r="R3027" s="124"/>
      <c r="S3027" s="124"/>
      <c r="T3027" s="124"/>
      <c r="U3027" s="124"/>
      <c r="V3027" s="124"/>
      <c r="W3027" s="124"/>
      <c r="X3027" s="124"/>
      <c r="Y3027" s="124"/>
      <c r="Z3027" s="124"/>
    </row>
    <row r="3028">
      <c r="A3028" s="124"/>
      <c r="B3028" s="124"/>
      <c r="C3028" s="147"/>
      <c r="D3028" s="124"/>
      <c r="E3028" s="124"/>
      <c r="F3028" s="124"/>
      <c r="G3028" s="124"/>
      <c r="H3028" s="124"/>
      <c r="I3028" s="124"/>
      <c r="J3028" s="124"/>
      <c r="K3028" s="124"/>
      <c r="L3028" s="124"/>
      <c r="M3028" s="124"/>
      <c r="N3028" s="124"/>
      <c r="O3028" s="124"/>
      <c r="P3028" s="124"/>
      <c r="Q3028" s="124"/>
      <c r="R3028" s="124"/>
      <c r="S3028" s="124"/>
      <c r="T3028" s="124"/>
      <c r="U3028" s="124"/>
      <c r="V3028" s="124"/>
      <c r="W3028" s="124"/>
      <c r="X3028" s="124"/>
      <c r="Y3028" s="124"/>
      <c r="Z3028" s="124"/>
    </row>
    <row r="3029">
      <c r="A3029" s="124"/>
      <c r="B3029" s="124"/>
      <c r="C3029" s="147"/>
      <c r="D3029" s="124"/>
      <c r="E3029" s="124"/>
      <c r="F3029" s="124"/>
      <c r="G3029" s="124"/>
      <c r="H3029" s="124"/>
      <c r="I3029" s="124"/>
      <c r="J3029" s="124"/>
      <c r="K3029" s="124"/>
      <c r="L3029" s="124"/>
      <c r="M3029" s="124"/>
      <c r="N3029" s="124"/>
      <c r="O3029" s="124"/>
      <c r="P3029" s="124"/>
      <c r="Q3029" s="124"/>
      <c r="R3029" s="124"/>
      <c r="S3029" s="124"/>
      <c r="T3029" s="124"/>
      <c r="U3029" s="124"/>
      <c r="V3029" s="124"/>
      <c r="W3029" s="124"/>
      <c r="X3029" s="124"/>
      <c r="Y3029" s="124"/>
      <c r="Z3029" s="124"/>
    </row>
    <row r="3030">
      <c r="A3030" s="124"/>
      <c r="B3030" s="124"/>
      <c r="C3030" s="147"/>
      <c r="D3030" s="124"/>
      <c r="E3030" s="124"/>
      <c r="F3030" s="124"/>
      <c r="G3030" s="124"/>
      <c r="H3030" s="124"/>
      <c r="I3030" s="124"/>
      <c r="J3030" s="124"/>
      <c r="K3030" s="124"/>
      <c r="L3030" s="124"/>
      <c r="M3030" s="124"/>
      <c r="N3030" s="124"/>
      <c r="O3030" s="124"/>
      <c r="P3030" s="124"/>
      <c r="Q3030" s="124"/>
      <c r="R3030" s="124"/>
      <c r="S3030" s="124"/>
      <c r="T3030" s="124"/>
      <c r="U3030" s="124"/>
      <c r="V3030" s="124"/>
      <c r="W3030" s="124"/>
      <c r="X3030" s="124"/>
      <c r="Y3030" s="124"/>
      <c r="Z3030" s="124"/>
    </row>
    <row r="3031">
      <c r="A3031" s="124"/>
      <c r="B3031" s="124"/>
      <c r="C3031" s="147"/>
      <c r="D3031" s="124"/>
      <c r="E3031" s="124"/>
      <c r="F3031" s="124"/>
      <c r="G3031" s="124"/>
      <c r="H3031" s="124"/>
      <c r="I3031" s="124"/>
      <c r="J3031" s="124"/>
      <c r="K3031" s="124"/>
      <c r="L3031" s="124"/>
      <c r="M3031" s="124"/>
      <c r="N3031" s="124"/>
      <c r="O3031" s="124"/>
      <c r="P3031" s="124"/>
      <c r="Q3031" s="124"/>
      <c r="R3031" s="124"/>
      <c r="S3031" s="124"/>
      <c r="T3031" s="124"/>
      <c r="U3031" s="124"/>
      <c r="V3031" s="124"/>
      <c r="W3031" s="124"/>
      <c r="X3031" s="124"/>
      <c r="Y3031" s="124"/>
      <c r="Z3031" s="124"/>
    </row>
    <row r="3032">
      <c r="A3032" s="124"/>
      <c r="B3032" s="124"/>
      <c r="C3032" s="147"/>
      <c r="D3032" s="124"/>
      <c r="E3032" s="124"/>
      <c r="F3032" s="124"/>
      <c r="G3032" s="124"/>
      <c r="H3032" s="124"/>
      <c r="I3032" s="124"/>
      <c r="J3032" s="124"/>
      <c r="K3032" s="124"/>
      <c r="L3032" s="124"/>
      <c r="M3032" s="124"/>
      <c r="N3032" s="124"/>
      <c r="O3032" s="124"/>
      <c r="P3032" s="124"/>
      <c r="Q3032" s="124"/>
      <c r="R3032" s="124"/>
      <c r="S3032" s="124"/>
      <c r="T3032" s="124"/>
      <c r="U3032" s="124"/>
      <c r="V3032" s="124"/>
      <c r="W3032" s="124"/>
      <c r="X3032" s="124"/>
      <c r="Y3032" s="124"/>
      <c r="Z3032" s="124"/>
    </row>
    <row r="3033">
      <c r="A3033" s="124"/>
      <c r="B3033" s="124"/>
      <c r="C3033" s="147"/>
      <c r="D3033" s="124"/>
      <c r="E3033" s="124"/>
      <c r="F3033" s="124"/>
      <c r="G3033" s="124"/>
      <c r="H3033" s="124"/>
      <c r="I3033" s="124"/>
      <c r="J3033" s="124"/>
      <c r="K3033" s="124"/>
      <c r="L3033" s="124"/>
      <c r="M3033" s="124"/>
      <c r="N3033" s="124"/>
      <c r="O3033" s="124"/>
      <c r="P3033" s="124"/>
      <c r="Q3033" s="124"/>
      <c r="R3033" s="124"/>
      <c r="S3033" s="124"/>
      <c r="T3033" s="124"/>
      <c r="U3033" s="124"/>
      <c r="V3033" s="124"/>
      <c r="W3033" s="124"/>
      <c r="X3033" s="124"/>
      <c r="Y3033" s="124"/>
      <c r="Z3033" s="124"/>
    </row>
    <row r="3034">
      <c r="A3034" s="124"/>
      <c r="B3034" s="124"/>
      <c r="C3034" s="147"/>
      <c r="D3034" s="124"/>
      <c r="E3034" s="124"/>
      <c r="F3034" s="124"/>
      <c r="G3034" s="124"/>
      <c r="H3034" s="124"/>
      <c r="I3034" s="124"/>
      <c r="J3034" s="124"/>
      <c r="K3034" s="124"/>
      <c r="L3034" s="124"/>
      <c r="M3034" s="124"/>
      <c r="N3034" s="124"/>
      <c r="O3034" s="124"/>
      <c r="P3034" s="124"/>
      <c r="Q3034" s="124"/>
      <c r="R3034" s="124"/>
      <c r="S3034" s="124"/>
      <c r="T3034" s="124"/>
      <c r="U3034" s="124"/>
      <c r="V3034" s="124"/>
      <c r="W3034" s="124"/>
      <c r="X3034" s="124"/>
      <c r="Y3034" s="124"/>
      <c r="Z3034" s="124"/>
    </row>
    <row r="3035">
      <c r="A3035" s="124"/>
      <c r="B3035" s="124"/>
      <c r="C3035" s="147"/>
      <c r="D3035" s="124"/>
      <c r="E3035" s="124"/>
      <c r="F3035" s="124"/>
      <c r="G3035" s="124"/>
      <c r="H3035" s="124"/>
      <c r="I3035" s="124"/>
      <c r="J3035" s="124"/>
      <c r="K3035" s="124"/>
      <c r="L3035" s="124"/>
      <c r="M3035" s="124"/>
      <c r="N3035" s="124"/>
      <c r="O3035" s="124"/>
      <c r="P3035" s="124"/>
      <c r="Q3035" s="124"/>
      <c r="R3035" s="124"/>
      <c r="S3035" s="124"/>
      <c r="T3035" s="124"/>
      <c r="U3035" s="124"/>
      <c r="V3035" s="124"/>
      <c r="W3035" s="124"/>
      <c r="X3035" s="124"/>
      <c r="Y3035" s="124"/>
      <c r="Z3035" s="124"/>
    </row>
    <row r="3036">
      <c r="A3036" s="124"/>
      <c r="B3036" s="124"/>
      <c r="C3036" s="147"/>
      <c r="D3036" s="124"/>
      <c r="E3036" s="124"/>
      <c r="F3036" s="124"/>
      <c r="G3036" s="124"/>
      <c r="H3036" s="124"/>
      <c r="I3036" s="124"/>
      <c r="J3036" s="124"/>
      <c r="K3036" s="124"/>
      <c r="L3036" s="124"/>
      <c r="M3036" s="124"/>
      <c r="N3036" s="124"/>
      <c r="O3036" s="124"/>
      <c r="P3036" s="124"/>
      <c r="Q3036" s="124"/>
      <c r="R3036" s="124"/>
      <c r="S3036" s="124"/>
      <c r="T3036" s="124"/>
      <c r="U3036" s="124"/>
      <c r="V3036" s="124"/>
      <c r="W3036" s="124"/>
      <c r="X3036" s="124"/>
      <c r="Y3036" s="124"/>
      <c r="Z3036" s="124"/>
    </row>
    <row r="3037">
      <c r="A3037" s="124"/>
      <c r="B3037" s="124"/>
      <c r="C3037" s="147"/>
      <c r="D3037" s="124"/>
      <c r="E3037" s="124"/>
      <c r="F3037" s="124"/>
      <c r="G3037" s="124"/>
      <c r="H3037" s="124"/>
      <c r="I3037" s="124"/>
      <c r="J3037" s="124"/>
      <c r="K3037" s="124"/>
      <c r="L3037" s="124"/>
      <c r="M3037" s="124"/>
      <c r="N3037" s="124"/>
      <c r="O3037" s="124"/>
      <c r="P3037" s="124"/>
      <c r="Q3037" s="124"/>
      <c r="R3037" s="124"/>
      <c r="S3037" s="124"/>
      <c r="T3037" s="124"/>
      <c r="U3037" s="124"/>
      <c r="V3037" s="124"/>
      <c r="W3037" s="124"/>
      <c r="X3037" s="124"/>
      <c r="Y3037" s="124"/>
      <c r="Z3037" s="124"/>
    </row>
    <row r="3038">
      <c r="A3038" s="124"/>
      <c r="B3038" s="124"/>
      <c r="C3038" s="147"/>
      <c r="D3038" s="124"/>
      <c r="E3038" s="124"/>
      <c r="F3038" s="124"/>
      <c r="G3038" s="124"/>
      <c r="H3038" s="124"/>
      <c r="I3038" s="124"/>
      <c r="J3038" s="124"/>
      <c r="K3038" s="124"/>
      <c r="L3038" s="124"/>
      <c r="M3038" s="124"/>
      <c r="N3038" s="124"/>
      <c r="O3038" s="124"/>
      <c r="P3038" s="124"/>
      <c r="Q3038" s="124"/>
      <c r="R3038" s="124"/>
      <c r="S3038" s="124"/>
      <c r="T3038" s="124"/>
      <c r="U3038" s="124"/>
      <c r="V3038" s="124"/>
      <c r="W3038" s="124"/>
      <c r="X3038" s="124"/>
      <c r="Y3038" s="124"/>
      <c r="Z3038" s="124"/>
    </row>
    <row r="3039">
      <c r="A3039" s="124"/>
      <c r="B3039" s="124"/>
      <c r="C3039" s="147"/>
      <c r="D3039" s="124"/>
      <c r="E3039" s="124"/>
      <c r="F3039" s="124"/>
      <c r="G3039" s="124"/>
      <c r="H3039" s="124"/>
      <c r="I3039" s="124"/>
      <c r="J3039" s="124"/>
      <c r="K3039" s="124"/>
      <c r="L3039" s="124"/>
      <c r="M3039" s="124"/>
      <c r="N3039" s="124"/>
      <c r="O3039" s="124"/>
      <c r="P3039" s="124"/>
      <c r="Q3039" s="124"/>
      <c r="R3039" s="124"/>
      <c r="S3039" s="124"/>
      <c r="T3039" s="124"/>
      <c r="U3039" s="124"/>
      <c r="V3039" s="124"/>
      <c r="W3039" s="124"/>
      <c r="X3039" s="124"/>
      <c r="Y3039" s="124"/>
      <c r="Z3039" s="124"/>
    </row>
    <row r="3040">
      <c r="A3040" s="124"/>
      <c r="B3040" s="124"/>
      <c r="C3040" s="147"/>
      <c r="D3040" s="124"/>
      <c r="E3040" s="124"/>
      <c r="F3040" s="124"/>
      <c r="G3040" s="124"/>
      <c r="H3040" s="124"/>
      <c r="I3040" s="124"/>
      <c r="J3040" s="124"/>
      <c r="K3040" s="124"/>
      <c r="L3040" s="124"/>
      <c r="M3040" s="124"/>
      <c r="N3040" s="124"/>
      <c r="O3040" s="124"/>
      <c r="P3040" s="124"/>
      <c r="Q3040" s="124"/>
      <c r="R3040" s="124"/>
      <c r="S3040" s="124"/>
      <c r="T3040" s="124"/>
      <c r="U3040" s="124"/>
      <c r="V3040" s="124"/>
      <c r="W3040" s="124"/>
      <c r="X3040" s="124"/>
      <c r="Y3040" s="124"/>
      <c r="Z3040" s="124"/>
    </row>
    <row r="3041">
      <c r="A3041" s="124"/>
      <c r="B3041" s="124"/>
      <c r="C3041" s="147"/>
      <c r="D3041" s="124"/>
      <c r="E3041" s="124"/>
      <c r="F3041" s="124"/>
      <c r="G3041" s="124"/>
      <c r="H3041" s="124"/>
      <c r="I3041" s="124"/>
      <c r="J3041" s="124"/>
      <c r="K3041" s="124"/>
      <c r="L3041" s="124"/>
      <c r="M3041" s="124"/>
      <c r="N3041" s="124"/>
      <c r="O3041" s="124"/>
      <c r="P3041" s="124"/>
      <c r="Q3041" s="124"/>
      <c r="R3041" s="124"/>
      <c r="S3041" s="124"/>
      <c r="T3041" s="124"/>
      <c r="U3041" s="124"/>
      <c r="V3041" s="124"/>
      <c r="W3041" s="124"/>
      <c r="X3041" s="124"/>
      <c r="Y3041" s="124"/>
      <c r="Z3041" s="124"/>
    </row>
    <row r="3042">
      <c r="A3042" s="124"/>
      <c r="B3042" s="124"/>
      <c r="C3042" s="147"/>
      <c r="D3042" s="124"/>
      <c r="E3042" s="124"/>
      <c r="F3042" s="124"/>
      <c r="G3042" s="124"/>
      <c r="H3042" s="124"/>
      <c r="I3042" s="124"/>
      <c r="J3042" s="124"/>
      <c r="K3042" s="124"/>
      <c r="L3042" s="124"/>
      <c r="M3042" s="124"/>
      <c r="N3042" s="124"/>
      <c r="O3042" s="124"/>
      <c r="P3042" s="124"/>
      <c r="Q3042" s="124"/>
      <c r="R3042" s="124"/>
      <c r="S3042" s="124"/>
      <c r="T3042" s="124"/>
      <c r="U3042" s="124"/>
      <c r="V3042" s="124"/>
      <c r="W3042" s="124"/>
      <c r="X3042" s="124"/>
      <c r="Y3042" s="124"/>
      <c r="Z3042" s="124"/>
    </row>
    <row r="3043">
      <c r="A3043" s="124"/>
      <c r="B3043" s="124"/>
      <c r="C3043" s="147"/>
      <c r="D3043" s="124"/>
      <c r="E3043" s="124"/>
      <c r="F3043" s="124"/>
      <c r="G3043" s="124"/>
      <c r="H3043" s="124"/>
      <c r="I3043" s="124"/>
      <c r="J3043" s="124"/>
      <c r="K3043" s="124"/>
      <c r="L3043" s="124"/>
      <c r="M3043" s="124"/>
      <c r="N3043" s="124"/>
      <c r="O3043" s="124"/>
      <c r="P3043" s="124"/>
      <c r="Q3043" s="124"/>
      <c r="R3043" s="124"/>
      <c r="S3043" s="124"/>
      <c r="T3043" s="124"/>
      <c r="U3043" s="124"/>
      <c r="V3043" s="124"/>
      <c r="W3043" s="124"/>
      <c r="X3043" s="124"/>
      <c r="Y3043" s="124"/>
      <c r="Z3043" s="124"/>
    </row>
    <row r="3044">
      <c r="A3044" s="124"/>
      <c r="B3044" s="124"/>
      <c r="C3044" s="147"/>
      <c r="D3044" s="124"/>
      <c r="E3044" s="124"/>
      <c r="F3044" s="124"/>
      <c r="G3044" s="124"/>
      <c r="H3044" s="124"/>
      <c r="I3044" s="124"/>
      <c r="J3044" s="124"/>
      <c r="K3044" s="124"/>
      <c r="L3044" s="124"/>
      <c r="M3044" s="124"/>
      <c r="N3044" s="124"/>
      <c r="O3044" s="124"/>
      <c r="P3044" s="124"/>
      <c r="Q3044" s="124"/>
      <c r="R3044" s="124"/>
      <c r="S3044" s="124"/>
      <c r="T3044" s="124"/>
      <c r="U3044" s="124"/>
      <c r="V3044" s="124"/>
      <c r="W3044" s="124"/>
      <c r="X3044" s="124"/>
      <c r="Y3044" s="124"/>
      <c r="Z3044" s="124"/>
    </row>
    <row r="3045">
      <c r="A3045" s="124"/>
      <c r="B3045" s="124"/>
      <c r="C3045" s="147"/>
      <c r="D3045" s="124"/>
      <c r="E3045" s="124"/>
      <c r="F3045" s="124"/>
      <c r="G3045" s="124"/>
      <c r="H3045" s="124"/>
      <c r="I3045" s="124"/>
      <c r="J3045" s="124"/>
      <c r="K3045" s="124"/>
      <c r="L3045" s="124"/>
      <c r="M3045" s="124"/>
      <c r="N3045" s="124"/>
      <c r="O3045" s="124"/>
      <c r="P3045" s="124"/>
      <c r="Q3045" s="124"/>
      <c r="R3045" s="124"/>
      <c r="S3045" s="124"/>
      <c r="T3045" s="124"/>
      <c r="U3045" s="124"/>
      <c r="V3045" s="124"/>
      <c r="W3045" s="124"/>
      <c r="X3045" s="124"/>
      <c r="Y3045" s="124"/>
      <c r="Z3045" s="124"/>
    </row>
    <row r="3046">
      <c r="A3046" s="124"/>
      <c r="B3046" s="124"/>
      <c r="C3046" s="147"/>
      <c r="D3046" s="124"/>
      <c r="E3046" s="124"/>
      <c r="F3046" s="124"/>
      <c r="G3046" s="124"/>
      <c r="H3046" s="124"/>
      <c r="I3046" s="124"/>
      <c r="J3046" s="124"/>
      <c r="K3046" s="124"/>
      <c r="L3046" s="124"/>
      <c r="M3046" s="124"/>
      <c r="N3046" s="124"/>
      <c r="O3046" s="124"/>
      <c r="P3046" s="124"/>
      <c r="Q3046" s="124"/>
      <c r="R3046" s="124"/>
      <c r="S3046" s="124"/>
      <c r="T3046" s="124"/>
      <c r="U3046" s="124"/>
      <c r="V3046" s="124"/>
      <c r="W3046" s="124"/>
      <c r="X3046" s="124"/>
      <c r="Y3046" s="124"/>
      <c r="Z3046" s="124"/>
    </row>
    <row r="3047">
      <c r="A3047" s="124"/>
      <c r="B3047" s="124"/>
      <c r="C3047" s="147"/>
      <c r="D3047" s="124"/>
      <c r="E3047" s="124"/>
      <c r="F3047" s="124"/>
      <c r="G3047" s="124"/>
      <c r="H3047" s="124"/>
      <c r="I3047" s="124"/>
      <c r="J3047" s="124"/>
      <c r="K3047" s="124"/>
      <c r="L3047" s="124"/>
      <c r="M3047" s="124"/>
      <c r="N3047" s="124"/>
      <c r="O3047" s="124"/>
      <c r="P3047" s="124"/>
      <c r="Q3047" s="124"/>
      <c r="R3047" s="124"/>
      <c r="S3047" s="124"/>
      <c r="T3047" s="124"/>
      <c r="U3047" s="124"/>
      <c r="V3047" s="124"/>
      <c r="W3047" s="124"/>
      <c r="X3047" s="124"/>
      <c r="Y3047" s="124"/>
      <c r="Z3047" s="124"/>
    </row>
    <row r="3048">
      <c r="A3048" s="124"/>
      <c r="B3048" s="124"/>
      <c r="C3048" s="147"/>
      <c r="D3048" s="124"/>
      <c r="E3048" s="124"/>
      <c r="F3048" s="124"/>
      <c r="G3048" s="124"/>
      <c r="H3048" s="124"/>
      <c r="I3048" s="124"/>
      <c r="J3048" s="124"/>
      <c r="K3048" s="124"/>
      <c r="L3048" s="124"/>
      <c r="M3048" s="124"/>
      <c r="N3048" s="124"/>
      <c r="O3048" s="124"/>
      <c r="P3048" s="124"/>
      <c r="Q3048" s="124"/>
      <c r="R3048" s="124"/>
      <c r="S3048" s="124"/>
      <c r="T3048" s="124"/>
      <c r="U3048" s="124"/>
      <c r="V3048" s="124"/>
      <c r="W3048" s="124"/>
      <c r="X3048" s="124"/>
      <c r="Y3048" s="124"/>
      <c r="Z3048" s="124"/>
    </row>
    <row r="3049">
      <c r="A3049" s="124"/>
      <c r="B3049" s="124"/>
      <c r="C3049" s="147"/>
      <c r="D3049" s="124"/>
      <c r="E3049" s="124"/>
      <c r="F3049" s="124"/>
      <c r="G3049" s="124"/>
      <c r="H3049" s="124"/>
      <c r="I3049" s="124"/>
      <c r="J3049" s="124"/>
      <c r="K3049" s="124"/>
      <c r="L3049" s="124"/>
      <c r="M3049" s="124"/>
      <c r="N3049" s="124"/>
      <c r="O3049" s="124"/>
      <c r="P3049" s="124"/>
      <c r="Q3049" s="124"/>
      <c r="R3049" s="124"/>
      <c r="S3049" s="124"/>
      <c r="T3049" s="124"/>
      <c r="U3049" s="124"/>
      <c r="V3049" s="124"/>
      <c r="W3049" s="124"/>
      <c r="X3049" s="124"/>
      <c r="Y3049" s="124"/>
      <c r="Z3049" s="124"/>
    </row>
    <row r="3050">
      <c r="A3050" s="124"/>
      <c r="B3050" s="124"/>
      <c r="C3050" s="147"/>
      <c r="D3050" s="124"/>
      <c r="E3050" s="124"/>
      <c r="F3050" s="124"/>
      <c r="G3050" s="124"/>
      <c r="H3050" s="124"/>
      <c r="I3050" s="124"/>
      <c r="J3050" s="124"/>
      <c r="K3050" s="124"/>
      <c r="L3050" s="124"/>
      <c r="M3050" s="124"/>
      <c r="N3050" s="124"/>
      <c r="O3050" s="124"/>
      <c r="P3050" s="124"/>
      <c r="Q3050" s="124"/>
      <c r="R3050" s="124"/>
      <c r="S3050" s="124"/>
      <c r="T3050" s="124"/>
      <c r="U3050" s="124"/>
      <c r="V3050" s="124"/>
      <c r="W3050" s="124"/>
      <c r="X3050" s="124"/>
      <c r="Y3050" s="124"/>
      <c r="Z3050" s="124"/>
    </row>
    <row r="3051">
      <c r="A3051" s="124"/>
      <c r="B3051" s="124"/>
      <c r="C3051" s="147"/>
      <c r="D3051" s="124"/>
      <c r="E3051" s="124"/>
      <c r="F3051" s="124"/>
      <c r="G3051" s="124"/>
      <c r="H3051" s="124"/>
      <c r="I3051" s="124"/>
      <c r="J3051" s="124"/>
      <c r="K3051" s="124"/>
      <c r="L3051" s="124"/>
      <c r="M3051" s="124"/>
      <c r="N3051" s="124"/>
      <c r="O3051" s="124"/>
      <c r="P3051" s="124"/>
      <c r="Q3051" s="124"/>
      <c r="R3051" s="124"/>
      <c r="S3051" s="124"/>
      <c r="T3051" s="124"/>
      <c r="U3051" s="124"/>
      <c r="V3051" s="124"/>
      <c r="W3051" s="124"/>
      <c r="X3051" s="124"/>
      <c r="Y3051" s="124"/>
      <c r="Z3051" s="124"/>
    </row>
    <row r="3052">
      <c r="A3052" s="124"/>
      <c r="B3052" s="124"/>
      <c r="C3052" s="147"/>
      <c r="D3052" s="124"/>
      <c r="E3052" s="124"/>
      <c r="F3052" s="124"/>
      <c r="G3052" s="124"/>
      <c r="H3052" s="124"/>
      <c r="I3052" s="124"/>
      <c r="J3052" s="124"/>
      <c r="K3052" s="124"/>
      <c r="L3052" s="124"/>
      <c r="M3052" s="124"/>
      <c r="N3052" s="124"/>
      <c r="O3052" s="124"/>
      <c r="P3052" s="124"/>
      <c r="Q3052" s="124"/>
      <c r="R3052" s="124"/>
      <c r="S3052" s="124"/>
      <c r="T3052" s="124"/>
      <c r="U3052" s="124"/>
      <c r="V3052" s="124"/>
      <c r="W3052" s="124"/>
      <c r="X3052" s="124"/>
      <c r="Y3052" s="124"/>
      <c r="Z3052" s="124"/>
    </row>
    <row r="3053">
      <c r="A3053" s="124"/>
      <c r="B3053" s="124"/>
      <c r="C3053" s="147"/>
      <c r="D3053" s="124"/>
      <c r="E3053" s="124"/>
      <c r="F3053" s="124"/>
      <c r="G3053" s="124"/>
      <c r="H3053" s="124"/>
      <c r="I3053" s="124"/>
      <c r="J3053" s="124"/>
      <c r="K3053" s="124"/>
      <c r="L3053" s="124"/>
      <c r="M3053" s="124"/>
      <c r="N3053" s="124"/>
      <c r="O3053" s="124"/>
      <c r="P3053" s="124"/>
      <c r="Q3053" s="124"/>
      <c r="R3053" s="124"/>
      <c r="S3053" s="124"/>
      <c r="T3053" s="124"/>
      <c r="U3053" s="124"/>
      <c r="V3053" s="124"/>
      <c r="W3053" s="124"/>
      <c r="X3053" s="124"/>
      <c r="Y3053" s="124"/>
      <c r="Z3053" s="124"/>
    </row>
    <row r="3054">
      <c r="A3054" s="124"/>
      <c r="B3054" s="124"/>
      <c r="C3054" s="147"/>
      <c r="D3054" s="124"/>
      <c r="E3054" s="124"/>
      <c r="F3054" s="124"/>
      <c r="G3054" s="124"/>
      <c r="H3054" s="124"/>
      <c r="I3054" s="124"/>
      <c r="J3054" s="124"/>
      <c r="K3054" s="124"/>
      <c r="L3054" s="124"/>
      <c r="M3054" s="124"/>
      <c r="N3054" s="124"/>
      <c r="O3054" s="124"/>
      <c r="P3054" s="124"/>
      <c r="Q3054" s="124"/>
      <c r="R3054" s="124"/>
      <c r="S3054" s="124"/>
      <c r="T3054" s="124"/>
      <c r="U3054" s="124"/>
      <c r="V3054" s="124"/>
      <c r="W3054" s="124"/>
      <c r="X3054" s="124"/>
      <c r="Y3054" s="124"/>
      <c r="Z3054" s="124"/>
    </row>
    <row r="3055">
      <c r="A3055" s="124"/>
      <c r="B3055" s="124"/>
      <c r="C3055" s="147"/>
      <c r="D3055" s="124"/>
      <c r="E3055" s="124"/>
      <c r="F3055" s="124"/>
      <c r="G3055" s="124"/>
      <c r="H3055" s="124"/>
      <c r="I3055" s="124"/>
      <c r="J3055" s="124"/>
      <c r="K3055" s="124"/>
      <c r="L3055" s="124"/>
      <c r="M3055" s="124"/>
      <c r="N3055" s="124"/>
      <c r="O3055" s="124"/>
      <c r="P3055" s="124"/>
      <c r="Q3055" s="124"/>
      <c r="R3055" s="124"/>
      <c r="S3055" s="124"/>
      <c r="T3055" s="124"/>
      <c r="U3055" s="124"/>
      <c r="V3055" s="124"/>
      <c r="W3055" s="124"/>
      <c r="X3055" s="124"/>
      <c r="Y3055" s="124"/>
      <c r="Z3055" s="124"/>
    </row>
    <row r="3056">
      <c r="A3056" s="124"/>
      <c r="B3056" s="124"/>
      <c r="C3056" s="147"/>
      <c r="D3056" s="124"/>
      <c r="E3056" s="124"/>
      <c r="F3056" s="124"/>
      <c r="G3056" s="124"/>
      <c r="H3056" s="124"/>
      <c r="I3056" s="124"/>
      <c r="J3056" s="124"/>
      <c r="K3056" s="124"/>
      <c r="L3056" s="124"/>
      <c r="M3056" s="124"/>
      <c r="N3056" s="124"/>
      <c r="O3056" s="124"/>
      <c r="P3056" s="124"/>
      <c r="Q3056" s="124"/>
      <c r="R3056" s="124"/>
      <c r="S3056" s="124"/>
      <c r="T3056" s="124"/>
      <c r="U3056" s="124"/>
      <c r="V3056" s="124"/>
      <c r="W3056" s="124"/>
      <c r="X3056" s="124"/>
      <c r="Y3056" s="124"/>
      <c r="Z3056" s="124"/>
    </row>
    <row r="3057">
      <c r="A3057" s="124"/>
      <c r="B3057" s="124"/>
      <c r="C3057" s="147"/>
      <c r="D3057" s="124"/>
      <c r="E3057" s="124"/>
      <c r="F3057" s="124"/>
      <c r="G3057" s="124"/>
      <c r="H3057" s="124"/>
      <c r="I3057" s="124"/>
      <c r="J3057" s="124"/>
      <c r="K3057" s="124"/>
      <c r="L3057" s="124"/>
      <c r="M3057" s="124"/>
      <c r="N3057" s="124"/>
      <c r="O3057" s="124"/>
      <c r="P3057" s="124"/>
      <c r="Q3057" s="124"/>
      <c r="R3057" s="124"/>
      <c r="S3057" s="124"/>
      <c r="T3057" s="124"/>
      <c r="U3057" s="124"/>
      <c r="V3057" s="124"/>
      <c r="W3057" s="124"/>
      <c r="X3057" s="124"/>
      <c r="Y3057" s="124"/>
      <c r="Z3057" s="124"/>
    </row>
    <row r="3058">
      <c r="A3058" s="124"/>
      <c r="B3058" s="124"/>
      <c r="C3058" s="147"/>
      <c r="D3058" s="124"/>
      <c r="E3058" s="124"/>
      <c r="F3058" s="124"/>
      <c r="G3058" s="124"/>
      <c r="H3058" s="124"/>
      <c r="I3058" s="124"/>
      <c r="J3058" s="124"/>
      <c r="K3058" s="124"/>
      <c r="L3058" s="124"/>
      <c r="M3058" s="124"/>
      <c r="N3058" s="124"/>
      <c r="O3058" s="124"/>
      <c r="P3058" s="124"/>
      <c r="Q3058" s="124"/>
      <c r="R3058" s="124"/>
      <c r="S3058" s="124"/>
      <c r="T3058" s="124"/>
      <c r="U3058" s="124"/>
      <c r="V3058" s="124"/>
      <c r="W3058" s="124"/>
      <c r="X3058" s="124"/>
      <c r="Y3058" s="124"/>
      <c r="Z3058" s="124"/>
    </row>
    <row r="3059">
      <c r="A3059" s="124"/>
      <c r="B3059" s="124"/>
      <c r="C3059" s="147"/>
      <c r="D3059" s="124"/>
      <c r="E3059" s="124"/>
      <c r="F3059" s="124"/>
      <c r="G3059" s="124"/>
      <c r="H3059" s="124"/>
      <c r="I3059" s="124"/>
      <c r="J3059" s="124"/>
      <c r="K3059" s="124"/>
      <c r="L3059" s="124"/>
      <c r="M3059" s="124"/>
      <c r="N3059" s="124"/>
      <c r="O3059" s="124"/>
      <c r="P3059" s="124"/>
      <c r="Q3059" s="124"/>
      <c r="R3059" s="124"/>
      <c r="S3059" s="124"/>
      <c r="T3059" s="124"/>
      <c r="U3059" s="124"/>
      <c r="V3059" s="124"/>
      <c r="W3059" s="124"/>
      <c r="X3059" s="124"/>
      <c r="Y3059" s="124"/>
      <c r="Z3059" s="124"/>
    </row>
    <row r="3060">
      <c r="A3060" s="124"/>
      <c r="B3060" s="124"/>
      <c r="C3060" s="147"/>
      <c r="D3060" s="124"/>
      <c r="E3060" s="124"/>
      <c r="F3060" s="124"/>
      <c r="G3060" s="124"/>
      <c r="H3060" s="124"/>
      <c r="I3060" s="124"/>
      <c r="J3060" s="124"/>
      <c r="K3060" s="124"/>
      <c r="L3060" s="124"/>
      <c r="M3060" s="124"/>
      <c r="N3060" s="124"/>
      <c r="O3060" s="124"/>
      <c r="P3060" s="124"/>
      <c r="Q3060" s="124"/>
      <c r="R3060" s="124"/>
      <c r="S3060" s="124"/>
      <c r="T3060" s="124"/>
      <c r="U3060" s="124"/>
      <c r="V3060" s="124"/>
      <c r="W3060" s="124"/>
      <c r="X3060" s="124"/>
      <c r="Y3060" s="124"/>
      <c r="Z3060" s="124"/>
    </row>
    <row r="3061">
      <c r="A3061" s="124"/>
      <c r="B3061" s="124"/>
      <c r="C3061" s="147"/>
      <c r="D3061" s="124"/>
      <c r="E3061" s="124"/>
      <c r="F3061" s="124"/>
      <c r="G3061" s="124"/>
      <c r="H3061" s="124"/>
      <c r="I3061" s="124"/>
      <c r="J3061" s="124"/>
      <c r="K3061" s="124"/>
      <c r="L3061" s="124"/>
      <c r="M3061" s="124"/>
      <c r="N3061" s="124"/>
      <c r="O3061" s="124"/>
      <c r="P3061" s="124"/>
      <c r="Q3061" s="124"/>
      <c r="R3061" s="124"/>
      <c r="S3061" s="124"/>
      <c r="T3061" s="124"/>
      <c r="U3061" s="124"/>
      <c r="V3061" s="124"/>
      <c r="W3061" s="124"/>
      <c r="X3061" s="124"/>
      <c r="Y3061" s="124"/>
      <c r="Z3061" s="124"/>
    </row>
    <row r="3062">
      <c r="A3062" s="124"/>
      <c r="B3062" s="124"/>
      <c r="C3062" s="147"/>
      <c r="D3062" s="124"/>
      <c r="E3062" s="124"/>
      <c r="F3062" s="124"/>
      <c r="G3062" s="124"/>
      <c r="H3062" s="124"/>
      <c r="I3062" s="124"/>
      <c r="J3062" s="124"/>
      <c r="K3062" s="124"/>
      <c r="L3062" s="124"/>
      <c r="M3062" s="124"/>
      <c r="N3062" s="124"/>
      <c r="O3062" s="124"/>
      <c r="P3062" s="124"/>
      <c r="Q3062" s="124"/>
      <c r="R3062" s="124"/>
      <c r="S3062" s="124"/>
      <c r="T3062" s="124"/>
      <c r="U3062" s="124"/>
      <c r="V3062" s="124"/>
      <c r="W3062" s="124"/>
      <c r="X3062" s="124"/>
      <c r="Y3062" s="124"/>
      <c r="Z3062" s="124"/>
    </row>
    <row r="3063">
      <c r="A3063" s="124"/>
      <c r="B3063" s="124"/>
      <c r="C3063" s="147"/>
      <c r="D3063" s="124"/>
      <c r="E3063" s="124"/>
      <c r="F3063" s="124"/>
      <c r="G3063" s="124"/>
      <c r="H3063" s="124"/>
      <c r="I3063" s="124"/>
      <c r="J3063" s="124"/>
      <c r="K3063" s="124"/>
      <c r="L3063" s="124"/>
      <c r="M3063" s="124"/>
      <c r="N3063" s="124"/>
      <c r="O3063" s="124"/>
      <c r="P3063" s="124"/>
      <c r="Q3063" s="124"/>
      <c r="R3063" s="124"/>
      <c r="S3063" s="124"/>
      <c r="T3063" s="124"/>
      <c r="U3063" s="124"/>
      <c r="V3063" s="124"/>
      <c r="W3063" s="124"/>
      <c r="X3063" s="124"/>
      <c r="Y3063" s="124"/>
      <c r="Z3063" s="124"/>
    </row>
    <row r="3064">
      <c r="A3064" s="124"/>
      <c r="B3064" s="124"/>
      <c r="C3064" s="147"/>
      <c r="D3064" s="124"/>
      <c r="E3064" s="124"/>
      <c r="F3064" s="124"/>
      <c r="G3064" s="124"/>
      <c r="H3064" s="124"/>
      <c r="I3064" s="124"/>
      <c r="J3064" s="124"/>
      <c r="K3064" s="124"/>
      <c r="L3064" s="124"/>
      <c r="M3064" s="124"/>
      <c r="N3064" s="124"/>
      <c r="O3064" s="124"/>
      <c r="P3064" s="124"/>
      <c r="Q3064" s="124"/>
      <c r="R3064" s="124"/>
      <c r="S3064" s="124"/>
      <c r="T3064" s="124"/>
      <c r="U3064" s="124"/>
      <c r="V3064" s="124"/>
      <c r="W3064" s="124"/>
      <c r="X3064" s="124"/>
      <c r="Y3064" s="124"/>
      <c r="Z3064" s="124"/>
    </row>
    <row r="3065">
      <c r="A3065" s="124"/>
      <c r="B3065" s="124"/>
      <c r="C3065" s="147"/>
      <c r="D3065" s="124"/>
      <c r="E3065" s="124"/>
      <c r="F3065" s="124"/>
      <c r="G3065" s="124"/>
      <c r="H3065" s="124"/>
      <c r="I3065" s="124"/>
      <c r="J3065" s="124"/>
      <c r="K3065" s="124"/>
      <c r="L3065" s="124"/>
      <c r="M3065" s="124"/>
      <c r="N3065" s="124"/>
      <c r="O3065" s="124"/>
      <c r="P3065" s="124"/>
      <c r="Q3065" s="124"/>
      <c r="R3065" s="124"/>
      <c r="S3065" s="124"/>
      <c r="T3065" s="124"/>
      <c r="U3065" s="124"/>
      <c r="V3065" s="124"/>
      <c r="W3065" s="124"/>
      <c r="X3065" s="124"/>
      <c r="Y3065" s="124"/>
      <c r="Z3065" s="124"/>
    </row>
    <row r="3066">
      <c r="A3066" s="124"/>
      <c r="B3066" s="124"/>
      <c r="C3066" s="147"/>
      <c r="D3066" s="124"/>
      <c r="E3066" s="124"/>
      <c r="F3066" s="124"/>
      <c r="G3066" s="124"/>
      <c r="H3066" s="124"/>
      <c r="I3066" s="124"/>
      <c r="J3066" s="124"/>
      <c r="K3066" s="124"/>
      <c r="L3066" s="124"/>
      <c r="M3066" s="124"/>
      <c r="N3066" s="124"/>
      <c r="O3066" s="124"/>
      <c r="P3066" s="124"/>
      <c r="Q3066" s="124"/>
      <c r="R3066" s="124"/>
      <c r="S3066" s="124"/>
      <c r="T3066" s="124"/>
      <c r="U3066" s="124"/>
      <c r="V3066" s="124"/>
      <c r="W3066" s="124"/>
      <c r="X3066" s="124"/>
      <c r="Y3066" s="124"/>
      <c r="Z3066" s="124"/>
    </row>
    <row r="3067">
      <c r="A3067" s="124"/>
      <c r="B3067" s="124"/>
      <c r="C3067" s="147"/>
      <c r="D3067" s="124"/>
      <c r="E3067" s="124"/>
      <c r="F3067" s="124"/>
      <c r="G3067" s="124"/>
      <c r="H3067" s="124"/>
      <c r="I3067" s="124"/>
      <c r="J3067" s="124"/>
      <c r="K3067" s="124"/>
      <c r="L3067" s="124"/>
      <c r="M3067" s="124"/>
      <c r="N3067" s="124"/>
      <c r="O3067" s="124"/>
      <c r="P3067" s="124"/>
      <c r="Q3067" s="124"/>
      <c r="R3067" s="124"/>
      <c r="S3067" s="124"/>
      <c r="T3067" s="124"/>
      <c r="U3067" s="124"/>
      <c r="V3067" s="124"/>
      <c r="W3067" s="124"/>
      <c r="X3067" s="124"/>
      <c r="Y3067" s="124"/>
      <c r="Z3067" s="124"/>
    </row>
    <row r="3068">
      <c r="A3068" s="124"/>
      <c r="B3068" s="124"/>
      <c r="C3068" s="147"/>
      <c r="D3068" s="124"/>
      <c r="E3068" s="124"/>
      <c r="F3068" s="124"/>
      <c r="G3068" s="124"/>
      <c r="H3068" s="124"/>
      <c r="I3068" s="124"/>
      <c r="J3068" s="124"/>
      <c r="K3068" s="124"/>
      <c r="L3068" s="124"/>
      <c r="M3068" s="124"/>
      <c r="N3068" s="124"/>
      <c r="O3068" s="124"/>
      <c r="P3068" s="124"/>
      <c r="Q3068" s="124"/>
      <c r="R3068" s="124"/>
      <c r="S3068" s="124"/>
      <c r="T3068" s="124"/>
      <c r="U3068" s="124"/>
      <c r="V3068" s="124"/>
      <c r="W3068" s="124"/>
      <c r="X3068" s="124"/>
      <c r="Y3068" s="124"/>
      <c r="Z3068" s="124"/>
    </row>
    <row r="3069">
      <c r="A3069" s="124"/>
      <c r="B3069" s="124"/>
      <c r="C3069" s="147"/>
      <c r="D3069" s="124"/>
      <c r="E3069" s="124"/>
      <c r="F3069" s="124"/>
      <c r="G3069" s="124"/>
      <c r="H3069" s="124"/>
      <c r="I3069" s="124"/>
      <c r="J3069" s="124"/>
      <c r="K3069" s="124"/>
      <c r="L3069" s="124"/>
      <c r="M3069" s="124"/>
      <c r="N3069" s="124"/>
      <c r="O3069" s="124"/>
      <c r="P3069" s="124"/>
      <c r="Q3069" s="124"/>
      <c r="R3069" s="124"/>
      <c r="S3069" s="124"/>
      <c r="T3069" s="124"/>
      <c r="U3069" s="124"/>
      <c r="V3069" s="124"/>
      <c r="W3069" s="124"/>
      <c r="X3069" s="124"/>
      <c r="Y3069" s="124"/>
      <c r="Z3069" s="124"/>
    </row>
    <row r="3070">
      <c r="A3070" s="124"/>
      <c r="B3070" s="124"/>
      <c r="C3070" s="147"/>
      <c r="D3070" s="124"/>
      <c r="E3070" s="124"/>
      <c r="F3070" s="124"/>
      <c r="G3070" s="124"/>
      <c r="H3070" s="124"/>
      <c r="I3070" s="124"/>
      <c r="J3070" s="124"/>
      <c r="K3070" s="124"/>
      <c r="L3070" s="124"/>
      <c r="M3070" s="124"/>
      <c r="N3070" s="124"/>
      <c r="O3070" s="124"/>
      <c r="P3070" s="124"/>
      <c r="Q3070" s="124"/>
      <c r="R3070" s="124"/>
      <c r="S3070" s="124"/>
      <c r="T3070" s="124"/>
      <c r="U3070" s="124"/>
      <c r="V3070" s="124"/>
      <c r="W3070" s="124"/>
      <c r="X3070" s="124"/>
      <c r="Y3070" s="124"/>
      <c r="Z3070" s="124"/>
    </row>
    <row r="3071">
      <c r="A3071" s="124"/>
      <c r="B3071" s="124"/>
      <c r="C3071" s="147"/>
      <c r="D3071" s="124"/>
      <c r="E3071" s="124"/>
      <c r="F3071" s="124"/>
      <c r="G3071" s="124"/>
      <c r="H3071" s="124"/>
      <c r="I3071" s="124"/>
      <c r="J3071" s="124"/>
      <c r="K3071" s="124"/>
      <c r="L3071" s="124"/>
      <c r="M3071" s="124"/>
      <c r="N3071" s="124"/>
      <c r="O3071" s="124"/>
      <c r="P3071" s="124"/>
      <c r="Q3071" s="124"/>
      <c r="R3071" s="124"/>
      <c r="S3071" s="124"/>
      <c r="T3071" s="124"/>
      <c r="U3071" s="124"/>
      <c r="V3071" s="124"/>
      <c r="W3071" s="124"/>
      <c r="X3071" s="124"/>
      <c r="Y3071" s="124"/>
      <c r="Z3071" s="124"/>
    </row>
    <row r="3072">
      <c r="A3072" s="124"/>
      <c r="B3072" s="124"/>
      <c r="C3072" s="147"/>
      <c r="D3072" s="124"/>
      <c r="E3072" s="124"/>
      <c r="F3072" s="124"/>
      <c r="G3072" s="124"/>
      <c r="H3072" s="124"/>
      <c r="I3072" s="124"/>
      <c r="J3072" s="124"/>
      <c r="K3072" s="124"/>
      <c r="L3072" s="124"/>
      <c r="M3072" s="124"/>
      <c r="N3072" s="124"/>
      <c r="O3072" s="124"/>
      <c r="P3072" s="124"/>
      <c r="Q3072" s="124"/>
      <c r="R3072" s="124"/>
      <c r="S3072" s="124"/>
      <c r="T3072" s="124"/>
      <c r="U3072" s="124"/>
      <c r="V3072" s="124"/>
      <c r="W3072" s="124"/>
      <c r="X3072" s="124"/>
      <c r="Y3072" s="124"/>
      <c r="Z3072" s="124"/>
    </row>
    <row r="3073">
      <c r="A3073" s="124"/>
      <c r="B3073" s="124"/>
      <c r="C3073" s="147"/>
      <c r="D3073" s="124"/>
      <c r="E3073" s="124"/>
      <c r="F3073" s="124"/>
      <c r="G3073" s="124"/>
      <c r="H3073" s="124"/>
      <c r="I3073" s="124"/>
      <c r="J3073" s="124"/>
      <c r="K3073" s="124"/>
      <c r="L3073" s="124"/>
      <c r="M3073" s="124"/>
      <c r="N3073" s="124"/>
      <c r="O3073" s="124"/>
      <c r="P3073" s="124"/>
      <c r="Q3073" s="124"/>
      <c r="R3073" s="124"/>
      <c r="S3073" s="124"/>
      <c r="T3073" s="124"/>
      <c r="U3073" s="124"/>
      <c r="V3073" s="124"/>
      <c r="W3073" s="124"/>
      <c r="X3073" s="124"/>
      <c r="Y3073" s="124"/>
      <c r="Z3073" s="124"/>
    </row>
    <row r="3074">
      <c r="A3074" s="124"/>
      <c r="B3074" s="124"/>
      <c r="C3074" s="147"/>
      <c r="D3074" s="124"/>
      <c r="E3074" s="124"/>
      <c r="F3074" s="124"/>
      <c r="G3074" s="124"/>
      <c r="H3074" s="124"/>
      <c r="I3074" s="124"/>
      <c r="J3074" s="124"/>
      <c r="K3074" s="124"/>
      <c r="L3074" s="124"/>
      <c r="M3074" s="124"/>
      <c r="N3074" s="124"/>
      <c r="O3074" s="124"/>
      <c r="P3074" s="124"/>
      <c r="Q3074" s="124"/>
      <c r="R3074" s="124"/>
      <c r="S3074" s="124"/>
      <c r="T3074" s="124"/>
      <c r="U3074" s="124"/>
      <c r="V3074" s="124"/>
      <c r="W3074" s="124"/>
      <c r="X3074" s="124"/>
      <c r="Y3074" s="124"/>
      <c r="Z3074" s="124"/>
    </row>
    <row r="3075">
      <c r="A3075" s="124"/>
      <c r="B3075" s="124"/>
      <c r="C3075" s="147"/>
      <c r="D3075" s="124"/>
      <c r="E3075" s="124"/>
      <c r="F3075" s="124"/>
      <c r="G3075" s="124"/>
      <c r="H3075" s="124"/>
      <c r="I3075" s="124"/>
      <c r="J3075" s="124"/>
      <c r="K3075" s="124"/>
      <c r="L3075" s="124"/>
      <c r="M3075" s="124"/>
      <c r="N3075" s="124"/>
      <c r="O3075" s="124"/>
      <c r="P3075" s="124"/>
      <c r="Q3075" s="124"/>
      <c r="R3075" s="124"/>
      <c r="S3075" s="124"/>
      <c r="T3075" s="124"/>
      <c r="U3075" s="124"/>
      <c r="V3075" s="124"/>
      <c r="W3075" s="124"/>
      <c r="X3075" s="124"/>
      <c r="Y3075" s="124"/>
      <c r="Z3075" s="124"/>
    </row>
    <row r="3076">
      <c r="A3076" s="124"/>
      <c r="B3076" s="124"/>
      <c r="C3076" s="147"/>
      <c r="D3076" s="124"/>
      <c r="E3076" s="124"/>
      <c r="F3076" s="124"/>
      <c r="G3076" s="124"/>
      <c r="H3076" s="124"/>
      <c r="I3076" s="124"/>
      <c r="J3076" s="124"/>
      <c r="K3076" s="124"/>
      <c r="L3076" s="124"/>
      <c r="M3076" s="124"/>
      <c r="N3076" s="124"/>
      <c r="O3076" s="124"/>
      <c r="P3076" s="124"/>
      <c r="Q3076" s="124"/>
      <c r="R3076" s="124"/>
      <c r="S3076" s="124"/>
      <c r="T3076" s="124"/>
      <c r="U3076" s="124"/>
      <c r="V3076" s="124"/>
      <c r="W3076" s="124"/>
      <c r="X3076" s="124"/>
      <c r="Y3076" s="124"/>
      <c r="Z3076" s="124"/>
    </row>
    <row r="3077">
      <c r="A3077" s="124"/>
      <c r="B3077" s="124"/>
      <c r="C3077" s="147"/>
      <c r="D3077" s="124"/>
      <c r="E3077" s="124"/>
      <c r="F3077" s="124"/>
      <c r="G3077" s="124"/>
      <c r="H3077" s="124"/>
      <c r="I3077" s="124"/>
      <c r="J3077" s="124"/>
      <c r="K3077" s="124"/>
      <c r="L3077" s="124"/>
      <c r="M3077" s="124"/>
      <c r="N3077" s="124"/>
      <c r="O3077" s="124"/>
      <c r="P3077" s="124"/>
      <c r="Q3077" s="124"/>
      <c r="R3077" s="124"/>
      <c r="S3077" s="124"/>
      <c r="T3077" s="124"/>
      <c r="U3077" s="124"/>
      <c r="V3077" s="124"/>
      <c r="W3077" s="124"/>
      <c r="X3077" s="124"/>
      <c r="Y3077" s="124"/>
      <c r="Z3077" s="124"/>
    </row>
    <row r="3078">
      <c r="A3078" s="124"/>
      <c r="B3078" s="124"/>
      <c r="C3078" s="147"/>
      <c r="D3078" s="124"/>
      <c r="E3078" s="124"/>
      <c r="F3078" s="124"/>
      <c r="G3078" s="124"/>
      <c r="H3078" s="124"/>
      <c r="I3078" s="124"/>
      <c r="J3078" s="124"/>
      <c r="K3078" s="124"/>
      <c r="L3078" s="124"/>
      <c r="M3078" s="124"/>
      <c r="N3078" s="124"/>
      <c r="O3078" s="124"/>
      <c r="P3078" s="124"/>
      <c r="Q3078" s="124"/>
      <c r="R3078" s="124"/>
      <c r="S3078" s="124"/>
      <c r="T3078" s="124"/>
      <c r="U3078" s="124"/>
      <c r="V3078" s="124"/>
      <c r="W3078" s="124"/>
      <c r="X3078" s="124"/>
      <c r="Y3078" s="124"/>
      <c r="Z3078" s="124"/>
    </row>
    <row r="3079">
      <c r="A3079" s="124"/>
      <c r="B3079" s="124"/>
      <c r="C3079" s="147"/>
      <c r="D3079" s="124"/>
      <c r="E3079" s="124"/>
      <c r="F3079" s="124"/>
      <c r="G3079" s="124"/>
      <c r="H3079" s="124"/>
      <c r="I3079" s="124"/>
      <c r="J3079" s="124"/>
      <c r="K3079" s="124"/>
      <c r="L3079" s="124"/>
      <c r="M3079" s="124"/>
      <c r="N3079" s="124"/>
      <c r="O3079" s="124"/>
      <c r="P3079" s="124"/>
      <c r="Q3079" s="124"/>
      <c r="R3079" s="124"/>
      <c r="S3079" s="124"/>
      <c r="T3079" s="124"/>
      <c r="U3079" s="124"/>
      <c r="V3079" s="124"/>
      <c r="W3079" s="124"/>
      <c r="X3079" s="124"/>
      <c r="Y3079" s="124"/>
      <c r="Z3079" s="124"/>
    </row>
    <row r="3080">
      <c r="A3080" s="124"/>
      <c r="B3080" s="124"/>
      <c r="C3080" s="147"/>
      <c r="D3080" s="124"/>
      <c r="E3080" s="124"/>
      <c r="F3080" s="124"/>
      <c r="G3080" s="124"/>
      <c r="H3080" s="124"/>
      <c r="I3080" s="124"/>
      <c r="J3080" s="124"/>
      <c r="K3080" s="124"/>
      <c r="L3080" s="124"/>
      <c r="M3080" s="124"/>
      <c r="N3080" s="124"/>
      <c r="O3080" s="124"/>
      <c r="P3080" s="124"/>
      <c r="Q3080" s="124"/>
      <c r="R3080" s="124"/>
      <c r="S3080" s="124"/>
      <c r="T3080" s="124"/>
      <c r="U3080" s="124"/>
      <c r="V3080" s="124"/>
      <c r="W3080" s="124"/>
      <c r="X3080" s="124"/>
      <c r="Y3080" s="124"/>
      <c r="Z3080" s="124"/>
    </row>
    <row r="3081">
      <c r="A3081" s="124"/>
      <c r="B3081" s="124"/>
      <c r="C3081" s="147"/>
      <c r="D3081" s="124"/>
      <c r="E3081" s="124"/>
      <c r="F3081" s="124"/>
      <c r="G3081" s="124"/>
      <c r="H3081" s="124"/>
      <c r="I3081" s="124"/>
      <c r="J3081" s="124"/>
      <c r="K3081" s="124"/>
      <c r="L3081" s="124"/>
      <c r="M3081" s="124"/>
      <c r="N3081" s="124"/>
      <c r="O3081" s="124"/>
      <c r="P3081" s="124"/>
      <c r="Q3081" s="124"/>
      <c r="R3081" s="124"/>
      <c r="S3081" s="124"/>
      <c r="T3081" s="124"/>
      <c r="U3081" s="124"/>
      <c r="V3081" s="124"/>
      <c r="W3081" s="124"/>
      <c r="X3081" s="124"/>
      <c r="Y3081" s="124"/>
      <c r="Z3081" s="124"/>
    </row>
    <row r="3082">
      <c r="A3082" s="124"/>
      <c r="B3082" s="124"/>
      <c r="C3082" s="147"/>
      <c r="D3082" s="124"/>
      <c r="E3082" s="124"/>
      <c r="F3082" s="124"/>
      <c r="G3082" s="124"/>
      <c r="H3082" s="124"/>
      <c r="I3082" s="124"/>
      <c r="J3082" s="124"/>
      <c r="K3082" s="124"/>
      <c r="L3082" s="124"/>
      <c r="M3082" s="124"/>
      <c r="N3082" s="124"/>
      <c r="O3082" s="124"/>
      <c r="P3082" s="124"/>
      <c r="Q3082" s="124"/>
      <c r="R3082" s="124"/>
      <c r="S3082" s="124"/>
      <c r="T3082" s="124"/>
      <c r="U3082" s="124"/>
      <c r="V3082" s="124"/>
      <c r="W3082" s="124"/>
      <c r="X3082" s="124"/>
      <c r="Y3082" s="124"/>
      <c r="Z3082" s="124"/>
    </row>
    <row r="3083">
      <c r="A3083" s="124"/>
      <c r="B3083" s="124"/>
      <c r="C3083" s="147"/>
      <c r="D3083" s="124"/>
      <c r="E3083" s="124"/>
      <c r="F3083" s="124"/>
      <c r="G3083" s="124"/>
      <c r="H3083" s="124"/>
      <c r="I3083" s="124"/>
      <c r="J3083" s="124"/>
      <c r="K3083" s="124"/>
      <c r="L3083" s="124"/>
      <c r="M3083" s="124"/>
      <c r="N3083" s="124"/>
      <c r="O3083" s="124"/>
      <c r="P3083" s="124"/>
      <c r="Q3083" s="124"/>
      <c r="R3083" s="124"/>
      <c r="S3083" s="124"/>
      <c r="T3083" s="124"/>
      <c r="U3083" s="124"/>
      <c r="V3083" s="124"/>
      <c r="W3083" s="124"/>
      <c r="X3083" s="124"/>
      <c r="Y3083" s="124"/>
      <c r="Z3083" s="124"/>
    </row>
    <row r="3084">
      <c r="A3084" s="124"/>
      <c r="B3084" s="124"/>
      <c r="C3084" s="147"/>
      <c r="D3084" s="124"/>
      <c r="E3084" s="124"/>
      <c r="F3084" s="124"/>
      <c r="G3084" s="124"/>
      <c r="H3084" s="124"/>
      <c r="I3084" s="124"/>
      <c r="J3084" s="124"/>
      <c r="K3084" s="124"/>
      <c r="L3084" s="124"/>
      <c r="M3084" s="124"/>
      <c r="N3084" s="124"/>
      <c r="O3084" s="124"/>
      <c r="P3084" s="124"/>
      <c r="Q3084" s="124"/>
      <c r="R3084" s="124"/>
      <c r="S3084" s="124"/>
      <c r="T3084" s="124"/>
      <c r="U3084" s="124"/>
      <c r="V3084" s="124"/>
      <c r="W3084" s="124"/>
      <c r="X3084" s="124"/>
      <c r="Y3084" s="124"/>
      <c r="Z3084" s="124"/>
    </row>
    <row r="3085">
      <c r="A3085" s="124"/>
      <c r="B3085" s="124"/>
      <c r="C3085" s="147"/>
      <c r="D3085" s="124"/>
      <c r="E3085" s="124"/>
      <c r="F3085" s="124"/>
      <c r="G3085" s="124"/>
      <c r="H3085" s="124"/>
      <c r="I3085" s="124"/>
      <c r="J3085" s="124"/>
      <c r="K3085" s="124"/>
      <c r="L3085" s="124"/>
      <c r="M3085" s="124"/>
      <c r="N3085" s="124"/>
      <c r="O3085" s="124"/>
      <c r="P3085" s="124"/>
      <c r="Q3085" s="124"/>
      <c r="R3085" s="124"/>
      <c r="S3085" s="124"/>
      <c r="T3085" s="124"/>
      <c r="U3085" s="124"/>
      <c r="V3085" s="124"/>
      <c r="W3085" s="124"/>
      <c r="X3085" s="124"/>
      <c r="Y3085" s="124"/>
      <c r="Z3085" s="124"/>
    </row>
    <row r="3086">
      <c r="A3086" s="124"/>
      <c r="B3086" s="124"/>
      <c r="C3086" s="147"/>
      <c r="D3086" s="124"/>
      <c r="E3086" s="124"/>
      <c r="F3086" s="124"/>
      <c r="G3086" s="124"/>
      <c r="H3086" s="124"/>
      <c r="I3086" s="124"/>
      <c r="J3086" s="124"/>
      <c r="K3086" s="124"/>
      <c r="L3086" s="124"/>
      <c r="M3086" s="124"/>
      <c r="N3086" s="124"/>
      <c r="O3086" s="124"/>
      <c r="P3086" s="124"/>
      <c r="Q3086" s="124"/>
      <c r="R3086" s="124"/>
      <c r="S3086" s="124"/>
      <c r="T3086" s="124"/>
      <c r="U3086" s="124"/>
      <c r="V3086" s="124"/>
      <c r="W3086" s="124"/>
      <c r="X3086" s="124"/>
      <c r="Y3086" s="124"/>
      <c r="Z3086" s="124"/>
    </row>
    <row r="3087">
      <c r="A3087" s="124"/>
      <c r="B3087" s="124"/>
      <c r="C3087" s="147"/>
      <c r="D3087" s="124"/>
      <c r="E3087" s="124"/>
      <c r="F3087" s="124"/>
      <c r="G3087" s="124"/>
      <c r="H3087" s="124"/>
      <c r="I3087" s="124"/>
      <c r="J3087" s="124"/>
      <c r="K3087" s="124"/>
      <c r="L3087" s="124"/>
      <c r="M3087" s="124"/>
      <c r="N3087" s="124"/>
      <c r="O3087" s="124"/>
      <c r="P3087" s="124"/>
      <c r="Q3087" s="124"/>
      <c r="R3087" s="124"/>
      <c r="S3087" s="124"/>
      <c r="T3087" s="124"/>
      <c r="U3087" s="124"/>
      <c r="V3087" s="124"/>
      <c r="W3087" s="124"/>
      <c r="X3087" s="124"/>
      <c r="Y3087" s="124"/>
      <c r="Z3087" s="124"/>
    </row>
    <row r="3088">
      <c r="A3088" s="124"/>
      <c r="B3088" s="124"/>
      <c r="C3088" s="147"/>
      <c r="D3088" s="124"/>
      <c r="E3088" s="124"/>
      <c r="F3088" s="124"/>
      <c r="G3088" s="124"/>
      <c r="H3088" s="124"/>
      <c r="I3088" s="124"/>
      <c r="J3088" s="124"/>
      <c r="K3088" s="124"/>
      <c r="L3088" s="124"/>
      <c r="M3088" s="124"/>
      <c r="N3088" s="124"/>
      <c r="O3088" s="124"/>
      <c r="P3088" s="124"/>
      <c r="Q3088" s="124"/>
      <c r="R3088" s="124"/>
      <c r="S3088" s="124"/>
      <c r="T3088" s="124"/>
      <c r="U3088" s="124"/>
      <c r="V3088" s="124"/>
      <c r="W3088" s="124"/>
      <c r="X3088" s="124"/>
      <c r="Y3088" s="124"/>
      <c r="Z3088" s="124"/>
    </row>
    <row r="3089">
      <c r="A3089" s="124"/>
      <c r="B3089" s="124"/>
      <c r="C3089" s="147"/>
      <c r="D3089" s="124"/>
      <c r="E3089" s="124"/>
      <c r="F3089" s="124"/>
      <c r="G3089" s="124"/>
      <c r="H3089" s="124"/>
      <c r="I3089" s="124"/>
      <c r="J3089" s="124"/>
      <c r="K3089" s="124"/>
      <c r="L3089" s="124"/>
      <c r="M3089" s="124"/>
      <c r="N3089" s="124"/>
      <c r="O3089" s="124"/>
      <c r="P3089" s="124"/>
      <c r="Q3089" s="124"/>
      <c r="R3089" s="124"/>
      <c r="S3089" s="124"/>
      <c r="T3089" s="124"/>
      <c r="U3089" s="124"/>
      <c r="V3089" s="124"/>
      <c r="W3089" s="124"/>
      <c r="X3089" s="124"/>
      <c r="Y3089" s="124"/>
      <c r="Z3089" s="124"/>
    </row>
    <row r="3090">
      <c r="A3090" s="124"/>
      <c r="B3090" s="124"/>
      <c r="C3090" s="147"/>
      <c r="D3090" s="124"/>
      <c r="E3090" s="124"/>
      <c r="F3090" s="124"/>
      <c r="G3090" s="124"/>
      <c r="H3090" s="124"/>
      <c r="I3090" s="124"/>
      <c r="J3090" s="124"/>
      <c r="K3090" s="124"/>
      <c r="L3090" s="124"/>
      <c r="M3090" s="124"/>
      <c r="N3090" s="124"/>
      <c r="O3090" s="124"/>
      <c r="P3090" s="124"/>
      <c r="Q3090" s="124"/>
      <c r="R3090" s="124"/>
      <c r="S3090" s="124"/>
      <c r="T3090" s="124"/>
      <c r="U3090" s="124"/>
      <c r="V3090" s="124"/>
      <c r="W3090" s="124"/>
      <c r="X3090" s="124"/>
      <c r="Y3090" s="124"/>
      <c r="Z3090" s="124"/>
    </row>
    <row r="3091">
      <c r="A3091" s="124"/>
      <c r="B3091" s="124"/>
      <c r="C3091" s="147"/>
      <c r="D3091" s="124"/>
      <c r="E3091" s="124"/>
      <c r="F3091" s="124"/>
      <c r="G3091" s="124"/>
      <c r="H3091" s="124"/>
      <c r="I3091" s="124"/>
      <c r="J3091" s="124"/>
      <c r="K3091" s="124"/>
      <c r="L3091" s="124"/>
      <c r="M3091" s="124"/>
      <c r="N3091" s="124"/>
      <c r="O3091" s="124"/>
      <c r="P3091" s="124"/>
      <c r="Q3091" s="124"/>
      <c r="R3091" s="124"/>
      <c r="S3091" s="124"/>
      <c r="T3091" s="124"/>
      <c r="U3091" s="124"/>
      <c r="V3091" s="124"/>
      <c r="W3091" s="124"/>
      <c r="X3091" s="124"/>
      <c r="Y3091" s="124"/>
      <c r="Z3091" s="124"/>
    </row>
    <row r="3092">
      <c r="A3092" s="124"/>
      <c r="B3092" s="124"/>
      <c r="C3092" s="147"/>
      <c r="D3092" s="124"/>
      <c r="E3092" s="124"/>
      <c r="F3092" s="124"/>
      <c r="G3092" s="124"/>
      <c r="H3092" s="124"/>
      <c r="I3092" s="124"/>
      <c r="J3092" s="124"/>
      <c r="K3092" s="124"/>
      <c r="L3092" s="124"/>
      <c r="M3092" s="124"/>
      <c r="N3092" s="124"/>
      <c r="O3092" s="124"/>
      <c r="P3092" s="124"/>
      <c r="Q3092" s="124"/>
      <c r="R3092" s="124"/>
      <c r="S3092" s="124"/>
      <c r="T3092" s="124"/>
      <c r="U3092" s="124"/>
      <c r="V3092" s="124"/>
      <c r="W3092" s="124"/>
      <c r="X3092" s="124"/>
      <c r="Y3092" s="124"/>
      <c r="Z3092" s="124"/>
    </row>
    <row r="3093">
      <c r="A3093" s="124"/>
      <c r="B3093" s="124"/>
      <c r="C3093" s="147"/>
      <c r="D3093" s="124"/>
      <c r="E3093" s="124"/>
      <c r="F3093" s="124"/>
      <c r="G3093" s="124"/>
      <c r="H3093" s="124"/>
      <c r="I3093" s="124"/>
      <c r="J3093" s="124"/>
      <c r="K3093" s="124"/>
      <c r="L3093" s="124"/>
      <c r="M3093" s="124"/>
      <c r="N3093" s="124"/>
      <c r="O3093" s="124"/>
      <c r="P3093" s="124"/>
      <c r="Q3093" s="124"/>
      <c r="R3093" s="124"/>
      <c r="S3093" s="124"/>
      <c r="T3093" s="124"/>
      <c r="U3093" s="124"/>
      <c r="V3093" s="124"/>
      <c r="W3093" s="124"/>
      <c r="X3093" s="124"/>
      <c r="Y3093" s="124"/>
      <c r="Z3093" s="124"/>
    </row>
    <row r="3094">
      <c r="A3094" s="124"/>
      <c r="B3094" s="124"/>
      <c r="C3094" s="147"/>
      <c r="D3094" s="124"/>
      <c r="E3094" s="124"/>
      <c r="F3094" s="124"/>
      <c r="G3094" s="124"/>
      <c r="H3094" s="124"/>
      <c r="I3094" s="124"/>
      <c r="J3094" s="124"/>
      <c r="K3094" s="124"/>
      <c r="L3094" s="124"/>
      <c r="M3094" s="124"/>
      <c r="N3094" s="124"/>
      <c r="O3094" s="124"/>
      <c r="P3094" s="124"/>
      <c r="Q3094" s="124"/>
      <c r="R3094" s="124"/>
      <c r="S3094" s="124"/>
      <c r="T3094" s="124"/>
      <c r="U3094" s="124"/>
      <c r="V3094" s="124"/>
      <c r="W3094" s="124"/>
      <c r="X3094" s="124"/>
      <c r="Y3094" s="124"/>
      <c r="Z3094" s="124"/>
    </row>
    <row r="3095">
      <c r="A3095" s="124"/>
      <c r="B3095" s="124"/>
      <c r="C3095" s="147"/>
      <c r="D3095" s="124"/>
      <c r="E3095" s="124"/>
      <c r="F3095" s="124"/>
      <c r="G3095" s="124"/>
      <c r="H3095" s="124"/>
      <c r="I3095" s="124"/>
      <c r="J3095" s="124"/>
      <c r="K3095" s="124"/>
      <c r="L3095" s="124"/>
      <c r="M3095" s="124"/>
      <c r="N3095" s="124"/>
      <c r="O3095" s="124"/>
      <c r="P3095" s="124"/>
      <c r="Q3095" s="124"/>
      <c r="R3095" s="124"/>
      <c r="S3095" s="124"/>
      <c r="T3095" s="124"/>
      <c r="U3095" s="124"/>
      <c r="V3095" s="124"/>
      <c r="W3095" s="124"/>
      <c r="X3095" s="124"/>
      <c r="Y3095" s="124"/>
      <c r="Z3095" s="124"/>
    </row>
    <row r="3096">
      <c r="A3096" s="124"/>
      <c r="B3096" s="124"/>
      <c r="C3096" s="147"/>
      <c r="D3096" s="124"/>
      <c r="E3096" s="124"/>
      <c r="F3096" s="124"/>
      <c r="G3096" s="124"/>
      <c r="H3096" s="124"/>
      <c r="I3096" s="124"/>
      <c r="J3096" s="124"/>
      <c r="K3096" s="124"/>
      <c r="L3096" s="124"/>
      <c r="M3096" s="124"/>
      <c r="N3096" s="124"/>
      <c r="O3096" s="124"/>
      <c r="P3096" s="124"/>
      <c r="Q3096" s="124"/>
      <c r="R3096" s="124"/>
      <c r="S3096" s="124"/>
      <c r="T3096" s="124"/>
      <c r="U3096" s="124"/>
      <c r="V3096" s="124"/>
      <c r="W3096" s="124"/>
      <c r="X3096" s="124"/>
      <c r="Y3096" s="124"/>
      <c r="Z3096" s="124"/>
    </row>
    <row r="3097">
      <c r="A3097" s="124"/>
      <c r="B3097" s="124"/>
      <c r="C3097" s="147"/>
      <c r="D3097" s="124"/>
      <c r="E3097" s="124"/>
      <c r="F3097" s="124"/>
      <c r="G3097" s="124"/>
      <c r="H3097" s="124"/>
      <c r="I3097" s="124"/>
      <c r="J3097" s="124"/>
      <c r="K3097" s="124"/>
      <c r="L3097" s="124"/>
      <c r="M3097" s="124"/>
      <c r="N3097" s="124"/>
      <c r="O3097" s="124"/>
      <c r="P3097" s="124"/>
      <c r="Q3097" s="124"/>
      <c r="R3097" s="124"/>
      <c r="S3097" s="124"/>
      <c r="T3097" s="124"/>
      <c r="U3097" s="124"/>
      <c r="V3097" s="124"/>
      <c r="W3097" s="124"/>
      <c r="X3097" s="124"/>
      <c r="Y3097" s="124"/>
      <c r="Z3097" s="124"/>
    </row>
    <row r="3098">
      <c r="A3098" s="124"/>
      <c r="B3098" s="124"/>
      <c r="C3098" s="147"/>
      <c r="D3098" s="124"/>
      <c r="E3098" s="124"/>
      <c r="F3098" s="124"/>
      <c r="G3098" s="124"/>
      <c r="H3098" s="124"/>
      <c r="I3098" s="124"/>
      <c r="J3098" s="124"/>
      <c r="K3098" s="124"/>
      <c r="L3098" s="124"/>
      <c r="M3098" s="124"/>
      <c r="N3098" s="124"/>
      <c r="O3098" s="124"/>
      <c r="P3098" s="124"/>
      <c r="Q3098" s="124"/>
      <c r="R3098" s="124"/>
      <c r="S3098" s="124"/>
      <c r="T3098" s="124"/>
      <c r="U3098" s="124"/>
      <c r="V3098" s="124"/>
      <c r="W3098" s="124"/>
      <c r="X3098" s="124"/>
      <c r="Y3098" s="124"/>
      <c r="Z3098" s="124"/>
    </row>
    <row r="3099">
      <c r="A3099" s="124"/>
      <c r="B3099" s="124"/>
      <c r="C3099" s="147"/>
      <c r="D3099" s="124"/>
      <c r="E3099" s="124"/>
      <c r="F3099" s="124"/>
      <c r="G3099" s="124"/>
      <c r="H3099" s="124"/>
      <c r="I3099" s="124"/>
      <c r="J3099" s="124"/>
      <c r="K3099" s="124"/>
      <c r="L3099" s="124"/>
      <c r="M3099" s="124"/>
      <c r="N3099" s="124"/>
      <c r="O3099" s="124"/>
      <c r="P3099" s="124"/>
      <c r="Q3099" s="124"/>
      <c r="R3099" s="124"/>
      <c r="S3099" s="124"/>
      <c r="T3099" s="124"/>
      <c r="U3099" s="124"/>
      <c r="V3099" s="124"/>
      <c r="W3099" s="124"/>
      <c r="X3099" s="124"/>
      <c r="Y3099" s="124"/>
      <c r="Z3099" s="124"/>
    </row>
    <row r="3100">
      <c r="A3100" s="124"/>
      <c r="B3100" s="124"/>
      <c r="C3100" s="147"/>
      <c r="D3100" s="124"/>
      <c r="E3100" s="124"/>
      <c r="F3100" s="124"/>
      <c r="G3100" s="124"/>
      <c r="H3100" s="124"/>
      <c r="I3100" s="124"/>
      <c r="J3100" s="124"/>
      <c r="K3100" s="124"/>
      <c r="L3100" s="124"/>
      <c r="M3100" s="124"/>
      <c r="N3100" s="124"/>
      <c r="O3100" s="124"/>
      <c r="P3100" s="124"/>
      <c r="Q3100" s="124"/>
      <c r="R3100" s="124"/>
      <c r="S3100" s="124"/>
      <c r="T3100" s="124"/>
      <c r="U3100" s="124"/>
      <c r="V3100" s="124"/>
      <c r="W3100" s="124"/>
      <c r="X3100" s="124"/>
      <c r="Y3100" s="124"/>
      <c r="Z3100" s="124"/>
    </row>
    <row r="3101">
      <c r="A3101" s="124"/>
      <c r="B3101" s="124"/>
      <c r="C3101" s="147"/>
      <c r="D3101" s="124"/>
      <c r="E3101" s="124"/>
      <c r="F3101" s="124"/>
      <c r="G3101" s="124"/>
      <c r="H3101" s="124"/>
      <c r="I3101" s="124"/>
      <c r="J3101" s="124"/>
      <c r="K3101" s="124"/>
      <c r="L3101" s="124"/>
      <c r="M3101" s="124"/>
      <c r="N3101" s="124"/>
      <c r="O3101" s="124"/>
      <c r="P3101" s="124"/>
      <c r="Q3101" s="124"/>
      <c r="R3101" s="124"/>
      <c r="S3101" s="124"/>
      <c r="T3101" s="124"/>
      <c r="U3101" s="124"/>
      <c r="V3101" s="124"/>
      <c r="W3101" s="124"/>
      <c r="X3101" s="124"/>
      <c r="Y3101" s="124"/>
      <c r="Z3101" s="124"/>
    </row>
    <row r="3102">
      <c r="A3102" s="124"/>
      <c r="B3102" s="124"/>
      <c r="C3102" s="147"/>
      <c r="D3102" s="124"/>
      <c r="E3102" s="124"/>
      <c r="F3102" s="124"/>
      <c r="G3102" s="124"/>
      <c r="H3102" s="124"/>
      <c r="I3102" s="124"/>
      <c r="J3102" s="124"/>
      <c r="K3102" s="124"/>
      <c r="L3102" s="124"/>
      <c r="M3102" s="124"/>
      <c r="N3102" s="124"/>
      <c r="O3102" s="124"/>
      <c r="P3102" s="124"/>
      <c r="Q3102" s="124"/>
      <c r="R3102" s="124"/>
      <c r="S3102" s="124"/>
      <c r="T3102" s="124"/>
      <c r="U3102" s="124"/>
      <c r="V3102" s="124"/>
      <c r="W3102" s="124"/>
      <c r="X3102" s="124"/>
      <c r="Y3102" s="124"/>
      <c r="Z3102" s="124"/>
    </row>
    <row r="3103">
      <c r="A3103" s="124"/>
      <c r="B3103" s="124"/>
      <c r="C3103" s="147"/>
      <c r="D3103" s="124"/>
      <c r="E3103" s="124"/>
      <c r="F3103" s="124"/>
      <c r="G3103" s="124"/>
      <c r="H3103" s="124"/>
      <c r="I3103" s="124"/>
      <c r="J3103" s="124"/>
      <c r="K3103" s="124"/>
      <c r="L3103" s="124"/>
      <c r="M3103" s="124"/>
      <c r="N3103" s="124"/>
      <c r="O3103" s="124"/>
      <c r="P3103" s="124"/>
      <c r="Q3103" s="124"/>
      <c r="R3103" s="124"/>
      <c r="S3103" s="124"/>
      <c r="T3103" s="124"/>
      <c r="U3103" s="124"/>
      <c r="V3103" s="124"/>
      <c r="W3103" s="124"/>
      <c r="X3103" s="124"/>
      <c r="Y3103" s="124"/>
      <c r="Z3103" s="124"/>
    </row>
    <row r="3104">
      <c r="A3104" s="124"/>
      <c r="B3104" s="124"/>
      <c r="C3104" s="147"/>
      <c r="D3104" s="124"/>
      <c r="E3104" s="124"/>
      <c r="F3104" s="124"/>
      <c r="G3104" s="124"/>
      <c r="H3104" s="124"/>
      <c r="I3104" s="124"/>
      <c r="J3104" s="124"/>
      <c r="K3104" s="124"/>
      <c r="L3104" s="124"/>
      <c r="M3104" s="124"/>
      <c r="N3104" s="124"/>
      <c r="O3104" s="124"/>
      <c r="P3104" s="124"/>
      <c r="Q3104" s="124"/>
      <c r="R3104" s="124"/>
      <c r="S3104" s="124"/>
      <c r="T3104" s="124"/>
      <c r="U3104" s="124"/>
      <c r="V3104" s="124"/>
      <c r="W3104" s="124"/>
      <c r="X3104" s="124"/>
      <c r="Y3104" s="124"/>
      <c r="Z3104" s="124"/>
    </row>
    <row r="3105">
      <c r="A3105" s="124"/>
      <c r="B3105" s="124"/>
      <c r="C3105" s="147"/>
      <c r="D3105" s="124"/>
      <c r="E3105" s="124"/>
      <c r="F3105" s="124"/>
      <c r="G3105" s="124"/>
      <c r="H3105" s="124"/>
      <c r="I3105" s="124"/>
      <c r="J3105" s="124"/>
      <c r="K3105" s="124"/>
      <c r="L3105" s="124"/>
      <c r="M3105" s="124"/>
      <c r="N3105" s="124"/>
      <c r="O3105" s="124"/>
      <c r="P3105" s="124"/>
      <c r="Q3105" s="124"/>
      <c r="R3105" s="124"/>
      <c r="S3105" s="124"/>
      <c r="T3105" s="124"/>
      <c r="U3105" s="124"/>
      <c r="V3105" s="124"/>
      <c r="W3105" s="124"/>
      <c r="X3105" s="124"/>
      <c r="Y3105" s="124"/>
      <c r="Z3105" s="124"/>
    </row>
    <row r="3106">
      <c r="A3106" s="124"/>
      <c r="B3106" s="124"/>
      <c r="C3106" s="147"/>
      <c r="D3106" s="124"/>
      <c r="E3106" s="124"/>
      <c r="F3106" s="124"/>
      <c r="G3106" s="124"/>
      <c r="H3106" s="124"/>
      <c r="I3106" s="124"/>
      <c r="J3106" s="124"/>
      <c r="K3106" s="124"/>
      <c r="L3106" s="124"/>
      <c r="M3106" s="124"/>
      <c r="N3106" s="124"/>
      <c r="O3106" s="124"/>
      <c r="P3106" s="124"/>
      <c r="Q3106" s="124"/>
      <c r="R3106" s="124"/>
      <c r="S3106" s="124"/>
      <c r="T3106" s="124"/>
      <c r="U3106" s="124"/>
      <c r="V3106" s="124"/>
      <c r="W3106" s="124"/>
      <c r="X3106" s="124"/>
      <c r="Y3106" s="124"/>
      <c r="Z3106" s="124"/>
    </row>
    <row r="3107">
      <c r="A3107" s="124"/>
      <c r="B3107" s="124"/>
      <c r="C3107" s="147"/>
      <c r="D3107" s="124"/>
      <c r="E3107" s="124"/>
      <c r="F3107" s="124"/>
      <c r="G3107" s="124"/>
      <c r="H3107" s="124"/>
      <c r="I3107" s="124"/>
      <c r="J3107" s="124"/>
      <c r="K3107" s="124"/>
      <c r="L3107" s="124"/>
      <c r="M3107" s="124"/>
      <c r="N3107" s="124"/>
      <c r="O3107" s="124"/>
      <c r="P3107" s="124"/>
      <c r="Q3107" s="124"/>
      <c r="R3107" s="124"/>
      <c r="S3107" s="124"/>
      <c r="T3107" s="124"/>
      <c r="U3107" s="124"/>
      <c r="V3107" s="124"/>
      <c r="W3107" s="124"/>
      <c r="X3107" s="124"/>
      <c r="Y3107" s="124"/>
      <c r="Z3107" s="124"/>
    </row>
    <row r="3108">
      <c r="A3108" s="124"/>
      <c r="B3108" s="124"/>
      <c r="C3108" s="147"/>
      <c r="D3108" s="124"/>
      <c r="E3108" s="124"/>
      <c r="F3108" s="124"/>
      <c r="G3108" s="124"/>
      <c r="H3108" s="124"/>
      <c r="I3108" s="124"/>
      <c r="J3108" s="124"/>
      <c r="K3108" s="124"/>
      <c r="L3108" s="124"/>
      <c r="M3108" s="124"/>
      <c r="N3108" s="124"/>
      <c r="O3108" s="124"/>
      <c r="P3108" s="124"/>
      <c r="Q3108" s="124"/>
      <c r="R3108" s="124"/>
      <c r="S3108" s="124"/>
      <c r="T3108" s="124"/>
      <c r="U3108" s="124"/>
      <c r="V3108" s="124"/>
      <c r="W3108" s="124"/>
      <c r="X3108" s="124"/>
      <c r="Y3108" s="124"/>
      <c r="Z3108" s="124"/>
    </row>
    <row r="3109">
      <c r="A3109" s="124"/>
      <c r="B3109" s="124"/>
      <c r="C3109" s="147"/>
      <c r="D3109" s="124"/>
      <c r="E3109" s="124"/>
      <c r="F3109" s="124"/>
      <c r="G3109" s="124"/>
      <c r="H3109" s="124"/>
      <c r="I3109" s="124"/>
      <c r="J3109" s="124"/>
      <c r="K3109" s="124"/>
      <c r="L3109" s="124"/>
      <c r="M3109" s="124"/>
      <c r="N3109" s="124"/>
      <c r="O3109" s="124"/>
      <c r="P3109" s="124"/>
      <c r="Q3109" s="124"/>
      <c r="R3109" s="124"/>
      <c r="S3109" s="124"/>
      <c r="T3109" s="124"/>
      <c r="U3109" s="124"/>
      <c r="V3109" s="124"/>
      <c r="W3109" s="124"/>
      <c r="X3109" s="124"/>
      <c r="Y3109" s="124"/>
      <c r="Z3109" s="124"/>
    </row>
    <row r="3110">
      <c r="A3110" s="124"/>
      <c r="B3110" s="124"/>
      <c r="C3110" s="147"/>
      <c r="D3110" s="124"/>
      <c r="E3110" s="124"/>
      <c r="F3110" s="124"/>
      <c r="G3110" s="124"/>
      <c r="H3110" s="124"/>
      <c r="I3110" s="124"/>
      <c r="J3110" s="124"/>
      <c r="K3110" s="124"/>
      <c r="L3110" s="124"/>
      <c r="M3110" s="124"/>
      <c r="N3110" s="124"/>
      <c r="O3110" s="124"/>
      <c r="P3110" s="124"/>
      <c r="Q3110" s="124"/>
      <c r="R3110" s="124"/>
      <c r="S3110" s="124"/>
      <c r="T3110" s="124"/>
      <c r="U3110" s="124"/>
      <c r="V3110" s="124"/>
      <c r="W3110" s="124"/>
      <c r="X3110" s="124"/>
      <c r="Y3110" s="124"/>
      <c r="Z3110" s="124"/>
    </row>
    <row r="3111">
      <c r="A3111" s="124"/>
      <c r="B3111" s="124"/>
      <c r="C3111" s="147"/>
      <c r="D3111" s="124"/>
      <c r="E3111" s="124"/>
      <c r="F3111" s="124"/>
      <c r="G3111" s="124"/>
      <c r="H3111" s="124"/>
      <c r="I3111" s="124"/>
      <c r="J3111" s="124"/>
      <c r="K3111" s="124"/>
      <c r="L3111" s="124"/>
      <c r="M3111" s="124"/>
      <c r="N3111" s="124"/>
      <c r="O3111" s="124"/>
      <c r="P3111" s="124"/>
      <c r="Q3111" s="124"/>
      <c r="R3111" s="124"/>
      <c r="S3111" s="124"/>
      <c r="T3111" s="124"/>
      <c r="U3111" s="124"/>
      <c r="V3111" s="124"/>
      <c r="W3111" s="124"/>
      <c r="X3111" s="124"/>
      <c r="Y3111" s="124"/>
      <c r="Z3111" s="124"/>
    </row>
    <row r="3112">
      <c r="A3112" s="124"/>
      <c r="B3112" s="124"/>
      <c r="C3112" s="147"/>
      <c r="D3112" s="124"/>
      <c r="E3112" s="124"/>
      <c r="F3112" s="124"/>
      <c r="G3112" s="124"/>
      <c r="H3112" s="124"/>
      <c r="I3112" s="124"/>
      <c r="J3112" s="124"/>
      <c r="K3112" s="124"/>
      <c r="L3112" s="124"/>
      <c r="M3112" s="124"/>
      <c r="N3112" s="124"/>
      <c r="O3112" s="124"/>
      <c r="P3112" s="124"/>
      <c r="Q3112" s="124"/>
      <c r="R3112" s="124"/>
      <c r="S3112" s="124"/>
      <c r="T3112" s="124"/>
      <c r="U3112" s="124"/>
      <c r="V3112" s="124"/>
      <c r="W3112" s="124"/>
      <c r="X3112" s="124"/>
      <c r="Y3112" s="124"/>
      <c r="Z3112" s="124"/>
    </row>
    <row r="3113">
      <c r="A3113" s="124"/>
      <c r="B3113" s="124"/>
      <c r="C3113" s="147"/>
      <c r="D3113" s="124"/>
      <c r="E3113" s="124"/>
      <c r="F3113" s="124"/>
      <c r="G3113" s="124"/>
      <c r="H3113" s="124"/>
      <c r="I3113" s="124"/>
      <c r="J3113" s="124"/>
      <c r="K3113" s="124"/>
      <c r="L3113" s="124"/>
      <c r="M3113" s="124"/>
      <c r="N3113" s="124"/>
      <c r="O3113" s="124"/>
      <c r="P3113" s="124"/>
      <c r="Q3113" s="124"/>
      <c r="R3113" s="124"/>
      <c r="S3113" s="124"/>
      <c r="T3113" s="124"/>
      <c r="U3113" s="124"/>
      <c r="V3113" s="124"/>
      <c r="W3113" s="124"/>
      <c r="X3113" s="124"/>
      <c r="Y3113" s="124"/>
      <c r="Z3113" s="124"/>
    </row>
    <row r="3114">
      <c r="A3114" s="124"/>
      <c r="B3114" s="124"/>
      <c r="C3114" s="147"/>
      <c r="D3114" s="124"/>
      <c r="E3114" s="124"/>
      <c r="F3114" s="124"/>
      <c r="G3114" s="124"/>
      <c r="H3114" s="124"/>
      <c r="I3114" s="124"/>
      <c r="J3114" s="124"/>
      <c r="K3114" s="124"/>
      <c r="L3114" s="124"/>
      <c r="M3114" s="124"/>
      <c r="N3114" s="124"/>
      <c r="O3114" s="124"/>
      <c r="P3114" s="124"/>
      <c r="Q3114" s="124"/>
      <c r="R3114" s="124"/>
      <c r="S3114" s="124"/>
      <c r="T3114" s="124"/>
      <c r="U3114" s="124"/>
      <c r="V3114" s="124"/>
      <c r="W3114" s="124"/>
      <c r="X3114" s="124"/>
      <c r="Y3114" s="124"/>
      <c r="Z3114" s="124"/>
    </row>
    <row r="3115">
      <c r="A3115" s="124"/>
      <c r="B3115" s="124"/>
      <c r="C3115" s="147"/>
      <c r="D3115" s="124"/>
      <c r="E3115" s="124"/>
      <c r="F3115" s="124"/>
      <c r="G3115" s="124"/>
      <c r="H3115" s="124"/>
      <c r="I3115" s="124"/>
      <c r="J3115" s="124"/>
      <c r="K3115" s="124"/>
      <c r="L3115" s="124"/>
      <c r="M3115" s="124"/>
      <c r="N3115" s="124"/>
      <c r="O3115" s="124"/>
      <c r="P3115" s="124"/>
      <c r="Q3115" s="124"/>
      <c r="R3115" s="124"/>
      <c r="S3115" s="124"/>
      <c r="T3115" s="124"/>
      <c r="U3115" s="124"/>
      <c r="V3115" s="124"/>
      <c r="W3115" s="124"/>
      <c r="X3115" s="124"/>
      <c r="Y3115" s="124"/>
      <c r="Z3115" s="124"/>
    </row>
    <row r="3116">
      <c r="A3116" s="124"/>
      <c r="B3116" s="124"/>
      <c r="C3116" s="147"/>
      <c r="D3116" s="124"/>
      <c r="E3116" s="124"/>
      <c r="F3116" s="124"/>
      <c r="G3116" s="124"/>
      <c r="H3116" s="124"/>
      <c r="I3116" s="124"/>
      <c r="J3116" s="124"/>
      <c r="K3116" s="124"/>
      <c r="L3116" s="124"/>
      <c r="M3116" s="124"/>
      <c r="N3116" s="124"/>
      <c r="O3116" s="124"/>
      <c r="P3116" s="124"/>
      <c r="Q3116" s="124"/>
      <c r="R3116" s="124"/>
      <c r="S3116" s="124"/>
      <c r="T3116" s="124"/>
      <c r="U3116" s="124"/>
      <c r="V3116" s="124"/>
      <c r="W3116" s="124"/>
      <c r="X3116" s="124"/>
      <c r="Y3116" s="124"/>
      <c r="Z3116" s="124"/>
    </row>
    <row r="3117">
      <c r="A3117" s="124"/>
      <c r="B3117" s="124"/>
      <c r="C3117" s="147"/>
      <c r="D3117" s="124"/>
      <c r="E3117" s="124"/>
      <c r="F3117" s="124"/>
      <c r="G3117" s="124"/>
      <c r="H3117" s="124"/>
      <c r="I3117" s="124"/>
      <c r="J3117" s="124"/>
      <c r="K3117" s="124"/>
      <c r="L3117" s="124"/>
      <c r="M3117" s="124"/>
      <c r="N3117" s="124"/>
      <c r="O3117" s="124"/>
      <c r="P3117" s="124"/>
      <c r="Q3117" s="124"/>
      <c r="R3117" s="124"/>
      <c r="S3117" s="124"/>
      <c r="T3117" s="124"/>
      <c r="U3117" s="124"/>
      <c r="V3117" s="124"/>
      <c r="W3117" s="124"/>
      <c r="X3117" s="124"/>
      <c r="Y3117" s="124"/>
      <c r="Z3117" s="124"/>
    </row>
    <row r="3118">
      <c r="A3118" s="124"/>
      <c r="B3118" s="124"/>
      <c r="C3118" s="147"/>
      <c r="D3118" s="124"/>
      <c r="E3118" s="124"/>
      <c r="F3118" s="124"/>
      <c r="G3118" s="124"/>
      <c r="H3118" s="124"/>
      <c r="I3118" s="124"/>
      <c r="J3118" s="124"/>
      <c r="K3118" s="124"/>
      <c r="L3118" s="124"/>
      <c r="M3118" s="124"/>
      <c r="N3118" s="124"/>
      <c r="O3118" s="124"/>
      <c r="P3118" s="124"/>
      <c r="Q3118" s="124"/>
      <c r="R3118" s="124"/>
      <c r="S3118" s="124"/>
      <c r="T3118" s="124"/>
      <c r="U3118" s="124"/>
      <c r="V3118" s="124"/>
      <c r="W3118" s="124"/>
      <c r="X3118" s="124"/>
      <c r="Y3118" s="124"/>
      <c r="Z3118" s="124"/>
    </row>
    <row r="3119">
      <c r="A3119" s="124"/>
      <c r="B3119" s="124"/>
      <c r="C3119" s="147"/>
      <c r="D3119" s="124"/>
      <c r="E3119" s="124"/>
      <c r="F3119" s="124"/>
      <c r="G3119" s="124"/>
      <c r="H3119" s="124"/>
      <c r="I3119" s="124"/>
      <c r="J3119" s="124"/>
      <c r="K3119" s="124"/>
      <c r="L3119" s="124"/>
      <c r="M3119" s="124"/>
      <c r="N3119" s="124"/>
      <c r="O3119" s="124"/>
      <c r="P3119" s="124"/>
      <c r="Q3119" s="124"/>
      <c r="R3119" s="124"/>
      <c r="S3119" s="124"/>
      <c r="T3119" s="124"/>
      <c r="U3119" s="124"/>
      <c r="V3119" s="124"/>
      <c r="W3119" s="124"/>
      <c r="X3119" s="124"/>
      <c r="Y3119" s="124"/>
      <c r="Z3119" s="124"/>
    </row>
    <row r="3120">
      <c r="A3120" s="124"/>
      <c r="B3120" s="124"/>
      <c r="C3120" s="147"/>
      <c r="D3120" s="124"/>
      <c r="E3120" s="124"/>
      <c r="F3120" s="124"/>
      <c r="G3120" s="124"/>
      <c r="H3120" s="124"/>
      <c r="I3120" s="124"/>
      <c r="J3120" s="124"/>
      <c r="K3120" s="124"/>
      <c r="L3120" s="124"/>
      <c r="M3120" s="124"/>
      <c r="N3120" s="124"/>
      <c r="O3120" s="124"/>
      <c r="P3120" s="124"/>
      <c r="Q3120" s="124"/>
      <c r="R3120" s="124"/>
      <c r="S3120" s="124"/>
      <c r="T3120" s="124"/>
      <c r="U3120" s="124"/>
      <c r="V3120" s="124"/>
      <c r="W3120" s="124"/>
      <c r="X3120" s="124"/>
      <c r="Y3120" s="124"/>
      <c r="Z3120" s="124"/>
    </row>
    <row r="3121">
      <c r="A3121" s="124"/>
      <c r="B3121" s="124"/>
      <c r="C3121" s="147"/>
      <c r="D3121" s="124"/>
      <c r="E3121" s="124"/>
      <c r="F3121" s="124"/>
      <c r="G3121" s="124"/>
      <c r="H3121" s="124"/>
      <c r="I3121" s="124"/>
      <c r="J3121" s="124"/>
      <c r="K3121" s="124"/>
      <c r="L3121" s="124"/>
      <c r="M3121" s="124"/>
      <c r="N3121" s="124"/>
      <c r="O3121" s="124"/>
      <c r="P3121" s="124"/>
      <c r="Q3121" s="124"/>
      <c r="R3121" s="124"/>
      <c r="S3121" s="124"/>
      <c r="T3121" s="124"/>
      <c r="U3121" s="124"/>
      <c r="V3121" s="124"/>
      <c r="W3121" s="124"/>
      <c r="X3121" s="124"/>
      <c r="Y3121" s="124"/>
      <c r="Z3121" s="124"/>
    </row>
    <row r="3122">
      <c r="A3122" s="124"/>
      <c r="B3122" s="124"/>
      <c r="C3122" s="147"/>
      <c r="D3122" s="124"/>
      <c r="E3122" s="124"/>
      <c r="F3122" s="124"/>
      <c r="G3122" s="124"/>
      <c r="H3122" s="124"/>
      <c r="I3122" s="124"/>
      <c r="J3122" s="124"/>
      <c r="K3122" s="124"/>
      <c r="L3122" s="124"/>
      <c r="M3122" s="124"/>
      <c r="N3122" s="124"/>
      <c r="O3122" s="124"/>
      <c r="P3122" s="124"/>
      <c r="Q3122" s="124"/>
      <c r="R3122" s="124"/>
      <c r="S3122" s="124"/>
      <c r="T3122" s="124"/>
      <c r="U3122" s="124"/>
      <c r="V3122" s="124"/>
      <c r="W3122" s="124"/>
      <c r="X3122" s="124"/>
      <c r="Y3122" s="124"/>
      <c r="Z3122" s="124"/>
    </row>
    <row r="3123">
      <c r="A3123" s="124"/>
      <c r="B3123" s="124"/>
      <c r="C3123" s="147"/>
      <c r="D3123" s="124"/>
      <c r="E3123" s="124"/>
      <c r="F3123" s="124"/>
      <c r="G3123" s="124"/>
      <c r="H3123" s="124"/>
      <c r="I3123" s="124"/>
      <c r="J3123" s="124"/>
      <c r="K3123" s="124"/>
      <c r="L3123" s="124"/>
      <c r="M3123" s="124"/>
      <c r="N3123" s="124"/>
      <c r="O3123" s="124"/>
      <c r="P3123" s="124"/>
      <c r="Q3123" s="124"/>
      <c r="R3123" s="124"/>
      <c r="S3123" s="124"/>
      <c r="T3123" s="124"/>
      <c r="U3123" s="124"/>
      <c r="V3123" s="124"/>
      <c r="W3123" s="124"/>
      <c r="X3123" s="124"/>
      <c r="Y3123" s="124"/>
      <c r="Z3123" s="124"/>
    </row>
    <row r="3124">
      <c r="A3124" s="124"/>
      <c r="B3124" s="124"/>
      <c r="C3124" s="147"/>
      <c r="D3124" s="124"/>
      <c r="E3124" s="124"/>
      <c r="F3124" s="124"/>
      <c r="G3124" s="124"/>
      <c r="H3124" s="124"/>
      <c r="I3124" s="124"/>
      <c r="J3124" s="124"/>
      <c r="K3124" s="124"/>
      <c r="L3124" s="124"/>
      <c r="M3124" s="124"/>
      <c r="N3124" s="124"/>
      <c r="O3124" s="124"/>
      <c r="P3124" s="124"/>
      <c r="Q3124" s="124"/>
      <c r="R3124" s="124"/>
      <c r="S3124" s="124"/>
      <c r="T3124" s="124"/>
      <c r="U3124" s="124"/>
      <c r="V3124" s="124"/>
      <c r="W3124" s="124"/>
      <c r="X3124" s="124"/>
      <c r="Y3124" s="124"/>
      <c r="Z3124" s="124"/>
    </row>
    <row r="3125">
      <c r="A3125" s="124"/>
      <c r="B3125" s="124"/>
      <c r="C3125" s="147"/>
      <c r="D3125" s="124"/>
      <c r="E3125" s="124"/>
      <c r="F3125" s="124"/>
      <c r="G3125" s="124"/>
      <c r="H3125" s="124"/>
      <c r="I3125" s="124"/>
      <c r="J3125" s="124"/>
      <c r="K3125" s="124"/>
      <c r="L3125" s="124"/>
      <c r="M3125" s="124"/>
      <c r="N3125" s="124"/>
      <c r="O3125" s="124"/>
      <c r="P3125" s="124"/>
      <c r="Q3125" s="124"/>
      <c r="R3125" s="124"/>
      <c r="S3125" s="124"/>
      <c r="T3125" s="124"/>
      <c r="U3125" s="124"/>
      <c r="V3125" s="124"/>
      <c r="W3125" s="124"/>
      <c r="X3125" s="124"/>
      <c r="Y3125" s="124"/>
      <c r="Z3125" s="124"/>
    </row>
    <row r="3126">
      <c r="A3126" s="124"/>
      <c r="B3126" s="124"/>
      <c r="C3126" s="147"/>
      <c r="D3126" s="124"/>
      <c r="E3126" s="124"/>
      <c r="F3126" s="124"/>
      <c r="G3126" s="124"/>
      <c r="H3126" s="124"/>
      <c r="I3126" s="124"/>
      <c r="J3126" s="124"/>
      <c r="K3126" s="124"/>
      <c r="L3126" s="124"/>
      <c r="M3126" s="124"/>
      <c r="N3126" s="124"/>
      <c r="O3126" s="124"/>
      <c r="P3126" s="124"/>
      <c r="Q3126" s="124"/>
      <c r="R3126" s="124"/>
      <c r="S3126" s="124"/>
      <c r="T3126" s="124"/>
      <c r="U3126" s="124"/>
      <c r="V3126" s="124"/>
      <c r="W3126" s="124"/>
      <c r="X3126" s="124"/>
      <c r="Y3126" s="124"/>
      <c r="Z3126" s="124"/>
    </row>
    <row r="3127">
      <c r="A3127" s="124"/>
      <c r="B3127" s="124"/>
      <c r="C3127" s="147"/>
      <c r="D3127" s="124"/>
      <c r="E3127" s="124"/>
      <c r="F3127" s="124"/>
      <c r="G3127" s="124"/>
      <c r="H3127" s="124"/>
      <c r="I3127" s="124"/>
      <c r="J3127" s="124"/>
      <c r="K3127" s="124"/>
      <c r="L3127" s="124"/>
      <c r="M3127" s="124"/>
      <c r="N3127" s="124"/>
      <c r="O3127" s="124"/>
      <c r="P3127" s="124"/>
      <c r="Q3127" s="124"/>
      <c r="R3127" s="124"/>
      <c r="S3127" s="124"/>
      <c r="T3127" s="124"/>
      <c r="U3127" s="124"/>
      <c r="V3127" s="124"/>
      <c r="W3127" s="124"/>
      <c r="X3127" s="124"/>
      <c r="Y3127" s="124"/>
      <c r="Z3127" s="124"/>
    </row>
    <row r="3128">
      <c r="A3128" s="124"/>
      <c r="B3128" s="124"/>
      <c r="C3128" s="147"/>
      <c r="D3128" s="124"/>
      <c r="E3128" s="124"/>
      <c r="F3128" s="124"/>
      <c r="G3128" s="124"/>
      <c r="H3128" s="124"/>
      <c r="I3128" s="124"/>
      <c r="J3128" s="124"/>
      <c r="K3128" s="124"/>
      <c r="L3128" s="124"/>
      <c r="M3128" s="124"/>
      <c r="N3128" s="124"/>
      <c r="O3128" s="124"/>
      <c r="P3128" s="124"/>
      <c r="Q3128" s="124"/>
      <c r="R3128" s="124"/>
      <c r="S3128" s="124"/>
      <c r="T3128" s="124"/>
      <c r="U3128" s="124"/>
      <c r="V3128" s="124"/>
      <c r="W3128" s="124"/>
      <c r="X3128" s="124"/>
      <c r="Y3128" s="124"/>
      <c r="Z3128" s="124"/>
    </row>
    <row r="3129">
      <c r="A3129" s="124"/>
      <c r="B3129" s="124"/>
      <c r="C3129" s="147"/>
      <c r="D3129" s="124"/>
      <c r="E3129" s="124"/>
      <c r="F3129" s="124"/>
      <c r="G3129" s="124"/>
      <c r="H3129" s="124"/>
      <c r="I3129" s="124"/>
      <c r="J3129" s="124"/>
      <c r="K3129" s="124"/>
      <c r="L3129" s="124"/>
      <c r="M3129" s="124"/>
      <c r="N3129" s="124"/>
      <c r="O3129" s="124"/>
      <c r="P3129" s="124"/>
      <c r="Q3129" s="124"/>
      <c r="R3129" s="124"/>
      <c r="S3129" s="124"/>
      <c r="T3129" s="124"/>
      <c r="U3129" s="124"/>
      <c r="V3129" s="124"/>
      <c r="W3129" s="124"/>
      <c r="X3129" s="124"/>
      <c r="Y3129" s="124"/>
      <c r="Z3129" s="124"/>
    </row>
    <row r="3130">
      <c r="A3130" s="124"/>
      <c r="B3130" s="124"/>
      <c r="C3130" s="147"/>
      <c r="D3130" s="124"/>
      <c r="E3130" s="124"/>
      <c r="F3130" s="124"/>
      <c r="G3130" s="124"/>
      <c r="H3130" s="124"/>
      <c r="I3130" s="124"/>
      <c r="J3130" s="124"/>
      <c r="K3130" s="124"/>
      <c r="L3130" s="124"/>
      <c r="M3130" s="124"/>
      <c r="N3130" s="124"/>
      <c r="O3130" s="124"/>
      <c r="P3130" s="124"/>
      <c r="Q3130" s="124"/>
      <c r="R3130" s="124"/>
      <c r="S3130" s="124"/>
      <c r="T3130" s="124"/>
      <c r="U3130" s="124"/>
      <c r="V3130" s="124"/>
      <c r="W3130" s="124"/>
      <c r="X3130" s="124"/>
      <c r="Y3130" s="124"/>
      <c r="Z3130" s="124"/>
    </row>
    <row r="3131">
      <c r="A3131" s="124"/>
      <c r="B3131" s="124"/>
      <c r="C3131" s="147"/>
      <c r="D3131" s="124"/>
      <c r="E3131" s="124"/>
      <c r="F3131" s="124"/>
      <c r="G3131" s="124"/>
      <c r="H3131" s="124"/>
      <c r="I3131" s="124"/>
      <c r="J3131" s="124"/>
      <c r="K3131" s="124"/>
      <c r="L3131" s="124"/>
      <c r="M3131" s="124"/>
      <c r="N3131" s="124"/>
      <c r="O3131" s="124"/>
      <c r="P3131" s="124"/>
      <c r="Q3131" s="124"/>
      <c r="R3131" s="124"/>
      <c r="S3131" s="124"/>
      <c r="T3131" s="124"/>
      <c r="U3131" s="124"/>
      <c r="V3131" s="124"/>
      <c r="W3131" s="124"/>
      <c r="X3131" s="124"/>
      <c r="Y3131" s="124"/>
      <c r="Z3131" s="124"/>
    </row>
    <row r="3132">
      <c r="A3132" s="124"/>
      <c r="B3132" s="124"/>
      <c r="C3132" s="147"/>
      <c r="D3132" s="124"/>
      <c r="E3132" s="124"/>
      <c r="F3132" s="124"/>
      <c r="G3132" s="124"/>
      <c r="H3132" s="124"/>
      <c r="I3132" s="124"/>
      <c r="J3132" s="124"/>
      <c r="K3132" s="124"/>
      <c r="L3132" s="124"/>
      <c r="M3132" s="124"/>
      <c r="N3132" s="124"/>
      <c r="O3132" s="124"/>
      <c r="P3132" s="124"/>
      <c r="Q3132" s="124"/>
      <c r="R3132" s="124"/>
      <c r="S3132" s="124"/>
      <c r="T3132" s="124"/>
      <c r="U3132" s="124"/>
      <c r="V3132" s="124"/>
      <c r="W3132" s="124"/>
      <c r="X3132" s="124"/>
      <c r="Y3132" s="124"/>
      <c r="Z3132" s="124"/>
    </row>
    <row r="3133">
      <c r="A3133" s="124"/>
      <c r="B3133" s="124"/>
      <c r="C3133" s="147"/>
      <c r="D3133" s="124"/>
      <c r="E3133" s="124"/>
      <c r="F3133" s="124"/>
      <c r="G3133" s="124"/>
      <c r="H3133" s="124"/>
      <c r="I3133" s="124"/>
      <c r="J3133" s="124"/>
      <c r="K3133" s="124"/>
      <c r="L3133" s="124"/>
      <c r="M3133" s="124"/>
      <c r="N3133" s="124"/>
      <c r="O3133" s="124"/>
      <c r="P3133" s="124"/>
      <c r="Q3133" s="124"/>
      <c r="R3133" s="124"/>
      <c r="S3133" s="124"/>
      <c r="T3133" s="124"/>
      <c r="U3133" s="124"/>
      <c r="V3133" s="124"/>
      <c r="W3133" s="124"/>
      <c r="X3133" s="124"/>
      <c r="Y3133" s="124"/>
      <c r="Z3133" s="124"/>
    </row>
    <row r="3134">
      <c r="A3134" s="124"/>
      <c r="B3134" s="124"/>
      <c r="C3134" s="147"/>
      <c r="D3134" s="124"/>
      <c r="E3134" s="124"/>
      <c r="F3134" s="124"/>
      <c r="G3134" s="124"/>
      <c r="H3134" s="124"/>
      <c r="I3134" s="124"/>
      <c r="J3134" s="124"/>
      <c r="K3134" s="124"/>
      <c r="L3134" s="124"/>
      <c r="M3134" s="124"/>
      <c r="N3134" s="124"/>
      <c r="O3134" s="124"/>
      <c r="P3134" s="124"/>
      <c r="Q3134" s="124"/>
      <c r="R3134" s="124"/>
      <c r="S3134" s="124"/>
      <c r="T3134" s="124"/>
      <c r="U3134" s="124"/>
      <c r="V3134" s="124"/>
      <c r="W3134" s="124"/>
      <c r="X3134" s="124"/>
      <c r="Y3134" s="124"/>
      <c r="Z3134" s="124"/>
    </row>
    <row r="3135">
      <c r="A3135" s="124"/>
      <c r="B3135" s="124"/>
      <c r="C3135" s="147"/>
      <c r="D3135" s="124"/>
      <c r="E3135" s="124"/>
      <c r="F3135" s="124"/>
      <c r="G3135" s="124"/>
      <c r="H3135" s="124"/>
      <c r="I3135" s="124"/>
      <c r="J3135" s="124"/>
      <c r="K3135" s="124"/>
      <c r="L3135" s="124"/>
      <c r="M3135" s="124"/>
      <c r="N3135" s="124"/>
      <c r="O3135" s="124"/>
      <c r="P3135" s="124"/>
      <c r="Q3135" s="124"/>
      <c r="R3135" s="124"/>
      <c r="S3135" s="124"/>
      <c r="T3135" s="124"/>
      <c r="U3135" s="124"/>
      <c r="V3135" s="124"/>
      <c r="W3135" s="124"/>
      <c r="X3135" s="124"/>
      <c r="Y3135" s="124"/>
      <c r="Z3135" s="124"/>
    </row>
    <row r="3136">
      <c r="A3136" s="124"/>
      <c r="B3136" s="124"/>
      <c r="C3136" s="147"/>
      <c r="D3136" s="124"/>
      <c r="E3136" s="124"/>
      <c r="F3136" s="124"/>
      <c r="G3136" s="124"/>
      <c r="H3136" s="124"/>
      <c r="I3136" s="124"/>
      <c r="J3136" s="124"/>
      <c r="K3136" s="124"/>
      <c r="L3136" s="124"/>
      <c r="M3136" s="124"/>
      <c r="N3136" s="124"/>
      <c r="O3136" s="124"/>
      <c r="P3136" s="124"/>
      <c r="Q3136" s="124"/>
      <c r="R3136" s="124"/>
      <c r="S3136" s="124"/>
      <c r="T3136" s="124"/>
      <c r="U3136" s="124"/>
      <c r="V3136" s="124"/>
      <c r="W3136" s="124"/>
      <c r="X3136" s="124"/>
      <c r="Y3136" s="124"/>
      <c r="Z3136" s="124"/>
    </row>
    <row r="3137">
      <c r="A3137" s="124"/>
      <c r="B3137" s="124"/>
      <c r="C3137" s="147"/>
      <c r="D3137" s="124"/>
      <c r="E3137" s="124"/>
      <c r="F3137" s="124"/>
      <c r="G3137" s="124"/>
      <c r="H3137" s="124"/>
      <c r="I3137" s="124"/>
      <c r="J3137" s="124"/>
      <c r="K3137" s="124"/>
      <c r="L3137" s="124"/>
      <c r="M3137" s="124"/>
      <c r="N3137" s="124"/>
      <c r="O3137" s="124"/>
      <c r="P3137" s="124"/>
      <c r="Q3137" s="124"/>
      <c r="R3137" s="124"/>
      <c r="S3137" s="124"/>
      <c r="T3137" s="124"/>
      <c r="U3137" s="124"/>
      <c r="V3137" s="124"/>
      <c r="W3137" s="124"/>
      <c r="X3137" s="124"/>
      <c r="Y3137" s="124"/>
      <c r="Z3137" s="124"/>
    </row>
    <row r="3138">
      <c r="A3138" s="124"/>
      <c r="B3138" s="124"/>
      <c r="C3138" s="147"/>
      <c r="D3138" s="124"/>
      <c r="E3138" s="124"/>
      <c r="F3138" s="124"/>
      <c r="G3138" s="124"/>
      <c r="H3138" s="124"/>
      <c r="I3138" s="124"/>
      <c r="J3138" s="124"/>
      <c r="K3138" s="124"/>
      <c r="L3138" s="124"/>
      <c r="M3138" s="124"/>
      <c r="N3138" s="124"/>
      <c r="O3138" s="124"/>
      <c r="P3138" s="124"/>
      <c r="Q3138" s="124"/>
      <c r="R3138" s="124"/>
      <c r="S3138" s="124"/>
      <c r="T3138" s="124"/>
      <c r="U3138" s="124"/>
      <c r="V3138" s="124"/>
      <c r="W3138" s="124"/>
      <c r="X3138" s="124"/>
      <c r="Y3138" s="124"/>
      <c r="Z3138" s="124"/>
    </row>
    <row r="3139">
      <c r="A3139" s="124"/>
      <c r="B3139" s="124"/>
      <c r="C3139" s="147"/>
      <c r="D3139" s="124"/>
      <c r="E3139" s="124"/>
      <c r="F3139" s="124"/>
      <c r="G3139" s="124"/>
      <c r="H3139" s="124"/>
      <c r="I3139" s="124"/>
      <c r="J3139" s="124"/>
      <c r="K3139" s="124"/>
      <c r="L3139" s="124"/>
      <c r="M3139" s="124"/>
      <c r="N3139" s="124"/>
      <c r="O3139" s="124"/>
      <c r="P3139" s="124"/>
      <c r="Q3139" s="124"/>
      <c r="R3139" s="124"/>
      <c r="S3139" s="124"/>
      <c r="T3139" s="124"/>
      <c r="U3139" s="124"/>
      <c r="V3139" s="124"/>
      <c r="W3139" s="124"/>
      <c r="X3139" s="124"/>
      <c r="Y3139" s="124"/>
      <c r="Z3139" s="124"/>
    </row>
    <row r="3140">
      <c r="A3140" s="124"/>
      <c r="B3140" s="124"/>
      <c r="C3140" s="147"/>
      <c r="D3140" s="124"/>
      <c r="E3140" s="124"/>
      <c r="F3140" s="124"/>
      <c r="G3140" s="124"/>
      <c r="H3140" s="124"/>
      <c r="I3140" s="124"/>
      <c r="J3140" s="124"/>
      <c r="K3140" s="124"/>
      <c r="L3140" s="124"/>
      <c r="M3140" s="124"/>
      <c r="N3140" s="124"/>
      <c r="O3140" s="124"/>
      <c r="P3140" s="124"/>
      <c r="Q3140" s="124"/>
      <c r="R3140" s="124"/>
      <c r="S3140" s="124"/>
      <c r="T3140" s="124"/>
      <c r="U3140" s="124"/>
      <c r="V3140" s="124"/>
      <c r="W3140" s="124"/>
      <c r="X3140" s="124"/>
      <c r="Y3140" s="124"/>
      <c r="Z3140" s="124"/>
    </row>
    <row r="3141">
      <c r="A3141" s="124"/>
      <c r="B3141" s="124"/>
      <c r="C3141" s="147"/>
      <c r="D3141" s="124"/>
      <c r="E3141" s="124"/>
      <c r="F3141" s="124"/>
      <c r="G3141" s="124"/>
      <c r="H3141" s="124"/>
      <c r="I3141" s="124"/>
      <c r="J3141" s="124"/>
      <c r="K3141" s="124"/>
      <c r="L3141" s="124"/>
      <c r="M3141" s="124"/>
      <c r="N3141" s="124"/>
      <c r="O3141" s="124"/>
      <c r="P3141" s="124"/>
      <c r="Q3141" s="124"/>
      <c r="R3141" s="124"/>
      <c r="S3141" s="124"/>
      <c r="T3141" s="124"/>
      <c r="U3141" s="124"/>
      <c r="V3141" s="124"/>
      <c r="W3141" s="124"/>
      <c r="X3141" s="124"/>
      <c r="Y3141" s="124"/>
      <c r="Z3141" s="124"/>
    </row>
    <row r="3142">
      <c r="A3142" s="124"/>
      <c r="B3142" s="124"/>
      <c r="C3142" s="147"/>
      <c r="D3142" s="124"/>
      <c r="E3142" s="124"/>
      <c r="F3142" s="124"/>
      <c r="G3142" s="124"/>
      <c r="H3142" s="124"/>
      <c r="I3142" s="124"/>
      <c r="J3142" s="124"/>
      <c r="K3142" s="124"/>
      <c r="L3142" s="124"/>
      <c r="M3142" s="124"/>
      <c r="N3142" s="124"/>
      <c r="O3142" s="124"/>
      <c r="P3142" s="124"/>
      <c r="Q3142" s="124"/>
      <c r="R3142" s="124"/>
      <c r="S3142" s="124"/>
      <c r="T3142" s="124"/>
      <c r="U3142" s="124"/>
      <c r="V3142" s="124"/>
      <c r="W3142" s="124"/>
      <c r="X3142" s="124"/>
      <c r="Y3142" s="124"/>
      <c r="Z3142" s="124"/>
    </row>
    <row r="3143">
      <c r="A3143" s="124"/>
      <c r="B3143" s="124"/>
      <c r="C3143" s="147"/>
      <c r="D3143" s="124"/>
      <c r="E3143" s="124"/>
      <c r="F3143" s="124"/>
      <c r="G3143" s="124"/>
      <c r="H3143" s="124"/>
      <c r="I3143" s="124"/>
      <c r="J3143" s="124"/>
      <c r="K3143" s="124"/>
      <c r="L3143" s="124"/>
      <c r="M3143" s="124"/>
      <c r="N3143" s="124"/>
      <c r="O3143" s="124"/>
      <c r="P3143" s="124"/>
      <c r="Q3143" s="124"/>
      <c r="R3143" s="124"/>
      <c r="S3143" s="124"/>
      <c r="T3143" s="124"/>
      <c r="U3143" s="124"/>
      <c r="V3143" s="124"/>
      <c r="W3143" s="124"/>
      <c r="X3143" s="124"/>
      <c r="Y3143" s="124"/>
      <c r="Z3143" s="124"/>
    </row>
    <row r="3144">
      <c r="A3144" s="124"/>
      <c r="B3144" s="124"/>
      <c r="C3144" s="147"/>
      <c r="D3144" s="124"/>
      <c r="E3144" s="124"/>
      <c r="F3144" s="124"/>
      <c r="G3144" s="124"/>
      <c r="H3144" s="124"/>
      <c r="I3144" s="124"/>
      <c r="J3144" s="124"/>
      <c r="K3144" s="124"/>
      <c r="L3144" s="124"/>
      <c r="M3144" s="124"/>
      <c r="N3144" s="124"/>
      <c r="O3144" s="124"/>
      <c r="P3144" s="124"/>
      <c r="Q3144" s="124"/>
      <c r="R3144" s="124"/>
      <c r="S3144" s="124"/>
      <c r="T3144" s="124"/>
      <c r="U3144" s="124"/>
      <c r="V3144" s="124"/>
      <c r="W3144" s="124"/>
      <c r="X3144" s="124"/>
      <c r="Y3144" s="124"/>
      <c r="Z3144" s="124"/>
    </row>
    <row r="3145">
      <c r="A3145" s="124"/>
      <c r="B3145" s="124"/>
      <c r="C3145" s="147"/>
      <c r="D3145" s="124"/>
      <c r="E3145" s="124"/>
      <c r="F3145" s="124"/>
      <c r="G3145" s="124"/>
      <c r="H3145" s="124"/>
      <c r="I3145" s="124"/>
      <c r="J3145" s="124"/>
      <c r="K3145" s="124"/>
      <c r="L3145" s="124"/>
      <c r="M3145" s="124"/>
      <c r="N3145" s="124"/>
      <c r="O3145" s="124"/>
      <c r="P3145" s="124"/>
      <c r="Q3145" s="124"/>
      <c r="R3145" s="124"/>
      <c r="S3145" s="124"/>
      <c r="T3145" s="124"/>
      <c r="U3145" s="124"/>
      <c r="V3145" s="124"/>
      <c r="W3145" s="124"/>
      <c r="X3145" s="124"/>
      <c r="Y3145" s="124"/>
      <c r="Z3145" s="124"/>
    </row>
    <row r="3146">
      <c r="A3146" s="124"/>
      <c r="B3146" s="124"/>
      <c r="C3146" s="147"/>
      <c r="D3146" s="124"/>
      <c r="E3146" s="124"/>
      <c r="F3146" s="124"/>
      <c r="G3146" s="124"/>
      <c r="H3146" s="124"/>
      <c r="I3146" s="124"/>
      <c r="J3146" s="124"/>
      <c r="K3146" s="124"/>
      <c r="L3146" s="124"/>
      <c r="M3146" s="124"/>
      <c r="N3146" s="124"/>
      <c r="O3146" s="124"/>
      <c r="P3146" s="124"/>
      <c r="Q3146" s="124"/>
      <c r="R3146" s="124"/>
      <c r="S3146" s="124"/>
      <c r="T3146" s="124"/>
      <c r="U3146" s="124"/>
      <c r="V3146" s="124"/>
      <c r="W3146" s="124"/>
      <c r="X3146" s="124"/>
      <c r="Y3146" s="124"/>
      <c r="Z3146" s="124"/>
    </row>
    <row r="3147">
      <c r="A3147" s="124"/>
      <c r="B3147" s="124"/>
      <c r="C3147" s="147"/>
      <c r="D3147" s="124"/>
      <c r="E3147" s="124"/>
      <c r="F3147" s="124"/>
      <c r="G3147" s="124"/>
      <c r="H3147" s="124"/>
      <c r="I3147" s="124"/>
      <c r="J3147" s="124"/>
      <c r="K3147" s="124"/>
      <c r="L3147" s="124"/>
      <c r="M3147" s="124"/>
      <c r="N3147" s="124"/>
      <c r="O3147" s="124"/>
      <c r="P3147" s="124"/>
      <c r="Q3147" s="124"/>
      <c r="R3147" s="124"/>
      <c r="S3147" s="124"/>
      <c r="T3147" s="124"/>
      <c r="U3147" s="124"/>
      <c r="V3147" s="124"/>
      <c r="W3147" s="124"/>
      <c r="X3147" s="124"/>
      <c r="Y3147" s="124"/>
      <c r="Z3147" s="124"/>
    </row>
    <row r="3148">
      <c r="A3148" s="124"/>
      <c r="B3148" s="124"/>
      <c r="C3148" s="147"/>
      <c r="D3148" s="124"/>
      <c r="E3148" s="124"/>
      <c r="F3148" s="124"/>
      <c r="G3148" s="124"/>
      <c r="H3148" s="124"/>
      <c r="I3148" s="124"/>
      <c r="J3148" s="124"/>
      <c r="K3148" s="124"/>
      <c r="L3148" s="124"/>
      <c r="M3148" s="124"/>
      <c r="N3148" s="124"/>
      <c r="O3148" s="124"/>
      <c r="P3148" s="124"/>
      <c r="Q3148" s="124"/>
      <c r="R3148" s="124"/>
      <c r="S3148" s="124"/>
      <c r="T3148" s="124"/>
      <c r="U3148" s="124"/>
      <c r="V3148" s="124"/>
      <c r="W3148" s="124"/>
      <c r="X3148" s="124"/>
      <c r="Y3148" s="124"/>
      <c r="Z3148" s="124"/>
    </row>
    <row r="3149">
      <c r="A3149" s="124"/>
      <c r="B3149" s="124"/>
      <c r="C3149" s="147"/>
      <c r="D3149" s="124"/>
      <c r="E3149" s="124"/>
      <c r="F3149" s="124"/>
      <c r="G3149" s="124"/>
      <c r="H3149" s="124"/>
      <c r="I3149" s="124"/>
      <c r="J3149" s="124"/>
      <c r="K3149" s="124"/>
      <c r="L3149" s="124"/>
      <c r="M3149" s="124"/>
      <c r="N3149" s="124"/>
      <c r="O3149" s="124"/>
      <c r="P3149" s="124"/>
      <c r="Q3149" s="124"/>
      <c r="R3149" s="124"/>
      <c r="S3149" s="124"/>
      <c r="T3149" s="124"/>
      <c r="U3149" s="124"/>
      <c r="V3149" s="124"/>
      <c r="W3149" s="124"/>
      <c r="X3149" s="124"/>
      <c r="Y3149" s="124"/>
      <c r="Z3149" s="124"/>
    </row>
    <row r="3150">
      <c r="A3150" s="124"/>
      <c r="B3150" s="124"/>
      <c r="C3150" s="147"/>
      <c r="D3150" s="124"/>
      <c r="E3150" s="124"/>
      <c r="F3150" s="124"/>
      <c r="G3150" s="124"/>
      <c r="H3150" s="124"/>
      <c r="I3150" s="124"/>
      <c r="J3150" s="124"/>
      <c r="K3150" s="124"/>
      <c r="L3150" s="124"/>
      <c r="M3150" s="124"/>
      <c r="N3150" s="124"/>
      <c r="O3150" s="124"/>
      <c r="P3150" s="124"/>
      <c r="Q3150" s="124"/>
      <c r="R3150" s="124"/>
      <c r="S3150" s="124"/>
      <c r="T3150" s="124"/>
      <c r="U3150" s="124"/>
      <c r="V3150" s="124"/>
      <c r="W3150" s="124"/>
      <c r="X3150" s="124"/>
      <c r="Y3150" s="124"/>
      <c r="Z3150" s="124"/>
    </row>
    <row r="3151">
      <c r="A3151" s="124"/>
      <c r="B3151" s="124"/>
      <c r="C3151" s="147"/>
      <c r="D3151" s="124"/>
      <c r="E3151" s="124"/>
      <c r="F3151" s="124"/>
      <c r="G3151" s="124"/>
      <c r="H3151" s="124"/>
      <c r="I3151" s="124"/>
      <c r="J3151" s="124"/>
      <c r="K3151" s="124"/>
      <c r="L3151" s="124"/>
      <c r="M3151" s="124"/>
      <c r="N3151" s="124"/>
      <c r="O3151" s="124"/>
      <c r="P3151" s="124"/>
      <c r="Q3151" s="124"/>
      <c r="R3151" s="124"/>
      <c r="S3151" s="124"/>
      <c r="T3151" s="124"/>
      <c r="U3151" s="124"/>
      <c r="V3151" s="124"/>
      <c r="W3151" s="124"/>
      <c r="X3151" s="124"/>
      <c r="Y3151" s="124"/>
      <c r="Z3151" s="124"/>
    </row>
    <row r="3152">
      <c r="A3152" s="124"/>
      <c r="B3152" s="124"/>
      <c r="C3152" s="147"/>
      <c r="D3152" s="124"/>
      <c r="E3152" s="124"/>
      <c r="F3152" s="124"/>
      <c r="G3152" s="124"/>
      <c r="H3152" s="124"/>
      <c r="I3152" s="124"/>
      <c r="J3152" s="124"/>
      <c r="K3152" s="124"/>
      <c r="L3152" s="124"/>
      <c r="M3152" s="124"/>
      <c r="N3152" s="124"/>
      <c r="O3152" s="124"/>
      <c r="P3152" s="124"/>
      <c r="Q3152" s="124"/>
      <c r="R3152" s="124"/>
      <c r="S3152" s="124"/>
      <c r="T3152" s="124"/>
      <c r="U3152" s="124"/>
      <c r="V3152" s="124"/>
      <c r="W3152" s="124"/>
      <c r="X3152" s="124"/>
      <c r="Y3152" s="124"/>
      <c r="Z3152" s="124"/>
    </row>
    <row r="3153">
      <c r="A3153" s="124"/>
      <c r="B3153" s="124"/>
      <c r="C3153" s="147"/>
      <c r="D3153" s="124"/>
      <c r="E3153" s="124"/>
      <c r="F3153" s="124"/>
      <c r="G3153" s="124"/>
      <c r="H3153" s="124"/>
      <c r="I3153" s="124"/>
      <c r="J3153" s="124"/>
      <c r="K3153" s="124"/>
      <c r="L3153" s="124"/>
      <c r="M3153" s="124"/>
      <c r="N3153" s="124"/>
      <c r="O3153" s="124"/>
      <c r="P3153" s="124"/>
      <c r="Q3153" s="124"/>
      <c r="R3153" s="124"/>
      <c r="S3153" s="124"/>
      <c r="T3153" s="124"/>
      <c r="U3153" s="124"/>
      <c r="V3153" s="124"/>
      <c r="W3153" s="124"/>
      <c r="X3153" s="124"/>
      <c r="Y3153" s="124"/>
      <c r="Z3153" s="124"/>
    </row>
    <row r="3154">
      <c r="A3154" s="124"/>
      <c r="B3154" s="124"/>
      <c r="C3154" s="147"/>
      <c r="D3154" s="124"/>
      <c r="E3154" s="124"/>
      <c r="F3154" s="124"/>
      <c r="G3154" s="124"/>
      <c r="H3154" s="124"/>
      <c r="I3154" s="124"/>
      <c r="J3154" s="124"/>
      <c r="K3154" s="124"/>
      <c r="L3154" s="124"/>
      <c r="M3154" s="124"/>
      <c r="N3154" s="124"/>
      <c r="O3154" s="124"/>
      <c r="P3154" s="124"/>
      <c r="Q3154" s="124"/>
      <c r="R3154" s="124"/>
      <c r="S3154" s="124"/>
      <c r="T3154" s="124"/>
      <c r="U3154" s="124"/>
      <c r="V3154" s="124"/>
      <c r="W3154" s="124"/>
      <c r="X3154" s="124"/>
      <c r="Y3154" s="124"/>
      <c r="Z3154" s="124"/>
    </row>
    <row r="3155">
      <c r="A3155" s="124"/>
      <c r="B3155" s="124"/>
      <c r="C3155" s="147"/>
      <c r="D3155" s="124"/>
      <c r="E3155" s="124"/>
      <c r="F3155" s="124"/>
      <c r="G3155" s="124"/>
      <c r="H3155" s="124"/>
      <c r="I3155" s="124"/>
      <c r="J3155" s="124"/>
      <c r="K3155" s="124"/>
      <c r="L3155" s="124"/>
      <c r="M3155" s="124"/>
      <c r="N3155" s="124"/>
      <c r="O3155" s="124"/>
      <c r="P3155" s="124"/>
      <c r="Q3155" s="124"/>
      <c r="R3155" s="124"/>
      <c r="S3155" s="124"/>
      <c r="T3155" s="124"/>
      <c r="U3155" s="124"/>
      <c r="V3155" s="124"/>
      <c r="W3155" s="124"/>
      <c r="X3155" s="124"/>
      <c r="Y3155" s="124"/>
      <c r="Z3155" s="124"/>
    </row>
    <row r="3156">
      <c r="A3156" s="124"/>
      <c r="B3156" s="124"/>
      <c r="C3156" s="147"/>
      <c r="D3156" s="124"/>
      <c r="E3156" s="124"/>
      <c r="F3156" s="124"/>
      <c r="G3156" s="124"/>
      <c r="H3156" s="124"/>
      <c r="I3156" s="124"/>
      <c r="J3156" s="124"/>
      <c r="K3156" s="124"/>
      <c r="L3156" s="124"/>
      <c r="M3156" s="124"/>
      <c r="N3156" s="124"/>
      <c r="O3156" s="124"/>
      <c r="P3156" s="124"/>
      <c r="Q3156" s="124"/>
      <c r="R3156" s="124"/>
      <c r="S3156" s="124"/>
      <c r="T3156" s="124"/>
      <c r="U3156" s="124"/>
      <c r="V3156" s="124"/>
      <c r="W3156" s="124"/>
      <c r="X3156" s="124"/>
      <c r="Y3156" s="124"/>
      <c r="Z3156" s="124"/>
    </row>
    <row r="3157">
      <c r="A3157" s="124"/>
      <c r="B3157" s="124"/>
      <c r="C3157" s="147"/>
      <c r="D3157" s="124"/>
      <c r="E3157" s="124"/>
      <c r="F3157" s="124"/>
      <c r="G3157" s="124"/>
      <c r="H3157" s="124"/>
      <c r="I3157" s="124"/>
      <c r="J3157" s="124"/>
      <c r="K3157" s="124"/>
      <c r="L3157" s="124"/>
      <c r="M3157" s="124"/>
      <c r="N3157" s="124"/>
      <c r="O3157" s="124"/>
      <c r="P3157" s="124"/>
      <c r="Q3157" s="124"/>
      <c r="R3157" s="124"/>
      <c r="S3157" s="124"/>
      <c r="T3157" s="124"/>
      <c r="U3157" s="124"/>
      <c r="V3157" s="124"/>
      <c r="W3157" s="124"/>
      <c r="X3157" s="124"/>
      <c r="Y3157" s="124"/>
      <c r="Z3157" s="124"/>
    </row>
    <row r="3158">
      <c r="A3158" s="124"/>
      <c r="B3158" s="124"/>
      <c r="C3158" s="147"/>
      <c r="D3158" s="124"/>
      <c r="E3158" s="124"/>
      <c r="F3158" s="124"/>
      <c r="G3158" s="124"/>
      <c r="H3158" s="124"/>
      <c r="I3158" s="124"/>
      <c r="J3158" s="124"/>
      <c r="K3158" s="124"/>
      <c r="L3158" s="124"/>
      <c r="M3158" s="124"/>
      <c r="N3158" s="124"/>
      <c r="O3158" s="124"/>
      <c r="P3158" s="124"/>
      <c r="Q3158" s="124"/>
      <c r="R3158" s="124"/>
      <c r="S3158" s="124"/>
      <c r="T3158" s="124"/>
      <c r="U3158" s="124"/>
      <c r="V3158" s="124"/>
      <c r="W3158" s="124"/>
      <c r="X3158" s="124"/>
      <c r="Y3158" s="124"/>
      <c r="Z3158" s="124"/>
    </row>
    <row r="3159">
      <c r="A3159" s="124"/>
      <c r="B3159" s="124"/>
      <c r="C3159" s="147"/>
      <c r="D3159" s="124"/>
      <c r="E3159" s="124"/>
      <c r="F3159" s="124"/>
      <c r="G3159" s="124"/>
      <c r="H3159" s="124"/>
      <c r="I3159" s="124"/>
      <c r="J3159" s="124"/>
      <c r="K3159" s="124"/>
      <c r="L3159" s="124"/>
      <c r="M3159" s="124"/>
      <c r="N3159" s="124"/>
      <c r="O3159" s="124"/>
      <c r="P3159" s="124"/>
      <c r="Q3159" s="124"/>
      <c r="R3159" s="124"/>
      <c r="S3159" s="124"/>
      <c r="T3159" s="124"/>
      <c r="U3159" s="124"/>
      <c r="V3159" s="124"/>
      <c r="W3159" s="124"/>
      <c r="X3159" s="124"/>
      <c r="Y3159" s="124"/>
      <c r="Z3159" s="124"/>
    </row>
    <row r="3160">
      <c r="A3160" s="124"/>
      <c r="B3160" s="124"/>
      <c r="C3160" s="147"/>
      <c r="D3160" s="124"/>
      <c r="E3160" s="124"/>
      <c r="F3160" s="124"/>
      <c r="G3160" s="124"/>
      <c r="H3160" s="124"/>
      <c r="I3160" s="124"/>
      <c r="J3160" s="124"/>
      <c r="K3160" s="124"/>
      <c r="L3160" s="124"/>
      <c r="M3160" s="124"/>
      <c r="N3160" s="124"/>
      <c r="O3160" s="124"/>
      <c r="P3160" s="124"/>
      <c r="Q3160" s="124"/>
      <c r="R3160" s="124"/>
      <c r="S3160" s="124"/>
      <c r="T3160" s="124"/>
      <c r="U3160" s="124"/>
      <c r="V3160" s="124"/>
      <c r="W3160" s="124"/>
      <c r="X3160" s="124"/>
      <c r="Y3160" s="124"/>
      <c r="Z3160" s="124"/>
    </row>
    <row r="3161">
      <c r="A3161" s="124"/>
      <c r="B3161" s="124"/>
      <c r="C3161" s="147"/>
      <c r="D3161" s="124"/>
      <c r="E3161" s="124"/>
      <c r="F3161" s="124"/>
      <c r="G3161" s="124"/>
      <c r="H3161" s="124"/>
      <c r="I3161" s="124"/>
      <c r="J3161" s="124"/>
      <c r="K3161" s="124"/>
      <c r="L3161" s="124"/>
      <c r="M3161" s="124"/>
      <c r="N3161" s="124"/>
      <c r="O3161" s="124"/>
      <c r="P3161" s="124"/>
      <c r="Q3161" s="124"/>
      <c r="R3161" s="124"/>
      <c r="S3161" s="124"/>
      <c r="T3161" s="124"/>
      <c r="U3161" s="124"/>
      <c r="V3161" s="124"/>
      <c r="W3161" s="124"/>
      <c r="X3161" s="124"/>
      <c r="Y3161" s="124"/>
      <c r="Z3161" s="124"/>
    </row>
    <row r="3162">
      <c r="A3162" s="124"/>
      <c r="B3162" s="124"/>
      <c r="C3162" s="147"/>
      <c r="D3162" s="124"/>
      <c r="E3162" s="124"/>
      <c r="F3162" s="124"/>
      <c r="G3162" s="124"/>
      <c r="H3162" s="124"/>
      <c r="I3162" s="124"/>
      <c r="J3162" s="124"/>
      <c r="K3162" s="124"/>
      <c r="L3162" s="124"/>
      <c r="M3162" s="124"/>
      <c r="N3162" s="124"/>
      <c r="O3162" s="124"/>
      <c r="P3162" s="124"/>
      <c r="Q3162" s="124"/>
      <c r="R3162" s="124"/>
      <c r="S3162" s="124"/>
      <c r="T3162" s="124"/>
      <c r="U3162" s="124"/>
      <c r="V3162" s="124"/>
      <c r="W3162" s="124"/>
      <c r="X3162" s="124"/>
      <c r="Y3162" s="124"/>
      <c r="Z3162" s="124"/>
    </row>
    <row r="3163">
      <c r="A3163" s="124"/>
      <c r="B3163" s="124"/>
      <c r="C3163" s="147"/>
      <c r="D3163" s="124"/>
      <c r="E3163" s="124"/>
      <c r="F3163" s="124"/>
      <c r="G3163" s="124"/>
      <c r="H3163" s="124"/>
      <c r="I3163" s="124"/>
      <c r="J3163" s="124"/>
      <c r="K3163" s="124"/>
      <c r="L3163" s="124"/>
      <c r="M3163" s="124"/>
      <c r="N3163" s="124"/>
      <c r="O3163" s="124"/>
      <c r="P3163" s="124"/>
      <c r="Q3163" s="124"/>
      <c r="R3163" s="124"/>
      <c r="S3163" s="124"/>
      <c r="T3163" s="124"/>
      <c r="U3163" s="124"/>
      <c r="V3163" s="124"/>
      <c r="W3163" s="124"/>
      <c r="X3163" s="124"/>
      <c r="Y3163" s="124"/>
      <c r="Z3163" s="124"/>
    </row>
    <row r="3164">
      <c r="A3164" s="124"/>
      <c r="B3164" s="124"/>
      <c r="C3164" s="147"/>
      <c r="D3164" s="124"/>
      <c r="E3164" s="124"/>
      <c r="F3164" s="124"/>
      <c r="G3164" s="124"/>
      <c r="H3164" s="124"/>
      <c r="I3164" s="124"/>
      <c r="J3164" s="124"/>
      <c r="K3164" s="124"/>
      <c r="L3164" s="124"/>
      <c r="M3164" s="124"/>
      <c r="N3164" s="124"/>
      <c r="O3164" s="124"/>
      <c r="P3164" s="124"/>
      <c r="Q3164" s="124"/>
      <c r="R3164" s="124"/>
      <c r="S3164" s="124"/>
      <c r="T3164" s="124"/>
      <c r="U3164" s="124"/>
      <c r="V3164" s="124"/>
      <c r="W3164" s="124"/>
      <c r="X3164" s="124"/>
      <c r="Y3164" s="124"/>
      <c r="Z3164" s="124"/>
    </row>
    <row r="3165">
      <c r="A3165" s="124"/>
      <c r="B3165" s="124"/>
      <c r="C3165" s="147"/>
      <c r="D3165" s="124"/>
      <c r="E3165" s="124"/>
      <c r="F3165" s="124"/>
      <c r="G3165" s="124"/>
      <c r="H3165" s="124"/>
      <c r="I3165" s="124"/>
      <c r="J3165" s="124"/>
      <c r="K3165" s="124"/>
      <c r="L3165" s="124"/>
      <c r="M3165" s="124"/>
      <c r="N3165" s="124"/>
      <c r="O3165" s="124"/>
      <c r="P3165" s="124"/>
      <c r="Q3165" s="124"/>
      <c r="R3165" s="124"/>
      <c r="S3165" s="124"/>
      <c r="T3165" s="124"/>
      <c r="U3165" s="124"/>
      <c r="V3165" s="124"/>
      <c r="W3165" s="124"/>
      <c r="X3165" s="124"/>
      <c r="Y3165" s="124"/>
      <c r="Z3165" s="124"/>
    </row>
    <row r="3166">
      <c r="A3166" s="124"/>
      <c r="B3166" s="124"/>
      <c r="C3166" s="147"/>
      <c r="D3166" s="124"/>
      <c r="E3166" s="124"/>
      <c r="F3166" s="124"/>
      <c r="G3166" s="124"/>
      <c r="H3166" s="124"/>
      <c r="I3166" s="124"/>
      <c r="J3166" s="124"/>
      <c r="K3166" s="124"/>
      <c r="L3166" s="124"/>
      <c r="M3166" s="124"/>
      <c r="N3166" s="124"/>
      <c r="O3166" s="124"/>
      <c r="P3166" s="124"/>
      <c r="Q3166" s="124"/>
      <c r="R3166" s="124"/>
      <c r="S3166" s="124"/>
      <c r="T3166" s="124"/>
      <c r="U3166" s="124"/>
      <c r="V3166" s="124"/>
      <c r="W3166" s="124"/>
      <c r="X3166" s="124"/>
      <c r="Y3166" s="124"/>
      <c r="Z3166" s="124"/>
    </row>
    <row r="3167">
      <c r="A3167" s="124"/>
      <c r="B3167" s="124"/>
      <c r="C3167" s="147"/>
      <c r="D3167" s="124"/>
      <c r="E3167" s="124"/>
      <c r="F3167" s="124"/>
      <c r="G3167" s="124"/>
      <c r="H3167" s="124"/>
      <c r="I3167" s="124"/>
      <c r="J3167" s="124"/>
      <c r="K3167" s="124"/>
      <c r="L3167" s="124"/>
      <c r="M3167" s="124"/>
      <c r="N3167" s="124"/>
      <c r="O3167" s="124"/>
      <c r="P3167" s="124"/>
      <c r="Q3167" s="124"/>
      <c r="R3167" s="124"/>
      <c r="S3167" s="124"/>
      <c r="T3167" s="124"/>
      <c r="U3167" s="124"/>
      <c r="V3167" s="124"/>
      <c r="W3167" s="124"/>
      <c r="X3167" s="124"/>
      <c r="Y3167" s="124"/>
      <c r="Z3167" s="124"/>
    </row>
    <row r="3168">
      <c r="A3168" s="124"/>
      <c r="B3168" s="124"/>
      <c r="C3168" s="147"/>
      <c r="D3168" s="124"/>
      <c r="E3168" s="124"/>
      <c r="F3168" s="124"/>
      <c r="G3168" s="124"/>
      <c r="H3168" s="124"/>
      <c r="I3168" s="124"/>
      <c r="J3168" s="124"/>
      <c r="K3168" s="124"/>
      <c r="L3168" s="124"/>
      <c r="M3168" s="124"/>
      <c r="N3168" s="124"/>
      <c r="O3168" s="124"/>
      <c r="P3168" s="124"/>
      <c r="Q3168" s="124"/>
      <c r="R3168" s="124"/>
      <c r="S3168" s="124"/>
      <c r="T3168" s="124"/>
      <c r="U3168" s="124"/>
      <c r="V3168" s="124"/>
      <c r="W3168" s="124"/>
      <c r="X3168" s="124"/>
      <c r="Y3168" s="124"/>
      <c r="Z3168" s="124"/>
    </row>
    <row r="3169">
      <c r="A3169" s="124"/>
      <c r="B3169" s="124"/>
      <c r="C3169" s="147"/>
      <c r="D3169" s="124"/>
      <c r="E3169" s="124"/>
      <c r="F3169" s="124"/>
      <c r="G3169" s="124"/>
      <c r="H3169" s="124"/>
      <c r="I3169" s="124"/>
      <c r="J3169" s="124"/>
      <c r="K3169" s="124"/>
      <c r="L3169" s="124"/>
      <c r="M3169" s="124"/>
      <c r="N3169" s="124"/>
      <c r="O3169" s="124"/>
      <c r="P3169" s="124"/>
      <c r="Q3169" s="124"/>
      <c r="R3169" s="124"/>
      <c r="S3169" s="124"/>
      <c r="T3169" s="124"/>
      <c r="U3169" s="124"/>
      <c r="V3169" s="124"/>
      <c r="W3169" s="124"/>
      <c r="X3169" s="124"/>
      <c r="Y3169" s="124"/>
      <c r="Z3169" s="124"/>
    </row>
    <row r="3170">
      <c r="A3170" s="124"/>
      <c r="B3170" s="124"/>
      <c r="C3170" s="147"/>
      <c r="D3170" s="124"/>
      <c r="E3170" s="124"/>
      <c r="F3170" s="124"/>
      <c r="G3170" s="124"/>
      <c r="H3170" s="124"/>
      <c r="I3170" s="124"/>
      <c r="J3170" s="124"/>
      <c r="K3170" s="124"/>
      <c r="L3170" s="124"/>
      <c r="M3170" s="124"/>
      <c r="N3170" s="124"/>
      <c r="O3170" s="124"/>
      <c r="P3170" s="124"/>
      <c r="Q3170" s="124"/>
      <c r="R3170" s="124"/>
      <c r="S3170" s="124"/>
      <c r="T3170" s="124"/>
      <c r="U3170" s="124"/>
      <c r="V3170" s="124"/>
      <c r="W3170" s="124"/>
      <c r="X3170" s="124"/>
      <c r="Y3170" s="124"/>
      <c r="Z3170" s="124"/>
    </row>
    <row r="3171">
      <c r="A3171" s="124"/>
      <c r="B3171" s="124"/>
      <c r="C3171" s="147"/>
      <c r="D3171" s="124"/>
      <c r="E3171" s="124"/>
      <c r="F3171" s="124"/>
      <c r="G3171" s="124"/>
      <c r="H3171" s="124"/>
      <c r="I3171" s="124"/>
      <c r="J3171" s="124"/>
      <c r="K3171" s="124"/>
      <c r="L3171" s="124"/>
      <c r="M3171" s="124"/>
      <c r="N3171" s="124"/>
      <c r="O3171" s="124"/>
      <c r="P3171" s="124"/>
      <c r="Q3171" s="124"/>
      <c r="R3171" s="124"/>
      <c r="S3171" s="124"/>
      <c r="T3171" s="124"/>
      <c r="U3171" s="124"/>
      <c r="V3171" s="124"/>
      <c r="W3171" s="124"/>
      <c r="X3171" s="124"/>
      <c r="Y3171" s="124"/>
      <c r="Z3171" s="124"/>
    </row>
    <row r="3172">
      <c r="A3172" s="124"/>
      <c r="B3172" s="124"/>
      <c r="C3172" s="147"/>
      <c r="D3172" s="124"/>
      <c r="E3172" s="124"/>
      <c r="F3172" s="124"/>
      <c r="G3172" s="124"/>
      <c r="H3172" s="124"/>
      <c r="I3172" s="124"/>
      <c r="J3172" s="124"/>
      <c r="K3172" s="124"/>
      <c r="L3172" s="124"/>
      <c r="M3172" s="124"/>
      <c r="N3172" s="124"/>
      <c r="O3172" s="124"/>
      <c r="P3172" s="124"/>
      <c r="Q3172" s="124"/>
      <c r="R3172" s="124"/>
      <c r="S3172" s="124"/>
      <c r="T3172" s="124"/>
      <c r="U3172" s="124"/>
      <c r="V3172" s="124"/>
      <c r="W3172" s="124"/>
      <c r="X3172" s="124"/>
      <c r="Y3172" s="124"/>
      <c r="Z3172" s="124"/>
    </row>
    <row r="3173">
      <c r="A3173" s="124"/>
      <c r="B3173" s="124"/>
      <c r="C3173" s="147"/>
      <c r="D3173" s="124"/>
      <c r="E3173" s="124"/>
      <c r="F3173" s="124"/>
      <c r="G3173" s="124"/>
      <c r="H3173" s="124"/>
      <c r="I3173" s="124"/>
      <c r="J3173" s="124"/>
      <c r="K3173" s="124"/>
      <c r="L3173" s="124"/>
      <c r="M3173" s="124"/>
      <c r="N3173" s="124"/>
      <c r="O3173" s="124"/>
      <c r="P3173" s="124"/>
      <c r="Q3173" s="124"/>
      <c r="R3173" s="124"/>
      <c r="S3173" s="124"/>
      <c r="T3173" s="124"/>
      <c r="U3173" s="124"/>
      <c r="V3173" s="124"/>
      <c r="W3173" s="124"/>
      <c r="X3173" s="124"/>
      <c r="Y3173" s="124"/>
      <c r="Z3173" s="124"/>
    </row>
    <row r="3174">
      <c r="A3174" s="124"/>
      <c r="B3174" s="124"/>
      <c r="C3174" s="147"/>
      <c r="D3174" s="124"/>
      <c r="E3174" s="124"/>
      <c r="F3174" s="124"/>
      <c r="G3174" s="124"/>
      <c r="H3174" s="124"/>
      <c r="I3174" s="124"/>
      <c r="J3174" s="124"/>
      <c r="K3174" s="124"/>
      <c r="L3174" s="124"/>
      <c r="M3174" s="124"/>
      <c r="N3174" s="124"/>
      <c r="O3174" s="124"/>
      <c r="P3174" s="124"/>
      <c r="Q3174" s="124"/>
      <c r="R3174" s="124"/>
      <c r="S3174" s="124"/>
      <c r="T3174" s="124"/>
      <c r="U3174" s="124"/>
      <c r="V3174" s="124"/>
      <c r="W3174" s="124"/>
      <c r="X3174" s="124"/>
      <c r="Y3174" s="124"/>
      <c r="Z3174" s="124"/>
    </row>
    <row r="3175">
      <c r="A3175" s="124"/>
      <c r="B3175" s="124"/>
      <c r="C3175" s="147"/>
      <c r="D3175" s="124"/>
      <c r="E3175" s="124"/>
      <c r="F3175" s="124"/>
      <c r="G3175" s="124"/>
      <c r="H3175" s="124"/>
      <c r="I3175" s="124"/>
      <c r="J3175" s="124"/>
      <c r="K3175" s="124"/>
      <c r="L3175" s="124"/>
      <c r="M3175" s="124"/>
      <c r="N3175" s="124"/>
      <c r="O3175" s="124"/>
      <c r="P3175" s="124"/>
      <c r="Q3175" s="124"/>
      <c r="R3175" s="124"/>
      <c r="S3175" s="124"/>
      <c r="T3175" s="124"/>
      <c r="U3175" s="124"/>
      <c r="V3175" s="124"/>
      <c r="W3175" s="124"/>
      <c r="X3175" s="124"/>
      <c r="Y3175" s="124"/>
      <c r="Z3175" s="124"/>
    </row>
    <row r="3176">
      <c r="A3176" s="124"/>
      <c r="B3176" s="124"/>
      <c r="C3176" s="147"/>
      <c r="D3176" s="124"/>
      <c r="E3176" s="124"/>
      <c r="F3176" s="124"/>
      <c r="G3176" s="124"/>
      <c r="H3176" s="124"/>
      <c r="I3176" s="124"/>
      <c r="J3176" s="124"/>
      <c r="K3176" s="124"/>
      <c r="L3176" s="124"/>
      <c r="M3176" s="124"/>
      <c r="N3176" s="124"/>
      <c r="O3176" s="124"/>
      <c r="P3176" s="124"/>
      <c r="Q3176" s="124"/>
      <c r="R3176" s="124"/>
      <c r="S3176" s="124"/>
      <c r="T3176" s="124"/>
      <c r="U3176" s="124"/>
      <c r="V3176" s="124"/>
      <c r="W3176" s="124"/>
      <c r="X3176" s="124"/>
      <c r="Y3176" s="124"/>
      <c r="Z3176" s="124"/>
    </row>
    <row r="3177">
      <c r="A3177" s="124"/>
      <c r="B3177" s="124"/>
      <c r="C3177" s="147"/>
      <c r="D3177" s="124"/>
      <c r="E3177" s="124"/>
      <c r="F3177" s="124"/>
      <c r="G3177" s="124"/>
      <c r="H3177" s="124"/>
      <c r="I3177" s="124"/>
      <c r="J3177" s="124"/>
      <c r="K3177" s="124"/>
      <c r="L3177" s="124"/>
      <c r="M3177" s="124"/>
      <c r="N3177" s="124"/>
      <c r="O3177" s="124"/>
      <c r="P3177" s="124"/>
      <c r="Q3177" s="124"/>
      <c r="R3177" s="124"/>
      <c r="S3177" s="124"/>
      <c r="T3177" s="124"/>
      <c r="U3177" s="124"/>
      <c r="V3177" s="124"/>
      <c r="W3177" s="124"/>
      <c r="X3177" s="124"/>
      <c r="Y3177" s="124"/>
      <c r="Z3177" s="124"/>
    </row>
    <row r="3178">
      <c r="A3178" s="124"/>
      <c r="B3178" s="124"/>
      <c r="C3178" s="147"/>
      <c r="D3178" s="124"/>
      <c r="E3178" s="124"/>
      <c r="F3178" s="124"/>
      <c r="G3178" s="124"/>
      <c r="H3178" s="124"/>
      <c r="I3178" s="124"/>
      <c r="J3178" s="124"/>
      <c r="K3178" s="124"/>
      <c r="L3178" s="124"/>
      <c r="M3178" s="124"/>
      <c r="N3178" s="124"/>
      <c r="O3178" s="124"/>
      <c r="P3178" s="124"/>
      <c r="Q3178" s="124"/>
      <c r="R3178" s="124"/>
      <c r="S3178" s="124"/>
      <c r="T3178" s="124"/>
      <c r="U3178" s="124"/>
      <c r="V3178" s="124"/>
      <c r="W3178" s="124"/>
      <c r="X3178" s="124"/>
      <c r="Y3178" s="124"/>
      <c r="Z3178" s="124"/>
    </row>
    <row r="3179">
      <c r="A3179" s="124"/>
      <c r="B3179" s="124"/>
      <c r="C3179" s="147"/>
      <c r="D3179" s="124"/>
      <c r="E3179" s="124"/>
      <c r="F3179" s="124"/>
      <c r="G3179" s="124"/>
      <c r="H3179" s="124"/>
      <c r="I3179" s="124"/>
      <c r="J3179" s="124"/>
      <c r="K3179" s="124"/>
      <c r="L3179" s="124"/>
      <c r="M3179" s="124"/>
      <c r="N3179" s="124"/>
      <c r="O3179" s="124"/>
      <c r="P3179" s="124"/>
      <c r="Q3179" s="124"/>
      <c r="R3179" s="124"/>
      <c r="S3179" s="124"/>
      <c r="T3179" s="124"/>
      <c r="U3179" s="124"/>
      <c r="V3179" s="124"/>
      <c r="W3179" s="124"/>
      <c r="X3179" s="124"/>
      <c r="Y3179" s="124"/>
      <c r="Z3179" s="124"/>
    </row>
    <row r="3180">
      <c r="A3180" s="124"/>
      <c r="B3180" s="124"/>
      <c r="C3180" s="147"/>
      <c r="D3180" s="124"/>
      <c r="E3180" s="124"/>
      <c r="F3180" s="124"/>
      <c r="G3180" s="124"/>
      <c r="H3180" s="124"/>
      <c r="I3180" s="124"/>
      <c r="J3180" s="124"/>
      <c r="K3180" s="124"/>
      <c r="L3180" s="124"/>
      <c r="M3180" s="124"/>
      <c r="N3180" s="124"/>
      <c r="O3180" s="124"/>
      <c r="P3180" s="124"/>
      <c r="Q3180" s="124"/>
      <c r="R3180" s="124"/>
      <c r="S3180" s="124"/>
      <c r="T3180" s="124"/>
      <c r="U3180" s="124"/>
      <c r="V3180" s="124"/>
      <c r="W3180" s="124"/>
      <c r="X3180" s="124"/>
      <c r="Y3180" s="124"/>
      <c r="Z3180" s="124"/>
    </row>
    <row r="3181">
      <c r="A3181" s="124"/>
      <c r="B3181" s="124"/>
      <c r="C3181" s="147"/>
      <c r="D3181" s="124"/>
      <c r="E3181" s="124"/>
      <c r="F3181" s="124"/>
      <c r="G3181" s="124"/>
      <c r="H3181" s="124"/>
      <c r="I3181" s="124"/>
      <c r="J3181" s="124"/>
      <c r="K3181" s="124"/>
      <c r="L3181" s="124"/>
      <c r="M3181" s="124"/>
      <c r="N3181" s="124"/>
      <c r="O3181" s="124"/>
      <c r="P3181" s="124"/>
      <c r="Q3181" s="124"/>
      <c r="R3181" s="124"/>
      <c r="S3181" s="124"/>
      <c r="T3181" s="124"/>
      <c r="U3181" s="124"/>
      <c r="V3181" s="124"/>
      <c r="W3181" s="124"/>
      <c r="X3181" s="124"/>
      <c r="Y3181" s="124"/>
      <c r="Z3181" s="124"/>
    </row>
    <row r="3182">
      <c r="A3182" s="124"/>
      <c r="B3182" s="124"/>
      <c r="C3182" s="147"/>
      <c r="D3182" s="124"/>
      <c r="E3182" s="124"/>
      <c r="F3182" s="124"/>
      <c r="G3182" s="124"/>
      <c r="H3182" s="124"/>
      <c r="I3182" s="124"/>
      <c r="J3182" s="124"/>
      <c r="K3182" s="124"/>
      <c r="L3182" s="124"/>
      <c r="M3182" s="124"/>
      <c r="N3182" s="124"/>
      <c r="O3182" s="124"/>
      <c r="P3182" s="124"/>
      <c r="Q3182" s="124"/>
      <c r="R3182" s="124"/>
      <c r="S3182" s="124"/>
      <c r="T3182" s="124"/>
      <c r="U3182" s="124"/>
      <c r="V3182" s="124"/>
      <c r="W3182" s="124"/>
      <c r="X3182" s="124"/>
      <c r="Y3182" s="124"/>
      <c r="Z3182" s="124"/>
    </row>
    <row r="3183">
      <c r="A3183" s="124"/>
      <c r="B3183" s="124"/>
      <c r="C3183" s="147"/>
      <c r="D3183" s="124"/>
      <c r="E3183" s="124"/>
      <c r="F3183" s="124"/>
      <c r="G3183" s="124"/>
      <c r="H3183" s="124"/>
      <c r="I3183" s="124"/>
      <c r="J3183" s="124"/>
      <c r="K3183" s="124"/>
      <c r="L3183" s="124"/>
      <c r="M3183" s="124"/>
      <c r="N3183" s="124"/>
      <c r="O3183" s="124"/>
      <c r="P3183" s="124"/>
      <c r="Q3183" s="124"/>
      <c r="R3183" s="124"/>
      <c r="S3183" s="124"/>
      <c r="T3183" s="124"/>
      <c r="U3183" s="124"/>
      <c r="V3183" s="124"/>
      <c r="W3183" s="124"/>
      <c r="X3183" s="124"/>
      <c r="Y3183" s="124"/>
      <c r="Z3183" s="124"/>
    </row>
    <row r="3184">
      <c r="A3184" s="124"/>
      <c r="B3184" s="124"/>
      <c r="C3184" s="147"/>
      <c r="D3184" s="124"/>
      <c r="E3184" s="124"/>
      <c r="F3184" s="124"/>
      <c r="G3184" s="124"/>
      <c r="H3184" s="124"/>
      <c r="I3184" s="124"/>
      <c r="J3184" s="124"/>
      <c r="K3184" s="124"/>
      <c r="L3184" s="124"/>
      <c r="M3184" s="124"/>
      <c r="N3184" s="124"/>
      <c r="O3184" s="124"/>
      <c r="P3184" s="124"/>
      <c r="Q3184" s="124"/>
      <c r="R3184" s="124"/>
      <c r="S3184" s="124"/>
      <c r="T3184" s="124"/>
      <c r="U3184" s="124"/>
      <c r="V3184" s="124"/>
      <c r="W3184" s="124"/>
      <c r="X3184" s="124"/>
      <c r="Y3184" s="124"/>
      <c r="Z3184" s="124"/>
    </row>
    <row r="3185">
      <c r="A3185" s="124"/>
      <c r="B3185" s="124"/>
      <c r="C3185" s="147"/>
      <c r="D3185" s="124"/>
      <c r="E3185" s="124"/>
      <c r="F3185" s="124"/>
      <c r="G3185" s="124"/>
      <c r="H3185" s="124"/>
      <c r="I3185" s="124"/>
      <c r="J3185" s="124"/>
      <c r="K3185" s="124"/>
      <c r="L3185" s="124"/>
      <c r="M3185" s="124"/>
      <c r="N3185" s="124"/>
      <c r="O3185" s="124"/>
      <c r="P3185" s="124"/>
      <c r="Q3185" s="124"/>
      <c r="R3185" s="124"/>
      <c r="S3185" s="124"/>
      <c r="T3185" s="124"/>
      <c r="U3185" s="124"/>
      <c r="V3185" s="124"/>
      <c r="W3185" s="124"/>
      <c r="X3185" s="124"/>
      <c r="Y3185" s="124"/>
      <c r="Z3185" s="124"/>
    </row>
    <row r="3186">
      <c r="A3186" s="124"/>
      <c r="B3186" s="124"/>
      <c r="C3186" s="147"/>
      <c r="D3186" s="124"/>
      <c r="E3186" s="124"/>
      <c r="F3186" s="124"/>
      <c r="G3186" s="124"/>
      <c r="H3186" s="124"/>
      <c r="I3186" s="124"/>
      <c r="J3186" s="124"/>
      <c r="K3186" s="124"/>
      <c r="L3186" s="124"/>
      <c r="M3186" s="124"/>
      <c r="N3186" s="124"/>
      <c r="O3186" s="124"/>
      <c r="P3186" s="124"/>
      <c r="Q3186" s="124"/>
      <c r="R3186" s="124"/>
      <c r="S3186" s="124"/>
      <c r="T3186" s="124"/>
      <c r="U3186" s="124"/>
      <c r="V3186" s="124"/>
      <c r="W3186" s="124"/>
      <c r="X3186" s="124"/>
      <c r="Y3186" s="124"/>
      <c r="Z3186" s="124"/>
    </row>
    <row r="3187">
      <c r="A3187" s="124"/>
      <c r="B3187" s="124"/>
      <c r="C3187" s="147"/>
      <c r="D3187" s="124"/>
      <c r="E3187" s="124"/>
      <c r="F3187" s="124"/>
      <c r="G3187" s="124"/>
      <c r="H3187" s="124"/>
      <c r="I3187" s="124"/>
      <c r="J3187" s="124"/>
      <c r="K3187" s="124"/>
      <c r="L3187" s="124"/>
      <c r="M3187" s="124"/>
      <c r="N3187" s="124"/>
      <c r="O3187" s="124"/>
      <c r="P3187" s="124"/>
      <c r="Q3187" s="124"/>
      <c r="R3187" s="124"/>
      <c r="S3187" s="124"/>
      <c r="T3187" s="124"/>
      <c r="U3187" s="124"/>
      <c r="V3187" s="124"/>
      <c r="W3187" s="124"/>
      <c r="X3187" s="124"/>
      <c r="Y3187" s="124"/>
      <c r="Z3187" s="124"/>
    </row>
    <row r="3188">
      <c r="A3188" s="124"/>
      <c r="B3188" s="124"/>
      <c r="C3188" s="147"/>
      <c r="D3188" s="124"/>
      <c r="E3188" s="124"/>
      <c r="F3188" s="124"/>
      <c r="G3188" s="124"/>
      <c r="H3188" s="124"/>
      <c r="I3188" s="124"/>
      <c r="J3188" s="124"/>
      <c r="K3188" s="124"/>
      <c r="L3188" s="124"/>
      <c r="M3188" s="124"/>
      <c r="N3188" s="124"/>
      <c r="O3188" s="124"/>
      <c r="P3188" s="124"/>
      <c r="Q3188" s="124"/>
      <c r="R3188" s="124"/>
      <c r="S3188" s="124"/>
      <c r="T3188" s="124"/>
      <c r="U3188" s="124"/>
      <c r="V3188" s="124"/>
      <c r="W3188" s="124"/>
      <c r="X3188" s="124"/>
      <c r="Y3188" s="124"/>
      <c r="Z3188" s="124"/>
    </row>
    <row r="3189">
      <c r="A3189" s="124"/>
      <c r="B3189" s="124"/>
      <c r="C3189" s="147"/>
      <c r="D3189" s="124"/>
      <c r="E3189" s="124"/>
      <c r="F3189" s="124"/>
      <c r="G3189" s="124"/>
      <c r="H3189" s="124"/>
      <c r="I3189" s="124"/>
      <c r="J3189" s="124"/>
      <c r="K3189" s="124"/>
      <c r="L3189" s="124"/>
      <c r="M3189" s="124"/>
      <c r="N3189" s="124"/>
      <c r="O3189" s="124"/>
      <c r="P3189" s="124"/>
      <c r="Q3189" s="124"/>
      <c r="R3189" s="124"/>
      <c r="S3189" s="124"/>
      <c r="T3189" s="124"/>
      <c r="U3189" s="124"/>
      <c r="V3189" s="124"/>
      <c r="W3189" s="124"/>
      <c r="X3189" s="124"/>
      <c r="Y3189" s="124"/>
      <c r="Z3189" s="124"/>
    </row>
    <row r="3190">
      <c r="A3190" s="124"/>
      <c r="B3190" s="124"/>
      <c r="C3190" s="147"/>
      <c r="D3190" s="124"/>
      <c r="E3190" s="124"/>
      <c r="F3190" s="124"/>
      <c r="G3190" s="124"/>
      <c r="H3190" s="124"/>
      <c r="I3190" s="124"/>
      <c r="J3190" s="124"/>
      <c r="K3190" s="124"/>
      <c r="L3190" s="124"/>
      <c r="M3190" s="124"/>
      <c r="N3190" s="124"/>
      <c r="O3190" s="124"/>
      <c r="P3190" s="124"/>
      <c r="Q3190" s="124"/>
      <c r="R3190" s="124"/>
      <c r="S3190" s="124"/>
      <c r="T3190" s="124"/>
      <c r="U3190" s="124"/>
      <c r="V3190" s="124"/>
      <c r="W3190" s="124"/>
      <c r="X3190" s="124"/>
      <c r="Y3190" s="124"/>
      <c r="Z3190" s="124"/>
    </row>
    <row r="3191">
      <c r="A3191" s="124"/>
      <c r="B3191" s="124"/>
      <c r="C3191" s="147"/>
      <c r="D3191" s="124"/>
      <c r="E3191" s="124"/>
      <c r="F3191" s="124"/>
      <c r="G3191" s="124"/>
      <c r="H3191" s="124"/>
      <c r="I3191" s="124"/>
      <c r="J3191" s="124"/>
      <c r="K3191" s="124"/>
      <c r="L3191" s="124"/>
      <c r="M3191" s="124"/>
      <c r="N3191" s="124"/>
      <c r="O3191" s="124"/>
      <c r="P3191" s="124"/>
      <c r="Q3191" s="124"/>
      <c r="R3191" s="124"/>
      <c r="S3191" s="124"/>
      <c r="T3191" s="124"/>
      <c r="U3191" s="124"/>
      <c r="V3191" s="124"/>
      <c r="W3191" s="124"/>
      <c r="X3191" s="124"/>
      <c r="Y3191" s="124"/>
      <c r="Z3191" s="124"/>
    </row>
    <row r="3192">
      <c r="A3192" s="124"/>
      <c r="B3192" s="124"/>
      <c r="C3192" s="147"/>
      <c r="D3192" s="124"/>
      <c r="E3192" s="124"/>
      <c r="F3192" s="124"/>
      <c r="G3192" s="124"/>
      <c r="H3192" s="124"/>
      <c r="I3192" s="124"/>
      <c r="J3192" s="124"/>
      <c r="K3192" s="124"/>
      <c r="L3192" s="124"/>
      <c r="M3192" s="124"/>
      <c r="N3192" s="124"/>
      <c r="O3192" s="124"/>
      <c r="P3192" s="124"/>
      <c r="Q3192" s="124"/>
      <c r="R3192" s="124"/>
      <c r="S3192" s="124"/>
      <c r="T3192" s="124"/>
      <c r="U3192" s="124"/>
      <c r="V3192" s="124"/>
      <c r="W3192" s="124"/>
      <c r="X3192" s="124"/>
      <c r="Y3192" s="124"/>
      <c r="Z3192" s="124"/>
    </row>
    <row r="3193">
      <c r="A3193" s="124"/>
      <c r="B3193" s="124"/>
      <c r="C3193" s="147"/>
      <c r="D3193" s="124"/>
      <c r="E3193" s="124"/>
      <c r="F3193" s="124"/>
      <c r="G3193" s="124"/>
      <c r="H3193" s="124"/>
      <c r="I3193" s="124"/>
      <c r="J3193" s="124"/>
      <c r="K3193" s="124"/>
      <c r="L3193" s="124"/>
      <c r="M3193" s="124"/>
      <c r="N3193" s="124"/>
      <c r="O3193" s="124"/>
      <c r="P3193" s="124"/>
      <c r="Q3193" s="124"/>
      <c r="R3193" s="124"/>
      <c r="S3193" s="124"/>
      <c r="T3193" s="124"/>
      <c r="U3193" s="124"/>
      <c r="V3193" s="124"/>
      <c r="W3193" s="124"/>
      <c r="X3193" s="124"/>
      <c r="Y3193" s="124"/>
      <c r="Z3193" s="124"/>
    </row>
    <row r="3194">
      <c r="A3194" s="124"/>
      <c r="B3194" s="124"/>
      <c r="C3194" s="147"/>
      <c r="D3194" s="124"/>
      <c r="E3194" s="124"/>
      <c r="F3194" s="124"/>
      <c r="G3194" s="124"/>
      <c r="H3194" s="124"/>
      <c r="I3194" s="124"/>
      <c r="J3194" s="124"/>
      <c r="K3194" s="124"/>
      <c r="L3194" s="124"/>
      <c r="M3194" s="124"/>
      <c r="N3194" s="124"/>
      <c r="O3194" s="124"/>
      <c r="P3194" s="124"/>
      <c r="Q3194" s="124"/>
      <c r="R3194" s="124"/>
      <c r="S3194" s="124"/>
      <c r="T3194" s="124"/>
      <c r="U3194" s="124"/>
      <c r="V3194" s="124"/>
      <c r="W3194" s="124"/>
      <c r="X3194" s="124"/>
      <c r="Y3194" s="124"/>
      <c r="Z3194" s="124"/>
    </row>
    <row r="3195">
      <c r="A3195" s="124"/>
      <c r="B3195" s="124"/>
      <c r="C3195" s="147"/>
      <c r="D3195" s="124"/>
      <c r="E3195" s="124"/>
      <c r="F3195" s="124"/>
      <c r="G3195" s="124"/>
      <c r="H3195" s="124"/>
      <c r="I3195" s="124"/>
      <c r="J3195" s="124"/>
      <c r="K3195" s="124"/>
      <c r="L3195" s="124"/>
      <c r="M3195" s="124"/>
      <c r="N3195" s="124"/>
      <c r="O3195" s="124"/>
      <c r="P3195" s="124"/>
      <c r="Q3195" s="124"/>
      <c r="R3195" s="124"/>
      <c r="S3195" s="124"/>
      <c r="T3195" s="124"/>
      <c r="U3195" s="124"/>
      <c r="V3195" s="124"/>
      <c r="W3195" s="124"/>
      <c r="X3195" s="124"/>
      <c r="Y3195" s="124"/>
      <c r="Z3195" s="124"/>
    </row>
    <row r="3196">
      <c r="A3196" s="124"/>
      <c r="B3196" s="124"/>
      <c r="C3196" s="147"/>
      <c r="D3196" s="124"/>
      <c r="E3196" s="124"/>
      <c r="F3196" s="124"/>
      <c r="G3196" s="124"/>
      <c r="H3196" s="124"/>
      <c r="I3196" s="124"/>
      <c r="J3196" s="124"/>
      <c r="K3196" s="124"/>
      <c r="L3196" s="124"/>
      <c r="M3196" s="124"/>
      <c r="N3196" s="124"/>
      <c r="O3196" s="124"/>
      <c r="P3196" s="124"/>
      <c r="Q3196" s="124"/>
      <c r="R3196" s="124"/>
      <c r="S3196" s="124"/>
      <c r="T3196" s="124"/>
      <c r="U3196" s="124"/>
      <c r="V3196" s="124"/>
      <c r="W3196" s="124"/>
      <c r="X3196" s="124"/>
      <c r="Y3196" s="124"/>
      <c r="Z3196" s="124"/>
    </row>
    <row r="3197">
      <c r="A3197" s="124"/>
      <c r="B3197" s="124"/>
      <c r="C3197" s="147"/>
      <c r="D3197" s="124"/>
      <c r="E3197" s="124"/>
      <c r="F3197" s="124"/>
      <c r="G3197" s="124"/>
      <c r="H3197" s="124"/>
      <c r="I3197" s="124"/>
      <c r="J3197" s="124"/>
      <c r="K3197" s="124"/>
      <c r="L3197" s="124"/>
      <c r="M3197" s="124"/>
      <c r="N3197" s="124"/>
      <c r="O3197" s="124"/>
      <c r="P3197" s="124"/>
      <c r="Q3197" s="124"/>
      <c r="R3197" s="124"/>
      <c r="S3197" s="124"/>
      <c r="T3197" s="124"/>
      <c r="U3197" s="124"/>
      <c r="V3197" s="124"/>
      <c r="W3197" s="124"/>
      <c r="X3197" s="124"/>
      <c r="Y3197" s="124"/>
      <c r="Z3197" s="124"/>
    </row>
    <row r="3198">
      <c r="A3198" s="124"/>
      <c r="B3198" s="124"/>
      <c r="C3198" s="147"/>
      <c r="D3198" s="124"/>
      <c r="E3198" s="124"/>
      <c r="F3198" s="124"/>
      <c r="G3198" s="124"/>
      <c r="H3198" s="124"/>
      <c r="I3198" s="124"/>
      <c r="J3198" s="124"/>
      <c r="K3198" s="124"/>
      <c r="L3198" s="124"/>
      <c r="M3198" s="124"/>
      <c r="N3198" s="124"/>
      <c r="O3198" s="124"/>
      <c r="P3198" s="124"/>
      <c r="Q3198" s="124"/>
      <c r="R3198" s="124"/>
      <c r="S3198" s="124"/>
      <c r="T3198" s="124"/>
      <c r="U3198" s="124"/>
      <c r="V3198" s="124"/>
      <c r="W3198" s="124"/>
      <c r="X3198" s="124"/>
      <c r="Y3198" s="124"/>
      <c r="Z3198" s="124"/>
    </row>
    <row r="3199">
      <c r="A3199" s="124"/>
      <c r="B3199" s="124"/>
      <c r="C3199" s="147"/>
      <c r="D3199" s="124"/>
      <c r="E3199" s="124"/>
      <c r="F3199" s="124"/>
      <c r="G3199" s="124"/>
      <c r="H3199" s="124"/>
      <c r="I3199" s="124"/>
      <c r="J3199" s="124"/>
      <c r="K3199" s="124"/>
      <c r="L3199" s="124"/>
      <c r="M3199" s="124"/>
      <c r="N3199" s="124"/>
      <c r="O3199" s="124"/>
      <c r="P3199" s="124"/>
      <c r="Q3199" s="124"/>
      <c r="R3199" s="124"/>
      <c r="S3199" s="124"/>
      <c r="T3199" s="124"/>
      <c r="U3199" s="124"/>
      <c r="V3199" s="124"/>
      <c r="W3199" s="124"/>
      <c r="X3199" s="124"/>
      <c r="Y3199" s="124"/>
      <c r="Z3199" s="124"/>
    </row>
    <row r="3200">
      <c r="A3200" s="124"/>
      <c r="B3200" s="124"/>
      <c r="C3200" s="147"/>
      <c r="D3200" s="124"/>
      <c r="E3200" s="124"/>
      <c r="F3200" s="124"/>
      <c r="G3200" s="124"/>
      <c r="H3200" s="124"/>
      <c r="I3200" s="124"/>
      <c r="J3200" s="124"/>
      <c r="K3200" s="124"/>
      <c r="L3200" s="124"/>
      <c r="M3200" s="124"/>
      <c r="N3200" s="124"/>
      <c r="O3200" s="124"/>
      <c r="P3200" s="124"/>
      <c r="Q3200" s="124"/>
      <c r="R3200" s="124"/>
      <c r="S3200" s="124"/>
      <c r="T3200" s="124"/>
      <c r="U3200" s="124"/>
      <c r="V3200" s="124"/>
      <c r="W3200" s="124"/>
      <c r="X3200" s="124"/>
      <c r="Y3200" s="124"/>
      <c r="Z3200" s="124"/>
    </row>
    <row r="3201">
      <c r="A3201" s="124"/>
      <c r="B3201" s="124"/>
      <c r="C3201" s="147"/>
      <c r="D3201" s="124"/>
      <c r="E3201" s="124"/>
      <c r="F3201" s="124"/>
      <c r="G3201" s="124"/>
      <c r="H3201" s="124"/>
      <c r="I3201" s="124"/>
      <c r="J3201" s="124"/>
      <c r="K3201" s="124"/>
      <c r="L3201" s="124"/>
      <c r="M3201" s="124"/>
      <c r="N3201" s="124"/>
      <c r="O3201" s="124"/>
      <c r="P3201" s="124"/>
      <c r="Q3201" s="124"/>
      <c r="R3201" s="124"/>
      <c r="S3201" s="124"/>
      <c r="T3201" s="124"/>
      <c r="U3201" s="124"/>
      <c r="V3201" s="124"/>
      <c r="W3201" s="124"/>
      <c r="X3201" s="124"/>
      <c r="Y3201" s="124"/>
      <c r="Z3201" s="124"/>
    </row>
    <row r="3202">
      <c r="A3202" s="124"/>
      <c r="B3202" s="124"/>
      <c r="C3202" s="147"/>
      <c r="D3202" s="124"/>
      <c r="E3202" s="124"/>
      <c r="F3202" s="124"/>
      <c r="G3202" s="124"/>
      <c r="H3202" s="124"/>
      <c r="I3202" s="124"/>
      <c r="J3202" s="124"/>
      <c r="K3202" s="124"/>
      <c r="L3202" s="124"/>
      <c r="M3202" s="124"/>
      <c r="N3202" s="124"/>
      <c r="O3202" s="124"/>
      <c r="P3202" s="124"/>
      <c r="Q3202" s="124"/>
      <c r="R3202" s="124"/>
      <c r="S3202" s="124"/>
      <c r="T3202" s="124"/>
      <c r="U3202" s="124"/>
      <c r="V3202" s="124"/>
      <c r="W3202" s="124"/>
      <c r="X3202" s="124"/>
      <c r="Y3202" s="124"/>
      <c r="Z3202" s="124"/>
    </row>
    <row r="3203">
      <c r="A3203" s="124"/>
      <c r="B3203" s="124"/>
      <c r="C3203" s="147"/>
      <c r="D3203" s="124"/>
      <c r="E3203" s="124"/>
      <c r="F3203" s="124"/>
      <c r="G3203" s="124"/>
      <c r="H3203" s="124"/>
      <c r="I3203" s="124"/>
      <c r="J3203" s="124"/>
      <c r="K3203" s="124"/>
      <c r="L3203" s="124"/>
      <c r="M3203" s="124"/>
      <c r="N3203" s="124"/>
      <c r="O3203" s="124"/>
      <c r="P3203" s="124"/>
      <c r="Q3203" s="124"/>
      <c r="R3203" s="124"/>
      <c r="S3203" s="124"/>
      <c r="T3203" s="124"/>
      <c r="U3203" s="124"/>
      <c r="V3203" s="124"/>
      <c r="W3203" s="124"/>
      <c r="X3203" s="124"/>
      <c r="Y3203" s="124"/>
      <c r="Z3203" s="124"/>
    </row>
    <row r="3204">
      <c r="A3204" s="124"/>
      <c r="B3204" s="124"/>
      <c r="C3204" s="147"/>
      <c r="D3204" s="124"/>
      <c r="E3204" s="124"/>
      <c r="F3204" s="124"/>
      <c r="G3204" s="124"/>
      <c r="H3204" s="124"/>
      <c r="I3204" s="124"/>
      <c r="J3204" s="124"/>
      <c r="K3204" s="124"/>
      <c r="L3204" s="124"/>
      <c r="M3204" s="124"/>
      <c r="N3204" s="124"/>
      <c r="O3204" s="124"/>
      <c r="P3204" s="124"/>
      <c r="Q3204" s="124"/>
      <c r="R3204" s="124"/>
      <c r="S3204" s="124"/>
      <c r="T3204" s="124"/>
      <c r="U3204" s="124"/>
      <c r="V3204" s="124"/>
      <c r="W3204" s="124"/>
      <c r="X3204" s="124"/>
      <c r="Y3204" s="124"/>
      <c r="Z3204" s="124"/>
    </row>
    <row r="3205">
      <c r="A3205" s="124"/>
      <c r="B3205" s="124"/>
      <c r="C3205" s="147"/>
      <c r="D3205" s="124"/>
      <c r="E3205" s="124"/>
      <c r="F3205" s="124"/>
      <c r="G3205" s="124"/>
      <c r="H3205" s="124"/>
      <c r="I3205" s="124"/>
      <c r="J3205" s="124"/>
      <c r="K3205" s="124"/>
      <c r="L3205" s="124"/>
      <c r="M3205" s="124"/>
      <c r="N3205" s="124"/>
      <c r="O3205" s="124"/>
      <c r="P3205" s="124"/>
      <c r="Q3205" s="124"/>
      <c r="R3205" s="124"/>
      <c r="S3205" s="124"/>
      <c r="T3205" s="124"/>
      <c r="U3205" s="124"/>
      <c r="V3205" s="124"/>
      <c r="W3205" s="124"/>
      <c r="X3205" s="124"/>
      <c r="Y3205" s="124"/>
      <c r="Z3205" s="124"/>
    </row>
    <row r="3206">
      <c r="A3206" s="124"/>
      <c r="B3206" s="124"/>
      <c r="C3206" s="147"/>
      <c r="D3206" s="124"/>
      <c r="E3206" s="124"/>
      <c r="F3206" s="124"/>
      <c r="G3206" s="124"/>
      <c r="H3206" s="124"/>
      <c r="I3206" s="124"/>
      <c r="J3206" s="124"/>
      <c r="K3206" s="124"/>
      <c r="L3206" s="124"/>
      <c r="M3206" s="124"/>
      <c r="N3206" s="124"/>
      <c r="O3206" s="124"/>
      <c r="P3206" s="124"/>
      <c r="Q3206" s="124"/>
      <c r="R3206" s="124"/>
      <c r="S3206" s="124"/>
      <c r="T3206" s="124"/>
      <c r="U3206" s="124"/>
      <c r="V3206" s="124"/>
      <c r="W3206" s="124"/>
      <c r="X3206" s="124"/>
      <c r="Y3206" s="124"/>
      <c r="Z3206" s="124"/>
    </row>
    <row r="3207">
      <c r="A3207" s="124"/>
      <c r="B3207" s="124"/>
      <c r="C3207" s="147"/>
      <c r="D3207" s="124"/>
      <c r="E3207" s="124"/>
      <c r="F3207" s="124"/>
      <c r="G3207" s="124"/>
      <c r="H3207" s="124"/>
      <c r="I3207" s="124"/>
      <c r="J3207" s="124"/>
      <c r="K3207" s="124"/>
      <c r="L3207" s="124"/>
      <c r="M3207" s="124"/>
      <c r="N3207" s="124"/>
      <c r="O3207" s="124"/>
      <c r="P3207" s="124"/>
      <c r="Q3207" s="124"/>
      <c r="R3207" s="124"/>
      <c r="S3207" s="124"/>
      <c r="T3207" s="124"/>
      <c r="U3207" s="124"/>
      <c r="V3207" s="124"/>
      <c r="W3207" s="124"/>
      <c r="X3207" s="124"/>
      <c r="Y3207" s="124"/>
      <c r="Z3207" s="124"/>
    </row>
    <row r="3208">
      <c r="A3208" s="124"/>
      <c r="B3208" s="124"/>
      <c r="C3208" s="147"/>
      <c r="D3208" s="124"/>
      <c r="E3208" s="124"/>
      <c r="F3208" s="124"/>
      <c r="G3208" s="124"/>
      <c r="H3208" s="124"/>
      <c r="I3208" s="124"/>
      <c r="J3208" s="124"/>
      <c r="K3208" s="124"/>
      <c r="L3208" s="124"/>
      <c r="M3208" s="124"/>
      <c r="N3208" s="124"/>
      <c r="O3208" s="124"/>
      <c r="P3208" s="124"/>
      <c r="Q3208" s="124"/>
      <c r="R3208" s="124"/>
      <c r="S3208" s="124"/>
      <c r="T3208" s="124"/>
      <c r="U3208" s="124"/>
      <c r="V3208" s="124"/>
      <c r="W3208" s="124"/>
      <c r="X3208" s="124"/>
      <c r="Y3208" s="124"/>
      <c r="Z3208" s="124"/>
    </row>
    <row r="3209">
      <c r="A3209" s="124"/>
      <c r="B3209" s="124"/>
      <c r="C3209" s="147"/>
      <c r="D3209" s="124"/>
      <c r="E3209" s="124"/>
      <c r="F3209" s="124"/>
      <c r="G3209" s="124"/>
      <c r="H3209" s="124"/>
      <c r="I3209" s="124"/>
      <c r="J3209" s="124"/>
      <c r="K3209" s="124"/>
      <c r="L3209" s="124"/>
      <c r="M3209" s="124"/>
      <c r="N3209" s="124"/>
      <c r="O3209" s="124"/>
      <c r="P3209" s="124"/>
      <c r="Q3209" s="124"/>
      <c r="R3209" s="124"/>
      <c r="S3209" s="124"/>
      <c r="T3209" s="124"/>
      <c r="U3209" s="124"/>
      <c r="V3209" s="124"/>
      <c r="W3209" s="124"/>
      <c r="X3209" s="124"/>
      <c r="Y3209" s="124"/>
      <c r="Z3209" s="124"/>
    </row>
    <row r="3210">
      <c r="A3210" s="124"/>
      <c r="B3210" s="124"/>
      <c r="C3210" s="147"/>
      <c r="D3210" s="124"/>
      <c r="E3210" s="124"/>
      <c r="F3210" s="124"/>
      <c r="G3210" s="124"/>
      <c r="H3210" s="124"/>
      <c r="I3210" s="124"/>
      <c r="J3210" s="124"/>
      <c r="K3210" s="124"/>
      <c r="L3210" s="124"/>
      <c r="M3210" s="124"/>
      <c r="N3210" s="124"/>
      <c r="O3210" s="124"/>
      <c r="P3210" s="124"/>
      <c r="Q3210" s="124"/>
      <c r="R3210" s="124"/>
      <c r="S3210" s="124"/>
      <c r="T3210" s="124"/>
      <c r="U3210" s="124"/>
      <c r="V3210" s="124"/>
      <c r="W3210" s="124"/>
      <c r="X3210" s="124"/>
      <c r="Y3210" s="124"/>
      <c r="Z3210" s="124"/>
    </row>
    <row r="3211">
      <c r="A3211" s="124"/>
      <c r="B3211" s="124"/>
      <c r="C3211" s="147"/>
      <c r="D3211" s="124"/>
      <c r="E3211" s="124"/>
      <c r="F3211" s="124"/>
      <c r="G3211" s="124"/>
      <c r="H3211" s="124"/>
      <c r="I3211" s="124"/>
      <c r="J3211" s="124"/>
      <c r="K3211" s="124"/>
      <c r="L3211" s="124"/>
      <c r="M3211" s="124"/>
      <c r="N3211" s="124"/>
      <c r="O3211" s="124"/>
      <c r="P3211" s="124"/>
      <c r="Q3211" s="124"/>
      <c r="R3211" s="124"/>
      <c r="S3211" s="124"/>
      <c r="T3211" s="124"/>
      <c r="U3211" s="124"/>
      <c r="V3211" s="124"/>
      <c r="W3211" s="124"/>
      <c r="X3211" s="124"/>
      <c r="Y3211" s="124"/>
      <c r="Z3211" s="124"/>
    </row>
    <row r="3212">
      <c r="A3212" s="124"/>
      <c r="B3212" s="124"/>
      <c r="C3212" s="147"/>
      <c r="D3212" s="124"/>
      <c r="E3212" s="124"/>
      <c r="F3212" s="124"/>
      <c r="G3212" s="124"/>
      <c r="H3212" s="124"/>
      <c r="I3212" s="124"/>
      <c r="J3212" s="124"/>
      <c r="K3212" s="124"/>
      <c r="L3212" s="124"/>
      <c r="M3212" s="124"/>
      <c r="N3212" s="124"/>
      <c r="O3212" s="124"/>
      <c r="P3212" s="124"/>
      <c r="Q3212" s="124"/>
      <c r="R3212" s="124"/>
      <c r="S3212" s="124"/>
      <c r="T3212" s="124"/>
      <c r="U3212" s="124"/>
      <c r="V3212" s="124"/>
      <c r="W3212" s="124"/>
      <c r="X3212" s="124"/>
      <c r="Y3212" s="124"/>
      <c r="Z3212" s="124"/>
    </row>
    <row r="3213">
      <c r="A3213" s="124"/>
      <c r="B3213" s="124"/>
      <c r="C3213" s="147"/>
      <c r="D3213" s="124"/>
      <c r="E3213" s="124"/>
      <c r="F3213" s="124"/>
      <c r="G3213" s="124"/>
      <c r="H3213" s="124"/>
      <c r="I3213" s="124"/>
      <c r="J3213" s="124"/>
      <c r="K3213" s="124"/>
      <c r="L3213" s="124"/>
      <c r="M3213" s="124"/>
      <c r="N3213" s="124"/>
      <c r="O3213" s="124"/>
      <c r="P3213" s="124"/>
      <c r="Q3213" s="124"/>
      <c r="R3213" s="124"/>
      <c r="S3213" s="124"/>
      <c r="T3213" s="124"/>
      <c r="U3213" s="124"/>
      <c r="V3213" s="124"/>
      <c r="W3213" s="124"/>
      <c r="X3213" s="124"/>
      <c r="Y3213" s="124"/>
      <c r="Z3213" s="124"/>
    </row>
    <row r="3214">
      <c r="A3214" s="124"/>
      <c r="B3214" s="124"/>
      <c r="C3214" s="147"/>
      <c r="D3214" s="124"/>
      <c r="E3214" s="124"/>
      <c r="F3214" s="124"/>
      <c r="G3214" s="124"/>
      <c r="H3214" s="124"/>
      <c r="I3214" s="124"/>
      <c r="J3214" s="124"/>
      <c r="K3214" s="124"/>
      <c r="L3214" s="124"/>
      <c r="M3214" s="124"/>
      <c r="N3214" s="124"/>
      <c r="O3214" s="124"/>
      <c r="P3214" s="124"/>
      <c r="Q3214" s="124"/>
      <c r="R3214" s="124"/>
      <c r="S3214" s="124"/>
      <c r="T3214" s="124"/>
      <c r="U3214" s="124"/>
      <c r="V3214" s="124"/>
      <c r="W3214" s="124"/>
      <c r="X3214" s="124"/>
      <c r="Y3214" s="124"/>
      <c r="Z3214" s="124"/>
    </row>
    <row r="3215">
      <c r="A3215" s="124"/>
      <c r="B3215" s="124"/>
      <c r="C3215" s="147"/>
      <c r="D3215" s="124"/>
      <c r="E3215" s="124"/>
      <c r="F3215" s="124"/>
      <c r="G3215" s="124"/>
      <c r="H3215" s="124"/>
      <c r="I3215" s="124"/>
      <c r="J3215" s="124"/>
      <c r="K3215" s="124"/>
      <c r="L3215" s="124"/>
      <c r="M3215" s="124"/>
      <c r="N3215" s="124"/>
      <c r="O3215" s="124"/>
      <c r="P3215" s="124"/>
      <c r="Q3215" s="124"/>
      <c r="R3215" s="124"/>
      <c r="S3215" s="124"/>
      <c r="T3215" s="124"/>
      <c r="U3215" s="124"/>
      <c r="V3215" s="124"/>
      <c r="W3215" s="124"/>
      <c r="X3215" s="124"/>
      <c r="Y3215" s="124"/>
      <c r="Z3215" s="124"/>
    </row>
    <row r="3216">
      <c r="A3216" s="124"/>
      <c r="B3216" s="124"/>
      <c r="C3216" s="147"/>
      <c r="D3216" s="124"/>
      <c r="E3216" s="124"/>
      <c r="F3216" s="124"/>
      <c r="G3216" s="124"/>
      <c r="H3216" s="124"/>
      <c r="I3216" s="124"/>
      <c r="J3216" s="124"/>
      <c r="K3216" s="124"/>
      <c r="L3216" s="124"/>
      <c r="M3216" s="124"/>
      <c r="N3216" s="124"/>
      <c r="O3216" s="124"/>
      <c r="P3216" s="124"/>
      <c r="Q3216" s="124"/>
      <c r="R3216" s="124"/>
      <c r="S3216" s="124"/>
      <c r="T3216" s="124"/>
      <c r="U3216" s="124"/>
      <c r="V3216" s="124"/>
      <c r="W3216" s="124"/>
      <c r="X3216" s="124"/>
      <c r="Y3216" s="124"/>
      <c r="Z3216" s="124"/>
    </row>
    <row r="3217">
      <c r="A3217" s="124"/>
      <c r="B3217" s="124"/>
      <c r="C3217" s="147"/>
      <c r="D3217" s="124"/>
      <c r="E3217" s="124"/>
      <c r="F3217" s="124"/>
      <c r="G3217" s="124"/>
      <c r="H3217" s="124"/>
      <c r="I3217" s="124"/>
      <c r="J3217" s="124"/>
      <c r="K3217" s="124"/>
      <c r="L3217" s="124"/>
      <c r="M3217" s="124"/>
      <c r="N3217" s="124"/>
      <c r="O3217" s="124"/>
      <c r="P3217" s="124"/>
      <c r="Q3217" s="124"/>
      <c r="R3217" s="124"/>
      <c r="S3217" s="124"/>
      <c r="T3217" s="124"/>
      <c r="U3217" s="124"/>
      <c r="V3217" s="124"/>
      <c r="W3217" s="124"/>
      <c r="X3217" s="124"/>
      <c r="Y3217" s="124"/>
      <c r="Z3217" s="124"/>
    </row>
    <row r="3218">
      <c r="A3218" s="124"/>
      <c r="B3218" s="124"/>
      <c r="C3218" s="147"/>
      <c r="D3218" s="124"/>
      <c r="E3218" s="124"/>
      <c r="F3218" s="124"/>
      <c r="G3218" s="124"/>
      <c r="H3218" s="124"/>
      <c r="I3218" s="124"/>
      <c r="J3218" s="124"/>
      <c r="K3218" s="124"/>
      <c r="L3218" s="124"/>
      <c r="M3218" s="124"/>
      <c r="N3218" s="124"/>
      <c r="O3218" s="124"/>
      <c r="P3218" s="124"/>
      <c r="Q3218" s="124"/>
      <c r="R3218" s="124"/>
      <c r="S3218" s="124"/>
      <c r="T3218" s="124"/>
      <c r="U3218" s="124"/>
      <c r="V3218" s="124"/>
      <c r="W3218" s="124"/>
      <c r="X3218" s="124"/>
      <c r="Y3218" s="124"/>
      <c r="Z3218" s="124"/>
    </row>
    <row r="3219">
      <c r="A3219" s="124"/>
      <c r="B3219" s="124"/>
      <c r="C3219" s="147"/>
      <c r="D3219" s="124"/>
      <c r="E3219" s="124"/>
      <c r="F3219" s="124"/>
      <c r="G3219" s="124"/>
      <c r="H3219" s="124"/>
      <c r="I3219" s="124"/>
      <c r="J3219" s="124"/>
      <c r="K3219" s="124"/>
      <c r="L3219" s="124"/>
      <c r="M3219" s="124"/>
      <c r="N3219" s="124"/>
      <c r="O3219" s="124"/>
      <c r="P3219" s="124"/>
      <c r="Q3219" s="124"/>
      <c r="R3219" s="124"/>
      <c r="S3219" s="124"/>
      <c r="T3219" s="124"/>
      <c r="U3219" s="124"/>
      <c r="V3219" s="124"/>
      <c r="W3219" s="124"/>
      <c r="X3219" s="124"/>
      <c r="Y3219" s="124"/>
      <c r="Z3219" s="124"/>
    </row>
    <row r="3220">
      <c r="A3220" s="124"/>
      <c r="B3220" s="124"/>
      <c r="C3220" s="147"/>
      <c r="D3220" s="124"/>
      <c r="E3220" s="124"/>
      <c r="F3220" s="124"/>
      <c r="G3220" s="124"/>
      <c r="H3220" s="124"/>
      <c r="I3220" s="124"/>
      <c r="J3220" s="124"/>
      <c r="K3220" s="124"/>
      <c r="L3220" s="124"/>
      <c r="M3220" s="124"/>
      <c r="N3220" s="124"/>
      <c r="O3220" s="124"/>
      <c r="P3220" s="124"/>
      <c r="Q3220" s="124"/>
      <c r="R3220" s="124"/>
      <c r="S3220" s="124"/>
      <c r="T3220" s="124"/>
      <c r="U3220" s="124"/>
      <c r="V3220" s="124"/>
      <c r="W3220" s="124"/>
      <c r="X3220" s="124"/>
      <c r="Y3220" s="124"/>
      <c r="Z3220" s="124"/>
    </row>
    <row r="3221">
      <c r="A3221" s="124"/>
      <c r="B3221" s="124"/>
      <c r="C3221" s="147"/>
      <c r="D3221" s="124"/>
      <c r="E3221" s="124"/>
      <c r="F3221" s="124"/>
      <c r="G3221" s="124"/>
      <c r="H3221" s="124"/>
      <c r="I3221" s="124"/>
      <c r="J3221" s="124"/>
      <c r="K3221" s="124"/>
      <c r="L3221" s="124"/>
      <c r="M3221" s="124"/>
      <c r="N3221" s="124"/>
      <c r="O3221" s="124"/>
      <c r="P3221" s="124"/>
      <c r="Q3221" s="124"/>
      <c r="R3221" s="124"/>
      <c r="S3221" s="124"/>
      <c r="T3221" s="124"/>
      <c r="U3221" s="124"/>
      <c r="V3221" s="124"/>
      <c r="W3221" s="124"/>
      <c r="X3221" s="124"/>
      <c r="Y3221" s="124"/>
      <c r="Z3221" s="124"/>
    </row>
    <row r="3222">
      <c r="A3222" s="124"/>
      <c r="B3222" s="124"/>
      <c r="C3222" s="147"/>
      <c r="D3222" s="124"/>
      <c r="E3222" s="124"/>
      <c r="F3222" s="124"/>
      <c r="G3222" s="124"/>
      <c r="H3222" s="124"/>
      <c r="I3222" s="124"/>
      <c r="J3222" s="124"/>
      <c r="K3222" s="124"/>
      <c r="L3222" s="124"/>
      <c r="M3222" s="124"/>
      <c r="N3222" s="124"/>
      <c r="O3222" s="124"/>
      <c r="P3222" s="124"/>
      <c r="Q3222" s="124"/>
      <c r="R3222" s="124"/>
      <c r="S3222" s="124"/>
      <c r="T3222" s="124"/>
      <c r="U3222" s="124"/>
      <c r="V3222" s="124"/>
      <c r="W3222" s="124"/>
      <c r="X3222" s="124"/>
      <c r="Y3222" s="124"/>
      <c r="Z3222" s="124"/>
    </row>
    <row r="3223">
      <c r="A3223" s="124"/>
      <c r="B3223" s="124"/>
      <c r="C3223" s="147"/>
      <c r="D3223" s="124"/>
      <c r="E3223" s="124"/>
      <c r="F3223" s="124"/>
      <c r="G3223" s="124"/>
      <c r="H3223" s="124"/>
      <c r="I3223" s="124"/>
      <c r="J3223" s="124"/>
      <c r="K3223" s="124"/>
      <c r="L3223" s="124"/>
      <c r="M3223" s="124"/>
      <c r="N3223" s="124"/>
      <c r="O3223" s="124"/>
      <c r="P3223" s="124"/>
      <c r="Q3223" s="124"/>
      <c r="R3223" s="124"/>
      <c r="S3223" s="124"/>
      <c r="T3223" s="124"/>
      <c r="U3223" s="124"/>
      <c r="V3223" s="124"/>
      <c r="W3223" s="124"/>
      <c r="X3223" s="124"/>
      <c r="Y3223" s="124"/>
      <c r="Z3223" s="124"/>
    </row>
    <row r="3224">
      <c r="A3224" s="124"/>
      <c r="B3224" s="124"/>
      <c r="C3224" s="147"/>
      <c r="D3224" s="124"/>
      <c r="E3224" s="124"/>
      <c r="F3224" s="124"/>
      <c r="G3224" s="124"/>
      <c r="H3224" s="124"/>
      <c r="I3224" s="124"/>
      <c r="J3224" s="124"/>
      <c r="K3224" s="124"/>
      <c r="L3224" s="124"/>
      <c r="M3224" s="124"/>
      <c r="N3224" s="124"/>
      <c r="O3224" s="124"/>
      <c r="P3224" s="124"/>
      <c r="Q3224" s="124"/>
      <c r="R3224" s="124"/>
      <c r="S3224" s="124"/>
      <c r="T3224" s="124"/>
      <c r="U3224" s="124"/>
      <c r="V3224" s="124"/>
      <c r="W3224" s="124"/>
      <c r="X3224" s="124"/>
      <c r="Y3224" s="124"/>
      <c r="Z3224" s="124"/>
    </row>
    <row r="3225">
      <c r="A3225" s="124"/>
      <c r="B3225" s="124"/>
      <c r="C3225" s="147"/>
      <c r="D3225" s="124"/>
      <c r="E3225" s="124"/>
      <c r="F3225" s="124"/>
      <c r="G3225" s="124"/>
      <c r="H3225" s="124"/>
      <c r="I3225" s="124"/>
      <c r="J3225" s="124"/>
      <c r="K3225" s="124"/>
      <c r="L3225" s="124"/>
      <c r="M3225" s="124"/>
      <c r="N3225" s="124"/>
      <c r="O3225" s="124"/>
      <c r="P3225" s="124"/>
      <c r="Q3225" s="124"/>
      <c r="R3225" s="124"/>
      <c r="S3225" s="124"/>
      <c r="T3225" s="124"/>
      <c r="U3225" s="124"/>
      <c r="V3225" s="124"/>
      <c r="W3225" s="124"/>
      <c r="X3225" s="124"/>
      <c r="Y3225" s="124"/>
      <c r="Z3225" s="124"/>
    </row>
    <row r="3226">
      <c r="A3226" s="124"/>
      <c r="B3226" s="124"/>
      <c r="C3226" s="147"/>
      <c r="D3226" s="124"/>
      <c r="E3226" s="124"/>
      <c r="F3226" s="124"/>
      <c r="G3226" s="124"/>
      <c r="H3226" s="124"/>
      <c r="I3226" s="124"/>
      <c r="J3226" s="124"/>
      <c r="K3226" s="124"/>
      <c r="L3226" s="124"/>
      <c r="M3226" s="124"/>
      <c r="N3226" s="124"/>
      <c r="O3226" s="124"/>
      <c r="P3226" s="124"/>
      <c r="Q3226" s="124"/>
      <c r="R3226" s="124"/>
      <c r="S3226" s="124"/>
      <c r="T3226" s="124"/>
      <c r="U3226" s="124"/>
      <c r="V3226" s="124"/>
      <c r="W3226" s="124"/>
      <c r="X3226" s="124"/>
      <c r="Y3226" s="124"/>
      <c r="Z3226" s="124"/>
    </row>
    <row r="3227">
      <c r="A3227" s="124"/>
      <c r="B3227" s="124"/>
      <c r="C3227" s="147"/>
      <c r="D3227" s="124"/>
      <c r="E3227" s="124"/>
      <c r="F3227" s="124"/>
      <c r="G3227" s="124"/>
      <c r="H3227" s="124"/>
      <c r="I3227" s="124"/>
      <c r="J3227" s="124"/>
      <c r="K3227" s="124"/>
      <c r="L3227" s="124"/>
      <c r="M3227" s="124"/>
      <c r="N3227" s="124"/>
      <c r="O3227" s="124"/>
      <c r="P3227" s="124"/>
      <c r="Q3227" s="124"/>
      <c r="R3227" s="124"/>
      <c r="S3227" s="124"/>
      <c r="T3227" s="124"/>
      <c r="U3227" s="124"/>
      <c r="V3227" s="124"/>
      <c r="W3227" s="124"/>
      <c r="X3227" s="124"/>
      <c r="Y3227" s="124"/>
      <c r="Z3227" s="124"/>
    </row>
    <row r="3228">
      <c r="A3228" s="124"/>
      <c r="B3228" s="124"/>
      <c r="C3228" s="147"/>
      <c r="D3228" s="124"/>
      <c r="E3228" s="124"/>
      <c r="F3228" s="124"/>
      <c r="G3228" s="124"/>
      <c r="H3228" s="124"/>
      <c r="I3228" s="124"/>
      <c r="J3228" s="124"/>
      <c r="K3228" s="124"/>
      <c r="L3228" s="124"/>
      <c r="M3228" s="124"/>
      <c r="N3228" s="124"/>
      <c r="O3228" s="124"/>
      <c r="P3228" s="124"/>
      <c r="Q3228" s="124"/>
      <c r="R3228" s="124"/>
      <c r="S3228" s="124"/>
      <c r="T3228" s="124"/>
      <c r="U3228" s="124"/>
      <c r="V3228" s="124"/>
      <c r="W3228" s="124"/>
      <c r="X3228" s="124"/>
      <c r="Y3228" s="124"/>
      <c r="Z3228" s="124"/>
    </row>
    <row r="3229">
      <c r="A3229" s="124"/>
      <c r="B3229" s="124"/>
      <c r="C3229" s="147"/>
      <c r="D3229" s="124"/>
      <c r="E3229" s="124"/>
      <c r="F3229" s="124"/>
      <c r="G3229" s="124"/>
      <c r="H3229" s="124"/>
      <c r="I3229" s="124"/>
      <c r="J3229" s="124"/>
      <c r="K3229" s="124"/>
      <c r="L3229" s="124"/>
      <c r="M3229" s="124"/>
      <c r="N3229" s="124"/>
      <c r="O3229" s="124"/>
      <c r="P3229" s="124"/>
      <c r="Q3229" s="124"/>
      <c r="R3229" s="124"/>
      <c r="S3229" s="124"/>
      <c r="T3229" s="124"/>
      <c r="U3229" s="124"/>
      <c r="V3229" s="124"/>
      <c r="W3229" s="124"/>
      <c r="X3229" s="124"/>
      <c r="Y3229" s="124"/>
      <c r="Z3229" s="124"/>
    </row>
    <row r="3230">
      <c r="A3230" s="124"/>
      <c r="B3230" s="124"/>
      <c r="C3230" s="147"/>
      <c r="D3230" s="124"/>
      <c r="E3230" s="124"/>
      <c r="F3230" s="124"/>
      <c r="G3230" s="124"/>
      <c r="H3230" s="124"/>
      <c r="I3230" s="124"/>
      <c r="J3230" s="124"/>
      <c r="K3230" s="124"/>
      <c r="L3230" s="124"/>
      <c r="M3230" s="124"/>
      <c r="N3230" s="124"/>
      <c r="O3230" s="124"/>
      <c r="P3230" s="124"/>
      <c r="Q3230" s="124"/>
      <c r="R3230" s="124"/>
      <c r="S3230" s="124"/>
      <c r="T3230" s="124"/>
      <c r="U3230" s="124"/>
      <c r="V3230" s="124"/>
      <c r="W3230" s="124"/>
      <c r="X3230" s="124"/>
      <c r="Y3230" s="124"/>
      <c r="Z3230" s="124"/>
    </row>
    <row r="3231">
      <c r="A3231" s="124"/>
      <c r="B3231" s="124"/>
      <c r="C3231" s="147"/>
      <c r="D3231" s="124"/>
      <c r="E3231" s="124"/>
      <c r="F3231" s="124"/>
      <c r="G3231" s="124"/>
      <c r="H3231" s="124"/>
      <c r="I3231" s="124"/>
      <c r="J3231" s="124"/>
      <c r="K3231" s="124"/>
      <c r="L3231" s="124"/>
      <c r="M3231" s="124"/>
      <c r="N3231" s="124"/>
      <c r="O3231" s="124"/>
      <c r="P3231" s="124"/>
      <c r="Q3231" s="124"/>
      <c r="R3231" s="124"/>
      <c r="S3231" s="124"/>
      <c r="T3231" s="124"/>
      <c r="U3231" s="124"/>
      <c r="V3231" s="124"/>
      <c r="W3231" s="124"/>
      <c r="X3231" s="124"/>
      <c r="Y3231" s="124"/>
      <c r="Z3231" s="124"/>
    </row>
    <row r="3232">
      <c r="A3232" s="124"/>
      <c r="B3232" s="124"/>
      <c r="C3232" s="147"/>
      <c r="D3232" s="124"/>
      <c r="E3232" s="124"/>
      <c r="F3232" s="124"/>
      <c r="G3232" s="124"/>
      <c r="H3232" s="124"/>
      <c r="I3232" s="124"/>
      <c r="J3232" s="124"/>
      <c r="K3232" s="124"/>
      <c r="L3232" s="124"/>
      <c r="M3232" s="124"/>
      <c r="N3232" s="124"/>
      <c r="O3232" s="124"/>
      <c r="P3232" s="124"/>
      <c r="Q3232" s="124"/>
      <c r="R3232" s="124"/>
      <c r="S3232" s="124"/>
      <c r="T3232" s="124"/>
      <c r="U3232" s="124"/>
      <c r="V3232" s="124"/>
      <c r="W3232" s="124"/>
      <c r="X3232" s="124"/>
      <c r="Y3232" s="124"/>
      <c r="Z3232" s="124"/>
    </row>
    <row r="3233">
      <c r="A3233" s="124"/>
      <c r="B3233" s="124"/>
      <c r="C3233" s="147"/>
      <c r="D3233" s="124"/>
      <c r="E3233" s="124"/>
      <c r="F3233" s="124"/>
      <c r="G3233" s="124"/>
      <c r="H3233" s="124"/>
      <c r="I3233" s="124"/>
      <c r="J3233" s="124"/>
      <c r="K3233" s="124"/>
      <c r="L3233" s="124"/>
      <c r="M3233" s="124"/>
      <c r="N3233" s="124"/>
      <c r="O3233" s="124"/>
      <c r="P3233" s="124"/>
      <c r="Q3233" s="124"/>
      <c r="R3233" s="124"/>
      <c r="S3233" s="124"/>
      <c r="T3233" s="124"/>
      <c r="U3233" s="124"/>
      <c r="V3233" s="124"/>
      <c r="W3233" s="124"/>
      <c r="X3233" s="124"/>
      <c r="Y3233" s="124"/>
      <c r="Z3233" s="124"/>
    </row>
    <row r="3234">
      <c r="A3234" s="124"/>
      <c r="B3234" s="124"/>
      <c r="C3234" s="147"/>
      <c r="D3234" s="124"/>
      <c r="E3234" s="124"/>
      <c r="F3234" s="124"/>
      <c r="G3234" s="124"/>
      <c r="H3234" s="124"/>
      <c r="I3234" s="124"/>
      <c r="J3234" s="124"/>
      <c r="K3234" s="124"/>
      <c r="L3234" s="124"/>
      <c r="M3234" s="124"/>
      <c r="N3234" s="124"/>
      <c r="O3234" s="124"/>
      <c r="P3234" s="124"/>
      <c r="Q3234" s="124"/>
      <c r="R3234" s="124"/>
      <c r="S3234" s="124"/>
      <c r="T3234" s="124"/>
      <c r="U3234" s="124"/>
      <c r="V3234" s="124"/>
      <c r="W3234" s="124"/>
      <c r="X3234" s="124"/>
      <c r="Y3234" s="124"/>
      <c r="Z3234" s="124"/>
    </row>
    <row r="3235">
      <c r="A3235" s="124"/>
      <c r="B3235" s="124"/>
      <c r="C3235" s="147"/>
      <c r="D3235" s="124"/>
      <c r="E3235" s="124"/>
      <c r="F3235" s="124"/>
      <c r="G3235" s="124"/>
      <c r="H3235" s="124"/>
      <c r="I3235" s="124"/>
      <c r="J3235" s="124"/>
      <c r="K3235" s="124"/>
      <c r="L3235" s="124"/>
      <c r="M3235" s="124"/>
      <c r="N3235" s="124"/>
      <c r="O3235" s="124"/>
      <c r="P3235" s="124"/>
      <c r="Q3235" s="124"/>
      <c r="R3235" s="124"/>
      <c r="S3235" s="124"/>
      <c r="T3235" s="124"/>
      <c r="U3235" s="124"/>
      <c r="V3235" s="124"/>
      <c r="W3235" s="124"/>
      <c r="X3235" s="124"/>
      <c r="Y3235" s="124"/>
      <c r="Z3235" s="124"/>
    </row>
    <row r="3236">
      <c r="A3236" s="124"/>
      <c r="B3236" s="124"/>
      <c r="C3236" s="147"/>
      <c r="D3236" s="124"/>
      <c r="E3236" s="124"/>
      <c r="F3236" s="124"/>
      <c r="G3236" s="124"/>
      <c r="H3236" s="124"/>
      <c r="I3236" s="124"/>
      <c r="J3236" s="124"/>
      <c r="K3236" s="124"/>
      <c r="L3236" s="124"/>
      <c r="M3236" s="124"/>
      <c r="N3236" s="124"/>
      <c r="O3236" s="124"/>
      <c r="P3236" s="124"/>
      <c r="Q3236" s="124"/>
      <c r="R3236" s="124"/>
      <c r="S3236" s="124"/>
      <c r="T3236" s="124"/>
      <c r="U3236" s="124"/>
      <c r="V3236" s="124"/>
      <c r="W3236" s="124"/>
      <c r="X3236" s="124"/>
      <c r="Y3236" s="124"/>
      <c r="Z3236" s="124"/>
    </row>
    <row r="3237">
      <c r="A3237" s="124"/>
      <c r="B3237" s="124"/>
      <c r="C3237" s="147"/>
      <c r="D3237" s="124"/>
      <c r="E3237" s="124"/>
      <c r="F3237" s="124"/>
      <c r="G3237" s="124"/>
      <c r="H3237" s="124"/>
      <c r="I3237" s="124"/>
      <c r="J3237" s="124"/>
      <c r="K3237" s="124"/>
      <c r="L3237" s="124"/>
      <c r="M3237" s="124"/>
      <c r="N3237" s="124"/>
      <c r="O3237" s="124"/>
      <c r="P3237" s="124"/>
      <c r="Q3237" s="124"/>
      <c r="R3237" s="124"/>
      <c r="S3237" s="124"/>
      <c r="T3237" s="124"/>
      <c r="U3237" s="124"/>
      <c r="V3237" s="124"/>
      <c r="W3237" s="124"/>
      <c r="X3237" s="124"/>
      <c r="Y3237" s="124"/>
      <c r="Z3237" s="124"/>
    </row>
    <row r="3238">
      <c r="A3238" s="124"/>
      <c r="B3238" s="124"/>
      <c r="C3238" s="147"/>
      <c r="D3238" s="124"/>
      <c r="E3238" s="124"/>
      <c r="F3238" s="124"/>
      <c r="G3238" s="124"/>
      <c r="H3238" s="124"/>
      <c r="I3238" s="124"/>
      <c r="J3238" s="124"/>
      <c r="K3238" s="124"/>
      <c r="L3238" s="124"/>
      <c r="M3238" s="124"/>
      <c r="N3238" s="124"/>
      <c r="O3238" s="124"/>
      <c r="P3238" s="124"/>
      <c r="Q3238" s="124"/>
      <c r="R3238" s="124"/>
      <c r="S3238" s="124"/>
      <c r="T3238" s="124"/>
      <c r="U3238" s="124"/>
      <c r="V3238" s="124"/>
      <c r="W3238" s="124"/>
      <c r="X3238" s="124"/>
      <c r="Y3238" s="124"/>
      <c r="Z3238" s="124"/>
    </row>
    <row r="3239">
      <c r="A3239" s="124"/>
      <c r="B3239" s="124"/>
      <c r="C3239" s="147"/>
      <c r="D3239" s="124"/>
      <c r="E3239" s="124"/>
      <c r="F3239" s="124"/>
      <c r="G3239" s="124"/>
      <c r="H3239" s="124"/>
      <c r="I3239" s="124"/>
      <c r="J3239" s="124"/>
      <c r="K3239" s="124"/>
      <c r="L3239" s="124"/>
      <c r="M3239" s="124"/>
      <c r="N3239" s="124"/>
      <c r="O3239" s="124"/>
      <c r="P3239" s="124"/>
      <c r="Q3239" s="124"/>
      <c r="R3239" s="124"/>
      <c r="S3239" s="124"/>
      <c r="T3239" s="124"/>
      <c r="U3239" s="124"/>
      <c r="V3239" s="124"/>
      <c r="W3239" s="124"/>
      <c r="X3239" s="124"/>
      <c r="Y3239" s="124"/>
      <c r="Z3239" s="124"/>
    </row>
    <row r="3240">
      <c r="A3240" s="124"/>
      <c r="B3240" s="124"/>
      <c r="C3240" s="147"/>
      <c r="D3240" s="124"/>
      <c r="E3240" s="124"/>
      <c r="F3240" s="124"/>
      <c r="G3240" s="124"/>
      <c r="H3240" s="124"/>
      <c r="I3240" s="124"/>
      <c r="J3240" s="124"/>
      <c r="K3240" s="124"/>
      <c r="L3240" s="124"/>
      <c r="M3240" s="124"/>
      <c r="N3240" s="124"/>
      <c r="O3240" s="124"/>
      <c r="P3240" s="124"/>
      <c r="Q3240" s="124"/>
      <c r="R3240" s="124"/>
      <c r="S3240" s="124"/>
      <c r="T3240" s="124"/>
      <c r="U3240" s="124"/>
      <c r="V3240" s="124"/>
      <c r="W3240" s="124"/>
      <c r="X3240" s="124"/>
      <c r="Y3240" s="124"/>
      <c r="Z3240" s="124"/>
    </row>
    <row r="3241">
      <c r="A3241" s="124"/>
      <c r="B3241" s="124"/>
      <c r="C3241" s="147"/>
      <c r="D3241" s="124"/>
      <c r="E3241" s="124"/>
      <c r="F3241" s="124"/>
      <c r="G3241" s="124"/>
      <c r="H3241" s="124"/>
      <c r="I3241" s="124"/>
      <c r="J3241" s="124"/>
      <c r="K3241" s="124"/>
      <c r="L3241" s="124"/>
      <c r="M3241" s="124"/>
      <c r="N3241" s="124"/>
      <c r="O3241" s="124"/>
      <c r="P3241" s="124"/>
      <c r="Q3241" s="124"/>
      <c r="R3241" s="124"/>
      <c r="S3241" s="124"/>
      <c r="T3241" s="124"/>
      <c r="U3241" s="124"/>
      <c r="V3241" s="124"/>
      <c r="W3241" s="124"/>
      <c r="X3241" s="124"/>
      <c r="Y3241" s="124"/>
      <c r="Z3241" s="124"/>
    </row>
    <row r="3242">
      <c r="A3242" s="124"/>
      <c r="B3242" s="124"/>
      <c r="C3242" s="147"/>
      <c r="D3242" s="124"/>
      <c r="E3242" s="124"/>
      <c r="F3242" s="124"/>
      <c r="G3242" s="124"/>
      <c r="H3242" s="124"/>
      <c r="I3242" s="124"/>
      <c r="J3242" s="124"/>
      <c r="K3242" s="124"/>
      <c r="L3242" s="124"/>
      <c r="M3242" s="124"/>
      <c r="N3242" s="124"/>
      <c r="O3242" s="124"/>
      <c r="P3242" s="124"/>
      <c r="Q3242" s="124"/>
      <c r="R3242" s="124"/>
      <c r="S3242" s="124"/>
      <c r="T3242" s="124"/>
      <c r="U3242" s="124"/>
      <c r="V3242" s="124"/>
      <c r="W3242" s="124"/>
      <c r="X3242" s="124"/>
      <c r="Y3242" s="124"/>
      <c r="Z3242" s="124"/>
    </row>
    <row r="3243">
      <c r="A3243" s="124"/>
      <c r="B3243" s="124"/>
      <c r="C3243" s="147"/>
      <c r="D3243" s="124"/>
      <c r="E3243" s="124"/>
      <c r="F3243" s="124"/>
      <c r="G3243" s="124"/>
      <c r="H3243" s="124"/>
      <c r="I3243" s="124"/>
      <c r="J3243" s="124"/>
      <c r="K3243" s="124"/>
      <c r="L3243" s="124"/>
      <c r="M3243" s="124"/>
      <c r="N3243" s="124"/>
      <c r="O3243" s="124"/>
      <c r="P3243" s="124"/>
      <c r="Q3243" s="124"/>
      <c r="R3243" s="124"/>
      <c r="S3243" s="124"/>
      <c r="T3243" s="124"/>
      <c r="U3243" s="124"/>
      <c r="V3243" s="124"/>
      <c r="W3243" s="124"/>
      <c r="X3243" s="124"/>
      <c r="Y3243" s="124"/>
      <c r="Z3243" s="124"/>
    </row>
    <row r="3244">
      <c r="A3244" s="124"/>
      <c r="B3244" s="124"/>
      <c r="C3244" s="147"/>
      <c r="D3244" s="124"/>
      <c r="E3244" s="124"/>
      <c r="F3244" s="124"/>
      <c r="G3244" s="124"/>
      <c r="H3244" s="124"/>
      <c r="I3244" s="124"/>
      <c r="J3244" s="124"/>
      <c r="K3244" s="124"/>
      <c r="L3244" s="124"/>
      <c r="M3244" s="124"/>
      <c r="N3244" s="124"/>
      <c r="O3244" s="124"/>
      <c r="P3244" s="124"/>
      <c r="Q3244" s="124"/>
      <c r="R3244" s="124"/>
      <c r="S3244" s="124"/>
      <c r="T3244" s="124"/>
      <c r="U3244" s="124"/>
      <c r="V3244" s="124"/>
      <c r="W3244" s="124"/>
      <c r="X3244" s="124"/>
      <c r="Y3244" s="124"/>
      <c r="Z3244" s="124"/>
    </row>
    <row r="3245">
      <c r="A3245" s="124"/>
      <c r="B3245" s="124"/>
      <c r="C3245" s="147"/>
      <c r="D3245" s="124"/>
      <c r="E3245" s="124"/>
      <c r="F3245" s="124"/>
      <c r="G3245" s="124"/>
      <c r="H3245" s="124"/>
      <c r="I3245" s="124"/>
      <c r="J3245" s="124"/>
      <c r="K3245" s="124"/>
      <c r="L3245" s="124"/>
      <c r="M3245" s="124"/>
      <c r="N3245" s="124"/>
      <c r="O3245" s="124"/>
      <c r="P3245" s="124"/>
      <c r="Q3245" s="124"/>
      <c r="R3245" s="124"/>
      <c r="S3245" s="124"/>
      <c r="T3245" s="124"/>
      <c r="U3245" s="124"/>
      <c r="V3245" s="124"/>
      <c r="W3245" s="124"/>
      <c r="X3245" s="124"/>
      <c r="Y3245" s="124"/>
      <c r="Z3245" s="124"/>
    </row>
    <row r="3246">
      <c r="A3246" s="124"/>
      <c r="B3246" s="124"/>
      <c r="C3246" s="147"/>
      <c r="D3246" s="124"/>
      <c r="E3246" s="124"/>
      <c r="F3246" s="124"/>
      <c r="G3246" s="124"/>
      <c r="H3246" s="124"/>
      <c r="I3246" s="124"/>
      <c r="J3246" s="124"/>
      <c r="K3246" s="124"/>
      <c r="L3246" s="124"/>
      <c r="M3246" s="124"/>
      <c r="N3246" s="124"/>
      <c r="O3246" s="124"/>
      <c r="P3246" s="124"/>
      <c r="Q3246" s="124"/>
      <c r="R3246" s="124"/>
      <c r="S3246" s="124"/>
      <c r="T3246" s="124"/>
      <c r="U3246" s="124"/>
      <c r="V3246" s="124"/>
      <c r="W3246" s="124"/>
      <c r="X3246" s="124"/>
      <c r="Y3246" s="124"/>
      <c r="Z3246" s="124"/>
    </row>
    <row r="3247">
      <c r="A3247" s="124"/>
      <c r="B3247" s="124"/>
      <c r="C3247" s="147"/>
      <c r="D3247" s="124"/>
      <c r="E3247" s="124"/>
      <c r="F3247" s="124"/>
      <c r="G3247" s="124"/>
      <c r="H3247" s="124"/>
      <c r="I3247" s="124"/>
      <c r="J3247" s="124"/>
      <c r="K3247" s="124"/>
      <c r="L3247" s="124"/>
      <c r="M3247" s="124"/>
      <c r="N3247" s="124"/>
      <c r="O3247" s="124"/>
      <c r="P3247" s="124"/>
      <c r="Q3247" s="124"/>
      <c r="R3247" s="124"/>
      <c r="S3247" s="124"/>
      <c r="T3247" s="124"/>
      <c r="U3247" s="124"/>
      <c r="V3247" s="124"/>
      <c r="W3247" s="124"/>
      <c r="X3247" s="124"/>
      <c r="Y3247" s="124"/>
      <c r="Z3247" s="124"/>
    </row>
    <row r="3248">
      <c r="A3248" s="124"/>
      <c r="B3248" s="124"/>
      <c r="C3248" s="147"/>
      <c r="D3248" s="124"/>
      <c r="E3248" s="124"/>
      <c r="F3248" s="124"/>
      <c r="G3248" s="124"/>
      <c r="H3248" s="124"/>
      <c r="I3248" s="124"/>
      <c r="J3248" s="124"/>
      <c r="K3248" s="124"/>
      <c r="L3248" s="124"/>
      <c r="M3248" s="124"/>
      <c r="N3248" s="124"/>
      <c r="O3248" s="124"/>
      <c r="P3248" s="124"/>
      <c r="Q3248" s="124"/>
      <c r="R3248" s="124"/>
      <c r="S3248" s="124"/>
      <c r="T3248" s="124"/>
      <c r="U3248" s="124"/>
      <c r="V3248" s="124"/>
      <c r="W3248" s="124"/>
      <c r="X3248" s="124"/>
      <c r="Y3248" s="124"/>
      <c r="Z3248" s="124"/>
    </row>
    <row r="3249">
      <c r="A3249" s="124"/>
      <c r="B3249" s="124"/>
      <c r="C3249" s="147"/>
      <c r="D3249" s="124"/>
      <c r="E3249" s="124"/>
      <c r="F3249" s="124"/>
      <c r="G3249" s="124"/>
      <c r="H3249" s="124"/>
      <c r="I3249" s="124"/>
      <c r="J3249" s="124"/>
      <c r="K3249" s="124"/>
      <c r="L3249" s="124"/>
      <c r="M3249" s="124"/>
      <c r="N3249" s="124"/>
      <c r="O3249" s="124"/>
      <c r="P3249" s="124"/>
      <c r="Q3249" s="124"/>
      <c r="R3249" s="124"/>
      <c r="S3249" s="124"/>
      <c r="T3249" s="124"/>
      <c r="U3249" s="124"/>
      <c r="V3249" s="124"/>
      <c r="W3249" s="124"/>
      <c r="X3249" s="124"/>
      <c r="Y3249" s="124"/>
      <c r="Z3249" s="124"/>
    </row>
    <row r="3250">
      <c r="A3250" s="124"/>
      <c r="B3250" s="124"/>
      <c r="C3250" s="147"/>
      <c r="D3250" s="124"/>
      <c r="E3250" s="124"/>
      <c r="F3250" s="124"/>
      <c r="G3250" s="124"/>
      <c r="H3250" s="124"/>
      <c r="I3250" s="124"/>
      <c r="J3250" s="124"/>
      <c r="K3250" s="124"/>
      <c r="L3250" s="124"/>
      <c r="M3250" s="124"/>
      <c r="N3250" s="124"/>
      <c r="O3250" s="124"/>
      <c r="P3250" s="124"/>
      <c r="Q3250" s="124"/>
      <c r="R3250" s="124"/>
      <c r="S3250" s="124"/>
      <c r="T3250" s="124"/>
      <c r="U3250" s="124"/>
      <c r="V3250" s="124"/>
      <c r="W3250" s="124"/>
      <c r="X3250" s="124"/>
      <c r="Y3250" s="124"/>
      <c r="Z3250" s="124"/>
    </row>
    <row r="3251">
      <c r="A3251" s="124"/>
      <c r="B3251" s="124"/>
      <c r="C3251" s="147"/>
      <c r="D3251" s="124"/>
      <c r="E3251" s="124"/>
      <c r="F3251" s="124"/>
      <c r="G3251" s="124"/>
      <c r="H3251" s="124"/>
      <c r="I3251" s="124"/>
      <c r="J3251" s="124"/>
      <c r="K3251" s="124"/>
      <c r="L3251" s="124"/>
      <c r="M3251" s="124"/>
      <c r="N3251" s="124"/>
      <c r="O3251" s="124"/>
      <c r="P3251" s="124"/>
      <c r="Q3251" s="124"/>
      <c r="R3251" s="124"/>
      <c r="S3251" s="124"/>
      <c r="T3251" s="124"/>
      <c r="U3251" s="124"/>
      <c r="V3251" s="124"/>
      <c r="W3251" s="124"/>
      <c r="X3251" s="124"/>
      <c r="Y3251" s="124"/>
      <c r="Z3251" s="124"/>
    </row>
    <row r="3252">
      <c r="A3252" s="124"/>
      <c r="B3252" s="124"/>
      <c r="C3252" s="147"/>
      <c r="D3252" s="124"/>
      <c r="E3252" s="124"/>
      <c r="F3252" s="124"/>
      <c r="G3252" s="124"/>
      <c r="H3252" s="124"/>
      <c r="I3252" s="124"/>
      <c r="J3252" s="124"/>
      <c r="K3252" s="124"/>
      <c r="L3252" s="124"/>
      <c r="M3252" s="124"/>
      <c r="N3252" s="124"/>
      <c r="O3252" s="124"/>
      <c r="P3252" s="124"/>
      <c r="Q3252" s="124"/>
      <c r="R3252" s="124"/>
      <c r="S3252" s="124"/>
      <c r="T3252" s="124"/>
      <c r="U3252" s="124"/>
      <c r="V3252" s="124"/>
      <c r="W3252" s="124"/>
      <c r="X3252" s="124"/>
      <c r="Y3252" s="124"/>
      <c r="Z3252" s="124"/>
    </row>
    <row r="3253">
      <c r="A3253" s="124"/>
      <c r="B3253" s="124"/>
      <c r="C3253" s="147"/>
      <c r="D3253" s="124"/>
      <c r="E3253" s="124"/>
      <c r="F3253" s="124"/>
      <c r="G3253" s="124"/>
      <c r="H3253" s="124"/>
      <c r="I3253" s="124"/>
      <c r="J3253" s="124"/>
      <c r="K3253" s="124"/>
      <c r="L3253" s="124"/>
      <c r="M3253" s="124"/>
      <c r="N3253" s="124"/>
      <c r="O3253" s="124"/>
      <c r="P3253" s="124"/>
      <c r="Q3253" s="124"/>
      <c r="R3253" s="124"/>
      <c r="S3253" s="124"/>
      <c r="T3253" s="124"/>
      <c r="U3253" s="124"/>
      <c r="V3253" s="124"/>
      <c r="W3253" s="124"/>
      <c r="X3253" s="124"/>
      <c r="Y3253" s="124"/>
      <c r="Z3253" s="124"/>
    </row>
    <row r="3254">
      <c r="A3254" s="124"/>
      <c r="B3254" s="124"/>
      <c r="C3254" s="147"/>
      <c r="D3254" s="124"/>
      <c r="E3254" s="124"/>
      <c r="F3254" s="124"/>
      <c r="G3254" s="124"/>
      <c r="H3254" s="124"/>
      <c r="I3254" s="124"/>
      <c r="J3254" s="124"/>
      <c r="K3254" s="124"/>
      <c r="L3254" s="124"/>
      <c r="M3254" s="124"/>
      <c r="N3254" s="124"/>
      <c r="O3254" s="124"/>
      <c r="P3254" s="124"/>
      <c r="Q3254" s="124"/>
      <c r="R3254" s="124"/>
      <c r="S3254" s="124"/>
      <c r="T3254" s="124"/>
      <c r="U3254" s="124"/>
      <c r="V3254" s="124"/>
      <c r="W3254" s="124"/>
      <c r="X3254" s="124"/>
      <c r="Y3254" s="124"/>
      <c r="Z3254" s="124"/>
    </row>
    <row r="3255">
      <c r="A3255" s="124"/>
      <c r="B3255" s="124"/>
      <c r="C3255" s="147"/>
      <c r="D3255" s="124"/>
      <c r="E3255" s="124"/>
      <c r="F3255" s="124"/>
      <c r="G3255" s="124"/>
      <c r="H3255" s="124"/>
      <c r="I3255" s="124"/>
      <c r="J3255" s="124"/>
      <c r="K3255" s="124"/>
      <c r="L3255" s="124"/>
      <c r="M3255" s="124"/>
      <c r="N3255" s="124"/>
      <c r="O3255" s="124"/>
      <c r="P3255" s="124"/>
      <c r="Q3255" s="124"/>
      <c r="R3255" s="124"/>
      <c r="S3255" s="124"/>
      <c r="T3255" s="124"/>
      <c r="U3255" s="124"/>
      <c r="V3255" s="124"/>
      <c r="W3255" s="124"/>
      <c r="X3255" s="124"/>
      <c r="Y3255" s="124"/>
      <c r="Z3255" s="124"/>
    </row>
    <row r="3256">
      <c r="A3256" s="124"/>
      <c r="B3256" s="124"/>
      <c r="C3256" s="147"/>
      <c r="D3256" s="124"/>
      <c r="E3256" s="124"/>
      <c r="F3256" s="124"/>
      <c r="G3256" s="124"/>
      <c r="H3256" s="124"/>
      <c r="I3256" s="124"/>
      <c r="J3256" s="124"/>
      <c r="K3256" s="124"/>
      <c r="L3256" s="124"/>
      <c r="M3256" s="124"/>
      <c r="N3256" s="124"/>
      <c r="O3256" s="124"/>
      <c r="P3256" s="124"/>
      <c r="Q3256" s="124"/>
      <c r="R3256" s="124"/>
      <c r="S3256" s="124"/>
      <c r="T3256" s="124"/>
      <c r="U3256" s="124"/>
      <c r="V3256" s="124"/>
      <c r="W3256" s="124"/>
      <c r="X3256" s="124"/>
      <c r="Y3256" s="124"/>
      <c r="Z3256" s="124"/>
    </row>
    <row r="3257">
      <c r="A3257" s="124"/>
      <c r="B3257" s="124"/>
      <c r="C3257" s="147"/>
      <c r="D3257" s="124"/>
      <c r="E3257" s="124"/>
      <c r="F3257" s="124"/>
      <c r="G3257" s="124"/>
      <c r="H3257" s="124"/>
      <c r="I3257" s="124"/>
      <c r="J3257" s="124"/>
      <c r="K3257" s="124"/>
      <c r="L3257" s="124"/>
      <c r="M3257" s="124"/>
      <c r="N3257" s="124"/>
      <c r="O3257" s="124"/>
      <c r="P3257" s="124"/>
      <c r="Q3257" s="124"/>
      <c r="R3257" s="124"/>
      <c r="S3257" s="124"/>
      <c r="T3257" s="124"/>
      <c r="U3257" s="124"/>
      <c r="V3257" s="124"/>
      <c r="W3257" s="124"/>
      <c r="X3257" s="124"/>
      <c r="Y3257" s="124"/>
      <c r="Z3257" s="124"/>
    </row>
    <row r="3258">
      <c r="A3258" s="124"/>
      <c r="B3258" s="124"/>
      <c r="C3258" s="147"/>
      <c r="D3258" s="124"/>
      <c r="E3258" s="124"/>
      <c r="F3258" s="124"/>
      <c r="G3258" s="124"/>
      <c r="H3258" s="124"/>
      <c r="I3258" s="124"/>
      <c r="J3258" s="124"/>
      <c r="K3258" s="124"/>
      <c r="L3258" s="124"/>
      <c r="M3258" s="124"/>
      <c r="N3258" s="124"/>
      <c r="O3258" s="124"/>
      <c r="P3258" s="124"/>
      <c r="Q3258" s="124"/>
      <c r="R3258" s="124"/>
      <c r="S3258" s="124"/>
      <c r="T3258" s="124"/>
      <c r="U3258" s="124"/>
      <c r="V3258" s="124"/>
      <c r="W3258" s="124"/>
      <c r="X3258" s="124"/>
      <c r="Y3258" s="124"/>
      <c r="Z3258" s="124"/>
    </row>
    <row r="3259">
      <c r="A3259" s="124"/>
      <c r="B3259" s="124"/>
      <c r="C3259" s="147"/>
      <c r="D3259" s="124"/>
      <c r="E3259" s="124"/>
      <c r="F3259" s="124"/>
      <c r="G3259" s="124"/>
      <c r="H3259" s="124"/>
      <c r="I3259" s="124"/>
      <c r="J3259" s="124"/>
      <c r="K3259" s="124"/>
      <c r="L3259" s="124"/>
      <c r="M3259" s="124"/>
      <c r="N3259" s="124"/>
      <c r="O3259" s="124"/>
      <c r="P3259" s="124"/>
      <c r="Q3259" s="124"/>
      <c r="R3259" s="124"/>
      <c r="S3259" s="124"/>
      <c r="T3259" s="124"/>
      <c r="U3259" s="124"/>
      <c r="V3259" s="124"/>
      <c r="W3259" s="124"/>
      <c r="X3259" s="124"/>
      <c r="Y3259" s="124"/>
      <c r="Z3259" s="124"/>
    </row>
    <row r="3260">
      <c r="A3260" s="124"/>
      <c r="B3260" s="124"/>
      <c r="C3260" s="147"/>
      <c r="D3260" s="124"/>
      <c r="E3260" s="124"/>
      <c r="F3260" s="124"/>
      <c r="G3260" s="124"/>
      <c r="H3260" s="124"/>
      <c r="I3260" s="124"/>
      <c r="J3260" s="124"/>
      <c r="K3260" s="124"/>
      <c r="L3260" s="124"/>
      <c r="M3260" s="124"/>
      <c r="N3260" s="124"/>
      <c r="O3260" s="124"/>
      <c r="P3260" s="124"/>
      <c r="Q3260" s="124"/>
      <c r="R3260" s="124"/>
      <c r="S3260" s="124"/>
      <c r="T3260" s="124"/>
      <c r="U3260" s="124"/>
      <c r="V3260" s="124"/>
      <c r="W3260" s="124"/>
      <c r="X3260" s="124"/>
      <c r="Y3260" s="124"/>
      <c r="Z3260" s="124"/>
    </row>
    <row r="3261">
      <c r="A3261" s="124"/>
      <c r="B3261" s="124"/>
      <c r="C3261" s="147"/>
      <c r="D3261" s="124"/>
      <c r="E3261" s="124"/>
      <c r="F3261" s="124"/>
      <c r="G3261" s="124"/>
      <c r="H3261" s="124"/>
      <c r="I3261" s="124"/>
      <c r="J3261" s="124"/>
      <c r="K3261" s="124"/>
      <c r="L3261" s="124"/>
      <c r="M3261" s="124"/>
      <c r="N3261" s="124"/>
      <c r="O3261" s="124"/>
      <c r="P3261" s="124"/>
      <c r="Q3261" s="124"/>
      <c r="R3261" s="124"/>
      <c r="S3261" s="124"/>
      <c r="T3261" s="124"/>
      <c r="U3261" s="124"/>
      <c r="V3261" s="124"/>
      <c r="W3261" s="124"/>
      <c r="X3261" s="124"/>
      <c r="Y3261" s="124"/>
      <c r="Z3261" s="124"/>
    </row>
    <row r="3262">
      <c r="A3262" s="124"/>
      <c r="B3262" s="124"/>
      <c r="C3262" s="147"/>
      <c r="D3262" s="124"/>
      <c r="E3262" s="124"/>
      <c r="F3262" s="124"/>
      <c r="G3262" s="124"/>
      <c r="H3262" s="124"/>
      <c r="I3262" s="124"/>
      <c r="J3262" s="124"/>
      <c r="K3262" s="124"/>
      <c r="L3262" s="124"/>
      <c r="M3262" s="124"/>
      <c r="N3262" s="124"/>
      <c r="O3262" s="124"/>
      <c r="P3262" s="124"/>
      <c r="Q3262" s="124"/>
      <c r="R3262" s="124"/>
      <c r="S3262" s="124"/>
      <c r="T3262" s="124"/>
      <c r="U3262" s="124"/>
      <c r="V3262" s="124"/>
      <c r="W3262" s="124"/>
      <c r="X3262" s="124"/>
      <c r="Y3262" s="124"/>
      <c r="Z3262" s="124"/>
    </row>
    <row r="3263">
      <c r="A3263" s="124"/>
      <c r="B3263" s="124"/>
      <c r="C3263" s="147"/>
      <c r="D3263" s="124"/>
      <c r="E3263" s="124"/>
      <c r="F3263" s="124"/>
      <c r="G3263" s="124"/>
      <c r="H3263" s="124"/>
      <c r="I3263" s="124"/>
      <c r="J3263" s="124"/>
      <c r="K3263" s="124"/>
      <c r="L3263" s="124"/>
      <c r="M3263" s="124"/>
      <c r="N3263" s="124"/>
      <c r="O3263" s="124"/>
      <c r="P3263" s="124"/>
      <c r="Q3263" s="124"/>
      <c r="R3263" s="124"/>
      <c r="S3263" s="124"/>
      <c r="T3263" s="124"/>
      <c r="U3263" s="124"/>
      <c r="V3263" s="124"/>
      <c r="W3263" s="124"/>
      <c r="X3263" s="124"/>
      <c r="Y3263" s="124"/>
      <c r="Z3263" s="124"/>
    </row>
    <row r="3264">
      <c r="A3264" s="124"/>
      <c r="B3264" s="124"/>
      <c r="C3264" s="147"/>
      <c r="D3264" s="124"/>
      <c r="E3264" s="124"/>
      <c r="F3264" s="124"/>
      <c r="G3264" s="124"/>
      <c r="H3264" s="124"/>
      <c r="I3264" s="124"/>
      <c r="J3264" s="124"/>
      <c r="K3264" s="124"/>
      <c r="L3264" s="124"/>
      <c r="M3264" s="124"/>
      <c r="N3264" s="124"/>
      <c r="O3264" s="124"/>
      <c r="P3264" s="124"/>
      <c r="Q3264" s="124"/>
      <c r="R3264" s="124"/>
      <c r="S3264" s="124"/>
      <c r="T3264" s="124"/>
      <c r="U3264" s="124"/>
      <c r="V3264" s="124"/>
      <c r="W3264" s="124"/>
      <c r="X3264" s="124"/>
      <c r="Y3264" s="124"/>
      <c r="Z3264" s="124"/>
    </row>
    <row r="3265">
      <c r="A3265" s="124"/>
      <c r="B3265" s="124"/>
      <c r="C3265" s="147"/>
      <c r="D3265" s="124"/>
      <c r="E3265" s="124"/>
      <c r="F3265" s="124"/>
      <c r="G3265" s="124"/>
      <c r="H3265" s="124"/>
      <c r="I3265" s="124"/>
      <c r="J3265" s="124"/>
      <c r="K3265" s="124"/>
      <c r="L3265" s="124"/>
      <c r="M3265" s="124"/>
      <c r="N3265" s="124"/>
      <c r="O3265" s="124"/>
      <c r="P3265" s="124"/>
      <c r="Q3265" s="124"/>
      <c r="R3265" s="124"/>
      <c r="S3265" s="124"/>
      <c r="T3265" s="124"/>
      <c r="U3265" s="124"/>
      <c r="V3265" s="124"/>
      <c r="W3265" s="124"/>
      <c r="X3265" s="124"/>
      <c r="Y3265" s="124"/>
      <c r="Z3265" s="124"/>
    </row>
    <row r="3266">
      <c r="A3266" s="124"/>
      <c r="B3266" s="124"/>
      <c r="C3266" s="147"/>
      <c r="D3266" s="124"/>
      <c r="E3266" s="124"/>
      <c r="F3266" s="124"/>
      <c r="G3266" s="124"/>
      <c r="H3266" s="124"/>
      <c r="I3266" s="124"/>
      <c r="J3266" s="124"/>
      <c r="K3266" s="124"/>
      <c r="L3266" s="124"/>
      <c r="M3266" s="124"/>
      <c r="N3266" s="124"/>
      <c r="O3266" s="124"/>
      <c r="P3266" s="124"/>
      <c r="Q3266" s="124"/>
      <c r="R3266" s="124"/>
      <c r="S3266" s="124"/>
      <c r="T3266" s="124"/>
      <c r="U3266" s="124"/>
      <c r="V3266" s="124"/>
      <c r="W3266" s="124"/>
      <c r="X3266" s="124"/>
      <c r="Y3266" s="124"/>
      <c r="Z3266" s="124"/>
    </row>
    <row r="3267">
      <c r="A3267" s="124"/>
      <c r="B3267" s="124"/>
      <c r="C3267" s="147"/>
      <c r="D3267" s="124"/>
      <c r="E3267" s="124"/>
      <c r="F3267" s="124"/>
      <c r="G3267" s="124"/>
      <c r="H3267" s="124"/>
      <c r="I3267" s="124"/>
      <c r="J3267" s="124"/>
      <c r="K3267" s="124"/>
      <c r="L3267" s="124"/>
      <c r="M3267" s="124"/>
      <c r="N3267" s="124"/>
      <c r="O3267" s="124"/>
      <c r="P3267" s="124"/>
      <c r="Q3267" s="124"/>
      <c r="R3267" s="124"/>
      <c r="S3267" s="124"/>
      <c r="T3267" s="124"/>
      <c r="U3267" s="124"/>
      <c r="V3267" s="124"/>
      <c r="W3267" s="124"/>
      <c r="X3267" s="124"/>
      <c r="Y3267" s="124"/>
      <c r="Z3267" s="124"/>
    </row>
    <row r="3268">
      <c r="A3268" s="124"/>
      <c r="B3268" s="124"/>
      <c r="C3268" s="147"/>
      <c r="D3268" s="124"/>
      <c r="E3268" s="124"/>
      <c r="F3268" s="124"/>
      <c r="G3268" s="124"/>
      <c r="H3268" s="124"/>
      <c r="I3268" s="124"/>
      <c r="J3268" s="124"/>
      <c r="K3268" s="124"/>
      <c r="L3268" s="124"/>
      <c r="M3268" s="124"/>
      <c r="N3268" s="124"/>
      <c r="O3268" s="124"/>
      <c r="P3268" s="124"/>
      <c r="Q3268" s="124"/>
      <c r="R3268" s="124"/>
      <c r="S3268" s="124"/>
      <c r="T3268" s="124"/>
      <c r="U3268" s="124"/>
      <c r="V3268" s="124"/>
      <c r="W3268" s="124"/>
      <c r="X3268" s="124"/>
      <c r="Y3268" s="124"/>
      <c r="Z3268" s="124"/>
    </row>
    <row r="3269">
      <c r="A3269" s="124"/>
      <c r="B3269" s="124"/>
      <c r="C3269" s="147"/>
      <c r="D3269" s="124"/>
      <c r="E3269" s="124"/>
      <c r="F3269" s="124"/>
      <c r="G3269" s="124"/>
      <c r="H3269" s="124"/>
      <c r="I3269" s="124"/>
      <c r="J3269" s="124"/>
      <c r="K3269" s="124"/>
      <c r="L3269" s="124"/>
      <c r="M3269" s="124"/>
      <c r="N3269" s="124"/>
      <c r="O3269" s="124"/>
      <c r="P3269" s="124"/>
      <c r="Q3269" s="124"/>
      <c r="R3269" s="124"/>
      <c r="S3269" s="124"/>
      <c r="T3269" s="124"/>
      <c r="U3269" s="124"/>
      <c r="V3269" s="124"/>
      <c r="W3269" s="124"/>
      <c r="X3269" s="124"/>
      <c r="Y3269" s="124"/>
      <c r="Z3269" s="124"/>
    </row>
    <row r="3270">
      <c r="A3270" s="124"/>
      <c r="B3270" s="124"/>
      <c r="C3270" s="147"/>
      <c r="D3270" s="124"/>
      <c r="E3270" s="124"/>
      <c r="F3270" s="124"/>
      <c r="G3270" s="124"/>
      <c r="H3270" s="124"/>
      <c r="I3270" s="124"/>
      <c r="J3270" s="124"/>
      <c r="K3270" s="124"/>
      <c r="L3270" s="124"/>
      <c r="M3270" s="124"/>
      <c r="N3270" s="124"/>
      <c r="O3270" s="124"/>
      <c r="P3270" s="124"/>
      <c r="Q3270" s="124"/>
      <c r="R3270" s="124"/>
      <c r="S3270" s="124"/>
      <c r="T3270" s="124"/>
      <c r="U3270" s="124"/>
      <c r="V3270" s="124"/>
      <c r="W3270" s="124"/>
      <c r="X3270" s="124"/>
      <c r="Y3270" s="124"/>
      <c r="Z3270" s="124"/>
    </row>
    <row r="3271">
      <c r="A3271" s="124"/>
      <c r="B3271" s="124"/>
      <c r="C3271" s="147"/>
      <c r="D3271" s="124"/>
      <c r="E3271" s="124"/>
      <c r="F3271" s="124"/>
      <c r="G3271" s="124"/>
      <c r="H3271" s="124"/>
      <c r="I3271" s="124"/>
      <c r="J3271" s="124"/>
      <c r="K3271" s="124"/>
      <c r="L3271" s="124"/>
      <c r="M3271" s="124"/>
      <c r="N3271" s="124"/>
      <c r="O3271" s="124"/>
      <c r="P3271" s="124"/>
      <c r="Q3271" s="124"/>
      <c r="R3271" s="124"/>
      <c r="S3271" s="124"/>
      <c r="T3271" s="124"/>
      <c r="U3271" s="124"/>
      <c r="V3271" s="124"/>
      <c r="W3271" s="124"/>
      <c r="X3271" s="124"/>
      <c r="Y3271" s="124"/>
      <c r="Z3271" s="124"/>
    </row>
    <row r="3272">
      <c r="A3272" s="124"/>
      <c r="B3272" s="124"/>
      <c r="C3272" s="147"/>
      <c r="D3272" s="124"/>
      <c r="E3272" s="124"/>
      <c r="F3272" s="124"/>
      <c r="G3272" s="124"/>
      <c r="H3272" s="124"/>
      <c r="I3272" s="124"/>
      <c r="J3272" s="124"/>
      <c r="K3272" s="124"/>
      <c r="L3272" s="124"/>
      <c r="M3272" s="124"/>
      <c r="N3272" s="124"/>
      <c r="O3272" s="124"/>
      <c r="P3272" s="124"/>
      <c r="Q3272" s="124"/>
      <c r="R3272" s="124"/>
      <c r="S3272" s="124"/>
      <c r="T3272" s="124"/>
      <c r="U3272" s="124"/>
      <c r="V3272" s="124"/>
      <c r="W3272" s="124"/>
      <c r="X3272" s="124"/>
      <c r="Y3272" s="124"/>
      <c r="Z3272" s="124"/>
    </row>
    <row r="3273">
      <c r="A3273" s="124"/>
      <c r="B3273" s="124"/>
      <c r="C3273" s="147"/>
      <c r="D3273" s="124"/>
      <c r="E3273" s="124"/>
      <c r="F3273" s="124"/>
      <c r="G3273" s="124"/>
      <c r="H3273" s="124"/>
      <c r="I3273" s="124"/>
      <c r="J3273" s="124"/>
      <c r="K3273" s="124"/>
      <c r="L3273" s="124"/>
      <c r="M3273" s="124"/>
      <c r="N3273" s="124"/>
      <c r="O3273" s="124"/>
      <c r="P3273" s="124"/>
      <c r="Q3273" s="124"/>
      <c r="R3273" s="124"/>
      <c r="S3273" s="124"/>
      <c r="T3273" s="124"/>
      <c r="U3273" s="124"/>
      <c r="V3273" s="124"/>
      <c r="W3273" s="124"/>
      <c r="X3273" s="124"/>
      <c r="Y3273" s="124"/>
      <c r="Z3273" s="124"/>
    </row>
    <row r="3274">
      <c r="A3274" s="124"/>
      <c r="B3274" s="124"/>
      <c r="C3274" s="147"/>
      <c r="D3274" s="124"/>
      <c r="E3274" s="124"/>
      <c r="F3274" s="124"/>
      <c r="G3274" s="124"/>
      <c r="H3274" s="124"/>
      <c r="I3274" s="124"/>
      <c r="J3274" s="124"/>
      <c r="K3274" s="124"/>
      <c r="L3274" s="124"/>
      <c r="M3274" s="124"/>
      <c r="N3274" s="124"/>
      <c r="O3274" s="124"/>
      <c r="P3274" s="124"/>
      <c r="Q3274" s="124"/>
      <c r="R3274" s="124"/>
      <c r="S3274" s="124"/>
      <c r="T3274" s="124"/>
      <c r="U3274" s="124"/>
      <c r="V3274" s="124"/>
      <c r="W3274" s="124"/>
      <c r="X3274" s="124"/>
      <c r="Y3274" s="124"/>
      <c r="Z3274" s="124"/>
    </row>
    <row r="3275">
      <c r="A3275" s="124"/>
      <c r="B3275" s="124"/>
      <c r="C3275" s="147"/>
      <c r="D3275" s="124"/>
      <c r="E3275" s="124"/>
      <c r="F3275" s="124"/>
      <c r="G3275" s="124"/>
      <c r="H3275" s="124"/>
      <c r="I3275" s="124"/>
      <c r="J3275" s="124"/>
      <c r="K3275" s="124"/>
      <c r="L3275" s="124"/>
      <c r="M3275" s="124"/>
      <c r="N3275" s="124"/>
      <c r="O3275" s="124"/>
      <c r="P3275" s="124"/>
      <c r="Q3275" s="124"/>
      <c r="R3275" s="124"/>
      <c r="S3275" s="124"/>
      <c r="T3275" s="124"/>
      <c r="U3275" s="124"/>
      <c r="V3275" s="124"/>
      <c r="W3275" s="124"/>
      <c r="X3275" s="124"/>
      <c r="Y3275" s="124"/>
      <c r="Z3275" s="124"/>
    </row>
    <row r="3276">
      <c r="A3276" s="124"/>
      <c r="B3276" s="124"/>
      <c r="C3276" s="147"/>
      <c r="D3276" s="124"/>
      <c r="E3276" s="124"/>
      <c r="F3276" s="124"/>
      <c r="G3276" s="124"/>
      <c r="H3276" s="124"/>
      <c r="I3276" s="124"/>
      <c r="J3276" s="124"/>
      <c r="K3276" s="124"/>
      <c r="L3276" s="124"/>
      <c r="M3276" s="124"/>
      <c r="N3276" s="124"/>
      <c r="O3276" s="124"/>
      <c r="P3276" s="124"/>
      <c r="Q3276" s="124"/>
      <c r="R3276" s="124"/>
      <c r="S3276" s="124"/>
      <c r="T3276" s="124"/>
      <c r="U3276" s="124"/>
      <c r="V3276" s="124"/>
      <c r="W3276" s="124"/>
      <c r="X3276" s="124"/>
      <c r="Y3276" s="124"/>
      <c r="Z3276" s="124"/>
    </row>
    <row r="3277">
      <c r="A3277" s="124"/>
      <c r="B3277" s="124"/>
      <c r="C3277" s="147"/>
      <c r="D3277" s="124"/>
      <c r="E3277" s="124"/>
      <c r="F3277" s="124"/>
      <c r="G3277" s="124"/>
      <c r="H3277" s="124"/>
      <c r="I3277" s="124"/>
      <c r="J3277" s="124"/>
      <c r="K3277" s="124"/>
      <c r="L3277" s="124"/>
      <c r="M3277" s="124"/>
      <c r="N3277" s="124"/>
      <c r="O3277" s="124"/>
      <c r="P3277" s="124"/>
      <c r="Q3277" s="124"/>
      <c r="R3277" s="124"/>
      <c r="S3277" s="124"/>
      <c r="T3277" s="124"/>
      <c r="U3277" s="124"/>
      <c r="V3277" s="124"/>
      <c r="W3277" s="124"/>
      <c r="X3277" s="124"/>
      <c r="Y3277" s="124"/>
      <c r="Z3277" s="124"/>
    </row>
    <row r="3278">
      <c r="A3278" s="124"/>
      <c r="B3278" s="124"/>
      <c r="C3278" s="147"/>
      <c r="D3278" s="124"/>
      <c r="E3278" s="124"/>
      <c r="F3278" s="124"/>
      <c r="G3278" s="124"/>
      <c r="H3278" s="124"/>
      <c r="I3278" s="124"/>
      <c r="J3278" s="124"/>
      <c r="K3278" s="124"/>
      <c r="L3278" s="124"/>
      <c r="M3278" s="124"/>
      <c r="N3278" s="124"/>
      <c r="O3278" s="124"/>
      <c r="P3278" s="124"/>
      <c r="Q3278" s="124"/>
      <c r="R3278" s="124"/>
      <c r="S3278" s="124"/>
      <c r="T3278" s="124"/>
      <c r="U3278" s="124"/>
      <c r="V3278" s="124"/>
      <c r="W3278" s="124"/>
      <c r="X3278" s="124"/>
      <c r="Y3278" s="124"/>
      <c r="Z3278" s="124"/>
    </row>
    <row r="3279">
      <c r="A3279" s="124"/>
      <c r="B3279" s="124"/>
      <c r="C3279" s="147"/>
      <c r="D3279" s="124"/>
      <c r="E3279" s="124"/>
      <c r="F3279" s="124"/>
      <c r="G3279" s="124"/>
      <c r="H3279" s="124"/>
      <c r="I3279" s="124"/>
      <c r="J3279" s="124"/>
      <c r="K3279" s="124"/>
      <c r="L3279" s="124"/>
      <c r="M3279" s="124"/>
      <c r="N3279" s="124"/>
      <c r="O3279" s="124"/>
      <c r="P3279" s="124"/>
      <c r="Q3279" s="124"/>
      <c r="R3279" s="124"/>
      <c r="S3279" s="124"/>
      <c r="T3279" s="124"/>
      <c r="U3279" s="124"/>
      <c r="V3279" s="124"/>
      <c r="W3279" s="124"/>
      <c r="X3279" s="124"/>
      <c r="Y3279" s="124"/>
      <c r="Z3279" s="124"/>
    </row>
    <row r="3280">
      <c r="A3280" s="124"/>
      <c r="B3280" s="124"/>
      <c r="C3280" s="147"/>
      <c r="D3280" s="124"/>
      <c r="E3280" s="124"/>
      <c r="F3280" s="124"/>
      <c r="G3280" s="124"/>
      <c r="H3280" s="124"/>
      <c r="I3280" s="124"/>
      <c r="J3280" s="124"/>
      <c r="K3280" s="124"/>
      <c r="L3280" s="124"/>
      <c r="M3280" s="124"/>
      <c r="N3280" s="124"/>
      <c r="O3280" s="124"/>
      <c r="P3280" s="124"/>
      <c r="Q3280" s="124"/>
      <c r="R3280" s="124"/>
      <c r="S3280" s="124"/>
      <c r="T3280" s="124"/>
      <c r="U3280" s="124"/>
      <c r="V3280" s="124"/>
      <c r="W3280" s="124"/>
      <c r="X3280" s="124"/>
      <c r="Y3280" s="124"/>
      <c r="Z3280" s="124"/>
    </row>
    <row r="3281">
      <c r="A3281" s="124"/>
      <c r="B3281" s="124"/>
      <c r="C3281" s="147"/>
      <c r="D3281" s="124"/>
      <c r="E3281" s="124"/>
      <c r="F3281" s="124"/>
      <c r="G3281" s="124"/>
      <c r="H3281" s="124"/>
      <c r="I3281" s="124"/>
      <c r="J3281" s="124"/>
      <c r="K3281" s="124"/>
      <c r="L3281" s="124"/>
      <c r="M3281" s="124"/>
      <c r="N3281" s="124"/>
      <c r="O3281" s="124"/>
      <c r="P3281" s="124"/>
      <c r="Q3281" s="124"/>
      <c r="R3281" s="124"/>
      <c r="S3281" s="124"/>
      <c r="T3281" s="124"/>
      <c r="U3281" s="124"/>
      <c r="V3281" s="124"/>
      <c r="W3281" s="124"/>
      <c r="X3281" s="124"/>
      <c r="Y3281" s="124"/>
      <c r="Z3281" s="124"/>
    </row>
    <row r="3282">
      <c r="A3282" s="124"/>
      <c r="B3282" s="124"/>
      <c r="C3282" s="147"/>
      <c r="D3282" s="124"/>
      <c r="E3282" s="124"/>
      <c r="F3282" s="124"/>
      <c r="G3282" s="124"/>
      <c r="H3282" s="124"/>
      <c r="I3282" s="124"/>
      <c r="J3282" s="124"/>
      <c r="K3282" s="124"/>
      <c r="L3282" s="124"/>
      <c r="M3282" s="124"/>
      <c r="N3282" s="124"/>
      <c r="O3282" s="124"/>
      <c r="P3282" s="124"/>
      <c r="Q3282" s="124"/>
      <c r="R3282" s="124"/>
      <c r="S3282" s="124"/>
      <c r="T3282" s="124"/>
      <c r="U3282" s="124"/>
      <c r="V3282" s="124"/>
      <c r="W3282" s="124"/>
      <c r="X3282" s="124"/>
      <c r="Y3282" s="124"/>
      <c r="Z3282" s="124"/>
    </row>
    <row r="3283">
      <c r="A3283" s="124"/>
      <c r="B3283" s="124"/>
      <c r="C3283" s="147"/>
      <c r="D3283" s="124"/>
      <c r="E3283" s="124"/>
      <c r="F3283" s="124"/>
      <c r="G3283" s="124"/>
      <c r="H3283" s="124"/>
      <c r="I3283" s="124"/>
      <c r="J3283" s="124"/>
      <c r="K3283" s="124"/>
      <c r="L3283" s="124"/>
      <c r="M3283" s="124"/>
      <c r="N3283" s="124"/>
      <c r="O3283" s="124"/>
      <c r="P3283" s="124"/>
      <c r="Q3283" s="124"/>
      <c r="R3283" s="124"/>
      <c r="S3283" s="124"/>
      <c r="T3283" s="124"/>
      <c r="U3283" s="124"/>
      <c r="V3283" s="124"/>
      <c r="W3283" s="124"/>
      <c r="X3283" s="124"/>
      <c r="Y3283" s="124"/>
      <c r="Z3283" s="124"/>
    </row>
    <row r="3284">
      <c r="A3284" s="124"/>
      <c r="B3284" s="124"/>
      <c r="C3284" s="147"/>
      <c r="D3284" s="124"/>
      <c r="E3284" s="124"/>
      <c r="F3284" s="124"/>
      <c r="G3284" s="124"/>
      <c r="H3284" s="124"/>
      <c r="I3284" s="124"/>
      <c r="J3284" s="124"/>
      <c r="K3284" s="124"/>
      <c r="L3284" s="124"/>
      <c r="M3284" s="124"/>
      <c r="N3284" s="124"/>
      <c r="O3284" s="124"/>
      <c r="P3284" s="124"/>
      <c r="Q3284" s="124"/>
      <c r="R3284" s="124"/>
      <c r="S3284" s="124"/>
      <c r="T3284" s="124"/>
      <c r="U3284" s="124"/>
      <c r="V3284" s="124"/>
      <c r="W3284" s="124"/>
      <c r="X3284" s="124"/>
      <c r="Y3284" s="124"/>
      <c r="Z3284" s="124"/>
    </row>
    <row r="3285">
      <c r="A3285" s="124"/>
      <c r="B3285" s="124"/>
      <c r="C3285" s="147"/>
      <c r="D3285" s="124"/>
      <c r="E3285" s="124"/>
      <c r="F3285" s="124"/>
      <c r="G3285" s="124"/>
      <c r="H3285" s="124"/>
      <c r="I3285" s="124"/>
      <c r="J3285" s="124"/>
      <c r="K3285" s="124"/>
      <c r="L3285" s="124"/>
      <c r="M3285" s="124"/>
      <c r="N3285" s="124"/>
      <c r="O3285" s="124"/>
      <c r="P3285" s="124"/>
      <c r="Q3285" s="124"/>
      <c r="R3285" s="124"/>
      <c r="S3285" s="124"/>
      <c r="T3285" s="124"/>
      <c r="U3285" s="124"/>
      <c r="V3285" s="124"/>
      <c r="W3285" s="124"/>
      <c r="X3285" s="124"/>
      <c r="Y3285" s="124"/>
      <c r="Z3285" s="124"/>
    </row>
    <row r="3286">
      <c r="A3286" s="124"/>
      <c r="B3286" s="124"/>
      <c r="C3286" s="147"/>
      <c r="D3286" s="124"/>
      <c r="E3286" s="124"/>
      <c r="F3286" s="124"/>
      <c r="G3286" s="124"/>
      <c r="H3286" s="124"/>
      <c r="I3286" s="124"/>
      <c r="J3286" s="124"/>
      <c r="K3286" s="124"/>
      <c r="L3286" s="124"/>
      <c r="M3286" s="124"/>
      <c r="N3286" s="124"/>
      <c r="O3286" s="124"/>
      <c r="P3286" s="124"/>
      <c r="Q3286" s="124"/>
      <c r="R3286" s="124"/>
      <c r="S3286" s="124"/>
      <c r="T3286" s="124"/>
      <c r="U3286" s="124"/>
      <c r="V3286" s="124"/>
      <c r="W3286" s="124"/>
      <c r="X3286" s="124"/>
      <c r="Y3286" s="124"/>
      <c r="Z3286" s="124"/>
    </row>
    <row r="3287">
      <c r="A3287" s="124"/>
      <c r="B3287" s="124"/>
      <c r="C3287" s="147"/>
      <c r="D3287" s="124"/>
      <c r="E3287" s="124"/>
      <c r="F3287" s="124"/>
      <c r="G3287" s="124"/>
      <c r="H3287" s="124"/>
      <c r="I3287" s="124"/>
      <c r="J3287" s="124"/>
      <c r="K3287" s="124"/>
      <c r="L3287" s="124"/>
      <c r="M3287" s="124"/>
      <c r="N3287" s="124"/>
      <c r="O3287" s="124"/>
      <c r="P3287" s="124"/>
      <c r="Q3287" s="124"/>
      <c r="R3287" s="124"/>
      <c r="S3287" s="124"/>
      <c r="T3287" s="124"/>
      <c r="U3287" s="124"/>
      <c r="V3287" s="124"/>
      <c r="W3287" s="124"/>
      <c r="X3287" s="124"/>
      <c r="Y3287" s="124"/>
      <c r="Z3287" s="124"/>
    </row>
    <row r="3288">
      <c r="A3288" s="124"/>
      <c r="B3288" s="124"/>
      <c r="C3288" s="147"/>
      <c r="D3288" s="124"/>
      <c r="E3288" s="124"/>
      <c r="F3288" s="124"/>
      <c r="G3288" s="124"/>
      <c r="H3288" s="124"/>
      <c r="I3288" s="124"/>
      <c r="J3288" s="124"/>
      <c r="K3288" s="124"/>
      <c r="L3288" s="124"/>
      <c r="M3288" s="124"/>
      <c r="N3288" s="124"/>
      <c r="O3288" s="124"/>
      <c r="P3288" s="124"/>
      <c r="Q3288" s="124"/>
      <c r="R3288" s="124"/>
      <c r="S3288" s="124"/>
      <c r="T3288" s="124"/>
      <c r="U3288" s="124"/>
      <c r="V3288" s="124"/>
      <c r="W3288" s="124"/>
      <c r="X3288" s="124"/>
      <c r="Y3288" s="124"/>
      <c r="Z3288" s="124"/>
    </row>
    <row r="3289">
      <c r="A3289" s="124"/>
      <c r="B3289" s="124"/>
      <c r="C3289" s="147"/>
      <c r="D3289" s="124"/>
      <c r="E3289" s="124"/>
      <c r="F3289" s="124"/>
      <c r="G3289" s="124"/>
      <c r="H3289" s="124"/>
      <c r="I3289" s="124"/>
      <c r="J3289" s="124"/>
      <c r="K3289" s="124"/>
      <c r="L3289" s="124"/>
      <c r="M3289" s="124"/>
      <c r="N3289" s="124"/>
      <c r="O3289" s="124"/>
      <c r="P3289" s="124"/>
      <c r="Q3289" s="124"/>
      <c r="R3289" s="124"/>
      <c r="S3289" s="124"/>
      <c r="T3289" s="124"/>
      <c r="U3289" s="124"/>
      <c r="V3289" s="124"/>
      <c r="W3289" s="124"/>
      <c r="X3289" s="124"/>
      <c r="Y3289" s="124"/>
      <c r="Z3289" s="124"/>
    </row>
    <row r="3290">
      <c r="A3290" s="124"/>
      <c r="B3290" s="124"/>
      <c r="C3290" s="147"/>
      <c r="D3290" s="124"/>
      <c r="E3290" s="124"/>
      <c r="F3290" s="124"/>
      <c r="G3290" s="124"/>
      <c r="H3290" s="124"/>
      <c r="I3290" s="124"/>
      <c r="J3290" s="124"/>
      <c r="K3290" s="124"/>
      <c r="L3290" s="124"/>
      <c r="M3290" s="124"/>
      <c r="N3290" s="124"/>
      <c r="O3290" s="124"/>
      <c r="P3290" s="124"/>
      <c r="Q3290" s="124"/>
      <c r="R3290" s="124"/>
      <c r="S3290" s="124"/>
      <c r="T3290" s="124"/>
      <c r="U3290" s="124"/>
      <c r="V3290" s="124"/>
      <c r="W3290" s="124"/>
      <c r="X3290" s="124"/>
      <c r="Y3290" s="124"/>
      <c r="Z3290" s="124"/>
    </row>
    <row r="3291">
      <c r="A3291" s="124"/>
      <c r="B3291" s="124"/>
      <c r="C3291" s="147"/>
      <c r="D3291" s="124"/>
      <c r="E3291" s="124"/>
      <c r="F3291" s="124"/>
      <c r="G3291" s="124"/>
      <c r="H3291" s="124"/>
      <c r="I3291" s="124"/>
      <c r="J3291" s="124"/>
      <c r="K3291" s="124"/>
      <c r="L3291" s="124"/>
      <c r="M3291" s="124"/>
      <c r="N3291" s="124"/>
      <c r="O3291" s="124"/>
      <c r="P3291" s="124"/>
      <c r="Q3291" s="124"/>
      <c r="R3291" s="124"/>
      <c r="S3291" s="124"/>
      <c r="T3291" s="124"/>
      <c r="U3291" s="124"/>
      <c r="V3291" s="124"/>
      <c r="W3291" s="124"/>
      <c r="X3291" s="124"/>
      <c r="Y3291" s="124"/>
      <c r="Z3291" s="124"/>
    </row>
    <row r="3292">
      <c r="A3292" s="124"/>
      <c r="B3292" s="124"/>
      <c r="C3292" s="147"/>
      <c r="D3292" s="124"/>
      <c r="E3292" s="124"/>
      <c r="F3292" s="124"/>
      <c r="G3292" s="124"/>
      <c r="H3292" s="124"/>
      <c r="I3292" s="124"/>
      <c r="J3292" s="124"/>
      <c r="K3292" s="124"/>
      <c r="L3292" s="124"/>
      <c r="M3292" s="124"/>
      <c r="N3292" s="124"/>
      <c r="O3292" s="124"/>
      <c r="P3292" s="124"/>
      <c r="Q3292" s="124"/>
      <c r="R3292" s="124"/>
      <c r="S3292" s="124"/>
      <c r="T3292" s="124"/>
      <c r="U3292" s="124"/>
      <c r="V3292" s="124"/>
      <c r="W3292" s="124"/>
      <c r="X3292" s="124"/>
      <c r="Y3292" s="124"/>
      <c r="Z3292" s="124"/>
    </row>
    <row r="3293">
      <c r="A3293" s="124"/>
      <c r="B3293" s="124"/>
      <c r="C3293" s="147"/>
      <c r="D3293" s="124"/>
      <c r="E3293" s="124"/>
      <c r="F3293" s="124"/>
      <c r="G3293" s="124"/>
      <c r="H3293" s="124"/>
      <c r="I3293" s="124"/>
      <c r="J3293" s="124"/>
      <c r="K3293" s="124"/>
      <c r="L3293" s="124"/>
      <c r="M3293" s="124"/>
      <c r="N3293" s="124"/>
      <c r="O3293" s="124"/>
      <c r="P3293" s="124"/>
      <c r="Q3293" s="124"/>
      <c r="R3293" s="124"/>
      <c r="S3293" s="124"/>
      <c r="T3293" s="124"/>
      <c r="U3293" s="124"/>
      <c r="V3293" s="124"/>
      <c r="W3293" s="124"/>
      <c r="X3293" s="124"/>
      <c r="Y3293" s="124"/>
      <c r="Z3293" s="124"/>
    </row>
    <row r="3294">
      <c r="A3294" s="124"/>
      <c r="B3294" s="124"/>
      <c r="C3294" s="147"/>
      <c r="D3294" s="124"/>
      <c r="E3294" s="124"/>
      <c r="F3294" s="124"/>
      <c r="G3294" s="124"/>
      <c r="H3294" s="124"/>
      <c r="I3294" s="124"/>
      <c r="J3294" s="124"/>
      <c r="K3294" s="124"/>
      <c r="L3294" s="124"/>
      <c r="M3294" s="124"/>
      <c r="N3294" s="124"/>
      <c r="O3294" s="124"/>
      <c r="P3294" s="124"/>
      <c r="Q3294" s="124"/>
      <c r="R3294" s="124"/>
      <c r="S3294" s="124"/>
      <c r="T3294" s="124"/>
      <c r="U3294" s="124"/>
      <c r="V3294" s="124"/>
      <c r="W3294" s="124"/>
      <c r="X3294" s="124"/>
      <c r="Y3294" s="124"/>
      <c r="Z3294" s="124"/>
    </row>
    <row r="3295">
      <c r="A3295" s="124"/>
      <c r="B3295" s="124"/>
      <c r="C3295" s="147"/>
      <c r="D3295" s="124"/>
      <c r="E3295" s="124"/>
      <c r="F3295" s="124"/>
      <c r="G3295" s="124"/>
      <c r="H3295" s="124"/>
      <c r="I3295" s="124"/>
      <c r="J3295" s="124"/>
      <c r="K3295" s="124"/>
      <c r="L3295" s="124"/>
      <c r="M3295" s="124"/>
      <c r="N3295" s="124"/>
      <c r="O3295" s="124"/>
      <c r="P3295" s="124"/>
      <c r="Q3295" s="124"/>
      <c r="R3295" s="124"/>
      <c r="S3295" s="124"/>
      <c r="T3295" s="124"/>
      <c r="U3295" s="124"/>
      <c r="V3295" s="124"/>
      <c r="W3295" s="124"/>
      <c r="X3295" s="124"/>
      <c r="Y3295" s="124"/>
      <c r="Z3295" s="124"/>
    </row>
    <row r="3296">
      <c r="A3296" s="124"/>
      <c r="B3296" s="124"/>
      <c r="C3296" s="147"/>
      <c r="D3296" s="124"/>
      <c r="E3296" s="124"/>
      <c r="F3296" s="124"/>
      <c r="G3296" s="124"/>
      <c r="H3296" s="124"/>
      <c r="I3296" s="124"/>
      <c r="J3296" s="124"/>
      <c r="K3296" s="124"/>
      <c r="L3296" s="124"/>
      <c r="M3296" s="124"/>
      <c r="N3296" s="124"/>
      <c r="O3296" s="124"/>
      <c r="P3296" s="124"/>
      <c r="Q3296" s="124"/>
      <c r="R3296" s="124"/>
      <c r="S3296" s="124"/>
      <c r="T3296" s="124"/>
      <c r="U3296" s="124"/>
      <c r="V3296" s="124"/>
      <c r="W3296" s="124"/>
      <c r="X3296" s="124"/>
      <c r="Y3296" s="124"/>
      <c r="Z3296" s="124"/>
    </row>
    <row r="3297">
      <c r="A3297" s="124"/>
      <c r="B3297" s="124"/>
      <c r="C3297" s="147"/>
      <c r="D3297" s="124"/>
      <c r="E3297" s="124"/>
      <c r="F3297" s="124"/>
      <c r="G3297" s="124"/>
      <c r="H3297" s="124"/>
      <c r="I3297" s="124"/>
      <c r="J3297" s="124"/>
      <c r="K3297" s="124"/>
      <c r="L3297" s="124"/>
      <c r="M3297" s="124"/>
      <c r="N3297" s="124"/>
      <c r="O3297" s="124"/>
      <c r="P3297" s="124"/>
      <c r="Q3297" s="124"/>
      <c r="R3297" s="124"/>
      <c r="S3297" s="124"/>
      <c r="T3297" s="124"/>
      <c r="U3297" s="124"/>
      <c r="V3297" s="124"/>
      <c r="W3297" s="124"/>
      <c r="X3297" s="124"/>
      <c r="Y3297" s="124"/>
      <c r="Z3297" s="124"/>
    </row>
    <row r="3298">
      <c r="A3298" s="124"/>
      <c r="B3298" s="124"/>
      <c r="C3298" s="147"/>
      <c r="D3298" s="124"/>
      <c r="E3298" s="124"/>
      <c r="F3298" s="124"/>
      <c r="G3298" s="124"/>
      <c r="H3298" s="124"/>
      <c r="I3298" s="124"/>
      <c r="J3298" s="124"/>
      <c r="K3298" s="124"/>
      <c r="L3298" s="124"/>
      <c r="M3298" s="124"/>
      <c r="N3298" s="124"/>
      <c r="O3298" s="124"/>
      <c r="P3298" s="124"/>
      <c r="Q3298" s="124"/>
      <c r="R3298" s="124"/>
      <c r="S3298" s="124"/>
      <c r="T3298" s="124"/>
      <c r="U3298" s="124"/>
      <c r="V3298" s="124"/>
      <c r="W3298" s="124"/>
      <c r="X3298" s="124"/>
      <c r="Y3298" s="124"/>
      <c r="Z3298" s="124"/>
    </row>
    <row r="3299">
      <c r="A3299" s="124"/>
      <c r="B3299" s="124"/>
      <c r="C3299" s="147"/>
      <c r="D3299" s="124"/>
      <c r="E3299" s="124"/>
      <c r="F3299" s="124"/>
      <c r="G3299" s="124"/>
      <c r="H3299" s="124"/>
      <c r="I3299" s="124"/>
      <c r="J3299" s="124"/>
      <c r="K3299" s="124"/>
      <c r="L3299" s="124"/>
      <c r="M3299" s="124"/>
      <c r="N3299" s="124"/>
      <c r="O3299" s="124"/>
      <c r="P3299" s="124"/>
      <c r="Q3299" s="124"/>
      <c r="R3299" s="124"/>
      <c r="S3299" s="124"/>
      <c r="T3299" s="124"/>
      <c r="U3299" s="124"/>
      <c r="V3299" s="124"/>
      <c r="W3299" s="124"/>
      <c r="X3299" s="124"/>
      <c r="Y3299" s="124"/>
      <c r="Z3299" s="124"/>
    </row>
    <row r="3300">
      <c r="A3300" s="124"/>
      <c r="B3300" s="124"/>
      <c r="C3300" s="147"/>
      <c r="D3300" s="124"/>
      <c r="E3300" s="124"/>
      <c r="F3300" s="124"/>
      <c r="G3300" s="124"/>
      <c r="H3300" s="124"/>
      <c r="I3300" s="124"/>
      <c r="J3300" s="124"/>
      <c r="K3300" s="124"/>
      <c r="L3300" s="124"/>
      <c r="M3300" s="124"/>
      <c r="N3300" s="124"/>
      <c r="O3300" s="124"/>
      <c r="P3300" s="124"/>
      <c r="Q3300" s="124"/>
      <c r="R3300" s="124"/>
      <c r="S3300" s="124"/>
      <c r="T3300" s="124"/>
      <c r="U3300" s="124"/>
      <c r="V3300" s="124"/>
      <c r="W3300" s="124"/>
      <c r="X3300" s="124"/>
      <c r="Y3300" s="124"/>
      <c r="Z3300" s="124"/>
    </row>
    <row r="3301">
      <c r="A3301" s="124"/>
      <c r="B3301" s="124"/>
      <c r="C3301" s="147"/>
      <c r="D3301" s="124"/>
      <c r="E3301" s="124"/>
      <c r="F3301" s="124"/>
      <c r="G3301" s="124"/>
      <c r="H3301" s="124"/>
      <c r="I3301" s="124"/>
      <c r="J3301" s="124"/>
      <c r="K3301" s="124"/>
      <c r="L3301" s="124"/>
      <c r="M3301" s="124"/>
      <c r="N3301" s="124"/>
      <c r="O3301" s="124"/>
      <c r="P3301" s="124"/>
      <c r="Q3301" s="124"/>
      <c r="R3301" s="124"/>
      <c r="S3301" s="124"/>
      <c r="T3301" s="124"/>
      <c r="U3301" s="124"/>
      <c r="V3301" s="124"/>
      <c r="W3301" s="124"/>
      <c r="X3301" s="124"/>
      <c r="Y3301" s="124"/>
      <c r="Z3301" s="124"/>
    </row>
    <row r="3302">
      <c r="A3302" s="124"/>
      <c r="B3302" s="124"/>
      <c r="C3302" s="147"/>
      <c r="D3302" s="124"/>
      <c r="E3302" s="124"/>
      <c r="F3302" s="124"/>
      <c r="G3302" s="124"/>
      <c r="H3302" s="124"/>
      <c r="I3302" s="124"/>
      <c r="J3302" s="124"/>
      <c r="K3302" s="124"/>
      <c r="L3302" s="124"/>
      <c r="M3302" s="124"/>
      <c r="N3302" s="124"/>
      <c r="O3302" s="124"/>
      <c r="P3302" s="124"/>
      <c r="Q3302" s="124"/>
      <c r="R3302" s="124"/>
      <c r="S3302" s="124"/>
      <c r="T3302" s="124"/>
      <c r="U3302" s="124"/>
      <c r="V3302" s="124"/>
      <c r="W3302" s="124"/>
      <c r="X3302" s="124"/>
      <c r="Y3302" s="124"/>
      <c r="Z3302" s="124"/>
    </row>
    <row r="3303">
      <c r="A3303" s="124"/>
      <c r="B3303" s="124"/>
      <c r="C3303" s="147"/>
      <c r="D3303" s="124"/>
      <c r="E3303" s="124"/>
      <c r="F3303" s="124"/>
      <c r="G3303" s="124"/>
      <c r="H3303" s="124"/>
      <c r="I3303" s="124"/>
      <c r="J3303" s="124"/>
      <c r="K3303" s="124"/>
      <c r="L3303" s="124"/>
      <c r="M3303" s="124"/>
      <c r="N3303" s="124"/>
      <c r="O3303" s="124"/>
      <c r="P3303" s="124"/>
      <c r="Q3303" s="124"/>
      <c r="R3303" s="124"/>
      <c r="S3303" s="124"/>
      <c r="T3303" s="124"/>
      <c r="U3303" s="124"/>
      <c r="V3303" s="124"/>
      <c r="W3303" s="124"/>
      <c r="X3303" s="124"/>
      <c r="Y3303" s="124"/>
      <c r="Z3303" s="124"/>
    </row>
    <row r="3304">
      <c r="A3304" s="124"/>
      <c r="B3304" s="124"/>
      <c r="C3304" s="147"/>
      <c r="D3304" s="124"/>
      <c r="E3304" s="124"/>
      <c r="F3304" s="124"/>
      <c r="G3304" s="124"/>
      <c r="H3304" s="124"/>
      <c r="I3304" s="124"/>
      <c r="J3304" s="124"/>
      <c r="K3304" s="124"/>
      <c r="L3304" s="124"/>
      <c r="M3304" s="124"/>
      <c r="N3304" s="124"/>
      <c r="O3304" s="124"/>
      <c r="P3304" s="124"/>
      <c r="Q3304" s="124"/>
      <c r="R3304" s="124"/>
      <c r="S3304" s="124"/>
      <c r="T3304" s="124"/>
      <c r="U3304" s="124"/>
      <c r="V3304" s="124"/>
      <c r="W3304" s="124"/>
      <c r="X3304" s="124"/>
      <c r="Y3304" s="124"/>
      <c r="Z3304" s="124"/>
    </row>
    <row r="3305">
      <c r="A3305" s="124"/>
      <c r="B3305" s="124"/>
      <c r="C3305" s="147"/>
      <c r="D3305" s="124"/>
      <c r="E3305" s="124"/>
      <c r="F3305" s="124"/>
      <c r="G3305" s="124"/>
      <c r="H3305" s="124"/>
      <c r="I3305" s="124"/>
      <c r="J3305" s="124"/>
      <c r="K3305" s="124"/>
      <c r="L3305" s="124"/>
      <c r="M3305" s="124"/>
      <c r="N3305" s="124"/>
      <c r="O3305" s="124"/>
      <c r="P3305" s="124"/>
      <c r="Q3305" s="124"/>
      <c r="R3305" s="124"/>
      <c r="S3305" s="124"/>
      <c r="T3305" s="124"/>
      <c r="U3305" s="124"/>
      <c r="V3305" s="124"/>
      <c r="W3305" s="124"/>
      <c r="X3305" s="124"/>
      <c r="Y3305" s="124"/>
      <c r="Z3305" s="124"/>
    </row>
    <row r="3306">
      <c r="A3306" s="124"/>
      <c r="B3306" s="124"/>
      <c r="C3306" s="147"/>
      <c r="D3306" s="124"/>
      <c r="E3306" s="124"/>
      <c r="F3306" s="124"/>
      <c r="G3306" s="124"/>
      <c r="H3306" s="124"/>
      <c r="I3306" s="124"/>
      <c r="J3306" s="124"/>
      <c r="K3306" s="124"/>
      <c r="L3306" s="124"/>
      <c r="M3306" s="124"/>
      <c r="N3306" s="124"/>
      <c r="O3306" s="124"/>
      <c r="P3306" s="124"/>
      <c r="Q3306" s="124"/>
      <c r="R3306" s="124"/>
      <c r="S3306" s="124"/>
      <c r="T3306" s="124"/>
      <c r="U3306" s="124"/>
      <c r="V3306" s="124"/>
      <c r="W3306" s="124"/>
      <c r="X3306" s="124"/>
      <c r="Y3306" s="124"/>
      <c r="Z3306" s="124"/>
    </row>
    <row r="3307">
      <c r="A3307" s="124"/>
      <c r="B3307" s="124"/>
      <c r="C3307" s="147"/>
      <c r="D3307" s="124"/>
      <c r="E3307" s="124"/>
      <c r="F3307" s="124"/>
      <c r="G3307" s="124"/>
      <c r="H3307" s="124"/>
      <c r="I3307" s="124"/>
      <c r="J3307" s="124"/>
      <c r="K3307" s="124"/>
      <c r="L3307" s="124"/>
      <c r="M3307" s="124"/>
      <c r="N3307" s="124"/>
      <c r="O3307" s="124"/>
      <c r="P3307" s="124"/>
      <c r="Q3307" s="124"/>
      <c r="R3307" s="124"/>
      <c r="S3307" s="124"/>
      <c r="T3307" s="124"/>
      <c r="U3307" s="124"/>
      <c r="V3307" s="124"/>
      <c r="W3307" s="124"/>
      <c r="X3307" s="124"/>
      <c r="Y3307" s="124"/>
      <c r="Z3307" s="124"/>
    </row>
    <row r="3308">
      <c r="A3308" s="124"/>
      <c r="B3308" s="124"/>
      <c r="C3308" s="147"/>
      <c r="D3308" s="124"/>
      <c r="E3308" s="124"/>
      <c r="F3308" s="124"/>
      <c r="G3308" s="124"/>
      <c r="H3308" s="124"/>
      <c r="I3308" s="124"/>
      <c r="J3308" s="124"/>
      <c r="K3308" s="124"/>
      <c r="L3308" s="124"/>
      <c r="M3308" s="124"/>
      <c r="N3308" s="124"/>
      <c r="O3308" s="124"/>
      <c r="P3308" s="124"/>
      <c r="Q3308" s="124"/>
      <c r="R3308" s="124"/>
      <c r="S3308" s="124"/>
      <c r="T3308" s="124"/>
      <c r="U3308" s="124"/>
      <c r="V3308" s="124"/>
      <c r="W3308" s="124"/>
      <c r="X3308" s="124"/>
      <c r="Y3308" s="124"/>
      <c r="Z3308" s="124"/>
    </row>
    <row r="3309">
      <c r="A3309" s="124"/>
      <c r="B3309" s="124"/>
      <c r="C3309" s="147"/>
      <c r="D3309" s="124"/>
      <c r="E3309" s="124"/>
      <c r="F3309" s="124"/>
      <c r="G3309" s="124"/>
      <c r="H3309" s="124"/>
      <c r="I3309" s="124"/>
      <c r="J3309" s="124"/>
      <c r="K3309" s="124"/>
      <c r="L3309" s="124"/>
      <c r="M3309" s="124"/>
      <c r="N3309" s="124"/>
      <c r="O3309" s="124"/>
      <c r="P3309" s="124"/>
      <c r="Q3309" s="124"/>
      <c r="R3309" s="124"/>
      <c r="S3309" s="124"/>
      <c r="T3309" s="124"/>
      <c r="U3309" s="124"/>
      <c r="V3309" s="124"/>
      <c r="W3309" s="124"/>
      <c r="X3309" s="124"/>
      <c r="Y3309" s="124"/>
      <c r="Z3309" s="124"/>
    </row>
    <row r="3310">
      <c r="A3310" s="124"/>
      <c r="B3310" s="124"/>
      <c r="C3310" s="147"/>
      <c r="D3310" s="124"/>
      <c r="E3310" s="124"/>
      <c r="F3310" s="124"/>
      <c r="G3310" s="124"/>
      <c r="H3310" s="124"/>
      <c r="I3310" s="124"/>
      <c r="J3310" s="124"/>
      <c r="K3310" s="124"/>
      <c r="L3310" s="124"/>
      <c r="M3310" s="124"/>
      <c r="N3310" s="124"/>
      <c r="O3310" s="124"/>
      <c r="P3310" s="124"/>
      <c r="Q3310" s="124"/>
      <c r="R3310" s="124"/>
      <c r="S3310" s="124"/>
      <c r="T3310" s="124"/>
      <c r="U3310" s="124"/>
      <c r="V3310" s="124"/>
      <c r="W3310" s="124"/>
      <c r="X3310" s="124"/>
      <c r="Y3310" s="124"/>
      <c r="Z3310" s="124"/>
    </row>
    <row r="3311">
      <c r="A3311" s="124"/>
      <c r="B3311" s="124"/>
      <c r="C3311" s="147"/>
      <c r="D3311" s="124"/>
      <c r="E3311" s="124"/>
      <c r="F3311" s="124"/>
      <c r="G3311" s="124"/>
      <c r="H3311" s="124"/>
      <c r="I3311" s="124"/>
      <c r="J3311" s="124"/>
      <c r="K3311" s="124"/>
      <c r="L3311" s="124"/>
      <c r="M3311" s="124"/>
      <c r="N3311" s="124"/>
      <c r="O3311" s="124"/>
      <c r="P3311" s="124"/>
      <c r="Q3311" s="124"/>
      <c r="R3311" s="124"/>
      <c r="S3311" s="124"/>
      <c r="T3311" s="124"/>
      <c r="U3311" s="124"/>
      <c r="V3311" s="124"/>
      <c r="W3311" s="124"/>
      <c r="X3311" s="124"/>
      <c r="Y3311" s="124"/>
      <c r="Z3311" s="124"/>
    </row>
    <row r="3312">
      <c r="A3312" s="124"/>
      <c r="B3312" s="124"/>
      <c r="C3312" s="147"/>
      <c r="D3312" s="124"/>
      <c r="E3312" s="124"/>
      <c r="F3312" s="124"/>
      <c r="G3312" s="124"/>
      <c r="H3312" s="124"/>
      <c r="I3312" s="124"/>
      <c r="J3312" s="124"/>
      <c r="K3312" s="124"/>
      <c r="L3312" s="124"/>
      <c r="M3312" s="124"/>
      <c r="N3312" s="124"/>
      <c r="O3312" s="124"/>
      <c r="P3312" s="124"/>
      <c r="Q3312" s="124"/>
      <c r="R3312" s="124"/>
      <c r="S3312" s="124"/>
      <c r="T3312" s="124"/>
      <c r="U3312" s="124"/>
      <c r="V3312" s="124"/>
      <c r="W3312" s="124"/>
      <c r="X3312" s="124"/>
      <c r="Y3312" s="124"/>
      <c r="Z3312" s="124"/>
    </row>
    <row r="3313">
      <c r="A3313" s="124"/>
      <c r="B3313" s="124"/>
      <c r="C3313" s="147"/>
      <c r="D3313" s="124"/>
      <c r="E3313" s="124"/>
      <c r="F3313" s="124"/>
      <c r="G3313" s="124"/>
      <c r="H3313" s="124"/>
      <c r="I3313" s="124"/>
      <c r="J3313" s="124"/>
      <c r="K3313" s="124"/>
      <c r="L3313" s="124"/>
      <c r="M3313" s="124"/>
      <c r="N3313" s="124"/>
      <c r="O3313" s="124"/>
      <c r="P3313" s="124"/>
      <c r="Q3313" s="124"/>
      <c r="R3313" s="124"/>
      <c r="S3313" s="124"/>
      <c r="T3313" s="124"/>
      <c r="U3313" s="124"/>
      <c r="V3313" s="124"/>
      <c r="W3313" s="124"/>
      <c r="X3313" s="124"/>
      <c r="Y3313" s="124"/>
      <c r="Z3313" s="124"/>
    </row>
    <row r="3314">
      <c r="A3314" s="124"/>
      <c r="B3314" s="124"/>
      <c r="C3314" s="147"/>
      <c r="D3314" s="124"/>
      <c r="E3314" s="124"/>
      <c r="F3314" s="124"/>
      <c r="G3314" s="124"/>
      <c r="H3314" s="124"/>
      <c r="I3314" s="124"/>
      <c r="J3314" s="124"/>
      <c r="K3314" s="124"/>
      <c r="L3314" s="124"/>
      <c r="M3314" s="124"/>
      <c r="N3314" s="124"/>
      <c r="O3314" s="124"/>
      <c r="P3314" s="124"/>
      <c r="Q3314" s="124"/>
      <c r="R3314" s="124"/>
      <c r="S3314" s="124"/>
      <c r="T3314" s="124"/>
      <c r="U3314" s="124"/>
      <c r="V3314" s="124"/>
      <c r="W3314" s="124"/>
      <c r="X3314" s="124"/>
      <c r="Y3314" s="124"/>
      <c r="Z3314" s="124"/>
    </row>
    <row r="3315">
      <c r="A3315" s="124"/>
      <c r="B3315" s="124"/>
      <c r="C3315" s="147"/>
      <c r="D3315" s="124"/>
      <c r="E3315" s="124"/>
      <c r="F3315" s="124"/>
      <c r="G3315" s="124"/>
      <c r="H3315" s="124"/>
      <c r="I3315" s="124"/>
      <c r="J3315" s="124"/>
      <c r="K3315" s="124"/>
      <c r="L3315" s="124"/>
      <c r="M3315" s="124"/>
      <c r="N3315" s="124"/>
      <c r="O3315" s="124"/>
      <c r="P3315" s="124"/>
      <c r="Q3315" s="124"/>
      <c r="R3315" s="124"/>
      <c r="S3315" s="124"/>
      <c r="T3315" s="124"/>
      <c r="U3315" s="124"/>
      <c r="V3315" s="124"/>
      <c r="W3315" s="124"/>
      <c r="X3315" s="124"/>
      <c r="Y3315" s="124"/>
      <c r="Z3315" s="124"/>
    </row>
    <row r="3316">
      <c r="A3316" s="124"/>
      <c r="B3316" s="124"/>
      <c r="C3316" s="147"/>
      <c r="D3316" s="124"/>
      <c r="E3316" s="124"/>
      <c r="F3316" s="124"/>
      <c r="G3316" s="124"/>
      <c r="H3316" s="124"/>
      <c r="I3316" s="124"/>
      <c r="J3316" s="124"/>
      <c r="K3316" s="124"/>
      <c r="L3316" s="124"/>
      <c r="M3316" s="124"/>
      <c r="N3316" s="124"/>
      <c r="O3316" s="124"/>
      <c r="P3316" s="124"/>
      <c r="Q3316" s="124"/>
      <c r="R3316" s="124"/>
      <c r="S3316" s="124"/>
      <c r="T3316" s="124"/>
      <c r="U3316" s="124"/>
      <c r="V3316" s="124"/>
      <c r="W3316" s="124"/>
      <c r="X3316" s="124"/>
      <c r="Y3316" s="124"/>
      <c r="Z3316" s="124"/>
    </row>
    <row r="3317">
      <c r="A3317" s="124"/>
      <c r="B3317" s="124"/>
      <c r="C3317" s="147"/>
      <c r="D3317" s="124"/>
      <c r="E3317" s="124"/>
      <c r="F3317" s="124"/>
      <c r="G3317" s="124"/>
      <c r="H3317" s="124"/>
      <c r="I3317" s="124"/>
      <c r="J3317" s="124"/>
      <c r="K3317" s="124"/>
      <c r="L3317" s="124"/>
      <c r="M3317" s="124"/>
      <c r="N3317" s="124"/>
      <c r="O3317" s="124"/>
      <c r="P3317" s="124"/>
      <c r="Q3317" s="124"/>
      <c r="R3317" s="124"/>
      <c r="S3317" s="124"/>
      <c r="T3317" s="124"/>
      <c r="U3317" s="124"/>
      <c r="V3317" s="124"/>
      <c r="W3317" s="124"/>
      <c r="X3317" s="124"/>
      <c r="Y3317" s="124"/>
      <c r="Z3317" s="124"/>
    </row>
    <row r="3318">
      <c r="A3318" s="124"/>
      <c r="B3318" s="124"/>
      <c r="C3318" s="147"/>
      <c r="D3318" s="124"/>
      <c r="E3318" s="124"/>
      <c r="F3318" s="124"/>
      <c r="G3318" s="124"/>
      <c r="H3318" s="124"/>
      <c r="I3318" s="124"/>
      <c r="J3318" s="124"/>
      <c r="K3318" s="124"/>
      <c r="L3318" s="124"/>
      <c r="M3318" s="124"/>
      <c r="N3318" s="124"/>
      <c r="O3318" s="124"/>
      <c r="P3318" s="124"/>
      <c r="Q3318" s="124"/>
      <c r="R3318" s="124"/>
      <c r="S3318" s="124"/>
      <c r="T3318" s="124"/>
      <c r="U3318" s="124"/>
      <c r="V3318" s="124"/>
      <c r="W3318" s="124"/>
      <c r="X3318" s="124"/>
      <c r="Y3318" s="124"/>
      <c r="Z3318" s="124"/>
    </row>
    <row r="3319">
      <c r="A3319" s="124"/>
      <c r="B3319" s="124"/>
      <c r="C3319" s="147"/>
      <c r="D3319" s="124"/>
      <c r="E3319" s="124"/>
      <c r="F3319" s="124"/>
      <c r="G3319" s="124"/>
      <c r="H3319" s="124"/>
      <c r="I3319" s="124"/>
      <c r="J3319" s="124"/>
      <c r="K3319" s="124"/>
      <c r="L3319" s="124"/>
      <c r="M3319" s="124"/>
      <c r="N3319" s="124"/>
      <c r="O3319" s="124"/>
      <c r="P3319" s="124"/>
      <c r="Q3319" s="124"/>
      <c r="R3319" s="124"/>
      <c r="S3319" s="124"/>
      <c r="T3319" s="124"/>
      <c r="U3319" s="124"/>
      <c r="V3319" s="124"/>
      <c r="W3319" s="124"/>
      <c r="X3319" s="124"/>
      <c r="Y3319" s="124"/>
      <c r="Z3319" s="124"/>
    </row>
    <row r="3320">
      <c r="A3320" s="124"/>
      <c r="B3320" s="124"/>
      <c r="C3320" s="147"/>
      <c r="D3320" s="124"/>
      <c r="E3320" s="124"/>
      <c r="F3320" s="124"/>
      <c r="G3320" s="124"/>
      <c r="H3320" s="124"/>
      <c r="I3320" s="124"/>
      <c r="J3320" s="124"/>
      <c r="K3320" s="124"/>
      <c r="L3320" s="124"/>
      <c r="M3320" s="124"/>
      <c r="N3320" s="124"/>
      <c r="O3320" s="124"/>
      <c r="P3320" s="124"/>
      <c r="Q3320" s="124"/>
      <c r="R3320" s="124"/>
      <c r="S3320" s="124"/>
      <c r="T3320" s="124"/>
      <c r="U3320" s="124"/>
      <c r="V3320" s="124"/>
      <c r="W3320" s="124"/>
      <c r="X3320" s="124"/>
      <c r="Y3320" s="124"/>
      <c r="Z3320" s="124"/>
    </row>
    <row r="3321">
      <c r="A3321" s="124"/>
      <c r="B3321" s="124"/>
      <c r="C3321" s="147"/>
      <c r="D3321" s="124"/>
      <c r="E3321" s="124"/>
      <c r="F3321" s="124"/>
      <c r="G3321" s="124"/>
      <c r="H3321" s="124"/>
      <c r="I3321" s="124"/>
      <c r="J3321" s="124"/>
      <c r="K3321" s="124"/>
      <c r="L3321" s="124"/>
      <c r="M3321" s="124"/>
      <c r="N3321" s="124"/>
      <c r="O3321" s="124"/>
      <c r="P3321" s="124"/>
      <c r="Q3321" s="124"/>
      <c r="R3321" s="124"/>
      <c r="S3321" s="124"/>
      <c r="T3321" s="124"/>
      <c r="U3321" s="124"/>
      <c r="V3321" s="124"/>
      <c r="W3321" s="124"/>
      <c r="X3321" s="124"/>
      <c r="Y3321" s="124"/>
      <c r="Z3321" s="124"/>
    </row>
    <row r="3322">
      <c r="A3322" s="124"/>
      <c r="B3322" s="124"/>
      <c r="C3322" s="147"/>
      <c r="D3322" s="124"/>
      <c r="E3322" s="124"/>
      <c r="F3322" s="124"/>
      <c r="G3322" s="124"/>
      <c r="H3322" s="124"/>
      <c r="I3322" s="124"/>
      <c r="J3322" s="124"/>
      <c r="K3322" s="124"/>
      <c r="L3322" s="124"/>
      <c r="M3322" s="124"/>
      <c r="N3322" s="124"/>
      <c r="O3322" s="124"/>
      <c r="P3322" s="124"/>
      <c r="Q3322" s="124"/>
      <c r="R3322" s="124"/>
      <c r="S3322" s="124"/>
      <c r="T3322" s="124"/>
      <c r="U3322" s="124"/>
      <c r="V3322" s="124"/>
      <c r="W3322" s="124"/>
      <c r="X3322" s="124"/>
      <c r="Y3322" s="124"/>
      <c r="Z3322" s="124"/>
    </row>
    <row r="3323">
      <c r="A3323" s="124"/>
      <c r="B3323" s="124"/>
      <c r="C3323" s="147"/>
      <c r="D3323" s="124"/>
      <c r="E3323" s="124"/>
      <c r="F3323" s="124"/>
      <c r="G3323" s="124"/>
      <c r="H3323" s="124"/>
      <c r="I3323" s="124"/>
      <c r="J3323" s="124"/>
      <c r="K3323" s="124"/>
      <c r="L3323" s="124"/>
      <c r="M3323" s="124"/>
      <c r="N3323" s="124"/>
      <c r="O3323" s="124"/>
      <c r="P3323" s="124"/>
      <c r="Q3323" s="124"/>
      <c r="R3323" s="124"/>
      <c r="S3323" s="124"/>
      <c r="T3323" s="124"/>
      <c r="U3323" s="124"/>
      <c r="V3323" s="124"/>
      <c r="W3323" s="124"/>
      <c r="X3323" s="124"/>
      <c r="Y3323" s="124"/>
      <c r="Z3323" s="124"/>
    </row>
    <row r="3324">
      <c r="A3324" s="124"/>
      <c r="B3324" s="124"/>
      <c r="C3324" s="147"/>
      <c r="D3324" s="124"/>
      <c r="E3324" s="124"/>
      <c r="F3324" s="124"/>
      <c r="G3324" s="124"/>
      <c r="H3324" s="124"/>
      <c r="I3324" s="124"/>
      <c r="J3324" s="124"/>
      <c r="K3324" s="124"/>
      <c r="L3324" s="124"/>
      <c r="M3324" s="124"/>
      <c r="N3324" s="124"/>
      <c r="O3324" s="124"/>
      <c r="P3324" s="124"/>
      <c r="Q3324" s="124"/>
      <c r="R3324" s="124"/>
      <c r="S3324" s="124"/>
      <c r="T3324" s="124"/>
      <c r="U3324" s="124"/>
      <c r="V3324" s="124"/>
      <c r="W3324" s="124"/>
      <c r="X3324" s="124"/>
      <c r="Y3324" s="124"/>
      <c r="Z3324" s="124"/>
    </row>
    <row r="3325">
      <c r="A3325" s="124"/>
      <c r="B3325" s="124"/>
      <c r="C3325" s="147"/>
      <c r="D3325" s="124"/>
      <c r="E3325" s="124"/>
      <c r="F3325" s="124"/>
      <c r="G3325" s="124"/>
      <c r="H3325" s="124"/>
      <c r="I3325" s="124"/>
      <c r="J3325" s="124"/>
      <c r="K3325" s="124"/>
      <c r="L3325" s="124"/>
      <c r="M3325" s="124"/>
      <c r="N3325" s="124"/>
      <c r="O3325" s="124"/>
      <c r="P3325" s="124"/>
      <c r="Q3325" s="124"/>
      <c r="R3325" s="124"/>
      <c r="S3325" s="124"/>
      <c r="T3325" s="124"/>
      <c r="U3325" s="124"/>
      <c r="V3325" s="124"/>
      <c r="W3325" s="124"/>
      <c r="X3325" s="124"/>
      <c r="Y3325" s="124"/>
      <c r="Z3325" s="124"/>
    </row>
    <row r="3326">
      <c r="A3326" s="124"/>
      <c r="B3326" s="124"/>
      <c r="C3326" s="147"/>
      <c r="D3326" s="124"/>
      <c r="E3326" s="124"/>
      <c r="F3326" s="124"/>
      <c r="G3326" s="124"/>
      <c r="H3326" s="124"/>
      <c r="I3326" s="124"/>
      <c r="J3326" s="124"/>
      <c r="K3326" s="124"/>
      <c r="L3326" s="124"/>
      <c r="M3326" s="124"/>
      <c r="N3326" s="124"/>
      <c r="O3326" s="124"/>
      <c r="P3326" s="124"/>
      <c r="Q3326" s="124"/>
      <c r="R3326" s="124"/>
      <c r="S3326" s="124"/>
      <c r="T3326" s="124"/>
      <c r="U3326" s="124"/>
      <c r="V3326" s="124"/>
      <c r="W3326" s="124"/>
      <c r="X3326" s="124"/>
      <c r="Y3326" s="124"/>
      <c r="Z3326" s="124"/>
    </row>
    <row r="3327">
      <c r="A3327" s="124"/>
      <c r="B3327" s="124"/>
      <c r="C3327" s="147"/>
      <c r="D3327" s="124"/>
      <c r="E3327" s="124"/>
      <c r="F3327" s="124"/>
      <c r="G3327" s="124"/>
      <c r="H3327" s="124"/>
      <c r="I3327" s="124"/>
      <c r="J3327" s="124"/>
      <c r="K3327" s="124"/>
      <c r="L3327" s="124"/>
      <c r="M3327" s="124"/>
      <c r="N3327" s="124"/>
      <c r="O3327" s="124"/>
      <c r="P3327" s="124"/>
      <c r="Q3327" s="124"/>
      <c r="R3327" s="124"/>
      <c r="S3327" s="124"/>
      <c r="T3327" s="124"/>
      <c r="U3327" s="124"/>
      <c r="V3327" s="124"/>
      <c r="W3327" s="124"/>
      <c r="X3327" s="124"/>
      <c r="Y3327" s="124"/>
      <c r="Z3327" s="124"/>
    </row>
    <row r="3328">
      <c r="A3328" s="124"/>
      <c r="B3328" s="124"/>
      <c r="C3328" s="147"/>
      <c r="D3328" s="124"/>
      <c r="E3328" s="124"/>
      <c r="F3328" s="124"/>
      <c r="G3328" s="124"/>
      <c r="H3328" s="124"/>
      <c r="I3328" s="124"/>
      <c r="J3328" s="124"/>
      <c r="K3328" s="124"/>
      <c r="L3328" s="124"/>
      <c r="M3328" s="124"/>
      <c r="N3328" s="124"/>
      <c r="O3328" s="124"/>
      <c r="P3328" s="124"/>
      <c r="Q3328" s="124"/>
      <c r="R3328" s="124"/>
      <c r="S3328" s="124"/>
      <c r="T3328" s="124"/>
      <c r="U3328" s="124"/>
      <c r="V3328" s="124"/>
      <c r="W3328" s="124"/>
      <c r="X3328" s="124"/>
      <c r="Y3328" s="124"/>
      <c r="Z3328" s="124"/>
    </row>
    <row r="3329">
      <c r="A3329" s="124"/>
      <c r="B3329" s="124"/>
      <c r="C3329" s="147"/>
      <c r="D3329" s="124"/>
      <c r="E3329" s="124"/>
      <c r="F3329" s="124"/>
      <c r="G3329" s="124"/>
      <c r="H3329" s="124"/>
      <c r="I3329" s="124"/>
      <c r="J3329" s="124"/>
      <c r="K3329" s="124"/>
      <c r="L3329" s="124"/>
      <c r="M3329" s="124"/>
      <c r="N3329" s="124"/>
      <c r="O3329" s="124"/>
      <c r="P3329" s="124"/>
      <c r="Q3329" s="124"/>
      <c r="R3329" s="124"/>
      <c r="S3329" s="124"/>
      <c r="T3329" s="124"/>
      <c r="U3329" s="124"/>
      <c r="V3329" s="124"/>
      <c r="W3329" s="124"/>
      <c r="X3329" s="124"/>
      <c r="Y3329" s="124"/>
      <c r="Z3329" s="124"/>
    </row>
    <row r="3330">
      <c r="A3330" s="124"/>
      <c r="B3330" s="124"/>
      <c r="C3330" s="147"/>
      <c r="D3330" s="124"/>
      <c r="E3330" s="124"/>
      <c r="F3330" s="124"/>
      <c r="G3330" s="124"/>
      <c r="H3330" s="124"/>
      <c r="I3330" s="124"/>
      <c r="J3330" s="124"/>
      <c r="K3330" s="124"/>
      <c r="L3330" s="124"/>
      <c r="M3330" s="124"/>
      <c r="N3330" s="124"/>
      <c r="O3330" s="124"/>
      <c r="P3330" s="124"/>
      <c r="Q3330" s="124"/>
      <c r="R3330" s="124"/>
      <c r="S3330" s="124"/>
      <c r="T3330" s="124"/>
      <c r="U3330" s="124"/>
      <c r="V3330" s="124"/>
      <c r="W3330" s="124"/>
      <c r="X3330" s="124"/>
      <c r="Y3330" s="124"/>
      <c r="Z3330" s="124"/>
    </row>
    <row r="3331">
      <c r="A3331" s="124"/>
      <c r="B3331" s="124"/>
      <c r="C3331" s="147"/>
      <c r="D3331" s="124"/>
      <c r="E3331" s="124"/>
      <c r="F3331" s="124"/>
      <c r="G3331" s="124"/>
      <c r="H3331" s="124"/>
      <c r="I3331" s="124"/>
      <c r="J3331" s="124"/>
      <c r="K3331" s="124"/>
      <c r="L3331" s="124"/>
      <c r="M3331" s="124"/>
      <c r="N3331" s="124"/>
      <c r="O3331" s="124"/>
      <c r="P3331" s="124"/>
      <c r="Q3331" s="124"/>
      <c r="R3331" s="124"/>
      <c r="S3331" s="124"/>
      <c r="T3331" s="124"/>
      <c r="U3331" s="124"/>
      <c r="V3331" s="124"/>
      <c r="W3331" s="124"/>
      <c r="X3331" s="124"/>
      <c r="Y3331" s="124"/>
      <c r="Z3331" s="124"/>
    </row>
    <row r="3332">
      <c r="A3332" s="124"/>
      <c r="B3332" s="124"/>
      <c r="C3332" s="147"/>
      <c r="D3332" s="124"/>
      <c r="E3332" s="124"/>
      <c r="F3332" s="124"/>
      <c r="G3332" s="124"/>
      <c r="H3332" s="124"/>
      <c r="I3332" s="124"/>
      <c r="J3332" s="124"/>
      <c r="K3332" s="124"/>
      <c r="L3332" s="124"/>
      <c r="M3332" s="124"/>
      <c r="N3332" s="124"/>
      <c r="O3332" s="124"/>
      <c r="P3332" s="124"/>
      <c r="Q3332" s="124"/>
      <c r="R3332" s="124"/>
      <c r="S3332" s="124"/>
      <c r="T3332" s="124"/>
      <c r="U3332" s="124"/>
      <c r="V3332" s="124"/>
      <c r="W3332" s="124"/>
      <c r="X3332" s="124"/>
      <c r="Y3332" s="124"/>
      <c r="Z3332" s="124"/>
    </row>
    <row r="3333">
      <c r="A3333" s="124"/>
      <c r="B3333" s="124"/>
      <c r="C3333" s="147"/>
      <c r="D3333" s="124"/>
      <c r="E3333" s="124"/>
      <c r="F3333" s="124"/>
      <c r="G3333" s="124"/>
      <c r="H3333" s="124"/>
      <c r="I3333" s="124"/>
      <c r="J3333" s="124"/>
      <c r="K3333" s="124"/>
      <c r="L3333" s="124"/>
      <c r="M3333" s="124"/>
      <c r="N3333" s="124"/>
      <c r="O3333" s="124"/>
      <c r="P3333" s="124"/>
      <c r="Q3333" s="124"/>
      <c r="R3333" s="124"/>
      <c r="S3333" s="124"/>
      <c r="T3333" s="124"/>
      <c r="U3333" s="124"/>
      <c r="V3333" s="124"/>
      <c r="W3333" s="124"/>
      <c r="X3333" s="124"/>
      <c r="Y3333" s="124"/>
      <c r="Z3333" s="124"/>
    </row>
    <row r="3334">
      <c r="A3334" s="124"/>
      <c r="B3334" s="124"/>
      <c r="C3334" s="147"/>
      <c r="D3334" s="124"/>
      <c r="E3334" s="124"/>
      <c r="F3334" s="124"/>
      <c r="G3334" s="124"/>
      <c r="H3334" s="124"/>
      <c r="I3334" s="124"/>
      <c r="J3334" s="124"/>
      <c r="K3334" s="124"/>
      <c r="L3334" s="124"/>
      <c r="M3334" s="124"/>
      <c r="N3334" s="124"/>
      <c r="O3334" s="124"/>
      <c r="P3334" s="124"/>
      <c r="Q3334" s="124"/>
      <c r="R3334" s="124"/>
      <c r="S3334" s="124"/>
      <c r="T3334" s="124"/>
      <c r="U3334" s="124"/>
      <c r="V3334" s="124"/>
      <c r="W3334" s="124"/>
      <c r="X3334" s="124"/>
      <c r="Y3334" s="124"/>
      <c r="Z3334" s="124"/>
    </row>
    <row r="3335">
      <c r="A3335" s="124"/>
      <c r="B3335" s="124"/>
      <c r="C3335" s="147"/>
      <c r="D3335" s="124"/>
      <c r="E3335" s="124"/>
      <c r="F3335" s="124"/>
      <c r="G3335" s="124"/>
      <c r="H3335" s="124"/>
      <c r="I3335" s="124"/>
      <c r="J3335" s="124"/>
      <c r="K3335" s="124"/>
      <c r="L3335" s="124"/>
      <c r="M3335" s="124"/>
      <c r="N3335" s="124"/>
      <c r="O3335" s="124"/>
      <c r="P3335" s="124"/>
      <c r="Q3335" s="124"/>
      <c r="R3335" s="124"/>
      <c r="S3335" s="124"/>
      <c r="T3335" s="124"/>
      <c r="U3335" s="124"/>
      <c r="V3335" s="124"/>
      <c r="W3335" s="124"/>
      <c r="X3335" s="124"/>
      <c r="Y3335" s="124"/>
      <c r="Z3335" s="124"/>
    </row>
    <row r="3336">
      <c r="A3336" s="124"/>
      <c r="B3336" s="124"/>
      <c r="C3336" s="147"/>
      <c r="D3336" s="124"/>
      <c r="E3336" s="124"/>
      <c r="F3336" s="124"/>
      <c r="G3336" s="124"/>
      <c r="H3336" s="124"/>
      <c r="I3336" s="124"/>
      <c r="J3336" s="124"/>
      <c r="K3336" s="124"/>
      <c r="L3336" s="124"/>
      <c r="M3336" s="124"/>
      <c r="N3336" s="124"/>
      <c r="O3336" s="124"/>
      <c r="P3336" s="124"/>
      <c r="Q3336" s="124"/>
      <c r="R3336" s="124"/>
      <c r="S3336" s="124"/>
      <c r="T3336" s="124"/>
      <c r="U3336" s="124"/>
      <c r="V3336" s="124"/>
      <c r="W3336" s="124"/>
      <c r="X3336" s="124"/>
      <c r="Y3336" s="124"/>
      <c r="Z3336" s="124"/>
    </row>
    <row r="3337">
      <c r="A3337" s="124"/>
      <c r="B3337" s="124"/>
      <c r="C3337" s="147"/>
      <c r="D3337" s="124"/>
      <c r="E3337" s="124"/>
      <c r="F3337" s="124"/>
      <c r="G3337" s="124"/>
      <c r="H3337" s="124"/>
      <c r="I3337" s="124"/>
      <c r="J3337" s="124"/>
      <c r="K3337" s="124"/>
      <c r="L3337" s="124"/>
      <c r="M3337" s="124"/>
      <c r="N3337" s="124"/>
      <c r="O3337" s="124"/>
      <c r="P3337" s="124"/>
      <c r="Q3337" s="124"/>
      <c r="R3337" s="124"/>
      <c r="S3337" s="124"/>
      <c r="T3337" s="124"/>
      <c r="U3337" s="124"/>
      <c r="V3337" s="124"/>
      <c r="W3337" s="124"/>
      <c r="X3337" s="124"/>
      <c r="Y3337" s="124"/>
      <c r="Z3337" s="124"/>
    </row>
    <row r="3338">
      <c r="A3338" s="124"/>
      <c r="B3338" s="124"/>
      <c r="C3338" s="147"/>
      <c r="D3338" s="124"/>
      <c r="E3338" s="124"/>
      <c r="F3338" s="124"/>
      <c r="G3338" s="124"/>
      <c r="H3338" s="124"/>
      <c r="I3338" s="124"/>
      <c r="J3338" s="124"/>
      <c r="K3338" s="124"/>
      <c r="L3338" s="124"/>
      <c r="M3338" s="124"/>
      <c r="N3338" s="124"/>
      <c r="O3338" s="124"/>
      <c r="P3338" s="124"/>
      <c r="Q3338" s="124"/>
      <c r="R3338" s="124"/>
      <c r="S3338" s="124"/>
      <c r="T3338" s="124"/>
      <c r="U3338" s="124"/>
      <c r="V3338" s="124"/>
      <c r="W3338" s="124"/>
      <c r="X3338" s="124"/>
      <c r="Y3338" s="124"/>
      <c r="Z3338" s="124"/>
    </row>
    <row r="3339">
      <c r="A3339" s="124"/>
      <c r="B3339" s="124"/>
      <c r="C3339" s="147"/>
      <c r="D3339" s="124"/>
      <c r="E3339" s="124"/>
      <c r="F3339" s="124"/>
      <c r="G3339" s="124"/>
      <c r="H3339" s="124"/>
      <c r="I3339" s="124"/>
      <c r="J3339" s="124"/>
      <c r="K3339" s="124"/>
      <c r="L3339" s="124"/>
      <c r="M3339" s="124"/>
      <c r="N3339" s="124"/>
      <c r="O3339" s="124"/>
      <c r="P3339" s="124"/>
      <c r="Q3339" s="124"/>
      <c r="R3339" s="124"/>
      <c r="S3339" s="124"/>
      <c r="T3339" s="124"/>
      <c r="U3339" s="124"/>
      <c r="V3339" s="124"/>
      <c r="W3339" s="124"/>
      <c r="X3339" s="124"/>
      <c r="Y3339" s="124"/>
      <c r="Z3339" s="124"/>
    </row>
    <row r="3340">
      <c r="A3340" s="124"/>
      <c r="B3340" s="124"/>
      <c r="C3340" s="147"/>
      <c r="D3340" s="124"/>
      <c r="E3340" s="124"/>
      <c r="F3340" s="124"/>
      <c r="G3340" s="124"/>
      <c r="H3340" s="124"/>
      <c r="I3340" s="124"/>
      <c r="J3340" s="124"/>
      <c r="K3340" s="124"/>
      <c r="L3340" s="124"/>
      <c r="M3340" s="124"/>
      <c r="N3340" s="124"/>
      <c r="O3340" s="124"/>
      <c r="P3340" s="124"/>
      <c r="Q3340" s="124"/>
      <c r="R3340" s="124"/>
      <c r="S3340" s="124"/>
      <c r="T3340" s="124"/>
      <c r="U3340" s="124"/>
      <c r="V3340" s="124"/>
      <c r="W3340" s="124"/>
      <c r="X3340" s="124"/>
      <c r="Y3340" s="124"/>
      <c r="Z3340" s="124"/>
    </row>
    <row r="3341">
      <c r="A3341" s="124"/>
      <c r="B3341" s="124"/>
      <c r="C3341" s="147"/>
      <c r="D3341" s="124"/>
      <c r="E3341" s="124"/>
      <c r="F3341" s="124"/>
      <c r="G3341" s="124"/>
      <c r="H3341" s="124"/>
      <c r="I3341" s="124"/>
      <c r="J3341" s="124"/>
      <c r="K3341" s="124"/>
      <c r="L3341" s="124"/>
      <c r="M3341" s="124"/>
      <c r="N3341" s="124"/>
      <c r="O3341" s="124"/>
      <c r="P3341" s="124"/>
      <c r="Q3341" s="124"/>
      <c r="R3341" s="124"/>
      <c r="S3341" s="124"/>
      <c r="T3341" s="124"/>
      <c r="U3341" s="124"/>
      <c r="V3341" s="124"/>
      <c r="W3341" s="124"/>
      <c r="X3341" s="124"/>
      <c r="Y3341" s="124"/>
      <c r="Z3341" s="124"/>
    </row>
    <row r="3342">
      <c r="A3342" s="124"/>
      <c r="B3342" s="124"/>
      <c r="C3342" s="147"/>
      <c r="D3342" s="124"/>
      <c r="E3342" s="124"/>
      <c r="F3342" s="124"/>
      <c r="G3342" s="124"/>
      <c r="H3342" s="124"/>
      <c r="I3342" s="124"/>
      <c r="J3342" s="124"/>
      <c r="K3342" s="124"/>
      <c r="L3342" s="124"/>
      <c r="M3342" s="124"/>
      <c r="N3342" s="124"/>
      <c r="O3342" s="124"/>
      <c r="P3342" s="124"/>
      <c r="Q3342" s="124"/>
      <c r="R3342" s="124"/>
      <c r="S3342" s="124"/>
      <c r="T3342" s="124"/>
      <c r="U3342" s="124"/>
      <c r="V3342" s="124"/>
      <c r="W3342" s="124"/>
      <c r="X3342" s="124"/>
      <c r="Y3342" s="124"/>
      <c r="Z3342" s="124"/>
    </row>
    <row r="3343">
      <c r="A3343" s="124"/>
      <c r="B3343" s="124"/>
      <c r="C3343" s="147"/>
      <c r="D3343" s="124"/>
      <c r="E3343" s="124"/>
      <c r="F3343" s="124"/>
      <c r="G3343" s="124"/>
      <c r="H3343" s="124"/>
      <c r="I3343" s="124"/>
      <c r="J3343" s="124"/>
      <c r="K3343" s="124"/>
      <c r="L3343" s="124"/>
      <c r="M3343" s="124"/>
      <c r="N3343" s="124"/>
      <c r="O3343" s="124"/>
      <c r="P3343" s="124"/>
      <c r="Q3343" s="124"/>
      <c r="R3343" s="124"/>
      <c r="S3343" s="124"/>
      <c r="T3343" s="124"/>
      <c r="U3343" s="124"/>
      <c r="V3343" s="124"/>
      <c r="W3343" s="124"/>
      <c r="X3343" s="124"/>
      <c r="Y3343" s="124"/>
      <c r="Z3343" s="124"/>
    </row>
    <row r="3344">
      <c r="A3344" s="124"/>
      <c r="B3344" s="124"/>
      <c r="C3344" s="147"/>
      <c r="D3344" s="124"/>
      <c r="E3344" s="124"/>
      <c r="F3344" s="124"/>
      <c r="G3344" s="124"/>
      <c r="H3344" s="124"/>
      <c r="I3344" s="124"/>
      <c r="J3344" s="124"/>
      <c r="K3344" s="124"/>
      <c r="L3344" s="124"/>
      <c r="M3344" s="124"/>
      <c r="N3344" s="124"/>
      <c r="O3344" s="124"/>
      <c r="P3344" s="124"/>
      <c r="Q3344" s="124"/>
      <c r="R3344" s="124"/>
      <c r="S3344" s="124"/>
      <c r="T3344" s="124"/>
      <c r="U3344" s="124"/>
      <c r="V3344" s="124"/>
      <c r="W3344" s="124"/>
      <c r="X3344" s="124"/>
      <c r="Y3344" s="124"/>
      <c r="Z3344" s="124"/>
    </row>
    <row r="3345">
      <c r="A3345" s="124"/>
      <c r="B3345" s="124"/>
      <c r="C3345" s="147"/>
      <c r="D3345" s="124"/>
      <c r="E3345" s="124"/>
      <c r="F3345" s="124"/>
      <c r="G3345" s="124"/>
      <c r="H3345" s="124"/>
      <c r="I3345" s="124"/>
      <c r="J3345" s="124"/>
      <c r="K3345" s="124"/>
      <c r="L3345" s="124"/>
      <c r="M3345" s="124"/>
      <c r="N3345" s="124"/>
      <c r="O3345" s="124"/>
      <c r="P3345" s="124"/>
      <c r="Q3345" s="124"/>
      <c r="R3345" s="124"/>
      <c r="S3345" s="124"/>
      <c r="T3345" s="124"/>
      <c r="U3345" s="124"/>
      <c r="V3345" s="124"/>
      <c r="W3345" s="124"/>
      <c r="X3345" s="124"/>
      <c r="Y3345" s="124"/>
      <c r="Z3345" s="124"/>
    </row>
    <row r="3346">
      <c r="A3346" s="124"/>
      <c r="B3346" s="124"/>
      <c r="C3346" s="147"/>
      <c r="D3346" s="124"/>
      <c r="E3346" s="124"/>
      <c r="F3346" s="124"/>
      <c r="G3346" s="124"/>
      <c r="H3346" s="124"/>
      <c r="I3346" s="124"/>
      <c r="J3346" s="124"/>
      <c r="K3346" s="124"/>
      <c r="L3346" s="124"/>
      <c r="M3346" s="124"/>
      <c r="N3346" s="124"/>
      <c r="O3346" s="124"/>
      <c r="P3346" s="124"/>
      <c r="Q3346" s="124"/>
      <c r="R3346" s="124"/>
      <c r="S3346" s="124"/>
      <c r="T3346" s="124"/>
      <c r="U3346" s="124"/>
      <c r="V3346" s="124"/>
      <c r="W3346" s="124"/>
      <c r="X3346" s="124"/>
      <c r="Y3346" s="124"/>
      <c r="Z3346" s="124"/>
    </row>
    <row r="3347">
      <c r="A3347" s="124"/>
      <c r="B3347" s="124"/>
      <c r="C3347" s="147"/>
      <c r="D3347" s="124"/>
      <c r="E3347" s="124"/>
      <c r="F3347" s="124"/>
      <c r="G3347" s="124"/>
      <c r="H3347" s="124"/>
      <c r="I3347" s="124"/>
      <c r="J3347" s="124"/>
      <c r="K3347" s="124"/>
      <c r="L3347" s="124"/>
      <c r="M3347" s="124"/>
      <c r="N3347" s="124"/>
      <c r="O3347" s="124"/>
      <c r="P3347" s="124"/>
      <c r="Q3347" s="124"/>
      <c r="R3347" s="124"/>
      <c r="S3347" s="124"/>
      <c r="T3347" s="124"/>
      <c r="U3347" s="124"/>
      <c r="V3347" s="124"/>
      <c r="W3347" s="124"/>
      <c r="X3347" s="124"/>
      <c r="Y3347" s="124"/>
      <c r="Z3347" s="124"/>
    </row>
    <row r="3348">
      <c r="A3348" s="124"/>
      <c r="B3348" s="124"/>
      <c r="C3348" s="147"/>
      <c r="D3348" s="124"/>
      <c r="E3348" s="124"/>
      <c r="F3348" s="124"/>
      <c r="G3348" s="124"/>
      <c r="H3348" s="124"/>
      <c r="I3348" s="124"/>
      <c r="J3348" s="124"/>
      <c r="K3348" s="124"/>
      <c r="L3348" s="124"/>
      <c r="M3348" s="124"/>
      <c r="N3348" s="124"/>
      <c r="O3348" s="124"/>
      <c r="P3348" s="124"/>
      <c r="Q3348" s="124"/>
      <c r="R3348" s="124"/>
      <c r="S3348" s="124"/>
      <c r="T3348" s="124"/>
      <c r="U3348" s="124"/>
      <c r="V3348" s="124"/>
      <c r="W3348" s="124"/>
      <c r="X3348" s="124"/>
      <c r="Y3348" s="124"/>
      <c r="Z3348" s="124"/>
    </row>
    <row r="3349">
      <c r="A3349" s="124"/>
      <c r="B3349" s="124"/>
      <c r="C3349" s="147"/>
      <c r="D3349" s="124"/>
      <c r="E3349" s="124"/>
      <c r="F3349" s="124"/>
      <c r="G3349" s="124"/>
      <c r="H3349" s="124"/>
      <c r="I3349" s="124"/>
      <c r="J3349" s="124"/>
      <c r="K3349" s="124"/>
      <c r="L3349" s="124"/>
      <c r="M3349" s="124"/>
      <c r="N3349" s="124"/>
      <c r="O3349" s="124"/>
      <c r="P3349" s="124"/>
      <c r="Q3349" s="124"/>
      <c r="R3349" s="124"/>
      <c r="S3349" s="124"/>
      <c r="T3349" s="124"/>
      <c r="U3349" s="124"/>
      <c r="V3349" s="124"/>
      <c r="W3349" s="124"/>
      <c r="X3349" s="124"/>
      <c r="Y3349" s="124"/>
      <c r="Z3349" s="124"/>
    </row>
    <row r="3350">
      <c r="A3350" s="124"/>
      <c r="B3350" s="124"/>
      <c r="C3350" s="147"/>
      <c r="D3350" s="124"/>
      <c r="E3350" s="124"/>
      <c r="F3350" s="124"/>
      <c r="G3350" s="124"/>
      <c r="H3350" s="124"/>
      <c r="I3350" s="124"/>
      <c r="J3350" s="124"/>
      <c r="K3350" s="124"/>
      <c r="L3350" s="124"/>
      <c r="M3350" s="124"/>
      <c r="N3350" s="124"/>
      <c r="O3350" s="124"/>
      <c r="P3350" s="124"/>
      <c r="Q3350" s="124"/>
      <c r="R3350" s="124"/>
      <c r="S3350" s="124"/>
      <c r="T3350" s="124"/>
      <c r="U3350" s="124"/>
      <c r="V3350" s="124"/>
      <c r="W3350" s="124"/>
      <c r="X3350" s="124"/>
      <c r="Y3350" s="124"/>
      <c r="Z3350" s="124"/>
    </row>
    <row r="3351">
      <c r="A3351" s="124"/>
      <c r="B3351" s="124"/>
      <c r="C3351" s="147"/>
      <c r="D3351" s="124"/>
      <c r="E3351" s="124"/>
      <c r="F3351" s="124"/>
      <c r="G3351" s="124"/>
      <c r="H3351" s="124"/>
      <c r="I3351" s="124"/>
      <c r="J3351" s="124"/>
      <c r="K3351" s="124"/>
      <c r="L3351" s="124"/>
      <c r="M3351" s="124"/>
      <c r="N3351" s="124"/>
      <c r="O3351" s="124"/>
      <c r="P3351" s="124"/>
      <c r="Q3351" s="124"/>
      <c r="R3351" s="124"/>
      <c r="S3351" s="124"/>
      <c r="T3351" s="124"/>
      <c r="U3351" s="124"/>
      <c r="V3351" s="124"/>
      <c r="W3351" s="124"/>
      <c r="X3351" s="124"/>
      <c r="Y3351" s="124"/>
      <c r="Z3351" s="124"/>
    </row>
    <row r="3352">
      <c r="A3352" s="124"/>
      <c r="B3352" s="124"/>
      <c r="C3352" s="147"/>
      <c r="D3352" s="124"/>
      <c r="E3352" s="124"/>
      <c r="F3352" s="124"/>
      <c r="G3352" s="124"/>
      <c r="H3352" s="124"/>
      <c r="I3352" s="124"/>
      <c r="J3352" s="124"/>
      <c r="K3352" s="124"/>
      <c r="L3352" s="124"/>
      <c r="M3352" s="124"/>
      <c r="N3352" s="124"/>
      <c r="O3352" s="124"/>
      <c r="P3352" s="124"/>
      <c r="Q3352" s="124"/>
      <c r="R3352" s="124"/>
      <c r="S3352" s="124"/>
      <c r="T3352" s="124"/>
      <c r="U3352" s="124"/>
      <c r="V3352" s="124"/>
      <c r="W3352" s="124"/>
      <c r="X3352" s="124"/>
      <c r="Y3352" s="124"/>
      <c r="Z3352" s="124"/>
    </row>
    <row r="3353">
      <c r="A3353" s="124"/>
      <c r="B3353" s="124"/>
      <c r="C3353" s="147"/>
      <c r="D3353" s="124"/>
      <c r="E3353" s="124"/>
      <c r="F3353" s="124"/>
      <c r="G3353" s="124"/>
      <c r="H3353" s="124"/>
      <c r="I3353" s="124"/>
      <c r="J3353" s="124"/>
      <c r="K3353" s="124"/>
      <c r="L3353" s="124"/>
      <c r="M3353" s="124"/>
      <c r="N3353" s="124"/>
      <c r="O3353" s="124"/>
      <c r="P3353" s="124"/>
      <c r="Q3353" s="124"/>
      <c r="R3353" s="124"/>
      <c r="S3353" s="124"/>
      <c r="T3353" s="124"/>
      <c r="U3353" s="124"/>
      <c r="V3353" s="124"/>
      <c r="W3353" s="124"/>
      <c r="X3353" s="124"/>
      <c r="Y3353" s="124"/>
      <c r="Z3353" s="124"/>
    </row>
    <row r="3354">
      <c r="A3354" s="124"/>
      <c r="B3354" s="124"/>
      <c r="C3354" s="147"/>
      <c r="D3354" s="124"/>
      <c r="E3354" s="124"/>
      <c r="F3354" s="124"/>
      <c r="G3354" s="124"/>
      <c r="H3354" s="124"/>
      <c r="I3354" s="124"/>
      <c r="J3354" s="124"/>
      <c r="K3354" s="124"/>
      <c r="L3354" s="124"/>
      <c r="M3354" s="124"/>
      <c r="N3354" s="124"/>
      <c r="O3354" s="124"/>
      <c r="P3354" s="124"/>
      <c r="Q3354" s="124"/>
      <c r="R3354" s="124"/>
      <c r="S3354" s="124"/>
      <c r="T3354" s="124"/>
      <c r="U3354" s="124"/>
      <c r="V3354" s="124"/>
      <c r="W3354" s="124"/>
      <c r="X3354" s="124"/>
      <c r="Y3354" s="124"/>
      <c r="Z3354" s="124"/>
    </row>
    <row r="3355">
      <c r="A3355" s="124"/>
      <c r="B3355" s="124"/>
      <c r="C3355" s="147"/>
      <c r="D3355" s="124"/>
      <c r="E3355" s="124"/>
      <c r="F3355" s="124"/>
      <c r="G3355" s="124"/>
      <c r="H3355" s="124"/>
      <c r="I3355" s="124"/>
      <c r="J3355" s="124"/>
      <c r="K3355" s="124"/>
      <c r="L3355" s="124"/>
      <c r="M3355" s="124"/>
      <c r="N3355" s="124"/>
      <c r="O3355" s="124"/>
      <c r="P3355" s="124"/>
      <c r="Q3355" s="124"/>
      <c r="R3355" s="124"/>
      <c r="S3355" s="124"/>
      <c r="T3355" s="124"/>
      <c r="U3355" s="124"/>
      <c r="V3355" s="124"/>
      <c r="W3355" s="124"/>
      <c r="X3355" s="124"/>
      <c r="Y3355" s="124"/>
      <c r="Z3355" s="124"/>
    </row>
    <row r="3356">
      <c r="A3356" s="124"/>
      <c r="B3356" s="124"/>
      <c r="C3356" s="147"/>
      <c r="D3356" s="124"/>
      <c r="E3356" s="124"/>
      <c r="F3356" s="124"/>
      <c r="G3356" s="124"/>
      <c r="H3356" s="124"/>
      <c r="I3356" s="124"/>
      <c r="J3356" s="124"/>
      <c r="K3356" s="124"/>
      <c r="L3356" s="124"/>
      <c r="M3356" s="124"/>
      <c r="N3356" s="124"/>
      <c r="O3356" s="124"/>
      <c r="P3356" s="124"/>
      <c r="Q3356" s="124"/>
      <c r="R3356" s="124"/>
      <c r="S3356" s="124"/>
      <c r="T3356" s="124"/>
      <c r="U3356" s="124"/>
      <c r="V3356" s="124"/>
      <c r="W3356" s="124"/>
      <c r="X3356" s="124"/>
      <c r="Y3356" s="124"/>
      <c r="Z3356" s="124"/>
    </row>
    <row r="3357">
      <c r="A3357" s="124"/>
      <c r="B3357" s="124"/>
      <c r="C3357" s="147"/>
      <c r="D3357" s="124"/>
      <c r="E3357" s="124"/>
      <c r="F3357" s="124"/>
      <c r="G3357" s="124"/>
      <c r="H3357" s="124"/>
      <c r="I3357" s="124"/>
      <c r="J3357" s="124"/>
      <c r="K3357" s="124"/>
      <c r="L3357" s="124"/>
      <c r="M3357" s="124"/>
      <c r="N3357" s="124"/>
      <c r="O3357" s="124"/>
      <c r="P3357" s="124"/>
      <c r="Q3357" s="124"/>
      <c r="R3357" s="124"/>
      <c r="S3357" s="124"/>
      <c r="T3357" s="124"/>
      <c r="U3357" s="124"/>
      <c r="V3357" s="124"/>
      <c r="W3357" s="124"/>
      <c r="X3357" s="124"/>
      <c r="Y3357" s="124"/>
      <c r="Z3357" s="124"/>
    </row>
    <row r="3358">
      <c r="A3358" s="124"/>
      <c r="B3358" s="124"/>
      <c r="C3358" s="147"/>
      <c r="D3358" s="124"/>
      <c r="E3358" s="124"/>
      <c r="F3358" s="124"/>
      <c r="G3358" s="124"/>
      <c r="H3358" s="124"/>
      <c r="I3358" s="124"/>
      <c r="J3358" s="124"/>
      <c r="K3358" s="124"/>
      <c r="L3358" s="124"/>
      <c r="M3358" s="124"/>
      <c r="N3358" s="124"/>
      <c r="O3358" s="124"/>
      <c r="P3358" s="124"/>
      <c r="Q3358" s="124"/>
      <c r="R3358" s="124"/>
      <c r="S3358" s="124"/>
      <c r="T3358" s="124"/>
      <c r="U3358" s="124"/>
      <c r="V3358" s="124"/>
      <c r="W3358" s="124"/>
      <c r="X3358" s="124"/>
      <c r="Y3358" s="124"/>
      <c r="Z3358" s="124"/>
    </row>
    <row r="3359">
      <c r="A3359" s="124"/>
      <c r="B3359" s="124"/>
      <c r="C3359" s="147"/>
      <c r="D3359" s="124"/>
      <c r="E3359" s="124"/>
      <c r="F3359" s="124"/>
      <c r="G3359" s="124"/>
      <c r="H3359" s="124"/>
      <c r="I3359" s="124"/>
      <c r="J3359" s="124"/>
      <c r="K3359" s="124"/>
      <c r="L3359" s="124"/>
      <c r="M3359" s="124"/>
      <c r="N3359" s="124"/>
      <c r="O3359" s="124"/>
      <c r="P3359" s="124"/>
      <c r="Q3359" s="124"/>
      <c r="R3359" s="124"/>
      <c r="S3359" s="124"/>
      <c r="T3359" s="124"/>
      <c r="U3359" s="124"/>
      <c r="V3359" s="124"/>
      <c r="W3359" s="124"/>
      <c r="X3359" s="124"/>
      <c r="Y3359" s="124"/>
      <c r="Z3359" s="124"/>
    </row>
    <row r="3360">
      <c r="A3360" s="124"/>
      <c r="B3360" s="124"/>
      <c r="C3360" s="147"/>
      <c r="D3360" s="124"/>
      <c r="E3360" s="124"/>
      <c r="F3360" s="124"/>
      <c r="G3360" s="124"/>
      <c r="H3360" s="124"/>
      <c r="I3360" s="124"/>
      <c r="J3360" s="124"/>
      <c r="K3360" s="124"/>
      <c r="L3360" s="124"/>
      <c r="M3360" s="124"/>
      <c r="N3360" s="124"/>
      <c r="O3360" s="124"/>
      <c r="P3360" s="124"/>
      <c r="Q3360" s="124"/>
      <c r="R3360" s="124"/>
      <c r="S3360" s="124"/>
      <c r="T3360" s="124"/>
      <c r="U3360" s="124"/>
      <c r="V3360" s="124"/>
      <c r="W3360" s="124"/>
      <c r="X3360" s="124"/>
      <c r="Y3360" s="124"/>
      <c r="Z3360" s="124"/>
    </row>
    <row r="3361">
      <c r="A3361" s="124"/>
      <c r="B3361" s="124"/>
      <c r="C3361" s="147"/>
      <c r="D3361" s="124"/>
      <c r="E3361" s="124"/>
      <c r="F3361" s="124"/>
      <c r="G3361" s="124"/>
      <c r="H3361" s="124"/>
      <c r="I3361" s="124"/>
      <c r="J3361" s="124"/>
      <c r="K3361" s="124"/>
      <c r="L3361" s="124"/>
      <c r="M3361" s="124"/>
      <c r="N3361" s="124"/>
      <c r="O3361" s="124"/>
      <c r="P3361" s="124"/>
      <c r="Q3361" s="124"/>
      <c r="R3361" s="124"/>
      <c r="S3361" s="124"/>
      <c r="T3361" s="124"/>
      <c r="U3361" s="124"/>
      <c r="V3361" s="124"/>
      <c r="W3361" s="124"/>
      <c r="X3361" s="124"/>
      <c r="Y3361" s="124"/>
      <c r="Z3361" s="124"/>
    </row>
    <row r="3362">
      <c r="A3362" s="124"/>
      <c r="B3362" s="124"/>
      <c r="C3362" s="147"/>
      <c r="D3362" s="124"/>
      <c r="E3362" s="124"/>
      <c r="F3362" s="124"/>
      <c r="G3362" s="124"/>
      <c r="H3362" s="124"/>
      <c r="I3362" s="124"/>
      <c r="J3362" s="124"/>
      <c r="K3362" s="124"/>
      <c r="L3362" s="124"/>
      <c r="M3362" s="124"/>
      <c r="N3362" s="124"/>
      <c r="O3362" s="124"/>
      <c r="P3362" s="124"/>
      <c r="Q3362" s="124"/>
      <c r="R3362" s="124"/>
      <c r="S3362" s="124"/>
      <c r="T3362" s="124"/>
      <c r="U3362" s="124"/>
      <c r="V3362" s="124"/>
      <c r="W3362" s="124"/>
      <c r="X3362" s="124"/>
      <c r="Y3362" s="124"/>
      <c r="Z3362" s="124"/>
    </row>
    <row r="3363">
      <c r="A3363" s="124"/>
      <c r="B3363" s="124"/>
      <c r="C3363" s="147"/>
      <c r="D3363" s="124"/>
      <c r="E3363" s="124"/>
      <c r="F3363" s="124"/>
      <c r="G3363" s="124"/>
      <c r="H3363" s="124"/>
      <c r="I3363" s="124"/>
      <c r="J3363" s="124"/>
      <c r="K3363" s="124"/>
      <c r="L3363" s="124"/>
      <c r="M3363" s="124"/>
      <c r="N3363" s="124"/>
      <c r="O3363" s="124"/>
      <c r="P3363" s="124"/>
      <c r="Q3363" s="124"/>
      <c r="R3363" s="124"/>
      <c r="S3363" s="124"/>
      <c r="T3363" s="124"/>
      <c r="U3363" s="124"/>
      <c r="V3363" s="124"/>
      <c r="W3363" s="124"/>
      <c r="X3363" s="124"/>
      <c r="Y3363" s="124"/>
      <c r="Z3363" s="124"/>
    </row>
    <row r="3364">
      <c r="A3364" s="124"/>
      <c r="B3364" s="124"/>
      <c r="C3364" s="147"/>
      <c r="D3364" s="124"/>
      <c r="E3364" s="124"/>
      <c r="F3364" s="124"/>
      <c r="G3364" s="124"/>
      <c r="H3364" s="124"/>
      <c r="I3364" s="124"/>
      <c r="J3364" s="124"/>
      <c r="K3364" s="124"/>
      <c r="L3364" s="124"/>
      <c r="M3364" s="124"/>
      <c r="N3364" s="124"/>
      <c r="O3364" s="124"/>
      <c r="P3364" s="124"/>
      <c r="Q3364" s="124"/>
      <c r="R3364" s="124"/>
      <c r="S3364" s="124"/>
      <c r="T3364" s="124"/>
      <c r="U3364" s="124"/>
      <c r="V3364" s="124"/>
      <c r="W3364" s="124"/>
      <c r="X3364" s="124"/>
      <c r="Y3364" s="124"/>
      <c r="Z3364" s="124"/>
    </row>
    <row r="3365">
      <c r="A3365" s="124"/>
      <c r="B3365" s="124"/>
      <c r="C3365" s="147"/>
      <c r="D3365" s="124"/>
      <c r="E3365" s="124"/>
      <c r="F3365" s="124"/>
      <c r="G3365" s="124"/>
      <c r="H3365" s="124"/>
      <c r="I3365" s="124"/>
      <c r="J3365" s="124"/>
      <c r="K3365" s="124"/>
      <c r="L3365" s="124"/>
      <c r="M3365" s="124"/>
      <c r="N3365" s="124"/>
      <c r="O3365" s="124"/>
      <c r="P3365" s="124"/>
      <c r="Q3365" s="124"/>
      <c r="R3365" s="124"/>
      <c r="S3365" s="124"/>
      <c r="T3365" s="124"/>
      <c r="U3365" s="124"/>
      <c r="V3365" s="124"/>
      <c r="W3365" s="124"/>
      <c r="X3365" s="124"/>
      <c r="Y3365" s="124"/>
      <c r="Z3365" s="124"/>
    </row>
    <row r="3366">
      <c r="A3366" s="124"/>
      <c r="B3366" s="124"/>
      <c r="C3366" s="147"/>
      <c r="D3366" s="124"/>
      <c r="E3366" s="124"/>
      <c r="F3366" s="124"/>
      <c r="G3366" s="124"/>
      <c r="H3366" s="124"/>
      <c r="I3366" s="124"/>
      <c r="J3366" s="124"/>
      <c r="K3366" s="124"/>
      <c r="L3366" s="124"/>
      <c r="M3366" s="124"/>
      <c r="N3366" s="124"/>
      <c r="O3366" s="124"/>
      <c r="P3366" s="124"/>
      <c r="Q3366" s="124"/>
      <c r="R3366" s="124"/>
      <c r="S3366" s="124"/>
      <c r="T3366" s="124"/>
      <c r="U3366" s="124"/>
      <c r="V3366" s="124"/>
      <c r="W3366" s="124"/>
      <c r="X3366" s="124"/>
      <c r="Y3366" s="124"/>
      <c r="Z3366" s="124"/>
    </row>
    <row r="3367">
      <c r="A3367" s="124"/>
      <c r="B3367" s="124"/>
      <c r="C3367" s="147"/>
      <c r="D3367" s="124"/>
      <c r="E3367" s="124"/>
      <c r="F3367" s="124"/>
      <c r="G3367" s="124"/>
      <c r="H3367" s="124"/>
      <c r="I3367" s="124"/>
      <c r="J3367" s="124"/>
      <c r="K3367" s="124"/>
      <c r="L3367" s="124"/>
      <c r="M3367" s="124"/>
      <c r="N3367" s="124"/>
      <c r="O3367" s="124"/>
      <c r="P3367" s="124"/>
      <c r="Q3367" s="124"/>
      <c r="R3367" s="124"/>
      <c r="S3367" s="124"/>
      <c r="T3367" s="124"/>
      <c r="U3367" s="124"/>
      <c r="V3367" s="124"/>
      <c r="W3367" s="124"/>
      <c r="X3367" s="124"/>
      <c r="Y3367" s="124"/>
      <c r="Z3367" s="124"/>
    </row>
    <row r="3368">
      <c r="A3368" s="124"/>
      <c r="B3368" s="124"/>
      <c r="C3368" s="147"/>
      <c r="D3368" s="124"/>
      <c r="E3368" s="124"/>
      <c r="F3368" s="124"/>
      <c r="G3368" s="124"/>
      <c r="H3368" s="124"/>
      <c r="I3368" s="124"/>
      <c r="J3368" s="124"/>
      <c r="K3368" s="124"/>
      <c r="L3368" s="124"/>
      <c r="M3368" s="124"/>
      <c r="N3368" s="124"/>
      <c r="O3368" s="124"/>
      <c r="P3368" s="124"/>
      <c r="Q3368" s="124"/>
      <c r="R3368" s="124"/>
      <c r="S3368" s="124"/>
      <c r="T3368" s="124"/>
      <c r="U3368" s="124"/>
      <c r="V3368" s="124"/>
      <c r="W3368" s="124"/>
      <c r="X3368" s="124"/>
      <c r="Y3368" s="124"/>
      <c r="Z3368" s="124"/>
    </row>
    <row r="3369">
      <c r="A3369" s="124"/>
      <c r="B3369" s="124"/>
      <c r="C3369" s="147"/>
      <c r="D3369" s="124"/>
      <c r="E3369" s="124"/>
      <c r="F3369" s="124"/>
      <c r="G3369" s="124"/>
      <c r="H3369" s="124"/>
      <c r="I3369" s="124"/>
      <c r="J3369" s="124"/>
      <c r="K3369" s="124"/>
      <c r="L3369" s="124"/>
      <c r="M3369" s="124"/>
      <c r="N3369" s="124"/>
      <c r="O3369" s="124"/>
      <c r="P3369" s="124"/>
      <c r="Q3369" s="124"/>
      <c r="R3369" s="124"/>
      <c r="S3369" s="124"/>
      <c r="T3369" s="124"/>
      <c r="U3369" s="124"/>
      <c r="V3369" s="124"/>
      <c r="W3369" s="124"/>
      <c r="X3369" s="124"/>
      <c r="Y3369" s="124"/>
      <c r="Z3369" s="124"/>
    </row>
    <row r="3370">
      <c r="A3370" s="124"/>
      <c r="B3370" s="124"/>
      <c r="C3370" s="147"/>
      <c r="D3370" s="124"/>
      <c r="E3370" s="124"/>
      <c r="F3370" s="124"/>
      <c r="G3370" s="124"/>
      <c r="H3370" s="124"/>
      <c r="I3370" s="124"/>
      <c r="J3370" s="124"/>
      <c r="K3370" s="124"/>
      <c r="L3370" s="124"/>
      <c r="M3370" s="124"/>
      <c r="N3370" s="124"/>
      <c r="O3370" s="124"/>
      <c r="P3370" s="124"/>
      <c r="Q3370" s="124"/>
      <c r="R3370" s="124"/>
      <c r="S3370" s="124"/>
      <c r="T3370" s="124"/>
      <c r="U3370" s="124"/>
      <c r="V3370" s="124"/>
      <c r="W3370" s="124"/>
      <c r="X3370" s="124"/>
      <c r="Y3370" s="124"/>
      <c r="Z3370" s="124"/>
    </row>
    <row r="3371">
      <c r="A3371" s="124"/>
      <c r="B3371" s="124"/>
      <c r="C3371" s="147"/>
      <c r="D3371" s="124"/>
      <c r="E3371" s="124"/>
      <c r="F3371" s="124"/>
      <c r="G3371" s="124"/>
      <c r="H3371" s="124"/>
      <c r="I3371" s="124"/>
      <c r="J3371" s="124"/>
      <c r="K3371" s="124"/>
      <c r="L3371" s="124"/>
      <c r="M3371" s="124"/>
      <c r="N3371" s="124"/>
      <c r="O3371" s="124"/>
      <c r="P3371" s="124"/>
      <c r="Q3371" s="124"/>
      <c r="R3371" s="124"/>
      <c r="S3371" s="124"/>
      <c r="T3371" s="124"/>
      <c r="U3371" s="124"/>
      <c r="V3371" s="124"/>
      <c r="W3371" s="124"/>
      <c r="X3371" s="124"/>
      <c r="Y3371" s="124"/>
      <c r="Z3371" s="124"/>
    </row>
    <row r="3372">
      <c r="A3372" s="124"/>
      <c r="B3372" s="124"/>
      <c r="C3372" s="147"/>
      <c r="D3372" s="124"/>
      <c r="E3372" s="124"/>
      <c r="F3372" s="124"/>
      <c r="G3372" s="124"/>
      <c r="H3372" s="124"/>
      <c r="I3372" s="124"/>
      <c r="J3372" s="124"/>
      <c r="K3372" s="124"/>
      <c r="L3372" s="124"/>
      <c r="M3372" s="124"/>
      <c r="N3372" s="124"/>
      <c r="O3372" s="124"/>
      <c r="P3372" s="124"/>
      <c r="Q3372" s="124"/>
      <c r="R3372" s="124"/>
      <c r="S3372" s="124"/>
      <c r="T3372" s="124"/>
      <c r="U3372" s="124"/>
      <c r="V3372" s="124"/>
      <c r="W3372" s="124"/>
      <c r="X3372" s="124"/>
      <c r="Y3372" s="124"/>
      <c r="Z3372" s="124"/>
    </row>
    <row r="3373">
      <c r="A3373" s="124"/>
      <c r="B3373" s="124"/>
      <c r="C3373" s="147"/>
      <c r="D3373" s="124"/>
      <c r="E3373" s="124"/>
      <c r="F3373" s="124"/>
      <c r="G3373" s="124"/>
      <c r="H3373" s="124"/>
      <c r="I3373" s="124"/>
      <c r="J3373" s="124"/>
      <c r="K3373" s="124"/>
      <c r="L3373" s="124"/>
      <c r="M3373" s="124"/>
      <c r="N3373" s="124"/>
      <c r="O3373" s="124"/>
      <c r="P3373" s="124"/>
      <c r="Q3373" s="124"/>
      <c r="R3373" s="124"/>
      <c r="S3373" s="124"/>
      <c r="T3373" s="124"/>
      <c r="U3373" s="124"/>
      <c r="V3373" s="124"/>
      <c r="W3373" s="124"/>
      <c r="X3373" s="124"/>
      <c r="Y3373" s="124"/>
      <c r="Z3373" s="124"/>
    </row>
    <row r="3374">
      <c r="A3374" s="124"/>
      <c r="B3374" s="124"/>
      <c r="C3374" s="147"/>
      <c r="D3374" s="124"/>
      <c r="E3374" s="124"/>
      <c r="F3374" s="124"/>
      <c r="G3374" s="124"/>
      <c r="H3374" s="124"/>
      <c r="I3374" s="124"/>
      <c r="J3374" s="124"/>
      <c r="K3374" s="124"/>
      <c r="L3374" s="124"/>
      <c r="M3374" s="124"/>
      <c r="N3374" s="124"/>
      <c r="O3374" s="124"/>
      <c r="P3374" s="124"/>
      <c r="Q3374" s="124"/>
      <c r="R3374" s="124"/>
      <c r="S3374" s="124"/>
      <c r="T3374" s="124"/>
      <c r="U3374" s="124"/>
      <c r="V3374" s="124"/>
      <c r="W3374" s="124"/>
      <c r="X3374" s="124"/>
      <c r="Y3374" s="124"/>
      <c r="Z3374" s="124"/>
    </row>
    <row r="3375">
      <c r="A3375" s="124"/>
      <c r="B3375" s="124"/>
      <c r="C3375" s="147"/>
      <c r="D3375" s="124"/>
      <c r="E3375" s="124"/>
      <c r="F3375" s="124"/>
      <c r="G3375" s="124"/>
      <c r="H3375" s="124"/>
      <c r="I3375" s="124"/>
      <c r="J3375" s="124"/>
      <c r="K3375" s="124"/>
      <c r="L3375" s="124"/>
      <c r="M3375" s="124"/>
      <c r="N3375" s="124"/>
      <c r="O3375" s="124"/>
      <c r="P3375" s="124"/>
      <c r="Q3375" s="124"/>
      <c r="R3375" s="124"/>
      <c r="S3375" s="124"/>
      <c r="T3375" s="124"/>
      <c r="U3375" s="124"/>
      <c r="V3375" s="124"/>
      <c r="W3375" s="124"/>
      <c r="X3375" s="124"/>
      <c r="Y3375" s="124"/>
      <c r="Z3375" s="124"/>
    </row>
    <row r="3376">
      <c r="A3376" s="124"/>
      <c r="B3376" s="124"/>
      <c r="C3376" s="147"/>
      <c r="D3376" s="124"/>
      <c r="E3376" s="124"/>
      <c r="F3376" s="124"/>
      <c r="G3376" s="124"/>
      <c r="H3376" s="124"/>
      <c r="I3376" s="124"/>
      <c r="J3376" s="124"/>
      <c r="K3376" s="124"/>
      <c r="L3376" s="124"/>
      <c r="M3376" s="124"/>
      <c r="N3376" s="124"/>
      <c r="O3376" s="124"/>
      <c r="P3376" s="124"/>
      <c r="Q3376" s="124"/>
      <c r="R3376" s="124"/>
      <c r="S3376" s="124"/>
      <c r="T3376" s="124"/>
      <c r="U3376" s="124"/>
      <c r="V3376" s="124"/>
      <c r="W3376" s="124"/>
      <c r="X3376" s="124"/>
      <c r="Y3376" s="124"/>
      <c r="Z3376" s="124"/>
    </row>
    <row r="3377">
      <c r="A3377" s="124"/>
      <c r="B3377" s="124"/>
      <c r="C3377" s="147"/>
      <c r="D3377" s="124"/>
      <c r="E3377" s="124"/>
      <c r="F3377" s="124"/>
      <c r="G3377" s="124"/>
      <c r="H3377" s="124"/>
      <c r="I3377" s="124"/>
      <c r="J3377" s="124"/>
      <c r="K3377" s="124"/>
      <c r="L3377" s="124"/>
      <c r="M3377" s="124"/>
      <c r="N3377" s="124"/>
      <c r="O3377" s="124"/>
      <c r="P3377" s="124"/>
      <c r="Q3377" s="124"/>
      <c r="R3377" s="124"/>
      <c r="S3377" s="124"/>
      <c r="T3377" s="124"/>
      <c r="U3377" s="124"/>
      <c r="V3377" s="124"/>
      <c r="W3377" s="124"/>
      <c r="X3377" s="124"/>
      <c r="Y3377" s="124"/>
      <c r="Z3377" s="124"/>
    </row>
    <row r="3378">
      <c r="A3378" s="124"/>
      <c r="B3378" s="124"/>
      <c r="C3378" s="147"/>
      <c r="D3378" s="124"/>
      <c r="E3378" s="124"/>
      <c r="F3378" s="124"/>
      <c r="G3378" s="124"/>
      <c r="H3378" s="124"/>
      <c r="I3378" s="124"/>
      <c r="J3378" s="124"/>
      <c r="K3378" s="124"/>
      <c r="L3378" s="124"/>
      <c r="M3378" s="124"/>
      <c r="N3378" s="124"/>
      <c r="O3378" s="124"/>
      <c r="P3378" s="124"/>
      <c r="Q3378" s="124"/>
      <c r="R3378" s="124"/>
      <c r="S3378" s="124"/>
      <c r="T3378" s="124"/>
      <c r="U3378" s="124"/>
      <c r="V3378" s="124"/>
      <c r="W3378" s="124"/>
      <c r="X3378" s="124"/>
      <c r="Y3378" s="124"/>
      <c r="Z3378" s="124"/>
    </row>
    <row r="3379">
      <c r="A3379" s="124"/>
      <c r="B3379" s="124"/>
      <c r="C3379" s="147"/>
      <c r="D3379" s="124"/>
      <c r="E3379" s="124"/>
      <c r="F3379" s="124"/>
      <c r="G3379" s="124"/>
      <c r="H3379" s="124"/>
      <c r="I3379" s="124"/>
      <c r="J3379" s="124"/>
      <c r="K3379" s="124"/>
      <c r="L3379" s="124"/>
      <c r="M3379" s="124"/>
      <c r="N3379" s="124"/>
      <c r="O3379" s="124"/>
      <c r="P3379" s="124"/>
      <c r="Q3379" s="124"/>
      <c r="R3379" s="124"/>
      <c r="S3379" s="124"/>
      <c r="T3379" s="124"/>
      <c r="U3379" s="124"/>
      <c r="V3379" s="124"/>
      <c r="W3379" s="124"/>
      <c r="X3379" s="124"/>
      <c r="Y3379" s="124"/>
      <c r="Z3379" s="124"/>
    </row>
    <row r="3380">
      <c r="A3380" s="124"/>
      <c r="B3380" s="124"/>
      <c r="C3380" s="147"/>
      <c r="D3380" s="124"/>
      <c r="E3380" s="124"/>
      <c r="F3380" s="124"/>
      <c r="G3380" s="124"/>
      <c r="H3380" s="124"/>
      <c r="I3380" s="124"/>
      <c r="J3380" s="124"/>
      <c r="K3380" s="124"/>
      <c r="L3380" s="124"/>
      <c r="M3380" s="124"/>
      <c r="N3380" s="124"/>
      <c r="O3380" s="124"/>
      <c r="P3380" s="124"/>
      <c r="Q3380" s="124"/>
      <c r="R3380" s="124"/>
      <c r="S3380" s="124"/>
      <c r="T3380" s="124"/>
      <c r="U3380" s="124"/>
      <c r="V3380" s="124"/>
      <c r="W3380" s="124"/>
      <c r="X3380" s="124"/>
      <c r="Y3380" s="124"/>
      <c r="Z3380" s="124"/>
    </row>
    <row r="3381">
      <c r="A3381" s="124"/>
      <c r="B3381" s="124"/>
      <c r="C3381" s="147"/>
      <c r="D3381" s="124"/>
      <c r="E3381" s="124"/>
      <c r="F3381" s="124"/>
      <c r="G3381" s="124"/>
      <c r="H3381" s="124"/>
      <c r="I3381" s="124"/>
      <c r="J3381" s="124"/>
      <c r="K3381" s="124"/>
      <c r="L3381" s="124"/>
      <c r="M3381" s="124"/>
      <c r="N3381" s="124"/>
      <c r="O3381" s="124"/>
      <c r="P3381" s="124"/>
      <c r="Q3381" s="124"/>
      <c r="R3381" s="124"/>
      <c r="S3381" s="124"/>
      <c r="T3381" s="124"/>
      <c r="U3381" s="124"/>
      <c r="V3381" s="124"/>
      <c r="W3381" s="124"/>
      <c r="X3381" s="124"/>
      <c r="Y3381" s="124"/>
      <c r="Z3381" s="124"/>
    </row>
    <row r="3382">
      <c r="A3382" s="124"/>
      <c r="B3382" s="124"/>
      <c r="C3382" s="147"/>
      <c r="D3382" s="124"/>
      <c r="E3382" s="124"/>
      <c r="F3382" s="124"/>
      <c r="G3382" s="124"/>
      <c r="H3382" s="124"/>
      <c r="I3382" s="124"/>
      <c r="J3382" s="124"/>
      <c r="K3382" s="124"/>
      <c r="L3382" s="124"/>
      <c r="M3382" s="124"/>
      <c r="N3382" s="124"/>
      <c r="O3382" s="124"/>
      <c r="P3382" s="124"/>
      <c r="Q3382" s="124"/>
      <c r="R3382" s="124"/>
      <c r="S3382" s="124"/>
      <c r="T3382" s="124"/>
      <c r="U3382" s="124"/>
      <c r="V3382" s="124"/>
      <c r="W3382" s="124"/>
      <c r="X3382" s="124"/>
      <c r="Y3382" s="124"/>
      <c r="Z3382" s="124"/>
    </row>
    <row r="3383">
      <c r="A3383" s="124"/>
      <c r="B3383" s="124"/>
      <c r="C3383" s="147"/>
      <c r="D3383" s="124"/>
      <c r="E3383" s="124"/>
      <c r="F3383" s="124"/>
      <c r="G3383" s="124"/>
      <c r="H3383" s="124"/>
      <c r="I3383" s="124"/>
      <c r="J3383" s="124"/>
      <c r="K3383" s="124"/>
      <c r="L3383" s="124"/>
      <c r="M3383" s="124"/>
      <c r="N3383" s="124"/>
      <c r="O3383" s="124"/>
      <c r="P3383" s="124"/>
      <c r="Q3383" s="124"/>
      <c r="R3383" s="124"/>
      <c r="S3383" s="124"/>
      <c r="T3383" s="124"/>
      <c r="U3383" s="124"/>
      <c r="V3383" s="124"/>
      <c r="W3383" s="124"/>
      <c r="X3383" s="124"/>
      <c r="Y3383" s="124"/>
      <c r="Z3383" s="124"/>
    </row>
    <row r="3384">
      <c r="A3384" s="124"/>
      <c r="B3384" s="124"/>
      <c r="C3384" s="147"/>
      <c r="D3384" s="124"/>
      <c r="E3384" s="124"/>
      <c r="F3384" s="124"/>
      <c r="G3384" s="124"/>
      <c r="H3384" s="124"/>
      <c r="I3384" s="124"/>
      <c r="J3384" s="124"/>
      <c r="K3384" s="124"/>
      <c r="L3384" s="124"/>
      <c r="M3384" s="124"/>
      <c r="N3384" s="124"/>
      <c r="O3384" s="124"/>
      <c r="P3384" s="124"/>
      <c r="Q3384" s="124"/>
      <c r="R3384" s="124"/>
      <c r="S3384" s="124"/>
      <c r="T3384" s="124"/>
      <c r="U3384" s="124"/>
      <c r="V3384" s="124"/>
      <c r="W3384" s="124"/>
      <c r="X3384" s="124"/>
      <c r="Y3384" s="124"/>
      <c r="Z3384" s="124"/>
    </row>
    <row r="3385">
      <c r="A3385" s="124"/>
      <c r="B3385" s="124"/>
      <c r="C3385" s="147"/>
      <c r="D3385" s="124"/>
      <c r="E3385" s="124"/>
      <c r="F3385" s="124"/>
      <c r="G3385" s="124"/>
      <c r="H3385" s="124"/>
      <c r="I3385" s="124"/>
      <c r="J3385" s="124"/>
      <c r="K3385" s="124"/>
      <c r="L3385" s="124"/>
      <c r="M3385" s="124"/>
      <c r="N3385" s="124"/>
      <c r="O3385" s="124"/>
      <c r="P3385" s="124"/>
      <c r="Q3385" s="124"/>
      <c r="R3385" s="124"/>
      <c r="S3385" s="124"/>
      <c r="T3385" s="124"/>
      <c r="U3385" s="124"/>
      <c r="V3385" s="124"/>
      <c r="W3385" s="124"/>
      <c r="X3385" s="124"/>
      <c r="Y3385" s="124"/>
      <c r="Z3385" s="124"/>
    </row>
    <row r="3386">
      <c r="A3386" s="124"/>
      <c r="B3386" s="124"/>
      <c r="C3386" s="147"/>
      <c r="D3386" s="124"/>
      <c r="E3386" s="124"/>
      <c r="F3386" s="124"/>
      <c r="G3386" s="124"/>
      <c r="H3386" s="124"/>
      <c r="I3386" s="124"/>
      <c r="J3386" s="124"/>
      <c r="K3386" s="124"/>
      <c r="L3386" s="124"/>
      <c r="M3386" s="124"/>
      <c r="N3386" s="124"/>
      <c r="O3386" s="124"/>
      <c r="P3386" s="124"/>
      <c r="Q3386" s="124"/>
      <c r="R3386" s="124"/>
      <c r="S3386" s="124"/>
      <c r="T3386" s="124"/>
      <c r="U3386" s="124"/>
      <c r="V3386" s="124"/>
      <c r="W3386" s="124"/>
      <c r="X3386" s="124"/>
      <c r="Y3386" s="124"/>
      <c r="Z3386" s="124"/>
    </row>
    <row r="3387">
      <c r="A3387" s="124"/>
      <c r="B3387" s="124"/>
      <c r="C3387" s="147"/>
      <c r="D3387" s="124"/>
      <c r="E3387" s="124"/>
      <c r="F3387" s="124"/>
      <c r="G3387" s="124"/>
      <c r="H3387" s="124"/>
      <c r="I3387" s="124"/>
      <c r="J3387" s="124"/>
      <c r="K3387" s="124"/>
      <c r="L3387" s="124"/>
      <c r="M3387" s="124"/>
      <c r="N3387" s="124"/>
      <c r="O3387" s="124"/>
      <c r="P3387" s="124"/>
      <c r="Q3387" s="124"/>
      <c r="R3387" s="124"/>
      <c r="S3387" s="124"/>
      <c r="T3387" s="124"/>
      <c r="U3387" s="124"/>
      <c r="V3387" s="124"/>
      <c r="W3387" s="124"/>
      <c r="X3387" s="124"/>
      <c r="Y3387" s="124"/>
      <c r="Z3387" s="124"/>
    </row>
    <row r="3388">
      <c r="A3388" s="124"/>
      <c r="B3388" s="124"/>
      <c r="C3388" s="147"/>
      <c r="D3388" s="124"/>
      <c r="E3388" s="124"/>
      <c r="F3388" s="124"/>
      <c r="G3388" s="124"/>
      <c r="H3388" s="124"/>
      <c r="I3388" s="124"/>
      <c r="J3388" s="124"/>
      <c r="K3388" s="124"/>
      <c r="L3388" s="124"/>
      <c r="M3388" s="124"/>
      <c r="N3388" s="124"/>
      <c r="O3388" s="124"/>
      <c r="P3388" s="124"/>
      <c r="Q3388" s="124"/>
      <c r="R3388" s="124"/>
      <c r="S3388" s="124"/>
      <c r="T3388" s="124"/>
      <c r="U3388" s="124"/>
      <c r="V3388" s="124"/>
      <c r="W3388" s="124"/>
      <c r="X3388" s="124"/>
      <c r="Y3388" s="124"/>
      <c r="Z3388" s="124"/>
    </row>
    <row r="3389">
      <c r="A3389" s="124"/>
      <c r="B3389" s="124"/>
      <c r="C3389" s="147"/>
      <c r="D3389" s="124"/>
      <c r="E3389" s="124"/>
      <c r="F3389" s="124"/>
      <c r="G3389" s="124"/>
      <c r="H3389" s="124"/>
      <c r="I3389" s="124"/>
      <c r="J3389" s="124"/>
      <c r="K3389" s="124"/>
      <c r="L3389" s="124"/>
      <c r="M3389" s="124"/>
      <c r="N3389" s="124"/>
      <c r="O3389" s="124"/>
      <c r="P3389" s="124"/>
      <c r="Q3389" s="124"/>
      <c r="R3389" s="124"/>
      <c r="S3389" s="124"/>
      <c r="T3389" s="124"/>
      <c r="U3389" s="124"/>
      <c r="V3389" s="124"/>
      <c r="W3389" s="124"/>
      <c r="X3389" s="124"/>
      <c r="Y3389" s="124"/>
      <c r="Z3389" s="124"/>
    </row>
    <row r="3390">
      <c r="A3390" s="124"/>
      <c r="B3390" s="124"/>
      <c r="C3390" s="147"/>
      <c r="D3390" s="124"/>
      <c r="E3390" s="124"/>
      <c r="F3390" s="124"/>
      <c r="G3390" s="124"/>
      <c r="H3390" s="124"/>
      <c r="I3390" s="124"/>
      <c r="J3390" s="124"/>
      <c r="K3390" s="124"/>
      <c r="L3390" s="124"/>
      <c r="M3390" s="124"/>
      <c r="N3390" s="124"/>
      <c r="O3390" s="124"/>
      <c r="P3390" s="124"/>
      <c r="Q3390" s="124"/>
      <c r="R3390" s="124"/>
      <c r="S3390" s="124"/>
      <c r="T3390" s="124"/>
      <c r="U3390" s="124"/>
      <c r="V3390" s="124"/>
      <c r="W3390" s="124"/>
      <c r="X3390" s="124"/>
      <c r="Y3390" s="124"/>
      <c r="Z3390" s="124"/>
    </row>
    <row r="3391">
      <c r="A3391" s="124"/>
      <c r="B3391" s="124"/>
      <c r="C3391" s="147"/>
      <c r="D3391" s="124"/>
      <c r="E3391" s="124"/>
      <c r="F3391" s="124"/>
      <c r="G3391" s="124"/>
      <c r="H3391" s="124"/>
      <c r="I3391" s="124"/>
      <c r="J3391" s="124"/>
      <c r="K3391" s="124"/>
      <c r="L3391" s="124"/>
      <c r="M3391" s="124"/>
      <c r="N3391" s="124"/>
      <c r="O3391" s="124"/>
      <c r="P3391" s="124"/>
      <c r="Q3391" s="124"/>
      <c r="R3391" s="124"/>
      <c r="S3391" s="124"/>
      <c r="T3391" s="124"/>
      <c r="U3391" s="124"/>
      <c r="V3391" s="124"/>
      <c r="W3391" s="124"/>
      <c r="X3391" s="124"/>
      <c r="Y3391" s="124"/>
      <c r="Z3391" s="124"/>
    </row>
    <row r="3392">
      <c r="A3392" s="124"/>
      <c r="B3392" s="124"/>
      <c r="C3392" s="147"/>
      <c r="D3392" s="124"/>
      <c r="E3392" s="124"/>
      <c r="F3392" s="124"/>
      <c r="G3392" s="124"/>
      <c r="H3392" s="124"/>
      <c r="I3392" s="124"/>
      <c r="J3392" s="124"/>
      <c r="K3392" s="124"/>
      <c r="L3392" s="124"/>
      <c r="M3392" s="124"/>
      <c r="N3392" s="124"/>
      <c r="O3392" s="124"/>
      <c r="P3392" s="124"/>
      <c r="Q3392" s="124"/>
      <c r="R3392" s="124"/>
      <c r="S3392" s="124"/>
      <c r="T3392" s="124"/>
      <c r="U3392" s="124"/>
      <c r="V3392" s="124"/>
      <c r="W3392" s="124"/>
      <c r="X3392" s="124"/>
      <c r="Y3392" s="124"/>
      <c r="Z3392" s="124"/>
    </row>
    <row r="3393">
      <c r="A3393" s="124"/>
      <c r="B3393" s="124"/>
      <c r="C3393" s="147"/>
      <c r="D3393" s="124"/>
      <c r="E3393" s="124"/>
      <c r="F3393" s="124"/>
      <c r="G3393" s="124"/>
      <c r="H3393" s="124"/>
      <c r="I3393" s="124"/>
      <c r="J3393" s="124"/>
      <c r="K3393" s="124"/>
      <c r="L3393" s="124"/>
      <c r="M3393" s="124"/>
      <c r="N3393" s="124"/>
      <c r="O3393" s="124"/>
      <c r="P3393" s="124"/>
      <c r="Q3393" s="124"/>
      <c r="R3393" s="124"/>
      <c r="S3393" s="124"/>
      <c r="T3393" s="124"/>
      <c r="U3393" s="124"/>
      <c r="V3393" s="124"/>
      <c r="W3393" s="124"/>
      <c r="X3393" s="124"/>
      <c r="Y3393" s="124"/>
      <c r="Z3393" s="124"/>
    </row>
    <row r="3394">
      <c r="A3394" s="124"/>
      <c r="B3394" s="124"/>
      <c r="C3394" s="147"/>
      <c r="D3394" s="124"/>
      <c r="E3394" s="124"/>
      <c r="F3394" s="124"/>
      <c r="G3394" s="124"/>
      <c r="H3394" s="124"/>
      <c r="I3394" s="124"/>
      <c r="J3394" s="124"/>
      <c r="K3394" s="124"/>
      <c r="L3394" s="124"/>
      <c r="M3394" s="124"/>
      <c r="N3394" s="124"/>
      <c r="O3394" s="124"/>
      <c r="P3394" s="124"/>
      <c r="Q3394" s="124"/>
      <c r="R3394" s="124"/>
      <c r="S3394" s="124"/>
      <c r="T3394" s="124"/>
      <c r="U3394" s="124"/>
      <c r="V3394" s="124"/>
      <c r="W3394" s="124"/>
      <c r="X3394" s="124"/>
      <c r="Y3394" s="124"/>
      <c r="Z3394" s="124"/>
    </row>
    <row r="3395">
      <c r="A3395" s="124"/>
      <c r="B3395" s="124"/>
      <c r="C3395" s="147"/>
      <c r="D3395" s="124"/>
      <c r="E3395" s="124"/>
      <c r="F3395" s="124"/>
      <c r="G3395" s="124"/>
      <c r="H3395" s="124"/>
      <c r="I3395" s="124"/>
      <c r="J3395" s="124"/>
      <c r="K3395" s="124"/>
      <c r="L3395" s="124"/>
      <c r="M3395" s="124"/>
      <c r="N3395" s="124"/>
      <c r="O3395" s="124"/>
      <c r="P3395" s="124"/>
      <c r="Q3395" s="124"/>
      <c r="R3395" s="124"/>
      <c r="S3395" s="124"/>
      <c r="T3395" s="124"/>
      <c r="U3395" s="124"/>
      <c r="V3395" s="124"/>
      <c r="W3395" s="124"/>
      <c r="X3395" s="124"/>
      <c r="Y3395" s="124"/>
      <c r="Z3395" s="124"/>
    </row>
    <row r="3396">
      <c r="A3396" s="124"/>
      <c r="B3396" s="124"/>
      <c r="C3396" s="147"/>
      <c r="D3396" s="124"/>
      <c r="E3396" s="124"/>
      <c r="F3396" s="124"/>
      <c r="G3396" s="124"/>
      <c r="H3396" s="124"/>
      <c r="I3396" s="124"/>
      <c r="J3396" s="124"/>
      <c r="K3396" s="124"/>
      <c r="L3396" s="124"/>
      <c r="M3396" s="124"/>
      <c r="N3396" s="124"/>
      <c r="O3396" s="124"/>
      <c r="P3396" s="124"/>
      <c r="Q3396" s="124"/>
      <c r="R3396" s="124"/>
      <c r="S3396" s="124"/>
      <c r="T3396" s="124"/>
      <c r="U3396" s="124"/>
      <c r="V3396" s="124"/>
      <c r="W3396" s="124"/>
      <c r="X3396" s="124"/>
      <c r="Y3396" s="124"/>
      <c r="Z3396" s="124"/>
    </row>
    <row r="3397">
      <c r="A3397" s="124"/>
      <c r="B3397" s="124"/>
      <c r="C3397" s="147"/>
      <c r="D3397" s="124"/>
      <c r="E3397" s="124"/>
      <c r="F3397" s="124"/>
      <c r="G3397" s="124"/>
      <c r="H3397" s="124"/>
      <c r="I3397" s="124"/>
      <c r="J3397" s="124"/>
      <c r="K3397" s="124"/>
      <c r="L3397" s="124"/>
      <c r="M3397" s="124"/>
      <c r="N3397" s="124"/>
      <c r="O3397" s="124"/>
      <c r="P3397" s="124"/>
      <c r="Q3397" s="124"/>
      <c r="R3397" s="124"/>
      <c r="S3397" s="124"/>
      <c r="T3397" s="124"/>
      <c r="U3397" s="124"/>
      <c r="V3397" s="124"/>
      <c r="W3397" s="124"/>
      <c r="X3397" s="124"/>
      <c r="Y3397" s="124"/>
      <c r="Z3397" s="124"/>
    </row>
    <row r="3398">
      <c r="A3398" s="124"/>
      <c r="B3398" s="124"/>
      <c r="C3398" s="147"/>
      <c r="D3398" s="124"/>
      <c r="E3398" s="124"/>
      <c r="F3398" s="124"/>
      <c r="G3398" s="124"/>
      <c r="H3398" s="124"/>
      <c r="I3398" s="124"/>
      <c r="J3398" s="124"/>
      <c r="K3398" s="124"/>
      <c r="L3398" s="124"/>
      <c r="M3398" s="124"/>
      <c r="N3398" s="124"/>
      <c r="O3398" s="124"/>
      <c r="P3398" s="124"/>
      <c r="Q3398" s="124"/>
      <c r="R3398" s="124"/>
      <c r="S3398" s="124"/>
      <c r="T3398" s="124"/>
      <c r="U3398" s="124"/>
      <c r="V3398" s="124"/>
      <c r="W3398" s="124"/>
      <c r="X3398" s="124"/>
      <c r="Y3398" s="124"/>
      <c r="Z3398" s="124"/>
    </row>
    <row r="3399">
      <c r="A3399" s="124"/>
      <c r="B3399" s="124"/>
      <c r="C3399" s="147"/>
      <c r="D3399" s="124"/>
      <c r="E3399" s="124"/>
      <c r="F3399" s="124"/>
      <c r="G3399" s="124"/>
      <c r="H3399" s="124"/>
      <c r="I3399" s="124"/>
      <c r="J3399" s="124"/>
      <c r="K3399" s="124"/>
      <c r="L3399" s="124"/>
      <c r="M3399" s="124"/>
      <c r="N3399" s="124"/>
      <c r="O3399" s="124"/>
      <c r="P3399" s="124"/>
      <c r="Q3399" s="124"/>
      <c r="R3399" s="124"/>
      <c r="S3399" s="124"/>
      <c r="T3399" s="124"/>
      <c r="U3399" s="124"/>
      <c r="V3399" s="124"/>
      <c r="W3399" s="124"/>
      <c r="X3399" s="124"/>
      <c r="Y3399" s="124"/>
      <c r="Z3399" s="124"/>
    </row>
    <row r="3400">
      <c r="A3400" s="124"/>
      <c r="B3400" s="124"/>
      <c r="C3400" s="147"/>
      <c r="D3400" s="124"/>
      <c r="E3400" s="124"/>
      <c r="F3400" s="124"/>
      <c r="G3400" s="124"/>
      <c r="H3400" s="124"/>
      <c r="I3400" s="124"/>
      <c r="J3400" s="124"/>
      <c r="K3400" s="124"/>
      <c r="L3400" s="124"/>
      <c r="M3400" s="124"/>
      <c r="N3400" s="124"/>
      <c r="O3400" s="124"/>
      <c r="P3400" s="124"/>
      <c r="Q3400" s="124"/>
      <c r="R3400" s="124"/>
      <c r="S3400" s="124"/>
      <c r="T3400" s="124"/>
      <c r="U3400" s="124"/>
      <c r="V3400" s="124"/>
      <c r="W3400" s="124"/>
      <c r="X3400" s="124"/>
      <c r="Y3400" s="124"/>
      <c r="Z3400" s="124"/>
    </row>
    <row r="3401">
      <c r="A3401" s="124"/>
      <c r="B3401" s="124"/>
      <c r="C3401" s="147"/>
      <c r="D3401" s="124"/>
      <c r="E3401" s="124"/>
      <c r="F3401" s="124"/>
      <c r="G3401" s="124"/>
      <c r="H3401" s="124"/>
      <c r="I3401" s="124"/>
      <c r="J3401" s="124"/>
      <c r="K3401" s="124"/>
      <c r="L3401" s="124"/>
      <c r="M3401" s="124"/>
      <c r="N3401" s="124"/>
      <c r="O3401" s="124"/>
      <c r="P3401" s="124"/>
      <c r="Q3401" s="124"/>
      <c r="R3401" s="124"/>
      <c r="S3401" s="124"/>
      <c r="T3401" s="124"/>
      <c r="U3401" s="124"/>
      <c r="V3401" s="124"/>
      <c r="W3401" s="124"/>
      <c r="X3401" s="124"/>
      <c r="Y3401" s="124"/>
      <c r="Z3401" s="124"/>
    </row>
    <row r="3402">
      <c r="A3402" s="124"/>
      <c r="B3402" s="124"/>
      <c r="C3402" s="147"/>
      <c r="D3402" s="124"/>
      <c r="E3402" s="124"/>
      <c r="F3402" s="124"/>
      <c r="G3402" s="124"/>
      <c r="H3402" s="124"/>
      <c r="I3402" s="124"/>
      <c r="J3402" s="124"/>
      <c r="K3402" s="124"/>
      <c r="L3402" s="124"/>
      <c r="M3402" s="124"/>
      <c r="N3402" s="124"/>
      <c r="O3402" s="124"/>
      <c r="P3402" s="124"/>
      <c r="Q3402" s="124"/>
      <c r="R3402" s="124"/>
      <c r="S3402" s="124"/>
      <c r="T3402" s="124"/>
      <c r="U3402" s="124"/>
      <c r="V3402" s="124"/>
      <c r="W3402" s="124"/>
      <c r="X3402" s="124"/>
      <c r="Y3402" s="124"/>
      <c r="Z3402" s="124"/>
    </row>
    <row r="3403">
      <c r="A3403" s="124"/>
      <c r="B3403" s="124"/>
      <c r="C3403" s="147"/>
      <c r="D3403" s="124"/>
      <c r="E3403" s="124"/>
      <c r="F3403" s="124"/>
      <c r="G3403" s="124"/>
      <c r="H3403" s="124"/>
      <c r="I3403" s="124"/>
      <c r="J3403" s="124"/>
      <c r="K3403" s="124"/>
      <c r="L3403" s="124"/>
      <c r="M3403" s="124"/>
      <c r="N3403" s="124"/>
      <c r="O3403" s="124"/>
      <c r="P3403" s="124"/>
      <c r="Q3403" s="124"/>
      <c r="R3403" s="124"/>
      <c r="S3403" s="124"/>
      <c r="T3403" s="124"/>
      <c r="U3403" s="124"/>
      <c r="V3403" s="124"/>
      <c r="W3403" s="124"/>
      <c r="X3403" s="124"/>
      <c r="Y3403" s="124"/>
      <c r="Z3403" s="124"/>
    </row>
    <row r="3404">
      <c r="A3404" s="124"/>
      <c r="B3404" s="124"/>
      <c r="C3404" s="147"/>
      <c r="D3404" s="124"/>
      <c r="E3404" s="124"/>
      <c r="F3404" s="124"/>
      <c r="G3404" s="124"/>
      <c r="H3404" s="124"/>
      <c r="I3404" s="124"/>
      <c r="J3404" s="124"/>
      <c r="K3404" s="124"/>
      <c r="L3404" s="124"/>
      <c r="M3404" s="124"/>
      <c r="N3404" s="124"/>
      <c r="O3404" s="124"/>
      <c r="P3404" s="124"/>
      <c r="Q3404" s="124"/>
      <c r="R3404" s="124"/>
      <c r="S3404" s="124"/>
      <c r="T3404" s="124"/>
      <c r="U3404" s="124"/>
      <c r="V3404" s="124"/>
      <c r="W3404" s="124"/>
      <c r="X3404" s="124"/>
      <c r="Y3404" s="124"/>
      <c r="Z3404" s="124"/>
    </row>
    <row r="3405">
      <c r="A3405" s="124"/>
      <c r="B3405" s="124"/>
      <c r="C3405" s="147"/>
      <c r="D3405" s="124"/>
      <c r="E3405" s="124"/>
      <c r="F3405" s="124"/>
      <c r="G3405" s="124"/>
      <c r="H3405" s="124"/>
      <c r="I3405" s="124"/>
      <c r="J3405" s="124"/>
      <c r="K3405" s="124"/>
      <c r="L3405" s="124"/>
      <c r="M3405" s="124"/>
      <c r="N3405" s="124"/>
      <c r="O3405" s="124"/>
      <c r="P3405" s="124"/>
      <c r="Q3405" s="124"/>
      <c r="R3405" s="124"/>
      <c r="S3405" s="124"/>
      <c r="T3405" s="124"/>
      <c r="U3405" s="124"/>
      <c r="V3405" s="124"/>
      <c r="W3405" s="124"/>
      <c r="X3405" s="124"/>
      <c r="Y3405" s="124"/>
      <c r="Z3405" s="124"/>
    </row>
    <row r="3406">
      <c r="A3406" s="124"/>
      <c r="B3406" s="124"/>
      <c r="C3406" s="147"/>
      <c r="D3406" s="124"/>
      <c r="E3406" s="124"/>
      <c r="F3406" s="124"/>
      <c r="G3406" s="124"/>
      <c r="H3406" s="124"/>
      <c r="I3406" s="124"/>
      <c r="J3406" s="124"/>
      <c r="K3406" s="124"/>
      <c r="L3406" s="124"/>
      <c r="M3406" s="124"/>
      <c r="N3406" s="124"/>
      <c r="O3406" s="124"/>
      <c r="P3406" s="124"/>
      <c r="Q3406" s="124"/>
      <c r="R3406" s="124"/>
      <c r="S3406" s="124"/>
      <c r="T3406" s="124"/>
      <c r="U3406" s="124"/>
      <c r="V3406" s="124"/>
      <c r="W3406" s="124"/>
      <c r="X3406" s="124"/>
      <c r="Y3406" s="124"/>
      <c r="Z3406" s="124"/>
    </row>
    <row r="3407">
      <c r="A3407" s="124"/>
      <c r="B3407" s="124"/>
      <c r="C3407" s="147"/>
      <c r="D3407" s="124"/>
      <c r="E3407" s="124"/>
      <c r="F3407" s="124"/>
      <c r="G3407" s="124"/>
      <c r="H3407" s="124"/>
      <c r="I3407" s="124"/>
      <c r="J3407" s="124"/>
      <c r="K3407" s="124"/>
      <c r="L3407" s="124"/>
      <c r="M3407" s="124"/>
      <c r="N3407" s="124"/>
      <c r="O3407" s="124"/>
      <c r="P3407" s="124"/>
      <c r="Q3407" s="124"/>
      <c r="R3407" s="124"/>
      <c r="S3407" s="124"/>
      <c r="T3407" s="124"/>
      <c r="U3407" s="124"/>
      <c r="V3407" s="124"/>
      <c r="W3407" s="124"/>
      <c r="X3407" s="124"/>
      <c r="Y3407" s="124"/>
      <c r="Z3407" s="124"/>
    </row>
    <row r="3408">
      <c r="A3408" s="124"/>
      <c r="B3408" s="124"/>
      <c r="C3408" s="147"/>
      <c r="D3408" s="124"/>
      <c r="E3408" s="124"/>
      <c r="F3408" s="124"/>
      <c r="G3408" s="124"/>
      <c r="H3408" s="124"/>
      <c r="I3408" s="124"/>
      <c r="J3408" s="124"/>
      <c r="K3408" s="124"/>
      <c r="L3408" s="124"/>
      <c r="M3408" s="124"/>
      <c r="N3408" s="124"/>
      <c r="O3408" s="124"/>
      <c r="P3408" s="124"/>
      <c r="Q3408" s="124"/>
      <c r="R3408" s="124"/>
      <c r="S3408" s="124"/>
      <c r="T3408" s="124"/>
      <c r="U3408" s="124"/>
      <c r="V3408" s="124"/>
      <c r="W3408" s="124"/>
      <c r="X3408" s="124"/>
      <c r="Y3408" s="124"/>
      <c r="Z3408" s="124"/>
    </row>
    <row r="3409">
      <c r="A3409" s="124"/>
      <c r="B3409" s="124"/>
      <c r="C3409" s="147"/>
      <c r="D3409" s="124"/>
      <c r="E3409" s="124"/>
      <c r="F3409" s="124"/>
      <c r="G3409" s="124"/>
      <c r="H3409" s="124"/>
      <c r="I3409" s="124"/>
      <c r="J3409" s="124"/>
      <c r="K3409" s="124"/>
      <c r="L3409" s="124"/>
      <c r="M3409" s="124"/>
      <c r="N3409" s="124"/>
      <c r="O3409" s="124"/>
      <c r="P3409" s="124"/>
      <c r="Q3409" s="124"/>
      <c r="R3409" s="124"/>
      <c r="S3409" s="124"/>
      <c r="T3409" s="124"/>
      <c r="U3409" s="124"/>
      <c r="V3409" s="124"/>
      <c r="W3409" s="124"/>
      <c r="X3409" s="124"/>
      <c r="Y3409" s="124"/>
      <c r="Z3409" s="124"/>
    </row>
    <row r="3410">
      <c r="A3410" s="124"/>
      <c r="B3410" s="124"/>
      <c r="C3410" s="147"/>
      <c r="D3410" s="124"/>
      <c r="E3410" s="124"/>
      <c r="F3410" s="124"/>
      <c r="G3410" s="124"/>
      <c r="H3410" s="124"/>
      <c r="I3410" s="124"/>
      <c r="J3410" s="124"/>
      <c r="K3410" s="124"/>
      <c r="L3410" s="124"/>
      <c r="M3410" s="124"/>
      <c r="N3410" s="124"/>
      <c r="O3410" s="124"/>
      <c r="P3410" s="124"/>
      <c r="Q3410" s="124"/>
      <c r="R3410" s="124"/>
      <c r="S3410" s="124"/>
      <c r="T3410" s="124"/>
      <c r="U3410" s="124"/>
      <c r="V3410" s="124"/>
      <c r="W3410" s="124"/>
      <c r="X3410" s="124"/>
      <c r="Y3410" s="124"/>
      <c r="Z3410" s="124"/>
    </row>
    <row r="3411">
      <c r="A3411" s="124"/>
      <c r="B3411" s="124"/>
      <c r="C3411" s="147"/>
      <c r="D3411" s="124"/>
      <c r="E3411" s="124"/>
      <c r="F3411" s="124"/>
      <c r="G3411" s="124"/>
      <c r="H3411" s="124"/>
      <c r="I3411" s="124"/>
      <c r="J3411" s="124"/>
      <c r="K3411" s="124"/>
      <c r="L3411" s="124"/>
      <c r="M3411" s="124"/>
      <c r="N3411" s="124"/>
      <c r="O3411" s="124"/>
      <c r="P3411" s="124"/>
      <c r="Q3411" s="124"/>
      <c r="R3411" s="124"/>
      <c r="S3411" s="124"/>
      <c r="T3411" s="124"/>
      <c r="U3411" s="124"/>
      <c r="V3411" s="124"/>
      <c r="W3411" s="124"/>
      <c r="X3411" s="124"/>
      <c r="Y3411" s="124"/>
      <c r="Z3411" s="124"/>
    </row>
    <row r="3412">
      <c r="A3412" s="124"/>
      <c r="B3412" s="124"/>
      <c r="C3412" s="147"/>
      <c r="D3412" s="124"/>
      <c r="E3412" s="124"/>
      <c r="F3412" s="124"/>
      <c r="G3412" s="124"/>
      <c r="H3412" s="124"/>
      <c r="I3412" s="124"/>
      <c r="J3412" s="124"/>
      <c r="K3412" s="124"/>
      <c r="L3412" s="124"/>
      <c r="M3412" s="124"/>
      <c r="N3412" s="124"/>
      <c r="O3412" s="124"/>
      <c r="P3412" s="124"/>
      <c r="Q3412" s="124"/>
      <c r="R3412" s="124"/>
      <c r="S3412" s="124"/>
      <c r="T3412" s="124"/>
      <c r="U3412" s="124"/>
      <c r="V3412" s="124"/>
      <c r="W3412" s="124"/>
      <c r="X3412" s="124"/>
      <c r="Y3412" s="124"/>
      <c r="Z3412" s="124"/>
    </row>
    <row r="3413">
      <c r="A3413" s="124"/>
      <c r="B3413" s="124"/>
      <c r="C3413" s="147"/>
      <c r="D3413" s="124"/>
      <c r="E3413" s="124"/>
      <c r="F3413" s="124"/>
      <c r="G3413" s="124"/>
      <c r="H3413" s="124"/>
      <c r="I3413" s="124"/>
      <c r="J3413" s="124"/>
      <c r="K3413" s="124"/>
      <c r="L3413" s="124"/>
      <c r="M3413" s="124"/>
      <c r="N3413" s="124"/>
      <c r="O3413" s="124"/>
      <c r="P3413" s="124"/>
      <c r="Q3413" s="124"/>
      <c r="R3413" s="124"/>
      <c r="S3413" s="124"/>
      <c r="T3413" s="124"/>
      <c r="U3413" s="124"/>
      <c r="V3413" s="124"/>
      <c r="W3413" s="124"/>
      <c r="X3413" s="124"/>
      <c r="Y3413" s="124"/>
      <c r="Z3413" s="124"/>
    </row>
    <row r="3414">
      <c r="A3414" s="124"/>
      <c r="B3414" s="124"/>
      <c r="C3414" s="147"/>
      <c r="D3414" s="124"/>
      <c r="E3414" s="124"/>
      <c r="F3414" s="124"/>
      <c r="G3414" s="124"/>
      <c r="H3414" s="124"/>
      <c r="I3414" s="124"/>
      <c r="J3414" s="124"/>
      <c r="K3414" s="124"/>
      <c r="L3414" s="124"/>
      <c r="M3414" s="124"/>
      <c r="N3414" s="124"/>
      <c r="O3414" s="124"/>
      <c r="P3414" s="124"/>
      <c r="Q3414" s="124"/>
      <c r="R3414" s="124"/>
      <c r="S3414" s="124"/>
      <c r="T3414" s="124"/>
      <c r="U3414" s="124"/>
      <c r="V3414" s="124"/>
      <c r="W3414" s="124"/>
      <c r="X3414" s="124"/>
      <c r="Y3414" s="124"/>
      <c r="Z3414" s="124"/>
    </row>
    <row r="3415">
      <c r="A3415" s="124"/>
      <c r="B3415" s="124"/>
      <c r="C3415" s="147"/>
      <c r="D3415" s="124"/>
      <c r="E3415" s="124"/>
      <c r="F3415" s="124"/>
      <c r="G3415" s="124"/>
      <c r="H3415" s="124"/>
      <c r="I3415" s="124"/>
      <c r="J3415" s="124"/>
      <c r="K3415" s="124"/>
      <c r="L3415" s="124"/>
      <c r="M3415" s="124"/>
      <c r="N3415" s="124"/>
      <c r="O3415" s="124"/>
      <c r="P3415" s="124"/>
      <c r="Q3415" s="124"/>
      <c r="R3415" s="124"/>
      <c r="S3415" s="124"/>
      <c r="T3415" s="124"/>
      <c r="U3415" s="124"/>
      <c r="V3415" s="124"/>
      <c r="W3415" s="124"/>
      <c r="X3415" s="124"/>
      <c r="Y3415" s="124"/>
      <c r="Z3415" s="124"/>
    </row>
    <row r="3416">
      <c r="A3416" s="124"/>
      <c r="B3416" s="124"/>
      <c r="C3416" s="147"/>
      <c r="D3416" s="124"/>
      <c r="E3416" s="124"/>
      <c r="F3416" s="124"/>
      <c r="G3416" s="124"/>
      <c r="H3416" s="124"/>
      <c r="I3416" s="124"/>
      <c r="J3416" s="124"/>
      <c r="K3416" s="124"/>
      <c r="L3416" s="124"/>
      <c r="M3416" s="124"/>
      <c r="N3416" s="124"/>
      <c r="O3416" s="124"/>
      <c r="P3416" s="124"/>
      <c r="Q3416" s="124"/>
      <c r="R3416" s="124"/>
      <c r="S3416" s="124"/>
      <c r="T3416" s="124"/>
      <c r="U3416" s="124"/>
      <c r="V3416" s="124"/>
      <c r="W3416" s="124"/>
      <c r="X3416" s="124"/>
      <c r="Y3416" s="124"/>
      <c r="Z3416" s="124"/>
    </row>
    <row r="3417">
      <c r="A3417" s="124"/>
      <c r="B3417" s="124"/>
      <c r="C3417" s="147"/>
      <c r="D3417" s="124"/>
      <c r="E3417" s="124"/>
      <c r="F3417" s="124"/>
      <c r="G3417" s="124"/>
      <c r="H3417" s="124"/>
      <c r="I3417" s="124"/>
      <c r="J3417" s="124"/>
      <c r="K3417" s="124"/>
      <c r="L3417" s="124"/>
      <c r="M3417" s="124"/>
      <c r="N3417" s="124"/>
      <c r="O3417" s="124"/>
      <c r="P3417" s="124"/>
      <c r="Q3417" s="124"/>
      <c r="R3417" s="124"/>
      <c r="S3417" s="124"/>
      <c r="T3417" s="124"/>
      <c r="U3417" s="124"/>
      <c r="V3417" s="124"/>
      <c r="W3417" s="124"/>
      <c r="X3417" s="124"/>
      <c r="Y3417" s="124"/>
      <c r="Z3417" s="124"/>
    </row>
    <row r="3418">
      <c r="A3418" s="124"/>
      <c r="B3418" s="124"/>
      <c r="C3418" s="147"/>
      <c r="D3418" s="124"/>
      <c r="E3418" s="124"/>
      <c r="F3418" s="124"/>
      <c r="G3418" s="124"/>
      <c r="H3418" s="124"/>
      <c r="I3418" s="124"/>
      <c r="J3418" s="124"/>
      <c r="K3418" s="124"/>
      <c r="L3418" s="124"/>
      <c r="M3418" s="124"/>
      <c r="N3418" s="124"/>
      <c r="O3418" s="124"/>
      <c r="P3418" s="124"/>
      <c r="Q3418" s="124"/>
      <c r="R3418" s="124"/>
      <c r="S3418" s="124"/>
      <c r="T3418" s="124"/>
      <c r="U3418" s="124"/>
      <c r="V3418" s="124"/>
      <c r="W3418" s="124"/>
      <c r="X3418" s="124"/>
      <c r="Y3418" s="124"/>
      <c r="Z3418" s="124"/>
    </row>
    <row r="3419">
      <c r="A3419" s="124"/>
      <c r="B3419" s="124"/>
      <c r="C3419" s="147"/>
      <c r="D3419" s="124"/>
      <c r="E3419" s="124"/>
      <c r="F3419" s="124"/>
      <c r="G3419" s="124"/>
      <c r="H3419" s="124"/>
      <c r="I3419" s="124"/>
      <c r="J3419" s="124"/>
      <c r="K3419" s="124"/>
      <c r="L3419" s="124"/>
      <c r="M3419" s="124"/>
      <c r="N3419" s="124"/>
      <c r="O3419" s="124"/>
      <c r="P3419" s="124"/>
      <c r="Q3419" s="124"/>
      <c r="R3419" s="124"/>
      <c r="S3419" s="124"/>
      <c r="T3419" s="124"/>
      <c r="U3419" s="124"/>
      <c r="V3419" s="124"/>
      <c r="W3419" s="124"/>
      <c r="X3419" s="124"/>
      <c r="Y3419" s="124"/>
      <c r="Z3419" s="124"/>
    </row>
    <row r="3420">
      <c r="A3420" s="124"/>
      <c r="B3420" s="124"/>
      <c r="C3420" s="147"/>
      <c r="D3420" s="124"/>
      <c r="E3420" s="124"/>
      <c r="F3420" s="124"/>
      <c r="G3420" s="124"/>
      <c r="H3420" s="124"/>
      <c r="I3420" s="124"/>
      <c r="J3420" s="124"/>
      <c r="K3420" s="124"/>
      <c r="L3420" s="124"/>
      <c r="M3420" s="124"/>
      <c r="N3420" s="124"/>
      <c r="O3420" s="124"/>
      <c r="P3420" s="124"/>
      <c r="Q3420" s="124"/>
      <c r="R3420" s="124"/>
      <c r="S3420" s="124"/>
      <c r="T3420" s="124"/>
      <c r="U3420" s="124"/>
      <c r="V3420" s="124"/>
      <c r="W3420" s="124"/>
      <c r="X3420" s="124"/>
      <c r="Y3420" s="124"/>
      <c r="Z3420" s="124"/>
    </row>
    <row r="3421">
      <c r="A3421" s="124"/>
      <c r="B3421" s="124"/>
      <c r="C3421" s="147"/>
      <c r="D3421" s="124"/>
      <c r="E3421" s="124"/>
      <c r="F3421" s="124"/>
      <c r="G3421" s="124"/>
      <c r="H3421" s="124"/>
      <c r="I3421" s="124"/>
      <c r="J3421" s="124"/>
      <c r="K3421" s="124"/>
      <c r="L3421" s="124"/>
      <c r="M3421" s="124"/>
      <c r="N3421" s="124"/>
      <c r="O3421" s="124"/>
      <c r="P3421" s="124"/>
      <c r="Q3421" s="124"/>
      <c r="R3421" s="124"/>
      <c r="S3421" s="124"/>
      <c r="T3421" s="124"/>
      <c r="U3421" s="124"/>
      <c r="V3421" s="124"/>
      <c r="W3421" s="124"/>
      <c r="X3421" s="124"/>
      <c r="Y3421" s="124"/>
      <c r="Z3421" s="124"/>
    </row>
    <row r="3422">
      <c r="A3422" s="124"/>
      <c r="B3422" s="124"/>
      <c r="C3422" s="147"/>
      <c r="D3422" s="124"/>
      <c r="E3422" s="124"/>
      <c r="F3422" s="124"/>
      <c r="G3422" s="124"/>
      <c r="H3422" s="124"/>
      <c r="I3422" s="124"/>
      <c r="J3422" s="124"/>
      <c r="K3422" s="124"/>
      <c r="L3422" s="124"/>
      <c r="M3422" s="124"/>
      <c r="N3422" s="124"/>
      <c r="O3422" s="124"/>
      <c r="P3422" s="124"/>
      <c r="Q3422" s="124"/>
      <c r="R3422" s="124"/>
      <c r="S3422" s="124"/>
      <c r="T3422" s="124"/>
      <c r="U3422" s="124"/>
      <c r="V3422" s="124"/>
      <c r="W3422" s="124"/>
      <c r="X3422" s="124"/>
      <c r="Y3422" s="124"/>
      <c r="Z3422" s="124"/>
    </row>
    <row r="3423">
      <c r="A3423" s="124"/>
      <c r="B3423" s="124"/>
      <c r="C3423" s="147"/>
      <c r="D3423" s="124"/>
      <c r="E3423" s="124"/>
      <c r="F3423" s="124"/>
      <c r="G3423" s="124"/>
      <c r="H3423" s="124"/>
      <c r="I3423" s="124"/>
      <c r="J3423" s="124"/>
      <c r="K3423" s="124"/>
      <c r="L3423" s="124"/>
      <c r="M3423" s="124"/>
      <c r="N3423" s="124"/>
      <c r="O3423" s="124"/>
      <c r="P3423" s="124"/>
      <c r="Q3423" s="124"/>
      <c r="R3423" s="124"/>
      <c r="S3423" s="124"/>
      <c r="T3423" s="124"/>
      <c r="U3423" s="124"/>
      <c r="V3423" s="124"/>
      <c r="W3423" s="124"/>
      <c r="X3423" s="124"/>
      <c r="Y3423" s="124"/>
      <c r="Z3423" s="124"/>
    </row>
    <row r="3424">
      <c r="A3424" s="124"/>
      <c r="B3424" s="124"/>
      <c r="C3424" s="147"/>
      <c r="D3424" s="124"/>
      <c r="E3424" s="124"/>
      <c r="F3424" s="124"/>
      <c r="G3424" s="124"/>
      <c r="H3424" s="124"/>
      <c r="I3424" s="124"/>
      <c r="J3424" s="124"/>
      <c r="K3424" s="124"/>
      <c r="L3424" s="124"/>
      <c r="M3424" s="124"/>
      <c r="N3424" s="124"/>
      <c r="O3424" s="124"/>
      <c r="P3424" s="124"/>
      <c r="Q3424" s="124"/>
      <c r="R3424" s="124"/>
      <c r="S3424" s="124"/>
      <c r="T3424" s="124"/>
      <c r="U3424" s="124"/>
      <c r="V3424" s="124"/>
      <c r="W3424" s="124"/>
      <c r="X3424" s="124"/>
      <c r="Y3424" s="124"/>
      <c r="Z3424" s="124"/>
    </row>
    <row r="3425">
      <c r="A3425" s="124"/>
      <c r="B3425" s="124"/>
      <c r="C3425" s="147"/>
      <c r="D3425" s="124"/>
      <c r="E3425" s="124"/>
      <c r="F3425" s="124"/>
      <c r="G3425" s="124"/>
      <c r="H3425" s="124"/>
      <c r="I3425" s="124"/>
      <c r="J3425" s="124"/>
      <c r="K3425" s="124"/>
      <c r="L3425" s="124"/>
      <c r="M3425" s="124"/>
      <c r="N3425" s="124"/>
      <c r="O3425" s="124"/>
      <c r="P3425" s="124"/>
      <c r="Q3425" s="124"/>
      <c r="R3425" s="124"/>
      <c r="S3425" s="124"/>
      <c r="T3425" s="124"/>
      <c r="U3425" s="124"/>
      <c r="V3425" s="124"/>
      <c r="W3425" s="124"/>
      <c r="X3425" s="124"/>
      <c r="Y3425" s="124"/>
      <c r="Z3425" s="124"/>
    </row>
    <row r="3426">
      <c r="A3426" s="124"/>
      <c r="B3426" s="124"/>
      <c r="C3426" s="147"/>
      <c r="D3426" s="124"/>
      <c r="E3426" s="124"/>
      <c r="F3426" s="124"/>
      <c r="G3426" s="124"/>
      <c r="H3426" s="124"/>
      <c r="I3426" s="124"/>
      <c r="J3426" s="124"/>
      <c r="K3426" s="124"/>
      <c r="L3426" s="124"/>
      <c r="M3426" s="124"/>
      <c r="N3426" s="124"/>
      <c r="O3426" s="124"/>
      <c r="P3426" s="124"/>
      <c r="Q3426" s="124"/>
      <c r="R3426" s="124"/>
      <c r="S3426" s="124"/>
      <c r="T3426" s="124"/>
      <c r="U3426" s="124"/>
      <c r="V3426" s="124"/>
      <c r="W3426" s="124"/>
      <c r="X3426" s="124"/>
      <c r="Y3426" s="124"/>
      <c r="Z3426" s="124"/>
    </row>
    <row r="3427">
      <c r="A3427" s="124"/>
      <c r="B3427" s="124"/>
      <c r="C3427" s="147"/>
      <c r="D3427" s="124"/>
      <c r="E3427" s="124"/>
      <c r="F3427" s="124"/>
      <c r="G3427" s="124"/>
      <c r="H3427" s="124"/>
      <c r="I3427" s="124"/>
      <c r="J3427" s="124"/>
      <c r="K3427" s="124"/>
      <c r="L3427" s="124"/>
      <c r="M3427" s="124"/>
      <c r="N3427" s="124"/>
      <c r="O3427" s="124"/>
      <c r="P3427" s="124"/>
      <c r="Q3427" s="124"/>
      <c r="R3427" s="124"/>
      <c r="S3427" s="124"/>
      <c r="T3427" s="124"/>
      <c r="U3427" s="124"/>
      <c r="V3427" s="124"/>
      <c r="W3427" s="124"/>
      <c r="X3427" s="124"/>
      <c r="Y3427" s="124"/>
      <c r="Z3427" s="124"/>
    </row>
    <row r="3428">
      <c r="A3428" s="124"/>
      <c r="B3428" s="124"/>
      <c r="C3428" s="147"/>
      <c r="D3428" s="124"/>
      <c r="E3428" s="124"/>
      <c r="F3428" s="124"/>
      <c r="G3428" s="124"/>
      <c r="H3428" s="124"/>
      <c r="I3428" s="124"/>
      <c r="J3428" s="124"/>
      <c r="K3428" s="124"/>
      <c r="L3428" s="124"/>
      <c r="M3428" s="124"/>
      <c r="N3428" s="124"/>
      <c r="O3428" s="124"/>
      <c r="P3428" s="124"/>
      <c r="Q3428" s="124"/>
      <c r="R3428" s="124"/>
      <c r="S3428" s="124"/>
      <c r="T3428" s="124"/>
      <c r="U3428" s="124"/>
      <c r="V3428" s="124"/>
      <c r="W3428" s="124"/>
      <c r="X3428" s="124"/>
      <c r="Y3428" s="124"/>
      <c r="Z3428" s="124"/>
    </row>
    <row r="3429">
      <c r="A3429" s="124"/>
      <c r="B3429" s="124"/>
      <c r="C3429" s="147"/>
      <c r="D3429" s="124"/>
      <c r="E3429" s="124"/>
      <c r="F3429" s="124"/>
      <c r="G3429" s="124"/>
      <c r="H3429" s="124"/>
      <c r="I3429" s="124"/>
      <c r="J3429" s="124"/>
      <c r="K3429" s="124"/>
      <c r="L3429" s="124"/>
      <c r="M3429" s="124"/>
      <c r="N3429" s="124"/>
      <c r="O3429" s="124"/>
      <c r="P3429" s="124"/>
      <c r="Q3429" s="124"/>
      <c r="R3429" s="124"/>
      <c r="S3429" s="124"/>
      <c r="T3429" s="124"/>
      <c r="U3429" s="124"/>
      <c r="V3429" s="124"/>
      <c r="W3429" s="124"/>
      <c r="X3429" s="124"/>
      <c r="Y3429" s="124"/>
      <c r="Z3429" s="124"/>
    </row>
    <row r="3430">
      <c r="A3430" s="124"/>
      <c r="B3430" s="124"/>
      <c r="C3430" s="147"/>
      <c r="D3430" s="124"/>
      <c r="E3430" s="124"/>
      <c r="F3430" s="124"/>
      <c r="G3430" s="124"/>
      <c r="H3430" s="124"/>
      <c r="I3430" s="124"/>
      <c r="J3430" s="124"/>
      <c r="K3430" s="124"/>
      <c r="L3430" s="124"/>
      <c r="M3430" s="124"/>
      <c r="N3430" s="124"/>
      <c r="O3430" s="124"/>
      <c r="P3430" s="124"/>
      <c r="Q3430" s="124"/>
      <c r="R3430" s="124"/>
      <c r="S3430" s="124"/>
      <c r="T3430" s="124"/>
      <c r="U3430" s="124"/>
      <c r="V3430" s="124"/>
      <c r="W3430" s="124"/>
      <c r="X3430" s="124"/>
      <c r="Y3430" s="124"/>
      <c r="Z3430" s="124"/>
    </row>
    <row r="3431">
      <c r="A3431" s="124"/>
      <c r="B3431" s="124"/>
      <c r="C3431" s="147"/>
      <c r="D3431" s="124"/>
      <c r="E3431" s="124"/>
      <c r="F3431" s="124"/>
      <c r="G3431" s="124"/>
      <c r="H3431" s="124"/>
      <c r="I3431" s="124"/>
      <c r="J3431" s="124"/>
      <c r="K3431" s="124"/>
      <c r="L3431" s="124"/>
      <c r="M3431" s="124"/>
      <c r="N3431" s="124"/>
      <c r="O3431" s="124"/>
      <c r="P3431" s="124"/>
      <c r="Q3431" s="124"/>
      <c r="R3431" s="124"/>
      <c r="S3431" s="124"/>
      <c r="T3431" s="124"/>
      <c r="U3431" s="124"/>
      <c r="V3431" s="124"/>
      <c r="W3431" s="124"/>
      <c r="X3431" s="124"/>
      <c r="Y3431" s="124"/>
      <c r="Z3431" s="124"/>
    </row>
    <row r="3432">
      <c r="A3432" s="124"/>
      <c r="B3432" s="124"/>
      <c r="C3432" s="147"/>
      <c r="D3432" s="124"/>
      <c r="E3432" s="124"/>
      <c r="F3432" s="124"/>
      <c r="G3432" s="124"/>
      <c r="H3432" s="124"/>
      <c r="I3432" s="124"/>
      <c r="J3432" s="124"/>
      <c r="K3432" s="124"/>
      <c r="L3432" s="124"/>
      <c r="M3432" s="124"/>
      <c r="N3432" s="124"/>
      <c r="O3432" s="124"/>
      <c r="P3432" s="124"/>
      <c r="Q3432" s="124"/>
      <c r="R3432" s="124"/>
      <c r="S3432" s="124"/>
      <c r="T3432" s="124"/>
      <c r="U3432" s="124"/>
      <c r="V3432" s="124"/>
      <c r="W3432" s="124"/>
      <c r="X3432" s="124"/>
      <c r="Y3432" s="124"/>
      <c r="Z3432" s="124"/>
    </row>
    <row r="3433">
      <c r="A3433" s="124"/>
      <c r="B3433" s="124"/>
      <c r="C3433" s="147"/>
      <c r="D3433" s="124"/>
      <c r="E3433" s="124"/>
      <c r="F3433" s="124"/>
      <c r="G3433" s="124"/>
      <c r="H3433" s="124"/>
      <c r="I3433" s="124"/>
      <c r="J3433" s="124"/>
      <c r="K3433" s="124"/>
      <c r="L3433" s="124"/>
      <c r="M3433" s="124"/>
      <c r="N3433" s="124"/>
      <c r="O3433" s="124"/>
      <c r="P3433" s="124"/>
      <c r="Q3433" s="124"/>
      <c r="R3433" s="124"/>
      <c r="S3433" s="124"/>
      <c r="T3433" s="124"/>
      <c r="U3433" s="124"/>
      <c r="V3433" s="124"/>
      <c r="W3433" s="124"/>
      <c r="X3433" s="124"/>
      <c r="Y3433" s="124"/>
      <c r="Z3433" s="124"/>
    </row>
    <row r="3434">
      <c r="A3434" s="124"/>
      <c r="B3434" s="124"/>
      <c r="C3434" s="147"/>
      <c r="D3434" s="124"/>
      <c r="E3434" s="124"/>
      <c r="F3434" s="124"/>
      <c r="G3434" s="124"/>
      <c r="H3434" s="124"/>
      <c r="I3434" s="124"/>
      <c r="J3434" s="124"/>
      <c r="K3434" s="124"/>
      <c r="L3434" s="124"/>
      <c r="M3434" s="124"/>
      <c r="N3434" s="124"/>
      <c r="O3434" s="124"/>
      <c r="P3434" s="124"/>
      <c r="Q3434" s="124"/>
      <c r="R3434" s="124"/>
      <c r="S3434" s="124"/>
      <c r="T3434" s="124"/>
      <c r="U3434" s="124"/>
      <c r="V3434" s="124"/>
      <c r="W3434" s="124"/>
      <c r="X3434" s="124"/>
      <c r="Y3434" s="124"/>
      <c r="Z3434" s="124"/>
    </row>
    <row r="3435">
      <c r="A3435" s="124"/>
      <c r="B3435" s="124"/>
      <c r="C3435" s="147"/>
      <c r="D3435" s="124"/>
      <c r="E3435" s="124"/>
      <c r="F3435" s="124"/>
      <c r="G3435" s="124"/>
      <c r="H3435" s="124"/>
      <c r="I3435" s="124"/>
      <c r="J3435" s="124"/>
      <c r="K3435" s="124"/>
      <c r="L3435" s="124"/>
      <c r="M3435" s="124"/>
      <c r="N3435" s="124"/>
      <c r="O3435" s="124"/>
      <c r="P3435" s="124"/>
      <c r="Q3435" s="124"/>
      <c r="R3435" s="124"/>
      <c r="S3435" s="124"/>
      <c r="T3435" s="124"/>
      <c r="U3435" s="124"/>
      <c r="V3435" s="124"/>
      <c r="W3435" s="124"/>
      <c r="X3435" s="124"/>
      <c r="Y3435" s="124"/>
      <c r="Z3435" s="124"/>
    </row>
    <row r="3436">
      <c r="A3436" s="124"/>
      <c r="B3436" s="124"/>
      <c r="C3436" s="147"/>
      <c r="D3436" s="124"/>
      <c r="E3436" s="124"/>
      <c r="F3436" s="124"/>
      <c r="G3436" s="124"/>
      <c r="H3436" s="124"/>
      <c r="I3436" s="124"/>
      <c r="J3436" s="124"/>
      <c r="K3436" s="124"/>
      <c r="L3436" s="124"/>
      <c r="M3436" s="124"/>
      <c r="N3436" s="124"/>
      <c r="O3436" s="124"/>
      <c r="P3436" s="124"/>
      <c r="Q3436" s="124"/>
      <c r="R3436" s="124"/>
      <c r="S3436" s="124"/>
      <c r="T3436" s="124"/>
      <c r="U3436" s="124"/>
      <c r="V3436" s="124"/>
      <c r="W3436" s="124"/>
      <c r="X3436" s="124"/>
      <c r="Y3436" s="124"/>
      <c r="Z3436" s="124"/>
    </row>
    <row r="3437">
      <c r="A3437" s="124"/>
      <c r="B3437" s="124"/>
      <c r="C3437" s="147"/>
      <c r="D3437" s="124"/>
      <c r="E3437" s="124"/>
      <c r="F3437" s="124"/>
      <c r="G3437" s="124"/>
      <c r="H3437" s="124"/>
      <c r="I3437" s="124"/>
      <c r="J3437" s="124"/>
      <c r="K3437" s="124"/>
      <c r="L3437" s="124"/>
      <c r="M3437" s="124"/>
      <c r="N3437" s="124"/>
      <c r="O3437" s="124"/>
      <c r="P3437" s="124"/>
      <c r="Q3437" s="124"/>
      <c r="R3437" s="124"/>
      <c r="S3437" s="124"/>
      <c r="T3437" s="124"/>
      <c r="U3437" s="124"/>
      <c r="V3437" s="124"/>
      <c r="W3437" s="124"/>
      <c r="X3437" s="124"/>
      <c r="Y3437" s="124"/>
      <c r="Z3437" s="124"/>
    </row>
    <row r="3438">
      <c r="A3438" s="124"/>
      <c r="B3438" s="124"/>
      <c r="C3438" s="147"/>
      <c r="D3438" s="124"/>
      <c r="E3438" s="124"/>
      <c r="F3438" s="124"/>
      <c r="G3438" s="124"/>
      <c r="H3438" s="124"/>
      <c r="I3438" s="124"/>
      <c r="J3438" s="124"/>
      <c r="K3438" s="124"/>
      <c r="L3438" s="124"/>
      <c r="M3438" s="124"/>
      <c r="N3438" s="124"/>
      <c r="O3438" s="124"/>
      <c r="P3438" s="124"/>
      <c r="Q3438" s="124"/>
      <c r="R3438" s="124"/>
      <c r="S3438" s="124"/>
      <c r="T3438" s="124"/>
      <c r="U3438" s="124"/>
      <c r="V3438" s="124"/>
      <c r="W3438" s="124"/>
      <c r="X3438" s="124"/>
      <c r="Y3438" s="124"/>
      <c r="Z3438" s="124"/>
    </row>
    <row r="3439">
      <c r="A3439" s="124"/>
      <c r="B3439" s="124"/>
      <c r="C3439" s="147"/>
      <c r="D3439" s="124"/>
      <c r="E3439" s="124"/>
      <c r="F3439" s="124"/>
      <c r="G3439" s="124"/>
      <c r="H3439" s="124"/>
      <c r="I3439" s="124"/>
      <c r="J3439" s="124"/>
      <c r="K3439" s="124"/>
      <c r="L3439" s="124"/>
      <c r="M3439" s="124"/>
      <c r="N3439" s="124"/>
      <c r="O3439" s="124"/>
      <c r="P3439" s="124"/>
      <c r="Q3439" s="124"/>
      <c r="R3439" s="124"/>
      <c r="S3439" s="124"/>
      <c r="T3439" s="124"/>
      <c r="U3439" s="124"/>
      <c r="V3439" s="124"/>
      <c r="W3439" s="124"/>
      <c r="X3439" s="124"/>
      <c r="Y3439" s="124"/>
      <c r="Z3439" s="124"/>
    </row>
    <row r="3440">
      <c r="A3440" s="124"/>
      <c r="B3440" s="124"/>
      <c r="C3440" s="147"/>
      <c r="D3440" s="124"/>
      <c r="E3440" s="124"/>
      <c r="F3440" s="124"/>
      <c r="G3440" s="124"/>
      <c r="H3440" s="124"/>
      <c r="I3440" s="124"/>
      <c r="J3440" s="124"/>
      <c r="K3440" s="124"/>
      <c r="L3440" s="124"/>
      <c r="M3440" s="124"/>
      <c r="N3440" s="124"/>
      <c r="O3440" s="124"/>
      <c r="P3440" s="124"/>
      <c r="Q3440" s="124"/>
      <c r="R3440" s="124"/>
      <c r="S3440" s="124"/>
      <c r="T3440" s="124"/>
      <c r="U3440" s="124"/>
      <c r="V3440" s="124"/>
      <c r="W3440" s="124"/>
      <c r="X3440" s="124"/>
      <c r="Y3440" s="124"/>
      <c r="Z3440" s="124"/>
    </row>
    <row r="3441">
      <c r="A3441" s="124"/>
      <c r="B3441" s="124"/>
      <c r="C3441" s="147"/>
      <c r="D3441" s="124"/>
      <c r="E3441" s="124"/>
      <c r="F3441" s="124"/>
      <c r="G3441" s="124"/>
      <c r="H3441" s="124"/>
      <c r="I3441" s="124"/>
      <c r="J3441" s="124"/>
      <c r="K3441" s="124"/>
      <c r="L3441" s="124"/>
      <c r="M3441" s="124"/>
      <c r="N3441" s="124"/>
      <c r="O3441" s="124"/>
      <c r="P3441" s="124"/>
      <c r="Q3441" s="124"/>
      <c r="R3441" s="124"/>
      <c r="S3441" s="124"/>
      <c r="T3441" s="124"/>
      <c r="U3441" s="124"/>
      <c r="V3441" s="124"/>
      <c r="W3441" s="124"/>
      <c r="X3441" s="124"/>
      <c r="Y3441" s="124"/>
      <c r="Z3441" s="124"/>
    </row>
    <row r="3442">
      <c r="A3442" s="124"/>
      <c r="B3442" s="124"/>
      <c r="C3442" s="147"/>
      <c r="D3442" s="124"/>
      <c r="E3442" s="124"/>
      <c r="F3442" s="124"/>
      <c r="G3442" s="124"/>
      <c r="H3442" s="124"/>
      <c r="I3442" s="124"/>
      <c r="J3442" s="124"/>
      <c r="K3442" s="124"/>
      <c r="L3442" s="124"/>
      <c r="M3442" s="124"/>
      <c r="N3442" s="124"/>
      <c r="O3442" s="124"/>
      <c r="P3442" s="124"/>
      <c r="Q3442" s="124"/>
      <c r="R3442" s="124"/>
      <c r="S3442" s="124"/>
      <c r="T3442" s="124"/>
      <c r="U3442" s="124"/>
      <c r="V3442" s="124"/>
      <c r="W3442" s="124"/>
      <c r="X3442" s="124"/>
      <c r="Y3442" s="124"/>
      <c r="Z3442" s="124"/>
    </row>
    <row r="3443">
      <c r="A3443" s="124"/>
      <c r="B3443" s="124"/>
      <c r="C3443" s="147"/>
      <c r="D3443" s="124"/>
      <c r="E3443" s="124"/>
      <c r="F3443" s="124"/>
      <c r="G3443" s="124"/>
      <c r="H3443" s="124"/>
      <c r="I3443" s="124"/>
      <c r="J3443" s="124"/>
      <c r="K3443" s="124"/>
      <c r="L3443" s="124"/>
      <c r="M3443" s="124"/>
      <c r="N3443" s="124"/>
      <c r="O3443" s="124"/>
      <c r="P3443" s="124"/>
      <c r="Q3443" s="124"/>
      <c r="R3443" s="124"/>
      <c r="S3443" s="124"/>
      <c r="T3443" s="124"/>
      <c r="U3443" s="124"/>
      <c r="V3443" s="124"/>
      <c r="W3443" s="124"/>
      <c r="X3443" s="124"/>
      <c r="Y3443" s="124"/>
      <c r="Z3443" s="124"/>
    </row>
    <row r="3444">
      <c r="A3444" s="124"/>
      <c r="B3444" s="124"/>
      <c r="C3444" s="147"/>
      <c r="D3444" s="124"/>
      <c r="E3444" s="124"/>
      <c r="F3444" s="124"/>
      <c r="G3444" s="124"/>
      <c r="H3444" s="124"/>
      <c r="I3444" s="124"/>
      <c r="J3444" s="124"/>
      <c r="K3444" s="124"/>
      <c r="L3444" s="124"/>
      <c r="M3444" s="124"/>
      <c r="N3444" s="124"/>
      <c r="O3444" s="124"/>
      <c r="P3444" s="124"/>
      <c r="Q3444" s="124"/>
      <c r="R3444" s="124"/>
      <c r="S3444" s="124"/>
      <c r="T3444" s="124"/>
      <c r="U3444" s="124"/>
      <c r="V3444" s="124"/>
      <c r="W3444" s="124"/>
      <c r="X3444" s="124"/>
      <c r="Y3444" s="124"/>
      <c r="Z3444" s="124"/>
    </row>
    <row r="3445">
      <c r="A3445" s="124"/>
      <c r="B3445" s="124"/>
      <c r="C3445" s="147"/>
      <c r="D3445" s="124"/>
      <c r="E3445" s="124"/>
      <c r="F3445" s="124"/>
      <c r="G3445" s="124"/>
      <c r="H3445" s="124"/>
      <c r="I3445" s="124"/>
      <c r="J3445" s="124"/>
      <c r="K3445" s="124"/>
      <c r="L3445" s="124"/>
      <c r="M3445" s="124"/>
      <c r="N3445" s="124"/>
      <c r="O3445" s="124"/>
      <c r="P3445" s="124"/>
      <c r="Q3445" s="124"/>
      <c r="R3445" s="124"/>
      <c r="S3445" s="124"/>
      <c r="T3445" s="124"/>
      <c r="U3445" s="124"/>
      <c r="V3445" s="124"/>
      <c r="W3445" s="124"/>
      <c r="X3445" s="124"/>
      <c r="Y3445" s="124"/>
      <c r="Z3445" s="124"/>
    </row>
    <row r="3446">
      <c r="A3446" s="124"/>
      <c r="B3446" s="124"/>
      <c r="C3446" s="147"/>
      <c r="D3446" s="124"/>
      <c r="E3446" s="124"/>
      <c r="F3446" s="124"/>
      <c r="G3446" s="124"/>
      <c r="H3446" s="124"/>
      <c r="I3446" s="124"/>
      <c r="J3446" s="124"/>
      <c r="K3446" s="124"/>
      <c r="L3446" s="124"/>
      <c r="M3446" s="124"/>
      <c r="N3446" s="124"/>
      <c r="O3446" s="124"/>
      <c r="P3446" s="124"/>
      <c r="Q3446" s="124"/>
      <c r="R3446" s="124"/>
      <c r="S3446" s="124"/>
      <c r="T3446" s="124"/>
      <c r="U3446" s="124"/>
      <c r="V3446" s="124"/>
      <c r="W3446" s="124"/>
      <c r="X3446" s="124"/>
      <c r="Y3446" s="124"/>
      <c r="Z3446" s="124"/>
    </row>
    <row r="3447">
      <c r="A3447" s="124"/>
      <c r="B3447" s="124"/>
      <c r="C3447" s="147"/>
      <c r="D3447" s="124"/>
      <c r="E3447" s="124"/>
      <c r="F3447" s="124"/>
      <c r="G3447" s="124"/>
      <c r="H3447" s="124"/>
      <c r="I3447" s="124"/>
      <c r="J3447" s="124"/>
      <c r="K3447" s="124"/>
      <c r="L3447" s="124"/>
      <c r="M3447" s="124"/>
      <c r="N3447" s="124"/>
      <c r="O3447" s="124"/>
      <c r="P3447" s="124"/>
      <c r="Q3447" s="124"/>
      <c r="R3447" s="124"/>
      <c r="S3447" s="124"/>
      <c r="T3447" s="124"/>
      <c r="U3447" s="124"/>
      <c r="V3447" s="124"/>
      <c r="W3447" s="124"/>
      <c r="X3447" s="124"/>
      <c r="Y3447" s="124"/>
      <c r="Z3447" s="124"/>
    </row>
    <row r="3448">
      <c r="A3448" s="124"/>
      <c r="B3448" s="124"/>
      <c r="C3448" s="147"/>
      <c r="D3448" s="124"/>
      <c r="E3448" s="124"/>
      <c r="F3448" s="124"/>
      <c r="G3448" s="124"/>
      <c r="H3448" s="124"/>
      <c r="I3448" s="124"/>
      <c r="J3448" s="124"/>
      <c r="K3448" s="124"/>
      <c r="L3448" s="124"/>
      <c r="M3448" s="124"/>
      <c r="N3448" s="124"/>
      <c r="O3448" s="124"/>
      <c r="P3448" s="124"/>
      <c r="Q3448" s="124"/>
      <c r="R3448" s="124"/>
      <c r="S3448" s="124"/>
      <c r="T3448" s="124"/>
      <c r="U3448" s="124"/>
      <c r="V3448" s="124"/>
      <c r="W3448" s="124"/>
      <c r="X3448" s="124"/>
      <c r="Y3448" s="124"/>
      <c r="Z3448" s="124"/>
    </row>
    <row r="3449">
      <c r="A3449" s="124"/>
      <c r="B3449" s="124"/>
      <c r="C3449" s="147"/>
      <c r="D3449" s="124"/>
      <c r="E3449" s="124"/>
      <c r="F3449" s="124"/>
      <c r="G3449" s="124"/>
      <c r="H3449" s="124"/>
      <c r="I3449" s="124"/>
      <c r="J3449" s="124"/>
      <c r="K3449" s="124"/>
      <c r="L3449" s="124"/>
      <c r="M3449" s="124"/>
      <c r="N3449" s="124"/>
      <c r="O3449" s="124"/>
      <c r="P3449" s="124"/>
      <c r="Q3449" s="124"/>
      <c r="R3449" s="124"/>
      <c r="S3449" s="124"/>
      <c r="T3449" s="124"/>
      <c r="U3449" s="124"/>
      <c r="V3449" s="124"/>
      <c r="W3449" s="124"/>
      <c r="X3449" s="124"/>
      <c r="Y3449" s="124"/>
      <c r="Z3449" s="124"/>
    </row>
    <row r="3450">
      <c r="A3450" s="124"/>
      <c r="B3450" s="124"/>
      <c r="C3450" s="147"/>
      <c r="D3450" s="124"/>
      <c r="E3450" s="124"/>
      <c r="F3450" s="124"/>
      <c r="G3450" s="124"/>
      <c r="H3450" s="124"/>
      <c r="I3450" s="124"/>
      <c r="J3450" s="124"/>
      <c r="K3450" s="124"/>
      <c r="L3450" s="124"/>
      <c r="M3450" s="124"/>
      <c r="N3450" s="124"/>
      <c r="O3450" s="124"/>
      <c r="P3450" s="124"/>
      <c r="Q3450" s="124"/>
      <c r="R3450" s="124"/>
      <c r="S3450" s="124"/>
      <c r="T3450" s="124"/>
      <c r="U3450" s="124"/>
      <c r="V3450" s="124"/>
      <c r="W3450" s="124"/>
      <c r="X3450" s="124"/>
      <c r="Y3450" s="124"/>
      <c r="Z3450" s="124"/>
    </row>
    <row r="3451">
      <c r="A3451" s="124"/>
      <c r="B3451" s="124"/>
      <c r="C3451" s="147"/>
      <c r="D3451" s="124"/>
      <c r="E3451" s="124"/>
      <c r="F3451" s="124"/>
      <c r="G3451" s="124"/>
      <c r="H3451" s="124"/>
      <c r="I3451" s="124"/>
      <c r="J3451" s="124"/>
      <c r="K3451" s="124"/>
      <c r="L3451" s="124"/>
      <c r="M3451" s="124"/>
      <c r="N3451" s="124"/>
      <c r="O3451" s="124"/>
      <c r="P3451" s="124"/>
      <c r="Q3451" s="124"/>
      <c r="R3451" s="124"/>
      <c r="S3451" s="124"/>
      <c r="T3451" s="124"/>
      <c r="U3451" s="124"/>
      <c r="V3451" s="124"/>
      <c r="W3451" s="124"/>
      <c r="X3451" s="124"/>
      <c r="Y3451" s="124"/>
      <c r="Z3451" s="124"/>
    </row>
    <row r="3452">
      <c r="A3452" s="124"/>
      <c r="B3452" s="124"/>
      <c r="C3452" s="147"/>
      <c r="D3452" s="124"/>
      <c r="E3452" s="124"/>
      <c r="F3452" s="124"/>
      <c r="G3452" s="124"/>
      <c r="H3452" s="124"/>
      <c r="I3452" s="124"/>
      <c r="J3452" s="124"/>
      <c r="K3452" s="124"/>
      <c r="L3452" s="124"/>
      <c r="M3452" s="124"/>
      <c r="N3452" s="124"/>
      <c r="O3452" s="124"/>
      <c r="P3452" s="124"/>
      <c r="Q3452" s="124"/>
      <c r="R3452" s="124"/>
      <c r="S3452" s="124"/>
      <c r="T3452" s="124"/>
      <c r="U3452" s="124"/>
      <c r="V3452" s="124"/>
      <c r="W3452" s="124"/>
      <c r="X3452" s="124"/>
      <c r="Y3452" s="124"/>
      <c r="Z3452" s="124"/>
    </row>
    <row r="3453">
      <c r="A3453" s="124"/>
      <c r="B3453" s="124"/>
      <c r="C3453" s="147"/>
      <c r="D3453" s="124"/>
      <c r="E3453" s="124"/>
      <c r="F3453" s="124"/>
      <c r="G3453" s="124"/>
      <c r="H3453" s="124"/>
      <c r="I3453" s="124"/>
      <c r="J3453" s="124"/>
      <c r="K3453" s="124"/>
      <c r="L3453" s="124"/>
      <c r="M3453" s="124"/>
      <c r="N3453" s="124"/>
      <c r="O3453" s="124"/>
      <c r="P3453" s="124"/>
      <c r="Q3453" s="124"/>
      <c r="R3453" s="124"/>
      <c r="S3453" s="124"/>
      <c r="T3453" s="124"/>
      <c r="U3453" s="124"/>
      <c r="V3453" s="124"/>
      <c r="W3453" s="124"/>
      <c r="X3453" s="124"/>
      <c r="Y3453" s="124"/>
      <c r="Z3453" s="124"/>
    </row>
    <row r="3454">
      <c r="A3454" s="124"/>
      <c r="B3454" s="124"/>
      <c r="C3454" s="147"/>
      <c r="D3454" s="124"/>
      <c r="E3454" s="124"/>
      <c r="F3454" s="124"/>
      <c r="G3454" s="124"/>
      <c r="H3454" s="124"/>
      <c r="I3454" s="124"/>
      <c r="J3454" s="124"/>
      <c r="K3454" s="124"/>
      <c r="L3454" s="124"/>
      <c r="M3454" s="124"/>
      <c r="N3454" s="124"/>
      <c r="O3454" s="124"/>
      <c r="P3454" s="124"/>
      <c r="Q3454" s="124"/>
      <c r="R3454" s="124"/>
      <c r="S3454" s="124"/>
      <c r="T3454" s="124"/>
      <c r="U3454" s="124"/>
      <c r="V3454" s="124"/>
      <c r="W3454" s="124"/>
      <c r="X3454" s="124"/>
      <c r="Y3454" s="124"/>
      <c r="Z3454" s="124"/>
    </row>
    <row r="3455">
      <c r="A3455" s="124"/>
      <c r="B3455" s="124"/>
      <c r="C3455" s="147"/>
      <c r="D3455" s="124"/>
      <c r="E3455" s="124"/>
      <c r="F3455" s="124"/>
      <c r="G3455" s="124"/>
      <c r="H3455" s="124"/>
      <c r="I3455" s="124"/>
      <c r="J3455" s="124"/>
      <c r="K3455" s="124"/>
      <c r="L3455" s="124"/>
      <c r="M3455" s="124"/>
      <c r="N3455" s="124"/>
      <c r="O3455" s="124"/>
      <c r="P3455" s="124"/>
      <c r="Q3455" s="124"/>
      <c r="R3455" s="124"/>
      <c r="S3455" s="124"/>
      <c r="T3455" s="124"/>
      <c r="U3455" s="124"/>
      <c r="V3455" s="124"/>
      <c r="W3455" s="124"/>
      <c r="X3455" s="124"/>
      <c r="Y3455" s="124"/>
      <c r="Z3455" s="124"/>
    </row>
    <row r="3456">
      <c r="A3456" s="124"/>
      <c r="B3456" s="124"/>
      <c r="C3456" s="147"/>
      <c r="D3456" s="124"/>
      <c r="E3456" s="124"/>
      <c r="F3456" s="124"/>
      <c r="G3456" s="124"/>
      <c r="H3456" s="124"/>
      <c r="I3456" s="124"/>
      <c r="J3456" s="124"/>
      <c r="K3456" s="124"/>
      <c r="L3456" s="124"/>
      <c r="M3456" s="124"/>
      <c r="N3456" s="124"/>
      <c r="O3456" s="124"/>
      <c r="P3456" s="124"/>
      <c r="Q3456" s="124"/>
      <c r="R3456" s="124"/>
      <c r="S3456" s="124"/>
      <c r="T3456" s="124"/>
      <c r="U3456" s="124"/>
      <c r="V3456" s="124"/>
      <c r="W3456" s="124"/>
      <c r="X3456" s="124"/>
      <c r="Y3456" s="124"/>
      <c r="Z3456" s="124"/>
    </row>
    <row r="3457">
      <c r="A3457" s="124"/>
      <c r="B3457" s="124"/>
      <c r="C3457" s="147"/>
      <c r="D3457" s="124"/>
      <c r="E3457" s="124"/>
      <c r="F3457" s="124"/>
      <c r="G3457" s="124"/>
      <c r="H3457" s="124"/>
      <c r="I3457" s="124"/>
      <c r="J3457" s="124"/>
      <c r="K3457" s="124"/>
      <c r="L3457" s="124"/>
      <c r="M3457" s="124"/>
      <c r="N3457" s="124"/>
      <c r="O3457" s="124"/>
      <c r="P3457" s="124"/>
      <c r="Q3457" s="124"/>
      <c r="R3457" s="124"/>
      <c r="S3457" s="124"/>
      <c r="T3457" s="124"/>
      <c r="U3457" s="124"/>
      <c r="V3457" s="124"/>
      <c r="W3457" s="124"/>
      <c r="X3457" s="124"/>
      <c r="Y3457" s="124"/>
      <c r="Z3457" s="124"/>
    </row>
    <row r="3458">
      <c r="A3458" s="124"/>
      <c r="B3458" s="124"/>
      <c r="C3458" s="147"/>
      <c r="D3458" s="124"/>
      <c r="E3458" s="124"/>
      <c r="F3458" s="124"/>
      <c r="G3458" s="124"/>
      <c r="H3458" s="124"/>
      <c r="I3458" s="124"/>
      <c r="J3458" s="124"/>
      <c r="K3458" s="124"/>
      <c r="L3458" s="124"/>
      <c r="M3458" s="124"/>
      <c r="N3458" s="124"/>
      <c r="O3458" s="124"/>
      <c r="P3458" s="124"/>
      <c r="Q3458" s="124"/>
      <c r="R3458" s="124"/>
      <c r="S3458" s="124"/>
      <c r="T3458" s="124"/>
      <c r="U3458" s="124"/>
      <c r="V3458" s="124"/>
      <c r="W3458" s="124"/>
      <c r="X3458" s="124"/>
      <c r="Y3458" s="124"/>
      <c r="Z3458" s="124"/>
    </row>
    <row r="3459">
      <c r="A3459" s="124"/>
      <c r="B3459" s="124"/>
      <c r="C3459" s="147"/>
      <c r="D3459" s="124"/>
      <c r="E3459" s="124"/>
      <c r="F3459" s="124"/>
      <c r="G3459" s="124"/>
      <c r="H3459" s="124"/>
      <c r="I3459" s="124"/>
      <c r="J3459" s="124"/>
      <c r="K3459" s="124"/>
      <c r="L3459" s="124"/>
      <c r="M3459" s="124"/>
      <c r="N3459" s="124"/>
      <c r="O3459" s="124"/>
      <c r="P3459" s="124"/>
      <c r="Q3459" s="124"/>
      <c r="R3459" s="124"/>
      <c r="S3459" s="124"/>
      <c r="T3459" s="124"/>
      <c r="U3459" s="124"/>
      <c r="V3459" s="124"/>
      <c r="W3459" s="124"/>
      <c r="X3459" s="124"/>
      <c r="Y3459" s="124"/>
      <c r="Z3459" s="124"/>
    </row>
    <row r="3460">
      <c r="A3460" s="124"/>
      <c r="B3460" s="124"/>
      <c r="C3460" s="147"/>
      <c r="D3460" s="124"/>
      <c r="E3460" s="124"/>
      <c r="F3460" s="124"/>
      <c r="G3460" s="124"/>
      <c r="H3460" s="124"/>
      <c r="I3460" s="124"/>
      <c r="J3460" s="124"/>
      <c r="K3460" s="124"/>
      <c r="L3460" s="124"/>
      <c r="M3460" s="124"/>
      <c r="N3460" s="124"/>
      <c r="O3460" s="124"/>
      <c r="P3460" s="124"/>
      <c r="Q3460" s="124"/>
      <c r="R3460" s="124"/>
      <c r="S3460" s="124"/>
      <c r="T3460" s="124"/>
      <c r="U3460" s="124"/>
      <c r="V3460" s="124"/>
      <c r="W3460" s="124"/>
      <c r="X3460" s="124"/>
      <c r="Y3460" s="124"/>
      <c r="Z3460" s="124"/>
    </row>
    <row r="3461">
      <c r="A3461" s="124"/>
      <c r="B3461" s="124"/>
      <c r="C3461" s="147"/>
      <c r="D3461" s="124"/>
      <c r="E3461" s="124"/>
      <c r="F3461" s="124"/>
      <c r="G3461" s="124"/>
      <c r="H3461" s="124"/>
      <c r="I3461" s="124"/>
      <c r="J3461" s="124"/>
      <c r="K3461" s="124"/>
      <c r="L3461" s="124"/>
      <c r="M3461" s="124"/>
      <c r="N3461" s="124"/>
      <c r="O3461" s="124"/>
      <c r="P3461" s="124"/>
      <c r="Q3461" s="124"/>
      <c r="R3461" s="124"/>
      <c r="S3461" s="124"/>
      <c r="T3461" s="124"/>
      <c r="U3461" s="124"/>
      <c r="V3461" s="124"/>
      <c r="W3461" s="124"/>
      <c r="X3461" s="124"/>
      <c r="Y3461" s="124"/>
      <c r="Z3461" s="124"/>
    </row>
    <row r="3462">
      <c r="A3462" s="124"/>
      <c r="B3462" s="124"/>
      <c r="C3462" s="147"/>
      <c r="D3462" s="124"/>
      <c r="E3462" s="124"/>
      <c r="F3462" s="124"/>
      <c r="G3462" s="124"/>
      <c r="H3462" s="124"/>
      <c r="I3462" s="124"/>
      <c r="J3462" s="124"/>
      <c r="K3462" s="124"/>
      <c r="L3462" s="124"/>
      <c r="M3462" s="124"/>
      <c r="N3462" s="124"/>
      <c r="O3462" s="124"/>
      <c r="P3462" s="124"/>
      <c r="Q3462" s="124"/>
      <c r="R3462" s="124"/>
      <c r="S3462" s="124"/>
      <c r="T3462" s="124"/>
      <c r="U3462" s="124"/>
      <c r="V3462" s="124"/>
      <c r="W3462" s="124"/>
      <c r="X3462" s="124"/>
      <c r="Y3462" s="124"/>
      <c r="Z3462" s="124"/>
    </row>
    <row r="3463">
      <c r="A3463" s="124"/>
      <c r="B3463" s="124"/>
      <c r="C3463" s="147"/>
      <c r="D3463" s="124"/>
      <c r="E3463" s="124"/>
      <c r="F3463" s="124"/>
      <c r="G3463" s="124"/>
      <c r="H3463" s="124"/>
      <c r="I3463" s="124"/>
      <c r="J3463" s="124"/>
      <c r="K3463" s="124"/>
      <c r="L3463" s="124"/>
      <c r="M3463" s="124"/>
      <c r="N3463" s="124"/>
      <c r="O3463" s="124"/>
      <c r="P3463" s="124"/>
      <c r="Q3463" s="124"/>
      <c r="R3463" s="124"/>
      <c r="S3463" s="124"/>
      <c r="T3463" s="124"/>
      <c r="U3463" s="124"/>
      <c r="V3463" s="124"/>
      <c r="W3463" s="124"/>
      <c r="X3463" s="124"/>
      <c r="Y3463" s="124"/>
      <c r="Z3463" s="124"/>
    </row>
    <row r="3464">
      <c r="A3464" s="124"/>
      <c r="B3464" s="124"/>
      <c r="C3464" s="147"/>
      <c r="D3464" s="124"/>
      <c r="E3464" s="124"/>
      <c r="F3464" s="124"/>
      <c r="G3464" s="124"/>
      <c r="H3464" s="124"/>
      <c r="I3464" s="124"/>
      <c r="J3464" s="124"/>
      <c r="K3464" s="124"/>
      <c r="L3464" s="124"/>
      <c r="M3464" s="124"/>
      <c r="N3464" s="124"/>
      <c r="O3464" s="124"/>
      <c r="P3464" s="124"/>
      <c r="Q3464" s="124"/>
      <c r="R3464" s="124"/>
      <c r="S3464" s="124"/>
      <c r="T3464" s="124"/>
      <c r="U3464" s="124"/>
      <c r="V3464" s="124"/>
      <c r="W3464" s="124"/>
      <c r="X3464" s="124"/>
      <c r="Y3464" s="124"/>
      <c r="Z3464" s="124"/>
    </row>
    <row r="3465">
      <c r="A3465" s="124"/>
      <c r="B3465" s="124"/>
      <c r="C3465" s="147"/>
      <c r="D3465" s="124"/>
      <c r="E3465" s="124"/>
      <c r="F3465" s="124"/>
      <c r="G3465" s="124"/>
      <c r="H3465" s="124"/>
      <c r="I3465" s="124"/>
      <c r="J3465" s="124"/>
      <c r="K3465" s="124"/>
      <c r="L3465" s="124"/>
      <c r="M3465" s="124"/>
      <c r="N3465" s="124"/>
      <c r="O3465" s="124"/>
      <c r="P3465" s="124"/>
      <c r="Q3465" s="124"/>
      <c r="R3465" s="124"/>
      <c r="S3465" s="124"/>
      <c r="T3465" s="124"/>
      <c r="U3465" s="124"/>
      <c r="V3465" s="124"/>
      <c r="W3465" s="124"/>
      <c r="X3465" s="124"/>
      <c r="Y3465" s="124"/>
      <c r="Z3465" s="124"/>
    </row>
    <row r="3466">
      <c r="A3466" s="124"/>
      <c r="B3466" s="124"/>
      <c r="C3466" s="147"/>
      <c r="D3466" s="124"/>
      <c r="E3466" s="124"/>
      <c r="F3466" s="124"/>
      <c r="G3466" s="124"/>
      <c r="H3466" s="124"/>
      <c r="I3466" s="124"/>
      <c r="J3466" s="124"/>
      <c r="K3466" s="124"/>
      <c r="L3466" s="124"/>
      <c r="M3466" s="124"/>
      <c r="N3466" s="124"/>
      <c r="O3466" s="124"/>
      <c r="P3466" s="124"/>
      <c r="Q3466" s="124"/>
      <c r="R3466" s="124"/>
      <c r="S3466" s="124"/>
      <c r="T3466" s="124"/>
      <c r="U3466" s="124"/>
      <c r="V3466" s="124"/>
      <c r="W3466" s="124"/>
      <c r="X3466" s="124"/>
      <c r="Y3466" s="124"/>
      <c r="Z3466" s="124"/>
    </row>
    <row r="3467">
      <c r="A3467" s="124"/>
      <c r="B3467" s="124"/>
      <c r="C3467" s="147"/>
      <c r="D3467" s="124"/>
      <c r="E3467" s="124"/>
      <c r="F3467" s="124"/>
      <c r="G3467" s="124"/>
      <c r="H3467" s="124"/>
      <c r="I3467" s="124"/>
      <c r="J3467" s="124"/>
      <c r="K3467" s="124"/>
      <c r="L3467" s="124"/>
      <c r="M3467" s="124"/>
      <c r="N3467" s="124"/>
      <c r="O3467" s="124"/>
      <c r="P3467" s="124"/>
      <c r="Q3467" s="124"/>
      <c r="R3467" s="124"/>
      <c r="S3467" s="124"/>
      <c r="T3467" s="124"/>
      <c r="U3467" s="124"/>
      <c r="V3467" s="124"/>
      <c r="W3467" s="124"/>
      <c r="X3467" s="124"/>
      <c r="Y3467" s="124"/>
      <c r="Z3467" s="124"/>
    </row>
    <row r="3468">
      <c r="A3468" s="124"/>
      <c r="B3468" s="124"/>
      <c r="C3468" s="147"/>
      <c r="D3468" s="124"/>
      <c r="E3468" s="124"/>
      <c r="F3468" s="124"/>
      <c r="G3468" s="124"/>
      <c r="H3468" s="124"/>
      <c r="I3468" s="124"/>
      <c r="J3468" s="124"/>
      <c r="K3468" s="124"/>
      <c r="L3468" s="124"/>
      <c r="M3468" s="124"/>
      <c r="N3468" s="124"/>
      <c r="O3468" s="124"/>
      <c r="P3468" s="124"/>
      <c r="Q3468" s="124"/>
      <c r="R3468" s="124"/>
      <c r="S3468" s="124"/>
      <c r="T3468" s="124"/>
      <c r="U3468" s="124"/>
      <c r="V3468" s="124"/>
      <c r="W3468" s="124"/>
      <c r="X3468" s="124"/>
      <c r="Y3468" s="124"/>
      <c r="Z3468" s="124"/>
    </row>
    <row r="3469">
      <c r="A3469" s="124"/>
      <c r="B3469" s="124"/>
      <c r="C3469" s="147"/>
      <c r="D3469" s="124"/>
      <c r="E3469" s="124"/>
      <c r="F3469" s="124"/>
      <c r="G3469" s="124"/>
      <c r="H3469" s="124"/>
      <c r="I3469" s="124"/>
      <c r="J3469" s="124"/>
      <c r="K3469" s="124"/>
      <c r="L3469" s="124"/>
      <c r="M3469" s="124"/>
      <c r="N3469" s="124"/>
      <c r="O3469" s="124"/>
      <c r="P3469" s="124"/>
      <c r="Q3469" s="124"/>
      <c r="R3469" s="124"/>
      <c r="S3469" s="124"/>
      <c r="T3469" s="124"/>
      <c r="U3469" s="124"/>
      <c r="V3469" s="124"/>
      <c r="W3469" s="124"/>
      <c r="X3469" s="124"/>
      <c r="Y3469" s="124"/>
      <c r="Z3469" s="124"/>
    </row>
    <row r="3470">
      <c r="A3470" s="124"/>
      <c r="B3470" s="124"/>
      <c r="C3470" s="147"/>
      <c r="D3470" s="124"/>
      <c r="E3470" s="124"/>
      <c r="F3470" s="124"/>
      <c r="G3470" s="124"/>
      <c r="H3470" s="124"/>
      <c r="I3470" s="124"/>
      <c r="J3470" s="124"/>
      <c r="K3470" s="124"/>
      <c r="L3470" s="124"/>
      <c r="M3470" s="124"/>
      <c r="N3470" s="124"/>
      <c r="O3470" s="124"/>
      <c r="P3470" s="124"/>
      <c r="Q3470" s="124"/>
      <c r="R3470" s="124"/>
      <c r="S3470" s="124"/>
      <c r="T3470" s="124"/>
      <c r="U3470" s="124"/>
      <c r="V3470" s="124"/>
      <c r="W3470" s="124"/>
      <c r="X3470" s="124"/>
      <c r="Y3470" s="124"/>
      <c r="Z3470" s="124"/>
    </row>
    <row r="3471">
      <c r="A3471" s="124"/>
      <c r="B3471" s="124"/>
      <c r="C3471" s="147"/>
      <c r="D3471" s="124"/>
      <c r="E3471" s="124"/>
      <c r="F3471" s="124"/>
      <c r="G3471" s="124"/>
      <c r="H3471" s="124"/>
      <c r="I3471" s="124"/>
      <c r="J3471" s="124"/>
      <c r="K3471" s="124"/>
      <c r="L3471" s="124"/>
      <c r="M3471" s="124"/>
      <c r="N3471" s="124"/>
      <c r="O3471" s="124"/>
      <c r="P3471" s="124"/>
      <c r="Q3471" s="124"/>
      <c r="R3471" s="124"/>
      <c r="S3471" s="124"/>
      <c r="T3471" s="124"/>
      <c r="U3471" s="124"/>
      <c r="V3471" s="124"/>
      <c r="W3471" s="124"/>
      <c r="X3471" s="124"/>
      <c r="Y3471" s="124"/>
      <c r="Z3471" s="124"/>
    </row>
    <row r="3472">
      <c r="A3472" s="124"/>
      <c r="B3472" s="124"/>
      <c r="C3472" s="147"/>
      <c r="D3472" s="124"/>
      <c r="E3472" s="124"/>
      <c r="F3472" s="124"/>
      <c r="G3472" s="124"/>
      <c r="H3472" s="124"/>
      <c r="I3472" s="124"/>
      <c r="J3472" s="124"/>
      <c r="K3472" s="124"/>
      <c r="L3472" s="124"/>
      <c r="M3472" s="124"/>
      <c r="N3472" s="124"/>
      <c r="O3472" s="124"/>
      <c r="P3472" s="124"/>
      <c r="Q3472" s="124"/>
      <c r="R3472" s="124"/>
      <c r="S3472" s="124"/>
      <c r="T3472" s="124"/>
      <c r="U3472" s="124"/>
      <c r="V3472" s="124"/>
      <c r="W3472" s="124"/>
      <c r="X3472" s="124"/>
      <c r="Y3472" s="124"/>
      <c r="Z3472" s="124"/>
    </row>
    <row r="3473">
      <c r="A3473" s="124"/>
      <c r="B3473" s="124"/>
      <c r="C3473" s="147"/>
      <c r="D3473" s="124"/>
      <c r="E3473" s="124"/>
      <c r="F3473" s="124"/>
      <c r="G3473" s="124"/>
      <c r="H3473" s="124"/>
      <c r="I3473" s="124"/>
      <c r="J3473" s="124"/>
      <c r="K3473" s="124"/>
      <c r="L3473" s="124"/>
      <c r="M3473" s="124"/>
      <c r="N3473" s="124"/>
      <c r="O3473" s="124"/>
      <c r="P3473" s="124"/>
      <c r="Q3473" s="124"/>
      <c r="R3473" s="124"/>
      <c r="S3473" s="124"/>
      <c r="T3473" s="124"/>
      <c r="U3473" s="124"/>
      <c r="V3473" s="124"/>
      <c r="W3473" s="124"/>
      <c r="X3473" s="124"/>
      <c r="Y3473" s="124"/>
      <c r="Z3473" s="124"/>
    </row>
    <row r="3474">
      <c r="A3474" s="124"/>
      <c r="B3474" s="124"/>
      <c r="C3474" s="147"/>
      <c r="D3474" s="124"/>
      <c r="E3474" s="124"/>
      <c r="F3474" s="124"/>
      <c r="G3474" s="124"/>
      <c r="H3474" s="124"/>
      <c r="I3474" s="124"/>
      <c r="J3474" s="124"/>
      <c r="K3474" s="124"/>
      <c r="L3474" s="124"/>
      <c r="M3474" s="124"/>
      <c r="N3474" s="124"/>
      <c r="O3474" s="124"/>
      <c r="P3474" s="124"/>
      <c r="Q3474" s="124"/>
      <c r="R3474" s="124"/>
      <c r="S3474" s="124"/>
      <c r="T3474" s="124"/>
      <c r="U3474" s="124"/>
      <c r="V3474" s="124"/>
      <c r="W3474" s="124"/>
      <c r="X3474" s="124"/>
      <c r="Y3474" s="124"/>
      <c r="Z3474" s="124"/>
    </row>
    <row r="3475">
      <c r="A3475" s="124"/>
      <c r="B3475" s="124"/>
      <c r="C3475" s="147"/>
      <c r="D3475" s="124"/>
      <c r="E3475" s="124"/>
      <c r="F3475" s="124"/>
      <c r="G3475" s="124"/>
      <c r="H3475" s="124"/>
      <c r="I3475" s="124"/>
      <c r="J3475" s="124"/>
      <c r="K3475" s="124"/>
      <c r="L3475" s="124"/>
      <c r="M3475" s="124"/>
      <c r="N3475" s="124"/>
      <c r="O3475" s="124"/>
      <c r="P3475" s="124"/>
      <c r="Q3475" s="124"/>
      <c r="R3475" s="124"/>
      <c r="S3475" s="124"/>
      <c r="T3475" s="124"/>
      <c r="U3475" s="124"/>
      <c r="V3475" s="124"/>
      <c r="W3475" s="124"/>
      <c r="X3475" s="124"/>
      <c r="Y3475" s="124"/>
      <c r="Z3475" s="124"/>
    </row>
    <row r="3476">
      <c r="A3476" s="124"/>
      <c r="B3476" s="124"/>
      <c r="C3476" s="147"/>
      <c r="D3476" s="124"/>
      <c r="E3476" s="124"/>
      <c r="F3476" s="124"/>
      <c r="G3476" s="124"/>
      <c r="H3476" s="124"/>
      <c r="I3476" s="124"/>
      <c r="J3476" s="124"/>
      <c r="K3476" s="124"/>
      <c r="L3476" s="124"/>
      <c r="M3476" s="124"/>
      <c r="N3476" s="124"/>
      <c r="O3476" s="124"/>
      <c r="P3476" s="124"/>
      <c r="Q3476" s="124"/>
      <c r="R3476" s="124"/>
      <c r="S3476" s="124"/>
      <c r="T3476" s="124"/>
      <c r="U3476" s="124"/>
      <c r="V3476" s="124"/>
      <c r="W3476" s="124"/>
      <c r="X3476" s="124"/>
      <c r="Y3476" s="124"/>
      <c r="Z3476" s="124"/>
    </row>
    <row r="3477">
      <c r="A3477" s="124"/>
      <c r="B3477" s="124"/>
      <c r="C3477" s="147"/>
      <c r="D3477" s="124"/>
      <c r="E3477" s="124"/>
      <c r="F3477" s="124"/>
      <c r="G3477" s="124"/>
      <c r="H3477" s="124"/>
      <c r="I3477" s="124"/>
      <c r="J3477" s="124"/>
      <c r="K3477" s="124"/>
      <c r="L3477" s="124"/>
      <c r="M3477" s="124"/>
      <c r="N3477" s="124"/>
      <c r="O3477" s="124"/>
      <c r="P3477" s="124"/>
      <c r="Q3477" s="124"/>
      <c r="R3477" s="124"/>
      <c r="S3477" s="124"/>
      <c r="T3477" s="124"/>
      <c r="U3477" s="124"/>
      <c r="V3477" s="124"/>
      <c r="W3477" s="124"/>
      <c r="X3477" s="124"/>
      <c r="Y3477" s="124"/>
      <c r="Z3477" s="124"/>
    </row>
    <row r="3478">
      <c r="A3478" s="124"/>
      <c r="B3478" s="124"/>
      <c r="C3478" s="147"/>
      <c r="D3478" s="124"/>
      <c r="E3478" s="124"/>
      <c r="F3478" s="124"/>
      <c r="G3478" s="124"/>
      <c r="H3478" s="124"/>
      <c r="I3478" s="124"/>
      <c r="J3478" s="124"/>
      <c r="K3478" s="124"/>
      <c r="L3478" s="124"/>
      <c r="M3478" s="124"/>
      <c r="N3478" s="124"/>
      <c r="O3478" s="124"/>
      <c r="P3478" s="124"/>
      <c r="Q3478" s="124"/>
      <c r="R3478" s="124"/>
      <c r="S3478" s="124"/>
      <c r="T3478" s="124"/>
      <c r="U3478" s="124"/>
      <c r="V3478" s="124"/>
      <c r="W3478" s="124"/>
      <c r="X3478" s="124"/>
      <c r="Y3478" s="124"/>
      <c r="Z3478" s="124"/>
    </row>
    <row r="3479">
      <c r="A3479" s="124"/>
      <c r="B3479" s="124"/>
      <c r="C3479" s="147"/>
      <c r="D3479" s="124"/>
      <c r="E3479" s="124"/>
      <c r="F3479" s="124"/>
      <c r="G3479" s="124"/>
      <c r="H3479" s="124"/>
      <c r="I3479" s="124"/>
      <c r="J3479" s="124"/>
      <c r="K3479" s="124"/>
      <c r="L3479" s="124"/>
      <c r="M3479" s="124"/>
      <c r="N3479" s="124"/>
      <c r="O3479" s="124"/>
      <c r="P3479" s="124"/>
      <c r="Q3479" s="124"/>
      <c r="R3479" s="124"/>
      <c r="S3479" s="124"/>
      <c r="T3479" s="124"/>
      <c r="U3479" s="124"/>
      <c r="V3479" s="124"/>
      <c r="W3479" s="124"/>
      <c r="X3479" s="124"/>
      <c r="Y3479" s="124"/>
      <c r="Z3479" s="124"/>
    </row>
    <row r="3480">
      <c r="A3480" s="124"/>
      <c r="B3480" s="124"/>
      <c r="C3480" s="147"/>
      <c r="D3480" s="124"/>
      <c r="E3480" s="124"/>
      <c r="F3480" s="124"/>
      <c r="G3480" s="124"/>
      <c r="H3480" s="124"/>
      <c r="I3480" s="124"/>
      <c r="J3480" s="124"/>
      <c r="K3480" s="124"/>
      <c r="L3480" s="124"/>
      <c r="M3480" s="124"/>
      <c r="N3480" s="124"/>
      <c r="O3480" s="124"/>
      <c r="P3480" s="124"/>
      <c r="Q3480" s="124"/>
      <c r="R3480" s="124"/>
      <c r="S3480" s="124"/>
      <c r="T3480" s="124"/>
      <c r="U3480" s="124"/>
      <c r="V3480" s="124"/>
      <c r="W3480" s="124"/>
      <c r="X3480" s="124"/>
      <c r="Y3480" s="124"/>
      <c r="Z3480" s="124"/>
    </row>
    <row r="3481">
      <c r="A3481" s="124"/>
      <c r="B3481" s="124"/>
      <c r="C3481" s="147"/>
      <c r="D3481" s="124"/>
      <c r="E3481" s="124"/>
      <c r="F3481" s="124"/>
      <c r="G3481" s="124"/>
      <c r="H3481" s="124"/>
      <c r="I3481" s="124"/>
      <c r="J3481" s="124"/>
      <c r="K3481" s="124"/>
      <c r="L3481" s="124"/>
      <c r="M3481" s="124"/>
      <c r="N3481" s="124"/>
      <c r="O3481" s="124"/>
      <c r="P3481" s="124"/>
      <c r="Q3481" s="124"/>
      <c r="R3481" s="124"/>
      <c r="S3481" s="124"/>
      <c r="T3481" s="124"/>
      <c r="U3481" s="124"/>
      <c r="V3481" s="124"/>
      <c r="W3481" s="124"/>
      <c r="X3481" s="124"/>
      <c r="Y3481" s="124"/>
      <c r="Z3481" s="124"/>
    </row>
    <row r="3482">
      <c r="A3482" s="124"/>
      <c r="B3482" s="124"/>
      <c r="C3482" s="147"/>
      <c r="D3482" s="124"/>
      <c r="E3482" s="124"/>
      <c r="F3482" s="124"/>
      <c r="G3482" s="124"/>
      <c r="H3482" s="124"/>
      <c r="I3482" s="124"/>
      <c r="J3482" s="124"/>
      <c r="K3482" s="124"/>
      <c r="L3482" s="124"/>
      <c r="M3482" s="124"/>
      <c r="N3482" s="124"/>
      <c r="O3482" s="124"/>
      <c r="P3482" s="124"/>
      <c r="Q3482" s="124"/>
      <c r="R3482" s="124"/>
      <c r="S3482" s="124"/>
      <c r="T3482" s="124"/>
      <c r="U3482" s="124"/>
      <c r="V3482" s="124"/>
      <c r="W3482" s="124"/>
      <c r="X3482" s="124"/>
      <c r="Y3482" s="124"/>
      <c r="Z3482" s="124"/>
    </row>
    <row r="3483">
      <c r="A3483" s="124"/>
      <c r="B3483" s="124"/>
      <c r="C3483" s="147"/>
      <c r="D3483" s="124"/>
      <c r="E3483" s="124"/>
      <c r="F3483" s="124"/>
      <c r="G3483" s="124"/>
      <c r="H3483" s="124"/>
      <c r="I3483" s="124"/>
      <c r="J3483" s="124"/>
      <c r="K3483" s="124"/>
      <c r="L3483" s="124"/>
      <c r="M3483" s="124"/>
      <c r="N3483" s="124"/>
      <c r="O3483" s="124"/>
      <c r="P3483" s="124"/>
      <c r="Q3483" s="124"/>
      <c r="R3483" s="124"/>
      <c r="S3483" s="124"/>
      <c r="T3483" s="124"/>
      <c r="U3483" s="124"/>
      <c r="V3483" s="124"/>
      <c r="W3483" s="124"/>
      <c r="X3483" s="124"/>
      <c r="Y3483" s="124"/>
      <c r="Z3483" s="124"/>
    </row>
    <row r="3484">
      <c r="A3484" s="124"/>
      <c r="B3484" s="124"/>
      <c r="C3484" s="147"/>
      <c r="D3484" s="124"/>
      <c r="E3484" s="124"/>
      <c r="F3484" s="124"/>
      <c r="G3484" s="124"/>
      <c r="H3484" s="124"/>
      <c r="I3484" s="124"/>
      <c r="J3484" s="124"/>
      <c r="K3484" s="124"/>
      <c r="L3484" s="124"/>
      <c r="M3484" s="124"/>
      <c r="N3484" s="124"/>
      <c r="O3484" s="124"/>
      <c r="P3484" s="124"/>
      <c r="Q3484" s="124"/>
      <c r="R3484" s="124"/>
      <c r="S3484" s="124"/>
      <c r="T3484" s="124"/>
      <c r="U3484" s="124"/>
      <c r="V3484" s="124"/>
      <c r="W3484" s="124"/>
      <c r="X3484" s="124"/>
      <c r="Y3484" s="124"/>
      <c r="Z3484" s="124"/>
    </row>
    <row r="3485">
      <c r="A3485" s="124"/>
      <c r="B3485" s="124"/>
      <c r="C3485" s="147"/>
      <c r="D3485" s="124"/>
      <c r="E3485" s="124"/>
      <c r="F3485" s="124"/>
      <c r="G3485" s="124"/>
      <c r="H3485" s="124"/>
      <c r="I3485" s="124"/>
      <c r="J3485" s="124"/>
      <c r="K3485" s="124"/>
      <c r="L3485" s="124"/>
      <c r="M3485" s="124"/>
      <c r="N3485" s="124"/>
      <c r="O3485" s="124"/>
      <c r="P3485" s="124"/>
      <c r="Q3485" s="124"/>
      <c r="R3485" s="124"/>
      <c r="S3485" s="124"/>
      <c r="T3485" s="124"/>
      <c r="U3485" s="124"/>
      <c r="V3485" s="124"/>
      <c r="W3485" s="124"/>
      <c r="X3485" s="124"/>
      <c r="Y3485" s="124"/>
      <c r="Z3485" s="124"/>
    </row>
    <row r="3486">
      <c r="A3486" s="124"/>
      <c r="B3486" s="124"/>
      <c r="C3486" s="147"/>
      <c r="D3486" s="124"/>
      <c r="E3486" s="124"/>
      <c r="F3486" s="124"/>
      <c r="G3486" s="124"/>
      <c r="H3486" s="124"/>
      <c r="I3486" s="124"/>
      <c r="J3486" s="124"/>
      <c r="K3486" s="124"/>
      <c r="L3486" s="124"/>
      <c r="M3486" s="124"/>
      <c r="N3486" s="124"/>
      <c r="O3486" s="124"/>
      <c r="P3486" s="124"/>
      <c r="Q3486" s="124"/>
      <c r="R3486" s="124"/>
      <c r="S3486" s="124"/>
      <c r="T3486" s="124"/>
      <c r="U3486" s="124"/>
      <c r="V3486" s="124"/>
      <c r="W3486" s="124"/>
      <c r="X3486" s="124"/>
      <c r="Y3486" s="124"/>
      <c r="Z3486" s="124"/>
    </row>
    <row r="3487">
      <c r="A3487" s="124"/>
      <c r="B3487" s="124"/>
      <c r="C3487" s="147"/>
      <c r="D3487" s="124"/>
      <c r="E3487" s="124"/>
      <c r="F3487" s="124"/>
      <c r="G3487" s="124"/>
      <c r="H3487" s="124"/>
      <c r="I3487" s="124"/>
      <c r="J3487" s="124"/>
      <c r="K3487" s="124"/>
      <c r="L3487" s="124"/>
      <c r="M3487" s="124"/>
      <c r="N3487" s="124"/>
      <c r="O3487" s="124"/>
      <c r="P3487" s="124"/>
      <c r="Q3487" s="124"/>
      <c r="R3487" s="124"/>
      <c r="S3487" s="124"/>
      <c r="T3487" s="124"/>
      <c r="U3487" s="124"/>
      <c r="V3487" s="124"/>
      <c r="W3487" s="124"/>
      <c r="X3487" s="124"/>
      <c r="Y3487" s="124"/>
      <c r="Z3487" s="124"/>
    </row>
    <row r="3488">
      <c r="A3488" s="124"/>
      <c r="B3488" s="124"/>
      <c r="C3488" s="147"/>
      <c r="D3488" s="124"/>
      <c r="E3488" s="124"/>
      <c r="F3488" s="124"/>
      <c r="G3488" s="124"/>
      <c r="H3488" s="124"/>
      <c r="I3488" s="124"/>
      <c r="J3488" s="124"/>
      <c r="K3488" s="124"/>
      <c r="L3488" s="124"/>
      <c r="M3488" s="124"/>
      <c r="N3488" s="124"/>
      <c r="O3488" s="124"/>
      <c r="P3488" s="124"/>
      <c r="Q3488" s="124"/>
      <c r="R3488" s="124"/>
      <c r="S3488" s="124"/>
      <c r="T3488" s="124"/>
      <c r="U3488" s="124"/>
      <c r="V3488" s="124"/>
      <c r="W3488" s="124"/>
      <c r="X3488" s="124"/>
      <c r="Y3488" s="124"/>
      <c r="Z3488" s="124"/>
    </row>
    <row r="3489">
      <c r="A3489" s="124"/>
      <c r="B3489" s="124"/>
      <c r="C3489" s="147"/>
      <c r="D3489" s="124"/>
      <c r="E3489" s="124"/>
      <c r="F3489" s="124"/>
      <c r="G3489" s="124"/>
      <c r="H3489" s="124"/>
      <c r="I3489" s="124"/>
      <c r="J3489" s="124"/>
      <c r="K3489" s="124"/>
      <c r="L3489" s="124"/>
      <c r="M3489" s="124"/>
      <c r="N3489" s="124"/>
      <c r="O3489" s="124"/>
      <c r="P3489" s="124"/>
      <c r="Q3489" s="124"/>
      <c r="R3489" s="124"/>
      <c r="S3489" s="124"/>
      <c r="T3489" s="124"/>
      <c r="U3489" s="124"/>
      <c r="V3489" s="124"/>
      <c r="W3489" s="124"/>
      <c r="X3489" s="124"/>
      <c r="Y3489" s="124"/>
      <c r="Z3489" s="124"/>
    </row>
    <row r="3490">
      <c r="A3490" s="124"/>
      <c r="B3490" s="124"/>
      <c r="C3490" s="147"/>
      <c r="D3490" s="124"/>
      <c r="E3490" s="124"/>
      <c r="F3490" s="124"/>
      <c r="G3490" s="124"/>
      <c r="H3490" s="124"/>
      <c r="I3490" s="124"/>
      <c r="J3490" s="124"/>
      <c r="K3490" s="124"/>
      <c r="L3490" s="124"/>
      <c r="M3490" s="124"/>
      <c r="N3490" s="124"/>
      <c r="O3490" s="124"/>
      <c r="P3490" s="124"/>
      <c r="Q3490" s="124"/>
      <c r="R3490" s="124"/>
      <c r="S3490" s="124"/>
      <c r="T3490" s="124"/>
      <c r="U3490" s="124"/>
      <c r="V3490" s="124"/>
      <c r="W3490" s="124"/>
      <c r="X3490" s="124"/>
      <c r="Y3490" s="124"/>
      <c r="Z3490" s="124"/>
    </row>
    <row r="3491">
      <c r="A3491" s="124"/>
      <c r="B3491" s="124"/>
      <c r="C3491" s="147"/>
      <c r="D3491" s="124"/>
      <c r="E3491" s="124"/>
      <c r="F3491" s="124"/>
      <c r="G3491" s="124"/>
      <c r="H3491" s="124"/>
      <c r="I3491" s="124"/>
      <c r="J3491" s="124"/>
      <c r="K3491" s="124"/>
      <c r="L3491" s="124"/>
      <c r="M3491" s="124"/>
      <c r="N3491" s="124"/>
      <c r="O3491" s="124"/>
      <c r="P3491" s="124"/>
      <c r="Q3491" s="124"/>
      <c r="R3491" s="124"/>
      <c r="S3491" s="124"/>
      <c r="T3491" s="124"/>
      <c r="U3491" s="124"/>
      <c r="V3491" s="124"/>
      <c r="W3491" s="124"/>
      <c r="X3491" s="124"/>
      <c r="Y3491" s="124"/>
      <c r="Z3491" s="124"/>
    </row>
    <row r="3492">
      <c r="A3492" s="124"/>
      <c r="B3492" s="124"/>
      <c r="C3492" s="147"/>
      <c r="D3492" s="124"/>
      <c r="E3492" s="124"/>
      <c r="F3492" s="124"/>
      <c r="G3492" s="124"/>
      <c r="H3492" s="124"/>
      <c r="I3492" s="124"/>
      <c r="J3492" s="124"/>
      <c r="K3492" s="124"/>
      <c r="L3492" s="124"/>
      <c r="M3492" s="124"/>
      <c r="N3492" s="124"/>
      <c r="O3492" s="124"/>
      <c r="P3492" s="124"/>
      <c r="Q3492" s="124"/>
      <c r="R3492" s="124"/>
      <c r="S3492" s="124"/>
      <c r="T3492" s="124"/>
      <c r="U3492" s="124"/>
      <c r="V3492" s="124"/>
      <c r="W3492" s="124"/>
      <c r="X3492" s="124"/>
      <c r="Y3492" s="124"/>
      <c r="Z3492" s="124"/>
    </row>
    <row r="3493">
      <c r="A3493" s="124"/>
      <c r="B3493" s="124"/>
      <c r="C3493" s="147"/>
      <c r="D3493" s="124"/>
      <c r="E3493" s="124"/>
      <c r="F3493" s="124"/>
      <c r="G3493" s="124"/>
      <c r="H3493" s="124"/>
      <c r="I3493" s="124"/>
      <c r="J3493" s="124"/>
      <c r="K3493" s="124"/>
      <c r="L3493" s="124"/>
      <c r="M3493" s="124"/>
      <c r="N3493" s="124"/>
      <c r="O3493" s="124"/>
      <c r="P3493" s="124"/>
      <c r="Q3493" s="124"/>
      <c r="R3493" s="124"/>
      <c r="S3493" s="124"/>
      <c r="T3493" s="124"/>
      <c r="U3493" s="124"/>
      <c r="V3493" s="124"/>
      <c r="W3493" s="124"/>
      <c r="X3493" s="124"/>
      <c r="Y3493" s="124"/>
      <c r="Z3493" s="124"/>
    </row>
    <row r="3494">
      <c r="A3494" s="124"/>
      <c r="B3494" s="124"/>
      <c r="C3494" s="147"/>
      <c r="D3494" s="124"/>
      <c r="E3494" s="124"/>
      <c r="F3494" s="124"/>
      <c r="G3494" s="124"/>
      <c r="H3494" s="124"/>
      <c r="I3494" s="124"/>
      <c r="J3494" s="124"/>
      <c r="K3494" s="124"/>
      <c r="L3494" s="124"/>
      <c r="M3494" s="124"/>
      <c r="N3494" s="124"/>
      <c r="O3494" s="124"/>
      <c r="P3494" s="124"/>
      <c r="Q3494" s="124"/>
      <c r="R3494" s="124"/>
      <c r="S3494" s="124"/>
      <c r="T3494" s="124"/>
      <c r="U3494" s="124"/>
      <c r="V3494" s="124"/>
      <c r="W3494" s="124"/>
      <c r="X3494" s="124"/>
      <c r="Y3494" s="124"/>
      <c r="Z3494" s="124"/>
    </row>
    <row r="3495">
      <c r="A3495" s="124"/>
      <c r="B3495" s="124"/>
      <c r="C3495" s="147"/>
      <c r="D3495" s="124"/>
      <c r="E3495" s="124"/>
      <c r="F3495" s="124"/>
      <c r="G3495" s="124"/>
      <c r="H3495" s="124"/>
      <c r="I3495" s="124"/>
      <c r="J3495" s="124"/>
      <c r="K3495" s="124"/>
      <c r="L3495" s="124"/>
      <c r="M3495" s="124"/>
      <c r="N3495" s="124"/>
      <c r="O3495" s="124"/>
      <c r="P3495" s="124"/>
      <c r="Q3495" s="124"/>
      <c r="R3495" s="124"/>
      <c r="S3495" s="124"/>
      <c r="T3495" s="124"/>
      <c r="U3495" s="124"/>
      <c r="V3495" s="124"/>
      <c r="W3495" s="124"/>
      <c r="X3495" s="124"/>
      <c r="Y3495" s="124"/>
      <c r="Z3495" s="124"/>
    </row>
    <row r="3496">
      <c r="A3496" s="124"/>
      <c r="B3496" s="124"/>
      <c r="C3496" s="147"/>
      <c r="D3496" s="124"/>
      <c r="E3496" s="124"/>
      <c r="F3496" s="124"/>
      <c r="G3496" s="124"/>
      <c r="H3496" s="124"/>
      <c r="I3496" s="124"/>
      <c r="J3496" s="124"/>
      <c r="K3496" s="124"/>
      <c r="L3496" s="124"/>
      <c r="M3496" s="124"/>
      <c r="N3496" s="124"/>
      <c r="O3496" s="124"/>
      <c r="P3496" s="124"/>
      <c r="Q3496" s="124"/>
      <c r="R3496" s="124"/>
      <c r="S3496" s="124"/>
      <c r="T3496" s="124"/>
      <c r="U3496" s="124"/>
      <c r="V3496" s="124"/>
      <c r="W3496" s="124"/>
      <c r="X3496" s="124"/>
      <c r="Y3496" s="124"/>
      <c r="Z3496" s="124"/>
    </row>
    <row r="3497">
      <c r="A3497" s="124"/>
      <c r="B3497" s="124"/>
      <c r="C3497" s="147"/>
      <c r="D3497" s="124"/>
      <c r="E3497" s="124"/>
      <c r="F3497" s="124"/>
      <c r="G3497" s="124"/>
      <c r="H3497" s="124"/>
      <c r="I3497" s="124"/>
      <c r="J3497" s="124"/>
      <c r="K3497" s="124"/>
      <c r="L3497" s="124"/>
      <c r="M3497" s="124"/>
      <c r="N3497" s="124"/>
      <c r="O3497" s="124"/>
      <c r="P3497" s="124"/>
      <c r="Q3497" s="124"/>
      <c r="R3497" s="124"/>
      <c r="S3497" s="124"/>
      <c r="T3497" s="124"/>
      <c r="U3497" s="124"/>
      <c r="V3497" s="124"/>
      <c r="W3497" s="124"/>
      <c r="X3497" s="124"/>
      <c r="Y3497" s="124"/>
      <c r="Z3497" s="124"/>
    </row>
    <row r="3498">
      <c r="A3498" s="124"/>
      <c r="B3498" s="124"/>
      <c r="C3498" s="147"/>
      <c r="D3498" s="124"/>
      <c r="E3498" s="124"/>
      <c r="F3498" s="124"/>
      <c r="G3498" s="124"/>
      <c r="H3498" s="124"/>
      <c r="I3498" s="124"/>
      <c r="J3498" s="124"/>
      <c r="K3498" s="124"/>
      <c r="L3498" s="124"/>
      <c r="M3498" s="124"/>
      <c r="N3498" s="124"/>
      <c r="O3498" s="124"/>
      <c r="P3498" s="124"/>
      <c r="Q3498" s="124"/>
      <c r="R3498" s="124"/>
      <c r="S3498" s="124"/>
      <c r="T3498" s="124"/>
      <c r="U3498" s="124"/>
      <c r="V3498" s="124"/>
      <c r="W3498" s="124"/>
      <c r="X3498" s="124"/>
      <c r="Y3498" s="124"/>
      <c r="Z3498" s="124"/>
    </row>
    <row r="3499">
      <c r="A3499" s="124"/>
      <c r="B3499" s="124"/>
      <c r="C3499" s="147"/>
      <c r="D3499" s="124"/>
      <c r="E3499" s="124"/>
      <c r="F3499" s="124"/>
      <c r="G3499" s="124"/>
      <c r="H3499" s="124"/>
      <c r="I3499" s="124"/>
      <c r="J3499" s="124"/>
      <c r="K3499" s="124"/>
      <c r="L3499" s="124"/>
      <c r="M3499" s="124"/>
      <c r="N3499" s="124"/>
      <c r="O3499" s="124"/>
      <c r="P3499" s="124"/>
      <c r="Q3499" s="124"/>
      <c r="R3499" s="124"/>
      <c r="S3499" s="124"/>
      <c r="T3499" s="124"/>
      <c r="U3499" s="124"/>
      <c r="V3499" s="124"/>
      <c r="W3499" s="124"/>
      <c r="X3499" s="124"/>
      <c r="Y3499" s="124"/>
      <c r="Z3499" s="124"/>
    </row>
    <row r="3500">
      <c r="A3500" s="124"/>
      <c r="B3500" s="124"/>
      <c r="C3500" s="147"/>
      <c r="D3500" s="124"/>
      <c r="E3500" s="124"/>
      <c r="F3500" s="124"/>
      <c r="G3500" s="124"/>
      <c r="H3500" s="124"/>
      <c r="I3500" s="124"/>
      <c r="J3500" s="124"/>
      <c r="K3500" s="124"/>
      <c r="L3500" s="124"/>
      <c r="M3500" s="124"/>
      <c r="N3500" s="124"/>
      <c r="O3500" s="124"/>
      <c r="P3500" s="124"/>
      <c r="Q3500" s="124"/>
      <c r="R3500" s="124"/>
      <c r="S3500" s="124"/>
      <c r="T3500" s="124"/>
      <c r="U3500" s="124"/>
      <c r="V3500" s="124"/>
      <c r="W3500" s="124"/>
      <c r="X3500" s="124"/>
      <c r="Y3500" s="124"/>
      <c r="Z3500" s="124"/>
    </row>
    <row r="3501">
      <c r="A3501" s="124"/>
      <c r="B3501" s="124"/>
      <c r="C3501" s="147"/>
      <c r="D3501" s="124"/>
      <c r="E3501" s="124"/>
      <c r="F3501" s="124"/>
      <c r="G3501" s="124"/>
      <c r="H3501" s="124"/>
      <c r="I3501" s="124"/>
      <c r="J3501" s="124"/>
      <c r="K3501" s="124"/>
      <c r="L3501" s="124"/>
      <c r="M3501" s="124"/>
      <c r="N3501" s="124"/>
      <c r="O3501" s="124"/>
      <c r="P3501" s="124"/>
      <c r="Q3501" s="124"/>
      <c r="R3501" s="124"/>
      <c r="S3501" s="124"/>
      <c r="T3501" s="124"/>
      <c r="U3501" s="124"/>
      <c r="V3501" s="124"/>
      <c r="W3501" s="124"/>
      <c r="X3501" s="124"/>
      <c r="Y3501" s="124"/>
      <c r="Z3501" s="124"/>
    </row>
    <row r="3502">
      <c r="A3502" s="124"/>
      <c r="B3502" s="124"/>
      <c r="C3502" s="147"/>
      <c r="D3502" s="124"/>
      <c r="E3502" s="124"/>
      <c r="F3502" s="124"/>
      <c r="G3502" s="124"/>
      <c r="H3502" s="124"/>
      <c r="I3502" s="124"/>
      <c r="J3502" s="124"/>
      <c r="K3502" s="124"/>
      <c r="L3502" s="124"/>
      <c r="M3502" s="124"/>
      <c r="N3502" s="124"/>
      <c r="O3502" s="124"/>
      <c r="P3502" s="124"/>
      <c r="Q3502" s="124"/>
      <c r="R3502" s="124"/>
      <c r="S3502" s="124"/>
      <c r="T3502" s="124"/>
      <c r="U3502" s="124"/>
      <c r="V3502" s="124"/>
      <c r="W3502" s="124"/>
      <c r="X3502" s="124"/>
      <c r="Y3502" s="124"/>
      <c r="Z3502" s="124"/>
    </row>
    <row r="3503">
      <c r="A3503" s="124"/>
      <c r="B3503" s="124"/>
      <c r="C3503" s="147"/>
      <c r="D3503" s="124"/>
      <c r="E3503" s="124"/>
      <c r="F3503" s="124"/>
      <c r="G3503" s="124"/>
      <c r="H3503" s="124"/>
      <c r="I3503" s="124"/>
      <c r="J3503" s="124"/>
      <c r="K3503" s="124"/>
      <c r="L3503" s="124"/>
      <c r="M3503" s="124"/>
      <c r="N3503" s="124"/>
      <c r="O3503" s="124"/>
      <c r="P3503" s="124"/>
      <c r="Q3503" s="124"/>
      <c r="R3503" s="124"/>
      <c r="S3503" s="124"/>
      <c r="T3503" s="124"/>
      <c r="U3503" s="124"/>
      <c r="V3503" s="124"/>
      <c r="W3503" s="124"/>
      <c r="X3503" s="124"/>
      <c r="Y3503" s="124"/>
      <c r="Z3503" s="124"/>
    </row>
    <row r="3504">
      <c r="A3504" s="124"/>
      <c r="B3504" s="124"/>
      <c r="C3504" s="147"/>
      <c r="D3504" s="124"/>
      <c r="E3504" s="124"/>
      <c r="F3504" s="124"/>
      <c r="G3504" s="124"/>
      <c r="H3504" s="124"/>
      <c r="I3504" s="124"/>
      <c r="J3504" s="124"/>
      <c r="K3504" s="124"/>
      <c r="L3504" s="124"/>
      <c r="M3504" s="124"/>
      <c r="N3504" s="124"/>
      <c r="O3504" s="124"/>
      <c r="P3504" s="124"/>
      <c r="Q3504" s="124"/>
      <c r="R3504" s="124"/>
      <c r="S3504" s="124"/>
      <c r="T3504" s="124"/>
      <c r="U3504" s="124"/>
      <c r="V3504" s="124"/>
      <c r="W3504" s="124"/>
      <c r="X3504" s="124"/>
      <c r="Y3504" s="124"/>
      <c r="Z3504" s="124"/>
    </row>
    <row r="3505">
      <c r="A3505" s="124"/>
      <c r="B3505" s="124"/>
      <c r="C3505" s="147"/>
      <c r="D3505" s="124"/>
      <c r="E3505" s="124"/>
      <c r="F3505" s="124"/>
      <c r="G3505" s="124"/>
      <c r="H3505" s="124"/>
      <c r="I3505" s="124"/>
      <c r="J3505" s="124"/>
      <c r="K3505" s="124"/>
      <c r="L3505" s="124"/>
      <c r="M3505" s="124"/>
      <c r="N3505" s="124"/>
      <c r="O3505" s="124"/>
      <c r="P3505" s="124"/>
      <c r="Q3505" s="124"/>
      <c r="R3505" s="124"/>
      <c r="S3505" s="124"/>
      <c r="T3505" s="124"/>
      <c r="U3505" s="124"/>
      <c r="V3505" s="124"/>
      <c r="W3505" s="124"/>
      <c r="X3505" s="124"/>
      <c r="Y3505" s="124"/>
      <c r="Z3505" s="124"/>
    </row>
    <row r="3506">
      <c r="A3506" s="124"/>
      <c r="B3506" s="124"/>
      <c r="C3506" s="147"/>
      <c r="D3506" s="124"/>
      <c r="E3506" s="124"/>
      <c r="F3506" s="124"/>
      <c r="G3506" s="124"/>
      <c r="H3506" s="124"/>
      <c r="I3506" s="124"/>
      <c r="J3506" s="124"/>
      <c r="K3506" s="124"/>
      <c r="L3506" s="124"/>
      <c r="M3506" s="124"/>
      <c r="N3506" s="124"/>
      <c r="O3506" s="124"/>
      <c r="P3506" s="124"/>
      <c r="Q3506" s="124"/>
      <c r="R3506" s="124"/>
      <c r="S3506" s="124"/>
      <c r="T3506" s="124"/>
      <c r="U3506" s="124"/>
      <c r="V3506" s="124"/>
      <c r="W3506" s="124"/>
      <c r="X3506" s="124"/>
      <c r="Y3506" s="124"/>
      <c r="Z3506" s="124"/>
    </row>
    <row r="3507">
      <c r="A3507" s="124"/>
      <c r="B3507" s="124"/>
      <c r="C3507" s="147"/>
      <c r="D3507" s="124"/>
      <c r="E3507" s="124"/>
      <c r="F3507" s="124"/>
      <c r="G3507" s="124"/>
      <c r="H3507" s="124"/>
      <c r="I3507" s="124"/>
      <c r="J3507" s="124"/>
      <c r="K3507" s="124"/>
      <c r="L3507" s="124"/>
      <c r="M3507" s="124"/>
      <c r="N3507" s="124"/>
      <c r="O3507" s="124"/>
      <c r="P3507" s="124"/>
      <c r="Q3507" s="124"/>
      <c r="R3507" s="124"/>
      <c r="S3507" s="124"/>
      <c r="T3507" s="124"/>
      <c r="U3507" s="124"/>
      <c r="V3507" s="124"/>
      <c r="W3507" s="124"/>
      <c r="X3507" s="124"/>
      <c r="Y3507" s="124"/>
      <c r="Z3507" s="124"/>
    </row>
    <row r="3508">
      <c r="A3508" s="124"/>
      <c r="B3508" s="124"/>
      <c r="C3508" s="147"/>
      <c r="D3508" s="124"/>
      <c r="E3508" s="124"/>
      <c r="F3508" s="124"/>
      <c r="G3508" s="124"/>
      <c r="H3508" s="124"/>
      <c r="I3508" s="124"/>
      <c r="J3508" s="124"/>
      <c r="K3508" s="124"/>
      <c r="L3508" s="124"/>
      <c r="M3508" s="124"/>
      <c r="N3508" s="124"/>
      <c r="O3508" s="124"/>
      <c r="P3508" s="124"/>
      <c r="Q3508" s="124"/>
      <c r="R3508" s="124"/>
      <c r="S3508" s="124"/>
      <c r="T3508" s="124"/>
      <c r="U3508" s="124"/>
      <c r="V3508" s="124"/>
      <c r="W3508" s="124"/>
      <c r="X3508" s="124"/>
      <c r="Y3508" s="124"/>
      <c r="Z3508" s="124"/>
    </row>
    <row r="3509">
      <c r="A3509" s="124"/>
      <c r="B3509" s="124"/>
      <c r="C3509" s="147"/>
      <c r="D3509" s="124"/>
      <c r="E3509" s="124"/>
      <c r="F3509" s="124"/>
      <c r="G3509" s="124"/>
      <c r="H3509" s="124"/>
      <c r="I3509" s="124"/>
      <c r="J3509" s="124"/>
      <c r="K3509" s="124"/>
      <c r="L3509" s="124"/>
      <c r="M3509" s="124"/>
      <c r="N3509" s="124"/>
      <c r="O3509" s="124"/>
      <c r="P3509" s="124"/>
      <c r="Q3509" s="124"/>
      <c r="R3509" s="124"/>
      <c r="S3509" s="124"/>
      <c r="T3509" s="124"/>
      <c r="U3509" s="124"/>
      <c r="V3509" s="124"/>
      <c r="W3509" s="124"/>
      <c r="X3509" s="124"/>
      <c r="Y3509" s="124"/>
      <c r="Z3509" s="124"/>
    </row>
    <row r="3510">
      <c r="A3510" s="124"/>
      <c r="B3510" s="124"/>
      <c r="C3510" s="147"/>
      <c r="D3510" s="124"/>
      <c r="E3510" s="124"/>
      <c r="F3510" s="124"/>
      <c r="G3510" s="124"/>
      <c r="H3510" s="124"/>
      <c r="I3510" s="124"/>
      <c r="J3510" s="124"/>
      <c r="K3510" s="124"/>
      <c r="L3510" s="124"/>
      <c r="M3510" s="124"/>
      <c r="N3510" s="124"/>
      <c r="O3510" s="124"/>
      <c r="P3510" s="124"/>
      <c r="Q3510" s="124"/>
      <c r="R3510" s="124"/>
      <c r="S3510" s="124"/>
      <c r="T3510" s="124"/>
      <c r="U3510" s="124"/>
      <c r="V3510" s="124"/>
      <c r="W3510" s="124"/>
      <c r="X3510" s="124"/>
      <c r="Y3510" s="124"/>
      <c r="Z3510" s="124"/>
    </row>
    <row r="3511">
      <c r="A3511" s="124"/>
      <c r="B3511" s="124"/>
      <c r="C3511" s="147"/>
      <c r="D3511" s="124"/>
      <c r="E3511" s="124"/>
      <c r="F3511" s="124"/>
      <c r="G3511" s="124"/>
      <c r="H3511" s="124"/>
      <c r="I3511" s="124"/>
      <c r="J3511" s="124"/>
      <c r="K3511" s="124"/>
      <c r="L3511" s="124"/>
      <c r="M3511" s="124"/>
      <c r="N3511" s="124"/>
      <c r="O3511" s="124"/>
      <c r="P3511" s="124"/>
      <c r="Q3511" s="124"/>
      <c r="R3511" s="124"/>
      <c r="S3511" s="124"/>
      <c r="T3511" s="124"/>
      <c r="U3511" s="124"/>
      <c r="V3511" s="124"/>
      <c r="W3511" s="124"/>
      <c r="X3511" s="124"/>
      <c r="Y3511" s="124"/>
      <c r="Z3511" s="124"/>
    </row>
    <row r="3512">
      <c r="A3512" s="124"/>
      <c r="B3512" s="124"/>
      <c r="C3512" s="147"/>
      <c r="D3512" s="124"/>
      <c r="E3512" s="124"/>
      <c r="F3512" s="124"/>
      <c r="G3512" s="124"/>
      <c r="H3512" s="124"/>
      <c r="I3512" s="124"/>
      <c r="J3512" s="124"/>
      <c r="K3512" s="124"/>
      <c r="L3512" s="124"/>
      <c r="M3512" s="124"/>
      <c r="N3512" s="124"/>
      <c r="O3512" s="124"/>
      <c r="P3512" s="124"/>
      <c r="Q3512" s="124"/>
      <c r="R3512" s="124"/>
      <c r="S3512" s="124"/>
      <c r="T3512" s="124"/>
      <c r="U3512" s="124"/>
      <c r="V3512" s="124"/>
      <c r="W3512" s="124"/>
      <c r="X3512" s="124"/>
      <c r="Y3512" s="124"/>
      <c r="Z3512" s="124"/>
    </row>
    <row r="3513">
      <c r="A3513" s="124"/>
      <c r="B3513" s="124"/>
      <c r="C3513" s="147"/>
      <c r="D3513" s="124"/>
      <c r="E3513" s="124"/>
      <c r="F3513" s="124"/>
      <c r="G3513" s="124"/>
      <c r="H3513" s="124"/>
      <c r="I3513" s="124"/>
      <c r="J3513" s="124"/>
      <c r="K3513" s="124"/>
      <c r="L3513" s="124"/>
      <c r="M3513" s="124"/>
      <c r="N3513" s="124"/>
      <c r="O3513" s="124"/>
      <c r="P3513" s="124"/>
      <c r="Q3513" s="124"/>
      <c r="R3513" s="124"/>
      <c r="S3513" s="124"/>
      <c r="T3513" s="124"/>
      <c r="U3513" s="124"/>
      <c r="V3513" s="124"/>
      <c r="W3513" s="124"/>
      <c r="X3513" s="124"/>
      <c r="Y3513" s="124"/>
      <c r="Z3513" s="124"/>
    </row>
    <row r="3514">
      <c r="A3514" s="124"/>
      <c r="B3514" s="124"/>
      <c r="C3514" s="147"/>
      <c r="D3514" s="124"/>
      <c r="E3514" s="124"/>
      <c r="F3514" s="124"/>
      <c r="G3514" s="124"/>
      <c r="H3514" s="124"/>
      <c r="I3514" s="124"/>
      <c r="J3514" s="124"/>
      <c r="K3514" s="124"/>
      <c r="L3514" s="124"/>
      <c r="M3514" s="124"/>
      <c r="N3514" s="124"/>
      <c r="O3514" s="124"/>
      <c r="P3514" s="124"/>
      <c r="Q3514" s="124"/>
      <c r="R3514" s="124"/>
      <c r="S3514" s="124"/>
      <c r="T3514" s="124"/>
      <c r="U3514" s="124"/>
      <c r="V3514" s="124"/>
      <c r="W3514" s="124"/>
      <c r="X3514" s="124"/>
      <c r="Y3514" s="124"/>
      <c r="Z3514" s="124"/>
    </row>
    <row r="3515">
      <c r="A3515" s="124"/>
      <c r="B3515" s="124"/>
      <c r="C3515" s="147"/>
      <c r="D3515" s="124"/>
      <c r="E3515" s="124"/>
      <c r="F3515" s="124"/>
      <c r="G3515" s="124"/>
      <c r="H3515" s="124"/>
      <c r="I3515" s="124"/>
      <c r="J3515" s="124"/>
      <c r="K3515" s="124"/>
      <c r="L3515" s="124"/>
      <c r="M3515" s="124"/>
      <c r="N3515" s="124"/>
      <c r="O3515" s="124"/>
      <c r="P3515" s="124"/>
      <c r="Q3515" s="124"/>
      <c r="R3515" s="124"/>
      <c r="S3515" s="124"/>
      <c r="T3515" s="124"/>
      <c r="U3515" s="124"/>
      <c r="V3515" s="124"/>
      <c r="W3515" s="124"/>
      <c r="X3515" s="124"/>
      <c r="Y3515" s="124"/>
      <c r="Z3515" s="124"/>
    </row>
    <row r="3516">
      <c r="A3516" s="124"/>
      <c r="B3516" s="124"/>
      <c r="C3516" s="147"/>
      <c r="D3516" s="124"/>
      <c r="E3516" s="124"/>
      <c r="F3516" s="124"/>
      <c r="G3516" s="124"/>
      <c r="H3516" s="124"/>
      <c r="I3516" s="124"/>
      <c r="J3516" s="124"/>
      <c r="K3516" s="124"/>
      <c r="L3516" s="124"/>
      <c r="M3516" s="124"/>
      <c r="N3516" s="124"/>
      <c r="O3516" s="124"/>
      <c r="P3516" s="124"/>
      <c r="Q3516" s="124"/>
      <c r="R3516" s="124"/>
      <c r="S3516" s="124"/>
      <c r="T3516" s="124"/>
      <c r="U3516" s="124"/>
      <c r="V3516" s="124"/>
      <c r="W3516" s="124"/>
      <c r="X3516" s="124"/>
      <c r="Y3516" s="124"/>
      <c r="Z3516" s="124"/>
    </row>
    <row r="3517">
      <c r="A3517" s="124"/>
      <c r="B3517" s="124"/>
      <c r="C3517" s="147"/>
      <c r="D3517" s="124"/>
      <c r="E3517" s="124"/>
      <c r="F3517" s="124"/>
      <c r="G3517" s="124"/>
      <c r="H3517" s="124"/>
      <c r="I3517" s="124"/>
      <c r="J3517" s="124"/>
      <c r="K3517" s="124"/>
      <c r="L3517" s="124"/>
      <c r="M3517" s="124"/>
      <c r="N3517" s="124"/>
      <c r="O3517" s="124"/>
      <c r="P3517" s="124"/>
      <c r="Q3517" s="124"/>
      <c r="R3517" s="124"/>
      <c r="S3517" s="124"/>
      <c r="T3517" s="124"/>
      <c r="U3517" s="124"/>
      <c r="V3517" s="124"/>
      <c r="W3517" s="124"/>
      <c r="X3517" s="124"/>
      <c r="Y3517" s="124"/>
      <c r="Z3517" s="124"/>
    </row>
    <row r="3518">
      <c r="A3518" s="124"/>
      <c r="B3518" s="124"/>
      <c r="C3518" s="147"/>
      <c r="D3518" s="124"/>
      <c r="E3518" s="124"/>
      <c r="F3518" s="124"/>
      <c r="G3518" s="124"/>
      <c r="H3518" s="124"/>
      <c r="I3518" s="124"/>
      <c r="J3518" s="124"/>
      <c r="K3518" s="124"/>
      <c r="L3518" s="124"/>
      <c r="M3518" s="124"/>
      <c r="N3518" s="124"/>
      <c r="O3518" s="124"/>
      <c r="P3518" s="124"/>
      <c r="Q3518" s="124"/>
      <c r="R3518" s="124"/>
      <c r="S3518" s="124"/>
      <c r="T3518" s="124"/>
      <c r="U3518" s="124"/>
      <c r="V3518" s="124"/>
      <c r="W3518" s="124"/>
      <c r="X3518" s="124"/>
      <c r="Y3518" s="124"/>
      <c r="Z3518" s="124"/>
    </row>
    <row r="3519">
      <c r="A3519" s="124"/>
      <c r="B3519" s="124"/>
      <c r="C3519" s="147"/>
      <c r="D3519" s="124"/>
      <c r="E3519" s="124"/>
      <c r="F3519" s="124"/>
      <c r="G3519" s="124"/>
      <c r="H3519" s="124"/>
      <c r="I3519" s="124"/>
      <c r="J3519" s="124"/>
      <c r="K3519" s="124"/>
      <c r="L3519" s="124"/>
      <c r="M3519" s="124"/>
      <c r="N3519" s="124"/>
      <c r="O3519" s="124"/>
      <c r="P3519" s="124"/>
      <c r="Q3519" s="124"/>
      <c r="R3519" s="124"/>
      <c r="S3519" s="124"/>
      <c r="T3519" s="124"/>
      <c r="U3519" s="124"/>
      <c r="V3519" s="124"/>
      <c r="W3519" s="124"/>
      <c r="X3519" s="124"/>
      <c r="Y3519" s="124"/>
      <c r="Z3519" s="124"/>
    </row>
    <row r="3520">
      <c r="A3520" s="124"/>
      <c r="B3520" s="124"/>
      <c r="C3520" s="147"/>
      <c r="D3520" s="124"/>
      <c r="E3520" s="124"/>
      <c r="F3520" s="124"/>
      <c r="G3520" s="124"/>
      <c r="H3520" s="124"/>
      <c r="I3520" s="124"/>
      <c r="J3520" s="124"/>
      <c r="K3520" s="124"/>
      <c r="L3520" s="124"/>
      <c r="M3520" s="124"/>
      <c r="N3520" s="124"/>
      <c r="O3520" s="124"/>
      <c r="P3520" s="124"/>
      <c r="Q3520" s="124"/>
      <c r="R3520" s="124"/>
      <c r="S3520" s="124"/>
      <c r="T3520" s="124"/>
      <c r="U3520" s="124"/>
      <c r="V3520" s="124"/>
      <c r="W3520" s="124"/>
      <c r="X3520" s="124"/>
      <c r="Y3520" s="124"/>
      <c r="Z3520" s="124"/>
    </row>
    <row r="3521">
      <c r="A3521" s="124"/>
      <c r="B3521" s="124"/>
      <c r="C3521" s="147"/>
      <c r="D3521" s="124"/>
      <c r="E3521" s="124"/>
      <c r="F3521" s="124"/>
      <c r="G3521" s="124"/>
      <c r="H3521" s="124"/>
      <c r="I3521" s="124"/>
      <c r="J3521" s="124"/>
      <c r="K3521" s="124"/>
      <c r="L3521" s="124"/>
      <c r="M3521" s="124"/>
      <c r="N3521" s="124"/>
      <c r="O3521" s="124"/>
      <c r="P3521" s="124"/>
      <c r="Q3521" s="124"/>
      <c r="R3521" s="124"/>
      <c r="S3521" s="124"/>
      <c r="T3521" s="124"/>
      <c r="U3521" s="124"/>
      <c r="V3521" s="124"/>
      <c r="W3521" s="124"/>
      <c r="X3521" s="124"/>
      <c r="Y3521" s="124"/>
      <c r="Z3521" s="124"/>
    </row>
    <row r="3522">
      <c r="A3522" s="124"/>
      <c r="B3522" s="124"/>
      <c r="C3522" s="147"/>
      <c r="D3522" s="124"/>
      <c r="E3522" s="124"/>
      <c r="F3522" s="124"/>
      <c r="G3522" s="124"/>
      <c r="H3522" s="124"/>
      <c r="I3522" s="124"/>
      <c r="J3522" s="124"/>
      <c r="K3522" s="124"/>
      <c r="L3522" s="124"/>
      <c r="M3522" s="124"/>
      <c r="N3522" s="124"/>
      <c r="O3522" s="124"/>
      <c r="P3522" s="124"/>
      <c r="Q3522" s="124"/>
      <c r="R3522" s="124"/>
      <c r="S3522" s="124"/>
      <c r="T3522" s="124"/>
      <c r="U3522" s="124"/>
      <c r="V3522" s="124"/>
      <c r="W3522" s="124"/>
      <c r="X3522" s="124"/>
      <c r="Y3522" s="124"/>
      <c r="Z3522" s="124"/>
    </row>
    <row r="3523">
      <c r="A3523" s="124"/>
      <c r="B3523" s="124"/>
      <c r="C3523" s="147"/>
      <c r="D3523" s="124"/>
      <c r="E3523" s="124"/>
      <c r="F3523" s="124"/>
      <c r="G3523" s="124"/>
      <c r="H3523" s="124"/>
      <c r="I3523" s="124"/>
      <c r="J3523" s="124"/>
      <c r="K3523" s="124"/>
      <c r="L3523" s="124"/>
      <c r="M3523" s="124"/>
      <c r="N3523" s="124"/>
      <c r="O3523" s="124"/>
      <c r="P3523" s="124"/>
      <c r="Q3523" s="124"/>
      <c r="R3523" s="124"/>
      <c r="S3523" s="124"/>
      <c r="T3523" s="124"/>
      <c r="U3523" s="124"/>
      <c r="V3523" s="124"/>
      <c r="W3523" s="124"/>
      <c r="X3523" s="124"/>
      <c r="Y3523" s="124"/>
      <c r="Z3523" s="124"/>
    </row>
    <row r="3524">
      <c r="A3524" s="124"/>
      <c r="B3524" s="124"/>
      <c r="C3524" s="147"/>
      <c r="D3524" s="124"/>
      <c r="E3524" s="124"/>
      <c r="F3524" s="124"/>
      <c r="G3524" s="124"/>
      <c r="H3524" s="124"/>
      <c r="I3524" s="124"/>
      <c r="J3524" s="124"/>
      <c r="K3524" s="124"/>
      <c r="L3524" s="124"/>
      <c r="M3524" s="124"/>
      <c r="N3524" s="124"/>
      <c r="O3524" s="124"/>
      <c r="P3524" s="124"/>
      <c r="Q3524" s="124"/>
      <c r="R3524" s="124"/>
      <c r="S3524" s="124"/>
      <c r="T3524" s="124"/>
      <c r="U3524" s="124"/>
      <c r="V3524" s="124"/>
      <c r="W3524" s="124"/>
      <c r="X3524" s="124"/>
      <c r="Y3524" s="124"/>
      <c r="Z3524" s="124"/>
    </row>
    <row r="3525">
      <c r="A3525" s="124"/>
      <c r="B3525" s="124"/>
      <c r="C3525" s="147"/>
      <c r="D3525" s="124"/>
      <c r="E3525" s="124"/>
      <c r="F3525" s="124"/>
      <c r="G3525" s="124"/>
      <c r="H3525" s="124"/>
      <c r="I3525" s="124"/>
      <c r="J3525" s="124"/>
      <c r="K3525" s="124"/>
      <c r="L3525" s="124"/>
      <c r="M3525" s="124"/>
      <c r="N3525" s="124"/>
      <c r="O3525" s="124"/>
      <c r="P3525" s="124"/>
      <c r="Q3525" s="124"/>
      <c r="R3525" s="124"/>
      <c r="S3525" s="124"/>
      <c r="T3525" s="124"/>
      <c r="U3525" s="124"/>
      <c r="V3525" s="124"/>
      <c r="W3525" s="124"/>
      <c r="X3525" s="124"/>
      <c r="Y3525" s="124"/>
      <c r="Z3525" s="124"/>
    </row>
    <row r="3526">
      <c r="A3526" s="124"/>
      <c r="B3526" s="124"/>
      <c r="C3526" s="147"/>
      <c r="D3526" s="124"/>
      <c r="E3526" s="124"/>
      <c r="F3526" s="124"/>
      <c r="G3526" s="124"/>
      <c r="H3526" s="124"/>
      <c r="I3526" s="124"/>
      <c r="J3526" s="124"/>
      <c r="K3526" s="124"/>
      <c r="L3526" s="124"/>
      <c r="M3526" s="124"/>
      <c r="N3526" s="124"/>
      <c r="O3526" s="124"/>
      <c r="P3526" s="124"/>
      <c r="Q3526" s="124"/>
      <c r="R3526" s="124"/>
      <c r="S3526" s="124"/>
      <c r="T3526" s="124"/>
      <c r="U3526" s="124"/>
      <c r="V3526" s="124"/>
      <c r="W3526" s="124"/>
      <c r="X3526" s="124"/>
      <c r="Y3526" s="124"/>
      <c r="Z3526" s="124"/>
    </row>
    <row r="3527">
      <c r="A3527" s="124"/>
      <c r="B3527" s="124"/>
      <c r="C3527" s="147"/>
      <c r="D3527" s="124"/>
      <c r="E3527" s="124"/>
      <c r="F3527" s="124"/>
      <c r="G3527" s="124"/>
      <c r="H3527" s="124"/>
      <c r="I3527" s="124"/>
      <c r="J3527" s="124"/>
      <c r="K3527" s="124"/>
      <c r="L3527" s="124"/>
      <c r="M3527" s="124"/>
      <c r="N3527" s="124"/>
      <c r="O3527" s="124"/>
      <c r="P3527" s="124"/>
      <c r="Q3527" s="124"/>
      <c r="R3527" s="124"/>
      <c r="S3527" s="124"/>
      <c r="T3527" s="124"/>
      <c r="U3527" s="124"/>
      <c r="V3527" s="124"/>
      <c r="W3527" s="124"/>
      <c r="X3527" s="124"/>
      <c r="Y3527" s="124"/>
      <c r="Z3527" s="124"/>
    </row>
    <row r="3528">
      <c r="A3528" s="124"/>
      <c r="B3528" s="124"/>
      <c r="C3528" s="147"/>
      <c r="D3528" s="124"/>
      <c r="E3528" s="124"/>
      <c r="F3528" s="124"/>
      <c r="G3528" s="124"/>
      <c r="H3528" s="124"/>
      <c r="I3528" s="124"/>
      <c r="J3528" s="124"/>
      <c r="K3528" s="124"/>
      <c r="L3528" s="124"/>
      <c r="M3528" s="124"/>
      <c r="N3528" s="124"/>
      <c r="O3528" s="124"/>
      <c r="P3528" s="124"/>
      <c r="Q3528" s="124"/>
      <c r="R3528" s="124"/>
      <c r="S3528" s="124"/>
      <c r="T3528" s="124"/>
      <c r="U3528" s="124"/>
      <c r="V3528" s="124"/>
      <c r="W3528" s="124"/>
      <c r="X3528" s="124"/>
      <c r="Y3528" s="124"/>
      <c r="Z3528" s="124"/>
    </row>
    <row r="3529">
      <c r="A3529" s="124"/>
      <c r="B3529" s="124"/>
      <c r="C3529" s="147"/>
      <c r="D3529" s="124"/>
      <c r="E3529" s="124"/>
      <c r="F3529" s="124"/>
      <c r="G3529" s="124"/>
      <c r="H3529" s="124"/>
      <c r="I3529" s="124"/>
      <c r="J3529" s="124"/>
      <c r="K3529" s="124"/>
      <c r="L3529" s="124"/>
      <c r="M3529" s="124"/>
      <c r="N3529" s="124"/>
      <c r="O3529" s="124"/>
      <c r="P3529" s="124"/>
      <c r="Q3529" s="124"/>
      <c r="R3529" s="124"/>
      <c r="S3529" s="124"/>
      <c r="T3529" s="124"/>
      <c r="U3529" s="124"/>
      <c r="V3529" s="124"/>
      <c r="W3529" s="124"/>
      <c r="X3529" s="124"/>
      <c r="Y3529" s="124"/>
      <c r="Z3529" s="124"/>
    </row>
    <row r="3530">
      <c r="A3530" s="124"/>
      <c r="B3530" s="124"/>
      <c r="C3530" s="147"/>
      <c r="D3530" s="124"/>
      <c r="E3530" s="124"/>
      <c r="F3530" s="124"/>
      <c r="G3530" s="124"/>
      <c r="H3530" s="124"/>
      <c r="I3530" s="124"/>
      <c r="J3530" s="124"/>
      <c r="K3530" s="124"/>
      <c r="L3530" s="124"/>
      <c r="M3530" s="124"/>
      <c r="N3530" s="124"/>
      <c r="O3530" s="124"/>
      <c r="P3530" s="124"/>
      <c r="Q3530" s="124"/>
      <c r="R3530" s="124"/>
      <c r="S3530" s="124"/>
      <c r="T3530" s="124"/>
      <c r="U3530" s="124"/>
      <c r="V3530" s="124"/>
      <c r="W3530" s="124"/>
      <c r="X3530" s="124"/>
      <c r="Y3530" s="124"/>
      <c r="Z3530" s="124"/>
    </row>
    <row r="3531">
      <c r="A3531" s="124"/>
      <c r="B3531" s="124"/>
      <c r="C3531" s="147"/>
      <c r="D3531" s="124"/>
      <c r="E3531" s="124"/>
      <c r="F3531" s="124"/>
      <c r="G3531" s="124"/>
      <c r="H3531" s="124"/>
      <c r="I3531" s="124"/>
      <c r="J3531" s="124"/>
      <c r="K3531" s="124"/>
      <c r="L3531" s="124"/>
      <c r="M3531" s="124"/>
      <c r="N3531" s="124"/>
      <c r="O3531" s="124"/>
      <c r="P3531" s="124"/>
      <c r="Q3531" s="124"/>
      <c r="R3531" s="124"/>
      <c r="S3531" s="124"/>
      <c r="T3531" s="124"/>
      <c r="U3531" s="124"/>
      <c r="V3531" s="124"/>
      <c r="W3531" s="124"/>
      <c r="X3531" s="124"/>
      <c r="Y3531" s="124"/>
      <c r="Z3531" s="124"/>
    </row>
    <row r="3532">
      <c r="A3532" s="124"/>
      <c r="B3532" s="124"/>
      <c r="C3532" s="147"/>
      <c r="D3532" s="124"/>
      <c r="E3532" s="124"/>
      <c r="F3532" s="124"/>
      <c r="G3532" s="124"/>
      <c r="H3532" s="124"/>
      <c r="I3532" s="124"/>
      <c r="J3532" s="124"/>
      <c r="K3532" s="124"/>
      <c r="L3532" s="124"/>
      <c r="M3532" s="124"/>
      <c r="N3532" s="124"/>
      <c r="O3532" s="124"/>
      <c r="P3532" s="124"/>
      <c r="Q3532" s="124"/>
      <c r="R3532" s="124"/>
      <c r="S3532" s="124"/>
      <c r="T3532" s="124"/>
      <c r="U3532" s="124"/>
      <c r="V3532" s="124"/>
      <c r="W3532" s="124"/>
      <c r="X3532" s="124"/>
      <c r="Y3532" s="124"/>
      <c r="Z3532" s="124"/>
    </row>
    <row r="3533">
      <c r="A3533" s="124"/>
      <c r="B3533" s="124"/>
      <c r="C3533" s="147"/>
      <c r="D3533" s="124"/>
      <c r="E3533" s="124"/>
      <c r="F3533" s="124"/>
      <c r="G3533" s="124"/>
      <c r="H3533" s="124"/>
      <c r="I3533" s="124"/>
      <c r="J3533" s="124"/>
      <c r="K3533" s="124"/>
      <c r="L3533" s="124"/>
      <c r="M3533" s="124"/>
      <c r="N3533" s="124"/>
      <c r="O3533" s="124"/>
      <c r="P3533" s="124"/>
      <c r="Q3533" s="124"/>
      <c r="R3533" s="124"/>
      <c r="S3533" s="124"/>
      <c r="T3533" s="124"/>
      <c r="U3533" s="124"/>
      <c r="V3533" s="124"/>
      <c r="W3533" s="124"/>
      <c r="X3533" s="124"/>
      <c r="Y3533" s="124"/>
      <c r="Z3533" s="124"/>
    </row>
    <row r="3534">
      <c r="A3534" s="124"/>
      <c r="B3534" s="124"/>
      <c r="C3534" s="147"/>
      <c r="D3534" s="124"/>
      <c r="E3534" s="124"/>
      <c r="F3534" s="124"/>
      <c r="G3534" s="124"/>
      <c r="H3534" s="124"/>
      <c r="I3534" s="124"/>
      <c r="J3534" s="124"/>
      <c r="K3534" s="124"/>
      <c r="L3534" s="124"/>
      <c r="M3534" s="124"/>
      <c r="N3534" s="124"/>
      <c r="O3534" s="124"/>
      <c r="P3534" s="124"/>
      <c r="Q3534" s="124"/>
      <c r="R3534" s="124"/>
      <c r="S3534" s="124"/>
      <c r="T3534" s="124"/>
      <c r="U3534" s="124"/>
      <c r="V3534" s="124"/>
      <c r="W3534" s="124"/>
      <c r="X3534" s="124"/>
      <c r="Y3534" s="124"/>
      <c r="Z3534" s="124"/>
    </row>
    <row r="3535">
      <c r="A3535" s="124"/>
      <c r="B3535" s="124"/>
      <c r="C3535" s="147"/>
      <c r="D3535" s="124"/>
      <c r="E3535" s="124"/>
      <c r="F3535" s="124"/>
      <c r="G3535" s="124"/>
      <c r="H3535" s="124"/>
      <c r="I3535" s="124"/>
      <c r="J3535" s="124"/>
      <c r="K3535" s="124"/>
      <c r="L3535" s="124"/>
      <c r="M3535" s="124"/>
      <c r="N3535" s="124"/>
      <c r="O3535" s="124"/>
      <c r="P3535" s="124"/>
      <c r="Q3535" s="124"/>
      <c r="R3535" s="124"/>
      <c r="S3535" s="124"/>
      <c r="T3535" s="124"/>
      <c r="U3535" s="124"/>
      <c r="V3535" s="124"/>
      <c r="W3535" s="124"/>
      <c r="X3535" s="124"/>
      <c r="Y3535" s="124"/>
      <c r="Z3535" s="124"/>
    </row>
    <row r="3536">
      <c r="A3536" s="124"/>
      <c r="B3536" s="124"/>
      <c r="C3536" s="147"/>
      <c r="D3536" s="124"/>
      <c r="E3536" s="124"/>
      <c r="F3536" s="124"/>
      <c r="G3536" s="124"/>
      <c r="H3536" s="124"/>
      <c r="I3536" s="124"/>
      <c r="J3536" s="124"/>
      <c r="K3536" s="124"/>
      <c r="L3536" s="124"/>
      <c r="M3536" s="124"/>
      <c r="N3536" s="124"/>
      <c r="O3536" s="124"/>
      <c r="P3536" s="124"/>
      <c r="Q3536" s="124"/>
      <c r="R3536" s="124"/>
      <c r="S3536" s="124"/>
      <c r="T3536" s="124"/>
      <c r="U3536" s="124"/>
      <c r="V3536" s="124"/>
      <c r="W3536" s="124"/>
      <c r="X3536" s="124"/>
      <c r="Y3536" s="124"/>
      <c r="Z3536" s="124"/>
    </row>
    <row r="3537">
      <c r="A3537" s="124"/>
      <c r="B3537" s="124"/>
      <c r="C3537" s="147"/>
      <c r="D3537" s="124"/>
      <c r="E3537" s="124"/>
      <c r="F3537" s="124"/>
      <c r="G3537" s="124"/>
      <c r="H3537" s="124"/>
      <c r="I3537" s="124"/>
      <c r="J3537" s="124"/>
      <c r="K3537" s="124"/>
      <c r="L3537" s="124"/>
      <c r="M3537" s="124"/>
      <c r="N3537" s="124"/>
      <c r="O3537" s="124"/>
      <c r="P3537" s="124"/>
      <c r="Q3537" s="124"/>
      <c r="R3537" s="124"/>
      <c r="S3537" s="124"/>
      <c r="T3537" s="124"/>
      <c r="U3537" s="124"/>
      <c r="V3537" s="124"/>
      <c r="W3537" s="124"/>
      <c r="X3537" s="124"/>
      <c r="Y3537" s="124"/>
      <c r="Z3537" s="124"/>
    </row>
    <row r="3538">
      <c r="A3538" s="124"/>
      <c r="B3538" s="124"/>
      <c r="C3538" s="147"/>
      <c r="D3538" s="124"/>
      <c r="E3538" s="124"/>
      <c r="F3538" s="124"/>
      <c r="G3538" s="124"/>
      <c r="H3538" s="124"/>
      <c r="I3538" s="124"/>
      <c r="J3538" s="124"/>
      <c r="K3538" s="124"/>
      <c r="L3538" s="124"/>
      <c r="M3538" s="124"/>
      <c r="N3538" s="124"/>
      <c r="O3538" s="124"/>
      <c r="P3538" s="124"/>
      <c r="Q3538" s="124"/>
      <c r="R3538" s="124"/>
      <c r="S3538" s="124"/>
      <c r="T3538" s="124"/>
      <c r="U3538" s="124"/>
      <c r="V3538" s="124"/>
      <c r="W3538" s="124"/>
      <c r="X3538" s="124"/>
      <c r="Y3538" s="124"/>
      <c r="Z3538" s="124"/>
    </row>
    <row r="3539">
      <c r="A3539" s="124"/>
      <c r="B3539" s="124"/>
      <c r="C3539" s="147"/>
      <c r="D3539" s="124"/>
      <c r="E3539" s="124"/>
      <c r="F3539" s="124"/>
      <c r="G3539" s="124"/>
      <c r="H3539" s="124"/>
      <c r="I3539" s="124"/>
      <c r="J3539" s="124"/>
      <c r="K3539" s="124"/>
      <c r="L3539" s="124"/>
      <c r="M3539" s="124"/>
      <c r="N3539" s="124"/>
      <c r="O3539" s="124"/>
      <c r="P3539" s="124"/>
      <c r="Q3539" s="124"/>
      <c r="R3539" s="124"/>
      <c r="S3539" s="124"/>
      <c r="T3539" s="124"/>
      <c r="U3539" s="124"/>
      <c r="V3539" s="124"/>
      <c r="W3539" s="124"/>
      <c r="X3539" s="124"/>
      <c r="Y3539" s="124"/>
      <c r="Z3539" s="124"/>
    </row>
    <row r="3540">
      <c r="A3540" s="124"/>
      <c r="B3540" s="124"/>
      <c r="C3540" s="147"/>
      <c r="D3540" s="124"/>
      <c r="E3540" s="124"/>
      <c r="F3540" s="124"/>
      <c r="G3540" s="124"/>
      <c r="H3540" s="124"/>
      <c r="I3540" s="124"/>
      <c r="J3540" s="124"/>
      <c r="K3540" s="124"/>
      <c r="L3540" s="124"/>
      <c r="M3540" s="124"/>
      <c r="N3540" s="124"/>
      <c r="O3540" s="124"/>
      <c r="P3540" s="124"/>
      <c r="Q3540" s="124"/>
      <c r="R3540" s="124"/>
      <c r="S3540" s="124"/>
      <c r="T3540" s="124"/>
      <c r="U3540" s="124"/>
      <c r="V3540" s="124"/>
      <c r="W3540" s="124"/>
      <c r="X3540" s="124"/>
      <c r="Y3540" s="124"/>
      <c r="Z3540" s="124"/>
    </row>
    <row r="3541">
      <c r="A3541" s="124"/>
      <c r="B3541" s="124"/>
      <c r="C3541" s="147"/>
      <c r="D3541" s="124"/>
      <c r="E3541" s="124"/>
      <c r="F3541" s="124"/>
      <c r="G3541" s="124"/>
      <c r="H3541" s="124"/>
      <c r="I3541" s="124"/>
      <c r="J3541" s="124"/>
      <c r="K3541" s="124"/>
      <c r="L3541" s="124"/>
      <c r="M3541" s="124"/>
      <c r="N3541" s="124"/>
      <c r="O3541" s="124"/>
      <c r="P3541" s="124"/>
      <c r="Q3541" s="124"/>
      <c r="R3541" s="124"/>
      <c r="S3541" s="124"/>
      <c r="T3541" s="124"/>
      <c r="U3541" s="124"/>
      <c r="V3541" s="124"/>
      <c r="W3541" s="124"/>
      <c r="X3541" s="124"/>
      <c r="Y3541" s="124"/>
      <c r="Z3541" s="124"/>
    </row>
    <row r="3542">
      <c r="A3542" s="124"/>
      <c r="B3542" s="124"/>
      <c r="C3542" s="147"/>
      <c r="D3542" s="124"/>
      <c r="E3542" s="124"/>
      <c r="F3542" s="124"/>
      <c r="G3542" s="124"/>
      <c r="H3542" s="124"/>
      <c r="I3542" s="124"/>
      <c r="J3542" s="124"/>
      <c r="K3542" s="124"/>
      <c r="L3542" s="124"/>
      <c r="M3542" s="124"/>
      <c r="N3542" s="124"/>
      <c r="O3542" s="124"/>
      <c r="P3542" s="124"/>
      <c r="Q3542" s="124"/>
      <c r="R3542" s="124"/>
      <c r="S3542" s="124"/>
      <c r="T3542" s="124"/>
      <c r="U3542" s="124"/>
      <c r="V3542" s="124"/>
      <c r="W3542" s="124"/>
      <c r="X3542" s="124"/>
      <c r="Y3542" s="124"/>
      <c r="Z3542" s="124"/>
    </row>
    <row r="3543">
      <c r="A3543" s="124"/>
      <c r="B3543" s="124"/>
      <c r="C3543" s="147"/>
      <c r="D3543" s="124"/>
      <c r="E3543" s="124"/>
      <c r="F3543" s="124"/>
      <c r="G3543" s="124"/>
      <c r="H3543" s="124"/>
      <c r="I3543" s="124"/>
      <c r="J3543" s="124"/>
      <c r="K3543" s="124"/>
      <c r="L3543" s="124"/>
      <c r="M3543" s="124"/>
      <c r="N3543" s="124"/>
      <c r="O3543" s="124"/>
      <c r="P3543" s="124"/>
      <c r="Q3543" s="124"/>
      <c r="R3543" s="124"/>
      <c r="S3543" s="124"/>
      <c r="T3543" s="124"/>
      <c r="U3543" s="124"/>
      <c r="V3543" s="124"/>
      <c r="W3543" s="124"/>
      <c r="X3543" s="124"/>
      <c r="Y3543" s="124"/>
      <c r="Z3543" s="124"/>
    </row>
    <row r="3544">
      <c r="A3544" s="124"/>
      <c r="B3544" s="124"/>
      <c r="C3544" s="147"/>
      <c r="D3544" s="124"/>
      <c r="E3544" s="124"/>
      <c r="F3544" s="124"/>
      <c r="G3544" s="124"/>
      <c r="H3544" s="124"/>
      <c r="I3544" s="124"/>
      <c r="J3544" s="124"/>
      <c r="K3544" s="124"/>
      <c r="L3544" s="124"/>
      <c r="M3544" s="124"/>
      <c r="N3544" s="124"/>
      <c r="O3544" s="124"/>
      <c r="P3544" s="124"/>
      <c r="Q3544" s="124"/>
      <c r="R3544" s="124"/>
      <c r="S3544" s="124"/>
      <c r="T3544" s="124"/>
      <c r="U3544" s="124"/>
      <c r="V3544" s="124"/>
      <c r="W3544" s="124"/>
      <c r="X3544" s="124"/>
      <c r="Y3544" s="124"/>
      <c r="Z3544" s="124"/>
    </row>
    <row r="3545">
      <c r="A3545" s="124"/>
      <c r="B3545" s="124"/>
      <c r="C3545" s="147"/>
      <c r="D3545" s="124"/>
      <c r="E3545" s="124"/>
      <c r="F3545" s="124"/>
      <c r="G3545" s="124"/>
      <c r="H3545" s="124"/>
      <c r="I3545" s="124"/>
      <c r="J3545" s="124"/>
      <c r="K3545" s="124"/>
      <c r="L3545" s="124"/>
      <c r="M3545" s="124"/>
      <c r="N3545" s="124"/>
      <c r="O3545" s="124"/>
      <c r="P3545" s="124"/>
      <c r="Q3545" s="124"/>
      <c r="R3545" s="124"/>
      <c r="S3545" s="124"/>
      <c r="T3545" s="124"/>
      <c r="U3545" s="124"/>
      <c r="V3545" s="124"/>
      <c r="W3545" s="124"/>
      <c r="X3545" s="124"/>
      <c r="Y3545" s="124"/>
      <c r="Z3545" s="124"/>
    </row>
    <row r="3546">
      <c r="A3546" s="124"/>
      <c r="B3546" s="124"/>
      <c r="C3546" s="147"/>
      <c r="D3546" s="124"/>
      <c r="E3546" s="124"/>
      <c r="F3546" s="124"/>
      <c r="G3546" s="124"/>
      <c r="H3546" s="124"/>
      <c r="I3546" s="124"/>
      <c r="J3546" s="124"/>
      <c r="K3546" s="124"/>
      <c r="L3546" s="124"/>
      <c r="M3546" s="124"/>
      <c r="N3546" s="124"/>
      <c r="O3546" s="124"/>
      <c r="P3546" s="124"/>
      <c r="Q3546" s="124"/>
      <c r="R3546" s="124"/>
      <c r="S3546" s="124"/>
      <c r="T3546" s="124"/>
      <c r="U3546" s="124"/>
      <c r="V3546" s="124"/>
      <c r="W3546" s="124"/>
      <c r="X3546" s="124"/>
      <c r="Y3546" s="124"/>
      <c r="Z3546" s="124"/>
    </row>
    <row r="3547">
      <c r="A3547" s="124"/>
      <c r="B3547" s="124"/>
      <c r="C3547" s="147"/>
      <c r="D3547" s="124"/>
      <c r="E3547" s="124"/>
      <c r="F3547" s="124"/>
      <c r="G3547" s="124"/>
      <c r="H3547" s="124"/>
      <c r="I3547" s="124"/>
      <c r="J3547" s="124"/>
      <c r="K3547" s="124"/>
      <c r="L3547" s="124"/>
      <c r="M3547" s="124"/>
      <c r="N3547" s="124"/>
      <c r="O3547" s="124"/>
      <c r="P3547" s="124"/>
      <c r="Q3547" s="124"/>
      <c r="R3547" s="124"/>
      <c r="S3547" s="124"/>
      <c r="T3547" s="124"/>
      <c r="U3547" s="124"/>
      <c r="V3547" s="124"/>
      <c r="W3547" s="124"/>
      <c r="X3547" s="124"/>
      <c r="Y3547" s="124"/>
      <c r="Z3547" s="124"/>
    </row>
    <row r="3548">
      <c r="A3548" s="124"/>
      <c r="B3548" s="124"/>
      <c r="C3548" s="147"/>
      <c r="D3548" s="124"/>
      <c r="E3548" s="124"/>
      <c r="F3548" s="124"/>
      <c r="G3548" s="124"/>
      <c r="H3548" s="124"/>
      <c r="I3548" s="124"/>
      <c r="J3548" s="124"/>
      <c r="K3548" s="124"/>
      <c r="L3548" s="124"/>
      <c r="M3548" s="124"/>
      <c r="N3548" s="124"/>
      <c r="O3548" s="124"/>
      <c r="P3548" s="124"/>
      <c r="Q3548" s="124"/>
      <c r="R3548" s="124"/>
      <c r="S3548" s="124"/>
      <c r="T3548" s="124"/>
      <c r="U3548" s="124"/>
      <c r="V3548" s="124"/>
      <c r="W3548" s="124"/>
      <c r="X3548" s="124"/>
      <c r="Y3548" s="124"/>
      <c r="Z3548" s="124"/>
    </row>
    <row r="3549">
      <c r="A3549" s="124"/>
      <c r="B3549" s="124"/>
      <c r="C3549" s="147"/>
      <c r="D3549" s="124"/>
      <c r="E3549" s="124"/>
      <c r="F3549" s="124"/>
      <c r="G3549" s="124"/>
      <c r="H3549" s="124"/>
      <c r="I3549" s="124"/>
      <c r="J3549" s="124"/>
      <c r="K3549" s="124"/>
      <c r="L3549" s="124"/>
      <c r="M3549" s="124"/>
      <c r="N3549" s="124"/>
      <c r="O3549" s="124"/>
      <c r="P3549" s="124"/>
      <c r="Q3549" s="124"/>
      <c r="R3549" s="124"/>
      <c r="S3549" s="124"/>
      <c r="T3549" s="124"/>
      <c r="U3549" s="124"/>
      <c r="V3549" s="124"/>
      <c r="W3549" s="124"/>
      <c r="X3549" s="124"/>
      <c r="Y3549" s="124"/>
      <c r="Z3549" s="124"/>
    </row>
    <row r="3550">
      <c r="A3550" s="124"/>
      <c r="B3550" s="124"/>
      <c r="C3550" s="147"/>
      <c r="D3550" s="124"/>
      <c r="E3550" s="124"/>
      <c r="F3550" s="124"/>
      <c r="G3550" s="124"/>
      <c r="H3550" s="124"/>
      <c r="I3550" s="124"/>
      <c r="J3550" s="124"/>
      <c r="K3550" s="124"/>
      <c r="L3550" s="124"/>
      <c r="M3550" s="124"/>
      <c r="N3550" s="124"/>
      <c r="O3550" s="124"/>
      <c r="P3550" s="124"/>
      <c r="Q3550" s="124"/>
      <c r="R3550" s="124"/>
      <c r="S3550" s="124"/>
      <c r="T3550" s="124"/>
      <c r="U3550" s="124"/>
      <c r="V3550" s="124"/>
      <c r="W3550" s="124"/>
      <c r="X3550" s="124"/>
      <c r="Y3550" s="124"/>
      <c r="Z3550" s="124"/>
    </row>
    <row r="3551">
      <c r="A3551" s="124"/>
      <c r="B3551" s="124"/>
      <c r="C3551" s="147"/>
      <c r="D3551" s="124"/>
      <c r="E3551" s="124"/>
      <c r="F3551" s="124"/>
      <c r="G3551" s="124"/>
      <c r="H3551" s="124"/>
      <c r="I3551" s="124"/>
      <c r="J3551" s="124"/>
      <c r="K3551" s="124"/>
      <c r="L3551" s="124"/>
      <c r="M3551" s="124"/>
      <c r="N3551" s="124"/>
      <c r="O3551" s="124"/>
      <c r="P3551" s="124"/>
      <c r="Q3551" s="124"/>
      <c r="R3551" s="124"/>
      <c r="S3551" s="124"/>
      <c r="T3551" s="124"/>
      <c r="U3551" s="124"/>
      <c r="V3551" s="124"/>
      <c r="W3551" s="124"/>
      <c r="X3551" s="124"/>
      <c r="Y3551" s="124"/>
      <c r="Z3551" s="124"/>
    </row>
    <row r="3552">
      <c r="A3552" s="124"/>
      <c r="B3552" s="124"/>
      <c r="C3552" s="147"/>
      <c r="D3552" s="124"/>
      <c r="E3552" s="124"/>
      <c r="F3552" s="124"/>
      <c r="G3552" s="124"/>
      <c r="H3552" s="124"/>
      <c r="I3552" s="124"/>
      <c r="J3552" s="124"/>
      <c r="K3552" s="124"/>
      <c r="L3552" s="124"/>
      <c r="M3552" s="124"/>
      <c r="N3552" s="124"/>
      <c r="O3552" s="124"/>
      <c r="P3552" s="124"/>
      <c r="Q3552" s="124"/>
      <c r="R3552" s="124"/>
      <c r="S3552" s="124"/>
      <c r="T3552" s="124"/>
      <c r="U3552" s="124"/>
      <c r="V3552" s="124"/>
      <c r="W3552" s="124"/>
      <c r="X3552" s="124"/>
      <c r="Y3552" s="124"/>
      <c r="Z3552" s="124"/>
    </row>
    <row r="3553">
      <c r="A3553" s="124"/>
      <c r="B3553" s="124"/>
      <c r="C3553" s="147"/>
      <c r="D3553" s="124"/>
      <c r="E3553" s="124"/>
      <c r="F3553" s="124"/>
      <c r="G3553" s="124"/>
      <c r="H3553" s="124"/>
      <c r="I3553" s="124"/>
      <c r="J3553" s="124"/>
      <c r="K3553" s="124"/>
      <c r="L3553" s="124"/>
      <c r="M3553" s="124"/>
      <c r="N3553" s="124"/>
      <c r="O3553" s="124"/>
      <c r="P3553" s="124"/>
      <c r="Q3553" s="124"/>
      <c r="R3553" s="124"/>
      <c r="S3553" s="124"/>
      <c r="T3553" s="124"/>
      <c r="U3553" s="124"/>
      <c r="V3553" s="124"/>
      <c r="W3553" s="124"/>
      <c r="X3553" s="124"/>
      <c r="Y3553" s="124"/>
      <c r="Z3553" s="124"/>
    </row>
    <row r="3554">
      <c r="A3554" s="124"/>
      <c r="B3554" s="124"/>
      <c r="C3554" s="147"/>
      <c r="D3554" s="124"/>
      <c r="E3554" s="124"/>
      <c r="F3554" s="124"/>
      <c r="G3554" s="124"/>
      <c r="H3554" s="124"/>
      <c r="I3554" s="124"/>
      <c r="J3554" s="124"/>
      <c r="K3554" s="124"/>
      <c r="L3554" s="124"/>
      <c r="M3554" s="124"/>
      <c r="N3554" s="124"/>
      <c r="O3554" s="124"/>
      <c r="P3554" s="124"/>
      <c r="Q3554" s="124"/>
      <c r="R3554" s="124"/>
      <c r="S3554" s="124"/>
      <c r="T3554" s="124"/>
      <c r="U3554" s="124"/>
      <c r="V3554" s="124"/>
      <c r="W3554" s="124"/>
      <c r="X3554" s="124"/>
      <c r="Y3554" s="124"/>
      <c r="Z3554" s="124"/>
    </row>
    <row r="3555">
      <c r="A3555" s="124"/>
      <c r="B3555" s="124"/>
      <c r="C3555" s="147"/>
      <c r="D3555" s="124"/>
      <c r="E3555" s="124"/>
      <c r="F3555" s="124"/>
      <c r="G3555" s="124"/>
      <c r="H3555" s="124"/>
      <c r="I3555" s="124"/>
      <c r="J3555" s="124"/>
      <c r="K3555" s="124"/>
      <c r="L3555" s="124"/>
      <c r="M3555" s="124"/>
      <c r="N3555" s="124"/>
      <c r="O3555" s="124"/>
      <c r="P3555" s="124"/>
      <c r="Q3555" s="124"/>
      <c r="R3555" s="124"/>
      <c r="S3555" s="124"/>
      <c r="T3555" s="124"/>
      <c r="U3555" s="124"/>
      <c r="V3555" s="124"/>
      <c r="W3555" s="124"/>
      <c r="X3555" s="124"/>
      <c r="Y3555" s="124"/>
      <c r="Z3555" s="124"/>
    </row>
    <row r="3556">
      <c r="A3556" s="124"/>
      <c r="B3556" s="124"/>
      <c r="C3556" s="147"/>
      <c r="D3556" s="124"/>
      <c r="E3556" s="124"/>
      <c r="F3556" s="124"/>
      <c r="G3556" s="124"/>
      <c r="H3556" s="124"/>
      <c r="I3556" s="124"/>
      <c r="J3556" s="124"/>
      <c r="K3556" s="124"/>
      <c r="L3556" s="124"/>
      <c r="M3556" s="124"/>
      <c r="N3556" s="124"/>
      <c r="O3556" s="124"/>
      <c r="P3556" s="124"/>
      <c r="Q3556" s="124"/>
      <c r="R3556" s="124"/>
      <c r="S3556" s="124"/>
      <c r="T3556" s="124"/>
      <c r="U3556" s="124"/>
      <c r="V3556" s="124"/>
      <c r="W3556" s="124"/>
      <c r="X3556" s="124"/>
      <c r="Y3556" s="124"/>
      <c r="Z3556" s="124"/>
    </row>
    <row r="3557">
      <c r="A3557" s="124"/>
      <c r="B3557" s="124"/>
      <c r="C3557" s="147"/>
      <c r="D3557" s="124"/>
      <c r="E3557" s="124"/>
      <c r="F3557" s="124"/>
      <c r="G3557" s="124"/>
      <c r="H3557" s="124"/>
      <c r="I3557" s="124"/>
      <c r="J3557" s="124"/>
      <c r="K3557" s="124"/>
      <c r="L3557" s="124"/>
      <c r="M3557" s="124"/>
      <c r="N3557" s="124"/>
      <c r="O3557" s="124"/>
      <c r="P3557" s="124"/>
      <c r="Q3557" s="124"/>
      <c r="R3557" s="124"/>
      <c r="S3557" s="124"/>
      <c r="T3557" s="124"/>
      <c r="U3557" s="124"/>
      <c r="V3557" s="124"/>
      <c r="W3557" s="124"/>
      <c r="X3557" s="124"/>
      <c r="Y3557" s="124"/>
      <c r="Z3557" s="124"/>
    </row>
    <row r="3558">
      <c r="A3558" s="124"/>
      <c r="B3558" s="124"/>
      <c r="C3558" s="147"/>
      <c r="D3558" s="124"/>
      <c r="E3558" s="124"/>
      <c r="F3558" s="124"/>
      <c r="G3558" s="124"/>
      <c r="H3558" s="124"/>
      <c r="I3558" s="124"/>
      <c r="J3558" s="124"/>
      <c r="K3558" s="124"/>
      <c r="L3558" s="124"/>
      <c r="M3558" s="124"/>
      <c r="N3558" s="124"/>
      <c r="O3558" s="124"/>
      <c r="P3558" s="124"/>
      <c r="Q3558" s="124"/>
      <c r="R3558" s="124"/>
      <c r="S3558" s="124"/>
      <c r="T3558" s="124"/>
      <c r="U3558" s="124"/>
      <c r="V3558" s="124"/>
      <c r="W3558" s="124"/>
      <c r="X3558" s="124"/>
      <c r="Y3558" s="124"/>
      <c r="Z3558" s="124"/>
    </row>
    <row r="3559">
      <c r="A3559" s="124"/>
      <c r="B3559" s="124"/>
      <c r="C3559" s="147"/>
      <c r="D3559" s="124"/>
      <c r="E3559" s="124"/>
      <c r="F3559" s="124"/>
      <c r="G3559" s="124"/>
      <c r="H3559" s="124"/>
      <c r="I3559" s="124"/>
      <c r="J3559" s="124"/>
      <c r="K3559" s="124"/>
      <c r="L3559" s="124"/>
      <c r="M3559" s="124"/>
      <c r="N3559" s="124"/>
      <c r="O3559" s="124"/>
      <c r="P3559" s="124"/>
      <c r="Q3559" s="124"/>
      <c r="R3559" s="124"/>
      <c r="S3559" s="124"/>
      <c r="T3559" s="124"/>
      <c r="U3559" s="124"/>
      <c r="V3559" s="124"/>
      <c r="W3559" s="124"/>
      <c r="X3559" s="124"/>
      <c r="Y3559" s="124"/>
      <c r="Z3559" s="124"/>
    </row>
    <row r="3560">
      <c r="A3560" s="124"/>
      <c r="B3560" s="124"/>
      <c r="C3560" s="147"/>
      <c r="D3560" s="124"/>
      <c r="E3560" s="124"/>
      <c r="F3560" s="124"/>
      <c r="G3560" s="124"/>
      <c r="H3560" s="124"/>
      <c r="I3560" s="124"/>
      <c r="J3560" s="124"/>
      <c r="K3560" s="124"/>
      <c r="L3560" s="124"/>
      <c r="M3560" s="124"/>
      <c r="N3560" s="124"/>
      <c r="O3560" s="124"/>
      <c r="P3560" s="124"/>
      <c r="Q3560" s="124"/>
      <c r="R3560" s="124"/>
      <c r="S3560" s="124"/>
      <c r="T3560" s="124"/>
      <c r="U3560" s="124"/>
      <c r="V3560" s="124"/>
      <c r="W3560" s="124"/>
      <c r="X3560" s="124"/>
      <c r="Y3560" s="124"/>
      <c r="Z3560" s="124"/>
    </row>
    <row r="3561">
      <c r="A3561" s="124"/>
      <c r="B3561" s="124"/>
      <c r="C3561" s="147"/>
      <c r="D3561" s="124"/>
      <c r="E3561" s="124"/>
      <c r="F3561" s="124"/>
      <c r="G3561" s="124"/>
      <c r="H3561" s="124"/>
      <c r="I3561" s="124"/>
      <c r="J3561" s="124"/>
      <c r="K3561" s="124"/>
      <c r="L3561" s="124"/>
      <c r="M3561" s="124"/>
      <c r="N3561" s="124"/>
      <c r="O3561" s="124"/>
      <c r="P3561" s="124"/>
      <c r="Q3561" s="124"/>
      <c r="R3561" s="124"/>
      <c r="S3561" s="124"/>
      <c r="T3561" s="124"/>
      <c r="U3561" s="124"/>
      <c r="V3561" s="124"/>
      <c r="W3561" s="124"/>
      <c r="X3561" s="124"/>
      <c r="Y3561" s="124"/>
      <c r="Z3561" s="124"/>
    </row>
    <row r="3562">
      <c r="A3562" s="124"/>
      <c r="B3562" s="124"/>
      <c r="C3562" s="147"/>
      <c r="D3562" s="124"/>
      <c r="E3562" s="124"/>
      <c r="F3562" s="124"/>
      <c r="G3562" s="124"/>
      <c r="H3562" s="124"/>
      <c r="I3562" s="124"/>
      <c r="J3562" s="124"/>
      <c r="K3562" s="124"/>
      <c r="L3562" s="124"/>
      <c r="M3562" s="124"/>
      <c r="N3562" s="124"/>
      <c r="O3562" s="124"/>
      <c r="P3562" s="124"/>
      <c r="Q3562" s="124"/>
      <c r="R3562" s="124"/>
      <c r="S3562" s="124"/>
      <c r="T3562" s="124"/>
      <c r="U3562" s="124"/>
      <c r="V3562" s="124"/>
      <c r="W3562" s="124"/>
      <c r="X3562" s="124"/>
      <c r="Y3562" s="124"/>
      <c r="Z3562" s="124"/>
    </row>
    <row r="3563">
      <c r="A3563" s="124"/>
      <c r="B3563" s="124"/>
      <c r="C3563" s="147"/>
      <c r="D3563" s="124"/>
      <c r="E3563" s="124"/>
      <c r="F3563" s="124"/>
      <c r="G3563" s="124"/>
      <c r="H3563" s="124"/>
      <c r="I3563" s="124"/>
      <c r="J3563" s="124"/>
      <c r="K3563" s="124"/>
      <c r="L3563" s="124"/>
      <c r="M3563" s="124"/>
      <c r="N3563" s="124"/>
      <c r="O3563" s="124"/>
      <c r="P3563" s="124"/>
      <c r="Q3563" s="124"/>
      <c r="R3563" s="124"/>
      <c r="S3563" s="124"/>
      <c r="T3563" s="124"/>
      <c r="U3563" s="124"/>
      <c r="V3563" s="124"/>
      <c r="W3563" s="124"/>
      <c r="X3563" s="124"/>
      <c r="Y3563" s="124"/>
      <c r="Z3563" s="124"/>
    </row>
    <row r="3564">
      <c r="A3564" s="124"/>
      <c r="B3564" s="124"/>
      <c r="C3564" s="147"/>
      <c r="D3564" s="124"/>
      <c r="E3564" s="124"/>
      <c r="F3564" s="124"/>
      <c r="G3564" s="124"/>
      <c r="H3564" s="124"/>
      <c r="I3564" s="124"/>
      <c r="J3564" s="124"/>
      <c r="K3564" s="124"/>
      <c r="L3564" s="124"/>
      <c r="M3564" s="124"/>
      <c r="N3564" s="124"/>
      <c r="O3564" s="124"/>
      <c r="P3564" s="124"/>
      <c r="Q3564" s="124"/>
      <c r="R3564" s="124"/>
      <c r="S3564" s="124"/>
      <c r="T3564" s="124"/>
      <c r="U3564" s="124"/>
      <c r="V3564" s="124"/>
      <c r="W3564" s="124"/>
      <c r="X3564" s="124"/>
      <c r="Y3564" s="124"/>
      <c r="Z3564" s="124"/>
    </row>
    <row r="3565">
      <c r="A3565" s="124"/>
      <c r="B3565" s="124"/>
      <c r="C3565" s="147"/>
      <c r="D3565" s="124"/>
      <c r="E3565" s="124"/>
      <c r="F3565" s="124"/>
      <c r="G3565" s="124"/>
      <c r="H3565" s="124"/>
      <c r="I3565" s="124"/>
      <c r="J3565" s="124"/>
      <c r="K3565" s="124"/>
      <c r="L3565" s="124"/>
      <c r="M3565" s="124"/>
      <c r="N3565" s="124"/>
      <c r="O3565" s="124"/>
      <c r="P3565" s="124"/>
      <c r="Q3565" s="124"/>
      <c r="R3565" s="124"/>
      <c r="S3565" s="124"/>
      <c r="T3565" s="124"/>
      <c r="U3565" s="124"/>
      <c r="V3565" s="124"/>
      <c r="W3565" s="124"/>
      <c r="X3565" s="124"/>
      <c r="Y3565" s="124"/>
      <c r="Z3565" s="124"/>
    </row>
    <row r="3566">
      <c r="A3566" s="124"/>
      <c r="B3566" s="124"/>
      <c r="C3566" s="147"/>
      <c r="D3566" s="124"/>
      <c r="E3566" s="124"/>
      <c r="F3566" s="124"/>
      <c r="G3566" s="124"/>
      <c r="H3566" s="124"/>
      <c r="I3566" s="124"/>
      <c r="J3566" s="124"/>
      <c r="K3566" s="124"/>
      <c r="L3566" s="124"/>
      <c r="M3566" s="124"/>
      <c r="N3566" s="124"/>
      <c r="O3566" s="124"/>
      <c r="P3566" s="124"/>
      <c r="Q3566" s="124"/>
      <c r="R3566" s="124"/>
      <c r="S3566" s="124"/>
      <c r="T3566" s="124"/>
      <c r="U3566" s="124"/>
      <c r="V3566" s="124"/>
      <c r="W3566" s="124"/>
      <c r="X3566" s="124"/>
      <c r="Y3566" s="124"/>
      <c r="Z3566" s="124"/>
    </row>
    <row r="3567">
      <c r="A3567" s="124"/>
      <c r="B3567" s="124"/>
      <c r="C3567" s="147"/>
      <c r="D3567" s="124"/>
      <c r="E3567" s="124"/>
      <c r="F3567" s="124"/>
      <c r="G3567" s="124"/>
      <c r="H3567" s="124"/>
      <c r="I3567" s="124"/>
      <c r="J3567" s="124"/>
      <c r="K3567" s="124"/>
      <c r="L3567" s="124"/>
      <c r="M3567" s="124"/>
      <c r="N3567" s="124"/>
      <c r="O3567" s="124"/>
      <c r="P3567" s="124"/>
      <c r="Q3567" s="124"/>
      <c r="R3567" s="124"/>
      <c r="S3567" s="124"/>
      <c r="T3567" s="124"/>
      <c r="U3567" s="124"/>
      <c r="V3567" s="124"/>
      <c r="W3567" s="124"/>
      <c r="X3567" s="124"/>
      <c r="Y3567" s="124"/>
      <c r="Z3567" s="124"/>
    </row>
    <row r="3568">
      <c r="A3568" s="124"/>
      <c r="B3568" s="124"/>
      <c r="C3568" s="147"/>
      <c r="D3568" s="124"/>
      <c r="E3568" s="124"/>
      <c r="F3568" s="124"/>
      <c r="G3568" s="124"/>
      <c r="H3568" s="124"/>
      <c r="I3568" s="124"/>
      <c r="J3568" s="124"/>
      <c r="K3568" s="124"/>
      <c r="L3568" s="124"/>
      <c r="M3568" s="124"/>
      <c r="N3568" s="124"/>
      <c r="O3568" s="124"/>
      <c r="P3568" s="124"/>
      <c r="Q3568" s="124"/>
      <c r="R3568" s="124"/>
      <c r="S3568" s="124"/>
      <c r="T3568" s="124"/>
      <c r="U3568" s="124"/>
      <c r="V3568" s="124"/>
      <c r="W3568" s="124"/>
      <c r="X3568" s="124"/>
      <c r="Y3568" s="124"/>
      <c r="Z3568" s="124"/>
    </row>
    <row r="3569">
      <c r="A3569" s="124"/>
      <c r="B3569" s="124"/>
      <c r="C3569" s="147"/>
      <c r="D3569" s="124"/>
      <c r="E3569" s="124"/>
      <c r="F3569" s="124"/>
      <c r="G3569" s="124"/>
      <c r="H3569" s="124"/>
      <c r="I3569" s="124"/>
      <c r="J3569" s="124"/>
      <c r="K3569" s="124"/>
      <c r="L3569" s="124"/>
      <c r="M3569" s="124"/>
      <c r="N3569" s="124"/>
      <c r="O3569" s="124"/>
      <c r="P3569" s="124"/>
      <c r="Q3569" s="124"/>
      <c r="R3569" s="124"/>
      <c r="S3569" s="124"/>
      <c r="T3569" s="124"/>
      <c r="U3569" s="124"/>
      <c r="V3569" s="124"/>
      <c r="W3569" s="124"/>
      <c r="X3569" s="124"/>
      <c r="Y3569" s="124"/>
      <c r="Z3569" s="124"/>
    </row>
    <row r="3570">
      <c r="A3570" s="124"/>
      <c r="B3570" s="124"/>
      <c r="C3570" s="147"/>
      <c r="D3570" s="124"/>
      <c r="E3570" s="124"/>
      <c r="F3570" s="124"/>
      <c r="G3570" s="124"/>
      <c r="H3570" s="124"/>
      <c r="I3570" s="124"/>
      <c r="J3570" s="124"/>
      <c r="K3570" s="124"/>
      <c r="L3570" s="124"/>
      <c r="M3570" s="124"/>
      <c r="N3570" s="124"/>
      <c r="O3570" s="124"/>
      <c r="P3570" s="124"/>
      <c r="Q3570" s="124"/>
      <c r="R3570" s="124"/>
      <c r="S3570" s="124"/>
      <c r="T3570" s="124"/>
      <c r="U3570" s="124"/>
      <c r="V3570" s="124"/>
      <c r="W3570" s="124"/>
      <c r="X3570" s="124"/>
      <c r="Y3570" s="124"/>
      <c r="Z3570" s="124"/>
    </row>
    <row r="3571">
      <c r="A3571" s="124"/>
      <c r="B3571" s="124"/>
      <c r="C3571" s="147"/>
      <c r="D3571" s="124"/>
      <c r="E3571" s="124"/>
      <c r="F3571" s="124"/>
      <c r="G3571" s="124"/>
      <c r="H3571" s="124"/>
      <c r="I3571" s="124"/>
      <c r="J3571" s="124"/>
      <c r="K3571" s="124"/>
      <c r="L3571" s="124"/>
      <c r="M3571" s="124"/>
      <c r="N3571" s="124"/>
      <c r="O3571" s="124"/>
      <c r="P3571" s="124"/>
      <c r="Q3571" s="124"/>
      <c r="R3571" s="124"/>
      <c r="S3571" s="124"/>
      <c r="T3571" s="124"/>
      <c r="U3571" s="124"/>
      <c r="V3571" s="124"/>
      <c r="W3571" s="124"/>
      <c r="X3571" s="124"/>
      <c r="Y3571" s="124"/>
      <c r="Z3571" s="124"/>
    </row>
    <row r="3572">
      <c r="A3572" s="124"/>
      <c r="B3572" s="124"/>
      <c r="C3572" s="147"/>
      <c r="D3572" s="124"/>
      <c r="E3572" s="124"/>
      <c r="F3572" s="124"/>
      <c r="G3572" s="124"/>
      <c r="H3572" s="124"/>
      <c r="I3572" s="124"/>
      <c r="J3572" s="124"/>
      <c r="K3572" s="124"/>
      <c r="L3572" s="124"/>
      <c r="M3572" s="124"/>
      <c r="N3572" s="124"/>
      <c r="O3572" s="124"/>
      <c r="P3572" s="124"/>
      <c r="Q3572" s="124"/>
      <c r="R3572" s="124"/>
      <c r="S3572" s="124"/>
      <c r="T3572" s="124"/>
      <c r="U3572" s="124"/>
      <c r="V3572" s="124"/>
      <c r="W3572" s="124"/>
      <c r="X3572" s="124"/>
      <c r="Y3572" s="124"/>
      <c r="Z3572" s="124"/>
    </row>
    <row r="3573">
      <c r="A3573" s="124"/>
      <c r="B3573" s="124"/>
      <c r="C3573" s="147"/>
      <c r="D3573" s="124"/>
      <c r="E3573" s="124"/>
      <c r="F3573" s="124"/>
      <c r="G3573" s="124"/>
      <c r="H3573" s="124"/>
      <c r="I3573" s="124"/>
      <c r="J3573" s="124"/>
      <c r="K3573" s="124"/>
      <c r="L3573" s="124"/>
      <c r="M3573" s="124"/>
      <c r="N3573" s="124"/>
      <c r="O3573" s="124"/>
      <c r="P3573" s="124"/>
      <c r="Q3573" s="124"/>
      <c r="R3573" s="124"/>
      <c r="S3573" s="124"/>
      <c r="T3573" s="124"/>
      <c r="U3573" s="124"/>
      <c r="V3573" s="124"/>
      <c r="W3573" s="124"/>
      <c r="X3573" s="124"/>
      <c r="Y3573" s="124"/>
      <c r="Z3573" s="124"/>
    </row>
    <row r="3574">
      <c r="A3574" s="124"/>
      <c r="B3574" s="124"/>
      <c r="C3574" s="147"/>
      <c r="D3574" s="124"/>
      <c r="E3574" s="124"/>
      <c r="F3574" s="124"/>
      <c r="G3574" s="124"/>
      <c r="H3574" s="124"/>
      <c r="I3574" s="124"/>
      <c r="J3574" s="124"/>
      <c r="K3574" s="124"/>
      <c r="L3574" s="124"/>
      <c r="M3574" s="124"/>
      <c r="N3574" s="124"/>
      <c r="O3574" s="124"/>
      <c r="P3574" s="124"/>
      <c r="Q3574" s="124"/>
      <c r="R3574" s="124"/>
      <c r="S3574" s="124"/>
      <c r="T3574" s="124"/>
      <c r="U3574" s="124"/>
      <c r="V3574" s="124"/>
      <c r="W3574" s="124"/>
      <c r="X3574" s="124"/>
      <c r="Y3574" s="124"/>
      <c r="Z3574" s="124"/>
    </row>
    <row r="3575">
      <c r="A3575" s="124"/>
      <c r="B3575" s="124"/>
      <c r="C3575" s="147"/>
      <c r="D3575" s="124"/>
      <c r="E3575" s="124"/>
      <c r="F3575" s="124"/>
      <c r="G3575" s="124"/>
      <c r="H3575" s="124"/>
      <c r="I3575" s="124"/>
      <c r="J3575" s="124"/>
      <c r="K3575" s="124"/>
      <c r="L3575" s="124"/>
      <c r="M3575" s="124"/>
      <c r="N3575" s="124"/>
      <c r="O3575" s="124"/>
      <c r="P3575" s="124"/>
      <c r="Q3575" s="124"/>
      <c r="R3575" s="124"/>
      <c r="S3575" s="124"/>
      <c r="T3575" s="124"/>
      <c r="U3575" s="124"/>
      <c r="V3575" s="124"/>
      <c r="W3575" s="124"/>
      <c r="X3575" s="124"/>
      <c r="Y3575" s="124"/>
      <c r="Z3575" s="124"/>
    </row>
    <row r="3576">
      <c r="A3576" s="124"/>
      <c r="B3576" s="124"/>
      <c r="C3576" s="147"/>
      <c r="D3576" s="124"/>
      <c r="E3576" s="124"/>
      <c r="F3576" s="124"/>
      <c r="G3576" s="124"/>
      <c r="H3576" s="124"/>
      <c r="I3576" s="124"/>
      <c r="J3576" s="124"/>
      <c r="K3576" s="124"/>
      <c r="L3576" s="124"/>
      <c r="M3576" s="124"/>
      <c r="N3576" s="124"/>
      <c r="O3576" s="124"/>
      <c r="P3576" s="124"/>
      <c r="Q3576" s="124"/>
      <c r="R3576" s="124"/>
      <c r="S3576" s="124"/>
      <c r="T3576" s="124"/>
      <c r="U3576" s="124"/>
      <c r="V3576" s="124"/>
      <c r="W3576" s="124"/>
      <c r="X3576" s="124"/>
      <c r="Y3576" s="124"/>
      <c r="Z3576" s="124"/>
    </row>
    <row r="3577">
      <c r="A3577" s="124"/>
      <c r="B3577" s="124"/>
      <c r="C3577" s="147"/>
      <c r="D3577" s="124"/>
      <c r="E3577" s="124"/>
      <c r="F3577" s="124"/>
      <c r="G3577" s="124"/>
      <c r="H3577" s="124"/>
      <c r="I3577" s="124"/>
      <c r="J3577" s="124"/>
      <c r="K3577" s="124"/>
      <c r="L3577" s="124"/>
      <c r="M3577" s="124"/>
      <c r="N3577" s="124"/>
      <c r="O3577" s="124"/>
      <c r="P3577" s="124"/>
      <c r="Q3577" s="124"/>
      <c r="R3577" s="124"/>
      <c r="S3577" s="124"/>
      <c r="T3577" s="124"/>
      <c r="U3577" s="124"/>
      <c r="V3577" s="124"/>
      <c r="W3577" s="124"/>
      <c r="X3577" s="124"/>
      <c r="Y3577" s="124"/>
      <c r="Z3577" s="124"/>
    </row>
    <row r="3578">
      <c r="A3578" s="124"/>
      <c r="B3578" s="124"/>
      <c r="C3578" s="147"/>
      <c r="D3578" s="124"/>
      <c r="E3578" s="124"/>
      <c r="F3578" s="124"/>
      <c r="G3578" s="124"/>
      <c r="H3578" s="124"/>
      <c r="I3578" s="124"/>
      <c r="J3578" s="124"/>
      <c r="K3578" s="124"/>
      <c r="L3578" s="124"/>
      <c r="M3578" s="124"/>
      <c r="N3578" s="124"/>
      <c r="O3578" s="124"/>
      <c r="P3578" s="124"/>
      <c r="Q3578" s="124"/>
      <c r="R3578" s="124"/>
      <c r="S3578" s="124"/>
      <c r="T3578" s="124"/>
      <c r="U3578" s="124"/>
      <c r="V3578" s="124"/>
      <c r="W3578" s="124"/>
      <c r="X3578" s="124"/>
      <c r="Y3578" s="124"/>
      <c r="Z3578" s="124"/>
    </row>
    <row r="3579">
      <c r="A3579" s="124"/>
      <c r="B3579" s="124"/>
      <c r="C3579" s="147"/>
      <c r="D3579" s="124"/>
      <c r="E3579" s="124"/>
      <c r="F3579" s="124"/>
      <c r="G3579" s="124"/>
      <c r="H3579" s="124"/>
      <c r="I3579" s="124"/>
      <c r="J3579" s="124"/>
      <c r="K3579" s="124"/>
      <c r="L3579" s="124"/>
      <c r="M3579" s="124"/>
      <c r="N3579" s="124"/>
      <c r="O3579" s="124"/>
      <c r="P3579" s="124"/>
      <c r="Q3579" s="124"/>
      <c r="R3579" s="124"/>
      <c r="S3579" s="124"/>
      <c r="T3579" s="124"/>
      <c r="U3579" s="124"/>
      <c r="V3579" s="124"/>
      <c r="W3579" s="124"/>
      <c r="X3579" s="124"/>
      <c r="Y3579" s="124"/>
      <c r="Z3579" s="124"/>
    </row>
    <row r="3580">
      <c r="A3580" s="124"/>
      <c r="B3580" s="124"/>
      <c r="C3580" s="147"/>
      <c r="D3580" s="124"/>
      <c r="E3580" s="124"/>
      <c r="F3580" s="124"/>
      <c r="G3580" s="124"/>
      <c r="H3580" s="124"/>
      <c r="I3580" s="124"/>
      <c r="J3580" s="124"/>
      <c r="K3580" s="124"/>
      <c r="L3580" s="124"/>
      <c r="M3580" s="124"/>
      <c r="N3580" s="124"/>
      <c r="O3580" s="124"/>
      <c r="P3580" s="124"/>
      <c r="Q3580" s="124"/>
      <c r="R3580" s="124"/>
      <c r="S3580" s="124"/>
      <c r="T3580" s="124"/>
      <c r="U3580" s="124"/>
      <c r="V3580" s="124"/>
      <c r="W3580" s="124"/>
      <c r="X3580" s="124"/>
      <c r="Y3580" s="124"/>
      <c r="Z3580" s="124"/>
    </row>
    <row r="3581">
      <c r="A3581" s="124"/>
      <c r="B3581" s="124"/>
      <c r="C3581" s="147"/>
      <c r="D3581" s="124"/>
      <c r="E3581" s="124"/>
      <c r="F3581" s="124"/>
      <c r="G3581" s="124"/>
      <c r="H3581" s="124"/>
      <c r="I3581" s="124"/>
      <c r="J3581" s="124"/>
      <c r="K3581" s="124"/>
      <c r="L3581" s="124"/>
      <c r="M3581" s="124"/>
      <c r="N3581" s="124"/>
      <c r="O3581" s="124"/>
      <c r="P3581" s="124"/>
      <c r="Q3581" s="124"/>
      <c r="R3581" s="124"/>
      <c r="S3581" s="124"/>
      <c r="T3581" s="124"/>
      <c r="U3581" s="124"/>
      <c r="V3581" s="124"/>
      <c r="W3581" s="124"/>
      <c r="X3581" s="124"/>
      <c r="Y3581" s="124"/>
      <c r="Z3581" s="124"/>
    </row>
    <row r="3582">
      <c r="A3582" s="124"/>
      <c r="B3582" s="124"/>
      <c r="C3582" s="147"/>
      <c r="D3582" s="124"/>
      <c r="E3582" s="124"/>
      <c r="F3582" s="124"/>
      <c r="G3582" s="124"/>
      <c r="H3582" s="124"/>
      <c r="I3582" s="124"/>
      <c r="J3582" s="124"/>
      <c r="K3582" s="124"/>
      <c r="L3582" s="124"/>
      <c r="M3582" s="124"/>
      <c r="N3582" s="124"/>
      <c r="O3582" s="124"/>
      <c r="P3582" s="124"/>
      <c r="Q3582" s="124"/>
      <c r="R3582" s="124"/>
      <c r="S3582" s="124"/>
      <c r="T3582" s="124"/>
      <c r="U3582" s="124"/>
      <c r="V3582" s="124"/>
      <c r="W3582" s="124"/>
      <c r="X3582" s="124"/>
      <c r="Y3582" s="124"/>
      <c r="Z3582" s="124"/>
    </row>
    <row r="3583">
      <c r="A3583" s="124"/>
      <c r="B3583" s="124"/>
      <c r="C3583" s="147"/>
      <c r="D3583" s="124"/>
      <c r="E3583" s="124"/>
      <c r="F3583" s="124"/>
      <c r="G3583" s="124"/>
      <c r="H3583" s="124"/>
      <c r="I3583" s="124"/>
      <c r="J3583" s="124"/>
      <c r="K3583" s="124"/>
      <c r="L3583" s="124"/>
      <c r="M3583" s="124"/>
      <c r="N3583" s="124"/>
      <c r="O3583" s="124"/>
      <c r="P3583" s="124"/>
      <c r="Q3583" s="124"/>
      <c r="R3583" s="124"/>
      <c r="S3583" s="124"/>
      <c r="T3583" s="124"/>
      <c r="U3583" s="124"/>
      <c r="V3583" s="124"/>
      <c r="W3583" s="124"/>
      <c r="X3583" s="124"/>
      <c r="Y3583" s="124"/>
      <c r="Z3583" s="124"/>
    </row>
    <row r="3584">
      <c r="A3584" s="124"/>
      <c r="B3584" s="124"/>
      <c r="C3584" s="147"/>
      <c r="D3584" s="124"/>
      <c r="E3584" s="124"/>
      <c r="F3584" s="124"/>
      <c r="G3584" s="124"/>
      <c r="H3584" s="124"/>
      <c r="I3584" s="124"/>
      <c r="J3584" s="124"/>
      <c r="K3584" s="124"/>
      <c r="L3584" s="124"/>
      <c r="M3584" s="124"/>
      <c r="N3584" s="124"/>
      <c r="O3584" s="124"/>
      <c r="P3584" s="124"/>
      <c r="Q3584" s="124"/>
      <c r="R3584" s="124"/>
      <c r="S3584" s="124"/>
      <c r="T3584" s="124"/>
      <c r="U3584" s="124"/>
      <c r="V3584" s="124"/>
      <c r="W3584" s="124"/>
      <c r="X3584" s="124"/>
      <c r="Y3584" s="124"/>
      <c r="Z3584" s="124"/>
    </row>
    <row r="3585">
      <c r="A3585" s="124"/>
      <c r="B3585" s="124"/>
      <c r="C3585" s="147"/>
      <c r="D3585" s="124"/>
      <c r="E3585" s="124"/>
      <c r="F3585" s="124"/>
      <c r="G3585" s="124"/>
      <c r="H3585" s="124"/>
      <c r="I3585" s="124"/>
      <c r="J3585" s="124"/>
      <c r="K3585" s="124"/>
      <c r="L3585" s="124"/>
      <c r="M3585" s="124"/>
      <c r="N3585" s="124"/>
      <c r="O3585" s="124"/>
      <c r="P3585" s="124"/>
      <c r="Q3585" s="124"/>
      <c r="R3585" s="124"/>
      <c r="S3585" s="124"/>
      <c r="T3585" s="124"/>
      <c r="U3585" s="124"/>
      <c r="V3585" s="124"/>
      <c r="W3585" s="124"/>
      <c r="X3585" s="124"/>
      <c r="Y3585" s="124"/>
      <c r="Z3585" s="124"/>
    </row>
    <row r="3586">
      <c r="A3586" s="124"/>
      <c r="B3586" s="124"/>
      <c r="C3586" s="147"/>
      <c r="D3586" s="124"/>
      <c r="E3586" s="124"/>
      <c r="F3586" s="124"/>
      <c r="G3586" s="124"/>
      <c r="H3586" s="124"/>
      <c r="I3586" s="124"/>
      <c r="J3586" s="124"/>
      <c r="K3586" s="124"/>
      <c r="L3586" s="124"/>
      <c r="M3586" s="124"/>
      <c r="N3586" s="124"/>
      <c r="O3586" s="124"/>
      <c r="P3586" s="124"/>
      <c r="Q3586" s="124"/>
      <c r="R3586" s="124"/>
      <c r="S3586" s="124"/>
      <c r="T3586" s="124"/>
      <c r="U3586" s="124"/>
      <c r="V3586" s="124"/>
      <c r="W3586" s="124"/>
      <c r="X3586" s="124"/>
      <c r="Y3586" s="124"/>
      <c r="Z3586" s="124"/>
    </row>
    <row r="3587">
      <c r="A3587" s="124"/>
      <c r="B3587" s="124"/>
      <c r="C3587" s="147"/>
      <c r="D3587" s="124"/>
      <c r="E3587" s="124"/>
      <c r="F3587" s="124"/>
      <c r="G3587" s="124"/>
      <c r="H3587" s="124"/>
      <c r="I3587" s="124"/>
      <c r="J3587" s="124"/>
      <c r="K3587" s="124"/>
      <c r="L3587" s="124"/>
      <c r="M3587" s="124"/>
      <c r="N3587" s="124"/>
      <c r="O3587" s="124"/>
      <c r="P3587" s="124"/>
      <c r="Q3587" s="124"/>
      <c r="R3587" s="124"/>
      <c r="S3587" s="124"/>
      <c r="T3587" s="124"/>
      <c r="U3587" s="124"/>
      <c r="V3587" s="124"/>
      <c r="W3587" s="124"/>
      <c r="X3587" s="124"/>
      <c r="Y3587" s="124"/>
      <c r="Z3587" s="124"/>
    </row>
    <row r="3588">
      <c r="A3588" s="124"/>
      <c r="B3588" s="124"/>
      <c r="C3588" s="147"/>
      <c r="D3588" s="124"/>
      <c r="E3588" s="124"/>
      <c r="F3588" s="124"/>
      <c r="G3588" s="124"/>
      <c r="H3588" s="124"/>
      <c r="I3588" s="124"/>
      <c r="J3588" s="124"/>
      <c r="K3588" s="124"/>
      <c r="L3588" s="124"/>
      <c r="M3588" s="124"/>
      <c r="N3588" s="124"/>
      <c r="O3588" s="124"/>
      <c r="P3588" s="124"/>
      <c r="Q3588" s="124"/>
      <c r="R3588" s="124"/>
      <c r="S3588" s="124"/>
      <c r="T3588" s="124"/>
      <c r="U3588" s="124"/>
      <c r="V3588" s="124"/>
      <c r="W3588" s="124"/>
      <c r="X3588" s="124"/>
      <c r="Y3588" s="124"/>
      <c r="Z3588" s="124"/>
    </row>
    <row r="3589">
      <c r="A3589" s="124"/>
      <c r="B3589" s="124"/>
      <c r="C3589" s="147"/>
      <c r="D3589" s="124"/>
      <c r="E3589" s="124"/>
      <c r="F3589" s="124"/>
      <c r="G3589" s="124"/>
      <c r="H3589" s="124"/>
      <c r="I3589" s="124"/>
      <c r="J3589" s="124"/>
      <c r="K3589" s="124"/>
      <c r="L3589" s="124"/>
      <c r="M3589" s="124"/>
      <c r="N3589" s="124"/>
      <c r="O3589" s="124"/>
      <c r="P3589" s="124"/>
      <c r="Q3589" s="124"/>
      <c r="R3589" s="124"/>
      <c r="S3589" s="124"/>
      <c r="T3589" s="124"/>
      <c r="U3589" s="124"/>
      <c r="V3589" s="124"/>
      <c r="W3589" s="124"/>
      <c r="X3589" s="124"/>
      <c r="Y3589" s="124"/>
      <c r="Z3589" s="124"/>
    </row>
    <row r="3590">
      <c r="A3590" s="124"/>
      <c r="B3590" s="124"/>
      <c r="C3590" s="147"/>
      <c r="D3590" s="124"/>
      <c r="E3590" s="124"/>
      <c r="F3590" s="124"/>
      <c r="G3590" s="124"/>
      <c r="H3590" s="124"/>
      <c r="I3590" s="124"/>
      <c r="J3590" s="124"/>
      <c r="K3590" s="124"/>
      <c r="L3590" s="124"/>
      <c r="M3590" s="124"/>
      <c r="N3590" s="124"/>
      <c r="O3590" s="124"/>
      <c r="P3590" s="124"/>
      <c r="Q3590" s="124"/>
      <c r="R3590" s="124"/>
      <c r="S3590" s="124"/>
      <c r="T3590" s="124"/>
      <c r="U3590" s="124"/>
      <c r="V3590" s="124"/>
      <c r="W3590" s="124"/>
      <c r="X3590" s="124"/>
      <c r="Y3590" s="124"/>
      <c r="Z3590" s="124"/>
    </row>
    <row r="3591">
      <c r="A3591" s="124"/>
      <c r="B3591" s="124"/>
      <c r="C3591" s="147"/>
      <c r="D3591" s="124"/>
      <c r="E3591" s="124"/>
      <c r="F3591" s="124"/>
      <c r="G3591" s="124"/>
      <c r="H3591" s="124"/>
      <c r="I3591" s="124"/>
      <c r="J3591" s="124"/>
      <c r="K3591" s="124"/>
      <c r="L3591" s="124"/>
      <c r="M3591" s="124"/>
      <c r="N3591" s="124"/>
      <c r="O3591" s="124"/>
      <c r="P3591" s="124"/>
      <c r="Q3591" s="124"/>
      <c r="R3591" s="124"/>
      <c r="S3591" s="124"/>
      <c r="T3591" s="124"/>
      <c r="U3591" s="124"/>
      <c r="V3591" s="124"/>
      <c r="W3591" s="124"/>
      <c r="X3591" s="124"/>
      <c r="Y3591" s="124"/>
      <c r="Z3591" s="124"/>
    </row>
    <row r="3592">
      <c r="A3592" s="124"/>
      <c r="B3592" s="124"/>
      <c r="C3592" s="147"/>
      <c r="D3592" s="124"/>
      <c r="E3592" s="124"/>
      <c r="F3592" s="124"/>
      <c r="G3592" s="124"/>
      <c r="H3592" s="124"/>
      <c r="I3592" s="124"/>
      <c r="J3592" s="124"/>
      <c r="K3592" s="124"/>
      <c r="L3592" s="124"/>
      <c r="M3592" s="124"/>
      <c r="N3592" s="124"/>
      <c r="O3592" s="124"/>
      <c r="P3592" s="124"/>
      <c r="Q3592" s="124"/>
      <c r="R3592" s="124"/>
      <c r="S3592" s="124"/>
      <c r="T3592" s="124"/>
      <c r="U3592" s="124"/>
      <c r="V3592" s="124"/>
      <c r="W3592" s="124"/>
      <c r="X3592" s="124"/>
      <c r="Y3592" s="124"/>
      <c r="Z3592" s="124"/>
    </row>
    <row r="3593">
      <c r="A3593" s="124"/>
      <c r="B3593" s="124"/>
      <c r="C3593" s="147"/>
      <c r="D3593" s="124"/>
      <c r="E3593" s="124"/>
      <c r="F3593" s="124"/>
      <c r="G3593" s="124"/>
      <c r="H3593" s="124"/>
      <c r="I3593" s="124"/>
      <c r="J3593" s="124"/>
      <c r="K3593" s="124"/>
      <c r="L3593" s="124"/>
      <c r="M3593" s="124"/>
      <c r="N3593" s="124"/>
      <c r="O3593" s="124"/>
      <c r="P3593" s="124"/>
      <c r="Q3593" s="124"/>
      <c r="R3593" s="124"/>
      <c r="S3593" s="124"/>
      <c r="T3593" s="124"/>
      <c r="U3593" s="124"/>
      <c r="V3593" s="124"/>
      <c r="W3593" s="124"/>
      <c r="X3593" s="124"/>
      <c r="Y3593" s="124"/>
      <c r="Z3593" s="124"/>
    </row>
    <row r="3594">
      <c r="A3594" s="124"/>
      <c r="B3594" s="124"/>
      <c r="C3594" s="147"/>
      <c r="D3594" s="124"/>
      <c r="E3594" s="124"/>
      <c r="F3594" s="124"/>
      <c r="G3594" s="124"/>
      <c r="H3594" s="124"/>
      <c r="I3594" s="124"/>
      <c r="J3594" s="124"/>
      <c r="K3594" s="124"/>
      <c r="L3594" s="124"/>
      <c r="M3594" s="124"/>
      <c r="N3594" s="124"/>
      <c r="O3594" s="124"/>
      <c r="P3594" s="124"/>
      <c r="Q3594" s="124"/>
      <c r="R3594" s="124"/>
      <c r="S3594" s="124"/>
      <c r="T3594" s="124"/>
      <c r="U3594" s="124"/>
      <c r="V3594" s="124"/>
      <c r="W3594" s="124"/>
      <c r="X3594" s="124"/>
      <c r="Y3594" s="124"/>
      <c r="Z3594" s="124"/>
    </row>
    <row r="3595">
      <c r="A3595" s="124"/>
      <c r="B3595" s="124"/>
      <c r="C3595" s="147"/>
      <c r="D3595" s="124"/>
      <c r="E3595" s="124"/>
      <c r="F3595" s="124"/>
      <c r="G3595" s="124"/>
      <c r="H3595" s="124"/>
      <c r="I3595" s="124"/>
      <c r="J3595" s="124"/>
      <c r="K3595" s="124"/>
      <c r="L3595" s="124"/>
      <c r="M3595" s="124"/>
      <c r="N3595" s="124"/>
      <c r="O3595" s="124"/>
      <c r="P3595" s="124"/>
      <c r="Q3595" s="124"/>
      <c r="R3595" s="124"/>
      <c r="S3595" s="124"/>
      <c r="T3595" s="124"/>
      <c r="U3595" s="124"/>
      <c r="V3595" s="124"/>
      <c r="W3595" s="124"/>
      <c r="X3595" s="124"/>
      <c r="Y3595" s="124"/>
      <c r="Z3595" s="124"/>
    </row>
    <row r="3596">
      <c r="A3596" s="124"/>
      <c r="B3596" s="124"/>
      <c r="C3596" s="147"/>
      <c r="D3596" s="124"/>
      <c r="E3596" s="124"/>
      <c r="F3596" s="124"/>
      <c r="G3596" s="124"/>
      <c r="H3596" s="124"/>
      <c r="I3596" s="124"/>
      <c r="J3596" s="124"/>
      <c r="K3596" s="124"/>
      <c r="L3596" s="124"/>
      <c r="M3596" s="124"/>
      <c r="N3596" s="124"/>
      <c r="O3596" s="124"/>
      <c r="P3596" s="124"/>
      <c r="Q3596" s="124"/>
      <c r="R3596" s="124"/>
      <c r="S3596" s="124"/>
      <c r="T3596" s="124"/>
      <c r="U3596" s="124"/>
      <c r="V3596" s="124"/>
      <c r="W3596" s="124"/>
      <c r="X3596" s="124"/>
      <c r="Y3596" s="124"/>
      <c r="Z3596" s="124"/>
    </row>
    <row r="3597">
      <c r="A3597" s="124"/>
      <c r="B3597" s="124"/>
      <c r="C3597" s="147"/>
      <c r="D3597" s="124"/>
      <c r="E3597" s="124"/>
      <c r="F3597" s="124"/>
      <c r="G3597" s="124"/>
      <c r="H3597" s="124"/>
      <c r="I3597" s="124"/>
      <c r="J3597" s="124"/>
      <c r="K3597" s="124"/>
      <c r="L3597" s="124"/>
      <c r="M3597" s="124"/>
      <c r="N3597" s="124"/>
      <c r="O3597" s="124"/>
      <c r="P3597" s="124"/>
      <c r="Q3597" s="124"/>
      <c r="R3597" s="124"/>
      <c r="S3597" s="124"/>
      <c r="T3597" s="124"/>
      <c r="U3597" s="124"/>
      <c r="V3597" s="124"/>
      <c r="W3597" s="124"/>
      <c r="X3597" s="124"/>
      <c r="Y3597" s="124"/>
      <c r="Z3597" s="124"/>
    </row>
    <row r="3598">
      <c r="A3598" s="124"/>
      <c r="B3598" s="124"/>
      <c r="C3598" s="147"/>
      <c r="D3598" s="124"/>
      <c r="E3598" s="124"/>
      <c r="F3598" s="124"/>
      <c r="G3598" s="124"/>
      <c r="H3598" s="124"/>
      <c r="I3598" s="124"/>
      <c r="J3598" s="124"/>
      <c r="K3598" s="124"/>
      <c r="L3598" s="124"/>
      <c r="M3598" s="124"/>
      <c r="N3598" s="124"/>
      <c r="O3598" s="124"/>
      <c r="P3598" s="124"/>
      <c r="Q3598" s="124"/>
      <c r="R3598" s="124"/>
      <c r="S3598" s="124"/>
      <c r="T3598" s="124"/>
      <c r="U3598" s="124"/>
      <c r="V3598" s="124"/>
      <c r="W3598" s="124"/>
      <c r="X3598" s="124"/>
      <c r="Y3598" s="124"/>
      <c r="Z3598" s="124"/>
    </row>
    <row r="3599">
      <c r="A3599" s="124"/>
      <c r="B3599" s="124"/>
      <c r="C3599" s="147"/>
      <c r="D3599" s="124"/>
      <c r="E3599" s="124"/>
      <c r="F3599" s="124"/>
      <c r="G3599" s="124"/>
      <c r="H3599" s="124"/>
      <c r="I3599" s="124"/>
      <c r="J3599" s="124"/>
      <c r="K3599" s="124"/>
      <c r="L3599" s="124"/>
      <c r="M3599" s="124"/>
      <c r="N3599" s="124"/>
      <c r="O3599" s="124"/>
      <c r="P3599" s="124"/>
      <c r="Q3599" s="124"/>
      <c r="R3599" s="124"/>
      <c r="S3599" s="124"/>
      <c r="T3599" s="124"/>
      <c r="U3599" s="124"/>
      <c r="V3599" s="124"/>
      <c r="W3599" s="124"/>
      <c r="X3599" s="124"/>
      <c r="Y3599" s="124"/>
      <c r="Z3599" s="124"/>
    </row>
    <row r="3600">
      <c r="A3600" s="124"/>
      <c r="B3600" s="124"/>
      <c r="C3600" s="147"/>
      <c r="D3600" s="124"/>
      <c r="E3600" s="124"/>
      <c r="F3600" s="124"/>
      <c r="G3600" s="124"/>
      <c r="H3600" s="124"/>
      <c r="I3600" s="124"/>
      <c r="J3600" s="124"/>
      <c r="K3600" s="124"/>
      <c r="L3600" s="124"/>
      <c r="M3600" s="124"/>
      <c r="N3600" s="124"/>
      <c r="O3600" s="124"/>
      <c r="P3600" s="124"/>
      <c r="Q3600" s="124"/>
      <c r="R3600" s="124"/>
      <c r="S3600" s="124"/>
      <c r="T3600" s="124"/>
      <c r="U3600" s="124"/>
      <c r="V3600" s="124"/>
      <c r="W3600" s="124"/>
      <c r="X3600" s="124"/>
      <c r="Y3600" s="124"/>
      <c r="Z3600" s="124"/>
    </row>
    <row r="3601">
      <c r="A3601" s="124"/>
      <c r="B3601" s="124"/>
      <c r="C3601" s="147"/>
      <c r="D3601" s="124"/>
      <c r="E3601" s="124"/>
      <c r="F3601" s="124"/>
      <c r="G3601" s="124"/>
      <c r="H3601" s="124"/>
      <c r="I3601" s="124"/>
      <c r="J3601" s="124"/>
      <c r="K3601" s="124"/>
      <c r="L3601" s="124"/>
      <c r="M3601" s="124"/>
      <c r="N3601" s="124"/>
      <c r="O3601" s="124"/>
      <c r="P3601" s="124"/>
      <c r="Q3601" s="124"/>
      <c r="R3601" s="124"/>
      <c r="S3601" s="124"/>
      <c r="T3601" s="124"/>
      <c r="U3601" s="124"/>
      <c r="V3601" s="124"/>
      <c r="W3601" s="124"/>
      <c r="X3601" s="124"/>
      <c r="Y3601" s="124"/>
      <c r="Z3601" s="124"/>
    </row>
    <row r="3602">
      <c r="A3602" s="124"/>
      <c r="B3602" s="124"/>
      <c r="C3602" s="147"/>
      <c r="D3602" s="124"/>
      <c r="E3602" s="124"/>
      <c r="F3602" s="124"/>
      <c r="G3602" s="124"/>
      <c r="H3602" s="124"/>
      <c r="I3602" s="124"/>
      <c r="J3602" s="124"/>
      <c r="K3602" s="124"/>
      <c r="L3602" s="124"/>
      <c r="M3602" s="124"/>
      <c r="N3602" s="124"/>
      <c r="O3602" s="124"/>
      <c r="P3602" s="124"/>
      <c r="Q3602" s="124"/>
      <c r="R3602" s="124"/>
      <c r="S3602" s="124"/>
      <c r="T3602" s="124"/>
      <c r="U3602" s="124"/>
      <c r="V3602" s="124"/>
      <c r="W3602" s="124"/>
      <c r="X3602" s="124"/>
      <c r="Y3602" s="124"/>
      <c r="Z3602" s="124"/>
    </row>
    <row r="3603">
      <c r="A3603" s="124"/>
      <c r="B3603" s="124"/>
      <c r="C3603" s="147"/>
      <c r="D3603" s="124"/>
      <c r="E3603" s="124"/>
      <c r="F3603" s="124"/>
      <c r="G3603" s="124"/>
      <c r="H3603" s="124"/>
      <c r="I3603" s="124"/>
      <c r="J3603" s="124"/>
      <c r="K3603" s="124"/>
      <c r="L3603" s="124"/>
      <c r="M3603" s="124"/>
      <c r="N3603" s="124"/>
      <c r="O3603" s="124"/>
      <c r="P3603" s="124"/>
      <c r="Q3603" s="124"/>
      <c r="R3603" s="124"/>
      <c r="S3603" s="124"/>
      <c r="T3603" s="124"/>
      <c r="U3603" s="124"/>
      <c r="V3603" s="124"/>
      <c r="W3603" s="124"/>
      <c r="X3603" s="124"/>
      <c r="Y3603" s="124"/>
      <c r="Z3603" s="124"/>
    </row>
    <row r="3604">
      <c r="A3604" s="124"/>
      <c r="B3604" s="124"/>
      <c r="C3604" s="147"/>
      <c r="D3604" s="124"/>
      <c r="E3604" s="124"/>
      <c r="F3604" s="124"/>
      <c r="G3604" s="124"/>
      <c r="H3604" s="124"/>
      <c r="I3604" s="124"/>
      <c r="J3604" s="124"/>
      <c r="K3604" s="124"/>
      <c r="L3604" s="124"/>
      <c r="M3604" s="124"/>
      <c r="N3604" s="124"/>
      <c r="O3604" s="124"/>
      <c r="P3604" s="124"/>
      <c r="Q3604" s="124"/>
      <c r="R3604" s="124"/>
      <c r="S3604" s="124"/>
      <c r="T3604" s="124"/>
      <c r="U3604" s="124"/>
      <c r="V3604" s="124"/>
      <c r="W3604" s="124"/>
      <c r="X3604" s="124"/>
      <c r="Y3604" s="124"/>
      <c r="Z3604" s="124"/>
    </row>
    <row r="3605">
      <c r="A3605" s="124"/>
      <c r="B3605" s="124"/>
      <c r="C3605" s="147"/>
      <c r="D3605" s="124"/>
      <c r="E3605" s="124"/>
      <c r="F3605" s="124"/>
      <c r="G3605" s="124"/>
      <c r="H3605" s="124"/>
      <c r="I3605" s="124"/>
      <c r="J3605" s="124"/>
      <c r="K3605" s="124"/>
      <c r="L3605" s="124"/>
      <c r="M3605" s="124"/>
      <c r="N3605" s="124"/>
      <c r="O3605" s="124"/>
      <c r="P3605" s="124"/>
      <c r="Q3605" s="124"/>
      <c r="R3605" s="124"/>
      <c r="S3605" s="124"/>
      <c r="T3605" s="124"/>
      <c r="U3605" s="124"/>
      <c r="V3605" s="124"/>
      <c r="W3605" s="124"/>
      <c r="X3605" s="124"/>
      <c r="Y3605" s="124"/>
      <c r="Z3605" s="124"/>
    </row>
    <row r="3606">
      <c r="A3606" s="124"/>
      <c r="B3606" s="124"/>
      <c r="C3606" s="147"/>
      <c r="D3606" s="124"/>
      <c r="E3606" s="124"/>
      <c r="F3606" s="124"/>
      <c r="G3606" s="124"/>
      <c r="H3606" s="124"/>
      <c r="I3606" s="124"/>
      <c r="J3606" s="124"/>
      <c r="K3606" s="124"/>
      <c r="L3606" s="124"/>
      <c r="M3606" s="124"/>
      <c r="N3606" s="124"/>
      <c r="O3606" s="124"/>
      <c r="P3606" s="124"/>
      <c r="Q3606" s="124"/>
      <c r="R3606" s="124"/>
      <c r="S3606" s="124"/>
      <c r="T3606" s="124"/>
      <c r="U3606" s="124"/>
      <c r="V3606" s="124"/>
      <c r="W3606" s="124"/>
      <c r="X3606" s="124"/>
      <c r="Y3606" s="124"/>
      <c r="Z3606" s="124"/>
    </row>
    <row r="3607">
      <c r="A3607" s="124"/>
      <c r="B3607" s="124"/>
      <c r="C3607" s="147"/>
      <c r="D3607" s="124"/>
      <c r="E3607" s="124"/>
      <c r="F3607" s="124"/>
      <c r="G3607" s="124"/>
      <c r="H3607" s="124"/>
      <c r="I3607" s="124"/>
      <c r="J3607" s="124"/>
      <c r="K3607" s="124"/>
      <c r="L3607" s="124"/>
      <c r="M3607" s="124"/>
      <c r="N3607" s="124"/>
      <c r="O3607" s="124"/>
      <c r="P3607" s="124"/>
      <c r="Q3607" s="124"/>
      <c r="R3607" s="124"/>
      <c r="S3607" s="124"/>
      <c r="T3607" s="124"/>
      <c r="U3607" s="124"/>
      <c r="V3607" s="124"/>
      <c r="W3607" s="124"/>
      <c r="X3607" s="124"/>
      <c r="Y3607" s="124"/>
      <c r="Z3607" s="124"/>
    </row>
    <row r="3608">
      <c r="A3608" s="124"/>
      <c r="B3608" s="124"/>
      <c r="C3608" s="147"/>
      <c r="D3608" s="124"/>
      <c r="E3608" s="124"/>
      <c r="F3608" s="124"/>
      <c r="G3608" s="124"/>
      <c r="H3608" s="124"/>
      <c r="I3608" s="124"/>
      <c r="J3608" s="124"/>
      <c r="K3608" s="124"/>
      <c r="L3608" s="124"/>
      <c r="M3608" s="124"/>
      <c r="N3608" s="124"/>
      <c r="O3608" s="124"/>
      <c r="P3608" s="124"/>
      <c r="Q3608" s="124"/>
      <c r="R3608" s="124"/>
      <c r="S3608" s="124"/>
      <c r="T3608" s="124"/>
      <c r="U3608" s="124"/>
      <c r="V3608" s="124"/>
      <c r="W3608" s="124"/>
      <c r="X3608" s="124"/>
      <c r="Y3608" s="124"/>
      <c r="Z3608" s="124"/>
    </row>
    <row r="3609">
      <c r="A3609" s="124"/>
      <c r="B3609" s="124"/>
      <c r="C3609" s="147"/>
      <c r="D3609" s="124"/>
      <c r="E3609" s="124"/>
      <c r="F3609" s="124"/>
      <c r="G3609" s="124"/>
      <c r="H3609" s="124"/>
      <c r="I3609" s="124"/>
      <c r="J3609" s="124"/>
      <c r="K3609" s="124"/>
      <c r="L3609" s="124"/>
      <c r="M3609" s="124"/>
      <c r="N3609" s="124"/>
      <c r="O3609" s="124"/>
      <c r="P3609" s="124"/>
      <c r="Q3609" s="124"/>
      <c r="R3609" s="124"/>
      <c r="S3609" s="124"/>
      <c r="T3609" s="124"/>
      <c r="U3609" s="124"/>
      <c r="V3609" s="124"/>
      <c r="W3609" s="124"/>
      <c r="X3609" s="124"/>
      <c r="Y3609" s="124"/>
      <c r="Z3609" s="124"/>
    </row>
    <row r="3610">
      <c r="A3610" s="124"/>
      <c r="B3610" s="124"/>
      <c r="C3610" s="147"/>
      <c r="D3610" s="124"/>
      <c r="E3610" s="124"/>
      <c r="F3610" s="124"/>
      <c r="G3610" s="124"/>
      <c r="H3610" s="124"/>
      <c r="I3610" s="124"/>
      <c r="J3610" s="124"/>
      <c r="K3610" s="124"/>
      <c r="L3610" s="124"/>
      <c r="M3610" s="124"/>
      <c r="N3610" s="124"/>
      <c r="O3610" s="124"/>
      <c r="P3610" s="124"/>
      <c r="Q3610" s="124"/>
      <c r="R3610" s="124"/>
      <c r="S3610" s="124"/>
      <c r="T3610" s="124"/>
      <c r="U3610" s="124"/>
      <c r="V3610" s="124"/>
      <c r="W3610" s="124"/>
      <c r="X3610" s="124"/>
      <c r="Y3610" s="124"/>
      <c r="Z3610" s="124"/>
    </row>
    <row r="3611">
      <c r="A3611" s="124"/>
      <c r="B3611" s="124"/>
      <c r="C3611" s="147"/>
      <c r="D3611" s="124"/>
      <c r="E3611" s="124"/>
      <c r="F3611" s="124"/>
      <c r="G3611" s="124"/>
      <c r="H3611" s="124"/>
      <c r="I3611" s="124"/>
      <c r="J3611" s="124"/>
      <c r="K3611" s="124"/>
      <c r="L3611" s="124"/>
      <c r="M3611" s="124"/>
      <c r="N3611" s="124"/>
      <c r="O3611" s="124"/>
      <c r="P3611" s="124"/>
      <c r="Q3611" s="124"/>
      <c r="R3611" s="124"/>
      <c r="S3611" s="124"/>
      <c r="T3611" s="124"/>
      <c r="U3611" s="124"/>
      <c r="V3611" s="124"/>
      <c r="W3611" s="124"/>
      <c r="X3611" s="124"/>
      <c r="Y3611" s="124"/>
      <c r="Z3611" s="124"/>
    </row>
    <row r="3612">
      <c r="A3612" s="124"/>
      <c r="B3612" s="124"/>
      <c r="C3612" s="147"/>
      <c r="D3612" s="124"/>
      <c r="E3612" s="124"/>
      <c r="F3612" s="124"/>
      <c r="G3612" s="124"/>
      <c r="H3612" s="124"/>
      <c r="I3612" s="124"/>
      <c r="J3612" s="124"/>
      <c r="K3612" s="124"/>
      <c r="L3612" s="124"/>
      <c r="M3612" s="124"/>
      <c r="N3612" s="124"/>
      <c r="O3612" s="124"/>
      <c r="P3612" s="124"/>
      <c r="Q3612" s="124"/>
      <c r="R3612" s="124"/>
      <c r="S3612" s="124"/>
      <c r="T3612" s="124"/>
      <c r="U3612" s="124"/>
      <c r="V3612" s="124"/>
      <c r="W3612" s="124"/>
      <c r="X3612" s="124"/>
      <c r="Y3612" s="124"/>
      <c r="Z3612" s="124"/>
    </row>
    <row r="3613">
      <c r="A3613" s="124"/>
      <c r="B3613" s="124"/>
      <c r="C3613" s="147"/>
      <c r="D3613" s="124"/>
      <c r="E3613" s="124"/>
      <c r="F3613" s="124"/>
      <c r="G3613" s="124"/>
      <c r="H3613" s="124"/>
      <c r="I3613" s="124"/>
      <c r="J3613" s="124"/>
      <c r="K3613" s="124"/>
      <c r="L3613" s="124"/>
      <c r="M3613" s="124"/>
      <c r="N3613" s="124"/>
      <c r="O3613" s="124"/>
      <c r="P3613" s="124"/>
      <c r="Q3613" s="124"/>
      <c r="R3613" s="124"/>
      <c r="S3613" s="124"/>
      <c r="T3613" s="124"/>
      <c r="U3613" s="124"/>
      <c r="V3613" s="124"/>
      <c r="W3613" s="124"/>
      <c r="X3613" s="124"/>
      <c r="Y3613" s="124"/>
      <c r="Z3613" s="124"/>
    </row>
    <row r="3614">
      <c r="A3614" s="124"/>
      <c r="B3614" s="124"/>
      <c r="C3614" s="147"/>
      <c r="D3614" s="124"/>
      <c r="E3614" s="124"/>
      <c r="F3614" s="124"/>
      <c r="G3614" s="124"/>
      <c r="H3614" s="124"/>
      <c r="I3614" s="124"/>
      <c r="J3614" s="124"/>
      <c r="K3614" s="124"/>
      <c r="L3614" s="124"/>
      <c r="M3614" s="124"/>
      <c r="N3614" s="124"/>
      <c r="O3614" s="124"/>
      <c r="P3614" s="124"/>
      <c r="Q3614" s="124"/>
      <c r="R3614" s="124"/>
      <c r="S3614" s="124"/>
      <c r="T3614" s="124"/>
      <c r="U3614" s="124"/>
      <c r="V3614" s="124"/>
      <c r="W3614" s="124"/>
      <c r="X3614" s="124"/>
      <c r="Y3614" s="124"/>
      <c r="Z3614" s="124"/>
    </row>
    <row r="3615">
      <c r="A3615" s="124"/>
      <c r="B3615" s="124"/>
      <c r="C3615" s="147"/>
      <c r="D3615" s="124"/>
      <c r="E3615" s="124"/>
      <c r="F3615" s="124"/>
      <c r="G3615" s="124"/>
      <c r="H3615" s="124"/>
      <c r="I3615" s="124"/>
      <c r="J3615" s="124"/>
      <c r="K3615" s="124"/>
      <c r="L3615" s="124"/>
      <c r="M3615" s="124"/>
      <c r="N3615" s="124"/>
      <c r="O3615" s="124"/>
      <c r="P3615" s="124"/>
      <c r="Q3615" s="124"/>
      <c r="R3615" s="124"/>
      <c r="S3615" s="124"/>
      <c r="T3615" s="124"/>
      <c r="U3615" s="124"/>
      <c r="V3615" s="124"/>
      <c r="W3615" s="124"/>
      <c r="X3615" s="124"/>
      <c r="Y3615" s="124"/>
      <c r="Z3615" s="124"/>
    </row>
    <row r="3616">
      <c r="A3616" s="124"/>
      <c r="B3616" s="124"/>
      <c r="C3616" s="147"/>
      <c r="D3616" s="124"/>
      <c r="E3616" s="124"/>
      <c r="F3616" s="124"/>
      <c r="G3616" s="124"/>
      <c r="H3616" s="124"/>
      <c r="I3616" s="124"/>
      <c r="J3616" s="124"/>
      <c r="K3616" s="124"/>
      <c r="L3616" s="124"/>
      <c r="M3616" s="124"/>
      <c r="N3616" s="124"/>
      <c r="O3616" s="124"/>
      <c r="P3616" s="124"/>
      <c r="Q3616" s="124"/>
      <c r="R3616" s="124"/>
      <c r="S3616" s="124"/>
      <c r="T3616" s="124"/>
      <c r="U3616" s="124"/>
      <c r="V3616" s="124"/>
      <c r="W3616" s="124"/>
      <c r="X3616" s="124"/>
      <c r="Y3616" s="124"/>
      <c r="Z3616" s="124"/>
    </row>
    <row r="3617">
      <c r="A3617" s="124"/>
      <c r="B3617" s="124"/>
      <c r="C3617" s="147"/>
      <c r="D3617" s="124"/>
      <c r="E3617" s="124"/>
      <c r="F3617" s="124"/>
      <c r="G3617" s="124"/>
      <c r="H3617" s="124"/>
      <c r="I3617" s="124"/>
      <c r="J3617" s="124"/>
      <c r="K3617" s="124"/>
      <c r="L3617" s="124"/>
      <c r="M3617" s="124"/>
      <c r="N3617" s="124"/>
      <c r="O3617" s="124"/>
      <c r="P3617" s="124"/>
      <c r="Q3617" s="124"/>
      <c r="R3617" s="124"/>
      <c r="S3617" s="124"/>
      <c r="T3617" s="124"/>
      <c r="U3617" s="124"/>
      <c r="V3617" s="124"/>
      <c r="W3617" s="124"/>
      <c r="X3617" s="124"/>
      <c r="Y3617" s="124"/>
      <c r="Z3617" s="124"/>
    </row>
    <row r="3618">
      <c r="A3618" s="124"/>
      <c r="B3618" s="124"/>
      <c r="C3618" s="147"/>
      <c r="D3618" s="124"/>
      <c r="E3618" s="124"/>
      <c r="F3618" s="124"/>
      <c r="G3618" s="124"/>
      <c r="H3618" s="124"/>
      <c r="I3618" s="124"/>
      <c r="J3618" s="124"/>
      <c r="K3618" s="124"/>
      <c r="L3618" s="124"/>
      <c r="M3618" s="124"/>
      <c r="N3618" s="124"/>
      <c r="O3618" s="124"/>
      <c r="P3618" s="124"/>
      <c r="Q3618" s="124"/>
      <c r="R3618" s="124"/>
      <c r="S3618" s="124"/>
      <c r="T3618" s="124"/>
      <c r="U3618" s="124"/>
      <c r="V3618" s="124"/>
      <c r="W3618" s="124"/>
      <c r="X3618" s="124"/>
      <c r="Y3618" s="124"/>
      <c r="Z3618" s="124"/>
    </row>
    <row r="3619">
      <c r="A3619" s="124"/>
      <c r="B3619" s="124"/>
      <c r="C3619" s="147"/>
      <c r="D3619" s="124"/>
      <c r="E3619" s="124"/>
      <c r="F3619" s="124"/>
      <c r="G3619" s="124"/>
      <c r="H3619" s="124"/>
      <c r="I3619" s="124"/>
      <c r="J3619" s="124"/>
      <c r="K3619" s="124"/>
      <c r="L3619" s="124"/>
      <c r="M3619" s="124"/>
      <c r="N3619" s="124"/>
      <c r="O3619" s="124"/>
      <c r="P3619" s="124"/>
      <c r="Q3619" s="124"/>
      <c r="R3619" s="124"/>
      <c r="S3619" s="124"/>
      <c r="T3619" s="124"/>
      <c r="U3619" s="124"/>
      <c r="V3619" s="124"/>
      <c r="W3619" s="124"/>
      <c r="X3619" s="124"/>
      <c r="Y3619" s="124"/>
      <c r="Z3619" s="124"/>
    </row>
    <row r="3620">
      <c r="A3620" s="124"/>
      <c r="B3620" s="124"/>
      <c r="C3620" s="147"/>
      <c r="D3620" s="124"/>
      <c r="E3620" s="124"/>
      <c r="F3620" s="124"/>
      <c r="G3620" s="124"/>
      <c r="H3620" s="124"/>
      <c r="I3620" s="124"/>
      <c r="J3620" s="124"/>
      <c r="K3620" s="124"/>
      <c r="L3620" s="124"/>
      <c r="M3620" s="124"/>
      <c r="N3620" s="124"/>
      <c r="O3620" s="124"/>
      <c r="P3620" s="124"/>
      <c r="Q3620" s="124"/>
      <c r="R3620" s="124"/>
      <c r="S3620" s="124"/>
      <c r="T3620" s="124"/>
      <c r="U3620" s="124"/>
      <c r="V3620" s="124"/>
      <c r="W3620" s="124"/>
      <c r="X3620" s="124"/>
      <c r="Y3620" s="124"/>
      <c r="Z3620" s="124"/>
    </row>
    <row r="3621">
      <c r="A3621" s="124"/>
      <c r="B3621" s="124"/>
      <c r="C3621" s="147"/>
      <c r="D3621" s="124"/>
      <c r="E3621" s="124"/>
      <c r="F3621" s="124"/>
      <c r="G3621" s="124"/>
      <c r="H3621" s="124"/>
      <c r="I3621" s="124"/>
      <c r="J3621" s="124"/>
      <c r="K3621" s="124"/>
      <c r="L3621" s="124"/>
      <c r="M3621" s="124"/>
      <c r="N3621" s="124"/>
      <c r="O3621" s="124"/>
      <c r="P3621" s="124"/>
      <c r="Q3621" s="124"/>
      <c r="R3621" s="124"/>
      <c r="S3621" s="124"/>
      <c r="T3621" s="124"/>
      <c r="U3621" s="124"/>
      <c r="V3621" s="124"/>
      <c r="W3621" s="124"/>
      <c r="X3621" s="124"/>
      <c r="Y3621" s="124"/>
      <c r="Z3621" s="124"/>
    </row>
    <row r="3622">
      <c r="A3622" s="124"/>
      <c r="B3622" s="124"/>
      <c r="C3622" s="147"/>
      <c r="D3622" s="124"/>
      <c r="E3622" s="124"/>
      <c r="F3622" s="124"/>
      <c r="G3622" s="124"/>
      <c r="H3622" s="124"/>
      <c r="I3622" s="124"/>
      <c r="J3622" s="124"/>
      <c r="K3622" s="124"/>
      <c r="L3622" s="124"/>
      <c r="M3622" s="124"/>
      <c r="N3622" s="124"/>
      <c r="O3622" s="124"/>
      <c r="P3622" s="124"/>
      <c r="Q3622" s="124"/>
      <c r="R3622" s="124"/>
      <c r="S3622" s="124"/>
      <c r="T3622" s="124"/>
      <c r="U3622" s="124"/>
      <c r="V3622" s="124"/>
      <c r="W3622" s="124"/>
      <c r="X3622" s="124"/>
      <c r="Y3622" s="124"/>
      <c r="Z3622" s="124"/>
    </row>
    <row r="3623">
      <c r="A3623" s="124"/>
      <c r="B3623" s="124"/>
      <c r="C3623" s="147"/>
      <c r="D3623" s="124"/>
      <c r="E3623" s="124"/>
      <c r="F3623" s="124"/>
      <c r="G3623" s="124"/>
      <c r="H3623" s="124"/>
      <c r="I3623" s="124"/>
      <c r="J3623" s="124"/>
      <c r="K3623" s="124"/>
      <c r="L3623" s="124"/>
      <c r="M3623" s="124"/>
      <c r="N3623" s="124"/>
      <c r="O3623" s="124"/>
      <c r="P3623" s="124"/>
      <c r="Q3623" s="124"/>
      <c r="R3623" s="124"/>
      <c r="S3623" s="124"/>
      <c r="T3623" s="124"/>
      <c r="U3623" s="124"/>
      <c r="V3623" s="124"/>
      <c r="W3623" s="124"/>
      <c r="X3623" s="124"/>
      <c r="Y3623" s="124"/>
      <c r="Z3623" s="124"/>
    </row>
    <row r="3624">
      <c r="A3624" s="124"/>
      <c r="B3624" s="124"/>
      <c r="C3624" s="147"/>
      <c r="D3624" s="124"/>
      <c r="E3624" s="124"/>
      <c r="F3624" s="124"/>
      <c r="G3624" s="124"/>
      <c r="H3624" s="124"/>
      <c r="I3624" s="124"/>
      <c r="J3624" s="124"/>
      <c r="K3624" s="124"/>
      <c r="L3624" s="124"/>
      <c r="M3624" s="124"/>
      <c r="N3624" s="124"/>
      <c r="O3624" s="124"/>
      <c r="P3624" s="124"/>
      <c r="Q3624" s="124"/>
      <c r="R3624" s="124"/>
      <c r="S3624" s="124"/>
      <c r="T3624" s="124"/>
      <c r="U3624" s="124"/>
      <c r="V3624" s="124"/>
      <c r="W3624" s="124"/>
      <c r="X3624" s="124"/>
      <c r="Y3624" s="124"/>
      <c r="Z3624" s="124"/>
    </row>
    <row r="3625">
      <c r="A3625" s="124"/>
      <c r="B3625" s="124"/>
      <c r="C3625" s="147"/>
      <c r="D3625" s="124"/>
      <c r="E3625" s="124"/>
      <c r="F3625" s="124"/>
      <c r="G3625" s="124"/>
      <c r="H3625" s="124"/>
      <c r="I3625" s="124"/>
      <c r="J3625" s="124"/>
      <c r="K3625" s="124"/>
      <c r="L3625" s="124"/>
      <c r="M3625" s="124"/>
      <c r="N3625" s="124"/>
      <c r="O3625" s="124"/>
      <c r="P3625" s="124"/>
      <c r="Q3625" s="124"/>
      <c r="R3625" s="124"/>
      <c r="S3625" s="124"/>
      <c r="T3625" s="124"/>
      <c r="U3625" s="124"/>
      <c r="V3625" s="124"/>
      <c r="W3625" s="124"/>
      <c r="X3625" s="124"/>
      <c r="Y3625" s="124"/>
      <c r="Z3625" s="124"/>
    </row>
    <row r="3626">
      <c r="A3626" s="124"/>
      <c r="B3626" s="124"/>
      <c r="C3626" s="147"/>
      <c r="D3626" s="124"/>
      <c r="E3626" s="124"/>
      <c r="F3626" s="124"/>
      <c r="G3626" s="124"/>
      <c r="H3626" s="124"/>
      <c r="I3626" s="124"/>
      <c r="J3626" s="124"/>
      <c r="K3626" s="124"/>
      <c r="L3626" s="124"/>
      <c r="M3626" s="124"/>
      <c r="N3626" s="124"/>
      <c r="O3626" s="124"/>
      <c r="P3626" s="124"/>
      <c r="Q3626" s="124"/>
      <c r="R3626" s="124"/>
      <c r="S3626" s="124"/>
      <c r="T3626" s="124"/>
      <c r="U3626" s="124"/>
      <c r="V3626" s="124"/>
      <c r="W3626" s="124"/>
      <c r="X3626" s="124"/>
      <c r="Y3626" s="124"/>
      <c r="Z3626" s="124"/>
    </row>
    <row r="3627">
      <c r="A3627" s="124"/>
      <c r="B3627" s="124"/>
      <c r="C3627" s="147"/>
      <c r="D3627" s="124"/>
      <c r="E3627" s="124"/>
      <c r="F3627" s="124"/>
      <c r="G3627" s="124"/>
      <c r="H3627" s="124"/>
      <c r="I3627" s="124"/>
      <c r="J3627" s="124"/>
      <c r="K3627" s="124"/>
      <c r="L3627" s="124"/>
      <c r="M3627" s="124"/>
      <c r="N3627" s="124"/>
      <c r="O3627" s="124"/>
      <c r="P3627" s="124"/>
      <c r="Q3627" s="124"/>
      <c r="R3627" s="124"/>
      <c r="S3627" s="124"/>
      <c r="T3627" s="124"/>
      <c r="U3627" s="124"/>
      <c r="V3627" s="124"/>
      <c r="W3627" s="124"/>
      <c r="X3627" s="124"/>
      <c r="Y3627" s="124"/>
      <c r="Z3627" s="124"/>
    </row>
    <row r="3628">
      <c r="A3628" s="124"/>
      <c r="B3628" s="124"/>
      <c r="C3628" s="147"/>
      <c r="D3628" s="124"/>
      <c r="E3628" s="124"/>
      <c r="F3628" s="124"/>
      <c r="G3628" s="124"/>
      <c r="H3628" s="124"/>
      <c r="I3628" s="124"/>
      <c r="J3628" s="124"/>
      <c r="K3628" s="124"/>
      <c r="L3628" s="124"/>
      <c r="M3628" s="124"/>
      <c r="N3628" s="124"/>
      <c r="O3628" s="124"/>
      <c r="P3628" s="124"/>
      <c r="Q3628" s="124"/>
      <c r="R3628" s="124"/>
      <c r="S3628" s="124"/>
      <c r="T3628" s="124"/>
      <c r="U3628" s="124"/>
      <c r="V3628" s="124"/>
      <c r="W3628" s="124"/>
      <c r="X3628" s="124"/>
      <c r="Y3628" s="124"/>
      <c r="Z3628" s="124"/>
    </row>
    <row r="3629">
      <c r="A3629" s="124"/>
      <c r="B3629" s="124"/>
      <c r="C3629" s="147"/>
      <c r="D3629" s="124"/>
      <c r="E3629" s="124"/>
      <c r="F3629" s="124"/>
      <c r="G3629" s="124"/>
      <c r="H3629" s="124"/>
      <c r="I3629" s="124"/>
      <c r="J3629" s="124"/>
      <c r="K3629" s="124"/>
      <c r="L3629" s="124"/>
      <c r="M3629" s="124"/>
      <c r="N3629" s="124"/>
      <c r="O3629" s="124"/>
      <c r="P3629" s="124"/>
      <c r="Q3629" s="124"/>
      <c r="R3629" s="124"/>
      <c r="S3629" s="124"/>
      <c r="T3629" s="124"/>
      <c r="U3629" s="124"/>
      <c r="V3629" s="124"/>
      <c r="W3629" s="124"/>
      <c r="X3629" s="124"/>
      <c r="Y3629" s="124"/>
      <c r="Z3629" s="124"/>
    </row>
    <row r="3630">
      <c r="A3630" s="124"/>
      <c r="B3630" s="124"/>
      <c r="C3630" s="147"/>
      <c r="D3630" s="124"/>
      <c r="E3630" s="124"/>
      <c r="F3630" s="124"/>
      <c r="G3630" s="124"/>
      <c r="H3630" s="124"/>
      <c r="I3630" s="124"/>
      <c r="J3630" s="124"/>
      <c r="K3630" s="124"/>
      <c r="L3630" s="124"/>
      <c r="M3630" s="124"/>
      <c r="N3630" s="124"/>
      <c r="O3630" s="124"/>
      <c r="P3630" s="124"/>
      <c r="Q3630" s="124"/>
      <c r="R3630" s="124"/>
      <c r="S3630" s="124"/>
      <c r="T3630" s="124"/>
      <c r="U3630" s="124"/>
      <c r="V3630" s="124"/>
      <c r="W3630" s="124"/>
      <c r="X3630" s="124"/>
      <c r="Y3630" s="124"/>
      <c r="Z3630" s="124"/>
    </row>
    <row r="3631">
      <c r="A3631" s="124"/>
      <c r="B3631" s="124"/>
      <c r="C3631" s="147"/>
      <c r="D3631" s="124"/>
      <c r="E3631" s="124"/>
      <c r="F3631" s="124"/>
      <c r="G3631" s="124"/>
      <c r="H3631" s="124"/>
      <c r="I3631" s="124"/>
      <c r="J3631" s="124"/>
      <c r="K3631" s="124"/>
      <c r="L3631" s="124"/>
      <c r="M3631" s="124"/>
      <c r="N3631" s="124"/>
      <c r="O3631" s="124"/>
      <c r="P3631" s="124"/>
      <c r="Q3631" s="124"/>
      <c r="R3631" s="124"/>
      <c r="S3631" s="124"/>
      <c r="T3631" s="124"/>
      <c r="U3631" s="124"/>
      <c r="V3631" s="124"/>
      <c r="W3631" s="124"/>
      <c r="X3631" s="124"/>
      <c r="Y3631" s="124"/>
      <c r="Z3631" s="124"/>
    </row>
    <row r="3632">
      <c r="A3632" s="124"/>
      <c r="B3632" s="124"/>
      <c r="C3632" s="147"/>
      <c r="D3632" s="124"/>
      <c r="E3632" s="124"/>
      <c r="F3632" s="124"/>
      <c r="G3632" s="124"/>
      <c r="H3632" s="124"/>
      <c r="I3632" s="124"/>
      <c r="J3632" s="124"/>
      <c r="K3632" s="124"/>
      <c r="L3632" s="124"/>
      <c r="M3632" s="124"/>
      <c r="N3632" s="124"/>
      <c r="O3632" s="124"/>
      <c r="P3632" s="124"/>
      <c r="Q3632" s="124"/>
      <c r="R3632" s="124"/>
      <c r="S3632" s="124"/>
      <c r="T3632" s="124"/>
      <c r="U3632" s="124"/>
      <c r="V3632" s="124"/>
      <c r="W3632" s="124"/>
      <c r="X3632" s="124"/>
      <c r="Y3632" s="124"/>
      <c r="Z3632" s="124"/>
    </row>
    <row r="3633">
      <c r="A3633" s="124"/>
      <c r="B3633" s="124"/>
      <c r="C3633" s="147"/>
      <c r="D3633" s="124"/>
      <c r="E3633" s="124"/>
      <c r="F3633" s="124"/>
      <c r="G3633" s="124"/>
      <c r="H3633" s="124"/>
      <c r="I3633" s="124"/>
      <c r="J3633" s="124"/>
      <c r="K3633" s="124"/>
      <c r="L3633" s="124"/>
      <c r="M3633" s="124"/>
      <c r="N3633" s="124"/>
      <c r="O3633" s="124"/>
      <c r="P3633" s="124"/>
      <c r="Q3633" s="124"/>
      <c r="R3633" s="124"/>
      <c r="S3633" s="124"/>
      <c r="T3633" s="124"/>
      <c r="U3633" s="124"/>
      <c r="V3633" s="124"/>
      <c r="W3633" s="124"/>
      <c r="X3633" s="124"/>
      <c r="Y3633" s="124"/>
      <c r="Z3633" s="124"/>
    </row>
    <row r="3634">
      <c r="A3634" s="124"/>
      <c r="B3634" s="124"/>
      <c r="C3634" s="147"/>
      <c r="D3634" s="124"/>
      <c r="E3634" s="124"/>
      <c r="F3634" s="124"/>
      <c r="G3634" s="124"/>
      <c r="H3634" s="124"/>
      <c r="I3634" s="124"/>
      <c r="J3634" s="124"/>
      <c r="K3634" s="124"/>
      <c r="L3634" s="124"/>
      <c r="M3634" s="124"/>
      <c r="N3634" s="124"/>
      <c r="O3634" s="124"/>
      <c r="P3634" s="124"/>
      <c r="Q3634" s="124"/>
      <c r="R3634" s="124"/>
      <c r="S3634" s="124"/>
      <c r="T3634" s="124"/>
      <c r="U3634" s="124"/>
      <c r="V3634" s="124"/>
      <c r="W3634" s="124"/>
      <c r="X3634" s="124"/>
      <c r="Y3634" s="124"/>
      <c r="Z3634" s="124"/>
    </row>
    <row r="3635">
      <c r="A3635" s="124"/>
      <c r="B3635" s="124"/>
      <c r="C3635" s="147"/>
      <c r="D3635" s="124"/>
      <c r="E3635" s="124"/>
      <c r="F3635" s="124"/>
      <c r="G3635" s="124"/>
      <c r="H3635" s="124"/>
      <c r="I3635" s="124"/>
      <c r="J3635" s="124"/>
      <c r="K3635" s="124"/>
      <c r="L3635" s="124"/>
      <c r="M3635" s="124"/>
      <c r="N3635" s="124"/>
      <c r="O3635" s="124"/>
      <c r="P3635" s="124"/>
      <c r="Q3635" s="124"/>
      <c r="R3635" s="124"/>
      <c r="S3635" s="124"/>
      <c r="T3635" s="124"/>
      <c r="U3635" s="124"/>
      <c r="V3635" s="124"/>
      <c r="W3635" s="124"/>
      <c r="X3635" s="124"/>
      <c r="Y3635" s="124"/>
      <c r="Z3635" s="124"/>
    </row>
    <row r="3636">
      <c r="A3636" s="124"/>
      <c r="B3636" s="124"/>
      <c r="C3636" s="147"/>
      <c r="D3636" s="124"/>
      <c r="E3636" s="124"/>
      <c r="F3636" s="124"/>
      <c r="G3636" s="124"/>
      <c r="H3636" s="124"/>
      <c r="I3636" s="124"/>
      <c r="J3636" s="124"/>
      <c r="K3636" s="124"/>
      <c r="L3636" s="124"/>
      <c r="M3636" s="124"/>
      <c r="N3636" s="124"/>
      <c r="O3636" s="124"/>
      <c r="P3636" s="124"/>
      <c r="Q3636" s="124"/>
      <c r="R3636" s="124"/>
      <c r="S3636" s="124"/>
      <c r="T3636" s="124"/>
      <c r="U3636" s="124"/>
      <c r="V3636" s="124"/>
      <c r="W3636" s="124"/>
      <c r="X3636" s="124"/>
      <c r="Y3636" s="124"/>
      <c r="Z3636" s="124"/>
    </row>
    <row r="3637">
      <c r="A3637" s="124"/>
      <c r="B3637" s="124"/>
      <c r="C3637" s="147"/>
      <c r="D3637" s="124"/>
      <c r="E3637" s="124"/>
      <c r="F3637" s="124"/>
      <c r="G3637" s="124"/>
      <c r="H3637" s="124"/>
      <c r="I3637" s="124"/>
      <c r="J3637" s="124"/>
      <c r="K3637" s="124"/>
      <c r="L3637" s="124"/>
      <c r="M3637" s="124"/>
      <c r="N3637" s="124"/>
      <c r="O3637" s="124"/>
      <c r="P3637" s="124"/>
      <c r="Q3637" s="124"/>
      <c r="R3637" s="124"/>
      <c r="S3637" s="124"/>
      <c r="T3637" s="124"/>
      <c r="U3637" s="124"/>
      <c r="V3637" s="124"/>
      <c r="W3637" s="124"/>
      <c r="X3637" s="124"/>
      <c r="Y3637" s="124"/>
      <c r="Z3637" s="124"/>
    </row>
    <row r="3638">
      <c r="A3638" s="124"/>
      <c r="B3638" s="124"/>
      <c r="C3638" s="147"/>
      <c r="D3638" s="124"/>
      <c r="E3638" s="124"/>
      <c r="F3638" s="124"/>
      <c r="G3638" s="124"/>
      <c r="H3638" s="124"/>
      <c r="I3638" s="124"/>
      <c r="J3638" s="124"/>
      <c r="K3638" s="124"/>
      <c r="L3638" s="124"/>
      <c r="M3638" s="124"/>
      <c r="N3638" s="124"/>
      <c r="O3638" s="124"/>
      <c r="P3638" s="124"/>
      <c r="Q3638" s="124"/>
      <c r="R3638" s="124"/>
      <c r="S3638" s="124"/>
      <c r="T3638" s="124"/>
      <c r="U3638" s="124"/>
      <c r="V3638" s="124"/>
      <c r="W3638" s="124"/>
      <c r="X3638" s="124"/>
      <c r="Y3638" s="124"/>
      <c r="Z3638" s="124"/>
    </row>
    <row r="3639">
      <c r="A3639" s="124"/>
      <c r="B3639" s="124"/>
      <c r="C3639" s="147"/>
      <c r="D3639" s="124"/>
      <c r="E3639" s="124"/>
      <c r="F3639" s="124"/>
      <c r="G3639" s="124"/>
      <c r="H3639" s="124"/>
      <c r="I3639" s="124"/>
      <c r="J3639" s="124"/>
      <c r="K3639" s="124"/>
      <c r="L3639" s="124"/>
      <c r="M3639" s="124"/>
      <c r="N3639" s="124"/>
      <c r="O3639" s="124"/>
      <c r="P3639" s="124"/>
      <c r="Q3639" s="124"/>
      <c r="R3639" s="124"/>
      <c r="S3639" s="124"/>
      <c r="T3639" s="124"/>
      <c r="U3639" s="124"/>
      <c r="V3639" s="124"/>
      <c r="W3639" s="124"/>
      <c r="X3639" s="124"/>
      <c r="Y3639" s="124"/>
      <c r="Z3639" s="124"/>
    </row>
    <row r="3640">
      <c r="A3640" s="124"/>
      <c r="B3640" s="124"/>
      <c r="C3640" s="147"/>
      <c r="D3640" s="124"/>
      <c r="E3640" s="124"/>
      <c r="F3640" s="124"/>
      <c r="G3640" s="124"/>
      <c r="H3640" s="124"/>
      <c r="I3640" s="124"/>
      <c r="J3640" s="124"/>
      <c r="K3640" s="124"/>
      <c r="L3640" s="124"/>
      <c r="M3640" s="124"/>
      <c r="N3640" s="124"/>
      <c r="O3640" s="124"/>
      <c r="P3640" s="124"/>
      <c r="Q3640" s="124"/>
      <c r="R3640" s="124"/>
      <c r="S3640" s="124"/>
      <c r="T3640" s="124"/>
      <c r="U3640" s="124"/>
      <c r="V3640" s="124"/>
      <c r="W3640" s="124"/>
      <c r="X3640" s="124"/>
      <c r="Y3640" s="124"/>
      <c r="Z3640" s="124"/>
    </row>
    <row r="3641">
      <c r="A3641" s="124"/>
      <c r="B3641" s="124"/>
      <c r="C3641" s="147"/>
      <c r="D3641" s="124"/>
      <c r="E3641" s="124"/>
      <c r="F3641" s="124"/>
      <c r="G3641" s="124"/>
      <c r="H3641" s="124"/>
      <c r="I3641" s="124"/>
      <c r="J3641" s="124"/>
      <c r="K3641" s="124"/>
      <c r="L3641" s="124"/>
      <c r="M3641" s="124"/>
      <c r="N3641" s="124"/>
      <c r="O3641" s="124"/>
      <c r="P3641" s="124"/>
      <c r="Q3641" s="124"/>
      <c r="R3641" s="124"/>
      <c r="S3641" s="124"/>
      <c r="T3641" s="124"/>
      <c r="U3641" s="124"/>
      <c r="V3641" s="124"/>
      <c r="W3641" s="124"/>
      <c r="X3641" s="124"/>
      <c r="Y3641" s="124"/>
      <c r="Z3641" s="124"/>
    </row>
    <row r="3642">
      <c r="A3642" s="124"/>
      <c r="B3642" s="124"/>
      <c r="C3642" s="147"/>
      <c r="D3642" s="124"/>
      <c r="E3642" s="124"/>
      <c r="F3642" s="124"/>
      <c r="G3642" s="124"/>
      <c r="H3642" s="124"/>
      <c r="I3642" s="124"/>
      <c r="J3642" s="124"/>
      <c r="K3642" s="124"/>
      <c r="L3642" s="124"/>
      <c r="M3642" s="124"/>
      <c r="N3642" s="124"/>
      <c r="O3642" s="124"/>
      <c r="P3642" s="124"/>
      <c r="Q3642" s="124"/>
      <c r="R3642" s="124"/>
      <c r="S3642" s="124"/>
      <c r="T3642" s="124"/>
      <c r="U3642" s="124"/>
      <c r="V3642" s="124"/>
      <c r="W3642" s="124"/>
      <c r="X3642" s="124"/>
      <c r="Y3642" s="124"/>
      <c r="Z3642" s="124"/>
    </row>
    <row r="3643">
      <c r="A3643" s="124"/>
      <c r="B3643" s="124"/>
      <c r="C3643" s="147"/>
      <c r="D3643" s="124"/>
      <c r="E3643" s="124"/>
      <c r="F3643" s="124"/>
      <c r="G3643" s="124"/>
      <c r="H3643" s="124"/>
      <c r="I3643" s="124"/>
      <c r="J3643" s="124"/>
      <c r="K3643" s="124"/>
      <c r="L3643" s="124"/>
      <c r="M3643" s="124"/>
      <c r="N3643" s="124"/>
      <c r="O3643" s="124"/>
      <c r="P3643" s="124"/>
      <c r="Q3643" s="124"/>
      <c r="R3643" s="124"/>
      <c r="S3643" s="124"/>
      <c r="T3643" s="124"/>
      <c r="U3643" s="124"/>
      <c r="V3643" s="124"/>
      <c r="W3643" s="124"/>
      <c r="X3643" s="124"/>
      <c r="Y3643" s="124"/>
      <c r="Z3643" s="124"/>
    </row>
    <row r="3644">
      <c r="A3644" s="124"/>
      <c r="B3644" s="124"/>
      <c r="C3644" s="147"/>
      <c r="D3644" s="124"/>
      <c r="E3644" s="124"/>
      <c r="F3644" s="124"/>
      <c r="G3644" s="124"/>
      <c r="H3644" s="124"/>
      <c r="I3644" s="124"/>
      <c r="J3644" s="124"/>
      <c r="K3644" s="124"/>
      <c r="L3644" s="124"/>
      <c r="M3644" s="124"/>
      <c r="N3644" s="124"/>
      <c r="O3644" s="124"/>
      <c r="P3644" s="124"/>
      <c r="Q3644" s="124"/>
      <c r="R3644" s="124"/>
      <c r="S3644" s="124"/>
      <c r="T3644" s="124"/>
      <c r="U3644" s="124"/>
      <c r="V3644" s="124"/>
      <c r="W3644" s="124"/>
      <c r="X3644" s="124"/>
      <c r="Y3644" s="124"/>
      <c r="Z3644" s="124"/>
    </row>
    <row r="3645">
      <c r="A3645" s="124"/>
      <c r="B3645" s="124"/>
      <c r="C3645" s="147"/>
      <c r="D3645" s="124"/>
      <c r="E3645" s="124"/>
      <c r="F3645" s="124"/>
      <c r="G3645" s="124"/>
      <c r="H3645" s="124"/>
      <c r="I3645" s="124"/>
      <c r="J3645" s="124"/>
      <c r="K3645" s="124"/>
      <c r="L3645" s="124"/>
      <c r="M3645" s="124"/>
      <c r="N3645" s="124"/>
      <c r="O3645" s="124"/>
      <c r="P3645" s="124"/>
      <c r="Q3645" s="124"/>
      <c r="R3645" s="124"/>
      <c r="S3645" s="124"/>
      <c r="T3645" s="124"/>
      <c r="U3645" s="124"/>
      <c r="V3645" s="124"/>
      <c r="W3645" s="124"/>
      <c r="X3645" s="124"/>
      <c r="Y3645" s="124"/>
      <c r="Z3645" s="124"/>
    </row>
    <row r="3646">
      <c r="A3646" s="124"/>
      <c r="B3646" s="124"/>
      <c r="C3646" s="147"/>
      <c r="D3646" s="124"/>
      <c r="E3646" s="124"/>
      <c r="F3646" s="124"/>
      <c r="G3646" s="124"/>
      <c r="H3646" s="124"/>
      <c r="I3646" s="124"/>
      <c r="J3646" s="124"/>
      <c r="K3646" s="124"/>
      <c r="L3646" s="124"/>
      <c r="M3646" s="124"/>
      <c r="N3646" s="124"/>
      <c r="O3646" s="124"/>
      <c r="P3646" s="124"/>
      <c r="Q3646" s="124"/>
      <c r="R3646" s="124"/>
      <c r="S3646" s="124"/>
      <c r="T3646" s="124"/>
      <c r="U3646" s="124"/>
      <c r="V3646" s="124"/>
      <c r="W3646" s="124"/>
      <c r="X3646" s="124"/>
      <c r="Y3646" s="124"/>
      <c r="Z3646" s="124"/>
    </row>
    <row r="3647">
      <c r="A3647" s="124"/>
      <c r="B3647" s="124"/>
      <c r="C3647" s="147"/>
      <c r="D3647" s="124"/>
      <c r="E3647" s="124"/>
      <c r="F3647" s="124"/>
      <c r="G3647" s="124"/>
      <c r="H3647" s="124"/>
      <c r="I3647" s="124"/>
      <c r="J3647" s="124"/>
      <c r="K3647" s="124"/>
      <c r="L3647" s="124"/>
      <c r="M3647" s="124"/>
      <c r="N3647" s="124"/>
      <c r="O3647" s="124"/>
      <c r="P3647" s="124"/>
      <c r="Q3647" s="124"/>
      <c r="R3647" s="124"/>
      <c r="S3647" s="124"/>
      <c r="T3647" s="124"/>
      <c r="U3647" s="124"/>
      <c r="V3647" s="124"/>
      <c r="W3647" s="124"/>
      <c r="X3647" s="124"/>
      <c r="Y3647" s="124"/>
      <c r="Z3647" s="124"/>
    </row>
    <row r="3648">
      <c r="A3648" s="124"/>
      <c r="B3648" s="124"/>
      <c r="C3648" s="147"/>
      <c r="D3648" s="124"/>
      <c r="E3648" s="124"/>
      <c r="F3648" s="124"/>
      <c r="G3648" s="124"/>
      <c r="H3648" s="124"/>
      <c r="I3648" s="124"/>
      <c r="J3648" s="124"/>
      <c r="K3648" s="124"/>
      <c r="L3648" s="124"/>
      <c r="M3648" s="124"/>
      <c r="N3648" s="124"/>
      <c r="O3648" s="124"/>
      <c r="P3648" s="124"/>
      <c r="Q3648" s="124"/>
      <c r="R3648" s="124"/>
      <c r="S3648" s="124"/>
      <c r="T3648" s="124"/>
      <c r="U3648" s="124"/>
      <c r="V3648" s="124"/>
      <c r="W3648" s="124"/>
      <c r="X3648" s="124"/>
      <c r="Y3648" s="124"/>
      <c r="Z3648" s="124"/>
    </row>
    <row r="3649">
      <c r="A3649" s="124"/>
      <c r="B3649" s="124"/>
      <c r="C3649" s="147"/>
      <c r="D3649" s="124"/>
      <c r="E3649" s="124"/>
      <c r="F3649" s="124"/>
      <c r="G3649" s="124"/>
      <c r="H3649" s="124"/>
      <c r="I3649" s="124"/>
      <c r="J3649" s="124"/>
      <c r="K3649" s="124"/>
      <c r="L3649" s="124"/>
      <c r="M3649" s="124"/>
      <c r="N3649" s="124"/>
      <c r="O3649" s="124"/>
      <c r="P3649" s="124"/>
      <c r="Q3649" s="124"/>
      <c r="R3649" s="124"/>
      <c r="S3649" s="124"/>
      <c r="T3649" s="124"/>
      <c r="U3649" s="124"/>
      <c r="V3649" s="124"/>
      <c r="W3649" s="124"/>
      <c r="X3649" s="124"/>
      <c r="Y3649" s="124"/>
      <c r="Z3649" s="124"/>
    </row>
    <row r="3650">
      <c r="A3650" s="124"/>
      <c r="B3650" s="124"/>
      <c r="C3650" s="147"/>
      <c r="D3650" s="124"/>
      <c r="E3650" s="124"/>
      <c r="F3650" s="124"/>
      <c r="G3650" s="124"/>
      <c r="H3650" s="124"/>
      <c r="I3650" s="124"/>
      <c r="J3650" s="124"/>
      <c r="K3650" s="124"/>
      <c r="L3650" s="124"/>
      <c r="M3650" s="124"/>
      <c r="N3650" s="124"/>
      <c r="O3650" s="124"/>
      <c r="P3650" s="124"/>
      <c r="Q3650" s="124"/>
      <c r="R3650" s="124"/>
      <c r="S3650" s="124"/>
      <c r="T3650" s="124"/>
      <c r="U3650" s="124"/>
      <c r="V3650" s="124"/>
      <c r="W3650" s="124"/>
      <c r="X3650" s="124"/>
      <c r="Y3650" s="124"/>
      <c r="Z3650" s="124"/>
    </row>
    <row r="3651">
      <c r="A3651" s="124"/>
      <c r="B3651" s="124"/>
      <c r="C3651" s="147"/>
      <c r="D3651" s="124"/>
      <c r="E3651" s="124"/>
      <c r="F3651" s="124"/>
      <c r="G3651" s="124"/>
      <c r="H3651" s="124"/>
      <c r="I3651" s="124"/>
      <c r="J3651" s="124"/>
      <c r="K3651" s="124"/>
      <c r="L3651" s="124"/>
      <c r="M3651" s="124"/>
      <c r="N3651" s="124"/>
      <c r="O3651" s="124"/>
      <c r="P3651" s="124"/>
      <c r="Q3651" s="124"/>
      <c r="R3651" s="124"/>
      <c r="S3651" s="124"/>
      <c r="T3651" s="124"/>
      <c r="U3651" s="124"/>
      <c r="V3651" s="124"/>
      <c r="W3651" s="124"/>
      <c r="X3651" s="124"/>
      <c r="Y3651" s="124"/>
      <c r="Z3651" s="124"/>
    </row>
    <row r="3652">
      <c r="A3652" s="124"/>
      <c r="B3652" s="124"/>
      <c r="C3652" s="147"/>
      <c r="D3652" s="124"/>
      <c r="E3652" s="124"/>
      <c r="F3652" s="124"/>
      <c r="G3652" s="124"/>
      <c r="H3652" s="124"/>
      <c r="I3652" s="124"/>
      <c r="J3652" s="124"/>
      <c r="K3652" s="124"/>
      <c r="L3652" s="124"/>
      <c r="M3652" s="124"/>
      <c r="N3652" s="124"/>
      <c r="O3652" s="124"/>
      <c r="P3652" s="124"/>
      <c r="Q3652" s="124"/>
      <c r="R3652" s="124"/>
      <c r="S3652" s="124"/>
      <c r="T3652" s="124"/>
      <c r="U3652" s="124"/>
      <c r="V3652" s="124"/>
      <c r="W3652" s="124"/>
      <c r="X3652" s="124"/>
      <c r="Y3652" s="124"/>
      <c r="Z3652" s="124"/>
    </row>
    <row r="3653">
      <c r="A3653" s="124"/>
      <c r="B3653" s="124"/>
      <c r="C3653" s="147"/>
      <c r="D3653" s="124"/>
      <c r="E3653" s="124"/>
      <c r="F3653" s="124"/>
      <c r="G3653" s="124"/>
      <c r="H3653" s="124"/>
      <c r="I3653" s="124"/>
      <c r="J3653" s="124"/>
      <c r="K3653" s="124"/>
      <c r="L3653" s="124"/>
      <c r="M3653" s="124"/>
      <c r="N3653" s="124"/>
      <c r="O3653" s="124"/>
      <c r="P3653" s="124"/>
      <c r="Q3653" s="124"/>
      <c r="R3653" s="124"/>
      <c r="S3653" s="124"/>
      <c r="T3653" s="124"/>
      <c r="U3653" s="124"/>
      <c r="V3653" s="124"/>
      <c r="W3653" s="124"/>
      <c r="X3653" s="124"/>
      <c r="Y3653" s="124"/>
      <c r="Z3653" s="124"/>
    </row>
    <row r="3654">
      <c r="A3654" s="124"/>
      <c r="B3654" s="124"/>
      <c r="C3654" s="147"/>
      <c r="D3654" s="124"/>
      <c r="E3654" s="124"/>
      <c r="F3654" s="124"/>
      <c r="G3654" s="124"/>
      <c r="H3654" s="124"/>
      <c r="I3654" s="124"/>
      <c r="J3654" s="124"/>
      <c r="K3654" s="124"/>
      <c r="L3654" s="124"/>
      <c r="M3654" s="124"/>
      <c r="N3654" s="124"/>
      <c r="O3654" s="124"/>
      <c r="P3654" s="124"/>
      <c r="Q3654" s="124"/>
      <c r="R3654" s="124"/>
      <c r="S3654" s="124"/>
      <c r="T3654" s="124"/>
      <c r="U3654" s="124"/>
      <c r="V3654" s="124"/>
      <c r="W3654" s="124"/>
      <c r="X3654" s="124"/>
      <c r="Y3654" s="124"/>
      <c r="Z3654" s="124"/>
    </row>
    <row r="3655">
      <c r="A3655" s="124"/>
      <c r="B3655" s="124"/>
      <c r="C3655" s="147"/>
      <c r="D3655" s="124"/>
      <c r="E3655" s="124"/>
      <c r="F3655" s="124"/>
      <c r="G3655" s="124"/>
      <c r="H3655" s="124"/>
      <c r="I3655" s="124"/>
      <c r="J3655" s="124"/>
      <c r="K3655" s="124"/>
      <c r="L3655" s="124"/>
      <c r="M3655" s="124"/>
      <c r="N3655" s="124"/>
      <c r="O3655" s="124"/>
      <c r="P3655" s="124"/>
      <c r="Q3655" s="124"/>
      <c r="R3655" s="124"/>
      <c r="S3655" s="124"/>
      <c r="T3655" s="124"/>
      <c r="U3655" s="124"/>
      <c r="V3655" s="124"/>
      <c r="W3655" s="124"/>
      <c r="X3655" s="124"/>
      <c r="Y3655" s="124"/>
      <c r="Z3655" s="124"/>
    </row>
    <row r="3656">
      <c r="A3656" s="124"/>
      <c r="B3656" s="124"/>
      <c r="C3656" s="147"/>
      <c r="D3656" s="124"/>
      <c r="E3656" s="124"/>
      <c r="F3656" s="124"/>
      <c r="G3656" s="124"/>
      <c r="H3656" s="124"/>
      <c r="I3656" s="124"/>
      <c r="J3656" s="124"/>
      <c r="K3656" s="124"/>
      <c r="L3656" s="124"/>
      <c r="M3656" s="124"/>
      <c r="N3656" s="124"/>
      <c r="O3656" s="124"/>
      <c r="P3656" s="124"/>
      <c r="Q3656" s="124"/>
      <c r="R3656" s="124"/>
      <c r="S3656" s="124"/>
      <c r="T3656" s="124"/>
      <c r="U3656" s="124"/>
      <c r="V3656" s="124"/>
      <c r="W3656" s="124"/>
      <c r="X3656" s="124"/>
      <c r="Y3656" s="124"/>
      <c r="Z3656" s="124"/>
    </row>
    <row r="3657">
      <c r="A3657" s="124"/>
      <c r="B3657" s="124"/>
      <c r="C3657" s="147"/>
      <c r="D3657" s="124"/>
      <c r="E3657" s="124"/>
      <c r="F3657" s="124"/>
      <c r="G3657" s="124"/>
      <c r="H3657" s="124"/>
      <c r="I3657" s="124"/>
      <c r="J3657" s="124"/>
      <c r="K3657" s="124"/>
      <c r="L3657" s="124"/>
      <c r="M3657" s="124"/>
      <c r="N3657" s="124"/>
      <c r="O3657" s="124"/>
      <c r="P3657" s="124"/>
      <c r="Q3657" s="124"/>
      <c r="R3657" s="124"/>
      <c r="S3657" s="124"/>
      <c r="T3657" s="124"/>
      <c r="U3657" s="124"/>
      <c r="V3657" s="124"/>
      <c r="W3657" s="124"/>
      <c r="X3657" s="124"/>
      <c r="Y3657" s="124"/>
      <c r="Z3657" s="124"/>
    </row>
    <row r="3658">
      <c r="A3658" s="124"/>
      <c r="B3658" s="124"/>
      <c r="C3658" s="147"/>
      <c r="D3658" s="124"/>
      <c r="E3658" s="124"/>
      <c r="F3658" s="124"/>
      <c r="G3658" s="124"/>
      <c r="H3658" s="124"/>
      <c r="I3658" s="124"/>
      <c r="J3658" s="124"/>
      <c r="K3658" s="124"/>
      <c r="L3658" s="124"/>
      <c r="M3658" s="124"/>
      <c r="N3658" s="124"/>
      <c r="O3658" s="124"/>
      <c r="P3658" s="124"/>
      <c r="Q3658" s="124"/>
      <c r="R3658" s="124"/>
      <c r="S3658" s="124"/>
      <c r="T3658" s="124"/>
      <c r="U3658" s="124"/>
      <c r="V3658" s="124"/>
      <c r="W3658" s="124"/>
      <c r="X3658" s="124"/>
      <c r="Y3658" s="124"/>
      <c r="Z3658" s="124"/>
    </row>
    <row r="3659">
      <c r="A3659" s="124"/>
      <c r="B3659" s="124"/>
      <c r="C3659" s="147"/>
      <c r="D3659" s="124"/>
      <c r="E3659" s="124"/>
      <c r="F3659" s="124"/>
      <c r="G3659" s="124"/>
      <c r="H3659" s="124"/>
      <c r="I3659" s="124"/>
      <c r="J3659" s="124"/>
      <c r="K3659" s="124"/>
      <c r="L3659" s="124"/>
      <c r="M3659" s="124"/>
      <c r="N3659" s="124"/>
      <c r="O3659" s="124"/>
      <c r="P3659" s="124"/>
      <c r="Q3659" s="124"/>
      <c r="R3659" s="124"/>
      <c r="S3659" s="124"/>
      <c r="T3659" s="124"/>
      <c r="U3659" s="124"/>
      <c r="V3659" s="124"/>
      <c r="W3659" s="124"/>
      <c r="X3659" s="124"/>
      <c r="Y3659" s="124"/>
      <c r="Z3659" s="124"/>
    </row>
    <row r="3660">
      <c r="A3660" s="124"/>
      <c r="B3660" s="124"/>
      <c r="C3660" s="147"/>
      <c r="D3660" s="124"/>
      <c r="E3660" s="124"/>
      <c r="F3660" s="124"/>
      <c r="G3660" s="124"/>
      <c r="H3660" s="124"/>
      <c r="I3660" s="124"/>
      <c r="J3660" s="124"/>
      <c r="K3660" s="124"/>
      <c r="L3660" s="124"/>
      <c r="M3660" s="124"/>
      <c r="N3660" s="124"/>
      <c r="O3660" s="124"/>
      <c r="P3660" s="124"/>
      <c r="Q3660" s="124"/>
      <c r="R3660" s="124"/>
      <c r="S3660" s="124"/>
      <c r="T3660" s="124"/>
      <c r="U3660" s="124"/>
      <c r="V3660" s="124"/>
      <c r="W3660" s="124"/>
      <c r="X3660" s="124"/>
      <c r="Y3660" s="124"/>
      <c r="Z3660" s="124"/>
    </row>
    <row r="3661">
      <c r="A3661" s="124"/>
      <c r="B3661" s="124"/>
      <c r="C3661" s="147"/>
      <c r="D3661" s="124"/>
      <c r="E3661" s="124"/>
      <c r="F3661" s="124"/>
      <c r="G3661" s="124"/>
      <c r="H3661" s="124"/>
      <c r="I3661" s="124"/>
      <c r="J3661" s="124"/>
      <c r="K3661" s="124"/>
      <c r="L3661" s="124"/>
      <c r="M3661" s="124"/>
      <c r="N3661" s="124"/>
      <c r="O3661" s="124"/>
      <c r="P3661" s="124"/>
      <c r="Q3661" s="124"/>
      <c r="R3661" s="124"/>
      <c r="S3661" s="124"/>
      <c r="T3661" s="124"/>
      <c r="U3661" s="124"/>
      <c r="V3661" s="124"/>
      <c r="W3661" s="124"/>
      <c r="X3661" s="124"/>
      <c r="Y3661" s="124"/>
      <c r="Z3661" s="124"/>
    </row>
    <row r="3662">
      <c r="A3662" s="124"/>
      <c r="B3662" s="124"/>
      <c r="C3662" s="147"/>
      <c r="D3662" s="124"/>
      <c r="E3662" s="124"/>
      <c r="F3662" s="124"/>
      <c r="G3662" s="124"/>
      <c r="H3662" s="124"/>
      <c r="I3662" s="124"/>
      <c r="J3662" s="124"/>
      <c r="K3662" s="124"/>
      <c r="L3662" s="124"/>
      <c r="M3662" s="124"/>
      <c r="N3662" s="124"/>
      <c r="O3662" s="124"/>
      <c r="P3662" s="124"/>
      <c r="Q3662" s="124"/>
      <c r="R3662" s="124"/>
      <c r="S3662" s="124"/>
      <c r="T3662" s="124"/>
      <c r="U3662" s="124"/>
      <c r="V3662" s="124"/>
      <c r="W3662" s="124"/>
      <c r="X3662" s="124"/>
      <c r="Y3662" s="124"/>
      <c r="Z3662" s="124"/>
    </row>
    <row r="3663">
      <c r="A3663" s="124"/>
      <c r="B3663" s="124"/>
      <c r="C3663" s="147"/>
      <c r="D3663" s="124"/>
      <c r="E3663" s="124"/>
      <c r="F3663" s="124"/>
      <c r="G3663" s="124"/>
      <c r="H3663" s="124"/>
      <c r="I3663" s="124"/>
      <c r="J3663" s="124"/>
      <c r="K3663" s="124"/>
      <c r="L3663" s="124"/>
      <c r="M3663" s="124"/>
      <c r="N3663" s="124"/>
      <c r="O3663" s="124"/>
      <c r="P3663" s="124"/>
      <c r="Q3663" s="124"/>
      <c r="R3663" s="124"/>
      <c r="S3663" s="124"/>
      <c r="T3663" s="124"/>
      <c r="U3663" s="124"/>
      <c r="V3663" s="124"/>
      <c r="W3663" s="124"/>
      <c r="X3663" s="124"/>
      <c r="Y3663" s="124"/>
      <c r="Z3663" s="124"/>
    </row>
    <row r="3664">
      <c r="A3664" s="124"/>
      <c r="B3664" s="124"/>
      <c r="C3664" s="147"/>
      <c r="D3664" s="124"/>
      <c r="E3664" s="124"/>
      <c r="F3664" s="124"/>
      <c r="G3664" s="124"/>
      <c r="H3664" s="124"/>
      <c r="I3664" s="124"/>
      <c r="J3664" s="124"/>
      <c r="K3664" s="124"/>
      <c r="L3664" s="124"/>
      <c r="M3664" s="124"/>
      <c r="N3664" s="124"/>
      <c r="O3664" s="124"/>
      <c r="P3664" s="124"/>
      <c r="Q3664" s="124"/>
      <c r="R3664" s="124"/>
      <c r="S3664" s="124"/>
      <c r="T3664" s="124"/>
      <c r="U3664" s="124"/>
      <c r="V3664" s="124"/>
      <c r="W3664" s="124"/>
      <c r="X3664" s="124"/>
      <c r="Y3664" s="124"/>
      <c r="Z3664" s="124"/>
    </row>
    <row r="3665">
      <c r="A3665" s="124"/>
      <c r="B3665" s="124"/>
      <c r="C3665" s="147"/>
      <c r="D3665" s="124"/>
      <c r="E3665" s="124"/>
      <c r="F3665" s="124"/>
      <c r="G3665" s="124"/>
      <c r="H3665" s="124"/>
      <c r="I3665" s="124"/>
      <c r="J3665" s="124"/>
      <c r="K3665" s="124"/>
      <c r="L3665" s="124"/>
      <c r="M3665" s="124"/>
      <c r="N3665" s="124"/>
      <c r="O3665" s="124"/>
      <c r="P3665" s="124"/>
      <c r="Q3665" s="124"/>
      <c r="R3665" s="124"/>
      <c r="S3665" s="124"/>
      <c r="T3665" s="124"/>
      <c r="U3665" s="124"/>
      <c r="V3665" s="124"/>
      <c r="W3665" s="124"/>
      <c r="X3665" s="124"/>
      <c r="Y3665" s="124"/>
      <c r="Z3665" s="124"/>
    </row>
    <row r="3666">
      <c r="A3666" s="124"/>
      <c r="B3666" s="124"/>
      <c r="C3666" s="147"/>
      <c r="D3666" s="124"/>
      <c r="E3666" s="124"/>
      <c r="F3666" s="124"/>
      <c r="G3666" s="124"/>
      <c r="H3666" s="124"/>
      <c r="I3666" s="124"/>
      <c r="J3666" s="124"/>
      <c r="K3666" s="124"/>
      <c r="L3666" s="124"/>
      <c r="M3666" s="124"/>
      <c r="N3666" s="124"/>
      <c r="O3666" s="124"/>
      <c r="P3666" s="124"/>
      <c r="Q3666" s="124"/>
      <c r="R3666" s="124"/>
      <c r="S3666" s="124"/>
      <c r="T3666" s="124"/>
      <c r="U3666" s="124"/>
      <c r="V3666" s="124"/>
      <c r="W3666" s="124"/>
      <c r="X3666" s="124"/>
      <c r="Y3666" s="124"/>
      <c r="Z3666" s="124"/>
    </row>
    <row r="3667">
      <c r="A3667" s="124"/>
      <c r="B3667" s="124"/>
      <c r="C3667" s="147"/>
      <c r="D3667" s="124"/>
      <c r="E3667" s="124"/>
      <c r="F3667" s="124"/>
      <c r="G3667" s="124"/>
      <c r="H3667" s="124"/>
      <c r="I3667" s="124"/>
      <c r="J3667" s="124"/>
      <c r="K3667" s="124"/>
      <c r="L3667" s="124"/>
      <c r="M3667" s="124"/>
      <c r="N3667" s="124"/>
      <c r="O3667" s="124"/>
      <c r="P3667" s="124"/>
      <c r="Q3667" s="124"/>
      <c r="R3667" s="124"/>
      <c r="S3667" s="124"/>
      <c r="T3667" s="124"/>
      <c r="U3667" s="124"/>
      <c r="V3667" s="124"/>
      <c r="W3667" s="124"/>
      <c r="X3667" s="124"/>
      <c r="Y3667" s="124"/>
      <c r="Z3667" s="124"/>
    </row>
    <row r="3668">
      <c r="A3668" s="124"/>
      <c r="B3668" s="124"/>
      <c r="C3668" s="147"/>
      <c r="D3668" s="124"/>
      <c r="E3668" s="124"/>
      <c r="F3668" s="124"/>
      <c r="G3668" s="124"/>
      <c r="H3668" s="124"/>
      <c r="I3668" s="124"/>
      <c r="J3668" s="124"/>
      <c r="K3668" s="124"/>
      <c r="L3668" s="124"/>
      <c r="M3668" s="124"/>
      <c r="N3668" s="124"/>
      <c r="O3668" s="124"/>
      <c r="P3668" s="124"/>
      <c r="Q3668" s="124"/>
      <c r="R3668" s="124"/>
      <c r="S3668" s="124"/>
      <c r="T3668" s="124"/>
      <c r="U3668" s="124"/>
      <c r="V3668" s="124"/>
      <c r="W3668" s="124"/>
      <c r="X3668" s="124"/>
      <c r="Y3668" s="124"/>
      <c r="Z3668" s="124"/>
    </row>
    <row r="3669">
      <c r="A3669" s="124"/>
      <c r="B3669" s="124"/>
      <c r="C3669" s="147"/>
      <c r="D3669" s="124"/>
      <c r="E3669" s="124"/>
      <c r="F3669" s="124"/>
      <c r="G3669" s="124"/>
      <c r="H3669" s="124"/>
      <c r="I3669" s="124"/>
      <c r="J3669" s="124"/>
      <c r="K3669" s="124"/>
      <c r="L3669" s="124"/>
      <c r="M3669" s="124"/>
      <c r="N3669" s="124"/>
      <c r="O3669" s="124"/>
      <c r="P3669" s="124"/>
      <c r="Q3669" s="124"/>
      <c r="R3669" s="124"/>
      <c r="S3669" s="124"/>
      <c r="T3669" s="124"/>
      <c r="U3669" s="124"/>
      <c r="V3669" s="124"/>
      <c r="W3669" s="124"/>
      <c r="X3669" s="124"/>
      <c r="Y3669" s="124"/>
      <c r="Z3669" s="124"/>
    </row>
    <row r="3670">
      <c r="A3670" s="124"/>
      <c r="B3670" s="124"/>
      <c r="C3670" s="147"/>
      <c r="D3670" s="124"/>
      <c r="E3670" s="124"/>
      <c r="F3670" s="124"/>
      <c r="G3670" s="124"/>
      <c r="H3670" s="124"/>
      <c r="I3670" s="124"/>
      <c r="J3670" s="124"/>
      <c r="K3670" s="124"/>
      <c r="L3670" s="124"/>
      <c r="M3670" s="124"/>
      <c r="N3670" s="124"/>
      <c r="O3670" s="124"/>
      <c r="P3670" s="124"/>
      <c r="Q3670" s="124"/>
      <c r="R3670" s="124"/>
      <c r="S3670" s="124"/>
      <c r="T3670" s="124"/>
      <c r="U3670" s="124"/>
      <c r="V3670" s="124"/>
      <c r="W3670" s="124"/>
      <c r="X3670" s="124"/>
      <c r="Y3670" s="124"/>
      <c r="Z3670" s="124"/>
    </row>
    <row r="3671">
      <c r="A3671" s="124"/>
      <c r="B3671" s="124"/>
      <c r="C3671" s="147"/>
      <c r="D3671" s="124"/>
      <c r="E3671" s="124"/>
      <c r="F3671" s="124"/>
      <c r="G3671" s="124"/>
      <c r="H3671" s="124"/>
      <c r="I3671" s="124"/>
      <c r="J3671" s="124"/>
      <c r="K3671" s="124"/>
      <c r="L3671" s="124"/>
      <c r="M3671" s="124"/>
      <c r="N3671" s="124"/>
      <c r="O3671" s="124"/>
      <c r="P3671" s="124"/>
      <c r="Q3671" s="124"/>
      <c r="R3671" s="124"/>
      <c r="S3671" s="124"/>
      <c r="T3671" s="124"/>
      <c r="U3671" s="124"/>
      <c r="V3671" s="124"/>
      <c r="W3671" s="124"/>
      <c r="X3671" s="124"/>
      <c r="Y3671" s="124"/>
      <c r="Z3671" s="124"/>
    </row>
    <row r="3672">
      <c r="A3672" s="124"/>
      <c r="B3672" s="124"/>
      <c r="C3672" s="147"/>
      <c r="D3672" s="124"/>
      <c r="E3672" s="124"/>
      <c r="F3672" s="124"/>
      <c r="G3672" s="124"/>
      <c r="H3672" s="124"/>
      <c r="I3672" s="124"/>
      <c r="J3672" s="124"/>
      <c r="K3672" s="124"/>
      <c r="L3672" s="124"/>
      <c r="M3672" s="124"/>
      <c r="N3672" s="124"/>
      <c r="O3672" s="124"/>
      <c r="P3672" s="124"/>
      <c r="Q3672" s="124"/>
      <c r="R3672" s="124"/>
      <c r="S3672" s="124"/>
      <c r="T3672" s="124"/>
      <c r="U3672" s="124"/>
      <c r="V3672" s="124"/>
      <c r="W3672" s="124"/>
      <c r="X3672" s="124"/>
      <c r="Y3672" s="124"/>
      <c r="Z3672" s="124"/>
    </row>
    <row r="3673">
      <c r="A3673" s="124"/>
      <c r="B3673" s="124"/>
      <c r="C3673" s="147"/>
      <c r="D3673" s="124"/>
      <c r="E3673" s="124"/>
      <c r="F3673" s="124"/>
      <c r="G3673" s="124"/>
      <c r="H3673" s="124"/>
      <c r="I3673" s="124"/>
      <c r="J3673" s="124"/>
      <c r="K3673" s="124"/>
      <c r="L3673" s="124"/>
      <c r="M3673" s="124"/>
      <c r="N3673" s="124"/>
      <c r="O3673" s="124"/>
      <c r="P3673" s="124"/>
      <c r="Q3673" s="124"/>
      <c r="R3673" s="124"/>
      <c r="S3673" s="124"/>
      <c r="T3673" s="124"/>
      <c r="U3673" s="124"/>
      <c r="V3673" s="124"/>
      <c r="W3673" s="124"/>
      <c r="X3673" s="124"/>
      <c r="Y3673" s="124"/>
      <c r="Z3673" s="124"/>
    </row>
    <row r="3674">
      <c r="A3674" s="124"/>
      <c r="B3674" s="124"/>
      <c r="C3674" s="147"/>
      <c r="D3674" s="124"/>
      <c r="E3674" s="124"/>
      <c r="F3674" s="124"/>
      <c r="G3674" s="124"/>
      <c r="H3674" s="124"/>
      <c r="I3674" s="124"/>
      <c r="J3674" s="124"/>
      <c r="K3674" s="124"/>
      <c r="L3674" s="124"/>
      <c r="M3674" s="124"/>
      <c r="N3674" s="124"/>
      <c r="O3674" s="124"/>
      <c r="P3674" s="124"/>
      <c r="Q3674" s="124"/>
      <c r="R3674" s="124"/>
      <c r="S3674" s="124"/>
      <c r="T3674" s="124"/>
      <c r="U3674" s="124"/>
      <c r="V3674" s="124"/>
      <c r="W3674" s="124"/>
      <c r="X3674" s="124"/>
      <c r="Y3674" s="124"/>
      <c r="Z3674" s="124"/>
    </row>
    <row r="3675">
      <c r="A3675" s="124"/>
      <c r="B3675" s="124"/>
      <c r="C3675" s="147"/>
      <c r="D3675" s="124"/>
      <c r="E3675" s="124"/>
      <c r="F3675" s="124"/>
      <c r="G3675" s="124"/>
      <c r="H3675" s="124"/>
      <c r="I3675" s="124"/>
      <c r="J3675" s="124"/>
      <c r="K3675" s="124"/>
      <c r="L3675" s="124"/>
      <c r="M3675" s="124"/>
      <c r="N3675" s="124"/>
      <c r="O3675" s="124"/>
      <c r="P3675" s="124"/>
      <c r="Q3675" s="124"/>
      <c r="R3675" s="124"/>
      <c r="S3675" s="124"/>
      <c r="T3675" s="124"/>
      <c r="U3675" s="124"/>
      <c r="V3675" s="124"/>
      <c r="W3675" s="124"/>
      <c r="X3675" s="124"/>
      <c r="Y3675" s="124"/>
      <c r="Z3675" s="124"/>
    </row>
    <row r="3676">
      <c r="A3676" s="124"/>
      <c r="B3676" s="124"/>
      <c r="C3676" s="147"/>
      <c r="D3676" s="124"/>
      <c r="E3676" s="124"/>
      <c r="F3676" s="124"/>
      <c r="G3676" s="124"/>
      <c r="H3676" s="124"/>
      <c r="I3676" s="124"/>
      <c r="J3676" s="124"/>
      <c r="K3676" s="124"/>
      <c r="L3676" s="124"/>
      <c r="M3676" s="124"/>
      <c r="N3676" s="124"/>
      <c r="O3676" s="124"/>
      <c r="P3676" s="124"/>
      <c r="Q3676" s="124"/>
      <c r="R3676" s="124"/>
      <c r="S3676" s="124"/>
      <c r="T3676" s="124"/>
      <c r="U3676" s="124"/>
      <c r="V3676" s="124"/>
      <c r="W3676" s="124"/>
      <c r="X3676" s="124"/>
      <c r="Y3676" s="124"/>
      <c r="Z3676" s="124"/>
    </row>
    <row r="3677">
      <c r="A3677" s="124"/>
      <c r="B3677" s="124"/>
      <c r="C3677" s="147"/>
      <c r="D3677" s="124"/>
      <c r="E3677" s="124"/>
      <c r="F3677" s="124"/>
      <c r="G3677" s="124"/>
      <c r="H3677" s="124"/>
      <c r="I3677" s="124"/>
      <c r="J3677" s="124"/>
      <c r="K3677" s="124"/>
      <c r="L3677" s="124"/>
      <c r="M3677" s="124"/>
      <c r="N3677" s="124"/>
      <c r="O3677" s="124"/>
      <c r="P3677" s="124"/>
      <c r="Q3677" s="124"/>
      <c r="R3677" s="124"/>
      <c r="S3677" s="124"/>
      <c r="T3677" s="124"/>
      <c r="U3677" s="124"/>
      <c r="V3677" s="124"/>
      <c r="W3677" s="124"/>
      <c r="X3677" s="124"/>
      <c r="Y3677" s="124"/>
      <c r="Z3677" s="124"/>
    </row>
    <row r="3678">
      <c r="A3678" s="124"/>
      <c r="B3678" s="124"/>
      <c r="C3678" s="147"/>
      <c r="D3678" s="124"/>
      <c r="E3678" s="124"/>
      <c r="F3678" s="124"/>
      <c r="G3678" s="124"/>
      <c r="H3678" s="124"/>
      <c r="I3678" s="124"/>
      <c r="J3678" s="124"/>
      <c r="K3678" s="124"/>
      <c r="L3678" s="124"/>
      <c r="M3678" s="124"/>
      <c r="N3678" s="124"/>
      <c r="O3678" s="124"/>
      <c r="P3678" s="124"/>
      <c r="Q3678" s="124"/>
      <c r="R3678" s="124"/>
      <c r="S3678" s="124"/>
      <c r="T3678" s="124"/>
      <c r="U3678" s="124"/>
      <c r="V3678" s="124"/>
      <c r="W3678" s="124"/>
      <c r="X3678" s="124"/>
      <c r="Y3678" s="124"/>
      <c r="Z3678" s="124"/>
    </row>
    <row r="3679">
      <c r="A3679" s="124"/>
      <c r="B3679" s="124"/>
      <c r="C3679" s="147"/>
      <c r="D3679" s="124"/>
      <c r="E3679" s="124"/>
      <c r="F3679" s="124"/>
      <c r="G3679" s="124"/>
      <c r="H3679" s="124"/>
      <c r="I3679" s="124"/>
      <c r="J3679" s="124"/>
      <c r="K3679" s="124"/>
      <c r="L3679" s="124"/>
      <c r="M3679" s="124"/>
      <c r="N3679" s="124"/>
      <c r="O3679" s="124"/>
      <c r="P3679" s="124"/>
      <c r="Q3679" s="124"/>
      <c r="R3679" s="124"/>
      <c r="S3679" s="124"/>
      <c r="T3679" s="124"/>
      <c r="U3679" s="124"/>
      <c r="V3679" s="124"/>
      <c r="W3679" s="124"/>
      <c r="X3679" s="124"/>
      <c r="Y3679" s="124"/>
      <c r="Z3679" s="124"/>
    </row>
    <row r="3680">
      <c r="A3680" s="124"/>
      <c r="B3680" s="124"/>
      <c r="C3680" s="147"/>
      <c r="D3680" s="124"/>
      <c r="E3680" s="124"/>
      <c r="F3680" s="124"/>
      <c r="G3680" s="124"/>
      <c r="H3680" s="124"/>
      <c r="I3680" s="124"/>
      <c r="J3680" s="124"/>
      <c r="K3680" s="124"/>
      <c r="L3680" s="124"/>
      <c r="M3680" s="124"/>
      <c r="N3680" s="124"/>
      <c r="O3680" s="124"/>
      <c r="P3680" s="124"/>
      <c r="Q3680" s="124"/>
      <c r="R3680" s="124"/>
      <c r="S3680" s="124"/>
      <c r="T3680" s="124"/>
      <c r="U3680" s="124"/>
      <c r="V3680" s="124"/>
      <c r="W3680" s="124"/>
      <c r="X3680" s="124"/>
      <c r="Y3680" s="124"/>
      <c r="Z3680" s="124"/>
    </row>
    <row r="3681">
      <c r="A3681" s="124"/>
      <c r="B3681" s="124"/>
      <c r="C3681" s="147"/>
      <c r="D3681" s="124"/>
      <c r="E3681" s="124"/>
      <c r="F3681" s="124"/>
      <c r="G3681" s="124"/>
      <c r="H3681" s="124"/>
      <c r="I3681" s="124"/>
      <c r="J3681" s="124"/>
      <c r="K3681" s="124"/>
      <c r="L3681" s="124"/>
      <c r="M3681" s="124"/>
      <c r="N3681" s="124"/>
      <c r="O3681" s="124"/>
      <c r="P3681" s="124"/>
      <c r="Q3681" s="124"/>
      <c r="R3681" s="124"/>
      <c r="S3681" s="124"/>
      <c r="T3681" s="124"/>
      <c r="U3681" s="124"/>
      <c r="V3681" s="124"/>
      <c r="W3681" s="124"/>
      <c r="X3681" s="124"/>
      <c r="Y3681" s="124"/>
      <c r="Z3681" s="124"/>
    </row>
    <row r="3682">
      <c r="A3682" s="124"/>
      <c r="B3682" s="124"/>
      <c r="C3682" s="147"/>
      <c r="D3682" s="124"/>
      <c r="E3682" s="124"/>
      <c r="F3682" s="124"/>
      <c r="G3682" s="124"/>
      <c r="H3682" s="124"/>
      <c r="I3682" s="124"/>
      <c r="J3682" s="124"/>
      <c r="K3682" s="124"/>
      <c r="L3682" s="124"/>
      <c r="M3682" s="124"/>
      <c r="N3682" s="124"/>
      <c r="O3682" s="124"/>
      <c r="P3682" s="124"/>
      <c r="Q3682" s="124"/>
      <c r="R3682" s="124"/>
      <c r="S3682" s="124"/>
      <c r="T3682" s="124"/>
      <c r="U3682" s="124"/>
      <c r="V3682" s="124"/>
      <c r="W3682" s="124"/>
      <c r="X3682" s="124"/>
      <c r="Y3682" s="124"/>
      <c r="Z3682" s="124"/>
    </row>
    <row r="3683">
      <c r="A3683" s="124"/>
      <c r="B3683" s="124"/>
      <c r="C3683" s="147"/>
      <c r="D3683" s="124"/>
      <c r="E3683" s="124"/>
      <c r="F3683" s="124"/>
      <c r="G3683" s="124"/>
      <c r="H3683" s="124"/>
      <c r="I3683" s="124"/>
      <c r="J3683" s="124"/>
      <c r="K3683" s="124"/>
      <c r="L3683" s="124"/>
      <c r="M3683" s="124"/>
      <c r="N3683" s="124"/>
      <c r="O3683" s="124"/>
      <c r="P3683" s="124"/>
      <c r="Q3683" s="124"/>
      <c r="R3683" s="124"/>
      <c r="S3683" s="124"/>
      <c r="T3683" s="124"/>
      <c r="U3683" s="124"/>
      <c r="V3683" s="124"/>
      <c r="W3683" s="124"/>
      <c r="X3683" s="124"/>
      <c r="Y3683" s="124"/>
      <c r="Z3683" s="124"/>
    </row>
    <row r="3684">
      <c r="A3684" s="124"/>
      <c r="B3684" s="124"/>
      <c r="C3684" s="147"/>
      <c r="D3684" s="124"/>
      <c r="E3684" s="124"/>
      <c r="F3684" s="124"/>
      <c r="G3684" s="124"/>
      <c r="H3684" s="124"/>
      <c r="I3684" s="124"/>
      <c r="J3684" s="124"/>
      <c r="K3684" s="124"/>
      <c r="L3684" s="124"/>
      <c r="M3684" s="124"/>
      <c r="N3684" s="124"/>
      <c r="O3684" s="124"/>
      <c r="P3684" s="124"/>
      <c r="Q3684" s="124"/>
      <c r="R3684" s="124"/>
      <c r="S3684" s="124"/>
      <c r="T3684" s="124"/>
      <c r="U3684" s="124"/>
      <c r="V3684" s="124"/>
      <c r="W3684" s="124"/>
      <c r="X3684" s="124"/>
      <c r="Y3684" s="124"/>
      <c r="Z3684" s="124"/>
    </row>
    <row r="3685">
      <c r="A3685" s="124"/>
      <c r="B3685" s="124"/>
      <c r="C3685" s="147"/>
      <c r="D3685" s="124"/>
      <c r="E3685" s="124"/>
      <c r="F3685" s="124"/>
      <c r="G3685" s="124"/>
      <c r="H3685" s="124"/>
      <c r="I3685" s="124"/>
      <c r="J3685" s="124"/>
      <c r="K3685" s="124"/>
      <c r="L3685" s="124"/>
      <c r="M3685" s="124"/>
      <c r="N3685" s="124"/>
      <c r="O3685" s="124"/>
      <c r="P3685" s="124"/>
      <c r="Q3685" s="124"/>
      <c r="R3685" s="124"/>
      <c r="S3685" s="124"/>
      <c r="T3685" s="124"/>
      <c r="U3685" s="124"/>
      <c r="V3685" s="124"/>
      <c r="W3685" s="124"/>
      <c r="X3685" s="124"/>
      <c r="Y3685" s="124"/>
      <c r="Z3685" s="124"/>
    </row>
    <row r="3686">
      <c r="A3686" s="124"/>
      <c r="B3686" s="124"/>
      <c r="C3686" s="147"/>
      <c r="D3686" s="124"/>
      <c r="E3686" s="124"/>
      <c r="F3686" s="124"/>
      <c r="G3686" s="124"/>
      <c r="H3686" s="124"/>
      <c r="I3686" s="124"/>
      <c r="J3686" s="124"/>
      <c r="K3686" s="124"/>
      <c r="L3686" s="124"/>
      <c r="M3686" s="124"/>
      <c r="N3686" s="124"/>
      <c r="O3686" s="124"/>
      <c r="P3686" s="124"/>
      <c r="Q3686" s="124"/>
      <c r="R3686" s="124"/>
      <c r="S3686" s="124"/>
      <c r="T3686" s="124"/>
      <c r="U3686" s="124"/>
      <c r="V3686" s="124"/>
      <c r="W3686" s="124"/>
      <c r="X3686" s="124"/>
      <c r="Y3686" s="124"/>
      <c r="Z3686" s="124"/>
    </row>
    <row r="3687">
      <c r="A3687" s="124"/>
      <c r="B3687" s="124"/>
      <c r="C3687" s="147"/>
      <c r="D3687" s="124"/>
      <c r="E3687" s="124"/>
      <c r="F3687" s="124"/>
      <c r="G3687" s="124"/>
      <c r="H3687" s="124"/>
      <c r="I3687" s="124"/>
      <c r="J3687" s="124"/>
      <c r="K3687" s="124"/>
      <c r="L3687" s="124"/>
      <c r="M3687" s="124"/>
      <c r="N3687" s="124"/>
      <c r="O3687" s="124"/>
      <c r="P3687" s="124"/>
      <c r="Q3687" s="124"/>
      <c r="R3687" s="124"/>
      <c r="S3687" s="124"/>
      <c r="T3687" s="124"/>
      <c r="U3687" s="124"/>
      <c r="V3687" s="124"/>
      <c r="W3687" s="124"/>
      <c r="X3687" s="124"/>
      <c r="Y3687" s="124"/>
      <c r="Z3687" s="124"/>
    </row>
    <row r="3688">
      <c r="A3688" s="124"/>
      <c r="B3688" s="124"/>
      <c r="C3688" s="147"/>
      <c r="D3688" s="124"/>
      <c r="E3688" s="124"/>
      <c r="F3688" s="124"/>
      <c r="G3688" s="124"/>
      <c r="H3688" s="124"/>
      <c r="I3688" s="124"/>
      <c r="J3688" s="124"/>
      <c r="K3688" s="124"/>
      <c r="L3688" s="124"/>
      <c r="M3688" s="124"/>
      <c r="N3688" s="124"/>
      <c r="O3688" s="124"/>
      <c r="P3688" s="124"/>
      <c r="Q3688" s="124"/>
      <c r="R3688" s="124"/>
      <c r="S3688" s="124"/>
      <c r="T3688" s="124"/>
      <c r="U3688" s="124"/>
      <c r="V3688" s="124"/>
      <c r="W3688" s="124"/>
      <c r="X3688" s="124"/>
      <c r="Y3688" s="124"/>
      <c r="Z3688" s="124"/>
    </row>
    <row r="3689">
      <c r="A3689" s="124"/>
      <c r="B3689" s="124"/>
      <c r="C3689" s="147"/>
      <c r="D3689" s="124"/>
      <c r="E3689" s="124"/>
      <c r="F3689" s="124"/>
      <c r="G3689" s="124"/>
      <c r="H3689" s="124"/>
      <c r="I3689" s="124"/>
      <c r="J3689" s="124"/>
      <c r="K3689" s="124"/>
      <c r="L3689" s="124"/>
      <c r="M3689" s="124"/>
      <c r="N3689" s="124"/>
      <c r="O3689" s="124"/>
      <c r="P3689" s="124"/>
      <c r="Q3689" s="124"/>
      <c r="R3689" s="124"/>
      <c r="S3689" s="124"/>
      <c r="T3689" s="124"/>
      <c r="U3689" s="124"/>
      <c r="V3689" s="124"/>
      <c r="W3689" s="124"/>
      <c r="X3689" s="124"/>
      <c r="Y3689" s="124"/>
      <c r="Z3689" s="124"/>
    </row>
    <row r="3690">
      <c r="A3690" s="124"/>
      <c r="B3690" s="124"/>
      <c r="C3690" s="147"/>
      <c r="D3690" s="124"/>
      <c r="E3690" s="124"/>
      <c r="F3690" s="124"/>
      <c r="G3690" s="124"/>
      <c r="H3690" s="124"/>
      <c r="I3690" s="124"/>
      <c r="J3690" s="124"/>
      <c r="K3690" s="124"/>
      <c r="L3690" s="124"/>
      <c r="M3690" s="124"/>
      <c r="N3690" s="124"/>
      <c r="O3690" s="124"/>
      <c r="P3690" s="124"/>
      <c r="Q3690" s="124"/>
      <c r="R3690" s="124"/>
      <c r="S3690" s="124"/>
      <c r="T3690" s="124"/>
      <c r="U3690" s="124"/>
      <c r="V3690" s="124"/>
      <c r="W3690" s="124"/>
      <c r="X3690" s="124"/>
      <c r="Y3690" s="124"/>
      <c r="Z3690" s="124"/>
    </row>
    <row r="3691">
      <c r="A3691" s="124"/>
      <c r="B3691" s="124"/>
      <c r="C3691" s="147"/>
      <c r="D3691" s="124"/>
      <c r="E3691" s="124"/>
      <c r="F3691" s="124"/>
      <c r="G3691" s="124"/>
      <c r="H3691" s="124"/>
      <c r="I3691" s="124"/>
      <c r="J3691" s="124"/>
      <c r="K3691" s="124"/>
      <c r="L3691" s="124"/>
      <c r="M3691" s="124"/>
      <c r="N3691" s="124"/>
      <c r="O3691" s="124"/>
      <c r="P3691" s="124"/>
      <c r="Q3691" s="124"/>
      <c r="R3691" s="124"/>
      <c r="S3691" s="124"/>
      <c r="T3691" s="124"/>
      <c r="U3691" s="124"/>
      <c r="V3691" s="124"/>
      <c r="W3691" s="124"/>
      <c r="X3691" s="124"/>
      <c r="Y3691" s="124"/>
      <c r="Z3691" s="124"/>
    </row>
    <row r="3692">
      <c r="A3692" s="124"/>
      <c r="B3692" s="124"/>
      <c r="C3692" s="147"/>
      <c r="D3692" s="124"/>
      <c r="E3692" s="124"/>
      <c r="F3692" s="124"/>
      <c r="G3692" s="124"/>
      <c r="H3692" s="124"/>
      <c r="I3692" s="124"/>
      <c r="J3692" s="124"/>
      <c r="K3692" s="124"/>
      <c r="L3692" s="124"/>
      <c r="M3692" s="124"/>
      <c r="N3692" s="124"/>
      <c r="O3692" s="124"/>
      <c r="P3692" s="124"/>
      <c r="Q3692" s="124"/>
      <c r="R3692" s="124"/>
      <c r="S3692" s="124"/>
      <c r="T3692" s="124"/>
      <c r="U3692" s="124"/>
      <c r="V3692" s="124"/>
      <c r="W3692" s="124"/>
      <c r="X3692" s="124"/>
      <c r="Y3692" s="124"/>
      <c r="Z3692" s="124"/>
    </row>
    <row r="3693">
      <c r="A3693" s="124"/>
      <c r="B3693" s="124"/>
      <c r="C3693" s="147"/>
      <c r="D3693" s="124"/>
      <c r="E3693" s="124"/>
      <c r="F3693" s="124"/>
      <c r="G3693" s="124"/>
      <c r="H3693" s="124"/>
      <c r="I3693" s="124"/>
      <c r="J3693" s="124"/>
      <c r="K3693" s="124"/>
      <c r="L3693" s="124"/>
      <c r="M3693" s="124"/>
      <c r="N3693" s="124"/>
      <c r="O3693" s="124"/>
      <c r="P3693" s="124"/>
      <c r="Q3693" s="124"/>
      <c r="R3693" s="124"/>
      <c r="S3693" s="124"/>
      <c r="T3693" s="124"/>
      <c r="U3693" s="124"/>
      <c r="V3693" s="124"/>
      <c r="W3693" s="124"/>
      <c r="X3693" s="124"/>
      <c r="Y3693" s="124"/>
      <c r="Z3693" s="124"/>
    </row>
    <row r="3694">
      <c r="A3694" s="124"/>
      <c r="B3694" s="124"/>
      <c r="C3694" s="147"/>
      <c r="D3694" s="124"/>
      <c r="E3694" s="124"/>
      <c r="F3694" s="124"/>
      <c r="G3694" s="124"/>
      <c r="H3694" s="124"/>
      <c r="I3694" s="124"/>
      <c r="J3694" s="124"/>
      <c r="K3694" s="124"/>
      <c r="L3694" s="124"/>
      <c r="M3694" s="124"/>
      <c r="N3694" s="124"/>
      <c r="O3694" s="124"/>
      <c r="P3694" s="124"/>
      <c r="Q3694" s="124"/>
      <c r="R3694" s="124"/>
      <c r="S3694" s="124"/>
      <c r="T3694" s="124"/>
      <c r="U3694" s="124"/>
      <c r="V3694" s="124"/>
      <c r="W3694" s="124"/>
      <c r="X3694" s="124"/>
      <c r="Y3694" s="124"/>
      <c r="Z3694" s="124"/>
    </row>
    <row r="3695">
      <c r="A3695" s="124"/>
      <c r="B3695" s="124"/>
      <c r="C3695" s="147"/>
      <c r="D3695" s="124"/>
      <c r="E3695" s="124"/>
      <c r="F3695" s="124"/>
      <c r="G3695" s="124"/>
      <c r="H3695" s="124"/>
      <c r="I3695" s="124"/>
      <c r="J3695" s="124"/>
      <c r="K3695" s="124"/>
      <c r="L3695" s="124"/>
      <c r="M3695" s="124"/>
      <c r="N3695" s="124"/>
      <c r="O3695" s="124"/>
      <c r="P3695" s="124"/>
      <c r="Q3695" s="124"/>
      <c r="R3695" s="124"/>
      <c r="S3695" s="124"/>
      <c r="T3695" s="124"/>
      <c r="U3695" s="124"/>
      <c r="V3695" s="124"/>
      <c r="W3695" s="124"/>
      <c r="X3695" s="124"/>
      <c r="Y3695" s="124"/>
      <c r="Z3695" s="124"/>
    </row>
    <row r="3696">
      <c r="A3696" s="124"/>
      <c r="B3696" s="124"/>
      <c r="C3696" s="147"/>
      <c r="D3696" s="124"/>
      <c r="E3696" s="124"/>
      <c r="F3696" s="124"/>
      <c r="G3696" s="124"/>
      <c r="H3696" s="124"/>
      <c r="I3696" s="124"/>
      <c r="J3696" s="124"/>
      <c r="K3696" s="124"/>
      <c r="L3696" s="124"/>
      <c r="M3696" s="124"/>
      <c r="N3696" s="124"/>
      <c r="O3696" s="124"/>
      <c r="P3696" s="124"/>
      <c r="Q3696" s="124"/>
      <c r="R3696" s="124"/>
      <c r="S3696" s="124"/>
      <c r="T3696" s="124"/>
      <c r="U3696" s="124"/>
      <c r="V3696" s="124"/>
      <c r="W3696" s="124"/>
      <c r="X3696" s="124"/>
      <c r="Y3696" s="124"/>
      <c r="Z3696" s="124"/>
    </row>
    <row r="3697">
      <c r="A3697" s="124"/>
      <c r="B3697" s="124"/>
      <c r="C3697" s="147"/>
      <c r="D3697" s="124"/>
      <c r="E3697" s="124"/>
      <c r="F3697" s="124"/>
      <c r="G3697" s="124"/>
      <c r="H3697" s="124"/>
      <c r="I3697" s="124"/>
      <c r="J3697" s="124"/>
      <c r="K3697" s="124"/>
      <c r="L3697" s="124"/>
      <c r="M3697" s="124"/>
      <c r="N3697" s="124"/>
      <c r="O3697" s="124"/>
      <c r="P3697" s="124"/>
      <c r="Q3697" s="124"/>
      <c r="R3697" s="124"/>
      <c r="S3697" s="124"/>
      <c r="T3697" s="124"/>
      <c r="U3697" s="124"/>
      <c r="V3697" s="124"/>
      <c r="W3697" s="124"/>
      <c r="X3697" s="124"/>
      <c r="Y3697" s="124"/>
      <c r="Z3697" s="124"/>
    </row>
    <row r="3698">
      <c r="A3698" s="124"/>
      <c r="B3698" s="124"/>
      <c r="C3698" s="147"/>
      <c r="D3698" s="124"/>
      <c r="E3698" s="124"/>
      <c r="F3698" s="124"/>
      <c r="G3698" s="124"/>
      <c r="H3698" s="124"/>
      <c r="I3698" s="124"/>
      <c r="J3698" s="124"/>
      <c r="K3698" s="124"/>
      <c r="L3698" s="124"/>
      <c r="M3698" s="124"/>
      <c r="N3698" s="124"/>
      <c r="O3698" s="124"/>
      <c r="P3698" s="124"/>
      <c r="Q3698" s="124"/>
      <c r="R3698" s="124"/>
      <c r="S3698" s="124"/>
      <c r="T3698" s="124"/>
      <c r="U3698" s="124"/>
      <c r="V3698" s="124"/>
      <c r="W3698" s="124"/>
      <c r="X3698" s="124"/>
      <c r="Y3698" s="124"/>
      <c r="Z3698" s="124"/>
    </row>
    <row r="3699">
      <c r="A3699" s="124"/>
      <c r="B3699" s="124"/>
      <c r="C3699" s="147"/>
      <c r="D3699" s="124"/>
      <c r="E3699" s="124"/>
      <c r="F3699" s="124"/>
      <c r="G3699" s="124"/>
      <c r="H3699" s="124"/>
      <c r="I3699" s="124"/>
      <c r="J3699" s="124"/>
      <c r="K3699" s="124"/>
      <c r="L3699" s="124"/>
      <c r="M3699" s="124"/>
      <c r="N3699" s="124"/>
      <c r="O3699" s="124"/>
      <c r="P3699" s="124"/>
      <c r="Q3699" s="124"/>
      <c r="R3699" s="124"/>
      <c r="S3699" s="124"/>
      <c r="T3699" s="124"/>
      <c r="U3699" s="124"/>
      <c r="V3699" s="124"/>
      <c r="W3699" s="124"/>
      <c r="X3699" s="124"/>
      <c r="Y3699" s="124"/>
      <c r="Z3699" s="124"/>
    </row>
    <row r="3700">
      <c r="A3700" s="124"/>
      <c r="B3700" s="124"/>
      <c r="C3700" s="147"/>
      <c r="D3700" s="124"/>
      <c r="E3700" s="124"/>
      <c r="F3700" s="124"/>
      <c r="G3700" s="124"/>
      <c r="H3700" s="124"/>
      <c r="I3700" s="124"/>
      <c r="J3700" s="124"/>
      <c r="K3700" s="124"/>
      <c r="L3700" s="124"/>
      <c r="M3700" s="124"/>
      <c r="N3700" s="124"/>
      <c r="O3700" s="124"/>
      <c r="P3700" s="124"/>
      <c r="Q3700" s="124"/>
      <c r="R3700" s="124"/>
      <c r="S3700" s="124"/>
      <c r="T3700" s="124"/>
      <c r="U3700" s="124"/>
      <c r="V3700" s="124"/>
      <c r="W3700" s="124"/>
      <c r="X3700" s="124"/>
      <c r="Y3700" s="124"/>
      <c r="Z3700" s="124"/>
    </row>
    <row r="3701">
      <c r="A3701" s="124"/>
      <c r="B3701" s="124"/>
      <c r="C3701" s="147"/>
      <c r="D3701" s="124"/>
      <c r="E3701" s="124"/>
      <c r="F3701" s="124"/>
      <c r="G3701" s="124"/>
      <c r="H3701" s="124"/>
      <c r="I3701" s="124"/>
      <c r="J3701" s="124"/>
      <c r="K3701" s="124"/>
      <c r="L3701" s="124"/>
      <c r="M3701" s="124"/>
      <c r="N3701" s="124"/>
      <c r="O3701" s="124"/>
      <c r="P3701" s="124"/>
      <c r="Q3701" s="124"/>
      <c r="R3701" s="124"/>
      <c r="S3701" s="124"/>
      <c r="T3701" s="124"/>
      <c r="U3701" s="124"/>
      <c r="V3701" s="124"/>
      <c r="W3701" s="124"/>
      <c r="X3701" s="124"/>
      <c r="Y3701" s="124"/>
      <c r="Z3701" s="124"/>
    </row>
    <row r="3702">
      <c r="A3702" s="124"/>
      <c r="B3702" s="124"/>
      <c r="C3702" s="147"/>
      <c r="D3702" s="124"/>
      <c r="E3702" s="124"/>
      <c r="F3702" s="124"/>
      <c r="G3702" s="124"/>
      <c r="H3702" s="124"/>
      <c r="I3702" s="124"/>
      <c r="J3702" s="124"/>
      <c r="K3702" s="124"/>
      <c r="L3702" s="124"/>
      <c r="M3702" s="124"/>
      <c r="N3702" s="124"/>
      <c r="O3702" s="124"/>
      <c r="P3702" s="124"/>
      <c r="Q3702" s="124"/>
      <c r="R3702" s="124"/>
      <c r="S3702" s="124"/>
      <c r="T3702" s="124"/>
      <c r="U3702" s="124"/>
      <c r="V3702" s="124"/>
      <c r="W3702" s="124"/>
      <c r="X3702" s="124"/>
      <c r="Y3702" s="124"/>
      <c r="Z3702" s="124"/>
    </row>
    <row r="3703">
      <c r="A3703" s="124"/>
      <c r="B3703" s="124"/>
      <c r="C3703" s="147"/>
      <c r="D3703" s="124"/>
      <c r="E3703" s="124"/>
      <c r="F3703" s="124"/>
      <c r="G3703" s="124"/>
      <c r="H3703" s="124"/>
      <c r="I3703" s="124"/>
      <c r="J3703" s="124"/>
      <c r="K3703" s="124"/>
      <c r="L3703" s="124"/>
      <c r="M3703" s="124"/>
      <c r="N3703" s="124"/>
      <c r="O3703" s="124"/>
      <c r="P3703" s="124"/>
      <c r="Q3703" s="124"/>
      <c r="R3703" s="124"/>
      <c r="S3703" s="124"/>
      <c r="T3703" s="124"/>
      <c r="U3703" s="124"/>
      <c r="V3703" s="124"/>
      <c r="W3703" s="124"/>
      <c r="X3703" s="124"/>
      <c r="Y3703" s="124"/>
      <c r="Z3703" s="124"/>
    </row>
    <row r="3704">
      <c r="A3704" s="124"/>
      <c r="B3704" s="124"/>
      <c r="C3704" s="147"/>
      <c r="D3704" s="124"/>
      <c r="E3704" s="124"/>
      <c r="F3704" s="124"/>
      <c r="G3704" s="124"/>
      <c r="H3704" s="124"/>
      <c r="I3704" s="124"/>
      <c r="J3704" s="124"/>
      <c r="K3704" s="124"/>
      <c r="L3704" s="124"/>
      <c r="M3704" s="124"/>
      <c r="N3704" s="124"/>
      <c r="O3704" s="124"/>
      <c r="P3704" s="124"/>
      <c r="Q3704" s="124"/>
      <c r="R3704" s="124"/>
      <c r="S3704" s="124"/>
      <c r="T3704" s="124"/>
      <c r="U3704" s="124"/>
      <c r="V3704" s="124"/>
      <c r="W3704" s="124"/>
      <c r="X3704" s="124"/>
      <c r="Y3704" s="124"/>
      <c r="Z3704" s="124"/>
    </row>
    <row r="3705">
      <c r="A3705" s="124"/>
      <c r="B3705" s="124"/>
      <c r="C3705" s="147"/>
      <c r="D3705" s="124"/>
      <c r="E3705" s="124"/>
      <c r="F3705" s="124"/>
      <c r="G3705" s="124"/>
      <c r="H3705" s="124"/>
      <c r="I3705" s="124"/>
      <c r="J3705" s="124"/>
      <c r="K3705" s="124"/>
      <c r="L3705" s="124"/>
      <c r="M3705" s="124"/>
      <c r="N3705" s="124"/>
      <c r="O3705" s="124"/>
      <c r="P3705" s="124"/>
      <c r="Q3705" s="124"/>
      <c r="R3705" s="124"/>
      <c r="S3705" s="124"/>
      <c r="T3705" s="124"/>
      <c r="U3705" s="124"/>
      <c r="V3705" s="124"/>
      <c r="W3705" s="124"/>
      <c r="X3705" s="124"/>
      <c r="Y3705" s="124"/>
      <c r="Z3705" s="124"/>
    </row>
    <row r="3706">
      <c r="A3706" s="124"/>
      <c r="B3706" s="124"/>
      <c r="C3706" s="147"/>
      <c r="D3706" s="124"/>
      <c r="E3706" s="124"/>
      <c r="F3706" s="124"/>
      <c r="G3706" s="124"/>
      <c r="H3706" s="124"/>
      <c r="I3706" s="124"/>
      <c r="J3706" s="124"/>
      <c r="K3706" s="124"/>
      <c r="L3706" s="124"/>
      <c r="M3706" s="124"/>
      <c r="N3706" s="124"/>
      <c r="O3706" s="124"/>
      <c r="P3706" s="124"/>
      <c r="Q3706" s="124"/>
      <c r="R3706" s="124"/>
      <c r="S3706" s="124"/>
      <c r="T3706" s="124"/>
      <c r="U3706" s="124"/>
      <c r="V3706" s="124"/>
      <c r="W3706" s="124"/>
      <c r="X3706" s="124"/>
      <c r="Y3706" s="124"/>
      <c r="Z3706" s="124"/>
    </row>
    <row r="3707">
      <c r="A3707" s="124"/>
      <c r="B3707" s="124"/>
      <c r="C3707" s="147"/>
      <c r="D3707" s="124"/>
      <c r="E3707" s="124"/>
      <c r="F3707" s="124"/>
      <c r="G3707" s="124"/>
      <c r="H3707" s="124"/>
      <c r="I3707" s="124"/>
      <c r="J3707" s="124"/>
      <c r="K3707" s="124"/>
      <c r="L3707" s="124"/>
      <c r="M3707" s="124"/>
      <c r="N3707" s="124"/>
      <c r="O3707" s="124"/>
      <c r="P3707" s="124"/>
      <c r="Q3707" s="124"/>
      <c r="R3707" s="124"/>
      <c r="S3707" s="124"/>
      <c r="T3707" s="124"/>
      <c r="U3707" s="124"/>
      <c r="V3707" s="124"/>
      <c r="W3707" s="124"/>
      <c r="X3707" s="124"/>
      <c r="Y3707" s="124"/>
      <c r="Z3707" s="124"/>
    </row>
    <row r="3708">
      <c r="A3708" s="124"/>
      <c r="B3708" s="124"/>
      <c r="C3708" s="147"/>
      <c r="D3708" s="124"/>
      <c r="E3708" s="124"/>
      <c r="F3708" s="124"/>
      <c r="G3708" s="124"/>
      <c r="H3708" s="124"/>
      <c r="I3708" s="124"/>
      <c r="J3708" s="124"/>
      <c r="K3708" s="124"/>
      <c r="L3708" s="124"/>
      <c r="M3708" s="124"/>
      <c r="N3708" s="124"/>
      <c r="O3708" s="124"/>
      <c r="P3708" s="124"/>
      <c r="Q3708" s="124"/>
      <c r="R3708" s="124"/>
      <c r="S3708" s="124"/>
      <c r="T3708" s="124"/>
      <c r="U3708" s="124"/>
      <c r="V3708" s="124"/>
      <c r="W3708" s="124"/>
      <c r="X3708" s="124"/>
      <c r="Y3708" s="124"/>
      <c r="Z3708" s="124"/>
    </row>
    <row r="3709">
      <c r="A3709" s="124"/>
      <c r="B3709" s="124"/>
      <c r="C3709" s="147"/>
      <c r="D3709" s="124"/>
      <c r="E3709" s="124"/>
      <c r="F3709" s="124"/>
      <c r="G3709" s="124"/>
      <c r="H3709" s="124"/>
      <c r="I3709" s="124"/>
      <c r="J3709" s="124"/>
      <c r="K3709" s="124"/>
      <c r="L3709" s="124"/>
      <c r="M3709" s="124"/>
      <c r="N3709" s="124"/>
      <c r="O3709" s="124"/>
      <c r="P3709" s="124"/>
      <c r="Q3709" s="124"/>
      <c r="R3709" s="124"/>
      <c r="S3709" s="124"/>
      <c r="T3709" s="124"/>
      <c r="U3709" s="124"/>
      <c r="V3709" s="124"/>
      <c r="W3709" s="124"/>
      <c r="X3709" s="124"/>
      <c r="Y3709" s="124"/>
      <c r="Z3709" s="124"/>
    </row>
    <row r="3710">
      <c r="A3710" s="124"/>
      <c r="B3710" s="124"/>
      <c r="C3710" s="147"/>
      <c r="D3710" s="124"/>
      <c r="E3710" s="124"/>
      <c r="F3710" s="124"/>
      <c r="G3710" s="124"/>
      <c r="H3710" s="124"/>
      <c r="I3710" s="124"/>
      <c r="J3710" s="124"/>
      <c r="K3710" s="124"/>
      <c r="L3710" s="124"/>
      <c r="M3710" s="124"/>
      <c r="N3710" s="124"/>
      <c r="O3710" s="124"/>
      <c r="P3710" s="124"/>
      <c r="Q3710" s="124"/>
      <c r="R3710" s="124"/>
      <c r="S3710" s="124"/>
      <c r="T3710" s="124"/>
      <c r="U3710" s="124"/>
      <c r="V3710" s="124"/>
      <c r="W3710" s="124"/>
      <c r="X3710" s="124"/>
      <c r="Y3710" s="124"/>
      <c r="Z3710" s="124"/>
    </row>
    <row r="3711">
      <c r="A3711" s="124"/>
      <c r="B3711" s="124"/>
      <c r="C3711" s="147"/>
      <c r="D3711" s="124"/>
      <c r="E3711" s="124"/>
      <c r="F3711" s="124"/>
      <c r="G3711" s="124"/>
      <c r="H3711" s="124"/>
      <c r="I3711" s="124"/>
      <c r="J3711" s="124"/>
      <c r="K3711" s="124"/>
      <c r="L3711" s="124"/>
      <c r="M3711" s="124"/>
      <c r="N3711" s="124"/>
      <c r="O3711" s="124"/>
      <c r="P3711" s="124"/>
      <c r="Q3711" s="124"/>
      <c r="R3711" s="124"/>
      <c r="S3711" s="124"/>
      <c r="T3711" s="124"/>
      <c r="U3711" s="124"/>
      <c r="V3711" s="124"/>
      <c r="W3711" s="124"/>
      <c r="X3711" s="124"/>
      <c r="Y3711" s="124"/>
      <c r="Z3711" s="124"/>
    </row>
    <row r="3712">
      <c r="A3712" s="124"/>
      <c r="B3712" s="124"/>
      <c r="C3712" s="147"/>
      <c r="D3712" s="124"/>
      <c r="E3712" s="124"/>
      <c r="F3712" s="124"/>
      <c r="G3712" s="124"/>
      <c r="H3712" s="124"/>
      <c r="I3712" s="124"/>
      <c r="J3712" s="124"/>
      <c r="K3712" s="124"/>
      <c r="L3712" s="124"/>
      <c r="M3712" s="124"/>
      <c r="N3712" s="124"/>
      <c r="O3712" s="124"/>
      <c r="P3712" s="124"/>
      <c r="Q3712" s="124"/>
      <c r="R3712" s="124"/>
      <c r="S3712" s="124"/>
      <c r="T3712" s="124"/>
      <c r="U3712" s="124"/>
      <c r="V3712" s="124"/>
      <c r="W3712" s="124"/>
      <c r="X3712" s="124"/>
      <c r="Y3712" s="124"/>
      <c r="Z3712" s="124"/>
    </row>
    <row r="3713">
      <c r="A3713" s="124"/>
      <c r="B3713" s="124"/>
      <c r="C3713" s="147"/>
      <c r="D3713" s="124"/>
      <c r="E3713" s="124"/>
      <c r="F3713" s="124"/>
      <c r="G3713" s="124"/>
      <c r="H3713" s="124"/>
      <c r="I3713" s="124"/>
      <c r="J3713" s="124"/>
      <c r="K3713" s="124"/>
      <c r="L3713" s="124"/>
      <c r="M3713" s="124"/>
      <c r="N3713" s="124"/>
      <c r="O3713" s="124"/>
      <c r="P3713" s="124"/>
      <c r="Q3713" s="124"/>
      <c r="R3713" s="124"/>
      <c r="S3713" s="124"/>
      <c r="T3713" s="124"/>
      <c r="U3713" s="124"/>
      <c r="V3713" s="124"/>
      <c r="W3713" s="124"/>
      <c r="X3713" s="124"/>
      <c r="Y3713" s="124"/>
      <c r="Z3713" s="124"/>
    </row>
    <row r="3714">
      <c r="A3714" s="124"/>
      <c r="B3714" s="124"/>
      <c r="C3714" s="147"/>
      <c r="D3714" s="124"/>
      <c r="E3714" s="124"/>
      <c r="F3714" s="124"/>
      <c r="G3714" s="124"/>
      <c r="H3714" s="124"/>
      <c r="I3714" s="124"/>
      <c r="J3714" s="124"/>
      <c r="K3714" s="124"/>
      <c r="L3714" s="124"/>
      <c r="M3714" s="124"/>
      <c r="N3714" s="124"/>
      <c r="O3714" s="124"/>
      <c r="P3714" s="124"/>
      <c r="Q3714" s="124"/>
      <c r="R3714" s="124"/>
      <c r="S3714" s="124"/>
      <c r="T3714" s="124"/>
      <c r="U3714" s="124"/>
      <c r="V3714" s="124"/>
      <c r="W3714" s="124"/>
      <c r="X3714" s="124"/>
      <c r="Y3714" s="124"/>
      <c r="Z3714" s="124"/>
    </row>
    <row r="3715">
      <c r="A3715" s="124"/>
      <c r="B3715" s="124"/>
      <c r="C3715" s="147"/>
      <c r="D3715" s="124"/>
      <c r="E3715" s="124"/>
      <c r="F3715" s="124"/>
      <c r="G3715" s="124"/>
      <c r="H3715" s="124"/>
      <c r="I3715" s="124"/>
      <c r="J3715" s="124"/>
      <c r="K3715" s="124"/>
      <c r="L3715" s="124"/>
      <c r="M3715" s="124"/>
      <c r="N3715" s="124"/>
      <c r="O3715" s="124"/>
      <c r="P3715" s="124"/>
      <c r="Q3715" s="124"/>
      <c r="R3715" s="124"/>
      <c r="S3715" s="124"/>
      <c r="T3715" s="124"/>
      <c r="U3715" s="124"/>
      <c r="V3715" s="124"/>
      <c r="W3715" s="124"/>
      <c r="X3715" s="124"/>
      <c r="Y3715" s="124"/>
      <c r="Z3715" s="124"/>
    </row>
    <row r="3716">
      <c r="A3716" s="124"/>
      <c r="B3716" s="124"/>
      <c r="C3716" s="147"/>
      <c r="D3716" s="124"/>
      <c r="E3716" s="124"/>
      <c r="F3716" s="124"/>
      <c r="G3716" s="124"/>
      <c r="H3716" s="124"/>
      <c r="I3716" s="124"/>
      <c r="J3716" s="124"/>
      <c r="K3716" s="124"/>
      <c r="L3716" s="124"/>
      <c r="M3716" s="124"/>
      <c r="N3716" s="124"/>
      <c r="O3716" s="124"/>
      <c r="P3716" s="124"/>
      <c r="Q3716" s="124"/>
      <c r="R3716" s="124"/>
      <c r="S3716" s="124"/>
      <c r="T3716" s="124"/>
      <c r="U3716" s="124"/>
      <c r="V3716" s="124"/>
      <c r="W3716" s="124"/>
      <c r="X3716" s="124"/>
      <c r="Y3716" s="124"/>
      <c r="Z3716" s="124"/>
    </row>
    <row r="3717">
      <c r="A3717" s="124"/>
      <c r="B3717" s="124"/>
      <c r="C3717" s="147"/>
      <c r="D3717" s="124"/>
      <c r="E3717" s="124"/>
      <c r="F3717" s="124"/>
      <c r="G3717" s="124"/>
      <c r="H3717" s="124"/>
      <c r="I3717" s="124"/>
      <c r="J3717" s="124"/>
      <c r="K3717" s="124"/>
      <c r="L3717" s="124"/>
      <c r="M3717" s="124"/>
      <c r="N3717" s="124"/>
      <c r="O3717" s="124"/>
      <c r="P3717" s="124"/>
      <c r="Q3717" s="124"/>
      <c r="R3717" s="124"/>
      <c r="S3717" s="124"/>
      <c r="T3717" s="124"/>
      <c r="U3717" s="124"/>
      <c r="V3717" s="124"/>
      <c r="W3717" s="124"/>
      <c r="X3717" s="124"/>
      <c r="Y3717" s="124"/>
      <c r="Z3717" s="124"/>
    </row>
    <row r="3718">
      <c r="A3718" s="124"/>
      <c r="B3718" s="124"/>
      <c r="C3718" s="147"/>
      <c r="D3718" s="124"/>
      <c r="E3718" s="124"/>
      <c r="F3718" s="124"/>
      <c r="G3718" s="124"/>
      <c r="H3718" s="124"/>
      <c r="I3718" s="124"/>
      <c r="J3718" s="124"/>
      <c r="K3718" s="124"/>
      <c r="L3718" s="124"/>
      <c r="M3718" s="124"/>
      <c r="N3718" s="124"/>
      <c r="O3718" s="124"/>
      <c r="P3718" s="124"/>
      <c r="Q3718" s="124"/>
      <c r="R3718" s="124"/>
      <c r="S3718" s="124"/>
      <c r="T3718" s="124"/>
      <c r="U3718" s="124"/>
      <c r="V3718" s="124"/>
      <c r="W3718" s="124"/>
      <c r="X3718" s="124"/>
      <c r="Y3718" s="124"/>
      <c r="Z3718" s="124"/>
    </row>
    <row r="3719">
      <c r="A3719" s="124"/>
      <c r="B3719" s="124"/>
      <c r="C3719" s="147"/>
      <c r="D3719" s="124"/>
      <c r="E3719" s="124"/>
      <c r="F3719" s="124"/>
      <c r="G3719" s="124"/>
      <c r="H3719" s="124"/>
      <c r="I3719" s="124"/>
      <c r="J3719" s="124"/>
      <c r="K3719" s="124"/>
      <c r="L3719" s="124"/>
      <c r="M3719" s="124"/>
      <c r="N3719" s="124"/>
      <c r="O3719" s="124"/>
      <c r="P3719" s="124"/>
      <c r="Q3719" s="124"/>
      <c r="R3719" s="124"/>
      <c r="S3719" s="124"/>
      <c r="T3719" s="124"/>
      <c r="U3719" s="124"/>
      <c r="V3719" s="124"/>
      <c r="W3719" s="124"/>
      <c r="X3719" s="124"/>
      <c r="Y3719" s="124"/>
      <c r="Z3719" s="124"/>
    </row>
    <row r="3720">
      <c r="A3720" s="124"/>
      <c r="B3720" s="124"/>
      <c r="C3720" s="147"/>
      <c r="D3720" s="124"/>
      <c r="E3720" s="124"/>
      <c r="F3720" s="124"/>
      <c r="G3720" s="124"/>
      <c r="H3720" s="124"/>
      <c r="I3720" s="124"/>
      <c r="J3720" s="124"/>
      <c r="K3720" s="124"/>
      <c r="L3720" s="124"/>
      <c r="M3720" s="124"/>
      <c r="N3720" s="124"/>
      <c r="O3720" s="124"/>
      <c r="P3720" s="124"/>
      <c r="Q3720" s="124"/>
      <c r="R3720" s="124"/>
      <c r="S3720" s="124"/>
      <c r="T3720" s="124"/>
      <c r="U3720" s="124"/>
      <c r="V3720" s="124"/>
      <c r="W3720" s="124"/>
      <c r="X3720" s="124"/>
      <c r="Y3720" s="124"/>
      <c r="Z3720" s="124"/>
    </row>
    <row r="3721">
      <c r="A3721" s="124"/>
      <c r="B3721" s="124"/>
      <c r="C3721" s="147"/>
      <c r="D3721" s="124"/>
      <c r="E3721" s="124"/>
      <c r="F3721" s="124"/>
      <c r="G3721" s="124"/>
      <c r="H3721" s="124"/>
      <c r="I3721" s="124"/>
      <c r="J3721" s="124"/>
      <c r="K3721" s="124"/>
      <c r="L3721" s="124"/>
      <c r="M3721" s="124"/>
      <c r="N3721" s="124"/>
      <c r="O3721" s="124"/>
      <c r="P3721" s="124"/>
      <c r="Q3721" s="124"/>
      <c r="R3721" s="124"/>
      <c r="S3721" s="124"/>
      <c r="T3721" s="124"/>
      <c r="U3721" s="124"/>
      <c r="V3721" s="124"/>
      <c r="W3721" s="124"/>
      <c r="X3721" s="124"/>
      <c r="Y3721" s="124"/>
      <c r="Z3721" s="124"/>
    </row>
    <row r="3722">
      <c r="A3722" s="124"/>
      <c r="B3722" s="124"/>
      <c r="C3722" s="147"/>
      <c r="D3722" s="124"/>
      <c r="E3722" s="124"/>
      <c r="F3722" s="124"/>
      <c r="G3722" s="124"/>
      <c r="H3722" s="124"/>
      <c r="I3722" s="124"/>
      <c r="J3722" s="124"/>
      <c r="K3722" s="124"/>
      <c r="L3722" s="124"/>
      <c r="M3722" s="124"/>
      <c r="N3722" s="124"/>
      <c r="O3722" s="124"/>
      <c r="P3722" s="124"/>
      <c r="Q3722" s="124"/>
      <c r="R3722" s="124"/>
      <c r="S3722" s="124"/>
      <c r="T3722" s="124"/>
      <c r="U3722" s="124"/>
      <c r="V3722" s="124"/>
      <c r="W3722" s="124"/>
      <c r="X3722" s="124"/>
      <c r="Y3722" s="124"/>
      <c r="Z3722" s="124"/>
    </row>
    <row r="3723">
      <c r="A3723" s="124"/>
      <c r="B3723" s="124"/>
      <c r="C3723" s="147"/>
      <c r="D3723" s="124"/>
      <c r="E3723" s="124"/>
      <c r="F3723" s="124"/>
      <c r="G3723" s="124"/>
      <c r="H3723" s="124"/>
      <c r="I3723" s="124"/>
      <c r="J3723" s="124"/>
      <c r="K3723" s="124"/>
      <c r="L3723" s="124"/>
      <c r="M3723" s="124"/>
      <c r="N3723" s="124"/>
      <c r="O3723" s="124"/>
      <c r="P3723" s="124"/>
      <c r="Q3723" s="124"/>
      <c r="R3723" s="124"/>
      <c r="S3723" s="124"/>
      <c r="T3723" s="124"/>
      <c r="U3723" s="124"/>
      <c r="V3723" s="124"/>
      <c r="W3723" s="124"/>
      <c r="X3723" s="124"/>
      <c r="Y3723" s="124"/>
      <c r="Z3723" s="124"/>
    </row>
    <row r="3724">
      <c r="A3724" s="124"/>
      <c r="B3724" s="124"/>
      <c r="C3724" s="147"/>
      <c r="D3724" s="124"/>
      <c r="E3724" s="124"/>
      <c r="F3724" s="124"/>
      <c r="G3724" s="124"/>
      <c r="H3724" s="124"/>
      <c r="I3724" s="124"/>
      <c r="J3724" s="124"/>
      <c r="K3724" s="124"/>
      <c r="L3724" s="124"/>
      <c r="M3724" s="124"/>
      <c r="N3724" s="124"/>
      <c r="O3724" s="124"/>
      <c r="P3724" s="124"/>
      <c r="Q3724" s="124"/>
      <c r="R3724" s="124"/>
      <c r="S3724" s="124"/>
      <c r="T3724" s="124"/>
      <c r="U3724" s="124"/>
      <c r="V3724" s="124"/>
      <c r="W3724" s="124"/>
      <c r="X3724" s="124"/>
      <c r="Y3724" s="124"/>
      <c r="Z3724" s="124"/>
    </row>
    <row r="3725">
      <c r="A3725" s="124"/>
      <c r="B3725" s="124"/>
      <c r="C3725" s="147"/>
      <c r="D3725" s="124"/>
      <c r="E3725" s="124"/>
      <c r="F3725" s="124"/>
      <c r="G3725" s="124"/>
      <c r="H3725" s="124"/>
      <c r="I3725" s="124"/>
      <c r="J3725" s="124"/>
      <c r="K3725" s="124"/>
      <c r="L3725" s="124"/>
      <c r="M3725" s="124"/>
      <c r="N3725" s="124"/>
      <c r="O3725" s="124"/>
      <c r="P3725" s="124"/>
      <c r="Q3725" s="124"/>
      <c r="R3725" s="124"/>
      <c r="S3725" s="124"/>
      <c r="T3725" s="124"/>
      <c r="U3725" s="124"/>
      <c r="V3725" s="124"/>
      <c r="W3725" s="124"/>
      <c r="X3725" s="124"/>
      <c r="Y3725" s="124"/>
      <c r="Z3725" s="124"/>
    </row>
    <row r="3726">
      <c r="A3726" s="124"/>
      <c r="B3726" s="124"/>
      <c r="C3726" s="147"/>
      <c r="D3726" s="124"/>
      <c r="E3726" s="124"/>
      <c r="F3726" s="124"/>
      <c r="G3726" s="124"/>
      <c r="H3726" s="124"/>
      <c r="I3726" s="124"/>
      <c r="J3726" s="124"/>
      <c r="K3726" s="124"/>
      <c r="L3726" s="124"/>
      <c r="M3726" s="124"/>
      <c r="N3726" s="124"/>
      <c r="O3726" s="124"/>
      <c r="P3726" s="124"/>
      <c r="Q3726" s="124"/>
      <c r="R3726" s="124"/>
      <c r="S3726" s="124"/>
      <c r="T3726" s="124"/>
      <c r="U3726" s="124"/>
      <c r="V3726" s="124"/>
      <c r="W3726" s="124"/>
      <c r="X3726" s="124"/>
      <c r="Y3726" s="124"/>
      <c r="Z3726" s="124"/>
    </row>
    <row r="3727">
      <c r="A3727" s="124"/>
      <c r="B3727" s="124"/>
      <c r="C3727" s="147"/>
      <c r="D3727" s="124"/>
      <c r="E3727" s="124"/>
      <c r="F3727" s="124"/>
      <c r="G3727" s="124"/>
      <c r="H3727" s="124"/>
      <c r="I3727" s="124"/>
      <c r="J3727" s="124"/>
      <c r="K3727" s="124"/>
      <c r="L3727" s="124"/>
      <c r="M3727" s="124"/>
      <c r="N3727" s="124"/>
      <c r="O3727" s="124"/>
      <c r="P3727" s="124"/>
      <c r="Q3727" s="124"/>
      <c r="R3727" s="124"/>
      <c r="S3727" s="124"/>
      <c r="T3727" s="124"/>
      <c r="U3727" s="124"/>
      <c r="V3727" s="124"/>
      <c r="W3727" s="124"/>
      <c r="X3727" s="124"/>
      <c r="Y3727" s="124"/>
      <c r="Z3727" s="124"/>
    </row>
    <row r="3728">
      <c r="A3728" s="124"/>
      <c r="B3728" s="124"/>
      <c r="C3728" s="147"/>
      <c r="D3728" s="124"/>
      <c r="E3728" s="124"/>
      <c r="F3728" s="124"/>
      <c r="G3728" s="124"/>
      <c r="H3728" s="124"/>
      <c r="I3728" s="124"/>
      <c r="J3728" s="124"/>
      <c r="K3728" s="124"/>
      <c r="L3728" s="124"/>
      <c r="M3728" s="124"/>
      <c r="N3728" s="124"/>
      <c r="O3728" s="124"/>
      <c r="P3728" s="124"/>
      <c r="Q3728" s="124"/>
      <c r="R3728" s="124"/>
      <c r="S3728" s="124"/>
      <c r="T3728" s="124"/>
      <c r="U3728" s="124"/>
      <c r="V3728" s="124"/>
      <c r="W3728" s="124"/>
      <c r="X3728" s="124"/>
      <c r="Y3728" s="124"/>
      <c r="Z3728" s="124"/>
    </row>
    <row r="3729">
      <c r="A3729" s="124"/>
      <c r="B3729" s="124"/>
      <c r="C3729" s="147"/>
      <c r="D3729" s="124"/>
      <c r="E3729" s="124"/>
      <c r="F3729" s="124"/>
      <c r="G3729" s="124"/>
      <c r="H3729" s="124"/>
      <c r="I3729" s="124"/>
      <c r="J3729" s="124"/>
      <c r="K3729" s="124"/>
      <c r="L3729" s="124"/>
      <c r="M3729" s="124"/>
      <c r="N3729" s="124"/>
      <c r="O3729" s="124"/>
      <c r="P3729" s="124"/>
      <c r="Q3729" s="124"/>
      <c r="R3729" s="124"/>
      <c r="S3729" s="124"/>
      <c r="T3729" s="124"/>
      <c r="U3729" s="124"/>
      <c r="V3729" s="124"/>
      <c r="W3729" s="124"/>
      <c r="X3729" s="124"/>
      <c r="Y3729" s="124"/>
      <c r="Z3729" s="124"/>
    </row>
    <row r="3730">
      <c r="A3730" s="124"/>
      <c r="B3730" s="124"/>
      <c r="C3730" s="147"/>
      <c r="D3730" s="124"/>
      <c r="E3730" s="124"/>
      <c r="F3730" s="124"/>
      <c r="G3730" s="124"/>
      <c r="H3730" s="124"/>
      <c r="I3730" s="124"/>
      <c r="J3730" s="124"/>
      <c r="K3730" s="124"/>
      <c r="L3730" s="124"/>
      <c r="M3730" s="124"/>
      <c r="N3730" s="124"/>
      <c r="O3730" s="124"/>
      <c r="P3730" s="124"/>
      <c r="Q3730" s="124"/>
      <c r="R3730" s="124"/>
      <c r="S3730" s="124"/>
      <c r="T3730" s="124"/>
      <c r="U3730" s="124"/>
      <c r="V3730" s="124"/>
      <c r="W3730" s="124"/>
      <c r="X3730" s="124"/>
      <c r="Y3730" s="124"/>
      <c r="Z3730" s="124"/>
    </row>
    <row r="3731">
      <c r="A3731" s="124"/>
      <c r="B3731" s="124"/>
      <c r="C3731" s="147"/>
      <c r="D3731" s="124"/>
      <c r="E3731" s="124"/>
      <c r="F3731" s="124"/>
      <c r="G3731" s="124"/>
      <c r="H3731" s="124"/>
      <c r="I3731" s="124"/>
      <c r="J3731" s="124"/>
      <c r="K3731" s="124"/>
      <c r="L3731" s="124"/>
      <c r="M3731" s="124"/>
      <c r="N3731" s="124"/>
      <c r="O3731" s="124"/>
      <c r="P3731" s="124"/>
      <c r="Q3731" s="124"/>
      <c r="R3731" s="124"/>
      <c r="S3731" s="124"/>
      <c r="T3731" s="124"/>
      <c r="U3731" s="124"/>
      <c r="V3731" s="124"/>
      <c r="W3731" s="124"/>
      <c r="X3731" s="124"/>
      <c r="Y3731" s="124"/>
      <c r="Z3731" s="124"/>
    </row>
    <row r="3732">
      <c r="A3732" s="124"/>
      <c r="B3732" s="124"/>
      <c r="C3732" s="147"/>
      <c r="D3732" s="124"/>
      <c r="E3732" s="124"/>
      <c r="F3732" s="124"/>
      <c r="G3732" s="124"/>
      <c r="H3732" s="124"/>
      <c r="I3732" s="124"/>
      <c r="J3732" s="124"/>
      <c r="K3732" s="124"/>
      <c r="L3732" s="124"/>
      <c r="M3732" s="124"/>
      <c r="N3732" s="124"/>
      <c r="O3732" s="124"/>
      <c r="P3732" s="124"/>
      <c r="Q3732" s="124"/>
      <c r="R3732" s="124"/>
      <c r="S3732" s="124"/>
      <c r="T3732" s="124"/>
      <c r="U3732" s="124"/>
      <c r="V3732" s="124"/>
      <c r="W3732" s="124"/>
      <c r="X3732" s="124"/>
      <c r="Y3732" s="124"/>
      <c r="Z3732" s="124"/>
    </row>
    <row r="3733">
      <c r="A3733" s="124"/>
      <c r="B3733" s="124"/>
      <c r="C3733" s="147"/>
      <c r="D3733" s="124"/>
      <c r="E3733" s="124"/>
      <c r="F3733" s="124"/>
      <c r="G3733" s="124"/>
      <c r="H3733" s="124"/>
      <c r="I3733" s="124"/>
      <c r="J3733" s="124"/>
      <c r="K3733" s="124"/>
      <c r="L3733" s="124"/>
      <c r="M3733" s="124"/>
      <c r="N3733" s="124"/>
      <c r="O3733" s="124"/>
      <c r="P3733" s="124"/>
      <c r="Q3733" s="124"/>
      <c r="R3733" s="124"/>
      <c r="S3733" s="124"/>
      <c r="T3733" s="124"/>
      <c r="U3733" s="124"/>
      <c r="V3733" s="124"/>
      <c r="W3733" s="124"/>
      <c r="X3733" s="124"/>
      <c r="Y3733" s="124"/>
      <c r="Z3733" s="124"/>
    </row>
    <row r="3734">
      <c r="A3734" s="124"/>
      <c r="B3734" s="124"/>
      <c r="C3734" s="147"/>
      <c r="D3734" s="124"/>
      <c r="E3734" s="124"/>
      <c r="F3734" s="124"/>
      <c r="G3734" s="124"/>
      <c r="H3734" s="124"/>
      <c r="I3734" s="124"/>
      <c r="J3734" s="124"/>
      <c r="K3734" s="124"/>
      <c r="L3734" s="124"/>
      <c r="M3734" s="124"/>
      <c r="N3734" s="124"/>
      <c r="O3734" s="124"/>
      <c r="P3734" s="124"/>
      <c r="Q3734" s="124"/>
      <c r="R3734" s="124"/>
      <c r="S3734" s="124"/>
      <c r="T3734" s="124"/>
      <c r="U3734" s="124"/>
      <c r="V3734" s="124"/>
      <c r="W3734" s="124"/>
      <c r="X3734" s="124"/>
      <c r="Y3734" s="124"/>
      <c r="Z3734" s="124"/>
    </row>
    <row r="3735">
      <c r="A3735" s="124"/>
      <c r="B3735" s="124"/>
      <c r="C3735" s="147"/>
      <c r="D3735" s="124"/>
      <c r="E3735" s="124"/>
      <c r="F3735" s="124"/>
      <c r="G3735" s="124"/>
      <c r="H3735" s="124"/>
      <c r="I3735" s="124"/>
      <c r="J3735" s="124"/>
      <c r="K3735" s="124"/>
      <c r="L3735" s="124"/>
      <c r="M3735" s="124"/>
      <c r="N3735" s="124"/>
      <c r="O3735" s="124"/>
      <c r="P3735" s="124"/>
      <c r="Q3735" s="124"/>
      <c r="R3735" s="124"/>
      <c r="S3735" s="124"/>
      <c r="T3735" s="124"/>
      <c r="U3735" s="124"/>
      <c r="V3735" s="124"/>
      <c r="W3735" s="124"/>
      <c r="X3735" s="124"/>
      <c r="Y3735" s="124"/>
      <c r="Z3735" s="124"/>
    </row>
    <row r="3736">
      <c r="A3736" s="124"/>
      <c r="B3736" s="124"/>
      <c r="C3736" s="147"/>
      <c r="D3736" s="124"/>
      <c r="E3736" s="124"/>
      <c r="F3736" s="124"/>
      <c r="G3736" s="124"/>
      <c r="H3736" s="124"/>
      <c r="I3736" s="124"/>
      <c r="J3736" s="124"/>
      <c r="K3736" s="124"/>
      <c r="L3736" s="124"/>
      <c r="M3736" s="124"/>
      <c r="N3736" s="124"/>
      <c r="O3736" s="124"/>
      <c r="P3736" s="124"/>
      <c r="Q3736" s="124"/>
      <c r="R3736" s="124"/>
      <c r="S3736" s="124"/>
      <c r="T3736" s="124"/>
      <c r="U3736" s="124"/>
      <c r="V3736" s="124"/>
      <c r="W3736" s="124"/>
      <c r="X3736" s="124"/>
      <c r="Y3736" s="124"/>
      <c r="Z3736" s="124"/>
    </row>
    <row r="3737">
      <c r="A3737" s="124"/>
      <c r="B3737" s="124"/>
      <c r="C3737" s="147"/>
      <c r="D3737" s="124"/>
      <c r="E3737" s="124"/>
      <c r="F3737" s="124"/>
      <c r="G3737" s="124"/>
      <c r="H3737" s="124"/>
      <c r="I3737" s="124"/>
      <c r="J3737" s="124"/>
      <c r="K3737" s="124"/>
      <c r="L3737" s="124"/>
      <c r="M3737" s="124"/>
      <c r="N3737" s="124"/>
      <c r="O3737" s="124"/>
      <c r="P3737" s="124"/>
      <c r="Q3737" s="124"/>
      <c r="R3737" s="124"/>
      <c r="S3737" s="124"/>
      <c r="T3737" s="124"/>
      <c r="U3737" s="124"/>
      <c r="V3737" s="124"/>
      <c r="W3737" s="124"/>
      <c r="X3737" s="124"/>
      <c r="Y3737" s="124"/>
      <c r="Z3737" s="124"/>
    </row>
    <row r="3738">
      <c r="A3738" s="124"/>
      <c r="B3738" s="124"/>
      <c r="C3738" s="147"/>
      <c r="D3738" s="124"/>
      <c r="E3738" s="124"/>
      <c r="F3738" s="124"/>
      <c r="G3738" s="124"/>
      <c r="H3738" s="124"/>
      <c r="I3738" s="124"/>
      <c r="J3738" s="124"/>
      <c r="K3738" s="124"/>
      <c r="L3738" s="124"/>
      <c r="M3738" s="124"/>
      <c r="N3738" s="124"/>
      <c r="O3738" s="124"/>
      <c r="P3738" s="124"/>
      <c r="Q3738" s="124"/>
      <c r="R3738" s="124"/>
      <c r="S3738" s="124"/>
      <c r="T3738" s="124"/>
      <c r="U3738" s="124"/>
      <c r="V3738" s="124"/>
      <c r="W3738" s="124"/>
      <c r="X3738" s="124"/>
      <c r="Y3738" s="124"/>
      <c r="Z3738" s="124"/>
    </row>
    <row r="3739">
      <c r="A3739" s="124"/>
      <c r="B3739" s="124"/>
      <c r="C3739" s="147"/>
      <c r="D3739" s="124"/>
      <c r="E3739" s="124"/>
      <c r="F3739" s="124"/>
      <c r="G3739" s="124"/>
      <c r="H3739" s="124"/>
      <c r="I3739" s="124"/>
      <c r="J3739" s="124"/>
      <c r="K3739" s="124"/>
      <c r="L3739" s="124"/>
      <c r="M3739" s="124"/>
      <c r="N3739" s="124"/>
      <c r="O3739" s="124"/>
      <c r="P3739" s="124"/>
      <c r="Q3739" s="124"/>
      <c r="R3739" s="124"/>
      <c r="S3739" s="124"/>
      <c r="T3739" s="124"/>
      <c r="U3739" s="124"/>
      <c r="V3739" s="124"/>
      <c r="W3739" s="124"/>
      <c r="X3739" s="124"/>
      <c r="Y3739" s="124"/>
      <c r="Z3739" s="124"/>
    </row>
    <row r="3740">
      <c r="A3740" s="124"/>
      <c r="B3740" s="124"/>
      <c r="C3740" s="147"/>
      <c r="D3740" s="124"/>
      <c r="E3740" s="124"/>
      <c r="F3740" s="124"/>
      <c r="G3740" s="124"/>
      <c r="H3740" s="124"/>
      <c r="I3740" s="124"/>
      <c r="J3740" s="124"/>
      <c r="K3740" s="124"/>
      <c r="L3740" s="124"/>
      <c r="M3740" s="124"/>
      <c r="N3740" s="124"/>
      <c r="O3740" s="124"/>
      <c r="P3740" s="124"/>
      <c r="Q3740" s="124"/>
      <c r="R3740" s="124"/>
      <c r="S3740" s="124"/>
      <c r="T3740" s="124"/>
      <c r="U3740" s="124"/>
      <c r="V3740" s="124"/>
      <c r="W3740" s="124"/>
      <c r="X3740" s="124"/>
      <c r="Y3740" s="124"/>
      <c r="Z3740" s="124"/>
    </row>
    <row r="3741">
      <c r="A3741" s="124"/>
      <c r="B3741" s="124"/>
      <c r="C3741" s="147"/>
      <c r="D3741" s="124"/>
      <c r="E3741" s="124"/>
      <c r="F3741" s="124"/>
      <c r="G3741" s="124"/>
      <c r="H3741" s="124"/>
      <c r="I3741" s="124"/>
      <c r="J3741" s="124"/>
      <c r="K3741" s="124"/>
      <c r="L3741" s="124"/>
      <c r="M3741" s="124"/>
      <c r="N3741" s="124"/>
      <c r="O3741" s="124"/>
      <c r="P3741" s="124"/>
      <c r="Q3741" s="124"/>
      <c r="R3741" s="124"/>
      <c r="S3741" s="124"/>
      <c r="T3741" s="124"/>
      <c r="U3741" s="124"/>
      <c r="V3741" s="124"/>
      <c r="W3741" s="124"/>
      <c r="X3741" s="124"/>
      <c r="Y3741" s="124"/>
      <c r="Z3741" s="124"/>
    </row>
    <row r="3742">
      <c r="A3742" s="124"/>
      <c r="B3742" s="124"/>
      <c r="C3742" s="147"/>
      <c r="D3742" s="124"/>
      <c r="E3742" s="124"/>
      <c r="F3742" s="124"/>
      <c r="G3742" s="124"/>
      <c r="H3742" s="124"/>
      <c r="I3742" s="124"/>
      <c r="J3742" s="124"/>
      <c r="K3742" s="124"/>
      <c r="L3742" s="124"/>
      <c r="M3742" s="124"/>
      <c r="N3742" s="124"/>
      <c r="O3742" s="124"/>
      <c r="P3742" s="124"/>
      <c r="Q3742" s="124"/>
      <c r="R3742" s="124"/>
      <c r="S3742" s="124"/>
      <c r="T3742" s="124"/>
      <c r="U3742" s="124"/>
      <c r="V3742" s="124"/>
      <c r="W3742" s="124"/>
      <c r="X3742" s="124"/>
      <c r="Y3742" s="124"/>
      <c r="Z3742" s="124"/>
    </row>
    <row r="3743">
      <c r="A3743" s="124"/>
      <c r="B3743" s="124"/>
      <c r="C3743" s="147"/>
      <c r="D3743" s="124"/>
      <c r="E3743" s="124"/>
      <c r="F3743" s="124"/>
      <c r="G3743" s="124"/>
      <c r="H3743" s="124"/>
      <c r="I3743" s="124"/>
      <c r="J3743" s="124"/>
      <c r="K3743" s="124"/>
      <c r="L3743" s="124"/>
      <c r="M3743" s="124"/>
      <c r="N3743" s="124"/>
      <c r="O3743" s="124"/>
      <c r="P3743" s="124"/>
      <c r="Q3743" s="124"/>
      <c r="R3743" s="124"/>
      <c r="S3743" s="124"/>
      <c r="T3743" s="124"/>
      <c r="U3743" s="124"/>
      <c r="V3743" s="124"/>
      <c r="W3743" s="124"/>
      <c r="X3743" s="124"/>
      <c r="Y3743" s="124"/>
      <c r="Z3743" s="124"/>
    </row>
    <row r="3744">
      <c r="A3744" s="124"/>
      <c r="B3744" s="124"/>
      <c r="C3744" s="147"/>
      <c r="D3744" s="124"/>
      <c r="E3744" s="124"/>
      <c r="F3744" s="124"/>
      <c r="G3744" s="124"/>
      <c r="H3744" s="124"/>
      <c r="I3744" s="124"/>
      <c r="J3744" s="124"/>
      <c r="K3744" s="124"/>
      <c r="L3744" s="124"/>
      <c r="M3744" s="124"/>
      <c r="N3744" s="124"/>
      <c r="O3744" s="124"/>
      <c r="P3744" s="124"/>
      <c r="Q3744" s="124"/>
      <c r="R3744" s="124"/>
      <c r="S3744" s="124"/>
      <c r="T3744" s="124"/>
      <c r="U3744" s="124"/>
      <c r="V3744" s="124"/>
      <c r="W3744" s="124"/>
      <c r="X3744" s="124"/>
      <c r="Y3744" s="124"/>
      <c r="Z3744" s="124"/>
    </row>
    <row r="3745">
      <c r="A3745" s="124"/>
      <c r="B3745" s="124"/>
      <c r="C3745" s="147"/>
      <c r="D3745" s="124"/>
      <c r="E3745" s="124"/>
      <c r="F3745" s="124"/>
      <c r="G3745" s="124"/>
      <c r="H3745" s="124"/>
      <c r="I3745" s="124"/>
      <c r="J3745" s="124"/>
      <c r="K3745" s="124"/>
      <c r="L3745" s="124"/>
      <c r="M3745" s="124"/>
      <c r="N3745" s="124"/>
      <c r="O3745" s="124"/>
      <c r="P3745" s="124"/>
      <c r="Q3745" s="124"/>
      <c r="R3745" s="124"/>
      <c r="S3745" s="124"/>
      <c r="T3745" s="124"/>
      <c r="U3745" s="124"/>
      <c r="V3745" s="124"/>
      <c r="W3745" s="124"/>
      <c r="X3745" s="124"/>
      <c r="Y3745" s="124"/>
      <c r="Z3745" s="124"/>
    </row>
    <row r="3746">
      <c r="A3746" s="124"/>
      <c r="B3746" s="124"/>
      <c r="C3746" s="147"/>
      <c r="D3746" s="124"/>
      <c r="E3746" s="124"/>
      <c r="F3746" s="124"/>
      <c r="G3746" s="124"/>
      <c r="H3746" s="124"/>
      <c r="I3746" s="124"/>
      <c r="J3746" s="124"/>
      <c r="K3746" s="124"/>
      <c r="L3746" s="124"/>
      <c r="M3746" s="124"/>
      <c r="N3746" s="124"/>
      <c r="O3746" s="124"/>
      <c r="P3746" s="124"/>
      <c r="Q3746" s="124"/>
      <c r="R3746" s="124"/>
      <c r="S3746" s="124"/>
      <c r="T3746" s="124"/>
      <c r="U3746" s="124"/>
      <c r="V3746" s="124"/>
      <c r="W3746" s="124"/>
      <c r="X3746" s="124"/>
      <c r="Y3746" s="124"/>
      <c r="Z3746" s="124"/>
    </row>
    <row r="3747">
      <c r="A3747" s="124"/>
      <c r="B3747" s="124"/>
      <c r="C3747" s="147"/>
      <c r="D3747" s="124"/>
      <c r="E3747" s="124"/>
      <c r="F3747" s="124"/>
      <c r="G3747" s="124"/>
      <c r="H3747" s="124"/>
      <c r="I3747" s="124"/>
      <c r="J3747" s="124"/>
      <c r="K3747" s="124"/>
      <c r="L3747" s="124"/>
      <c r="M3747" s="124"/>
      <c r="N3747" s="124"/>
      <c r="O3747" s="124"/>
      <c r="P3747" s="124"/>
      <c r="Q3747" s="124"/>
      <c r="R3747" s="124"/>
      <c r="S3747" s="124"/>
      <c r="T3747" s="124"/>
      <c r="U3747" s="124"/>
      <c r="V3747" s="124"/>
      <c r="W3747" s="124"/>
      <c r="X3747" s="124"/>
      <c r="Y3747" s="124"/>
      <c r="Z3747" s="124"/>
    </row>
    <row r="3748">
      <c r="A3748" s="124"/>
      <c r="B3748" s="124"/>
      <c r="C3748" s="147"/>
      <c r="D3748" s="124"/>
      <c r="E3748" s="124"/>
      <c r="F3748" s="124"/>
      <c r="G3748" s="124"/>
      <c r="H3748" s="124"/>
      <c r="I3748" s="124"/>
      <c r="J3748" s="124"/>
      <c r="K3748" s="124"/>
      <c r="L3748" s="124"/>
      <c r="M3748" s="124"/>
      <c r="N3748" s="124"/>
      <c r="O3748" s="124"/>
      <c r="P3748" s="124"/>
      <c r="Q3748" s="124"/>
      <c r="R3748" s="124"/>
      <c r="S3748" s="124"/>
      <c r="T3748" s="124"/>
      <c r="U3748" s="124"/>
      <c r="V3748" s="124"/>
      <c r="W3748" s="124"/>
      <c r="X3748" s="124"/>
      <c r="Y3748" s="124"/>
      <c r="Z3748" s="124"/>
    </row>
    <row r="3749">
      <c r="A3749" s="124"/>
      <c r="B3749" s="124"/>
      <c r="C3749" s="147"/>
      <c r="D3749" s="124"/>
      <c r="E3749" s="124"/>
      <c r="F3749" s="124"/>
      <c r="G3749" s="124"/>
      <c r="H3749" s="124"/>
      <c r="I3749" s="124"/>
      <c r="J3749" s="124"/>
      <c r="K3749" s="124"/>
      <c r="L3749" s="124"/>
      <c r="M3749" s="124"/>
      <c r="N3749" s="124"/>
      <c r="O3749" s="124"/>
      <c r="P3749" s="124"/>
      <c r="Q3749" s="124"/>
      <c r="R3749" s="124"/>
      <c r="S3749" s="124"/>
      <c r="T3749" s="124"/>
      <c r="U3749" s="124"/>
      <c r="V3749" s="124"/>
      <c r="W3749" s="124"/>
      <c r="X3749" s="124"/>
      <c r="Y3749" s="124"/>
      <c r="Z3749" s="124"/>
    </row>
    <row r="3750">
      <c r="A3750" s="124"/>
      <c r="B3750" s="124"/>
      <c r="C3750" s="147"/>
      <c r="D3750" s="124"/>
      <c r="E3750" s="124"/>
      <c r="F3750" s="124"/>
      <c r="G3750" s="124"/>
      <c r="H3750" s="124"/>
      <c r="I3750" s="124"/>
      <c r="J3750" s="124"/>
      <c r="K3750" s="124"/>
      <c r="L3750" s="124"/>
      <c r="M3750" s="124"/>
      <c r="N3750" s="124"/>
      <c r="O3750" s="124"/>
      <c r="P3750" s="124"/>
      <c r="Q3750" s="124"/>
      <c r="R3750" s="124"/>
      <c r="S3750" s="124"/>
      <c r="T3750" s="124"/>
      <c r="U3750" s="124"/>
      <c r="V3750" s="124"/>
      <c r="W3750" s="124"/>
      <c r="X3750" s="124"/>
      <c r="Y3750" s="124"/>
      <c r="Z3750" s="124"/>
    </row>
    <row r="3751">
      <c r="A3751" s="124"/>
      <c r="B3751" s="124"/>
      <c r="C3751" s="147"/>
      <c r="D3751" s="124"/>
      <c r="E3751" s="124"/>
      <c r="F3751" s="124"/>
      <c r="G3751" s="124"/>
      <c r="H3751" s="124"/>
      <c r="I3751" s="124"/>
      <c r="J3751" s="124"/>
      <c r="K3751" s="124"/>
      <c r="L3751" s="124"/>
      <c r="M3751" s="124"/>
      <c r="N3751" s="124"/>
      <c r="O3751" s="124"/>
      <c r="P3751" s="124"/>
      <c r="Q3751" s="124"/>
      <c r="R3751" s="124"/>
      <c r="S3751" s="124"/>
      <c r="T3751" s="124"/>
      <c r="U3751" s="124"/>
      <c r="V3751" s="124"/>
      <c r="W3751" s="124"/>
      <c r="X3751" s="124"/>
      <c r="Y3751" s="124"/>
      <c r="Z3751" s="124"/>
    </row>
    <row r="3752">
      <c r="A3752" s="124"/>
      <c r="B3752" s="124"/>
      <c r="C3752" s="147"/>
      <c r="D3752" s="124"/>
      <c r="E3752" s="124"/>
      <c r="F3752" s="124"/>
      <c r="G3752" s="124"/>
      <c r="H3752" s="124"/>
      <c r="I3752" s="124"/>
      <c r="J3752" s="124"/>
      <c r="K3752" s="124"/>
      <c r="L3752" s="124"/>
      <c r="M3752" s="124"/>
      <c r="N3752" s="124"/>
      <c r="O3752" s="124"/>
      <c r="P3752" s="124"/>
      <c r="Q3752" s="124"/>
      <c r="R3752" s="124"/>
      <c r="S3752" s="124"/>
      <c r="T3752" s="124"/>
      <c r="U3752" s="124"/>
      <c r="V3752" s="124"/>
      <c r="W3752" s="124"/>
      <c r="X3752" s="124"/>
      <c r="Y3752" s="124"/>
      <c r="Z3752" s="124"/>
    </row>
    <row r="3753">
      <c r="A3753" s="124"/>
      <c r="B3753" s="124"/>
      <c r="C3753" s="147"/>
      <c r="D3753" s="124"/>
      <c r="E3753" s="124"/>
      <c r="F3753" s="124"/>
      <c r="G3753" s="124"/>
      <c r="H3753" s="124"/>
      <c r="I3753" s="124"/>
      <c r="J3753" s="124"/>
      <c r="K3753" s="124"/>
      <c r="L3753" s="124"/>
      <c r="M3753" s="124"/>
      <c r="N3753" s="124"/>
      <c r="O3753" s="124"/>
      <c r="P3753" s="124"/>
      <c r="Q3753" s="124"/>
      <c r="R3753" s="124"/>
      <c r="S3753" s="124"/>
      <c r="T3753" s="124"/>
      <c r="U3753" s="124"/>
      <c r="V3753" s="124"/>
      <c r="W3753" s="124"/>
      <c r="X3753" s="124"/>
      <c r="Y3753" s="124"/>
      <c r="Z3753" s="124"/>
    </row>
    <row r="3754">
      <c r="A3754" s="124"/>
      <c r="B3754" s="124"/>
      <c r="C3754" s="147"/>
      <c r="D3754" s="124"/>
      <c r="E3754" s="124"/>
      <c r="F3754" s="124"/>
      <c r="G3754" s="124"/>
      <c r="H3754" s="124"/>
      <c r="I3754" s="124"/>
      <c r="J3754" s="124"/>
      <c r="K3754" s="124"/>
      <c r="L3754" s="124"/>
      <c r="M3754" s="124"/>
      <c r="N3754" s="124"/>
      <c r="O3754" s="124"/>
      <c r="P3754" s="124"/>
      <c r="Q3754" s="124"/>
      <c r="R3754" s="124"/>
      <c r="S3754" s="124"/>
      <c r="T3754" s="124"/>
      <c r="U3754" s="124"/>
      <c r="V3754" s="124"/>
      <c r="W3754" s="124"/>
      <c r="X3754" s="124"/>
      <c r="Y3754" s="124"/>
      <c r="Z3754" s="124"/>
    </row>
    <row r="3755">
      <c r="A3755" s="124"/>
      <c r="B3755" s="124"/>
      <c r="C3755" s="147"/>
      <c r="D3755" s="124"/>
      <c r="E3755" s="124"/>
      <c r="F3755" s="124"/>
      <c r="G3755" s="124"/>
      <c r="H3755" s="124"/>
      <c r="I3755" s="124"/>
      <c r="J3755" s="124"/>
      <c r="K3755" s="124"/>
      <c r="L3755" s="124"/>
      <c r="M3755" s="124"/>
      <c r="N3755" s="124"/>
      <c r="O3755" s="124"/>
      <c r="P3755" s="124"/>
      <c r="Q3755" s="124"/>
      <c r="R3755" s="124"/>
      <c r="S3755" s="124"/>
      <c r="T3755" s="124"/>
      <c r="U3755" s="124"/>
      <c r="V3755" s="124"/>
      <c r="W3755" s="124"/>
      <c r="X3755" s="124"/>
      <c r="Y3755" s="124"/>
      <c r="Z3755" s="124"/>
    </row>
    <row r="3756">
      <c r="A3756" s="124"/>
      <c r="B3756" s="124"/>
      <c r="C3756" s="147"/>
      <c r="D3756" s="124"/>
      <c r="E3756" s="124"/>
      <c r="F3756" s="124"/>
      <c r="G3756" s="124"/>
      <c r="H3756" s="124"/>
      <c r="I3756" s="124"/>
      <c r="J3756" s="124"/>
      <c r="K3756" s="124"/>
      <c r="L3756" s="124"/>
      <c r="M3756" s="124"/>
      <c r="N3756" s="124"/>
      <c r="O3756" s="124"/>
      <c r="P3756" s="124"/>
      <c r="Q3756" s="124"/>
      <c r="R3756" s="124"/>
      <c r="S3756" s="124"/>
      <c r="T3756" s="124"/>
      <c r="U3756" s="124"/>
      <c r="V3756" s="124"/>
      <c r="W3756" s="124"/>
      <c r="X3756" s="124"/>
      <c r="Y3756" s="124"/>
      <c r="Z3756" s="124"/>
    </row>
    <row r="3757">
      <c r="A3757" s="124"/>
      <c r="B3757" s="124"/>
      <c r="C3757" s="147"/>
      <c r="D3757" s="124"/>
      <c r="E3757" s="124"/>
      <c r="F3757" s="124"/>
      <c r="G3757" s="124"/>
      <c r="H3757" s="124"/>
      <c r="I3757" s="124"/>
      <c r="J3757" s="124"/>
      <c r="K3757" s="124"/>
      <c r="L3757" s="124"/>
      <c r="M3757" s="124"/>
      <c r="N3757" s="124"/>
      <c r="O3757" s="124"/>
      <c r="P3757" s="124"/>
      <c r="Q3757" s="124"/>
      <c r="R3757" s="124"/>
      <c r="S3757" s="124"/>
      <c r="T3757" s="124"/>
      <c r="U3757" s="124"/>
      <c r="V3757" s="124"/>
      <c r="W3757" s="124"/>
      <c r="X3757" s="124"/>
      <c r="Y3757" s="124"/>
      <c r="Z3757" s="124"/>
    </row>
    <row r="3758">
      <c r="A3758" s="124"/>
      <c r="B3758" s="124"/>
      <c r="C3758" s="147"/>
      <c r="D3758" s="124"/>
      <c r="E3758" s="124"/>
      <c r="F3758" s="124"/>
      <c r="G3758" s="124"/>
      <c r="H3758" s="124"/>
      <c r="I3758" s="124"/>
      <c r="J3758" s="124"/>
      <c r="K3758" s="124"/>
      <c r="L3758" s="124"/>
      <c r="M3758" s="124"/>
      <c r="N3758" s="124"/>
      <c r="O3758" s="124"/>
      <c r="P3758" s="124"/>
      <c r="Q3758" s="124"/>
      <c r="R3758" s="124"/>
      <c r="S3758" s="124"/>
      <c r="T3758" s="124"/>
      <c r="U3758" s="124"/>
      <c r="V3758" s="124"/>
      <c r="W3758" s="124"/>
      <c r="X3758" s="124"/>
      <c r="Y3758" s="124"/>
      <c r="Z3758" s="124"/>
    </row>
    <row r="3759">
      <c r="A3759" s="124"/>
      <c r="B3759" s="124"/>
      <c r="C3759" s="147"/>
      <c r="D3759" s="124"/>
      <c r="E3759" s="124"/>
      <c r="F3759" s="124"/>
      <c r="G3759" s="124"/>
      <c r="H3759" s="124"/>
      <c r="I3759" s="124"/>
      <c r="J3759" s="124"/>
      <c r="K3759" s="124"/>
      <c r="L3759" s="124"/>
      <c r="M3759" s="124"/>
      <c r="N3759" s="124"/>
      <c r="O3759" s="124"/>
      <c r="P3759" s="124"/>
      <c r="Q3759" s="124"/>
      <c r="R3759" s="124"/>
      <c r="S3759" s="124"/>
      <c r="T3759" s="124"/>
      <c r="U3759" s="124"/>
      <c r="V3759" s="124"/>
      <c r="W3759" s="124"/>
      <c r="X3759" s="124"/>
      <c r="Y3759" s="124"/>
      <c r="Z3759" s="124"/>
    </row>
    <row r="3760">
      <c r="A3760" s="124"/>
      <c r="B3760" s="124"/>
      <c r="C3760" s="147"/>
      <c r="D3760" s="124"/>
      <c r="E3760" s="124"/>
      <c r="F3760" s="124"/>
      <c r="G3760" s="124"/>
      <c r="H3760" s="124"/>
      <c r="I3760" s="124"/>
      <c r="J3760" s="124"/>
      <c r="K3760" s="124"/>
      <c r="L3760" s="124"/>
      <c r="M3760" s="124"/>
      <c r="N3760" s="124"/>
      <c r="O3760" s="124"/>
      <c r="P3760" s="124"/>
      <c r="Q3760" s="124"/>
      <c r="R3760" s="124"/>
      <c r="S3760" s="124"/>
      <c r="T3760" s="124"/>
      <c r="U3760" s="124"/>
      <c r="V3760" s="124"/>
      <c r="W3760" s="124"/>
      <c r="X3760" s="124"/>
      <c r="Y3760" s="124"/>
      <c r="Z3760" s="124"/>
    </row>
    <row r="3761">
      <c r="A3761" s="124"/>
      <c r="B3761" s="124"/>
      <c r="C3761" s="147"/>
      <c r="D3761" s="124"/>
      <c r="E3761" s="124"/>
      <c r="F3761" s="124"/>
      <c r="G3761" s="124"/>
      <c r="H3761" s="124"/>
      <c r="I3761" s="124"/>
      <c r="J3761" s="124"/>
      <c r="K3761" s="124"/>
      <c r="L3761" s="124"/>
      <c r="M3761" s="124"/>
      <c r="N3761" s="124"/>
      <c r="O3761" s="124"/>
      <c r="P3761" s="124"/>
      <c r="Q3761" s="124"/>
      <c r="R3761" s="124"/>
      <c r="S3761" s="124"/>
      <c r="T3761" s="124"/>
      <c r="U3761" s="124"/>
      <c r="V3761" s="124"/>
      <c r="W3761" s="124"/>
      <c r="X3761" s="124"/>
      <c r="Y3761" s="124"/>
      <c r="Z3761" s="124"/>
    </row>
    <row r="3762">
      <c r="A3762" s="124"/>
      <c r="B3762" s="124"/>
      <c r="C3762" s="147"/>
      <c r="D3762" s="124"/>
      <c r="E3762" s="124"/>
      <c r="F3762" s="124"/>
      <c r="G3762" s="124"/>
      <c r="H3762" s="124"/>
      <c r="I3762" s="124"/>
      <c r="J3762" s="124"/>
      <c r="K3762" s="124"/>
      <c r="L3762" s="124"/>
      <c r="M3762" s="124"/>
      <c r="N3762" s="124"/>
      <c r="O3762" s="124"/>
      <c r="P3762" s="124"/>
      <c r="Q3762" s="124"/>
      <c r="R3762" s="124"/>
      <c r="S3762" s="124"/>
      <c r="T3762" s="124"/>
      <c r="U3762" s="124"/>
      <c r="V3762" s="124"/>
      <c r="W3762" s="124"/>
      <c r="X3762" s="124"/>
      <c r="Y3762" s="124"/>
      <c r="Z3762" s="124"/>
    </row>
    <row r="3763">
      <c r="A3763" s="124"/>
      <c r="B3763" s="124"/>
      <c r="C3763" s="147"/>
      <c r="D3763" s="124"/>
      <c r="E3763" s="124"/>
      <c r="F3763" s="124"/>
      <c r="G3763" s="124"/>
      <c r="H3763" s="124"/>
      <c r="I3763" s="124"/>
      <c r="J3763" s="124"/>
      <c r="K3763" s="124"/>
      <c r="L3763" s="124"/>
      <c r="M3763" s="124"/>
      <c r="N3763" s="124"/>
      <c r="O3763" s="124"/>
      <c r="P3763" s="124"/>
      <c r="Q3763" s="124"/>
      <c r="R3763" s="124"/>
      <c r="S3763" s="124"/>
      <c r="T3763" s="124"/>
      <c r="U3763" s="124"/>
      <c r="V3763" s="124"/>
      <c r="W3763" s="124"/>
      <c r="X3763" s="124"/>
      <c r="Y3763" s="124"/>
      <c r="Z3763" s="124"/>
    </row>
    <row r="3764">
      <c r="A3764" s="124"/>
      <c r="B3764" s="124"/>
      <c r="C3764" s="147"/>
      <c r="D3764" s="124"/>
      <c r="E3764" s="124"/>
      <c r="F3764" s="124"/>
      <c r="G3764" s="124"/>
      <c r="H3764" s="124"/>
      <c r="I3764" s="124"/>
      <c r="J3764" s="124"/>
      <c r="K3764" s="124"/>
      <c r="L3764" s="124"/>
      <c r="M3764" s="124"/>
      <c r="N3764" s="124"/>
      <c r="O3764" s="124"/>
      <c r="P3764" s="124"/>
      <c r="Q3764" s="124"/>
      <c r="R3764" s="124"/>
      <c r="S3764" s="124"/>
      <c r="T3764" s="124"/>
      <c r="U3764" s="124"/>
      <c r="V3764" s="124"/>
      <c r="W3764" s="124"/>
      <c r="X3764" s="124"/>
      <c r="Y3764" s="124"/>
      <c r="Z3764" s="124"/>
    </row>
    <row r="3765">
      <c r="A3765" s="124"/>
      <c r="B3765" s="124"/>
      <c r="C3765" s="147"/>
      <c r="D3765" s="124"/>
      <c r="E3765" s="124"/>
      <c r="F3765" s="124"/>
      <c r="G3765" s="124"/>
      <c r="H3765" s="124"/>
      <c r="I3765" s="124"/>
      <c r="J3765" s="124"/>
      <c r="K3765" s="124"/>
      <c r="L3765" s="124"/>
      <c r="M3765" s="124"/>
      <c r="N3765" s="124"/>
      <c r="O3765" s="124"/>
      <c r="P3765" s="124"/>
      <c r="Q3765" s="124"/>
      <c r="R3765" s="124"/>
      <c r="S3765" s="124"/>
      <c r="T3765" s="124"/>
      <c r="U3765" s="124"/>
      <c r="V3765" s="124"/>
      <c r="W3765" s="124"/>
      <c r="X3765" s="124"/>
      <c r="Y3765" s="124"/>
      <c r="Z3765" s="124"/>
    </row>
    <row r="3766">
      <c r="A3766" s="124"/>
      <c r="B3766" s="124"/>
      <c r="C3766" s="147"/>
      <c r="D3766" s="124"/>
      <c r="E3766" s="124"/>
      <c r="F3766" s="124"/>
      <c r="G3766" s="124"/>
      <c r="H3766" s="124"/>
      <c r="I3766" s="124"/>
      <c r="J3766" s="124"/>
      <c r="K3766" s="124"/>
      <c r="L3766" s="124"/>
      <c r="M3766" s="124"/>
      <c r="N3766" s="124"/>
      <c r="O3766" s="124"/>
      <c r="P3766" s="124"/>
      <c r="Q3766" s="124"/>
      <c r="R3766" s="124"/>
      <c r="S3766" s="124"/>
      <c r="T3766" s="124"/>
      <c r="U3766" s="124"/>
      <c r="V3766" s="124"/>
      <c r="W3766" s="124"/>
      <c r="X3766" s="124"/>
      <c r="Y3766" s="124"/>
      <c r="Z3766" s="124"/>
    </row>
    <row r="3767">
      <c r="A3767" s="124"/>
      <c r="B3767" s="124"/>
      <c r="C3767" s="147"/>
      <c r="D3767" s="124"/>
      <c r="E3767" s="124"/>
      <c r="F3767" s="124"/>
      <c r="G3767" s="124"/>
      <c r="H3767" s="124"/>
      <c r="I3767" s="124"/>
      <c r="J3767" s="124"/>
      <c r="K3767" s="124"/>
      <c r="L3767" s="124"/>
      <c r="M3767" s="124"/>
      <c r="N3767" s="124"/>
      <c r="O3767" s="124"/>
      <c r="P3767" s="124"/>
      <c r="Q3767" s="124"/>
      <c r="R3767" s="124"/>
      <c r="S3767" s="124"/>
      <c r="T3767" s="124"/>
      <c r="U3767" s="124"/>
      <c r="V3767" s="124"/>
      <c r="W3767" s="124"/>
      <c r="X3767" s="124"/>
      <c r="Y3767" s="124"/>
      <c r="Z3767" s="124"/>
    </row>
    <row r="3768">
      <c r="A3768" s="124"/>
      <c r="B3768" s="124"/>
      <c r="C3768" s="147"/>
      <c r="D3768" s="124"/>
      <c r="E3768" s="124"/>
      <c r="F3768" s="124"/>
      <c r="G3768" s="124"/>
      <c r="H3768" s="124"/>
      <c r="I3768" s="124"/>
      <c r="J3768" s="124"/>
      <c r="K3768" s="124"/>
      <c r="L3768" s="124"/>
      <c r="M3768" s="124"/>
      <c r="N3768" s="124"/>
      <c r="O3768" s="124"/>
      <c r="P3768" s="124"/>
      <c r="Q3768" s="124"/>
      <c r="R3768" s="124"/>
      <c r="S3768" s="124"/>
      <c r="T3768" s="124"/>
      <c r="U3768" s="124"/>
      <c r="V3768" s="124"/>
      <c r="W3768" s="124"/>
      <c r="X3768" s="124"/>
      <c r="Y3768" s="124"/>
      <c r="Z3768" s="124"/>
    </row>
    <row r="3769">
      <c r="A3769" s="124"/>
      <c r="B3769" s="124"/>
      <c r="C3769" s="147"/>
      <c r="D3769" s="124"/>
      <c r="E3769" s="124"/>
      <c r="F3769" s="124"/>
      <c r="G3769" s="124"/>
      <c r="H3769" s="124"/>
      <c r="I3769" s="124"/>
      <c r="J3769" s="124"/>
      <c r="K3769" s="124"/>
      <c r="L3769" s="124"/>
      <c r="M3769" s="124"/>
      <c r="N3769" s="124"/>
      <c r="O3769" s="124"/>
      <c r="P3769" s="124"/>
      <c r="Q3769" s="124"/>
      <c r="R3769" s="124"/>
      <c r="S3769" s="124"/>
      <c r="T3769" s="124"/>
      <c r="U3769" s="124"/>
      <c r="V3769" s="124"/>
      <c r="W3769" s="124"/>
      <c r="X3769" s="124"/>
      <c r="Y3769" s="124"/>
      <c r="Z3769" s="124"/>
    </row>
    <row r="3770">
      <c r="A3770" s="124"/>
      <c r="B3770" s="124"/>
      <c r="C3770" s="147"/>
      <c r="D3770" s="124"/>
      <c r="E3770" s="124"/>
      <c r="F3770" s="124"/>
      <c r="G3770" s="124"/>
      <c r="H3770" s="124"/>
      <c r="I3770" s="124"/>
      <c r="J3770" s="124"/>
      <c r="K3770" s="124"/>
      <c r="L3770" s="124"/>
      <c r="M3770" s="124"/>
      <c r="N3770" s="124"/>
      <c r="O3770" s="124"/>
      <c r="P3770" s="124"/>
      <c r="Q3770" s="124"/>
      <c r="R3770" s="124"/>
      <c r="S3770" s="124"/>
      <c r="T3770" s="124"/>
      <c r="U3770" s="124"/>
      <c r="V3770" s="124"/>
      <c r="W3770" s="124"/>
      <c r="X3770" s="124"/>
      <c r="Y3770" s="124"/>
      <c r="Z3770" s="124"/>
    </row>
    <row r="3771">
      <c r="A3771" s="124"/>
      <c r="B3771" s="124"/>
      <c r="C3771" s="147"/>
      <c r="D3771" s="124"/>
      <c r="E3771" s="124"/>
      <c r="F3771" s="124"/>
      <c r="G3771" s="124"/>
      <c r="H3771" s="124"/>
      <c r="I3771" s="124"/>
      <c r="J3771" s="124"/>
      <c r="K3771" s="124"/>
      <c r="L3771" s="124"/>
      <c r="M3771" s="124"/>
      <c r="N3771" s="124"/>
      <c r="O3771" s="124"/>
      <c r="P3771" s="124"/>
      <c r="Q3771" s="124"/>
      <c r="R3771" s="124"/>
      <c r="S3771" s="124"/>
      <c r="T3771" s="124"/>
      <c r="U3771" s="124"/>
      <c r="V3771" s="124"/>
      <c r="W3771" s="124"/>
      <c r="X3771" s="124"/>
      <c r="Y3771" s="124"/>
      <c r="Z3771" s="124"/>
    </row>
    <row r="3772">
      <c r="A3772" s="124"/>
      <c r="B3772" s="124"/>
      <c r="C3772" s="147"/>
      <c r="D3772" s="124"/>
      <c r="E3772" s="124"/>
      <c r="F3772" s="124"/>
      <c r="G3772" s="124"/>
      <c r="H3772" s="124"/>
      <c r="I3772" s="124"/>
      <c r="J3772" s="124"/>
      <c r="K3772" s="124"/>
      <c r="L3772" s="124"/>
      <c r="M3772" s="124"/>
      <c r="N3772" s="124"/>
      <c r="O3772" s="124"/>
      <c r="P3772" s="124"/>
      <c r="Q3772" s="124"/>
      <c r="R3772" s="124"/>
      <c r="S3772" s="124"/>
      <c r="T3772" s="124"/>
      <c r="U3772" s="124"/>
      <c r="V3772" s="124"/>
      <c r="W3772" s="124"/>
      <c r="X3772" s="124"/>
      <c r="Y3772" s="124"/>
      <c r="Z3772" s="124"/>
    </row>
    <row r="3773">
      <c r="A3773" s="124"/>
      <c r="B3773" s="124"/>
      <c r="C3773" s="147"/>
      <c r="D3773" s="124"/>
      <c r="E3773" s="124"/>
      <c r="F3773" s="124"/>
      <c r="G3773" s="124"/>
      <c r="H3773" s="124"/>
      <c r="I3773" s="124"/>
      <c r="J3773" s="124"/>
      <c r="K3773" s="124"/>
      <c r="L3773" s="124"/>
      <c r="M3773" s="124"/>
      <c r="N3773" s="124"/>
      <c r="O3773" s="124"/>
      <c r="P3773" s="124"/>
      <c r="Q3773" s="124"/>
      <c r="R3773" s="124"/>
      <c r="S3773" s="124"/>
      <c r="T3773" s="124"/>
      <c r="U3773" s="124"/>
      <c r="V3773" s="124"/>
      <c r="W3773" s="124"/>
      <c r="X3773" s="124"/>
      <c r="Y3773" s="124"/>
      <c r="Z3773" s="124"/>
    </row>
    <row r="3774">
      <c r="A3774" s="124"/>
      <c r="B3774" s="124"/>
      <c r="C3774" s="147"/>
      <c r="D3774" s="124"/>
      <c r="E3774" s="124"/>
      <c r="F3774" s="124"/>
      <c r="G3774" s="124"/>
      <c r="H3774" s="124"/>
      <c r="I3774" s="124"/>
      <c r="J3774" s="124"/>
      <c r="K3774" s="124"/>
      <c r="L3774" s="124"/>
      <c r="M3774" s="124"/>
      <c r="N3774" s="124"/>
      <c r="O3774" s="124"/>
      <c r="P3774" s="124"/>
      <c r="Q3774" s="124"/>
      <c r="R3774" s="124"/>
      <c r="S3774" s="124"/>
      <c r="T3774" s="124"/>
      <c r="U3774" s="124"/>
      <c r="V3774" s="124"/>
      <c r="W3774" s="124"/>
      <c r="X3774" s="124"/>
      <c r="Y3774" s="124"/>
      <c r="Z3774" s="124"/>
    </row>
    <row r="3775">
      <c r="A3775" s="124"/>
      <c r="B3775" s="124"/>
      <c r="C3775" s="147"/>
      <c r="D3775" s="124"/>
      <c r="E3775" s="124"/>
      <c r="F3775" s="124"/>
      <c r="G3775" s="124"/>
      <c r="H3775" s="124"/>
      <c r="I3775" s="124"/>
      <c r="J3775" s="124"/>
      <c r="K3775" s="124"/>
      <c r="L3775" s="124"/>
      <c r="M3775" s="124"/>
      <c r="N3775" s="124"/>
      <c r="O3775" s="124"/>
      <c r="P3775" s="124"/>
      <c r="Q3775" s="124"/>
      <c r="R3775" s="124"/>
      <c r="S3775" s="124"/>
      <c r="T3775" s="124"/>
      <c r="U3775" s="124"/>
      <c r="V3775" s="124"/>
      <c r="W3775" s="124"/>
      <c r="X3775" s="124"/>
      <c r="Y3775" s="124"/>
      <c r="Z3775" s="124"/>
    </row>
    <row r="3776">
      <c r="A3776" s="124"/>
      <c r="B3776" s="124"/>
      <c r="C3776" s="147"/>
      <c r="D3776" s="124"/>
      <c r="E3776" s="124"/>
      <c r="F3776" s="124"/>
      <c r="G3776" s="124"/>
      <c r="H3776" s="124"/>
      <c r="I3776" s="124"/>
      <c r="J3776" s="124"/>
      <c r="K3776" s="124"/>
      <c r="L3776" s="124"/>
      <c r="M3776" s="124"/>
      <c r="N3776" s="124"/>
      <c r="O3776" s="124"/>
      <c r="P3776" s="124"/>
      <c r="Q3776" s="124"/>
      <c r="R3776" s="124"/>
      <c r="S3776" s="124"/>
      <c r="T3776" s="124"/>
      <c r="U3776" s="124"/>
      <c r="V3776" s="124"/>
      <c r="W3776" s="124"/>
      <c r="X3776" s="124"/>
      <c r="Y3776" s="124"/>
      <c r="Z3776" s="124"/>
    </row>
    <row r="3777">
      <c r="A3777" s="124"/>
      <c r="B3777" s="124"/>
      <c r="C3777" s="147"/>
      <c r="D3777" s="124"/>
      <c r="E3777" s="124"/>
      <c r="F3777" s="124"/>
      <c r="G3777" s="124"/>
      <c r="H3777" s="124"/>
      <c r="I3777" s="124"/>
      <c r="J3777" s="124"/>
      <c r="K3777" s="124"/>
      <c r="L3777" s="124"/>
      <c r="M3777" s="124"/>
      <c r="N3777" s="124"/>
      <c r="O3777" s="124"/>
      <c r="P3777" s="124"/>
      <c r="Q3777" s="124"/>
      <c r="R3777" s="124"/>
      <c r="S3777" s="124"/>
      <c r="T3777" s="124"/>
      <c r="U3777" s="124"/>
      <c r="V3777" s="124"/>
      <c r="W3777" s="124"/>
      <c r="X3777" s="124"/>
      <c r="Y3777" s="124"/>
      <c r="Z3777" s="124"/>
    </row>
    <row r="3778">
      <c r="A3778" s="124"/>
      <c r="B3778" s="124"/>
      <c r="C3778" s="147"/>
      <c r="D3778" s="124"/>
      <c r="E3778" s="124"/>
      <c r="F3778" s="124"/>
      <c r="G3778" s="124"/>
      <c r="H3778" s="124"/>
      <c r="I3778" s="124"/>
      <c r="J3778" s="124"/>
      <c r="K3778" s="124"/>
      <c r="L3778" s="124"/>
      <c r="M3778" s="124"/>
      <c r="N3778" s="124"/>
      <c r="O3778" s="124"/>
      <c r="P3778" s="124"/>
      <c r="Q3778" s="124"/>
      <c r="R3778" s="124"/>
      <c r="S3778" s="124"/>
      <c r="T3778" s="124"/>
      <c r="U3778" s="124"/>
      <c r="V3778" s="124"/>
      <c r="W3778" s="124"/>
      <c r="X3778" s="124"/>
      <c r="Y3778" s="124"/>
      <c r="Z3778" s="124"/>
    </row>
    <row r="3779">
      <c r="A3779" s="124"/>
      <c r="B3779" s="124"/>
      <c r="C3779" s="147"/>
      <c r="D3779" s="124"/>
      <c r="E3779" s="124"/>
      <c r="F3779" s="124"/>
      <c r="G3779" s="124"/>
      <c r="H3779" s="124"/>
      <c r="I3779" s="124"/>
      <c r="J3779" s="124"/>
      <c r="K3779" s="124"/>
      <c r="L3779" s="124"/>
      <c r="M3779" s="124"/>
      <c r="N3779" s="124"/>
      <c r="O3779" s="124"/>
      <c r="P3779" s="124"/>
      <c r="Q3779" s="124"/>
      <c r="R3779" s="124"/>
      <c r="S3779" s="124"/>
      <c r="T3779" s="124"/>
      <c r="U3779" s="124"/>
      <c r="V3779" s="124"/>
      <c r="W3779" s="124"/>
      <c r="X3779" s="124"/>
      <c r="Y3779" s="124"/>
      <c r="Z3779" s="124"/>
    </row>
    <row r="3780">
      <c r="A3780" s="124"/>
      <c r="B3780" s="124"/>
      <c r="C3780" s="147"/>
      <c r="D3780" s="124"/>
      <c r="E3780" s="124"/>
      <c r="F3780" s="124"/>
      <c r="G3780" s="124"/>
      <c r="H3780" s="124"/>
      <c r="I3780" s="124"/>
      <c r="J3780" s="124"/>
      <c r="K3780" s="124"/>
      <c r="L3780" s="124"/>
      <c r="M3780" s="124"/>
      <c r="N3780" s="124"/>
      <c r="O3780" s="124"/>
      <c r="P3780" s="124"/>
      <c r="Q3780" s="124"/>
      <c r="R3780" s="124"/>
      <c r="S3780" s="124"/>
      <c r="T3780" s="124"/>
      <c r="U3780" s="124"/>
      <c r="V3780" s="124"/>
      <c r="W3780" s="124"/>
      <c r="X3780" s="124"/>
      <c r="Y3780" s="124"/>
      <c r="Z3780" s="124"/>
    </row>
    <row r="3781">
      <c r="A3781" s="124"/>
      <c r="B3781" s="124"/>
      <c r="C3781" s="147"/>
      <c r="D3781" s="124"/>
      <c r="E3781" s="124"/>
      <c r="F3781" s="124"/>
      <c r="G3781" s="124"/>
      <c r="H3781" s="124"/>
      <c r="I3781" s="124"/>
      <c r="J3781" s="124"/>
      <c r="K3781" s="124"/>
      <c r="L3781" s="124"/>
      <c r="M3781" s="124"/>
      <c r="N3781" s="124"/>
      <c r="O3781" s="124"/>
      <c r="P3781" s="124"/>
      <c r="Q3781" s="124"/>
      <c r="R3781" s="124"/>
      <c r="S3781" s="124"/>
      <c r="T3781" s="124"/>
      <c r="U3781" s="124"/>
      <c r="V3781" s="124"/>
      <c r="W3781" s="124"/>
      <c r="X3781" s="124"/>
      <c r="Y3781" s="124"/>
      <c r="Z3781" s="124"/>
    </row>
    <row r="3782">
      <c r="A3782" s="124"/>
      <c r="B3782" s="124"/>
      <c r="C3782" s="147"/>
      <c r="D3782" s="124"/>
      <c r="E3782" s="124"/>
      <c r="F3782" s="124"/>
      <c r="G3782" s="124"/>
      <c r="H3782" s="124"/>
      <c r="I3782" s="124"/>
      <c r="J3782" s="124"/>
      <c r="K3782" s="124"/>
      <c r="L3782" s="124"/>
      <c r="M3782" s="124"/>
      <c r="N3782" s="124"/>
      <c r="O3782" s="124"/>
      <c r="P3782" s="124"/>
      <c r="Q3782" s="124"/>
      <c r="R3782" s="124"/>
      <c r="S3782" s="124"/>
      <c r="T3782" s="124"/>
      <c r="U3782" s="124"/>
      <c r="V3782" s="124"/>
      <c r="W3782" s="124"/>
      <c r="X3782" s="124"/>
      <c r="Y3782" s="124"/>
      <c r="Z3782" s="124"/>
    </row>
    <row r="3783">
      <c r="A3783" s="124"/>
      <c r="B3783" s="124"/>
      <c r="C3783" s="147"/>
      <c r="D3783" s="124"/>
      <c r="E3783" s="124"/>
      <c r="F3783" s="124"/>
      <c r="G3783" s="124"/>
      <c r="H3783" s="124"/>
      <c r="I3783" s="124"/>
      <c r="J3783" s="124"/>
      <c r="K3783" s="124"/>
      <c r="L3783" s="124"/>
      <c r="M3783" s="124"/>
      <c r="N3783" s="124"/>
      <c r="O3783" s="124"/>
      <c r="P3783" s="124"/>
      <c r="Q3783" s="124"/>
      <c r="R3783" s="124"/>
      <c r="S3783" s="124"/>
      <c r="T3783" s="124"/>
      <c r="U3783" s="124"/>
      <c r="V3783" s="124"/>
      <c r="W3783" s="124"/>
      <c r="X3783" s="124"/>
      <c r="Y3783" s="124"/>
      <c r="Z3783" s="124"/>
    </row>
    <row r="3784">
      <c r="A3784" s="124"/>
      <c r="B3784" s="124"/>
      <c r="C3784" s="147"/>
      <c r="D3784" s="124"/>
      <c r="E3784" s="124"/>
      <c r="F3784" s="124"/>
      <c r="G3784" s="124"/>
      <c r="H3784" s="124"/>
      <c r="I3784" s="124"/>
      <c r="J3784" s="124"/>
      <c r="K3784" s="124"/>
      <c r="L3784" s="124"/>
      <c r="M3784" s="124"/>
      <c r="N3784" s="124"/>
      <c r="O3784" s="124"/>
      <c r="P3784" s="124"/>
      <c r="Q3784" s="124"/>
      <c r="R3784" s="124"/>
      <c r="S3784" s="124"/>
      <c r="T3784" s="124"/>
      <c r="U3784" s="124"/>
      <c r="V3784" s="124"/>
      <c r="W3784" s="124"/>
      <c r="X3784" s="124"/>
      <c r="Y3784" s="124"/>
      <c r="Z3784" s="124"/>
    </row>
    <row r="3785">
      <c r="A3785" s="124"/>
      <c r="B3785" s="124"/>
      <c r="C3785" s="147"/>
      <c r="D3785" s="124"/>
      <c r="E3785" s="124"/>
      <c r="F3785" s="124"/>
      <c r="G3785" s="124"/>
      <c r="H3785" s="124"/>
      <c r="I3785" s="124"/>
      <c r="J3785" s="124"/>
      <c r="K3785" s="124"/>
      <c r="L3785" s="124"/>
      <c r="M3785" s="124"/>
      <c r="N3785" s="124"/>
      <c r="O3785" s="124"/>
      <c r="P3785" s="124"/>
      <c r="Q3785" s="124"/>
      <c r="R3785" s="124"/>
      <c r="S3785" s="124"/>
      <c r="T3785" s="124"/>
      <c r="U3785" s="124"/>
      <c r="V3785" s="124"/>
      <c r="W3785" s="124"/>
      <c r="X3785" s="124"/>
      <c r="Y3785" s="124"/>
      <c r="Z3785" s="124"/>
    </row>
    <row r="3786">
      <c r="A3786" s="124"/>
      <c r="B3786" s="124"/>
      <c r="C3786" s="147"/>
      <c r="D3786" s="124"/>
      <c r="E3786" s="124"/>
      <c r="F3786" s="124"/>
      <c r="G3786" s="124"/>
      <c r="H3786" s="124"/>
      <c r="I3786" s="124"/>
      <c r="J3786" s="124"/>
      <c r="K3786" s="124"/>
      <c r="L3786" s="124"/>
      <c r="M3786" s="124"/>
      <c r="N3786" s="124"/>
      <c r="O3786" s="124"/>
      <c r="P3786" s="124"/>
      <c r="Q3786" s="124"/>
      <c r="R3786" s="124"/>
      <c r="S3786" s="124"/>
      <c r="T3786" s="124"/>
      <c r="U3786" s="124"/>
      <c r="V3786" s="124"/>
      <c r="W3786" s="124"/>
      <c r="X3786" s="124"/>
      <c r="Y3786" s="124"/>
      <c r="Z3786" s="124"/>
    </row>
    <row r="3787">
      <c r="A3787" s="124"/>
      <c r="B3787" s="124"/>
      <c r="C3787" s="147"/>
      <c r="D3787" s="124"/>
      <c r="E3787" s="124"/>
      <c r="F3787" s="124"/>
      <c r="G3787" s="124"/>
      <c r="H3787" s="124"/>
      <c r="I3787" s="124"/>
      <c r="J3787" s="124"/>
      <c r="K3787" s="124"/>
      <c r="L3787" s="124"/>
      <c r="M3787" s="124"/>
      <c r="N3787" s="124"/>
      <c r="O3787" s="124"/>
      <c r="P3787" s="124"/>
      <c r="Q3787" s="124"/>
      <c r="R3787" s="124"/>
      <c r="S3787" s="124"/>
      <c r="T3787" s="124"/>
      <c r="U3787" s="124"/>
      <c r="V3787" s="124"/>
      <c r="W3787" s="124"/>
      <c r="X3787" s="124"/>
      <c r="Y3787" s="124"/>
      <c r="Z3787" s="124"/>
    </row>
    <row r="3788">
      <c r="A3788" s="124"/>
      <c r="B3788" s="124"/>
      <c r="C3788" s="147"/>
      <c r="D3788" s="124"/>
      <c r="E3788" s="124"/>
      <c r="F3788" s="124"/>
      <c r="G3788" s="124"/>
      <c r="H3788" s="124"/>
      <c r="I3788" s="124"/>
      <c r="J3788" s="124"/>
      <c r="K3788" s="124"/>
      <c r="L3788" s="124"/>
      <c r="M3788" s="124"/>
      <c r="N3788" s="124"/>
      <c r="O3788" s="124"/>
      <c r="P3788" s="124"/>
      <c r="Q3788" s="124"/>
      <c r="R3788" s="124"/>
      <c r="S3788" s="124"/>
      <c r="T3788" s="124"/>
      <c r="U3788" s="124"/>
      <c r="V3788" s="124"/>
      <c r="W3788" s="124"/>
      <c r="X3788" s="124"/>
      <c r="Y3788" s="124"/>
      <c r="Z3788" s="124"/>
    </row>
    <row r="3789">
      <c r="A3789" s="124"/>
      <c r="B3789" s="124"/>
      <c r="C3789" s="147"/>
      <c r="D3789" s="124"/>
      <c r="E3789" s="124"/>
      <c r="F3789" s="124"/>
      <c r="G3789" s="124"/>
      <c r="H3789" s="124"/>
      <c r="I3789" s="124"/>
      <c r="J3789" s="124"/>
      <c r="K3789" s="124"/>
      <c r="L3789" s="124"/>
      <c r="M3789" s="124"/>
      <c r="N3789" s="124"/>
      <c r="O3789" s="124"/>
      <c r="P3789" s="124"/>
      <c r="Q3789" s="124"/>
      <c r="R3789" s="124"/>
      <c r="S3789" s="124"/>
      <c r="T3789" s="124"/>
      <c r="U3789" s="124"/>
      <c r="V3789" s="124"/>
      <c r="W3789" s="124"/>
      <c r="X3789" s="124"/>
      <c r="Y3789" s="124"/>
      <c r="Z3789" s="124"/>
    </row>
    <row r="3790">
      <c r="A3790" s="124"/>
      <c r="B3790" s="124"/>
      <c r="C3790" s="147"/>
      <c r="D3790" s="124"/>
      <c r="E3790" s="124"/>
      <c r="F3790" s="124"/>
      <c r="G3790" s="124"/>
      <c r="H3790" s="124"/>
      <c r="I3790" s="124"/>
      <c r="J3790" s="124"/>
      <c r="K3790" s="124"/>
      <c r="L3790" s="124"/>
      <c r="M3790" s="124"/>
      <c r="N3790" s="124"/>
      <c r="O3790" s="124"/>
      <c r="P3790" s="124"/>
      <c r="Q3790" s="124"/>
      <c r="R3790" s="124"/>
      <c r="S3790" s="124"/>
      <c r="T3790" s="124"/>
      <c r="U3790" s="124"/>
      <c r="V3790" s="124"/>
      <c r="W3790" s="124"/>
      <c r="X3790" s="124"/>
      <c r="Y3790" s="124"/>
      <c r="Z3790" s="124"/>
    </row>
    <row r="3791">
      <c r="A3791" s="124"/>
      <c r="B3791" s="124"/>
      <c r="C3791" s="147"/>
      <c r="D3791" s="124"/>
      <c r="E3791" s="124"/>
      <c r="F3791" s="124"/>
      <c r="G3791" s="124"/>
      <c r="H3791" s="124"/>
      <c r="I3791" s="124"/>
      <c r="J3791" s="124"/>
      <c r="K3791" s="124"/>
      <c r="L3791" s="124"/>
      <c r="M3791" s="124"/>
      <c r="N3791" s="124"/>
      <c r="O3791" s="124"/>
      <c r="P3791" s="124"/>
      <c r="Q3791" s="124"/>
      <c r="R3791" s="124"/>
      <c r="S3791" s="124"/>
      <c r="T3791" s="124"/>
      <c r="U3791" s="124"/>
      <c r="V3791" s="124"/>
      <c r="W3791" s="124"/>
      <c r="X3791" s="124"/>
      <c r="Y3791" s="124"/>
      <c r="Z3791" s="124"/>
    </row>
    <row r="3792">
      <c r="A3792" s="124"/>
      <c r="B3792" s="124"/>
      <c r="C3792" s="147"/>
      <c r="D3792" s="124"/>
      <c r="E3792" s="124"/>
      <c r="F3792" s="124"/>
      <c r="G3792" s="124"/>
      <c r="H3792" s="124"/>
      <c r="I3792" s="124"/>
      <c r="J3792" s="124"/>
      <c r="K3792" s="124"/>
      <c r="L3792" s="124"/>
      <c r="M3792" s="124"/>
      <c r="N3792" s="124"/>
      <c r="O3792" s="124"/>
      <c r="P3792" s="124"/>
      <c r="Q3792" s="124"/>
      <c r="R3792" s="124"/>
      <c r="S3792" s="124"/>
      <c r="T3792" s="124"/>
      <c r="U3792" s="124"/>
      <c r="V3792" s="124"/>
      <c r="W3792" s="124"/>
      <c r="X3792" s="124"/>
      <c r="Y3792" s="124"/>
      <c r="Z3792" s="124"/>
    </row>
    <row r="3793">
      <c r="A3793" s="124"/>
      <c r="B3793" s="124"/>
      <c r="C3793" s="147"/>
      <c r="D3793" s="124"/>
      <c r="E3793" s="124"/>
      <c r="F3793" s="124"/>
      <c r="G3793" s="124"/>
      <c r="H3793" s="124"/>
      <c r="I3793" s="124"/>
      <c r="J3793" s="124"/>
      <c r="K3793" s="124"/>
      <c r="L3793" s="124"/>
      <c r="M3793" s="124"/>
      <c r="N3793" s="124"/>
      <c r="O3793" s="124"/>
      <c r="P3793" s="124"/>
      <c r="Q3793" s="124"/>
      <c r="R3793" s="124"/>
      <c r="S3793" s="124"/>
      <c r="T3793" s="124"/>
      <c r="U3793" s="124"/>
      <c r="V3793" s="124"/>
      <c r="W3793" s="124"/>
      <c r="X3793" s="124"/>
      <c r="Y3793" s="124"/>
      <c r="Z3793" s="124"/>
    </row>
    <row r="3794">
      <c r="A3794" s="124"/>
      <c r="B3794" s="124"/>
      <c r="C3794" s="147"/>
      <c r="D3794" s="124"/>
      <c r="E3794" s="124"/>
      <c r="F3794" s="124"/>
      <c r="G3794" s="124"/>
      <c r="H3794" s="124"/>
      <c r="I3794" s="124"/>
      <c r="J3794" s="124"/>
      <c r="K3794" s="124"/>
      <c r="L3794" s="124"/>
      <c r="M3794" s="124"/>
      <c r="N3794" s="124"/>
      <c r="O3794" s="124"/>
      <c r="P3794" s="124"/>
      <c r="Q3794" s="124"/>
      <c r="R3794" s="124"/>
      <c r="S3794" s="124"/>
      <c r="T3794" s="124"/>
      <c r="U3794" s="124"/>
      <c r="V3794" s="124"/>
      <c r="W3794" s="124"/>
      <c r="X3794" s="124"/>
      <c r="Y3794" s="124"/>
      <c r="Z3794" s="124"/>
    </row>
    <row r="3795">
      <c r="A3795" s="124"/>
      <c r="B3795" s="124"/>
      <c r="C3795" s="147"/>
      <c r="D3795" s="124"/>
      <c r="E3795" s="124"/>
      <c r="F3795" s="124"/>
      <c r="G3795" s="124"/>
      <c r="H3795" s="124"/>
      <c r="I3795" s="124"/>
      <c r="J3795" s="124"/>
      <c r="K3795" s="124"/>
      <c r="L3795" s="124"/>
      <c r="M3795" s="124"/>
      <c r="N3795" s="124"/>
      <c r="O3795" s="124"/>
      <c r="P3795" s="124"/>
      <c r="Q3795" s="124"/>
      <c r="R3795" s="124"/>
      <c r="S3795" s="124"/>
      <c r="T3795" s="124"/>
      <c r="U3795" s="124"/>
      <c r="V3795" s="124"/>
      <c r="W3795" s="124"/>
      <c r="X3795" s="124"/>
      <c r="Y3795" s="124"/>
      <c r="Z3795" s="124"/>
    </row>
    <row r="3796">
      <c r="A3796" s="124"/>
      <c r="B3796" s="124"/>
      <c r="C3796" s="147"/>
      <c r="D3796" s="124"/>
      <c r="E3796" s="124"/>
      <c r="F3796" s="124"/>
      <c r="G3796" s="124"/>
      <c r="H3796" s="124"/>
      <c r="I3796" s="124"/>
      <c r="J3796" s="124"/>
      <c r="K3796" s="124"/>
      <c r="L3796" s="124"/>
      <c r="M3796" s="124"/>
      <c r="N3796" s="124"/>
      <c r="O3796" s="124"/>
      <c r="P3796" s="124"/>
      <c r="Q3796" s="124"/>
      <c r="R3796" s="124"/>
      <c r="S3796" s="124"/>
      <c r="T3796" s="124"/>
      <c r="U3796" s="124"/>
      <c r="V3796" s="124"/>
      <c r="W3796" s="124"/>
      <c r="X3796" s="124"/>
      <c r="Y3796" s="124"/>
      <c r="Z3796" s="124"/>
    </row>
    <row r="3797">
      <c r="A3797" s="124"/>
      <c r="B3797" s="124"/>
      <c r="C3797" s="147"/>
      <c r="D3797" s="124"/>
      <c r="E3797" s="124"/>
      <c r="F3797" s="124"/>
      <c r="G3797" s="124"/>
      <c r="H3797" s="124"/>
      <c r="I3797" s="124"/>
      <c r="J3797" s="124"/>
      <c r="K3797" s="124"/>
      <c r="L3797" s="124"/>
      <c r="M3797" s="124"/>
      <c r="N3797" s="124"/>
      <c r="O3797" s="124"/>
      <c r="P3797" s="124"/>
      <c r="Q3797" s="124"/>
      <c r="R3797" s="124"/>
      <c r="S3797" s="124"/>
      <c r="T3797" s="124"/>
      <c r="U3797" s="124"/>
      <c r="V3797" s="124"/>
      <c r="W3797" s="124"/>
      <c r="X3797" s="124"/>
      <c r="Y3797" s="124"/>
      <c r="Z3797" s="124"/>
    </row>
    <row r="3798">
      <c r="A3798" s="124"/>
      <c r="B3798" s="124"/>
      <c r="C3798" s="147"/>
      <c r="D3798" s="124"/>
      <c r="E3798" s="124"/>
      <c r="F3798" s="124"/>
      <c r="G3798" s="124"/>
      <c r="H3798" s="124"/>
      <c r="I3798" s="124"/>
      <c r="J3798" s="124"/>
      <c r="K3798" s="124"/>
      <c r="L3798" s="124"/>
      <c r="M3798" s="124"/>
      <c r="N3798" s="124"/>
      <c r="O3798" s="124"/>
      <c r="P3798" s="124"/>
      <c r="Q3798" s="124"/>
      <c r="R3798" s="124"/>
      <c r="S3798" s="124"/>
      <c r="T3798" s="124"/>
      <c r="U3798" s="124"/>
      <c r="V3798" s="124"/>
      <c r="W3798" s="124"/>
      <c r="X3798" s="124"/>
      <c r="Y3798" s="124"/>
      <c r="Z3798" s="124"/>
    </row>
    <row r="3799">
      <c r="A3799" s="124"/>
      <c r="B3799" s="124"/>
      <c r="C3799" s="147"/>
      <c r="D3799" s="124"/>
      <c r="E3799" s="124"/>
      <c r="F3799" s="124"/>
      <c r="G3799" s="124"/>
      <c r="H3799" s="124"/>
      <c r="I3799" s="124"/>
      <c r="J3799" s="124"/>
      <c r="K3799" s="124"/>
      <c r="L3799" s="124"/>
      <c r="M3799" s="124"/>
      <c r="N3799" s="124"/>
      <c r="O3799" s="124"/>
      <c r="P3799" s="124"/>
      <c r="Q3799" s="124"/>
      <c r="R3799" s="124"/>
      <c r="S3799" s="124"/>
      <c r="T3799" s="124"/>
      <c r="U3799" s="124"/>
      <c r="V3799" s="124"/>
      <c r="W3799" s="124"/>
      <c r="X3799" s="124"/>
      <c r="Y3799" s="124"/>
      <c r="Z3799" s="124"/>
    </row>
    <row r="3800">
      <c r="A3800" s="124"/>
      <c r="B3800" s="124"/>
      <c r="C3800" s="147"/>
      <c r="D3800" s="124"/>
      <c r="E3800" s="124"/>
      <c r="F3800" s="124"/>
      <c r="G3800" s="124"/>
      <c r="H3800" s="124"/>
      <c r="I3800" s="124"/>
      <c r="J3800" s="124"/>
      <c r="K3800" s="124"/>
      <c r="L3800" s="124"/>
      <c r="M3800" s="124"/>
      <c r="N3800" s="124"/>
      <c r="O3800" s="124"/>
      <c r="P3800" s="124"/>
      <c r="Q3800" s="124"/>
      <c r="R3800" s="124"/>
      <c r="S3800" s="124"/>
      <c r="T3800" s="124"/>
      <c r="U3800" s="124"/>
      <c r="V3800" s="124"/>
      <c r="W3800" s="124"/>
      <c r="X3800" s="124"/>
      <c r="Y3800" s="124"/>
      <c r="Z3800" s="124"/>
    </row>
    <row r="3801">
      <c r="A3801" s="124"/>
      <c r="B3801" s="124"/>
      <c r="C3801" s="147"/>
      <c r="D3801" s="124"/>
      <c r="E3801" s="124"/>
      <c r="F3801" s="124"/>
      <c r="G3801" s="124"/>
      <c r="H3801" s="124"/>
      <c r="I3801" s="124"/>
      <c r="J3801" s="124"/>
      <c r="K3801" s="124"/>
      <c r="L3801" s="124"/>
      <c r="M3801" s="124"/>
      <c r="N3801" s="124"/>
      <c r="O3801" s="124"/>
      <c r="P3801" s="124"/>
      <c r="Q3801" s="124"/>
      <c r="R3801" s="124"/>
      <c r="S3801" s="124"/>
      <c r="T3801" s="124"/>
      <c r="U3801" s="124"/>
      <c r="V3801" s="124"/>
      <c r="W3801" s="124"/>
      <c r="X3801" s="124"/>
      <c r="Y3801" s="124"/>
      <c r="Z3801" s="124"/>
    </row>
    <row r="3802">
      <c r="A3802" s="124"/>
      <c r="B3802" s="124"/>
      <c r="C3802" s="147"/>
      <c r="D3802" s="124"/>
      <c r="E3802" s="124"/>
      <c r="F3802" s="124"/>
      <c r="G3802" s="124"/>
      <c r="H3802" s="124"/>
      <c r="I3802" s="124"/>
      <c r="J3802" s="124"/>
      <c r="K3802" s="124"/>
      <c r="L3802" s="124"/>
      <c r="M3802" s="124"/>
      <c r="N3802" s="124"/>
      <c r="O3802" s="124"/>
      <c r="P3802" s="124"/>
      <c r="Q3802" s="124"/>
      <c r="R3802" s="124"/>
      <c r="S3802" s="124"/>
      <c r="T3802" s="124"/>
      <c r="U3802" s="124"/>
      <c r="V3802" s="124"/>
      <c r="W3802" s="124"/>
      <c r="X3802" s="124"/>
      <c r="Y3802" s="124"/>
      <c r="Z3802" s="124"/>
    </row>
    <row r="3803">
      <c r="A3803" s="124"/>
      <c r="B3803" s="124"/>
      <c r="C3803" s="147"/>
      <c r="D3803" s="124"/>
      <c r="E3803" s="124"/>
      <c r="F3803" s="124"/>
      <c r="G3803" s="124"/>
      <c r="H3803" s="124"/>
      <c r="I3803" s="124"/>
      <c r="J3803" s="124"/>
      <c r="K3803" s="124"/>
      <c r="L3803" s="124"/>
      <c r="M3803" s="124"/>
      <c r="N3803" s="124"/>
      <c r="O3803" s="124"/>
      <c r="P3803" s="124"/>
      <c r="Q3803" s="124"/>
      <c r="R3803" s="124"/>
      <c r="S3803" s="124"/>
      <c r="T3803" s="124"/>
      <c r="U3803" s="124"/>
      <c r="V3803" s="124"/>
      <c r="W3803" s="124"/>
      <c r="X3803" s="124"/>
      <c r="Y3803" s="124"/>
      <c r="Z3803" s="124"/>
    </row>
    <row r="3804">
      <c r="A3804" s="124"/>
      <c r="B3804" s="124"/>
      <c r="C3804" s="147"/>
      <c r="D3804" s="124"/>
      <c r="E3804" s="124"/>
      <c r="F3804" s="124"/>
      <c r="G3804" s="124"/>
      <c r="H3804" s="124"/>
      <c r="I3804" s="124"/>
      <c r="J3804" s="124"/>
      <c r="K3804" s="124"/>
      <c r="L3804" s="124"/>
      <c r="M3804" s="124"/>
      <c r="N3804" s="124"/>
      <c r="O3804" s="124"/>
      <c r="P3804" s="124"/>
      <c r="Q3804" s="124"/>
      <c r="R3804" s="124"/>
      <c r="S3804" s="124"/>
      <c r="T3804" s="124"/>
      <c r="U3804" s="124"/>
      <c r="V3804" s="124"/>
      <c r="W3804" s="124"/>
      <c r="X3804" s="124"/>
      <c r="Y3804" s="124"/>
      <c r="Z3804" s="124"/>
    </row>
    <row r="3805">
      <c r="A3805" s="124"/>
      <c r="B3805" s="124"/>
      <c r="C3805" s="147"/>
      <c r="D3805" s="124"/>
      <c r="E3805" s="124"/>
      <c r="F3805" s="124"/>
      <c r="G3805" s="124"/>
      <c r="H3805" s="124"/>
      <c r="I3805" s="124"/>
      <c r="J3805" s="124"/>
      <c r="K3805" s="124"/>
      <c r="L3805" s="124"/>
      <c r="M3805" s="124"/>
      <c r="N3805" s="124"/>
      <c r="O3805" s="124"/>
      <c r="P3805" s="124"/>
      <c r="Q3805" s="124"/>
      <c r="R3805" s="124"/>
      <c r="S3805" s="124"/>
      <c r="T3805" s="124"/>
      <c r="U3805" s="124"/>
      <c r="V3805" s="124"/>
      <c r="W3805" s="124"/>
      <c r="X3805" s="124"/>
      <c r="Y3805" s="124"/>
      <c r="Z3805" s="124"/>
    </row>
    <row r="3806">
      <c r="A3806" s="124"/>
      <c r="B3806" s="124"/>
      <c r="C3806" s="147"/>
      <c r="D3806" s="124"/>
      <c r="E3806" s="124"/>
      <c r="F3806" s="124"/>
      <c r="G3806" s="124"/>
      <c r="H3806" s="124"/>
      <c r="I3806" s="124"/>
      <c r="J3806" s="124"/>
      <c r="K3806" s="124"/>
      <c r="L3806" s="124"/>
      <c r="M3806" s="124"/>
      <c r="N3806" s="124"/>
      <c r="O3806" s="124"/>
      <c r="P3806" s="124"/>
      <c r="Q3806" s="124"/>
      <c r="R3806" s="124"/>
      <c r="S3806" s="124"/>
      <c r="T3806" s="124"/>
      <c r="U3806" s="124"/>
      <c r="V3806" s="124"/>
      <c r="W3806" s="124"/>
      <c r="X3806" s="124"/>
      <c r="Y3806" s="124"/>
      <c r="Z3806" s="124"/>
    </row>
    <row r="3807">
      <c r="A3807" s="124"/>
      <c r="B3807" s="124"/>
      <c r="C3807" s="147"/>
      <c r="D3807" s="124"/>
      <c r="E3807" s="124"/>
      <c r="F3807" s="124"/>
      <c r="G3807" s="124"/>
      <c r="H3807" s="124"/>
      <c r="I3807" s="124"/>
      <c r="J3807" s="124"/>
      <c r="K3807" s="124"/>
      <c r="L3807" s="124"/>
      <c r="M3807" s="124"/>
      <c r="N3807" s="124"/>
      <c r="O3807" s="124"/>
      <c r="P3807" s="124"/>
      <c r="Q3807" s="124"/>
      <c r="R3807" s="124"/>
      <c r="S3807" s="124"/>
      <c r="T3807" s="124"/>
      <c r="U3807" s="124"/>
      <c r="V3807" s="124"/>
      <c r="W3807" s="124"/>
      <c r="X3807" s="124"/>
      <c r="Y3807" s="124"/>
      <c r="Z3807" s="124"/>
    </row>
    <row r="3808">
      <c r="A3808" s="124"/>
      <c r="B3808" s="124"/>
      <c r="C3808" s="147"/>
      <c r="D3808" s="124"/>
      <c r="E3808" s="124"/>
      <c r="F3808" s="124"/>
      <c r="G3808" s="124"/>
      <c r="H3808" s="124"/>
      <c r="I3808" s="124"/>
      <c r="J3808" s="124"/>
      <c r="K3808" s="124"/>
      <c r="L3808" s="124"/>
      <c r="M3808" s="124"/>
      <c r="N3808" s="124"/>
      <c r="O3808" s="124"/>
      <c r="P3808" s="124"/>
      <c r="Q3808" s="124"/>
      <c r="R3808" s="124"/>
      <c r="S3808" s="124"/>
      <c r="T3808" s="124"/>
      <c r="U3808" s="124"/>
      <c r="V3808" s="124"/>
      <c r="W3808" s="124"/>
      <c r="X3808" s="124"/>
      <c r="Y3808" s="124"/>
      <c r="Z3808" s="124"/>
    </row>
    <row r="3809">
      <c r="A3809" s="124"/>
      <c r="B3809" s="124"/>
      <c r="C3809" s="147"/>
      <c r="D3809" s="124"/>
      <c r="E3809" s="124"/>
      <c r="F3809" s="124"/>
      <c r="G3809" s="124"/>
      <c r="H3809" s="124"/>
      <c r="I3809" s="124"/>
      <c r="J3809" s="124"/>
      <c r="K3809" s="124"/>
      <c r="L3809" s="124"/>
      <c r="M3809" s="124"/>
      <c r="N3809" s="124"/>
      <c r="O3809" s="124"/>
      <c r="P3809" s="124"/>
      <c r="Q3809" s="124"/>
      <c r="R3809" s="124"/>
      <c r="S3809" s="124"/>
      <c r="T3809" s="124"/>
      <c r="U3809" s="124"/>
      <c r="V3809" s="124"/>
      <c r="W3809" s="124"/>
      <c r="X3809" s="124"/>
      <c r="Y3809" s="124"/>
      <c r="Z3809" s="124"/>
    </row>
    <row r="3810">
      <c r="A3810" s="124"/>
      <c r="B3810" s="124"/>
      <c r="C3810" s="147"/>
      <c r="D3810" s="124"/>
      <c r="E3810" s="124"/>
      <c r="F3810" s="124"/>
      <c r="G3810" s="124"/>
      <c r="H3810" s="124"/>
      <c r="I3810" s="124"/>
      <c r="J3810" s="124"/>
      <c r="K3810" s="124"/>
      <c r="L3810" s="124"/>
      <c r="M3810" s="124"/>
      <c r="N3810" s="124"/>
      <c r="O3810" s="124"/>
      <c r="P3810" s="124"/>
      <c r="Q3810" s="124"/>
      <c r="R3810" s="124"/>
      <c r="S3810" s="124"/>
      <c r="T3810" s="124"/>
      <c r="U3810" s="124"/>
      <c r="V3810" s="124"/>
      <c r="W3810" s="124"/>
      <c r="X3810" s="124"/>
      <c r="Y3810" s="124"/>
      <c r="Z3810" s="124"/>
    </row>
    <row r="3811">
      <c r="A3811" s="124"/>
      <c r="B3811" s="124"/>
      <c r="C3811" s="147"/>
      <c r="D3811" s="124"/>
      <c r="E3811" s="124"/>
      <c r="F3811" s="124"/>
      <c r="G3811" s="124"/>
      <c r="H3811" s="124"/>
      <c r="I3811" s="124"/>
      <c r="J3811" s="124"/>
      <c r="K3811" s="124"/>
      <c r="L3811" s="124"/>
      <c r="M3811" s="124"/>
      <c r="N3811" s="124"/>
      <c r="O3811" s="124"/>
      <c r="P3811" s="124"/>
      <c r="Q3811" s="124"/>
      <c r="R3811" s="124"/>
      <c r="S3811" s="124"/>
      <c r="T3811" s="124"/>
      <c r="U3811" s="124"/>
      <c r="V3811" s="124"/>
      <c r="W3811" s="124"/>
      <c r="X3811" s="124"/>
      <c r="Y3811" s="124"/>
      <c r="Z3811" s="124"/>
    </row>
    <row r="3812">
      <c r="A3812" s="124"/>
      <c r="B3812" s="124"/>
      <c r="C3812" s="147"/>
      <c r="D3812" s="124"/>
      <c r="E3812" s="124"/>
      <c r="F3812" s="124"/>
      <c r="G3812" s="124"/>
      <c r="H3812" s="124"/>
      <c r="I3812" s="124"/>
      <c r="J3812" s="124"/>
      <c r="K3812" s="124"/>
      <c r="L3812" s="124"/>
      <c r="M3812" s="124"/>
      <c r="N3812" s="124"/>
      <c r="O3812" s="124"/>
      <c r="P3812" s="124"/>
      <c r="Q3812" s="124"/>
      <c r="R3812" s="124"/>
      <c r="S3812" s="124"/>
      <c r="T3812" s="124"/>
      <c r="U3812" s="124"/>
      <c r="V3812" s="124"/>
      <c r="W3812" s="124"/>
      <c r="X3812" s="124"/>
      <c r="Y3812" s="124"/>
      <c r="Z3812" s="124"/>
    </row>
    <row r="3813">
      <c r="A3813" s="124"/>
      <c r="B3813" s="124"/>
      <c r="C3813" s="147"/>
      <c r="D3813" s="124"/>
      <c r="E3813" s="124"/>
      <c r="F3813" s="124"/>
      <c r="G3813" s="124"/>
      <c r="H3813" s="124"/>
      <c r="I3813" s="124"/>
      <c r="J3813" s="124"/>
      <c r="K3813" s="124"/>
      <c r="L3813" s="124"/>
      <c r="M3813" s="124"/>
      <c r="N3813" s="124"/>
      <c r="O3813" s="124"/>
      <c r="P3813" s="124"/>
      <c r="Q3813" s="124"/>
      <c r="R3813" s="124"/>
      <c r="S3813" s="124"/>
      <c r="T3813" s="124"/>
      <c r="U3813" s="124"/>
      <c r="V3813" s="124"/>
      <c r="W3813" s="124"/>
      <c r="X3813" s="124"/>
      <c r="Y3813" s="124"/>
      <c r="Z3813" s="124"/>
    </row>
    <row r="3814">
      <c r="A3814" s="124"/>
      <c r="B3814" s="124"/>
      <c r="C3814" s="147"/>
      <c r="D3814" s="124"/>
      <c r="E3814" s="124"/>
      <c r="F3814" s="124"/>
      <c r="G3814" s="124"/>
      <c r="H3814" s="124"/>
      <c r="I3814" s="124"/>
      <c r="J3814" s="124"/>
      <c r="K3814" s="124"/>
      <c r="L3814" s="124"/>
      <c r="M3814" s="124"/>
      <c r="N3814" s="124"/>
      <c r="O3814" s="124"/>
      <c r="P3814" s="124"/>
      <c r="Q3814" s="124"/>
      <c r="R3814" s="124"/>
      <c r="S3814" s="124"/>
      <c r="T3814" s="124"/>
      <c r="U3814" s="124"/>
      <c r="V3814" s="124"/>
      <c r="W3814" s="124"/>
      <c r="X3814" s="124"/>
      <c r="Y3814" s="124"/>
      <c r="Z3814" s="124"/>
    </row>
    <row r="3815">
      <c r="A3815" s="124"/>
      <c r="B3815" s="124"/>
      <c r="C3815" s="147"/>
      <c r="D3815" s="124"/>
      <c r="E3815" s="124"/>
      <c r="F3815" s="124"/>
      <c r="G3815" s="124"/>
      <c r="H3815" s="124"/>
      <c r="I3815" s="124"/>
      <c r="J3815" s="124"/>
      <c r="K3815" s="124"/>
      <c r="L3815" s="124"/>
      <c r="M3815" s="124"/>
      <c r="N3815" s="124"/>
      <c r="O3815" s="124"/>
      <c r="P3815" s="124"/>
      <c r="Q3815" s="124"/>
      <c r="R3815" s="124"/>
      <c r="S3815" s="124"/>
      <c r="T3815" s="124"/>
      <c r="U3815" s="124"/>
      <c r="V3815" s="124"/>
      <c r="W3815" s="124"/>
      <c r="X3815" s="124"/>
      <c r="Y3815" s="124"/>
      <c r="Z3815" s="124"/>
    </row>
    <row r="3816">
      <c r="A3816" s="124"/>
      <c r="B3816" s="124"/>
      <c r="C3816" s="147"/>
      <c r="D3816" s="124"/>
      <c r="E3816" s="124"/>
      <c r="F3816" s="124"/>
      <c r="G3816" s="124"/>
      <c r="H3816" s="124"/>
      <c r="I3816" s="124"/>
      <c r="J3816" s="124"/>
      <c r="K3816" s="124"/>
      <c r="L3816" s="124"/>
      <c r="M3816" s="124"/>
      <c r="N3816" s="124"/>
      <c r="O3816" s="124"/>
      <c r="P3816" s="124"/>
      <c r="Q3816" s="124"/>
      <c r="R3816" s="124"/>
      <c r="S3816" s="124"/>
      <c r="T3816" s="124"/>
      <c r="U3816" s="124"/>
      <c r="V3816" s="124"/>
      <c r="W3816" s="124"/>
      <c r="X3816" s="124"/>
      <c r="Y3816" s="124"/>
      <c r="Z3816" s="124"/>
    </row>
    <row r="3817">
      <c r="A3817" s="124"/>
      <c r="B3817" s="124"/>
      <c r="C3817" s="147"/>
      <c r="D3817" s="124"/>
      <c r="E3817" s="124"/>
      <c r="F3817" s="124"/>
      <c r="G3817" s="124"/>
      <c r="H3817" s="124"/>
      <c r="I3817" s="124"/>
      <c r="J3817" s="124"/>
      <c r="K3817" s="124"/>
      <c r="L3817" s="124"/>
      <c r="M3817" s="124"/>
      <c r="N3817" s="124"/>
      <c r="O3817" s="124"/>
      <c r="P3817" s="124"/>
      <c r="Q3817" s="124"/>
      <c r="R3817" s="124"/>
      <c r="S3817" s="124"/>
      <c r="T3817" s="124"/>
      <c r="U3817" s="124"/>
      <c r="V3817" s="124"/>
      <c r="W3817" s="124"/>
      <c r="X3817" s="124"/>
      <c r="Y3817" s="124"/>
      <c r="Z3817" s="124"/>
    </row>
    <row r="3818">
      <c r="A3818" s="124"/>
      <c r="B3818" s="124"/>
      <c r="C3818" s="147"/>
      <c r="D3818" s="124"/>
      <c r="E3818" s="124"/>
      <c r="F3818" s="124"/>
      <c r="G3818" s="124"/>
      <c r="H3818" s="124"/>
      <c r="I3818" s="124"/>
      <c r="J3818" s="124"/>
      <c r="K3818" s="124"/>
      <c r="L3818" s="124"/>
      <c r="M3818" s="124"/>
      <c r="N3818" s="124"/>
      <c r="O3818" s="124"/>
      <c r="P3818" s="124"/>
      <c r="Q3818" s="124"/>
      <c r="R3818" s="124"/>
      <c r="S3818" s="124"/>
      <c r="T3818" s="124"/>
      <c r="U3818" s="124"/>
      <c r="V3818" s="124"/>
      <c r="W3818" s="124"/>
      <c r="X3818" s="124"/>
      <c r="Y3818" s="124"/>
      <c r="Z3818" s="124"/>
    </row>
    <row r="3819">
      <c r="A3819" s="124"/>
      <c r="B3819" s="124"/>
      <c r="C3819" s="147"/>
      <c r="D3819" s="124"/>
      <c r="E3819" s="124"/>
      <c r="F3819" s="124"/>
      <c r="G3819" s="124"/>
      <c r="H3819" s="124"/>
      <c r="I3819" s="124"/>
      <c r="J3819" s="124"/>
      <c r="K3819" s="124"/>
      <c r="L3819" s="124"/>
      <c r="M3819" s="124"/>
      <c r="N3819" s="124"/>
      <c r="O3819" s="124"/>
      <c r="P3819" s="124"/>
      <c r="Q3819" s="124"/>
      <c r="R3819" s="124"/>
      <c r="S3819" s="124"/>
      <c r="T3819" s="124"/>
      <c r="U3819" s="124"/>
      <c r="V3819" s="124"/>
      <c r="W3819" s="124"/>
      <c r="X3819" s="124"/>
      <c r="Y3819" s="124"/>
      <c r="Z3819" s="124"/>
    </row>
    <row r="3820">
      <c r="A3820" s="124"/>
      <c r="B3820" s="124"/>
      <c r="C3820" s="147"/>
      <c r="D3820" s="124"/>
      <c r="E3820" s="124"/>
      <c r="F3820" s="124"/>
      <c r="G3820" s="124"/>
      <c r="H3820" s="124"/>
      <c r="I3820" s="124"/>
      <c r="J3820" s="124"/>
      <c r="K3820" s="124"/>
      <c r="L3820" s="124"/>
      <c r="M3820" s="124"/>
      <c r="N3820" s="124"/>
      <c r="O3820" s="124"/>
      <c r="P3820" s="124"/>
      <c r="Q3820" s="124"/>
      <c r="R3820" s="124"/>
      <c r="S3820" s="124"/>
      <c r="T3820" s="124"/>
      <c r="U3820" s="124"/>
      <c r="V3820" s="124"/>
      <c r="W3820" s="124"/>
      <c r="X3820" s="124"/>
      <c r="Y3820" s="124"/>
      <c r="Z3820" s="124"/>
    </row>
    <row r="3821">
      <c r="A3821" s="124"/>
      <c r="B3821" s="124"/>
      <c r="C3821" s="147"/>
      <c r="D3821" s="124"/>
      <c r="E3821" s="124"/>
      <c r="F3821" s="124"/>
      <c r="G3821" s="124"/>
      <c r="H3821" s="124"/>
      <c r="I3821" s="124"/>
      <c r="J3821" s="124"/>
      <c r="K3821" s="124"/>
      <c r="L3821" s="124"/>
      <c r="M3821" s="124"/>
      <c r="N3821" s="124"/>
      <c r="O3821" s="124"/>
      <c r="P3821" s="124"/>
      <c r="Q3821" s="124"/>
      <c r="R3821" s="124"/>
      <c r="S3821" s="124"/>
      <c r="T3821" s="124"/>
      <c r="U3821" s="124"/>
      <c r="V3821" s="124"/>
      <c r="W3821" s="124"/>
      <c r="X3821" s="124"/>
      <c r="Y3821" s="124"/>
      <c r="Z3821" s="124"/>
    </row>
    <row r="3822">
      <c r="A3822" s="124"/>
      <c r="B3822" s="124"/>
      <c r="C3822" s="147"/>
      <c r="D3822" s="124"/>
      <c r="E3822" s="124"/>
      <c r="F3822" s="124"/>
      <c r="G3822" s="124"/>
      <c r="H3822" s="124"/>
      <c r="I3822" s="124"/>
      <c r="J3822" s="124"/>
      <c r="K3822" s="124"/>
      <c r="L3822" s="124"/>
      <c r="M3822" s="124"/>
      <c r="N3822" s="124"/>
      <c r="O3822" s="124"/>
      <c r="P3822" s="124"/>
      <c r="Q3822" s="124"/>
      <c r="R3822" s="124"/>
      <c r="S3822" s="124"/>
      <c r="T3822" s="124"/>
      <c r="U3822" s="124"/>
      <c r="V3822" s="124"/>
      <c r="W3822" s="124"/>
      <c r="X3822" s="124"/>
      <c r="Y3822" s="124"/>
      <c r="Z3822" s="124"/>
    </row>
    <row r="3823">
      <c r="A3823" s="124"/>
      <c r="B3823" s="124"/>
      <c r="C3823" s="147"/>
      <c r="D3823" s="124"/>
      <c r="E3823" s="124"/>
      <c r="F3823" s="124"/>
      <c r="G3823" s="124"/>
      <c r="H3823" s="124"/>
      <c r="I3823" s="124"/>
      <c r="J3823" s="124"/>
      <c r="K3823" s="124"/>
      <c r="L3823" s="124"/>
      <c r="M3823" s="124"/>
      <c r="N3823" s="124"/>
      <c r="O3823" s="124"/>
      <c r="P3823" s="124"/>
      <c r="Q3823" s="124"/>
      <c r="R3823" s="124"/>
      <c r="S3823" s="124"/>
      <c r="T3823" s="124"/>
      <c r="U3823" s="124"/>
      <c r="V3823" s="124"/>
      <c r="W3823" s="124"/>
      <c r="X3823" s="124"/>
      <c r="Y3823" s="124"/>
      <c r="Z3823" s="124"/>
    </row>
    <row r="3824">
      <c r="A3824" s="124"/>
      <c r="B3824" s="124"/>
      <c r="C3824" s="147"/>
      <c r="D3824" s="124"/>
      <c r="E3824" s="124"/>
      <c r="F3824" s="124"/>
      <c r="G3824" s="124"/>
      <c r="H3824" s="124"/>
      <c r="I3824" s="124"/>
      <c r="J3824" s="124"/>
      <c r="K3824" s="124"/>
      <c r="L3824" s="124"/>
      <c r="M3824" s="124"/>
      <c r="N3824" s="124"/>
      <c r="O3824" s="124"/>
      <c r="P3824" s="124"/>
      <c r="Q3824" s="124"/>
      <c r="R3824" s="124"/>
      <c r="S3824" s="124"/>
      <c r="T3824" s="124"/>
      <c r="U3824" s="124"/>
      <c r="V3824" s="124"/>
      <c r="W3824" s="124"/>
      <c r="X3824" s="124"/>
      <c r="Y3824" s="124"/>
      <c r="Z3824" s="124"/>
    </row>
    <row r="3825">
      <c r="A3825" s="124"/>
      <c r="B3825" s="124"/>
      <c r="C3825" s="147"/>
      <c r="D3825" s="124"/>
      <c r="E3825" s="124"/>
      <c r="F3825" s="124"/>
      <c r="G3825" s="124"/>
      <c r="H3825" s="124"/>
      <c r="I3825" s="124"/>
      <c r="J3825" s="124"/>
      <c r="K3825" s="124"/>
      <c r="L3825" s="124"/>
      <c r="M3825" s="124"/>
      <c r="N3825" s="124"/>
      <c r="O3825" s="124"/>
      <c r="P3825" s="124"/>
      <c r="Q3825" s="124"/>
      <c r="R3825" s="124"/>
      <c r="S3825" s="124"/>
      <c r="T3825" s="124"/>
      <c r="U3825" s="124"/>
      <c r="V3825" s="124"/>
      <c r="W3825" s="124"/>
      <c r="X3825" s="124"/>
      <c r="Y3825" s="124"/>
      <c r="Z3825" s="124"/>
    </row>
    <row r="3826">
      <c r="A3826" s="124"/>
      <c r="B3826" s="124"/>
      <c r="C3826" s="147"/>
      <c r="D3826" s="124"/>
      <c r="E3826" s="124"/>
      <c r="F3826" s="124"/>
      <c r="G3826" s="124"/>
      <c r="H3826" s="124"/>
      <c r="I3826" s="124"/>
      <c r="J3826" s="124"/>
      <c r="K3826" s="124"/>
      <c r="L3826" s="124"/>
      <c r="M3826" s="124"/>
      <c r="N3826" s="124"/>
      <c r="O3826" s="124"/>
      <c r="P3826" s="124"/>
      <c r="Q3826" s="124"/>
      <c r="R3826" s="124"/>
      <c r="S3826" s="124"/>
      <c r="T3826" s="124"/>
      <c r="U3826" s="124"/>
      <c r="V3826" s="124"/>
      <c r="W3826" s="124"/>
      <c r="X3826" s="124"/>
      <c r="Y3826" s="124"/>
      <c r="Z3826" s="124"/>
    </row>
    <row r="3827">
      <c r="A3827" s="124"/>
      <c r="B3827" s="124"/>
      <c r="C3827" s="147"/>
      <c r="D3827" s="124"/>
      <c r="E3827" s="124"/>
      <c r="F3827" s="124"/>
      <c r="G3827" s="124"/>
      <c r="H3827" s="124"/>
      <c r="I3827" s="124"/>
      <c r="J3827" s="124"/>
      <c r="K3827" s="124"/>
      <c r="L3827" s="124"/>
      <c r="M3827" s="124"/>
      <c r="N3827" s="124"/>
      <c r="O3827" s="124"/>
      <c r="P3827" s="124"/>
      <c r="Q3827" s="124"/>
      <c r="R3827" s="124"/>
      <c r="S3827" s="124"/>
      <c r="T3827" s="124"/>
      <c r="U3827" s="124"/>
      <c r="V3827" s="124"/>
      <c r="W3827" s="124"/>
      <c r="X3827" s="124"/>
      <c r="Y3827" s="124"/>
      <c r="Z3827" s="124"/>
    </row>
    <row r="3828">
      <c r="A3828" s="124"/>
      <c r="B3828" s="124"/>
      <c r="C3828" s="147"/>
      <c r="D3828" s="124"/>
      <c r="E3828" s="124"/>
      <c r="F3828" s="124"/>
      <c r="G3828" s="124"/>
      <c r="H3828" s="124"/>
      <c r="I3828" s="124"/>
      <c r="J3828" s="124"/>
      <c r="K3828" s="124"/>
      <c r="L3828" s="124"/>
      <c r="M3828" s="124"/>
      <c r="N3828" s="124"/>
      <c r="O3828" s="124"/>
      <c r="P3828" s="124"/>
      <c r="Q3828" s="124"/>
      <c r="R3828" s="124"/>
      <c r="S3828" s="124"/>
      <c r="T3828" s="124"/>
      <c r="U3828" s="124"/>
      <c r="V3828" s="124"/>
      <c r="W3828" s="124"/>
      <c r="X3828" s="124"/>
      <c r="Y3828" s="124"/>
      <c r="Z3828" s="124"/>
    </row>
    <row r="3829">
      <c r="A3829" s="124"/>
      <c r="B3829" s="124"/>
      <c r="C3829" s="147"/>
      <c r="D3829" s="124"/>
      <c r="E3829" s="124"/>
      <c r="F3829" s="124"/>
      <c r="G3829" s="124"/>
      <c r="H3829" s="124"/>
      <c r="I3829" s="124"/>
      <c r="J3829" s="124"/>
      <c r="K3829" s="124"/>
      <c r="L3829" s="124"/>
      <c r="M3829" s="124"/>
      <c r="N3829" s="124"/>
      <c r="O3829" s="124"/>
      <c r="P3829" s="124"/>
      <c r="Q3829" s="124"/>
      <c r="R3829" s="124"/>
      <c r="S3829" s="124"/>
      <c r="T3829" s="124"/>
      <c r="U3829" s="124"/>
      <c r="V3829" s="124"/>
      <c r="W3829" s="124"/>
      <c r="X3829" s="124"/>
      <c r="Y3829" s="124"/>
      <c r="Z3829" s="124"/>
    </row>
    <row r="3830">
      <c r="A3830" s="124"/>
      <c r="B3830" s="124"/>
      <c r="C3830" s="147"/>
      <c r="D3830" s="124"/>
      <c r="E3830" s="124"/>
      <c r="F3830" s="124"/>
      <c r="G3830" s="124"/>
      <c r="H3830" s="124"/>
      <c r="I3830" s="124"/>
      <c r="J3830" s="124"/>
      <c r="K3830" s="124"/>
      <c r="L3830" s="124"/>
      <c r="M3830" s="124"/>
      <c r="N3830" s="124"/>
      <c r="O3830" s="124"/>
      <c r="P3830" s="124"/>
      <c r="Q3830" s="124"/>
      <c r="R3830" s="124"/>
      <c r="S3830" s="124"/>
      <c r="T3830" s="124"/>
      <c r="U3830" s="124"/>
      <c r="V3830" s="124"/>
      <c r="W3830" s="124"/>
      <c r="X3830" s="124"/>
      <c r="Y3830" s="124"/>
      <c r="Z3830" s="124"/>
    </row>
    <row r="3831">
      <c r="A3831" s="124"/>
      <c r="B3831" s="124"/>
      <c r="C3831" s="147"/>
      <c r="D3831" s="124"/>
      <c r="E3831" s="124"/>
      <c r="F3831" s="124"/>
      <c r="G3831" s="124"/>
      <c r="H3831" s="124"/>
      <c r="I3831" s="124"/>
      <c r="J3831" s="124"/>
      <c r="K3831" s="124"/>
      <c r="L3831" s="124"/>
      <c r="M3831" s="124"/>
      <c r="N3831" s="124"/>
      <c r="O3831" s="124"/>
      <c r="P3831" s="124"/>
      <c r="Q3831" s="124"/>
      <c r="R3831" s="124"/>
      <c r="S3831" s="124"/>
      <c r="T3831" s="124"/>
      <c r="U3831" s="124"/>
      <c r="V3831" s="124"/>
      <c r="W3831" s="124"/>
      <c r="X3831" s="124"/>
      <c r="Y3831" s="124"/>
      <c r="Z3831" s="124"/>
    </row>
    <row r="3832">
      <c r="A3832" s="124"/>
      <c r="B3832" s="124"/>
      <c r="C3832" s="147"/>
      <c r="D3832" s="124"/>
      <c r="E3832" s="124"/>
      <c r="F3832" s="124"/>
      <c r="G3832" s="124"/>
      <c r="H3832" s="124"/>
      <c r="I3832" s="124"/>
      <c r="J3832" s="124"/>
      <c r="K3832" s="124"/>
      <c r="L3832" s="124"/>
      <c r="M3832" s="124"/>
      <c r="N3832" s="124"/>
      <c r="O3832" s="124"/>
      <c r="P3832" s="124"/>
      <c r="Q3832" s="124"/>
      <c r="R3832" s="124"/>
      <c r="S3832" s="124"/>
      <c r="T3832" s="124"/>
      <c r="U3832" s="124"/>
      <c r="V3832" s="124"/>
      <c r="W3832" s="124"/>
      <c r="X3832" s="124"/>
      <c r="Y3832" s="124"/>
      <c r="Z3832" s="124"/>
    </row>
    <row r="3833">
      <c r="A3833" s="124"/>
      <c r="B3833" s="124"/>
      <c r="C3833" s="147"/>
      <c r="D3833" s="124"/>
      <c r="E3833" s="124"/>
      <c r="F3833" s="124"/>
      <c r="G3833" s="124"/>
      <c r="H3833" s="124"/>
      <c r="I3833" s="124"/>
      <c r="J3833" s="124"/>
      <c r="K3833" s="124"/>
      <c r="L3833" s="124"/>
      <c r="M3833" s="124"/>
      <c r="N3833" s="124"/>
      <c r="O3833" s="124"/>
      <c r="P3833" s="124"/>
      <c r="Q3833" s="124"/>
      <c r="R3833" s="124"/>
      <c r="S3833" s="124"/>
      <c r="T3833" s="124"/>
      <c r="U3833" s="124"/>
      <c r="V3833" s="124"/>
      <c r="W3833" s="124"/>
      <c r="X3833" s="124"/>
      <c r="Y3833" s="124"/>
      <c r="Z3833" s="124"/>
    </row>
    <row r="3834">
      <c r="A3834" s="124"/>
      <c r="B3834" s="124"/>
      <c r="C3834" s="147"/>
      <c r="D3834" s="124"/>
      <c r="E3834" s="124"/>
      <c r="F3834" s="124"/>
      <c r="G3834" s="124"/>
      <c r="H3834" s="124"/>
      <c r="I3834" s="124"/>
      <c r="J3834" s="124"/>
      <c r="K3834" s="124"/>
      <c r="L3834" s="124"/>
      <c r="M3834" s="124"/>
      <c r="N3834" s="124"/>
      <c r="O3834" s="124"/>
      <c r="P3834" s="124"/>
      <c r="Q3834" s="124"/>
      <c r="R3834" s="124"/>
      <c r="S3834" s="124"/>
      <c r="T3834" s="124"/>
      <c r="U3834" s="124"/>
      <c r="V3834" s="124"/>
      <c r="W3834" s="124"/>
      <c r="X3834" s="124"/>
      <c r="Y3834" s="124"/>
      <c r="Z3834" s="124"/>
    </row>
    <row r="3835">
      <c r="A3835" s="124"/>
      <c r="B3835" s="124"/>
      <c r="C3835" s="147"/>
      <c r="D3835" s="124"/>
      <c r="E3835" s="124"/>
      <c r="F3835" s="124"/>
      <c r="G3835" s="124"/>
      <c r="H3835" s="124"/>
      <c r="I3835" s="124"/>
      <c r="J3835" s="124"/>
      <c r="K3835" s="124"/>
      <c r="L3835" s="124"/>
      <c r="M3835" s="124"/>
      <c r="N3835" s="124"/>
      <c r="O3835" s="124"/>
      <c r="P3835" s="124"/>
      <c r="Q3835" s="124"/>
      <c r="R3835" s="124"/>
      <c r="S3835" s="124"/>
      <c r="T3835" s="124"/>
      <c r="U3835" s="124"/>
      <c r="V3835" s="124"/>
      <c r="W3835" s="124"/>
      <c r="X3835" s="124"/>
      <c r="Y3835" s="124"/>
      <c r="Z3835" s="124"/>
    </row>
    <row r="3836">
      <c r="A3836" s="124"/>
      <c r="B3836" s="124"/>
      <c r="C3836" s="147"/>
      <c r="D3836" s="124"/>
      <c r="E3836" s="124"/>
      <c r="F3836" s="124"/>
      <c r="G3836" s="124"/>
      <c r="H3836" s="124"/>
      <c r="I3836" s="124"/>
      <c r="J3836" s="124"/>
      <c r="K3836" s="124"/>
      <c r="L3836" s="124"/>
      <c r="M3836" s="124"/>
      <c r="N3836" s="124"/>
      <c r="O3836" s="124"/>
      <c r="P3836" s="124"/>
      <c r="Q3836" s="124"/>
      <c r="R3836" s="124"/>
      <c r="S3836" s="124"/>
      <c r="T3836" s="124"/>
      <c r="U3836" s="124"/>
      <c r="V3836" s="124"/>
      <c r="W3836" s="124"/>
      <c r="X3836" s="124"/>
      <c r="Y3836" s="124"/>
      <c r="Z3836" s="124"/>
    </row>
    <row r="3837">
      <c r="A3837" s="124"/>
      <c r="B3837" s="124"/>
      <c r="C3837" s="147"/>
      <c r="D3837" s="124"/>
      <c r="E3837" s="124"/>
      <c r="F3837" s="124"/>
      <c r="G3837" s="124"/>
      <c r="H3837" s="124"/>
      <c r="I3837" s="124"/>
      <c r="J3837" s="124"/>
      <c r="K3837" s="124"/>
      <c r="L3837" s="124"/>
      <c r="M3837" s="124"/>
      <c r="N3837" s="124"/>
      <c r="O3837" s="124"/>
      <c r="P3837" s="124"/>
      <c r="Q3837" s="124"/>
      <c r="R3837" s="124"/>
      <c r="S3837" s="124"/>
      <c r="T3837" s="124"/>
      <c r="U3837" s="124"/>
      <c r="V3837" s="124"/>
      <c r="W3837" s="124"/>
      <c r="X3837" s="124"/>
      <c r="Y3837" s="124"/>
      <c r="Z3837" s="124"/>
    </row>
    <row r="3838">
      <c r="A3838" s="124"/>
      <c r="B3838" s="124"/>
      <c r="C3838" s="147"/>
      <c r="D3838" s="124"/>
      <c r="E3838" s="124"/>
      <c r="F3838" s="124"/>
      <c r="G3838" s="124"/>
      <c r="H3838" s="124"/>
      <c r="I3838" s="124"/>
      <c r="J3838" s="124"/>
      <c r="K3838" s="124"/>
      <c r="L3838" s="124"/>
      <c r="M3838" s="124"/>
      <c r="N3838" s="124"/>
      <c r="O3838" s="124"/>
      <c r="P3838" s="124"/>
      <c r="Q3838" s="124"/>
      <c r="R3838" s="124"/>
      <c r="S3838" s="124"/>
      <c r="T3838" s="124"/>
      <c r="U3838" s="124"/>
      <c r="V3838" s="124"/>
      <c r="W3838" s="124"/>
      <c r="X3838" s="124"/>
      <c r="Y3838" s="124"/>
      <c r="Z3838" s="124"/>
    </row>
    <row r="3839">
      <c r="A3839" s="124"/>
      <c r="B3839" s="124"/>
      <c r="C3839" s="147"/>
      <c r="D3839" s="124"/>
      <c r="E3839" s="124"/>
      <c r="F3839" s="124"/>
      <c r="G3839" s="124"/>
      <c r="H3839" s="124"/>
      <c r="I3839" s="124"/>
      <c r="J3839" s="124"/>
      <c r="K3839" s="124"/>
      <c r="L3839" s="124"/>
      <c r="M3839" s="124"/>
      <c r="N3839" s="124"/>
      <c r="O3839" s="124"/>
      <c r="P3839" s="124"/>
      <c r="Q3839" s="124"/>
      <c r="R3839" s="124"/>
      <c r="S3839" s="124"/>
      <c r="T3839" s="124"/>
      <c r="U3839" s="124"/>
      <c r="V3839" s="124"/>
      <c r="W3839" s="124"/>
      <c r="X3839" s="124"/>
      <c r="Y3839" s="124"/>
      <c r="Z3839" s="124"/>
    </row>
    <row r="3840">
      <c r="A3840" s="124"/>
      <c r="B3840" s="124"/>
      <c r="C3840" s="147"/>
      <c r="D3840" s="124"/>
      <c r="E3840" s="124"/>
      <c r="F3840" s="124"/>
      <c r="G3840" s="124"/>
      <c r="H3840" s="124"/>
      <c r="I3840" s="124"/>
      <c r="J3840" s="124"/>
      <c r="K3840" s="124"/>
      <c r="L3840" s="124"/>
      <c r="M3840" s="124"/>
      <c r="N3840" s="124"/>
      <c r="O3840" s="124"/>
      <c r="P3840" s="124"/>
      <c r="Q3840" s="124"/>
      <c r="R3840" s="124"/>
      <c r="S3840" s="124"/>
      <c r="T3840" s="124"/>
      <c r="U3840" s="124"/>
      <c r="V3840" s="124"/>
      <c r="W3840" s="124"/>
      <c r="X3840" s="124"/>
      <c r="Y3840" s="124"/>
      <c r="Z3840" s="124"/>
    </row>
    <row r="3841">
      <c r="A3841" s="124"/>
      <c r="B3841" s="124"/>
      <c r="C3841" s="147"/>
      <c r="D3841" s="124"/>
      <c r="E3841" s="124"/>
      <c r="F3841" s="124"/>
      <c r="G3841" s="124"/>
      <c r="H3841" s="124"/>
      <c r="I3841" s="124"/>
      <c r="J3841" s="124"/>
      <c r="K3841" s="124"/>
      <c r="L3841" s="124"/>
      <c r="M3841" s="124"/>
      <c r="N3841" s="124"/>
      <c r="O3841" s="124"/>
      <c r="P3841" s="124"/>
      <c r="Q3841" s="124"/>
      <c r="R3841" s="124"/>
      <c r="S3841" s="124"/>
      <c r="T3841" s="124"/>
      <c r="U3841" s="124"/>
      <c r="V3841" s="124"/>
      <c r="W3841" s="124"/>
      <c r="X3841" s="124"/>
      <c r="Y3841" s="124"/>
      <c r="Z3841" s="124"/>
    </row>
    <row r="3842">
      <c r="A3842" s="124"/>
      <c r="B3842" s="124"/>
      <c r="C3842" s="147"/>
      <c r="D3842" s="124"/>
      <c r="E3842" s="124"/>
      <c r="F3842" s="124"/>
      <c r="G3842" s="124"/>
      <c r="H3842" s="124"/>
      <c r="I3842" s="124"/>
      <c r="J3842" s="124"/>
      <c r="K3842" s="124"/>
      <c r="L3842" s="124"/>
      <c r="M3842" s="124"/>
      <c r="N3842" s="124"/>
      <c r="O3842" s="124"/>
      <c r="P3842" s="124"/>
      <c r="Q3842" s="124"/>
      <c r="R3842" s="124"/>
      <c r="S3842" s="124"/>
      <c r="T3842" s="124"/>
      <c r="U3842" s="124"/>
      <c r="V3842" s="124"/>
      <c r="W3842" s="124"/>
      <c r="X3842" s="124"/>
      <c r="Y3842" s="124"/>
      <c r="Z3842" s="124"/>
    </row>
    <row r="3843">
      <c r="A3843" s="124"/>
      <c r="B3843" s="124"/>
      <c r="C3843" s="147"/>
      <c r="D3843" s="124"/>
      <c r="E3843" s="124"/>
      <c r="F3843" s="124"/>
      <c r="G3843" s="124"/>
      <c r="H3843" s="124"/>
      <c r="I3843" s="124"/>
      <c r="J3843" s="124"/>
      <c r="K3843" s="124"/>
      <c r="L3843" s="124"/>
      <c r="M3843" s="124"/>
      <c r="N3843" s="124"/>
      <c r="O3843" s="124"/>
      <c r="P3843" s="124"/>
      <c r="Q3843" s="124"/>
      <c r="R3843" s="124"/>
      <c r="S3843" s="124"/>
      <c r="T3843" s="124"/>
      <c r="U3843" s="124"/>
      <c r="V3843" s="124"/>
      <c r="W3843" s="124"/>
      <c r="X3843" s="124"/>
      <c r="Y3843" s="124"/>
      <c r="Z3843" s="124"/>
    </row>
    <row r="3844">
      <c r="A3844" s="124"/>
      <c r="B3844" s="124"/>
      <c r="C3844" s="147"/>
      <c r="D3844" s="124"/>
      <c r="E3844" s="124"/>
      <c r="F3844" s="124"/>
      <c r="G3844" s="124"/>
      <c r="H3844" s="124"/>
      <c r="I3844" s="124"/>
      <c r="J3844" s="124"/>
      <c r="K3844" s="124"/>
      <c r="L3844" s="124"/>
      <c r="M3844" s="124"/>
      <c r="N3844" s="124"/>
      <c r="O3844" s="124"/>
      <c r="P3844" s="124"/>
      <c r="Q3844" s="124"/>
      <c r="R3844" s="124"/>
      <c r="S3844" s="124"/>
      <c r="T3844" s="124"/>
      <c r="U3844" s="124"/>
      <c r="V3844" s="124"/>
      <c r="W3844" s="124"/>
      <c r="X3844" s="124"/>
      <c r="Y3844" s="124"/>
      <c r="Z3844" s="124"/>
    </row>
    <row r="3845">
      <c r="A3845" s="124"/>
      <c r="B3845" s="124"/>
      <c r="C3845" s="147"/>
      <c r="D3845" s="124"/>
      <c r="E3845" s="124"/>
      <c r="F3845" s="124"/>
      <c r="G3845" s="124"/>
      <c r="H3845" s="124"/>
      <c r="I3845" s="124"/>
      <c r="J3845" s="124"/>
      <c r="K3845" s="124"/>
      <c r="L3845" s="124"/>
      <c r="M3845" s="124"/>
      <c r="N3845" s="124"/>
      <c r="O3845" s="124"/>
      <c r="P3845" s="124"/>
      <c r="Q3845" s="124"/>
      <c r="R3845" s="124"/>
      <c r="S3845" s="124"/>
      <c r="T3845" s="124"/>
      <c r="U3845" s="124"/>
      <c r="V3845" s="124"/>
      <c r="W3845" s="124"/>
      <c r="X3845" s="124"/>
      <c r="Y3845" s="124"/>
      <c r="Z3845" s="124"/>
    </row>
    <row r="3846">
      <c r="A3846" s="124"/>
      <c r="B3846" s="124"/>
      <c r="C3846" s="147"/>
      <c r="D3846" s="124"/>
      <c r="E3846" s="124"/>
      <c r="F3846" s="124"/>
      <c r="G3846" s="124"/>
      <c r="H3846" s="124"/>
      <c r="I3846" s="124"/>
      <c r="J3846" s="124"/>
      <c r="K3846" s="124"/>
      <c r="L3846" s="124"/>
      <c r="M3846" s="124"/>
      <c r="N3846" s="124"/>
      <c r="O3846" s="124"/>
      <c r="P3846" s="124"/>
      <c r="Q3846" s="124"/>
      <c r="R3846" s="124"/>
      <c r="S3846" s="124"/>
      <c r="T3846" s="124"/>
      <c r="U3846" s="124"/>
      <c r="V3846" s="124"/>
      <c r="W3846" s="124"/>
      <c r="X3846" s="124"/>
      <c r="Y3846" s="124"/>
      <c r="Z3846" s="124"/>
    </row>
    <row r="3847">
      <c r="A3847" s="124"/>
      <c r="B3847" s="124"/>
      <c r="C3847" s="147"/>
      <c r="D3847" s="124"/>
      <c r="E3847" s="124"/>
      <c r="F3847" s="124"/>
      <c r="G3847" s="124"/>
      <c r="H3847" s="124"/>
      <c r="I3847" s="124"/>
      <c r="J3847" s="124"/>
      <c r="K3847" s="124"/>
      <c r="L3847" s="124"/>
      <c r="M3847" s="124"/>
      <c r="N3847" s="124"/>
      <c r="O3847" s="124"/>
      <c r="P3847" s="124"/>
      <c r="Q3847" s="124"/>
      <c r="R3847" s="124"/>
      <c r="S3847" s="124"/>
      <c r="T3847" s="124"/>
      <c r="U3847" s="124"/>
      <c r="V3847" s="124"/>
      <c r="W3847" s="124"/>
      <c r="X3847" s="124"/>
      <c r="Y3847" s="124"/>
      <c r="Z3847" s="124"/>
    </row>
    <row r="3848">
      <c r="A3848" s="124"/>
      <c r="B3848" s="124"/>
      <c r="C3848" s="147"/>
      <c r="D3848" s="124"/>
      <c r="E3848" s="124"/>
      <c r="F3848" s="124"/>
      <c r="G3848" s="124"/>
      <c r="H3848" s="124"/>
      <c r="I3848" s="124"/>
      <c r="J3848" s="124"/>
      <c r="K3848" s="124"/>
      <c r="L3848" s="124"/>
      <c r="M3848" s="124"/>
      <c r="N3848" s="124"/>
      <c r="O3848" s="124"/>
      <c r="P3848" s="124"/>
      <c r="Q3848" s="124"/>
      <c r="R3848" s="124"/>
      <c r="S3848" s="124"/>
      <c r="T3848" s="124"/>
      <c r="U3848" s="124"/>
      <c r="V3848" s="124"/>
      <c r="W3848" s="124"/>
      <c r="X3848" s="124"/>
      <c r="Y3848" s="124"/>
      <c r="Z3848" s="124"/>
    </row>
    <row r="3849">
      <c r="A3849" s="124"/>
      <c r="B3849" s="124"/>
      <c r="C3849" s="147"/>
      <c r="D3849" s="124"/>
      <c r="E3849" s="124"/>
      <c r="F3849" s="124"/>
      <c r="G3849" s="124"/>
      <c r="H3849" s="124"/>
      <c r="I3849" s="124"/>
      <c r="J3849" s="124"/>
      <c r="K3849" s="124"/>
      <c r="L3849" s="124"/>
      <c r="M3849" s="124"/>
      <c r="N3849" s="124"/>
      <c r="O3849" s="124"/>
      <c r="P3849" s="124"/>
      <c r="Q3849" s="124"/>
      <c r="R3849" s="124"/>
      <c r="S3849" s="124"/>
      <c r="T3849" s="124"/>
      <c r="U3849" s="124"/>
      <c r="V3849" s="124"/>
      <c r="W3849" s="124"/>
      <c r="X3849" s="124"/>
      <c r="Y3849" s="124"/>
      <c r="Z3849" s="124"/>
    </row>
    <row r="3850">
      <c r="A3850" s="124"/>
      <c r="B3850" s="124"/>
      <c r="C3850" s="147"/>
      <c r="D3850" s="124"/>
      <c r="E3850" s="124"/>
      <c r="F3850" s="124"/>
      <c r="G3850" s="124"/>
      <c r="H3850" s="124"/>
      <c r="I3850" s="124"/>
      <c r="J3850" s="124"/>
      <c r="K3850" s="124"/>
      <c r="L3850" s="124"/>
      <c r="M3850" s="124"/>
      <c r="N3850" s="124"/>
      <c r="O3850" s="124"/>
      <c r="P3850" s="124"/>
      <c r="Q3850" s="124"/>
      <c r="R3850" s="124"/>
      <c r="S3850" s="124"/>
      <c r="T3850" s="124"/>
      <c r="U3850" s="124"/>
      <c r="V3850" s="124"/>
      <c r="W3850" s="124"/>
      <c r="X3850" s="124"/>
      <c r="Y3850" s="124"/>
      <c r="Z3850" s="124"/>
    </row>
    <row r="3851">
      <c r="A3851" s="124"/>
      <c r="B3851" s="124"/>
      <c r="C3851" s="147"/>
      <c r="D3851" s="124"/>
      <c r="E3851" s="124"/>
      <c r="F3851" s="124"/>
      <c r="G3851" s="124"/>
      <c r="H3851" s="124"/>
      <c r="I3851" s="124"/>
      <c r="J3851" s="124"/>
      <c r="K3851" s="124"/>
      <c r="L3851" s="124"/>
      <c r="M3851" s="124"/>
      <c r="N3851" s="124"/>
      <c r="O3851" s="124"/>
      <c r="P3851" s="124"/>
      <c r="Q3851" s="124"/>
      <c r="R3851" s="124"/>
      <c r="S3851" s="124"/>
      <c r="T3851" s="124"/>
      <c r="U3851" s="124"/>
      <c r="V3851" s="124"/>
      <c r="W3851" s="124"/>
      <c r="X3851" s="124"/>
      <c r="Y3851" s="124"/>
      <c r="Z3851" s="124"/>
    </row>
    <row r="3852">
      <c r="A3852" s="124"/>
      <c r="B3852" s="124"/>
      <c r="C3852" s="147"/>
      <c r="D3852" s="124"/>
      <c r="E3852" s="124"/>
      <c r="F3852" s="124"/>
      <c r="G3852" s="124"/>
      <c r="H3852" s="124"/>
      <c r="I3852" s="124"/>
      <c r="J3852" s="124"/>
      <c r="K3852" s="124"/>
      <c r="L3852" s="124"/>
      <c r="M3852" s="124"/>
      <c r="N3852" s="124"/>
      <c r="O3852" s="124"/>
      <c r="P3852" s="124"/>
      <c r="Q3852" s="124"/>
      <c r="R3852" s="124"/>
      <c r="S3852" s="124"/>
      <c r="T3852" s="124"/>
      <c r="U3852" s="124"/>
      <c r="V3852" s="124"/>
      <c r="W3852" s="124"/>
      <c r="X3852" s="124"/>
      <c r="Y3852" s="124"/>
      <c r="Z3852" s="124"/>
    </row>
    <row r="3853">
      <c r="A3853" s="124"/>
      <c r="B3853" s="124"/>
      <c r="C3853" s="147"/>
      <c r="D3853" s="124"/>
      <c r="E3853" s="124"/>
      <c r="F3853" s="124"/>
      <c r="G3853" s="124"/>
      <c r="H3853" s="124"/>
      <c r="I3853" s="124"/>
      <c r="J3853" s="124"/>
      <c r="K3853" s="124"/>
      <c r="L3853" s="124"/>
      <c r="M3853" s="124"/>
      <c r="N3853" s="124"/>
      <c r="O3853" s="124"/>
      <c r="P3853" s="124"/>
      <c r="Q3853" s="124"/>
      <c r="R3853" s="124"/>
      <c r="S3853" s="124"/>
      <c r="T3853" s="124"/>
      <c r="U3853" s="124"/>
      <c r="V3853" s="124"/>
      <c r="W3853" s="124"/>
      <c r="X3853" s="124"/>
      <c r="Y3853" s="124"/>
      <c r="Z3853" s="124"/>
    </row>
    <row r="3854">
      <c r="A3854" s="124"/>
      <c r="B3854" s="124"/>
      <c r="C3854" s="147"/>
      <c r="D3854" s="124"/>
      <c r="E3854" s="124"/>
      <c r="F3854" s="124"/>
      <c r="G3854" s="124"/>
      <c r="H3854" s="124"/>
      <c r="I3854" s="124"/>
      <c r="J3854" s="124"/>
      <c r="K3854" s="124"/>
      <c r="L3854" s="124"/>
      <c r="M3854" s="124"/>
      <c r="N3854" s="124"/>
      <c r="O3854" s="124"/>
      <c r="P3854" s="124"/>
      <c r="Q3854" s="124"/>
      <c r="R3854" s="124"/>
      <c r="S3854" s="124"/>
      <c r="T3854" s="124"/>
      <c r="U3854" s="124"/>
      <c r="V3854" s="124"/>
      <c r="W3854" s="124"/>
      <c r="X3854" s="124"/>
      <c r="Y3854" s="124"/>
      <c r="Z3854" s="124"/>
    </row>
    <row r="3855">
      <c r="A3855" s="124"/>
      <c r="B3855" s="124"/>
      <c r="C3855" s="147"/>
      <c r="D3855" s="124"/>
      <c r="E3855" s="124"/>
      <c r="F3855" s="124"/>
      <c r="G3855" s="124"/>
      <c r="H3855" s="124"/>
      <c r="I3855" s="124"/>
      <c r="J3855" s="124"/>
      <c r="K3855" s="124"/>
      <c r="L3855" s="124"/>
      <c r="M3855" s="124"/>
      <c r="N3855" s="124"/>
      <c r="O3855" s="124"/>
      <c r="P3855" s="124"/>
      <c r="Q3855" s="124"/>
      <c r="R3855" s="124"/>
      <c r="S3855" s="124"/>
      <c r="T3855" s="124"/>
      <c r="U3855" s="124"/>
      <c r="V3855" s="124"/>
      <c r="W3855" s="124"/>
      <c r="X3855" s="124"/>
      <c r="Y3855" s="124"/>
      <c r="Z3855" s="124"/>
    </row>
    <row r="3856">
      <c r="A3856" s="124"/>
      <c r="B3856" s="124"/>
      <c r="C3856" s="147"/>
      <c r="D3856" s="124"/>
      <c r="E3856" s="124"/>
      <c r="F3856" s="124"/>
      <c r="G3856" s="124"/>
      <c r="H3856" s="124"/>
      <c r="I3856" s="124"/>
      <c r="J3856" s="124"/>
      <c r="K3856" s="124"/>
      <c r="L3856" s="124"/>
      <c r="M3856" s="124"/>
      <c r="N3856" s="124"/>
      <c r="O3856" s="124"/>
      <c r="P3856" s="124"/>
      <c r="Q3856" s="124"/>
      <c r="R3856" s="124"/>
      <c r="S3856" s="124"/>
      <c r="T3856" s="124"/>
      <c r="U3856" s="124"/>
      <c r="V3856" s="124"/>
      <c r="W3856" s="124"/>
      <c r="X3856" s="124"/>
      <c r="Y3856" s="124"/>
      <c r="Z3856" s="124"/>
    </row>
    <row r="3857">
      <c r="A3857" s="124"/>
      <c r="B3857" s="124"/>
      <c r="C3857" s="147"/>
      <c r="D3857" s="124"/>
      <c r="E3857" s="124"/>
      <c r="F3857" s="124"/>
      <c r="G3857" s="124"/>
      <c r="H3857" s="124"/>
      <c r="I3857" s="124"/>
      <c r="J3857" s="124"/>
      <c r="K3857" s="124"/>
      <c r="L3857" s="124"/>
      <c r="M3857" s="124"/>
      <c r="N3857" s="124"/>
      <c r="O3857" s="124"/>
      <c r="P3857" s="124"/>
      <c r="Q3857" s="124"/>
      <c r="R3857" s="124"/>
      <c r="S3857" s="124"/>
      <c r="T3857" s="124"/>
      <c r="U3857" s="124"/>
      <c r="V3857" s="124"/>
      <c r="W3857" s="124"/>
      <c r="X3857" s="124"/>
      <c r="Y3857" s="124"/>
      <c r="Z3857" s="124"/>
    </row>
    <row r="3858">
      <c r="A3858" s="124"/>
      <c r="B3858" s="124"/>
      <c r="C3858" s="147"/>
      <c r="D3858" s="124"/>
      <c r="E3858" s="124"/>
      <c r="F3858" s="124"/>
      <c r="G3858" s="124"/>
      <c r="H3858" s="124"/>
      <c r="I3858" s="124"/>
      <c r="J3858" s="124"/>
      <c r="K3858" s="124"/>
      <c r="L3858" s="124"/>
      <c r="M3858" s="124"/>
      <c r="N3858" s="124"/>
      <c r="O3858" s="124"/>
      <c r="P3858" s="124"/>
      <c r="Q3858" s="124"/>
      <c r="R3858" s="124"/>
      <c r="S3858" s="124"/>
      <c r="T3858" s="124"/>
      <c r="U3858" s="124"/>
      <c r="V3858" s="124"/>
      <c r="W3858" s="124"/>
      <c r="X3858" s="124"/>
      <c r="Y3858" s="124"/>
      <c r="Z3858" s="124"/>
    </row>
    <row r="3859">
      <c r="A3859" s="124"/>
      <c r="B3859" s="124"/>
      <c r="C3859" s="147"/>
      <c r="D3859" s="124"/>
      <c r="E3859" s="124"/>
      <c r="F3859" s="124"/>
      <c r="G3859" s="124"/>
      <c r="H3859" s="124"/>
      <c r="I3859" s="124"/>
      <c r="J3859" s="124"/>
      <c r="K3859" s="124"/>
      <c r="L3859" s="124"/>
      <c r="M3859" s="124"/>
      <c r="N3859" s="124"/>
      <c r="O3859" s="124"/>
      <c r="P3859" s="124"/>
      <c r="Q3859" s="124"/>
      <c r="R3859" s="124"/>
      <c r="S3859" s="124"/>
      <c r="T3859" s="124"/>
      <c r="U3859" s="124"/>
      <c r="V3859" s="124"/>
      <c r="W3859" s="124"/>
      <c r="X3859" s="124"/>
      <c r="Y3859" s="124"/>
      <c r="Z3859" s="124"/>
    </row>
    <row r="3860">
      <c r="A3860" s="124"/>
      <c r="B3860" s="124"/>
      <c r="C3860" s="147"/>
      <c r="D3860" s="124"/>
      <c r="E3860" s="124"/>
      <c r="F3860" s="124"/>
      <c r="G3860" s="124"/>
      <c r="H3860" s="124"/>
      <c r="I3860" s="124"/>
      <c r="J3860" s="124"/>
      <c r="K3860" s="124"/>
      <c r="L3860" s="124"/>
      <c r="M3860" s="124"/>
      <c r="N3860" s="124"/>
      <c r="O3860" s="124"/>
      <c r="P3860" s="124"/>
      <c r="Q3860" s="124"/>
      <c r="R3860" s="124"/>
      <c r="S3860" s="124"/>
      <c r="T3860" s="124"/>
      <c r="U3860" s="124"/>
      <c r="V3860" s="124"/>
      <c r="W3860" s="124"/>
      <c r="X3860" s="124"/>
      <c r="Y3860" s="124"/>
      <c r="Z3860" s="124"/>
    </row>
    <row r="3861">
      <c r="A3861" s="124"/>
      <c r="B3861" s="124"/>
      <c r="C3861" s="147"/>
      <c r="D3861" s="124"/>
      <c r="E3861" s="124"/>
      <c r="F3861" s="124"/>
      <c r="G3861" s="124"/>
      <c r="H3861" s="124"/>
      <c r="I3861" s="124"/>
      <c r="J3861" s="124"/>
      <c r="K3861" s="124"/>
      <c r="L3861" s="124"/>
      <c r="M3861" s="124"/>
      <c r="N3861" s="124"/>
      <c r="O3861" s="124"/>
      <c r="P3861" s="124"/>
      <c r="Q3861" s="124"/>
      <c r="R3861" s="124"/>
      <c r="S3861" s="124"/>
      <c r="T3861" s="124"/>
      <c r="U3861" s="124"/>
      <c r="V3861" s="124"/>
      <c r="W3861" s="124"/>
      <c r="X3861" s="124"/>
      <c r="Y3861" s="124"/>
      <c r="Z3861" s="124"/>
    </row>
    <row r="3862">
      <c r="A3862" s="124"/>
      <c r="B3862" s="124"/>
      <c r="C3862" s="147"/>
      <c r="D3862" s="124"/>
      <c r="E3862" s="124"/>
      <c r="F3862" s="124"/>
      <c r="G3862" s="124"/>
      <c r="H3862" s="124"/>
      <c r="I3862" s="124"/>
      <c r="J3862" s="124"/>
      <c r="K3862" s="124"/>
      <c r="L3862" s="124"/>
      <c r="M3862" s="124"/>
      <c r="N3862" s="124"/>
      <c r="O3862" s="124"/>
      <c r="P3862" s="124"/>
      <c r="Q3862" s="124"/>
      <c r="R3862" s="124"/>
      <c r="S3862" s="124"/>
      <c r="T3862" s="124"/>
      <c r="U3862" s="124"/>
      <c r="V3862" s="124"/>
      <c r="W3862" s="124"/>
      <c r="X3862" s="124"/>
      <c r="Y3862" s="124"/>
      <c r="Z3862" s="124"/>
    </row>
    <row r="3863">
      <c r="A3863" s="124"/>
      <c r="B3863" s="124"/>
      <c r="C3863" s="147"/>
      <c r="D3863" s="124"/>
      <c r="E3863" s="124"/>
      <c r="F3863" s="124"/>
      <c r="G3863" s="124"/>
      <c r="H3863" s="124"/>
      <c r="I3863" s="124"/>
      <c r="J3863" s="124"/>
      <c r="K3863" s="124"/>
      <c r="L3863" s="124"/>
      <c r="M3863" s="124"/>
      <c r="N3863" s="124"/>
      <c r="O3863" s="124"/>
      <c r="P3863" s="124"/>
      <c r="Q3863" s="124"/>
      <c r="R3863" s="124"/>
      <c r="S3863" s="124"/>
      <c r="T3863" s="124"/>
      <c r="U3863" s="124"/>
      <c r="V3863" s="124"/>
      <c r="W3863" s="124"/>
      <c r="X3863" s="124"/>
      <c r="Y3863" s="124"/>
      <c r="Z3863" s="124"/>
    </row>
    <row r="3864">
      <c r="A3864" s="124"/>
      <c r="B3864" s="124"/>
      <c r="C3864" s="147"/>
      <c r="D3864" s="124"/>
      <c r="E3864" s="124"/>
      <c r="F3864" s="124"/>
      <c r="G3864" s="124"/>
      <c r="H3864" s="124"/>
      <c r="I3864" s="124"/>
      <c r="J3864" s="124"/>
      <c r="K3864" s="124"/>
      <c r="L3864" s="124"/>
      <c r="M3864" s="124"/>
      <c r="N3864" s="124"/>
      <c r="O3864" s="124"/>
      <c r="P3864" s="124"/>
      <c r="Q3864" s="124"/>
      <c r="R3864" s="124"/>
      <c r="S3864" s="124"/>
      <c r="T3864" s="124"/>
      <c r="U3864" s="124"/>
      <c r="V3864" s="124"/>
      <c r="W3864" s="124"/>
      <c r="X3864" s="124"/>
      <c r="Y3864" s="124"/>
      <c r="Z3864" s="124"/>
    </row>
    <row r="3865">
      <c r="A3865" s="124"/>
      <c r="B3865" s="124"/>
      <c r="C3865" s="147"/>
      <c r="D3865" s="124"/>
      <c r="E3865" s="124"/>
      <c r="F3865" s="124"/>
      <c r="G3865" s="124"/>
      <c r="H3865" s="124"/>
      <c r="I3865" s="124"/>
      <c r="J3865" s="124"/>
      <c r="K3865" s="124"/>
      <c r="L3865" s="124"/>
      <c r="M3865" s="124"/>
      <c r="N3865" s="124"/>
      <c r="O3865" s="124"/>
      <c r="P3865" s="124"/>
      <c r="Q3865" s="124"/>
      <c r="R3865" s="124"/>
      <c r="S3865" s="124"/>
      <c r="T3865" s="124"/>
      <c r="U3865" s="124"/>
      <c r="V3865" s="124"/>
      <c r="W3865" s="124"/>
      <c r="X3865" s="124"/>
      <c r="Y3865" s="124"/>
      <c r="Z3865" s="124"/>
    </row>
    <row r="3866">
      <c r="A3866" s="124"/>
      <c r="B3866" s="124"/>
      <c r="C3866" s="147"/>
      <c r="D3866" s="124"/>
      <c r="E3866" s="124"/>
      <c r="F3866" s="124"/>
      <c r="G3866" s="124"/>
      <c r="H3866" s="124"/>
      <c r="I3866" s="124"/>
      <c r="J3866" s="124"/>
      <c r="K3866" s="124"/>
      <c r="L3866" s="124"/>
      <c r="M3866" s="124"/>
      <c r="N3866" s="124"/>
      <c r="O3866" s="124"/>
      <c r="P3866" s="124"/>
      <c r="Q3866" s="124"/>
      <c r="R3866" s="124"/>
      <c r="S3866" s="124"/>
      <c r="T3866" s="124"/>
      <c r="U3866" s="124"/>
      <c r="V3866" s="124"/>
      <c r="W3866" s="124"/>
      <c r="X3866" s="124"/>
      <c r="Y3866" s="124"/>
      <c r="Z3866" s="124"/>
    </row>
    <row r="3867">
      <c r="A3867" s="124"/>
      <c r="B3867" s="124"/>
      <c r="C3867" s="147"/>
      <c r="D3867" s="124"/>
      <c r="E3867" s="124"/>
      <c r="F3867" s="124"/>
      <c r="G3867" s="124"/>
      <c r="H3867" s="124"/>
      <c r="I3867" s="124"/>
      <c r="J3867" s="124"/>
      <c r="K3867" s="124"/>
      <c r="L3867" s="124"/>
      <c r="M3867" s="124"/>
      <c r="N3867" s="124"/>
      <c r="O3867" s="124"/>
      <c r="P3867" s="124"/>
      <c r="Q3867" s="124"/>
      <c r="R3867" s="124"/>
      <c r="S3867" s="124"/>
      <c r="T3867" s="124"/>
      <c r="U3867" s="124"/>
      <c r="V3867" s="124"/>
      <c r="W3867" s="124"/>
      <c r="X3867" s="124"/>
      <c r="Y3867" s="124"/>
      <c r="Z3867" s="124"/>
    </row>
    <row r="3868">
      <c r="A3868" s="124"/>
      <c r="B3868" s="124"/>
      <c r="C3868" s="147"/>
      <c r="D3868" s="124"/>
      <c r="E3868" s="124"/>
      <c r="F3868" s="124"/>
      <c r="G3868" s="124"/>
      <c r="H3868" s="124"/>
      <c r="I3868" s="124"/>
      <c r="J3868" s="124"/>
      <c r="K3868" s="124"/>
      <c r="L3868" s="124"/>
      <c r="M3868" s="124"/>
      <c r="N3868" s="124"/>
      <c r="O3868" s="124"/>
      <c r="P3868" s="124"/>
      <c r="Q3868" s="124"/>
      <c r="R3868" s="124"/>
      <c r="S3868" s="124"/>
      <c r="T3868" s="124"/>
      <c r="U3868" s="124"/>
      <c r="V3868" s="124"/>
      <c r="W3868" s="124"/>
      <c r="X3868" s="124"/>
      <c r="Y3868" s="124"/>
      <c r="Z3868" s="124"/>
    </row>
    <row r="3869">
      <c r="A3869" s="124"/>
      <c r="B3869" s="124"/>
      <c r="C3869" s="147"/>
      <c r="D3869" s="124"/>
      <c r="E3869" s="124"/>
      <c r="F3869" s="124"/>
      <c r="G3869" s="124"/>
      <c r="H3869" s="124"/>
      <c r="I3869" s="124"/>
      <c r="J3869" s="124"/>
      <c r="K3869" s="124"/>
      <c r="L3869" s="124"/>
      <c r="M3869" s="124"/>
      <c r="N3869" s="124"/>
      <c r="O3869" s="124"/>
      <c r="P3869" s="124"/>
      <c r="Q3869" s="124"/>
      <c r="R3869" s="124"/>
      <c r="S3869" s="124"/>
      <c r="T3869" s="124"/>
      <c r="U3869" s="124"/>
      <c r="V3869" s="124"/>
      <c r="W3869" s="124"/>
      <c r="X3869" s="124"/>
      <c r="Y3869" s="124"/>
      <c r="Z3869" s="124"/>
    </row>
    <row r="3870">
      <c r="A3870" s="124"/>
      <c r="B3870" s="124"/>
      <c r="C3870" s="147"/>
      <c r="D3870" s="124"/>
      <c r="E3870" s="124"/>
      <c r="F3870" s="124"/>
      <c r="G3870" s="124"/>
      <c r="H3870" s="124"/>
      <c r="I3870" s="124"/>
      <c r="J3870" s="124"/>
      <c r="K3870" s="124"/>
      <c r="L3870" s="124"/>
      <c r="M3870" s="124"/>
      <c r="N3870" s="124"/>
      <c r="O3870" s="124"/>
      <c r="P3870" s="124"/>
      <c r="Q3870" s="124"/>
      <c r="R3870" s="124"/>
      <c r="S3870" s="124"/>
      <c r="T3870" s="124"/>
      <c r="U3870" s="124"/>
      <c r="V3870" s="124"/>
      <c r="W3870" s="124"/>
      <c r="X3870" s="124"/>
      <c r="Y3870" s="124"/>
      <c r="Z3870" s="124"/>
    </row>
    <row r="3871">
      <c r="A3871" s="124"/>
      <c r="B3871" s="124"/>
      <c r="C3871" s="147"/>
      <c r="D3871" s="124"/>
      <c r="E3871" s="124"/>
      <c r="F3871" s="124"/>
      <c r="G3871" s="124"/>
      <c r="H3871" s="124"/>
      <c r="I3871" s="124"/>
      <c r="J3871" s="124"/>
      <c r="K3871" s="124"/>
      <c r="L3871" s="124"/>
      <c r="M3871" s="124"/>
      <c r="N3871" s="124"/>
      <c r="O3871" s="124"/>
      <c r="P3871" s="124"/>
      <c r="Q3871" s="124"/>
      <c r="R3871" s="124"/>
      <c r="S3871" s="124"/>
      <c r="T3871" s="124"/>
      <c r="U3871" s="124"/>
      <c r="V3871" s="124"/>
      <c r="W3871" s="124"/>
      <c r="X3871" s="124"/>
      <c r="Y3871" s="124"/>
      <c r="Z3871" s="124"/>
    </row>
    <row r="3872">
      <c r="A3872" s="124"/>
      <c r="B3872" s="124"/>
      <c r="C3872" s="147"/>
      <c r="D3872" s="124"/>
      <c r="E3872" s="124"/>
      <c r="F3872" s="124"/>
      <c r="G3872" s="124"/>
      <c r="H3872" s="124"/>
      <c r="I3872" s="124"/>
      <c r="J3872" s="124"/>
      <c r="K3872" s="124"/>
      <c r="L3872" s="124"/>
      <c r="M3872" s="124"/>
      <c r="N3872" s="124"/>
      <c r="O3872" s="124"/>
      <c r="P3872" s="124"/>
      <c r="Q3872" s="124"/>
      <c r="R3872" s="124"/>
      <c r="S3872" s="124"/>
      <c r="T3872" s="124"/>
      <c r="U3872" s="124"/>
      <c r="V3872" s="124"/>
      <c r="W3872" s="124"/>
      <c r="X3872" s="124"/>
      <c r="Y3872" s="124"/>
      <c r="Z3872" s="124"/>
    </row>
    <row r="3873">
      <c r="A3873" s="124"/>
      <c r="B3873" s="124"/>
      <c r="C3873" s="147"/>
      <c r="D3873" s="124"/>
      <c r="E3873" s="124"/>
      <c r="F3873" s="124"/>
      <c r="G3873" s="124"/>
      <c r="H3873" s="124"/>
      <c r="I3873" s="124"/>
      <c r="J3873" s="124"/>
      <c r="K3873" s="124"/>
      <c r="L3873" s="124"/>
      <c r="M3873" s="124"/>
      <c r="N3873" s="124"/>
      <c r="O3873" s="124"/>
      <c r="P3873" s="124"/>
      <c r="Q3873" s="124"/>
      <c r="R3873" s="124"/>
      <c r="S3873" s="124"/>
      <c r="T3873" s="124"/>
      <c r="U3873" s="124"/>
      <c r="V3873" s="124"/>
      <c r="W3873" s="124"/>
      <c r="X3873" s="124"/>
      <c r="Y3873" s="124"/>
      <c r="Z3873" s="124"/>
    </row>
    <row r="3874">
      <c r="A3874" s="124"/>
      <c r="B3874" s="124"/>
      <c r="C3874" s="147"/>
      <c r="D3874" s="124"/>
      <c r="E3874" s="124"/>
      <c r="F3874" s="124"/>
      <c r="G3874" s="124"/>
      <c r="H3874" s="124"/>
      <c r="I3874" s="124"/>
      <c r="J3874" s="124"/>
      <c r="K3874" s="124"/>
      <c r="L3874" s="124"/>
      <c r="M3874" s="124"/>
      <c r="N3874" s="124"/>
      <c r="O3874" s="124"/>
      <c r="P3874" s="124"/>
      <c r="Q3874" s="124"/>
      <c r="R3874" s="124"/>
      <c r="S3874" s="124"/>
      <c r="T3874" s="124"/>
      <c r="U3874" s="124"/>
      <c r="V3874" s="124"/>
      <c r="W3874" s="124"/>
      <c r="X3874" s="124"/>
      <c r="Y3874" s="124"/>
      <c r="Z3874" s="124"/>
    </row>
    <row r="3875">
      <c r="A3875" s="124"/>
      <c r="B3875" s="124"/>
      <c r="C3875" s="147"/>
      <c r="D3875" s="124"/>
      <c r="E3875" s="124"/>
      <c r="F3875" s="124"/>
      <c r="G3875" s="124"/>
      <c r="H3875" s="124"/>
      <c r="I3875" s="124"/>
      <c r="J3875" s="124"/>
      <c r="K3875" s="124"/>
      <c r="L3875" s="124"/>
      <c r="M3875" s="124"/>
      <c r="N3875" s="124"/>
      <c r="O3875" s="124"/>
      <c r="P3875" s="124"/>
      <c r="Q3875" s="124"/>
      <c r="R3875" s="124"/>
      <c r="S3875" s="124"/>
      <c r="T3875" s="124"/>
      <c r="U3875" s="124"/>
      <c r="V3875" s="124"/>
      <c r="W3875" s="124"/>
      <c r="X3875" s="124"/>
      <c r="Y3875" s="124"/>
      <c r="Z3875" s="124"/>
    </row>
    <row r="3876">
      <c r="A3876" s="124"/>
      <c r="B3876" s="124"/>
      <c r="C3876" s="147"/>
      <c r="D3876" s="124"/>
      <c r="E3876" s="124"/>
      <c r="F3876" s="124"/>
      <c r="G3876" s="124"/>
      <c r="H3876" s="124"/>
      <c r="I3876" s="124"/>
      <c r="J3876" s="124"/>
      <c r="K3876" s="124"/>
      <c r="L3876" s="124"/>
      <c r="M3876" s="124"/>
      <c r="N3876" s="124"/>
      <c r="O3876" s="124"/>
      <c r="P3876" s="124"/>
      <c r="Q3876" s="124"/>
      <c r="R3876" s="124"/>
      <c r="S3876" s="124"/>
      <c r="T3876" s="124"/>
      <c r="U3876" s="124"/>
      <c r="V3876" s="124"/>
      <c r="W3876" s="124"/>
      <c r="X3876" s="124"/>
      <c r="Y3876" s="124"/>
      <c r="Z3876" s="124"/>
    </row>
    <row r="3877">
      <c r="A3877" s="124"/>
      <c r="B3877" s="124"/>
      <c r="C3877" s="147"/>
      <c r="D3877" s="124"/>
      <c r="E3877" s="124"/>
      <c r="F3877" s="124"/>
      <c r="G3877" s="124"/>
      <c r="H3877" s="124"/>
      <c r="I3877" s="124"/>
      <c r="J3877" s="124"/>
      <c r="K3877" s="124"/>
      <c r="L3877" s="124"/>
      <c r="M3877" s="124"/>
      <c r="N3877" s="124"/>
      <c r="O3877" s="124"/>
      <c r="P3877" s="124"/>
      <c r="Q3877" s="124"/>
      <c r="R3877" s="124"/>
      <c r="S3877" s="124"/>
      <c r="T3877" s="124"/>
      <c r="U3877" s="124"/>
      <c r="V3877" s="124"/>
      <c r="W3877" s="124"/>
      <c r="X3877" s="124"/>
      <c r="Y3877" s="124"/>
      <c r="Z3877" s="124"/>
    </row>
    <row r="3878">
      <c r="A3878" s="124"/>
      <c r="B3878" s="124"/>
      <c r="C3878" s="147"/>
      <c r="D3878" s="124"/>
      <c r="E3878" s="124"/>
      <c r="F3878" s="124"/>
      <c r="G3878" s="124"/>
      <c r="H3878" s="124"/>
      <c r="I3878" s="124"/>
      <c r="J3878" s="124"/>
      <c r="K3878" s="124"/>
      <c r="L3878" s="124"/>
      <c r="M3878" s="124"/>
      <c r="N3878" s="124"/>
      <c r="O3878" s="124"/>
      <c r="P3878" s="124"/>
      <c r="Q3878" s="124"/>
      <c r="R3878" s="124"/>
      <c r="S3878" s="124"/>
      <c r="T3878" s="124"/>
      <c r="U3878" s="124"/>
      <c r="V3878" s="124"/>
      <c r="W3878" s="124"/>
      <c r="X3878" s="124"/>
      <c r="Y3878" s="124"/>
      <c r="Z3878" s="124"/>
    </row>
    <row r="3879">
      <c r="A3879" s="124"/>
      <c r="B3879" s="124"/>
      <c r="C3879" s="147"/>
      <c r="D3879" s="124"/>
      <c r="E3879" s="124"/>
      <c r="F3879" s="124"/>
      <c r="G3879" s="124"/>
      <c r="H3879" s="124"/>
      <c r="I3879" s="124"/>
      <c r="J3879" s="124"/>
      <c r="K3879" s="124"/>
      <c r="L3879" s="124"/>
      <c r="M3879" s="124"/>
      <c r="N3879" s="124"/>
      <c r="O3879" s="124"/>
      <c r="P3879" s="124"/>
      <c r="Q3879" s="124"/>
      <c r="R3879" s="124"/>
      <c r="S3879" s="124"/>
      <c r="T3879" s="124"/>
      <c r="U3879" s="124"/>
      <c r="V3879" s="124"/>
      <c r="W3879" s="124"/>
      <c r="X3879" s="124"/>
      <c r="Y3879" s="124"/>
      <c r="Z3879" s="124"/>
    </row>
    <row r="3880">
      <c r="A3880" s="124"/>
      <c r="B3880" s="124"/>
      <c r="C3880" s="147"/>
      <c r="D3880" s="124"/>
      <c r="E3880" s="124"/>
      <c r="F3880" s="124"/>
      <c r="G3880" s="124"/>
      <c r="H3880" s="124"/>
      <c r="I3880" s="124"/>
      <c r="J3880" s="124"/>
      <c r="K3880" s="124"/>
      <c r="L3880" s="124"/>
      <c r="M3880" s="124"/>
      <c r="N3880" s="124"/>
      <c r="O3880" s="124"/>
      <c r="P3880" s="124"/>
      <c r="Q3880" s="124"/>
      <c r="R3880" s="124"/>
      <c r="S3880" s="124"/>
      <c r="T3880" s="124"/>
      <c r="U3880" s="124"/>
      <c r="V3880" s="124"/>
      <c r="W3880" s="124"/>
      <c r="X3880" s="124"/>
      <c r="Y3880" s="124"/>
      <c r="Z3880" s="124"/>
    </row>
    <row r="3881">
      <c r="A3881" s="124"/>
      <c r="B3881" s="124"/>
      <c r="C3881" s="147"/>
      <c r="D3881" s="124"/>
      <c r="E3881" s="124"/>
      <c r="F3881" s="124"/>
      <c r="G3881" s="124"/>
      <c r="H3881" s="124"/>
      <c r="I3881" s="124"/>
      <c r="J3881" s="124"/>
      <c r="K3881" s="124"/>
      <c r="L3881" s="124"/>
      <c r="M3881" s="124"/>
      <c r="N3881" s="124"/>
      <c r="O3881" s="124"/>
      <c r="P3881" s="124"/>
      <c r="Q3881" s="124"/>
      <c r="R3881" s="124"/>
      <c r="S3881" s="124"/>
      <c r="T3881" s="124"/>
      <c r="U3881" s="124"/>
      <c r="V3881" s="124"/>
      <c r="W3881" s="124"/>
      <c r="X3881" s="124"/>
      <c r="Y3881" s="124"/>
      <c r="Z3881" s="124"/>
    </row>
    <row r="3882">
      <c r="A3882" s="124"/>
      <c r="B3882" s="124"/>
      <c r="C3882" s="147"/>
      <c r="D3882" s="124"/>
      <c r="E3882" s="124"/>
      <c r="F3882" s="124"/>
      <c r="G3882" s="124"/>
      <c r="H3882" s="124"/>
      <c r="I3882" s="124"/>
      <c r="J3882" s="124"/>
      <c r="K3882" s="124"/>
      <c r="L3882" s="124"/>
      <c r="M3882" s="124"/>
      <c r="N3882" s="124"/>
      <c r="O3882" s="124"/>
      <c r="P3882" s="124"/>
      <c r="Q3882" s="124"/>
      <c r="R3882" s="124"/>
      <c r="S3882" s="124"/>
      <c r="T3882" s="124"/>
      <c r="U3882" s="124"/>
      <c r="V3882" s="124"/>
      <c r="W3882" s="124"/>
      <c r="X3882" s="124"/>
      <c r="Y3882" s="124"/>
      <c r="Z3882" s="124"/>
    </row>
    <row r="3883">
      <c r="A3883" s="124"/>
      <c r="B3883" s="124"/>
      <c r="C3883" s="147"/>
      <c r="D3883" s="124"/>
      <c r="E3883" s="124"/>
      <c r="F3883" s="124"/>
      <c r="G3883" s="124"/>
      <c r="H3883" s="124"/>
      <c r="I3883" s="124"/>
      <c r="J3883" s="124"/>
      <c r="K3883" s="124"/>
      <c r="L3883" s="124"/>
      <c r="M3883" s="124"/>
      <c r="N3883" s="124"/>
      <c r="O3883" s="124"/>
      <c r="P3883" s="124"/>
      <c r="Q3883" s="124"/>
      <c r="R3883" s="124"/>
      <c r="S3883" s="124"/>
      <c r="T3883" s="124"/>
      <c r="U3883" s="124"/>
      <c r="V3883" s="124"/>
      <c r="W3883" s="124"/>
      <c r="X3883" s="124"/>
      <c r="Y3883" s="124"/>
      <c r="Z3883" s="124"/>
    </row>
    <row r="3884">
      <c r="A3884" s="124"/>
      <c r="B3884" s="124"/>
      <c r="C3884" s="147"/>
      <c r="D3884" s="124"/>
      <c r="E3884" s="124"/>
      <c r="F3884" s="124"/>
      <c r="G3884" s="124"/>
      <c r="H3884" s="124"/>
      <c r="I3884" s="124"/>
      <c r="J3884" s="124"/>
      <c r="K3884" s="124"/>
      <c r="L3884" s="124"/>
      <c r="M3884" s="124"/>
      <c r="N3884" s="124"/>
      <c r="O3884" s="124"/>
      <c r="P3884" s="124"/>
      <c r="Q3884" s="124"/>
      <c r="R3884" s="124"/>
      <c r="S3884" s="124"/>
      <c r="T3884" s="124"/>
      <c r="U3884" s="124"/>
      <c r="V3884" s="124"/>
      <c r="W3884" s="124"/>
      <c r="X3884" s="124"/>
      <c r="Y3884" s="124"/>
      <c r="Z3884" s="124"/>
    </row>
    <row r="3885">
      <c r="A3885" s="124"/>
      <c r="B3885" s="124"/>
      <c r="C3885" s="147"/>
      <c r="D3885" s="124"/>
      <c r="E3885" s="124"/>
      <c r="F3885" s="124"/>
      <c r="G3885" s="124"/>
      <c r="H3885" s="124"/>
      <c r="I3885" s="124"/>
      <c r="J3885" s="124"/>
      <c r="K3885" s="124"/>
      <c r="L3885" s="124"/>
      <c r="M3885" s="124"/>
      <c r="N3885" s="124"/>
      <c r="O3885" s="124"/>
      <c r="P3885" s="124"/>
      <c r="Q3885" s="124"/>
      <c r="R3885" s="124"/>
      <c r="S3885" s="124"/>
      <c r="T3885" s="124"/>
      <c r="U3885" s="124"/>
      <c r="V3885" s="124"/>
      <c r="W3885" s="124"/>
      <c r="X3885" s="124"/>
      <c r="Y3885" s="124"/>
      <c r="Z3885" s="124"/>
    </row>
    <row r="3886">
      <c r="A3886" s="124"/>
      <c r="B3886" s="124"/>
      <c r="C3886" s="147"/>
      <c r="D3886" s="124"/>
      <c r="E3886" s="124"/>
      <c r="F3886" s="124"/>
      <c r="G3886" s="124"/>
      <c r="H3886" s="124"/>
      <c r="I3886" s="124"/>
      <c r="J3886" s="124"/>
      <c r="K3886" s="124"/>
      <c r="L3886" s="124"/>
      <c r="M3886" s="124"/>
      <c r="N3886" s="124"/>
      <c r="O3886" s="124"/>
      <c r="P3886" s="124"/>
      <c r="Q3886" s="124"/>
      <c r="R3886" s="124"/>
      <c r="S3886" s="124"/>
      <c r="T3886" s="124"/>
      <c r="U3886" s="124"/>
      <c r="V3886" s="124"/>
      <c r="W3886" s="124"/>
      <c r="X3886" s="124"/>
      <c r="Y3886" s="124"/>
      <c r="Z3886" s="124"/>
    </row>
    <row r="3887">
      <c r="A3887" s="124"/>
      <c r="B3887" s="124"/>
      <c r="C3887" s="147"/>
      <c r="D3887" s="124"/>
      <c r="E3887" s="124"/>
      <c r="F3887" s="124"/>
      <c r="G3887" s="124"/>
      <c r="H3887" s="124"/>
      <c r="I3887" s="124"/>
      <c r="J3887" s="124"/>
      <c r="K3887" s="124"/>
      <c r="L3887" s="124"/>
      <c r="M3887" s="124"/>
      <c r="N3887" s="124"/>
      <c r="O3887" s="124"/>
      <c r="P3887" s="124"/>
      <c r="Q3887" s="124"/>
      <c r="R3887" s="124"/>
      <c r="S3887" s="124"/>
      <c r="T3887" s="124"/>
      <c r="U3887" s="124"/>
      <c r="V3887" s="124"/>
      <c r="W3887" s="124"/>
      <c r="X3887" s="124"/>
      <c r="Y3887" s="124"/>
      <c r="Z3887" s="124"/>
    </row>
    <row r="3888">
      <c r="A3888" s="124"/>
      <c r="B3888" s="124"/>
      <c r="C3888" s="147"/>
      <c r="D3888" s="124"/>
      <c r="E3888" s="124"/>
      <c r="F3888" s="124"/>
      <c r="G3888" s="124"/>
      <c r="H3888" s="124"/>
      <c r="I3888" s="124"/>
      <c r="J3888" s="124"/>
      <c r="K3888" s="124"/>
      <c r="L3888" s="124"/>
      <c r="M3888" s="124"/>
      <c r="N3888" s="124"/>
      <c r="O3888" s="124"/>
      <c r="P3888" s="124"/>
      <c r="Q3888" s="124"/>
      <c r="R3888" s="124"/>
      <c r="S3888" s="124"/>
      <c r="T3888" s="124"/>
      <c r="U3888" s="124"/>
      <c r="V3888" s="124"/>
      <c r="W3888" s="124"/>
      <c r="X3888" s="124"/>
      <c r="Y3888" s="124"/>
      <c r="Z3888" s="124"/>
    </row>
    <row r="3889">
      <c r="A3889" s="124"/>
      <c r="B3889" s="124"/>
      <c r="C3889" s="147"/>
      <c r="D3889" s="124"/>
      <c r="E3889" s="124"/>
      <c r="F3889" s="124"/>
      <c r="G3889" s="124"/>
      <c r="H3889" s="124"/>
      <c r="I3889" s="124"/>
      <c r="J3889" s="124"/>
      <c r="K3889" s="124"/>
      <c r="L3889" s="124"/>
      <c r="M3889" s="124"/>
      <c r="N3889" s="124"/>
      <c r="O3889" s="124"/>
      <c r="P3889" s="124"/>
      <c r="Q3889" s="124"/>
      <c r="R3889" s="124"/>
      <c r="S3889" s="124"/>
      <c r="T3889" s="124"/>
      <c r="U3889" s="124"/>
      <c r="V3889" s="124"/>
      <c r="W3889" s="124"/>
      <c r="X3889" s="124"/>
      <c r="Y3889" s="124"/>
      <c r="Z3889" s="124"/>
    </row>
    <row r="3890">
      <c r="A3890" s="124"/>
      <c r="B3890" s="124"/>
      <c r="C3890" s="147"/>
      <c r="D3890" s="124"/>
      <c r="E3890" s="124"/>
      <c r="F3890" s="124"/>
      <c r="G3890" s="124"/>
      <c r="H3890" s="124"/>
      <c r="I3890" s="124"/>
      <c r="J3890" s="124"/>
      <c r="K3890" s="124"/>
      <c r="L3890" s="124"/>
      <c r="M3890" s="124"/>
      <c r="N3890" s="124"/>
      <c r="O3890" s="124"/>
      <c r="P3890" s="124"/>
      <c r="Q3890" s="124"/>
      <c r="R3890" s="124"/>
      <c r="S3890" s="124"/>
      <c r="T3890" s="124"/>
      <c r="U3890" s="124"/>
      <c r="V3890" s="124"/>
      <c r="W3890" s="124"/>
      <c r="X3890" s="124"/>
      <c r="Y3890" s="124"/>
      <c r="Z3890" s="124"/>
    </row>
    <row r="3891">
      <c r="A3891" s="124"/>
      <c r="B3891" s="124"/>
      <c r="C3891" s="147"/>
      <c r="D3891" s="124"/>
      <c r="E3891" s="124"/>
      <c r="F3891" s="124"/>
      <c r="G3891" s="124"/>
      <c r="H3891" s="124"/>
      <c r="I3891" s="124"/>
      <c r="J3891" s="124"/>
      <c r="K3891" s="124"/>
      <c r="L3891" s="124"/>
      <c r="M3891" s="124"/>
      <c r="N3891" s="124"/>
      <c r="O3891" s="124"/>
      <c r="P3891" s="124"/>
      <c r="Q3891" s="124"/>
      <c r="R3891" s="124"/>
      <c r="S3891" s="124"/>
      <c r="T3891" s="124"/>
      <c r="U3891" s="124"/>
      <c r="V3891" s="124"/>
      <c r="W3891" s="124"/>
      <c r="X3891" s="124"/>
      <c r="Y3891" s="124"/>
      <c r="Z3891" s="124"/>
    </row>
    <row r="3892">
      <c r="A3892" s="124"/>
      <c r="B3892" s="124"/>
      <c r="C3892" s="147"/>
      <c r="D3892" s="124"/>
      <c r="E3892" s="124"/>
      <c r="F3892" s="124"/>
      <c r="G3892" s="124"/>
      <c r="H3892" s="124"/>
      <c r="I3892" s="124"/>
      <c r="J3892" s="124"/>
      <c r="K3892" s="124"/>
      <c r="L3892" s="124"/>
      <c r="M3892" s="124"/>
      <c r="N3892" s="124"/>
      <c r="O3892" s="124"/>
      <c r="P3892" s="124"/>
      <c r="Q3892" s="124"/>
      <c r="R3892" s="124"/>
      <c r="S3892" s="124"/>
      <c r="T3892" s="124"/>
      <c r="U3892" s="124"/>
      <c r="V3892" s="124"/>
      <c r="W3892" s="124"/>
      <c r="X3892" s="124"/>
      <c r="Y3892" s="124"/>
      <c r="Z3892" s="124"/>
    </row>
    <row r="3893">
      <c r="A3893" s="124"/>
      <c r="B3893" s="124"/>
      <c r="C3893" s="147"/>
      <c r="D3893" s="124"/>
      <c r="E3893" s="124"/>
      <c r="F3893" s="124"/>
      <c r="G3893" s="124"/>
      <c r="H3893" s="124"/>
      <c r="I3893" s="124"/>
      <c r="J3893" s="124"/>
      <c r="K3893" s="124"/>
      <c r="L3893" s="124"/>
      <c r="M3893" s="124"/>
      <c r="N3893" s="124"/>
      <c r="O3893" s="124"/>
      <c r="P3893" s="124"/>
      <c r="Q3893" s="124"/>
      <c r="R3893" s="124"/>
      <c r="S3893" s="124"/>
      <c r="T3893" s="124"/>
      <c r="U3893" s="124"/>
      <c r="V3893" s="124"/>
      <c r="W3893" s="124"/>
      <c r="X3893" s="124"/>
      <c r="Y3893" s="124"/>
      <c r="Z3893" s="124"/>
    </row>
    <row r="3894">
      <c r="A3894" s="124"/>
      <c r="B3894" s="124"/>
      <c r="C3894" s="147"/>
      <c r="D3894" s="124"/>
      <c r="E3894" s="124"/>
      <c r="F3894" s="124"/>
      <c r="G3894" s="124"/>
      <c r="H3894" s="124"/>
      <c r="I3894" s="124"/>
      <c r="J3894" s="124"/>
      <c r="K3894" s="124"/>
      <c r="L3894" s="124"/>
      <c r="M3894" s="124"/>
      <c r="N3894" s="124"/>
      <c r="O3894" s="124"/>
      <c r="P3894" s="124"/>
      <c r="Q3894" s="124"/>
      <c r="R3894" s="124"/>
      <c r="S3894" s="124"/>
      <c r="T3894" s="124"/>
      <c r="U3894" s="124"/>
      <c r="V3894" s="124"/>
      <c r="W3894" s="124"/>
      <c r="X3894" s="124"/>
      <c r="Y3894" s="124"/>
      <c r="Z3894" s="124"/>
    </row>
    <row r="3895">
      <c r="A3895" s="124"/>
      <c r="B3895" s="124"/>
      <c r="C3895" s="147"/>
      <c r="D3895" s="124"/>
      <c r="E3895" s="124"/>
      <c r="F3895" s="124"/>
      <c r="G3895" s="124"/>
      <c r="H3895" s="124"/>
      <c r="I3895" s="124"/>
      <c r="J3895" s="124"/>
      <c r="K3895" s="124"/>
      <c r="L3895" s="124"/>
      <c r="M3895" s="124"/>
      <c r="N3895" s="124"/>
      <c r="O3895" s="124"/>
      <c r="P3895" s="124"/>
      <c r="Q3895" s="124"/>
      <c r="R3895" s="124"/>
      <c r="S3895" s="124"/>
      <c r="T3895" s="124"/>
      <c r="U3895" s="124"/>
      <c r="V3895" s="124"/>
      <c r="W3895" s="124"/>
      <c r="X3895" s="124"/>
      <c r="Y3895" s="124"/>
      <c r="Z3895" s="124"/>
    </row>
    <row r="3896">
      <c r="A3896" s="124"/>
      <c r="B3896" s="124"/>
      <c r="C3896" s="147"/>
      <c r="D3896" s="124"/>
      <c r="E3896" s="124"/>
      <c r="F3896" s="124"/>
      <c r="G3896" s="124"/>
      <c r="H3896" s="124"/>
      <c r="I3896" s="124"/>
      <c r="J3896" s="124"/>
      <c r="K3896" s="124"/>
      <c r="L3896" s="124"/>
      <c r="M3896" s="124"/>
      <c r="N3896" s="124"/>
      <c r="O3896" s="124"/>
      <c r="P3896" s="124"/>
      <c r="Q3896" s="124"/>
      <c r="R3896" s="124"/>
      <c r="S3896" s="124"/>
      <c r="T3896" s="124"/>
      <c r="U3896" s="124"/>
      <c r="V3896" s="124"/>
      <c r="W3896" s="124"/>
      <c r="X3896" s="124"/>
      <c r="Y3896" s="124"/>
      <c r="Z3896" s="124"/>
    </row>
    <row r="3897">
      <c r="A3897" s="124"/>
      <c r="B3897" s="124"/>
      <c r="C3897" s="147"/>
      <c r="D3897" s="124"/>
      <c r="E3897" s="124"/>
      <c r="F3897" s="124"/>
      <c r="G3897" s="124"/>
      <c r="H3897" s="124"/>
      <c r="I3897" s="124"/>
      <c r="J3897" s="124"/>
      <c r="K3897" s="124"/>
      <c r="L3897" s="124"/>
      <c r="M3897" s="124"/>
      <c r="N3897" s="124"/>
      <c r="O3897" s="124"/>
      <c r="P3897" s="124"/>
      <c r="Q3897" s="124"/>
      <c r="R3897" s="124"/>
      <c r="S3897" s="124"/>
      <c r="T3897" s="124"/>
      <c r="U3897" s="124"/>
      <c r="V3897" s="124"/>
      <c r="W3897" s="124"/>
      <c r="X3897" s="124"/>
      <c r="Y3897" s="124"/>
      <c r="Z3897" s="124"/>
    </row>
    <row r="3898">
      <c r="A3898" s="124"/>
      <c r="B3898" s="124"/>
      <c r="C3898" s="147"/>
      <c r="D3898" s="124"/>
      <c r="E3898" s="124"/>
      <c r="F3898" s="124"/>
      <c r="G3898" s="124"/>
      <c r="H3898" s="124"/>
      <c r="I3898" s="124"/>
      <c r="J3898" s="124"/>
      <c r="K3898" s="124"/>
      <c r="L3898" s="124"/>
      <c r="M3898" s="124"/>
      <c r="N3898" s="124"/>
      <c r="O3898" s="124"/>
      <c r="P3898" s="124"/>
      <c r="Q3898" s="124"/>
      <c r="R3898" s="124"/>
      <c r="S3898" s="124"/>
      <c r="T3898" s="124"/>
      <c r="U3898" s="124"/>
      <c r="V3898" s="124"/>
      <c r="W3898" s="124"/>
      <c r="X3898" s="124"/>
      <c r="Y3898" s="124"/>
      <c r="Z3898" s="124"/>
    </row>
    <row r="3899">
      <c r="A3899" s="124"/>
      <c r="B3899" s="124"/>
      <c r="C3899" s="147"/>
      <c r="D3899" s="124"/>
      <c r="E3899" s="124"/>
      <c r="F3899" s="124"/>
      <c r="G3899" s="124"/>
      <c r="H3899" s="124"/>
      <c r="I3899" s="124"/>
      <c r="J3899" s="124"/>
      <c r="K3899" s="124"/>
      <c r="L3899" s="124"/>
      <c r="M3899" s="124"/>
      <c r="N3899" s="124"/>
      <c r="O3899" s="124"/>
      <c r="P3899" s="124"/>
      <c r="Q3899" s="124"/>
      <c r="R3899" s="124"/>
      <c r="S3899" s="124"/>
      <c r="T3899" s="124"/>
      <c r="U3899" s="124"/>
      <c r="V3899" s="124"/>
      <c r="W3899" s="124"/>
      <c r="X3899" s="124"/>
      <c r="Y3899" s="124"/>
      <c r="Z3899" s="124"/>
    </row>
    <row r="3900">
      <c r="A3900" s="124"/>
      <c r="B3900" s="124"/>
      <c r="C3900" s="147"/>
      <c r="D3900" s="124"/>
      <c r="E3900" s="124"/>
      <c r="F3900" s="124"/>
      <c r="G3900" s="124"/>
      <c r="H3900" s="124"/>
      <c r="I3900" s="124"/>
      <c r="J3900" s="124"/>
      <c r="K3900" s="124"/>
      <c r="L3900" s="124"/>
      <c r="M3900" s="124"/>
      <c r="N3900" s="124"/>
      <c r="O3900" s="124"/>
      <c r="P3900" s="124"/>
      <c r="Q3900" s="124"/>
      <c r="R3900" s="124"/>
      <c r="S3900" s="124"/>
      <c r="T3900" s="124"/>
      <c r="U3900" s="124"/>
      <c r="V3900" s="124"/>
      <c r="W3900" s="124"/>
      <c r="X3900" s="124"/>
      <c r="Y3900" s="124"/>
      <c r="Z3900" s="124"/>
    </row>
    <row r="3901">
      <c r="A3901" s="124"/>
      <c r="B3901" s="124"/>
      <c r="C3901" s="147"/>
      <c r="D3901" s="124"/>
      <c r="E3901" s="124"/>
      <c r="F3901" s="124"/>
      <c r="G3901" s="124"/>
      <c r="H3901" s="124"/>
      <c r="I3901" s="124"/>
      <c r="J3901" s="124"/>
      <c r="K3901" s="124"/>
      <c r="L3901" s="124"/>
      <c r="M3901" s="124"/>
      <c r="N3901" s="124"/>
      <c r="O3901" s="124"/>
      <c r="P3901" s="124"/>
      <c r="Q3901" s="124"/>
      <c r="R3901" s="124"/>
      <c r="S3901" s="124"/>
      <c r="T3901" s="124"/>
      <c r="U3901" s="124"/>
      <c r="V3901" s="124"/>
      <c r="W3901" s="124"/>
      <c r="X3901" s="124"/>
      <c r="Y3901" s="124"/>
      <c r="Z3901" s="124"/>
    </row>
    <row r="3902">
      <c r="A3902" s="124"/>
      <c r="B3902" s="124"/>
      <c r="C3902" s="147"/>
      <c r="D3902" s="124"/>
      <c r="E3902" s="124"/>
      <c r="F3902" s="124"/>
      <c r="G3902" s="124"/>
      <c r="H3902" s="124"/>
      <c r="I3902" s="124"/>
      <c r="J3902" s="124"/>
      <c r="K3902" s="124"/>
      <c r="L3902" s="124"/>
      <c r="M3902" s="124"/>
      <c r="N3902" s="124"/>
      <c r="O3902" s="124"/>
      <c r="P3902" s="124"/>
      <c r="Q3902" s="124"/>
      <c r="R3902" s="124"/>
      <c r="S3902" s="124"/>
      <c r="T3902" s="124"/>
      <c r="U3902" s="124"/>
      <c r="V3902" s="124"/>
      <c r="W3902" s="124"/>
      <c r="X3902" s="124"/>
      <c r="Y3902" s="124"/>
      <c r="Z3902" s="124"/>
    </row>
    <row r="3903">
      <c r="A3903" s="124"/>
      <c r="B3903" s="124"/>
      <c r="C3903" s="147"/>
      <c r="D3903" s="124"/>
      <c r="E3903" s="124"/>
      <c r="F3903" s="124"/>
      <c r="G3903" s="124"/>
      <c r="H3903" s="124"/>
      <c r="I3903" s="124"/>
      <c r="J3903" s="124"/>
      <c r="K3903" s="124"/>
      <c r="L3903" s="124"/>
      <c r="M3903" s="124"/>
      <c r="N3903" s="124"/>
      <c r="O3903" s="124"/>
      <c r="P3903" s="124"/>
      <c r="Q3903" s="124"/>
      <c r="R3903" s="124"/>
      <c r="S3903" s="124"/>
      <c r="T3903" s="124"/>
      <c r="U3903" s="124"/>
      <c r="V3903" s="124"/>
      <c r="W3903" s="124"/>
      <c r="X3903" s="124"/>
      <c r="Y3903" s="124"/>
      <c r="Z3903" s="124"/>
    </row>
    <row r="3904">
      <c r="A3904" s="124"/>
      <c r="B3904" s="124"/>
      <c r="C3904" s="147"/>
      <c r="D3904" s="124"/>
      <c r="E3904" s="124"/>
      <c r="F3904" s="124"/>
      <c r="G3904" s="124"/>
      <c r="H3904" s="124"/>
      <c r="I3904" s="124"/>
      <c r="J3904" s="124"/>
      <c r="K3904" s="124"/>
      <c r="L3904" s="124"/>
      <c r="M3904" s="124"/>
      <c r="N3904" s="124"/>
      <c r="O3904" s="124"/>
      <c r="P3904" s="124"/>
      <c r="Q3904" s="124"/>
      <c r="R3904" s="124"/>
      <c r="S3904" s="124"/>
      <c r="T3904" s="124"/>
      <c r="U3904" s="124"/>
      <c r="V3904" s="124"/>
      <c r="W3904" s="124"/>
      <c r="X3904" s="124"/>
      <c r="Y3904" s="124"/>
      <c r="Z3904" s="124"/>
    </row>
    <row r="3905">
      <c r="A3905" s="124"/>
      <c r="B3905" s="124"/>
      <c r="C3905" s="147"/>
      <c r="D3905" s="124"/>
      <c r="E3905" s="124"/>
      <c r="F3905" s="124"/>
      <c r="G3905" s="124"/>
      <c r="H3905" s="124"/>
      <c r="I3905" s="124"/>
      <c r="J3905" s="124"/>
      <c r="K3905" s="124"/>
      <c r="L3905" s="124"/>
      <c r="M3905" s="124"/>
      <c r="N3905" s="124"/>
      <c r="O3905" s="124"/>
      <c r="P3905" s="124"/>
      <c r="Q3905" s="124"/>
      <c r="R3905" s="124"/>
      <c r="S3905" s="124"/>
      <c r="T3905" s="124"/>
      <c r="U3905" s="124"/>
      <c r="V3905" s="124"/>
      <c r="W3905" s="124"/>
      <c r="X3905" s="124"/>
      <c r="Y3905" s="124"/>
      <c r="Z3905" s="124"/>
    </row>
    <row r="3906">
      <c r="A3906" s="124"/>
      <c r="B3906" s="124"/>
      <c r="C3906" s="147"/>
      <c r="D3906" s="124"/>
      <c r="E3906" s="124"/>
      <c r="F3906" s="124"/>
      <c r="G3906" s="124"/>
      <c r="H3906" s="124"/>
      <c r="I3906" s="124"/>
      <c r="J3906" s="124"/>
      <c r="K3906" s="124"/>
      <c r="L3906" s="124"/>
      <c r="M3906" s="124"/>
      <c r="N3906" s="124"/>
      <c r="O3906" s="124"/>
      <c r="P3906" s="124"/>
      <c r="Q3906" s="124"/>
      <c r="R3906" s="124"/>
      <c r="S3906" s="124"/>
      <c r="T3906" s="124"/>
      <c r="U3906" s="124"/>
      <c r="V3906" s="124"/>
      <c r="W3906" s="124"/>
      <c r="X3906" s="124"/>
      <c r="Y3906" s="124"/>
      <c r="Z3906" s="124"/>
    </row>
    <row r="3907">
      <c r="A3907" s="124"/>
      <c r="B3907" s="124"/>
      <c r="C3907" s="147"/>
      <c r="D3907" s="124"/>
      <c r="E3907" s="124"/>
      <c r="F3907" s="124"/>
      <c r="G3907" s="124"/>
      <c r="H3907" s="124"/>
      <c r="I3907" s="124"/>
      <c r="J3907" s="124"/>
      <c r="K3907" s="124"/>
      <c r="L3907" s="124"/>
      <c r="M3907" s="124"/>
      <c r="N3907" s="124"/>
      <c r="O3907" s="124"/>
      <c r="P3907" s="124"/>
      <c r="Q3907" s="124"/>
      <c r="R3907" s="124"/>
      <c r="S3907" s="124"/>
      <c r="T3907" s="124"/>
      <c r="U3907" s="124"/>
      <c r="V3907" s="124"/>
      <c r="W3907" s="124"/>
      <c r="X3907" s="124"/>
      <c r="Y3907" s="124"/>
      <c r="Z3907" s="124"/>
    </row>
    <row r="3908">
      <c r="A3908" s="124"/>
      <c r="B3908" s="124"/>
      <c r="C3908" s="147"/>
      <c r="D3908" s="124"/>
      <c r="E3908" s="124"/>
      <c r="F3908" s="124"/>
      <c r="G3908" s="124"/>
      <c r="H3908" s="124"/>
      <c r="I3908" s="124"/>
      <c r="J3908" s="124"/>
      <c r="K3908" s="124"/>
      <c r="L3908" s="124"/>
      <c r="M3908" s="124"/>
      <c r="N3908" s="124"/>
      <c r="O3908" s="124"/>
      <c r="P3908" s="124"/>
      <c r="Q3908" s="124"/>
      <c r="R3908" s="124"/>
      <c r="S3908" s="124"/>
      <c r="T3908" s="124"/>
      <c r="U3908" s="124"/>
      <c r="V3908" s="124"/>
      <c r="W3908" s="124"/>
      <c r="X3908" s="124"/>
      <c r="Y3908" s="124"/>
      <c r="Z3908" s="124"/>
    </row>
    <row r="3909">
      <c r="A3909" s="124"/>
      <c r="B3909" s="124"/>
      <c r="C3909" s="147"/>
      <c r="D3909" s="124"/>
      <c r="E3909" s="124"/>
      <c r="F3909" s="124"/>
      <c r="G3909" s="124"/>
      <c r="H3909" s="124"/>
      <c r="I3909" s="124"/>
      <c r="J3909" s="124"/>
      <c r="K3909" s="124"/>
      <c r="L3909" s="124"/>
      <c r="M3909" s="124"/>
      <c r="N3909" s="124"/>
      <c r="O3909" s="124"/>
      <c r="P3909" s="124"/>
      <c r="Q3909" s="124"/>
      <c r="R3909" s="124"/>
      <c r="S3909" s="124"/>
      <c r="T3909" s="124"/>
      <c r="U3909" s="124"/>
      <c r="V3909" s="124"/>
      <c r="W3909" s="124"/>
      <c r="X3909" s="124"/>
      <c r="Y3909" s="124"/>
      <c r="Z3909" s="124"/>
    </row>
    <row r="3910">
      <c r="A3910" s="124"/>
      <c r="B3910" s="124"/>
      <c r="C3910" s="147"/>
      <c r="D3910" s="124"/>
      <c r="E3910" s="124"/>
      <c r="F3910" s="124"/>
      <c r="G3910" s="124"/>
      <c r="H3910" s="124"/>
      <c r="I3910" s="124"/>
      <c r="J3910" s="124"/>
      <c r="K3910" s="124"/>
      <c r="L3910" s="124"/>
      <c r="M3910" s="124"/>
      <c r="N3910" s="124"/>
      <c r="O3910" s="124"/>
      <c r="P3910" s="124"/>
      <c r="Q3910" s="124"/>
      <c r="R3910" s="124"/>
      <c r="S3910" s="124"/>
      <c r="T3910" s="124"/>
      <c r="U3910" s="124"/>
      <c r="V3910" s="124"/>
      <c r="W3910" s="124"/>
      <c r="X3910" s="124"/>
      <c r="Y3910" s="124"/>
      <c r="Z3910" s="124"/>
    </row>
    <row r="3911">
      <c r="A3911" s="124"/>
      <c r="B3911" s="124"/>
      <c r="C3911" s="147"/>
      <c r="D3911" s="124"/>
      <c r="E3911" s="124"/>
      <c r="F3911" s="124"/>
      <c r="G3911" s="124"/>
      <c r="H3911" s="124"/>
      <c r="I3911" s="124"/>
      <c r="J3911" s="124"/>
      <c r="K3911" s="124"/>
      <c r="L3911" s="124"/>
      <c r="M3911" s="124"/>
      <c r="N3911" s="124"/>
      <c r="O3911" s="124"/>
      <c r="P3911" s="124"/>
      <c r="Q3911" s="124"/>
      <c r="R3911" s="124"/>
      <c r="S3911" s="124"/>
      <c r="T3911" s="124"/>
      <c r="U3911" s="124"/>
      <c r="V3911" s="124"/>
      <c r="W3911" s="124"/>
      <c r="X3911" s="124"/>
      <c r="Y3911" s="124"/>
      <c r="Z3911" s="124"/>
    </row>
    <row r="3912">
      <c r="A3912" s="124"/>
      <c r="B3912" s="124"/>
      <c r="C3912" s="147"/>
      <c r="D3912" s="124"/>
      <c r="E3912" s="124"/>
      <c r="F3912" s="124"/>
      <c r="G3912" s="124"/>
      <c r="H3912" s="124"/>
      <c r="I3912" s="124"/>
      <c r="J3912" s="124"/>
      <c r="K3912" s="124"/>
      <c r="L3912" s="124"/>
      <c r="M3912" s="124"/>
      <c r="N3912" s="124"/>
      <c r="O3912" s="124"/>
      <c r="P3912" s="124"/>
      <c r="Q3912" s="124"/>
      <c r="R3912" s="124"/>
      <c r="S3912" s="124"/>
      <c r="T3912" s="124"/>
      <c r="U3912" s="124"/>
      <c r="V3912" s="124"/>
      <c r="W3912" s="124"/>
      <c r="X3912" s="124"/>
      <c r="Y3912" s="124"/>
      <c r="Z3912" s="124"/>
    </row>
    <row r="3913">
      <c r="A3913" s="124"/>
      <c r="B3913" s="124"/>
      <c r="C3913" s="147"/>
      <c r="D3913" s="124"/>
      <c r="E3913" s="124"/>
      <c r="F3913" s="124"/>
      <c r="G3913" s="124"/>
      <c r="H3913" s="124"/>
      <c r="I3913" s="124"/>
      <c r="J3913" s="124"/>
      <c r="K3913" s="124"/>
      <c r="L3913" s="124"/>
      <c r="M3913" s="124"/>
      <c r="N3913" s="124"/>
      <c r="O3913" s="124"/>
      <c r="P3913" s="124"/>
      <c r="Q3913" s="124"/>
      <c r="R3913" s="124"/>
      <c r="S3913" s="124"/>
      <c r="T3913" s="124"/>
      <c r="U3913" s="124"/>
      <c r="V3913" s="124"/>
      <c r="W3913" s="124"/>
      <c r="X3913" s="124"/>
      <c r="Y3913" s="124"/>
      <c r="Z3913" s="124"/>
    </row>
    <row r="3914">
      <c r="A3914" s="124"/>
      <c r="B3914" s="124"/>
      <c r="C3914" s="147"/>
      <c r="D3914" s="124"/>
      <c r="E3914" s="124"/>
      <c r="F3914" s="124"/>
      <c r="G3914" s="124"/>
      <c r="H3914" s="124"/>
      <c r="I3914" s="124"/>
      <c r="J3914" s="124"/>
      <c r="K3914" s="124"/>
      <c r="L3914" s="124"/>
      <c r="M3914" s="124"/>
      <c r="N3914" s="124"/>
      <c r="O3914" s="124"/>
      <c r="P3914" s="124"/>
      <c r="Q3914" s="124"/>
      <c r="R3914" s="124"/>
      <c r="S3914" s="124"/>
      <c r="T3914" s="124"/>
      <c r="U3914" s="124"/>
      <c r="V3914" s="124"/>
      <c r="W3914" s="124"/>
      <c r="X3914" s="124"/>
      <c r="Y3914" s="124"/>
      <c r="Z3914" s="124"/>
    </row>
    <row r="3915">
      <c r="A3915" s="124"/>
      <c r="B3915" s="124"/>
      <c r="C3915" s="147"/>
      <c r="D3915" s="124"/>
      <c r="E3915" s="124"/>
      <c r="F3915" s="124"/>
      <c r="G3915" s="124"/>
      <c r="H3915" s="124"/>
      <c r="I3915" s="124"/>
      <c r="J3915" s="124"/>
      <c r="K3915" s="124"/>
      <c r="L3915" s="124"/>
      <c r="M3915" s="124"/>
      <c r="N3915" s="124"/>
      <c r="O3915" s="124"/>
      <c r="P3915" s="124"/>
      <c r="Q3915" s="124"/>
      <c r="R3915" s="124"/>
      <c r="S3915" s="124"/>
      <c r="T3915" s="124"/>
      <c r="U3915" s="124"/>
      <c r="V3915" s="124"/>
      <c r="W3915" s="124"/>
      <c r="X3915" s="124"/>
      <c r="Y3915" s="124"/>
      <c r="Z3915" s="124"/>
    </row>
    <row r="3916">
      <c r="A3916" s="124"/>
      <c r="B3916" s="124"/>
      <c r="C3916" s="147"/>
      <c r="D3916" s="124"/>
      <c r="E3916" s="124"/>
      <c r="F3916" s="124"/>
      <c r="G3916" s="124"/>
      <c r="H3916" s="124"/>
      <c r="I3916" s="124"/>
      <c r="J3916" s="124"/>
      <c r="K3916" s="124"/>
      <c r="L3916" s="124"/>
      <c r="M3916" s="124"/>
      <c r="N3916" s="124"/>
      <c r="O3916" s="124"/>
      <c r="P3916" s="124"/>
      <c r="Q3916" s="124"/>
      <c r="R3916" s="124"/>
      <c r="S3916" s="124"/>
      <c r="T3916" s="124"/>
      <c r="U3916" s="124"/>
      <c r="V3916" s="124"/>
      <c r="W3916" s="124"/>
      <c r="X3916" s="124"/>
      <c r="Y3916" s="124"/>
      <c r="Z3916" s="124"/>
    </row>
    <row r="3917">
      <c r="A3917" s="124"/>
      <c r="B3917" s="124"/>
      <c r="C3917" s="147"/>
      <c r="D3917" s="124"/>
      <c r="E3917" s="124"/>
      <c r="F3917" s="124"/>
      <c r="G3917" s="124"/>
      <c r="H3917" s="124"/>
      <c r="I3917" s="124"/>
      <c r="J3917" s="124"/>
      <c r="K3917" s="124"/>
      <c r="L3917" s="124"/>
      <c r="M3917" s="124"/>
      <c r="N3917" s="124"/>
      <c r="O3917" s="124"/>
      <c r="P3917" s="124"/>
      <c r="Q3917" s="124"/>
      <c r="R3917" s="124"/>
      <c r="S3917" s="124"/>
      <c r="T3917" s="124"/>
      <c r="U3917" s="124"/>
      <c r="V3917" s="124"/>
      <c r="W3917" s="124"/>
      <c r="X3917" s="124"/>
      <c r="Y3917" s="124"/>
      <c r="Z3917" s="124"/>
    </row>
    <row r="3918">
      <c r="A3918" s="124"/>
      <c r="B3918" s="124"/>
      <c r="C3918" s="147"/>
      <c r="D3918" s="124"/>
      <c r="E3918" s="124"/>
      <c r="F3918" s="124"/>
      <c r="G3918" s="124"/>
      <c r="H3918" s="124"/>
      <c r="I3918" s="124"/>
      <c r="J3918" s="124"/>
      <c r="K3918" s="124"/>
      <c r="L3918" s="124"/>
      <c r="M3918" s="124"/>
      <c r="N3918" s="124"/>
      <c r="O3918" s="124"/>
      <c r="P3918" s="124"/>
      <c r="Q3918" s="124"/>
      <c r="R3918" s="124"/>
      <c r="S3918" s="124"/>
      <c r="T3918" s="124"/>
      <c r="U3918" s="124"/>
      <c r="V3918" s="124"/>
      <c r="W3918" s="124"/>
      <c r="X3918" s="124"/>
      <c r="Y3918" s="124"/>
      <c r="Z3918" s="124"/>
    </row>
    <row r="3919">
      <c r="A3919" s="124"/>
      <c r="B3919" s="124"/>
      <c r="C3919" s="147"/>
      <c r="D3919" s="124"/>
      <c r="E3919" s="124"/>
      <c r="F3919" s="124"/>
      <c r="G3919" s="124"/>
      <c r="H3919" s="124"/>
      <c r="I3919" s="124"/>
      <c r="J3919" s="124"/>
      <c r="K3919" s="124"/>
      <c r="L3919" s="124"/>
      <c r="M3919" s="124"/>
      <c r="N3919" s="124"/>
      <c r="O3919" s="124"/>
      <c r="P3919" s="124"/>
      <c r="Q3919" s="124"/>
      <c r="R3919" s="124"/>
      <c r="S3919" s="124"/>
      <c r="T3919" s="124"/>
      <c r="U3919" s="124"/>
      <c r="V3919" s="124"/>
      <c r="W3919" s="124"/>
      <c r="X3919" s="124"/>
      <c r="Y3919" s="124"/>
      <c r="Z3919" s="124"/>
    </row>
    <row r="3920">
      <c r="A3920" s="124"/>
      <c r="B3920" s="124"/>
      <c r="C3920" s="147"/>
      <c r="D3920" s="124"/>
      <c r="E3920" s="124"/>
      <c r="F3920" s="124"/>
      <c r="G3920" s="124"/>
      <c r="H3920" s="124"/>
      <c r="I3920" s="124"/>
      <c r="J3920" s="124"/>
      <c r="K3920" s="124"/>
      <c r="L3920" s="124"/>
      <c r="M3920" s="124"/>
      <c r="N3920" s="124"/>
      <c r="O3920" s="124"/>
      <c r="P3920" s="124"/>
      <c r="Q3920" s="124"/>
      <c r="R3920" s="124"/>
      <c r="S3920" s="124"/>
      <c r="T3920" s="124"/>
      <c r="U3920" s="124"/>
      <c r="V3920" s="124"/>
      <c r="W3920" s="124"/>
      <c r="X3920" s="124"/>
      <c r="Y3920" s="124"/>
      <c r="Z3920" s="124"/>
    </row>
    <row r="3921">
      <c r="A3921" s="124"/>
      <c r="B3921" s="124"/>
      <c r="C3921" s="147"/>
      <c r="D3921" s="124"/>
      <c r="E3921" s="124"/>
      <c r="F3921" s="124"/>
      <c r="G3921" s="124"/>
      <c r="H3921" s="124"/>
      <c r="I3921" s="124"/>
      <c r="J3921" s="124"/>
      <c r="K3921" s="124"/>
      <c r="L3921" s="124"/>
      <c r="M3921" s="124"/>
      <c r="N3921" s="124"/>
      <c r="O3921" s="124"/>
      <c r="P3921" s="124"/>
      <c r="Q3921" s="124"/>
      <c r="R3921" s="124"/>
      <c r="S3921" s="124"/>
      <c r="T3921" s="124"/>
      <c r="U3921" s="124"/>
      <c r="V3921" s="124"/>
      <c r="W3921" s="124"/>
      <c r="X3921" s="124"/>
      <c r="Y3921" s="124"/>
      <c r="Z3921" s="124"/>
    </row>
    <row r="3922">
      <c r="A3922" s="124"/>
      <c r="B3922" s="124"/>
      <c r="C3922" s="147"/>
      <c r="D3922" s="124"/>
      <c r="E3922" s="124"/>
      <c r="F3922" s="124"/>
      <c r="G3922" s="124"/>
      <c r="H3922" s="124"/>
      <c r="I3922" s="124"/>
      <c r="J3922" s="124"/>
      <c r="K3922" s="124"/>
      <c r="L3922" s="124"/>
      <c r="M3922" s="124"/>
      <c r="N3922" s="124"/>
      <c r="O3922" s="124"/>
      <c r="P3922" s="124"/>
      <c r="Q3922" s="124"/>
      <c r="R3922" s="124"/>
      <c r="S3922" s="124"/>
      <c r="T3922" s="124"/>
      <c r="U3922" s="124"/>
      <c r="V3922" s="124"/>
      <c r="W3922" s="124"/>
      <c r="X3922" s="124"/>
      <c r="Y3922" s="124"/>
      <c r="Z3922" s="124"/>
    </row>
    <row r="3923">
      <c r="A3923" s="124"/>
      <c r="B3923" s="124"/>
      <c r="C3923" s="147"/>
      <c r="D3923" s="124"/>
      <c r="E3923" s="124"/>
      <c r="F3923" s="124"/>
      <c r="G3923" s="124"/>
      <c r="H3923" s="124"/>
      <c r="I3923" s="124"/>
      <c r="J3923" s="124"/>
      <c r="K3923" s="124"/>
      <c r="L3923" s="124"/>
      <c r="M3923" s="124"/>
      <c r="N3923" s="124"/>
      <c r="O3923" s="124"/>
      <c r="P3923" s="124"/>
      <c r="Q3923" s="124"/>
      <c r="R3923" s="124"/>
      <c r="S3923" s="124"/>
      <c r="T3923" s="124"/>
      <c r="U3923" s="124"/>
      <c r="V3923" s="124"/>
      <c r="W3923" s="124"/>
      <c r="X3923" s="124"/>
      <c r="Y3923" s="124"/>
      <c r="Z3923" s="124"/>
    </row>
    <row r="3924">
      <c r="A3924" s="124"/>
      <c r="B3924" s="124"/>
      <c r="C3924" s="147"/>
      <c r="D3924" s="124"/>
      <c r="E3924" s="124"/>
      <c r="F3924" s="124"/>
      <c r="G3924" s="124"/>
      <c r="H3924" s="124"/>
      <c r="I3924" s="124"/>
      <c r="J3924" s="124"/>
      <c r="K3924" s="124"/>
      <c r="L3924" s="124"/>
      <c r="M3924" s="124"/>
      <c r="N3924" s="124"/>
      <c r="O3924" s="124"/>
      <c r="P3924" s="124"/>
      <c r="Q3924" s="124"/>
      <c r="R3924" s="124"/>
      <c r="S3924" s="124"/>
      <c r="T3924" s="124"/>
      <c r="U3924" s="124"/>
      <c r="V3924" s="124"/>
      <c r="W3924" s="124"/>
      <c r="X3924" s="124"/>
      <c r="Y3924" s="124"/>
      <c r="Z3924" s="124"/>
    </row>
    <row r="3925">
      <c r="A3925" s="124"/>
      <c r="B3925" s="124"/>
      <c r="C3925" s="147"/>
      <c r="D3925" s="124"/>
      <c r="E3925" s="124"/>
      <c r="F3925" s="124"/>
      <c r="G3925" s="124"/>
      <c r="H3925" s="124"/>
      <c r="I3925" s="124"/>
      <c r="J3925" s="124"/>
      <c r="K3925" s="124"/>
      <c r="L3925" s="124"/>
      <c r="M3925" s="124"/>
      <c r="N3925" s="124"/>
      <c r="O3925" s="124"/>
      <c r="P3925" s="124"/>
      <c r="Q3925" s="124"/>
      <c r="R3925" s="124"/>
      <c r="S3925" s="124"/>
      <c r="T3925" s="124"/>
      <c r="U3925" s="124"/>
      <c r="V3925" s="124"/>
      <c r="W3925" s="124"/>
      <c r="X3925" s="124"/>
      <c r="Y3925" s="124"/>
      <c r="Z3925" s="124"/>
    </row>
    <row r="3926">
      <c r="A3926" s="124"/>
      <c r="B3926" s="124"/>
      <c r="C3926" s="147"/>
      <c r="D3926" s="124"/>
      <c r="E3926" s="124"/>
      <c r="F3926" s="124"/>
      <c r="G3926" s="124"/>
      <c r="H3926" s="124"/>
      <c r="I3926" s="124"/>
      <c r="J3926" s="124"/>
      <c r="K3926" s="124"/>
      <c r="L3926" s="124"/>
      <c r="M3926" s="124"/>
      <c r="N3926" s="124"/>
      <c r="O3926" s="124"/>
      <c r="P3926" s="124"/>
      <c r="Q3926" s="124"/>
      <c r="R3926" s="124"/>
      <c r="S3926" s="124"/>
      <c r="T3926" s="124"/>
      <c r="U3926" s="124"/>
      <c r="V3926" s="124"/>
      <c r="W3926" s="124"/>
      <c r="X3926" s="124"/>
      <c r="Y3926" s="124"/>
      <c r="Z3926" s="124"/>
    </row>
    <row r="3927">
      <c r="A3927" s="124"/>
      <c r="B3927" s="124"/>
      <c r="C3927" s="147"/>
      <c r="D3927" s="124"/>
      <c r="E3927" s="124"/>
      <c r="F3927" s="124"/>
      <c r="G3927" s="124"/>
      <c r="H3927" s="124"/>
      <c r="I3927" s="124"/>
      <c r="J3927" s="124"/>
      <c r="K3927" s="124"/>
      <c r="L3927" s="124"/>
      <c r="M3927" s="124"/>
      <c r="N3927" s="124"/>
      <c r="O3927" s="124"/>
      <c r="P3927" s="124"/>
      <c r="Q3927" s="124"/>
      <c r="R3927" s="124"/>
      <c r="S3927" s="124"/>
      <c r="T3927" s="124"/>
      <c r="U3927" s="124"/>
      <c r="V3927" s="124"/>
      <c r="W3927" s="124"/>
      <c r="X3927" s="124"/>
      <c r="Y3927" s="124"/>
      <c r="Z3927" s="124"/>
    </row>
    <row r="3928">
      <c r="A3928" s="124"/>
      <c r="B3928" s="124"/>
      <c r="C3928" s="147"/>
      <c r="D3928" s="124"/>
      <c r="E3928" s="124"/>
      <c r="F3928" s="124"/>
      <c r="G3928" s="124"/>
      <c r="H3928" s="124"/>
      <c r="I3928" s="124"/>
      <c r="J3928" s="124"/>
      <c r="K3928" s="124"/>
      <c r="L3928" s="124"/>
      <c r="M3928" s="124"/>
      <c r="N3928" s="124"/>
      <c r="O3928" s="124"/>
      <c r="P3928" s="124"/>
      <c r="Q3928" s="124"/>
      <c r="R3928" s="124"/>
      <c r="S3928" s="124"/>
      <c r="T3928" s="124"/>
      <c r="U3928" s="124"/>
      <c r="V3928" s="124"/>
      <c r="W3928" s="124"/>
      <c r="X3928" s="124"/>
      <c r="Y3928" s="124"/>
      <c r="Z3928" s="124"/>
    </row>
    <row r="3929">
      <c r="A3929" s="124"/>
      <c r="B3929" s="124"/>
      <c r="C3929" s="147"/>
      <c r="D3929" s="124"/>
      <c r="E3929" s="124"/>
      <c r="F3929" s="124"/>
      <c r="G3929" s="124"/>
      <c r="H3929" s="124"/>
      <c r="I3929" s="124"/>
      <c r="J3929" s="124"/>
      <c r="K3929" s="124"/>
      <c r="L3929" s="124"/>
      <c r="M3929" s="124"/>
      <c r="N3929" s="124"/>
      <c r="O3929" s="124"/>
      <c r="P3929" s="124"/>
      <c r="Q3929" s="124"/>
      <c r="R3929" s="124"/>
      <c r="S3929" s="124"/>
      <c r="T3929" s="124"/>
      <c r="U3929" s="124"/>
      <c r="V3929" s="124"/>
      <c r="W3929" s="124"/>
      <c r="X3929" s="124"/>
      <c r="Y3929" s="124"/>
      <c r="Z3929" s="124"/>
    </row>
    <row r="3930">
      <c r="A3930" s="124"/>
      <c r="B3930" s="124"/>
      <c r="C3930" s="147"/>
      <c r="D3930" s="124"/>
      <c r="E3930" s="124"/>
      <c r="F3930" s="124"/>
      <c r="G3930" s="124"/>
      <c r="H3930" s="124"/>
      <c r="I3930" s="124"/>
      <c r="J3930" s="124"/>
      <c r="K3930" s="124"/>
      <c r="L3930" s="124"/>
      <c r="M3930" s="124"/>
      <c r="N3930" s="124"/>
      <c r="O3930" s="124"/>
      <c r="P3930" s="124"/>
      <c r="Q3930" s="124"/>
      <c r="R3930" s="124"/>
      <c r="S3930" s="124"/>
      <c r="T3930" s="124"/>
      <c r="U3930" s="124"/>
      <c r="V3930" s="124"/>
      <c r="W3930" s="124"/>
      <c r="X3930" s="124"/>
      <c r="Y3930" s="124"/>
      <c r="Z3930" s="124"/>
    </row>
    <row r="3931">
      <c r="A3931" s="124"/>
      <c r="B3931" s="124"/>
      <c r="C3931" s="147"/>
      <c r="D3931" s="124"/>
      <c r="E3931" s="124"/>
      <c r="F3931" s="124"/>
      <c r="G3931" s="124"/>
      <c r="H3931" s="124"/>
      <c r="I3931" s="124"/>
      <c r="J3931" s="124"/>
      <c r="K3931" s="124"/>
      <c r="L3931" s="124"/>
      <c r="M3931" s="124"/>
      <c r="N3931" s="124"/>
      <c r="O3931" s="124"/>
      <c r="P3931" s="124"/>
      <c r="Q3931" s="124"/>
      <c r="R3931" s="124"/>
      <c r="S3931" s="124"/>
      <c r="T3931" s="124"/>
      <c r="U3931" s="124"/>
      <c r="V3931" s="124"/>
      <c r="W3931" s="124"/>
      <c r="X3931" s="124"/>
      <c r="Y3931" s="124"/>
      <c r="Z3931" s="124"/>
    </row>
    <row r="3932">
      <c r="A3932" s="124"/>
      <c r="B3932" s="124"/>
      <c r="C3932" s="147"/>
      <c r="D3932" s="124"/>
      <c r="E3932" s="124"/>
      <c r="F3932" s="124"/>
      <c r="G3932" s="124"/>
      <c r="H3932" s="124"/>
      <c r="I3932" s="124"/>
      <c r="J3932" s="124"/>
      <c r="K3932" s="124"/>
      <c r="L3932" s="124"/>
      <c r="M3932" s="124"/>
      <c r="N3932" s="124"/>
      <c r="O3932" s="124"/>
      <c r="P3932" s="124"/>
      <c r="Q3932" s="124"/>
      <c r="R3932" s="124"/>
      <c r="S3932" s="124"/>
      <c r="T3932" s="124"/>
      <c r="U3932" s="124"/>
      <c r="V3932" s="124"/>
      <c r="W3932" s="124"/>
      <c r="X3932" s="124"/>
      <c r="Y3932" s="124"/>
      <c r="Z3932" s="124"/>
    </row>
    <row r="3933">
      <c r="A3933" s="124"/>
      <c r="B3933" s="124"/>
      <c r="C3933" s="147"/>
      <c r="D3933" s="124"/>
      <c r="E3933" s="124"/>
      <c r="F3933" s="124"/>
      <c r="G3933" s="124"/>
      <c r="H3933" s="124"/>
      <c r="I3933" s="124"/>
      <c r="J3933" s="124"/>
      <c r="K3933" s="124"/>
      <c r="L3933" s="124"/>
      <c r="M3933" s="124"/>
      <c r="N3933" s="124"/>
      <c r="O3933" s="124"/>
      <c r="P3933" s="124"/>
      <c r="Q3933" s="124"/>
      <c r="R3933" s="124"/>
      <c r="S3933" s="124"/>
      <c r="T3933" s="124"/>
      <c r="U3933" s="124"/>
      <c r="V3933" s="124"/>
      <c r="W3933" s="124"/>
      <c r="X3933" s="124"/>
      <c r="Y3933" s="124"/>
      <c r="Z3933" s="124"/>
    </row>
    <row r="3934">
      <c r="A3934" s="124"/>
      <c r="B3934" s="124"/>
      <c r="C3934" s="147"/>
      <c r="D3934" s="124"/>
      <c r="E3934" s="124"/>
      <c r="F3934" s="124"/>
      <c r="G3934" s="124"/>
      <c r="H3934" s="124"/>
      <c r="I3934" s="124"/>
      <c r="J3934" s="124"/>
      <c r="K3934" s="124"/>
      <c r="L3934" s="124"/>
      <c r="M3934" s="124"/>
      <c r="N3934" s="124"/>
      <c r="O3934" s="124"/>
      <c r="P3934" s="124"/>
      <c r="Q3934" s="124"/>
      <c r="R3934" s="124"/>
      <c r="S3934" s="124"/>
      <c r="T3934" s="124"/>
      <c r="U3934" s="124"/>
      <c r="V3934" s="124"/>
      <c r="W3934" s="124"/>
      <c r="X3934" s="124"/>
      <c r="Y3934" s="124"/>
      <c r="Z3934" s="124"/>
    </row>
    <row r="3935">
      <c r="A3935" s="124"/>
      <c r="B3935" s="124"/>
      <c r="C3935" s="147"/>
      <c r="D3935" s="124"/>
      <c r="E3935" s="124"/>
      <c r="F3935" s="124"/>
      <c r="G3935" s="124"/>
      <c r="H3935" s="124"/>
      <c r="I3935" s="124"/>
      <c r="J3935" s="124"/>
      <c r="K3935" s="124"/>
      <c r="L3935" s="124"/>
      <c r="M3935" s="124"/>
      <c r="N3935" s="124"/>
      <c r="O3935" s="124"/>
      <c r="P3935" s="124"/>
      <c r="Q3935" s="124"/>
      <c r="R3935" s="124"/>
      <c r="S3935" s="124"/>
      <c r="T3935" s="124"/>
      <c r="U3935" s="124"/>
      <c r="V3935" s="124"/>
      <c r="W3935" s="124"/>
      <c r="X3935" s="124"/>
      <c r="Y3935" s="124"/>
      <c r="Z3935" s="124"/>
    </row>
    <row r="3936">
      <c r="A3936" s="124"/>
      <c r="B3936" s="124"/>
      <c r="C3936" s="147"/>
      <c r="D3936" s="124"/>
      <c r="E3936" s="124"/>
      <c r="F3936" s="124"/>
      <c r="G3936" s="124"/>
      <c r="H3936" s="124"/>
      <c r="I3936" s="124"/>
      <c r="J3936" s="124"/>
      <c r="K3936" s="124"/>
      <c r="L3936" s="124"/>
      <c r="M3936" s="124"/>
      <c r="N3936" s="124"/>
      <c r="O3936" s="124"/>
      <c r="P3936" s="124"/>
      <c r="Q3936" s="124"/>
      <c r="R3936" s="124"/>
      <c r="S3936" s="124"/>
      <c r="T3936" s="124"/>
      <c r="U3936" s="124"/>
      <c r="V3936" s="124"/>
      <c r="W3936" s="124"/>
      <c r="X3936" s="124"/>
      <c r="Y3936" s="124"/>
      <c r="Z3936" s="124"/>
    </row>
    <row r="3937">
      <c r="A3937" s="124"/>
      <c r="B3937" s="124"/>
      <c r="C3937" s="147"/>
      <c r="D3937" s="124"/>
      <c r="E3937" s="124"/>
      <c r="F3937" s="124"/>
      <c r="G3937" s="124"/>
      <c r="H3937" s="124"/>
      <c r="I3937" s="124"/>
      <c r="J3937" s="124"/>
      <c r="K3937" s="124"/>
      <c r="L3937" s="124"/>
      <c r="M3937" s="124"/>
      <c r="N3937" s="124"/>
      <c r="O3937" s="124"/>
      <c r="P3937" s="124"/>
      <c r="Q3937" s="124"/>
      <c r="R3937" s="124"/>
      <c r="S3937" s="124"/>
      <c r="T3937" s="124"/>
      <c r="U3937" s="124"/>
      <c r="V3937" s="124"/>
      <c r="W3937" s="124"/>
      <c r="X3937" s="124"/>
      <c r="Y3937" s="124"/>
      <c r="Z3937" s="124"/>
    </row>
    <row r="3938">
      <c r="A3938" s="124"/>
      <c r="B3938" s="124"/>
      <c r="C3938" s="147"/>
      <c r="D3938" s="124"/>
      <c r="E3938" s="124"/>
      <c r="F3938" s="124"/>
      <c r="G3938" s="124"/>
      <c r="H3938" s="124"/>
      <c r="I3938" s="124"/>
      <c r="J3938" s="124"/>
      <c r="K3938" s="124"/>
      <c r="L3938" s="124"/>
      <c r="M3938" s="124"/>
      <c r="N3938" s="124"/>
      <c r="O3938" s="124"/>
      <c r="P3938" s="124"/>
      <c r="Q3938" s="124"/>
      <c r="R3938" s="124"/>
      <c r="S3938" s="124"/>
      <c r="T3938" s="124"/>
      <c r="U3938" s="124"/>
      <c r="V3938" s="124"/>
      <c r="W3938" s="124"/>
      <c r="X3938" s="124"/>
      <c r="Y3938" s="124"/>
      <c r="Z3938" s="124"/>
    </row>
    <row r="3939">
      <c r="A3939" s="124"/>
      <c r="B3939" s="124"/>
      <c r="C3939" s="147"/>
      <c r="D3939" s="124"/>
      <c r="E3939" s="124"/>
      <c r="F3939" s="124"/>
      <c r="G3939" s="124"/>
      <c r="H3939" s="124"/>
      <c r="I3939" s="124"/>
      <c r="J3939" s="124"/>
      <c r="K3939" s="124"/>
      <c r="L3939" s="124"/>
      <c r="M3939" s="124"/>
      <c r="N3939" s="124"/>
      <c r="O3939" s="124"/>
      <c r="P3939" s="124"/>
      <c r="Q3939" s="124"/>
      <c r="R3939" s="124"/>
      <c r="S3939" s="124"/>
      <c r="T3939" s="124"/>
      <c r="U3939" s="124"/>
      <c r="V3939" s="124"/>
      <c r="W3939" s="124"/>
      <c r="X3939" s="124"/>
      <c r="Y3939" s="124"/>
      <c r="Z3939" s="124"/>
    </row>
    <row r="3940">
      <c r="A3940" s="124"/>
      <c r="B3940" s="124"/>
      <c r="C3940" s="147"/>
      <c r="D3940" s="124"/>
      <c r="E3940" s="124"/>
      <c r="F3940" s="124"/>
      <c r="G3940" s="124"/>
      <c r="H3940" s="124"/>
      <c r="I3940" s="124"/>
      <c r="J3940" s="124"/>
      <c r="K3940" s="124"/>
      <c r="L3940" s="124"/>
      <c r="M3940" s="124"/>
      <c r="N3940" s="124"/>
      <c r="O3940" s="124"/>
      <c r="P3940" s="124"/>
      <c r="Q3940" s="124"/>
      <c r="R3940" s="124"/>
      <c r="S3940" s="124"/>
      <c r="T3940" s="124"/>
      <c r="U3940" s="124"/>
      <c r="V3940" s="124"/>
      <c r="W3940" s="124"/>
      <c r="X3940" s="124"/>
      <c r="Y3940" s="124"/>
      <c r="Z3940" s="124"/>
    </row>
    <row r="3941">
      <c r="A3941" s="124"/>
      <c r="B3941" s="124"/>
      <c r="C3941" s="147"/>
      <c r="D3941" s="124"/>
      <c r="E3941" s="124"/>
      <c r="F3941" s="124"/>
      <c r="G3941" s="124"/>
      <c r="H3941" s="124"/>
      <c r="I3941" s="124"/>
      <c r="J3941" s="124"/>
      <c r="K3941" s="124"/>
      <c r="L3941" s="124"/>
      <c r="M3941" s="124"/>
      <c r="N3941" s="124"/>
      <c r="O3941" s="124"/>
      <c r="P3941" s="124"/>
      <c r="Q3941" s="124"/>
      <c r="R3941" s="124"/>
      <c r="S3941" s="124"/>
      <c r="T3941" s="124"/>
      <c r="U3941" s="124"/>
      <c r="V3941" s="124"/>
      <c r="W3941" s="124"/>
      <c r="X3941" s="124"/>
      <c r="Y3941" s="124"/>
      <c r="Z3941" s="124"/>
    </row>
    <row r="3942">
      <c r="A3942" s="124"/>
      <c r="B3942" s="124"/>
      <c r="C3942" s="147"/>
      <c r="D3942" s="124"/>
      <c r="E3942" s="124"/>
      <c r="F3942" s="124"/>
      <c r="G3942" s="124"/>
      <c r="H3942" s="124"/>
      <c r="I3942" s="124"/>
      <c r="J3942" s="124"/>
      <c r="K3942" s="124"/>
      <c r="L3942" s="124"/>
      <c r="M3942" s="124"/>
      <c r="N3942" s="124"/>
      <c r="O3942" s="124"/>
      <c r="P3942" s="124"/>
      <c r="Q3942" s="124"/>
      <c r="R3942" s="124"/>
      <c r="S3942" s="124"/>
      <c r="T3942" s="124"/>
      <c r="U3942" s="124"/>
      <c r="V3942" s="124"/>
      <c r="W3942" s="124"/>
      <c r="X3942" s="124"/>
      <c r="Y3942" s="124"/>
      <c r="Z3942" s="124"/>
    </row>
    <row r="3943">
      <c r="A3943" s="124"/>
      <c r="B3943" s="124"/>
      <c r="C3943" s="147"/>
      <c r="D3943" s="124"/>
      <c r="E3943" s="124"/>
      <c r="F3943" s="124"/>
      <c r="G3943" s="124"/>
      <c r="H3943" s="124"/>
      <c r="I3943" s="124"/>
      <c r="J3943" s="124"/>
      <c r="K3943" s="124"/>
      <c r="L3943" s="124"/>
      <c r="M3943" s="124"/>
      <c r="N3943" s="124"/>
      <c r="O3943" s="124"/>
      <c r="P3943" s="124"/>
      <c r="Q3943" s="124"/>
      <c r="R3943" s="124"/>
      <c r="S3943" s="124"/>
      <c r="T3943" s="124"/>
      <c r="U3943" s="124"/>
      <c r="V3943" s="124"/>
      <c r="W3943" s="124"/>
      <c r="X3943" s="124"/>
      <c r="Y3943" s="124"/>
      <c r="Z3943" s="124"/>
    </row>
    <row r="3944">
      <c r="A3944" s="124"/>
      <c r="B3944" s="124"/>
      <c r="C3944" s="147"/>
      <c r="D3944" s="124"/>
      <c r="E3944" s="124"/>
      <c r="F3944" s="124"/>
      <c r="G3944" s="124"/>
      <c r="H3944" s="124"/>
      <c r="I3944" s="124"/>
      <c r="J3944" s="124"/>
      <c r="K3944" s="124"/>
      <c r="L3944" s="124"/>
      <c r="M3944" s="124"/>
      <c r="N3944" s="124"/>
      <c r="O3944" s="124"/>
      <c r="P3944" s="124"/>
      <c r="Q3944" s="124"/>
      <c r="R3944" s="124"/>
      <c r="S3944" s="124"/>
      <c r="T3944" s="124"/>
      <c r="U3944" s="124"/>
      <c r="V3944" s="124"/>
      <c r="W3944" s="124"/>
      <c r="X3944" s="124"/>
      <c r="Y3944" s="124"/>
      <c r="Z3944" s="124"/>
    </row>
    <row r="3945">
      <c r="A3945" s="124"/>
      <c r="B3945" s="124"/>
      <c r="C3945" s="147"/>
      <c r="D3945" s="124"/>
      <c r="E3945" s="124"/>
      <c r="F3945" s="124"/>
      <c r="G3945" s="124"/>
      <c r="H3945" s="124"/>
      <c r="I3945" s="124"/>
      <c r="J3945" s="124"/>
      <c r="K3945" s="124"/>
      <c r="L3945" s="124"/>
      <c r="M3945" s="124"/>
      <c r="N3945" s="124"/>
      <c r="O3945" s="124"/>
      <c r="P3945" s="124"/>
      <c r="Q3945" s="124"/>
      <c r="R3945" s="124"/>
      <c r="S3945" s="124"/>
      <c r="T3945" s="124"/>
      <c r="U3945" s="124"/>
      <c r="V3945" s="124"/>
      <c r="W3945" s="124"/>
      <c r="X3945" s="124"/>
      <c r="Y3945" s="124"/>
      <c r="Z3945" s="124"/>
    </row>
    <row r="3946">
      <c r="A3946" s="124"/>
      <c r="B3946" s="124"/>
      <c r="C3946" s="147"/>
      <c r="D3946" s="124"/>
      <c r="E3946" s="124"/>
      <c r="F3946" s="124"/>
      <c r="G3946" s="124"/>
      <c r="H3946" s="124"/>
      <c r="I3946" s="124"/>
      <c r="J3946" s="124"/>
      <c r="K3946" s="124"/>
      <c r="L3946" s="124"/>
      <c r="M3946" s="124"/>
      <c r="N3946" s="124"/>
      <c r="O3946" s="124"/>
      <c r="P3946" s="124"/>
      <c r="Q3946" s="124"/>
      <c r="R3946" s="124"/>
      <c r="S3946" s="124"/>
      <c r="T3946" s="124"/>
      <c r="U3946" s="124"/>
      <c r="V3946" s="124"/>
      <c r="W3946" s="124"/>
      <c r="X3946" s="124"/>
      <c r="Y3946" s="124"/>
      <c r="Z3946" s="124"/>
    </row>
    <row r="3947">
      <c r="A3947" s="124"/>
      <c r="B3947" s="124"/>
      <c r="C3947" s="147"/>
      <c r="D3947" s="124"/>
      <c r="E3947" s="124"/>
      <c r="F3947" s="124"/>
      <c r="G3947" s="124"/>
      <c r="H3947" s="124"/>
      <c r="I3947" s="124"/>
      <c r="J3947" s="124"/>
      <c r="K3947" s="124"/>
      <c r="L3947" s="124"/>
      <c r="M3947" s="124"/>
      <c r="N3947" s="124"/>
      <c r="O3947" s="124"/>
      <c r="P3947" s="124"/>
      <c r="Q3947" s="124"/>
      <c r="R3947" s="124"/>
      <c r="S3947" s="124"/>
      <c r="T3947" s="124"/>
      <c r="U3947" s="124"/>
      <c r="V3947" s="124"/>
      <c r="W3947" s="124"/>
      <c r="X3947" s="124"/>
      <c r="Y3947" s="124"/>
      <c r="Z3947" s="124"/>
    </row>
    <row r="3948">
      <c r="A3948" s="124"/>
      <c r="B3948" s="124"/>
      <c r="C3948" s="147"/>
      <c r="D3948" s="124"/>
      <c r="E3948" s="124"/>
      <c r="F3948" s="124"/>
      <c r="G3948" s="124"/>
      <c r="H3948" s="124"/>
      <c r="I3948" s="124"/>
      <c r="J3948" s="124"/>
      <c r="K3948" s="124"/>
      <c r="L3948" s="124"/>
      <c r="M3948" s="124"/>
      <c r="N3948" s="124"/>
      <c r="O3948" s="124"/>
      <c r="P3948" s="124"/>
      <c r="Q3948" s="124"/>
      <c r="R3948" s="124"/>
      <c r="S3948" s="124"/>
      <c r="T3948" s="124"/>
      <c r="U3948" s="124"/>
      <c r="V3948" s="124"/>
      <c r="W3948" s="124"/>
      <c r="X3948" s="124"/>
      <c r="Y3948" s="124"/>
      <c r="Z3948" s="124"/>
    </row>
    <row r="3949">
      <c r="A3949" s="124"/>
      <c r="B3949" s="124"/>
      <c r="C3949" s="147"/>
      <c r="D3949" s="124"/>
      <c r="E3949" s="124"/>
      <c r="F3949" s="124"/>
      <c r="G3949" s="124"/>
      <c r="H3949" s="124"/>
      <c r="I3949" s="124"/>
      <c r="J3949" s="124"/>
      <c r="K3949" s="124"/>
      <c r="L3949" s="124"/>
      <c r="M3949" s="124"/>
      <c r="N3949" s="124"/>
      <c r="O3949" s="124"/>
      <c r="P3949" s="124"/>
      <c r="Q3949" s="124"/>
      <c r="R3949" s="124"/>
      <c r="S3949" s="124"/>
      <c r="T3949" s="124"/>
      <c r="U3949" s="124"/>
      <c r="V3949" s="124"/>
      <c r="W3949" s="124"/>
      <c r="X3949" s="124"/>
      <c r="Y3949" s="124"/>
      <c r="Z3949" s="124"/>
    </row>
    <row r="3950">
      <c r="A3950" s="124"/>
      <c r="B3950" s="124"/>
      <c r="C3950" s="147"/>
      <c r="D3950" s="124"/>
      <c r="E3950" s="124"/>
      <c r="F3950" s="124"/>
      <c r="G3950" s="124"/>
      <c r="H3950" s="124"/>
      <c r="I3950" s="124"/>
      <c r="J3950" s="124"/>
      <c r="K3950" s="124"/>
      <c r="L3950" s="124"/>
      <c r="M3950" s="124"/>
      <c r="N3950" s="124"/>
      <c r="O3950" s="124"/>
      <c r="P3950" s="124"/>
      <c r="Q3950" s="124"/>
      <c r="R3950" s="124"/>
      <c r="S3950" s="124"/>
      <c r="T3950" s="124"/>
      <c r="U3950" s="124"/>
      <c r="V3950" s="124"/>
      <c r="W3950" s="124"/>
      <c r="X3950" s="124"/>
      <c r="Y3950" s="124"/>
      <c r="Z3950" s="124"/>
    </row>
    <row r="3951">
      <c r="A3951" s="124"/>
      <c r="B3951" s="124"/>
      <c r="C3951" s="147"/>
      <c r="D3951" s="124"/>
      <c r="E3951" s="124"/>
      <c r="F3951" s="124"/>
      <c r="G3951" s="124"/>
      <c r="H3951" s="124"/>
      <c r="I3951" s="124"/>
      <c r="J3951" s="124"/>
      <c r="K3951" s="124"/>
      <c r="L3951" s="124"/>
      <c r="M3951" s="124"/>
      <c r="N3951" s="124"/>
      <c r="O3951" s="124"/>
      <c r="P3951" s="124"/>
      <c r="Q3951" s="124"/>
      <c r="R3951" s="124"/>
      <c r="S3951" s="124"/>
      <c r="T3951" s="124"/>
      <c r="U3951" s="124"/>
      <c r="V3951" s="124"/>
      <c r="W3951" s="124"/>
      <c r="X3951" s="124"/>
      <c r="Y3951" s="124"/>
      <c r="Z3951" s="124"/>
    </row>
    <row r="3952">
      <c r="A3952" s="124"/>
      <c r="B3952" s="124"/>
      <c r="C3952" s="147"/>
      <c r="D3952" s="124"/>
      <c r="E3952" s="124"/>
      <c r="F3952" s="124"/>
      <c r="G3952" s="124"/>
      <c r="H3952" s="124"/>
      <c r="I3952" s="124"/>
      <c r="J3952" s="124"/>
      <c r="K3952" s="124"/>
      <c r="L3952" s="124"/>
      <c r="M3952" s="124"/>
      <c r="N3952" s="124"/>
      <c r="O3952" s="124"/>
      <c r="P3952" s="124"/>
      <c r="Q3952" s="124"/>
      <c r="R3952" s="124"/>
      <c r="S3952" s="124"/>
      <c r="T3952" s="124"/>
      <c r="U3952" s="124"/>
      <c r="V3952" s="124"/>
      <c r="W3952" s="124"/>
      <c r="X3952" s="124"/>
      <c r="Y3952" s="124"/>
      <c r="Z3952" s="124"/>
    </row>
    <row r="3953">
      <c r="A3953" s="124"/>
      <c r="B3953" s="124"/>
      <c r="C3953" s="147"/>
      <c r="D3953" s="124"/>
      <c r="E3953" s="124"/>
      <c r="F3953" s="124"/>
      <c r="G3953" s="124"/>
      <c r="H3953" s="124"/>
      <c r="I3953" s="124"/>
      <c r="J3953" s="124"/>
      <c r="K3953" s="124"/>
      <c r="L3953" s="124"/>
      <c r="M3953" s="124"/>
      <c r="N3953" s="124"/>
      <c r="O3953" s="124"/>
      <c r="P3953" s="124"/>
      <c r="Q3953" s="124"/>
      <c r="R3953" s="124"/>
      <c r="S3953" s="124"/>
      <c r="T3953" s="124"/>
      <c r="U3953" s="124"/>
      <c r="V3953" s="124"/>
      <c r="W3953" s="124"/>
      <c r="X3953" s="124"/>
      <c r="Y3953" s="124"/>
      <c r="Z3953" s="124"/>
    </row>
    <row r="3954">
      <c r="A3954" s="124"/>
      <c r="B3954" s="124"/>
      <c r="C3954" s="147"/>
      <c r="D3954" s="124"/>
      <c r="E3954" s="124"/>
      <c r="F3954" s="124"/>
      <c r="G3954" s="124"/>
      <c r="H3954" s="124"/>
      <c r="I3954" s="124"/>
      <c r="J3954" s="124"/>
      <c r="K3954" s="124"/>
      <c r="L3954" s="124"/>
      <c r="M3954" s="124"/>
      <c r="N3954" s="124"/>
      <c r="O3954" s="124"/>
      <c r="P3954" s="124"/>
      <c r="Q3954" s="124"/>
      <c r="R3954" s="124"/>
      <c r="S3954" s="124"/>
      <c r="T3954" s="124"/>
      <c r="U3954" s="124"/>
      <c r="V3954" s="124"/>
      <c r="W3954" s="124"/>
      <c r="X3954" s="124"/>
      <c r="Y3954" s="124"/>
      <c r="Z3954" s="124"/>
    </row>
    <row r="3955">
      <c r="A3955" s="124"/>
      <c r="B3955" s="124"/>
      <c r="C3955" s="147"/>
      <c r="D3955" s="124"/>
      <c r="E3955" s="124"/>
      <c r="F3955" s="124"/>
      <c r="G3955" s="124"/>
      <c r="H3955" s="124"/>
      <c r="I3955" s="124"/>
      <c r="J3955" s="124"/>
      <c r="K3955" s="124"/>
      <c r="L3955" s="124"/>
      <c r="M3955" s="124"/>
      <c r="N3955" s="124"/>
      <c r="O3955" s="124"/>
      <c r="P3955" s="124"/>
      <c r="Q3955" s="124"/>
      <c r="R3955" s="124"/>
      <c r="S3955" s="124"/>
      <c r="T3955" s="124"/>
      <c r="U3955" s="124"/>
      <c r="V3955" s="124"/>
      <c r="W3955" s="124"/>
      <c r="X3955" s="124"/>
      <c r="Y3955" s="124"/>
      <c r="Z3955" s="124"/>
    </row>
    <row r="3956">
      <c r="A3956" s="124"/>
      <c r="B3956" s="124"/>
      <c r="C3956" s="147"/>
      <c r="D3956" s="124"/>
      <c r="E3956" s="124"/>
      <c r="F3956" s="124"/>
      <c r="G3956" s="124"/>
      <c r="H3956" s="124"/>
      <c r="I3956" s="124"/>
      <c r="J3956" s="124"/>
      <c r="K3956" s="124"/>
      <c r="L3956" s="124"/>
      <c r="M3956" s="124"/>
      <c r="N3956" s="124"/>
      <c r="O3956" s="124"/>
      <c r="P3956" s="124"/>
      <c r="Q3956" s="124"/>
      <c r="R3956" s="124"/>
      <c r="S3956" s="124"/>
      <c r="T3956" s="124"/>
      <c r="U3956" s="124"/>
      <c r="V3956" s="124"/>
      <c r="W3956" s="124"/>
      <c r="X3956" s="124"/>
      <c r="Y3956" s="124"/>
      <c r="Z3956" s="124"/>
    </row>
    <row r="3957">
      <c r="A3957" s="124"/>
      <c r="B3957" s="124"/>
      <c r="C3957" s="147"/>
      <c r="D3957" s="124"/>
      <c r="E3957" s="124"/>
      <c r="F3957" s="124"/>
      <c r="G3957" s="124"/>
      <c r="H3957" s="124"/>
      <c r="I3957" s="124"/>
      <c r="J3957" s="124"/>
      <c r="K3957" s="124"/>
      <c r="L3957" s="124"/>
      <c r="M3957" s="124"/>
      <c r="N3957" s="124"/>
      <c r="O3957" s="124"/>
      <c r="P3957" s="124"/>
      <c r="Q3957" s="124"/>
      <c r="R3957" s="124"/>
      <c r="S3957" s="124"/>
      <c r="T3957" s="124"/>
      <c r="U3957" s="124"/>
      <c r="V3957" s="124"/>
      <c r="W3957" s="124"/>
      <c r="X3957" s="124"/>
      <c r="Y3957" s="124"/>
      <c r="Z3957" s="124"/>
    </row>
    <row r="3958">
      <c r="A3958" s="124"/>
      <c r="B3958" s="124"/>
      <c r="C3958" s="147"/>
      <c r="D3958" s="124"/>
      <c r="E3958" s="124"/>
      <c r="F3958" s="124"/>
      <c r="G3958" s="124"/>
      <c r="H3958" s="124"/>
      <c r="I3958" s="124"/>
      <c r="J3958" s="124"/>
      <c r="K3958" s="124"/>
      <c r="L3958" s="124"/>
      <c r="M3958" s="124"/>
      <c r="N3958" s="124"/>
      <c r="O3958" s="124"/>
      <c r="P3958" s="124"/>
      <c r="Q3958" s="124"/>
      <c r="R3958" s="124"/>
      <c r="S3958" s="124"/>
      <c r="T3958" s="124"/>
      <c r="U3958" s="124"/>
      <c r="V3958" s="124"/>
      <c r="W3958" s="124"/>
      <c r="X3958" s="124"/>
      <c r="Y3958" s="124"/>
      <c r="Z3958" s="124"/>
    </row>
    <row r="3959">
      <c r="A3959" s="124"/>
      <c r="B3959" s="124"/>
      <c r="C3959" s="147"/>
      <c r="D3959" s="124"/>
      <c r="E3959" s="124"/>
      <c r="F3959" s="124"/>
      <c r="G3959" s="124"/>
      <c r="H3959" s="124"/>
      <c r="I3959" s="124"/>
      <c r="J3959" s="124"/>
      <c r="K3959" s="124"/>
      <c r="L3959" s="124"/>
      <c r="M3959" s="124"/>
      <c r="N3959" s="124"/>
      <c r="O3959" s="124"/>
      <c r="P3959" s="124"/>
      <c r="Q3959" s="124"/>
      <c r="R3959" s="124"/>
      <c r="S3959" s="124"/>
      <c r="T3959" s="124"/>
      <c r="U3959" s="124"/>
      <c r="V3959" s="124"/>
      <c r="W3959" s="124"/>
      <c r="X3959" s="124"/>
      <c r="Y3959" s="124"/>
      <c r="Z3959" s="124"/>
    </row>
    <row r="3960">
      <c r="A3960" s="124"/>
      <c r="B3960" s="124"/>
      <c r="C3960" s="147"/>
      <c r="D3960" s="124"/>
      <c r="E3960" s="124"/>
      <c r="F3960" s="124"/>
      <c r="G3960" s="124"/>
      <c r="H3960" s="124"/>
      <c r="I3960" s="124"/>
      <c r="J3960" s="124"/>
      <c r="K3960" s="124"/>
      <c r="L3960" s="124"/>
      <c r="M3960" s="124"/>
      <c r="N3960" s="124"/>
      <c r="O3960" s="124"/>
      <c r="P3960" s="124"/>
      <c r="Q3960" s="124"/>
      <c r="R3960" s="124"/>
      <c r="S3960" s="124"/>
      <c r="T3960" s="124"/>
      <c r="U3960" s="124"/>
      <c r="V3960" s="124"/>
      <c r="W3960" s="124"/>
      <c r="X3960" s="124"/>
      <c r="Y3960" s="124"/>
      <c r="Z3960" s="124"/>
    </row>
    <row r="3961">
      <c r="A3961" s="124"/>
      <c r="B3961" s="124"/>
      <c r="C3961" s="147"/>
      <c r="D3961" s="124"/>
      <c r="E3961" s="124"/>
      <c r="F3961" s="124"/>
      <c r="G3961" s="124"/>
      <c r="H3961" s="124"/>
      <c r="I3961" s="124"/>
      <c r="J3961" s="124"/>
      <c r="K3961" s="124"/>
      <c r="L3961" s="124"/>
      <c r="M3961" s="124"/>
      <c r="N3961" s="124"/>
      <c r="O3961" s="124"/>
      <c r="P3961" s="124"/>
      <c r="Q3961" s="124"/>
      <c r="R3961" s="124"/>
      <c r="S3961" s="124"/>
      <c r="T3961" s="124"/>
      <c r="U3961" s="124"/>
      <c r="V3961" s="124"/>
      <c r="W3961" s="124"/>
      <c r="X3961" s="124"/>
      <c r="Y3961" s="124"/>
      <c r="Z3961" s="124"/>
    </row>
    <row r="3962">
      <c r="A3962" s="124"/>
      <c r="B3962" s="124"/>
      <c r="C3962" s="147"/>
      <c r="D3962" s="124"/>
      <c r="E3962" s="124"/>
      <c r="F3962" s="124"/>
      <c r="G3962" s="124"/>
      <c r="H3962" s="124"/>
      <c r="I3962" s="124"/>
      <c r="J3962" s="124"/>
      <c r="K3962" s="124"/>
      <c r="L3962" s="124"/>
      <c r="M3962" s="124"/>
      <c r="N3962" s="124"/>
      <c r="O3962" s="124"/>
      <c r="P3962" s="124"/>
      <c r="Q3962" s="124"/>
      <c r="R3962" s="124"/>
      <c r="S3962" s="124"/>
      <c r="T3962" s="124"/>
      <c r="U3962" s="124"/>
      <c r="V3962" s="124"/>
      <c r="W3962" s="124"/>
      <c r="X3962" s="124"/>
      <c r="Y3962" s="124"/>
      <c r="Z3962" s="124"/>
    </row>
    <row r="3963">
      <c r="A3963" s="124"/>
      <c r="B3963" s="124"/>
      <c r="C3963" s="147"/>
      <c r="D3963" s="124"/>
      <c r="E3963" s="124"/>
      <c r="F3963" s="124"/>
      <c r="G3963" s="124"/>
      <c r="H3963" s="124"/>
      <c r="I3963" s="124"/>
      <c r="J3963" s="124"/>
      <c r="K3963" s="124"/>
      <c r="L3963" s="124"/>
      <c r="M3963" s="124"/>
      <c r="N3963" s="124"/>
      <c r="O3963" s="124"/>
      <c r="P3963" s="124"/>
      <c r="Q3963" s="124"/>
      <c r="R3963" s="124"/>
      <c r="S3963" s="124"/>
      <c r="T3963" s="124"/>
      <c r="U3963" s="124"/>
      <c r="V3963" s="124"/>
      <c r="W3963" s="124"/>
      <c r="X3963" s="124"/>
      <c r="Y3963" s="124"/>
      <c r="Z3963" s="124"/>
    </row>
    <row r="3964">
      <c r="A3964" s="124"/>
      <c r="B3964" s="124"/>
      <c r="C3964" s="147"/>
      <c r="D3964" s="124"/>
      <c r="E3964" s="124"/>
      <c r="F3964" s="124"/>
      <c r="G3964" s="124"/>
      <c r="H3964" s="124"/>
      <c r="I3964" s="124"/>
      <c r="J3964" s="124"/>
      <c r="K3964" s="124"/>
      <c r="L3964" s="124"/>
      <c r="M3964" s="124"/>
      <c r="N3964" s="124"/>
      <c r="O3964" s="124"/>
      <c r="P3964" s="124"/>
      <c r="Q3964" s="124"/>
      <c r="R3964" s="124"/>
      <c r="S3964" s="124"/>
      <c r="T3964" s="124"/>
      <c r="U3964" s="124"/>
      <c r="V3964" s="124"/>
      <c r="W3964" s="124"/>
      <c r="X3964" s="124"/>
      <c r="Y3964" s="124"/>
      <c r="Z3964" s="124"/>
    </row>
    <row r="3965">
      <c r="A3965" s="124"/>
      <c r="B3965" s="124"/>
      <c r="C3965" s="147"/>
      <c r="D3965" s="124"/>
      <c r="E3965" s="124"/>
      <c r="F3965" s="124"/>
      <c r="G3965" s="124"/>
      <c r="H3965" s="124"/>
      <c r="I3965" s="124"/>
      <c r="J3965" s="124"/>
      <c r="K3965" s="124"/>
      <c r="L3965" s="124"/>
      <c r="M3965" s="124"/>
      <c r="N3965" s="124"/>
      <c r="O3965" s="124"/>
      <c r="P3965" s="124"/>
      <c r="Q3965" s="124"/>
      <c r="R3965" s="124"/>
      <c r="S3965" s="124"/>
      <c r="T3965" s="124"/>
      <c r="U3965" s="124"/>
      <c r="V3965" s="124"/>
      <c r="W3965" s="124"/>
      <c r="X3965" s="124"/>
      <c r="Y3965" s="124"/>
      <c r="Z3965" s="124"/>
    </row>
    <row r="3966">
      <c r="A3966" s="124"/>
      <c r="B3966" s="124"/>
      <c r="C3966" s="147"/>
      <c r="D3966" s="124"/>
      <c r="E3966" s="124"/>
      <c r="F3966" s="124"/>
      <c r="G3966" s="124"/>
      <c r="H3966" s="124"/>
      <c r="I3966" s="124"/>
      <c r="J3966" s="124"/>
      <c r="K3966" s="124"/>
      <c r="L3966" s="124"/>
      <c r="M3966" s="124"/>
      <c r="N3966" s="124"/>
      <c r="O3966" s="124"/>
      <c r="P3966" s="124"/>
      <c r="Q3966" s="124"/>
      <c r="R3966" s="124"/>
      <c r="S3966" s="124"/>
      <c r="T3966" s="124"/>
      <c r="U3966" s="124"/>
      <c r="V3966" s="124"/>
      <c r="W3966" s="124"/>
      <c r="X3966" s="124"/>
      <c r="Y3966" s="124"/>
      <c r="Z3966" s="124"/>
    </row>
    <row r="3967">
      <c r="A3967" s="124"/>
      <c r="B3967" s="124"/>
      <c r="C3967" s="147"/>
      <c r="D3967" s="124"/>
      <c r="E3967" s="124"/>
      <c r="F3967" s="124"/>
      <c r="G3967" s="124"/>
      <c r="H3967" s="124"/>
      <c r="I3967" s="124"/>
      <c r="J3967" s="124"/>
      <c r="K3967" s="124"/>
      <c r="L3967" s="124"/>
      <c r="M3967" s="124"/>
      <c r="N3967" s="124"/>
      <c r="O3967" s="124"/>
      <c r="P3967" s="124"/>
      <c r="Q3967" s="124"/>
      <c r="R3967" s="124"/>
      <c r="S3967" s="124"/>
      <c r="T3967" s="124"/>
      <c r="U3967" s="124"/>
      <c r="V3967" s="124"/>
      <c r="W3967" s="124"/>
      <c r="X3967" s="124"/>
      <c r="Y3967" s="124"/>
      <c r="Z3967" s="124"/>
    </row>
    <row r="3968">
      <c r="A3968" s="124"/>
      <c r="B3968" s="124"/>
      <c r="C3968" s="147"/>
      <c r="D3968" s="124"/>
      <c r="E3968" s="124"/>
      <c r="F3968" s="124"/>
      <c r="G3968" s="124"/>
      <c r="H3968" s="124"/>
      <c r="I3968" s="124"/>
      <c r="J3968" s="124"/>
      <c r="K3968" s="124"/>
      <c r="L3968" s="124"/>
      <c r="M3968" s="124"/>
      <c r="N3968" s="124"/>
      <c r="O3968" s="124"/>
      <c r="P3968" s="124"/>
      <c r="Q3968" s="124"/>
      <c r="R3968" s="124"/>
      <c r="S3968" s="124"/>
      <c r="T3968" s="124"/>
      <c r="U3968" s="124"/>
      <c r="V3968" s="124"/>
      <c r="W3968" s="124"/>
      <c r="X3968" s="124"/>
      <c r="Y3968" s="124"/>
      <c r="Z3968" s="124"/>
    </row>
    <row r="3969">
      <c r="A3969" s="124"/>
      <c r="B3969" s="124"/>
      <c r="C3969" s="147"/>
      <c r="D3969" s="124"/>
      <c r="E3969" s="124"/>
      <c r="F3969" s="124"/>
      <c r="G3969" s="124"/>
      <c r="H3969" s="124"/>
      <c r="I3969" s="124"/>
      <c r="J3969" s="124"/>
      <c r="K3969" s="124"/>
      <c r="L3969" s="124"/>
      <c r="M3969" s="124"/>
      <c r="N3969" s="124"/>
      <c r="O3969" s="124"/>
      <c r="P3969" s="124"/>
      <c r="Q3969" s="124"/>
      <c r="R3969" s="124"/>
      <c r="S3969" s="124"/>
      <c r="T3969" s="124"/>
      <c r="U3969" s="124"/>
      <c r="V3969" s="124"/>
      <c r="W3969" s="124"/>
      <c r="X3969" s="124"/>
      <c r="Y3969" s="124"/>
      <c r="Z3969" s="124"/>
    </row>
    <row r="3970">
      <c r="A3970" s="124"/>
      <c r="B3970" s="124"/>
      <c r="C3970" s="147"/>
      <c r="D3970" s="124"/>
      <c r="E3970" s="124"/>
      <c r="F3970" s="124"/>
      <c r="G3970" s="124"/>
      <c r="H3970" s="124"/>
      <c r="I3970" s="124"/>
      <c r="J3970" s="124"/>
      <c r="K3970" s="124"/>
      <c r="L3970" s="124"/>
      <c r="M3970" s="124"/>
      <c r="N3970" s="124"/>
      <c r="O3970" s="124"/>
      <c r="P3970" s="124"/>
      <c r="Q3970" s="124"/>
      <c r="R3970" s="124"/>
      <c r="S3970" s="124"/>
      <c r="T3970" s="124"/>
      <c r="U3970" s="124"/>
      <c r="V3970" s="124"/>
      <c r="W3970" s="124"/>
      <c r="X3970" s="124"/>
      <c r="Y3970" s="124"/>
      <c r="Z3970" s="124"/>
    </row>
    <row r="3971">
      <c r="A3971" s="124"/>
      <c r="B3971" s="124"/>
      <c r="C3971" s="147"/>
      <c r="D3971" s="124"/>
      <c r="E3971" s="124"/>
      <c r="F3971" s="124"/>
      <c r="G3971" s="124"/>
      <c r="H3971" s="124"/>
      <c r="I3971" s="124"/>
      <c r="J3971" s="124"/>
      <c r="K3971" s="124"/>
      <c r="L3971" s="124"/>
      <c r="M3971" s="124"/>
      <c r="N3971" s="124"/>
      <c r="O3971" s="124"/>
      <c r="P3971" s="124"/>
      <c r="Q3971" s="124"/>
      <c r="R3971" s="124"/>
      <c r="S3971" s="124"/>
      <c r="T3971" s="124"/>
      <c r="U3971" s="124"/>
      <c r="V3971" s="124"/>
      <c r="W3971" s="124"/>
      <c r="X3971" s="124"/>
      <c r="Y3971" s="124"/>
      <c r="Z3971" s="124"/>
    </row>
    <row r="3972">
      <c r="A3972" s="124"/>
      <c r="B3972" s="124"/>
      <c r="C3972" s="147"/>
      <c r="D3972" s="124"/>
      <c r="E3972" s="124"/>
      <c r="F3972" s="124"/>
      <c r="G3972" s="124"/>
      <c r="H3972" s="124"/>
      <c r="I3972" s="124"/>
      <c r="J3972" s="124"/>
      <c r="K3972" s="124"/>
      <c r="L3972" s="124"/>
      <c r="M3972" s="124"/>
      <c r="N3972" s="124"/>
      <c r="O3972" s="124"/>
      <c r="P3972" s="124"/>
      <c r="Q3972" s="124"/>
      <c r="R3972" s="124"/>
      <c r="S3972" s="124"/>
      <c r="T3972" s="124"/>
      <c r="U3972" s="124"/>
      <c r="V3972" s="124"/>
      <c r="W3972" s="124"/>
      <c r="X3972" s="124"/>
      <c r="Y3972" s="124"/>
      <c r="Z3972" s="124"/>
    </row>
    <row r="3973">
      <c r="A3973" s="124"/>
      <c r="B3973" s="124"/>
      <c r="C3973" s="147"/>
      <c r="D3973" s="124"/>
      <c r="E3973" s="124"/>
      <c r="F3973" s="124"/>
      <c r="G3973" s="124"/>
      <c r="H3973" s="124"/>
      <c r="I3973" s="124"/>
      <c r="J3973" s="124"/>
      <c r="K3973" s="124"/>
      <c r="L3973" s="124"/>
      <c r="M3973" s="124"/>
      <c r="N3973" s="124"/>
      <c r="O3973" s="124"/>
      <c r="P3973" s="124"/>
      <c r="Q3973" s="124"/>
      <c r="R3973" s="124"/>
      <c r="S3973" s="124"/>
      <c r="T3973" s="124"/>
      <c r="U3973" s="124"/>
      <c r="V3973" s="124"/>
      <c r="W3973" s="124"/>
      <c r="X3973" s="124"/>
      <c r="Y3973" s="124"/>
      <c r="Z3973" s="124"/>
    </row>
    <row r="3974">
      <c r="A3974" s="124"/>
      <c r="B3974" s="124"/>
      <c r="C3974" s="147"/>
      <c r="D3974" s="124"/>
      <c r="E3974" s="124"/>
      <c r="F3974" s="124"/>
      <c r="G3974" s="124"/>
      <c r="H3974" s="124"/>
      <c r="I3974" s="124"/>
      <c r="J3974" s="124"/>
      <c r="K3974" s="124"/>
      <c r="L3974" s="124"/>
      <c r="M3974" s="124"/>
      <c r="N3974" s="124"/>
      <c r="O3974" s="124"/>
      <c r="P3974" s="124"/>
      <c r="Q3974" s="124"/>
      <c r="R3974" s="124"/>
      <c r="S3974" s="124"/>
      <c r="T3974" s="124"/>
      <c r="U3974" s="124"/>
      <c r="V3974" s="124"/>
      <c r="W3974" s="124"/>
      <c r="X3974" s="124"/>
      <c r="Y3974" s="124"/>
      <c r="Z3974" s="124"/>
    </row>
    <row r="3975">
      <c r="A3975" s="124"/>
      <c r="B3975" s="124"/>
      <c r="C3975" s="147"/>
      <c r="D3975" s="124"/>
      <c r="E3975" s="124"/>
      <c r="F3975" s="124"/>
      <c r="G3975" s="124"/>
      <c r="H3975" s="124"/>
      <c r="I3975" s="124"/>
      <c r="J3975" s="124"/>
      <c r="K3975" s="124"/>
      <c r="L3975" s="124"/>
      <c r="M3975" s="124"/>
      <c r="N3975" s="124"/>
      <c r="O3975" s="124"/>
      <c r="P3975" s="124"/>
      <c r="Q3975" s="124"/>
      <c r="R3975" s="124"/>
      <c r="S3975" s="124"/>
      <c r="T3975" s="124"/>
      <c r="U3975" s="124"/>
      <c r="V3975" s="124"/>
      <c r="W3975" s="124"/>
      <c r="X3975" s="124"/>
      <c r="Y3975" s="124"/>
      <c r="Z3975" s="124"/>
    </row>
    <row r="3976">
      <c r="A3976" s="124"/>
      <c r="B3976" s="124"/>
      <c r="C3976" s="147"/>
      <c r="D3976" s="124"/>
      <c r="E3976" s="124"/>
      <c r="F3976" s="124"/>
      <c r="G3976" s="124"/>
      <c r="H3976" s="124"/>
      <c r="I3976" s="124"/>
      <c r="J3976" s="124"/>
      <c r="K3976" s="124"/>
      <c r="L3976" s="124"/>
      <c r="M3976" s="124"/>
      <c r="N3976" s="124"/>
      <c r="O3976" s="124"/>
      <c r="P3976" s="124"/>
      <c r="Q3976" s="124"/>
      <c r="R3976" s="124"/>
      <c r="S3976" s="124"/>
      <c r="T3976" s="124"/>
      <c r="U3976" s="124"/>
      <c r="V3976" s="124"/>
      <c r="W3976" s="124"/>
      <c r="X3976" s="124"/>
      <c r="Y3976" s="124"/>
      <c r="Z3976" s="124"/>
    </row>
    <row r="3977">
      <c r="A3977" s="124"/>
      <c r="B3977" s="124"/>
      <c r="C3977" s="147"/>
      <c r="D3977" s="124"/>
      <c r="E3977" s="124"/>
      <c r="F3977" s="124"/>
      <c r="G3977" s="124"/>
      <c r="H3977" s="124"/>
      <c r="I3977" s="124"/>
      <c r="J3977" s="124"/>
      <c r="K3977" s="124"/>
      <c r="L3977" s="124"/>
      <c r="M3977" s="124"/>
      <c r="N3977" s="124"/>
      <c r="O3977" s="124"/>
      <c r="P3977" s="124"/>
      <c r="Q3977" s="124"/>
      <c r="R3977" s="124"/>
      <c r="S3977" s="124"/>
      <c r="T3977" s="124"/>
      <c r="U3977" s="124"/>
      <c r="V3977" s="124"/>
      <c r="W3977" s="124"/>
      <c r="X3977" s="124"/>
      <c r="Y3977" s="124"/>
      <c r="Z3977" s="124"/>
    </row>
    <row r="3978">
      <c r="A3978" s="124"/>
      <c r="B3978" s="124"/>
      <c r="C3978" s="147"/>
      <c r="D3978" s="124"/>
      <c r="E3978" s="124"/>
      <c r="F3978" s="124"/>
      <c r="G3978" s="124"/>
      <c r="H3978" s="124"/>
      <c r="I3978" s="124"/>
      <c r="J3978" s="124"/>
      <c r="K3978" s="124"/>
      <c r="L3978" s="124"/>
      <c r="M3978" s="124"/>
      <c r="N3978" s="124"/>
      <c r="O3978" s="124"/>
      <c r="P3978" s="124"/>
      <c r="Q3978" s="124"/>
      <c r="R3978" s="124"/>
      <c r="S3978" s="124"/>
      <c r="T3978" s="124"/>
      <c r="U3978" s="124"/>
      <c r="V3978" s="124"/>
      <c r="W3978" s="124"/>
      <c r="X3978" s="124"/>
      <c r="Y3978" s="124"/>
      <c r="Z3978" s="124"/>
    </row>
    <row r="3979">
      <c r="A3979" s="124"/>
      <c r="B3979" s="124"/>
      <c r="C3979" s="147"/>
      <c r="D3979" s="124"/>
      <c r="E3979" s="124"/>
      <c r="F3979" s="124"/>
      <c r="G3979" s="124"/>
      <c r="H3979" s="124"/>
      <c r="I3979" s="124"/>
      <c r="J3979" s="124"/>
      <c r="K3979" s="124"/>
      <c r="L3979" s="124"/>
      <c r="M3979" s="124"/>
      <c r="N3979" s="124"/>
      <c r="O3979" s="124"/>
      <c r="P3979" s="124"/>
      <c r="Q3979" s="124"/>
      <c r="R3979" s="124"/>
      <c r="S3979" s="124"/>
      <c r="T3979" s="124"/>
      <c r="U3979" s="124"/>
      <c r="V3979" s="124"/>
      <c r="W3979" s="124"/>
      <c r="X3979" s="124"/>
      <c r="Y3979" s="124"/>
      <c r="Z3979" s="124"/>
    </row>
    <row r="3980">
      <c r="A3980" s="124"/>
      <c r="B3980" s="124"/>
      <c r="C3980" s="147"/>
      <c r="D3980" s="124"/>
      <c r="E3980" s="124"/>
      <c r="F3980" s="124"/>
      <c r="G3980" s="124"/>
      <c r="H3980" s="124"/>
      <c r="I3980" s="124"/>
      <c r="J3980" s="124"/>
      <c r="K3980" s="124"/>
      <c r="L3980" s="124"/>
      <c r="M3980" s="124"/>
      <c r="N3980" s="124"/>
      <c r="O3980" s="124"/>
      <c r="P3980" s="124"/>
      <c r="Q3980" s="124"/>
      <c r="R3980" s="124"/>
      <c r="S3980" s="124"/>
      <c r="T3980" s="124"/>
      <c r="U3980" s="124"/>
      <c r="V3980" s="124"/>
      <c r="W3980" s="124"/>
      <c r="X3980" s="124"/>
      <c r="Y3980" s="124"/>
      <c r="Z3980" s="124"/>
    </row>
    <row r="3981">
      <c r="A3981" s="124"/>
      <c r="B3981" s="124"/>
      <c r="C3981" s="147"/>
      <c r="D3981" s="124"/>
      <c r="E3981" s="124"/>
      <c r="F3981" s="124"/>
      <c r="G3981" s="124"/>
      <c r="H3981" s="124"/>
      <c r="I3981" s="124"/>
      <c r="J3981" s="124"/>
      <c r="K3981" s="124"/>
      <c r="L3981" s="124"/>
      <c r="M3981" s="124"/>
      <c r="N3981" s="124"/>
      <c r="O3981" s="124"/>
      <c r="P3981" s="124"/>
      <c r="Q3981" s="124"/>
      <c r="R3981" s="124"/>
      <c r="S3981" s="124"/>
      <c r="T3981" s="124"/>
      <c r="U3981" s="124"/>
      <c r="V3981" s="124"/>
      <c r="W3981" s="124"/>
      <c r="X3981" s="124"/>
      <c r="Y3981" s="124"/>
      <c r="Z3981" s="124"/>
    </row>
    <row r="3982">
      <c r="A3982" s="124"/>
      <c r="B3982" s="124"/>
      <c r="C3982" s="147"/>
      <c r="D3982" s="124"/>
      <c r="E3982" s="124"/>
      <c r="F3982" s="124"/>
      <c r="G3982" s="124"/>
      <c r="H3982" s="124"/>
      <c r="I3982" s="124"/>
      <c r="J3982" s="124"/>
      <c r="K3982" s="124"/>
      <c r="L3982" s="124"/>
      <c r="M3982" s="124"/>
      <c r="N3982" s="124"/>
      <c r="O3982" s="124"/>
      <c r="P3982" s="124"/>
      <c r="Q3982" s="124"/>
      <c r="R3982" s="124"/>
      <c r="S3982" s="124"/>
      <c r="T3982" s="124"/>
      <c r="U3982" s="124"/>
      <c r="V3982" s="124"/>
      <c r="W3982" s="124"/>
      <c r="X3982" s="124"/>
      <c r="Y3982" s="124"/>
      <c r="Z3982" s="124"/>
    </row>
    <row r="3983">
      <c r="A3983" s="124"/>
      <c r="B3983" s="124"/>
      <c r="C3983" s="147"/>
      <c r="D3983" s="124"/>
      <c r="E3983" s="124"/>
      <c r="F3983" s="124"/>
      <c r="G3983" s="124"/>
      <c r="H3983" s="124"/>
      <c r="I3983" s="124"/>
      <c r="J3983" s="124"/>
      <c r="K3983" s="124"/>
      <c r="L3983" s="124"/>
      <c r="M3983" s="124"/>
      <c r="N3983" s="124"/>
      <c r="O3983" s="124"/>
      <c r="P3983" s="124"/>
      <c r="Q3983" s="124"/>
      <c r="R3983" s="124"/>
      <c r="S3983" s="124"/>
      <c r="T3983" s="124"/>
      <c r="U3983" s="124"/>
      <c r="V3983" s="124"/>
      <c r="W3983" s="124"/>
      <c r="X3983" s="124"/>
      <c r="Y3983" s="124"/>
      <c r="Z3983" s="124"/>
    </row>
    <row r="3984">
      <c r="A3984" s="124"/>
      <c r="B3984" s="124"/>
      <c r="C3984" s="147"/>
      <c r="D3984" s="124"/>
      <c r="E3984" s="124"/>
      <c r="F3984" s="124"/>
      <c r="G3984" s="124"/>
      <c r="H3984" s="124"/>
      <c r="I3984" s="124"/>
      <c r="J3984" s="124"/>
      <c r="K3984" s="124"/>
      <c r="L3984" s="124"/>
      <c r="M3984" s="124"/>
      <c r="N3984" s="124"/>
      <c r="O3984" s="124"/>
      <c r="P3984" s="124"/>
      <c r="Q3984" s="124"/>
      <c r="R3984" s="124"/>
      <c r="S3984" s="124"/>
      <c r="T3984" s="124"/>
      <c r="U3984" s="124"/>
      <c r="V3984" s="124"/>
      <c r="W3984" s="124"/>
      <c r="X3984" s="124"/>
      <c r="Y3984" s="124"/>
      <c r="Z3984" s="124"/>
    </row>
    <row r="3985">
      <c r="A3985" s="124"/>
      <c r="B3985" s="124"/>
      <c r="C3985" s="147"/>
      <c r="D3985" s="124"/>
      <c r="E3985" s="124"/>
      <c r="F3985" s="124"/>
      <c r="G3985" s="124"/>
      <c r="H3985" s="124"/>
      <c r="I3985" s="124"/>
      <c r="J3985" s="124"/>
      <c r="K3985" s="124"/>
      <c r="L3985" s="124"/>
      <c r="M3985" s="124"/>
      <c r="N3985" s="124"/>
      <c r="O3985" s="124"/>
      <c r="P3985" s="124"/>
      <c r="Q3985" s="124"/>
      <c r="R3985" s="124"/>
      <c r="S3985" s="124"/>
      <c r="T3985" s="124"/>
      <c r="U3985" s="124"/>
      <c r="V3985" s="124"/>
      <c r="W3985" s="124"/>
      <c r="X3985" s="124"/>
      <c r="Y3985" s="124"/>
      <c r="Z3985" s="124"/>
    </row>
    <row r="3986">
      <c r="A3986" s="124"/>
      <c r="B3986" s="124"/>
      <c r="C3986" s="147"/>
      <c r="D3986" s="124"/>
      <c r="E3986" s="124"/>
      <c r="F3986" s="124"/>
      <c r="G3986" s="124"/>
      <c r="H3986" s="124"/>
      <c r="I3986" s="124"/>
      <c r="J3986" s="124"/>
      <c r="K3986" s="124"/>
      <c r="L3986" s="124"/>
      <c r="M3986" s="124"/>
      <c r="N3986" s="124"/>
      <c r="O3986" s="124"/>
      <c r="P3986" s="124"/>
      <c r="Q3986" s="124"/>
      <c r="R3986" s="124"/>
      <c r="S3986" s="124"/>
      <c r="T3986" s="124"/>
      <c r="U3986" s="124"/>
      <c r="V3986" s="124"/>
      <c r="W3986" s="124"/>
      <c r="X3986" s="124"/>
      <c r="Y3986" s="124"/>
      <c r="Z3986" s="124"/>
    </row>
    <row r="3987">
      <c r="A3987" s="124"/>
      <c r="B3987" s="124"/>
      <c r="C3987" s="147"/>
      <c r="D3987" s="124"/>
      <c r="E3987" s="124"/>
      <c r="F3987" s="124"/>
      <c r="G3987" s="124"/>
      <c r="H3987" s="124"/>
      <c r="I3987" s="124"/>
      <c r="J3987" s="124"/>
      <c r="K3987" s="124"/>
      <c r="L3987" s="124"/>
      <c r="M3987" s="124"/>
      <c r="N3987" s="124"/>
      <c r="O3987" s="124"/>
      <c r="P3987" s="124"/>
      <c r="Q3987" s="124"/>
      <c r="R3987" s="124"/>
      <c r="S3987" s="124"/>
      <c r="T3987" s="124"/>
      <c r="U3987" s="124"/>
      <c r="V3987" s="124"/>
      <c r="W3987" s="124"/>
      <c r="X3987" s="124"/>
      <c r="Y3987" s="124"/>
      <c r="Z3987" s="124"/>
    </row>
    <row r="3988">
      <c r="A3988" s="124"/>
      <c r="B3988" s="124"/>
      <c r="C3988" s="147"/>
      <c r="D3988" s="124"/>
      <c r="E3988" s="124"/>
      <c r="F3988" s="124"/>
      <c r="G3988" s="124"/>
      <c r="H3988" s="124"/>
      <c r="I3988" s="124"/>
      <c r="J3988" s="124"/>
      <c r="K3988" s="124"/>
      <c r="L3988" s="124"/>
      <c r="M3988" s="124"/>
      <c r="N3988" s="124"/>
      <c r="O3988" s="124"/>
      <c r="P3988" s="124"/>
      <c r="Q3988" s="124"/>
      <c r="R3988" s="124"/>
      <c r="S3988" s="124"/>
      <c r="T3988" s="124"/>
      <c r="U3988" s="124"/>
      <c r="V3988" s="124"/>
      <c r="W3988" s="124"/>
      <c r="X3988" s="124"/>
      <c r="Y3988" s="124"/>
      <c r="Z3988" s="124"/>
    </row>
    <row r="3989">
      <c r="A3989" s="124"/>
      <c r="B3989" s="124"/>
      <c r="C3989" s="147"/>
      <c r="D3989" s="124"/>
      <c r="E3989" s="124"/>
      <c r="F3989" s="124"/>
      <c r="G3989" s="124"/>
      <c r="H3989" s="124"/>
      <c r="I3989" s="124"/>
      <c r="J3989" s="124"/>
      <c r="K3989" s="124"/>
      <c r="L3989" s="124"/>
      <c r="M3989" s="124"/>
      <c r="N3989" s="124"/>
      <c r="O3989" s="124"/>
      <c r="P3989" s="124"/>
      <c r="Q3989" s="124"/>
      <c r="R3989" s="124"/>
      <c r="S3989" s="124"/>
      <c r="T3989" s="124"/>
      <c r="U3989" s="124"/>
      <c r="V3989" s="124"/>
      <c r="W3989" s="124"/>
      <c r="X3989" s="124"/>
      <c r="Y3989" s="124"/>
      <c r="Z3989" s="124"/>
    </row>
    <row r="3990">
      <c r="A3990" s="124"/>
      <c r="B3990" s="124"/>
      <c r="C3990" s="147"/>
      <c r="D3990" s="124"/>
      <c r="E3990" s="124"/>
      <c r="F3990" s="124"/>
      <c r="G3990" s="124"/>
      <c r="H3990" s="124"/>
      <c r="I3990" s="124"/>
      <c r="J3990" s="124"/>
      <c r="K3990" s="124"/>
      <c r="L3990" s="124"/>
      <c r="M3990" s="124"/>
      <c r="N3990" s="124"/>
      <c r="O3990" s="124"/>
      <c r="P3990" s="124"/>
      <c r="Q3990" s="124"/>
      <c r="R3990" s="124"/>
      <c r="S3990" s="124"/>
      <c r="T3990" s="124"/>
      <c r="U3990" s="124"/>
      <c r="V3990" s="124"/>
      <c r="W3990" s="124"/>
      <c r="X3990" s="124"/>
      <c r="Y3990" s="124"/>
      <c r="Z3990" s="124"/>
    </row>
    <row r="3991">
      <c r="A3991" s="124"/>
      <c r="B3991" s="124"/>
      <c r="C3991" s="147"/>
      <c r="D3991" s="124"/>
      <c r="E3991" s="124"/>
      <c r="F3991" s="124"/>
      <c r="G3991" s="124"/>
      <c r="H3991" s="124"/>
      <c r="I3991" s="124"/>
      <c r="J3991" s="124"/>
      <c r="K3991" s="124"/>
      <c r="L3991" s="124"/>
      <c r="M3991" s="124"/>
      <c r="N3991" s="124"/>
      <c r="O3991" s="124"/>
      <c r="P3991" s="124"/>
      <c r="Q3991" s="124"/>
      <c r="R3991" s="124"/>
      <c r="S3991" s="124"/>
      <c r="T3991" s="124"/>
      <c r="U3991" s="124"/>
      <c r="V3991" s="124"/>
      <c r="W3991" s="124"/>
      <c r="X3991" s="124"/>
      <c r="Y3991" s="124"/>
      <c r="Z3991" s="124"/>
    </row>
    <row r="3992">
      <c r="A3992" s="124"/>
      <c r="B3992" s="124"/>
      <c r="C3992" s="147"/>
      <c r="D3992" s="124"/>
      <c r="E3992" s="124"/>
      <c r="F3992" s="124"/>
      <c r="G3992" s="124"/>
      <c r="H3992" s="124"/>
      <c r="I3992" s="124"/>
      <c r="J3992" s="124"/>
      <c r="K3992" s="124"/>
      <c r="L3992" s="124"/>
      <c r="M3992" s="124"/>
      <c r="N3992" s="124"/>
      <c r="O3992" s="124"/>
      <c r="P3992" s="124"/>
      <c r="Q3992" s="124"/>
      <c r="R3992" s="124"/>
      <c r="S3992" s="124"/>
      <c r="T3992" s="124"/>
      <c r="U3992" s="124"/>
      <c r="V3992" s="124"/>
      <c r="W3992" s="124"/>
      <c r="X3992" s="124"/>
      <c r="Y3992" s="124"/>
      <c r="Z3992" s="124"/>
    </row>
    <row r="3993">
      <c r="A3993" s="124"/>
      <c r="B3993" s="124"/>
      <c r="C3993" s="147"/>
      <c r="D3993" s="124"/>
      <c r="E3993" s="124"/>
      <c r="F3993" s="124"/>
      <c r="G3993" s="124"/>
      <c r="H3993" s="124"/>
      <c r="I3993" s="124"/>
      <c r="J3993" s="124"/>
      <c r="K3993" s="124"/>
      <c r="L3993" s="124"/>
      <c r="M3993" s="124"/>
      <c r="N3993" s="124"/>
      <c r="O3993" s="124"/>
      <c r="P3993" s="124"/>
      <c r="Q3993" s="124"/>
      <c r="R3993" s="124"/>
      <c r="S3993" s="124"/>
      <c r="T3993" s="124"/>
      <c r="U3993" s="124"/>
      <c r="V3993" s="124"/>
      <c r="W3993" s="124"/>
      <c r="X3993" s="124"/>
      <c r="Y3993" s="124"/>
      <c r="Z3993" s="124"/>
    </row>
    <row r="3994">
      <c r="A3994" s="124"/>
      <c r="B3994" s="124"/>
      <c r="C3994" s="147"/>
      <c r="D3994" s="124"/>
      <c r="E3994" s="124"/>
      <c r="F3994" s="124"/>
      <c r="G3994" s="124"/>
      <c r="H3994" s="124"/>
      <c r="I3994" s="124"/>
      <c r="J3994" s="124"/>
      <c r="K3994" s="124"/>
      <c r="L3994" s="124"/>
      <c r="M3994" s="124"/>
      <c r="N3994" s="124"/>
      <c r="O3994" s="124"/>
      <c r="P3994" s="124"/>
      <c r="Q3994" s="124"/>
      <c r="R3994" s="124"/>
      <c r="S3994" s="124"/>
      <c r="T3994" s="124"/>
      <c r="U3994" s="124"/>
      <c r="V3994" s="124"/>
      <c r="W3994" s="124"/>
      <c r="X3994" s="124"/>
      <c r="Y3994" s="124"/>
      <c r="Z3994" s="124"/>
    </row>
    <row r="3995">
      <c r="A3995" s="124"/>
      <c r="B3995" s="124"/>
      <c r="C3995" s="147"/>
      <c r="D3995" s="124"/>
      <c r="E3995" s="124"/>
      <c r="F3995" s="124"/>
      <c r="G3995" s="124"/>
      <c r="H3995" s="124"/>
      <c r="I3995" s="124"/>
      <c r="J3995" s="124"/>
      <c r="K3995" s="124"/>
      <c r="L3995" s="124"/>
      <c r="M3995" s="124"/>
      <c r="N3995" s="124"/>
      <c r="O3995" s="124"/>
      <c r="P3995" s="124"/>
      <c r="Q3995" s="124"/>
      <c r="R3995" s="124"/>
      <c r="S3995" s="124"/>
      <c r="T3995" s="124"/>
      <c r="U3995" s="124"/>
      <c r="V3995" s="124"/>
      <c r="W3995" s="124"/>
      <c r="X3995" s="124"/>
      <c r="Y3995" s="124"/>
      <c r="Z3995" s="124"/>
    </row>
    <row r="3996">
      <c r="A3996" s="124"/>
      <c r="B3996" s="124"/>
      <c r="C3996" s="147"/>
      <c r="D3996" s="124"/>
      <c r="E3996" s="124"/>
      <c r="F3996" s="124"/>
      <c r="G3996" s="124"/>
      <c r="H3996" s="124"/>
      <c r="I3996" s="124"/>
      <c r="J3996" s="124"/>
      <c r="K3996" s="124"/>
      <c r="L3996" s="124"/>
      <c r="M3996" s="124"/>
      <c r="N3996" s="124"/>
      <c r="O3996" s="124"/>
      <c r="P3996" s="124"/>
      <c r="Q3996" s="124"/>
      <c r="R3996" s="124"/>
      <c r="S3996" s="124"/>
      <c r="T3996" s="124"/>
      <c r="U3996" s="124"/>
      <c r="V3996" s="124"/>
      <c r="W3996" s="124"/>
      <c r="X3996" s="124"/>
      <c r="Y3996" s="124"/>
      <c r="Z3996" s="124"/>
    </row>
    <row r="3997">
      <c r="A3997" s="124"/>
      <c r="B3997" s="124"/>
      <c r="C3997" s="147"/>
      <c r="D3997" s="124"/>
      <c r="E3997" s="124"/>
      <c r="F3997" s="124"/>
      <c r="G3997" s="124"/>
      <c r="H3997" s="124"/>
      <c r="I3997" s="124"/>
      <c r="J3997" s="124"/>
      <c r="K3997" s="124"/>
      <c r="L3997" s="124"/>
      <c r="M3997" s="124"/>
      <c r="N3997" s="124"/>
      <c r="O3997" s="124"/>
      <c r="P3997" s="124"/>
      <c r="Q3997" s="124"/>
      <c r="R3997" s="124"/>
      <c r="S3997" s="124"/>
      <c r="T3997" s="124"/>
      <c r="U3997" s="124"/>
      <c r="V3997" s="124"/>
      <c r="W3997" s="124"/>
      <c r="X3997" s="124"/>
      <c r="Y3997" s="124"/>
      <c r="Z3997" s="124"/>
    </row>
    <row r="3998">
      <c r="A3998" s="124"/>
      <c r="B3998" s="124"/>
      <c r="C3998" s="147"/>
      <c r="D3998" s="124"/>
      <c r="E3998" s="124"/>
      <c r="F3998" s="124"/>
      <c r="G3998" s="124"/>
      <c r="H3998" s="124"/>
      <c r="I3998" s="124"/>
      <c r="J3998" s="124"/>
      <c r="K3998" s="124"/>
      <c r="L3998" s="124"/>
      <c r="M3998" s="124"/>
      <c r="N3998" s="124"/>
      <c r="O3998" s="124"/>
      <c r="P3998" s="124"/>
      <c r="Q3998" s="124"/>
      <c r="R3998" s="124"/>
      <c r="S3998" s="124"/>
      <c r="T3998" s="124"/>
      <c r="U3998" s="124"/>
      <c r="V3998" s="124"/>
      <c r="W3998" s="124"/>
      <c r="X3998" s="124"/>
      <c r="Y3998" s="124"/>
      <c r="Z3998" s="124"/>
    </row>
    <row r="3999">
      <c r="A3999" s="124"/>
      <c r="B3999" s="124"/>
      <c r="C3999" s="147"/>
      <c r="D3999" s="124"/>
      <c r="E3999" s="124"/>
      <c r="F3999" s="124"/>
      <c r="G3999" s="124"/>
      <c r="H3999" s="124"/>
      <c r="I3999" s="124"/>
      <c r="J3999" s="124"/>
      <c r="K3999" s="124"/>
      <c r="L3999" s="124"/>
      <c r="M3999" s="124"/>
      <c r="N3999" s="124"/>
      <c r="O3999" s="124"/>
      <c r="P3999" s="124"/>
      <c r="Q3999" s="124"/>
      <c r="R3999" s="124"/>
      <c r="S3999" s="124"/>
      <c r="T3999" s="124"/>
      <c r="U3999" s="124"/>
      <c r="V3999" s="124"/>
      <c r="W3999" s="124"/>
      <c r="X3999" s="124"/>
      <c r="Y3999" s="124"/>
      <c r="Z3999" s="124"/>
    </row>
    <row r="4000">
      <c r="A4000" s="124"/>
      <c r="B4000" s="124"/>
      <c r="C4000" s="147"/>
      <c r="D4000" s="124"/>
      <c r="E4000" s="124"/>
      <c r="F4000" s="124"/>
      <c r="G4000" s="124"/>
      <c r="H4000" s="124"/>
      <c r="I4000" s="124"/>
      <c r="J4000" s="124"/>
      <c r="K4000" s="124"/>
      <c r="L4000" s="124"/>
      <c r="M4000" s="124"/>
      <c r="N4000" s="124"/>
      <c r="O4000" s="124"/>
      <c r="P4000" s="124"/>
      <c r="Q4000" s="124"/>
      <c r="R4000" s="124"/>
      <c r="S4000" s="124"/>
      <c r="T4000" s="124"/>
      <c r="U4000" s="124"/>
      <c r="V4000" s="124"/>
      <c r="W4000" s="124"/>
      <c r="X4000" s="124"/>
      <c r="Y4000" s="124"/>
      <c r="Z4000" s="124"/>
    </row>
    <row r="4001">
      <c r="A4001" s="124"/>
      <c r="B4001" s="124"/>
      <c r="C4001" s="147"/>
      <c r="D4001" s="124"/>
      <c r="E4001" s="124"/>
      <c r="F4001" s="124"/>
      <c r="G4001" s="124"/>
      <c r="H4001" s="124"/>
      <c r="I4001" s="124"/>
      <c r="J4001" s="124"/>
      <c r="K4001" s="124"/>
      <c r="L4001" s="124"/>
      <c r="M4001" s="124"/>
      <c r="N4001" s="124"/>
      <c r="O4001" s="124"/>
      <c r="P4001" s="124"/>
      <c r="Q4001" s="124"/>
      <c r="R4001" s="124"/>
      <c r="S4001" s="124"/>
      <c r="T4001" s="124"/>
      <c r="U4001" s="124"/>
      <c r="V4001" s="124"/>
      <c r="W4001" s="124"/>
      <c r="X4001" s="124"/>
      <c r="Y4001" s="124"/>
      <c r="Z4001" s="124"/>
    </row>
    <row r="4002">
      <c r="A4002" s="124"/>
      <c r="B4002" s="124"/>
      <c r="C4002" s="147"/>
      <c r="D4002" s="124"/>
      <c r="E4002" s="124"/>
      <c r="F4002" s="124"/>
      <c r="G4002" s="124"/>
      <c r="H4002" s="124"/>
      <c r="I4002" s="124"/>
      <c r="J4002" s="124"/>
      <c r="K4002" s="124"/>
      <c r="L4002" s="124"/>
      <c r="M4002" s="124"/>
      <c r="N4002" s="124"/>
      <c r="O4002" s="124"/>
      <c r="P4002" s="124"/>
      <c r="Q4002" s="124"/>
      <c r="R4002" s="124"/>
      <c r="S4002" s="124"/>
      <c r="T4002" s="124"/>
      <c r="U4002" s="124"/>
      <c r="V4002" s="124"/>
      <c r="W4002" s="124"/>
      <c r="X4002" s="124"/>
      <c r="Y4002" s="124"/>
      <c r="Z4002" s="124"/>
    </row>
    <row r="4003">
      <c r="A4003" s="124"/>
      <c r="B4003" s="124"/>
      <c r="C4003" s="147"/>
      <c r="D4003" s="124"/>
      <c r="E4003" s="124"/>
      <c r="F4003" s="124"/>
      <c r="G4003" s="124"/>
      <c r="H4003" s="124"/>
      <c r="I4003" s="124"/>
      <c r="J4003" s="124"/>
      <c r="K4003" s="124"/>
      <c r="L4003" s="124"/>
      <c r="M4003" s="124"/>
      <c r="N4003" s="124"/>
      <c r="O4003" s="124"/>
      <c r="P4003" s="124"/>
      <c r="Q4003" s="124"/>
      <c r="R4003" s="124"/>
      <c r="S4003" s="124"/>
      <c r="T4003" s="124"/>
      <c r="U4003" s="124"/>
      <c r="V4003" s="124"/>
      <c r="W4003" s="124"/>
      <c r="X4003" s="124"/>
      <c r="Y4003" s="124"/>
      <c r="Z4003" s="124"/>
    </row>
    <row r="4004">
      <c r="A4004" s="124"/>
      <c r="B4004" s="124"/>
      <c r="C4004" s="147"/>
      <c r="D4004" s="124"/>
      <c r="E4004" s="124"/>
      <c r="F4004" s="124"/>
      <c r="G4004" s="124"/>
      <c r="H4004" s="124"/>
      <c r="I4004" s="124"/>
      <c r="J4004" s="124"/>
      <c r="K4004" s="124"/>
      <c r="L4004" s="124"/>
      <c r="M4004" s="124"/>
      <c r="N4004" s="124"/>
      <c r="O4004" s="124"/>
      <c r="P4004" s="124"/>
      <c r="Q4004" s="124"/>
      <c r="R4004" s="124"/>
      <c r="S4004" s="124"/>
      <c r="T4004" s="124"/>
      <c r="U4004" s="124"/>
      <c r="V4004" s="124"/>
      <c r="W4004" s="124"/>
      <c r="X4004" s="124"/>
      <c r="Y4004" s="124"/>
      <c r="Z4004" s="124"/>
    </row>
    <row r="4005">
      <c r="A4005" s="124"/>
      <c r="B4005" s="124"/>
      <c r="C4005" s="147"/>
      <c r="D4005" s="124"/>
      <c r="E4005" s="124"/>
      <c r="F4005" s="124"/>
      <c r="G4005" s="124"/>
      <c r="H4005" s="124"/>
      <c r="I4005" s="124"/>
      <c r="J4005" s="124"/>
      <c r="K4005" s="124"/>
      <c r="L4005" s="124"/>
      <c r="M4005" s="124"/>
      <c r="N4005" s="124"/>
      <c r="O4005" s="124"/>
      <c r="P4005" s="124"/>
      <c r="Q4005" s="124"/>
      <c r="R4005" s="124"/>
      <c r="S4005" s="124"/>
      <c r="T4005" s="124"/>
      <c r="U4005" s="124"/>
      <c r="V4005" s="124"/>
      <c r="W4005" s="124"/>
      <c r="X4005" s="124"/>
      <c r="Y4005" s="124"/>
      <c r="Z4005" s="124"/>
    </row>
    <row r="4006">
      <c r="A4006" s="124"/>
      <c r="B4006" s="124"/>
      <c r="C4006" s="147"/>
      <c r="D4006" s="124"/>
      <c r="E4006" s="124"/>
      <c r="F4006" s="124"/>
      <c r="G4006" s="124"/>
      <c r="H4006" s="124"/>
      <c r="I4006" s="124"/>
      <c r="J4006" s="124"/>
      <c r="K4006" s="124"/>
      <c r="L4006" s="124"/>
      <c r="M4006" s="124"/>
      <c r="N4006" s="124"/>
      <c r="O4006" s="124"/>
      <c r="P4006" s="124"/>
      <c r="Q4006" s="124"/>
      <c r="R4006" s="124"/>
      <c r="S4006" s="124"/>
      <c r="T4006" s="124"/>
      <c r="U4006" s="124"/>
      <c r="V4006" s="124"/>
      <c r="W4006" s="124"/>
      <c r="X4006" s="124"/>
      <c r="Y4006" s="124"/>
      <c r="Z4006" s="124"/>
    </row>
    <row r="4007">
      <c r="A4007" s="124"/>
      <c r="B4007" s="124"/>
      <c r="C4007" s="147"/>
      <c r="D4007" s="124"/>
      <c r="E4007" s="124"/>
      <c r="F4007" s="124"/>
      <c r="G4007" s="124"/>
      <c r="H4007" s="124"/>
      <c r="I4007" s="124"/>
      <c r="J4007" s="124"/>
      <c r="K4007" s="124"/>
      <c r="L4007" s="124"/>
      <c r="M4007" s="124"/>
      <c r="N4007" s="124"/>
      <c r="O4007" s="124"/>
      <c r="P4007" s="124"/>
      <c r="Q4007" s="124"/>
      <c r="R4007" s="124"/>
      <c r="S4007" s="124"/>
      <c r="T4007" s="124"/>
      <c r="U4007" s="124"/>
      <c r="V4007" s="124"/>
      <c r="W4007" s="124"/>
      <c r="X4007" s="124"/>
      <c r="Y4007" s="124"/>
      <c r="Z4007" s="124"/>
    </row>
    <row r="4008">
      <c r="A4008" s="124"/>
      <c r="B4008" s="124"/>
      <c r="C4008" s="147"/>
      <c r="D4008" s="124"/>
      <c r="E4008" s="124"/>
      <c r="F4008" s="124"/>
      <c r="G4008" s="124"/>
      <c r="H4008" s="124"/>
      <c r="I4008" s="124"/>
      <c r="J4008" s="124"/>
      <c r="K4008" s="124"/>
      <c r="L4008" s="124"/>
      <c r="M4008" s="124"/>
      <c r="N4008" s="124"/>
      <c r="O4008" s="124"/>
      <c r="P4008" s="124"/>
      <c r="Q4008" s="124"/>
      <c r="R4008" s="124"/>
      <c r="S4008" s="124"/>
      <c r="T4008" s="124"/>
      <c r="U4008" s="124"/>
      <c r="V4008" s="124"/>
      <c r="W4008" s="124"/>
      <c r="X4008" s="124"/>
      <c r="Y4008" s="124"/>
      <c r="Z4008" s="124"/>
    </row>
    <row r="4009">
      <c r="A4009" s="124"/>
      <c r="B4009" s="124"/>
      <c r="C4009" s="147"/>
      <c r="D4009" s="124"/>
      <c r="E4009" s="124"/>
      <c r="F4009" s="124"/>
      <c r="G4009" s="124"/>
      <c r="H4009" s="124"/>
      <c r="I4009" s="124"/>
      <c r="J4009" s="124"/>
      <c r="K4009" s="124"/>
      <c r="L4009" s="124"/>
      <c r="M4009" s="124"/>
      <c r="N4009" s="124"/>
      <c r="O4009" s="124"/>
      <c r="P4009" s="124"/>
      <c r="Q4009" s="124"/>
      <c r="R4009" s="124"/>
      <c r="S4009" s="124"/>
      <c r="T4009" s="124"/>
      <c r="U4009" s="124"/>
      <c r="V4009" s="124"/>
      <c r="W4009" s="124"/>
      <c r="X4009" s="124"/>
      <c r="Y4009" s="124"/>
      <c r="Z4009" s="124"/>
    </row>
    <row r="4010">
      <c r="A4010" s="124"/>
      <c r="B4010" s="124"/>
      <c r="C4010" s="147"/>
      <c r="D4010" s="124"/>
      <c r="E4010" s="124"/>
      <c r="F4010" s="124"/>
      <c r="G4010" s="124"/>
      <c r="H4010" s="124"/>
      <c r="I4010" s="124"/>
      <c r="J4010" s="124"/>
      <c r="K4010" s="124"/>
      <c r="L4010" s="124"/>
      <c r="M4010" s="124"/>
      <c r="N4010" s="124"/>
      <c r="O4010" s="124"/>
      <c r="P4010" s="124"/>
      <c r="Q4010" s="124"/>
      <c r="R4010" s="124"/>
      <c r="S4010" s="124"/>
      <c r="T4010" s="124"/>
      <c r="U4010" s="124"/>
      <c r="V4010" s="124"/>
      <c r="W4010" s="124"/>
      <c r="X4010" s="124"/>
      <c r="Y4010" s="124"/>
      <c r="Z4010" s="124"/>
    </row>
    <row r="4011">
      <c r="A4011" s="124"/>
      <c r="B4011" s="124"/>
      <c r="C4011" s="147"/>
      <c r="D4011" s="124"/>
      <c r="E4011" s="124"/>
      <c r="F4011" s="124"/>
      <c r="G4011" s="124"/>
      <c r="H4011" s="124"/>
      <c r="I4011" s="124"/>
      <c r="J4011" s="124"/>
      <c r="K4011" s="124"/>
      <c r="L4011" s="124"/>
      <c r="M4011" s="124"/>
      <c r="N4011" s="124"/>
      <c r="O4011" s="124"/>
      <c r="P4011" s="124"/>
      <c r="Q4011" s="124"/>
      <c r="R4011" s="124"/>
      <c r="S4011" s="124"/>
      <c r="T4011" s="124"/>
      <c r="U4011" s="124"/>
      <c r="V4011" s="124"/>
      <c r="W4011" s="124"/>
      <c r="X4011" s="124"/>
      <c r="Y4011" s="124"/>
      <c r="Z4011" s="124"/>
    </row>
    <row r="4012">
      <c r="A4012" s="124"/>
      <c r="B4012" s="124"/>
      <c r="C4012" s="147"/>
      <c r="D4012" s="124"/>
      <c r="E4012" s="124"/>
      <c r="F4012" s="124"/>
      <c r="G4012" s="124"/>
      <c r="H4012" s="124"/>
      <c r="I4012" s="124"/>
      <c r="J4012" s="124"/>
      <c r="K4012" s="124"/>
      <c r="L4012" s="124"/>
      <c r="M4012" s="124"/>
      <c r="N4012" s="124"/>
      <c r="O4012" s="124"/>
      <c r="P4012" s="124"/>
      <c r="Q4012" s="124"/>
      <c r="R4012" s="124"/>
      <c r="S4012" s="124"/>
      <c r="T4012" s="124"/>
      <c r="U4012" s="124"/>
      <c r="V4012" s="124"/>
      <c r="W4012" s="124"/>
      <c r="X4012" s="124"/>
      <c r="Y4012" s="124"/>
      <c r="Z4012" s="124"/>
    </row>
    <row r="4013">
      <c r="A4013" s="124"/>
      <c r="B4013" s="124"/>
      <c r="C4013" s="147"/>
      <c r="D4013" s="124"/>
      <c r="E4013" s="124"/>
      <c r="F4013" s="124"/>
      <c r="G4013" s="124"/>
      <c r="H4013" s="124"/>
      <c r="I4013" s="124"/>
      <c r="J4013" s="124"/>
      <c r="K4013" s="124"/>
      <c r="L4013" s="124"/>
      <c r="M4013" s="124"/>
      <c r="N4013" s="124"/>
      <c r="O4013" s="124"/>
      <c r="P4013" s="124"/>
      <c r="Q4013" s="124"/>
      <c r="R4013" s="124"/>
      <c r="S4013" s="124"/>
      <c r="T4013" s="124"/>
      <c r="U4013" s="124"/>
      <c r="V4013" s="124"/>
      <c r="W4013" s="124"/>
      <c r="X4013" s="124"/>
      <c r="Y4013" s="124"/>
      <c r="Z4013" s="124"/>
    </row>
    <row r="4014">
      <c r="A4014" s="124"/>
      <c r="B4014" s="124"/>
      <c r="C4014" s="147"/>
      <c r="D4014" s="124"/>
      <c r="E4014" s="124"/>
      <c r="F4014" s="124"/>
      <c r="G4014" s="124"/>
      <c r="H4014" s="124"/>
      <c r="I4014" s="124"/>
      <c r="J4014" s="124"/>
      <c r="K4014" s="124"/>
      <c r="L4014" s="124"/>
      <c r="M4014" s="124"/>
      <c r="N4014" s="124"/>
      <c r="O4014" s="124"/>
      <c r="P4014" s="124"/>
      <c r="Q4014" s="124"/>
      <c r="R4014" s="124"/>
      <c r="S4014" s="124"/>
      <c r="T4014" s="124"/>
      <c r="U4014" s="124"/>
      <c r="V4014" s="124"/>
      <c r="W4014" s="124"/>
      <c r="X4014" s="124"/>
      <c r="Y4014" s="124"/>
      <c r="Z4014" s="124"/>
    </row>
    <row r="4015">
      <c r="A4015" s="124"/>
      <c r="B4015" s="124"/>
      <c r="C4015" s="147"/>
      <c r="D4015" s="124"/>
      <c r="E4015" s="124"/>
      <c r="F4015" s="124"/>
      <c r="G4015" s="124"/>
      <c r="H4015" s="124"/>
      <c r="I4015" s="124"/>
      <c r="J4015" s="124"/>
      <c r="K4015" s="124"/>
      <c r="L4015" s="124"/>
      <c r="M4015" s="124"/>
      <c r="N4015" s="124"/>
      <c r="O4015" s="124"/>
      <c r="P4015" s="124"/>
      <c r="Q4015" s="124"/>
      <c r="R4015" s="124"/>
      <c r="S4015" s="124"/>
      <c r="T4015" s="124"/>
      <c r="U4015" s="124"/>
      <c r="V4015" s="124"/>
      <c r="W4015" s="124"/>
      <c r="X4015" s="124"/>
      <c r="Y4015" s="124"/>
      <c r="Z4015" s="124"/>
    </row>
    <row r="4016">
      <c r="A4016" s="124"/>
      <c r="B4016" s="124"/>
      <c r="C4016" s="147"/>
      <c r="D4016" s="124"/>
      <c r="E4016" s="124"/>
      <c r="F4016" s="124"/>
      <c r="G4016" s="124"/>
      <c r="H4016" s="124"/>
      <c r="I4016" s="124"/>
      <c r="J4016" s="124"/>
      <c r="K4016" s="124"/>
      <c r="L4016" s="124"/>
      <c r="M4016" s="124"/>
      <c r="N4016" s="124"/>
      <c r="O4016" s="124"/>
      <c r="P4016" s="124"/>
      <c r="Q4016" s="124"/>
      <c r="R4016" s="124"/>
      <c r="S4016" s="124"/>
      <c r="T4016" s="124"/>
      <c r="U4016" s="124"/>
      <c r="V4016" s="124"/>
      <c r="W4016" s="124"/>
      <c r="X4016" s="124"/>
      <c r="Y4016" s="124"/>
      <c r="Z4016" s="124"/>
    </row>
    <row r="4017">
      <c r="A4017" s="124"/>
      <c r="B4017" s="124"/>
      <c r="C4017" s="147"/>
      <c r="D4017" s="124"/>
      <c r="E4017" s="124"/>
      <c r="F4017" s="124"/>
      <c r="G4017" s="124"/>
      <c r="H4017" s="124"/>
      <c r="I4017" s="124"/>
      <c r="J4017" s="124"/>
      <c r="K4017" s="124"/>
      <c r="L4017" s="124"/>
      <c r="M4017" s="124"/>
      <c r="N4017" s="124"/>
      <c r="O4017" s="124"/>
      <c r="P4017" s="124"/>
      <c r="Q4017" s="124"/>
      <c r="R4017" s="124"/>
      <c r="S4017" s="124"/>
      <c r="T4017" s="124"/>
      <c r="U4017" s="124"/>
      <c r="V4017" s="124"/>
      <c r="W4017" s="124"/>
      <c r="X4017" s="124"/>
      <c r="Y4017" s="124"/>
      <c r="Z4017" s="124"/>
    </row>
    <row r="4018">
      <c r="A4018" s="124"/>
      <c r="B4018" s="124"/>
      <c r="C4018" s="147"/>
      <c r="D4018" s="124"/>
      <c r="E4018" s="124"/>
      <c r="F4018" s="124"/>
      <c r="G4018" s="124"/>
      <c r="H4018" s="124"/>
      <c r="I4018" s="124"/>
      <c r="J4018" s="124"/>
      <c r="K4018" s="124"/>
      <c r="L4018" s="124"/>
      <c r="M4018" s="124"/>
      <c r="N4018" s="124"/>
      <c r="O4018" s="124"/>
      <c r="P4018" s="124"/>
      <c r="Q4018" s="124"/>
      <c r="R4018" s="124"/>
      <c r="S4018" s="124"/>
      <c r="T4018" s="124"/>
      <c r="U4018" s="124"/>
      <c r="V4018" s="124"/>
      <c r="W4018" s="124"/>
      <c r="X4018" s="124"/>
      <c r="Y4018" s="124"/>
      <c r="Z4018" s="124"/>
    </row>
    <row r="4019">
      <c r="A4019" s="124"/>
      <c r="B4019" s="124"/>
      <c r="C4019" s="147"/>
      <c r="D4019" s="124"/>
      <c r="E4019" s="124"/>
      <c r="F4019" s="124"/>
      <c r="G4019" s="124"/>
      <c r="H4019" s="124"/>
      <c r="I4019" s="124"/>
      <c r="J4019" s="124"/>
      <c r="K4019" s="124"/>
      <c r="L4019" s="124"/>
      <c r="M4019" s="124"/>
      <c r="N4019" s="124"/>
      <c r="O4019" s="124"/>
      <c r="P4019" s="124"/>
      <c r="Q4019" s="124"/>
      <c r="R4019" s="124"/>
      <c r="S4019" s="124"/>
      <c r="T4019" s="124"/>
      <c r="U4019" s="124"/>
      <c r="V4019" s="124"/>
      <c r="W4019" s="124"/>
      <c r="X4019" s="124"/>
      <c r="Y4019" s="124"/>
      <c r="Z4019" s="124"/>
    </row>
    <row r="4020">
      <c r="A4020" s="124"/>
      <c r="B4020" s="124"/>
      <c r="C4020" s="147"/>
      <c r="D4020" s="124"/>
      <c r="E4020" s="124"/>
      <c r="F4020" s="124"/>
      <c r="G4020" s="124"/>
      <c r="H4020" s="124"/>
      <c r="I4020" s="124"/>
      <c r="J4020" s="124"/>
      <c r="K4020" s="124"/>
      <c r="L4020" s="124"/>
      <c r="M4020" s="124"/>
      <c r="N4020" s="124"/>
      <c r="O4020" s="124"/>
      <c r="P4020" s="124"/>
      <c r="Q4020" s="124"/>
      <c r="R4020" s="124"/>
      <c r="S4020" s="124"/>
      <c r="T4020" s="124"/>
      <c r="U4020" s="124"/>
      <c r="V4020" s="124"/>
      <c r="W4020" s="124"/>
      <c r="X4020" s="124"/>
      <c r="Y4020" s="124"/>
      <c r="Z4020" s="124"/>
    </row>
    <row r="4021">
      <c r="A4021" s="124"/>
      <c r="B4021" s="124"/>
      <c r="C4021" s="147"/>
      <c r="D4021" s="124"/>
      <c r="E4021" s="124"/>
      <c r="F4021" s="124"/>
      <c r="G4021" s="124"/>
      <c r="H4021" s="124"/>
      <c r="I4021" s="124"/>
      <c r="J4021" s="124"/>
      <c r="K4021" s="124"/>
      <c r="L4021" s="124"/>
      <c r="M4021" s="124"/>
      <c r="N4021" s="124"/>
      <c r="O4021" s="124"/>
      <c r="P4021" s="124"/>
      <c r="Q4021" s="124"/>
      <c r="R4021" s="124"/>
      <c r="S4021" s="124"/>
      <c r="T4021" s="124"/>
      <c r="U4021" s="124"/>
      <c r="V4021" s="124"/>
      <c r="W4021" s="124"/>
      <c r="X4021" s="124"/>
      <c r="Y4021" s="124"/>
      <c r="Z4021" s="124"/>
    </row>
    <row r="4022">
      <c r="A4022" s="124"/>
      <c r="B4022" s="124"/>
      <c r="C4022" s="147"/>
      <c r="D4022" s="124"/>
      <c r="E4022" s="124"/>
      <c r="F4022" s="124"/>
      <c r="G4022" s="124"/>
      <c r="H4022" s="124"/>
      <c r="I4022" s="124"/>
      <c r="J4022" s="124"/>
      <c r="K4022" s="124"/>
      <c r="L4022" s="124"/>
      <c r="M4022" s="124"/>
      <c r="N4022" s="124"/>
      <c r="O4022" s="124"/>
      <c r="P4022" s="124"/>
      <c r="Q4022" s="124"/>
      <c r="R4022" s="124"/>
      <c r="S4022" s="124"/>
      <c r="T4022" s="124"/>
      <c r="U4022" s="124"/>
      <c r="V4022" s="124"/>
      <c r="W4022" s="124"/>
      <c r="X4022" s="124"/>
      <c r="Y4022" s="124"/>
      <c r="Z4022" s="124"/>
    </row>
    <row r="4023">
      <c r="A4023" s="124"/>
      <c r="B4023" s="124"/>
      <c r="C4023" s="147"/>
      <c r="D4023" s="124"/>
      <c r="E4023" s="124"/>
      <c r="F4023" s="124"/>
      <c r="G4023" s="124"/>
      <c r="H4023" s="124"/>
      <c r="I4023" s="124"/>
      <c r="J4023" s="124"/>
      <c r="K4023" s="124"/>
      <c r="L4023" s="124"/>
      <c r="M4023" s="124"/>
      <c r="N4023" s="124"/>
      <c r="O4023" s="124"/>
      <c r="P4023" s="124"/>
      <c r="Q4023" s="124"/>
      <c r="R4023" s="124"/>
      <c r="S4023" s="124"/>
      <c r="T4023" s="124"/>
      <c r="U4023" s="124"/>
      <c r="V4023" s="124"/>
      <c r="W4023" s="124"/>
      <c r="X4023" s="124"/>
      <c r="Y4023" s="124"/>
      <c r="Z4023" s="124"/>
    </row>
    <row r="4024">
      <c r="A4024" s="124"/>
      <c r="B4024" s="124"/>
      <c r="C4024" s="147"/>
      <c r="D4024" s="124"/>
      <c r="E4024" s="124"/>
      <c r="F4024" s="124"/>
      <c r="G4024" s="124"/>
      <c r="H4024" s="124"/>
      <c r="I4024" s="124"/>
      <c r="J4024" s="124"/>
      <c r="K4024" s="124"/>
      <c r="L4024" s="124"/>
      <c r="M4024" s="124"/>
      <c r="N4024" s="124"/>
      <c r="O4024" s="124"/>
      <c r="P4024" s="124"/>
      <c r="Q4024" s="124"/>
      <c r="R4024" s="124"/>
      <c r="S4024" s="124"/>
      <c r="T4024" s="124"/>
      <c r="U4024" s="124"/>
      <c r="V4024" s="124"/>
      <c r="W4024" s="124"/>
      <c r="X4024" s="124"/>
      <c r="Y4024" s="124"/>
      <c r="Z4024" s="124"/>
    </row>
    <row r="4025">
      <c r="A4025" s="124"/>
      <c r="B4025" s="124"/>
      <c r="C4025" s="147"/>
      <c r="D4025" s="124"/>
      <c r="E4025" s="124"/>
      <c r="F4025" s="124"/>
      <c r="G4025" s="124"/>
      <c r="H4025" s="124"/>
      <c r="I4025" s="124"/>
      <c r="J4025" s="124"/>
      <c r="K4025" s="124"/>
      <c r="L4025" s="124"/>
      <c r="M4025" s="124"/>
      <c r="N4025" s="124"/>
      <c r="O4025" s="124"/>
      <c r="P4025" s="124"/>
      <c r="Q4025" s="124"/>
      <c r="R4025" s="124"/>
      <c r="S4025" s="124"/>
      <c r="T4025" s="124"/>
      <c r="U4025" s="124"/>
      <c r="V4025" s="124"/>
      <c r="W4025" s="124"/>
      <c r="X4025" s="124"/>
      <c r="Y4025" s="124"/>
      <c r="Z4025" s="124"/>
    </row>
    <row r="4026">
      <c r="A4026" s="124"/>
      <c r="B4026" s="124"/>
      <c r="C4026" s="147"/>
      <c r="D4026" s="124"/>
      <c r="E4026" s="124"/>
      <c r="F4026" s="124"/>
      <c r="G4026" s="124"/>
      <c r="H4026" s="124"/>
      <c r="I4026" s="124"/>
      <c r="J4026" s="124"/>
      <c r="K4026" s="124"/>
      <c r="L4026" s="124"/>
      <c r="M4026" s="124"/>
      <c r="N4026" s="124"/>
      <c r="O4026" s="124"/>
      <c r="P4026" s="124"/>
      <c r="Q4026" s="124"/>
      <c r="R4026" s="124"/>
      <c r="S4026" s="124"/>
      <c r="T4026" s="124"/>
      <c r="U4026" s="124"/>
      <c r="V4026" s="124"/>
      <c r="W4026" s="124"/>
      <c r="X4026" s="124"/>
      <c r="Y4026" s="124"/>
      <c r="Z4026" s="124"/>
    </row>
    <row r="4027">
      <c r="A4027" s="124"/>
      <c r="B4027" s="124"/>
      <c r="C4027" s="147"/>
      <c r="D4027" s="124"/>
      <c r="E4027" s="124"/>
      <c r="F4027" s="124"/>
      <c r="G4027" s="124"/>
      <c r="H4027" s="124"/>
      <c r="I4027" s="124"/>
      <c r="J4027" s="124"/>
      <c r="K4027" s="124"/>
      <c r="L4027" s="124"/>
      <c r="M4027" s="124"/>
      <c r="N4027" s="124"/>
      <c r="O4027" s="124"/>
      <c r="P4027" s="124"/>
      <c r="Q4027" s="124"/>
      <c r="R4027" s="124"/>
      <c r="S4027" s="124"/>
      <c r="T4027" s="124"/>
      <c r="U4027" s="124"/>
      <c r="V4027" s="124"/>
      <c r="W4027" s="124"/>
      <c r="X4027" s="124"/>
      <c r="Y4027" s="124"/>
      <c r="Z4027" s="124"/>
    </row>
    <row r="4028">
      <c r="A4028" s="124"/>
      <c r="B4028" s="124"/>
      <c r="C4028" s="147"/>
      <c r="D4028" s="124"/>
      <c r="E4028" s="124"/>
      <c r="F4028" s="124"/>
      <c r="G4028" s="124"/>
      <c r="H4028" s="124"/>
      <c r="I4028" s="124"/>
      <c r="J4028" s="124"/>
      <c r="K4028" s="124"/>
      <c r="L4028" s="124"/>
      <c r="M4028" s="124"/>
      <c r="N4028" s="124"/>
      <c r="O4028" s="124"/>
      <c r="P4028" s="124"/>
      <c r="Q4028" s="124"/>
      <c r="R4028" s="124"/>
      <c r="S4028" s="124"/>
      <c r="T4028" s="124"/>
      <c r="U4028" s="124"/>
      <c r="V4028" s="124"/>
      <c r="W4028" s="124"/>
      <c r="X4028" s="124"/>
      <c r="Y4028" s="124"/>
      <c r="Z4028" s="124"/>
    </row>
    <row r="4029">
      <c r="A4029" s="124"/>
      <c r="B4029" s="124"/>
      <c r="C4029" s="147"/>
      <c r="D4029" s="124"/>
      <c r="E4029" s="124"/>
      <c r="F4029" s="124"/>
      <c r="G4029" s="124"/>
      <c r="H4029" s="124"/>
      <c r="I4029" s="124"/>
      <c r="J4029" s="124"/>
      <c r="K4029" s="124"/>
      <c r="L4029" s="124"/>
      <c r="M4029" s="124"/>
      <c r="N4029" s="124"/>
      <c r="O4029" s="124"/>
      <c r="P4029" s="124"/>
      <c r="Q4029" s="124"/>
      <c r="R4029" s="124"/>
      <c r="S4029" s="124"/>
      <c r="T4029" s="124"/>
      <c r="U4029" s="124"/>
      <c r="V4029" s="124"/>
      <c r="W4029" s="124"/>
      <c r="X4029" s="124"/>
      <c r="Y4029" s="124"/>
      <c r="Z4029" s="124"/>
    </row>
    <row r="4030">
      <c r="A4030" s="124"/>
      <c r="B4030" s="124"/>
      <c r="C4030" s="147"/>
      <c r="D4030" s="124"/>
      <c r="E4030" s="124"/>
      <c r="F4030" s="124"/>
      <c r="G4030" s="124"/>
      <c r="H4030" s="124"/>
      <c r="I4030" s="124"/>
      <c r="J4030" s="124"/>
      <c r="K4030" s="124"/>
      <c r="L4030" s="124"/>
      <c r="M4030" s="124"/>
      <c r="N4030" s="124"/>
      <c r="O4030" s="124"/>
      <c r="P4030" s="124"/>
      <c r="Q4030" s="124"/>
      <c r="R4030" s="124"/>
      <c r="S4030" s="124"/>
      <c r="T4030" s="124"/>
      <c r="U4030" s="124"/>
      <c r="V4030" s="124"/>
      <c r="W4030" s="124"/>
      <c r="X4030" s="124"/>
      <c r="Y4030" s="124"/>
      <c r="Z4030" s="124"/>
    </row>
    <row r="4031">
      <c r="A4031" s="124"/>
      <c r="B4031" s="124"/>
      <c r="C4031" s="147"/>
      <c r="D4031" s="124"/>
      <c r="E4031" s="124"/>
      <c r="F4031" s="124"/>
      <c r="G4031" s="124"/>
      <c r="H4031" s="124"/>
      <c r="I4031" s="124"/>
      <c r="J4031" s="124"/>
      <c r="K4031" s="124"/>
      <c r="L4031" s="124"/>
      <c r="M4031" s="124"/>
      <c r="N4031" s="124"/>
      <c r="O4031" s="124"/>
      <c r="P4031" s="124"/>
      <c r="Q4031" s="124"/>
      <c r="R4031" s="124"/>
      <c r="S4031" s="124"/>
      <c r="T4031" s="124"/>
      <c r="U4031" s="124"/>
      <c r="V4031" s="124"/>
      <c r="W4031" s="124"/>
      <c r="X4031" s="124"/>
      <c r="Y4031" s="124"/>
      <c r="Z4031" s="124"/>
    </row>
    <row r="4032">
      <c r="A4032" s="124"/>
      <c r="B4032" s="124"/>
      <c r="C4032" s="147"/>
      <c r="D4032" s="124"/>
      <c r="E4032" s="124"/>
      <c r="F4032" s="124"/>
      <c r="G4032" s="124"/>
      <c r="H4032" s="124"/>
      <c r="I4032" s="124"/>
      <c r="J4032" s="124"/>
      <c r="K4032" s="124"/>
      <c r="L4032" s="124"/>
      <c r="M4032" s="124"/>
      <c r="N4032" s="124"/>
      <c r="O4032" s="124"/>
      <c r="P4032" s="124"/>
      <c r="Q4032" s="124"/>
      <c r="R4032" s="124"/>
      <c r="S4032" s="124"/>
      <c r="T4032" s="124"/>
      <c r="U4032" s="124"/>
      <c r="V4032" s="124"/>
      <c r="W4032" s="124"/>
      <c r="X4032" s="124"/>
      <c r="Y4032" s="124"/>
      <c r="Z4032" s="124"/>
    </row>
    <row r="4033">
      <c r="A4033" s="124"/>
      <c r="B4033" s="124"/>
      <c r="C4033" s="147"/>
      <c r="D4033" s="124"/>
      <c r="E4033" s="124"/>
      <c r="F4033" s="124"/>
      <c r="G4033" s="124"/>
      <c r="H4033" s="124"/>
      <c r="I4033" s="124"/>
      <c r="J4033" s="124"/>
      <c r="K4033" s="124"/>
      <c r="L4033" s="124"/>
      <c r="M4033" s="124"/>
      <c r="N4033" s="124"/>
      <c r="O4033" s="124"/>
      <c r="P4033" s="124"/>
      <c r="Q4033" s="124"/>
      <c r="R4033" s="124"/>
      <c r="S4033" s="124"/>
      <c r="T4033" s="124"/>
      <c r="U4033" s="124"/>
      <c r="V4033" s="124"/>
      <c r="W4033" s="124"/>
      <c r="X4033" s="124"/>
      <c r="Y4033" s="124"/>
      <c r="Z4033" s="124"/>
    </row>
    <row r="4034">
      <c r="A4034" s="124"/>
      <c r="B4034" s="124"/>
      <c r="C4034" s="147"/>
      <c r="D4034" s="124"/>
      <c r="E4034" s="124"/>
      <c r="F4034" s="124"/>
      <c r="G4034" s="124"/>
      <c r="H4034" s="124"/>
      <c r="I4034" s="124"/>
      <c r="J4034" s="124"/>
      <c r="K4034" s="124"/>
      <c r="L4034" s="124"/>
      <c r="M4034" s="124"/>
      <c r="N4034" s="124"/>
      <c r="O4034" s="124"/>
      <c r="P4034" s="124"/>
      <c r="Q4034" s="124"/>
      <c r="R4034" s="124"/>
      <c r="S4034" s="124"/>
      <c r="T4034" s="124"/>
      <c r="U4034" s="124"/>
      <c r="V4034" s="124"/>
      <c r="W4034" s="124"/>
      <c r="X4034" s="124"/>
      <c r="Y4034" s="124"/>
      <c r="Z4034" s="124"/>
    </row>
    <row r="4035">
      <c r="A4035" s="124"/>
      <c r="B4035" s="124"/>
      <c r="C4035" s="147"/>
      <c r="D4035" s="124"/>
      <c r="E4035" s="124"/>
      <c r="F4035" s="124"/>
      <c r="G4035" s="124"/>
      <c r="H4035" s="124"/>
      <c r="I4035" s="124"/>
      <c r="J4035" s="124"/>
      <c r="K4035" s="124"/>
      <c r="L4035" s="124"/>
      <c r="M4035" s="124"/>
      <c r="N4035" s="124"/>
      <c r="O4035" s="124"/>
      <c r="P4035" s="124"/>
      <c r="Q4035" s="124"/>
      <c r="R4035" s="124"/>
      <c r="S4035" s="124"/>
      <c r="T4035" s="124"/>
      <c r="U4035" s="124"/>
      <c r="V4035" s="124"/>
      <c r="W4035" s="124"/>
      <c r="X4035" s="124"/>
      <c r="Y4035" s="124"/>
      <c r="Z4035" s="124"/>
    </row>
    <row r="4036">
      <c r="A4036" s="124"/>
      <c r="B4036" s="124"/>
      <c r="C4036" s="147"/>
      <c r="D4036" s="124"/>
      <c r="E4036" s="124"/>
      <c r="F4036" s="124"/>
      <c r="G4036" s="124"/>
      <c r="H4036" s="124"/>
      <c r="I4036" s="124"/>
      <c r="J4036" s="124"/>
      <c r="K4036" s="124"/>
      <c r="L4036" s="124"/>
      <c r="M4036" s="124"/>
      <c r="N4036" s="124"/>
      <c r="O4036" s="124"/>
      <c r="P4036" s="124"/>
      <c r="Q4036" s="124"/>
      <c r="R4036" s="124"/>
      <c r="S4036" s="124"/>
      <c r="T4036" s="124"/>
      <c r="U4036" s="124"/>
      <c r="V4036" s="124"/>
      <c r="W4036" s="124"/>
      <c r="X4036" s="124"/>
      <c r="Y4036" s="124"/>
      <c r="Z4036" s="124"/>
    </row>
    <row r="4037">
      <c r="A4037" s="124"/>
      <c r="B4037" s="124"/>
      <c r="C4037" s="147"/>
      <c r="D4037" s="124"/>
      <c r="E4037" s="124"/>
      <c r="F4037" s="124"/>
      <c r="G4037" s="124"/>
      <c r="H4037" s="124"/>
      <c r="I4037" s="124"/>
      <c r="J4037" s="124"/>
      <c r="K4037" s="124"/>
      <c r="L4037" s="124"/>
      <c r="M4037" s="124"/>
      <c r="N4037" s="124"/>
      <c r="O4037" s="124"/>
      <c r="P4037" s="124"/>
      <c r="Q4037" s="124"/>
      <c r="R4037" s="124"/>
      <c r="S4037" s="124"/>
      <c r="T4037" s="124"/>
      <c r="U4037" s="124"/>
      <c r="V4037" s="124"/>
      <c r="W4037" s="124"/>
      <c r="X4037" s="124"/>
      <c r="Y4037" s="124"/>
      <c r="Z4037" s="124"/>
    </row>
    <row r="4038">
      <c r="A4038" s="124"/>
      <c r="B4038" s="124"/>
      <c r="C4038" s="147"/>
      <c r="D4038" s="124"/>
      <c r="E4038" s="124"/>
      <c r="F4038" s="124"/>
      <c r="G4038" s="124"/>
      <c r="H4038" s="124"/>
      <c r="I4038" s="124"/>
      <c r="J4038" s="124"/>
      <c r="K4038" s="124"/>
      <c r="L4038" s="124"/>
      <c r="M4038" s="124"/>
      <c r="N4038" s="124"/>
      <c r="O4038" s="124"/>
      <c r="P4038" s="124"/>
      <c r="Q4038" s="124"/>
      <c r="R4038" s="124"/>
      <c r="S4038" s="124"/>
      <c r="T4038" s="124"/>
      <c r="U4038" s="124"/>
      <c r="V4038" s="124"/>
      <c r="W4038" s="124"/>
      <c r="X4038" s="124"/>
      <c r="Y4038" s="124"/>
      <c r="Z4038" s="124"/>
    </row>
    <row r="4039">
      <c r="A4039" s="124"/>
      <c r="B4039" s="124"/>
      <c r="C4039" s="147"/>
      <c r="D4039" s="124"/>
      <c r="E4039" s="124"/>
      <c r="F4039" s="124"/>
      <c r="G4039" s="124"/>
      <c r="H4039" s="124"/>
      <c r="I4039" s="124"/>
      <c r="J4039" s="124"/>
      <c r="K4039" s="124"/>
      <c r="L4039" s="124"/>
      <c r="M4039" s="124"/>
      <c r="N4039" s="124"/>
      <c r="O4039" s="124"/>
      <c r="P4039" s="124"/>
      <c r="Q4039" s="124"/>
      <c r="R4039" s="124"/>
      <c r="S4039" s="124"/>
      <c r="T4039" s="124"/>
      <c r="U4039" s="124"/>
      <c r="V4039" s="124"/>
      <c r="W4039" s="124"/>
      <c r="X4039" s="124"/>
      <c r="Y4039" s="124"/>
      <c r="Z4039" s="124"/>
    </row>
    <row r="4040">
      <c r="A4040" s="124"/>
      <c r="B4040" s="124"/>
      <c r="C4040" s="147"/>
      <c r="D4040" s="124"/>
      <c r="E4040" s="124"/>
      <c r="F4040" s="124"/>
      <c r="G4040" s="124"/>
      <c r="H4040" s="124"/>
      <c r="I4040" s="124"/>
      <c r="J4040" s="124"/>
      <c r="K4040" s="124"/>
      <c r="L4040" s="124"/>
      <c r="M4040" s="124"/>
      <c r="N4040" s="124"/>
      <c r="O4040" s="124"/>
      <c r="P4040" s="124"/>
      <c r="Q4040" s="124"/>
      <c r="R4040" s="124"/>
      <c r="S4040" s="124"/>
      <c r="T4040" s="124"/>
      <c r="U4040" s="124"/>
      <c r="V4040" s="124"/>
      <c r="W4040" s="124"/>
      <c r="X4040" s="124"/>
      <c r="Y4040" s="124"/>
      <c r="Z4040" s="124"/>
    </row>
    <row r="4041">
      <c r="A4041" s="124"/>
      <c r="B4041" s="124"/>
      <c r="C4041" s="147"/>
      <c r="D4041" s="124"/>
      <c r="E4041" s="124"/>
      <c r="F4041" s="124"/>
      <c r="G4041" s="124"/>
      <c r="H4041" s="124"/>
      <c r="I4041" s="124"/>
      <c r="J4041" s="124"/>
      <c r="K4041" s="124"/>
      <c r="L4041" s="124"/>
      <c r="M4041" s="124"/>
      <c r="N4041" s="124"/>
      <c r="O4041" s="124"/>
      <c r="P4041" s="124"/>
      <c r="Q4041" s="124"/>
      <c r="R4041" s="124"/>
      <c r="S4041" s="124"/>
      <c r="T4041" s="124"/>
      <c r="U4041" s="124"/>
      <c r="V4041" s="124"/>
      <c r="W4041" s="124"/>
      <c r="X4041" s="124"/>
      <c r="Y4041" s="124"/>
      <c r="Z4041" s="124"/>
    </row>
    <row r="4042">
      <c r="A4042" s="124"/>
      <c r="B4042" s="124"/>
      <c r="C4042" s="147"/>
      <c r="D4042" s="124"/>
      <c r="E4042" s="124"/>
      <c r="F4042" s="124"/>
      <c r="G4042" s="124"/>
      <c r="H4042" s="124"/>
      <c r="I4042" s="124"/>
      <c r="J4042" s="124"/>
      <c r="K4042" s="124"/>
      <c r="L4042" s="124"/>
      <c r="M4042" s="124"/>
      <c r="N4042" s="124"/>
      <c r="O4042" s="124"/>
      <c r="P4042" s="124"/>
      <c r="Q4042" s="124"/>
      <c r="R4042" s="124"/>
      <c r="S4042" s="124"/>
      <c r="T4042" s="124"/>
      <c r="U4042" s="124"/>
      <c r="V4042" s="124"/>
      <c r="W4042" s="124"/>
      <c r="X4042" s="124"/>
      <c r="Y4042" s="124"/>
      <c r="Z4042" s="124"/>
    </row>
    <row r="4043">
      <c r="A4043" s="124"/>
      <c r="B4043" s="124"/>
      <c r="C4043" s="147"/>
      <c r="D4043" s="124"/>
      <c r="E4043" s="124"/>
      <c r="F4043" s="124"/>
      <c r="G4043" s="124"/>
      <c r="H4043" s="124"/>
      <c r="I4043" s="124"/>
      <c r="J4043" s="124"/>
      <c r="K4043" s="124"/>
      <c r="L4043" s="124"/>
      <c r="M4043" s="124"/>
      <c r="N4043" s="124"/>
      <c r="O4043" s="124"/>
      <c r="P4043" s="124"/>
      <c r="Q4043" s="124"/>
      <c r="R4043" s="124"/>
      <c r="S4043" s="124"/>
      <c r="T4043" s="124"/>
      <c r="U4043" s="124"/>
      <c r="V4043" s="124"/>
      <c r="W4043" s="124"/>
      <c r="X4043" s="124"/>
      <c r="Y4043" s="124"/>
      <c r="Z4043" s="124"/>
    </row>
    <row r="4044">
      <c r="A4044" s="124"/>
      <c r="B4044" s="124"/>
      <c r="C4044" s="147"/>
      <c r="D4044" s="124"/>
      <c r="E4044" s="124"/>
      <c r="F4044" s="124"/>
      <c r="G4044" s="124"/>
      <c r="H4044" s="124"/>
      <c r="I4044" s="124"/>
      <c r="J4044" s="124"/>
      <c r="K4044" s="124"/>
      <c r="L4044" s="124"/>
      <c r="M4044" s="124"/>
      <c r="N4044" s="124"/>
      <c r="O4044" s="124"/>
      <c r="P4044" s="124"/>
      <c r="Q4044" s="124"/>
      <c r="R4044" s="124"/>
      <c r="S4044" s="124"/>
      <c r="T4044" s="124"/>
      <c r="U4044" s="124"/>
      <c r="V4044" s="124"/>
      <c r="W4044" s="124"/>
      <c r="X4044" s="124"/>
      <c r="Y4044" s="124"/>
      <c r="Z4044" s="124"/>
    </row>
    <row r="4045">
      <c r="A4045" s="124"/>
      <c r="B4045" s="124"/>
      <c r="C4045" s="147"/>
      <c r="D4045" s="124"/>
      <c r="E4045" s="124"/>
      <c r="F4045" s="124"/>
      <c r="G4045" s="124"/>
      <c r="H4045" s="124"/>
      <c r="I4045" s="124"/>
      <c r="J4045" s="124"/>
      <c r="K4045" s="124"/>
      <c r="L4045" s="124"/>
      <c r="M4045" s="124"/>
      <c r="N4045" s="124"/>
      <c r="O4045" s="124"/>
      <c r="P4045" s="124"/>
      <c r="Q4045" s="124"/>
      <c r="R4045" s="124"/>
      <c r="S4045" s="124"/>
      <c r="T4045" s="124"/>
      <c r="U4045" s="124"/>
      <c r="V4045" s="124"/>
      <c r="W4045" s="124"/>
      <c r="X4045" s="124"/>
      <c r="Y4045" s="124"/>
      <c r="Z4045" s="124"/>
    </row>
    <row r="4046">
      <c r="A4046" s="124"/>
      <c r="B4046" s="124"/>
      <c r="C4046" s="147"/>
      <c r="D4046" s="124"/>
      <c r="E4046" s="124"/>
      <c r="F4046" s="124"/>
      <c r="G4046" s="124"/>
      <c r="H4046" s="124"/>
      <c r="I4046" s="124"/>
      <c r="J4046" s="124"/>
      <c r="K4046" s="124"/>
      <c r="L4046" s="124"/>
      <c r="M4046" s="124"/>
      <c r="N4046" s="124"/>
      <c r="O4046" s="124"/>
      <c r="P4046" s="124"/>
      <c r="Q4046" s="124"/>
      <c r="R4046" s="124"/>
      <c r="S4046" s="124"/>
      <c r="T4046" s="124"/>
      <c r="U4046" s="124"/>
      <c r="V4046" s="124"/>
      <c r="W4046" s="124"/>
      <c r="X4046" s="124"/>
      <c r="Y4046" s="124"/>
      <c r="Z4046" s="124"/>
    </row>
    <row r="4047">
      <c r="A4047" s="124"/>
      <c r="B4047" s="124"/>
      <c r="C4047" s="147"/>
      <c r="D4047" s="124"/>
      <c r="E4047" s="124"/>
      <c r="F4047" s="124"/>
      <c r="G4047" s="124"/>
      <c r="H4047" s="124"/>
      <c r="I4047" s="124"/>
      <c r="J4047" s="124"/>
      <c r="K4047" s="124"/>
      <c r="L4047" s="124"/>
      <c r="M4047" s="124"/>
      <c r="N4047" s="124"/>
      <c r="O4047" s="124"/>
      <c r="P4047" s="124"/>
      <c r="Q4047" s="124"/>
      <c r="R4047" s="124"/>
      <c r="S4047" s="124"/>
      <c r="T4047" s="124"/>
      <c r="U4047" s="124"/>
      <c r="V4047" s="124"/>
      <c r="W4047" s="124"/>
      <c r="X4047" s="124"/>
      <c r="Y4047" s="124"/>
      <c r="Z4047" s="124"/>
    </row>
    <row r="4048">
      <c r="A4048" s="124"/>
      <c r="B4048" s="124"/>
      <c r="C4048" s="147"/>
      <c r="D4048" s="124"/>
      <c r="E4048" s="124"/>
      <c r="F4048" s="124"/>
      <c r="G4048" s="124"/>
      <c r="H4048" s="124"/>
      <c r="I4048" s="124"/>
      <c r="J4048" s="124"/>
      <c r="K4048" s="124"/>
      <c r="L4048" s="124"/>
      <c r="M4048" s="124"/>
      <c r="N4048" s="124"/>
      <c r="O4048" s="124"/>
      <c r="P4048" s="124"/>
      <c r="Q4048" s="124"/>
      <c r="R4048" s="124"/>
      <c r="S4048" s="124"/>
      <c r="T4048" s="124"/>
      <c r="U4048" s="124"/>
      <c r="V4048" s="124"/>
      <c r="W4048" s="124"/>
      <c r="X4048" s="124"/>
      <c r="Y4048" s="124"/>
      <c r="Z4048" s="124"/>
    </row>
  </sheetData>
  <conditionalFormatting sqref="O1:O4048">
    <cfRule type="containsText" dxfId="7" priority="1" operator="containsText" text="Pendiente">
      <formula>NOT(ISERROR(SEARCH(("Pendiente"),(O1))))</formula>
    </cfRule>
  </conditionalFormatting>
  <conditionalFormatting sqref="O1:O4048">
    <cfRule type="containsText" dxfId="8" priority="2" operator="containsText" text="PROCESO">
      <formula>NOT(ISERROR(SEARCH(("PROCESO"),(O1))))</formula>
    </cfRule>
  </conditionalFormatting>
  <conditionalFormatting sqref="O1:O4048">
    <cfRule type="containsText" dxfId="9" priority="3" operator="containsText" text="CANCELADO">
      <formula>NOT(ISERROR(SEARCH(("CANCELADO"),(O1))))</formula>
    </cfRule>
  </conditionalFormatting>
  <conditionalFormatting sqref="O1:O4048">
    <cfRule type="containsText" dxfId="10" priority="4" operator="containsText" text="REVISAR">
      <formula>NOT(ISERROR(SEARCH(("REVISAR"),(O1))))</formula>
    </cfRule>
  </conditionalFormatting>
  <conditionalFormatting sqref="O1:O4048">
    <cfRule type="containsText" dxfId="11" priority="5" operator="containsText" text="ENTREGADO">
      <formula>NOT(ISERROR(SEARCH(("ENTREGADO"),(O1))))</formula>
    </cfRule>
  </conditionalFormatting>
  <conditionalFormatting sqref="O1:O4048">
    <cfRule type="containsText" dxfId="12" priority="6" operator="containsText" text="NOVEDAD">
      <formula>NOT(ISERROR(SEARCH(("NOVEDAD"),(O1))))</formula>
    </cfRule>
  </conditionalFormatting>
  <conditionalFormatting sqref="O1:O4048">
    <cfRule type="containsText" dxfId="13" priority="7" operator="containsText" text="DEVOLUCION">
      <formula>NOT(ISERROR(SEARCH(("DEVOLUCION"),(O1))))</formula>
    </cfRule>
  </conditionalFormatting>
  <conditionalFormatting sqref="D1074">
    <cfRule type="notContainsBlanks" dxfId="1" priority="8">
      <formula>LEN(TRIM(D1074))&gt;0</formula>
    </cfRule>
  </conditionalFormatting>
  <conditionalFormatting sqref="C1:C4048">
    <cfRule type="colorScale" priority="9">
      <colorScale>
        <cfvo type="min"/>
        <cfvo type="max"/>
        <color rgb="FFFFFFFF"/>
        <color rgb="FFFF00FF"/>
      </colorScale>
    </cfRule>
  </conditionalFormatting>
  <conditionalFormatting sqref="N2:N4048">
    <cfRule type="expression" dxfId="14" priority="10">
      <formula>AND( N2&lt;&gt;"",  N1&lt;&gt;"",  VALUE(SUBSTITUTE(N2,"#","")) &lt;&gt; VALUE(SUBSTITUTE(N1,"#","")) + 1 )</formula>
    </cfRule>
  </conditionalFormatting>
  <dataValidations>
    <dataValidation type="custom" allowBlank="1" showDropDown="1" sqref="B2:B1062">
      <formula1>OR(NOT(ISERROR(DATEVALUE(B2))), AND(ISNUMBER(B2), LEFT(CELL("format", B2))="D"))</formula1>
    </dataValidation>
    <dataValidation type="custom" allowBlank="1" showDropDown="1" sqref="E2:G1062 J2:J1062">
      <formula1>AND(ISNUMBER(E2),(NOT(OR(NOT(ISERROR(DATEVALUE(E2))), AND(ISNUMBER(E2), LEFT(CELL("format", E2))="D")))))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4.25"/>
    <col customWidth="1" min="4" max="4" width="45.5"/>
    <col customWidth="1" min="8" max="8" width="15.13"/>
    <col customWidth="1" min="9" max="9" width="18.0"/>
    <col customWidth="1" min="10" max="10" width="17.0"/>
    <col customWidth="1" min="11" max="11" width="13.5"/>
    <col customWidth="1" min="14" max="14" width="13.88"/>
    <col customWidth="1" min="16" max="16" width="43.88"/>
    <col customWidth="1" min="17" max="17" width="15.38"/>
    <col customWidth="1" min="18" max="18" width="18.75"/>
    <col customWidth="1" min="21" max="21" width="19.0"/>
  </cols>
  <sheetData>
    <row r="1" ht="29.25" customHeight="1">
      <c r="A1" s="114" t="s">
        <v>3683</v>
      </c>
      <c r="B1" s="148" t="s">
        <v>3384</v>
      </c>
      <c r="C1" s="114" t="s">
        <v>3710</v>
      </c>
      <c r="D1" s="114" t="s">
        <v>5874</v>
      </c>
      <c r="E1" s="149" t="s">
        <v>3711</v>
      </c>
      <c r="F1" s="114" t="s">
        <v>3712</v>
      </c>
      <c r="G1" s="150" t="s">
        <v>3713</v>
      </c>
      <c r="H1" s="114" t="s">
        <v>3714</v>
      </c>
      <c r="I1" s="114" t="s">
        <v>3715</v>
      </c>
      <c r="J1" s="114" t="s">
        <v>3716</v>
      </c>
      <c r="K1" s="114" t="s">
        <v>9</v>
      </c>
      <c r="L1" s="114" t="s">
        <v>3717</v>
      </c>
      <c r="M1" s="114" t="s">
        <v>3718</v>
      </c>
      <c r="N1" s="114" t="s">
        <v>3719</v>
      </c>
      <c r="O1" s="114" t="s">
        <v>3720</v>
      </c>
      <c r="P1" s="114" t="s">
        <v>3721</v>
      </c>
      <c r="Q1" s="114" t="s">
        <v>3722</v>
      </c>
      <c r="R1" s="114" t="s">
        <v>3723</v>
      </c>
      <c r="S1" s="114" t="s">
        <v>3724</v>
      </c>
      <c r="T1" s="114" t="s">
        <v>199</v>
      </c>
      <c r="U1" s="114" t="s">
        <v>3725</v>
      </c>
      <c r="V1" s="151" t="s">
        <v>5875</v>
      </c>
      <c r="W1" s="152"/>
      <c r="X1" s="152"/>
      <c r="Y1" s="152"/>
      <c r="Z1" s="152"/>
    </row>
    <row r="2" ht="22.5" hidden="1" customHeight="1">
      <c r="A2" s="118">
        <f t="array" ref="A2:A1724">IF(B2:B1724&lt;&gt;"", ROW(B2:B1724)-1, "")
</f>
        <v>1</v>
      </c>
      <c r="B2" s="119">
        <v>46054.0</v>
      </c>
      <c r="C2" s="118" t="s">
        <v>5876</v>
      </c>
      <c r="D2" s="118" t="str">
        <f>IFERROR(__xludf.DUMMYFUNCTION("IFERROR( INDEX( FILTER( 'NOMBRE DE PRODUCTOS'!B:B, REGEXMATCH( UPPER( INDEX( REPORTE_DROPI!AC:AC, MATCH(T2, REPORTE_DROPI!B:B, 0) ) ), UPPER('NOMBRE DE PRODUCTOS'!A:A) ) ), 1 ), ""REVISAR"" )"),"FilmPro®")</f>
        <v>FilmPro®</v>
      </c>
      <c r="E2" s="120">
        <f t="array" ref="E2">IF(
UPPER(TRIM(CLEAN($O2)))="ENTREGADO",
IFERROR(
INDEX(REPORTE_DROPI!Y:Y,
MATCH($T2, REPORTE_DROPI!B:B, 0)
),
""
),
""
)
</f>
        <v>4.7</v>
      </c>
      <c r="F2" s="121">
        <v>2.0</v>
      </c>
      <c r="G2" s="122">
        <f t="array" ref="G2">IF(
UPPER(TRIM(CLEAN($O2)))="ENTREGADO",
IFERROR(
INDEX(REPORTE_DROPI!R:R,
MATCH($T2, REPORTE_DROPI!B:B, 0)
),
""
),
""
)
</f>
        <v>25</v>
      </c>
      <c r="H2" s="118" t="s">
        <v>3727</v>
      </c>
      <c r="I2" s="118" t="s">
        <v>3728</v>
      </c>
      <c r="J2" s="121">
        <f t="array" ref="J2">IF(
UPPER(TRIM(CLEAN($O2)))="ENTREGADO",
IFERROR(
INDEX(REPORTE_DROPI!T:T,
MATCH($T2, REPORTE_DROPI!B:B, 0)
),
""
),
""
)
</f>
        <v>6.53</v>
      </c>
      <c r="K2" s="118">
        <f t="array" ref="K2">IFERROR(
INDEX(REPORTE_DROPI!S:S,
MATCH($T2, REPORTE_DROPI!B:B, 0)
),
""
)</f>
        <v>13.77</v>
      </c>
      <c r="L2" s="118" t="str">
        <f>IF(
  O2&lt;&gt;"DEVOLUCION",
  "",
  IF(
    T2="",
    "",
    SUMIF(DEVOLUCION!F:F, T2, DEVOLUCION!D:D)
  )
)
</f>
        <v/>
      </c>
      <c r="M2" s="118" t="s">
        <v>5877</v>
      </c>
      <c r="N2" s="130" t="s">
        <v>5878</v>
      </c>
      <c r="O2" s="118" t="str">
        <f t="array" ref="O2">IFERROR(
VLOOKUP(
TRIM(CLEAN(
INDEX(REPORTE_DROPI!K:K,
MATCH(T2, REPORTE_DROPI!B:B, 0)
))),
{
TRIM(CLEAN(MAPA_ESTADOS!A:A)) ,
MAPA_ESTADOS!B:B
},
2,
FALSE
),
"REVISAR"
)</f>
        <v>ENTREGADO</v>
      </c>
      <c r="P2" s="118" t="s">
        <v>5692</v>
      </c>
      <c r="Q2" s="153">
        <f t="shared" ref="Q2:Q728" si="1">G2-E2-J2-K2</f>
        <v>0</v>
      </c>
      <c r="R2" s="118"/>
      <c r="S2" s="118"/>
      <c r="T2" s="118">
        <f t="array" ref="T2">IFERROR(
INDEX(REPORTE_DROPI!B:B,
MATCH(
CLEAN(TRIM(C2)),
CLEAN(TRIM(REPORTE_DROPI!E:E)),
0
)
),
""
)
</f>
        <v>4348312</v>
      </c>
      <c r="U2" s="118">
        <v>6.467225616428E12</v>
      </c>
      <c r="V2" s="154"/>
      <c r="W2" s="78"/>
      <c r="X2" s="78"/>
      <c r="Y2" s="78"/>
      <c r="Z2" s="78"/>
    </row>
    <row r="3" ht="22.5" hidden="1" customHeight="1">
      <c r="A3" s="118">
        <v>2.0</v>
      </c>
      <c r="B3" s="119">
        <v>46054.0</v>
      </c>
      <c r="C3" s="118" t="s">
        <v>5879</v>
      </c>
      <c r="D3" s="118" t="str">
        <f>IFERROR(__xludf.DUMMYFUNCTION("IFERROR( INDEX( FILTER( 'NOMBRE DE PRODUCTOS'!B:B, REGEXMATCH( UPPER( INDEX( REPORTE_DROPI!AC:AC, MATCH(T3, REPORTE_DROPI!B:B, 0) ) ), UPPER('NOMBRE DE PRODUCTOS'!A:A) ) ), 1 ), ""REVISAR"" )"),"FilmPro®")</f>
        <v>FilmPro®</v>
      </c>
      <c r="E3" s="120" t="str">
        <f t="array" ref="E3">IF(
UPPER(TRIM(CLEAN($O3)))="ENTREGADO",
IFERROR(
INDEX(REPORTE_DROPI!Y:Y,
MATCH($T3, REPORTE_DROPI!B:B, 0)
),
""
),
""
)
</f>
        <v/>
      </c>
      <c r="F3" s="121">
        <v>1.0</v>
      </c>
      <c r="G3" s="122" t="str">
        <f t="array" ref="G3">IF(
UPPER(TRIM(CLEAN($O3)))="ENTREGADO",
IFERROR(
INDEX(REPORTE_DROPI!R:R,
MATCH($T3, REPORTE_DROPI!B:B, 0)
),
""
),
""
)
</f>
        <v/>
      </c>
      <c r="H3" s="118" t="s">
        <v>3727</v>
      </c>
      <c r="I3" s="118" t="s">
        <v>3731</v>
      </c>
      <c r="J3" s="121" t="str">
        <f t="array" ref="J3">IF(
UPPER(TRIM(CLEAN($O3)))="ENTREGADO",
IFERROR(
INDEX(REPORTE_DROPI!T:T,
MATCH($T3, REPORTE_DROPI!B:B, 0)
),
""
),
""
)
</f>
        <v/>
      </c>
      <c r="K3" s="118" t="str">
        <f t="array" ref="K3">IFERROR(
INDEX(REPORTE_DROPI!S:S,
MATCH($T3, REPORTE_DROPI!B:B, 0)
),
""
)</f>
        <v/>
      </c>
      <c r="L3" s="118">
        <f>IF(
  O3&lt;&gt;"DEVOLUCION",
  "",
  IF(
    T3="",
    "",
    SUMIF(DEVOLUCION!F:F, T3, DEVOLUCION!D:D)
  )
)
</f>
        <v>3.45</v>
      </c>
      <c r="M3" s="118" t="s">
        <v>5877</v>
      </c>
      <c r="N3" s="130" t="s">
        <v>5880</v>
      </c>
      <c r="O3" s="118" t="str">
        <f t="array" ref="O3">IFERROR(
VLOOKUP(
TRIM(CLEAN(
INDEX(REPORTE_DROPI!K:K,
MATCH(T3, REPORTE_DROPI!B:B, 0)
))),
{
TRIM(CLEAN(MAPA_ESTADOS!A:A)) ,
MAPA_ESTADOS!B:B
},
2,
FALSE
),
"REVISAR"
)</f>
        <v>DEVOLUCION</v>
      </c>
      <c r="P3" s="118" t="s">
        <v>5692</v>
      </c>
      <c r="Q3" s="153">
        <f t="shared" si="1"/>
        <v>0</v>
      </c>
      <c r="R3" s="118"/>
      <c r="S3" s="118"/>
      <c r="T3" s="118">
        <f t="array" ref="T3">IFERROR(
INDEX(REPORTE_DROPI!B:B,
MATCH(
CLEAN(TRIM(C3)),
CLEAN(TRIM(REPORTE_DROPI!E:E)),
0
)
),
""
)
</f>
        <v>4348391</v>
      </c>
      <c r="U3" s="118">
        <v>6.46737828254E12</v>
      </c>
      <c r="V3" s="154"/>
      <c r="W3" s="78" t="s">
        <v>3849</v>
      </c>
      <c r="X3" s="78"/>
      <c r="Y3" s="78"/>
      <c r="Z3" s="78"/>
    </row>
    <row r="4" ht="22.5" hidden="1" customHeight="1">
      <c r="A4" s="118">
        <v>3.0</v>
      </c>
      <c r="B4" s="119">
        <v>46054.0</v>
      </c>
      <c r="C4" s="118" t="s">
        <v>5881</v>
      </c>
      <c r="D4" s="118" t="str">
        <f>IFERROR(__xludf.DUMMYFUNCTION("IFERROR( INDEX( FILTER( 'NOMBRE DE PRODUCTOS'!B:B, REGEXMATCH( UPPER( INDEX( REPORTE_DROPI!AC:AC, MATCH(T4, REPORTE_DROPI!B:B, 0) ) ), UPPER('NOMBRE DE PRODUCTOS'!A:A) ) ), 1 ), ""REVISAR"" )"),"Cuchillo Tazaki™")</f>
        <v>Cuchillo Tazaki™</v>
      </c>
      <c r="E4" s="120" t="str">
        <f t="array" ref="E4">IF(
UPPER(TRIM(CLEAN($O4)))="ENTREGADO",
IFERROR(
INDEX(REPORTE_DROPI!Y:Y,
MATCH($T4, REPORTE_DROPI!B:B, 0)
),
""
),
""
)
</f>
        <v/>
      </c>
      <c r="F4" s="121">
        <v>2.0</v>
      </c>
      <c r="G4" s="122" t="str">
        <f t="array" ref="G4">IF(
UPPER(TRIM(CLEAN($O4)))="ENTREGADO",
IFERROR(
INDEX(REPORTE_DROPI!R:R,
MATCH($T4, REPORTE_DROPI!B:B, 0)
),
""
),
""
)
</f>
        <v/>
      </c>
      <c r="H4" s="118" t="s">
        <v>3727</v>
      </c>
      <c r="I4" s="118" t="s">
        <v>3778</v>
      </c>
      <c r="J4" s="121" t="str">
        <f t="array" ref="J4">IF(
UPPER(TRIM(CLEAN($O4)))="ENTREGADO",
IFERROR(
INDEX(REPORTE_DROPI!T:T,
MATCH($T4, REPORTE_DROPI!B:B, 0)
),
""
),
""
)
</f>
        <v/>
      </c>
      <c r="K4" s="118" t="str">
        <f t="array" ref="K4">IFERROR(
INDEX(REPORTE_DROPI!S:S,
MATCH($T4, REPORTE_DROPI!B:B, 0)
),
""
)</f>
        <v/>
      </c>
      <c r="L4" s="118">
        <f>IF(
  O4&lt;&gt;"DEVOLUCION",
  "",
  IF(
    T4="",
    "",
    SUMIF(DEVOLUCION!F:F, T4, DEVOLUCION!D:D)
  )
)
</f>
        <v>5.07</v>
      </c>
      <c r="M4" s="118" t="s">
        <v>5877</v>
      </c>
      <c r="N4" s="130" t="s">
        <v>5882</v>
      </c>
      <c r="O4" s="118" t="str">
        <f t="array" ref="O4">IFERROR(
VLOOKUP(
TRIM(CLEAN(
INDEX(REPORTE_DROPI!K:K,
MATCH(T4, REPORTE_DROPI!B:B, 0)
))),
{
TRIM(CLEAN(MAPA_ESTADOS!A:A)) ,
MAPA_ESTADOS!B:B
},
2,
FALSE
),
"REVISAR"
)</f>
        <v>DEVOLUCION</v>
      </c>
      <c r="P4" s="118" t="s">
        <v>5697</v>
      </c>
      <c r="Q4" s="153">
        <f t="shared" si="1"/>
        <v>0</v>
      </c>
      <c r="R4" s="118"/>
      <c r="S4" s="118"/>
      <c r="T4" s="118">
        <f t="array" ref="T4">IFERROR(
INDEX(REPORTE_DROPI!B:B,
MATCH(
CLEAN(TRIM(C4)),
CLEAN(TRIM(REPORTE_DROPI!E:E)),
0
)
),
""
)
</f>
        <v>4348457</v>
      </c>
      <c r="U4" s="118">
        <v>6.467416195116E12</v>
      </c>
      <c r="V4" s="154"/>
      <c r="W4" s="78"/>
      <c r="X4" s="78"/>
      <c r="Y4" s="78"/>
      <c r="Z4" s="78"/>
    </row>
    <row r="5" ht="22.5" hidden="1" customHeight="1">
      <c r="A5" s="118">
        <v>4.0</v>
      </c>
      <c r="B5" s="119">
        <v>46054.0</v>
      </c>
      <c r="C5" s="118" t="s">
        <v>5883</v>
      </c>
      <c r="D5" s="118" t="str">
        <f>IFERROR(__xludf.DUMMYFUNCTION("IFERROR( INDEX( FILTER( 'NOMBRE DE PRODUCTOS'!B:B, REGEXMATCH( UPPER( INDEX( REPORTE_DROPI!AC:AC, MATCH(T5, REPORTE_DROPI!B:B, 0) ) ), UPPER('NOMBRE DE PRODUCTOS'!A:A) ) ), 1 ), ""REVISAR"" )"),"FilmPro®")</f>
        <v>FilmPro®</v>
      </c>
      <c r="E5" s="120" t="str">
        <f t="array" ref="E5">IF(
UPPER(TRIM(CLEAN($O5)))="ENTREGADO",
IFERROR(
INDEX(REPORTE_DROPI!Y:Y,
MATCH($T5, REPORTE_DROPI!B:B, 0)
),
""
),
""
)
</f>
        <v/>
      </c>
      <c r="F5" s="121">
        <v>2.0</v>
      </c>
      <c r="G5" s="122" t="str">
        <f t="array" ref="G5">IF(
UPPER(TRIM(CLEAN($O5)))="ENTREGADO",
IFERROR(
INDEX(REPORTE_DROPI!R:R,
MATCH($T5, REPORTE_DROPI!B:B, 0)
),
""
),
""
)
</f>
        <v/>
      </c>
      <c r="H5" s="118" t="s">
        <v>3727</v>
      </c>
      <c r="I5" s="118" t="s">
        <v>3740</v>
      </c>
      <c r="J5" s="121" t="str">
        <f t="array" ref="J5">IF(
UPPER(TRIM(CLEAN($O5)))="ENTREGADO",
IFERROR(
INDEX(REPORTE_DROPI!T:T,
MATCH($T5, REPORTE_DROPI!B:B, 0)
),
""
),
""
)
</f>
        <v/>
      </c>
      <c r="K5" s="118" t="str">
        <f t="array" ref="K5">IFERROR(
INDEX(REPORTE_DROPI!S:S,
MATCH($T5, REPORTE_DROPI!B:B, 0)
),
""
)</f>
        <v/>
      </c>
      <c r="L5" s="118">
        <f>IF(
  O5&lt;&gt;"DEVOLUCION",
  "",
  IF(
    T5="",
    "",
    SUMIF(DEVOLUCION!F:F, T5, DEVOLUCION!D:D)
  )
)
</f>
        <v>7.75</v>
      </c>
      <c r="M5" s="118" t="s">
        <v>5877</v>
      </c>
      <c r="N5" s="130" t="s">
        <v>5884</v>
      </c>
      <c r="O5" s="118" t="str">
        <f t="array" ref="O5">IFERROR(
VLOOKUP(
TRIM(CLEAN(
INDEX(REPORTE_DROPI!K:K,
MATCH(T5, REPORTE_DROPI!B:B, 0)
))),
{
TRIM(CLEAN(MAPA_ESTADOS!A:A)) ,
MAPA_ESTADOS!B:B
},
2,
FALSE
),
"REVISAR"
)</f>
        <v>DEVOLUCION</v>
      </c>
      <c r="P5" s="118" t="s">
        <v>5692</v>
      </c>
      <c r="Q5" s="153">
        <f t="shared" si="1"/>
        <v>0</v>
      </c>
      <c r="R5" s="118"/>
      <c r="S5" s="118"/>
      <c r="T5" s="118">
        <f t="array" ref="T5">IFERROR(
INDEX(REPORTE_DROPI!B:B,
MATCH(
CLEAN(TRIM(C5)),
CLEAN(TRIM(REPORTE_DROPI!E:E)),
0
)
),
""
)
</f>
        <v>4348506</v>
      </c>
      <c r="U5" s="118">
        <v>6.467441328172E12</v>
      </c>
      <c r="V5" s="154"/>
      <c r="W5" s="78"/>
      <c r="X5" s="78"/>
      <c r="Y5" s="78"/>
      <c r="Z5" s="78"/>
    </row>
    <row r="6" ht="22.5" hidden="1" customHeight="1">
      <c r="A6" s="118">
        <v>5.0</v>
      </c>
      <c r="B6" s="119">
        <v>46054.0</v>
      </c>
      <c r="C6" s="118" t="s">
        <v>5885</v>
      </c>
      <c r="D6" s="118" t="str">
        <f>IFERROR(__xludf.DUMMYFUNCTION("IFERROR( INDEX( FILTER( 'NOMBRE DE PRODUCTOS'!B:B, REGEXMATCH( UPPER( INDEX( REPORTE_DROPI!AC:AC, MATCH(T6, REPORTE_DROPI!B:B, 0) ) ), UPPER('NOMBRE DE PRODUCTOS'!A:A) ) ), 1 ), ""REVISAR"" )"),"FilmPro®")</f>
        <v>FilmPro®</v>
      </c>
      <c r="E6" s="120">
        <f t="array" ref="E6">IF(
UPPER(TRIM(CLEAN($O6)))="ENTREGADO",
IFERROR(
INDEX(REPORTE_DROPI!Y:Y,
MATCH($T6, REPORTE_DROPI!B:B, 0)
),
""
),
""
)
</f>
        <v>4.7</v>
      </c>
      <c r="F6" s="121">
        <v>2.0</v>
      </c>
      <c r="G6" s="122">
        <f t="array" ref="G6">IF(
UPPER(TRIM(CLEAN($O6)))="ENTREGADO",
IFERROR(
INDEX(REPORTE_DROPI!R:R,
MATCH($T6, REPORTE_DROPI!B:B, 0)
),
""
),
""
)
</f>
        <v>25</v>
      </c>
      <c r="H6" s="118" t="s">
        <v>3727</v>
      </c>
      <c r="I6" s="118" t="s">
        <v>3778</v>
      </c>
      <c r="J6" s="121">
        <f t="array" ref="J6">IF(
UPPER(TRIM(CLEAN($O6)))="ENTREGADO",
IFERROR(
INDEX(REPORTE_DROPI!T:T,
MATCH($T6, REPORTE_DROPI!B:B, 0)
),
""
),
""
)
</f>
        <v>5.96</v>
      </c>
      <c r="K6" s="118">
        <f t="array" ref="K6">IFERROR(
INDEX(REPORTE_DROPI!S:S,
MATCH($T6, REPORTE_DROPI!B:B, 0)
),
""
)</f>
        <v>14.34</v>
      </c>
      <c r="L6" s="118" t="str">
        <f>IF(
  O6&lt;&gt;"DEVOLUCION",
  "",
  IF(
    T6="",
    "",
    SUMIF(DEVOLUCION!F:F, T6, DEVOLUCION!D:D)
  )
)
</f>
        <v/>
      </c>
      <c r="M6" s="118" t="s">
        <v>5877</v>
      </c>
      <c r="N6" s="130" t="s">
        <v>5886</v>
      </c>
      <c r="O6" s="118" t="str">
        <f t="array" ref="O6">IFERROR(
VLOOKUP(
TRIM(CLEAN(
INDEX(REPORTE_DROPI!K:K,
MATCH(T6, REPORTE_DROPI!B:B, 0)
))),
{
TRIM(CLEAN(MAPA_ESTADOS!A:A)) ,
MAPA_ESTADOS!B:B
},
2,
FALSE
),
"REVISAR"
)</f>
        <v>ENTREGADO</v>
      </c>
      <c r="P6" s="118" t="s">
        <v>5692</v>
      </c>
      <c r="Q6" s="153">
        <f t="shared" si="1"/>
        <v>0</v>
      </c>
      <c r="R6" s="118"/>
      <c r="S6" s="118"/>
      <c r="T6" s="118">
        <f t="array" ref="T6">IFERROR(
INDEX(REPORTE_DROPI!B:B,
MATCH(
CLEAN(TRIM(C6)),
CLEAN(TRIM(REPORTE_DROPI!E:E)),
0
)
),
""
)
</f>
        <v>4348584</v>
      </c>
      <c r="U6" s="118">
        <v>6.467472883756E12</v>
      </c>
      <c r="V6" s="154"/>
      <c r="W6" s="78"/>
      <c r="X6" s="78"/>
      <c r="Y6" s="78"/>
      <c r="Z6" s="78"/>
    </row>
    <row r="7" ht="22.5" hidden="1" customHeight="1">
      <c r="A7" s="118">
        <v>6.0</v>
      </c>
      <c r="B7" s="119">
        <v>46054.0</v>
      </c>
      <c r="C7" s="118" t="s">
        <v>5887</v>
      </c>
      <c r="D7" s="118" t="str">
        <f>IFERROR(__xludf.DUMMYFUNCTION("IFERROR( INDEX( FILTER( 'NOMBRE DE PRODUCTOS'!B:B, REGEXMATCH( UPPER( INDEX( REPORTE_DROPI!AC:AC, MATCH(T7, REPORTE_DROPI!B:B, 0) ) ), UPPER('NOMBRE DE PRODUCTOS'!A:A) ) ), 1 ), ""REVISAR"" )"),"FilmPro®")</f>
        <v>FilmPro®</v>
      </c>
      <c r="E7" s="120">
        <f t="array" ref="E7">IF(
UPPER(TRIM(CLEAN($O7)))="ENTREGADO",
IFERROR(
INDEX(REPORTE_DROPI!Y:Y,
MATCH($T7, REPORTE_DROPI!B:B, 0)
),
""
),
""
)
</f>
        <v>2.35</v>
      </c>
      <c r="F7" s="121">
        <v>1.0</v>
      </c>
      <c r="G7" s="122">
        <f t="array" ref="G7">IF(
UPPER(TRIM(CLEAN($O7)))="ENTREGADO",
IFERROR(
INDEX(REPORTE_DROPI!R:R,
MATCH($T7, REPORTE_DROPI!B:B, 0)
),
""
),
""
)
</f>
        <v>20</v>
      </c>
      <c r="H7" s="118" t="s">
        <v>3727</v>
      </c>
      <c r="I7" s="118" t="s">
        <v>3740</v>
      </c>
      <c r="J7" s="121">
        <f t="array" ref="J7">IF(
UPPER(TRIM(CLEAN($O7)))="ENTREGADO",
IFERROR(
INDEX(REPORTE_DROPI!T:T,
MATCH($T7, REPORTE_DROPI!B:B, 0)
),
""
),
""
)
</f>
        <v>5.76</v>
      </c>
      <c r="K7" s="118">
        <f t="array" ref="K7">IFERROR(
INDEX(REPORTE_DROPI!S:S,
MATCH($T7, REPORTE_DROPI!B:B, 0)
),
""
)</f>
        <v>11.89</v>
      </c>
      <c r="L7" s="118" t="str">
        <f>IF(
  O7&lt;&gt;"DEVOLUCION",
  "",
  IF(
    T7="",
    "",
    SUMIF(DEVOLUCION!F:F, T7, DEVOLUCION!D:D)
  )
)
</f>
        <v/>
      </c>
      <c r="M7" s="118" t="s">
        <v>5877</v>
      </c>
      <c r="N7" s="130" t="s">
        <v>5888</v>
      </c>
      <c r="O7" s="118" t="str">
        <f t="array" ref="O7">IFERROR(
VLOOKUP(
TRIM(CLEAN(
INDEX(REPORTE_DROPI!K:K,
MATCH(T7, REPORTE_DROPI!B:B, 0)
))),
{
TRIM(CLEAN(MAPA_ESTADOS!A:A)) ,
MAPA_ESTADOS!B:B
},
2,
FALSE
),
"REVISAR"
)</f>
        <v>ENTREGADO</v>
      </c>
      <c r="P7" s="118" t="s">
        <v>5692</v>
      </c>
      <c r="Q7" s="153">
        <f t="shared" si="1"/>
        <v>0</v>
      </c>
      <c r="R7" s="118"/>
      <c r="S7" s="118"/>
      <c r="T7" s="118">
        <f t="array" ref="T7">IFERROR(
INDEX(REPORTE_DROPI!B:B,
MATCH(
CLEAN(TRIM(C7)),
CLEAN(TRIM(REPORTE_DROPI!E:E)),
0
)
),
""
)
</f>
        <v>4348771</v>
      </c>
      <c r="U7" s="118">
        <v>6.467714875436E12</v>
      </c>
      <c r="V7" s="154"/>
      <c r="W7" s="78"/>
      <c r="X7" s="78"/>
      <c r="Y7" s="78"/>
      <c r="Z7" s="78"/>
    </row>
    <row r="8" ht="29.25" hidden="1" customHeight="1">
      <c r="A8" s="118">
        <v>7.0</v>
      </c>
      <c r="B8" s="119">
        <v>46054.0</v>
      </c>
      <c r="C8" s="118" t="s">
        <v>5889</v>
      </c>
      <c r="D8" s="118" t="str">
        <f>IFERROR(__xludf.DUMMYFUNCTION("IFERROR( INDEX( FILTER( 'NOMBRE DE PRODUCTOS'!B:B, REGEXMATCH( UPPER( INDEX( REPORTE_DROPI!AC:AC, MATCH(T8, REPORTE_DROPI!B:B, 0) ) ), UPPER('NOMBRE DE PRODUCTOS'!A:A) ) ), 1 ), ""REVISAR"" )"),"FilmPro®")</f>
        <v>FilmPro®</v>
      </c>
      <c r="E8" s="120" t="str">
        <f t="array" ref="E8">IF(
UPPER(TRIM(CLEAN($O8)))="ENTREGADO",
IFERROR(
INDEX(REPORTE_DROPI!Y:Y,
MATCH($T8, REPORTE_DROPI!B:B, 0)
),
""
),
""
)
</f>
        <v/>
      </c>
      <c r="F8" s="121">
        <v>1.0</v>
      </c>
      <c r="G8" s="122" t="str">
        <f t="array" ref="G8">IF(
UPPER(TRIM(CLEAN($O8)))="ENTREGADO",
IFERROR(
INDEX(REPORTE_DROPI!R:R,
MATCH($T8, REPORTE_DROPI!B:B, 0)
),
""
),
""
)
</f>
        <v/>
      </c>
      <c r="H8" s="118" t="s">
        <v>3727</v>
      </c>
      <c r="I8" s="118" t="s">
        <v>3731</v>
      </c>
      <c r="J8" s="121" t="str">
        <f t="array" ref="J8">IF(
UPPER(TRIM(CLEAN($O8)))="ENTREGADO",
IFERROR(
INDEX(REPORTE_DROPI!T:T,
MATCH($T8, REPORTE_DROPI!B:B, 0)
),
""
),
""
)
</f>
        <v/>
      </c>
      <c r="K8" s="118" t="str">
        <f t="array" ref="K8">IFERROR(
INDEX(REPORTE_DROPI!S:S,
MATCH($T8, REPORTE_DROPI!B:B, 0)
),
""
)</f>
        <v/>
      </c>
      <c r="L8" s="118" t="str">
        <f>IF(
  O8&lt;&gt;"DEVOLUCION",
  "",
  IF(
    T8="",
    "",
    SUMIF(DEVOLUCION!F:F, T8, DEVOLUCION!D:D)
  )
)
</f>
        <v/>
      </c>
      <c r="M8" s="118" t="s">
        <v>5877</v>
      </c>
      <c r="N8" s="130" t="s">
        <v>5890</v>
      </c>
      <c r="O8" s="118" t="str">
        <f t="array" ref="O8">IFERROR(
VLOOKUP(
TRIM(CLEAN(
INDEX(REPORTE_DROPI!K:K,
MATCH(T8, REPORTE_DROPI!B:B, 0)
))),
{
TRIM(CLEAN(MAPA_ESTADOS!A:A)) ,
MAPA_ESTADOS!B:B
},
2,
FALSE
),
"REVISAR"
)</f>
        <v>PENDIENTE</v>
      </c>
      <c r="P8" s="118" t="s">
        <v>5891</v>
      </c>
      <c r="Q8" s="153">
        <f t="shared" si="1"/>
        <v>0</v>
      </c>
      <c r="R8" s="118"/>
      <c r="S8" s="118"/>
      <c r="T8" s="118">
        <f t="array" ref="T8">IFERROR(
INDEX(REPORTE_DROPI!B:B,
MATCH(
CLEAN(TRIM(C8)),
CLEAN(TRIM(REPORTE_DROPI!E:E)),
0
)
),
""
)
</f>
        <v>4370206</v>
      </c>
      <c r="U8" s="118">
        <v>6.467745480748E12</v>
      </c>
      <c r="V8" s="154"/>
      <c r="W8" s="78"/>
      <c r="X8" s="78"/>
      <c r="Y8" s="78"/>
      <c r="Z8" s="78"/>
    </row>
    <row r="9" ht="29.25" hidden="1" customHeight="1">
      <c r="A9" s="118">
        <v>8.0</v>
      </c>
      <c r="B9" s="119">
        <v>46054.0</v>
      </c>
      <c r="C9" s="118" t="s">
        <v>5892</v>
      </c>
      <c r="D9" s="118" t="str">
        <f>IFERROR(__xludf.DUMMYFUNCTION("IFERROR( INDEX( FILTER( 'NOMBRE DE PRODUCTOS'!B:B, REGEXMATCH( UPPER( INDEX( REPORTE_DROPI!AC:AC, MATCH(T9, REPORTE_DROPI!B:B, 0) ) ), UPPER('NOMBRE DE PRODUCTOS'!A:A) ) ), 1 ), ""REVISAR"" )"),"Cuchillo Tazaki™")</f>
        <v>Cuchillo Tazaki™</v>
      </c>
      <c r="E9" s="120" t="str">
        <f t="array" ref="E9">IF(
UPPER(TRIM(CLEAN($O9)))="ENTREGADO",
IFERROR(
INDEX(REPORTE_DROPI!Y:Y,
MATCH($T9, REPORTE_DROPI!B:B, 0)
),
""
),
""
)
</f>
        <v/>
      </c>
      <c r="F9" s="121">
        <v>2.0</v>
      </c>
      <c r="G9" s="122" t="str">
        <f t="array" ref="G9">IF(
UPPER(TRIM(CLEAN($O9)))="ENTREGADO",
IFERROR(
INDEX(REPORTE_DROPI!R:R,
MATCH($T9, REPORTE_DROPI!B:B, 0)
),
""
),
""
)
</f>
        <v/>
      </c>
      <c r="H9" s="118" t="s">
        <v>3727</v>
      </c>
      <c r="I9" s="118" t="s">
        <v>3735</v>
      </c>
      <c r="J9" s="121" t="str">
        <f t="array" ref="J9">IF(
UPPER(TRIM(CLEAN($O9)))="ENTREGADO",
IFERROR(
INDEX(REPORTE_DROPI!T:T,
MATCH($T9, REPORTE_DROPI!B:B, 0)
),
""
),
""
)
</f>
        <v/>
      </c>
      <c r="K9" s="118" t="str">
        <f t="array" ref="K9">IFERROR(
INDEX(REPORTE_DROPI!S:S,
MATCH($T9, REPORTE_DROPI!B:B, 0)
),
""
)</f>
        <v/>
      </c>
      <c r="L9" s="118" t="str">
        <f>IF(
  O9&lt;&gt;"DEVOLUCION",
  "",
  IF(
    T9="",
    "",
    SUMIF(DEVOLUCION!F:F, T9, DEVOLUCION!D:D)
  )
)
</f>
        <v/>
      </c>
      <c r="M9" s="118" t="s">
        <v>5877</v>
      </c>
      <c r="N9" s="130" t="s">
        <v>5893</v>
      </c>
      <c r="O9" s="118" t="str">
        <f t="array" ref="O9">IFERROR(
VLOOKUP(
TRIM(CLEAN(
INDEX(REPORTE_DROPI!K:K,
MATCH(T9, REPORTE_DROPI!B:B, 0)
))),
{
TRIM(CLEAN(MAPA_ESTADOS!A:A)) ,
MAPA_ESTADOS!B:B
},
2,
FALSE
),
"REVISAR"
)</f>
        <v>PENDIENTE</v>
      </c>
      <c r="P9" s="118" t="s">
        <v>5894</v>
      </c>
      <c r="Q9" s="153">
        <f t="shared" si="1"/>
        <v>0</v>
      </c>
      <c r="R9" s="118"/>
      <c r="S9" s="118"/>
      <c r="T9" s="118">
        <f t="array" ref="T9">IFERROR(
INDEX(REPORTE_DROPI!B:B,
MATCH(
CLEAN(TRIM(C9)),
CLEAN(TRIM(REPORTE_DROPI!E:E)),
0
)
),
""
)
</f>
        <v>4348861</v>
      </c>
      <c r="U9" s="118">
        <v>6.467754754092E12</v>
      </c>
      <c r="V9" s="154"/>
      <c r="W9" s="78"/>
      <c r="X9" s="78"/>
      <c r="Y9" s="78"/>
      <c r="Z9" s="78"/>
    </row>
    <row r="10" ht="27.0" hidden="1" customHeight="1">
      <c r="A10" s="118">
        <v>9.0</v>
      </c>
      <c r="B10" s="119">
        <v>46054.0</v>
      </c>
      <c r="C10" s="118" t="s">
        <v>5895</v>
      </c>
      <c r="D10" s="118" t="str">
        <f>IFERROR(__xludf.DUMMYFUNCTION("IFERROR( INDEX( FILTER( 'NOMBRE DE PRODUCTOS'!B:B, REGEXMATCH( UPPER( INDEX( REPORTE_DROPI!AC:AC, MATCH(T10, REPORTE_DROPI!B:B, 0) ) ), UPPER('NOMBRE DE PRODUCTOS'!A:A) ) ), 1 ), ""REVISAR"" )"),"Llave Multifuncional 360™")</f>
        <v>Llave Multifuncional 360™</v>
      </c>
      <c r="E10" s="120" t="str">
        <f t="array" ref="E10">IF(
UPPER(TRIM(CLEAN($O10)))="ENTREGADO",
IFERROR(
INDEX(REPORTE_DROPI!Y:Y,
MATCH($T10, REPORTE_DROPI!B:B, 0)
),
""
),
""
)
</f>
        <v/>
      </c>
      <c r="F10" s="121">
        <v>1.0</v>
      </c>
      <c r="G10" s="122" t="str">
        <f t="array" ref="G10">IF(
UPPER(TRIM(CLEAN($O10)))="ENTREGADO",
IFERROR(
INDEX(REPORTE_DROPI!R:R,
MATCH($T10, REPORTE_DROPI!B:B, 0)
),
""
),
""
)
</f>
        <v/>
      </c>
      <c r="H10" s="118" t="s">
        <v>3727</v>
      </c>
      <c r="I10" s="118" t="s">
        <v>3804</v>
      </c>
      <c r="J10" s="121" t="str">
        <f t="array" ref="J10">IF(
UPPER(TRIM(CLEAN($O10)))="ENTREGADO",
IFERROR(
INDEX(REPORTE_DROPI!T:T,
MATCH($T10, REPORTE_DROPI!B:B, 0)
),
""
),
""
)
</f>
        <v/>
      </c>
      <c r="K10" s="118" t="str">
        <f t="array" ref="K10">IFERROR(
INDEX(REPORTE_DROPI!S:S,
MATCH($T10, REPORTE_DROPI!B:B, 0)
),
""
)</f>
        <v/>
      </c>
      <c r="L10" s="118">
        <f>IF(
  O10&lt;&gt;"DEVOLUCION",
  "",
  IF(
    T10="",
    "",
    SUMIF(DEVOLUCION!F:F, T10, DEVOLUCION!D:D)
  )
)
</f>
        <v>5.06</v>
      </c>
      <c r="M10" s="118" t="s">
        <v>5877</v>
      </c>
      <c r="N10" s="130" t="s">
        <v>5896</v>
      </c>
      <c r="O10" s="118" t="str">
        <f t="array" ref="O10">IFERROR(
VLOOKUP(
TRIM(CLEAN(
INDEX(REPORTE_DROPI!K:K,
MATCH(T10, REPORTE_DROPI!B:B, 0)
))),
{
TRIM(CLEAN(MAPA_ESTADOS!A:A)) ,
MAPA_ESTADOS!B:B
},
2,
FALSE
),
"REVISAR"
)</f>
        <v>DEVOLUCION</v>
      </c>
      <c r="P10" s="118" t="s">
        <v>5692</v>
      </c>
      <c r="Q10" s="153">
        <f t="shared" si="1"/>
        <v>0</v>
      </c>
      <c r="R10" s="118" t="s">
        <v>3675</v>
      </c>
      <c r="S10" s="118">
        <v>1.0</v>
      </c>
      <c r="T10" s="118">
        <f t="array" ref="T10">IFERROR(
INDEX(REPORTE_DROPI!B:B,
MATCH(
CLEAN(TRIM(C10)),
CLEAN(TRIM(REPORTE_DROPI!E:E)),
0
)
),
""
)
</f>
        <v>4348882</v>
      </c>
      <c r="U10" s="118">
        <v>6.467760291884E12</v>
      </c>
      <c r="V10" s="154"/>
      <c r="W10" s="78"/>
      <c r="X10" s="78"/>
      <c r="Y10" s="78"/>
      <c r="Z10" s="78"/>
    </row>
    <row r="11" ht="29.25" hidden="1" customHeight="1">
      <c r="A11" s="118">
        <v>10.0</v>
      </c>
      <c r="B11" s="119">
        <v>46054.0</v>
      </c>
      <c r="C11" s="118" t="s">
        <v>5897</v>
      </c>
      <c r="D11" s="118" t="str">
        <f>IFERROR(__xludf.DUMMYFUNCTION("IFERROR( INDEX( FILTER( 'NOMBRE DE PRODUCTOS'!B:B, REGEXMATCH( UPPER( INDEX( REPORTE_DROPI!AC:AC, MATCH(T11, REPORTE_DROPI!B:B, 0) ) ), UPPER('NOMBRE DE PRODUCTOS'!A:A) ) ), 1 ), ""REVISAR"" )"),"Llave Multifuncional 360™")</f>
        <v>Llave Multifuncional 360™</v>
      </c>
      <c r="E11" s="120" t="str">
        <f t="array" ref="E11">IF(
UPPER(TRIM(CLEAN($O11)))="ENTREGADO",
IFERROR(
INDEX(REPORTE_DROPI!Y:Y,
MATCH($T11, REPORTE_DROPI!B:B, 0)
),
""
),
""
)
</f>
        <v/>
      </c>
      <c r="F11" s="121">
        <v>1.0</v>
      </c>
      <c r="G11" s="122" t="str">
        <f t="array" ref="G11">IF(
UPPER(TRIM(CLEAN($O11)))="ENTREGADO",
IFERROR(
INDEX(REPORTE_DROPI!R:R,
MATCH($T11, REPORTE_DROPI!B:B, 0)
),
""
),
""
)
</f>
        <v/>
      </c>
      <c r="H11" s="118" t="s">
        <v>3727</v>
      </c>
      <c r="I11" s="118" t="s">
        <v>3804</v>
      </c>
      <c r="J11" s="121" t="str">
        <f t="array" ref="J11">IF(
UPPER(TRIM(CLEAN($O11)))="ENTREGADO",
IFERROR(
INDEX(REPORTE_DROPI!T:T,
MATCH($T11, REPORTE_DROPI!B:B, 0)
),
""
),
""
)
</f>
        <v/>
      </c>
      <c r="K11" s="118" t="str">
        <f t="array" ref="K11">IFERROR(
INDEX(REPORTE_DROPI!S:S,
MATCH($T11, REPORTE_DROPI!B:B, 0)
),
""
)</f>
        <v/>
      </c>
      <c r="L11" s="118">
        <f>IF(
  O11&lt;&gt;"DEVOLUCION",
  "",
  IF(
    T11="",
    "",
    SUMIF(DEVOLUCION!F:F, T11, DEVOLUCION!D:D)
  )
)
</f>
        <v>5.11</v>
      </c>
      <c r="M11" s="118" t="s">
        <v>5877</v>
      </c>
      <c r="N11" s="130" t="s">
        <v>5898</v>
      </c>
      <c r="O11" s="118" t="str">
        <f t="array" ref="O11">IFERROR(
VLOOKUP(
TRIM(CLEAN(
INDEX(REPORTE_DROPI!K:K,
MATCH(T11, REPORTE_DROPI!B:B, 0)
))),
{
TRIM(CLEAN(MAPA_ESTADOS!A:A)) ,
MAPA_ESTADOS!B:B
},
2,
FALSE
),
"REVISAR"
)</f>
        <v>DEVOLUCION</v>
      </c>
      <c r="P11" s="118" t="s">
        <v>5899</v>
      </c>
      <c r="Q11" s="153">
        <f t="shared" si="1"/>
        <v>0</v>
      </c>
      <c r="R11" s="118" t="s">
        <v>3675</v>
      </c>
      <c r="S11" s="118">
        <v>2.0</v>
      </c>
      <c r="T11" s="118">
        <v>4383686.0</v>
      </c>
      <c r="U11" s="118">
        <v>6.467806003244E12</v>
      </c>
      <c r="V11" s="154"/>
      <c r="W11" s="78"/>
      <c r="X11" s="78"/>
      <c r="Y11" s="78"/>
      <c r="Z11" s="78"/>
    </row>
    <row r="12" ht="22.5" hidden="1" customHeight="1">
      <c r="A12" s="118">
        <v>11.0</v>
      </c>
      <c r="B12" s="119">
        <v>46054.0</v>
      </c>
      <c r="C12" s="118" t="s">
        <v>5900</v>
      </c>
      <c r="D12" s="118" t="str">
        <f>IFERROR(__xludf.DUMMYFUNCTION("IFERROR( INDEX( FILTER( 'NOMBRE DE PRODUCTOS'!B:B, REGEXMATCH( UPPER( INDEX( REPORTE_DROPI!AC:AC, MATCH(T12, REPORTE_DROPI!B:B, 0) ) ), UPPER('NOMBRE DE PRODUCTOS'!A:A) ) ), 1 ), ""REVISAR"" )"),"Llave Multifuncional 360™")</f>
        <v>Llave Multifuncional 360™</v>
      </c>
      <c r="E12" s="120">
        <f t="array" ref="E12">IF(
UPPER(TRIM(CLEAN($O12)))="ENTREGADO",
IFERROR(
INDEX(REPORTE_DROPI!Y:Y,
MATCH($T12, REPORTE_DROPI!B:B, 0)
),
""
),
""
)
</f>
        <v>5</v>
      </c>
      <c r="F12" s="121">
        <v>1.0</v>
      </c>
      <c r="G12" s="122">
        <f t="array" ref="G12">IF(
UPPER(TRIM(CLEAN($O12)))="ENTREGADO",
IFERROR(
INDEX(REPORTE_DROPI!R:R,
MATCH($T12, REPORTE_DROPI!B:B, 0)
),
""
),
""
)
</f>
        <v>19.99</v>
      </c>
      <c r="H12" s="118" t="s">
        <v>3727</v>
      </c>
      <c r="I12" s="118" t="s">
        <v>3731</v>
      </c>
      <c r="J12" s="121">
        <f t="array" ref="J12">IF(
UPPER(TRIM(CLEAN($O12)))="ENTREGADO",
IFERROR(
INDEX(REPORTE_DROPI!T:T,
MATCH($T12, REPORTE_DROPI!B:B, 0)
),
""
),
""
)
</f>
        <v>4.14</v>
      </c>
      <c r="K12" s="118">
        <f t="array" ref="K12">IFERROR(
INDEX(REPORTE_DROPI!S:S,
MATCH($T12, REPORTE_DROPI!B:B, 0)
),
""
)</f>
        <v>10.85</v>
      </c>
      <c r="L12" s="118" t="str">
        <f>IF(
  O12&lt;&gt;"DEVOLUCION",
  "",
  IF(
    T12="",
    "",
    SUMIF(DEVOLUCION!F:F, T12, DEVOLUCION!D:D)
  )
)
</f>
        <v/>
      </c>
      <c r="M12" s="118" t="s">
        <v>5877</v>
      </c>
      <c r="N12" s="130" t="s">
        <v>5901</v>
      </c>
      <c r="O12" s="118" t="str">
        <f t="array" ref="O12">IFERROR(
VLOOKUP(
TRIM(CLEAN(
INDEX(REPORTE_DROPI!K:K,
MATCH(T12, REPORTE_DROPI!B:B, 0)
))),
{
TRIM(CLEAN(MAPA_ESTADOS!A:A)) ,
MAPA_ESTADOS!B:B
},
2,
FALSE
),
"REVISAR"
)</f>
        <v>ENTREGADO</v>
      </c>
      <c r="P12" s="118" t="s">
        <v>5692</v>
      </c>
      <c r="Q12" s="153">
        <f t="shared" si="1"/>
        <v>0</v>
      </c>
      <c r="R12" s="118"/>
      <c r="S12" s="118"/>
      <c r="T12" s="118">
        <f t="array" ref="T12">IFERROR(
INDEX(REPORTE_DROPI!B:B,
MATCH(
CLEAN(TRIM(C12)),
CLEAN(TRIM(REPORTE_DROPI!E:E)),
0
)
),
""
)
</f>
        <v>4349017</v>
      </c>
      <c r="U12" s="118">
        <v>6.467826090028E12</v>
      </c>
      <c r="V12" s="154"/>
      <c r="W12" s="78"/>
      <c r="X12" s="78"/>
      <c r="Y12" s="78"/>
      <c r="Z12" s="78"/>
    </row>
    <row r="13" ht="22.5" hidden="1" customHeight="1">
      <c r="A13" s="118">
        <v>12.0</v>
      </c>
      <c r="B13" s="119">
        <v>46054.0</v>
      </c>
      <c r="C13" s="118" t="s">
        <v>5902</v>
      </c>
      <c r="D13" s="118" t="str">
        <f>IFERROR(__xludf.DUMMYFUNCTION("IFERROR( INDEX( FILTER( 'NOMBRE DE PRODUCTOS'!B:B, REGEXMATCH( UPPER( INDEX( REPORTE_DROPI!AC:AC, MATCH(T13, REPORTE_DROPI!B:B, 0) ) ), UPPER('NOMBRE DE PRODUCTOS'!A:A) ) ), 1 ), ""REVISAR"" )"),"Llave Multifuncional 360™")</f>
        <v>Llave Multifuncional 360™</v>
      </c>
      <c r="E13" s="120" t="str">
        <f t="array" ref="E13">IF(
UPPER(TRIM(CLEAN($O13)))="ENTREGADO",
IFERROR(
INDEX(REPORTE_DROPI!Y:Y,
MATCH($T13, REPORTE_DROPI!B:B, 0)
),
""
),
""
)
</f>
        <v/>
      </c>
      <c r="F13" s="121">
        <v>1.0</v>
      </c>
      <c r="G13" s="122" t="str">
        <f t="array" ref="G13">IF(
UPPER(TRIM(CLEAN($O13)))="ENTREGADO",
IFERROR(
INDEX(REPORTE_DROPI!R:R,
MATCH($T13, REPORTE_DROPI!B:B, 0)
),
""
),
""
)
</f>
        <v/>
      </c>
      <c r="H13" s="118" t="s">
        <v>3727</v>
      </c>
      <c r="I13" s="118" t="s">
        <v>3772</v>
      </c>
      <c r="J13" s="121" t="str">
        <f t="array" ref="J13">IF(
UPPER(TRIM(CLEAN($O13)))="ENTREGADO",
IFERROR(
INDEX(REPORTE_DROPI!T:T,
MATCH($T13, REPORTE_DROPI!B:B, 0)
),
""
),
""
)
</f>
        <v/>
      </c>
      <c r="K13" s="118" t="str">
        <f t="array" ref="K13">IFERROR(
INDEX(REPORTE_DROPI!S:S,
MATCH($T13, REPORTE_DROPI!B:B, 0)
),
""
)</f>
        <v/>
      </c>
      <c r="L13" s="118" t="str">
        <f>IF(
  O13&lt;&gt;"DEVOLUCION",
  "",
  IF(
    T13="",
    "",
    SUMIF(DEVOLUCION!F:F, T13, DEVOLUCION!D:D)
  )
)
</f>
        <v/>
      </c>
      <c r="M13" s="118" t="s">
        <v>5877</v>
      </c>
      <c r="N13" s="130" t="s">
        <v>5903</v>
      </c>
      <c r="O13" s="118" t="str">
        <f t="array" ref="O13">IFERROR(
VLOOKUP(
TRIM(CLEAN(
INDEX(REPORTE_DROPI!K:K,
MATCH(T13, REPORTE_DROPI!B:B, 0)
))),
{
TRIM(CLEAN(MAPA_ESTADOS!A:A)) ,
MAPA_ESTADOS!B:B
},
2,
FALSE
),
"REVISAR"
)</f>
        <v>CANCELADO</v>
      </c>
      <c r="P13" s="118" t="s">
        <v>5904</v>
      </c>
      <c r="Q13" s="153">
        <f t="shared" si="1"/>
        <v>0</v>
      </c>
      <c r="R13" s="118"/>
      <c r="S13" s="118"/>
      <c r="T13" s="118">
        <f t="array" ref="T13">IFERROR(
INDEX(REPORTE_DROPI!B:B,
MATCH(
CLEAN(TRIM(C13)),
CLEAN(TRIM(REPORTE_DROPI!E:E)),
0
)
),
""
)
</f>
        <v>4349032</v>
      </c>
      <c r="U13" s="118">
        <v>6.467829891116E12</v>
      </c>
      <c r="V13" s="154"/>
      <c r="W13" s="78"/>
      <c r="X13" s="78"/>
      <c r="Y13" s="78"/>
      <c r="Z13" s="78"/>
    </row>
    <row r="14" ht="22.5" hidden="1" customHeight="1">
      <c r="A14" s="118">
        <v>13.0</v>
      </c>
      <c r="B14" s="119">
        <v>46054.0</v>
      </c>
      <c r="C14" s="118" t="s">
        <v>5905</v>
      </c>
      <c r="D14" s="118" t="str">
        <f>IFERROR(__xludf.DUMMYFUNCTION("IFERROR( INDEX( FILTER( 'NOMBRE DE PRODUCTOS'!B:B, REGEXMATCH( UPPER( INDEX( REPORTE_DROPI!AC:AC, MATCH(T14, REPORTE_DROPI!B:B, 0) ) ), UPPER('NOMBRE DE PRODUCTOS'!A:A) ) ), 1 ), ""REVISAR"" )"),"Cuchillo Tazaki™")</f>
        <v>Cuchillo Tazaki™</v>
      </c>
      <c r="E14" s="120">
        <f t="array" ref="E14">IF(
UPPER(TRIM(CLEAN($O14)))="ENTREGADO",
IFERROR(
INDEX(REPORTE_DROPI!Y:Y,
MATCH($T14, REPORTE_DROPI!B:B, 0)
),
""
),
""
)
</f>
        <v>7.8</v>
      </c>
      <c r="F14" s="121">
        <v>3.0</v>
      </c>
      <c r="G14" s="122">
        <f t="array" ref="G14">IF(
UPPER(TRIM(CLEAN($O14)))="ENTREGADO",
IFERROR(
INDEX(REPORTE_DROPI!R:R,
MATCH($T14, REPORTE_DROPI!B:B, 0)
),
""
),
""
)
</f>
        <v>27</v>
      </c>
      <c r="H14" s="118" t="s">
        <v>3727</v>
      </c>
      <c r="I14" s="118" t="s">
        <v>3731</v>
      </c>
      <c r="J14" s="121">
        <f t="array" ref="J14">IF(
UPPER(TRIM(CLEAN($O14)))="ENTREGADO",
IFERROR(
INDEX(REPORTE_DROPI!T:T,
MATCH($T14, REPORTE_DROPI!B:B, 0)
),
""
),
""
)
</f>
        <v>7.77</v>
      </c>
      <c r="K14" s="118">
        <f t="array" ref="K14">IFERROR(
INDEX(REPORTE_DROPI!S:S,
MATCH($T14, REPORTE_DROPI!B:B, 0)
),
""
)</f>
        <v>11.43</v>
      </c>
      <c r="L14" s="118" t="str">
        <f>IF(
  O14&lt;&gt;"DEVOLUCION",
  "",
  IF(
    T14="",
    "",
    SUMIF(DEVOLUCION!F:F, T14, DEVOLUCION!D:D)
  )
)
</f>
        <v/>
      </c>
      <c r="M14" s="118" t="s">
        <v>5877</v>
      </c>
      <c r="N14" s="130" t="s">
        <v>5906</v>
      </c>
      <c r="O14" s="118" t="str">
        <f t="array" ref="O14">IFERROR(
VLOOKUP(
TRIM(CLEAN(
INDEX(REPORTE_DROPI!K:K,
MATCH(T14, REPORTE_DROPI!B:B, 0)
))),
{
TRIM(CLEAN(MAPA_ESTADOS!A:A)) ,
MAPA_ESTADOS!B:B
},
2,
FALSE
),
"REVISAR"
)</f>
        <v>ENTREGADO</v>
      </c>
      <c r="P14" s="118" t="s">
        <v>5692</v>
      </c>
      <c r="Q14" s="153">
        <f t="shared" si="1"/>
        <v>0</v>
      </c>
      <c r="R14" s="118"/>
      <c r="S14" s="118"/>
      <c r="T14" s="118">
        <f t="array" ref="T14">IFERROR(
INDEX(REPORTE_DROPI!B:B,
MATCH(
CLEAN(TRIM(C14)),
CLEAN(TRIM(REPORTE_DROPI!E:E)),
0
)
),
""
)
</f>
        <v>4349132</v>
      </c>
      <c r="U14" s="118">
        <v>6.467846635564E12</v>
      </c>
      <c r="V14" s="154"/>
      <c r="W14" s="78"/>
      <c r="X14" s="78"/>
      <c r="Y14" s="78"/>
      <c r="Z14" s="78"/>
    </row>
    <row r="15" ht="22.5" hidden="1" customHeight="1">
      <c r="A15" s="118">
        <v>14.0</v>
      </c>
      <c r="B15" s="119">
        <v>46054.0</v>
      </c>
      <c r="C15" s="118" t="s">
        <v>5907</v>
      </c>
      <c r="D15" s="118" t="str">
        <f>IFERROR(__xludf.DUMMYFUNCTION("IFERROR( INDEX( FILTER( 'NOMBRE DE PRODUCTOS'!B:B, REGEXMATCH( UPPER( INDEX( REPORTE_DROPI!AC:AC, MATCH(T15, REPORTE_DROPI!B:B, 0) ) ), UPPER('NOMBRE DE PRODUCTOS'!A:A) ) ), 1 ), ""REVISAR"" )"),"Llave Multifuncional 360™")</f>
        <v>Llave Multifuncional 360™</v>
      </c>
      <c r="E15" s="120">
        <f t="array" ref="E15">IF(
UPPER(TRIM(CLEAN($O15)))="ENTREGADO",
IFERROR(
INDEX(REPORTE_DROPI!Y:Y,
MATCH($T15, REPORTE_DROPI!B:B, 0)
),
""
),
""
)
</f>
        <v>5</v>
      </c>
      <c r="F15" s="121">
        <v>1.0</v>
      </c>
      <c r="G15" s="122">
        <f t="array" ref="G15">IF(
UPPER(TRIM(CLEAN($O15)))="ENTREGADO",
IFERROR(
INDEX(REPORTE_DROPI!R:R,
MATCH($T15, REPORTE_DROPI!B:B, 0)
),
""
),
""
)
</f>
        <v>19.99</v>
      </c>
      <c r="H15" s="118" t="s">
        <v>3727</v>
      </c>
      <c r="I15" s="118" t="s">
        <v>3951</v>
      </c>
      <c r="J15" s="121">
        <f t="array" ref="J15">IF(
UPPER(TRIM(CLEAN($O15)))="ENTREGADO",
IFERROR(
INDEX(REPORTE_DROPI!T:T,
MATCH($T15, REPORTE_DROPI!B:B, 0)
),
""
),
""
)
</f>
        <v>5.75</v>
      </c>
      <c r="K15" s="118">
        <f t="array" ref="K15">IFERROR(
INDEX(REPORTE_DROPI!S:S,
MATCH($T15, REPORTE_DROPI!B:B, 0)
),
""
)</f>
        <v>9.24</v>
      </c>
      <c r="L15" s="118" t="str">
        <f>IF(
  O15&lt;&gt;"DEVOLUCION",
  "",
  IF(
    T15="",
    "",
    SUMIF(DEVOLUCION!F:F, T15, DEVOLUCION!D:D)
  )
)
</f>
        <v/>
      </c>
      <c r="M15" s="118" t="s">
        <v>5877</v>
      </c>
      <c r="N15" s="130" t="s">
        <v>5908</v>
      </c>
      <c r="O15" s="118" t="str">
        <f t="array" ref="O15">IFERROR(
VLOOKUP(
TRIM(CLEAN(
INDEX(REPORTE_DROPI!K:K,
MATCH(T15, REPORTE_DROPI!B:B, 0)
))),
{
TRIM(CLEAN(MAPA_ESTADOS!A:A)) ,
MAPA_ESTADOS!B:B
},
2,
FALSE
),
"REVISAR"
)</f>
        <v>ENTREGADO</v>
      </c>
      <c r="P15" s="118" t="s">
        <v>5909</v>
      </c>
      <c r="Q15" s="153">
        <f t="shared" si="1"/>
        <v>0</v>
      </c>
      <c r="R15" s="118"/>
      <c r="S15" s="118"/>
      <c r="T15" s="118">
        <f t="array" ref="T15">IFERROR(
INDEX(REPORTE_DROPI!B:B,
MATCH(
CLEAN(TRIM(C15)),
CLEAN(TRIM(REPORTE_DROPI!E:E)),
0
)
),
""
)
</f>
        <v>4370326</v>
      </c>
      <c r="U15" s="118">
        <v>6.467847880748E12</v>
      </c>
      <c r="V15" s="154"/>
      <c r="W15" s="78"/>
      <c r="X15" s="78"/>
      <c r="Y15" s="78"/>
      <c r="Z15" s="78"/>
    </row>
    <row r="16" ht="22.5" hidden="1" customHeight="1">
      <c r="A16" s="118">
        <v>15.0</v>
      </c>
      <c r="B16" s="119">
        <v>46054.0</v>
      </c>
      <c r="C16" s="118" t="s">
        <v>5910</v>
      </c>
      <c r="D16" s="118" t="str">
        <f>IFERROR(__xludf.DUMMYFUNCTION("IFERROR( INDEX( FILTER( 'NOMBRE DE PRODUCTOS'!B:B, REGEXMATCH( UPPER( INDEX( REPORTE_DROPI!AC:AC, MATCH(T16, REPORTE_DROPI!B:B, 0) ) ), UPPER('NOMBRE DE PRODUCTOS'!A:A) ) ), 1 ), ""REVISAR"" )"),"Llave Multifuncional 360™")</f>
        <v>Llave Multifuncional 360™</v>
      </c>
      <c r="E16" s="120">
        <f t="array" ref="E16">IF(
UPPER(TRIM(CLEAN($O16)))="ENTREGADO",
IFERROR(
INDEX(REPORTE_DROPI!Y:Y,
MATCH($T16, REPORTE_DROPI!B:B, 0)
),
""
),
""
)
</f>
        <v>5</v>
      </c>
      <c r="F16" s="121">
        <v>1.0</v>
      </c>
      <c r="G16" s="122">
        <f t="array" ref="G16">IF(
UPPER(TRIM(CLEAN($O16)))="ENTREGADO",
IFERROR(
INDEX(REPORTE_DROPI!R:R,
MATCH($T16, REPORTE_DROPI!B:B, 0)
),
""
),
""
)
</f>
        <v>19.99</v>
      </c>
      <c r="H16" s="118" t="s">
        <v>3727</v>
      </c>
      <c r="I16" s="118" t="s">
        <v>3801</v>
      </c>
      <c r="J16" s="121">
        <f t="array" ref="J16">IF(
UPPER(TRIM(CLEAN($O16)))="ENTREGADO",
IFERROR(
INDEX(REPORTE_DROPI!T:T,
MATCH($T16, REPORTE_DROPI!B:B, 0)
),
""
),
""
)
</f>
        <v>7.67</v>
      </c>
      <c r="K16" s="118">
        <f t="array" ref="K16">IFERROR(
INDEX(REPORTE_DROPI!S:S,
MATCH($T16, REPORTE_DROPI!B:B, 0)
),
""
)</f>
        <v>7.32</v>
      </c>
      <c r="L16" s="118" t="str">
        <f>IF(
  O16&lt;&gt;"DEVOLUCION",
  "",
  IF(
    T16="",
    "",
    SUMIF(DEVOLUCION!F:F, T16, DEVOLUCION!D:D)
  )
)
</f>
        <v/>
      </c>
      <c r="M16" s="118" t="s">
        <v>5877</v>
      </c>
      <c r="N16" s="130" t="s">
        <v>5911</v>
      </c>
      <c r="O16" s="118" t="str">
        <f t="array" ref="O16">IFERROR(
VLOOKUP(
TRIM(CLEAN(
INDEX(REPORTE_DROPI!K:K,
MATCH(T16, REPORTE_DROPI!B:B, 0)
))),
{
TRIM(CLEAN(MAPA_ESTADOS!A:A)) ,
MAPA_ESTADOS!B:B
},
2,
FALSE
),
"REVISAR"
)</f>
        <v>ENTREGADO</v>
      </c>
      <c r="P16" s="118" t="s">
        <v>5820</v>
      </c>
      <c r="Q16" s="153">
        <f t="shared" si="1"/>
        <v>0</v>
      </c>
      <c r="R16" s="118"/>
      <c r="S16" s="118"/>
      <c r="T16" s="118">
        <f t="array" ref="T16">IFERROR(
INDEX(REPORTE_DROPI!B:B,
MATCH(
CLEAN(TRIM(C16)),
CLEAN(TRIM(REPORTE_DROPI!E:E)),
0
)
),
""
)
</f>
        <v>4349336</v>
      </c>
      <c r="U16" s="118">
        <v>6.467885465644E12</v>
      </c>
      <c r="V16" s="154"/>
      <c r="W16" s="78"/>
      <c r="X16" s="78"/>
      <c r="Y16" s="78"/>
      <c r="Z16" s="78"/>
    </row>
    <row r="17" ht="22.5" hidden="1" customHeight="1">
      <c r="A17" s="118">
        <v>16.0</v>
      </c>
      <c r="B17" s="119">
        <v>46054.0</v>
      </c>
      <c r="C17" s="118" t="s">
        <v>5912</v>
      </c>
      <c r="D17" s="118" t="str">
        <f>IFERROR(__xludf.DUMMYFUNCTION("IFERROR( INDEX( FILTER( 'NOMBRE DE PRODUCTOS'!B:B, REGEXMATCH( UPPER( INDEX( REPORTE_DROPI!AC:AC, MATCH(T17, REPORTE_DROPI!B:B, 0) ) ), UPPER('NOMBRE DE PRODUCTOS'!A:A) ) ), 1 ), ""REVISAR"" )"),"FilmPro®")</f>
        <v>FilmPro®</v>
      </c>
      <c r="E17" s="120">
        <f t="array" ref="E17">IF(
UPPER(TRIM(CLEAN($O17)))="ENTREGADO",
IFERROR(
INDEX(REPORTE_DROPI!Y:Y,
MATCH($T17, REPORTE_DROPI!B:B, 0)
),
""
),
""
)
</f>
        <v>2.35</v>
      </c>
      <c r="F17" s="121">
        <v>1.0</v>
      </c>
      <c r="G17" s="122">
        <f t="array" ref="G17">IF(
UPPER(TRIM(CLEAN($O17)))="ENTREGADO",
IFERROR(
INDEX(REPORTE_DROPI!R:R,
MATCH($T17, REPORTE_DROPI!B:B, 0)
),
""
),
""
)
</f>
        <v>20</v>
      </c>
      <c r="H17" s="118" t="s">
        <v>3727</v>
      </c>
      <c r="I17" s="118" t="s">
        <v>3801</v>
      </c>
      <c r="J17" s="121">
        <f t="array" ref="J17">IF(
UPPER(TRIM(CLEAN($O17)))="ENTREGADO",
IFERROR(
INDEX(REPORTE_DROPI!T:T,
MATCH($T17, REPORTE_DROPI!B:B, 0)
),
""
),
""
)
</f>
        <v>5.76</v>
      </c>
      <c r="K17" s="118">
        <f t="array" ref="K17">IFERROR(
INDEX(REPORTE_DROPI!S:S,
MATCH($T17, REPORTE_DROPI!B:B, 0)
),
""
)</f>
        <v>11.89</v>
      </c>
      <c r="L17" s="118" t="str">
        <f>IF(
  O17&lt;&gt;"DEVOLUCION",
  "",
  IF(
    T17="",
    "",
    SUMIF(DEVOLUCION!F:F, T17, DEVOLUCION!D:D)
  )
)
</f>
        <v/>
      </c>
      <c r="M17" s="118" t="s">
        <v>5877</v>
      </c>
      <c r="N17" s="130" t="s">
        <v>5913</v>
      </c>
      <c r="O17" s="118" t="str">
        <f t="array" ref="O17">IFERROR(
VLOOKUP(
TRIM(CLEAN(
INDEX(REPORTE_DROPI!K:K,
MATCH(T17, REPORTE_DROPI!B:B, 0)
))),
{
TRIM(CLEAN(MAPA_ESTADOS!A:A)) ,
MAPA_ESTADOS!B:B
},
2,
FALSE
),
"REVISAR"
)</f>
        <v>ENTREGADO</v>
      </c>
      <c r="P17" s="118" t="s">
        <v>5692</v>
      </c>
      <c r="Q17" s="153">
        <f t="shared" si="1"/>
        <v>0</v>
      </c>
      <c r="R17" s="118"/>
      <c r="S17" s="118"/>
      <c r="T17" s="118">
        <f t="array" ref="T17">IFERROR(
INDEX(REPORTE_DROPI!B:B,
MATCH(
CLEAN(TRIM(C17)),
CLEAN(TRIM(REPORTE_DROPI!E:E)),
0
)
),
""
)
</f>
        <v>4349348</v>
      </c>
      <c r="U17" s="118">
        <v>6.467887595564E12</v>
      </c>
      <c r="V17" s="154"/>
      <c r="W17" s="78"/>
      <c r="X17" s="78"/>
      <c r="Y17" s="78"/>
      <c r="Z17" s="78"/>
    </row>
    <row r="18" ht="22.5" hidden="1" customHeight="1">
      <c r="A18" s="118">
        <v>17.0</v>
      </c>
      <c r="B18" s="119">
        <v>46054.0</v>
      </c>
      <c r="C18" s="118" t="s">
        <v>5914</v>
      </c>
      <c r="D18" s="118" t="str">
        <f>IFERROR(__xludf.DUMMYFUNCTION("IFERROR( INDEX( FILTER( 'NOMBRE DE PRODUCTOS'!B:B, REGEXMATCH( UPPER( INDEX( REPORTE_DROPI!AC:AC, MATCH(T18, REPORTE_DROPI!B:B, 0) ) ), UPPER('NOMBRE DE PRODUCTOS'!A:A) ) ), 1 ), ""REVISAR"" )"),"Cuchillo Tazaki™")</f>
        <v>Cuchillo Tazaki™</v>
      </c>
      <c r="E18" s="120">
        <f t="array" ref="E18">IF(
UPPER(TRIM(CLEAN($O18)))="ENTREGADO",
IFERROR(
INDEX(REPORTE_DROPI!Y:Y,
MATCH($T18, REPORTE_DROPI!B:B, 0)
),
""
),
""
)
</f>
        <v>10.4</v>
      </c>
      <c r="F18" s="121">
        <v>4.0</v>
      </c>
      <c r="G18" s="122">
        <f t="array" ref="G18">IF(
UPPER(TRIM(CLEAN($O18)))="ENTREGADO",
IFERROR(
INDEX(REPORTE_DROPI!R:R,
MATCH($T18, REPORTE_DROPI!B:B, 0)
),
""
),
""
)
</f>
        <v>32</v>
      </c>
      <c r="H18" s="118" t="s">
        <v>3727</v>
      </c>
      <c r="I18" s="118" t="s">
        <v>3728</v>
      </c>
      <c r="J18" s="121">
        <f t="array" ref="J18">IF(
UPPER(TRIM(CLEAN($O18)))="ENTREGADO",
IFERROR(
INDEX(REPORTE_DROPI!T:T,
MATCH($T18, REPORTE_DROPI!B:B, 0)
),
""
),
""
)
</f>
        <v>6.81</v>
      </c>
      <c r="K18" s="118">
        <f t="array" ref="K18">IFERROR(
INDEX(REPORTE_DROPI!S:S,
MATCH($T18, REPORTE_DROPI!B:B, 0)
),
""
)</f>
        <v>14.79</v>
      </c>
      <c r="L18" s="118" t="str">
        <f>IF(
  O18&lt;&gt;"DEVOLUCION",
  "",
  IF(
    T18="",
    "",
    SUMIF(DEVOLUCION!F:F, T18, DEVOLUCION!D:D)
  )
)
</f>
        <v/>
      </c>
      <c r="M18" s="118" t="s">
        <v>5877</v>
      </c>
      <c r="N18" s="130" t="s">
        <v>5915</v>
      </c>
      <c r="O18" s="118" t="str">
        <f t="array" ref="O18">IFERROR(
VLOOKUP(
TRIM(CLEAN(
INDEX(REPORTE_DROPI!K:K,
MATCH(T18, REPORTE_DROPI!B:B, 0)
))),
{
TRIM(CLEAN(MAPA_ESTADOS!A:A)) ,
MAPA_ESTADOS!B:B
},
2,
FALSE
),
"REVISAR"
)</f>
        <v>ENTREGADO</v>
      </c>
      <c r="P18" s="118" t="s">
        <v>5692</v>
      </c>
      <c r="Q18" s="153">
        <f t="shared" si="1"/>
        <v>0</v>
      </c>
      <c r="R18" s="118"/>
      <c r="S18" s="118"/>
      <c r="T18" s="118">
        <f t="array" ref="T18">IFERROR(
INDEX(REPORTE_DROPI!B:B,
MATCH(
CLEAN(TRIM(C18)),
CLEAN(TRIM(REPORTE_DROPI!E:E)),
0
)
),
""
)
</f>
        <v>4349452</v>
      </c>
      <c r="U18" s="118">
        <v>6.467900538924E12</v>
      </c>
      <c r="V18" s="154"/>
      <c r="W18" s="78"/>
      <c r="X18" s="78"/>
      <c r="Y18" s="78"/>
      <c r="Z18" s="78"/>
    </row>
    <row r="19" ht="22.5" hidden="1" customHeight="1">
      <c r="A19" s="118">
        <v>18.0</v>
      </c>
      <c r="B19" s="119">
        <v>46054.0</v>
      </c>
      <c r="C19" s="118" t="s">
        <v>5916</v>
      </c>
      <c r="D19" s="118" t="str">
        <f>IFERROR(__xludf.DUMMYFUNCTION("IFERROR( INDEX( FILTER( 'NOMBRE DE PRODUCTOS'!B:B, REGEXMATCH( UPPER( INDEX( REPORTE_DROPI!AC:AC, MATCH(T19, REPORTE_DROPI!B:B, 0) ) ), UPPER('NOMBRE DE PRODUCTOS'!A:A) ) ), 1 ), ""REVISAR"" )"),"FilmPro®")</f>
        <v>FilmPro®</v>
      </c>
      <c r="E19" s="120" t="str">
        <f t="array" ref="E19">IF(
UPPER(TRIM(CLEAN($O19)))="ENTREGADO",
IFERROR(
INDEX(REPORTE_DROPI!Y:Y,
MATCH($T19, REPORTE_DROPI!B:B, 0)
),
""
),
""
)
</f>
        <v/>
      </c>
      <c r="F19" s="121">
        <v>3.0</v>
      </c>
      <c r="G19" s="122" t="str">
        <f t="array" ref="G19">IF(
UPPER(TRIM(CLEAN($O19)))="ENTREGADO",
IFERROR(
INDEX(REPORTE_DROPI!R:R,
MATCH($T19, REPORTE_DROPI!B:B, 0)
),
""
),
""
)
</f>
        <v/>
      </c>
      <c r="H19" s="118" t="s">
        <v>3727</v>
      </c>
      <c r="I19" s="118" t="s">
        <v>3731</v>
      </c>
      <c r="J19" s="121" t="str">
        <f t="array" ref="J19">IF(
UPPER(TRIM(CLEAN($O19)))="ENTREGADO",
IFERROR(
INDEX(REPORTE_DROPI!T:T,
MATCH($T19, REPORTE_DROPI!B:B, 0)
),
""
),
""
)
</f>
        <v/>
      </c>
      <c r="K19" s="118" t="str">
        <f t="array" ref="K19">IFERROR(
INDEX(REPORTE_DROPI!S:S,
MATCH($T19, REPORTE_DROPI!B:B, 0)
),
""
)</f>
        <v/>
      </c>
      <c r="L19" s="118" t="str">
        <f>IF(
  O19&lt;&gt;"DEVOLUCION",
  "",
  IF(
    T19="",
    "",
    SUMIF(DEVOLUCION!F:F, T19, DEVOLUCION!D:D)
  )
)
</f>
        <v/>
      </c>
      <c r="M19" s="118" t="s">
        <v>5877</v>
      </c>
      <c r="N19" s="130" t="s">
        <v>5917</v>
      </c>
      <c r="O19" s="118" t="str">
        <f t="array" ref="O19">IFERROR(
VLOOKUP(
TRIM(CLEAN(
INDEX(REPORTE_DROPI!K:K,
MATCH(T19, REPORTE_DROPI!B:B, 0)
))),
{
TRIM(CLEAN(MAPA_ESTADOS!A:A)) ,
MAPA_ESTADOS!B:B
},
2,
FALSE
),
"REVISAR"
)</f>
        <v>PENDIENTE</v>
      </c>
      <c r="P19" s="118" t="s">
        <v>5918</v>
      </c>
      <c r="Q19" s="153">
        <f t="shared" si="1"/>
        <v>0</v>
      </c>
      <c r="R19" s="118"/>
      <c r="S19" s="118"/>
      <c r="T19" s="118">
        <f t="array" ref="T19">IFERROR(
INDEX(REPORTE_DROPI!B:B,
MATCH(
CLEAN(TRIM(C19)),
CLEAN(TRIM(REPORTE_DROPI!E:E)),
0
)
),
""
)
</f>
        <v>4370534</v>
      </c>
      <c r="U19" s="118">
        <v>6.467905912876E12</v>
      </c>
      <c r="V19" s="154"/>
      <c r="W19" s="78"/>
      <c r="X19" s="78"/>
      <c r="Y19" s="78"/>
      <c r="Z19" s="78"/>
    </row>
    <row r="20" ht="22.5" hidden="1" customHeight="1">
      <c r="A20" s="118">
        <v>19.0</v>
      </c>
      <c r="B20" s="119">
        <v>46054.0</v>
      </c>
      <c r="C20" s="118" t="s">
        <v>5919</v>
      </c>
      <c r="D20" s="118" t="str">
        <f>IFERROR(__xludf.DUMMYFUNCTION("IFERROR( INDEX( FILTER( 'NOMBRE DE PRODUCTOS'!B:B, REGEXMATCH( UPPER( INDEX( REPORTE_DROPI!AC:AC, MATCH(T20, REPORTE_DROPI!B:B, 0) ) ), UPPER('NOMBRE DE PRODUCTOS'!A:A) ) ), 1 ), ""REVISAR"" )"),"FilmPro®")</f>
        <v>FilmPro®</v>
      </c>
      <c r="E20" s="120" t="str">
        <f t="array" ref="E20">IF(
UPPER(TRIM(CLEAN($O20)))="ENTREGADO",
IFERROR(
INDEX(REPORTE_DROPI!Y:Y,
MATCH($T20, REPORTE_DROPI!B:B, 0)
),
""
),
""
)
</f>
        <v/>
      </c>
      <c r="F20" s="121">
        <v>2.0</v>
      </c>
      <c r="G20" s="122" t="str">
        <f t="array" ref="G20">IF(
UPPER(TRIM(CLEAN($O20)))="ENTREGADO",
IFERROR(
INDEX(REPORTE_DROPI!R:R,
MATCH($T20, REPORTE_DROPI!B:B, 0)
),
""
),
""
)
</f>
        <v/>
      </c>
      <c r="H20" s="118" t="s">
        <v>3727</v>
      </c>
      <c r="I20" s="118" t="s">
        <v>3728</v>
      </c>
      <c r="J20" s="121" t="str">
        <f t="array" ref="J20">IF(
UPPER(TRIM(CLEAN($O20)))="ENTREGADO",
IFERROR(
INDEX(REPORTE_DROPI!T:T,
MATCH($T20, REPORTE_DROPI!B:B, 0)
),
""
),
""
)
</f>
        <v/>
      </c>
      <c r="K20" s="118" t="str">
        <f t="array" ref="K20">IFERROR(
INDEX(REPORTE_DROPI!S:S,
MATCH($T20, REPORTE_DROPI!B:B, 0)
),
""
)</f>
        <v/>
      </c>
      <c r="L20" s="118" t="str">
        <f>IF(
  O20&lt;&gt;"DEVOLUCION",
  "",
  IF(
    T20="",
    "",
    SUMIF(DEVOLUCION!F:F, T20, DEVOLUCION!D:D)
  )
)
</f>
        <v/>
      </c>
      <c r="M20" s="118" t="s">
        <v>5877</v>
      </c>
      <c r="N20" s="130" t="s">
        <v>5920</v>
      </c>
      <c r="O20" s="118" t="str">
        <f t="array" ref="O20">IFERROR(
VLOOKUP(
TRIM(CLEAN(
INDEX(REPORTE_DROPI!K:K,
MATCH(T20, REPORTE_DROPI!B:B, 0)
))),
{
TRIM(CLEAN(MAPA_ESTADOS!A:A)) ,
MAPA_ESTADOS!B:B
},
2,
FALSE
),
"REVISAR"
)</f>
        <v>PENDIENTE</v>
      </c>
      <c r="P20" s="118" t="s">
        <v>5918</v>
      </c>
      <c r="Q20" s="153">
        <f t="shared" si="1"/>
        <v>0</v>
      </c>
      <c r="R20" s="118"/>
      <c r="S20" s="118"/>
      <c r="T20" s="118">
        <f t="array" ref="T20">IFERROR(
INDEX(REPORTE_DROPI!B:B,
MATCH(
CLEAN(TRIM(C20)),
CLEAN(TRIM(REPORTE_DROPI!E:E)),
0
)
),
""
)
</f>
        <v>4349540</v>
      </c>
      <c r="U20" s="118">
        <v>6.467912138796E12</v>
      </c>
      <c r="V20" s="154"/>
      <c r="W20" s="78"/>
      <c r="X20" s="78"/>
      <c r="Y20" s="78"/>
      <c r="Z20" s="78"/>
    </row>
    <row r="21" ht="22.5" hidden="1" customHeight="1">
      <c r="A21" s="118">
        <v>20.0</v>
      </c>
      <c r="B21" s="119">
        <v>46054.0</v>
      </c>
      <c r="C21" s="118" t="s">
        <v>5921</v>
      </c>
      <c r="D21" s="118" t="str">
        <f>IFERROR(__xludf.DUMMYFUNCTION("IFERROR( INDEX( FILTER( 'NOMBRE DE PRODUCTOS'!B:B, REGEXMATCH( UPPER( INDEX( REPORTE_DROPI!AC:AC, MATCH(T21, REPORTE_DROPI!B:B, 0) ) ), UPPER('NOMBRE DE PRODUCTOS'!A:A) ) ), 1 ), ""REVISAR"" )"),"FilmPro®")</f>
        <v>FilmPro®</v>
      </c>
      <c r="E21" s="120" t="str">
        <f t="array" ref="E21">IF(
UPPER(TRIM(CLEAN($O21)))="ENTREGADO",
IFERROR(
INDEX(REPORTE_DROPI!Y:Y,
MATCH($T21, REPORTE_DROPI!B:B, 0)
),
""
),
""
)
</f>
        <v/>
      </c>
      <c r="F21" s="121">
        <v>1.0</v>
      </c>
      <c r="G21" s="122" t="str">
        <f t="array" ref="G21">IF(
UPPER(TRIM(CLEAN($O21)))="ENTREGADO",
IFERROR(
INDEX(REPORTE_DROPI!R:R,
MATCH($T21, REPORTE_DROPI!B:B, 0)
),
""
),
""
)
</f>
        <v/>
      </c>
      <c r="H21" s="118" t="s">
        <v>3727</v>
      </c>
      <c r="I21" s="118" t="s">
        <v>3740</v>
      </c>
      <c r="J21" s="121" t="str">
        <f t="array" ref="J21">IF(
UPPER(TRIM(CLEAN($O21)))="ENTREGADO",
IFERROR(
INDEX(REPORTE_DROPI!T:T,
MATCH($T21, REPORTE_DROPI!B:B, 0)
),
""
),
""
)
</f>
        <v/>
      </c>
      <c r="K21" s="118" t="str">
        <f t="array" ref="K21">IFERROR(
INDEX(REPORTE_DROPI!S:S,
MATCH($T21, REPORTE_DROPI!B:B, 0)
),
""
)</f>
        <v/>
      </c>
      <c r="L21" s="118" t="str">
        <f>IF(
  O21&lt;&gt;"DEVOLUCION",
  "",
  IF(
    T21="",
    "",
    SUMIF(DEVOLUCION!F:F, T21, DEVOLUCION!D:D)
  )
)
</f>
        <v/>
      </c>
      <c r="M21" s="118" t="s">
        <v>5877</v>
      </c>
      <c r="N21" s="133" t="s">
        <v>5922</v>
      </c>
      <c r="O21" s="118" t="str">
        <f t="array" ref="O21">IFERROR(
VLOOKUP(
TRIM(CLEAN(
INDEX(REPORTE_DROPI!K:K,
MATCH(T21, REPORTE_DROPI!B:B, 0)
))),
{
TRIM(CLEAN(MAPA_ESTADOS!A:A)) ,
MAPA_ESTADOS!B:B
},
2,
FALSE
),
"REVISAR"
)</f>
        <v>PENDIENTE</v>
      </c>
      <c r="P21" s="118" t="s">
        <v>5918</v>
      </c>
      <c r="Q21" s="153">
        <f t="shared" si="1"/>
        <v>0</v>
      </c>
      <c r="R21" s="118"/>
      <c r="S21" s="118"/>
      <c r="T21" s="118">
        <f t="array" ref="T21">IFERROR(
INDEX(REPORTE_DROPI!B:B,
MATCH(
CLEAN(TRIM(C21)),
CLEAN(TRIM(REPORTE_DROPI!E:E)),
0
)
),
""
)
</f>
        <v>4349603</v>
      </c>
      <c r="U21" s="118">
        <v>6.467919872044E12</v>
      </c>
      <c r="V21" s="154"/>
      <c r="W21" s="78"/>
      <c r="X21" s="78"/>
      <c r="Y21" s="78"/>
      <c r="Z21" s="78"/>
    </row>
    <row r="22" ht="22.5" hidden="1" customHeight="1">
      <c r="A22" s="118">
        <v>21.0</v>
      </c>
      <c r="B22" s="119">
        <v>46054.0</v>
      </c>
      <c r="C22" s="118" t="s">
        <v>5091</v>
      </c>
      <c r="D22" s="118" t="str">
        <f>IFERROR(__xludf.DUMMYFUNCTION("IFERROR( INDEX( FILTER( 'NOMBRE DE PRODUCTOS'!B:B, REGEXMATCH( UPPER( INDEX( REPORTE_DROPI!AC:AC, MATCH(T22, REPORTE_DROPI!B:B, 0) ) ), UPPER('NOMBRE DE PRODUCTOS'!A:A) ) ), 1 ), ""REVISAR"" )"),"FilmPro®")</f>
        <v>FilmPro®</v>
      </c>
      <c r="E22" s="120">
        <f t="array" ref="E22">IF(
UPPER(TRIM(CLEAN($O22)))="ENTREGADO",
IFERROR(
INDEX(REPORTE_DROPI!Y:Y,
MATCH($T22, REPORTE_DROPI!B:B, 0)
),
""
),
""
)
</f>
        <v>4.7</v>
      </c>
      <c r="F22" s="121">
        <v>2.0</v>
      </c>
      <c r="G22" s="122">
        <f t="array" ref="G22">IF(
UPPER(TRIM(CLEAN($O22)))="ENTREGADO",
IFERROR(
INDEX(REPORTE_DROPI!R:R,
MATCH($T22, REPORTE_DROPI!B:B, 0)
),
""
),
""
)
</f>
        <v>25</v>
      </c>
      <c r="H22" s="118" t="s">
        <v>3727</v>
      </c>
      <c r="I22" s="118" t="s">
        <v>3772</v>
      </c>
      <c r="J22" s="121">
        <f t="array" ref="J22">IF(
UPPER(TRIM(CLEAN($O22)))="ENTREGADO",
IFERROR(
INDEX(REPORTE_DROPI!T:T,
MATCH($T22, REPORTE_DROPI!B:B, 0)
),
""
),
""
)
</f>
        <v>5.96</v>
      </c>
      <c r="K22" s="118">
        <f t="array" ref="K22">IFERROR(
INDEX(REPORTE_DROPI!S:S,
MATCH($T22, REPORTE_DROPI!B:B, 0)
),
""
)</f>
        <v>14.34</v>
      </c>
      <c r="L22" s="118" t="str">
        <f>IF(
  O22&lt;&gt;"DEVOLUCION",
  "",
  IF(
    T22="",
    "",
    SUMIF(DEVOLUCION!F:F, T22, DEVOLUCION!D:D)
  )
)
</f>
        <v/>
      </c>
      <c r="M22" s="118" t="s">
        <v>5877</v>
      </c>
      <c r="N22" s="133" t="s">
        <v>5923</v>
      </c>
      <c r="O22" s="118" t="str">
        <f t="array" ref="O22">IFERROR(
VLOOKUP(
TRIM(CLEAN(
INDEX(REPORTE_DROPI!K:K,
MATCH(T22, REPORTE_DROPI!B:B, 0)
))),
{
TRIM(CLEAN(MAPA_ESTADOS!A:A)) ,
MAPA_ESTADOS!B:B
},
2,
FALSE
),
"REVISAR"
)</f>
        <v>ENTREGADO</v>
      </c>
      <c r="P22" s="118" t="s">
        <v>5692</v>
      </c>
      <c r="Q22" s="153">
        <f t="shared" si="1"/>
        <v>0</v>
      </c>
      <c r="R22" s="118"/>
      <c r="S22" s="118"/>
      <c r="T22" s="118">
        <f t="array" ref="T22">IFERROR(
INDEX(REPORTE_DROPI!B:B,
MATCH(
CLEAN(TRIM(C22)),
CLEAN(TRIM(REPORTE_DROPI!E:E)),
0
)
),
""
)
</f>
        <v>4349604</v>
      </c>
      <c r="U22" s="118">
        <v>6.467919839276E12</v>
      </c>
      <c r="V22" s="154"/>
      <c r="W22" s="78"/>
      <c r="X22" s="78"/>
      <c r="Y22" s="78"/>
      <c r="Z22" s="78"/>
    </row>
    <row r="23" ht="22.5" hidden="1" customHeight="1">
      <c r="A23" s="118">
        <v>22.0</v>
      </c>
      <c r="B23" s="119">
        <v>46054.0</v>
      </c>
      <c r="C23" s="118" t="s">
        <v>5924</v>
      </c>
      <c r="D23" s="118" t="str">
        <f>IFERROR(__xludf.DUMMYFUNCTION("IFERROR( INDEX( FILTER( 'NOMBRE DE PRODUCTOS'!B:B, REGEXMATCH( UPPER( INDEX( REPORTE_DROPI!AC:AC, MATCH(T23, REPORTE_DROPI!B:B, 0) ) ), UPPER('NOMBRE DE PRODUCTOS'!A:A) ) ), 1 ), ""REVISAR"" )"),"FilmPro®")</f>
        <v>FilmPro®</v>
      </c>
      <c r="E23" s="120">
        <f t="array" ref="E23">IF(
UPPER(TRIM(CLEAN($O23)))="ENTREGADO",
IFERROR(
INDEX(REPORTE_DROPI!Y:Y,
MATCH($T23, REPORTE_DROPI!B:B, 0)
),
""
),
""
)
</f>
        <v>4.7</v>
      </c>
      <c r="F23" s="121">
        <v>2.0</v>
      </c>
      <c r="G23" s="122">
        <f t="array" ref="G23">IF(
UPPER(TRIM(CLEAN($O23)))="ENTREGADO",
IFERROR(
INDEX(REPORTE_DROPI!R:R,
MATCH($T23, REPORTE_DROPI!B:B, 0)
),
""
),
""
)
</f>
        <v>25</v>
      </c>
      <c r="H23" s="118" t="s">
        <v>3727</v>
      </c>
      <c r="I23" s="118" t="s">
        <v>3784</v>
      </c>
      <c r="J23" s="121">
        <f t="array" ref="J23">IF(
UPPER(TRIM(CLEAN($O23)))="ENTREGADO",
IFERROR(
INDEX(REPORTE_DROPI!T:T,
MATCH($T23, REPORTE_DROPI!B:B, 0)
),
""
),
""
)
</f>
        <v>5.96</v>
      </c>
      <c r="K23" s="118">
        <f t="array" ref="K23">IFERROR(
INDEX(REPORTE_DROPI!S:S,
MATCH($T23, REPORTE_DROPI!B:B, 0)
),
""
)</f>
        <v>14.34</v>
      </c>
      <c r="L23" s="118" t="str">
        <f>IF(
  O23&lt;&gt;"DEVOLUCION",
  "",
  IF(
    T23="",
    "",
    SUMIF(DEVOLUCION!F:F, T23, DEVOLUCION!D:D)
  )
)
</f>
        <v/>
      </c>
      <c r="M23" s="118" t="s">
        <v>5877</v>
      </c>
      <c r="N23" s="133" t="s">
        <v>5925</v>
      </c>
      <c r="O23" s="118" t="str">
        <f t="array" ref="O23">IFERROR(
VLOOKUP(
TRIM(CLEAN(
INDEX(REPORTE_DROPI!K:K,
MATCH(T23, REPORTE_DROPI!B:B, 0)
))),
{
TRIM(CLEAN(MAPA_ESTADOS!A:A)) ,
MAPA_ESTADOS!B:B
},
2,
FALSE
),
"REVISAR"
)</f>
        <v>ENTREGADO</v>
      </c>
      <c r="P23" s="118" t="s">
        <v>5692</v>
      </c>
      <c r="Q23" s="153">
        <f t="shared" si="1"/>
        <v>0</v>
      </c>
      <c r="R23" s="118"/>
      <c r="S23" s="118"/>
      <c r="T23" s="118">
        <f t="array" ref="T23">IFERROR(
INDEX(REPORTE_DROPI!B:B,
MATCH(
CLEAN(TRIM(C23)),
CLEAN(TRIM(REPORTE_DROPI!E:E)),
0
)
),
""
)
</f>
        <v>4349853</v>
      </c>
      <c r="U23" s="118">
        <v>6.46796269982E12</v>
      </c>
      <c r="V23" s="154"/>
      <c r="W23" s="78"/>
      <c r="X23" s="78"/>
      <c r="Y23" s="78"/>
      <c r="Z23" s="78"/>
    </row>
    <row r="24" ht="22.5" hidden="1" customHeight="1">
      <c r="A24" s="118">
        <v>23.0</v>
      </c>
      <c r="B24" s="119">
        <v>46054.0</v>
      </c>
      <c r="C24" s="118" t="s">
        <v>5926</v>
      </c>
      <c r="D24" s="118" t="str">
        <f>IFERROR(__xludf.DUMMYFUNCTION("IFERROR( INDEX( FILTER( 'NOMBRE DE PRODUCTOS'!B:B, REGEXMATCH( UPPER( INDEX( REPORTE_DROPI!AC:AC, MATCH(T24, REPORTE_DROPI!B:B, 0) ) ), UPPER('NOMBRE DE PRODUCTOS'!A:A) ) ), 1 ), ""REVISAR"" )"),"Llave Multifuncional 360™")</f>
        <v>Llave Multifuncional 360™</v>
      </c>
      <c r="E24" s="120" t="str">
        <f t="array" ref="E24">IF(
UPPER(TRIM(CLEAN($O24)))="ENTREGADO",
IFERROR(
INDEX(REPORTE_DROPI!Y:Y,
MATCH($T24, REPORTE_DROPI!B:B, 0)
),
""
),
""
)
</f>
        <v/>
      </c>
      <c r="F24" s="121">
        <v>1.0</v>
      </c>
      <c r="G24" s="122" t="str">
        <f t="array" ref="G24">IF(
UPPER(TRIM(CLEAN($O24)))="ENTREGADO",
IFERROR(
INDEX(REPORTE_DROPI!R:R,
MATCH($T24, REPORTE_DROPI!B:B, 0)
),
""
),
""
)
</f>
        <v/>
      </c>
      <c r="H24" s="118" t="s">
        <v>3727</v>
      </c>
      <c r="I24" s="118" t="s">
        <v>3728</v>
      </c>
      <c r="J24" s="121" t="str">
        <f t="array" ref="J24">IF(
UPPER(TRIM(CLEAN($O24)))="ENTREGADO",
IFERROR(
INDEX(REPORTE_DROPI!T:T,
MATCH($T24, REPORTE_DROPI!B:B, 0)
),
""
),
""
)
</f>
        <v/>
      </c>
      <c r="K24" s="118" t="str">
        <f t="array" ref="K24">IFERROR(
INDEX(REPORTE_DROPI!S:S,
MATCH($T24, REPORTE_DROPI!B:B, 0)
),
""
)</f>
        <v/>
      </c>
      <c r="L24" s="118">
        <f>IF(
  O24&lt;&gt;"DEVOLUCION",
  "",
  IF(
    T24="",
    "",
    SUMIF(DEVOLUCION!F:F, T24, DEVOLUCION!D:D)
  )
)
</f>
        <v>7.67</v>
      </c>
      <c r="M24" s="118" t="s">
        <v>5877</v>
      </c>
      <c r="N24" s="133" t="s">
        <v>5927</v>
      </c>
      <c r="O24" s="118" t="str">
        <f t="array" ref="O24">IFERROR(
VLOOKUP(
TRIM(CLEAN(
INDEX(REPORTE_DROPI!K:K,
MATCH(T24, REPORTE_DROPI!B:B, 0)
))),
{
TRIM(CLEAN(MAPA_ESTADOS!A:A)) ,
MAPA_ESTADOS!B:B
},
2,
FALSE
),
"REVISAR"
)</f>
        <v>DEVOLUCION</v>
      </c>
      <c r="P24" s="118" t="s">
        <v>5692</v>
      </c>
      <c r="Q24" s="153">
        <f t="shared" si="1"/>
        <v>0</v>
      </c>
      <c r="R24" s="118" t="s">
        <v>3675</v>
      </c>
      <c r="S24" s="118">
        <v>1.0</v>
      </c>
      <c r="T24" s="118">
        <f t="array" ref="T24">IFERROR(
INDEX(REPORTE_DROPI!B:B,
MATCH(
CLEAN(TRIM(C24)),
CLEAN(TRIM(REPORTE_DROPI!E:E)),
0
)
),
""
)
</f>
        <v>4350109</v>
      </c>
      <c r="U24" s="118"/>
      <c r="V24" s="154"/>
      <c r="W24" s="78"/>
      <c r="X24" s="78"/>
      <c r="Y24" s="78"/>
      <c r="Z24" s="78"/>
    </row>
    <row r="25" ht="22.5" hidden="1" customHeight="1">
      <c r="A25" s="118">
        <v>24.0</v>
      </c>
      <c r="B25" s="119">
        <v>46054.0</v>
      </c>
      <c r="C25" s="118" t="s">
        <v>5928</v>
      </c>
      <c r="D25" s="118" t="str">
        <f>IFERROR(__xludf.DUMMYFUNCTION("IFERROR( INDEX( FILTER( 'NOMBRE DE PRODUCTOS'!B:B, REGEXMATCH( UPPER( INDEX( REPORTE_DROPI!AC:AC, MATCH(T25, REPORTE_DROPI!B:B, 0) ) ), UPPER('NOMBRE DE PRODUCTOS'!A:A) ) ), 1 ), ""REVISAR"" )"),"FilmPro®")</f>
        <v>FilmPro®</v>
      </c>
      <c r="E25" s="120">
        <f t="array" ref="E25">IF(
UPPER(TRIM(CLEAN($O25)))="ENTREGADO",
IFERROR(
INDEX(REPORTE_DROPI!Y:Y,
MATCH($T25, REPORTE_DROPI!B:B, 0)
),
""
),
""
)
</f>
        <v>2.35</v>
      </c>
      <c r="F25" s="121">
        <v>1.0</v>
      </c>
      <c r="G25" s="122">
        <f t="array" ref="G25">IF(
UPPER(TRIM(CLEAN($O25)))="ENTREGADO",
IFERROR(
INDEX(REPORTE_DROPI!R:R,
MATCH($T25, REPORTE_DROPI!B:B, 0)
),
""
),
""
)
</f>
        <v>20</v>
      </c>
      <c r="H25" s="118" t="s">
        <v>3727</v>
      </c>
      <c r="I25" s="118" t="s">
        <v>3740</v>
      </c>
      <c r="J25" s="121">
        <f t="array" ref="J25">IF(
UPPER(TRIM(CLEAN($O25)))="ENTREGADO",
IFERROR(
INDEX(REPORTE_DROPI!T:T,
MATCH($T25, REPORTE_DROPI!B:B, 0)
),
""
),
""
)
</f>
        <v>5.76</v>
      </c>
      <c r="K25" s="118">
        <f t="array" ref="K25">IFERROR(
INDEX(REPORTE_DROPI!S:S,
MATCH($T25, REPORTE_DROPI!B:B, 0)
),
""
)</f>
        <v>11.89</v>
      </c>
      <c r="L25" s="118" t="str">
        <f>IF(
  O25&lt;&gt;"DEVOLUCION",
  "",
  IF(
    T25="",
    "",
    SUMIF(DEVOLUCION!F:F, T25, DEVOLUCION!D:D)
  )
)
</f>
        <v/>
      </c>
      <c r="M25" s="118" t="s">
        <v>5877</v>
      </c>
      <c r="N25" s="133" t="s">
        <v>5929</v>
      </c>
      <c r="O25" s="118" t="str">
        <f t="array" ref="O25">IFERROR(
VLOOKUP(
TRIM(CLEAN(
INDEX(REPORTE_DROPI!K:K,
MATCH(T25, REPORTE_DROPI!B:B, 0)
))),
{
TRIM(CLEAN(MAPA_ESTADOS!A:A)) ,
MAPA_ESTADOS!B:B
},
2,
FALSE
),
"REVISAR"
)</f>
        <v>ENTREGADO</v>
      </c>
      <c r="P25" s="118" t="s">
        <v>5692</v>
      </c>
      <c r="Q25" s="153">
        <f t="shared" si="1"/>
        <v>0</v>
      </c>
      <c r="R25" s="118"/>
      <c r="S25" s="118"/>
      <c r="T25" s="118">
        <f t="array" ref="T25">IFERROR(
INDEX(REPORTE_DROPI!B:B,
MATCH(
CLEAN(TRIM(C25)),
CLEAN(TRIM(REPORTE_DROPI!E:E)),
0
)
),
""
)
</f>
        <v>4350341</v>
      </c>
      <c r="U25" s="118">
        <v>6.468044095532E12</v>
      </c>
      <c r="V25" s="154"/>
      <c r="W25" s="78"/>
      <c r="X25" s="78"/>
      <c r="Y25" s="78"/>
      <c r="Z25" s="78"/>
    </row>
    <row r="26" ht="22.5" hidden="1" customHeight="1">
      <c r="A26" s="118">
        <v>25.0</v>
      </c>
      <c r="B26" s="119">
        <v>46054.0</v>
      </c>
      <c r="C26" s="118" t="s">
        <v>5930</v>
      </c>
      <c r="D26" s="118" t="str">
        <f>IFERROR(__xludf.DUMMYFUNCTION("IFERROR( INDEX( FILTER( 'NOMBRE DE PRODUCTOS'!B:B, REGEXMATCH( UPPER( INDEX( REPORTE_DROPI!AC:AC, MATCH(T26, REPORTE_DROPI!B:B, 0) ) ), UPPER('NOMBRE DE PRODUCTOS'!A:A) ) ), 1 ), ""REVISAR"" )"),"Cuchillo Tazaki™")</f>
        <v>Cuchillo Tazaki™</v>
      </c>
      <c r="E26" s="120">
        <f t="array" ref="E26">IF(
UPPER(TRIM(CLEAN($O26)))="ENTREGADO",
IFERROR(
INDEX(REPORTE_DROPI!Y:Y,
MATCH($T26, REPORTE_DROPI!B:B, 0)
),
""
),
""
)
</f>
        <v>5.2</v>
      </c>
      <c r="F26" s="121">
        <v>2.0</v>
      </c>
      <c r="G26" s="122">
        <f t="array" ref="G26">IF(
UPPER(TRIM(CLEAN($O26)))="ENTREGADO",
IFERROR(
INDEX(REPORTE_DROPI!R:R,
MATCH($T26, REPORTE_DROPI!B:B, 0)
),
""
),
""
)
</f>
        <v>22</v>
      </c>
      <c r="H26" s="118" t="s">
        <v>3727</v>
      </c>
      <c r="I26" s="118" t="s">
        <v>3731</v>
      </c>
      <c r="J26" s="121">
        <f t="array" ref="J26">IF(
UPPER(TRIM(CLEAN($O26)))="ENTREGADO",
IFERROR(
INDEX(REPORTE_DROPI!T:T,
MATCH($T26, REPORTE_DROPI!B:B, 0)
),
""
),
""
)
</f>
        <v>6.41</v>
      </c>
      <c r="K26" s="118">
        <f t="array" ref="K26">IFERROR(
INDEX(REPORTE_DROPI!S:S,
MATCH($T26, REPORTE_DROPI!B:B, 0)
),
""
)</f>
        <v>10.39</v>
      </c>
      <c r="L26" s="118" t="str">
        <f>IF(
  O26&lt;&gt;"DEVOLUCION",
  "",
  IF(
    T26="",
    "",
    SUMIF(DEVOLUCION!F:F, T26, DEVOLUCION!D:D)
  )
)
</f>
        <v/>
      </c>
      <c r="M26" s="118" t="s">
        <v>5877</v>
      </c>
      <c r="N26" s="130" t="s">
        <v>5931</v>
      </c>
      <c r="O26" s="118" t="str">
        <f t="array" ref="O26">IFERROR(
VLOOKUP(
TRIM(CLEAN(
INDEX(REPORTE_DROPI!K:K,
MATCH(T26, REPORTE_DROPI!B:B, 0)
))),
{
TRIM(CLEAN(MAPA_ESTADOS!A:A)) ,
MAPA_ESTADOS!B:B
},
2,
FALSE
),
"REVISAR"
)</f>
        <v>ENTREGADO</v>
      </c>
      <c r="P26" s="118" t="s">
        <v>5932</v>
      </c>
      <c r="Q26" s="153">
        <f t="shared" si="1"/>
        <v>0</v>
      </c>
      <c r="R26" s="118"/>
      <c r="S26" s="118"/>
      <c r="T26" s="118">
        <f t="array" ref="T26">IFERROR(
INDEX(REPORTE_DROPI!B:B,
MATCH(
CLEAN(TRIM(C26)),
CLEAN(TRIM(REPORTE_DROPI!E:E)),
0
)
),
""
)
</f>
        <v>4350570</v>
      </c>
      <c r="U26" s="118">
        <v>6.468082892844E12</v>
      </c>
      <c r="V26" s="154"/>
      <c r="W26" s="78"/>
      <c r="X26" s="78"/>
      <c r="Y26" s="78"/>
      <c r="Z26" s="78"/>
    </row>
    <row r="27" ht="22.5" hidden="1" customHeight="1">
      <c r="A27" s="118">
        <v>26.0</v>
      </c>
      <c r="B27" s="119">
        <v>46054.0</v>
      </c>
      <c r="C27" s="118" t="s">
        <v>5933</v>
      </c>
      <c r="D27" s="118" t="str">
        <f>IFERROR(__xludf.DUMMYFUNCTION("IFERROR( INDEX( FILTER( 'NOMBRE DE PRODUCTOS'!B:B, REGEXMATCH( UPPER( INDEX( REPORTE_DROPI!AC:AC, MATCH(T27, REPORTE_DROPI!B:B, 0) ) ), UPPER('NOMBRE DE PRODUCTOS'!A:A) ) ), 1 ), ""REVISAR"" )"),"Llave Multifuncional 360™")</f>
        <v>Llave Multifuncional 360™</v>
      </c>
      <c r="E27" s="120" t="str">
        <f t="array" ref="E27">IF(
UPPER(TRIM(CLEAN($O27)))="ENTREGADO",
IFERROR(
INDEX(REPORTE_DROPI!Y:Y,
MATCH($T27, REPORTE_DROPI!B:B, 0)
),
""
),
""
)
</f>
        <v/>
      </c>
      <c r="F27" s="121">
        <v>1.0</v>
      </c>
      <c r="G27" s="122" t="str">
        <f t="array" ref="G27">IF(
UPPER(TRIM(CLEAN($O27)))="ENTREGADO",
IFERROR(
INDEX(REPORTE_DROPI!R:R,
MATCH($T27, REPORTE_DROPI!B:B, 0)
),
""
),
""
)
</f>
        <v/>
      </c>
      <c r="H27" s="118" t="s">
        <v>3727</v>
      </c>
      <c r="I27" s="118" t="s">
        <v>3731</v>
      </c>
      <c r="J27" s="121" t="str">
        <f t="array" ref="J27">IF(
UPPER(TRIM(CLEAN($O27)))="ENTREGADO",
IFERROR(
INDEX(REPORTE_DROPI!T:T,
MATCH($T27, REPORTE_DROPI!B:B, 0)
),
""
),
""
)
</f>
        <v/>
      </c>
      <c r="K27" s="118" t="str">
        <f t="array" ref="K27">IFERROR(
INDEX(REPORTE_DROPI!S:S,
MATCH($T27, REPORTE_DROPI!B:B, 0)
),
""
)</f>
        <v/>
      </c>
      <c r="L27" s="118">
        <f>IF(
  O27&lt;&gt;"DEVOLUCION",
  "",
  IF(
    T27="",
    "",
    SUMIF(DEVOLUCION!F:F, T27, DEVOLUCION!D:D)
  )
)
</f>
        <v>4.03</v>
      </c>
      <c r="M27" s="118" t="s">
        <v>5877</v>
      </c>
      <c r="N27" s="130" t="s">
        <v>5934</v>
      </c>
      <c r="O27" s="118" t="str">
        <f t="array" ref="O27">IFERROR(
VLOOKUP(
TRIM(CLEAN(
INDEX(REPORTE_DROPI!K:K,
MATCH(T27, REPORTE_DROPI!B:B, 0)
))),
{
TRIM(CLEAN(MAPA_ESTADOS!A:A)) ,
MAPA_ESTADOS!B:B
},
2,
FALSE
),
"REVISAR"
)</f>
        <v>DEVOLUCION</v>
      </c>
      <c r="P27" s="118" t="s">
        <v>5692</v>
      </c>
      <c r="Q27" s="153">
        <f t="shared" si="1"/>
        <v>0</v>
      </c>
      <c r="R27" s="118" t="s">
        <v>3675</v>
      </c>
      <c r="S27" s="118">
        <v>1.0</v>
      </c>
      <c r="T27" s="118">
        <f t="array" ref="T27">IFERROR(
INDEX(REPORTE_DROPI!B:B,
MATCH(
CLEAN(TRIM(C27)),
CLEAN(TRIM(REPORTE_DROPI!E:E)),
0
)
),
""
)
</f>
        <v>4350658</v>
      </c>
      <c r="U27" s="118">
        <v>6.468099211308E12</v>
      </c>
      <c r="V27" s="154"/>
      <c r="W27" s="78"/>
      <c r="X27" s="78"/>
      <c r="Y27" s="78"/>
      <c r="Z27" s="78"/>
    </row>
    <row r="28" ht="22.5" hidden="1" customHeight="1">
      <c r="A28" s="118">
        <v>27.0</v>
      </c>
      <c r="B28" s="119">
        <v>46054.0</v>
      </c>
      <c r="C28" s="118" t="s">
        <v>5935</v>
      </c>
      <c r="D28" s="118" t="str">
        <f>IFERROR(__xludf.DUMMYFUNCTION("IFERROR( INDEX( FILTER( 'NOMBRE DE PRODUCTOS'!B:B, REGEXMATCH( UPPER( INDEX( REPORTE_DROPI!AC:AC, MATCH(T28, REPORTE_DROPI!B:B, 0) ) ), UPPER('NOMBRE DE PRODUCTOS'!A:A) ) ), 1 ), ""REVISAR"" )"),"Cuchillo Tazaki™")</f>
        <v>Cuchillo Tazaki™</v>
      </c>
      <c r="E28" s="120">
        <f t="array" ref="E28">IF(
UPPER(TRIM(CLEAN($O28)))="ENTREGADO",
IFERROR(
INDEX(REPORTE_DROPI!Y:Y,
MATCH($T28, REPORTE_DROPI!B:B, 0)
),
""
),
""
)
</f>
        <v>5.2</v>
      </c>
      <c r="F28" s="121">
        <v>2.0</v>
      </c>
      <c r="G28" s="122">
        <f t="array" ref="G28">IF(
UPPER(TRIM(CLEAN($O28)))="ENTREGADO",
IFERROR(
INDEX(REPORTE_DROPI!R:R,
MATCH($T28, REPORTE_DROPI!B:B, 0)
),
""
),
""
)
</f>
        <v>22</v>
      </c>
      <c r="H28" s="118" t="s">
        <v>3727</v>
      </c>
      <c r="I28" s="118" t="s">
        <v>3740</v>
      </c>
      <c r="J28" s="121">
        <f t="array" ref="J28">IF(
UPPER(TRIM(CLEAN($O28)))="ENTREGADO",
IFERROR(
INDEX(REPORTE_DROPI!T:T,
MATCH($T28, REPORTE_DROPI!B:B, 0)
),
""
),
""
)
</f>
        <v>7.7</v>
      </c>
      <c r="K28" s="118">
        <f t="array" ref="K28">IFERROR(
INDEX(REPORTE_DROPI!S:S,
MATCH($T28, REPORTE_DROPI!B:B, 0)
),
""
)</f>
        <v>9.1</v>
      </c>
      <c r="L28" s="118" t="str">
        <f>IF(
  O28&lt;&gt;"DEVOLUCION",
  "",
  IF(
    T28="",
    "",
    SUMIF(DEVOLUCION!F:F, T28, DEVOLUCION!D:D)
  )
)
</f>
        <v/>
      </c>
      <c r="M28" s="118" t="s">
        <v>5877</v>
      </c>
      <c r="N28" s="130" t="s">
        <v>5936</v>
      </c>
      <c r="O28" s="118" t="str">
        <f t="array" ref="O28">IFERROR(
VLOOKUP(
TRIM(CLEAN(
INDEX(REPORTE_DROPI!K:K,
MATCH(T28, REPORTE_DROPI!B:B, 0)
))),
{
TRIM(CLEAN(MAPA_ESTADOS!A:A)) ,
MAPA_ESTADOS!B:B
},
2,
FALSE
),
"REVISAR"
)</f>
        <v>ENTREGADO</v>
      </c>
      <c r="P28" s="118" t="s">
        <v>5692</v>
      </c>
      <c r="Q28" s="153">
        <f t="shared" si="1"/>
        <v>0</v>
      </c>
      <c r="R28" s="118"/>
      <c r="S28" s="118"/>
      <c r="T28" s="118">
        <f t="array" ref="T28">IFERROR(
INDEX(REPORTE_DROPI!B:B,
MATCH(
CLEAN(TRIM(C28)),
CLEAN(TRIM(REPORTE_DROPI!E:E)),
0
)
),
""
)
</f>
        <v>4350802</v>
      </c>
      <c r="U28" s="118">
        <v>6.468129685548E12</v>
      </c>
      <c r="V28" s="154"/>
      <c r="W28" s="78"/>
      <c r="X28" s="78"/>
      <c r="Y28" s="78"/>
      <c r="Z28" s="78"/>
    </row>
    <row r="29" ht="22.5" hidden="1" customHeight="1">
      <c r="A29" s="118">
        <v>28.0</v>
      </c>
      <c r="B29" s="119">
        <v>46054.0</v>
      </c>
      <c r="C29" s="118" t="s">
        <v>5937</v>
      </c>
      <c r="D29" s="118" t="str">
        <f>IFERROR(__xludf.DUMMYFUNCTION("IFERROR( INDEX( FILTER( 'NOMBRE DE PRODUCTOS'!B:B, REGEXMATCH( UPPER( INDEX( REPORTE_DROPI!AC:AC, MATCH(T29, REPORTE_DROPI!B:B, 0) ) ), UPPER('NOMBRE DE PRODUCTOS'!A:A) ) ), 1 ), ""REVISAR"" )"),"Llave Multifuncional 360™")</f>
        <v>Llave Multifuncional 360™</v>
      </c>
      <c r="E29" s="120">
        <f t="array" ref="E29">IF(
UPPER(TRIM(CLEAN($O29)))="ENTREGADO",
IFERROR(
INDEX(REPORTE_DROPI!Y:Y,
MATCH($T29, REPORTE_DROPI!B:B, 0)
),
""
),
""
)
</f>
        <v>5</v>
      </c>
      <c r="F29" s="121">
        <v>1.0</v>
      </c>
      <c r="G29" s="122">
        <f t="array" ref="G29">IF(
UPPER(TRIM(CLEAN($O29)))="ENTREGADO",
IFERROR(
INDEX(REPORTE_DROPI!R:R,
MATCH($T29, REPORTE_DROPI!B:B, 0)
),
""
),
""
)
</f>
        <v>19.99</v>
      </c>
      <c r="H29" s="118" t="s">
        <v>3727</v>
      </c>
      <c r="I29" s="118" t="s">
        <v>3882</v>
      </c>
      <c r="J29" s="121">
        <f t="array" ref="J29">IF(
UPPER(TRIM(CLEAN($O29)))="ENTREGADO",
IFERROR(
INDEX(REPORTE_DROPI!T:T,
MATCH($T29, REPORTE_DROPI!B:B, 0)
),
""
),
""
)
</f>
        <v>7.67</v>
      </c>
      <c r="K29" s="118">
        <f t="array" ref="K29">IFERROR(
INDEX(REPORTE_DROPI!S:S,
MATCH($T29, REPORTE_DROPI!B:B, 0)
),
""
)</f>
        <v>7.32</v>
      </c>
      <c r="L29" s="118" t="str">
        <f>IF(
  O29&lt;&gt;"DEVOLUCION",
  "",
  IF(
    T29="",
    "",
    SUMIF(DEVOLUCION!F:F, T29, DEVOLUCION!D:D)
  )
)
</f>
        <v/>
      </c>
      <c r="M29" s="118" t="s">
        <v>5877</v>
      </c>
      <c r="N29" s="130" t="s">
        <v>5938</v>
      </c>
      <c r="O29" s="118" t="str">
        <f t="array" ref="O29">IFERROR(
VLOOKUP(
TRIM(CLEAN(
INDEX(REPORTE_DROPI!K:K,
MATCH(T29, REPORTE_DROPI!B:B, 0)
))),
{
TRIM(CLEAN(MAPA_ESTADOS!A:A)) ,
MAPA_ESTADOS!B:B
},
2,
FALSE
),
"REVISAR"
)</f>
        <v>ENTREGADO</v>
      </c>
      <c r="P29" s="118" t="s">
        <v>5692</v>
      </c>
      <c r="Q29" s="153">
        <f t="shared" si="1"/>
        <v>0</v>
      </c>
      <c r="R29" s="118"/>
      <c r="S29" s="118"/>
      <c r="T29" s="118">
        <f t="array" ref="T29">IFERROR(
INDEX(REPORTE_DROPI!B:B,
MATCH(
CLEAN(TRIM(C29)),
CLEAN(TRIM(REPORTE_DROPI!E:E)),
0
)
),
""
)
</f>
        <v>4351036</v>
      </c>
      <c r="U29" s="118">
        <v>6.468181000236E12</v>
      </c>
      <c r="V29" s="154"/>
      <c r="W29" s="78"/>
      <c r="X29" s="78"/>
      <c r="Y29" s="78"/>
      <c r="Z29" s="78"/>
    </row>
    <row r="30" ht="22.5" hidden="1" customHeight="1">
      <c r="A30" s="118">
        <v>29.0</v>
      </c>
      <c r="B30" s="119">
        <v>46054.0</v>
      </c>
      <c r="C30" s="118" t="s">
        <v>5939</v>
      </c>
      <c r="D30" s="118" t="str">
        <f>IFERROR(__xludf.DUMMYFUNCTION("IFERROR( INDEX( FILTER( 'NOMBRE DE PRODUCTOS'!B:B, REGEXMATCH( UPPER( INDEX( REPORTE_DROPI!AC:AC, MATCH(T30, REPORTE_DROPI!B:B, 0) ) ), UPPER('NOMBRE DE PRODUCTOS'!A:A) ) ), 1 ), ""REVISAR"" )"),"Llave Multifuncional 360™")</f>
        <v>Llave Multifuncional 360™</v>
      </c>
      <c r="E30" s="120">
        <f t="array" ref="E30">IF(
UPPER(TRIM(CLEAN($O30)))="ENTREGADO",
IFERROR(
INDEX(REPORTE_DROPI!Y:Y,
MATCH($T30, REPORTE_DROPI!B:B, 0)
),
""
),
""
)
</f>
        <v>5</v>
      </c>
      <c r="F30" s="121">
        <v>1.0</v>
      </c>
      <c r="G30" s="122">
        <f t="array" ref="G30">IF(
UPPER(TRIM(CLEAN($O30)))="ENTREGADO",
IFERROR(
INDEX(REPORTE_DROPI!R:R,
MATCH($T30, REPORTE_DROPI!B:B, 0)
),
""
),
""
)
</f>
        <v>19.99</v>
      </c>
      <c r="H30" s="118" t="s">
        <v>3727</v>
      </c>
      <c r="I30" s="118" t="s">
        <v>3728</v>
      </c>
      <c r="J30" s="121">
        <f t="array" ref="J30">IF(
UPPER(TRIM(CLEAN($O30)))="ENTREGADO",
IFERROR(
INDEX(REPORTE_DROPI!T:T,
MATCH($T30, REPORTE_DROPI!B:B, 0)
),
""
),
""
)
</f>
        <v>6.32</v>
      </c>
      <c r="K30" s="118">
        <f t="array" ref="K30">IFERROR(
INDEX(REPORTE_DROPI!S:S,
MATCH($T30, REPORTE_DROPI!B:B, 0)
),
""
)</f>
        <v>8.67</v>
      </c>
      <c r="L30" s="118" t="str">
        <f>IF(
  O30&lt;&gt;"DEVOLUCION",
  "",
  IF(
    T30="",
    "",
    SUMIF(DEVOLUCION!F:F, T30, DEVOLUCION!D:D)
  )
)
</f>
        <v/>
      </c>
      <c r="M30" s="118" t="s">
        <v>5877</v>
      </c>
      <c r="N30" s="130" t="s">
        <v>5940</v>
      </c>
      <c r="O30" s="118" t="str">
        <f t="array" ref="O30">IFERROR(
VLOOKUP(
TRIM(CLEAN(
INDEX(REPORTE_DROPI!K:K,
MATCH(T30, REPORTE_DROPI!B:B, 0)
))),
{
TRIM(CLEAN(MAPA_ESTADOS!A:A)) ,
MAPA_ESTADOS!B:B
},
2,
FALSE
),
"REVISAR"
)</f>
        <v>ENTREGADO</v>
      </c>
      <c r="P30" s="118" t="s">
        <v>5692</v>
      </c>
      <c r="Q30" s="153">
        <f t="shared" si="1"/>
        <v>0</v>
      </c>
      <c r="R30" s="118"/>
      <c r="S30" s="118"/>
      <c r="T30" s="118">
        <f t="array" ref="T30">IFERROR(
INDEX(REPORTE_DROPI!B:B,
MATCH(
CLEAN(TRIM(C30)),
CLEAN(TRIM(REPORTE_DROPI!E:E)),
0
)
),
""
)
</f>
        <v>4351154</v>
      </c>
      <c r="U30" s="118">
        <v>6.4682063299E12</v>
      </c>
      <c r="V30" s="154"/>
      <c r="W30" s="78"/>
      <c r="X30" s="78"/>
      <c r="Y30" s="78"/>
      <c r="Z30" s="78"/>
    </row>
    <row r="31" ht="22.5" hidden="1" customHeight="1">
      <c r="A31" s="118">
        <v>30.0</v>
      </c>
      <c r="B31" s="119">
        <v>46054.0</v>
      </c>
      <c r="C31" s="118" t="s">
        <v>5941</v>
      </c>
      <c r="D31" s="118" t="str">
        <f>IFERROR(__xludf.DUMMYFUNCTION("IFERROR( INDEX( FILTER( 'NOMBRE DE PRODUCTOS'!B:B, REGEXMATCH( UPPER( INDEX( REPORTE_DROPI!AC:AC, MATCH(T31, REPORTE_DROPI!B:B, 0) ) ), UPPER('NOMBRE DE PRODUCTOS'!A:A) ) ), 1 ), ""REVISAR"" )"),"Llave Multifuncional 360™")</f>
        <v>Llave Multifuncional 360™</v>
      </c>
      <c r="E31" s="120">
        <f t="array" ref="E31">IF(
UPPER(TRIM(CLEAN($O31)))="ENTREGADO",
IFERROR(
INDEX(REPORTE_DROPI!Y:Y,
MATCH($T31, REPORTE_DROPI!B:B, 0)
),
""
),
""
)
</f>
        <v>5</v>
      </c>
      <c r="F31" s="121">
        <v>1.0</v>
      </c>
      <c r="G31" s="122">
        <f t="array" ref="G31">IF(
UPPER(TRIM(CLEAN($O31)))="ENTREGADO",
IFERROR(
INDEX(REPORTE_DROPI!R:R,
MATCH($T31, REPORTE_DROPI!B:B, 0)
),
""
),
""
)
</f>
        <v>20</v>
      </c>
      <c r="H31" s="118" t="s">
        <v>3727</v>
      </c>
      <c r="I31" s="118" t="s">
        <v>3912</v>
      </c>
      <c r="J31" s="121">
        <f t="array" ref="J31">IF(
UPPER(TRIM(CLEAN($O31)))="ENTREGADO",
IFERROR(
INDEX(REPORTE_DROPI!T:T,
MATCH($T31, REPORTE_DROPI!B:B, 0)
),
""
),
""
)
</f>
        <v>7.67</v>
      </c>
      <c r="K31" s="118">
        <f t="array" ref="K31">IFERROR(
INDEX(REPORTE_DROPI!S:S,
MATCH($T31, REPORTE_DROPI!B:B, 0)
),
""
)</f>
        <v>7.33</v>
      </c>
      <c r="L31" s="118" t="str">
        <f>IF(
  O31&lt;&gt;"DEVOLUCION",
  "",
  IF(
    T31="",
    "",
    SUMIF(DEVOLUCION!F:F, T31, DEVOLUCION!D:D)
  )
)
</f>
        <v/>
      </c>
      <c r="M31" s="118" t="s">
        <v>5877</v>
      </c>
      <c r="N31" s="130" t="s">
        <v>5942</v>
      </c>
      <c r="O31" s="118" t="str">
        <f t="array" ref="O31">IFERROR(
VLOOKUP(
TRIM(CLEAN(
INDEX(REPORTE_DROPI!K:K,
MATCH(T31, REPORTE_DROPI!B:B, 0)
))),
{
TRIM(CLEAN(MAPA_ESTADOS!A:A)) ,
MAPA_ESTADOS!B:B
},
2,
FALSE
),
"REVISAR"
)</f>
        <v>ENTREGADO</v>
      </c>
      <c r="P31" s="118" t="s">
        <v>5692</v>
      </c>
      <c r="Q31" s="153">
        <f t="shared" si="1"/>
        <v>0</v>
      </c>
      <c r="R31" s="118"/>
      <c r="S31" s="118"/>
      <c r="T31" s="118">
        <f t="array" ref="T31">IFERROR(
INDEX(REPORTE_DROPI!B:B,
MATCH(
CLEAN(TRIM(C31)),
CLEAN(TRIM(REPORTE_DROPI!E:E)),
0
)
),
""
)
</f>
        <v>4371109</v>
      </c>
      <c r="U31" s="118">
        <v>6.468206854188E12</v>
      </c>
      <c r="V31" s="154"/>
      <c r="W31" s="78"/>
      <c r="X31" s="78"/>
      <c r="Y31" s="78"/>
      <c r="Z31" s="78"/>
    </row>
    <row r="32" ht="22.5" hidden="1" customHeight="1">
      <c r="A32" s="118">
        <v>31.0</v>
      </c>
      <c r="B32" s="119">
        <v>46054.0</v>
      </c>
      <c r="C32" s="118" t="s">
        <v>5943</v>
      </c>
      <c r="D32" s="118" t="str">
        <f>IFERROR(__xludf.DUMMYFUNCTION("IFERROR( INDEX( FILTER( 'NOMBRE DE PRODUCTOS'!B:B, REGEXMATCH( UPPER( INDEX( REPORTE_DROPI!AC:AC, MATCH(T32, REPORTE_DROPI!B:B, 0) ) ), UPPER('NOMBRE DE PRODUCTOS'!A:A) ) ), 1 ), ""REVISAR"" )"),"FilmPro®")</f>
        <v>FilmPro®</v>
      </c>
      <c r="E32" s="120" t="str">
        <f t="array" ref="E32">IF(
UPPER(TRIM(CLEAN($O32)))="ENTREGADO",
IFERROR(
INDEX(REPORTE_DROPI!Y:Y,
MATCH($T32, REPORTE_DROPI!B:B, 0)
),
""
),
""
)
</f>
        <v/>
      </c>
      <c r="F32" s="121">
        <v>1.0</v>
      </c>
      <c r="G32" s="122" t="str">
        <f t="array" ref="G32">IF(
UPPER(TRIM(CLEAN($O32)))="ENTREGADO",
IFERROR(
INDEX(REPORTE_DROPI!R:R,
MATCH($T32, REPORTE_DROPI!B:B, 0)
),
""
),
""
)
</f>
        <v/>
      </c>
      <c r="H32" s="118" t="s">
        <v>3727</v>
      </c>
      <c r="I32" s="118" t="s">
        <v>3772</v>
      </c>
      <c r="J32" s="121" t="str">
        <f t="array" ref="J32">IF(
UPPER(TRIM(CLEAN($O32)))="ENTREGADO",
IFERROR(
INDEX(REPORTE_DROPI!T:T,
MATCH($T32, REPORTE_DROPI!B:B, 0)
),
""
),
""
)
</f>
        <v/>
      </c>
      <c r="K32" s="118" t="str">
        <f t="array" ref="K32">IFERROR(
INDEX(REPORTE_DROPI!S:S,
MATCH($T32, REPORTE_DROPI!B:B, 0)
),
""
)</f>
        <v/>
      </c>
      <c r="L32" s="118" t="str">
        <f>IF(
  O32&lt;&gt;"DEVOLUCION",
  "",
  IF(
    T32="",
    "",
    SUMIF(DEVOLUCION!F:F, T32, DEVOLUCION!D:D)
  )
)
</f>
        <v/>
      </c>
      <c r="M32" s="118" t="s">
        <v>5877</v>
      </c>
      <c r="N32" s="130" t="s">
        <v>5944</v>
      </c>
      <c r="O32" s="118" t="str">
        <f t="array" ref="O32">IFERROR(
VLOOKUP(
TRIM(CLEAN(
INDEX(REPORTE_DROPI!K:K,
MATCH(T32, REPORTE_DROPI!B:B, 0)
))),
{
TRIM(CLEAN(MAPA_ESTADOS!A:A)) ,
MAPA_ESTADOS!B:B
},
2,
FALSE
),
"REVISAR"
)</f>
        <v>PENDIENTE</v>
      </c>
      <c r="P32" s="118" t="s">
        <v>5945</v>
      </c>
      <c r="Q32" s="153">
        <f t="shared" si="1"/>
        <v>0</v>
      </c>
      <c r="R32" s="118"/>
      <c r="S32" s="118"/>
      <c r="T32" s="118">
        <f t="array" ref="T32">IFERROR(
INDEX(REPORTE_DROPI!B:B,
MATCH(
CLEAN(TRIM(C32)),
CLEAN(TRIM(REPORTE_DROPI!E:E)),
0
)
),
""
)
</f>
        <v>4351675</v>
      </c>
      <c r="U32" s="118">
        <v>6.468323835948E12</v>
      </c>
      <c r="V32" s="154"/>
      <c r="W32" s="78"/>
      <c r="X32" s="78"/>
      <c r="Y32" s="78"/>
      <c r="Z32" s="78"/>
    </row>
    <row r="33" ht="22.5" hidden="1" customHeight="1">
      <c r="A33" s="118">
        <v>32.0</v>
      </c>
      <c r="B33" s="119">
        <v>46054.0</v>
      </c>
      <c r="C33" s="118" t="s">
        <v>5946</v>
      </c>
      <c r="D33" s="118" t="str">
        <f>IFERROR(__xludf.DUMMYFUNCTION("IFERROR( INDEX( FILTER( 'NOMBRE DE PRODUCTOS'!B:B, REGEXMATCH( UPPER( INDEX( REPORTE_DROPI!AC:AC, MATCH(T33, REPORTE_DROPI!B:B, 0) ) ), UPPER('NOMBRE DE PRODUCTOS'!A:A) ) ), 1 ), ""REVISAR"" )"),"FilmPro®")</f>
        <v>FilmPro®</v>
      </c>
      <c r="E33" s="120">
        <f t="array" ref="E33">IF(
UPPER(TRIM(CLEAN($O33)))="ENTREGADO",
IFERROR(
INDEX(REPORTE_DROPI!Y:Y,
MATCH($T33, REPORTE_DROPI!B:B, 0)
),
""
),
""
)
</f>
        <v>7.05</v>
      </c>
      <c r="F33" s="121">
        <v>3.0</v>
      </c>
      <c r="G33" s="122">
        <f t="array" ref="G33">IF(
UPPER(TRIM(CLEAN($O33)))="ENTREGADO",
IFERROR(
INDEX(REPORTE_DROPI!R:R,
MATCH($T33, REPORTE_DROPI!B:B, 0)
),
""
),
""
)
</f>
        <v>30</v>
      </c>
      <c r="H33" s="118" t="s">
        <v>3727</v>
      </c>
      <c r="I33" s="118" t="s">
        <v>3770</v>
      </c>
      <c r="J33" s="121">
        <f t="array" ref="J33">IF(
UPPER(TRIM(CLEAN($O33)))="ENTREGADO",
IFERROR(
INDEX(REPORTE_DROPI!T:T,
MATCH($T33, REPORTE_DROPI!B:B, 0)
),
""
),
""
)
</f>
        <v>6.16</v>
      </c>
      <c r="K33" s="118">
        <f t="array" ref="K33">IFERROR(
INDEX(REPORTE_DROPI!S:S,
MATCH($T33, REPORTE_DROPI!B:B, 0)
),
""
)</f>
        <v>16.79</v>
      </c>
      <c r="L33" s="118" t="str">
        <f>IF(
  O33&lt;&gt;"DEVOLUCION",
  "",
  IF(
    T33="",
    "",
    SUMIF(DEVOLUCION!F:F, T33, DEVOLUCION!D:D)
  )
)
</f>
        <v/>
      </c>
      <c r="M33" s="118" t="s">
        <v>5877</v>
      </c>
      <c r="N33" s="130" t="s">
        <v>5947</v>
      </c>
      <c r="O33" s="118" t="str">
        <f t="array" ref="O33">IFERROR(
VLOOKUP(
TRIM(CLEAN(
INDEX(REPORTE_DROPI!K:K,
MATCH(T33, REPORTE_DROPI!B:B, 0)
))),
{
TRIM(CLEAN(MAPA_ESTADOS!A:A)) ,
MAPA_ESTADOS!B:B
},
2,
FALSE
),
"REVISAR"
)</f>
        <v>ENTREGADO</v>
      </c>
      <c r="P33" s="118" t="s">
        <v>5692</v>
      </c>
      <c r="Q33" s="153">
        <f t="shared" si="1"/>
        <v>0</v>
      </c>
      <c r="R33" s="118"/>
      <c r="S33" s="118"/>
      <c r="T33" s="118">
        <f t="array" ref="T33">IFERROR(
INDEX(REPORTE_DROPI!B:B,
MATCH(
CLEAN(TRIM(C33)),
CLEAN(TRIM(REPORTE_DROPI!E:E)),
0
)
),
""
)
</f>
        <v>4351699</v>
      </c>
      <c r="U33" s="118">
        <v>6.468329799724E12</v>
      </c>
      <c r="V33" s="154"/>
      <c r="W33" s="78"/>
      <c r="X33" s="78"/>
      <c r="Y33" s="78"/>
      <c r="Z33" s="78"/>
    </row>
    <row r="34" ht="22.5" hidden="1" customHeight="1">
      <c r="A34" s="118">
        <v>33.0</v>
      </c>
      <c r="B34" s="119">
        <v>46054.0</v>
      </c>
      <c r="C34" s="118" t="s">
        <v>5948</v>
      </c>
      <c r="D34" s="118" t="str">
        <f>IFERROR(__xludf.DUMMYFUNCTION("IFERROR( INDEX( FILTER( 'NOMBRE DE PRODUCTOS'!B:B, REGEXMATCH( UPPER( INDEX( REPORTE_DROPI!AC:AC, MATCH(T34, REPORTE_DROPI!B:B, 0) ) ), UPPER('NOMBRE DE PRODUCTOS'!A:A) ) ), 1 ), ""REVISAR"" )"),"FilmPro®")</f>
        <v>FilmPro®</v>
      </c>
      <c r="E34" s="120" t="str">
        <f t="array" ref="E34">IF(
UPPER(TRIM(CLEAN($O34)))="ENTREGADO",
IFERROR(
INDEX(REPORTE_DROPI!Y:Y,
MATCH($T34, REPORTE_DROPI!B:B, 0)
),
""
),
""
)
</f>
        <v/>
      </c>
      <c r="F34" s="121">
        <v>2.0</v>
      </c>
      <c r="G34" s="122" t="str">
        <f t="array" ref="G34">IF(
UPPER(TRIM(CLEAN($O34)))="ENTREGADO",
IFERROR(
INDEX(REPORTE_DROPI!R:R,
MATCH($T34, REPORTE_DROPI!B:B, 0)
),
""
),
""
)
</f>
        <v/>
      </c>
      <c r="H34" s="118" t="s">
        <v>3727</v>
      </c>
      <c r="I34" s="118" t="s">
        <v>3962</v>
      </c>
      <c r="J34" s="121" t="str">
        <f t="array" ref="J34">IF(
UPPER(TRIM(CLEAN($O34)))="ENTREGADO",
IFERROR(
INDEX(REPORTE_DROPI!T:T,
MATCH($T34, REPORTE_DROPI!B:B, 0)
),
""
),
""
)
</f>
        <v/>
      </c>
      <c r="K34" s="118" t="str">
        <f t="array" ref="K34">IFERROR(
INDEX(REPORTE_DROPI!S:S,
MATCH($T34, REPORTE_DROPI!B:B, 0)
),
""
)</f>
        <v/>
      </c>
      <c r="L34" s="118" t="str">
        <f>IF(
  O34&lt;&gt;"DEVOLUCION",
  "",
  IF(
    T34="",
    "",
    SUMIF(DEVOLUCION!F:F, T34, DEVOLUCION!D:D)
  )
)
</f>
        <v/>
      </c>
      <c r="M34" s="118" t="s">
        <v>5877</v>
      </c>
      <c r="N34" s="130" t="s">
        <v>5949</v>
      </c>
      <c r="O34" s="118" t="str">
        <f t="array" ref="O34">IFERROR(
VLOOKUP(
TRIM(CLEAN(
INDEX(REPORTE_DROPI!K:K,
MATCH(T34, REPORTE_DROPI!B:B, 0)
))),
{
TRIM(CLEAN(MAPA_ESTADOS!A:A)) ,
MAPA_ESTADOS!B:B
},
2,
FALSE
),
"REVISAR"
)</f>
        <v>PENDIENTE</v>
      </c>
      <c r="P34" s="118" t="s">
        <v>5918</v>
      </c>
      <c r="Q34" s="153">
        <f t="shared" si="1"/>
        <v>0</v>
      </c>
      <c r="R34" s="118"/>
      <c r="S34" s="118"/>
      <c r="T34" s="118">
        <f t="array" ref="T34">IFERROR(
INDEX(REPORTE_DROPI!B:B,
MATCH(
CLEAN(TRIM(C34)),
CLEAN(TRIM(REPORTE_DROPI!E:E)),
0
)
),
""
)
</f>
        <v>4352407</v>
      </c>
      <c r="U34" s="118">
        <v>6.468543479852E12</v>
      </c>
      <c r="V34" s="154"/>
      <c r="W34" s="78"/>
      <c r="X34" s="78"/>
      <c r="Y34" s="78"/>
      <c r="Z34" s="78"/>
    </row>
    <row r="35" ht="22.5" hidden="1" customHeight="1">
      <c r="A35" s="118">
        <v>34.0</v>
      </c>
      <c r="B35" s="119">
        <v>46054.0</v>
      </c>
      <c r="C35" s="118" t="s">
        <v>5950</v>
      </c>
      <c r="D35" s="118" t="str">
        <f>IFERROR(__xludf.DUMMYFUNCTION("IFERROR( INDEX( FILTER( 'NOMBRE DE PRODUCTOS'!B:B, REGEXMATCH( UPPER( INDEX( REPORTE_DROPI!AC:AC, MATCH(T35, REPORTE_DROPI!B:B, 0) ) ), UPPER('NOMBRE DE PRODUCTOS'!A:A) ) ), 1 ), ""REVISAR"" )"),"FilmPro®")</f>
        <v>FilmPro®</v>
      </c>
      <c r="E35" s="120" t="str">
        <f t="array" ref="E35">IF(
UPPER(TRIM(CLEAN($O35)))="ENTREGADO",
IFERROR(
INDEX(REPORTE_DROPI!Y:Y,
MATCH($T35, REPORTE_DROPI!B:B, 0)
),
""
),
""
)
</f>
        <v/>
      </c>
      <c r="F35" s="121">
        <v>3.0</v>
      </c>
      <c r="G35" s="122" t="str">
        <f t="array" ref="G35">IF(
UPPER(TRIM(CLEAN($O35)))="ENTREGADO",
IFERROR(
INDEX(REPORTE_DROPI!R:R,
MATCH($T35, REPORTE_DROPI!B:B, 0)
),
""
),
""
)
</f>
        <v/>
      </c>
      <c r="H35" s="118" t="s">
        <v>3727</v>
      </c>
      <c r="I35" s="118" t="s">
        <v>3731</v>
      </c>
      <c r="J35" s="121" t="str">
        <f t="array" ref="J35">IF(
UPPER(TRIM(CLEAN($O35)))="ENTREGADO",
IFERROR(
INDEX(REPORTE_DROPI!T:T,
MATCH($T35, REPORTE_DROPI!B:B, 0)
),
""
),
""
)
</f>
        <v/>
      </c>
      <c r="K35" s="118" t="str">
        <f t="array" ref="K35">IFERROR(
INDEX(REPORTE_DROPI!S:S,
MATCH($T35, REPORTE_DROPI!B:B, 0)
),
""
)</f>
        <v/>
      </c>
      <c r="L35" s="118" t="str">
        <f>IF(
  O35&lt;&gt;"DEVOLUCION",
  "",
  IF(
    T35="",
    "",
    SUMIF(DEVOLUCION!F:F, T35, DEVOLUCION!D:D)
  )
)
</f>
        <v/>
      </c>
      <c r="M35" s="118" t="s">
        <v>5877</v>
      </c>
      <c r="N35" s="130" t="s">
        <v>5951</v>
      </c>
      <c r="O35" s="118" t="str">
        <f t="array" ref="O35">IFERROR(
VLOOKUP(
TRIM(CLEAN(
INDEX(REPORTE_DROPI!K:K,
MATCH(T35, REPORTE_DROPI!B:B, 0)
))),
{
TRIM(CLEAN(MAPA_ESTADOS!A:A)) ,
MAPA_ESTADOS!B:B
},
2,
FALSE
),
"REVISAR"
)</f>
        <v>CANCELADO</v>
      </c>
      <c r="P35" s="118" t="s">
        <v>5952</v>
      </c>
      <c r="Q35" s="153">
        <f t="shared" si="1"/>
        <v>0</v>
      </c>
      <c r="R35" s="118"/>
      <c r="S35" s="118"/>
      <c r="T35" s="118">
        <f t="array" ref="T35">IFERROR(
INDEX(REPORTE_DROPI!B:B,
MATCH(
CLEAN(TRIM(C35)),
CLEAN(TRIM(REPORTE_DROPI!E:E)),
0
)
),
""
)
</f>
        <v>4352498</v>
      </c>
      <c r="U35" s="118">
        <v>6.468572643372E12</v>
      </c>
      <c r="V35" s="154"/>
      <c r="W35" s="78"/>
      <c r="X35" s="78"/>
      <c r="Y35" s="78"/>
      <c r="Z35" s="78"/>
    </row>
    <row r="36" ht="22.5" hidden="1" customHeight="1">
      <c r="A36" s="118">
        <v>35.0</v>
      </c>
      <c r="B36" s="119">
        <v>46054.0</v>
      </c>
      <c r="C36" s="118" t="s">
        <v>5953</v>
      </c>
      <c r="D36" s="118" t="str">
        <f>IFERROR(__xludf.DUMMYFUNCTION("IFERROR( INDEX( FILTER( 'NOMBRE DE PRODUCTOS'!B:B, REGEXMATCH( UPPER( INDEX( REPORTE_DROPI!AC:AC, MATCH(T36, REPORTE_DROPI!B:B, 0) ) ), UPPER('NOMBRE DE PRODUCTOS'!A:A) ) ), 1 ), ""REVISAR"" )"),"Llave Multifuncional 360™")</f>
        <v>Llave Multifuncional 360™</v>
      </c>
      <c r="E36" s="120" t="str">
        <f t="array" ref="E36">IF(
UPPER(TRIM(CLEAN($O36)))="ENTREGADO",
IFERROR(
INDEX(REPORTE_DROPI!Y:Y,
MATCH($T36, REPORTE_DROPI!B:B, 0)
),
""
),
""
)
</f>
        <v/>
      </c>
      <c r="F36" s="121">
        <v>1.0</v>
      </c>
      <c r="G36" s="122" t="str">
        <f t="array" ref="G36">IF(
UPPER(TRIM(CLEAN($O36)))="ENTREGADO",
IFERROR(
INDEX(REPORTE_DROPI!R:R,
MATCH($T36, REPORTE_DROPI!B:B, 0)
),
""
),
""
)
</f>
        <v/>
      </c>
      <c r="H36" s="118" t="s">
        <v>3727</v>
      </c>
      <c r="I36" s="118" t="s">
        <v>3740</v>
      </c>
      <c r="J36" s="121" t="str">
        <f t="array" ref="J36">IF(
UPPER(TRIM(CLEAN($O36)))="ENTREGADO",
IFERROR(
INDEX(REPORTE_DROPI!T:T,
MATCH($T36, REPORTE_DROPI!B:B, 0)
),
""
),
""
)
</f>
        <v/>
      </c>
      <c r="K36" s="118" t="str">
        <f t="array" ref="K36">IFERROR(
INDEX(REPORTE_DROPI!S:S,
MATCH($T36, REPORTE_DROPI!B:B, 0)
),
""
)</f>
        <v/>
      </c>
      <c r="L36" s="118">
        <f>IF(
  O36&lt;&gt;"DEVOLUCION",
  "",
  IF(
    T36="",
    "",
    SUMIF(DEVOLUCION!F:F, T36, DEVOLUCION!D:D)
  )
)
</f>
        <v>6.24</v>
      </c>
      <c r="M36" s="118" t="s">
        <v>5877</v>
      </c>
      <c r="N36" s="130" t="s">
        <v>5954</v>
      </c>
      <c r="O36" s="118" t="str">
        <f t="array" ref="O36">IFERROR(
VLOOKUP(
TRIM(CLEAN(
INDEX(REPORTE_DROPI!K:K,
MATCH(T36, REPORTE_DROPI!B:B, 0)
))),
{
TRIM(CLEAN(MAPA_ESTADOS!A:A)) ,
MAPA_ESTADOS!B:B
},
2,
FALSE
),
"REVISAR"
)</f>
        <v>DEVOLUCION</v>
      </c>
      <c r="P36" s="118" t="s">
        <v>5932</v>
      </c>
      <c r="Q36" s="153">
        <f t="shared" si="1"/>
        <v>0</v>
      </c>
      <c r="R36" s="118" t="s">
        <v>3675</v>
      </c>
      <c r="S36" s="118">
        <v>1.0</v>
      </c>
      <c r="T36" s="118">
        <f t="array" ref="T36">IFERROR(
INDEX(REPORTE_DROPI!B:B,
MATCH(
CLEAN(TRIM(C36)),
CLEAN(TRIM(REPORTE_DROPI!E:E)),
0
)
),
""
)
</f>
        <v>4352545</v>
      </c>
      <c r="U36" s="118">
        <v>6.468588666924E12</v>
      </c>
      <c r="V36" s="154"/>
      <c r="W36" s="78"/>
      <c r="X36" s="78"/>
      <c r="Y36" s="78"/>
      <c r="Z36" s="78"/>
    </row>
    <row r="37" ht="22.5" hidden="1" customHeight="1">
      <c r="A37" s="118">
        <v>36.0</v>
      </c>
      <c r="B37" s="119">
        <v>46054.0</v>
      </c>
      <c r="C37" s="118" t="s">
        <v>5955</v>
      </c>
      <c r="D37" s="118" t="str">
        <f>IFERROR(__xludf.DUMMYFUNCTION("IFERROR( INDEX( FILTER( 'NOMBRE DE PRODUCTOS'!B:B, REGEXMATCH( UPPER( INDEX( REPORTE_DROPI!AC:AC, MATCH(T37, REPORTE_DROPI!B:B, 0) ) ), UPPER('NOMBRE DE PRODUCTOS'!A:A) ) ), 1 ), ""REVISAR"" )"),"Cuchillo Tazaki™")</f>
        <v>Cuchillo Tazaki™</v>
      </c>
      <c r="E37" s="120">
        <f t="array" ref="E37">IF(
UPPER(TRIM(CLEAN($O37)))="ENTREGADO",
IFERROR(
INDEX(REPORTE_DROPI!Y:Y,
MATCH($T37, REPORTE_DROPI!B:B, 0)
),
""
),
""
)
</f>
        <v>7.8</v>
      </c>
      <c r="F37" s="121">
        <v>3.0</v>
      </c>
      <c r="G37" s="122">
        <f t="array" ref="G37">IF(
UPPER(TRIM(CLEAN($O37)))="ENTREGADO",
IFERROR(
INDEX(REPORTE_DROPI!R:R,
MATCH($T37, REPORTE_DROPI!B:B, 0)
),
""
),
""
)
</f>
        <v>27</v>
      </c>
      <c r="H37" s="118" t="s">
        <v>3727</v>
      </c>
      <c r="I37" s="118" t="s">
        <v>3770</v>
      </c>
      <c r="J37" s="121">
        <f t="array" ref="J37">IF(
UPPER(TRIM(CLEAN($O37)))="ENTREGADO",
IFERROR(
INDEX(REPORTE_DROPI!T:T,
MATCH($T37, REPORTE_DROPI!B:B, 0)
),
""
),
""
)
</f>
        <v>6.6</v>
      </c>
      <c r="K37" s="118">
        <f t="array" ref="K37">IFERROR(
INDEX(REPORTE_DROPI!S:S,
MATCH($T37, REPORTE_DROPI!B:B, 0)
),
""
)</f>
        <v>12.6</v>
      </c>
      <c r="L37" s="118" t="str">
        <f>IF(
  O37&lt;&gt;"DEVOLUCION",
  "",
  IF(
    T37="",
    "",
    SUMIF(DEVOLUCION!F:F, T37, DEVOLUCION!D:D)
  )
)
</f>
        <v/>
      </c>
      <c r="M37" s="118" t="s">
        <v>5877</v>
      </c>
      <c r="N37" s="130" t="s">
        <v>5956</v>
      </c>
      <c r="O37" s="118" t="str">
        <f t="array" ref="O37">IFERROR(
VLOOKUP(
TRIM(CLEAN(
INDEX(REPORTE_DROPI!K:K,
MATCH(T37, REPORTE_DROPI!B:B, 0)
))),
{
TRIM(CLEAN(MAPA_ESTADOS!A:A)) ,
MAPA_ESTADOS!B:B
},
2,
FALSE
),
"REVISAR"
)</f>
        <v>ENTREGADO</v>
      </c>
      <c r="P37" s="118" t="s">
        <v>5692</v>
      </c>
      <c r="Q37" s="153">
        <f t="shared" si="1"/>
        <v>0</v>
      </c>
      <c r="R37" s="118"/>
      <c r="S37" s="118"/>
      <c r="T37" s="118">
        <f t="array" ref="T37">IFERROR(
INDEX(REPORTE_DROPI!B:B,
MATCH(
CLEAN(TRIM(C37)),
CLEAN(TRIM(REPORTE_DROPI!E:E)),
0
)
),
""
)
</f>
        <v>4352673</v>
      </c>
      <c r="U37" s="118">
        <v>6.468645322796E12</v>
      </c>
      <c r="V37" s="154"/>
      <c r="W37" s="78"/>
      <c r="X37" s="78"/>
      <c r="Y37" s="78"/>
      <c r="Z37" s="78"/>
    </row>
    <row r="38" ht="22.5" hidden="1" customHeight="1">
      <c r="A38" s="118">
        <v>37.0</v>
      </c>
      <c r="B38" s="119">
        <v>46054.0</v>
      </c>
      <c r="C38" s="118" t="s">
        <v>5957</v>
      </c>
      <c r="D38" s="118" t="str">
        <f>IFERROR(__xludf.DUMMYFUNCTION("IFERROR( INDEX( FILTER( 'NOMBRE DE PRODUCTOS'!B:B, REGEXMATCH( UPPER( INDEX( REPORTE_DROPI!AC:AC, MATCH(T38, REPORTE_DROPI!B:B, 0) ) ), UPPER('NOMBRE DE PRODUCTOS'!A:A) ) ), 1 ), ""REVISAR"" )"),"FilmPro®")</f>
        <v>FilmPro®</v>
      </c>
      <c r="E38" s="120">
        <f t="array" ref="E38">IF(
UPPER(TRIM(CLEAN($O38)))="ENTREGADO",
IFERROR(
INDEX(REPORTE_DROPI!Y:Y,
MATCH($T38, REPORTE_DROPI!B:B, 0)
),
""
),
""
)
</f>
        <v>4.7</v>
      </c>
      <c r="F38" s="121">
        <v>2.0</v>
      </c>
      <c r="G38" s="122">
        <f t="array" ref="G38">IF(
UPPER(TRIM(CLEAN($O38)))="ENTREGADO",
IFERROR(
INDEX(REPORTE_DROPI!R:R,
MATCH($T38, REPORTE_DROPI!B:B, 0)
),
""
),
""
)
</f>
        <v>25</v>
      </c>
      <c r="H38" s="118" t="s">
        <v>3727</v>
      </c>
      <c r="I38" s="118" t="s">
        <v>3882</v>
      </c>
      <c r="J38" s="121">
        <f t="array" ref="J38">IF(
UPPER(TRIM(CLEAN($O38)))="ENTREGADO",
IFERROR(
INDEX(REPORTE_DROPI!T:T,
MATCH($T38, REPORTE_DROPI!B:B, 0)
),
""
),
""
)
</f>
        <v>8.34</v>
      </c>
      <c r="K38" s="118">
        <f t="array" ref="K38">IFERROR(
INDEX(REPORTE_DROPI!S:S,
MATCH($T38, REPORTE_DROPI!B:B, 0)
),
""
)</f>
        <v>11.96</v>
      </c>
      <c r="L38" s="118" t="str">
        <f>IF(
  O38&lt;&gt;"DEVOLUCION",
  "",
  IF(
    T38="",
    "",
    SUMIF(DEVOLUCION!F:F, T38, DEVOLUCION!D:D)
  )
)
</f>
        <v/>
      </c>
      <c r="M38" s="118" t="s">
        <v>5877</v>
      </c>
      <c r="N38" s="130" t="s">
        <v>5958</v>
      </c>
      <c r="O38" s="118" t="str">
        <f t="array" ref="O38">IFERROR(
VLOOKUP(
TRIM(CLEAN(
INDEX(REPORTE_DROPI!K:K,
MATCH(T38, REPORTE_DROPI!B:B, 0)
))),
{
TRIM(CLEAN(MAPA_ESTADOS!A:A)) ,
MAPA_ESTADOS!B:B
},
2,
FALSE
),
"REVISAR"
)</f>
        <v>ENTREGADO</v>
      </c>
      <c r="P38" s="118" t="s">
        <v>5692</v>
      </c>
      <c r="Q38" s="153">
        <f t="shared" si="1"/>
        <v>0</v>
      </c>
      <c r="R38" s="118"/>
      <c r="S38" s="118"/>
      <c r="T38" s="118">
        <f t="array" ref="T38">IFERROR(
INDEX(REPORTE_DROPI!B:B,
MATCH(
CLEAN(TRIM(C38)),
CLEAN(TRIM(REPORTE_DROPI!E:E)),
0
)
),
""
)
</f>
        <v>4352751</v>
      </c>
      <c r="U38" s="118">
        <v>6.468667441196E12</v>
      </c>
      <c r="V38" s="154"/>
      <c r="W38" s="78"/>
      <c r="X38" s="78"/>
      <c r="Y38" s="78"/>
      <c r="Z38" s="78"/>
    </row>
    <row r="39" ht="22.5" hidden="1" customHeight="1">
      <c r="A39" s="118">
        <v>38.0</v>
      </c>
      <c r="B39" s="119">
        <v>46054.0</v>
      </c>
      <c r="C39" s="118" t="s">
        <v>5959</v>
      </c>
      <c r="D39" s="118" t="str">
        <f>IFERROR(__xludf.DUMMYFUNCTION("IFERROR( INDEX( FILTER( 'NOMBRE DE PRODUCTOS'!B:B, REGEXMATCH( UPPER( INDEX( REPORTE_DROPI!AC:AC, MATCH(T39, REPORTE_DROPI!B:B, 0) ) ), UPPER('NOMBRE DE PRODUCTOS'!A:A) ) ), 1 ), ""REVISAR"" )"),"Cuchillo Tazaki™")</f>
        <v>Cuchillo Tazaki™</v>
      </c>
      <c r="E39" s="120">
        <f t="array" ref="E39">IF(
UPPER(TRIM(CLEAN($O39)))="ENTREGADO",
IFERROR(
INDEX(REPORTE_DROPI!Y:Y,
MATCH($T39, REPORTE_DROPI!B:B, 0)
),
""
),
""
)
</f>
        <v>5.2</v>
      </c>
      <c r="F39" s="121">
        <v>2.0</v>
      </c>
      <c r="G39" s="122">
        <f t="array" ref="G39">IF(
UPPER(TRIM(CLEAN($O39)))="ENTREGADO",
IFERROR(
INDEX(REPORTE_DROPI!R:R,
MATCH($T39, REPORTE_DROPI!B:B, 0)
),
""
),
""
)
</f>
        <v>22</v>
      </c>
      <c r="H39" s="118" t="s">
        <v>3727</v>
      </c>
      <c r="I39" s="118" t="s">
        <v>3731</v>
      </c>
      <c r="J39" s="121">
        <f t="array" ref="J39">IF(
UPPER(TRIM(CLEAN($O39)))="ENTREGADO",
IFERROR(
INDEX(REPORTE_DROPI!T:T,
MATCH($T39, REPORTE_DROPI!B:B, 0)
),
""
),
""
)
</f>
        <v>5.84</v>
      </c>
      <c r="K39" s="118">
        <f t="array" ref="K39">IFERROR(
INDEX(REPORTE_DROPI!S:S,
MATCH($T39, REPORTE_DROPI!B:B, 0)
),
""
)</f>
        <v>10.96</v>
      </c>
      <c r="L39" s="118" t="str">
        <f>IF(
  O39&lt;&gt;"DEVOLUCION",
  "",
  IF(
    T39="",
    "",
    SUMIF(DEVOLUCION!F:F, T39, DEVOLUCION!D:D)
  )
)
</f>
        <v/>
      </c>
      <c r="M39" s="118" t="s">
        <v>5877</v>
      </c>
      <c r="N39" s="130" t="s">
        <v>5960</v>
      </c>
      <c r="O39" s="118" t="str">
        <f t="array" ref="O39">IFERROR(
VLOOKUP(
TRIM(CLEAN(
INDEX(REPORTE_DROPI!K:K,
MATCH(T39, REPORTE_DROPI!B:B, 0)
))),
{
TRIM(CLEAN(MAPA_ESTADOS!A:A)) ,
MAPA_ESTADOS!B:B
},
2,
FALSE
),
"REVISAR"
)</f>
        <v>ENTREGADO</v>
      </c>
      <c r="P39" s="118" t="s">
        <v>5692</v>
      </c>
      <c r="Q39" s="153">
        <f t="shared" si="1"/>
        <v>0</v>
      </c>
      <c r="R39" s="118"/>
      <c r="S39" s="118"/>
      <c r="T39" s="118">
        <f t="array" ref="T39">IFERROR(
INDEX(REPORTE_DROPI!B:B,
MATCH(
CLEAN(TRIM(C39)),
CLEAN(TRIM(REPORTE_DROPI!E:E)),
0
)
),
""
)
</f>
        <v>4353035</v>
      </c>
      <c r="U39" s="118">
        <v>6.468764139564E12</v>
      </c>
      <c r="V39" s="154"/>
      <c r="W39" s="78"/>
      <c r="X39" s="78"/>
      <c r="Y39" s="78"/>
      <c r="Z39" s="78"/>
    </row>
    <row r="40" ht="22.5" hidden="1" customHeight="1">
      <c r="A40" s="118">
        <v>39.0</v>
      </c>
      <c r="B40" s="119">
        <v>46054.0</v>
      </c>
      <c r="C40" s="118" t="s">
        <v>5961</v>
      </c>
      <c r="D40" s="118" t="str">
        <f>IFERROR(__xludf.DUMMYFUNCTION("IFERROR( INDEX( FILTER( 'NOMBRE DE PRODUCTOS'!B:B, REGEXMATCH( UPPER( INDEX( REPORTE_DROPI!AC:AC, MATCH(T40, REPORTE_DROPI!B:B, 0) ) ), UPPER('NOMBRE DE PRODUCTOS'!A:A) ) ), 1 ), ""REVISAR"" )"),"Cuchillo Tazaki™")</f>
        <v>Cuchillo Tazaki™</v>
      </c>
      <c r="E40" s="120" t="str">
        <f t="array" ref="E40">IF(
UPPER(TRIM(CLEAN($O40)))="ENTREGADO",
IFERROR(
INDEX(REPORTE_DROPI!Y:Y,
MATCH($T40, REPORTE_DROPI!B:B, 0)
),
""
),
""
)
</f>
        <v/>
      </c>
      <c r="F40" s="121">
        <v>4.0</v>
      </c>
      <c r="G40" s="122" t="str">
        <f t="array" ref="G40">IF(
UPPER(TRIM(CLEAN($O40)))="ENTREGADO",
IFERROR(
INDEX(REPORTE_DROPI!R:R,
MATCH($T40, REPORTE_DROPI!B:B, 0)
),
""
),
""
)
</f>
        <v/>
      </c>
      <c r="H40" s="118" t="s">
        <v>3727</v>
      </c>
      <c r="I40" s="118" t="s">
        <v>3969</v>
      </c>
      <c r="J40" s="121" t="str">
        <f t="array" ref="J40">IF(
UPPER(TRIM(CLEAN($O40)))="ENTREGADO",
IFERROR(
INDEX(REPORTE_DROPI!T:T,
MATCH($T40, REPORTE_DROPI!B:B, 0)
),
""
),
""
)
</f>
        <v/>
      </c>
      <c r="K40" s="118" t="str">
        <f t="array" ref="K40">IFERROR(
INDEX(REPORTE_DROPI!S:S,
MATCH($T40, REPORTE_DROPI!B:B, 0)
),
""
)</f>
        <v/>
      </c>
      <c r="L40" s="118">
        <f>IF(
  O40&lt;&gt;"DEVOLUCION",
  "",
  IF(
    T40="",
    "",
    SUMIF(DEVOLUCION!F:F, T40, DEVOLUCION!D:D)
  )
)
</f>
        <v>5.13</v>
      </c>
      <c r="M40" s="118" t="s">
        <v>5877</v>
      </c>
      <c r="N40" s="130" t="s">
        <v>5962</v>
      </c>
      <c r="O40" s="118" t="str">
        <f t="array" ref="O40">IFERROR(
VLOOKUP(
TRIM(CLEAN(
INDEX(REPORTE_DROPI!K:K,
MATCH(T40, REPORTE_DROPI!B:B, 0)
))),
{
TRIM(CLEAN(MAPA_ESTADOS!A:A)) ,
MAPA_ESTADOS!B:B
},
2,
FALSE
),
"REVISAR"
)</f>
        <v>DEVOLUCION</v>
      </c>
      <c r="P40" s="118" t="s">
        <v>5909</v>
      </c>
      <c r="Q40" s="153">
        <f t="shared" si="1"/>
        <v>0</v>
      </c>
      <c r="R40" s="118"/>
      <c r="S40" s="118"/>
      <c r="T40" s="118">
        <f t="array" ref="T40">IFERROR(
INDEX(REPORTE_DROPI!B:B,
MATCH(
CLEAN(TRIM(C40)),
CLEAN(TRIM(REPORTE_DROPI!E:E)),
0
)
),
""
)
</f>
        <v>4371257</v>
      </c>
      <c r="U40" s="118">
        <v>6.468842094636E12</v>
      </c>
      <c r="V40" s="154"/>
      <c r="W40" s="78"/>
      <c r="X40" s="78"/>
      <c r="Y40" s="78"/>
      <c r="Z40" s="78"/>
    </row>
    <row r="41" ht="22.5" hidden="1" customHeight="1">
      <c r="A41" s="118">
        <v>40.0</v>
      </c>
      <c r="B41" s="119">
        <v>46054.0</v>
      </c>
      <c r="C41" s="118" t="s">
        <v>5963</v>
      </c>
      <c r="D41" s="118" t="str">
        <f>IFERROR(__xludf.DUMMYFUNCTION("IFERROR( INDEX( FILTER( 'NOMBRE DE PRODUCTOS'!B:B, REGEXMATCH( UPPER( INDEX( REPORTE_DROPI!AC:AC, MATCH(T41, REPORTE_DROPI!B:B, 0) ) ), UPPER('NOMBRE DE PRODUCTOS'!A:A) ) ), 1 ), ""REVISAR"" )"),"FilmPro®")</f>
        <v>FilmPro®</v>
      </c>
      <c r="E41" s="120" t="str">
        <f t="array" ref="E41">IF(
UPPER(TRIM(CLEAN($O41)))="ENTREGADO",
IFERROR(
INDEX(REPORTE_DROPI!Y:Y,
MATCH($T41, REPORTE_DROPI!B:B, 0)
),
""
),
""
)
</f>
        <v/>
      </c>
      <c r="F41" s="121">
        <v>2.0</v>
      </c>
      <c r="G41" s="122" t="str">
        <f t="array" ref="G41">IF(
UPPER(TRIM(CLEAN($O41)))="ENTREGADO",
IFERROR(
INDEX(REPORTE_DROPI!R:R,
MATCH($T41, REPORTE_DROPI!B:B, 0)
),
""
),
""
)
</f>
        <v/>
      </c>
      <c r="H41" s="118" t="s">
        <v>3727</v>
      </c>
      <c r="I41" s="118" t="s">
        <v>3951</v>
      </c>
      <c r="J41" s="121" t="str">
        <f t="array" ref="J41">IF(
UPPER(TRIM(CLEAN($O41)))="ENTREGADO",
IFERROR(
INDEX(REPORTE_DROPI!T:T,
MATCH($T41, REPORTE_DROPI!B:B, 0)
),
""
),
""
)
</f>
        <v/>
      </c>
      <c r="K41" s="118" t="str">
        <f t="array" ref="K41">IFERROR(
INDEX(REPORTE_DROPI!S:S,
MATCH($T41, REPORTE_DROPI!B:B, 0)
),
""
)</f>
        <v/>
      </c>
      <c r="L41" s="118" t="str">
        <f>IF(
  O41&lt;&gt;"DEVOLUCION",
  "",
  IF(
    T41="",
    "",
    SUMIF(DEVOLUCION!F:F, T41, DEVOLUCION!D:D)
  )
)
</f>
        <v/>
      </c>
      <c r="M41" s="118" t="s">
        <v>5877</v>
      </c>
      <c r="N41" s="130" t="s">
        <v>5964</v>
      </c>
      <c r="O41" s="118" t="str">
        <f t="array" ref="O41">IFERROR(
VLOOKUP(
TRIM(CLEAN(
INDEX(REPORTE_DROPI!K:K,
MATCH(T41, REPORTE_DROPI!B:B, 0)
))),
{
TRIM(CLEAN(MAPA_ESTADOS!A:A)) ,
MAPA_ESTADOS!B:B
},
2,
FALSE
),
"REVISAR"
)</f>
        <v>CANCELADO</v>
      </c>
      <c r="P41" s="118" t="s">
        <v>5965</v>
      </c>
      <c r="Q41" s="153">
        <f t="shared" si="1"/>
        <v>0</v>
      </c>
      <c r="R41" s="118"/>
      <c r="S41" s="118"/>
      <c r="T41" s="118">
        <f t="array" ref="T41">IFERROR(
INDEX(REPORTE_DROPI!B:B,
MATCH(
CLEAN(TRIM(C41)),
CLEAN(TRIM(REPORTE_DROPI!E:E)),
0
)
),
""
)
</f>
        <v>4371279</v>
      </c>
      <c r="U41" s="118">
        <v>6.468879613996E12</v>
      </c>
      <c r="V41" s="154"/>
      <c r="W41" s="78"/>
      <c r="X41" s="78"/>
      <c r="Y41" s="78"/>
      <c r="Z41" s="78"/>
    </row>
    <row r="42" ht="22.5" hidden="1" customHeight="1">
      <c r="A42" s="118">
        <v>41.0</v>
      </c>
      <c r="B42" s="119">
        <v>46054.0</v>
      </c>
      <c r="C42" s="118" t="s">
        <v>5966</v>
      </c>
      <c r="D42" s="118" t="str">
        <f>IFERROR(__xludf.DUMMYFUNCTION("IFERROR( INDEX( FILTER( 'NOMBRE DE PRODUCTOS'!B:B, REGEXMATCH( UPPER( INDEX( REPORTE_DROPI!AC:AC, MATCH(T42, REPORTE_DROPI!B:B, 0) ) ), UPPER('NOMBRE DE PRODUCTOS'!A:A) ) ), 1 ), ""REVISAR"" )"),"Cuchillo Tazaki™")</f>
        <v>Cuchillo Tazaki™</v>
      </c>
      <c r="E42" s="120" t="str">
        <f t="array" ref="E42">IF(
UPPER(TRIM(CLEAN($O42)))="ENTREGADO",
IFERROR(
INDEX(REPORTE_DROPI!Y:Y,
MATCH($T42, REPORTE_DROPI!B:B, 0)
),
""
),
""
)
</f>
        <v/>
      </c>
      <c r="F42" s="121">
        <v>2.0</v>
      </c>
      <c r="G42" s="122" t="str">
        <f t="array" ref="G42">IF(
UPPER(TRIM(CLEAN($O42)))="ENTREGADO",
IFERROR(
INDEX(REPORTE_DROPI!R:R,
MATCH($T42, REPORTE_DROPI!B:B, 0)
),
""
),
""
)
</f>
        <v/>
      </c>
      <c r="H42" s="118" t="s">
        <v>3727</v>
      </c>
      <c r="I42" s="118" t="s">
        <v>3735</v>
      </c>
      <c r="J42" s="121" t="str">
        <f t="array" ref="J42">IF(
UPPER(TRIM(CLEAN($O42)))="ENTREGADO",
IFERROR(
INDEX(REPORTE_DROPI!T:T,
MATCH($T42, REPORTE_DROPI!B:B, 0)
),
""
),
""
)
</f>
        <v/>
      </c>
      <c r="K42" s="118" t="str">
        <f t="array" ref="K42">IFERROR(
INDEX(REPORTE_DROPI!S:S,
MATCH($T42, REPORTE_DROPI!B:B, 0)
),
""
)</f>
        <v/>
      </c>
      <c r="L42" s="118" t="str">
        <f>IF(
  O42&lt;&gt;"DEVOLUCION",
  "",
  IF(
    T42="",
    "",
    SUMIF(DEVOLUCION!F:F, T42, DEVOLUCION!D:D)
  )
)
</f>
        <v/>
      </c>
      <c r="M42" s="118" t="s">
        <v>5877</v>
      </c>
      <c r="N42" s="130" t="s">
        <v>5967</v>
      </c>
      <c r="O42" s="118" t="str">
        <f t="array" ref="O42">IFERROR(
VLOOKUP(
TRIM(CLEAN(
INDEX(REPORTE_DROPI!K:K,
MATCH(T42, REPORTE_DROPI!B:B, 0)
))),
{
TRIM(CLEAN(MAPA_ESTADOS!A:A)) ,
MAPA_ESTADOS!B:B
},
2,
FALSE
),
"REVISAR"
)</f>
        <v>PENDIENTE</v>
      </c>
      <c r="P42" s="118" t="s">
        <v>5918</v>
      </c>
      <c r="Q42" s="153">
        <f t="shared" si="1"/>
        <v>0</v>
      </c>
      <c r="R42" s="118"/>
      <c r="S42" s="118"/>
      <c r="T42" s="118">
        <f t="array" ref="T42">IFERROR(
INDEX(REPORTE_DROPI!B:B,
MATCH(
CLEAN(TRIM(C42)),
CLEAN(TRIM(REPORTE_DROPI!E:E)),
0
)
),
""
)
</f>
        <v>4353478</v>
      </c>
      <c r="U42" s="118"/>
      <c r="V42" s="154"/>
      <c r="W42" s="78"/>
      <c r="X42" s="78"/>
      <c r="Y42" s="78"/>
      <c r="Z42" s="78"/>
    </row>
    <row r="43" ht="22.5" hidden="1" customHeight="1">
      <c r="A43" s="118">
        <v>42.0</v>
      </c>
      <c r="B43" s="119">
        <v>46054.0</v>
      </c>
      <c r="C43" s="118" t="s">
        <v>5968</v>
      </c>
      <c r="D43" s="118" t="str">
        <f>IFERROR(__xludf.DUMMYFUNCTION("IFERROR( INDEX( FILTER( 'NOMBRE DE PRODUCTOS'!B:B, REGEXMATCH( UPPER( INDEX( REPORTE_DROPI!AC:AC, MATCH(T43, REPORTE_DROPI!B:B, 0) ) ), UPPER('NOMBRE DE PRODUCTOS'!A:A) ) ), 1 ), ""REVISAR"" )"),"Cuchillo Tazaki™")</f>
        <v>Cuchillo Tazaki™</v>
      </c>
      <c r="E43" s="120" t="str">
        <f t="array" ref="E43">IF(
UPPER(TRIM(CLEAN($O43)))="ENTREGADO",
IFERROR(
INDEX(REPORTE_DROPI!Y:Y,
MATCH($T43, REPORTE_DROPI!B:B, 0)
),
""
),
""
)
</f>
        <v/>
      </c>
      <c r="F43" s="121">
        <v>2.0</v>
      </c>
      <c r="G43" s="122" t="str">
        <f t="array" ref="G43">IF(
UPPER(TRIM(CLEAN($O43)))="ENTREGADO",
IFERROR(
INDEX(REPORTE_DROPI!R:R,
MATCH($T43, REPORTE_DROPI!B:B, 0)
),
""
),
""
)
</f>
        <v/>
      </c>
      <c r="H43" s="118" t="s">
        <v>3727</v>
      </c>
      <c r="I43" s="118" t="s">
        <v>3728</v>
      </c>
      <c r="J43" s="121" t="str">
        <f t="array" ref="J43">IF(
UPPER(TRIM(CLEAN($O43)))="ENTREGADO",
IFERROR(
INDEX(REPORTE_DROPI!T:T,
MATCH($T43, REPORTE_DROPI!B:B, 0)
),
""
),
""
)
</f>
        <v/>
      </c>
      <c r="K43" s="118" t="str">
        <f t="array" ref="K43">IFERROR(
INDEX(REPORTE_DROPI!S:S,
MATCH($T43, REPORTE_DROPI!B:B, 0)
),
""
)</f>
        <v/>
      </c>
      <c r="L43" s="118" t="str">
        <f>IF(
  O43&lt;&gt;"DEVOLUCION",
  "",
  IF(
    T43="",
    "",
    SUMIF(DEVOLUCION!F:F, T43, DEVOLUCION!D:D)
  )
)
</f>
        <v/>
      </c>
      <c r="M43" s="118" t="s">
        <v>5877</v>
      </c>
      <c r="N43" s="130" t="s">
        <v>5969</v>
      </c>
      <c r="O43" s="118" t="str">
        <f t="array" ref="O43">IFERROR(
VLOOKUP(
TRIM(CLEAN(
INDEX(REPORTE_DROPI!K:K,
MATCH(T43, REPORTE_DROPI!B:B, 0)
))),
{
TRIM(CLEAN(MAPA_ESTADOS!A:A)) ,
MAPA_ESTADOS!B:B
},
2,
FALSE
),
"REVISAR"
)</f>
        <v>CANCELADO</v>
      </c>
      <c r="P43" s="118" t="s">
        <v>5692</v>
      </c>
      <c r="Q43" s="153">
        <f t="shared" si="1"/>
        <v>0</v>
      </c>
      <c r="R43" s="118"/>
      <c r="S43" s="118"/>
      <c r="T43" s="118">
        <f t="array" ref="T43">IFERROR(
INDEX(REPORTE_DROPI!B:B,
MATCH(
CLEAN(TRIM(C43)),
CLEAN(TRIM(REPORTE_DROPI!E:E)),
0
)
),
""
)
</f>
        <v>4353503</v>
      </c>
      <c r="U43" s="118">
        <v>6.46890002846E12</v>
      </c>
      <c r="V43" s="154"/>
      <c r="W43" s="78"/>
      <c r="X43" s="78"/>
      <c r="Y43" s="78"/>
      <c r="Z43" s="78"/>
    </row>
    <row r="44" ht="22.5" hidden="1" customHeight="1">
      <c r="A44" s="118">
        <v>43.0</v>
      </c>
      <c r="B44" s="119">
        <v>46054.0</v>
      </c>
      <c r="C44" s="118" t="s">
        <v>5970</v>
      </c>
      <c r="D44" s="118" t="str">
        <f>IFERROR(__xludf.DUMMYFUNCTION("IFERROR( INDEX( FILTER( 'NOMBRE DE PRODUCTOS'!B:B, REGEXMATCH( UPPER( INDEX( REPORTE_DROPI!AC:AC, MATCH(T44, REPORTE_DROPI!B:B, 0) ) ), UPPER('NOMBRE DE PRODUCTOS'!A:A) ) ), 1 ), ""REVISAR"" )"),"Llave Multifuncional 360™")</f>
        <v>Llave Multifuncional 360™</v>
      </c>
      <c r="E44" s="120" t="str">
        <f t="array" ref="E44">IF(
UPPER(TRIM(CLEAN($O44)))="ENTREGADO",
IFERROR(
INDEX(REPORTE_DROPI!Y:Y,
MATCH($T44, REPORTE_DROPI!B:B, 0)
),
""
),
""
)
</f>
        <v/>
      </c>
      <c r="F44" s="121">
        <v>2.0</v>
      </c>
      <c r="G44" s="122" t="str">
        <f t="array" ref="G44">IF(
UPPER(TRIM(CLEAN($O44)))="ENTREGADO",
IFERROR(
INDEX(REPORTE_DROPI!R:R,
MATCH($T44, REPORTE_DROPI!B:B, 0)
),
""
),
""
)
</f>
        <v/>
      </c>
      <c r="H44" s="118" t="s">
        <v>3727</v>
      </c>
      <c r="I44" s="118" t="s">
        <v>3759</v>
      </c>
      <c r="J44" s="121" t="str">
        <f t="array" ref="J44">IF(
UPPER(TRIM(CLEAN($O44)))="ENTREGADO",
IFERROR(
INDEX(REPORTE_DROPI!T:T,
MATCH($T44, REPORTE_DROPI!B:B, 0)
),
""
),
""
)
</f>
        <v/>
      </c>
      <c r="K44" s="118" t="str">
        <f t="array" ref="K44">IFERROR(
INDEX(REPORTE_DROPI!S:S,
MATCH($T44, REPORTE_DROPI!B:B, 0)
),
""
)</f>
        <v/>
      </c>
      <c r="L44" s="118" t="str">
        <f>IF(
  O44&lt;&gt;"DEVOLUCION",
  "",
  IF(
    T44="",
    "",
    SUMIF(DEVOLUCION!F:F, T44, DEVOLUCION!D:D)
  )
)
</f>
        <v/>
      </c>
      <c r="M44" s="118" t="s">
        <v>5877</v>
      </c>
      <c r="N44" s="130" t="s">
        <v>5971</v>
      </c>
      <c r="O44" s="118" t="str">
        <f t="array" ref="O44">IFERROR(
VLOOKUP(
TRIM(CLEAN(
INDEX(REPORTE_DROPI!K:K,
MATCH(T44, REPORTE_DROPI!B:B, 0)
))),
{
TRIM(CLEAN(MAPA_ESTADOS!A:A)) ,
MAPA_ESTADOS!B:B
},
2,
FALSE
),
"REVISAR"
)</f>
        <v>PENDIENTE</v>
      </c>
      <c r="P44" s="118" t="s">
        <v>5972</v>
      </c>
      <c r="Q44" s="153">
        <f t="shared" si="1"/>
        <v>0</v>
      </c>
      <c r="R44" s="118"/>
      <c r="S44" s="118"/>
      <c r="T44" s="118">
        <f t="array" ref="T44">IFERROR(
INDEX(REPORTE_DROPI!B:B,
MATCH(
CLEAN(TRIM(C44)),
CLEAN(TRIM(REPORTE_DROPI!E:E)),
0
)
),
""
)
</f>
        <v>4353582</v>
      </c>
      <c r="U44" s="118">
        <v>6.468920901676E12</v>
      </c>
      <c r="V44" s="154"/>
      <c r="W44" s="78"/>
      <c r="X44" s="78"/>
      <c r="Y44" s="78"/>
      <c r="Z44" s="78"/>
    </row>
    <row r="45" ht="22.5" hidden="1" customHeight="1">
      <c r="A45" s="118">
        <v>44.0</v>
      </c>
      <c r="B45" s="119">
        <v>46054.0</v>
      </c>
      <c r="C45" s="118" t="s">
        <v>5973</v>
      </c>
      <c r="D45" s="118" t="str">
        <f>IFERROR(__xludf.DUMMYFUNCTION("IFERROR( INDEX( FILTER( 'NOMBRE DE PRODUCTOS'!B:B, REGEXMATCH( UPPER( INDEX( REPORTE_DROPI!AC:AC, MATCH(T45, REPORTE_DROPI!B:B, 0) ) ), UPPER('NOMBRE DE PRODUCTOS'!A:A) ) ), 1 ), ""REVISAR"" )"),"FilmPro®")</f>
        <v>FilmPro®</v>
      </c>
      <c r="E45" s="120">
        <f t="array" ref="E45">IF(
UPPER(TRIM(CLEAN($O45)))="ENTREGADO",
IFERROR(
INDEX(REPORTE_DROPI!Y:Y,
MATCH($T45, REPORTE_DROPI!B:B, 0)
),
""
),
""
)
</f>
        <v>4.7</v>
      </c>
      <c r="F45" s="121">
        <v>2.0</v>
      </c>
      <c r="G45" s="122">
        <f t="array" ref="G45">IF(
UPPER(TRIM(CLEAN($O45)))="ENTREGADO",
IFERROR(
INDEX(REPORTE_DROPI!R:R,
MATCH($T45, REPORTE_DROPI!B:B, 0)
),
""
),
""
)
</f>
        <v>25</v>
      </c>
      <c r="H45" s="118" t="s">
        <v>3727</v>
      </c>
      <c r="I45" s="118" t="s">
        <v>3728</v>
      </c>
      <c r="J45" s="121">
        <f t="array" ref="J45">IF(
UPPER(TRIM(CLEAN($O45)))="ENTREGADO",
IFERROR(
INDEX(REPORTE_DROPI!T:T,
MATCH($T45, REPORTE_DROPI!B:B, 0)
),
""
),
""
)
</f>
        <v>5.96</v>
      </c>
      <c r="K45" s="118">
        <f t="array" ref="K45">IFERROR(
INDEX(REPORTE_DROPI!S:S,
MATCH($T45, REPORTE_DROPI!B:B, 0)
),
""
)</f>
        <v>14.34</v>
      </c>
      <c r="L45" s="118" t="str">
        <f>IF(
  O45&lt;&gt;"DEVOLUCION",
  "",
  IF(
    T45="",
    "",
    SUMIF(DEVOLUCION!F:F, T45, DEVOLUCION!D:D)
  )
)
</f>
        <v/>
      </c>
      <c r="M45" s="118" t="s">
        <v>5877</v>
      </c>
      <c r="N45" s="130" t="s">
        <v>5974</v>
      </c>
      <c r="O45" s="118" t="str">
        <f t="array" ref="O45">IFERROR(
VLOOKUP(
TRIM(CLEAN(
INDEX(REPORTE_DROPI!K:K,
MATCH(T45, REPORTE_DROPI!B:B, 0)
))),
{
TRIM(CLEAN(MAPA_ESTADOS!A:A)) ,
MAPA_ESTADOS!B:B
},
2,
FALSE
),
"REVISAR"
)</f>
        <v>ENTREGADO</v>
      </c>
      <c r="P45" s="118" t="s">
        <v>5692</v>
      </c>
      <c r="Q45" s="153">
        <f t="shared" si="1"/>
        <v>0</v>
      </c>
      <c r="R45" s="118"/>
      <c r="S45" s="118"/>
      <c r="T45" s="118">
        <f t="array" ref="T45">IFERROR(
INDEX(REPORTE_DROPI!B:B,
MATCH(
CLEAN(TRIM(C45)),
CLEAN(TRIM(REPORTE_DROPI!E:E)),
0
)
),
""
)
</f>
        <v>4353792</v>
      </c>
      <c r="U45" s="118">
        <v>6.468980736044E12</v>
      </c>
      <c r="V45" s="154"/>
      <c r="W45" s="78"/>
      <c r="X45" s="78"/>
      <c r="Y45" s="78"/>
      <c r="Z45" s="78"/>
    </row>
    <row r="46" ht="22.5" hidden="1" customHeight="1">
      <c r="A46" s="118">
        <v>45.0</v>
      </c>
      <c r="B46" s="119">
        <v>46054.0</v>
      </c>
      <c r="C46" s="118" t="s">
        <v>5975</v>
      </c>
      <c r="D46" s="118" t="str">
        <f>IFERROR(__xludf.DUMMYFUNCTION("IFERROR( INDEX( FILTER( 'NOMBRE DE PRODUCTOS'!B:B, REGEXMATCH( UPPER( INDEX( REPORTE_DROPI!AC:AC, MATCH(T46, REPORTE_DROPI!B:B, 0) ) ), UPPER('NOMBRE DE PRODUCTOS'!A:A) ) ), 1 ), ""REVISAR"" )"),"Cuchillo Tazaki™")</f>
        <v>Cuchillo Tazaki™</v>
      </c>
      <c r="E46" s="120">
        <f t="array" ref="E46">IF(
UPPER(TRIM(CLEAN($O46)))="ENTREGADO",
IFERROR(
INDEX(REPORTE_DROPI!Y:Y,
MATCH($T46, REPORTE_DROPI!B:B, 0)
),
""
),
""
)
</f>
        <v>5.2</v>
      </c>
      <c r="F46" s="121">
        <v>2.0</v>
      </c>
      <c r="G46" s="122">
        <f t="array" ref="G46">IF(
UPPER(TRIM(CLEAN($O46)))="ENTREGADO",
IFERROR(
INDEX(REPORTE_DROPI!R:R,
MATCH($T46, REPORTE_DROPI!B:B, 0)
),
""
),
""
)
</f>
        <v>22</v>
      </c>
      <c r="H46" s="118" t="s">
        <v>3727</v>
      </c>
      <c r="I46" s="118" t="s">
        <v>3772</v>
      </c>
      <c r="J46" s="121">
        <f t="array" ref="J46">IF(
UPPER(TRIM(CLEAN($O46)))="ENTREGADO",
IFERROR(
INDEX(REPORTE_DROPI!T:T,
MATCH($T46, REPORTE_DROPI!B:B, 0)
),
""
),
""
)
</f>
        <v>5.84</v>
      </c>
      <c r="K46" s="118">
        <f t="array" ref="K46">IFERROR(
INDEX(REPORTE_DROPI!S:S,
MATCH($T46, REPORTE_DROPI!B:B, 0)
),
""
)</f>
        <v>10.96</v>
      </c>
      <c r="L46" s="118" t="str">
        <f>IF(
  O46&lt;&gt;"DEVOLUCION",
  "",
  IF(
    T46="",
    "",
    SUMIF(DEVOLUCION!F:F, T46, DEVOLUCION!D:D)
  )
)
</f>
        <v/>
      </c>
      <c r="M46" s="118" t="s">
        <v>5877</v>
      </c>
      <c r="N46" s="130" t="s">
        <v>5976</v>
      </c>
      <c r="O46" s="118" t="str">
        <f t="array" ref="O46">IFERROR(
VLOOKUP(
TRIM(CLEAN(
INDEX(REPORTE_DROPI!K:K,
MATCH(T46, REPORTE_DROPI!B:B, 0)
))),
{
TRIM(CLEAN(MAPA_ESTADOS!A:A)) ,
MAPA_ESTADOS!B:B
},
2,
FALSE
),
"REVISAR"
)</f>
        <v>ENTREGADO</v>
      </c>
      <c r="P46" s="118" t="s">
        <v>5692</v>
      </c>
      <c r="Q46" s="153">
        <f t="shared" si="1"/>
        <v>0</v>
      </c>
      <c r="R46" s="118"/>
      <c r="S46" s="118"/>
      <c r="T46" s="118">
        <f t="array" ref="T46">IFERROR(
INDEX(REPORTE_DROPI!B:B,
MATCH(
CLEAN(TRIM(C46)),
CLEAN(TRIM(REPORTE_DROPI!E:E)),
0
)
),
""
)
</f>
        <v>4354082</v>
      </c>
      <c r="U46" s="118">
        <v>6.469075566636E12</v>
      </c>
      <c r="V46" s="154"/>
      <c r="W46" s="78"/>
      <c r="X46" s="78"/>
      <c r="Y46" s="78"/>
      <c r="Z46" s="78"/>
    </row>
    <row r="47" ht="22.5" hidden="1" customHeight="1">
      <c r="A47" s="118">
        <v>46.0</v>
      </c>
      <c r="B47" s="119">
        <v>46054.0</v>
      </c>
      <c r="C47" s="118" t="s">
        <v>5977</v>
      </c>
      <c r="D47" s="118" t="str">
        <f>IFERROR(__xludf.DUMMYFUNCTION("IFERROR( INDEX( FILTER( 'NOMBRE DE PRODUCTOS'!B:B, REGEXMATCH( UPPER( INDEX( REPORTE_DROPI!AC:AC, MATCH(T47, REPORTE_DROPI!B:B, 0) ) ), UPPER('NOMBRE DE PRODUCTOS'!A:A) ) ), 1 ), ""REVISAR"" )"),"Cuchillo Tazaki™")</f>
        <v>Cuchillo Tazaki™</v>
      </c>
      <c r="E47" s="120" t="str">
        <f t="array" ref="E47">IF(
UPPER(TRIM(CLEAN($O47)))="ENTREGADO",
IFERROR(
INDEX(REPORTE_DROPI!Y:Y,
MATCH($T47, REPORTE_DROPI!B:B, 0)
),
""
),
""
)
</f>
        <v/>
      </c>
      <c r="F47" s="121">
        <v>2.0</v>
      </c>
      <c r="G47" s="122" t="str">
        <f t="array" ref="G47">IF(
UPPER(TRIM(CLEAN($O47)))="ENTREGADO",
IFERROR(
INDEX(REPORTE_DROPI!R:R,
MATCH($T47, REPORTE_DROPI!B:B, 0)
),
""
),
""
)
</f>
        <v/>
      </c>
      <c r="H47" s="118" t="s">
        <v>3727</v>
      </c>
      <c r="I47" s="118" t="s">
        <v>3731</v>
      </c>
      <c r="J47" s="121" t="str">
        <f t="array" ref="J47">IF(
UPPER(TRIM(CLEAN($O47)))="ENTREGADO",
IFERROR(
INDEX(REPORTE_DROPI!T:T,
MATCH($T47, REPORTE_DROPI!B:B, 0)
),
""
),
""
)
</f>
        <v/>
      </c>
      <c r="K47" s="118" t="str">
        <f t="array" ref="K47">IFERROR(
INDEX(REPORTE_DROPI!S:S,
MATCH($T47, REPORTE_DROPI!B:B, 0)
),
""
)</f>
        <v/>
      </c>
      <c r="L47" s="118" t="str">
        <f>IF(
  O47&lt;&gt;"DEVOLUCION",
  "",
  IF(
    T47="",
    "",
    SUMIF(DEVOLUCION!F:F, T47, DEVOLUCION!D:D)
  )
)
</f>
        <v/>
      </c>
      <c r="M47" s="118" t="s">
        <v>5877</v>
      </c>
      <c r="N47" s="130" t="s">
        <v>5978</v>
      </c>
      <c r="O47" s="118" t="str">
        <f t="array" ref="O47">IFERROR(
VLOOKUP(
TRIM(CLEAN(
INDEX(REPORTE_DROPI!K:K,
MATCH(T47, REPORTE_DROPI!B:B, 0)
))),
{
TRIM(CLEAN(MAPA_ESTADOS!A:A)) ,
MAPA_ESTADOS!B:B
},
2,
FALSE
),
"REVISAR"
)</f>
        <v>CANCELADO</v>
      </c>
      <c r="P47" s="118" t="s">
        <v>5979</v>
      </c>
      <c r="Q47" s="153">
        <f t="shared" si="1"/>
        <v>0</v>
      </c>
      <c r="R47" s="118"/>
      <c r="S47" s="118"/>
      <c r="T47" s="118">
        <f t="array" ref="T47">IFERROR(
INDEX(REPORTE_DROPI!B:B,
MATCH(
CLEAN(TRIM(C47)),
CLEAN(TRIM(REPORTE_DROPI!E:E)),
0
)
),
""
)
</f>
        <v>4354385</v>
      </c>
      <c r="U47" s="118">
        <v>6.46915938718E12</v>
      </c>
      <c r="V47" s="154"/>
      <c r="W47" s="78"/>
      <c r="X47" s="78"/>
      <c r="Y47" s="78"/>
      <c r="Z47" s="78"/>
    </row>
    <row r="48" ht="22.5" hidden="1" customHeight="1">
      <c r="A48" s="118">
        <v>47.0</v>
      </c>
      <c r="B48" s="119">
        <v>46054.0</v>
      </c>
      <c r="C48" s="118" t="s">
        <v>5980</v>
      </c>
      <c r="D48" s="118" t="str">
        <f>IFERROR(__xludf.DUMMYFUNCTION("IFERROR( INDEX( FILTER( 'NOMBRE DE PRODUCTOS'!B:B, REGEXMATCH( UPPER( INDEX( REPORTE_DROPI!AC:AC, MATCH(T48, REPORTE_DROPI!B:B, 0) ) ), UPPER('NOMBRE DE PRODUCTOS'!A:A) ) ), 1 ), ""REVISAR"" )"),"FilmPro®")</f>
        <v>FilmPro®</v>
      </c>
      <c r="E48" s="120" t="str">
        <f t="array" ref="E48">IF(
UPPER(TRIM(CLEAN($O48)))="ENTREGADO",
IFERROR(
INDEX(REPORTE_DROPI!Y:Y,
MATCH($T48, REPORTE_DROPI!B:B, 0)
),
""
),
""
)
</f>
        <v/>
      </c>
      <c r="F48" s="121">
        <v>2.0</v>
      </c>
      <c r="G48" s="122" t="str">
        <f t="array" ref="G48">IF(
UPPER(TRIM(CLEAN($O48)))="ENTREGADO",
IFERROR(
INDEX(REPORTE_DROPI!R:R,
MATCH($T48, REPORTE_DROPI!B:B, 0)
),
""
),
""
)
</f>
        <v/>
      </c>
      <c r="H48" s="118" t="s">
        <v>3727</v>
      </c>
      <c r="I48" s="118" t="s">
        <v>3804</v>
      </c>
      <c r="J48" s="121" t="str">
        <f t="array" ref="J48">IF(
UPPER(TRIM(CLEAN($O48)))="ENTREGADO",
IFERROR(
INDEX(REPORTE_DROPI!T:T,
MATCH($T48, REPORTE_DROPI!B:B, 0)
),
""
),
""
)
</f>
        <v/>
      </c>
      <c r="K48" s="118" t="str">
        <f t="array" ref="K48">IFERROR(
INDEX(REPORTE_DROPI!S:S,
MATCH($T48, REPORTE_DROPI!B:B, 0)
),
""
)</f>
        <v/>
      </c>
      <c r="L48" s="118">
        <f>IF(
  O48&lt;&gt;"DEVOLUCION",
  "",
  IF(
    T48="",
    "",
    SUMIF(DEVOLUCION!F:F, T48, DEVOLUCION!D:D)
  )
)
</f>
        <v>5.09</v>
      </c>
      <c r="M48" s="118" t="s">
        <v>5877</v>
      </c>
      <c r="N48" s="130" t="s">
        <v>5981</v>
      </c>
      <c r="O48" s="118" t="str">
        <f t="array" ref="O48">IFERROR(
VLOOKUP(
TRIM(CLEAN(
INDEX(REPORTE_DROPI!K:K,
MATCH(T48, REPORTE_DROPI!B:B, 0)
))),
{
TRIM(CLEAN(MAPA_ESTADOS!A:A)) ,
MAPA_ESTADOS!B:B
},
2,
FALSE
),
"REVISAR"
)</f>
        <v>DEVOLUCION</v>
      </c>
      <c r="P48" s="118" t="s">
        <v>5692</v>
      </c>
      <c r="Q48" s="153">
        <f t="shared" si="1"/>
        <v>0</v>
      </c>
      <c r="R48" s="118"/>
      <c r="S48" s="118"/>
      <c r="T48" s="118">
        <f t="array" ref="T48">IFERROR(
INDEX(REPORTE_DROPI!B:B,
MATCH(
CLEAN(TRIM(C48)),
CLEAN(TRIM(REPORTE_DROPI!E:E)),
0
)
),
""
)
</f>
        <v>4355458</v>
      </c>
      <c r="U48" s="118">
        <v>6.46941514142E12</v>
      </c>
      <c r="V48" s="154"/>
      <c r="W48" s="78"/>
      <c r="X48" s="78"/>
      <c r="Y48" s="78"/>
      <c r="Z48" s="78"/>
    </row>
    <row r="49" ht="22.5" hidden="1" customHeight="1">
      <c r="A49" s="118">
        <v>48.0</v>
      </c>
      <c r="B49" s="119">
        <v>46054.0</v>
      </c>
      <c r="C49" s="118" t="s">
        <v>5982</v>
      </c>
      <c r="D49" s="118" t="str">
        <f>IFERROR(__xludf.DUMMYFUNCTION("IFERROR( INDEX( FILTER( 'NOMBRE DE PRODUCTOS'!B:B, REGEXMATCH( UPPER( INDEX( REPORTE_DROPI!AC:AC, MATCH(T49, REPORTE_DROPI!B:B, 0) ) ), UPPER('NOMBRE DE PRODUCTOS'!A:A) ) ), 1 ), ""REVISAR"" )"),"Cuchillo Tazaki™")</f>
        <v>Cuchillo Tazaki™</v>
      </c>
      <c r="E49" s="120">
        <f t="array" ref="E49">IF(
UPPER(TRIM(CLEAN($O49)))="ENTREGADO",
IFERROR(
INDEX(REPORTE_DROPI!Y:Y,
MATCH($T49, REPORTE_DROPI!B:B, 0)
),
""
),
""
)
</f>
        <v>5.2</v>
      </c>
      <c r="F49" s="121">
        <v>2.0</v>
      </c>
      <c r="G49" s="122">
        <f t="array" ref="G49">IF(
UPPER(TRIM(CLEAN($O49)))="ENTREGADO",
IFERROR(
INDEX(REPORTE_DROPI!R:R,
MATCH($T49, REPORTE_DROPI!B:B, 0)
),
""
),
""
)
</f>
        <v>22</v>
      </c>
      <c r="H49" s="118" t="s">
        <v>3727</v>
      </c>
      <c r="I49" s="118" t="s">
        <v>3728</v>
      </c>
      <c r="J49" s="121">
        <f t="array" ref="J49">IF(
UPPER(TRIM(CLEAN($O49)))="ENTREGADO",
IFERROR(
INDEX(REPORTE_DROPI!T:T,
MATCH($T49, REPORTE_DROPI!B:B, 0)
),
""
),
""
)
</f>
        <v>6.41</v>
      </c>
      <c r="K49" s="118">
        <f t="array" ref="K49">IFERROR(
INDEX(REPORTE_DROPI!S:S,
MATCH($T49, REPORTE_DROPI!B:B, 0)
),
""
)</f>
        <v>10.39</v>
      </c>
      <c r="L49" s="118" t="str">
        <f>IF(
  O49&lt;&gt;"DEVOLUCION",
  "",
  IF(
    T49="",
    "",
    SUMIF(DEVOLUCION!F:F, T49, DEVOLUCION!D:D)
  )
)
</f>
        <v/>
      </c>
      <c r="M49" s="118" t="s">
        <v>5877</v>
      </c>
      <c r="N49" s="130" t="s">
        <v>5983</v>
      </c>
      <c r="O49" s="118" t="str">
        <f t="array" ref="O49">IFERROR(
VLOOKUP(
TRIM(CLEAN(
INDEX(REPORTE_DROPI!K:K,
MATCH(T49, REPORTE_DROPI!B:B, 0)
))),
{
TRIM(CLEAN(MAPA_ESTADOS!A:A)) ,
MAPA_ESTADOS!B:B
},
2,
FALSE
),
"REVISAR"
)</f>
        <v>ENTREGADO</v>
      </c>
      <c r="P49" s="118" t="s">
        <v>5984</v>
      </c>
      <c r="Q49" s="153">
        <f t="shared" si="1"/>
        <v>0</v>
      </c>
      <c r="R49" s="118"/>
      <c r="S49" s="118"/>
      <c r="T49" s="118">
        <f t="array" ref="T49">IFERROR(
INDEX(REPORTE_DROPI!B:B,
MATCH(
CLEAN(TRIM(C49)),
CLEAN(TRIM(REPORTE_DROPI!E:E)),
0
)
),
""
)
</f>
        <v>4355512</v>
      </c>
      <c r="U49" s="118"/>
      <c r="V49" s="154"/>
      <c r="W49" s="78"/>
      <c r="X49" s="78"/>
      <c r="Y49" s="78"/>
      <c r="Z49" s="78"/>
    </row>
    <row r="50" ht="22.5" hidden="1" customHeight="1">
      <c r="A50" s="118">
        <v>49.0</v>
      </c>
      <c r="B50" s="119">
        <v>46054.0</v>
      </c>
      <c r="C50" s="118" t="s">
        <v>5985</v>
      </c>
      <c r="D50" s="118" t="str">
        <f>IFERROR(__xludf.DUMMYFUNCTION("IFERROR( INDEX( FILTER( 'NOMBRE DE PRODUCTOS'!B:B, REGEXMATCH( UPPER( INDEX( REPORTE_DROPI!AC:AC, MATCH(T50, REPORTE_DROPI!B:B, 0) ) ), UPPER('NOMBRE DE PRODUCTOS'!A:A) ) ), 1 ), ""REVISAR"" )"),"FilmPro®")</f>
        <v>FilmPro®</v>
      </c>
      <c r="E50" s="120">
        <f t="array" ref="E50">IF(
UPPER(TRIM(CLEAN($O50)))="ENTREGADO",
IFERROR(
INDEX(REPORTE_DROPI!Y:Y,
MATCH($T50, REPORTE_DROPI!B:B, 0)
),
""
),
""
)
</f>
        <v>2.35</v>
      </c>
      <c r="F50" s="121">
        <v>1.0</v>
      </c>
      <c r="G50" s="122">
        <f t="array" ref="G50">IF(
UPPER(TRIM(CLEAN($O50)))="ENTREGADO",
IFERROR(
INDEX(REPORTE_DROPI!R:R,
MATCH($T50, REPORTE_DROPI!B:B, 0)
),
""
),
""
)
</f>
        <v>20</v>
      </c>
      <c r="H50" s="118" t="s">
        <v>3727</v>
      </c>
      <c r="I50" s="118" t="s">
        <v>3770</v>
      </c>
      <c r="J50" s="121">
        <f t="array" ref="J50">IF(
UPPER(TRIM(CLEAN($O50)))="ENTREGADO",
IFERROR(
INDEX(REPORTE_DROPI!T:T,
MATCH($T50, REPORTE_DROPI!B:B, 0)
),
""
),
""
)
</f>
        <v>5.76</v>
      </c>
      <c r="K50" s="118">
        <f t="array" ref="K50">IFERROR(
INDEX(REPORTE_DROPI!S:S,
MATCH($T50, REPORTE_DROPI!B:B, 0)
),
""
)</f>
        <v>11.89</v>
      </c>
      <c r="L50" s="118" t="str">
        <f>IF(
  O50&lt;&gt;"DEVOLUCION",
  "",
  IF(
    T50="",
    "",
    SUMIF(DEVOLUCION!F:F, T50, DEVOLUCION!D:D)
  )
)
</f>
        <v/>
      </c>
      <c r="M50" s="118" t="s">
        <v>5877</v>
      </c>
      <c r="N50" s="130" t="s">
        <v>5986</v>
      </c>
      <c r="O50" s="118" t="str">
        <f t="array" ref="O50">IFERROR(
VLOOKUP(
TRIM(CLEAN(
INDEX(REPORTE_DROPI!K:K,
MATCH(T50, REPORTE_DROPI!B:B, 0)
))),
{
TRIM(CLEAN(MAPA_ESTADOS!A:A)) ,
MAPA_ESTADOS!B:B
},
2,
FALSE
),
"REVISAR"
)</f>
        <v>ENTREGADO</v>
      </c>
      <c r="P50" s="118" t="s">
        <v>5692</v>
      </c>
      <c r="Q50" s="153">
        <f t="shared" si="1"/>
        <v>0</v>
      </c>
      <c r="R50" s="118"/>
      <c r="S50" s="118"/>
      <c r="T50" s="118">
        <f t="array" ref="T50">IFERROR(
INDEX(REPORTE_DROPI!B:B,
MATCH(
CLEAN(TRIM(C50)),
CLEAN(TRIM(REPORTE_DROPI!E:E)),
0
)
),
""
)
</f>
        <v>4356007</v>
      </c>
      <c r="U50" s="118">
        <v>6.469516492844E12</v>
      </c>
      <c r="V50" s="154"/>
      <c r="W50" s="78"/>
      <c r="X50" s="78"/>
      <c r="Y50" s="78"/>
      <c r="Z50" s="78"/>
    </row>
    <row r="51" ht="22.5" hidden="1" customHeight="1">
      <c r="A51" s="118">
        <v>50.0</v>
      </c>
      <c r="B51" s="119">
        <v>46054.0</v>
      </c>
      <c r="C51" s="118" t="s">
        <v>5987</v>
      </c>
      <c r="D51" s="118" t="str">
        <f>IFERROR(__xludf.DUMMYFUNCTION("IFERROR( INDEX( FILTER( 'NOMBRE DE PRODUCTOS'!B:B, REGEXMATCH( UPPER( INDEX( REPORTE_DROPI!AC:AC, MATCH(T51, REPORTE_DROPI!B:B, 0) ) ), UPPER('NOMBRE DE PRODUCTOS'!A:A) ) ), 1 ), ""REVISAR"" )"),"FilmPro®")</f>
        <v>FilmPro®</v>
      </c>
      <c r="E51" s="120">
        <f t="array" ref="E51">IF(
UPPER(TRIM(CLEAN($O51)))="ENTREGADO",
IFERROR(
INDEX(REPORTE_DROPI!Y:Y,
MATCH($T51, REPORTE_DROPI!B:B, 0)
),
""
),
""
)
</f>
        <v>4.7</v>
      </c>
      <c r="F51" s="121">
        <v>2.0</v>
      </c>
      <c r="G51" s="122">
        <f t="array" ref="G51">IF(
UPPER(TRIM(CLEAN($O51)))="ENTREGADO",
IFERROR(
INDEX(REPORTE_DROPI!R:R,
MATCH($T51, REPORTE_DROPI!B:B, 0)
),
""
),
""
)
</f>
        <v>25</v>
      </c>
      <c r="H51" s="118" t="s">
        <v>3727</v>
      </c>
      <c r="I51" s="118" t="s">
        <v>3772</v>
      </c>
      <c r="J51" s="121">
        <f t="array" ref="J51">IF(
UPPER(TRIM(CLEAN($O51)))="ENTREGADO",
IFERROR(
INDEX(REPORTE_DROPI!T:T,
MATCH($T51, REPORTE_DROPI!B:B, 0)
),
""
),
""
)
</f>
        <v>5.96</v>
      </c>
      <c r="K51" s="118">
        <f t="array" ref="K51">IFERROR(
INDEX(REPORTE_DROPI!S:S,
MATCH($T51, REPORTE_DROPI!B:B, 0)
),
""
)</f>
        <v>14.34</v>
      </c>
      <c r="L51" s="118" t="str">
        <f>IF(
  O51&lt;&gt;"DEVOLUCION",
  "",
  IF(
    T51="",
    "",
    SUMIF(DEVOLUCION!F:F, T51, DEVOLUCION!D:D)
  )
)
</f>
        <v/>
      </c>
      <c r="M51" s="118" t="s">
        <v>5877</v>
      </c>
      <c r="N51" s="130" t="s">
        <v>5988</v>
      </c>
      <c r="O51" s="118" t="str">
        <f t="array" ref="O51">IFERROR(
VLOOKUP(
TRIM(CLEAN(
INDEX(REPORTE_DROPI!K:K,
MATCH(T51, REPORTE_DROPI!B:B, 0)
))),
{
TRIM(CLEAN(MAPA_ESTADOS!A:A)) ,
MAPA_ESTADOS!B:B
},
2,
FALSE
),
"REVISAR"
)</f>
        <v>ENTREGADO</v>
      </c>
      <c r="P51" s="118" t="s">
        <v>5692</v>
      </c>
      <c r="Q51" s="153">
        <f t="shared" si="1"/>
        <v>0</v>
      </c>
      <c r="R51" s="118"/>
      <c r="S51" s="118"/>
      <c r="T51" s="118">
        <f t="array" ref="T51">IFERROR(
INDEX(REPORTE_DROPI!B:B,
MATCH(
CLEAN(TRIM(C51)),
CLEAN(TRIM(REPORTE_DROPI!E:E)),
0
)
),
""
)
</f>
        <v>4356183</v>
      </c>
      <c r="U51" s="118">
        <v>6.469550440492E12</v>
      </c>
      <c r="V51" s="154"/>
      <c r="W51" s="78"/>
      <c r="X51" s="78"/>
      <c r="Y51" s="78"/>
      <c r="Z51" s="78"/>
    </row>
    <row r="52" ht="22.5" hidden="1" customHeight="1">
      <c r="A52" s="118">
        <v>51.0</v>
      </c>
      <c r="B52" s="119">
        <v>46054.0</v>
      </c>
      <c r="C52" s="118" t="s">
        <v>5989</v>
      </c>
      <c r="D52" s="118" t="str">
        <f>IFERROR(__xludf.DUMMYFUNCTION("IFERROR( INDEX( FILTER( 'NOMBRE DE PRODUCTOS'!B:B, REGEXMATCH( UPPER( INDEX( REPORTE_DROPI!AC:AC, MATCH(T52, REPORTE_DROPI!B:B, 0) ) ), UPPER('NOMBRE DE PRODUCTOS'!A:A) ) ), 1 ), ""REVISAR"" )"),"Llave Multifuncional 360™")</f>
        <v>Llave Multifuncional 360™</v>
      </c>
      <c r="E52" s="120" t="str">
        <f t="array" ref="E52">IF(
UPPER(TRIM(CLEAN($O52)))="ENTREGADO",
IFERROR(
INDEX(REPORTE_DROPI!Y:Y,
MATCH($T52, REPORTE_DROPI!B:B, 0)
),
""
),
""
)
</f>
        <v/>
      </c>
      <c r="F52" s="121">
        <v>1.0</v>
      </c>
      <c r="G52" s="122" t="str">
        <f t="array" ref="G52">IF(
UPPER(TRIM(CLEAN($O52)))="ENTREGADO",
IFERROR(
INDEX(REPORTE_DROPI!R:R,
MATCH($T52, REPORTE_DROPI!B:B, 0)
),
""
),
""
)
</f>
        <v/>
      </c>
      <c r="H52" s="118" t="s">
        <v>3727</v>
      </c>
      <c r="I52" s="118" t="s">
        <v>3979</v>
      </c>
      <c r="J52" s="121" t="str">
        <f t="array" ref="J52">IF(
UPPER(TRIM(CLEAN($O52)))="ENTREGADO",
IFERROR(
INDEX(REPORTE_DROPI!T:T,
MATCH($T52, REPORTE_DROPI!B:B, 0)
),
""
),
""
)
</f>
        <v/>
      </c>
      <c r="K52" s="118" t="str">
        <f t="array" ref="K52">IFERROR(
INDEX(REPORTE_DROPI!S:S,
MATCH($T52, REPORTE_DROPI!B:B, 0)
),
""
)</f>
        <v/>
      </c>
      <c r="L52" s="118" t="str">
        <f>IF(
  O52&lt;&gt;"DEVOLUCION",
  "",
  IF(
    T52="",
    "",
    SUMIF(DEVOLUCION!F:F, T52, DEVOLUCION!D:D)
  )
)
</f>
        <v/>
      </c>
      <c r="M52" s="118" t="s">
        <v>5877</v>
      </c>
      <c r="N52" s="130" t="s">
        <v>5990</v>
      </c>
      <c r="O52" s="118" t="str">
        <f t="array" ref="O52">IFERROR(
VLOOKUP(
TRIM(CLEAN(
INDEX(REPORTE_DROPI!K:K,
MATCH(T52, REPORTE_DROPI!B:B, 0)
))),
{
TRIM(CLEAN(MAPA_ESTADOS!A:A)) ,
MAPA_ESTADOS!B:B
},
2,
FALSE
),
"REVISAR"
)</f>
        <v>PENDIENTE</v>
      </c>
      <c r="P52" s="118" t="s">
        <v>5991</v>
      </c>
      <c r="Q52" s="153">
        <f t="shared" si="1"/>
        <v>0</v>
      </c>
      <c r="R52" s="118"/>
      <c r="S52" s="118"/>
      <c r="T52" s="118">
        <f t="array" ref="T52">IFERROR(
INDEX(REPORTE_DROPI!B:B,
MATCH(
CLEAN(TRIM(C52)),
CLEAN(TRIM(REPORTE_DROPI!E:E)),
0
)
),
""
)
</f>
        <v>4356452</v>
      </c>
      <c r="U52" s="118">
        <v>6.469599199276E12</v>
      </c>
      <c r="V52" s="154"/>
      <c r="W52" s="78"/>
      <c r="X52" s="78"/>
      <c r="Y52" s="78"/>
      <c r="Z52" s="78"/>
    </row>
    <row r="53" ht="22.5" hidden="1" customHeight="1">
      <c r="A53" s="118">
        <v>52.0</v>
      </c>
      <c r="B53" s="119">
        <v>46054.0</v>
      </c>
      <c r="C53" s="118" t="s">
        <v>5992</v>
      </c>
      <c r="D53" s="118" t="str">
        <f>IFERROR(__xludf.DUMMYFUNCTION("IFERROR( INDEX( FILTER( 'NOMBRE DE PRODUCTOS'!B:B, REGEXMATCH( UPPER( INDEX( REPORTE_DROPI!AC:AC, MATCH(T53, REPORTE_DROPI!B:B, 0) ) ), UPPER('NOMBRE DE PRODUCTOS'!A:A) ) ), 1 ), ""REVISAR"" )"),"FilmPro®")</f>
        <v>FilmPro®</v>
      </c>
      <c r="E53" s="120" t="str">
        <f t="array" ref="E53">IF(
UPPER(TRIM(CLEAN($O53)))="ENTREGADO",
IFERROR(
INDEX(REPORTE_DROPI!Y:Y,
MATCH($T53, REPORTE_DROPI!B:B, 0)
),
""
),
""
)
</f>
        <v/>
      </c>
      <c r="F53" s="121">
        <v>3.0</v>
      </c>
      <c r="G53" s="122" t="str">
        <f t="array" ref="G53">IF(
UPPER(TRIM(CLEAN($O53)))="ENTREGADO",
IFERROR(
INDEX(REPORTE_DROPI!R:R,
MATCH($T53, REPORTE_DROPI!B:B, 0)
),
""
),
""
)
</f>
        <v/>
      </c>
      <c r="H53" s="118" t="s">
        <v>3727</v>
      </c>
      <c r="I53" s="118" t="s">
        <v>3731</v>
      </c>
      <c r="J53" s="121" t="str">
        <f t="array" ref="J53">IF(
UPPER(TRIM(CLEAN($O53)))="ENTREGADO",
IFERROR(
INDEX(REPORTE_DROPI!T:T,
MATCH($T53, REPORTE_DROPI!B:B, 0)
),
""
),
""
)
</f>
        <v/>
      </c>
      <c r="K53" s="118" t="str">
        <f t="array" ref="K53">IFERROR(
INDEX(REPORTE_DROPI!S:S,
MATCH($T53, REPORTE_DROPI!B:B, 0)
),
""
)</f>
        <v/>
      </c>
      <c r="L53" s="118" t="str">
        <f>IF(
  O53&lt;&gt;"DEVOLUCION",
  "",
  IF(
    T53="",
    "",
    SUMIF(DEVOLUCION!F:F, T53, DEVOLUCION!D:D)
  )
)
</f>
        <v/>
      </c>
      <c r="M53" s="118" t="s">
        <v>5877</v>
      </c>
      <c r="N53" s="130" t="s">
        <v>5993</v>
      </c>
      <c r="O53" s="118" t="str">
        <f t="array" ref="O53">IFERROR(
VLOOKUP(
TRIM(CLEAN(
INDEX(REPORTE_DROPI!K:K,
MATCH(T53, REPORTE_DROPI!B:B, 0)
))),
{
TRIM(CLEAN(MAPA_ESTADOS!A:A)) ,
MAPA_ESTADOS!B:B
},
2,
FALSE
),
"REVISAR"
)</f>
        <v>PENDIENTE</v>
      </c>
      <c r="P53" s="118" t="s">
        <v>5994</v>
      </c>
      <c r="Q53" s="153">
        <f t="shared" si="1"/>
        <v>0</v>
      </c>
      <c r="R53" s="118"/>
      <c r="S53" s="118"/>
      <c r="T53" s="118">
        <f t="array" ref="T53">IFERROR(
INDEX(REPORTE_DROPI!B:B,
MATCH(
CLEAN(TRIM(C53)),
CLEAN(TRIM(REPORTE_DROPI!E:E)),
0
)
),
""
)
</f>
        <v>4356619</v>
      </c>
      <c r="U53" s="118">
        <v>6.469630328876E12</v>
      </c>
      <c r="V53" s="154"/>
      <c r="W53" s="78"/>
      <c r="X53" s="78"/>
      <c r="Y53" s="78"/>
      <c r="Z53" s="78"/>
    </row>
    <row r="54" ht="22.5" hidden="1" customHeight="1">
      <c r="A54" s="118">
        <v>53.0</v>
      </c>
      <c r="B54" s="119">
        <v>46054.0</v>
      </c>
      <c r="C54" s="118" t="s">
        <v>5995</v>
      </c>
      <c r="D54" s="118" t="str">
        <f>IFERROR(__xludf.DUMMYFUNCTION("IFERROR( INDEX( FILTER( 'NOMBRE DE PRODUCTOS'!B:B, REGEXMATCH( UPPER( INDEX( REPORTE_DROPI!AC:AC, MATCH(T54, REPORTE_DROPI!B:B, 0) ) ), UPPER('NOMBRE DE PRODUCTOS'!A:A) ) ), 1 ), ""REVISAR"" )"),"FilmPro®")</f>
        <v>FilmPro®</v>
      </c>
      <c r="E54" s="120" t="str">
        <f t="array" ref="E54">IF(
UPPER(TRIM(CLEAN($O54)))="ENTREGADO",
IFERROR(
INDEX(REPORTE_DROPI!Y:Y,
MATCH($T54, REPORTE_DROPI!B:B, 0)
),
""
),
""
)
</f>
        <v/>
      </c>
      <c r="F54" s="121">
        <v>2.0</v>
      </c>
      <c r="G54" s="122" t="str">
        <f t="array" ref="G54">IF(
UPPER(TRIM(CLEAN($O54)))="ENTREGADO",
IFERROR(
INDEX(REPORTE_DROPI!R:R,
MATCH($T54, REPORTE_DROPI!B:B, 0)
),
""
),
""
)
</f>
        <v/>
      </c>
      <c r="H54" s="118" t="s">
        <v>3727</v>
      </c>
      <c r="I54" s="118" t="s">
        <v>3731</v>
      </c>
      <c r="J54" s="121" t="str">
        <f t="array" ref="J54">IF(
UPPER(TRIM(CLEAN($O54)))="ENTREGADO",
IFERROR(
INDEX(REPORTE_DROPI!T:T,
MATCH($T54, REPORTE_DROPI!B:B, 0)
),
""
),
""
)
</f>
        <v/>
      </c>
      <c r="K54" s="118" t="str">
        <f t="array" ref="K54">IFERROR(
INDEX(REPORTE_DROPI!S:S,
MATCH($T54, REPORTE_DROPI!B:B, 0)
),
""
)</f>
        <v/>
      </c>
      <c r="L54" s="118" t="str">
        <f>IF(
  O54&lt;&gt;"DEVOLUCION",
  "",
  IF(
    T54="",
    "",
    SUMIF(DEVOLUCION!F:F, T54, DEVOLUCION!D:D)
  )
)
</f>
        <v/>
      </c>
      <c r="M54" s="118" t="s">
        <v>5877</v>
      </c>
      <c r="N54" s="130" t="s">
        <v>5996</v>
      </c>
      <c r="O54" s="118" t="str">
        <f t="array" ref="O54">IFERROR(
VLOOKUP(
TRIM(CLEAN(
INDEX(REPORTE_DROPI!K:K,
MATCH(T54, REPORTE_DROPI!B:B, 0)
))),
{
TRIM(CLEAN(MAPA_ESTADOS!A:A)) ,
MAPA_ESTADOS!B:B
},
2,
FALSE
),
"REVISAR"
)</f>
        <v>NOVEDAD</v>
      </c>
      <c r="P54" s="118" t="s">
        <v>5692</v>
      </c>
      <c r="Q54" s="153">
        <f t="shared" si="1"/>
        <v>0</v>
      </c>
      <c r="R54" s="118"/>
      <c r="S54" s="118"/>
      <c r="T54" s="118">
        <f t="array" ref="T54">IFERROR(
INDEX(REPORTE_DROPI!B:B,
MATCH(
CLEAN(TRIM(C54)),
CLEAN(TRIM(REPORTE_DROPI!E:E)),
0
)
),
""
)
</f>
        <v>4356627</v>
      </c>
      <c r="U54" s="118">
        <v>6.469631803436E12</v>
      </c>
      <c r="V54" s="154"/>
      <c r="W54" s="78"/>
      <c r="X54" s="78"/>
      <c r="Y54" s="78"/>
      <c r="Z54" s="78"/>
    </row>
    <row r="55" ht="22.5" hidden="1" customHeight="1">
      <c r="A55" s="155">
        <v>54.0</v>
      </c>
      <c r="B55" s="119">
        <v>46054.0</v>
      </c>
      <c r="C55" s="118" t="s">
        <v>5997</v>
      </c>
      <c r="D55" s="118" t="str">
        <f>IFERROR(__xludf.DUMMYFUNCTION("IFERROR( INDEX( FILTER( 'NOMBRE DE PRODUCTOS'!B:B, REGEXMATCH( UPPER( INDEX( REPORTE_DROPI!AC:AC, MATCH(T55, REPORTE_DROPI!B:B, 0) ) ), UPPER('NOMBRE DE PRODUCTOS'!A:A) ) ), 1 ), ""REVISAR"" )"),"FilmPro®")</f>
        <v>FilmPro®</v>
      </c>
      <c r="E55" s="120">
        <f t="array" ref="E55">IF(
UPPER(TRIM(CLEAN($O55)))="ENTREGADO",
IFERROR(
INDEX(REPORTE_DROPI!Y:Y,
MATCH($T55, REPORTE_DROPI!B:B, 0)
),
""
),
""
)
</f>
        <v>7.05</v>
      </c>
      <c r="F55" s="156">
        <v>3.0</v>
      </c>
      <c r="G55" s="122">
        <f t="array" ref="G55">IF(
UPPER(TRIM(CLEAN($O55)))="ENTREGADO",
IFERROR(
INDEX(REPORTE_DROPI!R:R,
MATCH($T55, REPORTE_DROPI!B:B, 0)
),
""
),
""
)
</f>
        <v>30</v>
      </c>
      <c r="H55" s="118" t="s">
        <v>3727</v>
      </c>
      <c r="I55" s="118" t="s">
        <v>3731</v>
      </c>
      <c r="J55" s="121">
        <f t="array" ref="J55">IF(
UPPER(TRIM(CLEAN($O55)))="ENTREGADO",
IFERROR(
INDEX(REPORTE_DROPI!T:T,
MATCH($T55, REPORTE_DROPI!B:B, 0)
),
""
),
""
)
</f>
        <v>4.55</v>
      </c>
      <c r="K55" s="118">
        <f t="array" ref="K55">IFERROR(
INDEX(REPORTE_DROPI!S:S,
MATCH($T55, REPORTE_DROPI!B:B, 0)
),
""
)</f>
        <v>18.4</v>
      </c>
      <c r="L55" s="118" t="str">
        <f>IF(
  O55&lt;&gt;"DEVOLUCION",
  "",
  IF(
    T55="",
    "",
    SUMIF(DEVOLUCION!F:F, T55, DEVOLUCION!D:D)
  )
)
</f>
        <v/>
      </c>
      <c r="M55" s="118" t="s">
        <v>5877</v>
      </c>
      <c r="N55" s="130" t="s">
        <v>5998</v>
      </c>
      <c r="O55" s="118" t="str">
        <f t="array" ref="O55">IFERROR(
VLOOKUP(
TRIM(CLEAN(
INDEX(REPORTE_DROPI!K:K,
MATCH(T55, REPORTE_DROPI!B:B, 0)
))),
{
TRIM(CLEAN(MAPA_ESTADOS!A:A)) ,
MAPA_ESTADOS!B:B
},
2,
FALSE
),
"REVISAR"
)</f>
        <v>ENTREGADO</v>
      </c>
      <c r="P55" s="118" t="s">
        <v>5692</v>
      </c>
      <c r="Q55" s="153">
        <f t="shared" si="1"/>
        <v>0</v>
      </c>
      <c r="R55" s="157"/>
      <c r="S55" s="157"/>
      <c r="T55" s="118">
        <f t="array" ref="T55">IFERROR(
INDEX(REPORTE_DROPI!B:B,
MATCH(
CLEAN(TRIM(C55)),
CLEAN(TRIM(REPORTE_DROPI!E:E)),
0
)
),
""
)
</f>
        <v>4357086</v>
      </c>
      <c r="U55" s="158"/>
      <c r="V55" s="159"/>
    </row>
    <row r="56" ht="22.5" hidden="1" customHeight="1">
      <c r="A56" s="155">
        <v>55.0</v>
      </c>
      <c r="B56" s="119">
        <v>46054.0</v>
      </c>
      <c r="C56" s="118" t="s">
        <v>5999</v>
      </c>
      <c r="D56" s="118" t="str">
        <f>IFERROR(__xludf.DUMMYFUNCTION("IFERROR( INDEX( FILTER( 'NOMBRE DE PRODUCTOS'!B:B, REGEXMATCH( UPPER( INDEX( REPORTE_DROPI!AC:AC, MATCH(T56, REPORTE_DROPI!B:B, 0) ) ), UPPER('NOMBRE DE PRODUCTOS'!A:A) ) ), 1 ), ""REVISAR"" )"),"Cuchillo Tazaki™")</f>
        <v>Cuchillo Tazaki™</v>
      </c>
      <c r="E56" s="120" t="str">
        <f t="array" ref="E56">IF(
UPPER(TRIM(CLEAN($O56)))="ENTREGADO",
IFERROR(
INDEX(REPORTE_DROPI!Y:Y,
MATCH($T56, REPORTE_DROPI!B:B, 0)
),
""
),
""
)
</f>
        <v/>
      </c>
      <c r="F56" s="156">
        <v>2.0</v>
      </c>
      <c r="G56" s="122" t="str">
        <f t="array" ref="G56">IF(
UPPER(TRIM(CLEAN($O56)))="ENTREGADO",
IFERROR(
INDEX(REPORTE_DROPI!R:R,
MATCH($T56, REPORTE_DROPI!B:B, 0)
),
""
),
""
)
</f>
        <v/>
      </c>
      <c r="H56" s="118" t="s">
        <v>3727</v>
      </c>
      <c r="I56" s="118" t="s">
        <v>3804</v>
      </c>
      <c r="J56" s="121" t="str">
        <f t="array" ref="J56">IF(
UPPER(TRIM(CLEAN($O56)))="ENTREGADO",
IFERROR(
INDEX(REPORTE_DROPI!T:T,
MATCH($T56, REPORTE_DROPI!B:B, 0)
),
""
),
""
)
</f>
        <v/>
      </c>
      <c r="K56" s="118" t="str">
        <f t="array" ref="K56">IFERROR(
INDEX(REPORTE_DROPI!S:S,
MATCH($T56, REPORTE_DROPI!B:B, 0)
),
""
)</f>
        <v/>
      </c>
      <c r="L56" s="118" t="str">
        <f>IF(
  O56&lt;&gt;"DEVOLUCION",
  "",
  IF(
    T56="",
    "",
    SUMIF(DEVOLUCION!F:F, T56, DEVOLUCION!D:D)
  )
)
</f>
        <v/>
      </c>
      <c r="M56" s="118" t="s">
        <v>5877</v>
      </c>
      <c r="N56" s="130" t="s">
        <v>6000</v>
      </c>
      <c r="O56" s="118" t="str">
        <f t="array" ref="O56">IFERROR(
VLOOKUP(
TRIM(CLEAN(
INDEX(REPORTE_DROPI!K:K,
MATCH(T56, REPORTE_DROPI!B:B, 0)
))),
{
TRIM(CLEAN(MAPA_ESTADOS!A:A)) ,
MAPA_ESTADOS!B:B
},
2,
FALSE
),
"REVISAR"
)</f>
        <v>CANCELADO</v>
      </c>
      <c r="P56" s="118" t="s">
        <v>6001</v>
      </c>
      <c r="Q56" s="153">
        <f t="shared" si="1"/>
        <v>0</v>
      </c>
      <c r="R56" s="157"/>
      <c r="S56" s="157"/>
      <c r="T56" s="118">
        <f t="array" ref="T56">IFERROR(
INDEX(REPORTE_DROPI!B:B,
MATCH(
CLEAN(TRIM(C56)),
CLEAN(TRIM(REPORTE_DROPI!E:E)),
0
)
),
""
)
</f>
        <v>4357121</v>
      </c>
      <c r="U56" s="158"/>
      <c r="V56" s="159"/>
    </row>
    <row r="57" ht="22.5" hidden="1" customHeight="1">
      <c r="A57" s="155">
        <v>56.0</v>
      </c>
      <c r="B57" s="119">
        <v>46054.0</v>
      </c>
      <c r="C57" s="118" t="s">
        <v>6002</v>
      </c>
      <c r="D57" s="118" t="str">
        <f>IFERROR(__xludf.DUMMYFUNCTION("IFERROR( INDEX( FILTER( 'NOMBRE DE PRODUCTOS'!B:B, REGEXMATCH( UPPER( INDEX( REPORTE_DROPI!AC:AC, MATCH(T57, REPORTE_DROPI!B:B, 0) ) ), UPPER('NOMBRE DE PRODUCTOS'!A:A) ) ), 1 ), ""REVISAR"" )"),"Llave Multifuncional 360™")</f>
        <v>Llave Multifuncional 360™</v>
      </c>
      <c r="E57" s="120" t="str">
        <f t="array" ref="E57">IF(
UPPER(TRIM(CLEAN($O57)))="ENTREGADO",
IFERROR(
INDEX(REPORTE_DROPI!Y:Y,
MATCH($T57, REPORTE_DROPI!B:B, 0)
),
""
),
""
)
</f>
        <v/>
      </c>
      <c r="F57" s="156">
        <v>1.0</v>
      </c>
      <c r="G57" s="122" t="str">
        <f t="array" ref="G57">IF(
UPPER(TRIM(CLEAN($O57)))="ENTREGADO",
IFERROR(
INDEX(REPORTE_DROPI!R:R,
MATCH($T57, REPORTE_DROPI!B:B, 0)
),
""
),
""
)
</f>
        <v/>
      </c>
      <c r="H57" s="118" t="s">
        <v>3727</v>
      </c>
      <c r="I57" s="118" t="s">
        <v>3801</v>
      </c>
      <c r="J57" s="121" t="str">
        <f t="array" ref="J57">IF(
UPPER(TRIM(CLEAN($O57)))="ENTREGADO",
IFERROR(
INDEX(REPORTE_DROPI!T:T,
MATCH($T57, REPORTE_DROPI!B:B, 0)
),
""
),
""
)
</f>
        <v/>
      </c>
      <c r="K57" s="118" t="str">
        <f t="array" ref="K57">IFERROR(
INDEX(REPORTE_DROPI!S:S,
MATCH($T57, REPORTE_DROPI!B:B, 0)
),
""
)</f>
        <v/>
      </c>
      <c r="L57" s="118">
        <f>IF(
  O57&lt;&gt;"DEVOLUCION",
  "",
  IF(
    T57="",
    "",
    SUMIF(DEVOLUCION!F:F, T57, DEVOLUCION!D:D)
  )
)
</f>
        <v>5.06</v>
      </c>
      <c r="M57" s="118" t="s">
        <v>5877</v>
      </c>
      <c r="N57" s="130" t="s">
        <v>6003</v>
      </c>
      <c r="O57" s="118" t="str">
        <f t="array" ref="O57">IFERROR(
VLOOKUP(
TRIM(CLEAN(
INDEX(REPORTE_DROPI!K:K,
MATCH(T57, REPORTE_DROPI!B:B, 0)
))),
{
TRIM(CLEAN(MAPA_ESTADOS!A:A)) ,
MAPA_ESTADOS!B:B
},
2,
FALSE
),
"REVISAR"
)</f>
        <v>DEVOLUCION</v>
      </c>
      <c r="P57" s="118" t="s">
        <v>5692</v>
      </c>
      <c r="Q57" s="153">
        <f t="shared" si="1"/>
        <v>0</v>
      </c>
      <c r="R57" s="160" t="s">
        <v>3675</v>
      </c>
      <c r="S57" s="160">
        <v>1.0</v>
      </c>
      <c r="T57" s="118">
        <f t="array" ref="T57">IFERROR(
INDEX(REPORTE_DROPI!B:B,
MATCH(
CLEAN(TRIM(C57)),
CLEAN(TRIM(REPORTE_DROPI!E:E)),
0
)
),
""
)
</f>
        <v>4357229</v>
      </c>
      <c r="U57" s="158"/>
      <c r="V57" s="159"/>
    </row>
    <row r="58" ht="22.5" hidden="1" customHeight="1">
      <c r="A58" s="155">
        <v>57.0</v>
      </c>
      <c r="B58" s="119">
        <v>46054.0</v>
      </c>
      <c r="C58" s="118" t="s">
        <v>6004</v>
      </c>
      <c r="D58" s="118" t="str">
        <f>IFERROR(__xludf.DUMMYFUNCTION("IFERROR( INDEX( FILTER( 'NOMBRE DE PRODUCTOS'!B:B, REGEXMATCH( UPPER( INDEX( REPORTE_DROPI!AC:AC, MATCH(T58, REPORTE_DROPI!B:B, 0) ) ), UPPER('NOMBRE DE PRODUCTOS'!A:A) ) ), 1 ), ""REVISAR"" )"),"FilmPro®")</f>
        <v>FilmPro®</v>
      </c>
      <c r="E58" s="120">
        <f t="array" ref="E58">IF(
UPPER(TRIM(CLEAN($O58)))="ENTREGADO",
IFERROR(
INDEX(REPORTE_DROPI!Y:Y,
MATCH($T58, REPORTE_DROPI!B:B, 0)
),
""
),
""
)
</f>
        <v>2.35</v>
      </c>
      <c r="F58" s="156">
        <v>1.0</v>
      </c>
      <c r="G58" s="122">
        <f t="array" ref="G58">IF(
UPPER(TRIM(CLEAN($O58)))="ENTREGADO",
IFERROR(
INDEX(REPORTE_DROPI!R:R,
MATCH($T58, REPORTE_DROPI!B:B, 0)
),
""
),
""
)
</f>
        <v>20</v>
      </c>
      <c r="H58" s="118" t="s">
        <v>3727</v>
      </c>
      <c r="I58" s="118" t="s">
        <v>3731</v>
      </c>
      <c r="J58" s="121">
        <f t="array" ref="J58">IF(
UPPER(TRIM(CLEAN($O58)))="ENTREGADO",
IFERROR(
INDEX(REPORTE_DROPI!T:T,
MATCH($T58, REPORTE_DROPI!B:B, 0)
),
""
),
""
)
</f>
        <v>4.15</v>
      </c>
      <c r="K58" s="118">
        <f t="array" ref="K58">IFERROR(
INDEX(REPORTE_DROPI!S:S,
MATCH($T58, REPORTE_DROPI!B:B, 0)
),
""
)</f>
        <v>13.5</v>
      </c>
      <c r="L58" s="118" t="str">
        <f>IF(
  O58&lt;&gt;"DEVOLUCION",
  "",
  IF(
    T58="",
    "",
    SUMIF(DEVOLUCION!F:F, T58, DEVOLUCION!D:D)
  )
)
</f>
        <v/>
      </c>
      <c r="M58" s="118" t="s">
        <v>5877</v>
      </c>
      <c r="N58" s="130" t="s">
        <v>6005</v>
      </c>
      <c r="O58" s="118" t="str">
        <f t="array" ref="O58">IFERROR(
VLOOKUP(
TRIM(CLEAN(
INDEX(REPORTE_DROPI!K:K,
MATCH(T58, REPORTE_DROPI!B:B, 0)
))),
{
TRIM(CLEAN(MAPA_ESTADOS!A:A)) ,
MAPA_ESTADOS!B:B
},
2,
FALSE
),
"REVISAR"
)</f>
        <v>ENTREGADO</v>
      </c>
      <c r="P58" s="118" t="s">
        <v>5692</v>
      </c>
      <c r="Q58" s="153">
        <f t="shared" si="1"/>
        <v>0</v>
      </c>
      <c r="R58" s="157"/>
      <c r="S58" s="157"/>
      <c r="T58" s="118">
        <f t="array" ref="T58">IFERROR(
INDEX(REPORTE_DROPI!B:B,
MATCH(
CLEAN(TRIM(C58)),
CLEAN(TRIM(REPORTE_DROPI!E:E)),
0
)
),
""
)
</f>
        <v>4357562</v>
      </c>
      <c r="U58" s="158"/>
      <c r="V58" s="159"/>
    </row>
    <row r="59" ht="22.5" hidden="1" customHeight="1">
      <c r="A59" s="155">
        <v>58.0</v>
      </c>
      <c r="B59" s="119">
        <v>46054.0</v>
      </c>
      <c r="C59" s="118" t="s">
        <v>6006</v>
      </c>
      <c r="D59" s="118" t="str">
        <f>IFERROR(__xludf.DUMMYFUNCTION("IFERROR( INDEX( FILTER( 'NOMBRE DE PRODUCTOS'!B:B, REGEXMATCH( UPPER( INDEX( REPORTE_DROPI!AC:AC, MATCH(T59, REPORTE_DROPI!B:B, 0) ) ), UPPER('NOMBRE DE PRODUCTOS'!A:A) ) ), 1 ), ""REVISAR"" )"),"FilmPro®")</f>
        <v>FilmPro®</v>
      </c>
      <c r="E59" s="120">
        <f t="array" ref="E59">IF(
UPPER(TRIM(CLEAN($O59)))="ENTREGADO",
IFERROR(
INDEX(REPORTE_DROPI!Y:Y,
MATCH($T59, REPORTE_DROPI!B:B, 0)
),
""
),
""
)
</f>
        <v>2.35</v>
      </c>
      <c r="F59" s="156">
        <v>2.0</v>
      </c>
      <c r="G59" s="122">
        <f t="array" ref="G59">IF(
UPPER(TRIM(CLEAN($O59)))="ENTREGADO",
IFERROR(
INDEX(REPORTE_DROPI!R:R,
MATCH($T59, REPORTE_DROPI!B:B, 0)
),
""
),
""
)
</f>
        <v>20</v>
      </c>
      <c r="H59" s="118" t="s">
        <v>3727</v>
      </c>
      <c r="I59" s="118" t="s">
        <v>3738</v>
      </c>
      <c r="J59" s="121">
        <f t="array" ref="J59">IF(
UPPER(TRIM(CLEAN($O59)))="ENTREGADO",
IFERROR(
INDEX(REPORTE_DROPI!T:T,
MATCH($T59, REPORTE_DROPI!B:B, 0)
),
""
),
""
)
</f>
        <v>5.76</v>
      </c>
      <c r="K59" s="118">
        <f t="array" ref="K59">IFERROR(
INDEX(REPORTE_DROPI!S:S,
MATCH($T59, REPORTE_DROPI!B:B, 0)
),
""
)</f>
        <v>11.89</v>
      </c>
      <c r="L59" s="118" t="str">
        <f>IF(
  O59&lt;&gt;"DEVOLUCION",
  "",
  IF(
    T59="",
    "",
    SUMIF(DEVOLUCION!F:F, T59, DEVOLUCION!D:D)
  )
)
</f>
        <v/>
      </c>
      <c r="M59" s="118" t="s">
        <v>5877</v>
      </c>
      <c r="N59" s="130" t="s">
        <v>6007</v>
      </c>
      <c r="O59" s="118" t="str">
        <f t="array" ref="O59">IFERROR(
VLOOKUP(
TRIM(CLEAN(
INDEX(REPORTE_DROPI!K:K,
MATCH(T59, REPORTE_DROPI!B:B, 0)
))),
{
TRIM(CLEAN(MAPA_ESTADOS!A:A)) ,
MAPA_ESTADOS!B:B
},
2,
FALSE
),
"REVISAR"
)</f>
        <v>ENTREGADO</v>
      </c>
      <c r="P59" s="118" t="s">
        <v>5692</v>
      </c>
      <c r="Q59" s="153">
        <f t="shared" si="1"/>
        <v>0</v>
      </c>
      <c r="R59" s="157"/>
      <c r="S59" s="157"/>
      <c r="T59" s="118">
        <f t="array" ref="T59">IFERROR(
INDEX(REPORTE_DROPI!B:B,
MATCH(
CLEAN(TRIM(C59)),
CLEAN(TRIM(REPORTE_DROPI!E:E)),
0
)
),
""
)
</f>
        <v>4597208</v>
      </c>
      <c r="U59" s="158"/>
      <c r="V59" s="159"/>
    </row>
    <row r="60" ht="22.5" hidden="1" customHeight="1">
      <c r="A60" s="155">
        <v>59.0</v>
      </c>
      <c r="B60" s="119">
        <v>46054.0</v>
      </c>
      <c r="C60" s="118" t="s">
        <v>6008</v>
      </c>
      <c r="D60" s="118" t="str">
        <f>IFERROR(__xludf.DUMMYFUNCTION("IFERROR( INDEX( FILTER( 'NOMBRE DE PRODUCTOS'!B:B, REGEXMATCH( UPPER( INDEX( REPORTE_DROPI!AC:AC, MATCH(T60, REPORTE_DROPI!B:B, 0) ) ), UPPER('NOMBRE DE PRODUCTOS'!A:A) ) ), 1 ), ""REVISAR"" )"),"Llave Multifuncional 360™")</f>
        <v>Llave Multifuncional 360™</v>
      </c>
      <c r="E60" s="120" t="str">
        <f t="array" ref="E60">IF(
UPPER(TRIM(CLEAN($O60)))="ENTREGADO",
IFERROR(
INDEX(REPORTE_DROPI!Y:Y,
MATCH($T60, REPORTE_DROPI!B:B, 0)
),
""
),
""
)
</f>
        <v/>
      </c>
      <c r="F60" s="156">
        <v>2.0</v>
      </c>
      <c r="G60" s="122" t="str">
        <f t="array" ref="G60">IF(
UPPER(TRIM(CLEAN($O60)))="ENTREGADO",
IFERROR(
INDEX(REPORTE_DROPI!R:R,
MATCH($T60, REPORTE_DROPI!B:B, 0)
),
""
),
""
)
</f>
        <v/>
      </c>
      <c r="H60" s="118" t="s">
        <v>3727</v>
      </c>
      <c r="I60" s="118" t="s">
        <v>3740</v>
      </c>
      <c r="J60" s="121" t="str">
        <f t="array" ref="J60">IF(
UPPER(TRIM(CLEAN($O60)))="ENTREGADO",
IFERROR(
INDEX(REPORTE_DROPI!T:T,
MATCH($T60, REPORTE_DROPI!B:B, 0)
),
""
),
""
)
</f>
        <v/>
      </c>
      <c r="K60" s="118" t="str">
        <f t="array" ref="K60">IFERROR(
INDEX(REPORTE_DROPI!S:S,
MATCH($T60, REPORTE_DROPI!B:B, 0)
),
""
)</f>
        <v/>
      </c>
      <c r="L60" s="118">
        <f>IF(
  O60&lt;&gt;"DEVOLUCION",
  "",
  IF(
    T60="",
    "",
    SUMIF(DEVOLUCION!F:F, T60, DEVOLUCION!D:D)
  )
)
</f>
        <v>5.11</v>
      </c>
      <c r="M60" s="118" t="s">
        <v>5877</v>
      </c>
      <c r="N60" s="130" t="s">
        <v>6009</v>
      </c>
      <c r="O60" s="118" t="str">
        <f t="array" ref="O60">IFERROR(
VLOOKUP(
TRIM(CLEAN(
INDEX(REPORTE_DROPI!K:K,
MATCH(T60, REPORTE_DROPI!B:B, 0)
))),
{
TRIM(CLEAN(MAPA_ESTADOS!A:A)) ,
MAPA_ESTADOS!B:B
},
2,
FALSE
),
"REVISAR"
)</f>
        <v>DEVOLUCION</v>
      </c>
      <c r="P60" s="118" t="s">
        <v>5692</v>
      </c>
      <c r="Q60" s="153">
        <f t="shared" si="1"/>
        <v>0</v>
      </c>
      <c r="R60" s="160" t="s">
        <v>3675</v>
      </c>
      <c r="S60" s="155">
        <v>2.0</v>
      </c>
      <c r="T60" s="118">
        <f t="array" ref="T60">IFERROR(
INDEX(REPORTE_DROPI!B:B,
MATCH(
CLEAN(TRIM(C60)),
CLEAN(TRIM(REPORTE_DROPI!E:E)),
0
)
),
""
)
</f>
        <v>4357814</v>
      </c>
      <c r="U60" s="158"/>
      <c r="V60" s="159"/>
    </row>
    <row r="61" ht="22.5" hidden="1" customHeight="1">
      <c r="A61" s="155">
        <v>60.0</v>
      </c>
      <c r="B61" s="119">
        <v>46054.0</v>
      </c>
      <c r="C61" s="118" t="s">
        <v>6010</v>
      </c>
      <c r="D61" s="118" t="str">
        <f>IFERROR(__xludf.DUMMYFUNCTION("IFERROR( INDEX( FILTER( 'NOMBRE DE PRODUCTOS'!B:B, REGEXMATCH( UPPER( INDEX( REPORTE_DROPI!AC:AC, MATCH(T61, REPORTE_DROPI!B:B, 0) ) ), UPPER('NOMBRE DE PRODUCTOS'!A:A) ) ), 1 ), ""REVISAR"" )"),"Llave Multifuncional 360™")</f>
        <v>Llave Multifuncional 360™</v>
      </c>
      <c r="E61" s="120">
        <f t="array" ref="E61">IF(
UPPER(TRIM(CLEAN($O61)))="ENTREGADO",
IFERROR(
INDEX(REPORTE_DROPI!Y:Y,
MATCH($T61, REPORTE_DROPI!B:B, 0)
),
""
),
""
)
</f>
        <v>5</v>
      </c>
      <c r="F61" s="156">
        <v>1.0</v>
      </c>
      <c r="G61" s="122">
        <f t="array" ref="G61">IF(
UPPER(TRIM(CLEAN($O61)))="ENTREGADO",
IFERROR(
INDEX(REPORTE_DROPI!R:R,
MATCH($T61, REPORTE_DROPI!B:B, 0)
),
""
),
""
)
</f>
        <v>19.99</v>
      </c>
      <c r="H61" s="118" t="s">
        <v>3727</v>
      </c>
      <c r="I61" s="118" t="s">
        <v>3801</v>
      </c>
      <c r="J61" s="121">
        <f t="array" ref="J61">IF(
UPPER(TRIM(CLEAN($O61)))="ENTREGADO",
IFERROR(
INDEX(REPORTE_DROPI!T:T,
MATCH($T61, REPORTE_DROPI!B:B, 0)
),
""
),
""
)
</f>
        <v>5.75</v>
      </c>
      <c r="K61" s="118">
        <f t="array" ref="K61">IFERROR(
INDEX(REPORTE_DROPI!S:S,
MATCH($T61, REPORTE_DROPI!B:B, 0)
),
""
)</f>
        <v>9.24</v>
      </c>
      <c r="L61" s="118" t="str">
        <f>IF(
  O61&lt;&gt;"DEVOLUCION",
  "",
  IF(
    T61="",
    "",
    SUMIF(DEVOLUCION!F:F, T61, DEVOLUCION!D:D)
  )
)
</f>
        <v/>
      </c>
      <c r="M61" s="118" t="s">
        <v>5877</v>
      </c>
      <c r="N61" s="130" t="s">
        <v>6011</v>
      </c>
      <c r="O61" s="118" t="str">
        <f t="array" ref="O61">IFERROR(
VLOOKUP(
TRIM(CLEAN(
INDEX(REPORTE_DROPI!K:K,
MATCH(T61, REPORTE_DROPI!B:B, 0)
))),
{
TRIM(CLEAN(MAPA_ESTADOS!A:A)) ,
MAPA_ESTADOS!B:B
},
2,
FALSE
),
"REVISAR"
)</f>
        <v>ENTREGADO</v>
      </c>
      <c r="P61" s="118" t="s">
        <v>6012</v>
      </c>
      <c r="Q61" s="153">
        <f t="shared" si="1"/>
        <v>0</v>
      </c>
      <c r="R61" s="157"/>
      <c r="S61" s="157"/>
      <c r="T61" s="118">
        <f t="array" ref="T61">IFERROR(
INDEX(REPORTE_DROPI!B:B,
MATCH(
CLEAN(TRIM(C61)),
CLEAN(TRIM(REPORTE_DROPI!E:E)),
0
)
),
""
)
</f>
        <v>4357920</v>
      </c>
      <c r="U61" s="158"/>
      <c r="V61" s="159"/>
    </row>
    <row r="62" ht="22.5" hidden="1" customHeight="1">
      <c r="A62" s="155">
        <v>61.0</v>
      </c>
      <c r="B62" s="119">
        <v>46054.0</v>
      </c>
      <c r="C62" s="118" t="s">
        <v>6013</v>
      </c>
      <c r="D62" s="118" t="str">
        <f>IFERROR(__xludf.DUMMYFUNCTION("IFERROR( INDEX( FILTER( 'NOMBRE DE PRODUCTOS'!B:B, REGEXMATCH( UPPER( INDEX( REPORTE_DROPI!AC:AC, MATCH(T62, REPORTE_DROPI!B:B, 0) ) ), UPPER('NOMBRE DE PRODUCTOS'!A:A) ) ), 1 ), ""REVISAR"" )"),"Cuchillo Tazaki™")</f>
        <v>Cuchillo Tazaki™</v>
      </c>
      <c r="E62" s="120" t="str">
        <f t="array" ref="E62">IF(
UPPER(TRIM(CLEAN($O62)))="ENTREGADO",
IFERROR(
INDEX(REPORTE_DROPI!Y:Y,
MATCH($T62, REPORTE_DROPI!B:B, 0)
),
""
),
""
)
</f>
        <v/>
      </c>
      <c r="F62" s="156">
        <v>4.0</v>
      </c>
      <c r="G62" s="122" t="str">
        <f t="array" ref="G62">IF(
UPPER(TRIM(CLEAN($O62)))="ENTREGADO",
IFERROR(
INDEX(REPORTE_DROPI!R:R,
MATCH($T62, REPORTE_DROPI!B:B, 0)
),
""
),
""
)
</f>
        <v/>
      </c>
      <c r="H62" s="118" t="s">
        <v>3727</v>
      </c>
      <c r="I62" s="118" t="s">
        <v>3728</v>
      </c>
      <c r="J62" s="121" t="str">
        <f t="array" ref="J62">IF(
UPPER(TRIM(CLEAN($O62)))="ENTREGADO",
IFERROR(
INDEX(REPORTE_DROPI!T:T,
MATCH($T62, REPORTE_DROPI!B:B, 0)
),
""
),
""
)
</f>
        <v/>
      </c>
      <c r="K62" s="118" t="str">
        <f t="array" ref="K62">IFERROR(
INDEX(REPORTE_DROPI!S:S,
MATCH($T62, REPORTE_DROPI!B:B, 0)
),
""
)</f>
        <v/>
      </c>
      <c r="L62" s="118" t="str">
        <f>IF(
  O62&lt;&gt;"DEVOLUCION",
  "",
  IF(
    T62="",
    "",
    SUMIF(DEVOLUCION!F:F, T62, DEVOLUCION!D:D)
  )
)
</f>
        <v/>
      </c>
      <c r="M62" s="118" t="s">
        <v>5877</v>
      </c>
      <c r="N62" s="130" t="s">
        <v>6014</v>
      </c>
      <c r="O62" s="118" t="str">
        <f t="array" ref="O62">IFERROR(
VLOOKUP(
TRIM(CLEAN(
INDEX(REPORTE_DROPI!K:K,
MATCH(T62, REPORTE_DROPI!B:B, 0)
))),
{
TRIM(CLEAN(MAPA_ESTADOS!A:A)) ,
MAPA_ESTADOS!B:B
},
2,
FALSE
),
"REVISAR"
)</f>
        <v>PENDIENTE</v>
      </c>
      <c r="P62" s="118" t="s">
        <v>6015</v>
      </c>
      <c r="Q62" s="153">
        <f t="shared" si="1"/>
        <v>0</v>
      </c>
      <c r="R62" s="157"/>
      <c r="S62" s="157"/>
      <c r="T62" s="118">
        <f t="array" ref="T62">IFERROR(
INDEX(REPORTE_DROPI!B:B,
MATCH(
CLEAN(TRIM(C62)),
CLEAN(TRIM(REPORTE_DROPI!E:E)),
0
)
),
""
)
</f>
        <v>4357933</v>
      </c>
      <c r="U62" s="158"/>
      <c r="V62" s="159"/>
    </row>
    <row r="63" ht="22.5" hidden="1" customHeight="1">
      <c r="A63" s="155">
        <v>62.0</v>
      </c>
      <c r="B63" s="119">
        <v>46054.0</v>
      </c>
      <c r="C63" s="118" t="s">
        <v>6016</v>
      </c>
      <c r="D63" s="118" t="str">
        <f>IFERROR(__xludf.DUMMYFUNCTION("IFERROR( INDEX( FILTER( 'NOMBRE DE PRODUCTOS'!B:B, REGEXMATCH( UPPER( INDEX( REPORTE_DROPI!AC:AC, MATCH(T63, REPORTE_DROPI!B:B, 0) ) ), UPPER('NOMBRE DE PRODUCTOS'!A:A) ) ), 1 ), ""REVISAR"" )"),"Cuchillo Tazaki™")</f>
        <v>Cuchillo Tazaki™</v>
      </c>
      <c r="E63" s="120" t="str">
        <f t="array" ref="E63">IF(
UPPER(TRIM(CLEAN($O63)))="ENTREGADO",
IFERROR(
INDEX(REPORTE_DROPI!Y:Y,
MATCH($T63, REPORTE_DROPI!B:B, 0)
),
""
),
""
)
</f>
        <v/>
      </c>
      <c r="F63" s="156">
        <v>4.0</v>
      </c>
      <c r="G63" s="122" t="str">
        <f t="array" ref="G63">IF(
UPPER(TRIM(CLEAN($O63)))="ENTREGADO",
IFERROR(
INDEX(REPORTE_DROPI!R:R,
MATCH($T63, REPORTE_DROPI!B:B, 0)
),
""
),
""
)
</f>
        <v/>
      </c>
      <c r="H63" s="118" t="s">
        <v>3727</v>
      </c>
      <c r="I63" s="118" t="s">
        <v>3801</v>
      </c>
      <c r="J63" s="121" t="str">
        <f t="array" ref="J63">IF(
UPPER(TRIM(CLEAN($O63)))="ENTREGADO",
IFERROR(
INDEX(REPORTE_DROPI!T:T,
MATCH($T63, REPORTE_DROPI!B:B, 0)
),
""
),
""
)
</f>
        <v/>
      </c>
      <c r="K63" s="118" t="str">
        <f t="array" ref="K63">IFERROR(
INDEX(REPORTE_DROPI!S:S,
MATCH($T63, REPORTE_DROPI!B:B, 0)
),
""
)</f>
        <v/>
      </c>
      <c r="L63" s="118" t="str">
        <f>IF(
  O63&lt;&gt;"DEVOLUCION",
  "",
  IF(
    T63="",
    "",
    SUMIF(DEVOLUCION!F:F, T63, DEVOLUCION!D:D)
  )
)
</f>
        <v/>
      </c>
      <c r="M63" s="118" t="s">
        <v>5877</v>
      </c>
      <c r="N63" s="130" t="s">
        <v>6017</v>
      </c>
      <c r="O63" s="118" t="str">
        <f t="array" ref="O63">IFERROR(
VLOOKUP(
TRIM(CLEAN(
INDEX(REPORTE_DROPI!K:K,
MATCH(T63, REPORTE_DROPI!B:B, 0)
))),
{
TRIM(CLEAN(MAPA_ESTADOS!A:A)) ,
MAPA_ESTADOS!B:B
},
2,
FALSE
),
"REVISAR"
)</f>
        <v>PENDIENTE</v>
      </c>
      <c r="P63" s="118" t="s">
        <v>5692</v>
      </c>
      <c r="Q63" s="153">
        <f t="shared" si="1"/>
        <v>0</v>
      </c>
      <c r="R63" s="157"/>
      <c r="S63" s="157"/>
      <c r="T63" s="118">
        <f t="array" ref="T63">IFERROR(
INDEX(REPORTE_DROPI!B:B,
MATCH(
CLEAN(TRIM(C63)),
CLEAN(TRIM(REPORTE_DROPI!E:E)),
0
)
),
""
)
</f>
        <v>4372035</v>
      </c>
      <c r="U63" s="158"/>
      <c r="V63" s="159"/>
    </row>
    <row r="64" ht="22.5" hidden="1" customHeight="1">
      <c r="A64" s="155">
        <v>63.0</v>
      </c>
      <c r="B64" s="119">
        <v>46054.0</v>
      </c>
      <c r="C64" s="118" t="s">
        <v>6018</v>
      </c>
      <c r="D64" s="118" t="str">
        <f>IFERROR(__xludf.DUMMYFUNCTION("IFERROR( INDEX( FILTER( 'NOMBRE DE PRODUCTOS'!B:B, REGEXMATCH( UPPER( INDEX( REPORTE_DROPI!AC:AC, MATCH(T64, REPORTE_DROPI!B:B, 0) ) ), UPPER('NOMBRE DE PRODUCTOS'!A:A) ) ), 1 ), ""REVISAR"" )"),"Llave Multifuncional 360™")</f>
        <v>Llave Multifuncional 360™</v>
      </c>
      <c r="E64" s="120">
        <f t="array" ref="E64">IF(
UPPER(TRIM(CLEAN($O64)))="ENTREGADO",
IFERROR(
INDEX(REPORTE_DROPI!Y:Y,
MATCH($T64, REPORTE_DROPI!B:B, 0)
),
""
),
""
)
</f>
        <v>5</v>
      </c>
      <c r="F64" s="156">
        <v>1.0</v>
      </c>
      <c r="G64" s="122">
        <f t="array" ref="G64">IF(
UPPER(TRIM(CLEAN($O64)))="ENTREGADO",
IFERROR(
INDEX(REPORTE_DROPI!R:R,
MATCH($T64, REPORTE_DROPI!B:B, 0)
),
""
),
""
)
</f>
        <v>19.99</v>
      </c>
      <c r="H64" s="118" t="s">
        <v>3727</v>
      </c>
      <c r="I64" s="118" t="s">
        <v>3979</v>
      </c>
      <c r="J64" s="121">
        <f t="array" ref="J64">IF(
UPPER(TRIM(CLEAN($O64)))="ENTREGADO",
IFERROR(
INDEX(REPORTE_DROPI!T:T,
MATCH($T64, REPORTE_DROPI!B:B, 0)
),
""
),
""
)
</f>
        <v>5.75</v>
      </c>
      <c r="K64" s="118">
        <f t="array" ref="K64">IFERROR(
INDEX(REPORTE_DROPI!S:S,
MATCH($T64, REPORTE_DROPI!B:B, 0)
),
""
)</f>
        <v>9.24</v>
      </c>
      <c r="L64" s="118" t="str">
        <f>IF(
  O64&lt;&gt;"DEVOLUCION",
  "",
  IF(
    T64="",
    "",
    SUMIF(DEVOLUCION!F:F, T64, DEVOLUCION!D:D)
  )
)
</f>
        <v/>
      </c>
      <c r="M64" s="118" t="s">
        <v>5877</v>
      </c>
      <c r="N64" s="130" t="s">
        <v>6019</v>
      </c>
      <c r="O64" s="118" t="str">
        <f t="array" ref="O64">IFERROR(
VLOOKUP(
TRIM(CLEAN(
INDEX(REPORTE_DROPI!K:K,
MATCH(T64, REPORTE_DROPI!B:B, 0)
))),
{
TRIM(CLEAN(MAPA_ESTADOS!A:A)) ,
MAPA_ESTADOS!B:B
},
2,
FALSE
),
"REVISAR"
)</f>
        <v>ENTREGADO</v>
      </c>
      <c r="P64" s="118" t="s">
        <v>3655</v>
      </c>
      <c r="Q64" s="153">
        <f t="shared" si="1"/>
        <v>0</v>
      </c>
      <c r="R64" s="157"/>
      <c r="S64" s="157"/>
      <c r="T64" s="118">
        <f t="array" ref="T64">IFERROR(
INDEX(REPORTE_DROPI!B:B,
MATCH(
CLEAN(TRIM(C64)),
CLEAN(TRIM(REPORTE_DROPI!E:E)),
0
)
),
""
)
</f>
        <v>4358002</v>
      </c>
      <c r="U64" s="158"/>
      <c r="V64" s="159"/>
    </row>
    <row r="65" ht="22.5" hidden="1" customHeight="1">
      <c r="A65" s="155">
        <v>64.0</v>
      </c>
      <c r="B65" s="119">
        <v>46054.0</v>
      </c>
      <c r="C65" s="118" t="s">
        <v>6020</v>
      </c>
      <c r="D65" s="118" t="str">
        <f>IFERROR(__xludf.DUMMYFUNCTION("IFERROR( INDEX( FILTER( 'NOMBRE DE PRODUCTOS'!B:B, REGEXMATCH( UPPER( INDEX( REPORTE_DROPI!AC:AC, MATCH(T65, REPORTE_DROPI!B:B, 0) ) ), UPPER('NOMBRE DE PRODUCTOS'!A:A) ) ), 1 ), ""REVISAR"" )"),"Cuchillo Tazaki™")</f>
        <v>Cuchillo Tazaki™</v>
      </c>
      <c r="E65" s="120">
        <f t="array" ref="E65">IF(
UPPER(TRIM(CLEAN($O65)))="ENTREGADO",
IFERROR(
INDEX(REPORTE_DROPI!Y:Y,
MATCH($T65, REPORTE_DROPI!B:B, 0)
),
""
),
""
)
</f>
        <v>5.2</v>
      </c>
      <c r="F65" s="156">
        <v>2.0</v>
      </c>
      <c r="G65" s="122">
        <f t="array" ref="G65">IF(
UPPER(TRIM(CLEAN($O65)))="ENTREGADO",
IFERROR(
INDEX(REPORTE_DROPI!R:R,
MATCH($T65, REPORTE_DROPI!B:B, 0)
),
""
),
""
)
</f>
        <v>22</v>
      </c>
      <c r="H65" s="118" t="s">
        <v>3727</v>
      </c>
      <c r="I65" s="118" t="s">
        <v>3731</v>
      </c>
      <c r="J65" s="121">
        <f t="array" ref="J65">IF(
UPPER(TRIM(CLEAN($O65)))="ENTREGADO",
IFERROR(
INDEX(REPORTE_DROPI!T:T,
MATCH($T65, REPORTE_DROPI!B:B, 0)
),
""
),
""
)
</f>
        <v>5.84</v>
      </c>
      <c r="K65" s="118">
        <f t="array" ref="K65">IFERROR(
INDEX(REPORTE_DROPI!S:S,
MATCH($T65, REPORTE_DROPI!B:B, 0)
),
""
)</f>
        <v>10.96</v>
      </c>
      <c r="L65" s="118" t="str">
        <f>IF(
  O65&lt;&gt;"DEVOLUCION",
  "",
  IF(
    T65="",
    "",
    SUMIF(DEVOLUCION!F:F, T65, DEVOLUCION!D:D)
  )
)
</f>
        <v/>
      </c>
      <c r="M65" s="118" t="s">
        <v>5877</v>
      </c>
      <c r="N65" s="155" t="s">
        <v>6021</v>
      </c>
      <c r="O65" s="118" t="str">
        <f t="array" ref="O65">IFERROR(
VLOOKUP(
TRIM(CLEAN(
INDEX(REPORTE_DROPI!K:K,
MATCH(T65, REPORTE_DROPI!B:B, 0)
))),
{
TRIM(CLEAN(MAPA_ESTADOS!A:A)) ,
MAPA_ESTADOS!B:B
},
2,
FALSE
),
"REVISAR"
)</f>
        <v>ENTREGADO</v>
      </c>
      <c r="P65" s="118" t="s">
        <v>5692</v>
      </c>
      <c r="Q65" s="153">
        <f t="shared" si="1"/>
        <v>0</v>
      </c>
      <c r="R65" s="157"/>
      <c r="S65" s="157"/>
      <c r="T65" s="118">
        <f t="array" ref="T65">IFERROR(
INDEX(REPORTE_DROPI!B:B,
MATCH(
CLEAN(TRIM(C65)),
CLEAN(TRIM(REPORTE_DROPI!E:E)),
0
)
),
""
)
</f>
        <v>4358161</v>
      </c>
      <c r="U65" s="158">
        <v>1.90130222184E11</v>
      </c>
      <c r="V65" s="159"/>
    </row>
    <row r="66" ht="22.5" hidden="1" customHeight="1">
      <c r="A66" s="161">
        <v>65.0</v>
      </c>
      <c r="B66" s="119">
        <v>46054.0</v>
      </c>
      <c r="C66" s="118" t="s">
        <v>6022</v>
      </c>
      <c r="D66" s="118" t="str">
        <f>IFERROR(__xludf.DUMMYFUNCTION("IFERROR( INDEX( FILTER( 'NOMBRE DE PRODUCTOS'!B:B, REGEXMATCH( UPPER( INDEX( REPORTE_DROPI!AC:AC, MATCH(T66, REPORTE_DROPI!B:B, 0) ) ), UPPER('NOMBRE DE PRODUCTOS'!A:A) ) ), 1 ), ""REVISAR"" )"),"Llave Multifuncional 360™")</f>
        <v>Llave Multifuncional 360™</v>
      </c>
      <c r="E66" s="120">
        <f t="array" ref="E66">IF(
UPPER(TRIM(CLEAN($O66)))="ENTREGADO",
IFERROR(
INDEX(REPORTE_DROPI!Y:Y,
MATCH($T66, REPORTE_DROPI!B:B, 0)
),
""
),
""
)
</f>
        <v>5</v>
      </c>
      <c r="F66" s="162">
        <v>1.0</v>
      </c>
      <c r="G66" s="122">
        <f t="array" ref="G66">IF(
UPPER(TRIM(CLEAN($O66)))="ENTREGADO",
IFERROR(
INDEX(REPORTE_DROPI!R:R,
MATCH($T66, REPORTE_DROPI!B:B, 0)
),
""
),
""
)
</f>
        <v>19.99</v>
      </c>
      <c r="H66" s="118" t="s">
        <v>3727</v>
      </c>
      <c r="I66" s="118" t="s">
        <v>3740</v>
      </c>
      <c r="J66" s="121">
        <f t="array" ref="J66">IF(
UPPER(TRIM(CLEAN($O66)))="ENTREGADO",
IFERROR(
INDEX(REPORTE_DROPI!T:T,
MATCH($T66, REPORTE_DROPI!B:B, 0)
),
""
),
""
)
</f>
        <v>5.75</v>
      </c>
      <c r="K66" s="118">
        <f t="array" ref="K66">IFERROR(
INDEX(REPORTE_DROPI!S:S,
MATCH($T66, REPORTE_DROPI!B:B, 0)
),
""
)</f>
        <v>9.24</v>
      </c>
      <c r="L66" s="118" t="str">
        <f>IF(
  O66&lt;&gt;"DEVOLUCION",
  "",
  IF(
    T66="",
    "",
    SUMIF(DEVOLUCION!F:F, T66, DEVOLUCION!D:D)
  )
)
</f>
        <v/>
      </c>
      <c r="M66" s="118" t="s">
        <v>5877</v>
      </c>
      <c r="N66" s="161" t="s">
        <v>6023</v>
      </c>
      <c r="O66" s="118" t="str">
        <f t="array" ref="O66">IFERROR(
VLOOKUP(
TRIM(CLEAN(
INDEX(REPORTE_DROPI!K:K,
MATCH(T66, REPORTE_DROPI!B:B, 0)
))),
{
TRIM(CLEAN(MAPA_ESTADOS!A:A)) ,
MAPA_ESTADOS!B:B
},
2,
FALSE
),
"REVISAR"
)</f>
        <v>ENTREGADO</v>
      </c>
      <c r="P66" s="118" t="s">
        <v>5692</v>
      </c>
      <c r="Q66" s="153">
        <f t="shared" si="1"/>
        <v>0</v>
      </c>
      <c r="R66" s="163"/>
      <c r="S66" s="163"/>
      <c r="T66" s="118">
        <f t="array" ref="T66">IFERROR(
INDEX(REPORTE_DROPI!B:B,
MATCH(
CLEAN(TRIM(C66)),
CLEAN(TRIM(REPORTE_DROPI!E:E)),
0
)
),
""
)
</f>
        <v>4358278</v>
      </c>
      <c r="U66" s="163" t="s">
        <v>6024</v>
      </c>
      <c r="V66" s="164"/>
    </row>
    <row r="67" ht="22.5" hidden="1" customHeight="1">
      <c r="A67" s="161">
        <v>66.0</v>
      </c>
      <c r="B67" s="119">
        <v>46054.0</v>
      </c>
      <c r="C67" s="118" t="s">
        <v>6025</v>
      </c>
      <c r="D67" s="118" t="str">
        <f>IFERROR(__xludf.DUMMYFUNCTION("IFERROR( INDEX( FILTER( 'NOMBRE DE PRODUCTOS'!B:B, REGEXMATCH( UPPER( INDEX( REPORTE_DROPI!AC:AC, MATCH(T67, REPORTE_DROPI!B:B, 0) ) ), UPPER('NOMBRE DE PRODUCTOS'!A:A) ) ), 1 ), ""REVISAR"" )"),"FilmPro®")</f>
        <v>FilmPro®</v>
      </c>
      <c r="E67" s="120" t="str">
        <f t="array" ref="E67">IF(
UPPER(TRIM(CLEAN($O67)))="ENTREGADO",
IFERROR(
INDEX(REPORTE_DROPI!Y:Y,
MATCH($T67, REPORTE_DROPI!B:B, 0)
),
""
),
""
)
</f>
        <v/>
      </c>
      <c r="F67" s="162">
        <v>2.0</v>
      </c>
      <c r="G67" s="122" t="str">
        <f t="array" ref="G67">IF(
UPPER(TRIM(CLEAN($O67)))="ENTREGADO",
IFERROR(
INDEX(REPORTE_DROPI!R:R,
MATCH($T67, REPORTE_DROPI!B:B, 0)
),
""
),
""
)
</f>
        <v/>
      </c>
      <c r="H67" s="118" t="s">
        <v>3727</v>
      </c>
      <c r="I67" s="118" t="s">
        <v>3735</v>
      </c>
      <c r="J67" s="121" t="str">
        <f t="array" ref="J67">IF(
UPPER(TRIM(CLEAN($O67)))="ENTREGADO",
IFERROR(
INDEX(REPORTE_DROPI!T:T,
MATCH($T67, REPORTE_DROPI!B:B, 0)
),
""
),
""
)
</f>
        <v/>
      </c>
      <c r="K67" s="118" t="str">
        <f t="array" ref="K67">IFERROR(
INDEX(REPORTE_DROPI!S:S,
MATCH($T67, REPORTE_DROPI!B:B, 0)
),
""
)</f>
        <v/>
      </c>
      <c r="L67" s="118">
        <f>IF(
  O67&lt;&gt;"DEVOLUCION",
  "",
  IF(
    T67="",
    "",
    SUMIF(DEVOLUCION!F:F, T67, DEVOLUCION!D:D)
  )
)
</f>
        <v>5.67</v>
      </c>
      <c r="M67" s="118" t="s">
        <v>5877</v>
      </c>
      <c r="N67" s="161" t="s">
        <v>6026</v>
      </c>
      <c r="O67" s="118" t="str">
        <f t="array" ref="O67">IFERROR(
VLOOKUP(
TRIM(CLEAN(
INDEX(REPORTE_DROPI!K:K,
MATCH(T67, REPORTE_DROPI!B:B, 0)
))),
{
TRIM(CLEAN(MAPA_ESTADOS!A:A)) ,
MAPA_ESTADOS!B:B
},
2,
FALSE
),
"REVISAR"
)</f>
        <v>DEVOLUCION</v>
      </c>
      <c r="P67" s="118" t="s">
        <v>5692</v>
      </c>
      <c r="Q67" s="153">
        <f t="shared" si="1"/>
        <v>0</v>
      </c>
      <c r="R67" s="163"/>
      <c r="S67" s="163"/>
      <c r="T67" s="118">
        <f t="array" ref="T67">IFERROR(
INDEX(REPORTE_DROPI!B:B,
MATCH(
CLEAN(TRIM(C67)),
CLEAN(TRIM(REPORTE_DROPI!E:E)),
0
)
),
""
)
</f>
        <v>4359117</v>
      </c>
      <c r="U67" s="163">
        <v>4.5224150132E10</v>
      </c>
      <c r="V67" s="164"/>
    </row>
    <row r="68" ht="22.5" hidden="1" customHeight="1">
      <c r="A68" s="161">
        <v>67.0</v>
      </c>
      <c r="B68" s="119">
        <v>46054.0</v>
      </c>
      <c r="C68" s="118" t="s">
        <v>6027</v>
      </c>
      <c r="D68" s="118" t="str">
        <f>IFERROR(__xludf.DUMMYFUNCTION("IFERROR( INDEX( FILTER( 'NOMBRE DE PRODUCTOS'!B:B, REGEXMATCH( UPPER( INDEX( REPORTE_DROPI!AC:AC, MATCH(T68, REPORTE_DROPI!B:B, 0) ) ), UPPER('NOMBRE DE PRODUCTOS'!A:A) ) ), 1 ), ""REVISAR"" )"),"FilmPro®")</f>
        <v>FilmPro®</v>
      </c>
      <c r="E68" s="120" t="str">
        <f t="array" ref="E68">IF(
UPPER(TRIM(CLEAN($O68)))="ENTREGADO",
IFERROR(
INDEX(REPORTE_DROPI!Y:Y,
MATCH($T68, REPORTE_DROPI!B:B, 0)
),
""
),
""
)
</f>
        <v/>
      </c>
      <c r="F68" s="162">
        <v>3.0</v>
      </c>
      <c r="G68" s="122" t="str">
        <f t="array" ref="G68">IF(
UPPER(TRIM(CLEAN($O68)))="ENTREGADO",
IFERROR(
INDEX(REPORTE_DROPI!R:R,
MATCH($T68, REPORTE_DROPI!B:B, 0)
),
""
),
""
)
</f>
        <v/>
      </c>
      <c r="H68" s="118" t="s">
        <v>3727</v>
      </c>
      <c r="I68" s="118" t="s">
        <v>3731</v>
      </c>
      <c r="J68" s="121" t="str">
        <f t="array" ref="J68">IF(
UPPER(TRIM(CLEAN($O68)))="ENTREGADO",
IFERROR(
INDEX(REPORTE_DROPI!T:T,
MATCH($T68, REPORTE_DROPI!B:B, 0)
),
""
),
""
)
</f>
        <v/>
      </c>
      <c r="K68" s="118" t="str">
        <f t="array" ref="K68">IFERROR(
INDEX(REPORTE_DROPI!S:S,
MATCH($T68, REPORTE_DROPI!B:B, 0)
),
""
)</f>
        <v/>
      </c>
      <c r="L68" s="118">
        <f>IF(
  O68&lt;&gt;"DEVOLUCION",
  "",
  IF(
    T68="",
    "",
    SUMIF(DEVOLUCION!F:F, T68, DEVOLUCION!D:D)
  )
)
</f>
        <v>3.51</v>
      </c>
      <c r="M68" s="118" t="s">
        <v>5877</v>
      </c>
      <c r="N68" s="161" t="s">
        <v>6028</v>
      </c>
      <c r="O68" s="118" t="str">
        <f t="array" ref="O68">IFERROR(
VLOOKUP(
TRIM(CLEAN(
INDEX(REPORTE_DROPI!K:K,
MATCH(T68, REPORTE_DROPI!B:B, 0)
))),
{
TRIM(CLEAN(MAPA_ESTADOS!A:A)) ,
MAPA_ESTADOS!B:B
},
2,
FALSE
),
"REVISAR"
)</f>
        <v>DEVOLUCION</v>
      </c>
      <c r="P68" s="118" t="s">
        <v>5692</v>
      </c>
      <c r="Q68" s="153">
        <f t="shared" si="1"/>
        <v>0</v>
      </c>
      <c r="R68" s="163"/>
      <c r="S68" s="163"/>
      <c r="T68" s="118">
        <f t="array" ref="T68">IFERROR(
INDEX(REPORTE_DROPI!B:B,
MATCH(
CLEAN(TRIM(C68)),
CLEAN(TRIM(REPORTE_DROPI!E:E)),
0
)
),
""
)
</f>
        <v>4359299</v>
      </c>
      <c r="U68" s="163" t="s">
        <v>6029</v>
      </c>
      <c r="V68" s="164"/>
    </row>
    <row r="69" ht="22.5" hidden="1" customHeight="1">
      <c r="A69" s="161">
        <v>68.0</v>
      </c>
      <c r="B69" s="119">
        <v>46054.0</v>
      </c>
      <c r="C69" s="118" t="s">
        <v>6030</v>
      </c>
      <c r="D69" s="118" t="str">
        <f>IFERROR(__xludf.DUMMYFUNCTION("IFERROR( INDEX( FILTER( 'NOMBRE DE PRODUCTOS'!B:B, REGEXMATCH( UPPER( INDEX( REPORTE_DROPI!AC:AC, MATCH(T69, REPORTE_DROPI!B:B, 0) ) ), UPPER('NOMBRE DE PRODUCTOS'!A:A) ) ), 1 ), ""REVISAR"" )"),"FilmPro®")</f>
        <v>FilmPro®</v>
      </c>
      <c r="E69" s="120">
        <f t="array" ref="E69">IF(
UPPER(TRIM(CLEAN($O69)))="ENTREGADO",
IFERROR(
INDEX(REPORTE_DROPI!Y:Y,
MATCH($T69, REPORTE_DROPI!B:B, 0)
),
""
),
""
)
</f>
        <v>2.35</v>
      </c>
      <c r="F69" s="162">
        <v>1.0</v>
      </c>
      <c r="G69" s="122">
        <f t="array" ref="G69">IF(
UPPER(TRIM(CLEAN($O69)))="ENTREGADO",
IFERROR(
INDEX(REPORTE_DROPI!R:R,
MATCH($T69, REPORTE_DROPI!B:B, 0)
),
""
),
""
)
</f>
        <v>20</v>
      </c>
      <c r="H69" s="118" t="s">
        <v>3727</v>
      </c>
      <c r="I69" s="118" t="s">
        <v>3740</v>
      </c>
      <c r="J69" s="121">
        <f t="array" ref="J69">IF(
UPPER(TRIM(CLEAN($O69)))="ENTREGADO",
IFERROR(
INDEX(REPORTE_DROPI!T:T,
MATCH($T69, REPORTE_DROPI!B:B, 0)
),
""
),
""
)
</f>
        <v>5.76</v>
      </c>
      <c r="K69" s="118">
        <f t="array" ref="K69">IFERROR(
INDEX(REPORTE_DROPI!S:S,
MATCH($T69, REPORTE_DROPI!B:B, 0)
),
""
)</f>
        <v>11.89</v>
      </c>
      <c r="L69" s="118" t="str">
        <f>IF(
  O69&lt;&gt;"DEVOLUCION",
  "",
  IF(
    T69="",
    "",
    SUMIF(DEVOLUCION!F:F, T69, DEVOLUCION!D:D)
  )
)
</f>
        <v/>
      </c>
      <c r="M69" s="118" t="s">
        <v>5877</v>
      </c>
      <c r="N69" s="161" t="s">
        <v>6031</v>
      </c>
      <c r="O69" s="118" t="str">
        <f t="array" ref="O69">IFERROR(
VLOOKUP(
TRIM(CLEAN(
INDEX(REPORTE_DROPI!K:K,
MATCH(T69, REPORTE_DROPI!B:B, 0)
))),
{
TRIM(CLEAN(MAPA_ESTADOS!A:A)) ,
MAPA_ESTADOS!B:B
},
2,
FALSE
),
"REVISAR"
)</f>
        <v>ENTREGADO</v>
      </c>
      <c r="P69" s="118" t="s">
        <v>5692</v>
      </c>
      <c r="Q69" s="153">
        <f t="shared" si="1"/>
        <v>0</v>
      </c>
      <c r="R69" s="163"/>
      <c r="S69" s="163"/>
      <c r="T69" s="118">
        <f t="array" ref="T69">IFERROR(
INDEX(REPORTE_DROPI!B:B,
MATCH(
CLEAN(TRIM(C69)),
CLEAN(TRIM(REPORTE_DROPI!E:E)),
0
)
),
""
)
</f>
        <v>4359526</v>
      </c>
      <c r="U69" s="163" t="s">
        <v>6032</v>
      </c>
      <c r="V69" s="164"/>
    </row>
    <row r="70" ht="22.5" hidden="1" customHeight="1">
      <c r="A70" s="161">
        <v>69.0</v>
      </c>
      <c r="B70" s="119">
        <v>46054.0</v>
      </c>
      <c r="C70" s="118" t="s">
        <v>6033</v>
      </c>
      <c r="D70" s="118" t="str">
        <f>IFERROR(__xludf.DUMMYFUNCTION("IFERROR( INDEX( FILTER( 'NOMBRE DE PRODUCTOS'!B:B, REGEXMATCH( UPPER( INDEX( REPORTE_DROPI!AC:AC, MATCH(T70, REPORTE_DROPI!B:B, 0) ) ), UPPER('NOMBRE DE PRODUCTOS'!A:A) ) ), 1 ), ""REVISAR"" )"),"Llave Multifuncional 360™")</f>
        <v>Llave Multifuncional 360™</v>
      </c>
      <c r="E70" s="120">
        <f t="array" ref="E70">IF(
UPPER(TRIM(CLEAN($O70)))="ENTREGADO",
IFERROR(
INDEX(REPORTE_DROPI!Y:Y,
MATCH($T70, REPORTE_DROPI!B:B, 0)
),
""
),
""
)
</f>
        <v>10</v>
      </c>
      <c r="F70" s="162">
        <v>2.0</v>
      </c>
      <c r="G70" s="122">
        <f t="array" ref="G70">IF(
UPPER(TRIM(CLEAN($O70)))="ENTREGADO",
IFERROR(
INDEX(REPORTE_DROPI!R:R,
MATCH($T70, REPORTE_DROPI!B:B, 0)
),
""
),
""
)
</f>
        <v>28</v>
      </c>
      <c r="H70" s="118" t="s">
        <v>3727</v>
      </c>
      <c r="I70" s="118" t="s">
        <v>3778</v>
      </c>
      <c r="J70" s="121">
        <f t="array" ref="J70">IF(
UPPER(TRIM(CLEAN($O70)))="ENTREGADO",
IFERROR(
INDEX(REPORTE_DROPI!T:T,
MATCH($T70, REPORTE_DROPI!B:B, 0)
),
""
),
""
)
</f>
        <v>5.73</v>
      </c>
      <c r="K70" s="118">
        <f t="array" ref="K70">IFERROR(
INDEX(REPORTE_DROPI!S:S,
MATCH($T70, REPORTE_DROPI!B:B, 0)
),
""
)</f>
        <v>12.27</v>
      </c>
      <c r="L70" s="118" t="str">
        <f>IF(
  O70&lt;&gt;"DEVOLUCION",
  "",
  IF(
    T70="",
    "",
    SUMIF(DEVOLUCION!F:F, T70, DEVOLUCION!D:D)
  )
)
</f>
        <v/>
      </c>
      <c r="M70" s="118" t="s">
        <v>5877</v>
      </c>
      <c r="N70" s="161" t="s">
        <v>6034</v>
      </c>
      <c r="O70" s="118" t="str">
        <f t="array" ref="O70">IFERROR(
VLOOKUP(
TRIM(CLEAN(
INDEX(REPORTE_DROPI!K:K,
MATCH(T70, REPORTE_DROPI!B:B, 0)
))),
{
TRIM(CLEAN(MAPA_ESTADOS!A:A)) ,
MAPA_ESTADOS!B:B
},
2,
FALSE
),
"REVISAR"
)</f>
        <v>ENTREGADO</v>
      </c>
      <c r="P70" s="118" t="s">
        <v>3655</v>
      </c>
      <c r="Q70" s="153">
        <f t="shared" si="1"/>
        <v>0</v>
      </c>
      <c r="R70" s="163"/>
      <c r="S70" s="163"/>
      <c r="T70" s="118">
        <f t="array" ref="T70">IFERROR(
INDEX(REPORTE_DROPI!B:B,
MATCH(
CLEAN(TRIM(C70)),
CLEAN(TRIM(REPORTE_DROPI!E:E)),
0
)
),
""
)
</f>
        <v>4359690</v>
      </c>
      <c r="U70" s="163">
        <v>4.5179140231E10</v>
      </c>
      <c r="V70" s="164"/>
    </row>
    <row r="71" ht="22.5" hidden="1" customHeight="1">
      <c r="A71" s="161">
        <v>70.0</v>
      </c>
      <c r="B71" s="119">
        <v>46054.0</v>
      </c>
      <c r="C71" s="118" t="s">
        <v>6035</v>
      </c>
      <c r="D71" s="118" t="str">
        <f>IFERROR(__xludf.DUMMYFUNCTION("IFERROR( INDEX( FILTER( 'NOMBRE DE PRODUCTOS'!B:B, REGEXMATCH( UPPER( INDEX( REPORTE_DROPI!AC:AC, MATCH(T71, REPORTE_DROPI!B:B, 0) ) ), UPPER('NOMBRE DE PRODUCTOS'!A:A) ) ), 1 ), ""REVISAR"" )"),"FilmPro®")</f>
        <v>FilmPro®</v>
      </c>
      <c r="E71" s="120" t="str">
        <f t="array" ref="E71">IF(
UPPER(TRIM(CLEAN($O71)))="ENTREGADO",
IFERROR(
INDEX(REPORTE_DROPI!Y:Y,
MATCH($T71, REPORTE_DROPI!B:B, 0)
),
""
),
""
)
</f>
        <v/>
      </c>
      <c r="F71" s="162">
        <v>1.0</v>
      </c>
      <c r="G71" s="122" t="str">
        <f t="array" ref="G71">IF(
UPPER(TRIM(CLEAN($O71)))="ENTREGADO",
IFERROR(
INDEX(REPORTE_DROPI!R:R,
MATCH($T71, REPORTE_DROPI!B:B, 0)
),
""
),
""
)
</f>
        <v/>
      </c>
      <c r="H71" s="118" t="s">
        <v>3727</v>
      </c>
      <c r="I71" s="118" t="s">
        <v>3742</v>
      </c>
      <c r="J71" s="121" t="str">
        <f t="array" ref="J71">IF(
UPPER(TRIM(CLEAN($O71)))="ENTREGADO",
IFERROR(
INDEX(REPORTE_DROPI!T:T,
MATCH($T71, REPORTE_DROPI!B:B, 0)
),
""
),
""
)
</f>
        <v/>
      </c>
      <c r="K71" s="118" t="str">
        <f t="array" ref="K71">IFERROR(
INDEX(REPORTE_DROPI!S:S,
MATCH($T71, REPORTE_DROPI!B:B, 0)
),
""
)</f>
        <v/>
      </c>
      <c r="L71" s="118" t="str">
        <f>IF(
  O71&lt;&gt;"DEVOLUCION",
  "",
  IF(
    T71="",
    "",
    SUMIF(DEVOLUCION!F:F, T71, DEVOLUCION!D:D)
  )
)
</f>
        <v/>
      </c>
      <c r="M71" s="118" t="s">
        <v>5877</v>
      </c>
      <c r="N71" s="161" t="s">
        <v>6036</v>
      </c>
      <c r="O71" s="118" t="str">
        <f t="array" ref="O71">IFERROR(
VLOOKUP(
TRIM(CLEAN(
INDEX(REPORTE_DROPI!K:K,
MATCH(T71, REPORTE_DROPI!B:B, 0)
))),
{
TRIM(CLEAN(MAPA_ESTADOS!A:A)) ,
MAPA_ESTADOS!B:B
},
2,
FALSE
),
"REVISAR"
)</f>
        <v>PENDIENTE</v>
      </c>
      <c r="P71" s="118" t="s">
        <v>6037</v>
      </c>
      <c r="Q71" s="153">
        <f t="shared" si="1"/>
        <v>0</v>
      </c>
      <c r="R71" s="163"/>
      <c r="S71" s="163"/>
      <c r="T71" s="118">
        <f t="array" ref="T71">IFERROR(
INDEX(REPORTE_DROPI!B:B,
MATCH(
CLEAN(TRIM(C71)),
CLEAN(TRIM(REPORTE_DROPI!E:E)),
0
)
),
""
)
</f>
        <v>4359740</v>
      </c>
      <c r="U71" s="163">
        <v>1.81113151116E11</v>
      </c>
      <c r="V71" s="164"/>
    </row>
    <row r="72" ht="22.5" hidden="1" customHeight="1">
      <c r="A72" s="161">
        <v>71.0</v>
      </c>
      <c r="B72" s="119">
        <v>46054.0</v>
      </c>
      <c r="C72" s="118" t="s">
        <v>6038</v>
      </c>
      <c r="D72" s="118" t="str">
        <f>IFERROR(__xludf.DUMMYFUNCTION("IFERROR( INDEX( FILTER( 'NOMBRE DE PRODUCTOS'!B:B, REGEXMATCH( UPPER( INDEX( REPORTE_DROPI!AC:AC, MATCH(T72, REPORTE_DROPI!B:B, 0) ) ), UPPER('NOMBRE DE PRODUCTOS'!A:A) ) ), 1 ), ""REVISAR"" )"),"FilmPro®")</f>
        <v>FilmPro®</v>
      </c>
      <c r="E72" s="120" t="str">
        <f t="array" ref="E72">IF(
UPPER(TRIM(CLEAN($O72)))="ENTREGADO",
IFERROR(
INDEX(REPORTE_DROPI!Y:Y,
MATCH($T72, REPORTE_DROPI!B:B, 0)
),
""
),
""
)
</f>
        <v/>
      </c>
      <c r="F72" s="162">
        <v>3.0</v>
      </c>
      <c r="G72" s="122" t="str">
        <f t="array" ref="G72">IF(
UPPER(TRIM(CLEAN($O72)))="ENTREGADO",
IFERROR(
INDEX(REPORTE_DROPI!R:R,
MATCH($T72, REPORTE_DROPI!B:B, 0)
),
""
),
""
)
</f>
        <v/>
      </c>
      <c r="H72" s="118" t="s">
        <v>3727</v>
      </c>
      <c r="I72" s="118" t="s">
        <v>3731</v>
      </c>
      <c r="J72" s="121" t="str">
        <f t="array" ref="J72">IF(
UPPER(TRIM(CLEAN($O72)))="ENTREGADO",
IFERROR(
INDEX(REPORTE_DROPI!T:T,
MATCH($T72, REPORTE_DROPI!B:B, 0)
),
""
),
""
)
</f>
        <v/>
      </c>
      <c r="K72" s="118" t="str">
        <f t="array" ref="K72">IFERROR(
INDEX(REPORTE_DROPI!S:S,
MATCH($T72, REPORTE_DROPI!B:B, 0)
),
""
)</f>
        <v/>
      </c>
      <c r="L72" s="118" t="str">
        <f>IF(
  O72&lt;&gt;"DEVOLUCION",
  "",
  IF(
    T72="",
    "",
    SUMIF(DEVOLUCION!F:F, T72, DEVOLUCION!D:D)
  )
)
</f>
        <v/>
      </c>
      <c r="M72" s="118" t="s">
        <v>5877</v>
      </c>
      <c r="N72" s="161" t="s">
        <v>6039</v>
      </c>
      <c r="O72" s="118" t="str">
        <f t="array" ref="O72">IFERROR(
VLOOKUP(
TRIM(CLEAN(
INDEX(REPORTE_DROPI!K:K,
MATCH(T72, REPORTE_DROPI!B:B, 0)
))),
{
TRIM(CLEAN(MAPA_ESTADOS!A:A)) ,
MAPA_ESTADOS!B:B
},
2,
FALSE
),
"REVISAR"
)</f>
        <v>PENDIENTE</v>
      </c>
      <c r="P72" s="118" t="s">
        <v>5918</v>
      </c>
      <c r="Q72" s="153">
        <f t="shared" si="1"/>
        <v>0</v>
      </c>
      <c r="R72" s="163"/>
      <c r="S72" s="163"/>
      <c r="T72" s="118">
        <f t="array" ref="T72">IFERROR(
INDEX(REPORTE_DROPI!B:B,
MATCH(
CLEAN(TRIM(C72)),
CLEAN(TRIM(REPORTE_DROPI!E:E)),
0
)
),
""
)
</f>
        <v>4372193</v>
      </c>
      <c r="U72" s="163" t="s">
        <v>6040</v>
      </c>
      <c r="V72" s="164"/>
    </row>
    <row r="73" ht="22.5" hidden="1" customHeight="1">
      <c r="A73" s="161">
        <v>72.0</v>
      </c>
      <c r="B73" s="119">
        <v>46054.0</v>
      </c>
      <c r="C73" s="118" t="s">
        <v>6041</v>
      </c>
      <c r="D73" s="118" t="str">
        <f>IFERROR(__xludf.DUMMYFUNCTION("IFERROR( INDEX( FILTER( 'NOMBRE DE PRODUCTOS'!B:B, REGEXMATCH( UPPER( INDEX( REPORTE_DROPI!AC:AC, MATCH(T73, REPORTE_DROPI!B:B, 0) ) ), UPPER('NOMBRE DE PRODUCTOS'!A:A) ) ), 1 ), ""REVISAR"" )"),"FilmPro®")</f>
        <v>FilmPro®</v>
      </c>
      <c r="E73" s="120">
        <f t="array" ref="E73">IF(
UPPER(TRIM(CLEAN($O73)))="ENTREGADO",
IFERROR(
INDEX(REPORTE_DROPI!Y:Y,
MATCH($T73, REPORTE_DROPI!B:B, 0)
),
""
),
""
)
</f>
        <v>7.05</v>
      </c>
      <c r="F73" s="162">
        <v>3.0</v>
      </c>
      <c r="G73" s="122">
        <f t="array" ref="G73">IF(
UPPER(TRIM(CLEAN($O73)))="ENTREGADO",
IFERROR(
INDEX(REPORTE_DROPI!R:R,
MATCH($T73, REPORTE_DROPI!B:B, 0)
),
""
),
""
)
</f>
        <v>30</v>
      </c>
      <c r="H73" s="118" t="s">
        <v>3727</v>
      </c>
      <c r="I73" s="118" t="s">
        <v>3770</v>
      </c>
      <c r="J73" s="121">
        <f t="array" ref="J73">IF(
UPPER(TRIM(CLEAN($O73)))="ENTREGADO",
IFERROR(
INDEX(REPORTE_DROPI!T:T,
MATCH($T73, REPORTE_DROPI!B:B, 0)
),
""
),
""
)
</f>
        <v>6.16</v>
      </c>
      <c r="K73" s="118">
        <f t="array" ref="K73">IFERROR(
INDEX(REPORTE_DROPI!S:S,
MATCH($T73, REPORTE_DROPI!B:B, 0)
),
""
)</f>
        <v>16.79</v>
      </c>
      <c r="L73" s="118" t="str">
        <f>IF(
  O73&lt;&gt;"DEVOLUCION",
  "",
  IF(
    T73="",
    "",
    SUMIF(DEVOLUCION!F:F, T73, DEVOLUCION!D:D)
  )
)
</f>
        <v/>
      </c>
      <c r="M73" s="118" t="s">
        <v>5877</v>
      </c>
      <c r="N73" s="161" t="s">
        <v>6042</v>
      </c>
      <c r="O73" s="118" t="str">
        <f t="array" ref="O73">IFERROR(
VLOOKUP(
TRIM(CLEAN(
INDEX(REPORTE_DROPI!K:K,
MATCH(T73, REPORTE_DROPI!B:B, 0)
))),
{
TRIM(CLEAN(MAPA_ESTADOS!A:A)) ,
MAPA_ESTADOS!B:B
},
2,
FALSE
),
"REVISAR"
)</f>
        <v>ENTREGADO</v>
      </c>
      <c r="P73" s="118" t="s">
        <v>5692</v>
      </c>
      <c r="Q73" s="153">
        <f t="shared" si="1"/>
        <v>0</v>
      </c>
      <c r="R73" s="163"/>
      <c r="S73" s="163"/>
      <c r="T73" s="118">
        <f t="array" ref="T73">IFERROR(
INDEX(REPORTE_DROPI!B:B,
MATCH(
CLEAN(TRIM(C73)),
CLEAN(TRIM(REPORTE_DROPI!E:E)),
0
)
),
""
)
</f>
        <v>4360035</v>
      </c>
      <c r="U73" s="163" t="s">
        <v>6043</v>
      </c>
      <c r="V73" s="164"/>
    </row>
    <row r="74" ht="22.5" hidden="1" customHeight="1">
      <c r="A74" s="161">
        <v>73.0</v>
      </c>
      <c r="B74" s="119">
        <v>46054.0</v>
      </c>
      <c r="C74" s="118" t="s">
        <v>6044</v>
      </c>
      <c r="D74" s="118" t="str">
        <f>IFERROR(__xludf.DUMMYFUNCTION("IFERROR( INDEX( FILTER( 'NOMBRE DE PRODUCTOS'!B:B, REGEXMATCH( UPPER( INDEX( REPORTE_DROPI!AC:AC, MATCH(T74, REPORTE_DROPI!B:B, 0) ) ), UPPER('NOMBRE DE PRODUCTOS'!A:A) ) ), 1 ), ""REVISAR"" )"),"Llave Multifuncional 360™")</f>
        <v>Llave Multifuncional 360™</v>
      </c>
      <c r="E74" s="120" t="str">
        <f t="array" ref="E74">IF(
UPPER(TRIM(CLEAN($O74)))="ENTREGADO",
IFERROR(
INDEX(REPORTE_DROPI!Y:Y,
MATCH($T74, REPORTE_DROPI!B:B, 0)
),
""
),
""
)
</f>
        <v/>
      </c>
      <c r="F74" s="162">
        <v>1.0</v>
      </c>
      <c r="G74" s="122" t="str">
        <f t="array" ref="G74">IF(
UPPER(TRIM(CLEAN($O74)))="ENTREGADO",
IFERROR(
INDEX(REPORTE_DROPI!R:R,
MATCH($T74, REPORTE_DROPI!B:B, 0)
),
""
),
""
)
</f>
        <v/>
      </c>
      <c r="H74" s="118" t="s">
        <v>3727</v>
      </c>
      <c r="I74" s="118" t="s">
        <v>3740</v>
      </c>
      <c r="J74" s="121" t="str">
        <f t="array" ref="J74">IF(
UPPER(TRIM(CLEAN($O74)))="ENTREGADO",
IFERROR(
INDEX(REPORTE_DROPI!T:T,
MATCH($T74, REPORTE_DROPI!B:B, 0)
),
""
),
""
)
</f>
        <v/>
      </c>
      <c r="K74" s="118" t="str">
        <f t="array" ref="K74">IFERROR(
INDEX(REPORTE_DROPI!S:S,
MATCH($T74, REPORTE_DROPI!B:B, 0)
),
""
)</f>
        <v/>
      </c>
      <c r="L74" s="118" t="str">
        <f>IF(
  O74&lt;&gt;"DEVOLUCION",
  "",
  IF(
    T74="",
    "",
    SUMIF(DEVOLUCION!F:F, T74, DEVOLUCION!D:D)
  )
)
</f>
        <v/>
      </c>
      <c r="M74" s="118" t="s">
        <v>5877</v>
      </c>
      <c r="N74" s="161" t="s">
        <v>6045</v>
      </c>
      <c r="O74" s="118" t="str">
        <f t="array" ref="O74">IFERROR(
VLOOKUP(
TRIM(CLEAN(
INDEX(REPORTE_DROPI!K:K,
MATCH(T74, REPORTE_DROPI!B:B, 0)
))),
{
TRIM(CLEAN(MAPA_ESTADOS!A:A)) ,
MAPA_ESTADOS!B:B
},
2,
FALSE
),
"REVISAR"
)</f>
        <v>PENDIENTE</v>
      </c>
      <c r="P74" s="118" t="s">
        <v>6046</v>
      </c>
      <c r="Q74" s="153">
        <f t="shared" si="1"/>
        <v>0</v>
      </c>
      <c r="R74" s="163"/>
      <c r="S74" s="163"/>
      <c r="T74" s="118">
        <f t="array" ref="T74">IFERROR(
INDEX(REPORTE_DROPI!B:B,
MATCH(
CLEAN(TRIM(C74)),
CLEAN(TRIM(REPORTE_DROPI!E:E)),
0
)
),
""
)
</f>
        <v>4360337</v>
      </c>
      <c r="U74" s="163">
        <v>1.57100198145E11</v>
      </c>
      <c r="V74" s="164"/>
    </row>
    <row r="75" ht="22.5" hidden="1" customHeight="1">
      <c r="A75" s="161">
        <v>74.0</v>
      </c>
      <c r="B75" s="119">
        <v>46055.0</v>
      </c>
      <c r="C75" s="118" t="s">
        <v>6047</v>
      </c>
      <c r="D75" s="118" t="str">
        <f>IFERROR(__xludf.DUMMYFUNCTION("IFERROR( INDEX( FILTER( 'NOMBRE DE PRODUCTOS'!B:B, REGEXMATCH( UPPER( INDEX( REPORTE_DROPI!AC:AC, MATCH(T75, REPORTE_DROPI!B:B, 0) ) ), UPPER('NOMBRE DE PRODUCTOS'!A:A) ) ), 1 ), ""REVISAR"" )"),"FilmPro®")</f>
        <v>FilmPro®</v>
      </c>
      <c r="E75" s="120" t="str">
        <f t="array" ref="E75">IF(
UPPER(TRIM(CLEAN($O75)))="ENTREGADO",
IFERROR(
INDEX(REPORTE_DROPI!Y:Y,
MATCH($T75, REPORTE_DROPI!B:B, 0)
),
""
),
""
)
</f>
        <v/>
      </c>
      <c r="F75" s="162">
        <v>2.0</v>
      </c>
      <c r="G75" s="122" t="str">
        <f t="array" ref="G75">IF(
UPPER(TRIM(CLEAN($O75)))="ENTREGADO",
IFERROR(
INDEX(REPORTE_DROPI!R:R,
MATCH($T75, REPORTE_DROPI!B:B, 0)
),
""
),
""
)
</f>
        <v/>
      </c>
      <c r="H75" s="118" t="s">
        <v>3727</v>
      </c>
      <c r="I75" s="118" t="s">
        <v>3804</v>
      </c>
      <c r="J75" s="121" t="str">
        <f t="array" ref="J75">IF(
UPPER(TRIM(CLEAN($O75)))="ENTREGADO",
IFERROR(
INDEX(REPORTE_DROPI!T:T,
MATCH($T75, REPORTE_DROPI!B:B, 0)
),
""
),
""
)
</f>
        <v/>
      </c>
      <c r="K75" s="118" t="str">
        <f t="array" ref="K75">IFERROR(
INDEX(REPORTE_DROPI!S:S,
MATCH($T75, REPORTE_DROPI!B:B, 0)
),
""
)</f>
        <v/>
      </c>
      <c r="L75" s="118" t="str">
        <f>IF(
  O75&lt;&gt;"DEVOLUCION",
  "",
  IF(
    T75="",
    "",
    SUMIF(DEVOLUCION!F:F, T75, DEVOLUCION!D:D)
  )
)
</f>
        <v/>
      </c>
      <c r="M75" s="118" t="s">
        <v>5877</v>
      </c>
      <c r="N75" s="161" t="s">
        <v>6048</v>
      </c>
      <c r="O75" s="118" t="str">
        <f t="array" ref="O75">IFERROR(
VLOOKUP(
TRIM(CLEAN(
INDEX(REPORTE_DROPI!K:K,
MATCH(T75, REPORTE_DROPI!B:B, 0)
))),
{
TRIM(CLEAN(MAPA_ESTADOS!A:A)) ,
MAPA_ESTADOS!B:B
},
2,
FALSE
),
"REVISAR"
)</f>
        <v>PENDIENTE</v>
      </c>
      <c r="P75" s="118" t="s">
        <v>6037</v>
      </c>
      <c r="Q75" s="153">
        <f t="shared" si="1"/>
        <v>0</v>
      </c>
      <c r="R75" s="163"/>
      <c r="S75" s="163"/>
      <c r="T75" s="118">
        <f t="array" ref="T75">IFERROR(
INDEX(REPORTE_DROPI!B:B,
MATCH(
CLEAN(TRIM(C75)),
CLEAN(TRIM(REPORTE_DROPI!E:E)),
0
)
),
""
)
</f>
        <v>4360690</v>
      </c>
      <c r="U75" s="163" t="s">
        <v>6049</v>
      </c>
      <c r="V75" s="164"/>
    </row>
    <row r="76" ht="22.5" hidden="1" customHeight="1">
      <c r="A76" s="161">
        <v>75.0</v>
      </c>
      <c r="B76" s="119">
        <v>46055.0</v>
      </c>
      <c r="C76" s="118" t="s">
        <v>6050</v>
      </c>
      <c r="D76" s="118" t="str">
        <f>IFERROR(__xludf.DUMMYFUNCTION("IFERROR( INDEX( FILTER( 'NOMBRE DE PRODUCTOS'!B:B, REGEXMATCH( UPPER( INDEX( REPORTE_DROPI!AC:AC, MATCH(T76, REPORTE_DROPI!B:B, 0) ) ), UPPER('NOMBRE DE PRODUCTOS'!A:A) ) ), 1 ), ""REVISAR"" )"),"FilmPro®")</f>
        <v>FilmPro®</v>
      </c>
      <c r="E76" s="120">
        <f t="array" ref="E76">IF(
UPPER(TRIM(CLEAN($O76)))="ENTREGADO",
IFERROR(
INDEX(REPORTE_DROPI!Y:Y,
MATCH($T76, REPORTE_DROPI!B:B, 0)
),
""
),
""
)
</f>
        <v>4.7</v>
      </c>
      <c r="F76" s="162">
        <v>2.0</v>
      </c>
      <c r="G76" s="122">
        <f t="array" ref="G76">IF(
UPPER(TRIM(CLEAN($O76)))="ENTREGADO",
IFERROR(
INDEX(REPORTE_DROPI!R:R,
MATCH($T76, REPORTE_DROPI!B:B, 0)
),
""
),
""
)
</f>
        <v>25</v>
      </c>
      <c r="H76" s="118" t="s">
        <v>3727</v>
      </c>
      <c r="I76" s="118" t="s">
        <v>3801</v>
      </c>
      <c r="J76" s="121">
        <f t="array" ref="J76">IF(
UPPER(TRIM(CLEAN($O76)))="ENTREGADO",
IFERROR(
INDEX(REPORTE_DROPI!T:T,
MATCH($T76, REPORTE_DROPI!B:B, 0)
),
""
),
""
)
</f>
        <v>5.96</v>
      </c>
      <c r="K76" s="118">
        <f t="array" ref="K76">IFERROR(
INDEX(REPORTE_DROPI!S:S,
MATCH($T76, REPORTE_DROPI!B:B, 0)
),
""
)</f>
        <v>14.34</v>
      </c>
      <c r="L76" s="118" t="str">
        <f>IF(
  O76&lt;&gt;"DEVOLUCION",
  "",
  IF(
    T76="",
    "",
    SUMIF(DEVOLUCION!F:F, T76, DEVOLUCION!D:D)
  )
)
</f>
        <v/>
      </c>
      <c r="M76" s="118" t="s">
        <v>5877</v>
      </c>
      <c r="N76" s="161" t="s">
        <v>6051</v>
      </c>
      <c r="O76" s="118" t="str">
        <f t="array" ref="O76">IFERROR(
VLOOKUP(
TRIM(CLEAN(
INDEX(REPORTE_DROPI!K:K,
MATCH(T76, REPORTE_DROPI!B:B, 0)
))),
{
TRIM(CLEAN(MAPA_ESTADOS!A:A)) ,
MAPA_ESTADOS!B:B
},
2,
FALSE
),
"REVISAR"
)</f>
        <v>ENTREGADO</v>
      </c>
      <c r="P76" s="118" t="s">
        <v>5692</v>
      </c>
      <c r="Q76" s="153">
        <f t="shared" si="1"/>
        <v>0</v>
      </c>
      <c r="R76" s="163"/>
      <c r="S76" s="163"/>
      <c r="T76" s="118">
        <f t="array" ref="T76">IFERROR(
INDEX(REPORTE_DROPI!B:B,
MATCH(
CLEAN(TRIM(C76)),
CLEAN(TRIM(REPORTE_DROPI!E:E)),
0
)
),
""
)
</f>
        <v>4360777</v>
      </c>
      <c r="U76" s="163">
        <v>1.57100110165E11</v>
      </c>
      <c r="V76" s="164"/>
    </row>
    <row r="77" ht="22.5" hidden="1" customHeight="1">
      <c r="A77" s="161">
        <v>76.0</v>
      </c>
      <c r="B77" s="119">
        <v>46055.0</v>
      </c>
      <c r="C77" s="118" t="s">
        <v>6052</v>
      </c>
      <c r="D77" s="118" t="str">
        <f>IFERROR(__xludf.DUMMYFUNCTION("IFERROR( INDEX( FILTER( 'NOMBRE DE PRODUCTOS'!B:B, REGEXMATCH( UPPER( INDEX( REPORTE_DROPI!AC:AC, MATCH(T77, REPORTE_DROPI!B:B, 0) ) ), UPPER('NOMBRE DE PRODUCTOS'!A:A) ) ), 1 ), ""REVISAR"" )"),"Llave Multifuncional 360™")</f>
        <v>Llave Multifuncional 360™</v>
      </c>
      <c r="E77" s="120" t="str">
        <f t="array" ref="E77">IF(
UPPER(TRIM(CLEAN($O77)))="ENTREGADO",
IFERROR(
INDEX(REPORTE_DROPI!Y:Y,
MATCH($T77, REPORTE_DROPI!B:B, 0)
),
""
),
""
)
</f>
        <v/>
      </c>
      <c r="F77" s="162">
        <v>2.0</v>
      </c>
      <c r="G77" s="122" t="str">
        <f t="array" ref="G77">IF(
UPPER(TRIM(CLEAN($O77)))="ENTREGADO",
IFERROR(
INDEX(REPORTE_DROPI!R:R,
MATCH($T77, REPORTE_DROPI!B:B, 0)
),
""
),
""
)
</f>
        <v/>
      </c>
      <c r="H77" s="118" t="s">
        <v>3727</v>
      </c>
      <c r="I77" s="118" t="s">
        <v>3740</v>
      </c>
      <c r="J77" s="121" t="str">
        <f t="array" ref="J77">IF(
UPPER(TRIM(CLEAN($O77)))="ENTREGADO",
IFERROR(
INDEX(REPORTE_DROPI!T:T,
MATCH($T77, REPORTE_DROPI!B:B, 0)
),
""
),
""
)
</f>
        <v/>
      </c>
      <c r="K77" s="118" t="str">
        <f t="array" ref="K77">IFERROR(
INDEX(REPORTE_DROPI!S:S,
MATCH($T77, REPORTE_DROPI!B:B, 0)
),
""
)</f>
        <v/>
      </c>
      <c r="L77" s="118" t="str">
        <f>IF(
  O77&lt;&gt;"DEVOLUCION",
  "",
  IF(
    T77="",
    "",
    SUMIF(DEVOLUCION!F:F, T77, DEVOLUCION!D:D)
  )
)
</f>
        <v/>
      </c>
      <c r="M77" s="118" t="s">
        <v>5877</v>
      </c>
      <c r="N77" s="161" t="s">
        <v>6053</v>
      </c>
      <c r="O77" s="118" t="str">
        <f t="array" ref="O77">IFERROR(
VLOOKUP(
TRIM(CLEAN(
INDEX(REPORTE_DROPI!K:K,
MATCH(T77, REPORTE_DROPI!B:B, 0)
))),
{
TRIM(CLEAN(MAPA_ESTADOS!A:A)) ,
MAPA_ESTADOS!B:B
},
2,
FALSE
),
"REVISAR"
)</f>
        <v>PENDIENTE</v>
      </c>
      <c r="P77" s="118" t="s">
        <v>6037</v>
      </c>
      <c r="Q77" s="153">
        <f t="shared" si="1"/>
        <v>0</v>
      </c>
      <c r="R77" s="163"/>
      <c r="S77" s="163"/>
      <c r="T77" s="118">
        <f t="array" ref="T77">IFERROR(
INDEX(REPORTE_DROPI!B:B,
MATCH(
CLEAN(TRIM(C77)),
CLEAN(TRIM(REPORTE_DROPI!E:E)),
0
)
),
""
)
</f>
        <v>4361137</v>
      </c>
      <c r="U77" s="163" t="s">
        <v>6054</v>
      </c>
      <c r="V77" s="164"/>
    </row>
    <row r="78" ht="22.5" hidden="1" customHeight="1">
      <c r="A78" s="161">
        <v>77.0</v>
      </c>
      <c r="B78" s="119">
        <v>46055.0</v>
      </c>
      <c r="C78" s="118" t="s">
        <v>6055</v>
      </c>
      <c r="D78" s="118" t="str">
        <f>IFERROR(__xludf.DUMMYFUNCTION("IFERROR( INDEX( FILTER( 'NOMBRE DE PRODUCTOS'!B:B, REGEXMATCH( UPPER( INDEX( REPORTE_DROPI!AC:AC, MATCH(T78, REPORTE_DROPI!B:B, 0) ) ), UPPER('NOMBRE DE PRODUCTOS'!A:A) ) ), 1 ), ""REVISAR"" )"),"Llave Multifuncional 360™")</f>
        <v>Llave Multifuncional 360™</v>
      </c>
      <c r="E78" s="120" t="str">
        <f t="array" ref="E78">IF(
UPPER(TRIM(CLEAN($O78)))="ENTREGADO",
IFERROR(
INDEX(REPORTE_DROPI!Y:Y,
MATCH($T78, REPORTE_DROPI!B:B, 0)
),
""
),
""
)
</f>
        <v/>
      </c>
      <c r="F78" s="162">
        <v>2.0</v>
      </c>
      <c r="G78" s="122" t="str">
        <f t="array" ref="G78">IF(
UPPER(TRIM(CLEAN($O78)))="ENTREGADO",
IFERROR(
INDEX(REPORTE_DROPI!R:R,
MATCH($T78, REPORTE_DROPI!B:B, 0)
),
""
),
""
)
</f>
        <v/>
      </c>
      <c r="H78" s="118" t="s">
        <v>3727</v>
      </c>
      <c r="I78" s="118" t="s">
        <v>3740</v>
      </c>
      <c r="J78" s="121" t="str">
        <f t="array" ref="J78">IF(
UPPER(TRIM(CLEAN($O78)))="ENTREGADO",
IFERROR(
INDEX(REPORTE_DROPI!T:T,
MATCH($T78, REPORTE_DROPI!B:B, 0)
),
""
),
""
)
</f>
        <v/>
      </c>
      <c r="K78" s="118" t="str">
        <f t="array" ref="K78">IFERROR(
INDEX(REPORTE_DROPI!S:S,
MATCH($T78, REPORTE_DROPI!B:B, 0)
),
""
)</f>
        <v/>
      </c>
      <c r="L78" s="118">
        <f>IF(
  O78&lt;&gt;"DEVOLUCION",
  "",
  IF(
    T78="",
    "",
    SUMIF(DEVOLUCION!F:F, T78, DEVOLUCION!D:D)
  )
)
</f>
        <v>5.11</v>
      </c>
      <c r="M78" s="118" t="s">
        <v>5877</v>
      </c>
      <c r="N78" s="161" t="s">
        <v>6056</v>
      </c>
      <c r="O78" s="118" t="str">
        <f t="array" ref="O78">IFERROR(
VLOOKUP(
TRIM(CLEAN(
INDEX(REPORTE_DROPI!K:K,
MATCH(T78, REPORTE_DROPI!B:B, 0)
))),
{
TRIM(CLEAN(MAPA_ESTADOS!A:A)) ,
MAPA_ESTADOS!B:B
},
2,
FALSE
),
"REVISAR"
)</f>
        <v>DEVOLUCION</v>
      </c>
      <c r="P78" s="118" t="s">
        <v>5692</v>
      </c>
      <c r="Q78" s="153">
        <f t="shared" si="1"/>
        <v>0</v>
      </c>
      <c r="R78" s="163" t="s">
        <v>3675</v>
      </c>
      <c r="S78" s="163" t="s">
        <v>6057</v>
      </c>
      <c r="T78" s="118">
        <f t="array" ref="T78">IFERROR(
INDEX(REPORTE_DROPI!B:B,
MATCH(
CLEAN(TRIM(C78)),
CLEAN(TRIM(REPORTE_DROPI!E:E)),
0
)
),
""
)
</f>
        <v>4361504</v>
      </c>
      <c r="U78" s="163" t="s">
        <v>6058</v>
      </c>
      <c r="V78" s="164"/>
    </row>
    <row r="79" ht="22.5" hidden="1" customHeight="1">
      <c r="A79" s="161">
        <v>78.0</v>
      </c>
      <c r="B79" s="119">
        <v>46055.0</v>
      </c>
      <c r="C79" s="118" t="s">
        <v>6059</v>
      </c>
      <c r="D79" s="118" t="str">
        <f>IFERROR(__xludf.DUMMYFUNCTION("IFERROR( INDEX( FILTER( 'NOMBRE DE PRODUCTOS'!B:B, REGEXMATCH( UPPER( INDEX( REPORTE_DROPI!AC:AC, MATCH(T79, REPORTE_DROPI!B:B, 0) ) ), UPPER('NOMBRE DE PRODUCTOS'!A:A) ) ), 1 ), ""REVISAR"" )"),"Cuchillo Tazaki™")</f>
        <v>Cuchillo Tazaki™</v>
      </c>
      <c r="E79" s="120">
        <f t="array" ref="E79">IF(
UPPER(TRIM(CLEAN($O79)))="ENTREGADO",
IFERROR(
INDEX(REPORTE_DROPI!Y:Y,
MATCH($T79, REPORTE_DROPI!B:B, 0)
),
""
),
""
)
</f>
        <v>5.2</v>
      </c>
      <c r="F79" s="162">
        <v>2.0</v>
      </c>
      <c r="G79" s="122">
        <f t="array" ref="G79">IF(
UPPER(TRIM(CLEAN($O79)))="ENTREGADO",
IFERROR(
INDEX(REPORTE_DROPI!R:R,
MATCH($T79, REPORTE_DROPI!B:B, 0)
),
""
),
""
)
</f>
        <v>22</v>
      </c>
      <c r="H79" s="118" t="s">
        <v>3727</v>
      </c>
      <c r="I79" s="118" t="s">
        <v>3740</v>
      </c>
      <c r="J79" s="121">
        <f t="array" ref="J79">IF(
UPPER(TRIM(CLEAN($O79)))="ENTREGADO",
IFERROR(
INDEX(REPORTE_DROPI!T:T,
MATCH($T79, REPORTE_DROPI!B:B, 0)
),
""
),
""
)
</f>
        <v>7.7</v>
      </c>
      <c r="K79" s="118">
        <f t="array" ref="K79">IFERROR(
INDEX(REPORTE_DROPI!S:S,
MATCH($T79, REPORTE_DROPI!B:B, 0)
),
""
)</f>
        <v>9.1</v>
      </c>
      <c r="L79" s="118" t="str">
        <f>IF(
  O79&lt;&gt;"DEVOLUCION",
  "",
  IF(
    T79="",
    "",
    SUMIF(DEVOLUCION!F:F, T79, DEVOLUCION!D:D)
  )
)
</f>
        <v/>
      </c>
      <c r="M79" s="118" t="s">
        <v>5877</v>
      </c>
      <c r="N79" s="161" t="s">
        <v>6060</v>
      </c>
      <c r="O79" s="118" t="str">
        <f t="array" ref="O79">IFERROR(
VLOOKUP(
TRIM(CLEAN(
INDEX(REPORTE_DROPI!K:K,
MATCH(T79, REPORTE_DROPI!B:B, 0)
))),
{
TRIM(CLEAN(MAPA_ESTADOS!A:A)) ,
MAPA_ESTADOS!B:B
},
2,
FALSE
),
"REVISAR"
)</f>
        <v>ENTREGADO</v>
      </c>
      <c r="P79" s="118" t="s">
        <v>5692</v>
      </c>
      <c r="Q79" s="153">
        <f t="shared" si="1"/>
        <v>0</v>
      </c>
      <c r="R79" s="163"/>
      <c r="S79" s="163"/>
      <c r="T79" s="118">
        <f t="array" ref="T79">IFERROR(
INDEX(REPORTE_DROPI!B:B,
MATCH(
CLEAN(TRIM(C79)),
CLEAN(TRIM(REPORTE_DROPI!E:E)),
0
)
),
""
)
</f>
        <v>4361648</v>
      </c>
      <c r="U79" s="163" t="s">
        <v>6061</v>
      </c>
      <c r="V79" s="164"/>
    </row>
    <row r="80" ht="22.5" hidden="1" customHeight="1">
      <c r="A80" s="161">
        <v>79.0</v>
      </c>
      <c r="B80" s="119">
        <v>46055.0</v>
      </c>
      <c r="C80" s="118" t="s">
        <v>6062</v>
      </c>
      <c r="D80" s="118" t="str">
        <f>IFERROR(__xludf.DUMMYFUNCTION("IFERROR( INDEX( FILTER( 'NOMBRE DE PRODUCTOS'!B:B, REGEXMATCH( UPPER( INDEX( REPORTE_DROPI!AC:AC, MATCH(T80, REPORTE_DROPI!B:B, 0) ) ), UPPER('NOMBRE DE PRODUCTOS'!A:A) ) ), 1 ), ""REVISAR"" )"),"FilmPro®")</f>
        <v>FilmPro®</v>
      </c>
      <c r="E80" s="120">
        <f t="array" ref="E80">IF(
UPPER(TRIM(CLEAN($O80)))="ENTREGADO",
IFERROR(
INDEX(REPORTE_DROPI!Y:Y,
MATCH($T80, REPORTE_DROPI!B:B, 0)
),
""
),
""
)
</f>
        <v>6.6</v>
      </c>
      <c r="F80" s="162">
        <v>3.0</v>
      </c>
      <c r="G80" s="122">
        <f t="array" ref="G80">IF(
UPPER(TRIM(CLEAN($O80)))="ENTREGADO",
IFERROR(
INDEX(REPORTE_DROPI!R:R,
MATCH($T80, REPORTE_DROPI!B:B, 0)
),
""
),
""
)
</f>
        <v>30</v>
      </c>
      <c r="H80" s="118" t="s">
        <v>3727</v>
      </c>
      <c r="I80" s="118" t="s">
        <v>6063</v>
      </c>
      <c r="J80" s="121">
        <f t="array" ref="J80">IF(
UPPER(TRIM(CLEAN($O80)))="ENTREGADO",
IFERROR(
INDEX(REPORTE_DROPI!T:T,
MATCH($T80, REPORTE_DROPI!B:B, 0)
),
""
),
""
)
</f>
        <v>6.16</v>
      </c>
      <c r="K80" s="118">
        <f t="array" ref="K80">IFERROR(
INDEX(REPORTE_DROPI!S:S,
MATCH($T80, REPORTE_DROPI!B:B, 0)
),
""
)</f>
        <v>17.24</v>
      </c>
      <c r="L80" s="118" t="str">
        <f>IF(
  O80&lt;&gt;"DEVOLUCION",
  "",
  IF(
    T80="",
    "",
    SUMIF(DEVOLUCION!F:F, T80, DEVOLUCION!D:D)
  )
)
</f>
        <v/>
      </c>
      <c r="M80" s="118" t="s">
        <v>5877</v>
      </c>
      <c r="N80" s="161" t="s">
        <v>6064</v>
      </c>
      <c r="O80" s="118" t="str">
        <f t="array" ref="O80">IFERROR(
VLOOKUP(
TRIM(CLEAN(
INDEX(REPORTE_DROPI!K:K,
MATCH(T80, REPORTE_DROPI!B:B, 0)
))),
{
TRIM(CLEAN(MAPA_ESTADOS!A:A)) ,
MAPA_ESTADOS!B:B
},
2,
FALSE
),
"REVISAR"
)</f>
        <v>ENTREGADO</v>
      </c>
      <c r="P80" s="118" t="s">
        <v>3689</v>
      </c>
      <c r="Q80" s="153">
        <f t="shared" si="1"/>
        <v>0</v>
      </c>
      <c r="R80" s="163"/>
      <c r="S80" s="163"/>
      <c r="T80" s="118">
        <f t="array" ref="T80">IFERROR(
INDEX(REPORTE_DROPI!B:B,
MATCH(
CLEAN(TRIM(C80)),
CLEAN(TRIM(REPORTE_DROPI!E:E)),
0
)
),
""
)
</f>
        <v>4432024</v>
      </c>
      <c r="U80" s="163" t="s">
        <v>6065</v>
      </c>
      <c r="V80" s="164"/>
    </row>
    <row r="81" ht="22.5" hidden="1" customHeight="1">
      <c r="A81" s="161">
        <v>80.0</v>
      </c>
      <c r="B81" s="119">
        <v>46055.0</v>
      </c>
      <c r="C81" s="118" t="s">
        <v>6066</v>
      </c>
      <c r="D81" s="118" t="str">
        <f>IFERROR(__xludf.DUMMYFUNCTION("IFERROR( INDEX( FILTER( 'NOMBRE DE PRODUCTOS'!B:B, REGEXMATCH( UPPER( INDEX( REPORTE_DROPI!AC:AC, MATCH(T81, REPORTE_DROPI!B:B, 0) ) ), UPPER('NOMBRE DE PRODUCTOS'!A:A) ) ), 1 ), ""REVISAR"" )"),"FilmPro®")</f>
        <v>FilmPro®</v>
      </c>
      <c r="E81" s="120">
        <f t="array" ref="E81">IF(
UPPER(TRIM(CLEAN($O81)))="ENTREGADO",
IFERROR(
INDEX(REPORTE_DROPI!Y:Y,
MATCH($T81, REPORTE_DROPI!B:B, 0)
),
""
),
""
)
</f>
        <v>7.05</v>
      </c>
      <c r="F81" s="162">
        <v>3.0</v>
      </c>
      <c r="G81" s="122">
        <f t="array" ref="G81">IF(
UPPER(TRIM(CLEAN($O81)))="ENTREGADO",
IFERROR(
INDEX(REPORTE_DROPI!R:R,
MATCH($T81, REPORTE_DROPI!B:B, 0)
),
""
),
""
)
</f>
        <v>30</v>
      </c>
      <c r="H81" s="118" t="s">
        <v>3727</v>
      </c>
      <c r="I81" s="118" t="s">
        <v>3731</v>
      </c>
      <c r="J81" s="121">
        <f t="array" ref="J81">IF(
UPPER(TRIM(CLEAN($O81)))="ENTREGADO",
IFERROR(
INDEX(REPORTE_DROPI!T:T,
MATCH($T81, REPORTE_DROPI!B:B, 0)
),
""
),
""
)
</f>
        <v>5.12</v>
      </c>
      <c r="K81" s="118">
        <f t="array" ref="K81">IFERROR(
INDEX(REPORTE_DROPI!S:S,
MATCH($T81, REPORTE_DROPI!B:B, 0)
),
""
)</f>
        <v>17.83</v>
      </c>
      <c r="L81" s="118" t="str">
        <f>IF(
  O81&lt;&gt;"DEVOLUCION",
  "",
  IF(
    T81="",
    "",
    SUMIF(DEVOLUCION!F:F, T81, DEVOLUCION!D:D)
  )
)
</f>
        <v/>
      </c>
      <c r="M81" s="118" t="s">
        <v>5877</v>
      </c>
      <c r="N81" s="161" t="s">
        <v>6067</v>
      </c>
      <c r="O81" s="118" t="str">
        <f t="array" ref="O81">IFERROR(
VLOOKUP(
TRIM(CLEAN(
INDEX(REPORTE_DROPI!K:K,
MATCH(T81, REPORTE_DROPI!B:B, 0)
))),
{
TRIM(CLEAN(MAPA_ESTADOS!A:A)) ,
MAPA_ESTADOS!B:B
},
2,
FALSE
),
"REVISAR"
)</f>
        <v>ENTREGADO</v>
      </c>
      <c r="P81" s="118" t="s">
        <v>5692</v>
      </c>
      <c r="Q81" s="153">
        <f t="shared" si="1"/>
        <v>0</v>
      </c>
      <c r="R81" s="163"/>
      <c r="S81" s="163"/>
      <c r="T81" s="118">
        <f t="array" ref="T81">IFERROR(
INDEX(REPORTE_DROPI!B:B,
MATCH(
CLEAN(TRIM(C81)),
CLEAN(TRIM(REPORTE_DROPI!E:E)),
0
)
),
""
)
</f>
        <v>4361987</v>
      </c>
      <c r="U81" s="163" t="s">
        <v>6068</v>
      </c>
      <c r="V81" s="164"/>
    </row>
    <row r="82" ht="22.5" hidden="1" customHeight="1">
      <c r="A82" s="161">
        <v>81.0</v>
      </c>
      <c r="B82" s="119">
        <v>46055.0</v>
      </c>
      <c r="C82" s="118" t="s">
        <v>6069</v>
      </c>
      <c r="D82" s="118" t="str">
        <f>IFERROR(__xludf.DUMMYFUNCTION("IFERROR( INDEX( FILTER( 'NOMBRE DE PRODUCTOS'!B:B, REGEXMATCH( UPPER( INDEX( REPORTE_DROPI!AC:AC, MATCH(T82, REPORTE_DROPI!B:B, 0) ) ), UPPER('NOMBRE DE PRODUCTOS'!A:A) ) ), 1 ), ""REVISAR"" )"),"Cuchillo Tazaki™")</f>
        <v>Cuchillo Tazaki™</v>
      </c>
      <c r="E82" s="120" t="str">
        <f t="array" ref="E82">IF(
UPPER(TRIM(CLEAN($O82)))="ENTREGADO",
IFERROR(
INDEX(REPORTE_DROPI!Y:Y,
MATCH($T82, REPORTE_DROPI!B:B, 0)
),
""
),
""
)
</f>
        <v/>
      </c>
      <c r="F82" s="162">
        <v>2.0</v>
      </c>
      <c r="G82" s="122" t="str">
        <f t="array" ref="G82">IF(
UPPER(TRIM(CLEAN($O82)))="ENTREGADO",
IFERROR(
INDEX(REPORTE_DROPI!R:R,
MATCH($T82, REPORTE_DROPI!B:B, 0)
),
""
),
""
)
</f>
        <v/>
      </c>
      <c r="H82" s="118" t="s">
        <v>3727</v>
      </c>
      <c r="I82" s="118" t="s">
        <v>3728</v>
      </c>
      <c r="J82" s="121" t="str">
        <f t="array" ref="J82">IF(
UPPER(TRIM(CLEAN($O82)))="ENTREGADO",
IFERROR(
INDEX(REPORTE_DROPI!T:T,
MATCH($T82, REPORTE_DROPI!B:B, 0)
),
""
),
""
)
</f>
        <v/>
      </c>
      <c r="K82" s="118" t="str">
        <f t="array" ref="K82">IFERROR(
INDEX(REPORTE_DROPI!S:S,
MATCH($T82, REPORTE_DROPI!B:B, 0)
),
""
)</f>
        <v/>
      </c>
      <c r="L82" s="118">
        <f>IF(
  O82&lt;&gt;"DEVOLUCION",
  "",
  IF(
    T82="",
    "",
    SUMIF(DEVOLUCION!F:F, T82, DEVOLUCION!D:D)
  )
)
</f>
        <v>5.07</v>
      </c>
      <c r="M82" s="118" t="s">
        <v>5877</v>
      </c>
      <c r="N82" s="161" t="s">
        <v>6070</v>
      </c>
      <c r="O82" s="118" t="str">
        <f t="array" ref="O82">IFERROR(
VLOOKUP(
TRIM(CLEAN(
INDEX(REPORTE_DROPI!K:K,
MATCH(T82, REPORTE_DROPI!B:B, 0)
))),
{
TRIM(CLEAN(MAPA_ESTADOS!A:A)) ,
MAPA_ESTADOS!B:B
},
2,
FALSE
),
"REVISAR"
)</f>
        <v>DEVOLUCION</v>
      </c>
      <c r="P82" s="118" t="s">
        <v>5692</v>
      </c>
      <c r="Q82" s="153">
        <f t="shared" si="1"/>
        <v>0</v>
      </c>
      <c r="R82" s="163"/>
      <c r="S82" s="163"/>
      <c r="T82" s="118">
        <f t="array" ref="T82">IFERROR(
INDEX(REPORTE_DROPI!B:B,
MATCH(
CLEAN(TRIM(C82)),
CLEAN(TRIM(REPORTE_DROPI!E:E)),
0
)
),
""
)
</f>
        <v>4362190</v>
      </c>
      <c r="U82" s="163" t="s">
        <v>6071</v>
      </c>
      <c r="V82" s="164"/>
    </row>
    <row r="83" ht="22.5" hidden="1" customHeight="1">
      <c r="A83" s="161">
        <v>82.0</v>
      </c>
      <c r="B83" s="119">
        <v>46055.0</v>
      </c>
      <c r="C83" s="118" t="s">
        <v>6072</v>
      </c>
      <c r="D83" s="118" t="str">
        <f>IFERROR(__xludf.DUMMYFUNCTION("IFERROR( INDEX( FILTER( 'NOMBRE DE PRODUCTOS'!B:B, REGEXMATCH( UPPER( INDEX( REPORTE_DROPI!AC:AC, MATCH(T83, REPORTE_DROPI!B:B, 0) ) ), UPPER('NOMBRE DE PRODUCTOS'!A:A) ) ), 1 ), ""REVISAR"" )"),"Cuchillo Tazaki™")</f>
        <v>Cuchillo Tazaki™</v>
      </c>
      <c r="E83" s="120" t="str">
        <f t="array" ref="E83">IF(
UPPER(TRIM(CLEAN($O83)))="ENTREGADO",
IFERROR(
INDEX(REPORTE_DROPI!Y:Y,
MATCH($T83, REPORTE_DROPI!B:B, 0)
),
""
),
""
)
</f>
        <v/>
      </c>
      <c r="F83" s="162">
        <v>2.0</v>
      </c>
      <c r="G83" s="122" t="str">
        <f t="array" ref="G83">IF(
UPPER(TRIM(CLEAN($O83)))="ENTREGADO",
IFERROR(
INDEX(REPORTE_DROPI!R:R,
MATCH($T83, REPORTE_DROPI!B:B, 0)
),
""
),
""
)
</f>
        <v/>
      </c>
      <c r="H83" s="118" t="s">
        <v>3727</v>
      </c>
      <c r="I83" s="118" t="s">
        <v>3912</v>
      </c>
      <c r="J83" s="121" t="str">
        <f t="array" ref="J83">IF(
UPPER(TRIM(CLEAN($O83)))="ENTREGADO",
IFERROR(
INDEX(REPORTE_DROPI!T:T,
MATCH($T83, REPORTE_DROPI!B:B, 0)
),
""
),
""
)
</f>
        <v/>
      </c>
      <c r="K83" s="118" t="str">
        <f t="array" ref="K83">IFERROR(
INDEX(REPORTE_DROPI!S:S,
MATCH($T83, REPORTE_DROPI!B:B, 0)
),
""
)</f>
        <v/>
      </c>
      <c r="L83" s="118" t="str">
        <f>IF(
  O83&lt;&gt;"DEVOLUCION",
  "",
  IF(
    T83="",
    "",
    SUMIF(DEVOLUCION!F:F, T83, DEVOLUCION!D:D)
  )
)
</f>
        <v/>
      </c>
      <c r="M83" s="118" t="s">
        <v>5877</v>
      </c>
      <c r="N83" s="161" t="s">
        <v>6073</v>
      </c>
      <c r="O83" s="118" t="str">
        <f t="array" ref="O83">IFERROR(
VLOOKUP(
TRIM(CLEAN(
INDEX(REPORTE_DROPI!K:K,
MATCH(T83, REPORTE_DROPI!B:B, 0)
))),
{
TRIM(CLEAN(MAPA_ESTADOS!A:A)) ,
MAPA_ESTADOS!B:B
},
2,
FALSE
),
"REVISAR"
)</f>
        <v>PENDIENTE</v>
      </c>
      <c r="P83" s="118" t="s">
        <v>6074</v>
      </c>
      <c r="Q83" s="153">
        <f t="shared" si="1"/>
        <v>0</v>
      </c>
      <c r="R83" s="163"/>
      <c r="S83" s="163"/>
      <c r="T83" s="118">
        <f t="array" ref="T83">IFERROR(
INDEX(REPORTE_DROPI!B:B,
MATCH(
CLEAN(TRIM(C83)),
CLEAN(TRIM(REPORTE_DROPI!E:E)),
0
)
),
""
)
</f>
        <v>4362434</v>
      </c>
      <c r="U83" s="163" t="s">
        <v>6075</v>
      </c>
      <c r="V83" s="164"/>
    </row>
    <row r="84" ht="22.5" hidden="1" customHeight="1">
      <c r="A84" s="161">
        <v>83.0</v>
      </c>
      <c r="B84" s="119">
        <v>46055.0</v>
      </c>
      <c r="C84" s="118" t="s">
        <v>6076</v>
      </c>
      <c r="D84" s="118" t="str">
        <f>IFERROR(__xludf.DUMMYFUNCTION("IFERROR( INDEX( FILTER( 'NOMBRE DE PRODUCTOS'!B:B, REGEXMATCH( UPPER( INDEX( REPORTE_DROPI!AC:AC, MATCH(T84, REPORTE_DROPI!B:B, 0) ) ), UPPER('NOMBRE DE PRODUCTOS'!A:A) ) ), 1 ), ""REVISAR"" )"),"REVISAR")</f>
        <v>REVISAR</v>
      </c>
      <c r="E84" s="120" t="str">
        <f t="array" ref="E84">IF(
UPPER(TRIM(CLEAN($O84)))="ENTREGADO",
IFERROR(
INDEX(REPORTE_DROPI!Y:Y,
MATCH($T84, REPORTE_DROPI!B:B, 0)
),
""
),
""
)
</f>
        <v/>
      </c>
      <c r="F84" s="162">
        <v>1.0</v>
      </c>
      <c r="G84" s="122" t="str">
        <f t="array" ref="G84">IF(
UPPER(TRIM(CLEAN($O84)))="ENTREGADO",
IFERROR(
INDEX(REPORTE_DROPI!R:R,
MATCH($T84, REPORTE_DROPI!B:B, 0)
),
""
),
""
)
</f>
        <v/>
      </c>
      <c r="H84" s="118" t="s">
        <v>3727</v>
      </c>
      <c r="I84" s="118" t="s">
        <v>6063</v>
      </c>
      <c r="J84" s="121" t="str">
        <f t="array" ref="J84">IF(
UPPER(TRIM(CLEAN($O84)))="ENTREGADO",
IFERROR(
INDEX(REPORTE_DROPI!T:T,
MATCH($T84, REPORTE_DROPI!B:B, 0)
),
""
),
""
)
</f>
        <v/>
      </c>
      <c r="K84" s="118" t="str">
        <f t="array" ref="K84">IFERROR(
INDEX(REPORTE_DROPI!S:S,
MATCH($T84, REPORTE_DROPI!B:B, 0)
),
""
)</f>
        <v/>
      </c>
      <c r="L84" s="118" t="str">
        <f>IF(
  O84&lt;&gt;"DEVOLUCION",
  "",
  IF(
    T84="",
    "",
    SUMIF(DEVOLUCION!F:F, T84, DEVOLUCION!D:D)
  )
)
</f>
        <v/>
      </c>
      <c r="M84" s="118" t="s">
        <v>5877</v>
      </c>
      <c r="N84" s="161" t="s">
        <v>6077</v>
      </c>
      <c r="O84" s="118" t="str">
        <f t="array" ref="O84">IFERROR(
VLOOKUP(
TRIM(CLEAN(
INDEX(REPORTE_DROPI!K:K,
MATCH(T84, REPORTE_DROPI!B:B, 0)
))),
{
TRIM(CLEAN(MAPA_ESTADOS!A:A)) ,
MAPA_ESTADOS!B:B
},
2,
FALSE
),
"REVISAR"
)</f>
        <v>REVISAR</v>
      </c>
      <c r="P84" s="118" t="s">
        <v>6078</v>
      </c>
      <c r="Q84" s="153">
        <f t="shared" si="1"/>
        <v>0</v>
      </c>
      <c r="R84" s="163"/>
      <c r="S84" s="163"/>
      <c r="T84" s="118" t="str">
        <f t="array" ref="T84">IFERROR(
INDEX(REPORTE_DROPI!B:B,
MATCH(
CLEAN(TRIM(C84)),
CLEAN(TRIM(REPORTE_DROPI!E:E)),
0
)
),
""
)
</f>
        <v/>
      </c>
      <c r="U84" s="163">
        <v>1.57100202215E11</v>
      </c>
      <c r="V84" s="164"/>
    </row>
    <row r="85" ht="22.5" hidden="1" customHeight="1">
      <c r="A85" s="161">
        <v>84.0</v>
      </c>
      <c r="B85" s="119">
        <v>46055.0</v>
      </c>
      <c r="C85" s="118" t="s">
        <v>6079</v>
      </c>
      <c r="D85" s="118" t="str">
        <f>IFERROR(__xludf.DUMMYFUNCTION("IFERROR( INDEX( FILTER( 'NOMBRE DE PRODUCTOS'!B:B, REGEXMATCH( UPPER( INDEX( REPORTE_DROPI!AC:AC, MATCH(T85, REPORTE_DROPI!B:B, 0) ) ), UPPER('NOMBRE DE PRODUCTOS'!A:A) ) ), 1 ), ""REVISAR"" )"),"REVISAR")</f>
        <v>REVISAR</v>
      </c>
      <c r="E85" s="120" t="str">
        <f t="array" ref="E85">IF(
UPPER(TRIM(CLEAN($O85)))="ENTREGADO",
IFERROR(
INDEX(REPORTE_DROPI!Y:Y,
MATCH($T85, REPORTE_DROPI!B:B, 0)
),
""
),
""
)
</f>
        <v/>
      </c>
      <c r="F85" s="162">
        <v>2.0</v>
      </c>
      <c r="G85" s="122" t="str">
        <f t="array" ref="G85">IF(
UPPER(TRIM(CLEAN($O85)))="ENTREGADO",
IFERROR(
INDEX(REPORTE_DROPI!R:R,
MATCH($T85, REPORTE_DROPI!B:B, 0)
),
""
),
""
)
</f>
        <v/>
      </c>
      <c r="H85" s="118" t="s">
        <v>3727</v>
      </c>
      <c r="I85" s="118" t="s">
        <v>3912</v>
      </c>
      <c r="J85" s="121" t="str">
        <f t="array" ref="J85">IF(
UPPER(TRIM(CLEAN($O85)))="ENTREGADO",
IFERROR(
INDEX(REPORTE_DROPI!T:T,
MATCH($T85, REPORTE_DROPI!B:B, 0)
),
""
),
""
)
</f>
        <v/>
      </c>
      <c r="K85" s="118" t="str">
        <f t="array" ref="K85">IFERROR(
INDEX(REPORTE_DROPI!S:S,
MATCH($T85, REPORTE_DROPI!B:B, 0)
),
""
)</f>
        <v/>
      </c>
      <c r="L85" s="118" t="str">
        <f>IF(
  O85&lt;&gt;"DEVOLUCION",
  "",
  IF(
    T85="",
    "",
    SUMIF(DEVOLUCION!F:F, T85, DEVOLUCION!D:D)
  )
)
</f>
        <v/>
      </c>
      <c r="M85" s="118" t="s">
        <v>5877</v>
      </c>
      <c r="N85" s="161" t="s">
        <v>6080</v>
      </c>
      <c r="O85" s="118" t="str">
        <f t="array" ref="O85">IFERROR(
VLOOKUP(
TRIM(CLEAN(
INDEX(REPORTE_DROPI!K:K,
MATCH(T85, REPORTE_DROPI!B:B, 0)
))),
{
TRIM(CLEAN(MAPA_ESTADOS!A:A)) ,
MAPA_ESTADOS!B:B
},
2,
FALSE
),
"REVISAR"
)</f>
        <v>REVISAR</v>
      </c>
      <c r="P85" s="118" t="s">
        <v>6081</v>
      </c>
      <c r="Q85" s="153">
        <f t="shared" si="1"/>
        <v>0</v>
      </c>
      <c r="R85" s="163"/>
      <c r="S85" s="163"/>
      <c r="T85" s="118" t="str">
        <f t="array" ref="T85">IFERROR(
INDEX(REPORTE_DROPI!B:B,
MATCH(
CLEAN(TRIM(C85)),
CLEAN(TRIM(REPORTE_DROPI!E:E)),
0
)
),
""
)
</f>
        <v/>
      </c>
      <c r="U85" s="163" t="s">
        <v>6075</v>
      </c>
      <c r="V85" s="164"/>
    </row>
    <row r="86" ht="22.5" hidden="1" customHeight="1">
      <c r="A86" s="161">
        <v>85.0</v>
      </c>
      <c r="B86" s="119">
        <v>46055.0</v>
      </c>
      <c r="C86" s="118" t="s">
        <v>6082</v>
      </c>
      <c r="D86" s="118" t="str">
        <f>IFERROR(__xludf.DUMMYFUNCTION("IFERROR( INDEX( FILTER( 'NOMBRE DE PRODUCTOS'!B:B, REGEXMATCH( UPPER( INDEX( REPORTE_DROPI!AC:AC, MATCH(T86, REPORTE_DROPI!B:B, 0) ) ), UPPER('NOMBRE DE PRODUCTOS'!A:A) ) ), 1 ), ""REVISAR"" )"),"Llave Multifuncional 360™")</f>
        <v>Llave Multifuncional 360™</v>
      </c>
      <c r="E86" s="120">
        <f t="array" ref="E86">IF(
UPPER(TRIM(CLEAN($O86)))="ENTREGADO",
IFERROR(
INDEX(REPORTE_DROPI!Y:Y,
MATCH($T86, REPORTE_DROPI!B:B, 0)
),
""
),
""
)
</f>
        <v>5</v>
      </c>
      <c r="F86" s="162">
        <v>1.0</v>
      </c>
      <c r="G86" s="122">
        <f t="array" ref="G86">IF(
UPPER(TRIM(CLEAN($O86)))="ENTREGADO",
IFERROR(
INDEX(REPORTE_DROPI!R:R,
MATCH($T86, REPORTE_DROPI!B:B, 0)
),
""
),
""
)
</f>
        <v>19.99</v>
      </c>
      <c r="H86" s="118" t="s">
        <v>3727</v>
      </c>
      <c r="I86" s="118" t="s">
        <v>3784</v>
      </c>
      <c r="J86" s="121">
        <f t="array" ref="J86">IF(
UPPER(TRIM(CLEAN($O86)))="ENTREGADO",
IFERROR(
INDEX(REPORTE_DROPI!T:T,
MATCH($T86, REPORTE_DROPI!B:B, 0)
),
""
),
""
)
</f>
        <v>6.32</v>
      </c>
      <c r="K86" s="118">
        <f t="array" ref="K86">IFERROR(
INDEX(REPORTE_DROPI!S:S,
MATCH($T86, REPORTE_DROPI!B:B, 0)
),
""
)</f>
        <v>8.67</v>
      </c>
      <c r="L86" s="118" t="str">
        <f>IF(
  O86&lt;&gt;"DEVOLUCION",
  "",
  IF(
    T86="",
    "",
    SUMIF(DEVOLUCION!F:F, T86, DEVOLUCION!D:D)
  )
)
</f>
        <v/>
      </c>
      <c r="M86" s="118" t="s">
        <v>5877</v>
      </c>
      <c r="N86" s="161" t="s">
        <v>6083</v>
      </c>
      <c r="O86" s="118" t="str">
        <f t="array" ref="O86">IFERROR(
VLOOKUP(
TRIM(CLEAN(
INDEX(REPORTE_DROPI!K:K,
MATCH(T86, REPORTE_DROPI!B:B, 0)
))),
{
TRIM(CLEAN(MAPA_ESTADOS!A:A)) ,
MAPA_ESTADOS!B:B
},
2,
FALSE
),
"REVISAR"
)</f>
        <v>ENTREGADO</v>
      </c>
      <c r="P86" s="118" t="s">
        <v>6084</v>
      </c>
      <c r="Q86" s="153">
        <f t="shared" si="1"/>
        <v>0</v>
      </c>
      <c r="R86" s="163"/>
      <c r="S86" s="163"/>
      <c r="T86" s="118">
        <f t="array" ref="T86">IFERROR(
INDEX(REPORTE_DROPI!B:B,
MATCH(
CLEAN(TRIM(C86)),
CLEAN(TRIM(REPORTE_DROPI!E:E)),
0
)
),
""
)
</f>
        <v>4362938</v>
      </c>
      <c r="U86" s="163" t="s">
        <v>6085</v>
      </c>
      <c r="V86" s="164"/>
    </row>
    <row r="87" ht="22.5" hidden="1" customHeight="1">
      <c r="A87" s="161">
        <v>86.0</v>
      </c>
      <c r="B87" s="119">
        <v>46055.0</v>
      </c>
      <c r="C87" s="118" t="s">
        <v>6086</v>
      </c>
      <c r="D87" s="118" t="str">
        <f>IFERROR(__xludf.DUMMYFUNCTION("IFERROR( INDEX( FILTER( 'NOMBRE DE PRODUCTOS'!B:B, REGEXMATCH( UPPER( INDEX( REPORTE_DROPI!AC:AC, MATCH(T87, REPORTE_DROPI!B:B, 0) ) ), UPPER('NOMBRE DE PRODUCTOS'!A:A) ) ), 1 ), ""REVISAR"" )"),"FilmPro®")</f>
        <v>FilmPro®</v>
      </c>
      <c r="E87" s="120">
        <f t="array" ref="E87">IF(
UPPER(TRIM(CLEAN($O87)))="ENTREGADO",
IFERROR(
INDEX(REPORTE_DROPI!Y:Y,
MATCH($T87, REPORTE_DROPI!B:B, 0)
),
""
),
""
)
</f>
        <v>7.05</v>
      </c>
      <c r="F87" s="162">
        <v>3.0</v>
      </c>
      <c r="G87" s="122">
        <f t="array" ref="G87">IF(
UPPER(TRIM(CLEAN($O87)))="ENTREGADO",
IFERROR(
INDEX(REPORTE_DROPI!R:R,
MATCH($T87, REPORTE_DROPI!B:B, 0)
),
""
),
""
)
</f>
        <v>30</v>
      </c>
      <c r="H87" s="118" t="s">
        <v>3727</v>
      </c>
      <c r="I87" s="118" t="s">
        <v>3912</v>
      </c>
      <c r="J87" s="121">
        <f t="array" ref="J87">IF(
UPPER(TRIM(CLEAN($O87)))="ENTREGADO",
IFERROR(
INDEX(REPORTE_DROPI!T:T,
MATCH($T87, REPORTE_DROPI!B:B, 0)
),
""
),
""
)
</f>
        <v>6.16</v>
      </c>
      <c r="K87" s="118">
        <f t="array" ref="K87">IFERROR(
INDEX(REPORTE_DROPI!S:S,
MATCH($T87, REPORTE_DROPI!B:B, 0)
),
""
)</f>
        <v>16.79</v>
      </c>
      <c r="L87" s="118" t="str">
        <f>IF(
  O87&lt;&gt;"DEVOLUCION",
  "",
  IF(
    T87="",
    "",
    SUMIF(DEVOLUCION!F:F, T87, DEVOLUCION!D:D)
  )
)
</f>
        <v/>
      </c>
      <c r="M87" s="118" t="s">
        <v>5877</v>
      </c>
      <c r="N87" s="161" t="s">
        <v>6087</v>
      </c>
      <c r="O87" s="118" t="str">
        <f t="array" ref="O87">IFERROR(
VLOOKUP(
TRIM(CLEAN(
INDEX(REPORTE_DROPI!K:K,
MATCH(T87, REPORTE_DROPI!B:B, 0)
))),
{
TRIM(CLEAN(MAPA_ESTADOS!A:A)) ,
MAPA_ESTADOS!B:B
},
2,
FALSE
),
"REVISAR"
)</f>
        <v>ENTREGADO</v>
      </c>
      <c r="P87" s="118" t="s">
        <v>6084</v>
      </c>
      <c r="Q87" s="153">
        <f t="shared" si="1"/>
        <v>0</v>
      </c>
      <c r="R87" s="163"/>
      <c r="S87" s="163"/>
      <c r="T87" s="118">
        <f t="array" ref="T87">IFERROR(
INDEX(REPORTE_DROPI!B:B,
MATCH(
CLEAN(TRIM(C87)),
CLEAN(TRIM(REPORTE_DROPI!E:E)),
0
)
),
""
)
</f>
        <v>4362954</v>
      </c>
      <c r="U87" s="163">
        <v>1.90155208185E11</v>
      </c>
      <c r="V87" s="164"/>
    </row>
    <row r="88" ht="22.5" hidden="1" customHeight="1">
      <c r="A88" s="161">
        <v>87.0</v>
      </c>
      <c r="B88" s="119">
        <v>46055.0</v>
      </c>
      <c r="C88" s="118" t="s">
        <v>6088</v>
      </c>
      <c r="D88" s="118" t="str">
        <f>IFERROR(__xludf.DUMMYFUNCTION("IFERROR( INDEX( FILTER( 'NOMBRE DE PRODUCTOS'!B:B, REGEXMATCH( UPPER( INDEX( REPORTE_DROPI!AC:AC, MATCH(T88, REPORTE_DROPI!B:B, 0) ) ), UPPER('NOMBRE DE PRODUCTOS'!A:A) ) ), 1 ), ""REVISAR"" )"),"Cuchillo Tazaki™")</f>
        <v>Cuchillo Tazaki™</v>
      </c>
      <c r="E88" s="120" t="str">
        <f t="array" ref="E88">IF(
UPPER(TRIM(CLEAN($O88)))="ENTREGADO",
IFERROR(
INDEX(REPORTE_DROPI!Y:Y,
MATCH($T88, REPORTE_DROPI!B:B, 0)
),
""
),
""
)
</f>
        <v/>
      </c>
      <c r="F88" s="162">
        <v>3.0</v>
      </c>
      <c r="G88" s="122" t="str">
        <f t="array" ref="G88">IF(
UPPER(TRIM(CLEAN($O88)))="ENTREGADO",
IFERROR(
INDEX(REPORTE_DROPI!R:R,
MATCH($T88, REPORTE_DROPI!B:B, 0)
),
""
),
""
)
</f>
        <v/>
      </c>
      <c r="H88" s="118" t="s">
        <v>3727</v>
      </c>
      <c r="I88" s="118" t="s">
        <v>3740</v>
      </c>
      <c r="J88" s="121" t="str">
        <f t="array" ref="J88">IF(
UPPER(TRIM(CLEAN($O88)))="ENTREGADO",
IFERROR(
INDEX(REPORTE_DROPI!T:T,
MATCH($T88, REPORTE_DROPI!B:B, 0)
),
""
),
""
)
</f>
        <v/>
      </c>
      <c r="K88" s="118" t="str">
        <f t="array" ref="K88">IFERROR(
INDEX(REPORTE_DROPI!S:S,
MATCH($T88, REPORTE_DROPI!B:B, 0)
),
""
)</f>
        <v/>
      </c>
      <c r="L88" s="118" t="str">
        <f>IF(
  O88&lt;&gt;"DEVOLUCION",
  "",
  IF(
    T88="",
    "",
    SUMIF(DEVOLUCION!F:F, T88, DEVOLUCION!D:D)
  )
)
</f>
        <v/>
      </c>
      <c r="M88" s="118" t="s">
        <v>5877</v>
      </c>
      <c r="N88" s="161" t="s">
        <v>6089</v>
      </c>
      <c r="O88" s="118" t="str">
        <f t="array" ref="O88">IFERROR(
VLOOKUP(
TRIM(CLEAN(
INDEX(REPORTE_DROPI!K:K,
MATCH(T88, REPORTE_DROPI!B:B, 0)
))),
{
TRIM(CLEAN(MAPA_ESTADOS!A:A)) ,
MAPA_ESTADOS!B:B
},
2,
FALSE
),
"REVISAR"
)</f>
        <v>REVISAR</v>
      </c>
      <c r="P88" s="118" t="s">
        <v>5692</v>
      </c>
      <c r="Q88" s="153">
        <f t="shared" si="1"/>
        <v>0</v>
      </c>
      <c r="R88" s="163"/>
      <c r="S88" s="163"/>
      <c r="T88" s="118">
        <f t="array" ref="T88">IFERROR(
INDEX(REPORTE_DROPI!B:B,
MATCH(
CLEAN(TRIM(C88)),
CLEAN(TRIM(REPORTE_DROPI!E:E)),
0
)
),
""
)
</f>
        <v>4363187</v>
      </c>
      <c r="U88" s="163" t="s">
        <v>6090</v>
      </c>
      <c r="V88" s="164"/>
    </row>
    <row r="89" ht="22.5" hidden="1" customHeight="1">
      <c r="A89" s="161">
        <v>88.0</v>
      </c>
      <c r="B89" s="119">
        <v>46055.0</v>
      </c>
      <c r="C89" s="118" t="s">
        <v>6091</v>
      </c>
      <c r="D89" s="118" t="str">
        <f>IFERROR(__xludf.DUMMYFUNCTION("IFERROR( INDEX( FILTER( 'NOMBRE DE PRODUCTOS'!B:B, REGEXMATCH( UPPER( INDEX( REPORTE_DROPI!AC:AC, MATCH(T89, REPORTE_DROPI!B:B, 0) ) ), UPPER('NOMBRE DE PRODUCTOS'!A:A) ) ), 1 ), ""REVISAR"" )"),"REVISAR")</f>
        <v>REVISAR</v>
      </c>
      <c r="E89" s="120" t="str">
        <f t="array" ref="E89">IF(
UPPER(TRIM(CLEAN($O89)))="ENTREGADO",
IFERROR(
INDEX(REPORTE_DROPI!Y:Y,
MATCH($T89, REPORTE_DROPI!B:B, 0)
),
""
),
""
)
</f>
        <v/>
      </c>
      <c r="F89" s="162">
        <v>1.0</v>
      </c>
      <c r="G89" s="122" t="str">
        <f t="array" ref="G89">IF(
UPPER(TRIM(CLEAN($O89)))="ENTREGADO",
IFERROR(
INDEX(REPORTE_DROPI!R:R,
MATCH($T89, REPORTE_DROPI!B:B, 0)
),
""
),
""
)
</f>
        <v/>
      </c>
      <c r="H89" s="118" t="s">
        <v>3727</v>
      </c>
      <c r="I89" s="118" t="s">
        <v>6063</v>
      </c>
      <c r="J89" s="121" t="str">
        <f t="array" ref="J89">IF(
UPPER(TRIM(CLEAN($O89)))="ENTREGADO",
IFERROR(
INDEX(REPORTE_DROPI!T:T,
MATCH($T89, REPORTE_DROPI!B:B, 0)
),
""
),
""
)
</f>
        <v/>
      </c>
      <c r="K89" s="118" t="str">
        <f t="array" ref="K89">IFERROR(
INDEX(REPORTE_DROPI!S:S,
MATCH($T89, REPORTE_DROPI!B:B, 0)
),
""
)</f>
        <v/>
      </c>
      <c r="L89" s="118" t="str">
        <f>IF(
  O89&lt;&gt;"DEVOLUCION",
  "",
  IF(
    T89="",
    "",
    SUMIF(DEVOLUCION!F:F, T89, DEVOLUCION!D:D)
  )
)
</f>
        <v/>
      </c>
      <c r="M89" s="118" t="s">
        <v>5877</v>
      </c>
      <c r="N89" s="161" t="s">
        <v>6092</v>
      </c>
      <c r="O89" s="118" t="str">
        <f t="array" ref="O89">IFERROR(
VLOOKUP(
TRIM(CLEAN(
INDEX(REPORTE_DROPI!K:K,
MATCH(T89, REPORTE_DROPI!B:B, 0)
))),
{
TRIM(CLEAN(MAPA_ESTADOS!A:A)) ,
MAPA_ESTADOS!B:B
},
2,
FALSE
),
"REVISAR"
)</f>
        <v>REVISAR</v>
      </c>
      <c r="P89" s="118" t="s">
        <v>3689</v>
      </c>
      <c r="Q89" s="153">
        <f t="shared" si="1"/>
        <v>0</v>
      </c>
      <c r="R89" s="163"/>
      <c r="S89" s="163"/>
      <c r="T89" s="118" t="str">
        <f t="array" ref="T89">IFERROR(
INDEX(REPORTE_DROPI!B:B,
MATCH(
CLEAN(TRIM(C89)),
CLEAN(TRIM(REPORTE_DROPI!E:E)),
0
)
),
""
)
</f>
        <v/>
      </c>
      <c r="U89" s="163" t="s">
        <v>6093</v>
      </c>
      <c r="V89" s="164"/>
    </row>
    <row r="90" ht="22.5" hidden="1" customHeight="1">
      <c r="A90" s="161">
        <v>89.0</v>
      </c>
      <c r="B90" s="119">
        <v>46055.0</v>
      </c>
      <c r="C90" s="118" t="s">
        <v>6094</v>
      </c>
      <c r="D90" s="118" t="str">
        <f>IFERROR(__xludf.DUMMYFUNCTION("IFERROR( INDEX( FILTER( 'NOMBRE DE PRODUCTOS'!B:B, REGEXMATCH( UPPER( INDEX( REPORTE_DROPI!AC:AC, MATCH(T90, REPORTE_DROPI!B:B, 0) ) ), UPPER('NOMBRE DE PRODUCTOS'!A:A) ) ), 1 ), ""REVISAR"" )"),"FilmPro®")</f>
        <v>FilmPro®</v>
      </c>
      <c r="E90" s="120">
        <f t="array" ref="E90">IF(
UPPER(TRIM(CLEAN($O90)))="ENTREGADO",
IFERROR(
INDEX(REPORTE_DROPI!Y:Y,
MATCH($T90, REPORTE_DROPI!B:B, 0)
),
""
),
""
)
</f>
        <v>7.05</v>
      </c>
      <c r="F90" s="162">
        <v>3.0</v>
      </c>
      <c r="G90" s="122">
        <f t="array" ref="G90">IF(
UPPER(TRIM(CLEAN($O90)))="ENTREGADO",
IFERROR(
INDEX(REPORTE_DROPI!R:R,
MATCH($T90, REPORTE_DROPI!B:B, 0)
),
""
),
""
)
</f>
        <v>30</v>
      </c>
      <c r="H90" s="118" t="s">
        <v>3727</v>
      </c>
      <c r="I90" s="118" t="s">
        <v>3912</v>
      </c>
      <c r="J90" s="121">
        <f t="array" ref="J90">IF(
UPPER(TRIM(CLEAN($O90)))="ENTREGADO",
IFERROR(
INDEX(REPORTE_DROPI!T:T,
MATCH($T90, REPORTE_DROPI!B:B, 0)
),
""
),
""
)
</f>
        <v>6.16</v>
      </c>
      <c r="K90" s="118">
        <f t="array" ref="K90">IFERROR(
INDEX(REPORTE_DROPI!S:S,
MATCH($T90, REPORTE_DROPI!B:B, 0)
),
""
)</f>
        <v>16.79</v>
      </c>
      <c r="L90" s="118" t="str">
        <f>IF(
  O90&lt;&gt;"DEVOLUCION",
  "",
  IF(
    T90="",
    "",
    SUMIF(DEVOLUCION!F:F, T90, DEVOLUCION!D:D)
  )
)
</f>
        <v/>
      </c>
      <c r="M90" s="118" t="s">
        <v>5877</v>
      </c>
      <c r="N90" s="161" t="s">
        <v>6095</v>
      </c>
      <c r="O90" s="118" t="str">
        <f t="array" ref="O90">IFERROR(
VLOOKUP(
TRIM(CLEAN(
INDEX(REPORTE_DROPI!K:K,
MATCH(T90, REPORTE_DROPI!B:B, 0)
))),
{
TRIM(CLEAN(MAPA_ESTADOS!A:A)) ,
MAPA_ESTADOS!B:B
},
2,
FALSE
),
"REVISAR"
)</f>
        <v>ENTREGADO</v>
      </c>
      <c r="P90" s="118" t="s">
        <v>5692</v>
      </c>
      <c r="Q90" s="153">
        <f t="shared" si="1"/>
        <v>0</v>
      </c>
      <c r="R90" s="163"/>
      <c r="S90" s="163"/>
      <c r="T90" s="118">
        <f t="array" ref="T90">IFERROR(
INDEX(REPORTE_DROPI!B:B,
MATCH(
CLEAN(TRIM(C90)),
CLEAN(TRIM(REPORTE_DROPI!E:E)),
0
)
),
""
)
</f>
        <v>4363548</v>
      </c>
      <c r="U90" s="163" t="s">
        <v>6096</v>
      </c>
      <c r="V90" s="164"/>
    </row>
    <row r="91" ht="22.5" hidden="1" customHeight="1">
      <c r="A91" s="161">
        <v>90.0</v>
      </c>
      <c r="B91" s="119">
        <v>46055.0</v>
      </c>
      <c r="C91" s="118" t="s">
        <v>6097</v>
      </c>
      <c r="D91" s="118" t="str">
        <f>IFERROR(__xludf.DUMMYFUNCTION("IFERROR( INDEX( FILTER( 'NOMBRE DE PRODUCTOS'!B:B, REGEXMATCH( UPPER( INDEX( REPORTE_DROPI!AC:AC, MATCH(T91, REPORTE_DROPI!B:B, 0) ) ), UPPER('NOMBRE DE PRODUCTOS'!A:A) ) ), 1 ), ""REVISAR"" )"),"Llave Multifuncional 360™")</f>
        <v>Llave Multifuncional 360™</v>
      </c>
      <c r="E91" s="120" t="str">
        <f t="array" ref="E91">IF(
UPPER(TRIM(CLEAN($O91)))="ENTREGADO",
IFERROR(
INDEX(REPORTE_DROPI!Y:Y,
MATCH($T91, REPORTE_DROPI!B:B, 0)
),
""
),
""
)
</f>
        <v/>
      </c>
      <c r="F91" s="162">
        <v>1.0</v>
      </c>
      <c r="G91" s="122" t="str">
        <f t="array" ref="G91">IF(
UPPER(TRIM(CLEAN($O91)))="ENTREGADO",
IFERROR(
INDEX(REPORTE_DROPI!R:R,
MATCH($T91, REPORTE_DROPI!B:B, 0)
),
""
),
""
)
</f>
        <v/>
      </c>
      <c r="H91" s="118" t="s">
        <v>3727</v>
      </c>
      <c r="I91" s="118" t="s">
        <v>3770</v>
      </c>
      <c r="J91" s="121" t="str">
        <f t="array" ref="J91">IF(
UPPER(TRIM(CLEAN($O91)))="ENTREGADO",
IFERROR(
INDEX(REPORTE_DROPI!T:T,
MATCH($T91, REPORTE_DROPI!B:B, 0)
),
""
),
""
)
</f>
        <v/>
      </c>
      <c r="K91" s="118" t="str">
        <f t="array" ref="K91">IFERROR(
INDEX(REPORTE_DROPI!S:S,
MATCH($T91, REPORTE_DROPI!B:B, 0)
),
""
)</f>
        <v/>
      </c>
      <c r="L91" s="118" t="str">
        <f>IF(
  O91&lt;&gt;"DEVOLUCION",
  "",
  IF(
    T91="",
    "",
    SUMIF(DEVOLUCION!F:F, T91, DEVOLUCION!D:D)
  )
)
</f>
        <v/>
      </c>
      <c r="M91" s="118" t="s">
        <v>5877</v>
      </c>
      <c r="N91" s="161" t="s">
        <v>6098</v>
      </c>
      <c r="O91" s="118" t="str">
        <f t="array" ref="O91">IFERROR(
VLOOKUP(
TRIM(CLEAN(
INDEX(REPORTE_DROPI!K:K,
MATCH(T91, REPORTE_DROPI!B:B, 0)
))),
{
TRIM(CLEAN(MAPA_ESTADOS!A:A)) ,
MAPA_ESTADOS!B:B
},
2,
FALSE
),
"REVISAR"
)</f>
        <v>PENDIENTE</v>
      </c>
      <c r="P91" s="118" t="s">
        <v>6099</v>
      </c>
      <c r="Q91" s="153">
        <f t="shared" si="1"/>
        <v>0</v>
      </c>
      <c r="R91" s="163"/>
      <c r="S91" s="163"/>
      <c r="T91" s="118">
        <f t="array" ref="T91">IFERROR(
INDEX(REPORTE_DROPI!B:B,
MATCH(
CLEAN(TRIM(C91)),
CLEAN(TRIM(REPORTE_DROPI!E:E)),
0
)
),
""
)
</f>
        <v>4363609</v>
      </c>
      <c r="U91" s="163" t="s">
        <v>6100</v>
      </c>
      <c r="V91" s="164"/>
    </row>
    <row r="92" ht="22.5" hidden="1" customHeight="1">
      <c r="A92" s="161">
        <v>91.0</v>
      </c>
      <c r="B92" s="119">
        <v>46055.0</v>
      </c>
      <c r="C92" s="118" t="s">
        <v>6101</v>
      </c>
      <c r="D92" s="118" t="str">
        <f>IFERROR(__xludf.DUMMYFUNCTION("IFERROR( INDEX( FILTER( 'NOMBRE DE PRODUCTOS'!B:B, REGEXMATCH( UPPER( INDEX( REPORTE_DROPI!AC:AC, MATCH(T92, REPORTE_DROPI!B:B, 0) ) ), UPPER('NOMBRE DE PRODUCTOS'!A:A) ) ), 1 ), ""REVISAR"" )"),"REVISAR")</f>
        <v>REVISAR</v>
      </c>
      <c r="E92" s="120" t="str">
        <f t="array" ref="E92">IF(
UPPER(TRIM(CLEAN($O92)))="ENTREGADO",
IFERROR(
INDEX(REPORTE_DROPI!Y:Y,
MATCH($T92, REPORTE_DROPI!B:B, 0)
),
""
),
""
)
</f>
        <v/>
      </c>
      <c r="F92" s="162">
        <v>3.0</v>
      </c>
      <c r="G92" s="122" t="str">
        <f t="array" ref="G92">IF(
UPPER(TRIM(CLEAN($O92)))="ENTREGADO",
IFERROR(
INDEX(REPORTE_DROPI!R:R,
MATCH($T92, REPORTE_DROPI!B:B, 0)
),
""
),
""
)
</f>
        <v/>
      </c>
      <c r="H92" s="118" t="s">
        <v>3727</v>
      </c>
      <c r="I92" s="118" t="s">
        <v>6063</v>
      </c>
      <c r="J92" s="121" t="str">
        <f t="array" ref="J92">IF(
UPPER(TRIM(CLEAN($O92)))="ENTREGADO",
IFERROR(
INDEX(REPORTE_DROPI!T:T,
MATCH($T92, REPORTE_DROPI!B:B, 0)
),
""
),
""
)
</f>
        <v/>
      </c>
      <c r="K92" s="118" t="str">
        <f t="array" ref="K92">IFERROR(
INDEX(REPORTE_DROPI!S:S,
MATCH($T92, REPORTE_DROPI!B:B, 0)
),
""
)</f>
        <v/>
      </c>
      <c r="L92" s="118" t="str">
        <f>IF(
  O92&lt;&gt;"DEVOLUCION",
  "",
  IF(
    T92="",
    "",
    SUMIF(DEVOLUCION!F:F, T92, DEVOLUCION!D:D)
  )
)
</f>
        <v/>
      </c>
      <c r="M92" s="118" t="s">
        <v>5877</v>
      </c>
      <c r="N92" s="161" t="s">
        <v>6102</v>
      </c>
      <c r="O92" s="118" t="str">
        <f t="array" ref="O92">IFERROR(
VLOOKUP(
TRIM(CLEAN(
INDEX(REPORTE_DROPI!K:K,
MATCH(T92, REPORTE_DROPI!B:B, 0)
))),
{
TRIM(CLEAN(MAPA_ESTADOS!A:A)) ,
MAPA_ESTADOS!B:B
},
2,
FALSE
),
"REVISAR"
)</f>
        <v>REVISAR</v>
      </c>
      <c r="P92" s="118" t="s">
        <v>3689</v>
      </c>
      <c r="Q92" s="153">
        <f t="shared" si="1"/>
        <v>0</v>
      </c>
      <c r="R92" s="163"/>
      <c r="S92" s="163"/>
      <c r="T92" s="118" t="str">
        <f t="array" ref="T92">IFERROR(
INDEX(REPORTE_DROPI!B:B,
MATCH(
CLEAN(TRIM(C92)),
CLEAN(TRIM(REPORTE_DROPI!E:E)),
0
)
),
""
)
</f>
        <v/>
      </c>
      <c r="U92" s="163" t="s">
        <v>6103</v>
      </c>
      <c r="V92" s="164"/>
    </row>
    <row r="93" ht="22.5" hidden="1" customHeight="1">
      <c r="A93" s="161">
        <v>92.0</v>
      </c>
      <c r="B93" s="119">
        <v>46055.0</v>
      </c>
      <c r="C93" s="118" t="s">
        <v>6104</v>
      </c>
      <c r="D93" s="118" t="str">
        <f>IFERROR(__xludf.DUMMYFUNCTION("IFERROR( INDEX( FILTER( 'NOMBRE DE PRODUCTOS'!B:B, REGEXMATCH( UPPER( INDEX( REPORTE_DROPI!AC:AC, MATCH(T93, REPORTE_DROPI!B:B, 0) ) ), UPPER('NOMBRE DE PRODUCTOS'!A:A) ) ), 1 ), ""REVISAR"" )"),"FilmPro®")</f>
        <v>FilmPro®</v>
      </c>
      <c r="E93" s="120" t="str">
        <f t="array" ref="E93">IF(
UPPER(TRIM(CLEAN($O93)))="ENTREGADO",
IFERROR(
INDEX(REPORTE_DROPI!Y:Y,
MATCH($T93, REPORTE_DROPI!B:B, 0)
),
""
),
""
)
</f>
        <v/>
      </c>
      <c r="F93" s="162">
        <v>2.0</v>
      </c>
      <c r="G93" s="122" t="str">
        <f t="array" ref="G93">IF(
UPPER(TRIM(CLEAN($O93)))="ENTREGADO",
IFERROR(
INDEX(REPORTE_DROPI!R:R,
MATCH($T93, REPORTE_DROPI!B:B, 0)
),
""
),
""
)
</f>
        <v/>
      </c>
      <c r="H93" s="118" t="s">
        <v>3727</v>
      </c>
      <c r="I93" s="118" t="s">
        <v>3740</v>
      </c>
      <c r="J93" s="121" t="str">
        <f t="array" ref="J93">IF(
UPPER(TRIM(CLEAN($O93)))="ENTREGADO",
IFERROR(
INDEX(REPORTE_DROPI!T:T,
MATCH($T93, REPORTE_DROPI!B:B, 0)
),
""
),
""
)
</f>
        <v/>
      </c>
      <c r="K93" s="118" t="str">
        <f t="array" ref="K93">IFERROR(
INDEX(REPORTE_DROPI!S:S,
MATCH($T93, REPORTE_DROPI!B:B, 0)
),
""
)</f>
        <v/>
      </c>
      <c r="L93" s="118">
        <f>IF(
  O93&lt;&gt;"DEVOLUCION",
  "",
  IF(
    T93="",
    "",
    SUMIF(DEVOLUCION!F:F, T93, DEVOLUCION!D:D)
  )
)
</f>
        <v>5.09</v>
      </c>
      <c r="M93" s="118" t="s">
        <v>5877</v>
      </c>
      <c r="N93" s="161" t="s">
        <v>6105</v>
      </c>
      <c r="O93" s="118" t="str">
        <f t="array" ref="O93">IFERROR(
VLOOKUP(
TRIM(CLEAN(
INDEX(REPORTE_DROPI!K:K,
MATCH(T93, REPORTE_DROPI!B:B, 0)
))),
{
TRIM(CLEAN(MAPA_ESTADOS!A:A)) ,
MAPA_ESTADOS!B:B
},
2,
FALSE
),
"REVISAR"
)</f>
        <v>DEVOLUCION</v>
      </c>
      <c r="P93" s="118" t="s">
        <v>5692</v>
      </c>
      <c r="Q93" s="153">
        <f t="shared" si="1"/>
        <v>0</v>
      </c>
      <c r="R93" s="163"/>
      <c r="S93" s="163"/>
      <c r="T93" s="118">
        <f t="array" ref="T93">IFERROR(
INDEX(REPORTE_DROPI!B:B,
MATCH(
CLEAN(TRIM(C93)),
CLEAN(TRIM(REPORTE_DROPI!E:E)),
0
)
),
""
)
</f>
        <v>4363796</v>
      </c>
      <c r="U93" s="163" t="s">
        <v>6106</v>
      </c>
      <c r="V93" s="164"/>
    </row>
    <row r="94" ht="22.5" hidden="1" customHeight="1">
      <c r="A94" s="161">
        <v>93.0</v>
      </c>
      <c r="B94" s="119">
        <v>46055.0</v>
      </c>
      <c r="C94" s="118" t="s">
        <v>6107</v>
      </c>
      <c r="D94" s="118" t="str">
        <f>IFERROR(__xludf.DUMMYFUNCTION("IFERROR( INDEX( FILTER( 'NOMBRE DE PRODUCTOS'!B:B, REGEXMATCH( UPPER( INDEX( REPORTE_DROPI!AC:AC, MATCH(T94, REPORTE_DROPI!B:B, 0) ) ), UPPER('NOMBRE DE PRODUCTOS'!A:A) ) ), 1 ), ""REVISAR"" )"),"FilmPro®")</f>
        <v>FilmPro®</v>
      </c>
      <c r="E94" s="120">
        <f t="array" ref="E94">IF(
UPPER(TRIM(CLEAN($O94)))="ENTREGADO",
IFERROR(
INDEX(REPORTE_DROPI!Y:Y,
MATCH($T94, REPORTE_DROPI!B:B, 0)
),
""
),
""
)
</f>
        <v>7.05</v>
      </c>
      <c r="F94" s="162">
        <v>3.0</v>
      </c>
      <c r="G94" s="122">
        <f t="array" ref="G94">IF(
UPPER(TRIM(CLEAN($O94)))="ENTREGADO",
IFERROR(
INDEX(REPORTE_DROPI!R:R,
MATCH($T94, REPORTE_DROPI!B:B, 0)
),
""
),
""
)
</f>
        <v>30</v>
      </c>
      <c r="H94" s="118" t="s">
        <v>3727</v>
      </c>
      <c r="I94" s="118" t="s">
        <v>3962</v>
      </c>
      <c r="J94" s="121">
        <f t="array" ref="J94">IF(
UPPER(TRIM(CLEAN($O94)))="ENTREGADO",
IFERROR(
INDEX(REPORTE_DROPI!T:T,
MATCH($T94, REPORTE_DROPI!B:B, 0)
),
""
),
""
)
</f>
        <v>6.16</v>
      </c>
      <c r="K94" s="118">
        <f t="array" ref="K94">IFERROR(
INDEX(REPORTE_DROPI!S:S,
MATCH($T94, REPORTE_DROPI!B:B, 0)
),
""
)</f>
        <v>16.79</v>
      </c>
      <c r="L94" s="118" t="str">
        <f>IF(
  O94&lt;&gt;"DEVOLUCION",
  "",
  IF(
    T94="",
    "",
    SUMIF(DEVOLUCION!F:F, T94, DEVOLUCION!D:D)
  )
)
</f>
        <v/>
      </c>
      <c r="M94" s="118" t="s">
        <v>5877</v>
      </c>
      <c r="N94" s="161" t="s">
        <v>6108</v>
      </c>
      <c r="O94" s="118" t="str">
        <f t="array" ref="O94">IFERROR(
VLOOKUP(
TRIM(CLEAN(
INDEX(REPORTE_DROPI!K:K,
MATCH(T94, REPORTE_DROPI!B:B, 0)
))),
{
TRIM(CLEAN(MAPA_ESTADOS!A:A)) ,
MAPA_ESTADOS!B:B
},
2,
FALSE
),
"REVISAR"
)</f>
        <v>ENTREGADO</v>
      </c>
      <c r="P94" s="118" t="s">
        <v>5692</v>
      </c>
      <c r="Q94" s="153">
        <f t="shared" si="1"/>
        <v>0</v>
      </c>
      <c r="R94" s="163"/>
      <c r="S94" s="163"/>
      <c r="T94" s="118">
        <f t="array" ref="T94">IFERROR(
INDEX(REPORTE_DROPI!B:B,
MATCH(
CLEAN(TRIM(C94)),
CLEAN(TRIM(REPORTE_DROPI!E:E)),
0
)
),
""
)
</f>
        <v>4363809</v>
      </c>
      <c r="U94" s="163" t="s">
        <v>6109</v>
      </c>
      <c r="V94" s="164"/>
    </row>
    <row r="95" ht="22.5" hidden="1" customHeight="1">
      <c r="A95" s="161">
        <v>94.0</v>
      </c>
      <c r="B95" s="119">
        <v>46055.0</v>
      </c>
      <c r="C95" s="118" t="s">
        <v>6110</v>
      </c>
      <c r="D95" s="118" t="str">
        <f>IFERROR(__xludf.DUMMYFUNCTION("IFERROR( INDEX( FILTER( 'NOMBRE DE PRODUCTOS'!B:B, REGEXMATCH( UPPER( INDEX( REPORTE_DROPI!AC:AC, MATCH(T95, REPORTE_DROPI!B:B, 0) ) ), UPPER('NOMBRE DE PRODUCTOS'!A:A) ) ), 1 ), ""REVISAR"" )"),"FilmPro®")</f>
        <v>FilmPro®</v>
      </c>
      <c r="E95" s="120" t="str">
        <f t="array" ref="E95">IF(
UPPER(TRIM(CLEAN($O95)))="ENTREGADO",
IFERROR(
INDEX(REPORTE_DROPI!Y:Y,
MATCH($T95, REPORTE_DROPI!B:B, 0)
),
""
),
""
)
</f>
        <v/>
      </c>
      <c r="F95" s="162">
        <v>3.0</v>
      </c>
      <c r="G95" s="122" t="str">
        <f t="array" ref="G95">IF(
UPPER(TRIM(CLEAN($O95)))="ENTREGADO",
IFERROR(
INDEX(REPORTE_DROPI!R:R,
MATCH($T95, REPORTE_DROPI!B:B, 0)
),
""
),
""
)
</f>
        <v/>
      </c>
      <c r="H95" s="118" t="s">
        <v>3727</v>
      </c>
      <c r="I95" s="118" t="s">
        <v>3731</v>
      </c>
      <c r="J95" s="121" t="str">
        <f t="array" ref="J95">IF(
UPPER(TRIM(CLEAN($O95)))="ENTREGADO",
IFERROR(
INDEX(REPORTE_DROPI!T:T,
MATCH($T95, REPORTE_DROPI!B:B, 0)
),
""
),
""
)
</f>
        <v/>
      </c>
      <c r="K95" s="118" t="str">
        <f t="array" ref="K95">IFERROR(
INDEX(REPORTE_DROPI!S:S,
MATCH($T95, REPORTE_DROPI!B:B, 0)
),
""
)</f>
        <v/>
      </c>
      <c r="L95" s="118" t="str">
        <f>IF(
  O95&lt;&gt;"DEVOLUCION",
  "",
  IF(
    T95="",
    "",
    SUMIF(DEVOLUCION!F:F, T95, DEVOLUCION!D:D)
  )
)
</f>
        <v/>
      </c>
      <c r="M95" s="118" t="s">
        <v>5877</v>
      </c>
      <c r="N95" s="161" t="s">
        <v>6111</v>
      </c>
      <c r="O95" s="118" t="str">
        <f t="array" ref="O95">IFERROR(
VLOOKUP(
TRIM(CLEAN(
INDEX(REPORTE_DROPI!K:K,
MATCH(T95, REPORTE_DROPI!B:B, 0)
))),
{
TRIM(CLEAN(MAPA_ESTADOS!A:A)) ,
MAPA_ESTADOS!B:B
},
2,
FALSE
),
"REVISAR"
)</f>
        <v>PENDIENTE</v>
      </c>
      <c r="P95" s="118" t="s">
        <v>6112</v>
      </c>
      <c r="Q95" s="153">
        <f t="shared" si="1"/>
        <v>0</v>
      </c>
      <c r="R95" s="163"/>
      <c r="S95" s="163"/>
      <c r="T95" s="118">
        <f t="array" ref="T95">IFERROR(
INDEX(REPORTE_DROPI!B:B,
MATCH(
CLEAN(TRIM(C95)),
CLEAN(TRIM(REPORTE_DROPI!E:E)),
0
)
),
""
)
</f>
        <v>4363816</v>
      </c>
      <c r="U95" s="163" t="s">
        <v>6113</v>
      </c>
      <c r="V95" s="164"/>
    </row>
    <row r="96" ht="22.5" hidden="1" customHeight="1">
      <c r="A96" s="161">
        <v>95.0</v>
      </c>
      <c r="B96" s="119">
        <v>46055.0</v>
      </c>
      <c r="C96" s="118" t="s">
        <v>6114</v>
      </c>
      <c r="D96" s="118" t="str">
        <f>IFERROR(__xludf.DUMMYFUNCTION("IFERROR( INDEX( FILTER( 'NOMBRE DE PRODUCTOS'!B:B, REGEXMATCH( UPPER( INDEX( REPORTE_DROPI!AC:AC, MATCH(T96, REPORTE_DROPI!B:B, 0) ) ), UPPER('NOMBRE DE PRODUCTOS'!A:A) ) ), 1 ), ""REVISAR"" )"),"FilmPro®")</f>
        <v>FilmPro®</v>
      </c>
      <c r="E96" s="120">
        <f t="array" ref="E96">IF(
UPPER(TRIM(CLEAN($O96)))="ENTREGADO",
IFERROR(
INDEX(REPORTE_DROPI!Y:Y,
MATCH($T96, REPORTE_DROPI!B:B, 0)
),
""
),
""
)
</f>
        <v>4.7</v>
      </c>
      <c r="F96" s="162">
        <v>2.0</v>
      </c>
      <c r="G96" s="122">
        <f t="array" ref="G96">IF(
UPPER(TRIM(CLEAN($O96)))="ENTREGADO",
IFERROR(
INDEX(REPORTE_DROPI!R:R,
MATCH($T96, REPORTE_DROPI!B:B, 0)
),
""
),
""
)
</f>
        <v>25</v>
      </c>
      <c r="H96" s="118" t="s">
        <v>3727</v>
      </c>
      <c r="I96" s="118" t="s">
        <v>3740</v>
      </c>
      <c r="J96" s="121">
        <f t="array" ref="J96">IF(
UPPER(TRIM(CLEAN($O96)))="ENTREGADO",
IFERROR(
INDEX(REPORTE_DROPI!T:T,
MATCH($T96, REPORTE_DROPI!B:B, 0)
),
""
),
""
)
</f>
        <v>6.53</v>
      </c>
      <c r="K96" s="118">
        <f t="array" ref="K96">IFERROR(
INDEX(REPORTE_DROPI!S:S,
MATCH($T96, REPORTE_DROPI!B:B, 0)
),
""
)</f>
        <v>13.77</v>
      </c>
      <c r="L96" s="118" t="str">
        <f>IF(
  O96&lt;&gt;"DEVOLUCION",
  "",
  IF(
    T96="",
    "",
    SUMIF(DEVOLUCION!F:F, T96, DEVOLUCION!D:D)
  )
)
</f>
        <v/>
      </c>
      <c r="M96" s="118" t="s">
        <v>5877</v>
      </c>
      <c r="N96" s="161" t="s">
        <v>6115</v>
      </c>
      <c r="O96" s="118" t="str">
        <f t="array" ref="O96">IFERROR(
VLOOKUP(
TRIM(CLEAN(
INDEX(REPORTE_DROPI!K:K,
MATCH(T96, REPORTE_DROPI!B:B, 0)
))),
{
TRIM(CLEAN(MAPA_ESTADOS!A:A)) ,
MAPA_ESTADOS!B:B
},
2,
FALSE
),
"REVISAR"
)</f>
        <v>ENTREGADO</v>
      </c>
      <c r="P96" s="118" t="s">
        <v>5692</v>
      </c>
      <c r="Q96" s="153">
        <f t="shared" si="1"/>
        <v>0</v>
      </c>
      <c r="R96" s="163"/>
      <c r="S96" s="163"/>
      <c r="T96" s="118">
        <f t="array" ref="T96">IFERROR(
INDEX(REPORTE_DROPI!B:B,
MATCH(
CLEAN(TRIM(C96)),
CLEAN(TRIM(REPORTE_DROPI!E:E)),
0
)
),
""
)
</f>
        <v>4363928</v>
      </c>
      <c r="U96" s="163" t="s">
        <v>6116</v>
      </c>
      <c r="V96" s="164"/>
    </row>
    <row r="97" ht="22.5" hidden="1" customHeight="1">
      <c r="A97" s="161">
        <v>96.0</v>
      </c>
      <c r="B97" s="119">
        <v>46055.0</v>
      </c>
      <c r="C97" s="118" t="s">
        <v>6117</v>
      </c>
      <c r="D97" s="118" t="str">
        <f>IFERROR(__xludf.DUMMYFUNCTION("IFERROR( INDEX( FILTER( 'NOMBRE DE PRODUCTOS'!B:B, REGEXMATCH( UPPER( INDEX( REPORTE_DROPI!AC:AC, MATCH(T97, REPORTE_DROPI!B:B, 0) ) ), UPPER('NOMBRE DE PRODUCTOS'!A:A) ) ), 1 ), ""REVISAR"" )"),"REVISAR")</f>
        <v>REVISAR</v>
      </c>
      <c r="E97" s="120" t="str">
        <f t="array" ref="E97">IF(
UPPER(TRIM(CLEAN($O97)))="ENTREGADO",
IFERROR(
INDEX(REPORTE_DROPI!Y:Y,
MATCH($T97, REPORTE_DROPI!B:B, 0)
),
""
),
""
)
</f>
        <v/>
      </c>
      <c r="F97" s="162">
        <v>3.0</v>
      </c>
      <c r="G97" s="122" t="str">
        <f t="array" ref="G97">IF(
UPPER(TRIM(CLEAN($O97)))="ENTREGADO",
IFERROR(
INDEX(REPORTE_DROPI!R:R,
MATCH($T97, REPORTE_DROPI!B:B, 0)
),
""
),
""
)
</f>
        <v/>
      </c>
      <c r="H97" s="118" t="s">
        <v>3727</v>
      </c>
      <c r="I97" s="118" t="s">
        <v>3801</v>
      </c>
      <c r="J97" s="121" t="str">
        <f t="array" ref="J97">IF(
UPPER(TRIM(CLEAN($O97)))="ENTREGADO",
IFERROR(
INDEX(REPORTE_DROPI!T:T,
MATCH($T97, REPORTE_DROPI!B:B, 0)
),
""
),
""
)
</f>
        <v/>
      </c>
      <c r="K97" s="118" t="str">
        <f t="array" ref="K97">IFERROR(
INDEX(REPORTE_DROPI!S:S,
MATCH($T97, REPORTE_DROPI!B:B, 0)
),
""
)</f>
        <v/>
      </c>
      <c r="L97" s="118" t="str">
        <f>IF(
  O97&lt;&gt;"DEVOLUCION",
  "",
  IF(
    T97="",
    "",
    SUMIF(DEVOLUCION!F:F, T97, DEVOLUCION!D:D)
  )
)
</f>
        <v/>
      </c>
      <c r="M97" s="118" t="s">
        <v>5877</v>
      </c>
      <c r="N97" s="161" t="s">
        <v>6118</v>
      </c>
      <c r="O97" s="118" t="str">
        <f t="array" ref="O97">IFERROR(
VLOOKUP(
TRIM(CLEAN(
INDEX(REPORTE_DROPI!K:K,
MATCH(T97, REPORTE_DROPI!B:B, 0)
))),
{
TRIM(CLEAN(MAPA_ESTADOS!A:A)) ,
MAPA_ESTADOS!B:B
},
2,
FALSE
),
"REVISAR"
)</f>
        <v>REVISAR</v>
      </c>
      <c r="P97" s="118" t="s">
        <v>3689</v>
      </c>
      <c r="Q97" s="153">
        <f t="shared" si="1"/>
        <v>0</v>
      </c>
      <c r="R97" s="163"/>
      <c r="S97" s="163"/>
      <c r="T97" s="118" t="str">
        <f t="array" ref="T97">IFERROR(
INDEX(REPORTE_DROPI!B:B,
MATCH(
CLEAN(TRIM(C97)),
CLEAN(TRIM(REPORTE_DROPI!E:E)),
0
)
),
""
)
</f>
        <v/>
      </c>
      <c r="U97" s="163" t="s">
        <v>6119</v>
      </c>
      <c r="V97" s="164"/>
    </row>
    <row r="98" ht="22.5" hidden="1" customHeight="1">
      <c r="A98" s="161">
        <v>97.0</v>
      </c>
      <c r="B98" s="119">
        <v>46055.0</v>
      </c>
      <c r="C98" s="118" t="s">
        <v>6120</v>
      </c>
      <c r="D98" s="118" t="str">
        <f>IFERROR(__xludf.DUMMYFUNCTION("IFERROR( INDEX( FILTER( 'NOMBRE DE PRODUCTOS'!B:B, REGEXMATCH( UPPER( INDEX( REPORTE_DROPI!AC:AC, MATCH(T98, REPORTE_DROPI!B:B, 0) ) ), UPPER('NOMBRE DE PRODUCTOS'!A:A) ) ), 1 ), ""REVISAR"" )"),"Llave Multifuncional 360™")</f>
        <v>Llave Multifuncional 360™</v>
      </c>
      <c r="E98" s="120">
        <f t="array" ref="E98">IF(
UPPER(TRIM(CLEAN($O98)))="ENTREGADO",
IFERROR(
INDEX(REPORTE_DROPI!Y:Y,
MATCH($T98, REPORTE_DROPI!B:B, 0)
),
""
),
""
)
</f>
        <v>10</v>
      </c>
      <c r="F98" s="162">
        <v>2.0</v>
      </c>
      <c r="G98" s="122">
        <f t="array" ref="G98">IF(
UPPER(TRIM(CLEAN($O98)))="ENTREGADO",
IFERROR(
INDEX(REPORTE_DROPI!R:R,
MATCH($T98, REPORTE_DROPI!B:B, 0)
),
""
),
""
)
</f>
        <v>28</v>
      </c>
      <c r="H98" s="118" t="s">
        <v>3727</v>
      </c>
      <c r="I98" s="118" t="s">
        <v>3740</v>
      </c>
      <c r="J98" s="121">
        <f t="array" ref="J98">IF(
UPPER(TRIM(CLEAN($O98)))="ENTREGADO",
IFERROR(
INDEX(REPORTE_DROPI!T:T,
MATCH($T98, REPORTE_DROPI!B:B, 0)
),
""
),
""
)
</f>
        <v>6.08</v>
      </c>
      <c r="K98" s="118">
        <f t="array" ref="K98">IFERROR(
INDEX(REPORTE_DROPI!S:S,
MATCH($T98, REPORTE_DROPI!B:B, 0)
),
""
)</f>
        <v>11.92</v>
      </c>
      <c r="L98" s="118" t="str">
        <f>IF(
  O98&lt;&gt;"DEVOLUCION",
  "",
  IF(
    T98="",
    "",
    SUMIF(DEVOLUCION!F:F, T98, DEVOLUCION!D:D)
  )
)
</f>
        <v/>
      </c>
      <c r="M98" s="118" t="s">
        <v>5877</v>
      </c>
      <c r="N98" s="161" t="s">
        <v>6121</v>
      </c>
      <c r="O98" s="118" t="str">
        <f t="array" ref="O98">IFERROR(
VLOOKUP(
TRIM(CLEAN(
INDEX(REPORTE_DROPI!K:K,
MATCH(T98, REPORTE_DROPI!B:B, 0)
))),
{
TRIM(CLEAN(MAPA_ESTADOS!A:A)) ,
MAPA_ESTADOS!B:B
},
2,
FALSE
),
"REVISAR"
)</f>
        <v>ENTREGADO</v>
      </c>
      <c r="P98" s="118" t="s">
        <v>5692</v>
      </c>
      <c r="Q98" s="153">
        <f t="shared" si="1"/>
        <v>0</v>
      </c>
      <c r="R98" s="163"/>
      <c r="S98" s="163"/>
      <c r="T98" s="118">
        <f t="array" ref="T98">IFERROR(
INDEX(REPORTE_DROPI!B:B,
MATCH(
CLEAN(TRIM(C98)),
CLEAN(TRIM(REPORTE_DROPI!E:E)),
0
)
),
""
)
</f>
        <v>4364428</v>
      </c>
      <c r="U98" s="163" t="s">
        <v>6122</v>
      </c>
      <c r="V98" s="164"/>
    </row>
    <row r="99" ht="22.5" hidden="1" customHeight="1">
      <c r="A99" s="161">
        <v>98.0</v>
      </c>
      <c r="B99" s="119">
        <v>46055.0</v>
      </c>
      <c r="C99" s="118" t="s">
        <v>6123</v>
      </c>
      <c r="D99" s="118" t="str">
        <f>IFERROR(__xludf.DUMMYFUNCTION("IFERROR( INDEX( FILTER( 'NOMBRE DE PRODUCTOS'!B:B, REGEXMATCH( UPPER( INDEX( REPORTE_DROPI!AC:AC, MATCH(T99, REPORTE_DROPI!B:B, 0) ) ), UPPER('NOMBRE DE PRODUCTOS'!A:A) ) ), 1 ), ""REVISAR"" )"),"Llave Multifuncional 360™")</f>
        <v>Llave Multifuncional 360™</v>
      </c>
      <c r="E99" s="120" t="str">
        <f t="array" ref="E99">IF(
UPPER(TRIM(CLEAN($O99)))="ENTREGADO",
IFERROR(
INDEX(REPORTE_DROPI!Y:Y,
MATCH($T99, REPORTE_DROPI!B:B, 0)
),
""
),
""
)
</f>
        <v/>
      </c>
      <c r="F99" s="162">
        <v>1.0</v>
      </c>
      <c r="G99" s="122" t="str">
        <f t="array" ref="G99">IF(
UPPER(TRIM(CLEAN($O99)))="ENTREGADO",
IFERROR(
INDEX(REPORTE_DROPI!R:R,
MATCH($T99, REPORTE_DROPI!B:B, 0)
),
""
),
""
)
</f>
        <v/>
      </c>
      <c r="H99" s="118" t="s">
        <v>3727</v>
      </c>
      <c r="I99" s="118" t="s">
        <v>3962</v>
      </c>
      <c r="J99" s="121" t="str">
        <f t="array" ref="J99">IF(
UPPER(TRIM(CLEAN($O99)))="ENTREGADO",
IFERROR(
INDEX(REPORTE_DROPI!T:T,
MATCH($T99, REPORTE_DROPI!B:B, 0)
),
""
),
""
)
</f>
        <v/>
      </c>
      <c r="K99" s="118" t="str">
        <f t="array" ref="K99">IFERROR(
INDEX(REPORTE_DROPI!S:S,
MATCH($T99, REPORTE_DROPI!B:B, 0)
),
""
)</f>
        <v/>
      </c>
      <c r="L99" s="118" t="str">
        <f>IF(
  O99&lt;&gt;"DEVOLUCION",
  "",
  IF(
    T99="",
    "",
    SUMIF(DEVOLUCION!F:F, T99, DEVOLUCION!D:D)
  )
)
</f>
        <v/>
      </c>
      <c r="M99" s="118" t="s">
        <v>5877</v>
      </c>
      <c r="N99" s="161" t="s">
        <v>6124</v>
      </c>
      <c r="O99" s="118" t="str">
        <f t="array" ref="O99">IFERROR(
VLOOKUP(
TRIM(CLEAN(
INDEX(REPORTE_DROPI!K:K,
MATCH(T99, REPORTE_DROPI!B:B, 0)
))),
{
TRIM(CLEAN(MAPA_ESTADOS!A:A)) ,
MAPA_ESTADOS!B:B
},
2,
FALSE
),
"REVISAR"
)</f>
        <v>PENDIENTE</v>
      </c>
      <c r="P99" s="118" t="s">
        <v>5765</v>
      </c>
      <c r="Q99" s="153">
        <f t="shared" si="1"/>
        <v>0</v>
      </c>
      <c r="R99" s="163"/>
      <c r="S99" s="163"/>
      <c r="T99" s="118">
        <f t="array" ref="T99">IFERROR(
INDEX(REPORTE_DROPI!B:B,
MATCH(
CLEAN(TRIM(C99)),
CLEAN(TRIM(REPORTE_DROPI!E:E)),
0
)
),
""
)
</f>
        <v>4364765</v>
      </c>
      <c r="U99" s="163" t="s">
        <v>6125</v>
      </c>
      <c r="V99" s="164"/>
    </row>
    <row r="100" ht="22.5" hidden="1" customHeight="1">
      <c r="A100" s="161">
        <v>99.0</v>
      </c>
      <c r="B100" s="119">
        <v>46055.0</v>
      </c>
      <c r="C100" s="118" t="s">
        <v>6079</v>
      </c>
      <c r="D100" s="118" t="str">
        <f>IFERROR(__xludf.DUMMYFUNCTION("IFERROR( INDEX( FILTER( 'NOMBRE DE PRODUCTOS'!B:B, REGEXMATCH( UPPER( INDEX( REPORTE_DROPI!AC:AC, MATCH(T100, REPORTE_DROPI!B:B, 0) ) ), UPPER('NOMBRE DE PRODUCTOS'!A:A) ) ), 1 ), ""REVISAR"" )"),"REVISAR")</f>
        <v>REVISAR</v>
      </c>
      <c r="E100" s="120" t="str">
        <f t="array" ref="E100">IF(
UPPER(TRIM(CLEAN($O100)))="ENTREGADO",
IFERROR(
INDEX(REPORTE_DROPI!Y:Y,
MATCH($T100, REPORTE_DROPI!B:B, 0)
),
""
),
""
)
</f>
        <v/>
      </c>
      <c r="F100" s="162">
        <v>4.0</v>
      </c>
      <c r="G100" s="122" t="str">
        <f t="array" ref="G100">IF(
UPPER(TRIM(CLEAN($O100)))="ENTREGADO",
IFERROR(
INDEX(REPORTE_DROPI!R:R,
MATCH($T100, REPORTE_DROPI!B:B, 0)
),
""
),
""
)
</f>
        <v/>
      </c>
      <c r="H100" s="118" t="s">
        <v>3727</v>
      </c>
      <c r="I100" s="118" t="s">
        <v>6063</v>
      </c>
      <c r="J100" s="121" t="str">
        <f t="array" ref="J100">IF(
UPPER(TRIM(CLEAN($O100)))="ENTREGADO",
IFERROR(
INDEX(REPORTE_DROPI!T:T,
MATCH($T100, REPORTE_DROPI!B:B, 0)
),
""
),
""
)
</f>
        <v/>
      </c>
      <c r="K100" s="118" t="str">
        <f t="array" ref="K100">IFERROR(
INDEX(REPORTE_DROPI!S:S,
MATCH($T100, REPORTE_DROPI!B:B, 0)
),
""
)</f>
        <v/>
      </c>
      <c r="L100" s="118" t="str">
        <f>IF(
  O100&lt;&gt;"DEVOLUCION",
  "",
  IF(
    T100="",
    "",
    SUMIF(DEVOLUCION!F:F, T100, DEVOLUCION!D:D)
  )
)
</f>
        <v/>
      </c>
      <c r="M100" s="118" t="s">
        <v>5877</v>
      </c>
      <c r="N100" s="161" t="s">
        <v>6126</v>
      </c>
      <c r="O100" s="118" t="str">
        <f t="array" ref="O100">IFERROR(
VLOOKUP(
TRIM(CLEAN(
INDEX(REPORTE_DROPI!K:K,
MATCH(T100, REPORTE_DROPI!B:B, 0)
))),
{
TRIM(CLEAN(MAPA_ESTADOS!A:A)) ,
MAPA_ESTADOS!B:B
},
2,
FALSE
),
"REVISAR"
)</f>
        <v>REVISAR</v>
      </c>
      <c r="P100" s="118" t="s">
        <v>3689</v>
      </c>
      <c r="Q100" s="153">
        <f t="shared" si="1"/>
        <v>0</v>
      </c>
      <c r="R100" s="163"/>
      <c r="S100" s="163"/>
      <c r="T100" s="118" t="str">
        <f t="array" ref="T100">IFERROR(
INDEX(REPORTE_DROPI!B:B,
MATCH(
CLEAN(TRIM(C100)),
CLEAN(TRIM(REPORTE_DROPI!E:E)),
0
)
),
""
)
</f>
        <v/>
      </c>
      <c r="U100" s="163" t="s">
        <v>6127</v>
      </c>
      <c r="V100" s="164"/>
    </row>
    <row r="101" ht="22.5" hidden="1" customHeight="1">
      <c r="A101" s="161">
        <v>100.0</v>
      </c>
      <c r="B101" s="119">
        <v>46055.0</v>
      </c>
      <c r="C101" s="118" t="s">
        <v>6128</v>
      </c>
      <c r="D101" s="118" t="str">
        <f>IFERROR(__xludf.DUMMYFUNCTION("IFERROR( INDEX( FILTER( 'NOMBRE DE PRODUCTOS'!B:B, REGEXMATCH( UPPER( INDEX( REPORTE_DROPI!AC:AC, MATCH(T101, REPORTE_DROPI!B:B, 0) ) ), UPPER('NOMBRE DE PRODUCTOS'!A:A) ) ), 1 ), ""REVISAR"" )"),"Llave Multifuncional 360™")</f>
        <v>Llave Multifuncional 360™</v>
      </c>
      <c r="E101" s="120">
        <f t="array" ref="E101">IF(
UPPER(TRIM(CLEAN($O101)))="ENTREGADO",
IFERROR(
INDEX(REPORTE_DROPI!Y:Y,
MATCH($T101, REPORTE_DROPI!B:B, 0)
),
""
),
""
)
</f>
        <v>5</v>
      </c>
      <c r="F101" s="162">
        <v>1.0</v>
      </c>
      <c r="G101" s="122">
        <f t="array" ref="G101">IF(
UPPER(TRIM(CLEAN($O101)))="ENTREGADO",
IFERROR(
INDEX(REPORTE_DROPI!R:R,
MATCH($T101, REPORTE_DROPI!B:B, 0)
),
""
),
""
)
</f>
        <v>20</v>
      </c>
      <c r="H101" s="118" t="s">
        <v>3727</v>
      </c>
      <c r="I101" s="118" t="s">
        <v>3784</v>
      </c>
      <c r="J101" s="121">
        <f t="array" ref="J101">IF(
UPPER(TRIM(CLEAN($O101)))="ENTREGADO",
IFERROR(
INDEX(REPORTE_DROPI!T:T,
MATCH($T101, REPORTE_DROPI!B:B, 0)
),
""
),
""
)
</f>
        <v>5.97</v>
      </c>
      <c r="K101" s="118">
        <f t="array" ref="K101">IFERROR(
INDEX(REPORTE_DROPI!S:S,
MATCH($T101, REPORTE_DROPI!B:B, 0)
),
""
)</f>
        <v>9.03</v>
      </c>
      <c r="L101" s="118" t="str">
        <f>IF(
  O101&lt;&gt;"DEVOLUCION",
  "",
  IF(
    T101="",
    "",
    SUMIF(DEVOLUCION!F:F, T101, DEVOLUCION!D:D)
  )
)
</f>
        <v/>
      </c>
      <c r="M101" s="118" t="s">
        <v>5877</v>
      </c>
      <c r="N101" s="161" t="s">
        <v>6129</v>
      </c>
      <c r="O101" s="118" t="str">
        <f t="array" ref="O101">IFERROR(
VLOOKUP(
TRIM(CLEAN(
INDEX(REPORTE_DROPI!K:K,
MATCH(T101, REPORTE_DROPI!B:B, 0)
))),
{
TRIM(CLEAN(MAPA_ESTADOS!A:A)) ,
MAPA_ESTADOS!B:B
},
2,
FALSE
),
"REVISAR"
)</f>
        <v>ENTREGADO</v>
      </c>
      <c r="P101" s="118" t="s">
        <v>5692</v>
      </c>
      <c r="Q101" s="153">
        <f t="shared" si="1"/>
        <v>0</v>
      </c>
      <c r="R101" s="163"/>
      <c r="S101" s="163"/>
      <c r="T101" s="118">
        <f t="array" ref="T101">IFERROR(
INDEX(REPORTE_DROPI!B:B,
MATCH(
CLEAN(TRIM(C101)),
CLEAN(TRIM(REPORTE_DROPI!E:E)),
0
)
),
""
)
</f>
        <v>4372643</v>
      </c>
      <c r="U101" s="163" t="s">
        <v>6130</v>
      </c>
      <c r="V101" s="164"/>
    </row>
    <row r="102" ht="22.5" hidden="1" customHeight="1">
      <c r="A102" s="161">
        <v>101.0</v>
      </c>
      <c r="B102" s="119">
        <v>46058.0</v>
      </c>
      <c r="C102" s="118" t="s">
        <v>6131</v>
      </c>
      <c r="D102" s="118" t="str">
        <f>IFERROR(__xludf.DUMMYFUNCTION("IFERROR( INDEX( FILTER( 'NOMBRE DE PRODUCTOS'!B:B, REGEXMATCH( UPPER( INDEX( REPORTE_DROPI!AC:AC, MATCH(T102, REPORTE_DROPI!B:B, 0) ) ), UPPER('NOMBRE DE PRODUCTOS'!A:A) ) ), 1 ), ""REVISAR"" )"),"FilmPro®")</f>
        <v>FilmPro®</v>
      </c>
      <c r="E102" s="120">
        <f t="array" ref="E102">IF(
UPPER(TRIM(CLEAN($O102)))="ENTREGADO",
IFERROR(
INDEX(REPORTE_DROPI!Y:Y,
MATCH($T102, REPORTE_DROPI!B:B, 0)
),
""
),
""
)
</f>
        <v>2.2</v>
      </c>
      <c r="F102" s="162">
        <v>1.0</v>
      </c>
      <c r="G102" s="122">
        <f t="array" ref="G102">IF(
UPPER(TRIM(CLEAN($O102)))="ENTREGADO",
IFERROR(
INDEX(REPORTE_DROPI!R:R,
MATCH($T102, REPORTE_DROPI!B:B, 0)
),
""
),
""
)
</f>
        <v>20</v>
      </c>
      <c r="H102" s="118" t="s">
        <v>3727</v>
      </c>
      <c r="I102" s="118" t="s">
        <v>3784</v>
      </c>
      <c r="J102" s="121">
        <f t="array" ref="J102">IF(
UPPER(TRIM(CLEAN($O102)))="ENTREGADO",
IFERROR(
INDEX(REPORTE_DROPI!T:T,
MATCH($T102, REPORTE_DROPI!B:B, 0)
),
""
),
""
)
</f>
        <v>5.76</v>
      </c>
      <c r="K102" s="118">
        <f t="array" ref="K102">IFERROR(
INDEX(REPORTE_DROPI!S:S,
MATCH($T102, REPORTE_DROPI!B:B, 0)
),
""
)</f>
        <v>12.04</v>
      </c>
      <c r="L102" s="118" t="str">
        <f>IF(
  O102&lt;&gt;"DEVOLUCION",
  "",
  IF(
    T102="",
    "",
    SUMIF(DEVOLUCION!F:F, T102, DEVOLUCION!D:D)
  )
)
</f>
        <v/>
      </c>
      <c r="M102" s="118" t="s">
        <v>5877</v>
      </c>
      <c r="N102" s="161" t="s">
        <v>6132</v>
      </c>
      <c r="O102" s="118" t="str">
        <f t="array" ref="O102">IFERROR(
VLOOKUP(
TRIM(CLEAN(
INDEX(REPORTE_DROPI!K:K,
MATCH(T102, REPORTE_DROPI!B:B, 0)
))),
{
TRIM(CLEAN(MAPA_ESTADOS!A:A)) ,
MAPA_ESTADOS!B:B
},
2,
FALSE
),
"REVISAR"
)</f>
        <v>ENTREGADO</v>
      </c>
      <c r="P102" s="118" t="s">
        <v>3655</v>
      </c>
      <c r="Q102" s="153">
        <f t="shared" si="1"/>
        <v>0</v>
      </c>
      <c r="R102" s="163"/>
      <c r="S102" s="163"/>
      <c r="T102" s="118">
        <f t="array" ref="T102">IFERROR(
INDEX(REPORTE_DROPI!B:B,
MATCH(
CLEAN(TRIM(C102)),
CLEAN(TRIM(REPORTE_DROPI!E:E)),
0
)
),
""
)
</f>
        <v>4404376</v>
      </c>
      <c r="U102" s="163" t="s">
        <v>6133</v>
      </c>
      <c r="V102" s="164"/>
    </row>
    <row r="103" ht="22.5" hidden="1" customHeight="1">
      <c r="A103" s="161">
        <v>102.0</v>
      </c>
      <c r="B103" s="119">
        <v>46058.0</v>
      </c>
      <c r="C103" s="118" t="s">
        <v>6134</v>
      </c>
      <c r="D103" s="118" t="str">
        <f>IFERROR(__xludf.DUMMYFUNCTION("IFERROR( INDEX( FILTER( 'NOMBRE DE PRODUCTOS'!B:B, REGEXMATCH( UPPER( INDEX( REPORTE_DROPI!AC:AC, MATCH(T103, REPORTE_DROPI!B:B, 0) ) ), UPPER('NOMBRE DE PRODUCTOS'!A:A) ) ), 1 ), ""REVISAR"" )"),"Cuchillo Tazaki™")</f>
        <v>Cuchillo Tazaki™</v>
      </c>
      <c r="E103" s="120" t="str">
        <f t="array" ref="E103">IF(
UPPER(TRIM(CLEAN($O103)))="ENTREGADO",
IFERROR(
INDEX(REPORTE_DROPI!Y:Y,
MATCH($T103, REPORTE_DROPI!B:B, 0)
),
""
),
""
)
</f>
        <v/>
      </c>
      <c r="F103" s="162">
        <v>2.0</v>
      </c>
      <c r="G103" s="122" t="str">
        <f t="array" ref="G103">IF(
UPPER(TRIM(CLEAN($O103)))="ENTREGADO",
IFERROR(
INDEX(REPORTE_DROPI!R:R,
MATCH($T103, REPORTE_DROPI!B:B, 0)
),
""
),
""
)
</f>
        <v/>
      </c>
      <c r="H103" s="118" t="s">
        <v>3727</v>
      </c>
      <c r="I103" s="118" t="s">
        <v>3740</v>
      </c>
      <c r="J103" s="121" t="str">
        <f t="array" ref="J103">IF(
UPPER(TRIM(CLEAN($O103)))="ENTREGADO",
IFERROR(
INDEX(REPORTE_DROPI!T:T,
MATCH($T103, REPORTE_DROPI!B:B, 0)
),
""
),
""
)
</f>
        <v/>
      </c>
      <c r="K103" s="118" t="str">
        <f t="array" ref="K103">IFERROR(
INDEX(REPORTE_DROPI!S:S,
MATCH($T103, REPORTE_DROPI!B:B, 0)
),
""
)</f>
        <v/>
      </c>
      <c r="L103" s="118" t="str">
        <f>IF(
  O103&lt;&gt;"DEVOLUCION",
  "",
  IF(
    T103="",
    "",
    SUMIF(DEVOLUCION!F:F, T103, DEVOLUCION!D:D)
  )
)
</f>
        <v/>
      </c>
      <c r="M103" s="118" t="s">
        <v>5877</v>
      </c>
      <c r="N103" s="161" t="s">
        <v>6135</v>
      </c>
      <c r="O103" s="118" t="str">
        <f t="array" ref="O103">IFERROR(
VLOOKUP(
TRIM(CLEAN(
INDEX(REPORTE_DROPI!K:K,
MATCH(T103, REPORTE_DROPI!B:B, 0)
))),
{
TRIM(CLEAN(MAPA_ESTADOS!A:A)) ,
MAPA_ESTADOS!B:B
},
2,
FALSE
),
"REVISAR"
)</f>
        <v>PENDIENTE</v>
      </c>
      <c r="P103" s="118" t="s">
        <v>3689</v>
      </c>
      <c r="Q103" s="153">
        <f t="shared" si="1"/>
        <v>0</v>
      </c>
      <c r="R103" s="163"/>
      <c r="S103" s="163"/>
      <c r="T103" s="118">
        <f t="array" ref="T103">IFERROR(
INDEX(REPORTE_DROPI!B:B,
MATCH(
CLEAN(TRIM(C103)),
CLEAN(TRIM(REPORTE_DROPI!E:E)),
0
)
),
""
)
</f>
        <v>4404690</v>
      </c>
      <c r="U103" s="163" t="s">
        <v>6136</v>
      </c>
      <c r="V103" s="164"/>
    </row>
    <row r="104" ht="22.5" hidden="1" customHeight="1">
      <c r="A104" s="161">
        <v>103.0</v>
      </c>
      <c r="B104" s="119">
        <v>46058.0</v>
      </c>
      <c r="C104" s="118" t="s">
        <v>6137</v>
      </c>
      <c r="D104" s="118" t="str">
        <f>IFERROR(__xludf.DUMMYFUNCTION("IFERROR( INDEX( FILTER( 'NOMBRE DE PRODUCTOS'!B:B, REGEXMATCH( UPPER( INDEX( REPORTE_DROPI!AC:AC, MATCH(T104, REPORTE_DROPI!B:B, 0) ) ), UPPER('NOMBRE DE PRODUCTOS'!A:A) ) ), 1 ), ""REVISAR"" )"),"FilmPro®")</f>
        <v>FilmPro®</v>
      </c>
      <c r="E104" s="120" t="str">
        <f t="array" ref="E104">IF(
UPPER(TRIM(CLEAN($O104)))="ENTREGADO",
IFERROR(
INDEX(REPORTE_DROPI!Y:Y,
MATCH($T104, REPORTE_DROPI!B:B, 0)
),
""
),
""
)
</f>
        <v/>
      </c>
      <c r="F104" s="162">
        <v>1.0</v>
      </c>
      <c r="G104" s="122" t="str">
        <f t="array" ref="G104">IF(
UPPER(TRIM(CLEAN($O104)))="ENTREGADO",
IFERROR(
INDEX(REPORTE_DROPI!R:R,
MATCH($T104, REPORTE_DROPI!B:B, 0)
),
""
),
""
)
</f>
        <v/>
      </c>
      <c r="H104" s="118" t="s">
        <v>3727</v>
      </c>
      <c r="I104" s="118" t="s">
        <v>3772</v>
      </c>
      <c r="J104" s="121" t="str">
        <f t="array" ref="J104">IF(
UPPER(TRIM(CLEAN($O104)))="ENTREGADO",
IFERROR(
INDEX(REPORTE_DROPI!T:T,
MATCH($T104, REPORTE_DROPI!B:B, 0)
),
""
),
""
)
</f>
        <v/>
      </c>
      <c r="K104" s="118" t="str">
        <f t="array" ref="K104">IFERROR(
INDEX(REPORTE_DROPI!S:S,
MATCH($T104, REPORTE_DROPI!B:B, 0)
),
""
)</f>
        <v/>
      </c>
      <c r="L104" s="118" t="str">
        <f>IF(
  O104&lt;&gt;"DEVOLUCION",
  "",
  IF(
    T104="",
    "",
    SUMIF(DEVOLUCION!F:F, T104, DEVOLUCION!D:D)
  )
)
</f>
        <v/>
      </c>
      <c r="M104" s="118" t="s">
        <v>5877</v>
      </c>
      <c r="N104" s="161" t="s">
        <v>6138</v>
      </c>
      <c r="O104" s="118" t="str">
        <f t="array" ref="O104">IFERROR(
VLOOKUP(
TRIM(CLEAN(
INDEX(REPORTE_DROPI!K:K,
MATCH(T104, REPORTE_DROPI!B:B, 0)
))),
{
TRIM(CLEAN(MAPA_ESTADOS!A:A)) ,
MAPA_ESTADOS!B:B
},
2,
FALSE
),
"REVISAR"
)</f>
        <v>PENDIENTE</v>
      </c>
      <c r="P104" s="118" t="s">
        <v>3689</v>
      </c>
      <c r="Q104" s="153">
        <f t="shared" si="1"/>
        <v>0</v>
      </c>
      <c r="R104" s="163"/>
      <c r="S104" s="163"/>
      <c r="T104" s="118">
        <f t="array" ref="T104">IFERROR(
INDEX(REPORTE_DROPI!B:B,
MATCH(
CLEAN(TRIM(C104)),
CLEAN(TRIM(REPORTE_DROPI!E:E)),
0
)
),
""
)
</f>
        <v>4405388</v>
      </c>
      <c r="U104" s="163">
        <v>1.57100105174E11</v>
      </c>
      <c r="V104" s="164"/>
    </row>
    <row r="105" ht="22.5" hidden="1" customHeight="1">
      <c r="A105" s="161">
        <v>104.0</v>
      </c>
      <c r="B105" s="119">
        <v>46058.0</v>
      </c>
      <c r="C105" s="118" t="s">
        <v>6139</v>
      </c>
      <c r="D105" s="118" t="str">
        <f>IFERROR(__xludf.DUMMYFUNCTION("IFERROR( INDEX( FILTER( 'NOMBRE DE PRODUCTOS'!B:B, REGEXMATCH( UPPER( INDEX( REPORTE_DROPI!AC:AC, MATCH(T105, REPORTE_DROPI!B:B, 0) ) ), UPPER('NOMBRE DE PRODUCTOS'!A:A) ) ), 1 ), ""REVISAR"" )"),"Cuchillo Tazaki™")</f>
        <v>Cuchillo Tazaki™</v>
      </c>
      <c r="E105" s="120">
        <f t="array" ref="E105">IF(
UPPER(TRIM(CLEAN($O105)))="ENTREGADO",
IFERROR(
INDEX(REPORTE_DROPI!Y:Y,
MATCH($T105, REPORTE_DROPI!B:B, 0)
),
""
),
""
)
</f>
        <v>7.8</v>
      </c>
      <c r="F105" s="162">
        <v>3.0</v>
      </c>
      <c r="G105" s="122">
        <f t="array" ref="G105">IF(
UPPER(TRIM(CLEAN($O105)))="ENTREGADO",
IFERROR(
INDEX(REPORTE_DROPI!R:R,
MATCH($T105, REPORTE_DROPI!B:B, 0)
),
""
),
""
)
</f>
        <v>27</v>
      </c>
      <c r="H105" s="118" t="s">
        <v>3727</v>
      </c>
      <c r="I105" s="118" t="s">
        <v>3740</v>
      </c>
      <c r="J105" s="121">
        <f t="array" ref="J105">IF(
UPPER(TRIM(CLEAN($O105)))="ENTREGADO",
IFERROR(
INDEX(REPORTE_DROPI!T:T,
MATCH($T105, REPORTE_DROPI!B:B, 0)
),
""
),
""
)
</f>
        <v>5.45</v>
      </c>
      <c r="K105" s="118">
        <f t="array" ref="K105">IFERROR(
INDEX(REPORTE_DROPI!S:S,
MATCH($T105, REPORTE_DROPI!B:B, 0)
),
""
)</f>
        <v>13.75</v>
      </c>
      <c r="L105" s="118" t="str">
        <f>IF(
  O105&lt;&gt;"DEVOLUCION",
  "",
  IF(
    T105="",
    "",
    SUMIF(DEVOLUCION!F:F, T105, DEVOLUCION!D:D)
  )
)
</f>
        <v/>
      </c>
      <c r="M105" s="118" t="s">
        <v>5877</v>
      </c>
      <c r="N105" s="161" t="s">
        <v>6140</v>
      </c>
      <c r="O105" s="118" t="str">
        <f t="array" ref="O105">IFERROR(
VLOOKUP(
TRIM(CLEAN(
INDEX(REPORTE_DROPI!K:K,
MATCH(T105, REPORTE_DROPI!B:B, 0)
))),
{
TRIM(CLEAN(MAPA_ESTADOS!A:A)) ,
MAPA_ESTADOS!B:B
},
2,
FALSE
),
"REVISAR"
)</f>
        <v>ENTREGADO</v>
      </c>
      <c r="P105" s="118" t="s">
        <v>5692</v>
      </c>
      <c r="Q105" s="153">
        <f t="shared" si="1"/>
        <v>0</v>
      </c>
      <c r="R105" s="163"/>
      <c r="S105" s="163"/>
      <c r="T105" s="118">
        <f t="array" ref="T105">IFERROR(
INDEX(REPORTE_DROPI!B:B,
MATCH(
CLEAN(TRIM(C105)),
CLEAN(TRIM(REPORTE_DROPI!E:E)),
0
)
),
""
)
</f>
        <v>4405543</v>
      </c>
      <c r="U105" s="163" t="s">
        <v>6141</v>
      </c>
      <c r="V105" s="164"/>
    </row>
    <row r="106" ht="22.5" hidden="1" customHeight="1">
      <c r="A106" s="161">
        <v>105.0</v>
      </c>
      <c r="B106" s="119">
        <v>46058.0</v>
      </c>
      <c r="C106" s="118" t="s">
        <v>6142</v>
      </c>
      <c r="D106" s="118" t="str">
        <f>IFERROR(__xludf.DUMMYFUNCTION("IFERROR( INDEX( FILTER( 'NOMBRE DE PRODUCTOS'!B:B, REGEXMATCH( UPPER( INDEX( REPORTE_DROPI!AC:AC, MATCH(T106, REPORTE_DROPI!B:B, 0) ) ), UPPER('NOMBRE DE PRODUCTOS'!A:A) ) ), 1 ), ""REVISAR"" )"),"Cuchillo Tazaki™")</f>
        <v>Cuchillo Tazaki™</v>
      </c>
      <c r="E106" s="120">
        <f t="array" ref="E106">IF(
UPPER(TRIM(CLEAN($O106)))="ENTREGADO",
IFERROR(
INDEX(REPORTE_DROPI!Y:Y,
MATCH($T106, REPORTE_DROPI!B:B, 0)
),
""
),
""
)
</f>
        <v>5.2</v>
      </c>
      <c r="F106" s="162">
        <v>2.0</v>
      </c>
      <c r="G106" s="122">
        <f t="array" ref="G106">IF(
UPPER(TRIM(CLEAN($O106)))="ENTREGADO",
IFERROR(
INDEX(REPORTE_DROPI!R:R,
MATCH($T106, REPORTE_DROPI!B:B, 0)
),
""
),
""
)
</f>
        <v>22</v>
      </c>
      <c r="H106" s="118" t="s">
        <v>3727</v>
      </c>
      <c r="I106" s="118" t="s">
        <v>3740</v>
      </c>
      <c r="J106" s="121">
        <f t="array" ref="J106">IF(
UPPER(TRIM(CLEAN($O106)))="ENTREGADO",
IFERROR(
INDEX(REPORTE_DROPI!T:T,
MATCH($T106, REPORTE_DROPI!B:B, 0)
),
""
),
""
)
</f>
        <v>5.26</v>
      </c>
      <c r="K106" s="118">
        <f t="array" ref="K106">IFERROR(
INDEX(REPORTE_DROPI!S:S,
MATCH($T106, REPORTE_DROPI!B:B, 0)
),
""
)</f>
        <v>11.54</v>
      </c>
      <c r="L106" s="118" t="str">
        <f>IF(
  O106&lt;&gt;"DEVOLUCION",
  "",
  IF(
    T106="",
    "",
    SUMIF(DEVOLUCION!F:F, T106, DEVOLUCION!D:D)
  )
)
</f>
        <v/>
      </c>
      <c r="M106" s="118" t="s">
        <v>5877</v>
      </c>
      <c r="N106" s="161" t="s">
        <v>6143</v>
      </c>
      <c r="O106" s="118" t="str">
        <f t="array" ref="O106">IFERROR(
VLOOKUP(
TRIM(CLEAN(
INDEX(REPORTE_DROPI!K:K,
MATCH(T106, REPORTE_DROPI!B:B, 0)
))),
{
TRIM(CLEAN(MAPA_ESTADOS!A:A)) ,
MAPA_ESTADOS!B:B
},
2,
FALSE
),
"REVISAR"
)</f>
        <v>ENTREGADO</v>
      </c>
      <c r="P106" s="118" t="s">
        <v>5692</v>
      </c>
      <c r="Q106" s="153">
        <f t="shared" si="1"/>
        <v>0</v>
      </c>
      <c r="R106" s="163"/>
      <c r="S106" s="163"/>
      <c r="T106" s="118">
        <f t="array" ref="T106">IFERROR(
INDEX(REPORTE_DROPI!B:B,
MATCH(
CLEAN(TRIM(C106)),
CLEAN(TRIM(REPORTE_DROPI!E:E)),
0
)
),
""
)
</f>
        <v>4405554</v>
      </c>
      <c r="U106" s="163" t="s">
        <v>6144</v>
      </c>
      <c r="V106" s="164"/>
    </row>
    <row r="107" ht="22.5" hidden="1" customHeight="1">
      <c r="A107" s="161">
        <v>106.0</v>
      </c>
      <c r="B107" s="119">
        <v>46058.0</v>
      </c>
      <c r="C107" s="118" t="s">
        <v>6145</v>
      </c>
      <c r="D107" s="118" t="str">
        <f>IFERROR(__xludf.DUMMYFUNCTION("IFERROR( INDEX( FILTER( 'NOMBRE DE PRODUCTOS'!B:B, REGEXMATCH( UPPER( INDEX( REPORTE_DROPI!AC:AC, MATCH(T107, REPORTE_DROPI!B:B, 0) ) ), UPPER('NOMBRE DE PRODUCTOS'!A:A) ) ), 1 ), ""REVISAR"" )"),"FilmPro®")</f>
        <v>FilmPro®</v>
      </c>
      <c r="E107" s="120">
        <f t="array" ref="E107">IF(
UPPER(TRIM(CLEAN($O107)))="ENTREGADO",
IFERROR(
INDEX(REPORTE_DROPI!Y:Y,
MATCH($T107, REPORTE_DROPI!B:B, 0)
),
""
),
""
)
</f>
        <v>6.6</v>
      </c>
      <c r="F107" s="162">
        <v>3.0</v>
      </c>
      <c r="G107" s="122">
        <f t="array" ref="G107">IF(
UPPER(TRIM(CLEAN($O107)))="ENTREGADO",
IFERROR(
INDEX(REPORTE_DROPI!R:R,
MATCH($T107, REPORTE_DROPI!B:B, 0)
),
""
),
""
)
</f>
        <v>30</v>
      </c>
      <c r="H107" s="118" t="s">
        <v>3727</v>
      </c>
      <c r="I107" s="118" t="s">
        <v>3731</v>
      </c>
      <c r="J107" s="121">
        <f t="array" ref="J107">IF(
UPPER(TRIM(CLEAN($O107)))="ENTREGADO",
IFERROR(
INDEX(REPORTE_DROPI!T:T,
MATCH($T107, REPORTE_DROPI!B:B, 0)
),
""
),
""
)
</f>
        <v>6.16</v>
      </c>
      <c r="K107" s="118">
        <f t="array" ref="K107">IFERROR(
INDEX(REPORTE_DROPI!S:S,
MATCH($T107, REPORTE_DROPI!B:B, 0)
),
""
)</f>
        <v>17.24</v>
      </c>
      <c r="L107" s="118" t="str">
        <f>IF(
  O107&lt;&gt;"DEVOLUCION",
  "",
  IF(
    T107="",
    "",
    SUMIF(DEVOLUCION!F:F, T107, DEVOLUCION!D:D)
  )
)
</f>
        <v/>
      </c>
      <c r="M107" s="118" t="s">
        <v>5877</v>
      </c>
      <c r="N107" s="161" t="s">
        <v>6146</v>
      </c>
      <c r="O107" s="118" t="str">
        <f t="array" ref="O107">IFERROR(
VLOOKUP(
TRIM(CLEAN(
INDEX(REPORTE_DROPI!K:K,
MATCH(T107, REPORTE_DROPI!B:B, 0)
))),
{
TRIM(CLEAN(MAPA_ESTADOS!A:A)) ,
MAPA_ESTADOS!B:B
},
2,
FALSE
),
"REVISAR"
)</f>
        <v>ENTREGADO</v>
      </c>
      <c r="P107" s="118" t="s">
        <v>5692</v>
      </c>
      <c r="Q107" s="153">
        <f t="shared" si="1"/>
        <v>0</v>
      </c>
      <c r="R107" s="163"/>
      <c r="S107" s="163"/>
      <c r="T107" s="118">
        <f t="array" ref="T107">IFERROR(
INDEX(REPORTE_DROPI!B:B,
MATCH(
CLEAN(TRIM(C107)),
CLEAN(TRIM(REPORTE_DROPI!E:E)),
0
)
),
""
)
</f>
        <v>4406065</v>
      </c>
      <c r="U107" s="163" t="s">
        <v>6147</v>
      </c>
      <c r="V107" s="164"/>
    </row>
    <row r="108" ht="22.5" hidden="1" customHeight="1">
      <c r="A108" s="161">
        <v>107.0</v>
      </c>
      <c r="B108" s="119">
        <v>46058.0</v>
      </c>
      <c r="C108" s="118" t="s">
        <v>6148</v>
      </c>
      <c r="D108" s="118" t="str">
        <f>IFERROR(__xludf.DUMMYFUNCTION("IFERROR( INDEX( FILTER( 'NOMBRE DE PRODUCTOS'!B:B, REGEXMATCH( UPPER( INDEX( REPORTE_DROPI!AC:AC, MATCH(T108, REPORTE_DROPI!B:B, 0) ) ), UPPER('NOMBRE DE PRODUCTOS'!A:A) ) ), 1 ), ""REVISAR"" )"),"Cuchillo Tazaki™")</f>
        <v>Cuchillo Tazaki™</v>
      </c>
      <c r="E108" s="120" t="str">
        <f t="array" ref="E108">IF(
UPPER(TRIM(CLEAN($O108)))="ENTREGADO",
IFERROR(
INDEX(REPORTE_DROPI!Y:Y,
MATCH($T108, REPORTE_DROPI!B:B, 0)
),
""
),
""
)
</f>
        <v/>
      </c>
      <c r="F108" s="162">
        <v>2.0</v>
      </c>
      <c r="G108" s="122" t="str">
        <f t="array" ref="G108">IF(
UPPER(TRIM(CLEAN($O108)))="ENTREGADO",
IFERROR(
INDEX(REPORTE_DROPI!R:R,
MATCH($T108, REPORTE_DROPI!B:B, 0)
),
""
),
""
)
</f>
        <v/>
      </c>
      <c r="H108" s="118" t="s">
        <v>3727</v>
      </c>
      <c r="I108" s="118" t="s">
        <v>3740</v>
      </c>
      <c r="J108" s="121" t="str">
        <f t="array" ref="J108">IF(
UPPER(TRIM(CLEAN($O108)))="ENTREGADO",
IFERROR(
INDEX(REPORTE_DROPI!T:T,
MATCH($T108, REPORTE_DROPI!B:B, 0)
),
""
),
""
)
</f>
        <v/>
      </c>
      <c r="K108" s="118" t="str">
        <f t="array" ref="K108">IFERROR(
INDEX(REPORTE_DROPI!S:S,
MATCH($T108, REPORTE_DROPI!B:B, 0)
),
""
)</f>
        <v/>
      </c>
      <c r="L108" s="118">
        <f>IF(
  O108&lt;&gt;"DEVOLUCION",
  "",
  IF(
    T108="",
    "",
    SUMIF(DEVOLUCION!F:F, T108, DEVOLUCION!D:D)
  )
)
</f>
        <v>4.5</v>
      </c>
      <c r="M108" s="118" t="s">
        <v>5877</v>
      </c>
      <c r="N108" s="161" t="s">
        <v>6149</v>
      </c>
      <c r="O108" s="118" t="str">
        <f t="array" ref="O108">IFERROR(
VLOOKUP(
TRIM(CLEAN(
INDEX(REPORTE_DROPI!K:K,
MATCH(T108, REPORTE_DROPI!B:B, 0)
))),
{
TRIM(CLEAN(MAPA_ESTADOS!A:A)) ,
MAPA_ESTADOS!B:B
},
2,
FALSE
),
"REVISAR"
)</f>
        <v>DEVOLUCION</v>
      </c>
      <c r="P108" s="118" t="s">
        <v>5692</v>
      </c>
      <c r="Q108" s="153">
        <f t="shared" si="1"/>
        <v>0</v>
      </c>
      <c r="R108" s="163"/>
      <c r="S108" s="163"/>
      <c r="T108" s="118">
        <f t="array" ref="T108">IFERROR(
INDEX(REPORTE_DROPI!B:B,
MATCH(
CLEAN(TRIM(C108)),
CLEAN(TRIM(REPORTE_DROPI!E:E)),
0
)
),
""
)
</f>
        <v>4406617</v>
      </c>
      <c r="U108" s="163" t="s">
        <v>6150</v>
      </c>
      <c r="V108" s="164"/>
    </row>
    <row r="109" ht="22.5" hidden="1" customHeight="1">
      <c r="A109" s="161">
        <v>108.0</v>
      </c>
      <c r="B109" s="119">
        <v>46058.0</v>
      </c>
      <c r="C109" s="118" t="s">
        <v>6151</v>
      </c>
      <c r="D109" s="118" t="str">
        <f>IFERROR(__xludf.DUMMYFUNCTION("IFERROR( INDEX( FILTER( 'NOMBRE DE PRODUCTOS'!B:B, REGEXMATCH( UPPER( INDEX( REPORTE_DROPI!AC:AC, MATCH(T109, REPORTE_DROPI!B:B, 0) ) ), UPPER('NOMBRE DE PRODUCTOS'!A:A) ) ), 1 ), ""REVISAR"" )"),"FilmPro®")</f>
        <v>FilmPro®</v>
      </c>
      <c r="E109" s="120" t="str">
        <f t="array" ref="E109">IF(
UPPER(TRIM(CLEAN($O109)))="ENTREGADO",
IFERROR(
INDEX(REPORTE_DROPI!Y:Y,
MATCH($T109, REPORTE_DROPI!B:B, 0)
),
""
),
""
)
</f>
        <v/>
      </c>
      <c r="F109" s="162">
        <v>3.0</v>
      </c>
      <c r="G109" s="122" t="str">
        <f t="array" ref="G109">IF(
UPPER(TRIM(CLEAN($O109)))="ENTREGADO",
IFERROR(
INDEX(REPORTE_DROPI!R:R,
MATCH($T109, REPORTE_DROPI!B:B, 0)
),
""
),
""
)
</f>
        <v/>
      </c>
      <c r="H109" s="118" t="s">
        <v>3727</v>
      </c>
      <c r="I109" s="118" t="s">
        <v>3740</v>
      </c>
      <c r="J109" s="121" t="str">
        <f t="array" ref="J109">IF(
UPPER(TRIM(CLEAN($O109)))="ENTREGADO",
IFERROR(
INDEX(REPORTE_DROPI!T:T,
MATCH($T109, REPORTE_DROPI!B:B, 0)
),
""
),
""
)
</f>
        <v/>
      </c>
      <c r="K109" s="118" t="str">
        <f t="array" ref="K109">IFERROR(
INDEX(REPORTE_DROPI!S:S,
MATCH($T109, REPORTE_DROPI!B:B, 0)
),
""
)</f>
        <v/>
      </c>
      <c r="L109" s="118" t="str">
        <f>IF(
  O109&lt;&gt;"DEVOLUCION",
  "",
  IF(
    T109="",
    "",
    SUMIF(DEVOLUCION!F:F, T109, DEVOLUCION!D:D)
  )
)
</f>
        <v/>
      </c>
      <c r="M109" s="118" t="s">
        <v>5877</v>
      </c>
      <c r="N109" s="161" t="s">
        <v>6152</v>
      </c>
      <c r="O109" s="118" t="str">
        <f t="array" ref="O109">IFERROR(
VLOOKUP(
TRIM(CLEAN(
INDEX(REPORTE_DROPI!K:K,
MATCH(T109, REPORTE_DROPI!B:B, 0)
))),
{
TRIM(CLEAN(MAPA_ESTADOS!A:A)) ,
MAPA_ESTADOS!B:B
},
2,
FALSE
),
"REVISAR"
)</f>
        <v>PENDIENTE</v>
      </c>
      <c r="P109" s="118" t="s">
        <v>3689</v>
      </c>
      <c r="Q109" s="153">
        <f t="shared" si="1"/>
        <v>0</v>
      </c>
      <c r="R109" s="163"/>
      <c r="S109" s="163"/>
      <c r="T109" s="118">
        <f t="array" ref="T109">IFERROR(
INDEX(REPORTE_DROPI!B:B,
MATCH(
CLEAN(TRIM(C109)),
CLEAN(TRIM(REPORTE_DROPI!E:E)),
0
)
),
""
)
</f>
        <v>4406660</v>
      </c>
      <c r="U109" s="163" t="s">
        <v>6153</v>
      </c>
      <c r="V109" s="164"/>
    </row>
    <row r="110" ht="22.5" hidden="1" customHeight="1">
      <c r="A110" s="161">
        <v>109.0</v>
      </c>
      <c r="B110" s="119">
        <v>46058.0</v>
      </c>
      <c r="C110" s="118" t="s">
        <v>6154</v>
      </c>
      <c r="D110" s="118" t="str">
        <f>IFERROR(__xludf.DUMMYFUNCTION("IFERROR( INDEX( FILTER( 'NOMBRE DE PRODUCTOS'!B:B, REGEXMATCH( UPPER( INDEX( REPORTE_DROPI!AC:AC, MATCH(T110, REPORTE_DROPI!B:B, 0) ) ), UPPER('NOMBRE DE PRODUCTOS'!A:A) ) ), 1 ), ""REVISAR"" )"),"FilmPro®")</f>
        <v>FilmPro®</v>
      </c>
      <c r="E110" s="120">
        <f t="array" ref="E110">IF(
UPPER(TRIM(CLEAN($O110)))="ENTREGADO",
IFERROR(
INDEX(REPORTE_DROPI!Y:Y,
MATCH($T110, REPORTE_DROPI!B:B, 0)
),
""
),
""
)
</f>
        <v>2.2</v>
      </c>
      <c r="F110" s="162">
        <v>1.0</v>
      </c>
      <c r="G110" s="122">
        <f t="array" ref="G110">IF(
UPPER(TRIM(CLEAN($O110)))="ENTREGADO",
IFERROR(
INDEX(REPORTE_DROPI!R:R,
MATCH($T110, REPORTE_DROPI!B:B, 0)
),
""
),
""
)
</f>
        <v>20</v>
      </c>
      <c r="H110" s="118" t="s">
        <v>3727</v>
      </c>
      <c r="I110" s="118" t="s">
        <v>3855</v>
      </c>
      <c r="J110" s="121">
        <f t="array" ref="J110">IF(
UPPER(TRIM(CLEAN($O110)))="ENTREGADO",
IFERROR(
INDEX(REPORTE_DROPI!T:T,
MATCH($T110, REPORTE_DROPI!B:B, 0)
),
""
),
""
)
</f>
        <v>5.76</v>
      </c>
      <c r="K110" s="118">
        <f t="array" ref="K110">IFERROR(
INDEX(REPORTE_DROPI!S:S,
MATCH($T110, REPORTE_DROPI!B:B, 0)
),
""
)</f>
        <v>12.04</v>
      </c>
      <c r="L110" s="118" t="str">
        <f>IF(
  O110&lt;&gt;"DEVOLUCION",
  "",
  IF(
    T110="",
    "",
    SUMIF(DEVOLUCION!F:F, T110, DEVOLUCION!D:D)
  )
)
</f>
        <v/>
      </c>
      <c r="M110" s="118" t="s">
        <v>5877</v>
      </c>
      <c r="N110" s="161" t="s">
        <v>6155</v>
      </c>
      <c r="O110" s="118" t="str">
        <f t="array" ref="O110">IFERROR(
VLOOKUP(
TRIM(CLEAN(
INDEX(REPORTE_DROPI!K:K,
MATCH(T110, REPORTE_DROPI!B:B, 0)
))),
{
TRIM(CLEAN(MAPA_ESTADOS!A:A)) ,
MAPA_ESTADOS!B:B
},
2,
FALSE
),
"REVISAR"
)</f>
        <v>ENTREGADO</v>
      </c>
      <c r="P110" s="118" t="s">
        <v>5692</v>
      </c>
      <c r="Q110" s="153">
        <f t="shared" si="1"/>
        <v>0</v>
      </c>
      <c r="R110" s="163"/>
      <c r="S110" s="163"/>
      <c r="T110" s="118">
        <f t="array" ref="T110">IFERROR(
INDEX(REPORTE_DROPI!B:B,
MATCH(
CLEAN(TRIM(C110)),
CLEAN(TRIM(REPORTE_DROPI!E:E)),
0
)
),
""
)
</f>
        <v>4406819</v>
      </c>
      <c r="U110" s="163" t="s">
        <v>6156</v>
      </c>
      <c r="V110" s="164"/>
    </row>
    <row r="111" ht="22.5" hidden="1" customHeight="1">
      <c r="A111" s="161">
        <v>110.0</v>
      </c>
      <c r="B111" s="119">
        <v>46058.0</v>
      </c>
      <c r="C111" s="118" t="s">
        <v>6157</v>
      </c>
      <c r="D111" s="118" t="str">
        <f>IFERROR(__xludf.DUMMYFUNCTION("IFERROR( INDEX( FILTER( 'NOMBRE DE PRODUCTOS'!B:B, REGEXMATCH( UPPER( INDEX( REPORTE_DROPI!AC:AC, MATCH(T111, REPORTE_DROPI!B:B, 0) ) ), UPPER('NOMBRE DE PRODUCTOS'!A:A) ) ), 1 ), ""REVISAR"" )"),"Cuchillo Tazaki™")</f>
        <v>Cuchillo Tazaki™</v>
      </c>
      <c r="E111" s="120">
        <f t="array" ref="E111">IF(
UPPER(TRIM(CLEAN($O111)))="ENTREGADO",
IFERROR(
INDEX(REPORTE_DROPI!Y:Y,
MATCH($T111, REPORTE_DROPI!B:B, 0)
),
""
),
""
)
</f>
        <v>7.8</v>
      </c>
      <c r="F111" s="162">
        <v>3.0</v>
      </c>
      <c r="G111" s="122">
        <f t="array" ref="G111">IF(
UPPER(TRIM(CLEAN($O111)))="ENTREGADO",
IFERROR(
INDEX(REPORTE_DROPI!R:R,
MATCH($T111, REPORTE_DROPI!B:B, 0)
),
""
),
""
)
</f>
        <v>27</v>
      </c>
      <c r="H111" s="118" t="s">
        <v>3727</v>
      </c>
      <c r="I111" s="118" t="s">
        <v>3731</v>
      </c>
      <c r="J111" s="121">
        <f t="array" ref="J111">IF(
UPPER(TRIM(CLEAN($O111)))="ENTREGADO",
IFERROR(
INDEX(REPORTE_DROPI!T:T,
MATCH($T111, REPORTE_DROPI!B:B, 0)
),
""
),
""
)
</f>
        <v>6.03</v>
      </c>
      <c r="K111" s="118">
        <f t="array" ref="K111">IFERROR(
INDEX(REPORTE_DROPI!S:S,
MATCH($T111, REPORTE_DROPI!B:B, 0)
),
""
)</f>
        <v>13.17</v>
      </c>
      <c r="L111" s="118" t="str">
        <f>IF(
  O111&lt;&gt;"DEVOLUCION",
  "",
  IF(
    T111="",
    "",
    SUMIF(DEVOLUCION!F:F, T111, DEVOLUCION!D:D)
  )
)
</f>
        <v/>
      </c>
      <c r="M111" s="118" t="s">
        <v>5877</v>
      </c>
      <c r="N111" s="161" t="s">
        <v>6158</v>
      </c>
      <c r="O111" s="118" t="str">
        <f t="array" ref="O111">IFERROR(
VLOOKUP(
TRIM(CLEAN(
INDEX(REPORTE_DROPI!K:K,
MATCH(T111, REPORTE_DROPI!B:B, 0)
))),
{
TRIM(CLEAN(MAPA_ESTADOS!A:A)) ,
MAPA_ESTADOS!B:B
},
2,
FALSE
),
"REVISAR"
)</f>
        <v>ENTREGADO</v>
      </c>
      <c r="P111" s="118" t="s">
        <v>5692</v>
      </c>
      <c r="Q111" s="153">
        <f t="shared" si="1"/>
        <v>0</v>
      </c>
      <c r="R111" s="163"/>
      <c r="S111" s="163"/>
      <c r="T111" s="118">
        <f t="array" ref="T111">IFERROR(
INDEX(REPORTE_DROPI!B:B,
MATCH(
CLEAN(TRIM(C111)),
CLEAN(TRIM(REPORTE_DROPI!E:E)),
0
)
),
""
)
</f>
        <v>4418490</v>
      </c>
      <c r="U111" s="163" t="s">
        <v>6159</v>
      </c>
      <c r="V111" s="164"/>
    </row>
    <row r="112" ht="22.5" hidden="1" customHeight="1">
      <c r="A112" s="161">
        <v>111.0</v>
      </c>
      <c r="B112" s="119">
        <v>46058.0</v>
      </c>
      <c r="C112" s="118" t="s">
        <v>6160</v>
      </c>
      <c r="D112" s="118" t="str">
        <f>IFERROR(__xludf.DUMMYFUNCTION("IFERROR( INDEX( FILTER( 'NOMBRE DE PRODUCTOS'!B:B, REGEXMATCH( UPPER( INDEX( REPORTE_DROPI!AC:AC, MATCH(T112, REPORTE_DROPI!B:B, 0) ) ), UPPER('NOMBRE DE PRODUCTOS'!A:A) ) ), 1 ), ""REVISAR"" )"),"Cuchillo Tazaki™")</f>
        <v>Cuchillo Tazaki™</v>
      </c>
      <c r="E112" s="120" t="str">
        <f t="array" ref="E112">IF(
UPPER(TRIM(CLEAN($O112)))="ENTREGADO",
IFERROR(
INDEX(REPORTE_DROPI!Y:Y,
MATCH($T112, REPORTE_DROPI!B:B, 0)
),
""
),
""
)
</f>
        <v/>
      </c>
      <c r="F112" s="162">
        <v>3.0</v>
      </c>
      <c r="G112" s="122" t="str">
        <f t="array" ref="G112">IF(
UPPER(TRIM(CLEAN($O112)))="ENTREGADO",
IFERROR(
INDEX(REPORTE_DROPI!R:R,
MATCH($T112, REPORTE_DROPI!B:B, 0)
),
""
),
""
)
</f>
        <v/>
      </c>
      <c r="H112" s="118" t="s">
        <v>3727</v>
      </c>
      <c r="I112" s="118" t="s">
        <v>3740</v>
      </c>
      <c r="J112" s="121" t="str">
        <f t="array" ref="J112">IF(
UPPER(TRIM(CLEAN($O112)))="ENTREGADO",
IFERROR(
INDEX(REPORTE_DROPI!T:T,
MATCH($T112, REPORTE_DROPI!B:B, 0)
),
""
),
""
)
</f>
        <v/>
      </c>
      <c r="K112" s="118" t="str">
        <f t="array" ref="K112">IFERROR(
INDEX(REPORTE_DROPI!S:S,
MATCH($T112, REPORTE_DROPI!B:B, 0)
),
""
)</f>
        <v/>
      </c>
      <c r="L112" s="118">
        <f>IF(
  O112&lt;&gt;"DEVOLUCION",
  "",
  IF(
    T112="",
    "",
    SUMIF(DEVOLUCION!F:F, T112, DEVOLUCION!D:D)
  )
)
</f>
        <v>4.52</v>
      </c>
      <c r="M112" s="118" t="s">
        <v>5877</v>
      </c>
      <c r="N112" s="161" t="s">
        <v>6161</v>
      </c>
      <c r="O112" s="118" t="str">
        <f t="array" ref="O112">IFERROR(
VLOOKUP(
TRIM(CLEAN(
INDEX(REPORTE_DROPI!K:K,
MATCH(T112, REPORTE_DROPI!B:B, 0)
))),
{
TRIM(CLEAN(MAPA_ESTADOS!A:A)) ,
MAPA_ESTADOS!B:B
},
2,
FALSE
),
"REVISAR"
)</f>
        <v>DEVOLUCION</v>
      </c>
      <c r="P112" s="118" t="s">
        <v>5692</v>
      </c>
      <c r="Q112" s="153">
        <f t="shared" si="1"/>
        <v>0</v>
      </c>
      <c r="R112" s="163"/>
      <c r="S112" s="163"/>
      <c r="T112" s="118">
        <f t="array" ref="T112">IFERROR(
INDEX(REPORTE_DROPI!B:B,
MATCH(
CLEAN(TRIM(C112)),
CLEAN(TRIM(REPORTE_DROPI!E:E)),
0
)
),
""
)
</f>
        <v>4418522</v>
      </c>
      <c r="U112" s="163" t="s">
        <v>6162</v>
      </c>
      <c r="V112" s="164"/>
    </row>
    <row r="113" ht="22.5" hidden="1" customHeight="1">
      <c r="A113" s="161">
        <v>112.0</v>
      </c>
      <c r="B113" s="119">
        <v>46058.0</v>
      </c>
      <c r="C113" s="118" t="s">
        <v>6163</v>
      </c>
      <c r="D113" s="118" t="str">
        <f>IFERROR(__xludf.DUMMYFUNCTION("IFERROR( INDEX( FILTER( 'NOMBRE DE PRODUCTOS'!B:B, REGEXMATCH( UPPER( INDEX( REPORTE_DROPI!AC:AC, MATCH(T113, REPORTE_DROPI!B:B, 0) ) ), UPPER('NOMBRE DE PRODUCTOS'!A:A) ) ), 1 ), ""REVISAR"" )"),"Cuchillo Tazaki™")</f>
        <v>Cuchillo Tazaki™</v>
      </c>
      <c r="E113" s="120">
        <f t="array" ref="E113">IF(
UPPER(TRIM(CLEAN($O113)))="ENTREGADO",
IFERROR(
INDEX(REPORTE_DROPI!Y:Y,
MATCH($T113, REPORTE_DROPI!B:B, 0)
),
""
),
""
)
</f>
        <v>7.8</v>
      </c>
      <c r="F113" s="162">
        <v>3.0</v>
      </c>
      <c r="G113" s="122">
        <f t="array" ref="G113">IF(
UPPER(TRIM(CLEAN($O113)))="ENTREGADO",
IFERROR(
INDEX(REPORTE_DROPI!R:R,
MATCH($T113, REPORTE_DROPI!B:B, 0)
),
""
),
""
)
</f>
        <v>27</v>
      </c>
      <c r="H113" s="118" t="s">
        <v>3727</v>
      </c>
      <c r="I113" s="118" t="s">
        <v>3772</v>
      </c>
      <c r="J113" s="121">
        <f t="array" ref="J113">IF(
UPPER(TRIM(CLEAN($O113)))="ENTREGADO",
IFERROR(
INDEX(REPORTE_DROPI!T:T,
MATCH($T113, REPORTE_DROPI!B:B, 0)
),
""
),
""
)
</f>
        <v>6.03</v>
      </c>
      <c r="K113" s="118">
        <f t="array" ref="K113">IFERROR(
INDEX(REPORTE_DROPI!S:S,
MATCH($T113, REPORTE_DROPI!B:B, 0)
),
""
)</f>
        <v>13.17</v>
      </c>
      <c r="L113" s="118" t="str">
        <f>IF(
  O113&lt;&gt;"DEVOLUCION",
  "",
  IF(
    T113="",
    "",
    SUMIF(DEVOLUCION!F:F, T113, DEVOLUCION!D:D)
  )
)
</f>
        <v/>
      </c>
      <c r="M113" s="118" t="s">
        <v>5877</v>
      </c>
      <c r="N113" s="161" t="s">
        <v>6164</v>
      </c>
      <c r="O113" s="118" t="str">
        <f t="array" ref="O113">IFERROR(
VLOOKUP(
TRIM(CLEAN(
INDEX(REPORTE_DROPI!K:K,
MATCH(T113, REPORTE_DROPI!B:B, 0)
))),
{
TRIM(CLEAN(MAPA_ESTADOS!A:A)) ,
MAPA_ESTADOS!B:B
},
2,
FALSE
),
"REVISAR"
)</f>
        <v>ENTREGADO</v>
      </c>
      <c r="P113" s="118" t="s">
        <v>5692</v>
      </c>
      <c r="Q113" s="153">
        <f t="shared" si="1"/>
        <v>0</v>
      </c>
      <c r="R113" s="163"/>
      <c r="S113" s="163"/>
      <c r="T113" s="118">
        <f t="array" ref="T113">IFERROR(
INDEX(REPORTE_DROPI!B:B,
MATCH(
CLEAN(TRIM(C113)),
CLEAN(TRIM(REPORTE_DROPI!E:E)),
0
)
),
""
)
</f>
        <v>4418777</v>
      </c>
      <c r="U113" s="163" t="s">
        <v>6165</v>
      </c>
      <c r="V113" s="164"/>
    </row>
    <row r="114" ht="22.5" hidden="1" customHeight="1">
      <c r="A114" s="161">
        <v>113.0</v>
      </c>
      <c r="B114" s="119">
        <v>46058.0</v>
      </c>
      <c r="C114" s="118" t="s">
        <v>6166</v>
      </c>
      <c r="D114" s="118" t="str">
        <f>IFERROR(__xludf.DUMMYFUNCTION("IFERROR( INDEX( FILTER( 'NOMBRE DE PRODUCTOS'!B:B, REGEXMATCH( UPPER( INDEX( REPORTE_DROPI!AC:AC, MATCH(T114, REPORTE_DROPI!B:B, 0) ) ), UPPER('NOMBRE DE PRODUCTOS'!A:A) ) ), 1 ), ""REVISAR"" )"),"FilmPro®")</f>
        <v>FilmPro®</v>
      </c>
      <c r="E114" s="120" t="str">
        <f t="array" ref="E114">IF(
UPPER(TRIM(CLEAN($O114)))="ENTREGADO",
IFERROR(
INDEX(REPORTE_DROPI!Y:Y,
MATCH($T114, REPORTE_DROPI!B:B, 0)
),
""
),
""
)
</f>
        <v/>
      </c>
      <c r="F114" s="162">
        <v>2.0</v>
      </c>
      <c r="G114" s="122" t="str">
        <f t="array" ref="G114">IF(
UPPER(TRIM(CLEAN($O114)))="ENTREGADO",
IFERROR(
INDEX(REPORTE_DROPI!R:R,
MATCH($T114, REPORTE_DROPI!B:B, 0)
),
""
),
""
)
</f>
        <v/>
      </c>
      <c r="H114" s="118" t="s">
        <v>3727</v>
      </c>
      <c r="I114" s="118" t="s">
        <v>3728</v>
      </c>
      <c r="J114" s="121" t="str">
        <f t="array" ref="J114">IF(
UPPER(TRIM(CLEAN($O114)))="ENTREGADO",
IFERROR(
INDEX(REPORTE_DROPI!T:T,
MATCH($T114, REPORTE_DROPI!B:B, 0)
),
""
),
""
)
</f>
        <v/>
      </c>
      <c r="K114" s="118" t="str">
        <f t="array" ref="K114">IFERROR(
INDEX(REPORTE_DROPI!S:S,
MATCH($T114, REPORTE_DROPI!B:B, 0)
),
""
)</f>
        <v/>
      </c>
      <c r="L114" s="118" t="str">
        <f>IF(
  O114&lt;&gt;"DEVOLUCION",
  "",
  IF(
    T114="",
    "",
    SUMIF(DEVOLUCION!F:F, T114, DEVOLUCION!D:D)
  )
)
</f>
        <v/>
      </c>
      <c r="M114" s="118" t="s">
        <v>5877</v>
      </c>
      <c r="N114" s="161" t="s">
        <v>6167</v>
      </c>
      <c r="O114" s="118" t="str">
        <f t="array" ref="O114">IFERROR(
VLOOKUP(
TRIM(CLEAN(
INDEX(REPORTE_DROPI!K:K,
MATCH(T114, REPORTE_DROPI!B:B, 0)
))),
{
TRIM(CLEAN(MAPA_ESTADOS!A:A)) ,
MAPA_ESTADOS!B:B
},
2,
FALSE
),
"REVISAR"
)</f>
        <v>PENDIENTE</v>
      </c>
      <c r="P114" s="118" t="s">
        <v>3689</v>
      </c>
      <c r="Q114" s="153">
        <f t="shared" si="1"/>
        <v>0</v>
      </c>
      <c r="R114" s="163"/>
      <c r="S114" s="163"/>
      <c r="T114" s="118">
        <f t="array" ref="T114">IFERROR(
INDEX(REPORTE_DROPI!B:B,
MATCH(
CLEAN(TRIM(C114)),
CLEAN(TRIM(REPORTE_DROPI!E:E)),
0
)
),
""
)
</f>
        <v>4418776</v>
      </c>
      <c r="U114" s="163" t="s">
        <v>6168</v>
      </c>
      <c r="V114" s="164"/>
    </row>
    <row r="115" ht="22.5" hidden="1" customHeight="1">
      <c r="A115" s="161">
        <v>114.0</v>
      </c>
      <c r="B115" s="119">
        <v>46058.0</v>
      </c>
      <c r="C115" s="118" t="s">
        <v>6169</v>
      </c>
      <c r="D115" s="118" t="str">
        <f>IFERROR(__xludf.DUMMYFUNCTION("IFERROR( INDEX( FILTER( 'NOMBRE DE PRODUCTOS'!B:B, REGEXMATCH( UPPER( INDEX( REPORTE_DROPI!AC:AC, MATCH(T115, REPORTE_DROPI!B:B, 0) ) ), UPPER('NOMBRE DE PRODUCTOS'!A:A) ) ), 1 ), ""REVISAR"" )"),"FilmPro®")</f>
        <v>FilmPro®</v>
      </c>
      <c r="E115" s="120">
        <f t="array" ref="E115">IF(
UPPER(TRIM(CLEAN($O115)))="ENTREGADO",
IFERROR(
INDEX(REPORTE_DROPI!Y:Y,
MATCH($T115, REPORTE_DROPI!B:B, 0)
),
""
),
""
)
</f>
        <v>6.6</v>
      </c>
      <c r="F115" s="162">
        <v>3.0</v>
      </c>
      <c r="G115" s="122">
        <f t="array" ref="G115">IF(
UPPER(TRIM(CLEAN($O115)))="ENTREGADO",
IFERROR(
INDEX(REPORTE_DROPI!R:R,
MATCH($T115, REPORTE_DROPI!B:B, 0)
),
""
),
""
)
</f>
        <v>30</v>
      </c>
      <c r="H115" s="118" t="s">
        <v>3727</v>
      </c>
      <c r="I115" s="118" t="s">
        <v>3731</v>
      </c>
      <c r="J115" s="121">
        <f t="array" ref="J115">IF(
UPPER(TRIM(CLEAN($O115)))="ENTREGADO",
IFERROR(
INDEX(REPORTE_DROPI!T:T,
MATCH($T115, REPORTE_DROPI!B:B, 0)
),
""
),
""
)
</f>
        <v>6.16</v>
      </c>
      <c r="K115" s="118">
        <f t="array" ref="K115">IFERROR(
INDEX(REPORTE_DROPI!S:S,
MATCH($T115, REPORTE_DROPI!B:B, 0)
),
""
)</f>
        <v>17.24</v>
      </c>
      <c r="L115" s="118" t="str">
        <f>IF(
  O115&lt;&gt;"DEVOLUCION",
  "",
  IF(
    T115="",
    "",
    SUMIF(DEVOLUCION!F:F, T115, DEVOLUCION!D:D)
  )
)
</f>
        <v/>
      </c>
      <c r="M115" s="118" t="s">
        <v>5877</v>
      </c>
      <c r="N115" s="161" t="s">
        <v>6170</v>
      </c>
      <c r="O115" s="118" t="str">
        <f t="array" ref="O115">IFERROR(
VLOOKUP(
TRIM(CLEAN(
INDEX(REPORTE_DROPI!K:K,
MATCH(T115, REPORTE_DROPI!B:B, 0)
))),
{
TRIM(CLEAN(MAPA_ESTADOS!A:A)) ,
MAPA_ESTADOS!B:B
},
2,
FALSE
),
"REVISAR"
)</f>
        <v>ENTREGADO</v>
      </c>
      <c r="P115" s="118" t="s">
        <v>5692</v>
      </c>
      <c r="Q115" s="153">
        <f t="shared" si="1"/>
        <v>0</v>
      </c>
      <c r="R115" s="163"/>
      <c r="S115" s="163"/>
      <c r="T115" s="118">
        <f t="array" ref="T115">IFERROR(
INDEX(REPORTE_DROPI!B:B,
MATCH(
CLEAN(TRIM(C115)),
CLEAN(TRIM(REPORTE_DROPI!E:E)),
0
)
),
""
)
</f>
        <v>4418774</v>
      </c>
      <c r="U115" s="163" t="s">
        <v>6171</v>
      </c>
      <c r="V115" s="164"/>
    </row>
    <row r="116" ht="22.5" hidden="1" customHeight="1">
      <c r="A116" s="161">
        <v>115.0</v>
      </c>
      <c r="B116" s="119">
        <v>46058.0</v>
      </c>
      <c r="C116" s="118" t="s">
        <v>6172</v>
      </c>
      <c r="D116" s="118" t="str">
        <f>IFERROR(__xludf.DUMMYFUNCTION("IFERROR( INDEX( FILTER( 'NOMBRE DE PRODUCTOS'!B:B, REGEXMATCH( UPPER( INDEX( REPORTE_DROPI!AC:AC, MATCH(T116, REPORTE_DROPI!B:B, 0) ) ), UPPER('NOMBRE DE PRODUCTOS'!A:A) ) ), 1 ), ""REVISAR"" )"),"FilmPro®")</f>
        <v>FilmPro®</v>
      </c>
      <c r="E116" s="120">
        <f t="array" ref="E116">IF(
UPPER(TRIM(CLEAN($O116)))="ENTREGADO",
IFERROR(
INDEX(REPORTE_DROPI!Y:Y,
MATCH($T116, REPORTE_DROPI!B:B, 0)
),
""
),
""
)
</f>
        <v>6.6</v>
      </c>
      <c r="F116" s="162">
        <v>3.0</v>
      </c>
      <c r="G116" s="122">
        <f t="array" ref="G116">IF(
UPPER(TRIM(CLEAN($O116)))="ENTREGADO",
IFERROR(
INDEX(REPORTE_DROPI!R:R,
MATCH($T116, REPORTE_DROPI!B:B, 0)
),
""
),
""
)
</f>
        <v>30</v>
      </c>
      <c r="H116" s="118" t="s">
        <v>3727</v>
      </c>
      <c r="I116" s="118" t="s">
        <v>3740</v>
      </c>
      <c r="J116" s="121">
        <f t="array" ref="J116">IF(
UPPER(TRIM(CLEAN($O116)))="ENTREGADO",
IFERROR(
INDEX(REPORTE_DROPI!T:T,
MATCH($T116, REPORTE_DROPI!B:B, 0)
),
""
),
""
)
</f>
        <v>4.55</v>
      </c>
      <c r="K116" s="118">
        <f t="array" ref="K116">IFERROR(
INDEX(REPORTE_DROPI!S:S,
MATCH($T116, REPORTE_DROPI!B:B, 0)
),
""
)</f>
        <v>18.85</v>
      </c>
      <c r="L116" s="118" t="str">
        <f>IF(
  O116&lt;&gt;"DEVOLUCION",
  "",
  IF(
    T116="",
    "",
    SUMIF(DEVOLUCION!F:F, T116, DEVOLUCION!D:D)
  )
)
</f>
        <v/>
      </c>
      <c r="M116" s="118" t="s">
        <v>5877</v>
      </c>
      <c r="N116" s="161" t="s">
        <v>6173</v>
      </c>
      <c r="O116" s="118" t="str">
        <f t="array" ref="O116">IFERROR(
VLOOKUP(
TRIM(CLEAN(
INDEX(REPORTE_DROPI!K:K,
MATCH(T116, REPORTE_DROPI!B:B, 0)
))),
{
TRIM(CLEAN(MAPA_ESTADOS!A:A)) ,
MAPA_ESTADOS!B:B
},
2,
FALSE
),
"REVISAR"
)</f>
        <v>ENTREGADO</v>
      </c>
      <c r="P116" s="118" t="s">
        <v>5692</v>
      </c>
      <c r="Q116" s="153">
        <f t="shared" si="1"/>
        <v>0</v>
      </c>
      <c r="R116" s="163"/>
      <c r="S116" s="163"/>
      <c r="T116" s="118">
        <f t="array" ref="T116">IFERROR(
INDEX(REPORTE_DROPI!B:B,
MATCH(
CLEAN(TRIM(C116)),
CLEAN(TRIM(REPORTE_DROPI!E:E)),
0
)
),
""
)
</f>
        <v>4418770</v>
      </c>
      <c r="U116" s="163" t="s">
        <v>6174</v>
      </c>
      <c r="V116" s="164"/>
    </row>
    <row r="117" ht="22.5" hidden="1" customHeight="1">
      <c r="A117" s="161">
        <v>116.0</v>
      </c>
      <c r="B117" s="119">
        <v>46058.0</v>
      </c>
      <c r="C117" s="118" t="s">
        <v>6175</v>
      </c>
      <c r="D117" s="118" t="str">
        <f>IFERROR(__xludf.DUMMYFUNCTION("IFERROR( INDEX( FILTER( 'NOMBRE DE PRODUCTOS'!B:B, REGEXMATCH( UPPER( INDEX( REPORTE_DROPI!AC:AC, MATCH(T117, REPORTE_DROPI!B:B, 0) ) ), UPPER('NOMBRE DE PRODUCTOS'!A:A) ) ), 1 ), ""REVISAR"" )"),"Cuchillo Tazaki™")</f>
        <v>Cuchillo Tazaki™</v>
      </c>
      <c r="E117" s="120" t="str">
        <f t="array" ref="E117">IF(
UPPER(TRIM(CLEAN($O117)))="ENTREGADO",
IFERROR(
INDEX(REPORTE_DROPI!Y:Y,
MATCH($T117, REPORTE_DROPI!B:B, 0)
),
""
),
""
)
</f>
        <v/>
      </c>
      <c r="F117" s="162">
        <v>2.0</v>
      </c>
      <c r="G117" s="122" t="str">
        <f t="array" ref="G117">IF(
UPPER(TRIM(CLEAN($O117)))="ENTREGADO",
IFERROR(
INDEX(REPORTE_DROPI!R:R,
MATCH($T117, REPORTE_DROPI!B:B, 0)
),
""
),
""
)
</f>
        <v/>
      </c>
      <c r="H117" s="118" t="s">
        <v>3727</v>
      </c>
      <c r="I117" s="118" t="s">
        <v>3798</v>
      </c>
      <c r="J117" s="121" t="str">
        <f t="array" ref="J117">IF(
UPPER(TRIM(CLEAN($O117)))="ENTREGADO",
IFERROR(
INDEX(REPORTE_DROPI!T:T,
MATCH($T117, REPORTE_DROPI!B:B, 0)
),
""
),
""
)
</f>
        <v/>
      </c>
      <c r="K117" s="118" t="str">
        <f t="array" ref="K117">IFERROR(
INDEX(REPORTE_DROPI!S:S,
MATCH($T117, REPORTE_DROPI!B:B, 0)
),
""
)</f>
        <v/>
      </c>
      <c r="L117" s="118" t="str">
        <f>IF(
  O117&lt;&gt;"DEVOLUCION",
  "",
  IF(
    T117="",
    "",
    SUMIF(DEVOLUCION!F:F, T117, DEVOLUCION!D:D)
  )
)
</f>
        <v/>
      </c>
      <c r="M117" s="118" t="s">
        <v>5877</v>
      </c>
      <c r="N117" s="161" t="s">
        <v>6176</v>
      </c>
      <c r="O117" s="118" t="str">
        <f t="array" ref="O117">IFERROR(
VLOOKUP(
TRIM(CLEAN(
INDEX(REPORTE_DROPI!K:K,
MATCH(T117, REPORTE_DROPI!B:B, 0)
))),
{
TRIM(CLEAN(MAPA_ESTADOS!A:A)) ,
MAPA_ESTADOS!B:B
},
2,
FALSE
),
"REVISAR"
)</f>
        <v>PENDIENTE</v>
      </c>
      <c r="P117" s="118" t="s">
        <v>3655</v>
      </c>
      <c r="Q117" s="153">
        <f t="shared" si="1"/>
        <v>0</v>
      </c>
      <c r="R117" s="163"/>
      <c r="S117" s="163"/>
      <c r="T117" s="118">
        <f t="array" ref="T117">IFERROR(
INDEX(REPORTE_DROPI!B:B,
MATCH(
CLEAN(TRIM(C117)),
CLEAN(TRIM(REPORTE_DROPI!E:E)),
0
)
),
""
)
</f>
        <v>4418766</v>
      </c>
      <c r="U117" s="163" t="s">
        <v>6177</v>
      </c>
      <c r="V117" s="164"/>
    </row>
    <row r="118" ht="22.5" hidden="1" customHeight="1">
      <c r="A118" s="161">
        <v>117.0</v>
      </c>
      <c r="B118" s="119">
        <v>46058.0</v>
      </c>
      <c r="C118" s="118" t="s">
        <v>6178</v>
      </c>
      <c r="D118" s="118" t="str">
        <f>IFERROR(__xludf.DUMMYFUNCTION("IFERROR( INDEX( FILTER( 'NOMBRE DE PRODUCTOS'!B:B, REGEXMATCH( UPPER( INDEX( REPORTE_DROPI!AC:AC, MATCH(T118, REPORTE_DROPI!B:B, 0) ) ), UPPER('NOMBRE DE PRODUCTOS'!A:A) ) ), 1 ), ""REVISAR"" )"),"FilmPro®")</f>
        <v>FilmPro®</v>
      </c>
      <c r="E118" s="120" t="str">
        <f t="array" ref="E118">IF(
UPPER(TRIM(CLEAN($O118)))="ENTREGADO",
IFERROR(
INDEX(REPORTE_DROPI!Y:Y,
MATCH($T118, REPORTE_DROPI!B:B, 0)
),
""
),
""
)
</f>
        <v/>
      </c>
      <c r="F118" s="162">
        <v>2.0</v>
      </c>
      <c r="G118" s="122" t="str">
        <f t="array" ref="G118">IF(
UPPER(TRIM(CLEAN($O118)))="ENTREGADO",
IFERROR(
INDEX(REPORTE_DROPI!R:R,
MATCH($T118, REPORTE_DROPI!B:B, 0)
),
""
),
""
)
</f>
        <v/>
      </c>
      <c r="H118" s="118" t="s">
        <v>3727</v>
      </c>
      <c r="I118" s="118" t="s">
        <v>3742</v>
      </c>
      <c r="J118" s="121" t="str">
        <f t="array" ref="J118">IF(
UPPER(TRIM(CLEAN($O118)))="ENTREGADO",
IFERROR(
INDEX(REPORTE_DROPI!T:T,
MATCH($T118, REPORTE_DROPI!B:B, 0)
),
""
),
""
)
</f>
        <v/>
      </c>
      <c r="K118" s="118" t="str">
        <f t="array" ref="K118">IFERROR(
INDEX(REPORTE_DROPI!S:S,
MATCH($T118, REPORTE_DROPI!B:B, 0)
),
""
)</f>
        <v/>
      </c>
      <c r="L118" s="118">
        <f>IF(
  O118&lt;&gt;"DEVOLUCION",
  "",
  IF(
    T118="",
    "",
    SUMIF(DEVOLUCION!F:F, T118, DEVOLUCION!D:D)
  )
)
</f>
        <v>5.09</v>
      </c>
      <c r="M118" s="118" t="s">
        <v>5877</v>
      </c>
      <c r="N118" s="161" t="s">
        <v>6179</v>
      </c>
      <c r="O118" s="118" t="str">
        <f t="array" ref="O118">IFERROR(
VLOOKUP(
TRIM(CLEAN(
INDEX(REPORTE_DROPI!K:K,
MATCH(T118, REPORTE_DROPI!B:B, 0)
))),
{
TRIM(CLEAN(MAPA_ESTADOS!A:A)) ,
MAPA_ESTADOS!B:B
},
2,
FALSE
),
"REVISAR"
)</f>
        <v>DEVOLUCION</v>
      </c>
      <c r="P118" s="118" t="s">
        <v>5692</v>
      </c>
      <c r="Q118" s="153">
        <f t="shared" si="1"/>
        <v>0</v>
      </c>
      <c r="R118" s="163"/>
      <c r="S118" s="163"/>
      <c r="T118" s="118">
        <f t="array" ref="T118">IFERROR(
INDEX(REPORTE_DROPI!B:B,
MATCH(
CLEAN(TRIM(C118)),
CLEAN(TRIM(REPORTE_DROPI!E:E)),
0
)
),
""
)
</f>
        <v>4418764</v>
      </c>
      <c r="U118" s="163" t="s">
        <v>6180</v>
      </c>
      <c r="V118" s="164"/>
    </row>
    <row r="119" ht="22.5" hidden="1" customHeight="1">
      <c r="A119" s="161">
        <v>118.0</v>
      </c>
      <c r="B119" s="119">
        <v>46058.0</v>
      </c>
      <c r="C119" s="118" t="s">
        <v>6181</v>
      </c>
      <c r="D119" s="118" t="str">
        <f>IFERROR(__xludf.DUMMYFUNCTION("IFERROR( INDEX( FILTER( 'NOMBRE DE PRODUCTOS'!B:B, REGEXMATCH( UPPER( INDEX( REPORTE_DROPI!AC:AC, MATCH(T119, REPORTE_DROPI!B:B, 0) ) ), UPPER('NOMBRE DE PRODUCTOS'!A:A) ) ), 1 ), ""REVISAR"" )"),"FilmPro®")</f>
        <v>FilmPro®</v>
      </c>
      <c r="E119" s="120">
        <f t="array" ref="E119">IF(
UPPER(TRIM(CLEAN($O119)))="ENTREGADO",
IFERROR(
INDEX(REPORTE_DROPI!Y:Y,
MATCH($T119, REPORTE_DROPI!B:B, 0)
),
""
),
""
)
</f>
        <v>2.2</v>
      </c>
      <c r="F119" s="162">
        <v>1.0</v>
      </c>
      <c r="G119" s="122">
        <f t="array" ref="G119">IF(
UPPER(TRIM(CLEAN($O119)))="ENTREGADO",
IFERROR(
INDEX(REPORTE_DROPI!R:R,
MATCH($T119, REPORTE_DROPI!B:B, 0)
),
""
),
""
)
</f>
        <v>20</v>
      </c>
      <c r="H119" s="118" t="s">
        <v>3727</v>
      </c>
      <c r="I119" s="118" t="s">
        <v>3770</v>
      </c>
      <c r="J119" s="121">
        <f t="array" ref="J119">IF(
UPPER(TRIM(CLEAN($O119)))="ENTREGADO",
IFERROR(
INDEX(REPORTE_DROPI!T:T,
MATCH($T119, REPORTE_DROPI!B:B, 0)
),
""
),
""
)
</f>
        <v>5.76</v>
      </c>
      <c r="K119" s="118">
        <f t="array" ref="K119">IFERROR(
INDEX(REPORTE_DROPI!S:S,
MATCH($T119, REPORTE_DROPI!B:B, 0)
),
""
)</f>
        <v>12.04</v>
      </c>
      <c r="L119" s="118" t="str">
        <f>IF(
  O119&lt;&gt;"DEVOLUCION",
  "",
  IF(
    T119="",
    "",
    SUMIF(DEVOLUCION!F:F, T119, DEVOLUCION!D:D)
  )
)
</f>
        <v/>
      </c>
      <c r="M119" s="118" t="s">
        <v>5877</v>
      </c>
      <c r="N119" s="161" t="s">
        <v>6182</v>
      </c>
      <c r="O119" s="118" t="str">
        <f t="array" ref="O119">IFERROR(
VLOOKUP(
TRIM(CLEAN(
INDEX(REPORTE_DROPI!K:K,
MATCH(T119, REPORTE_DROPI!B:B, 0)
))),
{
TRIM(CLEAN(MAPA_ESTADOS!A:A)) ,
MAPA_ESTADOS!B:B
},
2,
FALSE
),
"REVISAR"
)</f>
        <v>ENTREGADO</v>
      </c>
      <c r="P119" s="118" t="s">
        <v>5692</v>
      </c>
      <c r="Q119" s="153">
        <f t="shared" si="1"/>
        <v>0</v>
      </c>
      <c r="R119" s="163"/>
      <c r="S119" s="163"/>
      <c r="T119" s="118">
        <f t="array" ref="T119">IFERROR(
INDEX(REPORTE_DROPI!B:B,
MATCH(
CLEAN(TRIM(C119)),
CLEAN(TRIM(REPORTE_DROPI!E:E)),
0
)
),
""
)
</f>
        <v>4418758</v>
      </c>
      <c r="U119" s="163" t="s">
        <v>6183</v>
      </c>
      <c r="V119" s="164"/>
    </row>
    <row r="120" ht="22.5" hidden="1" customHeight="1">
      <c r="A120" s="161">
        <v>119.0</v>
      </c>
      <c r="B120" s="119">
        <v>46058.0</v>
      </c>
      <c r="C120" s="118" t="s">
        <v>6184</v>
      </c>
      <c r="D120" s="118" t="str">
        <f>IFERROR(__xludf.DUMMYFUNCTION("IFERROR( INDEX( FILTER( 'NOMBRE DE PRODUCTOS'!B:B, REGEXMATCH( UPPER( INDEX( REPORTE_DROPI!AC:AC, MATCH(T120, REPORTE_DROPI!B:B, 0) ) ), UPPER('NOMBRE DE PRODUCTOS'!A:A) ) ), 1 ), ""REVISAR"" )"),"FilmPro®")</f>
        <v>FilmPro®</v>
      </c>
      <c r="E120" s="120" t="str">
        <f t="array" ref="E120">IF(
UPPER(TRIM(CLEAN($O120)))="ENTREGADO",
IFERROR(
INDEX(REPORTE_DROPI!Y:Y,
MATCH($T120, REPORTE_DROPI!B:B, 0)
),
""
),
""
)
</f>
        <v/>
      </c>
      <c r="F120" s="162">
        <v>2.0</v>
      </c>
      <c r="G120" s="122" t="str">
        <f t="array" ref="G120">IF(
UPPER(TRIM(CLEAN($O120)))="ENTREGADO",
IFERROR(
INDEX(REPORTE_DROPI!R:R,
MATCH($T120, REPORTE_DROPI!B:B, 0)
),
""
),
""
)
</f>
        <v/>
      </c>
      <c r="H120" s="118" t="s">
        <v>3727</v>
      </c>
      <c r="I120" s="118" t="s">
        <v>3778</v>
      </c>
      <c r="J120" s="121" t="str">
        <f t="array" ref="J120">IF(
UPPER(TRIM(CLEAN($O120)))="ENTREGADO",
IFERROR(
INDEX(REPORTE_DROPI!T:T,
MATCH($T120, REPORTE_DROPI!B:B, 0)
),
""
),
""
)
</f>
        <v/>
      </c>
      <c r="K120" s="118" t="str">
        <f t="array" ref="K120">IFERROR(
INDEX(REPORTE_DROPI!S:S,
MATCH($T120, REPORTE_DROPI!B:B, 0)
),
""
)</f>
        <v/>
      </c>
      <c r="L120" s="118">
        <f>IF(
  O120&lt;&gt;"DEVOLUCION",
  "",
  IF(
    T120="",
    "",
    SUMIF(DEVOLUCION!F:F, T120, DEVOLUCION!D:D)
  )
)
</f>
        <v>0</v>
      </c>
      <c r="M120" s="118" t="s">
        <v>5877</v>
      </c>
      <c r="N120" s="161" t="s">
        <v>6185</v>
      </c>
      <c r="O120" s="118" t="str">
        <f t="array" ref="O120">IFERROR(
VLOOKUP(
TRIM(CLEAN(
INDEX(REPORTE_DROPI!K:K,
MATCH(T120, REPORTE_DROPI!B:B, 0)
))),
{
TRIM(CLEAN(MAPA_ESTADOS!A:A)) ,
MAPA_ESTADOS!B:B
},
2,
FALSE
),
"REVISAR"
)</f>
        <v>DEVOLUCION</v>
      </c>
      <c r="P120" s="118" t="s">
        <v>5692</v>
      </c>
      <c r="Q120" s="153">
        <f t="shared" si="1"/>
        <v>0</v>
      </c>
      <c r="R120" s="163"/>
      <c r="S120" s="163"/>
      <c r="T120" s="118">
        <f t="array" ref="T120">IFERROR(
INDEX(REPORTE_DROPI!B:B,
MATCH(
CLEAN(TRIM(C120)),
CLEAN(TRIM(REPORTE_DROPI!E:E)),
0
)
),
""
)
</f>
        <v>4418755</v>
      </c>
      <c r="U120" s="163" t="s">
        <v>6186</v>
      </c>
      <c r="V120" s="164"/>
    </row>
    <row r="121" ht="22.5" hidden="1" customHeight="1">
      <c r="A121" s="161">
        <v>120.0</v>
      </c>
      <c r="B121" s="119">
        <v>46058.0</v>
      </c>
      <c r="C121" s="118" t="s">
        <v>6187</v>
      </c>
      <c r="D121" s="118" t="str">
        <f>IFERROR(__xludf.DUMMYFUNCTION("IFERROR( INDEX( FILTER( 'NOMBRE DE PRODUCTOS'!B:B, REGEXMATCH( UPPER( INDEX( REPORTE_DROPI!AC:AC, MATCH(T121, REPORTE_DROPI!B:B, 0) ) ), UPPER('NOMBRE DE PRODUCTOS'!A:A) ) ), 1 ), ""REVISAR"" )"),"FilmPro®")</f>
        <v>FilmPro®</v>
      </c>
      <c r="E121" s="120">
        <f t="array" ref="E121">IF(
UPPER(TRIM(CLEAN($O121)))="ENTREGADO",
IFERROR(
INDEX(REPORTE_DROPI!Y:Y,
MATCH($T121, REPORTE_DROPI!B:B, 0)
),
""
),
""
)
</f>
        <v>6.6</v>
      </c>
      <c r="F121" s="162">
        <v>3.0</v>
      </c>
      <c r="G121" s="122">
        <f t="array" ref="G121">IF(
UPPER(TRIM(CLEAN($O121)))="ENTREGADO",
IFERROR(
INDEX(REPORTE_DROPI!R:R,
MATCH($T121, REPORTE_DROPI!B:B, 0)
),
""
),
""
)
</f>
        <v>30</v>
      </c>
      <c r="H121" s="118" t="s">
        <v>3727</v>
      </c>
      <c r="I121" s="118" t="s">
        <v>3740</v>
      </c>
      <c r="J121" s="121">
        <f t="array" ref="J121">IF(
UPPER(TRIM(CLEAN($O121)))="ENTREGADO",
IFERROR(
INDEX(REPORTE_DROPI!T:T,
MATCH($T121, REPORTE_DROPI!B:B, 0)
),
""
),
""
)
</f>
        <v>4.55</v>
      </c>
      <c r="K121" s="118">
        <f t="array" ref="K121">IFERROR(
INDEX(REPORTE_DROPI!S:S,
MATCH($T121, REPORTE_DROPI!B:B, 0)
),
""
)</f>
        <v>18.85</v>
      </c>
      <c r="L121" s="118" t="str">
        <f>IF(
  O121&lt;&gt;"DEVOLUCION",
  "",
  IF(
    T121="",
    "",
    SUMIF(DEVOLUCION!F:F, T121, DEVOLUCION!D:D)
  )
)
</f>
        <v/>
      </c>
      <c r="M121" s="118" t="s">
        <v>5877</v>
      </c>
      <c r="N121" s="161" t="s">
        <v>6188</v>
      </c>
      <c r="O121" s="118" t="str">
        <f t="array" ref="O121">IFERROR(
VLOOKUP(
TRIM(CLEAN(
INDEX(REPORTE_DROPI!K:K,
MATCH(T121, REPORTE_DROPI!B:B, 0)
))),
{
TRIM(CLEAN(MAPA_ESTADOS!A:A)) ,
MAPA_ESTADOS!B:B
},
2,
FALSE
),
"REVISAR"
)</f>
        <v>ENTREGADO</v>
      </c>
      <c r="P121" s="118" t="s">
        <v>5692</v>
      </c>
      <c r="Q121" s="153">
        <f t="shared" si="1"/>
        <v>0</v>
      </c>
      <c r="R121" s="163"/>
      <c r="S121" s="163"/>
      <c r="T121" s="118">
        <f t="array" ref="T121">IFERROR(
INDEX(REPORTE_DROPI!B:B,
MATCH(
CLEAN(TRIM(C121)),
CLEAN(TRIM(REPORTE_DROPI!E:E)),
0
)
),
""
)
</f>
        <v>4418751</v>
      </c>
      <c r="U121" s="163">
        <v>2.00105239246E11</v>
      </c>
      <c r="V121" s="164"/>
    </row>
    <row r="122" ht="22.5" hidden="1" customHeight="1">
      <c r="A122" s="161">
        <v>121.0</v>
      </c>
      <c r="B122" s="119">
        <v>46058.0</v>
      </c>
      <c r="C122" s="118" t="s">
        <v>6189</v>
      </c>
      <c r="D122" s="118" t="str">
        <f>IFERROR(__xludf.DUMMYFUNCTION("IFERROR( INDEX( FILTER( 'NOMBRE DE PRODUCTOS'!B:B, REGEXMATCH( UPPER( INDEX( REPORTE_DROPI!AC:AC, MATCH(T122, REPORTE_DROPI!B:B, 0) ) ), UPPER('NOMBRE DE PRODUCTOS'!A:A) ) ), 1 ), ""REVISAR"" )"),"FilmPro®")</f>
        <v>FilmPro®</v>
      </c>
      <c r="E122" s="120" t="str">
        <f t="array" ref="E122">IF(
UPPER(TRIM(CLEAN($O122)))="ENTREGADO",
IFERROR(
INDEX(REPORTE_DROPI!Y:Y,
MATCH($T122, REPORTE_DROPI!B:B, 0)
),
""
),
""
)
</f>
        <v/>
      </c>
      <c r="F122" s="162">
        <v>2.0</v>
      </c>
      <c r="G122" s="122" t="str">
        <f t="array" ref="G122">IF(
UPPER(TRIM(CLEAN($O122)))="ENTREGADO",
IFERROR(
INDEX(REPORTE_DROPI!R:R,
MATCH($T122, REPORTE_DROPI!B:B, 0)
),
""
),
""
)
</f>
        <v/>
      </c>
      <c r="H122" s="118" t="s">
        <v>3727</v>
      </c>
      <c r="I122" s="118" t="s">
        <v>3951</v>
      </c>
      <c r="J122" s="121" t="str">
        <f t="array" ref="J122">IF(
UPPER(TRIM(CLEAN($O122)))="ENTREGADO",
IFERROR(
INDEX(REPORTE_DROPI!T:T,
MATCH($T122, REPORTE_DROPI!B:B, 0)
),
""
),
""
)
</f>
        <v/>
      </c>
      <c r="K122" s="118" t="str">
        <f t="array" ref="K122">IFERROR(
INDEX(REPORTE_DROPI!S:S,
MATCH($T122, REPORTE_DROPI!B:B, 0)
),
""
)</f>
        <v/>
      </c>
      <c r="L122" s="118" t="str">
        <f>IF(
  O122&lt;&gt;"DEVOLUCION",
  "",
  IF(
    T122="",
    "",
    SUMIF(DEVOLUCION!F:F, T122, DEVOLUCION!D:D)
  )
)
</f>
        <v/>
      </c>
      <c r="M122" s="118" t="s">
        <v>5877</v>
      </c>
      <c r="N122" s="161" t="s">
        <v>6190</v>
      </c>
      <c r="O122" s="118" t="str">
        <f t="array" ref="O122">IFERROR(
VLOOKUP(
TRIM(CLEAN(
INDEX(REPORTE_DROPI!K:K,
MATCH(T122, REPORTE_DROPI!B:B, 0)
))),
{
TRIM(CLEAN(MAPA_ESTADOS!A:A)) ,
MAPA_ESTADOS!B:B
},
2,
FALSE
),
"REVISAR"
)</f>
        <v>PENDIENTE</v>
      </c>
      <c r="P122" s="118" t="s">
        <v>5692</v>
      </c>
      <c r="Q122" s="153">
        <f t="shared" si="1"/>
        <v>0</v>
      </c>
      <c r="R122" s="163"/>
      <c r="S122" s="163"/>
      <c r="T122" s="118">
        <f t="array" ref="T122">IFERROR(
INDEX(REPORTE_DROPI!B:B,
MATCH(
CLEAN(TRIM(C122)),
CLEAN(TRIM(REPORTE_DROPI!E:E)),
0
)
),
""
)
</f>
        <v>4420847</v>
      </c>
      <c r="U122" s="163" t="s">
        <v>6191</v>
      </c>
      <c r="V122" s="164"/>
    </row>
    <row r="123" ht="22.5" hidden="1" customHeight="1">
      <c r="A123" s="161">
        <v>122.0</v>
      </c>
      <c r="B123" s="119">
        <v>46058.0</v>
      </c>
      <c r="C123" s="118" t="s">
        <v>6192</v>
      </c>
      <c r="D123" s="118" t="str">
        <f>IFERROR(__xludf.DUMMYFUNCTION("IFERROR( INDEX( FILTER( 'NOMBRE DE PRODUCTOS'!B:B, REGEXMATCH( UPPER( INDEX( REPORTE_DROPI!AC:AC, MATCH(T123, REPORTE_DROPI!B:B, 0) ) ), UPPER('NOMBRE DE PRODUCTOS'!A:A) ) ), 1 ), ""REVISAR"" )"),"REVISAR")</f>
        <v>REVISAR</v>
      </c>
      <c r="E123" s="120" t="str">
        <f t="array" ref="E123">IF(
UPPER(TRIM(CLEAN($O123)))="ENTREGADO",
IFERROR(
INDEX(REPORTE_DROPI!Y:Y,
MATCH($T123, REPORTE_DROPI!B:B, 0)
),
""
),
""
)
</f>
        <v/>
      </c>
      <c r="F123" s="162">
        <v>2.0</v>
      </c>
      <c r="G123" s="122" t="str">
        <f t="array" ref="G123">IF(
UPPER(TRIM(CLEAN($O123)))="ENTREGADO",
IFERROR(
INDEX(REPORTE_DROPI!R:R,
MATCH($T123, REPORTE_DROPI!B:B, 0)
),
""
),
""
)
</f>
        <v/>
      </c>
      <c r="H123" s="118" t="s">
        <v>3727</v>
      </c>
      <c r="I123" s="118" t="s">
        <v>3772</v>
      </c>
      <c r="J123" s="121" t="str">
        <f t="array" ref="J123">IF(
UPPER(TRIM(CLEAN($O123)))="ENTREGADO",
IFERROR(
INDEX(REPORTE_DROPI!T:T,
MATCH($T123, REPORTE_DROPI!B:B, 0)
),
""
),
""
)
</f>
        <v/>
      </c>
      <c r="K123" s="118" t="str">
        <f t="array" ref="K123">IFERROR(
INDEX(REPORTE_DROPI!S:S,
MATCH($T123, REPORTE_DROPI!B:B, 0)
),
""
)</f>
        <v/>
      </c>
      <c r="L123" s="118" t="str">
        <f>IF(
  O123&lt;&gt;"DEVOLUCION",
  "",
  IF(
    T123="",
    "",
    SUMIF(DEVOLUCION!F:F, T123, DEVOLUCION!D:D)
  )
)
</f>
        <v/>
      </c>
      <c r="M123" s="118" t="s">
        <v>5877</v>
      </c>
      <c r="N123" s="161" t="s">
        <v>6193</v>
      </c>
      <c r="O123" s="118" t="str">
        <f t="array" ref="O123">IFERROR(
VLOOKUP(
TRIM(CLEAN(
INDEX(REPORTE_DROPI!K:K,
MATCH(T123, REPORTE_DROPI!B:B, 0)
))),
{
TRIM(CLEAN(MAPA_ESTADOS!A:A)) ,
MAPA_ESTADOS!B:B
},
2,
FALSE
),
"REVISAR"
)</f>
        <v>REVISAR</v>
      </c>
      <c r="P123" s="118" t="s">
        <v>5692</v>
      </c>
      <c r="Q123" s="153">
        <f t="shared" si="1"/>
        <v>0</v>
      </c>
      <c r="R123" s="163"/>
      <c r="S123" s="163"/>
      <c r="T123" s="118" t="str">
        <f t="array" ref="T123">IFERROR(
INDEX(REPORTE_DROPI!B:B,
MATCH(
CLEAN(TRIM(C123)),
CLEAN(TRIM(REPORTE_DROPI!E:E)),
0
)
),
""
)
</f>
        <v/>
      </c>
      <c r="U123" s="163" t="s">
        <v>6194</v>
      </c>
      <c r="V123" s="164"/>
    </row>
    <row r="124" ht="22.5" hidden="1" customHeight="1">
      <c r="A124" s="161">
        <v>123.0</v>
      </c>
      <c r="B124" s="119">
        <v>46058.0</v>
      </c>
      <c r="C124" s="118" t="s">
        <v>6195</v>
      </c>
      <c r="D124" s="118" t="str">
        <f>IFERROR(__xludf.DUMMYFUNCTION("IFERROR( INDEX( FILTER( 'NOMBRE DE PRODUCTOS'!B:B, REGEXMATCH( UPPER( INDEX( REPORTE_DROPI!AC:AC, MATCH(T124, REPORTE_DROPI!B:B, 0) ) ), UPPER('NOMBRE DE PRODUCTOS'!A:A) ) ), 1 ), ""REVISAR"" )"),"FilmPro®")</f>
        <v>FilmPro®</v>
      </c>
      <c r="E124" s="120" t="str">
        <f t="array" ref="E124">IF(
UPPER(TRIM(CLEAN($O124)))="ENTREGADO",
IFERROR(
INDEX(REPORTE_DROPI!Y:Y,
MATCH($T124, REPORTE_DROPI!B:B, 0)
),
""
),
""
)
</f>
        <v/>
      </c>
      <c r="F124" s="162">
        <v>1.0</v>
      </c>
      <c r="G124" s="122" t="str">
        <f t="array" ref="G124">IF(
UPPER(TRIM(CLEAN($O124)))="ENTREGADO",
IFERROR(
INDEX(REPORTE_DROPI!R:R,
MATCH($T124, REPORTE_DROPI!B:B, 0)
),
""
),
""
)
</f>
        <v/>
      </c>
      <c r="H124" s="118" t="s">
        <v>3727</v>
      </c>
      <c r="I124" s="118" t="s">
        <v>3962</v>
      </c>
      <c r="J124" s="121" t="str">
        <f t="array" ref="J124">IF(
UPPER(TRIM(CLEAN($O124)))="ENTREGADO",
IFERROR(
INDEX(REPORTE_DROPI!T:T,
MATCH($T124, REPORTE_DROPI!B:B, 0)
),
""
),
""
)
</f>
        <v/>
      </c>
      <c r="K124" s="118" t="str">
        <f t="array" ref="K124">IFERROR(
INDEX(REPORTE_DROPI!S:S,
MATCH($T124, REPORTE_DROPI!B:B, 0)
),
""
)</f>
        <v/>
      </c>
      <c r="L124" s="118" t="str">
        <f>IF(
  O124&lt;&gt;"DEVOLUCION",
  "",
  IF(
    T124="",
    "",
    SUMIF(DEVOLUCION!F:F, T124, DEVOLUCION!D:D)
  )
)
</f>
        <v/>
      </c>
      <c r="M124" s="118" t="s">
        <v>5877</v>
      </c>
      <c r="N124" s="161" t="s">
        <v>6196</v>
      </c>
      <c r="O124" s="118" t="str">
        <f t="array" ref="O124">IFERROR(
VLOOKUP(
TRIM(CLEAN(
INDEX(REPORTE_DROPI!K:K,
MATCH(T124, REPORTE_DROPI!B:B, 0)
))),
{
TRIM(CLEAN(MAPA_ESTADOS!A:A)) ,
MAPA_ESTADOS!B:B
},
2,
FALSE
),
"REVISAR"
)</f>
        <v>PENDIENTE</v>
      </c>
      <c r="P124" s="118" t="s">
        <v>5952</v>
      </c>
      <c r="Q124" s="153">
        <f t="shared" si="1"/>
        <v>0</v>
      </c>
      <c r="R124" s="163"/>
      <c r="S124" s="163"/>
      <c r="T124" s="118">
        <f t="array" ref="T124">IFERROR(
INDEX(REPORTE_DROPI!B:B,
MATCH(
CLEAN(TRIM(C124)),
CLEAN(TRIM(REPORTE_DROPI!E:E)),
0
)
),
""
)
</f>
        <v>4418744</v>
      </c>
      <c r="U124" s="163" t="s">
        <v>6197</v>
      </c>
      <c r="V124" s="164"/>
    </row>
    <row r="125" ht="22.5" hidden="1" customHeight="1">
      <c r="A125" s="161">
        <v>124.0</v>
      </c>
      <c r="B125" s="119">
        <v>46058.0</v>
      </c>
      <c r="C125" s="118" t="s">
        <v>6198</v>
      </c>
      <c r="D125" s="118" t="str">
        <f>IFERROR(__xludf.DUMMYFUNCTION("IFERROR( INDEX( FILTER( 'NOMBRE DE PRODUCTOS'!B:B, REGEXMATCH( UPPER( INDEX( REPORTE_DROPI!AC:AC, MATCH(T125, REPORTE_DROPI!B:B, 0) ) ), UPPER('NOMBRE DE PRODUCTOS'!A:A) ) ), 1 ), ""REVISAR"" )"),"Cuchillo Tazaki™")</f>
        <v>Cuchillo Tazaki™</v>
      </c>
      <c r="E125" s="120" t="str">
        <f t="array" ref="E125">IF(
UPPER(TRIM(CLEAN($O125)))="ENTREGADO",
IFERROR(
INDEX(REPORTE_DROPI!Y:Y,
MATCH($T125, REPORTE_DROPI!B:B, 0)
),
""
),
""
)
</f>
        <v/>
      </c>
      <c r="F125" s="162">
        <v>2.0</v>
      </c>
      <c r="G125" s="122" t="str">
        <f t="array" ref="G125">IF(
UPPER(TRIM(CLEAN($O125)))="ENTREGADO",
IFERROR(
INDEX(REPORTE_DROPI!R:R,
MATCH($T125, REPORTE_DROPI!B:B, 0)
),
""
),
""
)
</f>
        <v/>
      </c>
      <c r="H125" s="118" t="s">
        <v>3727</v>
      </c>
      <c r="I125" s="118" t="s">
        <v>3740</v>
      </c>
      <c r="J125" s="121" t="str">
        <f t="array" ref="J125">IF(
UPPER(TRIM(CLEAN($O125)))="ENTREGADO",
IFERROR(
INDEX(REPORTE_DROPI!T:T,
MATCH($T125, REPORTE_DROPI!B:B, 0)
),
""
),
""
)
</f>
        <v/>
      </c>
      <c r="K125" s="118" t="str">
        <f t="array" ref="K125">IFERROR(
INDEX(REPORTE_DROPI!S:S,
MATCH($T125, REPORTE_DROPI!B:B, 0)
),
""
)</f>
        <v/>
      </c>
      <c r="L125" s="118">
        <f>IF(
  O125&lt;&gt;"DEVOLUCION",
  "",
  IF(
    T125="",
    "",
    SUMIF(DEVOLUCION!F:F, T125, DEVOLUCION!D:D)
  )
)
</f>
        <v>5.07</v>
      </c>
      <c r="M125" s="118" t="s">
        <v>5877</v>
      </c>
      <c r="N125" s="161" t="s">
        <v>6199</v>
      </c>
      <c r="O125" s="118" t="str">
        <f t="array" ref="O125">IFERROR(
VLOOKUP(
TRIM(CLEAN(
INDEX(REPORTE_DROPI!K:K,
MATCH(T125, REPORTE_DROPI!B:B, 0)
))),
{
TRIM(CLEAN(MAPA_ESTADOS!A:A)) ,
MAPA_ESTADOS!B:B
},
2,
FALSE
),
"REVISAR"
)</f>
        <v>DEVOLUCION</v>
      </c>
      <c r="P125" s="118" t="s">
        <v>5692</v>
      </c>
      <c r="Q125" s="153">
        <f t="shared" si="1"/>
        <v>0</v>
      </c>
      <c r="R125" s="163"/>
      <c r="S125" s="163"/>
      <c r="T125" s="118">
        <f t="array" ref="T125">IFERROR(
INDEX(REPORTE_DROPI!B:B,
MATCH(
CLEAN(TRIM(C125)),
CLEAN(TRIM(REPORTE_DROPI!E:E)),
0
)
),
""
)
</f>
        <v>4418735</v>
      </c>
      <c r="U125" s="163" t="s">
        <v>6200</v>
      </c>
      <c r="V125" s="164"/>
    </row>
    <row r="126" ht="22.5" hidden="1" customHeight="1">
      <c r="A126" s="161">
        <v>125.0</v>
      </c>
      <c r="B126" s="119">
        <v>46058.0</v>
      </c>
      <c r="C126" s="118" t="s">
        <v>6201</v>
      </c>
      <c r="D126" s="118" t="str">
        <f>IFERROR(__xludf.DUMMYFUNCTION("IFERROR( INDEX( FILTER( 'NOMBRE DE PRODUCTOS'!B:B, REGEXMATCH( UPPER( INDEX( REPORTE_DROPI!AC:AC, MATCH(T126, REPORTE_DROPI!B:B, 0) ) ), UPPER('NOMBRE DE PRODUCTOS'!A:A) ) ), 1 ), ""REVISAR"" )"),"Cuchillo Tazaki™")</f>
        <v>Cuchillo Tazaki™</v>
      </c>
      <c r="E126" s="120" t="str">
        <f t="array" ref="E126">IF(
UPPER(TRIM(CLEAN($O126)))="ENTREGADO",
IFERROR(
INDEX(REPORTE_DROPI!Y:Y,
MATCH($T126, REPORTE_DROPI!B:B, 0)
),
""
),
""
)
</f>
        <v/>
      </c>
      <c r="F126" s="162">
        <v>2.0</v>
      </c>
      <c r="G126" s="122" t="str">
        <f t="array" ref="G126">IF(
UPPER(TRIM(CLEAN($O126)))="ENTREGADO",
IFERROR(
INDEX(REPORTE_DROPI!R:R,
MATCH($T126, REPORTE_DROPI!B:B, 0)
),
""
),
""
)
</f>
        <v/>
      </c>
      <c r="H126" s="118" t="s">
        <v>3727</v>
      </c>
      <c r="I126" s="118" t="s">
        <v>3742</v>
      </c>
      <c r="J126" s="121" t="str">
        <f t="array" ref="J126">IF(
UPPER(TRIM(CLEAN($O126)))="ENTREGADO",
IFERROR(
INDEX(REPORTE_DROPI!T:T,
MATCH($T126, REPORTE_DROPI!B:B, 0)
),
""
),
""
)
</f>
        <v/>
      </c>
      <c r="K126" s="118" t="str">
        <f t="array" ref="K126">IFERROR(
INDEX(REPORTE_DROPI!S:S,
MATCH($T126, REPORTE_DROPI!B:B, 0)
),
""
)</f>
        <v/>
      </c>
      <c r="L126" s="118" t="str">
        <f>IF(
  O126&lt;&gt;"DEVOLUCION",
  "",
  IF(
    T126="",
    "",
    SUMIF(DEVOLUCION!F:F, T126, DEVOLUCION!D:D)
  )
)
</f>
        <v/>
      </c>
      <c r="M126" s="118" t="s">
        <v>5877</v>
      </c>
      <c r="N126" s="161" t="s">
        <v>6202</v>
      </c>
      <c r="O126" s="118" t="str">
        <f t="array" ref="O126">IFERROR(
VLOOKUP(
TRIM(CLEAN(
INDEX(REPORTE_DROPI!K:K,
MATCH(T126, REPORTE_DROPI!B:B, 0)
))),
{
TRIM(CLEAN(MAPA_ESTADOS!A:A)) ,
MAPA_ESTADOS!B:B
},
2,
FALSE
),
"REVISAR"
)</f>
        <v>PENDIENTE</v>
      </c>
      <c r="P126" s="118" t="s">
        <v>3689</v>
      </c>
      <c r="Q126" s="153">
        <f t="shared" si="1"/>
        <v>0</v>
      </c>
      <c r="R126" s="163"/>
      <c r="S126" s="163"/>
      <c r="T126" s="118">
        <f t="array" ref="T126">IFERROR(
INDEX(REPORTE_DROPI!B:B,
MATCH(
CLEAN(TRIM(C126)),
CLEAN(TRIM(REPORTE_DROPI!E:E)),
0
)
),
""
)
</f>
        <v>4418732</v>
      </c>
      <c r="U126" s="163" t="s">
        <v>6203</v>
      </c>
      <c r="V126" s="164"/>
    </row>
    <row r="127" ht="22.5" hidden="1" customHeight="1">
      <c r="A127" s="161">
        <v>126.0</v>
      </c>
      <c r="B127" s="119">
        <v>46058.0</v>
      </c>
      <c r="C127" s="118" t="s">
        <v>6204</v>
      </c>
      <c r="D127" s="118" t="str">
        <f>IFERROR(__xludf.DUMMYFUNCTION("IFERROR( INDEX( FILTER( 'NOMBRE DE PRODUCTOS'!B:B, REGEXMATCH( UPPER( INDEX( REPORTE_DROPI!AC:AC, MATCH(T127, REPORTE_DROPI!B:B, 0) ) ), UPPER('NOMBRE DE PRODUCTOS'!A:A) ) ), 1 ), ""REVISAR"" )"),"Cuchillo Tazaki™")</f>
        <v>Cuchillo Tazaki™</v>
      </c>
      <c r="E127" s="120" t="str">
        <f t="array" ref="E127">IF(
UPPER(TRIM(CLEAN($O127)))="ENTREGADO",
IFERROR(
INDEX(REPORTE_DROPI!Y:Y,
MATCH($T127, REPORTE_DROPI!B:B, 0)
),
""
),
""
)
</f>
        <v/>
      </c>
      <c r="F127" s="162">
        <v>2.0</v>
      </c>
      <c r="G127" s="122" t="str">
        <f t="array" ref="G127">IF(
UPPER(TRIM(CLEAN($O127)))="ENTREGADO",
IFERROR(
INDEX(REPORTE_DROPI!R:R,
MATCH($T127, REPORTE_DROPI!B:B, 0)
),
""
),
""
)
</f>
        <v/>
      </c>
      <c r="H127" s="118" t="s">
        <v>3727</v>
      </c>
      <c r="I127" s="118" t="s">
        <v>3809</v>
      </c>
      <c r="J127" s="121" t="str">
        <f t="array" ref="J127">IF(
UPPER(TRIM(CLEAN($O127)))="ENTREGADO",
IFERROR(
INDEX(REPORTE_DROPI!T:T,
MATCH($T127, REPORTE_DROPI!B:B, 0)
),
""
),
""
)
</f>
        <v/>
      </c>
      <c r="K127" s="118" t="str">
        <f t="array" ref="K127">IFERROR(
INDEX(REPORTE_DROPI!S:S,
MATCH($T127, REPORTE_DROPI!B:B, 0)
),
""
)</f>
        <v/>
      </c>
      <c r="L127" s="118" t="str">
        <f>IF(
  O127&lt;&gt;"DEVOLUCION",
  "",
  IF(
    T127="",
    "",
    SUMIF(DEVOLUCION!F:F, T127, DEVOLUCION!D:D)
  )
)
</f>
        <v/>
      </c>
      <c r="M127" s="118" t="s">
        <v>5877</v>
      </c>
      <c r="N127" s="161" t="s">
        <v>6205</v>
      </c>
      <c r="O127" s="118" t="str">
        <f t="array" ref="O127">IFERROR(
VLOOKUP(
TRIM(CLEAN(
INDEX(REPORTE_DROPI!K:K,
MATCH(T127, REPORTE_DROPI!B:B, 0)
))),
{
TRIM(CLEAN(MAPA_ESTADOS!A:A)) ,
MAPA_ESTADOS!B:B
},
2,
FALSE
),
"REVISAR"
)</f>
        <v>PENDIENTE</v>
      </c>
      <c r="P127" s="118" t="s">
        <v>4331</v>
      </c>
      <c r="Q127" s="153">
        <f t="shared" si="1"/>
        <v>0</v>
      </c>
      <c r="R127" s="163"/>
      <c r="S127" s="163"/>
      <c r="T127" s="118">
        <f t="array" ref="T127">IFERROR(
INDEX(REPORTE_DROPI!B:B,
MATCH(
CLEAN(TRIM(C127)),
CLEAN(TRIM(REPORTE_DROPI!E:E)),
0
)
),
""
)
</f>
        <v>4418730</v>
      </c>
      <c r="U127" s="163" t="s">
        <v>6206</v>
      </c>
      <c r="V127" s="164"/>
    </row>
    <row r="128" ht="22.5" hidden="1" customHeight="1">
      <c r="A128" s="161">
        <v>127.0</v>
      </c>
      <c r="B128" s="119">
        <v>46058.0</v>
      </c>
      <c r="C128" s="118" t="s">
        <v>6207</v>
      </c>
      <c r="D128" s="118" t="str">
        <f>IFERROR(__xludf.DUMMYFUNCTION("IFERROR( INDEX( FILTER( 'NOMBRE DE PRODUCTOS'!B:B, REGEXMATCH( UPPER( INDEX( REPORTE_DROPI!AC:AC, MATCH(T128, REPORTE_DROPI!B:B, 0) ) ), UPPER('NOMBRE DE PRODUCTOS'!A:A) ) ), 1 ), ""REVISAR"" )"),"Cuchillo Tazaki™")</f>
        <v>Cuchillo Tazaki™</v>
      </c>
      <c r="E128" s="120">
        <f t="array" ref="E128">IF(
UPPER(TRIM(CLEAN($O128)))="ENTREGADO",
IFERROR(
INDEX(REPORTE_DROPI!Y:Y,
MATCH($T128, REPORTE_DROPI!B:B, 0)
),
""
),
""
)
</f>
        <v>5.2</v>
      </c>
      <c r="F128" s="162">
        <v>2.0</v>
      </c>
      <c r="G128" s="122">
        <f t="array" ref="G128">IF(
UPPER(TRIM(CLEAN($O128)))="ENTREGADO",
IFERROR(
INDEX(REPORTE_DROPI!R:R,
MATCH($T128, REPORTE_DROPI!B:B, 0)
),
""
),
""
)
</f>
        <v>22</v>
      </c>
      <c r="H128" s="118" t="s">
        <v>3727</v>
      </c>
      <c r="I128" s="118" t="s">
        <v>3740</v>
      </c>
      <c r="J128" s="121">
        <f t="array" ref="J128">IF(
UPPER(TRIM(CLEAN($O128)))="ENTREGADO",
IFERROR(
INDEX(REPORTE_DROPI!T:T,
MATCH($T128, REPORTE_DROPI!B:B, 0)
),
""
),
""
)
</f>
        <v>4.23</v>
      </c>
      <c r="K128" s="118">
        <f t="array" ref="K128">IFERROR(
INDEX(REPORTE_DROPI!S:S,
MATCH($T128, REPORTE_DROPI!B:B, 0)
),
""
)</f>
        <v>12.57</v>
      </c>
      <c r="L128" s="118" t="str">
        <f>IF(
  O128&lt;&gt;"DEVOLUCION",
  "",
  IF(
    T128="",
    "",
    SUMIF(DEVOLUCION!F:F, T128, DEVOLUCION!D:D)
  )
)
</f>
        <v/>
      </c>
      <c r="M128" s="118" t="s">
        <v>5877</v>
      </c>
      <c r="N128" s="161" t="s">
        <v>6208</v>
      </c>
      <c r="O128" s="118" t="str">
        <f t="array" ref="O128">IFERROR(
VLOOKUP(
TRIM(CLEAN(
INDEX(REPORTE_DROPI!K:K,
MATCH(T128, REPORTE_DROPI!B:B, 0)
))),
{
TRIM(CLEAN(MAPA_ESTADOS!A:A)) ,
MAPA_ESTADOS!B:B
},
2,
FALSE
),
"REVISAR"
)</f>
        <v>ENTREGADO</v>
      </c>
      <c r="P128" s="118" t="s">
        <v>5692</v>
      </c>
      <c r="Q128" s="153">
        <f t="shared" si="1"/>
        <v>0</v>
      </c>
      <c r="R128" s="163"/>
      <c r="S128" s="163"/>
      <c r="T128" s="118">
        <f t="array" ref="T128">IFERROR(
INDEX(REPORTE_DROPI!B:B,
MATCH(
CLEAN(TRIM(C128)),
CLEAN(TRIM(REPORTE_DROPI!E:E)),
0
)
),
""
)
</f>
        <v>4418726</v>
      </c>
      <c r="U128" s="163" t="s">
        <v>6209</v>
      </c>
      <c r="V128" s="164"/>
    </row>
    <row r="129" ht="22.5" hidden="1" customHeight="1">
      <c r="A129" s="161">
        <v>128.0</v>
      </c>
      <c r="B129" s="119">
        <v>46058.0</v>
      </c>
      <c r="C129" s="118" t="s">
        <v>6210</v>
      </c>
      <c r="D129" s="118" t="str">
        <f>IFERROR(__xludf.DUMMYFUNCTION("IFERROR( INDEX( FILTER( 'NOMBRE DE PRODUCTOS'!B:B, REGEXMATCH( UPPER( INDEX( REPORTE_DROPI!AC:AC, MATCH(T129, REPORTE_DROPI!B:B, 0) ) ), UPPER('NOMBRE DE PRODUCTOS'!A:A) ) ), 1 ), ""REVISAR"" )"),"Cuchillo Tazaki™")</f>
        <v>Cuchillo Tazaki™</v>
      </c>
      <c r="E129" s="120">
        <f t="array" ref="E129">IF(
UPPER(TRIM(CLEAN($O129)))="ENTREGADO",
IFERROR(
INDEX(REPORTE_DROPI!Y:Y,
MATCH($T129, REPORTE_DROPI!B:B, 0)
),
""
),
""
)
</f>
        <v>5.2</v>
      </c>
      <c r="F129" s="162">
        <v>2.0</v>
      </c>
      <c r="G129" s="122">
        <f t="array" ref="G129">IF(
UPPER(TRIM(CLEAN($O129)))="ENTREGADO",
IFERROR(
INDEX(REPORTE_DROPI!R:R,
MATCH($T129, REPORTE_DROPI!B:B, 0)
),
""
),
""
)
</f>
        <v>22</v>
      </c>
      <c r="H129" s="118" t="s">
        <v>3727</v>
      </c>
      <c r="I129" s="118" t="s">
        <v>3772</v>
      </c>
      <c r="J129" s="121">
        <f t="array" ref="J129">IF(
UPPER(TRIM(CLEAN($O129)))="ENTREGADO",
IFERROR(
INDEX(REPORTE_DROPI!T:T,
MATCH($T129, REPORTE_DROPI!B:B, 0)
),
""
),
""
)
</f>
        <v>5.84</v>
      </c>
      <c r="K129" s="118">
        <f t="array" ref="K129">IFERROR(
INDEX(REPORTE_DROPI!S:S,
MATCH($T129, REPORTE_DROPI!B:B, 0)
),
""
)</f>
        <v>10.96</v>
      </c>
      <c r="L129" s="118" t="str">
        <f>IF(
  O129&lt;&gt;"DEVOLUCION",
  "",
  IF(
    T129="",
    "",
    SUMIF(DEVOLUCION!F:F, T129, DEVOLUCION!D:D)
  )
)
</f>
        <v/>
      </c>
      <c r="M129" s="118" t="s">
        <v>5877</v>
      </c>
      <c r="N129" s="161" t="s">
        <v>6211</v>
      </c>
      <c r="O129" s="118" t="str">
        <f t="array" ref="O129">IFERROR(
VLOOKUP(
TRIM(CLEAN(
INDEX(REPORTE_DROPI!K:K,
MATCH(T129, REPORTE_DROPI!B:B, 0)
))),
{
TRIM(CLEAN(MAPA_ESTADOS!A:A)) ,
MAPA_ESTADOS!B:B
},
2,
FALSE
),
"REVISAR"
)</f>
        <v>ENTREGADO</v>
      </c>
      <c r="P129" s="118" t="s">
        <v>5692</v>
      </c>
      <c r="Q129" s="153">
        <f t="shared" si="1"/>
        <v>0</v>
      </c>
      <c r="R129" s="163"/>
      <c r="S129" s="163"/>
      <c r="T129" s="118">
        <f t="array" ref="T129">IFERROR(
INDEX(REPORTE_DROPI!B:B,
MATCH(
CLEAN(TRIM(C129)),
CLEAN(TRIM(REPORTE_DROPI!E:E)),
0
)
),
""
)
</f>
        <v>4418725</v>
      </c>
      <c r="U129" s="163" t="s">
        <v>6212</v>
      </c>
      <c r="V129" s="164"/>
    </row>
    <row r="130" ht="22.5" hidden="1" customHeight="1">
      <c r="A130" s="161">
        <v>129.0</v>
      </c>
      <c r="B130" s="119">
        <v>46058.0</v>
      </c>
      <c r="C130" s="118" t="s">
        <v>6213</v>
      </c>
      <c r="D130" s="118" t="str">
        <f>IFERROR(__xludf.DUMMYFUNCTION("IFERROR( INDEX( FILTER( 'NOMBRE DE PRODUCTOS'!B:B, REGEXMATCH( UPPER( INDEX( REPORTE_DROPI!AC:AC, MATCH(T130, REPORTE_DROPI!B:B, 0) ) ), UPPER('NOMBRE DE PRODUCTOS'!A:A) ) ), 1 ), ""REVISAR"" )"),"Cuchillo Tazaki™")</f>
        <v>Cuchillo Tazaki™</v>
      </c>
      <c r="E130" s="120" t="str">
        <f t="array" ref="E130">IF(
UPPER(TRIM(CLEAN($O130)))="ENTREGADO",
IFERROR(
INDEX(REPORTE_DROPI!Y:Y,
MATCH($T130, REPORTE_DROPI!B:B, 0)
),
""
),
""
)
</f>
        <v/>
      </c>
      <c r="F130" s="162">
        <v>3.0</v>
      </c>
      <c r="G130" s="122" t="str">
        <f t="array" ref="G130">IF(
UPPER(TRIM(CLEAN($O130)))="ENTREGADO",
IFERROR(
INDEX(REPORTE_DROPI!R:R,
MATCH($T130, REPORTE_DROPI!B:B, 0)
),
""
),
""
)
</f>
        <v/>
      </c>
      <c r="H130" s="118" t="s">
        <v>3727</v>
      </c>
      <c r="I130" s="118" t="s">
        <v>3731</v>
      </c>
      <c r="J130" s="121" t="str">
        <f t="array" ref="J130">IF(
UPPER(TRIM(CLEAN($O130)))="ENTREGADO",
IFERROR(
INDEX(REPORTE_DROPI!T:T,
MATCH($T130, REPORTE_DROPI!B:B, 0)
),
""
),
""
)
</f>
        <v/>
      </c>
      <c r="K130" s="118" t="str">
        <f t="array" ref="K130">IFERROR(
INDEX(REPORTE_DROPI!S:S,
MATCH($T130, REPORTE_DROPI!B:B, 0)
),
""
)</f>
        <v/>
      </c>
      <c r="L130" s="118">
        <f>IF(
  O130&lt;&gt;"DEVOLUCION",
  "",
  IF(
    T130="",
    "",
    SUMIF(DEVOLUCION!F:F, T130, DEVOLUCION!D:D)
  )
)
</f>
        <v>5.09</v>
      </c>
      <c r="M130" s="118" t="s">
        <v>5877</v>
      </c>
      <c r="N130" s="161" t="s">
        <v>6214</v>
      </c>
      <c r="O130" s="118" t="str">
        <f t="array" ref="O130">IFERROR(
VLOOKUP(
TRIM(CLEAN(
INDEX(REPORTE_DROPI!K:K,
MATCH(T130, REPORTE_DROPI!B:B, 0)
))),
{
TRIM(CLEAN(MAPA_ESTADOS!A:A)) ,
MAPA_ESTADOS!B:B
},
2,
FALSE
),
"REVISAR"
)</f>
        <v>DEVOLUCION</v>
      </c>
      <c r="P130" s="118" t="s">
        <v>5692</v>
      </c>
      <c r="Q130" s="153">
        <f t="shared" si="1"/>
        <v>0</v>
      </c>
      <c r="R130" s="163"/>
      <c r="S130" s="163"/>
      <c r="T130" s="118">
        <f t="array" ref="T130">IFERROR(
INDEX(REPORTE_DROPI!B:B,
MATCH(
CLEAN(TRIM(C130)),
CLEAN(TRIM(REPORTE_DROPI!E:E)),
0
)
),
""
)
</f>
        <v>4418721</v>
      </c>
      <c r="U130" s="163" t="s">
        <v>6215</v>
      </c>
      <c r="V130" s="164"/>
    </row>
    <row r="131" ht="22.5" hidden="1" customHeight="1">
      <c r="A131" s="161">
        <v>130.0</v>
      </c>
      <c r="B131" s="119">
        <v>46058.0</v>
      </c>
      <c r="C131" s="118" t="s">
        <v>6216</v>
      </c>
      <c r="D131" s="118" t="str">
        <f>IFERROR(__xludf.DUMMYFUNCTION("IFERROR( INDEX( FILTER( 'NOMBRE DE PRODUCTOS'!B:B, REGEXMATCH( UPPER( INDEX( REPORTE_DROPI!AC:AC, MATCH(T131, REPORTE_DROPI!B:B, 0) ) ), UPPER('NOMBRE DE PRODUCTOS'!A:A) ) ), 1 ), ""REVISAR"" )"),"Cuchillo Tazaki™")</f>
        <v>Cuchillo Tazaki™</v>
      </c>
      <c r="E131" s="120" t="str">
        <f t="array" ref="E131">IF(
UPPER(TRIM(CLEAN($O131)))="ENTREGADO",
IFERROR(
INDEX(REPORTE_DROPI!Y:Y,
MATCH($T131, REPORTE_DROPI!B:B, 0)
),
""
),
""
)
</f>
        <v/>
      </c>
      <c r="F131" s="162">
        <v>2.0</v>
      </c>
      <c r="G131" s="122" t="str">
        <f t="array" ref="G131">IF(
UPPER(TRIM(CLEAN($O131)))="ENTREGADO",
IFERROR(
INDEX(REPORTE_DROPI!R:R,
MATCH($T131, REPORTE_DROPI!B:B, 0)
),
""
),
""
)
</f>
        <v/>
      </c>
      <c r="H131" s="118" t="s">
        <v>3727</v>
      </c>
      <c r="I131" s="118" t="s">
        <v>3772</v>
      </c>
      <c r="J131" s="121" t="str">
        <f t="array" ref="J131">IF(
UPPER(TRIM(CLEAN($O131)))="ENTREGADO",
IFERROR(
INDEX(REPORTE_DROPI!T:T,
MATCH($T131, REPORTE_DROPI!B:B, 0)
),
""
),
""
)
</f>
        <v/>
      </c>
      <c r="K131" s="118" t="str">
        <f t="array" ref="K131">IFERROR(
INDEX(REPORTE_DROPI!S:S,
MATCH($T131, REPORTE_DROPI!B:B, 0)
),
""
)</f>
        <v/>
      </c>
      <c r="L131" s="118" t="str">
        <f>IF(
  O131&lt;&gt;"DEVOLUCION",
  "",
  IF(
    T131="",
    "",
    SUMIF(DEVOLUCION!F:F, T131, DEVOLUCION!D:D)
  )
)
</f>
        <v/>
      </c>
      <c r="M131" s="118" t="s">
        <v>5877</v>
      </c>
      <c r="N131" s="161" t="s">
        <v>6217</v>
      </c>
      <c r="O131" s="118" t="str">
        <f t="array" ref="O131">IFERROR(
VLOOKUP(
TRIM(CLEAN(
INDEX(REPORTE_DROPI!K:K,
MATCH(T131, REPORTE_DROPI!B:B, 0)
))),
{
TRIM(CLEAN(MAPA_ESTADOS!A:A)) ,
MAPA_ESTADOS!B:B
},
2,
FALSE
),
"REVISAR"
)</f>
        <v>PENDIENTE</v>
      </c>
      <c r="P131" s="118" t="s">
        <v>4331</v>
      </c>
      <c r="Q131" s="153">
        <f t="shared" si="1"/>
        <v>0</v>
      </c>
      <c r="R131" s="163"/>
      <c r="S131" s="163"/>
      <c r="T131" s="118">
        <f t="array" ref="T131">IFERROR(
INDEX(REPORTE_DROPI!B:B,
MATCH(
CLEAN(TRIM(C131)),
CLEAN(TRIM(REPORTE_DROPI!E:E)),
0
)
),
""
)
</f>
        <v>4418715</v>
      </c>
      <c r="U131" s="163" t="s">
        <v>6218</v>
      </c>
      <c r="V131" s="164"/>
    </row>
    <row r="132" ht="22.5" hidden="1" customHeight="1">
      <c r="A132" s="161">
        <v>131.0</v>
      </c>
      <c r="B132" s="119">
        <v>46058.0</v>
      </c>
      <c r="C132" s="118" t="s">
        <v>6219</v>
      </c>
      <c r="D132" s="118" t="str">
        <f>IFERROR(__xludf.DUMMYFUNCTION("IFERROR( INDEX( FILTER( 'NOMBRE DE PRODUCTOS'!B:B, REGEXMATCH( UPPER( INDEX( REPORTE_DROPI!AC:AC, MATCH(T132, REPORTE_DROPI!B:B, 0) ) ), UPPER('NOMBRE DE PRODUCTOS'!A:A) ) ), 1 ), ""REVISAR"" )"),"Cuchillo Tazaki™")</f>
        <v>Cuchillo Tazaki™</v>
      </c>
      <c r="E132" s="120" t="str">
        <f t="array" ref="E132">IF(
UPPER(TRIM(CLEAN($O132)))="ENTREGADO",
IFERROR(
INDEX(REPORTE_DROPI!Y:Y,
MATCH($T132, REPORTE_DROPI!B:B, 0)
),
""
),
""
)
</f>
        <v/>
      </c>
      <c r="F132" s="162">
        <v>2.0</v>
      </c>
      <c r="G132" s="122" t="str">
        <f t="array" ref="G132">IF(
UPPER(TRIM(CLEAN($O132)))="ENTREGADO",
IFERROR(
INDEX(REPORTE_DROPI!R:R,
MATCH($T132, REPORTE_DROPI!B:B, 0)
),
""
),
""
)
</f>
        <v/>
      </c>
      <c r="H132" s="118" t="s">
        <v>3727</v>
      </c>
      <c r="I132" s="118" t="s">
        <v>3801</v>
      </c>
      <c r="J132" s="121" t="str">
        <f t="array" ref="J132">IF(
UPPER(TRIM(CLEAN($O132)))="ENTREGADO",
IFERROR(
INDEX(REPORTE_DROPI!T:T,
MATCH($T132, REPORTE_DROPI!B:B, 0)
),
""
),
""
)
</f>
        <v/>
      </c>
      <c r="K132" s="118" t="str">
        <f t="array" ref="K132">IFERROR(
INDEX(REPORTE_DROPI!S:S,
MATCH($T132, REPORTE_DROPI!B:B, 0)
),
""
)</f>
        <v/>
      </c>
      <c r="L132" s="118" t="str">
        <f>IF(
  O132&lt;&gt;"DEVOLUCION",
  "",
  IF(
    T132="",
    "",
    SUMIF(DEVOLUCION!F:F, T132, DEVOLUCION!D:D)
  )
)
</f>
        <v/>
      </c>
      <c r="M132" s="118" t="s">
        <v>5877</v>
      </c>
      <c r="N132" s="161" t="s">
        <v>6220</v>
      </c>
      <c r="O132" s="118" t="str">
        <f t="array" ref="O132">IFERROR(
VLOOKUP(
TRIM(CLEAN(
INDEX(REPORTE_DROPI!K:K,
MATCH(T132, REPORTE_DROPI!B:B, 0)
))),
{
TRIM(CLEAN(MAPA_ESTADOS!A:A)) ,
MAPA_ESTADOS!B:B
},
2,
FALSE
),
"REVISAR"
)</f>
        <v>PENDIENTE</v>
      </c>
      <c r="P132" s="118" t="s">
        <v>6221</v>
      </c>
      <c r="Q132" s="153">
        <f t="shared" si="1"/>
        <v>0</v>
      </c>
      <c r="R132" s="163"/>
      <c r="S132" s="163"/>
      <c r="T132" s="118">
        <f t="array" ref="T132">IFERROR(
INDEX(REPORTE_DROPI!B:B,
MATCH(
CLEAN(TRIM(C132)),
CLEAN(TRIM(REPORTE_DROPI!E:E)),
0
)
),
""
)
</f>
        <v>4418710</v>
      </c>
      <c r="U132" s="163" t="s">
        <v>6222</v>
      </c>
      <c r="V132" s="164"/>
    </row>
    <row r="133" ht="22.5" hidden="1" customHeight="1">
      <c r="A133" s="161">
        <v>132.0</v>
      </c>
      <c r="B133" s="119">
        <v>46058.0</v>
      </c>
      <c r="C133" s="118" t="s">
        <v>6223</v>
      </c>
      <c r="D133" s="118" t="str">
        <f>IFERROR(__xludf.DUMMYFUNCTION("IFERROR( INDEX( FILTER( 'NOMBRE DE PRODUCTOS'!B:B, REGEXMATCH( UPPER( INDEX( REPORTE_DROPI!AC:AC, MATCH(T133, REPORTE_DROPI!B:B, 0) ) ), UPPER('NOMBRE DE PRODUCTOS'!A:A) ) ), 1 ), ""REVISAR"" )"),"FilmPro®")</f>
        <v>FilmPro®</v>
      </c>
      <c r="E133" s="120" t="str">
        <f t="array" ref="E133">IF(
UPPER(TRIM(CLEAN($O133)))="ENTREGADO",
IFERROR(
INDEX(REPORTE_DROPI!Y:Y,
MATCH($T133, REPORTE_DROPI!B:B, 0)
),
""
),
""
)
</f>
        <v/>
      </c>
      <c r="F133" s="162">
        <v>2.0</v>
      </c>
      <c r="G133" s="122" t="str">
        <f t="array" ref="G133">IF(
UPPER(TRIM(CLEAN($O133)))="ENTREGADO",
IFERROR(
INDEX(REPORTE_DROPI!R:R,
MATCH($T133, REPORTE_DROPI!B:B, 0)
),
""
),
""
)
</f>
        <v/>
      </c>
      <c r="H133" s="118" t="s">
        <v>3727</v>
      </c>
      <c r="I133" s="118" t="s">
        <v>3772</v>
      </c>
      <c r="J133" s="121" t="str">
        <f t="array" ref="J133">IF(
UPPER(TRIM(CLEAN($O133)))="ENTREGADO",
IFERROR(
INDEX(REPORTE_DROPI!T:T,
MATCH($T133, REPORTE_DROPI!B:B, 0)
),
""
),
""
)
</f>
        <v/>
      </c>
      <c r="K133" s="118" t="str">
        <f t="array" ref="K133">IFERROR(
INDEX(REPORTE_DROPI!S:S,
MATCH($T133, REPORTE_DROPI!B:B, 0)
),
""
)</f>
        <v/>
      </c>
      <c r="L133" s="118" t="str">
        <f>IF(
  O133&lt;&gt;"DEVOLUCION",
  "",
  IF(
    T133="",
    "",
    SUMIF(DEVOLUCION!F:F, T133, DEVOLUCION!D:D)
  )
)
</f>
        <v/>
      </c>
      <c r="M133" s="118" t="s">
        <v>5877</v>
      </c>
      <c r="N133" s="161" t="s">
        <v>6224</v>
      </c>
      <c r="O133" s="118" t="str">
        <f t="array" ref="O133">IFERROR(
VLOOKUP(
TRIM(CLEAN(
INDEX(REPORTE_DROPI!K:K,
MATCH(T133, REPORTE_DROPI!B:B, 0)
))),
{
TRIM(CLEAN(MAPA_ESTADOS!A:A)) ,
MAPA_ESTADOS!B:B
},
2,
FALSE
),
"REVISAR"
)</f>
        <v>PENDIENTE</v>
      </c>
      <c r="P133" s="118" t="s">
        <v>3689</v>
      </c>
      <c r="Q133" s="153">
        <f t="shared" si="1"/>
        <v>0</v>
      </c>
      <c r="R133" s="163"/>
      <c r="S133" s="163"/>
      <c r="T133" s="118">
        <f t="array" ref="T133">IFERROR(
INDEX(REPORTE_DROPI!B:B,
MATCH(
CLEAN(TRIM(C133)),
CLEAN(TRIM(REPORTE_DROPI!E:E)),
0
)
),
""
)
</f>
        <v>4418709</v>
      </c>
      <c r="U133" s="163" t="s">
        <v>6225</v>
      </c>
      <c r="V133" s="164"/>
    </row>
    <row r="134" ht="22.5" hidden="1" customHeight="1">
      <c r="A134" s="161">
        <v>133.0</v>
      </c>
      <c r="B134" s="119">
        <v>46058.0</v>
      </c>
      <c r="C134" s="118" t="s">
        <v>6226</v>
      </c>
      <c r="D134" s="118" t="str">
        <f>IFERROR(__xludf.DUMMYFUNCTION("IFERROR( INDEX( FILTER( 'NOMBRE DE PRODUCTOS'!B:B, REGEXMATCH( UPPER( INDEX( REPORTE_DROPI!AC:AC, MATCH(T134, REPORTE_DROPI!B:B, 0) ) ), UPPER('NOMBRE DE PRODUCTOS'!A:A) ) ), 1 ), ""REVISAR"" )"),"Cuchillo Tazaki™")</f>
        <v>Cuchillo Tazaki™</v>
      </c>
      <c r="E134" s="120" t="str">
        <f t="array" ref="E134">IF(
UPPER(TRIM(CLEAN($O134)))="ENTREGADO",
IFERROR(
INDEX(REPORTE_DROPI!Y:Y,
MATCH($T134, REPORTE_DROPI!B:B, 0)
),
""
),
""
)
</f>
        <v/>
      </c>
      <c r="F134" s="162">
        <v>3.0</v>
      </c>
      <c r="G134" s="122" t="str">
        <f t="array" ref="G134">IF(
UPPER(TRIM(CLEAN($O134)))="ENTREGADO",
IFERROR(
INDEX(REPORTE_DROPI!R:R,
MATCH($T134, REPORTE_DROPI!B:B, 0)
),
""
),
""
)
</f>
        <v/>
      </c>
      <c r="H134" s="118" t="s">
        <v>3727</v>
      </c>
      <c r="I134" s="118" t="s">
        <v>3772</v>
      </c>
      <c r="J134" s="121" t="str">
        <f t="array" ref="J134">IF(
UPPER(TRIM(CLEAN($O134)))="ENTREGADO",
IFERROR(
INDEX(REPORTE_DROPI!T:T,
MATCH($T134, REPORTE_DROPI!B:B, 0)
),
""
),
""
)
</f>
        <v/>
      </c>
      <c r="K134" s="118" t="str">
        <f t="array" ref="K134">IFERROR(
INDEX(REPORTE_DROPI!S:S,
MATCH($T134, REPORTE_DROPI!B:B, 0)
),
""
)</f>
        <v/>
      </c>
      <c r="L134" s="118" t="str">
        <f>IF(
  O134&lt;&gt;"DEVOLUCION",
  "",
  IF(
    T134="",
    "",
    SUMIF(DEVOLUCION!F:F, T134, DEVOLUCION!D:D)
  )
)
</f>
        <v/>
      </c>
      <c r="M134" s="118" t="s">
        <v>5877</v>
      </c>
      <c r="N134" s="161" t="s">
        <v>6227</v>
      </c>
      <c r="O134" s="118" t="str">
        <f t="array" ref="O134">IFERROR(
VLOOKUP(
TRIM(CLEAN(
INDEX(REPORTE_DROPI!K:K,
MATCH(T134, REPORTE_DROPI!B:B, 0)
))),
{
TRIM(CLEAN(MAPA_ESTADOS!A:A)) ,
MAPA_ESTADOS!B:B
},
2,
FALSE
),
"REVISAR"
)</f>
        <v>PENDIENTE</v>
      </c>
      <c r="P134" s="118" t="s">
        <v>3689</v>
      </c>
      <c r="Q134" s="153">
        <f t="shared" si="1"/>
        <v>0</v>
      </c>
      <c r="R134" s="163"/>
      <c r="S134" s="163"/>
      <c r="T134" s="118">
        <f t="array" ref="T134">IFERROR(
INDEX(REPORTE_DROPI!B:B,
MATCH(
CLEAN(TRIM(C134)),
CLEAN(TRIM(REPORTE_DROPI!E:E)),
0
)
),
""
)
</f>
        <v>4418703</v>
      </c>
      <c r="U134" s="163" t="s">
        <v>6228</v>
      </c>
      <c r="V134" s="164"/>
    </row>
    <row r="135" ht="22.5" hidden="1" customHeight="1">
      <c r="A135" s="161">
        <v>134.0</v>
      </c>
      <c r="B135" s="119">
        <v>46059.0</v>
      </c>
      <c r="C135" s="118" t="s">
        <v>6229</v>
      </c>
      <c r="D135" s="118" t="str">
        <f>IFERROR(__xludf.DUMMYFUNCTION("IFERROR( INDEX( FILTER( 'NOMBRE DE PRODUCTOS'!B:B, REGEXMATCH( UPPER( INDEX( REPORTE_DROPI!AC:AC, MATCH(T135, REPORTE_DROPI!B:B, 0) ) ), UPPER('NOMBRE DE PRODUCTOS'!A:A) ) ), 1 ), ""REVISAR"" )"),"FilmPro®")</f>
        <v>FilmPro®</v>
      </c>
      <c r="E135" s="120">
        <f t="array" ref="E135">IF(
UPPER(TRIM(CLEAN($O135)))="ENTREGADO",
IFERROR(
INDEX(REPORTE_DROPI!Y:Y,
MATCH($T135, REPORTE_DROPI!B:B, 0)
),
""
),
""
)
</f>
        <v>4.4</v>
      </c>
      <c r="F135" s="162">
        <v>2.0</v>
      </c>
      <c r="G135" s="122">
        <f t="array" ref="G135">IF(
UPPER(TRIM(CLEAN($O135)))="ENTREGADO",
IFERROR(
INDEX(REPORTE_DROPI!R:R,
MATCH($T135, REPORTE_DROPI!B:B, 0)
),
""
),
""
)
</f>
        <v>25</v>
      </c>
      <c r="H135" s="118" t="s">
        <v>3727</v>
      </c>
      <c r="I135" s="118" t="s">
        <v>3740</v>
      </c>
      <c r="J135" s="121">
        <f t="array" ref="J135">IF(
UPPER(TRIM(CLEAN($O135)))="ENTREGADO",
IFERROR(
INDEX(REPORTE_DROPI!T:T,
MATCH($T135, REPORTE_DROPI!B:B, 0)
),
""
),
""
)
</f>
        <v>4.35</v>
      </c>
      <c r="K135" s="118">
        <f t="array" ref="K135">IFERROR(
INDEX(REPORTE_DROPI!S:S,
MATCH($T135, REPORTE_DROPI!B:B, 0)
),
""
)</f>
        <v>16.25</v>
      </c>
      <c r="L135" s="118" t="str">
        <f>IF(
  O135&lt;&gt;"DEVOLUCION",
  "",
  IF(
    T135="",
    "",
    SUMIF(DEVOLUCION!F:F, T135, DEVOLUCION!D:D)
  )
)
</f>
        <v/>
      </c>
      <c r="M135" s="118" t="s">
        <v>5877</v>
      </c>
      <c r="N135" s="161" t="s">
        <v>6230</v>
      </c>
      <c r="O135" s="118" t="str">
        <f t="array" ref="O135">IFERROR(
VLOOKUP(
TRIM(CLEAN(
INDEX(REPORTE_DROPI!K:K,
MATCH(T135, REPORTE_DROPI!B:B, 0)
))),
{
TRIM(CLEAN(MAPA_ESTADOS!A:A)) ,
MAPA_ESTADOS!B:B
},
2,
FALSE
),
"REVISAR"
)</f>
        <v>ENTREGADO</v>
      </c>
      <c r="P135" s="118" t="s">
        <v>5692</v>
      </c>
      <c r="Q135" s="153">
        <f t="shared" si="1"/>
        <v>0</v>
      </c>
      <c r="R135" s="163"/>
      <c r="S135" s="163"/>
      <c r="T135" s="118">
        <f t="array" ref="T135">IFERROR(
INDEX(REPORTE_DROPI!B:B,
MATCH(
CLEAN(TRIM(C135)),
CLEAN(TRIM(REPORTE_DROPI!E:E)),
0
)
),
""
)
</f>
        <v>4418699</v>
      </c>
      <c r="U135" s="163" t="s">
        <v>6231</v>
      </c>
      <c r="V135" s="164"/>
    </row>
    <row r="136" ht="22.5" hidden="1" customHeight="1">
      <c r="A136" s="161">
        <v>135.0</v>
      </c>
      <c r="B136" s="119">
        <v>46059.0</v>
      </c>
      <c r="C136" s="118" t="s">
        <v>6232</v>
      </c>
      <c r="D136" s="118" t="str">
        <f>IFERROR(__xludf.DUMMYFUNCTION("IFERROR( INDEX( FILTER( 'NOMBRE DE PRODUCTOS'!B:B, REGEXMATCH( UPPER( INDEX( REPORTE_DROPI!AC:AC, MATCH(T136, REPORTE_DROPI!B:B, 0) ) ), UPPER('NOMBRE DE PRODUCTOS'!A:A) ) ), 1 ), ""REVISAR"" )"),"FilmPro®")</f>
        <v>FilmPro®</v>
      </c>
      <c r="E136" s="120" t="str">
        <f t="array" ref="E136">IF(
UPPER(TRIM(CLEAN($O136)))="ENTREGADO",
IFERROR(
INDEX(REPORTE_DROPI!Y:Y,
MATCH($T136, REPORTE_DROPI!B:B, 0)
),
""
),
""
)
</f>
        <v/>
      </c>
      <c r="F136" s="162">
        <v>1.0</v>
      </c>
      <c r="G136" s="122" t="str">
        <f t="array" ref="G136">IF(
UPPER(TRIM(CLEAN($O136)))="ENTREGADO",
IFERROR(
INDEX(REPORTE_DROPI!R:R,
MATCH($T136, REPORTE_DROPI!B:B, 0)
),
""
),
""
)
</f>
        <v/>
      </c>
      <c r="H136" s="118" t="s">
        <v>3727</v>
      </c>
      <c r="I136" s="118" t="s">
        <v>3798</v>
      </c>
      <c r="J136" s="121" t="str">
        <f t="array" ref="J136">IF(
UPPER(TRIM(CLEAN($O136)))="ENTREGADO",
IFERROR(
INDEX(REPORTE_DROPI!T:T,
MATCH($T136, REPORTE_DROPI!B:B, 0)
),
""
),
""
)
</f>
        <v/>
      </c>
      <c r="K136" s="118" t="str">
        <f t="array" ref="K136">IFERROR(
INDEX(REPORTE_DROPI!S:S,
MATCH($T136, REPORTE_DROPI!B:B, 0)
),
""
)</f>
        <v/>
      </c>
      <c r="L136" s="118" t="str">
        <f>IF(
  O136&lt;&gt;"DEVOLUCION",
  "",
  IF(
    T136="",
    "",
    SUMIF(DEVOLUCION!F:F, T136, DEVOLUCION!D:D)
  )
)
</f>
        <v/>
      </c>
      <c r="M136" s="118" t="s">
        <v>5877</v>
      </c>
      <c r="N136" s="161" t="s">
        <v>6233</v>
      </c>
      <c r="O136" s="118" t="str">
        <f t="array" ref="O136">IFERROR(
VLOOKUP(
TRIM(CLEAN(
INDEX(REPORTE_DROPI!K:K,
MATCH(T136, REPORTE_DROPI!B:B, 0)
))),
{
TRIM(CLEAN(MAPA_ESTADOS!A:A)) ,
MAPA_ESTADOS!B:B
},
2,
FALSE
),
"REVISAR"
)</f>
        <v>CANCELADO</v>
      </c>
      <c r="P136" s="118" t="s">
        <v>5952</v>
      </c>
      <c r="Q136" s="153">
        <f t="shared" si="1"/>
        <v>0</v>
      </c>
      <c r="R136" s="163"/>
      <c r="S136" s="163"/>
      <c r="T136" s="118">
        <f t="array" ref="T136">IFERROR(
INDEX(REPORTE_DROPI!B:B,
MATCH(
CLEAN(TRIM(C136)),
CLEAN(TRIM(REPORTE_DROPI!E:E)),
0
)
),
""
)
</f>
        <v>4418695</v>
      </c>
      <c r="U136" s="163" t="s">
        <v>6234</v>
      </c>
      <c r="V136" s="164"/>
    </row>
    <row r="137" ht="22.5" hidden="1" customHeight="1">
      <c r="A137" s="161">
        <v>136.0</v>
      </c>
      <c r="B137" s="119">
        <v>46059.0</v>
      </c>
      <c r="C137" s="118" t="s">
        <v>6235</v>
      </c>
      <c r="D137" s="118" t="str">
        <f>IFERROR(__xludf.DUMMYFUNCTION("IFERROR( INDEX( FILTER( 'NOMBRE DE PRODUCTOS'!B:B, REGEXMATCH( UPPER( INDEX( REPORTE_DROPI!AC:AC, MATCH(T137, REPORTE_DROPI!B:B, 0) ) ), UPPER('NOMBRE DE PRODUCTOS'!A:A) ) ), 1 ), ""REVISAR"" )"),"FilmPro®")</f>
        <v>FilmPro®</v>
      </c>
      <c r="E137" s="120" t="str">
        <f t="array" ref="E137">IF(
UPPER(TRIM(CLEAN($O137)))="ENTREGADO",
IFERROR(
INDEX(REPORTE_DROPI!Y:Y,
MATCH($T137, REPORTE_DROPI!B:B, 0)
),
""
),
""
)
</f>
        <v/>
      </c>
      <c r="F137" s="162">
        <v>2.0</v>
      </c>
      <c r="G137" s="122" t="str">
        <f t="array" ref="G137">IF(
UPPER(TRIM(CLEAN($O137)))="ENTREGADO",
IFERROR(
INDEX(REPORTE_DROPI!R:R,
MATCH($T137, REPORTE_DROPI!B:B, 0)
),
""
),
""
)
</f>
        <v/>
      </c>
      <c r="H137" s="118" t="s">
        <v>3727</v>
      </c>
      <c r="I137" s="118" t="s">
        <v>3728</v>
      </c>
      <c r="J137" s="121" t="str">
        <f t="array" ref="J137">IF(
UPPER(TRIM(CLEAN($O137)))="ENTREGADO",
IFERROR(
INDEX(REPORTE_DROPI!T:T,
MATCH($T137, REPORTE_DROPI!B:B, 0)
),
""
),
""
)
</f>
        <v/>
      </c>
      <c r="K137" s="118" t="str">
        <f t="array" ref="K137">IFERROR(
INDEX(REPORTE_DROPI!S:S,
MATCH($T137, REPORTE_DROPI!B:B, 0)
),
""
)</f>
        <v/>
      </c>
      <c r="L137" s="118" t="str">
        <f>IF(
  O137&lt;&gt;"DEVOLUCION",
  "",
  IF(
    T137="",
    "",
    SUMIF(DEVOLUCION!F:F, T137, DEVOLUCION!D:D)
  )
)
</f>
        <v/>
      </c>
      <c r="M137" s="118" t="s">
        <v>5877</v>
      </c>
      <c r="N137" s="161" t="s">
        <v>6236</v>
      </c>
      <c r="O137" s="118" t="str">
        <f t="array" ref="O137">IFERROR(
VLOOKUP(
TRIM(CLEAN(
INDEX(REPORTE_DROPI!K:K,
MATCH(T137, REPORTE_DROPI!B:B, 0)
))),
{
TRIM(CLEAN(MAPA_ESTADOS!A:A)) ,
MAPA_ESTADOS!B:B
},
2,
FALSE
),
"REVISAR"
)</f>
        <v>PENDIENTE</v>
      </c>
      <c r="P137" s="118" t="s">
        <v>3689</v>
      </c>
      <c r="Q137" s="153">
        <f t="shared" si="1"/>
        <v>0</v>
      </c>
      <c r="R137" s="163"/>
      <c r="S137" s="163"/>
      <c r="T137" s="118">
        <f t="array" ref="T137">IFERROR(
INDEX(REPORTE_DROPI!B:B,
MATCH(
CLEAN(TRIM(C137)),
CLEAN(TRIM(REPORTE_DROPI!E:E)),
0
)
),
""
)
</f>
        <v>4418691</v>
      </c>
      <c r="U137" s="163" t="s">
        <v>6237</v>
      </c>
      <c r="V137" s="164"/>
    </row>
    <row r="138" ht="22.5" hidden="1" customHeight="1">
      <c r="A138" s="161">
        <v>137.0</v>
      </c>
      <c r="B138" s="119">
        <v>46059.0</v>
      </c>
      <c r="C138" s="118" t="s">
        <v>6238</v>
      </c>
      <c r="D138" s="118" t="str">
        <f>IFERROR(__xludf.DUMMYFUNCTION("IFERROR( INDEX( FILTER( 'NOMBRE DE PRODUCTOS'!B:B, REGEXMATCH( UPPER( INDEX( REPORTE_DROPI!AC:AC, MATCH(T138, REPORTE_DROPI!B:B, 0) ) ), UPPER('NOMBRE DE PRODUCTOS'!A:A) ) ), 1 ), ""REVISAR"" )"),"Cuchillo Tazaki™")</f>
        <v>Cuchillo Tazaki™</v>
      </c>
      <c r="E138" s="120" t="str">
        <f t="array" ref="E138">IF(
UPPER(TRIM(CLEAN($O138)))="ENTREGADO",
IFERROR(
INDEX(REPORTE_DROPI!Y:Y,
MATCH($T138, REPORTE_DROPI!B:B, 0)
),
""
),
""
)
</f>
        <v/>
      </c>
      <c r="F138" s="162">
        <v>2.0</v>
      </c>
      <c r="G138" s="122" t="str">
        <f t="array" ref="G138">IF(
UPPER(TRIM(CLEAN($O138)))="ENTREGADO",
IFERROR(
INDEX(REPORTE_DROPI!R:R,
MATCH($T138, REPORTE_DROPI!B:B, 0)
),
""
),
""
)
</f>
        <v/>
      </c>
      <c r="H138" s="118" t="s">
        <v>3727</v>
      </c>
      <c r="I138" s="118" t="s">
        <v>3740</v>
      </c>
      <c r="J138" s="121" t="str">
        <f t="array" ref="J138">IF(
UPPER(TRIM(CLEAN($O138)))="ENTREGADO",
IFERROR(
INDEX(REPORTE_DROPI!T:T,
MATCH($T138, REPORTE_DROPI!B:B, 0)
),
""
),
""
)
</f>
        <v/>
      </c>
      <c r="K138" s="118" t="str">
        <f t="array" ref="K138">IFERROR(
INDEX(REPORTE_DROPI!S:S,
MATCH($T138, REPORTE_DROPI!B:B, 0)
),
""
)</f>
        <v/>
      </c>
      <c r="L138" s="118" t="str">
        <f>IF(
  O138&lt;&gt;"DEVOLUCION",
  "",
  IF(
    T138="",
    "",
    SUMIF(DEVOLUCION!F:F, T138, DEVOLUCION!D:D)
  )
)
</f>
        <v/>
      </c>
      <c r="M138" s="118" t="s">
        <v>5877</v>
      </c>
      <c r="N138" s="161" t="s">
        <v>6239</v>
      </c>
      <c r="O138" s="118" t="str">
        <f t="array" ref="O138">IFERROR(
VLOOKUP(
TRIM(CLEAN(
INDEX(REPORTE_DROPI!K:K,
MATCH(T138, REPORTE_DROPI!B:B, 0)
))),
{
TRIM(CLEAN(MAPA_ESTADOS!A:A)) ,
MAPA_ESTADOS!B:B
},
2,
FALSE
),
"REVISAR"
)</f>
        <v>PENDIENTE</v>
      </c>
      <c r="P138" s="118" t="s">
        <v>3689</v>
      </c>
      <c r="Q138" s="153">
        <f t="shared" si="1"/>
        <v>0</v>
      </c>
      <c r="R138" s="163"/>
      <c r="S138" s="163"/>
      <c r="T138" s="118">
        <f t="array" ref="T138">IFERROR(
INDEX(REPORTE_DROPI!B:B,
MATCH(
CLEAN(TRIM(C138)),
CLEAN(TRIM(REPORTE_DROPI!E:E)),
0
)
),
""
)
</f>
        <v>4418688</v>
      </c>
      <c r="U138" s="163" t="s">
        <v>6240</v>
      </c>
      <c r="V138" s="164"/>
    </row>
    <row r="139" ht="22.5" hidden="1" customHeight="1">
      <c r="A139" s="161">
        <v>138.0</v>
      </c>
      <c r="B139" s="119">
        <v>46059.0</v>
      </c>
      <c r="C139" s="118" t="s">
        <v>6241</v>
      </c>
      <c r="D139" s="118" t="str">
        <f>IFERROR(__xludf.DUMMYFUNCTION("IFERROR( INDEX( FILTER( 'NOMBRE DE PRODUCTOS'!B:B, REGEXMATCH( UPPER( INDEX( REPORTE_DROPI!AC:AC, MATCH(T139, REPORTE_DROPI!B:B, 0) ) ), UPPER('NOMBRE DE PRODUCTOS'!A:A) ) ), 1 ), ""REVISAR"" )"),"Cuchillo Tazaki™")</f>
        <v>Cuchillo Tazaki™</v>
      </c>
      <c r="E139" s="120" t="str">
        <f t="array" ref="E139">IF(
UPPER(TRIM(CLEAN($O139)))="ENTREGADO",
IFERROR(
INDEX(REPORTE_DROPI!Y:Y,
MATCH($T139, REPORTE_DROPI!B:B, 0)
),
""
),
""
)
</f>
        <v/>
      </c>
      <c r="F139" s="162">
        <v>2.0</v>
      </c>
      <c r="G139" s="122" t="str">
        <f t="array" ref="G139">IF(
UPPER(TRIM(CLEAN($O139)))="ENTREGADO",
IFERROR(
INDEX(REPORTE_DROPI!R:R,
MATCH($T139, REPORTE_DROPI!B:B, 0)
),
""
),
""
)
</f>
        <v/>
      </c>
      <c r="H139" s="118" t="s">
        <v>3727</v>
      </c>
      <c r="I139" s="118" t="s">
        <v>3784</v>
      </c>
      <c r="J139" s="121" t="str">
        <f t="array" ref="J139">IF(
UPPER(TRIM(CLEAN($O139)))="ENTREGADO",
IFERROR(
INDEX(REPORTE_DROPI!T:T,
MATCH($T139, REPORTE_DROPI!B:B, 0)
),
""
),
""
)
</f>
        <v/>
      </c>
      <c r="K139" s="118" t="str">
        <f t="array" ref="K139">IFERROR(
INDEX(REPORTE_DROPI!S:S,
MATCH($T139, REPORTE_DROPI!B:B, 0)
),
""
)</f>
        <v/>
      </c>
      <c r="L139" s="118" t="str">
        <f>IF(
  O139&lt;&gt;"DEVOLUCION",
  "",
  IF(
    T139="",
    "",
    SUMIF(DEVOLUCION!F:F, T139, DEVOLUCION!D:D)
  )
)
</f>
        <v/>
      </c>
      <c r="M139" s="118" t="s">
        <v>5877</v>
      </c>
      <c r="N139" s="161" t="s">
        <v>6242</v>
      </c>
      <c r="O139" s="118" t="str">
        <f t="array" ref="O139">IFERROR(
VLOOKUP(
TRIM(CLEAN(
INDEX(REPORTE_DROPI!K:K,
MATCH(T139, REPORTE_DROPI!B:B, 0)
))),
{
TRIM(CLEAN(MAPA_ESTADOS!A:A)) ,
MAPA_ESTADOS!B:B
},
2,
FALSE
),
"REVISAR"
)</f>
        <v>PENDIENTE</v>
      </c>
      <c r="P139" s="118" t="s">
        <v>4331</v>
      </c>
      <c r="Q139" s="153">
        <f t="shared" si="1"/>
        <v>0</v>
      </c>
      <c r="R139" s="163"/>
      <c r="S139" s="163"/>
      <c r="T139" s="118">
        <f t="array" ref="T139">IFERROR(
INDEX(REPORTE_DROPI!B:B,
MATCH(
CLEAN(TRIM(C139)),
CLEAN(TRIM(REPORTE_DROPI!E:E)),
0
)
),
""
)
</f>
        <v>4418686</v>
      </c>
      <c r="U139" s="163">
        <v>1.38185137245E11</v>
      </c>
      <c r="V139" s="164"/>
    </row>
    <row r="140" ht="22.5" hidden="1" customHeight="1">
      <c r="A140" s="161">
        <v>139.0</v>
      </c>
      <c r="B140" s="119">
        <v>46059.0</v>
      </c>
      <c r="C140" s="118" t="s">
        <v>6243</v>
      </c>
      <c r="D140" s="118" t="str">
        <f>IFERROR(__xludf.DUMMYFUNCTION("IFERROR( INDEX( FILTER( 'NOMBRE DE PRODUCTOS'!B:B, REGEXMATCH( UPPER( INDEX( REPORTE_DROPI!AC:AC, MATCH(T140, REPORTE_DROPI!B:B, 0) ) ), UPPER('NOMBRE DE PRODUCTOS'!A:A) ) ), 1 ), ""REVISAR"" )"),"Cuchillo Tazaki™")</f>
        <v>Cuchillo Tazaki™</v>
      </c>
      <c r="E140" s="120" t="str">
        <f t="array" ref="E140">IF(
UPPER(TRIM(CLEAN($O140)))="ENTREGADO",
IFERROR(
INDEX(REPORTE_DROPI!Y:Y,
MATCH($T140, REPORTE_DROPI!B:B, 0)
),
""
),
""
)
</f>
        <v/>
      </c>
      <c r="F140" s="162">
        <v>2.0</v>
      </c>
      <c r="G140" s="122" t="str">
        <f t="array" ref="G140">IF(
UPPER(TRIM(CLEAN($O140)))="ENTREGADO",
IFERROR(
INDEX(REPORTE_DROPI!R:R,
MATCH($T140, REPORTE_DROPI!B:B, 0)
),
""
),
""
)
</f>
        <v/>
      </c>
      <c r="H140" s="118" t="s">
        <v>3727</v>
      </c>
      <c r="I140" s="118" t="s">
        <v>3728</v>
      </c>
      <c r="J140" s="121" t="str">
        <f t="array" ref="J140">IF(
UPPER(TRIM(CLEAN($O140)))="ENTREGADO",
IFERROR(
INDEX(REPORTE_DROPI!T:T,
MATCH($T140, REPORTE_DROPI!B:B, 0)
),
""
),
""
)
</f>
        <v/>
      </c>
      <c r="K140" s="118" t="str">
        <f t="array" ref="K140">IFERROR(
INDEX(REPORTE_DROPI!S:S,
MATCH($T140, REPORTE_DROPI!B:B, 0)
),
""
)</f>
        <v/>
      </c>
      <c r="L140" s="118" t="str">
        <f>IF(
  O140&lt;&gt;"DEVOLUCION",
  "",
  IF(
    T140="",
    "",
    SUMIF(DEVOLUCION!F:F, T140, DEVOLUCION!D:D)
  )
)
</f>
        <v/>
      </c>
      <c r="M140" s="118" t="s">
        <v>5877</v>
      </c>
      <c r="N140" s="161" t="s">
        <v>6244</v>
      </c>
      <c r="O140" s="118" t="str">
        <f t="array" ref="O140">IFERROR(
VLOOKUP(
TRIM(CLEAN(
INDEX(REPORTE_DROPI!K:K,
MATCH(T140, REPORTE_DROPI!B:B, 0)
))),
{
TRIM(CLEAN(MAPA_ESTADOS!A:A)) ,
MAPA_ESTADOS!B:B
},
2,
FALSE
),
"REVISAR"
)</f>
        <v>PENDIENTE</v>
      </c>
      <c r="P140" s="118" t="s">
        <v>3689</v>
      </c>
      <c r="Q140" s="153">
        <f t="shared" si="1"/>
        <v>0</v>
      </c>
      <c r="R140" s="163"/>
      <c r="S140" s="163"/>
      <c r="T140" s="118">
        <f t="array" ref="T140">IFERROR(
INDEX(REPORTE_DROPI!B:B,
MATCH(
CLEAN(TRIM(C140)),
CLEAN(TRIM(REPORTE_DROPI!E:E)),
0
)
),
""
)
</f>
        <v>4418684</v>
      </c>
      <c r="U140" s="163" t="s">
        <v>6245</v>
      </c>
      <c r="V140" s="164"/>
    </row>
    <row r="141" ht="22.5" hidden="1" customHeight="1">
      <c r="A141" s="161">
        <v>140.0</v>
      </c>
      <c r="B141" s="119">
        <v>46059.0</v>
      </c>
      <c r="C141" s="118" t="s">
        <v>6246</v>
      </c>
      <c r="D141" s="118" t="str">
        <f>IFERROR(__xludf.DUMMYFUNCTION("IFERROR( INDEX( FILTER( 'NOMBRE DE PRODUCTOS'!B:B, REGEXMATCH( UPPER( INDEX( REPORTE_DROPI!AC:AC, MATCH(T141, REPORTE_DROPI!B:B, 0) ) ), UPPER('NOMBRE DE PRODUCTOS'!A:A) ) ), 1 ), ""REVISAR"" )"),"FilmPro®")</f>
        <v>FilmPro®</v>
      </c>
      <c r="E141" s="120" t="str">
        <f t="array" ref="E141">IF(
UPPER(TRIM(CLEAN($O141)))="ENTREGADO",
IFERROR(
INDEX(REPORTE_DROPI!Y:Y,
MATCH($T141, REPORTE_DROPI!B:B, 0)
),
""
),
""
)
</f>
        <v/>
      </c>
      <c r="F141" s="162">
        <v>1.0</v>
      </c>
      <c r="G141" s="122" t="str">
        <f t="array" ref="G141">IF(
UPPER(TRIM(CLEAN($O141)))="ENTREGADO",
IFERROR(
INDEX(REPORTE_DROPI!R:R,
MATCH($T141, REPORTE_DROPI!B:B, 0)
),
""
),
""
)
</f>
        <v/>
      </c>
      <c r="H141" s="118" t="s">
        <v>3727</v>
      </c>
      <c r="I141" s="118" t="s">
        <v>3770</v>
      </c>
      <c r="J141" s="121" t="str">
        <f t="array" ref="J141">IF(
UPPER(TRIM(CLEAN($O141)))="ENTREGADO",
IFERROR(
INDEX(REPORTE_DROPI!T:T,
MATCH($T141, REPORTE_DROPI!B:B, 0)
),
""
),
""
)
</f>
        <v/>
      </c>
      <c r="K141" s="118" t="str">
        <f t="array" ref="K141">IFERROR(
INDEX(REPORTE_DROPI!S:S,
MATCH($T141, REPORTE_DROPI!B:B, 0)
),
""
)</f>
        <v/>
      </c>
      <c r="L141" s="118" t="str">
        <f>IF(
  O141&lt;&gt;"DEVOLUCION",
  "",
  IF(
    T141="",
    "",
    SUMIF(DEVOLUCION!F:F, T141, DEVOLUCION!D:D)
  )
)
</f>
        <v/>
      </c>
      <c r="M141" s="118" t="s">
        <v>5877</v>
      </c>
      <c r="N141" s="161" t="s">
        <v>6247</v>
      </c>
      <c r="O141" s="118" t="str">
        <f t="array" ref="O141">IFERROR(
VLOOKUP(
TRIM(CLEAN(
INDEX(REPORTE_DROPI!K:K,
MATCH(T141, REPORTE_DROPI!B:B, 0)
))),
{
TRIM(CLEAN(MAPA_ESTADOS!A:A)) ,
MAPA_ESTADOS!B:B
},
2,
FALSE
),
"REVISAR"
)</f>
        <v>CANCELADO</v>
      </c>
      <c r="P141" s="118" t="s">
        <v>5952</v>
      </c>
      <c r="Q141" s="153">
        <f t="shared" si="1"/>
        <v>0</v>
      </c>
      <c r="R141" s="163"/>
      <c r="S141" s="163"/>
      <c r="T141" s="118">
        <f t="array" ref="T141">IFERROR(
INDEX(REPORTE_DROPI!B:B,
MATCH(
CLEAN(TRIM(C141)),
CLEAN(TRIM(REPORTE_DROPI!E:E)),
0
)
),
""
)
</f>
        <v>4418683</v>
      </c>
      <c r="U141" s="163" t="s">
        <v>6248</v>
      </c>
      <c r="V141" s="164"/>
    </row>
    <row r="142" ht="22.5" hidden="1" customHeight="1">
      <c r="A142" s="161">
        <v>141.0</v>
      </c>
      <c r="B142" s="119">
        <v>46059.0</v>
      </c>
      <c r="C142" s="118" t="s">
        <v>6249</v>
      </c>
      <c r="D142" s="118" t="str">
        <f>IFERROR(__xludf.DUMMYFUNCTION("IFERROR( INDEX( FILTER( 'NOMBRE DE PRODUCTOS'!B:B, REGEXMATCH( UPPER( INDEX( REPORTE_DROPI!AC:AC, MATCH(T142, REPORTE_DROPI!B:B, 0) ) ), UPPER('NOMBRE DE PRODUCTOS'!A:A) ) ), 1 ), ""REVISAR"" )"),"Cuchillo Tazaki™")</f>
        <v>Cuchillo Tazaki™</v>
      </c>
      <c r="E142" s="120" t="str">
        <f t="array" ref="E142">IF(
UPPER(TRIM(CLEAN($O142)))="ENTREGADO",
IFERROR(
INDEX(REPORTE_DROPI!Y:Y,
MATCH($T142, REPORTE_DROPI!B:B, 0)
),
""
),
""
)
</f>
        <v/>
      </c>
      <c r="F142" s="162">
        <v>4.0</v>
      </c>
      <c r="G142" s="122" t="str">
        <f t="array" ref="G142">IF(
UPPER(TRIM(CLEAN($O142)))="ENTREGADO",
IFERROR(
INDEX(REPORTE_DROPI!R:R,
MATCH($T142, REPORTE_DROPI!B:B, 0)
),
""
),
""
)
</f>
        <v/>
      </c>
      <c r="H142" s="118" t="s">
        <v>3727</v>
      </c>
      <c r="I142" s="118" t="s">
        <v>3759</v>
      </c>
      <c r="J142" s="121" t="str">
        <f t="array" ref="J142">IF(
UPPER(TRIM(CLEAN($O142)))="ENTREGADO",
IFERROR(
INDEX(REPORTE_DROPI!T:T,
MATCH($T142, REPORTE_DROPI!B:B, 0)
),
""
),
""
)
</f>
        <v/>
      </c>
      <c r="K142" s="118" t="str">
        <f t="array" ref="K142">IFERROR(
INDEX(REPORTE_DROPI!S:S,
MATCH($T142, REPORTE_DROPI!B:B, 0)
),
""
)</f>
        <v/>
      </c>
      <c r="L142" s="118" t="str">
        <f>IF(
  O142&lt;&gt;"DEVOLUCION",
  "",
  IF(
    T142="",
    "",
    SUMIF(DEVOLUCION!F:F, T142, DEVOLUCION!D:D)
  )
)
</f>
        <v/>
      </c>
      <c r="M142" s="118" t="s">
        <v>5877</v>
      </c>
      <c r="N142" s="161" t="s">
        <v>6250</v>
      </c>
      <c r="O142" s="118" t="str">
        <f t="array" ref="O142">IFERROR(
VLOOKUP(
TRIM(CLEAN(
INDEX(REPORTE_DROPI!K:K,
MATCH(T142, REPORTE_DROPI!B:B, 0)
))),
{
TRIM(CLEAN(MAPA_ESTADOS!A:A)) ,
MAPA_ESTADOS!B:B
},
2,
FALSE
),
"REVISAR"
)</f>
        <v>PENDIENTE</v>
      </c>
      <c r="P142" s="118" t="s">
        <v>5765</v>
      </c>
      <c r="Q142" s="153">
        <f t="shared" si="1"/>
        <v>0</v>
      </c>
      <c r="R142" s="163"/>
      <c r="S142" s="163"/>
      <c r="T142" s="118">
        <f t="array" ref="T142">IFERROR(
INDEX(REPORTE_DROPI!B:B,
MATCH(
CLEAN(TRIM(C142)),
CLEAN(TRIM(REPORTE_DROPI!E:E)),
0
)
),
""
)
</f>
        <v>4418681</v>
      </c>
      <c r="U142" s="163" t="s">
        <v>6251</v>
      </c>
      <c r="V142" s="164"/>
    </row>
    <row r="143" ht="22.5" hidden="1" customHeight="1">
      <c r="A143" s="161">
        <v>142.0</v>
      </c>
      <c r="B143" s="119">
        <v>46059.0</v>
      </c>
      <c r="C143" s="118" t="s">
        <v>6252</v>
      </c>
      <c r="D143" s="118" t="str">
        <f>IFERROR(__xludf.DUMMYFUNCTION("IFERROR( INDEX( FILTER( 'NOMBRE DE PRODUCTOS'!B:B, REGEXMATCH( UPPER( INDEX( REPORTE_DROPI!AC:AC, MATCH(T143, REPORTE_DROPI!B:B, 0) ) ), UPPER('NOMBRE DE PRODUCTOS'!A:A) ) ), 1 ), ""REVISAR"" )"),"Cuchillo Tazaki™")</f>
        <v>Cuchillo Tazaki™</v>
      </c>
      <c r="E143" s="120" t="str">
        <f t="array" ref="E143">IF(
UPPER(TRIM(CLEAN($O143)))="ENTREGADO",
IFERROR(
INDEX(REPORTE_DROPI!Y:Y,
MATCH($T143, REPORTE_DROPI!B:B, 0)
),
""
),
""
)
</f>
        <v/>
      </c>
      <c r="F143" s="162">
        <v>2.0</v>
      </c>
      <c r="G143" s="122" t="str">
        <f t="array" ref="G143">IF(
UPPER(TRIM(CLEAN($O143)))="ENTREGADO",
IFERROR(
INDEX(REPORTE_DROPI!R:R,
MATCH($T143, REPORTE_DROPI!B:B, 0)
),
""
),
""
)
</f>
        <v/>
      </c>
      <c r="H143" s="118" t="s">
        <v>3727</v>
      </c>
      <c r="I143" s="118" t="s">
        <v>3951</v>
      </c>
      <c r="J143" s="121" t="str">
        <f t="array" ref="J143">IF(
UPPER(TRIM(CLEAN($O143)))="ENTREGADO",
IFERROR(
INDEX(REPORTE_DROPI!T:T,
MATCH($T143, REPORTE_DROPI!B:B, 0)
),
""
),
""
)
</f>
        <v/>
      </c>
      <c r="K143" s="118" t="str">
        <f t="array" ref="K143">IFERROR(
INDEX(REPORTE_DROPI!S:S,
MATCH($T143, REPORTE_DROPI!B:B, 0)
),
""
)</f>
        <v/>
      </c>
      <c r="L143" s="118" t="str">
        <f>IF(
  O143&lt;&gt;"DEVOLUCION",
  "",
  IF(
    T143="",
    "",
    SUMIF(DEVOLUCION!F:F, T143, DEVOLUCION!D:D)
  )
)
</f>
        <v/>
      </c>
      <c r="M143" s="118" t="s">
        <v>5877</v>
      </c>
      <c r="N143" s="161" t="s">
        <v>6253</v>
      </c>
      <c r="O143" s="118" t="str">
        <f t="array" ref="O143">IFERROR(
VLOOKUP(
TRIM(CLEAN(
INDEX(REPORTE_DROPI!K:K,
MATCH(T143, REPORTE_DROPI!B:B, 0)
))),
{
TRIM(CLEAN(MAPA_ESTADOS!A:A)) ,
MAPA_ESTADOS!B:B
},
2,
FALSE
),
"REVISAR"
)</f>
        <v>PENDIENTE</v>
      </c>
      <c r="P143" s="118" t="s">
        <v>3689</v>
      </c>
      <c r="Q143" s="153">
        <f t="shared" si="1"/>
        <v>0</v>
      </c>
      <c r="R143" s="163"/>
      <c r="S143" s="163"/>
      <c r="T143" s="118">
        <f t="array" ref="T143">IFERROR(
INDEX(REPORTE_DROPI!B:B,
MATCH(
CLEAN(TRIM(C143)),
CLEAN(TRIM(REPORTE_DROPI!E:E)),
0
)
),
""
)
</f>
        <v>4421351</v>
      </c>
      <c r="U143" s="163" t="s">
        <v>6254</v>
      </c>
      <c r="V143" s="164"/>
    </row>
    <row r="144" ht="22.5" hidden="1" customHeight="1">
      <c r="A144" s="161">
        <v>143.0</v>
      </c>
      <c r="B144" s="119">
        <v>46059.0</v>
      </c>
      <c r="C144" s="118" t="s">
        <v>6255</v>
      </c>
      <c r="D144" s="118" t="str">
        <f>IFERROR(__xludf.DUMMYFUNCTION("IFERROR( INDEX( FILTER( 'NOMBRE DE PRODUCTOS'!B:B, REGEXMATCH( UPPER( INDEX( REPORTE_DROPI!AC:AC, MATCH(T144, REPORTE_DROPI!B:B, 0) ) ), UPPER('NOMBRE DE PRODUCTOS'!A:A) ) ), 1 ), ""REVISAR"" )"),"Cuchillo Tazaki™")</f>
        <v>Cuchillo Tazaki™</v>
      </c>
      <c r="E144" s="120" t="str">
        <f t="array" ref="E144">IF(
UPPER(TRIM(CLEAN($O144)))="ENTREGADO",
IFERROR(
INDEX(REPORTE_DROPI!Y:Y,
MATCH($T144, REPORTE_DROPI!B:B, 0)
),
""
),
""
)
</f>
        <v/>
      </c>
      <c r="F144" s="162">
        <v>4.0</v>
      </c>
      <c r="G144" s="122" t="str">
        <f t="array" ref="G144">IF(
UPPER(TRIM(CLEAN($O144)))="ENTREGADO",
IFERROR(
INDEX(REPORTE_DROPI!R:R,
MATCH($T144, REPORTE_DROPI!B:B, 0)
),
""
),
""
)
</f>
        <v/>
      </c>
      <c r="H144" s="118" t="s">
        <v>3727</v>
      </c>
      <c r="I144" s="118" t="s">
        <v>3728</v>
      </c>
      <c r="J144" s="121" t="str">
        <f t="array" ref="J144">IF(
UPPER(TRIM(CLEAN($O144)))="ENTREGADO",
IFERROR(
INDEX(REPORTE_DROPI!T:T,
MATCH($T144, REPORTE_DROPI!B:B, 0)
),
""
),
""
)
</f>
        <v/>
      </c>
      <c r="K144" s="118" t="str">
        <f t="array" ref="K144">IFERROR(
INDEX(REPORTE_DROPI!S:S,
MATCH($T144, REPORTE_DROPI!B:B, 0)
),
""
)</f>
        <v/>
      </c>
      <c r="L144" s="118" t="str">
        <f>IF(
  O144&lt;&gt;"DEVOLUCION",
  "",
  IF(
    T144="",
    "",
    SUMIF(DEVOLUCION!F:F, T144, DEVOLUCION!D:D)
  )
)
</f>
        <v/>
      </c>
      <c r="M144" s="118" t="s">
        <v>5877</v>
      </c>
      <c r="N144" s="161" t="s">
        <v>6256</v>
      </c>
      <c r="O144" s="118" t="str">
        <f t="array" ref="O144">IFERROR(
VLOOKUP(
TRIM(CLEAN(
INDEX(REPORTE_DROPI!K:K,
MATCH(T144, REPORTE_DROPI!B:B, 0)
))),
{
TRIM(CLEAN(MAPA_ESTADOS!A:A)) ,
MAPA_ESTADOS!B:B
},
2,
FALSE
),
"REVISAR"
)</f>
        <v>PENDIENTE</v>
      </c>
      <c r="P144" s="118" t="s">
        <v>3689</v>
      </c>
      <c r="Q144" s="153">
        <f t="shared" si="1"/>
        <v>0</v>
      </c>
      <c r="R144" s="163"/>
      <c r="S144" s="163"/>
      <c r="T144" s="118">
        <f t="array" ref="T144">IFERROR(
INDEX(REPORTE_DROPI!B:B,
MATCH(
CLEAN(TRIM(C144)),
CLEAN(TRIM(REPORTE_DROPI!E:E)),
0
)
),
""
)
</f>
        <v>4418677</v>
      </c>
      <c r="U144" s="163" t="s">
        <v>6257</v>
      </c>
      <c r="V144" s="164"/>
    </row>
    <row r="145" ht="22.5" hidden="1" customHeight="1">
      <c r="A145" s="161">
        <v>144.0</v>
      </c>
      <c r="B145" s="119">
        <v>46059.0</v>
      </c>
      <c r="C145" s="118" t="s">
        <v>6258</v>
      </c>
      <c r="D145" s="118" t="str">
        <f>IFERROR(__xludf.DUMMYFUNCTION("IFERROR( INDEX( FILTER( 'NOMBRE DE PRODUCTOS'!B:B, REGEXMATCH( UPPER( INDEX( REPORTE_DROPI!AC:AC, MATCH(T145, REPORTE_DROPI!B:B, 0) ) ), UPPER('NOMBRE DE PRODUCTOS'!A:A) ) ), 1 ), ""REVISAR"" )"),"Cuchillo Tazaki™")</f>
        <v>Cuchillo Tazaki™</v>
      </c>
      <c r="E145" s="120" t="str">
        <f t="array" ref="E145">IF(
UPPER(TRIM(CLEAN($O145)))="ENTREGADO",
IFERROR(
INDEX(REPORTE_DROPI!Y:Y,
MATCH($T145, REPORTE_DROPI!B:B, 0)
),
""
),
""
)
</f>
        <v/>
      </c>
      <c r="F145" s="162">
        <v>2.0</v>
      </c>
      <c r="G145" s="122" t="str">
        <f t="array" ref="G145">IF(
UPPER(TRIM(CLEAN($O145)))="ENTREGADO",
IFERROR(
INDEX(REPORTE_DROPI!R:R,
MATCH($T145, REPORTE_DROPI!B:B, 0)
),
""
),
""
)
</f>
        <v/>
      </c>
      <c r="H145" s="118" t="s">
        <v>3727</v>
      </c>
      <c r="I145" s="118" t="s">
        <v>3728</v>
      </c>
      <c r="J145" s="121" t="str">
        <f t="array" ref="J145">IF(
UPPER(TRIM(CLEAN($O145)))="ENTREGADO",
IFERROR(
INDEX(REPORTE_DROPI!T:T,
MATCH($T145, REPORTE_DROPI!B:B, 0)
),
""
),
""
)
</f>
        <v/>
      </c>
      <c r="K145" s="118" t="str">
        <f t="array" ref="K145">IFERROR(
INDEX(REPORTE_DROPI!S:S,
MATCH($T145, REPORTE_DROPI!B:B, 0)
),
""
)</f>
        <v/>
      </c>
      <c r="L145" s="118" t="str">
        <f>IF(
  O145&lt;&gt;"DEVOLUCION",
  "",
  IF(
    T145="",
    "",
    SUMIF(DEVOLUCION!F:F, T145, DEVOLUCION!D:D)
  )
)
</f>
        <v/>
      </c>
      <c r="M145" s="118" t="s">
        <v>5877</v>
      </c>
      <c r="N145" s="161" t="s">
        <v>6259</v>
      </c>
      <c r="O145" s="118" t="str">
        <f t="array" ref="O145">IFERROR(
VLOOKUP(
TRIM(CLEAN(
INDEX(REPORTE_DROPI!K:K,
MATCH(T145, REPORTE_DROPI!B:B, 0)
))),
{
TRIM(CLEAN(MAPA_ESTADOS!A:A)) ,
MAPA_ESTADOS!B:B
},
2,
FALSE
),
"REVISAR"
)</f>
        <v>CANCELADO</v>
      </c>
      <c r="P145" s="118" t="s">
        <v>6260</v>
      </c>
      <c r="Q145" s="153">
        <f t="shared" si="1"/>
        <v>0</v>
      </c>
      <c r="R145" s="163"/>
      <c r="S145" s="163"/>
      <c r="T145" s="118">
        <f t="array" ref="T145">IFERROR(
INDEX(REPORTE_DROPI!B:B,
MATCH(
CLEAN(TRIM(C145)),
CLEAN(TRIM(REPORTE_DROPI!E:E)),
0
)
),
""
)
</f>
        <v>4418673</v>
      </c>
      <c r="U145" s="163" t="s">
        <v>6261</v>
      </c>
      <c r="V145" s="164"/>
    </row>
    <row r="146" ht="22.5" hidden="1" customHeight="1">
      <c r="A146" s="161">
        <v>145.0</v>
      </c>
      <c r="B146" s="119">
        <v>46059.0</v>
      </c>
      <c r="C146" s="118" t="s">
        <v>6262</v>
      </c>
      <c r="D146" s="118" t="str">
        <f>IFERROR(__xludf.DUMMYFUNCTION("IFERROR( INDEX( FILTER( 'NOMBRE DE PRODUCTOS'!B:B, REGEXMATCH( UPPER( INDEX( REPORTE_DROPI!AC:AC, MATCH(T146, REPORTE_DROPI!B:B, 0) ) ), UPPER('NOMBRE DE PRODUCTOS'!A:A) ) ), 1 ), ""REVISAR"" )"),"Cuchillo Tazaki™")</f>
        <v>Cuchillo Tazaki™</v>
      </c>
      <c r="E146" s="120" t="str">
        <f t="array" ref="E146">IF(
UPPER(TRIM(CLEAN($O146)))="ENTREGADO",
IFERROR(
INDEX(REPORTE_DROPI!Y:Y,
MATCH($T146, REPORTE_DROPI!B:B, 0)
),
""
),
""
)
</f>
        <v/>
      </c>
      <c r="F146" s="162">
        <v>4.0</v>
      </c>
      <c r="G146" s="122" t="str">
        <f t="array" ref="G146">IF(
UPPER(TRIM(CLEAN($O146)))="ENTREGADO",
IFERROR(
INDEX(REPORTE_DROPI!R:R,
MATCH($T146, REPORTE_DROPI!B:B, 0)
),
""
),
""
)
</f>
        <v/>
      </c>
      <c r="H146" s="118" t="s">
        <v>3727</v>
      </c>
      <c r="I146" s="118" t="s">
        <v>3784</v>
      </c>
      <c r="J146" s="121" t="str">
        <f t="array" ref="J146">IF(
UPPER(TRIM(CLEAN($O146)))="ENTREGADO",
IFERROR(
INDEX(REPORTE_DROPI!T:T,
MATCH($T146, REPORTE_DROPI!B:B, 0)
),
""
),
""
)
</f>
        <v/>
      </c>
      <c r="K146" s="118" t="str">
        <f t="array" ref="K146">IFERROR(
INDEX(REPORTE_DROPI!S:S,
MATCH($T146, REPORTE_DROPI!B:B, 0)
),
""
)</f>
        <v/>
      </c>
      <c r="L146" s="118" t="str">
        <f>IF(
  O146&lt;&gt;"DEVOLUCION",
  "",
  IF(
    T146="",
    "",
    SUMIF(DEVOLUCION!F:F, T146, DEVOLUCION!D:D)
  )
)
</f>
        <v/>
      </c>
      <c r="M146" s="118" t="s">
        <v>5877</v>
      </c>
      <c r="N146" s="161" t="s">
        <v>6263</v>
      </c>
      <c r="O146" s="118" t="str">
        <f t="array" ref="O146">IFERROR(
VLOOKUP(
TRIM(CLEAN(
INDEX(REPORTE_DROPI!K:K,
MATCH(T146, REPORTE_DROPI!B:B, 0)
))),
{
TRIM(CLEAN(MAPA_ESTADOS!A:A)) ,
MAPA_ESTADOS!B:B
},
2,
FALSE
),
"REVISAR"
)</f>
        <v>PENDIENTE</v>
      </c>
      <c r="P146" s="118" t="s">
        <v>3689</v>
      </c>
      <c r="Q146" s="153">
        <f t="shared" si="1"/>
        <v>0</v>
      </c>
      <c r="R146" s="163"/>
      <c r="S146" s="163"/>
      <c r="T146" s="118">
        <f t="array" ref="T146">IFERROR(
INDEX(REPORTE_DROPI!B:B,
MATCH(
CLEAN(TRIM(C146)),
CLEAN(TRIM(REPORTE_DROPI!E:E)),
0
)
),
""
)
</f>
        <v>4418670</v>
      </c>
      <c r="U146" s="163" t="s">
        <v>6264</v>
      </c>
      <c r="V146" s="164"/>
    </row>
    <row r="147" ht="22.5" hidden="1" customHeight="1">
      <c r="A147" s="161">
        <v>146.0</v>
      </c>
      <c r="B147" s="119">
        <v>46059.0</v>
      </c>
      <c r="C147" s="118" t="s">
        <v>6265</v>
      </c>
      <c r="D147" s="118" t="str">
        <f>IFERROR(__xludf.DUMMYFUNCTION("IFERROR( INDEX( FILTER( 'NOMBRE DE PRODUCTOS'!B:B, REGEXMATCH( UPPER( INDEX( REPORTE_DROPI!AC:AC, MATCH(T147, REPORTE_DROPI!B:B, 0) ) ), UPPER('NOMBRE DE PRODUCTOS'!A:A) ) ), 1 ), ""REVISAR"" )"),"Cuchillo Tazaki™")</f>
        <v>Cuchillo Tazaki™</v>
      </c>
      <c r="E147" s="120">
        <f t="array" ref="E147">IF(
UPPER(TRIM(CLEAN($O147)))="ENTREGADO",
IFERROR(
INDEX(REPORTE_DROPI!Y:Y,
MATCH($T147, REPORTE_DROPI!B:B, 0)
),
""
),
""
)
</f>
        <v>10.4</v>
      </c>
      <c r="F147" s="162">
        <v>4.0</v>
      </c>
      <c r="G147" s="122">
        <f t="array" ref="G147">IF(
UPPER(TRIM(CLEAN($O147)))="ENTREGADO",
IFERROR(
INDEX(REPORTE_DROPI!R:R,
MATCH($T147, REPORTE_DROPI!B:B, 0)
),
""
),
""
)
</f>
        <v>32</v>
      </c>
      <c r="H147" s="118" t="s">
        <v>3727</v>
      </c>
      <c r="I147" s="118" t="s">
        <v>3778</v>
      </c>
      <c r="J147" s="121">
        <f t="array" ref="J147">IF(
UPPER(TRIM(CLEAN($O147)))="ENTREGADO",
IFERROR(
INDEX(REPORTE_DROPI!T:T,
MATCH($T147, REPORTE_DROPI!B:B, 0)
),
""
),
""
)
</f>
        <v>7.59</v>
      </c>
      <c r="K147" s="118">
        <f t="array" ref="K147">IFERROR(
INDEX(REPORTE_DROPI!S:S,
MATCH($T147, REPORTE_DROPI!B:B, 0)
),
""
)</f>
        <v>14.01</v>
      </c>
      <c r="L147" s="118" t="str">
        <f>IF(
  O147&lt;&gt;"DEVOLUCION",
  "",
  IF(
    T147="",
    "",
    SUMIF(DEVOLUCION!F:F, T147, DEVOLUCION!D:D)
  )
)
</f>
        <v/>
      </c>
      <c r="M147" s="118" t="s">
        <v>5877</v>
      </c>
      <c r="N147" s="161" t="s">
        <v>6266</v>
      </c>
      <c r="O147" s="118" t="str">
        <f t="array" ref="O147">IFERROR(
VLOOKUP(
TRIM(CLEAN(
INDEX(REPORTE_DROPI!K:K,
MATCH(T147, REPORTE_DROPI!B:B, 0)
))),
{
TRIM(CLEAN(MAPA_ESTADOS!A:A)) ,
MAPA_ESTADOS!B:B
},
2,
FALSE
),
"REVISAR"
)</f>
        <v>ENTREGADO</v>
      </c>
      <c r="P147" s="118" t="s">
        <v>5692</v>
      </c>
      <c r="Q147" s="153">
        <f t="shared" si="1"/>
        <v>0</v>
      </c>
      <c r="R147" s="163"/>
      <c r="S147" s="163"/>
      <c r="T147" s="118">
        <f t="array" ref="T147">IFERROR(
INDEX(REPORTE_DROPI!B:B,
MATCH(
CLEAN(TRIM(C147)),
CLEAN(TRIM(REPORTE_DROPI!E:E)),
0
)
),
""
)
</f>
        <v>4418667</v>
      </c>
      <c r="U147" s="163" t="s">
        <v>6267</v>
      </c>
      <c r="V147" s="164"/>
    </row>
    <row r="148" ht="22.5" hidden="1" customHeight="1">
      <c r="A148" s="161">
        <v>147.0</v>
      </c>
      <c r="B148" s="119">
        <v>46059.0</v>
      </c>
      <c r="C148" s="118" t="s">
        <v>6268</v>
      </c>
      <c r="D148" s="118" t="str">
        <f>IFERROR(__xludf.DUMMYFUNCTION("IFERROR( INDEX( FILTER( 'NOMBRE DE PRODUCTOS'!B:B, REGEXMATCH( UPPER( INDEX( REPORTE_DROPI!AC:AC, MATCH(T148, REPORTE_DROPI!B:B, 0) ) ), UPPER('NOMBRE DE PRODUCTOS'!A:A) ) ), 1 ), ""REVISAR"" )"),"FilmPro®")</f>
        <v>FilmPro®</v>
      </c>
      <c r="E148" s="120" t="str">
        <f t="array" ref="E148">IF(
UPPER(TRIM(CLEAN($O148)))="ENTREGADO",
IFERROR(
INDEX(REPORTE_DROPI!Y:Y,
MATCH($T148, REPORTE_DROPI!B:B, 0)
),
""
),
""
)
</f>
        <v/>
      </c>
      <c r="F148" s="162">
        <v>1.0</v>
      </c>
      <c r="G148" s="122" t="str">
        <f t="array" ref="G148">IF(
UPPER(TRIM(CLEAN($O148)))="ENTREGADO",
IFERROR(
INDEX(REPORTE_DROPI!R:R,
MATCH($T148, REPORTE_DROPI!B:B, 0)
),
""
),
""
)
</f>
        <v/>
      </c>
      <c r="H148" s="118" t="s">
        <v>3727</v>
      </c>
      <c r="I148" s="118" t="s">
        <v>3731</v>
      </c>
      <c r="J148" s="121" t="str">
        <f t="array" ref="J148">IF(
UPPER(TRIM(CLEAN($O148)))="ENTREGADO",
IFERROR(
INDEX(REPORTE_DROPI!T:T,
MATCH($T148, REPORTE_DROPI!B:B, 0)
),
""
),
""
)
</f>
        <v/>
      </c>
      <c r="K148" s="118" t="str">
        <f t="array" ref="K148">IFERROR(
INDEX(REPORTE_DROPI!S:S,
MATCH($T148, REPORTE_DROPI!B:B, 0)
),
""
)</f>
        <v/>
      </c>
      <c r="L148" s="118" t="str">
        <f>IF(
  O148&lt;&gt;"DEVOLUCION",
  "",
  IF(
    T148="",
    "",
    SUMIF(DEVOLUCION!F:F, T148, DEVOLUCION!D:D)
  )
)
</f>
        <v/>
      </c>
      <c r="M148" s="118" t="s">
        <v>5877</v>
      </c>
      <c r="N148" s="161" t="s">
        <v>6269</v>
      </c>
      <c r="O148" s="118" t="str">
        <f t="array" ref="O148">IFERROR(
VLOOKUP(
TRIM(CLEAN(
INDEX(REPORTE_DROPI!K:K,
MATCH(T148, REPORTE_DROPI!B:B, 0)
))),
{
TRIM(CLEAN(MAPA_ESTADOS!A:A)) ,
MAPA_ESTADOS!B:B
},
2,
FALSE
),
"REVISAR"
)</f>
        <v>PENDIENTE</v>
      </c>
      <c r="P148" s="118" t="s">
        <v>3689</v>
      </c>
      <c r="Q148" s="153">
        <f t="shared" si="1"/>
        <v>0</v>
      </c>
      <c r="R148" s="163"/>
      <c r="S148" s="163"/>
      <c r="T148" s="118">
        <f t="array" ref="T148">IFERROR(
INDEX(REPORTE_DROPI!B:B,
MATCH(
CLEAN(TRIM(C148)),
CLEAN(TRIM(REPORTE_DROPI!E:E)),
0
)
),
""
)
</f>
        <v>4421453</v>
      </c>
      <c r="U148" s="163" t="s">
        <v>6270</v>
      </c>
      <c r="V148" s="164"/>
    </row>
    <row r="149" ht="22.5" hidden="1" customHeight="1">
      <c r="A149" s="161">
        <v>148.0</v>
      </c>
      <c r="B149" s="119">
        <v>46059.0</v>
      </c>
      <c r="C149" s="118" t="s">
        <v>6271</v>
      </c>
      <c r="D149" s="118" t="str">
        <f>IFERROR(__xludf.DUMMYFUNCTION("IFERROR( INDEX( FILTER( 'NOMBRE DE PRODUCTOS'!B:B, REGEXMATCH( UPPER( INDEX( REPORTE_DROPI!AC:AC, MATCH(T149, REPORTE_DROPI!B:B, 0) ) ), UPPER('NOMBRE DE PRODUCTOS'!A:A) ) ), 1 ), ""REVISAR"" )"),"FilmPro®")</f>
        <v>FilmPro®</v>
      </c>
      <c r="E149" s="120" t="str">
        <f t="array" ref="E149">IF(
UPPER(TRIM(CLEAN($O149)))="ENTREGADO",
IFERROR(
INDEX(REPORTE_DROPI!Y:Y,
MATCH($T149, REPORTE_DROPI!B:B, 0)
),
""
),
""
)
</f>
        <v/>
      </c>
      <c r="F149" s="162">
        <v>2.0</v>
      </c>
      <c r="G149" s="122" t="str">
        <f t="array" ref="G149">IF(
UPPER(TRIM(CLEAN($O149)))="ENTREGADO",
IFERROR(
INDEX(REPORTE_DROPI!R:R,
MATCH($T149, REPORTE_DROPI!B:B, 0)
),
""
),
""
)
</f>
        <v/>
      </c>
      <c r="H149" s="118" t="s">
        <v>3727</v>
      </c>
      <c r="I149" s="118" t="s">
        <v>3731</v>
      </c>
      <c r="J149" s="121" t="str">
        <f t="array" ref="J149">IF(
UPPER(TRIM(CLEAN($O149)))="ENTREGADO",
IFERROR(
INDEX(REPORTE_DROPI!T:T,
MATCH($T149, REPORTE_DROPI!B:B, 0)
),
""
),
""
)
</f>
        <v/>
      </c>
      <c r="K149" s="118" t="str">
        <f t="array" ref="K149">IFERROR(
INDEX(REPORTE_DROPI!S:S,
MATCH($T149, REPORTE_DROPI!B:B, 0)
),
""
)</f>
        <v/>
      </c>
      <c r="L149" s="118" t="str">
        <f>IF(
  O149&lt;&gt;"DEVOLUCION",
  "",
  IF(
    T149="",
    "",
    SUMIF(DEVOLUCION!F:F, T149, DEVOLUCION!D:D)
  )
)
</f>
        <v/>
      </c>
      <c r="M149" s="118" t="s">
        <v>5877</v>
      </c>
      <c r="N149" s="161" t="s">
        <v>6272</v>
      </c>
      <c r="O149" s="118" t="str">
        <f t="array" ref="O149">IFERROR(
VLOOKUP(
TRIM(CLEAN(
INDEX(REPORTE_DROPI!K:K,
MATCH(T149, REPORTE_DROPI!B:B, 0)
))),
{
TRIM(CLEAN(MAPA_ESTADOS!A:A)) ,
MAPA_ESTADOS!B:B
},
2,
FALSE
),
"REVISAR"
)</f>
        <v>PENDIENTE</v>
      </c>
      <c r="P149" s="118" t="s">
        <v>3689</v>
      </c>
      <c r="Q149" s="153">
        <f t="shared" si="1"/>
        <v>0</v>
      </c>
      <c r="R149" s="163"/>
      <c r="S149" s="163"/>
      <c r="T149" s="118">
        <f t="array" ref="T149">IFERROR(
INDEX(REPORTE_DROPI!B:B,
MATCH(
CLEAN(TRIM(C149)),
CLEAN(TRIM(REPORTE_DROPI!E:E)),
0
)
),
""
)
</f>
        <v>4418663</v>
      </c>
      <c r="U149" s="163" t="s">
        <v>6273</v>
      </c>
      <c r="V149" s="164"/>
    </row>
    <row r="150" ht="22.5" hidden="1" customHeight="1">
      <c r="A150" s="161">
        <v>149.0</v>
      </c>
      <c r="B150" s="119">
        <v>46059.0</v>
      </c>
      <c r="C150" s="118" t="s">
        <v>6274</v>
      </c>
      <c r="D150" s="118" t="str">
        <f>IFERROR(__xludf.DUMMYFUNCTION("IFERROR( INDEX( FILTER( 'NOMBRE DE PRODUCTOS'!B:B, REGEXMATCH( UPPER( INDEX( REPORTE_DROPI!AC:AC, MATCH(T150, REPORTE_DROPI!B:B, 0) ) ), UPPER('NOMBRE DE PRODUCTOS'!A:A) ) ), 1 ), ""REVISAR"" )"),"Cuchillo Tazaki™")</f>
        <v>Cuchillo Tazaki™</v>
      </c>
      <c r="E150" s="120">
        <f t="array" ref="E150">IF(
UPPER(TRIM(CLEAN($O150)))="ENTREGADO",
IFERROR(
INDEX(REPORTE_DROPI!Y:Y,
MATCH($T150, REPORTE_DROPI!B:B, 0)
),
""
),
""
)
</f>
        <v>5.2</v>
      </c>
      <c r="F150" s="162">
        <v>2.0</v>
      </c>
      <c r="G150" s="122">
        <f t="array" ref="G150">IF(
UPPER(TRIM(CLEAN($O150)))="ENTREGADO",
IFERROR(
INDEX(REPORTE_DROPI!R:R,
MATCH($T150, REPORTE_DROPI!B:B, 0)
),
""
),
""
)
</f>
        <v>22</v>
      </c>
      <c r="H150" s="118" t="s">
        <v>3727</v>
      </c>
      <c r="I150" s="118" t="s">
        <v>3801</v>
      </c>
      <c r="J150" s="121">
        <f t="array" ref="J150">IF(
UPPER(TRIM(CLEAN($O150)))="ENTREGADO",
IFERROR(
INDEX(REPORTE_DROPI!T:T,
MATCH($T150, REPORTE_DROPI!B:B, 0)
),
""
),
""
)
</f>
        <v>5.84</v>
      </c>
      <c r="K150" s="118">
        <f t="array" ref="K150">IFERROR(
INDEX(REPORTE_DROPI!S:S,
MATCH($T150, REPORTE_DROPI!B:B, 0)
),
""
)</f>
        <v>10.96</v>
      </c>
      <c r="L150" s="118" t="str">
        <f>IF(
  O150&lt;&gt;"DEVOLUCION",
  "",
  IF(
    T150="",
    "",
    SUMIF(DEVOLUCION!F:F, T150, DEVOLUCION!D:D)
  )
)
</f>
        <v/>
      </c>
      <c r="M150" s="118" t="s">
        <v>5877</v>
      </c>
      <c r="N150" s="161" t="s">
        <v>6275</v>
      </c>
      <c r="O150" s="118" t="str">
        <f t="array" ref="O150">IFERROR(
VLOOKUP(
TRIM(CLEAN(
INDEX(REPORTE_DROPI!K:K,
MATCH(T150, REPORTE_DROPI!B:B, 0)
))),
{
TRIM(CLEAN(MAPA_ESTADOS!A:A)) ,
MAPA_ESTADOS!B:B
},
2,
FALSE
),
"REVISAR"
)</f>
        <v>ENTREGADO</v>
      </c>
      <c r="P150" s="118" t="s">
        <v>5692</v>
      </c>
      <c r="Q150" s="153">
        <f t="shared" si="1"/>
        <v>0</v>
      </c>
      <c r="R150" s="163"/>
      <c r="S150" s="163"/>
      <c r="T150" s="118">
        <f t="array" ref="T150">IFERROR(
INDEX(REPORTE_DROPI!B:B,
MATCH(
CLEAN(TRIM(C150)),
CLEAN(TRIM(REPORTE_DROPI!E:E)),
0
)
),
""
)
</f>
        <v>4418661</v>
      </c>
      <c r="U150" s="163" t="s">
        <v>6276</v>
      </c>
      <c r="V150" s="164"/>
    </row>
    <row r="151" ht="22.5" hidden="1" customHeight="1">
      <c r="A151" s="161">
        <v>150.0</v>
      </c>
      <c r="B151" s="119">
        <v>46059.0</v>
      </c>
      <c r="C151" s="118" t="s">
        <v>6277</v>
      </c>
      <c r="D151" s="118" t="str">
        <f>IFERROR(__xludf.DUMMYFUNCTION("IFERROR( INDEX( FILTER( 'NOMBRE DE PRODUCTOS'!B:B, REGEXMATCH( UPPER( INDEX( REPORTE_DROPI!AC:AC, MATCH(T151, REPORTE_DROPI!B:B, 0) ) ), UPPER('NOMBRE DE PRODUCTOS'!A:A) ) ), 1 ), ""REVISAR"" )"),"Cuchillo Tazaki™")</f>
        <v>Cuchillo Tazaki™</v>
      </c>
      <c r="E151" s="120" t="str">
        <f t="array" ref="E151">IF(
UPPER(TRIM(CLEAN($O151)))="ENTREGADO",
IFERROR(
INDEX(REPORTE_DROPI!Y:Y,
MATCH($T151, REPORTE_DROPI!B:B, 0)
),
""
),
""
)
</f>
        <v/>
      </c>
      <c r="F151" s="162">
        <v>2.0</v>
      </c>
      <c r="G151" s="122" t="str">
        <f t="array" ref="G151">IF(
UPPER(TRIM(CLEAN($O151)))="ENTREGADO",
IFERROR(
INDEX(REPORTE_DROPI!R:R,
MATCH($T151, REPORTE_DROPI!B:B, 0)
),
""
),
""
)
</f>
        <v/>
      </c>
      <c r="H151" s="118" t="s">
        <v>3727</v>
      </c>
      <c r="I151" s="118" t="s">
        <v>6278</v>
      </c>
      <c r="J151" s="121" t="str">
        <f t="array" ref="J151">IF(
UPPER(TRIM(CLEAN($O151)))="ENTREGADO",
IFERROR(
INDEX(REPORTE_DROPI!T:T,
MATCH($T151, REPORTE_DROPI!B:B, 0)
),
""
),
""
)
</f>
        <v/>
      </c>
      <c r="K151" s="118" t="str">
        <f t="array" ref="K151">IFERROR(
INDEX(REPORTE_DROPI!S:S,
MATCH($T151, REPORTE_DROPI!B:B, 0)
),
""
)</f>
        <v/>
      </c>
      <c r="L151" s="118" t="str">
        <f>IF(
  O151&lt;&gt;"DEVOLUCION",
  "",
  IF(
    T151="",
    "",
    SUMIF(DEVOLUCION!F:F, T151, DEVOLUCION!D:D)
  )
)
</f>
        <v/>
      </c>
      <c r="M151" s="118" t="s">
        <v>5877</v>
      </c>
      <c r="N151" s="161" t="s">
        <v>6279</v>
      </c>
      <c r="O151" s="118" t="str">
        <f t="array" ref="O151">IFERROR(
VLOOKUP(
TRIM(CLEAN(
INDEX(REPORTE_DROPI!K:K,
MATCH(T151, REPORTE_DROPI!B:B, 0)
))),
{
TRIM(CLEAN(MAPA_ESTADOS!A:A)) ,
MAPA_ESTADOS!B:B
},
2,
FALSE
),
"REVISAR"
)</f>
        <v>PENDIENTE</v>
      </c>
      <c r="P151" s="118" t="s">
        <v>4331</v>
      </c>
      <c r="Q151" s="153">
        <f t="shared" si="1"/>
        <v>0</v>
      </c>
      <c r="R151" s="163"/>
      <c r="S151" s="163"/>
      <c r="T151" s="118">
        <f t="array" ref="T151">IFERROR(
INDEX(REPORTE_DROPI!B:B,
MATCH(
CLEAN(TRIM(C151)),
CLEAN(TRIM(REPORTE_DROPI!E:E)),
0
)
),
""
)
</f>
        <v>4418710</v>
      </c>
      <c r="U151" s="163"/>
      <c r="V151" s="164"/>
    </row>
    <row r="152" ht="22.5" hidden="1" customHeight="1">
      <c r="A152" s="161">
        <v>151.0</v>
      </c>
      <c r="B152" s="119">
        <v>46059.0</v>
      </c>
      <c r="C152" s="118" t="s">
        <v>6280</v>
      </c>
      <c r="D152" s="118" t="str">
        <f>IFERROR(__xludf.DUMMYFUNCTION("IFERROR( INDEX( FILTER( 'NOMBRE DE PRODUCTOS'!B:B, REGEXMATCH( UPPER( INDEX( REPORTE_DROPI!AC:AC, MATCH(T152, REPORTE_DROPI!B:B, 0) ) ), UPPER('NOMBRE DE PRODUCTOS'!A:A) ) ), 1 ), ""REVISAR"" )"),"FilmPro®")</f>
        <v>FilmPro®</v>
      </c>
      <c r="E152" s="120">
        <f t="array" ref="E152">IF(
UPPER(TRIM(CLEAN($O152)))="ENTREGADO",
IFERROR(
INDEX(REPORTE_DROPI!Y:Y,
MATCH($T152, REPORTE_DROPI!B:B, 0)
),
""
),
""
)
</f>
        <v>2.2</v>
      </c>
      <c r="F152" s="162">
        <v>1.0</v>
      </c>
      <c r="G152" s="122">
        <f t="array" ref="G152">IF(
UPPER(TRIM(CLEAN($O152)))="ENTREGADO",
IFERROR(
INDEX(REPORTE_DROPI!R:R,
MATCH($T152, REPORTE_DROPI!B:B, 0)
),
""
),
""
)
</f>
        <v>20</v>
      </c>
      <c r="H152" s="118" t="s">
        <v>3727</v>
      </c>
      <c r="I152" s="118" t="s">
        <v>3731</v>
      </c>
      <c r="J152" s="121">
        <f t="array" ref="J152">IF(
UPPER(TRIM(CLEAN($O152)))="ENTREGADO",
IFERROR(
INDEX(REPORTE_DROPI!T:T,
MATCH($T152, REPORTE_DROPI!B:B, 0)
),
""
),
""
)
</f>
        <v>5.76</v>
      </c>
      <c r="K152" s="118">
        <f t="array" ref="K152">IFERROR(
INDEX(REPORTE_DROPI!S:S,
MATCH($T152, REPORTE_DROPI!B:B, 0)
),
""
)</f>
        <v>12.04</v>
      </c>
      <c r="L152" s="118" t="str">
        <f>IF(
  O152&lt;&gt;"DEVOLUCION",
  "",
  IF(
    T152="",
    "",
    SUMIF(DEVOLUCION!F:F, T152, DEVOLUCION!D:D)
  )
)
</f>
        <v/>
      </c>
      <c r="M152" s="118" t="s">
        <v>5877</v>
      </c>
      <c r="N152" s="161" t="s">
        <v>6281</v>
      </c>
      <c r="O152" s="118" t="str">
        <f t="array" ref="O152">IFERROR(
VLOOKUP(
TRIM(CLEAN(
INDEX(REPORTE_DROPI!K:K,
MATCH(T152, REPORTE_DROPI!B:B, 0)
))),
{
TRIM(CLEAN(MAPA_ESTADOS!A:A)) ,
MAPA_ESTADOS!B:B
},
2,
FALSE
),
"REVISAR"
)</f>
        <v>ENTREGADO</v>
      </c>
      <c r="P152" s="118" t="s">
        <v>5692</v>
      </c>
      <c r="Q152" s="153">
        <f t="shared" si="1"/>
        <v>0</v>
      </c>
      <c r="R152" s="163"/>
      <c r="S152" s="163"/>
      <c r="T152" s="118">
        <f t="array" ref="T152">IFERROR(
INDEX(REPORTE_DROPI!B:B,
MATCH(
CLEAN(TRIM(C152)),
CLEAN(TRIM(REPORTE_DROPI!E:E)),
0
)
),
""
)
</f>
        <v>4418656</v>
      </c>
      <c r="U152" s="163" t="s">
        <v>6282</v>
      </c>
      <c r="V152" s="164"/>
    </row>
    <row r="153" ht="22.5" hidden="1" customHeight="1">
      <c r="A153" s="161">
        <v>152.0</v>
      </c>
      <c r="B153" s="119">
        <v>46059.0</v>
      </c>
      <c r="C153" s="118" t="s">
        <v>6283</v>
      </c>
      <c r="D153" s="118" t="str">
        <f>IFERROR(__xludf.DUMMYFUNCTION("IFERROR( INDEX( FILTER( 'NOMBRE DE PRODUCTOS'!B:B, REGEXMATCH( UPPER( INDEX( REPORTE_DROPI!AC:AC, MATCH(T153, REPORTE_DROPI!B:B, 0) ) ), UPPER('NOMBRE DE PRODUCTOS'!A:A) ) ), 1 ), ""REVISAR"" )"),"FilmPro®")</f>
        <v>FilmPro®</v>
      </c>
      <c r="E153" s="120">
        <f t="array" ref="E153">IF(
UPPER(TRIM(CLEAN($O153)))="ENTREGADO",
IFERROR(
INDEX(REPORTE_DROPI!Y:Y,
MATCH($T153, REPORTE_DROPI!B:B, 0)
),
""
),
""
)
</f>
        <v>2.2</v>
      </c>
      <c r="F153" s="162">
        <v>1.0</v>
      </c>
      <c r="G153" s="122">
        <f t="array" ref="G153">IF(
UPPER(TRIM(CLEAN($O153)))="ENTREGADO",
IFERROR(
INDEX(REPORTE_DROPI!R:R,
MATCH($T153, REPORTE_DROPI!B:B, 0)
),
""
),
""
)
</f>
        <v>20</v>
      </c>
      <c r="H153" s="118" t="s">
        <v>3727</v>
      </c>
      <c r="I153" s="118" t="s">
        <v>3740</v>
      </c>
      <c r="J153" s="121">
        <f t="array" ref="J153">IF(
UPPER(TRIM(CLEAN($O153)))="ENTREGADO",
IFERROR(
INDEX(REPORTE_DROPI!T:T,
MATCH($T153, REPORTE_DROPI!B:B, 0)
),
""
),
""
)
</f>
        <v>4.15</v>
      </c>
      <c r="K153" s="118">
        <f t="array" ref="K153">IFERROR(
INDEX(REPORTE_DROPI!S:S,
MATCH($T153, REPORTE_DROPI!B:B, 0)
),
""
)</f>
        <v>13.65</v>
      </c>
      <c r="L153" s="118" t="str">
        <f>IF(
  O153&lt;&gt;"DEVOLUCION",
  "",
  IF(
    T153="",
    "",
    SUMIF(DEVOLUCION!F:F, T153, DEVOLUCION!D:D)
  )
)
</f>
        <v/>
      </c>
      <c r="M153" s="118" t="s">
        <v>5877</v>
      </c>
      <c r="N153" s="161" t="s">
        <v>6284</v>
      </c>
      <c r="O153" s="118" t="str">
        <f t="array" ref="O153">IFERROR(
VLOOKUP(
TRIM(CLEAN(
INDEX(REPORTE_DROPI!K:K,
MATCH(T153, REPORTE_DROPI!B:B, 0)
))),
{
TRIM(CLEAN(MAPA_ESTADOS!A:A)) ,
MAPA_ESTADOS!B:B
},
2,
FALSE
),
"REVISAR"
)</f>
        <v>ENTREGADO</v>
      </c>
      <c r="P153" s="118" t="s">
        <v>5692</v>
      </c>
      <c r="Q153" s="153">
        <f t="shared" si="1"/>
        <v>0</v>
      </c>
      <c r="R153" s="163"/>
      <c r="S153" s="163"/>
      <c r="T153" s="118">
        <f t="array" ref="T153">IFERROR(
INDEX(REPORTE_DROPI!B:B,
MATCH(
CLEAN(TRIM(C153)),
CLEAN(TRIM(REPORTE_DROPI!E:E)),
0
)
),
""
)
</f>
        <v>4418651</v>
      </c>
      <c r="U153" s="163">
        <v>1.57100112174E11</v>
      </c>
      <c r="V153" s="164"/>
    </row>
    <row r="154" ht="22.5" hidden="1" customHeight="1">
      <c r="A154" s="161">
        <v>153.0</v>
      </c>
      <c r="B154" s="119">
        <v>46059.0</v>
      </c>
      <c r="C154" s="118" t="s">
        <v>6285</v>
      </c>
      <c r="D154" s="118" t="str">
        <f>IFERROR(__xludf.DUMMYFUNCTION("IFERROR( INDEX( FILTER( 'NOMBRE DE PRODUCTOS'!B:B, REGEXMATCH( UPPER( INDEX( REPORTE_DROPI!AC:AC, MATCH(T154, REPORTE_DROPI!B:B, 0) ) ), UPPER('NOMBRE DE PRODUCTOS'!A:A) ) ), 1 ), ""REVISAR"" )"),"FilmPro®")</f>
        <v>FilmPro®</v>
      </c>
      <c r="E154" s="120">
        <f t="array" ref="E154">IF(
UPPER(TRIM(CLEAN($O154)))="ENTREGADO",
IFERROR(
INDEX(REPORTE_DROPI!Y:Y,
MATCH($T154, REPORTE_DROPI!B:B, 0)
),
""
),
""
)
</f>
        <v>2.2</v>
      </c>
      <c r="F154" s="162">
        <v>1.0</v>
      </c>
      <c r="G154" s="122">
        <f t="array" ref="G154">IF(
UPPER(TRIM(CLEAN($O154)))="ENTREGADO",
IFERROR(
INDEX(REPORTE_DROPI!R:R,
MATCH($T154, REPORTE_DROPI!B:B, 0)
),
""
),
""
)
</f>
        <v>20</v>
      </c>
      <c r="H154" s="118" t="s">
        <v>3727</v>
      </c>
      <c r="I154" s="118" t="s">
        <v>3740</v>
      </c>
      <c r="J154" s="121">
        <f t="array" ref="J154">IF(
UPPER(TRIM(CLEAN($O154)))="ENTREGADO",
IFERROR(
INDEX(REPORTE_DROPI!T:T,
MATCH($T154, REPORTE_DROPI!B:B, 0)
),
""
),
""
)
</f>
        <v>4.15</v>
      </c>
      <c r="K154" s="118">
        <f t="array" ref="K154">IFERROR(
INDEX(REPORTE_DROPI!S:S,
MATCH($T154, REPORTE_DROPI!B:B, 0)
),
""
)</f>
        <v>13.65</v>
      </c>
      <c r="L154" s="118" t="str">
        <f>IF(
  O154&lt;&gt;"DEVOLUCION",
  "",
  IF(
    T154="",
    "",
    SUMIF(DEVOLUCION!F:F, T154, DEVOLUCION!D:D)
  )
)
</f>
        <v/>
      </c>
      <c r="M154" s="118" t="s">
        <v>5877</v>
      </c>
      <c r="N154" s="161" t="s">
        <v>6286</v>
      </c>
      <c r="O154" s="118" t="str">
        <f t="array" ref="O154">IFERROR(
VLOOKUP(
TRIM(CLEAN(
INDEX(REPORTE_DROPI!K:K,
MATCH(T154, REPORTE_DROPI!B:B, 0)
))),
{
TRIM(CLEAN(MAPA_ESTADOS!A:A)) ,
MAPA_ESTADOS!B:B
},
2,
FALSE
),
"REVISAR"
)</f>
        <v>ENTREGADO</v>
      </c>
      <c r="P154" s="118" t="s">
        <v>5692</v>
      </c>
      <c r="Q154" s="153">
        <f t="shared" si="1"/>
        <v>0</v>
      </c>
      <c r="R154" s="163"/>
      <c r="S154" s="163"/>
      <c r="T154" s="118">
        <f t="array" ref="T154">IFERROR(
INDEX(REPORTE_DROPI!B:B,
MATCH(
CLEAN(TRIM(C154)),
CLEAN(TRIM(REPORTE_DROPI!E:E)),
0
)
),
""
)
</f>
        <v>4418649</v>
      </c>
      <c r="U154" s="163" t="s">
        <v>6287</v>
      </c>
      <c r="V154" s="164"/>
    </row>
    <row r="155" ht="22.5" hidden="1" customHeight="1">
      <c r="A155" s="161">
        <v>154.0</v>
      </c>
      <c r="B155" s="119">
        <v>46059.0</v>
      </c>
      <c r="C155" s="118" t="s">
        <v>6288</v>
      </c>
      <c r="D155" s="118" t="str">
        <f>IFERROR(__xludf.DUMMYFUNCTION("IFERROR( INDEX( FILTER( 'NOMBRE DE PRODUCTOS'!B:B, REGEXMATCH( UPPER( INDEX( REPORTE_DROPI!AC:AC, MATCH(T155, REPORTE_DROPI!B:B, 0) ) ), UPPER('NOMBRE DE PRODUCTOS'!A:A) ) ), 1 ), ""REVISAR"" )"),"Cuchillo Tazaki™")</f>
        <v>Cuchillo Tazaki™</v>
      </c>
      <c r="E155" s="120">
        <f t="array" ref="E155">IF(
UPPER(TRIM(CLEAN($O155)))="ENTREGADO",
IFERROR(
INDEX(REPORTE_DROPI!Y:Y,
MATCH($T155, REPORTE_DROPI!B:B, 0)
),
""
),
""
)
</f>
        <v>7.8</v>
      </c>
      <c r="F155" s="162">
        <v>3.0</v>
      </c>
      <c r="G155" s="122">
        <f t="array" ref="G155">IF(
UPPER(TRIM(CLEAN($O155)))="ENTREGADO",
IFERROR(
INDEX(REPORTE_DROPI!R:R,
MATCH($T155, REPORTE_DROPI!B:B, 0)
),
""
),
""
)
</f>
        <v>27</v>
      </c>
      <c r="H155" s="118" t="s">
        <v>3727</v>
      </c>
      <c r="I155" s="118" t="s">
        <v>3731</v>
      </c>
      <c r="J155" s="121">
        <f t="array" ref="J155">IF(
UPPER(TRIM(CLEAN($O155)))="ENTREGADO",
IFERROR(
INDEX(REPORTE_DROPI!T:T,
MATCH($T155, REPORTE_DROPI!B:B, 0)
),
""
),
""
)
</f>
        <v>5.91</v>
      </c>
      <c r="K155" s="118">
        <f t="array" ref="K155">IFERROR(
INDEX(REPORTE_DROPI!S:S,
MATCH($T155, REPORTE_DROPI!B:B, 0)
),
""
)</f>
        <v>13.29</v>
      </c>
      <c r="L155" s="118" t="str">
        <f>IF(
  O155&lt;&gt;"DEVOLUCION",
  "",
  IF(
    T155="",
    "",
    SUMIF(DEVOLUCION!F:F, T155, DEVOLUCION!D:D)
  )
)
</f>
        <v/>
      </c>
      <c r="M155" s="118" t="s">
        <v>5877</v>
      </c>
      <c r="N155" s="161" t="s">
        <v>6289</v>
      </c>
      <c r="O155" s="118" t="str">
        <f t="array" ref="O155">IFERROR(
VLOOKUP(
TRIM(CLEAN(
INDEX(REPORTE_DROPI!K:K,
MATCH(T155, REPORTE_DROPI!B:B, 0)
))),
{
TRIM(CLEAN(MAPA_ESTADOS!A:A)) ,
MAPA_ESTADOS!B:B
},
2,
FALSE
),
"REVISAR"
)</f>
        <v>ENTREGADO</v>
      </c>
      <c r="P155" s="118" t="s">
        <v>5692</v>
      </c>
      <c r="Q155" s="153">
        <f t="shared" si="1"/>
        <v>0</v>
      </c>
      <c r="R155" s="163"/>
      <c r="S155" s="163"/>
      <c r="T155" s="118">
        <f t="array" ref="T155">IFERROR(
INDEX(REPORTE_DROPI!B:B,
MATCH(
CLEAN(TRIM(C155)),
CLEAN(TRIM(REPORTE_DROPI!E:E)),
0
)
),
""
)
</f>
        <v>4422094</v>
      </c>
      <c r="U155" s="163"/>
      <c r="V155" s="164"/>
    </row>
    <row r="156" ht="22.5" hidden="1" customHeight="1">
      <c r="A156" s="161">
        <v>155.0</v>
      </c>
      <c r="B156" s="119">
        <v>46059.0</v>
      </c>
      <c r="C156" s="118" t="s">
        <v>6290</v>
      </c>
      <c r="D156" s="118" t="str">
        <f>IFERROR(__xludf.DUMMYFUNCTION("IFERROR( INDEX( FILTER( 'NOMBRE DE PRODUCTOS'!B:B, REGEXMATCH( UPPER( INDEX( REPORTE_DROPI!AC:AC, MATCH(T156, REPORTE_DROPI!B:B, 0) ) ), UPPER('NOMBRE DE PRODUCTOS'!A:A) ) ), 1 ), ""REVISAR"" )"),"Cuchillo Tazaki™")</f>
        <v>Cuchillo Tazaki™</v>
      </c>
      <c r="E156" s="120">
        <f t="array" ref="E156">IF(
UPPER(TRIM(CLEAN($O156)))="ENTREGADO",
IFERROR(
INDEX(REPORTE_DROPI!Y:Y,
MATCH($T156, REPORTE_DROPI!B:B, 0)
),
""
),
""
)
</f>
        <v>5.2</v>
      </c>
      <c r="F156" s="162">
        <v>2.0</v>
      </c>
      <c r="G156" s="122">
        <f t="array" ref="G156">IF(
UPPER(TRIM(CLEAN($O156)))="ENTREGADO",
IFERROR(
INDEX(REPORTE_DROPI!R:R,
MATCH($T156, REPORTE_DROPI!B:B, 0)
),
""
),
""
)
</f>
        <v>22</v>
      </c>
      <c r="H156" s="118" t="s">
        <v>3727</v>
      </c>
      <c r="I156" s="118" t="s">
        <v>3778</v>
      </c>
      <c r="J156" s="121">
        <f t="array" ref="J156">IF(
UPPER(TRIM(CLEAN($O156)))="ENTREGADO",
IFERROR(
INDEX(REPORTE_DROPI!T:T,
MATCH($T156, REPORTE_DROPI!B:B, 0)
),
""
),
""
)
</f>
        <v>5.84</v>
      </c>
      <c r="K156" s="118">
        <f t="array" ref="K156">IFERROR(
INDEX(REPORTE_DROPI!S:S,
MATCH($T156, REPORTE_DROPI!B:B, 0)
),
""
)</f>
        <v>10.96</v>
      </c>
      <c r="L156" s="118" t="str">
        <f>IF(
  O156&lt;&gt;"DEVOLUCION",
  "",
  IF(
    T156="",
    "",
    SUMIF(DEVOLUCION!F:F, T156, DEVOLUCION!D:D)
  )
)
</f>
        <v/>
      </c>
      <c r="M156" s="118" t="s">
        <v>5877</v>
      </c>
      <c r="N156" s="161" t="s">
        <v>6291</v>
      </c>
      <c r="O156" s="118" t="str">
        <f t="array" ref="O156">IFERROR(
VLOOKUP(
TRIM(CLEAN(
INDEX(REPORTE_DROPI!K:K,
MATCH(T156, REPORTE_DROPI!B:B, 0)
))),
{
TRIM(CLEAN(MAPA_ESTADOS!A:A)) ,
MAPA_ESTADOS!B:B
},
2,
FALSE
),
"REVISAR"
)</f>
        <v>ENTREGADO</v>
      </c>
      <c r="P156" s="118" t="s">
        <v>5692</v>
      </c>
      <c r="Q156" s="153">
        <f t="shared" si="1"/>
        <v>0</v>
      </c>
      <c r="R156" s="163"/>
      <c r="S156" s="163"/>
      <c r="T156" s="118">
        <f t="array" ref="T156">IFERROR(
INDEX(REPORTE_DROPI!B:B,
MATCH(
CLEAN(TRIM(C156)),
CLEAN(TRIM(REPORTE_DROPI!E:E)),
0
)
),
""
)
</f>
        <v>4418640</v>
      </c>
      <c r="U156" s="163" t="s">
        <v>6292</v>
      </c>
      <c r="V156" s="164"/>
    </row>
    <row r="157" ht="22.5" hidden="1" customHeight="1">
      <c r="A157" s="161">
        <v>156.0</v>
      </c>
      <c r="B157" s="119">
        <v>46059.0</v>
      </c>
      <c r="C157" s="118" t="s">
        <v>6293</v>
      </c>
      <c r="D157" s="118" t="str">
        <f>IFERROR(__xludf.DUMMYFUNCTION("IFERROR( INDEX( FILTER( 'NOMBRE DE PRODUCTOS'!B:B, REGEXMATCH( UPPER( INDEX( REPORTE_DROPI!AC:AC, MATCH(T157, REPORTE_DROPI!B:B, 0) ) ), UPPER('NOMBRE DE PRODUCTOS'!A:A) ) ), 1 ), ""REVISAR"" )"),"FilmPro®")</f>
        <v>FilmPro®</v>
      </c>
      <c r="E157" s="120" t="str">
        <f t="array" ref="E157">IF(
UPPER(TRIM(CLEAN($O157)))="ENTREGADO",
IFERROR(
INDEX(REPORTE_DROPI!Y:Y,
MATCH($T157, REPORTE_DROPI!B:B, 0)
),
""
),
""
)
</f>
        <v/>
      </c>
      <c r="F157" s="162">
        <v>2.0</v>
      </c>
      <c r="G157" s="122" t="str">
        <f t="array" ref="G157">IF(
UPPER(TRIM(CLEAN($O157)))="ENTREGADO",
IFERROR(
INDEX(REPORTE_DROPI!R:R,
MATCH($T157, REPORTE_DROPI!B:B, 0)
),
""
),
""
)
</f>
        <v/>
      </c>
      <c r="H157" s="118" t="s">
        <v>3727</v>
      </c>
      <c r="I157" s="118" t="s">
        <v>3731</v>
      </c>
      <c r="J157" s="121" t="str">
        <f t="array" ref="J157">IF(
UPPER(TRIM(CLEAN($O157)))="ENTREGADO",
IFERROR(
INDEX(REPORTE_DROPI!T:T,
MATCH($T157, REPORTE_DROPI!B:B, 0)
),
""
),
""
)
</f>
        <v/>
      </c>
      <c r="K157" s="118" t="str">
        <f t="array" ref="K157">IFERROR(
INDEX(REPORTE_DROPI!S:S,
MATCH($T157, REPORTE_DROPI!B:B, 0)
),
""
)</f>
        <v/>
      </c>
      <c r="L157" s="118" t="str">
        <f>IF(
  O157&lt;&gt;"DEVOLUCION",
  "",
  IF(
    T157="",
    "",
    SUMIF(DEVOLUCION!F:F, T157, DEVOLUCION!D:D)
  )
)
</f>
        <v/>
      </c>
      <c r="M157" s="118" t="s">
        <v>5877</v>
      </c>
      <c r="N157" s="161" t="s">
        <v>6294</v>
      </c>
      <c r="O157" s="118" t="str">
        <f t="array" ref="O157">IFERROR(
VLOOKUP(
TRIM(CLEAN(
INDEX(REPORTE_DROPI!K:K,
MATCH(T157, REPORTE_DROPI!B:B, 0)
))),
{
TRIM(CLEAN(MAPA_ESTADOS!A:A)) ,
MAPA_ESTADOS!B:B
},
2,
FALSE
),
"REVISAR"
)</f>
        <v>PENDIENTE</v>
      </c>
      <c r="P157" s="165" t="s">
        <v>6295</v>
      </c>
      <c r="Q157" s="153">
        <f t="shared" si="1"/>
        <v>0</v>
      </c>
      <c r="R157" s="163"/>
      <c r="S157" s="163"/>
      <c r="T157" s="118">
        <f t="array" ref="T157">IFERROR(
INDEX(REPORTE_DROPI!B:B,
MATCH(
CLEAN(TRIM(C157)),
CLEAN(TRIM(REPORTE_DROPI!E:E)),
0
)
),
""
)
</f>
        <v>4418635</v>
      </c>
      <c r="U157" s="163" t="s">
        <v>6296</v>
      </c>
      <c r="V157" s="164"/>
    </row>
    <row r="158" ht="22.5" hidden="1" customHeight="1">
      <c r="A158" s="161">
        <v>157.0</v>
      </c>
      <c r="B158" s="119">
        <v>46059.0</v>
      </c>
      <c r="C158" s="118" t="s">
        <v>6297</v>
      </c>
      <c r="D158" s="118" t="str">
        <f>IFERROR(__xludf.DUMMYFUNCTION("IFERROR( INDEX( FILTER( 'NOMBRE DE PRODUCTOS'!B:B, REGEXMATCH( UPPER( INDEX( REPORTE_DROPI!AC:AC, MATCH(T158, REPORTE_DROPI!B:B, 0) ) ), UPPER('NOMBRE DE PRODUCTOS'!A:A) ) ), 1 ), ""REVISAR"" )"),"Cuchillo Tazaki™")</f>
        <v>Cuchillo Tazaki™</v>
      </c>
      <c r="E158" s="120">
        <f t="array" ref="E158">IF(
UPPER(TRIM(CLEAN($O158)))="ENTREGADO",
IFERROR(
INDEX(REPORTE_DROPI!Y:Y,
MATCH($T158, REPORTE_DROPI!B:B, 0)
),
""
),
""
)
</f>
        <v>5.2</v>
      </c>
      <c r="F158" s="162">
        <v>2.0</v>
      </c>
      <c r="G158" s="122">
        <f t="array" ref="G158">IF(
UPPER(TRIM(CLEAN($O158)))="ENTREGADO",
IFERROR(
INDEX(REPORTE_DROPI!R:R,
MATCH($T158, REPORTE_DROPI!B:B, 0)
),
""
),
""
)
</f>
        <v>22</v>
      </c>
      <c r="H158" s="118" t="s">
        <v>3727</v>
      </c>
      <c r="I158" s="118" t="s">
        <v>3951</v>
      </c>
      <c r="J158" s="121">
        <f t="array" ref="J158">IF(
UPPER(TRIM(CLEAN($O158)))="ENTREGADO",
IFERROR(
INDEX(REPORTE_DROPI!T:T,
MATCH($T158, REPORTE_DROPI!B:B, 0)
),
""
),
""
)
</f>
        <v>5.84</v>
      </c>
      <c r="K158" s="118">
        <f t="array" ref="K158">IFERROR(
INDEX(REPORTE_DROPI!S:S,
MATCH($T158, REPORTE_DROPI!B:B, 0)
),
""
)</f>
        <v>10.96</v>
      </c>
      <c r="L158" s="118" t="str">
        <f>IF(
  O158&lt;&gt;"DEVOLUCION",
  "",
  IF(
    T158="",
    "",
    SUMIF(DEVOLUCION!F:F, T158, DEVOLUCION!D:D)
  )
)
</f>
        <v/>
      </c>
      <c r="M158" s="118" t="s">
        <v>5877</v>
      </c>
      <c r="N158" s="161" t="s">
        <v>6298</v>
      </c>
      <c r="O158" s="118" t="str">
        <f t="array" ref="O158">IFERROR(
VLOOKUP(
TRIM(CLEAN(
INDEX(REPORTE_DROPI!K:K,
MATCH(T158, REPORTE_DROPI!B:B, 0)
))),
{
TRIM(CLEAN(MAPA_ESTADOS!A:A)) ,
MAPA_ESTADOS!B:B
},
2,
FALSE
),
"REVISAR"
)</f>
        <v>ENTREGADO</v>
      </c>
      <c r="P158" s="118" t="s">
        <v>5909</v>
      </c>
      <c r="Q158" s="153">
        <f t="shared" si="1"/>
        <v>0</v>
      </c>
      <c r="R158" s="163"/>
      <c r="S158" s="163"/>
      <c r="T158" s="118">
        <f t="array" ref="T158">IFERROR(
INDEX(REPORTE_DROPI!B:B,
MATCH(
CLEAN(TRIM(C158)),
CLEAN(TRIM(REPORTE_DROPI!E:E)),
0
)
),
""
)
</f>
        <v>4421755</v>
      </c>
      <c r="U158" s="163" t="s">
        <v>6299</v>
      </c>
      <c r="V158" s="164"/>
    </row>
    <row r="159" ht="22.5" hidden="1" customHeight="1">
      <c r="A159" s="161">
        <v>158.0</v>
      </c>
      <c r="B159" s="119">
        <v>46059.0</v>
      </c>
      <c r="C159" s="118" t="s">
        <v>6300</v>
      </c>
      <c r="D159" s="118" t="str">
        <f>IFERROR(__xludf.DUMMYFUNCTION("IFERROR( INDEX( FILTER( 'NOMBRE DE PRODUCTOS'!B:B, REGEXMATCH( UPPER( INDEX( REPORTE_DROPI!AC:AC, MATCH(T159, REPORTE_DROPI!B:B, 0) ) ), UPPER('NOMBRE DE PRODUCTOS'!A:A) ) ), 1 ), ""REVISAR"" )"),"FilmPro®")</f>
        <v>FilmPro®</v>
      </c>
      <c r="E159" s="120">
        <f t="array" ref="E159">IF(
UPPER(TRIM(CLEAN($O159)))="ENTREGADO",
IFERROR(
INDEX(REPORTE_DROPI!Y:Y,
MATCH($T159, REPORTE_DROPI!B:B, 0)
),
""
),
""
)
</f>
        <v>4.4</v>
      </c>
      <c r="F159" s="162">
        <v>2.0</v>
      </c>
      <c r="G159" s="122">
        <f t="array" ref="G159">IF(
UPPER(TRIM(CLEAN($O159)))="ENTREGADO",
IFERROR(
INDEX(REPORTE_DROPI!R:R,
MATCH($T159, REPORTE_DROPI!B:B, 0)
),
""
),
""
)
</f>
        <v>25</v>
      </c>
      <c r="H159" s="118" t="s">
        <v>3727</v>
      </c>
      <c r="I159" s="118" t="s">
        <v>3759</v>
      </c>
      <c r="J159" s="121">
        <f t="array" ref="J159">IF(
UPPER(TRIM(CLEAN($O159)))="ENTREGADO",
IFERROR(
INDEX(REPORTE_DROPI!T:T,
MATCH($T159, REPORTE_DROPI!B:B, 0)
),
""
),
""
)
</f>
        <v>5.96</v>
      </c>
      <c r="K159" s="118">
        <f t="array" ref="K159">IFERROR(
INDEX(REPORTE_DROPI!S:S,
MATCH($T159, REPORTE_DROPI!B:B, 0)
),
""
)</f>
        <v>14.64</v>
      </c>
      <c r="L159" s="118" t="str">
        <f>IF(
  O159&lt;&gt;"DEVOLUCION",
  "",
  IF(
    T159="",
    "",
    SUMIF(DEVOLUCION!F:F, T159, DEVOLUCION!D:D)
  )
)
</f>
        <v/>
      </c>
      <c r="M159" s="118" t="s">
        <v>5877</v>
      </c>
      <c r="N159" s="161" t="s">
        <v>6301</v>
      </c>
      <c r="O159" s="118" t="str">
        <f t="array" ref="O159">IFERROR(
VLOOKUP(
TRIM(CLEAN(
INDEX(REPORTE_DROPI!K:K,
MATCH(T159, REPORTE_DROPI!B:B, 0)
))),
{
TRIM(CLEAN(MAPA_ESTADOS!A:A)) ,
MAPA_ESTADOS!B:B
},
2,
FALSE
),
"REVISAR"
)</f>
        <v>ENTREGADO</v>
      </c>
      <c r="P159" s="118" t="s">
        <v>5692</v>
      </c>
      <c r="Q159" s="153">
        <f t="shared" si="1"/>
        <v>0</v>
      </c>
      <c r="R159" s="163"/>
      <c r="S159" s="163"/>
      <c r="T159" s="118">
        <f t="array" ref="T159">IFERROR(
INDEX(REPORTE_DROPI!B:B,
MATCH(
CLEAN(TRIM(C159)),
CLEAN(TRIM(REPORTE_DROPI!E:E)),
0
)
),
""
)
</f>
        <v>4418629</v>
      </c>
      <c r="U159" s="163" t="s">
        <v>6302</v>
      </c>
      <c r="V159" s="164"/>
    </row>
    <row r="160" ht="22.5" hidden="1" customHeight="1">
      <c r="A160" s="161">
        <v>159.0</v>
      </c>
      <c r="B160" s="119">
        <v>46059.0</v>
      </c>
      <c r="C160" s="118" t="s">
        <v>6303</v>
      </c>
      <c r="D160" s="118" t="str">
        <f>IFERROR(__xludf.DUMMYFUNCTION("IFERROR( INDEX( FILTER( 'NOMBRE DE PRODUCTOS'!B:B, REGEXMATCH( UPPER( INDEX( REPORTE_DROPI!AC:AC, MATCH(T160, REPORTE_DROPI!B:B, 0) ) ), UPPER('NOMBRE DE PRODUCTOS'!A:A) ) ), 1 ), ""REVISAR"" )"),"Cuchillo Tazaki™")</f>
        <v>Cuchillo Tazaki™</v>
      </c>
      <c r="E160" s="120">
        <f t="array" ref="E160">IF(
UPPER(TRIM(CLEAN($O160)))="ENTREGADO",
IFERROR(
INDEX(REPORTE_DROPI!Y:Y,
MATCH($T160, REPORTE_DROPI!B:B, 0)
),
""
),
""
)
</f>
        <v>5.2</v>
      </c>
      <c r="F160" s="162">
        <v>2.0</v>
      </c>
      <c r="G160" s="122">
        <f t="array" ref="G160">IF(
UPPER(TRIM(CLEAN($O160)))="ENTREGADO",
IFERROR(
INDEX(REPORTE_DROPI!R:R,
MATCH($T160, REPORTE_DROPI!B:B, 0)
),
""
),
""
)
</f>
        <v>22</v>
      </c>
      <c r="H160" s="118" t="s">
        <v>3727</v>
      </c>
      <c r="I160" s="118" t="s">
        <v>3798</v>
      </c>
      <c r="J160" s="121">
        <f t="array" ref="J160">IF(
UPPER(TRIM(CLEAN($O160)))="ENTREGADO",
IFERROR(
INDEX(REPORTE_DROPI!T:T,
MATCH($T160, REPORTE_DROPI!B:B, 0)
),
""
),
""
)
</f>
        <v>5.84</v>
      </c>
      <c r="K160" s="118">
        <f t="array" ref="K160">IFERROR(
INDEX(REPORTE_DROPI!S:S,
MATCH($T160, REPORTE_DROPI!B:B, 0)
),
""
)</f>
        <v>10.96</v>
      </c>
      <c r="L160" s="118" t="str">
        <f>IF(
  O160&lt;&gt;"DEVOLUCION",
  "",
  IF(
    T160="",
    "",
    SUMIF(DEVOLUCION!F:F, T160, DEVOLUCION!D:D)
  )
)
</f>
        <v/>
      </c>
      <c r="M160" s="118" t="s">
        <v>5877</v>
      </c>
      <c r="N160" s="161" t="s">
        <v>6304</v>
      </c>
      <c r="O160" s="118" t="str">
        <f t="array" ref="O160">IFERROR(
VLOOKUP(
TRIM(CLEAN(
INDEX(REPORTE_DROPI!K:K,
MATCH(T160, REPORTE_DROPI!B:B, 0)
))),
{
TRIM(CLEAN(MAPA_ESTADOS!A:A)) ,
MAPA_ESTADOS!B:B
},
2,
FALSE
),
"REVISAR"
)</f>
        <v>ENTREGADO</v>
      </c>
      <c r="P160" s="118" t="s">
        <v>5692</v>
      </c>
      <c r="Q160" s="153">
        <f t="shared" si="1"/>
        <v>0</v>
      </c>
      <c r="R160" s="163"/>
      <c r="S160" s="163"/>
      <c r="T160" s="118">
        <f t="array" ref="T160">IFERROR(
INDEX(REPORTE_DROPI!B:B,
MATCH(
CLEAN(TRIM(C160)),
CLEAN(TRIM(REPORTE_DROPI!E:E)),
0
)
),
""
)
</f>
        <v>4421193</v>
      </c>
      <c r="U160" s="163" t="s">
        <v>6305</v>
      </c>
      <c r="V160" s="164"/>
    </row>
    <row r="161" ht="22.5" hidden="1" customHeight="1">
      <c r="A161" s="161">
        <v>160.0</v>
      </c>
      <c r="B161" s="119">
        <v>46059.0</v>
      </c>
      <c r="C161" s="118" t="s">
        <v>6306</v>
      </c>
      <c r="D161" s="118" t="str">
        <f>IFERROR(__xludf.DUMMYFUNCTION("IFERROR( INDEX( FILTER( 'NOMBRE DE PRODUCTOS'!B:B, REGEXMATCH( UPPER( INDEX( REPORTE_DROPI!AC:AC, MATCH(T161, REPORTE_DROPI!B:B, 0) ) ), UPPER('NOMBRE DE PRODUCTOS'!A:A) ) ), 1 ), ""REVISAR"" )"),"Cuchillo Tazaki™")</f>
        <v>Cuchillo Tazaki™</v>
      </c>
      <c r="E161" s="120" t="str">
        <f t="array" ref="E161">IF(
UPPER(TRIM(CLEAN($O161)))="ENTREGADO",
IFERROR(
INDEX(REPORTE_DROPI!Y:Y,
MATCH($T161, REPORTE_DROPI!B:B, 0)
),
""
),
""
)
</f>
        <v/>
      </c>
      <c r="F161" s="162">
        <v>4.0</v>
      </c>
      <c r="G161" s="122" t="str">
        <f t="array" ref="G161">IF(
UPPER(TRIM(CLEAN($O161)))="ENTREGADO",
IFERROR(
INDEX(REPORTE_DROPI!R:R,
MATCH($T161, REPORTE_DROPI!B:B, 0)
),
""
),
""
)
</f>
        <v/>
      </c>
      <c r="H161" s="118" t="s">
        <v>3727</v>
      </c>
      <c r="I161" s="118" t="s">
        <v>3731</v>
      </c>
      <c r="J161" s="121" t="str">
        <f t="array" ref="J161">IF(
UPPER(TRIM(CLEAN($O161)))="ENTREGADO",
IFERROR(
INDEX(REPORTE_DROPI!T:T,
MATCH($T161, REPORTE_DROPI!B:B, 0)
),
""
),
""
)
</f>
        <v/>
      </c>
      <c r="K161" s="118" t="str">
        <f t="array" ref="K161">IFERROR(
INDEX(REPORTE_DROPI!S:S,
MATCH($T161, REPORTE_DROPI!B:B, 0)
),
""
)</f>
        <v/>
      </c>
      <c r="L161" s="118" t="str">
        <f>IF(
  O161&lt;&gt;"DEVOLUCION",
  "",
  IF(
    T161="",
    "",
    SUMIF(DEVOLUCION!F:F, T161, DEVOLUCION!D:D)
  )
)
</f>
        <v/>
      </c>
      <c r="M161" s="118" t="s">
        <v>5877</v>
      </c>
      <c r="N161" s="161" t="s">
        <v>6307</v>
      </c>
      <c r="O161" s="118" t="str">
        <f t="array" ref="O161">IFERROR(
VLOOKUP(
TRIM(CLEAN(
INDEX(REPORTE_DROPI!K:K,
MATCH(T161, REPORTE_DROPI!B:B, 0)
))),
{
TRIM(CLEAN(MAPA_ESTADOS!A:A)) ,
MAPA_ESTADOS!B:B
},
2,
FALSE
),
"REVISAR"
)</f>
        <v>PENDIENTE</v>
      </c>
      <c r="P161" s="118" t="s">
        <v>6308</v>
      </c>
      <c r="Q161" s="153">
        <f t="shared" si="1"/>
        <v>0</v>
      </c>
      <c r="R161" s="163"/>
      <c r="S161" s="163"/>
      <c r="T161" s="118">
        <f t="array" ref="T161">IFERROR(
INDEX(REPORTE_DROPI!B:B,
MATCH(
CLEAN(TRIM(C161)),
CLEAN(TRIM(REPORTE_DROPI!E:E)),
0
)
),
""
)
</f>
        <v>4421195</v>
      </c>
      <c r="U161" s="163" t="s">
        <v>6309</v>
      </c>
      <c r="V161" s="164"/>
    </row>
    <row r="162" ht="22.5" hidden="1" customHeight="1">
      <c r="A162" s="161">
        <v>161.0</v>
      </c>
      <c r="B162" s="119">
        <v>46059.0</v>
      </c>
      <c r="C162" s="118" t="s">
        <v>6310</v>
      </c>
      <c r="D162" s="118" t="str">
        <f>IFERROR(__xludf.DUMMYFUNCTION("IFERROR( INDEX( FILTER( 'NOMBRE DE PRODUCTOS'!B:B, REGEXMATCH( UPPER( INDEX( REPORTE_DROPI!AC:AC, MATCH(T162, REPORTE_DROPI!B:B, 0) ) ), UPPER('NOMBRE DE PRODUCTOS'!A:A) ) ), 1 ), ""REVISAR"" )"),"Cuchillo Tazaki™")</f>
        <v>Cuchillo Tazaki™</v>
      </c>
      <c r="E162" s="120" t="str">
        <f t="array" ref="E162">IF(
UPPER(TRIM(CLEAN($O162)))="ENTREGADO",
IFERROR(
INDEX(REPORTE_DROPI!Y:Y,
MATCH($T162, REPORTE_DROPI!B:B, 0)
),
""
),
""
)
</f>
        <v/>
      </c>
      <c r="F162" s="162">
        <v>2.0</v>
      </c>
      <c r="G162" s="122" t="str">
        <f t="array" ref="G162">IF(
UPPER(TRIM(CLEAN($O162)))="ENTREGADO",
IFERROR(
INDEX(REPORTE_DROPI!R:R,
MATCH($T162, REPORTE_DROPI!B:B, 0)
),
""
),
""
)
</f>
        <v/>
      </c>
      <c r="H162" s="118" t="s">
        <v>3727</v>
      </c>
      <c r="I162" s="118" t="s">
        <v>3742</v>
      </c>
      <c r="J162" s="121" t="str">
        <f t="array" ref="J162">IF(
UPPER(TRIM(CLEAN($O162)))="ENTREGADO",
IFERROR(
INDEX(REPORTE_DROPI!T:T,
MATCH($T162, REPORTE_DROPI!B:B, 0)
),
""
),
""
)
</f>
        <v/>
      </c>
      <c r="K162" s="118" t="str">
        <f t="array" ref="K162">IFERROR(
INDEX(REPORTE_DROPI!S:S,
MATCH($T162, REPORTE_DROPI!B:B, 0)
),
""
)</f>
        <v/>
      </c>
      <c r="L162" s="118">
        <f>IF(
  O162&lt;&gt;"DEVOLUCION",
  "",
  IF(
    T162="",
    "",
    SUMIF(DEVOLUCION!F:F, T162, DEVOLUCION!D:D)
  )
)
</f>
        <v>5.07</v>
      </c>
      <c r="M162" s="118" t="s">
        <v>5877</v>
      </c>
      <c r="N162" s="161" t="s">
        <v>6311</v>
      </c>
      <c r="O162" s="118" t="str">
        <f t="array" ref="O162">IFERROR(
VLOOKUP(
TRIM(CLEAN(
INDEX(REPORTE_DROPI!K:K,
MATCH(T162, REPORTE_DROPI!B:B, 0)
))),
{
TRIM(CLEAN(MAPA_ESTADOS!A:A)) ,
MAPA_ESTADOS!B:B
},
2,
FALSE
),
"REVISAR"
)</f>
        <v>DEVOLUCION</v>
      </c>
      <c r="P162" s="118"/>
      <c r="Q162" s="153">
        <f t="shared" si="1"/>
        <v>0</v>
      </c>
      <c r="R162" s="163"/>
      <c r="S162" s="163"/>
      <c r="T162" s="118">
        <f t="array" ref="T162">IFERROR(
INDEX(REPORTE_DROPI!B:B,
MATCH(
CLEAN(TRIM(C162)),
CLEAN(TRIM(REPORTE_DROPI!E:E)),
0
)
),
""
)
</f>
        <v>4421198</v>
      </c>
      <c r="U162" s="163" t="s">
        <v>6312</v>
      </c>
      <c r="V162" s="164"/>
    </row>
    <row r="163" ht="22.5" hidden="1" customHeight="1">
      <c r="A163" s="161">
        <v>162.0</v>
      </c>
      <c r="B163" s="119">
        <v>46059.0</v>
      </c>
      <c r="C163" s="118" t="s">
        <v>6313</v>
      </c>
      <c r="D163" s="118" t="str">
        <f>IFERROR(__xludf.DUMMYFUNCTION("IFERROR( INDEX( FILTER( 'NOMBRE DE PRODUCTOS'!B:B, REGEXMATCH( UPPER( INDEX( REPORTE_DROPI!AC:AC, MATCH(T163, REPORTE_DROPI!B:B, 0) ) ), UPPER('NOMBRE DE PRODUCTOS'!A:A) ) ), 1 ), ""REVISAR"" )"),"Cuchillo Tazaki™")</f>
        <v>Cuchillo Tazaki™</v>
      </c>
      <c r="E163" s="120" t="str">
        <f t="array" ref="E163">IF(
UPPER(TRIM(CLEAN($O163)))="ENTREGADO",
IFERROR(
INDEX(REPORTE_DROPI!Y:Y,
MATCH($T163, REPORTE_DROPI!B:B, 0)
),
""
),
""
)
</f>
        <v/>
      </c>
      <c r="F163" s="162">
        <v>3.0</v>
      </c>
      <c r="G163" s="122" t="str">
        <f t="array" ref="G163">IF(
UPPER(TRIM(CLEAN($O163)))="ENTREGADO",
IFERROR(
INDEX(REPORTE_DROPI!R:R,
MATCH($T163, REPORTE_DROPI!B:B, 0)
),
""
),
""
)
</f>
        <v/>
      </c>
      <c r="H163" s="118" t="s">
        <v>3727</v>
      </c>
      <c r="I163" s="118" t="s">
        <v>3969</v>
      </c>
      <c r="J163" s="121" t="str">
        <f t="array" ref="J163">IF(
UPPER(TRIM(CLEAN($O163)))="ENTREGADO",
IFERROR(
INDEX(REPORTE_DROPI!T:T,
MATCH($T163, REPORTE_DROPI!B:B, 0)
),
""
),
""
)
</f>
        <v/>
      </c>
      <c r="K163" s="118" t="str">
        <f t="array" ref="K163">IFERROR(
INDEX(REPORTE_DROPI!S:S,
MATCH($T163, REPORTE_DROPI!B:B, 0)
),
""
)</f>
        <v/>
      </c>
      <c r="L163" s="118">
        <f>IF(
  O163&lt;&gt;"DEVOLUCION",
  "",
  IF(
    T163="",
    "",
    SUMIF(DEVOLUCION!F:F, T163, DEVOLUCION!D:D)
  )
)
</f>
        <v>0</v>
      </c>
      <c r="M163" s="118" t="s">
        <v>5877</v>
      </c>
      <c r="N163" s="161" t="s">
        <v>6314</v>
      </c>
      <c r="O163" s="118" t="str">
        <f t="array" ref="O163">IFERROR(
VLOOKUP(
TRIM(CLEAN(
INDEX(REPORTE_DROPI!K:K,
MATCH(T163, REPORTE_DROPI!B:B, 0)
))),
{
TRIM(CLEAN(MAPA_ESTADOS!A:A)) ,
MAPA_ESTADOS!B:B
},
2,
FALSE
),
"REVISAR"
)</f>
        <v>DEVOLUCION</v>
      </c>
      <c r="P163" s="118" t="s">
        <v>5692</v>
      </c>
      <c r="Q163" s="153">
        <f t="shared" si="1"/>
        <v>0</v>
      </c>
      <c r="R163" s="163"/>
      <c r="S163" s="163"/>
      <c r="T163" s="118">
        <f t="array" ref="T163">IFERROR(
INDEX(REPORTE_DROPI!B:B,
MATCH(
CLEAN(TRIM(C163)),
CLEAN(TRIM(REPORTE_DROPI!E:E)),
0
)
),
""
)
</f>
        <v>4452873</v>
      </c>
      <c r="U163" s="163" t="s">
        <v>6315</v>
      </c>
      <c r="V163" s="164"/>
    </row>
    <row r="164" ht="22.5" hidden="1" customHeight="1">
      <c r="A164" s="161">
        <v>163.0</v>
      </c>
      <c r="B164" s="119">
        <v>46059.0</v>
      </c>
      <c r="C164" s="118" t="s">
        <v>6316</v>
      </c>
      <c r="D164" s="118" t="str">
        <f>IFERROR(__xludf.DUMMYFUNCTION("IFERROR( INDEX( FILTER( 'NOMBRE DE PRODUCTOS'!B:B, REGEXMATCH( UPPER( INDEX( REPORTE_DROPI!AC:AC, MATCH(T164, REPORTE_DROPI!B:B, 0) ) ), UPPER('NOMBRE DE PRODUCTOS'!A:A) ) ), 1 ), ""REVISAR"" )"),"FilmPro®")</f>
        <v>FilmPro®</v>
      </c>
      <c r="E164" s="120">
        <f t="array" ref="E164">IF(
UPPER(TRIM(CLEAN($O164)))="ENTREGADO",
IFERROR(
INDEX(REPORTE_DROPI!Y:Y,
MATCH($T164, REPORTE_DROPI!B:B, 0)
),
""
),
""
)
</f>
        <v>2.2</v>
      </c>
      <c r="F164" s="162">
        <v>1.0</v>
      </c>
      <c r="G164" s="122">
        <f t="array" ref="G164">IF(
UPPER(TRIM(CLEAN($O164)))="ENTREGADO",
IFERROR(
INDEX(REPORTE_DROPI!R:R,
MATCH($T164, REPORTE_DROPI!B:B, 0)
),
""
),
""
)
</f>
        <v>20</v>
      </c>
      <c r="H164" s="118" t="s">
        <v>3727</v>
      </c>
      <c r="I164" s="118" t="s">
        <v>3740</v>
      </c>
      <c r="J164" s="121">
        <f t="array" ref="J164">IF(
UPPER(TRIM(CLEAN($O164)))="ENTREGADO",
IFERROR(
INDEX(REPORTE_DROPI!T:T,
MATCH($T164, REPORTE_DROPI!B:B, 0)
),
""
),
""
)
</f>
        <v>4.15</v>
      </c>
      <c r="K164" s="118">
        <f t="array" ref="K164">IFERROR(
INDEX(REPORTE_DROPI!S:S,
MATCH($T164, REPORTE_DROPI!B:B, 0)
),
""
)</f>
        <v>13.65</v>
      </c>
      <c r="L164" s="118" t="str">
        <f>IF(
  O164&lt;&gt;"DEVOLUCION",
  "",
  IF(
    T164="",
    "",
    SUMIF(DEVOLUCION!F:F, T164, DEVOLUCION!D:D)
  )
)
</f>
        <v/>
      </c>
      <c r="M164" s="118" t="s">
        <v>5877</v>
      </c>
      <c r="N164" s="161" t="s">
        <v>6317</v>
      </c>
      <c r="O164" s="118" t="str">
        <f t="array" ref="O164">IFERROR(
VLOOKUP(
TRIM(CLEAN(
INDEX(REPORTE_DROPI!K:K,
MATCH(T164, REPORTE_DROPI!B:B, 0)
))),
{
TRIM(CLEAN(MAPA_ESTADOS!A:A)) ,
MAPA_ESTADOS!B:B
},
2,
FALSE
),
"REVISAR"
)</f>
        <v>ENTREGADO</v>
      </c>
      <c r="P164" s="118" t="s">
        <v>5692</v>
      </c>
      <c r="Q164" s="153">
        <f t="shared" si="1"/>
        <v>0</v>
      </c>
      <c r="R164" s="163"/>
      <c r="S164" s="163"/>
      <c r="T164" s="118">
        <f t="array" ref="T164">IFERROR(
INDEX(REPORTE_DROPI!B:B,
MATCH(
CLEAN(TRIM(C164)),
CLEAN(TRIM(REPORTE_DROPI!E:E)),
0
)
),
""
)
</f>
        <v>4421914</v>
      </c>
      <c r="U164" s="163" t="s">
        <v>6318</v>
      </c>
      <c r="V164" s="164"/>
    </row>
    <row r="165" ht="22.5" hidden="1" customHeight="1">
      <c r="A165" s="161">
        <v>164.0</v>
      </c>
      <c r="B165" s="119">
        <v>46059.0</v>
      </c>
      <c r="C165" s="118" t="s">
        <v>6319</v>
      </c>
      <c r="D165" s="118" t="str">
        <f>IFERROR(__xludf.DUMMYFUNCTION("IFERROR( INDEX( FILTER( 'NOMBRE DE PRODUCTOS'!B:B, REGEXMATCH( UPPER( INDEX( REPORTE_DROPI!AC:AC, MATCH(T165, REPORTE_DROPI!B:B, 0) ) ), UPPER('NOMBRE DE PRODUCTOS'!A:A) ) ), 1 ), ""REVISAR"" )"),"Cuchillo Tazaki™")</f>
        <v>Cuchillo Tazaki™</v>
      </c>
      <c r="E165" s="120">
        <f t="array" ref="E165">IF(
UPPER(TRIM(CLEAN($O165)))="ENTREGADO",
IFERROR(
INDEX(REPORTE_DROPI!Y:Y,
MATCH($T165, REPORTE_DROPI!B:B, 0)
),
""
),
""
)
</f>
        <v>5.2</v>
      </c>
      <c r="F165" s="162">
        <v>2.0</v>
      </c>
      <c r="G165" s="122">
        <f t="array" ref="G165">IF(
UPPER(TRIM(CLEAN($O165)))="ENTREGADO",
IFERROR(
INDEX(REPORTE_DROPI!R:R,
MATCH($T165, REPORTE_DROPI!B:B, 0)
),
""
),
""
)
</f>
        <v>22</v>
      </c>
      <c r="H165" s="118" t="s">
        <v>3727</v>
      </c>
      <c r="I165" s="118" t="s">
        <v>3740</v>
      </c>
      <c r="J165" s="121">
        <f t="array" ref="J165">IF(
UPPER(TRIM(CLEAN($O165)))="ENTREGADO",
IFERROR(
INDEX(REPORTE_DROPI!T:T,
MATCH($T165, REPORTE_DROPI!B:B, 0)
),
""
),
""
)
</f>
        <v>4.23</v>
      </c>
      <c r="K165" s="118">
        <f t="array" ref="K165">IFERROR(
INDEX(REPORTE_DROPI!S:S,
MATCH($T165, REPORTE_DROPI!B:B, 0)
),
""
)</f>
        <v>12.57</v>
      </c>
      <c r="L165" s="118" t="str">
        <f>IF(
  O165&lt;&gt;"DEVOLUCION",
  "",
  IF(
    T165="",
    "",
    SUMIF(DEVOLUCION!F:F, T165, DEVOLUCION!D:D)
  )
)
</f>
        <v/>
      </c>
      <c r="M165" s="118" t="s">
        <v>5877</v>
      </c>
      <c r="N165" s="161" t="s">
        <v>6320</v>
      </c>
      <c r="O165" s="118" t="str">
        <f t="array" ref="O165">IFERROR(
VLOOKUP(
TRIM(CLEAN(
INDEX(REPORTE_DROPI!K:K,
MATCH(T165, REPORTE_DROPI!B:B, 0)
))),
{
TRIM(CLEAN(MAPA_ESTADOS!A:A)) ,
MAPA_ESTADOS!B:B
},
2,
FALSE
),
"REVISAR"
)</f>
        <v>ENTREGADO</v>
      </c>
      <c r="P165" s="118" t="s">
        <v>5692</v>
      </c>
      <c r="Q165" s="153">
        <f t="shared" si="1"/>
        <v>0</v>
      </c>
      <c r="R165" s="163"/>
      <c r="S165" s="163"/>
      <c r="T165" s="118">
        <f t="array" ref="T165">IFERROR(
INDEX(REPORTE_DROPI!B:B,
MATCH(
CLEAN(TRIM(C165)),
CLEAN(TRIM(REPORTE_DROPI!E:E)),
0
)
),
""
)
</f>
        <v>4431992</v>
      </c>
      <c r="U165" s="163" t="s">
        <v>6321</v>
      </c>
      <c r="V165" s="164"/>
    </row>
    <row r="166" ht="22.5" hidden="1" customHeight="1">
      <c r="A166" s="161">
        <v>165.0</v>
      </c>
      <c r="B166" s="119">
        <v>46059.0</v>
      </c>
      <c r="C166" s="118" t="s">
        <v>6322</v>
      </c>
      <c r="D166" s="118" t="str">
        <f>IFERROR(__xludf.DUMMYFUNCTION("IFERROR( INDEX( FILTER( 'NOMBRE DE PRODUCTOS'!B:B, REGEXMATCH( UPPER( INDEX( REPORTE_DROPI!AC:AC, MATCH(T166, REPORTE_DROPI!B:B, 0) ) ), UPPER('NOMBRE DE PRODUCTOS'!A:A) ) ), 1 ), ""REVISAR"" )"),"FilmPro®")</f>
        <v>FilmPro®</v>
      </c>
      <c r="E166" s="120" t="str">
        <f t="array" ref="E166">IF(
UPPER(TRIM(CLEAN($O166)))="ENTREGADO",
IFERROR(
INDEX(REPORTE_DROPI!Y:Y,
MATCH($T166, REPORTE_DROPI!B:B, 0)
),
""
),
""
)
</f>
        <v/>
      </c>
      <c r="F166" s="162">
        <v>2.0</v>
      </c>
      <c r="G166" s="122" t="str">
        <f t="array" ref="G166">IF(
UPPER(TRIM(CLEAN($O166)))="ENTREGADO",
IFERROR(
INDEX(REPORTE_DROPI!R:R,
MATCH($T166, REPORTE_DROPI!B:B, 0)
),
""
),
""
)
</f>
        <v/>
      </c>
      <c r="H166" s="118" t="s">
        <v>3727</v>
      </c>
      <c r="I166" s="118" t="s">
        <v>3731</v>
      </c>
      <c r="J166" s="121" t="str">
        <f t="array" ref="J166">IF(
UPPER(TRIM(CLEAN($O166)))="ENTREGADO",
IFERROR(
INDEX(REPORTE_DROPI!T:T,
MATCH($T166, REPORTE_DROPI!B:B, 0)
),
""
),
""
)
</f>
        <v/>
      </c>
      <c r="K166" s="118" t="str">
        <f t="array" ref="K166">IFERROR(
INDEX(REPORTE_DROPI!S:S,
MATCH($T166, REPORTE_DROPI!B:B, 0)
),
""
)</f>
        <v/>
      </c>
      <c r="L166" s="118">
        <f>IF(
  O166&lt;&gt;"DEVOLUCION",
  "",
  IF(
    T166="",
    "",
    SUMIF(DEVOLUCION!F:F, T166, DEVOLUCION!D:D)
  )
)
</f>
        <v>5.09</v>
      </c>
      <c r="M166" s="118" t="s">
        <v>5877</v>
      </c>
      <c r="N166" s="161" t="s">
        <v>6323</v>
      </c>
      <c r="O166" s="118" t="str">
        <f t="array" ref="O166">IFERROR(
VLOOKUP(
TRIM(CLEAN(
INDEX(REPORTE_DROPI!K:K,
MATCH(T166, REPORTE_DROPI!B:B, 0)
))),
{
TRIM(CLEAN(MAPA_ESTADOS!A:A)) ,
MAPA_ESTADOS!B:B
},
2,
FALSE
),
"REVISAR"
)</f>
        <v>DEVOLUCION</v>
      </c>
      <c r="P166" s="118" t="s">
        <v>5692</v>
      </c>
      <c r="Q166" s="153">
        <f t="shared" si="1"/>
        <v>0</v>
      </c>
      <c r="R166" s="163"/>
      <c r="S166" s="163"/>
      <c r="T166" s="118">
        <f t="array" ref="T166">IFERROR(
INDEX(REPORTE_DROPI!B:B,
MATCH(
CLEAN(TRIM(C166)),
CLEAN(TRIM(REPORTE_DROPI!E:E)),
0
)
),
""
)
</f>
        <v>4431995</v>
      </c>
      <c r="U166" s="163" t="s">
        <v>6324</v>
      </c>
      <c r="V166" s="164"/>
    </row>
    <row r="167" ht="22.5" hidden="1" customHeight="1">
      <c r="A167" s="161">
        <v>166.0</v>
      </c>
      <c r="B167" s="119">
        <v>46059.0</v>
      </c>
      <c r="C167" s="118" t="s">
        <v>6325</v>
      </c>
      <c r="D167" s="118" t="str">
        <f>IFERROR(__xludf.DUMMYFUNCTION("IFERROR( INDEX( FILTER( 'NOMBRE DE PRODUCTOS'!B:B, REGEXMATCH( UPPER( INDEX( REPORTE_DROPI!AC:AC, MATCH(T167, REPORTE_DROPI!B:B, 0) ) ), UPPER('NOMBRE DE PRODUCTOS'!A:A) ) ), 1 ), ""REVISAR"" )"),"FilmPro®")</f>
        <v>FilmPro®</v>
      </c>
      <c r="E167" s="120">
        <f t="array" ref="E167">IF(
UPPER(TRIM(CLEAN($O167)))="ENTREGADO",
IFERROR(
INDEX(REPORTE_DROPI!Y:Y,
MATCH($T167, REPORTE_DROPI!B:B, 0)
),
""
),
""
)
</f>
        <v>4.4</v>
      </c>
      <c r="F167" s="162">
        <v>2.0</v>
      </c>
      <c r="G167" s="122">
        <f t="array" ref="G167">IF(
UPPER(TRIM(CLEAN($O167)))="ENTREGADO",
IFERROR(
INDEX(REPORTE_DROPI!R:R,
MATCH($T167, REPORTE_DROPI!B:B, 0)
),
""
),
""
)
</f>
        <v>25</v>
      </c>
      <c r="H167" s="118" t="s">
        <v>3727</v>
      </c>
      <c r="I167" s="118" t="s">
        <v>3731</v>
      </c>
      <c r="J167" s="121">
        <f t="array" ref="J167">IF(
UPPER(TRIM(CLEAN($O167)))="ENTREGADO",
IFERROR(
INDEX(REPORTE_DROPI!T:T,
MATCH($T167, REPORTE_DROPI!B:B, 0)
),
""
),
""
)
</f>
        <v>5.96</v>
      </c>
      <c r="K167" s="118">
        <f t="array" ref="K167">IFERROR(
INDEX(REPORTE_DROPI!S:S,
MATCH($T167, REPORTE_DROPI!B:B, 0)
),
""
)</f>
        <v>14.64</v>
      </c>
      <c r="L167" s="118" t="str">
        <f>IF(
  O167&lt;&gt;"DEVOLUCION",
  "",
  IF(
    T167="",
    "",
    SUMIF(DEVOLUCION!F:F, T167, DEVOLUCION!D:D)
  )
)
</f>
        <v/>
      </c>
      <c r="M167" s="118" t="s">
        <v>5877</v>
      </c>
      <c r="N167" s="161" t="s">
        <v>6326</v>
      </c>
      <c r="O167" s="118" t="str">
        <f t="array" ref="O167">IFERROR(
VLOOKUP(
TRIM(CLEAN(
INDEX(REPORTE_DROPI!K:K,
MATCH(T167, REPORTE_DROPI!B:B, 0)
))),
{
TRIM(CLEAN(MAPA_ESTADOS!A:A)) ,
MAPA_ESTADOS!B:B
},
2,
FALSE
),
"REVISAR"
)</f>
        <v>ENTREGADO</v>
      </c>
      <c r="P167" s="118" t="s">
        <v>5692</v>
      </c>
      <c r="Q167" s="153">
        <f t="shared" si="1"/>
        <v>0</v>
      </c>
      <c r="R167" s="163"/>
      <c r="S167" s="163"/>
      <c r="T167" s="118">
        <f t="array" ref="T167">IFERROR(
INDEX(REPORTE_DROPI!B:B,
MATCH(
CLEAN(TRIM(C167)),
CLEAN(TRIM(REPORTE_DROPI!E:E)),
0
)
),
""
)
</f>
        <v>4431998</v>
      </c>
      <c r="U167" s="163" t="s">
        <v>6327</v>
      </c>
      <c r="V167" s="164"/>
    </row>
    <row r="168" ht="22.5" hidden="1" customHeight="1">
      <c r="A168" s="161">
        <v>167.0</v>
      </c>
      <c r="B168" s="119">
        <v>46059.0</v>
      </c>
      <c r="C168" s="118" t="s">
        <v>6328</v>
      </c>
      <c r="D168" s="118" t="str">
        <f>IFERROR(__xludf.DUMMYFUNCTION("IFERROR( INDEX( FILTER( 'NOMBRE DE PRODUCTOS'!B:B, REGEXMATCH( UPPER( INDEX( REPORTE_DROPI!AC:AC, MATCH(T168, REPORTE_DROPI!B:B, 0) ) ), UPPER('NOMBRE DE PRODUCTOS'!A:A) ) ), 1 ), ""REVISAR"" )"),"FilmPro®")</f>
        <v>FilmPro®</v>
      </c>
      <c r="E168" s="120">
        <f t="array" ref="E168">IF(
UPPER(TRIM(CLEAN($O168)))="ENTREGADO",
IFERROR(
INDEX(REPORTE_DROPI!Y:Y,
MATCH($T168, REPORTE_DROPI!B:B, 0)
),
""
),
""
)
</f>
        <v>6.6</v>
      </c>
      <c r="F168" s="162">
        <v>3.0</v>
      </c>
      <c r="G168" s="122">
        <f t="array" ref="G168">IF(
UPPER(TRIM(CLEAN($O168)))="ENTREGADO",
IFERROR(
INDEX(REPORTE_DROPI!R:R,
MATCH($T168, REPORTE_DROPI!B:B, 0)
),
""
),
""
)
</f>
        <v>30</v>
      </c>
      <c r="H168" s="118" t="s">
        <v>3727</v>
      </c>
      <c r="I168" s="118" t="s">
        <v>3778</v>
      </c>
      <c r="J168" s="121">
        <f t="array" ref="J168">IF(
UPPER(TRIM(CLEAN($O168)))="ENTREGADO",
IFERROR(
INDEX(REPORTE_DROPI!T:T,
MATCH($T168, REPORTE_DROPI!B:B, 0)
),
""
),
""
)
</f>
        <v>6.16</v>
      </c>
      <c r="K168" s="118">
        <f t="array" ref="K168">IFERROR(
INDEX(REPORTE_DROPI!S:S,
MATCH($T168, REPORTE_DROPI!B:B, 0)
),
""
)</f>
        <v>17.24</v>
      </c>
      <c r="L168" s="118" t="str">
        <f>IF(
  O168&lt;&gt;"DEVOLUCION",
  "",
  IF(
    T168="",
    "",
    SUMIF(DEVOLUCION!F:F, T168, DEVOLUCION!D:D)
  )
)
</f>
        <v/>
      </c>
      <c r="M168" s="118" t="s">
        <v>5877</v>
      </c>
      <c r="N168" s="161" t="s">
        <v>6329</v>
      </c>
      <c r="O168" s="118" t="str">
        <f t="array" ref="O168">IFERROR(
VLOOKUP(
TRIM(CLEAN(
INDEX(REPORTE_DROPI!K:K,
MATCH(T168, REPORTE_DROPI!B:B, 0)
))),
{
TRIM(CLEAN(MAPA_ESTADOS!A:A)) ,
MAPA_ESTADOS!B:B
},
2,
FALSE
),
"REVISAR"
)</f>
        <v>ENTREGADO</v>
      </c>
      <c r="P168" s="118" t="s">
        <v>5692</v>
      </c>
      <c r="Q168" s="153">
        <f t="shared" si="1"/>
        <v>0</v>
      </c>
      <c r="R168" s="163"/>
      <c r="S168" s="163"/>
      <c r="T168" s="118">
        <f t="array" ref="T168">IFERROR(
INDEX(REPORTE_DROPI!B:B,
MATCH(
CLEAN(TRIM(C168)),
CLEAN(TRIM(REPORTE_DROPI!E:E)),
0
)
),
""
)
</f>
        <v>4432001</v>
      </c>
      <c r="U168" s="163" t="s">
        <v>6330</v>
      </c>
      <c r="V168" s="164"/>
    </row>
    <row r="169" ht="22.5" hidden="1" customHeight="1">
      <c r="A169" s="161">
        <v>168.0</v>
      </c>
      <c r="B169" s="119">
        <v>46059.0</v>
      </c>
      <c r="C169" s="118" t="s">
        <v>6331</v>
      </c>
      <c r="D169" s="118" t="str">
        <f>IFERROR(__xludf.DUMMYFUNCTION("IFERROR( INDEX( FILTER( 'NOMBRE DE PRODUCTOS'!B:B, REGEXMATCH( UPPER( INDEX( REPORTE_DROPI!AC:AC, MATCH(T169, REPORTE_DROPI!B:B, 0) ) ), UPPER('NOMBRE DE PRODUCTOS'!A:A) ) ), 1 ), ""REVISAR"" )"),"FilmPro®")</f>
        <v>FilmPro®</v>
      </c>
      <c r="E169" s="120">
        <f t="array" ref="E169">IF(
UPPER(TRIM(CLEAN($O169)))="ENTREGADO",
IFERROR(
INDEX(REPORTE_DROPI!Y:Y,
MATCH($T169, REPORTE_DROPI!B:B, 0)
),
""
),
""
)
</f>
        <v>2.2</v>
      </c>
      <c r="F169" s="162">
        <v>1.0</v>
      </c>
      <c r="G169" s="122">
        <f t="array" ref="G169">IF(
UPPER(TRIM(CLEAN($O169)))="ENTREGADO",
IFERROR(
INDEX(REPORTE_DROPI!R:R,
MATCH($T169, REPORTE_DROPI!B:B, 0)
),
""
),
""
)
</f>
        <v>20</v>
      </c>
      <c r="H169" s="118" t="s">
        <v>3727</v>
      </c>
      <c r="I169" s="118" t="s">
        <v>3731</v>
      </c>
      <c r="J169" s="121">
        <f t="array" ref="J169">IF(
UPPER(TRIM(CLEAN($O169)))="ENTREGADO",
IFERROR(
INDEX(REPORTE_DROPI!T:T,
MATCH($T169, REPORTE_DROPI!B:B, 0)
),
""
),
""
)
</f>
        <v>5.76</v>
      </c>
      <c r="K169" s="118">
        <f t="array" ref="K169">IFERROR(
INDEX(REPORTE_DROPI!S:S,
MATCH($T169, REPORTE_DROPI!B:B, 0)
),
""
)</f>
        <v>12.04</v>
      </c>
      <c r="L169" s="118" t="str">
        <f>IF(
  O169&lt;&gt;"DEVOLUCION",
  "",
  IF(
    T169="",
    "",
    SUMIF(DEVOLUCION!F:F, T169, DEVOLUCION!D:D)
  )
)
</f>
        <v/>
      </c>
      <c r="M169" s="118" t="s">
        <v>5877</v>
      </c>
      <c r="N169" s="161" t="s">
        <v>6332</v>
      </c>
      <c r="O169" s="118" t="str">
        <f t="array" ref="O169">IFERROR(
VLOOKUP(
TRIM(CLEAN(
INDEX(REPORTE_DROPI!K:K,
MATCH(T169, REPORTE_DROPI!B:B, 0)
))),
{
TRIM(CLEAN(MAPA_ESTADOS!A:A)) ,
MAPA_ESTADOS!B:B
},
2,
FALSE
),
"REVISAR"
)</f>
        <v>ENTREGADO</v>
      </c>
      <c r="P169" s="118" t="s">
        <v>5692</v>
      </c>
      <c r="Q169" s="153">
        <f t="shared" si="1"/>
        <v>0</v>
      </c>
      <c r="R169" s="163"/>
      <c r="S169" s="163"/>
      <c r="T169" s="118">
        <f t="array" ref="T169">IFERROR(
INDEX(REPORTE_DROPI!B:B,
MATCH(
CLEAN(TRIM(C169)),
CLEAN(TRIM(REPORTE_DROPI!E:E)),
0
)
),
""
)
</f>
        <v>4432005</v>
      </c>
      <c r="U169" s="163" t="s">
        <v>6333</v>
      </c>
      <c r="V169" s="164"/>
    </row>
    <row r="170" ht="22.5" hidden="1" customHeight="1">
      <c r="A170" s="161">
        <v>169.0</v>
      </c>
      <c r="B170" s="119">
        <v>46059.0</v>
      </c>
      <c r="C170" s="118" t="s">
        <v>6334</v>
      </c>
      <c r="D170" s="118" t="str">
        <f>IFERROR(__xludf.DUMMYFUNCTION("IFERROR( INDEX( FILTER( 'NOMBRE DE PRODUCTOS'!B:B, REGEXMATCH( UPPER( INDEX( REPORTE_DROPI!AC:AC, MATCH(T170, REPORTE_DROPI!B:B, 0) ) ), UPPER('NOMBRE DE PRODUCTOS'!A:A) ) ), 1 ), ""REVISAR"" )"),"Cuchillo Tazaki™")</f>
        <v>Cuchillo Tazaki™</v>
      </c>
      <c r="E170" s="120" t="str">
        <f t="array" ref="E170">IF(
UPPER(TRIM(CLEAN($O170)))="ENTREGADO",
IFERROR(
INDEX(REPORTE_DROPI!Y:Y,
MATCH($T170, REPORTE_DROPI!B:B, 0)
),
""
),
""
)
</f>
        <v/>
      </c>
      <c r="F170" s="162">
        <v>1.0</v>
      </c>
      <c r="G170" s="122" t="str">
        <f t="array" ref="G170">IF(
UPPER(TRIM(CLEAN($O170)))="ENTREGADO",
IFERROR(
INDEX(REPORTE_DROPI!R:R,
MATCH($T170, REPORTE_DROPI!B:B, 0)
),
""
),
""
)
</f>
        <v/>
      </c>
      <c r="H170" s="118" t="s">
        <v>3727</v>
      </c>
      <c r="I170" s="118" t="s">
        <v>3740</v>
      </c>
      <c r="J170" s="121" t="str">
        <f t="array" ref="J170">IF(
UPPER(TRIM(CLEAN($O170)))="ENTREGADO",
IFERROR(
INDEX(REPORTE_DROPI!T:T,
MATCH($T170, REPORTE_DROPI!B:B, 0)
),
""
),
""
)
</f>
        <v/>
      </c>
      <c r="K170" s="118" t="str">
        <f t="array" ref="K170">IFERROR(
INDEX(REPORTE_DROPI!S:S,
MATCH($T170, REPORTE_DROPI!B:B, 0)
),
""
)</f>
        <v/>
      </c>
      <c r="L170" s="118">
        <f>IF(
  O170&lt;&gt;"DEVOLUCION",
  "",
  IF(
    T170="",
    "",
    SUMIF(DEVOLUCION!F:F, T170, DEVOLUCION!D:D)
  )
)
</f>
        <v>3.46</v>
      </c>
      <c r="M170" s="118" t="s">
        <v>5877</v>
      </c>
      <c r="N170" s="161" t="s">
        <v>6335</v>
      </c>
      <c r="O170" s="118" t="str">
        <f t="array" ref="O170">IFERROR(
VLOOKUP(
TRIM(CLEAN(
INDEX(REPORTE_DROPI!K:K,
MATCH(T170, REPORTE_DROPI!B:B, 0)
))),
{
TRIM(CLEAN(MAPA_ESTADOS!A:A)) ,
MAPA_ESTADOS!B:B
},
2,
FALSE
),
"REVISAR"
)</f>
        <v>DEVOLUCION</v>
      </c>
      <c r="P170" s="118" t="s">
        <v>5692</v>
      </c>
      <c r="Q170" s="153">
        <f t="shared" si="1"/>
        <v>0</v>
      </c>
      <c r="R170" s="163"/>
      <c r="S170" s="163"/>
      <c r="T170" s="118">
        <f t="array" ref="T170">IFERROR(
INDEX(REPORTE_DROPI!B:B,
MATCH(
CLEAN(TRIM(C170)),
CLEAN(TRIM(REPORTE_DROPI!E:E)),
0
)
),
""
)
</f>
        <v>4432008</v>
      </c>
      <c r="U170" s="163"/>
      <c r="V170" s="164"/>
    </row>
    <row r="171" ht="22.5" hidden="1" customHeight="1">
      <c r="A171" s="161">
        <v>170.0</v>
      </c>
      <c r="B171" s="119">
        <v>46059.0</v>
      </c>
      <c r="C171" s="118" t="s">
        <v>6336</v>
      </c>
      <c r="D171" s="118" t="str">
        <f>IFERROR(__xludf.DUMMYFUNCTION("IFERROR( INDEX( FILTER( 'NOMBRE DE PRODUCTOS'!B:B, REGEXMATCH( UPPER( INDEX( REPORTE_DROPI!AC:AC, MATCH(T171, REPORTE_DROPI!B:B, 0) ) ), UPPER('NOMBRE DE PRODUCTOS'!A:A) ) ), 1 ), ""REVISAR"" )"),"Cuchillo Tazaki™")</f>
        <v>Cuchillo Tazaki™</v>
      </c>
      <c r="E171" s="120" t="str">
        <f t="array" ref="E171">IF(
UPPER(TRIM(CLEAN($O171)))="ENTREGADO",
IFERROR(
INDEX(REPORTE_DROPI!Y:Y,
MATCH($T171, REPORTE_DROPI!B:B, 0)
),
""
),
""
)
</f>
        <v/>
      </c>
      <c r="F171" s="162">
        <v>4.0</v>
      </c>
      <c r="G171" s="122" t="str">
        <f t="array" ref="G171">IF(
UPPER(TRIM(CLEAN($O171)))="ENTREGADO",
IFERROR(
INDEX(REPORTE_DROPI!R:R,
MATCH($T171, REPORTE_DROPI!B:B, 0)
),
""
),
""
)
</f>
        <v/>
      </c>
      <c r="H171" s="118" t="s">
        <v>3727</v>
      </c>
      <c r="I171" s="118" t="s">
        <v>3772</v>
      </c>
      <c r="J171" s="121" t="str">
        <f t="array" ref="J171">IF(
UPPER(TRIM(CLEAN($O171)))="ENTREGADO",
IFERROR(
INDEX(REPORTE_DROPI!T:T,
MATCH($T171, REPORTE_DROPI!B:B, 0)
),
""
),
""
)
</f>
        <v/>
      </c>
      <c r="K171" s="118" t="str">
        <f t="array" ref="K171">IFERROR(
INDEX(REPORTE_DROPI!S:S,
MATCH($T171, REPORTE_DROPI!B:B, 0)
),
""
)</f>
        <v/>
      </c>
      <c r="L171" s="118">
        <f>IF(
  O171&lt;&gt;"DEVOLUCION",
  "",
  IF(
    T171="",
    "",
    SUMIF(DEVOLUCION!F:F, T171, DEVOLUCION!D:D)
  )
)
</f>
        <v>5.13</v>
      </c>
      <c r="M171" s="118" t="s">
        <v>5877</v>
      </c>
      <c r="N171" s="161" t="s">
        <v>6337</v>
      </c>
      <c r="O171" s="118" t="str">
        <f t="array" ref="O171">IFERROR(
VLOOKUP(
TRIM(CLEAN(
INDEX(REPORTE_DROPI!K:K,
MATCH(T171, REPORTE_DROPI!B:B, 0)
))),
{
TRIM(CLEAN(MAPA_ESTADOS!A:A)) ,
MAPA_ESTADOS!B:B
},
2,
FALSE
),
"REVISAR"
)</f>
        <v>DEVOLUCION</v>
      </c>
      <c r="P171" s="118" t="s">
        <v>5692</v>
      </c>
      <c r="Q171" s="153">
        <f t="shared" si="1"/>
        <v>0</v>
      </c>
      <c r="R171" s="163"/>
      <c r="S171" s="163"/>
      <c r="T171" s="118">
        <f t="array" ref="T171">IFERROR(
INDEX(REPORTE_DROPI!B:B,
MATCH(
CLEAN(TRIM(C171)),
CLEAN(TRIM(REPORTE_DROPI!E:E)),
0
)
),
""
)
</f>
        <v>4431991</v>
      </c>
      <c r="U171" s="163" t="s">
        <v>6338</v>
      </c>
      <c r="V171" s="164"/>
    </row>
    <row r="172" ht="22.5" hidden="1" customHeight="1">
      <c r="A172" s="161">
        <v>171.0</v>
      </c>
      <c r="B172" s="119">
        <v>46059.0</v>
      </c>
      <c r="C172" s="118" t="s">
        <v>6339</v>
      </c>
      <c r="D172" s="118" t="str">
        <f>IFERROR(__xludf.DUMMYFUNCTION("IFERROR( INDEX( FILTER( 'NOMBRE DE PRODUCTOS'!B:B, REGEXMATCH( UPPER( INDEX( REPORTE_DROPI!AC:AC, MATCH(T172, REPORTE_DROPI!B:B, 0) ) ), UPPER('NOMBRE DE PRODUCTOS'!A:A) ) ), 1 ), ""REVISAR"" )"),"Cuchillo Tazaki™")</f>
        <v>Cuchillo Tazaki™</v>
      </c>
      <c r="E172" s="120">
        <f t="array" ref="E172">IF(
UPPER(TRIM(CLEAN($O172)))="ENTREGADO",
IFERROR(
INDEX(REPORTE_DROPI!Y:Y,
MATCH($T172, REPORTE_DROPI!B:B, 0)
),
""
),
""
)
</f>
        <v>5.2</v>
      </c>
      <c r="F172" s="162">
        <v>2.0</v>
      </c>
      <c r="G172" s="122">
        <f t="array" ref="G172">IF(
UPPER(TRIM(CLEAN($O172)))="ENTREGADO",
IFERROR(
INDEX(REPORTE_DROPI!R:R,
MATCH($T172, REPORTE_DROPI!B:B, 0)
),
""
),
""
)
</f>
        <v>22</v>
      </c>
      <c r="H172" s="118" t="s">
        <v>3727</v>
      </c>
      <c r="I172" s="118" t="s">
        <v>3912</v>
      </c>
      <c r="J172" s="121">
        <f t="array" ref="J172">IF(
UPPER(TRIM(CLEAN($O172)))="ENTREGADO",
IFERROR(
INDEX(REPORTE_DROPI!T:T,
MATCH($T172, REPORTE_DROPI!B:B, 0)
),
""
),
""
)
</f>
        <v>5.84</v>
      </c>
      <c r="K172" s="118">
        <f t="array" ref="K172">IFERROR(
INDEX(REPORTE_DROPI!S:S,
MATCH($T172, REPORTE_DROPI!B:B, 0)
),
""
)</f>
        <v>10.96</v>
      </c>
      <c r="L172" s="118" t="str">
        <f>IF(
  O172&lt;&gt;"DEVOLUCION",
  "",
  IF(
    T172="",
    "",
    SUMIF(DEVOLUCION!F:F, T172, DEVOLUCION!D:D)
  )
)
</f>
        <v/>
      </c>
      <c r="M172" s="118" t="s">
        <v>5877</v>
      </c>
      <c r="N172" s="161" t="s">
        <v>6340</v>
      </c>
      <c r="O172" s="118" t="str">
        <f t="array" ref="O172">IFERROR(
VLOOKUP(
TRIM(CLEAN(
INDEX(REPORTE_DROPI!K:K,
MATCH(T172, REPORTE_DROPI!B:B, 0)
))),
{
TRIM(CLEAN(MAPA_ESTADOS!A:A)) ,
MAPA_ESTADOS!B:B
},
2,
FALSE
),
"REVISAR"
)</f>
        <v>ENTREGADO</v>
      </c>
      <c r="P172" s="118" t="s">
        <v>5692</v>
      </c>
      <c r="Q172" s="153">
        <f t="shared" si="1"/>
        <v>0</v>
      </c>
      <c r="R172" s="163"/>
      <c r="S172" s="163"/>
      <c r="T172" s="118">
        <f t="array" ref="T172">IFERROR(
INDEX(REPORTE_DROPI!B:B,
MATCH(
CLEAN(TRIM(C172)),
CLEAN(TRIM(REPORTE_DROPI!E:E)),
0
)
),
""
)
</f>
        <v>4431989</v>
      </c>
      <c r="U172" s="163" t="s">
        <v>6341</v>
      </c>
      <c r="V172" s="164"/>
    </row>
    <row r="173" ht="22.5" hidden="1" customHeight="1">
      <c r="A173" s="161">
        <v>172.0</v>
      </c>
      <c r="B173" s="119">
        <v>46059.0</v>
      </c>
      <c r="C173" s="118" t="s">
        <v>6342</v>
      </c>
      <c r="D173" s="118" t="str">
        <f>IFERROR(__xludf.DUMMYFUNCTION("IFERROR( INDEX( FILTER( 'NOMBRE DE PRODUCTOS'!B:B, REGEXMATCH( UPPER( INDEX( REPORTE_DROPI!AC:AC, MATCH(T173, REPORTE_DROPI!B:B, 0) ) ), UPPER('NOMBRE DE PRODUCTOS'!A:A) ) ), 1 ), ""REVISAR"" )"),"Cuchillo Tazaki™")</f>
        <v>Cuchillo Tazaki™</v>
      </c>
      <c r="E173" s="120">
        <f t="array" ref="E173">IF(
UPPER(TRIM(CLEAN($O173)))="ENTREGADO",
IFERROR(
INDEX(REPORTE_DROPI!Y:Y,
MATCH($T173, REPORTE_DROPI!B:B, 0)
),
""
),
""
)
</f>
        <v>5.2</v>
      </c>
      <c r="F173" s="162">
        <v>2.0</v>
      </c>
      <c r="G173" s="122">
        <f t="array" ref="G173">IF(
UPPER(TRIM(CLEAN($O173)))="ENTREGADO",
IFERROR(
INDEX(REPORTE_DROPI!R:R,
MATCH($T173, REPORTE_DROPI!B:B, 0)
),
""
),
""
)
</f>
        <v>22</v>
      </c>
      <c r="H173" s="118" t="s">
        <v>3727</v>
      </c>
      <c r="I173" s="118" t="s">
        <v>3731</v>
      </c>
      <c r="J173" s="121">
        <f t="array" ref="J173">IF(
UPPER(TRIM(CLEAN($O173)))="ENTREGADO",
IFERROR(
INDEX(REPORTE_DROPI!T:T,
MATCH($T173, REPORTE_DROPI!B:B, 0)
),
""
),
""
)
</f>
        <v>5.84</v>
      </c>
      <c r="K173" s="118">
        <f t="array" ref="K173">IFERROR(
INDEX(REPORTE_DROPI!S:S,
MATCH($T173, REPORTE_DROPI!B:B, 0)
),
""
)</f>
        <v>10.96</v>
      </c>
      <c r="L173" s="118" t="str">
        <f>IF(
  O173&lt;&gt;"DEVOLUCION",
  "",
  IF(
    T173="",
    "",
    SUMIF(DEVOLUCION!F:F, T173, DEVOLUCION!D:D)
  )
)
</f>
        <v/>
      </c>
      <c r="M173" s="118" t="s">
        <v>5877</v>
      </c>
      <c r="N173" s="161" t="s">
        <v>6343</v>
      </c>
      <c r="O173" s="118" t="str">
        <f t="array" ref="O173">IFERROR(
VLOOKUP(
TRIM(CLEAN(
INDEX(REPORTE_DROPI!K:K,
MATCH(T173, REPORTE_DROPI!B:B, 0)
))),
{
TRIM(CLEAN(MAPA_ESTADOS!A:A)) ,
MAPA_ESTADOS!B:B
},
2,
FALSE
),
"REVISAR"
)</f>
        <v>ENTREGADO</v>
      </c>
      <c r="P173" s="118" t="s">
        <v>5692</v>
      </c>
      <c r="Q173" s="153">
        <f t="shared" si="1"/>
        <v>0</v>
      </c>
      <c r="R173" s="163"/>
      <c r="S173" s="163"/>
      <c r="T173" s="118">
        <f t="array" ref="T173">IFERROR(
INDEX(REPORTE_DROPI!B:B,
MATCH(
CLEAN(TRIM(C173)),
CLEAN(TRIM(REPORTE_DROPI!E:E)),
0
)
),
""
)
</f>
        <v>4431988</v>
      </c>
      <c r="U173" s="163" t="s">
        <v>6344</v>
      </c>
      <c r="V173" s="166"/>
      <c r="W173" s="78">
        <v>4431988.0</v>
      </c>
    </row>
    <row r="174" ht="22.5" hidden="1" customHeight="1">
      <c r="A174" s="161">
        <v>173.0</v>
      </c>
      <c r="B174" s="119">
        <v>46059.0</v>
      </c>
      <c r="C174" s="118" t="s">
        <v>6345</v>
      </c>
      <c r="D174" s="118" t="str">
        <f>IFERROR(__xludf.DUMMYFUNCTION("IFERROR( INDEX( FILTER( 'NOMBRE DE PRODUCTOS'!B:B, REGEXMATCH( UPPER( INDEX( REPORTE_DROPI!AC:AC, MATCH(T174, REPORTE_DROPI!B:B, 0) ) ), UPPER('NOMBRE DE PRODUCTOS'!A:A) ) ), 1 ), ""REVISAR"" )"),"Cuchillo Tazaki™")</f>
        <v>Cuchillo Tazaki™</v>
      </c>
      <c r="E174" s="120">
        <f t="array" ref="E174">IF(
UPPER(TRIM(CLEAN($O174)))="ENTREGADO",
IFERROR(
INDEX(REPORTE_DROPI!Y:Y,
MATCH($T174, REPORTE_DROPI!B:B, 0)
),
""
),
""
)
</f>
        <v>5.2</v>
      </c>
      <c r="F174" s="162">
        <v>2.0</v>
      </c>
      <c r="G174" s="122">
        <f t="array" ref="G174">IF(
UPPER(TRIM(CLEAN($O174)))="ENTREGADO",
IFERROR(
INDEX(REPORTE_DROPI!R:R,
MATCH($T174, REPORTE_DROPI!B:B, 0)
),
""
),
""
)
</f>
        <v>22</v>
      </c>
      <c r="H174" s="118" t="s">
        <v>3727</v>
      </c>
      <c r="I174" s="118" t="s">
        <v>3969</v>
      </c>
      <c r="J174" s="121">
        <f t="array" ref="J174">IF(
UPPER(TRIM(CLEAN($O174)))="ENTREGADO",
IFERROR(
INDEX(REPORTE_DROPI!T:T,
MATCH($T174, REPORTE_DROPI!B:B, 0)
),
""
),
""
)
</f>
        <v>5.84</v>
      </c>
      <c r="K174" s="118">
        <f t="array" ref="K174">IFERROR(
INDEX(REPORTE_DROPI!S:S,
MATCH($T174, REPORTE_DROPI!B:B, 0)
),
""
)</f>
        <v>10.96</v>
      </c>
      <c r="L174" s="118" t="str">
        <f>IF(
  O174&lt;&gt;"DEVOLUCION",
  "",
  IF(
    T174="",
    "",
    SUMIF(DEVOLUCION!F:F, T174, DEVOLUCION!D:D)
  )
)
</f>
        <v/>
      </c>
      <c r="M174" s="118" t="s">
        <v>5877</v>
      </c>
      <c r="N174" s="161" t="s">
        <v>6346</v>
      </c>
      <c r="O174" s="118" t="str">
        <f t="array" ref="O174">IFERROR(
VLOOKUP(
TRIM(CLEAN(
INDEX(REPORTE_DROPI!K:K,
MATCH(T174, REPORTE_DROPI!B:B, 0)
))),
{
TRIM(CLEAN(MAPA_ESTADOS!A:A)) ,
MAPA_ESTADOS!B:B
},
2,
FALSE
),
"REVISAR"
)</f>
        <v>ENTREGADO</v>
      </c>
      <c r="P174" s="118" t="s">
        <v>5692</v>
      </c>
      <c r="Q174" s="153">
        <f t="shared" si="1"/>
        <v>0</v>
      </c>
      <c r="R174" s="163"/>
      <c r="S174" s="163"/>
      <c r="T174" s="118">
        <f t="array" ref="T174">IFERROR(
INDEX(REPORTE_DROPI!B:B,
MATCH(
CLEAN(TRIM(C174)),
CLEAN(TRIM(REPORTE_DROPI!E:E)),
0
)
),
""
)
</f>
        <v>4432111</v>
      </c>
      <c r="U174" s="163" t="s">
        <v>6347</v>
      </c>
      <c r="V174" s="164"/>
    </row>
    <row r="175" ht="22.5" hidden="1" customHeight="1">
      <c r="A175" s="161">
        <v>174.0</v>
      </c>
      <c r="B175" s="119">
        <v>46059.0</v>
      </c>
      <c r="C175" s="118" t="s">
        <v>6348</v>
      </c>
      <c r="D175" s="118" t="str">
        <f>IFERROR(__xludf.DUMMYFUNCTION("IFERROR( INDEX( FILTER( 'NOMBRE DE PRODUCTOS'!B:B, REGEXMATCH( UPPER( INDEX( REPORTE_DROPI!AC:AC, MATCH(T175, REPORTE_DROPI!B:B, 0) ) ), UPPER('NOMBRE DE PRODUCTOS'!A:A) ) ), 1 ), ""REVISAR"" )"),"FilmPro®")</f>
        <v>FilmPro®</v>
      </c>
      <c r="E175" s="120">
        <f t="array" ref="E175">IF(
UPPER(TRIM(CLEAN($O175)))="ENTREGADO",
IFERROR(
INDEX(REPORTE_DROPI!Y:Y,
MATCH($T175, REPORTE_DROPI!B:B, 0)
),
""
),
""
)
</f>
        <v>4.4</v>
      </c>
      <c r="F175" s="162">
        <v>2.0</v>
      </c>
      <c r="G175" s="122">
        <f t="array" ref="G175">IF(
UPPER(TRIM(CLEAN($O175)))="ENTREGADO",
IFERROR(
INDEX(REPORTE_DROPI!R:R,
MATCH($T175, REPORTE_DROPI!B:B, 0)
),
""
),
""
)
</f>
        <v>25</v>
      </c>
      <c r="H175" s="118" t="s">
        <v>3727</v>
      </c>
      <c r="I175" s="118" t="s">
        <v>3740</v>
      </c>
      <c r="J175" s="121">
        <f t="array" ref="J175">IF(
UPPER(TRIM(CLEAN($O175)))="ENTREGADO",
IFERROR(
INDEX(REPORTE_DROPI!T:T,
MATCH($T175, REPORTE_DROPI!B:B, 0)
),
""
),
""
)
</f>
        <v>4.35</v>
      </c>
      <c r="K175" s="118">
        <f t="array" ref="K175">IFERROR(
INDEX(REPORTE_DROPI!S:S,
MATCH($T175, REPORTE_DROPI!B:B, 0)
),
""
)</f>
        <v>16.25</v>
      </c>
      <c r="L175" s="118" t="str">
        <f>IF(
  O175&lt;&gt;"DEVOLUCION",
  "",
  IF(
    T175="",
    "",
    SUMIF(DEVOLUCION!F:F, T175, DEVOLUCION!D:D)
  )
)
</f>
        <v/>
      </c>
      <c r="M175" s="118" t="s">
        <v>5877</v>
      </c>
      <c r="N175" s="161" t="s">
        <v>6349</v>
      </c>
      <c r="O175" s="118" t="str">
        <f t="array" ref="O175">IFERROR(
VLOOKUP(
TRIM(CLEAN(
INDEX(REPORTE_DROPI!K:K,
MATCH(T175, REPORTE_DROPI!B:B, 0)
))),
{
TRIM(CLEAN(MAPA_ESTADOS!A:A)) ,
MAPA_ESTADOS!B:B
},
2,
FALSE
),
"REVISAR"
)</f>
        <v>ENTREGADO</v>
      </c>
      <c r="P175" s="118" t="s">
        <v>5692</v>
      </c>
      <c r="Q175" s="153">
        <f t="shared" si="1"/>
        <v>0</v>
      </c>
      <c r="R175" s="163"/>
      <c r="S175" s="163"/>
      <c r="T175" s="118">
        <f t="array" ref="T175">IFERROR(
INDEX(REPORTE_DROPI!B:B,
MATCH(
CLEAN(TRIM(C175)),
CLEAN(TRIM(REPORTE_DROPI!E:E)),
0
)
),
""
)
</f>
        <v>4432108</v>
      </c>
      <c r="U175" s="163" t="s">
        <v>6350</v>
      </c>
      <c r="V175" s="164"/>
    </row>
    <row r="176" ht="22.5" hidden="1" customHeight="1">
      <c r="A176" s="161">
        <v>175.0</v>
      </c>
      <c r="B176" s="119">
        <v>46059.0</v>
      </c>
      <c r="C176" s="118" t="s">
        <v>6351</v>
      </c>
      <c r="D176" s="118" t="str">
        <f>IFERROR(__xludf.DUMMYFUNCTION("IFERROR( INDEX( FILTER( 'NOMBRE DE PRODUCTOS'!B:B, REGEXMATCH( UPPER( INDEX( REPORTE_DROPI!AC:AC, MATCH(T176, REPORTE_DROPI!B:B, 0) ) ), UPPER('NOMBRE DE PRODUCTOS'!A:A) ) ), 1 ), ""REVISAR"" )"),"FilmPro®")</f>
        <v>FilmPro®</v>
      </c>
      <c r="E176" s="120">
        <f t="array" ref="E176">IF(
UPPER(TRIM(CLEAN($O176)))="ENTREGADO",
IFERROR(
INDEX(REPORTE_DROPI!Y:Y,
MATCH($T176, REPORTE_DROPI!B:B, 0)
),
""
),
""
)
</f>
        <v>6.6</v>
      </c>
      <c r="F176" s="162">
        <v>3.0</v>
      </c>
      <c r="G176" s="122">
        <f t="array" ref="G176">IF(
UPPER(TRIM(CLEAN($O176)))="ENTREGADO",
IFERROR(
INDEX(REPORTE_DROPI!R:R,
MATCH($T176, REPORTE_DROPI!B:B, 0)
),
""
),
""
)
</f>
        <v>30</v>
      </c>
      <c r="H176" s="118" t="s">
        <v>3727</v>
      </c>
      <c r="I176" s="118" t="s">
        <v>3784</v>
      </c>
      <c r="J176" s="121">
        <f t="array" ref="J176">IF(
UPPER(TRIM(CLEAN($O176)))="ENTREGADO",
IFERROR(
INDEX(REPORTE_DROPI!T:T,
MATCH($T176, REPORTE_DROPI!B:B, 0)
),
""
),
""
)
</f>
        <v>6.16</v>
      </c>
      <c r="K176" s="118">
        <f t="array" ref="K176">IFERROR(
INDEX(REPORTE_DROPI!S:S,
MATCH($T176, REPORTE_DROPI!B:B, 0)
),
""
)</f>
        <v>17.24</v>
      </c>
      <c r="L176" s="118" t="str">
        <f>IF(
  O176&lt;&gt;"DEVOLUCION",
  "",
  IF(
    T176="",
    "",
    SUMIF(DEVOLUCION!F:F, T176, DEVOLUCION!D:D)
  )
)
</f>
        <v/>
      </c>
      <c r="M176" s="118" t="s">
        <v>5877</v>
      </c>
      <c r="N176" s="161" t="s">
        <v>6352</v>
      </c>
      <c r="O176" s="118" t="str">
        <f t="array" ref="O176">IFERROR(
VLOOKUP(
TRIM(CLEAN(
INDEX(REPORTE_DROPI!K:K,
MATCH(T176, REPORTE_DROPI!B:B, 0)
))),
{
TRIM(CLEAN(MAPA_ESTADOS!A:A)) ,
MAPA_ESTADOS!B:B
},
2,
FALSE
),
"REVISAR"
)</f>
        <v>ENTREGADO</v>
      </c>
      <c r="P176" s="118" t="s">
        <v>5692</v>
      </c>
      <c r="Q176" s="153">
        <f t="shared" si="1"/>
        <v>0</v>
      </c>
      <c r="R176" s="163"/>
      <c r="S176" s="163"/>
      <c r="T176" s="118">
        <f t="array" ref="T176">IFERROR(
INDEX(REPORTE_DROPI!B:B,
MATCH(
CLEAN(TRIM(C176)),
CLEAN(TRIM(REPORTE_DROPI!E:E)),
0
)
),
""
)
</f>
        <v>4432106</v>
      </c>
      <c r="U176" s="163" t="s">
        <v>6353</v>
      </c>
      <c r="V176" s="164"/>
    </row>
    <row r="177" ht="22.5" hidden="1" customHeight="1">
      <c r="A177" s="161">
        <v>176.0</v>
      </c>
      <c r="B177" s="119">
        <v>46059.0</v>
      </c>
      <c r="C177" s="118" t="s">
        <v>6354</v>
      </c>
      <c r="D177" s="118" t="str">
        <f>IFERROR(__xludf.DUMMYFUNCTION("IFERROR( INDEX( FILTER( 'NOMBRE DE PRODUCTOS'!B:B, REGEXMATCH( UPPER( INDEX( REPORTE_DROPI!AC:AC, MATCH(T177, REPORTE_DROPI!B:B, 0) ) ), UPPER('NOMBRE DE PRODUCTOS'!A:A) ) ), 1 ), ""REVISAR"" )"),"Cuchillo Tazaki™")</f>
        <v>Cuchillo Tazaki™</v>
      </c>
      <c r="E177" s="120">
        <f t="array" ref="E177">IF(
UPPER(TRIM(CLEAN($O177)))="ENTREGADO",
IFERROR(
INDEX(REPORTE_DROPI!Y:Y,
MATCH($T177, REPORTE_DROPI!B:B, 0)
),
""
),
""
)
</f>
        <v>7.8</v>
      </c>
      <c r="F177" s="162">
        <v>3.0</v>
      </c>
      <c r="G177" s="122">
        <f t="array" ref="G177">IF(
UPPER(TRIM(CLEAN($O177)))="ENTREGADO",
IFERROR(
INDEX(REPORTE_DROPI!R:R,
MATCH($T177, REPORTE_DROPI!B:B, 0)
),
""
),
""
)
</f>
        <v>27</v>
      </c>
      <c r="H177" s="118" t="s">
        <v>3727</v>
      </c>
      <c r="I177" s="118" t="s">
        <v>3728</v>
      </c>
      <c r="J177" s="121">
        <f t="array" ref="J177">IF(
UPPER(TRIM(CLEAN($O177)))="ENTREGADO",
IFERROR(
INDEX(REPORTE_DROPI!T:T,
MATCH($T177, REPORTE_DROPI!B:B, 0)
),
""
),
""
)
</f>
        <v>6.03</v>
      </c>
      <c r="K177" s="118">
        <f t="array" ref="K177">IFERROR(
INDEX(REPORTE_DROPI!S:S,
MATCH($T177, REPORTE_DROPI!B:B, 0)
),
""
)</f>
        <v>13.17</v>
      </c>
      <c r="L177" s="118" t="str">
        <f>IF(
  O177&lt;&gt;"DEVOLUCION",
  "",
  IF(
    T177="",
    "",
    SUMIF(DEVOLUCION!F:F, T177, DEVOLUCION!D:D)
  )
)
</f>
        <v/>
      </c>
      <c r="M177" s="118" t="s">
        <v>5877</v>
      </c>
      <c r="N177" s="161" t="s">
        <v>6355</v>
      </c>
      <c r="O177" s="118" t="str">
        <f t="array" ref="O177">IFERROR(
VLOOKUP(
TRIM(CLEAN(
INDEX(REPORTE_DROPI!K:K,
MATCH(T177, REPORTE_DROPI!B:B, 0)
))),
{
TRIM(CLEAN(MAPA_ESTADOS!A:A)) ,
MAPA_ESTADOS!B:B
},
2,
FALSE
),
"REVISAR"
)</f>
        <v>ENTREGADO</v>
      </c>
      <c r="P177" s="118" t="s">
        <v>5692</v>
      </c>
      <c r="Q177" s="153">
        <f t="shared" si="1"/>
        <v>0</v>
      </c>
      <c r="R177" s="163"/>
      <c r="S177" s="163"/>
      <c r="T177" s="118">
        <f t="array" ref="T177">IFERROR(
INDEX(REPORTE_DROPI!B:B,
MATCH(
CLEAN(TRIM(C177)),
CLEAN(TRIM(REPORTE_DROPI!E:E)),
0
)
),
""
)
</f>
        <v>4432104</v>
      </c>
      <c r="U177" s="163">
        <v>1.64163133106E11</v>
      </c>
      <c r="V177" s="164"/>
    </row>
    <row r="178" ht="22.5" hidden="1" customHeight="1">
      <c r="A178" s="161">
        <v>177.0</v>
      </c>
      <c r="B178" s="119">
        <v>46059.0</v>
      </c>
      <c r="C178" s="118" t="s">
        <v>6356</v>
      </c>
      <c r="D178" s="118" t="str">
        <f>IFERROR(__xludf.DUMMYFUNCTION("IFERROR( INDEX( FILTER( 'NOMBRE DE PRODUCTOS'!B:B, REGEXMATCH( UPPER( INDEX( REPORTE_DROPI!AC:AC, MATCH(T178, REPORTE_DROPI!B:B, 0) ) ), UPPER('NOMBRE DE PRODUCTOS'!A:A) ) ), 1 ), ""REVISAR"" )"),"FilmPro®")</f>
        <v>FilmPro®</v>
      </c>
      <c r="E178" s="120">
        <f t="array" ref="E178">IF(
UPPER(TRIM(CLEAN($O178)))="ENTREGADO",
IFERROR(
INDEX(REPORTE_DROPI!Y:Y,
MATCH($T178, REPORTE_DROPI!B:B, 0)
),
""
),
""
)
</f>
        <v>6.6</v>
      </c>
      <c r="F178" s="162">
        <v>3.0</v>
      </c>
      <c r="G178" s="122">
        <f t="array" ref="G178">IF(
UPPER(TRIM(CLEAN($O178)))="ENTREGADO",
IFERROR(
INDEX(REPORTE_DROPI!R:R,
MATCH($T178, REPORTE_DROPI!B:B, 0)
),
""
),
""
)
</f>
        <v>30</v>
      </c>
      <c r="H178" s="118" t="s">
        <v>3727</v>
      </c>
      <c r="I178" s="118" t="s">
        <v>3801</v>
      </c>
      <c r="J178" s="121">
        <f t="array" ref="J178">IF(
UPPER(TRIM(CLEAN($O178)))="ENTREGADO",
IFERROR(
INDEX(REPORTE_DROPI!T:T,
MATCH($T178, REPORTE_DROPI!B:B, 0)
),
""
),
""
)
</f>
        <v>7.48</v>
      </c>
      <c r="K178" s="118">
        <f t="array" ref="K178">IFERROR(
INDEX(REPORTE_DROPI!S:S,
MATCH($T178, REPORTE_DROPI!B:B, 0)
),
""
)</f>
        <v>15.92</v>
      </c>
      <c r="L178" s="118" t="str">
        <f>IF(
  O178&lt;&gt;"DEVOLUCION",
  "",
  IF(
    T178="",
    "",
    SUMIF(DEVOLUCION!F:F, T178, DEVOLUCION!D:D)
  )
)
</f>
        <v/>
      </c>
      <c r="M178" s="118" t="s">
        <v>5877</v>
      </c>
      <c r="N178" s="161" t="s">
        <v>6357</v>
      </c>
      <c r="O178" s="118" t="str">
        <f t="array" ref="O178">IFERROR(
VLOOKUP(
TRIM(CLEAN(
INDEX(REPORTE_DROPI!K:K,
MATCH(T178, REPORTE_DROPI!B:B, 0)
))),
{
TRIM(CLEAN(MAPA_ESTADOS!A:A)) ,
MAPA_ESTADOS!B:B
},
2,
FALSE
),
"REVISAR"
)</f>
        <v>ENTREGADO</v>
      </c>
      <c r="P178" s="118" t="s">
        <v>5692</v>
      </c>
      <c r="Q178" s="153">
        <f t="shared" si="1"/>
        <v>0</v>
      </c>
      <c r="R178" s="163"/>
      <c r="S178" s="163"/>
      <c r="T178" s="118">
        <f t="array" ref="T178">IFERROR(
INDEX(REPORTE_DROPI!B:B,
MATCH(
CLEAN(TRIM(C178)),
CLEAN(TRIM(REPORTE_DROPI!E:E)),
0
)
),
""
)
</f>
        <v>4432102</v>
      </c>
      <c r="U178" s="163" t="s">
        <v>6358</v>
      </c>
      <c r="V178" s="164"/>
    </row>
    <row r="179" ht="22.5" hidden="1" customHeight="1">
      <c r="A179" s="161">
        <v>178.0</v>
      </c>
      <c r="B179" s="119">
        <v>46059.0</v>
      </c>
      <c r="C179" s="118" t="s">
        <v>6359</v>
      </c>
      <c r="D179" s="118" t="str">
        <f>IFERROR(__xludf.DUMMYFUNCTION("IFERROR( INDEX( FILTER( 'NOMBRE DE PRODUCTOS'!B:B, REGEXMATCH( UPPER( INDEX( REPORTE_DROPI!AC:AC, MATCH(T179, REPORTE_DROPI!B:B, 0) ) ), UPPER('NOMBRE DE PRODUCTOS'!A:A) ) ), 1 ), ""REVISAR"" )"),"FilmPro®")</f>
        <v>FilmPro®</v>
      </c>
      <c r="E179" s="120">
        <f t="array" ref="E179">IF(
UPPER(TRIM(CLEAN($O179)))="ENTREGADO",
IFERROR(
INDEX(REPORTE_DROPI!Y:Y,
MATCH($T179, REPORTE_DROPI!B:B, 0)
),
""
),
""
)
</f>
        <v>2.2</v>
      </c>
      <c r="F179" s="162">
        <v>1.0</v>
      </c>
      <c r="G179" s="122">
        <f t="array" ref="G179">IF(
UPPER(TRIM(CLEAN($O179)))="ENTREGADO",
IFERROR(
INDEX(REPORTE_DROPI!R:R,
MATCH($T179, REPORTE_DROPI!B:B, 0)
),
""
),
""
)
</f>
        <v>20</v>
      </c>
      <c r="H179" s="118" t="s">
        <v>3727</v>
      </c>
      <c r="I179" s="118" t="s">
        <v>3979</v>
      </c>
      <c r="J179" s="121">
        <f t="array" ref="J179">IF(
UPPER(TRIM(CLEAN($O179)))="ENTREGADO",
IFERROR(
INDEX(REPORTE_DROPI!T:T,
MATCH($T179, REPORTE_DROPI!B:B, 0)
),
""
),
""
)
</f>
        <v>5.76</v>
      </c>
      <c r="K179" s="118">
        <f t="array" ref="K179">IFERROR(
INDEX(REPORTE_DROPI!S:S,
MATCH($T179, REPORTE_DROPI!B:B, 0)
),
""
)</f>
        <v>12.04</v>
      </c>
      <c r="L179" s="118" t="str">
        <f>IF(
  O179&lt;&gt;"DEVOLUCION",
  "",
  IF(
    T179="",
    "",
    SUMIF(DEVOLUCION!F:F, T179, DEVOLUCION!D:D)
  )
)
</f>
        <v/>
      </c>
      <c r="M179" s="118" t="s">
        <v>5877</v>
      </c>
      <c r="N179" s="161" t="s">
        <v>6360</v>
      </c>
      <c r="O179" s="118" t="str">
        <f t="array" ref="O179">IFERROR(
VLOOKUP(
TRIM(CLEAN(
INDEX(REPORTE_DROPI!K:K,
MATCH(T179, REPORTE_DROPI!B:B, 0)
))),
{
TRIM(CLEAN(MAPA_ESTADOS!A:A)) ,
MAPA_ESTADOS!B:B
},
2,
FALSE
),
"REVISAR"
)</f>
        <v>ENTREGADO</v>
      </c>
      <c r="P179" s="118" t="s">
        <v>5692</v>
      </c>
      <c r="Q179" s="153">
        <f t="shared" si="1"/>
        <v>0</v>
      </c>
      <c r="R179" s="163"/>
      <c r="S179" s="163"/>
      <c r="T179" s="118">
        <f t="array" ref="T179">IFERROR(
INDEX(REPORTE_DROPI!B:B,
MATCH(
CLEAN(TRIM(C179)),
CLEAN(TRIM(REPORTE_DROPI!E:E)),
0
)
),
""
)
</f>
        <v>4432100</v>
      </c>
      <c r="U179" s="163" t="s">
        <v>6361</v>
      </c>
      <c r="V179" s="164"/>
    </row>
    <row r="180" ht="22.5" hidden="1" customHeight="1">
      <c r="A180" s="161">
        <v>179.0</v>
      </c>
      <c r="B180" s="119">
        <v>46059.0</v>
      </c>
      <c r="C180" s="118" t="s">
        <v>6362</v>
      </c>
      <c r="D180" s="118" t="str">
        <f>IFERROR(__xludf.DUMMYFUNCTION("IFERROR( INDEX( FILTER( 'NOMBRE DE PRODUCTOS'!B:B, REGEXMATCH( UPPER( INDEX( REPORTE_DROPI!AC:AC, MATCH(T180, REPORTE_DROPI!B:B, 0) ) ), UPPER('NOMBRE DE PRODUCTOS'!A:A) ) ), 1 ), ""REVISAR"" )"),"Cuchillo Tazaki™")</f>
        <v>Cuchillo Tazaki™</v>
      </c>
      <c r="E180" s="120" t="str">
        <f t="array" ref="E180">IF(
UPPER(TRIM(CLEAN($O180)))="ENTREGADO",
IFERROR(
INDEX(REPORTE_DROPI!Y:Y,
MATCH($T180, REPORTE_DROPI!B:B, 0)
),
""
),
""
)
</f>
        <v/>
      </c>
      <c r="F180" s="162">
        <v>2.0</v>
      </c>
      <c r="G180" s="122" t="str">
        <f t="array" ref="G180">IF(
UPPER(TRIM(CLEAN($O180)))="ENTREGADO",
IFERROR(
INDEX(REPORTE_DROPI!R:R,
MATCH($T180, REPORTE_DROPI!B:B, 0)
),
""
),
""
)
</f>
        <v/>
      </c>
      <c r="H180" s="118" t="s">
        <v>3727</v>
      </c>
      <c r="I180" s="118" t="s">
        <v>3740</v>
      </c>
      <c r="J180" s="121" t="str">
        <f t="array" ref="J180">IF(
UPPER(TRIM(CLEAN($O180)))="ENTREGADO",
IFERROR(
INDEX(REPORTE_DROPI!T:T,
MATCH($T180, REPORTE_DROPI!B:B, 0)
),
""
),
""
)
</f>
        <v/>
      </c>
      <c r="K180" s="118" t="str">
        <f t="array" ref="K180">IFERROR(
INDEX(REPORTE_DROPI!S:S,
MATCH($T180, REPORTE_DROPI!B:B, 0)
),
""
)</f>
        <v/>
      </c>
      <c r="L180" s="118" t="str">
        <f>IF(
  O180&lt;&gt;"DEVOLUCION",
  "",
  IF(
    T180="",
    "",
    SUMIF(DEVOLUCION!F:F, T180, DEVOLUCION!D:D)
  )
)
</f>
        <v/>
      </c>
      <c r="M180" s="118" t="s">
        <v>5877</v>
      </c>
      <c r="N180" s="161" t="s">
        <v>6363</v>
      </c>
      <c r="O180" s="118" t="str">
        <f t="array" ref="O180">IFERROR(
VLOOKUP(
TRIM(CLEAN(
INDEX(REPORTE_DROPI!K:K,
MATCH(T180, REPORTE_DROPI!B:B, 0)
))),
{
TRIM(CLEAN(MAPA_ESTADOS!A:A)) ,
MAPA_ESTADOS!B:B
},
2,
FALSE
),
"REVISAR"
)</f>
        <v>PENDIENTE</v>
      </c>
      <c r="P180" s="118" t="s">
        <v>6364</v>
      </c>
      <c r="Q180" s="153">
        <f t="shared" si="1"/>
        <v>0</v>
      </c>
      <c r="R180" s="163"/>
      <c r="S180" s="163"/>
      <c r="T180" s="118">
        <f t="array" ref="T180">IFERROR(
INDEX(REPORTE_DROPI!B:B,
MATCH(
CLEAN(TRIM(C180)),
CLEAN(TRIM(REPORTE_DROPI!E:E)),
0
)
),
""
)
</f>
        <v>4432099</v>
      </c>
      <c r="U180" s="163" t="s">
        <v>6365</v>
      </c>
      <c r="V180" s="164"/>
    </row>
    <row r="181" ht="22.5" hidden="1" customHeight="1">
      <c r="A181" s="161">
        <v>180.0</v>
      </c>
      <c r="B181" s="119">
        <v>46059.0</v>
      </c>
      <c r="C181" s="118" t="s">
        <v>6366</v>
      </c>
      <c r="D181" s="118" t="str">
        <f>IFERROR(__xludf.DUMMYFUNCTION("IFERROR( INDEX( FILTER( 'NOMBRE DE PRODUCTOS'!B:B, REGEXMATCH( UPPER( INDEX( REPORTE_DROPI!AC:AC, MATCH(T181, REPORTE_DROPI!B:B, 0) ) ), UPPER('NOMBRE DE PRODUCTOS'!A:A) ) ), 1 ), ""REVISAR"" )"),"Cuchillo Tazaki™")</f>
        <v>Cuchillo Tazaki™</v>
      </c>
      <c r="E181" s="120">
        <f t="array" ref="E181">IF(
UPPER(TRIM(CLEAN($O181)))="ENTREGADO",
IFERROR(
INDEX(REPORTE_DROPI!Y:Y,
MATCH($T181, REPORTE_DROPI!B:B, 0)
),
""
),
""
)
</f>
        <v>5.2</v>
      </c>
      <c r="F181" s="162">
        <v>2.0</v>
      </c>
      <c r="G181" s="122">
        <f t="array" ref="G181">IF(
UPPER(TRIM(CLEAN($O181)))="ENTREGADO",
IFERROR(
INDEX(REPORTE_DROPI!R:R,
MATCH($T181, REPORTE_DROPI!B:B, 0)
),
""
),
""
)
</f>
        <v>22</v>
      </c>
      <c r="H181" s="118" t="s">
        <v>3727</v>
      </c>
      <c r="I181" s="118" t="s">
        <v>3770</v>
      </c>
      <c r="J181" s="121">
        <f t="array" ref="J181">IF(
UPPER(TRIM(CLEAN($O181)))="ENTREGADO",
IFERROR(
INDEX(REPORTE_DROPI!T:T,
MATCH($T181, REPORTE_DROPI!B:B, 0)
),
""
),
""
)
</f>
        <v>5.84</v>
      </c>
      <c r="K181" s="118">
        <f t="array" ref="K181">IFERROR(
INDEX(REPORTE_DROPI!S:S,
MATCH($T181, REPORTE_DROPI!B:B, 0)
),
""
)</f>
        <v>10.96</v>
      </c>
      <c r="L181" s="118" t="str">
        <f>IF(
  O181&lt;&gt;"DEVOLUCION",
  "",
  IF(
    T181="",
    "",
    SUMIF(DEVOLUCION!F:F, T181, DEVOLUCION!D:D)
  )
)
</f>
        <v/>
      </c>
      <c r="M181" s="118" t="s">
        <v>5877</v>
      </c>
      <c r="N181" s="161" t="s">
        <v>6367</v>
      </c>
      <c r="O181" s="118" t="str">
        <f t="array" ref="O181">IFERROR(
VLOOKUP(
TRIM(CLEAN(
INDEX(REPORTE_DROPI!K:K,
MATCH(T181, REPORTE_DROPI!B:B, 0)
))),
{
TRIM(CLEAN(MAPA_ESTADOS!A:A)) ,
MAPA_ESTADOS!B:B
},
2,
FALSE
),
"REVISAR"
)</f>
        <v>ENTREGADO</v>
      </c>
      <c r="P181" s="118" t="s">
        <v>5692</v>
      </c>
      <c r="Q181" s="153">
        <f t="shared" si="1"/>
        <v>0</v>
      </c>
      <c r="R181" s="163"/>
      <c r="S181" s="163"/>
      <c r="T181" s="118">
        <f t="array" ref="T181">IFERROR(
INDEX(REPORTE_DROPI!B:B,
MATCH(
CLEAN(TRIM(C181)),
CLEAN(TRIM(REPORTE_DROPI!E:E)),
0
)
),
""
)
</f>
        <v>4432098</v>
      </c>
      <c r="U181" s="163" t="s">
        <v>6368</v>
      </c>
      <c r="V181" s="164"/>
    </row>
    <row r="182" ht="22.5" hidden="1" customHeight="1">
      <c r="A182" s="161">
        <v>181.0</v>
      </c>
      <c r="B182" s="119">
        <v>46059.0</v>
      </c>
      <c r="C182" s="118" t="s">
        <v>6369</v>
      </c>
      <c r="D182" s="118" t="str">
        <f>IFERROR(__xludf.DUMMYFUNCTION("IFERROR( INDEX( FILTER( 'NOMBRE DE PRODUCTOS'!B:B, REGEXMATCH( UPPER( INDEX( REPORTE_DROPI!AC:AC, MATCH(T182, REPORTE_DROPI!B:B, 0) ) ), UPPER('NOMBRE DE PRODUCTOS'!A:A) ) ), 1 ), ""REVISAR"" )"),"FilmPro®")</f>
        <v>FilmPro®</v>
      </c>
      <c r="E182" s="120">
        <f t="array" ref="E182">IF(
UPPER(TRIM(CLEAN($O182)))="ENTREGADO",
IFERROR(
INDEX(REPORTE_DROPI!Y:Y,
MATCH($T182, REPORTE_DROPI!B:B, 0)
),
""
),
""
)
</f>
        <v>2.2</v>
      </c>
      <c r="F182" s="162">
        <v>1.0</v>
      </c>
      <c r="G182" s="122">
        <f t="array" ref="G182">IF(
UPPER(TRIM(CLEAN($O182)))="ENTREGADO",
IFERROR(
INDEX(REPORTE_DROPI!R:R,
MATCH($T182, REPORTE_DROPI!B:B, 0)
),
""
),
""
)
</f>
        <v>20</v>
      </c>
      <c r="H182" s="118" t="s">
        <v>3727</v>
      </c>
      <c r="I182" s="118" t="s">
        <v>3784</v>
      </c>
      <c r="J182" s="121">
        <f t="array" ref="J182">IF(
UPPER(TRIM(CLEAN($O182)))="ENTREGADO",
IFERROR(
INDEX(REPORTE_DROPI!T:T,
MATCH($T182, REPORTE_DROPI!B:B, 0)
),
""
),
""
)
</f>
        <v>5.76</v>
      </c>
      <c r="K182" s="118">
        <f t="array" ref="K182">IFERROR(
INDEX(REPORTE_DROPI!S:S,
MATCH($T182, REPORTE_DROPI!B:B, 0)
),
""
)</f>
        <v>12.04</v>
      </c>
      <c r="L182" s="118" t="str">
        <f>IF(
  O182&lt;&gt;"DEVOLUCION",
  "",
  IF(
    T182="",
    "",
    SUMIF(DEVOLUCION!F:F, T182, DEVOLUCION!D:D)
  )
)
</f>
        <v/>
      </c>
      <c r="M182" s="118" t="s">
        <v>5877</v>
      </c>
      <c r="N182" s="161" t="s">
        <v>6370</v>
      </c>
      <c r="O182" s="118" t="str">
        <f t="array" ref="O182">IFERROR(
VLOOKUP(
TRIM(CLEAN(
INDEX(REPORTE_DROPI!K:K,
MATCH(T182, REPORTE_DROPI!B:B, 0)
))),
{
TRIM(CLEAN(MAPA_ESTADOS!A:A)) ,
MAPA_ESTADOS!B:B
},
2,
FALSE
),
"REVISAR"
)</f>
        <v>ENTREGADO</v>
      </c>
      <c r="P182" s="118" t="s">
        <v>5692</v>
      </c>
      <c r="Q182" s="153">
        <f t="shared" si="1"/>
        <v>0</v>
      </c>
      <c r="R182" s="163"/>
      <c r="S182" s="163"/>
      <c r="T182" s="118">
        <f t="array" ref="T182">IFERROR(
INDEX(REPORTE_DROPI!B:B,
MATCH(
CLEAN(TRIM(C182)),
CLEAN(TRIM(REPORTE_DROPI!E:E)),
0
)
),
""
)
</f>
        <v>4432097</v>
      </c>
      <c r="U182" s="163" t="s">
        <v>6371</v>
      </c>
      <c r="V182" s="164"/>
    </row>
    <row r="183" ht="22.5" hidden="1" customHeight="1">
      <c r="A183" s="161">
        <v>182.0</v>
      </c>
      <c r="B183" s="119">
        <v>46059.0</v>
      </c>
      <c r="C183" s="118" t="s">
        <v>6372</v>
      </c>
      <c r="D183" s="118" t="str">
        <f>IFERROR(__xludf.DUMMYFUNCTION("IFERROR( INDEX( FILTER( 'NOMBRE DE PRODUCTOS'!B:B, REGEXMATCH( UPPER( INDEX( REPORTE_DROPI!AC:AC, MATCH(T183, REPORTE_DROPI!B:B, 0) ) ), UPPER('NOMBRE DE PRODUCTOS'!A:A) ) ), 1 ), ""REVISAR"" )"),"Cuchillo Tazaki™")</f>
        <v>Cuchillo Tazaki™</v>
      </c>
      <c r="E183" s="120" t="str">
        <f t="array" ref="E183">IF(
UPPER(TRIM(CLEAN($O183)))="ENTREGADO",
IFERROR(
INDEX(REPORTE_DROPI!Y:Y,
MATCH($T183, REPORTE_DROPI!B:B, 0)
),
""
),
""
)
</f>
        <v/>
      </c>
      <c r="F183" s="162">
        <v>2.0</v>
      </c>
      <c r="G183" s="122" t="str">
        <f t="array" ref="G183">IF(
UPPER(TRIM(CLEAN($O183)))="ENTREGADO",
IFERROR(
INDEX(REPORTE_DROPI!R:R,
MATCH($T183, REPORTE_DROPI!B:B, 0)
),
""
),
""
)
</f>
        <v/>
      </c>
      <c r="H183" s="118" t="s">
        <v>3727</v>
      </c>
      <c r="I183" s="118" t="s">
        <v>3731</v>
      </c>
      <c r="J183" s="121" t="str">
        <f t="array" ref="J183">IF(
UPPER(TRIM(CLEAN($O183)))="ENTREGADO",
IFERROR(
INDEX(REPORTE_DROPI!T:T,
MATCH($T183, REPORTE_DROPI!B:B, 0)
),
""
),
""
)
</f>
        <v/>
      </c>
      <c r="K183" s="118" t="str">
        <f t="array" ref="K183">IFERROR(
INDEX(REPORTE_DROPI!S:S,
MATCH($T183, REPORTE_DROPI!B:B, 0)
),
""
)</f>
        <v/>
      </c>
      <c r="L183" s="118">
        <f>IF(
  O183&lt;&gt;"DEVOLUCION",
  "",
  IF(
    T183="",
    "",
    SUMIF(DEVOLUCION!F:F, T183, DEVOLUCION!D:D)
  )
)
</f>
        <v>5.07</v>
      </c>
      <c r="M183" s="118" t="s">
        <v>5877</v>
      </c>
      <c r="N183" s="161" t="s">
        <v>6373</v>
      </c>
      <c r="O183" s="118" t="str">
        <f t="array" ref="O183">IFERROR(
VLOOKUP(
TRIM(CLEAN(
INDEX(REPORTE_DROPI!K:K,
MATCH(T183, REPORTE_DROPI!B:B, 0)
))),
{
TRIM(CLEAN(MAPA_ESTADOS!A:A)) ,
MAPA_ESTADOS!B:B
},
2,
FALSE
),
"REVISAR"
)</f>
        <v>DEVOLUCION</v>
      </c>
      <c r="P183" s="118" t="s">
        <v>5692</v>
      </c>
      <c r="Q183" s="153">
        <f t="shared" si="1"/>
        <v>0</v>
      </c>
      <c r="R183" s="163"/>
      <c r="S183" s="163"/>
      <c r="T183" s="118">
        <f t="array" ref="T183">IFERROR(
INDEX(REPORTE_DROPI!B:B,
MATCH(
CLEAN(TRIM(C183)),
CLEAN(TRIM(REPORTE_DROPI!E:E)),
0
)
),
""
)
</f>
        <v>4432096</v>
      </c>
      <c r="U183" s="163" t="s">
        <v>6374</v>
      </c>
      <c r="V183" s="164"/>
    </row>
    <row r="184" ht="22.5" hidden="1" customHeight="1">
      <c r="A184" s="161">
        <v>183.0</v>
      </c>
      <c r="B184" s="119">
        <v>46059.0</v>
      </c>
      <c r="C184" s="118" t="s">
        <v>6375</v>
      </c>
      <c r="D184" s="118" t="str">
        <f>IFERROR(__xludf.DUMMYFUNCTION("IFERROR( INDEX( FILTER( 'NOMBRE DE PRODUCTOS'!B:B, REGEXMATCH( UPPER( INDEX( REPORTE_DROPI!AC:AC, MATCH(T184, REPORTE_DROPI!B:B, 0) ) ), UPPER('NOMBRE DE PRODUCTOS'!A:A) ) ), 1 ), ""REVISAR"" )"),"FilmPro®")</f>
        <v>FilmPro®</v>
      </c>
      <c r="E184" s="120" t="str">
        <f t="array" ref="E184">IF(
UPPER(TRIM(CLEAN($O184)))="ENTREGADO",
IFERROR(
INDEX(REPORTE_DROPI!Y:Y,
MATCH($T184, REPORTE_DROPI!B:B, 0)
),
""
),
""
)
</f>
        <v/>
      </c>
      <c r="F184" s="162">
        <v>1.0</v>
      </c>
      <c r="G184" s="122" t="str">
        <f t="array" ref="G184">IF(
UPPER(TRIM(CLEAN($O184)))="ENTREGADO",
IFERROR(
INDEX(REPORTE_DROPI!R:R,
MATCH($T184, REPORTE_DROPI!B:B, 0)
),
""
),
""
)
</f>
        <v/>
      </c>
      <c r="H184" s="118" t="s">
        <v>3727</v>
      </c>
      <c r="I184" s="118" t="s">
        <v>3731</v>
      </c>
      <c r="J184" s="121" t="str">
        <f t="array" ref="J184">IF(
UPPER(TRIM(CLEAN($O184)))="ENTREGADO",
IFERROR(
INDEX(REPORTE_DROPI!T:T,
MATCH($T184, REPORTE_DROPI!B:B, 0)
),
""
),
""
)
</f>
        <v/>
      </c>
      <c r="K184" s="118" t="str">
        <f t="array" ref="K184">IFERROR(
INDEX(REPORTE_DROPI!S:S,
MATCH($T184, REPORTE_DROPI!B:B, 0)
),
""
)</f>
        <v/>
      </c>
      <c r="L184" s="118" t="str">
        <f>IF(
  O184&lt;&gt;"DEVOLUCION",
  "",
  IF(
    T184="",
    "",
    SUMIF(DEVOLUCION!F:F, T184, DEVOLUCION!D:D)
  )
)
</f>
        <v/>
      </c>
      <c r="M184" s="118" t="s">
        <v>5877</v>
      </c>
      <c r="N184" s="161" t="s">
        <v>6376</v>
      </c>
      <c r="O184" s="118" t="str">
        <f t="array" ref="O184">IFERROR(
VLOOKUP(
TRIM(CLEAN(
INDEX(REPORTE_DROPI!K:K,
MATCH(T184, REPORTE_DROPI!B:B, 0)
))),
{
TRIM(CLEAN(MAPA_ESTADOS!A:A)) ,
MAPA_ESTADOS!B:B
},
2,
FALSE
),
"REVISAR"
)</f>
        <v>PENDIENTE</v>
      </c>
      <c r="P184" s="118" t="s">
        <v>6364</v>
      </c>
      <c r="Q184" s="153">
        <f t="shared" si="1"/>
        <v>0</v>
      </c>
      <c r="R184" s="163"/>
      <c r="S184" s="163"/>
      <c r="T184" s="118">
        <f t="array" ref="T184">IFERROR(
INDEX(REPORTE_DROPI!B:B,
MATCH(
CLEAN(TRIM(C184)),
CLEAN(TRIM(REPORTE_DROPI!E:E)),
0
)
),
""
)
</f>
        <v>4432095</v>
      </c>
      <c r="U184" s="163" t="s">
        <v>6377</v>
      </c>
      <c r="V184" s="164"/>
    </row>
    <row r="185" ht="22.5" hidden="1" customHeight="1">
      <c r="A185" s="161">
        <v>184.0</v>
      </c>
      <c r="B185" s="119">
        <v>46059.0</v>
      </c>
      <c r="C185" s="118" t="s">
        <v>6378</v>
      </c>
      <c r="D185" s="118" t="str">
        <f>IFERROR(__xludf.DUMMYFUNCTION("IFERROR( INDEX( FILTER( 'NOMBRE DE PRODUCTOS'!B:B, REGEXMATCH( UPPER( INDEX( REPORTE_DROPI!AC:AC, MATCH(T185, REPORTE_DROPI!B:B, 0) ) ), UPPER('NOMBRE DE PRODUCTOS'!A:A) ) ), 1 ), ""REVISAR"" )"),"Cuchillo Tazaki™")</f>
        <v>Cuchillo Tazaki™</v>
      </c>
      <c r="E185" s="120">
        <f t="array" ref="E185">IF(
UPPER(TRIM(CLEAN($O185)))="ENTREGADO",
IFERROR(
INDEX(REPORTE_DROPI!Y:Y,
MATCH($T185, REPORTE_DROPI!B:B, 0)
),
""
),
""
)
</f>
        <v>5.2</v>
      </c>
      <c r="F185" s="162">
        <v>2.0</v>
      </c>
      <c r="G185" s="122">
        <f t="array" ref="G185">IF(
UPPER(TRIM(CLEAN($O185)))="ENTREGADO",
IFERROR(
INDEX(REPORTE_DROPI!R:R,
MATCH($T185, REPORTE_DROPI!B:B, 0)
),
""
),
""
)
</f>
        <v>22</v>
      </c>
      <c r="H185" s="118" t="s">
        <v>3727</v>
      </c>
      <c r="I185" s="118" t="s">
        <v>3740</v>
      </c>
      <c r="J185" s="121">
        <f t="array" ref="J185">IF(
UPPER(TRIM(CLEAN($O185)))="ENTREGADO",
IFERROR(
INDEX(REPORTE_DROPI!T:T,
MATCH($T185, REPORTE_DROPI!B:B, 0)
),
""
),
""
)
</f>
        <v>4.23</v>
      </c>
      <c r="K185" s="118">
        <f t="array" ref="K185">IFERROR(
INDEX(REPORTE_DROPI!S:S,
MATCH($T185, REPORTE_DROPI!B:B, 0)
),
""
)</f>
        <v>12.57</v>
      </c>
      <c r="L185" s="118" t="str">
        <f>IF(
  O185&lt;&gt;"DEVOLUCION",
  "",
  IF(
    T185="",
    "",
    SUMIF(DEVOLUCION!F:F, T185, DEVOLUCION!D:D)
  )
)
</f>
        <v/>
      </c>
      <c r="M185" s="118" t="s">
        <v>5877</v>
      </c>
      <c r="N185" s="161" t="s">
        <v>6379</v>
      </c>
      <c r="O185" s="118" t="str">
        <f t="array" ref="O185">IFERROR(
VLOOKUP(
TRIM(CLEAN(
INDEX(REPORTE_DROPI!K:K,
MATCH(T185, REPORTE_DROPI!B:B, 0)
))),
{
TRIM(CLEAN(MAPA_ESTADOS!A:A)) ,
MAPA_ESTADOS!B:B
},
2,
FALSE
),
"REVISAR"
)</f>
        <v>ENTREGADO</v>
      </c>
      <c r="P185" s="118" t="s">
        <v>5692</v>
      </c>
      <c r="Q185" s="153">
        <f t="shared" si="1"/>
        <v>0</v>
      </c>
      <c r="R185" s="163"/>
      <c r="S185" s="163"/>
      <c r="T185" s="118">
        <f t="array" ref="T185">IFERROR(
INDEX(REPORTE_DROPI!B:B,
MATCH(
CLEAN(TRIM(C185)),
CLEAN(TRIM(REPORTE_DROPI!E:E)),
0
)
),
""
)
</f>
        <v>4432094</v>
      </c>
      <c r="U185" s="163" t="s">
        <v>6380</v>
      </c>
      <c r="V185" s="164"/>
    </row>
    <row r="186" ht="22.5" hidden="1" customHeight="1">
      <c r="A186" s="161">
        <v>185.0</v>
      </c>
      <c r="B186" s="119">
        <v>46060.0</v>
      </c>
      <c r="C186" s="118" t="s">
        <v>6381</v>
      </c>
      <c r="D186" s="118" t="str">
        <f>IFERROR(__xludf.DUMMYFUNCTION("IFERROR( INDEX( FILTER( 'NOMBRE DE PRODUCTOS'!B:B, REGEXMATCH( UPPER( INDEX( REPORTE_DROPI!AC:AC, MATCH(T186, REPORTE_DROPI!B:B, 0) ) ), UPPER('NOMBRE DE PRODUCTOS'!A:A) ) ), 1 ), ""REVISAR"" )"),"FilmPro®")</f>
        <v>FilmPro®</v>
      </c>
      <c r="E186" s="120" t="str">
        <f t="array" ref="E186">IF(
UPPER(TRIM(CLEAN($O186)))="ENTREGADO",
IFERROR(
INDEX(REPORTE_DROPI!Y:Y,
MATCH($T186, REPORTE_DROPI!B:B, 0)
),
""
),
""
)
</f>
        <v/>
      </c>
      <c r="F186" s="162">
        <v>2.0</v>
      </c>
      <c r="G186" s="122" t="str">
        <f t="array" ref="G186">IF(
UPPER(TRIM(CLEAN($O186)))="ENTREGADO",
IFERROR(
INDEX(REPORTE_DROPI!R:R,
MATCH($T186, REPORTE_DROPI!B:B, 0)
),
""
),
""
)
</f>
        <v/>
      </c>
      <c r="H186" s="118" t="s">
        <v>3727</v>
      </c>
      <c r="I186" s="118" t="s">
        <v>3731</v>
      </c>
      <c r="J186" s="121" t="str">
        <f t="array" ref="J186">IF(
UPPER(TRIM(CLEAN($O186)))="ENTREGADO",
IFERROR(
INDEX(REPORTE_DROPI!T:T,
MATCH($T186, REPORTE_DROPI!B:B, 0)
),
""
),
""
)
</f>
        <v/>
      </c>
      <c r="K186" s="118" t="str">
        <f t="array" ref="K186">IFERROR(
INDEX(REPORTE_DROPI!S:S,
MATCH($T186, REPORTE_DROPI!B:B, 0)
),
""
)</f>
        <v/>
      </c>
      <c r="L186" s="118" t="str">
        <f>IF(
  O186&lt;&gt;"DEVOLUCION",
  "",
  IF(
    T186="",
    "",
    SUMIF(DEVOLUCION!F:F, T186, DEVOLUCION!D:D)
  )
)
</f>
        <v/>
      </c>
      <c r="M186" s="118" t="s">
        <v>5877</v>
      </c>
      <c r="N186" s="161" t="s">
        <v>6382</v>
      </c>
      <c r="O186" s="118" t="str">
        <f t="array" ref="O186">IFERROR(
VLOOKUP(
TRIM(CLEAN(
INDEX(REPORTE_DROPI!K:K,
MATCH(T186, REPORTE_DROPI!B:B, 0)
))),
{
TRIM(CLEAN(MAPA_ESTADOS!A:A)) ,
MAPA_ESTADOS!B:B
},
2,
FALSE
),
"REVISAR"
)</f>
        <v>PENDIENTE</v>
      </c>
      <c r="P186" s="118" t="s">
        <v>6364</v>
      </c>
      <c r="Q186" s="153">
        <f t="shared" si="1"/>
        <v>0</v>
      </c>
      <c r="R186" s="163"/>
      <c r="S186" s="163"/>
      <c r="T186" s="118">
        <f t="array" ref="T186">IFERROR(
INDEX(REPORTE_DROPI!B:B,
MATCH(
CLEAN(TRIM(C186)),
CLEAN(TRIM(REPORTE_DROPI!E:E)),
0
)
),
""
)
</f>
        <v>4432093</v>
      </c>
      <c r="U186" s="163">
        <v>1.57100203155E11</v>
      </c>
      <c r="V186" s="164"/>
    </row>
    <row r="187" ht="22.5" hidden="1" customHeight="1">
      <c r="A187" s="161">
        <v>186.0</v>
      </c>
      <c r="B187" s="119">
        <v>46060.0</v>
      </c>
      <c r="C187" s="118" t="s">
        <v>6383</v>
      </c>
      <c r="D187" s="118" t="str">
        <f>IFERROR(__xludf.DUMMYFUNCTION("IFERROR( INDEX( FILTER( 'NOMBRE DE PRODUCTOS'!B:B, REGEXMATCH( UPPER( INDEX( REPORTE_DROPI!AC:AC, MATCH(T187, REPORTE_DROPI!B:B, 0) ) ), UPPER('NOMBRE DE PRODUCTOS'!A:A) ) ), 1 ), ""REVISAR"" )"),"FilmPro®")</f>
        <v>FilmPro®</v>
      </c>
      <c r="E187" s="120" t="str">
        <f t="array" ref="E187">IF(
UPPER(TRIM(CLEAN($O187)))="ENTREGADO",
IFERROR(
INDEX(REPORTE_DROPI!Y:Y,
MATCH($T187, REPORTE_DROPI!B:B, 0)
),
""
),
""
)
</f>
        <v/>
      </c>
      <c r="F187" s="162">
        <v>1.0</v>
      </c>
      <c r="G187" s="122" t="str">
        <f t="array" ref="G187">IF(
UPPER(TRIM(CLEAN($O187)))="ENTREGADO",
IFERROR(
INDEX(REPORTE_DROPI!R:R,
MATCH($T187, REPORTE_DROPI!B:B, 0)
),
""
),
""
)
</f>
        <v/>
      </c>
      <c r="H187" s="118" t="s">
        <v>3727</v>
      </c>
      <c r="I187" s="118" t="s">
        <v>3740</v>
      </c>
      <c r="J187" s="121" t="str">
        <f t="array" ref="J187">IF(
UPPER(TRIM(CLEAN($O187)))="ENTREGADO",
IFERROR(
INDEX(REPORTE_DROPI!T:T,
MATCH($T187, REPORTE_DROPI!B:B, 0)
),
""
),
""
)
</f>
        <v/>
      </c>
      <c r="K187" s="118" t="str">
        <f t="array" ref="K187">IFERROR(
INDEX(REPORTE_DROPI!S:S,
MATCH($T187, REPORTE_DROPI!B:B, 0)
),
""
)</f>
        <v/>
      </c>
      <c r="L187" s="118">
        <f>IF(
  O187&lt;&gt;"DEVOLUCION",
  "",
  IF(
    T187="",
    "",
    SUMIF(DEVOLUCION!F:F, T187, DEVOLUCION!D:D)
  )
)
</f>
        <v>3.45</v>
      </c>
      <c r="M187" s="118" t="s">
        <v>5877</v>
      </c>
      <c r="N187" s="161" t="s">
        <v>6384</v>
      </c>
      <c r="O187" s="118" t="str">
        <f t="array" ref="O187">IFERROR(
VLOOKUP(
TRIM(CLEAN(
INDEX(REPORTE_DROPI!K:K,
MATCH(T187, REPORTE_DROPI!B:B, 0)
))),
{
TRIM(CLEAN(MAPA_ESTADOS!A:A)) ,
MAPA_ESTADOS!B:B
},
2,
FALSE
),
"REVISAR"
)</f>
        <v>DEVOLUCION</v>
      </c>
      <c r="P187" s="118" t="s">
        <v>5692</v>
      </c>
      <c r="Q187" s="153">
        <f t="shared" si="1"/>
        <v>0</v>
      </c>
      <c r="R187" s="163"/>
      <c r="S187" s="163"/>
      <c r="T187" s="118">
        <f t="array" ref="T187">IFERROR(
INDEX(REPORTE_DROPI!B:B,
MATCH(
CLEAN(TRIM(C187)),
CLEAN(TRIM(REPORTE_DROPI!E:E)),
0
)
),
""
)
</f>
        <v>4432091</v>
      </c>
      <c r="U187" s="163">
        <v>1.77234195147E11</v>
      </c>
      <c r="V187" s="164"/>
    </row>
    <row r="188" ht="22.5" hidden="1" customHeight="1">
      <c r="A188" s="161">
        <v>187.0</v>
      </c>
      <c r="B188" s="119">
        <v>46060.0</v>
      </c>
      <c r="C188" s="118" t="s">
        <v>6385</v>
      </c>
      <c r="D188" s="118" t="str">
        <f>IFERROR(__xludf.DUMMYFUNCTION("IFERROR( INDEX( FILTER( 'NOMBRE DE PRODUCTOS'!B:B, REGEXMATCH( UPPER( INDEX( REPORTE_DROPI!AC:AC, MATCH(T188, REPORTE_DROPI!B:B, 0) ) ), UPPER('NOMBRE DE PRODUCTOS'!A:A) ) ), 1 ), ""REVISAR"" )"),"FilmPro®")</f>
        <v>FilmPro®</v>
      </c>
      <c r="E188" s="120" t="str">
        <f t="array" ref="E188">IF(
UPPER(TRIM(CLEAN($O188)))="ENTREGADO",
IFERROR(
INDEX(REPORTE_DROPI!Y:Y,
MATCH($T188, REPORTE_DROPI!B:B, 0)
),
""
),
""
)
</f>
        <v/>
      </c>
      <c r="F188" s="162">
        <v>1.0</v>
      </c>
      <c r="G188" s="122" t="str">
        <f t="array" ref="G188">IF(
UPPER(TRIM(CLEAN($O188)))="ENTREGADO",
IFERROR(
INDEX(REPORTE_DROPI!R:R,
MATCH($T188, REPORTE_DROPI!B:B, 0)
),
""
),
""
)
</f>
        <v/>
      </c>
      <c r="H188" s="118" t="s">
        <v>3727</v>
      </c>
      <c r="I188" s="118" t="s">
        <v>3731</v>
      </c>
      <c r="J188" s="121" t="str">
        <f t="array" ref="J188">IF(
UPPER(TRIM(CLEAN($O188)))="ENTREGADO",
IFERROR(
INDEX(REPORTE_DROPI!T:T,
MATCH($T188, REPORTE_DROPI!B:B, 0)
),
""
),
""
)
</f>
        <v/>
      </c>
      <c r="K188" s="118" t="str">
        <f t="array" ref="K188">IFERROR(
INDEX(REPORTE_DROPI!S:S,
MATCH($T188, REPORTE_DROPI!B:B, 0)
),
""
)</f>
        <v/>
      </c>
      <c r="L188" s="118">
        <f>IF(
  O188&lt;&gt;"DEVOLUCION",
  "",
  IF(
    T188="",
    "",
    SUMIF(DEVOLUCION!F:F, T188, DEVOLUCION!D:D)
  )
)
</f>
        <v>5.06</v>
      </c>
      <c r="M188" s="118" t="s">
        <v>5877</v>
      </c>
      <c r="N188" s="161" t="s">
        <v>6386</v>
      </c>
      <c r="O188" s="118" t="str">
        <f t="array" ref="O188">IFERROR(
VLOOKUP(
TRIM(CLEAN(
INDEX(REPORTE_DROPI!K:K,
MATCH(T188, REPORTE_DROPI!B:B, 0)
))),
{
TRIM(CLEAN(MAPA_ESTADOS!A:A)) ,
MAPA_ESTADOS!B:B
},
2,
FALSE
),
"REVISAR"
)</f>
        <v>DEVOLUCION</v>
      </c>
      <c r="P188" s="118" t="s">
        <v>5692</v>
      </c>
      <c r="Q188" s="153">
        <f t="shared" si="1"/>
        <v>0</v>
      </c>
      <c r="R188" s="163"/>
      <c r="S188" s="163"/>
      <c r="T188" s="118">
        <f t="array" ref="T188">IFERROR(
INDEX(REPORTE_DROPI!B:B,
MATCH(
CLEAN(TRIM(C188)),
CLEAN(TRIM(REPORTE_DROPI!E:E)),
0
)
),
""
)
</f>
        <v>4432090</v>
      </c>
      <c r="U188" s="163" t="s">
        <v>6387</v>
      </c>
      <c r="V188" s="164"/>
    </row>
    <row r="189" ht="22.5" hidden="1" customHeight="1">
      <c r="A189" s="161">
        <v>188.0</v>
      </c>
      <c r="B189" s="119">
        <v>46060.0</v>
      </c>
      <c r="C189" s="118" t="s">
        <v>6388</v>
      </c>
      <c r="D189" s="118" t="str">
        <f>IFERROR(__xludf.DUMMYFUNCTION("IFERROR( INDEX( FILTER( 'NOMBRE DE PRODUCTOS'!B:B, REGEXMATCH( UPPER( INDEX( REPORTE_DROPI!AC:AC, MATCH(T189, REPORTE_DROPI!B:B, 0) ) ), UPPER('NOMBRE DE PRODUCTOS'!A:A) ) ), 1 ), ""REVISAR"" )"),"Cuchillo Tazaki™")</f>
        <v>Cuchillo Tazaki™</v>
      </c>
      <c r="E189" s="120" t="str">
        <f t="array" ref="E189">IF(
UPPER(TRIM(CLEAN($O189)))="ENTREGADO",
IFERROR(
INDEX(REPORTE_DROPI!Y:Y,
MATCH($T189, REPORTE_DROPI!B:B, 0)
),
""
),
""
)
</f>
        <v/>
      </c>
      <c r="F189" s="162">
        <v>2.0</v>
      </c>
      <c r="G189" s="122" t="str">
        <f t="array" ref="G189">IF(
UPPER(TRIM(CLEAN($O189)))="ENTREGADO",
IFERROR(
INDEX(REPORTE_DROPI!R:R,
MATCH($T189, REPORTE_DROPI!B:B, 0)
),
""
),
""
)
</f>
        <v/>
      </c>
      <c r="H189" s="118" t="s">
        <v>3727</v>
      </c>
      <c r="I189" s="118" t="s">
        <v>3742</v>
      </c>
      <c r="J189" s="121" t="str">
        <f t="array" ref="J189">IF(
UPPER(TRIM(CLEAN($O189)))="ENTREGADO",
IFERROR(
INDEX(REPORTE_DROPI!T:T,
MATCH($T189, REPORTE_DROPI!B:B, 0)
),
""
),
""
)
</f>
        <v/>
      </c>
      <c r="K189" s="118" t="str">
        <f t="array" ref="K189">IFERROR(
INDEX(REPORTE_DROPI!S:S,
MATCH($T189, REPORTE_DROPI!B:B, 0)
),
""
)</f>
        <v/>
      </c>
      <c r="L189" s="118" t="str">
        <f>IF(
  O189&lt;&gt;"DEVOLUCION",
  "",
  IF(
    T189="",
    "",
    SUMIF(DEVOLUCION!F:F, T189, DEVOLUCION!D:D)
  )
)
</f>
        <v/>
      </c>
      <c r="M189" s="118" t="s">
        <v>5877</v>
      </c>
      <c r="N189" s="161" t="s">
        <v>6389</v>
      </c>
      <c r="O189" s="118" t="str">
        <f t="array" ref="O189">IFERROR(
VLOOKUP(
TRIM(CLEAN(
INDEX(REPORTE_DROPI!K:K,
MATCH(T189, REPORTE_DROPI!B:B, 0)
))),
{
TRIM(CLEAN(MAPA_ESTADOS!A:A)) ,
MAPA_ESTADOS!B:B
},
2,
FALSE
),
"REVISAR"
)</f>
        <v>PENDIENTE</v>
      </c>
      <c r="P189" s="118" t="s">
        <v>6364</v>
      </c>
      <c r="Q189" s="153">
        <f t="shared" si="1"/>
        <v>0</v>
      </c>
      <c r="R189" s="163"/>
      <c r="S189" s="163"/>
      <c r="T189" s="118">
        <f t="array" ref="T189">IFERROR(
INDEX(REPORTE_DROPI!B:B,
MATCH(
CLEAN(TRIM(C189)),
CLEAN(TRIM(REPORTE_DROPI!E:E)),
0
)
),
""
)
</f>
        <v>4432088</v>
      </c>
      <c r="U189" s="163" t="s">
        <v>6390</v>
      </c>
      <c r="V189" s="164"/>
    </row>
    <row r="190" ht="22.5" hidden="1" customHeight="1">
      <c r="A190" s="161">
        <v>189.0</v>
      </c>
      <c r="B190" s="119">
        <v>46060.0</v>
      </c>
      <c r="C190" s="118" t="s">
        <v>6391</v>
      </c>
      <c r="D190" s="118" t="str">
        <f>IFERROR(__xludf.DUMMYFUNCTION("IFERROR( INDEX( FILTER( 'NOMBRE DE PRODUCTOS'!B:B, REGEXMATCH( UPPER( INDEX( REPORTE_DROPI!AC:AC, MATCH(T190, REPORTE_DROPI!B:B, 0) ) ), UPPER('NOMBRE DE PRODUCTOS'!A:A) ) ), 1 ), ""REVISAR"" )"),"Cuchillo Tazaki™")</f>
        <v>Cuchillo Tazaki™</v>
      </c>
      <c r="E190" s="120">
        <f t="array" ref="E190">IF(
UPPER(TRIM(CLEAN($O190)))="ENTREGADO",
IFERROR(
INDEX(REPORTE_DROPI!Y:Y,
MATCH($T190, REPORTE_DROPI!B:B, 0)
),
""
),
""
)
</f>
        <v>5.2</v>
      </c>
      <c r="F190" s="162">
        <v>2.0</v>
      </c>
      <c r="G190" s="122">
        <f t="array" ref="G190">IF(
UPPER(TRIM(CLEAN($O190)))="ENTREGADO",
IFERROR(
INDEX(REPORTE_DROPI!R:R,
MATCH($T190, REPORTE_DROPI!B:B, 0)
),
""
),
""
)
</f>
        <v>22</v>
      </c>
      <c r="H190" s="118" t="s">
        <v>3727</v>
      </c>
      <c r="I190" s="118" t="s">
        <v>3772</v>
      </c>
      <c r="J190" s="121">
        <f t="array" ref="J190">IF(
UPPER(TRIM(CLEAN($O190)))="ENTREGADO",
IFERROR(
INDEX(REPORTE_DROPI!T:T,
MATCH($T190, REPORTE_DROPI!B:B, 0)
),
""
),
""
)
</f>
        <v>7.01</v>
      </c>
      <c r="K190" s="118">
        <f t="array" ref="K190">IFERROR(
INDEX(REPORTE_DROPI!S:S,
MATCH($T190, REPORTE_DROPI!B:B, 0)
),
""
)</f>
        <v>9.79</v>
      </c>
      <c r="L190" s="118" t="str">
        <f>IF(
  O190&lt;&gt;"DEVOLUCION",
  "",
  IF(
    T190="",
    "",
    SUMIF(DEVOLUCION!F:F, T190, DEVOLUCION!D:D)
  )
)
</f>
        <v/>
      </c>
      <c r="M190" s="118" t="s">
        <v>5877</v>
      </c>
      <c r="N190" s="161" t="s">
        <v>6392</v>
      </c>
      <c r="O190" s="118" t="str">
        <f t="array" ref="O190">IFERROR(
VLOOKUP(
TRIM(CLEAN(
INDEX(REPORTE_DROPI!K:K,
MATCH(T190, REPORTE_DROPI!B:B, 0)
))),
{
TRIM(CLEAN(MAPA_ESTADOS!A:A)) ,
MAPA_ESTADOS!B:B
},
2,
FALSE
),
"REVISAR"
)</f>
        <v>ENTREGADO</v>
      </c>
      <c r="P190" s="118" t="s">
        <v>5692</v>
      </c>
      <c r="Q190" s="153">
        <f t="shared" si="1"/>
        <v>0</v>
      </c>
      <c r="R190" s="163"/>
      <c r="S190" s="163"/>
      <c r="T190" s="118">
        <f t="array" ref="T190">IFERROR(
INDEX(REPORTE_DROPI!B:B,
MATCH(
CLEAN(TRIM(C190)),
CLEAN(TRIM(REPORTE_DROPI!E:E)),
0
)
),
""
)
</f>
        <v>4432087</v>
      </c>
      <c r="U190" s="163" t="s">
        <v>6393</v>
      </c>
      <c r="V190" s="164"/>
    </row>
    <row r="191" ht="22.5" hidden="1" customHeight="1">
      <c r="A191" s="161">
        <v>190.0</v>
      </c>
      <c r="B191" s="119">
        <v>46060.0</v>
      </c>
      <c r="C191" s="118" t="s">
        <v>6394</v>
      </c>
      <c r="D191" s="118" t="str">
        <f>IFERROR(__xludf.DUMMYFUNCTION("IFERROR( INDEX( FILTER( 'NOMBRE DE PRODUCTOS'!B:B, REGEXMATCH( UPPER( INDEX( REPORTE_DROPI!AC:AC, MATCH(T191, REPORTE_DROPI!B:B, 0) ) ), UPPER('NOMBRE DE PRODUCTOS'!A:A) ) ), 1 ), ""REVISAR"" )"),"FilmPro®")</f>
        <v>FilmPro®</v>
      </c>
      <c r="E191" s="120" t="str">
        <f t="array" ref="E191">IF(
UPPER(TRIM(CLEAN($O191)))="ENTREGADO",
IFERROR(
INDEX(REPORTE_DROPI!Y:Y,
MATCH($T191, REPORTE_DROPI!B:B, 0)
),
""
),
""
)
</f>
        <v/>
      </c>
      <c r="F191" s="162">
        <v>1.0</v>
      </c>
      <c r="G191" s="122" t="str">
        <f t="array" ref="G191">IF(
UPPER(TRIM(CLEAN($O191)))="ENTREGADO",
IFERROR(
INDEX(REPORTE_DROPI!R:R,
MATCH($T191, REPORTE_DROPI!B:B, 0)
),
""
),
""
)
</f>
        <v/>
      </c>
      <c r="H191" s="118" t="s">
        <v>3727</v>
      </c>
      <c r="I191" s="118" t="s">
        <v>3951</v>
      </c>
      <c r="J191" s="121" t="str">
        <f t="array" ref="J191">IF(
UPPER(TRIM(CLEAN($O191)))="ENTREGADO",
IFERROR(
INDEX(REPORTE_DROPI!T:T,
MATCH($T191, REPORTE_DROPI!B:B, 0)
),
""
),
""
)
</f>
        <v/>
      </c>
      <c r="K191" s="118" t="str">
        <f t="array" ref="K191">IFERROR(
INDEX(REPORTE_DROPI!S:S,
MATCH($T191, REPORTE_DROPI!B:B, 0)
),
""
)</f>
        <v/>
      </c>
      <c r="L191" s="118" t="str">
        <f>IF(
  O191&lt;&gt;"DEVOLUCION",
  "",
  IF(
    T191="",
    "",
    SUMIF(DEVOLUCION!F:F, T191, DEVOLUCION!D:D)
  )
)
</f>
        <v/>
      </c>
      <c r="M191" s="118" t="s">
        <v>5877</v>
      </c>
      <c r="N191" s="161" t="s">
        <v>6395</v>
      </c>
      <c r="O191" s="118" t="str">
        <f t="array" ref="O191">IFERROR(
VLOOKUP(
TRIM(CLEAN(
INDEX(REPORTE_DROPI!K:K,
MATCH(T191, REPORTE_DROPI!B:B, 0)
))),
{
TRIM(CLEAN(MAPA_ESTADOS!A:A)) ,
MAPA_ESTADOS!B:B
},
2,
FALSE
),
"REVISAR"
)</f>
        <v>PENDIENTE</v>
      </c>
      <c r="P191" s="118" t="s">
        <v>6364</v>
      </c>
      <c r="Q191" s="153">
        <f t="shared" si="1"/>
        <v>0</v>
      </c>
      <c r="R191" s="163"/>
      <c r="S191" s="163"/>
      <c r="T191" s="118">
        <f t="array" ref="T191">IFERROR(
INDEX(REPORTE_DROPI!B:B,
MATCH(
CLEAN(TRIM(C191)),
CLEAN(TRIM(REPORTE_DROPI!E:E)),
0
)
),
""
)
</f>
        <v>4455062</v>
      </c>
      <c r="U191" s="163" t="s">
        <v>6396</v>
      </c>
      <c r="V191" s="164"/>
    </row>
    <row r="192" ht="22.5" hidden="1" customHeight="1">
      <c r="A192" s="161">
        <v>191.0</v>
      </c>
      <c r="B192" s="119">
        <v>46060.0</v>
      </c>
      <c r="C192" s="118" t="s">
        <v>6397</v>
      </c>
      <c r="D192" s="118" t="str">
        <f>IFERROR(__xludf.DUMMYFUNCTION("IFERROR( INDEX( FILTER( 'NOMBRE DE PRODUCTOS'!B:B, REGEXMATCH( UPPER( INDEX( REPORTE_DROPI!AC:AC, MATCH(T192, REPORTE_DROPI!B:B, 0) ) ), UPPER('NOMBRE DE PRODUCTOS'!A:A) ) ), 1 ), ""REVISAR"" )"),"FilmPro®")</f>
        <v>FilmPro®</v>
      </c>
      <c r="E192" s="120">
        <f t="array" ref="E192">IF(
UPPER(TRIM(CLEAN($O192)))="ENTREGADO",
IFERROR(
INDEX(REPORTE_DROPI!Y:Y,
MATCH($T192, REPORTE_DROPI!B:B, 0)
),
""
),
""
)
</f>
        <v>2.2</v>
      </c>
      <c r="F192" s="162">
        <v>1.0</v>
      </c>
      <c r="G192" s="122">
        <f t="array" ref="G192">IF(
UPPER(TRIM(CLEAN($O192)))="ENTREGADO",
IFERROR(
INDEX(REPORTE_DROPI!R:R,
MATCH($T192, REPORTE_DROPI!B:B, 0)
),
""
),
""
)
</f>
        <v>20</v>
      </c>
      <c r="H192" s="118" t="s">
        <v>3727</v>
      </c>
      <c r="I192" s="118" t="s">
        <v>3731</v>
      </c>
      <c r="J192" s="121">
        <f t="array" ref="J192">IF(
UPPER(TRIM(CLEAN($O192)))="ENTREGADO",
IFERROR(
INDEX(REPORTE_DROPI!T:T,
MATCH($T192, REPORTE_DROPI!B:B, 0)
),
""
),
""
)
</f>
        <v>5.76</v>
      </c>
      <c r="K192" s="118">
        <f t="array" ref="K192">IFERROR(
INDEX(REPORTE_DROPI!S:S,
MATCH($T192, REPORTE_DROPI!B:B, 0)
),
""
)</f>
        <v>12.04</v>
      </c>
      <c r="L192" s="118" t="str">
        <f>IF(
  O192&lt;&gt;"DEVOLUCION",
  "",
  IF(
    T192="",
    "",
    SUMIF(DEVOLUCION!F:F, T192, DEVOLUCION!D:D)
  )
)
</f>
        <v/>
      </c>
      <c r="M192" s="118" t="s">
        <v>5877</v>
      </c>
      <c r="N192" s="161" t="s">
        <v>6398</v>
      </c>
      <c r="O192" s="118" t="str">
        <f t="array" ref="O192">IFERROR(
VLOOKUP(
TRIM(CLEAN(
INDEX(REPORTE_DROPI!K:K,
MATCH(T192, REPORTE_DROPI!B:B, 0)
))),
{
TRIM(CLEAN(MAPA_ESTADOS!A:A)) ,
MAPA_ESTADOS!B:B
},
2,
FALSE
),
"REVISAR"
)</f>
        <v>ENTREGADO</v>
      </c>
      <c r="P192" s="118" t="s">
        <v>5692</v>
      </c>
      <c r="Q192" s="153">
        <f t="shared" si="1"/>
        <v>0</v>
      </c>
      <c r="R192" s="163"/>
      <c r="S192" s="163"/>
      <c r="T192" s="118">
        <f t="array" ref="T192">IFERROR(
INDEX(REPORTE_DROPI!B:B,
MATCH(
CLEAN(TRIM(C192)),
CLEAN(TRIM(REPORTE_DROPI!E:E)),
0
)
),
""
)
</f>
        <v>4432083</v>
      </c>
      <c r="U192" s="163" t="s">
        <v>6399</v>
      </c>
      <c r="V192" s="164"/>
    </row>
    <row r="193" ht="22.5" hidden="1" customHeight="1">
      <c r="A193" s="161">
        <v>192.0</v>
      </c>
      <c r="B193" s="119">
        <v>46060.0</v>
      </c>
      <c r="C193" s="118" t="s">
        <v>6400</v>
      </c>
      <c r="D193" s="118" t="str">
        <f>IFERROR(__xludf.DUMMYFUNCTION("IFERROR( INDEX( FILTER( 'NOMBRE DE PRODUCTOS'!B:B, REGEXMATCH( UPPER( INDEX( REPORTE_DROPI!AC:AC, MATCH(T193, REPORTE_DROPI!B:B, 0) ) ), UPPER('NOMBRE DE PRODUCTOS'!A:A) ) ), 1 ), ""REVISAR"" )"),"FilmPro®")</f>
        <v>FilmPro®</v>
      </c>
      <c r="E193" s="120">
        <f t="array" ref="E193">IF(
UPPER(TRIM(CLEAN($O193)))="ENTREGADO",
IFERROR(
INDEX(REPORTE_DROPI!Y:Y,
MATCH($T193, REPORTE_DROPI!B:B, 0)
),
""
),
""
)
</f>
        <v>6.6</v>
      </c>
      <c r="F193" s="162">
        <v>3.0</v>
      </c>
      <c r="G193" s="122">
        <f t="array" ref="G193">IF(
UPPER(TRIM(CLEAN($O193)))="ENTREGADO",
IFERROR(
INDEX(REPORTE_DROPI!R:R,
MATCH($T193, REPORTE_DROPI!B:B, 0)
),
""
),
""
)
</f>
        <v>30</v>
      </c>
      <c r="H193" s="118" t="s">
        <v>3727</v>
      </c>
      <c r="I193" s="118" t="s">
        <v>3740</v>
      </c>
      <c r="J193" s="121">
        <f t="array" ref="J193">IF(
UPPER(TRIM(CLEAN($O193)))="ENTREGADO",
IFERROR(
INDEX(REPORTE_DROPI!T:T,
MATCH($T193, REPORTE_DROPI!B:B, 0)
),
""
),
""
)
</f>
        <v>5.58</v>
      </c>
      <c r="K193" s="118">
        <f t="array" ref="K193">IFERROR(
INDEX(REPORTE_DROPI!S:S,
MATCH($T193, REPORTE_DROPI!B:B, 0)
),
""
)</f>
        <v>17.82</v>
      </c>
      <c r="L193" s="118" t="str">
        <f>IF(
  O193&lt;&gt;"DEVOLUCION",
  "",
  IF(
    T193="",
    "",
    SUMIF(DEVOLUCION!F:F, T193, DEVOLUCION!D:D)
  )
)
</f>
        <v/>
      </c>
      <c r="M193" s="118" t="s">
        <v>5877</v>
      </c>
      <c r="N193" s="161" t="s">
        <v>6401</v>
      </c>
      <c r="O193" s="118" t="str">
        <f t="array" ref="O193">IFERROR(
VLOOKUP(
TRIM(CLEAN(
INDEX(REPORTE_DROPI!K:K,
MATCH(T193, REPORTE_DROPI!B:B, 0)
))),
{
TRIM(CLEAN(MAPA_ESTADOS!A:A)) ,
MAPA_ESTADOS!B:B
},
2,
FALSE
),
"REVISAR"
)</f>
        <v>ENTREGADO</v>
      </c>
      <c r="P193" s="118" t="s">
        <v>5692</v>
      </c>
      <c r="Q193" s="153">
        <f t="shared" si="1"/>
        <v>0</v>
      </c>
      <c r="R193" s="163"/>
      <c r="S193" s="163"/>
      <c r="T193" s="118">
        <f t="array" ref="T193">IFERROR(
INDEX(REPORTE_DROPI!B:B,
MATCH(
CLEAN(TRIM(C193)),
CLEAN(TRIM(REPORTE_DROPI!E:E)),
0
)
),
""
)
</f>
        <v>4432081</v>
      </c>
      <c r="U193" s="163" t="s">
        <v>6402</v>
      </c>
      <c r="V193" s="164"/>
    </row>
    <row r="194" ht="22.5" hidden="1" customHeight="1">
      <c r="A194" s="161">
        <v>193.0</v>
      </c>
      <c r="B194" s="119">
        <v>46060.0</v>
      </c>
      <c r="C194" s="118" t="s">
        <v>6403</v>
      </c>
      <c r="D194" s="118" t="str">
        <f>IFERROR(__xludf.DUMMYFUNCTION("IFERROR( INDEX( FILTER( 'NOMBRE DE PRODUCTOS'!B:B, REGEXMATCH( UPPER( INDEX( REPORTE_DROPI!AC:AC, MATCH(T194, REPORTE_DROPI!B:B, 0) ) ), UPPER('NOMBRE DE PRODUCTOS'!A:A) ) ), 1 ), ""REVISAR"" )"),"FilmPro®")</f>
        <v>FilmPro®</v>
      </c>
      <c r="E194" s="120" t="str">
        <f t="array" ref="E194">IF(
UPPER(TRIM(CLEAN($O194)))="ENTREGADO",
IFERROR(
INDEX(REPORTE_DROPI!Y:Y,
MATCH($T194, REPORTE_DROPI!B:B, 0)
),
""
),
""
)
</f>
        <v/>
      </c>
      <c r="F194" s="162">
        <v>3.0</v>
      </c>
      <c r="G194" s="122" t="str">
        <f t="array" ref="G194">IF(
UPPER(TRIM(CLEAN($O194)))="ENTREGADO",
IFERROR(
INDEX(REPORTE_DROPI!R:R,
MATCH($T194, REPORTE_DROPI!B:B, 0)
),
""
),
""
)
</f>
        <v/>
      </c>
      <c r="H194" s="118" t="s">
        <v>3727</v>
      </c>
      <c r="I194" s="118" t="s">
        <v>3731</v>
      </c>
      <c r="J194" s="121" t="str">
        <f t="array" ref="J194">IF(
UPPER(TRIM(CLEAN($O194)))="ENTREGADO",
IFERROR(
INDEX(REPORTE_DROPI!T:T,
MATCH($T194, REPORTE_DROPI!B:B, 0)
),
""
),
""
)
</f>
        <v/>
      </c>
      <c r="K194" s="118" t="str">
        <f t="array" ref="K194">IFERROR(
INDEX(REPORTE_DROPI!S:S,
MATCH($T194, REPORTE_DROPI!B:B, 0)
),
""
)</f>
        <v/>
      </c>
      <c r="L194" s="118">
        <f>IF(
  O194&lt;&gt;"DEVOLUCION",
  "",
  IF(
    T194="",
    "",
    SUMIF(DEVOLUCION!F:F, T194, DEVOLUCION!D:D)
  )
)
</f>
        <v>5.12</v>
      </c>
      <c r="M194" s="118" t="s">
        <v>5877</v>
      </c>
      <c r="N194" s="161" t="s">
        <v>6404</v>
      </c>
      <c r="O194" s="118" t="str">
        <f t="array" ref="O194">IFERROR(
VLOOKUP(
TRIM(CLEAN(
INDEX(REPORTE_DROPI!K:K,
MATCH(T194, REPORTE_DROPI!B:B, 0)
))),
{
TRIM(CLEAN(MAPA_ESTADOS!A:A)) ,
MAPA_ESTADOS!B:B
},
2,
FALSE
),
"REVISAR"
)</f>
        <v>DEVOLUCION</v>
      </c>
      <c r="P194" s="118" t="s">
        <v>6405</v>
      </c>
      <c r="Q194" s="153">
        <f t="shared" si="1"/>
        <v>0</v>
      </c>
      <c r="R194" s="163"/>
      <c r="S194" s="163"/>
      <c r="T194" s="118">
        <f t="array" ref="T194">IFERROR(
INDEX(REPORTE_DROPI!B:B,
MATCH(
CLEAN(TRIM(C194)),
CLEAN(TRIM(REPORTE_DROPI!E:E)),
0
)
),
""
)
</f>
        <v>4432079</v>
      </c>
      <c r="U194" s="163">
        <v>1.86209213118E11</v>
      </c>
      <c r="V194" s="164"/>
    </row>
    <row r="195" ht="22.5" hidden="1" customHeight="1">
      <c r="A195" s="161">
        <v>194.0</v>
      </c>
      <c r="B195" s="119">
        <v>46060.0</v>
      </c>
      <c r="C195" s="118" t="s">
        <v>6406</v>
      </c>
      <c r="D195" s="118" t="str">
        <f>IFERROR(__xludf.DUMMYFUNCTION("IFERROR( INDEX( FILTER( 'NOMBRE DE PRODUCTOS'!B:B, REGEXMATCH( UPPER( INDEX( REPORTE_DROPI!AC:AC, MATCH(T195, REPORTE_DROPI!B:B, 0) ) ), UPPER('NOMBRE DE PRODUCTOS'!A:A) ) ), 1 ), ""REVISAR"" )"),"FilmPro®")</f>
        <v>FilmPro®</v>
      </c>
      <c r="E195" s="120" t="str">
        <f t="array" ref="E195">IF(
UPPER(TRIM(CLEAN($O195)))="ENTREGADO",
IFERROR(
INDEX(REPORTE_DROPI!Y:Y,
MATCH($T195, REPORTE_DROPI!B:B, 0)
),
""
),
""
)
</f>
        <v/>
      </c>
      <c r="F195" s="162">
        <v>3.0</v>
      </c>
      <c r="G195" s="122" t="str">
        <f t="array" ref="G195">IF(
UPPER(TRIM(CLEAN($O195)))="ENTREGADO",
IFERROR(
INDEX(REPORTE_DROPI!R:R,
MATCH($T195, REPORTE_DROPI!B:B, 0)
),
""
),
""
)
</f>
        <v/>
      </c>
      <c r="H195" s="118" t="s">
        <v>3727</v>
      </c>
      <c r="I195" s="118" t="s">
        <v>3731</v>
      </c>
      <c r="J195" s="121" t="str">
        <f t="array" ref="J195">IF(
UPPER(TRIM(CLEAN($O195)))="ENTREGADO",
IFERROR(
INDEX(REPORTE_DROPI!T:T,
MATCH($T195, REPORTE_DROPI!B:B, 0)
),
""
),
""
)
</f>
        <v/>
      </c>
      <c r="K195" s="118" t="str">
        <f t="array" ref="K195">IFERROR(
INDEX(REPORTE_DROPI!S:S,
MATCH($T195, REPORTE_DROPI!B:B, 0)
),
""
)</f>
        <v/>
      </c>
      <c r="L195" s="118">
        <f>IF(
  O195&lt;&gt;"DEVOLUCION",
  "",
  IF(
    T195="",
    "",
    SUMIF(DEVOLUCION!F:F, T195, DEVOLUCION!D:D)
  )
)
</f>
        <v>5.12</v>
      </c>
      <c r="M195" s="118" t="s">
        <v>5877</v>
      </c>
      <c r="N195" s="161" t="s">
        <v>6407</v>
      </c>
      <c r="O195" s="118" t="str">
        <f t="array" ref="O195">IFERROR(
VLOOKUP(
TRIM(CLEAN(
INDEX(REPORTE_DROPI!K:K,
MATCH(T195, REPORTE_DROPI!B:B, 0)
))),
{
TRIM(CLEAN(MAPA_ESTADOS!A:A)) ,
MAPA_ESTADOS!B:B
},
2,
FALSE
),
"REVISAR"
)</f>
        <v>DEVOLUCION</v>
      </c>
      <c r="P195" s="118" t="s">
        <v>5692</v>
      </c>
      <c r="Q195" s="153">
        <f t="shared" si="1"/>
        <v>0</v>
      </c>
      <c r="R195" s="163"/>
      <c r="S195" s="163"/>
      <c r="T195" s="118">
        <f t="array" ref="T195">IFERROR(
INDEX(REPORTE_DROPI!B:B,
MATCH(
CLEAN(TRIM(C195)),
CLEAN(TRIM(REPORTE_DROPI!E:E)),
0
)
),
""
)
</f>
        <v>4432078</v>
      </c>
      <c r="U195" s="163" t="s">
        <v>6408</v>
      </c>
      <c r="V195" s="164"/>
    </row>
    <row r="196" ht="22.5" hidden="1" customHeight="1">
      <c r="A196" s="161">
        <v>195.0</v>
      </c>
      <c r="B196" s="119">
        <v>46060.0</v>
      </c>
      <c r="C196" s="118" t="s">
        <v>6409</v>
      </c>
      <c r="D196" s="118" t="str">
        <f>IFERROR(__xludf.DUMMYFUNCTION("IFERROR( INDEX( FILTER( 'NOMBRE DE PRODUCTOS'!B:B, REGEXMATCH( UPPER( INDEX( REPORTE_DROPI!AC:AC, MATCH(T196, REPORTE_DROPI!B:B, 0) ) ), UPPER('NOMBRE DE PRODUCTOS'!A:A) ) ), 1 ), ""REVISAR"" )"),"FilmPro®")</f>
        <v>FilmPro®</v>
      </c>
      <c r="E196" s="120">
        <f t="array" ref="E196">IF(
UPPER(TRIM(CLEAN($O196)))="ENTREGADO",
IFERROR(
INDEX(REPORTE_DROPI!Y:Y,
MATCH($T196, REPORTE_DROPI!B:B, 0)
),
""
),
""
)
</f>
        <v>4.4</v>
      </c>
      <c r="F196" s="162">
        <v>2.0</v>
      </c>
      <c r="G196" s="122">
        <f t="array" ref="G196">IF(
UPPER(TRIM(CLEAN($O196)))="ENTREGADO",
IFERROR(
INDEX(REPORTE_DROPI!R:R,
MATCH($T196, REPORTE_DROPI!B:B, 0)
),
""
),
""
)
</f>
        <v>25</v>
      </c>
      <c r="H196" s="118" t="s">
        <v>3727</v>
      </c>
      <c r="I196" s="118" t="s">
        <v>3772</v>
      </c>
      <c r="J196" s="121">
        <f t="array" ref="J196">IF(
UPPER(TRIM(CLEAN($O196)))="ENTREGADO",
IFERROR(
INDEX(REPORTE_DROPI!T:T,
MATCH($T196, REPORTE_DROPI!B:B, 0)
),
""
),
""
)
</f>
        <v>5.96</v>
      </c>
      <c r="K196" s="118">
        <f t="array" ref="K196">IFERROR(
INDEX(REPORTE_DROPI!S:S,
MATCH($T196, REPORTE_DROPI!B:B, 0)
),
""
)</f>
        <v>14.64</v>
      </c>
      <c r="L196" s="118" t="str">
        <f>IF(
  O196&lt;&gt;"DEVOLUCION",
  "",
  IF(
    T196="",
    "",
    SUMIF(DEVOLUCION!F:F, T196, DEVOLUCION!D:D)
  )
)
</f>
        <v/>
      </c>
      <c r="M196" s="118" t="s">
        <v>5877</v>
      </c>
      <c r="N196" s="161" t="s">
        <v>6410</v>
      </c>
      <c r="O196" s="118" t="str">
        <f t="array" ref="O196">IFERROR(
VLOOKUP(
TRIM(CLEAN(
INDEX(REPORTE_DROPI!K:K,
MATCH(T196, REPORTE_DROPI!B:B, 0)
))),
{
TRIM(CLEAN(MAPA_ESTADOS!A:A)) ,
MAPA_ESTADOS!B:B
},
2,
FALSE
),
"REVISAR"
)</f>
        <v>ENTREGADO</v>
      </c>
      <c r="P196" s="118" t="s">
        <v>5692</v>
      </c>
      <c r="Q196" s="153">
        <f t="shared" si="1"/>
        <v>0</v>
      </c>
      <c r="R196" s="163"/>
      <c r="S196" s="163"/>
      <c r="T196" s="118">
        <f t="array" ref="T196">IFERROR(
INDEX(REPORTE_DROPI!B:B,
MATCH(
CLEAN(TRIM(C196)),
CLEAN(TRIM(REPORTE_DROPI!E:E)),
0
)
),
""
)
</f>
        <v>4432077</v>
      </c>
      <c r="U196" s="163">
        <v>1.90154248203E11</v>
      </c>
      <c r="V196" s="164"/>
    </row>
    <row r="197" ht="22.5" hidden="1" customHeight="1">
      <c r="A197" s="161">
        <v>196.0</v>
      </c>
      <c r="B197" s="119">
        <v>46060.0</v>
      </c>
      <c r="C197" s="118" t="s">
        <v>6411</v>
      </c>
      <c r="D197" s="118" t="str">
        <f>IFERROR(__xludf.DUMMYFUNCTION("IFERROR( INDEX( FILTER( 'NOMBRE DE PRODUCTOS'!B:B, REGEXMATCH( UPPER( INDEX( REPORTE_DROPI!AC:AC, MATCH(T197, REPORTE_DROPI!B:B, 0) ) ), UPPER('NOMBRE DE PRODUCTOS'!A:A) ) ), 1 ), ""REVISAR"" )"),"FilmPro®")</f>
        <v>FilmPro®</v>
      </c>
      <c r="E197" s="120">
        <f t="array" ref="E197">IF(
UPPER(TRIM(CLEAN($O197)))="ENTREGADO",
IFERROR(
INDEX(REPORTE_DROPI!Y:Y,
MATCH($T197, REPORTE_DROPI!B:B, 0)
),
""
),
""
)
</f>
        <v>6.6</v>
      </c>
      <c r="F197" s="162">
        <v>3.0</v>
      </c>
      <c r="G197" s="122">
        <f t="array" ref="G197">IF(
UPPER(TRIM(CLEAN($O197)))="ENTREGADO",
IFERROR(
INDEX(REPORTE_DROPI!R:R,
MATCH($T197, REPORTE_DROPI!B:B, 0)
),
""
),
""
)
</f>
        <v>30</v>
      </c>
      <c r="H197" s="118" t="s">
        <v>3727</v>
      </c>
      <c r="I197" s="118" t="s">
        <v>3778</v>
      </c>
      <c r="J197" s="121">
        <f t="array" ref="J197">IF(
UPPER(TRIM(CLEAN($O197)))="ENTREGADO",
IFERROR(
INDEX(REPORTE_DROPI!T:T,
MATCH($T197, REPORTE_DROPI!B:B, 0)
),
""
),
""
)
</f>
        <v>6.16</v>
      </c>
      <c r="K197" s="118">
        <f t="array" ref="K197">IFERROR(
INDEX(REPORTE_DROPI!S:S,
MATCH($T197, REPORTE_DROPI!B:B, 0)
),
""
)</f>
        <v>17.24</v>
      </c>
      <c r="L197" s="118" t="str">
        <f>IF(
  O197&lt;&gt;"DEVOLUCION",
  "",
  IF(
    T197="",
    "",
    SUMIF(DEVOLUCION!F:F, T197, DEVOLUCION!D:D)
  )
)
</f>
        <v/>
      </c>
      <c r="M197" s="118" t="s">
        <v>5877</v>
      </c>
      <c r="N197" s="161" t="s">
        <v>6412</v>
      </c>
      <c r="O197" s="118" t="str">
        <f t="array" ref="O197">IFERROR(
VLOOKUP(
TRIM(CLEAN(
INDEX(REPORTE_DROPI!K:K,
MATCH(T197, REPORTE_DROPI!B:B, 0)
))),
{
TRIM(CLEAN(MAPA_ESTADOS!A:A)) ,
MAPA_ESTADOS!B:B
},
2,
FALSE
),
"REVISAR"
)</f>
        <v>ENTREGADO</v>
      </c>
      <c r="P197" s="118" t="s">
        <v>5692</v>
      </c>
      <c r="Q197" s="153">
        <f t="shared" si="1"/>
        <v>0</v>
      </c>
      <c r="R197" s="163"/>
      <c r="S197" s="163"/>
      <c r="T197" s="118">
        <f t="array" ref="T197">IFERROR(
INDEX(REPORTE_DROPI!B:B,
MATCH(
CLEAN(TRIM(C197)),
CLEAN(TRIM(REPORTE_DROPI!E:E)),
0
)
),
""
)
</f>
        <v>4432074</v>
      </c>
      <c r="U197" s="163" t="s">
        <v>6413</v>
      </c>
      <c r="V197" s="164"/>
    </row>
    <row r="198" ht="22.5" hidden="1" customHeight="1">
      <c r="A198" s="161">
        <v>197.0</v>
      </c>
      <c r="B198" s="119">
        <v>46060.0</v>
      </c>
      <c r="C198" s="118" t="s">
        <v>6414</v>
      </c>
      <c r="D198" s="118" t="str">
        <f>IFERROR(__xludf.DUMMYFUNCTION("IFERROR( INDEX( FILTER( 'NOMBRE DE PRODUCTOS'!B:B, REGEXMATCH( UPPER( INDEX( REPORTE_DROPI!AC:AC, MATCH(T198, REPORTE_DROPI!B:B, 0) ) ), UPPER('NOMBRE DE PRODUCTOS'!A:A) ) ), 1 ), ""REVISAR"" )"),"FilmPro®")</f>
        <v>FilmPro®</v>
      </c>
      <c r="E198" s="120" t="str">
        <f t="array" ref="E198">IF(
UPPER(TRIM(CLEAN($O198)))="ENTREGADO",
IFERROR(
INDEX(REPORTE_DROPI!Y:Y,
MATCH($T198, REPORTE_DROPI!B:B, 0)
),
""
),
""
)
</f>
        <v/>
      </c>
      <c r="F198" s="162">
        <v>1.0</v>
      </c>
      <c r="G198" s="122" t="str">
        <f t="array" ref="G198">IF(
UPPER(TRIM(CLEAN($O198)))="ENTREGADO",
IFERROR(
INDEX(REPORTE_DROPI!R:R,
MATCH($T198, REPORTE_DROPI!B:B, 0)
),
""
),
""
)
</f>
        <v/>
      </c>
      <c r="H198" s="118" t="s">
        <v>3727</v>
      </c>
      <c r="I198" s="118" t="s">
        <v>3731</v>
      </c>
      <c r="J198" s="121" t="str">
        <f t="array" ref="J198">IF(
UPPER(TRIM(CLEAN($O198)))="ENTREGADO",
IFERROR(
INDEX(REPORTE_DROPI!T:T,
MATCH($T198, REPORTE_DROPI!B:B, 0)
),
""
),
""
)
</f>
        <v/>
      </c>
      <c r="K198" s="118" t="str">
        <f t="array" ref="K198">IFERROR(
INDEX(REPORTE_DROPI!S:S,
MATCH($T198, REPORTE_DROPI!B:B, 0)
),
""
)</f>
        <v/>
      </c>
      <c r="L198" s="118" t="str">
        <f>IF(
  O198&lt;&gt;"DEVOLUCION",
  "",
  IF(
    T198="",
    "",
    SUMIF(DEVOLUCION!F:F, T198, DEVOLUCION!D:D)
  )
)
</f>
        <v/>
      </c>
      <c r="M198" s="118" t="s">
        <v>5877</v>
      </c>
      <c r="N198" s="161" t="s">
        <v>6415</v>
      </c>
      <c r="O198" s="118" t="str">
        <f t="array" ref="O198">IFERROR(
VLOOKUP(
TRIM(CLEAN(
INDEX(REPORTE_DROPI!K:K,
MATCH(T198, REPORTE_DROPI!B:B, 0)
))),
{
TRIM(CLEAN(MAPA_ESTADOS!A:A)) ,
MAPA_ESTADOS!B:B
},
2,
FALSE
),
"REVISAR"
)</f>
        <v>PENDIENTE</v>
      </c>
      <c r="P198" s="118" t="s">
        <v>6416</v>
      </c>
      <c r="Q198" s="153">
        <f t="shared" si="1"/>
        <v>0</v>
      </c>
      <c r="R198" s="163"/>
      <c r="S198" s="163"/>
      <c r="T198" s="118">
        <f t="array" ref="T198">IFERROR(
INDEX(REPORTE_DROPI!B:B,
MATCH(
CLEAN(TRIM(C198)),
CLEAN(TRIM(REPORTE_DROPI!E:E)),
0
)
),
""
)
</f>
        <v>4432073</v>
      </c>
      <c r="U198" s="163" t="s">
        <v>6417</v>
      </c>
      <c r="V198" s="164"/>
    </row>
    <row r="199" ht="22.5" hidden="1" customHeight="1">
      <c r="A199" s="161">
        <v>198.0</v>
      </c>
      <c r="B199" s="119">
        <v>46060.0</v>
      </c>
      <c r="C199" s="118" t="s">
        <v>6418</v>
      </c>
      <c r="D199" s="118" t="str">
        <f>IFERROR(__xludf.DUMMYFUNCTION("IFERROR( INDEX( FILTER( 'NOMBRE DE PRODUCTOS'!B:B, REGEXMATCH( UPPER( INDEX( REPORTE_DROPI!AC:AC, MATCH(T199, REPORTE_DROPI!B:B, 0) ) ), UPPER('NOMBRE DE PRODUCTOS'!A:A) ) ), 1 ), ""REVISAR"" )"),"Cuchillo Tazaki™")</f>
        <v>Cuchillo Tazaki™</v>
      </c>
      <c r="E199" s="120">
        <f t="array" ref="E199">IF(
UPPER(TRIM(CLEAN($O199)))="ENTREGADO",
IFERROR(
INDEX(REPORTE_DROPI!Y:Y,
MATCH($T199, REPORTE_DROPI!B:B, 0)
),
""
),
""
)
</f>
        <v>5.2</v>
      </c>
      <c r="F199" s="162">
        <v>2.0</v>
      </c>
      <c r="G199" s="122">
        <f t="array" ref="G199">IF(
UPPER(TRIM(CLEAN($O199)))="ENTREGADO",
IFERROR(
INDEX(REPORTE_DROPI!R:R,
MATCH($T199, REPORTE_DROPI!B:B, 0)
),
""
),
""
)
</f>
        <v>22</v>
      </c>
      <c r="H199" s="118" t="s">
        <v>3727</v>
      </c>
      <c r="I199" s="118" t="s">
        <v>3742</v>
      </c>
      <c r="J199" s="121">
        <f t="array" ref="J199">IF(
UPPER(TRIM(CLEAN($O199)))="ENTREGADO",
IFERROR(
INDEX(REPORTE_DROPI!T:T,
MATCH($T199, REPORTE_DROPI!B:B, 0)
),
""
),
""
)
</f>
        <v>7.7</v>
      </c>
      <c r="K199" s="118">
        <f t="array" ref="K199">IFERROR(
INDEX(REPORTE_DROPI!S:S,
MATCH($T199, REPORTE_DROPI!B:B, 0)
),
""
)</f>
        <v>9.1</v>
      </c>
      <c r="L199" s="118" t="str">
        <f>IF(
  O199&lt;&gt;"DEVOLUCION",
  "",
  IF(
    T199="",
    "",
    SUMIF(DEVOLUCION!F:F, T199, DEVOLUCION!D:D)
  )
)
</f>
        <v/>
      </c>
      <c r="M199" s="118" t="s">
        <v>5877</v>
      </c>
      <c r="N199" s="161" t="s">
        <v>6419</v>
      </c>
      <c r="O199" s="118" t="str">
        <f t="array" ref="O199">IFERROR(
VLOOKUP(
TRIM(CLEAN(
INDEX(REPORTE_DROPI!K:K,
MATCH(T199, REPORTE_DROPI!B:B, 0)
))),
{
TRIM(CLEAN(MAPA_ESTADOS!A:A)) ,
MAPA_ESTADOS!B:B
},
2,
FALSE
),
"REVISAR"
)</f>
        <v>ENTREGADO</v>
      </c>
      <c r="P199" s="118" t="s">
        <v>5820</v>
      </c>
      <c r="Q199" s="153">
        <f t="shared" si="1"/>
        <v>0</v>
      </c>
      <c r="R199" s="163"/>
      <c r="S199" s="163"/>
      <c r="T199" s="118">
        <v>4455728.0</v>
      </c>
      <c r="U199" s="163" t="s">
        <v>6420</v>
      </c>
      <c r="V199" s="164"/>
    </row>
    <row r="200" ht="22.5" hidden="1" customHeight="1">
      <c r="A200" s="161">
        <v>199.0</v>
      </c>
      <c r="B200" s="119">
        <v>46060.0</v>
      </c>
      <c r="C200" s="118" t="s">
        <v>6421</v>
      </c>
      <c r="D200" s="118" t="str">
        <f>IFERROR(__xludf.DUMMYFUNCTION("IFERROR( INDEX( FILTER( 'NOMBRE DE PRODUCTOS'!B:B, REGEXMATCH( UPPER( INDEX( REPORTE_DROPI!AC:AC, MATCH(T200, REPORTE_DROPI!B:B, 0) ) ), UPPER('NOMBRE DE PRODUCTOS'!A:A) ) ), 1 ), ""REVISAR"" )"),"Cuchillo Tazaki™")</f>
        <v>Cuchillo Tazaki™</v>
      </c>
      <c r="E200" s="120">
        <f t="array" ref="E200">IF(
UPPER(TRIM(CLEAN($O200)))="ENTREGADO",
IFERROR(
INDEX(REPORTE_DROPI!Y:Y,
MATCH($T200, REPORTE_DROPI!B:B, 0)
),
""
),
""
)
</f>
        <v>5.2</v>
      </c>
      <c r="F200" s="162">
        <v>2.0</v>
      </c>
      <c r="G200" s="122">
        <f t="array" ref="G200">IF(
UPPER(TRIM(CLEAN($O200)))="ENTREGADO",
IFERROR(
INDEX(REPORTE_DROPI!R:R,
MATCH($T200, REPORTE_DROPI!B:B, 0)
),
""
),
""
)
</f>
        <v>22</v>
      </c>
      <c r="H200" s="118" t="s">
        <v>3727</v>
      </c>
      <c r="I200" s="118" t="s">
        <v>3731</v>
      </c>
      <c r="J200" s="121">
        <f t="array" ref="J200">IF(
UPPER(TRIM(CLEAN($O200)))="ENTREGADO",
IFERROR(
INDEX(REPORTE_DROPI!T:T,
MATCH($T200, REPORTE_DROPI!B:B, 0)
),
""
),
""
)
</f>
        <v>6.26</v>
      </c>
      <c r="K200" s="118">
        <f t="array" ref="K200">IFERROR(
INDEX(REPORTE_DROPI!S:S,
MATCH($T200, REPORTE_DROPI!B:B, 0)
),
""
)</f>
        <v>10.54</v>
      </c>
      <c r="L200" s="118" t="str">
        <f>IF(
  O200&lt;&gt;"DEVOLUCION",
  "",
  IF(
    T200="",
    "",
    SUMIF(DEVOLUCION!F:F, T200, DEVOLUCION!D:D)
  )
)
</f>
        <v/>
      </c>
      <c r="M200" s="118" t="s">
        <v>5877</v>
      </c>
      <c r="N200" s="161" t="s">
        <v>6422</v>
      </c>
      <c r="O200" s="118" t="str">
        <f t="array" ref="O200">IFERROR(
VLOOKUP(
TRIM(CLEAN(
INDEX(REPORTE_DROPI!K:K,
MATCH(T200, REPORTE_DROPI!B:B, 0)
))),
{
TRIM(CLEAN(MAPA_ESTADOS!A:A)) ,
MAPA_ESTADOS!B:B
},
2,
FALSE
),
"REVISAR"
)</f>
        <v>ENTREGADO</v>
      </c>
      <c r="P200" s="118" t="s">
        <v>5820</v>
      </c>
      <c r="Q200" s="153">
        <f t="shared" si="1"/>
        <v>0</v>
      </c>
      <c r="R200" s="163"/>
      <c r="S200" s="163"/>
      <c r="T200" s="118">
        <v>4457045.0</v>
      </c>
      <c r="U200" s="163"/>
      <c r="V200" s="164"/>
    </row>
    <row r="201" ht="22.5" hidden="1" customHeight="1">
      <c r="A201" s="161">
        <v>200.0</v>
      </c>
      <c r="B201" s="119">
        <v>46060.0</v>
      </c>
      <c r="C201" s="118" t="s">
        <v>6423</v>
      </c>
      <c r="D201" s="118" t="str">
        <f>IFERROR(__xludf.DUMMYFUNCTION("IFERROR( INDEX( FILTER( 'NOMBRE DE PRODUCTOS'!B:B, REGEXMATCH( UPPER( INDEX( REPORTE_DROPI!AC:AC, MATCH(T201, REPORTE_DROPI!B:B, 0) ) ), UPPER('NOMBRE DE PRODUCTOS'!A:A) ) ), 1 ), ""REVISAR"" )"),"FilmPro®")</f>
        <v>FilmPro®</v>
      </c>
      <c r="E201" s="120">
        <f t="array" ref="E201">IF(
UPPER(TRIM(CLEAN($O201)))="ENTREGADO",
IFERROR(
INDEX(REPORTE_DROPI!Y:Y,
MATCH($T201, REPORTE_DROPI!B:B, 0)
),
""
),
""
)
</f>
        <v>4.4</v>
      </c>
      <c r="F201" s="162">
        <v>2.0</v>
      </c>
      <c r="G201" s="122">
        <f t="array" ref="G201">IF(
UPPER(TRIM(CLEAN($O201)))="ENTREGADO",
IFERROR(
INDEX(REPORTE_DROPI!R:R,
MATCH($T201, REPORTE_DROPI!B:B, 0)
),
""
),
""
)
</f>
        <v>25</v>
      </c>
      <c r="H201" s="118" t="s">
        <v>3727</v>
      </c>
      <c r="I201" s="118" t="s">
        <v>3864</v>
      </c>
      <c r="J201" s="121">
        <f t="array" ref="J201">IF(
UPPER(TRIM(CLEAN($O201)))="ENTREGADO",
IFERROR(
INDEX(REPORTE_DROPI!T:T,
MATCH($T201, REPORTE_DROPI!B:B, 0)
),
""
),
""
)
</f>
        <v>5.96</v>
      </c>
      <c r="K201" s="118">
        <f t="array" ref="K201">IFERROR(
INDEX(REPORTE_DROPI!S:S,
MATCH($T201, REPORTE_DROPI!B:B, 0)
),
""
)</f>
        <v>14.64</v>
      </c>
      <c r="L201" s="118" t="str">
        <f>IF(
  O201&lt;&gt;"DEVOLUCION",
  "",
  IF(
    T201="",
    "",
    SUMIF(DEVOLUCION!F:F, T201, DEVOLUCION!D:D)
  )
)
</f>
        <v/>
      </c>
      <c r="M201" s="118" t="s">
        <v>5877</v>
      </c>
      <c r="N201" s="161" t="s">
        <v>6424</v>
      </c>
      <c r="O201" s="118" t="str">
        <f t="array" ref="O201">IFERROR(
VLOOKUP(
TRIM(CLEAN(
INDEX(REPORTE_DROPI!K:K,
MATCH(T201, REPORTE_DROPI!B:B, 0)
))),
{
TRIM(CLEAN(MAPA_ESTADOS!A:A)) ,
MAPA_ESTADOS!B:B
},
2,
FALSE
),
"REVISAR"
)</f>
        <v>ENTREGADO</v>
      </c>
      <c r="P201" s="118" t="s">
        <v>5692</v>
      </c>
      <c r="Q201" s="153">
        <f t="shared" si="1"/>
        <v>0</v>
      </c>
      <c r="R201" s="163"/>
      <c r="S201" s="163"/>
      <c r="T201" s="118">
        <f t="array" ref="T201">IFERROR(
INDEX(REPORTE_DROPI!B:B,
MATCH(
CLEAN(TRIM(C201)),
CLEAN(TRIM(REPORTE_DROPI!E:E)),
0
)
),
""
)
</f>
        <v>4432061</v>
      </c>
      <c r="U201" s="163" t="s">
        <v>6425</v>
      </c>
      <c r="V201" s="164"/>
    </row>
    <row r="202" ht="22.5" hidden="1" customHeight="1">
      <c r="A202" s="161">
        <v>201.0</v>
      </c>
      <c r="B202" s="119">
        <v>46060.0</v>
      </c>
      <c r="C202" s="118" t="s">
        <v>6426</v>
      </c>
      <c r="D202" s="118" t="str">
        <f>IFERROR(__xludf.DUMMYFUNCTION("IFERROR( INDEX( FILTER( 'NOMBRE DE PRODUCTOS'!B:B, REGEXMATCH( UPPER( INDEX( REPORTE_DROPI!AC:AC, MATCH(T202, REPORTE_DROPI!B:B, 0) ) ), UPPER('NOMBRE DE PRODUCTOS'!A:A) ) ), 1 ), ""REVISAR"" )"),"FilmPro®")</f>
        <v>FilmPro®</v>
      </c>
      <c r="E202" s="120" t="str">
        <f t="array" ref="E202">IF(
UPPER(TRIM(CLEAN($O202)))="ENTREGADO",
IFERROR(
INDEX(REPORTE_DROPI!Y:Y,
MATCH($T202, REPORTE_DROPI!B:B, 0)
),
""
),
""
)
</f>
        <v/>
      </c>
      <c r="F202" s="162">
        <v>1.0</v>
      </c>
      <c r="G202" s="122" t="str">
        <f t="array" ref="G202">IF(
UPPER(TRIM(CLEAN($O202)))="ENTREGADO",
IFERROR(
INDEX(REPORTE_DROPI!R:R,
MATCH($T202, REPORTE_DROPI!B:B, 0)
),
""
),
""
)
</f>
        <v/>
      </c>
      <c r="H202" s="118" t="s">
        <v>3727</v>
      </c>
      <c r="I202" s="118" t="s">
        <v>3740</v>
      </c>
      <c r="J202" s="121" t="str">
        <f t="array" ref="J202">IF(
UPPER(TRIM(CLEAN($O202)))="ENTREGADO",
IFERROR(
INDEX(REPORTE_DROPI!T:T,
MATCH($T202, REPORTE_DROPI!B:B, 0)
),
""
),
""
)
</f>
        <v/>
      </c>
      <c r="K202" s="118" t="str">
        <f t="array" ref="K202">IFERROR(
INDEX(REPORTE_DROPI!S:S,
MATCH($T202, REPORTE_DROPI!B:B, 0)
),
""
)</f>
        <v/>
      </c>
      <c r="L202" s="118">
        <f>IF(
  O202&lt;&gt;"DEVOLUCION",
  "",
  IF(
    T202="",
    "",
    SUMIF(DEVOLUCION!F:F, T202, DEVOLUCION!D:D)
  )
)
</f>
        <v>4.49</v>
      </c>
      <c r="M202" s="118" t="s">
        <v>5877</v>
      </c>
      <c r="N202" s="161" t="s">
        <v>6427</v>
      </c>
      <c r="O202" s="118" t="str">
        <f t="array" ref="O202">IFERROR(
VLOOKUP(
TRIM(CLEAN(
INDEX(REPORTE_DROPI!K:K,
MATCH(T202, REPORTE_DROPI!B:B, 0)
))),
{
TRIM(CLEAN(MAPA_ESTADOS!A:A)) ,
MAPA_ESTADOS!B:B
},
2,
FALSE
),
"REVISAR"
)</f>
        <v>DEVOLUCION</v>
      </c>
      <c r="P202" s="118" t="s">
        <v>5692</v>
      </c>
      <c r="Q202" s="153">
        <f t="shared" si="1"/>
        <v>0</v>
      </c>
      <c r="R202" s="163"/>
      <c r="S202" s="163"/>
      <c r="T202" s="118">
        <f t="array" ref="T202">IFERROR(
INDEX(REPORTE_DROPI!B:B,
MATCH(
CLEAN(TRIM(C202)),
CLEAN(TRIM(REPORTE_DROPI!E:E)),
0
)
),
""
)
</f>
        <v>4432058</v>
      </c>
      <c r="U202" s="163"/>
      <c r="V202" s="164"/>
    </row>
    <row r="203" ht="22.5" hidden="1" customHeight="1">
      <c r="A203" s="161">
        <v>202.0</v>
      </c>
      <c r="B203" s="119">
        <v>46060.0</v>
      </c>
      <c r="C203" s="118" t="s">
        <v>6428</v>
      </c>
      <c r="D203" s="118" t="str">
        <f>IFERROR(__xludf.DUMMYFUNCTION("IFERROR( INDEX( FILTER( 'NOMBRE DE PRODUCTOS'!B:B, REGEXMATCH( UPPER( INDEX( REPORTE_DROPI!AC:AC, MATCH(T203, REPORTE_DROPI!B:B, 0) ) ), UPPER('NOMBRE DE PRODUCTOS'!A:A) ) ), 1 ), ""REVISAR"" )"),"FilmPro®")</f>
        <v>FilmPro®</v>
      </c>
      <c r="E203" s="120" t="str">
        <f t="array" ref="E203">IF(
UPPER(TRIM(CLEAN($O203)))="ENTREGADO",
IFERROR(
INDEX(REPORTE_DROPI!Y:Y,
MATCH($T203, REPORTE_DROPI!B:B, 0)
),
""
),
""
)
</f>
        <v/>
      </c>
      <c r="F203" s="162">
        <v>3.0</v>
      </c>
      <c r="G203" s="122" t="str">
        <f t="array" ref="G203">IF(
UPPER(TRIM(CLEAN($O203)))="ENTREGADO",
IFERROR(
INDEX(REPORTE_DROPI!R:R,
MATCH($T203, REPORTE_DROPI!B:B, 0)
),
""
),
""
)
</f>
        <v/>
      </c>
      <c r="H203" s="118" t="s">
        <v>3727</v>
      </c>
      <c r="I203" s="118" t="s">
        <v>3731</v>
      </c>
      <c r="J203" s="121" t="str">
        <f t="array" ref="J203">IF(
UPPER(TRIM(CLEAN($O203)))="ENTREGADO",
IFERROR(
INDEX(REPORTE_DROPI!T:T,
MATCH($T203, REPORTE_DROPI!B:B, 0)
),
""
),
""
)
</f>
        <v/>
      </c>
      <c r="K203" s="118" t="str">
        <f t="array" ref="K203">IFERROR(
INDEX(REPORTE_DROPI!S:S,
MATCH($T203, REPORTE_DROPI!B:B, 0)
),
""
)</f>
        <v/>
      </c>
      <c r="L203" s="118">
        <f>IF(
  O203&lt;&gt;"DEVOLUCION",
  "",
  IF(
    T203="",
    "",
    SUMIF(DEVOLUCION!F:F, T203, DEVOLUCION!D:D)
  )
)
</f>
        <v>5.12</v>
      </c>
      <c r="M203" s="118" t="s">
        <v>5877</v>
      </c>
      <c r="N203" s="161" t="s">
        <v>6429</v>
      </c>
      <c r="O203" s="118" t="str">
        <f t="array" ref="O203">IFERROR(
VLOOKUP(
TRIM(CLEAN(
INDEX(REPORTE_DROPI!K:K,
MATCH(T203, REPORTE_DROPI!B:B, 0)
))),
{
TRIM(CLEAN(MAPA_ESTADOS!A:A)) ,
MAPA_ESTADOS!B:B
},
2,
FALSE
),
"REVISAR"
)</f>
        <v>DEVOLUCION</v>
      </c>
      <c r="P203" s="118" t="s">
        <v>5692</v>
      </c>
      <c r="Q203" s="153">
        <f t="shared" si="1"/>
        <v>0</v>
      </c>
      <c r="R203" s="163"/>
      <c r="S203" s="163"/>
      <c r="T203" s="118">
        <f t="array" ref="T203">IFERROR(
INDEX(REPORTE_DROPI!B:B,
MATCH(
CLEAN(TRIM(C203)),
CLEAN(TRIM(REPORTE_DROPI!E:E)),
0
)
),
""
)
</f>
        <v>4457174</v>
      </c>
      <c r="U203" s="163" t="s">
        <v>6430</v>
      </c>
      <c r="V203" s="166"/>
      <c r="W203" s="78">
        <v>4457174.0</v>
      </c>
    </row>
    <row r="204" ht="22.5" hidden="1" customHeight="1">
      <c r="A204" s="161">
        <v>203.0</v>
      </c>
      <c r="B204" s="119">
        <v>46060.0</v>
      </c>
      <c r="C204" s="118" t="s">
        <v>6431</v>
      </c>
      <c r="D204" s="118" t="str">
        <f>IFERROR(__xludf.DUMMYFUNCTION("IFERROR( INDEX( FILTER( 'NOMBRE DE PRODUCTOS'!B:B, REGEXMATCH( UPPER( INDEX( REPORTE_DROPI!AC:AC, MATCH(T204, REPORTE_DROPI!B:B, 0) ) ), UPPER('NOMBRE DE PRODUCTOS'!A:A) ) ), 1 ), ""REVISAR"" )"),"FilmPro®")</f>
        <v>FilmPro®</v>
      </c>
      <c r="E204" s="120">
        <f t="array" ref="E204">IF(
UPPER(TRIM(CLEAN($O204)))="ENTREGADO",
IFERROR(
INDEX(REPORTE_DROPI!Y:Y,
MATCH($T204, REPORTE_DROPI!B:B, 0)
),
""
),
""
)
</f>
        <v>6.6</v>
      </c>
      <c r="F204" s="162">
        <v>3.0</v>
      </c>
      <c r="G204" s="122">
        <f t="array" ref="G204">IF(
UPPER(TRIM(CLEAN($O204)))="ENTREGADO",
IFERROR(
INDEX(REPORTE_DROPI!R:R,
MATCH($T204, REPORTE_DROPI!B:B, 0)
),
""
),
""
)
</f>
        <v>30</v>
      </c>
      <c r="H204" s="118" t="s">
        <v>3727</v>
      </c>
      <c r="I204" s="118" t="s">
        <v>3772</v>
      </c>
      <c r="J204" s="121">
        <f t="array" ref="J204">IF(
UPPER(TRIM(CLEAN($O204)))="ENTREGADO",
IFERROR(
INDEX(REPORTE_DROPI!T:T,
MATCH($T204, REPORTE_DROPI!B:B, 0)
),
""
),
""
)
</f>
        <v>6.16</v>
      </c>
      <c r="K204" s="118">
        <f t="array" ref="K204">IFERROR(
INDEX(REPORTE_DROPI!S:S,
MATCH($T204, REPORTE_DROPI!B:B, 0)
),
""
)</f>
        <v>17.24</v>
      </c>
      <c r="L204" s="118" t="str">
        <f>IF(
  O204&lt;&gt;"DEVOLUCION",
  "",
  IF(
    T204="",
    "",
    SUMIF(DEVOLUCION!F:F, T204, DEVOLUCION!D:D)
  )
)
</f>
        <v/>
      </c>
      <c r="M204" s="118" t="s">
        <v>5877</v>
      </c>
      <c r="N204" s="161" t="s">
        <v>6432</v>
      </c>
      <c r="O204" s="118" t="str">
        <f t="array" ref="O204">IFERROR(
VLOOKUP(
TRIM(CLEAN(
INDEX(REPORTE_DROPI!K:K,
MATCH(T204, REPORTE_DROPI!B:B, 0)
))),
{
TRIM(CLEAN(MAPA_ESTADOS!A:A)) ,
MAPA_ESTADOS!B:B
},
2,
FALSE
),
"REVISAR"
)</f>
        <v>ENTREGADO</v>
      </c>
      <c r="P204" s="118" t="s">
        <v>5692</v>
      </c>
      <c r="Q204" s="153">
        <f t="shared" si="1"/>
        <v>0</v>
      </c>
      <c r="R204" s="163"/>
      <c r="S204" s="163"/>
      <c r="T204" s="118">
        <f t="array" ref="T204">IFERROR(
INDEX(REPORTE_DROPI!B:B,
MATCH(
CLEAN(TRIM(C204)),
CLEAN(TRIM(REPORTE_DROPI!E:E)),
0
)
),
""
)
</f>
        <v>4432054</v>
      </c>
      <c r="U204" s="163" t="s">
        <v>6433</v>
      </c>
      <c r="V204" s="164"/>
    </row>
    <row r="205" ht="22.5" hidden="1" customHeight="1">
      <c r="A205" s="161">
        <v>204.0</v>
      </c>
      <c r="B205" s="119">
        <v>46060.0</v>
      </c>
      <c r="C205" s="118" t="s">
        <v>6434</v>
      </c>
      <c r="D205" s="118" t="str">
        <f>IFERROR(__xludf.DUMMYFUNCTION("IFERROR( INDEX( FILTER( 'NOMBRE DE PRODUCTOS'!B:B, REGEXMATCH( UPPER( INDEX( REPORTE_DROPI!AC:AC, MATCH(T205, REPORTE_DROPI!B:B, 0) ) ), UPPER('NOMBRE DE PRODUCTOS'!A:A) ) ), 1 ), ""REVISAR"" )"),"FilmPro®")</f>
        <v>FilmPro®</v>
      </c>
      <c r="E205" s="120">
        <f t="array" ref="E205">IF(
UPPER(TRIM(CLEAN($O205)))="ENTREGADO",
IFERROR(
INDEX(REPORTE_DROPI!Y:Y,
MATCH($T205, REPORTE_DROPI!B:B, 0)
),
""
),
""
)
</f>
        <v>4.4</v>
      </c>
      <c r="F205" s="162">
        <v>2.0</v>
      </c>
      <c r="G205" s="122">
        <f t="array" ref="G205">IF(
UPPER(TRIM(CLEAN($O205)))="ENTREGADO",
IFERROR(
INDEX(REPORTE_DROPI!R:R,
MATCH($T205, REPORTE_DROPI!B:B, 0)
),
""
),
""
)
</f>
        <v>25</v>
      </c>
      <c r="H205" s="118" t="s">
        <v>3727</v>
      </c>
      <c r="I205" s="118" t="s">
        <v>3784</v>
      </c>
      <c r="J205" s="121">
        <f t="array" ref="J205">IF(
UPPER(TRIM(CLEAN($O205)))="ENTREGADO",
IFERROR(
INDEX(REPORTE_DROPI!T:T,
MATCH($T205, REPORTE_DROPI!B:B, 0)
),
""
),
""
)
</f>
        <v>5.96</v>
      </c>
      <c r="K205" s="118">
        <f t="array" ref="K205">IFERROR(
INDEX(REPORTE_DROPI!S:S,
MATCH($T205, REPORTE_DROPI!B:B, 0)
),
""
)</f>
        <v>14.64</v>
      </c>
      <c r="L205" s="118" t="str">
        <f>IF(
  O205&lt;&gt;"DEVOLUCION",
  "",
  IF(
    T205="",
    "",
    SUMIF(DEVOLUCION!F:F, T205, DEVOLUCION!D:D)
  )
)
</f>
        <v/>
      </c>
      <c r="M205" s="118" t="s">
        <v>5877</v>
      </c>
      <c r="N205" s="161" t="s">
        <v>6435</v>
      </c>
      <c r="O205" s="118" t="str">
        <f t="array" ref="O205">IFERROR(
VLOOKUP(
TRIM(CLEAN(
INDEX(REPORTE_DROPI!K:K,
MATCH(T205, REPORTE_DROPI!B:B, 0)
))),
{
TRIM(CLEAN(MAPA_ESTADOS!A:A)) ,
MAPA_ESTADOS!B:B
},
2,
FALSE
),
"REVISAR"
)</f>
        <v>ENTREGADO</v>
      </c>
      <c r="P205" s="118" t="s">
        <v>5692</v>
      </c>
      <c r="Q205" s="153">
        <f t="shared" si="1"/>
        <v>0</v>
      </c>
      <c r="R205" s="163"/>
      <c r="S205" s="163"/>
      <c r="T205" s="118">
        <f t="array" ref="T205">IFERROR(
INDEX(REPORTE_DROPI!B:B,
MATCH(
CLEAN(TRIM(C205)),
CLEAN(TRIM(REPORTE_DROPI!E:E)),
0
)
),
""
)
</f>
        <v>4432052</v>
      </c>
      <c r="U205" s="163" t="s">
        <v>6436</v>
      </c>
      <c r="V205" s="164"/>
    </row>
    <row r="206" ht="22.5" hidden="1" customHeight="1">
      <c r="A206" s="161">
        <v>205.0</v>
      </c>
      <c r="B206" s="119">
        <v>46060.0</v>
      </c>
      <c r="C206" s="118" t="s">
        <v>6437</v>
      </c>
      <c r="D206" s="118" t="str">
        <f>IFERROR(__xludf.DUMMYFUNCTION("IFERROR( INDEX( FILTER( 'NOMBRE DE PRODUCTOS'!B:B, REGEXMATCH( UPPER( INDEX( REPORTE_DROPI!AC:AC, MATCH(T206, REPORTE_DROPI!B:B, 0) ) ), UPPER('NOMBRE DE PRODUCTOS'!A:A) ) ), 1 ), ""REVISAR"" )"),"Cuchillo Tazaki™")</f>
        <v>Cuchillo Tazaki™</v>
      </c>
      <c r="E206" s="120" t="str">
        <f t="array" ref="E206">IF(
UPPER(TRIM(CLEAN($O206)))="ENTREGADO",
IFERROR(
INDEX(REPORTE_DROPI!Y:Y,
MATCH($T206, REPORTE_DROPI!B:B, 0)
),
""
),
""
)
</f>
        <v/>
      </c>
      <c r="F206" s="162">
        <v>2.0</v>
      </c>
      <c r="G206" s="122" t="str">
        <f t="array" ref="G206">IF(
UPPER(TRIM(CLEAN($O206)))="ENTREGADO",
IFERROR(
INDEX(REPORTE_DROPI!R:R,
MATCH($T206, REPORTE_DROPI!B:B, 0)
),
""
),
""
)
</f>
        <v/>
      </c>
      <c r="H206" s="118" t="s">
        <v>3727</v>
      </c>
      <c r="I206" s="118" t="s">
        <v>3962</v>
      </c>
      <c r="J206" s="121" t="str">
        <f t="array" ref="J206">IF(
UPPER(TRIM(CLEAN($O206)))="ENTREGADO",
IFERROR(
INDEX(REPORTE_DROPI!T:T,
MATCH($T206, REPORTE_DROPI!B:B, 0)
),
""
),
""
)
</f>
        <v/>
      </c>
      <c r="K206" s="118" t="str">
        <f t="array" ref="K206">IFERROR(
INDEX(REPORTE_DROPI!S:S,
MATCH($T206, REPORTE_DROPI!B:B, 0)
),
""
)</f>
        <v/>
      </c>
      <c r="L206" s="118" t="str">
        <f>IF(
  O206&lt;&gt;"DEVOLUCION",
  "",
  IF(
    T206="",
    "",
    SUMIF(DEVOLUCION!F:F, T206, DEVOLUCION!D:D)
  )
)
</f>
        <v/>
      </c>
      <c r="M206" s="118" t="s">
        <v>5877</v>
      </c>
      <c r="N206" s="161" t="s">
        <v>6438</v>
      </c>
      <c r="O206" s="118" t="str">
        <f t="array" ref="O206">IFERROR(
VLOOKUP(
TRIM(CLEAN(
INDEX(REPORTE_DROPI!K:K,
MATCH(T206, REPORTE_DROPI!B:B, 0)
))),
{
TRIM(CLEAN(MAPA_ESTADOS!A:A)) ,
MAPA_ESTADOS!B:B
},
2,
FALSE
),
"REVISAR"
)</f>
        <v>CANCELADO</v>
      </c>
      <c r="P206" s="118" t="s">
        <v>6439</v>
      </c>
      <c r="Q206" s="153">
        <f t="shared" si="1"/>
        <v>0</v>
      </c>
      <c r="R206" s="163"/>
      <c r="S206" s="163"/>
      <c r="T206" s="118">
        <f t="array" ref="T206">IFERROR(
INDEX(REPORTE_DROPI!B:B,
MATCH(
CLEAN(TRIM(C206)),
CLEAN(TRIM(REPORTE_DROPI!E:E)),
0
)
),
""
)
</f>
        <v>4432049</v>
      </c>
      <c r="U206" s="163"/>
      <c r="V206" s="164"/>
    </row>
    <row r="207" ht="22.5" hidden="1" customHeight="1">
      <c r="A207" s="161">
        <v>206.0</v>
      </c>
      <c r="B207" s="119">
        <v>46060.0</v>
      </c>
      <c r="C207" s="118" t="s">
        <v>6440</v>
      </c>
      <c r="D207" s="118" t="str">
        <f>IFERROR(__xludf.DUMMYFUNCTION("IFERROR( INDEX( FILTER( 'NOMBRE DE PRODUCTOS'!B:B, REGEXMATCH( UPPER( INDEX( REPORTE_DROPI!AC:AC, MATCH(T207, REPORTE_DROPI!B:B, 0) ) ), UPPER('NOMBRE DE PRODUCTOS'!A:A) ) ), 1 ), ""REVISAR"" )"),"FilmPro®")</f>
        <v>FilmPro®</v>
      </c>
      <c r="E207" s="120" t="str">
        <f t="array" ref="E207">IF(
UPPER(TRIM(CLEAN($O207)))="ENTREGADO",
IFERROR(
INDEX(REPORTE_DROPI!Y:Y,
MATCH($T207, REPORTE_DROPI!B:B, 0)
),
""
),
""
)
</f>
        <v/>
      </c>
      <c r="F207" s="162">
        <v>2.0</v>
      </c>
      <c r="G207" s="122" t="str">
        <f t="array" ref="G207">IF(
UPPER(TRIM(CLEAN($O207)))="ENTREGADO",
IFERROR(
INDEX(REPORTE_DROPI!R:R,
MATCH($T207, REPORTE_DROPI!B:B, 0)
),
""
),
""
)
</f>
        <v/>
      </c>
      <c r="H207" s="118" t="s">
        <v>3727</v>
      </c>
      <c r="I207" s="118" t="s">
        <v>3731</v>
      </c>
      <c r="J207" s="121" t="str">
        <f t="array" ref="J207">IF(
UPPER(TRIM(CLEAN($O207)))="ENTREGADO",
IFERROR(
INDEX(REPORTE_DROPI!T:T,
MATCH($T207, REPORTE_DROPI!B:B, 0)
),
""
),
""
)
</f>
        <v/>
      </c>
      <c r="K207" s="118" t="str">
        <f t="array" ref="K207">IFERROR(
INDEX(REPORTE_DROPI!S:S,
MATCH($T207, REPORTE_DROPI!B:B, 0)
),
""
)</f>
        <v/>
      </c>
      <c r="L207" s="118">
        <f>IF(
  O207&lt;&gt;"DEVOLUCION",
  "",
  IF(
    T207="",
    "",
    SUMIF(DEVOLUCION!F:F, T207, DEVOLUCION!D:D)
  )
)
</f>
        <v>5.09</v>
      </c>
      <c r="M207" s="118" t="s">
        <v>5877</v>
      </c>
      <c r="N207" s="161" t="s">
        <v>6441</v>
      </c>
      <c r="O207" s="118" t="str">
        <f t="array" ref="O207">IFERROR(
VLOOKUP(
TRIM(CLEAN(
INDEX(REPORTE_DROPI!K:K,
MATCH(T207, REPORTE_DROPI!B:B, 0)
))),
{
TRIM(CLEAN(MAPA_ESTADOS!A:A)) ,
MAPA_ESTADOS!B:B
},
2,
FALSE
),
"REVISAR"
)</f>
        <v>DEVOLUCION</v>
      </c>
      <c r="P207" s="118" t="s">
        <v>5692</v>
      </c>
      <c r="Q207" s="153">
        <f t="shared" si="1"/>
        <v>0</v>
      </c>
      <c r="R207" s="163"/>
      <c r="S207" s="163"/>
      <c r="T207" s="118">
        <f t="array" ref="T207">IFERROR(
INDEX(REPORTE_DROPI!B:B,
MATCH(
CLEAN(TRIM(C207)),
CLEAN(TRIM(REPORTE_DROPI!E:E)),
0
)
),
""
)
</f>
        <v>4432048</v>
      </c>
      <c r="U207" s="163" t="s">
        <v>6442</v>
      </c>
      <c r="V207" s="164"/>
    </row>
    <row r="208" ht="22.5" hidden="1" customHeight="1">
      <c r="A208" s="161">
        <v>207.0</v>
      </c>
      <c r="B208" s="119">
        <v>46060.0</v>
      </c>
      <c r="C208" s="118" t="s">
        <v>6443</v>
      </c>
      <c r="D208" s="118" t="str">
        <f>IFERROR(__xludf.DUMMYFUNCTION("IFERROR( INDEX( FILTER( 'NOMBRE DE PRODUCTOS'!B:B, REGEXMATCH( UPPER( INDEX( REPORTE_DROPI!AC:AC, MATCH(T208, REPORTE_DROPI!B:B, 0) ) ), UPPER('NOMBRE DE PRODUCTOS'!A:A) ) ), 1 ), ""REVISAR"" )"),"Cuchillo Tazaki™")</f>
        <v>Cuchillo Tazaki™</v>
      </c>
      <c r="E208" s="120" t="str">
        <f t="array" ref="E208">IF(
UPPER(TRIM(CLEAN($O208)))="ENTREGADO",
IFERROR(
INDEX(REPORTE_DROPI!Y:Y,
MATCH($T208, REPORTE_DROPI!B:B, 0)
),
""
),
""
)
</f>
        <v/>
      </c>
      <c r="F208" s="162">
        <v>2.0</v>
      </c>
      <c r="G208" s="122" t="str">
        <f t="array" ref="G208">IF(
UPPER(TRIM(CLEAN($O208)))="ENTREGADO",
IFERROR(
INDEX(REPORTE_DROPI!R:R,
MATCH($T208, REPORTE_DROPI!B:B, 0)
),
""
),
""
)
</f>
        <v/>
      </c>
      <c r="H208" s="118" t="s">
        <v>3727</v>
      </c>
      <c r="I208" s="118" t="s">
        <v>3742</v>
      </c>
      <c r="J208" s="121" t="str">
        <f t="array" ref="J208">IF(
UPPER(TRIM(CLEAN($O208)))="ENTREGADO",
IFERROR(
INDEX(REPORTE_DROPI!T:T,
MATCH($T208, REPORTE_DROPI!B:B, 0)
),
""
),
""
)
</f>
        <v/>
      </c>
      <c r="K208" s="118" t="str">
        <f t="array" ref="K208">IFERROR(
INDEX(REPORTE_DROPI!S:S,
MATCH($T208, REPORTE_DROPI!B:B, 0)
),
""
)</f>
        <v/>
      </c>
      <c r="L208" s="118">
        <f>IF(
  O208&lt;&gt;"DEVOLUCION",
  "",
  IF(
    T208="",
    "",
    SUMIF(DEVOLUCION!F:F, T208, DEVOLUCION!D:D)
  )
)
</f>
        <v>0</v>
      </c>
      <c r="M208" s="118" t="s">
        <v>5877</v>
      </c>
      <c r="N208" s="161" t="s">
        <v>6444</v>
      </c>
      <c r="O208" s="118" t="str">
        <f t="array" ref="O208">IFERROR(
VLOOKUP(
TRIM(CLEAN(
INDEX(REPORTE_DROPI!K:K,
MATCH(T208, REPORTE_DROPI!B:B, 0)
))),
{
TRIM(CLEAN(MAPA_ESTADOS!A:A)) ,
MAPA_ESTADOS!B:B
},
2,
FALSE
),
"REVISAR"
)</f>
        <v>DEVOLUCION</v>
      </c>
      <c r="P208" s="118" t="s">
        <v>5692</v>
      </c>
      <c r="Q208" s="153">
        <f t="shared" si="1"/>
        <v>0</v>
      </c>
      <c r="R208" s="163"/>
      <c r="S208" s="163"/>
      <c r="T208" s="118">
        <f t="array" ref="T208">IFERROR(
INDEX(REPORTE_DROPI!B:B,
MATCH(
CLEAN(TRIM(C208)),
CLEAN(TRIM(REPORTE_DROPI!E:E)),
0
)
),
""
)
</f>
        <v>4432046</v>
      </c>
      <c r="U208" s="163">
        <v>1.57100198152E11</v>
      </c>
      <c r="V208" s="164"/>
    </row>
    <row r="209" ht="22.5" hidden="1" customHeight="1">
      <c r="A209" s="161">
        <v>208.0</v>
      </c>
      <c r="B209" s="119">
        <v>46060.0</v>
      </c>
      <c r="C209" s="118" t="s">
        <v>6445</v>
      </c>
      <c r="D209" s="118" t="str">
        <f>IFERROR(__xludf.DUMMYFUNCTION("IFERROR( INDEX( FILTER( 'NOMBRE DE PRODUCTOS'!B:B, REGEXMATCH( UPPER( INDEX( REPORTE_DROPI!AC:AC, MATCH(T209, REPORTE_DROPI!B:B, 0) ) ), UPPER('NOMBRE DE PRODUCTOS'!A:A) ) ), 1 ), ""REVISAR"" )"),"Cuchillo Tazaki™")</f>
        <v>Cuchillo Tazaki™</v>
      </c>
      <c r="E209" s="120">
        <f t="array" ref="E209">IF(
UPPER(TRIM(CLEAN($O209)))="ENTREGADO",
IFERROR(
INDEX(REPORTE_DROPI!Y:Y,
MATCH($T209, REPORTE_DROPI!B:B, 0)
),
""
),
""
)
</f>
        <v>5.2</v>
      </c>
      <c r="F209" s="162">
        <v>2.0</v>
      </c>
      <c r="G209" s="122">
        <f t="array" ref="G209">IF(
UPPER(TRIM(CLEAN($O209)))="ENTREGADO",
IFERROR(
INDEX(REPORTE_DROPI!R:R,
MATCH($T209, REPORTE_DROPI!B:B, 0)
),
""
),
""
)
</f>
        <v>22</v>
      </c>
      <c r="H209" s="118" t="s">
        <v>3727</v>
      </c>
      <c r="I209" s="118" t="s">
        <v>3731</v>
      </c>
      <c r="J209" s="121">
        <f t="array" ref="J209">IF(
UPPER(TRIM(CLEAN($O209)))="ENTREGADO",
IFERROR(
INDEX(REPORTE_DROPI!T:T,
MATCH($T209, REPORTE_DROPI!B:B, 0)
),
""
),
""
)
</f>
        <v>5.84</v>
      </c>
      <c r="K209" s="118">
        <f t="array" ref="K209">IFERROR(
INDEX(REPORTE_DROPI!S:S,
MATCH($T209, REPORTE_DROPI!B:B, 0)
),
""
)</f>
        <v>10.96</v>
      </c>
      <c r="L209" s="118" t="str">
        <f>IF(
  O209&lt;&gt;"DEVOLUCION",
  "",
  IF(
    T209="",
    "",
    SUMIF(DEVOLUCION!F:F, T209, DEVOLUCION!D:D)
  )
)
</f>
        <v/>
      </c>
      <c r="M209" s="118" t="s">
        <v>5877</v>
      </c>
      <c r="N209" s="161" t="s">
        <v>6446</v>
      </c>
      <c r="O209" s="118" t="str">
        <f t="array" ref="O209">IFERROR(
VLOOKUP(
TRIM(CLEAN(
INDEX(REPORTE_DROPI!K:K,
MATCH(T209, REPORTE_DROPI!B:B, 0)
))),
{
TRIM(CLEAN(MAPA_ESTADOS!A:A)) ,
MAPA_ESTADOS!B:B
},
2,
FALSE
),
"REVISAR"
)</f>
        <v>ENTREGADO</v>
      </c>
      <c r="P209" s="118" t="s">
        <v>5692</v>
      </c>
      <c r="Q209" s="153">
        <f t="shared" si="1"/>
        <v>0</v>
      </c>
      <c r="R209" s="163"/>
      <c r="S209" s="163"/>
      <c r="T209" s="118">
        <f t="array" ref="T209">IFERROR(
INDEX(REPORTE_DROPI!B:B,
MATCH(
CLEAN(TRIM(C209)),
CLEAN(TRIM(REPORTE_DROPI!E:E)),
0
)
),
""
)
</f>
        <v>4432044</v>
      </c>
      <c r="U209" s="163" t="s">
        <v>6447</v>
      </c>
      <c r="V209" s="164"/>
    </row>
    <row r="210" ht="22.5" hidden="1" customHeight="1">
      <c r="A210" s="161">
        <v>209.0</v>
      </c>
      <c r="B210" s="119">
        <v>46060.0</v>
      </c>
      <c r="C210" s="118" t="s">
        <v>6448</v>
      </c>
      <c r="D210" s="118" t="str">
        <f>IFERROR(__xludf.DUMMYFUNCTION("IFERROR( INDEX( FILTER( 'NOMBRE DE PRODUCTOS'!B:B, REGEXMATCH( UPPER( INDEX( REPORTE_DROPI!AC:AC, MATCH(T210, REPORTE_DROPI!B:B, 0) ) ), UPPER('NOMBRE DE PRODUCTOS'!A:A) ) ), 1 ), ""REVISAR"" )"),"FilmPro®")</f>
        <v>FilmPro®</v>
      </c>
      <c r="E210" s="120">
        <f t="array" ref="E210">IF(
UPPER(TRIM(CLEAN($O210)))="ENTREGADO",
IFERROR(
INDEX(REPORTE_DROPI!Y:Y,
MATCH($T210, REPORTE_DROPI!B:B, 0)
),
""
),
""
)
</f>
        <v>4.4</v>
      </c>
      <c r="F210" s="162">
        <v>2.0</v>
      </c>
      <c r="G210" s="122">
        <f t="array" ref="G210">IF(
UPPER(TRIM(CLEAN($O210)))="ENTREGADO",
IFERROR(
INDEX(REPORTE_DROPI!R:R,
MATCH($T210, REPORTE_DROPI!B:B, 0)
),
""
),
""
)
</f>
        <v>25</v>
      </c>
      <c r="H210" s="118" t="s">
        <v>3727</v>
      </c>
      <c r="I210" s="118" t="s">
        <v>3740</v>
      </c>
      <c r="J210" s="121">
        <f t="array" ref="J210">IF(
UPPER(TRIM(CLEAN($O210)))="ENTREGADO",
IFERROR(
INDEX(REPORTE_DROPI!T:T,
MATCH($T210, REPORTE_DROPI!B:B, 0)
),
""
),
""
)
</f>
        <v>5.38</v>
      </c>
      <c r="K210" s="118">
        <f t="array" ref="K210">IFERROR(
INDEX(REPORTE_DROPI!S:S,
MATCH($T210, REPORTE_DROPI!B:B, 0)
),
""
)</f>
        <v>15.22</v>
      </c>
      <c r="L210" s="118" t="str">
        <f>IF(
  O210&lt;&gt;"DEVOLUCION",
  "",
  IF(
    T210="",
    "",
    SUMIF(DEVOLUCION!F:F, T210, DEVOLUCION!D:D)
  )
)
</f>
        <v/>
      </c>
      <c r="M210" s="118" t="s">
        <v>5877</v>
      </c>
      <c r="N210" s="161" t="s">
        <v>6449</v>
      </c>
      <c r="O210" s="118" t="str">
        <f t="array" ref="O210">IFERROR(
VLOOKUP(
TRIM(CLEAN(
INDEX(REPORTE_DROPI!K:K,
MATCH(T210, REPORTE_DROPI!B:B, 0)
))),
{
TRIM(CLEAN(MAPA_ESTADOS!A:A)) ,
MAPA_ESTADOS!B:B
},
2,
FALSE
),
"REVISAR"
)</f>
        <v>ENTREGADO</v>
      </c>
      <c r="P210" s="118" t="s">
        <v>5692</v>
      </c>
      <c r="Q210" s="153">
        <f t="shared" si="1"/>
        <v>0</v>
      </c>
      <c r="R210" s="163"/>
      <c r="S210" s="163"/>
      <c r="T210" s="118">
        <f t="array" ref="T210">IFERROR(
INDEX(REPORTE_DROPI!B:B,
MATCH(
CLEAN(TRIM(C210)),
CLEAN(TRIM(REPORTE_DROPI!E:E)),
0
)
),
""
)
</f>
        <v>4432041</v>
      </c>
      <c r="U210" s="163" t="s">
        <v>6450</v>
      </c>
      <c r="V210" s="164"/>
    </row>
    <row r="211" ht="22.5" hidden="1" customHeight="1">
      <c r="A211" s="161">
        <v>210.0</v>
      </c>
      <c r="B211" s="119">
        <v>46060.0</v>
      </c>
      <c r="C211" s="118" t="s">
        <v>6451</v>
      </c>
      <c r="D211" s="118" t="str">
        <f>IFERROR(__xludf.DUMMYFUNCTION("IFERROR( INDEX( FILTER( 'NOMBRE DE PRODUCTOS'!B:B, REGEXMATCH( UPPER( INDEX( REPORTE_DROPI!AC:AC, MATCH(T211, REPORTE_DROPI!B:B, 0) ) ), UPPER('NOMBRE DE PRODUCTOS'!A:A) ) ), 1 ), ""REVISAR"" )"),"Cuchillo Tazaki™")</f>
        <v>Cuchillo Tazaki™</v>
      </c>
      <c r="E211" s="120" t="str">
        <f t="array" ref="E211">IF(
UPPER(TRIM(CLEAN($O211)))="ENTREGADO",
IFERROR(
INDEX(REPORTE_DROPI!Y:Y,
MATCH($T211, REPORTE_DROPI!B:B, 0)
),
""
),
""
)
</f>
        <v/>
      </c>
      <c r="F211" s="162">
        <v>3.0</v>
      </c>
      <c r="G211" s="122" t="str">
        <f t="array" ref="G211">IF(
UPPER(TRIM(CLEAN($O211)))="ENTREGADO",
IFERROR(
INDEX(REPORTE_DROPI!R:R,
MATCH($T211, REPORTE_DROPI!B:B, 0)
),
""
),
""
)
</f>
        <v/>
      </c>
      <c r="H211" s="118" t="s">
        <v>3727</v>
      </c>
      <c r="I211" s="118" t="s">
        <v>3731</v>
      </c>
      <c r="J211" s="121" t="str">
        <f t="array" ref="J211">IF(
UPPER(TRIM(CLEAN($O211)))="ENTREGADO",
IFERROR(
INDEX(REPORTE_DROPI!T:T,
MATCH($T211, REPORTE_DROPI!B:B, 0)
),
""
),
""
)
</f>
        <v/>
      </c>
      <c r="K211" s="118" t="str">
        <f t="array" ref="K211">IFERROR(
INDEX(REPORTE_DROPI!S:S,
MATCH($T211, REPORTE_DROPI!B:B, 0)
),
""
)</f>
        <v/>
      </c>
      <c r="L211" s="118" t="str">
        <f>IF(
  O211&lt;&gt;"DEVOLUCION",
  "",
  IF(
    T211="",
    "",
    SUMIF(DEVOLUCION!F:F, T211, DEVOLUCION!D:D)
  )
)
</f>
        <v/>
      </c>
      <c r="M211" s="118" t="s">
        <v>5877</v>
      </c>
      <c r="N211" s="161" t="s">
        <v>6452</v>
      </c>
      <c r="O211" s="118" t="str">
        <f t="array" ref="O211">IFERROR(
VLOOKUP(
TRIM(CLEAN(
INDEX(REPORTE_DROPI!K:K,
MATCH(T211, REPORTE_DROPI!B:B, 0)
))),
{
TRIM(CLEAN(MAPA_ESTADOS!A:A)) ,
MAPA_ESTADOS!B:B
},
2,
FALSE
),
"REVISAR"
)</f>
        <v>PENDIENTE</v>
      </c>
      <c r="P211" s="118" t="s">
        <v>3653</v>
      </c>
      <c r="Q211" s="153">
        <f t="shared" si="1"/>
        <v>0</v>
      </c>
      <c r="R211" s="163"/>
      <c r="S211" s="163"/>
      <c r="T211" s="118">
        <f t="array" ref="T211">IFERROR(
INDEX(REPORTE_DROPI!B:B,
MATCH(
CLEAN(TRIM(C211)),
CLEAN(TRIM(REPORTE_DROPI!E:E)),
0
)
),
""
)
</f>
        <v>4457592</v>
      </c>
      <c r="U211" s="163" t="s">
        <v>6453</v>
      </c>
      <c r="V211" s="164"/>
    </row>
    <row r="212" ht="22.5" hidden="1" customHeight="1">
      <c r="A212" s="161">
        <v>211.0</v>
      </c>
      <c r="B212" s="119">
        <v>46060.0</v>
      </c>
      <c r="C212" s="118" t="s">
        <v>6454</v>
      </c>
      <c r="D212" s="118" t="str">
        <f>IFERROR(__xludf.DUMMYFUNCTION("IFERROR( INDEX( FILTER( 'NOMBRE DE PRODUCTOS'!B:B, REGEXMATCH( UPPER( INDEX( REPORTE_DROPI!AC:AC, MATCH(T212, REPORTE_DROPI!B:B, 0) ) ), UPPER('NOMBRE DE PRODUCTOS'!A:A) ) ), 1 ), ""REVISAR"" )"),"Cuchillo Tazaki™")</f>
        <v>Cuchillo Tazaki™</v>
      </c>
      <c r="E212" s="120">
        <f t="array" ref="E212">IF(
UPPER(TRIM(CLEAN($O212)))="ENTREGADO",
IFERROR(
INDEX(REPORTE_DROPI!Y:Y,
MATCH($T212, REPORTE_DROPI!B:B, 0)
),
""
),
""
)
</f>
        <v>5.2</v>
      </c>
      <c r="F212" s="162">
        <v>2.0</v>
      </c>
      <c r="G212" s="122">
        <f t="array" ref="G212">IF(
UPPER(TRIM(CLEAN($O212)))="ENTREGADO",
IFERROR(
INDEX(REPORTE_DROPI!R:R,
MATCH($T212, REPORTE_DROPI!B:B, 0)
),
""
),
""
)
</f>
        <v>22</v>
      </c>
      <c r="H212" s="118" t="s">
        <v>3727</v>
      </c>
      <c r="I212" s="118" t="s">
        <v>3979</v>
      </c>
      <c r="J212" s="121">
        <f t="array" ref="J212">IF(
UPPER(TRIM(CLEAN($O212)))="ENTREGADO",
IFERROR(
INDEX(REPORTE_DROPI!T:T,
MATCH($T212, REPORTE_DROPI!B:B, 0)
),
""
),
""
)
</f>
        <v>5.84</v>
      </c>
      <c r="K212" s="118">
        <f t="array" ref="K212">IFERROR(
INDEX(REPORTE_DROPI!S:S,
MATCH($T212, REPORTE_DROPI!B:B, 0)
),
""
)</f>
        <v>10.96</v>
      </c>
      <c r="L212" s="118" t="str">
        <f>IF(
  O212&lt;&gt;"DEVOLUCION",
  "",
  IF(
    T212="",
    "",
    SUMIF(DEVOLUCION!F:F, T212, DEVOLUCION!D:D)
  )
)
</f>
        <v/>
      </c>
      <c r="M212" s="118" t="s">
        <v>5877</v>
      </c>
      <c r="N212" s="161" t="s">
        <v>6455</v>
      </c>
      <c r="O212" s="118" t="str">
        <f t="array" ref="O212">IFERROR(
VLOOKUP(
TRIM(CLEAN(
INDEX(REPORTE_DROPI!K:K,
MATCH(T212, REPORTE_DROPI!B:B, 0)
))),
{
TRIM(CLEAN(MAPA_ESTADOS!A:A)) ,
MAPA_ESTADOS!B:B
},
2,
FALSE
),
"REVISAR"
)</f>
        <v>ENTREGADO</v>
      </c>
      <c r="P212" s="118" t="s">
        <v>6456</v>
      </c>
      <c r="Q212" s="153">
        <f t="shared" si="1"/>
        <v>0</v>
      </c>
      <c r="R212" s="163"/>
      <c r="S212" s="163"/>
      <c r="T212" s="118">
        <f t="array" ref="T212">IFERROR(
INDEX(REPORTE_DROPI!B:B,
MATCH(
CLEAN(TRIM(C212)),
CLEAN(TRIM(REPORTE_DROPI!E:E)),
0
)
),
""
)
</f>
        <v>4432038</v>
      </c>
      <c r="U212" s="163" t="s">
        <v>6457</v>
      </c>
      <c r="V212" s="164"/>
    </row>
    <row r="213" ht="22.5" hidden="1" customHeight="1">
      <c r="A213" s="161">
        <v>212.0</v>
      </c>
      <c r="B213" s="119">
        <v>46060.0</v>
      </c>
      <c r="C213" s="118" t="s">
        <v>6458</v>
      </c>
      <c r="D213" s="118" t="str">
        <f>IFERROR(__xludf.DUMMYFUNCTION("IFERROR( INDEX( FILTER( 'NOMBRE DE PRODUCTOS'!B:B, REGEXMATCH( UPPER( INDEX( REPORTE_DROPI!AC:AC, MATCH(T213, REPORTE_DROPI!B:B, 0) ) ), UPPER('NOMBRE DE PRODUCTOS'!A:A) ) ), 1 ), ""REVISAR"" )"),"Cuchillo Tazaki™")</f>
        <v>Cuchillo Tazaki™</v>
      </c>
      <c r="E213" s="120">
        <f t="array" ref="E213">IF(
UPPER(TRIM(CLEAN($O213)))="ENTREGADO",
IFERROR(
INDEX(REPORTE_DROPI!Y:Y,
MATCH($T213, REPORTE_DROPI!B:B, 0)
),
""
),
""
)
</f>
        <v>7.8</v>
      </c>
      <c r="F213" s="162">
        <v>3.0</v>
      </c>
      <c r="G213" s="122">
        <f t="array" ref="G213">IF(
UPPER(TRIM(CLEAN($O213)))="ENTREGADO",
IFERROR(
INDEX(REPORTE_DROPI!R:R,
MATCH($T213, REPORTE_DROPI!B:B, 0)
),
""
),
""
)
</f>
        <v>27</v>
      </c>
      <c r="H213" s="118" t="s">
        <v>3727</v>
      </c>
      <c r="I213" s="118" t="s">
        <v>3740</v>
      </c>
      <c r="J213" s="121">
        <f t="array" ref="J213">IF(
UPPER(TRIM(CLEAN($O213)))="ENTREGADO",
IFERROR(
INDEX(REPORTE_DROPI!T:T,
MATCH($T213, REPORTE_DROPI!B:B, 0)
),
""
),
""
)
</f>
        <v>4.42</v>
      </c>
      <c r="K213" s="118">
        <f t="array" ref="K213">IFERROR(
INDEX(REPORTE_DROPI!S:S,
MATCH($T213, REPORTE_DROPI!B:B, 0)
),
""
)</f>
        <v>14.78</v>
      </c>
      <c r="L213" s="118" t="str">
        <f>IF(
  O213&lt;&gt;"DEVOLUCION",
  "",
  IF(
    T213="",
    "",
    SUMIF(DEVOLUCION!F:F, T213, DEVOLUCION!D:D)
  )
)
</f>
        <v/>
      </c>
      <c r="M213" s="118" t="s">
        <v>5877</v>
      </c>
      <c r="N213" s="161" t="s">
        <v>6459</v>
      </c>
      <c r="O213" s="118" t="str">
        <f t="array" ref="O213">IFERROR(
VLOOKUP(
TRIM(CLEAN(
INDEX(REPORTE_DROPI!K:K,
MATCH(T213, REPORTE_DROPI!B:B, 0)
))),
{
TRIM(CLEAN(MAPA_ESTADOS!A:A)) ,
MAPA_ESTADOS!B:B
},
2,
FALSE
),
"REVISAR"
)</f>
        <v>ENTREGADO</v>
      </c>
      <c r="P213" s="118" t="s">
        <v>5692</v>
      </c>
      <c r="Q213" s="153">
        <f t="shared" si="1"/>
        <v>0</v>
      </c>
      <c r="R213" s="163"/>
      <c r="S213" s="163"/>
      <c r="T213" s="118">
        <f t="array" ref="T213">IFERROR(
INDEX(REPORTE_DROPI!B:B,
MATCH(
CLEAN(TRIM(C213)),
CLEAN(TRIM(REPORTE_DROPI!E:E)),
0
)
),
""
)
</f>
        <v>4432035</v>
      </c>
      <c r="U213" s="163" t="s">
        <v>6460</v>
      </c>
      <c r="V213" s="164"/>
    </row>
    <row r="214" ht="22.5" hidden="1" customHeight="1">
      <c r="A214" s="161">
        <v>213.0</v>
      </c>
      <c r="B214" s="119">
        <v>46060.0</v>
      </c>
      <c r="C214" s="118" t="s">
        <v>6461</v>
      </c>
      <c r="D214" s="118" t="str">
        <f>IFERROR(__xludf.DUMMYFUNCTION("IFERROR( INDEX( FILTER( 'NOMBRE DE PRODUCTOS'!B:B, REGEXMATCH( UPPER( INDEX( REPORTE_DROPI!AC:AC, MATCH(T214, REPORTE_DROPI!B:B, 0) ) ), UPPER('NOMBRE DE PRODUCTOS'!A:A) ) ), 1 ), ""REVISAR"" )"),"Cuchillo Tazaki™")</f>
        <v>Cuchillo Tazaki™</v>
      </c>
      <c r="E214" s="120" t="str">
        <f t="array" ref="E214">IF(
UPPER(TRIM(CLEAN($O214)))="ENTREGADO",
IFERROR(
INDEX(REPORTE_DROPI!Y:Y,
MATCH($T214, REPORTE_DROPI!B:B, 0)
),
""
),
""
)
</f>
        <v/>
      </c>
      <c r="F214" s="162">
        <v>2.0</v>
      </c>
      <c r="G214" s="122" t="str">
        <f t="array" ref="G214">IF(
UPPER(TRIM(CLEAN($O214)))="ENTREGADO",
IFERROR(
INDEX(REPORTE_DROPI!R:R,
MATCH($T214, REPORTE_DROPI!B:B, 0)
),
""
),
""
)
</f>
        <v/>
      </c>
      <c r="H214" s="118" t="s">
        <v>3727</v>
      </c>
      <c r="I214" s="118" t="s">
        <v>3801</v>
      </c>
      <c r="J214" s="121" t="str">
        <f t="array" ref="J214">IF(
UPPER(TRIM(CLEAN($O214)))="ENTREGADO",
IFERROR(
INDEX(REPORTE_DROPI!T:T,
MATCH($T214, REPORTE_DROPI!B:B, 0)
),
""
),
""
)
</f>
        <v/>
      </c>
      <c r="K214" s="118" t="str">
        <f t="array" ref="K214">IFERROR(
INDEX(REPORTE_DROPI!S:S,
MATCH($T214, REPORTE_DROPI!B:B, 0)
),
""
)</f>
        <v/>
      </c>
      <c r="L214" s="118" t="str">
        <f>IF(
  O214&lt;&gt;"DEVOLUCION",
  "",
  IF(
    T214="",
    "",
    SUMIF(DEVOLUCION!F:F, T214, DEVOLUCION!D:D)
  )
)
</f>
        <v/>
      </c>
      <c r="M214" s="118" t="s">
        <v>5877</v>
      </c>
      <c r="N214" s="161" t="s">
        <v>6462</v>
      </c>
      <c r="O214" s="118" t="str">
        <f t="array" ref="O214">IFERROR(
VLOOKUP(
TRIM(CLEAN(
INDEX(REPORTE_DROPI!K:K,
MATCH(T214, REPORTE_DROPI!B:B, 0)
))),
{
TRIM(CLEAN(MAPA_ESTADOS!A:A)) ,
MAPA_ESTADOS!B:B
},
2,
FALSE
),
"REVISAR"
)</f>
        <v>CANCELADO</v>
      </c>
      <c r="P214" s="118" t="s">
        <v>6463</v>
      </c>
      <c r="Q214" s="153">
        <f t="shared" si="1"/>
        <v>0</v>
      </c>
      <c r="R214" s="163"/>
      <c r="S214" s="163"/>
      <c r="T214" s="118">
        <f t="array" ref="T214">IFERROR(
INDEX(REPORTE_DROPI!B:B,
MATCH(
CLEAN(TRIM(C214)),
CLEAN(TRIM(REPORTE_DROPI!E:E)),
0
)
),
""
)
</f>
        <v>4432032</v>
      </c>
      <c r="U214" s="163" t="s">
        <v>6464</v>
      </c>
      <c r="V214" s="164"/>
    </row>
    <row r="215" ht="22.5" hidden="1" customHeight="1">
      <c r="A215" s="161">
        <v>214.0</v>
      </c>
      <c r="B215" s="119">
        <v>46060.0</v>
      </c>
      <c r="C215" s="118" t="s">
        <v>6465</v>
      </c>
      <c r="D215" s="118" t="str">
        <f>IFERROR(__xludf.DUMMYFUNCTION("IFERROR( INDEX( FILTER( 'NOMBRE DE PRODUCTOS'!B:B, REGEXMATCH( UPPER( INDEX( REPORTE_DROPI!AC:AC, MATCH(T215, REPORTE_DROPI!B:B, 0) ) ), UPPER('NOMBRE DE PRODUCTOS'!A:A) ) ), 1 ), ""REVISAR"" )"),"Cuchillo Tazaki™")</f>
        <v>Cuchillo Tazaki™</v>
      </c>
      <c r="E215" s="120">
        <f t="array" ref="E215">IF(
UPPER(TRIM(CLEAN($O215)))="ENTREGADO",
IFERROR(
INDEX(REPORTE_DROPI!Y:Y,
MATCH($T215, REPORTE_DROPI!B:B, 0)
),
""
),
""
)
</f>
        <v>5.2</v>
      </c>
      <c r="F215" s="162">
        <v>2.0</v>
      </c>
      <c r="G215" s="122">
        <f t="array" ref="G215">IF(
UPPER(TRIM(CLEAN($O215)))="ENTREGADO",
IFERROR(
INDEX(REPORTE_DROPI!R:R,
MATCH($T215, REPORTE_DROPI!B:B, 0)
),
""
),
""
)
</f>
        <v>22</v>
      </c>
      <c r="H215" s="118" t="s">
        <v>3727</v>
      </c>
      <c r="I215" s="118" t="s">
        <v>3912</v>
      </c>
      <c r="J215" s="121">
        <f t="array" ref="J215">IF(
UPPER(TRIM(CLEAN($O215)))="ENTREGADO",
IFERROR(
INDEX(REPORTE_DROPI!T:T,
MATCH($T215, REPORTE_DROPI!B:B, 0)
),
""
),
""
)
</f>
        <v>5.84</v>
      </c>
      <c r="K215" s="118">
        <f t="array" ref="K215">IFERROR(
INDEX(REPORTE_DROPI!S:S,
MATCH($T215, REPORTE_DROPI!B:B, 0)
),
""
)</f>
        <v>10.96</v>
      </c>
      <c r="L215" s="118" t="str">
        <f>IF(
  O215&lt;&gt;"DEVOLUCION",
  "",
  IF(
    T215="",
    "",
    SUMIF(DEVOLUCION!F:F, T215, DEVOLUCION!D:D)
  )
)
</f>
        <v/>
      </c>
      <c r="M215" s="118" t="s">
        <v>5877</v>
      </c>
      <c r="N215" s="161" t="s">
        <v>6466</v>
      </c>
      <c r="O215" s="118" t="str">
        <f t="array" ref="O215">IFERROR(
VLOOKUP(
TRIM(CLEAN(
INDEX(REPORTE_DROPI!K:K,
MATCH(T215, REPORTE_DROPI!B:B, 0)
))),
{
TRIM(CLEAN(MAPA_ESTADOS!A:A)) ,
MAPA_ESTADOS!B:B
},
2,
FALSE
),
"REVISAR"
)</f>
        <v>ENTREGADO</v>
      </c>
      <c r="P215" s="118" t="s">
        <v>5692</v>
      </c>
      <c r="Q215" s="153">
        <f t="shared" si="1"/>
        <v>0</v>
      </c>
      <c r="R215" s="163"/>
      <c r="S215" s="163"/>
      <c r="T215" s="118">
        <f t="array" ref="T215">IFERROR(
INDEX(REPORTE_DROPI!B:B,
MATCH(
CLEAN(TRIM(C215)),
CLEAN(TRIM(REPORTE_DROPI!E:E)),
0
)
),
""
)
</f>
        <v>4432031</v>
      </c>
      <c r="U215" s="163" t="s">
        <v>6467</v>
      </c>
      <c r="V215" s="164"/>
    </row>
    <row r="216" ht="22.5" hidden="1" customHeight="1">
      <c r="A216" s="161">
        <v>215.0</v>
      </c>
      <c r="B216" s="119">
        <v>46060.0</v>
      </c>
      <c r="C216" s="118" t="s">
        <v>6468</v>
      </c>
      <c r="D216" s="118" t="str">
        <f>IFERROR(__xludf.DUMMYFUNCTION("IFERROR( INDEX( FILTER( 'NOMBRE DE PRODUCTOS'!B:B, REGEXMATCH( UPPER( INDEX( REPORTE_DROPI!AC:AC, MATCH(T216, REPORTE_DROPI!B:B, 0) ) ), UPPER('NOMBRE DE PRODUCTOS'!A:A) ) ), 1 ), ""REVISAR"" )"),"Cuchillo Tazaki™")</f>
        <v>Cuchillo Tazaki™</v>
      </c>
      <c r="E216" s="120">
        <f t="array" ref="E216">IF(
UPPER(TRIM(CLEAN($O216)))="ENTREGADO",
IFERROR(
INDEX(REPORTE_DROPI!Y:Y,
MATCH($T216, REPORTE_DROPI!B:B, 0)
),
""
),
""
)
</f>
        <v>7.8</v>
      </c>
      <c r="F216" s="162">
        <v>3.0</v>
      </c>
      <c r="G216" s="122">
        <f t="array" ref="G216">IF(
UPPER(TRIM(CLEAN($O216)))="ENTREGADO",
IFERROR(
INDEX(REPORTE_DROPI!R:R,
MATCH($T216, REPORTE_DROPI!B:B, 0)
),
""
),
""
)
</f>
        <v>27</v>
      </c>
      <c r="H216" s="118" t="s">
        <v>3727</v>
      </c>
      <c r="I216" s="118" t="s">
        <v>3979</v>
      </c>
      <c r="J216" s="121">
        <f t="array" ref="J216">IF(
UPPER(TRIM(CLEAN($O216)))="ENTREGADO",
IFERROR(
INDEX(REPORTE_DROPI!T:T,
MATCH($T216, REPORTE_DROPI!B:B, 0)
),
""
),
""
)
</f>
        <v>7.77</v>
      </c>
      <c r="K216" s="118">
        <f t="array" ref="K216">IFERROR(
INDEX(REPORTE_DROPI!S:S,
MATCH($T216, REPORTE_DROPI!B:B, 0)
),
""
)</f>
        <v>11.43</v>
      </c>
      <c r="L216" s="118" t="str">
        <f>IF(
  O216&lt;&gt;"DEVOLUCION",
  "",
  IF(
    T216="",
    "",
    SUMIF(DEVOLUCION!F:F, T216, DEVOLUCION!D:D)
  )
)
</f>
        <v/>
      </c>
      <c r="M216" s="118" t="s">
        <v>5877</v>
      </c>
      <c r="N216" s="161" t="s">
        <v>6469</v>
      </c>
      <c r="O216" s="118" t="str">
        <f t="array" ref="O216">IFERROR(
VLOOKUP(
TRIM(CLEAN(
INDEX(REPORTE_DROPI!K:K,
MATCH(T216, REPORTE_DROPI!B:B, 0)
))),
{
TRIM(CLEAN(MAPA_ESTADOS!A:A)) ,
MAPA_ESTADOS!B:B
},
2,
FALSE
),
"REVISAR"
)</f>
        <v>ENTREGADO</v>
      </c>
      <c r="P216" s="118" t="s">
        <v>5692</v>
      </c>
      <c r="Q216" s="153">
        <f t="shared" si="1"/>
        <v>0</v>
      </c>
      <c r="R216" s="163"/>
      <c r="S216" s="163"/>
      <c r="T216" s="118">
        <f t="array" ref="T216">IFERROR(
INDEX(REPORTE_DROPI!B:B,
MATCH(
CLEAN(TRIM(C216)),
CLEAN(TRIM(REPORTE_DROPI!E:E)),
0
)
),
""
)
</f>
        <v>4458057</v>
      </c>
      <c r="U216" s="163" t="s">
        <v>6470</v>
      </c>
      <c r="V216" s="166"/>
      <c r="W216" s="167">
        <v>4458057.0</v>
      </c>
    </row>
    <row r="217" ht="22.5" hidden="1" customHeight="1">
      <c r="A217" s="161">
        <v>216.0</v>
      </c>
      <c r="B217" s="119">
        <v>46060.0</v>
      </c>
      <c r="C217" s="118" t="s">
        <v>6471</v>
      </c>
      <c r="D217" s="118" t="str">
        <f>IFERROR(__xludf.DUMMYFUNCTION("IFERROR( INDEX( FILTER( 'NOMBRE DE PRODUCTOS'!B:B, REGEXMATCH( UPPER( INDEX( REPORTE_DROPI!AC:AC, MATCH(T217, REPORTE_DROPI!B:B, 0) ) ), UPPER('NOMBRE DE PRODUCTOS'!A:A) ) ), 1 ), ""REVISAR"" )"),"Cuchillo Tazaki™")</f>
        <v>Cuchillo Tazaki™</v>
      </c>
      <c r="E217" s="120" t="str">
        <f t="array" ref="E217">IF(
UPPER(TRIM(CLEAN($O217)))="ENTREGADO",
IFERROR(
INDEX(REPORTE_DROPI!Y:Y,
MATCH($T217, REPORTE_DROPI!B:B, 0)
),
""
),
""
)
</f>
        <v/>
      </c>
      <c r="F217" s="162">
        <v>2.0</v>
      </c>
      <c r="G217" s="122" t="str">
        <f t="array" ref="G217">IF(
UPPER(TRIM(CLEAN($O217)))="ENTREGADO",
IFERROR(
INDEX(REPORTE_DROPI!R:R,
MATCH($T217, REPORTE_DROPI!B:B, 0)
),
""
),
""
)
</f>
        <v/>
      </c>
      <c r="H217" s="118" t="s">
        <v>3727</v>
      </c>
      <c r="I217" s="118" t="s">
        <v>3740</v>
      </c>
      <c r="J217" s="121" t="str">
        <f t="array" ref="J217">IF(
UPPER(TRIM(CLEAN($O217)))="ENTREGADO",
IFERROR(
INDEX(REPORTE_DROPI!T:T,
MATCH($T217, REPORTE_DROPI!B:B, 0)
),
""
),
""
)
</f>
        <v/>
      </c>
      <c r="K217" s="118" t="str">
        <f t="array" ref="K217">IFERROR(
INDEX(REPORTE_DROPI!S:S,
MATCH($T217, REPORTE_DROPI!B:B, 0)
),
""
)</f>
        <v/>
      </c>
      <c r="L217" s="118" t="str">
        <f>IF(
  O217&lt;&gt;"DEVOLUCION",
  "",
  IF(
    T217="",
    "",
    SUMIF(DEVOLUCION!F:F, T217, DEVOLUCION!D:D)
  )
)
</f>
        <v/>
      </c>
      <c r="M217" s="118" t="s">
        <v>5877</v>
      </c>
      <c r="N217" s="161" t="s">
        <v>6472</v>
      </c>
      <c r="O217" s="118" t="str">
        <f t="array" ref="O217">IFERROR(
VLOOKUP(
TRIM(CLEAN(
INDEX(REPORTE_DROPI!K:K,
MATCH(T217, REPORTE_DROPI!B:B, 0)
))),
{
TRIM(CLEAN(MAPA_ESTADOS!A:A)) ,
MAPA_ESTADOS!B:B
},
2,
FALSE
),
"REVISAR"
)</f>
        <v>PENDIENTE</v>
      </c>
      <c r="P217" s="118" t="s">
        <v>6473</v>
      </c>
      <c r="Q217" s="153">
        <f t="shared" si="1"/>
        <v>0</v>
      </c>
      <c r="R217" s="163"/>
      <c r="S217" s="163"/>
      <c r="T217" s="118">
        <f t="array" ref="T217">IFERROR(
INDEX(REPORTE_DROPI!B:B,
MATCH(
CLEAN(TRIM(C217)),
CLEAN(TRIM(REPORTE_DROPI!E:E)),
0
)
),
""
)
</f>
        <v>4432027</v>
      </c>
      <c r="U217" s="163" t="s">
        <v>6474</v>
      </c>
      <c r="V217" s="164"/>
    </row>
    <row r="218" ht="22.5" hidden="1" customHeight="1">
      <c r="A218" s="161">
        <v>217.0</v>
      </c>
      <c r="B218" s="119">
        <v>46060.0</v>
      </c>
      <c r="C218" s="118" t="s">
        <v>6475</v>
      </c>
      <c r="D218" s="118" t="str">
        <f>IFERROR(__xludf.DUMMYFUNCTION("IFERROR( INDEX( FILTER( 'NOMBRE DE PRODUCTOS'!B:B, REGEXMATCH( UPPER( INDEX( REPORTE_DROPI!AC:AC, MATCH(T218, REPORTE_DROPI!B:B, 0) ) ), UPPER('NOMBRE DE PRODUCTOS'!A:A) ) ), 1 ), ""REVISAR"" )"),"Cuchillo Tazaki™")</f>
        <v>Cuchillo Tazaki™</v>
      </c>
      <c r="E218" s="120" t="str">
        <f t="array" ref="E218">IF(
UPPER(TRIM(CLEAN($O218)))="ENTREGADO",
IFERROR(
INDEX(REPORTE_DROPI!Y:Y,
MATCH($T218, REPORTE_DROPI!B:B, 0)
),
""
),
""
)
</f>
        <v/>
      </c>
      <c r="F218" s="162">
        <v>2.0</v>
      </c>
      <c r="G218" s="122" t="str">
        <f t="array" ref="G218">IF(
UPPER(TRIM(CLEAN($O218)))="ENTREGADO",
IFERROR(
INDEX(REPORTE_DROPI!R:R,
MATCH($T218, REPORTE_DROPI!B:B, 0)
),
""
),
""
)
</f>
        <v/>
      </c>
      <c r="H218" s="118" t="s">
        <v>3727</v>
      </c>
      <c r="I218" s="118" t="s">
        <v>3728</v>
      </c>
      <c r="J218" s="121" t="str">
        <f t="array" ref="J218">IF(
UPPER(TRIM(CLEAN($O218)))="ENTREGADO",
IFERROR(
INDEX(REPORTE_DROPI!T:T,
MATCH($T218, REPORTE_DROPI!B:B, 0)
),
""
),
""
)
</f>
        <v/>
      </c>
      <c r="K218" s="118" t="str">
        <f t="array" ref="K218">IFERROR(
INDEX(REPORTE_DROPI!S:S,
MATCH($T218, REPORTE_DROPI!B:B, 0)
),
""
)</f>
        <v/>
      </c>
      <c r="L218" s="118">
        <f>IF(
  O218&lt;&gt;"DEVOLUCION",
  "",
  IF(
    T218="",
    "",
    SUMIF(DEVOLUCION!F:F, T218, DEVOLUCION!D:D)
  )
)
</f>
        <v>5.07</v>
      </c>
      <c r="M218" s="118" t="s">
        <v>5877</v>
      </c>
      <c r="N218" s="161" t="s">
        <v>6476</v>
      </c>
      <c r="O218" s="118" t="str">
        <f t="array" ref="O218">IFERROR(
VLOOKUP(
TRIM(CLEAN(
INDEX(REPORTE_DROPI!K:K,
MATCH(T218, REPORTE_DROPI!B:B, 0)
))),
{
TRIM(CLEAN(MAPA_ESTADOS!A:A)) ,
MAPA_ESTADOS!B:B
},
2,
FALSE
),
"REVISAR"
)</f>
        <v>DEVOLUCION</v>
      </c>
      <c r="P218" s="118" t="s">
        <v>5692</v>
      </c>
      <c r="Q218" s="153">
        <f t="shared" si="1"/>
        <v>0</v>
      </c>
      <c r="R218" s="163"/>
      <c r="S218" s="163"/>
      <c r="T218" s="118">
        <f t="array" ref="T218">IFERROR(
INDEX(REPORTE_DROPI!B:B,
MATCH(
CLEAN(TRIM(C218)),
CLEAN(TRIM(REPORTE_DROPI!E:E)),
0
)
),
""
)
</f>
        <v>4458112</v>
      </c>
      <c r="U218" s="163"/>
      <c r="V218" s="164"/>
      <c r="W218" s="42">
        <v>4458112.0</v>
      </c>
    </row>
    <row r="219" ht="22.5" hidden="1" customHeight="1">
      <c r="A219" s="161">
        <v>218.0</v>
      </c>
      <c r="B219" s="119">
        <v>46060.0</v>
      </c>
      <c r="C219" s="118" t="s">
        <v>6062</v>
      </c>
      <c r="D219" s="118" t="str">
        <f>IFERROR(__xludf.DUMMYFUNCTION("IFERROR( INDEX( FILTER( 'NOMBRE DE PRODUCTOS'!B:B, REGEXMATCH( UPPER( INDEX( REPORTE_DROPI!AC:AC, MATCH(T219, REPORTE_DROPI!B:B, 0) ) ), UPPER('NOMBRE DE PRODUCTOS'!A:A) ) ), 1 ), ""REVISAR"" )"),"FilmPro®")</f>
        <v>FilmPro®</v>
      </c>
      <c r="E219" s="120">
        <f t="array" ref="E219">IF(
UPPER(TRIM(CLEAN($O219)))="ENTREGADO",
IFERROR(
INDEX(REPORTE_DROPI!Y:Y,
MATCH($T219, REPORTE_DROPI!B:B, 0)
),
""
),
""
)
</f>
        <v>6.6</v>
      </c>
      <c r="F219" s="162">
        <v>3.0</v>
      </c>
      <c r="G219" s="122">
        <f t="array" ref="G219">IF(
UPPER(TRIM(CLEAN($O219)))="ENTREGADO",
IFERROR(
INDEX(REPORTE_DROPI!R:R,
MATCH($T219, REPORTE_DROPI!B:B, 0)
),
""
),
""
)
</f>
        <v>30</v>
      </c>
      <c r="H219" s="118" t="s">
        <v>3727</v>
      </c>
      <c r="I219" s="118" t="s">
        <v>3731</v>
      </c>
      <c r="J219" s="121">
        <f t="array" ref="J219">IF(
UPPER(TRIM(CLEAN($O219)))="ENTREGADO",
IFERROR(
INDEX(REPORTE_DROPI!T:T,
MATCH($T219, REPORTE_DROPI!B:B, 0)
),
""
),
""
)
</f>
        <v>6.16</v>
      </c>
      <c r="K219" s="118">
        <f t="array" ref="K219">IFERROR(
INDEX(REPORTE_DROPI!S:S,
MATCH($T219, REPORTE_DROPI!B:B, 0)
),
""
)</f>
        <v>17.24</v>
      </c>
      <c r="L219" s="118" t="str">
        <f>IF(
  O219&lt;&gt;"DEVOLUCION",
  "",
  IF(
    T219="",
    "",
    SUMIF(DEVOLUCION!F:F, T219, DEVOLUCION!D:D)
  )
)
</f>
        <v/>
      </c>
      <c r="M219" s="118" t="s">
        <v>5877</v>
      </c>
      <c r="N219" s="161" t="s">
        <v>6477</v>
      </c>
      <c r="O219" s="118" t="str">
        <f t="array" ref="O219">IFERROR(
VLOOKUP(
TRIM(CLEAN(
INDEX(REPORTE_DROPI!K:K,
MATCH(T219, REPORTE_DROPI!B:B, 0)
))),
{
TRIM(CLEAN(MAPA_ESTADOS!A:A)) ,
MAPA_ESTADOS!B:B
},
2,
FALSE
),
"REVISAR"
)</f>
        <v>ENTREGADO</v>
      </c>
      <c r="P219" s="118" t="s">
        <v>5692</v>
      </c>
      <c r="Q219" s="153">
        <f t="shared" si="1"/>
        <v>0</v>
      </c>
      <c r="R219" s="163"/>
      <c r="S219" s="163"/>
      <c r="T219" s="118">
        <f t="array" ref="T219">IFERROR(
INDEX(REPORTE_DROPI!B:B,
MATCH(
CLEAN(TRIM(C219)),
CLEAN(TRIM(REPORTE_DROPI!E:E)),
0
)
),
""
)
</f>
        <v>4432024</v>
      </c>
      <c r="U219" s="163" t="s">
        <v>6478</v>
      </c>
      <c r="V219" s="164"/>
    </row>
    <row r="220" ht="22.5" hidden="1" customHeight="1">
      <c r="A220" s="161">
        <v>219.0</v>
      </c>
      <c r="B220" s="119">
        <v>46060.0</v>
      </c>
      <c r="C220" s="118" t="s">
        <v>6479</v>
      </c>
      <c r="D220" s="118" t="str">
        <f>IFERROR(__xludf.DUMMYFUNCTION("IFERROR( INDEX( FILTER( 'NOMBRE DE PRODUCTOS'!B:B, REGEXMATCH( UPPER( INDEX( REPORTE_DROPI!AC:AC, MATCH(T220, REPORTE_DROPI!B:B, 0) ) ), UPPER('NOMBRE DE PRODUCTOS'!A:A) ) ), 1 ), ""REVISAR"" )"),"Cuchillo Tazaki™")</f>
        <v>Cuchillo Tazaki™</v>
      </c>
      <c r="E220" s="120">
        <f t="array" ref="E220">IF(
UPPER(TRIM(CLEAN($O220)))="ENTREGADO",
IFERROR(
INDEX(REPORTE_DROPI!Y:Y,
MATCH($T220, REPORTE_DROPI!B:B, 0)
),
""
),
""
)
</f>
        <v>7.8</v>
      </c>
      <c r="F220" s="162">
        <v>3.0</v>
      </c>
      <c r="G220" s="122">
        <f t="array" ref="G220">IF(
UPPER(TRIM(CLEAN($O220)))="ENTREGADO",
IFERROR(
INDEX(REPORTE_DROPI!R:R,
MATCH($T220, REPORTE_DROPI!B:B, 0)
),
""
),
""
)
</f>
        <v>27</v>
      </c>
      <c r="H220" s="118" t="s">
        <v>3727</v>
      </c>
      <c r="I220" s="118" t="s">
        <v>3731</v>
      </c>
      <c r="J220" s="121">
        <f t="array" ref="J220">IF(
UPPER(TRIM(CLEAN($O220)))="ENTREGADO",
IFERROR(
INDEX(REPORTE_DROPI!T:T,
MATCH($T220, REPORTE_DROPI!B:B, 0)
),
""
),
""
)
</f>
        <v>6.03</v>
      </c>
      <c r="K220" s="118">
        <f t="array" ref="K220">IFERROR(
INDEX(REPORTE_DROPI!S:S,
MATCH($T220, REPORTE_DROPI!B:B, 0)
),
""
)</f>
        <v>13.17</v>
      </c>
      <c r="L220" s="118" t="str">
        <f>IF(
  O220&lt;&gt;"DEVOLUCION",
  "",
  IF(
    T220="",
    "",
    SUMIF(DEVOLUCION!F:F, T220, DEVOLUCION!D:D)
  )
)
</f>
        <v/>
      </c>
      <c r="M220" s="118" t="s">
        <v>5877</v>
      </c>
      <c r="N220" s="161" t="s">
        <v>6480</v>
      </c>
      <c r="O220" s="118" t="str">
        <f t="array" ref="O220">IFERROR(
VLOOKUP(
TRIM(CLEAN(
INDEX(REPORTE_DROPI!K:K,
MATCH(T220, REPORTE_DROPI!B:B, 0)
))),
{
TRIM(CLEAN(MAPA_ESTADOS!A:A)) ,
MAPA_ESTADOS!B:B
},
2,
FALSE
),
"REVISAR"
)</f>
        <v>ENTREGADO</v>
      </c>
      <c r="P220" s="118" t="s">
        <v>6481</v>
      </c>
      <c r="Q220" s="153">
        <f t="shared" si="1"/>
        <v>0</v>
      </c>
      <c r="R220" s="163"/>
      <c r="S220" s="163"/>
      <c r="T220" s="118">
        <f t="array" ref="T220">IFERROR(
INDEX(REPORTE_DROPI!B:B,
MATCH(
CLEAN(TRIM(C220)),
CLEAN(TRIM(REPORTE_DROPI!E:E)),
0
)
),
""
)
</f>
        <v>4458181</v>
      </c>
      <c r="U220" s="163" t="s">
        <v>6482</v>
      </c>
      <c r="V220" s="164"/>
    </row>
    <row r="221" ht="22.5" hidden="1" customHeight="1">
      <c r="A221" s="161">
        <v>220.0</v>
      </c>
      <c r="B221" s="119">
        <v>46060.0</v>
      </c>
      <c r="C221" s="118" t="s">
        <v>6483</v>
      </c>
      <c r="D221" s="118" t="str">
        <f>IFERROR(__xludf.DUMMYFUNCTION("IFERROR( INDEX( FILTER( 'NOMBRE DE PRODUCTOS'!B:B, REGEXMATCH( UPPER( INDEX( REPORTE_DROPI!AC:AC, MATCH(T221, REPORTE_DROPI!B:B, 0) ) ), UPPER('NOMBRE DE PRODUCTOS'!A:A) ) ), 1 ), ""REVISAR"" )"),"FilmPro®")</f>
        <v>FilmPro®</v>
      </c>
      <c r="E221" s="120" t="str">
        <f t="array" ref="E221">IF(
UPPER(TRIM(CLEAN($O221)))="ENTREGADO",
IFERROR(
INDEX(REPORTE_DROPI!Y:Y,
MATCH($T221, REPORTE_DROPI!B:B, 0)
),
""
),
""
)
</f>
        <v/>
      </c>
      <c r="F221" s="162">
        <v>1.0</v>
      </c>
      <c r="G221" s="122" t="str">
        <f t="array" ref="G221">IF(
UPPER(TRIM(CLEAN($O221)))="ENTREGADO",
IFERROR(
INDEX(REPORTE_DROPI!R:R,
MATCH($T221, REPORTE_DROPI!B:B, 0)
),
""
),
""
)
</f>
        <v/>
      </c>
      <c r="H221" s="118" t="s">
        <v>3727</v>
      </c>
      <c r="I221" s="118" t="s">
        <v>3772</v>
      </c>
      <c r="J221" s="121" t="str">
        <f t="array" ref="J221">IF(
UPPER(TRIM(CLEAN($O221)))="ENTREGADO",
IFERROR(
INDEX(REPORTE_DROPI!T:T,
MATCH($T221, REPORTE_DROPI!B:B, 0)
),
""
),
""
)
</f>
        <v/>
      </c>
      <c r="K221" s="118" t="str">
        <f t="array" ref="K221">IFERROR(
INDEX(REPORTE_DROPI!S:S,
MATCH($T221, REPORTE_DROPI!B:B, 0)
),
""
)</f>
        <v/>
      </c>
      <c r="L221" s="118">
        <f>IF(
  O221&lt;&gt;"DEVOLUCION",
  "",
  IF(
    T221="",
    "",
    SUMIF(DEVOLUCION!F:F, T221, DEVOLUCION!D:D)
  )
)
</f>
        <v>6.9</v>
      </c>
      <c r="M221" s="118" t="s">
        <v>5877</v>
      </c>
      <c r="N221" s="161" t="s">
        <v>6484</v>
      </c>
      <c r="O221" s="118" t="str">
        <f t="array" ref="O221">IFERROR(
VLOOKUP(
TRIM(CLEAN(
INDEX(REPORTE_DROPI!K:K,
MATCH(T221, REPORTE_DROPI!B:B, 0)
))),
{
TRIM(CLEAN(MAPA_ESTADOS!A:A)) ,
MAPA_ESTADOS!B:B
},
2,
FALSE
),
"REVISAR"
)</f>
        <v>DEVOLUCION</v>
      </c>
      <c r="P221" s="118" t="s">
        <v>5692</v>
      </c>
      <c r="Q221" s="153">
        <f t="shared" si="1"/>
        <v>0</v>
      </c>
      <c r="R221" s="163"/>
      <c r="S221" s="163"/>
      <c r="T221" s="118">
        <f t="array" ref="T221">IFERROR(
INDEX(REPORTE_DROPI!B:B,
MATCH(
CLEAN(TRIM(C221)),
CLEAN(TRIM(REPORTE_DROPI!E:E)),
0
)
),
""
)
</f>
        <v>4432022</v>
      </c>
      <c r="U221" s="163" t="s">
        <v>6485</v>
      </c>
      <c r="V221" s="164"/>
    </row>
    <row r="222" ht="22.5" hidden="1" customHeight="1">
      <c r="A222" s="161">
        <v>221.0</v>
      </c>
      <c r="B222" s="119">
        <v>46060.0</v>
      </c>
      <c r="C222" s="118" t="s">
        <v>6486</v>
      </c>
      <c r="D222" s="118" t="str">
        <f>IFERROR(__xludf.DUMMYFUNCTION("IFERROR( INDEX( FILTER( 'NOMBRE DE PRODUCTOS'!B:B, REGEXMATCH( UPPER( INDEX( REPORTE_DROPI!AC:AC, MATCH(T222, REPORTE_DROPI!B:B, 0) ) ), UPPER('NOMBRE DE PRODUCTOS'!A:A) ) ), 1 ), ""REVISAR"" )"),"FilmPro®")</f>
        <v>FilmPro®</v>
      </c>
      <c r="E222" s="120">
        <f t="array" ref="E222">IF(
UPPER(TRIM(CLEAN($O222)))="ENTREGADO",
IFERROR(
INDEX(REPORTE_DROPI!Y:Y,
MATCH($T222, REPORTE_DROPI!B:B, 0)
),
""
),
""
)
</f>
        <v>4.4</v>
      </c>
      <c r="F222" s="162">
        <v>2.0</v>
      </c>
      <c r="G222" s="122">
        <f t="array" ref="G222">IF(
UPPER(TRIM(CLEAN($O222)))="ENTREGADO",
IFERROR(
INDEX(REPORTE_DROPI!R:R,
MATCH($T222, REPORTE_DROPI!B:B, 0)
),
""
),
""
)
</f>
        <v>25</v>
      </c>
      <c r="H222" s="118" t="s">
        <v>3727</v>
      </c>
      <c r="I222" s="118" t="s">
        <v>3778</v>
      </c>
      <c r="J222" s="121">
        <f t="array" ref="J222">IF(
UPPER(TRIM(CLEAN($O222)))="ENTREGADO",
IFERROR(
INDEX(REPORTE_DROPI!T:T,
MATCH($T222, REPORTE_DROPI!B:B, 0)
),
""
),
""
)
</f>
        <v>5.96</v>
      </c>
      <c r="K222" s="118">
        <f t="array" ref="K222">IFERROR(
INDEX(REPORTE_DROPI!S:S,
MATCH($T222, REPORTE_DROPI!B:B, 0)
),
""
)</f>
        <v>14.64</v>
      </c>
      <c r="L222" s="118" t="str">
        <f>IF(
  O222&lt;&gt;"DEVOLUCION",
  "",
  IF(
    T222="",
    "",
    SUMIF(DEVOLUCION!F:F, T222, DEVOLUCION!D:D)
  )
)
</f>
        <v/>
      </c>
      <c r="M222" s="118" t="s">
        <v>5877</v>
      </c>
      <c r="N222" s="161" t="s">
        <v>6487</v>
      </c>
      <c r="O222" s="118" t="str">
        <f t="array" ref="O222">IFERROR(
VLOOKUP(
TRIM(CLEAN(
INDEX(REPORTE_DROPI!K:K,
MATCH(T222, REPORTE_DROPI!B:B, 0)
))),
{
TRIM(CLEAN(MAPA_ESTADOS!A:A)) ,
MAPA_ESTADOS!B:B
},
2,
FALSE
),
"REVISAR"
)</f>
        <v>ENTREGADO</v>
      </c>
      <c r="P222" s="118" t="s">
        <v>5692</v>
      </c>
      <c r="Q222" s="153">
        <f t="shared" si="1"/>
        <v>0</v>
      </c>
      <c r="R222" s="163"/>
      <c r="S222" s="163"/>
      <c r="T222" s="118">
        <f t="array" ref="T222">IFERROR(
INDEX(REPORTE_DROPI!B:B,
MATCH(
CLEAN(TRIM(C222)),
CLEAN(TRIM(REPORTE_DROPI!E:E)),
0
)
),
""
)
</f>
        <v>4432019</v>
      </c>
      <c r="U222" s="163" t="s">
        <v>6488</v>
      </c>
      <c r="V222" s="164"/>
    </row>
    <row r="223" ht="22.5" hidden="1" customHeight="1">
      <c r="A223" s="161">
        <v>222.0</v>
      </c>
      <c r="B223" s="119">
        <v>46060.0</v>
      </c>
      <c r="C223" s="118" t="s">
        <v>6489</v>
      </c>
      <c r="D223" s="118" t="str">
        <f>IFERROR(__xludf.DUMMYFUNCTION("IFERROR( INDEX( FILTER( 'NOMBRE DE PRODUCTOS'!B:B, REGEXMATCH( UPPER( INDEX( REPORTE_DROPI!AC:AC, MATCH(T223, REPORTE_DROPI!B:B, 0) ) ), UPPER('NOMBRE DE PRODUCTOS'!A:A) ) ), 1 ), ""REVISAR"" )"),"FilmPro®")</f>
        <v>FilmPro®</v>
      </c>
      <c r="E223" s="120" t="str">
        <f t="array" ref="E223">IF(
UPPER(TRIM(CLEAN($O223)))="ENTREGADO",
IFERROR(
INDEX(REPORTE_DROPI!Y:Y,
MATCH($T223, REPORTE_DROPI!B:B, 0)
),
""
),
""
)
</f>
        <v/>
      </c>
      <c r="F223" s="162">
        <v>3.0</v>
      </c>
      <c r="G223" s="122" t="str">
        <f t="array" ref="G223">IF(
UPPER(TRIM(CLEAN($O223)))="ENTREGADO",
IFERROR(
INDEX(REPORTE_DROPI!R:R,
MATCH($T223, REPORTE_DROPI!B:B, 0)
),
""
),
""
)
</f>
        <v/>
      </c>
      <c r="H223" s="118" t="s">
        <v>3727</v>
      </c>
      <c r="I223" s="118" t="s">
        <v>3912</v>
      </c>
      <c r="J223" s="121" t="str">
        <f t="array" ref="J223">IF(
UPPER(TRIM(CLEAN($O223)))="ENTREGADO",
IFERROR(
INDEX(REPORTE_DROPI!T:T,
MATCH($T223, REPORTE_DROPI!B:B, 0)
),
""
),
""
)
</f>
        <v/>
      </c>
      <c r="K223" s="118" t="str">
        <f t="array" ref="K223">IFERROR(
INDEX(REPORTE_DROPI!S:S,
MATCH($T223, REPORTE_DROPI!B:B, 0)
),
""
)</f>
        <v/>
      </c>
      <c r="L223" s="118" t="str">
        <f>IF(
  O223&lt;&gt;"DEVOLUCION",
  "",
  IF(
    T223="",
    "",
    SUMIF(DEVOLUCION!F:F, T223, DEVOLUCION!D:D)
  )
)
</f>
        <v/>
      </c>
      <c r="M223" s="118" t="s">
        <v>5877</v>
      </c>
      <c r="N223" s="161" t="s">
        <v>6490</v>
      </c>
      <c r="O223" s="118" t="str">
        <f t="array" ref="O223">IFERROR(
VLOOKUP(
TRIM(CLEAN(
INDEX(REPORTE_DROPI!K:K,
MATCH(T223, REPORTE_DROPI!B:B, 0)
))),
{
TRIM(CLEAN(MAPA_ESTADOS!A:A)) ,
MAPA_ESTADOS!B:B
},
2,
FALSE
),
"REVISAR"
)</f>
        <v>PENDIENTE</v>
      </c>
      <c r="P223" s="118" t="s">
        <v>6491</v>
      </c>
      <c r="Q223" s="153">
        <f t="shared" si="1"/>
        <v>0</v>
      </c>
      <c r="R223" s="163"/>
      <c r="S223" s="163"/>
      <c r="T223" s="118">
        <f t="array" ref="T223">IFERROR(
INDEX(REPORTE_DROPI!B:B,
MATCH(
CLEAN(TRIM(C223)),
CLEAN(TRIM(REPORTE_DROPI!E:E)),
0
)
),
""
)
</f>
        <v>4432015</v>
      </c>
      <c r="U223" s="163">
        <v>1.57100139231E11</v>
      </c>
      <c r="V223" s="164"/>
    </row>
    <row r="224" ht="22.5" hidden="1" customHeight="1">
      <c r="A224" s="161">
        <v>223.0</v>
      </c>
      <c r="B224" s="119">
        <v>46060.0</v>
      </c>
      <c r="C224" s="118" t="s">
        <v>6492</v>
      </c>
      <c r="D224" s="118" t="str">
        <f>IFERROR(__xludf.DUMMYFUNCTION("IFERROR( INDEX( FILTER( 'NOMBRE DE PRODUCTOS'!B:B, REGEXMATCH( UPPER( INDEX( REPORTE_DROPI!AC:AC, MATCH(T224, REPORTE_DROPI!B:B, 0) ) ), UPPER('NOMBRE DE PRODUCTOS'!A:A) ) ), 1 ), ""REVISAR"" )"),"FilmPro®")</f>
        <v>FilmPro®</v>
      </c>
      <c r="E224" s="120" t="str">
        <f t="array" ref="E224">IF(
UPPER(TRIM(CLEAN($O224)))="ENTREGADO",
IFERROR(
INDEX(REPORTE_DROPI!Y:Y,
MATCH($T224, REPORTE_DROPI!B:B, 0)
),
""
),
""
)
</f>
        <v/>
      </c>
      <c r="F224" s="162">
        <v>2.0</v>
      </c>
      <c r="G224" s="122" t="str">
        <f t="array" ref="G224">IF(
UPPER(TRIM(CLEAN($O224)))="ENTREGADO",
IFERROR(
INDEX(REPORTE_DROPI!R:R,
MATCH($T224, REPORTE_DROPI!B:B, 0)
),
""
),
""
)
</f>
        <v/>
      </c>
      <c r="H224" s="118" t="s">
        <v>3727</v>
      </c>
      <c r="I224" s="118" t="s">
        <v>3731</v>
      </c>
      <c r="J224" s="121" t="str">
        <f t="array" ref="J224">IF(
UPPER(TRIM(CLEAN($O224)))="ENTREGADO",
IFERROR(
INDEX(REPORTE_DROPI!T:T,
MATCH($T224, REPORTE_DROPI!B:B, 0)
),
""
),
""
)
</f>
        <v/>
      </c>
      <c r="K224" s="118" t="str">
        <f t="array" ref="K224">IFERROR(
INDEX(REPORTE_DROPI!S:S,
MATCH($T224, REPORTE_DROPI!B:B, 0)
),
""
)</f>
        <v/>
      </c>
      <c r="L224" s="118" t="str">
        <f>IF(
  O224&lt;&gt;"DEVOLUCION",
  "",
  IF(
    T224="",
    "",
    SUMIF(DEVOLUCION!F:F, T224, DEVOLUCION!D:D)
  )
)
</f>
        <v/>
      </c>
      <c r="M224" s="118" t="s">
        <v>5877</v>
      </c>
      <c r="N224" s="161" t="s">
        <v>6493</v>
      </c>
      <c r="O224" s="118" t="str">
        <f t="array" ref="O224">IFERROR(
VLOOKUP(
TRIM(CLEAN(
INDEX(REPORTE_DROPI!K:K,
MATCH(T224, REPORTE_DROPI!B:B, 0)
))),
{
TRIM(CLEAN(MAPA_ESTADOS!A:A)) ,
MAPA_ESTADOS!B:B
},
2,
FALSE
),
"REVISAR"
)</f>
        <v>PENDIENTE</v>
      </c>
      <c r="P224" s="118" t="s">
        <v>6494</v>
      </c>
      <c r="Q224" s="153">
        <f t="shared" si="1"/>
        <v>0</v>
      </c>
      <c r="R224" s="163"/>
      <c r="S224" s="163"/>
      <c r="T224" s="118">
        <f t="array" ref="T224">IFERROR(
INDEX(REPORTE_DROPI!B:B,
MATCH(
CLEAN(TRIM(C224)),
CLEAN(TRIM(REPORTE_DROPI!E:E)),
0
)
),
""
)
</f>
        <v>4442403</v>
      </c>
      <c r="U224" s="163" t="s">
        <v>6495</v>
      </c>
      <c r="V224" s="164"/>
    </row>
    <row r="225" ht="22.5" hidden="1" customHeight="1">
      <c r="A225" s="161">
        <v>224.0</v>
      </c>
      <c r="B225" s="119">
        <v>46060.0</v>
      </c>
      <c r="C225" s="118" t="s">
        <v>6496</v>
      </c>
      <c r="D225" s="118" t="str">
        <f>IFERROR(__xludf.DUMMYFUNCTION("IFERROR( INDEX( FILTER( 'NOMBRE DE PRODUCTOS'!B:B, REGEXMATCH( UPPER( INDEX( REPORTE_DROPI!AC:AC, MATCH(T225, REPORTE_DROPI!B:B, 0) ) ), UPPER('NOMBRE DE PRODUCTOS'!A:A) ) ), 1 ), ""REVISAR"" )"),"FilmPro®")</f>
        <v>FilmPro®</v>
      </c>
      <c r="E225" s="120" t="str">
        <f t="array" ref="E225">IF(
UPPER(TRIM(CLEAN($O225)))="ENTREGADO",
IFERROR(
INDEX(REPORTE_DROPI!Y:Y,
MATCH($T225, REPORTE_DROPI!B:B, 0)
),
""
),
""
)
</f>
        <v/>
      </c>
      <c r="F225" s="162">
        <v>1.0</v>
      </c>
      <c r="G225" s="122" t="str">
        <f t="array" ref="G225">IF(
UPPER(TRIM(CLEAN($O225)))="ENTREGADO",
IFERROR(
INDEX(REPORTE_DROPI!R:R,
MATCH($T225, REPORTE_DROPI!B:B, 0)
),
""
),
""
)
</f>
        <v/>
      </c>
      <c r="H225" s="118" t="s">
        <v>3727</v>
      </c>
      <c r="I225" s="118" t="s">
        <v>3742</v>
      </c>
      <c r="J225" s="121" t="str">
        <f t="array" ref="J225">IF(
UPPER(TRIM(CLEAN($O225)))="ENTREGADO",
IFERROR(
INDEX(REPORTE_DROPI!T:T,
MATCH($T225, REPORTE_DROPI!B:B, 0)
),
""
),
""
)
</f>
        <v/>
      </c>
      <c r="K225" s="118" t="str">
        <f t="array" ref="K225">IFERROR(
INDEX(REPORTE_DROPI!S:S,
MATCH($T225, REPORTE_DROPI!B:B, 0)
),
""
)</f>
        <v/>
      </c>
      <c r="L225" s="118" t="str">
        <f>IF(
  O225&lt;&gt;"DEVOLUCION",
  "",
  IF(
    T225="",
    "",
    SUMIF(DEVOLUCION!F:F, T225, DEVOLUCION!D:D)
  )
)
</f>
        <v/>
      </c>
      <c r="M225" s="118" t="s">
        <v>5877</v>
      </c>
      <c r="N225" s="161" t="s">
        <v>6497</v>
      </c>
      <c r="O225" s="118" t="str">
        <f t="array" ref="O225">IFERROR(
VLOOKUP(
TRIM(CLEAN(
INDEX(REPORTE_DROPI!K:K,
MATCH(T225, REPORTE_DROPI!B:B, 0)
))),
{
TRIM(CLEAN(MAPA_ESTADOS!A:A)) ,
MAPA_ESTADOS!B:B
},
2,
FALSE
),
"REVISAR"
)</f>
        <v>PENDIENTE</v>
      </c>
      <c r="P225" s="118" t="s">
        <v>6295</v>
      </c>
      <c r="Q225" s="153">
        <f t="shared" si="1"/>
        <v>0</v>
      </c>
      <c r="R225" s="163"/>
      <c r="S225" s="163"/>
      <c r="T225" s="118">
        <f t="array" ref="T225">IFERROR(
INDEX(REPORTE_DROPI!B:B,
MATCH(
CLEAN(TRIM(C225)),
CLEAN(TRIM(REPORTE_DROPI!E:E)),
0
)
),
""
)
</f>
        <v>4442400</v>
      </c>
      <c r="U225" s="163" t="s">
        <v>6498</v>
      </c>
      <c r="V225" s="164"/>
    </row>
    <row r="226" ht="22.5" hidden="1" customHeight="1">
      <c r="A226" s="161">
        <v>225.0</v>
      </c>
      <c r="B226" s="119">
        <v>46060.0</v>
      </c>
      <c r="C226" s="118" t="s">
        <v>6499</v>
      </c>
      <c r="D226" s="118" t="str">
        <f>IFERROR(__xludf.DUMMYFUNCTION("IFERROR( INDEX( FILTER( 'NOMBRE DE PRODUCTOS'!B:B, REGEXMATCH( UPPER( INDEX( REPORTE_DROPI!AC:AC, MATCH(T226, REPORTE_DROPI!B:B, 0) ) ), UPPER('NOMBRE DE PRODUCTOS'!A:A) ) ), 1 ), ""REVISAR"" )"),"Cuchillo Tazaki™")</f>
        <v>Cuchillo Tazaki™</v>
      </c>
      <c r="E226" s="120">
        <f t="array" ref="E226">IF(
UPPER(TRIM(CLEAN($O226)))="ENTREGADO",
IFERROR(
INDEX(REPORTE_DROPI!Y:Y,
MATCH($T226, REPORTE_DROPI!B:B, 0)
),
""
),
""
)
</f>
        <v>5.2</v>
      </c>
      <c r="F226" s="162">
        <v>2.0</v>
      </c>
      <c r="G226" s="122">
        <f t="array" ref="G226">IF(
UPPER(TRIM(CLEAN($O226)))="ENTREGADO",
IFERROR(
INDEX(REPORTE_DROPI!R:R,
MATCH($T226, REPORTE_DROPI!B:B, 0)
),
""
),
""
)
</f>
        <v>22</v>
      </c>
      <c r="H226" s="118" t="s">
        <v>3727</v>
      </c>
      <c r="I226" s="118" t="s">
        <v>3951</v>
      </c>
      <c r="J226" s="121">
        <f t="array" ref="J226">IF(
UPPER(TRIM(CLEAN($O226)))="ENTREGADO",
IFERROR(
INDEX(REPORTE_DROPI!T:T,
MATCH($T226, REPORTE_DROPI!B:B, 0)
),
""
),
""
)
</f>
        <v>5.84</v>
      </c>
      <c r="K226" s="118">
        <f t="array" ref="K226">IFERROR(
INDEX(REPORTE_DROPI!S:S,
MATCH($T226, REPORTE_DROPI!B:B, 0)
),
""
)</f>
        <v>10.96</v>
      </c>
      <c r="L226" s="118" t="str">
        <f>IF(
  O226&lt;&gt;"DEVOLUCION",
  "",
  IF(
    T226="",
    "",
    SUMIF(DEVOLUCION!F:F, T226, DEVOLUCION!D:D)
  )
)
</f>
        <v/>
      </c>
      <c r="M226" s="118" t="s">
        <v>5877</v>
      </c>
      <c r="N226" s="161" t="s">
        <v>6500</v>
      </c>
      <c r="O226" s="118" t="str">
        <f t="array" ref="O226">IFERROR(
VLOOKUP(
TRIM(CLEAN(
INDEX(REPORTE_DROPI!K:K,
MATCH(T226, REPORTE_DROPI!B:B, 0)
))),
{
TRIM(CLEAN(MAPA_ESTADOS!A:A)) ,
MAPA_ESTADOS!B:B
},
2,
FALSE
),
"REVISAR"
)</f>
        <v>ENTREGADO</v>
      </c>
      <c r="P226" s="118" t="s">
        <v>6456</v>
      </c>
      <c r="Q226" s="153">
        <f t="shared" si="1"/>
        <v>0</v>
      </c>
      <c r="R226" s="163"/>
      <c r="S226" s="163"/>
      <c r="T226" s="118">
        <f t="array" ref="T226">IFERROR(
INDEX(REPORTE_DROPI!B:B,
MATCH(
CLEAN(TRIM(C226)),
CLEAN(TRIM(REPORTE_DROPI!E:E)),
0
)
),
""
)
</f>
        <v>4458418</v>
      </c>
      <c r="U226" s="163" t="s">
        <v>6501</v>
      </c>
      <c r="V226" s="164"/>
    </row>
    <row r="227" ht="22.5" hidden="1" customHeight="1">
      <c r="A227" s="161">
        <v>226.0</v>
      </c>
      <c r="B227" s="119">
        <v>46060.0</v>
      </c>
      <c r="C227" s="118" t="s">
        <v>6502</v>
      </c>
      <c r="D227" s="118" t="str">
        <f>IFERROR(__xludf.DUMMYFUNCTION("IFERROR( INDEX( FILTER( 'NOMBRE DE PRODUCTOS'!B:B, REGEXMATCH( UPPER( INDEX( REPORTE_DROPI!AC:AC, MATCH(T227, REPORTE_DROPI!B:B, 0) ) ), UPPER('NOMBRE DE PRODUCTOS'!A:A) ) ), 1 ), ""REVISAR"" )"),"Cuchillo Tazaki™")</f>
        <v>Cuchillo Tazaki™</v>
      </c>
      <c r="E227" s="120" t="str">
        <f t="array" ref="E227">IF(
UPPER(TRIM(CLEAN($O227)))="ENTREGADO",
IFERROR(
INDEX(REPORTE_DROPI!Y:Y,
MATCH($T227, REPORTE_DROPI!B:B, 0)
),
""
),
""
)
</f>
        <v/>
      </c>
      <c r="F227" s="162">
        <v>2.0</v>
      </c>
      <c r="G227" s="122" t="str">
        <f t="array" ref="G227">IF(
UPPER(TRIM(CLEAN($O227)))="ENTREGADO",
IFERROR(
INDEX(REPORTE_DROPI!R:R,
MATCH($T227, REPORTE_DROPI!B:B, 0)
),
""
),
""
)
</f>
        <v/>
      </c>
      <c r="H227" s="118" t="s">
        <v>3727</v>
      </c>
      <c r="I227" s="118" t="s">
        <v>3962</v>
      </c>
      <c r="J227" s="121" t="str">
        <f t="array" ref="J227">IF(
UPPER(TRIM(CLEAN($O227)))="ENTREGADO",
IFERROR(
INDEX(REPORTE_DROPI!T:T,
MATCH($T227, REPORTE_DROPI!B:B, 0)
),
""
),
""
)
</f>
        <v/>
      </c>
      <c r="K227" s="118" t="str">
        <f t="array" ref="K227">IFERROR(
INDEX(REPORTE_DROPI!S:S,
MATCH($T227, REPORTE_DROPI!B:B, 0)
),
""
)</f>
        <v/>
      </c>
      <c r="L227" s="118">
        <f>IF(
  O227&lt;&gt;"DEVOLUCION",
  "",
  IF(
    T227="",
    "",
    SUMIF(DEVOLUCION!F:F, T227, DEVOLUCION!D:D)
  )
)
</f>
        <v>7.01</v>
      </c>
      <c r="M227" s="118" t="s">
        <v>5877</v>
      </c>
      <c r="N227" s="161" t="s">
        <v>6503</v>
      </c>
      <c r="O227" s="118" t="str">
        <f t="array" ref="O227">IFERROR(
VLOOKUP(
TRIM(CLEAN(
INDEX(REPORTE_DROPI!K:K,
MATCH(T227, REPORTE_DROPI!B:B, 0)
))),
{
TRIM(CLEAN(MAPA_ESTADOS!A:A)) ,
MAPA_ESTADOS!B:B
},
2,
FALSE
),
"REVISAR"
)</f>
        <v>DEVOLUCION</v>
      </c>
      <c r="P227" s="118" t="s">
        <v>6504</v>
      </c>
      <c r="Q227" s="153">
        <f t="shared" si="1"/>
        <v>0</v>
      </c>
      <c r="R227" s="163"/>
      <c r="S227" s="163"/>
      <c r="T227" s="118">
        <f t="array" ref="T227">IFERROR(
INDEX(REPORTE_DROPI!B:B,
MATCH(
CLEAN(TRIM(C227)),
CLEAN(TRIM(REPORTE_DROPI!E:E)),
0
)
),
""
)
</f>
        <v>4442399</v>
      </c>
      <c r="U227" s="163" t="s">
        <v>6505</v>
      </c>
      <c r="V227" s="164"/>
    </row>
    <row r="228" ht="22.5" hidden="1" customHeight="1">
      <c r="A228" s="161">
        <v>227.0</v>
      </c>
      <c r="B228" s="119">
        <v>46060.0</v>
      </c>
      <c r="C228" s="118" t="s">
        <v>6506</v>
      </c>
      <c r="D228" s="118" t="str">
        <f>IFERROR(__xludf.DUMMYFUNCTION("IFERROR( INDEX( FILTER( 'NOMBRE DE PRODUCTOS'!B:B, REGEXMATCH( UPPER( INDEX( REPORTE_DROPI!AC:AC, MATCH(T228, REPORTE_DROPI!B:B, 0) ) ), UPPER('NOMBRE DE PRODUCTOS'!A:A) ) ), 1 ), ""REVISAR"" )"),"FilmPro®")</f>
        <v>FilmPro®</v>
      </c>
      <c r="E228" s="120">
        <f t="array" ref="E228">IF(
UPPER(TRIM(CLEAN($O228)))="ENTREGADO",
IFERROR(
INDEX(REPORTE_DROPI!Y:Y,
MATCH($T228, REPORTE_DROPI!B:B, 0)
),
""
),
""
)
</f>
        <v>2.2</v>
      </c>
      <c r="F228" s="162">
        <v>1.0</v>
      </c>
      <c r="G228" s="122">
        <f t="array" ref="G228">IF(
UPPER(TRIM(CLEAN($O228)))="ENTREGADO",
IFERROR(
INDEX(REPORTE_DROPI!R:R,
MATCH($T228, REPORTE_DROPI!B:B, 0)
),
""
),
""
)
</f>
        <v>20</v>
      </c>
      <c r="H228" s="118" t="s">
        <v>3727</v>
      </c>
      <c r="I228" s="118" t="s">
        <v>3731</v>
      </c>
      <c r="J228" s="121">
        <f t="array" ref="J228">IF(
UPPER(TRIM(CLEAN($O228)))="ENTREGADO",
IFERROR(
INDEX(REPORTE_DROPI!T:T,
MATCH($T228, REPORTE_DROPI!B:B, 0)
),
""
),
""
)
</f>
        <v>5.76</v>
      </c>
      <c r="K228" s="118">
        <f t="array" ref="K228">IFERROR(
INDEX(REPORTE_DROPI!S:S,
MATCH($T228, REPORTE_DROPI!B:B, 0)
),
""
)</f>
        <v>12.04</v>
      </c>
      <c r="L228" s="118" t="str">
        <f>IF(
  O228&lt;&gt;"DEVOLUCION",
  "",
  IF(
    T228="",
    "",
    SUMIF(DEVOLUCION!F:F, T228, DEVOLUCION!D:D)
  )
)
</f>
        <v/>
      </c>
      <c r="M228" s="118" t="s">
        <v>5877</v>
      </c>
      <c r="N228" s="161" t="s">
        <v>6507</v>
      </c>
      <c r="O228" s="118" t="str">
        <f t="array" ref="O228">IFERROR(
VLOOKUP(
TRIM(CLEAN(
INDEX(REPORTE_DROPI!K:K,
MATCH(T228, REPORTE_DROPI!B:B, 0)
))),
{
TRIM(CLEAN(MAPA_ESTADOS!A:A)) ,
MAPA_ESTADOS!B:B
},
2,
FALSE
),
"REVISAR"
)</f>
        <v>ENTREGADO</v>
      </c>
      <c r="P228" s="118" t="s">
        <v>5692</v>
      </c>
      <c r="Q228" s="153">
        <f t="shared" si="1"/>
        <v>0</v>
      </c>
      <c r="R228" s="163"/>
      <c r="S228" s="163"/>
      <c r="T228" s="118">
        <f t="array" ref="T228">IFERROR(
INDEX(REPORTE_DROPI!B:B,
MATCH(
CLEAN(TRIM(C228)),
CLEAN(TRIM(REPORTE_DROPI!E:E)),
0
)
),
""
)
</f>
        <v>4442397</v>
      </c>
      <c r="U228" s="163" t="s">
        <v>6508</v>
      </c>
      <c r="V228" s="164"/>
    </row>
    <row r="229" ht="22.5" hidden="1" customHeight="1">
      <c r="A229" s="161">
        <v>228.0</v>
      </c>
      <c r="B229" s="119">
        <v>46060.0</v>
      </c>
      <c r="C229" s="118" t="s">
        <v>6509</v>
      </c>
      <c r="D229" s="118" t="str">
        <f>IFERROR(__xludf.DUMMYFUNCTION("IFERROR( INDEX( FILTER( 'NOMBRE DE PRODUCTOS'!B:B, REGEXMATCH( UPPER( INDEX( REPORTE_DROPI!AC:AC, MATCH(T229, REPORTE_DROPI!B:B, 0) ) ), UPPER('NOMBRE DE PRODUCTOS'!A:A) ) ), 1 ), ""REVISAR"" )"),"Cuchillo Tazaki™")</f>
        <v>Cuchillo Tazaki™</v>
      </c>
      <c r="E229" s="120">
        <f t="array" ref="E229">IF(
UPPER(TRIM(CLEAN($O229)))="ENTREGADO",
IFERROR(
INDEX(REPORTE_DROPI!Y:Y,
MATCH($T229, REPORTE_DROPI!B:B, 0)
),
""
),
""
)
</f>
        <v>5.2</v>
      </c>
      <c r="F229" s="162">
        <v>2.0</v>
      </c>
      <c r="G229" s="122">
        <f t="array" ref="G229">IF(
UPPER(TRIM(CLEAN($O229)))="ENTREGADO",
IFERROR(
INDEX(REPORTE_DROPI!R:R,
MATCH($T229, REPORTE_DROPI!B:B, 0)
),
""
),
""
)
</f>
        <v>22</v>
      </c>
      <c r="H229" s="118" t="s">
        <v>3727</v>
      </c>
      <c r="I229" s="118" t="s">
        <v>3728</v>
      </c>
      <c r="J229" s="121">
        <f t="array" ref="J229">IF(
UPPER(TRIM(CLEAN($O229)))="ENTREGADO",
IFERROR(
INDEX(REPORTE_DROPI!T:T,
MATCH($T229, REPORTE_DROPI!B:B, 0)
),
""
),
""
)
</f>
        <v>7.01</v>
      </c>
      <c r="K229" s="118">
        <f t="array" ref="K229">IFERROR(
INDEX(REPORTE_DROPI!S:S,
MATCH($T229, REPORTE_DROPI!B:B, 0)
),
""
)</f>
        <v>9.79</v>
      </c>
      <c r="L229" s="118" t="str">
        <f>IF(
  O229&lt;&gt;"DEVOLUCION",
  "",
  IF(
    T229="",
    "",
    SUMIF(DEVOLUCION!F:F, T229, DEVOLUCION!D:D)
  )
)
</f>
        <v/>
      </c>
      <c r="M229" s="118" t="s">
        <v>5877</v>
      </c>
      <c r="N229" s="161" t="s">
        <v>6510</v>
      </c>
      <c r="O229" s="118" t="str">
        <f t="array" ref="O229">IFERROR(
VLOOKUP(
TRIM(CLEAN(
INDEX(REPORTE_DROPI!K:K,
MATCH(T229, REPORTE_DROPI!B:B, 0)
))),
{
TRIM(CLEAN(MAPA_ESTADOS!A:A)) ,
MAPA_ESTADOS!B:B
},
2,
FALSE
),
"REVISAR"
)</f>
        <v>ENTREGADO</v>
      </c>
      <c r="P229" s="118" t="s">
        <v>5692</v>
      </c>
      <c r="Q229" s="153">
        <f t="shared" si="1"/>
        <v>0</v>
      </c>
      <c r="R229" s="163"/>
      <c r="S229" s="163"/>
      <c r="T229" s="118">
        <f t="array" ref="T229">IFERROR(
INDEX(REPORTE_DROPI!B:B,
MATCH(
CLEAN(TRIM(C229)),
CLEAN(TRIM(REPORTE_DROPI!E:E)),
0
)
),
""
)
</f>
        <v>4442395</v>
      </c>
      <c r="U229" s="163" t="s">
        <v>6511</v>
      </c>
      <c r="V229" s="164"/>
    </row>
    <row r="230" ht="22.5" hidden="1" customHeight="1">
      <c r="A230" s="161">
        <v>229.0</v>
      </c>
      <c r="B230" s="119">
        <v>46060.0</v>
      </c>
      <c r="C230" s="118" t="s">
        <v>6512</v>
      </c>
      <c r="D230" s="118" t="str">
        <f>IFERROR(__xludf.DUMMYFUNCTION("IFERROR( INDEX( FILTER( 'NOMBRE DE PRODUCTOS'!B:B, REGEXMATCH( UPPER( INDEX( REPORTE_DROPI!AC:AC, MATCH(T230, REPORTE_DROPI!B:B, 0) ) ), UPPER('NOMBRE DE PRODUCTOS'!A:A) ) ), 1 ), ""REVISAR"" )"),"FilmPro®")</f>
        <v>FilmPro®</v>
      </c>
      <c r="E230" s="120">
        <f t="array" ref="E230">IF(
UPPER(TRIM(CLEAN($O230)))="ENTREGADO",
IFERROR(
INDEX(REPORTE_DROPI!Y:Y,
MATCH($T230, REPORTE_DROPI!B:B, 0)
),
""
),
""
)
</f>
        <v>2.2</v>
      </c>
      <c r="F230" s="162">
        <v>1.0</v>
      </c>
      <c r="G230" s="122">
        <f t="array" ref="G230">IF(
UPPER(TRIM(CLEAN($O230)))="ENTREGADO",
IFERROR(
INDEX(REPORTE_DROPI!R:R,
MATCH($T230, REPORTE_DROPI!B:B, 0)
),
""
),
""
)
</f>
        <v>20</v>
      </c>
      <c r="H230" s="118" t="s">
        <v>3727</v>
      </c>
      <c r="I230" s="118" t="s">
        <v>3740</v>
      </c>
      <c r="J230" s="121">
        <f t="array" ref="J230">IF(
UPPER(TRIM(CLEAN($O230)))="ENTREGADO",
IFERROR(
INDEX(REPORTE_DROPI!T:T,
MATCH($T230, REPORTE_DROPI!B:B, 0)
),
""
),
""
)
</f>
        <v>4.15</v>
      </c>
      <c r="K230" s="118">
        <f t="array" ref="K230">IFERROR(
INDEX(REPORTE_DROPI!S:S,
MATCH($T230, REPORTE_DROPI!B:B, 0)
),
""
)</f>
        <v>13.65</v>
      </c>
      <c r="L230" s="118" t="str">
        <f>IF(
  O230&lt;&gt;"DEVOLUCION",
  "",
  IF(
    T230="",
    "",
    SUMIF(DEVOLUCION!F:F, T230, DEVOLUCION!D:D)
  )
)
</f>
        <v/>
      </c>
      <c r="M230" s="118" t="s">
        <v>5877</v>
      </c>
      <c r="N230" s="161" t="s">
        <v>6513</v>
      </c>
      <c r="O230" s="118" t="str">
        <f t="array" ref="O230">IFERROR(
VLOOKUP(
TRIM(CLEAN(
INDEX(REPORTE_DROPI!K:K,
MATCH(T230, REPORTE_DROPI!B:B, 0)
))),
{
TRIM(CLEAN(MAPA_ESTADOS!A:A)) ,
MAPA_ESTADOS!B:B
},
2,
FALSE
),
"REVISAR"
)</f>
        <v>ENTREGADO</v>
      </c>
      <c r="P230" s="118" t="s">
        <v>5692</v>
      </c>
      <c r="Q230" s="153">
        <f t="shared" si="1"/>
        <v>0</v>
      </c>
      <c r="R230" s="163"/>
      <c r="S230" s="163"/>
      <c r="T230" s="118">
        <f t="array" ref="T230">IFERROR(
INDEX(REPORTE_DROPI!B:B,
MATCH(
CLEAN(TRIM(C230)),
CLEAN(TRIM(REPORTE_DROPI!E:E)),
0
)
),
""
)
</f>
        <v>4442394</v>
      </c>
      <c r="U230" s="163" t="s">
        <v>6514</v>
      </c>
      <c r="V230" s="164"/>
    </row>
    <row r="231" ht="22.5" hidden="1" customHeight="1">
      <c r="A231" s="161">
        <v>230.0</v>
      </c>
      <c r="B231" s="119">
        <v>46060.0</v>
      </c>
      <c r="C231" s="118" t="s">
        <v>6515</v>
      </c>
      <c r="D231" s="118" t="str">
        <f>IFERROR(__xludf.DUMMYFUNCTION("IFERROR( INDEX( FILTER( 'NOMBRE DE PRODUCTOS'!B:B, REGEXMATCH( UPPER( INDEX( REPORTE_DROPI!AC:AC, MATCH(T231, REPORTE_DROPI!B:B, 0) ) ), UPPER('NOMBRE DE PRODUCTOS'!A:A) ) ), 1 ), ""REVISAR"" )"),"FilmPro®")</f>
        <v>FilmPro®</v>
      </c>
      <c r="E231" s="120">
        <f t="array" ref="E231">IF(
UPPER(TRIM(CLEAN($O231)))="ENTREGADO",
IFERROR(
INDEX(REPORTE_DROPI!Y:Y,
MATCH($T231, REPORTE_DROPI!B:B, 0)
),
""
),
""
)
</f>
        <v>6.6</v>
      </c>
      <c r="F231" s="162">
        <v>3.0</v>
      </c>
      <c r="G231" s="122">
        <f t="array" ref="G231">IF(
UPPER(TRIM(CLEAN($O231)))="ENTREGADO",
IFERROR(
INDEX(REPORTE_DROPI!R:R,
MATCH($T231, REPORTE_DROPI!B:B, 0)
),
""
),
""
)
</f>
        <v>30</v>
      </c>
      <c r="H231" s="118" t="s">
        <v>3727</v>
      </c>
      <c r="I231" s="118" t="s">
        <v>3912</v>
      </c>
      <c r="J231" s="121">
        <f t="array" ref="J231">IF(
UPPER(TRIM(CLEAN($O231)))="ENTREGADO",
IFERROR(
INDEX(REPORTE_DROPI!T:T,
MATCH($T231, REPORTE_DROPI!B:B, 0)
),
""
),
""
)
</f>
        <v>6.16</v>
      </c>
      <c r="K231" s="118">
        <f t="array" ref="K231">IFERROR(
INDEX(REPORTE_DROPI!S:S,
MATCH($T231, REPORTE_DROPI!B:B, 0)
),
""
)</f>
        <v>17.24</v>
      </c>
      <c r="L231" s="118" t="str">
        <f>IF(
  O231&lt;&gt;"DEVOLUCION",
  "",
  IF(
    T231="",
    "",
    SUMIF(DEVOLUCION!F:F, T231, DEVOLUCION!D:D)
  )
)
</f>
        <v/>
      </c>
      <c r="M231" s="118" t="s">
        <v>5877</v>
      </c>
      <c r="N231" s="161" t="s">
        <v>6516</v>
      </c>
      <c r="O231" s="118" t="str">
        <f t="array" ref="O231">IFERROR(
VLOOKUP(
TRIM(CLEAN(
INDEX(REPORTE_DROPI!K:K,
MATCH(T231, REPORTE_DROPI!B:B, 0)
))),
{
TRIM(CLEAN(MAPA_ESTADOS!A:A)) ,
MAPA_ESTADOS!B:B
},
2,
FALSE
),
"REVISAR"
)</f>
        <v>ENTREGADO</v>
      </c>
      <c r="P231" s="118" t="s">
        <v>6481</v>
      </c>
      <c r="Q231" s="153">
        <f t="shared" si="1"/>
        <v>0</v>
      </c>
      <c r="R231" s="163"/>
      <c r="S231" s="163"/>
      <c r="T231" s="118">
        <f t="array" ref="T231">IFERROR(
INDEX(REPORTE_DROPI!B:B,
MATCH(
CLEAN(TRIM(C231)),
CLEAN(TRIM(REPORTE_DROPI!E:E)),
0
)
),
""
)
</f>
        <v>4442392</v>
      </c>
      <c r="U231" s="163" t="s">
        <v>6517</v>
      </c>
      <c r="V231" s="164"/>
    </row>
    <row r="232" ht="22.5" hidden="1" customHeight="1">
      <c r="A232" s="161">
        <v>231.0</v>
      </c>
      <c r="B232" s="119">
        <v>46060.0</v>
      </c>
      <c r="C232" s="118" t="s">
        <v>6518</v>
      </c>
      <c r="D232" s="118" t="str">
        <f>IFERROR(__xludf.DUMMYFUNCTION("IFERROR( INDEX( FILTER( 'NOMBRE DE PRODUCTOS'!B:B, REGEXMATCH( UPPER( INDEX( REPORTE_DROPI!AC:AC, MATCH(T232, REPORTE_DROPI!B:B, 0) ) ), UPPER('NOMBRE DE PRODUCTOS'!A:A) ) ), 1 ), ""REVISAR"" )"),"FilmPro®")</f>
        <v>FilmPro®</v>
      </c>
      <c r="E232" s="120">
        <f t="array" ref="E232">IF(
UPPER(TRIM(CLEAN($O232)))="ENTREGADO",
IFERROR(
INDEX(REPORTE_DROPI!Y:Y,
MATCH($T232, REPORTE_DROPI!B:B, 0)
),
""
),
""
)
</f>
        <v>6.6</v>
      </c>
      <c r="F232" s="162">
        <v>3.0</v>
      </c>
      <c r="G232" s="122">
        <f t="array" ref="G232">IF(
UPPER(TRIM(CLEAN($O232)))="ENTREGADO",
IFERROR(
INDEX(REPORTE_DROPI!R:R,
MATCH($T232, REPORTE_DROPI!B:B, 0)
),
""
),
""
)
</f>
        <v>30</v>
      </c>
      <c r="H232" s="118" t="s">
        <v>3727</v>
      </c>
      <c r="I232" s="118" t="s">
        <v>3731</v>
      </c>
      <c r="J232" s="121">
        <f t="array" ref="J232">IF(
UPPER(TRIM(CLEAN($O232)))="ENTREGADO",
IFERROR(
INDEX(REPORTE_DROPI!T:T,
MATCH($T232, REPORTE_DROPI!B:B, 0)
),
""
),
""
)
</f>
        <v>6.16</v>
      </c>
      <c r="K232" s="118">
        <f t="array" ref="K232">IFERROR(
INDEX(REPORTE_DROPI!S:S,
MATCH($T232, REPORTE_DROPI!B:B, 0)
),
""
)</f>
        <v>17.24</v>
      </c>
      <c r="L232" s="118" t="str">
        <f>IF(
  O232&lt;&gt;"DEVOLUCION",
  "",
  IF(
    T232="",
    "",
    SUMIF(DEVOLUCION!F:F, T232, DEVOLUCION!D:D)
  )
)
</f>
        <v/>
      </c>
      <c r="M232" s="118" t="s">
        <v>5877</v>
      </c>
      <c r="N232" s="161" t="s">
        <v>6519</v>
      </c>
      <c r="O232" s="118" t="str">
        <f t="array" ref="O232">IFERROR(
VLOOKUP(
TRIM(CLEAN(
INDEX(REPORTE_DROPI!K:K,
MATCH(T232, REPORTE_DROPI!B:B, 0)
))),
{
TRIM(CLEAN(MAPA_ESTADOS!A:A)) ,
MAPA_ESTADOS!B:B
},
2,
FALSE
),
"REVISAR"
)</f>
        <v>ENTREGADO</v>
      </c>
      <c r="P232" s="118" t="s">
        <v>5692</v>
      </c>
      <c r="Q232" s="153">
        <f t="shared" si="1"/>
        <v>0</v>
      </c>
      <c r="R232" s="163"/>
      <c r="S232" s="163"/>
      <c r="T232" s="118">
        <f t="array" ref="T232">IFERROR(
INDEX(REPORTE_DROPI!B:B,
MATCH(
CLEAN(TRIM(C232)),
CLEAN(TRIM(REPORTE_DROPI!E:E)),
0
)
),
""
)
</f>
        <v>4442390</v>
      </c>
      <c r="U232" s="163" t="s">
        <v>6520</v>
      </c>
      <c r="V232" s="164"/>
    </row>
    <row r="233" ht="22.5" hidden="1" customHeight="1">
      <c r="A233" s="161">
        <v>232.0</v>
      </c>
      <c r="B233" s="119">
        <v>46060.0</v>
      </c>
      <c r="C233" s="118" t="s">
        <v>6521</v>
      </c>
      <c r="D233" s="118" t="str">
        <f>IFERROR(__xludf.DUMMYFUNCTION("IFERROR( INDEX( FILTER( 'NOMBRE DE PRODUCTOS'!B:B, REGEXMATCH( UPPER( INDEX( REPORTE_DROPI!AC:AC, MATCH(T233, REPORTE_DROPI!B:B, 0) ) ), UPPER('NOMBRE DE PRODUCTOS'!A:A) ) ), 1 ), ""REVISAR"" )"),"FilmPro®")</f>
        <v>FilmPro®</v>
      </c>
      <c r="E233" s="120">
        <f t="array" ref="E233">IF(
UPPER(TRIM(CLEAN($O233)))="ENTREGADO",
IFERROR(
INDEX(REPORTE_DROPI!Y:Y,
MATCH($T233, REPORTE_DROPI!B:B, 0)
),
""
),
""
)
</f>
        <v>4.4</v>
      </c>
      <c r="F233" s="162">
        <v>2.0</v>
      </c>
      <c r="G233" s="122">
        <f t="array" ref="G233">IF(
UPPER(TRIM(CLEAN($O233)))="ENTREGADO",
IFERROR(
INDEX(REPORTE_DROPI!R:R,
MATCH($T233, REPORTE_DROPI!B:B, 0)
),
""
),
""
)
</f>
        <v>25</v>
      </c>
      <c r="H233" s="118" t="s">
        <v>3727</v>
      </c>
      <c r="I233" s="118" t="s">
        <v>3784</v>
      </c>
      <c r="J233" s="121">
        <f t="array" ref="J233">IF(
UPPER(TRIM(CLEAN($O233)))="ENTREGADO",
IFERROR(
INDEX(REPORTE_DROPI!T:T,
MATCH($T233, REPORTE_DROPI!B:B, 0)
),
""
),
""
)
</f>
        <v>5.96</v>
      </c>
      <c r="K233" s="118">
        <f t="array" ref="K233">IFERROR(
INDEX(REPORTE_DROPI!S:S,
MATCH($T233, REPORTE_DROPI!B:B, 0)
),
""
)</f>
        <v>14.64</v>
      </c>
      <c r="L233" s="118" t="str">
        <f>IF(
  O233&lt;&gt;"DEVOLUCION",
  "",
  IF(
    T233="",
    "",
    SUMIF(DEVOLUCION!F:F, T233, DEVOLUCION!D:D)
  )
)
</f>
        <v/>
      </c>
      <c r="M233" s="118" t="s">
        <v>5877</v>
      </c>
      <c r="N233" s="161" t="s">
        <v>6522</v>
      </c>
      <c r="O233" s="118" t="str">
        <f t="array" ref="O233">IFERROR(
VLOOKUP(
TRIM(CLEAN(
INDEX(REPORTE_DROPI!K:K,
MATCH(T233, REPORTE_DROPI!B:B, 0)
))),
{
TRIM(CLEAN(MAPA_ESTADOS!A:A)) ,
MAPA_ESTADOS!B:B
},
2,
FALSE
),
"REVISAR"
)</f>
        <v>ENTREGADO</v>
      </c>
      <c r="P233" s="118" t="s">
        <v>5692</v>
      </c>
      <c r="Q233" s="153">
        <f t="shared" si="1"/>
        <v>0</v>
      </c>
      <c r="R233" s="163"/>
      <c r="S233" s="163"/>
      <c r="T233" s="118">
        <f t="array" ref="T233">IFERROR(
INDEX(REPORTE_DROPI!B:B,
MATCH(
CLEAN(TRIM(C233)),
CLEAN(TRIM(REPORTE_DROPI!E:E)),
0
)
),
""
)
</f>
        <v>4442386</v>
      </c>
      <c r="U233" s="163" t="s">
        <v>6523</v>
      </c>
      <c r="V233" s="164"/>
    </row>
    <row r="234" ht="22.5" hidden="1" customHeight="1">
      <c r="A234" s="161">
        <v>233.0</v>
      </c>
      <c r="B234" s="119">
        <v>46060.0</v>
      </c>
      <c r="C234" s="118" t="s">
        <v>6524</v>
      </c>
      <c r="D234" s="118" t="str">
        <f>IFERROR(__xludf.DUMMYFUNCTION("IFERROR( INDEX( FILTER( 'NOMBRE DE PRODUCTOS'!B:B, REGEXMATCH( UPPER( INDEX( REPORTE_DROPI!AC:AC, MATCH(T234, REPORTE_DROPI!B:B, 0) ) ), UPPER('NOMBRE DE PRODUCTOS'!A:A) ) ), 1 ), ""REVISAR"" )"),"FilmPro®")</f>
        <v>FilmPro®</v>
      </c>
      <c r="E234" s="120">
        <f t="array" ref="E234">IF(
UPPER(TRIM(CLEAN($O234)))="ENTREGADO",
IFERROR(
INDEX(REPORTE_DROPI!Y:Y,
MATCH($T234, REPORTE_DROPI!B:B, 0)
),
""
),
""
)
</f>
        <v>4.4</v>
      </c>
      <c r="F234" s="162">
        <v>2.0</v>
      </c>
      <c r="G234" s="122">
        <f t="array" ref="G234">IF(
UPPER(TRIM(CLEAN($O234)))="ENTREGADO",
IFERROR(
INDEX(REPORTE_DROPI!R:R,
MATCH($T234, REPORTE_DROPI!B:B, 0)
),
""
),
""
)
</f>
        <v>25</v>
      </c>
      <c r="H234" s="118" t="s">
        <v>3727</v>
      </c>
      <c r="I234" s="118" t="s">
        <v>3731</v>
      </c>
      <c r="J234" s="121">
        <f t="array" ref="J234">IF(
UPPER(TRIM(CLEAN($O234)))="ENTREGADO",
IFERROR(
INDEX(REPORTE_DROPI!T:T,
MATCH($T234, REPORTE_DROPI!B:B, 0)
),
""
),
""
)
</f>
        <v>5.96</v>
      </c>
      <c r="K234" s="118">
        <f t="array" ref="K234">IFERROR(
INDEX(REPORTE_DROPI!S:S,
MATCH($T234, REPORTE_DROPI!B:B, 0)
),
""
)</f>
        <v>14.64</v>
      </c>
      <c r="L234" s="118" t="str">
        <f>IF(
  O234&lt;&gt;"DEVOLUCION",
  "",
  IF(
    T234="",
    "",
    SUMIF(DEVOLUCION!F:F, T234, DEVOLUCION!D:D)
  )
)
</f>
        <v/>
      </c>
      <c r="M234" s="118" t="s">
        <v>5877</v>
      </c>
      <c r="N234" s="161" t="s">
        <v>6525</v>
      </c>
      <c r="O234" s="118" t="str">
        <f t="array" ref="O234">IFERROR(
VLOOKUP(
TRIM(CLEAN(
INDEX(REPORTE_DROPI!K:K,
MATCH(T234, REPORTE_DROPI!B:B, 0)
))),
{
TRIM(CLEAN(MAPA_ESTADOS!A:A)) ,
MAPA_ESTADOS!B:B
},
2,
FALSE
),
"REVISAR"
)</f>
        <v>ENTREGADO</v>
      </c>
      <c r="P234" s="118" t="s">
        <v>5692</v>
      </c>
      <c r="Q234" s="153">
        <f t="shared" si="1"/>
        <v>0</v>
      </c>
      <c r="R234" s="163"/>
      <c r="S234" s="163"/>
      <c r="T234" s="118">
        <f t="array" ref="T234">IFERROR(
INDEX(REPORTE_DROPI!B:B,
MATCH(
CLEAN(TRIM(C234)),
CLEAN(TRIM(REPORTE_DROPI!E:E)),
0
)
),
""
)
</f>
        <v>4442384</v>
      </c>
      <c r="U234" s="163" t="s">
        <v>6526</v>
      </c>
      <c r="V234" s="164"/>
    </row>
    <row r="235" ht="22.5" hidden="1" customHeight="1">
      <c r="A235" s="161">
        <v>234.0</v>
      </c>
      <c r="B235" s="119">
        <v>46060.0</v>
      </c>
      <c r="C235" s="118" t="s">
        <v>6527</v>
      </c>
      <c r="D235" s="118" t="str">
        <f>IFERROR(__xludf.DUMMYFUNCTION("IFERROR( INDEX( FILTER( 'NOMBRE DE PRODUCTOS'!B:B, REGEXMATCH( UPPER( INDEX( REPORTE_DROPI!AC:AC, MATCH(T235, REPORTE_DROPI!B:B, 0) ) ), UPPER('NOMBRE DE PRODUCTOS'!A:A) ) ), 1 ), ""REVISAR"" )"),"Cuchillo Tazaki™")</f>
        <v>Cuchillo Tazaki™</v>
      </c>
      <c r="E235" s="120">
        <f t="array" ref="E235">IF(
UPPER(TRIM(CLEAN($O235)))="ENTREGADO",
IFERROR(
INDEX(REPORTE_DROPI!Y:Y,
MATCH($T235, REPORTE_DROPI!B:B, 0)
),
""
),
""
)
</f>
        <v>5.2</v>
      </c>
      <c r="F235" s="162">
        <v>2.0</v>
      </c>
      <c r="G235" s="122">
        <f t="array" ref="G235">IF(
UPPER(TRIM(CLEAN($O235)))="ENTREGADO",
IFERROR(
INDEX(REPORTE_DROPI!R:R,
MATCH($T235, REPORTE_DROPI!B:B, 0)
),
""
),
""
)
</f>
        <v>22</v>
      </c>
      <c r="H235" s="118" t="s">
        <v>3727</v>
      </c>
      <c r="I235" s="118" t="s">
        <v>3772</v>
      </c>
      <c r="J235" s="121">
        <f t="array" ref="J235">IF(
UPPER(TRIM(CLEAN($O235)))="ENTREGADO",
IFERROR(
INDEX(REPORTE_DROPI!T:T,
MATCH($T235, REPORTE_DROPI!B:B, 0)
),
""
),
""
)
</f>
        <v>5.84</v>
      </c>
      <c r="K235" s="118">
        <f t="array" ref="K235">IFERROR(
INDEX(REPORTE_DROPI!S:S,
MATCH($T235, REPORTE_DROPI!B:B, 0)
),
""
)</f>
        <v>10.96</v>
      </c>
      <c r="L235" s="118" t="str">
        <f>IF(
  O235&lt;&gt;"DEVOLUCION",
  "",
  IF(
    T235="",
    "",
    SUMIF(DEVOLUCION!F:F, T235, DEVOLUCION!D:D)
  )
)
</f>
        <v/>
      </c>
      <c r="M235" s="118" t="s">
        <v>5877</v>
      </c>
      <c r="N235" s="161" t="s">
        <v>6528</v>
      </c>
      <c r="O235" s="118" t="str">
        <f t="array" ref="O235">IFERROR(
VLOOKUP(
TRIM(CLEAN(
INDEX(REPORTE_DROPI!K:K,
MATCH(T235, REPORTE_DROPI!B:B, 0)
))),
{
TRIM(CLEAN(MAPA_ESTADOS!A:A)) ,
MAPA_ESTADOS!B:B
},
2,
FALSE
),
"REVISAR"
)</f>
        <v>ENTREGADO</v>
      </c>
      <c r="P235" s="118" t="s">
        <v>3655</v>
      </c>
      <c r="Q235" s="153">
        <f t="shared" si="1"/>
        <v>0</v>
      </c>
      <c r="R235" s="163"/>
      <c r="S235" s="163"/>
      <c r="T235" s="118">
        <f t="array" ref="T235">IFERROR(
INDEX(REPORTE_DROPI!B:B,
MATCH(
CLEAN(TRIM(C235)),
CLEAN(TRIM(REPORTE_DROPI!E:E)),
0
)
),
""
)
</f>
        <v>4442382</v>
      </c>
      <c r="U235" s="163">
        <v>4.5188229165E10</v>
      </c>
      <c r="V235" s="164"/>
    </row>
    <row r="236" ht="22.5" hidden="1" customHeight="1">
      <c r="A236" s="161">
        <v>235.0</v>
      </c>
      <c r="B236" s="119">
        <v>46060.0</v>
      </c>
      <c r="C236" s="118" t="s">
        <v>6529</v>
      </c>
      <c r="D236" s="118" t="str">
        <f>IFERROR(__xludf.DUMMYFUNCTION("IFERROR( INDEX( FILTER( 'NOMBRE DE PRODUCTOS'!B:B, REGEXMATCH( UPPER( INDEX( REPORTE_DROPI!AC:AC, MATCH(T236, REPORTE_DROPI!B:B, 0) ) ), UPPER('NOMBRE DE PRODUCTOS'!A:A) ) ), 1 ), ""REVISAR"" )"),"FilmPro®")</f>
        <v>FilmPro®</v>
      </c>
      <c r="E236" s="120" t="str">
        <f t="array" ref="E236">IF(
UPPER(TRIM(CLEAN($O236)))="ENTREGADO",
IFERROR(
INDEX(REPORTE_DROPI!Y:Y,
MATCH($T236, REPORTE_DROPI!B:B, 0)
),
""
),
""
)
</f>
        <v/>
      </c>
      <c r="F236" s="162">
        <v>3.0</v>
      </c>
      <c r="G236" s="122" t="str">
        <f t="array" ref="G236">IF(
UPPER(TRIM(CLEAN($O236)))="ENTREGADO",
IFERROR(
INDEX(REPORTE_DROPI!R:R,
MATCH($T236, REPORTE_DROPI!B:B, 0)
),
""
),
""
)
</f>
        <v/>
      </c>
      <c r="H236" s="118" t="s">
        <v>3727</v>
      </c>
      <c r="I236" s="118" t="s">
        <v>3731</v>
      </c>
      <c r="J236" s="121" t="str">
        <f t="array" ref="J236">IF(
UPPER(TRIM(CLEAN($O236)))="ENTREGADO",
IFERROR(
INDEX(REPORTE_DROPI!T:T,
MATCH($T236, REPORTE_DROPI!B:B, 0)
),
""
),
""
)
</f>
        <v/>
      </c>
      <c r="K236" s="118" t="str">
        <f t="array" ref="K236">IFERROR(
INDEX(REPORTE_DROPI!S:S,
MATCH($T236, REPORTE_DROPI!B:B, 0)
),
""
)</f>
        <v/>
      </c>
      <c r="L236" s="118">
        <f>IF(
  O236&lt;&gt;"DEVOLUCION",
  "",
  IF(
    T236="",
    "",
    SUMIF(DEVOLUCION!F:F, T236, DEVOLUCION!D:D)
  )
)
</f>
        <v>5.12</v>
      </c>
      <c r="M236" s="118" t="s">
        <v>5877</v>
      </c>
      <c r="N236" s="161" t="s">
        <v>6530</v>
      </c>
      <c r="O236" s="118" t="str">
        <f t="array" ref="O236">IFERROR(
VLOOKUP(
TRIM(CLEAN(
INDEX(REPORTE_DROPI!K:K,
MATCH(T236, REPORTE_DROPI!B:B, 0)
))),
{
TRIM(CLEAN(MAPA_ESTADOS!A:A)) ,
MAPA_ESTADOS!B:B
},
2,
FALSE
),
"REVISAR"
)</f>
        <v>DEVOLUCION</v>
      </c>
      <c r="P236" s="118" t="s">
        <v>5692</v>
      </c>
      <c r="Q236" s="153">
        <f t="shared" si="1"/>
        <v>0</v>
      </c>
      <c r="R236" s="163"/>
      <c r="S236" s="163"/>
      <c r="T236" s="118">
        <f t="array" ref="T236">IFERROR(
INDEX(REPORTE_DROPI!B:B,
MATCH(
CLEAN(TRIM(C236)),
CLEAN(TRIM(REPORTE_DROPI!E:E)),
0
)
),
""
)
</f>
        <v>4442379</v>
      </c>
      <c r="U236" s="163" t="s">
        <v>6531</v>
      </c>
      <c r="V236" s="164"/>
    </row>
    <row r="237" ht="22.5" hidden="1" customHeight="1">
      <c r="A237" s="161">
        <v>236.0</v>
      </c>
      <c r="B237" s="119">
        <v>46060.0</v>
      </c>
      <c r="C237" s="118" t="s">
        <v>6532</v>
      </c>
      <c r="D237" s="118" t="str">
        <f>IFERROR(__xludf.DUMMYFUNCTION("IFERROR( INDEX( FILTER( 'NOMBRE DE PRODUCTOS'!B:B, REGEXMATCH( UPPER( INDEX( REPORTE_DROPI!AC:AC, MATCH(T237, REPORTE_DROPI!B:B, 0) ) ), UPPER('NOMBRE DE PRODUCTOS'!A:A) ) ), 1 ), ""REVISAR"" )"),"Cuchillo Tazaki™")</f>
        <v>Cuchillo Tazaki™</v>
      </c>
      <c r="E237" s="120" t="str">
        <f t="array" ref="E237">IF(
UPPER(TRIM(CLEAN($O237)))="ENTREGADO",
IFERROR(
INDEX(REPORTE_DROPI!Y:Y,
MATCH($T237, REPORTE_DROPI!B:B, 0)
),
""
),
""
)
</f>
        <v/>
      </c>
      <c r="F237" s="162">
        <v>2.0</v>
      </c>
      <c r="G237" s="122" t="str">
        <f t="array" ref="G237">IF(
UPPER(TRIM(CLEAN($O237)))="ENTREGADO",
IFERROR(
INDEX(REPORTE_DROPI!R:R,
MATCH($T237, REPORTE_DROPI!B:B, 0)
),
""
),
""
)
</f>
        <v/>
      </c>
      <c r="H237" s="118" t="s">
        <v>3727</v>
      </c>
      <c r="I237" s="118" t="s">
        <v>3784</v>
      </c>
      <c r="J237" s="121" t="str">
        <f t="array" ref="J237">IF(
UPPER(TRIM(CLEAN($O237)))="ENTREGADO",
IFERROR(
INDEX(REPORTE_DROPI!T:T,
MATCH($T237, REPORTE_DROPI!B:B, 0)
),
""
),
""
)
</f>
        <v/>
      </c>
      <c r="K237" s="118" t="str">
        <f t="array" ref="K237">IFERROR(
INDEX(REPORTE_DROPI!S:S,
MATCH($T237, REPORTE_DROPI!B:B, 0)
),
""
)</f>
        <v/>
      </c>
      <c r="L237" s="118" t="str">
        <f>IF(
  O237&lt;&gt;"DEVOLUCION",
  "",
  IF(
    T237="",
    "",
    SUMIF(DEVOLUCION!F:F, T237, DEVOLUCION!D:D)
  )
)
</f>
        <v/>
      </c>
      <c r="M237" s="118" t="s">
        <v>5877</v>
      </c>
      <c r="N237" s="161" t="s">
        <v>6533</v>
      </c>
      <c r="O237" s="118" t="str">
        <f t="array" ref="O237">IFERROR(
VLOOKUP(
TRIM(CLEAN(
INDEX(REPORTE_DROPI!K:K,
MATCH(T237, REPORTE_DROPI!B:B, 0)
))),
{
TRIM(CLEAN(MAPA_ESTADOS!A:A)) ,
MAPA_ESTADOS!B:B
},
2,
FALSE
),
"REVISAR"
)</f>
        <v>PENDIENTE</v>
      </c>
      <c r="P237" s="118" t="s">
        <v>6534</v>
      </c>
      <c r="Q237" s="153">
        <f t="shared" si="1"/>
        <v>0</v>
      </c>
      <c r="R237" s="163"/>
      <c r="S237" s="163"/>
      <c r="T237" s="118">
        <f t="array" ref="T237">IFERROR(
INDEX(REPORTE_DROPI!B:B,
MATCH(
CLEAN(TRIM(C237)),
CLEAN(TRIM(REPORTE_DROPI!E:E)),
0
)
),
""
)
</f>
        <v>4442374</v>
      </c>
      <c r="U237" s="163" t="s">
        <v>6535</v>
      </c>
      <c r="V237" s="164"/>
    </row>
    <row r="238" ht="22.5" hidden="1" customHeight="1">
      <c r="A238" s="161">
        <v>237.0</v>
      </c>
      <c r="B238" s="119">
        <v>46060.0</v>
      </c>
      <c r="C238" s="118" t="s">
        <v>6536</v>
      </c>
      <c r="D238" s="118" t="str">
        <f>IFERROR(__xludf.DUMMYFUNCTION("IFERROR( INDEX( FILTER( 'NOMBRE DE PRODUCTOS'!B:B, REGEXMATCH( UPPER( INDEX( REPORTE_DROPI!AC:AC, MATCH(T238, REPORTE_DROPI!B:B, 0) ) ), UPPER('NOMBRE DE PRODUCTOS'!A:A) ) ), 1 ), ""REVISAR"" )"),"FilmPro®")</f>
        <v>FilmPro®</v>
      </c>
      <c r="E238" s="120" t="str">
        <f t="array" ref="E238">IF(
UPPER(TRIM(CLEAN($O238)))="ENTREGADO",
IFERROR(
INDEX(REPORTE_DROPI!Y:Y,
MATCH($T238, REPORTE_DROPI!B:B, 0)
),
""
),
""
)
</f>
        <v/>
      </c>
      <c r="F238" s="162">
        <v>2.0</v>
      </c>
      <c r="G238" s="122" t="str">
        <f t="array" ref="G238">IF(
UPPER(TRIM(CLEAN($O238)))="ENTREGADO",
IFERROR(
INDEX(REPORTE_DROPI!R:R,
MATCH($T238, REPORTE_DROPI!B:B, 0)
),
""
),
""
)
</f>
        <v/>
      </c>
      <c r="H238" s="118" t="s">
        <v>3727</v>
      </c>
      <c r="I238" s="118" t="s">
        <v>3740</v>
      </c>
      <c r="J238" s="121" t="str">
        <f t="array" ref="J238">IF(
UPPER(TRIM(CLEAN($O238)))="ENTREGADO",
IFERROR(
INDEX(REPORTE_DROPI!T:T,
MATCH($T238, REPORTE_DROPI!B:B, 0)
),
""
),
""
)
</f>
        <v/>
      </c>
      <c r="K238" s="118" t="str">
        <f t="array" ref="K238">IFERROR(
INDEX(REPORTE_DROPI!S:S,
MATCH($T238, REPORTE_DROPI!B:B, 0)
),
""
)</f>
        <v/>
      </c>
      <c r="L238" s="118" t="str">
        <f>IF(
  O238&lt;&gt;"DEVOLUCION",
  "",
  IF(
    T238="",
    "",
    SUMIF(DEVOLUCION!F:F, T238, DEVOLUCION!D:D)
  )
)
</f>
        <v/>
      </c>
      <c r="M238" s="118" t="s">
        <v>5877</v>
      </c>
      <c r="N238" s="161" t="s">
        <v>6537</v>
      </c>
      <c r="O238" s="118" t="str">
        <f t="array" ref="O238">IFERROR(
VLOOKUP(
TRIM(CLEAN(
INDEX(REPORTE_DROPI!K:K,
MATCH(T238, REPORTE_DROPI!B:B, 0)
))),
{
TRIM(CLEAN(MAPA_ESTADOS!A:A)) ,
MAPA_ESTADOS!B:B
},
2,
FALSE
),
"REVISAR"
)</f>
        <v>CANCELADO</v>
      </c>
      <c r="P238" s="118" t="s">
        <v>6538</v>
      </c>
      <c r="Q238" s="153">
        <f t="shared" si="1"/>
        <v>0</v>
      </c>
      <c r="R238" s="163"/>
      <c r="S238" s="163"/>
      <c r="T238" s="118">
        <f t="array" ref="T238">IFERROR(
INDEX(REPORTE_DROPI!B:B,
MATCH(
CLEAN(TRIM(C238)),
CLEAN(TRIM(REPORTE_DROPI!E:E)),
0
)
),
""
)
</f>
        <v>4442370</v>
      </c>
      <c r="U238" s="163" t="s">
        <v>6539</v>
      </c>
      <c r="V238" s="164"/>
    </row>
    <row r="239" ht="22.5" hidden="1" customHeight="1">
      <c r="A239" s="161">
        <v>238.0</v>
      </c>
      <c r="B239" s="119">
        <v>46060.0</v>
      </c>
      <c r="C239" s="118" t="s">
        <v>6540</v>
      </c>
      <c r="D239" s="118" t="str">
        <f>IFERROR(__xludf.DUMMYFUNCTION("IFERROR( INDEX( FILTER( 'NOMBRE DE PRODUCTOS'!B:B, REGEXMATCH( UPPER( INDEX( REPORTE_DROPI!AC:AC, MATCH(T239, REPORTE_DROPI!B:B, 0) ) ), UPPER('NOMBRE DE PRODUCTOS'!A:A) ) ), 1 ), ""REVISAR"" )"),"Cuchillo Tazaki™")</f>
        <v>Cuchillo Tazaki™</v>
      </c>
      <c r="E239" s="120" t="str">
        <f t="array" ref="E239">IF(
UPPER(TRIM(CLEAN($O239)))="ENTREGADO",
IFERROR(
INDEX(REPORTE_DROPI!Y:Y,
MATCH($T239, REPORTE_DROPI!B:B, 0)
),
""
),
""
)
</f>
        <v/>
      </c>
      <c r="F239" s="162">
        <v>4.0</v>
      </c>
      <c r="G239" s="122" t="str">
        <f t="array" ref="G239">IF(
UPPER(TRIM(CLEAN($O239)))="ENTREGADO",
IFERROR(
INDEX(REPORTE_DROPI!R:R,
MATCH($T239, REPORTE_DROPI!B:B, 0)
),
""
),
""
)
</f>
        <v/>
      </c>
      <c r="H239" s="118" t="s">
        <v>3727</v>
      </c>
      <c r="I239" s="118" t="s">
        <v>3742</v>
      </c>
      <c r="J239" s="121" t="str">
        <f t="array" ref="J239">IF(
UPPER(TRIM(CLEAN($O239)))="ENTREGADO",
IFERROR(
INDEX(REPORTE_DROPI!T:T,
MATCH($T239, REPORTE_DROPI!B:B, 0)
),
""
),
""
)
</f>
        <v/>
      </c>
      <c r="K239" s="118" t="str">
        <f t="array" ref="K239">IFERROR(
INDEX(REPORTE_DROPI!S:S,
MATCH($T239, REPORTE_DROPI!B:B, 0)
),
""
)</f>
        <v/>
      </c>
      <c r="L239" s="118">
        <f>IF(
  O239&lt;&gt;"DEVOLUCION",
  "",
  IF(
    T239="",
    "",
    SUMIF(DEVOLUCION!F:F, T239, DEVOLUCION!D:D)
  )
)
</f>
        <v>5.13</v>
      </c>
      <c r="M239" s="118" t="s">
        <v>5877</v>
      </c>
      <c r="N239" s="161" t="s">
        <v>6541</v>
      </c>
      <c r="O239" s="118" t="str">
        <f t="array" ref="O239">IFERROR(
VLOOKUP(
TRIM(CLEAN(
INDEX(REPORTE_DROPI!K:K,
MATCH(T239, REPORTE_DROPI!B:B, 0)
))),
{
TRIM(CLEAN(MAPA_ESTADOS!A:A)) ,
MAPA_ESTADOS!B:B
},
2,
FALSE
),
"REVISAR"
)</f>
        <v>DEVOLUCION</v>
      </c>
      <c r="P239" s="118" t="s">
        <v>6542</v>
      </c>
      <c r="Q239" s="153">
        <f t="shared" si="1"/>
        <v>0</v>
      </c>
      <c r="R239" s="163"/>
      <c r="S239" s="163"/>
      <c r="T239" s="118">
        <f t="array" ref="T239">IFERROR(
INDEX(REPORTE_DROPI!B:B,
MATCH(
CLEAN(TRIM(C239)),
CLEAN(TRIM(REPORTE_DROPI!E:E)),
0
)
),
""
)
</f>
        <v>4442366</v>
      </c>
      <c r="U239" s="163" t="s">
        <v>6543</v>
      </c>
      <c r="V239" s="164"/>
    </row>
    <row r="240" ht="22.5" hidden="1" customHeight="1">
      <c r="A240" s="161">
        <v>239.0</v>
      </c>
      <c r="B240" s="119">
        <v>46180.0</v>
      </c>
      <c r="C240" s="118" t="s">
        <v>6544</v>
      </c>
      <c r="D240" s="118" t="str">
        <f>IFERROR(__xludf.DUMMYFUNCTION("IFERROR( INDEX( FILTER( 'NOMBRE DE PRODUCTOS'!B:B, REGEXMATCH( UPPER( INDEX( REPORTE_DROPI!AC:AC, MATCH(T240, REPORTE_DROPI!B:B, 0) ) ), UPPER('NOMBRE DE PRODUCTOS'!A:A) ) ), 1 ), ""REVISAR"" )"),"Cuchillo Tazaki™")</f>
        <v>Cuchillo Tazaki™</v>
      </c>
      <c r="E240" s="120" t="str">
        <f t="array" ref="E240">IF(
UPPER(TRIM(CLEAN($O240)))="ENTREGADO",
IFERROR(
INDEX(REPORTE_DROPI!Y:Y,
MATCH($T240, REPORTE_DROPI!B:B, 0)
),
""
),
""
)
</f>
        <v/>
      </c>
      <c r="F240" s="162">
        <v>1.0</v>
      </c>
      <c r="G240" s="122" t="str">
        <f t="array" ref="G240">IF(
UPPER(TRIM(CLEAN($O240)))="ENTREGADO",
IFERROR(
INDEX(REPORTE_DROPI!R:R,
MATCH($T240, REPORTE_DROPI!B:B, 0)
),
""
),
""
)
</f>
        <v/>
      </c>
      <c r="H240" s="118" t="s">
        <v>3727</v>
      </c>
      <c r="I240" s="118" t="s">
        <v>6278</v>
      </c>
      <c r="J240" s="121" t="str">
        <f t="array" ref="J240">IF(
UPPER(TRIM(CLEAN($O240)))="ENTREGADO",
IFERROR(
INDEX(REPORTE_DROPI!T:T,
MATCH($T240, REPORTE_DROPI!B:B, 0)
),
""
),
""
)
</f>
        <v/>
      </c>
      <c r="K240" s="118" t="str">
        <f t="array" ref="K240">IFERROR(
INDEX(REPORTE_DROPI!S:S,
MATCH($T240, REPORTE_DROPI!B:B, 0)
),
""
)</f>
        <v/>
      </c>
      <c r="L240" s="118" t="str">
        <f>IF(
  O240&lt;&gt;"DEVOLUCION",
  "",
  IF(
    T240="",
    "",
    SUMIF(DEVOLUCION!F:F, T240, DEVOLUCION!D:D)
  )
)
</f>
        <v/>
      </c>
      <c r="M240" s="118" t="s">
        <v>5877</v>
      </c>
      <c r="N240" s="161" t="s">
        <v>6545</v>
      </c>
      <c r="O240" s="118" t="str">
        <f t="array" ref="O240">IFERROR(
VLOOKUP(
TRIM(CLEAN(
INDEX(REPORTE_DROPI!K:K,
MATCH(T240, REPORTE_DROPI!B:B, 0)
))),
{
TRIM(CLEAN(MAPA_ESTADOS!A:A)) ,
MAPA_ESTADOS!B:B
},
2,
FALSE
),
"REVISAR"
)</f>
        <v>PENDIENTE</v>
      </c>
      <c r="P240" s="168" t="s">
        <v>6546</v>
      </c>
      <c r="Q240" s="153">
        <f t="shared" si="1"/>
        <v>0</v>
      </c>
      <c r="R240" s="163"/>
      <c r="S240" s="163"/>
      <c r="T240" s="118">
        <f t="array" ref="T240">IFERROR(
INDEX(REPORTE_DROPI!B:B,
MATCH(
CLEAN(TRIM(C240)),
CLEAN(TRIM(REPORTE_DROPI!E:E)),
0
)
),
""
)
</f>
        <v>4442362</v>
      </c>
      <c r="U240" s="163"/>
      <c r="V240" s="164"/>
    </row>
    <row r="241" ht="22.5" hidden="1" customHeight="1">
      <c r="A241" s="161">
        <v>240.0</v>
      </c>
      <c r="B241" s="119">
        <v>46060.0</v>
      </c>
      <c r="C241" s="118" t="s">
        <v>6547</v>
      </c>
      <c r="D241" s="118" t="str">
        <f>IFERROR(__xludf.DUMMYFUNCTION("IFERROR( INDEX( FILTER( 'NOMBRE DE PRODUCTOS'!B:B, REGEXMATCH( UPPER( INDEX( REPORTE_DROPI!AC:AC, MATCH(T241, REPORTE_DROPI!B:B, 0) ) ), UPPER('NOMBRE DE PRODUCTOS'!A:A) ) ), 1 ), ""REVISAR"" )"),"FilmPro®")</f>
        <v>FilmPro®</v>
      </c>
      <c r="E241" s="120">
        <f t="array" ref="E241">IF(
UPPER(TRIM(CLEAN($O241)))="ENTREGADO",
IFERROR(
INDEX(REPORTE_DROPI!Y:Y,
MATCH($T241, REPORTE_DROPI!B:B, 0)
),
""
),
""
)
</f>
        <v>2.2</v>
      </c>
      <c r="F241" s="162">
        <v>1.0</v>
      </c>
      <c r="G241" s="122">
        <f t="array" ref="G241">IF(
UPPER(TRIM(CLEAN($O241)))="ENTREGADO",
IFERROR(
INDEX(REPORTE_DROPI!R:R,
MATCH($T241, REPORTE_DROPI!B:B, 0)
),
""
),
""
)
</f>
        <v>20</v>
      </c>
      <c r="H241" s="118" t="s">
        <v>3727</v>
      </c>
      <c r="I241" s="118" t="s">
        <v>3740</v>
      </c>
      <c r="J241" s="121">
        <f t="array" ref="J241">IF(
UPPER(TRIM(CLEAN($O241)))="ENTREGADO",
IFERROR(
INDEX(REPORTE_DROPI!T:T,
MATCH($T241, REPORTE_DROPI!B:B, 0)
),
""
),
""
)
</f>
        <v>5.76</v>
      </c>
      <c r="K241" s="118">
        <f t="array" ref="K241">IFERROR(
INDEX(REPORTE_DROPI!S:S,
MATCH($T241, REPORTE_DROPI!B:B, 0)
),
""
)</f>
        <v>12.04</v>
      </c>
      <c r="L241" s="118" t="str">
        <f>IF(
  O241&lt;&gt;"DEVOLUCION",
  "",
  IF(
    T241="",
    "",
    SUMIF(DEVOLUCION!F:F, T241, DEVOLUCION!D:D)
  )
)
</f>
        <v/>
      </c>
      <c r="M241" s="118" t="s">
        <v>5877</v>
      </c>
      <c r="N241" s="161" t="s">
        <v>6548</v>
      </c>
      <c r="O241" s="118" t="str">
        <f t="array" ref="O241">IFERROR(
VLOOKUP(
TRIM(CLEAN(
INDEX(REPORTE_DROPI!K:K,
MATCH(T241, REPORTE_DROPI!B:B, 0)
))),
{
TRIM(CLEAN(MAPA_ESTADOS!A:A)) ,
MAPA_ESTADOS!B:B
},
2,
FALSE
),
"REVISAR"
)</f>
        <v>ENTREGADO</v>
      </c>
      <c r="P241" s="118" t="s">
        <v>5692</v>
      </c>
      <c r="Q241" s="153">
        <f t="shared" si="1"/>
        <v>0</v>
      </c>
      <c r="R241" s="163"/>
      <c r="S241" s="163"/>
      <c r="T241" s="118">
        <f t="array" ref="T241">IFERROR(
INDEX(REPORTE_DROPI!B:B,
MATCH(
CLEAN(TRIM(C241)),
CLEAN(TRIM(REPORTE_DROPI!E:E)),
0
)
),
""
)
</f>
        <v>4442358</v>
      </c>
      <c r="U241" s="163" t="s">
        <v>6549</v>
      </c>
      <c r="V241" s="164"/>
    </row>
    <row r="242" ht="22.5" hidden="1" customHeight="1">
      <c r="A242" s="161">
        <v>241.0</v>
      </c>
      <c r="B242" s="119">
        <v>46060.0</v>
      </c>
      <c r="C242" s="118" t="s">
        <v>6550</v>
      </c>
      <c r="D242" s="118" t="str">
        <f>IFERROR(__xludf.DUMMYFUNCTION("IFERROR( INDEX( FILTER( 'NOMBRE DE PRODUCTOS'!B:B, REGEXMATCH( UPPER( INDEX( REPORTE_DROPI!AC:AC, MATCH(T242, REPORTE_DROPI!B:B, 0) ) ), UPPER('NOMBRE DE PRODUCTOS'!A:A) ) ), 1 ), ""REVISAR"" )"),"Cuchillo Tazaki™")</f>
        <v>Cuchillo Tazaki™</v>
      </c>
      <c r="E242" s="120">
        <f t="array" ref="E242">IF(
UPPER(TRIM(CLEAN($O242)))="ENTREGADO",
IFERROR(
INDEX(REPORTE_DROPI!Y:Y,
MATCH($T242, REPORTE_DROPI!B:B, 0)
),
""
),
""
)
</f>
        <v>5.2</v>
      </c>
      <c r="F242" s="162">
        <v>2.0</v>
      </c>
      <c r="G242" s="122">
        <f t="array" ref="G242">IF(
UPPER(TRIM(CLEAN($O242)))="ENTREGADO",
IFERROR(
INDEX(REPORTE_DROPI!R:R,
MATCH($T242, REPORTE_DROPI!B:B, 0)
),
""
),
""
)
</f>
        <v>22</v>
      </c>
      <c r="H242" s="118" t="s">
        <v>3727</v>
      </c>
      <c r="I242" s="118" t="s">
        <v>3912</v>
      </c>
      <c r="J242" s="121">
        <f t="array" ref="J242">IF(
UPPER(TRIM(CLEAN($O242)))="ENTREGADO",
IFERROR(
INDEX(REPORTE_DROPI!T:T,
MATCH($T242, REPORTE_DROPI!B:B, 0)
),
""
),
""
)
</f>
        <v>5.84</v>
      </c>
      <c r="K242" s="118">
        <f t="array" ref="K242">IFERROR(
INDEX(REPORTE_DROPI!S:S,
MATCH($T242, REPORTE_DROPI!B:B, 0)
),
""
)</f>
        <v>10.96</v>
      </c>
      <c r="L242" s="118" t="str">
        <f>IF(
  O242&lt;&gt;"DEVOLUCION",
  "",
  IF(
    T242="",
    "",
    SUMIF(DEVOLUCION!F:F, T242, DEVOLUCION!D:D)
  )
)
</f>
        <v/>
      </c>
      <c r="M242" s="118" t="s">
        <v>5877</v>
      </c>
      <c r="N242" s="161" t="s">
        <v>6551</v>
      </c>
      <c r="O242" s="118" t="str">
        <f t="array" ref="O242">IFERROR(
VLOOKUP(
TRIM(CLEAN(
INDEX(REPORTE_DROPI!K:K,
MATCH(T242, REPORTE_DROPI!B:B, 0)
))),
{
TRIM(CLEAN(MAPA_ESTADOS!A:A)) ,
MAPA_ESTADOS!B:B
},
2,
FALSE
),
"REVISAR"
)</f>
        <v>ENTREGADO</v>
      </c>
      <c r="P242" s="118" t="s">
        <v>5692</v>
      </c>
      <c r="Q242" s="153">
        <f t="shared" si="1"/>
        <v>0</v>
      </c>
      <c r="R242" s="163"/>
      <c r="S242" s="163"/>
      <c r="T242" s="118">
        <f t="array" ref="T242">IFERROR(
INDEX(REPORTE_DROPI!B:B,
MATCH(
CLEAN(TRIM(C242)),
CLEAN(TRIM(REPORTE_DROPI!E:E)),
0
)
),
""
)
</f>
        <v>4442356</v>
      </c>
      <c r="U242" s="163" t="s">
        <v>6552</v>
      </c>
      <c r="V242" s="164"/>
    </row>
    <row r="243" ht="22.5" hidden="1" customHeight="1">
      <c r="A243" s="161">
        <v>242.0</v>
      </c>
      <c r="B243" s="119">
        <v>46061.0</v>
      </c>
      <c r="C243" s="118" t="s">
        <v>6553</v>
      </c>
      <c r="D243" s="118" t="str">
        <f>IFERROR(__xludf.DUMMYFUNCTION("IFERROR( INDEX( FILTER( 'NOMBRE DE PRODUCTOS'!B:B, REGEXMATCH( UPPER( INDEX( REPORTE_DROPI!AC:AC, MATCH(T243, REPORTE_DROPI!B:B, 0) ) ), UPPER('NOMBRE DE PRODUCTOS'!A:A) ) ), 1 ), ""REVISAR"" )"),"Cuchillo Tazaki™")</f>
        <v>Cuchillo Tazaki™</v>
      </c>
      <c r="E243" s="120">
        <f t="array" ref="E243">IF(
UPPER(TRIM(CLEAN($O243)))="ENTREGADO",
IFERROR(
INDEX(REPORTE_DROPI!Y:Y,
MATCH($T243, REPORTE_DROPI!B:B, 0)
),
""
),
""
)
</f>
        <v>5.2</v>
      </c>
      <c r="F243" s="162">
        <v>2.0</v>
      </c>
      <c r="G243" s="122">
        <f t="array" ref="G243">IF(
UPPER(TRIM(CLEAN($O243)))="ENTREGADO",
IFERROR(
INDEX(REPORTE_DROPI!R:R,
MATCH($T243, REPORTE_DROPI!B:B, 0)
),
""
),
""
)
</f>
        <v>22</v>
      </c>
      <c r="H243" s="118" t="s">
        <v>3727</v>
      </c>
      <c r="I243" s="118" t="s">
        <v>3798</v>
      </c>
      <c r="J243" s="121">
        <f t="array" ref="J243">IF(
UPPER(TRIM(CLEAN($O243)))="ENTREGADO",
IFERROR(
INDEX(REPORTE_DROPI!T:T,
MATCH($T243, REPORTE_DROPI!B:B, 0)
),
""
),
""
)
</f>
        <v>5.84</v>
      </c>
      <c r="K243" s="118">
        <f t="array" ref="K243">IFERROR(
INDEX(REPORTE_DROPI!S:S,
MATCH($T243, REPORTE_DROPI!B:B, 0)
),
""
)</f>
        <v>10.96</v>
      </c>
      <c r="L243" s="118" t="str">
        <f>IF(
  O243&lt;&gt;"DEVOLUCION",
  "",
  IF(
    T243="",
    "",
    SUMIF(DEVOLUCION!F:F, T243, DEVOLUCION!D:D)
  )
)
</f>
        <v/>
      </c>
      <c r="M243" s="118" t="s">
        <v>5877</v>
      </c>
      <c r="N243" s="161" t="s">
        <v>6554</v>
      </c>
      <c r="O243" s="118" t="str">
        <f t="array" ref="O243">IFERROR(
VLOOKUP(
TRIM(CLEAN(
INDEX(REPORTE_DROPI!K:K,
MATCH(T243, REPORTE_DROPI!B:B, 0)
))),
{
TRIM(CLEAN(MAPA_ESTADOS!A:A)) ,
MAPA_ESTADOS!B:B
},
2,
FALSE
),
"REVISAR"
)</f>
        <v>ENTREGADO</v>
      </c>
      <c r="P243" s="118" t="s">
        <v>5692</v>
      </c>
      <c r="Q243" s="153">
        <f t="shared" si="1"/>
        <v>0</v>
      </c>
      <c r="R243" s="163"/>
      <c r="S243" s="163"/>
      <c r="T243" s="118">
        <f t="array" ref="T243">IFERROR(
INDEX(REPORTE_DROPI!B:B,
MATCH(
CLEAN(TRIM(C243)),
CLEAN(TRIM(REPORTE_DROPI!E:E)),
0
)
),
""
)
</f>
        <v>4442352</v>
      </c>
      <c r="U243" s="163" t="s">
        <v>6555</v>
      </c>
      <c r="V243" s="164"/>
    </row>
    <row r="244" ht="22.5" hidden="1" customHeight="1">
      <c r="A244" s="161">
        <v>243.0</v>
      </c>
      <c r="B244" s="119">
        <v>46061.0</v>
      </c>
      <c r="C244" s="118" t="s">
        <v>6556</v>
      </c>
      <c r="D244" s="118" t="str">
        <f>IFERROR(__xludf.DUMMYFUNCTION("IFERROR( INDEX( FILTER( 'NOMBRE DE PRODUCTOS'!B:B, REGEXMATCH( UPPER( INDEX( REPORTE_DROPI!AC:AC, MATCH(T244, REPORTE_DROPI!B:B, 0) ) ), UPPER('NOMBRE DE PRODUCTOS'!A:A) ) ), 1 ), ""REVISAR"" )"),"Cuchillo Tazaki™")</f>
        <v>Cuchillo Tazaki™</v>
      </c>
      <c r="E244" s="120">
        <f t="array" ref="E244">IF(
UPPER(TRIM(CLEAN($O244)))="ENTREGADO",
IFERROR(
INDEX(REPORTE_DROPI!Y:Y,
MATCH($T244, REPORTE_DROPI!B:B, 0)
),
""
),
""
)
</f>
        <v>5.2</v>
      </c>
      <c r="F244" s="162">
        <v>2.0</v>
      </c>
      <c r="G244" s="122">
        <f t="array" ref="G244">IF(
UPPER(TRIM(CLEAN($O244)))="ENTREGADO",
IFERROR(
INDEX(REPORTE_DROPI!R:R,
MATCH($T244, REPORTE_DROPI!B:B, 0)
),
""
),
""
)
</f>
        <v>22</v>
      </c>
      <c r="H244" s="118" t="s">
        <v>3727</v>
      </c>
      <c r="I244" s="118" t="s">
        <v>3740</v>
      </c>
      <c r="J244" s="121">
        <f t="array" ref="J244">IF(
UPPER(TRIM(CLEAN($O244)))="ENTREGADO",
IFERROR(
INDEX(REPORTE_DROPI!T:T,
MATCH($T244, REPORTE_DROPI!B:B, 0)
),
""
),
""
)
</f>
        <v>4.23</v>
      </c>
      <c r="K244" s="118">
        <f t="array" ref="K244">IFERROR(
INDEX(REPORTE_DROPI!S:S,
MATCH($T244, REPORTE_DROPI!B:B, 0)
),
""
)</f>
        <v>12.57</v>
      </c>
      <c r="L244" s="118" t="str">
        <f>IF(
  O244&lt;&gt;"DEVOLUCION",
  "",
  IF(
    T244="",
    "",
    SUMIF(DEVOLUCION!F:F, T244, DEVOLUCION!D:D)
  )
)
</f>
        <v/>
      </c>
      <c r="M244" s="118" t="s">
        <v>5877</v>
      </c>
      <c r="N244" s="161" t="s">
        <v>6557</v>
      </c>
      <c r="O244" s="118" t="str">
        <f t="array" ref="O244">IFERROR(
VLOOKUP(
TRIM(CLEAN(
INDEX(REPORTE_DROPI!K:K,
MATCH(T244, REPORTE_DROPI!B:B, 0)
))),
{
TRIM(CLEAN(MAPA_ESTADOS!A:A)) ,
MAPA_ESTADOS!B:B
},
2,
FALSE
),
"REVISAR"
)</f>
        <v>ENTREGADO</v>
      </c>
      <c r="P244" s="118" t="s">
        <v>6558</v>
      </c>
      <c r="Q244" s="153">
        <f t="shared" si="1"/>
        <v>0</v>
      </c>
      <c r="R244" s="163"/>
      <c r="S244" s="163"/>
      <c r="T244" s="118">
        <f t="array" ref="T244">IFERROR(
INDEX(REPORTE_DROPI!B:B,
MATCH(
CLEAN(TRIM(C244)),
CLEAN(TRIM(REPORTE_DROPI!E:E)),
0
)
),
""
)
</f>
        <v>4442348</v>
      </c>
      <c r="U244" s="163" t="s">
        <v>6559</v>
      </c>
      <c r="V244" s="164"/>
    </row>
    <row r="245" ht="22.5" hidden="1" customHeight="1">
      <c r="A245" s="161">
        <v>244.0</v>
      </c>
      <c r="B245" s="119">
        <v>46061.0</v>
      </c>
      <c r="C245" s="118" t="s">
        <v>6560</v>
      </c>
      <c r="D245" s="118" t="str">
        <f>IFERROR(__xludf.DUMMYFUNCTION("IFERROR( INDEX( FILTER( 'NOMBRE DE PRODUCTOS'!B:B, REGEXMATCH( UPPER( INDEX( REPORTE_DROPI!AC:AC, MATCH(T245, REPORTE_DROPI!B:B, 0) ) ), UPPER('NOMBRE DE PRODUCTOS'!A:A) ) ), 1 ), ""REVISAR"" )"),"Cuchillo Tazaki™")</f>
        <v>Cuchillo Tazaki™</v>
      </c>
      <c r="E245" s="120">
        <f t="array" ref="E245">IF(
UPPER(TRIM(CLEAN($O245)))="ENTREGADO",
IFERROR(
INDEX(REPORTE_DROPI!Y:Y,
MATCH($T245, REPORTE_DROPI!B:B, 0)
),
""
),
""
)
</f>
        <v>7.8</v>
      </c>
      <c r="F245" s="162">
        <v>3.0</v>
      </c>
      <c r="G245" s="122">
        <f t="array" ref="G245">IF(
UPPER(TRIM(CLEAN($O245)))="ENTREGADO",
IFERROR(
INDEX(REPORTE_DROPI!R:R,
MATCH($T245, REPORTE_DROPI!B:B, 0)
),
""
),
""
)
</f>
        <v>27</v>
      </c>
      <c r="H245" s="118" t="s">
        <v>3727</v>
      </c>
      <c r="I245" s="118" t="s">
        <v>3728</v>
      </c>
      <c r="J245" s="121">
        <f t="array" ref="J245">IF(
UPPER(TRIM(CLEAN($O245)))="ENTREGADO",
IFERROR(
INDEX(REPORTE_DROPI!T:T,
MATCH($T245, REPORTE_DROPI!B:B, 0)
),
""
),
""
)
</f>
        <v>6.03</v>
      </c>
      <c r="K245" s="118">
        <f t="array" ref="K245">IFERROR(
INDEX(REPORTE_DROPI!S:S,
MATCH($T245, REPORTE_DROPI!B:B, 0)
),
""
)</f>
        <v>13.17</v>
      </c>
      <c r="L245" s="118" t="str">
        <f>IF(
  O245&lt;&gt;"DEVOLUCION",
  "",
  IF(
    T245="",
    "",
    SUMIF(DEVOLUCION!F:F, T245, DEVOLUCION!D:D)
  )
)
</f>
        <v/>
      </c>
      <c r="M245" s="118" t="s">
        <v>5877</v>
      </c>
      <c r="N245" s="161" t="s">
        <v>6561</v>
      </c>
      <c r="O245" s="118" t="str">
        <f t="array" ref="O245">IFERROR(
VLOOKUP(
TRIM(CLEAN(
INDEX(REPORTE_DROPI!K:K,
MATCH(T245, REPORTE_DROPI!B:B, 0)
))),
{
TRIM(CLEAN(MAPA_ESTADOS!A:A)) ,
MAPA_ESTADOS!B:B
},
2,
FALSE
),
"REVISAR"
)</f>
        <v>ENTREGADO</v>
      </c>
      <c r="P245" s="118" t="s">
        <v>5692</v>
      </c>
      <c r="Q245" s="153">
        <f t="shared" si="1"/>
        <v>0</v>
      </c>
      <c r="R245" s="163"/>
      <c r="S245" s="163"/>
      <c r="T245" s="118">
        <f t="array" ref="T245">IFERROR(
INDEX(REPORTE_DROPI!B:B,
MATCH(
CLEAN(TRIM(C245)),
CLEAN(TRIM(REPORTE_DROPI!E:E)),
0
)
),
""
)
</f>
        <v>4442346</v>
      </c>
      <c r="U245" s="163" t="s">
        <v>6562</v>
      </c>
      <c r="V245" s="164"/>
    </row>
    <row r="246" ht="22.5" hidden="1" customHeight="1">
      <c r="A246" s="161">
        <v>245.0</v>
      </c>
      <c r="B246" s="119">
        <v>46061.0</v>
      </c>
      <c r="C246" s="118" t="s">
        <v>6563</v>
      </c>
      <c r="D246" s="118" t="str">
        <f>IFERROR(__xludf.DUMMYFUNCTION("IFERROR( INDEX( FILTER( 'NOMBRE DE PRODUCTOS'!B:B, REGEXMATCH( UPPER( INDEX( REPORTE_DROPI!AC:AC, MATCH(T246, REPORTE_DROPI!B:B, 0) ) ), UPPER('NOMBRE DE PRODUCTOS'!A:A) ) ), 1 ), ""REVISAR"" )"),"Cuchillo Tazaki™")</f>
        <v>Cuchillo Tazaki™</v>
      </c>
      <c r="E246" s="120">
        <f t="array" ref="E246">IF(
UPPER(TRIM(CLEAN($O246)))="ENTREGADO",
IFERROR(
INDEX(REPORTE_DROPI!Y:Y,
MATCH($T246, REPORTE_DROPI!B:B, 0)
),
""
),
""
)
</f>
        <v>5.2</v>
      </c>
      <c r="F246" s="162">
        <v>2.0</v>
      </c>
      <c r="G246" s="122">
        <f t="array" ref="G246">IF(
UPPER(TRIM(CLEAN($O246)))="ENTREGADO",
IFERROR(
INDEX(REPORTE_DROPI!R:R,
MATCH($T246, REPORTE_DROPI!B:B, 0)
),
""
),
""
)
</f>
        <v>22</v>
      </c>
      <c r="H246" s="118" t="s">
        <v>3727</v>
      </c>
      <c r="I246" s="118" t="s">
        <v>3731</v>
      </c>
      <c r="J246" s="121">
        <f t="array" ref="J246">IF(
UPPER(TRIM(CLEAN($O246)))="ENTREGADO",
IFERROR(
INDEX(REPORTE_DROPI!T:T,
MATCH($T246, REPORTE_DROPI!B:B, 0)
),
""
),
""
)
</f>
        <v>5.84</v>
      </c>
      <c r="K246" s="118">
        <f t="array" ref="K246">IFERROR(
INDEX(REPORTE_DROPI!S:S,
MATCH($T246, REPORTE_DROPI!B:B, 0)
),
""
)</f>
        <v>10.96</v>
      </c>
      <c r="L246" s="118" t="str">
        <f>IF(
  O246&lt;&gt;"DEVOLUCION",
  "",
  IF(
    T246="",
    "",
    SUMIF(DEVOLUCION!F:F, T246, DEVOLUCION!D:D)
  )
)
</f>
        <v/>
      </c>
      <c r="M246" s="118" t="s">
        <v>5877</v>
      </c>
      <c r="N246" s="161" t="s">
        <v>6564</v>
      </c>
      <c r="O246" s="118" t="str">
        <f t="array" ref="O246">IFERROR(
VLOOKUP(
TRIM(CLEAN(
INDEX(REPORTE_DROPI!K:K,
MATCH(T246, REPORTE_DROPI!B:B, 0)
))),
{
TRIM(CLEAN(MAPA_ESTADOS!A:A)) ,
MAPA_ESTADOS!B:B
},
2,
FALSE
),
"REVISAR"
)</f>
        <v>ENTREGADO</v>
      </c>
      <c r="P246" s="118" t="s">
        <v>5692</v>
      </c>
      <c r="Q246" s="153">
        <f t="shared" si="1"/>
        <v>0</v>
      </c>
      <c r="R246" s="163"/>
      <c r="S246" s="163"/>
      <c r="T246" s="118">
        <f t="array" ref="T246">IFERROR(
INDEX(REPORTE_DROPI!B:B,
MATCH(
CLEAN(TRIM(C246)),
CLEAN(TRIM(REPORTE_DROPI!E:E)),
0
)
),
""
)
</f>
        <v>4442344</v>
      </c>
      <c r="U246" s="163" t="s">
        <v>6565</v>
      </c>
      <c r="V246" s="164"/>
    </row>
    <row r="247" ht="22.5" hidden="1" customHeight="1">
      <c r="A247" s="161">
        <v>246.0</v>
      </c>
      <c r="B247" s="119">
        <v>46061.0</v>
      </c>
      <c r="C247" s="118" t="s">
        <v>6566</v>
      </c>
      <c r="D247" s="118" t="str">
        <f>IFERROR(__xludf.DUMMYFUNCTION("IFERROR( INDEX( FILTER( 'NOMBRE DE PRODUCTOS'!B:B, REGEXMATCH( UPPER( INDEX( REPORTE_DROPI!AC:AC, MATCH(T247, REPORTE_DROPI!B:B, 0) ) ), UPPER('NOMBRE DE PRODUCTOS'!A:A) ) ), 1 ), ""REVISAR"" )"),"Cuchillo Tazaki™")</f>
        <v>Cuchillo Tazaki™</v>
      </c>
      <c r="E247" s="120" t="str">
        <f t="array" ref="E247">IF(
UPPER(TRIM(CLEAN($O247)))="ENTREGADO",
IFERROR(
INDEX(REPORTE_DROPI!Y:Y,
MATCH($T247, REPORTE_DROPI!B:B, 0)
),
""
),
""
)
</f>
        <v/>
      </c>
      <c r="F247" s="162">
        <v>4.0</v>
      </c>
      <c r="G247" s="122" t="str">
        <f t="array" ref="G247">IF(
UPPER(TRIM(CLEAN($O247)))="ENTREGADO",
IFERROR(
INDEX(REPORTE_DROPI!R:R,
MATCH($T247, REPORTE_DROPI!B:B, 0)
),
""
),
""
)
</f>
        <v/>
      </c>
      <c r="H247" s="118" t="s">
        <v>3727</v>
      </c>
      <c r="I247" s="118" t="s">
        <v>3731</v>
      </c>
      <c r="J247" s="121" t="str">
        <f t="array" ref="J247">IF(
UPPER(TRIM(CLEAN($O247)))="ENTREGADO",
IFERROR(
INDEX(REPORTE_DROPI!T:T,
MATCH($T247, REPORTE_DROPI!B:B, 0)
),
""
),
""
)
</f>
        <v/>
      </c>
      <c r="K247" s="118" t="str">
        <f t="array" ref="K247">IFERROR(
INDEX(REPORTE_DROPI!S:S,
MATCH($T247, REPORTE_DROPI!B:B, 0)
),
""
)</f>
        <v/>
      </c>
      <c r="L247" s="118" t="str">
        <f>IF(
  O247&lt;&gt;"DEVOLUCION",
  "",
  IF(
    T247="",
    "",
    SUMIF(DEVOLUCION!F:F, T247, DEVOLUCION!D:D)
  )
)
</f>
        <v/>
      </c>
      <c r="M247" s="118" t="s">
        <v>5877</v>
      </c>
      <c r="N247" s="161" t="s">
        <v>6567</v>
      </c>
      <c r="O247" s="118" t="str">
        <f t="array" ref="O247">IFERROR(
VLOOKUP(
TRIM(CLEAN(
INDEX(REPORTE_DROPI!K:K,
MATCH(T247, REPORTE_DROPI!B:B, 0)
))),
{
TRIM(CLEAN(MAPA_ESTADOS!A:A)) ,
MAPA_ESTADOS!B:B
},
2,
FALSE
),
"REVISAR"
)</f>
        <v>PENDIENTE</v>
      </c>
      <c r="P247" s="118" t="s">
        <v>6568</v>
      </c>
      <c r="Q247" s="153">
        <f t="shared" si="1"/>
        <v>0</v>
      </c>
      <c r="R247" s="163"/>
      <c r="S247" s="163"/>
      <c r="T247" s="118">
        <f t="array" ref="T247">IFERROR(
INDEX(REPORTE_DROPI!B:B,
MATCH(
CLEAN(TRIM(C247)),
CLEAN(TRIM(REPORTE_DROPI!E:E)),
0
)
),
""
)
</f>
        <v>4442343</v>
      </c>
      <c r="U247" s="163" t="s">
        <v>6569</v>
      </c>
      <c r="V247" s="164"/>
    </row>
    <row r="248" ht="22.5" hidden="1" customHeight="1">
      <c r="A248" s="161">
        <v>247.0</v>
      </c>
      <c r="B248" s="119">
        <v>46061.0</v>
      </c>
      <c r="C248" s="118" t="s">
        <v>6570</v>
      </c>
      <c r="D248" s="118" t="str">
        <f>IFERROR(__xludf.DUMMYFUNCTION("IFERROR( INDEX( FILTER( 'NOMBRE DE PRODUCTOS'!B:B, REGEXMATCH( UPPER( INDEX( REPORTE_DROPI!AC:AC, MATCH(T248, REPORTE_DROPI!B:B, 0) ) ), UPPER('NOMBRE DE PRODUCTOS'!A:A) ) ), 1 ), ""REVISAR"" )"),"Cuchillo Tazaki™")</f>
        <v>Cuchillo Tazaki™</v>
      </c>
      <c r="E248" s="120">
        <f t="array" ref="E248">IF(
UPPER(TRIM(CLEAN($O248)))="ENTREGADO",
IFERROR(
INDEX(REPORTE_DROPI!Y:Y,
MATCH($T248, REPORTE_DROPI!B:B, 0)
),
""
),
""
)
</f>
        <v>2.6</v>
      </c>
      <c r="F248" s="162">
        <v>2.0</v>
      </c>
      <c r="G248" s="122">
        <f t="array" ref="G248">IF(
UPPER(TRIM(CLEAN($O248)))="ENTREGADO",
IFERROR(
INDEX(REPORTE_DROPI!R:R,
MATCH($T248, REPORTE_DROPI!B:B, 0)
),
""
),
""
)
</f>
        <v>21.99</v>
      </c>
      <c r="H248" s="118" t="s">
        <v>3727</v>
      </c>
      <c r="I248" s="118" t="s">
        <v>3731</v>
      </c>
      <c r="J248" s="121">
        <f t="array" ref="J248">IF(
UPPER(TRIM(CLEAN($O248)))="ENTREGADO",
IFERROR(
INDEX(REPORTE_DROPI!T:T,
MATCH($T248, REPORTE_DROPI!B:B, 0)
),
""
),
""
)
</f>
        <v>5.84</v>
      </c>
      <c r="K248" s="118">
        <f t="array" ref="K248">IFERROR(
INDEX(REPORTE_DROPI!S:S,
MATCH($T248, REPORTE_DROPI!B:B, 0)
),
""
)</f>
        <v>13.55</v>
      </c>
      <c r="L248" s="118" t="str">
        <f>IF(
  O248&lt;&gt;"DEVOLUCION",
  "",
  IF(
    T248="",
    "",
    SUMIF(DEVOLUCION!F:F, T248, DEVOLUCION!D:D)
  )
)
</f>
        <v/>
      </c>
      <c r="M248" s="118" t="s">
        <v>5877</v>
      </c>
      <c r="N248" s="161">
        <v>5970.0</v>
      </c>
      <c r="O248" s="118" t="str">
        <f t="array" ref="O248">IFERROR(
VLOOKUP(
TRIM(CLEAN(
INDEX(REPORTE_DROPI!K:K,
MATCH(T248, REPORTE_DROPI!B:B, 0)
))),
{
TRIM(CLEAN(MAPA_ESTADOS!A:A)) ,
MAPA_ESTADOS!B:B
},
2,
FALSE
),
"REVISAR"
)</f>
        <v>ENTREGADO</v>
      </c>
      <c r="P248" s="118" t="s">
        <v>6571</v>
      </c>
      <c r="Q248" s="153">
        <f t="shared" si="1"/>
        <v>0</v>
      </c>
      <c r="R248" s="163"/>
      <c r="S248" s="163"/>
      <c r="T248" s="118">
        <f t="array" ref="T248">IFERROR(
INDEX(REPORTE_DROPI!B:B,
MATCH(
CLEAN(TRIM(C248)),
CLEAN(TRIM(REPORTE_DROPI!E:E)),
0
)
),
""
)
</f>
        <v>4442340</v>
      </c>
      <c r="U248" s="163"/>
      <c r="V248" s="164"/>
    </row>
    <row r="249" ht="22.5" hidden="1" customHeight="1">
      <c r="A249" s="161">
        <v>248.0</v>
      </c>
      <c r="B249" s="119">
        <v>46061.0</v>
      </c>
      <c r="C249" s="118" t="s">
        <v>6572</v>
      </c>
      <c r="D249" s="118" t="str">
        <f>IFERROR(__xludf.DUMMYFUNCTION("IFERROR( INDEX( FILTER( 'NOMBRE DE PRODUCTOS'!B:B, REGEXMATCH( UPPER( INDEX( REPORTE_DROPI!AC:AC, MATCH(T249, REPORTE_DROPI!B:B, 0) ) ), UPPER('NOMBRE DE PRODUCTOS'!A:A) ) ), 1 ), ""REVISAR"" )"),"FilmPro®")</f>
        <v>FilmPro®</v>
      </c>
      <c r="E249" s="120">
        <f t="array" ref="E249">IF(
UPPER(TRIM(CLEAN($O249)))="ENTREGADO",
IFERROR(
INDEX(REPORTE_DROPI!Y:Y,
MATCH($T249, REPORTE_DROPI!B:B, 0)
),
""
),
""
)
</f>
        <v>4.4</v>
      </c>
      <c r="F249" s="162">
        <v>2.0</v>
      </c>
      <c r="G249" s="122">
        <f t="array" ref="G249">IF(
UPPER(TRIM(CLEAN($O249)))="ENTREGADO",
IFERROR(
INDEX(REPORTE_DROPI!R:R,
MATCH($T249, REPORTE_DROPI!B:B, 0)
),
""
),
""
)
</f>
        <v>25</v>
      </c>
      <c r="H249" s="118" t="s">
        <v>3727</v>
      </c>
      <c r="I249" s="118" t="s">
        <v>3740</v>
      </c>
      <c r="J249" s="121">
        <f t="array" ref="J249">IF(
UPPER(TRIM(CLEAN($O249)))="ENTREGADO",
IFERROR(
INDEX(REPORTE_DROPI!T:T,
MATCH($T249, REPORTE_DROPI!B:B, 0)
),
""
),
""
)
</f>
        <v>5.38</v>
      </c>
      <c r="K249" s="118">
        <f t="array" ref="K249">IFERROR(
INDEX(REPORTE_DROPI!S:S,
MATCH($T249, REPORTE_DROPI!B:B, 0)
),
""
)</f>
        <v>15.22</v>
      </c>
      <c r="L249" s="118" t="str">
        <f>IF(
  O249&lt;&gt;"DEVOLUCION",
  "",
  IF(
    T249="",
    "",
    SUMIF(DEVOLUCION!F:F, T249, DEVOLUCION!D:D)
  )
)
</f>
        <v/>
      </c>
      <c r="M249" s="118" t="s">
        <v>5877</v>
      </c>
      <c r="N249" s="161" t="s">
        <v>6573</v>
      </c>
      <c r="O249" s="118" t="str">
        <f t="array" ref="O249">IFERROR(
VLOOKUP(
TRIM(CLEAN(
INDEX(REPORTE_DROPI!K:K,
MATCH(T249, REPORTE_DROPI!B:B, 0)
))),
{
TRIM(CLEAN(MAPA_ESTADOS!A:A)) ,
MAPA_ESTADOS!B:B
},
2,
FALSE
),
"REVISAR"
)</f>
        <v>ENTREGADO</v>
      </c>
      <c r="P249" s="118" t="s">
        <v>5692</v>
      </c>
      <c r="Q249" s="153">
        <f t="shared" si="1"/>
        <v>0</v>
      </c>
      <c r="R249" s="163"/>
      <c r="S249" s="163"/>
      <c r="T249" s="118">
        <f t="array" ref="T249">IFERROR(
INDEX(REPORTE_DROPI!B:B,
MATCH(
CLEAN(TRIM(C249)),
CLEAN(TRIM(REPORTE_DROPI!E:E)),
0
)
),
""
)
</f>
        <v>4442337</v>
      </c>
      <c r="U249" s="163" t="s">
        <v>6574</v>
      </c>
      <c r="V249" s="164"/>
    </row>
    <row r="250" ht="22.5" hidden="1" customHeight="1">
      <c r="A250" s="161">
        <v>249.0</v>
      </c>
      <c r="B250" s="119">
        <v>46061.0</v>
      </c>
      <c r="C250" s="118" t="s">
        <v>6575</v>
      </c>
      <c r="D250" s="118" t="str">
        <f>IFERROR(__xludf.DUMMYFUNCTION("IFERROR( INDEX( FILTER( 'NOMBRE DE PRODUCTOS'!B:B, REGEXMATCH( UPPER( INDEX( REPORTE_DROPI!AC:AC, MATCH(T250, REPORTE_DROPI!B:B, 0) ) ), UPPER('NOMBRE DE PRODUCTOS'!A:A) ) ), 1 ), ""REVISAR"" )"),"FilmPro®")</f>
        <v>FilmPro®</v>
      </c>
      <c r="E250" s="120">
        <f t="array" ref="E250">IF(
UPPER(TRIM(CLEAN($O250)))="ENTREGADO",
IFERROR(
INDEX(REPORTE_DROPI!Y:Y,
MATCH($T250, REPORTE_DROPI!B:B, 0)
),
""
),
""
)
</f>
        <v>6.6</v>
      </c>
      <c r="F250" s="162">
        <v>3.0</v>
      </c>
      <c r="G250" s="122">
        <f t="array" ref="G250">IF(
UPPER(TRIM(CLEAN($O250)))="ENTREGADO",
IFERROR(
INDEX(REPORTE_DROPI!R:R,
MATCH($T250, REPORTE_DROPI!B:B, 0)
),
""
),
""
)
</f>
        <v>30</v>
      </c>
      <c r="H250" s="118" t="s">
        <v>3727</v>
      </c>
      <c r="I250" s="118" t="s">
        <v>3772</v>
      </c>
      <c r="J250" s="121">
        <f t="array" ref="J250">IF(
UPPER(TRIM(CLEAN($O250)))="ENTREGADO",
IFERROR(
INDEX(REPORTE_DROPI!T:T,
MATCH($T250, REPORTE_DROPI!B:B, 0)
),
""
),
""
)
</f>
        <v>6.16</v>
      </c>
      <c r="K250" s="118">
        <f t="array" ref="K250">IFERROR(
INDEX(REPORTE_DROPI!S:S,
MATCH($T250, REPORTE_DROPI!B:B, 0)
),
""
)</f>
        <v>17.24</v>
      </c>
      <c r="L250" s="118" t="str">
        <f>IF(
  O250&lt;&gt;"DEVOLUCION",
  "",
  IF(
    T250="",
    "",
    SUMIF(DEVOLUCION!F:F, T250, DEVOLUCION!D:D)
  )
)
</f>
        <v/>
      </c>
      <c r="M250" s="118" t="s">
        <v>5877</v>
      </c>
      <c r="N250" s="161" t="s">
        <v>6576</v>
      </c>
      <c r="O250" s="118" t="str">
        <f t="array" ref="O250">IFERROR(
VLOOKUP(
TRIM(CLEAN(
INDEX(REPORTE_DROPI!K:K,
MATCH(T250, REPORTE_DROPI!B:B, 0)
))),
{
TRIM(CLEAN(MAPA_ESTADOS!A:A)) ,
MAPA_ESTADOS!B:B
},
2,
FALSE
),
"REVISAR"
)</f>
        <v>ENTREGADO</v>
      </c>
      <c r="P250" s="118" t="s">
        <v>6577</v>
      </c>
      <c r="Q250" s="153">
        <f t="shared" si="1"/>
        <v>0</v>
      </c>
      <c r="R250" s="163"/>
      <c r="S250" s="163"/>
      <c r="T250" s="118">
        <f t="array" ref="T250">IFERROR(
INDEX(REPORTE_DROPI!B:B,
MATCH(
CLEAN(TRIM(C250)),
CLEAN(TRIM(REPORTE_DROPI!E:E)),
0
)
),
""
)
</f>
        <v>4442335</v>
      </c>
      <c r="U250" s="163" t="s">
        <v>6578</v>
      </c>
      <c r="V250" s="164"/>
    </row>
    <row r="251" ht="22.5" hidden="1" customHeight="1">
      <c r="A251" s="161">
        <v>250.0</v>
      </c>
      <c r="B251" s="119">
        <v>46061.0</v>
      </c>
      <c r="C251" s="118" t="s">
        <v>6579</v>
      </c>
      <c r="D251" s="118" t="str">
        <f>IFERROR(__xludf.DUMMYFUNCTION("IFERROR( INDEX( FILTER( 'NOMBRE DE PRODUCTOS'!B:B, REGEXMATCH( UPPER( INDEX( REPORTE_DROPI!AC:AC, MATCH(T251, REPORTE_DROPI!B:B, 0) ) ), UPPER('NOMBRE DE PRODUCTOS'!A:A) ) ), 1 ), ""REVISAR"" )"),"Cuchillo Tazaki™")</f>
        <v>Cuchillo Tazaki™</v>
      </c>
      <c r="E251" s="120" t="str">
        <f t="array" ref="E251">IF(
UPPER(TRIM(CLEAN($O251)))="ENTREGADO",
IFERROR(
INDEX(REPORTE_DROPI!Y:Y,
MATCH($T251, REPORTE_DROPI!B:B, 0)
),
""
),
""
)
</f>
        <v/>
      </c>
      <c r="F251" s="162">
        <v>2.0</v>
      </c>
      <c r="G251" s="122" t="str">
        <f t="array" ref="G251">IF(
UPPER(TRIM(CLEAN($O251)))="ENTREGADO",
IFERROR(
INDEX(REPORTE_DROPI!R:R,
MATCH($T251, REPORTE_DROPI!B:B, 0)
),
""
),
""
)
</f>
        <v/>
      </c>
      <c r="H251" s="118" t="s">
        <v>3727</v>
      </c>
      <c r="I251" s="118" t="s">
        <v>3731</v>
      </c>
      <c r="J251" s="121" t="str">
        <f t="array" ref="J251">IF(
UPPER(TRIM(CLEAN($O251)))="ENTREGADO",
IFERROR(
INDEX(REPORTE_DROPI!T:T,
MATCH($T251, REPORTE_DROPI!B:B, 0)
),
""
),
""
)
</f>
        <v/>
      </c>
      <c r="K251" s="118" t="str">
        <f t="array" ref="K251">IFERROR(
INDEX(REPORTE_DROPI!S:S,
MATCH($T251, REPORTE_DROPI!B:B, 0)
),
""
)</f>
        <v/>
      </c>
      <c r="L251" s="118" t="str">
        <f>IF(
  O251&lt;&gt;"DEVOLUCION",
  "",
  IF(
    T251="",
    "",
    SUMIF(DEVOLUCION!F:F, T251, DEVOLUCION!D:D)
  )
)
</f>
        <v/>
      </c>
      <c r="M251" s="118" t="s">
        <v>5877</v>
      </c>
      <c r="N251" s="161" t="s">
        <v>6580</v>
      </c>
      <c r="O251" s="118" t="str">
        <f t="array" ref="O251">IFERROR(
VLOOKUP(
TRIM(CLEAN(
INDEX(REPORTE_DROPI!K:K,
MATCH(T251, REPORTE_DROPI!B:B, 0)
))),
{
TRIM(CLEAN(MAPA_ESTADOS!A:A)) ,
MAPA_ESTADOS!B:B
},
2,
FALSE
),
"REVISAR"
)</f>
        <v>PENDIENTE</v>
      </c>
      <c r="P251" s="118" t="s">
        <v>6568</v>
      </c>
      <c r="Q251" s="153">
        <f t="shared" si="1"/>
        <v>0</v>
      </c>
      <c r="R251" s="163"/>
      <c r="S251" s="163"/>
      <c r="T251" s="118">
        <f t="array" ref="T251">IFERROR(
INDEX(REPORTE_DROPI!B:B,
MATCH(
CLEAN(TRIM(C251)),
CLEAN(TRIM(REPORTE_DROPI!E:E)),
0
)
),
""
)
</f>
        <v>4459428</v>
      </c>
      <c r="U251" s="163" t="s">
        <v>6581</v>
      </c>
      <c r="V251" s="164"/>
    </row>
    <row r="252" ht="22.5" customHeight="1">
      <c r="A252" s="161">
        <v>251.0</v>
      </c>
      <c r="B252" s="119">
        <v>46061.0</v>
      </c>
      <c r="C252" s="118" t="s">
        <v>6582</v>
      </c>
      <c r="D252" s="118" t="str">
        <f>IFERROR(__xludf.DUMMYFUNCTION("IFERROR( INDEX( FILTER( 'NOMBRE DE PRODUCTOS'!B:B, REGEXMATCH( UPPER( INDEX( REPORTE_DROPI!AC:AC, MATCH(T252, REPORTE_DROPI!B:B, 0) ) ), UPPER('NOMBRE DE PRODUCTOS'!A:A) ) ), 1 ), ""REVISAR"" )"),"FreeBeat Adapter")</f>
        <v>FreeBeat Adapter</v>
      </c>
      <c r="E252" s="120">
        <f t="array" ref="E252">IF(
UPPER(TRIM(CLEAN($O252)))="ENTREGADO",
IFERROR(
INDEX(REPORTE_DROPI!Y:Y,
MATCH($T252, REPORTE_DROPI!B:B, 0)
),
""
),
""
)
</f>
        <v>10</v>
      </c>
      <c r="F252" s="162">
        <v>3.0</v>
      </c>
      <c r="G252" s="122">
        <f t="array" ref="G252">IF(
UPPER(TRIM(CLEAN($O252)))="ENTREGADO",
IFERROR(
INDEX(REPORTE_DROPI!R:R,
MATCH($T252, REPORTE_DROPI!B:B, 0)
),
""
),
""
)
</f>
        <v>24.2</v>
      </c>
      <c r="H252" s="118" t="s">
        <v>3727</v>
      </c>
      <c r="I252" s="118" t="s">
        <v>3731</v>
      </c>
      <c r="J252" s="121">
        <f t="array" ref="J252">IF(
UPPER(TRIM(CLEAN($O252)))="ENTREGADO",
IFERROR(
INDEX(REPORTE_DROPI!T:T,
MATCH($T252, REPORTE_DROPI!B:B, 0)
),
""
),
""
)
</f>
        <v>5.92</v>
      </c>
      <c r="K252" s="118">
        <f t="array" ref="K252">IFERROR(
INDEX(REPORTE_DROPI!S:S,
MATCH($T252, REPORTE_DROPI!B:B, 0)
),
""
)</f>
        <v>8.28</v>
      </c>
      <c r="L252" s="118" t="str">
        <f>IF(
  O252&lt;&gt;"DEVOLUCION",
  "",
  IF(
    T252="",
    "",
    SUMIF(DEVOLUCION!F:F, T252, DEVOLUCION!D:D)
  )
)
</f>
        <v/>
      </c>
      <c r="M252" s="118" t="s">
        <v>5877</v>
      </c>
      <c r="N252" s="161" t="s">
        <v>6583</v>
      </c>
      <c r="O252" s="118" t="str">
        <f t="array" ref="O252">IFERROR(
VLOOKUP(
TRIM(CLEAN(
INDEX(REPORTE_DROPI!K:K,
MATCH(T252, REPORTE_DROPI!B:B, 0)
))),
{
TRIM(CLEAN(MAPA_ESTADOS!A:A)) ,
MAPA_ESTADOS!B:B
},
2,
FALSE
),
"REVISAR"
)</f>
        <v>ENTREGADO</v>
      </c>
      <c r="P252" s="118" t="s">
        <v>5692</v>
      </c>
      <c r="Q252" s="153">
        <f t="shared" si="1"/>
        <v>0</v>
      </c>
      <c r="R252" s="163"/>
      <c r="S252" s="163"/>
      <c r="T252" s="118">
        <f t="array" ref="T252">IFERROR(
INDEX(REPORTE_DROPI!B:B,
MATCH(
CLEAN(TRIM(C252)),
CLEAN(TRIM(REPORTE_DROPI!E:E)),
0
)
),
""
)
</f>
        <v>4674255</v>
      </c>
      <c r="U252" s="163" t="s">
        <v>6584</v>
      </c>
      <c r="V252" s="164"/>
    </row>
    <row r="253" ht="22.5" hidden="1" customHeight="1">
      <c r="A253" s="161">
        <v>252.0</v>
      </c>
      <c r="B253" s="119">
        <v>46061.0</v>
      </c>
      <c r="C253" s="118" t="s">
        <v>6585</v>
      </c>
      <c r="D253" s="118" t="str">
        <f>IFERROR(__xludf.DUMMYFUNCTION("IFERROR( INDEX( FILTER( 'NOMBRE DE PRODUCTOS'!B:B, REGEXMATCH( UPPER( INDEX( REPORTE_DROPI!AC:AC, MATCH(T253, REPORTE_DROPI!B:B, 0) ) ), UPPER('NOMBRE DE PRODUCTOS'!A:A) ) ), 1 ), ""REVISAR"" )"),"Cuchillo Tazaki™")</f>
        <v>Cuchillo Tazaki™</v>
      </c>
      <c r="E253" s="120" t="str">
        <f t="array" ref="E253">IF(
UPPER(TRIM(CLEAN($O253)))="ENTREGADO",
IFERROR(
INDEX(REPORTE_DROPI!Y:Y,
MATCH($T253, REPORTE_DROPI!B:B, 0)
),
""
),
""
)
</f>
        <v/>
      </c>
      <c r="F253" s="162">
        <v>3.0</v>
      </c>
      <c r="G253" s="122" t="str">
        <f t="array" ref="G253">IF(
UPPER(TRIM(CLEAN($O253)))="ENTREGADO",
IFERROR(
INDEX(REPORTE_DROPI!R:R,
MATCH($T253, REPORTE_DROPI!B:B, 0)
),
""
),
""
)
</f>
        <v/>
      </c>
      <c r="H253" s="118" t="s">
        <v>3727</v>
      </c>
      <c r="I253" s="118" t="s">
        <v>3731</v>
      </c>
      <c r="J253" s="121" t="str">
        <f t="array" ref="J253">IF(
UPPER(TRIM(CLEAN($O253)))="ENTREGADO",
IFERROR(
INDEX(REPORTE_DROPI!T:T,
MATCH($T253, REPORTE_DROPI!B:B, 0)
),
""
),
""
)
</f>
        <v/>
      </c>
      <c r="K253" s="118" t="str">
        <f t="array" ref="K253">IFERROR(
INDEX(REPORTE_DROPI!S:S,
MATCH($T253, REPORTE_DROPI!B:B, 0)
),
""
)</f>
        <v/>
      </c>
      <c r="L253" s="118">
        <f>IF(
  O253&lt;&gt;"DEVOLUCION",
  "",
  IF(
    T253="",
    "",
    SUMIF(DEVOLUCION!F:F, T253, DEVOLUCION!D:D)
  )
)
</f>
        <v>5.07</v>
      </c>
      <c r="M253" s="118" t="s">
        <v>5877</v>
      </c>
      <c r="N253" s="161" t="s">
        <v>6586</v>
      </c>
      <c r="O253" s="118" t="str">
        <f t="array" ref="O253">IFERROR(
VLOOKUP(
TRIM(CLEAN(
INDEX(REPORTE_DROPI!K:K,
MATCH(T253, REPORTE_DROPI!B:B, 0)
))),
{
TRIM(CLEAN(MAPA_ESTADOS!A:A)) ,
MAPA_ESTADOS!B:B
},
2,
FALSE
),
"REVISAR"
)</f>
        <v>DEVOLUCION</v>
      </c>
      <c r="P253" s="118" t="s">
        <v>5692</v>
      </c>
      <c r="Q253" s="153">
        <f t="shared" si="1"/>
        <v>0</v>
      </c>
      <c r="R253" s="163"/>
      <c r="S253" s="163"/>
      <c r="T253" s="118">
        <f t="array" ref="T253">IFERROR(
INDEX(REPORTE_DROPI!B:B,
MATCH(
CLEAN(TRIM(C253)),
CLEAN(TRIM(REPORTE_DROPI!E:E)),
0
)
),
""
)
</f>
        <v>4442329</v>
      </c>
      <c r="U253" s="163"/>
      <c r="V253" s="164"/>
    </row>
    <row r="254" ht="22.5" hidden="1" customHeight="1">
      <c r="A254" s="161">
        <v>253.0</v>
      </c>
      <c r="B254" s="119">
        <v>46061.0</v>
      </c>
      <c r="C254" s="118" t="s">
        <v>6587</v>
      </c>
      <c r="D254" s="118" t="str">
        <f>IFERROR(__xludf.DUMMYFUNCTION("IFERROR( INDEX( FILTER( 'NOMBRE DE PRODUCTOS'!B:B, REGEXMATCH( UPPER( INDEX( REPORTE_DROPI!AC:AC, MATCH(T254, REPORTE_DROPI!B:B, 0) ) ), UPPER('NOMBRE DE PRODUCTOS'!A:A) ) ), 1 ), ""REVISAR"" )"),"FilmPro®")</f>
        <v>FilmPro®</v>
      </c>
      <c r="E254" s="120">
        <f t="array" ref="E254">IF(
UPPER(TRIM(CLEAN($O254)))="ENTREGADO",
IFERROR(
INDEX(REPORTE_DROPI!Y:Y,
MATCH($T254, REPORTE_DROPI!B:B, 0)
),
""
),
""
)
</f>
        <v>4.4</v>
      </c>
      <c r="F254" s="162">
        <v>2.0</v>
      </c>
      <c r="G254" s="122">
        <f t="array" ref="G254">IF(
UPPER(TRIM(CLEAN($O254)))="ENTREGADO",
IFERROR(
INDEX(REPORTE_DROPI!R:R,
MATCH($T254, REPORTE_DROPI!B:B, 0)
),
""
),
""
)
</f>
        <v>25</v>
      </c>
      <c r="H254" s="118" t="s">
        <v>3727</v>
      </c>
      <c r="I254" s="118" t="s">
        <v>3731</v>
      </c>
      <c r="J254" s="121">
        <f t="array" ref="J254">IF(
UPPER(TRIM(CLEAN($O254)))="ENTREGADO",
IFERROR(
INDEX(REPORTE_DROPI!T:T,
MATCH($T254, REPORTE_DROPI!B:B, 0)
),
""
),
""
)
</f>
        <v>5.96</v>
      </c>
      <c r="K254" s="118">
        <f t="array" ref="K254">IFERROR(
INDEX(REPORTE_DROPI!S:S,
MATCH($T254, REPORTE_DROPI!B:B, 0)
),
""
)</f>
        <v>14.64</v>
      </c>
      <c r="L254" s="118" t="str">
        <f>IF(
  O254&lt;&gt;"DEVOLUCION",
  "",
  IF(
    T254="",
    "",
    SUMIF(DEVOLUCION!F:F, T254, DEVOLUCION!D:D)
  )
)
</f>
        <v/>
      </c>
      <c r="M254" s="118" t="s">
        <v>5877</v>
      </c>
      <c r="N254" s="161" t="s">
        <v>6588</v>
      </c>
      <c r="O254" s="118" t="str">
        <f t="array" ref="O254">IFERROR(
VLOOKUP(
TRIM(CLEAN(
INDEX(REPORTE_DROPI!K:K,
MATCH(T254, REPORTE_DROPI!B:B, 0)
))),
{
TRIM(CLEAN(MAPA_ESTADOS!A:A)) ,
MAPA_ESTADOS!B:B
},
2,
FALSE
),
"REVISAR"
)</f>
        <v>ENTREGADO</v>
      </c>
      <c r="P254" s="118" t="s">
        <v>5692</v>
      </c>
      <c r="Q254" s="153">
        <f t="shared" si="1"/>
        <v>0</v>
      </c>
      <c r="R254" s="163"/>
      <c r="S254" s="163"/>
      <c r="T254" s="118">
        <f t="array" ref="T254">IFERROR(
INDEX(REPORTE_DROPI!B:B,
MATCH(
CLEAN(TRIM(C254)),
CLEAN(TRIM(REPORTE_DROPI!E:E)),
0
)
),
""
)
</f>
        <v>4442327</v>
      </c>
      <c r="U254" s="163" t="s">
        <v>6589</v>
      </c>
      <c r="V254" s="164"/>
    </row>
    <row r="255" ht="22.5" hidden="1" customHeight="1">
      <c r="A255" s="161">
        <v>254.0</v>
      </c>
      <c r="B255" s="119">
        <v>46061.0</v>
      </c>
      <c r="C255" s="118" t="s">
        <v>6590</v>
      </c>
      <c r="D255" s="118" t="str">
        <f>IFERROR(__xludf.DUMMYFUNCTION("IFERROR( INDEX( FILTER( 'NOMBRE DE PRODUCTOS'!B:B, REGEXMATCH( UPPER( INDEX( REPORTE_DROPI!AC:AC, MATCH(T255, REPORTE_DROPI!B:B, 0) ) ), UPPER('NOMBRE DE PRODUCTOS'!A:A) ) ), 1 ), ""REVISAR"" )"),"FilmPro®")</f>
        <v>FilmPro®</v>
      </c>
      <c r="E255" s="120" t="str">
        <f t="array" ref="E255">IF(
UPPER(TRIM(CLEAN($O255)))="ENTREGADO",
IFERROR(
INDEX(REPORTE_DROPI!Y:Y,
MATCH($T255, REPORTE_DROPI!B:B, 0)
),
""
),
""
)
</f>
        <v/>
      </c>
      <c r="F255" s="162">
        <v>1.0</v>
      </c>
      <c r="G255" s="122" t="str">
        <f t="array" ref="G255">IF(
UPPER(TRIM(CLEAN($O255)))="ENTREGADO",
IFERROR(
INDEX(REPORTE_DROPI!R:R,
MATCH($T255, REPORTE_DROPI!B:B, 0)
),
""
),
""
)
</f>
        <v/>
      </c>
      <c r="H255" s="118" t="s">
        <v>3727</v>
      </c>
      <c r="I255" s="118" t="s">
        <v>3740</v>
      </c>
      <c r="J255" s="121" t="str">
        <f t="array" ref="J255">IF(
UPPER(TRIM(CLEAN($O255)))="ENTREGADO",
IFERROR(
INDEX(REPORTE_DROPI!T:T,
MATCH($T255, REPORTE_DROPI!B:B, 0)
),
""
),
""
)
</f>
        <v/>
      </c>
      <c r="K255" s="118" t="str">
        <f t="array" ref="K255">IFERROR(
INDEX(REPORTE_DROPI!S:S,
MATCH($T255, REPORTE_DROPI!B:B, 0)
),
""
)</f>
        <v/>
      </c>
      <c r="L255" s="118" t="str">
        <f>IF(
  O255&lt;&gt;"DEVOLUCION",
  "",
  IF(
    T255="",
    "",
    SUMIF(DEVOLUCION!F:F, T255, DEVOLUCION!D:D)
  )
)
</f>
        <v/>
      </c>
      <c r="M255" s="118" t="s">
        <v>5877</v>
      </c>
      <c r="N255" s="161" t="s">
        <v>6591</v>
      </c>
      <c r="O255" s="118" t="str">
        <f t="array" ref="O255">IFERROR(
VLOOKUP(
TRIM(CLEAN(
INDEX(REPORTE_DROPI!K:K,
MATCH(T255, REPORTE_DROPI!B:B, 0)
))),
{
TRIM(CLEAN(MAPA_ESTADOS!A:A)) ,
MAPA_ESTADOS!B:B
},
2,
FALSE
),
"REVISAR"
)</f>
        <v>PENDIENTE</v>
      </c>
      <c r="P255" s="118" t="s">
        <v>5692</v>
      </c>
      <c r="Q255" s="153">
        <f t="shared" si="1"/>
        <v>0</v>
      </c>
      <c r="R255" s="163"/>
      <c r="S255" s="163"/>
      <c r="T255" s="118">
        <f t="array" ref="T255">IFERROR(
INDEX(REPORTE_DROPI!B:B,
MATCH(
CLEAN(TRIM(C255)),
CLEAN(TRIM(REPORTE_DROPI!E:E)),
0
)
),
""
)
</f>
        <v>4727865</v>
      </c>
      <c r="U255" s="163" t="s">
        <v>6592</v>
      </c>
      <c r="V255" s="164"/>
    </row>
    <row r="256" ht="22.5" hidden="1" customHeight="1">
      <c r="A256" s="161">
        <v>255.0</v>
      </c>
      <c r="B256" s="119">
        <v>46061.0</v>
      </c>
      <c r="C256" s="118" t="s">
        <v>6593</v>
      </c>
      <c r="D256" s="118" t="str">
        <f>IFERROR(__xludf.DUMMYFUNCTION("IFERROR( INDEX( FILTER( 'NOMBRE DE PRODUCTOS'!B:B, REGEXMATCH( UPPER( INDEX( REPORTE_DROPI!AC:AC, MATCH(T256, REPORTE_DROPI!B:B, 0) ) ), UPPER('NOMBRE DE PRODUCTOS'!A:A) ) ), 1 ), ""REVISAR"" )"),"FilmPro®")</f>
        <v>FilmPro®</v>
      </c>
      <c r="E256" s="120" t="str">
        <f t="array" ref="E256">IF(
UPPER(TRIM(CLEAN($O256)))="ENTREGADO",
IFERROR(
INDEX(REPORTE_DROPI!Y:Y,
MATCH($T256, REPORTE_DROPI!B:B, 0)
),
""
),
""
)
</f>
        <v/>
      </c>
      <c r="F256" s="162">
        <v>3.0</v>
      </c>
      <c r="G256" s="122" t="str">
        <f t="array" ref="G256">IF(
UPPER(TRIM(CLEAN($O256)))="ENTREGADO",
IFERROR(
INDEX(REPORTE_DROPI!R:R,
MATCH($T256, REPORTE_DROPI!B:B, 0)
),
""
),
""
)
</f>
        <v/>
      </c>
      <c r="H256" s="118" t="s">
        <v>3727</v>
      </c>
      <c r="I256" s="118" t="s">
        <v>3728</v>
      </c>
      <c r="J256" s="121" t="str">
        <f t="array" ref="J256">IF(
UPPER(TRIM(CLEAN($O256)))="ENTREGADO",
IFERROR(
INDEX(REPORTE_DROPI!T:T,
MATCH($T256, REPORTE_DROPI!B:B, 0)
),
""
),
""
)
</f>
        <v/>
      </c>
      <c r="K256" s="118" t="str">
        <f t="array" ref="K256">IFERROR(
INDEX(REPORTE_DROPI!S:S,
MATCH($T256, REPORTE_DROPI!B:B, 0)
),
""
)</f>
        <v/>
      </c>
      <c r="L256" s="118" t="str">
        <f>IF(
  O256&lt;&gt;"DEVOLUCION",
  "",
  IF(
    T256="",
    "",
    SUMIF(DEVOLUCION!F:F, T256, DEVOLUCION!D:D)
  )
)
</f>
        <v/>
      </c>
      <c r="M256" s="118" t="s">
        <v>5877</v>
      </c>
      <c r="N256" s="161" t="s">
        <v>6594</v>
      </c>
      <c r="O256" s="118" t="str">
        <f t="array" ref="O256">IFERROR(
VLOOKUP(
TRIM(CLEAN(
INDEX(REPORTE_DROPI!K:K,
MATCH(T256, REPORTE_DROPI!B:B, 0)
))),
{
TRIM(CLEAN(MAPA_ESTADOS!A:A)) ,
MAPA_ESTADOS!B:B
},
2,
FALSE
),
"REVISAR"
)</f>
        <v>PENDIENTE</v>
      </c>
      <c r="P256" s="118" t="s">
        <v>6494</v>
      </c>
      <c r="Q256" s="153">
        <f t="shared" si="1"/>
        <v>0</v>
      </c>
      <c r="R256" s="163"/>
      <c r="S256" s="163"/>
      <c r="T256" s="118">
        <f t="array" ref="T256">IFERROR(
INDEX(REPORTE_DROPI!B:B,
MATCH(
CLEAN(TRIM(C256)),
CLEAN(TRIM(REPORTE_DROPI!E:E)),
0
)
),
""
)
</f>
        <v>4442321</v>
      </c>
      <c r="U256" s="163" t="s">
        <v>6595</v>
      </c>
      <c r="V256" s="164"/>
    </row>
    <row r="257" ht="22.5" hidden="1" customHeight="1">
      <c r="A257" s="161">
        <v>256.0</v>
      </c>
      <c r="B257" s="119">
        <v>46061.0</v>
      </c>
      <c r="C257" s="118" t="s">
        <v>6596</v>
      </c>
      <c r="D257" s="118" t="str">
        <f>IFERROR(__xludf.DUMMYFUNCTION("IFERROR( INDEX( FILTER( 'NOMBRE DE PRODUCTOS'!B:B, REGEXMATCH( UPPER( INDEX( REPORTE_DROPI!AC:AC, MATCH(T257, REPORTE_DROPI!B:B, 0) ) ), UPPER('NOMBRE DE PRODUCTOS'!A:A) ) ), 1 ), ""REVISAR"" )"),"FilmPro®")</f>
        <v>FilmPro®</v>
      </c>
      <c r="E257" s="120" t="str">
        <f t="array" ref="E257">IF(
UPPER(TRIM(CLEAN($O257)))="ENTREGADO",
IFERROR(
INDEX(REPORTE_DROPI!Y:Y,
MATCH($T257, REPORTE_DROPI!B:B, 0)
),
""
),
""
)
</f>
        <v/>
      </c>
      <c r="F257" s="162">
        <v>3.0</v>
      </c>
      <c r="G257" s="122" t="str">
        <f t="array" ref="G257">IF(
UPPER(TRIM(CLEAN($O257)))="ENTREGADO",
IFERROR(
INDEX(REPORTE_DROPI!R:R,
MATCH($T257, REPORTE_DROPI!B:B, 0)
),
""
),
""
)
</f>
        <v/>
      </c>
      <c r="H257" s="118" t="s">
        <v>3727</v>
      </c>
      <c r="I257" s="118" t="s">
        <v>3742</v>
      </c>
      <c r="J257" s="121" t="str">
        <f t="array" ref="J257">IF(
UPPER(TRIM(CLEAN($O257)))="ENTREGADO",
IFERROR(
INDEX(REPORTE_DROPI!T:T,
MATCH($T257, REPORTE_DROPI!B:B, 0)
),
""
),
""
)
</f>
        <v/>
      </c>
      <c r="K257" s="118" t="str">
        <f t="array" ref="K257">IFERROR(
INDEX(REPORTE_DROPI!S:S,
MATCH($T257, REPORTE_DROPI!B:B, 0)
),
""
)</f>
        <v/>
      </c>
      <c r="L257" s="118" t="str">
        <f>IF(
  O257&lt;&gt;"DEVOLUCION",
  "",
  IF(
    T257="",
    "",
    SUMIF(DEVOLUCION!F:F, T257, DEVOLUCION!D:D)
  )
)
</f>
        <v/>
      </c>
      <c r="M257" s="118" t="s">
        <v>5877</v>
      </c>
      <c r="N257" s="161" t="s">
        <v>6597</v>
      </c>
      <c r="O257" s="118" t="str">
        <f t="array" ref="O257">IFERROR(
VLOOKUP(
TRIM(CLEAN(
INDEX(REPORTE_DROPI!K:K,
MATCH(T257, REPORTE_DROPI!B:B, 0)
))),
{
TRIM(CLEAN(MAPA_ESTADOS!A:A)) ,
MAPA_ESTADOS!B:B
},
2,
FALSE
),
"REVISAR"
)</f>
        <v>PENDIENTE</v>
      </c>
      <c r="P257" s="118" t="s">
        <v>6568</v>
      </c>
      <c r="Q257" s="153">
        <f t="shared" si="1"/>
        <v>0</v>
      </c>
      <c r="R257" s="163"/>
      <c r="S257" s="163"/>
      <c r="T257" s="118">
        <f t="array" ref="T257">IFERROR(
INDEX(REPORTE_DROPI!B:B,
MATCH(
CLEAN(TRIM(C257)),
CLEAN(TRIM(REPORTE_DROPI!E:E)),
0
)
),
""
)
</f>
        <v>4442318</v>
      </c>
      <c r="U257" s="163" t="s">
        <v>6598</v>
      </c>
      <c r="V257" s="164"/>
    </row>
    <row r="258" ht="22.5" hidden="1" customHeight="1">
      <c r="A258" s="161">
        <v>257.0</v>
      </c>
      <c r="B258" s="119">
        <v>46061.0</v>
      </c>
      <c r="C258" s="118" t="s">
        <v>6599</v>
      </c>
      <c r="D258" s="118" t="str">
        <f>IFERROR(__xludf.DUMMYFUNCTION("IFERROR( INDEX( FILTER( 'NOMBRE DE PRODUCTOS'!B:B, REGEXMATCH( UPPER( INDEX( REPORTE_DROPI!AC:AC, MATCH(T258, REPORTE_DROPI!B:B, 0) ) ), UPPER('NOMBRE DE PRODUCTOS'!A:A) ) ), 1 ), ""REVISAR"" )"),"Cuchillo Tazaki™")</f>
        <v>Cuchillo Tazaki™</v>
      </c>
      <c r="E258" s="120">
        <f t="array" ref="E258">IF(
UPPER(TRIM(CLEAN($O258)))="ENTREGADO",
IFERROR(
INDEX(REPORTE_DROPI!Y:Y,
MATCH($T258, REPORTE_DROPI!B:B, 0)
),
""
),
""
)
</f>
        <v>7.8</v>
      </c>
      <c r="F258" s="162">
        <v>3.0</v>
      </c>
      <c r="G258" s="122">
        <f t="array" ref="G258">IF(
UPPER(TRIM(CLEAN($O258)))="ENTREGADO",
IFERROR(
INDEX(REPORTE_DROPI!R:R,
MATCH($T258, REPORTE_DROPI!B:B, 0)
),
""
),
""
)
</f>
        <v>27</v>
      </c>
      <c r="H258" s="118" t="s">
        <v>3727</v>
      </c>
      <c r="I258" s="118" t="s">
        <v>3912</v>
      </c>
      <c r="J258" s="121">
        <f t="array" ref="J258">IF(
UPPER(TRIM(CLEAN($O258)))="ENTREGADO",
IFERROR(
INDEX(REPORTE_DROPI!T:T,
MATCH($T258, REPORTE_DROPI!B:B, 0)
),
""
),
""
)
</f>
        <v>6.03</v>
      </c>
      <c r="K258" s="118">
        <f t="array" ref="K258">IFERROR(
INDEX(REPORTE_DROPI!S:S,
MATCH($T258, REPORTE_DROPI!B:B, 0)
),
""
)</f>
        <v>13.17</v>
      </c>
      <c r="L258" s="118" t="str">
        <f>IF(
  O258&lt;&gt;"DEVOLUCION",
  "",
  IF(
    T258="",
    "",
    SUMIF(DEVOLUCION!F:F, T258, DEVOLUCION!D:D)
  )
)
</f>
        <v/>
      </c>
      <c r="M258" s="118" t="s">
        <v>5877</v>
      </c>
      <c r="N258" s="161" t="s">
        <v>6600</v>
      </c>
      <c r="O258" s="118" t="str">
        <f t="array" ref="O258">IFERROR(
VLOOKUP(
TRIM(CLEAN(
INDEX(REPORTE_DROPI!K:K,
MATCH(T258, REPORTE_DROPI!B:B, 0)
))),
{
TRIM(CLEAN(MAPA_ESTADOS!A:A)) ,
MAPA_ESTADOS!B:B
},
2,
FALSE
),
"REVISAR"
)</f>
        <v>ENTREGADO</v>
      </c>
      <c r="P258" s="118" t="s">
        <v>5692</v>
      </c>
      <c r="Q258" s="153">
        <f t="shared" si="1"/>
        <v>0</v>
      </c>
      <c r="R258" s="163"/>
      <c r="S258" s="163"/>
      <c r="T258" s="118">
        <f t="array" ref="T258">IFERROR(
INDEX(REPORTE_DROPI!B:B,
MATCH(
CLEAN(TRIM(C258)),
CLEAN(TRIM(REPORTE_DROPI!E:E)),
0
)
),
""
)
</f>
        <v>4442317</v>
      </c>
      <c r="U258" s="163" t="s">
        <v>6601</v>
      </c>
      <c r="V258" s="164"/>
    </row>
    <row r="259" ht="22.5" hidden="1" customHeight="1">
      <c r="A259" s="161">
        <v>258.0</v>
      </c>
      <c r="B259" s="119">
        <v>46061.0</v>
      </c>
      <c r="C259" s="118" t="s">
        <v>6602</v>
      </c>
      <c r="D259" s="118" t="str">
        <f>IFERROR(__xludf.DUMMYFUNCTION("IFERROR( INDEX( FILTER( 'NOMBRE DE PRODUCTOS'!B:B, REGEXMATCH( UPPER( INDEX( REPORTE_DROPI!AC:AC, MATCH(T259, REPORTE_DROPI!B:B, 0) ) ), UPPER('NOMBRE DE PRODUCTOS'!A:A) ) ), 1 ), ""REVISAR"" )"),"Cuchillo Tazaki™")</f>
        <v>Cuchillo Tazaki™</v>
      </c>
      <c r="E259" s="120">
        <f t="array" ref="E259">IF(
UPPER(TRIM(CLEAN($O259)))="ENTREGADO",
IFERROR(
INDEX(REPORTE_DROPI!Y:Y,
MATCH($T259, REPORTE_DROPI!B:B, 0)
),
""
),
""
)
</f>
        <v>5.2</v>
      </c>
      <c r="F259" s="162">
        <v>2.0</v>
      </c>
      <c r="G259" s="122">
        <f t="array" ref="G259">IF(
UPPER(TRIM(CLEAN($O259)))="ENTREGADO",
IFERROR(
INDEX(REPORTE_DROPI!R:R,
MATCH($T259, REPORTE_DROPI!B:B, 0)
),
""
),
""
)
</f>
        <v>22</v>
      </c>
      <c r="H259" s="118" t="s">
        <v>3727</v>
      </c>
      <c r="I259" s="118" t="s">
        <v>3731</v>
      </c>
      <c r="J259" s="121">
        <f t="array" ref="J259">IF(
UPPER(TRIM(CLEAN($O259)))="ENTREGADO",
IFERROR(
INDEX(REPORTE_DROPI!T:T,
MATCH($T259, REPORTE_DROPI!B:B, 0)
),
""
),
""
)
</f>
        <v>5.84</v>
      </c>
      <c r="K259" s="118">
        <f t="array" ref="K259">IFERROR(
INDEX(REPORTE_DROPI!S:S,
MATCH($T259, REPORTE_DROPI!B:B, 0)
),
""
)</f>
        <v>10.96</v>
      </c>
      <c r="L259" s="118" t="str">
        <f>IF(
  O259&lt;&gt;"DEVOLUCION",
  "",
  IF(
    T259="",
    "",
    SUMIF(DEVOLUCION!F:F, T259, DEVOLUCION!D:D)
  )
)
</f>
        <v/>
      </c>
      <c r="M259" s="118" t="s">
        <v>5877</v>
      </c>
      <c r="N259" s="161" t="s">
        <v>6603</v>
      </c>
      <c r="O259" s="118" t="str">
        <f t="array" ref="O259">IFERROR(
VLOOKUP(
TRIM(CLEAN(
INDEX(REPORTE_DROPI!K:K,
MATCH(T259, REPORTE_DROPI!B:B, 0)
))),
{
TRIM(CLEAN(MAPA_ESTADOS!A:A)) ,
MAPA_ESTADOS!B:B
},
2,
FALSE
),
"REVISAR"
)</f>
        <v>ENTREGADO</v>
      </c>
      <c r="P259" s="118" t="s">
        <v>5692</v>
      </c>
      <c r="Q259" s="153">
        <f t="shared" si="1"/>
        <v>0</v>
      </c>
      <c r="R259" s="163"/>
      <c r="S259" s="163"/>
      <c r="T259" s="118">
        <f t="array" ref="T259">IFERROR(
INDEX(REPORTE_DROPI!B:B,
MATCH(
CLEAN(TRIM(C259)),
CLEAN(TRIM(REPORTE_DROPI!E:E)),
0
)
),
""
)
</f>
        <v>4442316</v>
      </c>
      <c r="U259" s="163" t="s">
        <v>6604</v>
      </c>
      <c r="V259" s="164"/>
    </row>
    <row r="260" ht="22.5" hidden="1" customHeight="1">
      <c r="A260" s="161">
        <v>259.0</v>
      </c>
      <c r="B260" s="119">
        <v>46061.0</v>
      </c>
      <c r="C260" s="118" t="s">
        <v>6605</v>
      </c>
      <c r="D260" s="118" t="str">
        <f>IFERROR(__xludf.DUMMYFUNCTION("IFERROR( INDEX( FILTER( 'NOMBRE DE PRODUCTOS'!B:B, REGEXMATCH( UPPER( INDEX( REPORTE_DROPI!AC:AC, MATCH(T260, REPORTE_DROPI!B:B, 0) ) ), UPPER('NOMBRE DE PRODUCTOS'!A:A) ) ), 1 ), ""REVISAR"" )"),"FilmPro®")</f>
        <v>FilmPro®</v>
      </c>
      <c r="E260" s="120" t="str">
        <f t="array" ref="E260">IF(
UPPER(TRIM(CLEAN($O260)))="ENTREGADO",
IFERROR(
INDEX(REPORTE_DROPI!Y:Y,
MATCH($T260, REPORTE_DROPI!B:B, 0)
),
""
),
""
)
</f>
        <v/>
      </c>
      <c r="F260" s="162">
        <v>2.0</v>
      </c>
      <c r="G260" s="122" t="str">
        <f t="array" ref="G260">IF(
UPPER(TRIM(CLEAN($O260)))="ENTREGADO",
IFERROR(
INDEX(REPORTE_DROPI!R:R,
MATCH($T260, REPORTE_DROPI!B:B, 0)
),
""
),
""
)
</f>
        <v/>
      </c>
      <c r="H260" s="118" t="s">
        <v>3727</v>
      </c>
      <c r="I260" s="118" t="s">
        <v>3740</v>
      </c>
      <c r="J260" s="121" t="str">
        <f t="array" ref="J260">IF(
UPPER(TRIM(CLEAN($O260)))="ENTREGADO",
IFERROR(
INDEX(REPORTE_DROPI!T:T,
MATCH($T260, REPORTE_DROPI!B:B, 0)
),
""
),
""
)
</f>
        <v/>
      </c>
      <c r="K260" s="118" t="str">
        <f t="array" ref="K260">IFERROR(
INDEX(REPORTE_DROPI!S:S,
MATCH($T260, REPORTE_DROPI!B:B, 0)
),
""
)</f>
        <v/>
      </c>
      <c r="L260" s="118">
        <f>IF(
  O260&lt;&gt;"DEVOLUCION",
  "",
  IF(
    T260="",
    "",
    SUMIF(DEVOLUCION!F:F, T260, DEVOLUCION!D:D)
  )
)
</f>
        <v>4.52</v>
      </c>
      <c r="M260" s="118" t="s">
        <v>5877</v>
      </c>
      <c r="N260" s="161" t="s">
        <v>6606</v>
      </c>
      <c r="O260" s="118" t="str">
        <f t="array" ref="O260">IFERROR(
VLOOKUP(
TRIM(CLEAN(
INDEX(REPORTE_DROPI!K:K,
MATCH(T260, REPORTE_DROPI!B:B, 0)
))),
{
TRIM(CLEAN(MAPA_ESTADOS!A:A)) ,
MAPA_ESTADOS!B:B
},
2,
FALSE
),
"REVISAR"
)</f>
        <v>DEVOLUCION</v>
      </c>
      <c r="P260" s="118" t="s">
        <v>6456</v>
      </c>
      <c r="Q260" s="153">
        <f t="shared" si="1"/>
        <v>0</v>
      </c>
      <c r="R260" s="163"/>
      <c r="S260" s="163"/>
      <c r="T260" s="118">
        <f t="array" ref="T260">IFERROR(
INDEX(REPORTE_DROPI!B:B,
MATCH(
CLEAN(TRIM(C260)),
CLEAN(TRIM(REPORTE_DROPI!E:E)),
0
)
),
""
)
</f>
        <v>4442315</v>
      </c>
      <c r="U260" s="163" t="s">
        <v>6607</v>
      </c>
      <c r="V260" s="164"/>
    </row>
    <row r="261" ht="22.5" hidden="1" customHeight="1">
      <c r="A261" s="161">
        <v>260.0</v>
      </c>
      <c r="B261" s="119">
        <v>46061.0</v>
      </c>
      <c r="C261" s="118" t="s">
        <v>6608</v>
      </c>
      <c r="D261" s="118" t="str">
        <f>IFERROR(__xludf.DUMMYFUNCTION("IFERROR( INDEX( FILTER( 'NOMBRE DE PRODUCTOS'!B:B, REGEXMATCH( UPPER( INDEX( REPORTE_DROPI!AC:AC, MATCH(T261, REPORTE_DROPI!B:B, 0) ) ), UPPER('NOMBRE DE PRODUCTOS'!A:A) ) ), 1 ), ""REVISAR"" )"),"Cuchillo Tazaki™")</f>
        <v>Cuchillo Tazaki™</v>
      </c>
      <c r="E261" s="120">
        <f t="array" ref="E261">IF(
UPPER(TRIM(CLEAN($O261)))="ENTREGADO",
IFERROR(
INDEX(REPORTE_DROPI!Y:Y,
MATCH($T261, REPORTE_DROPI!B:B, 0)
),
""
),
""
)
</f>
        <v>5.2</v>
      </c>
      <c r="F261" s="162">
        <v>2.0</v>
      </c>
      <c r="G261" s="122">
        <f t="array" ref="G261">IF(
UPPER(TRIM(CLEAN($O261)))="ENTREGADO",
IFERROR(
INDEX(REPORTE_DROPI!R:R,
MATCH($T261, REPORTE_DROPI!B:B, 0)
),
""
),
""
)
</f>
        <v>22</v>
      </c>
      <c r="H261" s="118" t="s">
        <v>3727</v>
      </c>
      <c r="I261" s="118" t="s">
        <v>3735</v>
      </c>
      <c r="J261" s="121">
        <f t="array" ref="J261">IF(
UPPER(TRIM(CLEAN($O261)))="ENTREGADO",
IFERROR(
INDEX(REPORTE_DROPI!T:T,
MATCH($T261, REPORTE_DROPI!B:B, 0)
),
""
),
""
)
</f>
        <v>5.84</v>
      </c>
      <c r="K261" s="118">
        <f t="array" ref="K261">IFERROR(
INDEX(REPORTE_DROPI!S:S,
MATCH($T261, REPORTE_DROPI!B:B, 0)
),
""
)</f>
        <v>10.96</v>
      </c>
      <c r="L261" s="118" t="str">
        <f>IF(
  O261&lt;&gt;"DEVOLUCION",
  "",
  IF(
    T261="",
    "",
    SUMIF(DEVOLUCION!F:F, T261, DEVOLUCION!D:D)
  )
)
</f>
        <v/>
      </c>
      <c r="M261" s="118" t="s">
        <v>5877</v>
      </c>
      <c r="N261" s="161" t="s">
        <v>6609</v>
      </c>
      <c r="O261" s="118" t="str">
        <f t="array" ref="O261">IFERROR(
VLOOKUP(
TRIM(CLEAN(
INDEX(REPORTE_DROPI!K:K,
MATCH(T261, REPORTE_DROPI!B:B, 0)
))),
{
TRIM(CLEAN(MAPA_ESTADOS!A:A)) ,
MAPA_ESTADOS!B:B
},
2,
FALSE
),
"REVISAR"
)</f>
        <v>ENTREGADO</v>
      </c>
      <c r="P261" s="118" t="s">
        <v>5692</v>
      </c>
      <c r="Q261" s="153">
        <f t="shared" si="1"/>
        <v>0</v>
      </c>
      <c r="R261" s="163"/>
      <c r="S261" s="163"/>
      <c r="T261" s="118">
        <f t="array" ref="T261">IFERROR(
INDEX(REPORTE_DROPI!B:B,
MATCH(
CLEAN(TRIM(C261)),
CLEAN(TRIM(REPORTE_DROPI!E:E)),
0
)
),
""
)
</f>
        <v>4442313</v>
      </c>
      <c r="U261" s="163">
        <v>4.5183137113E10</v>
      </c>
      <c r="V261" s="164"/>
    </row>
    <row r="262" ht="22.5" hidden="1" customHeight="1">
      <c r="A262" s="161">
        <v>261.0</v>
      </c>
      <c r="B262" s="119">
        <v>46061.0</v>
      </c>
      <c r="C262" s="118" t="s">
        <v>6610</v>
      </c>
      <c r="D262" s="118" t="str">
        <f>IFERROR(__xludf.DUMMYFUNCTION("IFERROR( INDEX( FILTER( 'NOMBRE DE PRODUCTOS'!B:B, REGEXMATCH( UPPER( INDEX( REPORTE_DROPI!AC:AC, MATCH(T262, REPORTE_DROPI!B:B, 0) ) ), UPPER('NOMBRE DE PRODUCTOS'!A:A) ) ), 1 ), ""REVISAR"" )"),"FilmPro®")</f>
        <v>FilmPro®</v>
      </c>
      <c r="E262" s="120">
        <f t="array" ref="E262">IF(
UPPER(TRIM(CLEAN($O262)))="ENTREGADO",
IFERROR(
INDEX(REPORTE_DROPI!Y:Y,
MATCH($T262, REPORTE_DROPI!B:B, 0)
),
""
),
""
)
</f>
        <v>4.4</v>
      </c>
      <c r="F262" s="162">
        <v>2.0</v>
      </c>
      <c r="G262" s="122">
        <f t="array" ref="G262">IF(
UPPER(TRIM(CLEAN($O262)))="ENTREGADO",
IFERROR(
INDEX(REPORTE_DROPI!R:R,
MATCH($T262, REPORTE_DROPI!B:B, 0)
),
""
),
""
)
</f>
        <v>25</v>
      </c>
      <c r="H262" s="118" t="s">
        <v>3727</v>
      </c>
      <c r="I262" s="118" t="s">
        <v>3759</v>
      </c>
      <c r="J262" s="121">
        <f t="array" ref="J262">IF(
UPPER(TRIM(CLEAN($O262)))="ENTREGADO",
IFERROR(
INDEX(REPORTE_DROPI!T:T,
MATCH($T262, REPORTE_DROPI!B:B, 0)
),
""
),
""
)
</f>
        <v>5.96</v>
      </c>
      <c r="K262" s="118">
        <f t="array" ref="K262">IFERROR(
INDEX(REPORTE_DROPI!S:S,
MATCH($T262, REPORTE_DROPI!B:B, 0)
),
""
)</f>
        <v>14.64</v>
      </c>
      <c r="L262" s="118" t="str">
        <f>IF(
  O262&lt;&gt;"DEVOLUCION",
  "",
  IF(
    T262="",
    "",
    SUMIF(DEVOLUCION!F:F, T262, DEVOLUCION!D:D)
  )
)
</f>
        <v/>
      </c>
      <c r="M262" s="118" t="s">
        <v>5877</v>
      </c>
      <c r="N262" s="161" t="s">
        <v>6611</v>
      </c>
      <c r="O262" s="118" t="str">
        <f t="array" ref="O262">IFERROR(
VLOOKUP(
TRIM(CLEAN(
INDEX(REPORTE_DROPI!K:K,
MATCH(T262, REPORTE_DROPI!B:B, 0)
))),
{
TRIM(CLEAN(MAPA_ESTADOS!A:A)) ,
MAPA_ESTADOS!B:B
},
2,
FALSE
),
"REVISAR"
)</f>
        <v>ENTREGADO</v>
      </c>
      <c r="P262" s="118" t="s">
        <v>5692</v>
      </c>
      <c r="Q262" s="153">
        <f t="shared" si="1"/>
        <v>0</v>
      </c>
      <c r="R262" s="163"/>
      <c r="S262" s="163"/>
      <c r="T262" s="118">
        <f t="array" ref="T262">IFERROR(
INDEX(REPORTE_DROPI!B:B,
MATCH(
CLEAN(TRIM(C262)),
CLEAN(TRIM(REPORTE_DROPI!E:E)),
0
)
),
""
)
</f>
        <v>4442312</v>
      </c>
      <c r="U262" s="163" t="s">
        <v>6612</v>
      </c>
      <c r="V262" s="164"/>
    </row>
    <row r="263" ht="22.5" hidden="1" customHeight="1">
      <c r="A263" s="161">
        <v>262.0</v>
      </c>
      <c r="B263" s="119">
        <v>46061.0</v>
      </c>
      <c r="C263" s="118" t="s">
        <v>6613</v>
      </c>
      <c r="D263" s="118" t="str">
        <f>IFERROR(__xludf.DUMMYFUNCTION("IFERROR( INDEX( FILTER( 'NOMBRE DE PRODUCTOS'!B:B, REGEXMATCH( UPPER( INDEX( REPORTE_DROPI!AC:AC, MATCH(T263, REPORTE_DROPI!B:B, 0) ) ), UPPER('NOMBRE DE PRODUCTOS'!A:A) ) ), 1 ), ""REVISAR"" )"),"Cuchillo Tazaki™")</f>
        <v>Cuchillo Tazaki™</v>
      </c>
      <c r="E263" s="120">
        <f t="array" ref="E263">IF(
UPPER(TRIM(CLEAN($O263)))="ENTREGADO",
IFERROR(
INDEX(REPORTE_DROPI!Y:Y,
MATCH($T263, REPORTE_DROPI!B:B, 0)
),
""
),
""
)
</f>
        <v>10.4</v>
      </c>
      <c r="F263" s="162">
        <v>4.0</v>
      </c>
      <c r="G263" s="122">
        <f t="array" ref="G263">IF(
UPPER(TRIM(CLEAN($O263)))="ENTREGADO",
IFERROR(
INDEX(REPORTE_DROPI!R:R,
MATCH($T263, REPORTE_DROPI!B:B, 0)
),
""
),
""
)
</f>
        <v>32</v>
      </c>
      <c r="H263" s="118" t="s">
        <v>3727</v>
      </c>
      <c r="I263" s="118" t="s">
        <v>3855</v>
      </c>
      <c r="J263" s="121">
        <f t="array" ref="J263">IF(
UPPER(TRIM(CLEAN($O263)))="ENTREGADO",
IFERROR(
INDEX(REPORTE_DROPI!T:T,
MATCH($T263, REPORTE_DROPI!B:B, 0)
),
""
),
""
)
</f>
        <v>7.85</v>
      </c>
      <c r="K263" s="118">
        <f t="array" ref="K263">IFERROR(
INDEX(REPORTE_DROPI!S:S,
MATCH($T263, REPORTE_DROPI!B:B, 0)
),
""
)</f>
        <v>13.75</v>
      </c>
      <c r="L263" s="118" t="str">
        <f>IF(
  O263&lt;&gt;"DEVOLUCION",
  "",
  IF(
    T263="",
    "",
    SUMIF(DEVOLUCION!F:F, T263, DEVOLUCION!D:D)
  )
)
</f>
        <v/>
      </c>
      <c r="M263" s="118" t="s">
        <v>5877</v>
      </c>
      <c r="N263" s="161" t="s">
        <v>6614</v>
      </c>
      <c r="O263" s="118" t="str">
        <f t="array" ref="O263">IFERROR(
VLOOKUP(
TRIM(CLEAN(
INDEX(REPORTE_DROPI!K:K,
MATCH(T263, REPORTE_DROPI!B:B, 0)
))),
{
TRIM(CLEAN(MAPA_ESTADOS!A:A)) ,
MAPA_ESTADOS!B:B
},
2,
FALSE
),
"REVISAR"
)</f>
        <v>ENTREGADO</v>
      </c>
      <c r="P263" s="118" t="s">
        <v>5692</v>
      </c>
      <c r="Q263" s="153">
        <f t="shared" si="1"/>
        <v>0</v>
      </c>
      <c r="R263" s="163"/>
      <c r="S263" s="163"/>
      <c r="T263" s="118">
        <f t="array" ref="T263">IFERROR(
INDEX(REPORTE_DROPI!B:B,
MATCH(
CLEAN(TRIM(C263)),
CLEAN(TRIM(REPORTE_DROPI!E:E)),
0
)
),
""
)
</f>
        <v>4460273</v>
      </c>
      <c r="U263" s="163">
        <v>1.90152191174E11</v>
      </c>
      <c r="V263" s="163">
        <v>4460273.0</v>
      </c>
    </row>
    <row r="264" ht="22.5" hidden="1" customHeight="1">
      <c r="A264" s="161">
        <v>263.0</v>
      </c>
      <c r="B264" s="119">
        <v>46061.0</v>
      </c>
      <c r="C264" s="118" t="s">
        <v>6615</v>
      </c>
      <c r="D264" s="118" t="str">
        <f>IFERROR(__xludf.DUMMYFUNCTION("IFERROR( INDEX( FILTER( 'NOMBRE DE PRODUCTOS'!B:B, REGEXMATCH( UPPER( INDEX( REPORTE_DROPI!AC:AC, MATCH(T264, REPORTE_DROPI!B:B, 0) ) ), UPPER('NOMBRE DE PRODUCTOS'!A:A) ) ), 1 ), ""REVISAR"" )"),"Llave Multifuncional 360™")</f>
        <v>Llave Multifuncional 360™</v>
      </c>
      <c r="E264" s="120">
        <f t="array" ref="E264">IF(
UPPER(TRIM(CLEAN($O264)))="ENTREGADO",
IFERROR(
INDEX(REPORTE_DROPI!Y:Y,
MATCH($T264, REPORTE_DROPI!B:B, 0)
),
""
),
""
)
</f>
        <v>10</v>
      </c>
      <c r="F264" s="162">
        <v>2.0</v>
      </c>
      <c r="G264" s="122">
        <f t="array" ref="G264">IF(
UPPER(TRIM(CLEAN($O264)))="ENTREGADO",
IFERROR(
INDEX(REPORTE_DROPI!R:R,
MATCH($T264, REPORTE_DROPI!B:B, 0)
),
""
),
""
)
</f>
        <v>28</v>
      </c>
      <c r="H264" s="118" t="s">
        <v>3727</v>
      </c>
      <c r="I264" s="118" t="s">
        <v>3728</v>
      </c>
      <c r="J264" s="121">
        <f t="array" ref="J264">IF(
UPPER(TRIM(CLEAN($O264)))="ENTREGADO",
IFERROR(
INDEX(REPORTE_DROPI!T:T,
MATCH($T264, REPORTE_DROPI!B:B, 0)
),
""
),
""
)
</f>
        <v>6.08</v>
      </c>
      <c r="K264" s="118">
        <f t="array" ref="K264">IFERROR(
INDEX(REPORTE_DROPI!S:S,
MATCH($T264, REPORTE_DROPI!B:B, 0)
),
""
)</f>
        <v>11.92</v>
      </c>
      <c r="L264" s="118" t="str">
        <f>IF(
  O264&lt;&gt;"DEVOLUCION",
  "",
  IF(
    T264="",
    "",
    SUMIF(DEVOLUCION!F:F, T264, DEVOLUCION!D:D)
  )
)
</f>
        <v/>
      </c>
      <c r="M264" s="118" t="s">
        <v>5877</v>
      </c>
      <c r="N264" s="161" t="s">
        <v>6616</v>
      </c>
      <c r="O264" s="118" t="str">
        <f t="array" ref="O264">IFERROR(
VLOOKUP(
TRIM(CLEAN(
INDEX(REPORTE_DROPI!K:K,
MATCH(T264, REPORTE_DROPI!B:B, 0)
))),
{
TRIM(CLEAN(MAPA_ESTADOS!A:A)) ,
MAPA_ESTADOS!B:B
},
2,
FALSE
),
"REVISAR"
)</f>
        <v>ENTREGADO</v>
      </c>
      <c r="P264" s="118" t="s">
        <v>5692</v>
      </c>
      <c r="Q264" s="153">
        <f t="shared" si="1"/>
        <v>0</v>
      </c>
      <c r="R264" s="163"/>
      <c r="S264" s="163"/>
      <c r="T264" s="118">
        <f t="array" ref="T264">IFERROR(
INDEX(REPORTE_DROPI!B:B,
MATCH(
CLEAN(TRIM(C264)),
CLEAN(TRIM(REPORTE_DROPI!E:E)),
0
)
),
""
)
</f>
        <v>4442310</v>
      </c>
      <c r="U264" s="163" t="s">
        <v>6617</v>
      </c>
      <c r="V264" s="164"/>
    </row>
    <row r="265" ht="22.5" hidden="1" customHeight="1">
      <c r="A265" s="161">
        <v>264.0</v>
      </c>
      <c r="B265" s="119">
        <v>46061.0</v>
      </c>
      <c r="C265" s="118" t="s">
        <v>6618</v>
      </c>
      <c r="D265" s="118" t="str">
        <f>IFERROR(__xludf.DUMMYFUNCTION("IFERROR( INDEX( FILTER( 'NOMBRE DE PRODUCTOS'!B:B, REGEXMATCH( UPPER( INDEX( REPORTE_DROPI!AC:AC, MATCH(T265, REPORTE_DROPI!B:B, 0) ) ), UPPER('NOMBRE DE PRODUCTOS'!A:A) ) ), 1 ), ""REVISAR"" )"),"Llave Multifuncional 360™")</f>
        <v>Llave Multifuncional 360™</v>
      </c>
      <c r="E265" s="120">
        <f t="array" ref="E265">IF(
UPPER(TRIM(CLEAN($O265)))="ENTREGADO",
IFERROR(
INDEX(REPORTE_DROPI!Y:Y,
MATCH($T265, REPORTE_DROPI!B:B, 0)
),
""
),
""
)
</f>
        <v>10</v>
      </c>
      <c r="F265" s="162">
        <v>2.0</v>
      </c>
      <c r="G265" s="122">
        <f t="array" ref="G265">IF(
UPPER(TRIM(CLEAN($O265)))="ENTREGADO",
IFERROR(
INDEX(REPORTE_DROPI!R:R,
MATCH($T265, REPORTE_DROPI!B:B, 0)
),
""
),
""
)
</f>
        <v>28</v>
      </c>
      <c r="H265" s="118" t="s">
        <v>3727</v>
      </c>
      <c r="I265" s="118" t="s">
        <v>3740</v>
      </c>
      <c r="J265" s="121">
        <f t="array" ref="J265">IF(
UPPER(TRIM(CLEAN($O265)))="ENTREGADO",
IFERROR(
INDEX(REPORTE_DROPI!T:T,
MATCH($T265, REPORTE_DROPI!B:B, 0)
),
""
),
""
)
</f>
        <v>6.08</v>
      </c>
      <c r="K265" s="118">
        <f t="array" ref="K265">IFERROR(
INDEX(REPORTE_DROPI!S:S,
MATCH($T265, REPORTE_DROPI!B:B, 0)
),
""
)</f>
        <v>11.92</v>
      </c>
      <c r="L265" s="118" t="str">
        <f>IF(
  O265&lt;&gt;"DEVOLUCION",
  "",
  IF(
    T265="",
    "",
    SUMIF(DEVOLUCION!F:F, T265, DEVOLUCION!D:D)
  )
)
</f>
        <v/>
      </c>
      <c r="M265" s="118" t="s">
        <v>5877</v>
      </c>
      <c r="N265" s="161" t="s">
        <v>6619</v>
      </c>
      <c r="O265" s="118" t="str">
        <f t="array" ref="O265">IFERROR(
VLOOKUP(
TRIM(CLEAN(
INDEX(REPORTE_DROPI!K:K,
MATCH(T265, REPORTE_DROPI!B:B, 0)
))),
{
TRIM(CLEAN(MAPA_ESTADOS!A:A)) ,
MAPA_ESTADOS!B:B
},
2,
FALSE
),
"REVISAR"
)</f>
        <v>ENTREGADO</v>
      </c>
      <c r="P265" s="118" t="s">
        <v>5692</v>
      </c>
      <c r="Q265" s="153">
        <f t="shared" si="1"/>
        <v>0</v>
      </c>
      <c r="R265" s="163"/>
      <c r="S265" s="163"/>
      <c r="T265" s="118">
        <f t="array" ref="T265">IFERROR(
INDEX(REPORTE_DROPI!B:B,
MATCH(
CLEAN(TRIM(C265)),
CLEAN(TRIM(REPORTE_DROPI!E:E)),
0
)
),
""
)
</f>
        <v>4442308</v>
      </c>
      <c r="U265" s="163" t="s">
        <v>6620</v>
      </c>
      <c r="V265" s="164"/>
    </row>
    <row r="266" ht="22.5" hidden="1" customHeight="1">
      <c r="A266" s="161">
        <v>265.0</v>
      </c>
      <c r="B266" s="119">
        <v>46061.0</v>
      </c>
      <c r="C266" s="118" t="s">
        <v>6621</v>
      </c>
      <c r="D266" s="118" t="str">
        <f>IFERROR(__xludf.DUMMYFUNCTION("IFERROR( INDEX( FILTER( 'NOMBRE DE PRODUCTOS'!B:B, REGEXMATCH( UPPER( INDEX( REPORTE_DROPI!AC:AC, MATCH(T266, REPORTE_DROPI!B:B, 0) ) ), UPPER('NOMBRE DE PRODUCTOS'!A:A) ) ), 1 ), ""REVISAR"" )"),"Llave Multifuncional 360™")</f>
        <v>Llave Multifuncional 360™</v>
      </c>
      <c r="E266" s="120">
        <f t="array" ref="E266">IF(
UPPER(TRIM(CLEAN($O266)))="ENTREGADO",
IFERROR(
INDEX(REPORTE_DROPI!Y:Y,
MATCH($T266, REPORTE_DROPI!B:B, 0)
),
""
),
""
)
</f>
        <v>5</v>
      </c>
      <c r="F266" s="162">
        <v>1.0</v>
      </c>
      <c r="G266" s="122">
        <f t="array" ref="G266">IF(
UPPER(TRIM(CLEAN($O266)))="ENTREGADO",
IFERROR(
INDEX(REPORTE_DROPI!R:R,
MATCH($T266, REPORTE_DROPI!B:B, 0)
),
""
),
""
)
</f>
        <v>19.99</v>
      </c>
      <c r="H266" s="118" t="s">
        <v>3727</v>
      </c>
      <c r="I266" s="118" t="s">
        <v>3731</v>
      </c>
      <c r="J266" s="121">
        <f t="array" ref="J266">IF(
UPPER(TRIM(CLEAN($O266)))="ENTREGADO",
IFERROR(
INDEX(REPORTE_DROPI!T:T,
MATCH($T266, REPORTE_DROPI!B:B, 0)
),
""
),
""
)
</f>
        <v>5.17</v>
      </c>
      <c r="K266" s="118">
        <f t="array" ref="K266">IFERROR(
INDEX(REPORTE_DROPI!S:S,
MATCH($T266, REPORTE_DROPI!B:B, 0)
),
""
)</f>
        <v>9.82</v>
      </c>
      <c r="L266" s="118" t="str">
        <f>IF(
  O266&lt;&gt;"DEVOLUCION",
  "",
  IF(
    T266="",
    "",
    SUMIF(DEVOLUCION!F:F, T266, DEVOLUCION!D:D)
  )
)
</f>
        <v/>
      </c>
      <c r="M266" s="118" t="s">
        <v>5877</v>
      </c>
      <c r="N266" s="161" t="s">
        <v>6622</v>
      </c>
      <c r="O266" s="118" t="str">
        <f t="array" ref="O266">IFERROR(
VLOOKUP(
TRIM(CLEAN(
INDEX(REPORTE_DROPI!K:K,
MATCH(T266, REPORTE_DROPI!B:B, 0)
))),
{
TRIM(CLEAN(MAPA_ESTADOS!A:A)) ,
MAPA_ESTADOS!B:B
},
2,
FALSE
),
"REVISAR"
)</f>
        <v>ENTREGADO</v>
      </c>
      <c r="P266" s="118" t="s">
        <v>5692</v>
      </c>
      <c r="Q266" s="153">
        <f t="shared" si="1"/>
        <v>0</v>
      </c>
      <c r="R266" s="163"/>
      <c r="S266" s="163"/>
      <c r="T266" s="118">
        <f t="array" ref="T266">IFERROR(
INDEX(REPORTE_DROPI!B:B,
MATCH(
CLEAN(TRIM(C266)),
CLEAN(TRIM(REPORTE_DROPI!E:E)),
0
)
),
""
)
</f>
        <v>4442307</v>
      </c>
      <c r="U266" s="163" t="s">
        <v>6623</v>
      </c>
      <c r="V266" s="164"/>
    </row>
    <row r="267" ht="22.5" hidden="1" customHeight="1">
      <c r="A267" s="161">
        <v>266.0</v>
      </c>
      <c r="B267" s="119">
        <v>46061.0</v>
      </c>
      <c r="C267" s="118" t="s">
        <v>6624</v>
      </c>
      <c r="D267" s="118" t="str">
        <f>IFERROR(__xludf.DUMMYFUNCTION("IFERROR( INDEX( FILTER( 'NOMBRE DE PRODUCTOS'!B:B, REGEXMATCH( UPPER( INDEX( REPORTE_DROPI!AC:AC, MATCH(T267, REPORTE_DROPI!B:B, 0) ) ), UPPER('NOMBRE DE PRODUCTOS'!A:A) ) ), 1 ), ""REVISAR"" )"),"Llave Multifuncional 360™")</f>
        <v>Llave Multifuncional 360™</v>
      </c>
      <c r="E267" s="120" t="str">
        <f t="array" ref="E267">IF(
UPPER(TRIM(CLEAN($O267)))="ENTREGADO",
IFERROR(
INDEX(REPORTE_DROPI!Y:Y,
MATCH($T267, REPORTE_DROPI!B:B, 0)
),
""
),
""
)
</f>
        <v/>
      </c>
      <c r="F267" s="162">
        <v>2.0</v>
      </c>
      <c r="G267" s="122" t="str">
        <f t="array" ref="G267">IF(
UPPER(TRIM(CLEAN($O267)))="ENTREGADO",
IFERROR(
INDEX(REPORTE_DROPI!R:R,
MATCH($T267, REPORTE_DROPI!B:B, 0)
),
""
),
""
)
</f>
        <v/>
      </c>
      <c r="H267" s="118" t="s">
        <v>3727</v>
      </c>
      <c r="I267" s="118" t="s">
        <v>3740</v>
      </c>
      <c r="J267" s="121" t="str">
        <f t="array" ref="J267">IF(
UPPER(TRIM(CLEAN($O267)))="ENTREGADO",
IFERROR(
INDEX(REPORTE_DROPI!T:T,
MATCH($T267, REPORTE_DROPI!B:B, 0)
),
""
),
""
)
</f>
        <v/>
      </c>
      <c r="K267" s="118" t="str">
        <f t="array" ref="K267">IFERROR(
INDEX(REPORTE_DROPI!S:S,
MATCH($T267, REPORTE_DROPI!B:B, 0)
),
""
)</f>
        <v/>
      </c>
      <c r="L267" s="118">
        <f>IF(
  O267&lt;&gt;"DEVOLUCION",
  "",
  IF(
    T267="",
    "",
    SUMIF(DEVOLUCION!F:F, T267, DEVOLUCION!D:D)
  )
)
</f>
        <v>5.11</v>
      </c>
      <c r="M267" s="118" t="s">
        <v>5877</v>
      </c>
      <c r="N267" s="161" t="s">
        <v>6625</v>
      </c>
      <c r="O267" s="118" t="str">
        <f t="array" ref="O267">IFERROR(
VLOOKUP(
TRIM(CLEAN(
INDEX(REPORTE_DROPI!K:K,
MATCH(T267, REPORTE_DROPI!B:B, 0)
))),
{
TRIM(CLEAN(MAPA_ESTADOS!A:A)) ,
MAPA_ESTADOS!B:B
},
2,
FALSE
),
"REVISAR"
)</f>
        <v>DEVOLUCION</v>
      </c>
      <c r="P267" s="118" t="s">
        <v>5692</v>
      </c>
      <c r="Q267" s="153">
        <f t="shared" si="1"/>
        <v>0</v>
      </c>
      <c r="R267" s="163" t="s">
        <v>3675</v>
      </c>
      <c r="S267" s="163" t="s">
        <v>6057</v>
      </c>
      <c r="T267" s="118">
        <f t="array" ref="T267">IFERROR(
INDEX(REPORTE_DROPI!B:B,
MATCH(
CLEAN(TRIM(C267)),
CLEAN(TRIM(REPORTE_DROPI!E:E)),
0
)
),
""
)
</f>
        <v>4442305</v>
      </c>
      <c r="U267" s="163" t="s">
        <v>6626</v>
      </c>
      <c r="V267" s="164"/>
    </row>
    <row r="268" ht="22.5" hidden="1" customHeight="1">
      <c r="A268" s="161">
        <v>267.0</v>
      </c>
      <c r="B268" s="119">
        <v>46061.0</v>
      </c>
      <c r="C268" s="118" t="s">
        <v>6627</v>
      </c>
      <c r="D268" s="118" t="str">
        <f>IFERROR(__xludf.DUMMYFUNCTION("IFERROR( INDEX( FILTER( 'NOMBRE DE PRODUCTOS'!B:B, REGEXMATCH( UPPER( INDEX( REPORTE_DROPI!AC:AC, MATCH(T268, REPORTE_DROPI!B:B, 0) ) ), UPPER('NOMBRE DE PRODUCTOS'!A:A) ) ), 1 ), ""REVISAR"" )"),"Llave Multifuncional 360™")</f>
        <v>Llave Multifuncional 360™</v>
      </c>
      <c r="E268" s="120" t="str">
        <f t="array" ref="E268">IF(
UPPER(TRIM(CLEAN($O268)))="ENTREGADO",
IFERROR(
INDEX(REPORTE_DROPI!Y:Y,
MATCH($T268, REPORTE_DROPI!B:B, 0)
),
""
),
""
)
</f>
        <v/>
      </c>
      <c r="F268" s="162">
        <v>2.0</v>
      </c>
      <c r="G268" s="122" t="str">
        <f t="array" ref="G268">IF(
UPPER(TRIM(CLEAN($O268)))="ENTREGADO",
IFERROR(
INDEX(REPORTE_DROPI!R:R,
MATCH($T268, REPORTE_DROPI!B:B, 0)
),
""
),
""
)
</f>
        <v/>
      </c>
      <c r="H268" s="118" t="s">
        <v>3727</v>
      </c>
      <c r="I268" s="118" t="s">
        <v>3784</v>
      </c>
      <c r="J268" s="121" t="str">
        <f t="array" ref="J268">IF(
UPPER(TRIM(CLEAN($O268)))="ENTREGADO",
IFERROR(
INDEX(REPORTE_DROPI!T:T,
MATCH($T268, REPORTE_DROPI!B:B, 0)
),
""
),
""
)
</f>
        <v/>
      </c>
      <c r="K268" s="118" t="str">
        <f t="array" ref="K268">IFERROR(
INDEX(REPORTE_DROPI!S:S,
MATCH($T268, REPORTE_DROPI!B:B, 0)
),
""
)</f>
        <v/>
      </c>
      <c r="L268" s="118">
        <f>IF(
  O268&lt;&gt;"DEVOLUCION",
  "",
  IF(
    T268="",
    "",
    SUMIF(DEVOLUCION!F:F, T268, DEVOLUCION!D:D)
  )
)
</f>
        <v>5.11</v>
      </c>
      <c r="M268" s="118" t="s">
        <v>5877</v>
      </c>
      <c r="N268" s="161" t="s">
        <v>6628</v>
      </c>
      <c r="O268" s="118" t="str">
        <f t="array" ref="O268">IFERROR(
VLOOKUP(
TRIM(CLEAN(
INDEX(REPORTE_DROPI!K:K,
MATCH(T268, REPORTE_DROPI!B:B, 0)
))),
{
TRIM(CLEAN(MAPA_ESTADOS!A:A)) ,
MAPA_ESTADOS!B:B
},
2,
FALSE
),
"REVISAR"
)</f>
        <v>DEVOLUCION</v>
      </c>
      <c r="P268" s="118" t="s">
        <v>5692</v>
      </c>
      <c r="Q268" s="153">
        <f t="shared" si="1"/>
        <v>0</v>
      </c>
      <c r="R268" s="163" t="s">
        <v>3675</v>
      </c>
      <c r="S268" s="163" t="s">
        <v>6057</v>
      </c>
      <c r="T268" s="118">
        <f t="array" ref="T268">IFERROR(
INDEX(REPORTE_DROPI!B:B,
MATCH(
CLEAN(TRIM(C268)),
CLEAN(TRIM(REPORTE_DROPI!E:E)),
0
)
),
""
)
</f>
        <v>4451889</v>
      </c>
      <c r="U268" s="163" t="s">
        <v>6629</v>
      </c>
      <c r="V268" s="164"/>
    </row>
    <row r="269" ht="22.5" hidden="1" customHeight="1">
      <c r="A269" s="161">
        <v>268.0</v>
      </c>
      <c r="B269" s="119">
        <v>46061.0</v>
      </c>
      <c r="C269" s="118" t="s">
        <v>6630</v>
      </c>
      <c r="D269" s="118" t="str">
        <f>IFERROR(__xludf.DUMMYFUNCTION("IFERROR( INDEX( FILTER( 'NOMBRE DE PRODUCTOS'!B:B, REGEXMATCH( UPPER( INDEX( REPORTE_DROPI!AC:AC, MATCH(T269, REPORTE_DROPI!B:B, 0) ) ), UPPER('NOMBRE DE PRODUCTOS'!A:A) ) ), 1 ), ""REVISAR"" )"),"Llave Multifuncional 360™")</f>
        <v>Llave Multifuncional 360™</v>
      </c>
      <c r="E269" s="120">
        <f t="array" ref="E269">IF(
UPPER(TRIM(CLEAN($O269)))="ENTREGADO",
IFERROR(
INDEX(REPORTE_DROPI!Y:Y,
MATCH($T269, REPORTE_DROPI!B:B, 0)
),
""
),
""
)
</f>
        <v>3.5</v>
      </c>
      <c r="F269" s="162">
        <v>1.0</v>
      </c>
      <c r="G269" s="122">
        <f t="array" ref="G269">IF(
UPPER(TRIM(CLEAN($O269)))="ENTREGADO",
IFERROR(
INDEX(REPORTE_DROPI!R:R,
MATCH($T269, REPORTE_DROPI!B:B, 0)
),
""
),
""
)
</f>
        <v>19.99</v>
      </c>
      <c r="H269" s="118" t="s">
        <v>3727</v>
      </c>
      <c r="I269" s="118" t="s">
        <v>3979</v>
      </c>
      <c r="J269" s="121">
        <f t="array" ref="J269">IF(
UPPER(TRIM(CLEAN($O269)))="ENTREGADO",
IFERROR(
INDEX(REPORTE_DROPI!T:T,
MATCH($T269, REPORTE_DROPI!B:B, 0)
),
""
),
""
)
</f>
        <v>5.75</v>
      </c>
      <c r="K269" s="118">
        <f t="array" ref="K269">IFERROR(
INDEX(REPORTE_DROPI!S:S,
MATCH($T269, REPORTE_DROPI!B:B, 0)
),
""
)</f>
        <v>10.74</v>
      </c>
      <c r="L269" s="118" t="str">
        <f>IF(
  O269&lt;&gt;"DEVOLUCION",
  "",
  IF(
    T269="",
    "",
    SUMIF(DEVOLUCION!F:F, T269, DEVOLUCION!D:D)
  )
)
</f>
        <v/>
      </c>
      <c r="M269" s="118" t="s">
        <v>5877</v>
      </c>
      <c r="N269" s="161" t="s">
        <v>6631</v>
      </c>
      <c r="O269" s="118" t="str">
        <f t="array" ref="O269">IFERROR(
VLOOKUP(
TRIM(CLEAN(
INDEX(REPORTE_DROPI!K:K,
MATCH(T269, REPORTE_DROPI!B:B, 0)
))),
{
TRIM(CLEAN(MAPA_ESTADOS!A:A)) ,
MAPA_ESTADOS!B:B
},
2,
FALSE
),
"REVISAR"
)</f>
        <v>ENTREGADO</v>
      </c>
      <c r="P269" s="118" t="s">
        <v>5692</v>
      </c>
      <c r="Q269" s="153">
        <f t="shared" si="1"/>
        <v>0</v>
      </c>
      <c r="R269" s="163"/>
      <c r="S269" s="163"/>
      <c r="T269" s="118">
        <f t="array" ref="T269">IFERROR(
INDEX(REPORTE_DROPI!B:B,
MATCH(
CLEAN(TRIM(C269)),
CLEAN(TRIM(REPORTE_DROPI!E:E)),
0
)
),
""
)
</f>
        <v>4451896</v>
      </c>
      <c r="U269" s="163" t="s">
        <v>6632</v>
      </c>
      <c r="V269" s="164"/>
    </row>
    <row r="270" ht="22.5" hidden="1" customHeight="1">
      <c r="A270" s="161">
        <v>269.0</v>
      </c>
      <c r="B270" s="119">
        <v>46061.0</v>
      </c>
      <c r="C270" s="118" t="s">
        <v>6633</v>
      </c>
      <c r="D270" s="118" t="str">
        <f>IFERROR(__xludf.DUMMYFUNCTION("IFERROR( INDEX( FILTER( 'NOMBRE DE PRODUCTOS'!B:B, REGEXMATCH( UPPER( INDEX( REPORTE_DROPI!AC:AC, MATCH(T270, REPORTE_DROPI!B:B, 0) ) ), UPPER('NOMBRE DE PRODUCTOS'!A:A) ) ), 1 ), ""REVISAR"" )"),"Llave Multifuncional 360™")</f>
        <v>Llave Multifuncional 360™</v>
      </c>
      <c r="E270" s="120" t="str">
        <f t="array" ref="E270">IF(
UPPER(TRIM(CLEAN($O270)))="ENTREGADO",
IFERROR(
INDEX(REPORTE_DROPI!Y:Y,
MATCH($T270, REPORTE_DROPI!B:B, 0)
),
""
),
""
)
</f>
        <v/>
      </c>
      <c r="F270" s="162">
        <v>1.0</v>
      </c>
      <c r="G270" s="122" t="str">
        <f t="array" ref="G270">IF(
UPPER(TRIM(CLEAN($O270)))="ENTREGADO",
IFERROR(
INDEX(REPORTE_DROPI!R:R,
MATCH($T270, REPORTE_DROPI!B:B, 0)
),
""
),
""
)
</f>
        <v/>
      </c>
      <c r="H270" s="118" t="s">
        <v>3727</v>
      </c>
      <c r="I270" s="118" t="s">
        <v>3740</v>
      </c>
      <c r="J270" s="121" t="str">
        <f t="array" ref="J270">IF(
UPPER(TRIM(CLEAN($O270)))="ENTREGADO",
IFERROR(
INDEX(REPORTE_DROPI!T:T,
MATCH($T270, REPORTE_DROPI!B:B, 0)
),
""
),
""
)
</f>
        <v/>
      </c>
      <c r="K270" s="118" t="str">
        <f t="array" ref="K270">IFERROR(
INDEX(REPORTE_DROPI!S:S,
MATCH($T270, REPORTE_DROPI!B:B, 0)
),
""
)</f>
        <v/>
      </c>
      <c r="L270" s="118" t="str">
        <f>IF(
  O270&lt;&gt;"DEVOLUCION",
  "",
  IF(
    T270="",
    "",
    SUMIF(DEVOLUCION!F:F, T270, DEVOLUCION!D:D)
  )
)
</f>
        <v/>
      </c>
      <c r="M270" s="118" t="s">
        <v>5877</v>
      </c>
      <c r="N270" s="161" t="s">
        <v>6634</v>
      </c>
      <c r="O270" s="118" t="str">
        <f t="array" ref="O270">IFERROR(
VLOOKUP(
TRIM(CLEAN(
INDEX(REPORTE_DROPI!K:K,
MATCH(T270, REPORTE_DROPI!B:B, 0)
))),
{
TRIM(CLEAN(MAPA_ESTADOS!A:A)) ,
MAPA_ESTADOS!B:B
},
2,
FALSE
),
"REVISAR"
)</f>
        <v>PENDIENTE</v>
      </c>
      <c r="P270" s="118" t="s">
        <v>6635</v>
      </c>
      <c r="Q270" s="153">
        <f t="shared" si="1"/>
        <v>0</v>
      </c>
      <c r="R270" s="163"/>
      <c r="S270" s="163"/>
      <c r="T270" s="118">
        <f t="array" ref="T270">IFERROR(
INDEX(REPORTE_DROPI!B:B,
MATCH(
CLEAN(TRIM(C270)),
CLEAN(TRIM(REPORTE_DROPI!E:E)),
0
)
),
""
)
</f>
        <v>4451899</v>
      </c>
      <c r="U270" s="163" t="s">
        <v>6636</v>
      </c>
      <c r="V270" s="164"/>
    </row>
    <row r="271" ht="22.5" hidden="1" customHeight="1">
      <c r="A271" s="161">
        <v>270.0</v>
      </c>
      <c r="B271" s="119">
        <v>46062.0</v>
      </c>
      <c r="C271" s="118" t="s">
        <v>6637</v>
      </c>
      <c r="D271" s="118" t="str">
        <f>IFERROR(__xludf.DUMMYFUNCTION("IFERROR( INDEX( FILTER( 'NOMBRE DE PRODUCTOS'!B:B, REGEXMATCH( UPPER( INDEX( REPORTE_DROPI!AC:AC, MATCH(T271, REPORTE_DROPI!B:B, 0) ) ), UPPER('NOMBRE DE PRODUCTOS'!A:A) ) ), 1 ), ""REVISAR"" )"),"Llave Multifuncional 360™")</f>
        <v>Llave Multifuncional 360™</v>
      </c>
      <c r="E271" s="120">
        <f t="array" ref="E271">IF(
UPPER(TRIM(CLEAN($O271)))="ENTREGADO",
IFERROR(
INDEX(REPORTE_DROPI!Y:Y,
MATCH($T271, REPORTE_DROPI!B:B, 0)
),
""
),
""
)
</f>
        <v>3.5</v>
      </c>
      <c r="F271" s="162">
        <v>1.0</v>
      </c>
      <c r="G271" s="122">
        <f t="array" ref="G271">IF(
UPPER(TRIM(CLEAN($O271)))="ENTREGADO",
IFERROR(
INDEX(REPORTE_DROPI!R:R,
MATCH($T271, REPORTE_DROPI!B:B, 0)
),
""
),
""
)
</f>
        <v>19.99</v>
      </c>
      <c r="H271" s="118" t="s">
        <v>3727</v>
      </c>
      <c r="I271" s="118" t="s">
        <v>3740</v>
      </c>
      <c r="J271" s="121">
        <f t="array" ref="J271">IF(
UPPER(TRIM(CLEAN($O271)))="ENTREGADO",
IFERROR(
INDEX(REPORTE_DROPI!T:T,
MATCH($T271, REPORTE_DROPI!B:B, 0)
),
""
),
""
)
</f>
        <v>5.75</v>
      </c>
      <c r="K271" s="118">
        <f t="array" ref="K271">IFERROR(
INDEX(REPORTE_DROPI!S:S,
MATCH($T271, REPORTE_DROPI!B:B, 0)
),
""
)</f>
        <v>10.74</v>
      </c>
      <c r="L271" s="118" t="str">
        <f>IF(
  O271&lt;&gt;"DEVOLUCION",
  "",
  IF(
    T271="",
    "",
    SUMIF(DEVOLUCION!F:F, T271, DEVOLUCION!D:D)
  )
)
</f>
        <v/>
      </c>
      <c r="M271" s="118" t="s">
        <v>5877</v>
      </c>
      <c r="N271" s="161" t="s">
        <v>6638</v>
      </c>
      <c r="O271" s="118" t="str">
        <f t="array" ref="O271">IFERROR(
VLOOKUP(
TRIM(CLEAN(
INDEX(REPORTE_DROPI!K:K,
MATCH(T271, REPORTE_DROPI!B:B, 0)
))),
{
TRIM(CLEAN(MAPA_ESTADOS!A:A)) ,
MAPA_ESTADOS!B:B
},
2,
FALSE
),
"REVISAR"
)</f>
        <v>ENTREGADO</v>
      </c>
      <c r="P271" s="118" t="s">
        <v>6639</v>
      </c>
      <c r="Q271" s="153">
        <f t="shared" si="1"/>
        <v>0</v>
      </c>
      <c r="R271" s="163"/>
      <c r="S271" s="163"/>
      <c r="T271" s="118">
        <f t="array" ref="T271">IFERROR(
INDEX(REPORTE_DROPI!B:B,
MATCH(
CLEAN(TRIM(C271)),
CLEAN(TRIM(REPORTE_DROPI!E:E)),
0
)
),
""
)
</f>
        <v>4451903</v>
      </c>
      <c r="U271" s="163" t="s">
        <v>6640</v>
      </c>
      <c r="V271" s="164"/>
    </row>
    <row r="272" ht="22.5" hidden="1" customHeight="1">
      <c r="A272" s="161">
        <v>271.0</v>
      </c>
      <c r="B272" s="119">
        <v>46062.0</v>
      </c>
      <c r="C272" s="118" t="s">
        <v>6641</v>
      </c>
      <c r="D272" s="118" t="str">
        <f>IFERROR(__xludf.DUMMYFUNCTION("IFERROR( INDEX( FILTER( 'NOMBRE DE PRODUCTOS'!B:B, REGEXMATCH( UPPER( INDEX( REPORTE_DROPI!AC:AC, MATCH(T272, REPORTE_DROPI!B:B, 0) ) ), UPPER('NOMBRE DE PRODUCTOS'!A:A) ) ), 1 ), ""REVISAR"" )"),"Llave Multifuncional 360™")</f>
        <v>Llave Multifuncional 360™</v>
      </c>
      <c r="E272" s="120" t="str">
        <f t="array" ref="E272">IF(
UPPER(TRIM(CLEAN($O272)))="ENTREGADO",
IFERROR(
INDEX(REPORTE_DROPI!Y:Y,
MATCH($T272, REPORTE_DROPI!B:B, 0)
),
""
),
""
)
</f>
        <v/>
      </c>
      <c r="F272" s="162">
        <v>1.0</v>
      </c>
      <c r="G272" s="122" t="str">
        <f t="array" ref="G272">IF(
UPPER(TRIM(CLEAN($O272)))="ENTREGADO",
IFERROR(
INDEX(REPORTE_DROPI!R:R,
MATCH($T272, REPORTE_DROPI!B:B, 0)
),
""
),
""
)
</f>
        <v/>
      </c>
      <c r="H272" s="118" t="s">
        <v>3727</v>
      </c>
      <c r="I272" s="118" t="s">
        <v>3882</v>
      </c>
      <c r="J272" s="121" t="str">
        <f t="array" ref="J272">IF(
UPPER(TRIM(CLEAN($O272)))="ENTREGADO",
IFERROR(
INDEX(REPORTE_DROPI!T:T,
MATCH($T272, REPORTE_DROPI!B:B, 0)
),
""
),
""
)
</f>
        <v/>
      </c>
      <c r="K272" s="118" t="str">
        <f t="array" ref="K272">IFERROR(
INDEX(REPORTE_DROPI!S:S,
MATCH($T272, REPORTE_DROPI!B:B, 0)
),
""
)</f>
        <v/>
      </c>
      <c r="L272" s="118">
        <f>IF(
  O272&lt;&gt;"DEVOLUCION",
  "",
  IF(
    T272="",
    "",
    SUMIF(DEVOLUCION!F:F, T272, DEVOLUCION!D:D)
  )
)
</f>
        <v>0</v>
      </c>
      <c r="M272" s="118" t="s">
        <v>5877</v>
      </c>
      <c r="N272" s="161" t="s">
        <v>6642</v>
      </c>
      <c r="O272" s="118" t="str">
        <f t="array" ref="O272">IFERROR(
VLOOKUP(
TRIM(CLEAN(
INDEX(REPORTE_DROPI!K:K,
MATCH(T272, REPORTE_DROPI!B:B, 0)
))),
{
TRIM(CLEAN(MAPA_ESTADOS!A:A)) ,
MAPA_ESTADOS!B:B
},
2,
FALSE
),
"REVISAR"
)</f>
        <v>DEVOLUCION</v>
      </c>
      <c r="P272" s="118" t="s">
        <v>5692</v>
      </c>
      <c r="Q272" s="153">
        <f t="shared" si="1"/>
        <v>0</v>
      </c>
      <c r="R272" s="163" t="s">
        <v>3675</v>
      </c>
      <c r="S272" s="163" t="s">
        <v>6643</v>
      </c>
      <c r="T272" s="118">
        <f t="array" ref="T272">IFERROR(
INDEX(REPORTE_DROPI!B:B,
MATCH(
CLEAN(TRIM(C272)),
CLEAN(TRIM(REPORTE_DROPI!E:E)),
0
)
),
""
)
</f>
        <v>4451905</v>
      </c>
      <c r="U272" s="163" t="s">
        <v>6644</v>
      </c>
      <c r="V272" s="164"/>
    </row>
    <row r="273" ht="22.5" hidden="1" customHeight="1">
      <c r="A273" s="161">
        <v>272.0</v>
      </c>
      <c r="B273" s="119">
        <v>46062.0</v>
      </c>
      <c r="C273" s="118" t="s">
        <v>6645</v>
      </c>
      <c r="D273" s="118" t="str">
        <f>IFERROR(__xludf.DUMMYFUNCTION("IFERROR( INDEX( FILTER( 'NOMBRE DE PRODUCTOS'!B:B, REGEXMATCH( UPPER( INDEX( REPORTE_DROPI!AC:AC, MATCH(T273, REPORTE_DROPI!B:B, 0) ) ), UPPER('NOMBRE DE PRODUCTOS'!A:A) ) ), 1 ), ""REVISAR"" )"),"Llave Multifuncional 360™")</f>
        <v>Llave Multifuncional 360™</v>
      </c>
      <c r="E273" s="120">
        <f t="array" ref="E273">IF(
UPPER(TRIM(CLEAN($O273)))="ENTREGADO",
IFERROR(
INDEX(REPORTE_DROPI!Y:Y,
MATCH($T273, REPORTE_DROPI!B:B, 0)
),
""
),
""
)
</f>
        <v>3.5</v>
      </c>
      <c r="F273" s="162">
        <v>1.0</v>
      </c>
      <c r="G273" s="122">
        <f t="array" ref="G273">IF(
UPPER(TRIM(CLEAN($O273)))="ENTREGADO",
IFERROR(
INDEX(REPORTE_DROPI!R:R,
MATCH($T273, REPORTE_DROPI!B:B, 0)
),
""
),
""
)
</f>
        <v>19.99</v>
      </c>
      <c r="H273" s="118" t="s">
        <v>3727</v>
      </c>
      <c r="I273" s="118" t="s">
        <v>3740</v>
      </c>
      <c r="J273" s="121">
        <f t="array" ref="J273">IF(
UPPER(TRIM(CLEAN($O273)))="ENTREGADO",
IFERROR(
INDEX(REPORTE_DROPI!T:T,
MATCH($T273, REPORTE_DROPI!B:B, 0)
),
""
),
""
)
</f>
        <v>5.75</v>
      </c>
      <c r="K273" s="118">
        <f t="array" ref="K273">IFERROR(
INDEX(REPORTE_DROPI!S:S,
MATCH($T273, REPORTE_DROPI!B:B, 0)
),
""
)</f>
        <v>10.74</v>
      </c>
      <c r="L273" s="118" t="str">
        <f>IF(
  O273&lt;&gt;"DEVOLUCION",
  "",
  IF(
    T273="",
    "",
    SUMIF(DEVOLUCION!F:F, T273, DEVOLUCION!D:D)
  )
)
</f>
        <v/>
      </c>
      <c r="M273" s="118" t="s">
        <v>5877</v>
      </c>
      <c r="N273" s="161" t="s">
        <v>6646</v>
      </c>
      <c r="O273" s="118" t="str">
        <f t="array" ref="O273">IFERROR(
VLOOKUP(
TRIM(CLEAN(
INDEX(REPORTE_DROPI!K:K,
MATCH(T273, REPORTE_DROPI!B:B, 0)
))),
{
TRIM(CLEAN(MAPA_ESTADOS!A:A)) ,
MAPA_ESTADOS!B:B
},
2,
FALSE
),
"REVISAR"
)</f>
        <v>ENTREGADO</v>
      </c>
      <c r="P273" s="118" t="s">
        <v>5692</v>
      </c>
      <c r="Q273" s="153">
        <f t="shared" si="1"/>
        <v>0</v>
      </c>
      <c r="R273" s="163"/>
      <c r="S273" s="163"/>
      <c r="T273" s="118">
        <f t="array" ref="T273">IFERROR(
INDEX(REPORTE_DROPI!B:B,
MATCH(
CLEAN(TRIM(C273)),
CLEAN(TRIM(REPORTE_DROPI!E:E)),
0
)
),
""
)
</f>
        <v>4451908</v>
      </c>
      <c r="U273" s="163" t="s">
        <v>6647</v>
      </c>
      <c r="V273" s="164"/>
    </row>
    <row r="274" ht="22.5" hidden="1" customHeight="1">
      <c r="A274" s="161">
        <v>273.0</v>
      </c>
      <c r="B274" s="119">
        <v>46062.0</v>
      </c>
      <c r="C274" s="118" t="s">
        <v>6648</v>
      </c>
      <c r="D274" s="118" t="str">
        <f>IFERROR(__xludf.DUMMYFUNCTION("IFERROR( INDEX( FILTER( 'NOMBRE DE PRODUCTOS'!B:B, REGEXMATCH( UPPER( INDEX( REPORTE_DROPI!AC:AC, MATCH(T274, REPORTE_DROPI!B:B, 0) ) ), UPPER('NOMBRE DE PRODUCTOS'!A:A) ) ), 1 ), ""REVISAR"" )"),"Llave Multifuncional 360™")</f>
        <v>Llave Multifuncional 360™</v>
      </c>
      <c r="E274" s="120">
        <f t="array" ref="E274">IF(
UPPER(TRIM(CLEAN($O274)))="ENTREGADO",
IFERROR(
INDEX(REPORTE_DROPI!Y:Y,
MATCH($T274, REPORTE_DROPI!B:B, 0)
),
""
),
""
)
</f>
        <v>3.5</v>
      </c>
      <c r="F274" s="162">
        <v>1.0</v>
      </c>
      <c r="G274" s="122">
        <f t="array" ref="G274">IF(
UPPER(TRIM(CLEAN($O274)))="ENTREGADO",
IFERROR(
INDEX(REPORTE_DROPI!R:R,
MATCH($T274, REPORTE_DROPI!B:B, 0)
),
""
),
""
)
</f>
        <v>19.99</v>
      </c>
      <c r="H274" s="118" t="s">
        <v>3727</v>
      </c>
      <c r="I274" s="118" t="s">
        <v>3731</v>
      </c>
      <c r="J274" s="121">
        <f t="array" ref="J274">IF(
UPPER(TRIM(CLEAN($O274)))="ENTREGADO",
IFERROR(
INDEX(REPORTE_DROPI!T:T,
MATCH($T274, REPORTE_DROPI!B:B, 0)
),
""
),
""
)
</f>
        <v>4.14</v>
      </c>
      <c r="K274" s="118">
        <f t="array" ref="K274">IFERROR(
INDEX(REPORTE_DROPI!S:S,
MATCH($T274, REPORTE_DROPI!B:B, 0)
),
""
)</f>
        <v>12.35</v>
      </c>
      <c r="L274" s="118" t="str">
        <f>IF(
  O274&lt;&gt;"DEVOLUCION",
  "",
  IF(
    T274="",
    "",
    SUMIF(DEVOLUCION!F:F, T274, DEVOLUCION!D:D)
  )
)
</f>
        <v/>
      </c>
      <c r="M274" s="118" t="s">
        <v>5877</v>
      </c>
      <c r="N274" s="161" t="s">
        <v>6649</v>
      </c>
      <c r="O274" s="118" t="str">
        <f t="array" ref="O274">IFERROR(
VLOOKUP(
TRIM(CLEAN(
INDEX(REPORTE_DROPI!K:K,
MATCH(T274, REPORTE_DROPI!B:B, 0)
))),
{
TRIM(CLEAN(MAPA_ESTADOS!A:A)) ,
MAPA_ESTADOS!B:B
},
2,
FALSE
),
"REVISAR"
)</f>
        <v>ENTREGADO</v>
      </c>
      <c r="P274" s="118" t="s">
        <v>6650</v>
      </c>
      <c r="Q274" s="153">
        <f t="shared" si="1"/>
        <v>0</v>
      </c>
      <c r="R274" s="163"/>
      <c r="S274" s="163"/>
      <c r="T274" s="118">
        <f t="array" ref="T274">IFERROR(
INDEX(REPORTE_DROPI!B:B,
MATCH(
CLEAN(TRIM(C274)),
CLEAN(TRIM(REPORTE_DROPI!E:E)),
0
)
),
""
)
</f>
        <v>4451911</v>
      </c>
      <c r="U274" s="163" t="s">
        <v>6651</v>
      </c>
      <c r="V274" s="164"/>
    </row>
    <row r="275" ht="22.5" hidden="1" customHeight="1">
      <c r="A275" s="169">
        <v>274.0</v>
      </c>
      <c r="B275" s="170">
        <v>46064.0</v>
      </c>
      <c r="C275" s="154" t="s">
        <v>6652</v>
      </c>
      <c r="D275" s="118" t="str">
        <f>IFERROR(__xludf.DUMMYFUNCTION("IFERROR( INDEX( FILTER( 'NOMBRE DE PRODUCTOS'!B:B, REGEXMATCH( UPPER( INDEX( REPORTE_DROPI!AC:AC, MATCH(T275, REPORTE_DROPI!B:B, 0) ) ), UPPER('NOMBRE DE PRODUCTOS'!A:A) ) ), 1 ), ""REVISAR"" )"),"FilmPro®")</f>
        <v>FilmPro®</v>
      </c>
      <c r="E275" s="120">
        <f t="array" ref="E275">IF(
UPPER(TRIM(CLEAN($O275)))="ENTREGADO",
IFERROR(
INDEX(REPORTE_DROPI!Y:Y,
MATCH($T275, REPORTE_DROPI!B:B, 0)
),
""
),
""
)
</f>
        <v>7.2</v>
      </c>
      <c r="F275" s="171">
        <v>3.0</v>
      </c>
      <c r="G275" s="122">
        <f t="array" ref="G275">IF(
UPPER(TRIM(CLEAN($O275)))="ENTREGADO",
IFERROR(
INDEX(REPORTE_DROPI!R:R,
MATCH($T275, REPORTE_DROPI!B:B, 0)
),
""
),
""
)
</f>
        <v>30</v>
      </c>
      <c r="H275" s="118" t="s">
        <v>3727</v>
      </c>
      <c r="I275" s="154" t="s">
        <v>3731</v>
      </c>
      <c r="J275" s="121">
        <f t="array" ref="J275">IF(
UPPER(TRIM(CLEAN($O275)))="ENTREGADO",
IFERROR(
INDEX(REPORTE_DROPI!T:T,
MATCH($T275, REPORTE_DROPI!B:B, 0)
),
""
),
""
)
</f>
        <v>6.16</v>
      </c>
      <c r="K275" s="118">
        <f t="array" ref="K275">IFERROR(
INDEX(REPORTE_DROPI!S:S,
MATCH($T275, REPORTE_DROPI!B:B, 0)
),
""
)</f>
        <v>16.64</v>
      </c>
      <c r="L275" s="118" t="str">
        <f>IF(
  O275&lt;&gt;"DEVOLUCION",
  "",
  IF(
    T275="",
    "",
    SUMIF(DEVOLUCION!F:F, T275, DEVOLUCION!D:D)
  )
)
</f>
        <v/>
      </c>
      <c r="M275" s="118" t="s">
        <v>5877</v>
      </c>
      <c r="N275" s="169" t="s">
        <v>6653</v>
      </c>
      <c r="O275" s="118" t="str">
        <f t="array" ref="O275">IFERROR(
VLOOKUP(
TRIM(CLEAN(
INDEX(REPORTE_DROPI!K:K,
MATCH(T275, REPORTE_DROPI!B:B, 0)
))),
{
TRIM(CLEAN(MAPA_ESTADOS!A:A)) ,
MAPA_ESTADOS!B:B
},
2,
FALSE
),
"REVISAR"
)</f>
        <v>ENTREGADO</v>
      </c>
      <c r="P275" s="154" t="s">
        <v>5692</v>
      </c>
      <c r="Q275" s="153">
        <f t="shared" si="1"/>
        <v>0</v>
      </c>
      <c r="R275" s="172"/>
      <c r="S275" s="172"/>
      <c r="T275" s="118">
        <f t="array" ref="T275">IFERROR(
INDEX(REPORTE_DROPI!B:B,
MATCH(
CLEAN(TRIM(C275)),
CLEAN(TRIM(REPORTE_DROPI!E:E)),
0
)
),
""
)
</f>
        <v>4490141</v>
      </c>
      <c r="U275" s="169" t="s">
        <v>6654</v>
      </c>
      <c r="V275" s="166"/>
    </row>
    <row r="276" ht="22.5" hidden="1" customHeight="1">
      <c r="A276" s="169">
        <v>275.0</v>
      </c>
      <c r="B276" s="170">
        <v>46064.0</v>
      </c>
      <c r="C276" s="154" t="s">
        <v>6655</v>
      </c>
      <c r="D276" s="118" t="str">
        <f>IFERROR(__xludf.DUMMYFUNCTION("IFERROR( INDEX( FILTER( 'NOMBRE DE PRODUCTOS'!B:B, REGEXMATCH( UPPER( INDEX( REPORTE_DROPI!AC:AC, MATCH(T276, REPORTE_DROPI!B:B, 0) ) ), UPPER('NOMBRE DE PRODUCTOS'!A:A) ) ), 1 ), ""REVISAR"" )"),"FilmPro®")</f>
        <v>FilmPro®</v>
      </c>
      <c r="E276" s="120" t="str">
        <f t="array" ref="E276">IF(
UPPER(TRIM(CLEAN($O276)))="ENTREGADO",
IFERROR(
INDEX(REPORTE_DROPI!Y:Y,
MATCH($T276, REPORTE_DROPI!B:B, 0)
),
""
),
""
)
</f>
        <v/>
      </c>
      <c r="F276" s="171">
        <v>1.0</v>
      </c>
      <c r="G276" s="122" t="str">
        <f t="array" ref="G276">IF(
UPPER(TRIM(CLEAN($O276)))="ENTREGADO",
IFERROR(
INDEX(REPORTE_DROPI!R:R,
MATCH($T276, REPORTE_DROPI!B:B, 0)
),
""
),
""
)
</f>
        <v/>
      </c>
      <c r="H276" s="118" t="s">
        <v>3727</v>
      </c>
      <c r="I276" s="154" t="s">
        <v>3951</v>
      </c>
      <c r="J276" s="121" t="str">
        <f t="array" ref="J276">IF(
UPPER(TRIM(CLEAN($O276)))="ENTREGADO",
IFERROR(
INDEX(REPORTE_DROPI!T:T,
MATCH($T276, REPORTE_DROPI!B:B, 0)
),
""
),
""
)
</f>
        <v/>
      </c>
      <c r="K276" s="118" t="str">
        <f t="array" ref="K276">IFERROR(
INDEX(REPORTE_DROPI!S:S,
MATCH($T276, REPORTE_DROPI!B:B, 0)
),
""
)</f>
        <v/>
      </c>
      <c r="L276" s="118" t="str">
        <f>IF(
  O276&lt;&gt;"DEVOLUCION",
  "",
  IF(
    T276="",
    "",
    SUMIF(DEVOLUCION!F:F, T276, DEVOLUCION!D:D)
  )
)
</f>
        <v/>
      </c>
      <c r="M276" s="118" t="s">
        <v>5877</v>
      </c>
      <c r="N276" s="169" t="s">
        <v>6656</v>
      </c>
      <c r="O276" s="118" t="str">
        <f t="array" ref="O276">IFERROR(
VLOOKUP(
TRIM(CLEAN(
INDEX(REPORTE_DROPI!K:K,
MATCH(T276, REPORTE_DROPI!B:B, 0)
))),
{
TRIM(CLEAN(MAPA_ESTADOS!A:A)) ,
MAPA_ESTADOS!B:B
},
2,
FALSE
),
"REVISAR"
)</f>
        <v>PENDIENTE</v>
      </c>
      <c r="P276" s="154" t="s">
        <v>6481</v>
      </c>
      <c r="Q276" s="153">
        <f t="shared" si="1"/>
        <v>0</v>
      </c>
      <c r="R276" s="172"/>
      <c r="S276" s="172"/>
      <c r="T276" s="118">
        <f t="array" ref="T276">IFERROR(
INDEX(REPORTE_DROPI!B:B,
MATCH(
CLEAN(TRIM(C276)),
CLEAN(TRIM(REPORTE_DROPI!E:E)),
0
)
),
""
)
</f>
        <v>4490156</v>
      </c>
      <c r="U276" s="169" t="s">
        <v>6657</v>
      </c>
      <c r="V276" s="166"/>
    </row>
    <row r="277" ht="22.5" hidden="1" customHeight="1">
      <c r="A277" s="169">
        <v>276.0</v>
      </c>
      <c r="B277" s="170">
        <v>46064.0</v>
      </c>
      <c r="C277" s="154" t="s">
        <v>6658</v>
      </c>
      <c r="D277" s="118" t="str">
        <f>IFERROR(__xludf.DUMMYFUNCTION("IFERROR( INDEX( FILTER( 'NOMBRE DE PRODUCTOS'!B:B, REGEXMATCH( UPPER( INDEX( REPORTE_DROPI!AC:AC, MATCH(T277, REPORTE_DROPI!B:B, 0) ) ), UPPER('NOMBRE DE PRODUCTOS'!A:A) ) ), 1 ), ""REVISAR"" )"),"FilmPro®")</f>
        <v>FilmPro®</v>
      </c>
      <c r="E277" s="120">
        <f t="array" ref="E277">IF(
UPPER(TRIM(CLEAN($O277)))="ENTREGADO",
IFERROR(
INDEX(REPORTE_DROPI!Y:Y,
MATCH($T277, REPORTE_DROPI!B:B, 0)
),
""
),
""
)
</f>
        <v>4.8</v>
      </c>
      <c r="F277" s="171">
        <v>2.0</v>
      </c>
      <c r="G277" s="122">
        <f t="array" ref="G277">IF(
UPPER(TRIM(CLEAN($O277)))="ENTREGADO",
IFERROR(
INDEX(REPORTE_DROPI!R:R,
MATCH($T277, REPORTE_DROPI!B:B, 0)
),
""
),
""
)
</f>
        <v>25</v>
      </c>
      <c r="H277" s="118" t="s">
        <v>3727</v>
      </c>
      <c r="I277" s="154" t="s">
        <v>3731</v>
      </c>
      <c r="J277" s="121">
        <f t="array" ref="J277">IF(
UPPER(TRIM(CLEAN($O277)))="ENTREGADO",
IFERROR(
INDEX(REPORTE_DROPI!T:T,
MATCH($T277, REPORTE_DROPI!B:B, 0)
),
""
),
""
)
</f>
        <v>5.96</v>
      </c>
      <c r="K277" s="118">
        <f t="array" ref="K277">IFERROR(
INDEX(REPORTE_DROPI!S:S,
MATCH($T277, REPORTE_DROPI!B:B, 0)
),
""
)</f>
        <v>14.24</v>
      </c>
      <c r="L277" s="118" t="str">
        <f>IF(
  O277&lt;&gt;"DEVOLUCION",
  "",
  IF(
    T277="",
    "",
    SUMIF(DEVOLUCION!F:F, T277, DEVOLUCION!D:D)
  )
)
</f>
        <v/>
      </c>
      <c r="M277" s="118" t="s">
        <v>5877</v>
      </c>
      <c r="N277" s="169" t="s">
        <v>6659</v>
      </c>
      <c r="O277" s="118" t="str">
        <f t="array" ref="O277">IFERROR(
VLOOKUP(
TRIM(CLEAN(
INDEX(REPORTE_DROPI!K:K,
MATCH(T277, REPORTE_DROPI!B:B, 0)
))),
{
TRIM(CLEAN(MAPA_ESTADOS!A:A)) ,
MAPA_ESTADOS!B:B
},
2,
FALSE
),
"REVISAR"
)</f>
        <v>ENTREGADO</v>
      </c>
      <c r="P277" s="154" t="s">
        <v>5692</v>
      </c>
      <c r="Q277" s="153">
        <f t="shared" si="1"/>
        <v>0</v>
      </c>
      <c r="R277" s="172"/>
      <c r="S277" s="172"/>
      <c r="T277" s="118">
        <f t="array" ref="T277">IFERROR(
INDEX(REPORTE_DROPI!B:B,
MATCH(
CLEAN(TRIM(C277)),
CLEAN(TRIM(REPORTE_DROPI!E:E)),
0
)
),
""
)
</f>
        <v>4480883</v>
      </c>
      <c r="U277" s="169" t="s">
        <v>6660</v>
      </c>
      <c r="V277" s="166"/>
    </row>
    <row r="278" ht="22.5" hidden="1" customHeight="1">
      <c r="A278" s="169">
        <v>277.0</v>
      </c>
      <c r="B278" s="170">
        <v>46064.0</v>
      </c>
      <c r="C278" s="154" t="s">
        <v>6661</v>
      </c>
      <c r="D278" s="118" t="str">
        <f>IFERROR(__xludf.DUMMYFUNCTION("IFERROR( INDEX( FILTER( 'NOMBRE DE PRODUCTOS'!B:B, REGEXMATCH( UPPER( INDEX( REPORTE_DROPI!AC:AC, MATCH(T278, REPORTE_DROPI!B:B, 0) ) ), UPPER('NOMBRE DE PRODUCTOS'!A:A) ) ), 1 ), ""REVISAR"" )"),"FilmPro®")</f>
        <v>FilmPro®</v>
      </c>
      <c r="E278" s="120">
        <f t="array" ref="E278">IF(
UPPER(TRIM(CLEAN($O278)))="ENTREGADO",
IFERROR(
INDEX(REPORTE_DROPI!Y:Y,
MATCH($T278, REPORTE_DROPI!B:B, 0)
),
""
),
""
)
</f>
        <v>4.8</v>
      </c>
      <c r="F278" s="171">
        <v>2.0</v>
      </c>
      <c r="G278" s="122">
        <f t="array" ref="G278">IF(
UPPER(TRIM(CLEAN($O278)))="ENTREGADO",
IFERROR(
INDEX(REPORTE_DROPI!R:R,
MATCH($T278, REPORTE_DROPI!B:B, 0)
),
""
),
""
)
</f>
        <v>25</v>
      </c>
      <c r="H278" s="118" t="s">
        <v>3727</v>
      </c>
      <c r="I278" s="154" t="s">
        <v>3728</v>
      </c>
      <c r="J278" s="121">
        <f t="array" ref="J278">IF(
UPPER(TRIM(CLEAN($O278)))="ENTREGADO",
IFERROR(
INDEX(REPORTE_DROPI!T:T,
MATCH($T278, REPORTE_DROPI!B:B, 0)
),
""
),
""
)
</f>
        <v>6.53</v>
      </c>
      <c r="K278" s="118">
        <f t="array" ref="K278">IFERROR(
INDEX(REPORTE_DROPI!S:S,
MATCH($T278, REPORTE_DROPI!B:B, 0)
),
""
)</f>
        <v>13.67</v>
      </c>
      <c r="L278" s="118" t="str">
        <f>IF(
  O278&lt;&gt;"DEVOLUCION",
  "",
  IF(
    T278="",
    "",
    SUMIF(DEVOLUCION!F:F, T278, DEVOLUCION!D:D)
  )
)
</f>
        <v/>
      </c>
      <c r="M278" s="118" t="s">
        <v>5877</v>
      </c>
      <c r="N278" s="169" t="s">
        <v>6662</v>
      </c>
      <c r="O278" s="118" t="str">
        <f t="array" ref="O278">IFERROR(
VLOOKUP(
TRIM(CLEAN(
INDEX(REPORTE_DROPI!K:K,
MATCH(T278, REPORTE_DROPI!B:B, 0)
))),
{
TRIM(CLEAN(MAPA_ESTADOS!A:A)) ,
MAPA_ESTADOS!B:B
},
2,
FALSE
),
"REVISAR"
)</f>
        <v>ENTREGADO</v>
      </c>
      <c r="P278" s="154" t="s">
        <v>5692</v>
      </c>
      <c r="Q278" s="153">
        <f t="shared" si="1"/>
        <v>0</v>
      </c>
      <c r="R278" s="172"/>
      <c r="S278" s="172"/>
      <c r="T278" s="118">
        <f t="array" ref="T278">IFERROR(
INDEX(REPORTE_DROPI!B:B,
MATCH(
CLEAN(TRIM(C278)),
CLEAN(TRIM(REPORTE_DROPI!E:E)),
0
)
),
""
)
</f>
        <v>4479660</v>
      </c>
      <c r="U278" s="169" t="s">
        <v>6663</v>
      </c>
      <c r="V278" s="166"/>
    </row>
    <row r="279" ht="22.5" hidden="1" customHeight="1">
      <c r="A279" s="169">
        <v>278.0</v>
      </c>
      <c r="B279" s="170">
        <v>46064.0</v>
      </c>
      <c r="C279" s="154" t="s">
        <v>6664</v>
      </c>
      <c r="D279" s="118" t="str">
        <f>IFERROR(__xludf.DUMMYFUNCTION("IFERROR( INDEX( FILTER( 'NOMBRE DE PRODUCTOS'!B:B, REGEXMATCH( UPPER( INDEX( REPORTE_DROPI!AC:AC, MATCH(T279, REPORTE_DROPI!B:B, 0) ) ), UPPER('NOMBRE DE PRODUCTOS'!A:A) ) ), 1 ), ""REVISAR"" )"),"Cuchillo Tazaki™")</f>
        <v>Cuchillo Tazaki™</v>
      </c>
      <c r="E279" s="120">
        <f t="array" ref="E279">IF(
UPPER(TRIM(CLEAN($O279)))="ENTREGADO",
IFERROR(
INDEX(REPORTE_DROPI!Y:Y,
MATCH($T279, REPORTE_DROPI!B:B, 0)
),
""
),
""
)
</f>
        <v>5.2</v>
      </c>
      <c r="F279" s="171">
        <v>2.0</v>
      </c>
      <c r="G279" s="122">
        <f t="array" ref="G279">IF(
UPPER(TRIM(CLEAN($O279)))="ENTREGADO",
IFERROR(
INDEX(REPORTE_DROPI!R:R,
MATCH($T279, REPORTE_DROPI!B:B, 0)
),
""
),
""
)
</f>
        <v>22</v>
      </c>
      <c r="H279" s="118" t="s">
        <v>3727</v>
      </c>
      <c r="I279" s="154" t="s">
        <v>3864</v>
      </c>
      <c r="J279" s="121">
        <f t="array" ref="J279">IF(
UPPER(TRIM(CLEAN($O279)))="ENTREGADO",
IFERROR(
INDEX(REPORTE_DROPI!T:T,
MATCH($T279, REPORTE_DROPI!B:B, 0)
),
""
),
""
)
</f>
        <v>6.41</v>
      </c>
      <c r="K279" s="118">
        <f t="array" ref="K279">IFERROR(
INDEX(REPORTE_DROPI!S:S,
MATCH($T279, REPORTE_DROPI!B:B, 0)
),
""
)</f>
        <v>10.39</v>
      </c>
      <c r="L279" s="118" t="str">
        <f>IF(
  O279&lt;&gt;"DEVOLUCION",
  "",
  IF(
    T279="",
    "",
    SUMIF(DEVOLUCION!F:F, T279, DEVOLUCION!D:D)
  )
)
</f>
        <v/>
      </c>
      <c r="M279" s="118" t="s">
        <v>5877</v>
      </c>
      <c r="N279" s="169" t="s">
        <v>6665</v>
      </c>
      <c r="O279" s="118" t="str">
        <f t="array" ref="O279">IFERROR(
VLOOKUP(
TRIM(CLEAN(
INDEX(REPORTE_DROPI!K:K,
MATCH(T279, REPORTE_DROPI!B:B, 0)
))),
{
TRIM(CLEAN(MAPA_ESTADOS!A:A)) ,
MAPA_ESTADOS!B:B
},
2,
FALSE
),
"REVISAR"
)</f>
        <v>ENTREGADO</v>
      </c>
      <c r="P279" s="154" t="s">
        <v>6666</v>
      </c>
      <c r="Q279" s="153">
        <f t="shared" si="1"/>
        <v>0</v>
      </c>
      <c r="R279" s="172"/>
      <c r="S279" s="172"/>
      <c r="T279" s="118">
        <f t="array" ref="T279">IFERROR(
INDEX(REPORTE_DROPI!B:B,
MATCH(
CLEAN(TRIM(C279)),
CLEAN(TRIM(REPORTE_DROPI!E:E)),
0
)
),
""
)
</f>
        <v>4479830</v>
      </c>
      <c r="U279" s="169" t="s">
        <v>6667</v>
      </c>
      <c r="V279" s="166"/>
    </row>
    <row r="280" ht="22.5" hidden="1" customHeight="1">
      <c r="A280" s="169">
        <v>279.0</v>
      </c>
      <c r="B280" s="170">
        <v>46064.0</v>
      </c>
      <c r="C280" s="154" t="s">
        <v>6668</v>
      </c>
      <c r="D280" s="118" t="str">
        <f>IFERROR(__xludf.DUMMYFUNCTION("IFERROR( INDEX( FILTER( 'NOMBRE DE PRODUCTOS'!B:B, REGEXMATCH( UPPER( INDEX( REPORTE_DROPI!AC:AC, MATCH(T280, REPORTE_DROPI!B:B, 0) ) ), UPPER('NOMBRE DE PRODUCTOS'!A:A) ) ), 1 ), ""REVISAR"" )"),"Cuchillo Tazaki™")</f>
        <v>Cuchillo Tazaki™</v>
      </c>
      <c r="E280" s="120">
        <f t="array" ref="E280">IF(
UPPER(TRIM(CLEAN($O280)))="ENTREGADO",
IFERROR(
INDEX(REPORTE_DROPI!Y:Y,
MATCH($T280, REPORTE_DROPI!B:B, 0)
),
""
),
""
)
</f>
        <v>5.2</v>
      </c>
      <c r="F280" s="171">
        <v>2.0</v>
      </c>
      <c r="G280" s="122">
        <f t="array" ref="G280">IF(
UPPER(TRIM(CLEAN($O280)))="ENTREGADO",
IFERROR(
INDEX(REPORTE_DROPI!R:R,
MATCH($T280, REPORTE_DROPI!B:B, 0)
),
""
),
""
)
</f>
        <v>22</v>
      </c>
      <c r="H280" s="118" t="s">
        <v>3727</v>
      </c>
      <c r="I280" s="154" t="s">
        <v>3731</v>
      </c>
      <c r="J280" s="121">
        <f t="array" ref="J280">IF(
UPPER(TRIM(CLEAN($O280)))="ENTREGADO",
IFERROR(
INDEX(REPORTE_DROPI!T:T,
MATCH($T280, REPORTE_DROPI!B:B, 0)
),
""
),
""
)
</f>
        <v>5.84</v>
      </c>
      <c r="K280" s="118">
        <f t="array" ref="K280">IFERROR(
INDEX(REPORTE_DROPI!S:S,
MATCH($T280, REPORTE_DROPI!B:B, 0)
),
""
)</f>
        <v>10.96</v>
      </c>
      <c r="L280" s="118" t="str">
        <f>IF(
  O280&lt;&gt;"DEVOLUCION",
  "",
  IF(
    T280="",
    "",
    SUMIF(DEVOLUCION!F:F, T280, DEVOLUCION!D:D)
  )
)
</f>
        <v/>
      </c>
      <c r="M280" s="118" t="s">
        <v>5877</v>
      </c>
      <c r="N280" s="169" t="s">
        <v>6669</v>
      </c>
      <c r="O280" s="118" t="str">
        <f t="array" ref="O280">IFERROR(
VLOOKUP(
TRIM(CLEAN(
INDEX(REPORTE_DROPI!K:K,
MATCH(T280, REPORTE_DROPI!B:B, 0)
))),
{
TRIM(CLEAN(MAPA_ESTADOS!A:A)) ,
MAPA_ESTADOS!B:B
},
2,
FALSE
),
"REVISAR"
)</f>
        <v>ENTREGADO</v>
      </c>
      <c r="P280" s="154" t="s">
        <v>5692</v>
      </c>
      <c r="Q280" s="153">
        <f t="shared" si="1"/>
        <v>0</v>
      </c>
      <c r="R280" s="172"/>
      <c r="S280" s="172"/>
      <c r="T280" s="118">
        <f t="array" ref="T280">IFERROR(
INDEX(REPORTE_DROPI!B:B,
MATCH(
CLEAN(TRIM(C280)),
CLEAN(TRIM(REPORTE_DROPI!E:E)),
0
)
),
""
)
</f>
        <v>4480601</v>
      </c>
      <c r="U280" s="173">
        <v>1.57100141133E11</v>
      </c>
      <c r="V280" s="166"/>
    </row>
    <row r="281" ht="22.5" hidden="1" customHeight="1">
      <c r="A281" s="169">
        <v>280.0</v>
      </c>
      <c r="B281" s="170">
        <v>46064.0</v>
      </c>
      <c r="C281" s="154" t="s">
        <v>6670</v>
      </c>
      <c r="D281" s="118" t="str">
        <f>IFERROR(__xludf.DUMMYFUNCTION("IFERROR( INDEX( FILTER( 'NOMBRE DE PRODUCTOS'!B:B, REGEXMATCH( UPPER( INDEX( REPORTE_DROPI!AC:AC, MATCH(T281, REPORTE_DROPI!B:B, 0) ) ), UPPER('NOMBRE DE PRODUCTOS'!A:A) ) ), 1 ), ""REVISAR"" )"),"FilmPro®")</f>
        <v>FilmPro®</v>
      </c>
      <c r="E281" s="120">
        <f t="array" ref="E281">IF(
UPPER(TRIM(CLEAN($O281)))="ENTREGADO",
IFERROR(
INDEX(REPORTE_DROPI!Y:Y,
MATCH($T281, REPORTE_DROPI!B:B, 0)
),
""
),
""
)
</f>
        <v>4.8</v>
      </c>
      <c r="F281" s="171">
        <v>2.0</v>
      </c>
      <c r="G281" s="122">
        <f t="array" ref="G281">IF(
UPPER(TRIM(CLEAN($O281)))="ENTREGADO",
IFERROR(
INDEX(REPORTE_DROPI!R:R,
MATCH($T281, REPORTE_DROPI!B:B, 0)
),
""
),
""
)
</f>
        <v>25</v>
      </c>
      <c r="H281" s="118" t="s">
        <v>3727</v>
      </c>
      <c r="I281" s="154" t="s">
        <v>3882</v>
      </c>
      <c r="J281" s="121">
        <f t="array" ref="J281">IF(
UPPER(TRIM(CLEAN($O281)))="ENTREGADO",
IFERROR(
INDEX(REPORTE_DROPI!T:T,
MATCH($T281, REPORTE_DROPI!B:B, 0)
),
""
),
""
)
</f>
        <v>8.34</v>
      </c>
      <c r="K281" s="118">
        <f t="array" ref="K281">IFERROR(
INDEX(REPORTE_DROPI!S:S,
MATCH($T281, REPORTE_DROPI!B:B, 0)
),
""
)</f>
        <v>11.86</v>
      </c>
      <c r="L281" s="118" t="str">
        <f>IF(
  O281&lt;&gt;"DEVOLUCION",
  "",
  IF(
    T281="",
    "",
    SUMIF(DEVOLUCION!F:F, T281, DEVOLUCION!D:D)
  )
)
</f>
        <v/>
      </c>
      <c r="M281" s="118" t="s">
        <v>5877</v>
      </c>
      <c r="N281" s="169" t="s">
        <v>6671</v>
      </c>
      <c r="O281" s="118" t="str">
        <f t="array" ref="O281">IFERROR(
VLOOKUP(
TRIM(CLEAN(
INDEX(REPORTE_DROPI!K:K,
MATCH(T281, REPORTE_DROPI!B:B, 0)
))),
{
TRIM(CLEAN(MAPA_ESTADOS!A:A)) ,
MAPA_ESTADOS!B:B
},
2,
FALSE
),
"REVISAR"
)</f>
        <v>ENTREGADO</v>
      </c>
      <c r="P281" s="154" t="s">
        <v>5692</v>
      </c>
      <c r="Q281" s="153">
        <f t="shared" si="1"/>
        <v>0</v>
      </c>
      <c r="R281" s="172"/>
      <c r="S281" s="172"/>
      <c r="T281" s="118">
        <f t="array" ref="T281">IFERROR(
INDEX(REPORTE_DROPI!B:B,
MATCH(
CLEAN(TRIM(C281)),
CLEAN(TRIM(REPORTE_DROPI!E:E)),
0
)
),
""
)
</f>
        <v>4481190</v>
      </c>
      <c r="U281" s="169" t="s">
        <v>6672</v>
      </c>
      <c r="V281" s="166"/>
    </row>
    <row r="282" ht="22.5" hidden="1" customHeight="1">
      <c r="A282" s="169">
        <v>281.0</v>
      </c>
      <c r="B282" s="170">
        <v>46064.0</v>
      </c>
      <c r="C282" s="154" t="s">
        <v>6673</v>
      </c>
      <c r="D282" s="118" t="str">
        <f>IFERROR(__xludf.DUMMYFUNCTION("IFERROR( INDEX( FILTER( 'NOMBRE DE PRODUCTOS'!B:B, REGEXMATCH( UPPER( INDEX( REPORTE_DROPI!AC:AC, MATCH(T282, REPORTE_DROPI!B:B, 0) ) ), UPPER('NOMBRE DE PRODUCTOS'!A:A) ) ), 1 ), ""REVISAR"" )"),"FilmPro®")</f>
        <v>FilmPro®</v>
      </c>
      <c r="E282" s="120" t="str">
        <f t="array" ref="E282">IF(
UPPER(TRIM(CLEAN($O282)))="ENTREGADO",
IFERROR(
INDEX(REPORTE_DROPI!Y:Y,
MATCH($T282, REPORTE_DROPI!B:B, 0)
),
""
),
""
)
</f>
        <v/>
      </c>
      <c r="F282" s="171">
        <v>1.0</v>
      </c>
      <c r="G282" s="122" t="str">
        <f t="array" ref="G282">IF(
UPPER(TRIM(CLEAN($O282)))="ENTREGADO",
IFERROR(
INDEX(REPORTE_DROPI!R:R,
MATCH($T282, REPORTE_DROPI!B:B, 0)
),
""
),
""
)
</f>
        <v/>
      </c>
      <c r="H282" s="118" t="s">
        <v>3727</v>
      </c>
      <c r="I282" s="154" t="s">
        <v>3738</v>
      </c>
      <c r="J282" s="121" t="str">
        <f t="array" ref="J282">IF(
UPPER(TRIM(CLEAN($O282)))="ENTREGADO",
IFERROR(
INDEX(REPORTE_DROPI!T:T,
MATCH($T282, REPORTE_DROPI!B:B, 0)
),
""
),
""
)
</f>
        <v/>
      </c>
      <c r="K282" s="118" t="str">
        <f t="array" ref="K282">IFERROR(
INDEX(REPORTE_DROPI!S:S,
MATCH($T282, REPORTE_DROPI!B:B, 0)
),
""
)</f>
        <v/>
      </c>
      <c r="L282" s="118" t="str">
        <f>IF(
  O282&lt;&gt;"DEVOLUCION",
  "",
  IF(
    T282="",
    "",
    SUMIF(DEVOLUCION!F:F, T282, DEVOLUCION!D:D)
  )
)
</f>
        <v/>
      </c>
      <c r="M282" s="118" t="s">
        <v>5877</v>
      </c>
      <c r="N282" s="169" t="s">
        <v>6674</v>
      </c>
      <c r="O282" s="118" t="str">
        <f t="array" ref="O282">IFERROR(
VLOOKUP(
TRIM(CLEAN(
INDEX(REPORTE_DROPI!K:K,
MATCH(T282, REPORTE_DROPI!B:B, 0)
))),
{
TRIM(CLEAN(MAPA_ESTADOS!A:A)) ,
MAPA_ESTADOS!B:B
},
2,
FALSE
),
"REVISAR"
)</f>
        <v>CANCELADO</v>
      </c>
      <c r="P282" s="154" t="s">
        <v>6675</v>
      </c>
      <c r="Q282" s="153">
        <f t="shared" si="1"/>
        <v>0</v>
      </c>
      <c r="R282" s="172"/>
      <c r="S282" s="172"/>
      <c r="T282" s="118">
        <f t="array" ref="T282">IFERROR(
INDEX(REPORTE_DROPI!B:B,
MATCH(
CLEAN(TRIM(C282)),
CLEAN(TRIM(REPORTE_DROPI!E:E)),
0
)
),
""
)
</f>
        <v>4481305</v>
      </c>
      <c r="U282" s="169" t="s">
        <v>6676</v>
      </c>
      <c r="V282" s="166"/>
    </row>
    <row r="283" ht="22.5" hidden="1" customHeight="1">
      <c r="A283" s="169">
        <v>282.0</v>
      </c>
      <c r="B283" s="170">
        <v>46064.0</v>
      </c>
      <c r="C283" s="154" t="s">
        <v>6677</v>
      </c>
      <c r="D283" s="118" t="str">
        <f>IFERROR(__xludf.DUMMYFUNCTION("IFERROR( INDEX( FILTER( 'NOMBRE DE PRODUCTOS'!B:B, REGEXMATCH( UPPER( INDEX( REPORTE_DROPI!AC:AC, MATCH(T283, REPORTE_DROPI!B:B, 0) ) ), UPPER('NOMBRE DE PRODUCTOS'!A:A) ) ), 1 ), ""REVISAR"" )"),"Cuchillo Tazaki™")</f>
        <v>Cuchillo Tazaki™</v>
      </c>
      <c r="E283" s="120">
        <f t="array" ref="E283">IF(
UPPER(TRIM(CLEAN($O283)))="ENTREGADO",
IFERROR(
INDEX(REPORTE_DROPI!Y:Y,
MATCH($T283, REPORTE_DROPI!B:B, 0)
),
""
),
""
)
</f>
        <v>5.2</v>
      </c>
      <c r="F283" s="171">
        <v>2.0</v>
      </c>
      <c r="G283" s="122">
        <f t="array" ref="G283">IF(
UPPER(TRIM(CLEAN($O283)))="ENTREGADO",
IFERROR(
INDEX(REPORTE_DROPI!R:R,
MATCH($T283, REPORTE_DROPI!B:B, 0)
),
""
),
""
)
</f>
        <v>22</v>
      </c>
      <c r="H283" s="118" t="s">
        <v>3727</v>
      </c>
      <c r="I283" s="154" t="s">
        <v>3728</v>
      </c>
      <c r="J283" s="121">
        <f t="array" ref="J283">IF(
UPPER(TRIM(CLEAN($O283)))="ENTREGADO",
IFERROR(
INDEX(REPORTE_DROPI!T:T,
MATCH($T283, REPORTE_DROPI!B:B, 0)
),
""
),
""
)
</f>
        <v>6.41</v>
      </c>
      <c r="K283" s="118">
        <f t="array" ref="K283">IFERROR(
INDEX(REPORTE_DROPI!S:S,
MATCH($T283, REPORTE_DROPI!B:B, 0)
),
""
)</f>
        <v>10.39</v>
      </c>
      <c r="L283" s="118" t="str">
        <f>IF(
  O283&lt;&gt;"DEVOLUCION",
  "",
  IF(
    T283="",
    "",
    SUMIF(DEVOLUCION!F:F, T283, DEVOLUCION!D:D)
  )
)
</f>
        <v/>
      </c>
      <c r="M283" s="118" t="s">
        <v>5877</v>
      </c>
      <c r="N283" s="169" t="s">
        <v>6678</v>
      </c>
      <c r="O283" s="118" t="str">
        <f t="array" ref="O283">IFERROR(
VLOOKUP(
TRIM(CLEAN(
INDEX(REPORTE_DROPI!K:K,
MATCH(T283, REPORTE_DROPI!B:B, 0)
))),
{
TRIM(CLEAN(MAPA_ESTADOS!A:A)) ,
MAPA_ESTADOS!B:B
},
2,
FALSE
),
"REVISAR"
)</f>
        <v>ENTREGADO</v>
      </c>
      <c r="P283" s="154" t="s">
        <v>5692</v>
      </c>
      <c r="Q283" s="153">
        <f t="shared" si="1"/>
        <v>0</v>
      </c>
      <c r="R283" s="172"/>
      <c r="S283" s="172"/>
      <c r="T283" s="118">
        <f t="array" ref="T283">IFERROR(
INDEX(REPORTE_DROPI!B:B,
MATCH(
CLEAN(TRIM(C283)),
CLEAN(TRIM(REPORTE_DROPI!E:E)),
0
)
),
""
)
</f>
        <v>4481400</v>
      </c>
      <c r="U283" s="169" t="s">
        <v>6679</v>
      </c>
      <c r="V283" s="166"/>
    </row>
    <row r="284" ht="22.5" hidden="1" customHeight="1">
      <c r="A284" s="169">
        <v>283.0</v>
      </c>
      <c r="B284" s="170">
        <v>46064.0</v>
      </c>
      <c r="C284" s="154" t="s">
        <v>6680</v>
      </c>
      <c r="D284" s="118" t="str">
        <f>IFERROR(__xludf.DUMMYFUNCTION("IFERROR( INDEX( FILTER( 'NOMBRE DE PRODUCTOS'!B:B, REGEXMATCH( UPPER( INDEX( REPORTE_DROPI!AC:AC, MATCH(T284, REPORTE_DROPI!B:B, 0) ) ), UPPER('NOMBRE DE PRODUCTOS'!A:A) ) ), 1 ), ""REVISAR"" )"),"Cuchillo Tazaki™")</f>
        <v>Cuchillo Tazaki™</v>
      </c>
      <c r="E284" s="120" t="str">
        <f t="array" ref="E284">IF(
UPPER(TRIM(CLEAN($O284)))="ENTREGADO",
IFERROR(
INDEX(REPORTE_DROPI!Y:Y,
MATCH($T284, REPORTE_DROPI!B:B, 0)
),
""
),
""
)
</f>
        <v/>
      </c>
      <c r="F284" s="171">
        <v>2.0</v>
      </c>
      <c r="G284" s="122" t="str">
        <f t="array" ref="G284">IF(
UPPER(TRIM(CLEAN($O284)))="ENTREGADO",
IFERROR(
INDEX(REPORTE_DROPI!R:R,
MATCH($T284, REPORTE_DROPI!B:B, 0)
),
""
),
""
)
</f>
        <v/>
      </c>
      <c r="H284" s="118" t="s">
        <v>3727</v>
      </c>
      <c r="I284" s="154" t="s">
        <v>3731</v>
      </c>
      <c r="J284" s="121" t="str">
        <f t="array" ref="J284">IF(
UPPER(TRIM(CLEAN($O284)))="ENTREGADO",
IFERROR(
INDEX(REPORTE_DROPI!T:T,
MATCH($T284, REPORTE_DROPI!B:B, 0)
),
""
),
""
)
</f>
        <v/>
      </c>
      <c r="K284" s="118" t="str">
        <f t="array" ref="K284">IFERROR(
INDEX(REPORTE_DROPI!S:S,
MATCH($T284, REPORTE_DROPI!B:B, 0)
),
""
)</f>
        <v/>
      </c>
      <c r="L284" s="118">
        <f>IF(
  O284&lt;&gt;"DEVOLUCION",
  "",
  IF(
    T284="",
    "",
    SUMIF(DEVOLUCION!F:F, T284, DEVOLUCION!D:D)
  )
)
</f>
        <v>5.11</v>
      </c>
      <c r="M284" s="118" t="s">
        <v>5877</v>
      </c>
      <c r="N284" s="169" t="s">
        <v>6681</v>
      </c>
      <c r="O284" s="118" t="str">
        <f t="array" ref="O284">IFERROR(
VLOOKUP(
TRIM(CLEAN(
INDEX(REPORTE_DROPI!K:K,
MATCH(T284, REPORTE_DROPI!B:B, 0)
))),
{
TRIM(CLEAN(MAPA_ESTADOS!A:A)) ,
MAPA_ESTADOS!B:B
},
2,
FALSE
),
"REVISAR"
)</f>
        <v>DEVOLUCION</v>
      </c>
      <c r="P284" s="154" t="s">
        <v>5692</v>
      </c>
      <c r="Q284" s="153">
        <f t="shared" si="1"/>
        <v>0</v>
      </c>
      <c r="R284" s="172"/>
      <c r="S284" s="172"/>
      <c r="T284" s="118">
        <f t="array" ref="T284">IFERROR(
INDEX(REPORTE_DROPI!B:B,
MATCH(
CLEAN(TRIM(C284)),
CLEAN(TRIM(REPORTE_DROPI!E:E)),
0
)
),
""
)
</f>
        <v>4490717</v>
      </c>
      <c r="U284" s="169" t="s">
        <v>6682</v>
      </c>
      <c r="V284" s="166"/>
    </row>
    <row r="285" ht="22.5" hidden="1" customHeight="1">
      <c r="A285" s="169">
        <v>284.0</v>
      </c>
      <c r="B285" s="170">
        <v>46064.0</v>
      </c>
      <c r="C285" s="154" t="s">
        <v>6683</v>
      </c>
      <c r="D285" s="118" t="str">
        <f>IFERROR(__xludf.DUMMYFUNCTION("IFERROR( INDEX( FILTER( 'NOMBRE DE PRODUCTOS'!B:B, REGEXMATCH( UPPER( INDEX( REPORTE_DROPI!AC:AC, MATCH(T285, REPORTE_DROPI!B:B, 0) ) ), UPPER('NOMBRE DE PRODUCTOS'!A:A) ) ), 1 ), ""REVISAR"" )"),"Cuchillo Tazaki™")</f>
        <v>Cuchillo Tazaki™</v>
      </c>
      <c r="E285" s="120">
        <f t="array" ref="E285">IF(
UPPER(TRIM(CLEAN($O285)))="ENTREGADO",
IFERROR(
INDEX(REPORTE_DROPI!Y:Y,
MATCH($T285, REPORTE_DROPI!B:B, 0)
),
""
),
""
)
</f>
        <v>10.4</v>
      </c>
      <c r="F285" s="171">
        <v>4.0</v>
      </c>
      <c r="G285" s="122">
        <f t="array" ref="G285">IF(
UPPER(TRIM(CLEAN($O285)))="ENTREGADO",
IFERROR(
INDEX(REPORTE_DROPI!R:R,
MATCH($T285, REPORTE_DROPI!B:B, 0)
),
""
),
""
)
</f>
        <v>32</v>
      </c>
      <c r="H285" s="118" t="s">
        <v>3727</v>
      </c>
      <c r="I285" s="154" t="s">
        <v>3951</v>
      </c>
      <c r="J285" s="121">
        <f t="array" ref="J285">IF(
UPPER(TRIM(CLEAN($O285)))="ENTREGADO",
IFERROR(
INDEX(REPORTE_DROPI!T:T,
MATCH($T285, REPORTE_DROPI!B:B, 0)
),
""
),
""
)
</f>
        <v>6.24</v>
      </c>
      <c r="K285" s="118">
        <f t="array" ref="K285">IFERROR(
INDEX(REPORTE_DROPI!S:S,
MATCH($T285, REPORTE_DROPI!B:B, 0)
),
""
)</f>
        <v>15.36</v>
      </c>
      <c r="L285" s="118" t="str">
        <f>IF(
  O285&lt;&gt;"DEVOLUCION",
  "",
  IF(
    T285="",
    "",
    SUMIF(DEVOLUCION!F:F, T285, DEVOLUCION!D:D)
  )
)
</f>
        <v/>
      </c>
      <c r="M285" s="118" t="s">
        <v>5877</v>
      </c>
      <c r="N285" s="169" t="s">
        <v>6684</v>
      </c>
      <c r="O285" s="118" t="str">
        <f t="array" ref="O285">IFERROR(
VLOOKUP(
TRIM(CLEAN(
INDEX(REPORTE_DROPI!K:K,
MATCH(T285, REPORTE_DROPI!B:B, 0)
))),
{
TRIM(CLEAN(MAPA_ESTADOS!A:A)) ,
MAPA_ESTADOS!B:B
},
2,
FALSE
),
"REVISAR"
)</f>
        <v>ENTREGADO</v>
      </c>
      <c r="P285" s="154" t="s">
        <v>6481</v>
      </c>
      <c r="Q285" s="153">
        <f t="shared" si="1"/>
        <v>0</v>
      </c>
      <c r="R285" s="172"/>
      <c r="S285" s="172"/>
      <c r="T285" s="118">
        <f t="array" ref="T285">IFERROR(
INDEX(REPORTE_DROPI!B:B,
MATCH(
CLEAN(TRIM(C285)),
CLEAN(TRIM(REPORTE_DROPI!E:E)),
0
)
),
""
)
</f>
        <v>4490256</v>
      </c>
      <c r="U285" s="169" t="s">
        <v>6685</v>
      </c>
      <c r="V285" s="166"/>
    </row>
    <row r="286" ht="22.5" hidden="1" customHeight="1">
      <c r="A286" s="169">
        <v>285.0</v>
      </c>
      <c r="B286" s="170">
        <v>46064.0</v>
      </c>
      <c r="C286" s="154" t="s">
        <v>6686</v>
      </c>
      <c r="D286" s="118" t="str">
        <f>IFERROR(__xludf.DUMMYFUNCTION("IFERROR( INDEX( FILTER( 'NOMBRE DE PRODUCTOS'!B:B, REGEXMATCH( UPPER( INDEX( REPORTE_DROPI!AC:AC, MATCH(T286, REPORTE_DROPI!B:B, 0) ) ), UPPER('NOMBRE DE PRODUCTOS'!A:A) ) ), 1 ), ""REVISAR"" )"),"FilmPro®")</f>
        <v>FilmPro®</v>
      </c>
      <c r="E286" s="120">
        <f t="array" ref="E286">IF(
UPPER(TRIM(CLEAN($O286)))="ENTREGADO",
IFERROR(
INDEX(REPORTE_DROPI!Y:Y,
MATCH($T286, REPORTE_DROPI!B:B, 0)
),
""
),
""
)
</f>
        <v>7.2</v>
      </c>
      <c r="F286" s="171">
        <v>3.0</v>
      </c>
      <c r="G286" s="122">
        <f t="array" ref="G286">IF(
UPPER(TRIM(CLEAN($O286)))="ENTREGADO",
IFERROR(
INDEX(REPORTE_DROPI!R:R,
MATCH($T286, REPORTE_DROPI!B:B, 0)
),
""
),
""
)
</f>
        <v>30</v>
      </c>
      <c r="H286" s="118" t="s">
        <v>3727</v>
      </c>
      <c r="I286" s="154" t="s">
        <v>3778</v>
      </c>
      <c r="J286" s="121">
        <f t="array" ref="J286">IF(
UPPER(TRIM(CLEAN($O286)))="ENTREGADO",
IFERROR(
INDEX(REPORTE_DROPI!T:T,
MATCH($T286, REPORTE_DROPI!B:B, 0)
),
""
),
""
)
</f>
        <v>6.16</v>
      </c>
      <c r="K286" s="118">
        <f t="array" ref="K286">IFERROR(
INDEX(REPORTE_DROPI!S:S,
MATCH($T286, REPORTE_DROPI!B:B, 0)
),
""
)</f>
        <v>16.64</v>
      </c>
      <c r="L286" s="118" t="str">
        <f>IF(
  O286&lt;&gt;"DEVOLUCION",
  "",
  IF(
    T286="",
    "",
    SUMIF(DEVOLUCION!F:F, T286, DEVOLUCION!D:D)
  )
)
</f>
        <v/>
      </c>
      <c r="M286" s="118" t="s">
        <v>5877</v>
      </c>
      <c r="N286" s="169" t="s">
        <v>6687</v>
      </c>
      <c r="O286" s="118" t="str">
        <f t="array" ref="O286">IFERROR(
VLOOKUP(
TRIM(CLEAN(
INDEX(REPORTE_DROPI!K:K,
MATCH(T286, REPORTE_DROPI!B:B, 0)
))),
{
TRIM(CLEAN(MAPA_ESTADOS!A:A)) ,
MAPA_ESTADOS!B:B
},
2,
FALSE
),
"REVISAR"
)</f>
        <v>ENTREGADO</v>
      </c>
      <c r="P286" s="154" t="s">
        <v>5692</v>
      </c>
      <c r="Q286" s="153">
        <f t="shared" si="1"/>
        <v>0</v>
      </c>
      <c r="R286" s="172"/>
      <c r="S286" s="172"/>
      <c r="T286" s="118">
        <f t="array" ref="T286">IFERROR(
INDEX(REPORTE_DROPI!B:B,
MATCH(
CLEAN(TRIM(C286)),
CLEAN(TRIM(REPORTE_DROPI!E:E)),
0
)
),
""
)
</f>
        <v>4482226</v>
      </c>
      <c r="U286" s="169" t="s">
        <v>6688</v>
      </c>
      <c r="V286" s="166"/>
    </row>
    <row r="287" ht="22.5" hidden="1" customHeight="1">
      <c r="A287" s="169">
        <v>286.0</v>
      </c>
      <c r="B287" s="170">
        <v>46064.0</v>
      </c>
      <c r="C287" s="154" t="s">
        <v>6689</v>
      </c>
      <c r="D287" s="118" t="str">
        <f>IFERROR(__xludf.DUMMYFUNCTION("IFERROR( INDEX( FILTER( 'NOMBRE DE PRODUCTOS'!B:B, REGEXMATCH( UPPER( INDEX( REPORTE_DROPI!AC:AC, MATCH(T287, REPORTE_DROPI!B:B, 0) ) ), UPPER('NOMBRE DE PRODUCTOS'!A:A) ) ), 1 ), ""REVISAR"" )"),"Cuchillo Tazaki™")</f>
        <v>Cuchillo Tazaki™</v>
      </c>
      <c r="E287" s="120" t="str">
        <f t="array" ref="E287">IF(
UPPER(TRIM(CLEAN($O287)))="ENTREGADO",
IFERROR(
INDEX(REPORTE_DROPI!Y:Y,
MATCH($T287, REPORTE_DROPI!B:B, 0)
),
""
),
""
)
</f>
        <v/>
      </c>
      <c r="F287" s="171">
        <v>3.0</v>
      </c>
      <c r="G287" s="122" t="str">
        <f t="array" ref="G287">IF(
UPPER(TRIM(CLEAN($O287)))="ENTREGADO",
IFERROR(
INDEX(REPORTE_DROPI!R:R,
MATCH($T287, REPORTE_DROPI!B:B, 0)
),
""
),
""
)
</f>
        <v/>
      </c>
      <c r="H287" s="118" t="s">
        <v>3727</v>
      </c>
      <c r="I287" s="154" t="s">
        <v>3740</v>
      </c>
      <c r="J287" s="121" t="str">
        <f t="array" ref="J287">IF(
UPPER(TRIM(CLEAN($O287)))="ENTREGADO",
IFERROR(
INDEX(REPORTE_DROPI!T:T,
MATCH($T287, REPORTE_DROPI!B:B, 0)
),
""
),
""
)
</f>
        <v/>
      </c>
      <c r="K287" s="118" t="str">
        <f t="array" ref="K287">IFERROR(
INDEX(REPORTE_DROPI!S:S,
MATCH($T287, REPORTE_DROPI!B:B, 0)
),
""
)</f>
        <v/>
      </c>
      <c r="L287" s="118">
        <f>IF(
  O287&lt;&gt;"DEVOLUCION",
  "",
  IF(
    T287="",
    "",
    SUMIF(DEVOLUCION!F:F, T287, DEVOLUCION!D:D)
  )
)
</f>
        <v>4.52</v>
      </c>
      <c r="M287" s="118" t="s">
        <v>5877</v>
      </c>
      <c r="N287" s="169" t="s">
        <v>6690</v>
      </c>
      <c r="O287" s="118" t="str">
        <f t="array" ref="O287">IFERROR(
VLOOKUP(
TRIM(CLEAN(
INDEX(REPORTE_DROPI!K:K,
MATCH(T287, REPORTE_DROPI!B:B, 0)
))),
{
TRIM(CLEAN(MAPA_ESTADOS!A:A)) ,
MAPA_ESTADOS!B:B
},
2,
FALSE
),
"REVISAR"
)</f>
        <v>DEVOLUCION</v>
      </c>
      <c r="P287" s="154" t="s">
        <v>5692</v>
      </c>
      <c r="Q287" s="153">
        <f t="shared" si="1"/>
        <v>0</v>
      </c>
      <c r="R287" s="172"/>
      <c r="S287" s="172"/>
      <c r="T287" s="118">
        <f t="array" ref="T287">IFERROR(
INDEX(REPORTE_DROPI!B:B,
MATCH(
CLEAN(TRIM(C287)),
CLEAN(TRIM(REPORTE_DROPI!E:E)),
0
)
),
""
)
</f>
        <v>4482478</v>
      </c>
      <c r="U287" s="169" t="s">
        <v>6691</v>
      </c>
      <c r="V287" s="166"/>
    </row>
    <row r="288" ht="22.5" hidden="1" customHeight="1">
      <c r="A288" s="169">
        <v>287.0</v>
      </c>
      <c r="B288" s="170">
        <v>46064.0</v>
      </c>
      <c r="C288" s="154" t="s">
        <v>6692</v>
      </c>
      <c r="D288" s="118" t="str">
        <f>IFERROR(__xludf.DUMMYFUNCTION("IFERROR( INDEX( FILTER( 'NOMBRE DE PRODUCTOS'!B:B, REGEXMATCH( UPPER( INDEX( REPORTE_DROPI!AC:AC, MATCH(T288, REPORTE_DROPI!B:B, 0) ) ), UPPER('NOMBRE DE PRODUCTOS'!A:A) ) ), 1 ), ""REVISAR"" )"),"Cuchillo Tazaki™")</f>
        <v>Cuchillo Tazaki™</v>
      </c>
      <c r="E288" s="120">
        <f t="array" ref="E288">IF(
UPPER(TRIM(CLEAN($O288)))="ENTREGADO",
IFERROR(
INDEX(REPORTE_DROPI!Y:Y,
MATCH($T288, REPORTE_DROPI!B:B, 0)
),
""
),
""
)
</f>
        <v>5.2</v>
      </c>
      <c r="F288" s="171">
        <v>2.0</v>
      </c>
      <c r="G288" s="122">
        <f t="array" ref="G288">IF(
UPPER(TRIM(CLEAN($O288)))="ENTREGADO",
IFERROR(
INDEX(REPORTE_DROPI!R:R,
MATCH($T288, REPORTE_DROPI!B:B, 0)
),
""
),
""
)
</f>
        <v>22</v>
      </c>
      <c r="H288" s="118" t="s">
        <v>3727</v>
      </c>
      <c r="I288" s="154" t="s">
        <v>3742</v>
      </c>
      <c r="J288" s="121">
        <f t="array" ref="J288">IF(
UPPER(TRIM(CLEAN($O288)))="ENTREGADO",
IFERROR(
INDEX(REPORTE_DROPI!T:T,
MATCH($T288, REPORTE_DROPI!B:B, 0)
),
""
),
""
)
</f>
        <v>7.01</v>
      </c>
      <c r="K288" s="118">
        <f t="array" ref="K288">IFERROR(
INDEX(REPORTE_DROPI!S:S,
MATCH($T288, REPORTE_DROPI!B:B, 0)
),
""
)</f>
        <v>9.79</v>
      </c>
      <c r="L288" s="118" t="str">
        <f>IF(
  O288&lt;&gt;"DEVOLUCION",
  "",
  IF(
    T288="",
    "",
    SUMIF(DEVOLUCION!F:F, T288, DEVOLUCION!D:D)
  )
)
</f>
        <v/>
      </c>
      <c r="M288" s="118" t="s">
        <v>5877</v>
      </c>
      <c r="N288" s="169" t="s">
        <v>6693</v>
      </c>
      <c r="O288" s="118" t="str">
        <f t="array" ref="O288">IFERROR(
VLOOKUP(
TRIM(CLEAN(
INDEX(REPORTE_DROPI!K:K,
MATCH(T288, REPORTE_DROPI!B:B, 0)
))),
{
TRIM(CLEAN(MAPA_ESTADOS!A:A)) ,
MAPA_ESTADOS!B:B
},
2,
FALSE
),
"REVISAR"
)</f>
        <v>ENTREGADO</v>
      </c>
      <c r="P288" s="154" t="s">
        <v>5692</v>
      </c>
      <c r="Q288" s="153">
        <f t="shared" si="1"/>
        <v>0</v>
      </c>
      <c r="R288" s="172"/>
      <c r="S288" s="172"/>
      <c r="T288" s="118">
        <f t="array" ref="T288">IFERROR(
INDEX(REPORTE_DROPI!B:B,
MATCH(
CLEAN(TRIM(C288)),
CLEAN(TRIM(REPORTE_DROPI!E:E)),
0
)
),
""
)
</f>
        <v>4482562</v>
      </c>
      <c r="U288" s="169" t="s">
        <v>6694</v>
      </c>
      <c r="V288" s="166"/>
    </row>
    <row r="289" ht="22.5" hidden="1" customHeight="1">
      <c r="A289" s="169">
        <v>288.0</v>
      </c>
      <c r="B289" s="170">
        <v>46064.0</v>
      </c>
      <c r="C289" s="154" t="s">
        <v>6695</v>
      </c>
      <c r="D289" s="118" t="str">
        <f>IFERROR(__xludf.DUMMYFUNCTION("IFERROR( INDEX( FILTER( 'NOMBRE DE PRODUCTOS'!B:B, REGEXMATCH( UPPER( INDEX( REPORTE_DROPI!AC:AC, MATCH(T289, REPORTE_DROPI!B:B, 0) ) ), UPPER('NOMBRE DE PRODUCTOS'!A:A) ) ), 1 ), ""REVISAR"" )"),"Cuchillo Tazaki™")</f>
        <v>Cuchillo Tazaki™</v>
      </c>
      <c r="E289" s="120">
        <f t="array" ref="E289">IF(
UPPER(TRIM(CLEAN($O289)))="ENTREGADO",
IFERROR(
INDEX(REPORTE_DROPI!Y:Y,
MATCH($T289, REPORTE_DROPI!B:B, 0)
),
""
),
""
)
</f>
        <v>5.2</v>
      </c>
      <c r="F289" s="171">
        <v>2.0</v>
      </c>
      <c r="G289" s="122">
        <f t="array" ref="G289">IF(
UPPER(TRIM(CLEAN($O289)))="ENTREGADO",
IFERROR(
INDEX(REPORTE_DROPI!R:R,
MATCH($T289, REPORTE_DROPI!B:B, 0)
),
""
),
""
)
</f>
        <v>22</v>
      </c>
      <c r="H289" s="118" t="s">
        <v>3727</v>
      </c>
      <c r="I289" s="154" t="s">
        <v>3740</v>
      </c>
      <c r="J289" s="121">
        <f t="array" ref="J289">IF(
UPPER(TRIM(CLEAN($O289)))="ENTREGADO",
IFERROR(
INDEX(REPORTE_DROPI!T:T,
MATCH($T289, REPORTE_DROPI!B:B, 0)
),
""
),
""
)
</f>
        <v>4.23</v>
      </c>
      <c r="K289" s="118">
        <f t="array" ref="K289">IFERROR(
INDEX(REPORTE_DROPI!S:S,
MATCH($T289, REPORTE_DROPI!B:B, 0)
),
""
)</f>
        <v>12.57</v>
      </c>
      <c r="L289" s="118" t="str">
        <f>IF(
  O289&lt;&gt;"DEVOLUCION",
  "",
  IF(
    T289="",
    "",
    SUMIF(DEVOLUCION!F:F, T289, DEVOLUCION!D:D)
  )
)
</f>
        <v/>
      </c>
      <c r="M289" s="118" t="s">
        <v>5877</v>
      </c>
      <c r="N289" s="169" t="s">
        <v>6696</v>
      </c>
      <c r="O289" s="118" t="str">
        <f t="array" ref="O289">IFERROR(
VLOOKUP(
TRIM(CLEAN(
INDEX(REPORTE_DROPI!K:K,
MATCH(T289, REPORTE_DROPI!B:B, 0)
))),
{
TRIM(CLEAN(MAPA_ESTADOS!A:A)) ,
MAPA_ESTADOS!B:B
},
2,
FALSE
),
"REVISAR"
)</f>
        <v>ENTREGADO</v>
      </c>
      <c r="P289" s="154" t="s">
        <v>5692</v>
      </c>
      <c r="Q289" s="153">
        <f t="shared" si="1"/>
        <v>0</v>
      </c>
      <c r="R289" s="172"/>
      <c r="S289" s="172"/>
      <c r="T289" s="118">
        <f t="array" ref="T289">IFERROR(
INDEX(REPORTE_DROPI!B:B,
MATCH(
CLEAN(TRIM(C289)),
CLEAN(TRIM(REPORTE_DROPI!E:E)),
0
)
),
""
)
</f>
        <v>4482922</v>
      </c>
      <c r="U289" s="169" t="s">
        <v>6697</v>
      </c>
      <c r="V289" s="166"/>
    </row>
    <row r="290" ht="22.5" hidden="1" customHeight="1">
      <c r="A290" s="169">
        <v>289.0</v>
      </c>
      <c r="B290" s="170">
        <v>46064.0</v>
      </c>
      <c r="C290" s="154" t="s">
        <v>6698</v>
      </c>
      <c r="D290" s="118" t="str">
        <f>IFERROR(__xludf.DUMMYFUNCTION("IFERROR( INDEX( FILTER( 'NOMBRE DE PRODUCTOS'!B:B, REGEXMATCH( UPPER( INDEX( REPORTE_DROPI!AC:AC, MATCH(T290, REPORTE_DROPI!B:B, 0) ) ), UPPER('NOMBRE DE PRODUCTOS'!A:A) ) ), 1 ), ""REVISAR"" )"),"FilmPro®")</f>
        <v>FilmPro®</v>
      </c>
      <c r="E290" s="120">
        <f t="array" ref="E290">IF(
UPPER(TRIM(CLEAN($O290)))="ENTREGADO",
IFERROR(
INDEX(REPORTE_DROPI!Y:Y,
MATCH($T290, REPORTE_DROPI!B:B, 0)
),
""
),
""
)
</f>
        <v>4.8</v>
      </c>
      <c r="F290" s="171">
        <v>2.0</v>
      </c>
      <c r="G290" s="122">
        <f t="array" ref="G290">IF(
UPPER(TRIM(CLEAN($O290)))="ENTREGADO",
IFERROR(
INDEX(REPORTE_DROPI!R:R,
MATCH($T290, REPORTE_DROPI!B:B, 0)
),
""
),
""
)
</f>
        <v>25</v>
      </c>
      <c r="H290" s="118" t="s">
        <v>3727</v>
      </c>
      <c r="I290" s="154" t="s">
        <v>3731</v>
      </c>
      <c r="J290" s="121">
        <f t="array" ref="J290">IF(
UPPER(TRIM(CLEAN($O290)))="ENTREGADO",
IFERROR(
INDEX(REPORTE_DROPI!T:T,
MATCH($T290, REPORTE_DROPI!B:B, 0)
),
""
),
""
)
</f>
        <v>5.96</v>
      </c>
      <c r="K290" s="118">
        <f t="array" ref="K290">IFERROR(
INDEX(REPORTE_DROPI!S:S,
MATCH($T290, REPORTE_DROPI!B:B, 0)
),
""
)</f>
        <v>14.24</v>
      </c>
      <c r="L290" s="118" t="str">
        <f>IF(
  O290&lt;&gt;"DEVOLUCION",
  "",
  IF(
    T290="",
    "",
    SUMIF(DEVOLUCION!F:F, T290, DEVOLUCION!D:D)
  )
)
</f>
        <v/>
      </c>
      <c r="M290" s="118" t="s">
        <v>5877</v>
      </c>
      <c r="N290" s="169" t="s">
        <v>6699</v>
      </c>
      <c r="O290" s="118" t="str">
        <f t="array" ref="O290">IFERROR(
VLOOKUP(
TRIM(CLEAN(
INDEX(REPORTE_DROPI!K:K,
MATCH(T290, REPORTE_DROPI!B:B, 0)
))),
{
TRIM(CLEAN(MAPA_ESTADOS!A:A)) ,
MAPA_ESTADOS!B:B
},
2,
FALSE
),
"REVISAR"
)</f>
        <v>ENTREGADO</v>
      </c>
      <c r="P290" s="154" t="s">
        <v>6456</v>
      </c>
      <c r="Q290" s="153">
        <f t="shared" si="1"/>
        <v>0</v>
      </c>
      <c r="R290" s="172"/>
      <c r="S290" s="172"/>
      <c r="T290" s="118">
        <f t="array" ref="T290">IFERROR(
INDEX(REPORTE_DROPI!B:B,
MATCH(
CLEAN(TRIM(C290)),
CLEAN(TRIM(REPORTE_DROPI!E:E)),
0
)
),
""
)
</f>
        <v>4483280</v>
      </c>
      <c r="U290" s="169" t="s">
        <v>6700</v>
      </c>
      <c r="V290" s="166"/>
    </row>
    <row r="291" ht="22.5" hidden="1" customHeight="1">
      <c r="A291" s="169">
        <v>290.0</v>
      </c>
      <c r="B291" s="170">
        <v>46064.0</v>
      </c>
      <c r="C291" s="154" t="s">
        <v>6701</v>
      </c>
      <c r="D291" s="118" t="str">
        <f>IFERROR(__xludf.DUMMYFUNCTION("IFERROR( INDEX( FILTER( 'NOMBRE DE PRODUCTOS'!B:B, REGEXMATCH( UPPER( INDEX( REPORTE_DROPI!AC:AC, MATCH(T291, REPORTE_DROPI!B:B, 0) ) ), UPPER('NOMBRE DE PRODUCTOS'!A:A) ) ), 1 ), ""REVISAR"" )"),"FilmPro®")</f>
        <v>FilmPro®</v>
      </c>
      <c r="E291" s="120" t="str">
        <f t="array" ref="E291">IF(
UPPER(TRIM(CLEAN($O291)))="ENTREGADO",
IFERROR(
INDEX(REPORTE_DROPI!Y:Y,
MATCH($T291, REPORTE_DROPI!B:B, 0)
),
""
),
""
)
</f>
        <v/>
      </c>
      <c r="F291" s="171">
        <v>3.0</v>
      </c>
      <c r="G291" s="122" t="str">
        <f t="array" ref="G291">IF(
UPPER(TRIM(CLEAN($O291)))="ENTREGADO",
IFERROR(
INDEX(REPORTE_DROPI!R:R,
MATCH($T291, REPORTE_DROPI!B:B, 0)
),
""
),
""
)
</f>
        <v/>
      </c>
      <c r="H291" s="118" t="s">
        <v>3727</v>
      </c>
      <c r="I291" s="154" t="s">
        <v>3804</v>
      </c>
      <c r="J291" s="121" t="str">
        <f t="array" ref="J291">IF(
UPPER(TRIM(CLEAN($O291)))="ENTREGADO",
IFERROR(
INDEX(REPORTE_DROPI!T:T,
MATCH($T291, REPORTE_DROPI!B:B, 0)
),
""
),
""
)
</f>
        <v/>
      </c>
      <c r="K291" s="118" t="str">
        <f t="array" ref="K291">IFERROR(
INDEX(REPORTE_DROPI!S:S,
MATCH($T291, REPORTE_DROPI!B:B, 0)
),
""
)</f>
        <v/>
      </c>
      <c r="L291" s="118" t="str">
        <f>IF(
  O291&lt;&gt;"DEVOLUCION",
  "",
  IF(
    T291="",
    "",
    SUMIF(DEVOLUCION!F:F, T291, DEVOLUCION!D:D)
  )
)
</f>
        <v/>
      </c>
      <c r="M291" s="118" t="s">
        <v>5877</v>
      </c>
      <c r="N291" s="169" t="s">
        <v>6702</v>
      </c>
      <c r="O291" s="118" t="str">
        <f t="array" ref="O291">IFERROR(
VLOOKUP(
TRIM(CLEAN(
INDEX(REPORTE_DROPI!K:K,
MATCH(T291, REPORTE_DROPI!B:B, 0)
))),
{
TRIM(CLEAN(MAPA_ESTADOS!A:A)) ,
MAPA_ESTADOS!B:B
},
2,
FALSE
),
"REVISAR"
)</f>
        <v>PENDIENTE</v>
      </c>
      <c r="P291" s="154" t="s">
        <v>6568</v>
      </c>
      <c r="Q291" s="153">
        <f t="shared" si="1"/>
        <v>0</v>
      </c>
      <c r="R291" s="172"/>
      <c r="S291" s="172"/>
      <c r="T291" s="118">
        <f t="array" ref="T291">IFERROR(
INDEX(REPORTE_DROPI!B:B,
MATCH(
CLEAN(TRIM(C291)),
CLEAN(TRIM(REPORTE_DROPI!E:E)),
0
)
),
""
)
</f>
        <v>4483380</v>
      </c>
      <c r="U291" s="169" t="s">
        <v>6703</v>
      </c>
      <c r="V291" s="166"/>
    </row>
    <row r="292" ht="22.5" hidden="1" customHeight="1">
      <c r="A292" s="169">
        <v>291.0</v>
      </c>
      <c r="B292" s="170">
        <v>46064.0</v>
      </c>
      <c r="C292" s="154" t="s">
        <v>6704</v>
      </c>
      <c r="D292" s="118" t="str">
        <f>IFERROR(__xludf.DUMMYFUNCTION("IFERROR( INDEX( FILTER( 'NOMBRE DE PRODUCTOS'!B:B, REGEXMATCH( UPPER( INDEX( REPORTE_DROPI!AC:AC, MATCH(T292, REPORTE_DROPI!B:B, 0) ) ), UPPER('NOMBRE DE PRODUCTOS'!A:A) ) ), 1 ), ""REVISAR"" )"),"Cuchillo Tazaki™")</f>
        <v>Cuchillo Tazaki™</v>
      </c>
      <c r="E292" s="120">
        <f t="array" ref="E292">IF(
UPPER(TRIM(CLEAN($O292)))="ENTREGADO",
IFERROR(
INDEX(REPORTE_DROPI!Y:Y,
MATCH($T292, REPORTE_DROPI!B:B, 0)
),
""
),
""
)
</f>
        <v>5.2</v>
      </c>
      <c r="F292" s="171">
        <v>2.0</v>
      </c>
      <c r="G292" s="122">
        <f t="array" ref="G292">IF(
UPPER(TRIM(CLEAN($O292)))="ENTREGADO",
IFERROR(
INDEX(REPORTE_DROPI!R:R,
MATCH($T292, REPORTE_DROPI!B:B, 0)
),
""
),
""
)
</f>
        <v>22</v>
      </c>
      <c r="H292" s="118" t="s">
        <v>3727</v>
      </c>
      <c r="I292" s="154" t="s">
        <v>3731</v>
      </c>
      <c r="J292" s="121">
        <f t="array" ref="J292">IF(
UPPER(TRIM(CLEAN($O292)))="ENTREGADO",
IFERROR(
INDEX(REPORTE_DROPI!T:T,
MATCH($T292, REPORTE_DROPI!B:B, 0)
),
""
),
""
)
</f>
        <v>5.84</v>
      </c>
      <c r="K292" s="118">
        <f t="array" ref="K292">IFERROR(
INDEX(REPORTE_DROPI!S:S,
MATCH($T292, REPORTE_DROPI!B:B, 0)
),
""
)</f>
        <v>10.96</v>
      </c>
      <c r="L292" s="118" t="str">
        <f>IF(
  O292&lt;&gt;"DEVOLUCION",
  "",
  IF(
    T292="",
    "",
    SUMIF(DEVOLUCION!F:F, T292, DEVOLUCION!D:D)
  )
)
</f>
        <v/>
      </c>
      <c r="M292" s="118" t="s">
        <v>5877</v>
      </c>
      <c r="N292" s="169" t="s">
        <v>6705</v>
      </c>
      <c r="O292" s="118" t="str">
        <f t="array" ref="O292">IFERROR(
VLOOKUP(
TRIM(CLEAN(
INDEX(REPORTE_DROPI!K:K,
MATCH(T292, REPORTE_DROPI!B:B, 0)
))),
{
TRIM(CLEAN(MAPA_ESTADOS!A:A)) ,
MAPA_ESTADOS!B:B
},
2,
FALSE
),
"REVISAR"
)</f>
        <v>ENTREGADO</v>
      </c>
      <c r="P292" s="154" t="s">
        <v>5692</v>
      </c>
      <c r="Q292" s="153">
        <f t="shared" si="1"/>
        <v>0</v>
      </c>
      <c r="R292" s="172"/>
      <c r="S292" s="172"/>
      <c r="T292" s="118">
        <f t="array" ref="T292">IFERROR(
INDEX(REPORTE_DROPI!B:B,
MATCH(
CLEAN(TRIM(C292)),
CLEAN(TRIM(REPORTE_DROPI!E:E)),
0
)
),
""
)
</f>
        <v>4483482</v>
      </c>
      <c r="U292" s="169" t="s">
        <v>6706</v>
      </c>
      <c r="V292" s="166"/>
    </row>
    <row r="293" ht="22.5" hidden="1" customHeight="1">
      <c r="A293" s="169">
        <v>292.0</v>
      </c>
      <c r="B293" s="170">
        <v>46064.0</v>
      </c>
      <c r="C293" s="154" t="s">
        <v>6707</v>
      </c>
      <c r="D293" s="118" t="str">
        <f>IFERROR(__xludf.DUMMYFUNCTION("IFERROR( INDEX( FILTER( 'NOMBRE DE PRODUCTOS'!B:B, REGEXMATCH( UPPER( INDEX( REPORTE_DROPI!AC:AC, MATCH(T293, REPORTE_DROPI!B:B, 0) ) ), UPPER('NOMBRE DE PRODUCTOS'!A:A) ) ), 1 ), ""REVISAR"" )"),"FilmPro®")</f>
        <v>FilmPro®</v>
      </c>
      <c r="E293" s="120" t="str">
        <f t="array" ref="E293">IF(
UPPER(TRIM(CLEAN($O293)))="ENTREGADO",
IFERROR(
INDEX(REPORTE_DROPI!Y:Y,
MATCH($T293, REPORTE_DROPI!B:B, 0)
),
""
),
""
)
</f>
        <v/>
      </c>
      <c r="F293" s="171">
        <v>3.0</v>
      </c>
      <c r="G293" s="122" t="str">
        <f t="array" ref="G293">IF(
UPPER(TRIM(CLEAN($O293)))="ENTREGADO",
IFERROR(
INDEX(REPORTE_DROPI!R:R,
MATCH($T293, REPORTE_DROPI!B:B, 0)
),
""
),
""
)
</f>
        <v/>
      </c>
      <c r="H293" s="118" t="s">
        <v>3727</v>
      </c>
      <c r="I293" s="154" t="s">
        <v>3912</v>
      </c>
      <c r="J293" s="121" t="str">
        <f t="array" ref="J293">IF(
UPPER(TRIM(CLEAN($O293)))="ENTREGADO",
IFERROR(
INDEX(REPORTE_DROPI!T:T,
MATCH($T293, REPORTE_DROPI!B:B, 0)
),
""
),
""
)
</f>
        <v/>
      </c>
      <c r="K293" s="118" t="str">
        <f t="array" ref="K293">IFERROR(
INDEX(REPORTE_DROPI!S:S,
MATCH($T293, REPORTE_DROPI!B:B, 0)
),
""
)</f>
        <v/>
      </c>
      <c r="L293" s="118" t="str">
        <f>IF(
  O293&lt;&gt;"DEVOLUCION",
  "",
  IF(
    T293="",
    "",
    SUMIF(DEVOLUCION!F:F, T293, DEVOLUCION!D:D)
  )
)
</f>
        <v/>
      </c>
      <c r="M293" s="118" t="s">
        <v>5877</v>
      </c>
      <c r="N293" s="169" t="s">
        <v>6708</v>
      </c>
      <c r="O293" s="118" t="str">
        <f t="array" ref="O293">IFERROR(
VLOOKUP(
TRIM(CLEAN(
INDEX(REPORTE_DROPI!K:K,
MATCH(T293, REPORTE_DROPI!B:B, 0)
))),
{
TRIM(CLEAN(MAPA_ESTADOS!A:A)) ,
MAPA_ESTADOS!B:B
},
2,
FALSE
),
"REVISAR"
)</f>
        <v>PENDIENTE</v>
      </c>
      <c r="P293" s="154" t="s">
        <v>6364</v>
      </c>
      <c r="Q293" s="153">
        <f t="shared" si="1"/>
        <v>0</v>
      </c>
      <c r="R293" s="172"/>
      <c r="S293" s="172"/>
      <c r="T293" s="118">
        <f t="array" ref="T293">IFERROR(
INDEX(REPORTE_DROPI!B:B,
MATCH(
CLEAN(TRIM(C293)),
CLEAN(TRIM(REPORTE_DROPI!E:E)),
0
)
),
""
)
</f>
        <v>4483559</v>
      </c>
      <c r="U293" s="169" t="s">
        <v>6709</v>
      </c>
      <c r="V293" s="166"/>
    </row>
    <row r="294" ht="22.5" hidden="1" customHeight="1">
      <c r="A294" s="169">
        <v>293.0</v>
      </c>
      <c r="B294" s="170">
        <v>46064.0</v>
      </c>
      <c r="C294" s="154" t="s">
        <v>6710</v>
      </c>
      <c r="D294" s="118" t="str">
        <f>IFERROR(__xludf.DUMMYFUNCTION("IFERROR( INDEX( FILTER( 'NOMBRE DE PRODUCTOS'!B:B, REGEXMATCH( UPPER( INDEX( REPORTE_DROPI!AC:AC, MATCH(T294, REPORTE_DROPI!B:B, 0) ) ), UPPER('NOMBRE DE PRODUCTOS'!A:A) ) ), 1 ), ""REVISAR"" )"),"FilmPro®")</f>
        <v>FilmPro®</v>
      </c>
      <c r="E294" s="120" t="str">
        <f t="array" ref="E294">IF(
UPPER(TRIM(CLEAN($O294)))="ENTREGADO",
IFERROR(
INDEX(REPORTE_DROPI!Y:Y,
MATCH($T294, REPORTE_DROPI!B:B, 0)
),
""
),
""
)
</f>
        <v/>
      </c>
      <c r="F294" s="171">
        <v>1.0</v>
      </c>
      <c r="G294" s="122" t="str">
        <f t="array" ref="G294">IF(
UPPER(TRIM(CLEAN($O294)))="ENTREGADO",
IFERROR(
INDEX(REPORTE_DROPI!R:R,
MATCH($T294, REPORTE_DROPI!B:B, 0)
),
""
),
""
)
</f>
        <v/>
      </c>
      <c r="H294" s="118" t="s">
        <v>3727</v>
      </c>
      <c r="I294" s="154" t="s">
        <v>3864</v>
      </c>
      <c r="J294" s="121" t="str">
        <f t="array" ref="J294">IF(
UPPER(TRIM(CLEAN($O294)))="ENTREGADO",
IFERROR(
INDEX(REPORTE_DROPI!T:T,
MATCH($T294, REPORTE_DROPI!B:B, 0)
),
""
),
""
)
</f>
        <v/>
      </c>
      <c r="K294" s="118" t="str">
        <f t="array" ref="K294">IFERROR(
INDEX(REPORTE_DROPI!S:S,
MATCH($T294, REPORTE_DROPI!B:B, 0)
),
""
)</f>
        <v/>
      </c>
      <c r="L294" s="118" t="str">
        <f>IF(
  O294&lt;&gt;"DEVOLUCION",
  "",
  IF(
    T294="",
    "",
    SUMIF(DEVOLUCION!F:F, T294, DEVOLUCION!D:D)
  )
)
</f>
        <v/>
      </c>
      <c r="M294" s="118" t="s">
        <v>5877</v>
      </c>
      <c r="N294" s="169" t="s">
        <v>6711</v>
      </c>
      <c r="O294" s="118" t="str">
        <f t="array" ref="O294">IFERROR(
VLOOKUP(
TRIM(CLEAN(
INDEX(REPORTE_DROPI!K:K,
MATCH(T294, REPORTE_DROPI!B:B, 0)
))),
{
TRIM(CLEAN(MAPA_ESTADOS!A:A)) ,
MAPA_ESTADOS!B:B
},
2,
FALSE
),
"REVISAR"
)</f>
        <v>PENDIENTE</v>
      </c>
      <c r="P294" s="154" t="s">
        <v>6712</v>
      </c>
      <c r="Q294" s="153">
        <f t="shared" si="1"/>
        <v>0</v>
      </c>
      <c r="R294" s="172"/>
      <c r="S294" s="172"/>
      <c r="T294" s="118">
        <f t="array" ref="T294">IFERROR(
INDEX(REPORTE_DROPI!B:B,
MATCH(
CLEAN(TRIM(C294)),
CLEAN(TRIM(REPORTE_DROPI!E:E)),
0
)
),
""
)
</f>
        <v>4483587</v>
      </c>
      <c r="U294" s="169" t="s">
        <v>6713</v>
      </c>
      <c r="V294" s="166"/>
    </row>
    <row r="295" ht="22.5" hidden="1" customHeight="1">
      <c r="A295" s="169">
        <v>294.0</v>
      </c>
      <c r="B295" s="170">
        <v>46064.0</v>
      </c>
      <c r="C295" s="154" t="s">
        <v>6714</v>
      </c>
      <c r="D295" s="118" t="str">
        <f>IFERROR(__xludf.DUMMYFUNCTION("IFERROR( INDEX( FILTER( 'NOMBRE DE PRODUCTOS'!B:B, REGEXMATCH( UPPER( INDEX( REPORTE_DROPI!AC:AC, MATCH(T295, REPORTE_DROPI!B:B, 0) ) ), UPPER('NOMBRE DE PRODUCTOS'!A:A) ) ), 1 ), ""REVISAR"" )"),"Cuchillo Tazaki™")</f>
        <v>Cuchillo Tazaki™</v>
      </c>
      <c r="E295" s="120">
        <f t="array" ref="E295">IF(
UPPER(TRIM(CLEAN($O295)))="ENTREGADO",
IFERROR(
INDEX(REPORTE_DROPI!Y:Y,
MATCH($T295, REPORTE_DROPI!B:B, 0)
),
""
),
""
)
</f>
        <v>7.8</v>
      </c>
      <c r="F295" s="171">
        <v>3.0</v>
      </c>
      <c r="G295" s="122">
        <f t="array" ref="G295">IF(
UPPER(TRIM(CLEAN($O295)))="ENTREGADO",
IFERROR(
INDEX(REPORTE_DROPI!R:R,
MATCH($T295, REPORTE_DROPI!B:B, 0)
),
""
),
""
)
</f>
        <v>27</v>
      </c>
      <c r="H295" s="118" t="s">
        <v>3727</v>
      </c>
      <c r="I295" s="154" t="s">
        <v>3740</v>
      </c>
      <c r="J295" s="121">
        <f t="array" ref="J295">IF(
UPPER(TRIM(CLEAN($O295)))="ENTREGADO",
IFERROR(
INDEX(REPORTE_DROPI!T:T,
MATCH($T295, REPORTE_DROPI!B:B, 0)
),
""
),
""
)
</f>
        <v>4.42</v>
      </c>
      <c r="K295" s="118">
        <f t="array" ref="K295">IFERROR(
INDEX(REPORTE_DROPI!S:S,
MATCH($T295, REPORTE_DROPI!B:B, 0)
),
""
)</f>
        <v>14.78</v>
      </c>
      <c r="L295" s="118" t="str">
        <f>IF(
  O295&lt;&gt;"DEVOLUCION",
  "",
  IF(
    T295="",
    "",
    SUMIF(DEVOLUCION!F:F, T295, DEVOLUCION!D:D)
  )
)
</f>
        <v/>
      </c>
      <c r="M295" s="118" t="s">
        <v>5877</v>
      </c>
      <c r="N295" s="169" t="s">
        <v>6715</v>
      </c>
      <c r="O295" s="118" t="str">
        <f t="array" ref="O295">IFERROR(
VLOOKUP(
TRIM(CLEAN(
INDEX(REPORTE_DROPI!K:K,
MATCH(T295, REPORTE_DROPI!B:B, 0)
))),
{
TRIM(CLEAN(MAPA_ESTADOS!A:A)) ,
MAPA_ESTADOS!B:B
},
2,
FALSE
),
"REVISAR"
)</f>
        <v>ENTREGADO</v>
      </c>
      <c r="P295" s="154" t="s">
        <v>5692</v>
      </c>
      <c r="Q295" s="153">
        <f t="shared" si="1"/>
        <v>0</v>
      </c>
      <c r="R295" s="172"/>
      <c r="S295" s="172"/>
      <c r="T295" s="118">
        <f t="array" ref="T295">IFERROR(
INDEX(REPORTE_DROPI!B:B,
MATCH(
CLEAN(TRIM(C295)),
CLEAN(TRIM(REPORTE_DROPI!E:E)),
0
)
),
""
)
</f>
        <v>4483651</v>
      </c>
      <c r="U295" s="169" t="s">
        <v>6716</v>
      </c>
      <c r="V295" s="166"/>
    </row>
    <row r="296" ht="22.5" hidden="1" customHeight="1">
      <c r="A296" s="169">
        <v>295.0</v>
      </c>
      <c r="B296" s="170">
        <v>46064.0</v>
      </c>
      <c r="C296" s="154" t="s">
        <v>6717</v>
      </c>
      <c r="D296" s="118" t="str">
        <f>IFERROR(__xludf.DUMMYFUNCTION("IFERROR( INDEX( FILTER( 'NOMBRE DE PRODUCTOS'!B:B, REGEXMATCH( UPPER( INDEX( REPORTE_DROPI!AC:AC, MATCH(T296, REPORTE_DROPI!B:B, 0) ) ), UPPER('NOMBRE DE PRODUCTOS'!A:A) ) ), 1 ), ""REVISAR"" )"),"FilmPro®")</f>
        <v>FilmPro®</v>
      </c>
      <c r="E296" s="120" t="str">
        <f t="array" ref="E296">IF(
UPPER(TRIM(CLEAN($O296)))="ENTREGADO",
IFERROR(
INDEX(REPORTE_DROPI!Y:Y,
MATCH($T296, REPORTE_DROPI!B:B, 0)
),
""
),
""
)
</f>
        <v/>
      </c>
      <c r="F296" s="171">
        <v>1.0</v>
      </c>
      <c r="G296" s="122" t="str">
        <f t="array" ref="G296">IF(
UPPER(TRIM(CLEAN($O296)))="ENTREGADO",
IFERROR(
INDEX(REPORTE_DROPI!R:R,
MATCH($T296, REPORTE_DROPI!B:B, 0)
),
""
),
""
)
</f>
        <v/>
      </c>
      <c r="H296" s="118" t="s">
        <v>3727</v>
      </c>
      <c r="I296" s="154" t="s">
        <v>3731</v>
      </c>
      <c r="J296" s="121" t="str">
        <f t="array" ref="J296">IF(
UPPER(TRIM(CLEAN($O296)))="ENTREGADO",
IFERROR(
INDEX(REPORTE_DROPI!T:T,
MATCH($T296, REPORTE_DROPI!B:B, 0)
),
""
),
""
)
</f>
        <v/>
      </c>
      <c r="K296" s="118" t="str">
        <f t="array" ref="K296">IFERROR(
INDEX(REPORTE_DROPI!S:S,
MATCH($T296, REPORTE_DROPI!B:B, 0)
),
""
)</f>
        <v/>
      </c>
      <c r="L296" s="118" t="str">
        <f>IF(
  O296&lt;&gt;"DEVOLUCION",
  "",
  IF(
    T296="",
    "",
    SUMIF(DEVOLUCION!F:F, T296, DEVOLUCION!D:D)
  )
)
</f>
        <v/>
      </c>
      <c r="M296" s="118" t="s">
        <v>5877</v>
      </c>
      <c r="N296" s="169" t="s">
        <v>6718</v>
      </c>
      <c r="O296" s="118" t="str">
        <f t="array" ref="O296">IFERROR(
VLOOKUP(
TRIM(CLEAN(
INDEX(REPORTE_DROPI!K:K,
MATCH(T296, REPORTE_DROPI!B:B, 0)
))),
{
TRIM(CLEAN(MAPA_ESTADOS!A:A)) ,
MAPA_ESTADOS!B:B
},
2,
FALSE
),
"REVISAR"
)</f>
        <v>PENDIENTE</v>
      </c>
      <c r="P296" s="154" t="s">
        <v>6568</v>
      </c>
      <c r="Q296" s="153">
        <f t="shared" si="1"/>
        <v>0</v>
      </c>
      <c r="R296" s="172"/>
      <c r="S296" s="172"/>
      <c r="T296" s="118">
        <f t="array" ref="T296">IFERROR(
INDEX(REPORTE_DROPI!B:B,
MATCH(
CLEAN(TRIM(C296)),
CLEAN(TRIM(REPORTE_DROPI!E:E)),
0
)
),
""
)
</f>
        <v>4483794</v>
      </c>
      <c r="U296" s="169" t="s">
        <v>6719</v>
      </c>
      <c r="V296" s="166"/>
    </row>
    <row r="297" ht="22.5" hidden="1" customHeight="1">
      <c r="A297" s="169">
        <v>296.0</v>
      </c>
      <c r="B297" s="170">
        <v>46064.0</v>
      </c>
      <c r="C297" s="154" t="s">
        <v>6720</v>
      </c>
      <c r="D297" s="118" t="str">
        <f>IFERROR(__xludf.DUMMYFUNCTION("IFERROR( INDEX( FILTER( 'NOMBRE DE PRODUCTOS'!B:B, REGEXMATCH( UPPER( INDEX( REPORTE_DROPI!AC:AC, MATCH(T297, REPORTE_DROPI!B:B, 0) ) ), UPPER('NOMBRE DE PRODUCTOS'!A:A) ) ), 1 ), ""REVISAR"" )"),"Cuchillo Tazaki™")</f>
        <v>Cuchillo Tazaki™</v>
      </c>
      <c r="E297" s="120" t="str">
        <f t="array" ref="E297">IF(
UPPER(TRIM(CLEAN($O297)))="ENTREGADO",
IFERROR(
INDEX(REPORTE_DROPI!Y:Y,
MATCH($T297, REPORTE_DROPI!B:B, 0)
),
""
),
""
)
</f>
        <v/>
      </c>
      <c r="F297" s="171">
        <v>2.0</v>
      </c>
      <c r="G297" s="122" t="str">
        <f t="array" ref="G297">IF(
UPPER(TRIM(CLEAN($O297)))="ENTREGADO",
IFERROR(
INDEX(REPORTE_DROPI!R:R,
MATCH($T297, REPORTE_DROPI!B:B, 0)
),
""
),
""
)
</f>
        <v/>
      </c>
      <c r="H297" s="118" t="s">
        <v>3727</v>
      </c>
      <c r="I297" s="154" t="s">
        <v>3740</v>
      </c>
      <c r="J297" s="121" t="str">
        <f t="array" ref="J297">IF(
UPPER(TRIM(CLEAN($O297)))="ENTREGADO",
IFERROR(
INDEX(REPORTE_DROPI!T:T,
MATCH($T297, REPORTE_DROPI!B:B, 0)
),
""
),
""
)
</f>
        <v/>
      </c>
      <c r="K297" s="118" t="str">
        <f t="array" ref="K297">IFERROR(
INDEX(REPORTE_DROPI!S:S,
MATCH($T297, REPORTE_DROPI!B:B, 0)
),
""
)</f>
        <v/>
      </c>
      <c r="L297" s="118">
        <f>IF(
  O297&lt;&gt;"DEVOLUCION",
  "",
  IF(
    T297="",
    "",
    SUMIF(DEVOLUCION!F:F, T297, DEVOLUCION!D:D)
  )
)
</f>
        <v>3.46</v>
      </c>
      <c r="M297" s="118" t="s">
        <v>5877</v>
      </c>
      <c r="N297" s="169" t="s">
        <v>6721</v>
      </c>
      <c r="O297" s="118" t="str">
        <f t="array" ref="O297">IFERROR(
VLOOKUP(
TRIM(CLEAN(
INDEX(REPORTE_DROPI!K:K,
MATCH(T297, REPORTE_DROPI!B:B, 0)
))),
{
TRIM(CLEAN(MAPA_ESTADOS!A:A)) ,
MAPA_ESTADOS!B:B
},
2,
FALSE
),
"REVISAR"
)</f>
        <v>DEVOLUCION</v>
      </c>
      <c r="P297" s="154" t="s">
        <v>6722</v>
      </c>
      <c r="Q297" s="153">
        <f t="shared" si="1"/>
        <v>0</v>
      </c>
      <c r="R297" s="172"/>
      <c r="S297" s="172"/>
      <c r="T297" s="118">
        <f t="array" ref="T297">IFERROR(
INDEX(REPORTE_DROPI!B:B,
MATCH(
CLEAN(TRIM(C297)),
CLEAN(TRIM(REPORTE_DROPI!E:E)),
0
)
),
""
)
</f>
        <v>4484051</v>
      </c>
      <c r="U297" s="169"/>
      <c r="V297" s="166"/>
    </row>
    <row r="298" ht="22.5" hidden="1" customHeight="1">
      <c r="A298" s="169">
        <v>297.0</v>
      </c>
      <c r="B298" s="170">
        <v>46064.0</v>
      </c>
      <c r="C298" s="154" t="s">
        <v>6723</v>
      </c>
      <c r="D298" s="118" t="str">
        <f>IFERROR(__xludf.DUMMYFUNCTION("IFERROR( INDEX( FILTER( 'NOMBRE DE PRODUCTOS'!B:B, REGEXMATCH( UPPER( INDEX( REPORTE_DROPI!AC:AC, MATCH(T298, REPORTE_DROPI!B:B, 0) ) ), UPPER('NOMBRE DE PRODUCTOS'!A:A) ) ), 1 ), ""REVISAR"" )"),"FilmPro®")</f>
        <v>FilmPro®</v>
      </c>
      <c r="E298" s="120">
        <f t="array" ref="E298">IF(
UPPER(TRIM(CLEAN($O298)))="ENTREGADO",
IFERROR(
INDEX(REPORTE_DROPI!Y:Y,
MATCH($T298, REPORTE_DROPI!B:B, 0)
),
""
),
""
)
</f>
        <v>4.8</v>
      </c>
      <c r="F298" s="171">
        <v>2.0</v>
      </c>
      <c r="G298" s="122">
        <f t="array" ref="G298">IF(
UPPER(TRIM(CLEAN($O298)))="ENTREGADO",
IFERROR(
INDEX(REPORTE_DROPI!R:R,
MATCH($T298, REPORTE_DROPI!B:B, 0)
),
""
),
""
)
</f>
        <v>25</v>
      </c>
      <c r="H298" s="118" t="s">
        <v>3727</v>
      </c>
      <c r="I298" s="154" t="s">
        <v>3731</v>
      </c>
      <c r="J298" s="121">
        <f t="array" ref="J298">IF(
UPPER(TRIM(CLEAN($O298)))="ENTREGADO",
IFERROR(
INDEX(REPORTE_DROPI!T:T,
MATCH($T298, REPORTE_DROPI!B:B, 0)
),
""
),
""
)
</f>
        <v>5.96</v>
      </c>
      <c r="K298" s="118">
        <f t="array" ref="K298">IFERROR(
INDEX(REPORTE_DROPI!S:S,
MATCH($T298, REPORTE_DROPI!B:B, 0)
),
""
)</f>
        <v>14.24</v>
      </c>
      <c r="L298" s="118" t="str">
        <f>IF(
  O298&lt;&gt;"DEVOLUCION",
  "",
  IF(
    T298="",
    "",
    SUMIF(DEVOLUCION!F:F, T298, DEVOLUCION!D:D)
  )
)
</f>
        <v/>
      </c>
      <c r="M298" s="118" t="s">
        <v>5877</v>
      </c>
      <c r="N298" s="169" t="s">
        <v>6724</v>
      </c>
      <c r="O298" s="118" t="str">
        <f t="array" ref="O298">IFERROR(
VLOOKUP(
TRIM(CLEAN(
INDEX(REPORTE_DROPI!K:K,
MATCH(T298, REPORTE_DROPI!B:B, 0)
))),
{
TRIM(CLEAN(MAPA_ESTADOS!A:A)) ,
MAPA_ESTADOS!B:B
},
2,
FALSE
),
"REVISAR"
)</f>
        <v>ENTREGADO</v>
      </c>
      <c r="P298" s="154" t="s">
        <v>5692</v>
      </c>
      <c r="Q298" s="153">
        <f t="shared" si="1"/>
        <v>0</v>
      </c>
      <c r="R298" s="172"/>
      <c r="S298" s="172"/>
      <c r="T298" s="118">
        <f t="array" ref="T298">IFERROR(
INDEX(REPORTE_DROPI!B:B,
MATCH(
CLEAN(TRIM(C298)),
CLEAN(TRIM(REPORTE_DROPI!E:E)),
0
)
),
""
)
</f>
        <v>4484130</v>
      </c>
      <c r="U298" s="169" t="s">
        <v>6725</v>
      </c>
      <c r="V298" s="166"/>
    </row>
    <row r="299" ht="22.5" hidden="1" customHeight="1">
      <c r="A299" s="169">
        <v>298.0</v>
      </c>
      <c r="B299" s="170">
        <v>46064.0</v>
      </c>
      <c r="C299" s="154" t="s">
        <v>6726</v>
      </c>
      <c r="D299" s="118" t="str">
        <f>IFERROR(__xludf.DUMMYFUNCTION("IFERROR( INDEX( FILTER( 'NOMBRE DE PRODUCTOS'!B:B, REGEXMATCH( UPPER( INDEX( REPORTE_DROPI!AC:AC, MATCH(T299, REPORTE_DROPI!B:B, 0) ) ), UPPER('NOMBRE DE PRODUCTOS'!A:A) ) ), 1 ), ""REVISAR"" )"),"Cuchillo Tazaki™")</f>
        <v>Cuchillo Tazaki™</v>
      </c>
      <c r="E299" s="120">
        <f t="array" ref="E299">IF(
UPPER(TRIM(CLEAN($O299)))="ENTREGADO",
IFERROR(
INDEX(REPORTE_DROPI!Y:Y,
MATCH($T299, REPORTE_DROPI!B:B, 0)
),
""
),
""
)
</f>
        <v>10.4</v>
      </c>
      <c r="F299" s="171">
        <v>4.0</v>
      </c>
      <c r="G299" s="122">
        <f t="array" ref="G299">IF(
UPPER(TRIM(CLEAN($O299)))="ENTREGADO",
IFERROR(
INDEX(REPORTE_DROPI!R:R,
MATCH($T299, REPORTE_DROPI!B:B, 0)
),
""
),
""
)
</f>
        <v>32</v>
      </c>
      <c r="H299" s="118" t="s">
        <v>3727</v>
      </c>
      <c r="I299" s="154" t="s">
        <v>3742</v>
      </c>
      <c r="J299" s="121">
        <f t="array" ref="J299">IF(
UPPER(TRIM(CLEAN($O299)))="ENTREGADO",
IFERROR(
INDEX(REPORTE_DROPI!T:T,
MATCH($T299, REPORTE_DROPI!B:B, 0)
),
""
),
""
)
</f>
        <v>6.24</v>
      </c>
      <c r="K299" s="118">
        <f t="array" ref="K299">IFERROR(
INDEX(REPORTE_DROPI!S:S,
MATCH($T299, REPORTE_DROPI!B:B, 0)
),
""
)</f>
        <v>15.36</v>
      </c>
      <c r="L299" s="118" t="str">
        <f>IF(
  O299&lt;&gt;"DEVOLUCION",
  "",
  IF(
    T299="",
    "",
    SUMIF(DEVOLUCION!F:F, T299, DEVOLUCION!D:D)
  )
)
</f>
        <v/>
      </c>
      <c r="M299" s="118" t="s">
        <v>5877</v>
      </c>
      <c r="N299" s="169" t="s">
        <v>6727</v>
      </c>
      <c r="O299" s="118" t="str">
        <f t="array" ref="O299">IFERROR(
VLOOKUP(
TRIM(CLEAN(
INDEX(REPORTE_DROPI!K:K,
MATCH(T299, REPORTE_DROPI!B:B, 0)
))),
{
TRIM(CLEAN(MAPA_ESTADOS!A:A)) ,
MAPA_ESTADOS!B:B
},
2,
FALSE
),
"REVISAR"
)</f>
        <v>ENTREGADO</v>
      </c>
      <c r="P299" s="154" t="s">
        <v>5692</v>
      </c>
      <c r="Q299" s="153">
        <f t="shared" si="1"/>
        <v>0</v>
      </c>
      <c r="R299" s="172"/>
      <c r="S299" s="172"/>
      <c r="T299" s="118">
        <f t="array" ref="T299">IFERROR(
INDEX(REPORTE_DROPI!B:B,
MATCH(
CLEAN(TRIM(C299)),
CLEAN(TRIM(REPORTE_DROPI!E:E)),
0
)
),
""
)
</f>
        <v>4493094</v>
      </c>
      <c r="U299" s="169"/>
      <c r="V299" s="166"/>
    </row>
    <row r="300" ht="22.5" hidden="1" customHeight="1">
      <c r="A300" s="169">
        <v>299.0</v>
      </c>
      <c r="B300" s="170">
        <v>46064.0</v>
      </c>
      <c r="C300" s="154" t="s">
        <v>6728</v>
      </c>
      <c r="D300" s="118" t="str">
        <f>IFERROR(__xludf.DUMMYFUNCTION("IFERROR( INDEX( FILTER( 'NOMBRE DE PRODUCTOS'!B:B, REGEXMATCH( UPPER( INDEX( REPORTE_DROPI!AC:AC, MATCH(T300, REPORTE_DROPI!B:B, 0) ) ), UPPER('NOMBRE DE PRODUCTOS'!A:A) ) ), 1 ), ""REVISAR"" )"),"Cuchillo Tazaki™")</f>
        <v>Cuchillo Tazaki™</v>
      </c>
      <c r="E300" s="120" t="str">
        <f t="array" ref="E300">IF(
UPPER(TRIM(CLEAN($O300)))="ENTREGADO",
IFERROR(
INDEX(REPORTE_DROPI!Y:Y,
MATCH($T300, REPORTE_DROPI!B:B, 0)
),
""
),
""
)
</f>
        <v/>
      </c>
      <c r="F300" s="171">
        <v>2.0</v>
      </c>
      <c r="G300" s="122" t="str">
        <f t="array" ref="G300">IF(
UPPER(TRIM(CLEAN($O300)))="ENTREGADO",
IFERROR(
INDEX(REPORTE_DROPI!R:R,
MATCH($T300, REPORTE_DROPI!B:B, 0)
),
""
),
""
)
</f>
        <v/>
      </c>
      <c r="H300" s="118" t="s">
        <v>3727</v>
      </c>
      <c r="I300" s="154" t="s">
        <v>3759</v>
      </c>
      <c r="J300" s="121" t="str">
        <f t="array" ref="J300">IF(
UPPER(TRIM(CLEAN($O300)))="ENTREGADO",
IFERROR(
INDEX(REPORTE_DROPI!T:T,
MATCH($T300, REPORTE_DROPI!B:B, 0)
),
""
),
""
)
</f>
        <v/>
      </c>
      <c r="K300" s="118" t="str">
        <f t="array" ref="K300">IFERROR(
INDEX(REPORTE_DROPI!S:S,
MATCH($T300, REPORTE_DROPI!B:B, 0)
),
""
)</f>
        <v/>
      </c>
      <c r="L300" s="118">
        <f>IF(
  O300&lt;&gt;"DEVOLUCION",
  "",
  IF(
    T300="",
    "",
    SUMIF(DEVOLUCION!F:F, T300, DEVOLUCION!D:D)
  )
)
</f>
        <v>0</v>
      </c>
      <c r="M300" s="118" t="s">
        <v>5877</v>
      </c>
      <c r="N300" s="169" t="s">
        <v>6729</v>
      </c>
      <c r="O300" s="118" t="str">
        <f t="array" ref="O300">IFERROR(
VLOOKUP(
TRIM(CLEAN(
INDEX(REPORTE_DROPI!K:K,
MATCH(T300, REPORTE_DROPI!B:B, 0)
))),
{
TRIM(CLEAN(MAPA_ESTADOS!A:A)) ,
MAPA_ESTADOS!B:B
},
2,
FALSE
),
"REVISAR"
)</f>
        <v>DEVOLUCION</v>
      </c>
      <c r="P300" s="154" t="s">
        <v>5692</v>
      </c>
      <c r="Q300" s="153">
        <f t="shared" si="1"/>
        <v>0</v>
      </c>
      <c r="R300" s="172"/>
      <c r="S300" s="172"/>
      <c r="T300" s="118">
        <f t="array" ref="T300">IFERROR(
INDEX(REPORTE_DROPI!B:B,
MATCH(
CLEAN(TRIM(C300)),
CLEAN(TRIM(REPORTE_DROPI!E:E)),
0
)
),
""
)
</f>
        <v>4484218</v>
      </c>
      <c r="U300" s="169" t="s">
        <v>6730</v>
      </c>
      <c r="V300" s="166"/>
    </row>
    <row r="301" ht="22.5" hidden="1" customHeight="1">
      <c r="A301" s="169">
        <v>300.0</v>
      </c>
      <c r="B301" s="170">
        <v>46064.0</v>
      </c>
      <c r="C301" s="154" t="s">
        <v>6731</v>
      </c>
      <c r="D301" s="118" t="str">
        <f>IFERROR(__xludf.DUMMYFUNCTION("IFERROR( INDEX( FILTER( 'NOMBRE DE PRODUCTOS'!B:B, REGEXMATCH( UPPER( INDEX( REPORTE_DROPI!AC:AC, MATCH(T301, REPORTE_DROPI!B:B, 0) ) ), UPPER('NOMBRE DE PRODUCTOS'!A:A) ) ), 1 ), ""REVISAR"" )"),"Cuchillo Tazaki™")</f>
        <v>Cuchillo Tazaki™</v>
      </c>
      <c r="E301" s="120" t="str">
        <f t="array" ref="E301">IF(
UPPER(TRIM(CLEAN($O301)))="ENTREGADO",
IFERROR(
INDEX(REPORTE_DROPI!Y:Y,
MATCH($T301, REPORTE_DROPI!B:B, 0)
),
""
),
""
)
</f>
        <v/>
      </c>
      <c r="F301" s="171">
        <v>2.0</v>
      </c>
      <c r="G301" s="122" t="str">
        <f t="array" ref="G301">IF(
UPPER(TRIM(CLEAN($O301)))="ENTREGADO",
IFERROR(
INDEX(REPORTE_DROPI!R:R,
MATCH($T301, REPORTE_DROPI!B:B, 0)
),
""
),
""
)
</f>
        <v/>
      </c>
      <c r="H301" s="118" t="s">
        <v>3727</v>
      </c>
      <c r="I301" s="154" t="s">
        <v>3912</v>
      </c>
      <c r="J301" s="121" t="str">
        <f t="array" ref="J301">IF(
UPPER(TRIM(CLEAN($O301)))="ENTREGADO",
IFERROR(
INDEX(REPORTE_DROPI!T:T,
MATCH($T301, REPORTE_DROPI!B:B, 0)
),
""
),
""
)
</f>
        <v/>
      </c>
      <c r="K301" s="118" t="str">
        <f t="array" ref="K301">IFERROR(
INDEX(REPORTE_DROPI!S:S,
MATCH($T301, REPORTE_DROPI!B:B, 0)
),
""
)</f>
        <v/>
      </c>
      <c r="L301" s="118">
        <f>IF(
  O301&lt;&gt;"DEVOLUCION",
  "",
  IF(
    T301="",
    "",
    SUMIF(DEVOLUCION!F:F, T301, DEVOLUCION!D:D)
  )
)
</f>
        <v>5.07</v>
      </c>
      <c r="M301" s="118" t="s">
        <v>5877</v>
      </c>
      <c r="N301" s="169" t="s">
        <v>6732</v>
      </c>
      <c r="O301" s="118" t="str">
        <f t="array" ref="O301">IFERROR(
VLOOKUP(
TRIM(CLEAN(
INDEX(REPORTE_DROPI!K:K,
MATCH(T301, REPORTE_DROPI!B:B, 0)
))),
{
TRIM(CLEAN(MAPA_ESTADOS!A:A)) ,
MAPA_ESTADOS!B:B
},
2,
FALSE
),
"REVISAR"
)</f>
        <v>DEVOLUCION</v>
      </c>
      <c r="P301" s="154" t="s">
        <v>3655</v>
      </c>
      <c r="Q301" s="153">
        <f t="shared" si="1"/>
        <v>0</v>
      </c>
      <c r="R301" s="172"/>
      <c r="S301" s="172"/>
      <c r="T301" s="118">
        <f t="array" ref="T301">IFERROR(
INDEX(REPORTE_DROPI!B:B,
MATCH(
CLEAN(TRIM(C301)),
CLEAN(TRIM(REPORTE_DROPI!E:E)),
0
)
),
""
)
</f>
        <v>4484391</v>
      </c>
      <c r="U301" s="169" t="s">
        <v>6733</v>
      </c>
      <c r="V301" s="166"/>
    </row>
    <row r="302" ht="22.5" hidden="1" customHeight="1">
      <c r="A302" s="169">
        <v>301.0</v>
      </c>
      <c r="B302" s="170">
        <v>46064.0</v>
      </c>
      <c r="C302" s="154" t="s">
        <v>6734</v>
      </c>
      <c r="D302" s="118" t="str">
        <f>IFERROR(__xludf.DUMMYFUNCTION("IFERROR( INDEX( FILTER( 'NOMBRE DE PRODUCTOS'!B:B, REGEXMATCH( UPPER( INDEX( REPORTE_DROPI!AC:AC, MATCH(T302, REPORTE_DROPI!B:B, 0) ) ), UPPER('NOMBRE DE PRODUCTOS'!A:A) ) ), 1 ), ""REVISAR"" )"),"FilmPro®")</f>
        <v>FilmPro®</v>
      </c>
      <c r="E302" s="120">
        <f t="array" ref="E302">IF(
UPPER(TRIM(CLEAN($O302)))="ENTREGADO",
IFERROR(
INDEX(REPORTE_DROPI!Y:Y,
MATCH($T302, REPORTE_DROPI!B:B, 0)
),
""
),
""
)
</f>
        <v>4.8</v>
      </c>
      <c r="F302" s="171">
        <v>2.0</v>
      </c>
      <c r="G302" s="122">
        <f t="array" ref="G302">IF(
UPPER(TRIM(CLEAN($O302)))="ENTREGADO",
IFERROR(
INDEX(REPORTE_DROPI!R:R,
MATCH($T302, REPORTE_DROPI!B:B, 0)
),
""
),
""
)
</f>
        <v>25</v>
      </c>
      <c r="H302" s="118" t="s">
        <v>3727</v>
      </c>
      <c r="I302" s="154" t="s">
        <v>3804</v>
      </c>
      <c r="J302" s="121">
        <f t="array" ref="J302">IF(
UPPER(TRIM(CLEAN($O302)))="ENTREGADO",
IFERROR(
INDEX(REPORTE_DROPI!T:T,
MATCH($T302, REPORTE_DROPI!B:B, 0)
),
""
),
""
)
</f>
        <v>5.96</v>
      </c>
      <c r="K302" s="118">
        <f t="array" ref="K302">IFERROR(
INDEX(REPORTE_DROPI!S:S,
MATCH($T302, REPORTE_DROPI!B:B, 0)
),
""
)</f>
        <v>14.24</v>
      </c>
      <c r="L302" s="118" t="str">
        <f>IF(
  O302&lt;&gt;"DEVOLUCION",
  "",
  IF(
    T302="",
    "",
    SUMIF(DEVOLUCION!F:F, T302, DEVOLUCION!D:D)
  )
)
</f>
        <v/>
      </c>
      <c r="M302" s="118" t="s">
        <v>5877</v>
      </c>
      <c r="N302" s="169" t="s">
        <v>6735</v>
      </c>
      <c r="O302" s="118" t="str">
        <f t="array" ref="O302">IFERROR(
VLOOKUP(
TRIM(CLEAN(
INDEX(REPORTE_DROPI!K:K,
MATCH(T302, REPORTE_DROPI!B:B, 0)
))),
{
TRIM(CLEAN(MAPA_ESTADOS!A:A)) ,
MAPA_ESTADOS!B:B
},
2,
FALSE
),
"REVISAR"
)</f>
        <v>ENTREGADO</v>
      </c>
      <c r="P302" s="154" t="s">
        <v>5692</v>
      </c>
      <c r="Q302" s="153">
        <f t="shared" si="1"/>
        <v>0</v>
      </c>
      <c r="R302" s="172"/>
      <c r="S302" s="172"/>
      <c r="T302" s="118">
        <f t="array" ref="T302">IFERROR(
INDEX(REPORTE_DROPI!B:B,
MATCH(
CLEAN(TRIM(C302)),
CLEAN(TRIM(REPORTE_DROPI!E:E)),
0
)
),
""
)
</f>
        <v>4484419</v>
      </c>
      <c r="U302" s="169" t="s">
        <v>6736</v>
      </c>
      <c r="V302" s="166"/>
    </row>
    <row r="303" ht="22.5" hidden="1" customHeight="1">
      <c r="A303" s="169">
        <v>302.0</v>
      </c>
      <c r="B303" s="170">
        <v>46064.0</v>
      </c>
      <c r="C303" s="154" t="s">
        <v>6737</v>
      </c>
      <c r="D303" s="118" t="str">
        <f>IFERROR(__xludf.DUMMYFUNCTION("IFERROR( INDEX( FILTER( 'NOMBRE DE PRODUCTOS'!B:B, REGEXMATCH( UPPER( INDEX( REPORTE_DROPI!AC:AC, MATCH(T303, REPORTE_DROPI!B:B, 0) ) ), UPPER('NOMBRE DE PRODUCTOS'!A:A) ) ), 1 ), ""REVISAR"" )"),"Cuchillo Tazaki™")</f>
        <v>Cuchillo Tazaki™</v>
      </c>
      <c r="E303" s="120">
        <f t="array" ref="E303">IF(
UPPER(TRIM(CLEAN($O303)))="ENTREGADO",
IFERROR(
INDEX(REPORTE_DROPI!Y:Y,
MATCH($T303, REPORTE_DROPI!B:B, 0)
),
""
),
""
)
</f>
        <v>5.2</v>
      </c>
      <c r="F303" s="171">
        <v>2.0</v>
      </c>
      <c r="G303" s="122">
        <f t="array" ref="G303">IF(
UPPER(TRIM(CLEAN($O303)))="ENTREGADO",
IFERROR(
INDEX(REPORTE_DROPI!R:R,
MATCH($T303, REPORTE_DROPI!B:B, 0)
),
""
),
""
)
</f>
        <v>22</v>
      </c>
      <c r="H303" s="118" t="s">
        <v>3727</v>
      </c>
      <c r="I303" s="154" t="s">
        <v>3778</v>
      </c>
      <c r="J303" s="121">
        <f t="array" ref="J303">IF(
UPPER(TRIM(CLEAN($O303)))="ENTREGADO",
IFERROR(
INDEX(REPORTE_DROPI!T:T,
MATCH($T303, REPORTE_DROPI!B:B, 0)
),
""
),
""
)
</f>
        <v>5.49</v>
      </c>
      <c r="K303" s="118">
        <f t="array" ref="K303">IFERROR(
INDEX(REPORTE_DROPI!S:S,
MATCH($T303, REPORTE_DROPI!B:B, 0)
),
""
)</f>
        <v>11.31</v>
      </c>
      <c r="L303" s="118" t="str">
        <f>IF(
  O303&lt;&gt;"DEVOLUCION",
  "",
  IF(
    T303="",
    "",
    SUMIF(DEVOLUCION!F:F, T303, DEVOLUCION!D:D)
  )
)
</f>
        <v/>
      </c>
      <c r="M303" s="118" t="s">
        <v>5877</v>
      </c>
      <c r="N303" s="169" t="s">
        <v>6738</v>
      </c>
      <c r="O303" s="118" t="str">
        <f t="array" ref="O303">IFERROR(
VLOOKUP(
TRIM(CLEAN(
INDEX(REPORTE_DROPI!K:K,
MATCH(T303, REPORTE_DROPI!B:B, 0)
))),
{
TRIM(CLEAN(MAPA_ESTADOS!A:A)) ,
MAPA_ESTADOS!B:B
},
2,
FALSE
),
"REVISAR"
)</f>
        <v>ENTREGADO</v>
      </c>
      <c r="P303" s="154" t="s">
        <v>6739</v>
      </c>
      <c r="Q303" s="153">
        <f t="shared" si="1"/>
        <v>0</v>
      </c>
      <c r="R303" s="172"/>
      <c r="S303" s="172"/>
      <c r="T303" s="118">
        <f t="array" ref="T303">IFERROR(
INDEX(REPORTE_DROPI!B:B,
MATCH(
CLEAN(TRIM(C303)),
CLEAN(TRIM(REPORTE_DROPI!E:E)),
0
)
),
""
)
</f>
        <v>4484575</v>
      </c>
      <c r="U303" s="169" t="s">
        <v>6740</v>
      </c>
      <c r="V303" s="166"/>
    </row>
    <row r="304" ht="22.5" hidden="1" customHeight="1">
      <c r="A304" s="169">
        <v>303.0</v>
      </c>
      <c r="B304" s="170">
        <v>46064.0</v>
      </c>
      <c r="C304" s="154" t="s">
        <v>6741</v>
      </c>
      <c r="D304" s="118" t="str">
        <f>IFERROR(__xludf.DUMMYFUNCTION("IFERROR( INDEX( FILTER( 'NOMBRE DE PRODUCTOS'!B:B, REGEXMATCH( UPPER( INDEX( REPORTE_DROPI!AC:AC, MATCH(T304, REPORTE_DROPI!B:B, 0) ) ), UPPER('NOMBRE DE PRODUCTOS'!A:A) ) ), 1 ), ""REVISAR"" )"),"Cuchillo Tazaki™")</f>
        <v>Cuchillo Tazaki™</v>
      </c>
      <c r="E304" s="120" t="str">
        <f t="array" ref="E304">IF(
UPPER(TRIM(CLEAN($O304)))="ENTREGADO",
IFERROR(
INDEX(REPORTE_DROPI!Y:Y,
MATCH($T304, REPORTE_DROPI!B:B, 0)
),
""
),
""
)
</f>
        <v/>
      </c>
      <c r="F304" s="171">
        <v>4.0</v>
      </c>
      <c r="G304" s="122" t="str">
        <f t="array" ref="G304">IF(
UPPER(TRIM(CLEAN($O304)))="ENTREGADO",
IFERROR(
INDEX(REPORTE_DROPI!R:R,
MATCH($T304, REPORTE_DROPI!B:B, 0)
),
""
),
""
)
</f>
        <v/>
      </c>
      <c r="H304" s="118" t="s">
        <v>3727</v>
      </c>
      <c r="I304" s="154" t="s">
        <v>3728</v>
      </c>
      <c r="J304" s="121" t="str">
        <f t="array" ref="J304">IF(
UPPER(TRIM(CLEAN($O304)))="ENTREGADO",
IFERROR(
INDEX(REPORTE_DROPI!T:T,
MATCH($T304, REPORTE_DROPI!B:B, 0)
),
""
),
""
)
</f>
        <v/>
      </c>
      <c r="K304" s="118" t="str">
        <f t="array" ref="K304">IFERROR(
INDEX(REPORTE_DROPI!S:S,
MATCH($T304, REPORTE_DROPI!B:B, 0)
),
""
)</f>
        <v/>
      </c>
      <c r="L304" s="118">
        <f>IF(
  O304&lt;&gt;"DEVOLUCION",
  "",
  IF(
    T304="",
    "",
    SUMIF(DEVOLUCION!F:F, T304, DEVOLUCION!D:D)
  )
)
</f>
        <v>5.13</v>
      </c>
      <c r="M304" s="118" t="s">
        <v>5877</v>
      </c>
      <c r="N304" s="169" t="s">
        <v>6742</v>
      </c>
      <c r="O304" s="118" t="str">
        <f t="array" ref="O304">IFERROR(
VLOOKUP(
TRIM(CLEAN(
INDEX(REPORTE_DROPI!K:K,
MATCH(T304, REPORTE_DROPI!B:B, 0)
))),
{
TRIM(CLEAN(MAPA_ESTADOS!A:A)) ,
MAPA_ESTADOS!B:B
},
2,
FALSE
),
"REVISAR"
)</f>
        <v>DEVOLUCION</v>
      </c>
      <c r="P304" s="154" t="s">
        <v>5692</v>
      </c>
      <c r="Q304" s="153">
        <f t="shared" si="1"/>
        <v>0</v>
      </c>
      <c r="R304" s="172"/>
      <c r="S304" s="172"/>
      <c r="T304" s="118">
        <f t="array" ref="T304">IFERROR(
INDEX(REPORTE_DROPI!B:B,
MATCH(
CLEAN(TRIM(C304)),
CLEAN(TRIM(REPORTE_DROPI!E:E)),
0
)
),
""
)
</f>
        <v>4484661</v>
      </c>
      <c r="U304" s="169" t="s">
        <v>6743</v>
      </c>
      <c r="V304" s="166"/>
    </row>
    <row r="305" ht="22.5" hidden="1" customHeight="1">
      <c r="A305" s="169">
        <v>304.0</v>
      </c>
      <c r="B305" s="170">
        <v>46064.0</v>
      </c>
      <c r="C305" s="154" t="s">
        <v>6744</v>
      </c>
      <c r="D305" s="118" t="str">
        <f>IFERROR(__xludf.DUMMYFUNCTION("IFERROR( INDEX( FILTER( 'NOMBRE DE PRODUCTOS'!B:B, REGEXMATCH( UPPER( INDEX( REPORTE_DROPI!AC:AC, MATCH(T305, REPORTE_DROPI!B:B, 0) ) ), UPPER('NOMBRE DE PRODUCTOS'!A:A) ) ), 1 ), ""REVISAR"" )"),"FilmPro®")</f>
        <v>FilmPro®</v>
      </c>
      <c r="E305" s="120">
        <f t="array" ref="E305">IF(
UPPER(TRIM(CLEAN($O305)))="ENTREGADO",
IFERROR(
INDEX(REPORTE_DROPI!Y:Y,
MATCH($T305, REPORTE_DROPI!B:B, 0)
),
""
),
""
)
</f>
        <v>7.2</v>
      </c>
      <c r="F305" s="171">
        <v>3.0</v>
      </c>
      <c r="G305" s="122">
        <f t="array" ref="G305">IF(
UPPER(TRIM(CLEAN($O305)))="ENTREGADO",
IFERROR(
INDEX(REPORTE_DROPI!R:R,
MATCH($T305, REPORTE_DROPI!B:B, 0)
),
""
),
""
)
</f>
        <v>30</v>
      </c>
      <c r="H305" s="118" t="s">
        <v>3727</v>
      </c>
      <c r="I305" s="154" t="s">
        <v>3740</v>
      </c>
      <c r="J305" s="121">
        <f t="array" ref="J305">IF(
UPPER(TRIM(CLEAN($O305)))="ENTREGADO",
IFERROR(
INDEX(REPORTE_DROPI!T:T,
MATCH($T305, REPORTE_DROPI!B:B, 0)
),
""
),
""
)
</f>
        <v>5.58</v>
      </c>
      <c r="K305" s="118">
        <f t="array" ref="K305">IFERROR(
INDEX(REPORTE_DROPI!S:S,
MATCH($T305, REPORTE_DROPI!B:B, 0)
),
""
)</f>
        <v>17.22</v>
      </c>
      <c r="L305" s="118" t="str">
        <f>IF(
  O305&lt;&gt;"DEVOLUCION",
  "",
  IF(
    T305="",
    "",
    SUMIF(DEVOLUCION!F:F, T305, DEVOLUCION!D:D)
  )
)
</f>
        <v/>
      </c>
      <c r="M305" s="118" t="s">
        <v>5877</v>
      </c>
      <c r="N305" s="169" t="s">
        <v>6745</v>
      </c>
      <c r="O305" s="118" t="str">
        <f t="array" ref="O305">IFERROR(
VLOOKUP(
TRIM(CLEAN(
INDEX(REPORTE_DROPI!K:K,
MATCH(T305, REPORTE_DROPI!B:B, 0)
))),
{
TRIM(CLEAN(MAPA_ESTADOS!A:A)) ,
MAPA_ESTADOS!B:B
},
2,
FALSE
),
"REVISAR"
)</f>
        <v>ENTREGADO</v>
      </c>
      <c r="P305" s="154" t="s">
        <v>3655</v>
      </c>
      <c r="Q305" s="153">
        <f t="shared" si="1"/>
        <v>0</v>
      </c>
      <c r="R305" s="172"/>
      <c r="S305" s="172"/>
      <c r="T305" s="118">
        <f t="array" ref="T305">IFERROR(
INDEX(REPORTE_DROPI!B:B,
MATCH(
CLEAN(TRIM(C305)),
CLEAN(TRIM(REPORTE_DROPI!E:E)),
0
)
),
""
)
</f>
        <v>4484663</v>
      </c>
      <c r="U305" s="169" t="s">
        <v>6746</v>
      </c>
      <c r="V305" s="166"/>
    </row>
    <row r="306" ht="22.5" hidden="1" customHeight="1">
      <c r="A306" s="169">
        <v>305.0</v>
      </c>
      <c r="B306" s="170">
        <v>46064.0</v>
      </c>
      <c r="C306" s="154" t="s">
        <v>6747</v>
      </c>
      <c r="D306" s="118" t="str">
        <f>IFERROR(__xludf.DUMMYFUNCTION("IFERROR( INDEX( FILTER( 'NOMBRE DE PRODUCTOS'!B:B, REGEXMATCH( UPPER( INDEX( REPORTE_DROPI!AC:AC, MATCH(T306, REPORTE_DROPI!B:B, 0) ) ), UPPER('NOMBRE DE PRODUCTOS'!A:A) ) ), 1 ), ""REVISAR"" )"),"Cuchillo Tazaki™")</f>
        <v>Cuchillo Tazaki™</v>
      </c>
      <c r="E306" s="120" t="str">
        <f t="array" ref="E306">IF(
UPPER(TRIM(CLEAN($O306)))="ENTREGADO",
IFERROR(
INDEX(REPORTE_DROPI!Y:Y,
MATCH($T306, REPORTE_DROPI!B:B, 0)
),
""
),
""
)
</f>
        <v/>
      </c>
      <c r="F306" s="171">
        <v>2.0</v>
      </c>
      <c r="G306" s="122" t="str">
        <f t="array" ref="G306">IF(
UPPER(TRIM(CLEAN($O306)))="ENTREGADO",
IFERROR(
INDEX(REPORTE_DROPI!R:R,
MATCH($T306, REPORTE_DROPI!B:B, 0)
),
""
),
""
)
</f>
        <v/>
      </c>
      <c r="H306" s="118" t="s">
        <v>3727</v>
      </c>
      <c r="I306" s="154" t="s">
        <v>3731</v>
      </c>
      <c r="J306" s="121" t="str">
        <f t="array" ref="J306">IF(
UPPER(TRIM(CLEAN($O306)))="ENTREGADO",
IFERROR(
INDEX(REPORTE_DROPI!T:T,
MATCH($T306, REPORTE_DROPI!B:B, 0)
),
""
),
""
)
</f>
        <v/>
      </c>
      <c r="K306" s="118" t="str">
        <f t="array" ref="K306">IFERROR(
INDEX(REPORTE_DROPI!S:S,
MATCH($T306, REPORTE_DROPI!B:B, 0)
),
""
)</f>
        <v/>
      </c>
      <c r="L306" s="118" t="str">
        <f>IF(
  O306&lt;&gt;"DEVOLUCION",
  "",
  IF(
    T306="",
    "",
    SUMIF(DEVOLUCION!F:F, T306, DEVOLUCION!D:D)
  )
)
</f>
        <v/>
      </c>
      <c r="M306" s="118" t="s">
        <v>5877</v>
      </c>
      <c r="N306" s="169" t="s">
        <v>6748</v>
      </c>
      <c r="O306" s="118" t="str">
        <f t="array" ref="O306">IFERROR(
VLOOKUP(
TRIM(CLEAN(
INDEX(REPORTE_DROPI!K:K,
MATCH(T306, REPORTE_DROPI!B:B, 0)
))),
{
TRIM(CLEAN(MAPA_ESTADOS!A:A)) ,
MAPA_ESTADOS!B:B
},
2,
FALSE
),
"REVISAR"
)</f>
        <v>PENDIENTE</v>
      </c>
      <c r="P306" s="154" t="s">
        <v>6568</v>
      </c>
      <c r="Q306" s="153">
        <f t="shared" si="1"/>
        <v>0</v>
      </c>
      <c r="R306" s="172"/>
      <c r="S306" s="172"/>
      <c r="T306" s="118">
        <f t="array" ref="T306">IFERROR(
INDEX(REPORTE_DROPI!B:B,
MATCH(
CLEAN(TRIM(C306)),
CLEAN(TRIM(REPORTE_DROPI!E:E)),
0
)
),
""
)
</f>
        <v>4484906</v>
      </c>
      <c r="U306" s="169" t="s">
        <v>6749</v>
      </c>
      <c r="V306" s="166"/>
    </row>
    <row r="307" ht="22.5" hidden="1" customHeight="1">
      <c r="A307" s="169">
        <v>306.0</v>
      </c>
      <c r="B307" s="170">
        <v>46064.0</v>
      </c>
      <c r="C307" s="154" t="s">
        <v>6750</v>
      </c>
      <c r="D307" s="118" t="str">
        <f>IFERROR(__xludf.DUMMYFUNCTION("IFERROR( INDEX( FILTER( 'NOMBRE DE PRODUCTOS'!B:B, REGEXMATCH( UPPER( INDEX( REPORTE_DROPI!AC:AC, MATCH(T307, REPORTE_DROPI!B:B, 0) ) ), UPPER('NOMBRE DE PRODUCTOS'!A:A) ) ), 1 ), ""REVISAR"" )"),"Cuchillo Tazaki™")</f>
        <v>Cuchillo Tazaki™</v>
      </c>
      <c r="E307" s="120" t="str">
        <f t="array" ref="E307">IF(
UPPER(TRIM(CLEAN($O307)))="ENTREGADO",
IFERROR(
INDEX(REPORTE_DROPI!Y:Y,
MATCH($T307, REPORTE_DROPI!B:B, 0)
),
""
),
""
)
</f>
        <v/>
      </c>
      <c r="F307" s="171">
        <v>4.0</v>
      </c>
      <c r="G307" s="122" t="str">
        <f t="array" ref="G307">IF(
UPPER(TRIM(CLEAN($O307)))="ENTREGADO",
IFERROR(
INDEX(REPORTE_DROPI!R:R,
MATCH($T307, REPORTE_DROPI!B:B, 0)
),
""
),
""
)
</f>
        <v/>
      </c>
      <c r="H307" s="118" t="s">
        <v>3727</v>
      </c>
      <c r="I307" s="154" t="s">
        <v>3731</v>
      </c>
      <c r="J307" s="121" t="str">
        <f t="array" ref="J307">IF(
UPPER(TRIM(CLEAN($O307)))="ENTREGADO",
IFERROR(
INDEX(REPORTE_DROPI!T:T,
MATCH($T307, REPORTE_DROPI!B:B, 0)
),
""
),
""
)
</f>
        <v/>
      </c>
      <c r="K307" s="118" t="str">
        <f t="array" ref="K307">IFERROR(
INDEX(REPORTE_DROPI!S:S,
MATCH($T307, REPORTE_DROPI!B:B, 0)
),
""
)</f>
        <v/>
      </c>
      <c r="L307" s="118">
        <f>IF(
  O307&lt;&gt;"DEVOLUCION",
  "",
  IF(
    T307="",
    "",
    SUMIF(DEVOLUCION!F:F, T307, DEVOLUCION!D:D)
  )
)
</f>
        <v>5.13</v>
      </c>
      <c r="M307" s="118" t="s">
        <v>5877</v>
      </c>
      <c r="N307" s="169" t="s">
        <v>6751</v>
      </c>
      <c r="O307" s="118" t="str">
        <f t="array" ref="O307">IFERROR(
VLOOKUP(
TRIM(CLEAN(
INDEX(REPORTE_DROPI!K:K,
MATCH(T307, REPORTE_DROPI!B:B, 0)
))),
{
TRIM(CLEAN(MAPA_ESTADOS!A:A)) ,
MAPA_ESTADOS!B:B
},
2,
FALSE
),
"REVISAR"
)</f>
        <v>DEVOLUCION</v>
      </c>
      <c r="P307" s="154" t="s">
        <v>5692</v>
      </c>
      <c r="Q307" s="153">
        <f t="shared" si="1"/>
        <v>0</v>
      </c>
      <c r="R307" s="172"/>
      <c r="S307" s="172"/>
      <c r="T307" s="118">
        <f t="array" ref="T307">IFERROR(
INDEX(REPORTE_DROPI!B:B,
MATCH(
CLEAN(TRIM(C307)),
CLEAN(TRIM(REPORTE_DROPI!E:E)),
0
)
),
""
)
</f>
        <v>4485107</v>
      </c>
      <c r="U307" s="169" t="s">
        <v>6752</v>
      </c>
      <c r="V307" s="166"/>
    </row>
    <row r="308" ht="22.5" hidden="1" customHeight="1">
      <c r="A308" s="169">
        <v>307.0</v>
      </c>
      <c r="B308" s="170">
        <v>46064.0</v>
      </c>
      <c r="C308" s="154" t="s">
        <v>6753</v>
      </c>
      <c r="D308" s="118" t="str">
        <f>IFERROR(__xludf.DUMMYFUNCTION("IFERROR( INDEX( FILTER( 'NOMBRE DE PRODUCTOS'!B:B, REGEXMATCH( UPPER( INDEX( REPORTE_DROPI!AC:AC, MATCH(T308, REPORTE_DROPI!B:B, 0) ) ), UPPER('NOMBRE DE PRODUCTOS'!A:A) ) ), 1 ), ""REVISAR"" )"),"Cuchillo Tazaki™")</f>
        <v>Cuchillo Tazaki™</v>
      </c>
      <c r="E308" s="120" t="str">
        <f t="array" ref="E308">IF(
UPPER(TRIM(CLEAN($O308)))="ENTREGADO",
IFERROR(
INDEX(REPORTE_DROPI!Y:Y,
MATCH($T308, REPORTE_DROPI!B:B, 0)
),
""
),
""
)
</f>
        <v/>
      </c>
      <c r="F308" s="171">
        <v>2.0</v>
      </c>
      <c r="G308" s="122" t="str">
        <f t="array" ref="G308">IF(
UPPER(TRIM(CLEAN($O308)))="ENTREGADO",
IFERROR(
INDEX(REPORTE_DROPI!R:R,
MATCH($T308, REPORTE_DROPI!B:B, 0)
),
""
),
""
)
</f>
        <v/>
      </c>
      <c r="H308" s="118" t="s">
        <v>3727</v>
      </c>
      <c r="I308" s="154" t="s">
        <v>3778</v>
      </c>
      <c r="J308" s="121" t="str">
        <f t="array" ref="J308">IF(
UPPER(TRIM(CLEAN($O308)))="ENTREGADO",
IFERROR(
INDEX(REPORTE_DROPI!T:T,
MATCH($T308, REPORTE_DROPI!B:B, 0)
),
""
),
""
)
</f>
        <v/>
      </c>
      <c r="K308" s="118" t="str">
        <f t="array" ref="K308">IFERROR(
INDEX(REPORTE_DROPI!S:S,
MATCH($T308, REPORTE_DROPI!B:B, 0)
),
""
)</f>
        <v/>
      </c>
      <c r="L308" s="118">
        <f>IF(
  O308&lt;&gt;"DEVOLUCION",
  "",
  IF(
    T308="",
    "",
    SUMIF(DEVOLUCION!F:F, T308, DEVOLUCION!D:D)
  )
)
</f>
        <v>0</v>
      </c>
      <c r="M308" s="118" t="s">
        <v>5877</v>
      </c>
      <c r="N308" s="169" t="s">
        <v>6754</v>
      </c>
      <c r="O308" s="118" t="str">
        <f t="array" ref="O308">IFERROR(
VLOOKUP(
TRIM(CLEAN(
INDEX(REPORTE_DROPI!K:K,
MATCH(T308, REPORTE_DROPI!B:B, 0)
))),
{
TRIM(CLEAN(MAPA_ESTADOS!A:A)) ,
MAPA_ESTADOS!B:B
},
2,
FALSE
),
"REVISAR"
)</f>
        <v>DEVOLUCION</v>
      </c>
      <c r="P308" s="154" t="s">
        <v>5820</v>
      </c>
      <c r="Q308" s="153">
        <f t="shared" si="1"/>
        <v>0</v>
      </c>
      <c r="R308" s="172"/>
      <c r="S308" s="172"/>
      <c r="T308" s="118">
        <v>4493464.0</v>
      </c>
      <c r="U308" s="169" t="s">
        <v>6755</v>
      </c>
      <c r="V308" s="166"/>
    </row>
    <row r="309" ht="22.5" hidden="1" customHeight="1">
      <c r="A309" s="169">
        <v>308.0</v>
      </c>
      <c r="B309" s="170">
        <v>46065.0</v>
      </c>
      <c r="C309" s="154" t="s">
        <v>6756</v>
      </c>
      <c r="D309" s="118" t="str">
        <f>IFERROR(__xludf.DUMMYFUNCTION("IFERROR( INDEX( FILTER( 'NOMBRE DE PRODUCTOS'!B:B, REGEXMATCH( UPPER( INDEX( REPORTE_DROPI!AC:AC, MATCH(T309, REPORTE_DROPI!B:B, 0) ) ), UPPER('NOMBRE DE PRODUCTOS'!A:A) ) ), 1 ), ""REVISAR"" )"),"Cuchillo Tazaki™")</f>
        <v>Cuchillo Tazaki™</v>
      </c>
      <c r="E309" s="120">
        <f t="array" ref="E309">IF(
UPPER(TRIM(CLEAN($O309)))="ENTREGADO",
IFERROR(
INDEX(REPORTE_DROPI!Y:Y,
MATCH($T309, REPORTE_DROPI!B:B, 0)
),
""
),
""
)
</f>
        <v>5.2</v>
      </c>
      <c r="F309" s="171">
        <v>2.0</v>
      </c>
      <c r="G309" s="122">
        <f t="array" ref="G309">IF(
UPPER(TRIM(CLEAN($O309)))="ENTREGADO",
IFERROR(
INDEX(REPORTE_DROPI!R:R,
MATCH($T309, REPORTE_DROPI!B:B, 0)
),
""
),
""
)
</f>
        <v>22</v>
      </c>
      <c r="H309" s="118" t="s">
        <v>3727</v>
      </c>
      <c r="I309" s="154" t="s">
        <v>3969</v>
      </c>
      <c r="J309" s="121">
        <f t="array" ref="J309">IF(
UPPER(TRIM(CLEAN($O309)))="ENTREGADO",
IFERROR(
INDEX(REPORTE_DROPI!T:T,
MATCH($T309, REPORTE_DROPI!B:B, 0)
),
""
),
""
)
</f>
        <v>5.84</v>
      </c>
      <c r="K309" s="118">
        <f t="array" ref="K309">IFERROR(
INDEX(REPORTE_DROPI!S:S,
MATCH($T309, REPORTE_DROPI!B:B, 0)
),
""
)</f>
        <v>10.96</v>
      </c>
      <c r="L309" s="118" t="str">
        <f>IF(
  O309&lt;&gt;"DEVOLUCION",
  "",
  IF(
    T309="",
    "",
    SUMIF(DEVOLUCION!F:F, T309, DEVOLUCION!D:D)
  )
)
</f>
        <v/>
      </c>
      <c r="M309" s="118" t="s">
        <v>5877</v>
      </c>
      <c r="N309" s="169" t="s">
        <v>6757</v>
      </c>
      <c r="O309" s="118" t="str">
        <f t="array" ref="O309">IFERROR(
VLOOKUP(
TRIM(CLEAN(
INDEX(REPORTE_DROPI!K:K,
MATCH(T309, REPORTE_DROPI!B:B, 0)
))),
{
TRIM(CLEAN(MAPA_ESTADOS!A:A)) ,
MAPA_ESTADOS!B:B
},
2,
FALSE
),
"REVISAR"
)</f>
        <v>ENTREGADO</v>
      </c>
      <c r="P309" s="154" t="s">
        <v>5692</v>
      </c>
      <c r="Q309" s="153">
        <f t="shared" si="1"/>
        <v>0</v>
      </c>
      <c r="R309" s="172"/>
      <c r="S309" s="172"/>
      <c r="T309" s="118">
        <f t="array" ref="T309">IFERROR(
INDEX(REPORTE_DROPI!B:B,
MATCH(
CLEAN(TRIM(C309)),
CLEAN(TRIM(REPORTE_DROPI!E:E)),
0
)
),
""
)
</f>
        <v>4485606</v>
      </c>
      <c r="U309" s="169" t="s">
        <v>6758</v>
      </c>
      <c r="V309" s="166"/>
    </row>
    <row r="310" ht="22.5" hidden="1" customHeight="1">
      <c r="A310" s="169">
        <v>309.0</v>
      </c>
      <c r="B310" s="170">
        <v>46065.0</v>
      </c>
      <c r="C310" s="154" t="s">
        <v>6759</v>
      </c>
      <c r="D310" s="118" t="str">
        <f>IFERROR(__xludf.DUMMYFUNCTION("IFERROR( INDEX( FILTER( 'NOMBRE DE PRODUCTOS'!B:B, REGEXMATCH( UPPER( INDEX( REPORTE_DROPI!AC:AC, MATCH(T310, REPORTE_DROPI!B:B, 0) ) ), UPPER('NOMBRE DE PRODUCTOS'!A:A) ) ), 1 ), ""REVISAR"" )"),"FilmPro®")</f>
        <v>FilmPro®</v>
      </c>
      <c r="E310" s="120" t="str">
        <f t="array" ref="E310">IF(
UPPER(TRIM(CLEAN($O310)))="ENTREGADO",
IFERROR(
INDEX(REPORTE_DROPI!Y:Y,
MATCH($T310, REPORTE_DROPI!B:B, 0)
),
""
),
""
)
</f>
        <v/>
      </c>
      <c r="F310" s="171">
        <v>3.0</v>
      </c>
      <c r="G310" s="122" t="str">
        <f t="array" ref="G310">IF(
UPPER(TRIM(CLEAN($O310)))="ENTREGADO",
IFERROR(
INDEX(REPORTE_DROPI!R:R,
MATCH($T310, REPORTE_DROPI!B:B, 0)
),
""
),
""
)
</f>
        <v/>
      </c>
      <c r="H310" s="118" t="s">
        <v>3727</v>
      </c>
      <c r="I310" s="154" t="s">
        <v>3778</v>
      </c>
      <c r="J310" s="121" t="str">
        <f t="array" ref="J310">IF(
UPPER(TRIM(CLEAN($O310)))="ENTREGADO",
IFERROR(
INDEX(REPORTE_DROPI!T:T,
MATCH($T310, REPORTE_DROPI!B:B, 0)
),
""
),
""
)
</f>
        <v/>
      </c>
      <c r="K310" s="118" t="str">
        <f t="array" ref="K310">IFERROR(
INDEX(REPORTE_DROPI!S:S,
MATCH($T310, REPORTE_DROPI!B:B, 0)
),
""
)</f>
        <v/>
      </c>
      <c r="L310" s="118">
        <f>IF(
  O310&lt;&gt;"DEVOLUCION",
  "",
  IF(
    T310="",
    "",
    SUMIF(DEVOLUCION!F:F, T310, DEVOLUCION!D:D)
  )
)
</f>
        <v>0</v>
      </c>
      <c r="M310" s="118" t="s">
        <v>5877</v>
      </c>
      <c r="N310" s="169" t="s">
        <v>6760</v>
      </c>
      <c r="O310" s="118" t="str">
        <f t="array" ref="O310">IFERROR(
VLOOKUP(
TRIM(CLEAN(
INDEX(REPORTE_DROPI!K:K,
MATCH(T310, REPORTE_DROPI!B:B, 0)
))),
{
TRIM(CLEAN(MAPA_ESTADOS!A:A)) ,
MAPA_ESTADOS!B:B
},
2,
FALSE
),
"REVISAR"
)</f>
        <v>DEVOLUCION</v>
      </c>
      <c r="P310" s="154" t="s">
        <v>3655</v>
      </c>
      <c r="Q310" s="153">
        <f t="shared" si="1"/>
        <v>0</v>
      </c>
      <c r="R310" s="172"/>
      <c r="S310" s="172"/>
      <c r="T310" s="118">
        <f t="array" ref="T310">IFERROR(
INDEX(REPORTE_DROPI!B:B,
MATCH(
CLEAN(TRIM(C310)),
CLEAN(TRIM(REPORTE_DROPI!E:E)),
0
)
),
""
)
</f>
        <v>4485913</v>
      </c>
      <c r="U310" s="169" t="s">
        <v>6761</v>
      </c>
      <c r="V310" s="166"/>
    </row>
    <row r="311" ht="22.5" hidden="1" customHeight="1">
      <c r="A311" s="169">
        <v>310.0</v>
      </c>
      <c r="B311" s="170">
        <v>46065.0</v>
      </c>
      <c r="C311" s="154" t="s">
        <v>6762</v>
      </c>
      <c r="D311" s="118" t="str">
        <f>IFERROR(__xludf.DUMMYFUNCTION("IFERROR( INDEX( FILTER( 'NOMBRE DE PRODUCTOS'!B:B, REGEXMATCH( UPPER( INDEX( REPORTE_DROPI!AC:AC, MATCH(T311, REPORTE_DROPI!B:B, 0) ) ), UPPER('NOMBRE DE PRODUCTOS'!A:A) ) ), 1 ), ""REVISAR"" )"),"Cuchillo Tazaki™")</f>
        <v>Cuchillo Tazaki™</v>
      </c>
      <c r="E311" s="120">
        <f t="array" ref="E311">IF(
UPPER(TRIM(CLEAN($O311)))="ENTREGADO",
IFERROR(
INDEX(REPORTE_DROPI!Y:Y,
MATCH($T311, REPORTE_DROPI!B:B, 0)
),
""
),
""
)
</f>
        <v>5.2</v>
      </c>
      <c r="F311" s="171">
        <v>2.0</v>
      </c>
      <c r="G311" s="122">
        <f t="array" ref="G311">IF(
UPPER(TRIM(CLEAN($O311)))="ENTREGADO",
IFERROR(
INDEX(REPORTE_DROPI!R:R,
MATCH($T311, REPORTE_DROPI!B:B, 0)
),
""
),
""
)
</f>
        <v>22</v>
      </c>
      <c r="H311" s="118" t="s">
        <v>3727</v>
      </c>
      <c r="I311" s="154" t="s">
        <v>3804</v>
      </c>
      <c r="J311" s="121">
        <f t="array" ref="J311">IF(
UPPER(TRIM(CLEAN($O311)))="ENTREGADO",
IFERROR(
INDEX(REPORTE_DROPI!T:T,
MATCH($T311, REPORTE_DROPI!B:B, 0)
),
""
),
""
)
</f>
        <v>5.84</v>
      </c>
      <c r="K311" s="118">
        <f t="array" ref="K311">IFERROR(
INDEX(REPORTE_DROPI!S:S,
MATCH($T311, REPORTE_DROPI!B:B, 0)
),
""
)</f>
        <v>10.96</v>
      </c>
      <c r="L311" s="118" t="str">
        <f>IF(
  O311&lt;&gt;"DEVOLUCION",
  "",
  IF(
    T311="",
    "",
    SUMIF(DEVOLUCION!F:F, T311, DEVOLUCION!D:D)
  )
)
</f>
        <v/>
      </c>
      <c r="M311" s="118" t="s">
        <v>5877</v>
      </c>
      <c r="N311" s="169" t="s">
        <v>6763</v>
      </c>
      <c r="O311" s="118" t="str">
        <f t="array" ref="O311">IFERROR(
VLOOKUP(
TRIM(CLEAN(
INDEX(REPORTE_DROPI!K:K,
MATCH(T311, REPORTE_DROPI!B:B, 0)
))),
{
TRIM(CLEAN(MAPA_ESTADOS!A:A)) ,
MAPA_ESTADOS!B:B
},
2,
FALSE
),
"REVISAR"
)</f>
        <v>ENTREGADO</v>
      </c>
      <c r="P311" s="154" t="s">
        <v>3655</v>
      </c>
      <c r="Q311" s="153">
        <f t="shared" si="1"/>
        <v>0</v>
      </c>
      <c r="R311" s="172"/>
      <c r="S311" s="172"/>
      <c r="T311" s="118">
        <f t="array" ref="T311">IFERROR(
INDEX(REPORTE_DROPI!B:B,
MATCH(
CLEAN(TRIM(C311)),
CLEAN(TRIM(REPORTE_DROPI!E:E)),
0
)
),
""
)
</f>
        <v>4485943</v>
      </c>
      <c r="U311" s="169" t="s">
        <v>6764</v>
      </c>
      <c r="V311" s="166"/>
    </row>
    <row r="312" ht="22.5" hidden="1" customHeight="1">
      <c r="A312" s="169">
        <v>311.0</v>
      </c>
      <c r="B312" s="170">
        <v>46065.0</v>
      </c>
      <c r="C312" s="154" t="s">
        <v>6765</v>
      </c>
      <c r="D312" s="118" t="str">
        <f>IFERROR(__xludf.DUMMYFUNCTION("IFERROR( INDEX( FILTER( 'NOMBRE DE PRODUCTOS'!B:B, REGEXMATCH( UPPER( INDEX( REPORTE_DROPI!AC:AC, MATCH(T312, REPORTE_DROPI!B:B, 0) ) ), UPPER('NOMBRE DE PRODUCTOS'!A:A) ) ), 1 ), ""REVISAR"" )"),"Cuchillo Tazaki™")</f>
        <v>Cuchillo Tazaki™</v>
      </c>
      <c r="E312" s="120">
        <f t="array" ref="E312">IF(
UPPER(TRIM(CLEAN($O312)))="ENTREGADO",
IFERROR(
INDEX(REPORTE_DROPI!Y:Y,
MATCH($T312, REPORTE_DROPI!B:B, 0)
),
""
),
""
)
</f>
        <v>5.2</v>
      </c>
      <c r="F312" s="171">
        <v>2.0</v>
      </c>
      <c r="G312" s="122">
        <f t="array" ref="G312">IF(
UPPER(TRIM(CLEAN($O312)))="ENTREGADO",
IFERROR(
INDEX(REPORTE_DROPI!R:R,
MATCH($T312, REPORTE_DROPI!B:B, 0)
),
""
),
""
)
</f>
        <v>22</v>
      </c>
      <c r="H312" s="118" t="s">
        <v>3727</v>
      </c>
      <c r="I312" s="154" t="s">
        <v>3778</v>
      </c>
      <c r="J312" s="121">
        <f t="array" ref="J312">IF(
UPPER(TRIM(CLEAN($O312)))="ENTREGADO",
IFERROR(
INDEX(REPORTE_DROPI!T:T,
MATCH($T312, REPORTE_DROPI!B:B, 0)
),
""
),
""
)
</f>
        <v>6</v>
      </c>
      <c r="K312" s="118">
        <f t="array" ref="K312">IFERROR(
INDEX(REPORTE_DROPI!S:S,
MATCH($T312, REPORTE_DROPI!B:B, 0)
),
""
)</f>
        <v>10.8</v>
      </c>
      <c r="L312" s="118" t="str">
        <f>IF(
  O312&lt;&gt;"DEVOLUCION",
  "",
  IF(
    T312="",
    "",
    SUMIF(DEVOLUCION!F:F, T312, DEVOLUCION!D:D)
  )
)
</f>
        <v/>
      </c>
      <c r="M312" s="118" t="s">
        <v>5877</v>
      </c>
      <c r="N312" s="169" t="s">
        <v>6766</v>
      </c>
      <c r="O312" s="118" t="str">
        <f t="array" ref="O312">IFERROR(
VLOOKUP(
TRIM(CLEAN(
INDEX(REPORTE_DROPI!K:K,
MATCH(T312, REPORTE_DROPI!B:B, 0)
))),
{
TRIM(CLEAN(MAPA_ESTADOS!A:A)) ,
MAPA_ESTADOS!B:B
},
2,
FALSE
),
"REVISAR"
)</f>
        <v>ENTREGADO</v>
      </c>
      <c r="P312" s="154" t="s">
        <v>3655</v>
      </c>
      <c r="Q312" s="153">
        <f t="shared" si="1"/>
        <v>0</v>
      </c>
      <c r="R312" s="172"/>
      <c r="S312" s="172"/>
      <c r="T312" s="118">
        <f t="array" ref="T312">IFERROR(
INDEX(REPORTE_DROPI!B:B,
MATCH(
CLEAN(TRIM(C312)),
CLEAN(TRIM(REPORTE_DROPI!E:E)),
0
)
),
""
)
</f>
        <v>4493703</v>
      </c>
      <c r="U312" s="169" t="s">
        <v>6767</v>
      </c>
      <c r="V312" s="166"/>
    </row>
    <row r="313" ht="22.5" hidden="1" customHeight="1">
      <c r="A313" s="169">
        <v>312.0</v>
      </c>
      <c r="B313" s="170">
        <v>46065.0</v>
      </c>
      <c r="C313" s="154" t="s">
        <v>6768</v>
      </c>
      <c r="D313" s="118" t="str">
        <f>IFERROR(__xludf.DUMMYFUNCTION("IFERROR( INDEX( FILTER( 'NOMBRE DE PRODUCTOS'!B:B, REGEXMATCH( UPPER( INDEX( REPORTE_DROPI!AC:AC, MATCH(T313, REPORTE_DROPI!B:B, 0) ) ), UPPER('NOMBRE DE PRODUCTOS'!A:A) ) ), 1 ), ""REVISAR"" )"),"Cuchillo Tazaki™")</f>
        <v>Cuchillo Tazaki™</v>
      </c>
      <c r="E313" s="120" t="str">
        <f t="array" ref="E313">IF(
UPPER(TRIM(CLEAN($O313)))="ENTREGADO",
IFERROR(
INDEX(REPORTE_DROPI!Y:Y,
MATCH($T313, REPORTE_DROPI!B:B, 0)
),
""
),
""
)
</f>
        <v/>
      </c>
      <c r="F313" s="171">
        <v>2.0</v>
      </c>
      <c r="G313" s="122" t="str">
        <f t="array" ref="G313">IF(
UPPER(TRIM(CLEAN($O313)))="ENTREGADO",
IFERROR(
INDEX(REPORTE_DROPI!R:R,
MATCH($T313, REPORTE_DROPI!B:B, 0)
),
""
),
""
)
</f>
        <v/>
      </c>
      <c r="H313" s="118" t="s">
        <v>3727</v>
      </c>
      <c r="I313" s="154" t="s">
        <v>3951</v>
      </c>
      <c r="J313" s="121" t="str">
        <f t="array" ref="J313">IF(
UPPER(TRIM(CLEAN($O313)))="ENTREGADO",
IFERROR(
INDEX(REPORTE_DROPI!T:T,
MATCH($T313, REPORTE_DROPI!B:B, 0)
),
""
),
""
)
</f>
        <v/>
      </c>
      <c r="K313" s="118" t="str">
        <f t="array" ref="K313">IFERROR(
INDEX(REPORTE_DROPI!S:S,
MATCH($T313, REPORTE_DROPI!B:B, 0)
),
""
)</f>
        <v/>
      </c>
      <c r="L313" s="118">
        <f>IF(
  O313&lt;&gt;"DEVOLUCION",
  "",
  IF(
    T313="",
    "",
    SUMIF(DEVOLUCION!F:F, T313, DEVOLUCION!D:D)
  )
)
</f>
        <v>5.07</v>
      </c>
      <c r="M313" s="118" t="s">
        <v>5877</v>
      </c>
      <c r="N313" s="169" t="s">
        <v>6769</v>
      </c>
      <c r="O313" s="118" t="str">
        <f t="array" ref="O313">IFERROR(
VLOOKUP(
TRIM(CLEAN(
INDEX(REPORTE_DROPI!K:K,
MATCH(T313, REPORTE_DROPI!B:B, 0)
))),
{
TRIM(CLEAN(MAPA_ESTADOS!A:A)) ,
MAPA_ESTADOS!B:B
},
2,
FALSE
),
"REVISAR"
)</f>
        <v>DEVOLUCION</v>
      </c>
      <c r="P313" s="154" t="s">
        <v>3655</v>
      </c>
      <c r="Q313" s="153">
        <f t="shared" si="1"/>
        <v>0</v>
      </c>
      <c r="R313" s="172"/>
      <c r="S313" s="172"/>
      <c r="T313" s="118">
        <f t="array" ref="T313">IFERROR(
INDEX(REPORTE_DROPI!B:B,
MATCH(
CLEAN(TRIM(C313)),
CLEAN(TRIM(REPORTE_DROPI!E:E)),
0
)
),
""
)
</f>
        <v>4489045</v>
      </c>
      <c r="U313" s="173">
        <v>1.57100136112E11</v>
      </c>
      <c r="V313" s="166"/>
    </row>
    <row r="314" ht="22.5" hidden="1" customHeight="1">
      <c r="A314" s="169">
        <v>313.0</v>
      </c>
      <c r="B314" s="170">
        <v>46065.0</v>
      </c>
      <c r="C314" s="154" t="s">
        <v>6770</v>
      </c>
      <c r="D314" s="118" t="str">
        <f>IFERROR(__xludf.DUMMYFUNCTION("IFERROR( INDEX( FILTER( 'NOMBRE DE PRODUCTOS'!B:B, REGEXMATCH( UPPER( INDEX( REPORTE_DROPI!AC:AC, MATCH(T314, REPORTE_DROPI!B:B, 0) ) ), UPPER('NOMBRE DE PRODUCTOS'!A:A) ) ), 1 ), ""REVISAR"" )"),"FilmPro®")</f>
        <v>FilmPro®</v>
      </c>
      <c r="E314" s="120" t="str">
        <f t="array" ref="E314">IF(
UPPER(TRIM(CLEAN($O314)))="ENTREGADO",
IFERROR(
INDEX(REPORTE_DROPI!Y:Y,
MATCH($T314, REPORTE_DROPI!B:B, 0)
),
""
),
""
)
</f>
        <v/>
      </c>
      <c r="F314" s="171">
        <v>3.0</v>
      </c>
      <c r="G314" s="122" t="str">
        <f t="array" ref="G314">IF(
UPPER(TRIM(CLEAN($O314)))="ENTREGADO",
IFERROR(
INDEX(REPORTE_DROPI!R:R,
MATCH($T314, REPORTE_DROPI!B:B, 0)
),
""
),
""
)
</f>
        <v/>
      </c>
      <c r="H314" s="118" t="s">
        <v>3727</v>
      </c>
      <c r="I314" s="154" t="s">
        <v>3804</v>
      </c>
      <c r="J314" s="121" t="str">
        <f t="array" ref="J314">IF(
UPPER(TRIM(CLEAN($O314)))="ENTREGADO",
IFERROR(
INDEX(REPORTE_DROPI!T:T,
MATCH($T314, REPORTE_DROPI!B:B, 0)
),
""
),
""
)
</f>
        <v/>
      </c>
      <c r="K314" s="118" t="str">
        <f t="array" ref="K314">IFERROR(
INDEX(REPORTE_DROPI!S:S,
MATCH($T314, REPORTE_DROPI!B:B, 0)
),
""
)</f>
        <v/>
      </c>
      <c r="L314" s="118">
        <f>IF(
  O314&lt;&gt;"DEVOLUCION",
  "",
  IF(
    T314="",
    "",
    SUMIF(DEVOLUCION!F:F, T314, DEVOLUCION!D:D)
  )
)
</f>
        <v>5.12</v>
      </c>
      <c r="M314" s="118" t="s">
        <v>5877</v>
      </c>
      <c r="N314" s="169" t="s">
        <v>6771</v>
      </c>
      <c r="O314" s="118" t="str">
        <f t="array" ref="O314">IFERROR(
VLOOKUP(
TRIM(CLEAN(
INDEX(REPORTE_DROPI!K:K,
MATCH(T314, REPORTE_DROPI!B:B, 0)
))),
{
TRIM(CLEAN(MAPA_ESTADOS!A:A)) ,
MAPA_ESTADOS!B:B
},
2,
FALSE
),
"REVISAR"
)</f>
        <v>DEVOLUCION</v>
      </c>
      <c r="P314" s="154" t="s">
        <v>3655</v>
      </c>
      <c r="Q314" s="153">
        <f t="shared" si="1"/>
        <v>0</v>
      </c>
      <c r="R314" s="172"/>
      <c r="S314" s="172"/>
      <c r="T314" s="118">
        <f t="array" ref="T314">IFERROR(
INDEX(REPORTE_DROPI!B:B,
MATCH(
CLEAN(TRIM(C314)),
CLEAN(TRIM(REPORTE_DROPI!E:E)),
0
)
),
""
)
</f>
        <v>4486265</v>
      </c>
      <c r="U314" s="169" t="s">
        <v>6772</v>
      </c>
      <c r="V314" s="166"/>
    </row>
    <row r="315" ht="22.5" hidden="1" customHeight="1">
      <c r="A315" s="169">
        <v>314.0</v>
      </c>
      <c r="B315" s="170">
        <v>46065.0</v>
      </c>
      <c r="C315" s="154" t="s">
        <v>6773</v>
      </c>
      <c r="D315" s="118" t="str">
        <f>IFERROR(__xludf.DUMMYFUNCTION("IFERROR( INDEX( FILTER( 'NOMBRE DE PRODUCTOS'!B:B, REGEXMATCH( UPPER( INDEX( REPORTE_DROPI!AC:AC, MATCH(T315, REPORTE_DROPI!B:B, 0) ) ), UPPER('NOMBRE DE PRODUCTOS'!A:A) ) ), 1 ), ""REVISAR"" )"),"FilmPro®")</f>
        <v>FilmPro®</v>
      </c>
      <c r="E315" s="120" t="str">
        <f t="array" ref="E315">IF(
UPPER(TRIM(CLEAN($O315)))="ENTREGADO",
IFERROR(
INDEX(REPORTE_DROPI!Y:Y,
MATCH($T315, REPORTE_DROPI!B:B, 0)
),
""
),
""
)
</f>
        <v/>
      </c>
      <c r="F315" s="171">
        <v>2.0</v>
      </c>
      <c r="G315" s="122" t="str">
        <f t="array" ref="G315">IF(
UPPER(TRIM(CLEAN($O315)))="ENTREGADO",
IFERROR(
INDEX(REPORTE_DROPI!R:R,
MATCH($T315, REPORTE_DROPI!B:B, 0)
),
""
),
""
)
</f>
        <v/>
      </c>
      <c r="H315" s="118" t="s">
        <v>3727</v>
      </c>
      <c r="I315" s="154" t="s">
        <v>3804</v>
      </c>
      <c r="J315" s="121" t="str">
        <f t="array" ref="J315">IF(
UPPER(TRIM(CLEAN($O315)))="ENTREGADO",
IFERROR(
INDEX(REPORTE_DROPI!T:T,
MATCH($T315, REPORTE_DROPI!B:B, 0)
),
""
),
""
)
</f>
        <v/>
      </c>
      <c r="K315" s="118" t="str">
        <f t="array" ref="K315">IFERROR(
INDEX(REPORTE_DROPI!S:S,
MATCH($T315, REPORTE_DROPI!B:B, 0)
),
""
)</f>
        <v/>
      </c>
      <c r="L315" s="118">
        <f>IF(
  O315&lt;&gt;"DEVOLUCION",
  "",
  IF(
    T315="",
    "",
    SUMIF(DEVOLUCION!F:F, T315, DEVOLUCION!D:D)
  )
)
</f>
        <v>0</v>
      </c>
      <c r="M315" s="118" t="s">
        <v>5877</v>
      </c>
      <c r="N315" s="169" t="s">
        <v>6774</v>
      </c>
      <c r="O315" s="118" t="str">
        <f t="array" ref="O315">IFERROR(
VLOOKUP(
TRIM(CLEAN(
INDEX(REPORTE_DROPI!K:K,
MATCH(T315, REPORTE_DROPI!B:B, 0)
))),
{
TRIM(CLEAN(MAPA_ESTADOS!A:A)) ,
MAPA_ESTADOS!B:B
},
2,
FALSE
),
"REVISAR"
)</f>
        <v>DEVOLUCION</v>
      </c>
      <c r="P315" s="154" t="s">
        <v>3655</v>
      </c>
      <c r="Q315" s="153">
        <f t="shared" si="1"/>
        <v>0</v>
      </c>
      <c r="R315" s="172"/>
      <c r="S315" s="172"/>
      <c r="T315" s="118">
        <f t="array" ref="T315">IFERROR(
INDEX(REPORTE_DROPI!B:B,
MATCH(
CLEAN(TRIM(C315)),
CLEAN(TRIM(REPORTE_DROPI!E:E)),
0
)
),
""
)
</f>
        <v>4486344</v>
      </c>
      <c r="U315" s="169" t="s">
        <v>6775</v>
      </c>
      <c r="V315" s="166"/>
    </row>
    <row r="316" ht="22.5" hidden="1" customHeight="1">
      <c r="A316" s="169">
        <v>315.0</v>
      </c>
      <c r="B316" s="170">
        <v>46065.0</v>
      </c>
      <c r="C316" s="154" t="s">
        <v>6776</v>
      </c>
      <c r="D316" s="118" t="str">
        <f>IFERROR(__xludf.DUMMYFUNCTION("IFERROR( INDEX( FILTER( 'NOMBRE DE PRODUCTOS'!B:B, REGEXMATCH( UPPER( INDEX( REPORTE_DROPI!AC:AC, MATCH(T316, REPORTE_DROPI!B:B, 0) ) ), UPPER('NOMBRE DE PRODUCTOS'!A:A) ) ), 1 ), ""REVISAR"" )"),"FilmPro®")</f>
        <v>FilmPro®</v>
      </c>
      <c r="E316" s="120">
        <f t="array" ref="E316">IF(
UPPER(TRIM(CLEAN($O316)))="ENTREGADO",
IFERROR(
INDEX(REPORTE_DROPI!Y:Y,
MATCH($T316, REPORTE_DROPI!B:B, 0)
),
""
),
""
)
</f>
        <v>4.8</v>
      </c>
      <c r="F316" s="171">
        <v>2.0</v>
      </c>
      <c r="G316" s="122">
        <f t="array" ref="G316">IF(
UPPER(TRIM(CLEAN($O316)))="ENTREGADO",
IFERROR(
INDEX(REPORTE_DROPI!R:R,
MATCH($T316, REPORTE_DROPI!B:B, 0)
),
""
),
""
)
</f>
        <v>25</v>
      </c>
      <c r="H316" s="118" t="s">
        <v>3727</v>
      </c>
      <c r="I316" s="154" t="s">
        <v>3731</v>
      </c>
      <c r="J316" s="121">
        <f t="array" ref="J316">IF(
UPPER(TRIM(CLEAN($O316)))="ENTREGADO",
IFERROR(
INDEX(REPORTE_DROPI!T:T,
MATCH($T316, REPORTE_DROPI!B:B, 0)
),
""
),
""
)
</f>
        <v>5.96</v>
      </c>
      <c r="K316" s="118">
        <f t="array" ref="K316">IFERROR(
INDEX(REPORTE_DROPI!S:S,
MATCH($T316, REPORTE_DROPI!B:B, 0)
),
""
)</f>
        <v>14.24</v>
      </c>
      <c r="L316" s="118" t="str">
        <f>IF(
  O316&lt;&gt;"DEVOLUCION",
  "",
  IF(
    T316="",
    "",
    SUMIF(DEVOLUCION!F:F, T316, DEVOLUCION!D:D)
  )
)
</f>
        <v/>
      </c>
      <c r="M316" s="118" t="s">
        <v>5877</v>
      </c>
      <c r="N316" s="169" t="s">
        <v>6777</v>
      </c>
      <c r="O316" s="118" t="str">
        <f t="array" ref="O316">IFERROR(
VLOOKUP(
TRIM(CLEAN(
INDEX(REPORTE_DROPI!K:K,
MATCH(T316, REPORTE_DROPI!B:B, 0)
))),
{
TRIM(CLEAN(MAPA_ESTADOS!A:A)) ,
MAPA_ESTADOS!B:B
},
2,
FALSE
),
"REVISAR"
)</f>
        <v>ENTREGADO</v>
      </c>
      <c r="P316" s="154" t="s">
        <v>3655</v>
      </c>
      <c r="Q316" s="153">
        <f t="shared" si="1"/>
        <v>0</v>
      </c>
      <c r="R316" s="172"/>
      <c r="S316" s="172"/>
      <c r="T316" s="118">
        <f t="array" ref="T316">IFERROR(
INDEX(REPORTE_DROPI!B:B,
MATCH(
CLEAN(TRIM(C316)),
CLEAN(TRIM(REPORTE_DROPI!E:E)),
0
)
),
""
)
</f>
        <v>4486357</v>
      </c>
      <c r="U316" s="169" t="s">
        <v>6778</v>
      </c>
      <c r="V316" s="166"/>
    </row>
    <row r="317" ht="22.5" hidden="1" customHeight="1">
      <c r="A317" s="169">
        <v>316.0</v>
      </c>
      <c r="B317" s="170">
        <v>46065.0</v>
      </c>
      <c r="C317" s="133" t="s">
        <v>6779</v>
      </c>
      <c r="D317" s="118" t="str">
        <f>IFERROR(__xludf.DUMMYFUNCTION("IFERROR( INDEX( FILTER( 'NOMBRE DE PRODUCTOS'!B:B, REGEXMATCH( UPPER( INDEX( REPORTE_DROPI!AC:AC, MATCH(T317, REPORTE_DROPI!B:B, 0) ) ), UPPER('NOMBRE DE PRODUCTOS'!A:A) ) ), 1 ), ""REVISAR"" )"),"FilmPro®")</f>
        <v>FilmPro®</v>
      </c>
      <c r="E317" s="120" t="str">
        <f t="array" ref="E317">IF(
UPPER(TRIM(CLEAN($O317)))="ENTREGADO",
IFERROR(
INDEX(REPORTE_DROPI!Y:Y,
MATCH($T317, REPORTE_DROPI!B:B, 0)
),
""
),
""
)
</f>
        <v/>
      </c>
      <c r="F317" s="171">
        <v>3.0</v>
      </c>
      <c r="G317" s="122" t="str">
        <f t="array" ref="G317">IF(
UPPER(TRIM(CLEAN($O317)))="ENTREGADO",
IFERROR(
INDEX(REPORTE_DROPI!R:R,
MATCH($T317, REPORTE_DROPI!B:B, 0)
),
""
),
""
)
</f>
        <v/>
      </c>
      <c r="H317" s="118" t="s">
        <v>3727</v>
      </c>
      <c r="I317" s="154" t="s">
        <v>3740</v>
      </c>
      <c r="J317" s="121" t="str">
        <f t="array" ref="J317">IF(
UPPER(TRIM(CLEAN($O317)))="ENTREGADO",
IFERROR(
INDEX(REPORTE_DROPI!T:T,
MATCH($T317, REPORTE_DROPI!B:B, 0)
),
""
),
""
)
</f>
        <v/>
      </c>
      <c r="K317" s="118" t="str">
        <f t="array" ref="K317">IFERROR(
INDEX(REPORTE_DROPI!S:S,
MATCH($T317, REPORTE_DROPI!B:B, 0)
),
""
)</f>
        <v/>
      </c>
      <c r="L317" s="118" t="str">
        <f>IF(
  O317&lt;&gt;"DEVOLUCION",
  "",
  IF(
    T317="",
    "",
    SUMIF(DEVOLUCION!F:F, T317, DEVOLUCION!D:D)
  )
)
</f>
        <v/>
      </c>
      <c r="M317" s="118" t="s">
        <v>5877</v>
      </c>
      <c r="N317" s="169" t="s">
        <v>6780</v>
      </c>
      <c r="O317" s="118" t="str">
        <f t="array" ref="O317">IFERROR(
VLOOKUP(
TRIM(CLEAN(
INDEX(REPORTE_DROPI!K:K,
MATCH(T317, REPORTE_DROPI!B:B, 0)
))),
{
TRIM(CLEAN(MAPA_ESTADOS!A:A)) ,
MAPA_ESTADOS!B:B
},
2,
FALSE
),
"REVISAR"
)</f>
        <v>PENDIENTE</v>
      </c>
      <c r="P317" s="174" t="s">
        <v>6781</v>
      </c>
      <c r="Q317" s="153">
        <f t="shared" si="1"/>
        <v>0</v>
      </c>
      <c r="R317" s="172"/>
      <c r="S317" s="172"/>
      <c r="T317" s="118">
        <f t="array" ref="T317">IFERROR(
INDEX(REPORTE_DROPI!B:B,
MATCH(
CLEAN(TRIM(C317)),
CLEAN(TRIM(REPORTE_DROPI!E:E)),
0
)
),
""
)
</f>
        <v>4486547</v>
      </c>
      <c r="U317" s="169" t="s">
        <v>6782</v>
      </c>
      <c r="V317" s="166"/>
    </row>
    <row r="318" ht="22.5" hidden="1" customHeight="1">
      <c r="A318" s="169">
        <v>317.0</v>
      </c>
      <c r="B318" s="170">
        <v>46065.0</v>
      </c>
      <c r="C318" s="154" t="s">
        <v>6783</v>
      </c>
      <c r="D318" s="118" t="str">
        <f>IFERROR(__xludf.DUMMYFUNCTION("IFERROR( INDEX( FILTER( 'NOMBRE DE PRODUCTOS'!B:B, REGEXMATCH( UPPER( INDEX( REPORTE_DROPI!AC:AC, MATCH(T318, REPORTE_DROPI!B:B, 0) ) ), UPPER('NOMBRE DE PRODUCTOS'!A:A) ) ), 1 ), ""REVISAR"" )"),"FilmPro®")</f>
        <v>FilmPro®</v>
      </c>
      <c r="E318" s="120" t="str">
        <f t="array" ref="E318">IF(
UPPER(TRIM(CLEAN($O318)))="ENTREGADO",
IFERROR(
INDEX(REPORTE_DROPI!Y:Y,
MATCH($T318, REPORTE_DROPI!B:B, 0)
),
""
),
""
)
</f>
        <v/>
      </c>
      <c r="F318" s="171">
        <v>3.0</v>
      </c>
      <c r="G318" s="122" t="str">
        <f t="array" ref="G318">IF(
UPPER(TRIM(CLEAN($O318)))="ENTREGADO",
IFERROR(
INDEX(REPORTE_DROPI!R:R,
MATCH($T318, REPORTE_DROPI!B:B, 0)
),
""
),
""
)
</f>
        <v/>
      </c>
      <c r="H318" s="118" t="s">
        <v>3727</v>
      </c>
      <c r="I318" s="154" t="s">
        <v>3740</v>
      </c>
      <c r="J318" s="121" t="str">
        <f t="array" ref="J318">IF(
UPPER(TRIM(CLEAN($O318)))="ENTREGADO",
IFERROR(
INDEX(REPORTE_DROPI!T:T,
MATCH($T318, REPORTE_DROPI!B:B, 0)
),
""
),
""
)
</f>
        <v/>
      </c>
      <c r="K318" s="118" t="str">
        <f t="array" ref="K318">IFERROR(
INDEX(REPORTE_DROPI!S:S,
MATCH($T318, REPORTE_DROPI!B:B, 0)
),
""
)</f>
        <v/>
      </c>
      <c r="L318" s="118">
        <f>IF(
  O318&lt;&gt;"DEVOLUCION",
  "",
  IF(
    T318="",
    "",
    SUMIF(DEVOLUCION!F:F, T318, DEVOLUCION!D:D)
  )
)
</f>
        <v>4.54</v>
      </c>
      <c r="M318" s="118" t="s">
        <v>5877</v>
      </c>
      <c r="N318" s="169" t="s">
        <v>6784</v>
      </c>
      <c r="O318" s="118" t="str">
        <f t="array" ref="O318">IFERROR(
VLOOKUP(
TRIM(CLEAN(
INDEX(REPORTE_DROPI!K:K,
MATCH(T318, REPORTE_DROPI!B:B, 0)
))),
{
TRIM(CLEAN(MAPA_ESTADOS!A:A)) ,
MAPA_ESTADOS!B:B
},
2,
FALSE
),
"REVISAR"
)</f>
        <v>DEVOLUCION</v>
      </c>
      <c r="P318" s="154" t="s">
        <v>5692</v>
      </c>
      <c r="Q318" s="153">
        <f t="shared" si="1"/>
        <v>0</v>
      </c>
      <c r="R318" s="172"/>
      <c r="S318" s="172"/>
      <c r="T318" s="118">
        <f t="array" ref="T318">IFERROR(
INDEX(REPORTE_DROPI!B:B,
MATCH(
CLEAN(TRIM(C318)),
CLEAN(TRIM(REPORTE_DROPI!E:E)),
0
)
),
""
)
</f>
        <v>4486574</v>
      </c>
      <c r="U318" s="169" t="s">
        <v>6785</v>
      </c>
      <c r="V318" s="166"/>
    </row>
    <row r="319" ht="22.5" hidden="1" customHeight="1">
      <c r="A319" s="169">
        <v>318.0</v>
      </c>
      <c r="B319" s="170">
        <v>46065.0</v>
      </c>
      <c r="C319" s="154" t="s">
        <v>6786</v>
      </c>
      <c r="D319" s="118" t="str">
        <f>IFERROR(__xludf.DUMMYFUNCTION("IFERROR( INDEX( FILTER( 'NOMBRE DE PRODUCTOS'!B:B, REGEXMATCH( UPPER( INDEX( REPORTE_DROPI!AC:AC, MATCH(T319, REPORTE_DROPI!B:B, 0) ) ), UPPER('NOMBRE DE PRODUCTOS'!A:A) ) ), 1 ), ""REVISAR"" )"),"FilmPro®")</f>
        <v>FilmPro®</v>
      </c>
      <c r="E319" s="120" t="str">
        <f t="array" ref="E319">IF(
UPPER(TRIM(CLEAN($O319)))="ENTREGADO",
IFERROR(
INDEX(REPORTE_DROPI!Y:Y,
MATCH($T319, REPORTE_DROPI!B:B, 0)
),
""
),
""
)
</f>
        <v/>
      </c>
      <c r="F319" s="171">
        <v>3.0</v>
      </c>
      <c r="G319" s="122" t="str">
        <f t="array" ref="G319">IF(
UPPER(TRIM(CLEAN($O319)))="ENTREGADO",
IFERROR(
INDEX(REPORTE_DROPI!R:R,
MATCH($T319, REPORTE_DROPI!B:B, 0)
),
""
),
""
)
</f>
        <v/>
      </c>
      <c r="H319" s="118" t="s">
        <v>3727</v>
      </c>
      <c r="I319" s="154" t="s">
        <v>3740</v>
      </c>
      <c r="J319" s="121" t="str">
        <f t="array" ref="J319">IF(
UPPER(TRIM(CLEAN($O319)))="ENTREGADO",
IFERROR(
INDEX(REPORTE_DROPI!T:T,
MATCH($T319, REPORTE_DROPI!B:B, 0)
),
""
),
""
)
</f>
        <v/>
      </c>
      <c r="K319" s="118" t="str">
        <f t="array" ref="K319">IFERROR(
INDEX(REPORTE_DROPI!S:S,
MATCH($T319, REPORTE_DROPI!B:B, 0)
),
""
)</f>
        <v/>
      </c>
      <c r="L319" s="118">
        <f>IF(
  O319&lt;&gt;"DEVOLUCION",
  "",
  IF(
    T319="",
    "",
    SUMIF(DEVOLUCION!F:F, T319, DEVOLUCION!D:D)
  )
)
</f>
        <v>3.51</v>
      </c>
      <c r="M319" s="118" t="s">
        <v>5877</v>
      </c>
      <c r="N319" s="169" t="s">
        <v>6787</v>
      </c>
      <c r="O319" s="118" t="str">
        <f t="array" ref="O319">IFERROR(
VLOOKUP(
TRIM(CLEAN(
INDEX(REPORTE_DROPI!K:K,
MATCH(T319, REPORTE_DROPI!B:B, 0)
))),
{
TRIM(CLEAN(MAPA_ESTADOS!A:A)) ,
MAPA_ESTADOS!B:B
},
2,
FALSE
),
"REVISAR"
)</f>
        <v>DEVOLUCION</v>
      </c>
      <c r="P319" s="154" t="s">
        <v>5692</v>
      </c>
      <c r="Q319" s="153">
        <f t="shared" si="1"/>
        <v>0</v>
      </c>
      <c r="R319" s="172"/>
      <c r="S319" s="172"/>
      <c r="T319" s="118">
        <f t="array" ref="T319">IFERROR(
INDEX(REPORTE_DROPI!B:B,
MATCH(
CLEAN(TRIM(C319)),
CLEAN(TRIM(REPORTE_DROPI!E:E)),
0
)
),
""
)
</f>
        <v>4486712</v>
      </c>
      <c r="U319" s="173">
        <v>1.57100113225E11</v>
      </c>
      <c r="V319" s="166"/>
    </row>
    <row r="320" ht="22.5" hidden="1" customHeight="1">
      <c r="A320" s="169">
        <v>319.0</v>
      </c>
      <c r="B320" s="170">
        <v>46065.0</v>
      </c>
      <c r="C320" s="154" t="s">
        <v>6788</v>
      </c>
      <c r="D320" s="118" t="str">
        <f>IFERROR(__xludf.DUMMYFUNCTION("IFERROR( INDEX( FILTER( 'NOMBRE DE PRODUCTOS'!B:B, REGEXMATCH( UPPER( INDEX( REPORTE_DROPI!AC:AC, MATCH(T320, REPORTE_DROPI!B:B, 0) ) ), UPPER('NOMBRE DE PRODUCTOS'!A:A) ) ), 1 ), ""REVISAR"" )"),"Cuchillo Tazaki™")</f>
        <v>Cuchillo Tazaki™</v>
      </c>
      <c r="E320" s="120">
        <f t="array" ref="E320">IF(
UPPER(TRIM(CLEAN($O320)))="ENTREGADO",
IFERROR(
INDEX(REPORTE_DROPI!Y:Y,
MATCH($T320, REPORTE_DROPI!B:B, 0)
),
""
),
""
)
</f>
        <v>10.4</v>
      </c>
      <c r="F320" s="171">
        <v>4.0</v>
      </c>
      <c r="G320" s="122">
        <f t="array" ref="G320">IF(
UPPER(TRIM(CLEAN($O320)))="ENTREGADO",
IFERROR(
INDEX(REPORTE_DROPI!R:R,
MATCH($T320, REPORTE_DROPI!B:B, 0)
),
""
),
""
)
</f>
        <v>32</v>
      </c>
      <c r="H320" s="118" t="s">
        <v>3727</v>
      </c>
      <c r="I320" s="154" t="s">
        <v>3731</v>
      </c>
      <c r="J320" s="121">
        <f t="array" ref="J320">IF(
UPPER(TRIM(CLEAN($O320)))="ENTREGADO",
IFERROR(
INDEX(REPORTE_DROPI!T:T,
MATCH($T320, REPORTE_DROPI!B:B, 0)
),
""
),
""
)
</f>
        <v>6.24</v>
      </c>
      <c r="K320" s="118">
        <f t="array" ref="K320">IFERROR(
INDEX(REPORTE_DROPI!S:S,
MATCH($T320, REPORTE_DROPI!B:B, 0)
),
""
)</f>
        <v>15.36</v>
      </c>
      <c r="L320" s="118" t="str">
        <f>IF(
  O320&lt;&gt;"DEVOLUCION",
  "",
  IF(
    T320="",
    "",
    SUMIF(DEVOLUCION!F:F, T320, DEVOLUCION!D:D)
  )
)
</f>
        <v/>
      </c>
      <c r="M320" s="118" t="s">
        <v>5877</v>
      </c>
      <c r="N320" s="169" t="s">
        <v>6789</v>
      </c>
      <c r="O320" s="118" t="str">
        <f t="array" ref="O320">IFERROR(
VLOOKUP(
TRIM(CLEAN(
INDEX(REPORTE_DROPI!K:K,
MATCH(T320, REPORTE_DROPI!B:B, 0)
))),
{
TRIM(CLEAN(MAPA_ESTADOS!A:A)) ,
MAPA_ESTADOS!B:B
},
2,
FALSE
),
"REVISAR"
)</f>
        <v>ENTREGADO</v>
      </c>
      <c r="P320" s="154" t="s">
        <v>5692</v>
      </c>
      <c r="Q320" s="153">
        <f t="shared" si="1"/>
        <v>0</v>
      </c>
      <c r="R320" s="172"/>
      <c r="S320" s="172"/>
      <c r="T320" s="118">
        <f t="array" ref="T320">IFERROR(
INDEX(REPORTE_DROPI!B:B,
MATCH(
CLEAN(TRIM(C320)),
CLEAN(TRIM(REPORTE_DROPI!E:E)),
0
)
),
""
)
</f>
        <v>4486805</v>
      </c>
      <c r="U320" s="169" t="s">
        <v>6790</v>
      </c>
      <c r="V320" s="166"/>
    </row>
    <row r="321" ht="22.5" hidden="1" customHeight="1">
      <c r="A321" s="169">
        <v>320.0</v>
      </c>
      <c r="B321" s="170">
        <v>46065.0</v>
      </c>
      <c r="C321" s="154" t="s">
        <v>6791</v>
      </c>
      <c r="D321" s="118" t="str">
        <f>IFERROR(__xludf.DUMMYFUNCTION("IFERROR( INDEX( FILTER( 'NOMBRE DE PRODUCTOS'!B:B, REGEXMATCH( UPPER( INDEX( REPORTE_DROPI!AC:AC, MATCH(T321, REPORTE_DROPI!B:B, 0) ) ), UPPER('NOMBRE DE PRODUCTOS'!A:A) ) ), 1 ), ""REVISAR"" )"),"Cuchillo Tazaki™")</f>
        <v>Cuchillo Tazaki™</v>
      </c>
      <c r="E321" s="120" t="str">
        <f t="array" ref="E321">IF(
UPPER(TRIM(CLEAN($O321)))="ENTREGADO",
IFERROR(
INDEX(REPORTE_DROPI!Y:Y,
MATCH($T321, REPORTE_DROPI!B:B, 0)
),
""
),
""
)
</f>
        <v/>
      </c>
      <c r="F321" s="171">
        <v>2.0</v>
      </c>
      <c r="G321" s="122" t="str">
        <f t="array" ref="G321">IF(
UPPER(TRIM(CLEAN($O321)))="ENTREGADO",
IFERROR(
INDEX(REPORTE_DROPI!R:R,
MATCH($T321, REPORTE_DROPI!B:B, 0)
),
""
),
""
)
</f>
        <v/>
      </c>
      <c r="H321" s="118" t="s">
        <v>3727</v>
      </c>
      <c r="I321" s="154" t="s">
        <v>3731</v>
      </c>
      <c r="J321" s="121" t="str">
        <f t="array" ref="J321">IF(
UPPER(TRIM(CLEAN($O321)))="ENTREGADO",
IFERROR(
INDEX(REPORTE_DROPI!T:T,
MATCH($T321, REPORTE_DROPI!B:B, 0)
),
""
),
""
)
</f>
        <v/>
      </c>
      <c r="K321" s="118" t="str">
        <f t="array" ref="K321">IFERROR(
INDEX(REPORTE_DROPI!S:S,
MATCH($T321, REPORTE_DROPI!B:B, 0)
),
""
)</f>
        <v/>
      </c>
      <c r="L321" s="118">
        <f>IF(
  O321&lt;&gt;"DEVOLUCION",
  "",
  IF(
    T321="",
    "",
    SUMIF(DEVOLUCION!F:F, T321, DEVOLUCION!D:D)
  )
)
</f>
        <v>5.07</v>
      </c>
      <c r="M321" s="118" t="s">
        <v>5877</v>
      </c>
      <c r="N321" s="169" t="s">
        <v>6792</v>
      </c>
      <c r="O321" s="118" t="str">
        <f t="array" ref="O321">IFERROR(
VLOOKUP(
TRIM(CLEAN(
INDEX(REPORTE_DROPI!K:K,
MATCH(T321, REPORTE_DROPI!B:B, 0)
))),
{
TRIM(CLEAN(MAPA_ESTADOS!A:A)) ,
MAPA_ESTADOS!B:B
},
2,
FALSE
),
"REVISAR"
)</f>
        <v>DEVOLUCION</v>
      </c>
      <c r="P321" s="154" t="s">
        <v>5692</v>
      </c>
      <c r="Q321" s="153">
        <f t="shared" si="1"/>
        <v>0</v>
      </c>
      <c r="R321" s="172"/>
      <c r="S321" s="172"/>
      <c r="T321" s="118">
        <f t="array" ref="T321">IFERROR(
INDEX(REPORTE_DROPI!B:B,
MATCH(
CLEAN(TRIM(C321)),
CLEAN(TRIM(REPORTE_DROPI!E:E)),
0
)
),
""
)
</f>
        <v>4486979</v>
      </c>
      <c r="U321" s="169" t="s">
        <v>6793</v>
      </c>
      <c r="V321" s="166"/>
    </row>
    <row r="322" ht="22.5" hidden="1" customHeight="1">
      <c r="A322" s="169">
        <v>321.0</v>
      </c>
      <c r="B322" s="170">
        <v>46065.0</v>
      </c>
      <c r="C322" s="154" t="s">
        <v>6794</v>
      </c>
      <c r="D322" s="118" t="str">
        <f>IFERROR(__xludf.DUMMYFUNCTION("IFERROR( INDEX( FILTER( 'NOMBRE DE PRODUCTOS'!B:B, REGEXMATCH( UPPER( INDEX( REPORTE_DROPI!AC:AC, MATCH(T322, REPORTE_DROPI!B:B, 0) ) ), UPPER('NOMBRE DE PRODUCTOS'!A:A) ) ), 1 ), ""REVISAR"" )"),"Cuchillo Tazaki™")</f>
        <v>Cuchillo Tazaki™</v>
      </c>
      <c r="E322" s="120" t="str">
        <f t="array" ref="E322">IF(
UPPER(TRIM(CLEAN($O322)))="ENTREGADO",
IFERROR(
INDEX(REPORTE_DROPI!Y:Y,
MATCH($T322, REPORTE_DROPI!B:B, 0)
),
""
),
""
)
</f>
        <v/>
      </c>
      <c r="F322" s="171">
        <v>3.0</v>
      </c>
      <c r="G322" s="122" t="str">
        <f t="array" ref="G322">IF(
UPPER(TRIM(CLEAN($O322)))="ENTREGADO",
IFERROR(
INDEX(REPORTE_DROPI!R:R,
MATCH($T322, REPORTE_DROPI!B:B, 0)
),
""
),
""
)
</f>
        <v/>
      </c>
      <c r="H322" s="118" t="s">
        <v>3727</v>
      </c>
      <c r="I322" s="154" t="s">
        <v>3772</v>
      </c>
      <c r="J322" s="121" t="str">
        <f t="array" ref="J322">IF(
UPPER(TRIM(CLEAN($O322)))="ENTREGADO",
IFERROR(
INDEX(REPORTE_DROPI!T:T,
MATCH($T322, REPORTE_DROPI!B:B, 0)
),
""
),
""
)
</f>
        <v/>
      </c>
      <c r="K322" s="118" t="str">
        <f t="array" ref="K322">IFERROR(
INDEX(REPORTE_DROPI!S:S,
MATCH($T322, REPORTE_DROPI!B:B, 0)
),
""
)</f>
        <v/>
      </c>
      <c r="L322" s="118" t="str">
        <f>IF(
  O322&lt;&gt;"DEVOLUCION",
  "",
  IF(
    T322="",
    "",
    SUMIF(DEVOLUCION!F:F, T322, DEVOLUCION!D:D)
  )
)
</f>
        <v/>
      </c>
      <c r="M322" s="118" t="s">
        <v>5877</v>
      </c>
      <c r="N322" s="169" t="s">
        <v>6795</v>
      </c>
      <c r="O322" s="118" t="str">
        <f t="array" ref="O322">IFERROR(
VLOOKUP(
TRIM(CLEAN(
INDEX(REPORTE_DROPI!K:K,
MATCH(T322, REPORTE_DROPI!B:B, 0)
))),
{
TRIM(CLEAN(MAPA_ESTADOS!A:A)) ,
MAPA_ESTADOS!B:B
},
2,
FALSE
),
"REVISAR"
)</f>
        <v>PENDIENTE</v>
      </c>
      <c r="P322" s="154" t="s">
        <v>6796</v>
      </c>
      <c r="Q322" s="153">
        <f t="shared" si="1"/>
        <v>0</v>
      </c>
      <c r="R322" s="172"/>
      <c r="S322" s="172"/>
      <c r="T322" s="118">
        <f t="array" ref="T322">IFERROR(
INDEX(REPORTE_DROPI!B:B,
MATCH(
CLEAN(TRIM(C322)),
CLEAN(TRIM(REPORTE_DROPI!E:E)),
0
)
),
""
)
</f>
        <v>4487157</v>
      </c>
      <c r="U322" s="169" t="s">
        <v>6797</v>
      </c>
      <c r="V322" s="166"/>
    </row>
    <row r="323" ht="22.5" hidden="1" customHeight="1">
      <c r="A323" s="169">
        <v>322.0</v>
      </c>
      <c r="B323" s="170">
        <v>46065.0</v>
      </c>
      <c r="C323" s="154" t="s">
        <v>6798</v>
      </c>
      <c r="D323" s="118" t="str">
        <f>IFERROR(__xludf.DUMMYFUNCTION("IFERROR( INDEX( FILTER( 'NOMBRE DE PRODUCTOS'!B:B, REGEXMATCH( UPPER( INDEX( REPORTE_DROPI!AC:AC, MATCH(T323, REPORTE_DROPI!B:B, 0) ) ), UPPER('NOMBRE DE PRODUCTOS'!A:A) ) ), 1 ), ""REVISAR"" )"),"Cuchillo Tazaki™")</f>
        <v>Cuchillo Tazaki™</v>
      </c>
      <c r="E323" s="120" t="str">
        <f t="array" ref="E323">IF(
UPPER(TRIM(CLEAN($O323)))="ENTREGADO",
IFERROR(
INDEX(REPORTE_DROPI!Y:Y,
MATCH($T323, REPORTE_DROPI!B:B, 0)
),
""
),
""
)
</f>
        <v/>
      </c>
      <c r="F323" s="171">
        <v>2.0</v>
      </c>
      <c r="G323" s="122" t="str">
        <f t="array" ref="G323">IF(
UPPER(TRIM(CLEAN($O323)))="ENTREGADO",
IFERROR(
INDEX(REPORTE_DROPI!R:R,
MATCH($T323, REPORTE_DROPI!B:B, 0)
),
""
),
""
)
</f>
        <v/>
      </c>
      <c r="H323" s="118" t="s">
        <v>3727</v>
      </c>
      <c r="I323" s="154" t="s">
        <v>3784</v>
      </c>
      <c r="J323" s="121" t="str">
        <f t="array" ref="J323">IF(
UPPER(TRIM(CLEAN($O323)))="ENTREGADO",
IFERROR(
INDEX(REPORTE_DROPI!T:T,
MATCH($T323, REPORTE_DROPI!B:B, 0)
),
""
),
""
)
</f>
        <v/>
      </c>
      <c r="K323" s="118" t="str">
        <f t="array" ref="K323">IFERROR(
INDEX(REPORTE_DROPI!S:S,
MATCH($T323, REPORTE_DROPI!B:B, 0)
),
""
)</f>
        <v/>
      </c>
      <c r="L323" s="118">
        <f>IF(
  O323&lt;&gt;"DEVOLUCION",
  "",
  IF(
    T323="",
    "",
    SUMIF(DEVOLUCION!F:F, T323, DEVOLUCION!D:D)
  )
)
</f>
        <v>5.07</v>
      </c>
      <c r="M323" s="118" t="s">
        <v>5877</v>
      </c>
      <c r="N323" s="169" t="s">
        <v>6799</v>
      </c>
      <c r="O323" s="118" t="str">
        <f t="array" ref="O323">IFERROR(
VLOOKUP(
TRIM(CLEAN(
INDEX(REPORTE_DROPI!K:K,
MATCH(T323, REPORTE_DROPI!B:B, 0)
))),
{
TRIM(CLEAN(MAPA_ESTADOS!A:A)) ,
MAPA_ESTADOS!B:B
},
2,
FALSE
),
"REVISAR"
)</f>
        <v>DEVOLUCION</v>
      </c>
      <c r="P323" s="154" t="s">
        <v>5692</v>
      </c>
      <c r="Q323" s="153">
        <f t="shared" si="1"/>
        <v>0</v>
      </c>
      <c r="R323" s="172"/>
      <c r="S323" s="172"/>
      <c r="T323" s="118">
        <f t="array" ref="T323">IFERROR(
INDEX(REPORTE_DROPI!B:B,
MATCH(
CLEAN(TRIM(C323)),
CLEAN(TRIM(REPORTE_DROPI!E:E)),
0
)
),
""
)
</f>
        <v>4487345</v>
      </c>
      <c r="U323" s="169" t="s">
        <v>6800</v>
      </c>
      <c r="V323" s="166"/>
    </row>
    <row r="324" ht="22.5" hidden="1" customHeight="1">
      <c r="A324" s="169">
        <v>323.0</v>
      </c>
      <c r="B324" s="170">
        <v>46065.0</v>
      </c>
      <c r="C324" s="154" t="s">
        <v>6801</v>
      </c>
      <c r="D324" s="118" t="str">
        <f>IFERROR(__xludf.DUMMYFUNCTION("IFERROR( INDEX( FILTER( 'NOMBRE DE PRODUCTOS'!B:B, REGEXMATCH( UPPER( INDEX( REPORTE_DROPI!AC:AC, MATCH(T324, REPORTE_DROPI!B:B, 0) ) ), UPPER('NOMBRE DE PRODUCTOS'!A:A) ) ), 1 ), ""REVISAR"" )"),"Cuchillo Tazaki™")</f>
        <v>Cuchillo Tazaki™</v>
      </c>
      <c r="E324" s="120" t="str">
        <f t="array" ref="E324">IF(
UPPER(TRIM(CLEAN($O324)))="ENTREGADO",
IFERROR(
INDEX(REPORTE_DROPI!Y:Y,
MATCH($T324, REPORTE_DROPI!B:B, 0)
),
""
),
""
)
</f>
        <v/>
      </c>
      <c r="F324" s="171">
        <v>2.0</v>
      </c>
      <c r="G324" s="122" t="str">
        <f t="array" ref="G324">IF(
UPPER(TRIM(CLEAN($O324)))="ENTREGADO",
IFERROR(
INDEX(REPORTE_DROPI!R:R,
MATCH($T324, REPORTE_DROPI!B:B, 0)
),
""
),
""
)
</f>
        <v/>
      </c>
      <c r="H324" s="118" t="s">
        <v>3727</v>
      </c>
      <c r="I324" s="154" t="s">
        <v>3740</v>
      </c>
      <c r="J324" s="121" t="str">
        <f t="array" ref="J324">IF(
UPPER(TRIM(CLEAN($O324)))="ENTREGADO",
IFERROR(
INDEX(REPORTE_DROPI!T:T,
MATCH($T324, REPORTE_DROPI!B:B, 0)
),
""
),
""
)
</f>
        <v/>
      </c>
      <c r="K324" s="118" t="str">
        <f t="array" ref="K324">IFERROR(
INDEX(REPORTE_DROPI!S:S,
MATCH($T324, REPORTE_DROPI!B:B, 0)
),
""
)</f>
        <v/>
      </c>
      <c r="L324" s="118">
        <f>IF(
  O324&lt;&gt;"DEVOLUCION",
  "",
  IF(
    T324="",
    "",
    SUMIF(DEVOLUCION!F:F, T324, DEVOLUCION!D:D)
  )
)
</f>
        <v>3.46</v>
      </c>
      <c r="M324" s="118" t="s">
        <v>5877</v>
      </c>
      <c r="N324" s="169" t="s">
        <v>6802</v>
      </c>
      <c r="O324" s="118" t="str">
        <f t="array" ref="O324">IFERROR(
VLOOKUP(
TRIM(CLEAN(
INDEX(REPORTE_DROPI!K:K,
MATCH(T324, REPORTE_DROPI!B:B, 0)
))),
{
TRIM(CLEAN(MAPA_ESTADOS!A:A)) ,
MAPA_ESTADOS!B:B
},
2,
FALSE
),
"REVISAR"
)</f>
        <v>DEVOLUCION</v>
      </c>
      <c r="P324" s="154" t="s">
        <v>5692</v>
      </c>
      <c r="Q324" s="153">
        <f t="shared" si="1"/>
        <v>0</v>
      </c>
      <c r="R324" s="172"/>
      <c r="S324" s="172"/>
      <c r="T324" s="118">
        <f t="array" ref="T324">IFERROR(
INDEX(REPORTE_DROPI!B:B,
MATCH(
CLEAN(TRIM(C324)),
CLEAN(TRIM(REPORTE_DROPI!E:E)),
0
)
),
""
)
</f>
        <v>4487546</v>
      </c>
      <c r="U324" s="173">
        <v>4.5236143135E10</v>
      </c>
      <c r="V324" s="166"/>
    </row>
    <row r="325" ht="22.5" hidden="1" customHeight="1">
      <c r="A325" s="169">
        <v>324.0</v>
      </c>
      <c r="B325" s="170">
        <v>46065.0</v>
      </c>
      <c r="C325" s="154" t="s">
        <v>6803</v>
      </c>
      <c r="D325" s="118" t="str">
        <f>IFERROR(__xludf.DUMMYFUNCTION("IFERROR( INDEX( FILTER( 'NOMBRE DE PRODUCTOS'!B:B, REGEXMATCH( UPPER( INDEX( REPORTE_DROPI!AC:AC, MATCH(T325, REPORTE_DROPI!B:B, 0) ) ), UPPER('NOMBRE DE PRODUCTOS'!A:A) ) ), 1 ), ""REVISAR"" )"),"FilmPro®")</f>
        <v>FilmPro®</v>
      </c>
      <c r="E325" s="120">
        <f t="array" ref="E325">IF(
UPPER(TRIM(CLEAN($O325)))="ENTREGADO",
IFERROR(
INDEX(REPORTE_DROPI!Y:Y,
MATCH($T325, REPORTE_DROPI!B:B, 0)
),
""
),
""
)
</f>
        <v>2.4</v>
      </c>
      <c r="F325" s="171">
        <v>1.0</v>
      </c>
      <c r="G325" s="122">
        <f t="array" ref="G325">IF(
UPPER(TRIM(CLEAN($O325)))="ENTREGADO",
IFERROR(
INDEX(REPORTE_DROPI!R:R,
MATCH($T325, REPORTE_DROPI!B:B, 0)
),
""
),
""
)
</f>
        <v>20</v>
      </c>
      <c r="H325" s="118" t="s">
        <v>3727</v>
      </c>
      <c r="I325" s="154" t="s">
        <v>3772</v>
      </c>
      <c r="J325" s="121">
        <f t="array" ref="J325">IF(
UPPER(TRIM(CLEAN($O325)))="ENTREGADO",
IFERROR(
INDEX(REPORTE_DROPI!T:T,
MATCH($T325, REPORTE_DROPI!B:B, 0)
),
""
),
""
)
</f>
        <v>5.76</v>
      </c>
      <c r="K325" s="118">
        <f t="array" ref="K325">IFERROR(
INDEX(REPORTE_DROPI!S:S,
MATCH($T325, REPORTE_DROPI!B:B, 0)
),
""
)</f>
        <v>11.84</v>
      </c>
      <c r="L325" s="118" t="str">
        <f>IF(
  O325&lt;&gt;"DEVOLUCION",
  "",
  IF(
    T325="",
    "",
    SUMIF(DEVOLUCION!F:F, T325, DEVOLUCION!D:D)
  )
)
</f>
        <v/>
      </c>
      <c r="M325" s="118" t="s">
        <v>5877</v>
      </c>
      <c r="N325" s="169" t="s">
        <v>6804</v>
      </c>
      <c r="O325" s="118" t="str">
        <f t="array" ref="O325">IFERROR(
VLOOKUP(
TRIM(CLEAN(
INDEX(REPORTE_DROPI!K:K,
MATCH(T325, REPORTE_DROPI!B:B, 0)
))),
{
TRIM(CLEAN(MAPA_ESTADOS!A:A)) ,
MAPA_ESTADOS!B:B
},
2,
FALSE
),
"REVISAR"
)</f>
        <v>ENTREGADO</v>
      </c>
      <c r="P325" s="154" t="s">
        <v>5692</v>
      </c>
      <c r="Q325" s="153">
        <f t="shared" si="1"/>
        <v>0</v>
      </c>
      <c r="R325" s="172"/>
      <c r="S325" s="172"/>
      <c r="T325" s="118">
        <f t="array" ref="T325">IFERROR(
INDEX(REPORTE_DROPI!B:B,
MATCH(
CLEAN(TRIM(C325)),
CLEAN(TRIM(REPORTE_DROPI!E:E)),
0
)
),
""
)
</f>
        <v>4487722</v>
      </c>
      <c r="U325" s="169" t="s">
        <v>6805</v>
      </c>
      <c r="V325" s="166"/>
    </row>
    <row r="326" ht="22.5" hidden="1" customHeight="1">
      <c r="A326" s="169">
        <v>325.0</v>
      </c>
      <c r="B326" s="170">
        <v>46065.0</v>
      </c>
      <c r="C326" s="154" t="s">
        <v>6806</v>
      </c>
      <c r="D326" s="118" t="str">
        <f>IFERROR(__xludf.DUMMYFUNCTION("IFERROR( INDEX( FILTER( 'NOMBRE DE PRODUCTOS'!B:B, REGEXMATCH( UPPER( INDEX( REPORTE_DROPI!AC:AC, MATCH(T326, REPORTE_DROPI!B:B, 0) ) ), UPPER('NOMBRE DE PRODUCTOS'!A:A) ) ), 1 ), ""REVISAR"" )"),"Cuchillo Tazaki™")</f>
        <v>Cuchillo Tazaki™</v>
      </c>
      <c r="E326" s="120">
        <f t="array" ref="E326">IF(
UPPER(TRIM(CLEAN($O326)))="ENTREGADO",
IFERROR(
INDEX(REPORTE_DROPI!Y:Y,
MATCH($T326, REPORTE_DROPI!B:B, 0)
),
""
),
""
)
</f>
        <v>5.2</v>
      </c>
      <c r="F326" s="171">
        <v>2.0</v>
      </c>
      <c r="G326" s="122">
        <f t="array" ref="G326">IF(
UPPER(TRIM(CLEAN($O326)))="ENTREGADO",
IFERROR(
INDEX(REPORTE_DROPI!R:R,
MATCH($T326, REPORTE_DROPI!B:B, 0)
),
""
),
""
)
</f>
        <v>22</v>
      </c>
      <c r="H326" s="118" t="s">
        <v>3727</v>
      </c>
      <c r="I326" s="154" t="s">
        <v>3731</v>
      </c>
      <c r="J326" s="121">
        <f t="array" ref="J326">IF(
UPPER(TRIM(CLEAN($O326)))="ENTREGADO",
IFERROR(
INDEX(REPORTE_DROPI!T:T,
MATCH($T326, REPORTE_DROPI!B:B, 0)
),
""
),
""
)
</f>
        <v>6.41</v>
      </c>
      <c r="K326" s="118">
        <f t="array" ref="K326">IFERROR(
INDEX(REPORTE_DROPI!S:S,
MATCH($T326, REPORTE_DROPI!B:B, 0)
),
""
)</f>
        <v>10.39</v>
      </c>
      <c r="L326" s="118" t="str">
        <f>IF(
  O326&lt;&gt;"DEVOLUCION",
  "",
  IF(
    T326="",
    "",
    SUMIF(DEVOLUCION!F:F, T326, DEVOLUCION!D:D)
  )
)
</f>
        <v/>
      </c>
      <c r="M326" s="118" t="s">
        <v>5877</v>
      </c>
      <c r="N326" s="169" t="s">
        <v>6807</v>
      </c>
      <c r="O326" s="118" t="str">
        <f t="array" ref="O326">IFERROR(
VLOOKUP(
TRIM(CLEAN(
INDEX(REPORTE_DROPI!K:K,
MATCH(T326, REPORTE_DROPI!B:B, 0)
))),
{
TRIM(CLEAN(MAPA_ESTADOS!A:A)) ,
MAPA_ESTADOS!B:B
},
2,
FALSE
),
"REVISAR"
)</f>
        <v>ENTREGADO</v>
      </c>
      <c r="P326" s="154" t="s">
        <v>5692</v>
      </c>
      <c r="Q326" s="153">
        <f t="shared" si="1"/>
        <v>0</v>
      </c>
      <c r="R326" s="172"/>
      <c r="S326" s="172"/>
      <c r="T326" s="118">
        <f t="array" ref="T326">IFERROR(
INDEX(REPORTE_DROPI!B:B,
MATCH(
CLEAN(TRIM(C326)),
CLEAN(TRIM(REPORTE_DROPI!E:E)),
0
)
),
""
)
</f>
        <v>4487920</v>
      </c>
      <c r="U326" s="169" t="s">
        <v>6808</v>
      </c>
      <c r="V326" s="166"/>
    </row>
    <row r="327" ht="22.5" hidden="1" customHeight="1">
      <c r="A327" s="169">
        <v>326.0</v>
      </c>
      <c r="B327" s="170">
        <v>46065.0</v>
      </c>
      <c r="C327" s="154" t="s">
        <v>6809</v>
      </c>
      <c r="D327" s="118" t="str">
        <f>IFERROR(__xludf.DUMMYFUNCTION("IFERROR( INDEX( FILTER( 'NOMBRE DE PRODUCTOS'!B:B, REGEXMATCH( UPPER( INDEX( REPORTE_DROPI!AC:AC, MATCH(T327, REPORTE_DROPI!B:B, 0) ) ), UPPER('NOMBRE DE PRODUCTOS'!A:A) ) ), 1 ), ""REVISAR"" )"),"FilmPro®")</f>
        <v>FilmPro®</v>
      </c>
      <c r="E327" s="120">
        <f t="array" ref="E327">IF(
UPPER(TRIM(CLEAN($O327)))="ENTREGADO",
IFERROR(
INDEX(REPORTE_DROPI!Y:Y,
MATCH($T327, REPORTE_DROPI!B:B, 0)
),
""
),
""
)
</f>
        <v>2.4</v>
      </c>
      <c r="F327" s="171">
        <v>1.0</v>
      </c>
      <c r="G327" s="122">
        <f t="array" ref="G327">IF(
UPPER(TRIM(CLEAN($O327)))="ENTREGADO",
IFERROR(
INDEX(REPORTE_DROPI!R:R,
MATCH($T327, REPORTE_DROPI!B:B, 0)
),
""
),
""
)
</f>
        <v>20</v>
      </c>
      <c r="H327" s="118" t="s">
        <v>3727</v>
      </c>
      <c r="I327" s="154" t="s">
        <v>3731</v>
      </c>
      <c r="J327" s="121">
        <f t="array" ref="J327">IF(
UPPER(TRIM(CLEAN($O327)))="ENTREGADO",
IFERROR(
INDEX(REPORTE_DROPI!T:T,
MATCH($T327, REPORTE_DROPI!B:B, 0)
),
""
),
""
)
</f>
        <v>5.76</v>
      </c>
      <c r="K327" s="118">
        <f t="array" ref="K327">IFERROR(
INDEX(REPORTE_DROPI!S:S,
MATCH($T327, REPORTE_DROPI!B:B, 0)
),
""
)</f>
        <v>11.84</v>
      </c>
      <c r="L327" s="118" t="str">
        <f>IF(
  O327&lt;&gt;"DEVOLUCION",
  "",
  IF(
    T327="",
    "",
    SUMIF(DEVOLUCION!F:F, T327, DEVOLUCION!D:D)
  )
)
</f>
        <v/>
      </c>
      <c r="M327" s="118" t="s">
        <v>5877</v>
      </c>
      <c r="N327" s="169" t="s">
        <v>6810</v>
      </c>
      <c r="O327" s="118" t="str">
        <f t="array" ref="O327">IFERROR(
VLOOKUP(
TRIM(CLEAN(
INDEX(REPORTE_DROPI!K:K,
MATCH(T327, REPORTE_DROPI!B:B, 0)
))),
{
TRIM(CLEAN(MAPA_ESTADOS!A:A)) ,
MAPA_ESTADOS!B:B
},
2,
FALSE
),
"REVISAR"
)</f>
        <v>ENTREGADO</v>
      </c>
      <c r="P327" s="154" t="s">
        <v>6456</v>
      </c>
      <c r="Q327" s="153">
        <f t="shared" si="1"/>
        <v>0</v>
      </c>
      <c r="R327" s="172"/>
      <c r="S327" s="172"/>
      <c r="T327" s="118">
        <f t="array" ref="T327">IFERROR(
INDEX(REPORTE_DROPI!B:B,
MATCH(
CLEAN(TRIM(C327)),
CLEAN(TRIM(REPORTE_DROPI!E:E)),
0
)
),
""
)
</f>
        <v>4488195</v>
      </c>
      <c r="U327" s="169" t="s">
        <v>6811</v>
      </c>
      <c r="V327" s="166"/>
    </row>
    <row r="328" ht="22.5" hidden="1" customHeight="1">
      <c r="A328" s="169">
        <v>327.0</v>
      </c>
      <c r="B328" s="170">
        <v>46065.0</v>
      </c>
      <c r="C328" s="154" t="s">
        <v>6812</v>
      </c>
      <c r="D328" s="118" t="str">
        <f>IFERROR(__xludf.DUMMYFUNCTION("IFERROR( INDEX( FILTER( 'NOMBRE DE PRODUCTOS'!B:B, REGEXMATCH( UPPER( INDEX( REPORTE_DROPI!AC:AC, MATCH(T328, REPORTE_DROPI!B:B, 0) ) ), UPPER('NOMBRE DE PRODUCTOS'!A:A) ) ), 1 ), ""REVISAR"" )"),"FilmPro®")</f>
        <v>FilmPro®</v>
      </c>
      <c r="E328" s="120" t="str">
        <f t="array" ref="E328">IF(
UPPER(TRIM(CLEAN($O328)))="ENTREGADO",
IFERROR(
INDEX(REPORTE_DROPI!Y:Y,
MATCH($T328, REPORTE_DROPI!B:B, 0)
),
""
),
""
)
</f>
        <v/>
      </c>
      <c r="F328" s="171">
        <v>2.0</v>
      </c>
      <c r="G328" s="122" t="str">
        <f t="array" ref="G328">IF(
UPPER(TRIM(CLEAN($O328)))="ENTREGADO",
IFERROR(
INDEX(REPORTE_DROPI!R:R,
MATCH($T328, REPORTE_DROPI!B:B, 0)
),
""
),
""
)
</f>
        <v/>
      </c>
      <c r="H328" s="118" t="s">
        <v>3727</v>
      </c>
      <c r="I328" s="154" t="s">
        <v>3731</v>
      </c>
      <c r="J328" s="121" t="str">
        <f t="array" ref="J328">IF(
UPPER(TRIM(CLEAN($O328)))="ENTREGADO",
IFERROR(
INDEX(REPORTE_DROPI!T:T,
MATCH($T328, REPORTE_DROPI!B:B, 0)
),
""
),
""
)
</f>
        <v/>
      </c>
      <c r="K328" s="118" t="str">
        <f t="array" ref="K328">IFERROR(
INDEX(REPORTE_DROPI!S:S,
MATCH($T328, REPORTE_DROPI!B:B, 0)
),
""
)</f>
        <v/>
      </c>
      <c r="L328" s="118">
        <f>IF(
  O328&lt;&gt;"DEVOLUCION",
  "",
  IF(
    T328="",
    "",
    SUMIF(DEVOLUCION!F:F, T328, DEVOLUCION!D:D)
  )
)
</f>
        <v>5.09</v>
      </c>
      <c r="M328" s="118" t="s">
        <v>5877</v>
      </c>
      <c r="N328" s="169" t="s">
        <v>6813</v>
      </c>
      <c r="O328" s="118" t="str">
        <f t="array" ref="O328">IFERROR(
VLOOKUP(
TRIM(CLEAN(
INDEX(REPORTE_DROPI!K:K,
MATCH(T328, REPORTE_DROPI!B:B, 0)
))),
{
TRIM(CLEAN(MAPA_ESTADOS!A:A)) ,
MAPA_ESTADOS!B:B
},
2,
FALSE
),
"REVISAR"
)</f>
        <v>DEVOLUCION</v>
      </c>
      <c r="P328" s="154" t="s">
        <v>3655</v>
      </c>
      <c r="Q328" s="153">
        <f t="shared" si="1"/>
        <v>0</v>
      </c>
      <c r="R328" s="172"/>
      <c r="S328" s="172"/>
      <c r="T328" s="118">
        <f t="array" ref="T328">IFERROR(
INDEX(REPORTE_DROPI!B:B,
MATCH(
CLEAN(TRIM(C328)),
CLEAN(TRIM(REPORTE_DROPI!E:E)),
0
)
),
""
)
</f>
        <v>4489117</v>
      </c>
      <c r="U328" s="169" t="s">
        <v>6814</v>
      </c>
      <c r="V328" s="166"/>
    </row>
    <row r="329" ht="22.5" hidden="1" customHeight="1">
      <c r="A329" s="169">
        <v>328.0</v>
      </c>
      <c r="B329" s="170">
        <v>46065.0</v>
      </c>
      <c r="C329" s="154" t="s">
        <v>6815</v>
      </c>
      <c r="D329" s="118" t="str">
        <f>IFERROR(__xludf.DUMMYFUNCTION("IFERROR( INDEX( FILTER( 'NOMBRE DE PRODUCTOS'!B:B, REGEXMATCH( UPPER( INDEX( REPORTE_DROPI!AC:AC, MATCH(T329, REPORTE_DROPI!B:B, 0) ) ), UPPER('NOMBRE DE PRODUCTOS'!A:A) ) ), 1 ), ""REVISAR"" )"),"Cuchillo Tazaki™")</f>
        <v>Cuchillo Tazaki™</v>
      </c>
      <c r="E329" s="120">
        <f t="array" ref="E329">IF(
UPPER(TRIM(CLEAN($O329)))="ENTREGADO",
IFERROR(
INDEX(REPORTE_DROPI!Y:Y,
MATCH($T329, REPORTE_DROPI!B:B, 0)
),
""
),
""
)
</f>
        <v>5.2</v>
      </c>
      <c r="F329" s="171">
        <v>2.0</v>
      </c>
      <c r="G329" s="122">
        <f t="array" ref="G329">IF(
UPPER(TRIM(CLEAN($O329)))="ENTREGADO",
IFERROR(
INDEX(REPORTE_DROPI!R:R,
MATCH($T329, REPORTE_DROPI!B:B, 0)
),
""
),
""
)
</f>
        <v>22</v>
      </c>
      <c r="H329" s="118" t="s">
        <v>3727</v>
      </c>
      <c r="I329" s="154" t="s">
        <v>3951</v>
      </c>
      <c r="J329" s="121">
        <f t="array" ref="J329">IF(
UPPER(TRIM(CLEAN($O329)))="ENTREGADO",
IFERROR(
INDEX(REPORTE_DROPI!T:T,
MATCH($T329, REPORTE_DROPI!B:B, 0)
),
""
),
""
)
</f>
        <v>5.84</v>
      </c>
      <c r="K329" s="118">
        <f t="array" ref="K329">IFERROR(
INDEX(REPORTE_DROPI!S:S,
MATCH($T329, REPORTE_DROPI!B:B, 0)
),
""
)</f>
        <v>10.96</v>
      </c>
      <c r="L329" s="118" t="str">
        <f>IF(
  O329&lt;&gt;"DEVOLUCION",
  "",
  IF(
    T329="",
    "",
    SUMIF(DEVOLUCION!F:F, T329, DEVOLUCION!D:D)
  )
)
</f>
        <v/>
      </c>
      <c r="M329" s="118" t="s">
        <v>5877</v>
      </c>
      <c r="N329" s="169" t="s">
        <v>6816</v>
      </c>
      <c r="O329" s="118" t="str">
        <f t="array" ref="O329">IFERROR(
VLOOKUP(
TRIM(CLEAN(
INDEX(REPORTE_DROPI!K:K,
MATCH(T329, REPORTE_DROPI!B:B, 0)
))),
{
TRIM(CLEAN(MAPA_ESTADOS!A:A)) ,
MAPA_ESTADOS!B:B
},
2,
FALSE
),
"REVISAR"
)</f>
        <v>ENTREGADO</v>
      </c>
      <c r="P329" s="154" t="s">
        <v>6817</v>
      </c>
      <c r="Q329" s="153">
        <f t="shared" si="1"/>
        <v>0</v>
      </c>
      <c r="R329" s="172"/>
      <c r="S329" s="172"/>
      <c r="T329" s="118">
        <v>4501089.0</v>
      </c>
      <c r="U329" s="169"/>
      <c r="V329" s="166"/>
    </row>
    <row r="330" ht="22.5" hidden="1" customHeight="1">
      <c r="A330" s="169">
        <v>329.0</v>
      </c>
      <c r="B330" s="170">
        <v>46065.0</v>
      </c>
      <c r="C330" s="154" t="s">
        <v>6818</v>
      </c>
      <c r="D330" s="118" t="str">
        <f>IFERROR(__xludf.DUMMYFUNCTION("IFERROR( INDEX( FILTER( 'NOMBRE DE PRODUCTOS'!B:B, REGEXMATCH( UPPER( INDEX( REPORTE_DROPI!AC:AC, MATCH(T330, REPORTE_DROPI!B:B, 0) ) ), UPPER('NOMBRE DE PRODUCTOS'!A:A) ) ), 1 ), ""REVISAR"" )"),"FilmPro®")</f>
        <v>FilmPro®</v>
      </c>
      <c r="E330" s="120">
        <f t="array" ref="E330">IF(
UPPER(TRIM(CLEAN($O330)))="ENTREGADO",
IFERROR(
INDEX(REPORTE_DROPI!Y:Y,
MATCH($T330, REPORTE_DROPI!B:B, 0)
),
""
),
""
)
</f>
        <v>2.4</v>
      </c>
      <c r="F330" s="171">
        <v>1.0</v>
      </c>
      <c r="G330" s="122">
        <f t="array" ref="G330">IF(
UPPER(TRIM(CLEAN($O330)))="ENTREGADO",
IFERROR(
INDEX(REPORTE_DROPI!R:R,
MATCH($T330, REPORTE_DROPI!B:B, 0)
),
""
),
""
)
</f>
        <v>20</v>
      </c>
      <c r="H330" s="118" t="s">
        <v>3727</v>
      </c>
      <c r="I330" s="154" t="s">
        <v>3740</v>
      </c>
      <c r="J330" s="121">
        <f t="array" ref="J330">IF(
UPPER(TRIM(CLEAN($O330)))="ENTREGADO",
IFERROR(
INDEX(REPORTE_DROPI!T:T,
MATCH($T330, REPORTE_DROPI!B:B, 0)
),
""
),
""
)
</f>
        <v>4.15</v>
      </c>
      <c r="K330" s="118">
        <f t="array" ref="K330">IFERROR(
INDEX(REPORTE_DROPI!S:S,
MATCH($T330, REPORTE_DROPI!B:B, 0)
),
""
)</f>
        <v>13.45</v>
      </c>
      <c r="L330" s="118" t="str">
        <f>IF(
  O330&lt;&gt;"DEVOLUCION",
  "",
  IF(
    T330="",
    "",
    SUMIF(DEVOLUCION!F:F, T330, DEVOLUCION!D:D)
  )
)
</f>
        <v/>
      </c>
      <c r="M330" s="118" t="s">
        <v>5877</v>
      </c>
      <c r="N330" s="169" t="s">
        <v>6819</v>
      </c>
      <c r="O330" s="118" t="str">
        <f t="array" ref="O330">IFERROR(
VLOOKUP(
TRIM(CLEAN(
INDEX(REPORTE_DROPI!K:K,
MATCH(T330, REPORTE_DROPI!B:B, 0)
))),
{
TRIM(CLEAN(MAPA_ESTADOS!A:A)) ,
MAPA_ESTADOS!B:B
},
2,
FALSE
),
"REVISAR"
)</f>
        <v>ENTREGADO</v>
      </c>
      <c r="P330" s="154" t="s">
        <v>5692</v>
      </c>
      <c r="Q330" s="153">
        <f t="shared" si="1"/>
        <v>0</v>
      </c>
      <c r="R330" s="172"/>
      <c r="S330" s="172"/>
      <c r="T330" s="118">
        <f t="array" ref="T330">IFERROR(
INDEX(REPORTE_DROPI!B:B,
MATCH(
CLEAN(TRIM(C330)),
CLEAN(TRIM(REPORTE_DROPI!E:E)),
0
)
),
""
)
</f>
        <v>4489410</v>
      </c>
      <c r="U330" s="169" t="s">
        <v>6820</v>
      </c>
      <c r="V330" s="166"/>
    </row>
    <row r="331" ht="22.5" hidden="1" customHeight="1">
      <c r="A331" s="169">
        <v>330.0</v>
      </c>
      <c r="B331" s="170">
        <v>46065.0</v>
      </c>
      <c r="C331" s="154" t="s">
        <v>6821</v>
      </c>
      <c r="D331" s="118" t="str">
        <f>IFERROR(__xludf.DUMMYFUNCTION("IFERROR( INDEX( FILTER( 'NOMBRE DE PRODUCTOS'!B:B, REGEXMATCH( UPPER( INDEX( REPORTE_DROPI!AC:AC, MATCH(T331, REPORTE_DROPI!B:B, 0) ) ), UPPER('NOMBRE DE PRODUCTOS'!A:A) ) ), 1 ), ""REVISAR"" )"),"Cuchillo Tazaki™")</f>
        <v>Cuchillo Tazaki™</v>
      </c>
      <c r="E331" s="120">
        <f t="array" ref="E331">IF(
UPPER(TRIM(CLEAN($O331)))="ENTREGADO",
IFERROR(
INDEX(REPORTE_DROPI!Y:Y,
MATCH($T331, REPORTE_DROPI!B:B, 0)
),
""
),
""
)
</f>
        <v>5.2</v>
      </c>
      <c r="F331" s="171">
        <v>2.0</v>
      </c>
      <c r="G331" s="122">
        <f t="array" ref="G331">IF(
UPPER(TRIM(CLEAN($O331)))="ENTREGADO",
IFERROR(
INDEX(REPORTE_DROPI!R:R,
MATCH($T331, REPORTE_DROPI!B:B, 0)
),
""
),
""
)
</f>
        <v>22</v>
      </c>
      <c r="H331" s="118" t="s">
        <v>3727</v>
      </c>
      <c r="I331" s="154" t="s">
        <v>3731</v>
      </c>
      <c r="J331" s="121">
        <f t="array" ref="J331">IF(
UPPER(TRIM(CLEAN($O331)))="ENTREGADO",
IFERROR(
INDEX(REPORTE_DROPI!T:T,
MATCH($T331, REPORTE_DROPI!B:B, 0)
),
""
),
""
)
</f>
        <v>5.84</v>
      </c>
      <c r="K331" s="118">
        <f t="array" ref="K331">IFERROR(
INDEX(REPORTE_DROPI!S:S,
MATCH($T331, REPORTE_DROPI!B:B, 0)
),
""
)</f>
        <v>10.96</v>
      </c>
      <c r="L331" s="118" t="str">
        <f>IF(
  O331&lt;&gt;"DEVOLUCION",
  "",
  IF(
    T331="",
    "",
    SUMIF(DEVOLUCION!F:F, T331, DEVOLUCION!D:D)
  )
)
</f>
        <v/>
      </c>
      <c r="M331" s="118" t="s">
        <v>5877</v>
      </c>
      <c r="N331" s="169" t="s">
        <v>6822</v>
      </c>
      <c r="O331" s="118" t="str">
        <f t="array" ref="O331">IFERROR(
VLOOKUP(
TRIM(CLEAN(
INDEX(REPORTE_DROPI!K:K,
MATCH(T331, REPORTE_DROPI!B:B, 0)
))),
{
TRIM(CLEAN(MAPA_ESTADOS!A:A)) ,
MAPA_ESTADOS!B:B
},
2,
FALSE
),
"REVISAR"
)</f>
        <v>ENTREGADO</v>
      </c>
      <c r="P331" s="154" t="s">
        <v>5692</v>
      </c>
      <c r="Q331" s="153">
        <f t="shared" si="1"/>
        <v>0</v>
      </c>
      <c r="R331" s="172"/>
      <c r="S331" s="172"/>
      <c r="T331" s="118">
        <f t="array" ref="T331">IFERROR(
INDEX(REPORTE_DROPI!B:B,
MATCH(
CLEAN(TRIM(C331)),
CLEAN(TRIM(REPORTE_DROPI!E:E)),
0
)
),
""
)
</f>
        <v>4489527</v>
      </c>
      <c r="U331" s="169" t="s">
        <v>6823</v>
      </c>
      <c r="V331" s="166"/>
    </row>
    <row r="332" ht="22.5" hidden="1" customHeight="1">
      <c r="A332" s="169">
        <v>331.0</v>
      </c>
      <c r="B332" s="170">
        <v>46065.0</v>
      </c>
      <c r="C332" s="154" t="s">
        <v>6824</v>
      </c>
      <c r="D332" s="118" t="str">
        <f>IFERROR(__xludf.DUMMYFUNCTION("IFERROR( INDEX( FILTER( 'NOMBRE DE PRODUCTOS'!B:B, REGEXMATCH( UPPER( INDEX( REPORTE_DROPI!AC:AC, MATCH(T332, REPORTE_DROPI!B:B, 0) ) ), UPPER('NOMBRE DE PRODUCTOS'!A:A) ) ), 1 ), ""REVISAR"" )"),"FilmPro®")</f>
        <v>FilmPro®</v>
      </c>
      <c r="E332" s="120">
        <f t="array" ref="E332">IF(
UPPER(TRIM(CLEAN($O332)))="ENTREGADO",
IFERROR(
INDEX(REPORTE_DROPI!Y:Y,
MATCH($T332, REPORTE_DROPI!B:B, 0)
),
""
),
""
)
</f>
        <v>7.2</v>
      </c>
      <c r="F332" s="171">
        <v>3.0</v>
      </c>
      <c r="G332" s="122">
        <f t="array" ref="G332">IF(
UPPER(TRIM(CLEAN($O332)))="ENTREGADO",
IFERROR(
INDEX(REPORTE_DROPI!R:R,
MATCH($T332, REPORTE_DROPI!B:B, 0)
),
""
),
""
)
</f>
        <v>30</v>
      </c>
      <c r="H332" s="118" t="s">
        <v>3727</v>
      </c>
      <c r="I332" s="154" t="s">
        <v>3728</v>
      </c>
      <c r="J332" s="121">
        <f t="array" ref="J332">IF(
UPPER(TRIM(CLEAN($O332)))="ENTREGADO",
IFERROR(
INDEX(REPORTE_DROPI!T:T,
MATCH($T332, REPORTE_DROPI!B:B, 0)
),
""
),
""
)
</f>
        <v>6.16</v>
      </c>
      <c r="K332" s="118">
        <f t="array" ref="K332">IFERROR(
INDEX(REPORTE_DROPI!S:S,
MATCH($T332, REPORTE_DROPI!B:B, 0)
),
""
)</f>
        <v>16.64</v>
      </c>
      <c r="L332" s="118" t="str">
        <f>IF(
  O332&lt;&gt;"DEVOLUCION",
  "",
  IF(
    T332="",
    "",
    SUMIF(DEVOLUCION!F:F, T332, DEVOLUCION!D:D)
  )
)
</f>
        <v/>
      </c>
      <c r="M332" s="118" t="s">
        <v>5877</v>
      </c>
      <c r="N332" s="169" t="s">
        <v>6825</v>
      </c>
      <c r="O332" s="118" t="str">
        <f t="array" ref="O332">IFERROR(
VLOOKUP(
TRIM(CLEAN(
INDEX(REPORTE_DROPI!K:K,
MATCH(T332, REPORTE_DROPI!B:B, 0)
))),
{
TRIM(CLEAN(MAPA_ESTADOS!A:A)) ,
MAPA_ESTADOS!B:B
},
2,
FALSE
),
"REVISAR"
)</f>
        <v>ENTREGADO</v>
      </c>
      <c r="P332" s="154" t="s">
        <v>5692</v>
      </c>
      <c r="Q332" s="153">
        <f t="shared" si="1"/>
        <v>0</v>
      </c>
      <c r="R332" s="172"/>
      <c r="S332" s="172"/>
      <c r="T332" s="118">
        <f t="array" ref="T332">IFERROR(
INDEX(REPORTE_DROPI!B:B,
MATCH(
CLEAN(TRIM(C332)),
CLEAN(TRIM(REPORTE_DROPI!E:E)),
0
)
),
""
)
</f>
        <v>4489607</v>
      </c>
      <c r="U332" s="169" t="s">
        <v>6826</v>
      </c>
      <c r="V332" s="166"/>
    </row>
    <row r="333" ht="22.5" hidden="1" customHeight="1">
      <c r="A333" s="169">
        <v>332.0</v>
      </c>
      <c r="B333" s="170">
        <v>46065.0</v>
      </c>
      <c r="C333" s="154" t="s">
        <v>6827</v>
      </c>
      <c r="D333" s="118" t="str">
        <f>IFERROR(__xludf.DUMMYFUNCTION("IFERROR( INDEX( FILTER( 'NOMBRE DE PRODUCTOS'!B:B, REGEXMATCH( UPPER( INDEX( REPORTE_DROPI!AC:AC, MATCH(T333, REPORTE_DROPI!B:B, 0) ) ), UPPER('NOMBRE DE PRODUCTOS'!A:A) ) ), 1 ), ""REVISAR"" )"),"FilmPro®")</f>
        <v>FilmPro®</v>
      </c>
      <c r="E333" s="120" t="str">
        <f t="array" ref="E333">IF(
UPPER(TRIM(CLEAN($O333)))="ENTREGADO",
IFERROR(
INDEX(REPORTE_DROPI!Y:Y,
MATCH($T333, REPORTE_DROPI!B:B, 0)
),
""
),
""
)
</f>
        <v/>
      </c>
      <c r="F333" s="171">
        <v>1.0</v>
      </c>
      <c r="G333" s="122" t="str">
        <f t="array" ref="G333">IF(
UPPER(TRIM(CLEAN($O333)))="ENTREGADO",
IFERROR(
INDEX(REPORTE_DROPI!R:R,
MATCH($T333, REPORTE_DROPI!B:B, 0)
),
""
),
""
)
</f>
        <v/>
      </c>
      <c r="H333" s="118" t="s">
        <v>3727</v>
      </c>
      <c r="I333" s="154" t="s">
        <v>3882</v>
      </c>
      <c r="J333" s="121" t="str">
        <f t="array" ref="J333">IF(
UPPER(TRIM(CLEAN($O333)))="ENTREGADO",
IFERROR(
INDEX(REPORTE_DROPI!T:T,
MATCH($T333, REPORTE_DROPI!B:B, 0)
),
""
),
""
)
</f>
        <v/>
      </c>
      <c r="K333" s="118" t="str">
        <f t="array" ref="K333">IFERROR(
INDEX(REPORTE_DROPI!S:S,
MATCH($T333, REPORTE_DROPI!B:B, 0)
),
""
)</f>
        <v/>
      </c>
      <c r="L333" s="118" t="str">
        <f>IF(
  O333&lt;&gt;"DEVOLUCION",
  "",
  IF(
    T333="",
    "",
    SUMIF(DEVOLUCION!F:F, T333, DEVOLUCION!D:D)
  )
)
</f>
        <v/>
      </c>
      <c r="M333" s="118" t="s">
        <v>5877</v>
      </c>
      <c r="N333" s="169" t="s">
        <v>6828</v>
      </c>
      <c r="O333" s="118" t="str">
        <f t="array" ref="O333">IFERROR(
VLOOKUP(
TRIM(CLEAN(
INDEX(REPORTE_DROPI!K:K,
MATCH(T333, REPORTE_DROPI!B:B, 0)
))),
{
TRIM(CLEAN(MAPA_ESTADOS!A:A)) ,
MAPA_ESTADOS!B:B
},
2,
FALSE
),
"REVISAR"
)</f>
        <v>PENDIENTE</v>
      </c>
      <c r="P333" s="154" t="s">
        <v>6829</v>
      </c>
      <c r="Q333" s="153">
        <f t="shared" si="1"/>
        <v>0</v>
      </c>
      <c r="R333" s="172"/>
      <c r="S333" s="172"/>
      <c r="T333" s="118">
        <f t="array" ref="T333">IFERROR(
INDEX(REPORTE_DROPI!B:B,
MATCH(
CLEAN(TRIM(C333)),
CLEAN(TRIM(REPORTE_DROPI!E:E)),
0
)
),
""
)
</f>
        <v>4489655</v>
      </c>
      <c r="U333" s="169" t="s">
        <v>6830</v>
      </c>
      <c r="V333" s="166"/>
    </row>
    <row r="334" ht="22.5" hidden="1" customHeight="1">
      <c r="A334" s="169">
        <v>333.0</v>
      </c>
      <c r="B334" s="170">
        <v>46065.0</v>
      </c>
      <c r="C334" s="154" t="s">
        <v>6831</v>
      </c>
      <c r="D334" s="118" t="str">
        <f>IFERROR(__xludf.DUMMYFUNCTION("IFERROR( INDEX( FILTER( 'NOMBRE DE PRODUCTOS'!B:B, REGEXMATCH( UPPER( INDEX( REPORTE_DROPI!AC:AC, MATCH(T334, REPORTE_DROPI!B:B, 0) ) ), UPPER('NOMBRE DE PRODUCTOS'!A:A) ) ), 1 ), ""REVISAR"" )"),"FilmPro®")</f>
        <v>FilmPro®</v>
      </c>
      <c r="E334" s="120">
        <f t="array" ref="E334">IF(
UPPER(TRIM(CLEAN($O334)))="ENTREGADO",
IFERROR(
INDEX(REPORTE_DROPI!Y:Y,
MATCH($T334, REPORTE_DROPI!B:B, 0)
),
""
),
""
)
</f>
        <v>7.2</v>
      </c>
      <c r="F334" s="171">
        <v>3.0</v>
      </c>
      <c r="G334" s="122">
        <f t="array" ref="G334">IF(
UPPER(TRIM(CLEAN($O334)))="ENTREGADO",
IFERROR(
INDEX(REPORTE_DROPI!R:R,
MATCH($T334, REPORTE_DROPI!B:B, 0)
),
""
),
""
)
</f>
        <v>30</v>
      </c>
      <c r="H334" s="118" t="s">
        <v>3727</v>
      </c>
      <c r="I334" s="154" t="s">
        <v>3740</v>
      </c>
      <c r="J334" s="121">
        <f t="array" ref="J334">IF(
UPPER(TRIM(CLEAN($O334)))="ENTREGADO",
IFERROR(
INDEX(REPORTE_DROPI!T:T,
MATCH($T334, REPORTE_DROPI!B:B, 0)
),
""
),
""
)
</f>
        <v>4.55</v>
      </c>
      <c r="K334" s="118">
        <f t="array" ref="K334">IFERROR(
INDEX(REPORTE_DROPI!S:S,
MATCH($T334, REPORTE_DROPI!B:B, 0)
),
""
)</f>
        <v>18.25</v>
      </c>
      <c r="L334" s="118" t="str">
        <f>IF(
  O334&lt;&gt;"DEVOLUCION",
  "",
  IF(
    T334="",
    "",
    SUMIF(DEVOLUCION!F:F, T334, DEVOLUCION!D:D)
  )
)
</f>
        <v/>
      </c>
      <c r="M334" s="118" t="s">
        <v>5877</v>
      </c>
      <c r="N334" s="169" t="s">
        <v>6832</v>
      </c>
      <c r="O334" s="118" t="str">
        <f t="array" ref="O334">IFERROR(
VLOOKUP(
TRIM(CLEAN(
INDEX(REPORTE_DROPI!K:K,
MATCH(T334, REPORTE_DROPI!B:B, 0)
))),
{
TRIM(CLEAN(MAPA_ESTADOS!A:A)) ,
MAPA_ESTADOS!B:B
},
2,
FALSE
),
"REVISAR"
)</f>
        <v>ENTREGADO</v>
      </c>
      <c r="P334" s="154" t="s">
        <v>5692</v>
      </c>
      <c r="Q334" s="153">
        <f t="shared" si="1"/>
        <v>0</v>
      </c>
      <c r="R334" s="172"/>
      <c r="S334" s="172"/>
      <c r="T334" s="118">
        <f t="array" ref="T334">IFERROR(
INDEX(REPORTE_DROPI!B:B,
MATCH(
CLEAN(TRIM(C334)),
CLEAN(TRIM(REPORTE_DROPI!E:E)),
0
)
),
""
)
</f>
        <v>4489941</v>
      </c>
      <c r="U334" s="169" t="s">
        <v>6833</v>
      </c>
      <c r="V334" s="166"/>
    </row>
    <row r="335" ht="22.5" hidden="1" customHeight="1">
      <c r="A335" s="169">
        <v>334.0</v>
      </c>
      <c r="B335" s="170">
        <v>46065.0</v>
      </c>
      <c r="C335" s="154" t="s">
        <v>6834</v>
      </c>
      <c r="D335" s="118" t="str">
        <f>IFERROR(__xludf.DUMMYFUNCTION("IFERROR( INDEX( FILTER( 'NOMBRE DE PRODUCTOS'!B:B, REGEXMATCH( UPPER( INDEX( REPORTE_DROPI!AC:AC, MATCH(T335, REPORTE_DROPI!B:B, 0) ) ), UPPER('NOMBRE DE PRODUCTOS'!A:A) ) ), 1 ), ""REVISAR"" )"),"Cuchillo Tazaki™")</f>
        <v>Cuchillo Tazaki™</v>
      </c>
      <c r="E335" s="120" t="str">
        <f t="array" ref="E335">IF(
UPPER(TRIM(CLEAN($O335)))="ENTREGADO",
IFERROR(
INDEX(REPORTE_DROPI!Y:Y,
MATCH($T335, REPORTE_DROPI!B:B, 0)
),
""
),
""
)
</f>
        <v/>
      </c>
      <c r="F335" s="171">
        <v>2.0</v>
      </c>
      <c r="G335" s="122" t="str">
        <f t="array" ref="G335">IF(
UPPER(TRIM(CLEAN($O335)))="ENTREGADO",
IFERROR(
INDEX(REPORTE_DROPI!R:R,
MATCH($T335, REPORTE_DROPI!B:B, 0)
),
""
),
""
)
</f>
        <v/>
      </c>
      <c r="H335" s="118" t="s">
        <v>3727</v>
      </c>
      <c r="I335" s="154" t="s">
        <v>3740</v>
      </c>
      <c r="J335" s="121" t="str">
        <f t="array" ref="J335">IF(
UPPER(TRIM(CLEAN($O335)))="ENTREGADO",
IFERROR(
INDEX(REPORTE_DROPI!T:T,
MATCH($T335, REPORTE_DROPI!B:B, 0)
),
""
),
""
)
</f>
        <v/>
      </c>
      <c r="K335" s="118" t="str">
        <f t="array" ref="K335">IFERROR(
INDEX(REPORTE_DROPI!S:S,
MATCH($T335, REPORTE_DROPI!B:B, 0)
),
""
)</f>
        <v/>
      </c>
      <c r="L335" s="118" t="str">
        <f>IF(
  O335&lt;&gt;"DEVOLUCION",
  "",
  IF(
    T335="",
    "",
    SUMIF(DEVOLUCION!F:F, T335, DEVOLUCION!D:D)
  )
)
</f>
        <v/>
      </c>
      <c r="M335" s="118" t="s">
        <v>5877</v>
      </c>
      <c r="N335" s="169" t="s">
        <v>6835</v>
      </c>
      <c r="O335" s="118" t="str">
        <f t="array" ref="O335">IFERROR(
VLOOKUP(
TRIM(CLEAN(
INDEX(REPORTE_DROPI!K:K,
MATCH(T335, REPORTE_DROPI!B:B, 0)
))),
{
TRIM(CLEAN(MAPA_ESTADOS!A:A)) ,
MAPA_ESTADOS!B:B
},
2,
FALSE
),
"REVISAR"
)</f>
        <v>PENDIENTE</v>
      </c>
      <c r="P335" s="154" t="s">
        <v>6364</v>
      </c>
      <c r="Q335" s="153">
        <f t="shared" si="1"/>
        <v>0</v>
      </c>
      <c r="R335" s="172"/>
      <c r="S335" s="172"/>
      <c r="T335" s="118">
        <f t="array" ref="T335">IFERROR(
INDEX(REPORTE_DROPI!B:B,
MATCH(
CLEAN(TRIM(C335)),
CLEAN(TRIM(REPORTE_DROPI!E:E)),
0
)
),
""
)
</f>
        <v>4489985</v>
      </c>
      <c r="U335" s="169" t="s">
        <v>6836</v>
      </c>
      <c r="V335" s="166"/>
    </row>
    <row r="336" ht="22.5" hidden="1" customHeight="1">
      <c r="A336" s="169">
        <v>335.0</v>
      </c>
      <c r="B336" s="170">
        <v>46065.0</v>
      </c>
      <c r="C336" s="154" t="s">
        <v>6837</v>
      </c>
      <c r="D336" s="118" t="str">
        <f>IFERROR(__xludf.DUMMYFUNCTION("IFERROR( INDEX( FILTER( 'NOMBRE DE PRODUCTOS'!B:B, REGEXMATCH( UPPER( INDEX( REPORTE_DROPI!AC:AC, MATCH(T336, REPORTE_DROPI!B:B, 0) ) ), UPPER('NOMBRE DE PRODUCTOS'!A:A) ) ), 1 ), ""REVISAR"" )"),"Cuchillo Tazaki™")</f>
        <v>Cuchillo Tazaki™</v>
      </c>
      <c r="E336" s="120">
        <f t="array" ref="E336">IF(
UPPER(TRIM(CLEAN($O336)))="ENTREGADO",
IFERROR(
INDEX(REPORTE_DROPI!Y:Y,
MATCH($T336, REPORTE_DROPI!B:B, 0)
),
""
),
""
)
</f>
        <v>5.2</v>
      </c>
      <c r="F336" s="171">
        <v>2.0</v>
      </c>
      <c r="G336" s="122">
        <f t="array" ref="G336">IF(
UPPER(TRIM(CLEAN($O336)))="ENTREGADO",
IFERROR(
INDEX(REPORTE_DROPI!R:R,
MATCH($T336, REPORTE_DROPI!B:B, 0)
),
""
),
""
)
</f>
        <v>22</v>
      </c>
      <c r="H336" s="118" t="s">
        <v>3727</v>
      </c>
      <c r="I336" s="154" t="s">
        <v>3798</v>
      </c>
      <c r="J336" s="121">
        <f t="array" ref="J336">IF(
UPPER(TRIM(CLEAN($O336)))="ENTREGADO",
IFERROR(
INDEX(REPORTE_DROPI!T:T,
MATCH($T336, REPORTE_DROPI!B:B, 0)
),
""
),
""
)
</f>
        <v>8.16</v>
      </c>
      <c r="K336" s="118">
        <f t="array" ref="K336">IFERROR(
INDEX(REPORTE_DROPI!S:S,
MATCH($T336, REPORTE_DROPI!B:B, 0)
),
""
)</f>
        <v>8.64</v>
      </c>
      <c r="L336" s="118" t="str">
        <f>IF(
  O336&lt;&gt;"DEVOLUCION",
  "",
  IF(
    T336="",
    "",
    SUMIF(DEVOLUCION!F:F, T336, DEVOLUCION!D:D)
  )
)
</f>
        <v/>
      </c>
      <c r="M336" s="118" t="s">
        <v>5877</v>
      </c>
      <c r="N336" s="169" t="s">
        <v>6838</v>
      </c>
      <c r="O336" s="118" t="str">
        <f t="array" ref="O336">IFERROR(
VLOOKUP(
TRIM(CLEAN(
INDEX(REPORTE_DROPI!K:K,
MATCH(T336, REPORTE_DROPI!B:B, 0)
))),
{
TRIM(CLEAN(MAPA_ESTADOS!A:A)) ,
MAPA_ESTADOS!B:B
},
2,
FALSE
),
"REVISAR"
)</f>
        <v>ENTREGADO</v>
      </c>
      <c r="P336" s="154" t="s">
        <v>5692</v>
      </c>
      <c r="Q336" s="153">
        <f t="shared" si="1"/>
        <v>0</v>
      </c>
      <c r="R336" s="172"/>
      <c r="S336" s="172"/>
      <c r="T336" s="118">
        <f t="array" ref="T336">IFERROR(
INDEX(REPORTE_DROPI!B:B,
MATCH(
CLEAN(TRIM(C336)),
CLEAN(TRIM(REPORTE_DROPI!E:E)),
0
)
),
""
)
</f>
        <v>4490176</v>
      </c>
      <c r="U336" s="173">
        <v>4.5224152145E10</v>
      </c>
      <c r="V336" s="166"/>
      <c r="W336" s="18"/>
      <c r="X336" s="18"/>
      <c r="Y336" s="18"/>
      <c r="Z336" s="18"/>
    </row>
    <row r="337" ht="22.5" hidden="1" customHeight="1">
      <c r="A337" s="169">
        <v>336.0</v>
      </c>
      <c r="B337" s="170">
        <v>46065.0</v>
      </c>
      <c r="C337" s="154" t="s">
        <v>6839</v>
      </c>
      <c r="D337" s="118" t="str">
        <f>IFERROR(__xludf.DUMMYFUNCTION("IFERROR( INDEX( FILTER( 'NOMBRE DE PRODUCTOS'!B:B, REGEXMATCH( UPPER( INDEX( REPORTE_DROPI!AC:AC, MATCH(T337, REPORTE_DROPI!B:B, 0) ) ), UPPER('NOMBRE DE PRODUCTOS'!A:A) ) ), 1 ), ""REVISAR"" )"),"FilmPro®")</f>
        <v>FilmPro®</v>
      </c>
      <c r="E337" s="120">
        <f t="array" ref="E337">IF(
UPPER(TRIM(CLEAN($O337)))="ENTREGADO",
IFERROR(
INDEX(REPORTE_DROPI!Y:Y,
MATCH($T337, REPORTE_DROPI!B:B, 0)
),
""
),
""
)
</f>
        <v>7.2</v>
      </c>
      <c r="F337" s="171">
        <v>3.0</v>
      </c>
      <c r="G337" s="122">
        <f t="array" ref="G337">IF(
UPPER(TRIM(CLEAN($O337)))="ENTREGADO",
IFERROR(
INDEX(REPORTE_DROPI!R:R,
MATCH($T337, REPORTE_DROPI!B:B, 0)
),
""
),
""
)
</f>
        <v>30</v>
      </c>
      <c r="H337" s="118" t="s">
        <v>3727</v>
      </c>
      <c r="I337" s="154" t="s">
        <v>3740</v>
      </c>
      <c r="J337" s="121">
        <f t="array" ref="J337">IF(
UPPER(TRIM(CLEAN($O337)))="ENTREGADO",
IFERROR(
INDEX(REPORTE_DROPI!T:T,
MATCH($T337, REPORTE_DROPI!B:B, 0)
),
""
),
""
)
</f>
        <v>4.55</v>
      </c>
      <c r="K337" s="118">
        <f t="array" ref="K337">IFERROR(
INDEX(REPORTE_DROPI!S:S,
MATCH($T337, REPORTE_DROPI!B:B, 0)
),
""
)</f>
        <v>18.25</v>
      </c>
      <c r="L337" s="118" t="str">
        <f>IF(
  O337&lt;&gt;"DEVOLUCION",
  "",
  IF(
    T337="",
    "",
    SUMIF(DEVOLUCION!F:F, T337, DEVOLUCION!D:D)
  )
)
</f>
        <v/>
      </c>
      <c r="M337" s="118" t="s">
        <v>5877</v>
      </c>
      <c r="N337" s="169" t="s">
        <v>6840</v>
      </c>
      <c r="O337" s="118" t="str">
        <f t="array" ref="O337">IFERROR(
VLOOKUP(
TRIM(CLEAN(
INDEX(REPORTE_DROPI!K:K,
MATCH(T337, REPORTE_DROPI!B:B, 0)
))),
{
TRIM(CLEAN(MAPA_ESTADOS!A:A)) ,
MAPA_ESTADOS!B:B
},
2,
FALSE
),
"REVISAR"
)</f>
        <v>ENTREGADO</v>
      </c>
      <c r="P337" s="154" t="s">
        <v>5692</v>
      </c>
      <c r="Q337" s="153">
        <f t="shared" si="1"/>
        <v>0</v>
      </c>
      <c r="R337" s="172"/>
      <c r="S337" s="172"/>
      <c r="T337" s="118">
        <f t="array" ref="T337">IFERROR(
INDEX(REPORTE_DROPI!B:B,
MATCH(
CLEAN(TRIM(C337)),
CLEAN(TRIM(REPORTE_DROPI!E:E)),
0
)
),
""
)
</f>
        <v>4491759</v>
      </c>
      <c r="U337" s="169" t="s">
        <v>6841</v>
      </c>
      <c r="V337" s="166"/>
      <c r="W337" s="18"/>
      <c r="X337" s="18"/>
      <c r="Y337" s="18"/>
      <c r="Z337" s="18"/>
    </row>
    <row r="338" ht="22.5" hidden="1" customHeight="1">
      <c r="A338" s="169">
        <v>337.0</v>
      </c>
      <c r="B338" s="170">
        <v>46065.0</v>
      </c>
      <c r="C338" s="154" t="s">
        <v>6842</v>
      </c>
      <c r="D338" s="118" t="str">
        <f>IFERROR(__xludf.DUMMYFUNCTION("IFERROR( INDEX( FILTER( 'NOMBRE DE PRODUCTOS'!B:B, REGEXMATCH( UPPER( INDEX( REPORTE_DROPI!AC:AC, MATCH(T338, REPORTE_DROPI!B:B, 0) ) ), UPPER('NOMBRE DE PRODUCTOS'!A:A) ) ), 1 ), ""REVISAR"" )"),"Cuchillo Tazaki™")</f>
        <v>Cuchillo Tazaki™</v>
      </c>
      <c r="E338" s="120">
        <f t="array" ref="E338">IF(
UPPER(TRIM(CLEAN($O338)))="ENTREGADO",
IFERROR(
INDEX(REPORTE_DROPI!Y:Y,
MATCH($T338, REPORTE_DROPI!B:B, 0)
),
""
),
""
)
</f>
        <v>10.4</v>
      </c>
      <c r="F338" s="171">
        <v>4.0</v>
      </c>
      <c r="G338" s="122">
        <f t="array" ref="G338">IF(
UPPER(TRIM(CLEAN($O338)))="ENTREGADO",
IFERROR(
INDEX(REPORTE_DROPI!R:R,
MATCH($T338, REPORTE_DROPI!B:B, 0)
),
""
),
""
)
</f>
        <v>32</v>
      </c>
      <c r="H338" s="118" t="s">
        <v>3727</v>
      </c>
      <c r="I338" s="154" t="s">
        <v>3855</v>
      </c>
      <c r="J338" s="121">
        <f t="array" ref="J338">IF(
UPPER(TRIM(CLEAN($O338)))="ENTREGADO",
IFERROR(
INDEX(REPORTE_DROPI!T:T,
MATCH($T338, REPORTE_DROPI!B:B, 0)
),
""
),
""
)
</f>
        <v>6.24</v>
      </c>
      <c r="K338" s="118">
        <f t="array" ref="K338">IFERROR(
INDEX(REPORTE_DROPI!S:S,
MATCH($T338, REPORTE_DROPI!B:B, 0)
),
""
)</f>
        <v>15.36</v>
      </c>
      <c r="L338" s="118" t="str">
        <f>IF(
  O338&lt;&gt;"DEVOLUCION",
  "",
  IF(
    T338="",
    "",
    SUMIF(DEVOLUCION!F:F, T338, DEVOLUCION!D:D)
  )
)
</f>
        <v/>
      </c>
      <c r="M338" s="118" t="s">
        <v>5877</v>
      </c>
      <c r="N338" s="169" t="s">
        <v>6843</v>
      </c>
      <c r="O338" s="118" t="str">
        <f t="array" ref="O338">IFERROR(
VLOOKUP(
TRIM(CLEAN(
INDEX(REPORTE_DROPI!K:K,
MATCH(T338, REPORTE_DROPI!B:B, 0)
))),
{
TRIM(CLEAN(MAPA_ESTADOS!A:A)) ,
MAPA_ESTADOS!B:B
},
2,
FALSE
),
"REVISAR"
)</f>
        <v>ENTREGADO</v>
      </c>
      <c r="P338" s="154" t="s">
        <v>5692</v>
      </c>
      <c r="Q338" s="153">
        <f t="shared" si="1"/>
        <v>0</v>
      </c>
      <c r="R338" s="172"/>
      <c r="S338" s="172"/>
      <c r="T338" s="118">
        <f t="array" ref="T338">IFERROR(
INDEX(REPORTE_DROPI!B:B,
MATCH(
CLEAN(TRIM(C338)),
CLEAN(TRIM(REPORTE_DROPI!E:E)),
0
)
),
""
)
</f>
        <v>4492210</v>
      </c>
      <c r="U338" s="169" t="s">
        <v>6844</v>
      </c>
      <c r="V338" s="166"/>
      <c r="W338" s="18"/>
      <c r="X338" s="18"/>
      <c r="Y338" s="18"/>
      <c r="Z338" s="18"/>
    </row>
    <row r="339" ht="22.5" hidden="1" customHeight="1">
      <c r="A339" s="169">
        <v>338.0</v>
      </c>
      <c r="B339" s="170">
        <v>46065.0</v>
      </c>
      <c r="C339" s="154" t="s">
        <v>6845</v>
      </c>
      <c r="D339" s="118" t="str">
        <f>IFERROR(__xludf.DUMMYFUNCTION("IFERROR( INDEX( FILTER( 'NOMBRE DE PRODUCTOS'!B:B, REGEXMATCH( UPPER( INDEX( REPORTE_DROPI!AC:AC, MATCH(T339, REPORTE_DROPI!B:B, 0) ) ), UPPER('NOMBRE DE PRODUCTOS'!A:A) ) ), 1 ), ""REVISAR"" )"),"Cuchillo Tazaki™")</f>
        <v>Cuchillo Tazaki™</v>
      </c>
      <c r="E339" s="120">
        <f t="array" ref="E339">IF(
UPPER(TRIM(CLEAN($O339)))="ENTREGADO",
IFERROR(
INDEX(REPORTE_DROPI!Y:Y,
MATCH($T339, REPORTE_DROPI!B:B, 0)
),
""
),
""
)
</f>
        <v>5.2</v>
      </c>
      <c r="F339" s="171">
        <v>2.0</v>
      </c>
      <c r="G339" s="122">
        <f t="array" ref="G339">IF(
UPPER(TRIM(CLEAN($O339)))="ENTREGADO",
IFERROR(
INDEX(REPORTE_DROPI!R:R,
MATCH($T339, REPORTE_DROPI!B:B, 0)
),
""
),
""
)
</f>
        <v>22</v>
      </c>
      <c r="H339" s="118" t="s">
        <v>3727</v>
      </c>
      <c r="I339" s="154" t="s">
        <v>3740</v>
      </c>
      <c r="J339" s="121">
        <f t="array" ref="J339">IF(
UPPER(TRIM(CLEAN($O339)))="ENTREGADO",
IFERROR(
INDEX(REPORTE_DROPI!T:T,
MATCH($T339, REPORTE_DROPI!B:B, 0)
),
""
),
""
)
</f>
        <v>4.23</v>
      </c>
      <c r="K339" s="118">
        <f t="array" ref="K339">IFERROR(
INDEX(REPORTE_DROPI!S:S,
MATCH($T339, REPORTE_DROPI!B:B, 0)
),
""
)</f>
        <v>12.57</v>
      </c>
      <c r="L339" s="118" t="str">
        <f>IF(
  O339&lt;&gt;"DEVOLUCION",
  "",
  IF(
    T339="",
    "",
    SUMIF(DEVOLUCION!F:F, T339, DEVOLUCION!D:D)
  )
)
</f>
        <v/>
      </c>
      <c r="M339" s="118" t="s">
        <v>5877</v>
      </c>
      <c r="N339" s="169" t="s">
        <v>6846</v>
      </c>
      <c r="O339" s="118" t="str">
        <f t="array" ref="O339">IFERROR(
VLOOKUP(
TRIM(CLEAN(
INDEX(REPORTE_DROPI!K:K,
MATCH(T339, REPORTE_DROPI!B:B, 0)
))),
{
TRIM(CLEAN(MAPA_ESTADOS!A:A)) ,
MAPA_ESTADOS!B:B
},
2,
FALSE
),
"REVISAR"
)</f>
        <v>ENTREGADO</v>
      </c>
      <c r="P339" s="154" t="s">
        <v>5692</v>
      </c>
      <c r="Q339" s="153">
        <f t="shared" si="1"/>
        <v>0</v>
      </c>
      <c r="R339" s="172"/>
      <c r="S339" s="172"/>
      <c r="T339" s="118">
        <f t="array" ref="T339">IFERROR(
INDEX(REPORTE_DROPI!B:B,
MATCH(
CLEAN(TRIM(C339)),
CLEAN(TRIM(REPORTE_DROPI!E:E)),
0
)
),
""
)
</f>
        <v>4492364</v>
      </c>
      <c r="U339" s="169" t="s">
        <v>6847</v>
      </c>
      <c r="V339" s="166"/>
      <c r="W339" s="18"/>
      <c r="X339" s="18"/>
      <c r="Y339" s="18"/>
      <c r="Z339" s="18"/>
    </row>
    <row r="340" ht="22.5" hidden="1" customHeight="1">
      <c r="A340" s="169">
        <v>339.0</v>
      </c>
      <c r="B340" s="170">
        <v>46065.0</v>
      </c>
      <c r="C340" s="154" t="s">
        <v>6848</v>
      </c>
      <c r="D340" s="118" t="str">
        <f>IFERROR(__xludf.DUMMYFUNCTION("IFERROR( INDEX( FILTER( 'NOMBRE DE PRODUCTOS'!B:B, REGEXMATCH( UPPER( INDEX( REPORTE_DROPI!AC:AC, MATCH(T340, REPORTE_DROPI!B:B, 0) ) ), UPPER('NOMBRE DE PRODUCTOS'!A:A) ) ), 1 ), ""REVISAR"" )"),"Cuchillo Tazaki™")</f>
        <v>Cuchillo Tazaki™</v>
      </c>
      <c r="E340" s="120" t="str">
        <f t="array" ref="E340">IF(
UPPER(TRIM(CLEAN($O340)))="ENTREGADO",
IFERROR(
INDEX(REPORTE_DROPI!Y:Y,
MATCH($T340, REPORTE_DROPI!B:B, 0)
),
""
),
""
)
</f>
        <v/>
      </c>
      <c r="F340" s="171">
        <v>3.0</v>
      </c>
      <c r="G340" s="122" t="str">
        <f t="array" ref="G340">IF(
UPPER(TRIM(CLEAN($O340)))="ENTREGADO",
IFERROR(
INDEX(REPORTE_DROPI!R:R,
MATCH($T340, REPORTE_DROPI!B:B, 0)
),
""
),
""
)
</f>
        <v/>
      </c>
      <c r="H340" s="118" t="s">
        <v>3727</v>
      </c>
      <c r="I340" s="154" t="s">
        <v>3969</v>
      </c>
      <c r="J340" s="121" t="str">
        <f t="array" ref="J340">IF(
UPPER(TRIM(CLEAN($O340)))="ENTREGADO",
IFERROR(
INDEX(REPORTE_DROPI!T:T,
MATCH($T340, REPORTE_DROPI!B:B, 0)
),
""
),
""
)
</f>
        <v/>
      </c>
      <c r="K340" s="118" t="str">
        <f t="array" ref="K340">IFERROR(
INDEX(REPORTE_DROPI!S:S,
MATCH($T340, REPORTE_DROPI!B:B, 0)
),
""
)</f>
        <v/>
      </c>
      <c r="L340" s="118" t="str">
        <f>IF(
  O340&lt;&gt;"DEVOLUCION",
  "",
  IF(
    T340="",
    "",
    SUMIF(DEVOLUCION!F:F, T340, DEVOLUCION!D:D)
  )
)
</f>
        <v/>
      </c>
      <c r="M340" s="118" t="s">
        <v>5877</v>
      </c>
      <c r="N340" s="169" t="s">
        <v>6849</v>
      </c>
      <c r="O340" s="118" t="str">
        <f t="array" ref="O340">IFERROR(
VLOOKUP(
TRIM(CLEAN(
INDEX(REPORTE_DROPI!K:K,
MATCH(T340, REPORTE_DROPI!B:B, 0)
))),
{
TRIM(CLEAN(MAPA_ESTADOS!A:A)) ,
MAPA_ESTADOS!B:B
},
2,
FALSE
),
"REVISAR"
)</f>
        <v>PENDIENTE</v>
      </c>
      <c r="P340" s="154" t="s">
        <v>6850</v>
      </c>
      <c r="Q340" s="153">
        <f t="shared" si="1"/>
        <v>0</v>
      </c>
      <c r="R340" s="172"/>
      <c r="S340" s="172"/>
      <c r="T340" s="118">
        <f t="array" ref="T340">IFERROR(
INDEX(REPORTE_DROPI!B:B,
MATCH(
CLEAN(TRIM(C340)),
CLEAN(TRIM(REPORTE_DROPI!E:E)),
0
)
),
""
)
</f>
        <v>4492585</v>
      </c>
      <c r="U340" s="169" t="s">
        <v>6851</v>
      </c>
      <c r="V340" s="166"/>
      <c r="W340" s="18"/>
      <c r="X340" s="18"/>
      <c r="Y340" s="18"/>
      <c r="Z340" s="18"/>
    </row>
    <row r="341" ht="22.5" hidden="1" customHeight="1">
      <c r="A341" s="169">
        <v>340.0</v>
      </c>
      <c r="B341" s="170">
        <v>46065.0</v>
      </c>
      <c r="C341" s="154" t="s">
        <v>6852</v>
      </c>
      <c r="D341" s="118" t="str">
        <f>IFERROR(__xludf.DUMMYFUNCTION("IFERROR( INDEX( FILTER( 'NOMBRE DE PRODUCTOS'!B:B, REGEXMATCH( UPPER( INDEX( REPORTE_DROPI!AC:AC, MATCH(T341, REPORTE_DROPI!B:B, 0) ) ), UPPER('NOMBRE DE PRODUCTOS'!A:A) ) ), 1 ), ""REVISAR"" )"),"Cuchillo Tazaki™")</f>
        <v>Cuchillo Tazaki™</v>
      </c>
      <c r="E341" s="120">
        <f t="array" ref="E341">IF(
UPPER(TRIM(CLEAN($O341)))="ENTREGADO",
IFERROR(
INDEX(REPORTE_DROPI!Y:Y,
MATCH($T341, REPORTE_DROPI!B:B, 0)
),
""
),
""
)
</f>
        <v>10.4</v>
      </c>
      <c r="F341" s="171">
        <v>4.0</v>
      </c>
      <c r="G341" s="122">
        <f t="array" ref="G341">IF(
UPPER(TRIM(CLEAN($O341)))="ENTREGADO",
IFERROR(
INDEX(REPORTE_DROPI!R:R,
MATCH($T341, REPORTE_DROPI!B:B, 0)
),
""
),
""
)
</f>
        <v>32</v>
      </c>
      <c r="H341" s="118" t="s">
        <v>3727</v>
      </c>
      <c r="I341" s="154" t="s">
        <v>3740</v>
      </c>
      <c r="J341" s="121">
        <f t="array" ref="J341">IF(
UPPER(TRIM(CLEAN($O341)))="ENTREGADO",
IFERROR(
INDEX(REPORTE_DROPI!T:T,
MATCH($T341, REPORTE_DROPI!B:B, 0)
),
""
),
""
)
</f>
        <v>4.63</v>
      </c>
      <c r="K341" s="118">
        <f t="array" ref="K341">IFERROR(
INDEX(REPORTE_DROPI!S:S,
MATCH($T341, REPORTE_DROPI!B:B, 0)
),
""
)</f>
        <v>16.97</v>
      </c>
      <c r="L341" s="118" t="str">
        <f>IF(
  O341&lt;&gt;"DEVOLUCION",
  "",
  IF(
    T341="",
    "",
    SUMIF(DEVOLUCION!F:F, T341, DEVOLUCION!D:D)
  )
)
</f>
        <v/>
      </c>
      <c r="M341" s="118" t="s">
        <v>5877</v>
      </c>
      <c r="N341" s="169" t="s">
        <v>6853</v>
      </c>
      <c r="O341" s="118" t="str">
        <f t="array" ref="O341">IFERROR(
VLOOKUP(
TRIM(CLEAN(
INDEX(REPORTE_DROPI!K:K,
MATCH(T341, REPORTE_DROPI!B:B, 0)
))),
{
TRIM(CLEAN(MAPA_ESTADOS!A:A)) ,
MAPA_ESTADOS!B:B
},
2,
FALSE
),
"REVISAR"
)</f>
        <v>ENTREGADO</v>
      </c>
      <c r="P341" s="154" t="s">
        <v>6854</v>
      </c>
      <c r="Q341" s="153">
        <f t="shared" si="1"/>
        <v>0</v>
      </c>
      <c r="R341" s="172"/>
      <c r="S341" s="172"/>
      <c r="T341" s="118">
        <f t="array" ref="T341">IFERROR(
INDEX(REPORTE_DROPI!B:B,
MATCH(
CLEAN(TRIM(C341)),
CLEAN(TRIM(REPORTE_DROPI!E:E)),
0
)
),
""
)
</f>
        <v>4492594</v>
      </c>
      <c r="U341" s="169" t="s">
        <v>6855</v>
      </c>
      <c r="V341" s="166"/>
      <c r="W341" s="18"/>
      <c r="X341" s="18"/>
      <c r="Y341" s="18"/>
      <c r="Z341" s="18"/>
    </row>
    <row r="342" ht="22.5" hidden="1" customHeight="1">
      <c r="A342" s="169">
        <v>341.0</v>
      </c>
      <c r="B342" s="170">
        <v>46065.0</v>
      </c>
      <c r="C342" s="154" t="s">
        <v>6856</v>
      </c>
      <c r="D342" s="118" t="str">
        <f>IFERROR(__xludf.DUMMYFUNCTION("IFERROR( INDEX( FILTER( 'NOMBRE DE PRODUCTOS'!B:B, REGEXMATCH( UPPER( INDEX( REPORTE_DROPI!AC:AC, MATCH(T342, REPORTE_DROPI!B:B, 0) ) ), UPPER('NOMBRE DE PRODUCTOS'!A:A) ) ), 1 ), ""REVISAR"" )"),"FilmPro®")</f>
        <v>FilmPro®</v>
      </c>
      <c r="E342" s="120" t="str">
        <f t="array" ref="E342">IF(
UPPER(TRIM(CLEAN($O342)))="ENTREGADO",
IFERROR(
INDEX(REPORTE_DROPI!Y:Y,
MATCH($T342, REPORTE_DROPI!B:B, 0)
),
""
),
""
)
</f>
        <v/>
      </c>
      <c r="F342" s="171">
        <v>3.0</v>
      </c>
      <c r="G342" s="122" t="str">
        <f t="array" ref="G342">IF(
UPPER(TRIM(CLEAN($O342)))="ENTREGADO",
IFERROR(
INDEX(REPORTE_DROPI!R:R,
MATCH($T342, REPORTE_DROPI!B:B, 0)
),
""
),
""
)
</f>
        <v/>
      </c>
      <c r="H342" s="118" t="s">
        <v>3727</v>
      </c>
      <c r="I342" s="154" t="s">
        <v>3801</v>
      </c>
      <c r="J342" s="121" t="str">
        <f t="array" ref="J342">IF(
UPPER(TRIM(CLEAN($O342)))="ENTREGADO",
IFERROR(
INDEX(REPORTE_DROPI!T:T,
MATCH($T342, REPORTE_DROPI!B:B, 0)
),
""
),
""
)
</f>
        <v/>
      </c>
      <c r="K342" s="118" t="str">
        <f t="array" ref="K342">IFERROR(
INDEX(REPORTE_DROPI!S:S,
MATCH($T342, REPORTE_DROPI!B:B, 0)
),
""
)</f>
        <v/>
      </c>
      <c r="L342" s="118" t="str">
        <f>IF(
  O342&lt;&gt;"DEVOLUCION",
  "",
  IF(
    T342="",
    "",
    SUMIF(DEVOLUCION!F:F, T342, DEVOLUCION!D:D)
  )
)
</f>
        <v/>
      </c>
      <c r="M342" s="118" t="s">
        <v>5877</v>
      </c>
      <c r="N342" s="169" t="s">
        <v>6857</v>
      </c>
      <c r="O342" s="118" t="str">
        <f t="array" ref="O342">IFERROR(
VLOOKUP(
TRIM(CLEAN(
INDEX(REPORTE_DROPI!K:K,
MATCH(T342, REPORTE_DROPI!B:B, 0)
))),
{
TRIM(CLEAN(MAPA_ESTADOS!A:A)) ,
MAPA_ESTADOS!B:B
},
2,
FALSE
),
"REVISAR"
)</f>
        <v>PENDIENTE</v>
      </c>
      <c r="P342" s="154" t="s">
        <v>6494</v>
      </c>
      <c r="Q342" s="153">
        <f t="shared" si="1"/>
        <v>0</v>
      </c>
      <c r="R342" s="172"/>
      <c r="S342" s="172"/>
      <c r="T342" s="118">
        <f t="array" ref="T342">IFERROR(
INDEX(REPORTE_DROPI!B:B,
MATCH(
CLEAN(TRIM(C342)),
CLEAN(TRIM(REPORTE_DROPI!E:E)),
0
)
),
""
)
</f>
        <v>4493142</v>
      </c>
      <c r="U342" s="169" t="s">
        <v>6858</v>
      </c>
      <c r="V342" s="166"/>
      <c r="W342" s="18"/>
      <c r="X342" s="18"/>
      <c r="Y342" s="18"/>
      <c r="Z342" s="18"/>
    </row>
    <row r="343" ht="22.5" hidden="1" customHeight="1">
      <c r="A343" s="169">
        <v>342.0</v>
      </c>
      <c r="B343" s="170">
        <v>46065.0</v>
      </c>
      <c r="C343" s="154" t="s">
        <v>6859</v>
      </c>
      <c r="D343" s="118" t="str">
        <f>IFERROR(__xludf.DUMMYFUNCTION("IFERROR( INDEX( FILTER( 'NOMBRE DE PRODUCTOS'!B:B, REGEXMATCH( UPPER( INDEX( REPORTE_DROPI!AC:AC, MATCH(T343, REPORTE_DROPI!B:B, 0) ) ), UPPER('NOMBRE DE PRODUCTOS'!A:A) ) ), 1 ), ""REVISAR"" )"),"Cuchillo Tazaki™")</f>
        <v>Cuchillo Tazaki™</v>
      </c>
      <c r="E343" s="120" t="str">
        <f t="array" ref="E343">IF(
UPPER(TRIM(CLEAN($O343)))="ENTREGADO",
IFERROR(
INDEX(REPORTE_DROPI!Y:Y,
MATCH($T343, REPORTE_DROPI!B:B, 0)
),
""
),
""
)
</f>
        <v/>
      </c>
      <c r="F343" s="171">
        <v>2.0</v>
      </c>
      <c r="G343" s="122" t="str">
        <f t="array" ref="G343">IF(
UPPER(TRIM(CLEAN($O343)))="ENTREGADO",
IFERROR(
INDEX(REPORTE_DROPI!R:R,
MATCH($T343, REPORTE_DROPI!B:B, 0)
),
""
),
""
)
</f>
        <v/>
      </c>
      <c r="H343" s="118" t="s">
        <v>3727</v>
      </c>
      <c r="I343" s="154" t="s">
        <v>3772</v>
      </c>
      <c r="J343" s="121" t="str">
        <f t="array" ref="J343">IF(
UPPER(TRIM(CLEAN($O343)))="ENTREGADO",
IFERROR(
INDEX(REPORTE_DROPI!T:T,
MATCH($T343, REPORTE_DROPI!B:B, 0)
),
""
),
""
)
</f>
        <v/>
      </c>
      <c r="K343" s="118" t="str">
        <f t="array" ref="K343">IFERROR(
INDEX(REPORTE_DROPI!S:S,
MATCH($T343, REPORTE_DROPI!B:B, 0)
),
""
)</f>
        <v/>
      </c>
      <c r="L343" s="118" t="str">
        <f>IF(
  O343&lt;&gt;"DEVOLUCION",
  "",
  IF(
    T343="",
    "",
    SUMIF(DEVOLUCION!F:F, T343, DEVOLUCION!D:D)
  )
)
</f>
        <v/>
      </c>
      <c r="M343" s="118" t="s">
        <v>5877</v>
      </c>
      <c r="N343" s="169" t="s">
        <v>6860</v>
      </c>
      <c r="O343" s="118" t="str">
        <f t="array" ref="O343">IFERROR(
VLOOKUP(
TRIM(CLEAN(
INDEX(REPORTE_DROPI!K:K,
MATCH(T343, REPORTE_DROPI!B:B, 0)
))),
{
TRIM(CLEAN(MAPA_ESTADOS!A:A)) ,
MAPA_ESTADOS!B:B
},
2,
FALSE
),
"REVISAR"
)</f>
        <v>PENDIENTE</v>
      </c>
      <c r="P343" s="154" t="s">
        <v>5840</v>
      </c>
      <c r="Q343" s="153">
        <f t="shared" si="1"/>
        <v>0</v>
      </c>
      <c r="R343" s="172"/>
      <c r="S343" s="172"/>
      <c r="T343" s="118">
        <f t="array" ref="T343">IFERROR(
INDEX(REPORTE_DROPI!B:B,
MATCH(
CLEAN(TRIM(C343)),
CLEAN(TRIM(REPORTE_DROPI!E:E)),
0
)
),
""
)
</f>
        <v>4493589</v>
      </c>
      <c r="U343" s="169"/>
      <c r="V343" s="166"/>
      <c r="W343" s="18"/>
      <c r="X343" s="18"/>
      <c r="Y343" s="18"/>
      <c r="Z343" s="18"/>
    </row>
    <row r="344" ht="22.5" hidden="1" customHeight="1">
      <c r="A344" s="169">
        <v>343.0</v>
      </c>
      <c r="B344" s="170">
        <v>46065.0</v>
      </c>
      <c r="C344" s="154" t="s">
        <v>6861</v>
      </c>
      <c r="D344" s="118" t="str">
        <f>IFERROR(__xludf.DUMMYFUNCTION("IFERROR( INDEX( FILTER( 'NOMBRE DE PRODUCTOS'!B:B, REGEXMATCH( UPPER( INDEX( REPORTE_DROPI!AC:AC, MATCH(T344, REPORTE_DROPI!B:B, 0) ) ), UPPER('NOMBRE DE PRODUCTOS'!A:A) ) ), 1 ), ""REVISAR"" )"),"Cuchillo Tazaki™")</f>
        <v>Cuchillo Tazaki™</v>
      </c>
      <c r="E344" s="120" t="str">
        <f t="array" ref="E344">IF(
UPPER(TRIM(CLEAN($O344)))="ENTREGADO",
IFERROR(
INDEX(REPORTE_DROPI!Y:Y,
MATCH($T344, REPORTE_DROPI!B:B, 0)
),
""
),
""
)
</f>
        <v/>
      </c>
      <c r="F344" s="171">
        <v>2.0</v>
      </c>
      <c r="G344" s="122" t="str">
        <f t="array" ref="G344">IF(
UPPER(TRIM(CLEAN($O344)))="ENTREGADO",
IFERROR(
INDEX(REPORTE_DROPI!R:R,
MATCH($T344, REPORTE_DROPI!B:B, 0)
),
""
),
""
)
</f>
        <v/>
      </c>
      <c r="H344" s="118" t="s">
        <v>3727</v>
      </c>
      <c r="I344" s="154" t="s">
        <v>3789</v>
      </c>
      <c r="J344" s="121" t="str">
        <f t="array" ref="J344">IF(
UPPER(TRIM(CLEAN($O344)))="ENTREGADO",
IFERROR(
INDEX(REPORTE_DROPI!T:T,
MATCH($T344, REPORTE_DROPI!B:B, 0)
),
""
),
""
)
</f>
        <v/>
      </c>
      <c r="K344" s="118" t="str">
        <f t="array" ref="K344">IFERROR(
INDEX(REPORTE_DROPI!S:S,
MATCH($T344, REPORTE_DROPI!B:B, 0)
),
""
)</f>
        <v/>
      </c>
      <c r="L344" s="118" t="str">
        <f>IF(
  O344&lt;&gt;"DEVOLUCION",
  "",
  IF(
    T344="",
    "",
    SUMIF(DEVOLUCION!F:F, T344, DEVOLUCION!D:D)
  )
)
</f>
        <v/>
      </c>
      <c r="M344" s="118" t="s">
        <v>5877</v>
      </c>
      <c r="N344" s="169" t="s">
        <v>6862</v>
      </c>
      <c r="O344" s="118" t="str">
        <f t="array" ref="O344">IFERROR(
VLOOKUP(
TRIM(CLEAN(
INDEX(REPORTE_DROPI!K:K,
MATCH(T344, REPORTE_DROPI!B:B, 0)
))),
{
TRIM(CLEAN(MAPA_ESTADOS!A:A)) ,
MAPA_ESTADOS!B:B
},
2,
FALSE
),
"REVISAR"
)</f>
        <v>PENDIENTE</v>
      </c>
      <c r="P344" s="154" t="s">
        <v>6494</v>
      </c>
      <c r="Q344" s="153">
        <f t="shared" si="1"/>
        <v>0</v>
      </c>
      <c r="R344" s="172"/>
      <c r="S344" s="172"/>
      <c r="T344" s="118">
        <f t="array" ref="T344">IFERROR(
INDEX(REPORTE_DROPI!B:B,
MATCH(
CLEAN(TRIM(C344)),
CLEAN(TRIM(REPORTE_DROPI!E:E)),
0
)
),
""
)
</f>
        <v>4494048</v>
      </c>
      <c r="U344" s="169"/>
      <c r="V344" s="166"/>
      <c r="W344" s="18"/>
      <c r="X344" s="18"/>
      <c r="Y344" s="18"/>
      <c r="Z344" s="18"/>
    </row>
    <row r="345" ht="22.5" hidden="1" customHeight="1">
      <c r="A345" s="169">
        <v>344.0</v>
      </c>
      <c r="B345" s="170">
        <v>46065.0</v>
      </c>
      <c r="C345" s="154" t="s">
        <v>6863</v>
      </c>
      <c r="D345" s="118" t="str">
        <f>IFERROR(__xludf.DUMMYFUNCTION("IFERROR( INDEX( FILTER( 'NOMBRE DE PRODUCTOS'!B:B, REGEXMATCH( UPPER( INDEX( REPORTE_DROPI!AC:AC, MATCH(T345, REPORTE_DROPI!B:B, 0) ) ), UPPER('NOMBRE DE PRODUCTOS'!A:A) ) ), 1 ), ""REVISAR"" )"),"FilmPro®")</f>
        <v>FilmPro®</v>
      </c>
      <c r="E345" s="120" t="str">
        <f t="array" ref="E345">IF(
UPPER(TRIM(CLEAN($O345)))="ENTREGADO",
IFERROR(
INDEX(REPORTE_DROPI!Y:Y,
MATCH($T345, REPORTE_DROPI!B:B, 0)
),
""
),
""
)
</f>
        <v/>
      </c>
      <c r="F345" s="171">
        <v>3.0</v>
      </c>
      <c r="G345" s="122" t="str">
        <f t="array" ref="G345">IF(
UPPER(TRIM(CLEAN($O345)))="ENTREGADO",
IFERROR(
INDEX(REPORTE_DROPI!R:R,
MATCH($T345, REPORTE_DROPI!B:B, 0)
),
""
),
""
)
</f>
        <v/>
      </c>
      <c r="H345" s="118" t="s">
        <v>3727</v>
      </c>
      <c r="I345" s="154" t="s">
        <v>3731</v>
      </c>
      <c r="J345" s="121" t="str">
        <f t="array" ref="J345">IF(
UPPER(TRIM(CLEAN($O345)))="ENTREGADO",
IFERROR(
INDEX(REPORTE_DROPI!T:T,
MATCH($T345, REPORTE_DROPI!B:B, 0)
),
""
),
""
)
</f>
        <v/>
      </c>
      <c r="K345" s="118" t="str">
        <f t="array" ref="K345">IFERROR(
INDEX(REPORTE_DROPI!S:S,
MATCH($T345, REPORTE_DROPI!B:B, 0)
),
""
)</f>
        <v/>
      </c>
      <c r="L345" s="118" t="str">
        <f>IF(
  O345&lt;&gt;"DEVOLUCION",
  "",
  IF(
    T345="",
    "",
    SUMIF(DEVOLUCION!F:F, T345, DEVOLUCION!D:D)
  )
)
</f>
        <v/>
      </c>
      <c r="M345" s="118" t="s">
        <v>5877</v>
      </c>
      <c r="N345" s="169" t="s">
        <v>6864</v>
      </c>
      <c r="O345" s="118" t="str">
        <f t="array" ref="O345">IFERROR(
VLOOKUP(
TRIM(CLEAN(
INDEX(REPORTE_DROPI!K:K,
MATCH(T345, REPORTE_DROPI!B:B, 0)
))),
{
TRIM(CLEAN(MAPA_ESTADOS!A:A)) ,
MAPA_ESTADOS!B:B
},
2,
FALSE
),
"REVISAR"
)</f>
        <v>PENDIENTE</v>
      </c>
      <c r="P345" s="154" t="s">
        <v>6494</v>
      </c>
      <c r="Q345" s="153">
        <f t="shared" si="1"/>
        <v>0</v>
      </c>
      <c r="R345" s="172"/>
      <c r="S345" s="172"/>
      <c r="T345" s="118">
        <f t="array" ref="T345">IFERROR(
INDEX(REPORTE_DROPI!B:B,
MATCH(
CLEAN(TRIM(C345)),
CLEAN(TRIM(REPORTE_DROPI!E:E)),
0
)
),
""
)
</f>
        <v>4494455</v>
      </c>
      <c r="U345" s="169" t="s">
        <v>6865</v>
      </c>
      <c r="V345" s="166"/>
      <c r="W345" s="18"/>
      <c r="X345" s="18"/>
      <c r="Y345" s="18"/>
      <c r="Z345" s="18"/>
    </row>
    <row r="346" ht="22.5" hidden="1" customHeight="1">
      <c r="A346" s="169">
        <v>345.0</v>
      </c>
      <c r="B346" s="170">
        <v>46065.0</v>
      </c>
      <c r="C346" s="154" t="s">
        <v>6866</v>
      </c>
      <c r="D346" s="118" t="str">
        <f>IFERROR(__xludf.DUMMYFUNCTION("IFERROR( INDEX( FILTER( 'NOMBRE DE PRODUCTOS'!B:B, REGEXMATCH( UPPER( INDEX( REPORTE_DROPI!AC:AC, MATCH(T346, REPORTE_DROPI!B:B, 0) ) ), UPPER('NOMBRE DE PRODUCTOS'!A:A) ) ), 1 ), ""REVISAR"" )"),"Cuchillo Tazaki™")</f>
        <v>Cuchillo Tazaki™</v>
      </c>
      <c r="E346" s="120" t="str">
        <f t="array" ref="E346">IF(
UPPER(TRIM(CLEAN($O346)))="ENTREGADO",
IFERROR(
INDEX(REPORTE_DROPI!Y:Y,
MATCH($T346, REPORTE_DROPI!B:B, 0)
),
""
),
""
)
</f>
        <v/>
      </c>
      <c r="F346" s="171">
        <v>2.0</v>
      </c>
      <c r="G346" s="122" t="str">
        <f t="array" ref="G346">IF(
UPPER(TRIM(CLEAN($O346)))="ENTREGADO",
IFERROR(
INDEX(REPORTE_DROPI!R:R,
MATCH($T346, REPORTE_DROPI!B:B, 0)
),
""
),
""
)
</f>
        <v/>
      </c>
      <c r="H346" s="118" t="s">
        <v>3727</v>
      </c>
      <c r="I346" s="154" t="s">
        <v>3728</v>
      </c>
      <c r="J346" s="121" t="str">
        <f t="array" ref="J346">IF(
UPPER(TRIM(CLEAN($O346)))="ENTREGADO",
IFERROR(
INDEX(REPORTE_DROPI!T:T,
MATCH($T346, REPORTE_DROPI!B:B, 0)
),
""
),
""
)
</f>
        <v/>
      </c>
      <c r="K346" s="118" t="str">
        <f t="array" ref="K346">IFERROR(
INDEX(REPORTE_DROPI!S:S,
MATCH($T346, REPORTE_DROPI!B:B, 0)
),
""
)</f>
        <v/>
      </c>
      <c r="L346" s="118">
        <f>IF(
  O346&lt;&gt;"DEVOLUCION",
  "",
  IF(
    T346="",
    "",
    SUMIF(DEVOLUCION!F:F, T346, DEVOLUCION!D:D)
  )
)
</f>
        <v>5.07</v>
      </c>
      <c r="M346" s="118" t="s">
        <v>5877</v>
      </c>
      <c r="N346" s="169" t="s">
        <v>6867</v>
      </c>
      <c r="O346" s="118" t="str">
        <f t="array" ref="O346">IFERROR(
VLOOKUP(
TRIM(CLEAN(
INDEX(REPORTE_DROPI!K:K,
MATCH(T346, REPORTE_DROPI!B:B, 0)
))),
{
TRIM(CLEAN(MAPA_ESTADOS!A:A)) ,
MAPA_ESTADOS!B:B
},
2,
FALSE
),
"REVISAR"
)</f>
        <v>DEVOLUCION</v>
      </c>
      <c r="P346" s="154" t="s">
        <v>5692</v>
      </c>
      <c r="Q346" s="153">
        <f t="shared" si="1"/>
        <v>0</v>
      </c>
      <c r="R346" s="172"/>
      <c r="S346" s="172"/>
      <c r="T346" s="118">
        <f t="array" ref="T346">IFERROR(
INDEX(REPORTE_DROPI!B:B,
MATCH(
CLEAN(TRIM(C346)),
CLEAN(TRIM(REPORTE_DROPI!E:E)),
0
)
),
""
)
</f>
        <v>4494540</v>
      </c>
      <c r="U346" s="169" t="s">
        <v>6868</v>
      </c>
      <c r="V346" s="166"/>
      <c r="W346" s="18"/>
      <c r="X346" s="18"/>
      <c r="Y346" s="18"/>
      <c r="Z346" s="18"/>
    </row>
    <row r="347" ht="22.5" hidden="1" customHeight="1">
      <c r="A347" s="169">
        <v>346.0</v>
      </c>
      <c r="B347" s="170">
        <v>46065.0</v>
      </c>
      <c r="C347" s="154" t="s">
        <v>6869</v>
      </c>
      <c r="D347" s="118" t="str">
        <f>IFERROR(__xludf.DUMMYFUNCTION("IFERROR( INDEX( FILTER( 'NOMBRE DE PRODUCTOS'!B:B, REGEXMATCH( UPPER( INDEX( REPORTE_DROPI!AC:AC, MATCH(T347, REPORTE_DROPI!B:B, 0) ) ), UPPER('NOMBRE DE PRODUCTOS'!A:A) ) ), 1 ), ""REVISAR"" )"),"FilmPro®")</f>
        <v>FilmPro®</v>
      </c>
      <c r="E347" s="120">
        <f t="array" ref="E347">IF(
UPPER(TRIM(CLEAN($O347)))="ENTREGADO",
IFERROR(
INDEX(REPORTE_DROPI!Y:Y,
MATCH($T347, REPORTE_DROPI!B:B, 0)
),
""
),
""
)
</f>
        <v>7.2</v>
      </c>
      <c r="F347" s="171">
        <v>3.0</v>
      </c>
      <c r="G347" s="122">
        <f t="array" ref="G347">IF(
UPPER(TRIM(CLEAN($O347)))="ENTREGADO",
IFERROR(
INDEX(REPORTE_DROPI!R:R,
MATCH($T347, REPORTE_DROPI!B:B, 0)
),
""
),
""
)
</f>
        <v>30</v>
      </c>
      <c r="H347" s="118" t="s">
        <v>3727</v>
      </c>
      <c r="I347" s="154" t="s">
        <v>3740</v>
      </c>
      <c r="J347" s="121">
        <f t="array" ref="J347">IF(
UPPER(TRIM(CLEAN($O347)))="ENTREGADO",
IFERROR(
INDEX(REPORTE_DROPI!T:T,
MATCH($T347, REPORTE_DROPI!B:B, 0)
),
""
),
""
)
</f>
        <v>4.55</v>
      </c>
      <c r="K347" s="118">
        <f t="array" ref="K347">IFERROR(
INDEX(REPORTE_DROPI!S:S,
MATCH($T347, REPORTE_DROPI!B:B, 0)
),
""
)</f>
        <v>18.25</v>
      </c>
      <c r="L347" s="118" t="str">
        <f>IF(
  O347&lt;&gt;"DEVOLUCION",
  "",
  IF(
    T347="",
    "",
    SUMIF(DEVOLUCION!F:F, T347, DEVOLUCION!D:D)
  )
)
</f>
        <v/>
      </c>
      <c r="M347" s="118" t="s">
        <v>5877</v>
      </c>
      <c r="N347" s="169" t="s">
        <v>6870</v>
      </c>
      <c r="O347" s="118" t="str">
        <f t="array" ref="O347">IFERROR(
VLOOKUP(
TRIM(CLEAN(
INDEX(REPORTE_DROPI!K:K,
MATCH(T347, REPORTE_DROPI!B:B, 0)
))),
{
TRIM(CLEAN(MAPA_ESTADOS!A:A)) ,
MAPA_ESTADOS!B:B
},
2,
FALSE
),
"REVISAR"
)</f>
        <v>ENTREGADO</v>
      </c>
      <c r="P347" s="154" t="s">
        <v>5692</v>
      </c>
      <c r="Q347" s="153">
        <f t="shared" si="1"/>
        <v>0</v>
      </c>
      <c r="R347" s="172"/>
      <c r="S347" s="172"/>
      <c r="T347" s="118">
        <f t="array" ref="T347">IFERROR(
INDEX(REPORTE_DROPI!B:B,
MATCH(
CLEAN(TRIM(C347)),
CLEAN(TRIM(REPORTE_DROPI!E:E)),
0
)
),
""
)
</f>
        <v>4494573</v>
      </c>
      <c r="U347" s="169" t="s">
        <v>6871</v>
      </c>
      <c r="V347" s="166"/>
      <c r="W347" s="18"/>
      <c r="X347" s="18"/>
      <c r="Y347" s="18"/>
      <c r="Z347" s="18"/>
    </row>
    <row r="348" ht="22.5" hidden="1" customHeight="1">
      <c r="A348" s="169">
        <v>347.0</v>
      </c>
      <c r="B348" s="170">
        <v>46065.0</v>
      </c>
      <c r="C348" s="154" t="s">
        <v>6872</v>
      </c>
      <c r="D348" s="118" t="str">
        <f>IFERROR(__xludf.DUMMYFUNCTION("IFERROR( INDEX( FILTER( 'NOMBRE DE PRODUCTOS'!B:B, REGEXMATCH( UPPER( INDEX( REPORTE_DROPI!AC:AC, MATCH(T348, REPORTE_DROPI!B:B, 0) ) ), UPPER('NOMBRE DE PRODUCTOS'!A:A) ) ), 1 ), ""REVISAR"" )"),"Cuchillo Tazaki™")</f>
        <v>Cuchillo Tazaki™</v>
      </c>
      <c r="E348" s="120" t="str">
        <f t="array" ref="E348">IF(
UPPER(TRIM(CLEAN($O348)))="ENTREGADO",
IFERROR(
INDEX(REPORTE_DROPI!Y:Y,
MATCH($T348, REPORTE_DROPI!B:B, 0)
),
""
),
""
)
</f>
        <v/>
      </c>
      <c r="F348" s="171">
        <v>2.0</v>
      </c>
      <c r="G348" s="122" t="str">
        <f t="array" ref="G348">IF(
UPPER(TRIM(CLEAN($O348)))="ENTREGADO",
IFERROR(
INDEX(REPORTE_DROPI!R:R,
MATCH($T348, REPORTE_DROPI!B:B, 0)
),
""
),
""
)
</f>
        <v/>
      </c>
      <c r="H348" s="118" t="s">
        <v>3727</v>
      </c>
      <c r="I348" s="154" t="s">
        <v>3735</v>
      </c>
      <c r="J348" s="121" t="str">
        <f t="array" ref="J348">IF(
UPPER(TRIM(CLEAN($O348)))="ENTREGADO",
IFERROR(
INDEX(REPORTE_DROPI!T:T,
MATCH($T348, REPORTE_DROPI!B:B, 0)
),
""
),
""
)
</f>
        <v/>
      </c>
      <c r="K348" s="118" t="str">
        <f t="array" ref="K348">IFERROR(
INDEX(REPORTE_DROPI!S:S,
MATCH($T348, REPORTE_DROPI!B:B, 0)
),
""
)</f>
        <v/>
      </c>
      <c r="L348" s="118" t="str">
        <f>IF(
  O348&lt;&gt;"DEVOLUCION",
  "",
  IF(
    T348="",
    "",
    SUMIF(DEVOLUCION!F:F, T348, DEVOLUCION!D:D)
  )
)
</f>
        <v/>
      </c>
      <c r="M348" s="118" t="s">
        <v>5877</v>
      </c>
      <c r="N348" s="169" t="s">
        <v>6873</v>
      </c>
      <c r="O348" s="118" t="str">
        <f t="array" ref="O348">IFERROR(
VLOOKUP(
TRIM(CLEAN(
INDEX(REPORTE_DROPI!K:K,
MATCH(T348, REPORTE_DROPI!B:B, 0)
))),
{
TRIM(CLEAN(MAPA_ESTADOS!A:A)) ,
MAPA_ESTADOS!B:B
},
2,
FALSE
),
"REVISAR"
)</f>
        <v>PENDIENTE</v>
      </c>
      <c r="P348" s="154" t="s">
        <v>5840</v>
      </c>
      <c r="Q348" s="153">
        <f t="shared" si="1"/>
        <v>0</v>
      </c>
      <c r="R348" s="172"/>
      <c r="S348" s="172"/>
      <c r="T348" s="118">
        <f t="array" ref="T348">IFERROR(
INDEX(REPORTE_DROPI!B:B,
MATCH(
CLEAN(TRIM(C348)),
CLEAN(TRIM(REPORTE_DROPI!E:E)),
0
)
),
""
)
</f>
        <v>4494577</v>
      </c>
      <c r="U348" s="169" t="s">
        <v>6874</v>
      </c>
      <c r="V348" s="166"/>
      <c r="W348" s="18"/>
      <c r="X348" s="18"/>
      <c r="Y348" s="18"/>
      <c r="Z348" s="18"/>
    </row>
    <row r="349" ht="22.5" hidden="1" customHeight="1">
      <c r="A349" s="169">
        <v>348.0</v>
      </c>
      <c r="B349" s="170">
        <v>46065.0</v>
      </c>
      <c r="C349" s="154" t="s">
        <v>6875</v>
      </c>
      <c r="D349" s="118" t="str">
        <f>IFERROR(__xludf.DUMMYFUNCTION("IFERROR( INDEX( FILTER( 'NOMBRE DE PRODUCTOS'!B:B, REGEXMATCH( UPPER( INDEX( REPORTE_DROPI!AC:AC, MATCH(T349, REPORTE_DROPI!B:B, 0) ) ), UPPER('NOMBRE DE PRODUCTOS'!A:A) ) ), 1 ), ""REVISAR"" )"),"Cuchillo Tazaki™")</f>
        <v>Cuchillo Tazaki™</v>
      </c>
      <c r="E349" s="120">
        <f t="array" ref="E349">IF(
UPPER(TRIM(CLEAN($O349)))="ENTREGADO",
IFERROR(
INDEX(REPORTE_DROPI!Y:Y,
MATCH($T349, REPORTE_DROPI!B:B, 0)
),
""
),
""
)
</f>
        <v>5.2</v>
      </c>
      <c r="F349" s="171">
        <v>2.0</v>
      </c>
      <c r="G349" s="122">
        <f t="array" ref="G349">IF(
UPPER(TRIM(CLEAN($O349)))="ENTREGADO",
IFERROR(
INDEX(REPORTE_DROPI!R:R,
MATCH($T349, REPORTE_DROPI!B:B, 0)
),
""
),
""
)
</f>
        <v>22</v>
      </c>
      <c r="H349" s="118" t="s">
        <v>3727</v>
      </c>
      <c r="I349" s="154" t="s">
        <v>3728</v>
      </c>
      <c r="J349" s="121">
        <f t="array" ref="J349">IF(
UPPER(TRIM(CLEAN($O349)))="ENTREGADO",
IFERROR(
INDEX(REPORTE_DROPI!T:T,
MATCH($T349, REPORTE_DROPI!B:B, 0)
),
""
),
""
)
</f>
        <v>5.84</v>
      </c>
      <c r="K349" s="118">
        <f t="array" ref="K349">IFERROR(
INDEX(REPORTE_DROPI!S:S,
MATCH($T349, REPORTE_DROPI!B:B, 0)
),
""
)</f>
        <v>10.96</v>
      </c>
      <c r="L349" s="118" t="str">
        <f>IF(
  O349&lt;&gt;"DEVOLUCION",
  "",
  IF(
    T349="",
    "",
    SUMIF(DEVOLUCION!F:F, T349, DEVOLUCION!D:D)
  )
)
</f>
        <v/>
      </c>
      <c r="M349" s="118" t="s">
        <v>5877</v>
      </c>
      <c r="N349" s="169" t="s">
        <v>6876</v>
      </c>
      <c r="O349" s="118" t="str">
        <f t="array" ref="O349">IFERROR(
VLOOKUP(
TRIM(CLEAN(
INDEX(REPORTE_DROPI!K:K,
MATCH(T349, REPORTE_DROPI!B:B, 0)
))),
{
TRIM(CLEAN(MAPA_ESTADOS!A:A)) ,
MAPA_ESTADOS!B:B
},
2,
FALSE
),
"REVISAR"
)</f>
        <v>ENTREGADO</v>
      </c>
      <c r="P349" s="154" t="s">
        <v>5692</v>
      </c>
      <c r="Q349" s="153">
        <f t="shared" si="1"/>
        <v>0</v>
      </c>
      <c r="R349" s="172"/>
      <c r="S349" s="172"/>
      <c r="T349" s="118">
        <f t="array" ref="T349">IFERROR(
INDEX(REPORTE_DROPI!B:B,
MATCH(
CLEAN(TRIM(C349)),
CLEAN(TRIM(REPORTE_DROPI!E:E)),
0
)
),
""
)
</f>
        <v>4494772</v>
      </c>
      <c r="U349" s="169" t="s">
        <v>6877</v>
      </c>
      <c r="V349" s="166"/>
      <c r="W349" s="18"/>
      <c r="X349" s="18"/>
      <c r="Y349" s="18"/>
      <c r="Z349" s="18"/>
    </row>
    <row r="350" ht="22.5" hidden="1" customHeight="1">
      <c r="A350" s="169">
        <v>349.0</v>
      </c>
      <c r="B350" s="170">
        <v>46065.0</v>
      </c>
      <c r="C350" s="154" t="s">
        <v>6878</v>
      </c>
      <c r="D350" s="118" t="str">
        <f>IFERROR(__xludf.DUMMYFUNCTION("IFERROR( INDEX( FILTER( 'NOMBRE DE PRODUCTOS'!B:B, REGEXMATCH( UPPER( INDEX( REPORTE_DROPI!AC:AC, MATCH(T350, REPORTE_DROPI!B:B, 0) ) ), UPPER('NOMBRE DE PRODUCTOS'!A:A) ) ), 1 ), ""REVISAR"" )"),"FilmPro®")</f>
        <v>FilmPro®</v>
      </c>
      <c r="E350" s="120">
        <f t="array" ref="E350">IF(
UPPER(TRIM(CLEAN($O350)))="ENTREGADO",
IFERROR(
INDEX(REPORTE_DROPI!Y:Y,
MATCH($T350, REPORTE_DROPI!B:B, 0)
),
""
),
""
)
</f>
        <v>2.4</v>
      </c>
      <c r="F350" s="171">
        <v>1.0</v>
      </c>
      <c r="G350" s="122">
        <f t="array" ref="G350">IF(
UPPER(TRIM(CLEAN($O350)))="ENTREGADO",
IFERROR(
INDEX(REPORTE_DROPI!R:R,
MATCH($T350, REPORTE_DROPI!B:B, 0)
),
""
),
""
)
</f>
        <v>20</v>
      </c>
      <c r="H350" s="118" t="s">
        <v>3727</v>
      </c>
      <c r="I350" s="154" t="s">
        <v>3740</v>
      </c>
      <c r="J350" s="121">
        <f t="array" ref="J350">IF(
UPPER(TRIM(CLEAN($O350)))="ENTREGADO",
IFERROR(
INDEX(REPORTE_DROPI!T:T,
MATCH($T350, REPORTE_DROPI!B:B, 0)
),
""
),
""
)
</f>
        <v>4.15</v>
      </c>
      <c r="K350" s="118">
        <f t="array" ref="K350">IFERROR(
INDEX(REPORTE_DROPI!S:S,
MATCH($T350, REPORTE_DROPI!B:B, 0)
),
""
)</f>
        <v>13.45</v>
      </c>
      <c r="L350" s="118" t="str">
        <f>IF(
  O350&lt;&gt;"DEVOLUCION",
  "",
  IF(
    T350="",
    "",
    SUMIF(DEVOLUCION!F:F, T350, DEVOLUCION!D:D)
  )
)
</f>
        <v/>
      </c>
      <c r="M350" s="118" t="s">
        <v>5877</v>
      </c>
      <c r="N350" s="169" t="s">
        <v>6879</v>
      </c>
      <c r="O350" s="118" t="str">
        <f t="array" ref="O350">IFERROR(
VLOOKUP(
TRIM(CLEAN(
INDEX(REPORTE_DROPI!K:K,
MATCH(T350, REPORTE_DROPI!B:B, 0)
))),
{
TRIM(CLEAN(MAPA_ESTADOS!A:A)) ,
MAPA_ESTADOS!B:B
},
2,
FALSE
),
"REVISAR"
)</f>
        <v>ENTREGADO</v>
      </c>
      <c r="P350" s="154" t="s">
        <v>5692</v>
      </c>
      <c r="Q350" s="153">
        <f t="shared" si="1"/>
        <v>0</v>
      </c>
      <c r="R350" s="172"/>
      <c r="S350" s="172"/>
      <c r="T350" s="118">
        <f t="array" ref="T350">IFERROR(
INDEX(REPORTE_DROPI!B:B,
MATCH(
CLEAN(TRIM(C350)),
CLEAN(TRIM(REPORTE_DROPI!E:E)),
0
)
),
""
)
</f>
        <v>4496389</v>
      </c>
      <c r="U350" s="169" t="s">
        <v>6880</v>
      </c>
      <c r="V350" s="166"/>
      <c r="W350" s="18"/>
      <c r="X350" s="18"/>
      <c r="Y350" s="18"/>
      <c r="Z350" s="18"/>
    </row>
    <row r="351" ht="22.5" hidden="1" customHeight="1">
      <c r="A351" s="169">
        <v>350.0</v>
      </c>
      <c r="B351" s="170">
        <v>46065.0</v>
      </c>
      <c r="C351" s="154" t="s">
        <v>6881</v>
      </c>
      <c r="D351" s="118" t="str">
        <f>IFERROR(__xludf.DUMMYFUNCTION("IFERROR( INDEX( FILTER( 'NOMBRE DE PRODUCTOS'!B:B, REGEXMATCH( UPPER( INDEX( REPORTE_DROPI!AC:AC, MATCH(T351, REPORTE_DROPI!B:B, 0) ) ), UPPER('NOMBRE DE PRODUCTOS'!A:A) ) ), 1 ), ""REVISAR"" )"),"Cuchillo Tazaki™")</f>
        <v>Cuchillo Tazaki™</v>
      </c>
      <c r="E351" s="120" t="str">
        <f t="array" ref="E351">IF(
UPPER(TRIM(CLEAN($O351)))="ENTREGADO",
IFERROR(
INDEX(REPORTE_DROPI!Y:Y,
MATCH($T351, REPORTE_DROPI!B:B, 0)
),
""
),
""
)
</f>
        <v/>
      </c>
      <c r="F351" s="171">
        <v>2.0</v>
      </c>
      <c r="G351" s="122" t="str">
        <f t="array" ref="G351">IF(
UPPER(TRIM(CLEAN($O351)))="ENTREGADO",
IFERROR(
INDEX(REPORTE_DROPI!R:R,
MATCH($T351, REPORTE_DROPI!B:B, 0)
),
""
),
""
)
</f>
        <v/>
      </c>
      <c r="H351" s="118" t="s">
        <v>3727</v>
      </c>
      <c r="I351" s="154" t="s">
        <v>3731</v>
      </c>
      <c r="J351" s="121" t="str">
        <f t="array" ref="J351">IF(
UPPER(TRIM(CLEAN($O351)))="ENTREGADO",
IFERROR(
INDEX(REPORTE_DROPI!T:T,
MATCH($T351, REPORTE_DROPI!B:B, 0)
),
""
),
""
)
</f>
        <v/>
      </c>
      <c r="K351" s="118" t="str">
        <f t="array" ref="K351">IFERROR(
INDEX(REPORTE_DROPI!S:S,
MATCH($T351, REPORTE_DROPI!B:B, 0)
),
""
)</f>
        <v/>
      </c>
      <c r="L351" s="118" t="str">
        <f>IF(
  O351&lt;&gt;"DEVOLUCION",
  "",
  IF(
    T351="",
    "",
    SUMIF(DEVOLUCION!F:F, T351, DEVOLUCION!D:D)
  )
)
</f>
        <v/>
      </c>
      <c r="M351" s="118" t="s">
        <v>5877</v>
      </c>
      <c r="N351" s="169" t="s">
        <v>6882</v>
      </c>
      <c r="O351" s="118" t="str">
        <f t="array" ref="O351">IFERROR(
VLOOKUP(
TRIM(CLEAN(
INDEX(REPORTE_DROPI!K:K,
MATCH(T351, REPORTE_DROPI!B:B, 0)
))),
{
TRIM(CLEAN(MAPA_ESTADOS!A:A)) ,
MAPA_ESTADOS!B:B
},
2,
FALSE
),
"REVISAR"
)</f>
        <v>PENDIENTE</v>
      </c>
      <c r="P351" s="154" t="s">
        <v>6295</v>
      </c>
      <c r="Q351" s="153">
        <f t="shared" si="1"/>
        <v>0</v>
      </c>
      <c r="R351" s="172"/>
      <c r="S351" s="172"/>
      <c r="T351" s="118">
        <f t="array" ref="T351">IFERROR(
INDEX(REPORTE_DROPI!B:B,
MATCH(
CLEAN(TRIM(C351)),
CLEAN(TRIM(REPORTE_DROPI!E:E)),
0
)
),
""
)
</f>
        <v>4523232</v>
      </c>
      <c r="U351" s="169" t="s">
        <v>6883</v>
      </c>
      <c r="V351" s="166"/>
      <c r="W351" s="18"/>
      <c r="X351" s="18"/>
      <c r="Y351" s="18"/>
      <c r="Z351" s="18"/>
    </row>
    <row r="352" ht="22.5" hidden="1" customHeight="1">
      <c r="A352" s="169">
        <v>351.0</v>
      </c>
      <c r="B352" s="170">
        <v>46066.0</v>
      </c>
      <c r="C352" s="154" t="s">
        <v>6884</v>
      </c>
      <c r="D352" s="118" t="str">
        <f>IFERROR(__xludf.DUMMYFUNCTION("IFERROR( INDEX( FILTER( 'NOMBRE DE PRODUCTOS'!B:B, REGEXMATCH( UPPER( INDEX( REPORTE_DROPI!AC:AC, MATCH(T352, REPORTE_DROPI!B:B, 0) ) ), UPPER('NOMBRE DE PRODUCTOS'!A:A) ) ), 1 ), ""REVISAR"" )"),"Cuchillo Tazaki™")</f>
        <v>Cuchillo Tazaki™</v>
      </c>
      <c r="E352" s="120">
        <f t="array" ref="E352">IF(
UPPER(TRIM(CLEAN($O352)))="ENTREGADO",
IFERROR(
INDEX(REPORTE_DROPI!Y:Y,
MATCH($T352, REPORTE_DROPI!B:B, 0)
),
""
),
""
)
</f>
        <v>7.8</v>
      </c>
      <c r="F352" s="171">
        <v>3.0</v>
      </c>
      <c r="G352" s="122">
        <f t="array" ref="G352">IF(
UPPER(TRIM(CLEAN($O352)))="ENTREGADO",
IFERROR(
INDEX(REPORTE_DROPI!R:R,
MATCH($T352, REPORTE_DROPI!B:B, 0)
),
""
),
""
)
</f>
        <v>27</v>
      </c>
      <c r="H352" s="118" t="s">
        <v>3727</v>
      </c>
      <c r="I352" s="154" t="s">
        <v>3742</v>
      </c>
      <c r="J352" s="121">
        <f t="array" ref="J352">IF(
UPPER(TRIM(CLEAN($O352)))="ENTREGADO",
IFERROR(
INDEX(REPORTE_DROPI!T:T,
MATCH($T352, REPORTE_DROPI!B:B, 0)
),
""
),
""
)
</f>
        <v>6.03</v>
      </c>
      <c r="K352" s="118">
        <f t="array" ref="K352">IFERROR(
INDEX(REPORTE_DROPI!S:S,
MATCH($T352, REPORTE_DROPI!B:B, 0)
),
""
)</f>
        <v>13.17</v>
      </c>
      <c r="L352" s="118" t="str">
        <f>IF(
  O352&lt;&gt;"DEVOLUCION",
  "",
  IF(
    T352="",
    "",
    SUMIF(DEVOLUCION!F:F, T352, DEVOLUCION!D:D)
  )
)
</f>
        <v/>
      </c>
      <c r="M352" s="118" t="s">
        <v>5877</v>
      </c>
      <c r="N352" s="169" t="s">
        <v>6885</v>
      </c>
      <c r="O352" s="118" t="str">
        <f t="array" ref="O352">IFERROR(
VLOOKUP(
TRIM(CLEAN(
INDEX(REPORTE_DROPI!K:K,
MATCH(T352, REPORTE_DROPI!B:B, 0)
))),
{
TRIM(CLEAN(MAPA_ESTADOS!A:A)) ,
MAPA_ESTADOS!B:B
},
2,
FALSE
),
"REVISAR"
)</f>
        <v>ENTREGADO</v>
      </c>
      <c r="P352" s="154" t="s">
        <v>5692</v>
      </c>
      <c r="Q352" s="153">
        <f t="shared" si="1"/>
        <v>0</v>
      </c>
      <c r="R352" s="172"/>
      <c r="S352" s="172"/>
      <c r="T352" s="118">
        <f t="array" ref="T352">IFERROR(
INDEX(REPORTE_DROPI!B:B,
MATCH(
CLEAN(TRIM(C352)),
CLEAN(TRIM(REPORTE_DROPI!E:E)),
0
)
),
""
)
</f>
        <v>4496692</v>
      </c>
      <c r="U352" s="169" t="s">
        <v>6886</v>
      </c>
      <c r="V352" s="166"/>
      <c r="W352" s="18"/>
      <c r="X352" s="18"/>
      <c r="Y352" s="18"/>
      <c r="Z352" s="18"/>
    </row>
    <row r="353" ht="22.5" hidden="1" customHeight="1">
      <c r="A353" s="169">
        <v>352.0</v>
      </c>
      <c r="B353" s="170">
        <v>46066.0</v>
      </c>
      <c r="C353" s="154" t="s">
        <v>6887</v>
      </c>
      <c r="D353" s="118" t="str">
        <f>IFERROR(__xludf.DUMMYFUNCTION("IFERROR( INDEX( FILTER( 'NOMBRE DE PRODUCTOS'!B:B, REGEXMATCH( UPPER( INDEX( REPORTE_DROPI!AC:AC, MATCH(T353, REPORTE_DROPI!B:B, 0) ) ), UPPER('NOMBRE DE PRODUCTOS'!A:A) ) ), 1 ), ""REVISAR"" )"),"FilmPro®")</f>
        <v>FilmPro®</v>
      </c>
      <c r="E353" s="120">
        <f t="array" ref="E353">IF(
UPPER(TRIM(CLEAN($O353)))="ENTREGADO",
IFERROR(
INDEX(REPORTE_DROPI!Y:Y,
MATCH($T353, REPORTE_DROPI!B:B, 0)
),
""
),
""
)
</f>
        <v>7.2</v>
      </c>
      <c r="F353" s="171">
        <v>3.0</v>
      </c>
      <c r="G353" s="122">
        <f t="array" ref="G353">IF(
UPPER(TRIM(CLEAN($O353)))="ENTREGADO",
IFERROR(
INDEX(REPORTE_DROPI!R:R,
MATCH($T353, REPORTE_DROPI!B:B, 0)
),
""
),
""
)
</f>
        <v>30</v>
      </c>
      <c r="H353" s="118" t="s">
        <v>3727</v>
      </c>
      <c r="I353" s="154" t="s">
        <v>3740</v>
      </c>
      <c r="J353" s="121">
        <f t="array" ref="J353">IF(
UPPER(TRIM(CLEAN($O353)))="ENTREGADO",
IFERROR(
INDEX(REPORTE_DROPI!T:T,
MATCH($T353, REPORTE_DROPI!B:B, 0)
),
""
),
""
)
</f>
        <v>7.48</v>
      </c>
      <c r="K353" s="118">
        <f t="array" ref="K353">IFERROR(
INDEX(REPORTE_DROPI!S:S,
MATCH($T353, REPORTE_DROPI!B:B, 0)
),
""
)</f>
        <v>15.32</v>
      </c>
      <c r="L353" s="118" t="str">
        <f>IF(
  O353&lt;&gt;"DEVOLUCION",
  "",
  IF(
    T353="",
    "",
    SUMIF(DEVOLUCION!F:F, T353, DEVOLUCION!D:D)
  )
)
</f>
        <v/>
      </c>
      <c r="M353" s="118" t="s">
        <v>5877</v>
      </c>
      <c r="N353" s="169" t="s">
        <v>6888</v>
      </c>
      <c r="O353" s="118" t="str">
        <f t="array" ref="O353">IFERROR(
VLOOKUP(
TRIM(CLEAN(
INDEX(REPORTE_DROPI!K:K,
MATCH(T353, REPORTE_DROPI!B:B, 0)
))),
{
TRIM(CLEAN(MAPA_ESTADOS!A:A)) ,
MAPA_ESTADOS!B:B
},
2,
FALSE
),
"REVISAR"
)</f>
        <v>ENTREGADO</v>
      </c>
      <c r="P353" s="154" t="s">
        <v>5692</v>
      </c>
      <c r="Q353" s="153">
        <f t="shared" si="1"/>
        <v>0</v>
      </c>
      <c r="R353" s="172"/>
      <c r="S353" s="172"/>
      <c r="T353" s="118">
        <f t="array" ref="T353">IFERROR(
INDEX(REPORTE_DROPI!B:B,
MATCH(
CLEAN(TRIM(C353)),
CLEAN(TRIM(REPORTE_DROPI!E:E)),
0
)
),
""
)
</f>
        <v>4497580</v>
      </c>
      <c r="U353" s="173">
        <v>1.57100104153E11</v>
      </c>
      <c r="V353" s="166"/>
      <c r="W353" s="18"/>
      <c r="X353" s="18"/>
      <c r="Y353" s="18"/>
      <c r="Z353" s="18"/>
    </row>
    <row r="354" ht="22.5" hidden="1" customHeight="1">
      <c r="A354" s="169">
        <v>353.0</v>
      </c>
      <c r="B354" s="170">
        <v>46066.0</v>
      </c>
      <c r="C354" s="154" t="s">
        <v>6889</v>
      </c>
      <c r="D354" s="118" t="str">
        <f>IFERROR(__xludf.DUMMYFUNCTION("IFERROR( INDEX( FILTER( 'NOMBRE DE PRODUCTOS'!B:B, REGEXMATCH( UPPER( INDEX( REPORTE_DROPI!AC:AC, MATCH(T354, REPORTE_DROPI!B:B, 0) ) ), UPPER('NOMBRE DE PRODUCTOS'!A:A) ) ), 1 ), ""REVISAR"" )"),"FilmPro®")</f>
        <v>FilmPro®</v>
      </c>
      <c r="E354" s="120">
        <f t="array" ref="E354">IF(
UPPER(TRIM(CLEAN($O354)))="ENTREGADO",
IFERROR(
INDEX(REPORTE_DROPI!Y:Y,
MATCH($T354, REPORTE_DROPI!B:B, 0)
),
""
),
""
)
</f>
        <v>4.8</v>
      </c>
      <c r="F354" s="171">
        <v>2.0</v>
      </c>
      <c r="G354" s="122">
        <f t="array" ref="G354">IF(
UPPER(TRIM(CLEAN($O354)))="ENTREGADO",
IFERROR(
INDEX(REPORTE_DROPI!R:R,
MATCH($T354, REPORTE_DROPI!B:B, 0)
),
""
),
""
)
</f>
        <v>25</v>
      </c>
      <c r="H354" s="118" t="s">
        <v>3727</v>
      </c>
      <c r="I354" s="154" t="s">
        <v>3731</v>
      </c>
      <c r="J354" s="121">
        <f t="array" ref="J354">IF(
UPPER(TRIM(CLEAN($O354)))="ENTREGADO",
IFERROR(
INDEX(REPORTE_DROPI!T:T,
MATCH($T354, REPORTE_DROPI!B:B, 0)
),
""
),
""
)
</f>
        <v>5.96</v>
      </c>
      <c r="K354" s="118">
        <f t="array" ref="K354">IFERROR(
INDEX(REPORTE_DROPI!S:S,
MATCH($T354, REPORTE_DROPI!B:B, 0)
),
""
)</f>
        <v>14.24</v>
      </c>
      <c r="L354" s="118" t="str">
        <f>IF(
  O354&lt;&gt;"DEVOLUCION",
  "",
  IF(
    T354="",
    "",
    SUMIF(DEVOLUCION!F:F, T354, DEVOLUCION!D:D)
  )
)
</f>
        <v/>
      </c>
      <c r="M354" s="118" t="s">
        <v>5877</v>
      </c>
      <c r="N354" s="169" t="s">
        <v>6890</v>
      </c>
      <c r="O354" s="118" t="str">
        <f t="array" ref="O354">IFERROR(
VLOOKUP(
TRIM(CLEAN(
INDEX(REPORTE_DROPI!K:K,
MATCH(T354, REPORTE_DROPI!B:B, 0)
))),
{
TRIM(CLEAN(MAPA_ESTADOS!A:A)) ,
MAPA_ESTADOS!B:B
},
2,
FALSE
),
"REVISAR"
)</f>
        <v>ENTREGADO</v>
      </c>
      <c r="P354" s="154" t="s">
        <v>5692</v>
      </c>
      <c r="Q354" s="153">
        <f t="shared" si="1"/>
        <v>0</v>
      </c>
      <c r="R354" s="172"/>
      <c r="S354" s="172"/>
      <c r="T354" s="118">
        <f t="array" ref="T354">IFERROR(
INDEX(REPORTE_DROPI!B:B,
MATCH(
CLEAN(TRIM(C354)),
CLEAN(TRIM(REPORTE_DROPI!E:E)),
0
)
),
""
)
</f>
        <v>4497583</v>
      </c>
      <c r="U354" s="169" t="s">
        <v>6891</v>
      </c>
      <c r="V354" s="166"/>
      <c r="W354" s="18"/>
      <c r="X354" s="18"/>
      <c r="Y354" s="18"/>
      <c r="Z354" s="18"/>
    </row>
    <row r="355" ht="22.5" hidden="1" customHeight="1">
      <c r="A355" s="169">
        <v>354.0</v>
      </c>
      <c r="B355" s="170">
        <v>46066.0</v>
      </c>
      <c r="C355" s="154" t="s">
        <v>6892</v>
      </c>
      <c r="D355" s="118" t="str">
        <f>IFERROR(__xludf.DUMMYFUNCTION("IFERROR( INDEX( FILTER( 'NOMBRE DE PRODUCTOS'!B:B, REGEXMATCH( UPPER( INDEX( REPORTE_DROPI!AC:AC, MATCH(T355, REPORTE_DROPI!B:B, 0) ) ), UPPER('NOMBRE DE PRODUCTOS'!A:A) ) ), 1 ), ""REVISAR"" )"),"Cuchillo Tazaki™")</f>
        <v>Cuchillo Tazaki™</v>
      </c>
      <c r="E355" s="120" t="str">
        <f t="array" ref="E355">IF(
UPPER(TRIM(CLEAN($O355)))="ENTREGADO",
IFERROR(
INDEX(REPORTE_DROPI!Y:Y,
MATCH($T355, REPORTE_DROPI!B:B, 0)
),
""
),
""
)
</f>
        <v/>
      </c>
      <c r="F355" s="171">
        <v>2.0</v>
      </c>
      <c r="G355" s="122" t="str">
        <f t="array" ref="G355">IF(
UPPER(TRIM(CLEAN($O355)))="ENTREGADO",
IFERROR(
INDEX(REPORTE_DROPI!R:R,
MATCH($T355, REPORTE_DROPI!B:B, 0)
),
""
),
""
)
</f>
        <v/>
      </c>
      <c r="H355" s="118" t="s">
        <v>3727</v>
      </c>
      <c r="I355" s="154" t="s">
        <v>3731</v>
      </c>
      <c r="J355" s="121" t="str">
        <f t="array" ref="J355">IF(
UPPER(TRIM(CLEAN($O355)))="ENTREGADO",
IFERROR(
INDEX(REPORTE_DROPI!T:T,
MATCH($T355, REPORTE_DROPI!B:B, 0)
),
""
),
""
)
</f>
        <v/>
      </c>
      <c r="K355" s="118" t="str">
        <f t="array" ref="K355">IFERROR(
INDEX(REPORTE_DROPI!S:S,
MATCH($T355, REPORTE_DROPI!B:B, 0)
),
""
)</f>
        <v/>
      </c>
      <c r="L355" s="118">
        <f>IF(
  O355&lt;&gt;"DEVOLUCION",
  "",
  IF(
    T355="",
    "",
    SUMIF(DEVOLUCION!F:F, T355, DEVOLUCION!D:D)
  )
)
</f>
        <v>0</v>
      </c>
      <c r="M355" s="118" t="s">
        <v>5877</v>
      </c>
      <c r="N355" s="169" t="s">
        <v>6893</v>
      </c>
      <c r="O355" s="118" t="str">
        <f t="array" ref="O355">IFERROR(
VLOOKUP(
TRIM(CLEAN(
INDEX(REPORTE_DROPI!K:K,
MATCH(T355, REPORTE_DROPI!B:B, 0)
))),
{
TRIM(CLEAN(MAPA_ESTADOS!A:A)) ,
MAPA_ESTADOS!B:B
},
2,
FALSE
),
"REVISAR"
)</f>
        <v>DEVOLUCION</v>
      </c>
      <c r="P355" s="154" t="s">
        <v>5692</v>
      </c>
      <c r="Q355" s="153">
        <f t="shared" si="1"/>
        <v>0</v>
      </c>
      <c r="R355" s="172"/>
      <c r="S355" s="172"/>
      <c r="T355" s="118">
        <f t="array" ref="T355">IFERROR(
INDEX(REPORTE_DROPI!B:B,
MATCH(
CLEAN(TRIM(C355)),
CLEAN(TRIM(REPORTE_DROPI!E:E)),
0
)
),
""
)
</f>
        <v>4497609</v>
      </c>
      <c r="U355" s="169" t="s">
        <v>6894</v>
      </c>
      <c r="V355" s="166"/>
      <c r="W355" s="18"/>
      <c r="X355" s="18"/>
      <c r="Y355" s="18"/>
      <c r="Z355" s="18"/>
    </row>
    <row r="356" ht="22.5" hidden="1" customHeight="1">
      <c r="A356" s="169">
        <v>355.0</v>
      </c>
      <c r="B356" s="170">
        <v>46066.0</v>
      </c>
      <c r="C356" s="154" t="s">
        <v>6895</v>
      </c>
      <c r="D356" s="118" t="str">
        <f>IFERROR(__xludf.DUMMYFUNCTION("IFERROR( INDEX( FILTER( 'NOMBRE DE PRODUCTOS'!B:B, REGEXMATCH( UPPER( INDEX( REPORTE_DROPI!AC:AC, MATCH(T356, REPORTE_DROPI!B:B, 0) ) ), UPPER('NOMBRE DE PRODUCTOS'!A:A) ) ), 1 ), ""REVISAR"" )"),"FilmPro®")</f>
        <v>FilmPro®</v>
      </c>
      <c r="E356" s="120" t="str">
        <f t="array" ref="E356">IF(
UPPER(TRIM(CLEAN($O356)))="ENTREGADO",
IFERROR(
INDEX(REPORTE_DROPI!Y:Y,
MATCH($T356, REPORTE_DROPI!B:B, 0)
),
""
),
""
)
</f>
        <v/>
      </c>
      <c r="F356" s="171">
        <v>2.0</v>
      </c>
      <c r="G356" s="122" t="str">
        <f t="array" ref="G356">IF(
UPPER(TRIM(CLEAN($O356)))="ENTREGADO",
IFERROR(
INDEX(REPORTE_DROPI!R:R,
MATCH($T356, REPORTE_DROPI!B:B, 0)
),
""
),
""
)
</f>
        <v/>
      </c>
      <c r="H356" s="118" t="s">
        <v>3727</v>
      </c>
      <c r="I356" s="154" t="s">
        <v>3728</v>
      </c>
      <c r="J356" s="121" t="str">
        <f t="array" ref="J356">IF(
UPPER(TRIM(CLEAN($O356)))="ENTREGADO",
IFERROR(
INDEX(REPORTE_DROPI!T:T,
MATCH($T356, REPORTE_DROPI!B:B, 0)
),
""
),
""
)
</f>
        <v/>
      </c>
      <c r="K356" s="118" t="str">
        <f t="array" ref="K356">IFERROR(
INDEX(REPORTE_DROPI!S:S,
MATCH($T356, REPORTE_DROPI!B:B, 0)
),
""
)</f>
        <v/>
      </c>
      <c r="L356" s="118" t="str">
        <f>IF(
  O356&lt;&gt;"DEVOLUCION",
  "",
  IF(
    T356="",
    "",
    SUMIF(DEVOLUCION!F:F, T356, DEVOLUCION!D:D)
  )
)
</f>
        <v/>
      </c>
      <c r="M356" s="118" t="s">
        <v>5877</v>
      </c>
      <c r="N356" s="169" t="s">
        <v>6896</v>
      </c>
      <c r="O356" s="118" t="str">
        <f t="array" ref="O356">IFERROR(
VLOOKUP(
TRIM(CLEAN(
INDEX(REPORTE_DROPI!K:K,
MATCH(T356, REPORTE_DROPI!B:B, 0)
))),
{
TRIM(CLEAN(MAPA_ESTADOS!A:A)) ,
MAPA_ESTADOS!B:B
},
2,
FALSE
),
"REVISAR"
)</f>
        <v>PENDIENTE</v>
      </c>
      <c r="P356" s="154" t="s">
        <v>6295</v>
      </c>
      <c r="Q356" s="153">
        <f t="shared" si="1"/>
        <v>0</v>
      </c>
      <c r="R356" s="172"/>
      <c r="S356" s="172"/>
      <c r="T356" s="118">
        <f t="array" ref="T356">IFERROR(
INDEX(REPORTE_DROPI!B:B,
MATCH(
CLEAN(TRIM(C356)),
CLEAN(TRIM(REPORTE_DROPI!E:E)),
0
)
),
""
)
</f>
        <v>4497704</v>
      </c>
      <c r="U356" s="169" t="s">
        <v>6897</v>
      </c>
      <c r="V356" s="166"/>
      <c r="W356" s="18"/>
      <c r="X356" s="18"/>
      <c r="Y356" s="18"/>
      <c r="Z356" s="18"/>
    </row>
    <row r="357" ht="22.5" hidden="1" customHeight="1">
      <c r="A357" s="169">
        <v>356.0</v>
      </c>
      <c r="B357" s="170">
        <v>46066.0</v>
      </c>
      <c r="C357" s="154" t="s">
        <v>6898</v>
      </c>
      <c r="D357" s="118" t="str">
        <f>IFERROR(__xludf.DUMMYFUNCTION("IFERROR( INDEX( FILTER( 'NOMBRE DE PRODUCTOS'!B:B, REGEXMATCH( UPPER( INDEX( REPORTE_DROPI!AC:AC, MATCH(T357, REPORTE_DROPI!B:B, 0) ) ), UPPER('NOMBRE DE PRODUCTOS'!A:A) ) ), 1 ), ""REVISAR"" )"),"Cuchillo Tazaki™")</f>
        <v>Cuchillo Tazaki™</v>
      </c>
      <c r="E357" s="120">
        <f t="array" ref="E357">IF(
UPPER(TRIM(CLEAN($O357)))="ENTREGADO",
IFERROR(
INDEX(REPORTE_DROPI!Y:Y,
MATCH($T357, REPORTE_DROPI!B:B, 0)
),
""
),
""
)
</f>
        <v>5.2</v>
      </c>
      <c r="F357" s="171">
        <v>2.0</v>
      </c>
      <c r="G357" s="122">
        <f t="array" ref="G357">IF(
UPPER(TRIM(CLEAN($O357)))="ENTREGADO",
IFERROR(
INDEX(REPORTE_DROPI!R:R,
MATCH($T357, REPORTE_DROPI!B:B, 0)
),
""
),
""
)
</f>
        <v>22</v>
      </c>
      <c r="H357" s="118" t="s">
        <v>3727</v>
      </c>
      <c r="I357" s="154" t="s">
        <v>3728</v>
      </c>
      <c r="J357" s="121">
        <f t="array" ref="J357">IF(
UPPER(TRIM(CLEAN($O357)))="ENTREGADO",
IFERROR(
INDEX(REPORTE_DROPI!T:T,
MATCH($T357, REPORTE_DROPI!B:B, 0)
),
""
),
""
)
</f>
        <v>5.84</v>
      </c>
      <c r="K357" s="118">
        <f t="array" ref="K357">IFERROR(
INDEX(REPORTE_DROPI!S:S,
MATCH($T357, REPORTE_DROPI!B:B, 0)
),
""
)</f>
        <v>10.96</v>
      </c>
      <c r="L357" s="118" t="str">
        <f>IF(
  O357&lt;&gt;"DEVOLUCION",
  "",
  IF(
    T357="",
    "",
    SUMIF(DEVOLUCION!F:F, T357, DEVOLUCION!D:D)
  )
)
</f>
        <v/>
      </c>
      <c r="M357" s="118" t="s">
        <v>5877</v>
      </c>
      <c r="N357" s="169" t="s">
        <v>6899</v>
      </c>
      <c r="O357" s="118" t="str">
        <f t="array" ref="O357">IFERROR(
VLOOKUP(
TRIM(CLEAN(
INDEX(REPORTE_DROPI!K:K,
MATCH(T357, REPORTE_DROPI!B:B, 0)
))),
{
TRIM(CLEAN(MAPA_ESTADOS!A:A)) ,
MAPA_ESTADOS!B:B
},
2,
FALSE
),
"REVISAR"
)</f>
        <v>ENTREGADO</v>
      </c>
      <c r="P357" s="154" t="s">
        <v>5692</v>
      </c>
      <c r="Q357" s="153">
        <f t="shared" si="1"/>
        <v>0</v>
      </c>
      <c r="R357" s="172"/>
      <c r="S357" s="172"/>
      <c r="T357" s="118">
        <f t="array" ref="T357">IFERROR(
INDEX(REPORTE_DROPI!B:B,
MATCH(
CLEAN(TRIM(C357)),
CLEAN(TRIM(REPORTE_DROPI!E:E)),
0
)
),
""
)
</f>
        <v>4497761</v>
      </c>
      <c r="U357" s="169" t="s">
        <v>6900</v>
      </c>
      <c r="V357" s="166"/>
      <c r="W357" s="18"/>
      <c r="X357" s="18"/>
      <c r="Y357" s="18"/>
      <c r="Z357" s="18"/>
    </row>
    <row r="358" ht="22.5" hidden="1" customHeight="1">
      <c r="A358" s="169">
        <v>357.0</v>
      </c>
      <c r="B358" s="170">
        <v>46066.0</v>
      </c>
      <c r="C358" s="154" t="s">
        <v>6901</v>
      </c>
      <c r="D358" s="118" t="str">
        <f>IFERROR(__xludf.DUMMYFUNCTION("IFERROR( INDEX( FILTER( 'NOMBRE DE PRODUCTOS'!B:B, REGEXMATCH( UPPER( INDEX( REPORTE_DROPI!AC:AC, MATCH(T358, REPORTE_DROPI!B:B, 0) ) ), UPPER('NOMBRE DE PRODUCTOS'!A:A) ) ), 1 ), ""REVISAR"" )"),"Cuchillo Tazaki™")</f>
        <v>Cuchillo Tazaki™</v>
      </c>
      <c r="E358" s="120">
        <f t="array" ref="E358">IF(
UPPER(TRIM(CLEAN($O358)))="ENTREGADO",
IFERROR(
INDEX(REPORTE_DROPI!Y:Y,
MATCH($T358, REPORTE_DROPI!B:B, 0)
),
""
),
""
)
</f>
        <v>7.8</v>
      </c>
      <c r="F358" s="171">
        <v>3.0</v>
      </c>
      <c r="G358" s="122">
        <f t="array" ref="G358">IF(
UPPER(TRIM(CLEAN($O358)))="ENTREGADO",
IFERROR(
INDEX(REPORTE_DROPI!R:R,
MATCH($T358, REPORTE_DROPI!B:B, 0)
),
""
),
""
)
</f>
        <v>27</v>
      </c>
      <c r="H358" s="118" t="s">
        <v>3727</v>
      </c>
      <c r="I358" s="154" t="s">
        <v>3728</v>
      </c>
      <c r="J358" s="121">
        <f t="array" ref="J358">IF(
UPPER(TRIM(CLEAN($O358)))="ENTREGADO",
IFERROR(
INDEX(REPORTE_DROPI!T:T,
MATCH($T358, REPORTE_DROPI!B:B, 0)
),
""
),
""
)
</f>
        <v>6.03</v>
      </c>
      <c r="K358" s="118">
        <f t="array" ref="K358">IFERROR(
INDEX(REPORTE_DROPI!S:S,
MATCH($T358, REPORTE_DROPI!B:B, 0)
),
""
)</f>
        <v>13.17</v>
      </c>
      <c r="L358" s="118" t="str">
        <f>IF(
  O358&lt;&gt;"DEVOLUCION",
  "",
  IF(
    T358="",
    "",
    SUMIF(DEVOLUCION!F:F, T358, DEVOLUCION!D:D)
  )
)
</f>
        <v/>
      </c>
      <c r="M358" s="118" t="s">
        <v>5877</v>
      </c>
      <c r="N358" s="169" t="s">
        <v>6902</v>
      </c>
      <c r="O358" s="118" t="str">
        <f t="array" ref="O358">IFERROR(
VLOOKUP(
TRIM(CLEAN(
INDEX(REPORTE_DROPI!K:K,
MATCH(T358, REPORTE_DROPI!B:B, 0)
))),
{
TRIM(CLEAN(MAPA_ESTADOS!A:A)) ,
MAPA_ESTADOS!B:B
},
2,
FALSE
),
"REVISAR"
)</f>
        <v>ENTREGADO</v>
      </c>
      <c r="P358" s="154" t="s">
        <v>6405</v>
      </c>
      <c r="Q358" s="153">
        <f t="shared" si="1"/>
        <v>0</v>
      </c>
      <c r="R358" s="172"/>
      <c r="S358" s="172"/>
      <c r="T358" s="118">
        <f t="array" ref="T358">IFERROR(
INDEX(REPORTE_DROPI!B:B,
MATCH(
CLEAN(TRIM(C358)),
CLEAN(TRIM(REPORTE_DROPI!E:E)),
0
)
),
""
)
</f>
        <v>4497942</v>
      </c>
      <c r="U358" s="169" t="s">
        <v>6903</v>
      </c>
      <c r="V358" s="166"/>
      <c r="W358" s="18"/>
      <c r="X358" s="18"/>
      <c r="Y358" s="18"/>
      <c r="Z358" s="18"/>
    </row>
    <row r="359" ht="22.5" hidden="1" customHeight="1">
      <c r="A359" s="169">
        <v>358.0</v>
      </c>
      <c r="B359" s="170">
        <v>46066.0</v>
      </c>
      <c r="C359" s="154" t="s">
        <v>6904</v>
      </c>
      <c r="D359" s="118" t="str">
        <f>IFERROR(__xludf.DUMMYFUNCTION("IFERROR( INDEX( FILTER( 'NOMBRE DE PRODUCTOS'!B:B, REGEXMATCH( UPPER( INDEX( REPORTE_DROPI!AC:AC, MATCH(T359, REPORTE_DROPI!B:B, 0) ) ), UPPER('NOMBRE DE PRODUCTOS'!A:A) ) ), 1 ), ""REVISAR"" )"),"FilmPro®")</f>
        <v>FilmPro®</v>
      </c>
      <c r="E359" s="120">
        <f t="array" ref="E359">IF(
UPPER(TRIM(CLEAN($O359)))="ENTREGADO",
IFERROR(
INDEX(REPORTE_DROPI!Y:Y,
MATCH($T359, REPORTE_DROPI!B:B, 0)
),
""
),
""
)
</f>
        <v>4.8</v>
      </c>
      <c r="F359" s="171">
        <v>2.0</v>
      </c>
      <c r="G359" s="122">
        <f t="array" ref="G359">IF(
UPPER(TRIM(CLEAN($O359)))="ENTREGADO",
IFERROR(
INDEX(REPORTE_DROPI!R:R,
MATCH($T359, REPORTE_DROPI!B:B, 0)
),
""
),
""
)
</f>
        <v>25</v>
      </c>
      <c r="H359" s="118" t="s">
        <v>3727</v>
      </c>
      <c r="I359" s="154" t="s">
        <v>3882</v>
      </c>
      <c r="J359" s="121">
        <f t="array" ref="J359">IF(
UPPER(TRIM(CLEAN($O359)))="ENTREGADO",
IFERROR(
INDEX(REPORTE_DROPI!T:T,
MATCH($T359, REPORTE_DROPI!B:B, 0)
),
""
),
""
)
</f>
        <v>8.34</v>
      </c>
      <c r="K359" s="118">
        <f t="array" ref="K359">IFERROR(
INDEX(REPORTE_DROPI!S:S,
MATCH($T359, REPORTE_DROPI!B:B, 0)
),
""
)</f>
        <v>11.86</v>
      </c>
      <c r="L359" s="118" t="str">
        <f>IF(
  O359&lt;&gt;"DEVOLUCION",
  "",
  IF(
    T359="",
    "",
    SUMIF(DEVOLUCION!F:F, T359, DEVOLUCION!D:D)
  )
)
</f>
        <v/>
      </c>
      <c r="M359" s="118" t="s">
        <v>5877</v>
      </c>
      <c r="N359" s="169" t="s">
        <v>6905</v>
      </c>
      <c r="O359" s="118" t="str">
        <f t="array" ref="O359">IFERROR(
VLOOKUP(
TRIM(CLEAN(
INDEX(REPORTE_DROPI!K:K,
MATCH(T359, REPORTE_DROPI!B:B, 0)
))),
{
TRIM(CLEAN(MAPA_ESTADOS!A:A)) ,
MAPA_ESTADOS!B:B
},
2,
FALSE
),
"REVISAR"
)</f>
        <v>ENTREGADO</v>
      </c>
      <c r="P359" s="154" t="s">
        <v>5692</v>
      </c>
      <c r="Q359" s="153">
        <f t="shared" si="1"/>
        <v>0</v>
      </c>
      <c r="R359" s="172"/>
      <c r="S359" s="172"/>
      <c r="T359" s="118">
        <f t="array" ref="T359">IFERROR(
INDEX(REPORTE_DROPI!B:B,
MATCH(
CLEAN(TRIM(C359)),
CLEAN(TRIM(REPORTE_DROPI!E:E)),
0
)
),
""
)
</f>
        <v>4498089</v>
      </c>
      <c r="U359" s="169" t="s">
        <v>6906</v>
      </c>
      <c r="V359" s="166"/>
      <c r="W359" s="18"/>
      <c r="X359" s="18"/>
      <c r="Y359" s="18"/>
      <c r="Z359" s="18"/>
    </row>
    <row r="360" ht="22.5" hidden="1" customHeight="1">
      <c r="A360" s="169">
        <v>359.0</v>
      </c>
      <c r="B360" s="170">
        <v>46066.0</v>
      </c>
      <c r="C360" s="154" t="s">
        <v>6907</v>
      </c>
      <c r="D360" s="118" t="str">
        <f>IFERROR(__xludf.DUMMYFUNCTION("IFERROR( INDEX( FILTER( 'NOMBRE DE PRODUCTOS'!B:B, REGEXMATCH( UPPER( INDEX( REPORTE_DROPI!AC:AC, MATCH(T360, REPORTE_DROPI!B:B, 0) ) ), UPPER('NOMBRE DE PRODUCTOS'!A:A) ) ), 1 ), ""REVISAR"" )"),"FilmPro®")</f>
        <v>FilmPro®</v>
      </c>
      <c r="E360" s="120">
        <f t="array" ref="E360">IF(
UPPER(TRIM(CLEAN($O360)))="ENTREGADO",
IFERROR(
INDEX(REPORTE_DROPI!Y:Y,
MATCH($T360, REPORTE_DROPI!B:B, 0)
),
""
),
""
)
</f>
        <v>7.2</v>
      </c>
      <c r="F360" s="171">
        <v>3.0</v>
      </c>
      <c r="G360" s="122">
        <f t="array" ref="G360">IF(
UPPER(TRIM(CLEAN($O360)))="ENTREGADO",
IFERROR(
INDEX(REPORTE_DROPI!R:R,
MATCH($T360, REPORTE_DROPI!B:B, 0)
),
""
),
""
)
</f>
        <v>30</v>
      </c>
      <c r="H360" s="118" t="s">
        <v>3727</v>
      </c>
      <c r="I360" s="154" t="s">
        <v>3731</v>
      </c>
      <c r="J360" s="121">
        <f t="array" ref="J360">IF(
UPPER(TRIM(CLEAN($O360)))="ENTREGADO",
IFERROR(
INDEX(REPORTE_DROPI!T:T,
MATCH($T360, REPORTE_DROPI!B:B, 0)
),
""
),
""
)
</f>
        <v>6.16</v>
      </c>
      <c r="K360" s="118">
        <f t="array" ref="K360">IFERROR(
INDEX(REPORTE_DROPI!S:S,
MATCH($T360, REPORTE_DROPI!B:B, 0)
),
""
)</f>
        <v>16.64</v>
      </c>
      <c r="L360" s="118" t="str">
        <f>IF(
  O360&lt;&gt;"DEVOLUCION",
  "",
  IF(
    T360="",
    "",
    SUMIF(DEVOLUCION!F:F, T360, DEVOLUCION!D:D)
  )
)
</f>
        <v/>
      </c>
      <c r="M360" s="118" t="s">
        <v>5877</v>
      </c>
      <c r="N360" s="169" t="s">
        <v>6908</v>
      </c>
      <c r="O360" s="118" t="str">
        <f t="array" ref="O360">IFERROR(
VLOOKUP(
TRIM(CLEAN(
INDEX(REPORTE_DROPI!K:K,
MATCH(T360, REPORTE_DROPI!B:B, 0)
))),
{
TRIM(CLEAN(MAPA_ESTADOS!A:A)) ,
MAPA_ESTADOS!B:B
},
2,
FALSE
),
"REVISAR"
)</f>
        <v>ENTREGADO</v>
      </c>
      <c r="P360" s="154" t="s">
        <v>5692</v>
      </c>
      <c r="Q360" s="153">
        <f t="shared" si="1"/>
        <v>0</v>
      </c>
      <c r="R360" s="172"/>
      <c r="S360" s="172"/>
      <c r="T360" s="118">
        <f t="array" ref="T360">IFERROR(
INDEX(REPORTE_DROPI!B:B,
MATCH(
CLEAN(TRIM(C360)),
CLEAN(TRIM(REPORTE_DROPI!E:E)),
0
)
),
""
)
</f>
        <v>4498245</v>
      </c>
      <c r="U360" s="169" t="s">
        <v>6909</v>
      </c>
      <c r="V360" s="166"/>
      <c r="W360" s="18"/>
      <c r="X360" s="18"/>
      <c r="Y360" s="18"/>
      <c r="Z360" s="18"/>
    </row>
    <row r="361" ht="22.5" hidden="1" customHeight="1">
      <c r="A361" s="169">
        <v>360.0</v>
      </c>
      <c r="B361" s="170">
        <v>46066.0</v>
      </c>
      <c r="C361" s="154" t="s">
        <v>6910</v>
      </c>
      <c r="D361" s="118" t="str">
        <f>IFERROR(__xludf.DUMMYFUNCTION("IFERROR( INDEX( FILTER( 'NOMBRE DE PRODUCTOS'!B:B, REGEXMATCH( UPPER( INDEX( REPORTE_DROPI!AC:AC, MATCH(T361, REPORTE_DROPI!B:B, 0) ) ), UPPER('NOMBRE DE PRODUCTOS'!A:A) ) ), 1 ), ""REVISAR"" )"),"Cuchillo Tazaki™")</f>
        <v>Cuchillo Tazaki™</v>
      </c>
      <c r="E361" s="120">
        <f t="array" ref="E361">IF(
UPPER(TRIM(CLEAN($O361)))="ENTREGADO",
IFERROR(
INDEX(REPORTE_DROPI!Y:Y,
MATCH($T361, REPORTE_DROPI!B:B, 0)
),
""
),
""
)
</f>
        <v>5.2</v>
      </c>
      <c r="F361" s="171">
        <v>2.0</v>
      </c>
      <c r="G361" s="122">
        <f t="array" ref="G361">IF(
UPPER(TRIM(CLEAN($O361)))="ENTREGADO",
IFERROR(
INDEX(REPORTE_DROPI!R:R,
MATCH($T361, REPORTE_DROPI!B:B, 0)
),
""
),
""
)
</f>
        <v>22</v>
      </c>
      <c r="H361" s="118" t="s">
        <v>3727</v>
      </c>
      <c r="I361" s="154" t="s">
        <v>3778</v>
      </c>
      <c r="J361" s="121">
        <f t="array" ref="J361">IF(
UPPER(TRIM(CLEAN($O361)))="ENTREGADO",
IFERROR(
INDEX(REPORTE_DROPI!T:T,
MATCH($T361, REPORTE_DROPI!B:B, 0)
),
""
),
""
)
</f>
        <v>5.84</v>
      </c>
      <c r="K361" s="118">
        <f t="array" ref="K361">IFERROR(
INDEX(REPORTE_DROPI!S:S,
MATCH($T361, REPORTE_DROPI!B:B, 0)
),
""
)</f>
        <v>10.96</v>
      </c>
      <c r="L361" s="118" t="str">
        <f>IF(
  O361&lt;&gt;"DEVOLUCION",
  "",
  IF(
    T361="",
    "",
    SUMIF(DEVOLUCION!F:F, T361, DEVOLUCION!D:D)
  )
)
</f>
        <v/>
      </c>
      <c r="M361" s="118" t="s">
        <v>5877</v>
      </c>
      <c r="N361" s="169" t="s">
        <v>6911</v>
      </c>
      <c r="O361" s="118" t="str">
        <f t="array" ref="O361">IFERROR(
VLOOKUP(
TRIM(CLEAN(
INDEX(REPORTE_DROPI!K:K,
MATCH(T361, REPORTE_DROPI!B:B, 0)
))),
{
TRIM(CLEAN(MAPA_ESTADOS!A:A)) ,
MAPA_ESTADOS!B:B
},
2,
FALSE
),
"REVISAR"
)</f>
        <v>ENTREGADO</v>
      </c>
      <c r="P361" s="154" t="s">
        <v>5692</v>
      </c>
      <c r="Q361" s="153">
        <f t="shared" si="1"/>
        <v>0</v>
      </c>
      <c r="R361" s="172"/>
      <c r="S361" s="172"/>
      <c r="T361" s="118">
        <f t="array" ref="T361">IFERROR(
INDEX(REPORTE_DROPI!B:B,
MATCH(
CLEAN(TRIM(C361)),
CLEAN(TRIM(REPORTE_DROPI!E:E)),
0
)
),
""
)
</f>
        <v>4498452</v>
      </c>
      <c r="U361" s="169" t="s">
        <v>6912</v>
      </c>
      <c r="V361" s="166"/>
      <c r="W361" s="18"/>
      <c r="X361" s="18"/>
      <c r="Y361" s="18"/>
      <c r="Z361" s="18"/>
    </row>
    <row r="362" ht="22.5" hidden="1" customHeight="1">
      <c r="A362" s="169">
        <v>361.0</v>
      </c>
      <c r="B362" s="170">
        <v>46066.0</v>
      </c>
      <c r="C362" s="154" t="s">
        <v>6913</v>
      </c>
      <c r="D362" s="118" t="str">
        <f>IFERROR(__xludf.DUMMYFUNCTION("IFERROR( INDEX( FILTER( 'NOMBRE DE PRODUCTOS'!B:B, REGEXMATCH( UPPER( INDEX( REPORTE_DROPI!AC:AC, MATCH(T362, REPORTE_DROPI!B:B, 0) ) ), UPPER('NOMBRE DE PRODUCTOS'!A:A) ) ), 1 ), ""REVISAR"" )"),"Cuchillo Tazaki™")</f>
        <v>Cuchillo Tazaki™</v>
      </c>
      <c r="E362" s="120">
        <f t="array" ref="E362">IF(
UPPER(TRIM(CLEAN($O362)))="ENTREGADO",
IFERROR(
INDEX(REPORTE_DROPI!Y:Y,
MATCH($T362, REPORTE_DROPI!B:B, 0)
),
""
),
""
)
</f>
        <v>10.4</v>
      </c>
      <c r="F362" s="171">
        <v>4.0</v>
      </c>
      <c r="G362" s="122">
        <f t="array" ref="G362">IF(
UPPER(TRIM(CLEAN($O362)))="ENTREGADO",
IFERROR(
INDEX(REPORTE_DROPI!R:R,
MATCH($T362, REPORTE_DROPI!B:B, 0)
),
""
),
""
)
</f>
        <v>32</v>
      </c>
      <c r="H362" s="118" t="s">
        <v>3727</v>
      </c>
      <c r="I362" s="154" t="s">
        <v>3882</v>
      </c>
      <c r="J362" s="121">
        <f t="array" ref="J362">IF(
UPPER(TRIM(CLEAN($O362)))="ENTREGADO",
IFERROR(
INDEX(REPORTE_DROPI!T:T,
MATCH($T362, REPORTE_DROPI!B:B, 0)
),
""
),
""
)
</f>
        <v>8.74</v>
      </c>
      <c r="K362" s="118">
        <f t="array" ref="K362">IFERROR(
INDEX(REPORTE_DROPI!S:S,
MATCH($T362, REPORTE_DROPI!B:B, 0)
),
""
)</f>
        <v>12.86</v>
      </c>
      <c r="L362" s="118" t="str">
        <f>IF(
  O362&lt;&gt;"DEVOLUCION",
  "",
  IF(
    T362="",
    "",
    SUMIF(DEVOLUCION!F:F, T362, DEVOLUCION!D:D)
  )
)
</f>
        <v/>
      </c>
      <c r="M362" s="118" t="s">
        <v>5877</v>
      </c>
      <c r="N362" s="169" t="s">
        <v>6914</v>
      </c>
      <c r="O362" s="118" t="str">
        <f t="array" ref="O362">IFERROR(
VLOOKUP(
TRIM(CLEAN(
INDEX(REPORTE_DROPI!K:K,
MATCH(T362, REPORTE_DROPI!B:B, 0)
))),
{
TRIM(CLEAN(MAPA_ESTADOS!A:A)) ,
MAPA_ESTADOS!B:B
},
2,
FALSE
),
"REVISAR"
)</f>
        <v>ENTREGADO</v>
      </c>
      <c r="P362" s="154" t="s">
        <v>5692</v>
      </c>
      <c r="Q362" s="153">
        <f t="shared" si="1"/>
        <v>0</v>
      </c>
      <c r="R362" s="172"/>
      <c r="S362" s="172"/>
      <c r="T362" s="118">
        <f t="array" ref="T362">IFERROR(
INDEX(REPORTE_DROPI!B:B,
MATCH(
CLEAN(TRIM(C362)),
CLEAN(TRIM(REPORTE_DROPI!E:E)),
0
)
),
""
)
</f>
        <v>4498638</v>
      </c>
      <c r="U362" s="169" t="s">
        <v>6915</v>
      </c>
      <c r="V362" s="166"/>
      <c r="W362" s="18"/>
      <c r="X362" s="18"/>
      <c r="Y362" s="18"/>
      <c r="Z362" s="18"/>
    </row>
    <row r="363" ht="22.5" hidden="1" customHeight="1">
      <c r="A363" s="169">
        <v>362.0</v>
      </c>
      <c r="B363" s="170">
        <v>46066.0</v>
      </c>
      <c r="C363" s="154" t="s">
        <v>6916</v>
      </c>
      <c r="D363" s="118" t="str">
        <f>IFERROR(__xludf.DUMMYFUNCTION("IFERROR( INDEX( FILTER( 'NOMBRE DE PRODUCTOS'!B:B, REGEXMATCH( UPPER( INDEX( REPORTE_DROPI!AC:AC, MATCH(T363, REPORTE_DROPI!B:B, 0) ) ), UPPER('NOMBRE DE PRODUCTOS'!A:A) ) ), 1 ), ""REVISAR"" )"),"Cuchillo Tazaki™")</f>
        <v>Cuchillo Tazaki™</v>
      </c>
      <c r="E363" s="120" t="str">
        <f t="array" ref="E363">IF(
UPPER(TRIM(CLEAN($O363)))="ENTREGADO",
IFERROR(
INDEX(REPORTE_DROPI!Y:Y,
MATCH($T363, REPORTE_DROPI!B:B, 0)
),
""
),
""
)
</f>
        <v/>
      </c>
      <c r="F363" s="171">
        <v>2.0</v>
      </c>
      <c r="G363" s="122" t="str">
        <f t="array" ref="G363">IF(
UPPER(TRIM(CLEAN($O363)))="ENTREGADO",
IFERROR(
INDEX(REPORTE_DROPI!R:R,
MATCH($T363, REPORTE_DROPI!B:B, 0)
),
""
),
""
)
</f>
        <v/>
      </c>
      <c r="H363" s="118" t="s">
        <v>3727</v>
      </c>
      <c r="I363" s="154" t="s">
        <v>3772</v>
      </c>
      <c r="J363" s="121" t="str">
        <f t="array" ref="J363">IF(
UPPER(TRIM(CLEAN($O363)))="ENTREGADO",
IFERROR(
INDEX(REPORTE_DROPI!T:T,
MATCH($T363, REPORTE_DROPI!B:B, 0)
),
""
),
""
)
</f>
        <v/>
      </c>
      <c r="K363" s="118" t="str">
        <f t="array" ref="K363">IFERROR(
INDEX(REPORTE_DROPI!S:S,
MATCH($T363, REPORTE_DROPI!B:B, 0)
),
""
)</f>
        <v/>
      </c>
      <c r="L363" s="118">
        <f>IF(
  O363&lt;&gt;"DEVOLUCION",
  "",
  IF(
    T363="",
    "",
    SUMIF(DEVOLUCION!F:F, T363, DEVOLUCION!D:D)
  )
)
</f>
        <v>0</v>
      </c>
      <c r="M363" s="118" t="s">
        <v>5877</v>
      </c>
      <c r="N363" s="169" t="s">
        <v>6917</v>
      </c>
      <c r="O363" s="118" t="str">
        <f t="array" ref="O363">IFERROR(
VLOOKUP(
TRIM(CLEAN(
INDEX(REPORTE_DROPI!K:K,
MATCH(T363, REPORTE_DROPI!B:B, 0)
))),
{
TRIM(CLEAN(MAPA_ESTADOS!A:A)) ,
MAPA_ESTADOS!B:B
},
2,
FALSE
),
"REVISAR"
)</f>
        <v>DEVOLUCION</v>
      </c>
      <c r="P363" s="154" t="s">
        <v>5692</v>
      </c>
      <c r="Q363" s="153">
        <f t="shared" si="1"/>
        <v>0</v>
      </c>
      <c r="R363" s="172"/>
      <c r="S363" s="172"/>
      <c r="T363" s="118">
        <f t="array" ref="T363">IFERROR(
INDEX(REPORTE_DROPI!B:B,
MATCH(
CLEAN(TRIM(C363)),
CLEAN(TRIM(REPORTE_DROPI!E:E)),
0
)
),
""
)
</f>
        <v>4499152</v>
      </c>
      <c r="U363" s="169" t="s">
        <v>6918</v>
      </c>
      <c r="V363" s="166"/>
      <c r="W363" s="18"/>
      <c r="X363" s="18"/>
      <c r="Y363" s="18"/>
      <c r="Z363" s="18"/>
    </row>
    <row r="364" ht="22.5" hidden="1" customHeight="1">
      <c r="A364" s="169">
        <v>363.0</v>
      </c>
      <c r="B364" s="170">
        <v>46066.0</v>
      </c>
      <c r="C364" s="154" t="s">
        <v>6919</v>
      </c>
      <c r="D364" s="118" t="str">
        <f>IFERROR(__xludf.DUMMYFUNCTION("IFERROR( INDEX( FILTER( 'NOMBRE DE PRODUCTOS'!B:B, REGEXMATCH( UPPER( INDEX( REPORTE_DROPI!AC:AC, MATCH(T364, REPORTE_DROPI!B:B, 0) ) ), UPPER('NOMBRE DE PRODUCTOS'!A:A) ) ), 1 ), ""REVISAR"" )"),"FilmPro®")</f>
        <v>FilmPro®</v>
      </c>
      <c r="E364" s="120" t="str">
        <f t="array" ref="E364">IF(
UPPER(TRIM(CLEAN($O364)))="ENTREGADO",
IFERROR(
INDEX(REPORTE_DROPI!Y:Y,
MATCH($T364, REPORTE_DROPI!B:B, 0)
),
""
),
""
)
</f>
        <v/>
      </c>
      <c r="F364" s="171">
        <v>3.0</v>
      </c>
      <c r="G364" s="122" t="str">
        <f t="array" ref="G364">IF(
UPPER(TRIM(CLEAN($O364)))="ENTREGADO",
IFERROR(
INDEX(REPORTE_DROPI!R:R,
MATCH($T364, REPORTE_DROPI!B:B, 0)
),
""
),
""
)
</f>
        <v/>
      </c>
      <c r="H364" s="118" t="s">
        <v>3727</v>
      </c>
      <c r="I364" s="154" t="s">
        <v>3778</v>
      </c>
      <c r="J364" s="121" t="str">
        <f t="array" ref="J364">IF(
UPPER(TRIM(CLEAN($O364)))="ENTREGADO",
IFERROR(
INDEX(REPORTE_DROPI!T:T,
MATCH($T364, REPORTE_DROPI!B:B, 0)
),
""
),
""
)
</f>
        <v/>
      </c>
      <c r="K364" s="118" t="str">
        <f t="array" ref="K364">IFERROR(
INDEX(REPORTE_DROPI!S:S,
MATCH($T364, REPORTE_DROPI!B:B, 0)
),
""
)</f>
        <v/>
      </c>
      <c r="L364" s="118">
        <f>IF(
  O364&lt;&gt;"DEVOLUCION",
  "",
  IF(
    T364="",
    "",
    SUMIF(DEVOLUCION!F:F, T364, DEVOLUCION!D:D)
  )
)
</f>
        <v>0</v>
      </c>
      <c r="M364" s="118" t="s">
        <v>5877</v>
      </c>
      <c r="N364" s="169" t="s">
        <v>6920</v>
      </c>
      <c r="O364" s="118" t="str">
        <f t="array" ref="O364">IFERROR(
VLOOKUP(
TRIM(CLEAN(
INDEX(REPORTE_DROPI!K:K,
MATCH(T364, REPORTE_DROPI!B:B, 0)
))),
{
TRIM(CLEAN(MAPA_ESTADOS!A:A)) ,
MAPA_ESTADOS!B:B
},
2,
FALSE
),
"REVISAR"
)</f>
        <v>DEVOLUCION</v>
      </c>
      <c r="P364" s="154" t="s">
        <v>5692</v>
      </c>
      <c r="Q364" s="153">
        <f t="shared" si="1"/>
        <v>0</v>
      </c>
      <c r="R364" s="172"/>
      <c r="S364" s="172"/>
      <c r="T364" s="118">
        <f t="array" ref="T364">IFERROR(
INDEX(REPORTE_DROPI!B:B,
MATCH(
CLEAN(TRIM(C364)),
CLEAN(TRIM(REPORTE_DROPI!E:E)),
0
)
),
""
)
</f>
        <v>4499221</v>
      </c>
      <c r="U364" s="169" t="s">
        <v>6921</v>
      </c>
      <c r="V364" s="166"/>
      <c r="W364" s="18"/>
      <c r="X364" s="18"/>
      <c r="Y364" s="18"/>
      <c r="Z364" s="18"/>
    </row>
    <row r="365" ht="22.5" hidden="1" customHeight="1">
      <c r="A365" s="169">
        <v>364.0</v>
      </c>
      <c r="B365" s="170">
        <v>46066.0</v>
      </c>
      <c r="C365" s="154" t="s">
        <v>6922</v>
      </c>
      <c r="D365" s="118" t="str">
        <f>IFERROR(__xludf.DUMMYFUNCTION("IFERROR( INDEX( FILTER( 'NOMBRE DE PRODUCTOS'!B:B, REGEXMATCH( UPPER( INDEX( REPORTE_DROPI!AC:AC, MATCH(T365, REPORTE_DROPI!B:B, 0) ) ), UPPER('NOMBRE DE PRODUCTOS'!A:A) ) ), 1 ), ""REVISAR"" )"),"FilmPro®")</f>
        <v>FilmPro®</v>
      </c>
      <c r="E365" s="120">
        <f t="array" ref="E365">IF(
UPPER(TRIM(CLEAN($O365)))="ENTREGADO",
IFERROR(
INDEX(REPORTE_DROPI!Y:Y,
MATCH($T365, REPORTE_DROPI!B:B, 0)
),
""
),
""
)
</f>
        <v>4.8</v>
      </c>
      <c r="F365" s="171">
        <v>2.0</v>
      </c>
      <c r="G365" s="122">
        <f t="array" ref="G365">IF(
UPPER(TRIM(CLEAN($O365)))="ENTREGADO",
IFERROR(
INDEX(REPORTE_DROPI!R:R,
MATCH($T365, REPORTE_DROPI!B:B, 0)
),
""
),
""
)
</f>
        <v>25</v>
      </c>
      <c r="H365" s="118" t="s">
        <v>3727</v>
      </c>
      <c r="I365" s="154" t="s">
        <v>3804</v>
      </c>
      <c r="J365" s="121">
        <f t="array" ref="J365">IF(
UPPER(TRIM(CLEAN($O365)))="ENTREGADO",
IFERROR(
INDEX(REPORTE_DROPI!T:T,
MATCH($T365, REPORTE_DROPI!B:B, 0)
),
""
),
""
)
</f>
        <v>5.96</v>
      </c>
      <c r="K365" s="118">
        <f t="array" ref="K365">IFERROR(
INDEX(REPORTE_DROPI!S:S,
MATCH($T365, REPORTE_DROPI!B:B, 0)
),
""
)</f>
        <v>14.24</v>
      </c>
      <c r="L365" s="118" t="str">
        <f>IF(
  O365&lt;&gt;"DEVOLUCION",
  "",
  IF(
    T365="",
    "",
    SUMIF(DEVOLUCION!F:F, T365, DEVOLUCION!D:D)
  )
)
</f>
        <v/>
      </c>
      <c r="M365" s="118" t="s">
        <v>5877</v>
      </c>
      <c r="N365" s="169" t="s">
        <v>6923</v>
      </c>
      <c r="O365" s="118" t="str">
        <f t="array" ref="O365">IFERROR(
VLOOKUP(
TRIM(CLEAN(
INDEX(REPORTE_DROPI!K:K,
MATCH(T365, REPORTE_DROPI!B:B, 0)
))),
{
TRIM(CLEAN(MAPA_ESTADOS!A:A)) ,
MAPA_ESTADOS!B:B
},
2,
FALSE
),
"REVISAR"
)</f>
        <v>ENTREGADO</v>
      </c>
      <c r="P365" s="154" t="s">
        <v>5692</v>
      </c>
      <c r="Q365" s="153">
        <f t="shared" si="1"/>
        <v>0</v>
      </c>
      <c r="R365" s="172"/>
      <c r="S365" s="172"/>
      <c r="T365" s="118">
        <f t="array" ref="T365">IFERROR(
INDEX(REPORTE_DROPI!B:B,
MATCH(
CLEAN(TRIM(C365)),
CLEAN(TRIM(REPORTE_DROPI!E:E)),
0
)
),
""
)
</f>
        <v>4499244</v>
      </c>
      <c r="U365" s="169" t="s">
        <v>6924</v>
      </c>
      <c r="V365" s="166"/>
      <c r="W365" s="18"/>
      <c r="X365" s="18"/>
      <c r="Y365" s="18"/>
      <c r="Z365" s="18"/>
    </row>
    <row r="366" ht="22.5" hidden="1" customHeight="1">
      <c r="A366" s="169">
        <v>365.0</v>
      </c>
      <c r="B366" s="170">
        <v>46066.0</v>
      </c>
      <c r="C366" s="154" t="s">
        <v>6925</v>
      </c>
      <c r="D366" s="118" t="str">
        <f>IFERROR(__xludf.DUMMYFUNCTION("IFERROR( INDEX( FILTER( 'NOMBRE DE PRODUCTOS'!B:B, REGEXMATCH( UPPER( INDEX( REPORTE_DROPI!AC:AC, MATCH(T366, REPORTE_DROPI!B:B, 0) ) ), UPPER('NOMBRE DE PRODUCTOS'!A:A) ) ), 1 ), ""REVISAR"" )"),"Cuchillo Tazaki™")</f>
        <v>Cuchillo Tazaki™</v>
      </c>
      <c r="E366" s="120" t="str">
        <f t="array" ref="E366">IF(
UPPER(TRIM(CLEAN($O366)))="ENTREGADO",
IFERROR(
INDEX(REPORTE_DROPI!Y:Y,
MATCH($T366, REPORTE_DROPI!B:B, 0)
),
""
),
""
)
</f>
        <v/>
      </c>
      <c r="F366" s="171">
        <v>4.0</v>
      </c>
      <c r="G366" s="122" t="str">
        <f t="array" ref="G366">IF(
UPPER(TRIM(CLEAN($O366)))="ENTREGADO",
IFERROR(
INDEX(REPORTE_DROPI!R:R,
MATCH($T366, REPORTE_DROPI!B:B, 0)
),
""
),
""
)
</f>
        <v/>
      </c>
      <c r="H366" s="118" t="s">
        <v>3727</v>
      </c>
      <c r="I366" s="154" t="s">
        <v>3728</v>
      </c>
      <c r="J366" s="121" t="str">
        <f t="array" ref="J366">IF(
UPPER(TRIM(CLEAN($O366)))="ENTREGADO",
IFERROR(
INDEX(REPORTE_DROPI!T:T,
MATCH($T366, REPORTE_DROPI!B:B, 0)
),
""
),
""
)
</f>
        <v/>
      </c>
      <c r="K366" s="118" t="str">
        <f t="array" ref="K366">IFERROR(
INDEX(REPORTE_DROPI!S:S,
MATCH($T366, REPORTE_DROPI!B:B, 0)
),
""
)</f>
        <v/>
      </c>
      <c r="L366" s="118" t="str">
        <f>IF(
  O366&lt;&gt;"DEVOLUCION",
  "",
  IF(
    T366="",
    "",
    SUMIF(DEVOLUCION!F:F, T366, DEVOLUCION!D:D)
  )
)
</f>
        <v/>
      </c>
      <c r="M366" s="118" t="s">
        <v>5877</v>
      </c>
      <c r="N366" s="169" t="s">
        <v>6926</v>
      </c>
      <c r="O366" s="118" t="str">
        <f t="array" ref="O366">IFERROR(
VLOOKUP(
TRIM(CLEAN(
INDEX(REPORTE_DROPI!K:K,
MATCH(T366, REPORTE_DROPI!B:B, 0)
))),
{
TRIM(CLEAN(MAPA_ESTADOS!A:A)) ,
MAPA_ESTADOS!B:B
},
2,
FALSE
),
"REVISAR"
)</f>
        <v>PENDIENTE</v>
      </c>
      <c r="P366" s="154" t="s">
        <v>6568</v>
      </c>
      <c r="Q366" s="153">
        <f t="shared" si="1"/>
        <v>0</v>
      </c>
      <c r="R366" s="172"/>
      <c r="S366" s="172"/>
      <c r="T366" s="118">
        <f t="array" ref="T366">IFERROR(
INDEX(REPORTE_DROPI!B:B,
MATCH(
CLEAN(TRIM(C366)),
CLEAN(TRIM(REPORTE_DROPI!E:E)),
0
)
),
""
)
</f>
        <v>4499614</v>
      </c>
      <c r="U366" s="169" t="s">
        <v>6927</v>
      </c>
      <c r="V366" s="166"/>
      <c r="W366" s="18"/>
      <c r="X366" s="18"/>
      <c r="Y366" s="18"/>
      <c r="Z366" s="18"/>
    </row>
    <row r="367" ht="22.5" hidden="1" customHeight="1">
      <c r="A367" s="169">
        <v>366.0</v>
      </c>
      <c r="B367" s="170">
        <v>46066.0</v>
      </c>
      <c r="C367" s="154" t="s">
        <v>6928</v>
      </c>
      <c r="D367" s="118" t="str">
        <f>IFERROR(__xludf.DUMMYFUNCTION("IFERROR( INDEX( FILTER( 'NOMBRE DE PRODUCTOS'!B:B, REGEXMATCH( UPPER( INDEX( REPORTE_DROPI!AC:AC, MATCH(T367, REPORTE_DROPI!B:B, 0) ) ), UPPER('NOMBRE DE PRODUCTOS'!A:A) ) ), 1 ), ""REVISAR"" )"),"Cuchillo Tazaki™")</f>
        <v>Cuchillo Tazaki™</v>
      </c>
      <c r="E367" s="120">
        <f t="array" ref="E367">IF(
UPPER(TRIM(CLEAN($O367)))="ENTREGADO",
IFERROR(
INDEX(REPORTE_DROPI!Y:Y,
MATCH($T367, REPORTE_DROPI!B:B, 0)
),
""
),
""
)
</f>
        <v>10.4</v>
      </c>
      <c r="F367" s="171">
        <v>4.0</v>
      </c>
      <c r="G367" s="122">
        <f t="array" ref="G367">IF(
UPPER(TRIM(CLEAN($O367)))="ENTREGADO",
IFERROR(
INDEX(REPORTE_DROPI!R:R,
MATCH($T367, REPORTE_DROPI!B:B, 0)
),
""
),
""
)
</f>
        <v>32</v>
      </c>
      <c r="H367" s="118" t="s">
        <v>3727</v>
      </c>
      <c r="I367" s="154" t="s">
        <v>3731</v>
      </c>
      <c r="J367" s="121">
        <f t="array" ref="J367">IF(
UPPER(TRIM(CLEAN($O367)))="ENTREGADO",
IFERROR(
INDEX(REPORTE_DROPI!T:T,
MATCH($T367, REPORTE_DROPI!B:B, 0)
),
""
),
""
)
</f>
        <v>6.24</v>
      </c>
      <c r="K367" s="118">
        <f t="array" ref="K367">IFERROR(
INDEX(REPORTE_DROPI!S:S,
MATCH($T367, REPORTE_DROPI!B:B, 0)
),
""
)</f>
        <v>15.36</v>
      </c>
      <c r="L367" s="118" t="str">
        <f>IF(
  O367&lt;&gt;"DEVOLUCION",
  "",
  IF(
    T367="",
    "",
    SUMIF(DEVOLUCION!F:F, T367, DEVOLUCION!D:D)
  )
)
</f>
        <v/>
      </c>
      <c r="M367" s="118" t="s">
        <v>5877</v>
      </c>
      <c r="N367" s="169" t="s">
        <v>6929</v>
      </c>
      <c r="O367" s="118" t="str">
        <f t="array" ref="O367">IFERROR(
VLOOKUP(
TRIM(CLEAN(
INDEX(REPORTE_DROPI!K:K,
MATCH(T367, REPORTE_DROPI!B:B, 0)
))),
{
TRIM(CLEAN(MAPA_ESTADOS!A:A)) ,
MAPA_ESTADOS!B:B
},
2,
FALSE
),
"REVISAR"
)</f>
        <v>ENTREGADO</v>
      </c>
      <c r="P367" s="154" t="s">
        <v>5692</v>
      </c>
      <c r="Q367" s="153">
        <f t="shared" si="1"/>
        <v>0</v>
      </c>
      <c r="R367" s="172"/>
      <c r="S367" s="172"/>
      <c r="T367" s="118">
        <f t="array" ref="T367">IFERROR(
INDEX(REPORTE_DROPI!B:B,
MATCH(
CLEAN(TRIM(C367)),
CLEAN(TRIM(REPORTE_DROPI!E:E)),
0
)
),
""
)
</f>
        <v>4499702</v>
      </c>
      <c r="U367" s="169" t="s">
        <v>6930</v>
      </c>
      <c r="V367" s="166"/>
      <c r="W367" s="18"/>
      <c r="X367" s="18"/>
      <c r="Y367" s="18"/>
      <c r="Z367" s="18"/>
    </row>
    <row r="368" ht="22.5" hidden="1" customHeight="1">
      <c r="A368" s="169">
        <v>367.0</v>
      </c>
      <c r="B368" s="170">
        <v>46066.0</v>
      </c>
      <c r="C368" s="154" t="s">
        <v>6931</v>
      </c>
      <c r="D368" s="118" t="str">
        <f>IFERROR(__xludf.DUMMYFUNCTION("IFERROR( INDEX( FILTER( 'NOMBRE DE PRODUCTOS'!B:B, REGEXMATCH( UPPER( INDEX( REPORTE_DROPI!AC:AC, MATCH(T368, REPORTE_DROPI!B:B, 0) ) ), UPPER('NOMBRE DE PRODUCTOS'!A:A) ) ), 1 ), ""REVISAR"" )"),"FilmPro®")</f>
        <v>FilmPro®</v>
      </c>
      <c r="E368" s="120" t="str">
        <f t="array" ref="E368">IF(
UPPER(TRIM(CLEAN($O368)))="ENTREGADO",
IFERROR(
INDEX(REPORTE_DROPI!Y:Y,
MATCH($T368, REPORTE_DROPI!B:B, 0)
),
""
),
""
)
</f>
        <v/>
      </c>
      <c r="F368" s="171">
        <v>2.0</v>
      </c>
      <c r="G368" s="122" t="str">
        <f t="array" ref="G368">IF(
UPPER(TRIM(CLEAN($O368)))="ENTREGADO",
IFERROR(
INDEX(REPORTE_DROPI!R:R,
MATCH($T368, REPORTE_DROPI!B:B, 0)
),
""
),
""
)
</f>
        <v/>
      </c>
      <c r="H368" s="118" t="s">
        <v>3727</v>
      </c>
      <c r="I368" s="154" t="s">
        <v>3728</v>
      </c>
      <c r="J368" s="121" t="str">
        <f t="array" ref="J368">IF(
UPPER(TRIM(CLEAN($O368)))="ENTREGADO",
IFERROR(
INDEX(REPORTE_DROPI!T:T,
MATCH($T368, REPORTE_DROPI!B:B, 0)
),
""
),
""
)
</f>
        <v/>
      </c>
      <c r="K368" s="118" t="str">
        <f t="array" ref="K368">IFERROR(
INDEX(REPORTE_DROPI!S:S,
MATCH($T368, REPORTE_DROPI!B:B, 0)
),
""
)</f>
        <v/>
      </c>
      <c r="L368" s="118">
        <f>IF(
  O368&lt;&gt;"DEVOLUCION",
  "",
  IF(
    T368="",
    "",
    SUMIF(DEVOLUCION!F:F, T368, DEVOLUCION!D:D)
  )
)
</f>
        <v>0</v>
      </c>
      <c r="M368" s="118" t="s">
        <v>5877</v>
      </c>
      <c r="N368" s="169" t="s">
        <v>6932</v>
      </c>
      <c r="O368" s="118" t="str">
        <f t="array" ref="O368">IFERROR(
VLOOKUP(
TRIM(CLEAN(
INDEX(REPORTE_DROPI!K:K,
MATCH(T368, REPORTE_DROPI!B:B, 0)
))),
{
TRIM(CLEAN(MAPA_ESTADOS!A:A)) ,
MAPA_ESTADOS!B:B
},
2,
FALSE
),
"REVISAR"
)</f>
        <v>DEVOLUCION</v>
      </c>
      <c r="P368" s="154" t="s">
        <v>5692</v>
      </c>
      <c r="Q368" s="153">
        <f t="shared" si="1"/>
        <v>0</v>
      </c>
      <c r="R368" s="172"/>
      <c r="S368" s="172"/>
      <c r="T368" s="118">
        <f t="array" ref="T368">IFERROR(
INDEX(REPORTE_DROPI!B:B,
MATCH(
CLEAN(TRIM(C368)),
CLEAN(TRIM(REPORTE_DROPI!E:E)),
0
)
),
""
)
</f>
        <v>4523245</v>
      </c>
      <c r="U368" s="169" t="s">
        <v>6933</v>
      </c>
      <c r="V368" s="166"/>
      <c r="W368" s="18"/>
      <c r="X368" s="18"/>
      <c r="Y368" s="18"/>
      <c r="Z368" s="18"/>
    </row>
    <row r="369" ht="22.5" hidden="1" customHeight="1">
      <c r="A369" s="169">
        <v>368.0</v>
      </c>
      <c r="B369" s="170">
        <v>46066.0</v>
      </c>
      <c r="C369" s="154" t="s">
        <v>6934</v>
      </c>
      <c r="D369" s="118" t="str">
        <f>IFERROR(__xludf.DUMMYFUNCTION("IFERROR( INDEX( FILTER( 'NOMBRE DE PRODUCTOS'!B:B, REGEXMATCH( UPPER( INDEX( REPORTE_DROPI!AC:AC, MATCH(T369, REPORTE_DROPI!B:B, 0) ) ), UPPER('NOMBRE DE PRODUCTOS'!A:A) ) ), 1 ), ""REVISAR"" )"),"FilmPro®")</f>
        <v>FilmPro®</v>
      </c>
      <c r="E369" s="120">
        <f t="array" ref="E369">IF(
UPPER(TRIM(CLEAN($O369)))="ENTREGADO",
IFERROR(
INDEX(REPORTE_DROPI!Y:Y,
MATCH($T369, REPORTE_DROPI!B:B, 0)
),
""
),
""
)
</f>
        <v>2.4</v>
      </c>
      <c r="F369" s="171">
        <v>1.0</v>
      </c>
      <c r="G369" s="122">
        <f t="array" ref="G369">IF(
UPPER(TRIM(CLEAN($O369)))="ENTREGADO",
IFERROR(
INDEX(REPORTE_DROPI!R:R,
MATCH($T369, REPORTE_DROPI!B:B, 0)
),
""
),
""
)
</f>
        <v>20</v>
      </c>
      <c r="H369" s="118" t="s">
        <v>3727</v>
      </c>
      <c r="I369" s="154" t="s">
        <v>3728</v>
      </c>
      <c r="J369" s="121">
        <f t="array" ref="J369">IF(
UPPER(TRIM(CLEAN($O369)))="ENTREGADO",
IFERROR(
INDEX(REPORTE_DROPI!T:T,
MATCH($T369, REPORTE_DROPI!B:B, 0)
),
""
),
""
)
</f>
        <v>5.76</v>
      </c>
      <c r="K369" s="118">
        <f t="array" ref="K369">IFERROR(
INDEX(REPORTE_DROPI!S:S,
MATCH($T369, REPORTE_DROPI!B:B, 0)
),
""
)</f>
        <v>11.84</v>
      </c>
      <c r="L369" s="118" t="str">
        <f>IF(
  O369&lt;&gt;"DEVOLUCION",
  "",
  IF(
    T369="",
    "",
    SUMIF(DEVOLUCION!F:F, T369, DEVOLUCION!D:D)
  )
)
</f>
        <v/>
      </c>
      <c r="M369" s="118" t="s">
        <v>5877</v>
      </c>
      <c r="N369" s="169" t="s">
        <v>6935</v>
      </c>
      <c r="O369" s="118" t="str">
        <f t="array" ref="O369">IFERROR(
VLOOKUP(
TRIM(CLEAN(
INDEX(REPORTE_DROPI!K:K,
MATCH(T369, REPORTE_DROPI!B:B, 0)
))),
{
TRIM(CLEAN(MAPA_ESTADOS!A:A)) ,
MAPA_ESTADOS!B:B
},
2,
FALSE
),
"REVISAR"
)</f>
        <v>ENTREGADO</v>
      </c>
      <c r="P369" s="154" t="s">
        <v>5692</v>
      </c>
      <c r="Q369" s="153">
        <f t="shared" si="1"/>
        <v>0</v>
      </c>
      <c r="R369" s="172"/>
      <c r="S369" s="172"/>
      <c r="T369" s="118">
        <f t="array" ref="T369">IFERROR(
INDEX(REPORTE_DROPI!B:B,
MATCH(
CLEAN(TRIM(C369)),
CLEAN(TRIM(REPORTE_DROPI!E:E)),
0
)
),
""
)
</f>
        <v>4500271</v>
      </c>
      <c r="U369" s="169" t="s">
        <v>6936</v>
      </c>
      <c r="V369" s="166"/>
      <c r="W369" s="18"/>
      <c r="X369" s="18"/>
      <c r="Y369" s="18"/>
      <c r="Z369" s="18"/>
    </row>
    <row r="370" ht="22.5" hidden="1" customHeight="1">
      <c r="A370" s="169">
        <v>369.0</v>
      </c>
      <c r="B370" s="170">
        <v>46066.0</v>
      </c>
      <c r="C370" s="154" t="s">
        <v>6937</v>
      </c>
      <c r="D370" s="118" t="str">
        <f>IFERROR(__xludf.DUMMYFUNCTION("IFERROR( INDEX( FILTER( 'NOMBRE DE PRODUCTOS'!B:B, REGEXMATCH( UPPER( INDEX( REPORTE_DROPI!AC:AC, MATCH(T370, REPORTE_DROPI!B:B, 0) ) ), UPPER('NOMBRE DE PRODUCTOS'!A:A) ) ), 1 ), ""REVISAR"" )"),"FilmPro®")</f>
        <v>FilmPro®</v>
      </c>
      <c r="E370" s="120">
        <f t="array" ref="E370">IF(
UPPER(TRIM(CLEAN($O370)))="ENTREGADO",
IFERROR(
INDEX(REPORTE_DROPI!Y:Y,
MATCH($T370, REPORTE_DROPI!B:B, 0)
),
""
),
""
)
</f>
        <v>7.2</v>
      </c>
      <c r="F370" s="171">
        <v>3.0</v>
      </c>
      <c r="G370" s="122">
        <f t="array" ref="G370">IF(
UPPER(TRIM(CLEAN($O370)))="ENTREGADO",
IFERROR(
INDEX(REPORTE_DROPI!R:R,
MATCH($T370, REPORTE_DROPI!B:B, 0)
),
""
),
""
)
</f>
        <v>30</v>
      </c>
      <c r="H370" s="118" t="s">
        <v>3727</v>
      </c>
      <c r="I370" s="154" t="s">
        <v>3735</v>
      </c>
      <c r="J370" s="121">
        <f t="array" ref="J370">IF(
UPPER(TRIM(CLEAN($O370)))="ENTREGADO",
IFERROR(
INDEX(REPORTE_DROPI!T:T,
MATCH($T370, REPORTE_DROPI!B:B, 0)
),
""
),
""
)
</f>
        <v>6.73</v>
      </c>
      <c r="K370" s="118">
        <f t="array" ref="K370">IFERROR(
INDEX(REPORTE_DROPI!S:S,
MATCH($T370, REPORTE_DROPI!B:B, 0)
),
""
)</f>
        <v>16.07</v>
      </c>
      <c r="L370" s="118" t="str">
        <f>IF(
  O370&lt;&gt;"DEVOLUCION",
  "",
  IF(
    T370="",
    "",
    SUMIF(DEVOLUCION!F:F, T370, DEVOLUCION!D:D)
  )
)
</f>
        <v/>
      </c>
      <c r="M370" s="118" t="s">
        <v>5877</v>
      </c>
      <c r="N370" s="169" t="s">
        <v>6938</v>
      </c>
      <c r="O370" s="118" t="str">
        <f t="array" ref="O370">IFERROR(
VLOOKUP(
TRIM(CLEAN(
INDEX(REPORTE_DROPI!K:K,
MATCH(T370, REPORTE_DROPI!B:B, 0)
))),
{
TRIM(CLEAN(MAPA_ESTADOS!A:A)) ,
MAPA_ESTADOS!B:B
},
2,
FALSE
),
"REVISAR"
)</f>
        <v>ENTREGADO</v>
      </c>
      <c r="P370" s="154" t="s">
        <v>5692</v>
      </c>
      <c r="Q370" s="153">
        <f t="shared" si="1"/>
        <v>0</v>
      </c>
      <c r="R370" s="172"/>
      <c r="S370" s="172"/>
      <c r="T370" s="118">
        <f t="array" ref="T370">IFERROR(
INDEX(REPORTE_DROPI!B:B,
MATCH(
CLEAN(TRIM(C370)),
CLEAN(TRIM(REPORTE_DROPI!E:E)),
0
)
),
""
)
</f>
        <v>4500332</v>
      </c>
      <c r="U370" s="169" t="s">
        <v>6939</v>
      </c>
      <c r="V370" s="166"/>
      <c r="W370" s="18"/>
      <c r="X370" s="18"/>
      <c r="Y370" s="18"/>
      <c r="Z370" s="18"/>
    </row>
    <row r="371" ht="22.5" hidden="1" customHeight="1">
      <c r="A371" s="169">
        <v>370.0</v>
      </c>
      <c r="B371" s="170">
        <v>46066.0</v>
      </c>
      <c r="C371" s="154" t="s">
        <v>6940</v>
      </c>
      <c r="D371" s="118" t="str">
        <f>IFERROR(__xludf.DUMMYFUNCTION("IFERROR( INDEX( FILTER( 'NOMBRE DE PRODUCTOS'!B:B, REGEXMATCH( UPPER( INDEX( REPORTE_DROPI!AC:AC, MATCH(T371, REPORTE_DROPI!B:B, 0) ) ), UPPER('NOMBRE DE PRODUCTOS'!A:A) ) ), 1 ), ""REVISAR"" )"),"Cuchillo Tazaki™")</f>
        <v>Cuchillo Tazaki™</v>
      </c>
      <c r="E371" s="120" t="str">
        <f t="array" ref="E371">IF(
UPPER(TRIM(CLEAN($O371)))="ENTREGADO",
IFERROR(
INDEX(REPORTE_DROPI!Y:Y,
MATCH($T371, REPORTE_DROPI!B:B, 0)
),
""
),
""
)
</f>
        <v/>
      </c>
      <c r="F371" s="171">
        <v>2.0</v>
      </c>
      <c r="G371" s="122" t="str">
        <f t="array" ref="G371">IF(
UPPER(TRIM(CLEAN($O371)))="ENTREGADO",
IFERROR(
INDEX(REPORTE_DROPI!R:R,
MATCH($T371, REPORTE_DROPI!B:B, 0)
),
""
),
""
)
</f>
        <v/>
      </c>
      <c r="H371" s="118" t="s">
        <v>3727</v>
      </c>
      <c r="I371" s="154" t="s">
        <v>3801</v>
      </c>
      <c r="J371" s="121" t="str">
        <f t="array" ref="J371">IF(
UPPER(TRIM(CLEAN($O371)))="ENTREGADO",
IFERROR(
INDEX(REPORTE_DROPI!T:T,
MATCH($T371, REPORTE_DROPI!B:B, 0)
),
""
),
""
)
</f>
        <v/>
      </c>
      <c r="K371" s="118" t="str">
        <f t="array" ref="K371">IFERROR(
INDEX(REPORTE_DROPI!S:S,
MATCH($T371, REPORTE_DROPI!B:B, 0)
),
""
)</f>
        <v/>
      </c>
      <c r="L371" s="118" t="str">
        <f>IF(
  O371&lt;&gt;"DEVOLUCION",
  "",
  IF(
    T371="",
    "",
    SUMIF(DEVOLUCION!F:F, T371, DEVOLUCION!D:D)
  )
)
</f>
        <v/>
      </c>
      <c r="M371" s="118" t="s">
        <v>5877</v>
      </c>
      <c r="N371" s="169" t="s">
        <v>6941</v>
      </c>
      <c r="O371" s="118" t="str">
        <f t="array" ref="O371">IFERROR(
VLOOKUP(
TRIM(CLEAN(
INDEX(REPORTE_DROPI!K:K,
MATCH(T371, REPORTE_DROPI!B:B, 0)
))),
{
TRIM(CLEAN(MAPA_ESTADOS!A:A)) ,
MAPA_ESTADOS!B:B
},
2,
FALSE
),
"REVISAR"
)</f>
        <v>PENDIENTE</v>
      </c>
      <c r="P371" s="154" t="s">
        <v>6568</v>
      </c>
      <c r="Q371" s="153">
        <f t="shared" si="1"/>
        <v>0</v>
      </c>
      <c r="R371" s="172"/>
      <c r="S371" s="172"/>
      <c r="T371" s="118">
        <f t="array" ref="T371">IFERROR(
INDEX(REPORTE_DROPI!B:B,
MATCH(
CLEAN(TRIM(C371)),
CLEAN(TRIM(REPORTE_DROPI!E:E)),
0
)
),
""
)
</f>
        <v>4500415</v>
      </c>
      <c r="U371" s="169" t="s">
        <v>6942</v>
      </c>
      <c r="V371" s="166"/>
      <c r="W371" s="18"/>
      <c r="X371" s="18"/>
      <c r="Y371" s="18"/>
      <c r="Z371" s="18"/>
    </row>
    <row r="372" ht="22.5" hidden="1" customHeight="1">
      <c r="A372" s="169">
        <v>371.0</v>
      </c>
      <c r="B372" s="170">
        <v>46066.0</v>
      </c>
      <c r="C372" s="154" t="s">
        <v>6943</v>
      </c>
      <c r="D372" s="118" t="str">
        <f>IFERROR(__xludf.DUMMYFUNCTION("IFERROR( INDEX( FILTER( 'NOMBRE DE PRODUCTOS'!B:B, REGEXMATCH( UPPER( INDEX( REPORTE_DROPI!AC:AC, MATCH(T372, REPORTE_DROPI!B:B, 0) ) ), UPPER('NOMBRE DE PRODUCTOS'!A:A) ) ), 1 ), ""REVISAR"" )"),"FilmPro®")</f>
        <v>FilmPro®</v>
      </c>
      <c r="E372" s="120">
        <f t="array" ref="E372">IF(
UPPER(TRIM(CLEAN($O372)))="ENTREGADO",
IFERROR(
INDEX(REPORTE_DROPI!Y:Y,
MATCH($T372, REPORTE_DROPI!B:B, 0)
),
""
),
""
)
</f>
        <v>2.4</v>
      </c>
      <c r="F372" s="171">
        <v>1.0</v>
      </c>
      <c r="G372" s="122">
        <f t="array" ref="G372">IF(
UPPER(TRIM(CLEAN($O372)))="ENTREGADO",
IFERROR(
INDEX(REPORTE_DROPI!R:R,
MATCH($T372, REPORTE_DROPI!B:B, 0)
),
""
),
""
)
</f>
        <v>20</v>
      </c>
      <c r="H372" s="118" t="s">
        <v>3727</v>
      </c>
      <c r="I372" s="154" t="s">
        <v>3735</v>
      </c>
      <c r="J372" s="121">
        <f t="array" ref="J372">IF(
UPPER(TRIM(CLEAN($O372)))="ENTREGADO",
IFERROR(
INDEX(REPORTE_DROPI!T:T,
MATCH($T372, REPORTE_DROPI!B:B, 0)
),
""
),
""
)
</f>
        <v>5.76</v>
      </c>
      <c r="K372" s="118">
        <f t="array" ref="K372">IFERROR(
INDEX(REPORTE_DROPI!S:S,
MATCH($T372, REPORTE_DROPI!B:B, 0)
),
""
)</f>
        <v>11.84</v>
      </c>
      <c r="L372" s="118" t="str">
        <f>IF(
  O372&lt;&gt;"DEVOLUCION",
  "",
  IF(
    T372="",
    "",
    SUMIF(DEVOLUCION!F:F, T372, DEVOLUCION!D:D)
  )
)
</f>
        <v/>
      </c>
      <c r="M372" s="118" t="s">
        <v>5877</v>
      </c>
      <c r="N372" s="169" t="s">
        <v>6944</v>
      </c>
      <c r="O372" s="118" t="str">
        <f t="array" ref="O372">IFERROR(
VLOOKUP(
TRIM(CLEAN(
INDEX(REPORTE_DROPI!K:K,
MATCH(T372, REPORTE_DROPI!B:B, 0)
))),
{
TRIM(CLEAN(MAPA_ESTADOS!A:A)) ,
MAPA_ESTADOS!B:B
},
2,
FALSE
),
"REVISAR"
)</f>
        <v>ENTREGADO</v>
      </c>
      <c r="P372" s="154" t="s">
        <v>6945</v>
      </c>
      <c r="Q372" s="153">
        <f t="shared" si="1"/>
        <v>0</v>
      </c>
      <c r="R372" s="172"/>
      <c r="S372" s="172"/>
      <c r="T372" s="118">
        <f t="array" ref="T372">IFERROR(
INDEX(REPORTE_DROPI!B:B,
MATCH(
CLEAN(TRIM(C372)),
CLEAN(TRIM(REPORTE_DROPI!E:E)),
0
)
),
""
)
</f>
        <v>4500637</v>
      </c>
      <c r="U372" s="169"/>
      <c r="V372" s="166"/>
      <c r="W372" s="18"/>
      <c r="X372" s="18"/>
      <c r="Y372" s="18"/>
      <c r="Z372" s="18"/>
    </row>
    <row r="373" ht="22.5" hidden="1" customHeight="1">
      <c r="A373" s="169">
        <v>372.0</v>
      </c>
      <c r="B373" s="170">
        <v>46066.0</v>
      </c>
      <c r="C373" s="154" t="s">
        <v>6946</v>
      </c>
      <c r="D373" s="118" t="str">
        <f>IFERROR(__xludf.DUMMYFUNCTION("IFERROR( INDEX( FILTER( 'NOMBRE DE PRODUCTOS'!B:B, REGEXMATCH( UPPER( INDEX( REPORTE_DROPI!AC:AC, MATCH(T373, REPORTE_DROPI!B:B, 0) ) ), UPPER('NOMBRE DE PRODUCTOS'!A:A) ) ), 1 ), ""REVISAR"" )"),"REVISAR")</f>
        <v>REVISAR</v>
      </c>
      <c r="E373" s="120" t="str">
        <f t="array" ref="E373">IF(
UPPER(TRIM(CLEAN($O373)))="ENTREGADO",
IFERROR(
INDEX(REPORTE_DROPI!Y:Y,
MATCH($T373, REPORTE_DROPI!B:B, 0)
),
""
),
""
)
</f>
        <v/>
      </c>
      <c r="F373" s="171">
        <v>3.0</v>
      </c>
      <c r="G373" s="122" t="str">
        <f t="array" ref="G373">IF(
UPPER(TRIM(CLEAN($O373)))="ENTREGADO",
IFERROR(
INDEX(REPORTE_DROPI!R:R,
MATCH($T373, REPORTE_DROPI!B:B, 0)
),
""
),
""
)
</f>
        <v/>
      </c>
      <c r="H373" s="118" t="s">
        <v>3727</v>
      </c>
      <c r="I373" s="154" t="s">
        <v>3742</v>
      </c>
      <c r="J373" s="121" t="str">
        <f t="array" ref="J373">IF(
UPPER(TRIM(CLEAN($O373)))="ENTREGADO",
IFERROR(
INDEX(REPORTE_DROPI!T:T,
MATCH($T373, REPORTE_DROPI!B:B, 0)
),
""
),
""
)
</f>
        <v/>
      </c>
      <c r="K373" s="118" t="str">
        <f t="array" ref="K373">IFERROR(
INDEX(REPORTE_DROPI!S:S,
MATCH($T373, REPORTE_DROPI!B:B, 0)
),
""
)</f>
        <v/>
      </c>
      <c r="L373" s="118" t="str">
        <f>IF(
  O373&lt;&gt;"DEVOLUCION",
  "",
  IF(
    T373="",
    "",
    SUMIF(DEVOLUCION!F:F, T373, DEVOLUCION!D:D)
  )
)
</f>
        <v/>
      </c>
      <c r="M373" s="118" t="s">
        <v>5877</v>
      </c>
      <c r="N373" s="169" t="s">
        <v>6947</v>
      </c>
      <c r="O373" s="118" t="str">
        <f t="array" ref="O373">IFERROR(
VLOOKUP(
TRIM(CLEAN(
INDEX(REPORTE_DROPI!K:K,
MATCH(T373, REPORTE_DROPI!B:B, 0)
))),
{
TRIM(CLEAN(MAPA_ESTADOS!A:A)) ,
MAPA_ESTADOS!B:B
},
2,
FALSE
),
"REVISAR"
)</f>
        <v>REVISAR</v>
      </c>
      <c r="P373" s="154" t="s">
        <v>5692</v>
      </c>
      <c r="Q373" s="153">
        <f t="shared" si="1"/>
        <v>0</v>
      </c>
      <c r="R373" s="172"/>
      <c r="S373" s="172"/>
      <c r="T373" s="118" t="str">
        <f t="array" ref="T373">IFERROR(
INDEX(REPORTE_DROPI!B:B,
MATCH(
CLEAN(TRIM(C373)),
CLEAN(TRIM(REPORTE_DROPI!E:E)),
0
)
),
""
)
</f>
        <v/>
      </c>
      <c r="U373" s="169" t="s">
        <v>6948</v>
      </c>
      <c r="V373" s="166"/>
      <c r="W373" s="18"/>
      <c r="X373" s="18"/>
      <c r="Y373" s="18"/>
      <c r="Z373" s="18"/>
    </row>
    <row r="374" ht="22.5" hidden="1" customHeight="1">
      <c r="A374" s="169">
        <v>373.0</v>
      </c>
      <c r="B374" s="170">
        <v>46066.0</v>
      </c>
      <c r="C374" s="154" t="s">
        <v>6949</v>
      </c>
      <c r="D374" s="118" t="str">
        <f>IFERROR(__xludf.DUMMYFUNCTION("IFERROR( INDEX( FILTER( 'NOMBRE DE PRODUCTOS'!B:B, REGEXMATCH( UPPER( INDEX( REPORTE_DROPI!AC:AC, MATCH(T374, REPORTE_DROPI!B:B, 0) ) ), UPPER('NOMBRE DE PRODUCTOS'!A:A) ) ), 1 ), ""REVISAR"" )"),"FilmPro®")</f>
        <v>FilmPro®</v>
      </c>
      <c r="E374" s="120" t="str">
        <f t="array" ref="E374">IF(
UPPER(TRIM(CLEAN($O374)))="ENTREGADO",
IFERROR(
INDEX(REPORTE_DROPI!Y:Y,
MATCH($T374, REPORTE_DROPI!B:B, 0)
),
""
),
""
)
</f>
        <v/>
      </c>
      <c r="F374" s="171">
        <v>1.0</v>
      </c>
      <c r="G374" s="122" t="str">
        <f t="array" ref="G374">IF(
UPPER(TRIM(CLEAN($O374)))="ENTREGADO",
IFERROR(
INDEX(REPORTE_DROPI!R:R,
MATCH($T374, REPORTE_DROPI!B:B, 0)
),
""
),
""
)
</f>
        <v/>
      </c>
      <c r="H374" s="118" t="s">
        <v>3727</v>
      </c>
      <c r="I374" s="154" t="s">
        <v>3731</v>
      </c>
      <c r="J374" s="121" t="str">
        <f t="array" ref="J374">IF(
UPPER(TRIM(CLEAN($O374)))="ENTREGADO",
IFERROR(
INDEX(REPORTE_DROPI!T:T,
MATCH($T374, REPORTE_DROPI!B:B, 0)
),
""
),
""
)
</f>
        <v/>
      </c>
      <c r="K374" s="118" t="str">
        <f t="array" ref="K374">IFERROR(
INDEX(REPORTE_DROPI!S:S,
MATCH($T374, REPORTE_DROPI!B:B, 0)
),
""
)</f>
        <v/>
      </c>
      <c r="L374" s="118" t="str">
        <f>IF(
  O374&lt;&gt;"DEVOLUCION",
  "",
  IF(
    T374="",
    "",
    SUMIF(DEVOLUCION!F:F, T374, DEVOLUCION!D:D)
  )
)
</f>
        <v/>
      </c>
      <c r="M374" s="118" t="s">
        <v>5877</v>
      </c>
      <c r="N374" s="169" t="s">
        <v>6950</v>
      </c>
      <c r="O374" s="118" t="str">
        <f t="array" ref="O374">IFERROR(
VLOOKUP(
TRIM(CLEAN(
INDEX(REPORTE_DROPI!K:K,
MATCH(T374, REPORTE_DROPI!B:B, 0)
))),
{
TRIM(CLEAN(MAPA_ESTADOS!A:A)) ,
MAPA_ESTADOS!B:B
},
2,
FALSE
),
"REVISAR"
)</f>
        <v>PENDIENTE</v>
      </c>
      <c r="P374" s="154" t="s">
        <v>6951</v>
      </c>
      <c r="Q374" s="153">
        <f t="shared" si="1"/>
        <v>0</v>
      </c>
      <c r="R374" s="172"/>
      <c r="S374" s="172"/>
      <c r="T374" s="118">
        <f t="array" ref="T374">IFERROR(
INDEX(REPORTE_DROPI!B:B,
MATCH(
CLEAN(TRIM(C374)),
CLEAN(TRIM(REPORTE_DROPI!E:E)),
0
)
),
""
)
</f>
        <v>4501265</v>
      </c>
      <c r="U374" s="169" t="s">
        <v>6952</v>
      </c>
      <c r="V374" s="166"/>
      <c r="W374" s="18"/>
      <c r="X374" s="18"/>
      <c r="Y374" s="18"/>
      <c r="Z374" s="18"/>
    </row>
    <row r="375" ht="22.5" hidden="1" customHeight="1">
      <c r="A375" s="169">
        <v>374.0</v>
      </c>
      <c r="B375" s="170">
        <v>46066.0</v>
      </c>
      <c r="C375" s="154" t="s">
        <v>6953</v>
      </c>
      <c r="D375" s="118" t="str">
        <f>IFERROR(__xludf.DUMMYFUNCTION("IFERROR( INDEX( FILTER( 'NOMBRE DE PRODUCTOS'!B:B, REGEXMATCH( UPPER( INDEX( REPORTE_DROPI!AC:AC, MATCH(T375, REPORTE_DROPI!B:B, 0) ) ), UPPER('NOMBRE DE PRODUCTOS'!A:A) ) ), 1 ), ""REVISAR"" )"),"FilmPro®")</f>
        <v>FilmPro®</v>
      </c>
      <c r="E375" s="120">
        <f t="array" ref="E375">IF(
UPPER(TRIM(CLEAN($O375)))="ENTREGADO",
IFERROR(
INDEX(REPORTE_DROPI!Y:Y,
MATCH($T375, REPORTE_DROPI!B:B, 0)
),
""
),
""
)
</f>
        <v>7.2</v>
      </c>
      <c r="F375" s="171">
        <v>3.0</v>
      </c>
      <c r="G375" s="122">
        <f t="array" ref="G375">IF(
UPPER(TRIM(CLEAN($O375)))="ENTREGADO",
IFERROR(
INDEX(REPORTE_DROPI!R:R,
MATCH($T375, REPORTE_DROPI!B:B, 0)
),
""
),
""
)
</f>
        <v>30</v>
      </c>
      <c r="H375" s="118" t="s">
        <v>3727</v>
      </c>
      <c r="I375" s="154" t="s">
        <v>3798</v>
      </c>
      <c r="J375" s="121">
        <f t="array" ref="J375">IF(
UPPER(TRIM(CLEAN($O375)))="ENTREGADO",
IFERROR(
INDEX(REPORTE_DROPI!T:T,
MATCH($T375, REPORTE_DROPI!B:B, 0)
),
""
),
""
)
</f>
        <v>8.63</v>
      </c>
      <c r="K375" s="118">
        <f t="array" ref="K375">IFERROR(
INDEX(REPORTE_DROPI!S:S,
MATCH($T375, REPORTE_DROPI!B:B, 0)
),
""
)</f>
        <v>14.17</v>
      </c>
      <c r="L375" s="118" t="str">
        <f>IF(
  O375&lt;&gt;"DEVOLUCION",
  "",
  IF(
    T375="",
    "",
    SUMIF(DEVOLUCION!F:F, T375, DEVOLUCION!D:D)
  )
)
</f>
        <v/>
      </c>
      <c r="M375" s="118" t="s">
        <v>5877</v>
      </c>
      <c r="N375" s="169" t="s">
        <v>6954</v>
      </c>
      <c r="O375" s="118" t="str">
        <f t="array" ref="O375">IFERROR(
VLOOKUP(
TRIM(CLEAN(
INDEX(REPORTE_DROPI!K:K,
MATCH(T375, REPORTE_DROPI!B:B, 0)
))),
{
TRIM(CLEAN(MAPA_ESTADOS!A:A)) ,
MAPA_ESTADOS!B:B
},
2,
FALSE
),
"REVISAR"
)</f>
        <v>ENTREGADO</v>
      </c>
      <c r="P375" s="154" t="s">
        <v>5692</v>
      </c>
      <c r="Q375" s="153">
        <f t="shared" si="1"/>
        <v>0</v>
      </c>
      <c r="R375" s="172"/>
      <c r="S375" s="172"/>
      <c r="T375" s="118">
        <f t="array" ref="T375">IFERROR(
INDEX(REPORTE_DROPI!B:B,
MATCH(
CLEAN(TRIM(C375)),
CLEAN(TRIM(REPORTE_DROPI!E:E)),
0
)
),
""
)
</f>
        <v>4501338</v>
      </c>
      <c r="U375" s="169" t="s">
        <v>6955</v>
      </c>
      <c r="V375" s="166"/>
      <c r="W375" s="18"/>
      <c r="X375" s="18"/>
      <c r="Y375" s="18"/>
      <c r="Z375" s="18"/>
    </row>
    <row r="376" ht="22.5" hidden="1" customHeight="1">
      <c r="A376" s="169">
        <v>375.0</v>
      </c>
      <c r="B376" s="170">
        <v>46066.0</v>
      </c>
      <c r="C376" s="154" t="s">
        <v>6956</v>
      </c>
      <c r="D376" s="118" t="str">
        <f>IFERROR(__xludf.DUMMYFUNCTION("IFERROR( INDEX( FILTER( 'NOMBRE DE PRODUCTOS'!B:B, REGEXMATCH( UPPER( INDEX( REPORTE_DROPI!AC:AC, MATCH(T376, REPORTE_DROPI!B:B, 0) ) ), UPPER('NOMBRE DE PRODUCTOS'!A:A) ) ), 1 ), ""REVISAR"" )"),"FilmPro®")</f>
        <v>FilmPro®</v>
      </c>
      <c r="E376" s="120">
        <f t="array" ref="E376">IF(
UPPER(TRIM(CLEAN($O376)))="ENTREGADO",
IFERROR(
INDEX(REPORTE_DROPI!Y:Y,
MATCH($T376, REPORTE_DROPI!B:B, 0)
),
""
),
""
)
</f>
        <v>2.4</v>
      </c>
      <c r="F376" s="171">
        <v>1.0</v>
      </c>
      <c r="G376" s="122">
        <f t="array" ref="G376">IF(
UPPER(TRIM(CLEAN($O376)))="ENTREGADO",
IFERROR(
INDEX(REPORTE_DROPI!R:R,
MATCH($T376, REPORTE_DROPI!B:B, 0)
),
""
),
""
)
</f>
        <v>20</v>
      </c>
      <c r="H376" s="118" t="s">
        <v>3727</v>
      </c>
      <c r="I376" s="154" t="s">
        <v>3731</v>
      </c>
      <c r="J376" s="121">
        <f t="array" ref="J376">IF(
UPPER(TRIM(CLEAN($O376)))="ENTREGADO",
IFERROR(
INDEX(REPORTE_DROPI!T:T,
MATCH($T376, REPORTE_DROPI!B:B, 0)
),
""
),
""
)
</f>
        <v>5.76</v>
      </c>
      <c r="K376" s="118">
        <f t="array" ref="K376">IFERROR(
INDEX(REPORTE_DROPI!S:S,
MATCH($T376, REPORTE_DROPI!B:B, 0)
),
""
)</f>
        <v>11.84</v>
      </c>
      <c r="L376" s="118" t="str">
        <f>IF(
  O376&lt;&gt;"DEVOLUCION",
  "",
  IF(
    T376="",
    "",
    SUMIF(DEVOLUCION!F:F, T376, DEVOLUCION!D:D)
  )
)
</f>
        <v/>
      </c>
      <c r="M376" s="118" t="s">
        <v>5877</v>
      </c>
      <c r="N376" s="169" t="s">
        <v>6957</v>
      </c>
      <c r="O376" s="118" t="str">
        <f t="array" ref="O376">IFERROR(
VLOOKUP(
TRIM(CLEAN(
INDEX(REPORTE_DROPI!K:K,
MATCH(T376, REPORTE_DROPI!B:B, 0)
))),
{
TRIM(CLEAN(MAPA_ESTADOS!A:A)) ,
MAPA_ESTADOS!B:B
},
2,
FALSE
),
"REVISAR"
)</f>
        <v>ENTREGADO</v>
      </c>
      <c r="P376" s="154" t="s">
        <v>5692</v>
      </c>
      <c r="Q376" s="153">
        <f t="shared" si="1"/>
        <v>0</v>
      </c>
      <c r="R376" s="172"/>
      <c r="S376" s="172"/>
      <c r="T376" s="118">
        <f t="array" ref="T376">IFERROR(
INDEX(REPORTE_DROPI!B:B,
MATCH(
CLEAN(TRIM(C376)),
CLEAN(TRIM(REPORTE_DROPI!E:E)),
0
)
),
""
)
</f>
        <v>4501793</v>
      </c>
      <c r="U376" s="169" t="s">
        <v>6958</v>
      </c>
      <c r="V376" s="166"/>
      <c r="W376" s="18"/>
      <c r="X376" s="18"/>
      <c r="Y376" s="18"/>
      <c r="Z376" s="18"/>
    </row>
    <row r="377" ht="22.5" hidden="1" customHeight="1">
      <c r="A377" s="169">
        <v>376.0</v>
      </c>
      <c r="B377" s="170">
        <v>46066.0</v>
      </c>
      <c r="C377" s="154" t="s">
        <v>6959</v>
      </c>
      <c r="D377" s="118" t="str">
        <f>IFERROR(__xludf.DUMMYFUNCTION("IFERROR( INDEX( FILTER( 'NOMBRE DE PRODUCTOS'!B:B, REGEXMATCH( UPPER( INDEX( REPORTE_DROPI!AC:AC, MATCH(T377, REPORTE_DROPI!B:B, 0) ) ), UPPER('NOMBRE DE PRODUCTOS'!A:A) ) ), 1 ), ""REVISAR"" )"),"FilmPro®")</f>
        <v>FilmPro®</v>
      </c>
      <c r="E377" s="120" t="str">
        <f t="array" ref="E377">IF(
UPPER(TRIM(CLEAN($O377)))="ENTREGADO",
IFERROR(
INDEX(REPORTE_DROPI!Y:Y,
MATCH($T377, REPORTE_DROPI!B:B, 0)
),
""
),
""
)
</f>
        <v/>
      </c>
      <c r="F377" s="171">
        <v>2.0</v>
      </c>
      <c r="G377" s="122" t="str">
        <f t="array" ref="G377">IF(
UPPER(TRIM(CLEAN($O377)))="ENTREGADO",
IFERROR(
INDEX(REPORTE_DROPI!R:R,
MATCH($T377, REPORTE_DROPI!B:B, 0)
),
""
),
""
)
</f>
        <v/>
      </c>
      <c r="H377" s="118" t="s">
        <v>3727</v>
      </c>
      <c r="I377" s="154" t="s">
        <v>3731</v>
      </c>
      <c r="J377" s="121" t="str">
        <f t="array" ref="J377">IF(
UPPER(TRIM(CLEAN($O377)))="ENTREGADO",
IFERROR(
INDEX(REPORTE_DROPI!T:T,
MATCH($T377, REPORTE_DROPI!B:B, 0)
),
""
),
""
)
</f>
        <v/>
      </c>
      <c r="K377" s="118" t="str">
        <f t="array" ref="K377">IFERROR(
INDEX(REPORTE_DROPI!S:S,
MATCH($T377, REPORTE_DROPI!B:B, 0)
),
""
)</f>
        <v/>
      </c>
      <c r="L377" s="118" t="str">
        <f>IF(
  O377&lt;&gt;"DEVOLUCION",
  "",
  IF(
    T377="",
    "",
    SUMIF(DEVOLUCION!F:F, T377, DEVOLUCION!D:D)
  )
)
</f>
        <v/>
      </c>
      <c r="M377" s="118" t="s">
        <v>5877</v>
      </c>
      <c r="N377" s="169" t="s">
        <v>6960</v>
      </c>
      <c r="O377" s="118" t="str">
        <f t="array" ref="O377">IFERROR(
VLOOKUP(
TRIM(CLEAN(
INDEX(REPORTE_DROPI!K:K,
MATCH(T377, REPORTE_DROPI!B:B, 0)
))),
{
TRIM(CLEAN(MAPA_ESTADOS!A:A)) ,
MAPA_ESTADOS!B:B
},
2,
FALSE
),
"REVISAR"
)</f>
        <v>CANCELADO</v>
      </c>
      <c r="P377" s="154" t="s">
        <v>5952</v>
      </c>
      <c r="Q377" s="153">
        <f t="shared" si="1"/>
        <v>0</v>
      </c>
      <c r="R377" s="172"/>
      <c r="S377" s="172"/>
      <c r="T377" s="118">
        <f t="array" ref="T377">IFERROR(
INDEX(REPORTE_DROPI!B:B,
MATCH(
CLEAN(TRIM(C377)),
CLEAN(TRIM(REPORTE_DROPI!E:E)),
0
)
),
""
)
</f>
        <v>4501877</v>
      </c>
      <c r="U377" s="169" t="s">
        <v>6961</v>
      </c>
      <c r="V377" s="166"/>
      <c r="W377" s="18"/>
      <c r="X377" s="18"/>
      <c r="Y377" s="18"/>
      <c r="Z377" s="18"/>
    </row>
    <row r="378" ht="22.5" hidden="1" customHeight="1">
      <c r="A378" s="169">
        <v>377.0</v>
      </c>
      <c r="B378" s="170">
        <v>46066.0</v>
      </c>
      <c r="C378" s="154" t="s">
        <v>6962</v>
      </c>
      <c r="D378" s="118" t="str">
        <f>IFERROR(__xludf.DUMMYFUNCTION("IFERROR( INDEX( FILTER( 'NOMBRE DE PRODUCTOS'!B:B, REGEXMATCH( UPPER( INDEX( REPORTE_DROPI!AC:AC, MATCH(T378, REPORTE_DROPI!B:B, 0) ) ), UPPER('NOMBRE DE PRODUCTOS'!A:A) ) ), 1 ), ""REVISAR"" )"),"FilmPro®")</f>
        <v>FilmPro®</v>
      </c>
      <c r="E378" s="120">
        <f t="array" ref="E378">IF(
UPPER(TRIM(CLEAN($O378)))="ENTREGADO",
IFERROR(
INDEX(REPORTE_DROPI!Y:Y,
MATCH($T378, REPORTE_DROPI!B:B, 0)
),
""
),
""
)
</f>
        <v>2.4</v>
      </c>
      <c r="F378" s="171">
        <v>1.0</v>
      </c>
      <c r="G378" s="122">
        <f t="array" ref="G378">IF(
UPPER(TRIM(CLEAN($O378)))="ENTREGADO",
IFERROR(
INDEX(REPORTE_DROPI!R:R,
MATCH($T378, REPORTE_DROPI!B:B, 0)
),
""
),
""
)
</f>
        <v>20</v>
      </c>
      <c r="H378" s="118" t="s">
        <v>3727</v>
      </c>
      <c r="I378" s="154" t="s">
        <v>3979</v>
      </c>
      <c r="J378" s="121">
        <f t="array" ref="J378">IF(
UPPER(TRIM(CLEAN($O378)))="ENTREGADO",
IFERROR(
INDEX(REPORTE_DROPI!T:T,
MATCH($T378, REPORTE_DROPI!B:B, 0)
),
""
),
""
)
</f>
        <v>5.76</v>
      </c>
      <c r="K378" s="118">
        <f t="array" ref="K378">IFERROR(
INDEX(REPORTE_DROPI!S:S,
MATCH($T378, REPORTE_DROPI!B:B, 0)
),
""
)</f>
        <v>11.84</v>
      </c>
      <c r="L378" s="118" t="str">
        <f>IF(
  O378&lt;&gt;"DEVOLUCION",
  "",
  IF(
    T378="",
    "",
    SUMIF(DEVOLUCION!F:F, T378, DEVOLUCION!D:D)
  )
)
</f>
        <v/>
      </c>
      <c r="M378" s="118" t="s">
        <v>5877</v>
      </c>
      <c r="N378" s="169" t="s">
        <v>6963</v>
      </c>
      <c r="O378" s="118" t="str">
        <f t="array" ref="O378">IFERROR(
VLOOKUP(
TRIM(CLEAN(
INDEX(REPORTE_DROPI!K:K,
MATCH(T378, REPORTE_DROPI!B:B, 0)
))),
{
TRIM(CLEAN(MAPA_ESTADOS!A:A)) ,
MAPA_ESTADOS!B:B
},
2,
FALSE
),
"REVISAR"
)</f>
        <v>ENTREGADO</v>
      </c>
      <c r="P378" s="154" t="s">
        <v>5692</v>
      </c>
      <c r="Q378" s="153">
        <f t="shared" si="1"/>
        <v>0</v>
      </c>
      <c r="R378" s="172"/>
      <c r="S378" s="172"/>
      <c r="T378" s="118">
        <f t="array" ref="T378">IFERROR(
INDEX(REPORTE_DROPI!B:B,
MATCH(
CLEAN(TRIM(C378)),
CLEAN(TRIM(REPORTE_DROPI!E:E)),
0
)
),
""
)
</f>
        <v>4502158</v>
      </c>
      <c r="U378" s="169" t="s">
        <v>6964</v>
      </c>
      <c r="V378" s="166"/>
      <c r="W378" s="18"/>
      <c r="X378" s="18"/>
      <c r="Y378" s="18"/>
      <c r="Z378" s="18"/>
    </row>
    <row r="379" ht="22.5" hidden="1" customHeight="1">
      <c r="A379" s="169">
        <v>378.0</v>
      </c>
      <c r="B379" s="170">
        <v>46066.0</v>
      </c>
      <c r="C379" s="154" t="s">
        <v>6965</v>
      </c>
      <c r="D379" s="118" t="str">
        <f>IFERROR(__xludf.DUMMYFUNCTION("IFERROR( INDEX( FILTER( 'NOMBRE DE PRODUCTOS'!B:B, REGEXMATCH( UPPER( INDEX( REPORTE_DROPI!AC:AC, MATCH(T379, REPORTE_DROPI!B:B, 0) ) ), UPPER('NOMBRE DE PRODUCTOS'!A:A) ) ), 1 ), ""REVISAR"" )"),"Cuchillo Tazaki™")</f>
        <v>Cuchillo Tazaki™</v>
      </c>
      <c r="E379" s="120" t="str">
        <f t="array" ref="E379">IF(
UPPER(TRIM(CLEAN($O379)))="ENTREGADO",
IFERROR(
INDEX(REPORTE_DROPI!Y:Y,
MATCH($T379, REPORTE_DROPI!B:B, 0)
),
""
),
""
)
</f>
        <v/>
      </c>
      <c r="F379" s="171">
        <v>3.0</v>
      </c>
      <c r="G379" s="122" t="str">
        <f t="array" ref="G379">IF(
UPPER(TRIM(CLEAN($O379)))="ENTREGADO",
IFERROR(
INDEX(REPORTE_DROPI!R:R,
MATCH($T379, REPORTE_DROPI!B:B, 0)
),
""
),
""
)
</f>
        <v/>
      </c>
      <c r="H379" s="118" t="s">
        <v>3727</v>
      </c>
      <c r="I379" s="154" t="s">
        <v>3759</v>
      </c>
      <c r="J379" s="121" t="str">
        <f t="array" ref="J379">IF(
UPPER(TRIM(CLEAN($O379)))="ENTREGADO",
IFERROR(
INDEX(REPORTE_DROPI!T:T,
MATCH($T379, REPORTE_DROPI!B:B, 0)
),
""
),
""
)
</f>
        <v/>
      </c>
      <c r="K379" s="118" t="str">
        <f t="array" ref="K379">IFERROR(
INDEX(REPORTE_DROPI!S:S,
MATCH($T379, REPORTE_DROPI!B:B, 0)
),
""
)</f>
        <v/>
      </c>
      <c r="L379" s="118" t="str">
        <f>IF(
  O379&lt;&gt;"DEVOLUCION",
  "",
  IF(
    T379="",
    "",
    SUMIF(DEVOLUCION!F:F, T379, DEVOLUCION!D:D)
  )
)
</f>
        <v/>
      </c>
      <c r="M379" s="118" t="s">
        <v>5877</v>
      </c>
      <c r="N379" s="169" t="s">
        <v>6966</v>
      </c>
      <c r="O379" s="118" t="str">
        <f t="array" ref="O379">IFERROR(
VLOOKUP(
TRIM(CLEAN(
INDEX(REPORTE_DROPI!K:K,
MATCH(T379, REPORTE_DROPI!B:B, 0)
))),
{
TRIM(CLEAN(MAPA_ESTADOS!A:A)) ,
MAPA_ESTADOS!B:B
},
2,
FALSE
),
"REVISAR"
)</f>
        <v>CANCELADO</v>
      </c>
      <c r="P379" s="154" t="s">
        <v>5952</v>
      </c>
      <c r="Q379" s="153">
        <f t="shared" si="1"/>
        <v>0</v>
      </c>
      <c r="R379" s="172"/>
      <c r="S379" s="172"/>
      <c r="T379" s="118">
        <f t="array" ref="T379">IFERROR(
INDEX(REPORTE_DROPI!B:B,
MATCH(
CLEAN(TRIM(C379)),
CLEAN(TRIM(REPORTE_DROPI!E:E)),
0
)
),
""
)
</f>
        <v>4502422</v>
      </c>
      <c r="U379" s="169" t="s">
        <v>6967</v>
      </c>
      <c r="V379" s="166"/>
      <c r="W379" s="18"/>
      <c r="X379" s="18"/>
      <c r="Y379" s="18"/>
      <c r="Z379" s="18"/>
    </row>
    <row r="380" ht="22.5" hidden="1" customHeight="1">
      <c r="A380" s="169">
        <v>379.0</v>
      </c>
      <c r="B380" s="170">
        <v>46066.0</v>
      </c>
      <c r="C380" s="154" t="s">
        <v>6968</v>
      </c>
      <c r="D380" s="118" t="str">
        <f>IFERROR(__xludf.DUMMYFUNCTION("IFERROR( INDEX( FILTER( 'NOMBRE DE PRODUCTOS'!B:B, REGEXMATCH( UPPER( INDEX( REPORTE_DROPI!AC:AC, MATCH(T380, REPORTE_DROPI!B:B, 0) ) ), UPPER('NOMBRE DE PRODUCTOS'!A:A) ) ), 1 ), ""REVISAR"" )"),"Cuchillo Tazaki™")</f>
        <v>Cuchillo Tazaki™</v>
      </c>
      <c r="E380" s="120" t="str">
        <f t="array" ref="E380">IF(
UPPER(TRIM(CLEAN($O380)))="ENTREGADO",
IFERROR(
INDEX(REPORTE_DROPI!Y:Y,
MATCH($T380, REPORTE_DROPI!B:B, 0)
),
""
),
""
)
</f>
        <v/>
      </c>
      <c r="F380" s="171">
        <v>2.0</v>
      </c>
      <c r="G380" s="122" t="str">
        <f t="array" ref="G380">IF(
UPPER(TRIM(CLEAN($O380)))="ENTREGADO",
IFERROR(
INDEX(REPORTE_DROPI!R:R,
MATCH($T380, REPORTE_DROPI!B:B, 0)
),
""
),
""
)
</f>
        <v/>
      </c>
      <c r="H380" s="118" t="s">
        <v>3727</v>
      </c>
      <c r="I380" s="154" t="s">
        <v>3742</v>
      </c>
      <c r="J380" s="121" t="str">
        <f t="array" ref="J380">IF(
UPPER(TRIM(CLEAN($O380)))="ENTREGADO",
IFERROR(
INDEX(REPORTE_DROPI!T:T,
MATCH($T380, REPORTE_DROPI!B:B, 0)
),
""
),
""
)
</f>
        <v/>
      </c>
      <c r="K380" s="118" t="str">
        <f t="array" ref="K380">IFERROR(
INDEX(REPORTE_DROPI!S:S,
MATCH($T380, REPORTE_DROPI!B:B, 0)
),
""
)</f>
        <v/>
      </c>
      <c r="L380" s="118" t="str">
        <f>IF(
  O380&lt;&gt;"DEVOLUCION",
  "",
  IF(
    T380="",
    "",
    SUMIF(DEVOLUCION!F:F, T380, DEVOLUCION!D:D)
  )
)
</f>
        <v/>
      </c>
      <c r="M380" s="118" t="s">
        <v>5877</v>
      </c>
      <c r="N380" s="169" t="s">
        <v>6969</v>
      </c>
      <c r="O380" s="118" t="str">
        <f t="array" ref="O380">IFERROR(
VLOOKUP(
TRIM(CLEAN(
INDEX(REPORTE_DROPI!K:K,
MATCH(T380, REPORTE_DROPI!B:B, 0)
))),
{
TRIM(CLEAN(MAPA_ESTADOS!A:A)) ,
MAPA_ESTADOS!B:B
},
2,
FALSE
),
"REVISAR"
)</f>
        <v>PENDIENTE</v>
      </c>
      <c r="P380" s="154" t="s">
        <v>5840</v>
      </c>
      <c r="Q380" s="153">
        <f t="shared" si="1"/>
        <v>0</v>
      </c>
      <c r="R380" s="172"/>
      <c r="S380" s="172"/>
      <c r="T380" s="118">
        <f t="array" ref="T380">IFERROR(
INDEX(REPORTE_DROPI!B:B,
MATCH(
CLEAN(TRIM(C380)),
CLEAN(TRIM(REPORTE_DROPI!E:E)),
0
)
),
""
)
</f>
        <v>4502579</v>
      </c>
      <c r="U380" s="169" t="s">
        <v>6970</v>
      </c>
      <c r="V380" s="166"/>
      <c r="W380" s="18"/>
      <c r="X380" s="18"/>
      <c r="Y380" s="18"/>
      <c r="Z380" s="18"/>
    </row>
    <row r="381" ht="22.5" hidden="1" customHeight="1">
      <c r="A381" s="169">
        <v>380.0</v>
      </c>
      <c r="B381" s="170">
        <v>46066.0</v>
      </c>
      <c r="C381" s="154" t="s">
        <v>6971</v>
      </c>
      <c r="D381" s="118" t="str">
        <f>IFERROR(__xludf.DUMMYFUNCTION("IFERROR( INDEX( FILTER( 'NOMBRE DE PRODUCTOS'!B:B, REGEXMATCH( UPPER( INDEX( REPORTE_DROPI!AC:AC, MATCH(T381, REPORTE_DROPI!B:B, 0) ) ), UPPER('NOMBRE DE PRODUCTOS'!A:A) ) ), 1 ), ""REVISAR"" )"),"FilmPro®")</f>
        <v>FilmPro®</v>
      </c>
      <c r="E381" s="120">
        <f t="array" ref="E381">IF(
UPPER(TRIM(CLEAN($O381)))="ENTREGADO",
IFERROR(
INDEX(REPORTE_DROPI!Y:Y,
MATCH($T381, REPORTE_DROPI!B:B, 0)
),
""
),
""
)
</f>
        <v>2.4</v>
      </c>
      <c r="F381" s="171">
        <v>1.0</v>
      </c>
      <c r="G381" s="122">
        <f t="array" ref="G381">IF(
UPPER(TRIM(CLEAN($O381)))="ENTREGADO",
IFERROR(
INDEX(REPORTE_DROPI!R:R,
MATCH($T381, REPORTE_DROPI!B:B, 0)
),
""
),
""
)
</f>
        <v>20</v>
      </c>
      <c r="H381" s="118" t="s">
        <v>3727</v>
      </c>
      <c r="I381" s="154" t="s">
        <v>3740</v>
      </c>
      <c r="J381" s="121">
        <f t="array" ref="J381">IF(
UPPER(TRIM(CLEAN($O381)))="ENTREGADO",
IFERROR(
INDEX(REPORTE_DROPI!T:T,
MATCH($T381, REPORTE_DROPI!B:B, 0)
),
""
),
""
)
</f>
        <v>4.15</v>
      </c>
      <c r="K381" s="118">
        <f t="array" ref="K381">IFERROR(
INDEX(REPORTE_DROPI!S:S,
MATCH($T381, REPORTE_DROPI!B:B, 0)
),
""
)</f>
        <v>13.45</v>
      </c>
      <c r="L381" s="118" t="str">
        <f>IF(
  O381&lt;&gt;"DEVOLUCION",
  "",
  IF(
    T381="",
    "",
    SUMIF(DEVOLUCION!F:F, T381, DEVOLUCION!D:D)
  )
)
</f>
        <v/>
      </c>
      <c r="M381" s="118" t="s">
        <v>5877</v>
      </c>
      <c r="N381" s="169" t="s">
        <v>6972</v>
      </c>
      <c r="O381" s="118" t="str">
        <f t="array" ref="O381">IFERROR(
VLOOKUP(
TRIM(CLEAN(
INDEX(REPORTE_DROPI!K:K,
MATCH(T381, REPORTE_DROPI!B:B, 0)
))),
{
TRIM(CLEAN(MAPA_ESTADOS!A:A)) ,
MAPA_ESTADOS!B:B
},
2,
FALSE
),
"REVISAR"
)</f>
        <v>ENTREGADO</v>
      </c>
      <c r="P381" s="154" t="s">
        <v>6481</v>
      </c>
      <c r="Q381" s="153">
        <f t="shared" si="1"/>
        <v>0</v>
      </c>
      <c r="R381" s="172"/>
      <c r="S381" s="172"/>
      <c r="T381" s="118">
        <f t="array" ref="T381">IFERROR(
INDEX(REPORTE_DROPI!B:B,
MATCH(
CLEAN(TRIM(C381)),
CLEAN(TRIM(REPORTE_DROPI!E:E)),
0
)
),
""
)
</f>
        <v>4502915</v>
      </c>
      <c r="U381" s="169" t="s">
        <v>6973</v>
      </c>
      <c r="V381" s="166"/>
      <c r="W381" s="18"/>
      <c r="X381" s="18"/>
      <c r="Y381" s="18"/>
      <c r="Z381" s="18"/>
    </row>
    <row r="382" ht="22.5" hidden="1" customHeight="1">
      <c r="A382" s="169">
        <v>381.0</v>
      </c>
      <c r="B382" s="170">
        <v>46066.0</v>
      </c>
      <c r="C382" s="154" t="s">
        <v>6974</v>
      </c>
      <c r="D382" s="118" t="str">
        <f>IFERROR(__xludf.DUMMYFUNCTION("IFERROR( INDEX( FILTER( 'NOMBRE DE PRODUCTOS'!B:B, REGEXMATCH( UPPER( INDEX( REPORTE_DROPI!AC:AC, MATCH(T382, REPORTE_DROPI!B:B, 0) ) ), UPPER('NOMBRE DE PRODUCTOS'!A:A) ) ), 1 ), ""REVISAR"" )"),"Cuchillo Tazaki™")</f>
        <v>Cuchillo Tazaki™</v>
      </c>
      <c r="E382" s="120">
        <f t="array" ref="E382">IF(
UPPER(TRIM(CLEAN($O382)))="ENTREGADO",
IFERROR(
INDEX(REPORTE_DROPI!Y:Y,
MATCH($T382, REPORTE_DROPI!B:B, 0)
),
""
),
""
)
</f>
        <v>5.2</v>
      </c>
      <c r="F382" s="171">
        <v>2.0</v>
      </c>
      <c r="G382" s="122">
        <f t="array" ref="G382">IF(
UPPER(TRIM(CLEAN($O382)))="ENTREGADO",
IFERROR(
INDEX(REPORTE_DROPI!R:R,
MATCH($T382, REPORTE_DROPI!B:B, 0)
),
""
),
""
)
</f>
        <v>22</v>
      </c>
      <c r="H382" s="118" t="s">
        <v>3727</v>
      </c>
      <c r="I382" s="154" t="s">
        <v>3731</v>
      </c>
      <c r="J382" s="121">
        <f t="array" ref="J382">IF(
UPPER(TRIM(CLEAN($O382)))="ENTREGADO",
IFERROR(
INDEX(REPORTE_DROPI!T:T,
MATCH($T382, REPORTE_DROPI!B:B, 0)
),
""
),
""
)
</f>
        <v>5.84</v>
      </c>
      <c r="K382" s="118">
        <f t="array" ref="K382">IFERROR(
INDEX(REPORTE_DROPI!S:S,
MATCH($T382, REPORTE_DROPI!B:B, 0)
),
""
)</f>
        <v>10.96</v>
      </c>
      <c r="L382" s="118" t="str">
        <f>IF(
  O382&lt;&gt;"DEVOLUCION",
  "",
  IF(
    T382="",
    "",
    SUMIF(DEVOLUCION!F:F, T382, DEVOLUCION!D:D)
  )
)
</f>
        <v/>
      </c>
      <c r="M382" s="118" t="s">
        <v>5877</v>
      </c>
      <c r="N382" s="169" t="s">
        <v>6975</v>
      </c>
      <c r="O382" s="118" t="str">
        <f t="array" ref="O382">IFERROR(
VLOOKUP(
TRIM(CLEAN(
INDEX(REPORTE_DROPI!K:K,
MATCH(T382, REPORTE_DROPI!B:B, 0)
))),
{
TRIM(CLEAN(MAPA_ESTADOS!A:A)) ,
MAPA_ESTADOS!B:B
},
2,
FALSE
),
"REVISAR"
)</f>
        <v>ENTREGADO</v>
      </c>
      <c r="P382" s="154" t="s">
        <v>5692</v>
      </c>
      <c r="Q382" s="153">
        <f t="shared" si="1"/>
        <v>0</v>
      </c>
      <c r="R382" s="172"/>
      <c r="S382" s="172"/>
      <c r="T382" s="118">
        <f t="array" ref="T382">IFERROR(
INDEX(REPORTE_DROPI!B:B,
MATCH(
CLEAN(TRIM(C382)),
CLEAN(TRIM(REPORTE_DROPI!E:E)),
0
)
),
""
)
</f>
        <v>4503209</v>
      </c>
      <c r="U382" s="169" t="s">
        <v>6976</v>
      </c>
      <c r="V382" s="166"/>
      <c r="W382" s="18"/>
      <c r="X382" s="18"/>
      <c r="Y382" s="18"/>
      <c r="Z382" s="18"/>
    </row>
    <row r="383" ht="22.5" hidden="1" customHeight="1">
      <c r="A383" s="169">
        <v>382.0</v>
      </c>
      <c r="B383" s="170">
        <v>46066.0</v>
      </c>
      <c r="C383" s="154" t="s">
        <v>6977</v>
      </c>
      <c r="D383" s="118" t="str">
        <f>IFERROR(__xludf.DUMMYFUNCTION("IFERROR( INDEX( FILTER( 'NOMBRE DE PRODUCTOS'!B:B, REGEXMATCH( UPPER( INDEX( REPORTE_DROPI!AC:AC, MATCH(T383, REPORTE_DROPI!B:B, 0) ) ), UPPER('NOMBRE DE PRODUCTOS'!A:A) ) ), 1 ), ""REVISAR"" )"),"FilmPro®")</f>
        <v>FilmPro®</v>
      </c>
      <c r="E383" s="120">
        <f t="array" ref="E383">IF(
UPPER(TRIM(CLEAN($O383)))="ENTREGADO",
IFERROR(
INDEX(REPORTE_DROPI!Y:Y,
MATCH($T383, REPORTE_DROPI!B:B, 0)
),
""
),
""
)
</f>
        <v>7.2</v>
      </c>
      <c r="F383" s="171">
        <v>3.0</v>
      </c>
      <c r="G383" s="122">
        <f t="array" ref="G383">IF(
UPPER(TRIM(CLEAN($O383)))="ENTREGADO",
IFERROR(
INDEX(REPORTE_DROPI!R:R,
MATCH($T383, REPORTE_DROPI!B:B, 0)
),
""
),
""
)
</f>
        <v>30</v>
      </c>
      <c r="H383" s="118" t="s">
        <v>3727</v>
      </c>
      <c r="I383" s="154" t="s">
        <v>3731</v>
      </c>
      <c r="J383" s="121">
        <f t="array" ref="J383">IF(
UPPER(TRIM(CLEAN($O383)))="ENTREGADO",
IFERROR(
INDEX(REPORTE_DROPI!T:T,
MATCH($T383, REPORTE_DROPI!B:B, 0)
),
""
),
""
)
</f>
        <v>6.16</v>
      </c>
      <c r="K383" s="118">
        <f t="array" ref="K383">IFERROR(
INDEX(REPORTE_DROPI!S:S,
MATCH($T383, REPORTE_DROPI!B:B, 0)
),
""
)</f>
        <v>16.64</v>
      </c>
      <c r="L383" s="118" t="str">
        <f>IF(
  O383&lt;&gt;"DEVOLUCION",
  "",
  IF(
    T383="",
    "",
    SUMIF(DEVOLUCION!F:F, T383, DEVOLUCION!D:D)
  )
)
</f>
        <v/>
      </c>
      <c r="M383" s="118" t="s">
        <v>5877</v>
      </c>
      <c r="N383" s="169" t="s">
        <v>6978</v>
      </c>
      <c r="O383" s="118" t="str">
        <f t="array" ref="O383">IFERROR(
VLOOKUP(
TRIM(CLEAN(
INDEX(REPORTE_DROPI!K:K,
MATCH(T383, REPORTE_DROPI!B:B, 0)
))),
{
TRIM(CLEAN(MAPA_ESTADOS!A:A)) ,
MAPA_ESTADOS!B:B
},
2,
FALSE
),
"REVISAR"
)</f>
        <v>ENTREGADO</v>
      </c>
      <c r="P383" s="154" t="s">
        <v>5692</v>
      </c>
      <c r="Q383" s="153">
        <f t="shared" si="1"/>
        <v>0</v>
      </c>
      <c r="R383" s="172"/>
      <c r="S383" s="172"/>
      <c r="T383" s="118">
        <f t="array" ref="T383">IFERROR(
INDEX(REPORTE_DROPI!B:B,
MATCH(
CLEAN(TRIM(C383)),
CLEAN(TRIM(REPORTE_DROPI!E:E)),
0
)
),
""
)
</f>
        <v>4503257</v>
      </c>
      <c r="U383" s="169" t="s">
        <v>6979</v>
      </c>
      <c r="V383" s="166"/>
      <c r="W383" s="18"/>
      <c r="X383" s="18"/>
      <c r="Y383" s="18"/>
      <c r="Z383" s="18"/>
    </row>
    <row r="384" ht="22.5" hidden="1" customHeight="1">
      <c r="A384" s="169">
        <v>383.0</v>
      </c>
      <c r="B384" s="170">
        <v>46066.0</v>
      </c>
      <c r="C384" s="154" t="s">
        <v>6980</v>
      </c>
      <c r="D384" s="118" t="str">
        <f>IFERROR(__xludf.DUMMYFUNCTION("IFERROR( INDEX( FILTER( 'NOMBRE DE PRODUCTOS'!B:B, REGEXMATCH( UPPER( INDEX( REPORTE_DROPI!AC:AC, MATCH(T384, REPORTE_DROPI!B:B, 0) ) ), UPPER('NOMBRE DE PRODUCTOS'!A:A) ) ), 1 ), ""REVISAR"" )"),"Cuchillo Tazaki™")</f>
        <v>Cuchillo Tazaki™</v>
      </c>
      <c r="E384" s="120">
        <f t="array" ref="E384">IF(
UPPER(TRIM(CLEAN($O384)))="ENTREGADO",
IFERROR(
INDEX(REPORTE_DROPI!Y:Y,
MATCH($T384, REPORTE_DROPI!B:B, 0)
),
""
),
""
)
</f>
        <v>7.8</v>
      </c>
      <c r="F384" s="171">
        <v>3.0</v>
      </c>
      <c r="G384" s="122">
        <f t="array" ref="G384">IF(
UPPER(TRIM(CLEAN($O384)))="ENTREGADO",
IFERROR(
INDEX(REPORTE_DROPI!R:R,
MATCH($T384, REPORTE_DROPI!B:B, 0)
),
""
),
""
)
</f>
        <v>27</v>
      </c>
      <c r="H384" s="118" t="s">
        <v>3727</v>
      </c>
      <c r="I384" s="154" t="s">
        <v>3731</v>
      </c>
      <c r="J384" s="121">
        <f t="array" ref="J384">IF(
UPPER(TRIM(CLEAN($O384)))="ENTREGADO",
IFERROR(
INDEX(REPORTE_DROPI!T:T,
MATCH($T384, REPORTE_DROPI!B:B, 0)
),
""
),
""
)
</f>
        <v>6.03</v>
      </c>
      <c r="K384" s="118">
        <f t="array" ref="K384">IFERROR(
INDEX(REPORTE_DROPI!S:S,
MATCH($T384, REPORTE_DROPI!B:B, 0)
),
""
)</f>
        <v>13.17</v>
      </c>
      <c r="L384" s="118" t="str">
        <f>IF(
  O384&lt;&gt;"DEVOLUCION",
  "",
  IF(
    T384="",
    "",
    SUMIF(DEVOLUCION!F:F, T384, DEVOLUCION!D:D)
  )
)
</f>
        <v/>
      </c>
      <c r="M384" s="118" t="s">
        <v>5877</v>
      </c>
      <c r="N384" s="169" t="s">
        <v>6981</v>
      </c>
      <c r="O384" s="118" t="str">
        <f t="array" ref="O384">IFERROR(
VLOOKUP(
TRIM(CLEAN(
INDEX(REPORTE_DROPI!K:K,
MATCH(T384, REPORTE_DROPI!B:B, 0)
))),
{
TRIM(CLEAN(MAPA_ESTADOS!A:A)) ,
MAPA_ESTADOS!B:B
},
2,
FALSE
),
"REVISAR"
)</f>
        <v>ENTREGADO</v>
      </c>
      <c r="P384" s="154" t="s">
        <v>5692</v>
      </c>
      <c r="Q384" s="153">
        <f t="shared" si="1"/>
        <v>0</v>
      </c>
      <c r="R384" s="172"/>
      <c r="S384" s="172"/>
      <c r="T384" s="118">
        <f t="array" ref="T384">IFERROR(
INDEX(REPORTE_DROPI!B:B,
MATCH(
CLEAN(TRIM(C384)),
CLEAN(TRIM(REPORTE_DROPI!E:E)),
0
)
),
""
)
</f>
        <v>4503648</v>
      </c>
      <c r="U384" s="169" t="s">
        <v>6982</v>
      </c>
      <c r="V384" s="166"/>
      <c r="W384" s="18"/>
      <c r="X384" s="18"/>
      <c r="Y384" s="18"/>
      <c r="Z384" s="18"/>
    </row>
    <row r="385" ht="22.5" hidden="1" customHeight="1">
      <c r="A385" s="169">
        <v>384.0</v>
      </c>
      <c r="B385" s="170">
        <v>46066.0</v>
      </c>
      <c r="C385" s="154" t="s">
        <v>6983</v>
      </c>
      <c r="D385" s="118" t="str">
        <f>IFERROR(__xludf.DUMMYFUNCTION("IFERROR( INDEX( FILTER( 'NOMBRE DE PRODUCTOS'!B:B, REGEXMATCH( UPPER( INDEX( REPORTE_DROPI!AC:AC, MATCH(T385, REPORTE_DROPI!B:B, 0) ) ), UPPER('NOMBRE DE PRODUCTOS'!A:A) ) ), 1 ), ""REVISAR"" )"),"Cuchillo Tazaki™")</f>
        <v>Cuchillo Tazaki™</v>
      </c>
      <c r="E385" s="120">
        <f t="array" ref="E385">IF(
UPPER(TRIM(CLEAN($O385)))="ENTREGADO",
IFERROR(
INDEX(REPORTE_DROPI!Y:Y,
MATCH($T385, REPORTE_DROPI!B:B, 0)
),
""
),
""
)
</f>
        <v>5.2</v>
      </c>
      <c r="F385" s="171">
        <v>2.0</v>
      </c>
      <c r="G385" s="122">
        <f t="array" ref="G385">IF(
UPPER(TRIM(CLEAN($O385)))="ENTREGADO",
IFERROR(
INDEX(REPORTE_DROPI!R:R,
MATCH($T385, REPORTE_DROPI!B:B, 0)
),
""
),
""
)
</f>
        <v>22</v>
      </c>
      <c r="H385" s="118" t="s">
        <v>3727</v>
      </c>
      <c r="I385" s="154" t="s">
        <v>3731</v>
      </c>
      <c r="J385" s="121">
        <f t="array" ref="J385">IF(
UPPER(TRIM(CLEAN($O385)))="ENTREGADO",
IFERROR(
INDEX(REPORTE_DROPI!T:T,
MATCH($T385, REPORTE_DROPI!B:B, 0)
),
""
),
""
)
</f>
        <v>6.41</v>
      </c>
      <c r="K385" s="118">
        <f t="array" ref="K385">IFERROR(
INDEX(REPORTE_DROPI!S:S,
MATCH($T385, REPORTE_DROPI!B:B, 0)
),
""
)</f>
        <v>10.39</v>
      </c>
      <c r="L385" s="118" t="str">
        <f>IF(
  O385&lt;&gt;"DEVOLUCION",
  "",
  IF(
    T385="",
    "",
    SUMIF(DEVOLUCION!F:F, T385, DEVOLUCION!D:D)
  )
)
</f>
        <v/>
      </c>
      <c r="M385" s="118" t="s">
        <v>5877</v>
      </c>
      <c r="N385" s="169" t="s">
        <v>6984</v>
      </c>
      <c r="O385" s="118" t="str">
        <f t="array" ref="O385">IFERROR(
VLOOKUP(
TRIM(CLEAN(
INDEX(REPORTE_DROPI!K:K,
MATCH(T385, REPORTE_DROPI!B:B, 0)
))),
{
TRIM(CLEAN(MAPA_ESTADOS!A:A)) ,
MAPA_ESTADOS!B:B
},
2,
FALSE
),
"REVISAR"
)</f>
        <v>ENTREGADO</v>
      </c>
      <c r="P385" s="154" t="s">
        <v>5692</v>
      </c>
      <c r="Q385" s="153">
        <f t="shared" si="1"/>
        <v>0</v>
      </c>
      <c r="R385" s="172"/>
      <c r="S385" s="172"/>
      <c r="T385" s="118">
        <f t="array" ref="T385">IFERROR(
INDEX(REPORTE_DROPI!B:B,
MATCH(
CLEAN(TRIM(C385)),
CLEAN(TRIM(REPORTE_DROPI!E:E)),
0
)
),
""
)
</f>
        <v>4503806</v>
      </c>
      <c r="U385" s="169" t="s">
        <v>6985</v>
      </c>
      <c r="V385" s="166"/>
      <c r="W385" s="18"/>
      <c r="X385" s="18"/>
      <c r="Y385" s="18"/>
      <c r="Z385" s="18"/>
    </row>
    <row r="386" ht="22.5" hidden="1" customHeight="1">
      <c r="A386" s="169">
        <v>385.0</v>
      </c>
      <c r="B386" s="170">
        <v>46066.0</v>
      </c>
      <c r="C386" s="154" t="s">
        <v>6986</v>
      </c>
      <c r="D386" s="118" t="str">
        <f>IFERROR(__xludf.DUMMYFUNCTION("IFERROR( INDEX( FILTER( 'NOMBRE DE PRODUCTOS'!B:B, REGEXMATCH( UPPER( INDEX( REPORTE_DROPI!AC:AC, MATCH(T386, REPORTE_DROPI!B:B, 0) ) ), UPPER('NOMBRE DE PRODUCTOS'!A:A) ) ), 1 ), ""REVISAR"" )"),"Cuchillo Tazaki™")</f>
        <v>Cuchillo Tazaki™</v>
      </c>
      <c r="E386" s="120">
        <f t="array" ref="E386">IF(
UPPER(TRIM(CLEAN($O386)))="ENTREGADO",
IFERROR(
INDEX(REPORTE_DROPI!Y:Y,
MATCH($T386, REPORTE_DROPI!B:B, 0)
),
""
),
""
)
</f>
        <v>5.2</v>
      </c>
      <c r="F386" s="171">
        <v>2.0</v>
      </c>
      <c r="G386" s="122">
        <f t="array" ref="G386">IF(
UPPER(TRIM(CLEAN($O386)))="ENTREGADO",
IFERROR(
INDEX(REPORTE_DROPI!R:R,
MATCH($T386, REPORTE_DROPI!B:B, 0)
),
""
),
""
)
</f>
        <v>20.9</v>
      </c>
      <c r="H386" s="118" t="s">
        <v>3727</v>
      </c>
      <c r="I386" s="154" t="s">
        <v>3731</v>
      </c>
      <c r="J386" s="121">
        <f t="array" ref="J386">IF(
UPPER(TRIM(CLEAN($O386)))="ENTREGADO",
IFERROR(
INDEX(REPORTE_DROPI!T:T,
MATCH($T386, REPORTE_DROPI!B:B, 0)
),
""
),
""
)
</f>
        <v>5.79</v>
      </c>
      <c r="K386" s="118">
        <f t="array" ref="K386">IFERROR(
INDEX(REPORTE_DROPI!S:S,
MATCH($T386, REPORTE_DROPI!B:B, 0)
),
""
)</f>
        <v>9.91</v>
      </c>
      <c r="L386" s="118" t="str">
        <f>IF(
  O386&lt;&gt;"DEVOLUCION",
  "",
  IF(
    T386="",
    "",
    SUMIF(DEVOLUCION!F:F, T386, DEVOLUCION!D:D)
  )
)
</f>
        <v/>
      </c>
      <c r="M386" s="118" t="s">
        <v>5877</v>
      </c>
      <c r="N386" s="169" t="s">
        <v>6987</v>
      </c>
      <c r="O386" s="118" t="str">
        <f t="array" ref="O386">IFERROR(
VLOOKUP(
TRIM(CLEAN(
INDEX(REPORTE_DROPI!K:K,
MATCH(T386, REPORTE_DROPI!B:B, 0)
))),
{
TRIM(CLEAN(MAPA_ESTADOS!A:A)) ,
MAPA_ESTADOS!B:B
},
2,
FALSE
),
"REVISAR"
)</f>
        <v>ENTREGADO</v>
      </c>
      <c r="P386" s="154" t="s">
        <v>5692</v>
      </c>
      <c r="Q386" s="153">
        <f t="shared" si="1"/>
        <v>0</v>
      </c>
      <c r="R386" s="172"/>
      <c r="S386" s="172"/>
      <c r="T386" s="118">
        <f t="array" ref="T386">IFERROR(
INDEX(REPORTE_DROPI!B:B,
MATCH(
CLEAN(TRIM(C386)),
CLEAN(TRIM(REPORTE_DROPI!E:E)),
0
)
),
""
)
</f>
        <v>4504457</v>
      </c>
      <c r="U386" s="169" t="s">
        <v>6988</v>
      </c>
      <c r="V386" s="166"/>
      <c r="W386" s="18"/>
      <c r="X386" s="18"/>
      <c r="Y386" s="18"/>
      <c r="Z386" s="18"/>
    </row>
    <row r="387" ht="22.5" hidden="1" customHeight="1">
      <c r="A387" s="169">
        <v>386.0</v>
      </c>
      <c r="B387" s="170">
        <v>46066.0</v>
      </c>
      <c r="C387" s="154" t="s">
        <v>6989</v>
      </c>
      <c r="D387" s="118" t="str">
        <f>IFERROR(__xludf.DUMMYFUNCTION("IFERROR( INDEX( FILTER( 'NOMBRE DE PRODUCTOS'!B:B, REGEXMATCH( UPPER( INDEX( REPORTE_DROPI!AC:AC, MATCH(T387, REPORTE_DROPI!B:B, 0) ) ), UPPER('NOMBRE DE PRODUCTOS'!A:A) ) ), 1 ), ""REVISAR"" )"),"FilmPro®")</f>
        <v>FilmPro®</v>
      </c>
      <c r="E387" s="120" t="str">
        <f t="array" ref="E387">IF(
UPPER(TRIM(CLEAN($O387)))="ENTREGADO",
IFERROR(
INDEX(REPORTE_DROPI!Y:Y,
MATCH($T387, REPORTE_DROPI!B:B, 0)
),
""
),
""
)
</f>
        <v/>
      </c>
      <c r="F387" s="171">
        <v>1.0</v>
      </c>
      <c r="G387" s="122" t="str">
        <f t="array" ref="G387">IF(
UPPER(TRIM(CLEAN($O387)))="ENTREGADO",
IFERROR(
INDEX(REPORTE_DROPI!R:R,
MATCH($T387, REPORTE_DROPI!B:B, 0)
),
""
),
""
)
</f>
        <v/>
      </c>
      <c r="H387" s="118" t="s">
        <v>3727</v>
      </c>
      <c r="I387" s="154" t="s">
        <v>3740</v>
      </c>
      <c r="J387" s="121" t="str">
        <f t="array" ref="J387">IF(
UPPER(TRIM(CLEAN($O387)))="ENTREGADO",
IFERROR(
INDEX(REPORTE_DROPI!T:T,
MATCH($T387, REPORTE_DROPI!B:B, 0)
),
""
),
""
)
</f>
        <v/>
      </c>
      <c r="K387" s="118" t="str">
        <f t="array" ref="K387">IFERROR(
INDEX(REPORTE_DROPI!S:S,
MATCH($T387, REPORTE_DROPI!B:B, 0)
),
""
)</f>
        <v/>
      </c>
      <c r="L387" s="118">
        <f>IF(
  O387&lt;&gt;"DEVOLUCION",
  "",
  IF(
    T387="",
    "",
    SUMIF(DEVOLUCION!F:F, T387, DEVOLUCION!D:D)
  )
)
</f>
        <v>0</v>
      </c>
      <c r="M387" s="118" t="s">
        <v>5877</v>
      </c>
      <c r="N387" s="169" t="s">
        <v>6990</v>
      </c>
      <c r="O387" s="118" t="str">
        <f t="array" ref="O387">IFERROR(
VLOOKUP(
TRIM(CLEAN(
INDEX(REPORTE_DROPI!K:K,
MATCH(T387, REPORTE_DROPI!B:B, 0)
))),
{
TRIM(CLEAN(MAPA_ESTADOS!A:A)) ,
MAPA_ESTADOS!B:B
},
2,
FALSE
),
"REVISAR"
)</f>
        <v>DEVOLUCION</v>
      </c>
      <c r="P387" s="154" t="s">
        <v>5692</v>
      </c>
      <c r="Q387" s="153">
        <f t="shared" si="1"/>
        <v>0</v>
      </c>
      <c r="R387" s="172"/>
      <c r="S387" s="172"/>
      <c r="T387" s="118">
        <f t="array" ref="T387">IFERROR(
INDEX(REPORTE_DROPI!B:B,
MATCH(
CLEAN(TRIM(C387)),
CLEAN(TRIM(REPORTE_DROPI!E:E)),
0
)
),
""
)
</f>
        <v>4504614</v>
      </c>
      <c r="U387" s="169" t="s">
        <v>6991</v>
      </c>
      <c r="V387" s="166"/>
      <c r="W387" s="18"/>
      <c r="X387" s="18"/>
      <c r="Y387" s="18"/>
      <c r="Z387" s="18"/>
    </row>
    <row r="388" ht="22.5" hidden="1" customHeight="1">
      <c r="A388" s="169">
        <v>387.0</v>
      </c>
      <c r="B388" s="170">
        <v>46066.0</v>
      </c>
      <c r="C388" s="154" t="s">
        <v>6992</v>
      </c>
      <c r="D388" s="118" t="str">
        <f>IFERROR(__xludf.DUMMYFUNCTION("IFERROR( INDEX( FILTER( 'NOMBRE DE PRODUCTOS'!B:B, REGEXMATCH( UPPER( INDEX( REPORTE_DROPI!AC:AC, MATCH(T388, REPORTE_DROPI!B:B, 0) ) ), UPPER('NOMBRE DE PRODUCTOS'!A:A) ) ), 1 ), ""REVISAR"" )"),"Cuchillo Tazaki™")</f>
        <v>Cuchillo Tazaki™</v>
      </c>
      <c r="E388" s="120" t="str">
        <f t="array" ref="E388">IF(
UPPER(TRIM(CLEAN($O388)))="ENTREGADO",
IFERROR(
INDEX(REPORTE_DROPI!Y:Y,
MATCH($T388, REPORTE_DROPI!B:B, 0)
),
""
),
""
)
</f>
        <v/>
      </c>
      <c r="F388" s="171">
        <v>2.0</v>
      </c>
      <c r="G388" s="122" t="str">
        <f t="array" ref="G388">IF(
UPPER(TRIM(CLEAN($O388)))="ENTREGADO",
IFERROR(
INDEX(REPORTE_DROPI!R:R,
MATCH($T388, REPORTE_DROPI!B:B, 0)
),
""
),
""
)
</f>
        <v/>
      </c>
      <c r="H388" s="118" t="s">
        <v>3727</v>
      </c>
      <c r="I388" s="154" t="s">
        <v>3740</v>
      </c>
      <c r="J388" s="121" t="str">
        <f t="array" ref="J388">IF(
UPPER(TRIM(CLEAN($O388)))="ENTREGADO",
IFERROR(
INDEX(REPORTE_DROPI!T:T,
MATCH($T388, REPORTE_DROPI!B:B, 0)
),
""
),
""
)
</f>
        <v/>
      </c>
      <c r="K388" s="118" t="str">
        <f t="array" ref="K388">IFERROR(
INDEX(REPORTE_DROPI!S:S,
MATCH($T388, REPORTE_DROPI!B:B, 0)
),
""
)</f>
        <v/>
      </c>
      <c r="L388" s="118" t="str">
        <f>IF(
  O388&lt;&gt;"DEVOLUCION",
  "",
  IF(
    T388="",
    "",
    SUMIF(DEVOLUCION!F:F, T388, DEVOLUCION!D:D)
  )
)
</f>
        <v/>
      </c>
      <c r="M388" s="118" t="s">
        <v>5877</v>
      </c>
      <c r="N388" s="169" t="s">
        <v>6993</v>
      </c>
      <c r="O388" s="118" t="str">
        <f t="array" ref="O388">IFERROR(
VLOOKUP(
TRIM(CLEAN(
INDEX(REPORTE_DROPI!K:K,
MATCH(T388, REPORTE_DROPI!B:B, 0)
))),
{
TRIM(CLEAN(MAPA_ESTADOS!A:A)) ,
MAPA_ESTADOS!B:B
},
2,
FALSE
),
"REVISAR"
)</f>
        <v>CANCELADO</v>
      </c>
      <c r="P388" s="154" t="s">
        <v>6994</v>
      </c>
      <c r="Q388" s="153">
        <f t="shared" si="1"/>
        <v>0</v>
      </c>
      <c r="R388" s="172"/>
      <c r="S388" s="172"/>
      <c r="T388" s="118">
        <f t="array" ref="T388">IFERROR(
INDEX(REPORTE_DROPI!B:B,
MATCH(
CLEAN(TRIM(C388)),
CLEAN(TRIM(REPORTE_DROPI!E:E)),
0
)
),
""
)
</f>
        <v>4504626</v>
      </c>
      <c r="U388" s="169" t="s">
        <v>6995</v>
      </c>
      <c r="V388" s="166"/>
      <c r="W388" s="18"/>
      <c r="X388" s="18"/>
      <c r="Y388" s="18"/>
      <c r="Z388" s="18"/>
    </row>
    <row r="389" ht="22.5" hidden="1" customHeight="1">
      <c r="A389" s="169">
        <v>388.0</v>
      </c>
      <c r="B389" s="170">
        <v>46066.0</v>
      </c>
      <c r="C389" s="154" t="s">
        <v>6996</v>
      </c>
      <c r="D389" s="118" t="str">
        <f>IFERROR(__xludf.DUMMYFUNCTION("IFERROR( INDEX( FILTER( 'NOMBRE DE PRODUCTOS'!B:B, REGEXMATCH( UPPER( INDEX( REPORTE_DROPI!AC:AC, MATCH(T389, REPORTE_DROPI!B:B, 0) ) ), UPPER('NOMBRE DE PRODUCTOS'!A:A) ) ), 1 ), ""REVISAR"" )"),"FilmPro®")</f>
        <v>FilmPro®</v>
      </c>
      <c r="E389" s="120" t="str">
        <f t="array" ref="E389">IF(
UPPER(TRIM(CLEAN($O389)))="ENTREGADO",
IFERROR(
INDEX(REPORTE_DROPI!Y:Y,
MATCH($T389, REPORTE_DROPI!B:B, 0)
),
""
),
""
)
</f>
        <v/>
      </c>
      <c r="F389" s="171">
        <v>2.0</v>
      </c>
      <c r="G389" s="122" t="str">
        <f t="array" ref="G389">IF(
UPPER(TRIM(CLEAN($O389)))="ENTREGADO",
IFERROR(
INDEX(REPORTE_DROPI!R:R,
MATCH($T389, REPORTE_DROPI!B:B, 0)
),
""
),
""
)
</f>
        <v/>
      </c>
      <c r="H389" s="118" t="s">
        <v>3727</v>
      </c>
      <c r="I389" s="154" t="s">
        <v>3731</v>
      </c>
      <c r="J389" s="121" t="str">
        <f t="array" ref="J389">IF(
UPPER(TRIM(CLEAN($O389)))="ENTREGADO",
IFERROR(
INDEX(REPORTE_DROPI!T:T,
MATCH($T389, REPORTE_DROPI!B:B, 0)
),
""
),
""
)
</f>
        <v/>
      </c>
      <c r="K389" s="118" t="str">
        <f t="array" ref="K389">IFERROR(
INDEX(REPORTE_DROPI!S:S,
MATCH($T389, REPORTE_DROPI!B:B, 0)
),
""
)</f>
        <v/>
      </c>
      <c r="L389" s="118" t="str">
        <f>IF(
  O389&lt;&gt;"DEVOLUCION",
  "",
  IF(
    T389="",
    "",
    SUMIF(DEVOLUCION!F:F, T389, DEVOLUCION!D:D)
  )
)
</f>
        <v/>
      </c>
      <c r="M389" s="118" t="s">
        <v>5877</v>
      </c>
      <c r="N389" s="169" t="s">
        <v>6997</v>
      </c>
      <c r="O389" s="118" t="str">
        <f t="array" ref="O389">IFERROR(
VLOOKUP(
TRIM(CLEAN(
INDEX(REPORTE_DROPI!K:K,
MATCH(T389, REPORTE_DROPI!B:B, 0)
))),
{
TRIM(CLEAN(MAPA_ESTADOS!A:A)) ,
MAPA_ESTADOS!B:B
},
2,
FALSE
),
"REVISAR"
)</f>
        <v>PENDIENTE</v>
      </c>
      <c r="P389" s="154" t="s">
        <v>6998</v>
      </c>
      <c r="Q389" s="153">
        <f t="shared" si="1"/>
        <v>0</v>
      </c>
      <c r="R389" s="172"/>
      <c r="S389" s="172"/>
      <c r="T389" s="118">
        <f t="array" ref="T389">IFERROR(
INDEX(REPORTE_DROPI!B:B,
MATCH(
CLEAN(TRIM(C389)),
CLEAN(TRIM(REPORTE_DROPI!E:E)),
0
)
),
""
)
</f>
        <v>4505079</v>
      </c>
      <c r="U389" s="169" t="s">
        <v>6999</v>
      </c>
      <c r="V389" s="166"/>
      <c r="W389" s="18"/>
      <c r="X389" s="18"/>
      <c r="Y389" s="18"/>
      <c r="Z389" s="18"/>
    </row>
    <row r="390" ht="22.5" hidden="1" customHeight="1">
      <c r="A390" s="169">
        <v>389.0</v>
      </c>
      <c r="B390" s="170">
        <v>46066.0</v>
      </c>
      <c r="C390" s="154" t="s">
        <v>7000</v>
      </c>
      <c r="D390" s="118" t="str">
        <f>IFERROR(__xludf.DUMMYFUNCTION("IFERROR( INDEX( FILTER( 'NOMBRE DE PRODUCTOS'!B:B, REGEXMATCH( UPPER( INDEX( REPORTE_DROPI!AC:AC, MATCH(T390, REPORTE_DROPI!B:B, 0) ) ), UPPER('NOMBRE DE PRODUCTOS'!A:A) ) ), 1 ), ""REVISAR"" )"),"Cuchillo Tazaki™")</f>
        <v>Cuchillo Tazaki™</v>
      </c>
      <c r="E390" s="120">
        <f t="array" ref="E390">IF(
UPPER(TRIM(CLEAN($O390)))="ENTREGADO",
IFERROR(
INDEX(REPORTE_DROPI!Y:Y,
MATCH($T390, REPORTE_DROPI!B:B, 0)
),
""
),
""
)
</f>
        <v>5.2</v>
      </c>
      <c r="F390" s="171">
        <v>2.0</v>
      </c>
      <c r="G390" s="122">
        <f t="array" ref="G390">IF(
UPPER(TRIM(CLEAN($O390)))="ENTREGADO",
IFERROR(
INDEX(REPORTE_DROPI!R:R,
MATCH($T390, REPORTE_DROPI!B:B, 0)
),
""
),
""
)
</f>
        <v>22</v>
      </c>
      <c r="H390" s="118" t="s">
        <v>3727</v>
      </c>
      <c r="I390" s="154" t="s">
        <v>3731</v>
      </c>
      <c r="J390" s="121">
        <f t="array" ref="J390">IF(
UPPER(TRIM(CLEAN($O390)))="ENTREGADO",
IFERROR(
INDEX(REPORTE_DROPI!T:T,
MATCH($T390, REPORTE_DROPI!B:B, 0)
),
""
),
""
)
</f>
        <v>5.84</v>
      </c>
      <c r="K390" s="118">
        <f t="array" ref="K390">IFERROR(
INDEX(REPORTE_DROPI!S:S,
MATCH($T390, REPORTE_DROPI!B:B, 0)
),
""
)</f>
        <v>10.96</v>
      </c>
      <c r="L390" s="118" t="str">
        <f>IF(
  O390&lt;&gt;"DEVOLUCION",
  "",
  IF(
    T390="",
    "",
    SUMIF(DEVOLUCION!F:F, T390, DEVOLUCION!D:D)
  )
)
</f>
        <v/>
      </c>
      <c r="M390" s="118" t="s">
        <v>5877</v>
      </c>
      <c r="N390" s="169" t="s">
        <v>7001</v>
      </c>
      <c r="O390" s="118" t="str">
        <f t="array" ref="O390">IFERROR(
VLOOKUP(
TRIM(CLEAN(
INDEX(REPORTE_DROPI!K:K,
MATCH(T390, REPORTE_DROPI!B:B, 0)
))),
{
TRIM(CLEAN(MAPA_ESTADOS!A:A)) ,
MAPA_ESTADOS!B:B
},
2,
FALSE
),
"REVISAR"
)</f>
        <v>ENTREGADO</v>
      </c>
      <c r="P390" s="154" t="s">
        <v>7002</v>
      </c>
      <c r="Q390" s="153">
        <f t="shared" si="1"/>
        <v>0</v>
      </c>
      <c r="R390" s="172"/>
      <c r="S390" s="172"/>
      <c r="T390" s="118">
        <f t="array" ref="T390">IFERROR(
INDEX(REPORTE_DROPI!B:B,
MATCH(
CLEAN(TRIM(C390)),
CLEAN(TRIM(REPORTE_DROPI!E:E)),
0
)
),
""
)
</f>
        <v>4505102</v>
      </c>
      <c r="U390" s="169" t="s">
        <v>7003</v>
      </c>
      <c r="V390" s="166"/>
      <c r="W390" s="18"/>
      <c r="X390" s="18"/>
      <c r="Y390" s="18"/>
      <c r="Z390" s="18"/>
    </row>
    <row r="391" ht="22.5" hidden="1" customHeight="1">
      <c r="A391" s="169">
        <v>390.0</v>
      </c>
      <c r="B391" s="170">
        <v>46066.0</v>
      </c>
      <c r="C391" s="154" t="s">
        <v>7004</v>
      </c>
      <c r="D391" s="118" t="str">
        <f>IFERROR(__xludf.DUMMYFUNCTION("IFERROR( INDEX( FILTER( 'NOMBRE DE PRODUCTOS'!B:B, REGEXMATCH( UPPER( INDEX( REPORTE_DROPI!AC:AC, MATCH(T391, REPORTE_DROPI!B:B, 0) ) ), UPPER('NOMBRE DE PRODUCTOS'!A:A) ) ), 1 ), ""REVISAR"" )"),"FilmPro®")</f>
        <v>FilmPro®</v>
      </c>
      <c r="E391" s="120">
        <f t="array" ref="E391">IF(
UPPER(TRIM(CLEAN($O391)))="ENTREGADO",
IFERROR(
INDEX(REPORTE_DROPI!Y:Y,
MATCH($T391, REPORTE_DROPI!B:B, 0)
),
""
),
""
)
</f>
        <v>4.8</v>
      </c>
      <c r="F391" s="171">
        <v>2.0</v>
      </c>
      <c r="G391" s="122">
        <f t="array" ref="G391">IF(
UPPER(TRIM(CLEAN($O391)))="ENTREGADO",
IFERROR(
INDEX(REPORTE_DROPI!R:R,
MATCH($T391, REPORTE_DROPI!B:B, 0)
),
""
),
""
)
</f>
        <v>25</v>
      </c>
      <c r="H391" s="118" t="s">
        <v>3727</v>
      </c>
      <c r="I391" s="154" t="s">
        <v>3731</v>
      </c>
      <c r="J391" s="121">
        <f t="array" ref="J391">IF(
UPPER(TRIM(CLEAN($O391)))="ENTREGADO",
IFERROR(
INDEX(REPORTE_DROPI!T:T,
MATCH($T391, REPORTE_DROPI!B:B, 0)
),
""
),
""
)
</f>
        <v>5.61</v>
      </c>
      <c r="K391" s="118">
        <f t="array" ref="K391">IFERROR(
INDEX(REPORTE_DROPI!S:S,
MATCH($T391, REPORTE_DROPI!B:B, 0)
),
""
)</f>
        <v>14.59</v>
      </c>
      <c r="L391" s="118" t="str">
        <f>IF(
  O391&lt;&gt;"DEVOLUCION",
  "",
  IF(
    T391="",
    "",
    SUMIF(DEVOLUCION!F:F, T391, DEVOLUCION!D:D)
  )
)
</f>
        <v/>
      </c>
      <c r="M391" s="118" t="s">
        <v>5877</v>
      </c>
      <c r="N391" s="169" t="s">
        <v>7005</v>
      </c>
      <c r="O391" s="118" t="str">
        <f t="array" ref="O391">IFERROR(
VLOOKUP(
TRIM(CLEAN(
INDEX(REPORTE_DROPI!K:K,
MATCH(T391, REPORTE_DROPI!B:B, 0)
))),
{
TRIM(CLEAN(MAPA_ESTADOS!A:A)) ,
MAPA_ESTADOS!B:B
},
2,
FALSE
),
"REVISAR"
)</f>
        <v>ENTREGADO</v>
      </c>
      <c r="P391" s="154" t="s">
        <v>5692</v>
      </c>
      <c r="Q391" s="153">
        <f t="shared" si="1"/>
        <v>0</v>
      </c>
      <c r="R391" s="172"/>
      <c r="S391" s="172"/>
      <c r="T391" s="118">
        <f t="array" ref="T391">IFERROR(
INDEX(REPORTE_DROPI!B:B,
MATCH(
CLEAN(TRIM(C391)),
CLEAN(TRIM(REPORTE_DROPI!E:E)),
0
)
),
""
)
</f>
        <v>4523303</v>
      </c>
      <c r="U391" s="169" t="s">
        <v>7006</v>
      </c>
      <c r="V391" s="166"/>
      <c r="W391" s="18"/>
      <c r="X391" s="18"/>
      <c r="Y391" s="18"/>
      <c r="Z391" s="18"/>
    </row>
    <row r="392" ht="22.5" hidden="1" customHeight="1">
      <c r="A392" s="169">
        <v>391.0</v>
      </c>
      <c r="B392" s="170">
        <v>46066.0</v>
      </c>
      <c r="C392" s="154" t="s">
        <v>7007</v>
      </c>
      <c r="D392" s="118" t="str">
        <f>IFERROR(__xludf.DUMMYFUNCTION("IFERROR( INDEX( FILTER( 'NOMBRE DE PRODUCTOS'!B:B, REGEXMATCH( UPPER( INDEX( REPORTE_DROPI!AC:AC, MATCH(T392, REPORTE_DROPI!B:B, 0) ) ), UPPER('NOMBRE DE PRODUCTOS'!A:A) ) ), 1 ), ""REVISAR"" )"),"Cuchillo Tazaki™")</f>
        <v>Cuchillo Tazaki™</v>
      </c>
      <c r="E392" s="120">
        <f t="array" ref="E392">IF(
UPPER(TRIM(CLEAN($O392)))="ENTREGADO",
IFERROR(
INDEX(REPORTE_DROPI!Y:Y,
MATCH($T392, REPORTE_DROPI!B:B, 0)
),
""
),
""
)
</f>
        <v>5.2</v>
      </c>
      <c r="F392" s="171">
        <v>2.0</v>
      </c>
      <c r="G392" s="122">
        <f t="array" ref="G392">IF(
UPPER(TRIM(CLEAN($O392)))="ENTREGADO",
IFERROR(
INDEX(REPORTE_DROPI!R:R,
MATCH($T392, REPORTE_DROPI!B:B, 0)
),
""
),
""
)
</f>
        <v>22</v>
      </c>
      <c r="H392" s="118" t="s">
        <v>3727</v>
      </c>
      <c r="I392" s="154" t="s">
        <v>3728</v>
      </c>
      <c r="J392" s="121">
        <f t="array" ref="J392">IF(
UPPER(TRIM(CLEAN($O392)))="ENTREGADO",
IFERROR(
INDEX(REPORTE_DROPI!T:T,
MATCH($T392, REPORTE_DROPI!B:B, 0)
),
""
),
""
)
</f>
        <v>5.84</v>
      </c>
      <c r="K392" s="118">
        <f t="array" ref="K392">IFERROR(
INDEX(REPORTE_DROPI!S:S,
MATCH($T392, REPORTE_DROPI!B:B, 0)
),
""
)</f>
        <v>10.96</v>
      </c>
      <c r="L392" s="118" t="str">
        <f>IF(
  O392&lt;&gt;"DEVOLUCION",
  "",
  IF(
    T392="",
    "",
    SUMIF(DEVOLUCION!F:F, T392, DEVOLUCION!D:D)
  )
)
</f>
        <v/>
      </c>
      <c r="M392" s="118" t="s">
        <v>5877</v>
      </c>
      <c r="N392" s="169" t="s">
        <v>7008</v>
      </c>
      <c r="O392" s="118" t="str">
        <f t="array" ref="O392">IFERROR(
VLOOKUP(
TRIM(CLEAN(
INDEX(REPORTE_DROPI!K:K,
MATCH(T392, REPORTE_DROPI!B:B, 0)
))),
{
TRIM(CLEAN(MAPA_ESTADOS!A:A)) ,
MAPA_ESTADOS!B:B
},
2,
FALSE
),
"REVISAR"
)</f>
        <v>ENTREGADO</v>
      </c>
      <c r="P392" s="154" t="s">
        <v>5692</v>
      </c>
      <c r="Q392" s="153">
        <f t="shared" si="1"/>
        <v>0</v>
      </c>
      <c r="R392" s="172"/>
      <c r="S392" s="172"/>
      <c r="T392" s="118">
        <f t="array" ref="T392">IFERROR(
INDEX(REPORTE_DROPI!B:B,
MATCH(
CLEAN(TRIM(C392)),
CLEAN(TRIM(REPORTE_DROPI!E:E)),
0
)
),
""
)
</f>
        <v>4505267</v>
      </c>
      <c r="U392" s="169" t="s">
        <v>7009</v>
      </c>
      <c r="V392" s="166"/>
      <c r="W392" s="18"/>
      <c r="X392" s="18"/>
      <c r="Y392" s="18"/>
      <c r="Z392" s="18"/>
    </row>
    <row r="393" ht="22.5" hidden="1" customHeight="1">
      <c r="A393" s="169">
        <v>392.0</v>
      </c>
      <c r="B393" s="170">
        <v>46066.0</v>
      </c>
      <c r="C393" s="154" t="s">
        <v>7010</v>
      </c>
      <c r="D393" s="118" t="str">
        <f>IFERROR(__xludf.DUMMYFUNCTION("IFERROR( INDEX( FILTER( 'NOMBRE DE PRODUCTOS'!B:B, REGEXMATCH( UPPER( INDEX( REPORTE_DROPI!AC:AC, MATCH(T393, REPORTE_DROPI!B:B, 0) ) ), UPPER('NOMBRE DE PRODUCTOS'!A:A) ) ), 1 ), ""REVISAR"" )"),"Cuchillo Tazaki™")</f>
        <v>Cuchillo Tazaki™</v>
      </c>
      <c r="E393" s="120" t="str">
        <f t="array" ref="E393">IF(
UPPER(TRIM(CLEAN($O393)))="ENTREGADO",
IFERROR(
INDEX(REPORTE_DROPI!Y:Y,
MATCH($T393, REPORTE_DROPI!B:B, 0)
),
""
),
""
)
</f>
        <v/>
      </c>
      <c r="F393" s="171">
        <v>2.0</v>
      </c>
      <c r="G393" s="122" t="str">
        <f t="array" ref="G393">IF(
UPPER(TRIM(CLEAN($O393)))="ENTREGADO",
IFERROR(
INDEX(REPORTE_DROPI!R:R,
MATCH($T393, REPORTE_DROPI!B:B, 0)
),
""
),
""
)
</f>
        <v/>
      </c>
      <c r="H393" s="118" t="s">
        <v>3727</v>
      </c>
      <c r="I393" s="154" t="s">
        <v>3735</v>
      </c>
      <c r="J393" s="121" t="str">
        <f t="array" ref="J393">IF(
UPPER(TRIM(CLEAN($O393)))="ENTREGADO",
IFERROR(
INDEX(REPORTE_DROPI!T:T,
MATCH($T393, REPORTE_DROPI!B:B, 0)
),
""
),
""
)
</f>
        <v/>
      </c>
      <c r="K393" s="118" t="str">
        <f t="array" ref="K393">IFERROR(
INDEX(REPORTE_DROPI!S:S,
MATCH($T393, REPORTE_DROPI!B:B, 0)
),
""
)</f>
        <v/>
      </c>
      <c r="L393" s="118" t="str">
        <f>IF(
  O393&lt;&gt;"DEVOLUCION",
  "",
  IF(
    T393="",
    "",
    SUMIF(DEVOLUCION!F:F, T393, DEVOLUCION!D:D)
  )
)
</f>
        <v/>
      </c>
      <c r="M393" s="118" t="s">
        <v>5877</v>
      </c>
      <c r="N393" s="169" t="s">
        <v>7011</v>
      </c>
      <c r="O393" s="118" t="str">
        <f t="array" ref="O393">IFERROR(
VLOOKUP(
TRIM(CLEAN(
INDEX(REPORTE_DROPI!K:K,
MATCH(T393, REPORTE_DROPI!B:B, 0)
))),
{
TRIM(CLEAN(MAPA_ESTADOS!A:A)) ,
MAPA_ESTADOS!B:B
},
2,
FALSE
),
"REVISAR"
)</f>
        <v>CANCELADO</v>
      </c>
      <c r="P393" s="154" t="s">
        <v>7012</v>
      </c>
      <c r="Q393" s="153">
        <f t="shared" si="1"/>
        <v>0</v>
      </c>
      <c r="R393" s="172"/>
      <c r="S393" s="172"/>
      <c r="T393" s="118">
        <f t="array" ref="T393">IFERROR(
INDEX(REPORTE_DROPI!B:B,
MATCH(
CLEAN(TRIM(C393)),
CLEAN(TRIM(REPORTE_DROPI!E:E)),
0
)
),
""
)
</f>
        <v>4505293</v>
      </c>
      <c r="U393" s="169"/>
      <c r="V393" s="166"/>
      <c r="W393" s="18"/>
      <c r="X393" s="18"/>
      <c r="Y393" s="18"/>
      <c r="Z393" s="18"/>
    </row>
    <row r="394" ht="22.5" hidden="1" customHeight="1">
      <c r="A394" s="169">
        <v>393.0</v>
      </c>
      <c r="B394" s="170">
        <v>46066.0</v>
      </c>
      <c r="C394" s="154" t="s">
        <v>7013</v>
      </c>
      <c r="D394" s="118" t="str">
        <f>IFERROR(__xludf.DUMMYFUNCTION("IFERROR( INDEX( FILTER( 'NOMBRE DE PRODUCTOS'!B:B, REGEXMATCH( UPPER( INDEX( REPORTE_DROPI!AC:AC, MATCH(T394, REPORTE_DROPI!B:B, 0) ) ), UPPER('NOMBRE DE PRODUCTOS'!A:A) ) ), 1 ), ""REVISAR"" )"),"FilmPro®")</f>
        <v>FilmPro®</v>
      </c>
      <c r="E394" s="120" t="str">
        <f t="array" ref="E394">IF(
UPPER(TRIM(CLEAN($O394)))="ENTREGADO",
IFERROR(
INDEX(REPORTE_DROPI!Y:Y,
MATCH($T394, REPORTE_DROPI!B:B, 0)
),
""
),
""
)
</f>
        <v/>
      </c>
      <c r="F394" s="171">
        <v>3.0</v>
      </c>
      <c r="G394" s="122" t="str">
        <f t="array" ref="G394">IF(
UPPER(TRIM(CLEAN($O394)))="ENTREGADO",
IFERROR(
INDEX(REPORTE_DROPI!R:R,
MATCH($T394, REPORTE_DROPI!B:B, 0)
),
""
),
""
)
</f>
        <v/>
      </c>
      <c r="H394" s="118" t="s">
        <v>3727</v>
      </c>
      <c r="I394" s="154" t="s">
        <v>3740</v>
      </c>
      <c r="J394" s="121" t="str">
        <f t="array" ref="J394">IF(
UPPER(TRIM(CLEAN($O394)))="ENTREGADO",
IFERROR(
INDEX(REPORTE_DROPI!T:T,
MATCH($T394, REPORTE_DROPI!B:B, 0)
),
""
),
""
)
</f>
        <v/>
      </c>
      <c r="K394" s="118" t="str">
        <f t="array" ref="K394">IFERROR(
INDEX(REPORTE_DROPI!S:S,
MATCH($T394, REPORTE_DROPI!B:B, 0)
),
""
)</f>
        <v/>
      </c>
      <c r="L394" s="118" t="str">
        <f>IF(
  O394&lt;&gt;"DEVOLUCION",
  "",
  IF(
    T394="",
    "",
    SUMIF(DEVOLUCION!F:F, T394, DEVOLUCION!D:D)
  )
)
</f>
        <v/>
      </c>
      <c r="M394" s="118" t="s">
        <v>5877</v>
      </c>
      <c r="N394" s="169" t="s">
        <v>7014</v>
      </c>
      <c r="O394" s="118" t="str">
        <f t="array" ref="O394">IFERROR(
VLOOKUP(
TRIM(CLEAN(
INDEX(REPORTE_DROPI!K:K,
MATCH(T394, REPORTE_DROPI!B:B, 0)
))),
{
TRIM(CLEAN(MAPA_ESTADOS!A:A)) ,
MAPA_ESTADOS!B:B
},
2,
FALSE
),
"REVISAR"
)</f>
        <v>PENDIENTE</v>
      </c>
      <c r="P394" s="154" t="s">
        <v>7015</v>
      </c>
      <c r="Q394" s="153">
        <f t="shared" si="1"/>
        <v>0</v>
      </c>
      <c r="R394" s="172"/>
      <c r="S394" s="172"/>
      <c r="T394" s="118">
        <f t="array" ref="T394">IFERROR(
INDEX(REPORTE_DROPI!B:B,
MATCH(
CLEAN(TRIM(C394)),
CLEAN(TRIM(REPORTE_DROPI!E:E)),
0
)
),
""
)
</f>
        <v>4505403</v>
      </c>
      <c r="U394" s="169" t="s">
        <v>7016</v>
      </c>
      <c r="V394" s="166"/>
      <c r="W394" s="18"/>
      <c r="X394" s="18"/>
      <c r="Y394" s="18"/>
      <c r="Z394" s="18"/>
    </row>
    <row r="395" ht="22.5" hidden="1" customHeight="1">
      <c r="A395" s="169">
        <v>394.0</v>
      </c>
      <c r="B395" s="170">
        <v>46066.0</v>
      </c>
      <c r="C395" s="154" t="s">
        <v>7017</v>
      </c>
      <c r="D395" s="118" t="str">
        <f>IFERROR(__xludf.DUMMYFUNCTION("IFERROR( INDEX( FILTER( 'NOMBRE DE PRODUCTOS'!B:B, REGEXMATCH( UPPER( INDEX( REPORTE_DROPI!AC:AC, MATCH(T395, REPORTE_DROPI!B:B, 0) ) ), UPPER('NOMBRE DE PRODUCTOS'!A:A) ) ), 1 ), ""REVISAR"" )"),"Cuchillo Tazaki™")</f>
        <v>Cuchillo Tazaki™</v>
      </c>
      <c r="E395" s="120">
        <f t="array" ref="E395">IF(
UPPER(TRIM(CLEAN($O395)))="ENTREGADO",
IFERROR(
INDEX(REPORTE_DROPI!Y:Y,
MATCH($T395, REPORTE_DROPI!B:B, 0)
),
""
),
""
)
</f>
        <v>10.4</v>
      </c>
      <c r="F395" s="171">
        <v>4.0</v>
      </c>
      <c r="G395" s="122">
        <f t="array" ref="G395">IF(
UPPER(TRIM(CLEAN($O395)))="ENTREGADO",
IFERROR(
INDEX(REPORTE_DROPI!R:R,
MATCH($T395, REPORTE_DROPI!B:B, 0)
),
""
),
""
)
</f>
        <v>32</v>
      </c>
      <c r="H395" s="118" t="s">
        <v>3727</v>
      </c>
      <c r="I395" s="154" t="s">
        <v>3969</v>
      </c>
      <c r="J395" s="121">
        <f t="array" ref="J395">IF(
UPPER(TRIM(CLEAN($O395)))="ENTREGADO",
IFERROR(
INDEX(REPORTE_DROPI!T:T,
MATCH($T395, REPORTE_DROPI!B:B, 0)
),
""
),
""
)
</f>
        <v>6.24</v>
      </c>
      <c r="K395" s="118">
        <f t="array" ref="K395">IFERROR(
INDEX(REPORTE_DROPI!S:S,
MATCH($T395, REPORTE_DROPI!B:B, 0)
),
""
)</f>
        <v>15.36</v>
      </c>
      <c r="L395" s="118" t="str">
        <f>IF(
  O395&lt;&gt;"DEVOLUCION",
  "",
  IF(
    T395="",
    "",
    SUMIF(DEVOLUCION!F:F, T395, DEVOLUCION!D:D)
  )
)
</f>
        <v/>
      </c>
      <c r="M395" s="118" t="s">
        <v>5877</v>
      </c>
      <c r="N395" s="169" t="s">
        <v>7018</v>
      </c>
      <c r="O395" s="118" t="str">
        <f t="array" ref="O395">IFERROR(
VLOOKUP(
TRIM(CLEAN(
INDEX(REPORTE_DROPI!K:K,
MATCH(T395, REPORTE_DROPI!B:B, 0)
))),
{
TRIM(CLEAN(MAPA_ESTADOS!A:A)) ,
MAPA_ESTADOS!B:B
},
2,
FALSE
),
"REVISAR"
)</f>
        <v>ENTREGADO</v>
      </c>
      <c r="P395" s="154" t="s">
        <v>5692</v>
      </c>
      <c r="Q395" s="153">
        <f t="shared" si="1"/>
        <v>0</v>
      </c>
      <c r="R395" s="172"/>
      <c r="S395" s="172"/>
      <c r="T395" s="118">
        <f t="array" ref="T395">IFERROR(
INDEX(REPORTE_DROPI!B:B,
MATCH(
CLEAN(TRIM(C395)),
CLEAN(TRIM(REPORTE_DROPI!E:E)),
0
)
),
""
)
</f>
        <v>4505682</v>
      </c>
      <c r="U395" s="169" t="s">
        <v>7019</v>
      </c>
      <c r="V395" s="166"/>
      <c r="W395" s="18"/>
      <c r="X395" s="18"/>
      <c r="Y395" s="18"/>
      <c r="Z395" s="18"/>
    </row>
    <row r="396" ht="22.5" hidden="1" customHeight="1">
      <c r="A396" s="169">
        <v>395.0</v>
      </c>
      <c r="B396" s="170">
        <v>46067.0</v>
      </c>
      <c r="C396" s="154" t="s">
        <v>7020</v>
      </c>
      <c r="D396" s="118" t="str">
        <f>IFERROR(__xludf.DUMMYFUNCTION("IFERROR( INDEX( FILTER( 'NOMBRE DE PRODUCTOS'!B:B, REGEXMATCH( UPPER( INDEX( REPORTE_DROPI!AC:AC, MATCH(T396, REPORTE_DROPI!B:B, 0) ) ), UPPER('NOMBRE DE PRODUCTOS'!A:A) ) ), 1 ), ""REVISAR"" )"),"Cuchillo Tazaki™")</f>
        <v>Cuchillo Tazaki™</v>
      </c>
      <c r="E396" s="120">
        <f t="array" ref="E396">IF(
UPPER(TRIM(CLEAN($O396)))="ENTREGADO",
IFERROR(
INDEX(REPORTE_DROPI!Y:Y,
MATCH($T396, REPORTE_DROPI!B:B, 0)
),
""
),
""
)
</f>
        <v>5.2</v>
      </c>
      <c r="F396" s="171">
        <v>2.0</v>
      </c>
      <c r="G396" s="122">
        <f t="array" ref="G396">IF(
UPPER(TRIM(CLEAN($O396)))="ENTREGADO",
IFERROR(
INDEX(REPORTE_DROPI!R:R,
MATCH($T396, REPORTE_DROPI!B:B, 0)
),
""
),
""
)
</f>
        <v>22</v>
      </c>
      <c r="H396" s="118" t="s">
        <v>3727</v>
      </c>
      <c r="I396" s="154" t="s">
        <v>3801</v>
      </c>
      <c r="J396" s="121">
        <f t="array" ref="J396">IF(
UPPER(TRIM(CLEAN($O396)))="ENTREGADO",
IFERROR(
INDEX(REPORTE_DROPI!T:T,
MATCH($T396, REPORTE_DROPI!B:B, 0)
),
""
),
""
)
</f>
        <v>5.84</v>
      </c>
      <c r="K396" s="118">
        <f t="array" ref="K396">IFERROR(
INDEX(REPORTE_DROPI!S:S,
MATCH($T396, REPORTE_DROPI!B:B, 0)
),
""
)</f>
        <v>10.96</v>
      </c>
      <c r="L396" s="118" t="str">
        <f>IF(
  O396&lt;&gt;"DEVOLUCION",
  "",
  IF(
    T396="",
    "",
    SUMIF(DEVOLUCION!F:F, T396, DEVOLUCION!D:D)
  )
)
</f>
        <v/>
      </c>
      <c r="M396" s="118" t="s">
        <v>5877</v>
      </c>
      <c r="N396" s="169" t="s">
        <v>7021</v>
      </c>
      <c r="O396" s="118" t="str">
        <f t="array" ref="O396">IFERROR(
VLOOKUP(
TRIM(CLEAN(
INDEX(REPORTE_DROPI!K:K,
MATCH(T396, REPORTE_DROPI!B:B, 0)
))),
{
TRIM(CLEAN(MAPA_ESTADOS!A:A)) ,
MAPA_ESTADOS!B:B
},
2,
FALSE
),
"REVISAR"
)</f>
        <v>ENTREGADO</v>
      </c>
      <c r="P396" s="154" t="s">
        <v>5692</v>
      </c>
      <c r="Q396" s="153">
        <f t="shared" si="1"/>
        <v>0</v>
      </c>
      <c r="R396" s="172"/>
      <c r="S396" s="172"/>
      <c r="T396" s="118">
        <f t="array" ref="T396">IFERROR(
INDEX(REPORTE_DROPI!B:B,
MATCH(
CLEAN(TRIM(C396)),
CLEAN(TRIM(REPORTE_DROPI!E:E)),
0
)
),
""
)
</f>
        <v>4505883</v>
      </c>
      <c r="U396" s="169" t="s">
        <v>7022</v>
      </c>
      <c r="V396" s="166"/>
      <c r="W396" s="18"/>
      <c r="X396" s="18"/>
      <c r="Y396" s="18"/>
      <c r="Z396" s="18"/>
    </row>
    <row r="397" ht="22.5" hidden="1" customHeight="1">
      <c r="A397" s="169">
        <v>396.0</v>
      </c>
      <c r="B397" s="170">
        <v>46067.0</v>
      </c>
      <c r="C397" s="154" t="s">
        <v>7023</v>
      </c>
      <c r="D397" s="118" t="str">
        <f>IFERROR(__xludf.DUMMYFUNCTION("IFERROR( INDEX( FILTER( 'NOMBRE DE PRODUCTOS'!B:B, REGEXMATCH( UPPER( INDEX( REPORTE_DROPI!AC:AC, MATCH(T397, REPORTE_DROPI!B:B, 0) ) ), UPPER('NOMBRE DE PRODUCTOS'!A:A) ) ), 1 ), ""REVISAR"" )"),"FilmPro®")</f>
        <v>FilmPro®</v>
      </c>
      <c r="E397" s="120" t="str">
        <f t="array" ref="E397">IF(
UPPER(TRIM(CLEAN($O397)))="ENTREGADO",
IFERROR(
INDEX(REPORTE_DROPI!Y:Y,
MATCH($T397, REPORTE_DROPI!B:B, 0)
),
""
),
""
)
</f>
        <v/>
      </c>
      <c r="F397" s="171">
        <v>1.0</v>
      </c>
      <c r="G397" s="122" t="str">
        <f t="array" ref="G397">IF(
UPPER(TRIM(CLEAN($O397)))="ENTREGADO",
IFERROR(
INDEX(REPORTE_DROPI!R:R,
MATCH($T397, REPORTE_DROPI!B:B, 0)
),
""
),
""
)
</f>
        <v/>
      </c>
      <c r="H397" s="118" t="s">
        <v>3727</v>
      </c>
      <c r="I397" s="154" t="s">
        <v>3740</v>
      </c>
      <c r="J397" s="121" t="str">
        <f t="array" ref="J397">IF(
UPPER(TRIM(CLEAN($O397)))="ENTREGADO",
IFERROR(
INDEX(REPORTE_DROPI!T:T,
MATCH($T397, REPORTE_DROPI!B:B, 0)
),
""
),
""
)
</f>
        <v/>
      </c>
      <c r="K397" s="118" t="str">
        <f t="array" ref="K397">IFERROR(
INDEX(REPORTE_DROPI!S:S,
MATCH($T397, REPORTE_DROPI!B:B, 0)
),
""
)</f>
        <v/>
      </c>
      <c r="L397" s="118" t="str">
        <f>IF(
  O397&lt;&gt;"DEVOLUCION",
  "",
  IF(
    T397="",
    "",
    SUMIF(DEVOLUCION!F:F, T397, DEVOLUCION!D:D)
  )
)
</f>
        <v/>
      </c>
      <c r="M397" s="118" t="s">
        <v>5877</v>
      </c>
      <c r="N397" s="169" t="s">
        <v>7024</v>
      </c>
      <c r="O397" s="118" t="str">
        <f t="array" ref="O397">IFERROR(
VLOOKUP(
TRIM(CLEAN(
INDEX(REPORTE_DROPI!K:K,
MATCH(T397, REPORTE_DROPI!B:B, 0)
))),
{
TRIM(CLEAN(MAPA_ESTADOS!A:A)) ,
MAPA_ESTADOS!B:B
},
2,
FALSE
),
"REVISAR"
)</f>
        <v>CANCELADO</v>
      </c>
      <c r="P397" s="154" t="s">
        <v>4125</v>
      </c>
      <c r="Q397" s="153">
        <f t="shared" si="1"/>
        <v>0</v>
      </c>
      <c r="R397" s="172"/>
      <c r="S397" s="172"/>
      <c r="T397" s="118">
        <f t="array" ref="T397">IFERROR(
INDEX(REPORTE_DROPI!B:B,
MATCH(
CLEAN(TRIM(C397)),
CLEAN(TRIM(REPORTE_DROPI!E:E)),
0
)
),
""
)
</f>
        <v>4505972</v>
      </c>
      <c r="U397" s="169" t="s">
        <v>7025</v>
      </c>
      <c r="V397" s="166"/>
      <c r="W397" s="18"/>
      <c r="X397" s="18"/>
      <c r="Y397" s="18"/>
      <c r="Z397" s="18"/>
    </row>
    <row r="398" ht="22.5" hidden="1" customHeight="1">
      <c r="A398" s="169">
        <v>397.0</v>
      </c>
      <c r="B398" s="170">
        <v>46067.0</v>
      </c>
      <c r="C398" s="154" t="s">
        <v>7026</v>
      </c>
      <c r="D398" s="118" t="str">
        <f>IFERROR(__xludf.DUMMYFUNCTION("IFERROR( INDEX( FILTER( 'NOMBRE DE PRODUCTOS'!B:B, REGEXMATCH( UPPER( INDEX( REPORTE_DROPI!AC:AC, MATCH(T398, REPORTE_DROPI!B:B, 0) ) ), UPPER('NOMBRE DE PRODUCTOS'!A:A) ) ), 1 ), ""REVISAR"" )"),"Cuchillo Tazaki™")</f>
        <v>Cuchillo Tazaki™</v>
      </c>
      <c r="E398" s="120">
        <f t="array" ref="E398">IF(
UPPER(TRIM(CLEAN($O398)))="ENTREGADO",
IFERROR(
INDEX(REPORTE_DROPI!Y:Y,
MATCH($T398, REPORTE_DROPI!B:B, 0)
),
""
),
""
)
</f>
        <v>2.6</v>
      </c>
      <c r="F398" s="171">
        <v>2.0</v>
      </c>
      <c r="G398" s="122">
        <f t="array" ref="G398">IF(
UPPER(TRIM(CLEAN($O398)))="ENTREGADO",
IFERROR(
INDEX(REPORTE_DROPI!R:R,
MATCH($T398, REPORTE_DROPI!B:B, 0)
),
""
),
""
)
</f>
        <v>21.99</v>
      </c>
      <c r="H398" s="118" t="s">
        <v>3727</v>
      </c>
      <c r="I398" s="154" t="s">
        <v>3740</v>
      </c>
      <c r="J398" s="121">
        <f t="array" ref="J398">IF(
UPPER(TRIM(CLEAN($O398)))="ENTREGADO",
IFERROR(
INDEX(REPORTE_DROPI!T:T,
MATCH($T398, REPORTE_DROPI!B:B, 0)
),
""
),
""
)
</f>
        <v>4.77</v>
      </c>
      <c r="K398" s="118">
        <f t="array" ref="K398">IFERROR(
INDEX(REPORTE_DROPI!S:S,
MATCH($T398, REPORTE_DROPI!B:B, 0)
),
""
)</f>
        <v>14.62</v>
      </c>
      <c r="L398" s="118" t="str">
        <f>IF(
  O398&lt;&gt;"DEVOLUCION",
  "",
  IF(
    T398="",
    "",
    SUMIF(DEVOLUCION!F:F, T398, DEVOLUCION!D:D)
  )
)
</f>
        <v/>
      </c>
      <c r="M398" s="118" t="s">
        <v>5877</v>
      </c>
      <c r="N398" s="169" t="s">
        <v>7027</v>
      </c>
      <c r="O398" s="118" t="str">
        <f t="array" ref="O398">IFERROR(
VLOOKUP(
TRIM(CLEAN(
INDEX(REPORTE_DROPI!K:K,
MATCH(T398, REPORTE_DROPI!B:B, 0)
))),
{
TRIM(CLEAN(MAPA_ESTADOS!A:A)) ,
MAPA_ESTADOS!B:B
},
2,
FALSE
),
"REVISAR"
)</f>
        <v>ENTREGADO</v>
      </c>
      <c r="P398" s="154" t="s">
        <v>7028</v>
      </c>
      <c r="Q398" s="153">
        <f t="shared" si="1"/>
        <v>0</v>
      </c>
      <c r="R398" s="172"/>
      <c r="S398" s="172"/>
      <c r="T398" s="118">
        <f t="array" ref="T398">IFERROR(
INDEX(REPORTE_DROPI!B:B,
MATCH(
CLEAN(TRIM(C398)),
CLEAN(TRIM(REPORTE_DROPI!E:E)),
0
)
),
""
)
</f>
        <v>4558896</v>
      </c>
      <c r="U398" s="169"/>
      <c r="V398" s="166"/>
      <c r="W398" s="18"/>
      <c r="X398" s="18"/>
      <c r="Y398" s="18"/>
      <c r="Z398" s="18"/>
    </row>
    <row r="399" ht="22.5" hidden="1" customHeight="1">
      <c r="A399" s="169">
        <v>398.0</v>
      </c>
      <c r="B399" s="170">
        <v>46067.0</v>
      </c>
      <c r="C399" s="154" t="s">
        <v>7029</v>
      </c>
      <c r="D399" s="118" t="str">
        <f>IFERROR(__xludf.DUMMYFUNCTION("IFERROR( INDEX( FILTER( 'NOMBRE DE PRODUCTOS'!B:B, REGEXMATCH( UPPER( INDEX( REPORTE_DROPI!AC:AC, MATCH(T399, REPORTE_DROPI!B:B, 0) ) ), UPPER('NOMBRE DE PRODUCTOS'!A:A) ) ), 1 ), ""REVISAR"" )"),"FilmPro®")</f>
        <v>FilmPro®</v>
      </c>
      <c r="E399" s="120">
        <f t="array" ref="E399">IF(
UPPER(TRIM(CLEAN($O399)))="ENTREGADO",
IFERROR(
INDEX(REPORTE_DROPI!Y:Y,
MATCH($T399, REPORTE_DROPI!B:B, 0)
),
""
),
""
)
</f>
        <v>4.8</v>
      </c>
      <c r="F399" s="171">
        <v>2.0</v>
      </c>
      <c r="G399" s="122">
        <f t="array" ref="G399">IF(
UPPER(TRIM(CLEAN($O399)))="ENTREGADO",
IFERROR(
INDEX(REPORTE_DROPI!R:R,
MATCH($T399, REPORTE_DROPI!B:B, 0)
),
""
),
""
)
</f>
        <v>25</v>
      </c>
      <c r="H399" s="118" t="s">
        <v>3727</v>
      </c>
      <c r="I399" s="154" t="s">
        <v>3731</v>
      </c>
      <c r="J399" s="121">
        <f t="array" ref="J399">IF(
UPPER(TRIM(CLEAN($O399)))="ENTREGADO",
IFERROR(
INDEX(REPORTE_DROPI!T:T,
MATCH($T399, REPORTE_DROPI!B:B, 0)
),
""
),
""
)
</f>
        <v>5.96</v>
      </c>
      <c r="K399" s="118">
        <f t="array" ref="K399">IFERROR(
INDEX(REPORTE_DROPI!S:S,
MATCH($T399, REPORTE_DROPI!B:B, 0)
),
""
)</f>
        <v>14.24</v>
      </c>
      <c r="L399" s="118" t="str">
        <f>IF(
  O399&lt;&gt;"DEVOLUCION",
  "",
  IF(
    T399="",
    "",
    SUMIF(DEVOLUCION!F:F, T399, DEVOLUCION!D:D)
  )
)
</f>
        <v/>
      </c>
      <c r="M399" s="118" t="s">
        <v>5877</v>
      </c>
      <c r="N399" s="169" t="s">
        <v>7030</v>
      </c>
      <c r="O399" s="118" t="str">
        <f t="array" ref="O399">IFERROR(
VLOOKUP(
TRIM(CLEAN(
INDEX(REPORTE_DROPI!K:K,
MATCH(T399, REPORTE_DROPI!B:B, 0)
))),
{
TRIM(CLEAN(MAPA_ESTADOS!A:A)) ,
MAPA_ESTADOS!B:B
},
2,
FALSE
),
"REVISAR"
)</f>
        <v>ENTREGADO</v>
      </c>
      <c r="P399" s="154" t="s">
        <v>5692</v>
      </c>
      <c r="Q399" s="153">
        <f t="shared" si="1"/>
        <v>0</v>
      </c>
      <c r="R399" s="172"/>
      <c r="S399" s="172"/>
      <c r="T399" s="118">
        <f t="array" ref="T399">IFERROR(
INDEX(REPORTE_DROPI!B:B,
MATCH(
CLEAN(TRIM(C399)),
CLEAN(TRIM(REPORTE_DROPI!E:E)),
0
)
),
""
)
</f>
        <v>4506426</v>
      </c>
      <c r="U399" s="169" t="s">
        <v>7031</v>
      </c>
      <c r="V399" s="166"/>
      <c r="W399" s="18"/>
      <c r="X399" s="18"/>
      <c r="Y399" s="18"/>
      <c r="Z399" s="18"/>
    </row>
    <row r="400" ht="22.5" hidden="1" customHeight="1">
      <c r="A400" s="169">
        <v>399.0</v>
      </c>
      <c r="B400" s="170">
        <v>46067.0</v>
      </c>
      <c r="C400" s="154" t="s">
        <v>7032</v>
      </c>
      <c r="D400" s="118" t="str">
        <f>IFERROR(__xludf.DUMMYFUNCTION("IFERROR( INDEX( FILTER( 'NOMBRE DE PRODUCTOS'!B:B, REGEXMATCH( UPPER( INDEX( REPORTE_DROPI!AC:AC, MATCH(T400, REPORTE_DROPI!B:B, 0) ) ), UPPER('NOMBRE DE PRODUCTOS'!A:A) ) ), 1 ), ""REVISAR"" )"),"Cuchillo Tazaki™")</f>
        <v>Cuchillo Tazaki™</v>
      </c>
      <c r="E400" s="120">
        <f t="array" ref="E400">IF(
UPPER(TRIM(CLEAN($O400)))="ENTREGADO",
IFERROR(
INDEX(REPORTE_DROPI!Y:Y,
MATCH($T400, REPORTE_DROPI!B:B, 0)
),
""
),
""
)
</f>
        <v>5.2</v>
      </c>
      <c r="F400" s="171">
        <v>2.0</v>
      </c>
      <c r="G400" s="122">
        <f t="array" ref="G400">IF(
UPPER(TRIM(CLEAN($O400)))="ENTREGADO",
IFERROR(
INDEX(REPORTE_DROPI!R:R,
MATCH($T400, REPORTE_DROPI!B:B, 0)
),
""
),
""
)
</f>
        <v>22</v>
      </c>
      <c r="H400" s="118" t="s">
        <v>3727</v>
      </c>
      <c r="I400" s="154" t="s">
        <v>3740</v>
      </c>
      <c r="J400" s="121">
        <f t="array" ref="J400">IF(
UPPER(TRIM(CLEAN($O400)))="ENTREGADO",
IFERROR(
INDEX(REPORTE_DROPI!T:T,
MATCH($T400, REPORTE_DROPI!B:B, 0)
),
""
),
""
)
</f>
        <v>5.26</v>
      </c>
      <c r="K400" s="118">
        <f t="array" ref="K400">IFERROR(
INDEX(REPORTE_DROPI!S:S,
MATCH($T400, REPORTE_DROPI!B:B, 0)
),
""
)</f>
        <v>11.54</v>
      </c>
      <c r="L400" s="118" t="str">
        <f>IF(
  O400&lt;&gt;"DEVOLUCION",
  "",
  IF(
    T400="",
    "",
    SUMIF(DEVOLUCION!F:F, T400, DEVOLUCION!D:D)
  )
)
</f>
        <v/>
      </c>
      <c r="M400" s="118" t="s">
        <v>5877</v>
      </c>
      <c r="N400" s="169" t="s">
        <v>7033</v>
      </c>
      <c r="O400" s="118" t="str">
        <f t="array" ref="O400">IFERROR(
VLOOKUP(
TRIM(CLEAN(
INDEX(REPORTE_DROPI!K:K,
MATCH(T400, REPORTE_DROPI!B:B, 0)
))),
{
TRIM(CLEAN(MAPA_ESTADOS!A:A)) ,
MAPA_ESTADOS!B:B
},
2,
FALSE
),
"REVISAR"
)</f>
        <v>ENTREGADO</v>
      </c>
      <c r="P400" s="154" t="s">
        <v>5692</v>
      </c>
      <c r="Q400" s="153">
        <f t="shared" si="1"/>
        <v>0</v>
      </c>
      <c r="R400" s="172"/>
      <c r="S400" s="172"/>
      <c r="T400" s="118">
        <f t="array" ref="T400">IFERROR(
INDEX(REPORTE_DROPI!B:B,
MATCH(
CLEAN(TRIM(C400)),
CLEAN(TRIM(REPORTE_DROPI!E:E)),
0
)
),
""
)
</f>
        <v>4506570</v>
      </c>
      <c r="U400" s="169" t="s">
        <v>7034</v>
      </c>
      <c r="V400" s="166"/>
      <c r="W400" s="18"/>
      <c r="X400" s="18"/>
      <c r="Y400" s="18"/>
      <c r="Z400" s="18"/>
    </row>
    <row r="401" ht="22.5" hidden="1" customHeight="1">
      <c r="A401" s="169" t="s">
        <v>3650</v>
      </c>
      <c r="B401" s="170"/>
      <c r="C401" s="154"/>
      <c r="D401" s="118" t="str">
        <f>IFERROR(__xludf.DUMMYFUNCTION("IFERROR( INDEX( FILTER( 'NOMBRE DE PRODUCTOS'!B:B, REGEXMATCH( UPPER( INDEX( REPORTE_DROPI!AC:AC, MATCH(T401, REPORTE_DROPI!B:B, 0) ) ), UPPER('NOMBRE DE PRODUCTOS'!A:A) ) ), 1 ), ""REVISAR"" )"),"REVISAR")</f>
        <v>REVISAR</v>
      </c>
      <c r="E401" s="120" t="str">
        <f t="array" ref="E401">IF(
UPPER(TRIM(CLEAN($O401)))="ENTREGADO",
IFERROR(
INDEX(REPORTE_DROPI!Y:Y,
MATCH($T401, REPORTE_DROPI!B:B, 0)
),
""
),
""
)
</f>
        <v/>
      </c>
      <c r="F401" s="171"/>
      <c r="G401" s="122" t="str">
        <f t="array" ref="G401">IF(
UPPER(TRIM(CLEAN($O401)))="ENTREGADO",
IFERROR(
INDEX(REPORTE_DROPI!R:R,
MATCH($T401, REPORTE_DROPI!B:B, 0)
),
""
),
""
)
</f>
        <v/>
      </c>
      <c r="H401" s="118" t="s">
        <v>3727</v>
      </c>
      <c r="I401" s="154"/>
      <c r="J401" s="121" t="str">
        <f t="array" ref="J401">IF(
UPPER(TRIM(CLEAN($O401)))="ENTREGADO",
IFERROR(
INDEX(REPORTE_DROPI!T:T,
MATCH($T401, REPORTE_DROPI!B:B, 0)
),
""
),
""
)
</f>
        <v/>
      </c>
      <c r="K401" s="118" t="str">
        <f t="array" ref="K401">IFERROR(
INDEX(REPORTE_DROPI!S:S,
MATCH($T401, REPORTE_DROPI!B:B, 0)
),
""
)</f>
        <v/>
      </c>
      <c r="L401" s="118" t="str">
        <f>IF(
  O401&lt;&gt;"DEVOLUCION",
  "",
  IF(
    T401="",
    "",
    SUMIF(DEVOLUCION!F:F, T401, DEVOLUCION!D:D)
  )
)
</f>
        <v/>
      </c>
      <c r="M401" s="118" t="s">
        <v>5877</v>
      </c>
      <c r="N401" s="169" t="s">
        <v>7035</v>
      </c>
      <c r="O401" s="118" t="str">
        <f t="array" ref="O401">IFERROR(
VLOOKUP(
TRIM(CLEAN(
INDEX(REPORTE_DROPI!K:K,
MATCH(T401, REPORTE_DROPI!B:B, 0)
))),
{
TRIM(CLEAN(MAPA_ESTADOS!A:A)) ,
MAPA_ESTADOS!B:B
},
2,
FALSE
),
"REVISAR"
)</f>
        <v>REVISAR</v>
      </c>
      <c r="P401" s="154" t="s">
        <v>7036</v>
      </c>
      <c r="Q401" s="153">
        <f t="shared" si="1"/>
        <v>0</v>
      </c>
      <c r="R401" s="172"/>
      <c r="S401" s="172"/>
      <c r="T401" s="118" t="str">
        <f t="array" ref="T401">IFERROR(
INDEX(REPORTE_DROPI!B:B,
MATCH(
CLEAN(TRIM(C401)),
CLEAN(TRIM(REPORTE_DROPI!E:E)),
0
)
),
""
)
</f>
        <v/>
      </c>
      <c r="U401" s="169"/>
      <c r="V401" s="166"/>
      <c r="W401" s="18"/>
      <c r="X401" s="18"/>
      <c r="Y401" s="18"/>
      <c r="Z401" s="18"/>
    </row>
    <row r="402" ht="22.5" hidden="1" customHeight="1">
      <c r="A402" s="169">
        <v>401.0</v>
      </c>
      <c r="B402" s="170">
        <v>46067.0</v>
      </c>
      <c r="C402" s="154" t="s">
        <v>7037</v>
      </c>
      <c r="D402" s="118" t="str">
        <f>IFERROR(__xludf.DUMMYFUNCTION("IFERROR( INDEX( FILTER( 'NOMBRE DE PRODUCTOS'!B:B, REGEXMATCH( UPPER( INDEX( REPORTE_DROPI!AC:AC, MATCH(T402, REPORTE_DROPI!B:B, 0) ) ), UPPER('NOMBRE DE PRODUCTOS'!A:A) ) ), 1 ), ""REVISAR"" )"),"FilmPro®")</f>
        <v>FilmPro®</v>
      </c>
      <c r="E402" s="120">
        <f t="array" ref="E402">IF(
UPPER(TRIM(CLEAN($O402)))="ENTREGADO",
IFERROR(
INDEX(REPORTE_DROPI!Y:Y,
MATCH($T402, REPORTE_DROPI!B:B, 0)
),
""
),
""
)
</f>
        <v>4.8</v>
      </c>
      <c r="F402" s="171">
        <v>2.0</v>
      </c>
      <c r="G402" s="122">
        <f t="array" ref="G402">IF(
UPPER(TRIM(CLEAN($O402)))="ENTREGADO",
IFERROR(
INDEX(REPORTE_DROPI!R:R,
MATCH($T402, REPORTE_DROPI!B:B, 0)
),
""
),
""
)
</f>
        <v>25</v>
      </c>
      <c r="H402" s="118" t="s">
        <v>3727</v>
      </c>
      <c r="I402" s="154" t="s">
        <v>3951</v>
      </c>
      <c r="J402" s="121">
        <f t="array" ref="J402">IF(
UPPER(TRIM(CLEAN($O402)))="ENTREGADO",
IFERROR(
INDEX(REPORTE_DROPI!T:T,
MATCH($T402, REPORTE_DROPI!B:B, 0)
),
""
),
""
)
</f>
        <v>5.96</v>
      </c>
      <c r="K402" s="118">
        <f t="array" ref="K402">IFERROR(
INDEX(REPORTE_DROPI!S:S,
MATCH($T402, REPORTE_DROPI!B:B, 0)
),
""
)</f>
        <v>14.24</v>
      </c>
      <c r="L402" s="118" t="str">
        <f>IF(
  O402&lt;&gt;"DEVOLUCION",
  "",
  IF(
    T402="",
    "",
    SUMIF(DEVOLUCION!F:F, T402, DEVOLUCION!D:D)
  )
)
</f>
        <v/>
      </c>
      <c r="M402" s="118" t="s">
        <v>5877</v>
      </c>
      <c r="N402" s="169" t="s">
        <v>7038</v>
      </c>
      <c r="O402" s="118" t="str">
        <f t="array" ref="O402">IFERROR(
VLOOKUP(
TRIM(CLEAN(
INDEX(REPORTE_DROPI!K:K,
MATCH(T402, REPORTE_DROPI!B:B, 0)
))),
{
TRIM(CLEAN(MAPA_ESTADOS!A:A)) ,
MAPA_ESTADOS!B:B
},
2,
FALSE
),
"REVISAR"
)</f>
        <v>ENTREGADO</v>
      </c>
      <c r="P402" s="154" t="s">
        <v>3655</v>
      </c>
      <c r="Q402" s="153">
        <f t="shared" si="1"/>
        <v>0</v>
      </c>
      <c r="R402" s="172"/>
      <c r="S402" s="172"/>
      <c r="T402" s="118">
        <f t="array" ref="T402">IFERROR(
INDEX(REPORTE_DROPI!B:B,
MATCH(
CLEAN(TRIM(C402)),
CLEAN(TRIM(REPORTE_DROPI!E:E)),
0
)
),
""
)
</f>
        <v>4523329</v>
      </c>
      <c r="U402" s="169" t="s">
        <v>7039</v>
      </c>
      <c r="V402" s="166"/>
      <c r="W402" s="18"/>
      <c r="X402" s="18"/>
      <c r="Y402" s="18"/>
      <c r="Z402" s="18"/>
    </row>
    <row r="403" ht="22.5" hidden="1" customHeight="1">
      <c r="A403" s="169">
        <v>402.0</v>
      </c>
      <c r="B403" s="170">
        <v>46067.0</v>
      </c>
      <c r="C403" s="154" t="s">
        <v>7040</v>
      </c>
      <c r="D403" s="118" t="str">
        <f>IFERROR(__xludf.DUMMYFUNCTION("IFERROR( INDEX( FILTER( 'NOMBRE DE PRODUCTOS'!B:B, REGEXMATCH( UPPER( INDEX( REPORTE_DROPI!AC:AC, MATCH(T403, REPORTE_DROPI!B:B, 0) ) ), UPPER('NOMBRE DE PRODUCTOS'!A:A) ) ), 1 ), ""REVISAR"" )"),"FilmPro®")</f>
        <v>FilmPro®</v>
      </c>
      <c r="E403" s="120">
        <f t="array" ref="E403">IF(
UPPER(TRIM(CLEAN($O403)))="ENTREGADO",
IFERROR(
INDEX(REPORTE_DROPI!Y:Y,
MATCH($T403, REPORTE_DROPI!B:B, 0)
),
""
),
""
)
</f>
        <v>4.8</v>
      </c>
      <c r="F403" s="171">
        <v>2.0</v>
      </c>
      <c r="G403" s="122">
        <f t="array" ref="G403">IF(
UPPER(TRIM(CLEAN($O403)))="ENTREGADO",
IFERROR(
INDEX(REPORTE_DROPI!R:R,
MATCH($T403, REPORTE_DROPI!B:B, 0)
),
""
),
""
)
</f>
        <v>25</v>
      </c>
      <c r="H403" s="118" t="s">
        <v>3727</v>
      </c>
      <c r="I403" s="154" t="s">
        <v>3912</v>
      </c>
      <c r="J403" s="121">
        <f t="array" ref="J403">IF(
UPPER(TRIM(CLEAN($O403)))="ENTREGADO",
IFERROR(
INDEX(REPORTE_DROPI!T:T,
MATCH($T403, REPORTE_DROPI!B:B, 0)
),
""
),
""
)
</f>
        <v>5.96</v>
      </c>
      <c r="K403" s="118">
        <f t="array" ref="K403">IFERROR(
INDEX(REPORTE_DROPI!S:S,
MATCH($T403, REPORTE_DROPI!B:B, 0)
),
""
)</f>
        <v>14.24</v>
      </c>
      <c r="L403" s="118" t="str">
        <f>IF(
  O403&lt;&gt;"DEVOLUCION",
  "",
  IF(
    T403="",
    "",
    SUMIF(DEVOLUCION!F:F, T403, DEVOLUCION!D:D)
  )
)
</f>
        <v/>
      </c>
      <c r="M403" s="118" t="s">
        <v>5877</v>
      </c>
      <c r="N403" s="169" t="s">
        <v>7041</v>
      </c>
      <c r="O403" s="118" t="str">
        <f t="array" ref="O403">IFERROR(
VLOOKUP(
TRIM(CLEAN(
INDEX(REPORTE_DROPI!K:K,
MATCH(T403, REPORTE_DROPI!B:B, 0)
))),
{
TRIM(CLEAN(MAPA_ESTADOS!A:A)) ,
MAPA_ESTADOS!B:B
},
2,
FALSE
),
"REVISAR"
)</f>
        <v>ENTREGADO</v>
      </c>
      <c r="P403" s="154" t="s">
        <v>5692</v>
      </c>
      <c r="Q403" s="153">
        <f t="shared" si="1"/>
        <v>0</v>
      </c>
      <c r="R403" s="172"/>
      <c r="S403" s="172"/>
      <c r="T403" s="118">
        <f t="array" ref="T403">IFERROR(
INDEX(REPORTE_DROPI!B:B,
MATCH(
CLEAN(TRIM(C403)),
CLEAN(TRIM(REPORTE_DROPI!E:E)),
0
)
),
""
)
</f>
        <v>4506785</v>
      </c>
      <c r="U403" s="169" t="s">
        <v>7042</v>
      </c>
      <c r="V403" s="166"/>
      <c r="W403" s="18"/>
      <c r="X403" s="18"/>
      <c r="Y403" s="18"/>
      <c r="Z403" s="18"/>
    </row>
    <row r="404" ht="22.5" hidden="1" customHeight="1">
      <c r="A404" s="169">
        <v>403.0</v>
      </c>
      <c r="B404" s="170">
        <v>46067.0</v>
      </c>
      <c r="C404" s="154" t="s">
        <v>7043</v>
      </c>
      <c r="D404" s="118" t="str">
        <f>IFERROR(__xludf.DUMMYFUNCTION("IFERROR( INDEX( FILTER( 'NOMBRE DE PRODUCTOS'!B:B, REGEXMATCH( UPPER( INDEX( REPORTE_DROPI!AC:AC, MATCH(T404, REPORTE_DROPI!B:B, 0) ) ), UPPER('NOMBRE DE PRODUCTOS'!A:A) ) ), 1 ), ""REVISAR"" )"),"FilmPro®")</f>
        <v>FilmPro®</v>
      </c>
      <c r="E404" s="120">
        <f t="array" ref="E404">IF(
UPPER(TRIM(CLEAN($O404)))="ENTREGADO",
IFERROR(
INDEX(REPORTE_DROPI!Y:Y,
MATCH($T404, REPORTE_DROPI!B:B, 0)
),
""
),
""
)
</f>
        <v>2.4</v>
      </c>
      <c r="F404" s="171">
        <v>1.0</v>
      </c>
      <c r="G404" s="122">
        <f t="array" ref="G404">IF(
UPPER(TRIM(CLEAN($O404)))="ENTREGADO",
IFERROR(
INDEX(REPORTE_DROPI!R:R,
MATCH($T404, REPORTE_DROPI!B:B, 0)
),
""
),
""
)
</f>
        <v>20</v>
      </c>
      <c r="H404" s="118" t="s">
        <v>3727</v>
      </c>
      <c r="I404" s="154" t="s">
        <v>3731</v>
      </c>
      <c r="J404" s="121">
        <f t="array" ref="J404">IF(
UPPER(TRIM(CLEAN($O404)))="ENTREGADO",
IFERROR(
INDEX(REPORTE_DROPI!T:T,
MATCH($T404, REPORTE_DROPI!B:B, 0)
),
""
),
""
)
</f>
        <v>5.76</v>
      </c>
      <c r="K404" s="118">
        <f t="array" ref="K404">IFERROR(
INDEX(REPORTE_DROPI!S:S,
MATCH($T404, REPORTE_DROPI!B:B, 0)
),
""
)</f>
        <v>11.84</v>
      </c>
      <c r="L404" s="118" t="str">
        <f>IF(
  O404&lt;&gt;"DEVOLUCION",
  "",
  IF(
    T404="",
    "",
    SUMIF(DEVOLUCION!F:F, T404, DEVOLUCION!D:D)
  )
)
</f>
        <v/>
      </c>
      <c r="M404" s="118" t="s">
        <v>5877</v>
      </c>
      <c r="N404" s="169" t="s">
        <v>7044</v>
      </c>
      <c r="O404" s="118" t="str">
        <f t="array" ref="O404">IFERROR(
VLOOKUP(
TRIM(CLEAN(
INDEX(REPORTE_DROPI!K:K,
MATCH(T404, REPORTE_DROPI!B:B, 0)
))),
{
TRIM(CLEAN(MAPA_ESTADOS!A:A)) ,
MAPA_ESTADOS!B:B
},
2,
FALSE
),
"REVISAR"
)</f>
        <v>ENTREGADO</v>
      </c>
      <c r="P404" s="154" t="s">
        <v>5692</v>
      </c>
      <c r="Q404" s="153">
        <f t="shared" si="1"/>
        <v>0</v>
      </c>
      <c r="R404" s="172"/>
      <c r="S404" s="172"/>
      <c r="T404" s="118">
        <f t="array" ref="T404">IFERROR(
INDEX(REPORTE_DROPI!B:B,
MATCH(
CLEAN(TRIM(C404)),
CLEAN(TRIM(REPORTE_DROPI!E:E)),
0
)
),
""
)
</f>
        <v>4506814</v>
      </c>
      <c r="U404" s="169" t="s">
        <v>7045</v>
      </c>
      <c r="V404" s="166"/>
      <c r="W404" s="18"/>
      <c r="X404" s="18"/>
      <c r="Y404" s="18"/>
      <c r="Z404" s="18"/>
    </row>
    <row r="405" ht="22.5" hidden="1" customHeight="1">
      <c r="A405" s="169">
        <v>404.0</v>
      </c>
      <c r="B405" s="170">
        <v>46067.0</v>
      </c>
      <c r="C405" s="154" t="s">
        <v>7046</v>
      </c>
      <c r="D405" s="118" t="str">
        <f>IFERROR(__xludf.DUMMYFUNCTION("IFERROR( INDEX( FILTER( 'NOMBRE DE PRODUCTOS'!B:B, REGEXMATCH( UPPER( INDEX( REPORTE_DROPI!AC:AC, MATCH(T405, REPORTE_DROPI!B:B, 0) ) ), UPPER('NOMBRE DE PRODUCTOS'!A:A) ) ), 1 ), ""REVISAR"" )"),"Cuchillo Tazaki™")</f>
        <v>Cuchillo Tazaki™</v>
      </c>
      <c r="E405" s="120" t="str">
        <f t="array" ref="E405">IF(
UPPER(TRIM(CLEAN($O405)))="ENTREGADO",
IFERROR(
INDEX(REPORTE_DROPI!Y:Y,
MATCH($T405, REPORTE_DROPI!B:B, 0)
),
""
),
""
)
</f>
        <v/>
      </c>
      <c r="F405" s="171">
        <v>2.0</v>
      </c>
      <c r="G405" s="122" t="str">
        <f t="array" ref="G405">IF(
UPPER(TRIM(CLEAN($O405)))="ENTREGADO",
IFERROR(
INDEX(REPORTE_DROPI!R:R,
MATCH($T405, REPORTE_DROPI!B:B, 0)
),
""
),
""
)
</f>
        <v/>
      </c>
      <c r="H405" s="118" t="s">
        <v>3727</v>
      </c>
      <c r="I405" s="154" t="s">
        <v>3740</v>
      </c>
      <c r="J405" s="121" t="str">
        <f t="array" ref="J405">IF(
UPPER(TRIM(CLEAN($O405)))="ENTREGADO",
IFERROR(
INDEX(REPORTE_DROPI!T:T,
MATCH($T405, REPORTE_DROPI!B:B, 0)
),
""
),
""
)
</f>
        <v/>
      </c>
      <c r="K405" s="118" t="str">
        <f t="array" ref="K405">IFERROR(
INDEX(REPORTE_DROPI!S:S,
MATCH($T405, REPORTE_DROPI!B:B, 0)
),
""
)</f>
        <v/>
      </c>
      <c r="L405" s="118">
        <f>IF(
  O405&lt;&gt;"DEVOLUCION",
  "",
  IF(
    T405="",
    "",
    SUMIF(DEVOLUCION!F:F, T405, DEVOLUCION!D:D)
  )
)
</f>
        <v>0</v>
      </c>
      <c r="M405" s="118" t="s">
        <v>5877</v>
      </c>
      <c r="N405" s="169" t="s">
        <v>7047</v>
      </c>
      <c r="O405" s="118" t="str">
        <f t="array" ref="O405">IFERROR(
VLOOKUP(
TRIM(CLEAN(
INDEX(REPORTE_DROPI!K:K,
MATCH(T405, REPORTE_DROPI!B:B, 0)
))),
{
TRIM(CLEAN(MAPA_ESTADOS!A:A)) ,
MAPA_ESTADOS!B:B
},
2,
FALSE
),
"REVISAR"
)</f>
        <v>DEVOLUCION</v>
      </c>
      <c r="P405" s="154" t="s">
        <v>5692</v>
      </c>
      <c r="Q405" s="153">
        <f t="shared" si="1"/>
        <v>0</v>
      </c>
      <c r="R405" s="172"/>
      <c r="S405" s="172"/>
      <c r="T405" s="118">
        <f t="array" ref="T405">IFERROR(
INDEX(REPORTE_DROPI!B:B,
MATCH(
CLEAN(TRIM(C405)),
CLEAN(TRIM(REPORTE_DROPI!E:E)),
0
)
),
""
)
</f>
        <v>4506846</v>
      </c>
      <c r="U405" s="169" t="s">
        <v>7048</v>
      </c>
      <c r="V405" s="166"/>
      <c r="W405" s="18"/>
      <c r="X405" s="18"/>
      <c r="Y405" s="18"/>
      <c r="Z405" s="18"/>
    </row>
    <row r="406" ht="22.5" hidden="1" customHeight="1">
      <c r="A406" s="169">
        <v>405.0</v>
      </c>
      <c r="B406" s="170">
        <v>46067.0</v>
      </c>
      <c r="C406" s="154" t="s">
        <v>7049</v>
      </c>
      <c r="D406" s="118" t="str">
        <f>IFERROR(__xludf.DUMMYFUNCTION("IFERROR( INDEX( FILTER( 'NOMBRE DE PRODUCTOS'!B:B, REGEXMATCH( UPPER( INDEX( REPORTE_DROPI!AC:AC, MATCH(T406, REPORTE_DROPI!B:B, 0) ) ), UPPER('NOMBRE DE PRODUCTOS'!A:A) ) ), 1 ), ""REVISAR"" )"),"Cuchillo Tazaki™")</f>
        <v>Cuchillo Tazaki™</v>
      </c>
      <c r="E406" s="120">
        <f t="array" ref="E406">IF(
UPPER(TRIM(CLEAN($O406)))="ENTREGADO",
IFERROR(
INDEX(REPORTE_DROPI!Y:Y,
MATCH($T406, REPORTE_DROPI!B:B, 0)
),
""
),
""
)
</f>
        <v>7.8</v>
      </c>
      <c r="F406" s="171">
        <v>3.0</v>
      </c>
      <c r="G406" s="122">
        <f t="array" ref="G406">IF(
UPPER(TRIM(CLEAN($O406)))="ENTREGADO",
IFERROR(
INDEX(REPORTE_DROPI!R:R,
MATCH($T406, REPORTE_DROPI!B:B, 0)
),
""
),
""
)
</f>
        <v>27</v>
      </c>
      <c r="H406" s="118" t="s">
        <v>3727</v>
      </c>
      <c r="I406" s="154" t="s">
        <v>3731</v>
      </c>
      <c r="J406" s="121">
        <f t="array" ref="J406">IF(
UPPER(TRIM(CLEAN($O406)))="ENTREGADO",
IFERROR(
INDEX(REPORTE_DROPI!T:T,
MATCH($T406, REPORTE_DROPI!B:B, 0)
),
""
),
""
)
</f>
        <v>6.03</v>
      </c>
      <c r="K406" s="118">
        <f t="array" ref="K406">IFERROR(
INDEX(REPORTE_DROPI!S:S,
MATCH($T406, REPORTE_DROPI!B:B, 0)
),
""
)</f>
        <v>13.17</v>
      </c>
      <c r="L406" s="118" t="str">
        <f>IF(
  O406&lt;&gt;"DEVOLUCION",
  "",
  IF(
    T406="",
    "",
    SUMIF(DEVOLUCION!F:F, T406, DEVOLUCION!D:D)
  )
)
</f>
        <v/>
      </c>
      <c r="M406" s="118" t="s">
        <v>5877</v>
      </c>
      <c r="N406" s="169" t="s">
        <v>7050</v>
      </c>
      <c r="O406" s="118" t="str">
        <f t="array" ref="O406">IFERROR(
VLOOKUP(
TRIM(CLEAN(
INDEX(REPORTE_DROPI!K:K,
MATCH(T406, REPORTE_DROPI!B:B, 0)
))),
{
TRIM(CLEAN(MAPA_ESTADOS!A:A)) ,
MAPA_ESTADOS!B:B
},
2,
FALSE
),
"REVISAR"
)</f>
        <v>ENTREGADO</v>
      </c>
      <c r="P406" s="154" t="s">
        <v>3655</v>
      </c>
      <c r="Q406" s="153">
        <f t="shared" si="1"/>
        <v>0</v>
      </c>
      <c r="R406" s="172"/>
      <c r="S406" s="172"/>
      <c r="T406" s="118">
        <f t="array" ref="T406">IFERROR(
INDEX(REPORTE_DROPI!B:B,
MATCH(
CLEAN(TRIM(C406)),
CLEAN(TRIM(REPORTE_DROPI!E:E)),
0
)
),
""
)
</f>
        <v>4506847</v>
      </c>
      <c r="U406" s="169" t="s">
        <v>7051</v>
      </c>
      <c r="V406" s="166"/>
      <c r="W406" s="18"/>
      <c r="X406" s="18"/>
      <c r="Y406" s="18"/>
      <c r="Z406" s="18"/>
    </row>
    <row r="407" ht="22.5" hidden="1" customHeight="1">
      <c r="A407" s="169">
        <v>406.0</v>
      </c>
      <c r="B407" s="170">
        <v>46067.0</v>
      </c>
      <c r="C407" s="154" t="s">
        <v>7052</v>
      </c>
      <c r="D407" s="118" t="str">
        <f>IFERROR(__xludf.DUMMYFUNCTION("IFERROR( INDEX( FILTER( 'NOMBRE DE PRODUCTOS'!B:B, REGEXMATCH( UPPER( INDEX( REPORTE_DROPI!AC:AC, MATCH(T407, REPORTE_DROPI!B:B, 0) ) ), UPPER('NOMBRE DE PRODUCTOS'!A:A) ) ), 1 ), ""REVISAR"" )"),"FilmPro®")</f>
        <v>FilmPro®</v>
      </c>
      <c r="E407" s="120" t="str">
        <f t="array" ref="E407">IF(
UPPER(TRIM(CLEAN($O407)))="ENTREGADO",
IFERROR(
INDEX(REPORTE_DROPI!Y:Y,
MATCH($T407, REPORTE_DROPI!B:B, 0)
),
""
),
""
)
</f>
        <v/>
      </c>
      <c r="F407" s="171">
        <v>3.0</v>
      </c>
      <c r="G407" s="122" t="str">
        <f t="array" ref="G407">IF(
UPPER(TRIM(CLEAN($O407)))="ENTREGADO",
IFERROR(
INDEX(REPORTE_DROPI!R:R,
MATCH($T407, REPORTE_DROPI!B:B, 0)
),
""
),
""
)
</f>
        <v/>
      </c>
      <c r="H407" s="118" t="s">
        <v>3727</v>
      </c>
      <c r="I407" s="154" t="s">
        <v>3882</v>
      </c>
      <c r="J407" s="121" t="str">
        <f t="array" ref="J407">IF(
UPPER(TRIM(CLEAN($O407)))="ENTREGADO",
IFERROR(
INDEX(REPORTE_DROPI!T:T,
MATCH($T407, REPORTE_DROPI!B:B, 0)
),
""
),
""
)
</f>
        <v/>
      </c>
      <c r="K407" s="118" t="str">
        <f t="array" ref="K407">IFERROR(
INDEX(REPORTE_DROPI!S:S,
MATCH($T407, REPORTE_DROPI!B:B, 0)
),
""
)</f>
        <v/>
      </c>
      <c r="L407" s="118" t="str">
        <f>IF(
  O407&lt;&gt;"DEVOLUCION",
  "",
  IF(
    T407="",
    "",
    SUMIF(DEVOLUCION!F:F, T407, DEVOLUCION!D:D)
  )
)
</f>
        <v/>
      </c>
      <c r="M407" s="118" t="s">
        <v>5877</v>
      </c>
      <c r="N407" s="169" t="s">
        <v>7053</v>
      </c>
      <c r="O407" s="118" t="str">
        <f t="array" ref="O407">IFERROR(
VLOOKUP(
TRIM(CLEAN(
INDEX(REPORTE_DROPI!K:K,
MATCH(T407, REPORTE_DROPI!B:B, 0)
))),
{
TRIM(CLEAN(MAPA_ESTADOS!A:A)) ,
MAPA_ESTADOS!B:B
},
2,
FALSE
),
"REVISAR"
)</f>
        <v>PENDIENTE</v>
      </c>
      <c r="P407" s="154" t="s">
        <v>6829</v>
      </c>
      <c r="Q407" s="153">
        <f t="shared" si="1"/>
        <v>0</v>
      </c>
      <c r="R407" s="172"/>
      <c r="S407" s="172"/>
      <c r="T407" s="118">
        <f t="array" ref="T407">IFERROR(
INDEX(REPORTE_DROPI!B:B,
MATCH(
CLEAN(TRIM(C407)),
CLEAN(TRIM(REPORTE_DROPI!E:E)),
0
)
),
""
)
</f>
        <v>4506940</v>
      </c>
      <c r="U407" s="169" t="s">
        <v>7054</v>
      </c>
      <c r="V407" s="166"/>
      <c r="W407" s="18"/>
      <c r="X407" s="18"/>
      <c r="Y407" s="18"/>
      <c r="Z407" s="18"/>
    </row>
    <row r="408" ht="22.5" hidden="1" customHeight="1">
      <c r="A408" s="169">
        <v>407.0</v>
      </c>
      <c r="B408" s="170">
        <v>46067.0</v>
      </c>
      <c r="C408" s="154" t="s">
        <v>7055</v>
      </c>
      <c r="D408" s="118" t="str">
        <f>IFERROR(__xludf.DUMMYFUNCTION("IFERROR( INDEX( FILTER( 'NOMBRE DE PRODUCTOS'!B:B, REGEXMATCH( UPPER( INDEX( REPORTE_DROPI!AC:AC, MATCH(T408, REPORTE_DROPI!B:B, 0) ) ), UPPER('NOMBRE DE PRODUCTOS'!A:A) ) ), 1 ), ""REVISAR"" )"),"FilmPro®")</f>
        <v>FilmPro®</v>
      </c>
      <c r="E408" s="120">
        <f t="array" ref="E408">IF(
UPPER(TRIM(CLEAN($O408)))="ENTREGADO",
IFERROR(
INDEX(REPORTE_DROPI!Y:Y,
MATCH($T408, REPORTE_DROPI!B:B, 0)
),
""
),
""
)
</f>
        <v>4.8</v>
      </c>
      <c r="F408" s="171">
        <v>2.0</v>
      </c>
      <c r="G408" s="122">
        <f t="array" ref="G408">IF(
UPPER(TRIM(CLEAN($O408)))="ENTREGADO",
IFERROR(
INDEX(REPORTE_DROPI!R:R,
MATCH($T408, REPORTE_DROPI!B:B, 0)
),
""
),
""
)
</f>
        <v>25</v>
      </c>
      <c r="H408" s="118" t="s">
        <v>3727</v>
      </c>
      <c r="I408" s="154" t="s">
        <v>3731</v>
      </c>
      <c r="J408" s="121">
        <f t="array" ref="J408">IF(
UPPER(TRIM(CLEAN($O408)))="ENTREGADO",
IFERROR(
INDEX(REPORTE_DROPI!T:T,
MATCH($T408, REPORTE_DROPI!B:B, 0)
),
""
),
""
)
</f>
        <v>5.96</v>
      </c>
      <c r="K408" s="118">
        <f t="array" ref="K408">IFERROR(
INDEX(REPORTE_DROPI!S:S,
MATCH($T408, REPORTE_DROPI!B:B, 0)
),
""
)</f>
        <v>14.24</v>
      </c>
      <c r="L408" s="118" t="str">
        <f>IF(
  O408&lt;&gt;"DEVOLUCION",
  "",
  IF(
    T408="",
    "",
    SUMIF(DEVOLUCION!F:F, T408, DEVOLUCION!D:D)
  )
)
</f>
        <v/>
      </c>
      <c r="M408" s="118" t="s">
        <v>5877</v>
      </c>
      <c r="N408" s="169" t="s">
        <v>7056</v>
      </c>
      <c r="O408" s="118" t="str">
        <f t="array" ref="O408">IFERROR(
VLOOKUP(
TRIM(CLEAN(
INDEX(REPORTE_DROPI!K:K,
MATCH(T408, REPORTE_DROPI!B:B, 0)
))),
{
TRIM(CLEAN(MAPA_ESTADOS!A:A)) ,
MAPA_ESTADOS!B:B
},
2,
FALSE
),
"REVISAR"
)</f>
        <v>ENTREGADO</v>
      </c>
      <c r="P408" s="154" t="s">
        <v>5692</v>
      </c>
      <c r="Q408" s="153">
        <f t="shared" si="1"/>
        <v>0</v>
      </c>
      <c r="R408" s="172"/>
      <c r="S408" s="172"/>
      <c r="T408" s="118">
        <f t="array" ref="T408">IFERROR(
INDEX(REPORTE_DROPI!B:B,
MATCH(
CLEAN(TRIM(C408)),
CLEAN(TRIM(REPORTE_DROPI!E:E)),
0
)
),
""
)
</f>
        <v>4507155</v>
      </c>
      <c r="U408" s="169" t="s">
        <v>7057</v>
      </c>
      <c r="V408" s="166"/>
      <c r="W408" s="18"/>
      <c r="X408" s="18"/>
      <c r="Y408" s="18"/>
      <c r="Z408" s="18"/>
    </row>
    <row r="409" ht="22.5" hidden="1" customHeight="1">
      <c r="A409" s="169">
        <v>408.0</v>
      </c>
      <c r="B409" s="170">
        <v>46067.0</v>
      </c>
      <c r="C409" s="154" t="s">
        <v>7058</v>
      </c>
      <c r="D409" s="118" t="str">
        <f>IFERROR(__xludf.DUMMYFUNCTION("IFERROR( INDEX( FILTER( 'NOMBRE DE PRODUCTOS'!B:B, REGEXMATCH( UPPER( INDEX( REPORTE_DROPI!AC:AC, MATCH(T409, REPORTE_DROPI!B:B, 0) ) ), UPPER('NOMBRE DE PRODUCTOS'!A:A) ) ), 1 ), ""REVISAR"" )"),"FilmPro®")</f>
        <v>FilmPro®</v>
      </c>
      <c r="E409" s="120" t="str">
        <f t="array" ref="E409">IF(
UPPER(TRIM(CLEAN($O409)))="ENTREGADO",
IFERROR(
INDEX(REPORTE_DROPI!Y:Y,
MATCH($T409, REPORTE_DROPI!B:B, 0)
),
""
),
""
)
</f>
        <v/>
      </c>
      <c r="F409" s="171">
        <v>2.0</v>
      </c>
      <c r="G409" s="122" t="str">
        <f t="array" ref="G409">IF(
UPPER(TRIM(CLEAN($O409)))="ENTREGADO",
IFERROR(
INDEX(REPORTE_DROPI!R:R,
MATCH($T409, REPORTE_DROPI!B:B, 0)
),
""
),
""
)
</f>
        <v/>
      </c>
      <c r="H409" s="118" t="s">
        <v>3727</v>
      </c>
      <c r="I409" s="154" t="s">
        <v>3778</v>
      </c>
      <c r="J409" s="121" t="str">
        <f t="array" ref="J409">IF(
UPPER(TRIM(CLEAN($O409)))="ENTREGADO",
IFERROR(
INDEX(REPORTE_DROPI!T:T,
MATCH($T409, REPORTE_DROPI!B:B, 0)
),
""
),
""
)
</f>
        <v/>
      </c>
      <c r="K409" s="118" t="str">
        <f t="array" ref="K409">IFERROR(
INDEX(REPORTE_DROPI!S:S,
MATCH($T409, REPORTE_DROPI!B:B, 0)
),
""
)</f>
        <v/>
      </c>
      <c r="L409" s="118">
        <f>IF(
  O409&lt;&gt;"DEVOLUCION",
  "",
  IF(
    T409="",
    "",
    SUMIF(DEVOLUCION!F:F, T409, DEVOLUCION!D:D)
  )
)
</f>
        <v>7.19</v>
      </c>
      <c r="M409" s="118" t="s">
        <v>5877</v>
      </c>
      <c r="N409" s="169" t="s">
        <v>7059</v>
      </c>
      <c r="O409" s="118" t="str">
        <f t="array" ref="O409">IFERROR(
VLOOKUP(
TRIM(CLEAN(
INDEX(REPORTE_DROPI!K:K,
MATCH(T409, REPORTE_DROPI!B:B, 0)
))),
{
TRIM(CLEAN(MAPA_ESTADOS!A:A)) ,
MAPA_ESTADOS!B:B
},
2,
FALSE
),
"REVISAR"
)</f>
        <v>DEVOLUCION</v>
      </c>
      <c r="P409" s="154" t="s">
        <v>5692</v>
      </c>
      <c r="Q409" s="153">
        <f t="shared" si="1"/>
        <v>0</v>
      </c>
      <c r="R409" s="172"/>
      <c r="S409" s="172"/>
      <c r="T409" s="118">
        <f t="array" ref="T409">IFERROR(
INDEX(REPORTE_DROPI!B:B,
MATCH(
CLEAN(TRIM(C409)),
CLEAN(TRIM(REPORTE_DROPI!E:E)),
0
)
),
""
)
</f>
        <v>4507232</v>
      </c>
      <c r="U409" s="169" t="s">
        <v>7060</v>
      </c>
      <c r="V409" s="166"/>
      <c r="W409" s="18"/>
      <c r="X409" s="18"/>
      <c r="Y409" s="18"/>
      <c r="Z409" s="18"/>
    </row>
    <row r="410" ht="22.5" hidden="1" customHeight="1">
      <c r="A410" s="169">
        <v>409.0</v>
      </c>
      <c r="B410" s="170">
        <v>46067.0</v>
      </c>
      <c r="C410" s="154" t="s">
        <v>7061</v>
      </c>
      <c r="D410" s="118" t="str">
        <f>IFERROR(__xludf.DUMMYFUNCTION("IFERROR( INDEX( FILTER( 'NOMBRE DE PRODUCTOS'!B:B, REGEXMATCH( UPPER( INDEX( REPORTE_DROPI!AC:AC, MATCH(T410, REPORTE_DROPI!B:B, 0) ) ), UPPER('NOMBRE DE PRODUCTOS'!A:A) ) ), 1 ), ""REVISAR"" )"),"FilmPro®")</f>
        <v>FilmPro®</v>
      </c>
      <c r="E410" s="120">
        <f t="array" ref="E410">IF(
UPPER(TRIM(CLEAN($O410)))="ENTREGADO",
IFERROR(
INDEX(REPORTE_DROPI!Y:Y,
MATCH($T410, REPORTE_DROPI!B:B, 0)
),
""
),
""
)
</f>
        <v>4.8</v>
      </c>
      <c r="F410" s="171">
        <v>2.0</v>
      </c>
      <c r="G410" s="122">
        <f t="array" ref="G410">IF(
UPPER(TRIM(CLEAN($O410)))="ENTREGADO",
IFERROR(
INDEX(REPORTE_DROPI!R:R,
MATCH($T410, REPORTE_DROPI!B:B, 0)
),
""
),
""
)
</f>
        <v>25</v>
      </c>
      <c r="H410" s="118" t="s">
        <v>3727</v>
      </c>
      <c r="I410" s="154" t="s">
        <v>3731</v>
      </c>
      <c r="J410" s="121">
        <f t="array" ref="J410">IF(
UPPER(TRIM(CLEAN($O410)))="ENTREGADO",
IFERROR(
INDEX(REPORTE_DROPI!T:T,
MATCH($T410, REPORTE_DROPI!B:B, 0)
),
""
),
""
)
</f>
        <v>5.96</v>
      </c>
      <c r="K410" s="118">
        <f t="array" ref="K410">IFERROR(
INDEX(REPORTE_DROPI!S:S,
MATCH($T410, REPORTE_DROPI!B:B, 0)
),
""
)</f>
        <v>14.24</v>
      </c>
      <c r="L410" s="118" t="str">
        <f>IF(
  O410&lt;&gt;"DEVOLUCION",
  "",
  IF(
    T410="",
    "",
    SUMIF(DEVOLUCION!F:F, T410, DEVOLUCION!D:D)
  )
)
</f>
        <v/>
      </c>
      <c r="M410" s="118" t="s">
        <v>5877</v>
      </c>
      <c r="N410" s="169" t="s">
        <v>7062</v>
      </c>
      <c r="O410" s="118" t="str">
        <f t="array" ref="O410">IFERROR(
VLOOKUP(
TRIM(CLEAN(
INDEX(REPORTE_DROPI!K:K,
MATCH(T410, REPORTE_DROPI!B:B, 0)
))),
{
TRIM(CLEAN(MAPA_ESTADOS!A:A)) ,
MAPA_ESTADOS!B:B
},
2,
FALSE
),
"REVISAR"
)</f>
        <v>ENTREGADO</v>
      </c>
      <c r="P410" s="154" t="s">
        <v>5692</v>
      </c>
      <c r="Q410" s="153">
        <f t="shared" si="1"/>
        <v>0</v>
      </c>
      <c r="R410" s="172"/>
      <c r="S410" s="172"/>
      <c r="T410" s="118">
        <f t="array" ref="T410">IFERROR(
INDEX(REPORTE_DROPI!B:B,
MATCH(
CLEAN(TRIM(C410)),
CLEAN(TRIM(REPORTE_DROPI!E:E)),
0
)
),
""
)
</f>
        <v>4507249</v>
      </c>
      <c r="U410" s="169" t="s">
        <v>7063</v>
      </c>
      <c r="V410" s="166"/>
      <c r="W410" s="18"/>
      <c r="X410" s="18"/>
      <c r="Y410" s="18"/>
      <c r="Z410" s="18"/>
    </row>
    <row r="411" ht="22.5" hidden="1" customHeight="1">
      <c r="A411" s="169">
        <v>410.0</v>
      </c>
      <c r="B411" s="170">
        <v>46067.0</v>
      </c>
      <c r="C411" s="154" t="s">
        <v>7064</v>
      </c>
      <c r="D411" s="118" t="str">
        <f>IFERROR(__xludf.DUMMYFUNCTION("IFERROR( INDEX( FILTER( 'NOMBRE DE PRODUCTOS'!B:B, REGEXMATCH( UPPER( INDEX( REPORTE_DROPI!AC:AC, MATCH(T411, REPORTE_DROPI!B:B, 0) ) ), UPPER('NOMBRE DE PRODUCTOS'!A:A) ) ), 1 ), ""REVISAR"" )"),"Cuchillo Tazaki™")</f>
        <v>Cuchillo Tazaki™</v>
      </c>
      <c r="E411" s="120" t="str">
        <f t="array" ref="E411">IF(
UPPER(TRIM(CLEAN($O411)))="ENTREGADO",
IFERROR(
INDEX(REPORTE_DROPI!Y:Y,
MATCH($T411, REPORTE_DROPI!B:B, 0)
),
""
),
""
)
</f>
        <v/>
      </c>
      <c r="F411" s="171">
        <v>2.0</v>
      </c>
      <c r="G411" s="122" t="str">
        <f t="array" ref="G411">IF(
UPPER(TRIM(CLEAN($O411)))="ENTREGADO",
IFERROR(
INDEX(REPORTE_DROPI!R:R,
MATCH($T411, REPORTE_DROPI!B:B, 0)
),
""
),
""
)
</f>
        <v/>
      </c>
      <c r="H411" s="118" t="s">
        <v>3727</v>
      </c>
      <c r="I411" s="154" t="s">
        <v>3740</v>
      </c>
      <c r="J411" s="121" t="str">
        <f t="array" ref="J411">IF(
UPPER(TRIM(CLEAN($O411)))="ENTREGADO",
IFERROR(
INDEX(REPORTE_DROPI!T:T,
MATCH($T411, REPORTE_DROPI!B:B, 0)
),
""
),
""
)
</f>
        <v/>
      </c>
      <c r="K411" s="118" t="str">
        <f t="array" ref="K411">IFERROR(
INDEX(REPORTE_DROPI!S:S,
MATCH($T411, REPORTE_DROPI!B:B, 0)
),
""
)</f>
        <v/>
      </c>
      <c r="L411" s="118">
        <f>IF(
  O411&lt;&gt;"DEVOLUCION",
  "",
  IF(
    T411="",
    "",
    SUMIF(DEVOLUCION!F:F, T411, DEVOLUCION!D:D)
  )
)
</f>
        <v>0</v>
      </c>
      <c r="M411" s="118" t="s">
        <v>5877</v>
      </c>
      <c r="N411" s="169" t="s">
        <v>7065</v>
      </c>
      <c r="O411" s="118" t="str">
        <f t="array" ref="O411">IFERROR(
VLOOKUP(
TRIM(CLEAN(
INDEX(REPORTE_DROPI!K:K,
MATCH(T411, REPORTE_DROPI!B:B, 0)
))),
{
TRIM(CLEAN(MAPA_ESTADOS!A:A)) ,
MAPA_ESTADOS!B:B
},
2,
FALSE
),
"REVISAR"
)</f>
        <v>DEVOLUCION</v>
      </c>
      <c r="P411" s="154" t="s">
        <v>5692</v>
      </c>
      <c r="Q411" s="153">
        <f t="shared" si="1"/>
        <v>0</v>
      </c>
      <c r="R411" s="172"/>
      <c r="S411" s="172"/>
      <c r="T411" s="118">
        <f t="array" ref="T411">IFERROR(
INDEX(REPORTE_DROPI!B:B,
MATCH(
CLEAN(TRIM(C411)),
CLEAN(TRIM(REPORTE_DROPI!E:E)),
0
)
),
""
)
</f>
        <v>4507279</v>
      </c>
      <c r="U411" s="169" t="s">
        <v>7066</v>
      </c>
      <c r="V411" s="166"/>
      <c r="W411" s="18"/>
      <c r="X411" s="18"/>
      <c r="Y411" s="18"/>
      <c r="Z411" s="18"/>
    </row>
    <row r="412" ht="22.5" hidden="1" customHeight="1">
      <c r="A412" s="169">
        <v>411.0</v>
      </c>
      <c r="B412" s="170">
        <v>46067.0</v>
      </c>
      <c r="C412" s="154" t="s">
        <v>7067</v>
      </c>
      <c r="D412" s="118" t="str">
        <f>IFERROR(__xludf.DUMMYFUNCTION("IFERROR( INDEX( FILTER( 'NOMBRE DE PRODUCTOS'!B:B, REGEXMATCH( UPPER( INDEX( REPORTE_DROPI!AC:AC, MATCH(T412, REPORTE_DROPI!B:B, 0) ) ), UPPER('NOMBRE DE PRODUCTOS'!A:A) ) ), 1 ), ""REVISAR"" )"),"Cuchillo Tazaki™")</f>
        <v>Cuchillo Tazaki™</v>
      </c>
      <c r="E412" s="120">
        <f t="array" ref="E412">IF(
UPPER(TRIM(CLEAN($O412)))="ENTREGADO",
IFERROR(
INDEX(REPORTE_DROPI!Y:Y,
MATCH($T412, REPORTE_DROPI!B:B, 0)
),
""
),
""
)
</f>
        <v>5.2</v>
      </c>
      <c r="F412" s="171">
        <v>2.0</v>
      </c>
      <c r="G412" s="122">
        <f t="array" ref="G412">IF(
UPPER(TRIM(CLEAN($O412)))="ENTREGADO",
IFERROR(
INDEX(REPORTE_DROPI!R:R,
MATCH($T412, REPORTE_DROPI!B:B, 0)
),
""
),
""
)
</f>
        <v>22</v>
      </c>
      <c r="H412" s="118" t="s">
        <v>3727</v>
      </c>
      <c r="I412" s="154" t="s">
        <v>3784</v>
      </c>
      <c r="J412" s="121">
        <f t="array" ref="J412">IF(
UPPER(TRIM(CLEAN($O412)))="ENTREGADO",
IFERROR(
INDEX(REPORTE_DROPI!T:T,
MATCH($T412, REPORTE_DROPI!B:B, 0)
),
""
),
""
)
</f>
        <v>5.84</v>
      </c>
      <c r="K412" s="118">
        <f t="array" ref="K412">IFERROR(
INDEX(REPORTE_DROPI!S:S,
MATCH($T412, REPORTE_DROPI!B:B, 0)
),
""
)</f>
        <v>10.96</v>
      </c>
      <c r="L412" s="118" t="str">
        <f>IF(
  O412&lt;&gt;"DEVOLUCION",
  "",
  IF(
    T412="",
    "",
    SUMIF(DEVOLUCION!F:F, T412, DEVOLUCION!D:D)
  )
)
</f>
        <v/>
      </c>
      <c r="M412" s="118" t="s">
        <v>5877</v>
      </c>
      <c r="N412" s="169" t="s">
        <v>7068</v>
      </c>
      <c r="O412" s="118" t="str">
        <f t="array" ref="O412">IFERROR(
VLOOKUP(
TRIM(CLEAN(
INDEX(REPORTE_DROPI!K:K,
MATCH(T412, REPORTE_DROPI!B:B, 0)
))),
{
TRIM(CLEAN(MAPA_ESTADOS!A:A)) ,
MAPA_ESTADOS!B:B
},
2,
FALSE
),
"REVISAR"
)</f>
        <v>ENTREGADO</v>
      </c>
      <c r="P412" s="154" t="s">
        <v>5692</v>
      </c>
      <c r="Q412" s="153">
        <f t="shared" si="1"/>
        <v>0</v>
      </c>
      <c r="R412" s="172"/>
      <c r="S412" s="172"/>
      <c r="T412" s="118">
        <f t="array" ref="T412">IFERROR(
INDEX(REPORTE_DROPI!B:B,
MATCH(
CLEAN(TRIM(C412)),
CLEAN(TRIM(REPORTE_DROPI!E:E)),
0
)
),
""
)
</f>
        <v>4507478</v>
      </c>
      <c r="U412" s="169" t="s">
        <v>7069</v>
      </c>
      <c r="V412" s="166"/>
      <c r="W412" s="18"/>
      <c r="X412" s="18"/>
      <c r="Y412" s="18"/>
      <c r="Z412" s="18"/>
    </row>
    <row r="413" ht="22.5" hidden="1" customHeight="1">
      <c r="A413" s="169">
        <v>412.0</v>
      </c>
      <c r="B413" s="170">
        <v>46067.0</v>
      </c>
      <c r="C413" s="154" t="s">
        <v>7070</v>
      </c>
      <c r="D413" s="118" t="str">
        <f>IFERROR(__xludf.DUMMYFUNCTION("IFERROR( INDEX( FILTER( 'NOMBRE DE PRODUCTOS'!B:B, REGEXMATCH( UPPER( INDEX( REPORTE_DROPI!AC:AC, MATCH(T413, REPORTE_DROPI!B:B, 0) ) ), UPPER('NOMBRE DE PRODUCTOS'!A:A) ) ), 1 ), ""REVISAR"" )"),"Cuchillo Tazaki™")</f>
        <v>Cuchillo Tazaki™</v>
      </c>
      <c r="E413" s="120" t="str">
        <f t="array" ref="E413">IF(
UPPER(TRIM(CLEAN($O413)))="ENTREGADO",
IFERROR(
INDEX(REPORTE_DROPI!Y:Y,
MATCH($T413, REPORTE_DROPI!B:B, 0)
),
""
),
""
)
</f>
        <v/>
      </c>
      <c r="F413" s="171">
        <v>2.0</v>
      </c>
      <c r="G413" s="122" t="str">
        <f t="array" ref="G413">IF(
UPPER(TRIM(CLEAN($O413)))="ENTREGADO",
IFERROR(
INDEX(REPORTE_DROPI!R:R,
MATCH($T413, REPORTE_DROPI!B:B, 0)
),
""
),
""
)
</f>
        <v/>
      </c>
      <c r="H413" s="118" t="s">
        <v>3727</v>
      </c>
      <c r="I413" s="154" t="s">
        <v>3804</v>
      </c>
      <c r="J413" s="121" t="str">
        <f t="array" ref="J413">IF(
UPPER(TRIM(CLEAN($O413)))="ENTREGADO",
IFERROR(
INDEX(REPORTE_DROPI!T:T,
MATCH($T413, REPORTE_DROPI!B:B, 0)
),
""
),
""
)
</f>
        <v/>
      </c>
      <c r="K413" s="118" t="str">
        <f t="array" ref="K413">IFERROR(
INDEX(REPORTE_DROPI!S:S,
MATCH($T413, REPORTE_DROPI!B:B, 0)
),
""
)</f>
        <v/>
      </c>
      <c r="L413" s="118">
        <f>IF(
  O413&lt;&gt;"DEVOLUCION",
  "",
  IF(
    T413="",
    "",
    SUMIF(DEVOLUCION!F:F, T413, DEVOLUCION!D:D)
  )
)
</f>
        <v>0</v>
      </c>
      <c r="M413" s="118" t="s">
        <v>5877</v>
      </c>
      <c r="N413" s="169" t="s">
        <v>7071</v>
      </c>
      <c r="O413" s="118" t="str">
        <f t="array" ref="O413">IFERROR(
VLOOKUP(
TRIM(CLEAN(
INDEX(REPORTE_DROPI!K:K,
MATCH(T413, REPORTE_DROPI!B:B, 0)
))),
{
TRIM(CLEAN(MAPA_ESTADOS!A:A)) ,
MAPA_ESTADOS!B:B
},
2,
FALSE
),
"REVISAR"
)</f>
        <v>DEVOLUCION</v>
      </c>
      <c r="P413" s="154" t="s">
        <v>5692</v>
      </c>
      <c r="Q413" s="153">
        <f t="shared" si="1"/>
        <v>0</v>
      </c>
      <c r="R413" s="172"/>
      <c r="S413" s="172"/>
      <c r="T413" s="118">
        <f t="array" ref="T413">IFERROR(
INDEX(REPORTE_DROPI!B:B,
MATCH(
CLEAN(TRIM(C413)),
CLEAN(TRIM(REPORTE_DROPI!E:E)),
0
)
),
""
)
</f>
        <v>4507591</v>
      </c>
      <c r="U413" s="169" t="s">
        <v>7072</v>
      </c>
      <c r="V413" s="166"/>
      <c r="W413" s="18"/>
      <c r="X413" s="18"/>
      <c r="Y413" s="18"/>
      <c r="Z413" s="18"/>
    </row>
    <row r="414" ht="22.5" hidden="1" customHeight="1">
      <c r="A414" s="169">
        <v>413.0</v>
      </c>
      <c r="B414" s="170">
        <v>46067.0</v>
      </c>
      <c r="C414" s="154" t="s">
        <v>7073</v>
      </c>
      <c r="D414" s="118" t="str">
        <f>IFERROR(__xludf.DUMMYFUNCTION("IFERROR( INDEX( FILTER( 'NOMBRE DE PRODUCTOS'!B:B, REGEXMATCH( UPPER( INDEX( REPORTE_DROPI!AC:AC, MATCH(T414, REPORTE_DROPI!B:B, 0) ) ), UPPER('NOMBRE DE PRODUCTOS'!A:A) ) ), 1 ), ""REVISAR"" )"),"FilmPro®")</f>
        <v>FilmPro®</v>
      </c>
      <c r="E414" s="120">
        <f t="array" ref="E414">IF(
UPPER(TRIM(CLEAN($O414)))="ENTREGADO",
IFERROR(
INDEX(REPORTE_DROPI!Y:Y,
MATCH($T414, REPORTE_DROPI!B:B, 0)
),
""
),
""
)
</f>
        <v>2.4</v>
      </c>
      <c r="F414" s="171">
        <v>1.0</v>
      </c>
      <c r="G414" s="122">
        <f t="array" ref="G414">IF(
UPPER(TRIM(CLEAN($O414)))="ENTREGADO",
IFERROR(
INDEX(REPORTE_DROPI!R:R,
MATCH($T414, REPORTE_DROPI!B:B, 0)
),
""
),
""
)
</f>
        <v>20</v>
      </c>
      <c r="H414" s="118" t="s">
        <v>3727</v>
      </c>
      <c r="I414" s="154" t="s">
        <v>3728</v>
      </c>
      <c r="J414" s="121">
        <f t="array" ref="J414">IF(
UPPER(TRIM(CLEAN($O414)))="ENTREGADO",
IFERROR(
INDEX(REPORTE_DROPI!T:T,
MATCH($T414, REPORTE_DROPI!B:B, 0)
),
""
),
""
)
</f>
        <v>6.15</v>
      </c>
      <c r="K414" s="118">
        <f t="array" ref="K414">IFERROR(
INDEX(REPORTE_DROPI!S:S,
MATCH($T414, REPORTE_DROPI!B:B, 0)
),
""
)</f>
        <v>11.45</v>
      </c>
      <c r="L414" s="118" t="str">
        <f>IF(
  O414&lt;&gt;"DEVOLUCION",
  "",
  IF(
    T414="",
    "",
    SUMIF(DEVOLUCION!F:F, T414, DEVOLUCION!D:D)
  )
)
</f>
        <v/>
      </c>
      <c r="M414" s="118" t="s">
        <v>5877</v>
      </c>
      <c r="N414" s="169" t="s">
        <v>7074</v>
      </c>
      <c r="O414" s="118" t="str">
        <f t="array" ref="O414">IFERROR(
VLOOKUP(
TRIM(CLEAN(
INDEX(REPORTE_DROPI!K:K,
MATCH(T414, REPORTE_DROPI!B:B, 0)
))),
{
TRIM(CLEAN(MAPA_ESTADOS!A:A)) ,
MAPA_ESTADOS!B:B
},
2,
FALSE
),
"REVISAR"
)</f>
        <v>ENTREGADO</v>
      </c>
      <c r="P414" s="154" t="s">
        <v>5692</v>
      </c>
      <c r="Q414" s="153">
        <f t="shared" si="1"/>
        <v>0</v>
      </c>
      <c r="R414" s="172"/>
      <c r="S414" s="172"/>
      <c r="T414" s="118">
        <f t="array" ref="T414">IFERROR(
INDEX(REPORTE_DROPI!B:B,
MATCH(
CLEAN(TRIM(C414)),
CLEAN(TRIM(REPORTE_DROPI!E:E)),
0
)
),
""
)
</f>
        <v>4507830</v>
      </c>
      <c r="U414" s="169" t="s">
        <v>7075</v>
      </c>
      <c r="V414" s="166"/>
      <c r="W414" s="18"/>
      <c r="X414" s="18"/>
      <c r="Y414" s="18"/>
      <c r="Z414" s="18"/>
    </row>
    <row r="415" ht="22.5" hidden="1" customHeight="1">
      <c r="A415" s="169">
        <v>414.0</v>
      </c>
      <c r="B415" s="170">
        <v>46067.0</v>
      </c>
      <c r="C415" s="154" t="s">
        <v>7076</v>
      </c>
      <c r="D415" s="118" t="str">
        <f>IFERROR(__xludf.DUMMYFUNCTION("IFERROR( INDEX( FILTER( 'NOMBRE DE PRODUCTOS'!B:B, REGEXMATCH( UPPER( INDEX( REPORTE_DROPI!AC:AC, MATCH(T415, REPORTE_DROPI!B:B, 0) ) ), UPPER('NOMBRE DE PRODUCTOS'!A:A) ) ), 1 ), ""REVISAR"" )"),"Cuchillo Tazaki™")</f>
        <v>Cuchillo Tazaki™</v>
      </c>
      <c r="E415" s="120">
        <f t="array" ref="E415">IF(
UPPER(TRIM(CLEAN($O415)))="ENTREGADO",
IFERROR(
INDEX(REPORTE_DROPI!Y:Y,
MATCH($T415, REPORTE_DROPI!B:B, 0)
),
""
),
""
)
</f>
        <v>15</v>
      </c>
      <c r="F415" s="171">
        <v>4.0</v>
      </c>
      <c r="G415" s="122">
        <f t="array" ref="G415">IF(
UPPER(TRIM(CLEAN($O415)))="ENTREGADO",
IFERROR(
INDEX(REPORTE_DROPI!R:R,
MATCH($T415, REPORTE_DROPI!B:B, 0)
),
""
),
""
)
</f>
        <v>32</v>
      </c>
      <c r="H415" s="118" t="s">
        <v>3727</v>
      </c>
      <c r="I415" s="154" t="s">
        <v>3731</v>
      </c>
      <c r="J415" s="121">
        <f t="array" ref="J415">IF(
UPPER(TRIM(CLEAN($O415)))="ENTREGADO",
IFERROR(
INDEX(REPORTE_DROPI!T:T,
MATCH($T415, REPORTE_DROPI!B:B, 0)
),
""
),
""
)
</f>
        <v>4.88</v>
      </c>
      <c r="K415" s="118">
        <f t="array" ref="K415">IFERROR(
INDEX(REPORTE_DROPI!S:S,
MATCH($T415, REPORTE_DROPI!B:B, 0)
),
""
)</f>
        <v>12.12</v>
      </c>
      <c r="L415" s="118" t="str">
        <f>IF(
  O415&lt;&gt;"DEVOLUCION",
  "",
  IF(
    T415="",
    "",
    SUMIF(DEVOLUCION!F:F, T415, DEVOLUCION!D:D)
  )
)
</f>
        <v/>
      </c>
      <c r="M415" s="118" t="s">
        <v>5877</v>
      </c>
      <c r="N415" s="169" t="s">
        <v>7077</v>
      </c>
      <c r="O415" s="118" t="str">
        <f t="array" ref="O415">IFERROR(
VLOOKUP(
TRIM(CLEAN(
INDEX(REPORTE_DROPI!K:K,
MATCH(T415, REPORTE_DROPI!B:B, 0)
))),
{
TRIM(CLEAN(MAPA_ESTADOS!A:A)) ,
MAPA_ESTADOS!B:B
},
2,
FALSE
),
"REVISAR"
)</f>
        <v>ENTREGADO</v>
      </c>
      <c r="P415" s="154" t="s">
        <v>5909</v>
      </c>
      <c r="Q415" s="153">
        <f t="shared" si="1"/>
        <v>0</v>
      </c>
      <c r="R415" s="172"/>
      <c r="S415" s="172"/>
      <c r="T415" s="118">
        <f t="array" ref="T415">IFERROR(
INDEX(REPORTE_DROPI!B:B,
MATCH(
CLEAN(TRIM(C415)),
CLEAN(TRIM(REPORTE_DROPI!E:E)),
0
)
),
""
)
</f>
        <v>4523344</v>
      </c>
      <c r="U415" s="169" t="s">
        <v>7078</v>
      </c>
      <c r="V415" s="166"/>
      <c r="W415" s="18"/>
      <c r="X415" s="18"/>
      <c r="Y415" s="18"/>
      <c r="Z415" s="18"/>
    </row>
    <row r="416" ht="22.5" hidden="1" customHeight="1">
      <c r="A416" s="169">
        <v>415.0</v>
      </c>
      <c r="B416" s="170">
        <v>46067.0</v>
      </c>
      <c r="C416" s="154" t="s">
        <v>7079</v>
      </c>
      <c r="D416" s="118" t="str">
        <f>IFERROR(__xludf.DUMMYFUNCTION("IFERROR( INDEX( FILTER( 'NOMBRE DE PRODUCTOS'!B:B, REGEXMATCH( UPPER( INDEX( REPORTE_DROPI!AC:AC, MATCH(T416, REPORTE_DROPI!B:B, 0) ) ), UPPER('NOMBRE DE PRODUCTOS'!A:A) ) ), 1 ), ""REVISAR"" )"),"Cuchillo Tazaki™")</f>
        <v>Cuchillo Tazaki™</v>
      </c>
      <c r="E416" s="120">
        <f t="array" ref="E416">IF(
UPPER(TRIM(CLEAN($O416)))="ENTREGADO",
IFERROR(
INDEX(REPORTE_DROPI!Y:Y,
MATCH($T416, REPORTE_DROPI!B:B, 0)
),
""
),
""
)
</f>
        <v>7.5</v>
      </c>
      <c r="F416" s="171">
        <v>2.0</v>
      </c>
      <c r="G416" s="122">
        <f t="array" ref="G416">IF(
UPPER(TRIM(CLEAN($O416)))="ENTREGADO",
IFERROR(
INDEX(REPORTE_DROPI!R:R,
MATCH($T416, REPORTE_DROPI!B:B, 0)
),
""
),
""
)
</f>
        <v>22</v>
      </c>
      <c r="H416" s="118" t="s">
        <v>3727</v>
      </c>
      <c r="I416" s="154" t="s">
        <v>3731</v>
      </c>
      <c r="J416" s="121">
        <f t="array" ref="J416">IF(
UPPER(TRIM(CLEAN($O416)))="ENTREGADO",
IFERROR(
INDEX(REPORTE_DROPI!T:T,
MATCH($T416, REPORTE_DROPI!B:B, 0)
),
""
),
""
)
</f>
        <v>4.23</v>
      </c>
      <c r="K416" s="118">
        <f t="array" ref="K416">IFERROR(
INDEX(REPORTE_DROPI!S:S,
MATCH($T416, REPORTE_DROPI!B:B, 0)
),
""
)</f>
        <v>10.27</v>
      </c>
      <c r="L416" s="118" t="str">
        <f>IF(
  O416&lt;&gt;"DEVOLUCION",
  "",
  IF(
    T416="",
    "",
    SUMIF(DEVOLUCION!F:F, T416, DEVOLUCION!D:D)
  )
)
</f>
        <v/>
      </c>
      <c r="M416" s="118" t="s">
        <v>5877</v>
      </c>
      <c r="N416" s="169" t="s">
        <v>7080</v>
      </c>
      <c r="O416" s="118" t="str">
        <f t="array" ref="O416">IFERROR(
VLOOKUP(
TRIM(CLEAN(
INDEX(REPORTE_DROPI!K:K,
MATCH(T416, REPORTE_DROPI!B:B, 0)
))),
{
TRIM(CLEAN(MAPA_ESTADOS!A:A)) ,
MAPA_ESTADOS!B:B
},
2,
FALSE
),
"REVISAR"
)</f>
        <v>ENTREGADO</v>
      </c>
      <c r="P416" s="154" t="s">
        <v>7081</v>
      </c>
      <c r="Q416" s="153">
        <f t="shared" si="1"/>
        <v>0</v>
      </c>
      <c r="R416" s="172"/>
      <c r="S416" s="172"/>
      <c r="T416" s="118">
        <f t="array" ref="T416">IFERROR(
INDEX(REPORTE_DROPI!B:B,
MATCH(
CLEAN(TRIM(C416)),
CLEAN(TRIM(REPORTE_DROPI!E:E)),
0
)
),
""
)
</f>
        <v>4523351</v>
      </c>
      <c r="U416" s="173">
        <v>1.57100138251E11</v>
      </c>
      <c r="V416" s="166"/>
      <c r="W416" s="18"/>
      <c r="X416" s="18"/>
      <c r="Y416" s="18"/>
      <c r="Z416" s="18"/>
    </row>
    <row r="417" ht="22.5" hidden="1" customHeight="1">
      <c r="A417" s="169">
        <v>416.0</v>
      </c>
      <c r="B417" s="170">
        <v>46067.0</v>
      </c>
      <c r="C417" s="154" t="s">
        <v>7082</v>
      </c>
      <c r="D417" s="118" t="str">
        <f>IFERROR(__xludf.DUMMYFUNCTION("IFERROR( INDEX( FILTER( 'NOMBRE DE PRODUCTOS'!B:B, REGEXMATCH( UPPER( INDEX( REPORTE_DROPI!AC:AC, MATCH(T417, REPORTE_DROPI!B:B, 0) ) ), UPPER('NOMBRE DE PRODUCTOS'!A:A) ) ), 1 ), ""REVISAR"" )"),"Cuchillo Tazaki™")</f>
        <v>Cuchillo Tazaki™</v>
      </c>
      <c r="E417" s="120" t="str">
        <f t="array" ref="E417">IF(
UPPER(TRIM(CLEAN($O417)))="ENTREGADO",
IFERROR(
INDEX(REPORTE_DROPI!Y:Y,
MATCH($T417, REPORTE_DROPI!B:B, 0)
),
""
),
""
)
</f>
        <v/>
      </c>
      <c r="F417" s="171">
        <v>2.0</v>
      </c>
      <c r="G417" s="122" t="str">
        <f t="array" ref="G417">IF(
UPPER(TRIM(CLEAN($O417)))="ENTREGADO",
IFERROR(
INDEX(REPORTE_DROPI!R:R,
MATCH($T417, REPORTE_DROPI!B:B, 0)
),
""
),
""
)
</f>
        <v/>
      </c>
      <c r="H417" s="118" t="s">
        <v>3727</v>
      </c>
      <c r="I417" s="154" t="s">
        <v>3728</v>
      </c>
      <c r="J417" s="121" t="str">
        <f t="array" ref="J417">IF(
UPPER(TRIM(CLEAN($O417)))="ENTREGADO",
IFERROR(
INDEX(REPORTE_DROPI!T:T,
MATCH($T417, REPORTE_DROPI!B:B, 0)
),
""
),
""
)
</f>
        <v/>
      </c>
      <c r="K417" s="118" t="str">
        <f t="array" ref="K417">IFERROR(
INDEX(REPORTE_DROPI!S:S,
MATCH($T417, REPORTE_DROPI!B:B, 0)
),
""
)</f>
        <v/>
      </c>
      <c r="L417" s="118" t="str">
        <f>IF(
  O417&lt;&gt;"DEVOLUCION",
  "",
  IF(
    T417="",
    "",
    SUMIF(DEVOLUCION!F:F, T417, DEVOLUCION!D:D)
  )
)
</f>
        <v/>
      </c>
      <c r="M417" s="118" t="s">
        <v>5877</v>
      </c>
      <c r="N417" s="169" t="s">
        <v>7083</v>
      </c>
      <c r="O417" s="118" t="str">
        <f t="array" ref="O417">IFERROR(
VLOOKUP(
TRIM(CLEAN(
INDEX(REPORTE_DROPI!K:K,
MATCH(T417, REPORTE_DROPI!B:B, 0)
))),
{
TRIM(CLEAN(MAPA_ESTADOS!A:A)) ,
MAPA_ESTADOS!B:B
},
2,
FALSE
),
"REVISAR"
)</f>
        <v>CANCELADO</v>
      </c>
      <c r="P417" s="154" t="s">
        <v>7084</v>
      </c>
      <c r="Q417" s="153">
        <f t="shared" si="1"/>
        <v>0</v>
      </c>
      <c r="R417" s="172"/>
      <c r="S417" s="172"/>
      <c r="T417" s="118">
        <f t="array" ref="T417">IFERROR(
INDEX(REPORTE_DROPI!B:B,
MATCH(
CLEAN(TRIM(C417)),
CLEAN(TRIM(REPORTE_DROPI!E:E)),
0
)
),
""
)
</f>
        <v>4523359</v>
      </c>
      <c r="U417" s="169" t="s">
        <v>7085</v>
      </c>
      <c r="V417" s="166"/>
      <c r="W417" s="18"/>
      <c r="X417" s="18"/>
      <c r="Y417" s="18"/>
      <c r="Z417" s="18"/>
    </row>
    <row r="418" ht="22.5" hidden="1" customHeight="1">
      <c r="A418" s="169">
        <v>417.0</v>
      </c>
      <c r="B418" s="170">
        <v>46067.0</v>
      </c>
      <c r="C418" s="154" t="s">
        <v>7086</v>
      </c>
      <c r="D418" s="118" t="str">
        <f>IFERROR(__xludf.DUMMYFUNCTION("IFERROR( INDEX( FILTER( 'NOMBRE DE PRODUCTOS'!B:B, REGEXMATCH( UPPER( INDEX( REPORTE_DROPI!AC:AC, MATCH(T418, REPORTE_DROPI!B:B, 0) ) ), UPPER('NOMBRE DE PRODUCTOS'!A:A) ) ), 1 ), ""REVISAR"" )"),"FilmPro®")</f>
        <v>FilmPro®</v>
      </c>
      <c r="E418" s="120">
        <f t="array" ref="E418">IF(
UPPER(TRIM(CLEAN($O418)))="ENTREGADO",
IFERROR(
INDEX(REPORTE_DROPI!Y:Y,
MATCH($T418, REPORTE_DROPI!B:B, 0)
),
""
),
""
)
</f>
        <v>7.2</v>
      </c>
      <c r="F418" s="171">
        <v>3.0</v>
      </c>
      <c r="G418" s="122">
        <f t="array" ref="G418">IF(
UPPER(TRIM(CLEAN($O418)))="ENTREGADO",
IFERROR(
INDEX(REPORTE_DROPI!R:R,
MATCH($T418, REPORTE_DROPI!B:B, 0)
),
""
),
""
)
</f>
        <v>30</v>
      </c>
      <c r="H418" s="118" t="s">
        <v>3727</v>
      </c>
      <c r="I418" s="154" t="s">
        <v>3740</v>
      </c>
      <c r="J418" s="121">
        <f t="array" ref="J418">IF(
UPPER(TRIM(CLEAN($O418)))="ENTREGADO",
IFERROR(
INDEX(REPORTE_DROPI!T:T,
MATCH($T418, REPORTE_DROPI!B:B, 0)
),
""
),
""
)
</f>
        <v>4.55</v>
      </c>
      <c r="K418" s="118">
        <f t="array" ref="K418">IFERROR(
INDEX(REPORTE_DROPI!S:S,
MATCH($T418, REPORTE_DROPI!B:B, 0)
),
""
)</f>
        <v>18.25</v>
      </c>
      <c r="L418" s="118" t="str">
        <f>IF(
  O418&lt;&gt;"DEVOLUCION",
  "",
  IF(
    T418="",
    "",
    SUMIF(DEVOLUCION!F:F, T418, DEVOLUCION!D:D)
  )
)
</f>
        <v/>
      </c>
      <c r="M418" s="118" t="s">
        <v>5877</v>
      </c>
      <c r="N418" s="169" t="s">
        <v>7087</v>
      </c>
      <c r="O418" s="118" t="str">
        <f t="array" ref="O418">IFERROR(
VLOOKUP(
TRIM(CLEAN(
INDEX(REPORTE_DROPI!K:K,
MATCH(T418, REPORTE_DROPI!B:B, 0)
))),
{
TRIM(CLEAN(MAPA_ESTADOS!A:A)) ,
MAPA_ESTADOS!B:B
},
2,
FALSE
),
"REVISAR"
)</f>
        <v>ENTREGADO</v>
      </c>
      <c r="P418" s="154" t="s">
        <v>5692</v>
      </c>
      <c r="Q418" s="153">
        <f t="shared" si="1"/>
        <v>0</v>
      </c>
      <c r="R418" s="172"/>
      <c r="S418" s="172"/>
      <c r="T418" s="118">
        <f t="array" ref="T418">IFERROR(
INDEX(REPORTE_DROPI!B:B,
MATCH(
CLEAN(TRIM(C418)),
CLEAN(TRIM(REPORTE_DROPI!E:E)),
0
)
),
""
)
</f>
        <v>4509734</v>
      </c>
      <c r="U418" s="169" t="s">
        <v>7088</v>
      </c>
      <c r="V418" s="166"/>
      <c r="W418" s="18"/>
      <c r="X418" s="18"/>
      <c r="Y418" s="18"/>
      <c r="Z418" s="18"/>
    </row>
    <row r="419" ht="22.5" hidden="1" customHeight="1">
      <c r="A419" s="169">
        <v>418.0</v>
      </c>
      <c r="B419" s="170">
        <v>46067.0</v>
      </c>
      <c r="C419" s="154" t="s">
        <v>7089</v>
      </c>
      <c r="D419" s="118" t="str">
        <f>IFERROR(__xludf.DUMMYFUNCTION("IFERROR( INDEX( FILTER( 'NOMBRE DE PRODUCTOS'!B:B, REGEXMATCH( UPPER( INDEX( REPORTE_DROPI!AC:AC, MATCH(T419, REPORTE_DROPI!B:B, 0) ) ), UPPER('NOMBRE DE PRODUCTOS'!A:A) ) ), 1 ), ""REVISAR"" )"),"FilmPro®")</f>
        <v>FilmPro®</v>
      </c>
      <c r="E419" s="120" t="str">
        <f t="array" ref="E419">IF(
UPPER(TRIM(CLEAN($O419)))="ENTREGADO",
IFERROR(
INDEX(REPORTE_DROPI!Y:Y,
MATCH($T419, REPORTE_DROPI!B:B, 0)
),
""
),
""
)
</f>
        <v/>
      </c>
      <c r="F419" s="171">
        <v>1.0</v>
      </c>
      <c r="G419" s="122" t="str">
        <f t="array" ref="G419">IF(
UPPER(TRIM(CLEAN($O419)))="ENTREGADO",
IFERROR(
INDEX(REPORTE_DROPI!R:R,
MATCH($T419, REPORTE_DROPI!B:B, 0)
),
""
),
""
)
</f>
        <v/>
      </c>
      <c r="H419" s="118" t="s">
        <v>3727</v>
      </c>
      <c r="I419" s="154" t="s">
        <v>3882</v>
      </c>
      <c r="J419" s="121" t="str">
        <f t="array" ref="J419">IF(
UPPER(TRIM(CLEAN($O419)))="ENTREGADO",
IFERROR(
INDEX(REPORTE_DROPI!T:T,
MATCH($T419, REPORTE_DROPI!B:B, 0)
),
""
),
""
)
</f>
        <v/>
      </c>
      <c r="K419" s="118" t="str">
        <f t="array" ref="K419">IFERROR(
INDEX(REPORTE_DROPI!S:S,
MATCH($T419, REPORTE_DROPI!B:B, 0)
),
""
)</f>
        <v/>
      </c>
      <c r="L419" s="118" t="str">
        <f>IF(
  O419&lt;&gt;"DEVOLUCION",
  "",
  IF(
    T419="",
    "",
    SUMIF(DEVOLUCION!F:F, T419, DEVOLUCION!D:D)
  )
)
</f>
        <v/>
      </c>
      <c r="M419" s="118" t="s">
        <v>5877</v>
      </c>
      <c r="N419" s="169" t="s">
        <v>7090</v>
      </c>
      <c r="O419" s="118" t="str">
        <f t="array" ref="O419">IFERROR(
VLOOKUP(
TRIM(CLEAN(
INDEX(REPORTE_DROPI!K:K,
MATCH(T419, REPORTE_DROPI!B:B, 0)
))),
{
TRIM(CLEAN(MAPA_ESTADOS!A:A)) ,
MAPA_ESTADOS!B:B
},
2,
FALSE
),
"REVISAR"
)</f>
        <v>PENDIENTE</v>
      </c>
      <c r="P419" s="154" t="s">
        <v>6568</v>
      </c>
      <c r="Q419" s="153">
        <f t="shared" si="1"/>
        <v>0</v>
      </c>
      <c r="R419" s="172"/>
      <c r="S419" s="172"/>
      <c r="T419" s="118">
        <f t="array" ref="T419">IFERROR(
INDEX(REPORTE_DROPI!B:B,
MATCH(
CLEAN(TRIM(C419)),
CLEAN(TRIM(REPORTE_DROPI!E:E)),
0
)
),
""
)
</f>
        <v>4510290</v>
      </c>
      <c r="U419" s="169" t="s">
        <v>7091</v>
      </c>
      <c r="V419" s="166"/>
      <c r="W419" s="18"/>
      <c r="X419" s="18"/>
      <c r="Y419" s="18"/>
      <c r="Z419" s="18"/>
    </row>
    <row r="420" ht="22.5" hidden="1" customHeight="1">
      <c r="A420" s="169">
        <v>419.0</v>
      </c>
      <c r="B420" s="170">
        <v>46067.0</v>
      </c>
      <c r="C420" s="154" t="s">
        <v>7092</v>
      </c>
      <c r="D420" s="118" t="str">
        <f>IFERROR(__xludf.DUMMYFUNCTION("IFERROR( INDEX( FILTER( 'NOMBRE DE PRODUCTOS'!B:B, REGEXMATCH( UPPER( INDEX( REPORTE_DROPI!AC:AC, MATCH(T420, REPORTE_DROPI!B:B, 0) ) ), UPPER('NOMBRE DE PRODUCTOS'!A:A) ) ), 1 ), ""REVISAR"" )"),"FilmPro®")</f>
        <v>FilmPro®</v>
      </c>
      <c r="E420" s="120">
        <f t="array" ref="E420">IF(
UPPER(TRIM(CLEAN($O420)))="ENTREGADO",
IFERROR(
INDEX(REPORTE_DROPI!Y:Y,
MATCH($T420, REPORTE_DROPI!B:B, 0)
),
""
),
""
)
</f>
        <v>7.2</v>
      </c>
      <c r="F420" s="171">
        <v>3.0</v>
      </c>
      <c r="G420" s="122">
        <f t="array" ref="G420">IF(
UPPER(TRIM(CLEAN($O420)))="ENTREGADO",
IFERROR(
INDEX(REPORTE_DROPI!R:R,
MATCH($T420, REPORTE_DROPI!B:B, 0)
),
""
),
""
)
</f>
        <v>30</v>
      </c>
      <c r="H420" s="118" t="s">
        <v>3727</v>
      </c>
      <c r="I420" s="154" t="s">
        <v>3804</v>
      </c>
      <c r="J420" s="121">
        <f t="array" ref="J420">IF(
UPPER(TRIM(CLEAN($O420)))="ENTREGADO",
IFERROR(
INDEX(REPORTE_DROPI!T:T,
MATCH($T420, REPORTE_DROPI!B:B, 0)
),
""
),
""
)
</f>
        <v>6.16</v>
      </c>
      <c r="K420" s="118">
        <f t="array" ref="K420">IFERROR(
INDEX(REPORTE_DROPI!S:S,
MATCH($T420, REPORTE_DROPI!B:B, 0)
),
""
)</f>
        <v>16.64</v>
      </c>
      <c r="L420" s="118" t="str">
        <f>IF(
  O420&lt;&gt;"DEVOLUCION",
  "",
  IF(
    T420="",
    "",
    SUMIF(DEVOLUCION!F:F, T420, DEVOLUCION!D:D)
  )
)
</f>
        <v/>
      </c>
      <c r="M420" s="118" t="s">
        <v>5877</v>
      </c>
      <c r="N420" s="169" t="s">
        <v>7093</v>
      </c>
      <c r="O420" s="118" t="str">
        <f t="array" ref="O420">IFERROR(
VLOOKUP(
TRIM(CLEAN(
INDEX(REPORTE_DROPI!K:K,
MATCH(T420, REPORTE_DROPI!B:B, 0)
))),
{
TRIM(CLEAN(MAPA_ESTADOS!A:A)) ,
MAPA_ESTADOS!B:B
},
2,
FALSE
),
"REVISAR"
)</f>
        <v>ENTREGADO</v>
      </c>
      <c r="P420" s="154" t="s">
        <v>6456</v>
      </c>
      <c r="Q420" s="153">
        <f t="shared" si="1"/>
        <v>0</v>
      </c>
      <c r="R420" s="172"/>
      <c r="S420" s="172"/>
      <c r="T420" s="118">
        <f t="array" ref="T420">IFERROR(
INDEX(REPORTE_DROPI!B:B,
MATCH(
CLEAN(TRIM(C420)),
CLEAN(TRIM(REPORTE_DROPI!E:E)),
0
)
),
""
)
</f>
        <v>4510725</v>
      </c>
      <c r="U420" s="169" t="s">
        <v>7094</v>
      </c>
      <c r="V420" s="166"/>
      <c r="W420" s="18"/>
      <c r="X420" s="18"/>
      <c r="Y420" s="18"/>
      <c r="Z420" s="18"/>
    </row>
    <row r="421" ht="22.5" hidden="1" customHeight="1">
      <c r="A421" s="169">
        <v>420.0</v>
      </c>
      <c r="B421" s="170">
        <v>46067.0</v>
      </c>
      <c r="C421" s="154" t="s">
        <v>7095</v>
      </c>
      <c r="D421" s="118" t="str">
        <f>IFERROR(__xludf.DUMMYFUNCTION("IFERROR( INDEX( FILTER( 'NOMBRE DE PRODUCTOS'!B:B, REGEXMATCH( UPPER( INDEX( REPORTE_DROPI!AC:AC, MATCH(T421, REPORTE_DROPI!B:B, 0) ) ), UPPER('NOMBRE DE PRODUCTOS'!A:A) ) ), 1 ), ""REVISAR"" )"),"Cuchillo Tazaki™")</f>
        <v>Cuchillo Tazaki™</v>
      </c>
      <c r="E421" s="120" t="str">
        <f t="array" ref="E421">IF(
UPPER(TRIM(CLEAN($O421)))="ENTREGADO",
IFERROR(
INDEX(REPORTE_DROPI!Y:Y,
MATCH($T421, REPORTE_DROPI!B:B, 0)
),
""
),
""
)
</f>
        <v/>
      </c>
      <c r="F421" s="171">
        <v>2.0</v>
      </c>
      <c r="G421" s="122" t="str">
        <f t="array" ref="G421">IF(
UPPER(TRIM(CLEAN($O421)))="ENTREGADO",
IFERROR(
INDEX(REPORTE_DROPI!R:R,
MATCH($T421, REPORTE_DROPI!B:B, 0)
),
""
),
""
)
</f>
        <v/>
      </c>
      <c r="H421" s="118" t="s">
        <v>3727</v>
      </c>
      <c r="I421" s="154" t="s">
        <v>3731</v>
      </c>
      <c r="J421" s="121" t="str">
        <f t="array" ref="J421">IF(
UPPER(TRIM(CLEAN($O421)))="ENTREGADO",
IFERROR(
INDEX(REPORTE_DROPI!T:T,
MATCH($T421, REPORTE_DROPI!B:B, 0)
),
""
),
""
)
</f>
        <v/>
      </c>
      <c r="K421" s="118" t="str">
        <f t="array" ref="K421">IFERROR(
INDEX(REPORTE_DROPI!S:S,
MATCH($T421, REPORTE_DROPI!B:B, 0)
),
""
)</f>
        <v/>
      </c>
      <c r="L421" s="118" t="str">
        <f>IF(
  O421&lt;&gt;"DEVOLUCION",
  "",
  IF(
    T421="",
    "",
    SUMIF(DEVOLUCION!F:F, T421, DEVOLUCION!D:D)
  )
)
</f>
        <v/>
      </c>
      <c r="M421" s="118" t="s">
        <v>5877</v>
      </c>
      <c r="N421" s="169" t="s">
        <v>7096</v>
      </c>
      <c r="O421" s="118" t="str">
        <f t="array" ref="O421">IFERROR(
VLOOKUP(
TRIM(CLEAN(
INDEX(REPORTE_DROPI!K:K,
MATCH(T421, REPORTE_DROPI!B:B, 0)
))),
{
TRIM(CLEAN(MAPA_ESTADOS!A:A)) ,
MAPA_ESTADOS!B:B
},
2,
FALSE
),
"REVISAR"
)</f>
        <v>PENDIENTE</v>
      </c>
      <c r="P421" s="154" t="s">
        <v>7097</v>
      </c>
      <c r="Q421" s="153">
        <f t="shared" si="1"/>
        <v>0</v>
      </c>
      <c r="R421" s="172"/>
      <c r="S421" s="172"/>
      <c r="T421" s="118">
        <f t="array" ref="T421">IFERROR(
INDEX(REPORTE_DROPI!B:B,
MATCH(
CLEAN(TRIM(C421)),
CLEAN(TRIM(REPORTE_DROPI!E:E)),
0
)
),
""
)
</f>
        <v>4523371</v>
      </c>
      <c r="U421" s="169" t="s">
        <v>7098</v>
      </c>
      <c r="V421" s="166"/>
      <c r="W421" s="18"/>
      <c r="X421" s="18"/>
      <c r="Y421" s="18"/>
      <c r="Z421" s="18"/>
    </row>
    <row r="422" ht="22.5" hidden="1" customHeight="1">
      <c r="A422" s="169">
        <v>421.0</v>
      </c>
      <c r="B422" s="170">
        <v>46067.0</v>
      </c>
      <c r="C422" s="154" t="s">
        <v>7099</v>
      </c>
      <c r="D422" s="118" t="str">
        <f>IFERROR(__xludf.DUMMYFUNCTION("IFERROR( INDEX( FILTER( 'NOMBRE DE PRODUCTOS'!B:B, REGEXMATCH( UPPER( INDEX( REPORTE_DROPI!AC:AC, MATCH(T422, REPORTE_DROPI!B:B, 0) ) ), UPPER('NOMBRE DE PRODUCTOS'!A:A) ) ), 1 ), ""REVISAR"" )"),"FilmPro®")</f>
        <v>FilmPro®</v>
      </c>
      <c r="E422" s="120">
        <f t="array" ref="E422">IF(
UPPER(TRIM(CLEAN($O422)))="ENTREGADO",
IFERROR(
INDEX(REPORTE_DROPI!Y:Y,
MATCH($T422, REPORTE_DROPI!B:B, 0)
),
""
),
""
)
</f>
        <v>2.4</v>
      </c>
      <c r="F422" s="171">
        <v>1.0</v>
      </c>
      <c r="G422" s="122">
        <f t="array" ref="G422">IF(
UPPER(TRIM(CLEAN($O422)))="ENTREGADO",
IFERROR(
INDEX(REPORTE_DROPI!R:R,
MATCH($T422, REPORTE_DROPI!B:B, 0)
),
""
),
""
)
</f>
        <v>20</v>
      </c>
      <c r="H422" s="118" t="s">
        <v>3727</v>
      </c>
      <c r="I422" s="154" t="s">
        <v>3740</v>
      </c>
      <c r="J422" s="121">
        <f t="array" ref="J422">IF(
UPPER(TRIM(CLEAN($O422)))="ENTREGADO",
IFERROR(
INDEX(REPORTE_DROPI!T:T,
MATCH($T422, REPORTE_DROPI!B:B, 0)
),
""
),
""
)
</f>
        <v>4.15</v>
      </c>
      <c r="K422" s="118">
        <f t="array" ref="K422">IFERROR(
INDEX(REPORTE_DROPI!S:S,
MATCH($T422, REPORTE_DROPI!B:B, 0)
),
""
)</f>
        <v>13.45</v>
      </c>
      <c r="L422" s="118" t="str">
        <f>IF(
  O422&lt;&gt;"DEVOLUCION",
  "",
  IF(
    T422="",
    "",
    SUMIF(DEVOLUCION!F:F, T422, DEVOLUCION!D:D)
  )
)
</f>
        <v/>
      </c>
      <c r="M422" s="118" t="s">
        <v>5877</v>
      </c>
      <c r="N422" s="169" t="s">
        <v>7100</v>
      </c>
      <c r="O422" s="118" t="str">
        <f t="array" ref="O422">IFERROR(
VLOOKUP(
TRIM(CLEAN(
INDEX(REPORTE_DROPI!K:K,
MATCH(T422, REPORTE_DROPI!B:B, 0)
))),
{
TRIM(CLEAN(MAPA_ESTADOS!A:A)) ,
MAPA_ESTADOS!B:B
},
2,
FALSE
),
"REVISAR"
)</f>
        <v>ENTREGADO</v>
      </c>
      <c r="P422" s="154" t="s">
        <v>5692</v>
      </c>
      <c r="Q422" s="153">
        <f t="shared" si="1"/>
        <v>0</v>
      </c>
      <c r="R422" s="172"/>
      <c r="S422" s="172"/>
      <c r="T422" s="118">
        <f t="array" ref="T422">IFERROR(
INDEX(REPORTE_DROPI!B:B,
MATCH(
CLEAN(TRIM(C422)),
CLEAN(TRIM(REPORTE_DROPI!E:E)),
0
)
),
""
)
</f>
        <v>4510908</v>
      </c>
      <c r="U422" s="169" t="s">
        <v>7101</v>
      </c>
      <c r="V422" s="166"/>
      <c r="W422" s="18"/>
      <c r="X422" s="18"/>
      <c r="Y422" s="18"/>
      <c r="Z422" s="18"/>
    </row>
    <row r="423" ht="22.5" hidden="1" customHeight="1">
      <c r="A423" s="169">
        <v>422.0</v>
      </c>
      <c r="B423" s="170">
        <v>46067.0</v>
      </c>
      <c r="C423" s="154" t="s">
        <v>7102</v>
      </c>
      <c r="D423" s="118" t="str">
        <f>IFERROR(__xludf.DUMMYFUNCTION("IFERROR( INDEX( FILTER( 'NOMBRE DE PRODUCTOS'!B:B, REGEXMATCH( UPPER( INDEX( REPORTE_DROPI!AC:AC, MATCH(T423, REPORTE_DROPI!B:B, 0) ) ), UPPER('NOMBRE DE PRODUCTOS'!A:A) ) ), 1 ), ""REVISAR"" )"),"Cuchillo Tazaki™")</f>
        <v>Cuchillo Tazaki™</v>
      </c>
      <c r="E423" s="120" t="str">
        <f t="array" ref="E423">IF(
UPPER(TRIM(CLEAN($O423)))="ENTREGADO",
IFERROR(
INDEX(REPORTE_DROPI!Y:Y,
MATCH($T423, REPORTE_DROPI!B:B, 0)
),
""
),
""
)
</f>
        <v/>
      </c>
      <c r="F423" s="171">
        <v>2.0</v>
      </c>
      <c r="G423" s="122" t="str">
        <f t="array" ref="G423">IF(
UPPER(TRIM(CLEAN($O423)))="ENTREGADO",
IFERROR(
INDEX(REPORTE_DROPI!R:R,
MATCH($T423, REPORTE_DROPI!B:B, 0)
),
""
),
""
)
</f>
        <v/>
      </c>
      <c r="H423" s="118" t="s">
        <v>3727</v>
      </c>
      <c r="I423" s="154" t="s">
        <v>3801</v>
      </c>
      <c r="J423" s="121" t="str">
        <f t="array" ref="J423">IF(
UPPER(TRIM(CLEAN($O423)))="ENTREGADO",
IFERROR(
INDEX(REPORTE_DROPI!T:T,
MATCH($T423, REPORTE_DROPI!B:B, 0)
),
""
),
""
)
</f>
        <v/>
      </c>
      <c r="K423" s="118" t="str">
        <f t="array" ref="K423">IFERROR(
INDEX(REPORTE_DROPI!S:S,
MATCH($T423, REPORTE_DROPI!B:B, 0)
),
""
)</f>
        <v/>
      </c>
      <c r="L423" s="118" t="str">
        <f>IF(
  O423&lt;&gt;"DEVOLUCION",
  "",
  IF(
    T423="",
    "",
    SUMIF(DEVOLUCION!F:F, T423, DEVOLUCION!D:D)
  )
)
</f>
        <v/>
      </c>
      <c r="M423" s="118" t="s">
        <v>5877</v>
      </c>
      <c r="N423" s="169" t="s">
        <v>7103</v>
      </c>
      <c r="O423" s="118" t="str">
        <f t="array" ref="O423">IFERROR(
VLOOKUP(
TRIM(CLEAN(
INDEX(REPORTE_DROPI!K:K,
MATCH(T423, REPORTE_DROPI!B:B, 0)
))),
{
TRIM(CLEAN(MAPA_ESTADOS!A:A)) ,
MAPA_ESTADOS!B:B
},
2,
FALSE
),
"REVISAR"
)</f>
        <v>PENDIENTE</v>
      </c>
      <c r="P423" s="154" t="s">
        <v>7104</v>
      </c>
      <c r="Q423" s="153">
        <f t="shared" si="1"/>
        <v>0</v>
      </c>
      <c r="R423" s="172"/>
      <c r="S423" s="172"/>
      <c r="T423" s="118">
        <f t="array" ref="T423">IFERROR(
INDEX(REPORTE_DROPI!B:B,
MATCH(
CLEAN(TRIM(C423)),
CLEAN(TRIM(REPORTE_DROPI!E:E)),
0
)
),
""
)
</f>
        <v>4523380</v>
      </c>
      <c r="U423" s="173">
        <v>4.5185162149E10</v>
      </c>
      <c r="V423" s="166"/>
      <c r="W423" s="18"/>
      <c r="X423" s="18"/>
      <c r="Y423" s="18"/>
      <c r="Z423" s="18"/>
    </row>
    <row r="424" ht="22.5" hidden="1" customHeight="1">
      <c r="A424" s="169">
        <v>423.0</v>
      </c>
      <c r="B424" s="170">
        <v>46067.0</v>
      </c>
      <c r="C424" s="154" t="s">
        <v>7105</v>
      </c>
      <c r="D424" s="118" t="str">
        <f>IFERROR(__xludf.DUMMYFUNCTION("IFERROR( INDEX( FILTER( 'NOMBRE DE PRODUCTOS'!B:B, REGEXMATCH( UPPER( INDEX( REPORTE_DROPI!AC:AC, MATCH(T424, REPORTE_DROPI!B:B, 0) ) ), UPPER('NOMBRE DE PRODUCTOS'!A:A) ) ), 1 ), ""REVISAR"" )"),"FilmPro®")</f>
        <v>FilmPro®</v>
      </c>
      <c r="E424" s="120">
        <f t="array" ref="E424">IF(
UPPER(TRIM(CLEAN($O424)))="ENTREGADO",
IFERROR(
INDEX(REPORTE_DROPI!Y:Y,
MATCH($T424, REPORTE_DROPI!B:B, 0)
),
""
),
""
)
</f>
        <v>4.8</v>
      </c>
      <c r="F424" s="171">
        <v>2.0</v>
      </c>
      <c r="G424" s="122">
        <f t="array" ref="G424">IF(
UPPER(TRIM(CLEAN($O424)))="ENTREGADO",
IFERROR(
INDEX(REPORTE_DROPI!R:R,
MATCH($T424, REPORTE_DROPI!B:B, 0)
),
""
),
""
)
</f>
        <v>25</v>
      </c>
      <c r="H424" s="118" t="s">
        <v>3727</v>
      </c>
      <c r="I424" s="154" t="s">
        <v>3798</v>
      </c>
      <c r="J424" s="121">
        <f t="array" ref="J424">IF(
UPPER(TRIM(CLEAN($O424)))="ENTREGADO",
IFERROR(
INDEX(REPORTE_DROPI!T:T,
MATCH($T424, REPORTE_DROPI!B:B, 0)
),
""
),
""
)
</f>
        <v>5.96</v>
      </c>
      <c r="K424" s="118">
        <f t="array" ref="K424">IFERROR(
INDEX(REPORTE_DROPI!S:S,
MATCH($T424, REPORTE_DROPI!B:B, 0)
),
""
)</f>
        <v>14.24</v>
      </c>
      <c r="L424" s="118" t="str">
        <f>IF(
  O424&lt;&gt;"DEVOLUCION",
  "",
  IF(
    T424="",
    "",
    SUMIF(DEVOLUCION!F:F, T424, DEVOLUCION!D:D)
  )
)
</f>
        <v/>
      </c>
      <c r="M424" s="118" t="s">
        <v>5877</v>
      </c>
      <c r="N424" s="169" t="s">
        <v>7106</v>
      </c>
      <c r="O424" s="118" t="str">
        <f t="array" ref="O424">IFERROR(
VLOOKUP(
TRIM(CLEAN(
INDEX(REPORTE_DROPI!K:K,
MATCH(T424, REPORTE_DROPI!B:B, 0)
))),
{
TRIM(CLEAN(MAPA_ESTADOS!A:A)) ,
MAPA_ESTADOS!B:B
},
2,
FALSE
),
"REVISAR"
)</f>
        <v>ENTREGADO</v>
      </c>
      <c r="P424" s="154" t="s">
        <v>5692</v>
      </c>
      <c r="Q424" s="153">
        <f t="shared" si="1"/>
        <v>0</v>
      </c>
      <c r="R424" s="172"/>
      <c r="S424" s="172"/>
      <c r="T424" s="118">
        <f t="array" ref="T424">IFERROR(
INDEX(REPORTE_DROPI!B:B,
MATCH(
CLEAN(TRIM(C424)),
CLEAN(TRIM(REPORTE_DROPI!E:E)),
0
)
),
""
)
</f>
        <v>4511215</v>
      </c>
      <c r="U424" s="169" t="s">
        <v>7107</v>
      </c>
      <c r="V424" s="166"/>
      <c r="W424" s="18"/>
      <c r="X424" s="18"/>
      <c r="Y424" s="18"/>
      <c r="Z424" s="18"/>
    </row>
    <row r="425" ht="22.5" hidden="1" customHeight="1">
      <c r="A425" s="169">
        <v>424.0</v>
      </c>
      <c r="B425" s="170">
        <v>46067.0</v>
      </c>
      <c r="C425" s="154" t="s">
        <v>7108</v>
      </c>
      <c r="D425" s="118" t="str">
        <f>IFERROR(__xludf.DUMMYFUNCTION("IFERROR( INDEX( FILTER( 'NOMBRE DE PRODUCTOS'!B:B, REGEXMATCH( UPPER( INDEX( REPORTE_DROPI!AC:AC, MATCH(T425, REPORTE_DROPI!B:B, 0) ) ), UPPER('NOMBRE DE PRODUCTOS'!A:A) ) ), 1 ), ""REVISAR"" )"),"Cuchillo Tazaki™")</f>
        <v>Cuchillo Tazaki™</v>
      </c>
      <c r="E425" s="120" t="str">
        <f t="array" ref="E425">IF(
UPPER(TRIM(CLEAN($O425)))="ENTREGADO",
IFERROR(
INDEX(REPORTE_DROPI!Y:Y,
MATCH($T425, REPORTE_DROPI!B:B, 0)
),
""
),
""
)
</f>
        <v/>
      </c>
      <c r="F425" s="171">
        <v>2.0</v>
      </c>
      <c r="G425" s="122" t="str">
        <f t="array" ref="G425">IF(
UPPER(TRIM(CLEAN($O425)))="ENTREGADO",
IFERROR(
INDEX(REPORTE_DROPI!R:R,
MATCH($T425, REPORTE_DROPI!B:B, 0)
),
""
),
""
)
</f>
        <v/>
      </c>
      <c r="H425" s="118" t="s">
        <v>3727</v>
      </c>
      <c r="I425" s="154" t="s">
        <v>3804</v>
      </c>
      <c r="J425" s="121" t="str">
        <f t="array" ref="J425">IF(
UPPER(TRIM(CLEAN($O425)))="ENTREGADO",
IFERROR(
INDEX(REPORTE_DROPI!T:T,
MATCH($T425, REPORTE_DROPI!B:B, 0)
),
""
),
""
)
</f>
        <v/>
      </c>
      <c r="K425" s="118" t="str">
        <f t="array" ref="K425">IFERROR(
INDEX(REPORTE_DROPI!S:S,
MATCH($T425, REPORTE_DROPI!B:B, 0)
),
""
)</f>
        <v/>
      </c>
      <c r="L425" s="118" t="str">
        <f>IF(
  O425&lt;&gt;"DEVOLUCION",
  "",
  IF(
    T425="",
    "",
    SUMIF(DEVOLUCION!F:F, T425, DEVOLUCION!D:D)
  )
)
</f>
        <v/>
      </c>
      <c r="M425" s="118" t="s">
        <v>5877</v>
      </c>
      <c r="N425" s="169" t="s">
        <v>7109</v>
      </c>
      <c r="O425" s="118" t="str">
        <f t="array" ref="O425">IFERROR(
VLOOKUP(
TRIM(CLEAN(
INDEX(REPORTE_DROPI!K:K,
MATCH(T425, REPORTE_DROPI!B:B, 0)
))),
{
TRIM(CLEAN(MAPA_ESTADOS!A:A)) ,
MAPA_ESTADOS!B:B
},
2,
FALSE
),
"REVISAR"
)</f>
        <v>PENDIENTE</v>
      </c>
      <c r="P425" s="154" t="s">
        <v>7110</v>
      </c>
      <c r="Q425" s="153">
        <f t="shared" si="1"/>
        <v>0</v>
      </c>
      <c r="R425" s="172"/>
      <c r="S425" s="172"/>
      <c r="T425" s="118">
        <f t="array" ref="T425">IFERROR(
INDEX(REPORTE_DROPI!B:B,
MATCH(
CLEAN(TRIM(C425)),
CLEAN(TRIM(REPORTE_DROPI!E:E)),
0
)
),
""
)
</f>
        <v>4523383</v>
      </c>
      <c r="U425" s="169" t="s">
        <v>7111</v>
      </c>
      <c r="V425" s="166"/>
      <c r="W425" s="18"/>
      <c r="X425" s="18"/>
      <c r="Y425" s="18"/>
      <c r="Z425" s="18"/>
    </row>
    <row r="426" ht="22.5" hidden="1" customHeight="1">
      <c r="A426" s="169">
        <v>425.0</v>
      </c>
      <c r="B426" s="170">
        <v>46067.0</v>
      </c>
      <c r="C426" s="154" t="s">
        <v>7112</v>
      </c>
      <c r="D426" s="118" t="str">
        <f>IFERROR(__xludf.DUMMYFUNCTION("IFERROR( INDEX( FILTER( 'NOMBRE DE PRODUCTOS'!B:B, REGEXMATCH( UPPER( INDEX( REPORTE_DROPI!AC:AC, MATCH(T426, REPORTE_DROPI!B:B, 0) ) ), UPPER('NOMBRE DE PRODUCTOS'!A:A) ) ), 1 ), ""REVISAR"" )"),"Cuchillo Tazaki™")</f>
        <v>Cuchillo Tazaki™</v>
      </c>
      <c r="E426" s="120">
        <f t="array" ref="E426">IF(
UPPER(TRIM(CLEAN($O426)))="ENTREGADO",
IFERROR(
INDEX(REPORTE_DROPI!Y:Y,
MATCH($T426, REPORTE_DROPI!B:B, 0)
),
""
),
""
)
</f>
        <v>7.5</v>
      </c>
      <c r="F426" s="171">
        <v>2.0</v>
      </c>
      <c r="G426" s="122">
        <f t="array" ref="G426">IF(
UPPER(TRIM(CLEAN($O426)))="ENTREGADO",
IFERROR(
INDEX(REPORTE_DROPI!R:R,
MATCH($T426, REPORTE_DROPI!B:B, 0)
),
""
),
""
)
</f>
        <v>22</v>
      </c>
      <c r="H426" s="118" t="s">
        <v>3727</v>
      </c>
      <c r="I426" s="154" t="s">
        <v>3772</v>
      </c>
      <c r="J426" s="121">
        <f t="array" ref="J426">IF(
UPPER(TRIM(CLEAN($O426)))="ENTREGADO",
IFERROR(
INDEX(REPORTE_DROPI!T:T,
MATCH($T426, REPORTE_DROPI!B:B, 0)
),
""
),
""
)
</f>
        <v>7.01</v>
      </c>
      <c r="K426" s="118">
        <f t="array" ref="K426">IFERROR(
INDEX(REPORTE_DROPI!S:S,
MATCH($T426, REPORTE_DROPI!B:B, 0)
),
""
)</f>
        <v>7.49</v>
      </c>
      <c r="L426" s="118" t="str">
        <f>IF(
  O426&lt;&gt;"DEVOLUCION",
  "",
  IF(
    T426="",
    "",
    SUMIF(DEVOLUCION!F:F, T426, DEVOLUCION!D:D)
  )
)
</f>
        <v/>
      </c>
      <c r="M426" s="118" t="s">
        <v>5877</v>
      </c>
      <c r="N426" s="169" t="s">
        <v>7113</v>
      </c>
      <c r="O426" s="118" t="str">
        <f t="array" ref="O426">IFERROR(
VLOOKUP(
TRIM(CLEAN(
INDEX(REPORTE_DROPI!K:K,
MATCH(T426, REPORTE_DROPI!B:B, 0)
))),
{
TRIM(CLEAN(MAPA_ESTADOS!A:A)) ,
MAPA_ESTADOS!B:B
},
2,
FALSE
),
"REVISAR"
)</f>
        <v>ENTREGADO</v>
      </c>
      <c r="P426" s="154" t="s">
        <v>7114</v>
      </c>
      <c r="Q426" s="153">
        <f t="shared" si="1"/>
        <v>0</v>
      </c>
      <c r="R426" s="172"/>
      <c r="S426" s="172"/>
      <c r="T426" s="118">
        <f t="array" ref="T426">IFERROR(
INDEX(REPORTE_DROPI!B:B,
MATCH(
CLEAN(TRIM(C426)),
CLEAN(TRIM(REPORTE_DROPI!E:E)),
0
)
),
""
)
</f>
        <v>4523386</v>
      </c>
      <c r="U426" s="169" t="s">
        <v>7115</v>
      </c>
      <c r="V426" s="166"/>
      <c r="W426" s="18"/>
      <c r="X426" s="18"/>
      <c r="Y426" s="18"/>
      <c r="Z426" s="18"/>
    </row>
    <row r="427" ht="22.5" hidden="1" customHeight="1">
      <c r="A427" s="169">
        <v>426.0</v>
      </c>
      <c r="B427" s="170">
        <v>46067.0</v>
      </c>
      <c r="C427" s="154" t="s">
        <v>7116</v>
      </c>
      <c r="D427" s="118" t="str">
        <f>IFERROR(__xludf.DUMMYFUNCTION("IFERROR( INDEX( FILTER( 'NOMBRE DE PRODUCTOS'!B:B, REGEXMATCH( UPPER( INDEX( REPORTE_DROPI!AC:AC, MATCH(T427, REPORTE_DROPI!B:B, 0) ) ), UPPER('NOMBRE DE PRODUCTOS'!A:A) ) ), 1 ), ""REVISAR"" )"),"Cuchillo Tazaki™")</f>
        <v>Cuchillo Tazaki™</v>
      </c>
      <c r="E427" s="120">
        <f t="array" ref="E427">IF(
UPPER(TRIM(CLEAN($O427)))="ENTREGADO",
IFERROR(
INDEX(REPORTE_DROPI!Y:Y,
MATCH($T427, REPORTE_DROPI!B:B, 0)
),
""
),
""
)
</f>
        <v>7.5</v>
      </c>
      <c r="F427" s="171">
        <v>2.0</v>
      </c>
      <c r="G427" s="122">
        <f t="array" ref="G427">IF(
UPPER(TRIM(CLEAN($O427)))="ENTREGADO",
IFERROR(
INDEX(REPORTE_DROPI!R:R,
MATCH($T427, REPORTE_DROPI!B:B, 0)
),
""
),
""
)
</f>
        <v>22</v>
      </c>
      <c r="H427" s="118" t="s">
        <v>3727</v>
      </c>
      <c r="I427" s="154" t="s">
        <v>3912</v>
      </c>
      <c r="J427" s="121">
        <f t="array" ref="J427">IF(
UPPER(TRIM(CLEAN($O427)))="ENTREGADO",
IFERROR(
INDEX(REPORTE_DROPI!T:T,
MATCH($T427, REPORTE_DROPI!B:B, 0)
),
""
),
""
)
</f>
        <v>5.84</v>
      </c>
      <c r="K427" s="118">
        <f t="array" ref="K427">IFERROR(
INDEX(REPORTE_DROPI!S:S,
MATCH($T427, REPORTE_DROPI!B:B, 0)
),
""
)</f>
        <v>8.66</v>
      </c>
      <c r="L427" s="118" t="str">
        <f>IF(
  O427&lt;&gt;"DEVOLUCION",
  "",
  IF(
    T427="",
    "",
    SUMIF(DEVOLUCION!F:F, T427, DEVOLUCION!D:D)
  )
)
</f>
        <v/>
      </c>
      <c r="M427" s="118" t="s">
        <v>5877</v>
      </c>
      <c r="N427" s="169" t="s">
        <v>7117</v>
      </c>
      <c r="O427" s="118" t="str">
        <f t="array" ref="O427">IFERROR(
VLOOKUP(
TRIM(CLEAN(
INDEX(REPORTE_DROPI!K:K,
MATCH(T427, REPORTE_DROPI!B:B, 0)
))),
{
TRIM(CLEAN(MAPA_ESTADOS!A:A)) ,
MAPA_ESTADOS!B:B
},
2,
FALSE
),
"REVISAR"
)</f>
        <v>ENTREGADO</v>
      </c>
      <c r="P427" s="154" t="s">
        <v>7118</v>
      </c>
      <c r="Q427" s="153">
        <f t="shared" si="1"/>
        <v>0</v>
      </c>
      <c r="R427" s="172"/>
      <c r="S427" s="172"/>
      <c r="T427" s="118">
        <f t="array" ref="T427">IFERROR(
INDEX(REPORTE_DROPI!B:B,
MATCH(
CLEAN(TRIM(C427)),
CLEAN(TRIM(REPORTE_DROPI!E:E)),
0
)
),
""
)
</f>
        <v>4523392</v>
      </c>
      <c r="U427" s="169" t="s">
        <v>7119</v>
      </c>
      <c r="V427" s="166"/>
      <c r="W427" s="18"/>
      <c r="X427" s="18"/>
      <c r="Y427" s="18"/>
      <c r="Z427" s="18"/>
    </row>
    <row r="428" ht="22.5" hidden="1" customHeight="1">
      <c r="A428" s="169">
        <v>427.0</v>
      </c>
      <c r="B428" s="170">
        <v>46067.0</v>
      </c>
      <c r="C428" s="154" t="s">
        <v>7120</v>
      </c>
      <c r="D428" s="118" t="str">
        <f>IFERROR(__xludf.DUMMYFUNCTION("IFERROR( INDEX( FILTER( 'NOMBRE DE PRODUCTOS'!B:B, REGEXMATCH( UPPER( INDEX( REPORTE_DROPI!AC:AC, MATCH(T428, REPORTE_DROPI!B:B, 0) ) ), UPPER('NOMBRE DE PRODUCTOS'!A:A) ) ), 1 ), ""REVISAR"" )"),"FilmPro®")</f>
        <v>FilmPro®</v>
      </c>
      <c r="E428" s="120">
        <f t="array" ref="E428">IF(
UPPER(TRIM(CLEAN($O428)))="ENTREGADO",
IFERROR(
INDEX(REPORTE_DROPI!Y:Y,
MATCH($T428, REPORTE_DROPI!B:B, 0)
),
""
),
""
)
</f>
        <v>4.8</v>
      </c>
      <c r="F428" s="171">
        <v>2.0</v>
      </c>
      <c r="G428" s="122">
        <f t="array" ref="G428">IF(
UPPER(TRIM(CLEAN($O428)))="ENTREGADO",
IFERROR(
INDEX(REPORTE_DROPI!R:R,
MATCH($T428, REPORTE_DROPI!B:B, 0)
),
""
),
""
)
</f>
        <v>25</v>
      </c>
      <c r="H428" s="118" t="s">
        <v>3727</v>
      </c>
      <c r="I428" s="154" t="s">
        <v>3951</v>
      </c>
      <c r="J428" s="121">
        <f t="array" ref="J428">IF(
UPPER(TRIM(CLEAN($O428)))="ENTREGADO",
IFERROR(
INDEX(REPORTE_DROPI!T:T,
MATCH($T428, REPORTE_DROPI!B:B, 0)
),
""
),
""
)
</f>
        <v>5.96</v>
      </c>
      <c r="K428" s="118">
        <f t="array" ref="K428">IFERROR(
INDEX(REPORTE_DROPI!S:S,
MATCH($T428, REPORTE_DROPI!B:B, 0)
),
""
)</f>
        <v>14.24</v>
      </c>
      <c r="L428" s="118" t="str">
        <f>IF(
  O428&lt;&gt;"DEVOLUCION",
  "",
  IF(
    T428="",
    "",
    SUMIF(DEVOLUCION!F:F, T428, DEVOLUCION!D:D)
  )
)
</f>
        <v/>
      </c>
      <c r="M428" s="118" t="s">
        <v>5877</v>
      </c>
      <c r="N428" s="169" t="s">
        <v>7121</v>
      </c>
      <c r="O428" s="118" t="str">
        <f t="array" ref="O428">IFERROR(
VLOOKUP(
TRIM(CLEAN(
INDEX(REPORTE_DROPI!K:K,
MATCH(T428, REPORTE_DROPI!B:B, 0)
))),
{
TRIM(CLEAN(MAPA_ESTADOS!A:A)) ,
MAPA_ESTADOS!B:B
},
2,
FALSE
),
"REVISAR"
)</f>
        <v>ENTREGADO</v>
      </c>
      <c r="P428" s="154" t="s">
        <v>5909</v>
      </c>
      <c r="Q428" s="153">
        <f t="shared" si="1"/>
        <v>0</v>
      </c>
      <c r="R428" s="172"/>
      <c r="S428" s="172"/>
      <c r="T428" s="118">
        <f t="array" ref="T428">IFERROR(
INDEX(REPORTE_DROPI!B:B,
MATCH(
CLEAN(TRIM(C428)),
CLEAN(TRIM(REPORTE_DROPI!E:E)),
0
)
),
""
)
</f>
        <v>4523401</v>
      </c>
      <c r="U428" s="173">
        <v>1.57100143189E11</v>
      </c>
      <c r="V428" s="166"/>
      <c r="W428" s="18"/>
      <c r="X428" s="18"/>
      <c r="Y428" s="18"/>
      <c r="Z428" s="18"/>
    </row>
    <row r="429" ht="22.5" hidden="1" customHeight="1">
      <c r="A429" s="169">
        <v>428.0</v>
      </c>
      <c r="B429" s="170">
        <v>46067.0</v>
      </c>
      <c r="C429" s="154" t="s">
        <v>7122</v>
      </c>
      <c r="D429" s="118" t="str">
        <f>IFERROR(__xludf.DUMMYFUNCTION("IFERROR( INDEX( FILTER( 'NOMBRE DE PRODUCTOS'!B:B, REGEXMATCH( UPPER( INDEX( REPORTE_DROPI!AC:AC, MATCH(T429, REPORTE_DROPI!B:B, 0) ) ), UPPER('NOMBRE DE PRODUCTOS'!A:A) ) ), 1 ), ""REVISAR"" )"),"Cuchillo Tazaki™")</f>
        <v>Cuchillo Tazaki™</v>
      </c>
      <c r="E429" s="120" t="str">
        <f t="array" ref="E429">IF(
UPPER(TRIM(CLEAN($O429)))="ENTREGADO",
IFERROR(
INDEX(REPORTE_DROPI!Y:Y,
MATCH($T429, REPORTE_DROPI!B:B, 0)
),
""
),
""
)
</f>
        <v/>
      </c>
      <c r="F429" s="171">
        <v>2.0</v>
      </c>
      <c r="G429" s="122" t="str">
        <f t="array" ref="G429">IF(
UPPER(TRIM(CLEAN($O429)))="ENTREGADO",
IFERROR(
INDEX(REPORTE_DROPI!R:R,
MATCH($T429, REPORTE_DROPI!B:B, 0)
),
""
),
""
)
</f>
        <v/>
      </c>
      <c r="H429" s="118" t="s">
        <v>3727</v>
      </c>
      <c r="I429" s="154" t="s">
        <v>3740</v>
      </c>
      <c r="J429" s="121" t="str">
        <f t="array" ref="J429">IF(
UPPER(TRIM(CLEAN($O429)))="ENTREGADO",
IFERROR(
INDEX(REPORTE_DROPI!T:T,
MATCH($T429, REPORTE_DROPI!B:B, 0)
),
""
),
""
)
</f>
        <v/>
      </c>
      <c r="K429" s="118" t="str">
        <f t="array" ref="K429">IFERROR(
INDEX(REPORTE_DROPI!S:S,
MATCH($T429, REPORTE_DROPI!B:B, 0)
),
""
)</f>
        <v/>
      </c>
      <c r="L429" s="118">
        <f>IF(
  O429&lt;&gt;"DEVOLUCION",
  "",
  IF(
    T429="",
    "",
    SUMIF(DEVOLUCION!F:F, T429, DEVOLUCION!D:D)
  )
)
</f>
        <v>0</v>
      </c>
      <c r="M429" s="118" t="s">
        <v>5877</v>
      </c>
      <c r="N429" s="169" t="s">
        <v>7123</v>
      </c>
      <c r="O429" s="118" t="str">
        <f t="array" ref="O429">IFERROR(
VLOOKUP(
TRIM(CLEAN(
INDEX(REPORTE_DROPI!K:K,
MATCH(T429, REPORTE_DROPI!B:B, 0)
))),
{
TRIM(CLEAN(MAPA_ESTADOS!A:A)) ,
MAPA_ESTADOS!B:B
},
2,
FALSE
),
"REVISAR"
)</f>
        <v>DEVOLUCION</v>
      </c>
      <c r="P429" s="154" t="s">
        <v>5909</v>
      </c>
      <c r="Q429" s="153">
        <f t="shared" si="1"/>
        <v>0</v>
      </c>
      <c r="R429" s="172"/>
      <c r="S429" s="172"/>
      <c r="T429" s="118">
        <f t="array" ref="T429">IFERROR(
INDEX(REPORTE_DROPI!B:B,
MATCH(
CLEAN(TRIM(C429)),
CLEAN(TRIM(REPORTE_DROPI!E:E)),
0
)
),
""
)
</f>
        <v>4523407</v>
      </c>
      <c r="U429" s="169" t="s">
        <v>7124</v>
      </c>
      <c r="V429" s="166"/>
      <c r="W429" s="18"/>
      <c r="X429" s="18"/>
      <c r="Y429" s="18"/>
      <c r="Z429" s="18"/>
    </row>
    <row r="430" ht="22.5" hidden="1" customHeight="1">
      <c r="A430" s="169">
        <v>429.0</v>
      </c>
      <c r="B430" s="170">
        <v>46067.0</v>
      </c>
      <c r="C430" s="154" t="s">
        <v>7125</v>
      </c>
      <c r="D430" s="118" t="str">
        <f>IFERROR(__xludf.DUMMYFUNCTION("IFERROR( INDEX( FILTER( 'NOMBRE DE PRODUCTOS'!B:B, REGEXMATCH( UPPER( INDEX( REPORTE_DROPI!AC:AC, MATCH(T430, REPORTE_DROPI!B:B, 0) ) ), UPPER('NOMBRE DE PRODUCTOS'!A:A) ) ), 1 ), ""REVISAR"" )"),"Cuchillo Tazaki™")</f>
        <v>Cuchillo Tazaki™</v>
      </c>
      <c r="E430" s="120">
        <f t="array" ref="E430">IF(
UPPER(TRIM(CLEAN($O430)))="ENTREGADO",
IFERROR(
INDEX(REPORTE_DROPI!Y:Y,
MATCH($T430, REPORTE_DROPI!B:B, 0)
),
""
),
""
)
</f>
        <v>15</v>
      </c>
      <c r="F430" s="171">
        <v>4.0</v>
      </c>
      <c r="G430" s="122">
        <f t="array" ref="G430">IF(
UPPER(TRIM(CLEAN($O430)))="ENTREGADO",
IFERROR(
INDEX(REPORTE_DROPI!R:R,
MATCH($T430, REPORTE_DROPI!B:B, 0)
),
""
),
""
)
</f>
        <v>32</v>
      </c>
      <c r="H430" s="118" t="s">
        <v>3727</v>
      </c>
      <c r="I430" s="154" t="s">
        <v>3731</v>
      </c>
      <c r="J430" s="121">
        <f t="array" ref="J430">IF(
UPPER(TRIM(CLEAN($O430)))="ENTREGADO",
IFERROR(
INDEX(REPORTE_DROPI!T:T,
MATCH($T430, REPORTE_DROPI!B:B, 0)
),
""
),
""
)
</f>
        <v>4.63</v>
      </c>
      <c r="K430" s="118">
        <f t="array" ref="K430">IFERROR(
INDEX(REPORTE_DROPI!S:S,
MATCH($T430, REPORTE_DROPI!B:B, 0)
),
""
)</f>
        <v>12.37</v>
      </c>
      <c r="L430" s="118" t="str">
        <f>IF(
  O430&lt;&gt;"DEVOLUCION",
  "",
  IF(
    T430="",
    "",
    SUMIF(DEVOLUCION!F:F, T430, DEVOLUCION!D:D)
  )
)
</f>
        <v/>
      </c>
      <c r="M430" s="118" t="s">
        <v>5877</v>
      </c>
      <c r="N430" s="169" t="s">
        <v>7126</v>
      </c>
      <c r="O430" s="118" t="str">
        <f t="array" ref="O430">IFERROR(
VLOOKUP(
TRIM(CLEAN(
INDEX(REPORTE_DROPI!K:K,
MATCH(T430, REPORTE_DROPI!B:B, 0)
))),
{
TRIM(CLEAN(MAPA_ESTADOS!A:A)) ,
MAPA_ESTADOS!B:B
},
2,
FALSE
),
"REVISAR"
)</f>
        <v>ENTREGADO</v>
      </c>
      <c r="P430" s="154" t="s">
        <v>7118</v>
      </c>
      <c r="Q430" s="153">
        <f t="shared" si="1"/>
        <v>0</v>
      </c>
      <c r="R430" s="172"/>
      <c r="S430" s="172"/>
      <c r="T430" s="118">
        <f t="array" ref="T430">IFERROR(
INDEX(REPORTE_DROPI!B:B,
MATCH(
CLEAN(TRIM(C430)),
CLEAN(TRIM(REPORTE_DROPI!E:E)),
0
)
),
""
)
</f>
        <v>4523416</v>
      </c>
      <c r="U430" s="169" t="s">
        <v>7127</v>
      </c>
      <c r="V430" s="166"/>
      <c r="W430" s="18"/>
      <c r="X430" s="18"/>
      <c r="Y430" s="18"/>
      <c r="Z430" s="18"/>
    </row>
    <row r="431" ht="22.5" hidden="1" customHeight="1">
      <c r="A431" s="169">
        <v>430.0</v>
      </c>
      <c r="B431" s="170">
        <v>46067.0</v>
      </c>
      <c r="C431" s="154" t="s">
        <v>7128</v>
      </c>
      <c r="D431" s="118" t="str">
        <f>IFERROR(__xludf.DUMMYFUNCTION("IFERROR( INDEX( FILTER( 'NOMBRE DE PRODUCTOS'!B:B, REGEXMATCH( UPPER( INDEX( REPORTE_DROPI!AC:AC, MATCH(T431, REPORTE_DROPI!B:B, 0) ) ), UPPER('NOMBRE DE PRODUCTOS'!A:A) ) ), 1 ), ""REVISAR"" )"),"FilmPro®")</f>
        <v>FilmPro®</v>
      </c>
      <c r="E431" s="120">
        <f t="array" ref="E431">IF(
UPPER(TRIM(CLEAN($O431)))="ENTREGADO",
IFERROR(
INDEX(REPORTE_DROPI!Y:Y,
MATCH($T431, REPORTE_DROPI!B:B, 0)
),
""
),
""
)
</f>
        <v>4.8</v>
      </c>
      <c r="F431" s="171">
        <v>2.0</v>
      </c>
      <c r="G431" s="122">
        <f t="array" ref="G431">IF(
UPPER(TRIM(CLEAN($O431)))="ENTREGADO",
IFERROR(
INDEX(REPORTE_DROPI!R:R,
MATCH($T431, REPORTE_DROPI!B:B, 0)
),
""
),
""
)
</f>
        <v>25</v>
      </c>
      <c r="H431" s="118" t="s">
        <v>3727</v>
      </c>
      <c r="I431" s="154" t="s">
        <v>3784</v>
      </c>
      <c r="J431" s="121">
        <f t="array" ref="J431">IF(
UPPER(TRIM(CLEAN($O431)))="ENTREGADO",
IFERROR(
INDEX(REPORTE_DROPI!T:T,
MATCH($T431, REPORTE_DROPI!B:B, 0)
),
""
),
""
)
</f>
        <v>5.96</v>
      </c>
      <c r="K431" s="118">
        <f t="array" ref="K431">IFERROR(
INDEX(REPORTE_DROPI!S:S,
MATCH($T431, REPORTE_DROPI!B:B, 0)
),
""
)</f>
        <v>14.24</v>
      </c>
      <c r="L431" s="118" t="str">
        <f>IF(
  O431&lt;&gt;"DEVOLUCION",
  "",
  IF(
    T431="",
    "",
    SUMIF(DEVOLUCION!F:F, T431, DEVOLUCION!D:D)
  )
)
</f>
        <v/>
      </c>
      <c r="M431" s="118" t="s">
        <v>5877</v>
      </c>
      <c r="N431" s="169" t="s">
        <v>7129</v>
      </c>
      <c r="O431" s="118" t="str">
        <f t="array" ref="O431">IFERROR(
VLOOKUP(
TRIM(CLEAN(
INDEX(REPORTE_DROPI!K:K,
MATCH(T431, REPORTE_DROPI!B:B, 0)
))),
{
TRIM(CLEAN(MAPA_ESTADOS!A:A)) ,
MAPA_ESTADOS!B:B
},
2,
FALSE
),
"REVISAR"
)</f>
        <v>ENTREGADO</v>
      </c>
      <c r="P431" s="154" t="s">
        <v>5692</v>
      </c>
      <c r="Q431" s="153">
        <f t="shared" si="1"/>
        <v>0</v>
      </c>
      <c r="R431" s="172"/>
      <c r="S431" s="172"/>
      <c r="T431" s="118">
        <f t="array" ref="T431">IFERROR(
INDEX(REPORTE_DROPI!B:B,
MATCH(
CLEAN(TRIM(C431)),
CLEAN(TRIM(REPORTE_DROPI!E:E)),
0
)
),
""
)
</f>
        <v>4512455</v>
      </c>
      <c r="U431" s="169" t="s">
        <v>7130</v>
      </c>
      <c r="V431" s="166"/>
      <c r="W431" s="18"/>
      <c r="X431" s="18"/>
      <c r="Y431" s="18"/>
      <c r="Z431" s="18"/>
    </row>
    <row r="432" ht="22.5" hidden="1" customHeight="1">
      <c r="A432" s="169">
        <v>431.0</v>
      </c>
      <c r="B432" s="170">
        <v>46067.0</v>
      </c>
      <c r="C432" s="154" t="s">
        <v>7131</v>
      </c>
      <c r="D432" s="118" t="str">
        <f>IFERROR(__xludf.DUMMYFUNCTION("IFERROR( INDEX( FILTER( 'NOMBRE DE PRODUCTOS'!B:B, REGEXMATCH( UPPER( INDEX( REPORTE_DROPI!AC:AC, MATCH(T432, REPORTE_DROPI!B:B, 0) ) ), UPPER('NOMBRE DE PRODUCTOS'!A:A) ) ), 1 ), ""REVISAR"" )"),"Cuchillo Tazaki™")</f>
        <v>Cuchillo Tazaki™</v>
      </c>
      <c r="E432" s="120">
        <f t="array" ref="E432">IF(
UPPER(TRIM(CLEAN($O432)))="ENTREGADO",
IFERROR(
INDEX(REPORTE_DROPI!Y:Y,
MATCH($T432, REPORTE_DROPI!B:B, 0)
),
""
),
""
)
</f>
        <v>7.5</v>
      </c>
      <c r="F432" s="171">
        <v>2.0</v>
      </c>
      <c r="G432" s="122">
        <f t="array" ref="G432">IF(
UPPER(TRIM(CLEAN($O432)))="ENTREGADO",
IFERROR(
INDEX(REPORTE_DROPI!R:R,
MATCH($T432, REPORTE_DROPI!B:B, 0)
),
""
),
""
)
</f>
        <v>22</v>
      </c>
      <c r="H432" s="118" t="s">
        <v>3727</v>
      </c>
      <c r="I432" s="154" t="s">
        <v>3731</v>
      </c>
      <c r="J432" s="121">
        <f t="array" ref="J432">IF(
UPPER(TRIM(CLEAN($O432)))="ENTREGADO",
IFERROR(
INDEX(REPORTE_DROPI!T:T,
MATCH($T432, REPORTE_DROPI!B:B, 0)
),
""
),
""
)
</f>
        <v>4.23</v>
      </c>
      <c r="K432" s="118">
        <f t="array" ref="K432">IFERROR(
INDEX(REPORTE_DROPI!S:S,
MATCH($T432, REPORTE_DROPI!B:B, 0)
),
""
)</f>
        <v>10.27</v>
      </c>
      <c r="L432" s="118" t="str">
        <f>IF(
  O432&lt;&gt;"DEVOLUCION",
  "",
  IF(
    T432="",
    "",
    SUMIF(DEVOLUCION!F:F, T432, DEVOLUCION!D:D)
  )
)
</f>
        <v/>
      </c>
      <c r="M432" s="118" t="s">
        <v>5877</v>
      </c>
      <c r="N432" s="169" t="s">
        <v>7132</v>
      </c>
      <c r="O432" s="118" t="str">
        <f t="array" ref="O432">IFERROR(
VLOOKUP(
TRIM(CLEAN(
INDEX(REPORTE_DROPI!K:K,
MATCH(T432, REPORTE_DROPI!B:B, 0)
))),
{
TRIM(CLEAN(MAPA_ESTADOS!A:A)) ,
MAPA_ESTADOS!B:B
},
2,
FALSE
),
"REVISAR"
)</f>
        <v>ENTREGADO</v>
      </c>
      <c r="P432" s="154" t="s">
        <v>5909</v>
      </c>
      <c r="Q432" s="153">
        <f t="shared" si="1"/>
        <v>0</v>
      </c>
      <c r="R432" s="172"/>
      <c r="S432" s="172"/>
      <c r="T432" s="118">
        <f t="array" ref="T432">IFERROR(
INDEX(REPORTE_DROPI!B:B,
MATCH(
CLEAN(TRIM(C432)),
CLEAN(TRIM(REPORTE_DROPI!E:E)),
0
)
),
""
)
</f>
        <v>4523421</v>
      </c>
      <c r="U432" s="169" t="s">
        <v>7133</v>
      </c>
      <c r="V432" s="166"/>
      <c r="W432" s="18"/>
      <c r="X432" s="18"/>
      <c r="Y432" s="18"/>
      <c r="Z432" s="18"/>
    </row>
    <row r="433" ht="22.5" hidden="1" customHeight="1">
      <c r="A433" s="169">
        <v>432.0</v>
      </c>
      <c r="B433" s="170">
        <v>46068.0</v>
      </c>
      <c r="C433" s="154" t="s">
        <v>7134</v>
      </c>
      <c r="D433" s="118" t="str">
        <f>IFERROR(__xludf.DUMMYFUNCTION("IFERROR( INDEX( FILTER( 'NOMBRE DE PRODUCTOS'!B:B, REGEXMATCH( UPPER( INDEX( REPORTE_DROPI!AC:AC, MATCH(T433, REPORTE_DROPI!B:B, 0) ) ), UPPER('NOMBRE DE PRODUCTOS'!A:A) ) ), 1 ), ""REVISAR"" )"),"Cuchillo Tazaki™")</f>
        <v>Cuchillo Tazaki™</v>
      </c>
      <c r="E433" s="120" t="str">
        <f t="array" ref="E433">IF(
UPPER(TRIM(CLEAN($O433)))="ENTREGADO",
IFERROR(
INDEX(REPORTE_DROPI!Y:Y,
MATCH($T433, REPORTE_DROPI!B:B, 0)
),
""
),
""
)
</f>
        <v/>
      </c>
      <c r="F433" s="171">
        <v>4.0</v>
      </c>
      <c r="G433" s="122" t="str">
        <f t="array" ref="G433">IF(
UPPER(TRIM(CLEAN($O433)))="ENTREGADO",
IFERROR(
INDEX(REPORTE_DROPI!R:R,
MATCH($T433, REPORTE_DROPI!B:B, 0)
),
""
),
""
)
</f>
        <v/>
      </c>
      <c r="H433" s="118" t="s">
        <v>3727</v>
      </c>
      <c r="I433" s="154" t="s">
        <v>3731</v>
      </c>
      <c r="J433" s="121" t="str">
        <f t="array" ref="J433">IF(
UPPER(TRIM(CLEAN($O433)))="ENTREGADO",
IFERROR(
INDEX(REPORTE_DROPI!T:T,
MATCH($T433, REPORTE_DROPI!B:B, 0)
),
""
),
""
)
</f>
        <v/>
      </c>
      <c r="K433" s="118" t="str">
        <f t="array" ref="K433">IFERROR(
INDEX(REPORTE_DROPI!S:S,
MATCH($T433, REPORTE_DROPI!B:B, 0)
),
""
)</f>
        <v/>
      </c>
      <c r="L433" s="118">
        <f>IF(
  O433&lt;&gt;"DEVOLUCION",
  "",
  IF(
    T433="",
    "",
    SUMIF(DEVOLUCION!F:F, T433, DEVOLUCION!D:D)
  )
)
</f>
        <v>7.13</v>
      </c>
      <c r="M433" s="118" t="s">
        <v>5877</v>
      </c>
      <c r="N433" s="169" t="s">
        <v>7135</v>
      </c>
      <c r="O433" s="118" t="str">
        <f t="array" ref="O433">IFERROR(
VLOOKUP(
TRIM(CLEAN(
INDEX(REPORTE_DROPI!K:K,
MATCH(T433, REPORTE_DROPI!B:B, 0)
))),
{
TRIM(CLEAN(MAPA_ESTADOS!A:A)) ,
MAPA_ESTADOS!B:B
},
2,
FALSE
),
"REVISAR"
)</f>
        <v>DEVOLUCION</v>
      </c>
      <c r="P433" s="154" t="s">
        <v>5909</v>
      </c>
      <c r="Q433" s="153">
        <f t="shared" si="1"/>
        <v>0</v>
      </c>
      <c r="R433" s="172"/>
      <c r="S433" s="172"/>
      <c r="T433" s="118">
        <f t="array" ref="T433">IFERROR(
INDEX(REPORTE_DROPI!B:B,
MATCH(
CLEAN(TRIM(C433)),
CLEAN(TRIM(REPORTE_DROPI!E:E)),
0
)
),
""
)
</f>
        <v>4523430</v>
      </c>
      <c r="U433" s="169" t="s">
        <v>7136</v>
      </c>
      <c r="V433" s="166"/>
      <c r="W433" s="18"/>
      <c r="X433" s="18"/>
      <c r="Y433" s="18"/>
      <c r="Z433" s="18"/>
    </row>
    <row r="434" ht="22.5" hidden="1" customHeight="1">
      <c r="A434" s="169">
        <v>433.0</v>
      </c>
      <c r="B434" s="170">
        <v>46068.0</v>
      </c>
      <c r="C434" s="154" t="s">
        <v>7137</v>
      </c>
      <c r="D434" s="118" t="str">
        <f>IFERROR(__xludf.DUMMYFUNCTION("IFERROR( INDEX( FILTER( 'NOMBRE DE PRODUCTOS'!B:B, REGEXMATCH( UPPER( INDEX( REPORTE_DROPI!AC:AC, MATCH(T434, REPORTE_DROPI!B:B, 0) ) ), UPPER('NOMBRE DE PRODUCTOS'!A:A) ) ), 1 ), ""REVISAR"" )"),"Cuchillo Tazaki™")</f>
        <v>Cuchillo Tazaki™</v>
      </c>
      <c r="E434" s="120" t="str">
        <f t="array" ref="E434">IF(
UPPER(TRIM(CLEAN($O434)))="ENTREGADO",
IFERROR(
INDEX(REPORTE_DROPI!Y:Y,
MATCH($T434, REPORTE_DROPI!B:B, 0)
),
""
),
""
)
</f>
        <v/>
      </c>
      <c r="F434" s="171">
        <v>4.0</v>
      </c>
      <c r="G434" s="122" t="str">
        <f t="array" ref="G434">IF(
UPPER(TRIM(CLEAN($O434)))="ENTREGADO",
IFERROR(
INDEX(REPORTE_DROPI!R:R,
MATCH($T434, REPORTE_DROPI!B:B, 0)
),
""
),
""
)
</f>
        <v/>
      </c>
      <c r="H434" s="118" t="s">
        <v>3727</v>
      </c>
      <c r="I434" s="154" t="s">
        <v>3804</v>
      </c>
      <c r="J434" s="121" t="str">
        <f t="array" ref="J434">IF(
UPPER(TRIM(CLEAN($O434)))="ENTREGADO",
IFERROR(
INDEX(REPORTE_DROPI!T:T,
MATCH($T434, REPORTE_DROPI!B:B, 0)
),
""
),
""
)
</f>
        <v/>
      </c>
      <c r="K434" s="118" t="str">
        <f t="array" ref="K434">IFERROR(
INDEX(REPORTE_DROPI!S:S,
MATCH($T434, REPORTE_DROPI!B:B, 0)
),
""
)</f>
        <v/>
      </c>
      <c r="L434" s="118" t="str">
        <f>IF(
  O434&lt;&gt;"DEVOLUCION",
  "",
  IF(
    T434="",
    "",
    SUMIF(DEVOLUCION!F:F, T434, DEVOLUCION!D:D)
  )
)
</f>
        <v/>
      </c>
      <c r="M434" s="118" t="s">
        <v>5877</v>
      </c>
      <c r="N434" s="169" t="s">
        <v>7138</v>
      </c>
      <c r="O434" s="118" t="str">
        <f t="array" ref="O434">IFERROR(
VLOOKUP(
TRIM(CLEAN(
INDEX(REPORTE_DROPI!K:K,
MATCH(T434, REPORTE_DROPI!B:B, 0)
))),
{
TRIM(CLEAN(MAPA_ESTADOS!A:A)) ,
MAPA_ESTADOS!B:B
},
2,
FALSE
),
"REVISAR"
)</f>
        <v>PENDIENTE</v>
      </c>
      <c r="P434" s="154" t="s">
        <v>6568</v>
      </c>
      <c r="Q434" s="153">
        <f t="shared" si="1"/>
        <v>0</v>
      </c>
      <c r="R434" s="172"/>
      <c r="S434" s="172"/>
      <c r="T434" s="118">
        <f t="array" ref="T434">IFERROR(
INDEX(REPORTE_DROPI!B:B,
MATCH(
CLEAN(TRIM(C434)),
CLEAN(TRIM(REPORTE_DROPI!E:E)),
0
)
),
""
)
</f>
        <v>4523436</v>
      </c>
      <c r="U434" s="169" t="s">
        <v>7139</v>
      </c>
      <c r="V434" s="166"/>
      <c r="W434" s="18"/>
      <c r="X434" s="18"/>
      <c r="Y434" s="18"/>
      <c r="Z434" s="18"/>
    </row>
    <row r="435" ht="22.5" hidden="1" customHeight="1">
      <c r="A435" s="169">
        <v>434.0</v>
      </c>
      <c r="B435" s="170">
        <v>46068.0</v>
      </c>
      <c r="C435" s="154" t="s">
        <v>7140</v>
      </c>
      <c r="D435" s="118" t="str">
        <f>IFERROR(__xludf.DUMMYFUNCTION("IFERROR( INDEX( FILTER( 'NOMBRE DE PRODUCTOS'!B:B, REGEXMATCH( UPPER( INDEX( REPORTE_DROPI!AC:AC, MATCH(T435, REPORTE_DROPI!B:B, 0) ) ), UPPER('NOMBRE DE PRODUCTOS'!A:A) ) ), 1 ), ""REVISAR"" )"),"Cuchillo Tazaki™")</f>
        <v>Cuchillo Tazaki™</v>
      </c>
      <c r="E435" s="120" t="str">
        <f t="array" ref="E435">IF(
UPPER(TRIM(CLEAN($O435)))="ENTREGADO",
IFERROR(
INDEX(REPORTE_DROPI!Y:Y,
MATCH($T435, REPORTE_DROPI!B:B, 0)
),
""
),
""
)
</f>
        <v/>
      </c>
      <c r="F435" s="171">
        <v>2.0</v>
      </c>
      <c r="G435" s="122" t="str">
        <f t="array" ref="G435">IF(
UPPER(TRIM(CLEAN($O435)))="ENTREGADO",
IFERROR(
INDEX(REPORTE_DROPI!R:R,
MATCH($T435, REPORTE_DROPI!B:B, 0)
),
""
),
""
)
</f>
        <v/>
      </c>
      <c r="H435" s="118" t="s">
        <v>3727</v>
      </c>
      <c r="I435" s="154" t="s">
        <v>3740</v>
      </c>
      <c r="J435" s="121" t="str">
        <f t="array" ref="J435">IF(
UPPER(TRIM(CLEAN($O435)))="ENTREGADO",
IFERROR(
INDEX(REPORTE_DROPI!T:T,
MATCH($T435, REPORTE_DROPI!B:B, 0)
),
""
),
""
)
</f>
        <v/>
      </c>
      <c r="K435" s="118" t="str">
        <f t="array" ref="K435">IFERROR(
INDEX(REPORTE_DROPI!S:S,
MATCH($T435, REPORTE_DROPI!B:B, 0)
),
""
)</f>
        <v/>
      </c>
      <c r="L435" s="118" t="str">
        <f>IF(
  O435&lt;&gt;"DEVOLUCION",
  "",
  IF(
    T435="",
    "",
    SUMIF(DEVOLUCION!F:F, T435, DEVOLUCION!D:D)
  )
)
</f>
        <v/>
      </c>
      <c r="M435" s="118" t="s">
        <v>5877</v>
      </c>
      <c r="N435" s="169" t="s">
        <v>7141</v>
      </c>
      <c r="O435" s="118" t="str">
        <f t="array" ref="O435">IFERROR(
VLOOKUP(
TRIM(CLEAN(
INDEX(REPORTE_DROPI!K:K,
MATCH(T435, REPORTE_DROPI!B:B, 0)
))),
{
TRIM(CLEAN(MAPA_ESTADOS!A:A)) ,
MAPA_ESTADOS!B:B
},
2,
FALSE
),
"REVISAR"
)</f>
        <v>PENDIENTE</v>
      </c>
      <c r="P435" s="154" t="s">
        <v>7142</v>
      </c>
      <c r="Q435" s="153">
        <f t="shared" si="1"/>
        <v>0</v>
      </c>
      <c r="R435" s="172"/>
      <c r="S435" s="172"/>
      <c r="T435" s="118">
        <f t="array" ref="T435">IFERROR(
INDEX(REPORTE_DROPI!B:B,
MATCH(
CLEAN(TRIM(C435)),
CLEAN(TRIM(REPORTE_DROPI!E:E)),
0
)
),
""
)
</f>
        <v>4523441</v>
      </c>
      <c r="U435" s="169" t="s">
        <v>7143</v>
      </c>
      <c r="V435" s="166"/>
      <c r="W435" s="18"/>
      <c r="X435" s="18"/>
      <c r="Y435" s="18"/>
      <c r="Z435" s="18"/>
    </row>
    <row r="436" ht="22.5" hidden="1" customHeight="1">
      <c r="A436" s="169">
        <v>435.0</v>
      </c>
      <c r="B436" s="170">
        <v>46068.0</v>
      </c>
      <c r="C436" s="154" t="s">
        <v>7144</v>
      </c>
      <c r="D436" s="118" t="str">
        <f>IFERROR(__xludf.DUMMYFUNCTION("IFERROR( INDEX( FILTER( 'NOMBRE DE PRODUCTOS'!B:B, REGEXMATCH( UPPER( INDEX( REPORTE_DROPI!AC:AC, MATCH(T436, REPORTE_DROPI!B:B, 0) ) ), UPPER('NOMBRE DE PRODUCTOS'!A:A) ) ), 1 ), ""REVISAR"" )"),"FilmPro®")</f>
        <v>FilmPro®</v>
      </c>
      <c r="E436" s="120" t="str">
        <f t="array" ref="E436">IF(
UPPER(TRIM(CLEAN($O436)))="ENTREGADO",
IFERROR(
INDEX(REPORTE_DROPI!Y:Y,
MATCH($T436, REPORTE_DROPI!B:B, 0)
),
""
),
""
)
</f>
        <v/>
      </c>
      <c r="F436" s="171">
        <v>2.0</v>
      </c>
      <c r="G436" s="122" t="str">
        <f t="array" ref="G436">IF(
UPPER(TRIM(CLEAN($O436)))="ENTREGADO",
IFERROR(
INDEX(REPORTE_DROPI!R:R,
MATCH($T436, REPORTE_DROPI!B:B, 0)
),
""
),
""
)
</f>
        <v/>
      </c>
      <c r="H436" s="118" t="s">
        <v>3727</v>
      </c>
      <c r="I436" s="154" t="s">
        <v>3740</v>
      </c>
      <c r="J436" s="121" t="str">
        <f t="array" ref="J436">IF(
UPPER(TRIM(CLEAN($O436)))="ENTREGADO",
IFERROR(
INDEX(REPORTE_DROPI!T:T,
MATCH($T436, REPORTE_DROPI!B:B, 0)
),
""
),
""
)
</f>
        <v/>
      </c>
      <c r="K436" s="118" t="str">
        <f t="array" ref="K436">IFERROR(
INDEX(REPORTE_DROPI!S:S,
MATCH($T436, REPORTE_DROPI!B:B, 0)
),
""
)</f>
        <v/>
      </c>
      <c r="L436" s="118">
        <f>IF(
  O436&lt;&gt;"DEVOLUCION",
  "",
  IF(
    T436="",
    "",
    SUMIF(DEVOLUCION!F:F, T436, DEVOLUCION!D:D)
  )
)
</f>
        <v>0</v>
      </c>
      <c r="M436" s="118" t="s">
        <v>5877</v>
      </c>
      <c r="N436" s="169" t="s">
        <v>7145</v>
      </c>
      <c r="O436" s="118" t="str">
        <f t="array" ref="O436">IFERROR(
VLOOKUP(
TRIM(CLEAN(
INDEX(REPORTE_DROPI!K:K,
MATCH(T436, REPORTE_DROPI!B:B, 0)
))),
{
TRIM(CLEAN(MAPA_ESTADOS!A:A)) ,
MAPA_ESTADOS!B:B
},
2,
FALSE
),
"REVISAR"
)</f>
        <v>DEVOLUCION</v>
      </c>
      <c r="P436" s="154" t="s">
        <v>5692</v>
      </c>
      <c r="Q436" s="153">
        <f t="shared" si="1"/>
        <v>0</v>
      </c>
      <c r="R436" s="172"/>
      <c r="S436" s="172"/>
      <c r="T436" s="118">
        <f t="array" ref="T436">IFERROR(
INDEX(REPORTE_DROPI!B:B,
MATCH(
CLEAN(TRIM(C436)),
CLEAN(TRIM(REPORTE_DROPI!E:E)),
0
)
),
""
)
</f>
        <v>4513454</v>
      </c>
      <c r="U436" s="169" t="s">
        <v>7146</v>
      </c>
      <c r="V436" s="166"/>
      <c r="W436" s="18"/>
      <c r="X436" s="18"/>
      <c r="Y436" s="18"/>
      <c r="Z436" s="18"/>
    </row>
    <row r="437" ht="22.5" hidden="1" customHeight="1">
      <c r="A437" s="169">
        <v>436.0</v>
      </c>
      <c r="B437" s="170">
        <v>46068.0</v>
      </c>
      <c r="C437" s="154" t="s">
        <v>7147</v>
      </c>
      <c r="D437" s="118" t="str">
        <f>IFERROR(__xludf.DUMMYFUNCTION("IFERROR( INDEX( FILTER( 'NOMBRE DE PRODUCTOS'!B:B, REGEXMATCH( UPPER( INDEX( REPORTE_DROPI!AC:AC, MATCH(T437, REPORTE_DROPI!B:B, 0) ) ), UPPER('NOMBRE DE PRODUCTOS'!A:A) ) ), 1 ), ""REVISAR"" )"),"Cuchillo Tazaki™")</f>
        <v>Cuchillo Tazaki™</v>
      </c>
      <c r="E437" s="120" t="str">
        <f t="array" ref="E437">IF(
UPPER(TRIM(CLEAN($O437)))="ENTREGADO",
IFERROR(
INDEX(REPORTE_DROPI!Y:Y,
MATCH($T437, REPORTE_DROPI!B:B, 0)
),
""
),
""
)
</f>
        <v/>
      </c>
      <c r="F437" s="171">
        <v>2.0</v>
      </c>
      <c r="G437" s="122" t="str">
        <f t="array" ref="G437">IF(
UPPER(TRIM(CLEAN($O437)))="ENTREGADO",
IFERROR(
INDEX(REPORTE_DROPI!R:R,
MATCH($T437, REPORTE_DROPI!B:B, 0)
),
""
),
""
)
</f>
        <v/>
      </c>
      <c r="H437" s="118" t="s">
        <v>3727</v>
      </c>
      <c r="I437" s="154" t="s">
        <v>3740</v>
      </c>
      <c r="J437" s="121" t="str">
        <f t="array" ref="J437">IF(
UPPER(TRIM(CLEAN($O437)))="ENTREGADO",
IFERROR(
INDEX(REPORTE_DROPI!T:T,
MATCH($T437, REPORTE_DROPI!B:B, 0)
),
""
),
""
)
</f>
        <v/>
      </c>
      <c r="K437" s="118" t="str">
        <f t="array" ref="K437">IFERROR(
INDEX(REPORTE_DROPI!S:S,
MATCH($T437, REPORTE_DROPI!B:B, 0)
),
""
)</f>
        <v/>
      </c>
      <c r="L437" s="118">
        <f>IF(
  O437&lt;&gt;"DEVOLUCION",
  "",
  IF(
    T437="",
    "",
    SUMIF(DEVOLUCION!F:F, T437, DEVOLUCION!D:D)
  )
)
</f>
        <v>0</v>
      </c>
      <c r="M437" s="118" t="s">
        <v>5877</v>
      </c>
      <c r="N437" s="169" t="s">
        <v>7148</v>
      </c>
      <c r="O437" s="118" t="str">
        <f t="array" ref="O437">IFERROR(
VLOOKUP(
TRIM(CLEAN(
INDEX(REPORTE_DROPI!K:K,
MATCH(T437, REPORTE_DROPI!B:B, 0)
))),
{
TRIM(CLEAN(MAPA_ESTADOS!A:A)) ,
MAPA_ESTADOS!B:B
},
2,
FALSE
),
"REVISAR"
)</f>
        <v>DEVOLUCION</v>
      </c>
      <c r="P437" s="154" t="s">
        <v>5692</v>
      </c>
      <c r="Q437" s="153">
        <f t="shared" si="1"/>
        <v>0</v>
      </c>
      <c r="R437" s="172"/>
      <c r="S437" s="172"/>
      <c r="T437" s="118">
        <v>4546406.0</v>
      </c>
      <c r="U437" s="169"/>
      <c r="V437" s="166"/>
      <c r="W437" s="18"/>
      <c r="X437" s="18"/>
      <c r="Y437" s="18"/>
      <c r="Z437" s="18"/>
    </row>
    <row r="438" ht="22.5" hidden="1" customHeight="1">
      <c r="A438" s="169">
        <v>437.0</v>
      </c>
      <c r="B438" s="170">
        <v>46068.0</v>
      </c>
      <c r="C438" s="154" t="s">
        <v>7149</v>
      </c>
      <c r="D438" s="118" t="str">
        <f>IFERROR(__xludf.DUMMYFUNCTION("IFERROR( INDEX( FILTER( 'NOMBRE DE PRODUCTOS'!B:B, REGEXMATCH( UPPER( INDEX( REPORTE_DROPI!AC:AC, MATCH(T438, REPORTE_DROPI!B:B, 0) ) ), UPPER('NOMBRE DE PRODUCTOS'!A:A) ) ), 1 ), ""REVISAR"" )"),"Cuchillo Tazaki™")</f>
        <v>Cuchillo Tazaki™</v>
      </c>
      <c r="E438" s="120">
        <f t="array" ref="E438">IF(
UPPER(TRIM(CLEAN($O438)))="ENTREGADO",
IFERROR(
INDEX(REPORTE_DROPI!Y:Y,
MATCH($T438, REPORTE_DROPI!B:B, 0)
),
""
),
""
)
</f>
        <v>7.5</v>
      </c>
      <c r="F438" s="171">
        <v>2.0</v>
      </c>
      <c r="G438" s="122">
        <f t="array" ref="G438">IF(
UPPER(TRIM(CLEAN($O438)))="ENTREGADO",
IFERROR(
INDEX(REPORTE_DROPI!R:R,
MATCH($T438, REPORTE_DROPI!B:B, 0)
),
""
),
""
)
</f>
        <v>22</v>
      </c>
      <c r="H438" s="118" t="s">
        <v>3727</v>
      </c>
      <c r="I438" s="154" t="s">
        <v>3740</v>
      </c>
      <c r="J438" s="121">
        <f t="array" ref="J438">IF(
UPPER(TRIM(CLEAN($O438)))="ENTREGADO",
IFERROR(
INDEX(REPORTE_DROPI!T:T,
MATCH($T438, REPORTE_DROPI!B:B, 0)
),
""
),
""
)
</f>
        <v>6.26</v>
      </c>
      <c r="K438" s="118">
        <f t="array" ref="K438">IFERROR(
INDEX(REPORTE_DROPI!S:S,
MATCH($T438, REPORTE_DROPI!B:B, 0)
),
""
)</f>
        <v>8.24</v>
      </c>
      <c r="L438" s="118" t="str">
        <f>IF(
  O438&lt;&gt;"DEVOLUCION",
  "",
  IF(
    T438="",
    "",
    SUMIF(DEVOLUCION!F:F, T438, DEVOLUCION!D:D)
  )
)
</f>
        <v/>
      </c>
      <c r="M438" s="118" t="s">
        <v>5877</v>
      </c>
      <c r="N438" s="169" t="s">
        <v>7150</v>
      </c>
      <c r="O438" s="118" t="str">
        <f t="array" ref="O438">IFERROR(
VLOOKUP(
TRIM(CLEAN(
INDEX(REPORTE_DROPI!K:K,
MATCH(T438, REPORTE_DROPI!B:B, 0)
))),
{
TRIM(CLEAN(MAPA_ESTADOS!A:A)) ,
MAPA_ESTADOS!B:B
},
2,
FALSE
),
"REVISAR"
)</f>
        <v>ENTREGADO</v>
      </c>
      <c r="P438" s="154" t="s">
        <v>5909</v>
      </c>
      <c r="Q438" s="153">
        <f t="shared" si="1"/>
        <v>0</v>
      </c>
      <c r="R438" s="172"/>
      <c r="S438" s="172"/>
      <c r="T438" s="118">
        <f t="array" ref="T438">IFERROR(
INDEX(REPORTE_DROPI!B:B,
MATCH(
CLEAN(TRIM(C438)),
CLEAN(TRIM(REPORTE_DROPI!E:E)),
0
)
),
""
)
</f>
        <v>4546452</v>
      </c>
      <c r="U438" s="169" t="s">
        <v>7151</v>
      </c>
      <c r="V438" s="166"/>
      <c r="W438" s="18"/>
      <c r="X438" s="18"/>
      <c r="Y438" s="18"/>
      <c r="Z438" s="18"/>
    </row>
    <row r="439" ht="22.5" hidden="1" customHeight="1">
      <c r="A439" s="169">
        <v>438.0</v>
      </c>
      <c r="B439" s="170">
        <v>46068.0</v>
      </c>
      <c r="C439" s="154" t="s">
        <v>7152</v>
      </c>
      <c r="D439" s="118" t="str">
        <f>IFERROR(__xludf.DUMMYFUNCTION("IFERROR( INDEX( FILTER( 'NOMBRE DE PRODUCTOS'!B:B, REGEXMATCH( UPPER( INDEX( REPORTE_DROPI!AC:AC, MATCH(T439, REPORTE_DROPI!B:B, 0) ) ), UPPER('NOMBRE DE PRODUCTOS'!A:A) ) ), 1 ), ""REVISAR"" )"),"Cuchillo Tazaki™")</f>
        <v>Cuchillo Tazaki™</v>
      </c>
      <c r="E439" s="120" t="str">
        <f t="array" ref="E439">IF(
UPPER(TRIM(CLEAN($O439)))="ENTREGADO",
IFERROR(
INDEX(REPORTE_DROPI!Y:Y,
MATCH($T439, REPORTE_DROPI!B:B, 0)
),
""
),
""
)
</f>
        <v/>
      </c>
      <c r="F439" s="171">
        <v>4.0</v>
      </c>
      <c r="G439" s="122" t="str">
        <f t="array" ref="G439">IF(
UPPER(TRIM(CLEAN($O439)))="ENTREGADO",
IFERROR(
INDEX(REPORTE_DROPI!R:R,
MATCH($T439, REPORTE_DROPI!B:B, 0)
),
""
),
""
)
</f>
        <v/>
      </c>
      <c r="H439" s="118" t="s">
        <v>3727</v>
      </c>
      <c r="I439" s="154" t="s">
        <v>3784</v>
      </c>
      <c r="J439" s="121" t="str">
        <f t="array" ref="J439">IF(
UPPER(TRIM(CLEAN($O439)))="ENTREGADO",
IFERROR(
INDEX(REPORTE_DROPI!T:T,
MATCH($T439, REPORTE_DROPI!B:B, 0)
),
""
),
""
)
</f>
        <v/>
      </c>
      <c r="K439" s="118" t="str">
        <f t="array" ref="K439">IFERROR(
INDEX(REPORTE_DROPI!S:S,
MATCH($T439, REPORTE_DROPI!B:B, 0)
),
""
)</f>
        <v/>
      </c>
      <c r="L439" s="118" t="str">
        <f>IF(
  O439&lt;&gt;"DEVOLUCION",
  "",
  IF(
    T439="",
    "",
    SUMIF(DEVOLUCION!F:F, T439, DEVOLUCION!D:D)
  )
)
</f>
        <v/>
      </c>
      <c r="M439" s="118" t="s">
        <v>5877</v>
      </c>
      <c r="N439" s="169" t="s">
        <v>7153</v>
      </c>
      <c r="O439" s="118" t="str">
        <f t="array" ref="O439">IFERROR(
VLOOKUP(
TRIM(CLEAN(
INDEX(REPORTE_DROPI!K:K,
MATCH(T439, REPORTE_DROPI!B:B, 0)
))),
{
TRIM(CLEAN(MAPA_ESTADOS!A:A)) ,
MAPA_ESTADOS!B:B
},
2,
FALSE
),
"REVISAR"
)</f>
        <v>PENDIENTE</v>
      </c>
      <c r="P439" s="154" t="s">
        <v>6473</v>
      </c>
      <c r="Q439" s="153">
        <f t="shared" si="1"/>
        <v>0</v>
      </c>
      <c r="R439" s="172"/>
      <c r="S439" s="172"/>
      <c r="T439" s="118">
        <f t="array" ref="T439">IFERROR(
INDEX(REPORTE_DROPI!B:B,
MATCH(
CLEAN(TRIM(C439)),
CLEAN(TRIM(REPORTE_DROPI!E:E)),
0
)
),
""
)
</f>
        <v>4523465</v>
      </c>
      <c r="U439" s="169" t="s">
        <v>7154</v>
      </c>
      <c r="V439" s="166"/>
      <c r="W439" s="18"/>
      <c r="X439" s="18"/>
      <c r="Y439" s="18"/>
      <c r="Z439" s="18"/>
    </row>
    <row r="440" ht="22.5" hidden="1" customHeight="1">
      <c r="A440" s="169">
        <v>439.0</v>
      </c>
      <c r="B440" s="170">
        <v>46068.0</v>
      </c>
      <c r="C440" s="154" t="s">
        <v>7155</v>
      </c>
      <c r="D440" s="118" t="str">
        <f>IFERROR(__xludf.DUMMYFUNCTION("IFERROR( INDEX( FILTER( 'NOMBRE DE PRODUCTOS'!B:B, REGEXMATCH( UPPER( INDEX( REPORTE_DROPI!AC:AC, MATCH(T440, REPORTE_DROPI!B:B, 0) ) ), UPPER('NOMBRE DE PRODUCTOS'!A:A) ) ), 1 ), ""REVISAR"" )"),"FilmPro®")</f>
        <v>FilmPro®</v>
      </c>
      <c r="E440" s="120" t="str">
        <f t="array" ref="E440">IF(
UPPER(TRIM(CLEAN($O440)))="ENTREGADO",
IFERROR(
INDEX(REPORTE_DROPI!Y:Y,
MATCH($T440, REPORTE_DROPI!B:B, 0)
),
""
),
""
)
</f>
        <v/>
      </c>
      <c r="F440" s="171">
        <v>2.0</v>
      </c>
      <c r="G440" s="122" t="str">
        <f t="array" ref="G440">IF(
UPPER(TRIM(CLEAN($O440)))="ENTREGADO",
IFERROR(
INDEX(REPORTE_DROPI!R:R,
MATCH($T440, REPORTE_DROPI!B:B, 0)
),
""
),
""
)
</f>
        <v/>
      </c>
      <c r="H440" s="118" t="s">
        <v>3727</v>
      </c>
      <c r="I440" s="154" t="s">
        <v>3759</v>
      </c>
      <c r="J440" s="121" t="str">
        <f t="array" ref="J440">IF(
UPPER(TRIM(CLEAN($O440)))="ENTREGADO",
IFERROR(
INDEX(REPORTE_DROPI!T:T,
MATCH($T440, REPORTE_DROPI!B:B, 0)
),
""
),
""
)
</f>
        <v/>
      </c>
      <c r="K440" s="118" t="str">
        <f t="array" ref="K440">IFERROR(
INDEX(REPORTE_DROPI!S:S,
MATCH($T440, REPORTE_DROPI!B:B, 0)
),
""
)</f>
        <v/>
      </c>
      <c r="L440" s="118" t="str">
        <f>IF(
  O440&lt;&gt;"DEVOLUCION",
  "",
  IF(
    T440="",
    "",
    SUMIF(DEVOLUCION!F:F, T440, DEVOLUCION!D:D)
  )
)
</f>
        <v/>
      </c>
      <c r="M440" s="118" t="s">
        <v>5877</v>
      </c>
      <c r="N440" s="169" t="s">
        <v>7156</v>
      </c>
      <c r="O440" s="118" t="str">
        <f t="array" ref="O440">IFERROR(
VLOOKUP(
TRIM(CLEAN(
INDEX(REPORTE_DROPI!K:K,
MATCH(T440, REPORTE_DROPI!B:B, 0)
))),
{
TRIM(CLEAN(MAPA_ESTADOS!A:A)) ,
MAPA_ESTADOS!B:B
},
2,
FALSE
),
"REVISAR"
)</f>
        <v>CANCELADO</v>
      </c>
      <c r="P440" s="154" t="s">
        <v>7157</v>
      </c>
      <c r="Q440" s="153">
        <f t="shared" si="1"/>
        <v>0</v>
      </c>
      <c r="R440" s="172"/>
      <c r="S440" s="172"/>
      <c r="T440" s="118">
        <f t="array" ref="T440">IFERROR(
INDEX(REPORTE_DROPI!B:B,
MATCH(
CLEAN(TRIM(C440)),
CLEAN(TRIM(REPORTE_DROPI!E:E)),
0
)
),
""
)
</f>
        <v>4513664</v>
      </c>
      <c r="U440" s="169" t="s">
        <v>7158</v>
      </c>
      <c r="V440" s="166"/>
      <c r="W440" s="18"/>
      <c r="X440" s="18"/>
      <c r="Y440" s="18"/>
      <c r="Z440" s="18"/>
    </row>
    <row r="441" ht="22.5" hidden="1" customHeight="1">
      <c r="A441" s="169">
        <v>440.0</v>
      </c>
      <c r="B441" s="170">
        <v>46068.0</v>
      </c>
      <c r="C441" s="154" t="s">
        <v>7159</v>
      </c>
      <c r="D441" s="118" t="str">
        <f>IFERROR(__xludf.DUMMYFUNCTION("IFERROR( INDEX( FILTER( 'NOMBRE DE PRODUCTOS'!B:B, REGEXMATCH( UPPER( INDEX( REPORTE_DROPI!AC:AC, MATCH(T441, REPORTE_DROPI!B:B, 0) ) ), UPPER('NOMBRE DE PRODUCTOS'!A:A) ) ), 1 ), ""REVISAR"" )"),"FilmPro®")</f>
        <v>FilmPro®</v>
      </c>
      <c r="E441" s="120">
        <f t="array" ref="E441">IF(
UPPER(TRIM(CLEAN($O441)))="ENTREGADO",
IFERROR(
INDEX(REPORTE_DROPI!Y:Y,
MATCH($T441, REPORTE_DROPI!B:B, 0)
),
""
),
""
)
</f>
        <v>7.2</v>
      </c>
      <c r="F441" s="171">
        <v>3.0</v>
      </c>
      <c r="G441" s="122">
        <f t="array" ref="G441">IF(
UPPER(TRIM(CLEAN($O441)))="ENTREGADO",
IFERROR(
INDEX(REPORTE_DROPI!R:R,
MATCH($T441, REPORTE_DROPI!B:B, 0)
),
""
),
""
)
</f>
        <v>30</v>
      </c>
      <c r="H441" s="118" t="s">
        <v>3727</v>
      </c>
      <c r="I441" s="154" t="s">
        <v>3731</v>
      </c>
      <c r="J441" s="121">
        <f t="array" ref="J441">IF(
UPPER(TRIM(CLEAN($O441)))="ENTREGADO",
IFERROR(
INDEX(REPORTE_DROPI!T:T,
MATCH($T441, REPORTE_DROPI!B:B, 0)
),
""
),
""
)
</f>
        <v>6.16</v>
      </c>
      <c r="K441" s="118">
        <f t="array" ref="K441">IFERROR(
INDEX(REPORTE_DROPI!S:S,
MATCH($T441, REPORTE_DROPI!B:B, 0)
),
""
)</f>
        <v>16.64</v>
      </c>
      <c r="L441" s="118" t="str">
        <f>IF(
  O441&lt;&gt;"DEVOLUCION",
  "",
  IF(
    T441="",
    "",
    SUMIF(DEVOLUCION!F:F, T441, DEVOLUCION!D:D)
  )
)
</f>
        <v/>
      </c>
      <c r="M441" s="118" t="s">
        <v>5877</v>
      </c>
      <c r="N441" s="169" t="s">
        <v>7160</v>
      </c>
      <c r="O441" s="118" t="str">
        <f t="array" ref="O441">IFERROR(
VLOOKUP(
TRIM(CLEAN(
INDEX(REPORTE_DROPI!K:K,
MATCH(T441, REPORTE_DROPI!B:B, 0)
))),
{
TRIM(CLEAN(MAPA_ESTADOS!A:A)) ,
MAPA_ESTADOS!B:B
},
2,
FALSE
),
"REVISAR"
)</f>
        <v>ENTREGADO</v>
      </c>
      <c r="P441" s="154" t="s">
        <v>5692</v>
      </c>
      <c r="Q441" s="153">
        <f t="shared" si="1"/>
        <v>0</v>
      </c>
      <c r="R441" s="172"/>
      <c r="S441" s="172"/>
      <c r="T441" s="118">
        <f t="array" ref="T441">IFERROR(
INDEX(REPORTE_DROPI!B:B,
MATCH(
CLEAN(TRIM(C441)),
CLEAN(TRIM(REPORTE_DROPI!E:E)),
0
)
),
""
)
</f>
        <v>4513873</v>
      </c>
      <c r="U441" s="169" t="s">
        <v>7161</v>
      </c>
      <c r="V441" s="166"/>
      <c r="W441" s="18"/>
      <c r="X441" s="18"/>
      <c r="Y441" s="18"/>
      <c r="Z441" s="18"/>
    </row>
    <row r="442" ht="22.5" hidden="1" customHeight="1">
      <c r="A442" s="169">
        <v>441.0</v>
      </c>
      <c r="B442" s="170">
        <v>46068.0</v>
      </c>
      <c r="C442" s="154" t="s">
        <v>7162</v>
      </c>
      <c r="D442" s="118" t="str">
        <f>IFERROR(__xludf.DUMMYFUNCTION("IFERROR( INDEX( FILTER( 'NOMBRE DE PRODUCTOS'!B:B, REGEXMATCH( UPPER( INDEX( REPORTE_DROPI!AC:AC, MATCH(T442, REPORTE_DROPI!B:B, 0) ) ), UPPER('NOMBRE DE PRODUCTOS'!A:A) ) ), 1 ), ""REVISAR"" )"),"FilmPro®")</f>
        <v>FilmPro®</v>
      </c>
      <c r="E442" s="120">
        <f t="array" ref="E442">IF(
UPPER(TRIM(CLEAN($O442)))="ENTREGADO",
IFERROR(
INDEX(REPORTE_DROPI!Y:Y,
MATCH($T442, REPORTE_DROPI!B:B, 0)
),
""
),
""
)
</f>
        <v>7.2</v>
      </c>
      <c r="F442" s="171">
        <v>3.0</v>
      </c>
      <c r="G442" s="122">
        <f t="array" ref="G442">IF(
UPPER(TRIM(CLEAN($O442)))="ENTREGADO",
IFERROR(
INDEX(REPORTE_DROPI!R:R,
MATCH($T442, REPORTE_DROPI!B:B, 0)
),
""
),
""
)
</f>
        <v>30</v>
      </c>
      <c r="H442" s="118" t="s">
        <v>3727</v>
      </c>
      <c r="I442" s="154" t="s">
        <v>3784</v>
      </c>
      <c r="J442" s="121">
        <f t="array" ref="J442">IF(
UPPER(TRIM(CLEAN($O442)))="ENTREGADO",
IFERROR(
INDEX(REPORTE_DROPI!T:T,
MATCH($T442, REPORTE_DROPI!B:B, 0)
),
""
),
""
)
</f>
        <v>6.16</v>
      </c>
      <c r="K442" s="118">
        <f t="array" ref="K442">IFERROR(
INDEX(REPORTE_DROPI!S:S,
MATCH($T442, REPORTE_DROPI!B:B, 0)
),
""
)</f>
        <v>16.64</v>
      </c>
      <c r="L442" s="118" t="str">
        <f>IF(
  O442&lt;&gt;"DEVOLUCION",
  "",
  IF(
    T442="",
    "",
    SUMIF(DEVOLUCION!F:F, T442, DEVOLUCION!D:D)
  )
)
</f>
        <v/>
      </c>
      <c r="M442" s="118" t="s">
        <v>5877</v>
      </c>
      <c r="N442" s="169" t="s">
        <v>7163</v>
      </c>
      <c r="O442" s="118" t="str">
        <f t="array" ref="O442">IFERROR(
VLOOKUP(
TRIM(CLEAN(
INDEX(REPORTE_DROPI!K:K,
MATCH(T442, REPORTE_DROPI!B:B, 0)
))),
{
TRIM(CLEAN(MAPA_ESTADOS!A:A)) ,
MAPA_ESTADOS!B:B
},
2,
FALSE
),
"REVISAR"
)</f>
        <v>ENTREGADO</v>
      </c>
      <c r="P442" s="154" t="s">
        <v>5692</v>
      </c>
      <c r="Q442" s="153">
        <f t="shared" si="1"/>
        <v>0</v>
      </c>
      <c r="R442" s="172"/>
      <c r="S442" s="172"/>
      <c r="T442" s="118">
        <f t="array" ref="T442">IFERROR(
INDEX(REPORTE_DROPI!B:B,
MATCH(
CLEAN(TRIM(C442)),
CLEAN(TRIM(REPORTE_DROPI!E:E)),
0
)
),
""
)
</f>
        <v>4513942</v>
      </c>
      <c r="U442" s="169" t="s">
        <v>7164</v>
      </c>
      <c r="V442" s="166"/>
      <c r="W442" s="18"/>
      <c r="X442" s="18"/>
      <c r="Y442" s="18"/>
      <c r="Z442" s="18"/>
    </row>
    <row r="443" ht="22.5" hidden="1" customHeight="1">
      <c r="A443" s="169">
        <v>442.0</v>
      </c>
      <c r="B443" s="170">
        <v>46068.0</v>
      </c>
      <c r="C443" s="154" t="s">
        <v>7165</v>
      </c>
      <c r="D443" s="118" t="str">
        <f>IFERROR(__xludf.DUMMYFUNCTION("IFERROR( INDEX( FILTER( 'NOMBRE DE PRODUCTOS'!B:B, REGEXMATCH( UPPER( INDEX( REPORTE_DROPI!AC:AC, MATCH(T443, REPORTE_DROPI!B:B, 0) ) ), UPPER('NOMBRE DE PRODUCTOS'!A:A) ) ), 1 ), ""REVISAR"" )"),"Cuchillo Tazaki™")</f>
        <v>Cuchillo Tazaki™</v>
      </c>
      <c r="E443" s="120" t="str">
        <f t="array" ref="E443">IF(
UPPER(TRIM(CLEAN($O443)))="ENTREGADO",
IFERROR(
INDEX(REPORTE_DROPI!Y:Y,
MATCH($T443, REPORTE_DROPI!B:B, 0)
),
""
),
""
)
</f>
        <v/>
      </c>
      <c r="F443" s="171">
        <v>3.0</v>
      </c>
      <c r="G443" s="122" t="str">
        <f t="array" ref="G443">IF(
UPPER(TRIM(CLEAN($O443)))="ENTREGADO",
IFERROR(
INDEX(REPORTE_DROPI!R:R,
MATCH($T443, REPORTE_DROPI!B:B, 0)
),
""
),
""
)
</f>
        <v/>
      </c>
      <c r="H443" s="118" t="s">
        <v>3727</v>
      </c>
      <c r="I443" s="154" t="s">
        <v>3778</v>
      </c>
      <c r="J443" s="121" t="str">
        <f t="array" ref="J443">IF(
UPPER(TRIM(CLEAN($O443)))="ENTREGADO",
IFERROR(
INDEX(REPORTE_DROPI!T:T,
MATCH($T443, REPORTE_DROPI!B:B, 0)
),
""
),
""
)
</f>
        <v/>
      </c>
      <c r="K443" s="118" t="str">
        <f t="array" ref="K443">IFERROR(
INDEX(REPORTE_DROPI!S:S,
MATCH($T443, REPORTE_DROPI!B:B, 0)
),
""
)</f>
        <v/>
      </c>
      <c r="L443" s="118" t="str">
        <f>IF(
  O443&lt;&gt;"DEVOLUCION",
  "",
  IF(
    T443="",
    "",
    SUMIF(DEVOLUCION!F:F, T443, DEVOLUCION!D:D)
  )
)
</f>
        <v/>
      </c>
      <c r="M443" s="118" t="s">
        <v>5877</v>
      </c>
      <c r="N443" s="169" t="s">
        <v>7166</v>
      </c>
      <c r="O443" s="118" t="str">
        <f t="array" ref="O443">IFERROR(
VLOOKUP(
TRIM(CLEAN(
INDEX(REPORTE_DROPI!K:K,
MATCH(T443, REPORTE_DROPI!B:B, 0)
))),
{
TRIM(CLEAN(MAPA_ESTADOS!A:A)) ,
MAPA_ESTADOS!B:B
},
2,
FALSE
),
"REVISAR"
)</f>
        <v>CANCELADO</v>
      </c>
      <c r="P443" s="154" t="s">
        <v>7084</v>
      </c>
      <c r="Q443" s="153">
        <f t="shared" si="1"/>
        <v>0</v>
      </c>
      <c r="R443" s="172"/>
      <c r="S443" s="172"/>
      <c r="T443" s="118">
        <f t="array" ref="T443">IFERROR(
INDEX(REPORTE_DROPI!B:B,
MATCH(
CLEAN(TRIM(C443)),
CLEAN(TRIM(REPORTE_DROPI!E:E)),
0
)
),
""
)
</f>
        <v>4523471</v>
      </c>
      <c r="U443" s="169" t="s">
        <v>7167</v>
      </c>
      <c r="V443" s="166"/>
      <c r="W443" s="18"/>
      <c r="X443" s="18"/>
      <c r="Y443" s="18"/>
      <c r="Z443" s="18"/>
    </row>
    <row r="444" ht="22.5" hidden="1" customHeight="1">
      <c r="A444" s="169">
        <v>443.0</v>
      </c>
      <c r="B444" s="170">
        <v>46068.0</v>
      </c>
      <c r="C444" s="154" t="s">
        <v>7168</v>
      </c>
      <c r="D444" s="118" t="str">
        <f>IFERROR(__xludf.DUMMYFUNCTION("IFERROR( INDEX( FILTER( 'NOMBRE DE PRODUCTOS'!B:B, REGEXMATCH( UPPER( INDEX( REPORTE_DROPI!AC:AC, MATCH(T444, REPORTE_DROPI!B:B, 0) ) ), UPPER('NOMBRE DE PRODUCTOS'!A:A) ) ), 1 ), ""REVISAR"" )"),"FilmPro®")</f>
        <v>FilmPro®</v>
      </c>
      <c r="E444" s="120" t="str">
        <f t="array" ref="E444">IF(
UPPER(TRIM(CLEAN($O444)))="ENTREGADO",
IFERROR(
INDEX(REPORTE_DROPI!Y:Y,
MATCH($T444, REPORTE_DROPI!B:B, 0)
),
""
),
""
)
</f>
        <v/>
      </c>
      <c r="F444" s="171">
        <v>1.0</v>
      </c>
      <c r="G444" s="122" t="str">
        <f t="array" ref="G444">IF(
UPPER(TRIM(CLEAN($O444)))="ENTREGADO",
IFERROR(
INDEX(REPORTE_DROPI!R:R,
MATCH($T444, REPORTE_DROPI!B:B, 0)
),
""
),
""
)
</f>
        <v/>
      </c>
      <c r="H444" s="118" t="s">
        <v>3727</v>
      </c>
      <c r="I444" s="154" t="s">
        <v>3728</v>
      </c>
      <c r="J444" s="121" t="str">
        <f t="array" ref="J444">IF(
UPPER(TRIM(CLEAN($O444)))="ENTREGADO",
IFERROR(
INDEX(REPORTE_DROPI!T:T,
MATCH($T444, REPORTE_DROPI!B:B, 0)
),
""
),
""
)
</f>
        <v/>
      </c>
      <c r="K444" s="118" t="str">
        <f t="array" ref="K444">IFERROR(
INDEX(REPORTE_DROPI!S:S,
MATCH($T444, REPORTE_DROPI!B:B, 0)
),
""
)</f>
        <v/>
      </c>
      <c r="L444" s="118" t="str">
        <f>IF(
  O444&lt;&gt;"DEVOLUCION",
  "",
  IF(
    T444="",
    "",
    SUMIF(DEVOLUCION!F:F, T444, DEVOLUCION!D:D)
  )
)
</f>
        <v/>
      </c>
      <c r="M444" s="118" t="s">
        <v>5877</v>
      </c>
      <c r="N444" s="169" t="s">
        <v>7169</v>
      </c>
      <c r="O444" s="118" t="str">
        <f t="array" ref="O444">IFERROR(
VLOOKUP(
TRIM(CLEAN(
INDEX(REPORTE_DROPI!K:K,
MATCH(T444, REPORTE_DROPI!B:B, 0)
))),
{
TRIM(CLEAN(MAPA_ESTADOS!A:A)) ,
MAPA_ESTADOS!B:B
},
2,
FALSE
),
"REVISAR"
)</f>
        <v>PENDIENTE</v>
      </c>
      <c r="P444" s="154" t="s">
        <v>6568</v>
      </c>
      <c r="Q444" s="153">
        <f t="shared" si="1"/>
        <v>0</v>
      </c>
      <c r="R444" s="172"/>
      <c r="S444" s="172"/>
      <c r="T444" s="118">
        <f t="array" ref="T444">IFERROR(
INDEX(REPORTE_DROPI!B:B,
MATCH(
CLEAN(TRIM(C444)),
CLEAN(TRIM(REPORTE_DROPI!E:E)),
0
)
),
""
)
</f>
        <v>4514052</v>
      </c>
      <c r="U444" s="169" t="s">
        <v>7170</v>
      </c>
      <c r="V444" s="166"/>
      <c r="W444" s="18"/>
      <c r="X444" s="18"/>
      <c r="Y444" s="18"/>
      <c r="Z444" s="18"/>
    </row>
    <row r="445" ht="22.5" hidden="1" customHeight="1">
      <c r="A445" s="169">
        <v>444.0</v>
      </c>
      <c r="B445" s="170">
        <v>46068.0</v>
      </c>
      <c r="C445" s="154" t="s">
        <v>7171</v>
      </c>
      <c r="D445" s="118" t="str">
        <f>IFERROR(__xludf.DUMMYFUNCTION("IFERROR( INDEX( FILTER( 'NOMBRE DE PRODUCTOS'!B:B, REGEXMATCH( UPPER( INDEX( REPORTE_DROPI!AC:AC, MATCH(T445, REPORTE_DROPI!B:B, 0) ) ), UPPER('NOMBRE DE PRODUCTOS'!A:A) ) ), 1 ), ""REVISAR"" )"),"FilmPro®")</f>
        <v>FilmPro®</v>
      </c>
      <c r="E445" s="120" t="str">
        <f t="array" ref="E445">IF(
UPPER(TRIM(CLEAN($O445)))="ENTREGADO",
IFERROR(
INDEX(REPORTE_DROPI!Y:Y,
MATCH($T445, REPORTE_DROPI!B:B, 0)
),
""
),
""
)
</f>
        <v/>
      </c>
      <c r="F445" s="171">
        <v>2.0</v>
      </c>
      <c r="G445" s="122" t="str">
        <f t="array" ref="G445">IF(
UPPER(TRIM(CLEAN($O445)))="ENTREGADO",
IFERROR(
INDEX(REPORTE_DROPI!R:R,
MATCH($T445, REPORTE_DROPI!B:B, 0)
),
""
),
""
)
</f>
        <v/>
      </c>
      <c r="H445" s="118" t="s">
        <v>3727</v>
      </c>
      <c r="I445" s="154" t="s">
        <v>3731</v>
      </c>
      <c r="J445" s="121" t="str">
        <f t="array" ref="J445">IF(
UPPER(TRIM(CLEAN($O445)))="ENTREGADO",
IFERROR(
INDEX(REPORTE_DROPI!T:T,
MATCH($T445, REPORTE_DROPI!B:B, 0)
),
""
),
""
)
</f>
        <v/>
      </c>
      <c r="K445" s="118" t="str">
        <f t="array" ref="K445">IFERROR(
INDEX(REPORTE_DROPI!S:S,
MATCH($T445, REPORTE_DROPI!B:B, 0)
),
""
)</f>
        <v/>
      </c>
      <c r="L445" s="118" t="str">
        <f>IF(
  O445&lt;&gt;"DEVOLUCION",
  "",
  IF(
    T445="",
    "",
    SUMIF(DEVOLUCION!F:F, T445, DEVOLUCION!D:D)
  )
)
</f>
        <v/>
      </c>
      <c r="M445" s="118" t="s">
        <v>5877</v>
      </c>
      <c r="N445" s="169" t="s">
        <v>7172</v>
      </c>
      <c r="O445" s="118" t="str">
        <f t="array" ref="O445">IFERROR(
VLOOKUP(
TRIM(CLEAN(
INDEX(REPORTE_DROPI!K:K,
MATCH(T445, REPORTE_DROPI!B:B, 0)
))),
{
TRIM(CLEAN(MAPA_ESTADOS!A:A)) ,
MAPA_ESTADOS!B:B
},
2,
FALSE
),
"REVISAR"
)</f>
        <v>PENDIENTE</v>
      </c>
      <c r="P445" s="154" t="s">
        <v>6494</v>
      </c>
      <c r="Q445" s="153">
        <f t="shared" si="1"/>
        <v>0</v>
      </c>
      <c r="R445" s="172"/>
      <c r="S445" s="172"/>
      <c r="T445" s="118">
        <f t="array" ref="T445">IFERROR(
INDEX(REPORTE_DROPI!B:B,
MATCH(
CLEAN(TRIM(C445)),
CLEAN(TRIM(REPORTE_DROPI!E:E)),
0
)
),
""
)
</f>
        <v>4514094</v>
      </c>
      <c r="U445" s="169" t="s">
        <v>7173</v>
      </c>
      <c r="V445" s="166"/>
      <c r="W445" s="18"/>
      <c r="X445" s="18"/>
      <c r="Y445" s="18"/>
      <c r="Z445" s="18"/>
    </row>
    <row r="446" ht="22.5" hidden="1" customHeight="1">
      <c r="A446" s="169">
        <v>445.0</v>
      </c>
      <c r="B446" s="170">
        <v>46068.0</v>
      </c>
      <c r="C446" s="154" t="s">
        <v>7174</v>
      </c>
      <c r="D446" s="118" t="str">
        <f>IFERROR(__xludf.DUMMYFUNCTION("IFERROR( INDEX( FILTER( 'NOMBRE DE PRODUCTOS'!B:B, REGEXMATCH( UPPER( INDEX( REPORTE_DROPI!AC:AC, MATCH(T446, REPORTE_DROPI!B:B, 0) ) ), UPPER('NOMBRE DE PRODUCTOS'!A:A) ) ), 1 ), ""REVISAR"" )"),"FilmPro®")</f>
        <v>FilmPro®</v>
      </c>
      <c r="E446" s="120" t="str">
        <f t="array" ref="E446">IF(
UPPER(TRIM(CLEAN($O446)))="ENTREGADO",
IFERROR(
INDEX(REPORTE_DROPI!Y:Y,
MATCH($T446, REPORTE_DROPI!B:B, 0)
),
""
),
""
)
</f>
        <v/>
      </c>
      <c r="F446" s="171">
        <v>1.0</v>
      </c>
      <c r="G446" s="122" t="str">
        <f t="array" ref="G446">IF(
UPPER(TRIM(CLEAN($O446)))="ENTREGADO",
IFERROR(
INDEX(REPORTE_DROPI!R:R,
MATCH($T446, REPORTE_DROPI!B:B, 0)
),
""
),
""
)
</f>
        <v/>
      </c>
      <c r="H446" s="118" t="s">
        <v>3727</v>
      </c>
      <c r="I446" s="154" t="s">
        <v>3740</v>
      </c>
      <c r="J446" s="121" t="str">
        <f t="array" ref="J446">IF(
UPPER(TRIM(CLEAN($O446)))="ENTREGADO",
IFERROR(
INDEX(REPORTE_DROPI!T:T,
MATCH($T446, REPORTE_DROPI!B:B, 0)
),
""
),
""
)
</f>
        <v/>
      </c>
      <c r="K446" s="118" t="str">
        <f t="array" ref="K446">IFERROR(
INDEX(REPORTE_DROPI!S:S,
MATCH($T446, REPORTE_DROPI!B:B, 0)
),
""
)</f>
        <v/>
      </c>
      <c r="L446" s="118" t="str">
        <f>IF(
  O446&lt;&gt;"DEVOLUCION",
  "",
  IF(
    T446="",
    "",
    SUMIF(DEVOLUCION!F:F, T446, DEVOLUCION!D:D)
  )
)
</f>
        <v/>
      </c>
      <c r="M446" s="118" t="s">
        <v>5877</v>
      </c>
      <c r="N446" s="169" t="s">
        <v>7175</v>
      </c>
      <c r="O446" s="118" t="str">
        <f t="array" ref="O446">IFERROR(
VLOOKUP(
TRIM(CLEAN(
INDEX(REPORTE_DROPI!K:K,
MATCH(T446, REPORTE_DROPI!B:B, 0)
))),
{
TRIM(CLEAN(MAPA_ESTADOS!A:A)) ,
MAPA_ESTADOS!B:B
},
2,
FALSE
),
"REVISAR"
)</f>
        <v>CANCELADO</v>
      </c>
      <c r="P446" s="154" t="s">
        <v>7176</v>
      </c>
      <c r="Q446" s="153">
        <f t="shared" si="1"/>
        <v>0</v>
      </c>
      <c r="R446" s="172"/>
      <c r="S446" s="172"/>
      <c r="T446" s="118">
        <f t="array" ref="T446">IFERROR(
INDEX(REPORTE_DROPI!B:B,
MATCH(
CLEAN(TRIM(C446)),
CLEAN(TRIM(REPORTE_DROPI!E:E)),
0
)
),
""
)
</f>
        <v>4514188</v>
      </c>
      <c r="U446" s="169" t="s">
        <v>7177</v>
      </c>
      <c r="V446" s="166"/>
      <c r="W446" s="18"/>
      <c r="X446" s="18"/>
      <c r="Y446" s="18"/>
      <c r="Z446" s="18"/>
    </row>
    <row r="447" ht="22.5" hidden="1" customHeight="1">
      <c r="A447" s="169">
        <v>446.0</v>
      </c>
      <c r="B447" s="170">
        <v>46068.0</v>
      </c>
      <c r="C447" s="154" t="s">
        <v>7178</v>
      </c>
      <c r="D447" s="118" t="str">
        <f>IFERROR(__xludf.DUMMYFUNCTION("IFERROR( INDEX( FILTER( 'NOMBRE DE PRODUCTOS'!B:B, REGEXMATCH( UPPER( INDEX( REPORTE_DROPI!AC:AC, MATCH(T447, REPORTE_DROPI!B:B, 0) ) ), UPPER('NOMBRE DE PRODUCTOS'!A:A) ) ), 1 ), ""REVISAR"" )"),"FilmPro®")</f>
        <v>FilmPro®</v>
      </c>
      <c r="E447" s="120" t="str">
        <f t="array" ref="E447">IF(
UPPER(TRIM(CLEAN($O447)))="ENTREGADO",
IFERROR(
INDEX(REPORTE_DROPI!Y:Y,
MATCH($T447, REPORTE_DROPI!B:B, 0)
),
""
),
""
)
</f>
        <v/>
      </c>
      <c r="F447" s="171">
        <v>3.0</v>
      </c>
      <c r="G447" s="122" t="str">
        <f t="array" ref="G447">IF(
UPPER(TRIM(CLEAN($O447)))="ENTREGADO",
IFERROR(
INDEX(REPORTE_DROPI!R:R,
MATCH($T447, REPORTE_DROPI!B:B, 0)
),
""
),
""
)
</f>
        <v/>
      </c>
      <c r="H447" s="118" t="s">
        <v>3727</v>
      </c>
      <c r="I447" s="154" t="s">
        <v>3740</v>
      </c>
      <c r="J447" s="121" t="str">
        <f t="array" ref="J447">IF(
UPPER(TRIM(CLEAN($O447)))="ENTREGADO",
IFERROR(
INDEX(REPORTE_DROPI!T:T,
MATCH($T447, REPORTE_DROPI!B:B, 0)
),
""
),
""
)
</f>
        <v/>
      </c>
      <c r="K447" s="118" t="str">
        <f t="array" ref="K447">IFERROR(
INDEX(REPORTE_DROPI!S:S,
MATCH($T447, REPORTE_DROPI!B:B, 0)
),
""
)</f>
        <v/>
      </c>
      <c r="L447" s="118">
        <f>IF(
  O447&lt;&gt;"DEVOLUCION",
  "",
  IF(
    T447="",
    "",
    SUMIF(DEVOLUCION!F:F, T447, DEVOLUCION!D:D)
  )
)
</f>
        <v>0</v>
      </c>
      <c r="M447" s="118" t="s">
        <v>5877</v>
      </c>
      <c r="N447" s="169" t="s">
        <v>7179</v>
      </c>
      <c r="O447" s="118" t="str">
        <f t="array" ref="O447">IFERROR(
VLOOKUP(
TRIM(CLEAN(
INDEX(REPORTE_DROPI!K:K,
MATCH(T447, REPORTE_DROPI!B:B, 0)
))),
{
TRIM(CLEAN(MAPA_ESTADOS!A:A)) ,
MAPA_ESTADOS!B:B
},
2,
FALSE
),
"REVISAR"
)</f>
        <v>DEVOLUCION</v>
      </c>
      <c r="P447" s="154" t="s">
        <v>6666</v>
      </c>
      <c r="Q447" s="153">
        <f t="shared" si="1"/>
        <v>0</v>
      </c>
      <c r="R447" s="172"/>
      <c r="S447" s="172"/>
      <c r="T447" s="118">
        <f t="array" ref="T447">IFERROR(
INDEX(REPORTE_DROPI!B:B,
MATCH(
CLEAN(TRIM(C447)),
CLEAN(TRIM(REPORTE_DROPI!E:E)),
0
)
),
""
)
</f>
        <v>4514381</v>
      </c>
      <c r="U447" s="169" t="s">
        <v>7180</v>
      </c>
      <c r="V447" s="166"/>
      <c r="W447" s="18"/>
      <c r="X447" s="18"/>
      <c r="Y447" s="18"/>
      <c r="Z447" s="18"/>
    </row>
    <row r="448" ht="22.5" hidden="1" customHeight="1">
      <c r="A448" s="169">
        <v>447.0</v>
      </c>
      <c r="B448" s="170">
        <v>46068.0</v>
      </c>
      <c r="C448" s="154" t="s">
        <v>7181</v>
      </c>
      <c r="D448" s="118" t="str">
        <f>IFERROR(__xludf.DUMMYFUNCTION("IFERROR( INDEX( FILTER( 'NOMBRE DE PRODUCTOS'!B:B, REGEXMATCH( UPPER( INDEX( REPORTE_DROPI!AC:AC, MATCH(T448, REPORTE_DROPI!B:B, 0) ) ), UPPER('NOMBRE DE PRODUCTOS'!A:A) ) ), 1 ), ""REVISAR"" )"),"FilmPro®")</f>
        <v>FilmPro®</v>
      </c>
      <c r="E448" s="120">
        <f t="array" ref="E448">IF(
UPPER(TRIM(CLEAN($O448)))="ENTREGADO",
IFERROR(
INDEX(REPORTE_DROPI!Y:Y,
MATCH($T448, REPORTE_DROPI!B:B, 0)
),
""
),
""
)
</f>
        <v>7.2</v>
      </c>
      <c r="F448" s="171">
        <v>3.0</v>
      </c>
      <c r="G448" s="122">
        <f t="array" ref="G448">IF(
UPPER(TRIM(CLEAN($O448)))="ENTREGADO",
IFERROR(
INDEX(REPORTE_DROPI!R:R,
MATCH($T448, REPORTE_DROPI!B:B, 0)
),
""
),
""
)
</f>
        <v>30</v>
      </c>
      <c r="H448" s="118" t="s">
        <v>3727</v>
      </c>
      <c r="I448" s="154" t="s">
        <v>3731</v>
      </c>
      <c r="J448" s="121">
        <f t="array" ref="J448">IF(
UPPER(TRIM(CLEAN($O448)))="ENTREGADO",
IFERROR(
INDEX(REPORTE_DROPI!T:T,
MATCH($T448, REPORTE_DROPI!B:B, 0)
),
""
),
""
)
</f>
        <v>6.16</v>
      </c>
      <c r="K448" s="118">
        <f t="array" ref="K448">IFERROR(
INDEX(REPORTE_DROPI!S:S,
MATCH($T448, REPORTE_DROPI!B:B, 0)
),
""
)</f>
        <v>16.64</v>
      </c>
      <c r="L448" s="118" t="str">
        <f>IF(
  O448&lt;&gt;"DEVOLUCION",
  "",
  IF(
    T448="",
    "",
    SUMIF(DEVOLUCION!F:F, T448, DEVOLUCION!D:D)
  )
)
</f>
        <v/>
      </c>
      <c r="M448" s="118" t="s">
        <v>5877</v>
      </c>
      <c r="N448" s="169" t="s">
        <v>7182</v>
      </c>
      <c r="O448" s="118" t="str">
        <f t="array" ref="O448">IFERROR(
VLOOKUP(
TRIM(CLEAN(
INDEX(REPORTE_DROPI!K:K,
MATCH(T448, REPORTE_DROPI!B:B, 0)
))),
{
TRIM(CLEAN(MAPA_ESTADOS!A:A)) ,
MAPA_ESTADOS!B:B
},
2,
FALSE
),
"REVISAR"
)</f>
        <v>ENTREGADO</v>
      </c>
      <c r="P448" s="154" t="s">
        <v>5692</v>
      </c>
      <c r="Q448" s="153">
        <f t="shared" si="1"/>
        <v>0</v>
      </c>
      <c r="R448" s="172"/>
      <c r="S448" s="172"/>
      <c r="T448" s="118">
        <f t="array" ref="T448">IFERROR(
INDEX(REPORTE_DROPI!B:B,
MATCH(
CLEAN(TRIM(C448)),
CLEAN(TRIM(REPORTE_DROPI!E:E)),
0
)
),
""
)
</f>
        <v>4514740</v>
      </c>
      <c r="U448" s="169" t="s">
        <v>7183</v>
      </c>
      <c r="V448" s="166"/>
      <c r="W448" s="18"/>
      <c r="X448" s="18"/>
      <c r="Y448" s="18"/>
      <c r="Z448" s="18"/>
    </row>
    <row r="449" ht="22.5" hidden="1" customHeight="1">
      <c r="A449" s="169">
        <v>448.0</v>
      </c>
      <c r="B449" s="170">
        <v>46068.0</v>
      </c>
      <c r="C449" s="154" t="s">
        <v>7184</v>
      </c>
      <c r="D449" s="118" t="str">
        <f>IFERROR(__xludf.DUMMYFUNCTION("IFERROR( INDEX( FILTER( 'NOMBRE DE PRODUCTOS'!B:B, REGEXMATCH( UPPER( INDEX( REPORTE_DROPI!AC:AC, MATCH(T449, REPORTE_DROPI!B:B, 0) ) ), UPPER('NOMBRE DE PRODUCTOS'!A:A) ) ), 1 ), ""REVISAR"" )"),"FilmPro®")</f>
        <v>FilmPro®</v>
      </c>
      <c r="E449" s="120">
        <f t="array" ref="E449">IF(
UPPER(TRIM(CLEAN($O449)))="ENTREGADO",
IFERROR(
INDEX(REPORTE_DROPI!Y:Y,
MATCH($T449, REPORTE_DROPI!B:B, 0)
),
""
),
""
)
</f>
        <v>7.2</v>
      </c>
      <c r="F449" s="171">
        <v>3.0</v>
      </c>
      <c r="G449" s="122">
        <f t="array" ref="G449">IF(
UPPER(TRIM(CLEAN($O449)))="ENTREGADO",
IFERROR(
INDEX(REPORTE_DROPI!R:R,
MATCH($T449, REPORTE_DROPI!B:B, 0)
),
""
),
""
)
</f>
        <v>30</v>
      </c>
      <c r="H449" s="118" t="s">
        <v>3727</v>
      </c>
      <c r="I449" s="154" t="s">
        <v>3770</v>
      </c>
      <c r="J449" s="121">
        <f t="array" ref="J449">IF(
UPPER(TRIM(CLEAN($O449)))="ENTREGADO",
IFERROR(
INDEX(REPORTE_DROPI!T:T,
MATCH($T449, REPORTE_DROPI!B:B, 0)
),
""
),
""
)
</f>
        <v>7.82</v>
      </c>
      <c r="K449" s="118">
        <f t="array" ref="K449">IFERROR(
INDEX(REPORTE_DROPI!S:S,
MATCH($T449, REPORTE_DROPI!B:B, 0)
),
""
)</f>
        <v>14.98</v>
      </c>
      <c r="L449" s="118" t="str">
        <f>IF(
  O449&lt;&gt;"DEVOLUCION",
  "",
  IF(
    T449="",
    "",
    SUMIF(DEVOLUCION!F:F, T449, DEVOLUCION!D:D)
  )
)
</f>
        <v/>
      </c>
      <c r="M449" s="118" t="s">
        <v>5877</v>
      </c>
      <c r="N449" s="169" t="s">
        <v>7185</v>
      </c>
      <c r="O449" s="118" t="str">
        <f t="array" ref="O449">IFERROR(
VLOOKUP(
TRIM(CLEAN(
INDEX(REPORTE_DROPI!K:K,
MATCH(T449, REPORTE_DROPI!B:B, 0)
))),
{
TRIM(CLEAN(MAPA_ESTADOS!A:A)) ,
MAPA_ESTADOS!B:B
},
2,
FALSE
),
"REVISAR"
)</f>
        <v>ENTREGADO</v>
      </c>
      <c r="P449" s="154" t="s">
        <v>5692</v>
      </c>
      <c r="Q449" s="153">
        <f t="shared" si="1"/>
        <v>0</v>
      </c>
      <c r="R449" s="172"/>
      <c r="S449" s="172"/>
      <c r="T449" s="118">
        <f t="array" ref="T449">IFERROR(
INDEX(REPORTE_DROPI!B:B,
MATCH(
CLEAN(TRIM(C449)),
CLEAN(TRIM(REPORTE_DROPI!E:E)),
0
)
),
""
)
</f>
        <v>4514796</v>
      </c>
      <c r="U449" s="173">
        <v>4.5225107211E10</v>
      </c>
      <c r="V449" s="166"/>
      <c r="W449" s="18"/>
      <c r="X449" s="18"/>
      <c r="Y449" s="18"/>
      <c r="Z449" s="18"/>
    </row>
    <row r="450" ht="22.5" hidden="1" customHeight="1">
      <c r="A450" s="169">
        <v>449.0</v>
      </c>
      <c r="B450" s="170">
        <v>46068.0</v>
      </c>
      <c r="C450" s="154" t="s">
        <v>7186</v>
      </c>
      <c r="D450" s="118" t="str">
        <f>IFERROR(__xludf.DUMMYFUNCTION("IFERROR( INDEX( FILTER( 'NOMBRE DE PRODUCTOS'!B:B, REGEXMATCH( UPPER( INDEX( REPORTE_DROPI!AC:AC, MATCH(T450, REPORTE_DROPI!B:B, 0) ) ), UPPER('NOMBRE DE PRODUCTOS'!A:A) ) ), 1 ), ""REVISAR"" )"),"Cuchillo Tazaki™")</f>
        <v>Cuchillo Tazaki™</v>
      </c>
      <c r="E450" s="120">
        <f t="array" ref="E450">IF(
UPPER(TRIM(CLEAN($O450)))="ENTREGADO",
IFERROR(
INDEX(REPORTE_DROPI!Y:Y,
MATCH($T450, REPORTE_DROPI!B:B, 0)
),
""
),
""
)
</f>
        <v>7.5</v>
      </c>
      <c r="F450" s="171">
        <v>2.0</v>
      </c>
      <c r="G450" s="122">
        <f t="array" ref="G450">IF(
UPPER(TRIM(CLEAN($O450)))="ENTREGADO",
IFERROR(
INDEX(REPORTE_DROPI!R:R,
MATCH($T450, REPORTE_DROPI!B:B, 0)
),
""
),
""
)
</f>
        <v>22</v>
      </c>
      <c r="H450" s="118" t="s">
        <v>3727</v>
      </c>
      <c r="I450" s="154" t="s">
        <v>3731</v>
      </c>
      <c r="J450" s="121">
        <f t="array" ref="J450">IF(
UPPER(TRIM(CLEAN($O450)))="ENTREGADO",
IFERROR(
INDEX(REPORTE_DROPI!T:T,
MATCH($T450, REPORTE_DROPI!B:B, 0)
),
""
),
""
)
</f>
        <v>4.8</v>
      </c>
      <c r="K450" s="118">
        <f t="array" ref="K450">IFERROR(
INDEX(REPORTE_DROPI!S:S,
MATCH($T450, REPORTE_DROPI!B:B, 0)
),
""
)</f>
        <v>9.7</v>
      </c>
      <c r="L450" s="118" t="str">
        <f>IF(
  O450&lt;&gt;"DEVOLUCION",
  "",
  IF(
    T450="",
    "",
    SUMIF(DEVOLUCION!F:F, T450, DEVOLUCION!D:D)
  )
)
</f>
        <v/>
      </c>
      <c r="M450" s="118" t="s">
        <v>5877</v>
      </c>
      <c r="N450" s="169" t="s">
        <v>7187</v>
      </c>
      <c r="O450" s="118" t="str">
        <f t="array" ref="O450">IFERROR(
VLOOKUP(
TRIM(CLEAN(
INDEX(REPORTE_DROPI!K:K,
MATCH(T450, REPORTE_DROPI!B:B, 0)
))),
{
TRIM(CLEAN(MAPA_ESTADOS!A:A)) ,
MAPA_ESTADOS!B:B
},
2,
FALSE
),
"REVISAR"
)</f>
        <v>ENTREGADO</v>
      </c>
      <c r="P450" s="154" t="s">
        <v>5909</v>
      </c>
      <c r="Q450" s="153">
        <f t="shared" si="1"/>
        <v>0</v>
      </c>
      <c r="R450" s="172"/>
      <c r="S450" s="172"/>
      <c r="T450" s="118">
        <f t="array" ref="T450">IFERROR(
INDEX(REPORTE_DROPI!B:B,
MATCH(
CLEAN(TRIM(C450)),
CLEAN(TRIM(REPORTE_DROPI!E:E)),
0
)
),
""
)
</f>
        <v>4523482</v>
      </c>
      <c r="U450" s="169" t="s">
        <v>7188</v>
      </c>
      <c r="V450" s="166"/>
      <c r="W450" s="18"/>
      <c r="X450" s="18"/>
      <c r="Y450" s="18"/>
      <c r="Z450" s="18"/>
    </row>
    <row r="451" ht="22.5" hidden="1" customHeight="1">
      <c r="A451" s="169">
        <v>450.0</v>
      </c>
      <c r="B451" s="170">
        <v>46068.0</v>
      </c>
      <c r="C451" s="154" t="s">
        <v>7189</v>
      </c>
      <c r="D451" s="118" t="str">
        <f>IFERROR(__xludf.DUMMYFUNCTION("IFERROR( INDEX( FILTER( 'NOMBRE DE PRODUCTOS'!B:B, REGEXMATCH( UPPER( INDEX( REPORTE_DROPI!AC:AC, MATCH(T451, REPORTE_DROPI!B:B, 0) ) ), UPPER('NOMBRE DE PRODUCTOS'!A:A) ) ), 1 ), ""REVISAR"" )"),"FilmPro®")</f>
        <v>FilmPro®</v>
      </c>
      <c r="E451" s="120" t="str">
        <f t="array" ref="E451">IF(
UPPER(TRIM(CLEAN($O451)))="ENTREGADO",
IFERROR(
INDEX(REPORTE_DROPI!Y:Y,
MATCH($T451, REPORTE_DROPI!B:B, 0)
),
""
),
""
)
</f>
        <v/>
      </c>
      <c r="F451" s="171">
        <v>2.0</v>
      </c>
      <c r="G451" s="122" t="str">
        <f t="array" ref="G451">IF(
UPPER(TRIM(CLEAN($O451)))="ENTREGADO",
IFERROR(
INDEX(REPORTE_DROPI!R:R,
MATCH($T451, REPORTE_DROPI!B:B, 0)
),
""
),
""
)
</f>
        <v/>
      </c>
      <c r="H451" s="118" t="s">
        <v>3727</v>
      </c>
      <c r="I451" s="154" t="s">
        <v>3740</v>
      </c>
      <c r="J451" s="121" t="str">
        <f t="array" ref="J451">IF(
UPPER(TRIM(CLEAN($O451)))="ENTREGADO",
IFERROR(
INDEX(REPORTE_DROPI!T:T,
MATCH($T451, REPORTE_DROPI!B:B, 0)
),
""
),
""
)
</f>
        <v/>
      </c>
      <c r="K451" s="118" t="str">
        <f t="array" ref="K451">IFERROR(
INDEX(REPORTE_DROPI!S:S,
MATCH($T451, REPORTE_DROPI!B:B, 0)
),
""
)</f>
        <v/>
      </c>
      <c r="L451" s="118">
        <f>IF(
  O451&lt;&gt;"DEVOLUCION",
  "",
  IF(
    T451="",
    "",
    SUMIF(DEVOLUCION!F:F, T451, DEVOLUCION!D:D)
  )
)
</f>
        <v>0</v>
      </c>
      <c r="M451" s="118" t="s">
        <v>5877</v>
      </c>
      <c r="N451" s="169" t="s">
        <v>7190</v>
      </c>
      <c r="O451" s="118" t="str">
        <f t="array" ref="O451">IFERROR(
VLOOKUP(
TRIM(CLEAN(
INDEX(REPORTE_DROPI!K:K,
MATCH(T451, REPORTE_DROPI!B:B, 0)
))),
{
TRIM(CLEAN(MAPA_ESTADOS!A:A)) ,
MAPA_ESTADOS!B:B
},
2,
FALSE
),
"REVISAR"
)</f>
        <v>DEVOLUCION</v>
      </c>
      <c r="P451" s="154" t="s">
        <v>5692</v>
      </c>
      <c r="Q451" s="153">
        <f t="shared" si="1"/>
        <v>0</v>
      </c>
      <c r="R451" s="172"/>
      <c r="S451" s="172"/>
      <c r="T451" s="118">
        <f t="array" ref="T451">IFERROR(
INDEX(REPORTE_DROPI!B:B,
MATCH(
CLEAN(TRIM(C451)),
CLEAN(TRIM(REPORTE_DROPI!E:E)),
0
)
),
""
)
</f>
        <v>4515143</v>
      </c>
      <c r="U451" s="169" t="s">
        <v>7191</v>
      </c>
      <c r="V451" s="166"/>
      <c r="W451" s="18"/>
      <c r="X451" s="18"/>
      <c r="Y451" s="18"/>
      <c r="Z451" s="18"/>
    </row>
    <row r="452" ht="22.5" hidden="1" customHeight="1">
      <c r="A452" s="169">
        <v>451.0</v>
      </c>
      <c r="B452" s="170">
        <v>46068.0</v>
      </c>
      <c r="C452" s="154" t="s">
        <v>7192</v>
      </c>
      <c r="D452" s="118" t="str">
        <f>IFERROR(__xludf.DUMMYFUNCTION("IFERROR( INDEX( FILTER( 'NOMBRE DE PRODUCTOS'!B:B, REGEXMATCH( UPPER( INDEX( REPORTE_DROPI!AC:AC, MATCH(T452, REPORTE_DROPI!B:B, 0) ) ), UPPER('NOMBRE DE PRODUCTOS'!A:A) ) ), 1 ), ""REVISAR"" )"),"FilmPro®")</f>
        <v>FilmPro®</v>
      </c>
      <c r="E452" s="120" t="str">
        <f t="array" ref="E452">IF(
UPPER(TRIM(CLEAN($O452)))="ENTREGADO",
IFERROR(
INDEX(REPORTE_DROPI!Y:Y,
MATCH($T452, REPORTE_DROPI!B:B, 0)
),
""
),
""
)
</f>
        <v/>
      </c>
      <c r="F452" s="171">
        <v>2.0</v>
      </c>
      <c r="G452" s="122" t="str">
        <f t="array" ref="G452">IF(
UPPER(TRIM(CLEAN($O452)))="ENTREGADO",
IFERROR(
INDEX(REPORTE_DROPI!R:R,
MATCH($T452, REPORTE_DROPI!B:B, 0)
),
""
),
""
)
</f>
        <v/>
      </c>
      <c r="H452" s="118" t="s">
        <v>3727</v>
      </c>
      <c r="I452" s="154" t="s">
        <v>3912</v>
      </c>
      <c r="J452" s="121" t="str">
        <f t="array" ref="J452">IF(
UPPER(TRIM(CLEAN($O452)))="ENTREGADO",
IFERROR(
INDEX(REPORTE_DROPI!T:T,
MATCH($T452, REPORTE_DROPI!B:B, 0)
),
""
),
""
)
</f>
        <v/>
      </c>
      <c r="K452" s="118" t="str">
        <f t="array" ref="K452">IFERROR(
INDEX(REPORTE_DROPI!S:S,
MATCH($T452, REPORTE_DROPI!B:B, 0)
),
""
)</f>
        <v/>
      </c>
      <c r="L452" s="118" t="str">
        <f>IF(
  O452&lt;&gt;"DEVOLUCION",
  "",
  IF(
    T452="",
    "",
    SUMIF(DEVOLUCION!F:F, T452, DEVOLUCION!D:D)
  )
)
</f>
        <v/>
      </c>
      <c r="M452" s="118" t="s">
        <v>5877</v>
      </c>
      <c r="N452" s="169" t="s">
        <v>7193</v>
      </c>
      <c r="O452" s="118" t="str">
        <f t="array" ref="O452">IFERROR(
VLOOKUP(
TRIM(CLEAN(
INDEX(REPORTE_DROPI!K:K,
MATCH(T452, REPORTE_DROPI!B:B, 0)
))),
{
TRIM(CLEAN(MAPA_ESTADOS!A:A)) ,
MAPA_ESTADOS!B:B
},
2,
FALSE
),
"REVISAR"
)</f>
        <v>CANCELADO</v>
      </c>
      <c r="P452" s="154" t="s">
        <v>7194</v>
      </c>
      <c r="Q452" s="153">
        <f t="shared" si="1"/>
        <v>0</v>
      </c>
      <c r="R452" s="172"/>
      <c r="S452" s="172"/>
      <c r="T452" s="118">
        <f t="array" ref="T452">IFERROR(
INDEX(REPORTE_DROPI!B:B,
MATCH(
CLEAN(TRIM(C452)),
CLEAN(TRIM(REPORTE_DROPI!E:E)),
0
)
),
""
)
</f>
        <v>4804739</v>
      </c>
      <c r="U452" s="169" t="s">
        <v>7195</v>
      </c>
      <c r="V452" s="166"/>
      <c r="W452" s="18"/>
      <c r="X452" s="18"/>
      <c r="Y452" s="18"/>
      <c r="Z452" s="18"/>
    </row>
    <row r="453" ht="22.5" hidden="1" customHeight="1">
      <c r="A453" s="169">
        <v>452.0</v>
      </c>
      <c r="B453" s="170">
        <v>46068.0</v>
      </c>
      <c r="C453" s="154" t="s">
        <v>7192</v>
      </c>
      <c r="D453" s="118" t="str">
        <f>IFERROR(__xludf.DUMMYFUNCTION("IFERROR( INDEX( FILTER( 'NOMBRE DE PRODUCTOS'!B:B, REGEXMATCH( UPPER( INDEX( REPORTE_DROPI!AC:AC, MATCH(T453, REPORTE_DROPI!B:B, 0) ) ), UPPER('NOMBRE DE PRODUCTOS'!A:A) ) ), 1 ), ""REVISAR"" )"),"FilmPro®")</f>
        <v>FilmPro®</v>
      </c>
      <c r="E453" s="120" t="str">
        <f t="array" ref="E453">IF(
UPPER(TRIM(CLEAN($O453)))="ENTREGADO",
IFERROR(
INDEX(REPORTE_DROPI!Y:Y,
MATCH($T453, REPORTE_DROPI!B:B, 0)
),
""
),
""
)
</f>
        <v/>
      </c>
      <c r="F453" s="171">
        <v>2.0</v>
      </c>
      <c r="G453" s="122" t="str">
        <f t="array" ref="G453">IF(
UPPER(TRIM(CLEAN($O453)))="ENTREGADO",
IFERROR(
INDEX(REPORTE_DROPI!R:R,
MATCH($T453, REPORTE_DROPI!B:B, 0)
),
""
),
""
)
</f>
        <v/>
      </c>
      <c r="H453" s="118" t="s">
        <v>3727</v>
      </c>
      <c r="I453" s="154" t="s">
        <v>3912</v>
      </c>
      <c r="J453" s="121" t="str">
        <f t="array" ref="J453">IF(
UPPER(TRIM(CLEAN($O453)))="ENTREGADO",
IFERROR(
INDEX(REPORTE_DROPI!T:T,
MATCH($T453, REPORTE_DROPI!B:B, 0)
),
""
),
""
)
</f>
        <v/>
      </c>
      <c r="K453" s="118" t="str">
        <f t="array" ref="K453">IFERROR(
INDEX(REPORTE_DROPI!S:S,
MATCH($T453, REPORTE_DROPI!B:B, 0)
),
""
)</f>
        <v/>
      </c>
      <c r="L453" s="118" t="str">
        <f>IF(
  O453&lt;&gt;"DEVOLUCION",
  "",
  IF(
    T453="",
    "",
    SUMIF(DEVOLUCION!F:F, T453, DEVOLUCION!D:D)
  )
)
</f>
        <v/>
      </c>
      <c r="M453" s="118" t="s">
        <v>5877</v>
      </c>
      <c r="N453" s="169" t="s">
        <v>7196</v>
      </c>
      <c r="O453" s="118" t="str">
        <f t="array" ref="O453">IFERROR(
VLOOKUP(
TRIM(CLEAN(
INDEX(REPORTE_DROPI!K:K,
MATCH(T453, REPORTE_DROPI!B:B, 0)
))),
{
TRIM(CLEAN(MAPA_ESTADOS!A:A)) ,
MAPA_ESTADOS!B:B
},
2,
FALSE
),
"REVISAR"
)</f>
        <v>CANCELADO</v>
      </c>
      <c r="P453" s="154" t="s">
        <v>7197</v>
      </c>
      <c r="Q453" s="153">
        <f t="shared" si="1"/>
        <v>0</v>
      </c>
      <c r="R453" s="172"/>
      <c r="S453" s="172"/>
      <c r="T453" s="118">
        <f t="array" ref="T453">IFERROR(
INDEX(REPORTE_DROPI!B:B,
MATCH(
CLEAN(TRIM(C453)),
CLEAN(TRIM(REPORTE_DROPI!E:E)),
0
)
),
""
)
</f>
        <v>4804739</v>
      </c>
      <c r="U453" s="169"/>
      <c r="V453" s="166"/>
      <c r="W453" s="18"/>
      <c r="X453" s="18"/>
      <c r="Y453" s="18"/>
      <c r="Z453" s="18"/>
    </row>
    <row r="454" ht="22.5" hidden="1" customHeight="1">
      <c r="A454" s="169">
        <v>453.0</v>
      </c>
      <c r="B454" s="170">
        <v>46068.0</v>
      </c>
      <c r="C454" s="154" t="s">
        <v>7198</v>
      </c>
      <c r="D454" s="118" t="str">
        <f>IFERROR(__xludf.DUMMYFUNCTION("IFERROR( INDEX( FILTER( 'NOMBRE DE PRODUCTOS'!B:B, REGEXMATCH( UPPER( INDEX( REPORTE_DROPI!AC:AC, MATCH(T454, REPORTE_DROPI!B:B, 0) ) ), UPPER('NOMBRE DE PRODUCTOS'!A:A) ) ), 1 ), ""REVISAR"" )"),"Cuchillo Tazaki™")</f>
        <v>Cuchillo Tazaki™</v>
      </c>
      <c r="E454" s="120" t="str">
        <f t="array" ref="E454">IF(
UPPER(TRIM(CLEAN($O454)))="ENTREGADO",
IFERROR(
INDEX(REPORTE_DROPI!Y:Y,
MATCH($T454, REPORTE_DROPI!B:B, 0)
),
""
),
""
)
</f>
        <v/>
      </c>
      <c r="F454" s="171">
        <v>2.0</v>
      </c>
      <c r="G454" s="122" t="str">
        <f t="array" ref="G454">IF(
UPPER(TRIM(CLEAN($O454)))="ENTREGADO",
IFERROR(
INDEX(REPORTE_DROPI!R:R,
MATCH($T454, REPORTE_DROPI!B:B, 0)
),
""
),
""
)
</f>
        <v/>
      </c>
      <c r="H454" s="118" t="s">
        <v>3727</v>
      </c>
      <c r="I454" s="154" t="s">
        <v>3740</v>
      </c>
      <c r="J454" s="121" t="str">
        <f t="array" ref="J454">IF(
UPPER(TRIM(CLEAN($O454)))="ENTREGADO",
IFERROR(
INDEX(REPORTE_DROPI!T:T,
MATCH($T454, REPORTE_DROPI!B:B, 0)
),
""
),
""
)
</f>
        <v/>
      </c>
      <c r="K454" s="118" t="str">
        <f t="array" ref="K454">IFERROR(
INDEX(REPORTE_DROPI!S:S,
MATCH($T454, REPORTE_DROPI!B:B, 0)
),
""
)</f>
        <v/>
      </c>
      <c r="L454" s="118">
        <f>IF(
  O454&lt;&gt;"DEVOLUCION",
  "",
  IF(
    T454="",
    "",
    SUMIF(DEVOLUCION!F:F, T454, DEVOLUCION!D:D)
  )
)
</f>
        <v>0</v>
      </c>
      <c r="M454" s="118" t="s">
        <v>5877</v>
      </c>
      <c r="N454" s="169" t="s">
        <v>7199</v>
      </c>
      <c r="O454" s="118" t="str">
        <f t="array" ref="O454">IFERROR(
VLOOKUP(
TRIM(CLEAN(
INDEX(REPORTE_DROPI!K:K,
MATCH(T454, REPORTE_DROPI!B:B, 0)
))),
{
TRIM(CLEAN(MAPA_ESTADOS!A:A)) ,
MAPA_ESTADOS!B:B
},
2,
FALSE
),
"REVISAR"
)</f>
        <v>DEVOLUCION</v>
      </c>
      <c r="P454" s="154" t="s">
        <v>6481</v>
      </c>
      <c r="Q454" s="153">
        <f t="shared" si="1"/>
        <v>0</v>
      </c>
      <c r="R454" s="172"/>
      <c r="S454" s="172"/>
      <c r="T454" s="118">
        <f t="array" ref="T454">IFERROR(
INDEX(REPORTE_DROPI!B:B,
MATCH(
CLEAN(TRIM(C454)),
CLEAN(TRIM(REPORTE_DROPI!E:E)),
0
)
),
""
)
</f>
        <v>4546727</v>
      </c>
      <c r="U454" s="169" t="s">
        <v>7200</v>
      </c>
      <c r="V454" s="166"/>
      <c r="W454" s="18"/>
      <c r="X454" s="18"/>
      <c r="Y454" s="18"/>
      <c r="Z454" s="18"/>
    </row>
    <row r="455" ht="22.5" hidden="1" customHeight="1">
      <c r="A455" s="169">
        <v>454.0</v>
      </c>
      <c r="B455" s="170">
        <v>46068.0</v>
      </c>
      <c r="C455" s="154" t="s">
        <v>7201</v>
      </c>
      <c r="D455" s="118" t="str">
        <f>IFERROR(__xludf.DUMMYFUNCTION("IFERROR( INDEX( FILTER( 'NOMBRE DE PRODUCTOS'!B:B, REGEXMATCH( UPPER( INDEX( REPORTE_DROPI!AC:AC, MATCH(T455, REPORTE_DROPI!B:B, 0) ) ), UPPER('NOMBRE DE PRODUCTOS'!A:A) ) ), 1 ), ""REVISAR"" )"),"FilmPro®")</f>
        <v>FilmPro®</v>
      </c>
      <c r="E455" s="120" t="str">
        <f t="array" ref="E455">IF(
UPPER(TRIM(CLEAN($O455)))="ENTREGADO",
IFERROR(
INDEX(REPORTE_DROPI!Y:Y,
MATCH($T455, REPORTE_DROPI!B:B, 0)
),
""
),
""
)
</f>
        <v/>
      </c>
      <c r="F455" s="171">
        <v>2.0</v>
      </c>
      <c r="G455" s="122" t="str">
        <f t="array" ref="G455">IF(
UPPER(TRIM(CLEAN($O455)))="ENTREGADO",
IFERROR(
INDEX(REPORTE_DROPI!R:R,
MATCH($T455, REPORTE_DROPI!B:B, 0)
),
""
),
""
)
</f>
        <v/>
      </c>
      <c r="H455" s="118" t="s">
        <v>3727</v>
      </c>
      <c r="I455" s="154" t="s">
        <v>3738</v>
      </c>
      <c r="J455" s="121" t="str">
        <f t="array" ref="J455">IF(
UPPER(TRIM(CLEAN($O455)))="ENTREGADO",
IFERROR(
INDEX(REPORTE_DROPI!T:T,
MATCH($T455, REPORTE_DROPI!B:B, 0)
),
""
),
""
)
</f>
        <v/>
      </c>
      <c r="K455" s="118" t="str">
        <f t="array" ref="K455">IFERROR(
INDEX(REPORTE_DROPI!S:S,
MATCH($T455, REPORTE_DROPI!B:B, 0)
),
""
)</f>
        <v/>
      </c>
      <c r="L455" s="118">
        <f>IF(
  O455&lt;&gt;"DEVOLUCION",
  "",
  IF(
    T455="",
    "",
    SUMIF(DEVOLUCION!F:F, T455, DEVOLUCION!D:D)
  )
)
</f>
        <v>0</v>
      </c>
      <c r="M455" s="118" t="s">
        <v>5877</v>
      </c>
      <c r="N455" s="169" t="s">
        <v>7202</v>
      </c>
      <c r="O455" s="118" t="str">
        <f t="array" ref="O455">IFERROR(
VLOOKUP(
TRIM(CLEAN(
INDEX(REPORTE_DROPI!K:K,
MATCH(T455, REPORTE_DROPI!B:B, 0)
))),
{
TRIM(CLEAN(MAPA_ESTADOS!A:A)) ,
MAPA_ESTADOS!B:B
},
2,
FALSE
),
"REVISAR"
)</f>
        <v>DEVOLUCION</v>
      </c>
      <c r="P455" s="154" t="s">
        <v>5692</v>
      </c>
      <c r="Q455" s="153">
        <f t="shared" si="1"/>
        <v>0</v>
      </c>
      <c r="R455" s="172"/>
      <c r="S455" s="172"/>
      <c r="T455" s="118">
        <f t="array" ref="T455">IFERROR(
INDEX(REPORTE_DROPI!B:B,
MATCH(
CLEAN(TRIM(C455)),
CLEAN(TRIM(REPORTE_DROPI!E:E)),
0
)
),
""
)
</f>
        <v>4546781</v>
      </c>
      <c r="U455" s="169" t="s">
        <v>7203</v>
      </c>
      <c r="V455" s="166"/>
      <c r="W455" s="18"/>
      <c r="X455" s="18"/>
      <c r="Y455" s="18"/>
      <c r="Z455" s="18"/>
    </row>
    <row r="456" ht="22.5" hidden="1" customHeight="1">
      <c r="A456" s="169">
        <v>455.0</v>
      </c>
      <c r="B456" s="170">
        <v>46068.0</v>
      </c>
      <c r="C456" s="154" t="s">
        <v>7204</v>
      </c>
      <c r="D456" s="118" t="str">
        <f>IFERROR(__xludf.DUMMYFUNCTION("IFERROR( INDEX( FILTER( 'NOMBRE DE PRODUCTOS'!B:B, REGEXMATCH( UPPER( INDEX( REPORTE_DROPI!AC:AC, MATCH(T456, REPORTE_DROPI!B:B, 0) ) ), UPPER('NOMBRE DE PRODUCTOS'!A:A) ) ), 1 ), ""REVISAR"" )"),"FilmPro®")</f>
        <v>FilmPro®</v>
      </c>
      <c r="E456" s="120">
        <f t="array" ref="E456">IF(
UPPER(TRIM(CLEAN($O456)))="ENTREGADO",
IFERROR(
INDEX(REPORTE_DROPI!Y:Y,
MATCH($T456, REPORTE_DROPI!B:B, 0)
),
""
),
""
)
</f>
        <v>7.2</v>
      </c>
      <c r="F456" s="171">
        <v>3.0</v>
      </c>
      <c r="G456" s="122">
        <f t="array" ref="G456">IF(
UPPER(TRIM(CLEAN($O456)))="ENTREGADO",
IFERROR(
INDEX(REPORTE_DROPI!R:R,
MATCH($T456, REPORTE_DROPI!B:B, 0)
),
""
),
""
)
</f>
        <v>30</v>
      </c>
      <c r="H456" s="118" t="s">
        <v>3727</v>
      </c>
      <c r="I456" s="154" t="s">
        <v>3882</v>
      </c>
      <c r="J456" s="121">
        <f t="array" ref="J456">IF(
UPPER(TRIM(CLEAN($O456)))="ENTREGADO",
IFERROR(
INDEX(REPORTE_DROPI!T:T,
MATCH($T456, REPORTE_DROPI!B:B, 0)
),
""
),
""
)
</f>
        <v>7.82</v>
      </c>
      <c r="K456" s="118">
        <f t="array" ref="K456">IFERROR(
INDEX(REPORTE_DROPI!S:S,
MATCH($T456, REPORTE_DROPI!B:B, 0)
),
""
)</f>
        <v>14.98</v>
      </c>
      <c r="L456" s="118" t="str">
        <f>IF(
  O456&lt;&gt;"DEVOLUCION",
  "",
  IF(
    T456="",
    "",
    SUMIF(DEVOLUCION!F:F, T456, DEVOLUCION!D:D)
  )
)
</f>
        <v/>
      </c>
      <c r="M456" s="118" t="s">
        <v>5877</v>
      </c>
      <c r="N456" s="169" t="s">
        <v>7205</v>
      </c>
      <c r="O456" s="118" t="str">
        <f t="array" ref="O456">IFERROR(
VLOOKUP(
TRIM(CLEAN(
INDEX(REPORTE_DROPI!K:K,
MATCH(T456, REPORTE_DROPI!B:B, 0)
))),
{
TRIM(CLEAN(MAPA_ESTADOS!A:A)) ,
MAPA_ESTADOS!B:B
},
2,
FALSE
),
"REVISAR"
)</f>
        <v>ENTREGADO</v>
      </c>
      <c r="P456" s="154" t="s">
        <v>5692</v>
      </c>
      <c r="Q456" s="153">
        <f t="shared" si="1"/>
        <v>0</v>
      </c>
      <c r="R456" s="172"/>
      <c r="S456" s="172"/>
      <c r="T456" s="118">
        <f t="array" ref="T456">IFERROR(
INDEX(REPORTE_DROPI!B:B,
MATCH(
CLEAN(TRIM(C456)),
CLEAN(TRIM(REPORTE_DROPI!E:E)),
0
)
),
""
)
</f>
        <v>4517110</v>
      </c>
      <c r="U456" s="173">
        <v>1.77234240162E11</v>
      </c>
      <c r="V456" s="166"/>
      <c r="W456" s="18"/>
      <c r="X456" s="18"/>
      <c r="Y456" s="18"/>
      <c r="Z456" s="18"/>
    </row>
    <row r="457" ht="22.5" hidden="1" customHeight="1">
      <c r="A457" s="169">
        <v>456.0</v>
      </c>
      <c r="B457" s="170">
        <v>46068.0</v>
      </c>
      <c r="C457" s="154" t="s">
        <v>7206</v>
      </c>
      <c r="D457" s="118" t="str">
        <f>IFERROR(__xludf.DUMMYFUNCTION("IFERROR( INDEX( FILTER( 'NOMBRE DE PRODUCTOS'!B:B, REGEXMATCH( UPPER( INDEX( REPORTE_DROPI!AC:AC, MATCH(T457, REPORTE_DROPI!B:B, 0) ) ), UPPER('NOMBRE DE PRODUCTOS'!A:A) ) ), 1 ), ""REVISAR"" )"),"FilmPro®")</f>
        <v>FilmPro®</v>
      </c>
      <c r="E457" s="120">
        <f t="array" ref="E457">IF(
UPPER(TRIM(CLEAN($O457)))="ENTREGADO",
IFERROR(
INDEX(REPORTE_DROPI!Y:Y,
MATCH($T457, REPORTE_DROPI!B:B, 0)
),
""
),
""
)
</f>
        <v>2.4</v>
      </c>
      <c r="F457" s="171">
        <v>1.0</v>
      </c>
      <c r="G457" s="122">
        <f t="array" ref="G457">IF(
UPPER(TRIM(CLEAN($O457)))="ENTREGADO",
IFERROR(
INDEX(REPORTE_DROPI!R:R,
MATCH($T457, REPORTE_DROPI!B:B, 0)
),
""
),
""
)
</f>
        <v>20</v>
      </c>
      <c r="H457" s="118" t="s">
        <v>3727</v>
      </c>
      <c r="I457" s="154" t="s">
        <v>3951</v>
      </c>
      <c r="J457" s="121">
        <f t="array" ref="J457">IF(
UPPER(TRIM(CLEAN($O457)))="ENTREGADO",
IFERROR(
INDEX(REPORTE_DROPI!T:T,
MATCH($T457, REPORTE_DROPI!B:B, 0)
),
""
),
""
)
</f>
        <v>5.76</v>
      </c>
      <c r="K457" s="118">
        <f t="array" ref="K457">IFERROR(
INDEX(REPORTE_DROPI!S:S,
MATCH($T457, REPORTE_DROPI!B:B, 0)
),
""
)</f>
        <v>11.84</v>
      </c>
      <c r="L457" s="118" t="str">
        <f>IF(
  O457&lt;&gt;"DEVOLUCION",
  "",
  IF(
    T457="",
    "",
    SUMIF(DEVOLUCION!F:F, T457, DEVOLUCION!D:D)
  )
)
</f>
        <v/>
      </c>
      <c r="M457" s="118" t="s">
        <v>5877</v>
      </c>
      <c r="N457" s="169" t="s">
        <v>7207</v>
      </c>
      <c r="O457" s="118" t="str">
        <f t="array" ref="O457">IFERROR(
VLOOKUP(
TRIM(CLEAN(
INDEX(REPORTE_DROPI!K:K,
MATCH(T457, REPORTE_DROPI!B:B, 0)
))),
{
TRIM(CLEAN(MAPA_ESTADOS!A:A)) ,
MAPA_ESTADOS!B:B
},
2,
FALSE
),
"REVISAR"
)</f>
        <v>ENTREGADO</v>
      </c>
      <c r="P457" s="154" t="s">
        <v>5909</v>
      </c>
      <c r="Q457" s="153">
        <f t="shared" si="1"/>
        <v>0</v>
      </c>
      <c r="R457" s="172"/>
      <c r="S457" s="172"/>
      <c r="T457" s="118">
        <f t="array" ref="T457">IFERROR(
INDEX(REPORTE_DROPI!B:B,
MATCH(
CLEAN(TRIM(C457)),
CLEAN(TRIM(REPORTE_DROPI!E:E)),
0
)
),
""
)
</f>
        <v>4523508</v>
      </c>
      <c r="U457" s="169" t="s">
        <v>7208</v>
      </c>
      <c r="V457" s="166"/>
      <c r="W457" s="18"/>
      <c r="X457" s="18"/>
      <c r="Y457" s="18"/>
      <c r="Z457" s="18"/>
    </row>
    <row r="458" ht="22.5" hidden="1" customHeight="1">
      <c r="A458" s="169">
        <v>457.0</v>
      </c>
      <c r="B458" s="170">
        <v>46068.0</v>
      </c>
      <c r="C458" s="154" t="s">
        <v>7209</v>
      </c>
      <c r="D458" s="118" t="str">
        <f>IFERROR(__xludf.DUMMYFUNCTION("IFERROR( INDEX( FILTER( 'NOMBRE DE PRODUCTOS'!B:B, REGEXMATCH( UPPER( INDEX( REPORTE_DROPI!AC:AC, MATCH(T458, REPORTE_DROPI!B:B, 0) ) ), UPPER('NOMBRE DE PRODUCTOS'!A:A) ) ), 1 ), ""REVISAR"" )"),"Cuchillo Tazaki™")</f>
        <v>Cuchillo Tazaki™</v>
      </c>
      <c r="E458" s="120" t="str">
        <f t="array" ref="E458">IF(
UPPER(TRIM(CLEAN($O458)))="ENTREGADO",
IFERROR(
INDEX(REPORTE_DROPI!Y:Y,
MATCH($T458, REPORTE_DROPI!B:B, 0)
),
""
),
""
)
</f>
        <v/>
      </c>
      <c r="F458" s="171">
        <v>3.0</v>
      </c>
      <c r="G458" s="122" t="str">
        <f t="array" ref="G458">IF(
UPPER(TRIM(CLEAN($O458)))="ENTREGADO",
IFERROR(
INDEX(REPORTE_DROPI!R:R,
MATCH($T458, REPORTE_DROPI!B:B, 0)
),
""
),
""
)
</f>
        <v/>
      </c>
      <c r="H458" s="118" t="s">
        <v>3727</v>
      </c>
      <c r="I458" s="154" t="s">
        <v>3728</v>
      </c>
      <c r="J458" s="121" t="str">
        <f t="array" ref="J458">IF(
UPPER(TRIM(CLEAN($O458)))="ENTREGADO",
IFERROR(
INDEX(REPORTE_DROPI!T:T,
MATCH($T458, REPORTE_DROPI!B:B, 0)
),
""
),
""
)
</f>
        <v/>
      </c>
      <c r="K458" s="118" t="str">
        <f t="array" ref="K458">IFERROR(
INDEX(REPORTE_DROPI!S:S,
MATCH($T458, REPORTE_DROPI!B:B, 0)
),
""
)</f>
        <v/>
      </c>
      <c r="L458" s="118">
        <f>IF(
  O458&lt;&gt;"DEVOLUCION",
  "",
  IF(
    T458="",
    "",
    SUMIF(DEVOLUCION!F:F, T458, DEVOLUCION!D:D)
  )
)
</f>
        <v>0</v>
      </c>
      <c r="M458" s="118" t="s">
        <v>5877</v>
      </c>
      <c r="N458" s="169" t="s">
        <v>7210</v>
      </c>
      <c r="O458" s="118" t="str">
        <f t="array" ref="O458">IFERROR(
VLOOKUP(
TRIM(CLEAN(
INDEX(REPORTE_DROPI!K:K,
MATCH(T458, REPORTE_DROPI!B:B, 0)
))),
{
TRIM(CLEAN(MAPA_ESTADOS!A:A)) ,
MAPA_ESTADOS!B:B
},
2,
FALSE
),
"REVISAR"
)</f>
        <v>DEVOLUCION</v>
      </c>
      <c r="P458" s="154" t="s">
        <v>6456</v>
      </c>
      <c r="Q458" s="153">
        <f t="shared" si="1"/>
        <v>0</v>
      </c>
      <c r="R458" s="172"/>
      <c r="S458" s="172"/>
      <c r="T458" s="118">
        <f t="array" ref="T458">IFERROR(
INDEX(REPORTE_DROPI!B:B,
MATCH(
CLEAN(TRIM(C458)),
CLEAN(TRIM(REPORTE_DROPI!E:E)),
0
)
),
""
)
</f>
        <v>4523512</v>
      </c>
      <c r="U458" s="169" t="s">
        <v>7211</v>
      </c>
      <c r="V458" s="166"/>
      <c r="W458" s="18"/>
      <c r="X458" s="18"/>
      <c r="Y458" s="18"/>
      <c r="Z458" s="18"/>
    </row>
    <row r="459" ht="22.5" hidden="1" customHeight="1">
      <c r="A459" s="169">
        <v>458.0</v>
      </c>
      <c r="B459" s="170">
        <v>46068.0</v>
      </c>
      <c r="C459" s="154" t="s">
        <v>7212</v>
      </c>
      <c r="D459" s="118" t="str">
        <f>IFERROR(__xludf.DUMMYFUNCTION("IFERROR( INDEX( FILTER( 'NOMBRE DE PRODUCTOS'!B:B, REGEXMATCH( UPPER( INDEX( REPORTE_DROPI!AC:AC, MATCH(T459, REPORTE_DROPI!B:B, 0) ) ), UPPER('NOMBRE DE PRODUCTOS'!A:A) ) ), 1 ), ""REVISAR"" )"),"FilmPro®")</f>
        <v>FilmPro®</v>
      </c>
      <c r="E459" s="120" t="str">
        <f t="array" ref="E459">IF(
UPPER(TRIM(CLEAN($O459)))="ENTREGADO",
IFERROR(
INDEX(REPORTE_DROPI!Y:Y,
MATCH($T459, REPORTE_DROPI!B:B, 0)
),
""
),
""
)
</f>
        <v/>
      </c>
      <c r="F459" s="171">
        <v>1.0</v>
      </c>
      <c r="G459" s="122" t="str">
        <f t="array" ref="G459">IF(
UPPER(TRIM(CLEAN($O459)))="ENTREGADO",
IFERROR(
INDEX(REPORTE_DROPI!R:R,
MATCH($T459, REPORTE_DROPI!B:B, 0)
),
""
),
""
)
</f>
        <v/>
      </c>
      <c r="H459" s="118" t="s">
        <v>3727</v>
      </c>
      <c r="I459" s="154" t="s">
        <v>3979</v>
      </c>
      <c r="J459" s="121" t="str">
        <f t="array" ref="J459">IF(
UPPER(TRIM(CLEAN($O459)))="ENTREGADO",
IFERROR(
INDEX(REPORTE_DROPI!T:T,
MATCH($T459, REPORTE_DROPI!B:B, 0)
),
""
),
""
)
</f>
        <v/>
      </c>
      <c r="K459" s="118" t="str">
        <f t="array" ref="K459">IFERROR(
INDEX(REPORTE_DROPI!S:S,
MATCH($T459, REPORTE_DROPI!B:B, 0)
),
""
)</f>
        <v/>
      </c>
      <c r="L459" s="118">
        <f>IF(
  O459&lt;&gt;"DEVOLUCION",
  "",
  IF(
    T459="",
    "",
    SUMIF(DEVOLUCION!F:F, T459, DEVOLUCION!D:D)
  )
)
</f>
        <v>0</v>
      </c>
      <c r="M459" s="118" t="s">
        <v>5877</v>
      </c>
      <c r="N459" s="169" t="s">
        <v>7213</v>
      </c>
      <c r="O459" s="118" t="str">
        <f t="array" ref="O459">IFERROR(
VLOOKUP(
TRIM(CLEAN(
INDEX(REPORTE_DROPI!K:K,
MATCH(T459, REPORTE_DROPI!B:B, 0)
))),
{
TRIM(CLEAN(MAPA_ESTADOS!A:A)) ,
MAPA_ESTADOS!B:B
},
2,
FALSE
),
"REVISAR"
)</f>
        <v>DEVOLUCION</v>
      </c>
      <c r="P459" s="154" t="s">
        <v>6405</v>
      </c>
      <c r="Q459" s="153">
        <f t="shared" si="1"/>
        <v>0</v>
      </c>
      <c r="R459" s="172"/>
      <c r="S459" s="172"/>
      <c r="T459" s="118">
        <f t="array" ref="T459">IFERROR(
INDEX(REPORTE_DROPI!B:B,
MATCH(
CLEAN(TRIM(C459)),
CLEAN(TRIM(REPORTE_DROPI!E:E)),
0
)
),
""
)
</f>
        <v>4517462</v>
      </c>
      <c r="U459" s="169" t="s">
        <v>7214</v>
      </c>
      <c r="V459" s="166"/>
      <c r="W459" s="18"/>
      <c r="X459" s="18"/>
      <c r="Y459" s="18"/>
      <c r="Z459" s="18"/>
    </row>
    <row r="460" ht="22.5" hidden="1" customHeight="1">
      <c r="A460" s="169">
        <v>459.0</v>
      </c>
      <c r="B460" s="170">
        <v>46068.0</v>
      </c>
      <c r="C460" s="154" t="s">
        <v>7215</v>
      </c>
      <c r="D460" s="118" t="str">
        <f>IFERROR(__xludf.DUMMYFUNCTION("IFERROR( INDEX( FILTER( 'NOMBRE DE PRODUCTOS'!B:B, REGEXMATCH( UPPER( INDEX( REPORTE_DROPI!AC:AC, MATCH(T460, REPORTE_DROPI!B:B, 0) ) ), UPPER('NOMBRE DE PRODUCTOS'!A:A) ) ), 1 ), ""REVISAR"" )"),"FilmPro®")</f>
        <v>FilmPro®</v>
      </c>
      <c r="E460" s="120">
        <f t="array" ref="E460">IF(
UPPER(TRIM(CLEAN($O460)))="ENTREGADO",
IFERROR(
INDEX(REPORTE_DROPI!Y:Y,
MATCH($T460, REPORTE_DROPI!B:B, 0)
),
""
),
""
)
</f>
        <v>7.2</v>
      </c>
      <c r="F460" s="171">
        <v>3.0</v>
      </c>
      <c r="G460" s="122">
        <f t="array" ref="G460">IF(
UPPER(TRIM(CLEAN($O460)))="ENTREGADO",
IFERROR(
INDEX(REPORTE_DROPI!R:R,
MATCH($T460, REPORTE_DROPI!B:B, 0)
),
""
),
""
)
</f>
        <v>30</v>
      </c>
      <c r="H460" s="118" t="s">
        <v>3727</v>
      </c>
      <c r="I460" s="154" t="s">
        <v>3962</v>
      </c>
      <c r="J460" s="121">
        <f t="array" ref="J460">IF(
UPPER(TRIM(CLEAN($O460)))="ENTREGADO",
IFERROR(
INDEX(REPORTE_DROPI!T:T,
MATCH($T460, REPORTE_DROPI!B:B, 0)
),
""
),
""
)
</f>
        <v>6.16</v>
      </c>
      <c r="K460" s="118">
        <f t="array" ref="K460">IFERROR(
INDEX(REPORTE_DROPI!S:S,
MATCH($T460, REPORTE_DROPI!B:B, 0)
),
""
)</f>
        <v>16.64</v>
      </c>
      <c r="L460" s="118" t="str">
        <f>IF(
  O460&lt;&gt;"DEVOLUCION",
  "",
  IF(
    T460="",
    "",
    SUMIF(DEVOLUCION!F:F, T460, DEVOLUCION!D:D)
  )
)
</f>
        <v/>
      </c>
      <c r="M460" s="118" t="s">
        <v>5877</v>
      </c>
      <c r="N460" s="169" t="s">
        <v>7216</v>
      </c>
      <c r="O460" s="118" t="str">
        <f t="array" ref="O460">IFERROR(
VLOOKUP(
TRIM(CLEAN(
INDEX(REPORTE_DROPI!K:K,
MATCH(T460, REPORTE_DROPI!B:B, 0)
))),
{
TRIM(CLEAN(MAPA_ESTADOS!A:A)) ,
MAPA_ESTADOS!B:B
},
2,
FALSE
),
"REVISAR"
)</f>
        <v>ENTREGADO</v>
      </c>
      <c r="P460" s="154" t="s">
        <v>5692</v>
      </c>
      <c r="Q460" s="153">
        <f t="shared" si="1"/>
        <v>0</v>
      </c>
      <c r="R460" s="172"/>
      <c r="S460" s="172"/>
      <c r="T460" s="118">
        <f t="array" ref="T460">IFERROR(
INDEX(REPORTE_DROPI!B:B,
MATCH(
CLEAN(TRIM(C460)),
CLEAN(TRIM(REPORTE_DROPI!E:E)),
0
)
),
""
)
</f>
        <v>4517483</v>
      </c>
      <c r="U460" s="169" t="s">
        <v>7217</v>
      </c>
      <c r="V460" s="166"/>
      <c r="W460" s="18"/>
      <c r="X460" s="18"/>
      <c r="Y460" s="18"/>
      <c r="Z460" s="18"/>
    </row>
    <row r="461" ht="22.5" hidden="1" customHeight="1">
      <c r="A461" s="169">
        <v>460.0</v>
      </c>
      <c r="B461" s="170">
        <v>46068.0</v>
      </c>
      <c r="C461" s="154" t="s">
        <v>7218</v>
      </c>
      <c r="D461" s="118" t="str">
        <f>IFERROR(__xludf.DUMMYFUNCTION("IFERROR( INDEX( FILTER( 'NOMBRE DE PRODUCTOS'!B:B, REGEXMATCH( UPPER( INDEX( REPORTE_DROPI!AC:AC, MATCH(T461, REPORTE_DROPI!B:B, 0) ) ), UPPER('NOMBRE DE PRODUCTOS'!A:A) ) ), 1 ), ""REVISAR"" )"),"FilmPro®")</f>
        <v>FilmPro®</v>
      </c>
      <c r="E461" s="120" t="str">
        <f t="array" ref="E461">IF(
UPPER(TRIM(CLEAN($O461)))="ENTREGADO",
IFERROR(
INDEX(REPORTE_DROPI!Y:Y,
MATCH($T461, REPORTE_DROPI!B:B, 0)
),
""
),
""
)
</f>
        <v/>
      </c>
      <c r="F461" s="171">
        <v>3.0</v>
      </c>
      <c r="G461" s="122" t="str">
        <f t="array" ref="G461">IF(
UPPER(TRIM(CLEAN($O461)))="ENTREGADO",
IFERROR(
INDEX(REPORTE_DROPI!R:R,
MATCH($T461, REPORTE_DROPI!B:B, 0)
),
""
),
""
)
</f>
        <v/>
      </c>
      <c r="H461" s="118" t="s">
        <v>3727</v>
      </c>
      <c r="I461" s="154" t="s">
        <v>3772</v>
      </c>
      <c r="J461" s="121" t="str">
        <f t="array" ref="J461">IF(
UPPER(TRIM(CLEAN($O461)))="ENTREGADO",
IFERROR(
INDEX(REPORTE_DROPI!T:T,
MATCH($T461, REPORTE_DROPI!B:B, 0)
),
""
),
""
)
</f>
        <v/>
      </c>
      <c r="K461" s="118" t="str">
        <f t="array" ref="K461">IFERROR(
INDEX(REPORTE_DROPI!S:S,
MATCH($T461, REPORTE_DROPI!B:B, 0)
),
""
)</f>
        <v/>
      </c>
      <c r="L461" s="118" t="str">
        <f>IF(
  O461&lt;&gt;"DEVOLUCION",
  "",
  IF(
    T461="",
    "",
    SUMIF(DEVOLUCION!F:F, T461, DEVOLUCION!D:D)
  )
)
</f>
        <v/>
      </c>
      <c r="M461" s="118" t="s">
        <v>5877</v>
      </c>
      <c r="N461" s="169" t="s">
        <v>7219</v>
      </c>
      <c r="O461" s="118" t="str">
        <f t="array" ref="O461">IFERROR(
VLOOKUP(
TRIM(CLEAN(
INDEX(REPORTE_DROPI!K:K,
MATCH(T461, REPORTE_DROPI!B:B, 0)
))),
{
TRIM(CLEAN(MAPA_ESTADOS!A:A)) ,
MAPA_ESTADOS!B:B
},
2,
FALSE
),
"REVISAR"
)</f>
        <v>PENDIENTE</v>
      </c>
      <c r="P461" s="154" t="s">
        <v>6534</v>
      </c>
      <c r="Q461" s="153">
        <f t="shared" si="1"/>
        <v>0</v>
      </c>
      <c r="R461" s="172"/>
      <c r="S461" s="172"/>
      <c r="T461" s="118">
        <f t="array" ref="T461">IFERROR(
INDEX(REPORTE_DROPI!B:B,
MATCH(
CLEAN(TRIM(C461)),
CLEAN(TRIM(REPORTE_DROPI!E:E)),
0
)
),
""
)
</f>
        <v>4517775</v>
      </c>
      <c r="U461" s="169" t="s">
        <v>7220</v>
      </c>
      <c r="V461" s="166"/>
      <c r="W461" s="18"/>
      <c r="X461" s="18"/>
      <c r="Y461" s="18"/>
      <c r="Z461" s="18"/>
    </row>
    <row r="462" ht="22.5" hidden="1" customHeight="1">
      <c r="A462" s="169">
        <v>461.0</v>
      </c>
      <c r="B462" s="170">
        <v>46068.0</v>
      </c>
      <c r="C462" s="154" t="s">
        <v>7221</v>
      </c>
      <c r="D462" s="118" t="str">
        <f>IFERROR(__xludf.DUMMYFUNCTION("IFERROR( INDEX( FILTER( 'NOMBRE DE PRODUCTOS'!B:B, REGEXMATCH( UPPER( INDEX( REPORTE_DROPI!AC:AC, MATCH(T462, REPORTE_DROPI!B:B, 0) ) ), UPPER('NOMBRE DE PRODUCTOS'!A:A) ) ), 1 ), ""REVISAR"" )"),"Cuchillo Tazaki™")</f>
        <v>Cuchillo Tazaki™</v>
      </c>
      <c r="E462" s="120" t="str">
        <f t="array" ref="E462">IF(
UPPER(TRIM(CLEAN($O462)))="ENTREGADO",
IFERROR(
INDEX(REPORTE_DROPI!Y:Y,
MATCH($T462, REPORTE_DROPI!B:B, 0)
),
""
),
""
)
</f>
        <v/>
      </c>
      <c r="F462" s="171">
        <v>2.0</v>
      </c>
      <c r="G462" s="122" t="str">
        <f t="array" ref="G462">IF(
UPPER(TRIM(CLEAN($O462)))="ENTREGADO",
IFERROR(
INDEX(REPORTE_DROPI!R:R,
MATCH($T462, REPORTE_DROPI!B:B, 0)
),
""
),
""
)
</f>
        <v/>
      </c>
      <c r="H462" s="118" t="s">
        <v>3727</v>
      </c>
      <c r="I462" s="154" t="s">
        <v>3801</v>
      </c>
      <c r="J462" s="121" t="str">
        <f t="array" ref="J462">IF(
UPPER(TRIM(CLEAN($O462)))="ENTREGADO",
IFERROR(
INDEX(REPORTE_DROPI!T:T,
MATCH($T462, REPORTE_DROPI!B:B, 0)
),
""
),
""
)
</f>
        <v/>
      </c>
      <c r="K462" s="118" t="str">
        <f t="array" ref="K462">IFERROR(
INDEX(REPORTE_DROPI!S:S,
MATCH($T462, REPORTE_DROPI!B:B, 0)
),
""
)</f>
        <v/>
      </c>
      <c r="L462" s="118">
        <f>IF(
  O462&lt;&gt;"DEVOLUCION",
  "",
  IF(
    T462="",
    "",
    SUMIF(DEVOLUCION!F:F, T462, DEVOLUCION!D:D)
  )
)
</f>
        <v>5.65</v>
      </c>
      <c r="M462" s="118" t="s">
        <v>5877</v>
      </c>
      <c r="N462" s="169" t="s">
        <v>7222</v>
      </c>
      <c r="O462" s="118" t="str">
        <f t="array" ref="O462">IFERROR(
VLOOKUP(
TRIM(CLEAN(
INDEX(REPORTE_DROPI!K:K,
MATCH(T462, REPORTE_DROPI!B:B, 0)
))),
{
TRIM(CLEAN(MAPA_ESTADOS!A:A)) ,
MAPA_ESTADOS!B:B
},
2,
FALSE
),
"REVISAR"
)</f>
        <v>DEVOLUCION</v>
      </c>
      <c r="P462" s="154" t="s">
        <v>5909</v>
      </c>
      <c r="Q462" s="153">
        <f t="shared" si="1"/>
        <v>0</v>
      </c>
      <c r="R462" s="172"/>
      <c r="S462" s="172"/>
      <c r="T462" s="118">
        <f t="array" ref="T462">IFERROR(
INDEX(REPORTE_DROPI!B:B,
MATCH(
CLEAN(TRIM(C462)),
CLEAN(TRIM(REPORTE_DROPI!E:E)),
0
)
),
""
)
</f>
        <v>4523515</v>
      </c>
      <c r="U462" s="169" t="s">
        <v>7223</v>
      </c>
      <c r="V462" s="166"/>
      <c r="W462" s="18"/>
      <c r="X462" s="18"/>
      <c r="Y462" s="18"/>
      <c r="Z462" s="18"/>
    </row>
    <row r="463" ht="22.5" hidden="1" customHeight="1">
      <c r="A463" s="169">
        <v>462.0</v>
      </c>
      <c r="B463" s="170">
        <v>46068.0</v>
      </c>
      <c r="C463" s="154" t="s">
        <v>7224</v>
      </c>
      <c r="D463" s="118" t="str">
        <f>IFERROR(__xludf.DUMMYFUNCTION("IFERROR( INDEX( FILTER( 'NOMBRE DE PRODUCTOS'!B:B, REGEXMATCH( UPPER( INDEX( REPORTE_DROPI!AC:AC, MATCH(T463, REPORTE_DROPI!B:B, 0) ) ), UPPER('NOMBRE DE PRODUCTOS'!A:A) ) ), 1 ), ""REVISAR"" )"),"REVISAR")</f>
        <v>REVISAR</v>
      </c>
      <c r="E463" s="120" t="str">
        <f t="array" ref="E463">IF(
UPPER(TRIM(CLEAN($O463)))="ENTREGADO",
IFERROR(
INDEX(REPORTE_DROPI!Y:Y,
MATCH($T463, REPORTE_DROPI!B:B, 0)
),
""
),
""
)
</f>
        <v/>
      </c>
      <c r="F463" s="171">
        <v>3.0</v>
      </c>
      <c r="G463" s="122" t="str">
        <f t="array" ref="G463">IF(
UPPER(TRIM(CLEAN($O463)))="ENTREGADO",
IFERROR(
INDEX(REPORTE_DROPI!R:R,
MATCH($T463, REPORTE_DROPI!B:B, 0)
),
""
),
""
)
</f>
        <v/>
      </c>
      <c r="H463" s="118" t="s">
        <v>3727</v>
      </c>
      <c r="I463" s="154" t="s">
        <v>3731</v>
      </c>
      <c r="J463" s="121" t="str">
        <f t="array" ref="J463">IF(
UPPER(TRIM(CLEAN($O463)))="ENTREGADO",
IFERROR(
INDEX(REPORTE_DROPI!T:T,
MATCH($T463, REPORTE_DROPI!B:B, 0)
),
""
),
""
)
</f>
        <v/>
      </c>
      <c r="K463" s="118" t="str">
        <f t="array" ref="K463">IFERROR(
INDEX(REPORTE_DROPI!S:S,
MATCH($T463, REPORTE_DROPI!B:B, 0)
),
""
)</f>
        <v/>
      </c>
      <c r="L463" s="118" t="str">
        <f>IF(
  O463&lt;&gt;"DEVOLUCION",
  "",
  IF(
    T463="",
    "",
    SUMIF(DEVOLUCION!F:F, T463, DEVOLUCION!D:D)
  )
)
</f>
        <v/>
      </c>
      <c r="M463" s="118" t="s">
        <v>5877</v>
      </c>
      <c r="N463" s="169" t="s">
        <v>7225</v>
      </c>
      <c r="O463" s="118" t="str">
        <f t="array" ref="O463">IFERROR(
VLOOKUP(
TRIM(CLEAN(
INDEX(REPORTE_DROPI!K:K,
MATCH(T463, REPORTE_DROPI!B:B, 0)
))),
{
TRIM(CLEAN(MAPA_ESTADOS!A:A)) ,
MAPA_ESTADOS!B:B
},
2,
FALSE
),
"REVISAR"
)</f>
        <v>REVISAR</v>
      </c>
      <c r="P463" s="154" t="s">
        <v>7226</v>
      </c>
      <c r="Q463" s="153">
        <f t="shared" si="1"/>
        <v>0</v>
      </c>
      <c r="R463" s="172"/>
      <c r="S463" s="172"/>
      <c r="T463" s="118" t="str">
        <f t="array" ref="T463">IFERROR(
INDEX(REPORTE_DROPI!B:B,
MATCH(
CLEAN(TRIM(C463)),
CLEAN(TRIM(REPORTE_DROPI!E:E)),
0
)
),
""
)
</f>
        <v/>
      </c>
      <c r="U463" s="169"/>
      <c r="V463" s="166"/>
      <c r="W463" s="18"/>
      <c r="X463" s="18"/>
      <c r="Y463" s="18"/>
      <c r="Z463" s="18"/>
    </row>
    <row r="464" ht="22.5" hidden="1" customHeight="1">
      <c r="A464" s="169">
        <v>463.0</v>
      </c>
      <c r="B464" s="170">
        <v>46068.0</v>
      </c>
      <c r="C464" s="154" t="s">
        <v>7227</v>
      </c>
      <c r="D464" s="118" t="str">
        <f>IFERROR(__xludf.DUMMYFUNCTION("IFERROR( INDEX( FILTER( 'NOMBRE DE PRODUCTOS'!B:B, REGEXMATCH( UPPER( INDEX( REPORTE_DROPI!AC:AC, MATCH(T464, REPORTE_DROPI!B:B, 0) ) ), UPPER('NOMBRE DE PRODUCTOS'!A:A) ) ), 1 ), ""REVISAR"" )"),"Cuchillo Tazaki™")</f>
        <v>Cuchillo Tazaki™</v>
      </c>
      <c r="E464" s="120">
        <f t="array" ref="E464">IF(
UPPER(TRIM(CLEAN($O464)))="ENTREGADO",
IFERROR(
INDEX(REPORTE_DROPI!Y:Y,
MATCH($T464, REPORTE_DROPI!B:B, 0)
),
""
),
""
)
</f>
        <v>15</v>
      </c>
      <c r="F464" s="171">
        <v>4.0</v>
      </c>
      <c r="G464" s="122">
        <f t="array" ref="G464">IF(
UPPER(TRIM(CLEAN($O464)))="ENTREGADO",
IFERROR(
INDEX(REPORTE_DROPI!R:R,
MATCH($T464, REPORTE_DROPI!B:B, 0)
),
""
),
""
)
</f>
        <v>32</v>
      </c>
      <c r="H464" s="118" t="s">
        <v>3727</v>
      </c>
      <c r="I464" s="154" t="s">
        <v>3951</v>
      </c>
      <c r="J464" s="121">
        <f t="array" ref="J464">IF(
UPPER(TRIM(CLEAN($O464)))="ENTREGADO",
IFERROR(
INDEX(REPORTE_DROPI!T:T,
MATCH($T464, REPORTE_DROPI!B:B, 0)
),
""
),
""
)
</f>
        <v>6.24</v>
      </c>
      <c r="K464" s="118">
        <f t="array" ref="K464">IFERROR(
INDEX(REPORTE_DROPI!S:S,
MATCH($T464, REPORTE_DROPI!B:B, 0)
),
""
)</f>
        <v>10.76</v>
      </c>
      <c r="L464" s="118" t="str">
        <f>IF(
  O464&lt;&gt;"DEVOLUCION",
  "",
  IF(
    T464="",
    "",
    SUMIF(DEVOLUCION!F:F, T464, DEVOLUCION!D:D)
  )
)
</f>
        <v/>
      </c>
      <c r="M464" s="118" t="s">
        <v>5877</v>
      </c>
      <c r="N464" s="169" t="s">
        <v>7228</v>
      </c>
      <c r="O464" s="118" t="str">
        <f t="array" ref="O464">IFERROR(
VLOOKUP(
TRIM(CLEAN(
INDEX(REPORTE_DROPI!K:K,
MATCH(T464, REPORTE_DROPI!B:B, 0)
))),
{
TRIM(CLEAN(MAPA_ESTADOS!A:A)) ,
MAPA_ESTADOS!B:B
},
2,
FALSE
),
"REVISAR"
)</f>
        <v>ENTREGADO</v>
      </c>
      <c r="P464" s="154" t="s">
        <v>5909</v>
      </c>
      <c r="Q464" s="153">
        <f t="shared" si="1"/>
        <v>0</v>
      </c>
      <c r="R464" s="172"/>
      <c r="S464" s="172"/>
      <c r="T464" s="118">
        <f t="array" ref="T464">IFERROR(
INDEX(REPORTE_DROPI!B:B,
MATCH(
CLEAN(TRIM(C464)),
CLEAN(TRIM(REPORTE_DROPI!E:E)),
0
)
),
""
)
</f>
        <v>4523521</v>
      </c>
      <c r="U464" s="169" t="s">
        <v>7229</v>
      </c>
      <c r="V464" s="166"/>
      <c r="W464" s="18"/>
      <c r="X464" s="18"/>
      <c r="Y464" s="18"/>
      <c r="Z464" s="18"/>
    </row>
    <row r="465" ht="22.5" hidden="1" customHeight="1">
      <c r="A465" s="169">
        <v>464.0</v>
      </c>
      <c r="B465" s="170">
        <v>46068.0</v>
      </c>
      <c r="C465" s="154" t="s">
        <v>7230</v>
      </c>
      <c r="D465" s="118" t="str">
        <f>IFERROR(__xludf.DUMMYFUNCTION("IFERROR( INDEX( FILTER( 'NOMBRE DE PRODUCTOS'!B:B, REGEXMATCH( UPPER( INDEX( REPORTE_DROPI!AC:AC, MATCH(T465, REPORTE_DROPI!B:B, 0) ) ), UPPER('NOMBRE DE PRODUCTOS'!A:A) ) ), 1 ), ""REVISAR"" )"),"Cuchillo Tazaki™")</f>
        <v>Cuchillo Tazaki™</v>
      </c>
      <c r="E465" s="120">
        <f t="array" ref="E465">IF(
UPPER(TRIM(CLEAN($O465)))="ENTREGADO",
IFERROR(
INDEX(REPORTE_DROPI!Y:Y,
MATCH($T465, REPORTE_DROPI!B:B, 0)
),
""
),
""
)
</f>
        <v>7.5</v>
      </c>
      <c r="F465" s="171">
        <v>2.0</v>
      </c>
      <c r="G465" s="122">
        <f t="array" ref="G465">IF(
UPPER(TRIM(CLEAN($O465)))="ENTREGADO",
IFERROR(
INDEX(REPORTE_DROPI!R:R,
MATCH($T465, REPORTE_DROPI!B:B, 0)
),
""
),
""
)
</f>
        <v>22</v>
      </c>
      <c r="H465" s="118" t="s">
        <v>3727</v>
      </c>
      <c r="I465" s="154" t="s">
        <v>3770</v>
      </c>
      <c r="J465" s="121">
        <f t="array" ref="J465">IF(
UPPER(TRIM(CLEAN($O465)))="ENTREGADO",
IFERROR(
INDEX(REPORTE_DROPI!T:T,
MATCH($T465, REPORTE_DROPI!B:B, 0)
),
""
),
""
)
</f>
        <v>6.26</v>
      </c>
      <c r="K465" s="118">
        <f t="array" ref="K465">IFERROR(
INDEX(REPORTE_DROPI!S:S,
MATCH($T465, REPORTE_DROPI!B:B, 0)
),
""
)</f>
        <v>8.24</v>
      </c>
      <c r="L465" s="118" t="str">
        <f>IF(
  O465&lt;&gt;"DEVOLUCION",
  "",
  IF(
    T465="",
    "",
    SUMIF(DEVOLUCION!F:F, T465, DEVOLUCION!D:D)
  )
)
</f>
        <v/>
      </c>
      <c r="M465" s="118" t="s">
        <v>5877</v>
      </c>
      <c r="N465" s="169" t="s">
        <v>7231</v>
      </c>
      <c r="O465" s="118" t="str">
        <f t="array" ref="O465">IFERROR(
VLOOKUP(
TRIM(CLEAN(
INDEX(REPORTE_DROPI!K:K,
MATCH(T465, REPORTE_DROPI!B:B, 0)
))),
{
TRIM(CLEAN(MAPA_ESTADOS!A:A)) ,
MAPA_ESTADOS!B:B
},
2,
FALSE
),
"REVISAR"
)</f>
        <v>ENTREGADO</v>
      </c>
      <c r="P465" s="154" t="s">
        <v>5909</v>
      </c>
      <c r="Q465" s="153">
        <f t="shared" si="1"/>
        <v>0</v>
      </c>
      <c r="R465" s="172"/>
      <c r="S465" s="172"/>
      <c r="T465" s="118">
        <f t="array" ref="T465">IFERROR(
INDEX(REPORTE_DROPI!B:B,
MATCH(
CLEAN(TRIM(C465)),
CLEAN(TRIM(REPORTE_DROPI!E:E)),
0
)
),
""
)
</f>
        <v>4547129</v>
      </c>
      <c r="U465" s="169" t="s">
        <v>7232</v>
      </c>
      <c r="V465" s="166"/>
      <c r="W465" s="18"/>
      <c r="X465" s="18"/>
      <c r="Y465" s="18"/>
      <c r="Z465" s="18"/>
    </row>
    <row r="466" ht="22.5" hidden="1" customHeight="1">
      <c r="A466" s="169">
        <v>465.0</v>
      </c>
      <c r="B466" s="170">
        <v>46068.0</v>
      </c>
      <c r="C466" s="154" t="s">
        <v>7233</v>
      </c>
      <c r="D466" s="118" t="str">
        <f>IFERROR(__xludf.DUMMYFUNCTION("IFERROR( INDEX( FILTER( 'NOMBRE DE PRODUCTOS'!B:B, REGEXMATCH( UPPER( INDEX( REPORTE_DROPI!AC:AC, MATCH(T466, REPORTE_DROPI!B:B, 0) ) ), UPPER('NOMBRE DE PRODUCTOS'!A:A) ) ), 1 ), ""REVISAR"" )"),"Cuchillo Tazaki™")</f>
        <v>Cuchillo Tazaki™</v>
      </c>
      <c r="E466" s="120">
        <f t="array" ref="E466">IF(
UPPER(TRIM(CLEAN($O466)))="ENTREGADO",
IFERROR(
INDEX(REPORTE_DROPI!Y:Y,
MATCH($T466, REPORTE_DROPI!B:B, 0)
),
""
),
""
)
</f>
        <v>11.25</v>
      </c>
      <c r="F466" s="171">
        <v>3.0</v>
      </c>
      <c r="G466" s="122">
        <f t="array" ref="G466">IF(
UPPER(TRIM(CLEAN($O466)))="ENTREGADO",
IFERROR(
INDEX(REPORTE_DROPI!R:R,
MATCH($T466, REPORTE_DROPI!B:B, 0)
),
""
),
""
)
</f>
        <v>27</v>
      </c>
      <c r="H466" s="118" t="s">
        <v>3727</v>
      </c>
      <c r="I466" s="154" t="s">
        <v>3731</v>
      </c>
      <c r="J466" s="121">
        <f t="array" ref="J466">IF(
UPPER(TRIM(CLEAN($O466)))="ENTREGADO",
IFERROR(
INDEX(REPORTE_DROPI!T:T,
MATCH($T466, REPORTE_DROPI!B:B, 0)
),
""
),
""
)
</f>
        <v>4.99</v>
      </c>
      <c r="K466" s="118">
        <f t="array" ref="K466">IFERROR(
INDEX(REPORTE_DROPI!S:S,
MATCH($T466, REPORTE_DROPI!B:B, 0)
),
""
)</f>
        <v>10.76</v>
      </c>
      <c r="L466" s="118" t="str">
        <f>IF(
  O466&lt;&gt;"DEVOLUCION",
  "",
  IF(
    T466="",
    "",
    SUMIF(DEVOLUCION!F:F, T466, DEVOLUCION!D:D)
  )
)
</f>
        <v/>
      </c>
      <c r="M466" s="118" t="s">
        <v>5877</v>
      </c>
      <c r="N466" s="169" t="s">
        <v>7234</v>
      </c>
      <c r="O466" s="118" t="str">
        <f t="array" ref="O466">IFERROR(
VLOOKUP(
TRIM(CLEAN(
INDEX(REPORTE_DROPI!K:K,
MATCH(T466, REPORTE_DROPI!B:B, 0)
))),
{
TRIM(CLEAN(MAPA_ESTADOS!A:A)) ,
MAPA_ESTADOS!B:B
},
2,
FALSE
),
"REVISAR"
)</f>
        <v>ENTREGADO</v>
      </c>
      <c r="P466" s="154" t="s">
        <v>5909</v>
      </c>
      <c r="Q466" s="153">
        <f t="shared" si="1"/>
        <v>0</v>
      </c>
      <c r="R466" s="172"/>
      <c r="S466" s="172"/>
      <c r="T466" s="118">
        <f t="array" ref="T466">IFERROR(
INDEX(REPORTE_DROPI!B:B,
MATCH(
CLEAN(TRIM(C466)),
CLEAN(TRIM(REPORTE_DROPI!E:E)),
0
)
),
""
)
</f>
        <v>4523537</v>
      </c>
      <c r="U466" s="169" t="s">
        <v>7235</v>
      </c>
      <c r="V466" s="166"/>
      <c r="W466" s="18"/>
      <c r="X466" s="18"/>
      <c r="Y466" s="18"/>
      <c r="Z466" s="18"/>
    </row>
    <row r="467" ht="22.5" hidden="1" customHeight="1">
      <c r="A467" s="169">
        <v>466.0</v>
      </c>
      <c r="B467" s="170">
        <v>46068.0</v>
      </c>
      <c r="C467" s="154" t="s">
        <v>7236</v>
      </c>
      <c r="D467" s="118" t="str">
        <f>IFERROR(__xludf.DUMMYFUNCTION("IFERROR( INDEX( FILTER( 'NOMBRE DE PRODUCTOS'!B:B, REGEXMATCH( UPPER( INDEX( REPORTE_DROPI!AC:AC, MATCH(T467, REPORTE_DROPI!B:B, 0) ) ), UPPER('NOMBRE DE PRODUCTOS'!A:A) ) ), 1 ), ""REVISAR"" )"),"FilmPro®")</f>
        <v>FilmPro®</v>
      </c>
      <c r="E467" s="120" t="str">
        <f t="array" ref="E467">IF(
UPPER(TRIM(CLEAN($O467)))="ENTREGADO",
IFERROR(
INDEX(REPORTE_DROPI!Y:Y,
MATCH($T467, REPORTE_DROPI!B:B, 0)
),
""
),
""
)
</f>
        <v/>
      </c>
      <c r="F467" s="171">
        <v>1.0</v>
      </c>
      <c r="G467" s="122" t="str">
        <f t="array" ref="G467">IF(
UPPER(TRIM(CLEAN($O467)))="ENTREGADO",
IFERROR(
INDEX(REPORTE_DROPI!R:R,
MATCH($T467, REPORTE_DROPI!B:B, 0)
),
""
),
""
)
</f>
        <v/>
      </c>
      <c r="H467" s="118" t="s">
        <v>3727</v>
      </c>
      <c r="I467" s="154" t="s">
        <v>3864</v>
      </c>
      <c r="J467" s="121" t="str">
        <f t="array" ref="J467">IF(
UPPER(TRIM(CLEAN($O467)))="ENTREGADO",
IFERROR(
INDEX(REPORTE_DROPI!T:T,
MATCH($T467, REPORTE_DROPI!B:B, 0)
),
""
),
""
)
</f>
        <v/>
      </c>
      <c r="K467" s="118" t="str">
        <f t="array" ref="K467">IFERROR(
INDEX(REPORTE_DROPI!S:S,
MATCH($T467, REPORTE_DROPI!B:B, 0)
),
""
)</f>
        <v/>
      </c>
      <c r="L467" s="118">
        <f>IF(
  O467&lt;&gt;"DEVOLUCION",
  "",
  IF(
    T467="",
    "",
    SUMIF(DEVOLUCION!F:F, T467, DEVOLUCION!D:D)
  )
)
</f>
        <v>0</v>
      </c>
      <c r="M467" s="118" t="s">
        <v>5877</v>
      </c>
      <c r="N467" s="169" t="s">
        <v>7237</v>
      </c>
      <c r="O467" s="118" t="str">
        <f t="array" ref="O467">IFERROR(
VLOOKUP(
TRIM(CLEAN(
INDEX(REPORTE_DROPI!K:K,
MATCH(T467, REPORTE_DROPI!B:B, 0)
))),
{
TRIM(CLEAN(MAPA_ESTADOS!A:A)) ,
MAPA_ESTADOS!B:B
},
2,
FALSE
),
"REVISAR"
)</f>
        <v>DEVOLUCION</v>
      </c>
      <c r="P467" s="154" t="s">
        <v>5692</v>
      </c>
      <c r="Q467" s="153">
        <f t="shared" si="1"/>
        <v>0</v>
      </c>
      <c r="R467" s="172"/>
      <c r="S467" s="172"/>
      <c r="T467" s="118">
        <f t="array" ref="T467">IFERROR(
INDEX(REPORTE_DROPI!B:B,
MATCH(
CLEAN(TRIM(C467)),
CLEAN(TRIM(REPORTE_DROPI!E:E)),
0
)
),
""
)
</f>
        <v>4518190</v>
      </c>
      <c r="U467" s="169" t="s">
        <v>7238</v>
      </c>
      <c r="V467" s="166"/>
      <c r="W467" s="18"/>
      <c r="X467" s="18"/>
      <c r="Y467" s="18"/>
      <c r="Z467" s="18"/>
    </row>
    <row r="468" ht="22.5" hidden="1" customHeight="1">
      <c r="A468" s="169">
        <v>467.0</v>
      </c>
      <c r="B468" s="170">
        <v>46068.0</v>
      </c>
      <c r="C468" s="154" t="s">
        <v>7239</v>
      </c>
      <c r="D468" s="118" t="str">
        <f>IFERROR(__xludf.DUMMYFUNCTION("IFERROR( INDEX( FILTER( 'NOMBRE DE PRODUCTOS'!B:B, REGEXMATCH( UPPER( INDEX( REPORTE_DROPI!AC:AC, MATCH(T468, REPORTE_DROPI!B:B, 0) ) ), UPPER('NOMBRE DE PRODUCTOS'!A:A) ) ), 1 ), ""REVISAR"" )"),"FilmPro®")</f>
        <v>FilmPro®</v>
      </c>
      <c r="E468" s="120">
        <f t="array" ref="E468">IF(
UPPER(TRIM(CLEAN($O468)))="ENTREGADO",
IFERROR(
INDEX(REPORTE_DROPI!Y:Y,
MATCH($T468, REPORTE_DROPI!B:B, 0)
),
""
),
""
)
</f>
        <v>4.8</v>
      </c>
      <c r="F468" s="171">
        <v>2.0</v>
      </c>
      <c r="G468" s="122">
        <f t="array" ref="G468">IF(
UPPER(TRIM(CLEAN($O468)))="ENTREGADO",
IFERROR(
INDEX(REPORTE_DROPI!R:R,
MATCH($T468, REPORTE_DROPI!B:B, 0)
),
""
),
""
)
</f>
        <v>25</v>
      </c>
      <c r="H468" s="118" t="s">
        <v>3727</v>
      </c>
      <c r="I468" s="154" t="s">
        <v>3770</v>
      </c>
      <c r="J468" s="121">
        <f t="array" ref="J468">IF(
UPPER(TRIM(CLEAN($O468)))="ENTREGADO",
IFERROR(
INDEX(REPORTE_DROPI!T:T,
MATCH($T468, REPORTE_DROPI!B:B, 0)
),
""
),
""
)
</f>
        <v>5.96</v>
      </c>
      <c r="K468" s="118">
        <f t="array" ref="K468">IFERROR(
INDEX(REPORTE_DROPI!S:S,
MATCH($T468, REPORTE_DROPI!B:B, 0)
),
""
)</f>
        <v>14.24</v>
      </c>
      <c r="L468" s="118" t="str">
        <f>IF(
  O468&lt;&gt;"DEVOLUCION",
  "",
  IF(
    T468="",
    "",
    SUMIF(DEVOLUCION!F:F, T468, DEVOLUCION!D:D)
  )
)
</f>
        <v/>
      </c>
      <c r="M468" s="118" t="s">
        <v>5877</v>
      </c>
      <c r="N468" s="169" t="s">
        <v>7240</v>
      </c>
      <c r="O468" s="118" t="str">
        <f t="array" ref="O468">IFERROR(
VLOOKUP(
TRIM(CLEAN(
INDEX(REPORTE_DROPI!K:K,
MATCH(T468, REPORTE_DROPI!B:B, 0)
))),
{
TRIM(CLEAN(MAPA_ESTADOS!A:A)) ,
MAPA_ESTADOS!B:B
},
2,
FALSE
),
"REVISAR"
)</f>
        <v>ENTREGADO</v>
      </c>
      <c r="P468" s="154" t="s">
        <v>6945</v>
      </c>
      <c r="Q468" s="153">
        <f t="shared" si="1"/>
        <v>0</v>
      </c>
      <c r="R468" s="172"/>
      <c r="S468" s="172"/>
      <c r="T468" s="118">
        <f t="array" ref="T468">IFERROR(
INDEX(REPORTE_DROPI!B:B,
MATCH(
CLEAN(TRIM(C468)),
CLEAN(TRIM(REPORTE_DROPI!E:E)),
0
)
),
""
)
</f>
        <v>4547597</v>
      </c>
      <c r="U468" s="169"/>
      <c r="V468" s="166"/>
      <c r="W468" s="18"/>
      <c r="X468" s="18"/>
      <c r="Y468" s="18"/>
      <c r="Z468" s="18"/>
    </row>
    <row r="469" ht="22.5" hidden="1" customHeight="1">
      <c r="A469" s="169">
        <v>468.0</v>
      </c>
      <c r="B469" s="170">
        <v>46068.0</v>
      </c>
      <c r="C469" s="154" t="s">
        <v>7241</v>
      </c>
      <c r="D469" s="118" t="str">
        <f>IFERROR(__xludf.DUMMYFUNCTION("IFERROR( INDEX( FILTER( 'NOMBRE DE PRODUCTOS'!B:B, REGEXMATCH( UPPER( INDEX( REPORTE_DROPI!AC:AC, MATCH(T469, REPORTE_DROPI!B:B, 0) ) ), UPPER('NOMBRE DE PRODUCTOS'!A:A) ) ), 1 ), ""REVISAR"" )"),"Cuchillo Tazaki™")</f>
        <v>Cuchillo Tazaki™</v>
      </c>
      <c r="E469" s="120" t="str">
        <f t="array" ref="E469">IF(
UPPER(TRIM(CLEAN($O469)))="ENTREGADO",
IFERROR(
INDEX(REPORTE_DROPI!Y:Y,
MATCH($T469, REPORTE_DROPI!B:B, 0)
),
""
),
""
)
</f>
        <v/>
      </c>
      <c r="F469" s="171">
        <v>4.0</v>
      </c>
      <c r="G469" s="122" t="str">
        <f t="array" ref="G469">IF(
UPPER(TRIM(CLEAN($O469)))="ENTREGADO",
IFERROR(
INDEX(REPORTE_DROPI!R:R,
MATCH($T469, REPORTE_DROPI!B:B, 0)
),
""
),
""
)
</f>
        <v/>
      </c>
      <c r="H469" s="118" t="s">
        <v>3727</v>
      </c>
      <c r="I469" s="154" t="s">
        <v>3740</v>
      </c>
      <c r="J469" s="121" t="str">
        <f t="array" ref="J469">IF(
UPPER(TRIM(CLEAN($O469)))="ENTREGADO",
IFERROR(
INDEX(REPORTE_DROPI!T:T,
MATCH($T469, REPORTE_DROPI!B:B, 0)
),
""
),
""
)
</f>
        <v/>
      </c>
      <c r="K469" s="118" t="str">
        <f t="array" ref="K469">IFERROR(
INDEX(REPORTE_DROPI!S:S,
MATCH($T469, REPORTE_DROPI!B:B, 0)
),
""
)</f>
        <v/>
      </c>
      <c r="L469" s="118">
        <f>IF(
  O469&lt;&gt;"DEVOLUCION",
  "",
  IF(
    T469="",
    "",
    SUMIF(DEVOLUCION!F:F, T469, DEVOLUCION!D:D)
  )
)
</f>
        <v>5.13</v>
      </c>
      <c r="M469" s="118" t="s">
        <v>5877</v>
      </c>
      <c r="N469" s="169" t="s">
        <v>7242</v>
      </c>
      <c r="O469" s="118" t="str">
        <f t="array" ref="O469">IFERROR(
VLOOKUP(
TRIM(CLEAN(
INDEX(REPORTE_DROPI!K:K,
MATCH(T469, REPORTE_DROPI!B:B, 0)
))),
{
TRIM(CLEAN(MAPA_ESTADOS!A:A)) ,
MAPA_ESTADOS!B:B
},
2,
FALSE
),
"REVISAR"
)</f>
        <v>DEVOLUCION</v>
      </c>
      <c r="P469" s="154" t="s">
        <v>5909</v>
      </c>
      <c r="Q469" s="153">
        <f t="shared" si="1"/>
        <v>0</v>
      </c>
      <c r="R469" s="172"/>
      <c r="S469" s="172"/>
      <c r="T469" s="118">
        <f t="array" ref="T469">IFERROR(
INDEX(REPORTE_DROPI!B:B,
MATCH(
CLEAN(TRIM(C469)),
CLEAN(TRIM(REPORTE_DROPI!E:E)),
0
)
),
""
)
</f>
        <v>4523546</v>
      </c>
      <c r="U469" s="169" t="s">
        <v>7243</v>
      </c>
      <c r="V469" s="166"/>
      <c r="W469" s="18"/>
      <c r="X469" s="18"/>
      <c r="Y469" s="18"/>
      <c r="Z469" s="18"/>
    </row>
    <row r="470" ht="22.5" hidden="1" customHeight="1">
      <c r="A470" s="169">
        <v>469.0</v>
      </c>
      <c r="B470" s="170">
        <v>46068.0</v>
      </c>
      <c r="C470" s="154" t="s">
        <v>7244</v>
      </c>
      <c r="D470" s="118" t="str">
        <f>IFERROR(__xludf.DUMMYFUNCTION("IFERROR( INDEX( FILTER( 'NOMBRE DE PRODUCTOS'!B:B, REGEXMATCH( UPPER( INDEX( REPORTE_DROPI!AC:AC, MATCH(T470, REPORTE_DROPI!B:B, 0) ) ), UPPER('NOMBRE DE PRODUCTOS'!A:A) ) ), 1 ), ""REVISAR"" )"),"FilmPro®")</f>
        <v>FilmPro®</v>
      </c>
      <c r="E470" s="120">
        <f t="array" ref="E470">IF(
UPPER(TRIM(CLEAN($O470)))="ENTREGADO",
IFERROR(
INDEX(REPORTE_DROPI!Y:Y,
MATCH($T470, REPORTE_DROPI!B:B, 0)
),
""
),
""
)
</f>
        <v>2.4</v>
      </c>
      <c r="F470" s="171">
        <v>1.0</v>
      </c>
      <c r="G470" s="122">
        <f t="array" ref="G470">IF(
UPPER(TRIM(CLEAN($O470)))="ENTREGADO",
IFERROR(
INDEX(REPORTE_DROPI!R:R,
MATCH($T470, REPORTE_DROPI!B:B, 0)
),
""
),
""
)
</f>
        <v>20</v>
      </c>
      <c r="H470" s="118" t="s">
        <v>3727</v>
      </c>
      <c r="I470" s="154" t="s">
        <v>3731</v>
      </c>
      <c r="J470" s="121">
        <f t="array" ref="J470">IF(
UPPER(TRIM(CLEAN($O470)))="ENTREGADO",
IFERROR(
INDEX(REPORTE_DROPI!T:T,
MATCH($T470, REPORTE_DROPI!B:B, 0)
),
""
),
""
)
</f>
        <v>5.76</v>
      </c>
      <c r="K470" s="118">
        <f t="array" ref="K470">IFERROR(
INDEX(REPORTE_DROPI!S:S,
MATCH($T470, REPORTE_DROPI!B:B, 0)
),
""
)</f>
        <v>11.84</v>
      </c>
      <c r="L470" s="118" t="str">
        <f>IF(
  O470&lt;&gt;"DEVOLUCION",
  "",
  IF(
    T470="",
    "",
    SUMIF(DEVOLUCION!F:F, T470, DEVOLUCION!D:D)
  )
)
</f>
        <v/>
      </c>
      <c r="M470" s="118" t="s">
        <v>5877</v>
      </c>
      <c r="N470" s="169" t="s">
        <v>7245</v>
      </c>
      <c r="O470" s="118" t="str">
        <f t="array" ref="O470">IFERROR(
VLOOKUP(
TRIM(CLEAN(
INDEX(REPORTE_DROPI!K:K,
MATCH(T470, REPORTE_DROPI!B:B, 0)
))),
{
TRIM(CLEAN(MAPA_ESTADOS!A:A)) ,
MAPA_ESTADOS!B:B
},
2,
FALSE
),
"REVISAR"
)</f>
        <v>ENTREGADO</v>
      </c>
      <c r="P470" s="154" t="s">
        <v>6666</v>
      </c>
      <c r="Q470" s="153">
        <f t="shared" si="1"/>
        <v>0</v>
      </c>
      <c r="R470" s="172"/>
      <c r="S470" s="172"/>
      <c r="T470" s="118">
        <f t="array" ref="T470">IFERROR(
INDEX(REPORTE_DROPI!B:B,
MATCH(
CLEAN(TRIM(C470)),
CLEAN(TRIM(REPORTE_DROPI!E:E)),
0
)
),
""
)
</f>
        <v>4518664</v>
      </c>
      <c r="U470" s="169" t="s">
        <v>7246</v>
      </c>
      <c r="V470" s="166"/>
      <c r="W470" s="18"/>
      <c r="X470" s="18"/>
      <c r="Y470" s="18"/>
      <c r="Z470" s="18"/>
    </row>
    <row r="471" ht="22.5" hidden="1" customHeight="1">
      <c r="A471" s="169">
        <v>470.0</v>
      </c>
      <c r="B471" s="170">
        <v>46068.0</v>
      </c>
      <c r="C471" s="154" t="s">
        <v>7247</v>
      </c>
      <c r="D471" s="118" t="str">
        <f>IFERROR(__xludf.DUMMYFUNCTION("IFERROR( INDEX( FILTER( 'NOMBRE DE PRODUCTOS'!B:B, REGEXMATCH( UPPER( INDEX( REPORTE_DROPI!AC:AC, MATCH(T471, REPORTE_DROPI!B:B, 0) ) ), UPPER('NOMBRE DE PRODUCTOS'!A:A) ) ), 1 ), ""REVISAR"" )"),"FilmPro®")</f>
        <v>FilmPro®</v>
      </c>
      <c r="E471" s="120">
        <f t="array" ref="E471">IF(
UPPER(TRIM(CLEAN($O471)))="ENTREGADO",
IFERROR(
INDEX(REPORTE_DROPI!Y:Y,
MATCH($T471, REPORTE_DROPI!B:B, 0)
),
""
),
""
)
</f>
        <v>4.8</v>
      </c>
      <c r="F471" s="171">
        <v>2.0</v>
      </c>
      <c r="G471" s="122">
        <f t="array" ref="G471">IF(
UPPER(TRIM(CLEAN($O471)))="ENTREGADO",
IFERROR(
INDEX(REPORTE_DROPI!R:R,
MATCH($T471, REPORTE_DROPI!B:B, 0)
),
""
),
""
)
</f>
        <v>25</v>
      </c>
      <c r="H471" s="118" t="s">
        <v>3727</v>
      </c>
      <c r="I471" s="154" t="s">
        <v>3738</v>
      </c>
      <c r="J471" s="121">
        <f t="array" ref="J471">IF(
UPPER(TRIM(CLEAN($O471)))="ENTREGADO",
IFERROR(
INDEX(REPORTE_DROPI!T:T,
MATCH($T471, REPORTE_DROPI!B:B, 0)
),
""
),
""
)
</f>
        <v>5.96</v>
      </c>
      <c r="K471" s="118">
        <f t="array" ref="K471">IFERROR(
INDEX(REPORTE_DROPI!S:S,
MATCH($T471, REPORTE_DROPI!B:B, 0)
),
""
)</f>
        <v>14.24</v>
      </c>
      <c r="L471" s="118" t="str">
        <f>IF(
  O471&lt;&gt;"DEVOLUCION",
  "",
  IF(
    T471="",
    "",
    SUMIF(DEVOLUCION!F:F, T471, DEVOLUCION!D:D)
  )
)
</f>
        <v/>
      </c>
      <c r="M471" s="118" t="s">
        <v>5877</v>
      </c>
      <c r="N471" s="169" t="s">
        <v>7248</v>
      </c>
      <c r="O471" s="118" t="str">
        <f t="array" ref="O471">IFERROR(
VLOOKUP(
TRIM(CLEAN(
INDEX(REPORTE_DROPI!K:K,
MATCH(T471, REPORTE_DROPI!B:B, 0)
))),
{
TRIM(CLEAN(MAPA_ESTADOS!A:A)) ,
MAPA_ESTADOS!B:B
},
2,
FALSE
),
"REVISAR"
)</f>
        <v>ENTREGADO</v>
      </c>
      <c r="P471" s="154" t="s">
        <v>5692</v>
      </c>
      <c r="Q471" s="153">
        <f t="shared" si="1"/>
        <v>0</v>
      </c>
      <c r="R471" s="172"/>
      <c r="S471" s="172"/>
      <c r="T471" s="118">
        <f t="array" ref="T471">IFERROR(
INDEX(REPORTE_DROPI!B:B,
MATCH(
CLEAN(TRIM(C471)),
CLEAN(TRIM(REPORTE_DROPI!E:E)),
0
)
),
""
)
</f>
        <v>4519287</v>
      </c>
      <c r="U471" s="173">
        <v>3.8191252104E10</v>
      </c>
      <c r="V471" s="166"/>
      <c r="W471" s="18"/>
      <c r="X471" s="18"/>
      <c r="Y471" s="18"/>
      <c r="Z471" s="18"/>
    </row>
    <row r="472" ht="22.5" hidden="1" customHeight="1">
      <c r="A472" s="169">
        <v>471.0</v>
      </c>
      <c r="B472" s="170">
        <v>46068.0</v>
      </c>
      <c r="C472" s="154" t="s">
        <v>7249</v>
      </c>
      <c r="D472" s="118" t="str">
        <f>IFERROR(__xludf.DUMMYFUNCTION("IFERROR( INDEX( FILTER( 'NOMBRE DE PRODUCTOS'!B:B, REGEXMATCH( UPPER( INDEX( REPORTE_DROPI!AC:AC, MATCH(T472, REPORTE_DROPI!B:B, 0) ) ), UPPER('NOMBRE DE PRODUCTOS'!A:A) ) ), 1 ), ""REVISAR"" )"),"Cuchillo Tazaki™")</f>
        <v>Cuchillo Tazaki™</v>
      </c>
      <c r="E472" s="120">
        <f t="array" ref="E472">IF(
UPPER(TRIM(CLEAN($O472)))="ENTREGADO",
IFERROR(
INDEX(REPORTE_DROPI!Y:Y,
MATCH($T472, REPORTE_DROPI!B:B, 0)
),
""
),
""
)
</f>
        <v>7.5</v>
      </c>
      <c r="F472" s="171">
        <v>2.0</v>
      </c>
      <c r="G472" s="122">
        <f t="array" ref="G472">IF(
UPPER(TRIM(CLEAN($O472)))="ENTREGADO",
IFERROR(
INDEX(REPORTE_DROPI!R:R,
MATCH($T472, REPORTE_DROPI!B:B, 0)
),
""
),
""
)
</f>
        <v>22</v>
      </c>
      <c r="H472" s="118" t="s">
        <v>3727</v>
      </c>
      <c r="I472" s="154" t="s">
        <v>3912</v>
      </c>
      <c r="J472" s="121">
        <f t="array" ref="J472">IF(
UPPER(TRIM(CLEAN($O472)))="ENTREGADO",
IFERROR(
INDEX(REPORTE_DROPI!T:T,
MATCH($T472, REPORTE_DROPI!B:B, 0)
),
""
),
""
)
</f>
        <v>5.84</v>
      </c>
      <c r="K472" s="118">
        <f t="array" ref="K472">IFERROR(
INDEX(REPORTE_DROPI!S:S,
MATCH($T472, REPORTE_DROPI!B:B, 0)
),
""
)</f>
        <v>8.66</v>
      </c>
      <c r="L472" s="118" t="str">
        <f>IF(
  O472&lt;&gt;"DEVOLUCION",
  "",
  IF(
    T472="",
    "",
    SUMIF(DEVOLUCION!F:F, T472, DEVOLUCION!D:D)
  )
)
</f>
        <v/>
      </c>
      <c r="M472" s="118" t="s">
        <v>5877</v>
      </c>
      <c r="N472" s="169" t="s">
        <v>7250</v>
      </c>
      <c r="O472" s="118" t="str">
        <f t="array" ref="O472">IFERROR(
VLOOKUP(
TRIM(CLEAN(
INDEX(REPORTE_DROPI!K:K,
MATCH(T472, REPORTE_DROPI!B:B, 0)
))),
{
TRIM(CLEAN(MAPA_ESTADOS!A:A)) ,
MAPA_ESTADOS!B:B
},
2,
FALSE
),
"REVISAR"
)</f>
        <v>ENTREGADO</v>
      </c>
      <c r="P472" s="154" t="s">
        <v>5909</v>
      </c>
      <c r="Q472" s="153">
        <f t="shared" si="1"/>
        <v>0</v>
      </c>
      <c r="R472" s="172"/>
      <c r="S472" s="172"/>
      <c r="T472" s="118">
        <f t="array" ref="T472">IFERROR(
INDEX(REPORTE_DROPI!B:B,
MATCH(
CLEAN(TRIM(C472)),
CLEAN(TRIM(REPORTE_DROPI!E:E)),
0
)
),
""
)
</f>
        <v>4523548</v>
      </c>
      <c r="U472" s="169" t="s">
        <v>7251</v>
      </c>
      <c r="V472" s="166"/>
      <c r="W472" s="18"/>
      <c r="X472" s="18"/>
      <c r="Y472" s="18"/>
      <c r="Z472" s="18"/>
    </row>
    <row r="473" ht="22.5" hidden="1" customHeight="1">
      <c r="A473" s="169">
        <v>472.0</v>
      </c>
      <c r="B473" s="170">
        <v>46068.0</v>
      </c>
      <c r="C473" s="154" t="s">
        <v>7252</v>
      </c>
      <c r="D473" s="118" t="str">
        <f>IFERROR(__xludf.DUMMYFUNCTION("IFERROR( INDEX( FILTER( 'NOMBRE DE PRODUCTOS'!B:B, REGEXMATCH( UPPER( INDEX( REPORTE_DROPI!AC:AC, MATCH(T473, REPORTE_DROPI!B:B, 0) ) ), UPPER('NOMBRE DE PRODUCTOS'!A:A) ) ), 1 ), ""REVISAR"" )"),"Cuchillo Tazaki™")</f>
        <v>Cuchillo Tazaki™</v>
      </c>
      <c r="E473" s="120">
        <f t="array" ref="E473">IF(
UPPER(TRIM(CLEAN($O473)))="ENTREGADO",
IFERROR(
INDEX(REPORTE_DROPI!Y:Y,
MATCH($T473, REPORTE_DROPI!B:B, 0)
),
""
),
""
)
</f>
        <v>7.5</v>
      </c>
      <c r="F473" s="171">
        <v>2.0</v>
      </c>
      <c r="G473" s="122">
        <f t="array" ref="G473">IF(
UPPER(TRIM(CLEAN($O473)))="ENTREGADO",
IFERROR(
INDEX(REPORTE_DROPI!R:R,
MATCH($T473, REPORTE_DROPI!B:B, 0)
),
""
),
""
)
</f>
        <v>22</v>
      </c>
      <c r="H473" s="118" t="s">
        <v>3727</v>
      </c>
      <c r="I473" s="154" t="s">
        <v>3801</v>
      </c>
      <c r="J473" s="121">
        <f t="array" ref="J473">IF(
UPPER(TRIM(CLEAN($O473)))="ENTREGADO",
IFERROR(
INDEX(REPORTE_DROPI!T:T,
MATCH($T473, REPORTE_DROPI!B:B, 0)
),
""
),
""
)
</f>
        <v>7.7</v>
      </c>
      <c r="K473" s="118">
        <f t="array" ref="K473">IFERROR(
INDEX(REPORTE_DROPI!S:S,
MATCH($T473, REPORTE_DROPI!B:B, 0)
),
""
)</f>
        <v>6.8</v>
      </c>
      <c r="L473" s="118" t="str">
        <f>IF(
  O473&lt;&gt;"DEVOLUCION",
  "",
  IF(
    T473="",
    "",
    SUMIF(DEVOLUCION!F:F, T473, DEVOLUCION!D:D)
  )
)
</f>
        <v/>
      </c>
      <c r="M473" s="118" t="s">
        <v>5877</v>
      </c>
      <c r="N473" s="169" t="s">
        <v>7253</v>
      </c>
      <c r="O473" s="118" t="str">
        <f t="array" ref="O473">IFERROR(
VLOOKUP(
TRIM(CLEAN(
INDEX(REPORTE_DROPI!K:K,
MATCH(T473, REPORTE_DROPI!B:B, 0)
))),
{
TRIM(CLEAN(MAPA_ESTADOS!A:A)) ,
MAPA_ESTADOS!B:B
},
2,
FALSE
),
"REVISAR"
)</f>
        <v>ENTREGADO</v>
      </c>
      <c r="P473" s="154" t="s">
        <v>5909</v>
      </c>
      <c r="Q473" s="153">
        <f t="shared" si="1"/>
        <v>0</v>
      </c>
      <c r="R473" s="172"/>
      <c r="S473" s="172"/>
      <c r="T473" s="118">
        <f t="array" ref="T473">IFERROR(
INDEX(REPORTE_DROPI!B:B,
MATCH(
CLEAN(TRIM(C473)),
CLEAN(TRIM(REPORTE_DROPI!E:E)),
0
)
),
""
)
</f>
        <v>4548322</v>
      </c>
      <c r="U473" s="169" t="s">
        <v>7254</v>
      </c>
      <c r="V473" s="166"/>
      <c r="W473" s="18"/>
      <c r="X473" s="18"/>
      <c r="Y473" s="18"/>
      <c r="Z473" s="18"/>
    </row>
    <row r="474" ht="22.5" hidden="1" customHeight="1">
      <c r="A474" s="169">
        <v>473.0</v>
      </c>
      <c r="B474" s="170">
        <v>46068.0</v>
      </c>
      <c r="C474" s="154" t="s">
        <v>7255</v>
      </c>
      <c r="D474" s="118" t="str">
        <f>IFERROR(__xludf.DUMMYFUNCTION("IFERROR( INDEX( FILTER( 'NOMBRE DE PRODUCTOS'!B:B, REGEXMATCH( UPPER( INDEX( REPORTE_DROPI!AC:AC, MATCH(T474, REPORTE_DROPI!B:B, 0) ) ), UPPER('NOMBRE DE PRODUCTOS'!A:A) ) ), 1 ), ""REVISAR"" )"),"Cuchillo Tazaki™")</f>
        <v>Cuchillo Tazaki™</v>
      </c>
      <c r="E474" s="120">
        <f t="array" ref="E474">IF(
UPPER(TRIM(CLEAN($O474)))="ENTREGADO",
IFERROR(
INDEX(REPORTE_DROPI!Y:Y,
MATCH($T474, REPORTE_DROPI!B:B, 0)
),
""
),
""
)
</f>
        <v>7.5</v>
      </c>
      <c r="F474" s="171">
        <v>2.0</v>
      </c>
      <c r="G474" s="122">
        <f t="array" ref="G474">IF(
UPPER(TRIM(CLEAN($O474)))="ENTREGADO",
IFERROR(
INDEX(REPORTE_DROPI!R:R,
MATCH($T474, REPORTE_DROPI!B:B, 0)
),
""
),
""
)
</f>
        <v>22</v>
      </c>
      <c r="H474" s="118" t="s">
        <v>3727</v>
      </c>
      <c r="I474" s="154" t="s">
        <v>3731</v>
      </c>
      <c r="J474" s="121">
        <f t="array" ref="J474">IF(
UPPER(TRIM(CLEAN($O474)))="ENTREGADO",
IFERROR(
INDEX(REPORTE_DROPI!T:T,
MATCH($T474, REPORTE_DROPI!B:B, 0)
),
""
),
""
)
</f>
        <v>4.8</v>
      </c>
      <c r="K474" s="118">
        <f t="array" ref="K474">IFERROR(
INDEX(REPORTE_DROPI!S:S,
MATCH($T474, REPORTE_DROPI!B:B, 0)
),
""
)</f>
        <v>9.7</v>
      </c>
      <c r="L474" s="118" t="str">
        <f>IF(
  O474&lt;&gt;"DEVOLUCION",
  "",
  IF(
    T474="",
    "",
    SUMIF(DEVOLUCION!F:F, T474, DEVOLUCION!D:D)
  )
)
</f>
        <v/>
      </c>
      <c r="M474" s="118" t="s">
        <v>5877</v>
      </c>
      <c r="N474" s="169" t="s">
        <v>7256</v>
      </c>
      <c r="O474" s="118" t="str">
        <f t="array" ref="O474">IFERROR(
VLOOKUP(
TRIM(CLEAN(
INDEX(REPORTE_DROPI!K:K,
MATCH(T474, REPORTE_DROPI!B:B, 0)
))),
{
TRIM(CLEAN(MAPA_ESTADOS!A:A)) ,
MAPA_ESTADOS!B:B
},
2,
FALSE
),
"REVISAR"
)</f>
        <v>ENTREGADO</v>
      </c>
      <c r="P474" s="154" t="s">
        <v>5909</v>
      </c>
      <c r="Q474" s="153">
        <f t="shared" si="1"/>
        <v>0</v>
      </c>
      <c r="R474" s="172"/>
      <c r="S474" s="172"/>
      <c r="T474" s="118">
        <f t="array" ref="T474">IFERROR(
INDEX(REPORTE_DROPI!B:B,
MATCH(
CLEAN(TRIM(C474)),
CLEAN(TRIM(REPORTE_DROPI!E:E)),
0
)
),
""
)
</f>
        <v>4548342</v>
      </c>
      <c r="U474" s="169" t="s">
        <v>7257</v>
      </c>
      <c r="V474" s="166"/>
      <c r="W474" s="18"/>
      <c r="X474" s="18"/>
      <c r="Y474" s="18"/>
      <c r="Z474" s="18"/>
    </row>
    <row r="475" ht="22.5" hidden="1" customHeight="1">
      <c r="A475" s="169">
        <v>474.0</v>
      </c>
      <c r="B475" s="170">
        <v>46068.0</v>
      </c>
      <c r="C475" s="154" t="s">
        <v>7258</v>
      </c>
      <c r="D475" s="118" t="str">
        <f>IFERROR(__xludf.DUMMYFUNCTION("IFERROR( INDEX( FILTER( 'NOMBRE DE PRODUCTOS'!B:B, REGEXMATCH( UPPER( INDEX( REPORTE_DROPI!AC:AC, MATCH(T475, REPORTE_DROPI!B:B, 0) ) ), UPPER('NOMBRE DE PRODUCTOS'!A:A) ) ), 1 ), ""REVISAR"" )"),"FilmPro®")</f>
        <v>FilmPro®</v>
      </c>
      <c r="E475" s="120">
        <f t="array" ref="E475">IF(
UPPER(TRIM(CLEAN($O475)))="ENTREGADO",
IFERROR(
INDEX(REPORTE_DROPI!Y:Y,
MATCH($T475, REPORTE_DROPI!B:B, 0)
),
""
),
""
)
</f>
        <v>2.4</v>
      </c>
      <c r="F475" s="171">
        <v>1.0</v>
      </c>
      <c r="G475" s="122">
        <f t="array" ref="G475">IF(
UPPER(TRIM(CLEAN($O475)))="ENTREGADO",
IFERROR(
INDEX(REPORTE_DROPI!R:R,
MATCH($T475, REPORTE_DROPI!B:B, 0)
),
""
),
""
)
</f>
        <v>20</v>
      </c>
      <c r="H475" s="118" t="s">
        <v>3727</v>
      </c>
      <c r="I475" s="154" t="s">
        <v>3804</v>
      </c>
      <c r="J475" s="121">
        <f t="array" ref="J475">IF(
UPPER(TRIM(CLEAN($O475)))="ENTREGADO",
IFERROR(
INDEX(REPORTE_DROPI!T:T,
MATCH($T475, REPORTE_DROPI!B:B, 0)
),
""
),
""
)
</f>
        <v>5.76</v>
      </c>
      <c r="K475" s="118">
        <f t="array" ref="K475">IFERROR(
INDEX(REPORTE_DROPI!S:S,
MATCH($T475, REPORTE_DROPI!B:B, 0)
),
""
)</f>
        <v>11.84</v>
      </c>
      <c r="L475" s="118" t="str">
        <f>IF(
  O475&lt;&gt;"DEVOLUCION",
  "",
  IF(
    T475="",
    "",
    SUMIF(DEVOLUCION!F:F, T475, DEVOLUCION!D:D)
  )
)
</f>
        <v/>
      </c>
      <c r="M475" s="118" t="s">
        <v>5877</v>
      </c>
      <c r="N475" s="169" t="s">
        <v>7259</v>
      </c>
      <c r="O475" s="118" t="str">
        <f t="array" ref="O475">IFERROR(
VLOOKUP(
TRIM(CLEAN(
INDEX(REPORTE_DROPI!K:K,
MATCH(T475, REPORTE_DROPI!B:B, 0)
))),
{
TRIM(CLEAN(MAPA_ESTADOS!A:A)) ,
MAPA_ESTADOS!B:B
},
2,
FALSE
),
"REVISAR"
)</f>
        <v>ENTREGADO</v>
      </c>
      <c r="P475" s="154" t="s">
        <v>5692</v>
      </c>
      <c r="Q475" s="153">
        <f t="shared" si="1"/>
        <v>0</v>
      </c>
      <c r="R475" s="172"/>
      <c r="S475" s="172"/>
      <c r="T475" s="118">
        <f t="array" ref="T475">IFERROR(
INDEX(REPORTE_DROPI!B:B,
MATCH(
CLEAN(TRIM(C475)),
CLEAN(TRIM(REPORTE_DROPI!E:E)),
0
)
),
""
)
</f>
        <v>4519817</v>
      </c>
      <c r="U475" s="169" t="s">
        <v>7260</v>
      </c>
      <c r="V475" s="166"/>
      <c r="W475" s="18"/>
      <c r="X475" s="18"/>
      <c r="Y475" s="18"/>
      <c r="Z475" s="18"/>
    </row>
    <row r="476" ht="22.5" hidden="1" customHeight="1">
      <c r="A476" s="169">
        <v>475.0</v>
      </c>
      <c r="B476" s="170">
        <v>46068.0</v>
      </c>
      <c r="C476" s="154" t="s">
        <v>7261</v>
      </c>
      <c r="D476" s="118" t="str">
        <f>IFERROR(__xludf.DUMMYFUNCTION("IFERROR( INDEX( FILTER( 'NOMBRE DE PRODUCTOS'!B:B, REGEXMATCH( UPPER( INDEX( REPORTE_DROPI!AC:AC, MATCH(T476, REPORTE_DROPI!B:B, 0) ) ), UPPER('NOMBRE DE PRODUCTOS'!A:A) ) ), 1 ), ""REVISAR"" )"),"FilmPro®")</f>
        <v>FilmPro®</v>
      </c>
      <c r="E476" s="120" t="str">
        <f t="array" ref="E476">IF(
UPPER(TRIM(CLEAN($O476)))="ENTREGADO",
IFERROR(
INDEX(REPORTE_DROPI!Y:Y,
MATCH($T476, REPORTE_DROPI!B:B, 0)
),
""
),
""
)
</f>
        <v/>
      </c>
      <c r="F476" s="171">
        <v>1.0</v>
      </c>
      <c r="G476" s="122" t="str">
        <f t="array" ref="G476">IF(
UPPER(TRIM(CLEAN($O476)))="ENTREGADO",
IFERROR(
INDEX(REPORTE_DROPI!R:R,
MATCH($T476, REPORTE_DROPI!B:B, 0)
),
""
),
""
)
</f>
        <v/>
      </c>
      <c r="H476" s="118" t="s">
        <v>3727</v>
      </c>
      <c r="I476" s="154" t="s">
        <v>3731</v>
      </c>
      <c r="J476" s="121" t="str">
        <f t="array" ref="J476">IF(
UPPER(TRIM(CLEAN($O476)))="ENTREGADO",
IFERROR(
INDEX(REPORTE_DROPI!T:T,
MATCH($T476, REPORTE_DROPI!B:B, 0)
),
""
),
""
)
</f>
        <v/>
      </c>
      <c r="K476" s="118" t="str">
        <f t="array" ref="K476">IFERROR(
INDEX(REPORTE_DROPI!S:S,
MATCH($T476, REPORTE_DROPI!B:B, 0)
),
""
)</f>
        <v/>
      </c>
      <c r="L476" s="118" t="str">
        <f>IF(
  O476&lt;&gt;"DEVOLUCION",
  "",
  IF(
    T476="",
    "",
    SUMIF(DEVOLUCION!F:F, T476, DEVOLUCION!D:D)
  )
)
</f>
        <v/>
      </c>
      <c r="M476" s="118" t="s">
        <v>5877</v>
      </c>
      <c r="N476" s="169" t="s">
        <v>7262</v>
      </c>
      <c r="O476" s="118" t="str">
        <f t="array" ref="O476">IFERROR(
VLOOKUP(
TRIM(CLEAN(
INDEX(REPORTE_DROPI!K:K,
MATCH(T476, REPORTE_DROPI!B:B, 0)
))),
{
TRIM(CLEAN(MAPA_ESTADOS!A:A)) ,
MAPA_ESTADOS!B:B
},
2,
FALSE
),
"REVISAR"
)</f>
        <v>REVISAR</v>
      </c>
      <c r="P476" s="154" t="s">
        <v>6456</v>
      </c>
      <c r="Q476" s="153">
        <f t="shared" si="1"/>
        <v>0</v>
      </c>
      <c r="R476" s="172"/>
      <c r="S476" s="172"/>
      <c r="T476" s="118">
        <f t="array" ref="T476">IFERROR(
INDEX(REPORTE_DROPI!B:B,
MATCH(
CLEAN(TRIM(C476)),
CLEAN(TRIM(REPORTE_DROPI!E:E)),
0
)
),
""
)
</f>
        <v>4556470</v>
      </c>
      <c r="U476" s="173">
        <v>1.86209213115E11</v>
      </c>
      <c r="V476" s="166"/>
      <c r="W476" s="18"/>
      <c r="X476" s="18"/>
      <c r="Y476" s="18"/>
      <c r="Z476" s="18"/>
    </row>
    <row r="477" ht="22.5" hidden="1" customHeight="1">
      <c r="A477" s="169">
        <v>476.0</v>
      </c>
      <c r="B477" s="170">
        <v>46068.0</v>
      </c>
      <c r="C477" s="154" t="s">
        <v>7263</v>
      </c>
      <c r="D477" s="118" t="str">
        <f>IFERROR(__xludf.DUMMYFUNCTION("IFERROR( INDEX( FILTER( 'NOMBRE DE PRODUCTOS'!B:B, REGEXMATCH( UPPER( INDEX( REPORTE_DROPI!AC:AC, MATCH(T477, REPORTE_DROPI!B:B, 0) ) ), UPPER('NOMBRE DE PRODUCTOS'!A:A) ) ), 1 ), ""REVISAR"" )"),"Cuchillo Tazaki™")</f>
        <v>Cuchillo Tazaki™</v>
      </c>
      <c r="E477" s="120">
        <f t="array" ref="E477">IF(
UPPER(TRIM(CLEAN($O477)))="ENTREGADO",
IFERROR(
INDEX(REPORTE_DROPI!Y:Y,
MATCH($T477, REPORTE_DROPI!B:B, 0)
),
""
),
""
)
</f>
        <v>7.5</v>
      </c>
      <c r="F477" s="171">
        <v>2.0</v>
      </c>
      <c r="G477" s="122">
        <f t="array" ref="G477">IF(
UPPER(TRIM(CLEAN($O477)))="ENTREGADO",
IFERROR(
INDEX(REPORTE_DROPI!R:R,
MATCH($T477, REPORTE_DROPI!B:B, 0)
),
""
),
""
)
</f>
        <v>22</v>
      </c>
      <c r="H477" s="118" t="s">
        <v>3727</v>
      </c>
      <c r="I477" s="154" t="s">
        <v>3951</v>
      </c>
      <c r="J477" s="121">
        <f t="array" ref="J477">IF(
UPPER(TRIM(CLEAN($O477)))="ENTREGADO",
IFERROR(
INDEX(REPORTE_DROPI!T:T,
MATCH($T477, REPORTE_DROPI!B:B, 0)
),
""
),
""
)
</f>
        <v>5.84</v>
      </c>
      <c r="K477" s="118">
        <f t="array" ref="K477">IFERROR(
INDEX(REPORTE_DROPI!S:S,
MATCH($T477, REPORTE_DROPI!B:B, 0)
),
""
)</f>
        <v>8.66</v>
      </c>
      <c r="L477" s="118" t="str">
        <f>IF(
  O477&lt;&gt;"DEVOLUCION",
  "",
  IF(
    T477="",
    "",
    SUMIF(DEVOLUCION!F:F, T477, DEVOLUCION!D:D)
  )
)
</f>
        <v/>
      </c>
      <c r="M477" s="118" t="s">
        <v>5877</v>
      </c>
      <c r="N477" s="169" t="s">
        <v>7264</v>
      </c>
      <c r="O477" s="118" t="str">
        <f t="array" ref="O477">IFERROR(
VLOOKUP(
TRIM(CLEAN(
INDEX(REPORTE_DROPI!K:K,
MATCH(T477, REPORTE_DROPI!B:B, 0)
))),
{
TRIM(CLEAN(MAPA_ESTADOS!A:A)) ,
MAPA_ESTADOS!B:B
},
2,
FALSE
),
"REVISAR"
)</f>
        <v>ENTREGADO</v>
      </c>
      <c r="P477" s="154" t="s">
        <v>5909</v>
      </c>
      <c r="Q477" s="153">
        <f t="shared" si="1"/>
        <v>0</v>
      </c>
      <c r="R477" s="172"/>
      <c r="S477" s="172"/>
      <c r="T477" s="118">
        <f t="array" ref="T477">IFERROR(
INDEX(REPORTE_DROPI!B:B,
MATCH(
CLEAN(TRIM(C477)),
CLEAN(TRIM(REPORTE_DROPI!E:E)),
0
)
),
""
)
</f>
        <v>4523556</v>
      </c>
      <c r="U477" s="169" t="s">
        <v>7265</v>
      </c>
      <c r="V477" s="166"/>
      <c r="W477" s="18"/>
      <c r="X477" s="18"/>
      <c r="Y477" s="18"/>
      <c r="Z477" s="18"/>
    </row>
    <row r="478" ht="22.5" hidden="1" customHeight="1">
      <c r="A478" s="169">
        <v>477.0</v>
      </c>
      <c r="B478" s="170">
        <v>46068.0</v>
      </c>
      <c r="C478" s="154" t="s">
        <v>7266</v>
      </c>
      <c r="D478" s="118" t="str">
        <f>IFERROR(__xludf.DUMMYFUNCTION("IFERROR( INDEX( FILTER( 'NOMBRE DE PRODUCTOS'!B:B, REGEXMATCH( UPPER( INDEX( REPORTE_DROPI!AC:AC, MATCH(T478, REPORTE_DROPI!B:B, 0) ) ), UPPER('NOMBRE DE PRODUCTOS'!A:A) ) ), 1 ), ""REVISAR"" )"),"Cuchillo Tazaki™")</f>
        <v>Cuchillo Tazaki™</v>
      </c>
      <c r="E478" s="120" t="str">
        <f t="array" ref="E478">IF(
UPPER(TRIM(CLEAN($O478)))="ENTREGADO",
IFERROR(
INDEX(REPORTE_DROPI!Y:Y,
MATCH($T478, REPORTE_DROPI!B:B, 0)
),
""
),
""
)
</f>
        <v/>
      </c>
      <c r="F478" s="171">
        <v>2.0</v>
      </c>
      <c r="G478" s="122" t="str">
        <f t="array" ref="G478">IF(
UPPER(TRIM(CLEAN($O478)))="ENTREGADO",
IFERROR(
INDEX(REPORTE_DROPI!R:R,
MATCH($T478, REPORTE_DROPI!B:B, 0)
),
""
),
""
)
</f>
        <v/>
      </c>
      <c r="H478" s="118" t="s">
        <v>3727</v>
      </c>
      <c r="I478" s="154" t="s">
        <v>3731</v>
      </c>
      <c r="J478" s="121" t="str">
        <f t="array" ref="J478">IF(
UPPER(TRIM(CLEAN($O478)))="ENTREGADO",
IFERROR(
INDEX(REPORTE_DROPI!T:T,
MATCH($T478, REPORTE_DROPI!B:B, 0)
),
""
),
""
)
</f>
        <v/>
      </c>
      <c r="K478" s="118" t="str">
        <f t="array" ref="K478">IFERROR(
INDEX(REPORTE_DROPI!S:S,
MATCH($T478, REPORTE_DROPI!B:B, 0)
),
""
)</f>
        <v/>
      </c>
      <c r="L478" s="118" t="str">
        <f>IF(
  O478&lt;&gt;"DEVOLUCION",
  "",
  IF(
    T478="",
    "",
    SUMIF(DEVOLUCION!F:F, T478, DEVOLUCION!D:D)
  )
)
</f>
        <v/>
      </c>
      <c r="M478" s="118" t="s">
        <v>5877</v>
      </c>
      <c r="N478" s="169" t="s">
        <v>7267</v>
      </c>
      <c r="O478" s="118" t="str">
        <f t="array" ref="O478">IFERROR(
VLOOKUP(
TRIM(CLEAN(
INDEX(REPORTE_DROPI!K:K,
MATCH(T478, REPORTE_DROPI!B:B, 0)
))),
{
TRIM(CLEAN(MAPA_ESTADOS!A:A)) ,
MAPA_ESTADOS!B:B
},
2,
FALSE
),
"REVISAR"
)</f>
        <v>CANCELADO</v>
      </c>
      <c r="P478" s="154" t="s">
        <v>7268</v>
      </c>
      <c r="Q478" s="153">
        <f t="shared" si="1"/>
        <v>0</v>
      </c>
      <c r="R478" s="172"/>
      <c r="S478" s="172"/>
      <c r="T478" s="118">
        <f t="array" ref="T478">IFERROR(
INDEX(REPORTE_DROPI!B:B,
MATCH(
CLEAN(TRIM(C478)),
CLEAN(TRIM(REPORTE_DROPI!E:E)),
0
)
),
""
)
</f>
        <v>4523560</v>
      </c>
      <c r="U478" s="169" t="s">
        <v>7269</v>
      </c>
      <c r="V478" s="166"/>
      <c r="W478" s="18"/>
      <c r="X478" s="18"/>
      <c r="Y478" s="18"/>
      <c r="Z478" s="18"/>
    </row>
    <row r="479" ht="22.5" hidden="1" customHeight="1">
      <c r="A479" s="169">
        <v>478.0</v>
      </c>
      <c r="B479" s="170">
        <v>46068.0</v>
      </c>
      <c r="C479" s="154" t="s">
        <v>7270</v>
      </c>
      <c r="D479" s="118" t="str">
        <f>IFERROR(__xludf.DUMMYFUNCTION("IFERROR( INDEX( FILTER( 'NOMBRE DE PRODUCTOS'!B:B, REGEXMATCH( UPPER( INDEX( REPORTE_DROPI!AC:AC, MATCH(T479, REPORTE_DROPI!B:B, 0) ) ), UPPER('NOMBRE DE PRODUCTOS'!A:A) ) ), 1 ), ""REVISAR"" )"),"FilmPro®")</f>
        <v>FilmPro®</v>
      </c>
      <c r="E479" s="120" t="str">
        <f t="array" ref="E479">IF(
UPPER(TRIM(CLEAN($O479)))="ENTREGADO",
IFERROR(
INDEX(REPORTE_DROPI!Y:Y,
MATCH($T479, REPORTE_DROPI!B:B, 0)
),
""
),
""
)
</f>
        <v/>
      </c>
      <c r="F479" s="171">
        <v>2.0</v>
      </c>
      <c r="G479" s="122" t="str">
        <f t="array" ref="G479">IF(
UPPER(TRIM(CLEAN($O479)))="ENTREGADO",
IFERROR(
INDEX(REPORTE_DROPI!R:R,
MATCH($T479, REPORTE_DROPI!B:B, 0)
),
""
),
""
)
</f>
        <v/>
      </c>
      <c r="H479" s="118" t="s">
        <v>3727</v>
      </c>
      <c r="I479" s="154" t="s">
        <v>3728</v>
      </c>
      <c r="J479" s="121" t="str">
        <f t="array" ref="J479">IF(
UPPER(TRIM(CLEAN($O479)))="ENTREGADO",
IFERROR(
INDEX(REPORTE_DROPI!T:T,
MATCH($T479, REPORTE_DROPI!B:B, 0)
),
""
),
""
)
</f>
        <v/>
      </c>
      <c r="K479" s="118" t="str">
        <f t="array" ref="K479">IFERROR(
INDEX(REPORTE_DROPI!S:S,
MATCH($T479, REPORTE_DROPI!B:B, 0)
),
""
)</f>
        <v/>
      </c>
      <c r="L479" s="118">
        <f>IF(
  O479&lt;&gt;"DEVOLUCION",
  "",
  IF(
    T479="",
    "",
    SUMIF(DEVOLUCION!F:F, T479, DEVOLUCION!D:D)
  )
)
</f>
        <v>0</v>
      </c>
      <c r="M479" s="118" t="s">
        <v>5877</v>
      </c>
      <c r="N479" s="169" t="s">
        <v>7271</v>
      </c>
      <c r="O479" s="118" t="str">
        <f t="array" ref="O479">IFERROR(
VLOOKUP(
TRIM(CLEAN(
INDEX(REPORTE_DROPI!K:K,
MATCH(T479, REPORTE_DROPI!B:B, 0)
))),
{
TRIM(CLEAN(MAPA_ESTADOS!A:A)) ,
MAPA_ESTADOS!B:B
},
2,
FALSE
),
"REVISAR"
)</f>
        <v>DEVOLUCION</v>
      </c>
      <c r="P479" s="154" t="s">
        <v>5692</v>
      </c>
      <c r="Q479" s="153">
        <f t="shared" si="1"/>
        <v>0</v>
      </c>
      <c r="R479" s="172"/>
      <c r="S479" s="172"/>
      <c r="T479" s="118">
        <f t="array" ref="T479">IFERROR(
INDEX(REPORTE_DROPI!B:B,
MATCH(
CLEAN(TRIM(C479)),
CLEAN(TRIM(REPORTE_DROPI!E:E)),
0
)
),
""
)
</f>
        <v>4548446</v>
      </c>
      <c r="U479" s="169" t="s">
        <v>7272</v>
      </c>
      <c r="V479" s="166"/>
      <c r="W479" s="18"/>
      <c r="X479" s="18"/>
      <c r="Y479" s="18"/>
      <c r="Z479" s="18"/>
    </row>
    <row r="480" ht="22.5" hidden="1" customHeight="1">
      <c r="A480" s="169">
        <v>479.0</v>
      </c>
      <c r="B480" s="170">
        <v>46069.0</v>
      </c>
      <c r="C480" s="154" t="s">
        <v>7273</v>
      </c>
      <c r="D480" s="118" t="str">
        <f>IFERROR(__xludf.DUMMYFUNCTION("IFERROR( INDEX( FILTER( 'NOMBRE DE PRODUCTOS'!B:B, REGEXMATCH( UPPER( INDEX( REPORTE_DROPI!AC:AC, MATCH(T480, REPORTE_DROPI!B:B, 0) ) ), UPPER('NOMBRE DE PRODUCTOS'!A:A) ) ), 1 ), ""REVISAR"" )"),"Cuchillo Tazaki™")</f>
        <v>Cuchillo Tazaki™</v>
      </c>
      <c r="E480" s="120">
        <f t="array" ref="E480">IF(
UPPER(TRIM(CLEAN($O480)))="ENTREGADO",
IFERROR(
INDEX(REPORTE_DROPI!Y:Y,
MATCH($T480, REPORTE_DROPI!B:B, 0)
),
""
),
""
)
</f>
        <v>7.5</v>
      </c>
      <c r="F480" s="171">
        <v>2.0</v>
      </c>
      <c r="G480" s="122">
        <f t="array" ref="G480">IF(
UPPER(TRIM(CLEAN($O480)))="ENTREGADO",
IFERROR(
INDEX(REPORTE_DROPI!R:R,
MATCH($T480, REPORTE_DROPI!B:B, 0)
),
""
),
""
)
</f>
        <v>22</v>
      </c>
      <c r="H480" s="118" t="s">
        <v>3727</v>
      </c>
      <c r="I480" s="154" t="s">
        <v>3731</v>
      </c>
      <c r="J480" s="121">
        <f t="array" ref="J480">IF(
UPPER(TRIM(CLEAN($O480)))="ENTREGADO",
IFERROR(
INDEX(REPORTE_DROPI!T:T,
MATCH($T480, REPORTE_DROPI!B:B, 0)
),
""
),
""
)
</f>
        <v>4.23</v>
      </c>
      <c r="K480" s="118">
        <f t="array" ref="K480">IFERROR(
INDEX(REPORTE_DROPI!S:S,
MATCH($T480, REPORTE_DROPI!B:B, 0)
),
""
)</f>
        <v>10.27</v>
      </c>
      <c r="L480" s="118" t="str">
        <f>IF(
  O480&lt;&gt;"DEVOLUCION",
  "",
  IF(
    T480="",
    "",
    SUMIF(DEVOLUCION!F:F, T480, DEVOLUCION!D:D)
  )
)
</f>
        <v/>
      </c>
      <c r="M480" s="118" t="s">
        <v>5877</v>
      </c>
      <c r="N480" s="169" t="s">
        <v>7274</v>
      </c>
      <c r="O480" s="118" t="str">
        <f t="array" ref="O480">IFERROR(
VLOOKUP(
TRIM(CLEAN(
INDEX(REPORTE_DROPI!K:K,
MATCH(T480, REPORTE_DROPI!B:B, 0)
))),
{
TRIM(CLEAN(MAPA_ESTADOS!A:A)) ,
MAPA_ESTADOS!B:B
},
2,
FALSE
),
"REVISAR"
)</f>
        <v>ENTREGADO</v>
      </c>
      <c r="P480" s="154" t="s">
        <v>5909</v>
      </c>
      <c r="Q480" s="153">
        <f t="shared" si="1"/>
        <v>0</v>
      </c>
      <c r="R480" s="172"/>
      <c r="S480" s="172"/>
      <c r="T480" s="118">
        <f t="array" ref="T480">IFERROR(
INDEX(REPORTE_DROPI!B:B,
MATCH(
CLEAN(TRIM(C480)),
CLEAN(TRIM(REPORTE_DROPI!E:E)),
0
)
),
""
)
</f>
        <v>4523574</v>
      </c>
      <c r="U480" s="169" t="s">
        <v>7275</v>
      </c>
      <c r="V480" s="166"/>
      <c r="W480" s="18"/>
      <c r="X480" s="18"/>
      <c r="Y480" s="18"/>
      <c r="Z480" s="18"/>
    </row>
    <row r="481" ht="22.5" hidden="1" customHeight="1">
      <c r="A481" s="169">
        <v>480.0</v>
      </c>
      <c r="B481" s="170">
        <v>46069.0</v>
      </c>
      <c r="C481" s="154" t="s">
        <v>7276</v>
      </c>
      <c r="D481" s="118" t="str">
        <f>IFERROR(__xludf.DUMMYFUNCTION("IFERROR( INDEX( FILTER( 'NOMBRE DE PRODUCTOS'!B:B, REGEXMATCH( UPPER( INDEX( REPORTE_DROPI!AC:AC, MATCH(T481, REPORTE_DROPI!B:B, 0) ) ), UPPER('NOMBRE DE PRODUCTOS'!A:A) ) ), 1 ), ""REVISAR"" )"),"Cuchillo Tazaki™")</f>
        <v>Cuchillo Tazaki™</v>
      </c>
      <c r="E481" s="120">
        <f t="array" ref="E481">IF(
UPPER(TRIM(CLEAN($O481)))="ENTREGADO",
IFERROR(
INDEX(REPORTE_DROPI!Y:Y,
MATCH($T481, REPORTE_DROPI!B:B, 0)
),
""
),
""
)
</f>
        <v>11.25</v>
      </c>
      <c r="F481" s="171">
        <v>3.0</v>
      </c>
      <c r="G481" s="122">
        <f t="array" ref="G481">IF(
UPPER(TRIM(CLEAN($O481)))="ENTREGADO",
IFERROR(
INDEX(REPORTE_DROPI!R:R,
MATCH($T481, REPORTE_DROPI!B:B, 0)
),
""
),
""
)
</f>
        <v>27</v>
      </c>
      <c r="H481" s="118" t="s">
        <v>3727</v>
      </c>
      <c r="I481" s="154" t="s">
        <v>3784</v>
      </c>
      <c r="J481" s="121">
        <f t="array" ref="J481">IF(
UPPER(TRIM(CLEAN($O481)))="ENTREGADO",
IFERROR(
INDEX(REPORTE_DROPI!T:T,
MATCH($T481, REPORTE_DROPI!B:B, 0)
),
""
),
""
)
</f>
        <v>6.07</v>
      </c>
      <c r="K481" s="118">
        <f t="array" ref="K481">IFERROR(
INDEX(REPORTE_DROPI!S:S,
MATCH($T481, REPORTE_DROPI!B:B, 0)
),
""
)</f>
        <v>9.68</v>
      </c>
      <c r="L481" s="118" t="str">
        <f>IF(
  O481&lt;&gt;"DEVOLUCION",
  "",
  IF(
    T481="",
    "",
    SUMIF(DEVOLUCION!F:F, T481, DEVOLUCION!D:D)
  )
)
</f>
        <v/>
      </c>
      <c r="M481" s="118" t="s">
        <v>5877</v>
      </c>
      <c r="N481" s="169" t="s">
        <v>7277</v>
      </c>
      <c r="O481" s="118" t="str">
        <f t="array" ref="O481">IFERROR(
VLOOKUP(
TRIM(CLEAN(
INDEX(REPORTE_DROPI!K:K,
MATCH(T481, REPORTE_DROPI!B:B, 0)
))),
{
TRIM(CLEAN(MAPA_ESTADOS!A:A)) ,
MAPA_ESTADOS!B:B
},
2,
FALSE
),
"REVISAR"
)</f>
        <v>ENTREGADO</v>
      </c>
      <c r="P481" s="154" t="s">
        <v>5909</v>
      </c>
      <c r="Q481" s="153">
        <f t="shared" si="1"/>
        <v>0</v>
      </c>
      <c r="R481" s="172"/>
      <c r="S481" s="172"/>
      <c r="T481" s="118">
        <f t="array" ref="T481">IFERROR(
INDEX(REPORTE_DROPI!B:B,
MATCH(
CLEAN(TRIM(C481)),
CLEAN(TRIM(REPORTE_DROPI!E:E)),
0
)
),
""
)
</f>
        <v>4548555</v>
      </c>
      <c r="U481" s="169" t="s">
        <v>7278</v>
      </c>
      <c r="V481" s="166"/>
      <c r="W481" s="18"/>
      <c r="X481" s="18"/>
      <c r="Y481" s="18"/>
      <c r="Z481" s="18"/>
    </row>
    <row r="482" ht="22.5" hidden="1" customHeight="1">
      <c r="A482" s="169">
        <v>481.0</v>
      </c>
      <c r="B482" s="170">
        <v>46069.0</v>
      </c>
      <c r="C482" s="154" t="s">
        <v>7279</v>
      </c>
      <c r="D482" s="118" t="str">
        <f>IFERROR(__xludf.DUMMYFUNCTION("IFERROR( INDEX( FILTER( 'NOMBRE DE PRODUCTOS'!B:B, REGEXMATCH( UPPER( INDEX( REPORTE_DROPI!AC:AC, MATCH(T482, REPORTE_DROPI!B:B, 0) ) ), UPPER('NOMBRE DE PRODUCTOS'!A:A) ) ), 1 ), ""REVISAR"" )"),"FilmPro®")</f>
        <v>FilmPro®</v>
      </c>
      <c r="E482" s="120">
        <f t="array" ref="E482">IF(
UPPER(TRIM(CLEAN($O482)))="ENTREGADO",
IFERROR(
INDEX(REPORTE_DROPI!Y:Y,
MATCH($T482, REPORTE_DROPI!B:B, 0)
),
""
),
""
)
</f>
        <v>4.8</v>
      </c>
      <c r="F482" s="171">
        <v>2.0</v>
      </c>
      <c r="G482" s="122">
        <f t="array" ref="G482">IF(
UPPER(TRIM(CLEAN($O482)))="ENTREGADO",
IFERROR(
INDEX(REPORTE_DROPI!R:R,
MATCH($T482, REPORTE_DROPI!B:B, 0)
),
""
),
""
)
</f>
        <v>25</v>
      </c>
      <c r="H482" s="118" t="s">
        <v>3727</v>
      </c>
      <c r="I482" s="154" t="s">
        <v>3731</v>
      </c>
      <c r="J482" s="121">
        <f t="array" ref="J482">IF(
UPPER(TRIM(CLEAN($O482)))="ENTREGADO",
IFERROR(
INDEX(REPORTE_DROPI!T:T,
MATCH($T482, REPORTE_DROPI!B:B, 0)
),
""
),
""
)
</f>
        <v>5.96</v>
      </c>
      <c r="K482" s="118">
        <f t="array" ref="K482">IFERROR(
INDEX(REPORTE_DROPI!S:S,
MATCH($T482, REPORTE_DROPI!B:B, 0)
),
""
)</f>
        <v>14.24</v>
      </c>
      <c r="L482" s="118" t="str">
        <f>IF(
  O482&lt;&gt;"DEVOLUCION",
  "",
  IF(
    T482="",
    "",
    SUMIF(DEVOLUCION!F:F, T482, DEVOLUCION!D:D)
  )
)
</f>
        <v/>
      </c>
      <c r="M482" s="118" t="s">
        <v>5877</v>
      </c>
      <c r="N482" s="169" t="s">
        <v>7280</v>
      </c>
      <c r="O482" s="118" t="str">
        <f t="array" ref="O482">IFERROR(
VLOOKUP(
TRIM(CLEAN(
INDEX(REPORTE_DROPI!K:K,
MATCH(T482, REPORTE_DROPI!B:B, 0)
))),
{
TRIM(CLEAN(MAPA_ESTADOS!A:A)) ,
MAPA_ESTADOS!B:B
},
2,
FALSE
),
"REVISAR"
)</f>
        <v>ENTREGADO</v>
      </c>
      <c r="P482" s="154" t="s">
        <v>5692</v>
      </c>
      <c r="Q482" s="153">
        <f t="shared" si="1"/>
        <v>0</v>
      </c>
      <c r="R482" s="172"/>
      <c r="S482" s="172"/>
      <c r="T482" s="118">
        <f t="array" ref="T482">IFERROR(
INDEX(REPORTE_DROPI!B:B,
MATCH(
CLEAN(TRIM(C482)),
CLEAN(TRIM(REPORTE_DROPI!E:E)),
0
)
),
""
)
</f>
        <v>4520771</v>
      </c>
      <c r="U482" s="169" t="s">
        <v>7281</v>
      </c>
      <c r="V482" s="166"/>
      <c r="W482" s="18"/>
      <c r="X482" s="18"/>
      <c r="Y482" s="18"/>
      <c r="Z482" s="18"/>
    </row>
    <row r="483" ht="22.5" hidden="1" customHeight="1">
      <c r="A483" s="169">
        <v>482.0</v>
      </c>
      <c r="B483" s="170">
        <v>46069.0</v>
      </c>
      <c r="C483" s="154" t="s">
        <v>7282</v>
      </c>
      <c r="D483" s="118" t="str">
        <f>IFERROR(__xludf.DUMMYFUNCTION("IFERROR( INDEX( FILTER( 'NOMBRE DE PRODUCTOS'!B:B, REGEXMATCH( UPPER( INDEX( REPORTE_DROPI!AC:AC, MATCH(T483, REPORTE_DROPI!B:B, 0) ) ), UPPER('NOMBRE DE PRODUCTOS'!A:A) ) ), 1 ), ""REVISAR"" )"),"FilmPro®")</f>
        <v>FilmPro®</v>
      </c>
      <c r="E483" s="120" t="str">
        <f t="array" ref="E483">IF(
UPPER(TRIM(CLEAN($O483)))="ENTREGADO",
IFERROR(
INDEX(REPORTE_DROPI!Y:Y,
MATCH($T483, REPORTE_DROPI!B:B, 0)
),
""
),
""
)
</f>
        <v/>
      </c>
      <c r="F483" s="171">
        <v>3.0</v>
      </c>
      <c r="G483" s="122" t="str">
        <f t="array" ref="G483">IF(
UPPER(TRIM(CLEAN($O483)))="ENTREGADO",
IFERROR(
INDEX(REPORTE_DROPI!R:R,
MATCH($T483, REPORTE_DROPI!B:B, 0)
),
""
),
""
)
</f>
        <v/>
      </c>
      <c r="H483" s="118" t="s">
        <v>3727</v>
      </c>
      <c r="I483" s="154" t="s">
        <v>3731</v>
      </c>
      <c r="J483" s="121" t="str">
        <f t="array" ref="J483">IF(
UPPER(TRIM(CLEAN($O483)))="ENTREGADO",
IFERROR(
INDEX(REPORTE_DROPI!T:T,
MATCH($T483, REPORTE_DROPI!B:B, 0)
),
""
),
""
)
</f>
        <v/>
      </c>
      <c r="K483" s="118" t="str">
        <f t="array" ref="K483">IFERROR(
INDEX(REPORTE_DROPI!S:S,
MATCH($T483, REPORTE_DROPI!B:B, 0)
),
""
)</f>
        <v/>
      </c>
      <c r="L483" s="118" t="str">
        <f>IF(
  O483&lt;&gt;"DEVOLUCION",
  "",
  IF(
    T483="",
    "",
    SUMIF(DEVOLUCION!F:F, T483, DEVOLUCION!D:D)
  )
)
</f>
        <v/>
      </c>
      <c r="M483" s="118" t="s">
        <v>5877</v>
      </c>
      <c r="N483" s="169" t="s">
        <v>7283</v>
      </c>
      <c r="O483" s="118" t="str">
        <f t="array" ref="O483">IFERROR(
VLOOKUP(
TRIM(CLEAN(
INDEX(REPORTE_DROPI!K:K,
MATCH(T483, REPORTE_DROPI!B:B, 0)
))),
{
TRIM(CLEAN(MAPA_ESTADOS!A:A)) ,
MAPA_ESTADOS!B:B
},
2,
FALSE
),
"REVISAR"
)</f>
        <v>PENDIENTE</v>
      </c>
      <c r="P483" s="154" t="s">
        <v>6568</v>
      </c>
      <c r="Q483" s="153">
        <f t="shared" si="1"/>
        <v>0</v>
      </c>
      <c r="R483" s="172"/>
      <c r="S483" s="172"/>
      <c r="T483" s="118">
        <f t="array" ref="T483">IFERROR(
INDEX(REPORTE_DROPI!B:B,
MATCH(
CLEAN(TRIM(C483)),
CLEAN(TRIM(REPORTE_DROPI!E:E)),
0
)
),
""
)
</f>
        <v>4520774</v>
      </c>
      <c r="U483" s="169" t="s">
        <v>7284</v>
      </c>
      <c r="V483" s="166"/>
      <c r="W483" s="18"/>
      <c r="X483" s="18"/>
      <c r="Y483" s="18"/>
      <c r="Z483" s="18"/>
    </row>
    <row r="484" ht="22.5" hidden="1" customHeight="1">
      <c r="A484" s="169">
        <v>483.0</v>
      </c>
      <c r="B484" s="170">
        <v>46069.0</v>
      </c>
      <c r="C484" s="154" t="s">
        <v>7285</v>
      </c>
      <c r="D484" s="118" t="str">
        <f>IFERROR(__xludf.DUMMYFUNCTION("IFERROR( INDEX( FILTER( 'NOMBRE DE PRODUCTOS'!B:B, REGEXMATCH( UPPER( INDEX( REPORTE_DROPI!AC:AC, MATCH(T484, REPORTE_DROPI!B:B, 0) ) ), UPPER('NOMBRE DE PRODUCTOS'!A:A) ) ), 1 ), ""REVISAR"" )"),"FilmPro®")</f>
        <v>FilmPro®</v>
      </c>
      <c r="E484" s="120">
        <f t="array" ref="E484">IF(
UPPER(TRIM(CLEAN($O484)))="ENTREGADO",
IFERROR(
INDEX(REPORTE_DROPI!Y:Y,
MATCH($T484, REPORTE_DROPI!B:B, 0)
),
""
),
""
)
</f>
        <v>4.8</v>
      </c>
      <c r="F484" s="171">
        <v>2.0</v>
      </c>
      <c r="G484" s="122">
        <f t="array" ref="G484">IF(
UPPER(TRIM(CLEAN($O484)))="ENTREGADO",
IFERROR(
INDEX(REPORTE_DROPI!R:R,
MATCH($T484, REPORTE_DROPI!B:B, 0)
),
""
),
""
)
</f>
        <v>25</v>
      </c>
      <c r="H484" s="118" t="s">
        <v>3727</v>
      </c>
      <c r="I484" s="154" t="s">
        <v>3801</v>
      </c>
      <c r="J484" s="121">
        <f t="array" ref="J484">IF(
UPPER(TRIM(CLEAN($O484)))="ENTREGADO",
IFERROR(
INDEX(REPORTE_DROPI!T:T,
MATCH($T484, REPORTE_DROPI!B:B, 0)
),
""
),
""
)
</f>
        <v>5.96</v>
      </c>
      <c r="K484" s="118">
        <f t="array" ref="K484">IFERROR(
INDEX(REPORTE_DROPI!S:S,
MATCH($T484, REPORTE_DROPI!B:B, 0)
),
""
)</f>
        <v>14.24</v>
      </c>
      <c r="L484" s="118" t="str">
        <f>IF(
  O484&lt;&gt;"DEVOLUCION",
  "",
  IF(
    T484="",
    "",
    SUMIF(DEVOLUCION!F:F, T484, DEVOLUCION!D:D)
  )
)
</f>
        <v/>
      </c>
      <c r="M484" s="118" t="s">
        <v>5877</v>
      </c>
      <c r="N484" s="169" t="s">
        <v>7286</v>
      </c>
      <c r="O484" s="118" t="str">
        <f t="array" ref="O484">IFERROR(
VLOOKUP(
TRIM(CLEAN(
INDEX(REPORTE_DROPI!K:K,
MATCH(T484, REPORTE_DROPI!B:B, 0)
))),
{
TRIM(CLEAN(MAPA_ESTADOS!A:A)) ,
MAPA_ESTADOS!B:B
},
2,
FALSE
),
"REVISAR"
)</f>
        <v>ENTREGADO</v>
      </c>
      <c r="P484" s="154" t="s">
        <v>5692</v>
      </c>
      <c r="Q484" s="153">
        <f t="shared" si="1"/>
        <v>0</v>
      </c>
      <c r="R484" s="172"/>
      <c r="S484" s="172"/>
      <c r="T484" s="118">
        <f t="array" ref="T484">IFERROR(
INDEX(REPORTE_DROPI!B:B,
MATCH(
CLEAN(TRIM(C484)),
CLEAN(TRIM(REPORTE_DROPI!E:E)),
0
)
),
""
)
</f>
        <v>4520816</v>
      </c>
      <c r="U484" s="169" t="s">
        <v>7287</v>
      </c>
      <c r="V484" s="166"/>
      <c r="W484" s="18"/>
      <c r="X484" s="18"/>
      <c r="Y484" s="18"/>
      <c r="Z484" s="18"/>
    </row>
    <row r="485" ht="22.5" hidden="1" customHeight="1">
      <c r="A485" s="169">
        <v>484.0</v>
      </c>
      <c r="B485" s="170">
        <v>46069.0</v>
      </c>
      <c r="C485" s="154" t="s">
        <v>7288</v>
      </c>
      <c r="D485" s="118" t="str">
        <f>IFERROR(__xludf.DUMMYFUNCTION("IFERROR( INDEX( FILTER( 'NOMBRE DE PRODUCTOS'!B:B, REGEXMATCH( UPPER( INDEX( REPORTE_DROPI!AC:AC, MATCH(T485, REPORTE_DROPI!B:B, 0) ) ), UPPER('NOMBRE DE PRODUCTOS'!A:A) ) ), 1 ), ""REVISAR"" )"),"FilmPro®")</f>
        <v>FilmPro®</v>
      </c>
      <c r="E485" s="120">
        <f t="array" ref="E485">IF(
UPPER(TRIM(CLEAN($O485)))="ENTREGADO",
IFERROR(
INDEX(REPORTE_DROPI!Y:Y,
MATCH($T485, REPORTE_DROPI!B:B, 0)
),
""
),
""
)
</f>
        <v>7.2</v>
      </c>
      <c r="F485" s="171">
        <v>3.0</v>
      </c>
      <c r="G485" s="122">
        <f t="array" ref="G485">IF(
UPPER(TRIM(CLEAN($O485)))="ENTREGADO",
IFERROR(
INDEX(REPORTE_DROPI!R:R,
MATCH($T485, REPORTE_DROPI!B:B, 0)
),
""
),
""
)
</f>
        <v>30</v>
      </c>
      <c r="H485" s="118" t="s">
        <v>3727</v>
      </c>
      <c r="I485" s="154" t="s">
        <v>3731</v>
      </c>
      <c r="J485" s="121">
        <f t="array" ref="J485">IF(
UPPER(TRIM(CLEAN($O485)))="ENTREGADO",
IFERROR(
INDEX(REPORTE_DROPI!T:T,
MATCH($T485, REPORTE_DROPI!B:B, 0)
),
""
),
""
)
</f>
        <v>6.16</v>
      </c>
      <c r="K485" s="118">
        <f t="array" ref="K485">IFERROR(
INDEX(REPORTE_DROPI!S:S,
MATCH($T485, REPORTE_DROPI!B:B, 0)
),
""
)</f>
        <v>16.64</v>
      </c>
      <c r="L485" s="118" t="str">
        <f>IF(
  O485&lt;&gt;"DEVOLUCION",
  "",
  IF(
    T485="",
    "",
    SUMIF(DEVOLUCION!F:F, T485, DEVOLUCION!D:D)
  )
)
</f>
        <v/>
      </c>
      <c r="M485" s="118" t="s">
        <v>5877</v>
      </c>
      <c r="N485" s="169" t="s">
        <v>7289</v>
      </c>
      <c r="O485" s="118" t="str">
        <f t="array" ref="O485">IFERROR(
VLOOKUP(
TRIM(CLEAN(
INDEX(REPORTE_DROPI!K:K,
MATCH(T485, REPORTE_DROPI!B:B, 0)
))),
{
TRIM(CLEAN(MAPA_ESTADOS!A:A)) ,
MAPA_ESTADOS!B:B
},
2,
FALSE
),
"REVISAR"
)</f>
        <v>ENTREGADO</v>
      </c>
      <c r="P485" s="154" t="s">
        <v>3655</v>
      </c>
      <c r="Q485" s="153">
        <f t="shared" si="1"/>
        <v>0</v>
      </c>
      <c r="R485" s="172"/>
      <c r="S485" s="172"/>
      <c r="T485" s="118">
        <f t="array" ref="T485">IFERROR(
INDEX(REPORTE_DROPI!B:B,
MATCH(
CLEAN(TRIM(C485)),
CLEAN(TRIM(REPORTE_DROPI!E:E)),
0
)
),
""
)
</f>
        <v>4520841</v>
      </c>
      <c r="U485" s="169" t="s">
        <v>7290</v>
      </c>
      <c r="V485" s="166"/>
      <c r="W485" s="18"/>
      <c r="X485" s="18"/>
      <c r="Y485" s="18"/>
      <c r="Z485" s="18"/>
    </row>
    <row r="486" ht="22.5" hidden="1" customHeight="1">
      <c r="A486" s="169">
        <v>485.0</v>
      </c>
      <c r="B486" s="170">
        <v>46069.0</v>
      </c>
      <c r="C486" s="154" t="s">
        <v>7291</v>
      </c>
      <c r="D486" s="118" t="str">
        <f>IFERROR(__xludf.DUMMYFUNCTION("IFERROR( INDEX( FILTER( 'NOMBRE DE PRODUCTOS'!B:B, REGEXMATCH( UPPER( INDEX( REPORTE_DROPI!AC:AC, MATCH(T486, REPORTE_DROPI!B:B, 0) ) ), UPPER('NOMBRE DE PRODUCTOS'!A:A) ) ), 1 ), ""REVISAR"" )"),"Cuchillo Tazaki™")</f>
        <v>Cuchillo Tazaki™</v>
      </c>
      <c r="E486" s="120">
        <f t="array" ref="E486">IF(
UPPER(TRIM(CLEAN($O486)))="ENTREGADO",
IFERROR(
INDEX(REPORTE_DROPI!Y:Y,
MATCH($T486, REPORTE_DROPI!B:B, 0)
),
""
),
""
)
</f>
        <v>15</v>
      </c>
      <c r="F486" s="171">
        <v>4.0</v>
      </c>
      <c r="G486" s="122">
        <f t="array" ref="G486">IF(
UPPER(TRIM(CLEAN($O486)))="ENTREGADO",
IFERROR(
INDEX(REPORTE_DROPI!R:R,
MATCH($T486, REPORTE_DROPI!B:B, 0)
),
""
),
""
)
</f>
        <v>32</v>
      </c>
      <c r="H486" s="118" t="s">
        <v>3727</v>
      </c>
      <c r="I486" s="154" t="s">
        <v>3798</v>
      </c>
      <c r="J486" s="121">
        <f t="array" ref="J486">IF(
UPPER(TRIM(CLEAN($O486)))="ENTREGADO",
IFERROR(
INDEX(REPORTE_DROPI!T:T,
MATCH($T486, REPORTE_DROPI!B:B, 0)
),
""
),
""
)
</f>
        <v>6.24</v>
      </c>
      <c r="K486" s="118">
        <f t="array" ref="K486">IFERROR(
INDEX(REPORTE_DROPI!S:S,
MATCH($T486, REPORTE_DROPI!B:B, 0)
),
""
)</f>
        <v>10.76</v>
      </c>
      <c r="L486" s="118" t="str">
        <f>IF(
  O486&lt;&gt;"DEVOLUCION",
  "",
  IF(
    T486="",
    "",
    SUMIF(DEVOLUCION!F:F, T486, DEVOLUCION!D:D)
  )
)
</f>
        <v/>
      </c>
      <c r="M486" s="118" t="s">
        <v>5877</v>
      </c>
      <c r="N486" s="169" t="s">
        <v>7292</v>
      </c>
      <c r="O486" s="118" t="str">
        <f t="array" ref="O486">IFERROR(
VLOOKUP(
TRIM(CLEAN(
INDEX(REPORTE_DROPI!K:K,
MATCH(T486, REPORTE_DROPI!B:B, 0)
))),
{
TRIM(CLEAN(MAPA_ESTADOS!A:A)) ,
MAPA_ESTADOS!B:B
},
2,
FALSE
),
"REVISAR"
)</f>
        <v>ENTREGADO</v>
      </c>
      <c r="P486" s="154" t="s">
        <v>5909</v>
      </c>
      <c r="Q486" s="153">
        <f t="shared" si="1"/>
        <v>0</v>
      </c>
      <c r="R486" s="172"/>
      <c r="S486" s="172"/>
      <c r="T486" s="118">
        <f t="array" ref="T486">IFERROR(
INDEX(REPORTE_DROPI!B:B,
MATCH(
CLEAN(TRIM(C486)),
CLEAN(TRIM(REPORTE_DROPI!E:E)),
0
)
),
""
)
</f>
        <v>4523603</v>
      </c>
      <c r="U486" s="169" t="s">
        <v>7293</v>
      </c>
      <c r="V486" s="166"/>
      <c r="W486" s="18"/>
      <c r="X486" s="18"/>
      <c r="Y486" s="18"/>
      <c r="Z486" s="18"/>
    </row>
    <row r="487" ht="22.5" hidden="1" customHeight="1">
      <c r="A487" s="169">
        <v>486.0</v>
      </c>
      <c r="B487" s="170">
        <v>46069.0</v>
      </c>
      <c r="C487" s="154" t="s">
        <v>7294</v>
      </c>
      <c r="D487" s="118" t="str">
        <f>IFERROR(__xludf.DUMMYFUNCTION("IFERROR( INDEX( FILTER( 'NOMBRE DE PRODUCTOS'!B:B, REGEXMATCH( UPPER( INDEX( REPORTE_DROPI!AC:AC, MATCH(T487, REPORTE_DROPI!B:B, 0) ) ), UPPER('NOMBRE DE PRODUCTOS'!A:A) ) ), 1 ), ""REVISAR"" )"),"FilmPro®")</f>
        <v>FilmPro®</v>
      </c>
      <c r="E487" s="120">
        <f t="array" ref="E487">IF(
UPPER(TRIM(CLEAN($O487)))="ENTREGADO",
IFERROR(
INDEX(REPORTE_DROPI!Y:Y,
MATCH($T487, REPORTE_DROPI!B:B, 0)
),
""
),
""
)
</f>
        <v>7.2</v>
      </c>
      <c r="F487" s="171">
        <v>3.0</v>
      </c>
      <c r="G487" s="122">
        <f t="array" ref="G487">IF(
UPPER(TRIM(CLEAN($O487)))="ENTREGADO",
IFERROR(
INDEX(REPORTE_DROPI!R:R,
MATCH($T487, REPORTE_DROPI!B:B, 0)
),
""
),
""
)
</f>
        <v>30</v>
      </c>
      <c r="H487" s="118" t="s">
        <v>3727</v>
      </c>
      <c r="I487" s="154" t="s">
        <v>3742</v>
      </c>
      <c r="J487" s="121">
        <f t="array" ref="J487">IF(
UPPER(TRIM(CLEAN($O487)))="ENTREGADO",
IFERROR(
INDEX(REPORTE_DROPI!T:T,
MATCH($T487, REPORTE_DROPI!B:B, 0)
),
""
),
""
)
</f>
        <v>6.16</v>
      </c>
      <c r="K487" s="118">
        <f t="array" ref="K487">IFERROR(
INDEX(REPORTE_DROPI!S:S,
MATCH($T487, REPORTE_DROPI!B:B, 0)
),
""
)</f>
        <v>16.64</v>
      </c>
      <c r="L487" s="118" t="str">
        <f>IF(
  O487&lt;&gt;"DEVOLUCION",
  "",
  IF(
    T487="",
    "",
    SUMIF(DEVOLUCION!F:F, T487, DEVOLUCION!D:D)
  )
)
</f>
        <v/>
      </c>
      <c r="M487" s="118" t="s">
        <v>5877</v>
      </c>
      <c r="N487" s="169" t="s">
        <v>7295</v>
      </c>
      <c r="O487" s="118" t="str">
        <f t="array" ref="O487">IFERROR(
VLOOKUP(
TRIM(CLEAN(
INDEX(REPORTE_DROPI!K:K,
MATCH(T487, REPORTE_DROPI!B:B, 0)
))),
{
TRIM(CLEAN(MAPA_ESTADOS!A:A)) ,
MAPA_ESTADOS!B:B
},
2,
FALSE
),
"REVISAR"
)</f>
        <v>ENTREGADO</v>
      </c>
      <c r="P487" s="154" t="s">
        <v>5692</v>
      </c>
      <c r="Q487" s="153">
        <f t="shared" si="1"/>
        <v>0</v>
      </c>
      <c r="R487" s="172"/>
      <c r="S487" s="172"/>
      <c r="T487" s="118">
        <f t="array" ref="T487">IFERROR(
INDEX(REPORTE_DROPI!B:B,
MATCH(
CLEAN(TRIM(C487)),
CLEAN(TRIM(REPORTE_DROPI!E:E)),
0
)
),
""
)
</f>
        <v>4521015</v>
      </c>
      <c r="U487" s="169" t="s">
        <v>7296</v>
      </c>
      <c r="V487" s="166"/>
      <c r="W487" s="18"/>
      <c r="X487" s="18"/>
      <c r="Y487" s="18"/>
      <c r="Z487" s="18"/>
    </row>
    <row r="488" ht="22.5" hidden="1" customHeight="1">
      <c r="A488" s="169">
        <v>487.0</v>
      </c>
      <c r="B488" s="170">
        <v>46069.0</v>
      </c>
      <c r="C488" s="154" t="s">
        <v>7297</v>
      </c>
      <c r="D488" s="118" t="str">
        <f>IFERROR(__xludf.DUMMYFUNCTION("IFERROR( INDEX( FILTER( 'NOMBRE DE PRODUCTOS'!B:B, REGEXMATCH( UPPER( INDEX( REPORTE_DROPI!AC:AC, MATCH(T488, REPORTE_DROPI!B:B, 0) ) ), UPPER('NOMBRE DE PRODUCTOS'!A:A) ) ), 1 ), ""REVISAR"" )"),"Cuchillo Tazaki™")</f>
        <v>Cuchillo Tazaki™</v>
      </c>
      <c r="E488" s="120">
        <f t="array" ref="E488">IF(
UPPER(TRIM(CLEAN($O488)))="ENTREGADO",
IFERROR(
INDEX(REPORTE_DROPI!Y:Y,
MATCH($T488, REPORTE_DROPI!B:B, 0)
),
""
),
""
)
</f>
        <v>11.25</v>
      </c>
      <c r="F488" s="171">
        <v>3.0</v>
      </c>
      <c r="G488" s="122">
        <f t="array" ref="G488">IF(
UPPER(TRIM(CLEAN($O488)))="ENTREGADO",
IFERROR(
INDEX(REPORTE_DROPI!R:R,
MATCH($T488, REPORTE_DROPI!B:B, 0)
),
""
),
""
)
</f>
        <v>27</v>
      </c>
      <c r="H488" s="118" t="s">
        <v>3727</v>
      </c>
      <c r="I488" s="154" t="s">
        <v>3731</v>
      </c>
      <c r="J488" s="121">
        <f t="array" ref="J488">IF(
UPPER(TRIM(CLEAN($O488)))="ENTREGADO",
IFERROR(
INDEX(REPORTE_DROPI!T:T,
MATCH($T488, REPORTE_DROPI!B:B, 0)
),
""
),
""
)
</f>
        <v>4.42</v>
      </c>
      <c r="K488" s="118">
        <f t="array" ref="K488">IFERROR(
INDEX(REPORTE_DROPI!S:S,
MATCH($T488, REPORTE_DROPI!B:B, 0)
),
""
)</f>
        <v>11.33</v>
      </c>
      <c r="L488" s="118" t="str">
        <f>IF(
  O488&lt;&gt;"DEVOLUCION",
  "",
  IF(
    T488="",
    "",
    SUMIF(DEVOLUCION!F:F, T488, DEVOLUCION!D:D)
  )
)
</f>
        <v/>
      </c>
      <c r="M488" s="118" t="s">
        <v>5877</v>
      </c>
      <c r="N488" s="169" t="s">
        <v>7298</v>
      </c>
      <c r="O488" s="118" t="str">
        <f t="array" ref="O488">IFERROR(
VLOOKUP(
TRIM(CLEAN(
INDEX(REPORTE_DROPI!K:K,
MATCH(T488, REPORTE_DROPI!B:B, 0)
))),
{
TRIM(CLEAN(MAPA_ESTADOS!A:A)) ,
MAPA_ESTADOS!B:B
},
2,
FALSE
),
"REVISAR"
)</f>
        <v>ENTREGADO</v>
      </c>
      <c r="P488" s="154" t="s">
        <v>5909</v>
      </c>
      <c r="Q488" s="153">
        <f t="shared" si="1"/>
        <v>0</v>
      </c>
      <c r="R488" s="172"/>
      <c r="S488" s="172"/>
      <c r="T488" s="118">
        <f t="array" ref="T488">IFERROR(
INDEX(REPORTE_DROPI!B:B,
MATCH(
CLEAN(TRIM(C488)),
CLEAN(TRIM(REPORTE_DROPI!E:E)),
0
)
),
""
)
</f>
        <v>4523608</v>
      </c>
      <c r="U488" s="169" t="s">
        <v>7299</v>
      </c>
      <c r="V488" s="166"/>
      <c r="W488" s="18"/>
      <c r="X488" s="18"/>
      <c r="Y488" s="18"/>
      <c r="Z488" s="18"/>
    </row>
    <row r="489" ht="22.5" hidden="1" customHeight="1">
      <c r="A489" s="169">
        <v>488.0</v>
      </c>
      <c r="B489" s="170">
        <v>46069.0</v>
      </c>
      <c r="C489" s="154" t="s">
        <v>7300</v>
      </c>
      <c r="D489" s="118" t="str">
        <f>IFERROR(__xludf.DUMMYFUNCTION("IFERROR( INDEX( FILTER( 'NOMBRE DE PRODUCTOS'!B:B, REGEXMATCH( UPPER( INDEX( REPORTE_DROPI!AC:AC, MATCH(T489, REPORTE_DROPI!B:B, 0) ) ), UPPER('NOMBRE DE PRODUCTOS'!A:A) ) ), 1 ), ""REVISAR"" )"),"FilmPro®")</f>
        <v>FilmPro®</v>
      </c>
      <c r="E489" s="120">
        <f t="array" ref="E489">IF(
UPPER(TRIM(CLEAN($O489)))="ENTREGADO",
IFERROR(
INDEX(REPORTE_DROPI!Y:Y,
MATCH($T489, REPORTE_DROPI!B:B, 0)
),
""
),
""
)
</f>
        <v>7.2</v>
      </c>
      <c r="F489" s="171">
        <v>3.0</v>
      </c>
      <c r="G489" s="122">
        <f t="array" ref="G489">IF(
UPPER(TRIM(CLEAN($O489)))="ENTREGADO",
IFERROR(
INDEX(REPORTE_DROPI!R:R,
MATCH($T489, REPORTE_DROPI!B:B, 0)
),
""
),
""
)
</f>
        <v>30</v>
      </c>
      <c r="H489" s="118" t="s">
        <v>3727</v>
      </c>
      <c r="I489" s="154" t="s">
        <v>3912</v>
      </c>
      <c r="J489" s="121">
        <f t="array" ref="J489">IF(
UPPER(TRIM(CLEAN($O489)))="ENTREGADO",
IFERROR(
INDEX(REPORTE_DROPI!T:T,
MATCH($T489, REPORTE_DROPI!B:B, 0)
),
""
),
""
)
</f>
        <v>7.48</v>
      </c>
      <c r="K489" s="118">
        <f t="array" ref="K489">IFERROR(
INDEX(REPORTE_DROPI!S:S,
MATCH($T489, REPORTE_DROPI!B:B, 0)
),
""
)</f>
        <v>15.32</v>
      </c>
      <c r="L489" s="118" t="str">
        <f>IF(
  O489&lt;&gt;"DEVOLUCION",
  "",
  IF(
    T489="",
    "",
    SUMIF(DEVOLUCION!F:F, T489, DEVOLUCION!D:D)
  )
)
</f>
        <v/>
      </c>
      <c r="M489" s="118" t="s">
        <v>5877</v>
      </c>
      <c r="N489" s="169" t="s">
        <v>7301</v>
      </c>
      <c r="O489" s="118" t="str">
        <f t="array" ref="O489">IFERROR(
VLOOKUP(
TRIM(CLEAN(
INDEX(REPORTE_DROPI!K:K,
MATCH(T489, REPORTE_DROPI!B:B, 0)
))),
{
TRIM(CLEAN(MAPA_ESTADOS!A:A)) ,
MAPA_ESTADOS!B:B
},
2,
FALSE
),
"REVISAR"
)</f>
        <v>ENTREGADO</v>
      </c>
      <c r="P489" s="154" t="s">
        <v>5692</v>
      </c>
      <c r="Q489" s="153">
        <f t="shared" si="1"/>
        <v>0</v>
      </c>
      <c r="R489" s="172"/>
      <c r="S489" s="172"/>
      <c r="T489" s="118">
        <f t="array" ref="T489">IFERROR(
INDEX(REPORTE_DROPI!B:B,
MATCH(
CLEAN(TRIM(C489)),
CLEAN(TRIM(REPORTE_DROPI!E:E)),
0
)
),
""
)
</f>
        <v>4521137</v>
      </c>
      <c r="U489" s="173">
        <v>1.77234223155E11</v>
      </c>
      <c r="V489" s="166"/>
      <c r="W489" s="18"/>
      <c r="X489" s="18"/>
      <c r="Y489" s="18"/>
      <c r="Z489" s="18"/>
    </row>
    <row r="490" ht="22.5" hidden="1" customHeight="1">
      <c r="A490" s="169">
        <v>489.0</v>
      </c>
      <c r="B490" s="170">
        <v>46069.0</v>
      </c>
      <c r="C490" s="154" t="s">
        <v>7302</v>
      </c>
      <c r="D490" s="118" t="str">
        <f>IFERROR(__xludf.DUMMYFUNCTION("IFERROR( INDEX( FILTER( 'NOMBRE DE PRODUCTOS'!B:B, REGEXMATCH( UPPER( INDEX( REPORTE_DROPI!AC:AC, MATCH(T490, REPORTE_DROPI!B:B, 0) ) ), UPPER('NOMBRE DE PRODUCTOS'!A:A) ) ), 1 ), ""REVISAR"" )"),"FilmPro®")</f>
        <v>FilmPro®</v>
      </c>
      <c r="E490" s="120">
        <f t="array" ref="E490">IF(
UPPER(TRIM(CLEAN($O490)))="ENTREGADO",
IFERROR(
INDEX(REPORTE_DROPI!Y:Y,
MATCH($T490, REPORTE_DROPI!B:B, 0)
),
""
),
""
)
</f>
        <v>2.4</v>
      </c>
      <c r="F490" s="171">
        <v>1.0</v>
      </c>
      <c r="G490" s="122">
        <f t="array" ref="G490">IF(
UPPER(TRIM(CLEAN($O490)))="ENTREGADO",
IFERROR(
INDEX(REPORTE_DROPI!R:R,
MATCH($T490, REPORTE_DROPI!B:B, 0)
),
""
),
""
)
</f>
        <v>20</v>
      </c>
      <c r="H490" s="118" t="s">
        <v>3727</v>
      </c>
      <c r="I490" s="154" t="s">
        <v>3969</v>
      </c>
      <c r="J490" s="121">
        <f t="array" ref="J490">IF(
UPPER(TRIM(CLEAN($O490)))="ENTREGADO",
IFERROR(
INDEX(REPORTE_DROPI!T:T,
MATCH($T490, REPORTE_DROPI!B:B, 0)
),
""
),
""
)
</f>
        <v>5.76</v>
      </c>
      <c r="K490" s="118">
        <f t="array" ref="K490">IFERROR(
INDEX(REPORTE_DROPI!S:S,
MATCH($T490, REPORTE_DROPI!B:B, 0)
),
""
)</f>
        <v>11.84</v>
      </c>
      <c r="L490" s="118" t="str">
        <f>IF(
  O490&lt;&gt;"DEVOLUCION",
  "",
  IF(
    T490="",
    "",
    SUMIF(DEVOLUCION!F:F, T490, DEVOLUCION!D:D)
  )
)
</f>
        <v/>
      </c>
      <c r="M490" s="118" t="s">
        <v>5877</v>
      </c>
      <c r="N490" s="169" t="s">
        <v>7303</v>
      </c>
      <c r="O490" s="118" t="str">
        <f t="array" ref="O490">IFERROR(
VLOOKUP(
TRIM(CLEAN(
INDEX(REPORTE_DROPI!K:K,
MATCH(T490, REPORTE_DROPI!B:B, 0)
))),
{
TRIM(CLEAN(MAPA_ESTADOS!A:A)) ,
MAPA_ESTADOS!B:B
},
2,
FALSE
),
"REVISAR"
)</f>
        <v>ENTREGADO</v>
      </c>
      <c r="P490" s="154" t="s">
        <v>5692</v>
      </c>
      <c r="Q490" s="153">
        <f t="shared" si="1"/>
        <v>0</v>
      </c>
      <c r="R490" s="172"/>
      <c r="S490" s="172"/>
      <c r="T490" s="118">
        <f t="array" ref="T490">IFERROR(
INDEX(REPORTE_DROPI!B:B,
MATCH(
CLEAN(TRIM(C490)),
CLEAN(TRIM(REPORTE_DROPI!E:E)),
0
)
),
""
)
</f>
        <v>4521284</v>
      </c>
      <c r="U490" s="169" t="s">
        <v>7304</v>
      </c>
      <c r="V490" s="166"/>
      <c r="W490" s="18"/>
      <c r="X490" s="18"/>
      <c r="Y490" s="18"/>
      <c r="Z490" s="18"/>
    </row>
    <row r="491" ht="22.5" hidden="1" customHeight="1">
      <c r="A491" s="169">
        <v>490.0</v>
      </c>
      <c r="B491" s="170">
        <v>46069.0</v>
      </c>
      <c r="C491" s="154" t="s">
        <v>7305</v>
      </c>
      <c r="D491" s="118" t="str">
        <f>IFERROR(__xludf.DUMMYFUNCTION("IFERROR( INDEX( FILTER( 'NOMBRE DE PRODUCTOS'!B:B, REGEXMATCH( UPPER( INDEX( REPORTE_DROPI!AC:AC, MATCH(T491, REPORTE_DROPI!B:B, 0) ) ), UPPER('NOMBRE DE PRODUCTOS'!A:A) ) ), 1 ), ""REVISAR"" )"),"FilmPro®")</f>
        <v>FilmPro®</v>
      </c>
      <c r="E491" s="120">
        <f t="array" ref="E491">IF(
UPPER(TRIM(CLEAN($O491)))="ENTREGADO",
IFERROR(
INDEX(REPORTE_DROPI!Y:Y,
MATCH($T491, REPORTE_DROPI!B:B, 0)
),
""
),
""
)
</f>
        <v>4.8</v>
      </c>
      <c r="F491" s="171">
        <v>2.0</v>
      </c>
      <c r="G491" s="122">
        <f t="array" ref="G491">IF(
UPPER(TRIM(CLEAN($O491)))="ENTREGADO",
IFERROR(
INDEX(REPORTE_DROPI!R:R,
MATCH($T491, REPORTE_DROPI!B:B, 0)
),
""
),
""
)
</f>
        <v>25</v>
      </c>
      <c r="H491" s="118" t="s">
        <v>3727</v>
      </c>
      <c r="I491" s="154" t="s">
        <v>3740</v>
      </c>
      <c r="J491" s="121">
        <f t="array" ref="J491">IF(
UPPER(TRIM(CLEAN($O491)))="ENTREGADO",
IFERROR(
INDEX(REPORTE_DROPI!T:T,
MATCH($T491, REPORTE_DROPI!B:B, 0)
),
""
),
""
)
</f>
        <v>4.35</v>
      </c>
      <c r="K491" s="118">
        <f t="array" ref="K491">IFERROR(
INDEX(REPORTE_DROPI!S:S,
MATCH($T491, REPORTE_DROPI!B:B, 0)
),
""
)</f>
        <v>15.85</v>
      </c>
      <c r="L491" s="118" t="str">
        <f>IF(
  O491&lt;&gt;"DEVOLUCION",
  "",
  IF(
    T491="",
    "",
    SUMIF(DEVOLUCION!F:F, T491, DEVOLUCION!D:D)
  )
)
</f>
        <v/>
      </c>
      <c r="M491" s="118" t="s">
        <v>5877</v>
      </c>
      <c r="N491" s="169" t="s">
        <v>7306</v>
      </c>
      <c r="O491" s="118" t="str">
        <f t="array" ref="O491">IFERROR(
VLOOKUP(
TRIM(CLEAN(
INDEX(REPORTE_DROPI!K:K,
MATCH(T491, REPORTE_DROPI!B:B, 0)
))),
{
TRIM(CLEAN(MAPA_ESTADOS!A:A)) ,
MAPA_ESTADOS!B:B
},
2,
FALSE
),
"REVISAR"
)</f>
        <v>ENTREGADO</v>
      </c>
      <c r="P491" s="154" t="s">
        <v>5692</v>
      </c>
      <c r="Q491" s="153">
        <f t="shared" si="1"/>
        <v>0</v>
      </c>
      <c r="R491" s="172"/>
      <c r="S491" s="172"/>
      <c r="T491" s="118">
        <f t="array" ref="T491">IFERROR(
INDEX(REPORTE_DROPI!B:B,
MATCH(
CLEAN(TRIM(C491)),
CLEAN(TRIM(REPORTE_DROPI!E:E)),
0
)
),
""
)
</f>
        <v>4521408</v>
      </c>
      <c r="U491" s="169" t="s">
        <v>7307</v>
      </c>
      <c r="V491" s="166"/>
      <c r="W491" s="18"/>
      <c r="X491" s="18"/>
      <c r="Y491" s="18"/>
      <c r="Z491" s="18"/>
    </row>
    <row r="492" ht="22.5" hidden="1" customHeight="1">
      <c r="A492" s="169">
        <v>491.0</v>
      </c>
      <c r="B492" s="170">
        <v>46069.0</v>
      </c>
      <c r="C492" s="154" t="s">
        <v>7308</v>
      </c>
      <c r="D492" s="118" t="str">
        <f>IFERROR(__xludf.DUMMYFUNCTION("IFERROR( INDEX( FILTER( 'NOMBRE DE PRODUCTOS'!B:B, REGEXMATCH( UPPER( INDEX( REPORTE_DROPI!AC:AC, MATCH(T492, REPORTE_DROPI!B:B, 0) ) ), UPPER('NOMBRE DE PRODUCTOS'!A:A) ) ), 1 ), ""REVISAR"" )"),"Cuchillo Tazaki™")</f>
        <v>Cuchillo Tazaki™</v>
      </c>
      <c r="E492" s="120">
        <f t="array" ref="E492">IF(
UPPER(TRIM(CLEAN($O492)))="ENTREGADO",
IFERROR(
INDEX(REPORTE_DROPI!Y:Y,
MATCH($T492, REPORTE_DROPI!B:B, 0)
),
""
),
""
)
</f>
        <v>11.25</v>
      </c>
      <c r="F492" s="171">
        <v>3.0</v>
      </c>
      <c r="G492" s="122">
        <f t="array" ref="G492">IF(
UPPER(TRIM(CLEAN($O492)))="ENTREGADO",
IFERROR(
INDEX(REPORTE_DROPI!R:R,
MATCH($T492, REPORTE_DROPI!B:B, 0)
),
""
),
""
)
</f>
        <v>27</v>
      </c>
      <c r="H492" s="118" t="s">
        <v>3727</v>
      </c>
      <c r="I492" s="154" t="s">
        <v>3772</v>
      </c>
      <c r="J492" s="121">
        <f t="array" ref="J492">IF(
UPPER(TRIM(CLEAN($O492)))="ENTREGADO",
IFERROR(
INDEX(REPORTE_DROPI!T:T,
MATCH($T492, REPORTE_DROPI!B:B, 0)
),
""
),
""
)
</f>
        <v>6.34</v>
      </c>
      <c r="K492" s="118">
        <f t="array" ref="K492">IFERROR(
INDEX(REPORTE_DROPI!S:S,
MATCH($T492, REPORTE_DROPI!B:B, 0)
),
""
)</f>
        <v>9.41</v>
      </c>
      <c r="L492" s="118" t="str">
        <f>IF(
  O492&lt;&gt;"DEVOLUCION",
  "",
  IF(
    T492="",
    "",
    SUMIF(DEVOLUCION!F:F, T492, DEVOLUCION!D:D)
  )
)
</f>
        <v/>
      </c>
      <c r="M492" s="118" t="s">
        <v>5877</v>
      </c>
      <c r="N492" s="169" t="s">
        <v>7309</v>
      </c>
      <c r="O492" s="118" t="str">
        <f t="array" ref="O492">IFERROR(
VLOOKUP(
TRIM(CLEAN(
INDEX(REPORTE_DROPI!K:K,
MATCH(T492, REPORTE_DROPI!B:B, 0)
))),
{
TRIM(CLEAN(MAPA_ESTADOS!A:A)) ,
MAPA_ESTADOS!B:B
},
2,
FALSE
),
"REVISAR"
)</f>
        <v>ENTREGADO</v>
      </c>
      <c r="P492" s="154" t="s">
        <v>5909</v>
      </c>
      <c r="Q492" s="153">
        <f t="shared" si="1"/>
        <v>0</v>
      </c>
      <c r="R492" s="172"/>
      <c r="S492" s="172"/>
      <c r="T492" s="118">
        <f t="array" ref="T492">IFERROR(
INDEX(REPORTE_DROPI!B:B,
MATCH(
CLEAN(TRIM(C492)),
CLEAN(TRIM(REPORTE_DROPI!E:E)),
0
)
),
""
)
</f>
        <v>4548818</v>
      </c>
      <c r="U492" s="169" t="s">
        <v>7310</v>
      </c>
      <c r="V492" s="166"/>
      <c r="W492" s="18"/>
      <c r="X492" s="18"/>
      <c r="Y492" s="18"/>
      <c r="Z492" s="18"/>
    </row>
    <row r="493" ht="22.5" hidden="1" customHeight="1">
      <c r="A493" s="169">
        <v>492.0</v>
      </c>
      <c r="B493" s="170">
        <v>46069.0</v>
      </c>
      <c r="C493" s="154" t="s">
        <v>7311</v>
      </c>
      <c r="D493" s="118" t="str">
        <f>IFERROR(__xludf.DUMMYFUNCTION("IFERROR( INDEX( FILTER( 'NOMBRE DE PRODUCTOS'!B:B, REGEXMATCH( UPPER( INDEX( REPORTE_DROPI!AC:AC, MATCH(T493, REPORTE_DROPI!B:B, 0) ) ), UPPER('NOMBRE DE PRODUCTOS'!A:A) ) ), 1 ), ""REVISAR"" )"),"FilmPro®")</f>
        <v>FilmPro®</v>
      </c>
      <c r="E493" s="120" t="str">
        <f t="array" ref="E493">IF(
UPPER(TRIM(CLEAN($O493)))="ENTREGADO",
IFERROR(
INDEX(REPORTE_DROPI!Y:Y,
MATCH($T493, REPORTE_DROPI!B:B, 0)
),
""
),
""
)
</f>
        <v/>
      </c>
      <c r="F493" s="171">
        <v>2.0</v>
      </c>
      <c r="G493" s="122" t="str">
        <f t="array" ref="G493">IF(
UPPER(TRIM(CLEAN($O493)))="ENTREGADO",
IFERROR(
INDEX(REPORTE_DROPI!R:R,
MATCH($T493, REPORTE_DROPI!B:B, 0)
),
""
),
""
)
</f>
        <v/>
      </c>
      <c r="H493" s="118" t="s">
        <v>3727</v>
      </c>
      <c r="I493" s="154" t="s">
        <v>3784</v>
      </c>
      <c r="J493" s="121" t="str">
        <f t="array" ref="J493">IF(
UPPER(TRIM(CLEAN($O493)))="ENTREGADO",
IFERROR(
INDEX(REPORTE_DROPI!T:T,
MATCH($T493, REPORTE_DROPI!B:B, 0)
),
""
),
""
)
</f>
        <v/>
      </c>
      <c r="K493" s="118" t="str">
        <f t="array" ref="K493">IFERROR(
INDEX(REPORTE_DROPI!S:S,
MATCH($T493, REPORTE_DROPI!B:B, 0)
),
""
)</f>
        <v/>
      </c>
      <c r="L493" s="118" t="str">
        <f>IF(
  O493&lt;&gt;"DEVOLUCION",
  "",
  IF(
    T493="",
    "",
    SUMIF(DEVOLUCION!F:F, T493, DEVOLUCION!D:D)
  )
)
</f>
        <v/>
      </c>
      <c r="M493" s="118" t="s">
        <v>5877</v>
      </c>
      <c r="N493" s="169" t="s">
        <v>7312</v>
      </c>
      <c r="O493" s="118" t="str">
        <f t="array" ref="O493">IFERROR(
VLOOKUP(
TRIM(CLEAN(
INDEX(REPORTE_DROPI!K:K,
MATCH(T493, REPORTE_DROPI!B:B, 0)
))),
{
TRIM(CLEAN(MAPA_ESTADOS!A:A)) ,
MAPA_ESTADOS!B:B
},
2,
FALSE
),
"REVISAR"
)</f>
        <v>PENDIENTE</v>
      </c>
      <c r="P493" s="154" t="s">
        <v>7313</v>
      </c>
      <c r="Q493" s="153">
        <f t="shared" si="1"/>
        <v>0</v>
      </c>
      <c r="R493" s="172"/>
      <c r="S493" s="172"/>
      <c r="T493" s="118">
        <f t="array" ref="T493">IFERROR(
INDEX(REPORTE_DROPI!B:B,
MATCH(
CLEAN(TRIM(C493)),
CLEAN(TRIM(REPORTE_DROPI!E:E)),
0
)
),
""
)
</f>
        <v>4521505</v>
      </c>
      <c r="U493" s="169" t="s">
        <v>7314</v>
      </c>
      <c r="V493" s="166"/>
      <c r="W493" s="18"/>
      <c r="X493" s="18"/>
      <c r="Y493" s="18"/>
      <c r="Z493" s="18"/>
    </row>
    <row r="494" ht="22.5" hidden="1" customHeight="1">
      <c r="A494" s="169">
        <v>493.0</v>
      </c>
      <c r="B494" s="170">
        <v>46069.0</v>
      </c>
      <c r="C494" s="154" t="s">
        <v>7315</v>
      </c>
      <c r="D494" s="118" t="str">
        <f>IFERROR(__xludf.DUMMYFUNCTION("IFERROR( INDEX( FILTER( 'NOMBRE DE PRODUCTOS'!B:B, REGEXMATCH( UPPER( INDEX( REPORTE_DROPI!AC:AC, MATCH(T494, REPORTE_DROPI!B:B, 0) ) ), UPPER('NOMBRE DE PRODUCTOS'!A:A) ) ), 1 ), ""REVISAR"" )"),"Cuchillo Tazaki™")</f>
        <v>Cuchillo Tazaki™</v>
      </c>
      <c r="E494" s="120">
        <f t="array" ref="E494">IF(
UPPER(TRIM(CLEAN($O494)))="ENTREGADO",
IFERROR(
INDEX(REPORTE_DROPI!Y:Y,
MATCH($T494, REPORTE_DROPI!B:B, 0)
),
""
),
""
)
</f>
        <v>15</v>
      </c>
      <c r="F494" s="171">
        <v>4.0</v>
      </c>
      <c r="G494" s="122">
        <f t="array" ref="G494">IF(
UPPER(TRIM(CLEAN($O494)))="ENTREGADO",
IFERROR(
INDEX(REPORTE_DROPI!R:R,
MATCH($T494, REPORTE_DROPI!B:B, 0)
),
""
),
""
)
</f>
        <v>32</v>
      </c>
      <c r="H494" s="118" t="s">
        <v>3727</v>
      </c>
      <c r="I494" s="154" t="s">
        <v>3728</v>
      </c>
      <c r="J494" s="121">
        <f t="array" ref="J494">IF(
UPPER(TRIM(CLEAN($O494)))="ENTREGADO",
IFERROR(
INDEX(REPORTE_DROPI!T:T,
MATCH($T494, REPORTE_DROPI!B:B, 0)
),
""
),
""
)
</f>
        <v>6.24</v>
      </c>
      <c r="K494" s="118">
        <f t="array" ref="K494">IFERROR(
INDEX(REPORTE_DROPI!S:S,
MATCH($T494, REPORTE_DROPI!B:B, 0)
),
""
)</f>
        <v>10.76</v>
      </c>
      <c r="L494" s="118" t="str">
        <f>IF(
  O494&lt;&gt;"DEVOLUCION",
  "",
  IF(
    T494="",
    "",
    SUMIF(DEVOLUCION!F:F, T494, DEVOLUCION!D:D)
  )
)
</f>
        <v/>
      </c>
      <c r="M494" s="118" t="s">
        <v>5877</v>
      </c>
      <c r="N494" s="169" t="s">
        <v>7316</v>
      </c>
      <c r="O494" s="118" t="str">
        <f t="array" ref="O494">IFERROR(
VLOOKUP(
TRIM(CLEAN(
INDEX(REPORTE_DROPI!K:K,
MATCH(T494, REPORTE_DROPI!B:B, 0)
))),
{
TRIM(CLEAN(MAPA_ESTADOS!A:A)) ,
MAPA_ESTADOS!B:B
},
2,
FALSE
),
"REVISAR"
)</f>
        <v>ENTREGADO</v>
      </c>
      <c r="P494" s="154" t="s">
        <v>3655</v>
      </c>
      <c r="Q494" s="153">
        <f t="shared" si="1"/>
        <v>0</v>
      </c>
      <c r="R494" s="172"/>
      <c r="S494" s="172"/>
      <c r="T494" s="118">
        <f t="array" ref="T494">IFERROR(
INDEX(REPORTE_DROPI!B:B,
MATCH(
CLEAN(TRIM(C494)),
CLEAN(TRIM(REPORTE_DROPI!E:E)),
0
)
),
""
)
</f>
        <v>4523616</v>
      </c>
      <c r="U494" s="169" t="s">
        <v>7317</v>
      </c>
      <c r="V494" s="166"/>
      <c r="W494" s="18"/>
      <c r="X494" s="18"/>
      <c r="Y494" s="18"/>
      <c r="Z494" s="18"/>
    </row>
    <row r="495" ht="22.5" hidden="1" customHeight="1">
      <c r="A495" s="169">
        <v>494.0</v>
      </c>
      <c r="B495" s="170">
        <v>46069.0</v>
      </c>
      <c r="C495" s="154" t="s">
        <v>7315</v>
      </c>
      <c r="D495" s="118" t="str">
        <f>IFERROR(__xludf.DUMMYFUNCTION("IFERROR( INDEX( FILTER( 'NOMBRE DE PRODUCTOS'!B:B, REGEXMATCH( UPPER( INDEX( REPORTE_DROPI!AC:AC, MATCH(T495, REPORTE_DROPI!B:B, 0) ) ), UPPER('NOMBRE DE PRODUCTOS'!A:A) ) ), 1 ), ""REVISAR"" )"),"Cuchillo Tazaki™")</f>
        <v>Cuchillo Tazaki™</v>
      </c>
      <c r="E495" s="120">
        <f t="array" ref="E495">IF(
UPPER(TRIM(CLEAN($O495)))="ENTREGADO",
IFERROR(
INDEX(REPORTE_DROPI!Y:Y,
MATCH($T495, REPORTE_DROPI!B:B, 0)
),
""
),
""
)
</f>
        <v>15</v>
      </c>
      <c r="F495" s="171">
        <v>4.0</v>
      </c>
      <c r="G495" s="122">
        <f t="array" ref="G495">IF(
UPPER(TRIM(CLEAN($O495)))="ENTREGADO",
IFERROR(
INDEX(REPORTE_DROPI!R:R,
MATCH($T495, REPORTE_DROPI!B:B, 0)
),
""
),
""
)
</f>
        <v>32</v>
      </c>
      <c r="H495" s="118" t="s">
        <v>3727</v>
      </c>
      <c r="I495" s="154" t="s">
        <v>3728</v>
      </c>
      <c r="J495" s="121">
        <f t="array" ref="J495">IF(
UPPER(TRIM(CLEAN($O495)))="ENTREGADO",
IFERROR(
INDEX(REPORTE_DROPI!T:T,
MATCH($T495, REPORTE_DROPI!B:B, 0)
),
""
),
""
)
</f>
        <v>6.24</v>
      </c>
      <c r="K495" s="118">
        <f t="array" ref="K495">IFERROR(
INDEX(REPORTE_DROPI!S:S,
MATCH($T495, REPORTE_DROPI!B:B, 0)
),
""
)</f>
        <v>10.76</v>
      </c>
      <c r="L495" s="118" t="str">
        <f>IF(
  O495&lt;&gt;"DEVOLUCION",
  "",
  IF(
    T495="",
    "",
    SUMIF(DEVOLUCION!F:F, T495, DEVOLUCION!D:D)
  )
)
</f>
        <v/>
      </c>
      <c r="M495" s="118" t="s">
        <v>5877</v>
      </c>
      <c r="N495" s="169" t="s">
        <v>7318</v>
      </c>
      <c r="O495" s="118" t="str">
        <f t="array" ref="O495">IFERROR(
VLOOKUP(
TRIM(CLEAN(
INDEX(REPORTE_DROPI!K:K,
MATCH(T495, REPORTE_DROPI!B:B, 0)
))),
{
TRIM(CLEAN(MAPA_ESTADOS!A:A)) ,
MAPA_ESTADOS!B:B
},
2,
FALSE
),
"REVISAR"
)</f>
        <v>ENTREGADO</v>
      </c>
      <c r="P495" s="154" t="s">
        <v>7319</v>
      </c>
      <c r="Q495" s="153">
        <f t="shared" si="1"/>
        <v>0</v>
      </c>
      <c r="R495" s="172"/>
      <c r="S495" s="172"/>
      <c r="T495" s="118">
        <f t="array" ref="T495">IFERROR(
INDEX(REPORTE_DROPI!B:B,
MATCH(
CLEAN(TRIM(C495)),
CLEAN(TRIM(REPORTE_DROPI!E:E)),
0
)
),
""
)
</f>
        <v>4523616</v>
      </c>
      <c r="U495" s="169"/>
      <c r="V495" s="166"/>
      <c r="W495" s="18"/>
      <c r="X495" s="18"/>
      <c r="Y495" s="18"/>
      <c r="Z495" s="18"/>
    </row>
    <row r="496" ht="22.5" hidden="1" customHeight="1">
      <c r="A496" s="169">
        <v>495.0</v>
      </c>
      <c r="B496" s="170">
        <v>46069.0</v>
      </c>
      <c r="C496" s="154" t="s">
        <v>7320</v>
      </c>
      <c r="D496" s="118" t="str">
        <f>IFERROR(__xludf.DUMMYFUNCTION("IFERROR( INDEX( FILTER( 'NOMBRE DE PRODUCTOS'!B:B, REGEXMATCH( UPPER( INDEX( REPORTE_DROPI!AC:AC, MATCH(T496, REPORTE_DROPI!B:B, 0) ) ), UPPER('NOMBRE DE PRODUCTOS'!A:A) ) ), 1 ), ""REVISAR"" )"),"FilmPro®")</f>
        <v>FilmPro®</v>
      </c>
      <c r="E496" s="120" t="str">
        <f t="array" ref="E496">IF(
UPPER(TRIM(CLEAN($O496)))="ENTREGADO",
IFERROR(
INDEX(REPORTE_DROPI!Y:Y,
MATCH($T496, REPORTE_DROPI!B:B, 0)
),
""
),
""
)
</f>
        <v/>
      </c>
      <c r="F496" s="171">
        <v>2.0</v>
      </c>
      <c r="G496" s="122" t="str">
        <f t="array" ref="G496">IF(
UPPER(TRIM(CLEAN($O496)))="ENTREGADO",
IFERROR(
INDEX(REPORTE_DROPI!R:R,
MATCH($T496, REPORTE_DROPI!B:B, 0)
),
""
),
""
)
</f>
        <v/>
      </c>
      <c r="H496" s="118" t="s">
        <v>3727</v>
      </c>
      <c r="I496" s="154" t="s">
        <v>3731</v>
      </c>
      <c r="J496" s="121" t="str">
        <f t="array" ref="J496">IF(
UPPER(TRIM(CLEAN($O496)))="ENTREGADO",
IFERROR(
INDEX(REPORTE_DROPI!T:T,
MATCH($T496, REPORTE_DROPI!B:B, 0)
),
""
),
""
)
</f>
        <v/>
      </c>
      <c r="K496" s="118" t="str">
        <f t="array" ref="K496">IFERROR(
INDEX(REPORTE_DROPI!S:S,
MATCH($T496, REPORTE_DROPI!B:B, 0)
),
""
)</f>
        <v/>
      </c>
      <c r="L496" s="118" t="str">
        <f>IF(
  O496&lt;&gt;"DEVOLUCION",
  "",
  IF(
    T496="",
    "",
    SUMIF(DEVOLUCION!F:F, T496, DEVOLUCION!D:D)
  )
)
</f>
        <v/>
      </c>
      <c r="M496" s="118" t="s">
        <v>5877</v>
      </c>
      <c r="N496" s="169" t="s">
        <v>7321</v>
      </c>
      <c r="O496" s="118" t="str">
        <f t="array" ref="O496">IFERROR(
VLOOKUP(
TRIM(CLEAN(
INDEX(REPORTE_DROPI!K:K,
MATCH(T496, REPORTE_DROPI!B:B, 0)
))),
{
TRIM(CLEAN(MAPA_ESTADOS!A:A)) ,
MAPA_ESTADOS!B:B
},
2,
FALSE
),
"REVISAR"
)</f>
        <v>CANCELADO</v>
      </c>
      <c r="P496" s="154" t="s">
        <v>5952</v>
      </c>
      <c r="Q496" s="153">
        <f t="shared" si="1"/>
        <v>0</v>
      </c>
      <c r="R496" s="172"/>
      <c r="S496" s="172"/>
      <c r="T496" s="118">
        <f t="array" ref="T496">IFERROR(
INDEX(REPORTE_DROPI!B:B,
MATCH(
CLEAN(TRIM(C496)),
CLEAN(TRIM(REPORTE_DROPI!E:E)),
0
)
),
""
)
</f>
        <v>4521997</v>
      </c>
      <c r="U496" s="169" t="s">
        <v>7322</v>
      </c>
      <c r="V496" s="166"/>
      <c r="W496" s="18"/>
      <c r="X496" s="18"/>
      <c r="Y496" s="18"/>
      <c r="Z496" s="18"/>
    </row>
    <row r="497" ht="22.5" hidden="1" customHeight="1">
      <c r="A497" s="169">
        <v>496.0</v>
      </c>
      <c r="B497" s="170">
        <v>46069.0</v>
      </c>
      <c r="C497" s="154" t="s">
        <v>7323</v>
      </c>
      <c r="D497" s="118" t="str">
        <f>IFERROR(__xludf.DUMMYFUNCTION("IFERROR( INDEX( FILTER( 'NOMBRE DE PRODUCTOS'!B:B, REGEXMATCH( UPPER( INDEX( REPORTE_DROPI!AC:AC, MATCH(T497, REPORTE_DROPI!B:B, 0) ) ), UPPER('NOMBRE DE PRODUCTOS'!A:A) ) ), 1 ), ""REVISAR"" )"),"FilmPro®")</f>
        <v>FilmPro®</v>
      </c>
      <c r="E497" s="120">
        <f t="array" ref="E497">IF(
UPPER(TRIM(CLEAN($O497)))="ENTREGADO",
IFERROR(
INDEX(REPORTE_DROPI!Y:Y,
MATCH($T497, REPORTE_DROPI!B:B, 0)
),
""
),
""
)
</f>
        <v>7.2</v>
      </c>
      <c r="F497" s="171">
        <v>3.0</v>
      </c>
      <c r="G497" s="122">
        <f t="array" ref="G497">IF(
UPPER(TRIM(CLEAN($O497)))="ENTREGADO",
IFERROR(
INDEX(REPORTE_DROPI!R:R,
MATCH($T497, REPORTE_DROPI!B:B, 0)
),
""
),
""
)
</f>
        <v>30</v>
      </c>
      <c r="H497" s="118" t="s">
        <v>3727</v>
      </c>
      <c r="I497" s="154" t="s">
        <v>3731</v>
      </c>
      <c r="J497" s="121">
        <f t="array" ref="J497">IF(
UPPER(TRIM(CLEAN($O497)))="ENTREGADO",
IFERROR(
INDEX(REPORTE_DROPI!T:T,
MATCH($T497, REPORTE_DROPI!B:B, 0)
),
""
),
""
)
</f>
        <v>6.16</v>
      </c>
      <c r="K497" s="118">
        <f t="array" ref="K497">IFERROR(
INDEX(REPORTE_DROPI!S:S,
MATCH($T497, REPORTE_DROPI!B:B, 0)
),
""
)</f>
        <v>16.64</v>
      </c>
      <c r="L497" s="118" t="str">
        <f>IF(
  O497&lt;&gt;"DEVOLUCION",
  "",
  IF(
    T497="",
    "",
    SUMIF(DEVOLUCION!F:F, T497, DEVOLUCION!D:D)
  )
)
</f>
        <v/>
      </c>
      <c r="M497" s="118" t="s">
        <v>5877</v>
      </c>
      <c r="N497" s="169" t="s">
        <v>7324</v>
      </c>
      <c r="O497" s="118" t="str">
        <f t="array" ref="O497">IFERROR(
VLOOKUP(
TRIM(CLEAN(
INDEX(REPORTE_DROPI!K:K,
MATCH(T497, REPORTE_DROPI!B:B, 0)
))),
{
TRIM(CLEAN(MAPA_ESTADOS!A:A)) ,
MAPA_ESTADOS!B:B
},
2,
FALSE
),
"REVISAR"
)</f>
        <v>ENTREGADO</v>
      </c>
      <c r="P497" s="154" t="s">
        <v>3655</v>
      </c>
      <c r="Q497" s="153">
        <f t="shared" si="1"/>
        <v>0</v>
      </c>
      <c r="R497" s="172"/>
      <c r="S497" s="172"/>
      <c r="T497" s="118">
        <f t="array" ref="T497">IFERROR(
INDEX(REPORTE_DROPI!B:B,
MATCH(
CLEAN(TRIM(C497)),
CLEAN(TRIM(REPORTE_DROPI!E:E)),
0
)
),
""
)
</f>
        <v>4522138</v>
      </c>
      <c r="U497" s="169" t="s">
        <v>7325</v>
      </c>
      <c r="V497" s="166"/>
      <c r="W497" s="18"/>
      <c r="X497" s="18"/>
      <c r="Y497" s="18"/>
      <c r="Z497" s="18"/>
    </row>
    <row r="498" ht="22.5" hidden="1" customHeight="1">
      <c r="A498" s="169">
        <v>497.0</v>
      </c>
      <c r="B498" s="170">
        <v>46069.0</v>
      </c>
      <c r="C498" s="154" t="s">
        <v>7326</v>
      </c>
      <c r="D498" s="118" t="str">
        <f>IFERROR(__xludf.DUMMYFUNCTION("IFERROR( INDEX( FILTER( 'NOMBRE DE PRODUCTOS'!B:B, REGEXMATCH( UPPER( INDEX( REPORTE_DROPI!AC:AC, MATCH(T498, REPORTE_DROPI!B:B, 0) ) ), UPPER('NOMBRE DE PRODUCTOS'!A:A) ) ), 1 ), ""REVISAR"" )"),"FilmPro®")</f>
        <v>FilmPro®</v>
      </c>
      <c r="E498" s="120">
        <f t="array" ref="E498">IF(
UPPER(TRIM(CLEAN($O498)))="ENTREGADO",
IFERROR(
INDEX(REPORTE_DROPI!Y:Y,
MATCH($T498, REPORTE_DROPI!B:B, 0)
),
""
),
""
)
</f>
        <v>2.4</v>
      </c>
      <c r="F498" s="171">
        <v>1.0</v>
      </c>
      <c r="G498" s="122">
        <f t="array" ref="G498">IF(
UPPER(TRIM(CLEAN($O498)))="ENTREGADO",
IFERROR(
INDEX(REPORTE_DROPI!R:R,
MATCH($T498, REPORTE_DROPI!B:B, 0)
),
""
),
""
)
</f>
        <v>20</v>
      </c>
      <c r="H498" s="118" t="s">
        <v>3727</v>
      </c>
      <c r="I498" s="154" t="s">
        <v>3770</v>
      </c>
      <c r="J498" s="121">
        <f t="array" ref="J498">IF(
UPPER(TRIM(CLEAN($O498)))="ENTREGADO",
IFERROR(
INDEX(REPORTE_DROPI!T:T,
MATCH($T498, REPORTE_DROPI!B:B, 0)
),
""
),
""
)
</f>
        <v>5.76</v>
      </c>
      <c r="K498" s="118">
        <f t="array" ref="K498">IFERROR(
INDEX(REPORTE_DROPI!S:S,
MATCH($T498, REPORTE_DROPI!B:B, 0)
),
""
)</f>
        <v>11.84</v>
      </c>
      <c r="L498" s="118" t="str">
        <f>IF(
  O498&lt;&gt;"DEVOLUCION",
  "",
  IF(
    T498="",
    "",
    SUMIF(DEVOLUCION!F:F, T498, DEVOLUCION!D:D)
  )
)
</f>
        <v/>
      </c>
      <c r="M498" s="118" t="s">
        <v>5877</v>
      </c>
      <c r="N498" s="169" t="s">
        <v>7327</v>
      </c>
      <c r="O498" s="118" t="str">
        <f t="array" ref="O498">IFERROR(
VLOOKUP(
TRIM(CLEAN(
INDEX(REPORTE_DROPI!K:K,
MATCH(T498, REPORTE_DROPI!B:B, 0)
))),
{
TRIM(CLEAN(MAPA_ESTADOS!A:A)) ,
MAPA_ESTADOS!B:B
},
2,
FALSE
),
"REVISAR"
)</f>
        <v>ENTREGADO</v>
      </c>
      <c r="P498" s="154" t="s">
        <v>3655</v>
      </c>
      <c r="Q498" s="153">
        <f t="shared" si="1"/>
        <v>0</v>
      </c>
      <c r="R498" s="172"/>
      <c r="S498" s="172"/>
      <c r="T498" s="118">
        <f t="array" ref="T498">IFERROR(
INDEX(REPORTE_DROPI!B:B,
MATCH(
CLEAN(TRIM(C498)),
CLEAN(TRIM(REPORTE_DROPI!E:E)),
0
)
),
""
)
</f>
        <v>4522139</v>
      </c>
      <c r="U498" s="169" t="s">
        <v>7328</v>
      </c>
      <c r="V498" s="166"/>
      <c r="W498" s="18"/>
      <c r="X498" s="18"/>
      <c r="Y498" s="18"/>
      <c r="Z498" s="18"/>
    </row>
    <row r="499" ht="22.5" hidden="1" customHeight="1">
      <c r="A499" s="169">
        <v>498.0</v>
      </c>
      <c r="B499" s="170">
        <v>46069.0</v>
      </c>
      <c r="C499" s="154" t="s">
        <v>7329</v>
      </c>
      <c r="D499" s="118" t="str">
        <f>IFERROR(__xludf.DUMMYFUNCTION("IFERROR( INDEX( FILTER( 'NOMBRE DE PRODUCTOS'!B:B, REGEXMATCH( UPPER( INDEX( REPORTE_DROPI!AC:AC, MATCH(T499, REPORTE_DROPI!B:B, 0) ) ), UPPER('NOMBRE DE PRODUCTOS'!A:A) ) ), 1 ), ""REVISAR"" )"),"Cuchillo Tazaki™")</f>
        <v>Cuchillo Tazaki™</v>
      </c>
      <c r="E499" s="120" t="str">
        <f t="array" ref="E499">IF(
UPPER(TRIM(CLEAN($O499)))="ENTREGADO",
IFERROR(
INDEX(REPORTE_DROPI!Y:Y,
MATCH($T499, REPORTE_DROPI!B:B, 0)
),
""
),
""
)
</f>
        <v/>
      </c>
      <c r="F499" s="171">
        <v>2.0</v>
      </c>
      <c r="G499" s="122" t="str">
        <f t="array" ref="G499">IF(
UPPER(TRIM(CLEAN($O499)))="ENTREGADO",
IFERROR(
INDEX(REPORTE_DROPI!R:R,
MATCH($T499, REPORTE_DROPI!B:B, 0)
),
""
),
""
)
</f>
        <v/>
      </c>
      <c r="H499" s="118" t="s">
        <v>3727</v>
      </c>
      <c r="I499" s="154" t="s">
        <v>3740</v>
      </c>
      <c r="J499" s="121" t="str">
        <f t="array" ref="J499">IF(
UPPER(TRIM(CLEAN($O499)))="ENTREGADO",
IFERROR(
INDEX(REPORTE_DROPI!T:T,
MATCH($T499, REPORTE_DROPI!B:B, 0)
),
""
),
""
)
</f>
        <v/>
      </c>
      <c r="K499" s="118" t="str">
        <f t="array" ref="K499">IFERROR(
INDEX(REPORTE_DROPI!S:S,
MATCH($T499, REPORTE_DROPI!B:B, 0)
),
""
)</f>
        <v/>
      </c>
      <c r="L499" s="118">
        <f>IF(
  O499&lt;&gt;"DEVOLUCION",
  "",
  IF(
    T499="",
    "",
    SUMIF(DEVOLUCION!F:F, T499, DEVOLUCION!D:D)
  )
)
</f>
        <v>0</v>
      </c>
      <c r="M499" s="118" t="s">
        <v>5877</v>
      </c>
      <c r="N499" s="169" t="s">
        <v>7330</v>
      </c>
      <c r="O499" s="118" t="str">
        <f t="array" ref="O499">IFERROR(
VLOOKUP(
TRIM(CLEAN(
INDEX(REPORTE_DROPI!K:K,
MATCH(T499, REPORTE_DROPI!B:B, 0)
))),
{
TRIM(CLEAN(MAPA_ESTADOS!A:A)) ,
MAPA_ESTADOS!B:B
},
2,
FALSE
),
"REVISAR"
)</f>
        <v>DEVOLUCION</v>
      </c>
      <c r="P499" s="154" t="s">
        <v>7114</v>
      </c>
      <c r="Q499" s="153">
        <f t="shared" si="1"/>
        <v>0</v>
      </c>
      <c r="R499" s="172"/>
      <c r="S499" s="172"/>
      <c r="T499" s="118">
        <f t="array" ref="T499">IFERROR(
INDEX(REPORTE_DROPI!B:B,
MATCH(
CLEAN(TRIM(C499)),
CLEAN(TRIM(REPORTE_DROPI!E:E)),
0
)
),
""
)
</f>
        <v>4523621</v>
      </c>
      <c r="U499" s="169" t="s">
        <v>7331</v>
      </c>
      <c r="V499" s="166"/>
      <c r="W499" s="18"/>
      <c r="X499" s="18"/>
      <c r="Y499" s="18"/>
      <c r="Z499" s="18"/>
    </row>
    <row r="500" ht="22.5" hidden="1" customHeight="1">
      <c r="A500" s="169">
        <v>499.0</v>
      </c>
      <c r="B500" s="170">
        <v>46069.0</v>
      </c>
      <c r="C500" s="154" t="s">
        <v>7332</v>
      </c>
      <c r="D500" s="118" t="str">
        <f>IFERROR(__xludf.DUMMYFUNCTION("IFERROR( INDEX( FILTER( 'NOMBRE DE PRODUCTOS'!B:B, REGEXMATCH( UPPER( INDEX( REPORTE_DROPI!AC:AC, MATCH(T500, REPORTE_DROPI!B:B, 0) ) ), UPPER('NOMBRE DE PRODUCTOS'!A:A) ) ), 1 ), ""REVISAR"" )"),"Cuchillo Tazaki™")</f>
        <v>Cuchillo Tazaki™</v>
      </c>
      <c r="E500" s="120">
        <f t="array" ref="E500">IF(
UPPER(TRIM(CLEAN($O500)))="ENTREGADO",
IFERROR(
INDEX(REPORTE_DROPI!Y:Y,
MATCH($T500, REPORTE_DROPI!B:B, 0)
),
""
),
""
)
</f>
        <v>15</v>
      </c>
      <c r="F500" s="171">
        <v>4.0</v>
      </c>
      <c r="G500" s="122">
        <f t="array" ref="G500">IF(
UPPER(TRIM(CLEAN($O500)))="ENTREGADO",
IFERROR(
INDEX(REPORTE_DROPI!R:R,
MATCH($T500, REPORTE_DROPI!B:B, 0)
),
""
),
""
)
</f>
        <v>32</v>
      </c>
      <c r="H500" s="118" t="s">
        <v>3727</v>
      </c>
      <c r="I500" s="154" t="s">
        <v>3740</v>
      </c>
      <c r="J500" s="121">
        <f t="array" ref="J500">IF(
UPPER(TRIM(CLEAN($O500)))="ENTREGADO",
IFERROR(
INDEX(REPORTE_DROPI!T:T,
MATCH($T500, REPORTE_DROPI!B:B, 0)
),
""
),
""
)
</f>
        <v>6.24</v>
      </c>
      <c r="K500" s="118">
        <f t="array" ref="K500">IFERROR(
INDEX(REPORTE_DROPI!S:S,
MATCH($T500, REPORTE_DROPI!B:B, 0)
),
""
)</f>
        <v>10.76</v>
      </c>
      <c r="L500" s="118" t="str">
        <f>IF(
  O500&lt;&gt;"DEVOLUCION",
  "",
  IF(
    T500="",
    "",
    SUMIF(DEVOLUCION!F:F, T500, DEVOLUCION!D:D)
  )
)
</f>
        <v/>
      </c>
      <c r="M500" s="118" t="s">
        <v>5877</v>
      </c>
      <c r="N500" s="169" t="s">
        <v>7333</v>
      </c>
      <c r="O500" s="118" t="str">
        <f t="array" ref="O500">IFERROR(
VLOOKUP(
TRIM(CLEAN(
INDEX(REPORTE_DROPI!K:K,
MATCH(T500, REPORTE_DROPI!B:B, 0)
))),
{
TRIM(CLEAN(MAPA_ESTADOS!A:A)) ,
MAPA_ESTADOS!B:B
},
2,
FALSE
),
"REVISAR"
)</f>
        <v>ENTREGADO</v>
      </c>
      <c r="P500" s="154" t="s">
        <v>7114</v>
      </c>
      <c r="Q500" s="153">
        <f t="shared" si="1"/>
        <v>0</v>
      </c>
      <c r="R500" s="172"/>
      <c r="S500" s="172"/>
      <c r="T500" s="118">
        <f t="array" ref="T500">IFERROR(
INDEX(REPORTE_DROPI!B:B,
MATCH(
CLEAN(TRIM(C500)),
CLEAN(TRIM(REPORTE_DROPI!E:E)),
0
)
),
""
)
</f>
        <v>4523623</v>
      </c>
      <c r="U500" s="169" t="s">
        <v>7334</v>
      </c>
      <c r="V500" s="166"/>
      <c r="W500" s="18"/>
      <c r="X500" s="18"/>
      <c r="Y500" s="18"/>
      <c r="Z500" s="18"/>
    </row>
    <row r="501" ht="22.5" hidden="1" customHeight="1">
      <c r="A501" s="169">
        <v>500.0</v>
      </c>
      <c r="B501" s="170">
        <v>46069.0</v>
      </c>
      <c r="C501" s="154" t="s">
        <v>7335</v>
      </c>
      <c r="D501" s="118" t="str">
        <f>IFERROR(__xludf.DUMMYFUNCTION("IFERROR( INDEX( FILTER( 'NOMBRE DE PRODUCTOS'!B:B, REGEXMATCH( UPPER( INDEX( REPORTE_DROPI!AC:AC, MATCH(T501, REPORTE_DROPI!B:B, 0) ) ), UPPER('NOMBRE DE PRODUCTOS'!A:A) ) ), 1 ), ""REVISAR"" )"),"Cuchillo Tazaki™")</f>
        <v>Cuchillo Tazaki™</v>
      </c>
      <c r="E501" s="120" t="str">
        <f t="array" ref="E501">IF(
UPPER(TRIM(CLEAN($O501)))="ENTREGADO",
IFERROR(
INDEX(REPORTE_DROPI!Y:Y,
MATCH($T501, REPORTE_DROPI!B:B, 0)
),
""
),
""
)
</f>
        <v/>
      </c>
      <c r="F501" s="171">
        <v>2.0</v>
      </c>
      <c r="G501" s="122" t="str">
        <f t="array" ref="G501">IF(
UPPER(TRIM(CLEAN($O501)))="ENTREGADO",
IFERROR(
INDEX(REPORTE_DROPI!R:R,
MATCH($T501, REPORTE_DROPI!B:B, 0)
),
""
),
""
)
</f>
        <v/>
      </c>
      <c r="H501" s="118" t="s">
        <v>3727</v>
      </c>
      <c r="I501" s="154" t="s">
        <v>3740</v>
      </c>
      <c r="J501" s="121" t="str">
        <f t="array" ref="J501">IF(
UPPER(TRIM(CLEAN($O501)))="ENTREGADO",
IFERROR(
INDEX(REPORTE_DROPI!T:T,
MATCH($T501, REPORTE_DROPI!B:B, 0)
),
""
),
""
)
</f>
        <v/>
      </c>
      <c r="K501" s="118" t="str">
        <f t="array" ref="K501">IFERROR(
INDEX(REPORTE_DROPI!S:S,
MATCH($T501, REPORTE_DROPI!B:B, 0)
),
""
)</f>
        <v/>
      </c>
      <c r="L501" s="118" t="str">
        <f>IF(
  O501&lt;&gt;"DEVOLUCION",
  "",
  IF(
    T501="",
    "",
    SUMIF(DEVOLUCION!F:F, T501, DEVOLUCION!D:D)
  )
)
</f>
        <v/>
      </c>
      <c r="M501" s="118" t="s">
        <v>5877</v>
      </c>
      <c r="N501" s="169" t="s">
        <v>7336</v>
      </c>
      <c r="O501" s="118" t="str">
        <f t="array" ref="O501">IFERROR(
VLOOKUP(
TRIM(CLEAN(
INDEX(REPORTE_DROPI!K:K,
MATCH(T501, REPORTE_DROPI!B:B, 0)
))),
{
TRIM(CLEAN(MAPA_ESTADOS!A:A)) ,
MAPA_ESTADOS!B:B
},
2,
FALSE
),
"REVISAR"
)</f>
        <v>PENDIENTE</v>
      </c>
      <c r="P501" s="154" t="s">
        <v>7337</v>
      </c>
      <c r="Q501" s="153">
        <f t="shared" si="1"/>
        <v>0</v>
      </c>
      <c r="R501" s="172"/>
      <c r="S501" s="172"/>
      <c r="T501" s="118">
        <f t="array" ref="T501">IFERROR(
INDEX(REPORTE_DROPI!B:B,
MATCH(
CLEAN(TRIM(C501)),
CLEAN(TRIM(REPORTE_DROPI!E:E)),
0
)
),
""
)
</f>
        <v>4523633</v>
      </c>
      <c r="U501" s="169" t="s">
        <v>7338</v>
      </c>
      <c r="V501" s="166"/>
      <c r="W501" s="18"/>
      <c r="X501" s="18"/>
      <c r="Y501" s="18"/>
      <c r="Z501" s="18"/>
    </row>
    <row r="502" ht="22.5" hidden="1" customHeight="1">
      <c r="A502" s="169">
        <v>501.0</v>
      </c>
      <c r="B502" s="170">
        <v>46069.0</v>
      </c>
      <c r="C502" s="154" t="s">
        <v>7339</v>
      </c>
      <c r="D502" s="118" t="str">
        <f>IFERROR(__xludf.DUMMYFUNCTION("IFERROR( INDEX( FILTER( 'NOMBRE DE PRODUCTOS'!B:B, REGEXMATCH( UPPER( INDEX( REPORTE_DROPI!AC:AC, MATCH(T502, REPORTE_DROPI!B:B, 0) ) ), UPPER('NOMBRE DE PRODUCTOS'!A:A) ) ), 1 ), ""REVISAR"" )"),"FilmPro®")</f>
        <v>FilmPro®</v>
      </c>
      <c r="E502" s="120">
        <f t="array" ref="E502">IF(
UPPER(TRIM(CLEAN($O502)))="ENTREGADO",
IFERROR(
INDEX(REPORTE_DROPI!Y:Y,
MATCH($T502, REPORTE_DROPI!B:B, 0)
),
""
),
""
)
</f>
        <v>2.4</v>
      </c>
      <c r="F502" s="171">
        <v>1.0</v>
      </c>
      <c r="G502" s="122">
        <f t="array" ref="G502">IF(
UPPER(TRIM(CLEAN($O502)))="ENTREGADO",
IFERROR(
INDEX(REPORTE_DROPI!R:R,
MATCH($T502, REPORTE_DROPI!B:B, 0)
),
""
),
""
)
</f>
        <v>20</v>
      </c>
      <c r="H502" s="118" t="s">
        <v>3727</v>
      </c>
      <c r="I502" s="154" t="s">
        <v>3962</v>
      </c>
      <c r="J502" s="121">
        <f t="array" ref="J502">IF(
UPPER(TRIM(CLEAN($O502)))="ENTREGADO",
IFERROR(
INDEX(REPORTE_DROPI!T:T,
MATCH($T502, REPORTE_DROPI!B:B, 0)
),
""
),
""
)
</f>
        <v>5.76</v>
      </c>
      <c r="K502" s="118">
        <f t="array" ref="K502">IFERROR(
INDEX(REPORTE_DROPI!S:S,
MATCH($T502, REPORTE_DROPI!B:B, 0)
),
""
)</f>
        <v>11.84</v>
      </c>
      <c r="L502" s="118" t="str">
        <f>IF(
  O502&lt;&gt;"DEVOLUCION",
  "",
  IF(
    T502="",
    "",
    SUMIF(DEVOLUCION!F:F, T502, DEVOLUCION!D:D)
  )
)
</f>
        <v/>
      </c>
      <c r="M502" s="118" t="s">
        <v>5877</v>
      </c>
      <c r="N502" s="169" t="s">
        <v>7340</v>
      </c>
      <c r="O502" s="118" t="str">
        <f t="array" ref="O502">IFERROR(
VLOOKUP(
TRIM(CLEAN(
INDEX(REPORTE_DROPI!K:K,
MATCH(T502, REPORTE_DROPI!B:B, 0)
))),
{
TRIM(CLEAN(MAPA_ESTADOS!A:A)) ,
MAPA_ESTADOS!B:B
},
2,
FALSE
),
"REVISAR"
)</f>
        <v>ENTREGADO</v>
      </c>
      <c r="P502" s="154" t="s">
        <v>3655</v>
      </c>
      <c r="Q502" s="153">
        <f t="shared" si="1"/>
        <v>0</v>
      </c>
      <c r="R502" s="172"/>
      <c r="S502" s="172"/>
      <c r="T502" s="118">
        <f t="array" ref="T502">IFERROR(
INDEX(REPORTE_DROPI!B:B,
MATCH(
CLEAN(TRIM(C502)),
CLEAN(TRIM(REPORTE_DROPI!E:E)),
0
)
),
""
)
</f>
        <v>4523600</v>
      </c>
      <c r="U502" s="169" t="s">
        <v>7341</v>
      </c>
      <c r="V502" s="166"/>
      <c r="W502" s="18"/>
      <c r="X502" s="18"/>
      <c r="Y502" s="18"/>
      <c r="Z502" s="18"/>
    </row>
    <row r="503" ht="22.5" hidden="1" customHeight="1">
      <c r="A503" s="169">
        <v>502.0</v>
      </c>
      <c r="B503" s="170">
        <v>46069.0</v>
      </c>
      <c r="C503" s="154" t="s">
        <v>7342</v>
      </c>
      <c r="D503" s="118" t="str">
        <f>IFERROR(__xludf.DUMMYFUNCTION("IFERROR( INDEX( FILTER( 'NOMBRE DE PRODUCTOS'!B:B, REGEXMATCH( UPPER( INDEX( REPORTE_DROPI!AC:AC, MATCH(T503, REPORTE_DROPI!B:B, 0) ) ), UPPER('NOMBRE DE PRODUCTOS'!A:A) ) ), 1 ), ""REVISAR"" )"),"FilmPro®")</f>
        <v>FilmPro®</v>
      </c>
      <c r="E503" s="120" t="str">
        <f t="array" ref="E503">IF(
UPPER(TRIM(CLEAN($O503)))="ENTREGADO",
IFERROR(
INDEX(REPORTE_DROPI!Y:Y,
MATCH($T503, REPORTE_DROPI!B:B, 0)
),
""
),
""
)
</f>
        <v/>
      </c>
      <c r="F503" s="171">
        <v>1.0</v>
      </c>
      <c r="G503" s="122" t="str">
        <f t="array" ref="G503">IF(
UPPER(TRIM(CLEAN($O503)))="ENTREGADO",
IFERROR(
INDEX(REPORTE_DROPI!R:R,
MATCH($T503, REPORTE_DROPI!B:B, 0)
),
""
),
""
)
</f>
        <v/>
      </c>
      <c r="H503" s="118" t="s">
        <v>3727</v>
      </c>
      <c r="I503" s="154" t="s">
        <v>3740</v>
      </c>
      <c r="J503" s="121" t="str">
        <f t="array" ref="J503">IF(
UPPER(TRIM(CLEAN($O503)))="ENTREGADO",
IFERROR(
INDEX(REPORTE_DROPI!T:T,
MATCH($T503, REPORTE_DROPI!B:B, 0)
),
""
),
""
)
</f>
        <v/>
      </c>
      <c r="K503" s="118" t="str">
        <f t="array" ref="K503">IFERROR(
INDEX(REPORTE_DROPI!S:S,
MATCH($T503, REPORTE_DROPI!B:B, 0)
),
""
)</f>
        <v/>
      </c>
      <c r="L503" s="118" t="str">
        <f>IF(
  O503&lt;&gt;"DEVOLUCION",
  "",
  IF(
    T503="",
    "",
    SUMIF(DEVOLUCION!F:F, T503, DEVOLUCION!D:D)
  )
)
</f>
        <v/>
      </c>
      <c r="M503" s="118" t="s">
        <v>5877</v>
      </c>
      <c r="N503" s="169" t="s">
        <v>7343</v>
      </c>
      <c r="O503" s="118" t="str">
        <f t="array" ref="O503">IFERROR(
VLOOKUP(
TRIM(CLEAN(
INDEX(REPORTE_DROPI!K:K,
MATCH(T503, REPORTE_DROPI!B:B, 0)
))),
{
TRIM(CLEAN(MAPA_ESTADOS!A:A)) ,
MAPA_ESTADOS!B:B
},
2,
FALSE
),
"REVISAR"
)</f>
        <v>PENDIENTE</v>
      </c>
      <c r="P503" s="154" t="s">
        <v>7344</v>
      </c>
      <c r="Q503" s="153">
        <f t="shared" si="1"/>
        <v>0</v>
      </c>
      <c r="R503" s="172"/>
      <c r="S503" s="172"/>
      <c r="T503" s="118">
        <f t="array" ref="T503">IFERROR(
INDEX(REPORTE_DROPI!B:B,
MATCH(
CLEAN(TRIM(C503)),
CLEAN(TRIM(REPORTE_DROPI!E:E)),
0
)
),
""
)
</f>
        <v>4524035</v>
      </c>
      <c r="U503" s="169" t="s">
        <v>7345</v>
      </c>
      <c r="V503" s="166"/>
      <c r="W503" s="18"/>
      <c r="X503" s="18"/>
      <c r="Y503" s="18"/>
      <c r="Z503" s="18"/>
    </row>
    <row r="504" ht="22.5" hidden="1" customHeight="1">
      <c r="A504" s="169">
        <v>503.0</v>
      </c>
      <c r="B504" s="170">
        <v>46069.0</v>
      </c>
      <c r="C504" s="154" t="s">
        <v>7346</v>
      </c>
      <c r="D504" s="118" t="str">
        <f>IFERROR(__xludf.DUMMYFUNCTION("IFERROR( INDEX( FILTER( 'NOMBRE DE PRODUCTOS'!B:B, REGEXMATCH( UPPER( INDEX( REPORTE_DROPI!AC:AC, MATCH(T504, REPORTE_DROPI!B:B, 0) ) ), UPPER('NOMBRE DE PRODUCTOS'!A:A) ) ), 1 ), ""REVISAR"" )"),"Cuchillo Tazaki™")</f>
        <v>Cuchillo Tazaki™</v>
      </c>
      <c r="E504" s="120" t="str">
        <f t="array" ref="E504">IF(
UPPER(TRIM(CLEAN($O504)))="ENTREGADO",
IFERROR(
INDEX(REPORTE_DROPI!Y:Y,
MATCH($T504, REPORTE_DROPI!B:B, 0)
),
""
),
""
)
</f>
        <v/>
      </c>
      <c r="F504" s="171">
        <v>3.0</v>
      </c>
      <c r="G504" s="122" t="str">
        <f t="array" ref="G504">IF(
UPPER(TRIM(CLEAN($O504)))="ENTREGADO",
IFERROR(
INDEX(REPORTE_DROPI!R:R,
MATCH($T504, REPORTE_DROPI!B:B, 0)
),
""
),
""
)
</f>
        <v/>
      </c>
      <c r="H504" s="118" t="s">
        <v>3727</v>
      </c>
      <c r="I504" s="154" t="s">
        <v>3778</v>
      </c>
      <c r="J504" s="121" t="str">
        <f t="array" ref="J504">IF(
UPPER(TRIM(CLEAN($O504)))="ENTREGADO",
IFERROR(
INDEX(REPORTE_DROPI!T:T,
MATCH($T504, REPORTE_DROPI!B:B, 0)
),
""
),
""
)
</f>
        <v/>
      </c>
      <c r="K504" s="118" t="str">
        <f t="array" ref="K504">IFERROR(
INDEX(REPORTE_DROPI!S:S,
MATCH($T504, REPORTE_DROPI!B:B, 0)
),
""
)</f>
        <v/>
      </c>
      <c r="L504" s="118" t="str">
        <f>IF(
  O504&lt;&gt;"DEVOLUCION",
  "",
  IF(
    T504="",
    "",
    SUMIF(DEVOLUCION!F:F, T504, DEVOLUCION!D:D)
  )
)
</f>
        <v/>
      </c>
      <c r="M504" s="118" t="s">
        <v>5877</v>
      </c>
      <c r="N504" s="169" t="s">
        <v>7347</v>
      </c>
      <c r="O504" s="118" t="str">
        <f t="array" ref="O504">IFERROR(
VLOOKUP(
TRIM(CLEAN(
INDEX(REPORTE_DROPI!K:K,
MATCH(T504, REPORTE_DROPI!B:B, 0)
))),
{
TRIM(CLEAN(MAPA_ESTADOS!A:A)) ,
MAPA_ESTADOS!B:B
},
2,
FALSE
),
"REVISAR"
)</f>
        <v>PENDIENTE</v>
      </c>
      <c r="P504" s="154" t="s">
        <v>6364</v>
      </c>
      <c r="Q504" s="153">
        <f t="shared" si="1"/>
        <v>0</v>
      </c>
      <c r="R504" s="172"/>
      <c r="S504" s="172"/>
      <c r="T504" s="118">
        <f t="array" ref="T504">IFERROR(
INDEX(REPORTE_DROPI!B:B,
MATCH(
CLEAN(TRIM(C504)),
CLEAN(TRIM(REPORTE_DROPI!E:E)),
0
)
),
""
)
</f>
        <v>4524258</v>
      </c>
      <c r="U504" s="169" t="s">
        <v>7348</v>
      </c>
      <c r="V504" s="166"/>
      <c r="W504" s="18"/>
      <c r="X504" s="18"/>
      <c r="Y504" s="18"/>
      <c r="Z504" s="18"/>
    </row>
    <row r="505" ht="22.5" hidden="1" customHeight="1">
      <c r="A505" s="169">
        <v>504.0</v>
      </c>
      <c r="B505" s="170">
        <v>46069.0</v>
      </c>
      <c r="C505" s="154" t="s">
        <v>7349</v>
      </c>
      <c r="D505" s="118" t="str">
        <f>IFERROR(__xludf.DUMMYFUNCTION("IFERROR( INDEX( FILTER( 'NOMBRE DE PRODUCTOS'!B:B, REGEXMATCH( UPPER( INDEX( REPORTE_DROPI!AC:AC, MATCH(T505, REPORTE_DROPI!B:B, 0) ) ), UPPER('NOMBRE DE PRODUCTOS'!A:A) ) ), 1 ), ""REVISAR"" )"),"FilmPro®")</f>
        <v>FilmPro®</v>
      </c>
      <c r="E505" s="120" t="str">
        <f t="array" ref="E505">IF(
UPPER(TRIM(CLEAN($O505)))="ENTREGADO",
IFERROR(
INDEX(REPORTE_DROPI!Y:Y,
MATCH($T505, REPORTE_DROPI!B:B, 0)
),
""
),
""
)
</f>
        <v/>
      </c>
      <c r="F505" s="171">
        <v>1.0</v>
      </c>
      <c r="G505" s="122" t="str">
        <f t="array" ref="G505">IF(
UPPER(TRIM(CLEAN($O505)))="ENTREGADO",
IFERROR(
INDEX(REPORTE_DROPI!R:R,
MATCH($T505, REPORTE_DROPI!B:B, 0)
),
""
),
""
)
</f>
        <v/>
      </c>
      <c r="H505" s="118" t="s">
        <v>3727</v>
      </c>
      <c r="I505" s="154" t="s">
        <v>3864</v>
      </c>
      <c r="J505" s="121" t="str">
        <f t="array" ref="J505">IF(
UPPER(TRIM(CLEAN($O505)))="ENTREGADO",
IFERROR(
INDEX(REPORTE_DROPI!T:T,
MATCH($T505, REPORTE_DROPI!B:B, 0)
),
""
),
""
)
</f>
        <v/>
      </c>
      <c r="K505" s="118" t="str">
        <f t="array" ref="K505">IFERROR(
INDEX(REPORTE_DROPI!S:S,
MATCH($T505, REPORTE_DROPI!B:B, 0)
),
""
)</f>
        <v/>
      </c>
      <c r="L505" s="118" t="str">
        <f>IF(
  O505&lt;&gt;"DEVOLUCION",
  "",
  IF(
    T505="",
    "",
    SUMIF(DEVOLUCION!F:F, T505, DEVOLUCION!D:D)
  )
)
</f>
        <v/>
      </c>
      <c r="M505" s="118" t="s">
        <v>5877</v>
      </c>
      <c r="N505" s="169" t="s">
        <v>7350</v>
      </c>
      <c r="O505" s="118" t="str">
        <f t="array" ref="O505">IFERROR(
VLOOKUP(
TRIM(CLEAN(
INDEX(REPORTE_DROPI!K:K,
MATCH(T505, REPORTE_DROPI!B:B, 0)
))),
{
TRIM(CLEAN(MAPA_ESTADOS!A:A)) ,
MAPA_ESTADOS!B:B
},
2,
FALSE
),
"REVISAR"
)</f>
        <v>CANCELADO</v>
      </c>
      <c r="P505" s="154" t="s">
        <v>7351</v>
      </c>
      <c r="Q505" s="153">
        <f t="shared" si="1"/>
        <v>0</v>
      </c>
      <c r="R505" s="172"/>
      <c r="S505" s="172"/>
      <c r="T505" s="118">
        <f t="array" ref="T505">IFERROR(
INDEX(REPORTE_DROPI!B:B,
MATCH(
CLEAN(TRIM(C505)),
CLEAN(TRIM(REPORTE_DROPI!E:E)),
0
)
),
""
)
</f>
        <v>4525061</v>
      </c>
      <c r="U505" s="169" t="s">
        <v>7352</v>
      </c>
      <c r="V505" s="166"/>
      <c r="W505" s="18"/>
      <c r="X505" s="18"/>
      <c r="Y505" s="18"/>
      <c r="Z505" s="18"/>
    </row>
    <row r="506" ht="22.5" hidden="1" customHeight="1">
      <c r="A506" s="169">
        <v>505.0</v>
      </c>
      <c r="B506" s="170">
        <v>46069.0</v>
      </c>
      <c r="C506" s="154" t="s">
        <v>7353</v>
      </c>
      <c r="D506" s="118" t="str">
        <f>IFERROR(__xludf.DUMMYFUNCTION("IFERROR( INDEX( FILTER( 'NOMBRE DE PRODUCTOS'!B:B, REGEXMATCH( UPPER( INDEX( REPORTE_DROPI!AC:AC, MATCH(T506, REPORTE_DROPI!B:B, 0) ) ), UPPER('NOMBRE DE PRODUCTOS'!A:A) ) ), 1 ), ""REVISAR"" )"),"Cuchillo Tazaki™")</f>
        <v>Cuchillo Tazaki™</v>
      </c>
      <c r="E506" s="120">
        <f t="array" ref="E506">IF(
UPPER(TRIM(CLEAN($O506)))="ENTREGADO",
IFERROR(
INDEX(REPORTE_DROPI!Y:Y,
MATCH($T506, REPORTE_DROPI!B:B, 0)
),
""
),
""
)
</f>
        <v>7.5</v>
      </c>
      <c r="F506" s="171">
        <v>2.0</v>
      </c>
      <c r="G506" s="122">
        <f t="array" ref="G506">IF(
UPPER(TRIM(CLEAN($O506)))="ENTREGADO",
IFERROR(
INDEX(REPORTE_DROPI!R:R,
MATCH($T506, REPORTE_DROPI!B:B, 0)
),
""
),
""
)
</f>
        <v>22</v>
      </c>
      <c r="H506" s="118" t="s">
        <v>3727</v>
      </c>
      <c r="I506" s="154" t="s">
        <v>3740</v>
      </c>
      <c r="J506" s="121">
        <f t="array" ref="J506">IF(
UPPER(TRIM(CLEAN($O506)))="ENTREGADO",
IFERROR(
INDEX(REPORTE_DROPI!T:T,
MATCH($T506, REPORTE_DROPI!B:B, 0)
),
""
),
""
)
</f>
        <v>5.84</v>
      </c>
      <c r="K506" s="118">
        <f t="array" ref="K506">IFERROR(
INDEX(REPORTE_DROPI!S:S,
MATCH($T506, REPORTE_DROPI!B:B, 0)
),
""
)</f>
        <v>8.66</v>
      </c>
      <c r="L506" s="118" t="str">
        <f>IF(
  O506&lt;&gt;"DEVOLUCION",
  "",
  IF(
    T506="",
    "",
    SUMIF(DEVOLUCION!F:F, T506, DEVOLUCION!D:D)
  )
)
</f>
        <v/>
      </c>
      <c r="M506" s="118" t="s">
        <v>5877</v>
      </c>
      <c r="N506" s="169" t="s">
        <v>7354</v>
      </c>
      <c r="O506" s="118" t="str">
        <f t="array" ref="O506">IFERROR(
VLOOKUP(
TRIM(CLEAN(
INDEX(REPORTE_DROPI!K:K,
MATCH(T506, REPORTE_DROPI!B:B, 0)
))),
{
TRIM(CLEAN(MAPA_ESTADOS!A:A)) ,
MAPA_ESTADOS!B:B
},
2,
FALSE
),
"REVISAR"
)</f>
        <v>ENTREGADO</v>
      </c>
      <c r="P506" s="154" t="s">
        <v>3655</v>
      </c>
      <c r="Q506" s="153">
        <f t="shared" si="1"/>
        <v>0</v>
      </c>
      <c r="R506" s="172"/>
      <c r="S506" s="172"/>
      <c r="T506" s="118">
        <f t="array" ref="T506">IFERROR(
INDEX(REPORTE_DROPI!B:B,
MATCH(
CLEAN(TRIM(C506)),
CLEAN(TRIM(REPORTE_DROPI!E:E)),
0
)
),
""
)
</f>
        <v>4525185</v>
      </c>
      <c r="U506" s="169" t="s">
        <v>7355</v>
      </c>
      <c r="V506" s="166"/>
      <c r="W506" s="18"/>
      <c r="X506" s="18"/>
      <c r="Y506" s="18"/>
      <c r="Z506" s="18"/>
    </row>
    <row r="507" ht="22.5" hidden="1" customHeight="1">
      <c r="A507" s="169">
        <v>506.0</v>
      </c>
      <c r="B507" s="170">
        <v>46069.0</v>
      </c>
      <c r="C507" s="154" t="s">
        <v>7356</v>
      </c>
      <c r="D507" s="118" t="str">
        <f>IFERROR(__xludf.DUMMYFUNCTION("IFERROR( INDEX( FILTER( 'NOMBRE DE PRODUCTOS'!B:B, REGEXMATCH( UPPER( INDEX( REPORTE_DROPI!AC:AC, MATCH(T507, REPORTE_DROPI!B:B, 0) ) ), UPPER('NOMBRE DE PRODUCTOS'!A:A) ) ), 1 ), ""REVISAR"" )"),"FilmPro®")</f>
        <v>FilmPro®</v>
      </c>
      <c r="E507" s="120" t="str">
        <f t="array" ref="E507">IF(
UPPER(TRIM(CLEAN($O507)))="ENTREGADO",
IFERROR(
INDEX(REPORTE_DROPI!Y:Y,
MATCH($T507, REPORTE_DROPI!B:B, 0)
),
""
),
""
)
</f>
        <v/>
      </c>
      <c r="F507" s="171">
        <v>2.0</v>
      </c>
      <c r="G507" s="122" t="str">
        <f t="array" ref="G507">IF(
UPPER(TRIM(CLEAN($O507)))="ENTREGADO",
IFERROR(
INDEX(REPORTE_DROPI!R:R,
MATCH($T507, REPORTE_DROPI!B:B, 0)
),
""
),
""
)
</f>
        <v/>
      </c>
      <c r="H507" s="118" t="s">
        <v>3727</v>
      </c>
      <c r="I507" s="154" t="s">
        <v>3801</v>
      </c>
      <c r="J507" s="121" t="str">
        <f t="array" ref="J507">IF(
UPPER(TRIM(CLEAN($O507)))="ENTREGADO",
IFERROR(
INDEX(REPORTE_DROPI!T:T,
MATCH($T507, REPORTE_DROPI!B:B, 0)
),
""
),
""
)
</f>
        <v/>
      </c>
      <c r="K507" s="118" t="str">
        <f t="array" ref="K507">IFERROR(
INDEX(REPORTE_DROPI!S:S,
MATCH($T507, REPORTE_DROPI!B:B, 0)
),
""
)</f>
        <v/>
      </c>
      <c r="L507" s="118" t="str">
        <f>IF(
  O507&lt;&gt;"DEVOLUCION",
  "",
  IF(
    T507="",
    "",
    SUMIF(DEVOLUCION!F:F, T507, DEVOLUCION!D:D)
  )
)
</f>
        <v/>
      </c>
      <c r="M507" s="118" t="s">
        <v>5877</v>
      </c>
      <c r="N507" s="169" t="s">
        <v>7357</v>
      </c>
      <c r="O507" s="118" t="str">
        <f t="array" ref="O507">IFERROR(
VLOOKUP(
TRIM(CLEAN(
INDEX(REPORTE_DROPI!K:K,
MATCH(T507, REPORTE_DROPI!B:B, 0)
))),
{
TRIM(CLEAN(MAPA_ESTADOS!A:A)) ,
MAPA_ESTADOS!B:B
},
2,
FALSE
),
"REVISAR"
)</f>
        <v>PENDIENTE</v>
      </c>
      <c r="P507" s="154" t="s">
        <v>6829</v>
      </c>
      <c r="Q507" s="153">
        <f t="shared" si="1"/>
        <v>0</v>
      </c>
      <c r="R507" s="172"/>
      <c r="S507" s="172"/>
      <c r="T507" s="118">
        <f t="array" ref="T507">IFERROR(
INDEX(REPORTE_DROPI!B:B,
MATCH(
CLEAN(TRIM(C507)),
CLEAN(TRIM(REPORTE_DROPI!E:E)),
0
)
),
""
)
</f>
        <v>4525209</v>
      </c>
      <c r="U507" s="169" t="s">
        <v>7358</v>
      </c>
      <c r="V507" s="166"/>
      <c r="W507" s="18"/>
      <c r="X507" s="18"/>
      <c r="Y507" s="18"/>
      <c r="Z507" s="18"/>
    </row>
    <row r="508" ht="22.5" hidden="1" customHeight="1">
      <c r="A508" s="169">
        <v>507.0</v>
      </c>
      <c r="B508" s="170">
        <v>46069.0</v>
      </c>
      <c r="C508" s="154" t="s">
        <v>7359</v>
      </c>
      <c r="D508" s="118" t="str">
        <f>IFERROR(__xludf.DUMMYFUNCTION("IFERROR( INDEX( FILTER( 'NOMBRE DE PRODUCTOS'!B:B, REGEXMATCH( UPPER( INDEX( REPORTE_DROPI!AC:AC, MATCH(T508, REPORTE_DROPI!B:B, 0) ) ), UPPER('NOMBRE DE PRODUCTOS'!A:A) ) ), 1 ), ""REVISAR"" )"),"Cuchillo Tazaki™")</f>
        <v>Cuchillo Tazaki™</v>
      </c>
      <c r="E508" s="120">
        <f t="array" ref="E508">IF(
UPPER(TRIM(CLEAN($O508)))="ENTREGADO",
IFERROR(
INDEX(REPORTE_DROPI!Y:Y,
MATCH($T508, REPORTE_DROPI!B:B, 0)
),
""
),
""
)
</f>
        <v>7.5</v>
      </c>
      <c r="F508" s="171">
        <v>2.0</v>
      </c>
      <c r="G508" s="122">
        <f t="array" ref="G508">IF(
UPPER(TRIM(CLEAN($O508)))="ENTREGADO",
IFERROR(
INDEX(REPORTE_DROPI!R:R,
MATCH($T508, REPORTE_DROPI!B:B, 0)
),
""
),
""
)
</f>
        <v>22</v>
      </c>
      <c r="H508" s="118" t="s">
        <v>3727</v>
      </c>
      <c r="I508" s="154" t="s">
        <v>3731</v>
      </c>
      <c r="J508" s="121">
        <f t="array" ref="J508">IF(
UPPER(TRIM(CLEAN($O508)))="ENTREGADO",
IFERROR(
INDEX(REPORTE_DROPI!T:T,
MATCH($T508, REPORTE_DROPI!B:B, 0)
),
""
),
""
)
</f>
        <v>4.23</v>
      </c>
      <c r="K508" s="118">
        <f t="array" ref="K508">IFERROR(
INDEX(REPORTE_DROPI!S:S,
MATCH($T508, REPORTE_DROPI!B:B, 0)
),
""
)</f>
        <v>10.27</v>
      </c>
      <c r="L508" s="118" t="str">
        <f>IF(
  O508&lt;&gt;"DEVOLUCION",
  "",
  IF(
    T508="",
    "",
    SUMIF(DEVOLUCION!F:F, T508, DEVOLUCION!D:D)
  )
)
</f>
        <v/>
      </c>
      <c r="M508" s="118" t="s">
        <v>5877</v>
      </c>
      <c r="N508" s="169" t="s">
        <v>7360</v>
      </c>
      <c r="O508" s="118" t="str">
        <f t="array" ref="O508">IFERROR(
VLOOKUP(
TRIM(CLEAN(
INDEX(REPORTE_DROPI!K:K,
MATCH(T508, REPORTE_DROPI!B:B, 0)
))),
{
TRIM(CLEAN(MAPA_ESTADOS!A:A)) ,
MAPA_ESTADOS!B:B
},
2,
FALSE
),
"REVISAR"
)</f>
        <v>ENTREGADO</v>
      </c>
      <c r="P508" s="154" t="s">
        <v>3655</v>
      </c>
      <c r="Q508" s="153">
        <f t="shared" si="1"/>
        <v>0</v>
      </c>
      <c r="R508" s="172"/>
      <c r="S508" s="172"/>
      <c r="T508" s="118">
        <f t="array" ref="T508">IFERROR(
INDEX(REPORTE_DROPI!B:B,
MATCH(
CLEAN(TRIM(C508)),
CLEAN(TRIM(REPORTE_DROPI!E:E)),
0
)
),
""
)
</f>
        <v>4525379</v>
      </c>
      <c r="U508" s="169" t="s">
        <v>7361</v>
      </c>
      <c r="V508" s="166"/>
      <c r="W508" s="18"/>
      <c r="X508" s="18"/>
      <c r="Y508" s="18"/>
      <c r="Z508" s="18"/>
    </row>
    <row r="509" ht="22.5" hidden="1" customHeight="1">
      <c r="A509" s="169">
        <v>508.0</v>
      </c>
      <c r="B509" s="170">
        <v>46069.0</v>
      </c>
      <c r="C509" s="154" t="s">
        <v>7362</v>
      </c>
      <c r="D509" s="118" t="str">
        <f>IFERROR(__xludf.DUMMYFUNCTION("IFERROR( INDEX( FILTER( 'NOMBRE DE PRODUCTOS'!B:B, REGEXMATCH( UPPER( INDEX( REPORTE_DROPI!AC:AC, MATCH(T509, REPORTE_DROPI!B:B, 0) ) ), UPPER('NOMBRE DE PRODUCTOS'!A:A) ) ), 1 ), ""REVISAR"" )"),"FilmPro®")</f>
        <v>FilmPro®</v>
      </c>
      <c r="E509" s="120" t="str">
        <f t="array" ref="E509">IF(
UPPER(TRIM(CLEAN($O509)))="ENTREGADO",
IFERROR(
INDEX(REPORTE_DROPI!Y:Y,
MATCH($T509, REPORTE_DROPI!B:B, 0)
),
""
),
""
)
</f>
        <v/>
      </c>
      <c r="F509" s="171">
        <v>1.0</v>
      </c>
      <c r="G509" s="122" t="str">
        <f t="array" ref="G509">IF(
UPPER(TRIM(CLEAN($O509)))="ENTREGADO",
IFERROR(
INDEX(REPORTE_DROPI!R:R,
MATCH($T509, REPORTE_DROPI!B:B, 0)
),
""
),
""
)
</f>
        <v/>
      </c>
      <c r="H509" s="118" t="s">
        <v>3727</v>
      </c>
      <c r="I509" s="154" t="s">
        <v>3740</v>
      </c>
      <c r="J509" s="121" t="str">
        <f t="array" ref="J509">IF(
UPPER(TRIM(CLEAN($O509)))="ENTREGADO",
IFERROR(
INDEX(REPORTE_DROPI!T:T,
MATCH($T509, REPORTE_DROPI!B:B, 0)
),
""
),
""
)
</f>
        <v/>
      </c>
      <c r="K509" s="118" t="str">
        <f t="array" ref="K509">IFERROR(
INDEX(REPORTE_DROPI!S:S,
MATCH($T509, REPORTE_DROPI!B:B, 0)
),
""
)</f>
        <v/>
      </c>
      <c r="L509" s="118" t="str">
        <f>IF(
  O509&lt;&gt;"DEVOLUCION",
  "",
  IF(
    T509="",
    "",
    SUMIF(DEVOLUCION!F:F, T509, DEVOLUCION!D:D)
  )
)
</f>
        <v/>
      </c>
      <c r="M509" s="118" t="s">
        <v>5877</v>
      </c>
      <c r="N509" s="169" t="s">
        <v>7363</v>
      </c>
      <c r="O509" s="118" t="str">
        <f t="array" ref="O509">IFERROR(
VLOOKUP(
TRIM(CLEAN(
INDEX(REPORTE_DROPI!K:K,
MATCH(T509, REPORTE_DROPI!B:B, 0)
))),
{
TRIM(CLEAN(MAPA_ESTADOS!A:A)) ,
MAPA_ESTADOS!B:B
},
2,
FALSE
),
"REVISAR"
)</f>
        <v>PENDIENTE</v>
      </c>
      <c r="P509" s="154" t="s">
        <v>6829</v>
      </c>
      <c r="Q509" s="153">
        <f t="shared" si="1"/>
        <v>0</v>
      </c>
      <c r="R509" s="172"/>
      <c r="S509" s="172"/>
      <c r="T509" s="118">
        <f t="array" ref="T509">IFERROR(
INDEX(REPORTE_DROPI!B:B,
MATCH(
CLEAN(TRIM(C509)),
CLEAN(TRIM(REPORTE_DROPI!E:E)),
0
)
),
""
)
</f>
        <v>4525546</v>
      </c>
      <c r="U509" s="169" t="s">
        <v>7364</v>
      </c>
      <c r="V509" s="166"/>
      <c r="W509" s="18"/>
      <c r="X509" s="18"/>
      <c r="Y509" s="18"/>
      <c r="Z509" s="18"/>
    </row>
    <row r="510" ht="22.5" hidden="1" customHeight="1">
      <c r="A510" s="169">
        <v>509.0</v>
      </c>
      <c r="B510" s="170">
        <v>46069.0</v>
      </c>
      <c r="C510" s="154" t="s">
        <v>7365</v>
      </c>
      <c r="D510" s="118" t="str">
        <f>IFERROR(__xludf.DUMMYFUNCTION("IFERROR( INDEX( FILTER( 'NOMBRE DE PRODUCTOS'!B:B, REGEXMATCH( UPPER( INDEX( REPORTE_DROPI!AC:AC, MATCH(T510, REPORTE_DROPI!B:B, 0) ) ), UPPER('NOMBRE DE PRODUCTOS'!A:A) ) ), 1 ), ""REVISAR"" )"),"Cuchillo Tazaki™")</f>
        <v>Cuchillo Tazaki™</v>
      </c>
      <c r="E510" s="120" t="str">
        <f t="array" ref="E510">IF(
UPPER(TRIM(CLEAN($O510)))="ENTREGADO",
IFERROR(
INDEX(REPORTE_DROPI!Y:Y,
MATCH($T510, REPORTE_DROPI!B:B, 0)
),
""
),
""
)
</f>
        <v/>
      </c>
      <c r="F510" s="171">
        <v>2.0</v>
      </c>
      <c r="G510" s="122" t="str">
        <f t="array" ref="G510">IF(
UPPER(TRIM(CLEAN($O510)))="ENTREGADO",
IFERROR(
INDEX(REPORTE_DROPI!R:R,
MATCH($T510, REPORTE_DROPI!B:B, 0)
),
""
),
""
)
</f>
        <v/>
      </c>
      <c r="H510" s="118" t="s">
        <v>3727</v>
      </c>
      <c r="I510" s="154" t="s">
        <v>3912</v>
      </c>
      <c r="J510" s="121" t="str">
        <f t="array" ref="J510">IF(
UPPER(TRIM(CLEAN($O510)))="ENTREGADO",
IFERROR(
INDEX(REPORTE_DROPI!T:T,
MATCH($T510, REPORTE_DROPI!B:B, 0)
),
""
),
""
)
</f>
        <v/>
      </c>
      <c r="K510" s="118" t="str">
        <f t="array" ref="K510">IFERROR(
INDEX(REPORTE_DROPI!S:S,
MATCH($T510, REPORTE_DROPI!B:B, 0)
),
""
)</f>
        <v/>
      </c>
      <c r="L510" s="118">
        <f>IF(
  O510&lt;&gt;"DEVOLUCION",
  "",
  IF(
    T510="",
    "",
    SUMIF(DEVOLUCION!F:F, T510, DEVOLUCION!D:D)
  )
)
</f>
        <v>0</v>
      </c>
      <c r="M510" s="118" t="s">
        <v>5877</v>
      </c>
      <c r="N510" s="169" t="s">
        <v>7366</v>
      </c>
      <c r="O510" s="118" t="str">
        <f t="array" ref="O510">IFERROR(
VLOOKUP(
TRIM(CLEAN(
INDEX(REPORTE_DROPI!K:K,
MATCH(T510, REPORTE_DROPI!B:B, 0)
))),
{
TRIM(CLEAN(MAPA_ESTADOS!A:A)) ,
MAPA_ESTADOS!B:B
},
2,
FALSE
),
"REVISAR"
)</f>
        <v>DEVOLUCION</v>
      </c>
      <c r="P510" s="154" t="s">
        <v>3655</v>
      </c>
      <c r="Q510" s="153">
        <f t="shared" si="1"/>
        <v>0</v>
      </c>
      <c r="R510" s="172"/>
      <c r="S510" s="172"/>
      <c r="T510" s="118">
        <f t="array" ref="T510">IFERROR(
INDEX(REPORTE_DROPI!B:B,
MATCH(
CLEAN(TRIM(C510)),
CLEAN(TRIM(REPORTE_DROPI!E:E)),
0
)
),
""
)
</f>
        <v>4531822</v>
      </c>
      <c r="U510" s="169"/>
      <c r="V510" s="166"/>
      <c r="W510" s="18"/>
      <c r="X510" s="18"/>
      <c r="Y510" s="18"/>
      <c r="Z510" s="18"/>
    </row>
    <row r="511" ht="22.5" hidden="1" customHeight="1">
      <c r="A511" s="169">
        <v>510.0</v>
      </c>
      <c r="B511" s="170">
        <v>46070.0</v>
      </c>
      <c r="C511" s="154" t="s">
        <v>7367</v>
      </c>
      <c r="D511" s="118" t="str">
        <f>IFERROR(__xludf.DUMMYFUNCTION("IFERROR( INDEX( FILTER( 'NOMBRE DE PRODUCTOS'!B:B, REGEXMATCH( UPPER( INDEX( REPORTE_DROPI!AC:AC, MATCH(T511, REPORTE_DROPI!B:B, 0) ) ), UPPER('NOMBRE DE PRODUCTOS'!A:A) ) ), 1 ), ""REVISAR"" )"),"Cuchillo Tazaki™")</f>
        <v>Cuchillo Tazaki™</v>
      </c>
      <c r="E511" s="120">
        <f t="array" ref="E511">IF(
UPPER(TRIM(CLEAN($O511)))="ENTREGADO",
IFERROR(
INDEX(REPORTE_DROPI!Y:Y,
MATCH($T511, REPORTE_DROPI!B:B, 0)
),
""
),
""
)
</f>
        <v>7.5</v>
      </c>
      <c r="F511" s="171">
        <v>2.0</v>
      </c>
      <c r="G511" s="122">
        <f t="array" ref="G511">IF(
UPPER(TRIM(CLEAN($O511)))="ENTREGADO",
IFERROR(
INDEX(REPORTE_DROPI!R:R,
MATCH($T511, REPORTE_DROPI!B:B, 0)
),
""
),
""
)
</f>
        <v>22</v>
      </c>
      <c r="H511" s="118" t="s">
        <v>3727</v>
      </c>
      <c r="I511" s="154" t="s">
        <v>3735</v>
      </c>
      <c r="J511" s="121">
        <f t="array" ref="J511">IF(
UPPER(TRIM(CLEAN($O511)))="ENTREGADO",
IFERROR(
INDEX(REPORTE_DROPI!T:T,
MATCH($T511, REPORTE_DROPI!B:B, 0)
),
""
),
""
)
</f>
        <v>5.84</v>
      </c>
      <c r="K511" s="118">
        <f t="array" ref="K511">IFERROR(
INDEX(REPORTE_DROPI!S:S,
MATCH($T511, REPORTE_DROPI!B:B, 0)
),
""
)</f>
        <v>8.66</v>
      </c>
      <c r="L511" s="118" t="str">
        <f>IF(
  O511&lt;&gt;"DEVOLUCION",
  "",
  IF(
    T511="",
    "",
    SUMIF(DEVOLUCION!F:F, T511, DEVOLUCION!D:D)
  )
)
</f>
        <v/>
      </c>
      <c r="M511" s="118" t="s">
        <v>5877</v>
      </c>
      <c r="N511" s="169" t="s">
        <v>7368</v>
      </c>
      <c r="O511" s="118" t="str">
        <f t="array" ref="O511">IFERROR(
VLOOKUP(
TRIM(CLEAN(
INDEX(REPORTE_DROPI!K:K,
MATCH(T511, REPORTE_DROPI!B:B, 0)
))),
{
TRIM(CLEAN(MAPA_ESTADOS!A:A)) ,
MAPA_ESTADOS!B:B
},
2,
FALSE
),
"REVISAR"
)</f>
        <v>ENTREGADO</v>
      </c>
      <c r="P511" s="154" t="s">
        <v>3655</v>
      </c>
      <c r="Q511" s="153">
        <f t="shared" si="1"/>
        <v>0</v>
      </c>
      <c r="R511" s="172"/>
      <c r="S511" s="172"/>
      <c r="T511" s="118">
        <f t="array" ref="T511">IFERROR(
INDEX(REPORTE_DROPI!B:B,
MATCH(
CLEAN(TRIM(C511)),
CLEAN(TRIM(REPORTE_DROPI!E:E)),
0
)
),
""
)
</f>
        <v>4533488</v>
      </c>
      <c r="U511" s="169" t="s">
        <v>7369</v>
      </c>
      <c r="V511" s="166"/>
      <c r="W511" s="18"/>
      <c r="X511" s="18"/>
      <c r="Y511" s="18"/>
      <c r="Z511" s="18"/>
    </row>
    <row r="512" ht="22.5" hidden="1" customHeight="1">
      <c r="A512" s="169">
        <v>511.0</v>
      </c>
      <c r="B512" s="170">
        <v>46070.0</v>
      </c>
      <c r="C512" s="154" t="s">
        <v>7370</v>
      </c>
      <c r="D512" s="118" t="str">
        <f>IFERROR(__xludf.DUMMYFUNCTION("IFERROR( INDEX( FILTER( 'NOMBRE DE PRODUCTOS'!B:B, REGEXMATCH( UPPER( INDEX( REPORTE_DROPI!AC:AC, MATCH(T512, REPORTE_DROPI!B:B, 0) ) ), UPPER('NOMBRE DE PRODUCTOS'!A:A) ) ), 1 ), ""REVISAR"" )"),"Cuchillo Tazaki™")</f>
        <v>Cuchillo Tazaki™</v>
      </c>
      <c r="E512" s="120" t="str">
        <f t="array" ref="E512">IF(
UPPER(TRIM(CLEAN($O512)))="ENTREGADO",
IFERROR(
INDEX(REPORTE_DROPI!Y:Y,
MATCH($T512, REPORTE_DROPI!B:B, 0)
),
""
),
""
)
</f>
        <v/>
      </c>
      <c r="F512" s="171">
        <v>2.0</v>
      </c>
      <c r="G512" s="122" t="str">
        <f t="array" ref="G512">IF(
UPPER(TRIM(CLEAN($O512)))="ENTREGADO",
IFERROR(
INDEX(REPORTE_DROPI!R:R,
MATCH($T512, REPORTE_DROPI!B:B, 0)
),
""
),
""
)
</f>
        <v/>
      </c>
      <c r="H512" s="118" t="s">
        <v>3727</v>
      </c>
      <c r="I512" s="154" t="s">
        <v>3742</v>
      </c>
      <c r="J512" s="121" t="str">
        <f t="array" ref="J512">IF(
UPPER(TRIM(CLEAN($O512)))="ENTREGADO",
IFERROR(
INDEX(REPORTE_DROPI!T:T,
MATCH($T512, REPORTE_DROPI!B:B, 0)
),
""
),
""
)
</f>
        <v/>
      </c>
      <c r="K512" s="118" t="str">
        <f t="array" ref="K512">IFERROR(
INDEX(REPORTE_DROPI!S:S,
MATCH($T512, REPORTE_DROPI!B:B, 0)
),
""
)</f>
        <v/>
      </c>
      <c r="L512" s="118">
        <f>IF(
  O512&lt;&gt;"DEVOLUCION",
  "",
  IF(
    T512="",
    "",
    SUMIF(DEVOLUCION!F:F, T512, DEVOLUCION!D:D)
  )
)
</f>
        <v>0</v>
      </c>
      <c r="M512" s="118" t="s">
        <v>5877</v>
      </c>
      <c r="N512" s="169" t="s">
        <v>7371</v>
      </c>
      <c r="O512" s="118" t="str">
        <f t="array" ref="O512">IFERROR(
VLOOKUP(
TRIM(CLEAN(
INDEX(REPORTE_DROPI!K:K,
MATCH(T512, REPORTE_DROPI!B:B, 0)
))),
{
TRIM(CLEAN(MAPA_ESTADOS!A:A)) ,
MAPA_ESTADOS!B:B
},
2,
FALSE
),
"REVISAR"
)</f>
        <v>DEVOLUCION</v>
      </c>
      <c r="P512" s="154" t="s">
        <v>3655</v>
      </c>
      <c r="Q512" s="153">
        <f t="shared" si="1"/>
        <v>0</v>
      </c>
      <c r="R512" s="172"/>
      <c r="S512" s="172"/>
      <c r="T512" s="118">
        <f t="array" ref="T512">IFERROR(
INDEX(REPORTE_DROPI!B:B,
MATCH(
CLEAN(TRIM(C512)),
CLEAN(TRIM(REPORTE_DROPI!E:E)),
0
)
),
""
)
</f>
        <v>4533555</v>
      </c>
      <c r="U512" s="173">
        <v>1.57100158118E11</v>
      </c>
      <c r="V512" s="166"/>
      <c r="W512" s="18"/>
      <c r="X512" s="18"/>
      <c r="Y512" s="18"/>
      <c r="Z512" s="18"/>
    </row>
    <row r="513" ht="22.5" hidden="1" customHeight="1">
      <c r="A513" s="169">
        <v>512.0</v>
      </c>
      <c r="B513" s="170">
        <v>46070.0</v>
      </c>
      <c r="C513" s="154" t="s">
        <v>7372</v>
      </c>
      <c r="D513" s="118" t="str">
        <f>IFERROR(__xludf.DUMMYFUNCTION("IFERROR( INDEX( FILTER( 'NOMBRE DE PRODUCTOS'!B:B, REGEXMATCH( UPPER( INDEX( REPORTE_DROPI!AC:AC, MATCH(T513, REPORTE_DROPI!B:B, 0) ) ), UPPER('NOMBRE DE PRODUCTOS'!A:A) ) ), 1 ), ""REVISAR"" )"),"Cuchillo Tazaki™")</f>
        <v>Cuchillo Tazaki™</v>
      </c>
      <c r="E513" s="120" t="str">
        <f t="array" ref="E513">IF(
UPPER(TRIM(CLEAN($O513)))="ENTREGADO",
IFERROR(
INDEX(REPORTE_DROPI!Y:Y,
MATCH($T513, REPORTE_DROPI!B:B, 0)
),
""
),
""
)
</f>
        <v/>
      </c>
      <c r="F513" s="171">
        <v>2.0</v>
      </c>
      <c r="G513" s="122" t="str">
        <f t="array" ref="G513">IF(
UPPER(TRIM(CLEAN($O513)))="ENTREGADO",
IFERROR(
INDEX(REPORTE_DROPI!R:R,
MATCH($T513, REPORTE_DROPI!B:B, 0)
),
""
),
""
)
</f>
        <v/>
      </c>
      <c r="H513" s="118" t="s">
        <v>3727</v>
      </c>
      <c r="I513" s="154" t="s">
        <v>3742</v>
      </c>
      <c r="J513" s="121" t="str">
        <f t="array" ref="J513">IF(
UPPER(TRIM(CLEAN($O513)))="ENTREGADO",
IFERROR(
INDEX(REPORTE_DROPI!T:T,
MATCH($T513, REPORTE_DROPI!B:B, 0)
),
""
),
""
)
</f>
        <v/>
      </c>
      <c r="K513" s="118" t="str">
        <f t="array" ref="K513">IFERROR(
INDEX(REPORTE_DROPI!S:S,
MATCH($T513, REPORTE_DROPI!B:B, 0)
),
""
)</f>
        <v/>
      </c>
      <c r="L513" s="118" t="str">
        <f>IF(
  O513&lt;&gt;"DEVOLUCION",
  "",
  IF(
    T513="",
    "",
    SUMIF(DEVOLUCION!F:F, T513, DEVOLUCION!D:D)
  )
)
</f>
        <v/>
      </c>
      <c r="M513" s="118" t="s">
        <v>5877</v>
      </c>
      <c r="N513" s="169" t="s">
        <v>7373</v>
      </c>
      <c r="O513" s="118" t="str">
        <f t="array" ref="O513">IFERROR(
VLOOKUP(
TRIM(CLEAN(
INDEX(REPORTE_DROPI!K:K,
MATCH(T513, REPORTE_DROPI!B:B, 0)
))),
{
TRIM(CLEAN(MAPA_ESTADOS!A:A)) ,
MAPA_ESTADOS!B:B
},
2,
FALSE
),
"REVISAR"
)</f>
        <v>CANCELADO</v>
      </c>
      <c r="P513" s="154" t="s">
        <v>5952</v>
      </c>
      <c r="Q513" s="153">
        <f t="shared" si="1"/>
        <v>0</v>
      </c>
      <c r="R513" s="172"/>
      <c r="S513" s="172"/>
      <c r="T513" s="118">
        <f t="array" ref="T513">IFERROR(
INDEX(REPORTE_DROPI!B:B,
MATCH(
CLEAN(TRIM(C513)),
CLEAN(TRIM(REPORTE_DROPI!E:E)),
0
)
),
""
)
</f>
        <v>4533800</v>
      </c>
      <c r="U513" s="169" t="s">
        <v>7374</v>
      </c>
      <c r="V513" s="166"/>
      <c r="W513" s="18"/>
      <c r="X513" s="18"/>
      <c r="Y513" s="18"/>
      <c r="Z513" s="18"/>
    </row>
    <row r="514" ht="22.5" hidden="1" customHeight="1">
      <c r="A514" s="169">
        <v>513.0</v>
      </c>
      <c r="B514" s="170">
        <v>46070.0</v>
      </c>
      <c r="C514" s="154" t="s">
        <v>7375</v>
      </c>
      <c r="D514" s="118" t="str">
        <f>IFERROR(__xludf.DUMMYFUNCTION("IFERROR( INDEX( FILTER( 'NOMBRE DE PRODUCTOS'!B:B, REGEXMATCH( UPPER( INDEX( REPORTE_DROPI!AC:AC, MATCH(T514, REPORTE_DROPI!B:B, 0) ) ), UPPER('NOMBRE DE PRODUCTOS'!A:A) ) ), 1 ), ""REVISAR"" )"),"FilmPro®")</f>
        <v>FilmPro®</v>
      </c>
      <c r="E514" s="120" t="str">
        <f t="array" ref="E514">IF(
UPPER(TRIM(CLEAN($O514)))="ENTREGADO",
IFERROR(
INDEX(REPORTE_DROPI!Y:Y,
MATCH($T514, REPORTE_DROPI!B:B, 0)
),
""
),
""
)
</f>
        <v/>
      </c>
      <c r="F514" s="171">
        <v>3.0</v>
      </c>
      <c r="G514" s="122" t="str">
        <f t="array" ref="G514">IF(
UPPER(TRIM(CLEAN($O514)))="ENTREGADO",
IFERROR(
INDEX(REPORTE_DROPI!R:R,
MATCH($T514, REPORTE_DROPI!B:B, 0)
),
""
),
""
)
</f>
        <v/>
      </c>
      <c r="H514" s="118" t="s">
        <v>3727</v>
      </c>
      <c r="I514" s="154" t="s">
        <v>3728</v>
      </c>
      <c r="J514" s="121" t="str">
        <f t="array" ref="J514">IF(
UPPER(TRIM(CLEAN($O514)))="ENTREGADO",
IFERROR(
INDEX(REPORTE_DROPI!T:T,
MATCH($T514, REPORTE_DROPI!B:B, 0)
),
""
),
""
)
</f>
        <v/>
      </c>
      <c r="K514" s="118" t="str">
        <f t="array" ref="K514">IFERROR(
INDEX(REPORTE_DROPI!S:S,
MATCH($T514, REPORTE_DROPI!B:B, 0)
),
""
)</f>
        <v/>
      </c>
      <c r="L514" s="118">
        <f>IF(
  O514&lt;&gt;"DEVOLUCION",
  "",
  IF(
    T514="",
    "",
    SUMIF(DEVOLUCION!F:F, T514, DEVOLUCION!D:D)
  )
)
</f>
        <v>0</v>
      </c>
      <c r="M514" s="118" t="s">
        <v>5877</v>
      </c>
      <c r="N514" s="169" t="s">
        <v>7376</v>
      </c>
      <c r="O514" s="118" t="str">
        <f t="array" ref="O514">IFERROR(
VLOOKUP(
TRIM(CLEAN(
INDEX(REPORTE_DROPI!K:K,
MATCH(T514, REPORTE_DROPI!B:B, 0)
))),
{
TRIM(CLEAN(MAPA_ESTADOS!A:A)) ,
MAPA_ESTADOS!B:B
},
2,
FALSE
),
"REVISAR"
)</f>
        <v>DEVOLUCION</v>
      </c>
      <c r="P514" s="154" t="s">
        <v>3655</v>
      </c>
      <c r="Q514" s="153">
        <f t="shared" si="1"/>
        <v>0</v>
      </c>
      <c r="R514" s="172"/>
      <c r="S514" s="172"/>
      <c r="T514" s="118">
        <f t="array" ref="T514">IFERROR(
INDEX(REPORTE_DROPI!B:B,
MATCH(
CLEAN(TRIM(C514)),
CLEAN(TRIM(REPORTE_DROPI!E:E)),
0
)
),
""
)
</f>
        <v>4534008</v>
      </c>
      <c r="U514" s="173">
        <v>4.5228175161E10</v>
      </c>
      <c r="V514" s="166"/>
      <c r="W514" s="18"/>
      <c r="X514" s="18"/>
      <c r="Y514" s="18"/>
      <c r="Z514" s="18"/>
    </row>
    <row r="515" ht="22.5" hidden="1" customHeight="1">
      <c r="A515" s="169">
        <v>514.0</v>
      </c>
      <c r="B515" s="170">
        <v>46070.0</v>
      </c>
      <c r="C515" s="154" t="s">
        <v>7377</v>
      </c>
      <c r="D515" s="118" t="str">
        <f>IFERROR(__xludf.DUMMYFUNCTION("IFERROR( INDEX( FILTER( 'NOMBRE DE PRODUCTOS'!B:B, REGEXMATCH( UPPER( INDEX( REPORTE_DROPI!AC:AC, MATCH(T515, REPORTE_DROPI!B:B, 0) ) ), UPPER('NOMBRE DE PRODUCTOS'!A:A) ) ), 1 ), ""REVISAR"" )"),"FilmPro®")</f>
        <v>FilmPro®</v>
      </c>
      <c r="E515" s="120">
        <f t="array" ref="E515">IF(
UPPER(TRIM(CLEAN($O515)))="ENTREGADO",
IFERROR(
INDEX(REPORTE_DROPI!Y:Y,
MATCH($T515, REPORTE_DROPI!B:B, 0)
),
""
),
""
)
</f>
        <v>4.8</v>
      </c>
      <c r="F515" s="171">
        <v>2.0</v>
      </c>
      <c r="G515" s="122">
        <f t="array" ref="G515">IF(
UPPER(TRIM(CLEAN($O515)))="ENTREGADO",
IFERROR(
INDEX(REPORTE_DROPI!R:R,
MATCH($T515, REPORTE_DROPI!B:B, 0)
),
""
),
""
)
</f>
        <v>25</v>
      </c>
      <c r="H515" s="118" t="s">
        <v>3727</v>
      </c>
      <c r="I515" s="154" t="s">
        <v>3962</v>
      </c>
      <c r="J515" s="121">
        <f t="array" ref="J515">IF(
UPPER(TRIM(CLEAN($O515)))="ENTREGADO",
IFERROR(
INDEX(REPORTE_DROPI!T:T,
MATCH($T515, REPORTE_DROPI!B:B, 0)
),
""
),
""
)
</f>
        <v>5.96</v>
      </c>
      <c r="K515" s="118">
        <f t="array" ref="K515">IFERROR(
INDEX(REPORTE_DROPI!S:S,
MATCH($T515, REPORTE_DROPI!B:B, 0)
),
""
)</f>
        <v>14.24</v>
      </c>
      <c r="L515" s="118" t="str">
        <f>IF(
  O515&lt;&gt;"DEVOLUCION",
  "",
  IF(
    T515="",
    "",
    SUMIF(DEVOLUCION!F:F, T515, DEVOLUCION!D:D)
  )
)
</f>
        <v/>
      </c>
      <c r="M515" s="118" t="s">
        <v>5877</v>
      </c>
      <c r="N515" s="169" t="s">
        <v>7378</v>
      </c>
      <c r="O515" s="118" t="str">
        <f t="array" ref="O515">IFERROR(
VLOOKUP(
TRIM(CLEAN(
INDEX(REPORTE_DROPI!K:K,
MATCH(T515, REPORTE_DROPI!B:B, 0)
))),
{
TRIM(CLEAN(MAPA_ESTADOS!A:A)) ,
MAPA_ESTADOS!B:B
},
2,
FALSE
),
"REVISAR"
)</f>
        <v>ENTREGADO</v>
      </c>
      <c r="P515" s="154" t="s">
        <v>3655</v>
      </c>
      <c r="Q515" s="153">
        <f t="shared" si="1"/>
        <v>0</v>
      </c>
      <c r="R515" s="172"/>
      <c r="S515" s="172"/>
      <c r="T515" s="118">
        <f t="array" ref="T515">IFERROR(
INDEX(REPORTE_DROPI!B:B,
MATCH(
CLEAN(TRIM(C515)),
CLEAN(TRIM(REPORTE_DROPI!E:E)),
0
)
),
""
)
</f>
        <v>4534178</v>
      </c>
      <c r="U515" s="169" t="s">
        <v>7379</v>
      </c>
      <c r="V515" s="166"/>
      <c r="W515" s="18"/>
      <c r="X515" s="18"/>
      <c r="Y515" s="18"/>
      <c r="Z515" s="18"/>
    </row>
    <row r="516" ht="22.5" hidden="1" customHeight="1">
      <c r="A516" s="169">
        <v>515.0</v>
      </c>
      <c r="B516" s="170">
        <v>46070.0</v>
      </c>
      <c r="C516" s="154" t="s">
        <v>7380</v>
      </c>
      <c r="D516" s="118" t="str">
        <f>IFERROR(__xludf.DUMMYFUNCTION("IFERROR( INDEX( FILTER( 'NOMBRE DE PRODUCTOS'!B:B, REGEXMATCH( UPPER( INDEX( REPORTE_DROPI!AC:AC, MATCH(T516, REPORTE_DROPI!B:B, 0) ) ), UPPER('NOMBRE DE PRODUCTOS'!A:A) ) ), 1 ), ""REVISAR"" )"),"Cuchillo Tazaki™")</f>
        <v>Cuchillo Tazaki™</v>
      </c>
      <c r="E516" s="120">
        <f t="array" ref="E516">IF(
UPPER(TRIM(CLEAN($O516)))="ENTREGADO",
IFERROR(
INDEX(REPORTE_DROPI!Y:Y,
MATCH($T516, REPORTE_DROPI!B:B, 0)
),
""
),
""
)
</f>
        <v>7.5</v>
      </c>
      <c r="F516" s="171">
        <v>2.0</v>
      </c>
      <c r="G516" s="122">
        <f t="array" ref="G516">IF(
UPPER(TRIM(CLEAN($O516)))="ENTREGADO",
IFERROR(
INDEX(REPORTE_DROPI!R:R,
MATCH($T516, REPORTE_DROPI!B:B, 0)
),
""
),
""
)
</f>
        <v>22</v>
      </c>
      <c r="H516" s="118" t="s">
        <v>3727</v>
      </c>
      <c r="I516" s="154" t="s">
        <v>3778</v>
      </c>
      <c r="J516" s="121">
        <f t="array" ref="J516">IF(
UPPER(TRIM(CLEAN($O516)))="ENTREGADO",
IFERROR(
INDEX(REPORTE_DROPI!T:T,
MATCH($T516, REPORTE_DROPI!B:B, 0)
),
""
),
""
)
</f>
        <v>5.84</v>
      </c>
      <c r="K516" s="118">
        <f t="array" ref="K516">IFERROR(
INDEX(REPORTE_DROPI!S:S,
MATCH($T516, REPORTE_DROPI!B:B, 0)
),
""
)</f>
        <v>8.66</v>
      </c>
      <c r="L516" s="118" t="str">
        <f>IF(
  O516&lt;&gt;"DEVOLUCION",
  "",
  IF(
    T516="",
    "",
    SUMIF(DEVOLUCION!F:F, T516, DEVOLUCION!D:D)
  )
)
</f>
        <v/>
      </c>
      <c r="M516" s="118" t="s">
        <v>5877</v>
      </c>
      <c r="N516" s="169" t="s">
        <v>7381</v>
      </c>
      <c r="O516" s="118" t="str">
        <f t="array" ref="O516">IFERROR(
VLOOKUP(
TRIM(CLEAN(
INDEX(REPORTE_DROPI!K:K,
MATCH(T516, REPORTE_DROPI!B:B, 0)
))),
{
TRIM(CLEAN(MAPA_ESTADOS!A:A)) ,
MAPA_ESTADOS!B:B
},
2,
FALSE
),
"REVISAR"
)</f>
        <v>ENTREGADO</v>
      </c>
      <c r="P516" s="154" t="s">
        <v>3655</v>
      </c>
      <c r="Q516" s="153">
        <f t="shared" si="1"/>
        <v>0</v>
      </c>
      <c r="R516" s="172"/>
      <c r="S516" s="172"/>
      <c r="T516" s="118">
        <f t="array" ref="T516">IFERROR(
INDEX(REPORTE_DROPI!B:B,
MATCH(
CLEAN(TRIM(C516)),
CLEAN(TRIM(REPORTE_DROPI!E:E)),
0
)
),
""
)
</f>
        <v>4534331</v>
      </c>
      <c r="U516" s="169" t="s">
        <v>7382</v>
      </c>
      <c r="V516" s="166"/>
      <c r="W516" s="18"/>
      <c r="X516" s="18"/>
      <c r="Y516" s="18"/>
      <c r="Z516" s="18"/>
    </row>
    <row r="517" ht="22.5" hidden="1" customHeight="1">
      <c r="A517" s="169">
        <v>516.0</v>
      </c>
      <c r="B517" s="170">
        <v>46070.0</v>
      </c>
      <c r="C517" s="154" t="s">
        <v>7383</v>
      </c>
      <c r="D517" s="118" t="str">
        <f>IFERROR(__xludf.DUMMYFUNCTION("IFERROR( INDEX( FILTER( 'NOMBRE DE PRODUCTOS'!B:B, REGEXMATCH( UPPER( INDEX( REPORTE_DROPI!AC:AC, MATCH(T517, REPORTE_DROPI!B:B, 0) ) ), UPPER('NOMBRE DE PRODUCTOS'!A:A) ) ), 1 ), ""REVISAR"" )"),"Cuchillo Tazaki™")</f>
        <v>Cuchillo Tazaki™</v>
      </c>
      <c r="E517" s="120">
        <f t="array" ref="E517">IF(
UPPER(TRIM(CLEAN($O517)))="ENTREGADO",
IFERROR(
INDEX(REPORTE_DROPI!Y:Y,
MATCH($T517, REPORTE_DROPI!B:B, 0)
),
""
),
""
)
</f>
        <v>7.5</v>
      </c>
      <c r="F517" s="171">
        <v>2.0</v>
      </c>
      <c r="G517" s="122">
        <f t="array" ref="G517">IF(
UPPER(TRIM(CLEAN($O517)))="ENTREGADO",
IFERROR(
INDEX(REPORTE_DROPI!R:R,
MATCH($T517, REPORTE_DROPI!B:B, 0)
),
""
),
""
)
</f>
        <v>22</v>
      </c>
      <c r="H517" s="118" t="s">
        <v>3727</v>
      </c>
      <c r="I517" s="154" t="s">
        <v>3740</v>
      </c>
      <c r="J517" s="121">
        <f t="array" ref="J517">IF(
UPPER(TRIM(CLEAN($O517)))="ENTREGADO",
IFERROR(
INDEX(REPORTE_DROPI!T:T,
MATCH($T517, REPORTE_DROPI!B:B, 0)
),
""
),
""
)
</f>
        <v>5.84</v>
      </c>
      <c r="K517" s="118">
        <f t="array" ref="K517">IFERROR(
INDEX(REPORTE_DROPI!S:S,
MATCH($T517, REPORTE_DROPI!B:B, 0)
),
""
)</f>
        <v>8.66</v>
      </c>
      <c r="L517" s="118" t="str">
        <f>IF(
  O517&lt;&gt;"DEVOLUCION",
  "",
  IF(
    T517="",
    "",
    SUMIF(DEVOLUCION!F:F, T517, DEVOLUCION!D:D)
  )
)
</f>
        <v/>
      </c>
      <c r="M517" s="118" t="s">
        <v>5877</v>
      </c>
      <c r="N517" s="169" t="s">
        <v>7384</v>
      </c>
      <c r="O517" s="118" t="str">
        <f t="array" ref="O517">IFERROR(
VLOOKUP(
TRIM(CLEAN(
INDEX(REPORTE_DROPI!K:K,
MATCH(T517, REPORTE_DROPI!B:B, 0)
))),
{
TRIM(CLEAN(MAPA_ESTADOS!A:A)) ,
MAPA_ESTADOS!B:B
},
2,
FALSE
),
"REVISAR"
)</f>
        <v>ENTREGADO</v>
      </c>
      <c r="P517" s="154" t="s">
        <v>3655</v>
      </c>
      <c r="Q517" s="153">
        <f t="shared" si="1"/>
        <v>0</v>
      </c>
      <c r="R517" s="172"/>
      <c r="S517" s="172"/>
      <c r="T517" s="118">
        <f t="array" ref="T517">IFERROR(
INDEX(REPORTE_DROPI!B:B,
MATCH(
CLEAN(TRIM(C517)),
CLEAN(TRIM(REPORTE_DROPI!E:E)),
0
)
),
""
)
</f>
        <v>4534334</v>
      </c>
      <c r="U517" s="169" t="s">
        <v>7385</v>
      </c>
      <c r="V517" s="166"/>
      <c r="W517" s="18"/>
      <c r="X517" s="18"/>
      <c r="Y517" s="18"/>
      <c r="Z517" s="18"/>
    </row>
    <row r="518" ht="22.5" hidden="1" customHeight="1">
      <c r="A518" s="169">
        <v>517.0</v>
      </c>
      <c r="B518" s="170">
        <v>46070.0</v>
      </c>
      <c r="C518" s="154" t="s">
        <v>7386</v>
      </c>
      <c r="D518" s="118" t="str">
        <f>IFERROR(__xludf.DUMMYFUNCTION("IFERROR( INDEX( FILTER( 'NOMBRE DE PRODUCTOS'!B:B, REGEXMATCH( UPPER( INDEX( REPORTE_DROPI!AC:AC, MATCH(T518, REPORTE_DROPI!B:B, 0) ) ), UPPER('NOMBRE DE PRODUCTOS'!A:A) ) ), 1 ), ""REVISAR"" )"),"Cuchillo Tazaki™")</f>
        <v>Cuchillo Tazaki™</v>
      </c>
      <c r="E518" s="120" t="str">
        <f t="array" ref="E518">IF(
UPPER(TRIM(CLEAN($O518)))="ENTREGADO",
IFERROR(
INDEX(REPORTE_DROPI!Y:Y,
MATCH($T518, REPORTE_DROPI!B:B, 0)
),
""
),
""
)
</f>
        <v/>
      </c>
      <c r="F518" s="171">
        <v>2.0</v>
      </c>
      <c r="G518" s="122" t="str">
        <f t="array" ref="G518">IF(
UPPER(TRIM(CLEAN($O518)))="ENTREGADO",
IFERROR(
INDEX(REPORTE_DROPI!R:R,
MATCH($T518, REPORTE_DROPI!B:B, 0)
),
""
),
""
)
</f>
        <v/>
      </c>
      <c r="H518" s="118" t="s">
        <v>3727</v>
      </c>
      <c r="I518" s="154" t="s">
        <v>3731</v>
      </c>
      <c r="J518" s="121" t="str">
        <f t="array" ref="J518">IF(
UPPER(TRIM(CLEAN($O518)))="ENTREGADO",
IFERROR(
INDEX(REPORTE_DROPI!T:T,
MATCH($T518, REPORTE_DROPI!B:B, 0)
),
""
),
""
)
</f>
        <v/>
      </c>
      <c r="K518" s="118" t="str">
        <f t="array" ref="K518">IFERROR(
INDEX(REPORTE_DROPI!S:S,
MATCH($T518, REPORTE_DROPI!B:B, 0)
),
""
)</f>
        <v/>
      </c>
      <c r="L518" s="118" t="str">
        <f>IF(
  O518&lt;&gt;"DEVOLUCION",
  "",
  IF(
    T518="",
    "",
    SUMIF(DEVOLUCION!F:F, T518, DEVOLUCION!D:D)
  )
)
</f>
        <v/>
      </c>
      <c r="M518" s="118" t="s">
        <v>5877</v>
      </c>
      <c r="N518" s="169" t="s">
        <v>7387</v>
      </c>
      <c r="O518" s="118" t="str">
        <f t="array" ref="O518">IFERROR(
VLOOKUP(
TRIM(CLEAN(
INDEX(REPORTE_DROPI!K:K,
MATCH(T518, REPORTE_DROPI!B:B, 0)
))),
{
TRIM(CLEAN(MAPA_ESTADOS!A:A)) ,
MAPA_ESTADOS!B:B
},
2,
FALSE
),
"REVISAR"
)</f>
        <v>CANCELADO</v>
      </c>
      <c r="P518" s="154" t="s">
        <v>7388</v>
      </c>
      <c r="Q518" s="153">
        <f t="shared" si="1"/>
        <v>0</v>
      </c>
      <c r="R518" s="172"/>
      <c r="S518" s="172"/>
      <c r="T518" s="118">
        <f t="array" ref="T518">IFERROR(
INDEX(REPORTE_DROPI!B:B,
MATCH(
CLEAN(TRIM(C518)),
CLEAN(TRIM(REPORTE_DROPI!E:E)),
0
)
),
""
)
</f>
        <v>4534477</v>
      </c>
      <c r="U518" s="169" t="s">
        <v>7389</v>
      </c>
      <c r="V518" s="166"/>
      <c r="W518" s="18"/>
      <c r="X518" s="18"/>
      <c r="Y518" s="18"/>
      <c r="Z518" s="18"/>
    </row>
    <row r="519" ht="22.5" hidden="1" customHeight="1">
      <c r="A519" s="169">
        <v>518.0</v>
      </c>
      <c r="B519" s="170">
        <v>46070.0</v>
      </c>
      <c r="C519" s="154" t="s">
        <v>7390</v>
      </c>
      <c r="D519" s="118" t="str">
        <f>IFERROR(__xludf.DUMMYFUNCTION("IFERROR( INDEX( FILTER( 'NOMBRE DE PRODUCTOS'!B:B, REGEXMATCH( UPPER( INDEX( REPORTE_DROPI!AC:AC, MATCH(T519, REPORTE_DROPI!B:B, 0) ) ), UPPER('NOMBRE DE PRODUCTOS'!A:A) ) ), 1 ), ""REVISAR"" )"),"FilmPro®")</f>
        <v>FilmPro®</v>
      </c>
      <c r="E519" s="120" t="str">
        <f t="array" ref="E519">IF(
UPPER(TRIM(CLEAN($O519)))="ENTREGADO",
IFERROR(
INDEX(REPORTE_DROPI!Y:Y,
MATCH($T519, REPORTE_DROPI!B:B, 0)
),
""
),
""
)
</f>
        <v/>
      </c>
      <c r="F519" s="171">
        <v>3.0</v>
      </c>
      <c r="G519" s="122" t="str">
        <f t="array" ref="G519">IF(
UPPER(TRIM(CLEAN($O519)))="ENTREGADO",
IFERROR(
INDEX(REPORTE_DROPI!R:R,
MATCH($T519, REPORTE_DROPI!B:B, 0)
),
""
),
""
)
</f>
        <v/>
      </c>
      <c r="H519" s="118" t="s">
        <v>3727</v>
      </c>
      <c r="I519" s="154" t="s">
        <v>3740</v>
      </c>
      <c r="J519" s="121" t="str">
        <f t="array" ref="J519">IF(
UPPER(TRIM(CLEAN($O519)))="ENTREGADO",
IFERROR(
INDEX(REPORTE_DROPI!T:T,
MATCH($T519, REPORTE_DROPI!B:B, 0)
),
""
),
""
)
</f>
        <v/>
      </c>
      <c r="K519" s="118" t="str">
        <f t="array" ref="K519">IFERROR(
INDEX(REPORTE_DROPI!S:S,
MATCH($T519, REPORTE_DROPI!B:B, 0)
),
""
)</f>
        <v/>
      </c>
      <c r="L519" s="118" t="str">
        <f>IF(
  O519&lt;&gt;"DEVOLUCION",
  "",
  IF(
    T519="",
    "",
    SUMIF(DEVOLUCION!F:F, T519, DEVOLUCION!D:D)
  )
)
</f>
        <v/>
      </c>
      <c r="M519" s="118" t="s">
        <v>5877</v>
      </c>
      <c r="N519" s="169" t="s">
        <v>7391</v>
      </c>
      <c r="O519" s="118" t="str">
        <f t="array" ref="O519">IFERROR(
VLOOKUP(
TRIM(CLEAN(
INDEX(REPORTE_DROPI!K:K,
MATCH(T519, REPORTE_DROPI!B:B, 0)
))),
{
TRIM(CLEAN(MAPA_ESTADOS!A:A)) ,
MAPA_ESTADOS!B:B
},
2,
FALSE
),
"REVISAR"
)</f>
        <v>PENDIENTE</v>
      </c>
      <c r="P519" s="154" t="s">
        <v>6829</v>
      </c>
      <c r="Q519" s="153">
        <f t="shared" si="1"/>
        <v>0</v>
      </c>
      <c r="R519" s="172"/>
      <c r="S519" s="172"/>
      <c r="T519" s="118">
        <f t="array" ref="T519">IFERROR(
INDEX(REPORTE_DROPI!B:B,
MATCH(
CLEAN(TRIM(C519)),
CLEAN(TRIM(REPORTE_DROPI!E:E)),
0
)
),
""
)
</f>
        <v>4534603</v>
      </c>
      <c r="U519" s="169" t="s">
        <v>7392</v>
      </c>
      <c r="V519" s="166"/>
      <c r="W519" s="18"/>
      <c r="X519" s="18"/>
      <c r="Y519" s="18"/>
      <c r="Z519" s="18"/>
    </row>
    <row r="520" ht="22.5" hidden="1" customHeight="1">
      <c r="A520" s="169">
        <v>519.0</v>
      </c>
      <c r="B520" s="170">
        <v>46070.0</v>
      </c>
      <c r="C520" s="154" t="s">
        <v>7393</v>
      </c>
      <c r="D520" s="118" t="str">
        <f>IFERROR(__xludf.DUMMYFUNCTION("IFERROR( INDEX( FILTER( 'NOMBRE DE PRODUCTOS'!B:B, REGEXMATCH( UPPER( INDEX( REPORTE_DROPI!AC:AC, MATCH(T520, REPORTE_DROPI!B:B, 0) ) ), UPPER('NOMBRE DE PRODUCTOS'!A:A) ) ), 1 ), ""REVISAR"" )"),"FilmPro®")</f>
        <v>FilmPro®</v>
      </c>
      <c r="E520" s="120">
        <f t="array" ref="E520">IF(
UPPER(TRIM(CLEAN($O520)))="ENTREGADO",
IFERROR(
INDEX(REPORTE_DROPI!Y:Y,
MATCH($T520, REPORTE_DROPI!B:B, 0)
),
""
),
""
)
</f>
        <v>4.8</v>
      </c>
      <c r="F520" s="171">
        <v>2.0</v>
      </c>
      <c r="G520" s="122">
        <f t="array" ref="G520">IF(
UPPER(TRIM(CLEAN($O520)))="ENTREGADO",
IFERROR(
INDEX(REPORTE_DROPI!R:R,
MATCH($T520, REPORTE_DROPI!B:B, 0)
),
""
),
""
)
</f>
        <v>25</v>
      </c>
      <c r="H520" s="118" t="s">
        <v>3727</v>
      </c>
      <c r="I520" s="154" t="s">
        <v>3864</v>
      </c>
      <c r="J520" s="121">
        <f t="array" ref="J520">IF(
UPPER(TRIM(CLEAN($O520)))="ENTREGADO",
IFERROR(
INDEX(REPORTE_DROPI!T:T,
MATCH($T520, REPORTE_DROPI!B:B, 0)
),
""
),
""
)
</f>
        <v>6.53</v>
      </c>
      <c r="K520" s="118">
        <f t="array" ref="K520">IFERROR(
INDEX(REPORTE_DROPI!S:S,
MATCH($T520, REPORTE_DROPI!B:B, 0)
),
""
)</f>
        <v>13.67</v>
      </c>
      <c r="L520" s="118" t="str">
        <f>IF(
  O520&lt;&gt;"DEVOLUCION",
  "",
  IF(
    T520="",
    "",
    SUMIF(DEVOLUCION!F:F, T520, DEVOLUCION!D:D)
  )
)
</f>
        <v/>
      </c>
      <c r="M520" s="118" t="s">
        <v>5877</v>
      </c>
      <c r="N520" s="169" t="s">
        <v>7394</v>
      </c>
      <c r="O520" s="118" t="str">
        <f t="array" ref="O520">IFERROR(
VLOOKUP(
TRIM(CLEAN(
INDEX(REPORTE_DROPI!K:K,
MATCH(T520, REPORTE_DROPI!B:B, 0)
))),
{
TRIM(CLEAN(MAPA_ESTADOS!A:A)) ,
MAPA_ESTADOS!B:B
},
2,
FALSE
),
"REVISAR"
)</f>
        <v>ENTREGADO</v>
      </c>
      <c r="P520" s="154" t="s">
        <v>3655</v>
      </c>
      <c r="Q520" s="153">
        <f t="shared" si="1"/>
        <v>0</v>
      </c>
      <c r="R520" s="172"/>
      <c r="S520" s="172"/>
      <c r="T520" s="118">
        <f t="array" ref="T520">IFERROR(
INDEX(REPORTE_DROPI!B:B,
MATCH(
CLEAN(TRIM(C520)),
CLEAN(TRIM(REPORTE_DROPI!E:E)),
0
)
),
""
)
</f>
        <v>4535081</v>
      </c>
      <c r="U520" s="169" t="s">
        <v>7395</v>
      </c>
      <c r="V520" s="166"/>
      <c r="W520" s="18"/>
      <c r="X520" s="18"/>
      <c r="Y520" s="18"/>
      <c r="Z520" s="18"/>
    </row>
    <row r="521" ht="22.5" hidden="1" customHeight="1">
      <c r="A521" s="169">
        <v>520.0</v>
      </c>
      <c r="B521" s="170">
        <v>46070.0</v>
      </c>
      <c r="C521" s="154" t="s">
        <v>7396</v>
      </c>
      <c r="D521" s="118" t="str">
        <f>IFERROR(__xludf.DUMMYFUNCTION("IFERROR( INDEX( FILTER( 'NOMBRE DE PRODUCTOS'!B:B, REGEXMATCH( UPPER( INDEX( REPORTE_DROPI!AC:AC, MATCH(T521, REPORTE_DROPI!B:B, 0) ) ), UPPER('NOMBRE DE PRODUCTOS'!A:A) ) ), 1 ), ""REVISAR"" )"),"Cuchillo Tazaki™")</f>
        <v>Cuchillo Tazaki™</v>
      </c>
      <c r="E521" s="120" t="str">
        <f t="array" ref="E521">IF(
UPPER(TRIM(CLEAN($O521)))="ENTREGADO",
IFERROR(
INDEX(REPORTE_DROPI!Y:Y,
MATCH($T521, REPORTE_DROPI!B:B, 0)
),
""
),
""
)
</f>
        <v/>
      </c>
      <c r="F521" s="171">
        <v>2.0</v>
      </c>
      <c r="G521" s="122" t="str">
        <f t="array" ref="G521">IF(
UPPER(TRIM(CLEAN($O521)))="ENTREGADO",
IFERROR(
INDEX(REPORTE_DROPI!R:R,
MATCH($T521, REPORTE_DROPI!B:B, 0)
),
""
),
""
)
</f>
        <v/>
      </c>
      <c r="H521" s="118" t="s">
        <v>3727</v>
      </c>
      <c r="I521" s="154" t="s">
        <v>3912</v>
      </c>
      <c r="J521" s="121" t="str">
        <f t="array" ref="J521">IF(
UPPER(TRIM(CLEAN($O521)))="ENTREGADO",
IFERROR(
INDEX(REPORTE_DROPI!T:T,
MATCH($T521, REPORTE_DROPI!B:B, 0)
),
""
),
""
)
</f>
        <v/>
      </c>
      <c r="K521" s="118" t="str">
        <f t="array" ref="K521">IFERROR(
INDEX(REPORTE_DROPI!S:S,
MATCH($T521, REPORTE_DROPI!B:B, 0)
),
""
)</f>
        <v/>
      </c>
      <c r="L521" s="118">
        <f>IF(
  O521&lt;&gt;"DEVOLUCION",
  "",
  IF(
    T521="",
    "",
    SUMIF(DEVOLUCION!F:F, T521, DEVOLUCION!D:D)
  )
)
</f>
        <v>0</v>
      </c>
      <c r="M521" s="118" t="s">
        <v>5877</v>
      </c>
      <c r="N521" s="169" t="s">
        <v>7397</v>
      </c>
      <c r="O521" s="118" t="str">
        <f t="array" ref="O521">IFERROR(
VLOOKUP(
TRIM(CLEAN(
INDEX(REPORTE_DROPI!K:K,
MATCH(T521, REPORTE_DROPI!B:B, 0)
))),
{
TRIM(CLEAN(MAPA_ESTADOS!A:A)) ,
MAPA_ESTADOS!B:B
},
2,
FALSE
),
"REVISAR"
)</f>
        <v>DEVOLUCION</v>
      </c>
      <c r="P521" s="154" t="s">
        <v>3655</v>
      </c>
      <c r="Q521" s="153">
        <f t="shared" si="1"/>
        <v>0</v>
      </c>
      <c r="R521" s="172"/>
      <c r="S521" s="172"/>
      <c r="T521" s="118">
        <f t="array" ref="T521">IFERROR(
INDEX(REPORTE_DROPI!B:B,
MATCH(
CLEAN(TRIM(C521)),
CLEAN(TRIM(REPORTE_DROPI!E:E)),
0
)
),
""
)
</f>
        <v>4535209</v>
      </c>
      <c r="U521" s="169" t="s">
        <v>7398</v>
      </c>
      <c r="V521" s="166"/>
      <c r="W521" s="18"/>
      <c r="X521" s="18"/>
      <c r="Y521" s="18"/>
      <c r="Z521" s="18"/>
    </row>
    <row r="522" ht="22.5" hidden="1" customHeight="1">
      <c r="A522" s="169">
        <v>521.0</v>
      </c>
      <c r="B522" s="170">
        <v>46070.0</v>
      </c>
      <c r="C522" s="154" t="s">
        <v>7399</v>
      </c>
      <c r="D522" s="118" t="str">
        <f>IFERROR(__xludf.DUMMYFUNCTION("IFERROR( INDEX( FILTER( 'NOMBRE DE PRODUCTOS'!B:B, REGEXMATCH( UPPER( INDEX( REPORTE_DROPI!AC:AC, MATCH(T522, REPORTE_DROPI!B:B, 0) ) ), UPPER('NOMBRE DE PRODUCTOS'!A:A) ) ), 1 ), ""REVISAR"" )"),"FilmPro®")</f>
        <v>FilmPro®</v>
      </c>
      <c r="E522" s="120">
        <f t="array" ref="E522">IF(
UPPER(TRIM(CLEAN($O522)))="ENTREGADO",
IFERROR(
INDEX(REPORTE_DROPI!Y:Y,
MATCH($T522, REPORTE_DROPI!B:B, 0)
),
""
),
""
)
</f>
        <v>4.8</v>
      </c>
      <c r="F522" s="171">
        <v>2.0</v>
      </c>
      <c r="G522" s="122">
        <f t="array" ref="G522">IF(
UPPER(TRIM(CLEAN($O522)))="ENTREGADO",
IFERROR(
INDEX(REPORTE_DROPI!R:R,
MATCH($T522, REPORTE_DROPI!B:B, 0)
),
""
),
""
)
</f>
        <v>25</v>
      </c>
      <c r="H522" s="118" t="s">
        <v>3727</v>
      </c>
      <c r="I522" s="154" t="s">
        <v>3801</v>
      </c>
      <c r="J522" s="121">
        <f t="array" ref="J522">IF(
UPPER(TRIM(CLEAN($O522)))="ENTREGADO",
IFERROR(
INDEX(REPORTE_DROPI!T:T,
MATCH($T522, REPORTE_DROPI!B:B, 0)
),
""
),
""
)
</f>
        <v>6.04</v>
      </c>
      <c r="K522" s="118">
        <f t="array" ref="K522">IFERROR(
INDEX(REPORTE_DROPI!S:S,
MATCH($T522, REPORTE_DROPI!B:B, 0)
),
""
)</f>
        <v>14.16</v>
      </c>
      <c r="L522" s="118" t="str">
        <f>IF(
  O522&lt;&gt;"DEVOLUCION",
  "",
  IF(
    T522="",
    "",
    SUMIF(DEVOLUCION!F:F, T522, DEVOLUCION!D:D)
  )
)
</f>
        <v/>
      </c>
      <c r="M522" s="118" t="s">
        <v>5877</v>
      </c>
      <c r="N522" s="169" t="s">
        <v>7400</v>
      </c>
      <c r="O522" s="118" t="str">
        <f t="array" ref="O522">IFERROR(
VLOOKUP(
TRIM(CLEAN(
INDEX(REPORTE_DROPI!K:K,
MATCH(T522, REPORTE_DROPI!B:B, 0)
))),
{
TRIM(CLEAN(MAPA_ESTADOS!A:A)) ,
MAPA_ESTADOS!B:B
},
2,
FALSE
),
"REVISAR"
)</f>
        <v>ENTREGADO</v>
      </c>
      <c r="P522" s="154" t="s">
        <v>3655</v>
      </c>
      <c r="Q522" s="153">
        <f t="shared" si="1"/>
        <v>0</v>
      </c>
      <c r="R522" s="172"/>
      <c r="S522" s="172"/>
      <c r="T522" s="118">
        <f t="array" ref="T522">IFERROR(
INDEX(REPORTE_DROPI!B:B,
MATCH(
CLEAN(TRIM(C522)),
CLEAN(TRIM(REPORTE_DROPI!E:E)),
0
)
),
""
)
</f>
        <v>4549546</v>
      </c>
      <c r="U522" s="169" t="s">
        <v>7401</v>
      </c>
      <c r="V522" s="166"/>
      <c r="W522" s="18"/>
      <c r="X522" s="18"/>
      <c r="Y522" s="18"/>
      <c r="Z522" s="18"/>
    </row>
    <row r="523" ht="22.5" hidden="1" customHeight="1">
      <c r="A523" s="169">
        <v>522.0</v>
      </c>
      <c r="B523" s="170">
        <v>46070.0</v>
      </c>
      <c r="C523" s="154" t="s">
        <v>7402</v>
      </c>
      <c r="D523" s="118" t="str">
        <f>IFERROR(__xludf.DUMMYFUNCTION("IFERROR( INDEX( FILTER( 'NOMBRE DE PRODUCTOS'!B:B, REGEXMATCH( UPPER( INDEX( REPORTE_DROPI!AC:AC, MATCH(T523, REPORTE_DROPI!B:B, 0) ) ), UPPER('NOMBRE DE PRODUCTOS'!A:A) ) ), 1 ), ""REVISAR"" )"),"FilmPro®")</f>
        <v>FilmPro®</v>
      </c>
      <c r="E523" s="120">
        <f t="array" ref="E523">IF(
UPPER(TRIM(CLEAN($O523)))="ENTREGADO",
IFERROR(
INDEX(REPORTE_DROPI!Y:Y,
MATCH($T523, REPORTE_DROPI!B:B, 0)
),
""
),
""
)
</f>
        <v>4.8</v>
      </c>
      <c r="F523" s="171">
        <v>2.0</v>
      </c>
      <c r="G523" s="122">
        <f t="array" ref="G523">IF(
UPPER(TRIM(CLEAN($O523)))="ENTREGADO",
IFERROR(
INDEX(REPORTE_DROPI!R:R,
MATCH($T523, REPORTE_DROPI!B:B, 0)
),
""
),
""
)
</f>
        <v>25</v>
      </c>
      <c r="H523" s="118" t="s">
        <v>3727</v>
      </c>
      <c r="I523" s="154" t="s">
        <v>3804</v>
      </c>
      <c r="J523" s="121">
        <f t="array" ref="J523">IF(
UPPER(TRIM(CLEAN($O523)))="ENTREGADO",
IFERROR(
INDEX(REPORTE_DROPI!T:T,
MATCH($T523, REPORTE_DROPI!B:B, 0)
),
""
),
""
)
</f>
        <v>5.96</v>
      </c>
      <c r="K523" s="118">
        <f t="array" ref="K523">IFERROR(
INDEX(REPORTE_DROPI!S:S,
MATCH($T523, REPORTE_DROPI!B:B, 0)
),
""
)</f>
        <v>14.24</v>
      </c>
      <c r="L523" s="118" t="str">
        <f>IF(
  O523&lt;&gt;"DEVOLUCION",
  "",
  IF(
    T523="",
    "",
    SUMIF(DEVOLUCION!F:F, T523, DEVOLUCION!D:D)
  )
)
</f>
        <v/>
      </c>
      <c r="M523" s="118" t="s">
        <v>5877</v>
      </c>
      <c r="N523" s="169" t="s">
        <v>7403</v>
      </c>
      <c r="O523" s="118" t="str">
        <f t="array" ref="O523">IFERROR(
VLOOKUP(
TRIM(CLEAN(
INDEX(REPORTE_DROPI!K:K,
MATCH(T523, REPORTE_DROPI!B:B, 0)
))),
{
TRIM(CLEAN(MAPA_ESTADOS!A:A)) ,
MAPA_ESTADOS!B:B
},
2,
FALSE
),
"REVISAR"
)</f>
        <v>ENTREGADO</v>
      </c>
      <c r="P523" s="154" t="s">
        <v>3655</v>
      </c>
      <c r="Q523" s="153">
        <f t="shared" si="1"/>
        <v>0</v>
      </c>
      <c r="R523" s="172"/>
      <c r="S523" s="172"/>
      <c r="T523" s="118">
        <f t="array" ref="T523">IFERROR(
INDEX(REPORTE_DROPI!B:B,
MATCH(
CLEAN(TRIM(C523)),
CLEAN(TRIM(REPORTE_DROPI!E:E)),
0
)
),
""
)
</f>
        <v>4536861</v>
      </c>
      <c r="U523" s="169" t="s">
        <v>7404</v>
      </c>
      <c r="V523" s="166"/>
      <c r="W523" s="18"/>
      <c r="X523" s="18"/>
      <c r="Y523" s="18"/>
      <c r="Z523" s="18"/>
    </row>
    <row r="524" ht="22.5" hidden="1" customHeight="1">
      <c r="A524" s="169">
        <v>523.0</v>
      </c>
      <c r="B524" s="170">
        <v>46070.0</v>
      </c>
      <c r="C524" s="154" t="s">
        <v>7405</v>
      </c>
      <c r="D524" s="118" t="str">
        <f>IFERROR(__xludf.DUMMYFUNCTION("IFERROR( INDEX( FILTER( 'NOMBRE DE PRODUCTOS'!B:B, REGEXMATCH( UPPER( INDEX( REPORTE_DROPI!AC:AC, MATCH(T524, REPORTE_DROPI!B:B, 0) ) ), UPPER('NOMBRE DE PRODUCTOS'!A:A) ) ), 1 ), ""REVISAR"" )"),"FilmPro®")</f>
        <v>FilmPro®</v>
      </c>
      <c r="E524" s="120" t="str">
        <f t="array" ref="E524">IF(
UPPER(TRIM(CLEAN($O524)))="ENTREGADO",
IFERROR(
INDEX(REPORTE_DROPI!Y:Y,
MATCH($T524, REPORTE_DROPI!B:B, 0)
),
""
),
""
)
</f>
        <v/>
      </c>
      <c r="F524" s="171">
        <v>2.0</v>
      </c>
      <c r="G524" s="122" t="str">
        <f t="array" ref="G524">IF(
UPPER(TRIM(CLEAN($O524)))="ENTREGADO",
IFERROR(
INDEX(REPORTE_DROPI!R:R,
MATCH($T524, REPORTE_DROPI!B:B, 0)
),
""
),
""
)
</f>
        <v/>
      </c>
      <c r="H524" s="118" t="s">
        <v>3727</v>
      </c>
      <c r="I524" s="154" t="s">
        <v>3740</v>
      </c>
      <c r="J524" s="121" t="str">
        <f t="array" ref="J524">IF(
UPPER(TRIM(CLEAN($O524)))="ENTREGADO",
IFERROR(
INDEX(REPORTE_DROPI!T:T,
MATCH($T524, REPORTE_DROPI!B:B, 0)
),
""
),
""
)
</f>
        <v/>
      </c>
      <c r="K524" s="118" t="str">
        <f t="array" ref="K524">IFERROR(
INDEX(REPORTE_DROPI!S:S,
MATCH($T524, REPORTE_DROPI!B:B, 0)
),
""
)</f>
        <v/>
      </c>
      <c r="L524" s="118">
        <f>IF(
  O524&lt;&gt;"DEVOLUCION",
  "",
  IF(
    T524="",
    "",
    SUMIF(DEVOLUCION!F:F, T524, DEVOLUCION!D:D)
  )
)
</f>
        <v>0</v>
      </c>
      <c r="M524" s="118" t="s">
        <v>5877</v>
      </c>
      <c r="N524" s="169" t="s">
        <v>7406</v>
      </c>
      <c r="O524" s="118" t="str">
        <f t="array" ref="O524">IFERROR(
VLOOKUP(
TRIM(CLEAN(
INDEX(REPORTE_DROPI!K:K,
MATCH(T524, REPORTE_DROPI!B:B, 0)
))),
{
TRIM(CLEAN(MAPA_ESTADOS!A:A)) ,
MAPA_ESTADOS!B:B
},
2,
FALSE
),
"REVISAR"
)</f>
        <v>DEVOLUCION</v>
      </c>
      <c r="P524" s="154" t="s">
        <v>3655</v>
      </c>
      <c r="Q524" s="153">
        <f t="shared" si="1"/>
        <v>0</v>
      </c>
      <c r="R524" s="172"/>
      <c r="S524" s="172"/>
      <c r="T524" s="118">
        <f t="array" ref="T524">IFERROR(
INDEX(REPORTE_DROPI!B:B,
MATCH(
CLEAN(TRIM(C524)),
CLEAN(TRIM(REPORTE_DROPI!E:E)),
0
)
),
""
)
</f>
        <v>4537287</v>
      </c>
      <c r="U524" s="169" t="s">
        <v>7407</v>
      </c>
      <c r="V524" s="166"/>
      <c r="W524" s="18"/>
      <c r="X524" s="18"/>
      <c r="Y524" s="18"/>
      <c r="Z524" s="18"/>
    </row>
    <row r="525" ht="22.5" hidden="1" customHeight="1">
      <c r="A525" s="169">
        <v>524.0</v>
      </c>
      <c r="B525" s="170">
        <v>46070.0</v>
      </c>
      <c r="C525" s="154" t="s">
        <v>7408</v>
      </c>
      <c r="D525" s="118" t="str">
        <f>IFERROR(__xludf.DUMMYFUNCTION("IFERROR( INDEX( FILTER( 'NOMBRE DE PRODUCTOS'!B:B, REGEXMATCH( UPPER( INDEX( REPORTE_DROPI!AC:AC, MATCH(T525, REPORTE_DROPI!B:B, 0) ) ), UPPER('NOMBRE DE PRODUCTOS'!A:A) ) ), 1 ), ""REVISAR"" )"),"FilmPro®")</f>
        <v>FilmPro®</v>
      </c>
      <c r="E525" s="120" t="str">
        <f t="array" ref="E525">IF(
UPPER(TRIM(CLEAN($O525)))="ENTREGADO",
IFERROR(
INDEX(REPORTE_DROPI!Y:Y,
MATCH($T525, REPORTE_DROPI!B:B, 0)
),
""
),
""
)
</f>
        <v/>
      </c>
      <c r="F525" s="171">
        <v>1.0</v>
      </c>
      <c r="G525" s="122" t="str">
        <f t="array" ref="G525">IF(
UPPER(TRIM(CLEAN($O525)))="ENTREGADO",
IFERROR(
INDEX(REPORTE_DROPI!R:R,
MATCH($T525, REPORTE_DROPI!B:B, 0)
),
""
),
""
)
</f>
        <v/>
      </c>
      <c r="H525" s="118" t="s">
        <v>3727</v>
      </c>
      <c r="I525" s="154" t="s">
        <v>3731</v>
      </c>
      <c r="J525" s="121" t="str">
        <f t="array" ref="J525">IF(
UPPER(TRIM(CLEAN($O525)))="ENTREGADO",
IFERROR(
INDEX(REPORTE_DROPI!T:T,
MATCH($T525, REPORTE_DROPI!B:B, 0)
),
""
),
""
)
</f>
        <v/>
      </c>
      <c r="K525" s="118" t="str">
        <f t="array" ref="K525">IFERROR(
INDEX(REPORTE_DROPI!S:S,
MATCH($T525, REPORTE_DROPI!B:B, 0)
),
""
)</f>
        <v/>
      </c>
      <c r="L525" s="118">
        <f>IF(
  O525&lt;&gt;"DEVOLUCION",
  "",
  IF(
    T525="",
    "",
    SUMIF(DEVOLUCION!F:F, T525, DEVOLUCION!D:D)
  )
)
</f>
        <v>0</v>
      </c>
      <c r="M525" s="118" t="s">
        <v>5877</v>
      </c>
      <c r="N525" s="169" t="s">
        <v>7409</v>
      </c>
      <c r="O525" s="118" t="str">
        <f t="array" ref="O525">IFERROR(
VLOOKUP(
TRIM(CLEAN(
INDEX(REPORTE_DROPI!K:K,
MATCH(T525, REPORTE_DROPI!B:B, 0)
))),
{
TRIM(CLEAN(MAPA_ESTADOS!A:A)) ,
MAPA_ESTADOS!B:B
},
2,
FALSE
),
"REVISAR"
)</f>
        <v>DEVOLUCION</v>
      </c>
      <c r="P525" s="154" t="s">
        <v>3655</v>
      </c>
      <c r="Q525" s="153">
        <f t="shared" si="1"/>
        <v>0</v>
      </c>
      <c r="R525" s="172"/>
      <c r="S525" s="172"/>
      <c r="T525" s="118">
        <f t="array" ref="T525">IFERROR(
INDEX(REPORTE_DROPI!B:B,
MATCH(
CLEAN(TRIM(C525)),
CLEAN(TRIM(REPORTE_DROPI!E:E)),
0
)
),
""
)
</f>
        <v>4537497</v>
      </c>
      <c r="U525" s="169" t="s">
        <v>7410</v>
      </c>
      <c r="V525" s="166"/>
      <c r="W525" s="18"/>
      <c r="X525" s="18"/>
      <c r="Y525" s="18"/>
      <c r="Z525" s="18"/>
    </row>
    <row r="526" ht="22.5" hidden="1" customHeight="1">
      <c r="A526" s="169">
        <v>525.0</v>
      </c>
      <c r="B526" s="170">
        <v>46071.0</v>
      </c>
      <c r="C526" s="154" t="s">
        <v>7411</v>
      </c>
      <c r="D526" s="118" t="str">
        <f>IFERROR(__xludf.DUMMYFUNCTION("IFERROR( INDEX( FILTER( 'NOMBRE DE PRODUCTOS'!B:B, REGEXMATCH( UPPER( INDEX( REPORTE_DROPI!AC:AC, MATCH(T526, REPORTE_DROPI!B:B, 0) ) ), UPPER('NOMBRE DE PRODUCTOS'!A:A) ) ), 1 ), ""REVISAR"" )"),"FilmPro®")</f>
        <v>FilmPro®</v>
      </c>
      <c r="E526" s="120">
        <f t="array" ref="E526">IF(
UPPER(TRIM(CLEAN($O526)))="ENTREGADO",
IFERROR(
INDEX(REPORTE_DROPI!Y:Y,
MATCH($T526, REPORTE_DROPI!B:B, 0)
),
""
),
""
)
</f>
        <v>4.8</v>
      </c>
      <c r="F526" s="171">
        <v>2.0</v>
      </c>
      <c r="G526" s="122">
        <f t="array" ref="G526">IF(
UPPER(TRIM(CLEAN($O526)))="ENTREGADO",
IFERROR(
INDEX(REPORTE_DROPI!R:R,
MATCH($T526, REPORTE_DROPI!B:B, 0)
),
""
),
""
)
</f>
        <v>25</v>
      </c>
      <c r="H526" s="118" t="s">
        <v>3727</v>
      </c>
      <c r="I526" s="154" t="s">
        <v>3740</v>
      </c>
      <c r="J526" s="121">
        <f t="array" ref="J526">IF(
UPPER(TRIM(CLEAN($O526)))="ENTREGADO",
IFERROR(
INDEX(REPORTE_DROPI!T:T,
MATCH($T526, REPORTE_DROPI!B:B, 0)
),
""
),
""
)
</f>
        <v>4.35</v>
      </c>
      <c r="K526" s="118">
        <f t="array" ref="K526">IFERROR(
INDEX(REPORTE_DROPI!S:S,
MATCH($T526, REPORTE_DROPI!B:B, 0)
),
""
)</f>
        <v>15.85</v>
      </c>
      <c r="L526" s="118" t="str">
        <f>IF(
  O526&lt;&gt;"DEVOLUCION",
  "",
  IF(
    T526="",
    "",
    SUMIF(DEVOLUCION!F:F, T526, DEVOLUCION!D:D)
  )
)
</f>
        <v/>
      </c>
      <c r="M526" s="118" t="s">
        <v>5877</v>
      </c>
      <c r="N526" s="169" t="s">
        <v>7412</v>
      </c>
      <c r="O526" s="118" t="str">
        <f t="array" ref="O526">IFERROR(
VLOOKUP(
TRIM(CLEAN(
INDEX(REPORTE_DROPI!K:K,
MATCH(T526, REPORTE_DROPI!B:B, 0)
))),
{
TRIM(CLEAN(MAPA_ESTADOS!A:A)) ,
MAPA_ESTADOS!B:B
},
2,
FALSE
),
"REVISAR"
)</f>
        <v>ENTREGADO</v>
      </c>
      <c r="P526" s="154" t="s">
        <v>5692</v>
      </c>
      <c r="Q526" s="153">
        <f t="shared" si="1"/>
        <v>0</v>
      </c>
      <c r="R526" s="172"/>
      <c r="S526" s="172"/>
      <c r="T526" s="118">
        <f t="array" ref="T526">IFERROR(
INDEX(REPORTE_DROPI!B:B,
MATCH(
CLEAN(TRIM(C526)),
CLEAN(TRIM(REPORTE_DROPI!E:E)),
0
)
),
""
)
</f>
        <v>4538278</v>
      </c>
      <c r="U526" s="173">
        <v>1.57100108134E11</v>
      </c>
      <c r="V526" s="166"/>
      <c r="W526" s="18"/>
      <c r="X526" s="18"/>
      <c r="Y526" s="18"/>
      <c r="Z526" s="18"/>
    </row>
    <row r="527" ht="22.5" hidden="1" customHeight="1">
      <c r="A527" s="169">
        <v>526.0</v>
      </c>
      <c r="B527" s="170">
        <v>46071.0</v>
      </c>
      <c r="C527" s="154" t="s">
        <v>7413</v>
      </c>
      <c r="D527" s="118" t="str">
        <f>IFERROR(__xludf.DUMMYFUNCTION("IFERROR( INDEX( FILTER( 'NOMBRE DE PRODUCTOS'!B:B, REGEXMATCH( UPPER( INDEX( REPORTE_DROPI!AC:AC, MATCH(T527, REPORTE_DROPI!B:B, 0) ) ), UPPER('NOMBRE DE PRODUCTOS'!A:A) ) ), 1 ), ""REVISAR"" )"),"FilmPro®")</f>
        <v>FilmPro®</v>
      </c>
      <c r="E527" s="120" t="str">
        <f t="array" ref="E527">IF(
UPPER(TRIM(CLEAN($O527)))="ENTREGADO",
IFERROR(
INDEX(REPORTE_DROPI!Y:Y,
MATCH($T527, REPORTE_DROPI!B:B, 0)
),
""
),
""
)
</f>
        <v/>
      </c>
      <c r="F527" s="171">
        <v>1.0</v>
      </c>
      <c r="G527" s="122" t="str">
        <f t="array" ref="G527">IF(
UPPER(TRIM(CLEAN($O527)))="ENTREGADO",
IFERROR(
INDEX(REPORTE_DROPI!R:R,
MATCH($T527, REPORTE_DROPI!B:B, 0)
),
""
),
""
)
</f>
        <v/>
      </c>
      <c r="H527" s="118" t="s">
        <v>3727</v>
      </c>
      <c r="I527" s="154" t="s">
        <v>3882</v>
      </c>
      <c r="J527" s="121" t="str">
        <f t="array" ref="J527">IF(
UPPER(TRIM(CLEAN($O527)))="ENTREGADO",
IFERROR(
INDEX(REPORTE_DROPI!T:T,
MATCH($T527, REPORTE_DROPI!B:B, 0)
),
""
),
""
)
</f>
        <v/>
      </c>
      <c r="K527" s="118" t="str">
        <f t="array" ref="K527">IFERROR(
INDEX(REPORTE_DROPI!S:S,
MATCH($T527, REPORTE_DROPI!B:B, 0)
),
""
)</f>
        <v/>
      </c>
      <c r="L527" s="118" t="str">
        <f>IF(
  O527&lt;&gt;"DEVOLUCION",
  "",
  IF(
    T527="",
    "",
    SUMIF(DEVOLUCION!F:F, T527, DEVOLUCION!D:D)
  )
)
</f>
        <v/>
      </c>
      <c r="M527" s="118" t="s">
        <v>5877</v>
      </c>
      <c r="N527" s="169" t="s">
        <v>7414</v>
      </c>
      <c r="O527" s="118" t="str">
        <f t="array" ref="O527">IFERROR(
VLOOKUP(
TRIM(CLEAN(
INDEX(REPORTE_DROPI!K:K,
MATCH(T527, REPORTE_DROPI!B:B, 0)
))),
{
TRIM(CLEAN(MAPA_ESTADOS!A:A)) ,
MAPA_ESTADOS!B:B
},
2,
FALSE
),
"REVISAR"
)</f>
        <v>PROCESO</v>
      </c>
      <c r="P527" s="154" t="s">
        <v>3655</v>
      </c>
      <c r="Q527" s="153">
        <f t="shared" si="1"/>
        <v>0</v>
      </c>
      <c r="R527" s="172"/>
      <c r="S527" s="172"/>
      <c r="T527" s="118">
        <f t="array" ref="T527">IFERROR(
INDEX(REPORTE_DROPI!B:B,
MATCH(
CLEAN(TRIM(C527)),
CLEAN(TRIM(REPORTE_DROPI!E:E)),
0
)
),
""
)
</f>
        <v>4538885</v>
      </c>
      <c r="U527" s="169" t="s">
        <v>7415</v>
      </c>
      <c r="V527" s="166"/>
      <c r="W527" s="18"/>
      <c r="X527" s="18"/>
      <c r="Y527" s="18"/>
      <c r="Z527" s="18"/>
    </row>
    <row r="528" ht="22.5" hidden="1" customHeight="1">
      <c r="A528" s="169">
        <v>527.0</v>
      </c>
      <c r="B528" s="170">
        <v>46071.0</v>
      </c>
      <c r="C528" s="154" t="s">
        <v>7416</v>
      </c>
      <c r="D528" s="118" t="str">
        <f>IFERROR(__xludf.DUMMYFUNCTION("IFERROR( INDEX( FILTER( 'NOMBRE DE PRODUCTOS'!B:B, REGEXMATCH( UPPER( INDEX( REPORTE_DROPI!AC:AC, MATCH(T528, REPORTE_DROPI!B:B, 0) ) ), UPPER('NOMBRE DE PRODUCTOS'!A:A) ) ), 1 ), ""REVISAR"" )"),"FilmPro®")</f>
        <v>FilmPro®</v>
      </c>
      <c r="E528" s="120">
        <f t="array" ref="E528">IF(
UPPER(TRIM(CLEAN($O528)))="ENTREGADO",
IFERROR(
INDEX(REPORTE_DROPI!Y:Y,
MATCH($T528, REPORTE_DROPI!B:B, 0)
),
""
),
""
)
</f>
        <v>7.2</v>
      </c>
      <c r="F528" s="171">
        <v>3.0</v>
      </c>
      <c r="G528" s="122">
        <f t="array" ref="G528">IF(
UPPER(TRIM(CLEAN($O528)))="ENTREGADO",
IFERROR(
INDEX(REPORTE_DROPI!R:R,
MATCH($T528, REPORTE_DROPI!B:B, 0)
),
""
),
""
)
</f>
        <v>30</v>
      </c>
      <c r="H528" s="118" t="s">
        <v>3727</v>
      </c>
      <c r="I528" s="154" t="s">
        <v>3731</v>
      </c>
      <c r="J528" s="121">
        <f t="array" ref="J528">IF(
UPPER(TRIM(CLEAN($O528)))="ENTREGADO",
IFERROR(
INDEX(REPORTE_DROPI!T:T,
MATCH($T528, REPORTE_DROPI!B:B, 0)
),
""
),
""
)
</f>
        <v>6.16</v>
      </c>
      <c r="K528" s="118">
        <f t="array" ref="K528">IFERROR(
INDEX(REPORTE_DROPI!S:S,
MATCH($T528, REPORTE_DROPI!B:B, 0)
),
""
)</f>
        <v>16.64</v>
      </c>
      <c r="L528" s="118" t="str">
        <f>IF(
  O528&lt;&gt;"DEVOLUCION",
  "",
  IF(
    T528="",
    "",
    SUMIF(DEVOLUCION!F:F, T528, DEVOLUCION!D:D)
  )
)
</f>
        <v/>
      </c>
      <c r="M528" s="118" t="s">
        <v>5877</v>
      </c>
      <c r="N528" s="169" t="s">
        <v>7417</v>
      </c>
      <c r="O528" s="118" t="str">
        <f t="array" ref="O528">IFERROR(
VLOOKUP(
TRIM(CLEAN(
INDEX(REPORTE_DROPI!K:K,
MATCH(T528, REPORTE_DROPI!B:B, 0)
))),
{
TRIM(CLEAN(MAPA_ESTADOS!A:A)) ,
MAPA_ESTADOS!B:B
},
2,
FALSE
),
"REVISAR"
)</f>
        <v>ENTREGADO</v>
      </c>
      <c r="P528" s="154" t="s">
        <v>5692</v>
      </c>
      <c r="Q528" s="153">
        <f t="shared" si="1"/>
        <v>0</v>
      </c>
      <c r="R528" s="172"/>
      <c r="S528" s="172"/>
      <c r="T528" s="118">
        <f t="array" ref="T528">IFERROR(
INDEX(REPORTE_DROPI!B:B,
MATCH(
CLEAN(TRIM(C528)),
CLEAN(TRIM(REPORTE_DROPI!E:E)),
0
)
),
""
)
</f>
        <v>4539167</v>
      </c>
      <c r="U528" s="173">
        <v>1.57100135216E11</v>
      </c>
      <c r="V528" s="166"/>
      <c r="W528" s="18"/>
      <c r="X528" s="18"/>
      <c r="Y528" s="18"/>
      <c r="Z528" s="18"/>
    </row>
    <row r="529" ht="22.5" hidden="1" customHeight="1">
      <c r="A529" s="169">
        <v>528.0</v>
      </c>
      <c r="B529" s="170">
        <v>46071.0</v>
      </c>
      <c r="C529" s="154" t="s">
        <v>7418</v>
      </c>
      <c r="D529" s="118" t="str">
        <f>IFERROR(__xludf.DUMMYFUNCTION("IFERROR( INDEX( FILTER( 'NOMBRE DE PRODUCTOS'!B:B, REGEXMATCH( UPPER( INDEX( REPORTE_DROPI!AC:AC, MATCH(T529, REPORTE_DROPI!B:B, 0) ) ), UPPER('NOMBRE DE PRODUCTOS'!A:A) ) ), 1 ), ""REVISAR"" )"),"FilmPro®")</f>
        <v>FilmPro®</v>
      </c>
      <c r="E529" s="120">
        <f t="array" ref="E529">IF(
UPPER(TRIM(CLEAN($O529)))="ENTREGADO",
IFERROR(
INDEX(REPORTE_DROPI!Y:Y,
MATCH($T529, REPORTE_DROPI!B:B, 0)
),
""
),
""
)
</f>
        <v>7.2</v>
      </c>
      <c r="F529" s="171">
        <v>3.0</v>
      </c>
      <c r="G529" s="122">
        <f t="array" ref="G529">IF(
UPPER(TRIM(CLEAN($O529)))="ENTREGADO",
IFERROR(
INDEX(REPORTE_DROPI!R:R,
MATCH($T529, REPORTE_DROPI!B:B, 0)
),
""
),
""
)
</f>
        <v>30</v>
      </c>
      <c r="H529" s="118" t="s">
        <v>3727</v>
      </c>
      <c r="I529" s="154" t="s">
        <v>3731</v>
      </c>
      <c r="J529" s="121">
        <f t="array" ref="J529">IF(
UPPER(TRIM(CLEAN($O529)))="ENTREGADO",
IFERROR(
INDEX(REPORTE_DROPI!T:T,
MATCH($T529, REPORTE_DROPI!B:B, 0)
),
""
),
""
)
</f>
        <v>6.16</v>
      </c>
      <c r="K529" s="118">
        <f t="array" ref="K529">IFERROR(
INDEX(REPORTE_DROPI!S:S,
MATCH($T529, REPORTE_DROPI!B:B, 0)
),
""
)</f>
        <v>16.64</v>
      </c>
      <c r="L529" s="118" t="str">
        <f>IF(
  O529&lt;&gt;"DEVOLUCION",
  "",
  IF(
    T529="",
    "",
    SUMIF(DEVOLUCION!F:F, T529, DEVOLUCION!D:D)
  )
)
</f>
        <v/>
      </c>
      <c r="M529" s="118" t="s">
        <v>5877</v>
      </c>
      <c r="N529" s="169" t="s">
        <v>7419</v>
      </c>
      <c r="O529" s="118" t="str">
        <f t="array" ref="O529">IFERROR(
VLOOKUP(
TRIM(CLEAN(
INDEX(REPORTE_DROPI!K:K,
MATCH(T529, REPORTE_DROPI!B:B, 0)
))),
{
TRIM(CLEAN(MAPA_ESTADOS!A:A)) ,
MAPA_ESTADOS!B:B
},
2,
FALSE
),
"REVISAR"
)</f>
        <v>ENTREGADO</v>
      </c>
      <c r="P529" s="154" t="s">
        <v>5692</v>
      </c>
      <c r="Q529" s="153">
        <f t="shared" si="1"/>
        <v>0</v>
      </c>
      <c r="R529" s="172"/>
      <c r="S529" s="172"/>
      <c r="T529" s="118">
        <f t="array" ref="T529">IFERROR(
INDEX(REPORTE_DROPI!B:B,
MATCH(
CLEAN(TRIM(C529)),
CLEAN(TRIM(REPORTE_DROPI!E:E)),
0
)
),
""
)
</f>
        <v>4539516</v>
      </c>
      <c r="U529" s="169" t="s">
        <v>7420</v>
      </c>
      <c r="V529" s="166"/>
      <c r="W529" s="18"/>
      <c r="X529" s="18"/>
      <c r="Y529" s="18"/>
      <c r="Z529" s="18"/>
    </row>
    <row r="530" ht="22.5" hidden="1" customHeight="1">
      <c r="A530" s="169">
        <v>529.0</v>
      </c>
      <c r="B530" s="170">
        <v>46071.0</v>
      </c>
      <c r="C530" s="154" t="s">
        <v>7421</v>
      </c>
      <c r="D530" s="118" t="str">
        <f>IFERROR(__xludf.DUMMYFUNCTION("IFERROR( INDEX( FILTER( 'NOMBRE DE PRODUCTOS'!B:B, REGEXMATCH( UPPER( INDEX( REPORTE_DROPI!AC:AC, MATCH(T530, REPORTE_DROPI!B:B, 0) ) ), UPPER('NOMBRE DE PRODUCTOS'!A:A) ) ), 1 ), ""REVISAR"" )"),"FilmPro®")</f>
        <v>FilmPro®</v>
      </c>
      <c r="E530" s="120">
        <f t="array" ref="E530">IF(
UPPER(TRIM(CLEAN($O530)))="ENTREGADO",
IFERROR(
INDEX(REPORTE_DROPI!Y:Y,
MATCH($T530, REPORTE_DROPI!B:B, 0)
),
""
),
""
)
</f>
        <v>7.2</v>
      </c>
      <c r="F530" s="171">
        <v>3.0</v>
      </c>
      <c r="G530" s="122">
        <f t="array" ref="G530">IF(
UPPER(TRIM(CLEAN($O530)))="ENTREGADO",
IFERROR(
INDEX(REPORTE_DROPI!R:R,
MATCH($T530, REPORTE_DROPI!B:B, 0)
),
""
),
""
)
</f>
        <v>30</v>
      </c>
      <c r="H530" s="118" t="s">
        <v>3727</v>
      </c>
      <c r="I530" s="154" t="s">
        <v>3772</v>
      </c>
      <c r="J530" s="121">
        <f t="array" ref="J530">IF(
UPPER(TRIM(CLEAN($O530)))="ENTREGADO",
IFERROR(
INDEX(REPORTE_DROPI!T:T,
MATCH($T530, REPORTE_DROPI!B:B, 0)
),
""
),
""
)
</f>
        <v>6.16</v>
      </c>
      <c r="K530" s="118">
        <f t="array" ref="K530">IFERROR(
INDEX(REPORTE_DROPI!S:S,
MATCH($T530, REPORTE_DROPI!B:B, 0)
),
""
)</f>
        <v>16.64</v>
      </c>
      <c r="L530" s="118" t="str">
        <f>IF(
  O530&lt;&gt;"DEVOLUCION",
  "",
  IF(
    T530="",
    "",
    SUMIF(DEVOLUCION!F:F, T530, DEVOLUCION!D:D)
  )
)
</f>
        <v/>
      </c>
      <c r="M530" s="118" t="s">
        <v>5877</v>
      </c>
      <c r="N530" s="169" t="s">
        <v>7422</v>
      </c>
      <c r="O530" s="118" t="str">
        <f t="array" ref="O530">IFERROR(
VLOOKUP(
TRIM(CLEAN(
INDEX(REPORTE_DROPI!K:K,
MATCH(T530, REPORTE_DROPI!B:B, 0)
))),
{
TRIM(CLEAN(MAPA_ESTADOS!A:A)) ,
MAPA_ESTADOS!B:B
},
2,
FALSE
),
"REVISAR"
)</f>
        <v>ENTREGADO</v>
      </c>
      <c r="P530" s="154" t="s">
        <v>5692</v>
      </c>
      <c r="Q530" s="153">
        <f t="shared" si="1"/>
        <v>0</v>
      </c>
      <c r="R530" s="172"/>
      <c r="S530" s="172"/>
      <c r="T530" s="118">
        <f t="array" ref="T530">IFERROR(
INDEX(REPORTE_DROPI!B:B,
MATCH(
CLEAN(TRIM(C530)),
CLEAN(TRIM(REPORTE_DROPI!E:E)),
0
)
),
""
)
</f>
        <v>4539537</v>
      </c>
      <c r="U530" s="169" t="s">
        <v>7423</v>
      </c>
      <c r="V530" s="166"/>
      <c r="W530" s="18"/>
      <c r="X530" s="18"/>
      <c r="Y530" s="18"/>
      <c r="Z530" s="18"/>
    </row>
    <row r="531" ht="22.5" hidden="1" customHeight="1">
      <c r="A531" s="169">
        <v>530.0</v>
      </c>
      <c r="B531" s="170">
        <v>46071.0</v>
      </c>
      <c r="C531" s="154" t="s">
        <v>7424</v>
      </c>
      <c r="D531" s="118" t="str">
        <f>IFERROR(__xludf.DUMMYFUNCTION("IFERROR( INDEX( FILTER( 'NOMBRE DE PRODUCTOS'!B:B, REGEXMATCH( UPPER( INDEX( REPORTE_DROPI!AC:AC, MATCH(T531, REPORTE_DROPI!B:B, 0) ) ), UPPER('NOMBRE DE PRODUCTOS'!A:A) ) ), 1 ), ""REVISAR"" )"),"FilmPro®")</f>
        <v>FilmPro®</v>
      </c>
      <c r="E531" s="120" t="str">
        <f t="array" ref="E531">IF(
UPPER(TRIM(CLEAN($O531)))="ENTREGADO",
IFERROR(
INDEX(REPORTE_DROPI!Y:Y,
MATCH($T531, REPORTE_DROPI!B:B, 0)
),
""
),
""
)
</f>
        <v/>
      </c>
      <c r="F531" s="171">
        <v>1.0</v>
      </c>
      <c r="G531" s="122" t="str">
        <f t="array" ref="G531">IF(
UPPER(TRIM(CLEAN($O531)))="ENTREGADO",
IFERROR(
INDEX(REPORTE_DROPI!R:R,
MATCH($T531, REPORTE_DROPI!B:B, 0)
),
""
),
""
)
</f>
        <v/>
      </c>
      <c r="H531" s="118" t="s">
        <v>3727</v>
      </c>
      <c r="I531" s="154" t="s">
        <v>3855</v>
      </c>
      <c r="J531" s="121" t="str">
        <f t="array" ref="J531">IF(
UPPER(TRIM(CLEAN($O531)))="ENTREGADO",
IFERROR(
INDEX(REPORTE_DROPI!T:T,
MATCH($T531, REPORTE_DROPI!B:B, 0)
),
""
),
""
)
</f>
        <v/>
      </c>
      <c r="K531" s="118" t="str">
        <f t="array" ref="K531">IFERROR(
INDEX(REPORTE_DROPI!S:S,
MATCH($T531, REPORTE_DROPI!B:B, 0)
),
""
)</f>
        <v/>
      </c>
      <c r="L531" s="118">
        <f>IF(
  O531&lt;&gt;"DEVOLUCION",
  "",
  IF(
    T531="",
    "",
    SUMIF(DEVOLUCION!F:F, T531, DEVOLUCION!D:D)
  )
)
</f>
        <v>0</v>
      </c>
      <c r="M531" s="118" t="s">
        <v>5877</v>
      </c>
      <c r="N531" s="169" t="s">
        <v>7425</v>
      </c>
      <c r="O531" s="118" t="str">
        <f t="array" ref="O531">IFERROR(
VLOOKUP(
TRIM(CLEAN(
INDEX(REPORTE_DROPI!K:K,
MATCH(T531, REPORTE_DROPI!B:B, 0)
))),
{
TRIM(CLEAN(MAPA_ESTADOS!A:A)) ,
MAPA_ESTADOS!B:B
},
2,
FALSE
),
"REVISAR"
)</f>
        <v>DEVOLUCION</v>
      </c>
      <c r="P531" s="154" t="s">
        <v>3655</v>
      </c>
      <c r="Q531" s="153">
        <f t="shared" si="1"/>
        <v>0</v>
      </c>
      <c r="R531" s="172"/>
      <c r="S531" s="172"/>
      <c r="T531" s="118">
        <f t="array" ref="T531">IFERROR(
INDEX(REPORTE_DROPI!B:B,
MATCH(
CLEAN(TRIM(C531)),
CLEAN(TRIM(REPORTE_DROPI!E:E)),
0
)
),
""
)
</f>
        <v>4543607</v>
      </c>
      <c r="U531" s="169" t="s">
        <v>7426</v>
      </c>
      <c r="V531" s="166"/>
      <c r="W531" s="18"/>
      <c r="X531" s="18"/>
      <c r="Y531" s="18"/>
      <c r="Z531" s="18"/>
    </row>
    <row r="532" ht="22.5" hidden="1" customHeight="1">
      <c r="A532" s="169">
        <v>531.0</v>
      </c>
      <c r="B532" s="170">
        <v>46071.0</v>
      </c>
      <c r="C532" s="154" t="s">
        <v>7427</v>
      </c>
      <c r="D532" s="118" t="str">
        <f>IFERROR(__xludf.DUMMYFUNCTION("IFERROR( INDEX( FILTER( 'NOMBRE DE PRODUCTOS'!B:B, REGEXMATCH( UPPER( INDEX( REPORTE_DROPI!AC:AC, MATCH(T532, REPORTE_DROPI!B:B, 0) ) ), UPPER('NOMBRE DE PRODUCTOS'!A:A) ) ), 1 ), ""REVISAR"" )"),"FilmPro®")</f>
        <v>FilmPro®</v>
      </c>
      <c r="E532" s="120">
        <f t="array" ref="E532">IF(
UPPER(TRIM(CLEAN($O532)))="ENTREGADO",
IFERROR(
INDEX(REPORTE_DROPI!Y:Y,
MATCH($T532, REPORTE_DROPI!B:B, 0)
),
""
),
""
)
</f>
        <v>7.2</v>
      </c>
      <c r="F532" s="171">
        <v>3.0</v>
      </c>
      <c r="G532" s="122">
        <f t="array" ref="G532">IF(
UPPER(TRIM(CLEAN($O532)))="ENTREGADO",
IFERROR(
INDEX(REPORTE_DROPI!R:R,
MATCH($T532, REPORTE_DROPI!B:B, 0)
),
""
),
""
)
</f>
        <v>30</v>
      </c>
      <c r="H532" s="118" t="s">
        <v>3727</v>
      </c>
      <c r="I532" s="154" t="s">
        <v>3740</v>
      </c>
      <c r="J532" s="121">
        <f t="array" ref="J532">IF(
UPPER(TRIM(CLEAN($O532)))="ENTREGADO",
IFERROR(
INDEX(REPORTE_DROPI!T:T,
MATCH($T532, REPORTE_DROPI!B:B, 0)
),
""
),
""
)
</f>
        <v>4.89</v>
      </c>
      <c r="K532" s="118">
        <f t="array" ref="K532">IFERROR(
INDEX(REPORTE_DROPI!S:S,
MATCH($T532, REPORTE_DROPI!B:B, 0)
),
""
)</f>
        <v>17.91</v>
      </c>
      <c r="L532" s="118" t="str">
        <f>IF(
  O532&lt;&gt;"DEVOLUCION",
  "",
  IF(
    T532="",
    "",
    SUMIF(DEVOLUCION!F:F, T532, DEVOLUCION!D:D)
  )
)
</f>
        <v/>
      </c>
      <c r="M532" s="118" t="s">
        <v>5877</v>
      </c>
      <c r="N532" s="169" t="s">
        <v>7428</v>
      </c>
      <c r="O532" s="118" t="str">
        <f t="array" ref="O532">IFERROR(
VLOOKUP(
TRIM(CLEAN(
INDEX(REPORTE_DROPI!K:K,
MATCH(T532, REPORTE_DROPI!B:B, 0)
))),
{
TRIM(CLEAN(MAPA_ESTADOS!A:A)) ,
MAPA_ESTADOS!B:B
},
2,
FALSE
),
"REVISAR"
)</f>
        <v>ENTREGADO</v>
      </c>
      <c r="P532" s="154" t="s">
        <v>5692</v>
      </c>
      <c r="Q532" s="153">
        <f t="shared" si="1"/>
        <v>0</v>
      </c>
      <c r="R532" s="172"/>
      <c r="S532" s="172"/>
      <c r="T532" s="118">
        <f t="array" ref="T532">IFERROR(
INDEX(REPORTE_DROPI!B:B,
MATCH(
CLEAN(TRIM(C532)),
CLEAN(TRIM(REPORTE_DROPI!E:E)),
0
)
),
""
)
</f>
        <v>4550133</v>
      </c>
      <c r="U532" s="169" t="s">
        <v>7429</v>
      </c>
      <c r="V532" s="166"/>
      <c r="W532" s="18"/>
      <c r="X532" s="18"/>
      <c r="Y532" s="18"/>
      <c r="Z532" s="18"/>
    </row>
    <row r="533" ht="22.5" hidden="1" customHeight="1">
      <c r="A533" s="169">
        <v>532.0</v>
      </c>
      <c r="B533" s="170">
        <v>46071.0</v>
      </c>
      <c r="C533" s="154" t="s">
        <v>7430</v>
      </c>
      <c r="D533" s="118" t="str">
        <f>IFERROR(__xludf.DUMMYFUNCTION("IFERROR( INDEX( FILTER( 'NOMBRE DE PRODUCTOS'!B:B, REGEXMATCH( UPPER( INDEX( REPORTE_DROPI!AC:AC, MATCH(T533, REPORTE_DROPI!B:B, 0) ) ), UPPER('NOMBRE DE PRODUCTOS'!A:A) ) ), 1 ), ""REVISAR"" )"),"FilmPro®")</f>
        <v>FilmPro®</v>
      </c>
      <c r="E533" s="120">
        <f t="array" ref="E533">IF(
UPPER(TRIM(CLEAN($O533)))="ENTREGADO",
IFERROR(
INDEX(REPORTE_DROPI!Y:Y,
MATCH($T533, REPORTE_DROPI!B:B, 0)
),
""
),
""
)
</f>
        <v>7.2</v>
      </c>
      <c r="F533" s="171">
        <v>3.0</v>
      </c>
      <c r="G533" s="122">
        <f t="array" ref="G533">IF(
UPPER(TRIM(CLEAN($O533)))="ENTREGADO",
IFERROR(
INDEX(REPORTE_DROPI!R:R,
MATCH($T533, REPORTE_DROPI!B:B, 0)
),
""
),
""
)
</f>
        <v>30</v>
      </c>
      <c r="H533" s="118" t="s">
        <v>3727</v>
      </c>
      <c r="I533" s="154" t="s">
        <v>3778</v>
      </c>
      <c r="J533" s="121">
        <f t="array" ref="J533">IF(
UPPER(TRIM(CLEAN($O533)))="ENTREGADO",
IFERROR(
INDEX(REPORTE_DROPI!T:T,
MATCH($T533, REPORTE_DROPI!B:B, 0)
),
""
),
""
)
</f>
        <v>6.16</v>
      </c>
      <c r="K533" s="118">
        <f t="array" ref="K533">IFERROR(
INDEX(REPORTE_DROPI!S:S,
MATCH($T533, REPORTE_DROPI!B:B, 0)
),
""
)</f>
        <v>16.64</v>
      </c>
      <c r="L533" s="118" t="str">
        <f>IF(
  O533&lt;&gt;"DEVOLUCION",
  "",
  IF(
    T533="",
    "",
    SUMIF(DEVOLUCION!F:F, T533, DEVOLUCION!D:D)
  )
)
</f>
        <v/>
      </c>
      <c r="M533" s="118" t="s">
        <v>5877</v>
      </c>
      <c r="N533" s="169" t="s">
        <v>7431</v>
      </c>
      <c r="O533" s="118" t="str">
        <f t="array" ref="O533">IFERROR(
VLOOKUP(
TRIM(CLEAN(
INDEX(REPORTE_DROPI!K:K,
MATCH(T533, REPORTE_DROPI!B:B, 0)
))),
{
TRIM(CLEAN(MAPA_ESTADOS!A:A)) ,
MAPA_ESTADOS!B:B
},
2,
FALSE
),
"REVISAR"
)</f>
        <v>ENTREGADO</v>
      </c>
      <c r="P533" s="154" t="s">
        <v>5692</v>
      </c>
      <c r="Q533" s="153">
        <f t="shared" si="1"/>
        <v>0</v>
      </c>
      <c r="R533" s="172"/>
      <c r="S533" s="172"/>
      <c r="T533" s="118">
        <f t="array" ref="T533">IFERROR(
INDEX(REPORTE_DROPI!B:B,
MATCH(
CLEAN(TRIM(C533)),
CLEAN(TRIM(REPORTE_DROPI!E:E)),
0
)
),
""
)
</f>
        <v>4547590</v>
      </c>
      <c r="U533" s="169" t="s">
        <v>7432</v>
      </c>
      <c r="V533" s="166"/>
      <c r="W533" s="18"/>
      <c r="X533" s="18"/>
      <c r="Y533" s="18"/>
      <c r="Z533" s="18"/>
    </row>
    <row r="534" ht="22.5" hidden="1" customHeight="1">
      <c r="A534" s="169">
        <v>533.0</v>
      </c>
      <c r="B534" s="170">
        <v>46071.0</v>
      </c>
      <c r="C534" s="154" t="s">
        <v>7433</v>
      </c>
      <c r="D534" s="118" t="str">
        <f>IFERROR(__xludf.DUMMYFUNCTION("IFERROR( INDEX( FILTER( 'NOMBRE DE PRODUCTOS'!B:B, REGEXMATCH( UPPER( INDEX( REPORTE_DROPI!AC:AC, MATCH(T534, REPORTE_DROPI!B:B, 0) ) ), UPPER('NOMBRE DE PRODUCTOS'!A:A) ) ), 1 ), ""REVISAR"" )"),"FilmPro®")</f>
        <v>FilmPro®</v>
      </c>
      <c r="E534" s="120">
        <f t="array" ref="E534">IF(
UPPER(TRIM(CLEAN($O534)))="ENTREGADO",
IFERROR(
INDEX(REPORTE_DROPI!Y:Y,
MATCH($T534, REPORTE_DROPI!B:B, 0)
),
""
),
""
)
</f>
        <v>2.4</v>
      </c>
      <c r="F534" s="171">
        <v>1.0</v>
      </c>
      <c r="G534" s="122">
        <f t="array" ref="G534">IF(
UPPER(TRIM(CLEAN($O534)))="ENTREGADO",
IFERROR(
INDEX(REPORTE_DROPI!R:R,
MATCH($T534, REPORTE_DROPI!B:B, 0)
),
""
),
""
)
</f>
        <v>20</v>
      </c>
      <c r="H534" s="118" t="s">
        <v>3727</v>
      </c>
      <c r="I534" s="154" t="s">
        <v>3740</v>
      </c>
      <c r="J534" s="121">
        <f t="array" ref="J534">IF(
UPPER(TRIM(CLEAN($O534)))="ENTREGADO",
IFERROR(
INDEX(REPORTE_DROPI!T:T,
MATCH($T534, REPORTE_DROPI!B:B, 0)
),
""
),
""
)
</f>
        <v>4.15</v>
      </c>
      <c r="K534" s="118">
        <f t="array" ref="K534">IFERROR(
INDEX(REPORTE_DROPI!S:S,
MATCH($T534, REPORTE_DROPI!B:B, 0)
),
""
)</f>
        <v>13.45</v>
      </c>
      <c r="L534" s="118" t="str">
        <f>IF(
  O534&lt;&gt;"DEVOLUCION",
  "",
  IF(
    T534="",
    "",
    SUMIF(DEVOLUCION!F:F, T534, DEVOLUCION!D:D)
  )
)
</f>
        <v/>
      </c>
      <c r="M534" s="118" t="s">
        <v>5877</v>
      </c>
      <c r="N534" s="169" t="s">
        <v>7434</v>
      </c>
      <c r="O534" s="118" t="str">
        <f t="array" ref="O534">IFERROR(
VLOOKUP(
TRIM(CLEAN(
INDEX(REPORTE_DROPI!K:K,
MATCH(T534, REPORTE_DROPI!B:B, 0)
))),
{
TRIM(CLEAN(MAPA_ESTADOS!A:A)) ,
MAPA_ESTADOS!B:B
},
2,
FALSE
),
"REVISAR"
)</f>
        <v>ENTREGADO</v>
      </c>
      <c r="P534" s="154" t="s">
        <v>3655</v>
      </c>
      <c r="Q534" s="153">
        <f t="shared" si="1"/>
        <v>0</v>
      </c>
      <c r="R534" s="172"/>
      <c r="S534" s="172"/>
      <c r="T534" s="118">
        <f t="array" ref="T534">IFERROR(
INDEX(REPORTE_DROPI!B:B,
MATCH(
CLEAN(TRIM(C534)),
CLEAN(TRIM(REPORTE_DROPI!E:E)),
0
)
),
""
)
</f>
        <v>4550182</v>
      </c>
      <c r="U534" s="169" t="s">
        <v>7435</v>
      </c>
      <c r="V534" s="166"/>
      <c r="W534" s="18"/>
      <c r="X534" s="18"/>
      <c r="Y534" s="18"/>
      <c r="Z534" s="18"/>
    </row>
    <row r="535" ht="22.5" hidden="1" customHeight="1">
      <c r="A535" s="169">
        <v>534.0</v>
      </c>
      <c r="B535" s="170">
        <v>46071.0</v>
      </c>
      <c r="C535" s="154" t="s">
        <v>7436</v>
      </c>
      <c r="D535" s="118" t="str">
        <f>IFERROR(__xludf.DUMMYFUNCTION("IFERROR( INDEX( FILTER( 'NOMBRE DE PRODUCTOS'!B:B, REGEXMATCH( UPPER( INDEX( REPORTE_DROPI!AC:AC, MATCH(T535, REPORTE_DROPI!B:B, 0) ) ), UPPER('NOMBRE DE PRODUCTOS'!A:A) ) ), 1 ), ""REVISAR"" )"),"FilmPro®")</f>
        <v>FilmPro®</v>
      </c>
      <c r="E535" s="120">
        <f t="array" ref="E535">IF(
UPPER(TRIM(CLEAN($O535)))="ENTREGADO",
IFERROR(
INDEX(REPORTE_DROPI!Y:Y,
MATCH($T535, REPORTE_DROPI!B:B, 0)
),
""
),
""
)
</f>
        <v>7.2</v>
      </c>
      <c r="F535" s="171">
        <v>3.0</v>
      </c>
      <c r="G535" s="122">
        <f t="array" ref="G535">IF(
UPPER(TRIM(CLEAN($O535)))="ENTREGADO",
IFERROR(
INDEX(REPORTE_DROPI!R:R,
MATCH($T535, REPORTE_DROPI!B:B, 0)
),
""
),
""
)
</f>
        <v>30</v>
      </c>
      <c r="H535" s="118" t="s">
        <v>3727</v>
      </c>
      <c r="I535" s="154" t="s">
        <v>3759</v>
      </c>
      <c r="J535" s="121">
        <f t="array" ref="J535">IF(
UPPER(TRIM(CLEAN($O535)))="ENTREGADO",
IFERROR(
INDEX(REPORTE_DROPI!T:T,
MATCH($T535, REPORTE_DROPI!B:B, 0)
),
""
),
""
)
</f>
        <v>6.16</v>
      </c>
      <c r="K535" s="118">
        <f t="array" ref="K535">IFERROR(
INDEX(REPORTE_DROPI!S:S,
MATCH($T535, REPORTE_DROPI!B:B, 0)
),
""
)</f>
        <v>16.64</v>
      </c>
      <c r="L535" s="118" t="str">
        <f>IF(
  O535&lt;&gt;"DEVOLUCION",
  "",
  IF(
    T535="",
    "",
    SUMIF(DEVOLUCION!F:F, T535, DEVOLUCION!D:D)
  )
)
</f>
        <v/>
      </c>
      <c r="M535" s="118" t="s">
        <v>5877</v>
      </c>
      <c r="N535" s="169" t="s">
        <v>7437</v>
      </c>
      <c r="O535" s="118" t="str">
        <f t="array" ref="O535">IFERROR(
VLOOKUP(
TRIM(CLEAN(
INDEX(REPORTE_DROPI!K:K,
MATCH(T535, REPORTE_DROPI!B:B, 0)
))),
{
TRIM(CLEAN(MAPA_ESTADOS!A:A)) ,
MAPA_ESTADOS!B:B
},
2,
FALSE
),
"REVISAR"
)</f>
        <v>ENTREGADO</v>
      </c>
      <c r="P535" s="154" t="s">
        <v>6481</v>
      </c>
      <c r="Q535" s="153">
        <f t="shared" si="1"/>
        <v>0</v>
      </c>
      <c r="R535" s="172"/>
      <c r="S535" s="172"/>
      <c r="T535" s="118">
        <f t="array" ref="T535">IFERROR(
INDEX(REPORTE_DROPI!B:B,
MATCH(
CLEAN(TRIM(C535)),
CLEAN(TRIM(REPORTE_DROPI!E:E)),
0
)
),
""
)
</f>
        <v>4550422</v>
      </c>
      <c r="U535" s="169" t="s">
        <v>7438</v>
      </c>
      <c r="V535" s="166"/>
      <c r="W535" s="18"/>
      <c r="X535" s="18"/>
      <c r="Y535" s="18"/>
      <c r="Z535" s="18"/>
    </row>
    <row r="536" ht="22.5" hidden="1" customHeight="1">
      <c r="A536" s="169">
        <v>535.0</v>
      </c>
      <c r="B536" s="170">
        <v>46072.0</v>
      </c>
      <c r="C536" s="154" t="s">
        <v>7439</v>
      </c>
      <c r="D536" s="118" t="str">
        <f>IFERROR(__xludf.DUMMYFUNCTION("IFERROR( INDEX( FILTER( 'NOMBRE DE PRODUCTOS'!B:B, REGEXMATCH( UPPER( INDEX( REPORTE_DROPI!AC:AC, MATCH(T536, REPORTE_DROPI!B:B, 0) ) ), UPPER('NOMBRE DE PRODUCTOS'!A:A) ) ), 1 ), ""REVISAR"" )"),"FilmPro®")</f>
        <v>FilmPro®</v>
      </c>
      <c r="E536" s="120">
        <f t="array" ref="E536">IF(
UPPER(TRIM(CLEAN($O536)))="ENTREGADO",
IFERROR(
INDEX(REPORTE_DROPI!Y:Y,
MATCH($T536, REPORTE_DROPI!B:B, 0)
),
""
),
""
)
</f>
        <v>4.8</v>
      </c>
      <c r="F536" s="171">
        <v>2.0</v>
      </c>
      <c r="G536" s="122">
        <f t="array" ref="G536">IF(
UPPER(TRIM(CLEAN($O536)))="ENTREGADO",
IFERROR(
INDEX(REPORTE_DROPI!R:R,
MATCH($T536, REPORTE_DROPI!B:B, 0)
),
""
),
""
)
</f>
        <v>25</v>
      </c>
      <c r="H536" s="118" t="s">
        <v>3727</v>
      </c>
      <c r="I536" s="154" t="s">
        <v>3731</v>
      </c>
      <c r="J536" s="121">
        <f t="array" ref="J536">IF(
UPPER(TRIM(CLEAN($O536)))="ENTREGADO",
IFERROR(
INDEX(REPORTE_DROPI!T:T,
MATCH($T536, REPORTE_DROPI!B:B, 0)
),
""
),
""
)
</f>
        <v>5.96</v>
      </c>
      <c r="K536" s="118">
        <f t="array" ref="K536">IFERROR(
INDEX(REPORTE_DROPI!S:S,
MATCH($T536, REPORTE_DROPI!B:B, 0)
),
""
)</f>
        <v>14.24</v>
      </c>
      <c r="L536" s="118" t="str">
        <f>IF(
  O536&lt;&gt;"DEVOLUCION",
  "",
  IF(
    T536="",
    "",
    SUMIF(DEVOLUCION!F:F, T536, DEVOLUCION!D:D)
  )
)
</f>
        <v/>
      </c>
      <c r="M536" s="118" t="s">
        <v>5877</v>
      </c>
      <c r="N536" s="169" t="s">
        <v>7440</v>
      </c>
      <c r="O536" s="118" t="str">
        <f t="array" ref="O536">IFERROR(
VLOOKUP(
TRIM(CLEAN(
INDEX(REPORTE_DROPI!K:K,
MATCH(T536, REPORTE_DROPI!B:B, 0)
))),
{
TRIM(CLEAN(MAPA_ESTADOS!A:A)) ,
MAPA_ESTADOS!B:B
},
2,
FALSE
),
"REVISAR"
)</f>
        <v>ENTREGADO</v>
      </c>
      <c r="P536" s="154" t="s">
        <v>5692</v>
      </c>
      <c r="Q536" s="153">
        <f t="shared" si="1"/>
        <v>0</v>
      </c>
      <c r="R536" s="172"/>
      <c r="S536" s="172"/>
      <c r="T536" s="118">
        <f t="array" ref="T536">IFERROR(
INDEX(REPORTE_DROPI!B:B,
MATCH(
CLEAN(TRIM(C536)),
CLEAN(TRIM(REPORTE_DROPI!E:E)),
0
)
),
""
)
</f>
        <v>4551240</v>
      </c>
      <c r="U536" s="169" t="s">
        <v>7441</v>
      </c>
      <c r="V536" s="166"/>
      <c r="W536" s="18"/>
      <c r="X536" s="18"/>
      <c r="Y536" s="18"/>
      <c r="Z536" s="18"/>
    </row>
    <row r="537" ht="22.5" hidden="1" customHeight="1">
      <c r="A537" s="169">
        <v>536.0</v>
      </c>
      <c r="B537" s="170">
        <v>46072.0</v>
      </c>
      <c r="C537" s="154" t="s">
        <v>7442</v>
      </c>
      <c r="D537" s="118" t="str">
        <f>IFERROR(__xludf.DUMMYFUNCTION("IFERROR( INDEX( FILTER( 'NOMBRE DE PRODUCTOS'!B:B, REGEXMATCH( UPPER( INDEX( REPORTE_DROPI!AC:AC, MATCH(T537, REPORTE_DROPI!B:B, 0) ) ), UPPER('NOMBRE DE PRODUCTOS'!A:A) ) ), 1 ), ""REVISAR"" )"),"FilmPro®")</f>
        <v>FilmPro®</v>
      </c>
      <c r="E537" s="120" t="str">
        <f t="array" ref="E537">IF(
UPPER(TRIM(CLEAN($O537)))="ENTREGADO",
IFERROR(
INDEX(REPORTE_DROPI!Y:Y,
MATCH($T537, REPORTE_DROPI!B:B, 0)
),
""
),
""
)
</f>
        <v/>
      </c>
      <c r="F537" s="171">
        <v>2.0</v>
      </c>
      <c r="G537" s="122" t="str">
        <f t="array" ref="G537">IF(
UPPER(TRIM(CLEAN($O537)))="ENTREGADO",
IFERROR(
INDEX(REPORTE_DROPI!R:R,
MATCH($T537, REPORTE_DROPI!B:B, 0)
),
""
),
""
)
</f>
        <v/>
      </c>
      <c r="H537" s="118" t="s">
        <v>3727</v>
      </c>
      <c r="I537" s="154" t="s">
        <v>3784</v>
      </c>
      <c r="J537" s="121" t="str">
        <f t="array" ref="J537">IF(
UPPER(TRIM(CLEAN($O537)))="ENTREGADO",
IFERROR(
INDEX(REPORTE_DROPI!T:T,
MATCH($T537, REPORTE_DROPI!B:B, 0)
),
""
),
""
)
</f>
        <v/>
      </c>
      <c r="K537" s="118" t="str">
        <f t="array" ref="K537">IFERROR(
INDEX(REPORTE_DROPI!S:S,
MATCH($T537, REPORTE_DROPI!B:B, 0)
),
""
)</f>
        <v/>
      </c>
      <c r="L537" s="118">
        <f>IF(
  O537&lt;&gt;"DEVOLUCION",
  "",
  IF(
    T537="",
    "",
    SUMIF(DEVOLUCION!F:F, T537, DEVOLUCION!D:D)
  )
)
</f>
        <v>0</v>
      </c>
      <c r="M537" s="118" t="s">
        <v>5877</v>
      </c>
      <c r="N537" s="169" t="s">
        <v>7443</v>
      </c>
      <c r="O537" s="118" t="str">
        <f t="array" ref="O537">IFERROR(
VLOOKUP(
TRIM(CLEAN(
INDEX(REPORTE_DROPI!K:K,
MATCH(T537, REPORTE_DROPI!B:B, 0)
))),
{
TRIM(CLEAN(MAPA_ESTADOS!A:A)) ,
MAPA_ESTADOS!B:B
},
2,
FALSE
),
"REVISAR"
)</f>
        <v>DEVOLUCION</v>
      </c>
      <c r="P537" s="154" t="s">
        <v>5692</v>
      </c>
      <c r="Q537" s="153">
        <f t="shared" si="1"/>
        <v>0</v>
      </c>
      <c r="R537" s="172"/>
      <c r="S537" s="172"/>
      <c r="T537" s="118">
        <f t="array" ref="T537">IFERROR(
INDEX(REPORTE_DROPI!B:B,
MATCH(
CLEAN(TRIM(C537)),
CLEAN(TRIM(REPORTE_DROPI!E:E)),
0
)
),
""
)
</f>
        <v>4551350</v>
      </c>
      <c r="U537" s="169" t="s">
        <v>7444</v>
      </c>
      <c r="V537" s="166"/>
      <c r="W537" s="18"/>
      <c r="X537" s="18"/>
      <c r="Y537" s="18"/>
      <c r="Z537" s="18"/>
    </row>
    <row r="538" ht="22.5" hidden="1" customHeight="1">
      <c r="A538" s="169">
        <v>537.0</v>
      </c>
      <c r="B538" s="170">
        <v>46072.0</v>
      </c>
      <c r="C538" s="175" t="s">
        <v>7445</v>
      </c>
      <c r="D538" s="118" t="str">
        <f>IFERROR(__xludf.DUMMYFUNCTION("IFERROR( INDEX( FILTER( 'NOMBRE DE PRODUCTOS'!B:B, REGEXMATCH( UPPER( INDEX( REPORTE_DROPI!AC:AC, MATCH(T538, REPORTE_DROPI!B:B, 0) ) ), UPPER('NOMBRE DE PRODUCTOS'!A:A) ) ), 1 ), ""REVISAR"" )"),"FilmPro®")</f>
        <v>FilmPro®</v>
      </c>
      <c r="E538" s="120" t="str">
        <f t="array" ref="E538">IF(
UPPER(TRIM(CLEAN($O538)))="ENTREGADO",
IFERROR(
INDEX(REPORTE_DROPI!Y:Y,
MATCH($T538, REPORTE_DROPI!B:B, 0)
),
""
),
""
)
</f>
        <v/>
      </c>
      <c r="F538" s="171">
        <v>1.0</v>
      </c>
      <c r="G538" s="122" t="str">
        <f t="array" ref="G538">IF(
UPPER(TRIM(CLEAN($O538)))="ENTREGADO",
IFERROR(
INDEX(REPORTE_DROPI!R:R,
MATCH($T538, REPORTE_DROPI!B:B, 0)
),
""
),
""
)
</f>
        <v/>
      </c>
      <c r="H538" s="118" t="s">
        <v>3727</v>
      </c>
      <c r="I538" s="154" t="s">
        <v>3772</v>
      </c>
      <c r="J538" s="121" t="str">
        <f t="array" ref="J538">IF(
UPPER(TRIM(CLEAN($O538)))="ENTREGADO",
IFERROR(
INDEX(REPORTE_DROPI!T:T,
MATCH($T538, REPORTE_DROPI!B:B, 0)
),
""
),
""
)
</f>
        <v/>
      </c>
      <c r="K538" s="118" t="str">
        <f t="array" ref="K538">IFERROR(
INDEX(REPORTE_DROPI!S:S,
MATCH($T538, REPORTE_DROPI!B:B, 0)
),
""
)</f>
        <v/>
      </c>
      <c r="L538" s="118">
        <f>IF(
  O538&lt;&gt;"DEVOLUCION",
  "",
  IF(
    T538="",
    "",
    SUMIF(DEVOLUCION!F:F, T538, DEVOLUCION!D:D)
  )
)
</f>
        <v>0</v>
      </c>
      <c r="M538" s="118" t="s">
        <v>5877</v>
      </c>
      <c r="N538" s="169" t="s">
        <v>7446</v>
      </c>
      <c r="O538" s="118" t="str">
        <f t="array" ref="O538">IFERROR(
VLOOKUP(
TRIM(CLEAN(
INDEX(REPORTE_DROPI!K:K,
MATCH(T538, REPORTE_DROPI!B:B, 0)
))),
{
TRIM(CLEAN(MAPA_ESTADOS!A:A)) ,
MAPA_ESTADOS!B:B
},
2,
FALSE
),
"REVISAR"
)</f>
        <v>DEVOLUCION</v>
      </c>
      <c r="P538" s="154" t="s">
        <v>5692</v>
      </c>
      <c r="Q538" s="153">
        <f t="shared" si="1"/>
        <v>0</v>
      </c>
      <c r="R538" s="172"/>
      <c r="S538" s="172"/>
      <c r="T538" s="118">
        <f t="array" ref="T538">IFERROR(
INDEX(REPORTE_DROPI!B:B,
MATCH(
CLEAN(TRIM(C538)),
CLEAN(TRIM(REPORTE_DROPI!E:E)),
0
)
),
""
)
</f>
        <v>4565056</v>
      </c>
      <c r="U538" s="169"/>
      <c r="V538" s="166"/>
      <c r="W538" s="18"/>
      <c r="X538" s="18"/>
      <c r="Y538" s="18"/>
      <c r="Z538" s="18"/>
    </row>
    <row r="539" ht="22.5" hidden="1" customHeight="1">
      <c r="A539" s="169">
        <v>538.0</v>
      </c>
      <c r="B539" s="170">
        <v>46072.0</v>
      </c>
      <c r="C539" s="154" t="s">
        <v>7447</v>
      </c>
      <c r="D539" s="118" t="str">
        <f>IFERROR(__xludf.DUMMYFUNCTION("IFERROR( INDEX( FILTER( 'NOMBRE DE PRODUCTOS'!B:B, REGEXMATCH( UPPER( INDEX( REPORTE_DROPI!AC:AC, MATCH(T539, REPORTE_DROPI!B:B, 0) ) ), UPPER('NOMBRE DE PRODUCTOS'!A:A) ) ), 1 ), ""REVISAR"" )"),"FilmPro®")</f>
        <v>FilmPro®</v>
      </c>
      <c r="E539" s="120" t="str">
        <f t="array" ref="E539">IF(
UPPER(TRIM(CLEAN($O539)))="ENTREGADO",
IFERROR(
INDEX(REPORTE_DROPI!Y:Y,
MATCH($T539, REPORTE_DROPI!B:B, 0)
),
""
),
""
)
</f>
        <v/>
      </c>
      <c r="F539" s="171">
        <v>2.0</v>
      </c>
      <c r="G539" s="122" t="str">
        <f t="array" ref="G539">IF(
UPPER(TRIM(CLEAN($O539)))="ENTREGADO",
IFERROR(
INDEX(REPORTE_DROPI!R:R,
MATCH($T539, REPORTE_DROPI!B:B, 0)
),
""
),
""
)
</f>
        <v/>
      </c>
      <c r="H539" s="118" t="s">
        <v>3727</v>
      </c>
      <c r="I539" s="154" t="s">
        <v>3731</v>
      </c>
      <c r="J539" s="121" t="str">
        <f t="array" ref="J539">IF(
UPPER(TRIM(CLEAN($O539)))="ENTREGADO",
IFERROR(
INDEX(REPORTE_DROPI!T:T,
MATCH($T539, REPORTE_DROPI!B:B, 0)
),
""
),
""
)
</f>
        <v/>
      </c>
      <c r="K539" s="118" t="str">
        <f t="array" ref="K539">IFERROR(
INDEX(REPORTE_DROPI!S:S,
MATCH($T539, REPORTE_DROPI!B:B, 0)
),
""
)</f>
        <v/>
      </c>
      <c r="L539" s="118" t="str">
        <f>IF(
  O539&lt;&gt;"DEVOLUCION",
  "",
  IF(
    T539="",
    "",
    SUMIF(DEVOLUCION!F:F, T539, DEVOLUCION!D:D)
  )
)
</f>
        <v/>
      </c>
      <c r="M539" s="118" t="s">
        <v>5877</v>
      </c>
      <c r="N539" s="169" t="s">
        <v>7448</v>
      </c>
      <c r="O539" s="118" t="str">
        <f t="array" ref="O539">IFERROR(
VLOOKUP(
TRIM(CLEAN(
INDEX(REPORTE_DROPI!K:K,
MATCH(T539, REPORTE_DROPI!B:B, 0)
))),
{
TRIM(CLEAN(MAPA_ESTADOS!A:A)) ,
MAPA_ESTADOS!B:B
},
2,
FALSE
),
"REVISAR"
)</f>
        <v>PENDIENTE</v>
      </c>
      <c r="P539" s="154" t="s">
        <v>7449</v>
      </c>
      <c r="Q539" s="153">
        <f t="shared" si="1"/>
        <v>0</v>
      </c>
      <c r="R539" s="172"/>
      <c r="S539" s="172"/>
      <c r="T539" s="118">
        <f t="array" ref="T539">IFERROR(
INDEX(REPORTE_DROPI!B:B,
MATCH(
CLEAN(TRIM(C539)),
CLEAN(TRIM(REPORTE_DROPI!E:E)),
0
)
),
""
)
</f>
        <v>4552679</v>
      </c>
      <c r="U539" s="169" t="s">
        <v>7450</v>
      </c>
      <c r="V539" s="166"/>
      <c r="W539" s="18"/>
      <c r="X539" s="18"/>
      <c r="Y539" s="18"/>
      <c r="Z539" s="18"/>
    </row>
    <row r="540" ht="22.5" hidden="1" customHeight="1">
      <c r="A540" s="169">
        <v>539.0</v>
      </c>
      <c r="B540" s="170">
        <v>46072.0</v>
      </c>
      <c r="C540" s="154" t="s">
        <v>7451</v>
      </c>
      <c r="D540" s="118" t="str">
        <f>IFERROR(__xludf.DUMMYFUNCTION("IFERROR( INDEX( FILTER( 'NOMBRE DE PRODUCTOS'!B:B, REGEXMATCH( UPPER( INDEX( REPORTE_DROPI!AC:AC, MATCH(T540, REPORTE_DROPI!B:B, 0) ) ), UPPER('NOMBRE DE PRODUCTOS'!A:A) ) ), 1 ), ""REVISAR"" )"),"FilmPro®")</f>
        <v>FilmPro®</v>
      </c>
      <c r="E540" s="120">
        <f t="array" ref="E540">IF(
UPPER(TRIM(CLEAN($O540)))="ENTREGADO",
IFERROR(
INDEX(REPORTE_DROPI!Y:Y,
MATCH($T540, REPORTE_DROPI!B:B, 0)
),
""
),
""
)
</f>
        <v>2.4</v>
      </c>
      <c r="F540" s="171">
        <v>1.0</v>
      </c>
      <c r="G540" s="122">
        <f t="array" ref="G540">IF(
UPPER(TRIM(CLEAN($O540)))="ENTREGADO",
IFERROR(
INDEX(REPORTE_DROPI!R:R,
MATCH($T540, REPORTE_DROPI!B:B, 0)
),
""
),
""
)
</f>
        <v>20</v>
      </c>
      <c r="H540" s="118" t="s">
        <v>3727</v>
      </c>
      <c r="I540" s="154" t="s">
        <v>3882</v>
      </c>
      <c r="J540" s="121">
        <f t="array" ref="J540">IF(
UPPER(TRIM(CLEAN($O540)))="ENTREGADO",
IFERROR(
INDEX(REPORTE_DROPI!T:T,
MATCH($T540, REPORTE_DROPI!B:B, 0)
),
""
),
""
)
</f>
        <v>5.76</v>
      </c>
      <c r="K540" s="118">
        <f t="array" ref="K540">IFERROR(
INDEX(REPORTE_DROPI!S:S,
MATCH($T540, REPORTE_DROPI!B:B, 0)
),
""
)</f>
        <v>11.84</v>
      </c>
      <c r="L540" s="118" t="str">
        <f>IF(
  O540&lt;&gt;"DEVOLUCION",
  "",
  IF(
    T540="",
    "",
    SUMIF(DEVOLUCION!F:F, T540, DEVOLUCION!D:D)
  )
)
</f>
        <v/>
      </c>
      <c r="M540" s="118" t="s">
        <v>5877</v>
      </c>
      <c r="N540" s="169" t="s">
        <v>7452</v>
      </c>
      <c r="O540" s="118" t="str">
        <f t="array" ref="O540">IFERROR(
VLOOKUP(
TRIM(CLEAN(
INDEX(REPORTE_DROPI!K:K,
MATCH(T540, REPORTE_DROPI!B:B, 0)
))),
{
TRIM(CLEAN(MAPA_ESTADOS!A:A)) ,
MAPA_ESTADOS!B:B
},
2,
FALSE
),
"REVISAR"
)</f>
        <v>ENTREGADO</v>
      </c>
      <c r="P540" s="154" t="s">
        <v>5692</v>
      </c>
      <c r="Q540" s="153">
        <f t="shared" si="1"/>
        <v>0</v>
      </c>
      <c r="R540" s="172"/>
      <c r="S540" s="172"/>
      <c r="T540" s="118">
        <f t="array" ref="T540">IFERROR(
INDEX(REPORTE_DROPI!B:B,
MATCH(
CLEAN(TRIM(C540)),
CLEAN(TRIM(REPORTE_DROPI!E:E)),
0
)
),
""
)
</f>
        <v>4554820</v>
      </c>
      <c r="U540" s="169" t="s">
        <v>7453</v>
      </c>
      <c r="V540" s="166"/>
      <c r="W540" s="18"/>
      <c r="X540" s="18"/>
      <c r="Y540" s="18"/>
      <c r="Z540" s="18"/>
    </row>
    <row r="541" ht="22.5" hidden="1" customHeight="1">
      <c r="A541" s="169">
        <v>540.0</v>
      </c>
      <c r="B541" s="170">
        <v>46072.0</v>
      </c>
      <c r="C541" s="154" t="s">
        <v>7454</v>
      </c>
      <c r="D541" s="118" t="str">
        <f>IFERROR(__xludf.DUMMYFUNCTION("IFERROR( INDEX( FILTER( 'NOMBRE DE PRODUCTOS'!B:B, REGEXMATCH( UPPER( INDEX( REPORTE_DROPI!AC:AC, MATCH(T541, REPORTE_DROPI!B:B, 0) ) ), UPPER('NOMBRE DE PRODUCTOS'!A:A) ) ), 1 ), ""REVISAR"" )"),"FilmPro®")</f>
        <v>FilmPro®</v>
      </c>
      <c r="E541" s="120">
        <f t="array" ref="E541">IF(
UPPER(TRIM(CLEAN($O541)))="ENTREGADO",
IFERROR(
INDEX(REPORTE_DROPI!Y:Y,
MATCH($T541, REPORTE_DROPI!B:B, 0)
),
""
),
""
)
</f>
        <v>7.2</v>
      </c>
      <c r="F541" s="171">
        <v>3.0</v>
      </c>
      <c r="G541" s="122">
        <f t="array" ref="G541">IF(
UPPER(TRIM(CLEAN($O541)))="ENTREGADO",
IFERROR(
INDEX(REPORTE_DROPI!R:R,
MATCH($T541, REPORTE_DROPI!B:B, 0)
),
""
),
""
)
</f>
        <v>30</v>
      </c>
      <c r="H541" s="118" t="s">
        <v>3727</v>
      </c>
      <c r="I541" s="154" t="s">
        <v>3738</v>
      </c>
      <c r="J541" s="121">
        <f t="array" ref="J541">IF(
UPPER(TRIM(CLEAN($O541)))="ENTREGADO",
IFERROR(
INDEX(REPORTE_DROPI!T:T,
MATCH($T541, REPORTE_DROPI!B:B, 0)
),
""
),
""
)
</f>
        <v>6.16</v>
      </c>
      <c r="K541" s="118">
        <f t="array" ref="K541">IFERROR(
INDEX(REPORTE_DROPI!S:S,
MATCH($T541, REPORTE_DROPI!B:B, 0)
),
""
)</f>
        <v>16.64</v>
      </c>
      <c r="L541" s="118" t="str">
        <f>IF(
  O541&lt;&gt;"DEVOLUCION",
  "",
  IF(
    T541="",
    "",
    SUMIF(DEVOLUCION!F:F, T541, DEVOLUCION!D:D)
  )
)
</f>
        <v/>
      </c>
      <c r="M541" s="118" t="s">
        <v>5877</v>
      </c>
      <c r="N541" s="169" t="s">
        <v>7455</v>
      </c>
      <c r="O541" s="118" t="str">
        <f t="array" ref="O541">IFERROR(
VLOOKUP(
TRIM(CLEAN(
INDEX(REPORTE_DROPI!K:K,
MATCH(T541, REPORTE_DROPI!B:B, 0)
))),
{
TRIM(CLEAN(MAPA_ESTADOS!A:A)) ,
MAPA_ESTADOS!B:B
},
2,
FALSE
),
"REVISAR"
)</f>
        <v>ENTREGADO</v>
      </c>
      <c r="P541" s="154" t="s">
        <v>5692</v>
      </c>
      <c r="Q541" s="153">
        <f t="shared" si="1"/>
        <v>0</v>
      </c>
      <c r="R541" s="172"/>
      <c r="S541" s="172"/>
      <c r="T541" s="118">
        <f t="array" ref="T541">IFERROR(
INDEX(REPORTE_DROPI!B:B,
MATCH(
CLEAN(TRIM(C541)),
CLEAN(TRIM(REPORTE_DROPI!E:E)),
0
)
),
""
)
</f>
        <v>4555047</v>
      </c>
      <c r="U541" s="169" t="s">
        <v>7456</v>
      </c>
      <c r="V541" s="166"/>
      <c r="W541" s="18"/>
      <c r="X541" s="18"/>
      <c r="Y541" s="18"/>
      <c r="Z541" s="18"/>
    </row>
    <row r="542" ht="22.5" hidden="1" customHeight="1">
      <c r="A542" s="169">
        <v>541.0</v>
      </c>
      <c r="B542" s="170">
        <v>46072.0</v>
      </c>
      <c r="C542" s="154" t="s">
        <v>7457</v>
      </c>
      <c r="D542" s="118" t="str">
        <f>IFERROR(__xludf.DUMMYFUNCTION("IFERROR( INDEX( FILTER( 'NOMBRE DE PRODUCTOS'!B:B, REGEXMATCH( UPPER( INDEX( REPORTE_DROPI!AC:AC, MATCH(T542, REPORTE_DROPI!B:B, 0) ) ), UPPER('NOMBRE DE PRODUCTOS'!A:A) ) ), 1 ), ""REVISAR"" )"),"FilmPro®")</f>
        <v>FilmPro®</v>
      </c>
      <c r="E542" s="120">
        <f t="array" ref="E542">IF(
UPPER(TRIM(CLEAN($O542)))="ENTREGADO",
IFERROR(
INDEX(REPORTE_DROPI!Y:Y,
MATCH($T542, REPORTE_DROPI!B:B, 0)
),
""
),
""
)
</f>
        <v>2.4</v>
      </c>
      <c r="F542" s="171">
        <v>1.0</v>
      </c>
      <c r="G542" s="122">
        <f t="array" ref="G542">IF(
UPPER(TRIM(CLEAN($O542)))="ENTREGADO",
IFERROR(
INDEX(REPORTE_DROPI!R:R,
MATCH($T542, REPORTE_DROPI!B:B, 0)
),
""
),
""
)
</f>
        <v>20</v>
      </c>
      <c r="H542" s="118" t="s">
        <v>3727</v>
      </c>
      <c r="I542" s="154" t="s">
        <v>3731</v>
      </c>
      <c r="J542" s="121">
        <f t="array" ref="J542">IF(
UPPER(TRIM(CLEAN($O542)))="ENTREGADO",
IFERROR(
INDEX(REPORTE_DROPI!T:T,
MATCH($T542, REPORTE_DROPI!B:B, 0)
),
""
),
""
)
</f>
        <v>5.76</v>
      </c>
      <c r="K542" s="118">
        <f t="array" ref="K542">IFERROR(
INDEX(REPORTE_DROPI!S:S,
MATCH($T542, REPORTE_DROPI!B:B, 0)
),
""
)</f>
        <v>11.84</v>
      </c>
      <c r="L542" s="118" t="str">
        <f>IF(
  O542&lt;&gt;"DEVOLUCION",
  "",
  IF(
    T542="",
    "",
    SUMIF(DEVOLUCION!F:F, T542, DEVOLUCION!D:D)
  )
)
</f>
        <v/>
      </c>
      <c r="M542" s="118" t="s">
        <v>5877</v>
      </c>
      <c r="N542" s="169" t="s">
        <v>7458</v>
      </c>
      <c r="O542" s="118" t="str">
        <f t="array" ref="O542">IFERROR(
VLOOKUP(
TRIM(CLEAN(
INDEX(REPORTE_DROPI!K:K,
MATCH(T542, REPORTE_DROPI!B:B, 0)
))),
{
TRIM(CLEAN(MAPA_ESTADOS!A:A)) ,
MAPA_ESTADOS!B:B
},
2,
FALSE
),
"REVISAR"
)</f>
        <v>ENTREGADO</v>
      </c>
      <c r="P542" s="154" t="s">
        <v>5692</v>
      </c>
      <c r="Q542" s="153">
        <f t="shared" si="1"/>
        <v>0</v>
      </c>
      <c r="R542" s="172"/>
      <c r="S542" s="172"/>
      <c r="T542" s="118">
        <f t="array" ref="T542">IFERROR(
INDEX(REPORTE_DROPI!B:B,
MATCH(
CLEAN(TRIM(C542)),
CLEAN(TRIM(REPORTE_DROPI!E:E)),
0
)
),
""
)
</f>
        <v>4556140</v>
      </c>
      <c r="U542" s="169" t="s">
        <v>7459</v>
      </c>
      <c r="V542" s="166"/>
      <c r="W542" s="18"/>
      <c r="X542" s="18"/>
      <c r="Y542" s="18"/>
      <c r="Z542" s="18"/>
    </row>
    <row r="543" ht="22.5" hidden="1" customHeight="1">
      <c r="A543" s="169">
        <v>542.0</v>
      </c>
      <c r="B543" s="170">
        <v>46072.0</v>
      </c>
      <c r="C543" s="154" t="s">
        <v>7460</v>
      </c>
      <c r="D543" s="118" t="str">
        <f>IFERROR(__xludf.DUMMYFUNCTION("IFERROR( INDEX( FILTER( 'NOMBRE DE PRODUCTOS'!B:B, REGEXMATCH( UPPER( INDEX( REPORTE_DROPI!AC:AC, MATCH(T543, REPORTE_DROPI!B:B, 0) ) ), UPPER('NOMBRE DE PRODUCTOS'!A:A) ) ), 1 ), ""REVISAR"" )"),"FilmPro®")</f>
        <v>FilmPro®</v>
      </c>
      <c r="E543" s="120">
        <f t="array" ref="E543">IF(
UPPER(TRIM(CLEAN($O543)))="ENTREGADO",
IFERROR(
INDEX(REPORTE_DROPI!Y:Y,
MATCH($T543, REPORTE_DROPI!B:B, 0)
),
""
),
""
)
</f>
        <v>2.4</v>
      </c>
      <c r="F543" s="171">
        <v>1.0</v>
      </c>
      <c r="G543" s="122">
        <f t="array" ref="G543">IF(
UPPER(TRIM(CLEAN($O543)))="ENTREGADO",
IFERROR(
INDEX(REPORTE_DROPI!R:R,
MATCH($T543, REPORTE_DROPI!B:B, 0)
),
""
),
""
)
</f>
        <v>20</v>
      </c>
      <c r="H543" s="118" t="s">
        <v>3727</v>
      </c>
      <c r="I543" s="154" t="s">
        <v>3801</v>
      </c>
      <c r="J543" s="121">
        <f t="array" ref="J543">IF(
UPPER(TRIM(CLEAN($O543)))="ENTREGADO",
IFERROR(
INDEX(REPORTE_DROPI!T:T,
MATCH($T543, REPORTE_DROPI!B:B, 0)
),
""
),
""
)
</f>
        <v>5.76</v>
      </c>
      <c r="K543" s="118">
        <f t="array" ref="K543">IFERROR(
INDEX(REPORTE_DROPI!S:S,
MATCH($T543, REPORTE_DROPI!B:B, 0)
),
""
)</f>
        <v>11.84</v>
      </c>
      <c r="L543" s="118" t="str">
        <f>IF(
  O543&lt;&gt;"DEVOLUCION",
  "",
  IF(
    T543="",
    "",
    SUMIF(DEVOLUCION!F:F, T543, DEVOLUCION!D:D)
  )
)
</f>
        <v/>
      </c>
      <c r="M543" s="118" t="s">
        <v>5877</v>
      </c>
      <c r="N543" s="169" t="s">
        <v>7461</v>
      </c>
      <c r="O543" s="118" t="str">
        <f t="array" ref="O543">IFERROR(
VLOOKUP(
TRIM(CLEAN(
INDEX(REPORTE_DROPI!K:K,
MATCH(T543, REPORTE_DROPI!B:B, 0)
))),
{
TRIM(CLEAN(MAPA_ESTADOS!A:A)) ,
MAPA_ESTADOS!B:B
},
2,
FALSE
),
"REVISAR"
)</f>
        <v>ENTREGADO</v>
      </c>
      <c r="P543" s="154" t="s">
        <v>5692</v>
      </c>
      <c r="Q543" s="153">
        <f t="shared" si="1"/>
        <v>0</v>
      </c>
      <c r="R543" s="172"/>
      <c r="S543" s="172"/>
      <c r="T543" s="118">
        <f t="array" ref="T543">IFERROR(
INDEX(REPORTE_DROPI!B:B,
MATCH(
CLEAN(TRIM(C543)),
CLEAN(TRIM(REPORTE_DROPI!E:E)),
0
)
),
""
)
</f>
        <v>4558764</v>
      </c>
      <c r="U543" s="169" t="s">
        <v>7462</v>
      </c>
      <c r="V543" s="166"/>
      <c r="W543" s="18"/>
      <c r="X543" s="18"/>
      <c r="Y543" s="18"/>
      <c r="Z543" s="18"/>
    </row>
    <row r="544" ht="22.5" hidden="1" customHeight="1">
      <c r="A544" s="169">
        <v>543.0</v>
      </c>
      <c r="B544" s="170">
        <v>46072.0</v>
      </c>
      <c r="C544" s="154" t="s">
        <v>7463</v>
      </c>
      <c r="D544" s="118" t="str">
        <f>IFERROR(__xludf.DUMMYFUNCTION("IFERROR( INDEX( FILTER( 'NOMBRE DE PRODUCTOS'!B:B, REGEXMATCH( UPPER( INDEX( REPORTE_DROPI!AC:AC, MATCH(T544, REPORTE_DROPI!B:B, 0) ) ), UPPER('NOMBRE DE PRODUCTOS'!A:A) ) ), 1 ), ""REVISAR"" )"),"FilmPro®")</f>
        <v>FilmPro®</v>
      </c>
      <c r="E544" s="120" t="str">
        <f t="array" ref="E544">IF(
UPPER(TRIM(CLEAN($O544)))="ENTREGADO",
IFERROR(
INDEX(REPORTE_DROPI!Y:Y,
MATCH($T544, REPORTE_DROPI!B:B, 0)
),
""
),
""
)
</f>
        <v/>
      </c>
      <c r="F544" s="171">
        <v>2.0</v>
      </c>
      <c r="G544" s="122" t="str">
        <f t="array" ref="G544">IF(
UPPER(TRIM(CLEAN($O544)))="ENTREGADO",
IFERROR(
INDEX(REPORTE_DROPI!R:R,
MATCH($T544, REPORTE_DROPI!B:B, 0)
),
""
),
""
)
</f>
        <v/>
      </c>
      <c r="H544" s="118" t="s">
        <v>3727</v>
      </c>
      <c r="I544" s="154" t="s">
        <v>3951</v>
      </c>
      <c r="J544" s="121" t="str">
        <f t="array" ref="J544">IF(
UPPER(TRIM(CLEAN($O544)))="ENTREGADO",
IFERROR(
INDEX(REPORTE_DROPI!T:T,
MATCH($T544, REPORTE_DROPI!B:B, 0)
),
""
),
""
)
</f>
        <v/>
      </c>
      <c r="K544" s="118" t="str">
        <f t="array" ref="K544">IFERROR(
INDEX(REPORTE_DROPI!S:S,
MATCH($T544, REPORTE_DROPI!B:B, 0)
),
""
)</f>
        <v/>
      </c>
      <c r="L544" s="118" t="str">
        <f>IF(
  O544&lt;&gt;"DEVOLUCION",
  "",
  IF(
    T544="",
    "",
    SUMIF(DEVOLUCION!F:F, T544, DEVOLUCION!D:D)
  )
)
</f>
        <v/>
      </c>
      <c r="M544" s="118" t="s">
        <v>5877</v>
      </c>
      <c r="N544" s="169" t="s">
        <v>7464</v>
      </c>
      <c r="O544" s="118" t="str">
        <f t="array" ref="O544">IFERROR(
VLOOKUP(
TRIM(CLEAN(
INDEX(REPORTE_DROPI!K:K,
MATCH(T544, REPORTE_DROPI!B:B, 0)
))),
{
TRIM(CLEAN(MAPA_ESTADOS!A:A)) ,
MAPA_ESTADOS!B:B
},
2,
FALSE
),
"REVISAR"
)</f>
        <v>PENDIENTE</v>
      </c>
      <c r="P544" s="154" t="s">
        <v>7465</v>
      </c>
      <c r="Q544" s="153">
        <f t="shared" si="1"/>
        <v>0</v>
      </c>
      <c r="R544" s="172"/>
      <c r="S544" s="172"/>
      <c r="T544" s="118">
        <f t="array" ref="T544">IFERROR(
INDEX(REPORTE_DROPI!B:B,
MATCH(
CLEAN(TRIM(C544)),
CLEAN(TRIM(REPORTE_DROPI!E:E)),
0
)
),
""
)
</f>
        <v>4565240</v>
      </c>
      <c r="U544" s="169" t="s">
        <v>7466</v>
      </c>
      <c r="V544" s="166"/>
      <c r="W544" s="18"/>
      <c r="X544" s="18"/>
      <c r="Y544" s="18"/>
      <c r="Z544" s="18"/>
    </row>
    <row r="545" ht="22.5" hidden="1" customHeight="1">
      <c r="A545" s="169">
        <v>544.0</v>
      </c>
      <c r="B545" s="170">
        <v>46072.0</v>
      </c>
      <c r="C545" s="154" t="s">
        <v>7467</v>
      </c>
      <c r="D545" s="118" t="str">
        <f>IFERROR(__xludf.DUMMYFUNCTION("IFERROR( INDEX( FILTER( 'NOMBRE DE PRODUCTOS'!B:B, REGEXMATCH( UPPER( INDEX( REPORTE_DROPI!AC:AC, MATCH(T545, REPORTE_DROPI!B:B, 0) ) ), UPPER('NOMBRE DE PRODUCTOS'!A:A) ) ), 1 ), ""REVISAR"" )"),"FilmPro®")</f>
        <v>FilmPro®</v>
      </c>
      <c r="E545" s="120">
        <f t="array" ref="E545">IF(
UPPER(TRIM(CLEAN($O545)))="ENTREGADO",
IFERROR(
INDEX(REPORTE_DROPI!Y:Y,
MATCH($T545, REPORTE_DROPI!B:B, 0)
),
""
),
""
)
</f>
        <v>2.4</v>
      </c>
      <c r="F545" s="171">
        <v>1.0</v>
      </c>
      <c r="G545" s="122">
        <f t="array" ref="G545">IF(
UPPER(TRIM(CLEAN($O545)))="ENTREGADO",
IFERROR(
INDEX(REPORTE_DROPI!R:R,
MATCH($T545, REPORTE_DROPI!B:B, 0)
),
""
),
""
)
</f>
        <v>20</v>
      </c>
      <c r="H545" s="118" t="s">
        <v>3727</v>
      </c>
      <c r="I545" s="154" t="s">
        <v>3740</v>
      </c>
      <c r="J545" s="121">
        <f t="array" ref="J545">IF(
UPPER(TRIM(CLEAN($O545)))="ENTREGADO",
IFERROR(
INDEX(REPORTE_DROPI!T:T,
MATCH($T545, REPORTE_DROPI!B:B, 0)
),
""
),
""
)
</f>
        <v>4.15</v>
      </c>
      <c r="K545" s="118">
        <f t="array" ref="K545">IFERROR(
INDEX(REPORTE_DROPI!S:S,
MATCH($T545, REPORTE_DROPI!B:B, 0)
),
""
)</f>
        <v>13.45</v>
      </c>
      <c r="L545" s="118" t="str">
        <f>IF(
  O545&lt;&gt;"DEVOLUCION",
  "",
  IF(
    T545="",
    "",
    SUMIF(DEVOLUCION!F:F, T545, DEVOLUCION!D:D)
  )
)
</f>
        <v/>
      </c>
      <c r="M545" s="118" t="s">
        <v>5877</v>
      </c>
      <c r="N545" s="169" t="s">
        <v>7468</v>
      </c>
      <c r="O545" s="118" t="str">
        <f t="array" ref="O545">IFERROR(
VLOOKUP(
TRIM(CLEAN(
INDEX(REPORTE_DROPI!K:K,
MATCH(T545, REPORTE_DROPI!B:B, 0)
))),
{
TRIM(CLEAN(MAPA_ESTADOS!A:A)) ,
MAPA_ESTADOS!B:B
},
2,
FALSE
),
"REVISAR"
)</f>
        <v>ENTREGADO</v>
      </c>
      <c r="P545" s="154" t="s">
        <v>5692</v>
      </c>
      <c r="Q545" s="153">
        <f t="shared" si="1"/>
        <v>0</v>
      </c>
      <c r="R545" s="172"/>
      <c r="S545" s="172"/>
      <c r="T545" s="118">
        <f t="array" ref="T545">IFERROR(
INDEX(REPORTE_DROPI!B:B,
MATCH(
CLEAN(TRIM(C545)),
CLEAN(TRIM(REPORTE_DROPI!E:E)),
0
)
),
""
)
</f>
        <v>4559544</v>
      </c>
      <c r="U545" s="169" t="s">
        <v>7469</v>
      </c>
      <c r="V545" s="166"/>
      <c r="W545" s="18"/>
      <c r="X545" s="18"/>
      <c r="Y545" s="18"/>
      <c r="Z545" s="18"/>
    </row>
    <row r="546" ht="22.5" hidden="1" customHeight="1">
      <c r="A546" s="169">
        <v>545.0</v>
      </c>
      <c r="B546" s="170">
        <v>46072.0</v>
      </c>
      <c r="C546" s="154" t="s">
        <v>7470</v>
      </c>
      <c r="D546" s="118" t="str">
        <f>IFERROR(__xludf.DUMMYFUNCTION("IFERROR( INDEX( FILTER( 'NOMBRE DE PRODUCTOS'!B:B, REGEXMATCH( UPPER( INDEX( REPORTE_DROPI!AC:AC, MATCH(T546, REPORTE_DROPI!B:B, 0) ) ), UPPER('NOMBRE DE PRODUCTOS'!A:A) ) ), 1 ), ""REVISAR"" )"),"FilmPro®")</f>
        <v>FilmPro®</v>
      </c>
      <c r="E546" s="120">
        <f t="array" ref="E546">IF(
UPPER(TRIM(CLEAN($O546)))="ENTREGADO",
IFERROR(
INDEX(REPORTE_DROPI!Y:Y,
MATCH($T546, REPORTE_DROPI!B:B, 0)
),
""
),
""
)
</f>
        <v>7.2</v>
      </c>
      <c r="F546" s="171">
        <v>3.0</v>
      </c>
      <c r="G546" s="122">
        <f t="array" ref="G546">IF(
UPPER(TRIM(CLEAN($O546)))="ENTREGADO",
IFERROR(
INDEX(REPORTE_DROPI!R:R,
MATCH($T546, REPORTE_DROPI!B:B, 0)
),
""
),
""
)
</f>
        <v>30</v>
      </c>
      <c r="H546" s="118" t="s">
        <v>3727</v>
      </c>
      <c r="I546" s="154" t="s">
        <v>3778</v>
      </c>
      <c r="J546" s="121">
        <f t="array" ref="J546">IF(
UPPER(TRIM(CLEAN($O546)))="ENTREGADO",
IFERROR(
INDEX(REPORTE_DROPI!T:T,
MATCH($T546, REPORTE_DROPI!B:B, 0)
),
""
),
""
)
</f>
        <v>6.16</v>
      </c>
      <c r="K546" s="118">
        <f t="array" ref="K546">IFERROR(
INDEX(REPORTE_DROPI!S:S,
MATCH($T546, REPORTE_DROPI!B:B, 0)
),
""
)</f>
        <v>16.64</v>
      </c>
      <c r="L546" s="118" t="str">
        <f>IF(
  O546&lt;&gt;"DEVOLUCION",
  "",
  IF(
    T546="",
    "",
    SUMIF(DEVOLUCION!F:F, T546, DEVOLUCION!D:D)
  )
)
</f>
        <v/>
      </c>
      <c r="M546" s="118" t="s">
        <v>5877</v>
      </c>
      <c r="N546" s="169" t="s">
        <v>7471</v>
      </c>
      <c r="O546" s="118" t="str">
        <f t="array" ref="O546">IFERROR(
VLOOKUP(
TRIM(CLEAN(
INDEX(REPORTE_DROPI!K:K,
MATCH(T546, REPORTE_DROPI!B:B, 0)
))),
{
TRIM(CLEAN(MAPA_ESTADOS!A:A)) ,
MAPA_ESTADOS!B:B
},
2,
FALSE
),
"REVISAR"
)</f>
        <v>ENTREGADO</v>
      </c>
      <c r="P546" s="154" t="s">
        <v>5692</v>
      </c>
      <c r="Q546" s="153">
        <f t="shared" si="1"/>
        <v>0</v>
      </c>
      <c r="R546" s="172"/>
      <c r="S546" s="172"/>
      <c r="T546" s="118">
        <f t="array" ref="T546">IFERROR(
INDEX(REPORTE_DROPI!B:B,
MATCH(
CLEAN(TRIM(C546)),
CLEAN(TRIM(REPORTE_DROPI!E:E)),
0
)
),
""
)
</f>
        <v>4562311</v>
      </c>
      <c r="U546" s="169" t="s">
        <v>7472</v>
      </c>
      <c r="V546" s="166"/>
      <c r="W546" s="18"/>
      <c r="X546" s="18"/>
      <c r="Y546" s="18"/>
      <c r="Z546" s="18"/>
    </row>
    <row r="547" ht="22.5" hidden="1" customHeight="1">
      <c r="A547" s="169">
        <v>546.0</v>
      </c>
      <c r="B547" s="170">
        <v>46072.0</v>
      </c>
      <c r="C547" s="154" t="s">
        <v>5370</v>
      </c>
      <c r="D547" s="118" t="str">
        <f>IFERROR(__xludf.DUMMYFUNCTION("IFERROR( INDEX( FILTER( 'NOMBRE DE PRODUCTOS'!B:B, REGEXMATCH( UPPER( INDEX( REPORTE_DROPI!AC:AC, MATCH(T547, REPORTE_DROPI!B:B, 0) ) ), UPPER('NOMBRE DE PRODUCTOS'!A:A) ) ), 1 ), ""REVISAR"" )"),"FilmPro®")</f>
        <v>FilmPro®</v>
      </c>
      <c r="E547" s="120" t="str">
        <f t="array" ref="E547">IF(
UPPER(TRIM(CLEAN($O547)))="ENTREGADO",
IFERROR(
INDEX(REPORTE_DROPI!Y:Y,
MATCH($T547, REPORTE_DROPI!B:B, 0)
),
""
),
""
)
</f>
        <v/>
      </c>
      <c r="F547" s="171">
        <v>2.0</v>
      </c>
      <c r="G547" s="122" t="str">
        <f t="array" ref="G547">IF(
UPPER(TRIM(CLEAN($O547)))="ENTREGADO",
IFERROR(
INDEX(REPORTE_DROPI!R:R,
MATCH($T547, REPORTE_DROPI!B:B, 0)
),
""
),
""
)
</f>
        <v/>
      </c>
      <c r="H547" s="118" t="s">
        <v>3727</v>
      </c>
      <c r="I547" s="154" t="s">
        <v>3731</v>
      </c>
      <c r="J547" s="121" t="str">
        <f t="array" ref="J547">IF(
UPPER(TRIM(CLEAN($O547)))="ENTREGADO",
IFERROR(
INDEX(REPORTE_DROPI!T:T,
MATCH($T547, REPORTE_DROPI!B:B, 0)
),
""
),
""
)
</f>
        <v/>
      </c>
      <c r="K547" s="118" t="str">
        <f t="array" ref="K547">IFERROR(
INDEX(REPORTE_DROPI!S:S,
MATCH($T547, REPORTE_DROPI!B:B, 0)
),
""
)</f>
        <v/>
      </c>
      <c r="L547" s="118" t="str">
        <f>IF(
  O547&lt;&gt;"DEVOLUCION",
  "",
  IF(
    T547="",
    "",
    SUMIF(DEVOLUCION!F:F, T547, DEVOLUCION!D:D)
  )
)
</f>
        <v/>
      </c>
      <c r="M547" s="118" t="s">
        <v>5877</v>
      </c>
      <c r="N547" s="169" t="s">
        <v>7473</v>
      </c>
      <c r="O547" s="118" t="str">
        <f t="array" ref="O547">IFERROR(
VLOOKUP(
TRIM(CLEAN(
INDEX(REPORTE_DROPI!K:K,
MATCH(T547, REPORTE_DROPI!B:B, 0)
))),
{
TRIM(CLEAN(MAPA_ESTADOS!A:A)) ,
MAPA_ESTADOS!B:B
},
2,
FALSE
),
"REVISAR"
)</f>
        <v>CANCELADO</v>
      </c>
      <c r="P547" s="154" t="s">
        <v>7474</v>
      </c>
      <c r="Q547" s="153">
        <f t="shared" si="1"/>
        <v>0</v>
      </c>
      <c r="R547" s="172"/>
      <c r="S547" s="172"/>
      <c r="T547" s="118">
        <f t="array" ref="T547">IFERROR(
INDEX(REPORTE_DROPI!B:B,
MATCH(
CLEAN(TRIM(C547)),
CLEAN(TRIM(REPORTE_DROPI!E:E)),
0
)
),
""
)
</f>
        <v>4568469</v>
      </c>
      <c r="U547" s="169" t="s">
        <v>7475</v>
      </c>
      <c r="V547" s="166"/>
      <c r="W547" s="18"/>
      <c r="X547" s="18"/>
      <c r="Y547" s="18"/>
      <c r="Z547" s="18"/>
    </row>
    <row r="548" ht="22.5" hidden="1" customHeight="1">
      <c r="A548" s="169">
        <v>547.0</v>
      </c>
      <c r="B548" s="170">
        <v>46073.0</v>
      </c>
      <c r="C548" s="175" t="s">
        <v>7476</v>
      </c>
      <c r="D548" s="118" t="str">
        <f>IFERROR(__xludf.DUMMYFUNCTION("IFERROR( INDEX( FILTER( 'NOMBRE DE PRODUCTOS'!B:B, REGEXMATCH( UPPER( INDEX( REPORTE_DROPI!AC:AC, MATCH(T548, REPORTE_DROPI!B:B, 0) ) ), UPPER('NOMBRE DE PRODUCTOS'!A:A) ) ), 1 ), ""REVISAR"" )"),"Cuchillo Tazaki™")</f>
        <v>Cuchillo Tazaki™</v>
      </c>
      <c r="E548" s="120">
        <f t="array" ref="E548">IF(
UPPER(TRIM(CLEAN($O548)))="ENTREGADO",
IFERROR(
INDEX(REPORTE_DROPI!Y:Y,
MATCH($T548, REPORTE_DROPI!B:B, 0)
),
""
),
""
)
</f>
        <v>7.5</v>
      </c>
      <c r="F548" s="171">
        <v>2.0</v>
      </c>
      <c r="G548" s="122">
        <f t="array" ref="G548">IF(
UPPER(TRIM(CLEAN($O548)))="ENTREGADO",
IFERROR(
INDEX(REPORTE_DROPI!R:R,
MATCH($T548, REPORTE_DROPI!B:B, 0)
),
""
),
""
)
</f>
        <v>22</v>
      </c>
      <c r="H548" s="118" t="s">
        <v>3727</v>
      </c>
      <c r="I548" s="154" t="s">
        <v>3798</v>
      </c>
      <c r="J548" s="121">
        <f t="array" ref="J548">IF(
UPPER(TRIM(CLEAN($O548)))="ENTREGADO",
IFERROR(
INDEX(REPORTE_DROPI!T:T,
MATCH($T548, REPORTE_DROPI!B:B, 0)
),
""
),
""
)
</f>
        <v>7.7</v>
      </c>
      <c r="K548" s="118">
        <f t="array" ref="K548">IFERROR(
INDEX(REPORTE_DROPI!S:S,
MATCH($T548, REPORTE_DROPI!B:B, 0)
),
""
)</f>
        <v>6.8</v>
      </c>
      <c r="L548" s="118" t="str">
        <f>IF(
  O548&lt;&gt;"DEVOLUCION",
  "",
  IF(
    T548="",
    "",
    SUMIF(DEVOLUCION!F:F, T548, DEVOLUCION!D:D)
  )
)
</f>
        <v/>
      </c>
      <c r="M548" s="118" t="s">
        <v>5877</v>
      </c>
      <c r="N548" s="169" t="s">
        <v>7477</v>
      </c>
      <c r="O548" s="118" t="str">
        <f t="array" ref="O548">IFERROR(
VLOOKUP(
TRIM(CLEAN(
INDEX(REPORTE_DROPI!K:K,
MATCH(T548, REPORTE_DROPI!B:B, 0)
))),
{
TRIM(CLEAN(MAPA_ESTADOS!A:A)) ,
MAPA_ESTADOS!B:B
},
2,
FALSE
),
"REVISAR"
)</f>
        <v>ENTREGADO</v>
      </c>
      <c r="P548" s="154" t="s">
        <v>5692</v>
      </c>
      <c r="Q548" s="153">
        <f t="shared" si="1"/>
        <v>0</v>
      </c>
      <c r="R548" s="172"/>
      <c r="S548" s="172"/>
      <c r="T548" s="118">
        <f t="array" ref="T548">IFERROR(
INDEX(REPORTE_DROPI!B:B,
MATCH(
CLEAN(TRIM(C548)),
CLEAN(TRIM(REPORTE_DROPI!E:E)),
0
)
),
""
)
</f>
        <v>4596067</v>
      </c>
      <c r="U548" s="169"/>
      <c r="V548" s="166"/>
      <c r="W548" s="18"/>
      <c r="X548" s="18"/>
      <c r="Y548" s="18"/>
      <c r="Z548" s="18"/>
    </row>
    <row r="549" ht="22.5" hidden="1" customHeight="1">
      <c r="A549" s="169">
        <v>548.0</v>
      </c>
      <c r="B549" s="170">
        <v>46073.0</v>
      </c>
      <c r="C549" s="154" t="s">
        <v>5370</v>
      </c>
      <c r="D549" s="118" t="str">
        <f>IFERROR(__xludf.DUMMYFUNCTION("IFERROR( INDEX( FILTER( 'NOMBRE DE PRODUCTOS'!B:B, REGEXMATCH( UPPER( INDEX( REPORTE_DROPI!AC:AC, MATCH(T549, REPORTE_DROPI!B:B, 0) ) ), UPPER('NOMBRE DE PRODUCTOS'!A:A) ) ), 1 ), ""REVISAR"" )"),"FilmPro®")</f>
        <v>FilmPro®</v>
      </c>
      <c r="E549" s="120" t="str">
        <f t="array" ref="E549">IF(
UPPER(TRIM(CLEAN($O549)))="ENTREGADO",
IFERROR(
INDEX(REPORTE_DROPI!Y:Y,
MATCH($T549, REPORTE_DROPI!B:B, 0)
),
""
),
""
)
</f>
        <v/>
      </c>
      <c r="F549" s="171">
        <v>2.0</v>
      </c>
      <c r="G549" s="122" t="str">
        <f t="array" ref="G549">IF(
UPPER(TRIM(CLEAN($O549)))="ENTREGADO",
IFERROR(
INDEX(REPORTE_DROPI!R:R,
MATCH($T549, REPORTE_DROPI!B:B, 0)
),
""
),
""
)
</f>
        <v/>
      </c>
      <c r="H549" s="118" t="s">
        <v>3727</v>
      </c>
      <c r="I549" s="154" t="s">
        <v>3731</v>
      </c>
      <c r="J549" s="121" t="str">
        <f t="array" ref="J549">IF(
UPPER(TRIM(CLEAN($O549)))="ENTREGADO",
IFERROR(
INDEX(REPORTE_DROPI!T:T,
MATCH($T549, REPORTE_DROPI!B:B, 0)
),
""
),
""
)
</f>
        <v/>
      </c>
      <c r="K549" s="118" t="str">
        <f t="array" ref="K549">IFERROR(
INDEX(REPORTE_DROPI!S:S,
MATCH($T549, REPORTE_DROPI!B:B, 0)
),
""
)</f>
        <v/>
      </c>
      <c r="L549" s="118" t="str">
        <f>IF(
  O549&lt;&gt;"DEVOLUCION",
  "",
  IF(
    T549="",
    "",
    SUMIF(DEVOLUCION!F:F, T549, DEVOLUCION!D:D)
  )
)
</f>
        <v/>
      </c>
      <c r="M549" s="118" t="s">
        <v>5877</v>
      </c>
      <c r="N549" s="169" t="s">
        <v>7478</v>
      </c>
      <c r="O549" s="118" t="str">
        <f t="array" ref="O549">IFERROR(
VLOOKUP(
TRIM(CLEAN(
INDEX(REPORTE_DROPI!K:K,
MATCH(T549, REPORTE_DROPI!B:B, 0)
))),
{
TRIM(CLEAN(MAPA_ESTADOS!A:A)) ,
MAPA_ESTADOS!B:B
},
2,
FALSE
),
"REVISAR"
)</f>
        <v>CANCELADO</v>
      </c>
      <c r="P549" s="154" t="s">
        <v>7479</v>
      </c>
      <c r="Q549" s="153">
        <f t="shared" si="1"/>
        <v>0</v>
      </c>
      <c r="R549" s="172"/>
      <c r="S549" s="172"/>
      <c r="T549" s="118">
        <f t="array" ref="T549">IFERROR(
INDEX(REPORTE_DROPI!B:B,
MATCH(
CLEAN(TRIM(C549)),
CLEAN(TRIM(REPORTE_DROPI!E:E)),
0
)
),
""
)
</f>
        <v>4568469</v>
      </c>
      <c r="U549" s="169" t="s">
        <v>7480</v>
      </c>
      <c r="V549" s="166"/>
      <c r="W549" s="18"/>
      <c r="X549" s="18"/>
      <c r="Y549" s="18"/>
      <c r="Z549" s="18"/>
    </row>
    <row r="550" ht="22.5" hidden="1" customHeight="1">
      <c r="A550" s="169">
        <v>549.0</v>
      </c>
      <c r="B550" s="170">
        <v>46073.0</v>
      </c>
      <c r="C550" s="175" t="s">
        <v>7481</v>
      </c>
      <c r="D550" s="118" t="str">
        <f>IFERROR(__xludf.DUMMYFUNCTION("IFERROR( INDEX( FILTER( 'NOMBRE DE PRODUCTOS'!B:B, REGEXMATCH( UPPER( INDEX( REPORTE_DROPI!AC:AC, MATCH(T550, REPORTE_DROPI!B:B, 0) ) ), UPPER('NOMBRE DE PRODUCTOS'!A:A) ) ), 1 ), ""REVISAR"" )"),"FilmPro®")</f>
        <v>FilmPro®</v>
      </c>
      <c r="E550" s="120" t="str">
        <f t="array" ref="E550">IF(
UPPER(TRIM(CLEAN($O550)))="ENTREGADO",
IFERROR(
INDEX(REPORTE_DROPI!Y:Y,
MATCH($T550, REPORTE_DROPI!B:B, 0)
),
""
),
""
)
</f>
        <v/>
      </c>
      <c r="F550" s="171">
        <v>1.0</v>
      </c>
      <c r="G550" s="122" t="str">
        <f t="array" ref="G550">IF(
UPPER(TRIM(CLEAN($O550)))="ENTREGADO",
IFERROR(
INDEX(REPORTE_DROPI!R:R,
MATCH($T550, REPORTE_DROPI!B:B, 0)
),
""
),
""
)
</f>
        <v/>
      </c>
      <c r="H550" s="118" t="s">
        <v>3727</v>
      </c>
      <c r="I550" s="154" t="s">
        <v>3728</v>
      </c>
      <c r="J550" s="121" t="str">
        <f t="array" ref="J550">IF(
UPPER(TRIM(CLEAN($O550)))="ENTREGADO",
IFERROR(
INDEX(REPORTE_DROPI!T:T,
MATCH($T550, REPORTE_DROPI!B:B, 0)
),
""
),
""
)
</f>
        <v/>
      </c>
      <c r="K550" s="118" t="str">
        <f t="array" ref="K550">IFERROR(
INDEX(REPORTE_DROPI!S:S,
MATCH($T550, REPORTE_DROPI!B:B, 0)
),
""
)</f>
        <v/>
      </c>
      <c r="L550" s="118">
        <f>IF(
  O550&lt;&gt;"DEVOLUCION",
  "",
  IF(
    T550="",
    "",
    SUMIF(DEVOLUCION!F:F, T550, DEVOLUCION!D:D)
  )
)
</f>
        <v>0</v>
      </c>
      <c r="M550" s="118" t="s">
        <v>5877</v>
      </c>
      <c r="N550" s="169" t="s">
        <v>7482</v>
      </c>
      <c r="O550" s="118" t="str">
        <f t="array" ref="O550">IFERROR(
VLOOKUP(
TRIM(CLEAN(
INDEX(REPORTE_DROPI!K:K,
MATCH(T550, REPORTE_DROPI!B:B, 0)
))),
{
TRIM(CLEAN(MAPA_ESTADOS!A:A)) ,
MAPA_ESTADOS!B:B
},
2,
FALSE
),
"REVISAR"
)</f>
        <v>DEVOLUCION</v>
      </c>
      <c r="P550" s="154" t="s">
        <v>5692</v>
      </c>
      <c r="Q550" s="153">
        <f t="shared" si="1"/>
        <v>0</v>
      </c>
      <c r="R550" s="172"/>
      <c r="S550" s="172"/>
      <c r="T550" s="118">
        <f t="array" ref="T550">IFERROR(
INDEX(REPORTE_DROPI!B:B,
MATCH(
CLEAN(TRIM(C550)),
CLEAN(TRIM(REPORTE_DROPI!E:E)),
0
)
),
""
)
</f>
        <v>4572010</v>
      </c>
      <c r="U550" s="169"/>
      <c r="V550" s="166"/>
      <c r="W550" s="18"/>
      <c r="X550" s="18"/>
      <c r="Y550" s="18"/>
      <c r="Z550" s="18"/>
    </row>
    <row r="551" ht="22.5" hidden="1" customHeight="1">
      <c r="A551" s="169">
        <v>550.0</v>
      </c>
      <c r="B551" s="170">
        <v>46074.0</v>
      </c>
      <c r="C551" s="154" t="s">
        <v>7483</v>
      </c>
      <c r="D551" s="118" t="str">
        <f>IFERROR(__xludf.DUMMYFUNCTION("IFERROR( INDEX( FILTER( 'NOMBRE DE PRODUCTOS'!B:B, REGEXMATCH( UPPER( INDEX( REPORTE_DROPI!AC:AC, MATCH(T551, REPORTE_DROPI!B:B, 0) ) ), UPPER('NOMBRE DE PRODUCTOS'!A:A) ) ), 1 ), ""REVISAR"" )"),"FilmPro®")</f>
        <v>FilmPro®</v>
      </c>
      <c r="E551" s="120">
        <f t="array" ref="E551">IF(
UPPER(TRIM(CLEAN($O551)))="ENTREGADO",
IFERROR(
INDEX(REPORTE_DROPI!Y:Y,
MATCH($T551, REPORTE_DROPI!B:B, 0)
),
""
),
""
)
</f>
        <v>2.4</v>
      </c>
      <c r="F551" s="171">
        <v>1.0</v>
      </c>
      <c r="G551" s="122">
        <f t="array" ref="G551">IF(
UPPER(TRIM(CLEAN($O551)))="ENTREGADO",
IFERROR(
INDEX(REPORTE_DROPI!R:R,
MATCH($T551, REPORTE_DROPI!B:B, 0)
),
""
),
""
)
</f>
        <v>20</v>
      </c>
      <c r="H551" s="118" t="s">
        <v>3727</v>
      </c>
      <c r="I551" s="154" t="s">
        <v>3801</v>
      </c>
      <c r="J551" s="121">
        <f t="array" ref="J551">IF(
UPPER(TRIM(CLEAN($O551)))="ENTREGADO",
IFERROR(
INDEX(REPORTE_DROPI!T:T,
MATCH($T551, REPORTE_DROPI!B:B, 0)
),
""
),
""
)
</f>
        <v>5.76</v>
      </c>
      <c r="K551" s="118">
        <f t="array" ref="K551">IFERROR(
INDEX(REPORTE_DROPI!S:S,
MATCH($T551, REPORTE_DROPI!B:B, 0)
),
""
)</f>
        <v>11.84</v>
      </c>
      <c r="L551" s="118" t="str">
        <f>IF(
  O551&lt;&gt;"DEVOLUCION",
  "",
  IF(
    T551="",
    "",
    SUMIF(DEVOLUCION!F:F, T551, DEVOLUCION!D:D)
  )
)
</f>
        <v/>
      </c>
      <c r="M551" s="118" t="s">
        <v>5877</v>
      </c>
      <c r="N551" s="169" t="s">
        <v>7484</v>
      </c>
      <c r="O551" s="118" t="str">
        <f t="array" ref="O551">IFERROR(
VLOOKUP(
TRIM(CLEAN(
INDEX(REPORTE_DROPI!K:K,
MATCH(T551, REPORTE_DROPI!B:B, 0)
))),
{
TRIM(CLEAN(MAPA_ESTADOS!A:A)) ,
MAPA_ESTADOS!B:B
},
2,
FALSE
),
"REVISAR"
)</f>
        <v>ENTREGADO</v>
      </c>
      <c r="P551" s="154" t="s">
        <v>5692</v>
      </c>
      <c r="Q551" s="153">
        <f t="shared" si="1"/>
        <v>0</v>
      </c>
      <c r="R551" s="172"/>
      <c r="S551" s="172"/>
      <c r="T551" s="118">
        <f t="array" ref="T551">IFERROR(
INDEX(REPORTE_DROPI!B:B,
MATCH(
CLEAN(TRIM(C551)),
CLEAN(TRIM(REPORTE_DROPI!E:E)),
0
)
),
""
)
</f>
        <v>4574109</v>
      </c>
      <c r="U551" s="169" t="s">
        <v>7485</v>
      </c>
      <c r="V551" s="166"/>
      <c r="W551" s="18"/>
      <c r="X551" s="18"/>
      <c r="Y551" s="18"/>
      <c r="Z551" s="18"/>
    </row>
    <row r="552" ht="22.5" hidden="1" customHeight="1">
      <c r="A552" s="169">
        <v>551.0</v>
      </c>
      <c r="B552" s="170">
        <v>46074.0</v>
      </c>
      <c r="C552" s="154" t="s">
        <v>7486</v>
      </c>
      <c r="D552" s="118" t="str">
        <f>IFERROR(__xludf.DUMMYFUNCTION("IFERROR( INDEX( FILTER( 'NOMBRE DE PRODUCTOS'!B:B, REGEXMATCH( UPPER( INDEX( REPORTE_DROPI!AC:AC, MATCH(T552, REPORTE_DROPI!B:B, 0) ) ), UPPER('NOMBRE DE PRODUCTOS'!A:A) ) ), 1 ), ""REVISAR"" )"),"Cuchillo Tazaki™")</f>
        <v>Cuchillo Tazaki™</v>
      </c>
      <c r="E552" s="120">
        <f t="array" ref="E552">IF(
UPPER(TRIM(CLEAN($O552)))="ENTREGADO",
IFERROR(
INDEX(REPORTE_DROPI!Y:Y,
MATCH($T552, REPORTE_DROPI!B:B, 0)
),
""
),
""
)
</f>
        <v>11.25</v>
      </c>
      <c r="F552" s="171">
        <v>3.0</v>
      </c>
      <c r="G552" s="122">
        <f t="array" ref="G552">IF(
UPPER(TRIM(CLEAN($O552)))="ENTREGADO",
IFERROR(
INDEX(REPORTE_DROPI!R:R,
MATCH($T552, REPORTE_DROPI!B:B, 0)
),
""
),
""
)
</f>
        <v>27</v>
      </c>
      <c r="H552" s="118" t="s">
        <v>3727</v>
      </c>
      <c r="I552" s="154" t="s">
        <v>3731</v>
      </c>
      <c r="J552" s="121">
        <f t="array" ref="J552">IF(
UPPER(TRIM(CLEAN($O552)))="ENTREGADO",
IFERROR(
INDEX(REPORTE_DROPI!T:T,
MATCH($T552, REPORTE_DROPI!B:B, 0)
),
""
),
""
)
</f>
        <v>4.42</v>
      </c>
      <c r="K552" s="118">
        <f t="array" ref="K552">IFERROR(
INDEX(REPORTE_DROPI!S:S,
MATCH($T552, REPORTE_DROPI!B:B, 0)
),
""
)</f>
        <v>11.33</v>
      </c>
      <c r="L552" s="118" t="str">
        <f>IF(
  O552&lt;&gt;"DEVOLUCION",
  "",
  IF(
    T552="",
    "",
    SUMIF(DEVOLUCION!F:F, T552, DEVOLUCION!D:D)
  )
)
</f>
        <v/>
      </c>
      <c r="M552" s="118" t="s">
        <v>5877</v>
      </c>
      <c r="N552" s="169" t="s">
        <v>7487</v>
      </c>
      <c r="O552" s="118" t="str">
        <f t="array" ref="O552">IFERROR(
VLOOKUP(
TRIM(CLEAN(
INDEX(REPORTE_DROPI!K:K,
MATCH(T552, REPORTE_DROPI!B:B, 0)
))),
{
TRIM(CLEAN(MAPA_ESTADOS!A:A)) ,
MAPA_ESTADOS!B:B
},
2,
FALSE
),
"REVISAR"
)</f>
        <v>ENTREGADO</v>
      </c>
      <c r="P552" s="154" t="s">
        <v>5692</v>
      </c>
      <c r="Q552" s="153">
        <f t="shared" si="1"/>
        <v>0</v>
      </c>
      <c r="R552" s="172"/>
      <c r="S552" s="172"/>
      <c r="T552" s="118">
        <f t="array" ref="T552">IFERROR(
INDEX(REPORTE_DROPI!B:B,
MATCH(
CLEAN(TRIM(C552)),
CLEAN(TRIM(REPORTE_DROPI!E:E)),
0
)
),
""
)
</f>
        <v>4575074</v>
      </c>
      <c r="U552" s="173">
        <v>1.57100136214E11</v>
      </c>
      <c r="V552" s="166"/>
      <c r="W552" s="18"/>
      <c r="X552" s="18"/>
      <c r="Y552" s="18"/>
      <c r="Z552" s="18"/>
    </row>
    <row r="553" ht="22.5" hidden="1" customHeight="1">
      <c r="A553" s="169">
        <v>552.0</v>
      </c>
      <c r="B553" s="170">
        <v>46074.0</v>
      </c>
      <c r="C553" s="154" t="s">
        <v>7488</v>
      </c>
      <c r="D553" s="118" t="str">
        <f>IFERROR(__xludf.DUMMYFUNCTION("IFERROR( INDEX( FILTER( 'NOMBRE DE PRODUCTOS'!B:B, REGEXMATCH( UPPER( INDEX( REPORTE_DROPI!AC:AC, MATCH(T553, REPORTE_DROPI!B:B, 0) ) ), UPPER('NOMBRE DE PRODUCTOS'!A:A) ) ), 1 ), ""REVISAR"" )"),"FilmPro®")</f>
        <v>FilmPro®</v>
      </c>
      <c r="E553" s="120" t="str">
        <f t="array" ref="E553">IF(
UPPER(TRIM(CLEAN($O553)))="ENTREGADO",
IFERROR(
INDEX(REPORTE_DROPI!Y:Y,
MATCH($T553, REPORTE_DROPI!B:B, 0)
),
""
),
""
)
</f>
        <v/>
      </c>
      <c r="F553" s="171">
        <v>1.0</v>
      </c>
      <c r="G553" s="122" t="str">
        <f t="array" ref="G553">IF(
UPPER(TRIM(CLEAN($O553)))="ENTREGADO",
IFERROR(
INDEX(REPORTE_DROPI!R:R,
MATCH($T553, REPORTE_DROPI!B:B, 0)
),
""
),
""
)
</f>
        <v/>
      </c>
      <c r="H553" s="118" t="s">
        <v>3727</v>
      </c>
      <c r="I553" s="154" t="s">
        <v>3731</v>
      </c>
      <c r="J553" s="121" t="str">
        <f t="array" ref="J553">IF(
UPPER(TRIM(CLEAN($O553)))="ENTREGADO",
IFERROR(
INDEX(REPORTE_DROPI!T:T,
MATCH($T553, REPORTE_DROPI!B:B, 0)
),
""
),
""
)
</f>
        <v/>
      </c>
      <c r="K553" s="118" t="str">
        <f t="array" ref="K553">IFERROR(
INDEX(REPORTE_DROPI!S:S,
MATCH($T553, REPORTE_DROPI!B:B, 0)
),
""
)</f>
        <v/>
      </c>
      <c r="L553" s="118">
        <f>IF(
  O553&lt;&gt;"DEVOLUCION",
  "",
  IF(
    T553="",
    "",
    SUMIF(DEVOLUCION!F:F, T553, DEVOLUCION!D:D)
  )
)
</f>
        <v>0</v>
      </c>
      <c r="M553" s="118" t="s">
        <v>5877</v>
      </c>
      <c r="N553" s="169" t="s">
        <v>7489</v>
      </c>
      <c r="O553" s="118" t="str">
        <f t="array" ref="O553">IFERROR(
VLOOKUP(
TRIM(CLEAN(
INDEX(REPORTE_DROPI!K:K,
MATCH(T553, REPORTE_DROPI!B:B, 0)
))),
{
TRIM(CLEAN(MAPA_ESTADOS!A:A)) ,
MAPA_ESTADOS!B:B
},
2,
FALSE
),
"REVISAR"
)</f>
        <v>DEVOLUCION</v>
      </c>
      <c r="P553" s="154" t="s">
        <v>5692</v>
      </c>
      <c r="Q553" s="153">
        <f t="shared" si="1"/>
        <v>0</v>
      </c>
      <c r="R553" s="172"/>
      <c r="S553" s="172"/>
      <c r="T553" s="118">
        <f t="array" ref="T553">IFERROR(
INDEX(REPORTE_DROPI!B:B,
MATCH(
CLEAN(TRIM(C553)),
CLEAN(TRIM(REPORTE_DROPI!E:E)),
0
)
),
""
)
</f>
        <v>4575350</v>
      </c>
      <c r="U553" s="169" t="s">
        <v>7490</v>
      </c>
      <c r="V553" s="166"/>
      <c r="W553" s="18"/>
      <c r="X553" s="18"/>
      <c r="Y553" s="18"/>
      <c r="Z553" s="18"/>
    </row>
    <row r="554" ht="22.5" hidden="1" customHeight="1">
      <c r="A554" s="169">
        <v>553.0</v>
      </c>
      <c r="B554" s="170">
        <v>46074.0</v>
      </c>
      <c r="C554" s="154" t="s">
        <v>7491</v>
      </c>
      <c r="D554" s="118" t="str">
        <f>IFERROR(__xludf.DUMMYFUNCTION("IFERROR( INDEX( FILTER( 'NOMBRE DE PRODUCTOS'!B:B, REGEXMATCH( UPPER( INDEX( REPORTE_DROPI!AC:AC, MATCH(T554, REPORTE_DROPI!B:B, 0) ) ), UPPER('NOMBRE DE PRODUCTOS'!A:A) ) ), 1 ), ""REVISAR"" )"),"FilmPro®")</f>
        <v>FilmPro®</v>
      </c>
      <c r="E554" s="120" t="str">
        <f t="array" ref="E554">IF(
UPPER(TRIM(CLEAN($O554)))="ENTREGADO",
IFERROR(
INDEX(REPORTE_DROPI!Y:Y,
MATCH($T554, REPORTE_DROPI!B:B, 0)
),
""
),
""
)
</f>
        <v/>
      </c>
      <c r="F554" s="171">
        <v>1.0</v>
      </c>
      <c r="G554" s="122" t="str">
        <f t="array" ref="G554">IF(
UPPER(TRIM(CLEAN($O554)))="ENTREGADO",
IFERROR(
INDEX(REPORTE_DROPI!R:R,
MATCH($T554, REPORTE_DROPI!B:B, 0)
),
""
),
""
)
</f>
        <v/>
      </c>
      <c r="H554" s="118" t="s">
        <v>3727</v>
      </c>
      <c r="I554" s="154" t="s">
        <v>3740</v>
      </c>
      <c r="J554" s="121" t="str">
        <f t="array" ref="J554">IF(
UPPER(TRIM(CLEAN($O554)))="ENTREGADO",
IFERROR(
INDEX(REPORTE_DROPI!T:T,
MATCH($T554, REPORTE_DROPI!B:B, 0)
),
""
),
""
)
</f>
        <v/>
      </c>
      <c r="K554" s="118" t="str">
        <f t="array" ref="K554">IFERROR(
INDEX(REPORTE_DROPI!S:S,
MATCH($T554, REPORTE_DROPI!B:B, 0)
),
""
)</f>
        <v/>
      </c>
      <c r="L554" s="118" t="str">
        <f>IF(
  O554&lt;&gt;"DEVOLUCION",
  "",
  IF(
    T554="",
    "",
    SUMIF(DEVOLUCION!F:F, T554, DEVOLUCION!D:D)
  )
)
</f>
        <v/>
      </c>
      <c r="M554" s="118" t="s">
        <v>5877</v>
      </c>
      <c r="N554" s="169" t="s">
        <v>7492</v>
      </c>
      <c r="O554" s="118" t="str">
        <f t="array" ref="O554">IFERROR(
VLOOKUP(
TRIM(CLEAN(
INDEX(REPORTE_DROPI!K:K,
MATCH(T554, REPORTE_DROPI!B:B, 0)
))),
{
TRIM(CLEAN(MAPA_ESTADOS!A:A)) ,
MAPA_ESTADOS!B:B
},
2,
FALSE
),
"REVISAR"
)</f>
        <v>PENDIENTE</v>
      </c>
      <c r="P554" s="154" t="s">
        <v>6568</v>
      </c>
      <c r="Q554" s="153">
        <f t="shared" si="1"/>
        <v>0</v>
      </c>
      <c r="R554" s="172"/>
      <c r="S554" s="172"/>
      <c r="T554" s="118">
        <f t="array" ref="T554">IFERROR(
INDEX(REPORTE_DROPI!B:B,
MATCH(
CLEAN(TRIM(C554)),
CLEAN(TRIM(REPORTE_DROPI!E:E)),
0
)
),
""
)
</f>
        <v>4575501</v>
      </c>
      <c r="U554" s="173">
        <v>1.77234197201E11</v>
      </c>
      <c r="V554" s="166"/>
      <c r="W554" s="18"/>
      <c r="X554" s="18"/>
      <c r="Y554" s="18"/>
      <c r="Z554" s="18"/>
    </row>
    <row r="555" ht="22.5" hidden="1" customHeight="1">
      <c r="A555" s="169">
        <v>554.0</v>
      </c>
      <c r="B555" s="170">
        <v>46074.0</v>
      </c>
      <c r="C555" s="154" t="s">
        <v>7493</v>
      </c>
      <c r="D555" s="118" t="str">
        <f>IFERROR(__xludf.DUMMYFUNCTION("IFERROR( INDEX( FILTER( 'NOMBRE DE PRODUCTOS'!B:B, REGEXMATCH( UPPER( INDEX( REPORTE_DROPI!AC:AC, MATCH(T555, REPORTE_DROPI!B:B, 0) ) ), UPPER('NOMBRE DE PRODUCTOS'!A:A) ) ), 1 ), ""REVISAR"" )"),"Cuchillo Tazaki™")</f>
        <v>Cuchillo Tazaki™</v>
      </c>
      <c r="E555" s="120">
        <f t="array" ref="E555">IF(
UPPER(TRIM(CLEAN($O555)))="ENTREGADO",
IFERROR(
INDEX(REPORTE_DROPI!Y:Y,
MATCH($T555, REPORTE_DROPI!B:B, 0)
),
""
),
""
)
</f>
        <v>7.5</v>
      </c>
      <c r="F555" s="171">
        <v>2.0</v>
      </c>
      <c r="G555" s="122">
        <f t="array" ref="G555">IF(
UPPER(TRIM(CLEAN($O555)))="ENTREGADO",
IFERROR(
INDEX(REPORTE_DROPI!R:R,
MATCH($T555, REPORTE_DROPI!B:B, 0)
),
""
),
""
)
</f>
        <v>22</v>
      </c>
      <c r="H555" s="118" t="s">
        <v>3727</v>
      </c>
      <c r="I555" s="154" t="s">
        <v>3740</v>
      </c>
      <c r="J555" s="121">
        <f t="array" ref="J555">IF(
UPPER(TRIM(CLEAN($O555)))="ENTREGADO",
IFERROR(
INDEX(REPORTE_DROPI!T:T,
MATCH($T555, REPORTE_DROPI!B:B, 0)
),
""
),
""
)
</f>
        <v>5.84</v>
      </c>
      <c r="K555" s="118">
        <f t="array" ref="K555">IFERROR(
INDEX(REPORTE_DROPI!S:S,
MATCH($T555, REPORTE_DROPI!B:B, 0)
),
""
)</f>
        <v>8.66</v>
      </c>
      <c r="L555" s="118" t="str">
        <f>IF(
  O555&lt;&gt;"DEVOLUCION",
  "",
  IF(
    T555="",
    "",
    SUMIF(DEVOLUCION!F:F, T555, DEVOLUCION!D:D)
  )
)
</f>
        <v/>
      </c>
      <c r="M555" s="118" t="s">
        <v>5877</v>
      </c>
      <c r="N555" s="169" t="s">
        <v>7494</v>
      </c>
      <c r="O555" s="118" t="str">
        <f t="array" ref="O555">IFERROR(
VLOOKUP(
TRIM(CLEAN(
INDEX(REPORTE_DROPI!K:K,
MATCH(T555, REPORTE_DROPI!B:B, 0)
))),
{
TRIM(CLEAN(MAPA_ESTADOS!A:A)) ,
MAPA_ESTADOS!B:B
},
2,
FALSE
),
"REVISAR"
)</f>
        <v>ENTREGADO</v>
      </c>
      <c r="P555" s="154" t="s">
        <v>5692</v>
      </c>
      <c r="Q555" s="153">
        <f t="shared" si="1"/>
        <v>0</v>
      </c>
      <c r="R555" s="172"/>
      <c r="S555" s="172"/>
      <c r="T555" s="118">
        <f t="array" ref="T555">IFERROR(
INDEX(REPORTE_DROPI!B:B,
MATCH(
CLEAN(TRIM(C555)),
CLEAN(TRIM(REPORTE_DROPI!E:E)),
0
)
),
""
)
</f>
        <v>4576899</v>
      </c>
      <c r="U555" s="169" t="s">
        <v>7495</v>
      </c>
      <c r="V555" s="166"/>
      <c r="W555" s="18"/>
      <c r="X555" s="18"/>
      <c r="Y555" s="18"/>
      <c r="Z555" s="18"/>
    </row>
    <row r="556" ht="22.5" hidden="1" customHeight="1">
      <c r="A556" s="169">
        <v>555.0</v>
      </c>
      <c r="B556" s="170">
        <v>46074.0</v>
      </c>
      <c r="C556" s="154" t="s">
        <v>7496</v>
      </c>
      <c r="D556" s="118" t="str">
        <f>IFERROR(__xludf.DUMMYFUNCTION("IFERROR( INDEX( FILTER( 'NOMBRE DE PRODUCTOS'!B:B, REGEXMATCH( UPPER( INDEX( REPORTE_DROPI!AC:AC, MATCH(T556, REPORTE_DROPI!B:B, 0) ) ), UPPER('NOMBRE DE PRODUCTOS'!A:A) ) ), 1 ), ""REVISAR"" )"),"Cuchillo Tazaki™")</f>
        <v>Cuchillo Tazaki™</v>
      </c>
      <c r="E556" s="120" t="str">
        <f t="array" ref="E556">IF(
UPPER(TRIM(CLEAN($O556)))="ENTREGADO",
IFERROR(
INDEX(REPORTE_DROPI!Y:Y,
MATCH($T556, REPORTE_DROPI!B:B, 0)
),
""
),
""
)
</f>
        <v/>
      </c>
      <c r="F556" s="171">
        <v>4.0</v>
      </c>
      <c r="G556" s="122" t="str">
        <f t="array" ref="G556">IF(
UPPER(TRIM(CLEAN($O556)))="ENTREGADO",
IFERROR(
INDEX(REPORTE_DROPI!R:R,
MATCH($T556, REPORTE_DROPI!B:B, 0)
),
""
),
""
)
</f>
        <v/>
      </c>
      <c r="H556" s="118" t="s">
        <v>3727</v>
      </c>
      <c r="I556" s="154" t="s">
        <v>3912</v>
      </c>
      <c r="J556" s="121" t="str">
        <f t="array" ref="J556">IF(
UPPER(TRIM(CLEAN($O556)))="ENTREGADO",
IFERROR(
INDEX(REPORTE_DROPI!T:T,
MATCH($T556, REPORTE_DROPI!B:B, 0)
),
""
),
""
)
</f>
        <v/>
      </c>
      <c r="K556" s="118" t="str">
        <f t="array" ref="K556">IFERROR(
INDEX(REPORTE_DROPI!S:S,
MATCH($T556, REPORTE_DROPI!B:B, 0)
),
""
)</f>
        <v/>
      </c>
      <c r="L556" s="118" t="str">
        <f>IF(
  O556&lt;&gt;"DEVOLUCION",
  "",
  IF(
    T556="",
    "",
    SUMIF(DEVOLUCION!F:F, T556, DEVOLUCION!D:D)
  )
)
</f>
        <v/>
      </c>
      <c r="M556" s="118" t="s">
        <v>5877</v>
      </c>
      <c r="N556" s="169" t="s">
        <v>7497</v>
      </c>
      <c r="O556" s="118" t="str">
        <f t="array" ref="O556">IFERROR(
VLOOKUP(
TRIM(CLEAN(
INDEX(REPORTE_DROPI!K:K,
MATCH(T556, REPORTE_DROPI!B:B, 0)
))),
{
TRIM(CLEAN(MAPA_ESTADOS!A:A)) ,
MAPA_ESTADOS!B:B
},
2,
FALSE
),
"REVISAR"
)</f>
        <v>PENDIENTE</v>
      </c>
      <c r="P556" s="154" t="s">
        <v>6473</v>
      </c>
      <c r="Q556" s="153">
        <f t="shared" si="1"/>
        <v>0</v>
      </c>
      <c r="R556" s="172"/>
      <c r="S556" s="172"/>
      <c r="T556" s="118">
        <f t="array" ref="T556">IFERROR(
INDEX(REPORTE_DROPI!B:B,
MATCH(
CLEAN(TRIM(C556)),
CLEAN(TRIM(REPORTE_DROPI!E:E)),
0
)
),
""
)
</f>
        <v>4577187</v>
      </c>
      <c r="U556" s="169" t="s">
        <v>7498</v>
      </c>
      <c r="V556" s="166"/>
      <c r="W556" s="18"/>
      <c r="X556" s="18"/>
      <c r="Y556" s="18"/>
      <c r="Z556" s="18"/>
    </row>
    <row r="557" ht="22.5" hidden="1" customHeight="1">
      <c r="A557" s="169">
        <v>556.0</v>
      </c>
      <c r="B557" s="170">
        <v>46074.0</v>
      </c>
      <c r="C557" s="154" t="s">
        <v>7499</v>
      </c>
      <c r="D557" s="118" t="str">
        <f>IFERROR(__xludf.DUMMYFUNCTION("IFERROR( INDEX( FILTER( 'NOMBRE DE PRODUCTOS'!B:B, REGEXMATCH( UPPER( INDEX( REPORTE_DROPI!AC:AC, MATCH(T557, REPORTE_DROPI!B:B, 0) ) ), UPPER('NOMBRE DE PRODUCTOS'!A:A) ) ), 1 ), ""REVISAR"" )"),"FilmPro®")</f>
        <v>FilmPro®</v>
      </c>
      <c r="E557" s="120">
        <f t="array" ref="E557">IF(
UPPER(TRIM(CLEAN($O557)))="ENTREGADO",
IFERROR(
INDEX(REPORTE_DROPI!Y:Y,
MATCH($T557, REPORTE_DROPI!B:B, 0)
),
""
),
""
)
</f>
        <v>7.2</v>
      </c>
      <c r="F557" s="171">
        <v>3.0</v>
      </c>
      <c r="G557" s="122">
        <f t="array" ref="G557">IF(
UPPER(TRIM(CLEAN($O557)))="ENTREGADO",
IFERROR(
INDEX(REPORTE_DROPI!R:R,
MATCH($T557, REPORTE_DROPI!B:B, 0)
),
""
),
""
)
</f>
        <v>30</v>
      </c>
      <c r="H557" s="118" t="s">
        <v>3727</v>
      </c>
      <c r="I557" s="154" t="s">
        <v>3731</v>
      </c>
      <c r="J557" s="121">
        <f t="array" ref="J557">IF(
UPPER(TRIM(CLEAN($O557)))="ENTREGADO",
IFERROR(
INDEX(REPORTE_DROPI!T:T,
MATCH($T557, REPORTE_DROPI!B:B, 0)
),
""
),
""
)
</f>
        <v>6.16</v>
      </c>
      <c r="K557" s="118">
        <f t="array" ref="K557">IFERROR(
INDEX(REPORTE_DROPI!S:S,
MATCH($T557, REPORTE_DROPI!B:B, 0)
),
""
)</f>
        <v>16.64</v>
      </c>
      <c r="L557" s="118" t="str">
        <f>IF(
  O557&lt;&gt;"DEVOLUCION",
  "",
  IF(
    T557="",
    "",
    SUMIF(DEVOLUCION!F:F, T557, DEVOLUCION!D:D)
  )
)
</f>
        <v/>
      </c>
      <c r="M557" s="118" t="s">
        <v>5877</v>
      </c>
      <c r="N557" s="169" t="s">
        <v>7500</v>
      </c>
      <c r="O557" s="118" t="str">
        <f t="array" ref="O557">IFERROR(
VLOOKUP(
TRIM(CLEAN(
INDEX(REPORTE_DROPI!K:K,
MATCH(T557, REPORTE_DROPI!B:B, 0)
))),
{
TRIM(CLEAN(MAPA_ESTADOS!A:A)) ,
MAPA_ESTADOS!B:B
},
2,
FALSE
),
"REVISAR"
)</f>
        <v>ENTREGADO</v>
      </c>
      <c r="P557" s="154" t="s">
        <v>5692</v>
      </c>
      <c r="Q557" s="153">
        <f t="shared" si="1"/>
        <v>0</v>
      </c>
      <c r="R557" s="172"/>
      <c r="S557" s="172"/>
      <c r="T557" s="118">
        <f t="array" ref="T557">IFERROR(
INDEX(REPORTE_DROPI!B:B,
MATCH(
CLEAN(TRIM(C557)),
CLEAN(TRIM(REPORTE_DROPI!E:E)),
0
)
),
""
)
</f>
        <v>4577191</v>
      </c>
      <c r="U557" s="169" t="s">
        <v>7501</v>
      </c>
      <c r="V557" s="166"/>
      <c r="W557" s="18"/>
      <c r="X557" s="18"/>
      <c r="Y557" s="18"/>
      <c r="Z557" s="18"/>
    </row>
    <row r="558" ht="22.5" hidden="1" customHeight="1">
      <c r="A558" s="169">
        <v>557.0</v>
      </c>
      <c r="B558" s="170">
        <v>46074.0</v>
      </c>
      <c r="C558" s="154" t="s">
        <v>7502</v>
      </c>
      <c r="D558" s="118" t="str">
        <f>IFERROR(__xludf.DUMMYFUNCTION("IFERROR( INDEX( FILTER( 'NOMBRE DE PRODUCTOS'!B:B, REGEXMATCH( UPPER( INDEX( REPORTE_DROPI!AC:AC, MATCH(T558, REPORTE_DROPI!B:B, 0) ) ), UPPER('NOMBRE DE PRODUCTOS'!A:A) ) ), 1 ), ""REVISAR"" )"),"FilmPro®")</f>
        <v>FilmPro®</v>
      </c>
      <c r="E558" s="120" t="str">
        <f t="array" ref="E558">IF(
UPPER(TRIM(CLEAN($O558)))="ENTREGADO",
IFERROR(
INDEX(REPORTE_DROPI!Y:Y,
MATCH($T558, REPORTE_DROPI!B:B, 0)
),
""
),
""
)
</f>
        <v/>
      </c>
      <c r="F558" s="171">
        <v>3.0</v>
      </c>
      <c r="G558" s="122" t="str">
        <f t="array" ref="G558">IF(
UPPER(TRIM(CLEAN($O558)))="ENTREGADO",
IFERROR(
INDEX(REPORTE_DROPI!R:R,
MATCH($T558, REPORTE_DROPI!B:B, 0)
),
""
),
""
)
</f>
        <v/>
      </c>
      <c r="H558" s="118" t="s">
        <v>3727</v>
      </c>
      <c r="I558" s="154" t="s">
        <v>3731</v>
      </c>
      <c r="J558" s="121" t="str">
        <f t="array" ref="J558">IF(
UPPER(TRIM(CLEAN($O558)))="ENTREGADO",
IFERROR(
INDEX(REPORTE_DROPI!T:T,
MATCH($T558, REPORTE_DROPI!B:B, 0)
),
""
),
""
)
</f>
        <v/>
      </c>
      <c r="K558" s="118" t="str">
        <f t="array" ref="K558">IFERROR(
INDEX(REPORTE_DROPI!S:S,
MATCH($T558, REPORTE_DROPI!B:B, 0)
),
""
)</f>
        <v/>
      </c>
      <c r="L558" s="118" t="str">
        <f>IF(
  O558&lt;&gt;"DEVOLUCION",
  "",
  IF(
    T558="",
    "",
    SUMIF(DEVOLUCION!F:F, T558, DEVOLUCION!D:D)
  )
)
</f>
        <v/>
      </c>
      <c r="M558" s="118" t="s">
        <v>5877</v>
      </c>
      <c r="N558" s="169" t="s">
        <v>7503</v>
      </c>
      <c r="O558" s="118" t="str">
        <f t="array" ref="O558">IFERROR(
VLOOKUP(
TRIM(CLEAN(
INDEX(REPORTE_DROPI!K:K,
MATCH(T558, REPORTE_DROPI!B:B, 0)
))),
{
TRIM(CLEAN(MAPA_ESTADOS!A:A)) ,
MAPA_ESTADOS!B:B
},
2,
FALSE
),
"REVISAR"
)</f>
        <v>PENDIENTE</v>
      </c>
      <c r="P558" s="154" t="s">
        <v>7504</v>
      </c>
      <c r="Q558" s="153">
        <f t="shared" si="1"/>
        <v>0</v>
      </c>
      <c r="R558" s="172"/>
      <c r="S558" s="172"/>
      <c r="T558" s="118">
        <f t="array" ref="T558">IFERROR(
INDEX(REPORTE_DROPI!B:B,
MATCH(
CLEAN(TRIM(C558)),
CLEAN(TRIM(REPORTE_DROPI!E:E)),
0
)
),
""
)
</f>
        <v>4586511</v>
      </c>
      <c r="U558" s="173">
        <v>1.90242106243E11</v>
      </c>
      <c r="V558" s="166"/>
      <c r="W558" s="18"/>
      <c r="X558" s="18"/>
      <c r="Y558" s="18"/>
      <c r="Z558" s="18"/>
    </row>
    <row r="559" ht="22.5" hidden="1" customHeight="1">
      <c r="A559" s="169">
        <v>558.0</v>
      </c>
      <c r="B559" s="170">
        <v>46074.0</v>
      </c>
      <c r="C559" s="154" t="s">
        <v>7505</v>
      </c>
      <c r="D559" s="118" t="str">
        <f>IFERROR(__xludf.DUMMYFUNCTION("IFERROR( INDEX( FILTER( 'NOMBRE DE PRODUCTOS'!B:B, REGEXMATCH( UPPER( INDEX( REPORTE_DROPI!AC:AC, MATCH(T559, REPORTE_DROPI!B:B, 0) ) ), UPPER('NOMBRE DE PRODUCTOS'!A:A) ) ), 1 ), ""REVISAR"" )"),"FilmPro®")</f>
        <v>FilmPro®</v>
      </c>
      <c r="E559" s="120" t="str">
        <f t="array" ref="E559">IF(
UPPER(TRIM(CLEAN($O559)))="ENTREGADO",
IFERROR(
INDEX(REPORTE_DROPI!Y:Y,
MATCH($T559, REPORTE_DROPI!B:B, 0)
),
""
),
""
)
</f>
        <v/>
      </c>
      <c r="F559" s="171">
        <v>3.0</v>
      </c>
      <c r="G559" s="122" t="str">
        <f t="array" ref="G559">IF(
UPPER(TRIM(CLEAN($O559)))="ENTREGADO",
IFERROR(
INDEX(REPORTE_DROPI!R:R,
MATCH($T559, REPORTE_DROPI!B:B, 0)
),
""
),
""
)
</f>
        <v/>
      </c>
      <c r="H559" s="118" t="s">
        <v>3727</v>
      </c>
      <c r="I559" s="154" t="s">
        <v>3979</v>
      </c>
      <c r="J559" s="121" t="str">
        <f t="array" ref="J559">IF(
UPPER(TRIM(CLEAN($O559)))="ENTREGADO",
IFERROR(
INDEX(REPORTE_DROPI!T:T,
MATCH($T559, REPORTE_DROPI!B:B, 0)
),
""
),
""
)
</f>
        <v/>
      </c>
      <c r="K559" s="118" t="str">
        <f t="array" ref="K559">IFERROR(
INDEX(REPORTE_DROPI!S:S,
MATCH($T559, REPORTE_DROPI!B:B, 0)
),
""
)</f>
        <v/>
      </c>
      <c r="L559" s="118">
        <f>IF(
  O559&lt;&gt;"DEVOLUCION",
  "",
  IF(
    T559="",
    "",
    SUMIF(DEVOLUCION!F:F, T559, DEVOLUCION!D:D)
  )
)
</f>
        <v>0</v>
      </c>
      <c r="M559" s="118" t="s">
        <v>5877</v>
      </c>
      <c r="N559" s="169" t="s">
        <v>7506</v>
      </c>
      <c r="O559" s="118" t="str">
        <f t="array" ref="O559">IFERROR(
VLOOKUP(
TRIM(CLEAN(
INDEX(REPORTE_DROPI!K:K,
MATCH(T559, REPORTE_DROPI!B:B, 0)
))),
{
TRIM(CLEAN(MAPA_ESTADOS!A:A)) ,
MAPA_ESTADOS!B:B
},
2,
FALSE
),
"REVISAR"
)</f>
        <v>DEVOLUCION</v>
      </c>
      <c r="P559" s="154" t="s">
        <v>5692</v>
      </c>
      <c r="Q559" s="153">
        <f t="shared" si="1"/>
        <v>0</v>
      </c>
      <c r="R559" s="172"/>
      <c r="S559" s="172"/>
      <c r="T559" s="118">
        <f t="array" ref="T559">IFERROR(
INDEX(REPORTE_DROPI!B:B,
MATCH(
CLEAN(TRIM(C559)),
CLEAN(TRIM(REPORTE_DROPI!E:E)),
0
)
),
""
)
</f>
        <v>4577485</v>
      </c>
      <c r="U559" s="169" t="s">
        <v>7507</v>
      </c>
      <c r="V559" s="166"/>
      <c r="W559" s="18"/>
      <c r="X559" s="18"/>
      <c r="Y559" s="18"/>
      <c r="Z559" s="18"/>
    </row>
    <row r="560" ht="22.5" hidden="1" customHeight="1">
      <c r="A560" s="169">
        <v>559.0</v>
      </c>
      <c r="B560" s="170">
        <v>46074.0</v>
      </c>
      <c r="C560" s="154" t="s">
        <v>7508</v>
      </c>
      <c r="D560" s="118" t="str">
        <f>IFERROR(__xludf.DUMMYFUNCTION("IFERROR( INDEX( FILTER( 'NOMBRE DE PRODUCTOS'!B:B, REGEXMATCH( UPPER( INDEX( REPORTE_DROPI!AC:AC, MATCH(T560, REPORTE_DROPI!B:B, 0) ) ), UPPER('NOMBRE DE PRODUCTOS'!A:A) ) ), 1 ), ""REVISAR"" )"),"FilmPro®")</f>
        <v>FilmPro®</v>
      </c>
      <c r="E560" s="120">
        <f t="array" ref="E560">IF(
UPPER(TRIM(CLEAN($O560)))="ENTREGADO",
IFERROR(
INDEX(REPORTE_DROPI!Y:Y,
MATCH($T560, REPORTE_DROPI!B:B, 0)
),
""
),
""
)
</f>
        <v>7.2</v>
      </c>
      <c r="F560" s="171">
        <v>3.0</v>
      </c>
      <c r="G560" s="122">
        <f t="array" ref="G560">IF(
UPPER(TRIM(CLEAN($O560)))="ENTREGADO",
IFERROR(
INDEX(REPORTE_DROPI!R:R,
MATCH($T560, REPORTE_DROPI!B:B, 0)
),
""
),
""
)
</f>
        <v>30</v>
      </c>
      <c r="H560" s="118" t="s">
        <v>3727</v>
      </c>
      <c r="I560" s="154" t="s">
        <v>3801</v>
      </c>
      <c r="J560" s="121">
        <f t="array" ref="J560">IF(
UPPER(TRIM(CLEAN($O560)))="ENTREGADO",
IFERROR(
INDEX(REPORTE_DROPI!T:T,
MATCH($T560, REPORTE_DROPI!B:B, 0)
),
""
),
""
)
</f>
        <v>6.12</v>
      </c>
      <c r="K560" s="118">
        <f t="array" ref="K560">IFERROR(
INDEX(REPORTE_DROPI!S:S,
MATCH($T560, REPORTE_DROPI!B:B, 0)
),
""
)</f>
        <v>16.68</v>
      </c>
      <c r="L560" s="118" t="str">
        <f>IF(
  O560&lt;&gt;"DEVOLUCION",
  "",
  IF(
    T560="",
    "",
    SUMIF(DEVOLUCION!F:F, T560, DEVOLUCION!D:D)
  )
)
</f>
        <v/>
      </c>
      <c r="M560" s="118" t="s">
        <v>5877</v>
      </c>
      <c r="N560" s="169" t="s">
        <v>7509</v>
      </c>
      <c r="O560" s="118" t="str">
        <f t="array" ref="O560">IFERROR(
VLOOKUP(
TRIM(CLEAN(
INDEX(REPORTE_DROPI!K:K,
MATCH(T560, REPORTE_DROPI!B:B, 0)
))),
{
TRIM(CLEAN(MAPA_ESTADOS!A:A)) ,
MAPA_ESTADOS!B:B
},
2,
FALSE
),
"REVISAR"
)</f>
        <v>ENTREGADO</v>
      </c>
      <c r="P560" s="154" t="s">
        <v>5692</v>
      </c>
      <c r="Q560" s="153">
        <f t="shared" si="1"/>
        <v>0</v>
      </c>
      <c r="R560" s="172"/>
      <c r="S560" s="172"/>
      <c r="T560" s="118">
        <f t="array" ref="T560">IFERROR(
INDEX(REPORTE_DROPI!B:B,
MATCH(
CLEAN(TRIM(C560)),
CLEAN(TRIM(REPORTE_DROPI!E:E)),
0
)
),
""
)
</f>
        <v>4596610</v>
      </c>
      <c r="U560" s="173">
        <v>4.5163205197E10</v>
      </c>
      <c r="V560" s="166"/>
      <c r="W560" s="18"/>
      <c r="X560" s="18"/>
      <c r="Y560" s="18"/>
      <c r="Z560" s="18"/>
    </row>
    <row r="561" ht="22.5" hidden="1" customHeight="1">
      <c r="A561" s="169">
        <v>560.0</v>
      </c>
      <c r="B561" s="170">
        <v>46074.0</v>
      </c>
      <c r="C561" s="154" t="s">
        <v>7510</v>
      </c>
      <c r="D561" s="118" t="str">
        <f>IFERROR(__xludf.DUMMYFUNCTION("IFERROR( INDEX( FILTER( 'NOMBRE DE PRODUCTOS'!B:B, REGEXMATCH( UPPER( INDEX( REPORTE_DROPI!AC:AC, MATCH(T561, REPORTE_DROPI!B:B, 0) ) ), UPPER('NOMBRE DE PRODUCTOS'!A:A) ) ), 1 ), ""REVISAR"" )"),"FilmPro®")</f>
        <v>FilmPro®</v>
      </c>
      <c r="E561" s="120">
        <f t="array" ref="E561">IF(
UPPER(TRIM(CLEAN($O561)))="ENTREGADO",
IFERROR(
INDEX(REPORTE_DROPI!Y:Y,
MATCH($T561, REPORTE_DROPI!B:B, 0)
),
""
),
""
)
</f>
        <v>7.05</v>
      </c>
      <c r="F561" s="171">
        <v>3.0</v>
      </c>
      <c r="G561" s="122">
        <f t="array" ref="G561">IF(
UPPER(TRIM(CLEAN($O561)))="ENTREGADO",
IFERROR(
INDEX(REPORTE_DROPI!R:R,
MATCH($T561, REPORTE_DROPI!B:B, 0)
),
""
),
""
)
</f>
        <v>30</v>
      </c>
      <c r="H561" s="118" t="s">
        <v>3727</v>
      </c>
      <c r="I561" s="154" t="s">
        <v>3759</v>
      </c>
      <c r="J561" s="121">
        <f t="array" ref="J561">IF(
UPPER(TRIM(CLEAN($O561)))="ENTREGADO",
IFERROR(
INDEX(REPORTE_DROPI!T:T,
MATCH($T561, REPORTE_DROPI!B:B, 0)
),
""
),
""
)
</f>
        <v>6.16</v>
      </c>
      <c r="K561" s="118">
        <f t="array" ref="K561">IFERROR(
INDEX(REPORTE_DROPI!S:S,
MATCH($T561, REPORTE_DROPI!B:B, 0)
),
""
)</f>
        <v>16.79</v>
      </c>
      <c r="L561" s="118" t="str">
        <f>IF(
  O561&lt;&gt;"DEVOLUCION",
  "",
  IF(
    T561="",
    "",
    SUMIF(DEVOLUCION!F:F, T561, DEVOLUCION!D:D)
  )
)
</f>
        <v/>
      </c>
      <c r="M561" s="118" t="s">
        <v>5877</v>
      </c>
      <c r="N561" s="169" t="s">
        <v>7511</v>
      </c>
      <c r="O561" s="118" t="str">
        <f t="array" ref="O561">IFERROR(
VLOOKUP(
TRIM(CLEAN(
INDEX(REPORTE_DROPI!K:K,
MATCH(T561, REPORTE_DROPI!B:B, 0)
))),
{
TRIM(CLEAN(MAPA_ESTADOS!A:A)) ,
MAPA_ESTADOS!B:B
},
2,
FALSE
),
"REVISAR"
)</f>
        <v>ENTREGADO</v>
      </c>
      <c r="P561" s="154" t="s">
        <v>5909</v>
      </c>
      <c r="Q561" s="153">
        <f t="shared" si="1"/>
        <v>0</v>
      </c>
      <c r="R561" s="172"/>
      <c r="S561" s="172"/>
      <c r="T561" s="118">
        <f t="array" ref="T561">IFERROR(
INDEX(REPORTE_DROPI!B:B,
MATCH(
CLEAN(TRIM(C561)),
CLEAN(TRIM(REPORTE_DROPI!E:E)),
0
)
),
""
)
</f>
        <v>4586535</v>
      </c>
      <c r="U561" s="169" t="s">
        <v>7512</v>
      </c>
      <c r="V561" s="166"/>
      <c r="W561" s="18"/>
      <c r="X561" s="18"/>
      <c r="Y561" s="18"/>
      <c r="Z561" s="18"/>
    </row>
    <row r="562" ht="22.5" hidden="1" customHeight="1">
      <c r="A562" s="169">
        <v>561.0</v>
      </c>
      <c r="B562" s="170">
        <v>46074.0</v>
      </c>
      <c r="C562" s="154" t="s">
        <v>7513</v>
      </c>
      <c r="D562" s="118" t="str">
        <f>IFERROR(__xludf.DUMMYFUNCTION("IFERROR( INDEX( FILTER( 'NOMBRE DE PRODUCTOS'!B:B, REGEXMATCH( UPPER( INDEX( REPORTE_DROPI!AC:AC, MATCH(T562, REPORTE_DROPI!B:B, 0) ) ), UPPER('NOMBRE DE PRODUCTOS'!A:A) ) ), 1 ), ""REVISAR"" )"),"Cuchillo Tazaki™")</f>
        <v>Cuchillo Tazaki™</v>
      </c>
      <c r="E562" s="120">
        <f t="array" ref="E562">IF(
UPPER(TRIM(CLEAN($O562)))="ENTREGADO",
IFERROR(
INDEX(REPORTE_DROPI!Y:Y,
MATCH($T562, REPORTE_DROPI!B:B, 0)
),
""
),
""
)
</f>
        <v>7.5</v>
      </c>
      <c r="F562" s="171">
        <v>2.0</v>
      </c>
      <c r="G562" s="122">
        <f t="array" ref="G562">IF(
UPPER(TRIM(CLEAN($O562)))="ENTREGADO",
IFERROR(
INDEX(REPORTE_DROPI!R:R,
MATCH($T562, REPORTE_DROPI!B:B, 0)
),
""
),
""
)
</f>
        <v>22</v>
      </c>
      <c r="H562" s="118" t="s">
        <v>3727</v>
      </c>
      <c r="I562" s="154" t="s">
        <v>3728</v>
      </c>
      <c r="J562" s="121">
        <f t="array" ref="J562">IF(
UPPER(TRIM(CLEAN($O562)))="ENTREGADO",
IFERROR(
INDEX(REPORTE_DROPI!T:T,
MATCH($T562, REPORTE_DROPI!B:B, 0)
),
""
),
""
)
</f>
        <v>7.01</v>
      </c>
      <c r="K562" s="118">
        <f t="array" ref="K562">IFERROR(
INDEX(REPORTE_DROPI!S:S,
MATCH($T562, REPORTE_DROPI!B:B, 0)
),
""
)</f>
        <v>7.49</v>
      </c>
      <c r="L562" s="118" t="str">
        <f>IF(
  O562&lt;&gt;"DEVOLUCION",
  "",
  IF(
    T562="",
    "",
    SUMIF(DEVOLUCION!F:F, T562, DEVOLUCION!D:D)
  )
)
</f>
        <v/>
      </c>
      <c r="M562" s="118" t="s">
        <v>5877</v>
      </c>
      <c r="N562" s="169" t="s">
        <v>7514</v>
      </c>
      <c r="O562" s="118" t="str">
        <f t="array" ref="O562">IFERROR(
VLOOKUP(
TRIM(CLEAN(
INDEX(REPORTE_DROPI!K:K,
MATCH(T562, REPORTE_DROPI!B:B, 0)
))),
{
TRIM(CLEAN(MAPA_ESTADOS!A:A)) ,
MAPA_ESTADOS!B:B
},
2,
FALSE
),
"REVISAR"
)</f>
        <v>ENTREGADO</v>
      </c>
      <c r="P562" s="154" t="s">
        <v>5692</v>
      </c>
      <c r="Q562" s="153">
        <f t="shared" si="1"/>
        <v>0</v>
      </c>
      <c r="R562" s="172"/>
      <c r="S562" s="172"/>
      <c r="T562" s="118">
        <f t="array" ref="T562">IFERROR(
INDEX(REPORTE_DROPI!B:B,
MATCH(
CLEAN(TRIM(C562)),
CLEAN(TRIM(REPORTE_DROPI!E:E)),
0
)
),
""
)
</f>
        <v>4577619</v>
      </c>
      <c r="U562" s="169" t="s">
        <v>7515</v>
      </c>
      <c r="V562" s="166"/>
      <c r="W562" s="18"/>
      <c r="X562" s="18"/>
      <c r="Y562" s="18"/>
      <c r="Z562" s="18"/>
    </row>
    <row r="563" ht="22.5" hidden="1" customHeight="1">
      <c r="A563" s="169">
        <v>562.0</v>
      </c>
      <c r="B563" s="170">
        <v>46074.0</v>
      </c>
      <c r="C563" s="154" t="s">
        <v>7516</v>
      </c>
      <c r="D563" s="118" t="str">
        <f>IFERROR(__xludf.DUMMYFUNCTION("IFERROR( INDEX( FILTER( 'NOMBRE DE PRODUCTOS'!B:B, REGEXMATCH( UPPER( INDEX( REPORTE_DROPI!AC:AC, MATCH(T563, REPORTE_DROPI!B:B, 0) ) ), UPPER('NOMBRE DE PRODUCTOS'!A:A) ) ), 1 ), ""REVISAR"" )"),"Cuchillo Tazaki™")</f>
        <v>Cuchillo Tazaki™</v>
      </c>
      <c r="E563" s="120">
        <f t="array" ref="E563">IF(
UPPER(TRIM(CLEAN($O563)))="ENTREGADO",
IFERROR(
INDEX(REPORTE_DROPI!Y:Y,
MATCH($T563, REPORTE_DROPI!B:B, 0)
),
""
),
""
)
</f>
        <v>7.5</v>
      </c>
      <c r="F563" s="171">
        <v>2.0</v>
      </c>
      <c r="G563" s="122">
        <f t="array" ref="G563">IF(
UPPER(TRIM(CLEAN($O563)))="ENTREGADO",
IFERROR(
INDEX(REPORTE_DROPI!R:R,
MATCH($T563, REPORTE_DROPI!B:B, 0)
),
""
),
""
)
</f>
        <v>22</v>
      </c>
      <c r="H563" s="118" t="s">
        <v>3727</v>
      </c>
      <c r="I563" s="154" t="s">
        <v>3731</v>
      </c>
      <c r="J563" s="121">
        <f t="array" ref="J563">IF(
UPPER(TRIM(CLEAN($O563)))="ENTREGADO",
IFERROR(
INDEX(REPORTE_DROPI!T:T,
MATCH($T563, REPORTE_DROPI!B:B, 0)
),
""
),
""
)
</f>
        <v>4.23</v>
      </c>
      <c r="K563" s="118">
        <f t="array" ref="K563">IFERROR(
INDEX(REPORTE_DROPI!S:S,
MATCH($T563, REPORTE_DROPI!B:B, 0)
),
""
)</f>
        <v>10.27</v>
      </c>
      <c r="L563" s="118" t="str">
        <f>IF(
  O563&lt;&gt;"DEVOLUCION",
  "",
  IF(
    T563="",
    "",
    SUMIF(DEVOLUCION!F:F, T563, DEVOLUCION!D:D)
  )
)
</f>
        <v/>
      </c>
      <c r="M563" s="118" t="s">
        <v>5877</v>
      </c>
      <c r="N563" s="169" t="s">
        <v>7517</v>
      </c>
      <c r="O563" s="118" t="str">
        <f t="array" ref="O563">IFERROR(
VLOOKUP(
TRIM(CLEAN(
INDEX(REPORTE_DROPI!K:K,
MATCH(T563, REPORTE_DROPI!B:B, 0)
))),
{
TRIM(CLEAN(MAPA_ESTADOS!A:A)) ,
MAPA_ESTADOS!B:B
},
2,
FALSE
),
"REVISAR"
)</f>
        <v>ENTREGADO</v>
      </c>
      <c r="P563" s="154" t="s">
        <v>5692</v>
      </c>
      <c r="Q563" s="153">
        <f t="shared" si="1"/>
        <v>0</v>
      </c>
      <c r="R563" s="172"/>
      <c r="S563" s="172"/>
      <c r="T563" s="118">
        <f t="array" ref="T563">IFERROR(
INDEX(REPORTE_DROPI!B:B,
MATCH(
CLEAN(TRIM(C563)),
CLEAN(TRIM(REPORTE_DROPI!E:E)),
0
)
),
""
)
</f>
        <v>4577757</v>
      </c>
      <c r="U563" s="169" t="s">
        <v>7518</v>
      </c>
      <c r="V563" s="166"/>
      <c r="W563" s="18"/>
      <c r="X563" s="18"/>
      <c r="Y563" s="18"/>
      <c r="Z563" s="18"/>
    </row>
    <row r="564" ht="22.5" hidden="1" customHeight="1">
      <c r="A564" s="169">
        <v>563.0</v>
      </c>
      <c r="B564" s="170">
        <v>46074.0</v>
      </c>
      <c r="C564" s="154" t="s">
        <v>7519</v>
      </c>
      <c r="D564" s="118" t="str">
        <f>IFERROR(__xludf.DUMMYFUNCTION("IFERROR( INDEX( FILTER( 'NOMBRE DE PRODUCTOS'!B:B, REGEXMATCH( UPPER( INDEX( REPORTE_DROPI!AC:AC, MATCH(T564, REPORTE_DROPI!B:B, 0) ) ), UPPER('NOMBRE DE PRODUCTOS'!A:A) ) ), 1 ), ""REVISAR"" )"),"FilmPro®")</f>
        <v>FilmPro®</v>
      </c>
      <c r="E564" s="120" t="str">
        <f t="array" ref="E564">IF(
UPPER(TRIM(CLEAN($O564)))="ENTREGADO",
IFERROR(
INDEX(REPORTE_DROPI!Y:Y,
MATCH($T564, REPORTE_DROPI!B:B, 0)
),
""
),
""
)
</f>
        <v/>
      </c>
      <c r="F564" s="171">
        <v>2.0</v>
      </c>
      <c r="G564" s="122" t="str">
        <f t="array" ref="G564">IF(
UPPER(TRIM(CLEAN($O564)))="ENTREGADO",
IFERROR(
INDEX(REPORTE_DROPI!R:R,
MATCH($T564, REPORTE_DROPI!B:B, 0)
),
""
),
""
)
</f>
        <v/>
      </c>
      <c r="H564" s="118" t="s">
        <v>3727</v>
      </c>
      <c r="I564" s="154" t="s">
        <v>3855</v>
      </c>
      <c r="J564" s="121" t="str">
        <f t="array" ref="J564">IF(
UPPER(TRIM(CLEAN($O564)))="ENTREGADO",
IFERROR(
INDEX(REPORTE_DROPI!T:T,
MATCH($T564, REPORTE_DROPI!B:B, 0)
),
""
),
""
)
</f>
        <v/>
      </c>
      <c r="K564" s="118" t="str">
        <f t="array" ref="K564">IFERROR(
INDEX(REPORTE_DROPI!S:S,
MATCH($T564, REPORTE_DROPI!B:B, 0)
),
""
)</f>
        <v/>
      </c>
      <c r="L564" s="118" t="str">
        <f>IF(
  O564&lt;&gt;"DEVOLUCION",
  "",
  IF(
    T564="",
    "",
    SUMIF(DEVOLUCION!F:F, T564, DEVOLUCION!D:D)
  )
)
</f>
        <v/>
      </c>
      <c r="M564" s="118" t="s">
        <v>5877</v>
      </c>
      <c r="N564" s="169" t="s">
        <v>7520</v>
      </c>
      <c r="O564" s="118" t="str">
        <f t="array" ref="O564">IFERROR(
VLOOKUP(
TRIM(CLEAN(
INDEX(REPORTE_DROPI!K:K,
MATCH(T564, REPORTE_DROPI!B:B, 0)
))),
{
TRIM(CLEAN(MAPA_ESTADOS!A:A)) ,
MAPA_ESTADOS!B:B
},
2,
FALSE
),
"REVISAR"
)</f>
        <v>PENDIENTE</v>
      </c>
      <c r="P564" s="154" t="s">
        <v>6568</v>
      </c>
      <c r="Q564" s="153">
        <f t="shared" si="1"/>
        <v>0</v>
      </c>
      <c r="R564" s="172"/>
      <c r="S564" s="172"/>
      <c r="T564" s="118">
        <f t="array" ref="T564">IFERROR(
INDEX(REPORTE_DROPI!B:B,
MATCH(
CLEAN(TRIM(C564)),
CLEAN(TRIM(REPORTE_DROPI!E:E)),
0
)
),
""
)
</f>
        <v>4586545</v>
      </c>
      <c r="U564" s="169" t="s">
        <v>7521</v>
      </c>
      <c r="V564" s="166"/>
      <c r="W564" s="18"/>
      <c r="X564" s="18"/>
      <c r="Y564" s="18"/>
      <c r="Z564" s="18"/>
    </row>
    <row r="565" ht="22.5" hidden="1" customHeight="1">
      <c r="A565" s="169">
        <v>564.0</v>
      </c>
      <c r="B565" s="170">
        <v>46074.0</v>
      </c>
      <c r="C565" s="154" t="s">
        <v>7522</v>
      </c>
      <c r="D565" s="118" t="str">
        <f>IFERROR(__xludf.DUMMYFUNCTION("IFERROR( INDEX( FILTER( 'NOMBRE DE PRODUCTOS'!B:B, REGEXMATCH( UPPER( INDEX( REPORTE_DROPI!AC:AC, MATCH(T565, REPORTE_DROPI!B:B, 0) ) ), UPPER('NOMBRE DE PRODUCTOS'!A:A) ) ), 1 ), ""REVISAR"" )"),"FilmPro®")</f>
        <v>FilmPro®</v>
      </c>
      <c r="E565" s="120">
        <f t="array" ref="E565">IF(
UPPER(TRIM(CLEAN($O565)))="ENTREGADO",
IFERROR(
INDEX(REPORTE_DROPI!Y:Y,
MATCH($T565, REPORTE_DROPI!B:B, 0)
),
""
),
""
)
</f>
        <v>7.05</v>
      </c>
      <c r="F565" s="171">
        <v>3.0</v>
      </c>
      <c r="G565" s="122">
        <f t="array" ref="G565">IF(
UPPER(TRIM(CLEAN($O565)))="ENTREGADO",
IFERROR(
INDEX(REPORTE_DROPI!R:R,
MATCH($T565, REPORTE_DROPI!B:B, 0)
),
""
),
""
)
</f>
        <v>30</v>
      </c>
      <c r="H565" s="118" t="s">
        <v>3727</v>
      </c>
      <c r="I565" s="154" t="s">
        <v>3731</v>
      </c>
      <c r="J565" s="121">
        <f t="array" ref="J565">IF(
UPPER(TRIM(CLEAN($O565)))="ENTREGADO",
IFERROR(
INDEX(REPORTE_DROPI!T:T,
MATCH($T565, REPORTE_DROPI!B:B, 0)
),
""
),
""
)
</f>
        <v>5.12</v>
      </c>
      <c r="K565" s="118">
        <f t="array" ref="K565">IFERROR(
INDEX(REPORTE_DROPI!S:S,
MATCH($T565, REPORTE_DROPI!B:B, 0)
),
""
)</f>
        <v>17.83</v>
      </c>
      <c r="L565" s="118" t="str">
        <f>IF(
  O565&lt;&gt;"DEVOLUCION",
  "",
  IF(
    T565="",
    "",
    SUMIF(DEVOLUCION!F:F, T565, DEVOLUCION!D:D)
  )
)
</f>
        <v/>
      </c>
      <c r="M565" s="118" t="s">
        <v>5877</v>
      </c>
      <c r="N565" s="169" t="s">
        <v>7523</v>
      </c>
      <c r="O565" s="118" t="str">
        <f t="array" ref="O565">IFERROR(
VLOOKUP(
TRIM(CLEAN(
INDEX(REPORTE_DROPI!K:K,
MATCH(T565, REPORTE_DROPI!B:B, 0)
))),
{
TRIM(CLEAN(MAPA_ESTADOS!A:A)) ,
MAPA_ESTADOS!B:B
},
2,
FALSE
),
"REVISAR"
)</f>
        <v>ENTREGADO</v>
      </c>
      <c r="P565" s="154" t="s">
        <v>5909</v>
      </c>
      <c r="Q565" s="153">
        <f t="shared" si="1"/>
        <v>0</v>
      </c>
      <c r="R565" s="172"/>
      <c r="S565" s="172"/>
      <c r="T565" s="118">
        <f t="array" ref="T565">IFERROR(
INDEX(REPORTE_DROPI!B:B,
MATCH(
CLEAN(TRIM(C565)),
CLEAN(TRIM(REPORTE_DROPI!E:E)),
0
)
),
""
)
</f>
        <v>4586569</v>
      </c>
      <c r="U565" s="173">
        <v>1.86121160109E11</v>
      </c>
      <c r="V565" s="166"/>
      <c r="W565" s="18"/>
      <c r="X565" s="18"/>
      <c r="Y565" s="18"/>
      <c r="Z565" s="18"/>
    </row>
    <row r="566" ht="22.5" hidden="1" customHeight="1">
      <c r="A566" s="169">
        <v>565.0</v>
      </c>
      <c r="B566" s="170">
        <v>46074.0</v>
      </c>
      <c r="C566" s="154" t="s">
        <v>7524</v>
      </c>
      <c r="D566" s="118" t="str">
        <f>IFERROR(__xludf.DUMMYFUNCTION("IFERROR( INDEX( FILTER( 'NOMBRE DE PRODUCTOS'!B:B, REGEXMATCH( UPPER( INDEX( REPORTE_DROPI!AC:AC, MATCH(T566, REPORTE_DROPI!B:B, 0) ) ), UPPER('NOMBRE DE PRODUCTOS'!A:A) ) ), 1 ), ""REVISAR"" )"),"Cuchillo Tazaki™")</f>
        <v>Cuchillo Tazaki™</v>
      </c>
      <c r="E566" s="120">
        <f t="array" ref="E566">IF(
UPPER(TRIM(CLEAN($O566)))="ENTREGADO",
IFERROR(
INDEX(REPORTE_DROPI!Y:Y,
MATCH($T566, REPORTE_DROPI!B:B, 0)
),
""
),
""
)
</f>
        <v>7.5</v>
      </c>
      <c r="F566" s="171">
        <v>2.0</v>
      </c>
      <c r="G566" s="122">
        <f t="array" ref="G566">IF(
UPPER(TRIM(CLEAN($O566)))="ENTREGADO",
IFERROR(
INDEX(REPORTE_DROPI!R:R,
MATCH($T566, REPORTE_DROPI!B:B, 0)
),
""
),
""
)
</f>
        <v>22</v>
      </c>
      <c r="H566" s="118" t="s">
        <v>3727</v>
      </c>
      <c r="I566" s="154" t="s">
        <v>3801</v>
      </c>
      <c r="J566" s="121">
        <f t="array" ref="J566">IF(
UPPER(TRIM(CLEAN($O566)))="ENTREGADO",
IFERROR(
INDEX(REPORTE_DROPI!T:T,
MATCH($T566, REPORTE_DROPI!B:B, 0)
),
""
),
""
)
</f>
        <v>5.84</v>
      </c>
      <c r="K566" s="118">
        <f t="array" ref="K566">IFERROR(
INDEX(REPORTE_DROPI!S:S,
MATCH($T566, REPORTE_DROPI!B:B, 0)
),
""
)</f>
        <v>8.66</v>
      </c>
      <c r="L566" s="118" t="str">
        <f>IF(
  O566&lt;&gt;"DEVOLUCION",
  "",
  IF(
    T566="",
    "",
    SUMIF(DEVOLUCION!F:F, T566, DEVOLUCION!D:D)
  )
)
</f>
        <v/>
      </c>
      <c r="M566" s="118" t="s">
        <v>5877</v>
      </c>
      <c r="N566" s="169" t="s">
        <v>7525</v>
      </c>
      <c r="O566" s="118" t="str">
        <f t="array" ref="O566">IFERROR(
VLOOKUP(
TRIM(CLEAN(
INDEX(REPORTE_DROPI!K:K,
MATCH(T566, REPORTE_DROPI!B:B, 0)
))),
{
TRIM(CLEAN(MAPA_ESTADOS!A:A)) ,
MAPA_ESTADOS!B:B
},
2,
FALSE
),
"REVISAR"
)</f>
        <v>ENTREGADO</v>
      </c>
      <c r="P566" s="154" t="s">
        <v>5692</v>
      </c>
      <c r="Q566" s="153">
        <f t="shared" si="1"/>
        <v>0</v>
      </c>
      <c r="R566" s="172"/>
      <c r="S566" s="172"/>
      <c r="T566" s="118">
        <f t="array" ref="T566">IFERROR(
INDEX(REPORTE_DROPI!B:B,
MATCH(
CLEAN(TRIM(C566)),
CLEAN(TRIM(REPORTE_DROPI!E:E)),
0
)
),
""
)
</f>
        <v>4578106</v>
      </c>
      <c r="U566" s="169" t="s">
        <v>7526</v>
      </c>
      <c r="V566" s="166"/>
      <c r="W566" s="18"/>
      <c r="X566" s="18"/>
      <c r="Y566" s="18"/>
      <c r="Z566" s="18"/>
    </row>
    <row r="567" ht="22.5" hidden="1" customHeight="1">
      <c r="A567" s="169">
        <v>566.0</v>
      </c>
      <c r="B567" s="170">
        <v>46074.0</v>
      </c>
      <c r="C567" s="154" t="s">
        <v>7527</v>
      </c>
      <c r="D567" s="118" t="str">
        <f>IFERROR(__xludf.DUMMYFUNCTION("IFERROR( INDEX( FILTER( 'NOMBRE DE PRODUCTOS'!B:B, REGEXMATCH( UPPER( INDEX( REPORTE_DROPI!AC:AC, MATCH(T567, REPORTE_DROPI!B:B, 0) ) ), UPPER('NOMBRE DE PRODUCTOS'!A:A) ) ), 1 ), ""REVISAR"" )"),"Cuchillo Tazaki™")</f>
        <v>Cuchillo Tazaki™</v>
      </c>
      <c r="E567" s="120">
        <f t="array" ref="E567">IF(
UPPER(TRIM(CLEAN($O567)))="ENTREGADO",
IFERROR(
INDEX(REPORTE_DROPI!Y:Y,
MATCH($T567, REPORTE_DROPI!B:B, 0)
),
""
),
""
)
</f>
        <v>11.25</v>
      </c>
      <c r="F567" s="171">
        <v>3.0</v>
      </c>
      <c r="G567" s="122">
        <f t="array" ref="G567">IF(
UPPER(TRIM(CLEAN($O567)))="ENTREGADO",
IFERROR(
INDEX(REPORTE_DROPI!R:R,
MATCH($T567, REPORTE_DROPI!B:B, 0)
),
""
),
""
)
</f>
        <v>27</v>
      </c>
      <c r="H567" s="118" t="s">
        <v>3727</v>
      </c>
      <c r="I567" s="154" t="s">
        <v>3778</v>
      </c>
      <c r="J567" s="121">
        <f t="array" ref="J567">IF(
UPPER(TRIM(CLEAN($O567)))="ENTREGADO",
IFERROR(
INDEX(REPORTE_DROPI!T:T,
MATCH($T567, REPORTE_DROPI!B:B, 0)
),
""
),
""
)
</f>
        <v>6.03</v>
      </c>
      <c r="K567" s="118">
        <f t="array" ref="K567">IFERROR(
INDEX(REPORTE_DROPI!S:S,
MATCH($T567, REPORTE_DROPI!B:B, 0)
),
""
)</f>
        <v>9.72</v>
      </c>
      <c r="L567" s="118" t="str">
        <f>IF(
  O567&lt;&gt;"DEVOLUCION",
  "",
  IF(
    T567="",
    "",
    SUMIF(DEVOLUCION!F:F, T567, DEVOLUCION!D:D)
  )
)
</f>
        <v/>
      </c>
      <c r="M567" s="118" t="s">
        <v>5877</v>
      </c>
      <c r="N567" s="169" t="s">
        <v>7528</v>
      </c>
      <c r="O567" s="118" t="str">
        <f t="array" ref="O567">IFERROR(
VLOOKUP(
TRIM(CLEAN(
INDEX(REPORTE_DROPI!K:K,
MATCH(T567, REPORTE_DROPI!B:B, 0)
))),
{
TRIM(CLEAN(MAPA_ESTADOS!A:A)) ,
MAPA_ESTADOS!B:B
},
2,
FALSE
),
"REVISAR"
)</f>
        <v>ENTREGADO</v>
      </c>
      <c r="P567" s="154" t="s">
        <v>5692</v>
      </c>
      <c r="Q567" s="153">
        <f t="shared" si="1"/>
        <v>0</v>
      </c>
      <c r="R567" s="172"/>
      <c r="S567" s="172"/>
      <c r="T567" s="118">
        <f t="array" ref="T567">IFERROR(
INDEX(REPORTE_DROPI!B:B,
MATCH(
CLEAN(TRIM(C567)),
CLEAN(TRIM(REPORTE_DROPI!E:E)),
0
)
),
""
)
</f>
        <v>4578164</v>
      </c>
      <c r="U567" s="169" t="s">
        <v>7529</v>
      </c>
      <c r="V567" s="166"/>
      <c r="W567" s="18"/>
      <c r="X567" s="18"/>
      <c r="Y567" s="18"/>
      <c r="Z567" s="18"/>
    </row>
    <row r="568" ht="22.5" hidden="1" customHeight="1">
      <c r="A568" s="169">
        <v>567.0</v>
      </c>
      <c r="B568" s="170">
        <v>46074.0</v>
      </c>
      <c r="C568" s="154" t="s">
        <v>7530</v>
      </c>
      <c r="D568" s="118" t="str">
        <f>IFERROR(__xludf.DUMMYFUNCTION("IFERROR( INDEX( FILTER( 'NOMBRE DE PRODUCTOS'!B:B, REGEXMATCH( UPPER( INDEX( REPORTE_DROPI!AC:AC, MATCH(T568, REPORTE_DROPI!B:B, 0) ) ), UPPER('NOMBRE DE PRODUCTOS'!A:A) ) ), 1 ), ""REVISAR"" )"),"Cuchillo Tazaki™")</f>
        <v>Cuchillo Tazaki™</v>
      </c>
      <c r="E568" s="120" t="str">
        <f t="array" ref="E568">IF(
UPPER(TRIM(CLEAN($O568)))="ENTREGADO",
IFERROR(
INDEX(REPORTE_DROPI!Y:Y,
MATCH($T568, REPORTE_DROPI!B:B, 0)
),
""
),
""
)
</f>
        <v/>
      </c>
      <c r="F568" s="171">
        <v>3.0</v>
      </c>
      <c r="G568" s="122" t="str">
        <f t="array" ref="G568">IF(
UPPER(TRIM(CLEAN($O568)))="ENTREGADO",
IFERROR(
INDEX(REPORTE_DROPI!R:R,
MATCH($T568, REPORTE_DROPI!B:B, 0)
),
""
),
""
)
</f>
        <v/>
      </c>
      <c r="H568" s="118" t="s">
        <v>3727</v>
      </c>
      <c r="I568" s="154" t="s">
        <v>3731</v>
      </c>
      <c r="J568" s="121" t="str">
        <f t="array" ref="J568">IF(
UPPER(TRIM(CLEAN($O568)))="ENTREGADO",
IFERROR(
INDEX(REPORTE_DROPI!T:T,
MATCH($T568, REPORTE_DROPI!B:B, 0)
),
""
),
""
)
</f>
        <v/>
      </c>
      <c r="K568" s="118" t="str">
        <f t="array" ref="K568">IFERROR(
INDEX(REPORTE_DROPI!S:S,
MATCH($T568, REPORTE_DROPI!B:B, 0)
),
""
)</f>
        <v/>
      </c>
      <c r="L568" s="118" t="str">
        <f>IF(
  O568&lt;&gt;"DEVOLUCION",
  "",
  IF(
    T568="",
    "",
    SUMIF(DEVOLUCION!F:F, T568, DEVOLUCION!D:D)
  )
)
</f>
        <v/>
      </c>
      <c r="M568" s="118" t="s">
        <v>5877</v>
      </c>
      <c r="N568" s="169" t="s">
        <v>7531</v>
      </c>
      <c r="O568" s="118" t="str">
        <f t="array" ref="O568">IFERROR(
VLOOKUP(
TRIM(CLEAN(
INDEX(REPORTE_DROPI!K:K,
MATCH(T568, REPORTE_DROPI!B:B, 0)
))),
{
TRIM(CLEAN(MAPA_ESTADOS!A:A)) ,
MAPA_ESTADOS!B:B
},
2,
FALSE
),
"REVISAR"
)</f>
        <v>PENDIENTE</v>
      </c>
      <c r="P568" s="154" t="s">
        <v>6829</v>
      </c>
      <c r="Q568" s="153">
        <f t="shared" si="1"/>
        <v>0</v>
      </c>
      <c r="R568" s="172"/>
      <c r="S568" s="172"/>
      <c r="T568" s="118">
        <f t="array" ref="T568">IFERROR(
INDEX(REPORTE_DROPI!B:B,
MATCH(
CLEAN(TRIM(C568)),
CLEAN(TRIM(REPORTE_DROPI!E:E)),
0
)
),
""
)
</f>
        <v>4578187</v>
      </c>
      <c r="U568" s="169" t="s">
        <v>7532</v>
      </c>
      <c r="V568" s="166"/>
      <c r="W568" s="18"/>
      <c r="X568" s="18"/>
      <c r="Y568" s="18"/>
      <c r="Z568" s="18"/>
    </row>
    <row r="569" ht="22.5" hidden="1" customHeight="1">
      <c r="A569" s="169">
        <v>568.0</v>
      </c>
      <c r="B569" s="170">
        <v>46074.0</v>
      </c>
      <c r="C569" s="154" t="s">
        <v>7533</v>
      </c>
      <c r="D569" s="118" t="str">
        <f>IFERROR(__xludf.DUMMYFUNCTION("IFERROR( INDEX( FILTER( 'NOMBRE DE PRODUCTOS'!B:B, REGEXMATCH( UPPER( INDEX( REPORTE_DROPI!AC:AC, MATCH(T569, REPORTE_DROPI!B:B, 0) ) ), UPPER('NOMBRE DE PRODUCTOS'!A:A) ) ), 1 ), ""REVISAR"" )"),"FilmPro®")</f>
        <v>FilmPro®</v>
      </c>
      <c r="E569" s="120" t="str">
        <f t="array" ref="E569">IF(
UPPER(TRIM(CLEAN($O569)))="ENTREGADO",
IFERROR(
INDEX(REPORTE_DROPI!Y:Y,
MATCH($T569, REPORTE_DROPI!B:B, 0)
),
""
),
""
)
</f>
        <v/>
      </c>
      <c r="F569" s="171">
        <v>1.0</v>
      </c>
      <c r="G569" s="122" t="str">
        <f t="array" ref="G569">IF(
UPPER(TRIM(CLEAN($O569)))="ENTREGADO",
IFERROR(
INDEX(REPORTE_DROPI!R:R,
MATCH($T569, REPORTE_DROPI!B:B, 0)
),
""
),
""
)
</f>
        <v/>
      </c>
      <c r="H569" s="118" t="s">
        <v>3727</v>
      </c>
      <c r="I569" s="154" t="s">
        <v>3962</v>
      </c>
      <c r="J569" s="121" t="str">
        <f t="array" ref="J569">IF(
UPPER(TRIM(CLEAN($O569)))="ENTREGADO",
IFERROR(
INDEX(REPORTE_DROPI!T:T,
MATCH($T569, REPORTE_DROPI!B:B, 0)
),
""
),
""
)
</f>
        <v/>
      </c>
      <c r="K569" s="118" t="str">
        <f t="array" ref="K569">IFERROR(
INDEX(REPORTE_DROPI!S:S,
MATCH($T569, REPORTE_DROPI!B:B, 0)
),
""
)</f>
        <v/>
      </c>
      <c r="L569" s="118" t="str">
        <f>IF(
  O569&lt;&gt;"DEVOLUCION",
  "",
  IF(
    T569="",
    "",
    SUMIF(DEVOLUCION!F:F, T569, DEVOLUCION!D:D)
  )
)
</f>
        <v/>
      </c>
      <c r="M569" s="118" t="s">
        <v>5877</v>
      </c>
      <c r="N569" s="169" t="s">
        <v>7534</v>
      </c>
      <c r="O569" s="118" t="str">
        <f t="array" ref="O569">IFERROR(
VLOOKUP(
TRIM(CLEAN(
INDEX(REPORTE_DROPI!K:K,
MATCH(T569, REPORTE_DROPI!B:B, 0)
))),
{
TRIM(CLEAN(MAPA_ESTADOS!A:A)) ,
MAPA_ESTADOS!B:B
},
2,
FALSE
),
"REVISAR"
)</f>
        <v>CANCELADO</v>
      </c>
      <c r="P569" s="154" t="s">
        <v>7535</v>
      </c>
      <c r="Q569" s="153">
        <f t="shared" si="1"/>
        <v>0</v>
      </c>
      <c r="R569" s="172"/>
      <c r="S569" s="172"/>
      <c r="T569" s="118">
        <f t="array" ref="T569">IFERROR(
INDEX(REPORTE_DROPI!B:B,
MATCH(
CLEAN(TRIM(C569)),
CLEAN(TRIM(REPORTE_DROPI!E:E)),
0
)
),
""
)
</f>
        <v>4586576</v>
      </c>
      <c r="U569" s="169" t="s">
        <v>7536</v>
      </c>
      <c r="V569" s="166"/>
      <c r="W569" s="18"/>
      <c r="X569" s="18"/>
      <c r="Y569" s="18"/>
      <c r="Z569" s="18"/>
    </row>
    <row r="570" ht="22.5" hidden="1" customHeight="1">
      <c r="A570" s="169">
        <v>569.0</v>
      </c>
      <c r="B570" s="170">
        <v>46377.0</v>
      </c>
      <c r="C570" s="154" t="s">
        <v>7537</v>
      </c>
      <c r="D570" s="118" t="str">
        <f>IFERROR(__xludf.DUMMYFUNCTION("IFERROR( INDEX( FILTER( 'NOMBRE DE PRODUCTOS'!B:B, REGEXMATCH( UPPER( INDEX( REPORTE_DROPI!AC:AC, MATCH(T570, REPORTE_DROPI!B:B, 0) ) ), UPPER('NOMBRE DE PRODUCTOS'!A:A) ) ), 1 ), ""REVISAR"" )"),"REVISAR")</f>
        <v>REVISAR</v>
      </c>
      <c r="E570" s="120" t="str">
        <f t="array" ref="E570">IF(
UPPER(TRIM(CLEAN($O570)))="ENTREGADO",
IFERROR(
INDEX(REPORTE_DROPI!Y:Y,
MATCH($T570, REPORTE_DROPI!B:B, 0)
),
""
),
""
)
</f>
        <v/>
      </c>
      <c r="F570" s="171">
        <v>2.0</v>
      </c>
      <c r="G570" s="122" t="str">
        <f t="array" ref="G570">IF(
UPPER(TRIM(CLEAN($O570)))="ENTREGADO",
IFERROR(
INDEX(REPORTE_DROPI!R:R,
MATCH($T570, REPORTE_DROPI!B:B, 0)
),
""
),
""
)
</f>
        <v/>
      </c>
      <c r="H570" s="118" t="s">
        <v>3727</v>
      </c>
      <c r="I570" s="154" t="s">
        <v>3740</v>
      </c>
      <c r="J570" s="121" t="str">
        <f t="array" ref="J570">IF(
UPPER(TRIM(CLEAN($O570)))="ENTREGADO",
IFERROR(
INDEX(REPORTE_DROPI!T:T,
MATCH($T570, REPORTE_DROPI!B:B, 0)
),
""
),
""
)
</f>
        <v/>
      </c>
      <c r="K570" s="118" t="str">
        <f t="array" ref="K570">IFERROR(
INDEX(REPORTE_DROPI!S:S,
MATCH($T570, REPORTE_DROPI!B:B, 0)
),
""
)</f>
        <v/>
      </c>
      <c r="L570" s="118" t="str">
        <f>IF(
  O570&lt;&gt;"DEVOLUCION",
  "",
  IF(
    T570="",
    "",
    SUMIF(DEVOLUCION!F:F, T570, DEVOLUCION!D:D)
  )
)
</f>
        <v/>
      </c>
      <c r="M570" s="118" t="s">
        <v>5877</v>
      </c>
      <c r="N570" s="169" t="s">
        <v>7538</v>
      </c>
      <c r="O570" s="118" t="str">
        <f t="array" ref="O570">IFERROR(
VLOOKUP(
TRIM(CLEAN(
INDEX(REPORTE_DROPI!K:K,
MATCH(T570, REPORTE_DROPI!B:B, 0)
))),
{
TRIM(CLEAN(MAPA_ESTADOS!A:A)) ,
MAPA_ESTADOS!B:B
},
2,
FALSE
),
"REVISAR"
)</f>
        <v>REVISAR</v>
      </c>
      <c r="P570" s="176">
        <v>46092.0</v>
      </c>
      <c r="Q570" s="153">
        <f t="shared" si="1"/>
        <v>0</v>
      </c>
      <c r="R570" s="172"/>
      <c r="S570" s="172"/>
      <c r="T570" s="118" t="str">
        <f t="array" ref="T570">IFERROR(
INDEX(REPORTE_DROPI!B:B,
MATCH(
CLEAN(TRIM(C570)),
CLEAN(TRIM(REPORTE_DROPI!E:E)),
0
)
),
""
)
</f>
        <v/>
      </c>
      <c r="U570" s="169"/>
      <c r="V570" s="166"/>
      <c r="W570" s="18"/>
      <c r="X570" s="18"/>
      <c r="Y570" s="18"/>
      <c r="Z570" s="18"/>
    </row>
    <row r="571" ht="22.5" hidden="1" customHeight="1">
      <c r="A571" s="169">
        <v>570.0</v>
      </c>
      <c r="B571" s="170">
        <v>46074.0</v>
      </c>
      <c r="C571" s="154" t="s">
        <v>7539</v>
      </c>
      <c r="D571" s="118" t="str">
        <f>IFERROR(__xludf.DUMMYFUNCTION("IFERROR( INDEX( FILTER( 'NOMBRE DE PRODUCTOS'!B:B, REGEXMATCH( UPPER( INDEX( REPORTE_DROPI!AC:AC, MATCH(T571, REPORTE_DROPI!B:B, 0) ) ), UPPER('NOMBRE DE PRODUCTOS'!A:A) ) ), 1 ), ""REVISAR"" )"),"Cuchillo Tazaki™")</f>
        <v>Cuchillo Tazaki™</v>
      </c>
      <c r="E571" s="120">
        <f t="array" ref="E571">IF(
UPPER(TRIM(CLEAN($O571)))="ENTREGADO",
IFERROR(
INDEX(REPORTE_DROPI!Y:Y,
MATCH($T571, REPORTE_DROPI!B:B, 0)
),
""
),
""
)
</f>
        <v>11.25</v>
      </c>
      <c r="F571" s="171">
        <v>3.0</v>
      </c>
      <c r="G571" s="122">
        <f t="array" ref="G571">IF(
UPPER(TRIM(CLEAN($O571)))="ENTREGADO",
IFERROR(
INDEX(REPORTE_DROPI!R:R,
MATCH($T571, REPORTE_DROPI!B:B, 0)
),
""
),
""
)
</f>
        <v>27</v>
      </c>
      <c r="H571" s="118" t="s">
        <v>3727</v>
      </c>
      <c r="I571" s="154" t="s">
        <v>3738</v>
      </c>
      <c r="J571" s="121">
        <f t="array" ref="J571">IF(
UPPER(TRIM(CLEAN($O571)))="ENTREGADO",
IFERROR(
INDEX(REPORTE_DROPI!T:T,
MATCH($T571, REPORTE_DROPI!B:B, 0)
),
""
),
""
)
</f>
        <v>7.77</v>
      </c>
      <c r="K571" s="118">
        <f t="array" ref="K571">IFERROR(
INDEX(REPORTE_DROPI!S:S,
MATCH($T571, REPORTE_DROPI!B:B, 0)
),
""
)</f>
        <v>7.98</v>
      </c>
      <c r="L571" s="118" t="str">
        <f>IF(
  O571&lt;&gt;"DEVOLUCION",
  "",
  IF(
    T571="",
    "",
    SUMIF(DEVOLUCION!F:F, T571, DEVOLUCION!D:D)
  )
)
</f>
        <v/>
      </c>
      <c r="M571" s="118" t="s">
        <v>5877</v>
      </c>
      <c r="N571" s="169" t="s">
        <v>7540</v>
      </c>
      <c r="O571" s="118" t="str">
        <f t="array" ref="O571">IFERROR(
VLOOKUP(
TRIM(CLEAN(
INDEX(REPORTE_DROPI!K:K,
MATCH(T571, REPORTE_DROPI!B:B, 0)
))),
{
TRIM(CLEAN(MAPA_ESTADOS!A:A)) ,
MAPA_ESTADOS!B:B
},
2,
FALSE
),
"REVISAR"
)</f>
        <v>ENTREGADO</v>
      </c>
      <c r="P571" s="154" t="s">
        <v>5692</v>
      </c>
      <c r="Q571" s="153">
        <f t="shared" si="1"/>
        <v>0</v>
      </c>
      <c r="R571" s="172"/>
      <c r="S571" s="172"/>
      <c r="T571" s="118">
        <f t="array" ref="T571">IFERROR(
INDEX(REPORTE_DROPI!B:B,
MATCH(
CLEAN(TRIM(C571)),
CLEAN(TRIM(REPORTE_DROPI!E:E)),
0
)
),
""
)
</f>
        <v>4578984</v>
      </c>
      <c r="U571" s="169" t="s">
        <v>7541</v>
      </c>
      <c r="V571" s="166"/>
      <c r="W571" s="18"/>
      <c r="X571" s="18"/>
      <c r="Y571" s="18"/>
      <c r="Z571" s="18"/>
    </row>
    <row r="572" ht="22.5" hidden="1" customHeight="1">
      <c r="A572" s="169">
        <v>571.0</v>
      </c>
      <c r="B572" s="170">
        <v>46074.0</v>
      </c>
      <c r="C572" s="154" t="s">
        <v>7542</v>
      </c>
      <c r="D572" s="118" t="str">
        <f>IFERROR(__xludf.DUMMYFUNCTION("IFERROR( INDEX( FILTER( 'NOMBRE DE PRODUCTOS'!B:B, REGEXMATCH( UPPER( INDEX( REPORTE_DROPI!AC:AC, MATCH(T572, REPORTE_DROPI!B:B, 0) ) ), UPPER('NOMBRE DE PRODUCTOS'!A:A) ) ), 1 ), ""REVISAR"" )"),"DrainGuard Pro™")</f>
        <v>DrainGuard Pro™</v>
      </c>
      <c r="E572" s="120">
        <f t="array" ref="E572">IF(
UPPER(TRIM(CLEAN($O572)))="ENTREGADO",
IFERROR(
INDEX(REPORTE_DROPI!Y:Y,
MATCH($T572, REPORTE_DROPI!B:B, 0)
),
""
),
""
)
</f>
        <v>8</v>
      </c>
      <c r="F572" s="171">
        <v>2.0</v>
      </c>
      <c r="G572" s="122">
        <f t="array" ref="G572">IF(
UPPER(TRIM(CLEAN($O572)))="ENTREGADO",
IFERROR(
INDEX(REPORTE_DROPI!R:R,
MATCH($T572, REPORTE_DROPI!B:B, 0)
),
""
),
""
)
</f>
        <v>25</v>
      </c>
      <c r="H572" s="118" t="s">
        <v>3727</v>
      </c>
      <c r="I572" s="154" t="s">
        <v>3731</v>
      </c>
      <c r="J572" s="121">
        <f t="array" ref="J572">IF(
UPPER(TRIM(CLEAN($O572)))="ENTREGADO",
IFERROR(
INDEX(REPORTE_DROPI!T:T,
MATCH($T572, REPORTE_DROPI!B:B, 0)
),
""
),
""
)
</f>
        <v>4.35</v>
      </c>
      <c r="K572" s="118">
        <f t="array" ref="K572">IFERROR(
INDEX(REPORTE_DROPI!S:S,
MATCH($T572, REPORTE_DROPI!B:B, 0)
),
""
)</f>
        <v>12.65</v>
      </c>
      <c r="L572" s="118" t="str">
        <f>IF(
  O572&lt;&gt;"DEVOLUCION",
  "",
  IF(
    T572="",
    "",
    SUMIF(DEVOLUCION!F:F, T572, DEVOLUCION!D:D)
  )
)
</f>
        <v/>
      </c>
      <c r="M572" s="118" t="s">
        <v>5877</v>
      </c>
      <c r="N572" s="169" t="s">
        <v>7543</v>
      </c>
      <c r="O572" s="118" t="str">
        <f t="array" ref="O572">IFERROR(
VLOOKUP(
TRIM(CLEAN(
INDEX(REPORTE_DROPI!K:K,
MATCH(T572, REPORTE_DROPI!B:B, 0)
))),
{
TRIM(CLEAN(MAPA_ESTADOS!A:A)) ,
MAPA_ESTADOS!B:B
},
2,
FALSE
),
"REVISAR"
)</f>
        <v>ENTREGADO</v>
      </c>
      <c r="P572" s="154" t="s">
        <v>5692</v>
      </c>
      <c r="Q572" s="153">
        <f t="shared" si="1"/>
        <v>0</v>
      </c>
      <c r="R572" s="172"/>
      <c r="S572" s="172"/>
      <c r="T572" s="118">
        <f t="array" ref="T572">IFERROR(
INDEX(REPORTE_DROPI!B:B,
MATCH(
CLEAN(TRIM(C572)),
CLEAN(TRIM(REPORTE_DROPI!E:E)),
0
)
),
""
)
</f>
        <v>4579105</v>
      </c>
      <c r="U572" s="169" t="s">
        <v>7544</v>
      </c>
      <c r="V572" s="166"/>
      <c r="W572" s="18"/>
      <c r="X572" s="18"/>
      <c r="Y572" s="18"/>
      <c r="Z572" s="18"/>
    </row>
    <row r="573" ht="22.5" hidden="1" customHeight="1">
      <c r="A573" s="169">
        <v>572.0</v>
      </c>
      <c r="B573" s="170">
        <v>46074.0</v>
      </c>
      <c r="C573" s="154" t="s">
        <v>7545</v>
      </c>
      <c r="D573" s="118" t="str">
        <f>IFERROR(__xludf.DUMMYFUNCTION("IFERROR( INDEX( FILTER( 'NOMBRE DE PRODUCTOS'!B:B, REGEXMATCH( UPPER( INDEX( REPORTE_DROPI!AC:AC, MATCH(T573, REPORTE_DROPI!B:B, 0) ) ), UPPER('NOMBRE DE PRODUCTOS'!A:A) ) ), 1 ), ""REVISAR"" )"),"FilmPro®")</f>
        <v>FilmPro®</v>
      </c>
      <c r="E573" s="120">
        <f t="array" ref="E573">IF(
UPPER(TRIM(CLEAN($O573)))="ENTREGADO",
IFERROR(
INDEX(REPORTE_DROPI!Y:Y,
MATCH($T573, REPORTE_DROPI!B:B, 0)
),
""
),
""
)
</f>
        <v>7.05</v>
      </c>
      <c r="F573" s="171">
        <v>3.0</v>
      </c>
      <c r="G573" s="122">
        <f t="array" ref="G573">IF(
UPPER(TRIM(CLEAN($O573)))="ENTREGADO",
IFERROR(
INDEX(REPORTE_DROPI!R:R,
MATCH($T573, REPORTE_DROPI!B:B, 0)
),
""
),
""
)
</f>
        <v>30</v>
      </c>
      <c r="H573" s="118" t="s">
        <v>3727</v>
      </c>
      <c r="I573" s="154" t="s">
        <v>3731</v>
      </c>
      <c r="J573" s="121">
        <f t="array" ref="J573">IF(
UPPER(TRIM(CLEAN($O573)))="ENTREGADO",
IFERROR(
INDEX(REPORTE_DROPI!T:T,
MATCH($T573, REPORTE_DROPI!B:B, 0)
),
""
),
""
)
</f>
        <v>5.12</v>
      </c>
      <c r="K573" s="118">
        <f t="array" ref="K573">IFERROR(
INDEX(REPORTE_DROPI!S:S,
MATCH($T573, REPORTE_DROPI!B:B, 0)
),
""
)</f>
        <v>17.83</v>
      </c>
      <c r="L573" s="118" t="str">
        <f>IF(
  O573&lt;&gt;"DEVOLUCION",
  "",
  IF(
    T573="",
    "",
    SUMIF(DEVOLUCION!F:F, T573, DEVOLUCION!D:D)
  )
)
</f>
        <v/>
      </c>
      <c r="M573" s="118" t="s">
        <v>5877</v>
      </c>
      <c r="N573" s="169" t="s">
        <v>7546</v>
      </c>
      <c r="O573" s="118" t="str">
        <f t="array" ref="O573">IFERROR(
VLOOKUP(
TRIM(CLEAN(
INDEX(REPORTE_DROPI!K:K,
MATCH(T573, REPORTE_DROPI!B:B, 0)
))),
{
TRIM(CLEAN(MAPA_ESTADOS!A:A)) ,
MAPA_ESTADOS!B:B
},
2,
FALSE
),
"REVISAR"
)</f>
        <v>ENTREGADO</v>
      </c>
      <c r="P573" s="154" t="s">
        <v>5909</v>
      </c>
      <c r="Q573" s="153">
        <f t="shared" si="1"/>
        <v>0</v>
      </c>
      <c r="R573" s="172"/>
      <c r="S573" s="172"/>
      <c r="T573" s="118">
        <f t="array" ref="T573">IFERROR(
INDEX(REPORTE_DROPI!B:B,
MATCH(
CLEAN(TRIM(C573)),
CLEAN(TRIM(REPORTE_DROPI!E:E)),
0
)
),
""
)
</f>
        <v>4586582</v>
      </c>
      <c r="U573" s="169" t="s">
        <v>7547</v>
      </c>
      <c r="V573" s="166"/>
      <c r="W573" s="18"/>
      <c r="X573" s="18"/>
      <c r="Y573" s="18"/>
      <c r="Z573" s="18"/>
    </row>
    <row r="574" ht="22.5" hidden="1" customHeight="1">
      <c r="A574" s="169">
        <v>573.0</v>
      </c>
      <c r="B574" s="170">
        <v>46074.0</v>
      </c>
      <c r="C574" s="154" t="s">
        <v>7548</v>
      </c>
      <c r="D574" s="118" t="str">
        <f>IFERROR(__xludf.DUMMYFUNCTION("IFERROR( INDEX( FILTER( 'NOMBRE DE PRODUCTOS'!B:B, REGEXMATCH( UPPER( INDEX( REPORTE_DROPI!AC:AC, MATCH(T574, REPORTE_DROPI!B:B, 0) ) ), UPPER('NOMBRE DE PRODUCTOS'!A:A) ) ), 1 ), ""REVISAR"" )"),"FilmPro®")</f>
        <v>FilmPro®</v>
      </c>
      <c r="E574" s="120" t="str">
        <f t="array" ref="E574">IF(
UPPER(TRIM(CLEAN($O574)))="ENTREGADO",
IFERROR(
INDEX(REPORTE_DROPI!Y:Y,
MATCH($T574, REPORTE_DROPI!B:B, 0)
),
""
),
""
)
</f>
        <v/>
      </c>
      <c r="F574" s="171">
        <v>2.0</v>
      </c>
      <c r="G574" s="122" t="str">
        <f t="array" ref="G574">IF(
UPPER(TRIM(CLEAN($O574)))="ENTREGADO",
IFERROR(
INDEX(REPORTE_DROPI!R:R,
MATCH($T574, REPORTE_DROPI!B:B, 0)
),
""
),
""
)
</f>
        <v/>
      </c>
      <c r="H574" s="118" t="s">
        <v>3727</v>
      </c>
      <c r="I574" s="154" t="s">
        <v>3731</v>
      </c>
      <c r="J574" s="121" t="str">
        <f t="array" ref="J574">IF(
UPPER(TRIM(CLEAN($O574)))="ENTREGADO",
IFERROR(
INDEX(REPORTE_DROPI!T:T,
MATCH($T574, REPORTE_DROPI!B:B, 0)
),
""
),
""
)
</f>
        <v/>
      </c>
      <c r="K574" s="118" t="str">
        <f t="array" ref="K574">IFERROR(
INDEX(REPORTE_DROPI!S:S,
MATCH($T574, REPORTE_DROPI!B:B, 0)
),
""
)</f>
        <v/>
      </c>
      <c r="L574" s="118">
        <f>IF(
  O574&lt;&gt;"DEVOLUCION",
  "",
  IF(
    T574="",
    "",
    SUMIF(DEVOLUCION!F:F, T574, DEVOLUCION!D:D)
  )
)
</f>
        <v>0</v>
      </c>
      <c r="M574" s="118" t="s">
        <v>5877</v>
      </c>
      <c r="N574" s="169" t="s">
        <v>7549</v>
      </c>
      <c r="O574" s="118" t="str">
        <f t="array" ref="O574">IFERROR(
VLOOKUP(
TRIM(CLEAN(
INDEX(REPORTE_DROPI!K:K,
MATCH(T574, REPORTE_DROPI!B:B, 0)
))),
{
TRIM(CLEAN(MAPA_ESTADOS!A:A)) ,
MAPA_ESTADOS!B:B
},
2,
FALSE
),
"REVISAR"
)</f>
        <v>DEVOLUCION</v>
      </c>
      <c r="P574" s="154" t="s">
        <v>5909</v>
      </c>
      <c r="Q574" s="153">
        <f t="shared" si="1"/>
        <v>0</v>
      </c>
      <c r="R574" s="172"/>
      <c r="S574" s="172"/>
      <c r="T574" s="118">
        <f t="array" ref="T574">IFERROR(
INDEX(REPORTE_DROPI!B:B,
MATCH(
CLEAN(TRIM(C574)),
CLEAN(TRIM(REPORTE_DROPI!E:E)),
0
)
),
""
)
</f>
        <v>4586590</v>
      </c>
      <c r="U574" s="169" t="s">
        <v>7550</v>
      </c>
      <c r="V574" s="166"/>
      <c r="W574" s="18"/>
      <c r="X574" s="18"/>
      <c r="Y574" s="18"/>
      <c r="Z574" s="18"/>
    </row>
    <row r="575" ht="22.5" hidden="1" customHeight="1">
      <c r="A575" s="169">
        <v>574.0</v>
      </c>
      <c r="B575" s="170">
        <v>46074.0</v>
      </c>
      <c r="C575" s="154" t="s">
        <v>7551</v>
      </c>
      <c r="D575" s="118" t="str">
        <f>IFERROR(__xludf.DUMMYFUNCTION("IFERROR( INDEX( FILTER( 'NOMBRE DE PRODUCTOS'!B:B, REGEXMATCH( UPPER( INDEX( REPORTE_DROPI!AC:AC, MATCH(T575, REPORTE_DROPI!B:B, 0) ) ), UPPER('NOMBRE DE PRODUCTOS'!A:A) ) ), 1 ), ""REVISAR"" )"),"FilmPro®")</f>
        <v>FilmPro®</v>
      </c>
      <c r="E575" s="120" t="str">
        <f t="array" ref="E575">IF(
UPPER(TRIM(CLEAN($O575)))="ENTREGADO",
IFERROR(
INDEX(REPORTE_DROPI!Y:Y,
MATCH($T575, REPORTE_DROPI!B:B, 0)
),
""
),
""
)
</f>
        <v/>
      </c>
      <c r="F575" s="171">
        <v>2.0</v>
      </c>
      <c r="G575" s="122" t="str">
        <f t="array" ref="G575">IF(
UPPER(TRIM(CLEAN($O575)))="ENTREGADO",
IFERROR(
INDEX(REPORTE_DROPI!R:R,
MATCH($T575, REPORTE_DROPI!B:B, 0)
),
""
),
""
)
</f>
        <v/>
      </c>
      <c r="H575" s="118" t="s">
        <v>3727</v>
      </c>
      <c r="I575" s="154" t="s">
        <v>3735</v>
      </c>
      <c r="J575" s="121" t="str">
        <f t="array" ref="J575">IF(
UPPER(TRIM(CLEAN($O575)))="ENTREGADO",
IFERROR(
INDEX(REPORTE_DROPI!T:T,
MATCH($T575, REPORTE_DROPI!B:B, 0)
),
""
),
""
)
</f>
        <v/>
      </c>
      <c r="K575" s="118" t="str">
        <f t="array" ref="K575">IFERROR(
INDEX(REPORTE_DROPI!S:S,
MATCH($T575, REPORTE_DROPI!B:B, 0)
),
""
)</f>
        <v/>
      </c>
      <c r="L575" s="118" t="str">
        <f>IF(
  O575&lt;&gt;"DEVOLUCION",
  "",
  IF(
    T575="",
    "",
    SUMIF(DEVOLUCION!F:F, T575, DEVOLUCION!D:D)
  )
)
</f>
        <v/>
      </c>
      <c r="M575" s="118" t="s">
        <v>5877</v>
      </c>
      <c r="N575" s="169" t="s">
        <v>7552</v>
      </c>
      <c r="O575" s="118" t="str">
        <f t="array" ref="O575">IFERROR(
VLOOKUP(
TRIM(CLEAN(
INDEX(REPORTE_DROPI!K:K,
MATCH(T575, REPORTE_DROPI!B:B, 0)
))),
{
TRIM(CLEAN(MAPA_ESTADOS!A:A)) ,
MAPA_ESTADOS!B:B
},
2,
FALSE
),
"REVISAR"
)</f>
        <v>PENDIENTE</v>
      </c>
      <c r="P575" s="154" t="s">
        <v>7344</v>
      </c>
      <c r="Q575" s="153">
        <f t="shared" si="1"/>
        <v>0</v>
      </c>
      <c r="R575" s="172"/>
      <c r="S575" s="172"/>
      <c r="T575" s="118">
        <f t="array" ref="T575">IFERROR(
INDEX(REPORTE_DROPI!B:B,
MATCH(
CLEAN(TRIM(C575)),
CLEAN(TRIM(REPORTE_DROPI!E:E)),
0
)
),
""
)
</f>
        <v>4586598</v>
      </c>
      <c r="U575" s="169" t="s">
        <v>7553</v>
      </c>
      <c r="V575" s="166"/>
      <c r="W575" s="18"/>
      <c r="X575" s="18"/>
      <c r="Y575" s="18"/>
      <c r="Z575" s="18"/>
    </row>
    <row r="576" ht="22.5" hidden="1" customHeight="1">
      <c r="A576" s="169">
        <v>575.0</v>
      </c>
      <c r="B576" s="170">
        <v>46075.0</v>
      </c>
      <c r="C576" s="154" t="s">
        <v>7554</v>
      </c>
      <c r="D576" s="118" t="str">
        <f>IFERROR(__xludf.DUMMYFUNCTION("IFERROR( INDEX( FILTER( 'NOMBRE DE PRODUCTOS'!B:B, REGEXMATCH( UPPER( INDEX( REPORTE_DROPI!AC:AC, MATCH(T576, REPORTE_DROPI!B:B, 0) ) ), UPPER('NOMBRE DE PRODUCTOS'!A:A) ) ), 1 ), ""REVISAR"" )"),"FilmPro®")</f>
        <v>FilmPro®</v>
      </c>
      <c r="E576" s="120" t="str">
        <f t="array" ref="E576">IF(
UPPER(TRIM(CLEAN($O576)))="ENTREGADO",
IFERROR(
INDEX(REPORTE_DROPI!Y:Y,
MATCH($T576, REPORTE_DROPI!B:B, 0)
),
""
),
""
)
</f>
        <v/>
      </c>
      <c r="F576" s="171">
        <v>1.0</v>
      </c>
      <c r="G576" s="122" t="str">
        <f t="array" ref="G576">IF(
UPPER(TRIM(CLEAN($O576)))="ENTREGADO",
IFERROR(
INDEX(REPORTE_DROPI!R:R,
MATCH($T576, REPORTE_DROPI!B:B, 0)
),
""
),
""
)
</f>
        <v/>
      </c>
      <c r="H576" s="118" t="s">
        <v>3727</v>
      </c>
      <c r="I576" s="154" t="s">
        <v>3740</v>
      </c>
      <c r="J576" s="121" t="str">
        <f t="array" ref="J576">IF(
UPPER(TRIM(CLEAN($O576)))="ENTREGADO",
IFERROR(
INDEX(REPORTE_DROPI!T:T,
MATCH($T576, REPORTE_DROPI!B:B, 0)
),
""
),
""
)
</f>
        <v/>
      </c>
      <c r="K576" s="118" t="str">
        <f t="array" ref="K576">IFERROR(
INDEX(REPORTE_DROPI!S:S,
MATCH($T576, REPORTE_DROPI!B:B, 0)
),
""
)</f>
        <v/>
      </c>
      <c r="L576" s="118">
        <f>IF(
  O576&lt;&gt;"DEVOLUCION",
  "",
  IF(
    T576="",
    "",
    SUMIF(DEVOLUCION!F:F, T576, DEVOLUCION!D:D)
  )
)
</f>
        <v>0</v>
      </c>
      <c r="M576" s="118" t="s">
        <v>5877</v>
      </c>
      <c r="N576" s="169" t="s">
        <v>7555</v>
      </c>
      <c r="O576" s="118" t="str">
        <f t="array" ref="O576">IFERROR(
VLOOKUP(
TRIM(CLEAN(
INDEX(REPORTE_DROPI!K:K,
MATCH(T576, REPORTE_DROPI!B:B, 0)
))),
{
TRIM(CLEAN(MAPA_ESTADOS!A:A)) ,
MAPA_ESTADOS!B:B
},
2,
FALSE
),
"REVISAR"
)</f>
        <v>DEVOLUCION</v>
      </c>
      <c r="P576" s="154" t="s">
        <v>5909</v>
      </c>
      <c r="Q576" s="153">
        <f t="shared" si="1"/>
        <v>0</v>
      </c>
      <c r="R576" s="172"/>
      <c r="S576" s="172"/>
      <c r="T576" s="118">
        <v>4586602.0</v>
      </c>
      <c r="U576" s="169" t="s">
        <v>7556</v>
      </c>
      <c r="V576" s="166"/>
      <c r="W576" s="18"/>
      <c r="X576" s="18"/>
      <c r="Y576" s="18"/>
      <c r="Z576" s="18"/>
    </row>
    <row r="577" ht="22.5" hidden="1" customHeight="1">
      <c r="A577" s="169">
        <v>576.0</v>
      </c>
      <c r="B577" s="170">
        <v>46075.0</v>
      </c>
      <c r="C577" s="154" t="s">
        <v>7557</v>
      </c>
      <c r="D577" s="118" t="str">
        <f>IFERROR(__xludf.DUMMYFUNCTION("IFERROR( INDEX( FILTER( 'NOMBRE DE PRODUCTOS'!B:B, REGEXMATCH( UPPER( INDEX( REPORTE_DROPI!AC:AC, MATCH(T577, REPORTE_DROPI!B:B, 0) ) ), UPPER('NOMBRE DE PRODUCTOS'!A:A) ) ), 1 ), ""REVISAR"" )"),"FilmPro®")</f>
        <v>FilmPro®</v>
      </c>
      <c r="E577" s="120">
        <f t="array" ref="E577">IF(
UPPER(TRIM(CLEAN($O577)))="ENTREGADO",
IFERROR(
INDEX(REPORTE_DROPI!Y:Y,
MATCH($T577, REPORTE_DROPI!B:B, 0)
),
""
),
""
)
</f>
        <v>4.7</v>
      </c>
      <c r="F577" s="171">
        <v>2.0</v>
      </c>
      <c r="G577" s="122">
        <f t="array" ref="G577">IF(
UPPER(TRIM(CLEAN($O577)))="ENTREGADO",
IFERROR(
INDEX(REPORTE_DROPI!R:R,
MATCH($T577, REPORTE_DROPI!B:B, 0)
),
""
),
""
)
</f>
        <v>25</v>
      </c>
      <c r="H577" s="118" t="s">
        <v>3727</v>
      </c>
      <c r="I577" s="154" t="s">
        <v>3731</v>
      </c>
      <c r="J577" s="121">
        <f t="array" ref="J577">IF(
UPPER(TRIM(CLEAN($O577)))="ENTREGADO",
IFERROR(
INDEX(REPORTE_DROPI!T:T,
MATCH($T577, REPORTE_DROPI!B:B, 0)
),
""
),
""
)
</f>
        <v>4.35</v>
      </c>
      <c r="K577" s="118">
        <f t="array" ref="K577">IFERROR(
INDEX(REPORTE_DROPI!S:S,
MATCH($T577, REPORTE_DROPI!B:B, 0)
),
""
)</f>
        <v>15.95</v>
      </c>
      <c r="L577" s="118" t="str">
        <f>IF(
  O577&lt;&gt;"DEVOLUCION",
  "",
  IF(
    T577="",
    "",
    SUMIF(DEVOLUCION!F:F, T577, DEVOLUCION!D:D)
  )
)
</f>
        <v/>
      </c>
      <c r="M577" s="118" t="s">
        <v>5877</v>
      </c>
      <c r="N577" s="169" t="s">
        <v>7558</v>
      </c>
      <c r="O577" s="118" t="str">
        <f t="array" ref="O577">IFERROR(
VLOOKUP(
TRIM(CLEAN(
INDEX(REPORTE_DROPI!K:K,
MATCH(T577, REPORTE_DROPI!B:B, 0)
))),
{
TRIM(CLEAN(MAPA_ESTADOS!A:A)) ,
MAPA_ESTADOS!B:B
},
2,
FALSE
),
"REVISAR"
)</f>
        <v>ENTREGADO</v>
      </c>
      <c r="P577" s="154" t="s">
        <v>5909</v>
      </c>
      <c r="Q577" s="153">
        <f t="shared" si="1"/>
        <v>0</v>
      </c>
      <c r="R577" s="172"/>
      <c r="S577" s="172"/>
      <c r="T577" s="118">
        <f t="array" ref="T577">IFERROR(
INDEX(REPORTE_DROPI!B:B,
MATCH(
CLEAN(TRIM(C577)),
CLEAN(TRIM(REPORTE_DROPI!E:E)),
0
)
),
""
)
</f>
        <v>4586613</v>
      </c>
      <c r="U577" s="169" t="s">
        <v>7559</v>
      </c>
      <c r="V577" s="166"/>
      <c r="W577" s="18"/>
      <c r="X577" s="18"/>
      <c r="Y577" s="18"/>
      <c r="Z577" s="18"/>
    </row>
    <row r="578" ht="22.5" hidden="1" customHeight="1">
      <c r="A578" s="169">
        <v>577.0</v>
      </c>
      <c r="B578" s="170">
        <v>46075.0</v>
      </c>
      <c r="C578" s="154" t="s">
        <v>7560</v>
      </c>
      <c r="D578" s="118" t="str">
        <f>IFERROR(__xludf.DUMMYFUNCTION("IFERROR( INDEX( FILTER( 'NOMBRE DE PRODUCTOS'!B:B, REGEXMATCH( UPPER( INDEX( REPORTE_DROPI!AC:AC, MATCH(T578, REPORTE_DROPI!B:B, 0) ) ), UPPER('NOMBRE DE PRODUCTOS'!A:A) ) ), 1 ), ""REVISAR"" )"),"FilmPro®")</f>
        <v>FilmPro®</v>
      </c>
      <c r="E578" s="120">
        <f t="array" ref="E578">IF(
UPPER(TRIM(CLEAN($O578)))="ENTREGADO",
IFERROR(
INDEX(REPORTE_DROPI!Y:Y,
MATCH($T578, REPORTE_DROPI!B:B, 0)
),
""
),
""
)
</f>
        <v>4.7</v>
      </c>
      <c r="F578" s="171">
        <v>2.0</v>
      </c>
      <c r="G578" s="122">
        <f t="array" ref="G578">IF(
UPPER(TRIM(CLEAN($O578)))="ENTREGADO",
IFERROR(
INDEX(REPORTE_DROPI!R:R,
MATCH($T578, REPORTE_DROPI!B:B, 0)
),
""
),
""
)
</f>
        <v>25</v>
      </c>
      <c r="H578" s="118" t="s">
        <v>3727</v>
      </c>
      <c r="I578" s="154" t="s">
        <v>3801</v>
      </c>
      <c r="J578" s="121">
        <f t="array" ref="J578">IF(
UPPER(TRIM(CLEAN($O578)))="ENTREGADO",
IFERROR(
INDEX(REPORTE_DROPI!T:T,
MATCH($T578, REPORTE_DROPI!B:B, 0)
),
""
),
""
)
</f>
        <v>5.96</v>
      </c>
      <c r="K578" s="118">
        <f t="array" ref="K578">IFERROR(
INDEX(REPORTE_DROPI!S:S,
MATCH($T578, REPORTE_DROPI!B:B, 0)
),
""
)</f>
        <v>14.34</v>
      </c>
      <c r="L578" s="118" t="str">
        <f>IF(
  O578&lt;&gt;"DEVOLUCION",
  "",
  IF(
    T578="",
    "",
    SUMIF(DEVOLUCION!F:F, T578, DEVOLUCION!D:D)
  )
)
</f>
        <v/>
      </c>
      <c r="M578" s="118" t="s">
        <v>5877</v>
      </c>
      <c r="N578" s="169" t="s">
        <v>7561</v>
      </c>
      <c r="O578" s="118" t="str">
        <f t="array" ref="O578">IFERROR(
VLOOKUP(
TRIM(CLEAN(
INDEX(REPORTE_DROPI!K:K,
MATCH(T578, REPORTE_DROPI!B:B, 0)
))),
{
TRIM(CLEAN(MAPA_ESTADOS!A:A)) ,
MAPA_ESTADOS!B:B
},
2,
FALSE
),
"REVISAR"
)</f>
        <v>ENTREGADO</v>
      </c>
      <c r="P578" s="154" t="s">
        <v>5909</v>
      </c>
      <c r="Q578" s="153">
        <f t="shared" si="1"/>
        <v>0</v>
      </c>
      <c r="R578" s="172"/>
      <c r="S578" s="172"/>
      <c r="T578" s="118">
        <f t="array" ref="T578">IFERROR(
INDEX(REPORTE_DROPI!B:B,
MATCH(
CLEAN(TRIM(C578)),
CLEAN(TRIM(REPORTE_DROPI!E:E)),
0
)
),
""
)
</f>
        <v>4586619</v>
      </c>
      <c r="U578" s="169" t="s">
        <v>7562</v>
      </c>
      <c r="V578" s="166"/>
      <c r="W578" s="18"/>
      <c r="X578" s="18"/>
      <c r="Y578" s="18"/>
      <c r="Z578" s="18"/>
    </row>
    <row r="579" ht="22.5" hidden="1" customHeight="1">
      <c r="A579" s="169">
        <v>578.0</v>
      </c>
      <c r="B579" s="170">
        <v>46075.0</v>
      </c>
      <c r="C579" s="154" t="s">
        <v>7563</v>
      </c>
      <c r="D579" s="118" t="str">
        <f>IFERROR(__xludf.DUMMYFUNCTION("IFERROR( INDEX( FILTER( 'NOMBRE DE PRODUCTOS'!B:B, REGEXMATCH( UPPER( INDEX( REPORTE_DROPI!AC:AC, MATCH(T579, REPORTE_DROPI!B:B, 0) ) ), UPPER('NOMBRE DE PRODUCTOS'!A:A) ) ), 1 ), ""REVISAR"" )"),"Cuchillo Tazaki™")</f>
        <v>Cuchillo Tazaki™</v>
      </c>
      <c r="E579" s="120" t="str">
        <f t="array" ref="E579">IF(
UPPER(TRIM(CLEAN($O579)))="ENTREGADO",
IFERROR(
INDEX(REPORTE_DROPI!Y:Y,
MATCH($T579, REPORTE_DROPI!B:B, 0)
),
""
),
""
)
</f>
        <v/>
      </c>
      <c r="F579" s="171">
        <v>2.0</v>
      </c>
      <c r="G579" s="122" t="str">
        <f t="array" ref="G579">IF(
UPPER(TRIM(CLEAN($O579)))="ENTREGADO",
IFERROR(
INDEX(REPORTE_DROPI!R:R,
MATCH($T579, REPORTE_DROPI!B:B, 0)
),
""
),
""
)
</f>
        <v/>
      </c>
      <c r="H579" s="118" t="s">
        <v>3727</v>
      </c>
      <c r="I579" s="154" t="s">
        <v>3778</v>
      </c>
      <c r="J579" s="121" t="str">
        <f t="array" ref="J579">IF(
UPPER(TRIM(CLEAN($O579)))="ENTREGADO",
IFERROR(
INDEX(REPORTE_DROPI!T:T,
MATCH($T579, REPORTE_DROPI!B:B, 0)
),
""
),
""
)
</f>
        <v/>
      </c>
      <c r="K579" s="118" t="str">
        <f t="array" ref="K579">IFERROR(
INDEX(REPORTE_DROPI!S:S,
MATCH($T579, REPORTE_DROPI!B:B, 0)
),
""
)</f>
        <v/>
      </c>
      <c r="L579" s="118" t="str">
        <f>IF(
  O579&lt;&gt;"DEVOLUCION",
  "",
  IF(
    T579="",
    "",
    SUMIF(DEVOLUCION!F:F, T579, DEVOLUCION!D:D)
  )
)
</f>
        <v/>
      </c>
      <c r="M579" s="118" t="s">
        <v>5877</v>
      </c>
      <c r="N579" s="169" t="s">
        <v>7564</v>
      </c>
      <c r="O579" s="118" t="str">
        <f t="array" ref="O579">IFERROR(
VLOOKUP(
TRIM(CLEAN(
INDEX(REPORTE_DROPI!K:K,
MATCH(T579, REPORTE_DROPI!B:B, 0)
))),
{
TRIM(CLEAN(MAPA_ESTADOS!A:A)) ,
MAPA_ESTADOS!B:B
},
2,
FALSE
),
"REVISAR"
)</f>
        <v>PENDIENTE</v>
      </c>
      <c r="P579" s="154" t="s">
        <v>7565</v>
      </c>
      <c r="Q579" s="153">
        <f t="shared" si="1"/>
        <v>0</v>
      </c>
      <c r="R579" s="172"/>
      <c r="S579" s="172"/>
      <c r="T579" s="118">
        <f t="array" ref="T579">IFERROR(
INDEX(REPORTE_DROPI!B:B,
MATCH(
CLEAN(TRIM(C579)),
CLEAN(TRIM(REPORTE_DROPI!E:E)),
0
)
),
""
)
</f>
        <v>4583263</v>
      </c>
      <c r="U579" s="169" t="s">
        <v>7566</v>
      </c>
      <c r="V579" s="166"/>
      <c r="W579" s="18"/>
      <c r="X579" s="18"/>
      <c r="Y579" s="18"/>
      <c r="Z579" s="18"/>
    </row>
    <row r="580" ht="22.5" hidden="1" customHeight="1">
      <c r="A580" s="169">
        <v>579.0</v>
      </c>
      <c r="B580" s="170">
        <v>46075.0</v>
      </c>
      <c r="C580" s="154" t="s">
        <v>7567</v>
      </c>
      <c r="D580" s="118" t="str">
        <f>IFERROR(__xludf.DUMMYFUNCTION("IFERROR( INDEX( FILTER( 'NOMBRE DE PRODUCTOS'!B:B, REGEXMATCH( UPPER( INDEX( REPORTE_DROPI!AC:AC, MATCH(T580, REPORTE_DROPI!B:B, 0) ) ), UPPER('NOMBRE DE PRODUCTOS'!A:A) ) ), 1 ), ""REVISAR"" )"),"FilmPro®")</f>
        <v>FilmPro®</v>
      </c>
      <c r="E580" s="120" t="str">
        <f t="array" ref="E580">IF(
UPPER(TRIM(CLEAN($O580)))="ENTREGADO",
IFERROR(
INDEX(REPORTE_DROPI!Y:Y,
MATCH($T580, REPORTE_DROPI!B:B, 0)
),
""
),
""
)
</f>
        <v/>
      </c>
      <c r="F580" s="171">
        <v>3.0</v>
      </c>
      <c r="G580" s="122" t="str">
        <f t="array" ref="G580">IF(
UPPER(TRIM(CLEAN($O580)))="ENTREGADO",
IFERROR(
INDEX(REPORTE_DROPI!R:R,
MATCH($T580, REPORTE_DROPI!B:B, 0)
),
""
),
""
)
</f>
        <v/>
      </c>
      <c r="H580" s="118" t="s">
        <v>3727</v>
      </c>
      <c r="I580" s="154" t="s">
        <v>3731</v>
      </c>
      <c r="J580" s="121" t="str">
        <f t="array" ref="J580">IF(
UPPER(TRIM(CLEAN($O580)))="ENTREGADO",
IFERROR(
INDEX(REPORTE_DROPI!T:T,
MATCH($T580, REPORTE_DROPI!B:B, 0)
),
""
),
""
)
</f>
        <v/>
      </c>
      <c r="K580" s="118" t="str">
        <f t="array" ref="K580">IFERROR(
INDEX(REPORTE_DROPI!S:S,
MATCH($T580, REPORTE_DROPI!B:B, 0)
),
""
)</f>
        <v/>
      </c>
      <c r="L580" s="118" t="str">
        <f>IF(
  O580&lt;&gt;"DEVOLUCION",
  "",
  IF(
    T580="",
    "",
    SUMIF(DEVOLUCION!F:F, T580, DEVOLUCION!D:D)
  )
)
</f>
        <v/>
      </c>
      <c r="M580" s="118" t="s">
        <v>5877</v>
      </c>
      <c r="N580" s="169" t="s">
        <v>7568</v>
      </c>
      <c r="O580" s="118" t="str">
        <f t="array" ref="O580">IFERROR(
VLOOKUP(
TRIM(CLEAN(
INDEX(REPORTE_DROPI!K:K,
MATCH(T580, REPORTE_DROPI!B:B, 0)
))),
{
TRIM(CLEAN(MAPA_ESTADOS!A:A)) ,
MAPA_ESTADOS!B:B
},
2,
FALSE
),
"REVISAR"
)</f>
        <v>CANCELADO</v>
      </c>
      <c r="P580" s="154" t="s">
        <v>7569</v>
      </c>
      <c r="Q580" s="153">
        <f t="shared" si="1"/>
        <v>0</v>
      </c>
      <c r="R580" s="172"/>
      <c r="S580" s="172"/>
      <c r="T580" s="118">
        <f t="array" ref="T580">IFERROR(
INDEX(REPORTE_DROPI!B:B,
MATCH(
CLEAN(TRIM(C580)),
CLEAN(TRIM(REPORTE_DROPI!E:E)),
0
)
),
""
)
</f>
        <v>4646730</v>
      </c>
      <c r="U580" s="169" t="s">
        <v>7570</v>
      </c>
      <c r="V580" s="166"/>
      <c r="W580" s="18"/>
      <c r="X580" s="18"/>
      <c r="Y580" s="18"/>
      <c r="Z580" s="18"/>
    </row>
    <row r="581" ht="22.5" hidden="1" customHeight="1">
      <c r="A581" s="169">
        <v>580.0</v>
      </c>
      <c r="B581" s="170">
        <v>46075.0</v>
      </c>
      <c r="C581" s="154" t="s">
        <v>7571</v>
      </c>
      <c r="D581" s="118" t="str">
        <f>IFERROR(__xludf.DUMMYFUNCTION("IFERROR( INDEX( FILTER( 'NOMBRE DE PRODUCTOS'!B:B, REGEXMATCH( UPPER( INDEX( REPORTE_DROPI!AC:AC, MATCH(T581, REPORTE_DROPI!B:B, 0) ) ), UPPER('NOMBRE DE PRODUCTOS'!A:A) ) ), 1 ), ""REVISAR"" )"),"FilmPro®")</f>
        <v>FilmPro®</v>
      </c>
      <c r="E581" s="120">
        <f t="array" ref="E581">IF(
UPPER(TRIM(CLEAN($O581)))="ENTREGADO",
IFERROR(
INDEX(REPORTE_DROPI!Y:Y,
MATCH($T581, REPORTE_DROPI!B:B, 0)
),
""
),
""
)
</f>
        <v>7.05</v>
      </c>
      <c r="F581" s="171">
        <v>3.0</v>
      </c>
      <c r="G581" s="122">
        <f t="array" ref="G581">IF(
UPPER(TRIM(CLEAN($O581)))="ENTREGADO",
IFERROR(
INDEX(REPORTE_DROPI!R:R,
MATCH($T581, REPORTE_DROPI!B:B, 0)
),
""
),
""
)
</f>
        <v>30</v>
      </c>
      <c r="H581" s="118" t="s">
        <v>3727</v>
      </c>
      <c r="I581" s="154" t="s">
        <v>3969</v>
      </c>
      <c r="J581" s="121">
        <f t="array" ref="J581">IF(
UPPER(TRIM(CLEAN($O581)))="ENTREGADO",
IFERROR(
INDEX(REPORTE_DROPI!T:T,
MATCH($T581, REPORTE_DROPI!B:B, 0)
),
""
),
""
)
</f>
        <v>6.16</v>
      </c>
      <c r="K581" s="118">
        <f t="array" ref="K581">IFERROR(
INDEX(REPORTE_DROPI!S:S,
MATCH($T581, REPORTE_DROPI!B:B, 0)
),
""
)</f>
        <v>16.79</v>
      </c>
      <c r="L581" s="118" t="str">
        <f>IF(
  O581&lt;&gt;"DEVOLUCION",
  "",
  IF(
    T581="",
    "",
    SUMIF(DEVOLUCION!F:F, T581, DEVOLUCION!D:D)
  )
)
</f>
        <v/>
      </c>
      <c r="M581" s="118" t="s">
        <v>5877</v>
      </c>
      <c r="N581" s="169" t="s">
        <v>7572</v>
      </c>
      <c r="O581" s="118" t="str">
        <f t="array" ref="O581">IFERROR(
VLOOKUP(
TRIM(CLEAN(
INDEX(REPORTE_DROPI!K:K,
MATCH(T581, REPORTE_DROPI!B:B, 0)
))),
{
TRIM(CLEAN(MAPA_ESTADOS!A:A)) ,
MAPA_ESTADOS!B:B
},
2,
FALSE
),
"REVISAR"
)</f>
        <v>ENTREGADO</v>
      </c>
      <c r="P581" s="154" t="s">
        <v>5909</v>
      </c>
      <c r="Q581" s="153">
        <f t="shared" si="1"/>
        <v>0</v>
      </c>
      <c r="R581" s="172"/>
      <c r="S581" s="172"/>
      <c r="T581" s="118">
        <f t="array" ref="T581">IFERROR(
INDEX(REPORTE_DROPI!B:B,
MATCH(
CLEAN(TRIM(C581)),
CLEAN(TRIM(REPORTE_DROPI!E:E)),
0
)
),
""
)
</f>
        <v>4586637</v>
      </c>
      <c r="U581" s="169" t="s">
        <v>7573</v>
      </c>
      <c r="V581" s="166"/>
      <c r="W581" s="18"/>
      <c r="X581" s="18"/>
      <c r="Y581" s="18"/>
      <c r="Z581" s="18"/>
    </row>
    <row r="582" ht="22.5" hidden="1" customHeight="1">
      <c r="A582" s="169">
        <v>581.0</v>
      </c>
      <c r="B582" s="170">
        <v>46075.0</v>
      </c>
      <c r="C582" s="154" t="s">
        <v>7574</v>
      </c>
      <c r="D582" s="118" t="str">
        <f>IFERROR(__xludf.DUMMYFUNCTION("IFERROR( INDEX( FILTER( 'NOMBRE DE PRODUCTOS'!B:B, REGEXMATCH( UPPER( INDEX( REPORTE_DROPI!AC:AC, MATCH(T582, REPORTE_DROPI!B:B, 0) ) ), UPPER('NOMBRE DE PRODUCTOS'!A:A) ) ), 1 ), ""REVISAR"" )"),"Cuchillo Tazaki™")</f>
        <v>Cuchillo Tazaki™</v>
      </c>
      <c r="E582" s="120">
        <f t="array" ref="E582">IF(
UPPER(TRIM(CLEAN($O582)))="ENTREGADO",
IFERROR(
INDEX(REPORTE_DROPI!Y:Y,
MATCH($T582, REPORTE_DROPI!B:B, 0)
),
""
),
""
)
</f>
        <v>7.5</v>
      </c>
      <c r="F582" s="171">
        <v>2.0</v>
      </c>
      <c r="G582" s="122">
        <f t="array" ref="G582">IF(
UPPER(TRIM(CLEAN($O582)))="ENTREGADO",
IFERROR(
INDEX(REPORTE_DROPI!R:R,
MATCH($T582, REPORTE_DROPI!B:B, 0)
),
""
),
""
)
</f>
        <v>20.9</v>
      </c>
      <c r="H582" s="118" t="s">
        <v>3727</v>
      </c>
      <c r="I582" s="154" t="s">
        <v>3728</v>
      </c>
      <c r="J582" s="121">
        <f t="array" ref="J582">IF(
UPPER(TRIM(CLEAN($O582)))="ENTREGADO",
IFERROR(
INDEX(REPORTE_DROPI!T:T,
MATCH($T582, REPORTE_DROPI!B:B, 0)
),
""
),
""
)
</f>
        <v>6.2</v>
      </c>
      <c r="K582" s="118">
        <f t="array" ref="K582">IFERROR(
INDEX(REPORTE_DROPI!S:S,
MATCH($T582, REPORTE_DROPI!B:B, 0)
),
""
)</f>
        <v>7.2</v>
      </c>
      <c r="L582" s="118" t="str">
        <f>IF(
  O582&lt;&gt;"DEVOLUCION",
  "",
  IF(
    T582="",
    "",
    SUMIF(DEVOLUCION!F:F, T582, DEVOLUCION!D:D)
  )
)
</f>
        <v/>
      </c>
      <c r="M582" s="118" t="s">
        <v>5877</v>
      </c>
      <c r="N582" s="169" t="s">
        <v>7575</v>
      </c>
      <c r="O582" s="118" t="str">
        <f t="array" ref="O582">IFERROR(
VLOOKUP(
TRIM(CLEAN(
INDEX(REPORTE_DROPI!K:K,
MATCH(T582, REPORTE_DROPI!B:B, 0)
))),
{
TRIM(CLEAN(MAPA_ESTADOS!A:A)) ,
MAPA_ESTADOS!B:B
},
2,
FALSE
),
"REVISAR"
)</f>
        <v>ENTREGADO</v>
      </c>
      <c r="P582" s="154" t="s">
        <v>5692</v>
      </c>
      <c r="Q582" s="153">
        <f t="shared" si="1"/>
        <v>0</v>
      </c>
      <c r="R582" s="172"/>
      <c r="S582" s="172"/>
      <c r="T582" s="118">
        <f t="array" ref="T582">IFERROR(
INDEX(REPORTE_DROPI!B:B,
MATCH(
CLEAN(TRIM(C582)),
CLEAN(TRIM(REPORTE_DROPI!E:E)),
0
)
),
""
)
</f>
        <v>4586325</v>
      </c>
      <c r="U582" s="169" t="s">
        <v>7576</v>
      </c>
      <c r="V582" s="166"/>
      <c r="W582" s="18"/>
      <c r="X582" s="18"/>
      <c r="Y582" s="18"/>
      <c r="Z582" s="18"/>
    </row>
    <row r="583" ht="22.5" hidden="1" customHeight="1">
      <c r="A583" s="169">
        <v>582.0</v>
      </c>
      <c r="B583" s="170">
        <v>46075.0</v>
      </c>
      <c r="C583" s="154" t="s">
        <v>7577</v>
      </c>
      <c r="D583" s="118" t="str">
        <f>IFERROR(__xludf.DUMMYFUNCTION("IFERROR( INDEX( FILTER( 'NOMBRE DE PRODUCTOS'!B:B, REGEXMATCH( UPPER( INDEX( REPORTE_DROPI!AC:AC, MATCH(T583, REPORTE_DROPI!B:B, 0) ) ), UPPER('NOMBRE DE PRODUCTOS'!A:A) ) ), 1 ), ""REVISAR"" )"),"FilmPro®")</f>
        <v>FilmPro®</v>
      </c>
      <c r="E583" s="120">
        <f t="array" ref="E583">IF(
UPPER(TRIM(CLEAN($O583)))="ENTREGADO",
IFERROR(
INDEX(REPORTE_DROPI!Y:Y,
MATCH($T583, REPORTE_DROPI!B:B, 0)
),
""
),
""
)
</f>
        <v>7.05</v>
      </c>
      <c r="F583" s="171">
        <v>3.0</v>
      </c>
      <c r="G583" s="122">
        <f t="array" ref="G583">IF(
UPPER(TRIM(CLEAN($O583)))="ENTREGADO",
IFERROR(
INDEX(REPORTE_DROPI!R:R,
MATCH($T583, REPORTE_DROPI!B:B, 0)
),
""
),
""
)
</f>
        <v>30</v>
      </c>
      <c r="H583" s="118" t="s">
        <v>3727</v>
      </c>
      <c r="I583" s="154" t="s">
        <v>3778</v>
      </c>
      <c r="J583" s="121">
        <f t="array" ref="J583">IF(
UPPER(TRIM(CLEAN($O583)))="ENTREGADO",
IFERROR(
INDEX(REPORTE_DROPI!T:T,
MATCH($T583, REPORTE_DROPI!B:B, 0)
),
""
),
""
)
</f>
        <v>6.16</v>
      </c>
      <c r="K583" s="118">
        <f t="array" ref="K583">IFERROR(
INDEX(REPORTE_DROPI!S:S,
MATCH($T583, REPORTE_DROPI!B:B, 0)
),
""
)</f>
        <v>16.79</v>
      </c>
      <c r="L583" s="118" t="str">
        <f>IF(
  O583&lt;&gt;"DEVOLUCION",
  "",
  IF(
    T583="",
    "",
    SUMIF(DEVOLUCION!F:F, T583, DEVOLUCION!D:D)
  )
)
</f>
        <v/>
      </c>
      <c r="M583" s="118" t="s">
        <v>5877</v>
      </c>
      <c r="N583" s="169" t="s">
        <v>7578</v>
      </c>
      <c r="O583" s="118" t="str">
        <f t="array" ref="O583">IFERROR(
VLOOKUP(
TRIM(CLEAN(
INDEX(REPORTE_DROPI!K:K,
MATCH(T583, REPORTE_DROPI!B:B, 0)
))),
{
TRIM(CLEAN(MAPA_ESTADOS!A:A)) ,
MAPA_ESTADOS!B:B
},
2,
FALSE
),
"REVISAR"
)</f>
        <v>ENTREGADO</v>
      </c>
      <c r="P583" s="154" t="s">
        <v>5692</v>
      </c>
      <c r="Q583" s="153">
        <f t="shared" si="1"/>
        <v>0</v>
      </c>
      <c r="R583" s="172"/>
      <c r="S583" s="172"/>
      <c r="T583" s="118">
        <f t="array" ref="T583">IFERROR(
INDEX(REPORTE_DROPI!B:B,
MATCH(
CLEAN(TRIM(C583)),
CLEAN(TRIM(REPORTE_DROPI!E:E)),
0
)
),
""
)
</f>
        <v>4588995</v>
      </c>
      <c r="U583" s="169" t="s">
        <v>7579</v>
      </c>
      <c r="V583" s="166"/>
      <c r="W583" s="18"/>
      <c r="X583" s="18"/>
      <c r="Y583" s="18"/>
      <c r="Z583" s="18"/>
    </row>
    <row r="584" ht="22.5" hidden="1" customHeight="1">
      <c r="A584" s="169">
        <v>583.0</v>
      </c>
      <c r="B584" s="170">
        <v>46075.0</v>
      </c>
      <c r="C584" s="154" t="s">
        <v>7580</v>
      </c>
      <c r="D584" s="118" t="str">
        <f>IFERROR(__xludf.DUMMYFUNCTION("IFERROR( INDEX( FILTER( 'NOMBRE DE PRODUCTOS'!B:B, REGEXMATCH( UPPER( INDEX( REPORTE_DROPI!AC:AC, MATCH(T584, REPORTE_DROPI!B:B, 0) ) ), UPPER('NOMBRE DE PRODUCTOS'!A:A) ) ), 1 ), ""REVISAR"" )"),"FilmPro®")</f>
        <v>FilmPro®</v>
      </c>
      <c r="E584" s="120">
        <f t="array" ref="E584">IF(
UPPER(TRIM(CLEAN($O584)))="ENTREGADO",
IFERROR(
INDEX(REPORTE_DROPI!Y:Y,
MATCH($T584, REPORTE_DROPI!B:B, 0)
),
""
),
""
)
</f>
        <v>2.35</v>
      </c>
      <c r="F584" s="171">
        <v>1.0</v>
      </c>
      <c r="G584" s="122">
        <f t="array" ref="G584">IF(
UPPER(TRIM(CLEAN($O584)))="ENTREGADO",
IFERROR(
INDEX(REPORTE_DROPI!R:R,
MATCH($T584, REPORTE_DROPI!B:B, 0)
),
""
),
""
)
</f>
        <v>20</v>
      </c>
      <c r="H584" s="118" t="s">
        <v>3727</v>
      </c>
      <c r="I584" s="154" t="s">
        <v>3740</v>
      </c>
      <c r="J584" s="121">
        <f t="array" ref="J584">IF(
UPPER(TRIM(CLEAN($O584)))="ENTREGADO",
IFERROR(
INDEX(REPORTE_DROPI!T:T,
MATCH($T584, REPORTE_DROPI!B:B, 0)
),
""
),
""
)
</f>
        <v>7.67</v>
      </c>
      <c r="K584" s="118">
        <f t="array" ref="K584">IFERROR(
INDEX(REPORTE_DROPI!S:S,
MATCH($T584, REPORTE_DROPI!B:B, 0)
),
""
)</f>
        <v>9.98</v>
      </c>
      <c r="L584" s="118" t="str">
        <f>IF(
  O584&lt;&gt;"DEVOLUCION",
  "",
  IF(
    T584="",
    "",
    SUMIF(DEVOLUCION!F:F, T584, DEVOLUCION!D:D)
  )
)
</f>
        <v/>
      </c>
      <c r="M584" s="118" t="s">
        <v>5877</v>
      </c>
      <c r="N584" s="169" t="s">
        <v>7581</v>
      </c>
      <c r="O584" s="118" t="str">
        <f t="array" ref="O584">IFERROR(
VLOOKUP(
TRIM(CLEAN(
INDEX(REPORTE_DROPI!K:K,
MATCH(T584, REPORTE_DROPI!B:B, 0)
))),
{
TRIM(CLEAN(MAPA_ESTADOS!A:A)) ,
MAPA_ESTADOS!B:B
},
2,
FALSE
),
"REVISAR"
)</f>
        <v>ENTREGADO</v>
      </c>
      <c r="P584" s="154" t="s">
        <v>5692</v>
      </c>
      <c r="Q584" s="153">
        <f t="shared" si="1"/>
        <v>0</v>
      </c>
      <c r="R584" s="172"/>
      <c r="S584" s="172"/>
      <c r="T584" s="118">
        <f t="array" ref="T584">IFERROR(
INDEX(REPORTE_DROPI!B:B,
MATCH(
CLEAN(TRIM(C584)),
CLEAN(TRIM(REPORTE_DROPI!E:E)),
0
)
),
""
)
</f>
        <v>4597831</v>
      </c>
      <c r="U584" s="169" t="s">
        <v>7582</v>
      </c>
      <c r="V584" s="166"/>
      <c r="W584" s="18"/>
      <c r="X584" s="18"/>
      <c r="Y584" s="18"/>
      <c r="Z584" s="18"/>
    </row>
    <row r="585" ht="22.5" hidden="1" customHeight="1">
      <c r="A585" s="169">
        <v>584.0</v>
      </c>
      <c r="B585" s="170">
        <v>46076.0</v>
      </c>
      <c r="C585" s="154" t="s">
        <v>7583</v>
      </c>
      <c r="D585" s="118" t="str">
        <f>IFERROR(__xludf.DUMMYFUNCTION("IFERROR( INDEX( FILTER( 'NOMBRE DE PRODUCTOS'!B:B, REGEXMATCH( UPPER( INDEX( REPORTE_DROPI!AC:AC, MATCH(T585, REPORTE_DROPI!B:B, 0) ) ), UPPER('NOMBRE DE PRODUCTOS'!A:A) ) ), 1 ), ""REVISAR"" )"),"FilmPro®")</f>
        <v>FilmPro®</v>
      </c>
      <c r="E585" s="120">
        <f t="array" ref="E585">IF(
UPPER(TRIM(CLEAN($O585)))="ENTREGADO",
IFERROR(
INDEX(REPORTE_DROPI!Y:Y,
MATCH($T585, REPORTE_DROPI!B:B, 0)
),
""
),
""
)
</f>
        <v>2.35</v>
      </c>
      <c r="F585" s="171">
        <v>1.0</v>
      </c>
      <c r="G585" s="122">
        <f t="array" ref="G585">IF(
UPPER(TRIM(CLEAN($O585)))="ENTREGADO",
IFERROR(
INDEX(REPORTE_DROPI!R:R,
MATCH($T585, REPORTE_DROPI!B:B, 0)
),
""
),
""
)
</f>
        <v>20</v>
      </c>
      <c r="H585" s="118" t="s">
        <v>3727</v>
      </c>
      <c r="I585" s="154" t="s">
        <v>3740</v>
      </c>
      <c r="J585" s="121">
        <f t="array" ref="J585">IF(
UPPER(TRIM(CLEAN($O585)))="ENTREGADO",
IFERROR(
INDEX(REPORTE_DROPI!T:T,
MATCH($T585, REPORTE_DROPI!B:B, 0)
),
""
),
""
)
</f>
        <v>5.76</v>
      </c>
      <c r="K585" s="118">
        <f t="array" ref="K585">IFERROR(
INDEX(REPORTE_DROPI!S:S,
MATCH($T585, REPORTE_DROPI!B:B, 0)
),
""
)</f>
        <v>11.89</v>
      </c>
      <c r="L585" s="118" t="str">
        <f>IF(
  O585&lt;&gt;"DEVOLUCION",
  "",
  IF(
    T585="",
    "",
    SUMIF(DEVOLUCION!F:F, T585, DEVOLUCION!D:D)
  )
)
</f>
        <v/>
      </c>
      <c r="M585" s="118" t="s">
        <v>5877</v>
      </c>
      <c r="N585" s="169" t="s">
        <v>7584</v>
      </c>
      <c r="O585" s="118" t="str">
        <f t="array" ref="O585">IFERROR(
VLOOKUP(
TRIM(CLEAN(
INDEX(REPORTE_DROPI!K:K,
MATCH(T585, REPORTE_DROPI!B:B, 0)
))),
{
TRIM(CLEAN(MAPA_ESTADOS!A:A)) ,
MAPA_ESTADOS!B:B
},
2,
FALSE
),
"REVISAR"
)</f>
        <v>ENTREGADO</v>
      </c>
      <c r="P585" s="154" t="s">
        <v>5692</v>
      </c>
      <c r="Q585" s="153">
        <f t="shared" si="1"/>
        <v>0</v>
      </c>
      <c r="R585" s="172"/>
      <c r="S585" s="172"/>
      <c r="T585" s="118">
        <v>4597208.0</v>
      </c>
      <c r="U585" s="169" t="s">
        <v>7585</v>
      </c>
      <c r="V585" s="166"/>
      <c r="W585" s="18"/>
      <c r="X585" s="18"/>
      <c r="Y585" s="18"/>
      <c r="Z585" s="18"/>
    </row>
    <row r="586" ht="22.5" hidden="1" customHeight="1">
      <c r="A586" s="169">
        <v>585.0</v>
      </c>
      <c r="B586" s="170">
        <v>46076.0</v>
      </c>
      <c r="C586" s="154" t="s">
        <v>5265</v>
      </c>
      <c r="D586" s="118" t="str">
        <f>IFERROR(__xludf.DUMMYFUNCTION("IFERROR( INDEX( FILTER( 'NOMBRE DE PRODUCTOS'!B:B, REGEXMATCH( UPPER( INDEX( REPORTE_DROPI!AC:AC, MATCH(T586, REPORTE_DROPI!B:B, 0) ) ), UPPER('NOMBRE DE PRODUCTOS'!A:A) ) ), 1 ), ""REVISAR"" )"),"FilmPro®")</f>
        <v>FilmPro®</v>
      </c>
      <c r="E586" s="120">
        <f t="array" ref="E586">IF(
UPPER(TRIM(CLEAN($O586)))="ENTREGADO",
IFERROR(
INDEX(REPORTE_DROPI!Y:Y,
MATCH($T586, REPORTE_DROPI!B:B, 0)
),
""
),
""
)
</f>
        <v>7.05</v>
      </c>
      <c r="F586" s="171">
        <v>3.0</v>
      </c>
      <c r="G586" s="122">
        <f t="array" ref="G586">IF(
UPPER(TRIM(CLEAN($O586)))="ENTREGADO",
IFERROR(
INDEX(REPORTE_DROPI!R:R,
MATCH($T586, REPORTE_DROPI!B:B, 0)
),
""
),
""
)
</f>
        <v>30</v>
      </c>
      <c r="H586" s="118" t="s">
        <v>3727</v>
      </c>
      <c r="I586" s="154" t="s">
        <v>3728</v>
      </c>
      <c r="J586" s="121"/>
      <c r="K586" s="118"/>
      <c r="L586" s="118"/>
      <c r="M586" s="118" t="s">
        <v>5877</v>
      </c>
      <c r="N586" s="169" t="s">
        <v>7586</v>
      </c>
      <c r="O586" s="118" t="str">
        <f t="array" ref="O586">IFERROR(
VLOOKUP(
TRIM(CLEAN(
INDEX(REPORTE_DROPI!K:K,
MATCH(T586, REPORTE_DROPI!B:B, 0)
))),
{
TRIM(CLEAN(MAPA_ESTADOS!A:A)) ,
MAPA_ESTADOS!B:B
},
2,
FALSE
),
"REVISAR"
)</f>
        <v>ENTREGADO</v>
      </c>
      <c r="P586" s="154" t="s">
        <v>5692</v>
      </c>
      <c r="Q586" s="153">
        <f t="shared" si="1"/>
        <v>22.95</v>
      </c>
      <c r="R586" s="172"/>
      <c r="S586" s="172"/>
      <c r="T586" s="118">
        <v>4598492.0</v>
      </c>
      <c r="U586" s="169" t="s">
        <v>7587</v>
      </c>
      <c r="V586" s="166"/>
      <c r="W586" s="18"/>
      <c r="X586" s="18"/>
      <c r="Y586" s="18"/>
      <c r="Z586" s="18"/>
    </row>
    <row r="587" ht="22.5" hidden="1" customHeight="1">
      <c r="A587" s="169">
        <v>586.0</v>
      </c>
      <c r="B587" s="170">
        <v>46078.0</v>
      </c>
      <c r="C587" s="154" t="s">
        <v>7588</v>
      </c>
      <c r="D587" s="118" t="str">
        <f>IFERROR(__xludf.DUMMYFUNCTION("IFERROR( INDEX( FILTER( 'NOMBRE DE PRODUCTOS'!B:B, REGEXMATCH( UPPER( INDEX( REPORTE_DROPI!AC:AC, MATCH(T587, REPORTE_DROPI!B:B, 0) ) ), UPPER('NOMBRE DE PRODUCTOS'!A:A) ) ), 1 ), ""REVISAR"" )"),"FilmPro®")</f>
        <v>FilmPro®</v>
      </c>
      <c r="E587" s="120">
        <f t="array" ref="E587">IF(
UPPER(TRIM(CLEAN($O587)))="ENTREGADO",
IFERROR(
INDEX(REPORTE_DROPI!Y:Y,
MATCH($T587, REPORTE_DROPI!B:B, 0)
),
""
),
""
)
</f>
        <v>4.7</v>
      </c>
      <c r="F587" s="171">
        <v>2.0</v>
      </c>
      <c r="G587" s="122">
        <f t="array" ref="G587">IF(
UPPER(TRIM(CLEAN($O587)))="ENTREGADO",
IFERROR(
INDEX(REPORTE_DROPI!R:R,
MATCH($T587, REPORTE_DROPI!B:B, 0)
),
""
),
""
)
</f>
        <v>25</v>
      </c>
      <c r="H587" s="118" t="s">
        <v>3727</v>
      </c>
      <c r="I587" s="154" t="s">
        <v>3731</v>
      </c>
      <c r="J587" s="121">
        <f t="array" ref="J587">IF(
UPPER(TRIM(CLEAN($O587)))="ENTREGADO",
IFERROR(
INDEX(REPORTE_DROPI!T:T,
MATCH($T587, REPORTE_DROPI!B:B, 0)
),
""
),
""
)
</f>
        <v>4.35</v>
      </c>
      <c r="K587" s="118">
        <f t="array" ref="K587">IFERROR(
INDEX(REPORTE_DROPI!S:S,
MATCH($T587, REPORTE_DROPI!B:B, 0)
),
""
)</f>
        <v>15.95</v>
      </c>
      <c r="L587" s="118" t="str">
        <f>IF(
  O587&lt;&gt;"DEVOLUCION",
  "",
  IF(
    T587="",
    "",
    SUMIF(DEVOLUCION!F:F, T587, DEVOLUCION!D:D)
  )
)
</f>
        <v/>
      </c>
      <c r="M587" s="118" t="s">
        <v>5877</v>
      </c>
      <c r="N587" s="169" t="s">
        <v>7589</v>
      </c>
      <c r="O587" s="118" t="str">
        <f t="array" ref="O587">IFERROR(
VLOOKUP(
TRIM(CLEAN(
INDEX(REPORTE_DROPI!K:K,
MATCH(T587, REPORTE_DROPI!B:B, 0)
))),
{
TRIM(CLEAN(MAPA_ESTADOS!A:A)) ,
MAPA_ESTADOS!B:B
},
2,
FALSE
),
"REVISAR"
)</f>
        <v>ENTREGADO</v>
      </c>
      <c r="P587" s="154" t="s">
        <v>5692</v>
      </c>
      <c r="Q587" s="153">
        <f t="shared" si="1"/>
        <v>0</v>
      </c>
      <c r="R587" s="172"/>
      <c r="S587" s="172"/>
      <c r="T587" s="118">
        <f t="array" ref="T587">IFERROR(
INDEX(REPORTE_DROPI!B:B,
MATCH(
CLEAN(TRIM(C587)),
CLEAN(TRIM(REPORTE_DROPI!E:E)),
0
)
),
""
)
</f>
        <v>4617195</v>
      </c>
      <c r="U587" s="169" t="s">
        <v>7590</v>
      </c>
      <c r="V587" s="166"/>
      <c r="W587" s="18"/>
      <c r="X587" s="18"/>
      <c r="Y587" s="18"/>
      <c r="Z587" s="18"/>
    </row>
    <row r="588" ht="22.5" hidden="1" customHeight="1">
      <c r="A588" s="169">
        <v>587.0</v>
      </c>
      <c r="B588" s="170">
        <v>46078.0</v>
      </c>
      <c r="C588" s="154" t="s">
        <v>7591</v>
      </c>
      <c r="D588" s="118" t="str">
        <f>IFERROR(__xludf.DUMMYFUNCTION("IFERROR( INDEX( FILTER( 'NOMBRE DE PRODUCTOS'!B:B, REGEXMATCH( UPPER( INDEX( REPORTE_DROPI!AC:AC, MATCH(T588, REPORTE_DROPI!B:B, 0) ) ), UPPER('NOMBRE DE PRODUCTOS'!A:A) ) ), 1 ), ""REVISAR"" )"),"FilmPro®")</f>
        <v>FilmPro®</v>
      </c>
      <c r="E588" s="120">
        <f t="array" ref="E588">IF(
UPPER(TRIM(CLEAN($O588)))="ENTREGADO",
IFERROR(
INDEX(REPORTE_DROPI!Y:Y,
MATCH($T588, REPORTE_DROPI!B:B, 0)
),
""
),
""
)
</f>
        <v>4.7</v>
      </c>
      <c r="F588" s="171">
        <v>2.0</v>
      </c>
      <c r="G588" s="122">
        <f t="array" ref="G588">IF(
UPPER(TRIM(CLEAN($O588)))="ENTREGADO",
IFERROR(
INDEX(REPORTE_DROPI!R:R,
MATCH($T588, REPORTE_DROPI!B:B, 0)
),
""
),
""
)
</f>
        <v>25</v>
      </c>
      <c r="H588" s="118" t="s">
        <v>3727</v>
      </c>
      <c r="I588" s="154" t="s">
        <v>3784</v>
      </c>
      <c r="J588" s="121">
        <f t="array" ref="J588">IF(
UPPER(TRIM(CLEAN($O588)))="ENTREGADO",
IFERROR(
INDEX(REPORTE_DROPI!T:T,
MATCH($T588, REPORTE_DROPI!B:B, 0)
),
""
),
""
)
</f>
        <v>5.96</v>
      </c>
      <c r="K588" s="118">
        <f t="array" ref="K588">IFERROR(
INDEX(REPORTE_DROPI!S:S,
MATCH($T588, REPORTE_DROPI!B:B, 0)
),
""
)</f>
        <v>14.34</v>
      </c>
      <c r="L588" s="118" t="str">
        <f>IF(
  O588&lt;&gt;"DEVOLUCION",
  "",
  IF(
    T588="",
    "",
    SUMIF(DEVOLUCION!F:F, T588, DEVOLUCION!D:D)
  )
)
</f>
        <v/>
      </c>
      <c r="M588" s="118" t="s">
        <v>5877</v>
      </c>
      <c r="N588" s="169" t="s">
        <v>7592</v>
      </c>
      <c r="O588" s="118" t="str">
        <f t="array" ref="O588">IFERROR(
VLOOKUP(
TRIM(CLEAN(
INDEX(REPORTE_DROPI!K:K,
MATCH(T588, REPORTE_DROPI!B:B, 0)
))),
{
TRIM(CLEAN(MAPA_ESTADOS!A:A)) ,
MAPA_ESTADOS!B:B
},
2,
FALSE
),
"REVISAR"
)</f>
        <v>ENTREGADO</v>
      </c>
      <c r="P588" s="154" t="s">
        <v>5692</v>
      </c>
      <c r="Q588" s="153">
        <f t="shared" si="1"/>
        <v>0</v>
      </c>
      <c r="R588" s="172"/>
      <c r="S588" s="172"/>
      <c r="T588" s="118">
        <f t="array" ref="T588">IFERROR(
INDEX(REPORTE_DROPI!B:B,
MATCH(
CLEAN(TRIM(C588)),
CLEAN(TRIM(REPORTE_DROPI!E:E)),
0
)
),
""
)
</f>
        <v>4617199</v>
      </c>
      <c r="U588" s="169" t="s">
        <v>7593</v>
      </c>
      <c r="V588" s="166"/>
      <c r="W588" s="18"/>
      <c r="X588" s="18"/>
      <c r="Y588" s="18"/>
      <c r="Z588" s="18"/>
    </row>
    <row r="589" ht="22.5" hidden="1" customHeight="1">
      <c r="A589" s="169">
        <v>588.0</v>
      </c>
      <c r="B589" s="170">
        <v>46078.0</v>
      </c>
      <c r="C589" s="154" t="s">
        <v>7594</v>
      </c>
      <c r="D589" s="118" t="str">
        <f>IFERROR(__xludf.DUMMYFUNCTION("IFERROR( INDEX( FILTER( 'NOMBRE DE PRODUCTOS'!B:B, REGEXMATCH( UPPER( INDEX( REPORTE_DROPI!AC:AC, MATCH(T589, REPORTE_DROPI!B:B, 0) ) ), UPPER('NOMBRE DE PRODUCTOS'!A:A) ) ), 1 ), ""REVISAR"" )"),"FilmPro®")</f>
        <v>FilmPro®</v>
      </c>
      <c r="E589" s="120">
        <f t="array" ref="E589">IF(
UPPER(TRIM(CLEAN($O589)))="ENTREGADO",
IFERROR(
INDEX(REPORTE_DROPI!Y:Y,
MATCH($T589, REPORTE_DROPI!B:B, 0)
),
""
),
""
)
</f>
        <v>7.05</v>
      </c>
      <c r="F589" s="171">
        <v>3.0</v>
      </c>
      <c r="G589" s="122">
        <f t="array" ref="G589">IF(
UPPER(TRIM(CLEAN($O589)))="ENTREGADO",
IFERROR(
INDEX(REPORTE_DROPI!R:R,
MATCH($T589, REPORTE_DROPI!B:B, 0)
),
""
),
""
)
</f>
        <v>30</v>
      </c>
      <c r="H589" s="118" t="s">
        <v>3727</v>
      </c>
      <c r="I589" s="154" t="s">
        <v>3731</v>
      </c>
      <c r="J589" s="121">
        <f t="array" ref="J589">IF(
UPPER(TRIM(CLEAN($O589)))="ENTREGADO",
IFERROR(
INDEX(REPORTE_DROPI!T:T,
MATCH($T589, REPORTE_DROPI!B:B, 0)
),
""
),
""
)
</f>
        <v>4.55</v>
      </c>
      <c r="K589" s="118">
        <f t="array" ref="K589">IFERROR(
INDEX(REPORTE_DROPI!S:S,
MATCH($T589, REPORTE_DROPI!B:B, 0)
),
""
)</f>
        <v>18.4</v>
      </c>
      <c r="L589" s="118" t="str">
        <f>IF(
  O589&lt;&gt;"DEVOLUCION",
  "",
  IF(
    T589="",
    "",
    SUMIF(DEVOLUCION!F:F, T589, DEVOLUCION!D:D)
  )
)
</f>
        <v/>
      </c>
      <c r="M589" s="118" t="s">
        <v>5877</v>
      </c>
      <c r="N589" s="169" t="s">
        <v>7595</v>
      </c>
      <c r="O589" s="118" t="str">
        <f t="array" ref="O589">IFERROR(
VLOOKUP(
TRIM(CLEAN(
INDEX(REPORTE_DROPI!K:K,
MATCH(T589, REPORTE_DROPI!B:B, 0)
))),
{
TRIM(CLEAN(MAPA_ESTADOS!A:A)) ,
MAPA_ESTADOS!B:B
},
2,
FALSE
),
"REVISAR"
)</f>
        <v>ENTREGADO</v>
      </c>
      <c r="P589" s="154" t="s">
        <v>5692</v>
      </c>
      <c r="Q589" s="153">
        <f t="shared" si="1"/>
        <v>0</v>
      </c>
      <c r="R589" s="172"/>
      <c r="S589" s="172"/>
      <c r="T589" s="118">
        <f t="array" ref="T589">IFERROR(
INDEX(REPORTE_DROPI!B:B,
MATCH(
CLEAN(TRIM(C589)),
CLEAN(TRIM(REPORTE_DROPI!E:E)),
0
)
),
""
)
</f>
        <v>4617647</v>
      </c>
      <c r="U589" s="169" t="s">
        <v>7596</v>
      </c>
      <c r="V589" s="166"/>
      <c r="W589" s="18"/>
      <c r="X589" s="18"/>
      <c r="Y589" s="18"/>
      <c r="Z589" s="18"/>
    </row>
    <row r="590" ht="22.5" hidden="1" customHeight="1">
      <c r="A590" s="169">
        <v>589.0</v>
      </c>
      <c r="B590" s="170">
        <v>46078.0</v>
      </c>
      <c r="C590" s="154" t="s">
        <v>7597</v>
      </c>
      <c r="D590" s="118" t="str">
        <f>IFERROR(__xludf.DUMMYFUNCTION("IFERROR( INDEX( FILTER( 'NOMBRE DE PRODUCTOS'!B:B, REGEXMATCH( UPPER( INDEX( REPORTE_DROPI!AC:AC, MATCH(T590, REPORTE_DROPI!B:B, 0) ) ), UPPER('NOMBRE DE PRODUCTOS'!A:A) ) ), 1 ), ""REVISAR"" )"),"FilmPro®")</f>
        <v>FilmPro®</v>
      </c>
      <c r="E590" s="120">
        <f t="array" ref="E590">IF(
UPPER(TRIM(CLEAN($O590)))="ENTREGADO",
IFERROR(
INDEX(REPORTE_DROPI!Y:Y,
MATCH($T590, REPORTE_DROPI!B:B, 0)
),
""
),
""
)
</f>
        <v>4.7</v>
      </c>
      <c r="F590" s="171">
        <v>2.0</v>
      </c>
      <c r="G590" s="122">
        <f t="array" ref="G590">IF(
UPPER(TRIM(CLEAN($O590)))="ENTREGADO",
IFERROR(
INDEX(REPORTE_DROPI!R:R,
MATCH($T590, REPORTE_DROPI!B:B, 0)
),
""
),
""
)
</f>
        <v>25</v>
      </c>
      <c r="H590" s="118" t="s">
        <v>3727</v>
      </c>
      <c r="I590" s="154" t="s">
        <v>3784</v>
      </c>
      <c r="J590" s="121">
        <f t="array" ref="J590">IF(
UPPER(TRIM(CLEAN($O590)))="ENTREGADO",
IFERROR(
INDEX(REPORTE_DROPI!T:T,
MATCH($T590, REPORTE_DROPI!B:B, 0)
),
""
),
""
)
</f>
        <v>7.19</v>
      </c>
      <c r="K590" s="118">
        <f t="array" ref="K590">IFERROR(
INDEX(REPORTE_DROPI!S:S,
MATCH($T590, REPORTE_DROPI!B:B, 0)
),
""
)</f>
        <v>13.11</v>
      </c>
      <c r="L590" s="118" t="str">
        <f>IF(
  O590&lt;&gt;"DEVOLUCION",
  "",
  IF(
    T590="",
    "",
    SUMIF(DEVOLUCION!F:F, T590, DEVOLUCION!D:D)
  )
)
</f>
        <v/>
      </c>
      <c r="M590" s="118" t="s">
        <v>5877</v>
      </c>
      <c r="N590" s="169" t="s">
        <v>7598</v>
      </c>
      <c r="O590" s="118" t="str">
        <f t="array" ref="O590">IFERROR(
VLOOKUP(
TRIM(CLEAN(
INDEX(REPORTE_DROPI!K:K,
MATCH(T590, REPORTE_DROPI!B:B, 0)
))),
{
TRIM(CLEAN(MAPA_ESTADOS!A:A)) ,
MAPA_ESTADOS!B:B
},
2,
FALSE
),
"REVISAR"
)</f>
        <v>ENTREGADO</v>
      </c>
      <c r="P590" s="154" t="s">
        <v>5692</v>
      </c>
      <c r="Q590" s="153">
        <f t="shared" si="1"/>
        <v>0</v>
      </c>
      <c r="R590" s="172"/>
      <c r="S590" s="172"/>
      <c r="T590" s="118">
        <f t="array" ref="T590">IFERROR(
INDEX(REPORTE_DROPI!B:B,
MATCH(
CLEAN(TRIM(C590)),
CLEAN(TRIM(REPORTE_DROPI!E:E)),
0
)
),
""
)
</f>
        <v>4618126</v>
      </c>
      <c r="U590" s="169" t="s">
        <v>7599</v>
      </c>
      <c r="V590" s="166"/>
      <c r="W590" s="18"/>
      <c r="X590" s="18"/>
      <c r="Y590" s="18"/>
      <c r="Z590" s="18"/>
    </row>
    <row r="591" ht="22.5" hidden="1" customHeight="1">
      <c r="A591" s="169">
        <v>590.0</v>
      </c>
      <c r="B591" s="170">
        <v>46078.0</v>
      </c>
      <c r="C591" s="154" t="s">
        <v>7600</v>
      </c>
      <c r="D591" s="118" t="str">
        <f>IFERROR(__xludf.DUMMYFUNCTION("IFERROR( INDEX( FILTER( 'NOMBRE DE PRODUCTOS'!B:B, REGEXMATCH( UPPER( INDEX( REPORTE_DROPI!AC:AC, MATCH(T591, REPORTE_DROPI!B:B, 0) ) ), UPPER('NOMBRE DE PRODUCTOS'!A:A) ) ), 1 ), ""REVISAR"" )"),"FilmPro®")</f>
        <v>FilmPro®</v>
      </c>
      <c r="E591" s="120" t="str">
        <f t="array" ref="E591">IF(
UPPER(TRIM(CLEAN($O591)))="ENTREGADO",
IFERROR(
INDEX(REPORTE_DROPI!Y:Y,
MATCH($T591, REPORTE_DROPI!B:B, 0)
),
""
),
""
)
</f>
        <v/>
      </c>
      <c r="F591" s="171">
        <v>2.0</v>
      </c>
      <c r="G591" s="122" t="str">
        <f t="array" ref="G591">IF(
UPPER(TRIM(CLEAN($O591)))="ENTREGADO",
IFERROR(
INDEX(REPORTE_DROPI!R:R,
MATCH($T591, REPORTE_DROPI!B:B, 0)
),
""
),
""
)
</f>
        <v/>
      </c>
      <c r="H591" s="118" t="s">
        <v>3727</v>
      </c>
      <c r="I591" s="154" t="s">
        <v>3770</v>
      </c>
      <c r="J591" s="121" t="str">
        <f t="array" ref="J591">IF(
UPPER(TRIM(CLEAN($O591)))="ENTREGADO",
IFERROR(
INDEX(REPORTE_DROPI!T:T,
MATCH($T591, REPORTE_DROPI!B:B, 0)
),
""
),
""
)
</f>
        <v/>
      </c>
      <c r="K591" s="118" t="str">
        <f t="array" ref="K591">IFERROR(
INDEX(REPORTE_DROPI!S:S,
MATCH($T591, REPORTE_DROPI!B:B, 0)
),
""
)</f>
        <v/>
      </c>
      <c r="L591" s="118">
        <f>IF(
  O591&lt;&gt;"DEVOLUCION",
  "",
  IF(
    T591="",
    "",
    SUMIF(DEVOLUCION!F:F, T591, DEVOLUCION!D:D)
  )
)
</f>
        <v>0</v>
      </c>
      <c r="M591" s="118" t="s">
        <v>5877</v>
      </c>
      <c r="N591" s="169" t="s">
        <v>7601</v>
      </c>
      <c r="O591" s="118" t="str">
        <f t="array" ref="O591">IFERROR(
VLOOKUP(
TRIM(CLEAN(
INDEX(REPORTE_DROPI!K:K,
MATCH(T591, REPORTE_DROPI!B:B, 0)
))),
{
TRIM(CLEAN(MAPA_ESTADOS!A:A)) ,
MAPA_ESTADOS!B:B
},
2,
FALSE
),
"REVISAR"
)</f>
        <v>DEVOLUCION</v>
      </c>
      <c r="P591" s="154" t="s">
        <v>7602</v>
      </c>
      <c r="Q591" s="153">
        <f t="shared" si="1"/>
        <v>0</v>
      </c>
      <c r="R591" s="172"/>
      <c r="S591" s="172"/>
      <c r="T591" s="118">
        <f t="array" ref="T591">IFERROR(
INDEX(REPORTE_DROPI!B:B,
MATCH(
CLEAN(TRIM(C591)),
CLEAN(TRIM(REPORTE_DROPI!E:E)),
0
)
),
""
)
</f>
        <v>4620214</v>
      </c>
      <c r="U591" s="169" t="s">
        <v>7603</v>
      </c>
      <c r="V591" s="166"/>
      <c r="W591" s="18"/>
      <c r="X591" s="18"/>
      <c r="Y591" s="18"/>
      <c r="Z591" s="18"/>
    </row>
    <row r="592" ht="22.5" hidden="1" customHeight="1">
      <c r="A592" s="169">
        <v>591.0</v>
      </c>
      <c r="B592" s="170">
        <v>46078.0</v>
      </c>
      <c r="C592" s="154" t="s">
        <v>7604</v>
      </c>
      <c r="D592" s="118" t="str">
        <f>IFERROR(__xludf.DUMMYFUNCTION("IFERROR( INDEX( FILTER( 'NOMBRE DE PRODUCTOS'!B:B, REGEXMATCH( UPPER( INDEX( REPORTE_DROPI!AC:AC, MATCH(T592, REPORTE_DROPI!B:B, 0) ) ), UPPER('NOMBRE DE PRODUCTOS'!A:A) ) ), 1 ), ""REVISAR"" )"),"FilmPro®")</f>
        <v>FilmPro®</v>
      </c>
      <c r="E592" s="120">
        <f t="array" ref="E592">IF(
UPPER(TRIM(CLEAN($O592)))="ENTREGADO",
IFERROR(
INDEX(REPORTE_DROPI!Y:Y,
MATCH($T592, REPORTE_DROPI!B:B, 0)
),
""
),
""
)
</f>
        <v>4.7</v>
      </c>
      <c r="F592" s="171">
        <v>2.0</v>
      </c>
      <c r="G592" s="122">
        <f t="array" ref="G592">IF(
UPPER(TRIM(CLEAN($O592)))="ENTREGADO",
IFERROR(
INDEX(REPORTE_DROPI!R:R,
MATCH($T592, REPORTE_DROPI!B:B, 0)
),
""
),
""
)
</f>
        <v>25</v>
      </c>
      <c r="H592" s="118" t="s">
        <v>3727</v>
      </c>
      <c r="I592" s="154" t="s">
        <v>3740</v>
      </c>
      <c r="J592" s="121">
        <f t="array" ref="J592">IF(
UPPER(TRIM(CLEAN($O592)))="ENTREGADO",
IFERROR(
INDEX(REPORTE_DROPI!T:T,
MATCH($T592, REPORTE_DROPI!B:B, 0)
),
""
),
""
)
</f>
        <v>5.96</v>
      </c>
      <c r="K592" s="118">
        <f t="array" ref="K592">IFERROR(
INDEX(REPORTE_DROPI!S:S,
MATCH($T592, REPORTE_DROPI!B:B, 0)
),
""
)</f>
        <v>14.34</v>
      </c>
      <c r="L592" s="118" t="str">
        <f>IF(
  O592&lt;&gt;"DEVOLUCION",
  "",
  IF(
    T592="",
    "",
    SUMIF(DEVOLUCION!F:F, T592, DEVOLUCION!D:D)
  )
)
</f>
        <v/>
      </c>
      <c r="M592" s="118" t="s">
        <v>5877</v>
      </c>
      <c r="N592" s="169" t="s">
        <v>7605</v>
      </c>
      <c r="O592" s="118" t="str">
        <f t="array" ref="O592">IFERROR(
VLOOKUP(
TRIM(CLEAN(
INDEX(REPORTE_DROPI!K:K,
MATCH(T592, REPORTE_DROPI!B:B, 0)
))),
{
TRIM(CLEAN(MAPA_ESTADOS!A:A)) ,
MAPA_ESTADOS!B:B
},
2,
FALSE
),
"REVISAR"
)</f>
        <v>ENTREGADO</v>
      </c>
      <c r="P592" s="154" t="s">
        <v>5692</v>
      </c>
      <c r="Q592" s="153">
        <f t="shared" si="1"/>
        <v>0</v>
      </c>
      <c r="R592" s="172"/>
      <c r="S592" s="172"/>
      <c r="T592" s="118">
        <f t="array" ref="T592">IFERROR(
INDEX(REPORTE_DROPI!B:B,
MATCH(
CLEAN(TRIM(C592)),
CLEAN(TRIM(REPORTE_DROPI!E:E)),
0
)
),
""
)
</f>
        <v>4621055</v>
      </c>
      <c r="U592" s="169" t="s">
        <v>7606</v>
      </c>
      <c r="V592" s="166"/>
      <c r="W592" s="18"/>
      <c r="X592" s="18"/>
      <c r="Y592" s="18"/>
      <c r="Z592" s="18"/>
    </row>
    <row r="593" ht="22.5" hidden="1" customHeight="1">
      <c r="A593" s="169">
        <v>592.0</v>
      </c>
      <c r="B593" s="170">
        <v>46078.0</v>
      </c>
      <c r="C593" s="154" t="s">
        <v>7607</v>
      </c>
      <c r="D593" s="118" t="str">
        <f>IFERROR(__xludf.DUMMYFUNCTION("IFERROR( INDEX( FILTER( 'NOMBRE DE PRODUCTOS'!B:B, REGEXMATCH( UPPER( INDEX( REPORTE_DROPI!AC:AC, MATCH(T593, REPORTE_DROPI!B:B, 0) ) ), UPPER('NOMBRE DE PRODUCTOS'!A:A) ) ), 1 ), ""REVISAR"" )"),"Cuchillo Tazaki™")</f>
        <v>Cuchillo Tazaki™</v>
      </c>
      <c r="E593" s="120">
        <f t="array" ref="E593">IF(
UPPER(TRIM(CLEAN($O593)))="ENTREGADO",
IFERROR(
INDEX(REPORTE_DROPI!Y:Y,
MATCH($T593, REPORTE_DROPI!B:B, 0)
),
""
),
""
)
</f>
        <v>7.5</v>
      </c>
      <c r="F593" s="171">
        <v>2.0</v>
      </c>
      <c r="G593" s="122">
        <f t="array" ref="G593">IF(
UPPER(TRIM(CLEAN($O593)))="ENTREGADO",
IFERROR(
INDEX(REPORTE_DROPI!R:R,
MATCH($T593, REPORTE_DROPI!B:B, 0)
),
""
),
""
)
</f>
        <v>20.9</v>
      </c>
      <c r="H593" s="118" t="s">
        <v>3727</v>
      </c>
      <c r="I593" s="154" t="s">
        <v>3784</v>
      </c>
      <c r="J593" s="121">
        <f t="array" ref="J593">IF(
UPPER(TRIM(CLEAN($O593)))="ENTREGADO",
IFERROR(
INDEX(REPORTE_DROPI!T:T,
MATCH($T593, REPORTE_DROPI!B:B, 0)
),
""
),
""
)
</f>
        <v>5.79</v>
      </c>
      <c r="K593" s="118">
        <f t="array" ref="K593">IFERROR(
INDEX(REPORTE_DROPI!S:S,
MATCH($T593, REPORTE_DROPI!B:B, 0)
),
""
)</f>
        <v>7.61</v>
      </c>
      <c r="L593" s="118" t="str">
        <f>IF(
  O593&lt;&gt;"DEVOLUCION",
  "",
  IF(
    T593="",
    "",
    SUMIF(DEVOLUCION!F:F, T593, DEVOLUCION!D:D)
  )
)
</f>
        <v/>
      </c>
      <c r="M593" s="118" t="s">
        <v>5877</v>
      </c>
      <c r="N593" s="169" t="s">
        <v>7608</v>
      </c>
      <c r="O593" s="118" t="str">
        <f t="array" ref="O593">IFERROR(
VLOOKUP(
TRIM(CLEAN(
INDEX(REPORTE_DROPI!K:K,
MATCH(T593, REPORTE_DROPI!B:B, 0)
))),
{
TRIM(CLEAN(MAPA_ESTADOS!A:A)) ,
MAPA_ESTADOS!B:B
},
2,
FALSE
),
"REVISAR"
)</f>
        <v>ENTREGADO</v>
      </c>
      <c r="P593" s="154" t="s">
        <v>5692</v>
      </c>
      <c r="Q593" s="153">
        <f t="shared" si="1"/>
        <v>0</v>
      </c>
      <c r="R593" s="172"/>
      <c r="S593" s="172"/>
      <c r="T593" s="118">
        <f t="array" ref="T593">IFERROR(
INDEX(REPORTE_DROPI!B:B,
MATCH(
CLEAN(TRIM(C593)),
CLEAN(TRIM(REPORTE_DROPI!E:E)),
0
)
),
""
)
</f>
        <v>4622389</v>
      </c>
      <c r="U593" s="169" t="s">
        <v>7609</v>
      </c>
      <c r="V593" s="166"/>
      <c r="W593" s="18"/>
      <c r="X593" s="18"/>
      <c r="Y593" s="18"/>
      <c r="Z593" s="18"/>
    </row>
    <row r="594" ht="22.5" hidden="1" customHeight="1">
      <c r="A594" s="169">
        <v>593.0</v>
      </c>
      <c r="B594" s="170">
        <v>46078.0</v>
      </c>
      <c r="C594" s="154" t="s">
        <v>7610</v>
      </c>
      <c r="D594" s="118" t="str">
        <f>IFERROR(__xludf.DUMMYFUNCTION("IFERROR( INDEX( FILTER( 'NOMBRE DE PRODUCTOS'!B:B, REGEXMATCH( UPPER( INDEX( REPORTE_DROPI!AC:AC, MATCH(T594, REPORTE_DROPI!B:B, 0) ) ), UPPER('NOMBRE DE PRODUCTOS'!A:A) ) ), 1 ), ""REVISAR"" )"),"Cuchillo Tazaki™")</f>
        <v>Cuchillo Tazaki™</v>
      </c>
      <c r="E594" s="120">
        <f t="array" ref="E594">IF(
UPPER(TRIM(CLEAN($O594)))="ENTREGADO",
IFERROR(
INDEX(REPORTE_DROPI!Y:Y,
MATCH($T594, REPORTE_DROPI!B:B, 0)
),
""
),
""
)
</f>
        <v>7.5</v>
      </c>
      <c r="F594" s="171">
        <v>2.0</v>
      </c>
      <c r="G594" s="122">
        <f t="array" ref="G594">IF(
UPPER(TRIM(CLEAN($O594)))="ENTREGADO",
IFERROR(
INDEX(REPORTE_DROPI!R:R,
MATCH($T594, REPORTE_DROPI!B:B, 0)
),
""
),
""
)
</f>
        <v>22</v>
      </c>
      <c r="H594" s="118" t="s">
        <v>3727</v>
      </c>
      <c r="I594" s="154" t="s">
        <v>3740</v>
      </c>
      <c r="J594" s="121">
        <f t="array" ref="J594">IF(
UPPER(TRIM(CLEAN($O594)))="ENTREGADO",
IFERROR(
INDEX(REPORTE_DROPI!T:T,
MATCH($T594, REPORTE_DROPI!B:B, 0)
),
""
),
""
)
</f>
        <v>5.84</v>
      </c>
      <c r="K594" s="118">
        <f t="array" ref="K594">IFERROR(
INDEX(REPORTE_DROPI!S:S,
MATCH($T594, REPORTE_DROPI!B:B, 0)
),
""
)</f>
        <v>8.66</v>
      </c>
      <c r="L594" s="118" t="str">
        <f>IF(
  O594&lt;&gt;"DEVOLUCION",
  "",
  IF(
    T594="",
    "",
    SUMIF(DEVOLUCION!F:F, T594, DEVOLUCION!D:D)
  )
)
</f>
        <v/>
      </c>
      <c r="M594" s="118" t="s">
        <v>5877</v>
      </c>
      <c r="N594" s="169" t="s">
        <v>7611</v>
      </c>
      <c r="O594" s="118" t="str">
        <f t="array" ref="O594">IFERROR(
VLOOKUP(
TRIM(CLEAN(
INDEX(REPORTE_DROPI!K:K,
MATCH(T594, REPORTE_DROPI!B:B, 0)
))),
{
TRIM(CLEAN(MAPA_ESTADOS!A:A)) ,
MAPA_ESTADOS!B:B
},
2,
FALSE
),
"REVISAR"
)</f>
        <v>ENTREGADO</v>
      </c>
      <c r="P594" s="154" t="s">
        <v>5692</v>
      </c>
      <c r="Q594" s="153">
        <f t="shared" si="1"/>
        <v>0</v>
      </c>
      <c r="R594" s="172"/>
      <c r="S594" s="172"/>
      <c r="T594" s="118">
        <f t="array" ref="T594">IFERROR(
INDEX(REPORTE_DROPI!B:B,
MATCH(
CLEAN(TRIM(C594)),
CLEAN(TRIM(REPORTE_DROPI!E:E)),
0
)
),
""
)
</f>
        <v>4622643</v>
      </c>
      <c r="U594" s="169" t="s">
        <v>7612</v>
      </c>
      <c r="V594" s="166"/>
      <c r="W594" s="18"/>
      <c r="X594" s="18"/>
      <c r="Y594" s="18"/>
      <c r="Z594" s="18"/>
    </row>
    <row r="595" ht="22.5" hidden="1" customHeight="1">
      <c r="A595" s="169">
        <v>594.0</v>
      </c>
      <c r="B595" s="170">
        <v>46078.0</v>
      </c>
      <c r="C595" s="154" t="s">
        <v>7613</v>
      </c>
      <c r="D595" s="118" t="str">
        <f>IFERROR(__xludf.DUMMYFUNCTION("IFERROR( INDEX( FILTER( 'NOMBRE DE PRODUCTOS'!B:B, REGEXMATCH( UPPER( INDEX( REPORTE_DROPI!AC:AC, MATCH(T595, REPORTE_DROPI!B:B, 0) ) ), UPPER('NOMBRE DE PRODUCTOS'!A:A) ) ), 1 ), ""REVISAR"" )"),"Cuchillo Tazaki™")</f>
        <v>Cuchillo Tazaki™</v>
      </c>
      <c r="E595" s="120" t="str">
        <f t="array" ref="E595">IF(
UPPER(TRIM(CLEAN($O595)))="ENTREGADO",
IFERROR(
INDEX(REPORTE_DROPI!Y:Y,
MATCH($T595, REPORTE_DROPI!B:B, 0)
),
""
),
""
)
</f>
        <v/>
      </c>
      <c r="F595" s="171">
        <v>2.0</v>
      </c>
      <c r="G595" s="122" t="str">
        <f t="array" ref="G595">IF(
UPPER(TRIM(CLEAN($O595)))="ENTREGADO",
IFERROR(
INDEX(REPORTE_DROPI!R:R,
MATCH($T595, REPORTE_DROPI!B:B, 0)
),
""
),
""
)
</f>
        <v/>
      </c>
      <c r="H595" s="118" t="s">
        <v>3727</v>
      </c>
      <c r="I595" s="154" t="s">
        <v>3804</v>
      </c>
      <c r="J595" s="121" t="str">
        <f t="array" ref="J595">IF(
UPPER(TRIM(CLEAN($O595)))="ENTREGADO",
IFERROR(
INDEX(REPORTE_DROPI!T:T,
MATCH($T595, REPORTE_DROPI!B:B, 0)
),
""
),
""
)
</f>
        <v/>
      </c>
      <c r="K595" s="118" t="str">
        <f t="array" ref="K595">IFERROR(
INDEX(REPORTE_DROPI!S:S,
MATCH($T595, REPORTE_DROPI!B:B, 0)
),
""
)</f>
        <v/>
      </c>
      <c r="L595" s="118" t="str">
        <f>IF(
  O595&lt;&gt;"DEVOLUCION",
  "",
  IF(
    T595="",
    "",
    SUMIF(DEVOLUCION!F:F, T595, DEVOLUCION!D:D)
  )
)
</f>
        <v/>
      </c>
      <c r="M595" s="118" t="s">
        <v>5877</v>
      </c>
      <c r="N595" s="169" t="s">
        <v>7614</v>
      </c>
      <c r="O595" s="118" t="str">
        <f t="array" ref="O595">IFERROR(
VLOOKUP(
TRIM(CLEAN(
INDEX(REPORTE_DROPI!K:K,
MATCH(T595, REPORTE_DROPI!B:B, 0)
))),
{
TRIM(CLEAN(MAPA_ESTADOS!A:A)) ,
MAPA_ESTADOS!B:B
},
2,
FALSE
),
"REVISAR"
)</f>
        <v>PENDIENTE</v>
      </c>
      <c r="P595" s="154" t="s">
        <v>7615</v>
      </c>
      <c r="Q595" s="153">
        <f t="shared" si="1"/>
        <v>0</v>
      </c>
      <c r="R595" s="172"/>
      <c r="S595" s="172"/>
      <c r="T595" s="118">
        <f t="array" ref="T595">IFERROR(
INDEX(REPORTE_DROPI!B:B,
MATCH(
CLEAN(TRIM(C595)),
CLEAN(TRIM(REPORTE_DROPI!E:E)),
0
)
),
""
)
</f>
        <v>4622763</v>
      </c>
      <c r="U595" s="169" t="s">
        <v>7616</v>
      </c>
      <c r="V595" s="166"/>
      <c r="W595" s="18"/>
      <c r="X595" s="18"/>
      <c r="Y595" s="18"/>
      <c r="Z595" s="18"/>
    </row>
    <row r="596" ht="22.5" hidden="1" customHeight="1">
      <c r="A596" s="169">
        <v>595.0</v>
      </c>
      <c r="B596" s="170">
        <v>46078.0</v>
      </c>
      <c r="C596" s="154" t="s">
        <v>7617</v>
      </c>
      <c r="D596" s="118" t="str">
        <f>IFERROR(__xludf.DUMMYFUNCTION("IFERROR( INDEX( FILTER( 'NOMBRE DE PRODUCTOS'!B:B, REGEXMATCH( UPPER( INDEX( REPORTE_DROPI!AC:AC, MATCH(T596, REPORTE_DROPI!B:B, 0) ) ), UPPER('NOMBRE DE PRODUCTOS'!A:A) ) ), 1 ), ""REVISAR"" )"),"FilmPro®")</f>
        <v>FilmPro®</v>
      </c>
      <c r="E596" s="120" t="str">
        <f t="array" ref="E596">IF(
UPPER(TRIM(CLEAN($O596)))="ENTREGADO",
IFERROR(
INDEX(REPORTE_DROPI!Y:Y,
MATCH($T596, REPORTE_DROPI!B:B, 0)
),
""
),
""
)
</f>
        <v/>
      </c>
      <c r="F596" s="171">
        <v>1.0</v>
      </c>
      <c r="G596" s="122" t="str">
        <f t="array" ref="G596">IF(
UPPER(TRIM(CLEAN($O596)))="ENTREGADO",
IFERROR(
INDEX(REPORTE_DROPI!R:R,
MATCH($T596, REPORTE_DROPI!B:B, 0)
),
""
),
""
)
</f>
        <v/>
      </c>
      <c r="H596" s="118" t="s">
        <v>3727</v>
      </c>
      <c r="I596" s="154" t="s">
        <v>3882</v>
      </c>
      <c r="J596" s="121" t="str">
        <f t="array" ref="J596">IF(
UPPER(TRIM(CLEAN($O596)))="ENTREGADO",
IFERROR(
INDEX(REPORTE_DROPI!T:T,
MATCH($T596, REPORTE_DROPI!B:B, 0)
),
""
),
""
)
</f>
        <v/>
      </c>
      <c r="K596" s="118" t="str">
        <f t="array" ref="K596">IFERROR(
INDEX(REPORTE_DROPI!S:S,
MATCH($T596, REPORTE_DROPI!B:B, 0)
),
""
)</f>
        <v/>
      </c>
      <c r="L596" s="118" t="str">
        <f>IF(
  O596&lt;&gt;"DEVOLUCION",
  "",
  IF(
    T596="",
    "",
    SUMIF(DEVOLUCION!F:F, T596, DEVOLUCION!D:D)
  )
)
</f>
        <v/>
      </c>
      <c r="M596" s="118" t="s">
        <v>5877</v>
      </c>
      <c r="N596" s="169" t="s">
        <v>7618</v>
      </c>
      <c r="O596" s="118" t="str">
        <f t="array" ref="O596">IFERROR(
VLOOKUP(
TRIM(CLEAN(
INDEX(REPORTE_DROPI!K:K,
MATCH(T596, REPORTE_DROPI!B:B, 0)
))),
{
TRIM(CLEAN(MAPA_ESTADOS!A:A)) ,
MAPA_ESTADOS!B:B
},
2,
FALSE
),
"REVISAR"
)</f>
        <v>CANCELADO</v>
      </c>
      <c r="P596" s="154" t="s">
        <v>7619</v>
      </c>
      <c r="Q596" s="153">
        <f t="shared" si="1"/>
        <v>0</v>
      </c>
      <c r="R596" s="172"/>
      <c r="S596" s="172"/>
      <c r="T596" s="118">
        <f t="array" ref="T596">IFERROR(
INDEX(REPORTE_DROPI!B:B,
MATCH(
CLEAN(TRIM(C596)),
CLEAN(TRIM(REPORTE_DROPI!E:E)),
0
)
),
""
)
</f>
        <v>4622773</v>
      </c>
      <c r="U596" s="169" t="s">
        <v>7620</v>
      </c>
      <c r="V596" s="166"/>
      <c r="W596" s="18"/>
      <c r="X596" s="18"/>
      <c r="Y596" s="18"/>
      <c r="Z596" s="18"/>
    </row>
    <row r="597" ht="22.5" hidden="1" customHeight="1">
      <c r="A597" s="169">
        <v>596.0</v>
      </c>
      <c r="B597" s="170">
        <v>46078.0</v>
      </c>
      <c r="C597" s="154" t="s">
        <v>7621</v>
      </c>
      <c r="D597" s="118" t="str">
        <f>IFERROR(__xludf.DUMMYFUNCTION("IFERROR( INDEX( FILTER( 'NOMBRE DE PRODUCTOS'!B:B, REGEXMATCH( UPPER( INDEX( REPORTE_DROPI!AC:AC, MATCH(T597, REPORTE_DROPI!B:B, 0) ) ), UPPER('NOMBRE DE PRODUCTOS'!A:A) ) ), 1 ), ""REVISAR"" )"),"Cuchillo Tazaki™")</f>
        <v>Cuchillo Tazaki™</v>
      </c>
      <c r="E597" s="120">
        <f t="array" ref="E597">IF(
UPPER(TRIM(CLEAN($O597)))="ENTREGADO",
IFERROR(
INDEX(REPORTE_DROPI!Y:Y,
MATCH($T597, REPORTE_DROPI!B:B, 0)
),
""
),
""
)
</f>
        <v>7.5</v>
      </c>
      <c r="F597" s="171">
        <v>2.0</v>
      </c>
      <c r="G597" s="122">
        <f t="array" ref="G597">IF(
UPPER(TRIM(CLEAN($O597)))="ENTREGADO",
IFERROR(
INDEX(REPORTE_DROPI!R:R,
MATCH($T597, REPORTE_DROPI!B:B, 0)
),
""
),
""
)
</f>
        <v>22</v>
      </c>
      <c r="H597" s="118" t="s">
        <v>3727</v>
      </c>
      <c r="I597" s="154" t="s">
        <v>3912</v>
      </c>
      <c r="J597" s="121">
        <f t="array" ref="J597">IF(
UPPER(TRIM(CLEAN($O597)))="ENTREGADO",
IFERROR(
INDEX(REPORTE_DROPI!T:T,
MATCH($T597, REPORTE_DROPI!B:B, 0)
),
""
),
""
)
</f>
        <v>6.41</v>
      </c>
      <c r="K597" s="118">
        <f t="array" ref="K597">IFERROR(
INDEX(REPORTE_DROPI!S:S,
MATCH($T597, REPORTE_DROPI!B:B, 0)
),
""
)</f>
        <v>8.09</v>
      </c>
      <c r="L597" s="118" t="str">
        <f>IF(
  O597&lt;&gt;"DEVOLUCION",
  "",
  IF(
    T597="",
    "",
    SUMIF(DEVOLUCION!F:F, T597, DEVOLUCION!D:D)
  )
)
</f>
        <v/>
      </c>
      <c r="M597" s="118" t="s">
        <v>5877</v>
      </c>
      <c r="N597" s="169" t="s">
        <v>7622</v>
      </c>
      <c r="O597" s="118" t="str">
        <f t="array" ref="O597">IFERROR(
VLOOKUP(
TRIM(CLEAN(
INDEX(REPORTE_DROPI!K:K,
MATCH(T597, REPORTE_DROPI!B:B, 0)
))),
{
TRIM(CLEAN(MAPA_ESTADOS!A:A)) ,
MAPA_ESTADOS!B:B
},
2,
FALSE
),
"REVISAR"
)</f>
        <v>ENTREGADO</v>
      </c>
      <c r="P597" s="154" t="s">
        <v>7623</v>
      </c>
      <c r="Q597" s="153">
        <f t="shared" si="1"/>
        <v>0</v>
      </c>
      <c r="R597" s="172"/>
      <c r="S597" s="172"/>
      <c r="T597" s="118">
        <f t="array" ref="T597">IFERROR(
INDEX(REPORTE_DROPI!B:B,
MATCH(
CLEAN(TRIM(C597)),
CLEAN(TRIM(REPORTE_DROPI!E:E)),
0
)
),
""
)
</f>
        <v>4623513</v>
      </c>
      <c r="U597" s="173">
        <v>1.70244208183E11</v>
      </c>
      <c r="V597" s="166"/>
      <c r="W597" s="18"/>
      <c r="X597" s="18"/>
      <c r="Y597" s="18"/>
      <c r="Z597" s="18"/>
    </row>
    <row r="598" ht="22.5" hidden="1" customHeight="1">
      <c r="A598" s="169">
        <v>597.0</v>
      </c>
      <c r="B598" s="170">
        <v>46078.0</v>
      </c>
      <c r="C598" s="154" t="s">
        <v>7624</v>
      </c>
      <c r="D598" s="118" t="str">
        <f>IFERROR(__xludf.DUMMYFUNCTION("IFERROR( INDEX( FILTER( 'NOMBRE DE PRODUCTOS'!B:B, REGEXMATCH( UPPER( INDEX( REPORTE_DROPI!AC:AC, MATCH(T598, REPORTE_DROPI!B:B, 0) ) ), UPPER('NOMBRE DE PRODUCTOS'!A:A) ) ), 1 ), ""REVISAR"" )"),"FilmPro®")</f>
        <v>FilmPro®</v>
      </c>
      <c r="E598" s="120" t="str">
        <f t="array" ref="E598">IF(
UPPER(TRIM(CLEAN($O598)))="ENTREGADO",
IFERROR(
INDEX(REPORTE_DROPI!Y:Y,
MATCH($T598, REPORTE_DROPI!B:B, 0)
),
""
),
""
)
</f>
        <v/>
      </c>
      <c r="F598" s="171">
        <v>1.0</v>
      </c>
      <c r="G598" s="122" t="str">
        <f t="array" ref="G598">IF(
UPPER(TRIM(CLEAN($O598)))="ENTREGADO",
IFERROR(
INDEX(REPORTE_DROPI!R:R,
MATCH($T598, REPORTE_DROPI!B:B, 0)
),
""
),
""
)
</f>
        <v/>
      </c>
      <c r="H598" s="118" t="s">
        <v>3727</v>
      </c>
      <c r="I598" s="154" t="s">
        <v>3740</v>
      </c>
      <c r="J598" s="121" t="str">
        <f t="array" ref="J598">IF(
UPPER(TRIM(CLEAN($O598)))="ENTREGADO",
IFERROR(
INDEX(REPORTE_DROPI!T:T,
MATCH($T598, REPORTE_DROPI!B:B, 0)
),
""
),
""
)
</f>
        <v/>
      </c>
      <c r="K598" s="118" t="str">
        <f t="array" ref="K598">IFERROR(
INDEX(REPORTE_DROPI!S:S,
MATCH($T598, REPORTE_DROPI!B:B, 0)
),
""
)</f>
        <v/>
      </c>
      <c r="L598" s="118">
        <f>IF(
  O598&lt;&gt;"DEVOLUCION",
  "",
  IF(
    T598="",
    "",
    SUMIF(DEVOLUCION!F:F, T598, DEVOLUCION!D:D)
  )
)
</f>
        <v>0</v>
      </c>
      <c r="M598" s="118" t="s">
        <v>5877</v>
      </c>
      <c r="N598" s="169" t="s">
        <v>7625</v>
      </c>
      <c r="O598" s="118" t="str">
        <f t="array" ref="O598">IFERROR(
VLOOKUP(
TRIM(CLEAN(
INDEX(REPORTE_DROPI!K:K,
MATCH(T598, REPORTE_DROPI!B:B, 0)
))),
{
TRIM(CLEAN(MAPA_ESTADOS!A:A)) ,
MAPA_ESTADOS!B:B
},
2,
FALSE
),
"REVISAR"
)</f>
        <v>DEVOLUCION</v>
      </c>
      <c r="P598" s="154" t="s">
        <v>5692</v>
      </c>
      <c r="Q598" s="153">
        <f t="shared" si="1"/>
        <v>0</v>
      </c>
      <c r="R598" s="172"/>
      <c r="S598" s="172"/>
      <c r="T598" s="118">
        <f t="array" ref="T598">IFERROR(
INDEX(REPORTE_DROPI!B:B,
MATCH(
CLEAN(TRIM(C598)),
CLEAN(TRIM(REPORTE_DROPI!E:E)),
0
)
),
""
)
</f>
        <v>4623755</v>
      </c>
      <c r="U598" s="169" t="s">
        <v>7626</v>
      </c>
      <c r="V598" s="166"/>
      <c r="W598" s="18"/>
      <c r="X598" s="18"/>
      <c r="Y598" s="18"/>
      <c r="Z598" s="18"/>
    </row>
    <row r="599" ht="22.5" hidden="1" customHeight="1">
      <c r="A599" s="169">
        <v>598.0</v>
      </c>
      <c r="B599" s="170">
        <v>46078.0</v>
      </c>
      <c r="C599" s="154" t="s">
        <v>7627</v>
      </c>
      <c r="D599" s="118" t="str">
        <f>IFERROR(__xludf.DUMMYFUNCTION("IFERROR( INDEX( FILTER( 'NOMBRE DE PRODUCTOS'!B:B, REGEXMATCH( UPPER( INDEX( REPORTE_DROPI!AC:AC, MATCH(T599, REPORTE_DROPI!B:B, 0) ) ), UPPER('NOMBRE DE PRODUCTOS'!A:A) ) ), 1 ), ""REVISAR"" )"),"Cuchillo Tazaki™")</f>
        <v>Cuchillo Tazaki™</v>
      </c>
      <c r="E599" s="120">
        <f t="array" ref="E599">IF(
UPPER(TRIM(CLEAN($O599)))="ENTREGADO",
IFERROR(
INDEX(REPORTE_DROPI!Y:Y,
MATCH($T599, REPORTE_DROPI!B:B, 0)
),
""
),
""
)
</f>
        <v>15</v>
      </c>
      <c r="F599" s="171">
        <v>4.0</v>
      </c>
      <c r="G599" s="122">
        <f t="array" ref="G599">IF(
UPPER(TRIM(CLEAN($O599)))="ENTREGADO",
IFERROR(
INDEX(REPORTE_DROPI!R:R,
MATCH($T599, REPORTE_DROPI!B:B, 0)
),
""
),
""
)
</f>
        <v>32</v>
      </c>
      <c r="H599" s="118" t="s">
        <v>3727</v>
      </c>
      <c r="I599" s="154" t="s">
        <v>3784</v>
      </c>
      <c r="J599" s="121">
        <f t="array" ref="J599">IF(
UPPER(TRIM(CLEAN($O599)))="ENTREGADO",
IFERROR(
INDEX(REPORTE_DROPI!T:T,
MATCH($T599, REPORTE_DROPI!B:B, 0)
),
""
),
""
)
</f>
        <v>7.85</v>
      </c>
      <c r="K599" s="118">
        <f t="array" ref="K599">IFERROR(
INDEX(REPORTE_DROPI!S:S,
MATCH($T599, REPORTE_DROPI!B:B, 0)
),
""
)</f>
        <v>9.15</v>
      </c>
      <c r="L599" s="118" t="str">
        <f>IF(
  O599&lt;&gt;"DEVOLUCION",
  "",
  IF(
    T599="",
    "",
    SUMIF(DEVOLUCION!F:F, T599, DEVOLUCION!D:D)
  )
)
</f>
        <v/>
      </c>
      <c r="M599" s="118" t="s">
        <v>5877</v>
      </c>
      <c r="N599" s="169" t="s">
        <v>7628</v>
      </c>
      <c r="O599" s="118" t="str">
        <f t="array" ref="O599">IFERROR(
VLOOKUP(
TRIM(CLEAN(
INDEX(REPORTE_DROPI!K:K,
MATCH(T599, REPORTE_DROPI!B:B, 0)
))),
{
TRIM(CLEAN(MAPA_ESTADOS!A:A)) ,
MAPA_ESTADOS!B:B
},
2,
FALSE
),
"REVISAR"
)</f>
        <v>ENTREGADO</v>
      </c>
      <c r="P599" s="154" t="s">
        <v>5692</v>
      </c>
      <c r="Q599" s="153">
        <f t="shared" si="1"/>
        <v>0</v>
      </c>
      <c r="R599" s="172"/>
      <c r="S599" s="172"/>
      <c r="T599" s="118">
        <f t="array" ref="T599">IFERROR(
INDEX(REPORTE_DROPI!B:B,
MATCH(
CLEAN(TRIM(C599)),
CLEAN(TRIM(REPORTE_DROPI!E:E)),
0
)
),
""
)
</f>
        <v>4630395</v>
      </c>
      <c r="U599" s="169" t="s">
        <v>7629</v>
      </c>
      <c r="V599" s="166"/>
      <c r="W599" s="18"/>
      <c r="X599" s="18"/>
      <c r="Y599" s="18"/>
      <c r="Z599" s="18"/>
    </row>
    <row r="600" ht="22.5" hidden="1" customHeight="1">
      <c r="A600" s="169">
        <v>599.0</v>
      </c>
      <c r="B600" s="170">
        <v>46078.0</v>
      </c>
      <c r="C600" s="154" t="s">
        <v>7630</v>
      </c>
      <c r="D600" s="118" t="str">
        <f>IFERROR(__xludf.DUMMYFUNCTION("IFERROR( INDEX( FILTER( 'NOMBRE DE PRODUCTOS'!B:B, REGEXMATCH( UPPER( INDEX( REPORTE_DROPI!AC:AC, MATCH(T600, REPORTE_DROPI!B:B, 0) ) ), UPPER('NOMBRE DE PRODUCTOS'!A:A) ) ), 1 ), ""REVISAR"" )"),"Cuchillo Tazaki™")</f>
        <v>Cuchillo Tazaki™</v>
      </c>
      <c r="E600" s="120">
        <f t="array" ref="E600">IF(
UPPER(TRIM(CLEAN($O600)))="ENTREGADO",
IFERROR(
INDEX(REPORTE_DROPI!Y:Y,
MATCH($T600, REPORTE_DROPI!B:B, 0)
),
""
),
""
)
</f>
        <v>11.25</v>
      </c>
      <c r="F600" s="171">
        <v>3.0</v>
      </c>
      <c r="G600" s="122">
        <f t="array" ref="G600">IF(
UPPER(TRIM(CLEAN($O600)))="ENTREGADO",
IFERROR(
INDEX(REPORTE_DROPI!R:R,
MATCH($T600, REPORTE_DROPI!B:B, 0)
),
""
),
""
)
</f>
        <v>27</v>
      </c>
      <c r="H600" s="118" t="s">
        <v>3727</v>
      </c>
      <c r="I600" s="154" t="s">
        <v>3801</v>
      </c>
      <c r="J600" s="121">
        <f t="array" ref="J600">IF(
UPPER(TRIM(CLEAN($O600)))="ENTREGADO",
IFERROR(
INDEX(REPORTE_DROPI!T:T,
MATCH($T600, REPORTE_DROPI!B:B, 0)
),
""
),
""
)
</f>
        <v>6.6</v>
      </c>
      <c r="K600" s="118">
        <f t="array" ref="K600">IFERROR(
INDEX(REPORTE_DROPI!S:S,
MATCH($T600, REPORTE_DROPI!B:B, 0)
),
""
)</f>
        <v>9.15</v>
      </c>
      <c r="L600" s="118" t="str">
        <f>IF(
  O600&lt;&gt;"DEVOLUCION",
  "",
  IF(
    T600="",
    "",
    SUMIF(DEVOLUCION!F:F, T600, DEVOLUCION!D:D)
  )
)
</f>
        <v/>
      </c>
      <c r="M600" s="118" t="s">
        <v>5877</v>
      </c>
      <c r="N600" s="169" t="s">
        <v>7631</v>
      </c>
      <c r="O600" s="118" t="str">
        <f t="array" ref="O600">IFERROR(
VLOOKUP(
TRIM(CLEAN(
INDEX(REPORTE_DROPI!K:K,
MATCH(T600, REPORTE_DROPI!B:B, 0)
))),
{
TRIM(CLEAN(MAPA_ESTADOS!A:A)) ,
MAPA_ESTADOS!B:B
},
2,
FALSE
),
"REVISAR"
)</f>
        <v>ENTREGADO</v>
      </c>
      <c r="P600" s="154" t="s">
        <v>5692</v>
      </c>
      <c r="Q600" s="153">
        <f t="shared" si="1"/>
        <v>0</v>
      </c>
      <c r="R600" s="172"/>
      <c r="S600" s="172"/>
      <c r="T600" s="118">
        <f t="array" ref="T600">IFERROR(
INDEX(REPORTE_DROPI!B:B,
MATCH(
CLEAN(TRIM(C600)),
CLEAN(TRIM(REPORTE_DROPI!E:E)),
0
)
),
""
)
</f>
        <v>4624500</v>
      </c>
      <c r="U600" s="169" t="s">
        <v>7632</v>
      </c>
      <c r="V600" s="166"/>
      <c r="W600" s="18"/>
      <c r="X600" s="18"/>
      <c r="Y600" s="18"/>
      <c r="Z600" s="18"/>
    </row>
    <row r="601" ht="22.5" hidden="1" customHeight="1">
      <c r="A601" s="169">
        <v>600.0</v>
      </c>
      <c r="B601" s="170">
        <v>46078.0</v>
      </c>
      <c r="C601" s="154" t="s">
        <v>7633</v>
      </c>
      <c r="D601" s="118" t="str">
        <f>IFERROR(__xludf.DUMMYFUNCTION("IFERROR( INDEX( FILTER( 'NOMBRE DE PRODUCTOS'!B:B, REGEXMATCH( UPPER( INDEX( REPORTE_DROPI!AC:AC, MATCH(T601, REPORTE_DROPI!B:B, 0) ) ), UPPER('NOMBRE DE PRODUCTOS'!A:A) ) ), 1 ), ""REVISAR"" )"),"Cuchillo Tazaki™")</f>
        <v>Cuchillo Tazaki™</v>
      </c>
      <c r="E601" s="120" t="str">
        <f t="array" ref="E601">IF(
UPPER(TRIM(CLEAN($O601)))="ENTREGADO",
IFERROR(
INDEX(REPORTE_DROPI!Y:Y,
MATCH($T601, REPORTE_DROPI!B:B, 0)
),
""
),
""
)
</f>
        <v/>
      </c>
      <c r="F601" s="171">
        <v>2.0</v>
      </c>
      <c r="G601" s="122" t="str">
        <f t="array" ref="G601">IF(
UPPER(TRIM(CLEAN($O601)))="ENTREGADO",
IFERROR(
INDEX(REPORTE_DROPI!R:R,
MATCH($T601, REPORTE_DROPI!B:B, 0)
),
""
),
""
)
</f>
        <v/>
      </c>
      <c r="H601" s="118" t="s">
        <v>3727</v>
      </c>
      <c r="I601" s="154" t="s">
        <v>3731</v>
      </c>
      <c r="J601" s="121" t="str">
        <f t="array" ref="J601">IF(
UPPER(TRIM(CLEAN($O601)))="ENTREGADO",
IFERROR(
INDEX(REPORTE_DROPI!T:T,
MATCH($T601, REPORTE_DROPI!B:B, 0)
),
""
),
""
)
</f>
        <v/>
      </c>
      <c r="K601" s="118" t="str">
        <f t="array" ref="K601">IFERROR(
INDEX(REPORTE_DROPI!S:S,
MATCH($T601, REPORTE_DROPI!B:B, 0)
),
""
)</f>
        <v/>
      </c>
      <c r="L601" s="118">
        <f>IF(
  O601&lt;&gt;"DEVOLUCION",
  "",
  IF(
    T601="",
    "",
    SUMIF(DEVOLUCION!F:F, T601, DEVOLUCION!D:D)
  )
)
</f>
        <v>0</v>
      </c>
      <c r="M601" s="118" t="s">
        <v>5877</v>
      </c>
      <c r="N601" s="169" t="s">
        <v>7634</v>
      </c>
      <c r="O601" s="118" t="str">
        <f t="array" ref="O601">IFERROR(
VLOOKUP(
TRIM(CLEAN(
INDEX(REPORTE_DROPI!K:K,
MATCH(T601, REPORTE_DROPI!B:B, 0)
))),
{
TRIM(CLEAN(MAPA_ESTADOS!A:A)) ,
MAPA_ESTADOS!B:B
},
2,
FALSE
),
"REVISAR"
)</f>
        <v>DEVOLUCION</v>
      </c>
      <c r="P601" s="154" t="s">
        <v>5692</v>
      </c>
      <c r="Q601" s="153">
        <f t="shared" si="1"/>
        <v>0</v>
      </c>
      <c r="R601" s="172"/>
      <c r="S601" s="172"/>
      <c r="T601" s="118">
        <f t="array" ref="T601">IFERROR(
INDEX(REPORTE_DROPI!B:B,
MATCH(
CLEAN(TRIM(C601)),
CLEAN(TRIM(REPORTE_DROPI!E:E)),
0
)
),
""
)
</f>
        <v>4625110</v>
      </c>
      <c r="U601" s="169" t="s">
        <v>7635</v>
      </c>
      <c r="V601" s="166"/>
      <c r="W601" s="18"/>
      <c r="X601" s="18"/>
      <c r="Y601" s="18"/>
      <c r="Z601" s="18"/>
    </row>
    <row r="602" ht="22.5" hidden="1" customHeight="1">
      <c r="A602" s="169">
        <v>601.0</v>
      </c>
      <c r="B602" s="170">
        <v>46078.0</v>
      </c>
      <c r="C602" s="154" t="s">
        <v>7636</v>
      </c>
      <c r="D602" s="118" t="str">
        <f>IFERROR(__xludf.DUMMYFUNCTION("IFERROR( INDEX( FILTER( 'NOMBRE DE PRODUCTOS'!B:B, REGEXMATCH( UPPER( INDEX( REPORTE_DROPI!AC:AC, MATCH(T602, REPORTE_DROPI!B:B, 0) ) ), UPPER('NOMBRE DE PRODUCTOS'!A:A) ) ), 1 ), ""REVISAR"" )"),"FilmPro®")</f>
        <v>FilmPro®</v>
      </c>
      <c r="E602" s="120" t="str">
        <f t="array" ref="E602">IF(
UPPER(TRIM(CLEAN($O602)))="ENTREGADO",
IFERROR(
INDEX(REPORTE_DROPI!Y:Y,
MATCH($T602, REPORTE_DROPI!B:B, 0)
),
""
),
""
)
</f>
        <v/>
      </c>
      <c r="F602" s="171">
        <v>1.0</v>
      </c>
      <c r="G602" s="122" t="str">
        <f t="array" ref="G602">IF(
UPPER(TRIM(CLEAN($O602)))="ENTREGADO",
IFERROR(
INDEX(REPORTE_DROPI!R:R,
MATCH($T602, REPORTE_DROPI!B:B, 0)
),
""
),
""
)
</f>
        <v/>
      </c>
      <c r="H602" s="118" t="s">
        <v>3727</v>
      </c>
      <c r="I602" s="154" t="s">
        <v>3740</v>
      </c>
      <c r="J602" s="121" t="str">
        <f t="array" ref="J602">IF(
UPPER(TRIM(CLEAN($O602)))="ENTREGADO",
IFERROR(
INDEX(REPORTE_DROPI!T:T,
MATCH($T602, REPORTE_DROPI!B:B, 0)
),
""
),
""
)
</f>
        <v/>
      </c>
      <c r="K602" s="118" t="str">
        <f t="array" ref="K602">IFERROR(
INDEX(REPORTE_DROPI!S:S,
MATCH($T602, REPORTE_DROPI!B:B, 0)
),
""
)</f>
        <v/>
      </c>
      <c r="L602" s="118" t="str">
        <f>IF(
  O602&lt;&gt;"DEVOLUCION",
  "",
  IF(
    T602="",
    "",
    SUMIF(DEVOLUCION!F:F, T602, DEVOLUCION!D:D)
  )
)
</f>
        <v/>
      </c>
      <c r="M602" s="118" t="s">
        <v>5877</v>
      </c>
      <c r="N602" s="169" t="s">
        <v>7637</v>
      </c>
      <c r="O602" s="118" t="str">
        <f t="array" ref="O602">IFERROR(
VLOOKUP(
TRIM(CLEAN(
INDEX(REPORTE_DROPI!K:K,
MATCH(T602, REPORTE_DROPI!B:B, 0)
))),
{
TRIM(CLEAN(MAPA_ESTADOS!A:A)) ,
MAPA_ESTADOS!B:B
},
2,
FALSE
),
"REVISAR"
)</f>
        <v>PENDIENTE</v>
      </c>
      <c r="P602" s="154" t="s">
        <v>7638</v>
      </c>
      <c r="Q602" s="153">
        <f t="shared" si="1"/>
        <v>0</v>
      </c>
      <c r="R602" s="172"/>
      <c r="S602" s="172"/>
      <c r="T602" s="118">
        <f t="array" ref="T602">IFERROR(
INDEX(REPORTE_DROPI!B:B,
MATCH(
CLEAN(TRIM(C602)),
CLEAN(TRIM(REPORTE_DROPI!E:E)),
0
)
),
""
)
</f>
        <v>4625377</v>
      </c>
      <c r="U602" s="169" t="s">
        <v>7639</v>
      </c>
      <c r="V602" s="166"/>
      <c r="W602" s="18"/>
      <c r="X602" s="18"/>
      <c r="Y602" s="18"/>
      <c r="Z602" s="18"/>
    </row>
    <row r="603" ht="22.5" hidden="1" customHeight="1">
      <c r="A603" s="169">
        <v>602.0</v>
      </c>
      <c r="B603" s="170">
        <v>46078.0</v>
      </c>
      <c r="C603" s="154" t="s">
        <v>7640</v>
      </c>
      <c r="D603" s="118" t="str">
        <f>IFERROR(__xludf.DUMMYFUNCTION("IFERROR( INDEX( FILTER( 'NOMBRE DE PRODUCTOS'!B:B, REGEXMATCH( UPPER( INDEX( REPORTE_DROPI!AC:AC, MATCH(T603, REPORTE_DROPI!B:B, 0) ) ), UPPER('NOMBRE DE PRODUCTOS'!A:A) ) ), 1 ), ""REVISAR"" )"),"Cuchillo Tazaki™")</f>
        <v>Cuchillo Tazaki™</v>
      </c>
      <c r="E603" s="120">
        <f t="array" ref="E603">IF(
UPPER(TRIM(CLEAN($O603)))="ENTREGADO",
IFERROR(
INDEX(REPORTE_DROPI!Y:Y,
MATCH($T603, REPORTE_DROPI!B:B, 0)
),
""
),
""
)
</f>
        <v>7.5</v>
      </c>
      <c r="F603" s="171">
        <v>2.0</v>
      </c>
      <c r="G603" s="122">
        <f t="array" ref="G603">IF(
UPPER(TRIM(CLEAN($O603)))="ENTREGADO",
IFERROR(
INDEX(REPORTE_DROPI!R:R,
MATCH($T603, REPORTE_DROPI!B:B, 0)
),
""
),
""
)
</f>
        <v>22</v>
      </c>
      <c r="H603" s="118" t="s">
        <v>3727</v>
      </c>
      <c r="I603" s="154" t="s">
        <v>3731</v>
      </c>
      <c r="J603" s="121">
        <f t="array" ref="J603">IF(
UPPER(TRIM(CLEAN($O603)))="ENTREGADO",
IFERROR(
INDEX(REPORTE_DROPI!T:T,
MATCH($T603, REPORTE_DROPI!B:B, 0)
),
""
),
""
)
</f>
        <v>4.23</v>
      </c>
      <c r="K603" s="118">
        <f t="array" ref="K603">IFERROR(
INDEX(REPORTE_DROPI!S:S,
MATCH($T603, REPORTE_DROPI!B:B, 0)
),
""
)</f>
        <v>10.27</v>
      </c>
      <c r="L603" s="118" t="str">
        <f>IF(
  O603&lt;&gt;"DEVOLUCION",
  "",
  IF(
    T603="",
    "",
    SUMIF(DEVOLUCION!F:F, T603, DEVOLUCION!D:D)
  )
)
</f>
        <v/>
      </c>
      <c r="M603" s="118" t="s">
        <v>5877</v>
      </c>
      <c r="N603" s="169" t="s">
        <v>7641</v>
      </c>
      <c r="O603" s="118" t="str">
        <f t="array" ref="O603">IFERROR(
VLOOKUP(
TRIM(CLEAN(
INDEX(REPORTE_DROPI!K:K,
MATCH(T603, REPORTE_DROPI!B:B, 0)
))),
{
TRIM(CLEAN(MAPA_ESTADOS!A:A)) ,
MAPA_ESTADOS!B:B
},
2,
FALSE
),
"REVISAR"
)</f>
        <v>ENTREGADO</v>
      </c>
      <c r="P603" s="154" t="s">
        <v>7642</v>
      </c>
      <c r="Q603" s="153">
        <f t="shared" si="1"/>
        <v>0</v>
      </c>
      <c r="R603" s="172"/>
      <c r="S603" s="172"/>
      <c r="T603" s="118">
        <f t="array" ref="T603">IFERROR(
INDEX(REPORTE_DROPI!B:B,
MATCH(
CLEAN(TRIM(C603)),
CLEAN(TRIM(REPORTE_DROPI!E:E)),
0
)
),
""
)
</f>
        <v>4625515</v>
      </c>
      <c r="U603" s="169" t="s">
        <v>7643</v>
      </c>
      <c r="V603" s="166"/>
      <c r="W603" s="18"/>
      <c r="X603" s="18"/>
      <c r="Y603" s="18"/>
      <c r="Z603" s="18"/>
    </row>
    <row r="604" ht="22.5" hidden="1" customHeight="1">
      <c r="A604" s="169">
        <v>603.0</v>
      </c>
      <c r="B604" s="170">
        <v>46078.0</v>
      </c>
      <c r="C604" s="154" t="s">
        <v>7644</v>
      </c>
      <c r="D604" s="118" t="str">
        <f>IFERROR(__xludf.DUMMYFUNCTION("IFERROR( INDEX( FILTER( 'NOMBRE DE PRODUCTOS'!B:B, REGEXMATCH( UPPER( INDEX( REPORTE_DROPI!AC:AC, MATCH(T604, REPORTE_DROPI!B:B, 0) ) ), UPPER('NOMBRE DE PRODUCTOS'!A:A) ) ), 1 ), ""REVISAR"" )"),"Cuchillo Tazaki™")</f>
        <v>Cuchillo Tazaki™</v>
      </c>
      <c r="E604" s="120">
        <f t="array" ref="E604">IF(
UPPER(TRIM(CLEAN($O604)))="ENTREGADO",
IFERROR(
INDEX(REPORTE_DROPI!Y:Y,
MATCH($T604, REPORTE_DROPI!B:B, 0)
),
""
),
""
)
</f>
        <v>11.25</v>
      </c>
      <c r="F604" s="171">
        <v>3.0</v>
      </c>
      <c r="G604" s="122">
        <f t="array" ref="G604">IF(
UPPER(TRIM(CLEAN($O604)))="ENTREGADO",
IFERROR(
INDEX(REPORTE_DROPI!R:R,
MATCH($T604, REPORTE_DROPI!B:B, 0)
),
""
),
""
)
</f>
        <v>27</v>
      </c>
      <c r="H604" s="118" t="s">
        <v>3727</v>
      </c>
      <c r="I604" s="154" t="s">
        <v>3772</v>
      </c>
      <c r="J604" s="121">
        <f t="array" ref="J604">IF(
UPPER(TRIM(CLEAN($O604)))="ENTREGADO",
IFERROR(
INDEX(REPORTE_DROPI!T:T,
MATCH($T604, REPORTE_DROPI!B:B, 0)
),
""
),
""
)
</f>
        <v>6.03</v>
      </c>
      <c r="K604" s="118">
        <f t="array" ref="K604">IFERROR(
INDEX(REPORTE_DROPI!S:S,
MATCH($T604, REPORTE_DROPI!B:B, 0)
),
""
)</f>
        <v>9.72</v>
      </c>
      <c r="L604" s="118" t="str">
        <f>IF(
  O604&lt;&gt;"DEVOLUCION",
  "",
  IF(
    T604="",
    "",
    SUMIF(DEVOLUCION!F:F, T604, DEVOLUCION!D:D)
  )
)
</f>
        <v/>
      </c>
      <c r="M604" s="118" t="s">
        <v>5877</v>
      </c>
      <c r="N604" s="169" t="s">
        <v>7645</v>
      </c>
      <c r="O604" s="118" t="str">
        <f t="array" ref="O604">IFERROR(
VLOOKUP(
TRIM(CLEAN(
INDEX(REPORTE_DROPI!K:K,
MATCH(T604, REPORTE_DROPI!B:B, 0)
))),
{
TRIM(CLEAN(MAPA_ESTADOS!A:A)) ,
MAPA_ESTADOS!B:B
},
2,
FALSE
),
"REVISAR"
)</f>
        <v>ENTREGADO</v>
      </c>
      <c r="P604" s="154" t="s">
        <v>7646</v>
      </c>
      <c r="Q604" s="153">
        <f t="shared" si="1"/>
        <v>0</v>
      </c>
      <c r="R604" s="172"/>
      <c r="S604" s="172"/>
      <c r="T604" s="118">
        <f t="array" ref="T604">IFERROR(
INDEX(REPORTE_DROPI!B:B,
MATCH(
CLEAN(TRIM(C604)),
CLEAN(TRIM(REPORTE_DROPI!E:E)),
0
)
),
""
)
</f>
        <v>4625851</v>
      </c>
      <c r="U604" s="169" t="s">
        <v>7647</v>
      </c>
      <c r="V604" s="166"/>
      <c r="W604" s="18"/>
      <c r="X604" s="18"/>
      <c r="Y604" s="18"/>
      <c r="Z604" s="18"/>
    </row>
    <row r="605" ht="22.5" hidden="1" customHeight="1">
      <c r="A605" s="169">
        <v>604.0</v>
      </c>
      <c r="B605" s="170">
        <v>46078.0</v>
      </c>
      <c r="C605" s="154" t="s">
        <v>7648</v>
      </c>
      <c r="D605" s="118" t="str">
        <f>IFERROR(__xludf.DUMMYFUNCTION("IFERROR( INDEX( FILTER( 'NOMBRE DE PRODUCTOS'!B:B, REGEXMATCH( UPPER( INDEX( REPORTE_DROPI!AC:AC, MATCH(T605, REPORTE_DROPI!B:B, 0) ) ), UPPER('NOMBRE DE PRODUCTOS'!A:A) ) ), 1 ), ""REVISAR"" )"),"Cuchillo Tazaki™")</f>
        <v>Cuchillo Tazaki™</v>
      </c>
      <c r="E605" s="120" t="str">
        <f t="array" ref="E605">IF(
UPPER(TRIM(CLEAN($O605)))="ENTREGADO",
IFERROR(
INDEX(REPORTE_DROPI!Y:Y,
MATCH($T605, REPORTE_DROPI!B:B, 0)
),
""
),
""
)
</f>
        <v/>
      </c>
      <c r="F605" s="171">
        <v>2.0</v>
      </c>
      <c r="G605" s="122" t="str">
        <f t="array" ref="G605">IF(
UPPER(TRIM(CLEAN($O605)))="ENTREGADO",
IFERROR(
INDEX(REPORTE_DROPI!R:R,
MATCH($T605, REPORTE_DROPI!B:B, 0)
),
""
),
""
)
</f>
        <v/>
      </c>
      <c r="H605" s="118" t="s">
        <v>3727</v>
      </c>
      <c r="I605" s="154" t="s">
        <v>3951</v>
      </c>
      <c r="J605" s="121" t="str">
        <f t="array" ref="J605">IF(
UPPER(TRIM(CLEAN($O605)))="ENTREGADO",
IFERROR(
INDEX(REPORTE_DROPI!T:T,
MATCH($T605, REPORTE_DROPI!B:B, 0)
),
""
),
""
)
</f>
        <v/>
      </c>
      <c r="K605" s="118" t="str">
        <f t="array" ref="K605">IFERROR(
INDEX(REPORTE_DROPI!S:S,
MATCH($T605, REPORTE_DROPI!B:B, 0)
),
""
)</f>
        <v/>
      </c>
      <c r="L605" s="118" t="str">
        <f>IF(
  O605&lt;&gt;"DEVOLUCION",
  "",
  IF(
    T605="",
    "",
    SUMIF(DEVOLUCION!F:F, T605, DEVOLUCION!D:D)
  )
)
</f>
        <v/>
      </c>
      <c r="M605" s="118" t="s">
        <v>5877</v>
      </c>
      <c r="N605" s="169" t="s">
        <v>7649</v>
      </c>
      <c r="O605" s="118" t="str">
        <f t="array" ref="O605">IFERROR(
VLOOKUP(
TRIM(CLEAN(
INDEX(REPORTE_DROPI!K:K,
MATCH(T605, REPORTE_DROPI!B:B, 0)
))),
{
TRIM(CLEAN(MAPA_ESTADOS!A:A)) ,
MAPA_ESTADOS!B:B
},
2,
FALSE
),
"REVISAR"
)</f>
        <v>PENDIENTE</v>
      </c>
      <c r="P605" s="154" t="s">
        <v>6534</v>
      </c>
      <c r="Q605" s="153">
        <f t="shared" si="1"/>
        <v>0</v>
      </c>
      <c r="R605" s="172"/>
      <c r="S605" s="172"/>
      <c r="T605" s="118">
        <f t="array" ref="T605">IFERROR(
INDEX(REPORTE_DROPI!B:B,
MATCH(
CLEAN(TRIM(C605)),
CLEAN(TRIM(REPORTE_DROPI!E:E)),
0
)
),
""
)
</f>
        <v>4630541</v>
      </c>
      <c r="U605" s="169" t="s">
        <v>7650</v>
      </c>
      <c r="V605" s="166"/>
      <c r="W605" s="18"/>
      <c r="X605" s="18"/>
      <c r="Y605" s="18"/>
      <c r="Z605" s="18"/>
    </row>
    <row r="606" ht="22.5" hidden="1" customHeight="1">
      <c r="A606" s="169">
        <v>605.0</v>
      </c>
      <c r="B606" s="170">
        <v>46078.0</v>
      </c>
      <c r="C606" s="154" t="s">
        <v>7651</v>
      </c>
      <c r="D606" s="118" t="str">
        <f>IFERROR(__xludf.DUMMYFUNCTION("IFERROR( INDEX( FILTER( 'NOMBRE DE PRODUCTOS'!B:B, REGEXMATCH( UPPER( INDEX( REPORTE_DROPI!AC:AC, MATCH(T606, REPORTE_DROPI!B:B, 0) ) ), UPPER('NOMBRE DE PRODUCTOS'!A:A) ) ), 1 ), ""REVISAR"" )"),"Cuchillo Tazaki™")</f>
        <v>Cuchillo Tazaki™</v>
      </c>
      <c r="E606" s="120">
        <f t="array" ref="E606">IF(
UPPER(TRIM(CLEAN($O606)))="ENTREGADO",
IFERROR(
INDEX(REPORTE_DROPI!Y:Y,
MATCH($T606, REPORTE_DROPI!B:B, 0)
),
""
),
""
)
</f>
        <v>15</v>
      </c>
      <c r="F606" s="171">
        <v>4.0</v>
      </c>
      <c r="G606" s="122">
        <f t="array" ref="G606">IF(
UPPER(TRIM(CLEAN($O606)))="ENTREGADO",
IFERROR(
INDEX(REPORTE_DROPI!R:R,
MATCH($T606, REPORTE_DROPI!B:B, 0)
),
""
),
""
)
</f>
        <v>32</v>
      </c>
      <c r="H606" s="118" t="s">
        <v>3727</v>
      </c>
      <c r="I606" s="154" t="s">
        <v>3855</v>
      </c>
      <c r="J606" s="121">
        <f t="array" ref="J606">IF(
UPPER(TRIM(CLEAN($O606)))="ENTREGADO",
IFERROR(
INDEX(REPORTE_DROPI!T:T,
MATCH($T606, REPORTE_DROPI!B:B, 0)
),
""
),
""
)
</f>
        <v>6.24</v>
      </c>
      <c r="K606" s="118">
        <f t="array" ref="K606">IFERROR(
INDEX(REPORTE_DROPI!S:S,
MATCH($T606, REPORTE_DROPI!B:B, 0)
),
""
)</f>
        <v>10.76</v>
      </c>
      <c r="L606" s="118" t="str">
        <f>IF(
  O606&lt;&gt;"DEVOLUCION",
  "",
  IF(
    T606="",
    "",
    SUMIF(DEVOLUCION!F:F, T606, DEVOLUCION!D:D)
  )
)
</f>
        <v/>
      </c>
      <c r="M606" s="118" t="s">
        <v>5877</v>
      </c>
      <c r="N606" s="169" t="s">
        <v>7652</v>
      </c>
      <c r="O606" s="118" t="str">
        <f t="array" ref="O606">IFERROR(
VLOOKUP(
TRIM(CLEAN(
INDEX(REPORTE_DROPI!K:K,
MATCH(T606, REPORTE_DROPI!B:B, 0)
))),
{
TRIM(CLEAN(MAPA_ESTADOS!A:A)) ,
MAPA_ESTADOS!B:B
},
2,
FALSE
),
"REVISAR"
)</f>
        <v>ENTREGADO</v>
      </c>
      <c r="P606" s="154" t="s">
        <v>5692</v>
      </c>
      <c r="Q606" s="153">
        <f t="shared" si="1"/>
        <v>0</v>
      </c>
      <c r="R606" s="172"/>
      <c r="S606" s="172"/>
      <c r="T606" s="118">
        <f t="array" ref="T606">IFERROR(
INDEX(REPORTE_DROPI!B:B,
MATCH(
CLEAN(TRIM(C606)),
CLEAN(TRIM(REPORTE_DROPI!E:E)),
0
)
),
""
)
</f>
        <v>4626161</v>
      </c>
      <c r="U606" s="173">
        <v>4.5171110198E10</v>
      </c>
      <c r="V606" s="166"/>
      <c r="W606" s="18"/>
      <c r="X606" s="18"/>
      <c r="Y606" s="18"/>
      <c r="Z606" s="18"/>
    </row>
    <row r="607" ht="22.5" hidden="1" customHeight="1">
      <c r="A607" s="169">
        <v>606.0</v>
      </c>
      <c r="B607" s="170">
        <v>46078.0</v>
      </c>
      <c r="C607" s="154" t="s">
        <v>7653</v>
      </c>
      <c r="D607" s="118" t="str">
        <f>IFERROR(__xludf.DUMMYFUNCTION("IFERROR( INDEX( FILTER( 'NOMBRE DE PRODUCTOS'!B:B, REGEXMATCH( UPPER( INDEX( REPORTE_DROPI!AC:AC, MATCH(T607, REPORTE_DROPI!B:B, 0) ) ), UPPER('NOMBRE DE PRODUCTOS'!A:A) ) ), 1 ), ""REVISAR"" )"),"Cuchillo Tazaki™")</f>
        <v>Cuchillo Tazaki™</v>
      </c>
      <c r="E607" s="120" t="str">
        <f t="array" ref="E607">IF(
UPPER(TRIM(CLEAN($O607)))="ENTREGADO",
IFERROR(
INDEX(REPORTE_DROPI!Y:Y,
MATCH($T607, REPORTE_DROPI!B:B, 0)
),
""
),
""
)
</f>
        <v/>
      </c>
      <c r="F607" s="171">
        <v>2.0</v>
      </c>
      <c r="G607" s="122" t="str">
        <f t="array" ref="G607">IF(
UPPER(TRIM(CLEAN($O607)))="ENTREGADO",
IFERROR(
INDEX(REPORTE_DROPI!R:R,
MATCH($T607, REPORTE_DROPI!B:B, 0)
),
""
),
""
)
</f>
        <v/>
      </c>
      <c r="H607" s="118" t="s">
        <v>3727</v>
      </c>
      <c r="I607" s="154" t="s">
        <v>3778</v>
      </c>
      <c r="J607" s="121" t="str">
        <f t="array" ref="J607">IF(
UPPER(TRIM(CLEAN($O607)))="ENTREGADO",
IFERROR(
INDEX(REPORTE_DROPI!T:T,
MATCH($T607, REPORTE_DROPI!B:B, 0)
),
""
),
""
)
</f>
        <v/>
      </c>
      <c r="K607" s="118" t="str">
        <f t="array" ref="K607">IFERROR(
INDEX(REPORTE_DROPI!S:S,
MATCH($T607, REPORTE_DROPI!B:B, 0)
),
""
)</f>
        <v/>
      </c>
      <c r="L607" s="118">
        <f>IF(
  O607&lt;&gt;"DEVOLUCION",
  "",
  IF(
    T607="",
    "",
    SUMIF(DEVOLUCION!F:F, T607, DEVOLUCION!D:D)
  )
)
</f>
        <v>0</v>
      </c>
      <c r="M607" s="118" t="s">
        <v>5877</v>
      </c>
      <c r="N607" s="169" t="s">
        <v>7654</v>
      </c>
      <c r="O607" s="118" t="str">
        <f t="array" ref="O607">IFERROR(
VLOOKUP(
TRIM(CLEAN(
INDEX(REPORTE_DROPI!K:K,
MATCH(T607, REPORTE_DROPI!B:B, 0)
))),
{
TRIM(CLEAN(MAPA_ESTADOS!A:A)) ,
MAPA_ESTADOS!B:B
},
2,
FALSE
),
"REVISAR"
)</f>
        <v>DEVOLUCION</v>
      </c>
      <c r="P607" s="154" t="s">
        <v>5692</v>
      </c>
      <c r="Q607" s="153">
        <f t="shared" si="1"/>
        <v>0</v>
      </c>
      <c r="R607" s="172"/>
      <c r="S607" s="172"/>
      <c r="T607" s="118">
        <f t="array" ref="T607">IFERROR(
INDEX(REPORTE_DROPI!B:B,
MATCH(
CLEAN(TRIM(C607)),
CLEAN(TRIM(REPORTE_DROPI!E:E)),
0
)
),
""
)
</f>
        <v>4626297</v>
      </c>
      <c r="U607" s="169" t="s">
        <v>7655</v>
      </c>
      <c r="V607" s="166"/>
      <c r="W607" s="18"/>
      <c r="X607" s="18"/>
      <c r="Y607" s="18"/>
      <c r="Z607" s="18"/>
    </row>
    <row r="608" ht="22.5" hidden="1" customHeight="1">
      <c r="A608" s="169">
        <v>607.0</v>
      </c>
      <c r="B608" s="170">
        <v>46078.0</v>
      </c>
      <c r="C608" s="154" t="s">
        <v>7656</v>
      </c>
      <c r="D608" s="118" t="str">
        <f>IFERROR(__xludf.DUMMYFUNCTION("IFERROR( INDEX( FILTER( 'NOMBRE DE PRODUCTOS'!B:B, REGEXMATCH( UPPER( INDEX( REPORTE_DROPI!AC:AC, MATCH(T608, REPORTE_DROPI!B:B, 0) ) ), UPPER('NOMBRE DE PRODUCTOS'!A:A) ) ), 1 ), ""REVISAR"" )"),"Cuchillo Tazaki™")</f>
        <v>Cuchillo Tazaki™</v>
      </c>
      <c r="E608" s="120" t="str">
        <f t="array" ref="E608">IF(
UPPER(TRIM(CLEAN($O608)))="ENTREGADO",
IFERROR(
INDEX(REPORTE_DROPI!Y:Y,
MATCH($T608, REPORTE_DROPI!B:B, 0)
),
""
),
""
)
</f>
        <v/>
      </c>
      <c r="F608" s="171">
        <v>4.0</v>
      </c>
      <c r="G608" s="122" t="str">
        <f t="array" ref="G608">IF(
UPPER(TRIM(CLEAN($O608)))="ENTREGADO",
IFERROR(
INDEX(REPORTE_DROPI!R:R,
MATCH($T608, REPORTE_DROPI!B:B, 0)
),
""
),
""
)
</f>
        <v/>
      </c>
      <c r="H608" s="118" t="s">
        <v>3727</v>
      </c>
      <c r="I608" s="154" t="s">
        <v>3731</v>
      </c>
      <c r="J608" s="121" t="str">
        <f t="array" ref="J608">IF(
UPPER(TRIM(CLEAN($O608)))="ENTREGADO",
IFERROR(
INDEX(REPORTE_DROPI!T:T,
MATCH($T608, REPORTE_DROPI!B:B, 0)
),
""
),
""
)
</f>
        <v/>
      </c>
      <c r="K608" s="118" t="str">
        <f t="array" ref="K608">IFERROR(
INDEX(REPORTE_DROPI!S:S,
MATCH($T608, REPORTE_DROPI!B:B, 0)
),
""
)</f>
        <v/>
      </c>
      <c r="L608" s="118" t="str">
        <f>IF(
  O608&lt;&gt;"DEVOLUCION",
  "",
  IF(
    T608="",
    "",
    SUMIF(DEVOLUCION!F:F, T608, DEVOLUCION!D:D)
  )
)
</f>
        <v/>
      </c>
      <c r="M608" s="118" t="s">
        <v>5877</v>
      </c>
      <c r="N608" s="169" t="s">
        <v>7657</v>
      </c>
      <c r="O608" s="118" t="str">
        <f t="array" ref="O608">IFERROR(
VLOOKUP(
TRIM(CLEAN(
INDEX(REPORTE_DROPI!K:K,
MATCH(T608, REPORTE_DROPI!B:B, 0)
))),
{
TRIM(CLEAN(MAPA_ESTADOS!A:A)) ,
MAPA_ESTADOS!B:B
},
2,
FALSE
),
"REVISAR"
)</f>
        <v>PENDIENTE</v>
      </c>
      <c r="P608" s="154" t="s">
        <v>6568</v>
      </c>
      <c r="Q608" s="153">
        <f t="shared" si="1"/>
        <v>0</v>
      </c>
      <c r="R608" s="172"/>
      <c r="S608" s="172"/>
      <c r="T608" s="118">
        <f t="array" ref="T608">IFERROR(
INDEX(REPORTE_DROPI!B:B,
MATCH(
CLEAN(TRIM(C608)),
CLEAN(TRIM(REPORTE_DROPI!E:E)),
0
)
),
""
)
</f>
        <v>4626307</v>
      </c>
      <c r="U608" s="173">
        <v>1.86121160125E11</v>
      </c>
      <c r="V608" s="166"/>
      <c r="W608" s="18"/>
      <c r="X608" s="18"/>
      <c r="Y608" s="18"/>
      <c r="Z608" s="18"/>
    </row>
    <row r="609" ht="22.5" hidden="1" customHeight="1">
      <c r="A609" s="169">
        <v>608.0</v>
      </c>
      <c r="B609" s="170">
        <v>46078.0</v>
      </c>
      <c r="C609" s="154" t="s">
        <v>7658</v>
      </c>
      <c r="D609" s="118" t="str">
        <f>IFERROR(__xludf.DUMMYFUNCTION("IFERROR( INDEX( FILTER( 'NOMBRE DE PRODUCTOS'!B:B, REGEXMATCH( UPPER( INDEX( REPORTE_DROPI!AC:AC, MATCH(T609, REPORTE_DROPI!B:B, 0) ) ), UPPER('NOMBRE DE PRODUCTOS'!A:A) ) ), 1 ), ""REVISAR"" )"),"FilmPro®")</f>
        <v>FilmPro®</v>
      </c>
      <c r="E609" s="120" t="str">
        <f t="array" ref="E609">IF(
UPPER(TRIM(CLEAN($O609)))="ENTREGADO",
IFERROR(
INDEX(REPORTE_DROPI!Y:Y,
MATCH($T609, REPORTE_DROPI!B:B, 0)
),
""
),
""
)
</f>
        <v/>
      </c>
      <c r="F609" s="171">
        <v>2.0</v>
      </c>
      <c r="G609" s="122" t="str">
        <f t="array" ref="G609">IF(
UPPER(TRIM(CLEAN($O609)))="ENTREGADO",
IFERROR(
INDEX(REPORTE_DROPI!R:R,
MATCH($T609, REPORTE_DROPI!B:B, 0)
),
""
),
""
)
</f>
        <v/>
      </c>
      <c r="H609" s="118" t="s">
        <v>3727</v>
      </c>
      <c r="I609" s="154" t="s">
        <v>3864</v>
      </c>
      <c r="J609" s="121" t="str">
        <f t="array" ref="J609">IF(
UPPER(TRIM(CLEAN($O609)))="ENTREGADO",
IFERROR(
INDEX(REPORTE_DROPI!T:T,
MATCH($T609, REPORTE_DROPI!B:B, 0)
),
""
),
""
)
</f>
        <v/>
      </c>
      <c r="K609" s="118" t="str">
        <f t="array" ref="K609">IFERROR(
INDEX(REPORTE_DROPI!S:S,
MATCH($T609, REPORTE_DROPI!B:B, 0)
),
""
)</f>
        <v/>
      </c>
      <c r="L609" s="118">
        <f>IF(
  O609&lt;&gt;"DEVOLUCION",
  "",
  IF(
    T609="",
    "",
    SUMIF(DEVOLUCION!F:F, T609, DEVOLUCION!D:D)
  )
)
</f>
        <v>0</v>
      </c>
      <c r="M609" s="118" t="s">
        <v>5877</v>
      </c>
      <c r="N609" s="169" t="s">
        <v>7659</v>
      </c>
      <c r="O609" s="118" t="str">
        <f t="array" ref="O609">IFERROR(
VLOOKUP(
TRIM(CLEAN(
INDEX(REPORTE_DROPI!K:K,
MATCH(T609, REPORTE_DROPI!B:B, 0)
))),
{
TRIM(CLEAN(MAPA_ESTADOS!A:A)) ,
MAPA_ESTADOS!B:B
},
2,
FALSE
),
"REVISAR"
)</f>
        <v>DEVOLUCION</v>
      </c>
      <c r="P609" s="154" t="s">
        <v>5692</v>
      </c>
      <c r="Q609" s="153">
        <f t="shared" si="1"/>
        <v>0</v>
      </c>
      <c r="R609" s="172"/>
      <c r="S609" s="172"/>
      <c r="T609" s="118">
        <f t="array" ref="T609">IFERROR(
INDEX(REPORTE_DROPI!B:B,
MATCH(
CLEAN(TRIM(C609)),
CLEAN(TRIM(REPORTE_DROPI!E:E)),
0
)
),
""
)
</f>
        <v>4626630</v>
      </c>
      <c r="U609" s="169" t="s">
        <v>7660</v>
      </c>
      <c r="V609" s="166"/>
      <c r="W609" s="18"/>
      <c r="X609" s="18"/>
      <c r="Y609" s="18"/>
      <c r="Z609" s="18"/>
    </row>
    <row r="610" ht="22.5" hidden="1" customHeight="1">
      <c r="A610" s="169">
        <v>609.0</v>
      </c>
      <c r="B610" s="170">
        <v>46078.0</v>
      </c>
      <c r="C610" s="154" t="s">
        <v>7661</v>
      </c>
      <c r="D610" s="118" t="str">
        <f>IFERROR(__xludf.DUMMYFUNCTION("IFERROR( INDEX( FILTER( 'NOMBRE DE PRODUCTOS'!B:B, REGEXMATCH( UPPER( INDEX( REPORTE_DROPI!AC:AC, MATCH(T610, REPORTE_DROPI!B:B, 0) ) ), UPPER('NOMBRE DE PRODUCTOS'!A:A) ) ), 1 ), ""REVISAR"" )"),"Cuchillo Tazaki™")</f>
        <v>Cuchillo Tazaki™</v>
      </c>
      <c r="E610" s="120" t="str">
        <f t="array" ref="E610">IF(
UPPER(TRIM(CLEAN($O610)))="ENTREGADO",
IFERROR(
INDEX(REPORTE_DROPI!Y:Y,
MATCH($T610, REPORTE_DROPI!B:B, 0)
),
""
),
""
)
</f>
        <v/>
      </c>
      <c r="F610" s="171">
        <v>2.0</v>
      </c>
      <c r="G610" s="122" t="str">
        <f t="array" ref="G610">IF(
UPPER(TRIM(CLEAN($O610)))="ENTREGADO",
IFERROR(
INDEX(REPORTE_DROPI!R:R,
MATCH($T610, REPORTE_DROPI!B:B, 0)
),
""
),
""
)
</f>
        <v/>
      </c>
      <c r="H610" s="118" t="s">
        <v>3727</v>
      </c>
      <c r="I610" s="154" t="s">
        <v>3740</v>
      </c>
      <c r="J610" s="121" t="str">
        <f t="array" ref="J610">IF(
UPPER(TRIM(CLEAN($O610)))="ENTREGADO",
IFERROR(
INDEX(REPORTE_DROPI!T:T,
MATCH($T610, REPORTE_DROPI!B:B, 0)
),
""
),
""
)
</f>
        <v/>
      </c>
      <c r="K610" s="118" t="str">
        <f t="array" ref="K610">IFERROR(
INDEX(REPORTE_DROPI!S:S,
MATCH($T610, REPORTE_DROPI!B:B, 0)
),
""
)</f>
        <v/>
      </c>
      <c r="L610" s="118" t="str">
        <f>IF(
  O610&lt;&gt;"DEVOLUCION",
  "",
  IF(
    T610="",
    "",
    SUMIF(DEVOLUCION!F:F, T610, DEVOLUCION!D:D)
  )
)
</f>
        <v/>
      </c>
      <c r="M610" s="118" t="s">
        <v>5877</v>
      </c>
      <c r="N610" s="169" t="s">
        <v>7662</v>
      </c>
      <c r="O610" s="118" t="str">
        <f t="array" ref="O610">IFERROR(
VLOOKUP(
TRIM(CLEAN(
INDEX(REPORTE_DROPI!K:K,
MATCH(T610, REPORTE_DROPI!B:B, 0)
))),
{
TRIM(CLEAN(MAPA_ESTADOS!A:A)) ,
MAPA_ESTADOS!B:B
},
2,
FALSE
),
"REVISAR"
)</f>
        <v>PENDIENTE</v>
      </c>
      <c r="P610" s="154" t="s">
        <v>3689</v>
      </c>
      <c r="Q610" s="153">
        <f t="shared" si="1"/>
        <v>0</v>
      </c>
      <c r="R610" s="172"/>
      <c r="S610" s="172"/>
      <c r="T610" s="118">
        <f t="array" ref="T610">IFERROR(
INDEX(REPORTE_DROPI!B:B,
MATCH(
CLEAN(TRIM(C610)),
CLEAN(TRIM(REPORTE_DROPI!E:E)),
0
)
),
""
)
</f>
        <v>4630802</v>
      </c>
      <c r="U610" s="169" t="s">
        <v>7663</v>
      </c>
      <c r="V610" s="166"/>
      <c r="W610" s="18"/>
      <c r="X610" s="18"/>
      <c r="Y610" s="18"/>
      <c r="Z610" s="18"/>
    </row>
    <row r="611" ht="22.5" hidden="1" customHeight="1">
      <c r="A611" s="169">
        <v>610.0</v>
      </c>
      <c r="B611" s="170">
        <v>46078.0</v>
      </c>
      <c r="C611" s="154" t="s">
        <v>4075</v>
      </c>
      <c r="D611" s="118" t="str">
        <f>IFERROR(__xludf.DUMMYFUNCTION("IFERROR( INDEX( FILTER( 'NOMBRE DE PRODUCTOS'!B:B, REGEXMATCH( UPPER( INDEX( REPORTE_DROPI!AC:AC, MATCH(T611, REPORTE_DROPI!B:B, 0) ) ), UPPER('NOMBRE DE PRODUCTOS'!A:A) ) ), 1 ), ""REVISAR"" )"),"Cuchillo Tazaki™")</f>
        <v>Cuchillo Tazaki™</v>
      </c>
      <c r="E611" s="120" t="str">
        <f t="array" ref="E611">IF(
UPPER(TRIM(CLEAN($O611)))="ENTREGADO",
IFERROR(
INDEX(REPORTE_DROPI!Y:Y,
MATCH($T611, REPORTE_DROPI!B:B, 0)
),
""
),
""
)
</f>
        <v/>
      </c>
      <c r="F611" s="171">
        <v>2.0</v>
      </c>
      <c r="G611" s="122" t="str">
        <f t="array" ref="G611">IF(
UPPER(TRIM(CLEAN($O611)))="ENTREGADO",
IFERROR(
INDEX(REPORTE_DROPI!R:R,
MATCH($T611, REPORTE_DROPI!B:B, 0)
),
""
),
""
)
</f>
        <v/>
      </c>
      <c r="H611" s="118" t="s">
        <v>3727</v>
      </c>
      <c r="I611" s="154" t="s">
        <v>3740</v>
      </c>
      <c r="J611" s="121" t="str">
        <f t="array" ref="J611">IF(
UPPER(TRIM(CLEAN($O611)))="ENTREGADO",
IFERROR(
INDEX(REPORTE_DROPI!T:T,
MATCH($T611, REPORTE_DROPI!B:B, 0)
),
""
),
""
)
</f>
        <v/>
      </c>
      <c r="K611" s="118" t="str">
        <f t="array" ref="K611">IFERROR(
INDEX(REPORTE_DROPI!S:S,
MATCH($T611, REPORTE_DROPI!B:B, 0)
),
""
)</f>
        <v/>
      </c>
      <c r="L611" s="118">
        <f>IF(
  O611&lt;&gt;"DEVOLUCION",
  "",
  IF(
    T611="",
    "",
    SUMIF(DEVOLUCION!F:F, T611, DEVOLUCION!D:D)
  )
)
</f>
        <v>0</v>
      </c>
      <c r="M611" s="118" t="s">
        <v>5877</v>
      </c>
      <c r="N611" s="169" t="s">
        <v>7664</v>
      </c>
      <c r="O611" s="118" t="str">
        <f t="array" ref="O611">IFERROR(
VLOOKUP(
TRIM(CLEAN(
INDEX(REPORTE_DROPI!K:K,
MATCH(T611, REPORTE_DROPI!B:B, 0)
))),
{
TRIM(CLEAN(MAPA_ESTADOS!A:A)) ,
MAPA_ESTADOS!B:B
},
2,
FALSE
),
"REVISAR"
)</f>
        <v>DEVOLUCION</v>
      </c>
      <c r="P611" s="154" t="s">
        <v>5692</v>
      </c>
      <c r="Q611" s="153">
        <f t="shared" si="1"/>
        <v>0</v>
      </c>
      <c r="R611" s="172"/>
      <c r="S611" s="172"/>
      <c r="T611" s="118">
        <f t="array" ref="T611">IFERROR(
INDEX(REPORTE_DROPI!B:B,
MATCH(
CLEAN(TRIM(C611)),
CLEAN(TRIM(REPORTE_DROPI!E:E)),
0
)
),
""
)
</f>
        <v>4626822</v>
      </c>
      <c r="U611" s="173">
        <v>1.90130135135E11</v>
      </c>
      <c r="V611" s="166"/>
      <c r="W611" s="18"/>
      <c r="X611" s="18"/>
      <c r="Y611" s="18"/>
      <c r="Z611" s="18"/>
    </row>
    <row r="612" ht="22.5" hidden="1" customHeight="1">
      <c r="A612" s="169">
        <v>611.0</v>
      </c>
      <c r="B612" s="170">
        <v>46078.0</v>
      </c>
      <c r="C612" s="154" t="s">
        <v>7665</v>
      </c>
      <c r="D612" s="118" t="str">
        <f>IFERROR(__xludf.DUMMYFUNCTION("IFERROR( INDEX( FILTER( 'NOMBRE DE PRODUCTOS'!B:B, REGEXMATCH( UPPER( INDEX( REPORTE_DROPI!AC:AC, MATCH(T612, REPORTE_DROPI!B:B, 0) ) ), UPPER('NOMBRE DE PRODUCTOS'!A:A) ) ), 1 ), ""REVISAR"" )"),"FilmPro®")</f>
        <v>FilmPro®</v>
      </c>
      <c r="E612" s="120">
        <f t="array" ref="E612">IF(
UPPER(TRIM(CLEAN($O612)))="ENTREGADO",
IFERROR(
INDEX(REPORTE_DROPI!Y:Y,
MATCH($T612, REPORTE_DROPI!B:B, 0)
),
""
),
""
)
</f>
        <v>4.7</v>
      </c>
      <c r="F612" s="171">
        <v>2.0</v>
      </c>
      <c r="G612" s="122">
        <f t="array" ref="G612">IF(
UPPER(TRIM(CLEAN($O612)))="ENTREGADO",
IFERROR(
INDEX(REPORTE_DROPI!R:R,
MATCH($T612, REPORTE_DROPI!B:B, 0)
),
""
),
""
)
</f>
        <v>25</v>
      </c>
      <c r="H612" s="118" t="s">
        <v>3727</v>
      </c>
      <c r="I612" s="154" t="s">
        <v>3740</v>
      </c>
      <c r="J612" s="121">
        <f t="array" ref="J612">IF(
UPPER(TRIM(CLEAN($O612)))="ENTREGADO",
IFERROR(
INDEX(REPORTE_DROPI!T:T,
MATCH($T612, REPORTE_DROPI!B:B, 0)
),
""
),
""
)
</f>
        <v>5.96</v>
      </c>
      <c r="K612" s="118">
        <f t="array" ref="K612">IFERROR(
INDEX(REPORTE_DROPI!S:S,
MATCH($T612, REPORTE_DROPI!B:B, 0)
),
""
)</f>
        <v>14.34</v>
      </c>
      <c r="L612" s="118" t="str">
        <f>IF(
  O612&lt;&gt;"DEVOLUCION",
  "",
  IF(
    T612="",
    "",
    SUMIF(DEVOLUCION!F:F, T612, DEVOLUCION!D:D)
  )
)
</f>
        <v/>
      </c>
      <c r="M612" s="118" t="s">
        <v>5877</v>
      </c>
      <c r="N612" s="169" t="s">
        <v>7666</v>
      </c>
      <c r="O612" s="118" t="str">
        <f t="array" ref="O612">IFERROR(
VLOOKUP(
TRIM(CLEAN(
INDEX(REPORTE_DROPI!K:K,
MATCH(T612, REPORTE_DROPI!B:B, 0)
))),
{
TRIM(CLEAN(MAPA_ESTADOS!A:A)) ,
MAPA_ESTADOS!B:B
},
2,
FALSE
),
"REVISAR"
)</f>
        <v>ENTREGADO</v>
      </c>
      <c r="P612" s="154" t="s">
        <v>6456</v>
      </c>
      <c r="Q612" s="153">
        <f t="shared" si="1"/>
        <v>0</v>
      </c>
      <c r="R612" s="172"/>
      <c r="S612" s="172"/>
      <c r="T612" s="118">
        <f t="array" ref="T612">IFERROR(
INDEX(REPORTE_DROPI!B:B,
MATCH(
CLEAN(TRIM(C612)),
CLEAN(TRIM(REPORTE_DROPI!E:E)),
0
)
),
""
)
</f>
        <v>4626950</v>
      </c>
      <c r="U612" s="169" t="s">
        <v>7667</v>
      </c>
      <c r="V612" s="166"/>
      <c r="W612" s="18"/>
      <c r="X612" s="18"/>
      <c r="Y612" s="18"/>
      <c r="Z612" s="18"/>
    </row>
    <row r="613" ht="22.5" hidden="1" customHeight="1">
      <c r="A613" s="169">
        <v>612.0</v>
      </c>
      <c r="B613" s="170">
        <v>46078.0</v>
      </c>
      <c r="C613" s="154" t="s">
        <v>7668</v>
      </c>
      <c r="D613" s="118" t="str">
        <f>IFERROR(__xludf.DUMMYFUNCTION("IFERROR( INDEX( FILTER( 'NOMBRE DE PRODUCTOS'!B:B, REGEXMATCH( UPPER( INDEX( REPORTE_DROPI!AC:AC, MATCH(T613, REPORTE_DROPI!B:B, 0) ) ), UPPER('NOMBRE DE PRODUCTOS'!A:A) ) ), 1 ), ""REVISAR"" )"),"Cuchillo Tazaki™")</f>
        <v>Cuchillo Tazaki™</v>
      </c>
      <c r="E613" s="120" t="str">
        <f t="array" ref="E613">IF(
UPPER(TRIM(CLEAN($O613)))="ENTREGADO",
IFERROR(
INDEX(REPORTE_DROPI!Y:Y,
MATCH($T613, REPORTE_DROPI!B:B, 0)
),
""
),
""
)
</f>
        <v/>
      </c>
      <c r="F613" s="171">
        <v>4.0</v>
      </c>
      <c r="G613" s="122" t="str">
        <f t="array" ref="G613">IF(
UPPER(TRIM(CLEAN($O613)))="ENTREGADO",
IFERROR(
INDEX(REPORTE_DROPI!R:R,
MATCH($T613, REPORTE_DROPI!B:B, 0)
),
""
),
""
)
</f>
        <v/>
      </c>
      <c r="H613" s="118" t="s">
        <v>3727</v>
      </c>
      <c r="I613" s="154" t="s">
        <v>3728</v>
      </c>
      <c r="J613" s="121" t="str">
        <f t="array" ref="J613">IF(
UPPER(TRIM(CLEAN($O613)))="ENTREGADO",
IFERROR(
INDEX(REPORTE_DROPI!T:T,
MATCH($T613, REPORTE_DROPI!B:B, 0)
),
""
),
""
)
</f>
        <v/>
      </c>
      <c r="K613" s="118" t="str">
        <f t="array" ref="K613">IFERROR(
INDEX(REPORTE_DROPI!S:S,
MATCH($T613, REPORTE_DROPI!B:B, 0)
),
""
)</f>
        <v/>
      </c>
      <c r="L613" s="118" t="str">
        <f>IF(
  O613&lt;&gt;"DEVOLUCION",
  "",
  IF(
    T613="",
    "",
    SUMIF(DEVOLUCION!F:F, T613, DEVOLUCION!D:D)
  )
)
</f>
        <v/>
      </c>
      <c r="M613" s="118" t="s">
        <v>5877</v>
      </c>
      <c r="N613" s="169" t="s">
        <v>7669</v>
      </c>
      <c r="O613" s="118" t="str">
        <f t="array" ref="O613">IFERROR(
VLOOKUP(
TRIM(CLEAN(
INDEX(REPORTE_DROPI!K:K,
MATCH(T613, REPORTE_DROPI!B:B, 0)
))),
{
TRIM(CLEAN(MAPA_ESTADOS!A:A)) ,
MAPA_ESTADOS!B:B
},
2,
FALSE
),
"REVISAR"
)</f>
        <v>PENDIENTE</v>
      </c>
      <c r="P613" s="154" t="s">
        <v>6568</v>
      </c>
      <c r="Q613" s="153">
        <f t="shared" si="1"/>
        <v>0</v>
      </c>
      <c r="R613" s="172"/>
      <c r="S613" s="172"/>
      <c r="T613" s="118">
        <f t="array" ref="T613">IFERROR(
INDEX(REPORTE_DROPI!B:B,
MATCH(
CLEAN(TRIM(C613)),
CLEAN(TRIM(REPORTE_DROPI!E:E)),
0
)
),
""
)
</f>
        <v>4627014</v>
      </c>
      <c r="U613" s="169" t="s">
        <v>7670</v>
      </c>
      <c r="V613" s="166"/>
      <c r="W613" s="18"/>
      <c r="X613" s="18"/>
      <c r="Y613" s="18"/>
      <c r="Z613" s="18"/>
    </row>
    <row r="614" ht="22.5" hidden="1" customHeight="1">
      <c r="A614" s="169">
        <v>613.0</v>
      </c>
      <c r="B614" s="170">
        <v>46079.0</v>
      </c>
      <c r="C614" s="154" t="s">
        <v>7671</v>
      </c>
      <c r="D614" s="118" t="str">
        <f>IFERROR(__xludf.DUMMYFUNCTION("IFERROR( INDEX( FILTER( 'NOMBRE DE PRODUCTOS'!B:B, REGEXMATCH( UPPER( INDEX( REPORTE_DROPI!AC:AC, MATCH(T614, REPORTE_DROPI!B:B, 0) ) ), UPPER('NOMBRE DE PRODUCTOS'!A:A) ) ), 1 ), ""REVISAR"" )"),"Cuchillo Tazaki™")</f>
        <v>Cuchillo Tazaki™</v>
      </c>
      <c r="E614" s="120">
        <f t="array" ref="E614">IF(
UPPER(TRIM(CLEAN($O614)))="ENTREGADO",
IFERROR(
INDEX(REPORTE_DROPI!Y:Y,
MATCH($T614, REPORTE_DROPI!B:B, 0)
),
""
),
""
)
</f>
        <v>7.5</v>
      </c>
      <c r="F614" s="171">
        <v>2.0</v>
      </c>
      <c r="G614" s="122">
        <f t="array" ref="G614">IF(
UPPER(TRIM(CLEAN($O614)))="ENTREGADO",
IFERROR(
INDEX(REPORTE_DROPI!R:R,
MATCH($T614, REPORTE_DROPI!B:B, 0)
),
""
),
""
)
</f>
        <v>22</v>
      </c>
      <c r="H614" s="118" t="s">
        <v>3727</v>
      </c>
      <c r="I614" s="154" t="s">
        <v>3798</v>
      </c>
      <c r="J614" s="121">
        <f t="array" ref="J614">IF(
UPPER(TRIM(CLEAN($O614)))="ENTREGADO",
IFERROR(
INDEX(REPORTE_DROPI!T:T,
MATCH($T614, REPORTE_DROPI!B:B, 0)
),
""
),
""
)
</f>
        <v>5.84</v>
      </c>
      <c r="K614" s="118">
        <f t="array" ref="K614">IFERROR(
INDEX(REPORTE_DROPI!S:S,
MATCH($T614, REPORTE_DROPI!B:B, 0)
),
""
)</f>
        <v>8.66</v>
      </c>
      <c r="L614" s="118" t="str">
        <f>IF(
  O614&lt;&gt;"DEVOLUCION",
  "",
  IF(
    T614="",
    "",
    SUMIF(DEVOLUCION!F:F, T614, DEVOLUCION!D:D)
  )
)
</f>
        <v/>
      </c>
      <c r="M614" s="118" t="s">
        <v>5877</v>
      </c>
      <c r="N614" s="169" t="s">
        <v>7672</v>
      </c>
      <c r="O614" s="118" t="str">
        <f t="array" ref="O614">IFERROR(
VLOOKUP(
TRIM(CLEAN(
INDEX(REPORTE_DROPI!K:K,
MATCH(T614, REPORTE_DROPI!B:B, 0)
))),
{
TRIM(CLEAN(MAPA_ESTADOS!A:A)) ,
MAPA_ESTADOS!B:B
},
2,
FALSE
),
"REVISAR"
)</f>
        <v>ENTREGADO</v>
      </c>
      <c r="P614" s="154" t="s">
        <v>5692</v>
      </c>
      <c r="Q614" s="153">
        <f t="shared" si="1"/>
        <v>0</v>
      </c>
      <c r="R614" s="172"/>
      <c r="S614" s="172"/>
      <c r="T614" s="118">
        <f t="array" ref="T614">IFERROR(
INDEX(REPORTE_DROPI!B:B,
MATCH(
CLEAN(TRIM(C614)),
CLEAN(TRIM(REPORTE_DROPI!E:E)),
0
)
),
""
)
</f>
        <v>4627226</v>
      </c>
      <c r="U614" s="169" t="s">
        <v>7673</v>
      </c>
      <c r="V614" s="166"/>
      <c r="W614" s="18"/>
      <c r="X614" s="18"/>
      <c r="Y614" s="18"/>
      <c r="Z614" s="18"/>
    </row>
    <row r="615" ht="22.5" hidden="1" customHeight="1">
      <c r="A615" s="169">
        <v>614.0</v>
      </c>
      <c r="B615" s="170">
        <v>46079.0</v>
      </c>
      <c r="C615" s="154" t="s">
        <v>7674</v>
      </c>
      <c r="D615" s="118" t="str">
        <f>IFERROR(__xludf.DUMMYFUNCTION("IFERROR( INDEX( FILTER( 'NOMBRE DE PRODUCTOS'!B:B, REGEXMATCH( UPPER( INDEX( REPORTE_DROPI!AC:AC, MATCH(T615, REPORTE_DROPI!B:B, 0) ) ), UPPER('NOMBRE DE PRODUCTOS'!A:A) ) ), 1 ), ""REVISAR"" )"),"Cuchillo Tazaki™")</f>
        <v>Cuchillo Tazaki™</v>
      </c>
      <c r="E615" s="120" t="str">
        <f t="array" ref="E615">IF(
UPPER(TRIM(CLEAN($O615)))="ENTREGADO",
IFERROR(
INDEX(REPORTE_DROPI!Y:Y,
MATCH($T615, REPORTE_DROPI!B:B, 0)
),
""
),
""
)
</f>
        <v/>
      </c>
      <c r="F615" s="171">
        <v>2.0</v>
      </c>
      <c r="G615" s="122" t="str">
        <f t="array" ref="G615">IF(
UPPER(TRIM(CLEAN($O615)))="ENTREGADO",
IFERROR(
INDEX(REPORTE_DROPI!R:R,
MATCH($T615, REPORTE_DROPI!B:B, 0)
),
""
),
""
)
</f>
        <v/>
      </c>
      <c r="H615" s="118" t="s">
        <v>3727</v>
      </c>
      <c r="I615" s="154" t="s">
        <v>3801</v>
      </c>
      <c r="J615" s="121" t="str">
        <f t="array" ref="J615">IF(
UPPER(TRIM(CLEAN($O615)))="ENTREGADO",
IFERROR(
INDEX(REPORTE_DROPI!T:T,
MATCH($T615, REPORTE_DROPI!B:B, 0)
),
""
),
""
)
</f>
        <v/>
      </c>
      <c r="K615" s="118" t="str">
        <f t="array" ref="K615">IFERROR(
INDEX(REPORTE_DROPI!S:S,
MATCH($T615, REPORTE_DROPI!B:B, 0)
),
""
)</f>
        <v/>
      </c>
      <c r="L615" s="118">
        <f>IF(
  O615&lt;&gt;"DEVOLUCION",
  "",
  IF(
    T615="",
    "",
    SUMIF(DEVOLUCION!F:F, T615, DEVOLUCION!D:D)
  )
)
</f>
        <v>0</v>
      </c>
      <c r="M615" s="118" t="s">
        <v>5877</v>
      </c>
      <c r="N615" s="169" t="s">
        <v>7675</v>
      </c>
      <c r="O615" s="118" t="str">
        <f t="array" ref="O615">IFERROR(
VLOOKUP(
TRIM(CLEAN(
INDEX(REPORTE_DROPI!K:K,
MATCH(T615, REPORTE_DROPI!B:B, 0)
))),
{
TRIM(CLEAN(MAPA_ESTADOS!A:A)) ,
MAPA_ESTADOS!B:B
},
2,
FALSE
),
"REVISAR"
)</f>
        <v>DEVOLUCION</v>
      </c>
      <c r="P615" s="154" t="s">
        <v>5692</v>
      </c>
      <c r="Q615" s="153">
        <f t="shared" si="1"/>
        <v>0</v>
      </c>
      <c r="R615" s="172"/>
      <c r="S615" s="172"/>
      <c r="T615" s="118">
        <f t="array" ref="T615">IFERROR(
INDEX(REPORTE_DROPI!B:B,
MATCH(
CLEAN(TRIM(C615)),
CLEAN(TRIM(REPORTE_DROPI!E:E)),
0
)
),
""
)
</f>
        <v>4627572</v>
      </c>
      <c r="U615" s="169" t="s">
        <v>7676</v>
      </c>
      <c r="V615" s="166"/>
      <c r="W615" s="18"/>
      <c r="X615" s="18"/>
      <c r="Y615" s="18"/>
      <c r="Z615" s="18"/>
    </row>
    <row r="616" ht="22.5" hidden="1" customHeight="1">
      <c r="A616" s="169">
        <v>615.0</v>
      </c>
      <c r="B616" s="170">
        <v>46079.0</v>
      </c>
      <c r="C616" s="154" t="s">
        <v>7677</v>
      </c>
      <c r="D616" s="118" t="str">
        <f>IFERROR(__xludf.DUMMYFUNCTION("IFERROR( INDEX( FILTER( 'NOMBRE DE PRODUCTOS'!B:B, REGEXMATCH( UPPER( INDEX( REPORTE_DROPI!AC:AC, MATCH(T616, REPORTE_DROPI!B:B, 0) ) ), UPPER('NOMBRE DE PRODUCTOS'!A:A) ) ), 1 ), ""REVISAR"" )"),"FilmPro®")</f>
        <v>FilmPro®</v>
      </c>
      <c r="E616" s="120">
        <f t="array" ref="E616">IF(
UPPER(TRIM(CLEAN($O616)))="ENTREGADO",
IFERROR(
INDEX(REPORTE_DROPI!Y:Y,
MATCH($T616, REPORTE_DROPI!B:B, 0)
),
""
),
""
)
</f>
        <v>4.7</v>
      </c>
      <c r="F616" s="171">
        <v>2.0</v>
      </c>
      <c r="G616" s="122">
        <f t="array" ref="G616">IF(
UPPER(TRIM(CLEAN($O616)))="ENTREGADO",
IFERROR(
INDEX(REPORTE_DROPI!R:R,
MATCH($T616, REPORTE_DROPI!B:B, 0)
),
""
),
""
)
</f>
        <v>25</v>
      </c>
      <c r="H616" s="118" t="s">
        <v>3727</v>
      </c>
      <c r="I616" s="154" t="s">
        <v>3772</v>
      </c>
      <c r="J616" s="121">
        <f t="array" ref="J616">IF(
UPPER(TRIM(CLEAN($O616)))="ENTREGADO",
IFERROR(
INDEX(REPORTE_DROPI!T:T,
MATCH($T616, REPORTE_DROPI!B:B, 0)
),
""
),
""
)
</f>
        <v>5.96</v>
      </c>
      <c r="K616" s="118">
        <f t="array" ref="K616">IFERROR(
INDEX(REPORTE_DROPI!S:S,
MATCH($T616, REPORTE_DROPI!B:B, 0)
),
""
)</f>
        <v>14.34</v>
      </c>
      <c r="L616" s="118" t="str">
        <f>IF(
  O616&lt;&gt;"DEVOLUCION",
  "",
  IF(
    T616="",
    "",
    SUMIF(DEVOLUCION!F:F, T616, DEVOLUCION!D:D)
  )
)
</f>
        <v/>
      </c>
      <c r="M616" s="118" t="s">
        <v>5877</v>
      </c>
      <c r="N616" s="169" t="s">
        <v>7678</v>
      </c>
      <c r="O616" s="118" t="str">
        <f t="array" ref="O616">IFERROR(
VLOOKUP(
TRIM(CLEAN(
INDEX(REPORTE_DROPI!K:K,
MATCH(T616, REPORTE_DROPI!B:B, 0)
))),
{
TRIM(CLEAN(MAPA_ESTADOS!A:A)) ,
MAPA_ESTADOS!B:B
},
2,
FALSE
),
"REVISAR"
)</f>
        <v>ENTREGADO</v>
      </c>
      <c r="P616" s="154" t="s">
        <v>3655</v>
      </c>
      <c r="Q616" s="153">
        <f t="shared" si="1"/>
        <v>0</v>
      </c>
      <c r="R616" s="172"/>
      <c r="S616" s="172"/>
      <c r="T616" s="118">
        <f t="array" ref="T616">IFERROR(
INDEX(REPORTE_DROPI!B:B,
MATCH(
CLEAN(TRIM(C616)),
CLEAN(TRIM(REPORTE_DROPI!E:E)),
0
)
),
""
)
</f>
        <v>4627580</v>
      </c>
      <c r="U616" s="169" t="s">
        <v>7679</v>
      </c>
      <c r="V616" s="166"/>
      <c r="W616" s="18"/>
      <c r="X616" s="18"/>
      <c r="Y616" s="18"/>
      <c r="Z616" s="18"/>
    </row>
    <row r="617" ht="22.5" hidden="1" customHeight="1">
      <c r="A617" s="169">
        <v>616.0</v>
      </c>
      <c r="B617" s="170">
        <v>46079.0</v>
      </c>
      <c r="C617" s="154" t="s">
        <v>7680</v>
      </c>
      <c r="D617" s="118" t="str">
        <f>IFERROR(__xludf.DUMMYFUNCTION("IFERROR( INDEX( FILTER( 'NOMBRE DE PRODUCTOS'!B:B, REGEXMATCH( UPPER( INDEX( REPORTE_DROPI!AC:AC, MATCH(T617, REPORTE_DROPI!B:B, 0) ) ), UPPER('NOMBRE DE PRODUCTOS'!A:A) ) ), 1 ), ""REVISAR"" )"),"FilmPro®")</f>
        <v>FilmPro®</v>
      </c>
      <c r="E617" s="120">
        <f t="array" ref="E617">IF(
UPPER(TRIM(CLEAN($O617)))="ENTREGADO",
IFERROR(
INDEX(REPORTE_DROPI!Y:Y,
MATCH($T617, REPORTE_DROPI!B:B, 0)
),
""
),
""
)
</f>
        <v>7.05</v>
      </c>
      <c r="F617" s="171">
        <v>3.0</v>
      </c>
      <c r="G617" s="122">
        <f t="array" ref="G617">IF(
UPPER(TRIM(CLEAN($O617)))="ENTREGADO",
IFERROR(
INDEX(REPORTE_DROPI!R:R,
MATCH($T617, REPORTE_DROPI!B:B, 0)
),
""
),
""
)
</f>
        <v>30</v>
      </c>
      <c r="H617" s="118" t="s">
        <v>3727</v>
      </c>
      <c r="I617" s="154" t="s">
        <v>3731</v>
      </c>
      <c r="J617" s="121">
        <f t="array" ref="J617">IF(
UPPER(TRIM(CLEAN($O617)))="ENTREGADO",
IFERROR(
INDEX(REPORTE_DROPI!T:T,
MATCH($T617, REPORTE_DROPI!B:B, 0)
),
""
),
""
)
</f>
        <v>4.55</v>
      </c>
      <c r="K617" s="118">
        <f t="array" ref="K617">IFERROR(
INDEX(REPORTE_DROPI!S:S,
MATCH($T617, REPORTE_DROPI!B:B, 0)
),
""
)</f>
        <v>18.4</v>
      </c>
      <c r="L617" s="118" t="str">
        <f>IF(
  O617&lt;&gt;"DEVOLUCION",
  "",
  IF(
    T617="",
    "",
    SUMIF(DEVOLUCION!F:F, T617, DEVOLUCION!D:D)
  )
)
</f>
        <v/>
      </c>
      <c r="M617" s="118" t="s">
        <v>5877</v>
      </c>
      <c r="N617" s="169" t="s">
        <v>7681</v>
      </c>
      <c r="O617" s="118" t="str">
        <f t="array" ref="O617">IFERROR(
VLOOKUP(
TRIM(CLEAN(
INDEX(REPORTE_DROPI!K:K,
MATCH(T617, REPORTE_DROPI!B:B, 0)
))),
{
TRIM(CLEAN(MAPA_ESTADOS!A:A)) ,
MAPA_ESTADOS!B:B
},
2,
FALSE
),
"REVISAR"
)</f>
        <v>ENTREGADO</v>
      </c>
      <c r="P617" s="154" t="s">
        <v>5692</v>
      </c>
      <c r="Q617" s="153">
        <f t="shared" si="1"/>
        <v>0</v>
      </c>
      <c r="R617" s="172"/>
      <c r="S617" s="172"/>
      <c r="T617" s="118">
        <f t="array" ref="T617">IFERROR(
INDEX(REPORTE_DROPI!B:B,
MATCH(
CLEAN(TRIM(C617)),
CLEAN(TRIM(REPORTE_DROPI!E:E)),
0
)
),
""
)
</f>
        <v>4627618</v>
      </c>
      <c r="U617" s="169" t="s">
        <v>7682</v>
      </c>
      <c r="V617" s="166"/>
      <c r="W617" s="18"/>
      <c r="X617" s="18"/>
      <c r="Y617" s="18"/>
      <c r="Z617" s="18"/>
    </row>
    <row r="618" ht="22.5" hidden="1" customHeight="1">
      <c r="A618" s="169">
        <v>617.0</v>
      </c>
      <c r="B618" s="170">
        <v>46079.0</v>
      </c>
      <c r="C618" s="154" t="s">
        <v>7683</v>
      </c>
      <c r="D618" s="118" t="str">
        <f>IFERROR(__xludf.DUMMYFUNCTION("IFERROR( INDEX( FILTER( 'NOMBRE DE PRODUCTOS'!B:B, REGEXMATCH( UPPER( INDEX( REPORTE_DROPI!AC:AC, MATCH(T618, REPORTE_DROPI!B:B, 0) ) ), UPPER('NOMBRE DE PRODUCTOS'!A:A) ) ), 1 ), ""REVISAR"" )"),"Cuchillo Tazaki™")</f>
        <v>Cuchillo Tazaki™</v>
      </c>
      <c r="E618" s="120" t="str">
        <f t="array" ref="E618">IF(
UPPER(TRIM(CLEAN($O618)))="ENTREGADO",
IFERROR(
INDEX(REPORTE_DROPI!Y:Y,
MATCH($T618, REPORTE_DROPI!B:B, 0)
),
""
),
""
)
</f>
        <v/>
      </c>
      <c r="F618" s="171">
        <v>3.0</v>
      </c>
      <c r="G618" s="122" t="str">
        <f t="array" ref="G618">IF(
UPPER(TRIM(CLEAN($O618)))="ENTREGADO",
IFERROR(
INDEX(REPORTE_DROPI!R:R,
MATCH($T618, REPORTE_DROPI!B:B, 0)
),
""
),
""
)
</f>
        <v/>
      </c>
      <c r="H618" s="118" t="s">
        <v>3727</v>
      </c>
      <c r="I618" s="154" t="s">
        <v>3784</v>
      </c>
      <c r="J618" s="121" t="str">
        <f t="array" ref="J618">IF(
UPPER(TRIM(CLEAN($O618)))="ENTREGADO",
IFERROR(
INDEX(REPORTE_DROPI!T:T,
MATCH($T618, REPORTE_DROPI!B:B, 0)
),
""
),
""
)
</f>
        <v/>
      </c>
      <c r="K618" s="118" t="str">
        <f t="array" ref="K618">IFERROR(
INDEX(REPORTE_DROPI!S:S,
MATCH($T618, REPORTE_DROPI!B:B, 0)
),
""
)</f>
        <v/>
      </c>
      <c r="L618" s="118" t="str">
        <f>IF(
  O618&lt;&gt;"DEVOLUCION",
  "",
  IF(
    T618="",
    "",
    SUMIF(DEVOLUCION!F:F, T618, DEVOLUCION!D:D)
  )
)
</f>
        <v/>
      </c>
      <c r="M618" s="118" t="s">
        <v>5877</v>
      </c>
      <c r="N618" s="169" t="s">
        <v>7684</v>
      </c>
      <c r="O618" s="118" t="str">
        <f t="array" ref="O618">IFERROR(
VLOOKUP(
TRIM(CLEAN(
INDEX(REPORTE_DROPI!K:K,
MATCH(T618, REPORTE_DROPI!B:B, 0)
))),
{
TRIM(CLEAN(MAPA_ESTADOS!A:A)) ,
MAPA_ESTADOS!B:B
},
2,
FALSE
),
"REVISAR"
)</f>
        <v>PENDIENTE</v>
      </c>
      <c r="P618" s="154" t="s">
        <v>6534</v>
      </c>
      <c r="Q618" s="153">
        <f t="shared" si="1"/>
        <v>0</v>
      </c>
      <c r="R618" s="172"/>
      <c r="S618" s="172"/>
      <c r="T618" s="118">
        <f t="array" ref="T618">IFERROR(
INDEX(REPORTE_DROPI!B:B,
MATCH(
CLEAN(TRIM(C618)),
CLEAN(TRIM(REPORTE_DROPI!E:E)),
0
)
),
""
)
</f>
        <v>4628062</v>
      </c>
      <c r="U618" s="173">
        <v>1.311961121E11</v>
      </c>
      <c r="V618" s="166"/>
      <c r="W618" s="18"/>
      <c r="X618" s="18"/>
      <c r="Y618" s="18"/>
      <c r="Z618" s="18"/>
    </row>
    <row r="619" ht="22.5" hidden="1" customHeight="1">
      <c r="A619" s="169">
        <v>618.0</v>
      </c>
      <c r="B619" s="170">
        <v>46079.0</v>
      </c>
      <c r="C619" s="154" t="s">
        <v>7685</v>
      </c>
      <c r="D619" s="118" t="str">
        <f>IFERROR(__xludf.DUMMYFUNCTION("IFERROR( INDEX( FILTER( 'NOMBRE DE PRODUCTOS'!B:B, REGEXMATCH( UPPER( INDEX( REPORTE_DROPI!AC:AC, MATCH(T619, REPORTE_DROPI!B:B, 0) ) ), UPPER('NOMBRE DE PRODUCTOS'!A:A) ) ), 1 ), ""REVISAR"" )"),"FilmPro®")</f>
        <v>FilmPro®</v>
      </c>
      <c r="E619" s="120">
        <f t="array" ref="E619">IF(
UPPER(TRIM(CLEAN($O619)))="ENTREGADO",
IFERROR(
INDEX(REPORTE_DROPI!Y:Y,
MATCH($T619, REPORTE_DROPI!B:B, 0)
),
""
),
""
)
</f>
        <v>4.7</v>
      </c>
      <c r="F619" s="171">
        <v>2.0</v>
      </c>
      <c r="G619" s="122">
        <f t="array" ref="G619">IF(
UPPER(TRIM(CLEAN($O619)))="ENTREGADO",
IFERROR(
INDEX(REPORTE_DROPI!R:R,
MATCH($T619, REPORTE_DROPI!B:B, 0)
),
""
),
""
)
</f>
        <v>25</v>
      </c>
      <c r="H619" s="118" t="s">
        <v>3727</v>
      </c>
      <c r="I619" s="154" t="s">
        <v>3731</v>
      </c>
      <c r="J619" s="121">
        <f t="array" ref="J619">IF(
UPPER(TRIM(CLEAN($O619)))="ENTREGADO",
IFERROR(
INDEX(REPORTE_DROPI!T:T,
MATCH($T619, REPORTE_DROPI!B:B, 0)
),
""
),
""
)
</f>
        <v>4.35</v>
      </c>
      <c r="K619" s="118">
        <f t="array" ref="K619">IFERROR(
INDEX(REPORTE_DROPI!S:S,
MATCH($T619, REPORTE_DROPI!B:B, 0)
),
""
)</f>
        <v>15.95</v>
      </c>
      <c r="L619" s="118" t="str">
        <f>IF(
  O619&lt;&gt;"DEVOLUCION",
  "",
  IF(
    T619="",
    "",
    SUMIF(DEVOLUCION!F:F, T619, DEVOLUCION!D:D)
  )
)
</f>
        <v/>
      </c>
      <c r="M619" s="118" t="s">
        <v>5877</v>
      </c>
      <c r="N619" s="169" t="s">
        <v>7686</v>
      </c>
      <c r="O619" s="118" t="str">
        <f t="array" ref="O619">IFERROR(
VLOOKUP(
TRIM(CLEAN(
INDEX(REPORTE_DROPI!K:K,
MATCH(T619, REPORTE_DROPI!B:B, 0)
))),
{
TRIM(CLEAN(MAPA_ESTADOS!A:A)) ,
MAPA_ESTADOS!B:B
},
2,
FALSE
),
"REVISAR"
)</f>
        <v>ENTREGADO</v>
      </c>
      <c r="P619" s="154" t="s">
        <v>5692</v>
      </c>
      <c r="Q619" s="153">
        <f t="shared" si="1"/>
        <v>0</v>
      </c>
      <c r="R619" s="172"/>
      <c r="S619" s="172"/>
      <c r="T619" s="118">
        <f t="array" ref="T619">IFERROR(
INDEX(REPORTE_DROPI!B:B,
MATCH(
CLEAN(TRIM(C619)),
CLEAN(TRIM(REPORTE_DROPI!E:E)),
0
)
),
""
)
</f>
        <v>4628288</v>
      </c>
      <c r="U619" s="169" t="s">
        <v>7687</v>
      </c>
      <c r="V619" s="166"/>
      <c r="W619" s="18"/>
      <c r="X619" s="18"/>
      <c r="Y619" s="18"/>
      <c r="Z619" s="18"/>
    </row>
    <row r="620" ht="22.5" hidden="1" customHeight="1">
      <c r="A620" s="169">
        <v>619.0</v>
      </c>
      <c r="B620" s="170">
        <v>46079.0</v>
      </c>
      <c r="C620" s="154" t="s">
        <v>7688</v>
      </c>
      <c r="D620" s="118" t="str">
        <f>IFERROR(__xludf.DUMMYFUNCTION("IFERROR( INDEX( FILTER( 'NOMBRE DE PRODUCTOS'!B:B, REGEXMATCH( UPPER( INDEX( REPORTE_DROPI!AC:AC, MATCH(T620, REPORTE_DROPI!B:B, 0) ) ), UPPER('NOMBRE DE PRODUCTOS'!A:A) ) ), 1 ), ""REVISAR"" )"),"FilmPro®")</f>
        <v>FilmPro®</v>
      </c>
      <c r="E620" s="120">
        <f t="array" ref="E620">IF(
UPPER(TRIM(CLEAN($O620)))="ENTREGADO",
IFERROR(
INDEX(REPORTE_DROPI!Y:Y,
MATCH($T620, REPORTE_DROPI!B:B, 0)
),
""
),
""
)
</f>
        <v>7.05</v>
      </c>
      <c r="F620" s="171">
        <v>3.0</v>
      </c>
      <c r="G620" s="122">
        <f t="array" ref="G620">IF(
UPPER(TRIM(CLEAN($O620)))="ENTREGADO",
IFERROR(
INDEX(REPORTE_DROPI!R:R,
MATCH($T620, REPORTE_DROPI!B:B, 0)
),
""
),
""
)
</f>
        <v>30</v>
      </c>
      <c r="H620" s="118" t="s">
        <v>3727</v>
      </c>
      <c r="I620" s="154" t="s">
        <v>3801</v>
      </c>
      <c r="J620" s="121">
        <f t="array" ref="J620">IF(
UPPER(TRIM(CLEAN($O620)))="ENTREGADO",
IFERROR(
INDEX(REPORTE_DROPI!T:T,
MATCH($T620, REPORTE_DROPI!B:B, 0)
),
""
),
""
)
</f>
        <v>6.73</v>
      </c>
      <c r="K620" s="118">
        <f t="array" ref="K620">IFERROR(
INDEX(REPORTE_DROPI!S:S,
MATCH($T620, REPORTE_DROPI!B:B, 0)
),
""
)</f>
        <v>16.22</v>
      </c>
      <c r="L620" s="118" t="str">
        <f>IF(
  O620&lt;&gt;"DEVOLUCION",
  "",
  IF(
    T620="",
    "",
    SUMIF(DEVOLUCION!F:F, T620, DEVOLUCION!D:D)
  )
)
</f>
        <v/>
      </c>
      <c r="M620" s="118" t="s">
        <v>5877</v>
      </c>
      <c r="N620" s="169" t="s">
        <v>7689</v>
      </c>
      <c r="O620" s="118" t="str">
        <f t="array" ref="O620">IFERROR(
VLOOKUP(
TRIM(CLEAN(
INDEX(REPORTE_DROPI!K:K,
MATCH(T620, REPORTE_DROPI!B:B, 0)
))),
{
TRIM(CLEAN(MAPA_ESTADOS!A:A)) ,
MAPA_ESTADOS!B:B
},
2,
FALSE
),
"REVISAR"
)</f>
        <v>ENTREGADO</v>
      </c>
      <c r="P620" s="154" t="s">
        <v>5692</v>
      </c>
      <c r="Q620" s="153">
        <f t="shared" si="1"/>
        <v>0</v>
      </c>
      <c r="R620" s="172"/>
      <c r="S620" s="172"/>
      <c r="T620" s="118">
        <f t="array" ref="T620">IFERROR(
INDEX(REPORTE_DROPI!B:B,
MATCH(
CLEAN(TRIM(C620)),
CLEAN(TRIM(REPORTE_DROPI!E:E)),
0
)
),
""
)
</f>
        <v>4628563</v>
      </c>
      <c r="U620" s="169" t="s">
        <v>7690</v>
      </c>
      <c r="V620" s="166"/>
      <c r="W620" s="18"/>
      <c r="X620" s="18"/>
      <c r="Y620" s="18"/>
      <c r="Z620" s="18"/>
    </row>
    <row r="621" ht="22.5" hidden="1" customHeight="1">
      <c r="A621" s="169">
        <v>620.0</v>
      </c>
      <c r="B621" s="170">
        <v>46079.0</v>
      </c>
      <c r="C621" s="154" t="s">
        <v>7691</v>
      </c>
      <c r="D621" s="118" t="str">
        <f>IFERROR(__xludf.DUMMYFUNCTION("IFERROR( INDEX( FILTER( 'NOMBRE DE PRODUCTOS'!B:B, REGEXMATCH( UPPER( INDEX( REPORTE_DROPI!AC:AC, MATCH(T621, REPORTE_DROPI!B:B, 0) ) ), UPPER('NOMBRE DE PRODUCTOS'!A:A) ) ), 1 ), ""REVISAR"" )"),"FilmPro®")</f>
        <v>FilmPro®</v>
      </c>
      <c r="E621" s="120">
        <f t="array" ref="E621">IF(
UPPER(TRIM(CLEAN($O621)))="ENTREGADO",
IFERROR(
INDEX(REPORTE_DROPI!Y:Y,
MATCH($T621, REPORTE_DROPI!B:B, 0)
),
""
),
""
)
</f>
        <v>7.05</v>
      </c>
      <c r="F621" s="171">
        <v>3.0</v>
      </c>
      <c r="G621" s="122">
        <f t="array" ref="G621">IF(
UPPER(TRIM(CLEAN($O621)))="ENTREGADO",
IFERROR(
INDEX(REPORTE_DROPI!R:R,
MATCH($T621, REPORTE_DROPI!B:B, 0)
),
""
),
""
)
</f>
        <v>30</v>
      </c>
      <c r="H621" s="118" t="s">
        <v>3727</v>
      </c>
      <c r="I621" s="154" t="s">
        <v>3731</v>
      </c>
      <c r="J621" s="121">
        <f t="array" ref="J621">IF(
UPPER(TRIM(CLEAN($O621)))="ENTREGADO",
IFERROR(
INDEX(REPORTE_DROPI!T:T,
MATCH($T621, REPORTE_DROPI!B:B, 0)
),
""
),
""
)
</f>
        <v>4.55</v>
      </c>
      <c r="K621" s="118">
        <f t="array" ref="K621">IFERROR(
INDEX(REPORTE_DROPI!S:S,
MATCH($T621, REPORTE_DROPI!B:B, 0)
),
""
)</f>
        <v>18.4</v>
      </c>
      <c r="L621" s="118" t="str">
        <f>IF(
  O621&lt;&gt;"DEVOLUCION",
  "",
  IF(
    T621="",
    "",
    SUMIF(DEVOLUCION!F:F, T621, DEVOLUCION!D:D)
  )
)
</f>
        <v/>
      </c>
      <c r="M621" s="118" t="s">
        <v>5877</v>
      </c>
      <c r="N621" s="169" t="s">
        <v>7692</v>
      </c>
      <c r="O621" s="118" t="str">
        <f t="array" ref="O621">IFERROR(
VLOOKUP(
TRIM(CLEAN(
INDEX(REPORTE_DROPI!K:K,
MATCH(T621, REPORTE_DROPI!B:B, 0)
))),
{
TRIM(CLEAN(MAPA_ESTADOS!A:A)) ,
MAPA_ESTADOS!B:B
},
2,
FALSE
),
"REVISAR"
)</f>
        <v>ENTREGADO</v>
      </c>
      <c r="P621" s="154" t="s">
        <v>5692</v>
      </c>
      <c r="Q621" s="153">
        <f t="shared" si="1"/>
        <v>0</v>
      </c>
      <c r="R621" s="172"/>
      <c r="S621" s="172"/>
      <c r="T621" s="118">
        <f t="array" ref="T621">IFERROR(
INDEX(REPORTE_DROPI!B:B,
MATCH(
CLEAN(TRIM(C621)),
CLEAN(TRIM(REPORTE_DROPI!E:E)),
0
)
),
""
)
</f>
        <v>4629663</v>
      </c>
      <c r="U621" s="173">
        <v>1.57100202233E11</v>
      </c>
      <c r="V621" s="166"/>
      <c r="W621" s="18"/>
      <c r="X621" s="18"/>
      <c r="Y621" s="18"/>
      <c r="Z621" s="18"/>
    </row>
    <row r="622" ht="22.5" hidden="1" customHeight="1">
      <c r="A622" s="169">
        <v>621.0</v>
      </c>
      <c r="B622" s="170">
        <v>46079.0</v>
      </c>
      <c r="C622" s="154" t="s">
        <v>7693</v>
      </c>
      <c r="D622" s="118" t="str">
        <f>IFERROR(__xludf.DUMMYFUNCTION("IFERROR( INDEX( FILTER( 'NOMBRE DE PRODUCTOS'!B:B, REGEXMATCH( UPPER( INDEX( REPORTE_DROPI!AC:AC, MATCH(T622, REPORTE_DROPI!B:B, 0) ) ), UPPER('NOMBRE DE PRODUCTOS'!A:A) ) ), 1 ), ""REVISAR"" )"),"FilmPro®")</f>
        <v>FilmPro®</v>
      </c>
      <c r="E622" s="120">
        <f t="array" ref="E622">IF(
UPPER(TRIM(CLEAN($O622)))="ENTREGADO",
IFERROR(
INDEX(REPORTE_DROPI!Y:Y,
MATCH($T622, REPORTE_DROPI!B:B, 0)
),
""
),
""
)
</f>
        <v>2.35</v>
      </c>
      <c r="F622" s="171">
        <v>1.0</v>
      </c>
      <c r="G622" s="122">
        <f t="array" ref="G622">IF(
UPPER(TRIM(CLEAN($O622)))="ENTREGADO",
IFERROR(
INDEX(REPORTE_DROPI!R:R,
MATCH($T622, REPORTE_DROPI!B:B, 0)
),
""
),
""
)
</f>
        <v>20</v>
      </c>
      <c r="H622" s="118" t="s">
        <v>3727</v>
      </c>
      <c r="I622" s="154" t="s">
        <v>3759</v>
      </c>
      <c r="J622" s="121">
        <f t="array" ref="J622">IF(
UPPER(TRIM(CLEAN($O622)))="ENTREGADO",
IFERROR(
INDEX(REPORTE_DROPI!T:T,
MATCH($T622, REPORTE_DROPI!B:B, 0)
),
""
),
""
)
</f>
        <v>6.33</v>
      </c>
      <c r="K622" s="118">
        <f t="array" ref="K622">IFERROR(
INDEX(REPORTE_DROPI!S:S,
MATCH($T622, REPORTE_DROPI!B:B, 0)
),
""
)</f>
        <v>11.32</v>
      </c>
      <c r="L622" s="118" t="str">
        <f>IF(
  O622&lt;&gt;"DEVOLUCION",
  "",
  IF(
    T622="",
    "",
    SUMIF(DEVOLUCION!F:F, T622, DEVOLUCION!D:D)
  )
)
</f>
        <v/>
      </c>
      <c r="M622" s="118" t="s">
        <v>5877</v>
      </c>
      <c r="N622" s="169" t="s">
        <v>7694</v>
      </c>
      <c r="O622" s="118" t="str">
        <f t="array" ref="O622">IFERROR(
VLOOKUP(
TRIM(CLEAN(
INDEX(REPORTE_DROPI!K:K,
MATCH(T622, REPORTE_DROPI!B:B, 0)
))),
{
TRIM(CLEAN(MAPA_ESTADOS!A:A)) ,
MAPA_ESTADOS!B:B
},
2,
FALSE
),
"REVISAR"
)</f>
        <v>ENTREGADO</v>
      </c>
      <c r="P622" s="154" t="s">
        <v>5692</v>
      </c>
      <c r="Q622" s="153">
        <f t="shared" si="1"/>
        <v>0</v>
      </c>
      <c r="R622" s="172"/>
      <c r="S622" s="172"/>
      <c r="T622" s="118">
        <f t="array" ref="T622">IFERROR(
INDEX(REPORTE_DROPI!B:B,
MATCH(
CLEAN(TRIM(C622)),
CLEAN(TRIM(REPORTE_DROPI!E:E)),
0
)
),
""
)
</f>
        <v>4630021</v>
      </c>
      <c r="U622" s="173"/>
      <c r="V622" s="166"/>
      <c r="W622" s="18"/>
      <c r="X622" s="18"/>
      <c r="Y622" s="18"/>
      <c r="Z622" s="18"/>
    </row>
    <row r="623" ht="22.5" hidden="1" customHeight="1">
      <c r="A623" s="169">
        <v>622.0</v>
      </c>
      <c r="B623" s="170">
        <v>46079.0</v>
      </c>
      <c r="C623" s="154" t="s">
        <v>7695</v>
      </c>
      <c r="D623" s="118" t="str">
        <f>IFERROR(__xludf.DUMMYFUNCTION("IFERROR( INDEX( FILTER( 'NOMBRE DE PRODUCTOS'!B:B, REGEXMATCH( UPPER( INDEX( REPORTE_DROPI!AC:AC, MATCH(T623, REPORTE_DROPI!B:B, 0) ) ), UPPER('NOMBRE DE PRODUCTOS'!A:A) ) ), 1 ), ""REVISAR"" )"),"FilmPro®")</f>
        <v>FilmPro®</v>
      </c>
      <c r="E623" s="120" t="str">
        <f t="array" ref="E623">IF(
UPPER(TRIM(CLEAN($O623)))="ENTREGADO",
IFERROR(
INDEX(REPORTE_DROPI!Y:Y,
MATCH($T623, REPORTE_DROPI!B:B, 0)
),
""
),
""
)
</f>
        <v/>
      </c>
      <c r="F623" s="171">
        <v>2.0</v>
      </c>
      <c r="G623" s="122" t="str">
        <f t="array" ref="G623">IF(
UPPER(TRIM(CLEAN($O623)))="ENTREGADO",
IFERROR(
INDEX(REPORTE_DROPI!R:R,
MATCH($T623, REPORTE_DROPI!B:B, 0)
),
""
),
""
)
</f>
        <v/>
      </c>
      <c r="H623" s="118" t="s">
        <v>3727</v>
      </c>
      <c r="I623" s="154" t="s">
        <v>3772</v>
      </c>
      <c r="J623" s="121" t="str">
        <f t="array" ref="J623">IF(
UPPER(TRIM(CLEAN($O623)))="ENTREGADO",
IFERROR(
INDEX(REPORTE_DROPI!T:T,
MATCH($T623, REPORTE_DROPI!B:B, 0)
),
""
),
""
)
</f>
        <v/>
      </c>
      <c r="K623" s="118" t="str">
        <f t="array" ref="K623">IFERROR(
INDEX(REPORTE_DROPI!S:S,
MATCH($T623, REPORTE_DROPI!B:B, 0)
),
""
)</f>
        <v/>
      </c>
      <c r="L623" s="118" t="str">
        <f>IF(
  O623&lt;&gt;"DEVOLUCION",
  "",
  IF(
    T623="",
    "",
    SUMIF(DEVOLUCION!F:F, T623, DEVOLUCION!D:D)
  )
)
</f>
        <v/>
      </c>
      <c r="M623" s="118" t="s">
        <v>5877</v>
      </c>
      <c r="N623" s="169" t="s">
        <v>7696</v>
      </c>
      <c r="O623" s="118" t="str">
        <f t="array" ref="O623">IFERROR(
VLOOKUP(
TRIM(CLEAN(
INDEX(REPORTE_DROPI!K:K,
MATCH(T623, REPORTE_DROPI!B:B, 0)
))),
{
TRIM(CLEAN(MAPA_ESTADOS!A:A)) ,
MAPA_ESTADOS!B:B
},
2,
FALSE
),
"REVISAR"
)</f>
        <v>PENDIENTE</v>
      </c>
      <c r="P623" s="154" t="s">
        <v>6534</v>
      </c>
      <c r="Q623" s="153">
        <f t="shared" si="1"/>
        <v>0</v>
      </c>
      <c r="R623" s="172"/>
      <c r="S623" s="172"/>
      <c r="T623" s="118">
        <f t="array" ref="T623">IFERROR(
INDEX(REPORTE_DROPI!B:B,
MATCH(
CLEAN(TRIM(C623)),
CLEAN(TRIM(REPORTE_DROPI!E:E)),
0
)
),
""
)
</f>
        <v>4630770</v>
      </c>
      <c r="U623" s="169" t="s">
        <v>7697</v>
      </c>
      <c r="V623" s="166"/>
      <c r="W623" s="18"/>
      <c r="X623" s="18"/>
      <c r="Y623" s="18"/>
      <c r="Z623" s="18"/>
    </row>
    <row r="624" ht="22.5" hidden="1" customHeight="1">
      <c r="A624" s="169">
        <v>623.0</v>
      </c>
      <c r="B624" s="170">
        <v>46079.0</v>
      </c>
      <c r="C624" s="154" t="s">
        <v>7698</v>
      </c>
      <c r="D624" s="118" t="str">
        <f>IFERROR(__xludf.DUMMYFUNCTION("IFERROR( INDEX( FILTER( 'NOMBRE DE PRODUCTOS'!B:B, REGEXMATCH( UPPER( INDEX( REPORTE_DROPI!AC:AC, MATCH(T624, REPORTE_DROPI!B:B, 0) ) ), UPPER('NOMBRE DE PRODUCTOS'!A:A) ) ), 1 ), ""REVISAR"" )"),"Cuchillo Tazaki™")</f>
        <v>Cuchillo Tazaki™</v>
      </c>
      <c r="E624" s="120">
        <f t="array" ref="E624">IF(
UPPER(TRIM(CLEAN($O624)))="ENTREGADO",
IFERROR(
INDEX(REPORTE_DROPI!Y:Y,
MATCH($T624, REPORTE_DROPI!B:B, 0)
),
""
),
""
)
</f>
        <v>7.5</v>
      </c>
      <c r="F624" s="171">
        <v>2.0</v>
      </c>
      <c r="G624" s="122">
        <f t="array" ref="G624">IF(
UPPER(TRIM(CLEAN($O624)))="ENTREGADO",
IFERROR(
INDEX(REPORTE_DROPI!R:R,
MATCH($T624, REPORTE_DROPI!B:B, 0)
),
""
),
""
)
</f>
        <v>22</v>
      </c>
      <c r="H624" s="118" t="s">
        <v>3727</v>
      </c>
      <c r="I624" s="154" t="s">
        <v>3731</v>
      </c>
      <c r="J624" s="121">
        <f t="array" ref="J624">IF(
UPPER(TRIM(CLEAN($O624)))="ENTREGADO",
IFERROR(
INDEX(REPORTE_DROPI!T:T,
MATCH($T624, REPORTE_DROPI!B:B, 0)
),
""
),
""
)
</f>
        <v>4.23</v>
      </c>
      <c r="K624" s="118">
        <f t="array" ref="K624">IFERROR(
INDEX(REPORTE_DROPI!S:S,
MATCH($T624, REPORTE_DROPI!B:B, 0)
),
""
)</f>
        <v>10.27</v>
      </c>
      <c r="L624" s="118" t="str">
        <f>IF(
  O624&lt;&gt;"DEVOLUCION",
  "",
  IF(
    T624="",
    "",
    SUMIF(DEVOLUCION!F:F, T624, DEVOLUCION!D:D)
  )
)
</f>
        <v/>
      </c>
      <c r="M624" s="118" t="s">
        <v>5877</v>
      </c>
      <c r="N624" s="169" t="s">
        <v>7699</v>
      </c>
      <c r="O624" s="118" t="str">
        <f t="array" ref="O624">IFERROR(
VLOOKUP(
TRIM(CLEAN(
INDEX(REPORTE_DROPI!K:K,
MATCH(T624, REPORTE_DROPI!B:B, 0)
))),
{
TRIM(CLEAN(MAPA_ESTADOS!A:A)) ,
MAPA_ESTADOS!B:B
},
2,
FALSE
),
"REVISAR"
)</f>
        <v>ENTREGADO</v>
      </c>
      <c r="P624" s="154" t="s">
        <v>6481</v>
      </c>
      <c r="Q624" s="153">
        <f t="shared" si="1"/>
        <v>0</v>
      </c>
      <c r="R624" s="172"/>
      <c r="S624" s="172"/>
      <c r="T624" s="118">
        <f t="array" ref="T624">IFERROR(
INDEX(REPORTE_DROPI!B:B,
MATCH(
CLEAN(TRIM(C624)),
CLEAN(TRIM(REPORTE_DROPI!E:E)),
0
)
),
""
)
</f>
        <v>4630856</v>
      </c>
      <c r="U624" s="173">
        <v>1.5710020221E11</v>
      </c>
      <c r="V624" s="166"/>
      <c r="W624" s="18"/>
      <c r="X624" s="18"/>
      <c r="Y624" s="18"/>
      <c r="Z624" s="18"/>
    </row>
    <row r="625" ht="22.5" hidden="1" customHeight="1">
      <c r="A625" s="169">
        <v>624.0</v>
      </c>
      <c r="B625" s="170">
        <v>46079.0</v>
      </c>
      <c r="C625" s="154" t="s">
        <v>7700</v>
      </c>
      <c r="D625" s="118" t="str">
        <f>IFERROR(__xludf.DUMMYFUNCTION("IFERROR( INDEX( FILTER( 'NOMBRE DE PRODUCTOS'!B:B, REGEXMATCH( UPPER( INDEX( REPORTE_DROPI!AC:AC, MATCH(T625, REPORTE_DROPI!B:B, 0) ) ), UPPER('NOMBRE DE PRODUCTOS'!A:A) ) ), 1 ), ""REVISAR"" )"),"Cuchillo Tazaki™")</f>
        <v>Cuchillo Tazaki™</v>
      </c>
      <c r="E625" s="120">
        <f t="array" ref="E625">IF(
UPPER(TRIM(CLEAN($O625)))="ENTREGADO",
IFERROR(
INDEX(REPORTE_DROPI!Y:Y,
MATCH($T625, REPORTE_DROPI!B:B, 0)
),
""
),
""
)
</f>
        <v>11.25</v>
      </c>
      <c r="F625" s="171">
        <v>3.0</v>
      </c>
      <c r="G625" s="122">
        <f t="array" ref="G625">IF(
UPPER(TRIM(CLEAN($O625)))="ENTREGADO",
IFERROR(
INDEX(REPORTE_DROPI!R:R,
MATCH($T625, REPORTE_DROPI!B:B, 0)
),
""
),
""
)
</f>
        <v>27</v>
      </c>
      <c r="H625" s="118" t="s">
        <v>3727</v>
      </c>
      <c r="I625" s="154" t="s">
        <v>3855</v>
      </c>
      <c r="J625" s="121">
        <f t="array" ref="J625">IF(
UPPER(TRIM(CLEAN($O625)))="ENTREGADO",
IFERROR(
INDEX(REPORTE_DROPI!T:T,
MATCH($T625, REPORTE_DROPI!B:B, 0)
),
""
),
""
)
</f>
        <v>6.03</v>
      </c>
      <c r="K625" s="118">
        <f t="array" ref="K625">IFERROR(
INDEX(REPORTE_DROPI!S:S,
MATCH($T625, REPORTE_DROPI!B:B, 0)
),
""
)</f>
        <v>9.72</v>
      </c>
      <c r="L625" s="118" t="str">
        <f>IF(
  O625&lt;&gt;"DEVOLUCION",
  "",
  IF(
    T625="",
    "",
    SUMIF(DEVOLUCION!F:F, T625, DEVOLUCION!D:D)
  )
)
</f>
        <v/>
      </c>
      <c r="M625" s="118" t="s">
        <v>5877</v>
      </c>
      <c r="N625" s="169" t="s">
        <v>7701</v>
      </c>
      <c r="O625" s="118" t="str">
        <f t="array" ref="O625">IFERROR(
VLOOKUP(
TRIM(CLEAN(
INDEX(REPORTE_DROPI!K:K,
MATCH(T625, REPORTE_DROPI!B:B, 0)
))),
{
TRIM(CLEAN(MAPA_ESTADOS!A:A)) ,
MAPA_ESTADOS!B:B
},
2,
FALSE
),
"REVISAR"
)</f>
        <v>ENTREGADO</v>
      </c>
      <c r="P625" s="154" t="s">
        <v>5692</v>
      </c>
      <c r="Q625" s="153">
        <f t="shared" si="1"/>
        <v>0</v>
      </c>
      <c r="R625" s="172"/>
      <c r="S625" s="172"/>
      <c r="T625" s="118">
        <f t="array" ref="T625">IFERROR(
INDEX(REPORTE_DROPI!B:B,
MATCH(
CLEAN(TRIM(C625)),
CLEAN(TRIM(REPORTE_DROPI!E:E)),
0
)
),
""
)
</f>
        <v>4631275</v>
      </c>
      <c r="U625" s="169" t="s">
        <v>7702</v>
      </c>
      <c r="V625" s="166"/>
      <c r="W625" s="18"/>
      <c r="X625" s="18"/>
      <c r="Y625" s="18"/>
      <c r="Z625" s="18"/>
    </row>
    <row r="626" ht="22.5" hidden="1" customHeight="1">
      <c r="A626" s="169">
        <v>625.0</v>
      </c>
      <c r="B626" s="170">
        <v>46079.0</v>
      </c>
      <c r="C626" s="154" t="s">
        <v>7703</v>
      </c>
      <c r="D626" s="118" t="str">
        <f>IFERROR(__xludf.DUMMYFUNCTION("IFERROR( INDEX( FILTER( 'NOMBRE DE PRODUCTOS'!B:B, REGEXMATCH( UPPER( INDEX( REPORTE_DROPI!AC:AC, MATCH(T626, REPORTE_DROPI!B:B, 0) ) ), UPPER('NOMBRE DE PRODUCTOS'!A:A) ) ), 1 ), ""REVISAR"" )"),"Cuchillo Tazaki™")</f>
        <v>Cuchillo Tazaki™</v>
      </c>
      <c r="E626" s="120">
        <f t="array" ref="E626">IF(
UPPER(TRIM(CLEAN($O626)))="ENTREGADO",
IFERROR(
INDEX(REPORTE_DROPI!Y:Y,
MATCH($T626, REPORTE_DROPI!B:B, 0)
),
""
),
""
)
</f>
        <v>7.5</v>
      </c>
      <c r="F626" s="171">
        <v>2.0</v>
      </c>
      <c r="G626" s="122">
        <f t="array" ref="G626">IF(
UPPER(TRIM(CLEAN($O626)))="ENTREGADO",
IFERROR(
INDEX(REPORTE_DROPI!R:R,
MATCH($T626, REPORTE_DROPI!B:B, 0)
),
""
),
""
)
</f>
        <v>22</v>
      </c>
      <c r="H626" s="118" t="s">
        <v>3727</v>
      </c>
      <c r="I626" s="154" t="s">
        <v>3740</v>
      </c>
      <c r="J626" s="121">
        <f t="array" ref="J626">IF(
UPPER(TRIM(CLEAN($O626)))="ENTREGADO",
IFERROR(
INDEX(REPORTE_DROPI!T:T,
MATCH($T626, REPORTE_DROPI!B:B, 0)
),
""
),
""
)
</f>
        <v>5.84</v>
      </c>
      <c r="K626" s="118">
        <f t="array" ref="K626">IFERROR(
INDEX(REPORTE_DROPI!S:S,
MATCH($T626, REPORTE_DROPI!B:B, 0)
),
""
)</f>
        <v>8.66</v>
      </c>
      <c r="L626" s="118" t="str">
        <f>IF(
  O626&lt;&gt;"DEVOLUCION",
  "",
  IF(
    T626="",
    "",
    SUMIF(DEVOLUCION!F:F, T626, DEVOLUCION!D:D)
  )
)
</f>
        <v/>
      </c>
      <c r="M626" s="118" t="s">
        <v>5877</v>
      </c>
      <c r="N626" s="169" t="s">
        <v>7704</v>
      </c>
      <c r="O626" s="118" t="str">
        <f t="array" ref="O626">IFERROR(
VLOOKUP(
TRIM(CLEAN(
INDEX(REPORTE_DROPI!K:K,
MATCH(T626, REPORTE_DROPI!B:B, 0)
))),
{
TRIM(CLEAN(MAPA_ESTADOS!A:A)) ,
MAPA_ESTADOS!B:B
},
2,
FALSE
),
"REVISAR"
)</f>
        <v>ENTREGADO</v>
      </c>
      <c r="P626" s="154" t="s">
        <v>7705</v>
      </c>
      <c r="Q626" s="153">
        <f t="shared" si="1"/>
        <v>0</v>
      </c>
      <c r="R626" s="172"/>
      <c r="S626" s="172"/>
      <c r="T626" s="118">
        <f t="array" ref="T626">IFERROR(
INDEX(REPORTE_DROPI!B:B,
MATCH(
CLEAN(TRIM(C626)),
CLEAN(TRIM(REPORTE_DROPI!E:E)),
0
)
),
""
)
</f>
        <v>4631597</v>
      </c>
      <c r="U626" s="169" t="s">
        <v>7706</v>
      </c>
      <c r="V626" s="166"/>
      <c r="W626" s="18"/>
      <c r="X626" s="18"/>
      <c r="Y626" s="18"/>
      <c r="Z626" s="18"/>
    </row>
    <row r="627" ht="22.5" hidden="1" customHeight="1">
      <c r="A627" s="169">
        <v>626.0</v>
      </c>
      <c r="B627" s="170">
        <v>46079.0</v>
      </c>
      <c r="C627" s="154" t="s">
        <v>7707</v>
      </c>
      <c r="D627" s="118" t="str">
        <f>IFERROR(__xludf.DUMMYFUNCTION("IFERROR( INDEX( FILTER( 'NOMBRE DE PRODUCTOS'!B:B, REGEXMATCH( UPPER( INDEX( REPORTE_DROPI!AC:AC, MATCH(T627, REPORTE_DROPI!B:B, 0) ) ), UPPER('NOMBRE DE PRODUCTOS'!A:A) ) ), 1 ), ""REVISAR"" )"),"FilmPro®")</f>
        <v>FilmPro®</v>
      </c>
      <c r="E627" s="120">
        <f t="array" ref="E627">IF(
UPPER(TRIM(CLEAN($O627)))="ENTREGADO",
IFERROR(
INDEX(REPORTE_DROPI!Y:Y,
MATCH($T627, REPORTE_DROPI!B:B, 0)
),
""
),
""
)
</f>
        <v>2.35</v>
      </c>
      <c r="F627" s="171">
        <v>1.0</v>
      </c>
      <c r="G627" s="122">
        <f t="array" ref="G627">IF(
UPPER(TRIM(CLEAN($O627)))="ENTREGADO",
IFERROR(
INDEX(REPORTE_DROPI!R:R,
MATCH($T627, REPORTE_DROPI!B:B, 0)
),
""
),
""
)
</f>
        <v>20</v>
      </c>
      <c r="H627" s="118" t="s">
        <v>3727</v>
      </c>
      <c r="I627" s="154" t="s">
        <v>3731</v>
      </c>
      <c r="J627" s="121">
        <f t="array" ref="J627">IF(
UPPER(TRIM(CLEAN($O627)))="ENTREGADO",
IFERROR(
INDEX(REPORTE_DROPI!T:T,
MATCH($T627, REPORTE_DROPI!B:B, 0)
),
""
),
""
)
</f>
        <v>5.64</v>
      </c>
      <c r="K627" s="118">
        <f t="array" ref="K627">IFERROR(
INDEX(REPORTE_DROPI!S:S,
MATCH($T627, REPORTE_DROPI!B:B, 0)
),
""
)</f>
        <v>12.01</v>
      </c>
      <c r="L627" s="118" t="str">
        <f>IF(
  O627&lt;&gt;"DEVOLUCION",
  "",
  IF(
    T627="",
    "",
    SUMIF(DEVOLUCION!F:F, T627, DEVOLUCION!D:D)
  )
)
</f>
        <v/>
      </c>
      <c r="M627" s="118" t="s">
        <v>5877</v>
      </c>
      <c r="N627" s="169" t="s">
        <v>7708</v>
      </c>
      <c r="O627" s="118" t="str">
        <f t="array" ref="O627">IFERROR(
VLOOKUP(
TRIM(CLEAN(
INDEX(REPORTE_DROPI!K:K,
MATCH(T627, REPORTE_DROPI!B:B, 0)
))),
{
TRIM(CLEAN(MAPA_ESTADOS!A:A)) ,
MAPA_ESTADOS!B:B
},
2,
FALSE
),
"REVISAR"
)</f>
        <v>ENTREGADO</v>
      </c>
      <c r="P627" s="154" t="s">
        <v>7705</v>
      </c>
      <c r="Q627" s="153">
        <f t="shared" si="1"/>
        <v>0</v>
      </c>
      <c r="R627" s="172"/>
      <c r="S627" s="172"/>
      <c r="T627" s="118">
        <v>4645977.0</v>
      </c>
      <c r="U627" s="169" t="s">
        <v>7709</v>
      </c>
      <c r="V627" s="166"/>
      <c r="W627" s="18"/>
      <c r="X627" s="18"/>
      <c r="Y627" s="18"/>
      <c r="Z627" s="18"/>
    </row>
    <row r="628" ht="22.5" hidden="1" customHeight="1">
      <c r="A628" s="169">
        <v>627.0</v>
      </c>
      <c r="B628" s="170">
        <v>46079.0</v>
      </c>
      <c r="C628" s="154" t="s">
        <v>7710</v>
      </c>
      <c r="D628" s="118" t="str">
        <f>IFERROR(__xludf.DUMMYFUNCTION("IFERROR( INDEX( FILTER( 'NOMBRE DE PRODUCTOS'!B:B, REGEXMATCH( UPPER( INDEX( REPORTE_DROPI!AC:AC, MATCH(T628, REPORTE_DROPI!B:B, 0) ) ), UPPER('NOMBRE DE PRODUCTOS'!A:A) ) ), 1 ), ""REVISAR"" )"),"Cuchillo Tazaki™")</f>
        <v>Cuchillo Tazaki™</v>
      </c>
      <c r="E628" s="120" t="str">
        <f t="array" ref="E628">IF(
UPPER(TRIM(CLEAN($O628)))="ENTREGADO",
IFERROR(
INDEX(REPORTE_DROPI!Y:Y,
MATCH($T628, REPORTE_DROPI!B:B, 0)
),
""
),
""
)
</f>
        <v/>
      </c>
      <c r="F628" s="171">
        <v>3.0</v>
      </c>
      <c r="G628" s="122" t="str">
        <f t="array" ref="G628">IF(
UPPER(TRIM(CLEAN($O628)))="ENTREGADO",
IFERROR(
INDEX(REPORTE_DROPI!R:R,
MATCH($T628, REPORTE_DROPI!B:B, 0)
),
""
),
""
)
</f>
        <v/>
      </c>
      <c r="H628" s="118" t="s">
        <v>3727</v>
      </c>
      <c r="I628" s="154" t="s">
        <v>3740</v>
      </c>
      <c r="J628" s="121" t="str">
        <f t="array" ref="J628">IF(
UPPER(TRIM(CLEAN($O628)))="ENTREGADO",
IFERROR(
INDEX(REPORTE_DROPI!T:T,
MATCH($T628, REPORTE_DROPI!B:B, 0)
),
""
),
""
)
</f>
        <v/>
      </c>
      <c r="K628" s="118" t="str">
        <f t="array" ref="K628">IFERROR(
INDEX(REPORTE_DROPI!S:S,
MATCH($T628, REPORTE_DROPI!B:B, 0)
),
""
)</f>
        <v/>
      </c>
      <c r="L628" s="118">
        <f>IF(
  O628&lt;&gt;"DEVOLUCION",
  "",
  IF(
    T628="",
    "",
    SUMIF(DEVOLUCION!F:F, T628, DEVOLUCION!D:D)
  )
)
</f>
        <v>0</v>
      </c>
      <c r="M628" s="118" t="s">
        <v>5877</v>
      </c>
      <c r="N628" s="169" t="s">
        <v>7711</v>
      </c>
      <c r="O628" s="118" t="str">
        <f t="array" ref="O628">IFERROR(
VLOOKUP(
TRIM(CLEAN(
INDEX(REPORTE_DROPI!K:K,
MATCH(T628, REPORTE_DROPI!B:B, 0)
))),
{
TRIM(CLEAN(MAPA_ESTADOS!A:A)) ,
MAPA_ESTADOS!B:B
},
2,
FALSE
),
"REVISAR"
)</f>
        <v>DEVOLUCION</v>
      </c>
      <c r="P628" s="154" t="s">
        <v>7705</v>
      </c>
      <c r="Q628" s="153">
        <f t="shared" si="1"/>
        <v>0</v>
      </c>
      <c r="R628" s="172"/>
      <c r="S628" s="172"/>
      <c r="T628" s="118">
        <f t="array" ref="T628">IFERROR(
INDEX(REPORTE_DROPI!B:B,
MATCH(
CLEAN(TRIM(C628)),
CLEAN(TRIM(REPORTE_DROPI!E:E)),
0
)
),
""
)
</f>
        <v>4632716</v>
      </c>
      <c r="U628" s="169" t="s">
        <v>7712</v>
      </c>
      <c r="V628" s="166"/>
      <c r="W628" s="18"/>
      <c r="X628" s="18"/>
      <c r="Y628" s="18"/>
      <c r="Z628" s="18"/>
    </row>
    <row r="629" ht="22.5" hidden="1" customHeight="1">
      <c r="A629" s="169">
        <v>628.0</v>
      </c>
      <c r="B629" s="170">
        <v>46079.0</v>
      </c>
      <c r="C629" s="154" t="s">
        <v>7713</v>
      </c>
      <c r="D629" s="118" t="str">
        <f>IFERROR(__xludf.DUMMYFUNCTION("IFERROR( INDEX( FILTER( 'NOMBRE DE PRODUCTOS'!B:B, REGEXMATCH( UPPER( INDEX( REPORTE_DROPI!AC:AC, MATCH(T629, REPORTE_DROPI!B:B, 0) ) ), UPPER('NOMBRE DE PRODUCTOS'!A:A) ) ), 1 ), ""REVISAR"" )"),"FilmPro®")</f>
        <v>FilmPro®</v>
      </c>
      <c r="E629" s="120">
        <f t="array" ref="E629">IF(
UPPER(TRIM(CLEAN($O629)))="ENTREGADO",
IFERROR(
INDEX(REPORTE_DROPI!Y:Y,
MATCH($T629, REPORTE_DROPI!B:B, 0)
),
""
),
""
)
</f>
        <v>2.35</v>
      </c>
      <c r="F629" s="171">
        <v>1.0</v>
      </c>
      <c r="G629" s="122">
        <f t="array" ref="G629">IF(
UPPER(TRIM(CLEAN($O629)))="ENTREGADO",
IFERROR(
INDEX(REPORTE_DROPI!R:R,
MATCH($T629, REPORTE_DROPI!B:B, 0)
),
""
),
""
)
</f>
        <v>20</v>
      </c>
      <c r="H629" s="118" t="s">
        <v>3727</v>
      </c>
      <c r="I629" s="154" t="s">
        <v>3951</v>
      </c>
      <c r="J629" s="121">
        <f t="array" ref="J629">IF(
UPPER(TRIM(CLEAN($O629)))="ENTREGADO",
IFERROR(
INDEX(REPORTE_DROPI!T:T,
MATCH($T629, REPORTE_DROPI!B:B, 0)
),
""
),
""
)
</f>
        <v>5.76</v>
      </c>
      <c r="K629" s="118">
        <f t="array" ref="K629">IFERROR(
INDEX(REPORTE_DROPI!S:S,
MATCH($T629, REPORTE_DROPI!B:B, 0)
),
""
)</f>
        <v>11.89</v>
      </c>
      <c r="L629" s="118" t="str">
        <f>IF(
  O629&lt;&gt;"DEVOLUCION",
  "",
  IF(
    T629="",
    "",
    SUMIF(DEVOLUCION!F:F, T629, DEVOLUCION!D:D)
  )
)
</f>
        <v/>
      </c>
      <c r="M629" s="118" t="s">
        <v>5877</v>
      </c>
      <c r="N629" s="169" t="s">
        <v>7714</v>
      </c>
      <c r="O629" s="118" t="str">
        <f t="array" ref="O629">IFERROR(
VLOOKUP(
TRIM(CLEAN(
INDEX(REPORTE_DROPI!K:K,
MATCH(T629, REPORTE_DROPI!B:B, 0)
))),
{
TRIM(CLEAN(MAPA_ESTADOS!A:A)) ,
MAPA_ESTADOS!B:B
},
2,
FALSE
),
"REVISAR"
)</f>
        <v>ENTREGADO</v>
      </c>
      <c r="P629" s="154" t="s">
        <v>7715</v>
      </c>
      <c r="Q629" s="153">
        <f t="shared" si="1"/>
        <v>0</v>
      </c>
      <c r="R629" s="172"/>
      <c r="S629" s="172"/>
      <c r="T629" s="118">
        <f t="array" ref="T629">IFERROR(
INDEX(REPORTE_DROPI!B:B,
MATCH(
CLEAN(TRIM(C629)),
CLEAN(TRIM(REPORTE_DROPI!E:E)),
0
)
),
""
)
</f>
        <v>4642793</v>
      </c>
      <c r="U629" s="169" t="s">
        <v>7716</v>
      </c>
      <c r="V629" s="166"/>
      <c r="W629" s="18"/>
      <c r="X629" s="18"/>
      <c r="Y629" s="18"/>
      <c r="Z629" s="18"/>
    </row>
    <row r="630" ht="22.5" hidden="1" customHeight="1">
      <c r="A630" s="169">
        <v>629.0</v>
      </c>
      <c r="B630" s="170">
        <v>46079.0</v>
      </c>
      <c r="C630" s="154" t="s">
        <v>7717</v>
      </c>
      <c r="D630" s="118" t="str">
        <f>IFERROR(__xludf.DUMMYFUNCTION("IFERROR( INDEX( FILTER( 'NOMBRE DE PRODUCTOS'!B:B, REGEXMATCH( UPPER( INDEX( REPORTE_DROPI!AC:AC, MATCH(T630, REPORTE_DROPI!B:B, 0) ) ), UPPER('NOMBRE DE PRODUCTOS'!A:A) ) ), 1 ), ""REVISAR"" )"),"Cuchillo Tazaki™")</f>
        <v>Cuchillo Tazaki™</v>
      </c>
      <c r="E630" s="120" t="str">
        <f t="array" ref="E630">IF(
UPPER(TRIM(CLEAN($O630)))="ENTREGADO",
IFERROR(
INDEX(REPORTE_DROPI!Y:Y,
MATCH($T630, REPORTE_DROPI!B:B, 0)
),
""
),
""
)
</f>
        <v/>
      </c>
      <c r="F630" s="171">
        <v>2.0</v>
      </c>
      <c r="G630" s="122" t="str">
        <f t="array" ref="G630">IF(
UPPER(TRIM(CLEAN($O630)))="ENTREGADO",
IFERROR(
INDEX(REPORTE_DROPI!R:R,
MATCH($T630, REPORTE_DROPI!B:B, 0)
),
""
),
""
)
</f>
        <v/>
      </c>
      <c r="H630" s="118" t="s">
        <v>3727</v>
      </c>
      <c r="I630" s="154" t="s">
        <v>3882</v>
      </c>
      <c r="J630" s="121" t="str">
        <f t="array" ref="J630">IF(
UPPER(TRIM(CLEAN($O630)))="ENTREGADO",
IFERROR(
INDEX(REPORTE_DROPI!T:T,
MATCH($T630, REPORTE_DROPI!B:B, 0)
),
""
),
""
)
</f>
        <v/>
      </c>
      <c r="K630" s="118" t="str">
        <f t="array" ref="K630">IFERROR(
INDEX(REPORTE_DROPI!S:S,
MATCH($T630, REPORTE_DROPI!B:B, 0)
),
""
)</f>
        <v/>
      </c>
      <c r="L630" s="118" t="str">
        <f>IF(
  O630&lt;&gt;"DEVOLUCION",
  "",
  IF(
    T630="",
    "",
    SUMIF(DEVOLUCION!F:F, T630, DEVOLUCION!D:D)
  )
)
</f>
        <v/>
      </c>
      <c r="M630" s="118" t="s">
        <v>5877</v>
      </c>
      <c r="N630" s="169" t="s">
        <v>7718</v>
      </c>
      <c r="O630" s="118" t="str">
        <f t="array" ref="O630">IFERROR(
VLOOKUP(
TRIM(CLEAN(
INDEX(REPORTE_DROPI!K:K,
MATCH(T630, REPORTE_DROPI!B:B, 0)
))),
{
TRIM(CLEAN(MAPA_ESTADOS!A:A)) ,
MAPA_ESTADOS!B:B
},
2,
FALSE
),
"REVISAR"
)</f>
        <v>PENDIENTE</v>
      </c>
      <c r="P630" s="154" t="s">
        <v>7719</v>
      </c>
      <c r="Q630" s="153">
        <f t="shared" si="1"/>
        <v>0</v>
      </c>
      <c r="R630" s="172"/>
      <c r="S630" s="172"/>
      <c r="T630" s="118">
        <f t="array" ref="T630">IFERROR(
INDEX(REPORTE_DROPI!B:B,
MATCH(
CLEAN(TRIM(C630)),
CLEAN(TRIM(REPORTE_DROPI!E:E)),
0
)
),
""
)
</f>
        <v>4633193</v>
      </c>
      <c r="U630" s="169" t="s">
        <v>7720</v>
      </c>
      <c r="V630" s="166"/>
      <c r="W630" s="18"/>
      <c r="X630" s="18"/>
      <c r="Y630" s="18"/>
      <c r="Z630" s="18"/>
    </row>
    <row r="631" ht="22.5" hidden="1" customHeight="1">
      <c r="A631" s="169">
        <v>630.0</v>
      </c>
      <c r="B631" s="170">
        <v>46079.0</v>
      </c>
      <c r="C631" s="154" t="s">
        <v>7721</v>
      </c>
      <c r="D631" s="118" t="str">
        <f>IFERROR(__xludf.DUMMYFUNCTION("IFERROR( INDEX( FILTER( 'NOMBRE DE PRODUCTOS'!B:B, REGEXMATCH( UPPER( INDEX( REPORTE_DROPI!AC:AC, MATCH(T631, REPORTE_DROPI!B:B, 0) ) ), UPPER('NOMBRE DE PRODUCTOS'!A:A) ) ), 1 ), ""REVISAR"" )"),"Cuchillo Tazaki™")</f>
        <v>Cuchillo Tazaki™</v>
      </c>
      <c r="E631" s="120" t="str">
        <f t="array" ref="E631">IF(
UPPER(TRIM(CLEAN($O631)))="ENTREGADO",
IFERROR(
INDEX(REPORTE_DROPI!Y:Y,
MATCH($T631, REPORTE_DROPI!B:B, 0)
),
""
),
""
)
</f>
        <v/>
      </c>
      <c r="F631" s="171">
        <v>2.0</v>
      </c>
      <c r="G631" s="122" t="str">
        <f t="array" ref="G631">IF(
UPPER(TRIM(CLEAN($O631)))="ENTREGADO",
IFERROR(
INDEX(REPORTE_DROPI!R:R,
MATCH($T631, REPORTE_DROPI!B:B, 0)
),
""
),
""
)
</f>
        <v/>
      </c>
      <c r="H631" s="118" t="s">
        <v>3727</v>
      </c>
      <c r="I631" s="154" t="s">
        <v>3731</v>
      </c>
      <c r="J631" s="121" t="str">
        <f t="array" ref="J631">IF(
UPPER(TRIM(CLEAN($O631)))="ENTREGADO",
IFERROR(
INDEX(REPORTE_DROPI!T:T,
MATCH($T631, REPORTE_DROPI!B:B, 0)
),
""
),
""
)
</f>
        <v/>
      </c>
      <c r="K631" s="118" t="str">
        <f t="array" ref="K631">IFERROR(
INDEX(REPORTE_DROPI!S:S,
MATCH($T631, REPORTE_DROPI!B:B, 0)
),
""
)</f>
        <v/>
      </c>
      <c r="L631" s="118">
        <f>IF(
  O631&lt;&gt;"DEVOLUCION",
  "",
  IF(
    T631="",
    "",
    SUMIF(DEVOLUCION!F:F, T631, DEVOLUCION!D:D)
  )
)
</f>
        <v>0</v>
      </c>
      <c r="M631" s="118" t="s">
        <v>5877</v>
      </c>
      <c r="N631" s="169" t="s">
        <v>7722</v>
      </c>
      <c r="O631" s="118" t="str">
        <f t="array" ref="O631">IFERROR(
VLOOKUP(
TRIM(CLEAN(
INDEX(REPORTE_DROPI!K:K,
MATCH(T631, REPORTE_DROPI!B:B, 0)
))),
{
TRIM(CLEAN(MAPA_ESTADOS!A:A)) ,
MAPA_ESTADOS!B:B
},
2,
FALSE
),
"REVISAR"
)</f>
        <v>DEVOLUCION</v>
      </c>
      <c r="P631" s="154" t="s">
        <v>7705</v>
      </c>
      <c r="Q631" s="153">
        <f t="shared" si="1"/>
        <v>0</v>
      </c>
      <c r="R631" s="172"/>
      <c r="S631" s="172"/>
      <c r="T631" s="118">
        <f t="array" ref="T631">IFERROR(
INDEX(REPORTE_DROPI!B:B,
MATCH(
CLEAN(TRIM(C631)),
CLEAN(TRIM(REPORTE_DROPI!E:E)),
0
)
),
""
)
</f>
        <v>4633296</v>
      </c>
      <c r="U631" s="169" t="s">
        <v>7723</v>
      </c>
      <c r="V631" s="166"/>
      <c r="W631" s="18"/>
      <c r="X631" s="18"/>
      <c r="Y631" s="18"/>
      <c r="Z631" s="18"/>
    </row>
    <row r="632" ht="22.5" hidden="1" customHeight="1">
      <c r="A632" s="169">
        <v>631.0</v>
      </c>
      <c r="B632" s="170">
        <v>46079.0</v>
      </c>
      <c r="C632" s="154" t="s">
        <v>4585</v>
      </c>
      <c r="D632" s="118" t="str">
        <f>IFERROR(__xludf.DUMMYFUNCTION("IFERROR( INDEX( FILTER( 'NOMBRE DE PRODUCTOS'!B:B, REGEXMATCH( UPPER( INDEX( REPORTE_DROPI!AC:AC, MATCH(T632, REPORTE_DROPI!B:B, 0) ) ), UPPER('NOMBRE DE PRODUCTOS'!A:A) ) ), 1 ), ""REVISAR"" )"),"FilmPro®")</f>
        <v>FilmPro®</v>
      </c>
      <c r="E632" s="120">
        <f t="array" ref="E632">IF(
UPPER(TRIM(CLEAN($O632)))="ENTREGADO",
IFERROR(
INDEX(REPORTE_DROPI!Y:Y,
MATCH($T632, REPORTE_DROPI!B:B, 0)
),
""
),
""
)
</f>
        <v>2.35</v>
      </c>
      <c r="F632" s="171">
        <v>1.0</v>
      </c>
      <c r="G632" s="122">
        <f t="array" ref="G632">IF(
UPPER(TRIM(CLEAN($O632)))="ENTREGADO",
IFERROR(
INDEX(REPORTE_DROPI!R:R,
MATCH($T632, REPORTE_DROPI!B:B, 0)
),
""
),
""
)
</f>
        <v>20</v>
      </c>
      <c r="H632" s="118" t="s">
        <v>3727</v>
      </c>
      <c r="I632" s="154" t="s">
        <v>3731</v>
      </c>
      <c r="J632" s="121">
        <f t="array" ref="J632">IF(
UPPER(TRIM(CLEAN($O632)))="ENTREGADO",
IFERROR(
INDEX(REPORTE_DROPI!T:T,
MATCH($T632, REPORTE_DROPI!B:B, 0)
),
""
),
""
)
</f>
        <v>4.15</v>
      </c>
      <c r="K632" s="118">
        <f t="array" ref="K632">IFERROR(
INDEX(REPORTE_DROPI!S:S,
MATCH($T632, REPORTE_DROPI!B:B, 0)
),
""
)</f>
        <v>13.5</v>
      </c>
      <c r="L632" s="118" t="str">
        <f>IF(
  O632&lt;&gt;"DEVOLUCION",
  "",
  IF(
    T632="",
    "",
    SUMIF(DEVOLUCION!F:F, T632, DEVOLUCION!D:D)
  )
)
</f>
        <v/>
      </c>
      <c r="M632" s="118" t="s">
        <v>5877</v>
      </c>
      <c r="N632" s="169" t="s">
        <v>7724</v>
      </c>
      <c r="O632" s="118" t="str">
        <f t="array" ref="O632">IFERROR(
VLOOKUP(
TRIM(CLEAN(
INDEX(REPORTE_DROPI!K:K,
MATCH(T632, REPORTE_DROPI!B:B, 0)
))),
{
TRIM(CLEAN(MAPA_ESTADOS!A:A)) ,
MAPA_ESTADOS!B:B
},
2,
FALSE
),
"REVISAR"
)</f>
        <v>ENTREGADO</v>
      </c>
      <c r="P632" s="154" t="s">
        <v>7705</v>
      </c>
      <c r="Q632" s="153">
        <f t="shared" si="1"/>
        <v>0</v>
      </c>
      <c r="R632" s="172"/>
      <c r="S632" s="172"/>
      <c r="T632" s="118">
        <f t="array" ref="T632">IFERROR(
INDEX(REPORTE_DROPI!B:B,
MATCH(
CLEAN(TRIM(C632)),
CLEAN(TRIM(REPORTE_DROPI!E:E)),
0
)
),
""
)
</f>
        <v>4633429</v>
      </c>
      <c r="U632" s="169" t="s">
        <v>7441</v>
      </c>
      <c r="V632" s="166"/>
      <c r="W632" s="18"/>
      <c r="X632" s="18"/>
      <c r="Y632" s="18"/>
      <c r="Z632" s="18"/>
    </row>
    <row r="633" ht="22.5" hidden="1" customHeight="1">
      <c r="A633" s="169">
        <v>632.0</v>
      </c>
      <c r="B633" s="170">
        <v>46079.0</v>
      </c>
      <c r="C633" s="154" t="s">
        <v>7725</v>
      </c>
      <c r="D633" s="118" t="str">
        <f>IFERROR(__xludf.DUMMYFUNCTION("IFERROR( INDEX( FILTER( 'NOMBRE DE PRODUCTOS'!B:B, REGEXMATCH( UPPER( INDEX( REPORTE_DROPI!AC:AC, MATCH(T633, REPORTE_DROPI!B:B, 0) ) ), UPPER('NOMBRE DE PRODUCTOS'!A:A) ) ), 1 ), ""REVISAR"" )"),"FilmPro®")</f>
        <v>FilmPro®</v>
      </c>
      <c r="E633" s="120">
        <f t="array" ref="E633">IF(
UPPER(TRIM(CLEAN($O633)))="ENTREGADO",
IFERROR(
INDEX(REPORTE_DROPI!Y:Y,
MATCH($T633, REPORTE_DROPI!B:B, 0)
),
""
),
""
)
</f>
        <v>2.35</v>
      </c>
      <c r="F633" s="171">
        <v>1.0</v>
      </c>
      <c r="G633" s="122">
        <f t="array" ref="G633">IF(
UPPER(TRIM(CLEAN($O633)))="ENTREGADO",
IFERROR(
INDEX(REPORTE_DROPI!R:R,
MATCH($T633, REPORTE_DROPI!B:B, 0)
),
""
),
""
)
</f>
        <v>20</v>
      </c>
      <c r="H633" s="118" t="s">
        <v>3727</v>
      </c>
      <c r="I633" s="154" t="s">
        <v>3731</v>
      </c>
      <c r="J633" s="121">
        <f t="array" ref="J633">IF(
UPPER(TRIM(CLEAN($O633)))="ENTREGADO",
IFERROR(
INDEX(REPORTE_DROPI!T:T,
MATCH($T633, REPORTE_DROPI!B:B, 0)
),
""
),
""
)
</f>
        <v>5.64</v>
      </c>
      <c r="K633" s="118">
        <f t="array" ref="K633">IFERROR(
INDEX(REPORTE_DROPI!S:S,
MATCH($T633, REPORTE_DROPI!B:B, 0)
),
""
)</f>
        <v>12.01</v>
      </c>
      <c r="L633" s="118" t="str">
        <f>IF(
  O633&lt;&gt;"DEVOLUCION",
  "",
  IF(
    T633="",
    "",
    SUMIF(DEVOLUCION!F:F, T633, DEVOLUCION!D:D)
  )
)
</f>
        <v/>
      </c>
      <c r="M633" s="118" t="s">
        <v>5877</v>
      </c>
      <c r="N633" s="169" t="s">
        <v>7726</v>
      </c>
      <c r="O633" s="118" t="str">
        <f t="array" ref="O633">IFERROR(
VLOOKUP(
TRIM(CLEAN(
INDEX(REPORTE_DROPI!K:K,
MATCH(T633, REPORTE_DROPI!B:B, 0)
))),
{
TRIM(CLEAN(MAPA_ESTADOS!A:A)) ,
MAPA_ESTADOS!B:B
},
2,
FALSE
),
"REVISAR"
)</f>
        <v>ENTREGADO</v>
      </c>
      <c r="P633" s="154" t="s">
        <v>7705</v>
      </c>
      <c r="Q633" s="153">
        <f t="shared" si="1"/>
        <v>0</v>
      </c>
      <c r="R633" s="172"/>
      <c r="S633" s="172"/>
      <c r="T633" s="118">
        <f t="array" ref="T633">IFERROR(
INDEX(REPORTE_DROPI!B:B,
MATCH(
CLEAN(TRIM(C633)),
CLEAN(TRIM(REPORTE_DROPI!E:E)),
0
)
),
""
)
</f>
        <v>4648836</v>
      </c>
      <c r="U633" s="169" t="s">
        <v>7727</v>
      </c>
      <c r="V633" s="166"/>
      <c r="W633" s="18"/>
      <c r="X633" s="18"/>
      <c r="Y633" s="18"/>
      <c r="Z633" s="18"/>
    </row>
    <row r="634" ht="22.5" hidden="1" customHeight="1">
      <c r="A634" s="169">
        <v>633.0</v>
      </c>
      <c r="B634" s="170">
        <v>46079.0</v>
      </c>
      <c r="C634" s="154" t="s">
        <v>7728</v>
      </c>
      <c r="D634" s="118" t="str">
        <f>IFERROR(__xludf.DUMMYFUNCTION("IFERROR( INDEX( FILTER( 'NOMBRE DE PRODUCTOS'!B:B, REGEXMATCH( UPPER( INDEX( REPORTE_DROPI!AC:AC, MATCH(T634, REPORTE_DROPI!B:B, 0) ) ), UPPER('NOMBRE DE PRODUCTOS'!A:A) ) ), 1 ), ""REVISAR"" )"),"Cuchillo Tazaki™")</f>
        <v>Cuchillo Tazaki™</v>
      </c>
      <c r="E634" s="120" t="str">
        <f t="array" ref="E634">IF(
UPPER(TRIM(CLEAN($O634)))="ENTREGADO",
IFERROR(
INDEX(REPORTE_DROPI!Y:Y,
MATCH($T634, REPORTE_DROPI!B:B, 0)
),
""
),
""
)
</f>
        <v/>
      </c>
      <c r="F634" s="171">
        <v>4.0</v>
      </c>
      <c r="G634" s="122" t="str">
        <f t="array" ref="G634">IF(
UPPER(TRIM(CLEAN($O634)))="ENTREGADO",
IFERROR(
INDEX(REPORTE_DROPI!R:R,
MATCH($T634, REPORTE_DROPI!B:B, 0)
),
""
),
""
)
</f>
        <v/>
      </c>
      <c r="H634" s="118" t="s">
        <v>3727</v>
      </c>
      <c r="I634" s="154" t="s">
        <v>3864</v>
      </c>
      <c r="J634" s="121" t="str">
        <f t="array" ref="J634">IF(
UPPER(TRIM(CLEAN($O634)))="ENTREGADO",
IFERROR(
INDEX(REPORTE_DROPI!T:T,
MATCH($T634, REPORTE_DROPI!B:B, 0)
),
""
),
""
)
</f>
        <v/>
      </c>
      <c r="K634" s="118" t="str">
        <f t="array" ref="K634">IFERROR(
INDEX(REPORTE_DROPI!S:S,
MATCH($T634, REPORTE_DROPI!B:B, 0)
),
""
)</f>
        <v/>
      </c>
      <c r="L634" s="118" t="str">
        <f>IF(
  O634&lt;&gt;"DEVOLUCION",
  "",
  IF(
    T634="",
    "",
    SUMIF(DEVOLUCION!F:F, T634, DEVOLUCION!D:D)
  )
)
</f>
        <v/>
      </c>
      <c r="M634" s="118" t="s">
        <v>5877</v>
      </c>
      <c r="N634" s="169" t="s">
        <v>7729</v>
      </c>
      <c r="O634" s="118" t="str">
        <f t="array" ref="O634">IFERROR(
VLOOKUP(
TRIM(CLEAN(
INDEX(REPORTE_DROPI!K:K,
MATCH(T634, REPORTE_DROPI!B:B, 0)
))),
{
TRIM(CLEAN(MAPA_ESTADOS!A:A)) ,
MAPA_ESTADOS!B:B
},
2,
FALSE
),
"REVISAR"
)</f>
        <v>PENDIENTE</v>
      </c>
      <c r="P634" s="154" t="s">
        <v>7730</v>
      </c>
      <c r="Q634" s="153">
        <f t="shared" si="1"/>
        <v>0</v>
      </c>
      <c r="R634" s="172"/>
      <c r="S634" s="172"/>
      <c r="T634" s="118">
        <f t="array" ref="T634">IFERROR(
INDEX(REPORTE_DROPI!B:B,
MATCH(
CLEAN(TRIM(C634)),
CLEAN(TRIM(REPORTE_DROPI!E:E)),
0
)
),
""
)
</f>
        <v>4642858</v>
      </c>
      <c r="U634" s="173">
        <v>4.5163204172E10</v>
      </c>
      <c r="V634" s="166"/>
      <c r="W634" s="18"/>
      <c r="X634" s="18"/>
      <c r="Y634" s="18"/>
      <c r="Z634" s="18"/>
    </row>
    <row r="635" ht="22.5" hidden="1" customHeight="1">
      <c r="A635" s="169">
        <v>634.0</v>
      </c>
      <c r="B635" s="170">
        <v>46079.0</v>
      </c>
      <c r="C635" s="154" t="s">
        <v>7731</v>
      </c>
      <c r="D635" s="118" t="str">
        <f>IFERROR(__xludf.DUMMYFUNCTION("IFERROR( INDEX( FILTER( 'NOMBRE DE PRODUCTOS'!B:B, REGEXMATCH( UPPER( INDEX( REPORTE_DROPI!AC:AC, MATCH(T635, REPORTE_DROPI!B:B, 0) ) ), UPPER('NOMBRE DE PRODUCTOS'!A:A) ) ), 1 ), ""REVISAR"" )"),"FilmPro®")</f>
        <v>FilmPro®</v>
      </c>
      <c r="E635" s="120" t="str">
        <f t="array" ref="E635">IF(
UPPER(TRIM(CLEAN($O635)))="ENTREGADO",
IFERROR(
INDEX(REPORTE_DROPI!Y:Y,
MATCH($T635, REPORTE_DROPI!B:B, 0)
),
""
),
""
)
</f>
        <v/>
      </c>
      <c r="F635" s="171">
        <v>3.0</v>
      </c>
      <c r="G635" s="122" t="str">
        <f t="array" ref="G635">IF(
UPPER(TRIM(CLEAN($O635)))="ENTREGADO",
IFERROR(
INDEX(REPORTE_DROPI!R:R,
MATCH($T635, REPORTE_DROPI!B:B, 0)
),
""
),
""
)
</f>
        <v/>
      </c>
      <c r="H635" s="118" t="s">
        <v>3727</v>
      </c>
      <c r="I635" s="154" t="s">
        <v>3772</v>
      </c>
      <c r="J635" s="121" t="str">
        <f t="array" ref="J635">IF(
UPPER(TRIM(CLEAN($O635)))="ENTREGADO",
IFERROR(
INDEX(REPORTE_DROPI!T:T,
MATCH($T635, REPORTE_DROPI!B:B, 0)
),
""
),
""
)
</f>
        <v/>
      </c>
      <c r="K635" s="118" t="str">
        <f t="array" ref="K635">IFERROR(
INDEX(REPORTE_DROPI!S:S,
MATCH($T635, REPORTE_DROPI!B:B, 0)
),
""
)</f>
        <v/>
      </c>
      <c r="L635" s="118" t="str">
        <f>IF(
  O635&lt;&gt;"DEVOLUCION",
  "",
  IF(
    T635="",
    "",
    SUMIF(DEVOLUCION!F:F, T635, DEVOLUCION!D:D)
  )
)
</f>
        <v/>
      </c>
      <c r="M635" s="118" t="s">
        <v>5877</v>
      </c>
      <c r="N635" s="169" t="s">
        <v>7732</v>
      </c>
      <c r="O635" s="118" t="str">
        <f t="array" ref="O635">IFERROR(
VLOOKUP(
TRIM(CLEAN(
INDEX(REPORTE_DROPI!K:K,
MATCH(T635, REPORTE_DROPI!B:B, 0)
))),
{
TRIM(CLEAN(MAPA_ESTADOS!A:A)) ,
MAPA_ESTADOS!B:B
},
2,
FALSE
),
"REVISAR"
)</f>
        <v>PENDIENTE</v>
      </c>
      <c r="P635" s="154" t="s">
        <v>7719</v>
      </c>
      <c r="Q635" s="153">
        <f t="shared" si="1"/>
        <v>0</v>
      </c>
      <c r="R635" s="172"/>
      <c r="S635" s="172"/>
      <c r="T635" s="118">
        <f t="array" ref="T635">IFERROR(
INDEX(REPORTE_DROPI!B:B,
MATCH(
CLEAN(TRIM(C635)),
CLEAN(TRIM(REPORTE_DROPI!E:E)),
0
)
),
""
)
</f>
        <v>4633797</v>
      </c>
      <c r="U635" s="169" t="s">
        <v>7733</v>
      </c>
      <c r="V635" s="166"/>
      <c r="W635" s="18"/>
      <c r="X635" s="18"/>
      <c r="Y635" s="18"/>
      <c r="Z635" s="18"/>
    </row>
    <row r="636" ht="22.5" hidden="1" customHeight="1">
      <c r="A636" s="169">
        <v>635.0</v>
      </c>
      <c r="B636" s="170">
        <v>46079.0</v>
      </c>
      <c r="C636" s="154" t="s">
        <v>7734</v>
      </c>
      <c r="D636" s="118" t="str">
        <f>IFERROR(__xludf.DUMMYFUNCTION("IFERROR( INDEX( FILTER( 'NOMBRE DE PRODUCTOS'!B:B, REGEXMATCH( UPPER( INDEX( REPORTE_DROPI!AC:AC, MATCH(T636, REPORTE_DROPI!B:B, 0) ) ), UPPER('NOMBRE DE PRODUCTOS'!A:A) ) ), 1 ), ""REVISAR"" )"),"Cuchillo Tazaki™")</f>
        <v>Cuchillo Tazaki™</v>
      </c>
      <c r="E636" s="120" t="str">
        <f t="array" ref="E636">IF(
UPPER(TRIM(CLEAN($O636)))="ENTREGADO",
IFERROR(
INDEX(REPORTE_DROPI!Y:Y,
MATCH($T636, REPORTE_DROPI!B:B, 0)
),
""
),
""
)
</f>
        <v/>
      </c>
      <c r="F636" s="171">
        <v>2.0</v>
      </c>
      <c r="G636" s="122" t="str">
        <f t="array" ref="G636">IF(
UPPER(TRIM(CLEAN($O636)))="ENTREGADO",
IFERROR(
INDEX(REPORTE_DROPI!R:R,
MATCH($T636, REPORTE_DROPI!B:B, 0)
),
""
),
""
)
</f>
        <v/>
      </c>
      <c r="H636" s="118" t="s">
        <v>3727</v>
      </c>
      <c r="I636" s="154" t="s">
        <v>3778</v>
      </c>
      <c r="J636" s="121" t="str">
        <f t="array" ref="J636">IF(
UPPER(TRIM(CLEAN($O636)))="ENTREGADO",
IFERROR(
INDEX(REPORTE_DROPI!T:T,
MATCH($T636, REPORTE_DROPI!B:B, 0)
),
""
),
""
)
</f>
        <v/>
      </c>
      <c r="K636" s="118" t="str">
        <f t="array" ref="K636">IFERROR(
INDEX(REPORTE_DROPI!S:S,
MATCH($T636, REPORTE_DROPI!B:B, 0)
),
""
)</f>
        <v/>
      </c>
      <c r="L636" s="118" t="str">
        <f>IF(
  O636&lt;&gt;"DEVOLUCION",
  "",
  IF(
    T636="",
    "",
    SUMIF(DEVOLUCION!F:F, T636, DEVOLUCION!D:D)
  )
)
</f>
        <v/>
      </c>
      <c r="M636" s="118" t="s">
        <v>5877</v>
      </c>
      <c r="N636" s="169" t="s">
        <v>7735</v>
      </c>
      <c r="O636" s="118" t="str">
        <f t="array" ref="O636">IFERROR(
VLOOKUP(
TRIM(CLEAN(
INDEX(REPORTE_DROPI!K:K,
MATCH(T636, REPORTE_DROPI!B:B, 0)
))),
{
TRIM(CLEAN(MAPA_ESTADOS!A:A)) ,
MAPA_ESTADOS!B:B
},
2,
FALSE
),
"REVISAR"
)</f>
        <v>PENDIENTE</v>
      </c>
      <c r="P636" s="154" t="s">
        <v>7736</v>
      </c>
      <c r="Q636" s="153">
        <f t="shared" si="1"/>
        <v>0</v>
      </c>
      <c r="R636" s="172"/>
      <c r="S636" s="172"/>
      <c r="T636" s="118">
        <f t="array" ref="T636">IFERROR(
INDEX(REPORTE_DROPI!B:B,
MATCH(
CLEAN(TRIM(C636)),
CLEAN(TRIM(REPORTE_DROPI!E:E)),
0
)
),
""
)
</f>
        <v>4634613</v>
      </c>
      <c r="U636" s="169" t="s">
        <v>7737</v>
      </c>
      <c r="V636" s="166"/>
      <c r="W636" s="18"/>
      <c r="X636" s="18"/>
      <c r="Y636" s="18"/>
      <c r="Z636" s="18"/>
    </row>
    <row r="637" ht="22.5" hidden="1" customHeight="1">
      <c r="A637" s="169">
        <v>636.0</v>
      </c>
      <c r="B637" s="170">
        <v>46079.0</v>
      </c>
      <c r="C637" s="154" t="s">
        <v>7738</v>
      </c>
      <c r="D637" s="118" t="str">
        <f>IFERROR(__xludf.DUMMYFUNCTION("IFERROR( INDEX( FILTER( 'NOMBRE DE PRODUCTOS'!B:B, REGEXMATCH( UPPER( INDEX( REPORTE_DROPI!AC:AC, MATCH(T637, REPORTE_DROPI!B:B, 0) ) ), UPPER('NOMBRE DE PRODUCTOS'!A:A) ) ), 1 ), ""REVISAR"" )"),"Cuchillo Tazaki™")</f>
        <v>Cuchillo Tazaki™</v>
      </c>
      <c r="E637" s="120">
        <f t="array" ref="E637">IF(
UPPER(TRIM(CLEAN($O637)))="ENTREGADO",
IFERROR(
INDEX(REPORTE_DROPI!Y:Y,
MATCH($T637, REPORTE_DROPI!B:B, 0)
),
""
),
""
)
</f>
        <v>11.25</v>
      </c>
      <c r="F637" s="171">
        <v>3.0</v>
      </c>
      <c r="G637" s="122">
        <f t="array" ref="G637">IF(
UPPER(TRIM(CLEAN($O637)))="ENTREGADO",
IFERROR(
INDEX(REPORTE_DROPI!R:R,
MATCH($T637, REPORTE_DROPI!B:B, 0)
),
""
),
""
)
</f>
        <v>27</v>
      </c>
      <c r="H637" s="118" t="s">
        <v>3727</v>
      </c>
      <c r="I637" s="154" t="s">
        <v>3731</v>
      </c>
      <c r="J637" s="121">
        <f t="array" ref="J637">IF(
UPPER(TRIM(CLEAN($O637)))="ENTREGADO",
IFERROR(
INDEX(REPORTE_DROPI!T:T,
MATCH($T637, REPORTE_DROPI!B:B, 0)
),
""
),
""
)
</f>
        <v>4.99</v>
      </c>
      <c r="K637" s="118">
        <f t="array" ref="K637">IFERROR(
INDEX(REPORTE_DROPI!S:S,
MATCH($T637, REPORTE_DROPI!B:B, 0)
),
""
)</f>
        <v>10.76</v>
      </c>
      <c r="L637" s="118" t="str">
        <f>IF(
  O637&lt;&gt;"DEVOLUCION",
  "",
  IF(
    T637="",
    "",
    SUMIF(DEVOLUCION!F:F, T637, DEVOLUCION!D:D)
  )
)
</f>
        <v/>
      </c>
      <c r="M637" s="118" t="s">
        <v>5877</v>
      </c>
      <c r="N637" s="169" t="s">
        <v>7739</v>
      </c>
      <c r="O637" s="118" t="str">
        <f t="array" ref="O637">IFERROR(
VLOOKUP(
TRIM(CLEAN(
INDEX(REPORTE_DROPI!K:K,
MATCH(T637, REPORTE_DROPI!B:B, 0)
))),
{
TRIM(CLEAN(MAPA_ESTADOS!A:A)) ,
MAPA_ESTADOS!B:B
},
2,
FALSE
),
"REVISAR"
)</f>
        <v>ENTREGADO</v>
      </c>
      <c r="P637" s="154" t="s">
        <v>7705</v>
      </c>
      <c r="Q637" s="153">
        <f t="shared" si="1"/>
        <v>0</v>
      </c>
      <c r="R637" s="172"/>
      <c r="S637" s="172"/>
      <c r="T637" s="118">
        <f t="array" ref="T637">IFERROR(
INDEX(REPORTE_DROPI!B:B,
MATCH(
CLEAN(TRIM(C637)),
CLEAN(TRIM(REPORTE_DROPI!E:E)),
0
)
),
""
)
</f>
        <v>4634954</v>
      </c>
      <c r="U637" s="169" t="s">
        <v>7740</v>
      </c>
      <c r="V637" s="166"/>
      <c r="W637" s="18"/>
      <c r="X637" s="18"/>
      <c r="Y637" s="18"/>
      <c r="Z637" s="18"/>
    </row>
    <row r="638" ht="22.5" hidden="1" customHeight="1">
      <c r="A638" s="169">
        <v>637.0</v>
      </c>
      <c r="B638" s="170">
        <v>46079.0</v>
      </c>
      <c r="C638" s="154" t="s">
        <v>7741</v>
      </c>
      <c r="D638" s="118" t="str">
        <f>IFERROR(__xludf.DUMMYFUNCTION("IFERROR( INDEX( FILTER( 'NOMBRE DE PRODUCTOS'!B:B, REGEXMATCH( UPPER( INDEX( REPORTE_DROPI!AC:AC, MATCH(T638, REPORTE_DROPI!B:B, 0) ) ), UPPER('NOMBRE DE PRODUCTOS'!A:A) ) ), 1 ), ""REVISAR"" )"),"Cuchillo Tazaki™")</f>
        <v>Cuchillo Tazaki™</v>
      </c>
      <c r="E638" s="120" t="str">
        <f t="array" ref="E638">IF(
UPPER(TRIM(CLEAN($O638)))="ENTREGADO",
IFERROR(
INDEX(REPORTE_DROPI!Y:Y,
MATCH($T638, REPORTE_DROPI!B:B, 0)
),
""
),
""
)
</f>
        <v/>
      </c>
      <c r="F638" s="171">
        <v>2.0</v>
      </c>
      <c r="G638" s="122" t="str">
        <f t="array" ref="G638">IF(
UPPER(TRIM(CLEAN($O638)))="ENTREGADO",
IFERROR(
INDEX(REPORTE_DROPI!R:R,
MATCH($T638, REPORTE_DROPI!B:B, 0)
),
""
),
""
)
</f>
        <v/>
      </c>
      <c r="H638" s="118" t="s">
        <v>3727</v>
      </c>
      <c r="I638" s="154" t="s">
        <v>3951</v>
      </c>
      <c r="J638" s="121" t="str">
        <f t="array" ref="J638">IF(
UPPER(TRIM(CLEAN($O638)))="ENTREGADO",
IFERROR(
INDEX(REPORTE_DROPI!T:T,
MATCH($T638, REPORTE_DROPI!B:B, 0)
),
""
),
""
)
</f>
        <v/>
      </c>
      <c r="K638" s="118" t="str">
        <f t="array" ref="K638">IFERROR(
INDEX(REPORTE_DROPI!S:S,
MATCH($T638, REPORTE_DROPI!B:B, 0)
),
""
)</f>
        <v/>
      </c>
      <c r="L638" s="118" t="str">
        <f>IF(
  O638&lt;&gt;"DEVOLUCION",
  "",
  IF(
    T638="",
    "",
    SUMIF(DEVOLUCION!F:F, T638, DEVOLUCION!D:D)
  )
)
</f>
        <v/>
      </c>
      <c r="M638" s="118" t="s">
        <v>5877</v>
      </c>
      <c r="N638" s="169" t="s">
        <v>7742</v>
      </c>
      <c r="O638" s="118" t="str">
        <f t="array" ref="O638">IFERROR(
VLOOKUP(
TRIM(CLEAN(
INDEX(REPORTE_DROPI!K:K,
MATCH(T638, REPORTE_DROPI!B:B, 0)
))),
{
TRIM(CLEAN(MAPA_ESTADOS!A:A)) ,
MAPA_ESTADOS!B:B
},
2,
FALSE
),
"REVISAR"
)</f>
        <v>PENDIENTE</v>
      </c>
      <c r="P638" s="154" t="s">
        <v>7743</v>
      </c>
      <c r="Q638" s="153">
        <f t="shared" si="1"/>
        <v>0</v>
      </c>
      <c r="R638" s="172"/>
      <c r="S638" s="172"/>
      <c r="T638" s="118">
        <f t="array" ref="T638">IFERROR(
INDEX(REPORTE_DROPI!B:B,
MATCH(
CLEAN(TRIM(C638)),
CLEAN(TRIM(REPORTE_DROPI!E:E)),
0
)
),
""
)
</f>
        <v>4642885</v>
      </c>
      <c r="U638" s="169" t="s">
        <v>7744</v>
      </c>
      <c r="V638" s="166"/>
      <c r="W638" s="18"/>
      <c r="X638" s="18"/>
      <c r="Y638" s="18"/>
      <c r="Z638" s="18"/>
    </row>
    <row r="639" ht="22.5" hidden="1" customHeight="1">
      <c r="A639" s="169">
        <v>638.0</v>
      </c>
      <c r="B639" s="170">
        <v>46079.0</v>
      </c>
      <c r="C639" s="154" t="s">
        <v>7745</v>
      </c>
      <c r="D639" s="118" t="str">
        <f>IFERROR(__xludf.DUMMYFUNCTION("IFERROR( INDEX( FILTER( 'NOMBRE DE PRODUCTOS'!B:B, REGEXMATCH( UPPER( INDEX( REPORTE_DROPI!AC:AC, MATCH(T639, REPORTE_DROPI!B:B, 0) ) ), UPPER('NOMBRE DE PRODUCTOS'!A:A) ) ), 1 ), ""REVISAR"" )"),"Cuchillo Tazaki™")</f>
        <v>Cuchillo Tazaki™</v>
      </c>
      <c r="E639" s="120">
        <f t="array" ref="E639">IF(
UPPER(TRIM(CLEAN($O639)))="ENTREGADO",
IFERROR(
INDEX(REPORTE_DROPI!Y:Y,
MATCH($T639, REPORTE_DROPI!B:B, 0)
),
""
),
""
)
</f>
        <v>7.5</v>
      </c>
      <c r="F639" s="171">
        <v>2.0</v>
      </c>
      <c r="G639" s="122">
        <f t="array" ref="G639">IF(
UPPER(TRIM(CLEAN($O639)))="ENTREGADO",
IFERROR(
INDEX(REPORTE_DROPI!R:R,
MATCH($T639, REPORTE_DROPI!B:B, 0)
),
""
),
""
)
</f>
        <v>22</v>
      </c>
      <c r="H639" s="118" t="s">
        <v>3727</v>
      </c>
      <c r="I639" s="154" t="s">
        <v>3728</v>
      </c>
      <c r="J639" s="121">
        <f t="array" ref="J639">IF(
UPPER(TRIM(CLEAN($O639)))="ENTREGADO",
IFERROR(
INDEX(REPORTE_DROPI!T:T,
MATCH($T639, REPORTE_DROPI!B:B, 0)
),
""
),
""
)
</f>
        <v>5.84</v>
      </c>
      <c r="K639" s="118">
        <f t="array" ref="K639">IFERROR(
INDEX(REPORTE_DROPI!S:S,
MATCH($T639, REPORTE_DROPI!B:B, 0)
),
""
)</f>
        <v>8.66</v>
      </c>
      <c r="L639" s="118" t="str">
        <f>IF(
  O639&lt;&gt;"DEVOLUCION",
  "",
  IF(
    T639="",
    "",
    SUMIF(DEVOLUCION!F:F, T639, DEVOLUCION!D:D)
  )
)
</f>
        <v/>
      </c>
      <c r="M639" s="118" t="s">
        <v>5877</v>
      </c>
      <c r="N639" s="169" t="s">
        <v>7746</v>
      </c>
      <c r="O639" s="118" t="str">
        <f t="array" ref="O639">IFERROR(
VLOOKUP(
TRIM(CLEAN(
INDEX(REPORTE_DROPI!K:K,
MATCH(T639, REPORTE_DROPI!B:B, 0)
))),
{
TRIM(CLEAN(MAPA_ESTADOS!A:A)) ,
MAPA_ESTADOS!B:B
},
2,
FALSE
),
"REVISAR"
)</f>
        <v>ENTREGADO</v>
      </c>
      <c r="P639" s="154" t="s">
        <v>7705</v>
      </c>
      <c r="Q639" s="153">
        <f t="shared" si="1"/>
        <v>0</v>
      </c>
      <c r="R639" s="172"/>
      <c r="S639" s="172"/>
      <c r="T639" s="118">
        <f t="array" ref="T639">IFERROR(
INDEX(REPORTE_DROPI!B:B,
MATCH(
CLEAN(TRIM(C639)),
CLEAN(TRIM(REPORTE_DROPI!E:E)),
0
)
),
""
)
</f>
        <v>4635077</v>
      </c>
      <c r="U639" s="169" t="s">
        <v>7747</v>
      </c>
      <c r="V639" s="166"/>
      <c r="W639" s="18"/>
      <c r="X639" s="18"/>
      <c r="Y639" s="18"/>
      <c r="Z639" s="18"/>
    </row>
    <row r="640" ht="22.5" hidden="1" customHeight="1">
      <c r="A640" s="169">
        <v>639.0</v>
      </c>
      <c r="B640" s="170">
        <v>46079.0</v>
      </c>
      <c r="C640" s="154" t="s">
        <v>7748</v>
      </c>
      <c r="D640" s="118" t="str">
        <f>IFERROR(__xludf.DUMMYFUNCTION("IFERROR( INDEX( FILTER( 'NOMBRE DE PRODUCTOS'!B:B, REGEXMATCH( UPPER( INDEX( REPORTE_DROPI!AC:AC, MATCH(T640, REPORTE_DROPI!B:B, 0) ) ), UPPER('NOMBRE DE PRODUCTOS'!A:A) ) ), 1 ), ""REVISAR"" )"),"Cuchillo Tazaki™")</f>
        <v>Cuchillo Tazaki™</v>
      </c>
      <c r="E640" s="120">
        <f t="array" ref="E640">IF(
UPPER(TRIM(CLEAN($O640)))="ENTREGADO",
IFERROR(
INDEX(REPORTE_DROPI!Y:Y,
MATCH($T640, REPORTE_DROPI!B:B, 0)
),
""
),
""
)
</f>
        <v>7.5</v>
      </c>
      <c r="F640" s="171">
        <v>2.0</v>
      </c>
      <c r="G640" s="122">
        <f t="array" ref="G640">IF(
UPPER(TRIM(CLEAN($O640)))="ENTREGADO",
IFERROR(
INDEX(REPORTE_DROPI!R:R,
MATCH($T640, REPORTE_DROPI!B:B, 0)
),
""
),
""
)
</f>
        <v>22</v>
      </c>
      <c r="H640" s="118" t="s">
        <v>3727</v>
      </c>
      <c r="I640" s="154" t="s">
        <v>3778</v>
      </c>
      <c r="J640" s="121">
        <f t="array" ref="J640">IF(
UPPER(TRIM(CLEAN($O640)))="ENTREGADO",
IFERROR(
INDEX(REPORTE_DROPI!T:T,
MATCH($T640, REPORTE_DROPI!B:B, 0)
),
""
),
""
)
</f>
        <v>5.84</v>
      </c>
      <c r="K640" s="118">
        <f t="array" ref="K640">IFERROR(
INDEX(REPORTE_DROPI!S:S,
MATCH($T640, REPORTE_DROPI!B:B, 0)
),
""
)</f>
        <v>8.66</v>
      </c>
      <c r="L640" s="118" t="str">
        <f>IF(
  O640&lt;&gt;"DEVOLUCION",
  "",
  IF(
    T640="",
    "",
    SUMIF(DEVOLUCION!F:F, T640, DEVOLUCION!D:D)
  )
)
</f>
        <v/>
      </c>
      <c r="M640" s="118" t="s">
        <v>5877</v>
      </c>
      <c r="N640" s="169" t="s">
        <v>7749</v>
      </c>
      <c r="O640" s="118" t="str">
        <f t="array" ref="O640">IFERROR(
VLOOKUP(
TRIM(CLEAN(
INDEX(REPORTE_DROPI!K:K,
MATCH(T640, REPORTE_DROPI!B:B, 0)
))),
{
TRIM(CLEAN(MAPA_ESTADOS!A:A)) ,
MAPA_ESTADOS!B:B
},
2,
FALSE
),
"REVISAR"
)</f>
        <v>ENTREGADO</v>
      </c>
      <c r="P640" s="154" t="s">
        <v>7705</v>
      </c>
      <c r="Q640" s="153">
        <f t="shared" si="1"/>
        <v>0</v>
      </c>
      <c r="R640" s="172"/>
      <c r="S640" s="172"/>
      <c r="T640" s="118">
        <f t="array" ref="T640">IFERROR(
INDEX(REPORTE_DROPI!B:B,
MATCH(
CLEAN(TRIM(C640)),
CLEAN(TRIM(REPORTE_DROPI!E:E)),
0
)
),
""
)
</f>
        <v>4635573</v>
      </c>
      <c r="U640" s="169" t="s">
        <v>7750</v>
      </c>
      <c r="V640" s="166"/>
      <c r="W640" s="18"/>
      <c r="X640" s="18"/>
      <c r="Y640" s="18"/>
      <c r="Z640" s="18"/>
    </row>
    <row r="641" ht="22.5" hidden="1" customHeight="1">
      <c r="A641" s="169">
        <v>640.0</v>
      </c>
      <c r="B641" s="170">
        <v>46079.0</v>
      </c>
      <c r="C641" s="154" t="s">
        <v>7751</v>
      </c>
      <c r="D641" s="118" t="str">
        <f>IFERROR(__xludf.DUMMYFUNCTION("IFERROR( INDEX( FILTER( 'NOMBRE DE PRODUCTOS'!B:B, REGEXMATCH( UPPER( INDEX( REPORTE_DROPI!AC:AC, MATCH(T641, REPORTE_DROPI!B:B, 0) ) ), UPPER('NOMBRE DE PRODUCTOS'!A:A) ) ), 1 ), ""REVISAR"" )"),"Cuchillo Tazaki™")</f>
        <v>Cuchillo Tazaki™</v>
      </c>
      <c r="E641" s="120" t="str">
        <f t="array" ref="E641">IF(
UPPER(TRIM(CLEAN($O641)))="ENTREGADO",
IFERROR(
INDEX(REPORTE_DROPI!Y:Y,
MATCH($T641, REPORTE_DROPI!B:B, 0)
),
""
),
""
)
</f>
        <v/>
      </c>
      <c r="F641" s="171">
        <v>3.0</v>
      </c>
      <c r="G641" s="122" t="str">
        <f t="array" ref="G641">IF(
UPPER(TRIM(CLEAN($O641)))="ENTREGADO",
IFERROR(
INDEX(REPORTE_DROPI!R:R,
MATCH($T641, REPORTE_DROPI!B:B, 0)
),
""
),
""
)
</f>
        <v/>
      </c>
      <c r="H641" s="118" t="s">
        <v>3727</v>
      </c>
      <c r="I641" s="154" t="s">
        <v>3740</v>
      </c>
      <c r="J641" s="121" t="str">
        <f t="array" ref="J641">IF(
UPPER(TRIM(CLEAN($O641)))="ENTREGADO",
IFERROR(
INDEX(REPORTE_DROPI!T:T,
MATCH($T641, REPORTE_DROPI!B:B, 0)
),
""
),
""
)
</f>
        <v/>
      </c>
      <c r="K641" s="118" t="str">
        <f t="array" ref="K641">IFERROR(
INDEX(REPORTE_DROPI!S:S,
MATCH($T641, REPORTE_DROPI!B:B, 0)
),
""
)</f>
        <v/>
      </c>
      <c r="L641" s="118" t="str">
        <f>IF(
  O641&lt;&gt;"DEVOLUCION",
  "",
  IF(
    T641="",
    "",
    SUMIF(DEVOLUCION!F:F, T641, DEVOLUCION!D:D)
  )
)
</f>
        <v/>
      </c>
      <c r="M641" s="118" t="s">
        <v>5877</v>
      </c>
      <c r="N641" s="169" t="s">
        <v>7752</v>
      </c>
      <c r="O641" s="118" t="str">
        <f t="array" ref="O641">IFERROR(
VLOOKUP(
TRIM(CLEAN(
INDEX(REPORTE_DROPI!K:K,
MATCH(T641, REPORTE_DROPI!B:B, 0)
))),
{
TRIM(CLEAN(MAPA_ESTADOS!A:A)) ,
MAPA_ESTADOS!B:B
},
2,
FALSE
),
"REVISAR"
)</f>
        <v>PENDIENTE</v>
      </c>
      <c r="P641" s="154" t="s">
        <v>7719</v>
      </c>
      <c r="Q641" s="153">
        <f t="shared" si="1"/>
        <v>0</v>
      </c>
      <c r="R641" s="172"/>
      <c r="S641" s="172"/>
      <c r="T641" s="118">
        <f t="array" ref="T641">IFERROR(
INDEX(REPORTE_DROPI!B:B,
MATCH(
CLEAN(TRIM(C641)),
CLEAN(TRIM(REPORTE_DROPI!E:E)),
0
)
),
""
)
</f>
        <v>4635942</v>
      </c>
      <c r="U641" s="169" t="s">
        <v>7753</v>
      </c>
      <c r="V641" s="166"/>
      <c r="W641" s="18"/>
      <c r="X641" s="18"/>
      <c r="Y641" s="18"/>
      <c r="Z641" s="18"/>
    </row>
    <row r="642" ht="22.5" hidden="1" customHeight="1">
      <c r="A642" s="169">
        <v>641.0</v>
      </c>
      <c r="B642" s="170">
        <v>46079.0</v>
      </c>
      <c r="C642" s="154" t="s">
        <v>7754</v>
      </c>
      <c r="D642" s="118" t="str">
        <f>IFERROR(__xludf.DUMMYFUNCTION("IFERROR( INDEX( FILTER( 'NOMBRE DE PRODUCTOS'!B:B, REGEXMATCH( UPPER( INDEX( REPORTE_DROPI!AC:AC, MATCH(T642, REPORTE_DROPI!B:B, 0) ) ), UPPER('NOMBRE DE PRODUCTOS'!A:A) ) ), 1 ), ""REVISAR"" )"),"Cuchillo Tazaki™")</f>
        <v>Cuchillo Tazaki™</v>
      </c>
      <c r="E642" s="120">
        <f t="array" ref="E642">IF(
UPPER(TRIM(CLEAN($O642)))="ENTREGADO",
IFERROR(
INDEX(REPORTE_DROPI!Y:Y,
MATCH($T642, REPORTE_DROPI!B:B, 0)
),
""
),
""
)
</f>
        <v>7.5</v>
      </c>
      <c r="F642" s="171">
        <v>2.0</v>
      </c>
      <c r="G642" s="122">
        <f t="array" ref="G642">IF(
UPPER(TRIM(CLEAN($O642)))="ENTREGADO",
IFERROR(
INDEX(REPORTE_DROPI!R:R,
MATCH($T642, REPORTE_DROPI!B:B, 0)
),
""
),
""
)
</f>
        <v>22</v>
      </c>
      <c r="H642" s="118" t="s">
        <v>3727</v>
      </c>
      <c r="I642" s="154" t="s">
        <v>3740</v>
      </c>
      <c r="J642" s="121">
        <f t="array" ref="J642">IF(
UPPER(TRIM(CLEAN($O642)))="ENTREGADO",
IFERROR(
INDEX(REPORTE_DROPI!T:T,
MATCH($T642, REPORTE_DROPI!B:B, 0)
),
""
),
""
)
</f>
        <v>5.84</v>
      </c>
      <c r="K642" s="118">
        <f t="array" ref="K642">IFERROR(
INDEX(REPORTE_DROPI!S:S,
MATCH($T642, REPORTE_DROPI!B:B, 0)
),
""
)</f>
        <v>8.66</v>
      </c>
      <c r="L642" s="118" t="str">
        <f>IF(
  O642&lt;&gt;"DEVOLUCION",
  "",
  IF(
    T642="",
    "",
    SUMIF(DEVOLUCION!F:F, T642, DEVOLUCION!D:D)
  )
)
</f>
        <v/>
      </c>
      <c r="M642" s="118" t="s">
        <v>5877</v>
      </c>
      <c r="N642" s="169" t="s">
        <v>7755</v>
      </c>
      <c r="O642" s="118" t="str">
        <f t="array" ref="O642">IFERROR(
VLOOKUP(
TRIM(CLEAN(
INDEX(REPORTE_DROPI!K:K,
MATCH(T642, REPORTE_DROPI!B:B, 0)
))),
{
TRIM(CLEAN(MAPA_ESTADOS!A:A)) ,
MAPA_ESTADOS!B:B
},
2,
FALSE
),
"REVISAR"
)</f>
        <v>ENTREGADO</v>
      </c>
      <c r="P642" s="154" t="s">
        <v>7705</v>
      </c>
      <c r="Q642" s="153">
        <f t="shared" si="1"/>
        <v>0</v>
      </c>
      <c r="R642" s="172"/>
      <c r="S642" s="172"/>
      <c r="T642" s="118">
        <f t="array" ref="T642">IFERROR(
INDEX(REPORTE_DROPI!B:B,
MATCH(
CLEAN(TRIM(C642)),
CLEAN(TRIM(REPORTE_DROPI!E:E)),
0
)
),
""
)
</f>
        <v>4636393</v>
      </c>
      <c r="U642" s="169" t="s">
        <v>7756</v>
      </c>
      <c r="V642" s="166"/>
      <c r="W642" s="18"/>
      <c r="X642" s="18"/>
      <c r="Y642" s="18"/>
      <c r="Z642" s="18"/>
    </row>
    <row r="643" ht="22.5" hidden="1" customHeight="1">
      <c r="A643" s="169">
        <v>642.0</v>
      </c>
      <c r="B643" s="170">
        <v>46079.0</v>
      </c>
      <c r="C643" s="154" t="s">
        <v>7757</v>
      </c>
      <c r="D643" s="118" t="str">
        <f>IFERROR(__xludf.DUMMYFUNCTION("IFERROR( INDEX( FILTER( 'NOMBRE DE PRODUCTOS'!B:B, REGEXMATCH( UPPER( INDEX( REPORTE_DROPI!AC:AC, MATCH(T643, REPORTE_DROPI!B:B, 0) ) ), UPPER('NOMBRE DE PRODUCTOS'!A:A) ) ), 1 ), ""REVISAR"" )"),"Cuchillo Tazaki™")</f>
        <v>Cuchillo Tazaki™</v>
      </c>
      <c r="E643" s="120" t="str">
        <f t="array" ref="E643">IF(
UPPER(TRIM(CLEAN($O643)))="ENTREGADO",
IFERROR(
INDEX(REPORTE_DROPI!Y:Y,
MATCH($T643, REPORTE_DROPI!B:B, 0)
),
""
),
""
)
</f>
        <v/>
      </c>
      <c r="F643" s="171">
        <v>2.0</v>
      </c>
      <c r="G643" s="122" t="str">
        <f t="array" ref="G643">IF(
UPPER(TRIM(CLEAN($O643)))="ENTREGADO",
IFERROR(
INDEX(REPORTE_DROPI!R:R,
MATCH($T643, REPORTE_DROPI!B:B, 0)
),
""
),
""
)
</f>
        <v/>
      </c>
      <c r="H643" s="118" t="s">
        <v>3727</v>
      </c>
      <c r="I643" s="154" t="s">
        <v>3798</v>
      </c>
      <c r="J643" s="121" t="str">
        <f t="array" ref="J643">IF(
UPPER(TRIM(CLEAN($O643)))="ENTREGADO",
IFERROR(
INDEX(REPORTE_DROPI!T:T,
MATCH($T643, REPORTE_DROPI!B:B, 0)
),
""
),
""
)
</f>
        <v/>
      </c>
      <c r="K643" s="118" t="str">
        <f t="array" ref="K643">IFERROR(
INDEX(REPORTE_DROPI!S:S,
MATCH($T643, REPORTE_DROPI!B:B, 0)
),
""
)</f>
        <v/>
      </c>
      <c r="L643" s="118" t="str">
        <f>IF(
  O643&lt;&gt;"DEVOLUCION",
  "",
  IF(
    T643="",
    "",
    SUMIF(DEVOLUCION!F:F, T643, DEVOLUCION!D:D)
  )
)
</f>
        <v/>
      </c>
      <c r="M643" s="118" t="s">
        <v>5877</v>
      </c>
      <c r="N643" s="169" t="s">
        <v>7758</v>
      </c>
      <c r="O643" s="118" t="str">
        <f t="array" ref="O643">IFERROR(
VLOOKUP(
TRIM(CLEAN(
INDEX(REPORTE_DROPI!K:K,
MATCH(T643, REPORTE_DROPI!B:B, 0)
))),
{
TRIM(CLEAN(MAPA_ESTADOS!A:A)) ,
MAPA_ESTADOS!B:B
},
2,
FALSE
),
"REVISAR"
)</f>
        <v>CANCELADO</v>
      </c>
      <c r="P643" s="154" t="s">
        <v>7759</v>
      </c>
      <c r="Q643" s="153">
        <f t="shared" si="1"/>
        <v>0</v>
      </c>
      <c r="R643" s="172"/>
      <c r="S643" s="172"/>
      <c r="T643" s="118">
        <f t="array" ref="T643">IFERROR(
INDEX(REPORTE_DROPI!B:B,
MATCH(
CLEAN(TRIM(C643)),
CLEAN(TRIM(REPORTE_DROPI!E:E)),
0
)
),
""
)
</f>
        <v>4636443</v>
      </c>
      <c r="U643" s="169" t="s">
        <v>7760</v>
      </c>
      <c r="V643" s="166"/>
      <c r="W643" s="18"/>
      <c r="X643" s="18"/>
      <c r="Y643" s="18"/>
      <c r="Z643" s="18"/>
    </row>
    <row r="644" ht="22.5" hidden="1" customHeight="1">
      <c r="A644" s="169">
        <v>643.0</v>
      </c>
      <c r="B644" s="170">
        <v>46079.0</v>
      </c>
      <c r="C644" s="154" t="s">
        <v>7761</v>
      </c>
      <c r="D644" s="118" t="str">
        <f>IFERROR(__xludf.DUMMYFUNCTION("IFERROR( INDEX( FILTER( 'NOMBRE DE PRODUCTOS'!B:B, REGEXMATCH( UPPER( INDEX( REPORTE_DROPI!AC:AC, MATCH(T644, REPORTE_DROPI!B:B, 0) ) ), UPPER('NOMBRE DE PRODUCTOS'!A:A) ) ), 1 ), ""REVISAR"" )"),"Cuchillo Tazaki™")</f>
        <v>Cuchillo Tazaki™</v>
      </c>
      <c r="E644" s="120" t="str">
        <f t="array" ref="E644">IF(
UPPER(TRIM(CLEAN($O644)))="ENTREGADO",
IFERROR(
INDEX(REPORTE_DROPI!Y:Y,
MATCH($T644, REPORTE_DROPI!B:B, 0)
),
""
),
""
)
</f>
        <v/>
      </c>
      <c r="F644" s="171">
        <v>2.0</v>
      </c>
      <c r="G644" s="122" t="str">
        <f t="array" ref="G644">IF(
UPPER(TRIM(CLEAN($O644)))="ENTREGADO",
IFERROR(
INDEX(REPORTE_DROPI!R:R,
MATCH($T644, REPORTE_DROPI!B:B, 0)
),
""
),
""
)
</f>
        <v/>
      </c>
      <c r="H644" s="118" t="s">
        <v>3727</v>
      </c>
      <c r="I644" s="154" t="s">
        <v>3969</v>
      </c>
      <c r="J644" s="121" t="str">
        <f t="array" ref="J644">IF(
UPPER(TRIM(CLEAN($O644)))="ENTREGADO",
IFERROR(
INDEX(REPORTE_DROPI!T:T,
MATCH($T644, REPORTE_DROPI!B:B, 0)
),
""
),
""
)
</f>
        <v/>
      </c>
      <c r="K644" s="118" t="str">
        <f t="array" ref="K644">IFERROR(
INDEX(REPORTE_DROPI!S:S,
MATCH($T644, REPORTE_DROPI!B:B, 0)
),
""
)</f>
        <v/>
      </c>
      <c r="L644" s="118">
        <f>IF(
  O644&lt;&gt;"DEVOLUCION",
  "",
  IF(
    T644="",
    "",
    SUMIF(DEVOLUCION!F:F, T644, DEVOLUCION!D:D)
  )
)
</f>
        <v>0</v>
      </c>
      <c r="M644" s="118" t="s">
        <v>5877</v>
      </c>
      <c r="N644" s="169" t="s">
        <v>7762</v>
      </c>
      <c r="O644" s="118" t="str">
        <f t="array" ref="O644">IFERROR(
VLOOKUP(
TRIM(CLEAN(
INDEX(REPORTE_DROPI!K:K,
MATCH(T644, REPORTE_DROPI!B:B, 0)
))),
{
TRIM(CLEAN(MAPA_ESTADOS!A:A)) ,
MAPA_ESTADOS!B:B
},
2,
FALSE
),
"REVISAR"
)</f>
        <v>DEVOLUCION</v>
      </c>
      <c r="P644" s="154" t="s">
        <v>7763</v>
      </c>
      <c r="Q644" s="153">
        <f t="shared" si="1"/>
        <v>0</v>
      </c>
      <c r="R644" s="172"/>
      <c r="S644" s="172"/>
      <c r="T644" s="118">
        <f t="array" ref="T644">IFERROR(
INDEX(REPORTE_DROPI!B:B,
MATCH(
CLEAN(TRIM(C644)),
CLEAN(TRIM(REPORTE_DROPI!E:E)),
0
)
),
""
)
</f>
        <v>4642905</v>
      </c>
      <c r="U644" s="169" t="s">
        <v>7764</v>
      </c>
      <c r="V644" s="166"/>
      <c r="W644" s="18"/>
      <c r="X644" s="18"/>
      <c r="Y644" s="18"/>
      <c r="Z644" s="18"/>
    </row>
    <row r="645" ht="22.5" hidden="1" customHeight="1">
      <c r="A645" s="169">
        <v>644.0</v>
      </c>
      <c r="B645" s="170">
        <v>46079.0</v>
      </c>
      <c r="C645" s="154" t="s">
        <v>7765</v>
      </c>
      <c r="D645" s="118" t="str">
        <f>IFERROR(__xludf.DUMMYFUNCTION("IFERROR( INDEX( FILTER( 'NOMBRE DE PRODUCTOS'!B:B, REGEXMATCH( UPPER( INDEX( REPORTE_DROPI!AC:AC, MATCH(T645, REPORTE_DROPI!B:B, 0) ) ), UPPER('NOMBRE DE PRODUCTOS'!A:A) ) ), 1 ), ""REVISAR"" )"),"Cuchillo Tazaki™")</f>
        <v>Cuchillo Tazaki™</v>
      </c>
      <c r="E645" s="120" t="str">
        <f t="array" ref="E645">IF(
UPPER(TRIM(CLEAN($O645)))="ENTREGADO",
IFERROR(
INDEX(REPORTE_DROPI!Y:Y,
MATCH($T645, REPORTE_DROPI!B:B, 0)
),
""
),
""
)
</f>
        <v/>
      </c>
      <c r="F645" s="171">
        <v>2.0</v>
      </c>
      <c r="G645" s="122" t="str">
        <f t="array" ref="G645">IF(
UPPER(TRIM(CLEAN($O645)))="ENTREGADO",
IFERROR(
INDEX(REPORTE_DROPI!R:R,
MATCH($T645, REPORTE_DROPI!B:B, 0)
),
""
),
""
)
</f>
        <v/>
      </c>
      <c r="H645" s="118" t="s">
        <v>3727</v>
      </c>
      <c r="I645" s="154" t="s">
        <v>3731</v>
      </c>
      <c r="J645" s="121" t="str">
        <f t="array" ref="J645">IF(
UPPER(TRIM(CLEAN($O645)))="ENTREGADO",
IFERROR(
INDEX(REPORTE_DROPI!T:T,
MATCH($T645, REPORTE_DROPI!B:B, 0)
),
""
),
""
)
</f>
        <v/>
      </c>
      <c r="K645" s="118" t="str">
        <f t="array" ref="K645">IFERROR(
INDEX(REPORTE_DROPI!S:S,
MATCH($T645, REPORTE_DROPI!B:B, 0)
),
""
)</f>
        <v/>
      </c>
      <c r="L645" s="118" t="str">
        <f>IF(
  O645&lt;&gt;"DEVOLUCION",
  "",
  IF(
    T645="",
    "",
    SUMIF(DEVOLUCION!F:F, T645, DEVOLUCION!D:D)
  )
)
</f>
        <v/>
      </c>
      <c r="M645" s="118" t="s">
        <v>5877</v>
      </c>
      <c r="N645" s="169" t="s">
        <v>7766</v>
      </c>
      <c r="O645" s="118" t="str">
        <f t="array" ref="O645">IFERROR(
VLOOKUP(
TRIM(CLEAN(
INDEX(REPORTE_DROPI!K:K,
MATCH(T645, REPORTE_DROPI!B:B, 0)
))),
{
TRIM(CLEAN(MAPA_ESTADOS!A:A)) ,
MAPA_ESTADOS!B:B
},
2,
FALSE
),
"REVISAR"
)</f>
        <v>PENDIENTE</v>
      </c>
      <c r="P645" s="154" t="s">
        <v>7719</v>
      </c>
      <c r="Q645" s="153">
        <f t="shared" si="1"/>
        <v>0</v>
      </c>
      <c r="R645" s="172"/>
      <c r="S645" s="172"/>
      <c r="T645" s="118">
        <f t="array" ref="T645">IFERROR(
INDEX(REPORTE_DROPI!B:B,
MATCH(
CLEAN(TRIM(C645)),
CLEAN(TRIM(REPORTE_DROPI!E:E)),
0
)
),
""
)
</f>
        <v>4637135</v>
      </c>
      <c r="U645" s="173">
        <v>1.90152236163E11</v>
      </c>
      <c r="V645" s="166"/>
      <c r="W645" s="18"/>
      <c r="X645" s="18"/>
      <c r="Y645" s="18"/>
      <c r="Z645" s="18"/>
    </row>
    <row r="646" ht="22.5" hidden="1" customHeight="1">
      <c r="A646" s="169">
        <v>645.0</v>
      </c>
      <c r="B646" s="170">
        <v>46079.0</v>
      </c>
      <c r="C646" s="154" t="s">
        <v>7767</v>
      </c>
      <c r="D646" s="118" t="str">
        <f>IFERROR(__xludf.DUMMYFUNCTION("IFERROR( INDEX( FILTER( 'NOMBRE DE PRODUCTOS'!B:B, REGEXMATCH( UPPER( INDEX( REPORTE_DROPI!AC:AC, MATCH(T646, REPORTE_DROPI!B:B, 0) ) ), UPPER('NOMBRE DE PRODUCTOS'!A:A) ) ), 1 ), ""REVISAR"" )"),"Cuchillo Tazaki™")</f>
        <v>Cuchillo Tazaki™</v>
      </c>
      <c r="E646" s="120">
        <f t="array" ref="E646">IF(
UPPER(TRIM(CLEAN($O646)))="ENTREGADO",
IFERROR(
INDEX(REPORTE_DROPI!Y:Y,
MATCH($T646, REPORTE_DROPI!B:B, 0)
),
""
),
""
)
</f>
        <v>7.5</v>
      </c>
      <c r="F646" s="171">
        <v>2.0</v>
      </c>
      <c r="G646" s="122">
        <f t="array" ref="G646">IF(
UPPER(TRIM(CLEAN($O646)))="ENTREGADO",
IFERROR(
INDEX(REPORTE_DROPI!R:R,
MATCH($T646, REPORTE_DROPI!B:B, 0)
),
""
),
""
)
</f>
        <v>22</v>
      </c>
      <c r="H646" s="118" t="s">
        <v>3727</v>
      </c>
      <c r="I646" s="154" t="s">
        <v>3951</v>
      </c>
      <c r="J646" s="121">
        <f t="array" ref="J646">IF(
UPPER(TRIM(CLEAN($O646)))="ENTREGADO",
IFERROR(
INDEX(REPORTE_DROPI!T:T,
MATCH($T646, REPORTE_DROPI!B:B, 0)
),
""
),
""
)
</f>
        <v>5.84</v>
      </c>
      <c r="K646" s="118">
        <f t="array" ref="K646">IFERROR(
INDEX(REPORTE_DROPI!S:S,
MATCH($T646, REPORTE_DROPI!B:B, 0)
),
""
)</f>
        <v>8.66</v>
      </c>
      <c r="L646" s="118" t="str">
        <f>IF(
  O646&lt;&gt;"DEVOLUCION",
  "",
  IF(
    T646="",
    "",
    SUMIF(DEVOLUCION!F:F, T646, DEVOLUCION!D:D)
  )
)
</f>
        <v/>
      </c>
      <c r="M646" s="118" t="s">
        <v>5877</v>
      </c>
      <c r="N646" s="169" t="s">
        <v>7768</v>
      </c>
      <c r="O646" s="118" t="str">
        <f t="array" ref="O646">IFERROR(
VLOOKUP(
TRIM(CLEAN(
INDEX(REPORTE_DROPI!K:K,
MATCH(T646, REPORTE_DROPI!B:B, 0)
))),
{
TRIM(CLEAN(MAPA_ESTADOS!A:A)) ,
MAPA_ESTADOS!B:B
},
2,
FALSE
),
"REVISAR"
)</f>
        <v>ENTREGADO</v>
      </c>
      <c r="P646" s="154" t="s">
        <v>7743</v>
      </c>
      <c r="Q646" s="153">
        <f t="shared" si="1"/>
        <v>0</v>
      </c>
      <c r="R646" s="172"/>
      <c r="S646" s="172"/>
      <c r="T646" s="118">
        <f t="array" ref="T646">IFERROR(
INDEX(REPORTE_DROPI!B:B,
MATCH(
CLEAN(TRIM(C646)),
CLEAN(TRIM(REPORTE_DROPI!E:E)),
0
)
),
""
)
</f>
        <v>4642940</v>
      </c>
      <c r="U646" s="169" t="s">
        <v>7769</v>
      </c>
      <c r="V646" s="166"/>
      <c r="W646" s="18"/>
      <c r="X646" s="18"/>
      <c r="Y646" s="18"/>
      <c r="Z646" s="18"/>
    </row>
    <row r="647" ht="22.5" hidden="1" customHeight="1">
      <c r="A647" s="169">
        <v>646.0</v>
      </c>
      <c r="B647" s="170">
        <v>46079.0</v>
      </c>
      <c r="C647" s="154" t="s">
        <v>7770</v>
      </c>
      <c r="D647" s="118" t="str">
        <f>IFERROR(__xludf.DUMMYFUNCTION("IFERROR( INDEX( FILTER( 'NOMBRE DE PRODUCTOS'!B:B, REGEXMATCH( UPPER( INDEX( REPORTE_DROPI!AC:AC, MATCH(T647, REPORTE_DROPI!B:B, 0) ) ), UPPER('NOMBRE DE PRODUCTOS'!A:A) ) ), 1 ), ""REVISAR"" )"),"Cuchillo Tazaki™")</f>
        <v>Cuchillo Tazaki™</v>
      </c>
      <c r="E647" s="120" t="str">
        <f t="array" ref="E647">IF(
UPPER(TRIM(CLEAN($O647)))="ENTREGADO",
IFERROR(
INDEX(REPORTE_DROPI!Y:Y,
MATCH($T647, REPORTE_DROPI!B:B, 0)
),
""
),
""
)
</f>
        <v/>
      </c>
      <c r="F647" s="171">
        <v>2.0</v>
      </c>
      <c r="G647" s="122" t="str">
        <f t="array" ref="G647">IF(
UPPER(TRIM(CLEAN($O647)))="ENTREGADO",
IFERROR(
INDEX(REPORTE_DROPI!R:R,
MATCH($T647, REPORTE_DROPI!B:B, 0)
),
""
),
""
)
</f>
        <v/>
      </c>
      <c r="H647" s="118" t="s">
        <v>3727</v>
      </c>
      <c r="I647" s="154" t="s">
        <v>3772</v>
      </c>
      <c r="J647" s="121" t="str">
        <f t="array" ref="J647">IF(
UPPER(TRIM(CLEAN($O647)))="ENTREGADO",
IFERROR(
INDEX(REPORTE_DROPI!T:T,
MATCH($T647, REPORTE_DROPI!B:B, 0)
),
""
),
""
)
</f>
        <v/>
      </c>
      <c r="K647" s="118" t="str">
        <f t="array" ref="K647">IFERROR(
INDEX(REPORTE_DROPI!S:S,
MATCH($T647, REPORTE_DROPI!B:B, 0)
),
""
)</f>
        <v/>
      </c>
      <c r="L647" s="118" t="str">
        <f>IF(
  O647&lt;&gt;"DEVOLUCION",
  "",
  IF(
    T647="",
    "",
    SUMIF(DEVOLUCION!F:F, T647, DEVOLUCION!D:D)
  )
)
</f>
        <v/>
      </c>
      <c r="M647" s="118" t="s">
        <v>5877</v>
      </c>
      <c r="N647" s="169" t="s">
        <v>7771</v>
      </c>
      <c r="O647" s="118" t="str">
        <f t="array" ref="O647">IFERROR(
VLOOKUP(
TRIM(CLEAN(
INDEX(REPORTE_DROPI!K:K,
MATCH(T647, REPORTE_DROPI!B:B, 0)
))),
{
TRIM(CLEAN(MAPA_ESTADOS!A:A)) ,
MAPA_ESTADOS!B:B
},
2,
FALSE
),
"REVISAR"
)</f>
        <v>PENDIENTE</v>
      </c>
      <c r="P647" s="154" t="s">
        <v>7705</v>
      </c>
      <c r="Q647" s="153">
        <f t="shared" si="1"/>
        <v>0</v>
      </c>
      <c r="R647" s="172"/>
      <c r="S647" s="172"/>
      <c r="T647" s="118">
        <f t="array" ref="T647">IFERROR(
INDEX(REPORTE_DROPI!B:B,
MATCH(
CLEAN(TRIM(C647)),
CLEAN(TRIM(REPORTE_DROPI!E:E)),
0
)
),
""
)
</f>
        <v>4637818</v>
      </c>
      <c r="U647" s="169" t="s">
        <v>7772</v>
      </c>
      <c r="V647" s="166"/>
      <c r="W647" s="18"/>
      <c r="X647" s="18"/>
      <c r="Y647" s="18"/>
      <c r="Z647" s="18"/>
    </row>
    <row r="648" ht="22.5" hidden="1" customHeight="1">
      <c r="A648" s="169">
        <v>647.0</v>
      </c>
      <c r="B648" s="170">
        <v>46079.0</v>
      </c>
      <c r="C648" s="154" t="s">
        <v>7773</v>
      </c>
      <c r="D648" s="118" t="str">
        <f>IFERROR(__xludf.DUMMYFUNCTION("IFERROR( INDEX( FILTER( 'NOMBRE DE PRODUCTOS'!B:B, REGEXMATCH( UPPER( INDEX( REPORTE_DROPI!AC:AC, MATCH(T648, REPORTE_DROPI!B:B, 0) ) ), UPPER('NOMBRE DE PRODUCTOS'!A:A) ) ), 1 ), ""REVISAR"" )"),"FilmPro®")</f>
        <v>FilmPro®</v>
      </c>
      <c r="E648" s="120">
        <f t="array" ref="E648">IF(
UPPER(TRIM(CLEAN($O648)))="ENTREGADO",
IFERROR(
INDEX(REPORTE_DROPI!Y:Y,
MATCH($T648, REPORTE_DROPI!B:B, 0)
),
""
),
""
)
</f>
        <v>4.7</v>
      </c>
      <c r="F648" s="171">
        <v>2.0</v>
      </c>
      <c r="G648" s="122">
        <f t="array" ref="G648">IF(
UPPER(TRIM(CLEAN($O648)))="ENTREGADO",
IFERROR(
INDEX(REPORTE_DROPI!R:R,
MATCH($T648, REPORTE_DROPI!B:B, 0)
),
""
),
""
)
</f>
        <v>25</v>
      </c>
      <c r="H648" s="118" t="s">
        <v>3727</v>
      </c>
      <c r="I648" s="154" t="s">
        <v>3855</v>
      </c>
      <c r="J648" s="121">
        <f t="array" ref="J648">IF(
UPPER(TRIM(CLEAN($O648)))="ENTREGADO",
IFERROR(
INDEX(REPORTE_DROPI!T:T,
MATCH($T648, REPORTE_DROPI!B:B, 0)
),
""
),
""
)
</f>
        <v>5.96</v>
      </c>
      <c r="K648" s="118">
        <f t="array" ref="K648">IFERROR(
INDEX(REPORTE_DROPI!S:S,
MATCH($T648, REPORTE_DROPI!B:B, 0)
),
""
)</f>
        <v>14.34</v>
      </c>
      <c r="L648" s="118" t="str">
        <f>IF(
  O648&lt;&gt;"DEVOLUCION",
  "",
  IF(
    T648="",
    "",
    SUMIF(DEVOLUCION!F:F, T648, DEVOLUCION!D:D)
  )
)
</f>
        <v/>
      </c>
      <c r="M648" s="118" t="s">
        <v>5877</v>
      </c>
      <c r="N648" s="169" t="s">
        <v>7774</v>
      </c>
      <c r="O648" s="118" t="str">
        <f t="array" ref="O648">IFERROR(
VLOOKUP(
TRIM(CLEAN(
INDEX(REPORTE_DROPI!K:K,
MATCH(T648, REPORTE_DROPI!B:B, 0)
))),
{
TRIM(CLEAN(MAPA_ESTADOS!A:A)) ,
MAPA_ESTADOS!B:B
},
2,
FALSE
),
"REVISAR"
)</f>
        <v>ENTREGADO</v>
      </c>
      <c r="P648" s="154" t="s">
        <v>5692</v>
      </c>
      <c r="Q648" s="153">
        <f t="shared" si="1"/>
        <v>0</v>
      </c>
      <c r="R648" s="172"/>
      <c r="S648" s="172"/>
      <c r="T648" s="118">
        <f t="array" ref="T648">IFERROR(
INDEX(REPORTE_DROPI!B:B,
MATCH(
CLEAN(TRIM(C648)),
CLEAN(TRIM(REPORTE_DROPI!E:E)),
0
)
),
""
)
</f>
        <v>4643489</v>
      </c>
      <c r="U648" s="169"/>
      <c r="V648" s="166"/>
      <c r="W648" s="18"/>
      <c r="X648" s="18"/>
      <c r="Y648" s="18"/>
      <c r="Z648" s="18"/>
    </row>
    <row r="649" ht="22.5" hidden="1" customHeight="1">
      <c r="A649" s="169">
        <v>648.0</v>
      </c>
      <c r="B649" s="170">
        <v>46079.0</v>
      </c>
      <c r="C649" s="154" t="s">
        <v>7775</v>
      </c>
      <c r="D649" s="118" t="str">
        <f>IFERROR(__xludf.DUMMYFUNCTION("IFERROR( INDEX( FILTER( 'NOMBRE DE PRODUCTOS'!B:B, REGEXMATCH( UPPER( INDEX( REPORTE_DROPI!AC:AC, MATCH(T649, REPORTE_DROPI!B:B, 0) ) ), UPPER('NOMBRE DE PRODUCTOS'!A:A) ) ), 1 ), ""REVISAR"" )"),"Cuchillo Tazaki™")</f>
        <v>Cuchillo Tazaki™</v>
      </c>
      <c r="E649" s="120" t="str">
        <f t="array" ref="E649">IF(
UPPER(TRIM(CLEAN($O649)))="ENTREGADO",
IFERROR(
INDEX(REPORTE_DROPI!Y:Y,
MATCH($T649, REPORTE_DROPI!B:B, 0)
),
""
),
""
)
</f>
        <v/>
      </c>
      <c r="F649" s="171">
        <v>2.0</v>
      </c>
      <c r="G649" s="122" t="str">
        <f t="array" ref="G649">IF(
UPPER(TRIM(CLEAN($O649)))="ENTREGADO",
IFERROR(
INDEX(REPORTE_DROPI!R:R,
MATCH($T649, REPORTE_DROPI!B:B, 0)
),
""
),
""
)
</f>
        <v/>
      </c>
      <c r="H649" s="118" t="s">
        <v>3727</v>
      </c>
      <c r="I649" s="154" t="s">
        <v>3731</v>
      </c>
      <c r="J649" s="121" t="str">
        <f t="array" ref="J649">IF(
UPPER(TRIM(CLEAN($O649)))="ENTREGADO",
IFERROR(
INDEX(REPORTE_DROPI!T:T,
MATCH($T649, REPORTE_DROPI!B:B, 0)
),
""
),
""
)
</f>
        <v/>
      </c>
      <c r="K649" s="118" t="str">
        <f t="array" ref="K649">IFERROR(
INDEX(REPORTE_DROPI!S:S,
MATCH($T649, REPORTE_DROPI!B:B, 0)
),
""
)</f>
        <v/>
      </c>
      <c r="L649" s="118" t="str">
        <f>IF(
  O649&lt;&gt;"DEVOLUCION",
  "",
  IF(
    T649="",
    "",
    SUMIF(DEVOLUCION!F:F, T649, DEVOLUCION!D:D)
  )
)
</f>
        <v/>
      </c>
      <c r="M649" s="118" t="s">
        <v>5877</v>
      </c>
      <c r="N649" s="169" t="s">
        <v>7776</v>
      </c>
      <c r="O649" s="118" t="str">
        <f t="array" ref="O649">IFERROR(
VLOOKUP(
TRIM(CLEAN(
INDEX(REPORTE_DROPI!K:K,
MATCH(T649, REPORTE_DROPI!B:B, 0)
))),
{
TRIM(CLEAN(MAPA_ESTADOS!A:A)) ,
MAPA_ESTADOS!B:B
},
2,
FALSE
),
"REVISAR"
)</f>
        <v>PENDIENTE</v>
      </c>
      <c r="P649" s="154" t="s">
        <v>7719</v>
      </c>
      <c r="Q649" s="153">
        <f t="shared" si="1"/>
        <v>0</v>
      </c>
      <c r="R649" s="172"/>
      <c r="S649" s="172"/>
      <c r="T649" s="118">
        <f t="array" ref="T649">IFERROR(
INDEX(REPORTE_DROPI!B:B,
MATCH(
CLEAN(TRIM(C649)),
CLEAN(TRIM(REPORTE_DROPI!E:E)),
0
)
),
""
)
</f>
        <v>4637903</v>
      </c>
      <c r="U649" s="169" t="s">
        <v>7777</v>
      </c>
      <c r="V649" s="166"/>
      <c r="W649" s="18"/>
      <c r="X649" s="18"/>
      <c r="Y649" s="18"/>
      <c r="Z649" s="18"/>
    </row>
    <row r="650" ht="22.5" hidden="1" customHeight="1">
      <c r="A650" s="169">
        <v>649.0</v>
      </c>
      <c r="B650" s="170">
        <v>46080.0</v>
      </c>
      <c r="C650" s="154" t="s">
        <v>7778</v>
      </c>
      <c r="D650" s="118" t="str">
        <f>IFERROR(__xludf.DUMMYFUNCTION("IFERROR( INDEX( FILTER( 'NOMBRE DE PRODUCTOS'!B:B, REGEXMATCH( UPPER( INDEX( REPORTE_DROPI!AC:AC, MATCH(T650, REPORTE_DROPI!B:B, 0) ) ), UPPER('NOMBRE DE PRODUCTOS'!A:A) ) ), 1 ), ""REVISAR"" )"),"FilmPro®")</f>
        <v>FilmPro®</v>
      </c>
      <c r="E650" s="120" t="str">
        <f t="array" ref="E650">IF(
UPPER(TRIM(CLEAN($O650)))="ENTREGADO",
IFERROR(
INDEX(REPORTE_DROPI!Y:Y,
MATCH($T650, REPORTE_DROPI!B:B, 0)
),
""
),
""
)
</f>
        <v/>
      </c>
      <c r="F650" s="171">
        <v>3.0</v>
      </c>
      <c r="G650" s="122" t="str">
        <f t="array" ref="G650">IF(
UPPER(TRIM(CLEAN($O650)))="ENTREGADO",
IFERROR(
INDEX(REPORTE_DROPI!R:R,
MATCH($T650, REPORTE_DROPI!B:B, 0)
),
""
),
""
)
</f>
        <v/>
      </c>
      <c r="H650" s="118" t="s">
        <v>3727</v>
      </c>
      <c r="I650" s="154" t="s">
        <v>3731</v>
      </c>
      <c r="J650" s="121" t="str">
        <f t="array" ref="J650">IF(
UPPER(TRIM(CLEAN($O650)))="ENTREGADO",
IFERROR(
INDEX(REPORTE_DROPI!T:T,
MATCH($T650, REPORTE_DROPI!B:B, 0)
),
""
),
""
)
</f>
        <v/>
      </c>
      <c r="K650" s="118" t="str">
        <f t="array" ref="K650">IFERROR(
INDEX(REPORTE_DROPI!S:S,
MATCH($T650, REPORTE_DROPI!B:B, 0)
),
""
)</f>
        <v/>
      </c>
      <c r="L650" s="118" t="str">
        <f>IF(
  O650&lt;&gt;"DEVOLUCION",
  "",
  IF(
    T650="",
    "",
    SUMIF(DEVOLUCION!F:F, T650, DEVOLUCION!D:D)
  )
)
</f>
        <v/>
      </c>
      <c r="M650" s="118" t="s">
        <v>5877</v>
      </c>
      <c r="N650" s="169" t="s">
        <v>7779</v>
      </c>
      <c r="O650" s="118" t="str">
        <f t="array" ref="O650">IFERROR(
VLOOKUP(
TRIM(CLEAN(
INDEX(REPORTE_DROPI!K:K,
MATCH(T650, REPORTE_DROPI!B:B, 0)
))),
{
TRIM(CLEAN(MAPA_ESTADOS!A:A)) ,
MAPA_ESTADOS!B:B
},
2,
FALSE
),
"REVISAR"
)</f>
        <v>CANCELADO</v>
      </c>
      <c r="P650" s="154" t="s">
        <v>7780</v>
      </c>
      <c r="Q650" s="153">
        <f t="shared" si="1"/>
        <v>0</v>
      </c>
      <c r="R650" s="172"/>
      <c r="S650" s="172"/>
      <c r="T650" s="118">
        <f t="array" ref="T650">IFERROR(
INDEX(REPORTE_DROPI!B:B,
MATCH(
CLEAN(TRIM(C650)),
CLEAN(TRIM(REPORTE_DROPI!E:E)),
0
)
),
""
)
</f>
        <v>4642951</v>
      </c>
      <c r="U650" s="169" t="s">
        <v>7781</v>
      </c>
      <c r="V650" s="166"/>
      <c r="W650" s="18"/>
      <c r="X650" s="18"/>
      <c r="Y650" s="18"/>
      <c r="Z650" s="18"/>
    </row>
    <row r="651" ht="22.5" hidden="1" customHeight="1">
      <c r="A651" s="169">
        <v>650.0</v>
      </c>
      <c r="B651" s="170">
        <v>46080.0</v>
      </c>
      <c r="C651" s="154" t="s">
        <v>7782</v>
      </c>
      <c r="D651" s="118" t="str">
        <f>IFERROR(__xludf.DUMMYFUNCTION("IFERROR( INDEX( FILTER( 'NOMBRE DE PRODUCTOS'!B:B, REGEXMATCH( UPPER( INDEX( REPORTE_DROPI!AC:AC, MATCH(T651, REPORTE_DROPI!B:B, 0) ) ), UPPER('NOMBRE DE PRODUCTOS'!A:A) ) ), 1 ), ""REVISAR"" )"),"Cuchillo Tazaki™")</f>
        <v>Cuchillo Tazaki™</v>
      </c>
      <c r="E651" s="120">
        <f t="array" ref="E651">IF(
UPPER(TRIM(CLEAN($O651)))="ENTREGADO",
IFERROR(
INDEX(REPORTE_DROPI!Y:Y,
MATCH($T651, REPORTE_DROPI!B:B, 0)
),
""
),
""
)
</f>
        <v>15</v>
      </c>
      <c r="F651" s="171">
        <v>4.0</v>
      </c>
      <c r="G651" s="122">
        <f t="array" ref="G651">IF(
UPPER(TRIM(CLEAN($O651)))="ENTREGADO",
IFERROR(
INDEX(REPORTE_DROPI!R:R,
MATCH($T651, REPORTE_DROPI!B:B, 0)
),
""
),
""
)
</f>
        <v>32</v>
      </c>
      <c r="H651" s="118" t="s">
        <v>3727</v>
      </c>
      <c r="I651" s="154" t="s">
        <v>3731</v>
      </c>
      <c r="J651" s="121">
        <f t="array" ref="J651">IF(
UPPER(TRIM(CLEAN($O651)))="ENTREGADO",
IFERROR(
INDEX(REPORTE_DROPI!T:T,
MATCH($T651, REPORTE_DROPI!B:B, 0)
),
""
),
""
)
</f>
        <v>5.2</v>
      </c>
      <c r="K651" s="118">
        <f t="array" ref="K651">IFERROR(
INDEX(REPORTE_DROPI!S:S,
MATCH($T651, REPORTE_DROPI!B:B, 0)
),
""
)</f>
        <v>11.8</v>
      </c>
      <c r="L651" s="118" t="str">
        <f>IF(
  O651&lt;&gt;"DEVOLUCION",
  "",
  IF(
    T651="",
    "",
    SUMIF(DEVOLUCION!F:F, T651, DEVOLUCION!D:D)
  )
)
</f>
        <v/>
      </c>
      <c r="M651" s="118" t="s">
        <v>5877</v>
      </c>
      <c r="N651" s="169" t="s">
        <v>7783</v>
      </c>
      <c r="O651" s="118" t="str">
        <f t="array" ref="O651">IFERROR(
VLOOKUP(
TRIM(CLEAN(
INDEX(REPORTE_DROPI!K:K,
MATCH(T651, REPORTE_DROPI!B:B, 0)
))),
{
TRIM(CLEAN(MAPA_ESTADOS!A:A)) ,
MAPA_ESTADOS!B:B
},
2,
FALSE
),
"REVISAR"
)</f>
        <v>ENTREGADO</v>
      </c>
      <c r="P651" s="154" t="s">
        <v>7705</v>
      </c>
      <c r="Q651" s="153">
        <f t="shared" si="1"/>
        <v>0</v>
      </c>
      <c r="R651" s="172"/>
      <c r="S651" s="172"/>
      <c r="T651" s="118">
        <f t="array" ref="T651">IFERROR(
INDEX(REPORTE_DROPI!B:B,
MATCH(
CLEAN(TRIM(C651)),
CLEAN(TRIM(REPORTE_DROPI!E:E)),
0
)
),
""
)
</f>
        <v>4638809</v>
      </c>
      <c r="U651" s="169" t="s">
        <v>7784</v>
      </c>
      <c r="V651" s="166"/>
      <c r="W651" s="18"/>
      <c r="X651" s="18"/>
      <c r="Y651" s="18"/>
      <c r="Z651" s="18"/>
    </row>
    <row r="652" ht="22.5" hidden="1" customHeight="1">
      <c r="A652" s="169">
        <v>651.0</v>
      </c>
      <c r="B652" s="170">
        <v>46080.0</v>
      </c>
      <c r="C652" s="154" t="s">
        <v>7785</v>
      </c>
      <c r="D652" s="118" t="str">
        <f>IFERROR(__xludf.DUMMYFUNCTION("IFERROR( INDEX( FILTER( 'NOMBRE DE PRODUCTOS'!B:B, REGEXMATCH( UPPER( INDEX( REPORTE_DROPI!AC:AC, MATCH(T652, REPORTE_DROPI!B:B, 0) ) ), UPPER('NOMBRE DE PRODUCTOS'!A:A) ) ), 1 ), ""REVISAR"" )"),"Cuchillo Tazaki™")</f>
        <v>Cuchillo Tazaki™</v>
      </c>
      <c r="E652" s="120">
        <f t="array" ref="E652">IF(
UPPER(TRIM(CLEAN($O652)))="ENTREGADO",
IFERROR(
INDEX(REPORTE_DROPI!Y:Y,
MATCH($T652, REPORTE_DROPI!B:B, 0)
),
""
),
""
)
</f>
        <v>7.5</v>
      </c>
      <c r="F652" s="171">
        <v>2.0</v>
      </c>
      <c r="G652" s="122">
        <f t="array" ref="G652">IF(
UPPER(TRIM(CLEAN($O652)))="ENTREGADO",
IFERROR(
INDEX(REPORTE_DROPI!R:R,
MATCH($T652, REPORTE_DROPI!B:B, 0)
),
""
),
""
)
</f>
        <v>22</v>
      </c>
      <c r="H652" s="118" t="s">
        <v>3727</v>
      </c>
      <c r="I652" s="154" t="s">
        <v>3740</v>
      </c>
      <c r="J652" s="121">
        <f t="array" ref="J652">IF(
UPPER(TRIM(CLEAN($O652)))="ENTREGADO",
IFERROR(
INDEX(REPORTE_DROPI!T:T,
MATCH($T652, REPORTE_DROPI!B:B, 0)
),
""
),
""
)
</f>
        <v>5.84</v>
      </c>
      <c r="K652" s="118">
        <f t="array" ref="K652">IFERROR(
INDEX(REPORTE_DROPI!S:S,
MATCH($T652, REPORTE_DROPI!B:B, 0)
),
""
)</f>
        <v>8.66</v>
      </c>
      <c r="L652" s="118" t="str">
        <f>IF(
  O652&lt;&gt;"DEVOLUCION",
  "",
  IF(
    T652="",
    "",
    SUMIF(DEVOLUCION!F:F, T652, DEVOLUCION!D:D)
  )
)
</f>
        <v/>
      </c>
      <c r="M652" s="118" t="s">
        <v>5877</v>
      </c>
      <c r="N652" s="169" t="s">
        <v>7786</v>
      </c>
      <c r="O652" s="118" t="str">
        <f t="array" ref="O652">IFERROR(
VLOOKUP(
TRIM(CLEAN(
INDEX(REPORTE_DROPI!K:K,
MATCH(T652, REPORTE_DROPI!B:B, 0)
))),
{
TRIM(CLEAN(MAPA_ESTADOS!A:A)) ,
MAPA_ESTADOS!B:B
},
2,
FALSE
),
"REVISAR"
)</f>
        <v>ENTREGADO</v>
      </c>
      <c r="P652" s="154" t="s">
        <v>7705</v>
      </c>
      <c r="Q652" s="153">
        <f t="shared" si="1"/>
        <v>0</v>
      </c>
      <c r="R652" s="172"/>
      <c r="S652" s="172"/>
      <c r="T652" s="118">
        <f t="array" ref="T652">IFERROR(
INDEX(REPORTE_DROPI!B:B,
MATCH(
CLEAN(TRIM(C652)),
CLEAN(TRIM(REPORTE_DROPI!E:E)),
0
)
),
""
)
</f>
        <v>4639409</v>
      </c>
      <c r="U652" s="169" t="s">
        <v>7787</v>
      </c>
      <c r="V652" s="166"/>
      <c r="W652" s="18"/>
      <c r="X652" s="18"/>
      <c r="Y652" s="18"/>
      <c r="Z652" s="18"/>
    </row>
    <row r="653" ht="22.5" hidden="1" customHeight="1">
      <c r="A653" s="169">
        <v>652.0</v>
      </c>
      <c r="B653" s="170">
        <v>46080.0</v>
      </c>
      <c r="C653" s="154" t="s">
        <v>7788</v>
      </c>
      <c r="D653" s="118" t="str">
        <f>IFERROR(__xludf.DUMMYFUNCTION("IFERROR( INDEX( FILTER( 'NOMBRE DE PRODUCTOS'!B:B, REGEXMATCH( UPPER( INDEX( REPORTE_DROPI!AC:AC, MATCH(T653, REPORTE_DROPI!B:B, 0) ) ), UPPER('NOMBRE DE PRODUCTOS'!A:A) ) ), 1 ), ""REVISAR"" )"),"FilmPro®")</f>
        <v>FilmPro®</v>
      </c>
      <c r="E653" s="120">
        <f t="array" ref="E653">IF(
UPPER(TRIM(CLEAN($O653)))="ENTREGADO",
IFERROR(
INDEX(REPORTE_DROPI!Y:Y,
MATCH($T653, REPORTE_DROPI!B:B, 0)
),
""
),
""
)
</f>
        <v>4.7</v>
      </c>
      <c r="F653" s="171">
        <v>2.0</v>
      </c>
      <c r="G653" s="122">
        <f t="array" ref="G653">IF(
UPPER(TRIM(CLEAN($O653)))="ENTREGADO",
IFERROR(
INDEX(REPORTE_DROPI!R:R,
MATCH($T653, REPORTE_DROPI!B:B, 0)
),
""
),
""
)
</f>
        <v>25</v>
      </c>
      <c r="H653" s="118" t="s">
        <v>3727</v>
      </c>
      <c r="I653" s="154" t="s">
        <v>3740</v>
      </c>
      <c r="J653" s="121">
        <f t="array" ref="J653">IF(
UPPER(TRIM(CLEAN($O653)))="ENTREGADO",
IFERROR(
INDEX(REPORTE_DROPI!T:T,
MATCH($T653, REPORTE_DROPI!B:B, 0)
),
""
),
""
)
</f>
        <v>5.96</v>
      </c>
      <c r="K653" s="118">
        <f t="array" ref="K653">IFERROR(
INDEX(REPORTE_DROPI!S:S,
MATCH($T653, REPORTE_DROPI!B:B, 0)
),
""
)</f>
        <v>14.34</v>
      </c>
      <c r="L653" s="118" t="str">
        <f>IF(
  O653&lt;&gt;"DEVOLUCION",
  "",
  IF(
    T653="",
    "",
    SUMIF(DEVOLUCION!F:F, T653, DEVOLUCION!D:D)
  )
)
</f>
        <v/>
      </c>
      <c r="M653" s="118" t="s">
        <v>5877</v>
      </c>
      <c r="N653" s="169" t="s">
        <v>7789</v>
      </c>
      <c r="O653" s="118" t="str">
        <f t="array" ref="O653">IFERROR(
VLOOKUP(
TRIM(CLEAN(
INDEX(REPORTE_DROPI!K:K,
MATCH(T653, REPORTE_DROPI!B:B, 0)
))),
{
TRIM(CLEAN(MAPA_ESTADOS!A:A)) ,
MAPA_ESTADOS!B:B
},
2,
FALSE
),
"REVISAR"
)</f>
        <v>ENTREGADO</v>
      </c>
      <c r="P653" s="154" t="s">
        <v>7705</v>
      </c>
      <c r="Q653" s="153">
        <f t="shared" si="1"/>
        <v>0</v>
      </c>
      <c r="R653" s="172"/>
      <c r="S653" s="172"/>
      <c r="T653" s="118">
        <f t="array" ref="T653">IFERROR(
INDEX(REPORTE_DROPI!B:B,
MATCH(
CLEAN(TRIM(C653)),
CLEAN(TRIM(REPORTE_DROPI!E:E)),
0
)
),
""
)
</f>
        <v>4639514</v>
      </c>
      <c r="U653" s="169" t="s">
        <v>7790</v>
      </c>
      <c r="V653" s="166"/>
      <c r="W653" s="18"/>
      <c r="X653" s="18"/>
      <c r="Y653" s="18"/>
      <c r="Z653" s="18"/>
    </row>
    <row r="654" ht="22.5" hidden="1" customHeight="1">
      <c r="A654" s="169">
        <v>653.0</v>
      </c>
      <c r="B654" s="170">
        <v>46080.0</v>
      </c>
      <c r="C654" s="154" t="s">
        <v>7791</v>
      </c>
      <c r="D654" s="118" t="str">
        <f>IFERROR(__xludf.DUMMYFUNCTION("IFERROR( INDEX( FILTER( 'NOMBRE DE PRODUCTOS'!B:B, REGEXMATCH( UPPER( INDEX( REPORTE_DROPI!AC:AC, MATCH(T654, REPORTE_DROPI!B:B, 0) ) ), UPPER('NOMBRE DE PRODUCTOS'!A:A) ) ), 1 ), ""REVISAR"" )"),"Cuchillo Tazaki™")</f>
        <v>Cuchillo Tazaki™</v>
      </c>
      <c r="E654" s="120" t="str">
        <f t="array" ref="E654">IF(
UPPER(TRIM(CLEAN($O654)))="ENTREGADO",
IFERROR(
INDEX(REPORTE_DROPI!Y:Y,
MATCH($T654, REPORTE_DROPI!B:B, 0)
),
""
),
""
)
</f>
        <v/>
      </c>
      <c r="F654" s="171">
        <v>2.0</v>
      </c>
      <c r="G654" s="122" t="str">
        <f t="array" ref="G654">IF(
UPPER(TRIM(CLEAN($O654)))="ENTREGADO",
IFERROR(
INDEX(REPORTE_DROPI!R:R,
MATCH($T654, REPORTE_DROPI!B:B, 0)
),
""
),
""
)
</f>
        <v/>
      </c>
      <c r="H654" s="118" t="s">
        <v>3727</v>
      </c>
      <c r="I654" s="154" t="s">
        <v>3855</v>
      </c>
      <c r="J654" s="121" t="str">
        <f t="array" ref="J654">IF(
UPPER(TRIM(CLEAN($O654)))="ENTREGADO",
IFERROR(
INDEX(REPORTE_DROPI!T:T,
MATCH($T654, REPORTE_DROPI!B:B, 0)
),
""
),
""
)
</f>
        <v/>
      </c>
      <c r="K654" s="118" t="str">
        <f t="array" ref="K654">IFERROR(
INDEX(REPORTE_DROPI!S:S,
MATCH($T654, REPORTE_DROPI!B:B, 0)
),
""
)</f>
        <v/>
      </c>
      <c r="L654" s="118">
        <f>IF(
  O654&lt;&gt;"DEVOLUCION",
  "",
  IF(
    T654="",
    "",
    SUMIF(DEVOLUCION!F:F, T654, DEVOLUCION!D:D)
  )
)
</f>
        <v>0</v>
      </c>
      <c r="M654" s="118" t="s">
        <v>5877</v>
      </c>
      <c r="N654" s="169" t="s">
        <v>7792</v>
      </c>
      <c r="O654" s="118" t="str">
        <f t="array" ref="O654">IFERROR(
VLOOKUP(
TRIM(CLEAN(
INDEX(REPORTE_DROPI!K:K,
MATCH(T654, REPORTE_DROPI!B:B, 0)
))),
{
TRIM(CLEAN(MAPA_ESTADOS!A:A)) ,
MAPA_ESTADOS!B:B
},
2,
FALSE
),
"REVISAR"
)</f>
        <v>DEVOLUCION</v>
      </c>
      <c r="P654" s="154" t="s">
        <v>7705</v>
      </c>
      <c r="Q654" s="153">
        <f t="shared" si="1"/>
        <v>0</v>
      </c>
      <c r="R654" s="172"/>
      <c r="S654" s="172"/>
      <c r="T654" s="118">
        <f t="array" ref="T654">IFERROR(
INDEX(REPORTE_DROPI!B:B,
MATCH(
CLEAN(TRIM(C654)),
CLEAN(TRIM(REPORTE_DROPI!E:E)),
0
)
),
""
)
</f>
        <v>4639899</v>
      </c>
      <c r="U654" s="169" t="s">
        <v>7793</v>
      </c>
      <c r="V654" s="166"/>
      <c r="W654" s="18"/>
      <c r="X654" s="18"/>
      <c r="Y654" s="18"/>
      <c r="Z654" s="18"/>
    </row>
    <row r="655" ht="22.5" hidden="1" customHeight="1">
      <c r="A655" s="169">
        <v>654.0</v>
      </c>
      <c r="B655" s="170">
        <v>46080.0</v>
      </c>
      <c r="C655" s="154" t="s">
        <v>7794</v>
      </c>
      <c r="D655" s="118" t="str">
        <f>IFERROR(__xludf.DUMMYFUNCTION("IFERROR( INDEX( FILTER( 'NOMBRE DE PRODUCTOS'!B:B, REGEXMATCH( UPPER( INDEX( REPORTE_DROPI!AC:AC, MATCH(T655, REPORTE_DROPI!B:B, 0) ) ), UPPER('NOMBRE DE PRODUCTOS'!A:A) ) ), 1 ), ""REVISAR"" )"),"Cuchillo Tazaki™")</f>
        <v>Cuchillo Tazaki™</v>
      </c>
      <c r="E655" s="120" t="str">
        <f t="array" ref="E655">IF(
UPPER(TRIM(CLEAN($O655)))="ENTREGADO",
IFERROR(
INDEX(REPORTE_DROPI!Y:Y,
MATCH($T655, REPORTE_DROPI!B:B, 0)
),
""
),
""
)
</f>
        <v/>
      </c>
      <c r="F655" s="171">
        <v>2.0</v>
      </c>
      <c r="G655" s="122" t="str">
        <f t="array" ref="G655">IF(
UPPER(TRIM(CLEAN($O655)))="ENTREGADO",
IFERROR(
INDEX(REPORTE_DROPI!R:R,
MATCH($T655, REPORTE_DROPI!B:B, 0)
),
""
),
""
)
</f>
        <v/>
      </c>
      <c r="H655" s="118" t="s">
        <v>3727</v>
      </c>
      <c r="I655" s="154" t="s">
        <v>3969</v>
      </c>
      <c r="J655" s="121" t="str">
        <f t="array" ref="J655">IF(
UPPER(TRIM(CLEAN($O655)))="ENTREGADO",
IFERROR(
INDEX(REPORTE_DROPI!T:T,
MATCH($T655, REPORTE_DROPI!B:B, 0)
),
""
),
""
)
</f>
        <v/>
      </c>
      <c r="K655" s="118" t="str">
        <f t="array" ref="K655">IFERROR(
INDEX(REPORTE_DROPI!S:S,
MATCH($T655, REPORTE_DROPI!B:B, 0)
),
""
)</f>
        <v/>
      </c>
      <c r="L655" s="118" t="str">
        <f>IF(
  O655&lt;&gt;"DEVOLUCION",
  "",
  IF(
    T655="",
    "",
    SUMIF(DEVOLUCION!F:F, T655, DEVOLUCION!D:D)
  )
)
</f>
        <v/>
      </c>
      <c r="M655" s="118" t="s">
        <v>5877</v>
      </c>
      <c r="N655" s="169" t="s">
        <v>7795</v>
      </c>
      <c r="O655" s="118" t="str">
        <f t="array" ref="O655">IFERROR(
VLOOKUP(
TRIM(CLEAN(
INDEX(REPORTE_DROPI!K:K,
MATCH(T655, REPORTE_DROPI!B:B, 0)
))),
{
TRIM(CLEAN(MAPA_ESTADOS!A:A)) ,
MAPA_ESTADOS!B:B
},
2,
FALSE
),
"REVISAR"
)</f>
        <v>PENDIENTE</v>
      </c>
      <c r="P655" s="154" t="s">
        <v>7796</v>
      </c>
      <c r="Q655" s="153">
        <f t="shared" si="1"/>
        <v>0</v>
      </c>
      <c r="R655" s="172"/>
      <c r="S655" s="172"/>
      <c r="T655" s="118">
        <f t="array" ref="T655">IFERROR(
INDEX(REPORTE_DROPI!B:B,
MATCH(
CLEAN(TRIM(C655)),
CLEAN(TRIM(REPORTE_DROPI!E:E)),
0
)
),
""
)
</f>
        <v>4639907</v>
      </c>
      <c r="U655" s="169" t="s">
        <v>7797</v>
      </c>
      <c r="V655" s="166"/>
      <c r="W655" s="18"/>
      <c r="X655" s="18"/>
      <c r="Y655" s="18"/>
      <c r="Z655" s="18"/>
    </row>
    <row r="656" ht="22.5" hidden="1" customHeight="1">
      <c r="A656" s="169">
        <v>655.0</v>
      </c>
      <c r="B656" s="170">
        <v>46080.0</v>
      </c>
      <c r="C656" s="154" t="s">
        <v>7798</v>
      </c>
      <c r="D656" s="118" t="str">
        <f>IFERROR(__xludf.DUMMYFUNCTION("IFERROR( INDEX( FILTER( 'NOMBRE DE PRODUCTOS'!B:B, REGEXMATCH( UPPER( INDEX( REPORTE_DROPI!AC:AC, MATCH(T656, REPORTE_DROPI!B:B, 0) ) ), UPPER('NOMBRE DE PRODUCTOS'!A:A) ) ), 1 ), ""REVISAR"" )"),"Cuchillo Tazaki™")</f>
        <v>Cuchillo Tazaki™</v>
      </c>
      <c r="E656" s="120">
        <f t="array" ref="E656">IF(
UPPER(TRIM(CLEAN($O656)))="ENTREGADO",
IFERROR(
INDEX(REPORTE_DROPI!Y:Y,
MATCH($T656, REPORTE_DROPI!B:B, 0)
),
""
),
""
)
</f>
        <v>7.5</v>
      </c>
      <c r="F656" s="171">
        <v>2.0</v>
      </c>
      <c r="G656" s="122">
        <f t="array" ref="G656">IF(
UPPER(TRIM(CLEAN($O656)))="ENTREGADO",
IFERROR(
INDEX(REPORTE_DROPI!R:R,
MATCH($T656, REPORTE_DROPI!B:B, 0)
),
""
),
""
)
</f>
        <v>22</v>
      </c>
      <c r="H656" s="118" t="s">
        <v>3727</v>
      </c>
      <c r="I656" s="154" t="s">
        <v>3804</v>
      </c>
      <c r="J656" s="121">
        <f t="array" ref="J656">IF(
UPPER(TRIM(CLEAN($O656)))="ENTREGADO",
IFERROR(
INDEX(REPORTE_DROPI!T:T,
MATCH($T656, REPORTE_DROPI!B:B, 0)
),
""
),
""
)
</f>
        <v>5.84</v>
      </c>
      <c r="K656" s="118">
        <f t="array" ref="K656">IFERROR(
INDEX(REPORTE_DROPI!S:S,
MATCH($T656, REPORTE_DROPI!B:B, 0)
),
""
)</f>
        <v>8.66</v>
      </c>
      <c r="L656" s="118" t="str">
        <f>IF(
  O656&lt;&gt;"DEVOLUCION",
  "",
  IF(
    T656="",
    "",
    SUMIF(DEVOLUCION!F:F, T656, DEVOLUCION!D:D)
  )
)
</f>
        <v/>
      </c>
      <c r="M656" s="118" t="s">
        <v>5877</v>
      </c>
      <c r="N656" s="169" t="s">
        <v>7799</v>
      </c>
      <c r="O656" s="118" t="str">
        <f t="array" ref="O656">IFERROR(
VLOOKUP(
TRIM(CLEAN(
INDEX(REPORTE_DROPI!K:K,
MATCH(T656, REPORTE_DROPI!B:B, 0)
))),
{
TRIM(CLEAN(MAPA_ESTADOS!A:A)) ,
MAPA_ESTADOS!B:B
},
2,
FALSE
),
"REVISAR"
)</f>
        <v>ENTREGADO</v>
      </c>
      <c r="P656" s="154" t="s">
        <v>7705</v>
      </c>
      <c r="Q656" s="153">
        <f t="shared" si="1"/>
        <v>0</v>
      </c>
      <c r="R656" s="172"/>
      <c r="S656" s="172"/>
      <c r="T656" s="118">
        <f t="array" ref="T656">IFERROR(
INDEX(REPORTE_DROPI!B:B,
MATCH(
CLEAN(TRIM(C656)),
CLEAN(TRIM(REPORTE_DROPI!E:E)),
0
)
),
""
)
</f>
        <v>4639943</v>
      </c>
      <c r="U656" s="169" t="s">
        <v>7800</v>
      </c>
      <c r="V656" s="166"/>
      <c r="W656" s="18"/>
      <c r="X656" s="18"/>
      <c r="Y656" s="18"/>
      <c r="Z656" s="18"/>
    </row>
    <row r="657" ht="22.5" hidden="1" customHeight="1">
      <c r="A657" s="169">
        <v>656.0</v>
      </c>
      <c r="B657" s="170">
        <v>46080.0</v>
      </c>
      <c r="C657" s="154" t="s">
        <v>7801</v>
      </c>
      <c r="D657" s="118" t="str">
        <f>IFERROR(__xludf.DUMMYFUNCTION("IFERROR( INDEX( FILTER( 'NOMBRE DE PRODUCTOS'!B:B, REGEXMATCH( UPPER( INDEX( REPORTE_DROPI!AC:AC, MATCH(T657, REPORTE_DROPI!B:B, 0) ) ), UPPER('NOMBRE DE PRODUCTOS'!A:A) ) ), 1 ), ""REVISAR"" )"),"FilmPro®")</f>
        <v>FilmPro®</v>
      </c>
      <c r="E657" s="120" t="str">
        <f t="array" ref="E657">IF(
UPPER(TRIM(CLEAN($O657)))="ENTREGADO",
IFERROR(
INDEX(REPORTE_DROPI!Y:Y,
MATCH($T657, REPORTE_DROPI!B:B, 0)
),
""
),
""
)
</f>
        <v/>
      </c>
      <c r="F657" s="171">
        <v>1.0</v>
      </c>
      <c r="G657" s="122" t="str">
        <f t="array" ref="G657">IF(
UPPER(TRIM(CLEAN($O657)))="ENTREGADO",
IFERROR(
INDEX(REPORTE_DROPI!R:R,
MATCH($T657, REPORTE_DROPI!B:B, 0)
),
""
),
""
)
</f>
        <v/>
      </c>
      <c r="H657" s="118" t="s">
        <v>3727</v>
      </c>
      <c r="I657" s="154" t="s">
        <v>3731</v>
      </c>
      <c r="J657" s="121" t="str">
        <f t="array" ref="J657">IF(
UPPER(TRIM(CLEAN($O657)))="ENTREGADO",
IFERROR(
INDEX(REPORTE_DROPI!T:T,
MATCH($T657, REPORTE_DROPI!B:B, 0)
),
""
),
""
)
</f>
        <v/>
      </c>
      <c r="K657" s="118" t="str">
        <f t="array" ref="K657">IFERROR(
INDEX(REPORTE_DROPI!S:S,
MATCH($T657, REPORTE_DROPI!B:B, 0)
),
""
)</f>
        <v/>
      </c>
      <c r="L657" s="118" t="str">
        <f>IF(
  O657&lt;&gt;"DEVOLUCION",
  "",
  IF(
    T657="",
    "",
    SUMIF(DEVOLUCION!F:F, T657, DEVOLUCION!D:D)
  )
)
</f>
        <v/>
      </c>
      <c r="M657" s="118" t="s">
        <v>5877</v>
      </c>
      <c r="N657" s="169" t="s">
        <v>7802</v>
      </c>
      <c r="O657" s="118" t="str">
        <f t="array" ref="O657">IFERROR(
VLOOKUP(
TRIM(CLEAN(
INDEX(REPORTE_DROPI!K:K,
MATCH(T657, REPORTE_DROPI!B:B, 0)
))),
{
TRIM(CLEAN(MAPA_ESTADOS!A:A)) ,
MAPA_ESTADOS!B:B
},
2,
FALSE
),
"REVISAR"
)</f>
        <v>PENDIENTE</v>
      </c>
      <c r="P657" s="154" t="s">
        <v>7719</v>
      </c>
      <c r="Q657" s="153">
        <f t="shared" si="1"/>
        <v>0</v>
      </c>
      <c r="R657" s="172"/>
      <c r="S657" s="172"/>
      <c r="T657" s="118">
        <f t="array" ref="T657">IFERROR(
INDEX(REPORTE_DROPI!B:B,
MATCH(
CLEAN(TRIM(C657)),
CLEAN(TRIM(REPORTE_DROPI!E:E)),
0
)
),
""
)
</f>
        <v>4640258</v>
      </c>
      <c r="U657" s="169" t="s">
        <v>7803</v>
      </c>
      <c r="V657" s="166"/>
      <c r="W657" s="18"/>
      <c r="X657" s="18"/>
      <c r="Y657" s="18"/>
      <c r="Z657" s="18"/>
    </row>
    <row r="658" ht="22.5" hidden="1" customHeight="1">
      <c r="A658" s="169">
        <v>657.0</v>
      </c>
      <c r="B658" s="170">
        <v>46080.0</v>
      </c>
      <c r="C658" s="154" t="s">
        <v>7804</v>
      </c>
      <c r="D658" s="118" t="str">
        <f>IFERROR(__xludf.DUMMYFUNCTION("IFERROR( INDEX( FILTER( 'NOMBRE DE PRODUCTOS'!B:B, REGEXMATCH( UPPER( INDEX( REPORTE_DROPI!AC:AC, MATCH(T658, REPORTE_DROPI!B:B, 0) ) ), UPPER('NOMBRE DE PRODUCTOS'!A:A) ) ), 1 ), ""REVISAR"" )"),"Cuchillo Tazaki™")</f>
        <v>Cuchillo Tazaki™</v>
      </c>
      <c r="E658" s="120" t="str">
        <f t="array" ref="E658">IF(
UPPER(TRIM(CLEAN($O658)))="ENTREGADO",
IFERROR(
INDEX(REPORTE_DROPI!Y:Y,
MATCH($T658, REPORTE_DROPI!B:B, 0)
),
""
),
""
)
</f>
        <v/>
      </c>
      <c r="F658" s="171">
        <v>2.0</v>
      </c>
      <c r="G658" s="122" t="str">
        <f t="array" ref="G658">IF(
UPPER(TRIM(CLEAN($O658)))="ENTREGADO",
IFERROR(
INDEX(REPORTE_DROPI!R:R,
MATCH($T658, REPORTE_DROPI!B:B, 0)
),
""
),
""
)
</f>
        <v/>
      </c>
      <c r="H658" s="118" t="s">
        <v>3727</v>
      </c>
      <c r="I658" s="154" t="s">
        <v>3740</v>
      </c>
      <c r="J658" s="121" t="str">
        <f t="array" ref="J658">IF(
UPPER(TRIM(CLEAN($O658)))="ENTREGADO",
IFERROR(
INDEX(REPORTE_DROPI!T:T,
MATCH($T658, REPORTE_DROPI!B:B, 0)
),
""
),
""
)
</f>
        <v/>
      </c>
      <c r="K658" s="118" t="str">
        <f t="array" ref="K658">IFERROR(
INDEX(REPORTE_DROPI!S:S,
MATCH($T658, REPORTE_DROPI!B:B, 0)
),
""
)</f>
        <v/>
      </c>
      <c r="L658" s="118" t="str">
        <f>IF(
  O658&lt;&gt;"DEVOLUCION",
  "",
  IF(
    T658="",
    "",
    SUMIF(DEVOLUCION!F:F, T658, DEVOLUCION!D:D)
  )
)
</f>
        <v/>
      </c>
      <c r="M658" s="118" t="s">
        <v>5877</v>
      </c>
      <c r="N658" s="169" t="s">
        <v>7805</v>
      </c>
      <c r="O658" s="118" t="str">
        <f t="array" ref="O658">IFERROR(
VLOOKUP(
TRIM(CLEAN(
INDEX(REPORTE_DROPI!K:K,
MATCH(T658, REPORTE_DROPI!B:B, 0)
))),
{
TRIM(CLEAN(MAPA_ESTADOS!A:A)) ,
MAPA_ESTADOS!B:B
},
2,
FALSE
),
"REVISAR"
)</f>
        <v>CANCELADO</v>
      </c>
      <c r="P658" s="154" t="s">
        <v>7806</v>
      </c>
      <c r="Q658" s="153">
        <f t="shared" si="1"/>
        <v>0</v>
      </c>
      <c r="R658" s="172"/>
      <c r="S658" s="172"/>
      <c r="T658" s="118">
        <f t="array" ref="T658">IFERROR(
INDEX(REPORTE_DROPI!B:B,
MATCH(
CLEAN(TRIM(C658)),
CLEAN(TRIM(REPORTE_DROPI!E:E)),
0
)
),
""
)
</f>
        <v>4640288</v>
      </c>
      <c r="U658" s="169" t="s">
        <v>7807</v>
      </c>
      <c r="V658" s="166"/>
      <c r="W658" s="18"/>
      <c r="X658" s="18"/>
      <c r="Y658" s="18"/>
      <c r="Z658" s="18"/>
    </row>
    <row r="659" ht="22.5" hidden="1" customHeight="1">
      <c r="A659" s="169">
        <v>658.0</v>
      </c>
      <c r="B659" s="170">
        <v>46080.0</v>
      </c>
      <c r="C659" s="154" t="s">
        <v>7808</v>
      </c>
      <c r="D659" s="118" t="str">
        <f>IFERROR(__xludf.DUMMYFUNCTION("IFERROR( INDEX( FILTER( 'NOMBRE DE PRODUCTOS'!B:B, REGEXMATCH( UPPER( INDEX( REPORTE_DROPI!AC:AC, MATCH(T659, REPORTE_DROPI!B:B, 0) ) ), UPPER('NOMBRE DE PRODUCTOS'!A:A) ) ), 1 ), ""REVISAR"" )"),"Cuchillo Tazaki™")</f>
        <v>Cuchillo Tazaki™</v>
      </c>
      <c r="E659" s="120" t="str">
        <f t="array" ref="E659">IF(
UPPER(TRIM(CLEAN($O659)))="ENTREGADO",
IFERROR(
INDEX(REPORTE_DROPI!Y:Y,
MATCH($T659, REPORTE_DROPI!B:B, 0)
),
""
),
""
)
</f>
        <v/>
      </c>
      <c r="F659" s="171">
        <v>2.0</v>
      </c>
      <c r="G659" s="122" t="str">
        <f t="array" ref="G659">IF(
UPPER(TRIM(CLEAN($O659)))="ENTREGADO",
IFERROR(
INDEX(REPORTE_DROPI!R:R,
MATCH($T659, REPORTE_DROPI!B:B, 0)
),
""
),
""
)
</f>
        <v/>
      </c>
      <c r="H659" s="118" t="s">
        <v>3727</v>
      </c>
      <c r="I659" s="154" t="s">
        <v>3740</v>
      </c>
      <c r="J659" s="121" t="str">
        <f t="array" ref="J659">IF(
UPPER(TRIM(CLEAN($O659)))="ENTREGADO",
IFERROR(
INDEX(REPORTE_DROPI!T:T,
MATCH($T659, REPORTE_DROPI!B:B, 0)
),
""
),
""
)
</f>
        <v/>
      </c>
      <c r="K659" s="118" t="str">
        <f t="array" ref="K659">IFERROR(
INDEX(REPORTE_DROPI!S:S,
MATCH($T659, REPORTE_DROPI!B:B, 0)
),
""
)</f>
        <v/>
      </c>
      <c r="L659" s="118" t="str">
        <f>IF(
  O659&lt;&gt;"DEVOLUCION",
  "",
  IF(
    T659="",
    "",
    SUMIF(DEVOLUCION!F:F, T659, DEVOLUCION!D:D)
  )
)
</f>
        <v/>
      </c>
      <c r="M659" s="118" t="s">
        <v>5877</v>
      </c>
      <c r="N659" s="169" t="s">
        <v>7809</v>
      </c>
      <c r="O659" s="118" t="str">
        <f t="array" ref="O659">IFERROR(
VLOOKUP(
TRIM(CLEAN(
INDEX(REPORTE_DROPI!K:K,
MATCH(T659, REPORTE_DROPI!B:B, 0)
))),
{
TRIM(CLEAN(MAPA_ESTADOS!A:A)) ,
MAPA_ESTADOS!B:B
},
2,
FALSE
),
"REVISAR"
)</f>
        <v>PENDIENTE</v>
      </c>
      <c r="P659" s="154" t="s">
        <v>7736</v>
      </c>
      <c r="Q659" s="153">
        <f t="shared" si="1"/>
        <v>0</v>
      </c>
      <c r="R659" s="172"/>
      <c r="S659" s="172"/>
      <c r="T659" s="118">
        <f t="array" ref="T659">IFERROR(
INDEX(REPORTE_DROPI!B:B,
MATCH(
CLEAN(TRIM(C659)),
CLEAN(TRIM(REPORTE_DROPI!E:E)),
0
)
),
""
)
</f>
        <v>4640294</v>
      </c>
      <c r="U659" s="169" t="s">
        <v>7810</v>
      </c>
      <c r="V659" s="166"/>
      <c r="W659" s="18"/>
      <c r="X659" s="18"/>
      <c r="Y659" s="18"/>
      <c r="Z659" s="18"/>
    </row>
    <row r="660" ht="22.5" hidden="1" customHeight="1">
      <c r="A660" s="169">
        <v>659.0</v>
      </c>
      <c r="B660" s="170">
        <v>46080.0</v>
      </c>
      <c r="C660" s="154" t="s">
        <v>7811</v>
      </c>
      <c r="D660" s="118" t="str">
        <f>IFERROR(__xludf.DUMMYFUNCTION("IFERROR( INDEX( FILTER( 'NOMBRE DE PRODUCTOS'!B:B, REGEXMATCH( UPPER( INDEX( REPORTE_DROPI!AC:AC, MATCH(T660, REPORTE_DROPI!B:B, 0) ) ), UPPER('NOMBRE DE PRODUCTOS'!A:A) ) ), 1 ), ""REVISAR"" )"),"Cuchillo Tazaki™")</f>
        <v>Cuchillo Tazaki™</v>
      </c>
      <c r="E660" s="120" t="str">
        <f t="array" ref="E660">IF(
UPPER(TRIM(CLEAN($O660)))="ENTREGADO",
IFERROR(
INDEX(REPORTE_DROPI!Y:Y,
MATCH($T660, REPORTE_DROPI!B:B, 0)
),
""
),
""
)
</f>
        <v/>
      </c>
      <c r="F660" s="171">
        <v>2.0</v>
      </c>
      <c r="G660" s="122" t="str">
        <f t="array" ref="G660">IF(
UPPER(TRIM(CLEAN($O660)))="ENTREGADO",
IFERROR(
INDEX(REPORTE_DROPI!R:R,
MATCH($T660, REPORTE_DROPI!B:B, 0)
),
""
),
""
)
</f>
        <v/>
      </c>
      <c r="H660" s="118" t="s">
        <v>3727</v>
      </c>
      <c r="I660" s="154" t="s">
        <v>3742</v>
      </c>
      <c r="J660" s="121" t="str">
        <f t="array" ref="J660">IF(
UPPER(TRIM(CLEAN($O660)))="ENTREGADO",
IFERROR(
INDEX(REPORTE_DROPI!T:T,
MATCH($T660, REPORTE_DROPI!B:B, 0)
),
""
),
""
)
</f>
        <v/>
      </c>
      <c r="K660" s="118" t="str">
        <f t="array" ref="K660">IFERROR(
INDEX(REPORTE_DROPI!S:S,
MATCH($T660, REPORTE_DROPI!B:B, 0)
),
""
)</f>
        <v/>
      </c>
      <c r="L660" s="118" t="str">
        <f>IF(
  O660&lt;&gt;"DEVOLUCION",
  "",
  IF(
    T660="",
    "",
    SUMIF(DEVOLUCION!F:F, T660, DEVOLUCION!D:D)
  )
)
</f>
        <v/>
      </c>
      <c r="M660" s="118" t="s">
        <v>5877</v>
      </c>
      <c r="N660" s="169" t="s">
        <v>7812</v>
      </c>
      <c r="O660" s="118" t="str">
        <f t="array" ref="O660">IFERROR(
VLOOKUP(
TRIM(CLEAN(
INDEX(REPORTE_DROPI!K:K,
MATCH(T660, REPORTE_DROPI!B:B, 0)
))),
{
TRIM(CLEAN(MAPA_ESTADOS!A:A)) ,
MAPA_ESTADOS!B:B
},
2,
FALSE
),
"REVISAR"
)</f>
        <v>PENDIENTE</v>
      </c>
      <c r="P660" s="154" t="s">
        <v>7719</v>
      </c>
      <c r="Q660" s="153">
        <f t="shared" si="1"/>
        <v>0</v>
      </c>
      <c r="R660" s="172"/>
      <c r="S660" s="172"/>
      <c r="T660" s="118">
        <f t="array" ref="T660">IFERROR(
INDEX(REPORTE_DROPI!B:B,
MATCH(
CLEAN(TRIM(C660)),
CLEAN(TRIM(REPORTE_DROPI!E:E)),
0
)
),
""
)
</f>
        <v>4640742</v>
      </c>
      <c r="U660" s="169" t="s">
        <v>7813</v>
      </c>
      <c r="V660" s="166"/>
      <c r="W660" s="18"/>
      <c r="X660" s="18"/>
      <c r="Y660" s="18"/>
      <c r="Z660" s="18"/>
    </row>
    <row r="661" ht="22.5" hidden="1" customHeight="1">
      <c r="A661" s="169">
        <v>660.0</v>
      </c>
      <c r="B661" s="170">
        <v>46080.0</v>
      </c>
      <c r="C661" s="154" t="s">
        <v>7814</v>
      </c>
      <c r="D661" s="118" t="str">
        <f>IFERROR(__xludf.DUMMYFUNCTION("IFERROR( INDEX( FILTER( 'NOMBRE DE PRODUCTOS'!B:B, REGEXMATCH( UPPER( INDEX( REPORTE_DROPI!AC:AC, MATCH(T661, REPORTE_DROPI!B:B, 0) ) ), UPPER('NOMBRE DE PRODUCTOS'!A:A) ) ), 1 ), ""REVISAR"" )"),"Cuchillo Tazaki™")</f>
        <v>Cuchillo Tazaki™</v>
      </c>
      <c r="E661" s="120" t="str">
        <f t="array" ref="E661">IF(
UPPER(TRIM(CLEAN($O661)))="ENTREGADO",
IFERROR(
INDEX(REPORTE_DROPI!Y:Y,
MATCH($T661, REPORTE_DROPI!B:B, 0)
),
""
),
""
)
</f>
        <v/>
      </c>
      <c r="F661" s="171">
        <v>3.0</v>
      </c>
      <c r="G661" s="122" t="str">
        <f t="array" ref="G661">IF(
UPPER(TRIM(CLEAN($O661)))="ENTREGADO",
IFERROR(
INDEX(REPORTE_DROPI!R:R,
MATCH($T661, REPORTE_DROPI!B:B, 0)
),
""
),
""
)
</f>
        <v/>
      </c>
      <c r="H661" s="118" t="s">
        <v>3727</v>
      </c>
      <c r="I661" s="154" t="s">
        <v>3740</v>
      </c>
      <c r="J661" s="121" t="str">
        <f t="array" ref="J661">IF(
UPPER(TRIM(CLEAN($O661)))="ENTREGADO",
IFERROR(
INDEX(REPORTE_DROPI!T:T,
MATCH($T661, REPORTE_DROPI!B:B, 0)
),
""
),
""
)
</f>
        <v/>
      </c>
      <c r="K661" s="118" t="str">
        <f t="array" ref="K661">IFERROR(
INDEX(REPORTE_DROPI!S:S,
MATCH($T661, REPORTE_DROPI!B:B, 0)
),
""
)</f>
        <v/>
      </c>
      <c r="L661" s="118" t="str">
        <f>IF(
  O661&lt;&gt;"DEVOLUCION",
  "",
  IF(
    T661="",
    "",
    SUMIF(DEVOLUCION!F:F, T661, DEVOLUCION!D:D)
  )
)
</f>
        <v/>
      </c>
      <c r="M661" s="118" t="s">
        <v>5877</v>
      </c>
      <c r="N661" s="169" t="s">
        <v>7815</v>
      </c>
      <c r="O661" s="118" t="str">
        <f t="array" ref="O661">IFERROR(
VLOOKUP(
TRIM(CLEAN(
INDEX(REPORTE_DROPI!K:K,
MATCH(T661, REPORTE_DROPI!B:B, 0)
))),
{
TRIM(CLEAN(MAPA_ESTADOS!A:A)) ,
MAPA_ESTADOS!B:B
},
2,
FALSE
),
"REVISAR"
)</f>
        <v>CANCELADO</v>
      </c>
      <c r="P661" s="154" t="s">
        <v>7816</v>
      </c>
      <c r="Q661" s="153">
        <f t="shared" si="1"/>
        <v>0</v>
      </c>
      <c r="R661" s="172"/>
      <c r="S661" s="172"/>
      <c r="T661" s="118">
        <f t="array" ref="T661">IFERROR(
INDEX(REPORTE_DROPI!B:B,
MATCH(
CLEAN(TRIM(C661)),
CLEAN(TRIM(REPORTE_DROPI!E:E)),
0
)
),
""
)
</f>
        <v>4641158</v>
      </c>
      <c r="U661" s="173">
        <v>1.86178229158E11</v>
      </c>
      <c r="V661" s="166"/>
      <c r="W661" s="18"/>
      <c r="X661" s="18"/>
      <c r="Y661" s="18"/>
      <c r="Z661" s="18"/>
    </row>
    <row r="662" ht="22.5" hidden="1" customHeight="1">
      <c r="A662" s="169">
        <v>661.0</v>
      </c>
      <c r="B662" s="170">
        <v>46080.0</v>
      </c>
      <c r="C662" s="154" t="s">
        <v>7817</v>
      </c>
      <c r="D662" s="118" t="str">
        <f>IFERROR(__xludf.DUMMYFUNCTION("IFERROR( INDEX( FILTER( 'NOMBRE DE PRODUCTOS'!B:B, REGEXMATCH( UPPER( INDEX( REPORTE_DROPI!AC:AC, MATCH(T662, REPORTE_DROPI!B:B, 0) ) ), UPPER('NOMBRE DE PRODUCTOS'!A:A) ) ), 1 ), ""REVISAR"" )"),"Cuchillo Tazaki™")</f>
        <v>Cuchillo Tazaki™</v>
      </c>
      <c r="E662" s="120">
        <f t="array" ref="E662">IF(
UPPER(TRIM(CLEAN($O662)))="ENTREGADO",
IFERROR(
INDEX(REPORTE_DROPI!Y:Y,
MATCH($T662, REPORTE_DROPI!B:B, 0)
),
""
),
""
)
</f>
        <v>7.5</v>
      </c>
      <c r="F662" s="171">
        <v>2.0</v>
      </c>
      <c r="G662" s="122">
        <f t="array" ref="G662">IF(
UPPER(TRIM(CLEAN($O662)))="ENTREGADO",
IFERROR(
INDEX(REPORTE_DROPI!R:R,
MATCH($T662, REPORTE_DROPI!B:B, 0)
),
""
),
""
)
</f>
        <v>22</v>
      </c>
      <c r="H662" s="118" t="s">
        <v>3727</v>
      </c>
      <c r="I662" s="154"/>
      <c r="J662" s="121">
        <f t="array" ref="J662">IF(
UPPER(TRIM(CLEAN($O662)))="ENTREGADO",
IFERROR(
INDEX(REPORTE_DROPI!T:T,
MATCH($T662, REPORTE_DROPI!B:B, 0)
),
""
),
""
)
</f>
        <v>5.84</v>
      </c>
      <c r="K662" s="118">
        <f t="array" ref="K662">IFERROR(
INDEX(REPORTE_DROPI!S:S,
MATCH($T662, REPORTE_DROPI!B:B, 0)
),
""
)</f>
        <v>8.66</v>
      </c>
      <c r="L662" s="118" t="str">
        <f>IF(
  O662&lt;&gt;"DEVOLUCION",
  "",
  IF(
    T662="",
    "",
    SUMIF(DEVOLUCION!F:F, T662, DEVOLUCION!D:D)
  )
)
</f>
        <v/>
      </c>
      <c r="M662" s="118" t="s">
        <v>5877</v>
      </c>
      <c r="N662" s="169" t="s">
        <v>7818</v>
      </c>
      <c r="O662" s="118" t="str">
        <f t="array" ref="O662">IFERROR(
VLOOKUP(
TRIM(CLEAN(
INDEX(REPORTE_DROPI!K:K,
MATCH(T662, REPORTE_DROPI!B:B, 0)
))),
{
TRIM(CLEAN(MAPA_ESTADOS!A:A)) ,
MAPA_ESTADOS!B:B
},
2,
FALSE
),
"REVISAR"
)</f>
        <v>ENTREGADO</v>
      </c>
      <c r="P662" s="154" t="s">
        <v>6945</v>
      </c>
      <c r="Q662" s="153">
        <f t="shared" si="1"/>
        <v>0</v>
      </c>
      <c r="R662" s="172"/>
      <c r="S662" s="172"/>
      <c r="T662" s="118">
        <f t="array" ref="T662">IFERROR(
INDEX(REPORTE_DROPI!B:B,
MATCH(
CLEAN(TRIM(C662)),
CLEAN(TRIM(REPORTE_DROPI!E:E)),
0
)
),
""
)
</f>
        <v>4643654</v>
      </c>
      <c r="U662" s="173"/>
      <c r="V662" s="166"/>
      <c r="W662" s="18"/>
      <c r="X662" s="18"/>
      <c r="Y662" s="18"/>
      <c r="Z662" s="18"/>
    </row>
    <row r="663" ht="22.5" hidden="1" customHeight="1">
      <c r="A663" s="169">
        <v>662.0</v>
      </c>
      <c r="B663" s="170">
        <v>46080.0</v>
      </c>
      <c r="C663" s="154" t="s">
        <v>7819</v>
      </c>
      <c r="D663" s="118" t="str">
        <f>IFERROR(__xludf.DUMMYFUNCTION("IFERROR( INDEX( FILTER( 'NOMBRE DE PRODUCTOS'!B:B, REGEXMATCH( UPPER( INDEX( REPORTE_DROPI!AC:AC, MATCH(T663, REPORTE_DROPI!B:B, 0) ) ), UPPER('NOMBRE DE PRODUCTOS'!A:A) ) ), 1 ), ""REVISAR"" )"),"FilmPro®")</f>
        <v>FilmPro®</v>
      </c>
      <c r="E663" s="120">
        <f t="array" ref="E663">IF(
UPPER(TRIM(CLEAN($O663)))="ENTREGADO",
IFERROR(
INDEX(REPORTE_DROPI!Y:Y,
MATCH($T663, REPORTE_DROPI!B:B, 0)
),
""
),
""
)
</f>
        <v>4.7</v>
      </c>
      <c r="F663" s="171">
        <v>2.0</v>
      </c>
      <c r="G663" s="122">
        <f t="array" ref="G663">IF(
UPPER(TRIM(CLEAN($O663)))="ENTREGADO",
IFERROR(
INDEX(REPORTE_DROPI!R:R,
MATCH($T663, REPORTE_DROPI!B:B, 0)
),
""
),
""
)
</f>
        <v>25</v>
      </c>
      <c r="H663" s="118" t="s">
        <v>3727</v>
      </c>
      <c r="I663" s="154" t="s">
        <v>3731</v>
      </c>
      <c r="J663" s="121">
        <f t="array" ref="J663">IF(
UPPER(TRIM(CLEAN($O663)))="ENTREGADO",
IFERROR(
INDEX(REPORTE_DROPI!T:T,
MATCH($T663, REPORTE_DROPI!B:B, 0)
),
""
),
""
)
</f>
        <v>4.35</v>
      </c>
      <c r="K663" s="118">
        <f t="array" ref="K663">IFERROR(
INDEX(REPORTE_DROPI!S:S,
MATCH($T663, REPORTE_DROPI!B:B, 0)
),
""
)</f>
        <v>15.95</v>
      </c>
      <c r="L663" s="118" t="str">
        <f>IF(
  O663&lt;&gt;"DEVOLUCION",
  "",
  IF(
    T663="",
    "",
    SUMIF(DEVOLUCION!F:F, T663, DEVOLUCION!D:D)
  )
)
</f>
        <v/>
      </c>
      <c r="M663" s="118" t="s">
        <v>5877</v>
      </c>
      <c r="N663" s="169" t="s">
        <v>7820</v>
      </c>
      <c r="O663" s="118" t="str">
        <f t="array" ref="O663">IFERROR(
VLOOKUP(
TRIM(CLEAN(
INDEX(REPORTE_DROPI!K:K,
MATCH(T663, REPORTE_DROPI!B:B, 0)
))),
{
TRIM(CLEAN(MAPA_ESTADOS!A:A)) ,
MAPA_ESTADOS!B:B
},
2,
FALSE
),
"REVISAR"
)</f>
        <v>ENTREGADO</v>
      </c>
      <c r="P663" s="154" t="s">
        <v>7705</v>
      </c>
      <c r="Q663" s="153">
        <f t="shared" si="1"/>
        <v>0</v>
      </c>
      <c r="R663" s="172"/>
      <c r="S663" s="172"/>
      <c r="T663" s="118">
        <f t="array" ref="T663">IFERROR(
INDEX(REPORTE_DROPI!B:B,
MATCH(
CLEAN(TRIM(C663)),
CLEAN(TRIM(REPORTE_DROPI!E:E)),
0
)
),
""
)
</f>
        <v>4641781</v>
      </c>
      <c r="U663" s="169" t="s">
        <v>7821</v>
      </c>
      <c r="V663" s="166"/>
      <c r="W663" s="18"/>
      <c r="X663" s="18"/>
      <c r="Y663" s="18"/>
      <c r="Z663" s="18"/>
    </row>
    <row r="664" ht="22.5" hidden="1" customHeight="1">
      <c r="A664" s="169">
        <v>663.0</v>
      </c>
      <c r="B664" s="170">
        <v>46080.0</v>
      </c>
      <c r="C664" s="154" t="s">
        <v>7822</v>
      </c>
      <c r="D664" s="118" t="str">
        <f>IFERROR(__xludf.DUMMYFUNCTION("IFERROR( INDEX( FILTER( 'NOMBRE DE PRODUCTOS'!B:B, REGEXMATCH( UPPER( INDEX( REPORTE_DROPI!AC:AC, MATCH(T664, REPORTE_DROPI!B:B, 0) ) ), UPPER('NOMBRE DE PRODUCTOS'!A:A) ) ), 1 ), ""REVISAR"" )"),"Cuchillo Tazaki™")</f>
        <v>Cuchillo Tazaki™</v>
      </c>
      <c r="E664" s="120" t="str">
        <f t="array" ref="E664">IF(
UPPER(TRIM(CLEAN($O664)))="ENTREGADO",
IFERROR(
INDEX(REPORTE_DROPI!Y:Y,
MATCH($T664, REPORTE_DROPI!B:B, 0)
),
""
),
""
)
</f>
        <v/>
      </c>
      <c r="F664" s="171">
        <v>4.0</v>
      </c>
      <c r="G664" s="122" t="str">
        <f t="array" ref="G664">IF(
UPPER(TRIM(CLEAN($O664)))="ENTREGADO",
IFERROR(
INDEX(REPORTE_DROPI!R:R,
MATCH($T664, REPORTE_DROPI!B:B, 0)
),
""
),
""
)
</f>
        <v/>
      </c>
      <c r="H664" s="118" t="s">
        <v>3727</v>
      </c>
      <c r="I664" s="154" t="s">
        <v>3740</v>
      </c>
      <c r="J664" s="121" t="str">
        <f t="array" ref="J664">IF(
UPPER(TRIM(CLEAN($O664)))="ENTREGADO",
IFERROR(
INDEX(REPORTE_DROPI!T:T,
MATCH($T664, REPORTE_DROPI!B:B, 0)
),
""
),
""
)
</f>
        <v/>
      </c>
      <c r="K664" s="118" t="str">
        <f t="array" ref="K664">IFERROR(
INDEX(REPORTE_DROPI!S:S,
MATCH($T664, REPORTE_DROPI!B:B, 0)
),
""
)</f>
        <v/>
      </c>
      <c r="L664" s="118" t="str">
        <f>IF(
  O664&lt;&gt;"DEVOLUCION",
  "",
  IF(
    T664="",
    "",
    SUMIF(DEVOLUCION!F:F, T664, DEVOLUCION!D:D)
  )
)
</f>
        <v/>
      </c>
      <c r="M664" s="118" t="s">
        <v>5877</v>
      </c>
      <c r="N664" s="169" t="s">
        <v>7823</v>
      </c>
      <c r="O664" s="118" t="str">
        <f t="array" ref="O664">IFERROR(
VLOOKUP(
TRIM(CLEAN(
INDEX(REPORTE_DROPI!K:K,
MATCH(T664, REPORTE_DROPI!B:B, 0)
))),
{
TRIM(CLEAN(MAPA_ESTADOS!A:A)) ,
MAPA_ESTADOS!B:B
},
2,
FALSE
),
"REVISAR"
)</f>
        <v>PENDIENTE</v>
      </c>
      <c r="P664" s="154" t="s">
        <v>7824</v>
      </c>
      <c r="Q664" s="153">
        <f t="shared" si="1"/>
        <v>0</v>
      </c>
      <c r="R664" s="172"/>
      <c r="S664" s="172"/>
      <c r="T664" s="118">
        <f t="array" ref="T664">IFERROR(
INDEX(REPORTE_DROPI!B:B,
MATCH(
CLEAN(TRIM(C664)),
CLEAN(TRIM(REPORTE_DROPI!E:E)),
0
)
),
""
)
</f>
        <v>4642035</v>
      </c>
      <c r="U664" s="173">
        <v>1.77234213183E11</v>
      </c>
      <c r="V664" s="166"/>
      <c r="W664" s="18"/>
      <c r="X664" s="18"/>
      <c r="Y664" s="18"/>
      <c r="Z664" s="18"/>
    </row>
    <row r="665" ht="22.5" hidden="1" customHeight="1">
      <c r="A665" s="169">
        <v>664.0</v>
      </c>
      <c r="B665" s="170">
        <v>46080.0</v>
      </c>
      <c r="C665" s="154" t="s">
        <v>7825</v>
      </c>
      <c r="D665" s="118" t="str">
        <f>IFERROR(__xludf.DUMMYFUNCTION("IFERROR( INDEX( FILTER( 'NOMBRE DE PRODUCTOS'!B:B, REGEXMATCH( UPPER( INDEX( REPORTE_DROPI!AC:AC, MATCH(T665, REPORTE_DROPI!B:B, 0) ) ), UPPER('NOMBRE DE PRODUCTOS'!A:A) ) ), 1 ), ""REVISAR"" )"),"Cuchillo Tazaki™")</f>
        <v>Cuchillo Tazaki™</v>
      </c>
      <c r="E665" s="120" t="str">
        <f t="array" ref="E665">IF(
UPPER(TRIM(CLEAN($O665)))="ENTREGADO",
IFERROR(
INDEX(REPORTE_DROPI!Y:Y,
MATCH($T665, REPORTE_DROPI!B:B, 0)
),
""
),
""
)
</f>
        <v/>
      </c>
      <c r="F665" s="171">
        <v>2.0</v>
      </c>
      <c r="G665" s="122" t="str">
        <f t="array" ref="G665">IF(
UPPER(TRIM(CLEAN($O665)))="ENTREGADO",
IFERROR(
INDEX(REPORTE_DROPI!R:R,
MATCH($T665, REPORTE_DROPI!B:B, 0)
),
""
),
""
)
</f>
        <v/>
      </c>
      <c r="H665" s="118" t="s">
        <v>3727</v>
      </c>
      <c r="I665" s="154" t="s">
        <v>3979</v>
      </c>
      <c r="J665" s="121" t="str">
        <f t="array" ref="J665">IF(
UPPER(TRIM(CLEAN($O665)))="ENTREGADO",
IFERROR(
INDEX(REPORTE_DROPI!T:T,
MATCH($T665, REPORTE_DROPI!B:B, 0)
),
""
),
""
)
</f>
        <v/>
      </c>
      <c r="K665" s="118" t="str">
        <f t="array" ref="K665">IFERROR(
INDEX(REPORTE_DROPI!S:S,
MATCH($T665, REPORTE_DROPI!B:B, 0)
),
""
)</f>
        <v/>
      </c>
      <c r="L665" s="118" t="str">
        <f>IF(
  O665&lt;&gt;"DEVOLUCION",
  "",
  IF(
    T665="",
    "",
    SUMIF(DEVOLUCION!F:F, T665, DEVOLUCION!D:D)
  )
)
</f>
        <v/>
      </c>
      <c r="M665" s="118" t="s">
        <v>5877</v>
      </c>
      <c r="N665" s="169" t="s">
        <v>7826</v>
      </c>
      <c r="O665" s="118" t="str">
        <f t="array" ref="O665">IFERROR(
VLOOKUP(
TRIM(CLEAN(
INDEX(REPORTE_DROPI!K:K,
MATCH(T665, REPORTE_DROPI!B:B, 0)
))),
{
TRIM(CLEAN(MAPA_ESTADOS!A:A)) ,
MAPA_ESTADOS!B:B
},
2,
FALSE
),
"REVISAR"
)</f>
        <v>PENDIENTE</v>
      </c>
      <c r="P665" s="154" t="s">
        <v>6534</v>
      </c>
      <c r="Q665" s="153">
        <f t="shared" si="1"/>
        <v>0</v>
      </c>
      <c r="R665" s="172"/>
      <c r="S665" s="172"/>
      <c r="T665" s="118">
        <f t="array" ref="T665">IFERROR(
INDEX(REPORTE_DROPI!B:B,
MATCH(
CLEAN(TRIM(C665)),
CLEAN(TRIM(REPORTE_DROPI!E:E)),
0
)
),
""
)
</f>
        <v>4643033</v>
      </c>
      <c r="U665" s="169" t="s">
        <v>7827</v>
      </c>
      <c r="V665" s="166"/>
      <c r="W665" s="18"/>
      <c r="X665" s="18"/>
      <c r="Y665" s="18"/>
      <c r="Z665" s="18"/>
    </row>
    <row r="666" ht="22.5" hidden="1" customHeight="1">
      <c r="A666" s="169">
        <v>665.0</v>
      </c>
      <c r="B666" s="170">
        <v>46080.0</v>
      </c>
      <c r="C666" s="154" t="s">
        <v>7828</v>
      </c>
      <c r="D666" s="118" t="str">
        <f>IFERROR(__xludf.DUMMYFUNCTION("IFERROR( INDEX( FILTER( 'NOMBRE DE PRODUCTOS'!B:B, REGEXMATCH( UPPER( INDEX( REPORTE_DROPI!AC:AC, MATCH(T666, REPORTE_DROPI!B:B, 0) ) ), UPPER('NOMBRE DE PRODUCTOS'!A:A) ) ), 1 ), ""REVISAR"" )"),"FilmPro®")</f>
        <v>FilmPro®</v>
      </c>
      <c r="E666" s="120">
        <f t="array" ref="E666">IF(
UPPER(TRIM(CLEAN($O666)))="ENTREGADO",
IFERROR(
INDEX(REPORTE_DROPI!Y:Y,
MATCH($T666, REPORTE_DROPI!B:B, 0)
),
""
),
""
)
</f>
        <v>4.7</v>
      </c>
      <c r="F666" s="171">
        <v>2.0</v>
      </c>
      <c r="G666" s="122">
        <f t="array" ref="G666">IF(
UPPER(TRIM(CLEAN($O666)))="ENTREGADO",
IFERROR(
INDEX(REPORTE_DROPI!R:R,
MATCH($T666, REPORTE_DROPI!B:B, 0)
),
""
),
""
)
</f>
        <v>25</v>
      </c>
      <c r="H666" s="118" t="s">
        <v>3727</v>
      </c>
      <c r="I666" s="154" t="s">
        <v>3740</v>
      </c>
      <c r="J666" s="121">
        <f t="array" ref="J666">IF(
UPPER(TRIM(CLEAN($O666)))="ENTREGADO",
IFERROR(
INDEX(REPORTE_DROPI!T:T,
MATCH($T666, REPORTE_DROPI!B:B, 0)
),
""
),
""
)
</f>
        <v>5.96</v>
      </c>
      <c r="K666" s="118">
        <f t="array" ref="K666">IFERROR(
INDEX(REPORTE_DROPI!S:S,
MATCH($T666, REPORTE_DROPI!B:B, 0)
),
""
)</f>
        <v>14.34</v>
      </c>
      <c r="L666" s="118" t="str">
        <f>IF(
  O666&lt;&gt;"DEVOLUCION",
  "",
  IF(
    T666="",
    "",
    SUMIF(DEVOLUCION!F:F, T666, DEVOLUCION!D:D)
  )
)
</f>
        <v/>
      </c>
      <c r="M666" s="118" t="s">
        <v>5877</v>
      </c>
      <c r="N666" s="169" t="s">
        <v>7829</v>
      </c>
      <c r="O666" s="118" t="str">
        <f t="array" ref="O666">IFERROR(
VLOOKUP(
TRIM(CLEAN(
INDEX(REPORTE_DROPI!K:K,
MATCH(T666, REPORTE_DROPI!B:B, 0)
))),
{
TRIM(CLEAN(MAPA_ESTADOS!A:A)) ,
MAPA_ESTADOS!B:B
},
2,
FALSE
),
"REVISAR"
)</f>
        <v>ENTREGADO</v>
      </c>
      <c r="P666" s="154" t="s">
        <v>5692</v>
      </c>
      <c r="Q666" s="153">
        <f t="shared" si="1"/>
        <v>0</v>
      </c>
      <c r="R666" s="172"/>
      <c r="S666" s="172"/>
      <c r="T666" s="118">
        <f t="array" ref="T666">IFERROR(
INDEX(REPORTE_DROPI!B:B,
MATCH(
CLEAN(TRIM(C666)),
CLEAN(TRIM(REPORTE_DROPI!E:E)),
0
)
),
""
)
</f>
        <v>4643420</v>
      </c>
      <c r="U666" s="169" t="s">
        <v>7830</v>
      </c>
      <c r="V666" s="166"/>
      <c r="W666" s="18"/>
      <c r="X666" s="18"/>
      <c r="Y666" s="18"/>
      <c r="Z666" s="18"/>
    </row>
    <row r="667" ht="22.5" customHeight="1">
      <c r="A667" s="169">
        <v>666.0</v>
      </c>
      <c r="B667" s="170">
        <v>46080.0</v>
      </c>
      <c r="C667" s="154" t="s">
        <v>7831</v>
      </c>
      <c r="D667" s="118" t="str">
        <f>IFERROR(__xludf.DUMMYFUNCTION("IFERROR( INDEX( FILTER( 'NOMBRE DE PRODUCTOS'!B:B, REGEXMATCH( UPPER( INDEX( REPORTE_DROPI!AC:AC, MATCH(T667, REPORTE_DROPI!B:B, 0) ) ), UPPER('NOMBRE DE PRODUCTOS'!A:A) ) ), 1 ), ""REVISAR"" )"),"FreeBeat Adapter")</f>
        <v>FreeBeat Adapter</v>
      </c>
      <c r="E667" s="120">
        <f t="array" ref="E667">IF(
UPPER(TRIM(CLEAN($O667)))="ENTREGADO",
IFERROR(
INDEX(REPORTE_DROPI!Y:Y,
MATCH($T667, REPORTE_DROPI!B:B, 0)
),
""
),
""
)
</f>
        <v>10</v>
      </c>
      <c r="F667" s="171">
        <v>2.0</v>
      </c>
      <c r="G667" s="122">
        <f t="array" ref="G667">IF(
UPPER(TRIM(CLEAN($O667)))="ENTREGADO",
IFERROR(
INDEX(REPORTE_DROPI!R:R,
MATCH($T667, REPORTE_DROPI!B:B, 0)
),
""
),
""
)
</f>
        <v>22</v>
      </c>
      <c r="H667" s="118" t="s">
        <v>3727</v>
      </c>
      <c r="I667" s="154" t="s">
        <v>3770</v>
      </c>
      <c r="J667" s="121">
        <f t="array" ref="J667">IF(
UPPER(TRIM(CLEAN($O667)))="ENTREGADO",
IFERROR(
INDEX(REPORTE_DROPI!T:T,
MATCH($T667, REPORTE_DROPI!B:B, 0)
),
""
),
""
)
</f>
        <v>6.41</v>
      </c>
      <c r="K667" s="118">
        <f t="array" ref="K667">IFERROR(
INDEX(REPORTE_DROPI!S:S,
MATCH($T667, REPORTE_DROPI!B:B, 0)
),
""
)</f>
        <v>5.59</v>
      </c>
      <c r="L667" s="118" t="str">
        <f>IF(
  O667&lt;&gt;"DEVOLUCION",
  "",
  IF(
    T667="",
    "",
    SUMIF(DEVOLUCION!F:F, T667, DEVOLUCION!D:D)
  )
)
</f>
        <v/>
      </c>
      <c r="M667" s="118" t="s">
        <v>5877</v>
      </c>
      <c r="N667" s="169" t="s">
        <v>7832</v>
      </c>
      <c r="O667" s="118" t="str">
        <f t="array" ref="O667">IFERROR(
VLOOKUP(
TRIM(CLEAN(
INDEX(REPORTE_DROPI!K:K,
MATCH(T667, REPORTE_DROPI!B:B, 0)
))),
{
TRIM(CLEAN(MAPA_ESTADOS!A:A)) ,
MAPA_ESTADOS!B:B
},
2,
FALSE
),
"REVISAR"
)</f>
        <v>ENTREGADO</v>
      </c>
      <c r="P667" s="154" t="s">
        <v>5909</v>
      </c>
      <c r="Q667" s="153">
        <f t="shared" si="1"/>
        <v>0</v>
      </c>
      <c r="R667" s="172"/>
      <c r="S667" s="172"/>
      <c r="T667" s="118">
        <f t="array" ref="T667">IFERROR(
INDEX(REPORTE_DROPI!B:B,
MATCH(
CLEAN(TRIM(C667)),
CLEAN(TRIM(REPORTE_DROPI!E:E)),
0
)
),
""
)
</f>
        <v>4645435</v>
      </c>
      <c r="U667" s="169" t="s">
        <v>7833</v>
      </c>
      <c r="V667" s="166"/>
      <c r="W667" s="18"/>
      <c r="X667" s="18"/>
      <c r="Y667" s="18"/>
      <c r="Z667" s="18"/>
    </row>
    <row r="668" ht="22.5" hidden="1" customHeight="1">
      <c r="A668" s="169">
        <v>667.0</v>
      </c>
      <c r="B668" s="170">
        <v>46080.0</v>
      </c>
      <c r="C668" s="154" t="s">
        <v>7834</v>
      </c>
      <c r="D668" s="118" t="str">
        <f>IFERROR(__xludf.DUMMYFUNCTION("IFERROR( INDEX( FILTER( 'NOMBRE DE PRODUCTOS'!B:B, REGEXMATCH( UPPER( INDEX( REPORTE_DROPI!AC:AC, MATCH(T668, REPORTE_DROPI!B:B, 0) ) ), UPPER('NOMBRE DE PRODUCTOS'!A:A) ) ), 1 ), ""REVISAR"" )"),"Cuchillo Tazaki™")</f>
        <v>Cuchillo Tazaki™</v>
      </c>
      <c r="E668" s="120" t="str">
        <f t="array" ref="E668">IF(
UPPER(TRIM(CLEAN($O668)))="ENTREGADO",
IFERROR(
INDEX(REPORTE_DROPI!Y:Y,
MATCH($T668, REPORTE_DROPI!B:B, 0)
),
""
),
""
)
</f>
        <v/>
      </c>
      <c r="F668" s="171">
        <v>3.0</v>
      </c>
      <c r="G668" s="122" t="str">
        <f t="array" ref="G668">IF(
UPPER(TRIM(CLEAN($O668)))="ENTREGADO",
IFERROR(
INDEX(REPORTE_DROPI!R:R,
MATCH($T668, REPORTE_DROPI!B:B, 0)
),
""
),
""
)
</f>
        <v/>
      </c>
      <c r="H668" s="118" t="s">
        <v>3727</v>
      </c>
      <c r="I668" s="154" t="s">
        <v>3728</v>
      </c>
      <c r="J668" s="121" t="str">
        <f t="array" ref="J668">IF(
UPPER(TRIM(CLEAN($O668)))="ENTREGADO",
IFERROR(
INDEX(REPORTE_DROPI!T:T,
MATCH($T668, REPORTE_DROPI!B:B, 0)
),
""
),
""
)
</f>
        <v/>
      </c>
      <c r="K668" s="118" t="str">
        <f t="array" ref="K668">IFERROR(
INDEX(REPORTE_DROPI!S:S,
MATCH($T668, REPORTE_DROPI!B:B, 0)
),
""
)</f>
        <v/>
      </c>
      <c r="L668" s="118">
        <f>IF(
  O668&lt;&gt;"DEVOLUCION",
  "",
  IF(
    T668="",
    "",
    SUMIF(DEVOLUCION!F:F, T668, DEVOLUCION!D:D)
  )
)
</f>
        <v>0</v>
      </c>
      <c r="M668" s="118" t="s">
        <v>5877</v>
      </c>
      <c r="N668" s="169" t="s">
        <v>7835</v>
      </c>
      <c r="O668" s="118" t="str">
        <f t="array" ref="O668">IFERROR(
VLOOKUP(
TRIM(CLEAN(
INDEX(REPORTE_DROPI!K:K,
MATCH(T668, REPORTE_DROPI!B:B, 0)
))),
{
TRIM(CLEAN(MAPA_ESTADOS!A:A)) ,
MAPA_ESTADOS!B:B
},
2,
FALSE
),
"REVISAR"
)</f>
        <v>DEVOLUCION</v>
      </c>
      <c r="P668" s="154" t="s">
        <v>5692</v>
      </c>
      <c r="Q668" s="153">
        <f t="shared" si="1"/>
        <v>0</v>
      </c>
      <c r="R668" s="172"/>
      <c r="S668" s="172"/>
      <c r="T668" s="118">
        <f t="array" ref="T668">IFERROR(
INDEX(REPORTE_DROPI!B:B,
MATCH(
CLEAN(TRIM(C668)),
CLEAN(TRIM(REPORTE_DROPI!E:E)),
0
)
),
""
)
</f>
        <v>4644419</v>
      </c>
      <c r="U668" s="169" t="s">
        <v>7836</v>
      </c>
      <c r="V668" s="166"/>
      <c r="W668" s="18"/>
      <c r="X668" s="18"/>
      <c r="Y668" s="18"/>
      <c r="Z668" s="18"/>
    </row>
    <row r="669" ht="22.5" hidden="1" customHeight="1">
      <c r="A669" s="169">
        <v>668.0</v>
      </c>
      <c r="B669" s="170">
        <v>46080.0</v>
      </c>
      <c r="C669" s="154" t="s">
        <v>7837</v>
      </c>
      <c r="D669" s="118" t="str">
        <f>IFERROR(__xludf.DUMMYFUNCTION("IFERROR( INDEX( FILTER( 'NOMBRE DE PRODUCTOS'!B:B, REGEXMATCH( UPPER( INDEX( REPORTE_DROPI!AC:AC, MATCH(T669, REPORTE_DROPI!B:B, 0) ) ), UPPER('NOMBRE DE PRODUCTOS'!A:A) ) ), 1 ), ""REVISAR"" )"),"Cuchillo Tazaki™")</f>
        <v>Cuchillo Tazaki™</v>
      </c>
      <c r="E669" s="120" t="str">
        <f t="array" ref="E669">IF(
UPPER(TRIM(CLEAN($O669)))="ENTREGADO",
IFERROR(
INDEX(REPORTE_DROPI!Y:Y,
MATCH($T669, REPORTE_DROPI!B:B, 0)
),
""
),
""
)
</f>
        <v/>
      </c>
      <c r="F669" s="171">
        <v>2.0</v>
      </c>
      <c r="G669" s="122" t="str">
        <f t="array" ref="G669">IF(
UPPER(TRIM(CLEAN($O669)))="ENTREGADO",
IFERROR(
INDEX(REPORTE_DROPI!R:R,
MATCH($T669, REPORTE_DROPI!B:B, 0)
),
""
),
""
)
</f>
        <v/>
      </c>
      <c r="H669" s="118" t="s">
        <v>3727</v>
      </c>
      <c r="I669" s="154" t="s">
        <v>3951</v>
      </c>
      <c r="J669" s="121" t="str">
        <f t="array" ref="J669">IF(
UPPER(TRIM(CLEAN($O669)))="ENTREGADO",
IFERROR(
INDEX(REPORTE_DROPI!T:T,
MATCH($T669, REPORTE_DROPI!B:B, 0)
),
""
),
""
)
</f>
        <v/>
      </c>
      <c r="K669" s="118" t="str">
        <f t="array" ref="K669">IFERROR(
INDEX(REPORTE_DROPI!S:S,
MATCH($T669, REPORTE_DROPI!B:B, 0)
),
""
)</f>
        <v/>
      </c>
      <c r="L669" s="118" t="str">
        <f>IF(
  O669&lt;&gt;"DEVOLUCION",
  "",
  IF(
    T669="",
    "",
    SUMIF(DEVOLUCION!F:F, T669, DEVOLUCION!D:D)
  )
)
</f>
        <v/>
      </c>
      <c r="M669" s="118" t="s">
        <v>5877</v>
      </c>
      <c r="N669" s="169" t="s">
        <v>7838</v>
      </c>
      <c r="O669" s="118" t="str">
        <f t="array" ref="O669">IFERROR(
VLOOKUP(
TRIM(CLEAN(
INDEX(REPORTE_DROPI!K:K,
MATCH(T669, REPORTE_DROPI!B:B, 0)
))),
{
TRIM(CLEAN(MAPA_ESTADOS!A:A)) ,
MAPA_ESTADOS!B:B
},
2,
FALSE
),
"REVISAR"
)</f>
        <v>PENDIENTE</v>
      </c>
      <c r="P669" s="154" t="s">
        <v>3689</v>
      </c>
      <c r="Q669" s="153">
        <f t="shared" si="1"/>
        <v>0</v>
      </c>
      <c r="R669" s="172"/>
      <c r="S669" s="172"/>
      <c r="T669" s="118">
        <f t="array" ref="T669">IFERROR(
INDEX(REPORTE_DROPI!B:B,
MATCH(
CLEAN(TRIM(C669)),
CLEAN(TRIM(REPORTE_DROPI!E:E)),
0
)
),
""
)
</f>
        <v>4645440</v>
      </c>
      <c r="U669" s="169" t="s">
        <v>7839</v>
      </c>
      <c r="V669" s="166"/>
      <c r="W669" s="18"/>
      <c r="X669" s="18"/>
      <c r="Y669" s="18"/>
      <c r="Z669" s="18"/>
    </row>
    <row r="670" ht="22.5" customHeight="1">
      <c r="A670" s="169">
        <v>669.0</v>
      </c>
      <c r="B670" s="170">
        <v>46080.0</v>
      </c>
      <c r="C670" s="154" t="s">
        <v>7840</v>
      </c>
      <c r="D670" s="118" t="str">
        <f>IFERROR(__xludf.DUMMYFUNCTION("IFERROR( INDEX( FILTER( 'NOMBRE DE PRODUCTOS'!B:B, REGEXMATCH( UPPER( INDEX( REPORTE_DROPI!AC:AC, MATCH(T670, REPORTE_DROPI!B:B, 0) ) ), UPPER('NOMBRE DE PRODUCTOS'!A:A) ) ), 1 ), ""REVISAR"" )"),"FreeBeat Adapter")</f>
        <v>FreeBeat Adapter</v>
      </c>
      <c r="E670" s="120">
        <f t="array" ref="E670">IF(
UPPER(TRIM(CLEAN($O670)))="ENTREGADO",
IFERROR(
INDEX(REPORTE_DROPI!Y:Y,
MATCH($T670, REPORTE_DROPI!B:B, 0)
),
""
),
""
)
</f>
        <v>10</v>
      </c>
      <c r="F670" s="171">
        <v>2.0</v>
      </c>
      <c r="G670" s="122">
        <f t="array" ref="G670">IF(
UPPER(TRIM(CLEAN($O670)))="ENTREGADO",
IFERROR(
INDEX(REPORTE_DROPI!R:R,
MATCH($T670, REPORTE_DROPI!B:B, 0)
),
""
),
""
)
</f>
        <v>22</v>
      </c>
      <c r="H670" s="118" t="s">
        <v>3727</v>
      </c>
      <c r="I670" s="154" t="s">
        <v>3728</v>
      </c>
      <c r="J670" s="121">
        <f t="array" ref="J670">IF(
UPPER(TRIM(CLEAN($O670)))="ENTREGADO",
IFERROR(
INDEX(REPORTE_DROPI!T:T,
MATCH($T670, REPORTE_DROPI!B:B, 0)
),
""
),
""
)
</f>
        <v>5.84</v>
      </c>
      <c r="K670" s="118">
        <f t="array" ref="K670">IFERROR(
INDEX(REPORTE_DROPI!S:S,
MATCH($T670, REPORTE_DROPI!B:B, 0)
),
""
)</f>
        <v>6.16</v>
      </c>
      <c r="L670" s="118" t="str">
        <f>IF(
  O670&lt;&gt;"DEVOLUCION",
  "",
  IF(
    T670="",
    "",
    SUMIF(DEVOLUCION!F:F, T670, DEVOLUCION!D:D)
  )
)
</f>
        <v/>
      </c>
      <c r="M670" s="118" t="s">
        <v>5877</v>
      </c>
      <c r="N670" s="169" t="s">
        <v>7841</v>
      </c>
      <c r="O670" s="118" t="str">
        <f t="array" ref="O670">IFERROR(
VLOOKUP(
TRIM(CLEAN(
INDEX(REPORTE_DROPI!K:K,
MATCH(T670, REPORTE_DROPI!B:B, 0)
))),
{
TRIM(CLEAN(MAPA_ESTADOS!A:A)) ,
MAPA_ESTADOS!B:B
},
2,
FALSE
),
"REVISAR"
)</f>
        <v>ENTREGADO</v>
      </c>
      <c r="P670" s="154" t="s">
        <v>7842</v>
      </c>
      <c r="Q670" s="153">
        <f t="shared" si="1"/>
        <v>0</v>
      </c>
      <c r="R670" s="172"/>
      <c r="S670" s="172"/>
      <c r="T670" s="118">
        <f t="array" ref="T670">IFERROR(
INDEX(REPORTE_DROPI!B:B,
MATCH(
CLEAN(TRIM(C670)),
CLEAN(TRIM(REPORTE_DROPI!E:E)),
0
)
),
""
)
</f>
        <v>4645464</v>
      </c>
      <c r="U670" s="169" t="s">
        <v>7843</v>
      </c>
      <c r="V670" s="166"/>
      <c r="W670" s="18"/>
      <c r="X670" s="18"/>
      <c r="Y670" s="18"/>
      <c r="Z670" s="18"/>
    </row>
    <row r="671" ht="22.5" customHeight="1">
      <c r="A671" s="169">
        <v>670.0</v>
      </c>
      <c r="B671" s="170">
        <v>46080.0</v>
      </c>
      <c r="C671" s="154" t="s">
        <v>7844</v>
      </c>
      <c r="D671" s="118" t="str">
        <f>IFERROR(__xludf.DUMMYFUNCTION("IFERROR( INDEX( FILTER( 'NOMBRE DE PRODUCTOS'!B:B, REGEXMATCH( UPPER( INDEX( REPORTE_DROPI!AC:AC, MATCH(T671, REPORTE_DROPI!B:B, 0) ) ), UPPER('NOMBRE DE PRODUCTOS'!A:A) ) ), 1 ), ""REVISAR"" )"),"FreeBeat Adapter")</f>
        <v>FreeBeat Adapter</v>
      </c>
      <c r="E671" s="120" t="str">
        <f t="array" ref="E671">IF(
UPPER(TRIM(CLEAN($O671)))="ENTREGADO",
IFERROR(
INDEX(REPORTE_DROPI!Y:Y,
MATCH($T671, REPORTE_DROPI!B:B, 0)
),
""
),
""
)
</f>
        <v/>
      </c>
      <c r="F671" s="171">
        <v>2.0</v>
      </c>
      <c r="G671" s="122" t="str">
        <f t="array" ref="G671">IF(
UPPER(TRIM(CLEAN($O671)))="ENTREGADO",
IFERROR(
INDEX(REPORTE_DROPI!R:R,
MATCH($T671, REPORTE_DROPI!B:B, 0)
),
""
),
""
)
</f>
        <v/>
      </c>
      <c r="H671" s="118" t="s">
        <v>3727</v>
      </c>
      <c r="I671" s="154" t="s">
        <v>3740</v>
      </c>
      <c r="J671" s="121" t="str">
        <f t="array" ref="J671">IF(
UPPER(TRIM(CLEAN($O671)))="ENTREGADO",
IFERROR(
INDEX(REPORTE_DROPI!T:T,
MATCH($T671, REPORTE_DROPI!B:B, 0)
),
""
),
""
)
</f>
        <v/>
      </c>
      <c r="K671" s="118" t="str">
        <f t="array" ref="K671">IFERROR(
INDEX(REPORTE_DROPI!S:S,
MATCH($T671, REPORTE_DROPI!B:B, 0)
),
""
)</f>
        <v/>
      </c>
      <c r="L671" s="118" t="str">
        <f>IF(
  O671&lt;&gt;"DEVOLUCION",
  "",
  IF(
    T671="",
    "",
    SUMIF(DEVOLUCION!F:F, T671, DEVOLUCION!D:D)
  )
)
</f>
        <v/>
      </c>
      <c r="M671" s="118" t="s">
        <v>5877</v>
      </c>
      <c r="N671" s="169" t="s">
        <v>7845</v>
      </c>
      <c r="O671" s="118" t="str">
        <f t="array" ref="O671">IFERROR(
VLOOKUP(
TRIM(CLEAN(
INDEX(REPORTE_DROPI!K:K,
MATCH(T671, REPORTE_DROPI!B:B, 0)
))),
{
TRIM(CLEAN(MAPA_ESTADOS!A:A)) ,
MAPA_ESTADOS!B:B
},
2,
FALSE
),
"REVISAR"
)</f>
        <v>PENDIENTE</v>
      </c>
      <c r="P671" s="154" t="s">
        <v>7846</v>
      </c>
      <c r="Q671" s="153">
        <f t="shared" si="1"/>
        <v>0</v>
      </c>
      <c r="R671" s="172"/>
      <c r="S671" s="172"/>
      <c r="T671" s="118">
        <f t="array" ref="T671">IFERROR(
INDEX(REPORTE_DROPI!B:B,
MATCH(
CLEAN(TRIM(C671)),
CLEAN(TRIM(REPORTE_DROPI!E:E)),
0
)
),
""
)
</f>
        <v>4645837</v>
      </c>
      <c r="U671" s="169" t="s">
        <v>7847</v>
      </c>
      <c r="V671" s="166"/>
      <c r="W671" s="18"/>
      <c r="X671" s="18"/>
      <c r="Y671" s="18"/>
      <c r="Z671" s="18"/>
    </row>
    <row r="672" ht="22.5" hidden="1" customHeight="1">
      <c r="A672" s="169">
        <v>671.0</v>
      </c>
      <c r="B672" s="170">
        <v>46080.0</v>
      </c>
      <c r="C672" s="154" t="s">
        <v>7848</v>
      </c>
      <c r="D672" s="118" t="str">
        <f>IFERROR(__xludf.DUMMYFUNCTION("IFERROR( INDEX( FILTER( 'NOMBRE DE PRODUCTOS'!B:B, REGEXMATCH( UPPER( INDEX( REPORTE_DROPI!AC:AC, MATCH(T672, REPORTE_DROPI!B:B, 0) ) ), UPPER('NOMBRE DE PRODUCTOS'!A:A) ) ), 1 ), ""REVISAR"" )"),"Cuchillo Tazaki™")</f>
        <v>Cuchillo Tazaki™</v>
      </c>
      <c r="E672" s="120">
        <f t="array" ref="E672">IF(
UPPER(TRIM(CLEAN($O672)))="ENTREGADO",
IFERROR(
INDEX(REPORTE_DROPI!Y:Y,
MATCH($T672, REPORTE_DROPI!B:B, 0)
),
""
),
""
)
</f>
        <v>7.5</v>
      </c>
      <c r="F672" s="171">
        <v>2.0</v>
      </c>
      <c r="G672" s="122">
        <f t="array" ref="G672">IF(
UPPER(TRIM(CLEAN($O672)))="ENTREGADO",
IFERROR(
INDEX(REPORTE_DROPI!R:R,
MATCH($T672, REPORTE_DROPI!B:B, 0)
),
""
),
""
)
</f>
        <v>22</v>
      </c>
      <c r="H672" s="118" t="s">
        <v>3727</v>
      </c>
      <c r="I672" s="154" t="s">
        <v>3778</v>
      </c>
      <c r="J672" s="121">
        <f t="array" ref="J672">IF(
UPPER(TRIM(CLEAN($O672)))="ENTREGADO",
IFERROR(
INDEX(REPORTE_DROPI!T:T,
MATCH($T672, REPORTE_DROPI!B:B, 0)
),
""
),
""
)
</f>
        <v>5.84</v>
      </c>
      <c r="K672" s="118">
        <f t="array" ref="K672">IFERROR(
INDEX(REPORTE_DROPI!S:S,
MATCH($T672, REPORTE_DROPI!B:B, 0)
),
""
)</f>
        <v>8.66</v>
      </c>
      <c r="L672" s="118" t="str">
        <f>IF(
  O672&lt;&gt;"DEVOLUCION",
  "",
  IF(
    T672="",
    "",
    SUMIF(DEVOLUCION!F:F, T672, DEVOLUCION!D:D)
  )
)
</f>
        <v/>
      </c>
      <c r="M672" s="118" t="s">
        <v>5877</v>
      </c>
      <c r="N672" s="169" t="s">
        <v>7849</v>
      </c>
      <c r="O672" s="118" t="str">
        <f t="array" ref="O672">IFERROR(
VLOOKUP(
TRIM(CLEAN(
INDEX(REPORTE_DROPI!K:K,
MATCH(T672, REPORTE_DROPI!B:B, 0)
))),
{
TRIM(CLEAN(MAPA_ESTADOS!A:A)) ,
MAPA_ESTADOS!B:B
},
2,
FALSE
),
"REVISAR"
)</f>
        <v>ENTREGADO</v>
      </c>
      <c r="P672" s="154" t="s">
        <v>5692</v>
      </c>
      <c r="Q672" s="153">
        <f t="shared" si="1"/>
        <v>0</v>
      </c>
      <c r="R672" s="172"/>
      <c r="S672" s="172"/>
      <c r="T672" s="118">
        <f t="array" ref="T672">IFERROR(
INDEX(REPORTE_DROPI!B:B,
MATCH(
CLEAN(TRIM(C672)),
CLEAN(TRIM(REPORTE_DROPI!E:E)),
0
)
),
""
)
</f>
        <v>4646577</v>
      </c>
      <c r="U672" s="169" t="s">
        <v>7850</v>
      </c>
      <c r="V672" s="166"/>
      <c r="W672" s="18"/>
      <c r="X672" s="18"/>
      <c r="Y672" s="18"/>
      <c r="Z672" s="18"/>
    </row>
    <row r="673" ht="22.5" hidden="1" customHeight="1">
      <c r="A673" s="169">
        <v>672.0</v>
      </c>
      <c r="B673" s="170">
        <v>46080.0</v>
      </c>
      <c r="C673" s="154" t="s">
        <v>7567</v>
      </c>
      <c r="D673" s="118" t="str">
        <f>IFERROR(__xludf.DUMMYFUNCTION("IFERROR( INDEX( FILTER( 'NOMBRE DE PRODUCTOS'!B:B, REGEXMATCH( UPPER( INDEX( REPORTE_DROPI!AC:AC, MATCH(T673, REPORTE_DROPI!B:B, 0) ) ), UPPER('NOMBRE DE PRODUCTOS'!A:A) ) ), 1 ), ""REVISAR"" )"),"FilmPro®")</f>
        <v>FilmPro®</v>
      </c>
      <c r="E673" s="120" t="str">
        <f t="array" ref="E673">IF(
UPPER(TRIM(CLEAN($O673)))="ENTREGADO",
IFERROR(
INDEX(REPORTE_DROPI!Y:Y,
MATCH($T673, REPORTE_DROPI!B:B, 0)
),
""
),
""
)
</f>
        <v/>
      </c>
      <c r="F673" s="171">
        <v>3.0</v>
      </c>
      <c r="G673" s="122" t="str">
        <f t="array" ref="G673">IF(
UPPER(TRIM(CLEAN($O673)))="ENTREGADO",
IFERROR(
INDEX(REPORTE_DROPI!R:R,
MATCH($T673, REPORTE_DROPI!B:B, 0)
),
""
),
""
)
</f>
        <v/>
      </c>
      <c r="H673" s="118" t="s">
        <v>3727</v>
      </c>
      <c r="I673" s="154" t="s">
        <v>3731</v>
      </c>
      <c r="J673" s="121" t="str">
        <f t="array" ref="J673">IF(
UPPER(TRIM(CLEAN($O673)))="ENTREGADO",
IFERROR(
INDEX(REPORTE_DROPI!T:T,
MATCH($T673, REPORTE_DROPI!B:B, 0)
),
""
),
""
)
</f>
        <v/>
      </c>
      <c r="K673" s="118" t="str">
        <f t="array" ref="K673">IFERROR(
INDEX(REPORTE_DROPI!S:S,
MATCH($T673, REPORTE_DROPI!B:B, 0)
),
""
)</f>
        <v/>
      </c>
      <c r="L673" s="118" t="str">
        <f>IF(
  O673&lt;&gt;"DEVOLUCION",
  "",
  IF(
    T673="",
    "",
    SUMIF(DEVOLUCION!F:F, T673, DEVOLUCION!D:D)
  )
)
</f>
        <v/>
      </c>
      <c r="M673" s="118" t="s">
        <v>5877</v>
      </c>
      <c r="N673" s="169" t="s">
        <v>7851</v>
      </c>
      <c r="O673" s="118" t="str">
        <f t="array" ref="O673">IFERROR(
VLOOKUP(
TRIM(CLEAN(
INDEX(REPORTE_DROPI!K:K,
MATCH(T673, REPORTE_DROPI!B:B, 0)
))),
{
TRIM(CLEAN(MAPA_ESTADOS!A:A)) ,
MAPA_ESTADOS!B:B
},
2,
FALSE
),
"REVISAR"
)</f>
        <v>CANCELADO</v>
      </c>
      <c r="P673" s="154" t="s">
        <v>5952</v>
      </c>
      <c r="Q673" s="153">
        <f t="shared" si="1"/>
        <v>0</v>
      </c>
      <c r="R673" s="172"/>
      <c r="S673" s="172"/>
      <c r="T673" s="118">
        <f t="array" ref="T673">IFERROR(
INDEX(REPORTE_DROPI!B:B,
MATCH(
CLEAN(TRIM(C673)),
CLEAN(TRIM(REPORTE_DROPI!E:E)),
0
)
),
""
)
</f>
        <v>4646730</v>
      </c>
      <c r="U673" s="169" t="s">
        <v>7852</v>
      </c>
      <c r="V673" s="166"/>
      <c r="W673" s="18"/>
      <c r="X673" s="18"/>
      <c r="Y673" s="18"/>
      <c r="Z673" s="18"/>
    </row>
    <row r="674" ht="22.5" hidden="1" customHeight="1">
      <c r="A674" s="169">
        <v>673.0</v>
      </c>
      <c r="B674" s="170">
        <v>46080.0</v>
      </c>
      <c r="C674" s="154" t="s">
        <v>7853</v>
      </c>
      <c r="D674" s="118" t="str">
        <f>IFERROR(__xludf.DUMMYFUNCTION("IFERROR( INDEX( FILTER( 'NOMBRE DE PRODUCTOS'!B:B, REGEXMATCH( UPPER( INDEX( REPORTE_DROPI!AC:AC, MATCH(T674, REPORTE_DROPI!B:B, 0) ) ), UPPER('NOMBRE DE PRODUCTOS'!A:A) ) ), 1 ), ""REVISAR"" )"),"Cuchillo Tazaki™")</f>
        <v>Cuchillo Tazaki™</v>
      </c>
      <c r="E674" s="120">
        <f t="array" ref="E674">IF(
UPPER(TRIM(CLEAN($O674)))="ENTREGADO",
IFERROR(
INDEX(REPORTE_DROPI!Y:Y,
MATCH($T674, REPORTE_DROPI!B:B, 0)
),
""
),
""
)
</f>
        <v>7.5</v>
      </c>
      <c r="F674" s="171">
        <v>2.0</v>
      </c>
      <c r="G674" s="122">
        <f t="array" ref="G674">IF(
UPPER(TRIM(CLEAN($O674)))="ENTREGADO",
IFERROR(
INDEX(REPORTE_DROPI!R:R,
MATCH($T674, REPORTE_DROPI!B:B, 0)
),
""
),
""
)
</f>
        <v>22</v>
      </c>
      <c r="H674" s="118" t="s">
        <v>3727</v>
      </c>
      <c r="I674" s="154" t="s">
        <v>3731</v>
      </c>
      <c r="J674" s="121">
        <f t="array" ref="J674">IF(
UPPER(TRIM(CLEAN($O674)))="ENTREGADO",
IFERROR(
INDEX(REPORTE_DROPI!T:T,
MATCH($T674, REPORTE_DROPI!B:B, 0)
),
""
),
""
)
</f>
        <v>6.55</v>
      </c>
      <c r="K674" s="118">
        <f t="array" ref="K674">IFERROR(
INDEX(REPORTE_DROPI!S:S,
MATCH($T674, REPORTE_DROPI!B:B, 0)
),
""
)</f>
        <v>7.95</v>
      </c>
      <c r="L674" s="118" t="str">
        <f>IF(
  O674&lt;&gt;"DEVOLUCION",
  "",
  IF(
    T674="",
    "",
    SUMIF(DEVOLUCION!F:F, T674, DEVOLUCION!D:D)
  )
)
</f>
        <v/>
      </c>
      <c r="M674" s="118" t="s">
        <v>5877</v>
      </c>
      <c r="N674" s="169" t="s">
        <v>7854</v>
      </c>
      <c r="O674" s="118" t="str">
        <f t="array" ref="O674">IFERROR(
VLOOKUP(
TRIM(CLEAN(
INDEX(REPORTE_DROPI!K:K,
MATCH(T674, REPORTE_DROPI!B:B, 0)
))),
{
TRIM(CLEAN(MAPA_ESTADOS!A:A)) ,
MAPA_ESTADOS!B:B
},
2,
FALSE
),
"REVISAR"
)</f>
        <v>ENTREGADO</v>
      </c>
      <c r="P674" s="154" t="s">
        <v>5692</v>
      </c>
      <c r="Q674" s="153">
        <f t="shared" si="1"/>
        <v>0</v>
      </c>
      <c r="R674" s="172"/>
      <c r="S674" s="172"/>
      <c r="T674" s="118">
        <f t="array" ref="T674">IFERROR(
INDEX(REPORTE_DROPI!B:B,
MATCH(
CLEAN(TRIM(C674)),
CLEAN(TRIM(REPORTE_DROPI!E:E)),
0
)
),
""
)
</f>
        <v>4647087</v>
      </c>
      <c r="U674" s="169" t="s">
        <v>7855</v>
      </c>
      <c r="V674" s="166"/>
      <c r="W674" s="18"/>
      <c r="X674" s="18"/>
      <c r="Y674" s="18"/>
      <c r="Z674" s="18"/>
    </row>
    <row r="675" ht="22.5" hidden="1" customHeight="1">
      <c r="A675" s="169">
        <v>674.0</v>
      </c>
      <c r="B675" s="170">
        <v>46080.0</v>
      </c>
      <c r="C675" s="154" t="s">
        <v>7856</v>
      </c>
      <c r="D675" s="118" t="str">
        <f>IFERROR(__xludf.DUMMYFUNCTION("IFERROR( INDEX( FILTER( 'NOMBRE DE PRODUCTOS'!B:B, REGEXMATCH( UPPER( INDEX( REPORTE_DROPI!AC:AC, MATCH(T675, REPORTE_DROPI!B:B, 0) ) ), UPPER('NOMBRE DE PRODUCTOS'!A:A) ) ), 1 ), ""REVISAR"" )"),"Cuchillo Tazaki™")</f>
        <v>Cuchillo Tazaki™</v>
      </c>
      <c r="E675" s="120" t="str">
        <f t="array" ref="E675">IF(
UPPER(TRIM(CLEAN($O675)))="ENTREGADO",
IFERROR(
INDEX(REPORTE_DROPI!Y:Y,
MATCH($T675, REPORTE_DROPI!B:B, 0)
),
""
),
""
)
</f>
        <v/>
      </c>
      <c r="F675" s="171">
        <v>2.0</v>
      </c>
      <c r="G675" s="122" t="str">
        <f t="array" ref="G675">IF(
UPPER(TRIM(CLEAN($O675)))="ENTREGADO",
IFERROR(
INDEX(REPORTE_DROPI!R:R,
MATCH($T675, REPORTE_DROPI!B:B, 0)
),
""
),
""
)
</f>
        <v/>
      </c>
      <c r="H675" s="118" t="s">
        <v>3727</v>
      </c>
      <c r="I675" s="154" t="s">
        <v>3735</v>
      </c>
      <c r="J675" s="121" t="str">
        <f t="array" ref="J675">IF(
UPPER(TRIM(CLEAN($O675)))="ENTREGADO",
IFERROR(
INDEX(REPORTE_DROPI!T:T,
MATCH($T675, REPORTE_DROPI!B:B, 0)
),
""
),
""
)
</f>
        <v/>
      </c>
      <c r="K675" s="118" t="str">
        <f t="array" ref="K675">IFERROR(
INDEX(REPORTE_DROPI!S:S,
MATCH($T675, REPORTE_DROPI!B:B, 0)
),
""
)</f>
        <v/>
      </c>
      <c r="L675" s="118" t="str">
        <f>IF(
  O675&lt;&gt;"DEVOLUCION",
  "",
  IF(
    T675="",
    "",
    SUMIF(DEVOLUCION!F:F, T675, DEVOLUCION!D:D)
  )
)
</f>
        <v/>
      </c>
      <c r="M675" s="118" t="s">
        <v>5877</v>
      </c>
      <c r="N675" s="169" t="s">
        <v>7857</v>
      </c>
      <c r="O675" s="118" t="str">
        <f t="array" ref="O675">IFERROR(
VLOOKUP(
TRIM(CLEAN(
INDEX(REPORTE_DROPI!K:K,
MATCH(T675, REPORTE_DROPI!B:B, 0)
))),
{
TRIM(CLEAN(MAPA_ESTADOS!A:A)) ,
MAPA_ESTADOS!B:B
},
2,
FALSE
),
"REVISAR"
)</f>
        <v>PENDIENTE</v>
      </c>
      <c r="P675" s="154" t="s">
        <v>7858</v>
      </c>
      <c r="Q675" s="153">
        <f t="shared" si="1"/>
        <v>0</v>
      </c>
      <c r="R675" s="172"/>
      <c r="S675" s="172"/>
      <c r="T675" s="118">
        <f t="array" ref="T675">IFERROR(
INDEX(REPORTE_DROPI!B:B,
MATCH(
CLEAN(TRIM(C675)),
CLEAN(TRIM(REPORTE_DROPI!E:E)),
0
)
),
""
)
</f>
        <v>4647108</v>
      </c>
      <c r="U675" s="173">
        <v>1.57100204143E11</v>
      </c>
      <c r="V675" s="166"/>
      <c r="W675" s="18"/>
      <c r="X675" s="18"/>
      <c r="Y675" s="18"/>
      <c r="Z675" s="18"/>
    </row>
    <row r="676" ht="22.5" hidden="1" customHeight="1">
      <c r="A676" s="169">
        <v>675.0</v>
      </c>
      <c r="B676" s="170">
        <v>46080.0</v>
      </c>
      <c r="C676" s="154" t="s">
        <v>7859</v>
      </c>
      <c r="D676" s="118" t="str">
        <f>IFERROR(__xludf.DUMMYFUNCTION("IFERROR( INDEX( FILTER( 'NOMBRE DE PRODUCTOS'!B:B, REGEXMATCH( UPPER( INDEX( REPORTE_DROPI!AC:AC, MATCH(T676, REPORTE_DROPI!B:B, 0) ) ), UPPER('NOMBRE DE PRODUCTOS'!A:A) ) ), 1 ), ""REVISAR"" )"),"Cuchillo Tazaki™")</f>
        <v>Cuchillo Tazaki™</v>
      </c>
      <c r="E676" s="120">
        <f t="array" ref="E676">IF(
UPPER(TRIM(CLEAN($O676)))="ENTREGADO",
IFERROR(
INDEX(REPORTE_DROPI!Y:Y,
MATCH($T676, REPORTE_DROPI!B:B, 0)
),
""
),
""
)
</f>
        <v>11.25</v>
      </c>
      <c r="F676" s="171">
        <v>3.0</v>
      </c>
      <c r="G676" s="122">
        <f t="array" ref="G676">IF(
UPPER(TRIM(CLEAN($O676)))="ENTREGADO",
IFERROR(
INDEX(REPORTE_DROPI!R:R,
MATCH($T676, REPORTE_DROPI!B:B, 0)
),
""
),
""
)
</f>
        <v>27</v>
      </c>
      <c r="H676" s="118" t="s">
        <v>3727</v>
      </c>
      <c r="I676" s="154" t="s">
        <v>3731</v>
      </c>
      <c r="J676" s="121">
        <f t="array" ref="J676">IF(
UPPER(TRIM(CLEAN($O676)))="ENTREGADO",
IFERROR(
INDEX(REPORTE_DROPI!T:T,
MATCH($T676, REPORTE_DROPI!B:B, 0)
),
""
),
""
)
</f>
        <v>4.42</v>
      </c>
      <c r="K676" s="118">
        <f t="array" ref="K676">IFERROR(
INDEX(REPORTE_DROPI!S:S,
MATCH($T676, REPORTE_DROPI!B:B, 0)
),
""
)</f>
        <v>11.33</v>
      </c>
      <c r="L676" s="118" t="str">
        <f>IF(
  O676&lt;&gt;"DEVOLUCION",
  "",
  IF(
    T676="",
    "",
    SUMIF(DEVOLUCION!F:F, T676, DEVOLUCION!D:D)
  )
)
</f>
        <v/>
      </c>
      <c r="M676" s="118" t="s">
        <v>5877</v>
      </c>
      <c r="N676" s="169" t="s">
        <v>7860</v>
      </c>
      <c r="O676" s="118" t="str">
        <f t="array" ref="O676">IFERROR(
VLOOKUP(
TRIM(CLEAN(
INDEX(REPORTE_DROPI!K:K,
MATCH(T676, REPORTE_DROPI!B:B, 0)
))),
{
TRIM(CLEAN(MAPA_ESTADOS!A:A)) ,
MAPA_ESTADOS!B:B
},
2,
FALSE
),
"REVISAR"
)</f>
        <v>ENTREGADO</v>
      </c>
      <c r="P676" s="154" t="s">
        <v>5692</v>
      </c>
      <c r="Q676" s="153">
        <f t="shared" si="1"/>
        <v>0</v>
      </c>
      <c r="R676" s="172"/>
      <c r="S676" s="172"/>
      <c r="T676" s="118">
        <f t="array" ref="T676">IFERROR(
INDEX(REPORTE_DROPI!B:B,
MATCH(
CLEAN(TRIM(C676)),
CLEAN(TRIM(REPORTE_DROPI!E:E)),
0
)
),
""
)
</f>
        <v>4647206</v>
      </c>
      <c r="U676" s="169" t="s">
        <v>7861</v>
      </c>
      <c r="V676" s="166"/>
      <c r="W676" s="18"/>
      <c r="X676" s="18"/>
      <c r="Y676" s="18"/>
      <c r="Z676" s="18"/>
    </row>
    <row r="677" ht="22.5" hidden="1" customHeight="1">
      <c r="A677" s="169">
        <v>676.0</v>
      </c>
      <c r="B677" s="170">
        <v>46080.0</v>
      </c>
      <c r="C677" s="154" t="s">
        <v>7862</v>
      </c>
      <c r="D677" s="118" t="str">
        <f>IFERROR(__xludf.DUMMYFUNCTION("IFERROR( INDEX( FILTER( 'NOMBRE DE PRODUCTOS'!B:B, REGEXMATCH( UPPER( INDEX( REPORTE_DROPI!AC:AC, MATCH(T677, REPORTE_DROPI!B:B, 0) ) ), UPPER('NOMBRE DE PRODUCTOS'!A:A) ) ), 1 ), ""REVISAR"" )"),"Cuchillo Tazaki™")</f>
        <v>Cuchillo Tazaki™</v>
      </c>
      <c r="E677" s="120">
        <f t="array" ref="E677">IF(
UPPER(TRIM(CLEAN($O677)))="ENTREGADO",
IFERROR(
INDEX(REPORTE_DROPI!Y:Y,
MATCH($T677, REPORTE_DROPI!B:B, 0)
),
""
),
""
)
</f>
        <v>11.25</v>
      </c>
      <c r="F677" s="171">
        <v>3.0</v>
      </c>
      <c r="G677" s="122">
        <f t="array" ref="G677">IF(
UPPER(TRIM(CLEAN($O677)))="ENTREGADO",
IFERROR(
INDEX(REPORTE_DROPI!R:R,
MATCH($T677, REPORTE_DROPI!B:B, 0)
),
""
),
""
)
</f>
        <v>27</v>
      </c>
      <c r="H677" s="118" t="s">
        <v>3727</v>
      </c>
      <c r="I677" s="154" t="s">
        <v>3728</v>
      </c>
      <c r="J677" s="121">
        <f t="array" ref="J677">IF(
UPPER(TRIM(CLEAN($O677)))="ENTREGADO",
IFERROR(
INDEX(REPORTE_DROPI!T:T,
MATCH($T677, REPORTE_DROPI!B:B, 0)
),
""
),
""
)
</f>
        <v>6.03</v>
      </c>
      <c r="K677" s="118">
        <f t="array" ref="K677">IFERROR(
INDEX(REPORTE_DROPI!S:S,
MATCH($T677, REPORTE_DROPI!B:B, 0)
),
""
)</f>
        <v>9.72</v>
      </c>
      <c r="L677" s="118" t="str">
        <f>IF(
  O677&lt;&gt;"DEVOLUCION",
  "",
  IF(
    T677="",
    "",
    SUMIF(DEVOLUCION!F:F, T677, DEVOLUCION!D:D)
  )
)
</f>
        <v/>
      </c>
      <c r="M677" s="118" t="s">
        <v>5877</v>
      </c>
      <c r="N677" s="169" t="s">
        <v>7863</v>
      </c>
      <c r="O677" s="118" t="str">
        <f t="array" ref="O677">IFERROR(
VLOOKUP(
TRIM(CLEAN(
INDEX(REPORTE_DROPI!K:K,
MATCH(T677, REPORTE_DROPI!B:B, 0)
))),
{
TRIM(CLEAN(MAPA_ESTADOS!A:A)) ,
MAPA_ESTADOS!B:B
},
2,
FALSE
),
"REVISAR"
)</f>
        <v>ENTREGADO</v>
      </c>
      <c r="P677" s="154" t="s">
        <v>5692</v>
      </c>
      <c r="Q677" s="153">
        <f t="shared" si="1"/>
        <v>0</v>
      </c>
      <c r="R677" s="172"/>
      <c r="S677" s="172"/>
      <c r="T677" s="118">
        <f t="array" ref="T677">IFERROR(
INDEX(REPORTE_DROPI!B:B,
MATCH(
CLEAN(TRIM(C677)),
CLEAN(TRIM(REPORTE_DROPI!E:E)),
0
)
),
""
)
</f>
        <v>4647436</v>
      </c>
      <c r="U677" s="173">
        <v>4.5171163116E10</v>
      </c>
      <c r="V677" s="166"/>
      <c r="W677" s="18"/>
      <c r="X677" s="18"/>
      <c r="Y677" s="18"/>
      <c r="Z677" s="18"/>
    </row>
    <row r="678" ht="22.5" hidden="1" customHeight="1">
      <c r="A678" s="169">
        <v>677.0</v>
      </c>
      <c r="B678" s="170">
        <v>46080.0</v>
      </c>
      <c r="C678" s="154" t="s">
        <v>7864</v>
      </c>
      <c r="D678" s="118" t="str">
        <f>IFERROR(__xludf.DUMMYFUNCTION("IFERROR( INDEX( FILTER( 'NOMBRE DE PRODUCTOS'!B:B, REGEXMATCH( UPPER( INDEX( REPORTE_DROPI!AC:AC, MATCH(T678, REPORTE_DROPI!B:B, 0) ) ), UPPER('NOMBRE DE PRODUCTOS'!A:A) ) ), 1 ), ""REVISAR"" )"),"Cuchillo Tazaki™")</f>
        <v>Cuchillo Tazaki™</v>
      </c>
      <c r="E678" s="120">
        <f t="array" ref="E678">IF(
UPPER(TRIM(CLEAN($O678)))="ENTREGADO",
IFERROR(
INDEX(REPORTE_DROPI!Y:Y,
MATCH($T678, REPORTE_DROPI!B:B, 0)
),
""
),
""
)
</f>
        <v>7.5</v>
      </c>
      <c r="F678" s="171">
        <v>2.0</v>
      </c>
      <c r="G678" s="122">
        <f t="array" ref="G678">IF(
UPPER(TRIM(CLEAN($O678)))="ENTREGADO",
IFERROR(
INDEX(REPORTE_DROPI!R:R,
MATCH($T678, REPORTE_DROPI!B:B, 0)
),
""
),
""
)
</f>
        <v>22</v>
      </c>
      <c r="H678" s="118" t="s">
        <v>3727</v>
      </c>
      <c r="I678" s="154" t="s">
        <v>3772</v>
      </c>
      <c r="J678" s="121">
        <f t="array" ref="J678">IF(
UPPER(TRIM(CLEAN($O678)))="ENTREGADO",
IFERROR(
INDEX(REPORTE_DROPI!T:T,
MATCH($T678, REPORTE_DROPI!B:B, 0)
),
""
),
""
)
</f>
        <v>5.84</v>
      </c>
      <c r="K678" s="118">
        <f t="array" ref="K678">IFERROR(
INDEX(REPORTE_DROPI!S:S,
MATCH($T678, REPORTE_DROPI!B:B, 0)
),
""
)</f>
        <v>8.66</v>
      </c>
      <c r="L678" s="118" t="str">
        <f>IF(
  O678&lt;&gt;"DEVOLUCION",
  "",
  IF(
    T678="",
    "",
    SUMIF(DEVOLUCION!F:F, T678, DEVOLUCION!D:D)
  )
)
</f>
        <v/>
      </c>
      <c r="M678" s="118" t="s">
        <v>5877</v>
      </c>
      <c r="N678" s="169" t="s">
        <v>7865</v>
      </c>
      <c r="O678" s="118" t="str">
        <f t="array" ref="O678">IFERROR(
VLOOKUP(
TRIM(CLEAN(
INDEX(REPORTE_DROPI!K:K,
MATCH(T678, REPORTE_DROPI!B:B, 0)
))),
{
TRIM(CLEAN(MAPA_ESTADOS!A:A)) ,
MAPA_ESTADOS!B:B
},
2,
FALSE
),
"REVISAR"
)</f>
        <v>ENTREGADO</v>
      </c>
      <c r="P678" s="154" t="s">
        <v>5692</v>
      </c>
      <c r="Q678" s="153">
        <f t="shared" si="1"/>
        <v>0</v>
      </c>
      <c r="R678" s="172"/>
      <c r="S678" s="172"/>
      <c r="T678" s="118">
        <f t="array" ref="T678">IFERROR(
INDEX(REPORTE_DROPI!B:B,
MATCH(
CLEAN(TRIM(C678)),
CLEAN(TRIM(REPORTE_DROPI!E:E)),
0
)
),
""
)
</f>
        <v>4647463</v>
      </c>
      <c r="U678" s="169" t="s">
        <v>7866</v>
      </c>
      <c r="V678" s="166"/>
      <c r="W678" s="18"/>
      <c r="X678" s="18"/>
      <c r="Y678" s="18"/>
      <c r="Z678" s="18"/>
    </row>
    <row r="679" ht="22.5" hidden="1" customHeight="1">
      <c r="A679" s="169">
        <v>678.0</v>
      </c>
      <c r="B679" s="170">
        <v>46080.0</v>
      </c>
      <c r="C679" s="154" t="s">
        <v>7867</v>
      </c>
      <c r="D679" s="118" t="str">
        <f>IFERROR(__xludf.DUMMYFUNCTION("IFERROR( INDEX( FILTER( 'NOMBRE DE PRODUCTOS'!B:B, REGEXMATCH( UPPER( INDEX( REPORTE_DROPI!AC:AC, MATCH(T679, REPORTE_DROPI!B:B, 0) ) ), UPPER('NOMBRE DE PRODUCTOS'!A:A) ) ), 1 ), ""REVISAR"" )"),"FilmPro®")</f>
        <v>FilmPro®</v>
      </c>
      <c r="E679" s="120">
        <f t="array" ref="E679">IF(
UPPER(TRIM(CLEAN($O679)))="ENTREGADO",
IFERROR(
INDEX(REPORTE_DROPI!Y:Y,
MATCH($T679, REPORTE_DROPI!B:B, 0)
),
""
),
""
)
</f>
        <v>4.7</v>
      </c>
      <c r="F679" s="171">
        <v>2.0</v>
      </c>
      <c r="G679" s="122">
        <f t="array" ref="G679">IF(
UPPER(TRIM(CLEAN($O679)))="ENTREGADO",
IFERROR(
INDEX(REPORTE_DROPI!R:R,
MATCH($T679, REPORTE_DROPI!B:B, 0)
),
""
),
""
)
</f>
        <v>25</v>
      </c>
      <c r="H679" s="118" t="s">
        <v>3727</v>
      </c>
      <c r="I679" s="154" t="s">
        <v>3728</v>
      </c>
      <c r="J679" s="121">
        <f t="array" ref="J679">IF(
UPPER(TRIM(CLEAN($O679)))="ENTREGADO",
IFERROR(
INDEX(REPORTE_DROPI!T:T,
MATCH($T679, REPORTE_DROPI!B:B, 0)
),
""
),
""
)
</f>
        <v>5.96</v>
      </c>
      <c r="K679" s="118">
        <f t="array" ref="K679">IFERROR(
INDEX(REPORTE_DROPI!S:S,
MATCH($T679, REPORTE_DROPI!B:B, 0)
),
""
)</f>
        <v>14.34</v>
      </c>
      <c r="L679" s="118" t="str">
        <f>IF(
  O679&lt;&gt;"DEVOLUCION",
  "",
  IF(
    T679="",
    "",
    SUMIF(DEVOLUCION!F:F, T679, DEVOLUCION!D:D)
  )
)
</f>
        <v/>
      </c>
      <c r="M679" s="118" t="s">
        <v>5877</v>
      </c>
      <c r="N679" s="169" t="s">
        <v>7868</v>
      </c>
      <c r="O679" s="118" t="str">
        <f t="array" ref="O679">IFERROR(
VLOOKUP(
TRIM(CLEAN(
INDEX(REPORTE_DROPI!K:K,
MATCH(T679, REPORTE_DROPI!B:B, 0)
))),
{
TRIM(CLEAN(MAPA_ESTADOS!A:A)) ,
MAPA_ESTADOS!B:B
},
2,
FALSE
),
"REVISAR"
)</f>
        <v>ENTREGADO</v>
      </c>
      <c r="P679" s="154" t="s">
        <v>5692</v>
      </c>
      <c r="Q679" s="153">
        <f t="shared" si="1"/>
        <v>0</v>
      </c>
      <c r="R679" s="172"/>
      <c r="S679" s="172"/>
      <c r="T679" s="118">
        <f t="array" ref="T679">IFERROR(
INDEX(REPORTE_DROPI!B:B,
MATCH(
CLEAN(TRIM(C679)),
CLEAN(TRIM(REPORTE_DROPI!E:E)),
0
)
),
""
)
</f>
        <v>4647597</v>
      </c>
      <c r="U679" s="173">
        <v>1.90130142155E11</v>
      </c>
      <c r="V679" s="166"/>
      <c r="W679" s="18"/>
      <c r="X679" s="18"/>
      <c r="Y679" s="18"/>
      <c r="Z679" s="18"/>
    </row>
    <row r="680" ht="22.5" hidden="1" customHeight="1">
      <c r="A680" s="169">
        <v>679.0</v>
      </c>
      <c r="B680" s="170">
        <v>46080.0</v>
      </c>
      <c r="C680" s="154" t="s">
        <v>7869</v>
      </c>
      <c r="D680" s="118" t="str">
        <f>IFERROR(__xludf.DUMMYFUNCTION("IFERROR( INDEX( FILTER( 'NOMBRE DE PRODUCTOS'!B:B, REGEXMATCH( UPPER( INDEX( REPORTE_DROPI!AC:AC, MATCH(T680, REPORTE_DROPI!B:B, 0) ) ), UPPER('NOMBRE DE PRODUCTOS'!A:A) ) ), 1 ), ""REVISAR"" )"),"FilmPro®")</f>
        <v>FilmPro®</v>
      </c>
      <c r="E680" s="120">
        <f t="array" ref="E680">IF(
UPPER(TRIM(CLEAN($O680)))="ENTREGADO",
IFERROR(
INDEX(REPORTE_DROPI!Y:Y,
MATCH($T680, REPORTE_DROPI!B:B, 0)
),
""
),
""
)
</f>
        <v>7.05</v>
      </c>
      <c r="F680" s="171">
        <v>3.0</v>
      </c>
      <c r="G680" s="122">
        <f t="array" ref="G680">IF(
UPPER(TRIM(CLEAN($O680)))="ENTREGADO",
IFERROR(
INDEX(REPORTE_DROPI!R:R,
MATCH($T680, REPORTE_DROPI!B:B, 0)
),
""
),
""
)
</f>
        <v>30</v>
      </c>
      <c r="H680" s="118" t="s">
        <v>3727</v>
      </c>
      <c r="I680" s="154" t="s">
        <v>3731</v>
      </c>
      <c r="J680" s="121">
        <f t="array" ref="J680">IF(
UPPER(TRIM(CLEAN($O680)))="ENTREGADO",
IFERROR(
INDEX(REPORTE_DROPI!T:T,
MATCH($T680, REPORTE_DROPI!B:B, 0)
),
""
),
""
)
</f>
        <v>4.55</v>
      </c>
      <c r="K680" s="118">
        <f t="array" ref="K680">IFERROR(
INDEX(REPORTE_DROPI!S:S,
MATCH($T680, REPORTE_DROPI!B:B, 0)
),
""
)</f>
        <v>18.4</v>
      </c>
      <c r="L680" s="118" t="str">
        <f>IF(
  O680&lt;&gt;"DEVOLUCION",
  "",
  IF(
    T680="",
    "",
    SUMIF(DEVOLUCION!F:F, T680, DEVOLUCION!D:D)
  )
)
</f>
        <v/>
      </c>
      <c r="M680" s="118" t="s">
        <v>5877</v>
      </c>
      <c r="N680" s="169" t="s">
        <v>7870</v>
      </c>
      <c r="O680" s="118" t="str">
        <f t="array" ref="O680">IFERROR(
VLOOKUP(
TRIM(CLEAN(
INDEX(REPORTE_DROPI!K:K,
MATCH(T680, REPORTE_DROPI!B:B, 0)
))),
{
TRIM(CLEAN(MAPA_ESTADOS!A:A)) ,
MAPA_ESTADOS!B:B
},
2,
FALSE
),
"REVISAR"
)</f>
        <v>ENTREGADO</v>
      </c>
      <c r="P680" s="154" t="s">
        <v>5692</v>
      </c>
      <c r="Q680" s="153">
        <f t="shared" si="1"/>
        <v>0</v>
      </c>
      <c r="R680" s="172"/>
      <c r="S680" s="172"/>
      <c r="T680" s="118">
        <f t="array" ref="T680">IFERROR(
INDEX(REPORTE_DROPI!B:B,
MATCH(
CLEAN(TRIM(C680)),
CLEAN(TRIM(REPORTE_DROPI!E:E)),
0
)
),
""
)
</f>
        <v>4647606</v>
      </c>
      <c r="U680" s="169" t="s">
        <v>7871</v>
      </c>
      <c r="V680" s="166"/>
      <c r="W680" s="18"/>
      <c r="X680" s="18"/>
      <c r="Y680" s="18"/>
      <c r="Z680" s="18"/>
    </row>
    <row r="681" ht="22.5" customHeight="1">
      <c r="A681" s="169">
        <v>680.0</v>
      </c>
      <c r="B681" s="170">
        <v>46080.0</v>
      </c>
      <c r="C681" s="154" t="s">
        <v>7872</v>
      </c>
      <c r="D681" s="118" t="str">
        <f>IFERROR(__xludf.DUMMYFUNCTION("IFERROR( INDEX( FILTER( 'NOMBRE DE PRODUCTOS'!B:B, REGEXMATCH( UPPER( INDEX( REPORTE_DROPI!AC:AC, MATCH(T681, REPORTE_DROPI!B:B, 0) ) ), UPPER('NOMBRE DE PRODUCTOS'!A:A) ) ), 1 ), ""REVISAR"" )"),"FreeBeat Adapter")</f>
        <v>FreeBeat Adapter</v>
      </c>
      <c r="E681" s="120" t="str">
        <f t="array" ref="E681">IF(
UPPER(TRIM(CLEAN($O681)))="ENTREGADO",
IFERROR(
INDEX(REPORTE_DROPI!Y:Y,
MATCH($T681, REPORTE_DROPI!B:B, 0)
),
""
),
""
)
</f>
        <v/>
      </c>
      <c r="F681" s="171">
        <v>2.0</v>
      </c>
      <c r="G681" s="122" t="str">
        <f t="array" ref="G681">IF(
UPPER(TRIM(CLEAN($O681)))="ENTREGADO",
IFERROR(
INDEX(REPORTE_DROPI!R:R,
MATCH($T681, REPORTE_DROPI!B:B, 0)
),
""
),
""
)
</f>
        <v/>
      </c>
      <c r="H681" s="118" t="s">
        <v>3727</v>
      </c>
      <c r="I681" s="154" t="s">
        <v>3735</v>
      </c>
      <c r="J681" s="121" t="str">
        <f t="array" ref="J681">IF(
UPPER(TRIM(CLEAN($O681)))="ENTREGADO",
IFERROR(
INDEX(REPORTE_DROPI!T:T,
MATCH($T681, REPORTE_DROPI!B:B, 0)
),
""
),
""
)
</f>
        <v/>
      </c>
      <c r="K681" s="118" t="str">
        <f t="array" ref="K681">IFERROR(
INDEX(REPORTE_DROPI!S:S,
MATCH($T681, REPORTE_DROPI!B:B, 0)
),
""
)</f>
        <v/>
      </c>
      <c r="L681" s="118" t="str">
        <f>IF(
  O681&lt;&gt;"DEVOLUCION",
  "",
  IF(
    T681="",
    "",
    SUMIF(DEVOLUCION!F:F, T681, DEVOLUCION!D:D)
  )
)
</f>
        <v/>
      </c>
      <c r="M681" s="118" t="s">
        <v>5877</v>
      </c>
      <c r="N681" s="169" t="s">
        <v>7873</v>
      </c>
      <c r="O681" s="118" t="str">
        <f t="array" ref="O681">IFERROR(
VLOOKUP(
TRIM(CLEAN(
INDEX(REPORTE_DROPI!K:K,
MATCH(T681, REPORTE_DROPI!B:B, 0)
))),
{
TRIM(CLEAN(MAPA_ESTADOS!A:A)) ,
MAPA_ESTADOS!B:B
},
2,
FALSE
),
"REVISAR"
)</f>
        <v>PENDIENTE</v>
      </c>
      <c r="P681" s="154" t="s">
        <v>7874</v>
      </c>
      <c r="Q681" s="153">
        <f t="shared" si="1"/>
        <v>0</v>
      </c>
      <c r="R681" s="172"/>
      <c r="S681" s="172"/>
      <c r="T681" s="118">
        <f t="array" ref="T681">IFERROR(
INDEX(REPORTE_DROPI!B:B,
MATCH(
CLEAN(TRIM(C681)),
CLEAN(TRIM(REPORTE_DROPI!E:E)),
0
)
),
""
)
</f>
        <v>4647770</v>
      </c>
      <c r="U681" s="169" t="s">
        <v>7875</v>
      </c>
      <c r="V681" s="166"/>
      <c r="W681" s="18"/>
      <c r="X681" s="18"/>
      <c r="Y681" s="18"/>
      <c r="Z681" s="18"/>
    </row>
    <row r="682" ht="22.5" hidden="1" customHeight="1">
      <c r="A682" s="169">
        <v>681.0</v>
      </c>
      <c r="B682" s="170">
        <v>46080.0</v>
      </c>
      <c r="C682" s="154" t="s">
        <v>7876</v>
      </c>
      <c r="D682" s="118" t="str">
        <f>IFERROR(__xludf.DUMMYFUNCTION("IFERROR( INDEX( FILTER( 'NOMBRE DE PRODUCTOS'!B:B, REGEXMATCH( UPPER( INDEX( REPORTE_DROPI!AC:AC, MATCH(T682, REPORTE_DROPI!B:B, 0) ) ), UPPER('NOMBRE DE PRODUCTOS'!A:A) ) ), 1 ), ""REVISAR"" )"),"FilmPro®")</f>
        <v>FilmPro®</v>
      </c>
      <c r="E682" s="120" t="str">
        <f t="array" ref="E682">IF(
UPPER(TRIM(CLEAN($O682)))="ENTREGADO",
IFERROR(
INDEX(REPORTE_DROPI!Y:Y,
MATCH($T682, REPORTE_DROPI!B:B, 0)
),
""
),
""
)
</f>
        <v/>
      </c>
      <c r="F682" s="171">
        <v>1.0</v>
      </c>
      <c r="G682" s="122" t="str">
        <f t="array" ref="G682">IF(
UPPER(TRIM(CLEAN($O682)))="ENTREGADO",
IFERROR(
INDEX(REPORTE_DROPI!R:R,
MATCH($T682, REPORTE_DROPI!B:B, 0)
),
""
),
""
)
</f>
        <v/>
      </c>
      <c r="H682" s="118" t="s">
        <v>3727</v>
      </c>
      <c r="I682" s="154" t="s">
        <v>3740</v>
      </c>
      <c r="J682" s="121" t="str">
        <f t="array" ref="J682">IF(
UPPER(TRIM(CLEAN($O682)))="ENTREGADO",
IFERROR(
INDEX(REPORTE_DROPI!T:T,
MATCH($T682, REPORTE_DROPI!B:B, 0)
),
""
),
""
)
</f>
        <v/>
      </c>
      <c r="K682" s="118" t="str">
        <f t="array" ref="K682">IFERROR(
INDEX(REPORTE_DROPI!S:S,
MATCH($T682, REPORTE_DROPI!B:B, 0)
),
""
)</f>
        <v/>
      </c>
      <c r="L682" s="118">
        <f>IF(
  O682&lt;&gt;"DEVOLUCION",
  "",
  IF(
    T682="",
    "",
    SUMIF(DEVOLUCION!F:F, T682, DEVOLUCION!D:D)
  )
)
</f>
        <v>0</v>
      </c>
      <c r="M682" s="118" t="s">
        <v>5877</v>
      </c>
      <c r="N682" s="169" t="s">
        <v>7877</v>
      </c>
      <c r="O682" s="118" t="str">
        <f t="array" ref="O682">IFERROR(
VLOOKUP(
TRIM(CLEAN(
INDEX(REPORTE_DROPI!K:K,
MATCH(T682, REPORTE_DROPI!B:B, 0)
))),
{
TRIM(CLEAN(MAPA_ESTADOS!A:A)) ,
MAPA_ESTADOS!B:B
},
2,
FALSE
),
"REVISAR"
)</f>
        <v>DEVOLUCION</v>
      </c>
      <c r="P682" s="154" t="s">
        <v>5692</v>
      </c>
      <c r="Q682" s="153">
        <f t="shared" si="1"/>
        <v>0</v>
      </c>
      <c r="R682" s="172"/>
      <c r="S682" s="172"/>
      <c r="T682" s="118">
        <f t="array" ref="T682">IFERROR(
INDEX(REPORTE_DROPI!B:B,
MATCH(
CLEAN(TRIM(C682)),
CLEAN(TRIM(REPORTE_DROPI!E:E)),
0
)
),
""
)
</f>
        <v>4647784</v>
      </c>
      <c r="U682" s="169" t="s">
        <v>7878</v>
      </c>
      <c r="V682" s="166"/>
      <c r="W682" s="18"/>
      <c r="X682" s="18"/>
      <c r="Y682" s="18"/>
      <c r="Z682" s="18"/>
    </row>
    <row r="683" ht="22.5" customHeight="1">
      <c r="A683" s="169">
        <v>682.0</v>
      </c>
      <c r="B683" s="170">
        <v>46080.0</v>
      </c>
      <c r="C683" s="154" t="s">
        <v>7879</v>
      </c>
      <c r="D683" s="118" t="str">
        <f>IFERROR(__xludf.DUMMYFUNCTION("IFERROR( INDEX( FILTER( 'NOMBRE DE PRODUCTOS'!B:B, REGEXMATCH( UPPER( INDEX( REPORTE_DROPI!AC:AC, MATCH(T683, REPORTE_DROPI!B:B, 0) ) ), UPPER('NOMBRE DE PRODUCTOS'!A:A) ) ), 1 ), ""REVISAR"" )"),"FreeBeat Adapter")</f>
        <v>FreeBeat Adapter</v>
      </c>
      <c r="E683" s="120">
        <f t="array" ref="E683">IF(
UPPER(TRIM(CLEAN($O683)))="ENTREGADO",
IFERROR(
INDEX(REPORTE_DROPI!Y:Y,
MATCH($T683, REPORTE_DROPI!B:B, 0)
),
""
),
""
)
</f>
        <v>10</v>
      </c>
      <c r="F683" s="171">
        <v>2.0</v>
      </c>
      <c r="G683" s="122">
        <f t="array" ref="G683">IF(
UPPER(TRIM(CLEAN($O683)))="ENTREGADO",
IFERROR(
INDEX(REPORTE_DROPI!R:R,
MATCH($T683, REPORTE_DROPI!B:B, 0)
),
""
),
""
)
</f>
        <v>24.2</v>
      </c>
      <c r="H683" s="118" t="s">
        <v>3727</v>
      </c>
      <c r="I683" s="154" t="s">
        <v>3772</v>
      </c>
      <c r="J683" s="121">
        <f t="array" ref="J683">IF(
UPPER(TRIM(CLEAN($O683)))="ENTREGADO",
IFERROR(
INDEX(REPORTE_DROPI!T:T,
MATCH($T683, REPORTE_DROPI!B:B, 0)
),
""
),
""
)
</f>
        <v>5.92</v>
      </c>
      <c r="K683" s="118">
        <f t="array" ref="K683">IFERROR(
INDEX(REPORTE_DROPI!S:S,
MATCH($T683, REPORTE_DROPI!B:B, 0)
),
""
)</f>
        <v>8.28</v>
      </c>
      <c r="L683" s="118" t="str">
        <f>IF(
  O683&lt;&gt;"DEVOLUCION",
  "",
  IF(
    T683="",
    "",
    SUMIF(DEVOLUCION!F:F, T683, DEVOLUCION!D:D)
  )
)
</f>
        <v/>
      </c>
      <c r="M683" s="118" t="s">
        <v>5877</v>
      </c>
      <c r="N683" s="169" t="s">
        <v>7880</v>
      </c>
      <c r="O683" s="118" t="str">
        <f t="array" ref="O683">IFERROR(
VLOOKUP(
TRIM(CLEAN(
INDEX(REPORTE_DROPI!K:K,
MATCH(T683, REPORTE_DROPI!B:B, 0)
))),
{
TRIM(CLEAN(MAPA_ESTADOS!A:A)) ,
MAPA_ESTADOS!B:B
},
2,
FALSE
),
"REVISAR"
)</f>
        <v>ENTREGADO</v>
      </c>
      <c r="P683" s="154" t="s">
        <v>5692</v>
      </c>
      <c r="Q683" s="153">
        <f t="shared" si="1"/>
        <v>0</v>
      </c>
      <c r="R683" s="172"/>
      <c r="S683" s="172"/>
      <c r="T683" s="118">
        <f t="array" ref="T683">IFERROR(
INDEX(REPORTE_DROPI!B:B,
MATCH(
CLEAN(TRIM(C683)),
CLEAN(TRIM(REPORTE_DROPI!E:E)),
0
)
),
""
)
</f>
        <v>4648102</v>
      </c>
      <c r="U683" s="173">
        <v>4.523615119E10</v>
      </c>
      <c r="V683" s="166"/>
      <c r="W683" s="18"/>
      <c r="X683" s="18"/>
      <c r="Y683" s="18"/>
      <c r="Z683" s="18"/>
    </row>
    <row r="684" ht="22.5" customHeight="1">
      <c r="A684" s="169">
        <v>683.0</v>
      </c>
      <c r="B684" s="170">
        <v>46080.0</v>
      </c>
      <c r="C684" s="154" t="s">
        <v>7881</v>
      </c>
      <c r="D684" s="118" t="str">
        <f>IFERROR(__xludf.DUMMYFUNCTION("IFERROR( INDEX( FILTER( 'NOMBRE DE PRODUCTOS'!B:B, REGEXMATCH( UPPER( INDEX( REPORTE_DROPI!AC:AC, MATCH(T684, REPORTE_DROPI!B:B, 0) ) ), UPPER('NOMBRE DE PRODUCTOS'!A:A) ) ), 1 ), ""REVISAR"" )"),"FreeBeat Adapter")</f>
        <v>FreeBeat Adapter</v>
      </c>
      <c r="E684" s="120" t="str">
        <f t="array" ref="E684">IF(
UPPER(TRIM(CLEAN($O684)))="ENTREGADO",
IFERROR(
INDEX(REPORTE_DROPI!Y:Y,
MATCH($T684, REPORTE_DROPI!B:B, 0)
),
""
),
""
)
</f>
        <v/>
      </c>
      <c r="F684" s="171">
        <v>2.0</v>
      </c>
      <c r="G684" s="122" t="str">
        <f t="array" ref="G684">IF(
UPPER(TRIM(CLEAN($O684)))="ENTREGADO",
IFERROR(
INDEX(REPORTE_DROPI!R:R,
MATCH($T684, REPORTE_DROPI!B:B, 0)
),
""
),
""
)
</f>
        <v/>
      </c>
      <c r="H684" s="118" t="s">
        <v>3727</v>
      </c>
      <c r="I684" s="154" t="s">
        <v>3784</v>
      </c>
      <c r="J684" s="121" t="str">
        <f t="array" ref="J684">IF(
UPPER(TRIM(CLEAN($O684)))="ENTREGADO",
IFERROR(
INDEX(REPORTE_DROPI!T:T,
MATCH($T684, REPORTE_DROPI!B:B, 0)
),
""
),
""
)
</f>
        <v/>
      </c>
      <c r="K684" s="118" t="str">
        <f t="array" ref="K684">IFERROR(
INDEX(REPORTE_DROPI!S:S,
MATCH($T684, REPORTE_DROPI!B:B, 0)
),
""
)</f>
        <v/>
      </c>
      <c r="L684" s="118" t="str">
        <f>IF(
  O684&lt;&gt;"DEVOLUCION",
  "",
  IF(
    T684="",
    "",
    SUMIF(DEVOLUCION!F:F, T684, DEVOLUCION!D:D)
  )
)
</f>
        <v/>
      </c>
      <c r="M684" s="118" t="s">
        <v>5877</v>
      </c>
      <c r="N684" s="169" t="s">
        <v>7882</v>
      </c>
      <c r="O684" s="118" t="str">
        <f t="array" ref="O684">IFERROR(
VLOOKUP(
TRIM(CLEAN(
INDEX(REPORTE_DROPI!K:K,
MATCH(T684, REPORTE_DROPI!B:B, 0)
))),
{
TRIM(CLEAN(MAPA_ESTADOS!A:A)) ,
MAPA_ESTADOS!B:B
},
2,
FALSE
),
"REVISAR"
)</f>
        <v>PENDIENTE</v>
      </c>
      <c r="P684" s="154" t="s">
        <v>6534</v>
      </c>
      <c r="Q684" s="153">
        <f t="shared" si="1"/>
        <v>0</v>
      </c>
      <c r="R684" s="172"/>
      <c r="S684" s="172"/>
      <c r="T684" s="118">
        <f t="array" ref="T684">IFERROR(
INDEX(REPORTE_DROPI!B:B,
MATCH(
CLEAN(TRIM(C684)),
CLEAN(TRIM(REPORTE_DROPI!E:E)),
0
)
),
""
)
</f>
        <v>4648327</v>
      </c>
      <c r="U684" s="169" t="s">
        <v>7883</v>
      </c>
      <c r="V684" s="166"/>
      <c r="W684" s="18"/>
      <c r="X684" s="18"/>
      <c r="Y684" s="18"/>
      <c r="Z684" s="18"/>
    </row>
    <row r="685" ht="22.5" hidden="1" customHeight="1">
      <c r="A685" s="169">
        <v>684.0</v>
      </c>
      <c r="B685" s="170">
        <v>46080.0</v>
      </c>
      <c r="C685" s="154" t="s">
        <v>7884</v>
      </c>
      <c r="D685" s="118" t="str">
        <f>IFERROR(__xludf.DUMMYFUNCTION("IFERROR( INDEX( FILTER( 'NOMBRE DE PRODUCTOS'!B:B, REGEXMATCH( UPPER( INDEX( REPORTE_DROPI!AC:AC, MATCH(T685, REPORTE_DROPI!B:B, 0) ) ), UPPER('NOMBRE DE PRODUCTOS'!A:A) ) ), 1 ), ""REVISAR"" )"),"FilmPro®")</f>
        <v>FilmPro®</v>
      </c>
      <c r="E685" s="120" t="str">
        <f t="array" ref="E685">IF(
UPPER(TRIM(CLEAN($O685)))="ENTREGADO",
IFERROR(
INDEX(REPORTE_DROPI!Y:Y,
MATCH($T685, REPORTE_DROPI!B:B, 0)
),
""
),
""
)
</f>
        <v/>
      </c>
      <c r="F685" s="171">
        <v>2.0</v>
      </c>
      <c r="G685" s="122" t="str">
        <f t="array" ref="G685">IF(
UPPER(TRIM(CLEAN($O685)))="ENTREGADO",
IFERROR(
INDEX(REPORTE_DROPI!R:R,
MATCH($T685, REPORTE_DROPI!B:B, 0)
),
""
),
""
)
</f>
        <v/>
      </c>
      <c r="H685" s="118" t="s">
        <v>3727</v>
      </c>
      <c r="I685" s="154" t="s">
        <v>3740</v>
      </c>
      <c r="J685" s="121" t="str">
        <f t="array" ref="J685">IF(
UPPER(TRIM(CLEAN($O685)))="ENTREGADO",
IFERROR(
INDEX(REPORTE_DROPI!T:T,
MATCH($T685, REPORTE_DROPI!B:B, 0)
),
""
),
""
)
</f>
        <v/>
      </c>
      <c r="K685" s="118" t="str">
        <f t="array" ref="K685">IFERROR(
INDEX(REPORTE_DROPI!S:S,
MATCH($T685, REPORTE_DROPI!B:B, 0)
),
""
)</f>
        <v/>
      </c>
      <c r="L685" s="118" t="str">
        <f>IF(
  O685&lt;&gt;"DEVOLUCION",
  "",
  IF(
    T685="",
    "",
    SUMIF(DEVOLUCION!F:F, T685, DEVOLUCION!D:D)
  )
)
</f>
        <v/>
      </c>
      <c r="M685" s="118" t="s">
        <v>5877</v>
      </c>
      <c r="N685" s="169" t="s">
        <v>7885</v>
      </c>
      <c r="O685" s="118" t="str">
        <f t="array" ref="O685">IFERROR(
VLOOKUP(
TRIM(CLEAN(
INDEX(REPORTE_DROPI!K:K,
MATCH(T685, REPORTE_DROPI!B:B, 0)
))),
{
TRIM(CLEAN(MAPA_ESTADOS!A:A)) ,
MAPA_ESTADOS!B:B
},
2,
FALSE
),
"REVISAR"
)</f>
        <v>CANCELADO</v>
      </c>
      <c r="P685" s="154" t="s">
        <v>7176</v>
      </c>
      <c r="Q685" s="153">
        <f t="shared" si="1"/>
        <v>0</v>
      </c>
      <c r="R685" s="172"/>
      <c r="S685" s="172"/>
      <c r="T685" s="118">
        <f t="array" ref="T685">IFERROR(
INDEX(REPORTE_DROPI!B:B,
MATCH(
CLEAN(TRIM(C685)),
CLEAN(TRIM(REPORTE_DROPI!E:E)),
0
)
),
""
)
</f>
        <v>4648417</v>
      </c>
      <c r="U685" s="169" t="s">
        <v>7886</v>
      </c>
      <c r="V685" s="166"/>
      <c r="W685" s="18"/>
      <c r="X685" s="18"/>
      <c r="Y685" s="18"/>
      <c r="Z685" s="18"/>
    </row>
    <row r="686" ht="22.5" hidden="1" customHeight="1">
      <c r="A686" s="169">
        <v>685.0</v>
      </c>
      <c r="B686" s="170">
        <v>46080.0</v>
      </c>
      <c r="C686" s="154" t="s">
        <v>7887</v>
      </c>
      <c r="D686" s="118" t="str">
        <f>IFERROR(__xludf.DUMMYFUNCTION("IFERROR( INDEX( FILTER( 'NOMBRE DE PRODUCTOS'!B:B, REGEXMATCH( UPPER( INDEX( REPORTE_DROPI!AC:AC, MATCH(T686, REPORTE_DROPI!B:B, 0) ) ), UPPER('NOMBRE DE PRODUCTOS'!A:A) ) ), 1 ), ""REVISAR"" )"),"FilmPro®")</f>
        <v>FilmPro®</v>
      </c>
      <c r="E686" s="120" t="str">
        <f t="array" ref="E686">IF(
UPPER(TRIM(CLEAN($O686)))="ENTREGADO",
IFERROR(
INDEX(REPORTE_DROPI!Y:Y,
MATCH($T686, REPORTE_DROPI!B:B, 0)
),
""
),
""
)
</f>
        <v/>
      </c>
      <c r="F686" s="171">
        <v>3.0</v>
      </c>
      <c r="G686" s="122" t="str">
        <f t="array" ref="G686">IF(
UPPER(TRIM(CLEAN($O686)))="ENTREGADO",
IFERROR(
INDEX(REPORTE_DROPI!R:R,
MATCH($T686, REPORTE_DROPI!B:B, 0)
),
""
),
""
)
</f>
        <v/>
      </c>
      <c r="H686" s="118" t="s">
        <v>3727</v>
      </c>
      <c r="I686" s="154" t="s">
        <v>3855</v>
      </c>
      <c r="J686" s="121" t="str">
        <f t="array" ref="J686">IF(
UPPER(TRIM(CLEAN($O686)))="ENTREGADO",
IFERROR(
INDEX(REPORTE_DROPI!T:T,
MATCH($T686, REPORTE_DROPI!B:B, 0)
),
""
),
""
)
</f>
        <v/>
      </c>
      <c r="K686" s="118" t="str">
        <f t="array" ref="K686">IFERROR(
INDEX(REPORTE_DROPI!S:S,
MATCH($T686, REPORTE_DROPI!B:B, 0)
),
""
)</f>
        <v/>
      </c>
      <c r="L686" s="118" t="str">
        <f>IF(
  O686&lt;&gt;"DEVOLUCION",
  "",
  IF(
    T686="",
    "",
    SUMIF(DEVOLUCION!F:F, T686, DEVOLUCION!D:D)
  )
)
</f>
        <v/>
      </c>
      <c r="M686" s="118" t="s">
        <v>5877</v>
      </c>
      <c r="N686" s="169" t="s">
        <v>7888</v>
      </c>
      <c r="O686" s="118" t="str">
        <f t="array" ref="O686">IFERROR(
VLOOKUP(
TRIM(CLEAN(
INDEX(REPORTE_DROPI!K:K,
MATCH(T686, REPORTE_DROPI!B:B, 0)
))),
{
TRIM(CLEAN(MAPA_ESTADOS!A:A)) ,
MAPA_ESTADOS!B:B
},
2,
FALSE
),
"REVISAR"
)</f>
        <v>PENDIENTE</v>
      </c>
      <c r="P686" s="154" t="s">
        <v>7889</v>
      </c>
      <c r="Q686" s="153">
        <f t="shared" si="1"/>
        <v>0</v>
      </c>
      <c r="R686" s="172"/>
      <c r="S686" s="172"/>
      <c r="T686" s="118">
        <f t="array" ref="T686">IFERROR(
INDEX(REPORTE_DROPI!B:B,
MATCH(
CLEAN(TRIM(C686)),
CLEAN(TRIM(REPORTE_DROPI!E:E)),
0
)
),
""
)
</f>
        <v>4648519</v>
      </c>
      <c r="U686" s="169" t="s">
        <v>7890</v>
      </c>
      <c r="V686" s="166"/>
      <c r="W686" s="18"/>
      <c r="X686" s="18"/>
      <c r="Y686" s="18"/>
      <c r="Z686" s="18"/>
    </row>
    <row r="687" ht="22.5" hidden="1" customHeight="1">
      <c r="A687" s="169">
        <v>686.0</v>
      </c>
      <c r="B687" s="170">
        <v>46081.0</v>
      </c>
      <c r="C687" s="154" t="s">
        <v>7891</v>
      </c>
      <c r="D687" s="118" t="str">
        <f>IFERROR(__xludf.DUMMYFUNCTION("IFERROR( INDEX( FILTER( 'NOMBRE DE PRODUCTOS'!B:B, REGEXMATCH( UPPER( INDEX( REPORTE_DROPI!AC:AC, MATCH(T687, REPORTE_DROPI!B:B, 0) ) ), UPPER('NOMBRE DE PRODUCTOS'!A:A) ) ), 1 ), ""REVISAR"" )"),"Cuchillo Tazaki™")</f>
        <v>Cuchillo Tazaki™</v>
      </c>
      <c r="E687" s="120" t="str">
        <f t="array" ref="E687">IF(
UPPER(TRIM(CLEAN($O687)))="ENTREGADO",
IFERROR(
INDEX(REPORTE_DROPI!Y:Y,
MATCH($T687, REPORTE_DROPI!B:B, 0)
),
""
),
""
)
</f>
        <v/>
      </c>
      <c r="F687" s="171">
        <v>2.0</v>
      </c>
      <c r="G687" s="122" t="str">
        <f t="array" ref="G687">IF(
UPPER(TRIM(CLEAN($O687)))="ENTREGADO",
IFERROR(
INDEX(REPORTE_DROPI!R:R,
MATCH($T687, REPORTE_DROPI!B:B, 0)
),
""
),
""
)
</f>
        <v/>
      </c>
      <c r="H687" s="118" t="s">
        <v>3727</v>
      </c>
      <c r="I687" s="154" t="s">
        <v>3804</v>
      </c>
      <c r="J687" s="121" t="str">
        <f t="array" ref="J687">IF(
UPPER(TRIM(CLEAN($O687)))="ENTREGADO",
IFERROR(
INDEX(REPORTE_DROPI!T:T,
MATCH($T687, REPORTE_DROPI!B:B, 0)
),
""
),
""
)
</f>
        <v/>
      </c>
      <c r="K687" s="118" t="str">
        <f t="array" ref="K687">IFERROR(
INDEX(REPORTE_DROPI!S:S,
MATCH($T687, REPORTE_DROPI!B:B, 0)
),
""
)</f>
        <v/>
      </c>
      <c r="L687" s="118" t="str">
        <f>IF(
  O687&lt;&gt;"DEVOLUCION",
  "",
  IF(
    T687="",
    "",
    SUMIF(DEVOLUCION!F:F, T687, DEVOLUCION!D:D)
  )
)
</f>
        <v/>
      </c>
      <c r="M687" s="118" t="s">
        <v>5877</v>
      </c>
      <c r="N687" s="169" t="s">
        <v>7892</v>
      </c>
      <c r="O687" s="118" t="str">
        <f t="array" ref="O687">IFERROR(
VLOOKUP(
TRIM(CLEAN(
INDEX(REPORTE_DROPI!K:K,
MATCH(T687, REPORTE_DROPI!B:B, 0)
))),
{
TRIM(CLEAN(MAPA_ESTADOS!A:A)) ,
MAPA_ESTADOS!B:B
},
2,
FALSE
),
"REVISAR"
)</f>
        <v>PENDIENTE</v>
      </c>
      <c r="P687" s="154" t="s">
        <v>7889</v>
      </c>
      <c r="Q687" s="153">
        <f t="shared" si="1"/>
        <v>0</v>
      </c>
      <c r="R687" s="172"/>
      <c r="S687" s="172"/>
      <c r="T687" s="118">
        <f t="array" ref="T687">IFERROR(
INDEX(REPORTE_DROPI!B:B,
MATCH(
CLEAN(TRIM(C687)),
CLEAN(TRIM(REPORTE_DROPI!E:E)),
0
)
),
""
)
</f>
        <v>4649023</v>
      </c>
      <c r="U687" s="169" t="s">
        <v>7893</v>
      </c>
      <c r="V687" s="166"/>
      <c r="W687" s="18"/>
      <c r="X687" s="18"/>
      <c r="Y687" s="18"/>
      <c r="Z687" s="18"/>
    </row>
    <row r="688" ht="22.5" hidden="1" customHeight="1">
      <c r="A688" s="169">
        <v>687.0</v>
      </c>
      <c r="B688" s="170">
        <v>46081.0</v>
      </c>
      <c r="C688" s="154" t="s">
        <v>7894</v>
      </c>
      <c r="D688" s="118" t="str">
        <f>IFERROR(__xludf.DUMMYFUNCTION("IFERROR( INDEX( FILTER( 'NOMBRE DE PRODUCTOS'!B:B, REGEXMATCH( UPPER( INDEX( REPORTE_DROPI!AC:AC, MATCH(T688, REPORTE_DROPI!B:B, 0) ) ), UPPER('NOMBRE DE PRODUCTOS'!A:A) ) ), 1 ), ""REVISAR"" )"),"FilmPro®")</f>
        <v>FilmPro®</v>
      </c>
      <c r="E688" s="120" t="str">
        <f t="array" ref="E688">IF(
UPPER(TRIM(CLEAN($O688)))="ENTREGADO",
IFERROR(
INDEX(REPORTE_DROPI!Y:Y,
MATCH($T688, REPORTE_DROPI!B:B, 0)
),
""
),
""
)
</f>
        <v/>
      </c>
      <c r="F688" s="171">
        <v>1.0</v>
      </c>
      <c r="G688" s="122" t="str">
        <f t="array" ref="G688">IF(
UPPER(TRIM(CLEAN($O688)))="ENTREGADO",
IFERROR(
INDEX(REPORTE_DROPI!R:R,
MATCH($T688, REPORTE_DROPI!B:B, 0)
),
""
),
""
)
</f>
        <v/>
      </c>
      <c r="H688" s="118" t="s">
        <v>3727</v>
      </c>
      <c r="I688" s="154" t="s">
        <v>3731</v>
      </c>
      <c r="J688" s="121" t="str">
        <f t="array" ref="J688">IF(
UPPER(TRIM(CLEAN($O688)))="ENTREGADO",
IFERROR(
INDEX(REPORTE_DROPI!T:T,
MATCH($T688, REPORTE_DROPI!B:B, 0)
),
""
),
""
)
</f>
        <v/>
      </c>
      <c r="K688" s="118" t="str">
        <f t="array" ref="K688">IFERROR(
INDEX(REPORTE_DROPI!S:S,
MATCH($T688, REPORTE_DROPI!B:B, 0)
),
""
)</f>
        <v/>
      </c>
      <c r="L688" s="118" t="str">
        <f>IF(
  O688&lt;&gt;"DEVOLUCION",
  "",
  IF(
    T688="",
    "",
    SUMIF(DEVOLUCION!F:F, T688, DEVOLUCION!D:D)
  )
)
</f>
        <v/>
      </c>
      <c r="M688" s="118" t="s">
        <v>5877</v>
      </c>
      <c r="N688" s="169" t="s">
        <v>7895</v>
      </c>
      <c r="O688" s="118" t="str">
        <f t="array" ref="O688">IFERROR(
VLOOKUP(
TRIM(CLEAN(
INDEX(REPORTE_DROPI!K:K,
MATCH(T688, REPORTE_DROPI!B:B, 0)
))),
{
TRIM(CLEAN(MAPA_ESTADOS!A:A)) ,
MAPA_ESTADOS!B:B
},
2,
FALSE
),
"REVISAR"
)</f>
        <v>PENDIENTE</v>
      </c>
      <c r="P688" s="154" t="s">
        <v>7889</v>
      </c>
      <c r="Q688" s="153">
        <f t="shared" si="1"/>
        <v>0</v>
      </c>
      <c r="R688" s="172"/>
      <c r="S688" s="172"/>
      <c r="T688" s="118">
        <f t="array" ref="T688">IFERROR(
INDEX(REPORTE_DROPI!B:B,
MATCH(
CLEAN(TRIM(C688)),
CLEAN(TRIM(REPORTE_DROPI!E:E)),
0
)
),
""
)
</f>
        <v>4649235</v>
      </c>
      <c r="U688" s="169" t="s">
        <v>7896</v>
      </c>
      <c r="V688" s="166"/>
      <c r="W688" s="18"/>
      <c r="X688" s="18"/>
      <c r="Y688" s="18"/>
      <c r="Z688" s="18"/>
    </row>
    <row r="689" ht="22.5" hidden="1" customHeight="1">
      <c r="A689" s="169">
        <v>688.0</v>
      </c>
      <c r="B689" s="170">
        <v>46081.0</v>
      </c>
      <c r="C689" s="154" t="s">
        <v>7897</v>
      </c>
      <c r="D689" s="118" t="str">
        <f>IFERROR(__xludf.DUMMYFUNCTION("IFERROR( INDEX( FILTER( 'NOMBRE DE PRODUCTOS'!B:B, REGEXMATCH( UPPER( INDEX( REPORTE_DROPI!AC:AC, MATCH(T689, REPORTE_DROPI!B:B, 0) ) ), UPPER('NOMBRE DE PRODUCTOS'!A:A) ) ), 1 ), ""REVISAR"" )"),"DrainGuard Pro™")</f>
        <v>DrainGuard Pro™</v>
      </c>
      <c r="E689" s="120">
        <f t="array" ref="E689">IF(
UPPER(TRIM(CLEAN($O689)))="ENTREGADO",
IFERROR(
INDEX(REPORTE_DROPI!Y:Y,
MATCH($T689, REPORTE_DROPI!B:B, 0)
),
""
),
""
)
</f>
        <v>12</v>
      </c>
      <c r="F689" s="171">
        <v>4.0</v>
      </c>
      <c r="G689" s="122">
        <f t="array" ref="G689">IF(
UPPER(TRIM(CLEAN($O689)))="ENTREGADO",
IFERROR(
INDEX(REPORTE_DROPI!R:R,
MATCH($T689, REPORTE_DROPI!B:B, 0)
),
""
),
""
)
</f>
        <v>32.01</v>
      </c>
      <c r="H689" s="118" t="s">
        <v>3727</v>
      </c>
      <c r="I689" s="154" t="s">
        <v>3731</v>
      </c>
      <c r="J689" s="121">
        <f t="array" ref="J689">IF(
UPPER(TRIM(CLEAN($O689)))="ENTREGADO",
IFERROR(
INDEX(REPORTE_DROPI!T:T,
MATCH($T689, REPORTE_DROPI!B:B, 0)
),
""
),
""
)
</f>
        <v>4.63</v>
      </c>
      <c r="K689" s="118">
        <f t="array" ref="K689">IFERROR(
INDEX(REPORTE_DROPI!S:S,
MATCH($T689, REPORTE_DROPI!B:B, 0)
),
""
)</f>
        <v>15.38</v>
      </c>
      <c r="L689" s="118" t="str">
        <f>IF(
  O689&lt;&gt;"DEVOLUCION",
  "",
  IF(
    T689="",
    "",
    SUMIF(DEVOLUCION!F:F, T689, DEVOLUCION!D:D)
  )
)
</f>
        <v/>
      </c>
      <c r="M689" s="118" t="s">
        <v>5877</v>
      </c>
      <c r="N689" s="169" t="s">
        <v>7898</v>
      </c>
      <c r="O689" s="118" t="str">
        <f t="array" ref="O689">IFERROR(
VLOOKUP(
TRIM(CLEAN(
INDEX(REPORTE_DROPI!K:K,
MATCH(T689, REPORTE_DROPI!B:B, 0)
))),
{
TRIM(CLEAN(MAPA_ESTADOS!A:A)) ,
MAPA_ESTADOS!B:B
},
2,
FALSE
),
"REVISAR"
)</f>
        <v>ENTREGADO</v>
      </c>
      <c r="P689" s="154" t="s">
        <v>5692</v>
      </c>
      <c r="Q689" s="153">
        <f t="shared" si="1"/>
        <v>0</v>
      </c>
      <c r="R689" s="172"/>
      <c r="S689" s="172"/>
      <c r="T689" s="118">
        <f t="array" ref="T689">IFERROR(
INDEX(REPORTE_DROPI!B:B,
MATCH(
CLEAN(TRIM(C689)),
CLEAN(TRIM(REPORTE_DROPI!E:E)),
0
)
),
""
)
</f>
        <v>4719952</v>
      </c>
      <c r="U689" s="169" t="s">
        <v>7899</v>
      </c>
      <c r="V689" s="166"/>
      <c r="W689" s="18"/>
      <c r="X689" s="18"/>
      <c r="Y689" s="18"/>
      <c r="Z689" s="18"/>
    </row>
    <row r="690" ht="22.5" customHeight="1">
      <c r="A690" s="169">
        <v>689.0</v>
      </c>
      <c r="B690" s="170">
        <v>46081.0</v>
      </c>
      <c r="C690" s="154" t="s">
        <v>7900</v>
      </c>
      <c r="D690" s="118" t="str">
        <f>IFERROR(__xludf.DUMMYFUNCTION("IFERROR( INDEX( FILTER( 'NOMBRE DE PRODUCTOS'!B:B, REGEXMATCH( UPPER( INDEX( REPORTE_DROPI!AC:AC, MATCH(T690, REPORTE_DROPI!B:B, 0) ) ), UPPER('NOMBRE DE PRODUCTOS'!A:A) ) ), 1 ), ""REVISAR"" )"),"FreeBeat Adapter")</f>
        <v>FreeBeat Adapter</v>
      </c>
      <c r="E690" s="120" t="str">
        <f t="array" ref="E690">IF(
UPPER(TRIM(CLEAN($O690)))="ENTREGADO",
IFERROR(
INDEX(REPORTE_DROPI!Y:Y,
MATCH($T690, REPORTE_DROPI!B:B, 0)
),
""
),
""
)
</f>
        <v/>
      </c>
      <c r="F690" s="171">
        <v>2.0</v>
      </c>
      <c r="G690" s="122" t="str">
        <f t="array" ref="G690">IF(
UPPER(TRIM(CLEAN($O690)))="ENTREGADO",
IFERROR(
INDEX(REPORTE_DROPI!R:R,
MATCH($T690, REPORTE_DROPI!B:B, 0)
),
""
),
""
)
</f>
        <v/>
      </c>
      <c r="H690" s="118" t="s">
        <v>3727</v>
      </c>
      <c r="I690" s="154" t="s">
        <v>3731</v>
      </c>
      <c r="J690" s="121" t="str">
        <f t="array" ref="J690">IF(
UPPER(TRIM(CLEAN($O690)))="ENTREGADO",
IFERROR(
INDEX(REPORTE_DROPI!T:T,
MATCH($T690, REPORTE_DROPI!B:B, 0)
),
""
),
""
)
</f>
        <v/>
      </c>
      <c r="K690" s="118" t="str">
        <f t="array" ref="K690">IFERROR(
INDEX(REPORTE_DROPI!S:S,
MATCH($T690, REPORTE_DROPI!B:B, 0)
),
""
)</f>
        <v/>
      </c>
      <c r="L690" s="118" t="str">
        <f>IF(
  O690&lt;&gt;"DEVOLUCION",
  "",
  IF(
    T690="",
    "",
    SUMIF(DEVOLUCION!F:F, T690, DEVOLUCION!D:D)
  )
)
</f>
        <v/>
      </c>
      <c r="M690" s="118" t="s">
        <v>5877</v>
      </c>
      <c r="N690" s="169" t="s">
        <v>7901</v>
      </c>
      <c r="O690" s="118" t="str">
        <f t="array" ref="O690">IFERROR(
VLOOKUP(
TRIM(CLEAN(
INDEX(REPORTE_DROPI!K:K,
MATCH(T690, REPORTE_DROPI!B:B, 0)
))),
{
TRIM(CLEAN(MAPA_ESTADOS!A:A)) ,
MAPA_ESTADOS!B:B
},
2,
FALSE
),
"REVISAR"
)</f>
        <v>PENDIENTE</v>
      </c>
      <c r="P690" s="154" t="s">
        <v>6534</v>
      </c>
      <c r="Q690" s="153">
        <f t="shared" si="1"/>
        <v>0</v>
      </c>
      <c r="R690" s="172"/>
      <c r="S690" s="172"/>
      <c r="T690" s="118">
        <f t="array" ref="T690">IFERROR(
INDEX(REPORTE_DROPI!B:B,
MATCH(
CLEAN(TRIM(C690)),
CLEAN(TRIM(REPORTE_DROPI!E:E)),
0
)
),
""
)
</f>
        <v>4670201</v>
      </c>
      <c r="U690" s="173">
        <v>1.90130134245E11</v>
      </c>
      <c r="V690" s="166"/>
      <c r="W690" s="18"/>
      <c r="X690" s="18"/>
      <c r="Y690" s="18"/>
      <c r="Z690" s="18"/>
    </row>
    <row r="691" ht="22.5" hidden="1" customHeight="1">
      <c r="A691" s="169">
        <v>690.0</v>
      </c>
      <c r="B691" s="170">
        <v>46081.0</v>
      </c>
      <c r="C691" s="154" t="s">
        <v>7902</v>
      </c>
      <c r="D691" s="118" t="str">
        <f>IFERROR(__xludf.DUMMYFUNCTION("IFERROR( INDEX( FILTER( 'NOMBRE DE PRODUCTOS'!B:B, REGEXMATCH( UPPER( INDEX( REPORTE_DROPI!AC:AC, MATCH(T691, REPORTE_DROPI!B:B, 0) ) ), UPPER('NOMBRE DE PRODUCTOS'!A:A) ) ), 1 ), ""REVISAR"" )"),"FilmPro®")</f>
        <v>FilmPro®</v>
      </c>
      <c r="E691" s="120">
        <f t="array" ref="E691">IF(
UPPER(TRIM(CLEAN($O691)))="ENTREGADO",
IFERROR(
INDEX(REPORTE_DROPI!Y:Y,
MATCH($T691, REPORTE_DROPI!B:B, 0)
),
""
),
""
)
</f>
        <v>4.7</v>
      </c>
      <c r="F691" s="171">
        <v>2.0</v>
      </c>
      <c r="G691" s="122">
        <f t="array" ref="G691">IF(
UPPER(TRIM(CLEAN($O691)))="ENTREGADO",
IFERROR(
INDEX(REPORTE_DROPI!R:R,
MATCH($T691, REPORTE_DROPI!B:B, 0)
),
""
),
""
)
</f>
        <v>25</v>
      </c>
      <c r="H691" s="118" t="s">
        <v>3727</v>
      </c>
      <c r="I691" s="154" t="s">
        <v>3801</v>
      </c>
      <c r="J691" s="121">
        <f t="array" ref="J691">IF(
UPPER(TRIM(CLEAN($O691)))="ENTREGADO",
IFERROR(
INDEX(REPORTE_DROPI!T:T,
MATCH($T691, REPORTE_DROPI!B:B, 0)
),
""
),
""
)
</f>
        <v>5.96</v>
      </c>
      <c r="K691" s="118">
        <f t="array" ref="K691">IFERROR(
INDEX(REPORTE_DROPI!S:S,
MATCH($T691, REPORTE_DROPI!B:B, 0)
),
""
)</f>
        <v>14.34</v>
      </c>
      <c r="L691" s="118" t="str">
        <f>IF(
  O691&lt;&gt;"DEVOLUCION",
  "",
  IF(
    T691="",
    "",
    SUMIF(DEVOLUCION!F:F, T691, DEVOLUCION!D:D)
  )
)
</f>
        <v/>
      </c>
      <c r="M691" s="118" t="s">
        <v>5877</v>
      </c>
      <c r="N691" s="169" t="s">
        <v>7903</v>
      </c>
      <c r="O691" s="118" t="str">
        <f t="array" ref="O691">IFERROR(
VLOOKUP(
TRIM(CLEAN(
INDEX(REPORTE_DROPI!K:K,
MATCH(T691, REPORTE_DROPI!B:B, 0)
))),
{
TRIM(CLEAN(MAPA_ESTADOS!A:A)) ,
MAPA_ESTADOS!B:B
},
2,
FALSE
),
"REVISAR"
)</f>
        <v>ENTREGADO</v>
      </c>
      <c r="P691" s="154" t="s">
        <v>5692</v>
      </c>
      <c r="Q691" s="153">
        <f t="shared" si="1"/>
        <v>0</v>
      </c>
      <c r="R691" s="172"/>
      <c r="S691" s="172"/>
      <c r="T691" s="118">
        <f t="array" ref="T691">IFERROR(
INDEX(REPORTE_DROPI!B:B,
MATCH(
CLEAN(TRIM(C691)),
CLEAN(TRIM(REPORTE_DROPI!E:E)),
0
)
),
""
)
</f>
        <v>4649660</v>
      </c>
      <c r="U691" s="173">
        <v>1.57100104243E11</v>
      </c>
      <c r="V691" s="166"/>
      <c r="W691" s="18"/>
      <c r="X691" s="18"/>
      <c r="Y691" s="18"/>
      <c r="Z691" s="18"/>
    </row>
    <row r="692" ht="22.5" hidden="1" customHeight="1">
      <c r="A692" s="169">
        <v>691.0</v>
      </c>
      <c r="B692" s="170">
        <v>46081.0</v>
      </c>
      <c r="C692" s="154" t="s">
        <v>7904</v>
      </c>
      <c r="D692" s="118" t="str">
        <f>IFERROR(__xludf.DUMMYFUNCTION("IFERROR( INDEX( FILTER( 'NOMBRE DE PRODUCTOS'!B:B, REGEXMATCH( UPPER( INDEX( REPORTE_DROPI!AC:AC, MATCH(T692, REPORTE_DROPI!B:B, 0) ) ), UPPER('NOMBRE DE PRODUCTOS'!A:A) ) ), 1 ), ""REVISAR"" )"),"FilmPro®")</f>
        <v>FilmPro®</v>
      </c>
      <c r="E692" s="120">
        <f t="array" ref="E692">IF(
UPPER(TRIM(CLEAN($O692)))="ENTREGADO",
IFERROR(
INDEX(REPORTE_DROPI!Y:Y,
MATCH($T692, REPORTE_DROPI!B:B, 0)
),
""
),
""
)
</f>
        <v>7.05</v>
      </c>
      <c r="F692" s="171">
        <v>3.0</v>
      </c>
      <c r="G692" s="122">
        <f t="array" ref="G692">IF(
UPPER(TRIM(CLEAN($O692)))="ENTREGADO",
IFERROR(
INDEX(REPORTE_DROPI!R:R,
MATCH($T692, REPORTE_DROPI!B:B, 0)
),
""
),
""
)
</f>
        <v>30</v>
      </c>
      <c r="H692" s="118" t="s">
        <v>3727</v>
      </c>
      <c r="I692" s="154" t="s">
        <v>3731</v>
      </c>
      <c r="J692" s="121">
        <f t="array" ref="J692">IF(
UPPER(TRIM(CLEAN($O692)))="ENTREGADO",
IFERROR(
INDEX(REPORTE_DROPI!T:T,
MATCH($T692, REPORTE_DROPI!B:B, 0)
),
""
),
""
)
</f>
        <v>4.55</v>
      </c>
      <c r="K692" s="118">
        <f t="array" ref="K692">IFERROR(
INDEX(REPORTE_DROPI!S:S,
MATCH($T692, REPORTE_DROPI!B:B, 0)
),
""
)</f>
        <v>18.4</v>
      </c>
      <c r="L692" s="118" t="str">
        <f>IF(
  O692&lt;&gt;"DEVOLUCION",
  "",
  IF(
    T692="",
    "",
    SUMIF(DEVOLUCION!F:F, T692, DEVOLUCION!D:D)
  )
)
</f>
        <v/>
      </c>
      <c r="M692" s="118" t="s">
        <v>5877</v>
      </c>
      <c r="N692" s="169" t="s">
        <v>7905</v>
      </c>
      <c r="O692" s="118" t="str">
        <f t="array" ref="O692">IFERROR(
VLOOKUP(
TRIM(CLEAN(
INDEX(REPORTE_DROPI!K:K,
MATCH(T692, REPORTE_DROPI!B:B, 0)
))),
{
TRIM(CLEAN(MAPA_ESTADOS!A:A)) ,
MAPA_ESTADOS!B:B
},
2,
FALSE
),
"REVISAR"
)</f>
        <v>ENTREGADO</v>
      </c>
      <c r="P692" s="154" t="s">
        <v>5692</v>
      </c>
      <c r="Q692" s="153">
        <f t="shared" si="1"/>
        <v>0</v>
      </c>
      <c r="R692" s="172"/>
      <c r="S692" s="172"/>
      <c r="T692" s="118">
        <f t="array" ref="T692">IFERROR(
INDEX(REPORTE_DROPI!B:B,
MATCH(
CLEAN(TRIM(C692)),
CLEAN(TRIM(REPORTE_DROPI!E:E)),
0
)
),
""
)
</f>
        <v>4649890</v>
      </c>
      <c r="U692" s="169" t="s">
        <v>7906</v>
      </c>
      <c r="V692" s="166"/>
      <c r="W692" s="18"/>
      <c r="X692" s="18"/>
      <c r="Y692" s="18"/>
      <c r="Z692" s="18"/>
    </row>
    <row r="693" ht="22.5" hidden="1" customHeight="1">
      <c r="A693" s="169">
        <v>692.0</v>
      </c>
      <c r="B693" s="170">
        <v>46081.0</v>
      </c>
      <c r="C693" s="154" t="s">
        <v>7907</v>
      </c>
      <c r="D693" s="118" t="str">
        <f>IFERROR(__xludf.DUMMYFUNCTION("IFERROR( INDEX( FILTER( 'NOMBRE DE PRODUCTOS'!B:B, REGEXMATCH( UPPER( INDEX( REPORTE_DROPI!AC:AC, MATCH(T693, REPORTE_DROPI!B:B, 0) ) ), UPPER('NOMBRE DE PRODUCTOS'!A:A) ) ), 1 ), ""REVISAR"" )"),"FilmPro®")</f>
        <v>FilmPro®</v>
      </c>
      <c r="E693" s="120" t="str">
        <f t="array" ref="E693">IF(
UPPER(TRIM(CLEAN($O693)))="ENTREGADO",
IFERROR(
INDEX(REPORTE_DROPI!Y:Y,
MATCH($T693, REPORTE_DROPI!B:B, 0)
),
""
),
""
)
</f>
        <v/>
      </c>
      <c r="F693" s="171">
        <v>2.0</v>
      </c>
      <c r="G693" s="122" t="str">
        <f t="array" ref="G693">IF(
UPPER(TRIM(CLEAN($O693)))="ENTREGADO",
IFERROR(
INDEX(REPORTE_DROPI!R:R,
MATCH($T693, REPORTE_DROPI!B:B, 0)
),
""
),
""
)
</f>
        <v/>
      </c>
      <c r="H693" s="118" t="s">
        <v>3727</v>
      </c>
      <c r="I693" s="154" t="s">
        <v>3731</v>
      </c>
      <c r="J693" s="121" t="str">
        <f t="array" ref="J693">IF(
UPPER(TRIM(CLEAN($O693)))="ENTREGADO",
IFERROR(
INDEX(REPORTE_DROPI!T:T,
MATCH($T693, REPORTE_DROPI!B:B, 0)
),
""
),
""
)
</f>
        <v/>
      </c>
      <c r="K693" s="118" t="str">
        <f t="array" ref="K693">IFERROR(
INDEX(REPORTE_DROPI!S:S,
MATCH($T693, REPORTE_DROPI!B:B, 0)
),
""
)</f>
        <v/>
      </c>
      <c r="L693" s="118" t="str">
        <f>IF(
  O693&lt;&gt;"DEVOLUCION",
  "",
  IF(
    T693="",
    "",
    SUMIF(DEVOLUCION!F:F, T693, DEVOLUCION!D:D)
  )
)
</f>
        <v/>
      </c>
      <c r="M693" s="118" t="s">
        <v>5877</v>
      </c>
      <c r="N693" s="169" t="s">
        <v>7908</v>
      </c>
      <c r="O693" s="118" t="str">
        <f t="array" ref="O693">IFERROR(
VLOOKUP(
TRIM(CLEAN(
INDEX(REPORTE_DROPI!K:K,
MATCH(T693, REPORTE_DROPI!B:B, 0)
))),
{
TRIM(CLEAN(MAPA_ESTADOS!A:A)) ,
MAPA_ESTADOS!B:B
},
2,
FALSE
),
"REVISAR"
)</f>
        <v>PENDIENTE</v>
      </c>
      <c r="P693" s="154" t="s">
        <v>6534</v>
      </c>
      <c r="Q693" s="153">
        <f t="shared" si="1"/>
        <v>0</v>
      </c>
      <c r="R693" s="172"/>
      <c r="S693" s="172"/>
      <c r="T693" s="118">
        <f t="array" ref="T693">IFERROR(
INDEX(REPORTE_DROPI!B:B,
MATCH(
CLEAN(TRIM(C693)),
CLEAN(TRIM(REPORTE_DROPI!E:E)),
0
)
),
""
)
</f>
        <v>4650171</v>
      </c>
      <c r="U693" s="169" t="s">
        <v>7909</v>
      </c>
      <c r="V693" s="166"/>
      <c r="W693" s="18"/>
      <c r="X693" s="18"/>
      <c r="Y693" s="18"/>
      <c r="Z693" s="18"/>
    </row>
    <row r="694" ht="22.5" hidden="1" customHeight="1">
      <c r="A694" s="169">
        <v>693.0</v>
      </c>
      <c r="B694" s="170">
        <v>46081.0</v>
      </c>
      <c r="C694" s="154" t="s">
        <v>7910</v>
      </c>
      <c r="D694" s="118" t="str">
        <f>IFERROR(__xludf.DUMMYFUNCTION("IFERROR( INDEX( FILTER( 'NOMBRE DE PRODUCTOS'!B:B, REGEXMATCH( UPPER( INDEX( REPORTE_DROPI!AC:AC, MATCH(T694, REPORTE_DROPI!B:B, 0) ) ), UPPER('NOMBRE DE PRODUCTOS'!A:A) ) ), 1 ), ""REVISAR"" )"),"Cuchillo Tazaki™")</f>
        <v>Cuchillo Tazaki™</v>
      </c>
      <c r="E694" s="120">
        <f t="array" ref="E694">IF(
UPPER(TRIM(CLEAN($O694)))="ENTREGADO",
IFERROR(
INDEX(REPORTE_DROPI!Y:Y,
MATCH($T694, REPORTE_DROPI!B:B, 0)
),
""
),
""
)
</f>
        <v>11.25</v>
      </c>
      <c r="F694" s="171">
        <v>3.0</v>
      </c>
      <c r="G694" s="122">
        <f t="array" ref="G694">IF(
UPPER(TRIM(CLEAN($O694)))="ENTREGADO",
IFERROR(
INDEX(REPORTE_DROPI!R:R,
MATCH($T694, REPORTE_DROPI!B:B, 0)
),
""
),
""
)
</f>
        <v>27</v>
      </c>
      <c r="H694" s="118" t="s">
        <v>3727</v>
      </c>
      <c r="I694" s="154" t="s">
        <v>3731</v>
      </c>
      <c r="J694" s="121">
        <f t="array" ref="J694">IF(
UPPER(TRIM(CLEAN($O694)))="ENTREGADO",
IFERROR(
INDEX(REPORTE_DROPI!T:T,
MATCH($T694, REPORTE_DROPI!B:B, 0)
),
""
),
""
)
</f>
        <v>4.99</v>
      </c>
      <c r="K694" s="118">
        <f t="array" ref="K694">IFERROR(
INDEX(REPORTE_DROPI!S:S,
MATCH($T694, REPORTE_DROPI!B:B, 0)
),
""
)</f>
        <v>10.76</v>
      </c>
      <c r="L694" s="118" t="str">
        <f>IF(
  O694&lt;&gt;"DEVOLUCION",
  "",
  IF(
    T694="",
    "",
    SUMIF(DEVOLUCION!F:F, T694, DEVOLUCION!D:D)
  )
)
</f>
        <v/>
      </c>
      <c r="M694" s="118" t="s">
        <v>5877</v>
      </c>
      <c r="N694" s="169" t="s">
        <v>7911</v>
      </c>
      <c r="O694" s="118" t="str">
        <f t="array" ref="O694">IFERROR(
VLOOKUP(
TRIM(CLEAN(
INDEX(REPORTE_DROPI!K:K,
MATCH(T694, REPORTE_DROPI!B:B, 0)
))),
{
TRIM(CLEAN(MAPA_ESTADOS!A:A)) ,
MAPA_ESTADOS!B:B
},
2,
FALSE
),
"REVISAR"
)</f>
        <v>ENTREGADO</v>
      </c>
      <c r="P694" s="154" t="s">
        <v>5692</v>
      </c>
      <c r="Q694" s="153">
        <f t="shared" si="1"/>
        <v>0</v>
      </c>
      <c r="R694" s="172"/>
      <c r="S694" s="172"/>
      <c r="T694" s="118">
        <f t="array" ref="T694">IFERROR(
INDEX(REPORTE_DROPI!B:B,
MATCH(
CLEAN(TRIM(C694)),
CLEAN(TRIM(REPORTE_DROPI!E:E)),
0
)
),
""
)
</f>
        <v>4650259</v>
      </c>
      <c r="U694" s="169" t="s">
        <v>7912</v>
      </c>
      <c r="V694" s="166"/>
      <c r="W694" s="18"/>
      <c r="X694" s="18"/>
      <c r="Y694" s="18"/>
      <c r="Z694" s="18"/>
    </row>
    <row r="695" ht="22.5" hidden="1" customHeight="1">
      <c r="A695" s="169">
        <v>694.0</v>
      </c>
      <c r="B695" s="170">
        <v>46081.0</v>
      </c>
      <c r="C695" s="154" t="s">
        <v>7913</v>
      </c>
      <c r="D695" s="118" t="str">
        <f>IFERROR(__xludf.DUMMYFUNCTION("IFERROR( INDEX( FILTER( 'NOMBRE DE PRODUCTOS'!B:B, REGEXMATCH( UPPER( INDEX( REPORTE_DROPI!AC:AC, MATCH(T695, REPORTE_DROPI!B:B, 0) ) ), UPPER('NOMBRE DE PRODUCTOS'!A:A) ) ), 1 ), ""REVISAR"" )"),"Cuchillo Tazaki™")</f>
        <v>Cuchillo Tazaki™</v>
      </c>
      <c r="E695" s="120" t="str">
        <f t="array" ref="E695">IF(
UPPER(TRIM(CLEAN($O695)))="ENTREGADO",
IFERROR(
INDEX(REPORTE_DROPI!Y:Y,
MATCH($T695, REPORTE_DROPI!B:B, 0)
),
""
),
""
)
</f>
        <v/>
      </c>
      <c r="F695" s="171">
        <v>2.0</v>
      </c>
      <c r="G695" s="122" t="str">
        <f t="array" ref="G695">IF(
UPPER(TRIM(CLEAN($O695)))="ENTREGADO",
IFERROR(
INDEX(REPORTE_DROPI!R:R,
MATCH($T695, REPORTE_DROPI!B:B, 0)
),
""
),
""
)
</f>
        <v/>
      </c>
      <c r="H695" s="118" t="s">
        <v>3727</v>
      </c>
      <c r="I695" s="154" t="s">
        <v>3772</v>
      </c>
      <c r="J695" s="121" t="str">
        <f t="array" ref="J695">IF(
UPPER(TRIM(CLEAN($O695)))="ENTREGADO",
IFERROR(
INDEX(REPORTE_DROPI!T:T,
MATCH($T695, REPORTE_DROPI!B:B, 0)
),
""
),
""
)
</f>
        <v/>
      </c>
      <c r="K695" s="118" t="str">
        <f t="array" ref="K695">IFERROR(
INDEX(REPORTE_DROPI!S:S,
MATCH($T695, REPORTE_DROPI!B:B, 0)
),
""
)</f>
        <v/>
      </c>
      <c r="L695" s="118" t="str">
        <f>IF(
  O695&lt;&gt;"DEVOLUCION",
  "",
  IF(
    T695="",
    "",
    SUMIF(DEVOLUCION!F:F, T695, DEVOLUCION!D:D)
  )
)
</f>
        <v/>
      </c>
      <c r="M695" s="118" t="s">
        <v>5877</v>
      </c>
      <c r="N695" s="169" t="s">
        <v>7914</v>
      </c>
      <c r="O695" s="118" t="str">
        <f t="array" ref="O695">IFERROR(
VLOOKUP(
TRIM(CLEAN(
INDEX(REPORTE_DROPI!K:K,
MATCH(T695, REPORTE_DROPI!B:B, 0)
))),
{
TRIM(CLEAN(MAPA_ESTADOS!A:A)) ,
MAPA_ESTADOS!B:B
},
2,
FALSE
),
"REVISAR"
)</f>
        <v>PENDIENTE</v>
      </c>
      <c r="P695" s="154" t="s">
        <v>6534</v>
      </c>
      <c r="Q695" s="153">
        <f t="shared" si="1"/>
        <v>0</v>
      </c>
      <c r="R695" s="172"/>
      <c r="S695" s="172"/>
      <c r="T695" s="118">
        <f t="array" ref="T695">IFERROR(
INDEX(REPORTE_DROPI!B:B,
MATCH(
CLEAN(TRIM(C695)),
CLEAN(TRIM(REPORTE_DROPI!E:E)),
0
)
),
""
)
</f>
        <v>4650503</v>
      </c>
      <c r="U695" s="169" t="s">
        <v>7915</v>
      </c>
      <c r="V695" s="166"/>
      <c r="W695" s="18"/>
      <c r="X695" s="18"/>
      <c r="Y695" s="18"/>
      <c r="Z695" s="18"/>
    </row>
    <row r="696" ht="22.5" customHeight="1">
      <c r="A696" s="169">
        <v>695.0</v>
      </c>
      <c r="B696" s="170">
        <v>46081.0</v>
      </c>
      <c r="C696" s="154" t="s">
        <v>7916</v>
      </c>
      <c r="D696" s="118" t="str">
        <f>IFERROR(__xludf.DUMMYFUNCTION("IFERROR( INDEX( FILTER( 'NOMBRE DE PRODUCTOS'!B:B, REGEXMATCH( UPPER( INDEX( REPORTE_DROPI!AC:AC, MATCH(T696, REPORTE_DROPI!B:B, 0) ) ), UPPER('NOMBRE DE PRODUCTOS'!A:A) ) ), 1 ), ""REVISAR"" )"),"FreeBeat Adapter")</f>
        <v>FreeBeat Adapter</v>
      </c>
      <c r="E696" s="120" t="str">
        <f t="array" ref="E696">IF(
UPPER(TRIM(CLEAN($O696)))="ENTREGADO",
IFERROR(
INDEX(REPORTE_DROPI!Y:Y,
MATCH($T696, REPORTE_DROPI!B:B, 0)
),
""
),
""
)
</f>
        <v/>
      </c>
      <c r="F696" s="171">
        <v>2.0</v>
      </c>
      <c r="G696" s="122" t="str">
        <f t="array" ref="G696">IF(
UPPER(TRIM(CLEAN($O696)))="ENTREGADO",
IFERROR(
INDEX(REPORTE_DROPI!R:R,
MATCH($T696, REPORTE_DROPI!B:B, 0)
),
""
),
""
)
</f>
        <v/>
      </c>
      <c r="H696" s="118" t="s">
        <v>3727</v>
      </c>
      <c r="I696" s="154" t="s">
        <v>3740</v>
      </c>
      <c r="J696" s="121" t="str">
        <f t="array" ref="J696">IF(
UPPER(TRIM(CLEAN($O696)))="ENTREGADO",
IFERROR(
INDEX(REPORTE_DROPI!T:T,
MATCH($T696, REPORTE_DROPI!B:B, 0)
),
""
),
""
)
</f>
        <v/>
      </c>
      <c r="K696" s="118" t="str">
        <f t="array" ref="K696">IFERROR(
INDEX(REPORTE_DROPI!S:S,
MATCH($T696, REPORTE_DROPI!B:B, 0)
),
""
)</f>
        <v/>
      </c>
      <c r="L696" s="118">
        <f>IF(
  O696&lt;&gt;"DEVOLUCION",
  "",
  IF(
    T696="",
    "",
    SUMIF(DEVOLUCION!F:F, T696, DEVOLUCION!D:D)
  )
)
</f>
        <v>0</v>
      </c>
      <c r="M696" s="118" t="s">
        <v>5877</v>
      </c>
      <c r="N696" s="169" t="s">
        <v>7917</v>
      </c>
      <c r="O696" s="118" t="str">
        <f t="array" ref="O696">IFERROR(
VLOOKUP(
TRIM(CLEAN(
INDEX(REPORTE_DROPI!K:K,
MATCH(T696, REPORTE_DROPI!B:B, 0)
))),
{
TRIM(CLEAN(MAPA_ESTADOS!A:A)) ,
MAPA_ESTADOS!B:B
},
2,
FALSE
),
"REVISAR"
)</f>
        <v>DEVOLUCION</v>
      </c>
      <c r="P696" s="154" t="s">
        <v>3655</v>
      </c>
      <c r="Q696" s="153">
        <f t="shared" si="1"/>
        <v>0</v>
      </c>
      <c r="R696" s="172" t="s">
        <v>3675</v>
      </c>
      <c r="S696" s="172" t="s">
        <v>6057</v>
      </c>
      <c r="T696" s="118">
        <f t="array" ref="T696">IFERROR(
INDEX(REPORTE_DROPI!B:B,
MATCH(
CLEAN(TRIM(C696)),
CLEAN(TRIM(REPORTE_DROPI!E:E)),
0
)
),
""
)
</f>
        <v>4670381</v>
      </c>
      <c r="U696" s="169" t="s">
        <v>7918</v>
      </c>
      <c r="V696" s="166"/>
      <c r="W696" s="18"/>
      <c r="X696" s="18"/>
      <c r="Y696" s="18"/>
      <c r="Z696" s="18"/>
    </row>
    <row r="697" ht="22.5" customHeight="1">
      <c r="A697" s="169">
        <v>696.0</v>
      </c>
      <c r="B697" s="170">
        <v>46081.0</v>
      </c>
      <c r="C697" s="154" t="s">
        <v>7919</v>
      </c>
      <c r="D697" s="118" t="str">
        <f>IFERROR(__xludf.DUMMYFUNCTION("IFERROR( INDEX( FILTER( 'NOMBRE DE PRODUCTOS'!B:B, REGEXMATCH( UPPER( INDEX( REPORTE_DROPI!AC:AC, MATCH(T697, REPORTE_DROPI!B:B, 0) ) ), UPPER('NOMBRE DE PRODUCTOS'!A:A) ) ), 1 ), ""REVISAR"" )"),"FreeBeat Adapter")</f>
        <v>FreeBeat Adapter</v>
      </c>
      <c r="E697" s="120" t="str">
        <f t="array" ref="E697">IF(
UPPER(TRIM(CLEAN($O697)))="ENTREGADO",
IFERROR(
INDEX(REPORTE_DROPI!Y:Y,
MATCH($T697, REPORTE_DROPI!B:B, 0)
),
""
),
""
)
</f>
        <v/>
      </c>
      <c r="F697" s="171">
        <v>2.0</v>
      </c>
      <c r="G697" s="122" t="str">
        <f t="array" ref="G697">IF(
UPPER(TRIM(CLEAN($O697)))="ENTREGADO",
IFERROR(
INDEX(REPORTE_DROPI!R:R,
MATCH($T697, REPORTE_DROPI!B:B, 0)
),
""
),
""
)
</f>
        <v/>
      </c>
      <c r="H697" s="118" t="s">
        <v>3727</v>
      </c>
      <c r="I697" s="154" t="s">
        <v>3728</v>
      </c>
      <c r="J697" s="121" t="str">
        <f t="array" ref="J697">IF(
UPPER(TRIM(CLEAN($O697)))="ENTREGADO",
IFERROR(
INDEX(REPORTE_DROPI!T:T,
MATCH($T697, REPORTE_DROPI!B:B, 0)
),
""
),
""
)
</f>
        <v/>
      </c>
      <c r="K697" s="118" t="str">
        <f t="array" ref="K697">IFERROR(
INDEX(REPORTE_DROPI!S:S,
MATCH($T697, REPORTE_DROPI!B:B, 0)
),
""
)</f>
        <v/>
      </c>
      <c r="L697" s="118" t="str">
        <f>IF(
  O697&lt;&gt;"DEVOLUCION",
  "",
  IF(
    T697="",
    "",
    SUMIF(DEVOLUCION!F:F, T697, DEVOLUCION!D:D)
  )
)
</f>
        <v/>
      </c>
      <c r="M697" s="118" t="s">
        <v>5877</v>
      </c>
      <c r="N697" s="169" t="s">
        <v>7920</v>
      </c>
      <c r="O697" s="118" t="str">
        <f t="array" ref="O697">IFERROR(
VLOOKUP(
TRIM(CLEAN(
INDEX(REPORTE_DROPI!K:K,
MATCH(T697, REPORTE_DROPI!B:B, 0)
))),
{
TRIM(CLEAN(MAPA_ESTADOS!A:A)) ,
MAPA_ESTADOS!B:B
},
2,
FALSE
),
"REVISAR"
)</f>
        <v>PENDIENTE</v>
      </c>
      <c r="P697" s="154" t="s">
        <v>6534</v>
      </c>
      <c r="Q697" s="153">
        <f t="shared" si="1"/>
        <v>0</v>
      </c>
      <c r="R697" s="172"/>
      <c r="S697" s="172"/>
      <c r="T697" s="118">
        <f t="array" ref="T697">IFERROR(
INDEX(REPORTE_DROPI!B:B,
MATCH(
CLEAN(TRIM(C697)),
CLEAN(TRIM(REPORTE_DROPI!E:E)),
0
)
),
""
)
</f>
        <v>4650584</v>
      </c>
      <c r="U697" s="169" t="s">
        <v>7921</v>
      </c>
      <c r="V697" s="166"/>
      <c r="W697" s="18"/>
      <c r="X697" s="18"/>
      <c r="Y697" s="18"/>
      <c r="Z697" s="18"/>
    </row>
    <row r="698" ht="22.5" hidden="1" customHeight="1">
      <c r="A698" s="169">
        <v>697.0</v>
      </c>
      <c r="B698" s="170">
        <v>46081.0</v>
      </c>
      <c r="C698" s="154" t="s">
        <v>7922</v>
      </c>
      <c r="D698" s="118" t="str">
        <f>IFERROR(__xludf.DUMMYFUNCTION("IFERROR( INDEX( FILTER( 'NOMBRE DE PRODUCTOS'!B:B, REGEXMATCH( UPPER( INDEX( REPORTE_DROPI!AC:AC, MATCH(T698, REPORTE_DROPI!B:B, 0) ) ), UPPER('NOMBRE DE PRODUCTOS'!A:A) ) ), 1 ), ""REVISAR"" )"),"FilmPro®")</f>
        <v>FilmPro®</v>
      </c>
      <c r="E698" s="120" t="str">
        <f t="array" ref="E698">IF(
UPPER(TRIM(CLEAN($O698)))="ENTREGADO",
IFERROR(
INDEX(REPORTE_DROPI!Y:Y,
MATCH($T698, REPORTE_DROPI!B:B, 0)
),
""
),
""
)
</f>
        <v/>
      </c>
      <c r="F698" s="171">
        <v>1.0</v>
      </c>
      <c r="G698" s="122" t="str">
        <f t="array" ref="G698">IF(
UPPER(TRIM(CLEAN($O698)))="ENTREGADO",
IFERROR(
INDEX(REPORTE_DROPI!R:R,
MATCH($T698, REPORTE_DROPI!B:B, 0)
),
""
),
""
)
</f>
        <v/>
      </c>
      <c r="H698" s="118" t="s">
        <v>3727</v>
      </c>
      <c r="I698" s="154" t="s">
        <v>3740</v>
      </c>
      <c r="J698" s="121" t="str">
        <f t="array" ref="J698">IF(
UPPER(TRIM(CLEAN($O698)))="ENTREGADO",
IFERROR(
INDEX(REPORTE_DROPI!T:T,
MATCH($T698, REPORTE_DROPI!B:B, 0)
),
""
),
""
)
</f>
        <v/>
      </c>
      <c r="K698" s="118" t="str">
        <f t="array" ref="K698">IFERROR(
INDEX(REPORTE_DROPI!S:S,
MATCH($T698, REPORTE_DROPI!B:B, 0)
),
""
)</f>
        <v/>
      </c>
      <c r="L698" s="118">
        <f>IF(
  O698&lt;&gt;"DEVOLUCION",
  "",
  IF(
    T698="",
    "",
    SUMIF(DEVOLUCION!F:F, T698, DEVOLUCION!D:D)
  )
)
</f>
        <v>0</v>
      </c>
      <c r="M698" s="118" t="s">
        <v>5877</v>
      </c>
      <c r="N698" s="169" t="s">
        <v>7923</v>
      </c>
      <c r="O698" s="118" t="str">
        <f t="array" ref="O698">IFERROR(
VLOOKUP(
TRIM(CLEAN(
INDEX(REPORTE_DROPI!K:K,
MATCH(T698, REPORTE_DROPI!B:B, 0)
))),
{
TRIM(CLEAN(MAPA_ESTADOS!A:A)) ,
MAPA_ESTADOS!B:B
},
2,
FALSE
),
"REVISAR"
)</f>
        <v>DEVOLUCION</v>
      </c>
      <c r="P698" s="154" t="s">
        <v>5692</v>
      </c>
      <c r="Q698" s="153">
        <f t="shared" si="1"/>
        <v>0</v>
      </c>
      <c r="R698" s="172"/>
      <c r="S698" s="172"/>
      <c r="T698" s="118">
        <f t="array" ref="T698">IFERROR(
INDEX(REPORTE_DROPI!B:B,
MATCH(
CLEAN(TRIM(C698)),
CLEAN(TRIM(REPORTE_DROPI!E:E)),
0
)
),
""
)
</f>
        <v>4651002</v>
      </c>
      <c r="U698" s="169" t="s">
        <v>7924</v>
      </c>
      <c r="V698" s="166"/>
      <c r="W698" s="18"/>
      <c r="X698" s="18"/>
      <c r="Y698" s="18"/>
      <c r="Z698" s="18"/>
    </row>
    <row r="699" ht="22.5" hidden="1" customHeight="1">
      <c r="A699" s="169">
        <v>698.0</v>
      </c>
      <c r="B699" s="170">
        <v>46081.0</v>
      </c>
      <c r="C699" s="154" t="s">
        <v>7925</v>
      </c>
      <c r="D699" s="118" t="str">
        <f>IFERROR(__xludf.DUMMYFUNCTION("IFERROR( INDEX( FILTER( 'NOMBRE DE PRODUCTOS'!B:B, REGEXMATCH( UPPER( INDEX( REPORTE_DROPI!AC:AC, MATCH(T699, REPORTE_DROPI!B:B, 0) ) ), UPPER('NOMBRE DE PRODUCTOS'!A:A) ) ), 1 ), ""REVISAR"" )"),"FilmPro®")</f>
        <v>FilmPro®</v>
      </c>
      <c r="E699" s="120">
        <f t="array" ref="E699">IF(
UPPER(TRIM(CLEAN($O699)))="ENTREGADO",
IFERROR(
INDEX(REPORTE_DROPI!Y:Y,
MATCH($T699, REPORTE_DROPI!B:B, 0)
),
""
),
""
)
</f>
        <v>2.35</v>
      </c>
      <c r="F699" s="171">
        <v>1.0</v>
      </c>
      <c r="G699" s="122">
        <f t="array" ref="G699">IF(
UPPER(TRIM(CLEAN($O699)))="ENTREGADO",
IFERROR(
INDEX(REPORTE_DROPI!R:R,
MATCH($T699, REPORTE_DROPI!B:B, 0)
),
""
),
""
)
</f>
        <v>20</v>
      </c>
      <c r="H699" s="118" t="s">
        <v>3727</v>
      </c>
      <c r="I699" s="154" t="s">
        <v>3731</v>
      </c>
      <c r="J699" s="121">
        <f t="array" ref="J699">IF(
UPPER(TRIM(CLEAN($O699)))="ENTREGADO",
IFERROR(
INDEX(REPORTE_DROPI!T:T,
MATCH($T699, REPORTE_DROPI!B:B, 0)
),
""
),
""
)
</f>
        <v>4.72</v>
      </c>
      <c r="K699" s="118">
        <f t="array" ref="K699">IFERROR(
INDEX(REPORTE_DROPI!S:S,
MATCH($T699, REPORTE_DROPI!B:B, 0)
),
""
)</f>
        <v>12.93</v>
      </c>
      <c r="L699" s="118" t="str">
        <f>IF(
  O699&lt;&gt;"DEVOLUCION",
  "",
  IF(
    T699="",
    "",
    SUMIF(DEVOLUCION!F:F, T699, DEVOLUCION!D:D)
  )
)
</f>
        <v/>
      </c>
      <c r="M699" s="118" t="s">
        <v>5877</v>
      </c>
      <c r="N699" s="169" t="s">
        <v>7926</v>
      </c>
      <c r="O699" s="118" t="str">
        <f t="array" ref="O699">IFERROR(
VLOOKUP(
TRIM(CLEAN(
INDEX(REPORTE_DROPI!K:K,
MATCH(T699, REPORTE_DROPI!B:B, 0)
))),
{
TRIM(CLEAN(MAPA_ESTADOS!A:A)) ,
MAPA_ESTADOS!B:B
},
2,
FALSE
),
"REVISAR"
)</f>
        <v>ENTREGADO</v>
      </c>
      <c r="P699" s="154" t="s">
        <v>5692</v>
      </c>
      <c r="Q699" s="153">
        <f t="shared" si="1"/>
        <v>0</v>
      </c>
      <c r="R699" s="172"/>
      <c r="S699" s="172"/>
      <c r="T699" s="118">
        <f t="array" ref="T699">IFERROR(
INDEX(REPORTE_DROPI!B:B,
MATCH(
CLEAN(TRIM(C699)),
CLEAN(TRIM(REPORTE_DROPI!E:E)),
0
)
),
""
)
</f>
        <v>4651029</v>
      </c>
      <c r="U699" s="169" t="s">
        <v>7927</v>
      </c>
      <c r="V699" s="166"/>
      <c r="W699" s="18"/>
      <c r="X699" s="18"/>
      <c r="Y699" s="18"/>
      <c r="Z699" s="18"/>
    </row>
    <row r="700" ht="22.5" hidden="1" customHeight="1">
      <c r="A700" s="169">
        <v>699.0</v>
      </c>
      <c r="B700" s="170">
        <v>46081.0</v>
      </c>
      <c r="C700" s="154" t="s">
        <v>7928</v>
      </c>
      <c r="D700" s="118" t="str">
        <f>IFERROR(__xludf.DUMMYFUNCTION("IFERROR( INDEX( FILTER( 'NOMBRE DE PRODUCTOS'!B:B, REGEXMATCH( UPPER( INDEX( REPORTE_DROPI!AC:AC, MATCH(T700, REPORTE_DROPI!B:B, 0) ) ), UPPER('NOMBRE DE PRODUCTOS'!A:A) ) ), 1 ), ""REVISAR"" )"),"Cuchillo Tazaki™")</f>
        <v>Cuchillo Tazaki™</v>
      </c>
      <c r="E700" s="120" t="str">
        <f t="array" ref="E700">IF(
UPPER(TRIM(CLEAN($O700)))="ENTREGADO",
IFERROR(
INDEX(REPORTE_DROPI!Y:Y,
MATCH($T700, REPORTE_DROPI!B:B, 0)
),
""
),
""
)
</f>
        <v/>
      </c>
      <c r="F700" s="171">
        <v>2.0</v>
      </c>
      <c r="G700" s="122" t="str">
        <f t="array" ref="G700">IF(
UPPER(TRIM(CLEAN($O700)))="ENTREGADO",
IFERROR(
INDEX(REPORTE_DROPI!R:R,
MATCH($T700, REPORTE_DROPI!B:B, 0)
),
""
),
""
)
</f>
        <v/>
      </c>
      <c r="H700" s="118" t="s">
        <v>3727</v>
      </c>
      <c r="I700" s="154" t="s">
        <v>3731</v>
      </c>
      <c r="J700" s="121" t="str">
        <f t="array" ref="J700">IF(
UPPER(TRIM(CLEAN($O700)))="ENTREGADO",
IFERROR(
INDEX(REPORTE_DROPI!T:T,
MATCH($T700, REPORTE_DROPI!B:B, 0)
),
""
),
""
)
</f>
        <v/>
      </c>
      <c r="K700" s="118" t="str">
        <f t="array" ref="K700">IFERROR(
INDEX(REPORTE_DROPI!S:S,
MATCH($T700, REPORTE_DROPI!B:B, 0)
),
""
)</f>
        <v/>
      </c>
      <c r="L700" s="118" t="str">
        <f>IF(
  O700&lt;&gt;"DEVOLUCION",
  "",
  IF(
    T700="",
    "",
    SUMIF(DEVOLUCION!F:F, T700, DEVOLUCION!D:D)
  )
)
</f>
        <v/>
      </c>
      <c r="M700" s="118" t="s">
        <v>5877</v>
      </c>
      <c r="N700" s="169" t="s">
        <v>7929</v>
      </c>
      <c r="O700" s="118" t="str">
        <f t="array" ref="O700">IFERROR(
VLOOKUP(
TRIM(CLEAN(
INDEX(REPORTE_DROPI!K:K,
MATCH(T700, REPORTE_DROPI!B:B, 0)
))),
{
TRIM(CLEAN(MAPA_ESTADOS!A:A)) ,
MAPA_ESTADOS!B:B
},
2,
FALSE
),
"REVISAR"
)</f>
        <v>PENDIENTE</v>
      </c>
      <c r="P700" s="154" t="s">
        <v>7930</v>
      </c>
      <c r="Q700" s="153">
        <f t="shared" si="1"/>
        <v>0</v>
      </c>
      <c r="R700" s="172"/>
      <c r="S700" s="172"/>
      <c r="T700" s="118">
        <f t="array" ref="T700">IFERROR(
INDEX(REPORTE_DROPI!B:B,
MATCH(
CLEAN(TRIM(C700)),
CLEAN(TRIM(REPORTE_DROPI!E:E)),
0
)
),
""
)
</f>
        <v>4651372</v>
      </c>
      <c r="U700" s="169" t="s">
        <v>7931</v>
      </c>
      <c r="V700" s="166"/>
      <c r="W700" s="18"/>
      <c r="X700" s="18"/>
      <c r="Y700" s="18"/>
      <c r="Z700" s="18"/>
    </row>
    <row r="701" ht="22.5" hidden="1" customHeight="1">
      <c r="A701" s="169">
        <v>700.0</v>
      </c>
      <c r="B701" s="170">
        <v>46081.0</v>
      </c>
      <c r="C701" s="154" t="s">
        <v>7932</v>
      </c>
      <c r="D701" s="118" t="str">
        <f>IFERROR(__xludf.DUMMYFUNCTION("IFERROR( INDEX( FILTER( 'NOMBRE DE PRODUCTOS'!B:B, REGEXMATCH( UPPER( INDEX( REPORTE_DROPI!AC:AC, MATCH(T701, REPORTE_DROPI!B:B, 0) ) ), UPPER('NOMBRE DE PRODUCTOS'!A:A) ) ), 1 ), ""REVISAR"" )"),"Cuchillo Tazaki™")</f>
        <v>Cuchillo Tazaki™</v>
      </c>
      <c r="E701" s="120" t="str">
        <f t="array" ref="E701">IF(
UPPER(TRIM(CLEAN($O701)))="ENTREGADO",
IFERROR(
INDEX(REPORTE_DROPI!Y:Y,
MATCH($T701, REPORTE_DROPI!B:B, 0)
),
""
),
""
)
</f>
        <v/>
      </c>
      <c r="F701" s="171">
        <v>2.0</v>
      </c>
      <c r="G701" s="122" t="str">
        <f t="array" ref="G701">IF(
UPPER(TRIM(CLEAN($O701)))="ENTREGADO",
IFERROR(
INDEX(REPORTE_DROPI!R:R,
MATCH($T701, REPORTE_DROPI!B:B, 0)
),
""
),
""
)
</f>
        <v/>
      </c>
      <c r="H701" s="118" t="s">
        <v>3727</v>
      </c>
      <c r="I701" s="154" t="s">
        <v>3738</v>
      </c>
      <c r="J701" s="121" t="str">
        <f t="array" ref="J701">IF(
UPPER(TRIM(CLEAN($O701)))="ENTREGADO",
IFERROR(
INDEX(REPORTE_DROPI!T:T,
MATCH($T701, REPORTE_DROPI!B:B, 0)
),
""
),
""
)
</f>
        <v/>
      </c>
      <c r="K701" s="118" t="str">
        <f t="array" ref="K701">IFERROR(
INDEX(REPORTE_DROPI!S:S,
MATCH($T701, REPORTE_DROPI!B:B, 0)
),
""
)</f>
        <v/>
      </c>
      <c r="L701" s="118" t="str">
        <f>IF(
  O701&lt;&gt;"DEVOLUCION",
  "",
  IF(
    T701="",
    "",
    SUMIF(DEVOLUCION!F:F, T701, DEVOLUCION!D:D)
  )
)
</f>
        <v/>
      </c>
      <c r="M701" s="118" t="s">
        <v>5877</v>
      </c>
      <c r="N701" s="169" t="s">
        <v>7933</v>
      </c>
      <c r="O701" s="118" t="str">
        <f t="array" ref="O701">IFERROR(
VLOOKUP(
TRIM(CLEAN(
INDEX(REPORTE_DROPI!K:K,
MATCH(T701, REPORTE_DROPI!B:B, 0)
))),
{
TRIM(CLEAN(MAPA_ESTADOS!A:A)) ,
MAPA_ESTADOS!B:B
},
2,
FALSE
),
"REVISAR"
)</f>
        <v>PENDIENTE</v>
      </c>
      <c r="P701" s="154" t="s">
        <v>3653</v>
      </c>
      <c r="Q701" s="153">
        <f t="shared" si="1"/>
        <v>0</v>
      </c>
      <c r="R701" s="172"/>
      <c r="S701" s="172"/>
      <c r="T701" s="118">
        <f t="array" ref="T701">IFERROR(
INDEX(REPORTE_DROPI!B:B,
MATCH(
CLEAN(TRIM(C701)),
CLEAN(TRIM(REPORTE_DROPI!E:E)),
0
)
),
""
)
</f>
        <v>4651561</v>
      </c>
      <c r="U701" s="169" t="s">
        <v>7934</v>
      </c>
      <c r="V701" s="166"/>
      <c r="W701" s="18"/>
      <c r="X701" s="18"/>
      <c r="Y701" s="18"/>
      <c r="Z701" s="18"/>
    </row>
    <row r="702" ht="22.5" hidden="1" customHeight="1">
      <c r="A702" s="169">
        <v>701.0</v>
      </c>
      <c r="B702" s="170">
        <v>46081.0</v>
      </c>
      <c r="C702" s="154" t="s">
        <v>7935</v>
      </c>
      <c r="D702" s="118" t="str">
        <f>IFERROR(__xludf.DUMMYFUNCTION("IFERROR( INDEX( FILTER( 'NOMBRE DE PRODUCTOS'!B:B, REGEXMATCH( UPPER( INDEX( REPORTE_DROPI!AC:AC, MATCH(T702, REPORTE_DROPI!B:B, 0) ) ), UPPER('NOMBRE DE PRODUCTOS'!A:A) ) ), 1 ), ""REVISAR"" )"),"Cuchillo Tazaki™")</f>
        <v>Cuchillo Tazaki™</v>
      </c>
      <c r="E702" s="120" t="str">
        <f t="array" ref="E702">IF(
UPPER(TRIM(CLEAN($O702)))="ENTREGADO",
IFERROR(
INDEX(REPORTE_DROPI!Y:Y,
MATCH($T702, REPORTE_DROPI!B:B, 0)
),
""
),
""
)
</f>
        <v/>
      </c>
      <c r="F702" s="171">
        <v>2.0</v>
      </c>
      <c r="G702" s="122" t="str">
        <f t="array" ref="G702">IF(
UPPER(TRIM(CLEAN($O702)))="ENTREGADO",
IFERROR(
INDEX(REPORTE_DROPI!R:R,
MATCH($T702, REPORTE_DROPI!B:B, 0)
),
""
),
""
)
</f>
        <v/>
      </c>
      <c r="H702" s="118" t="s">
        <v>3727</v>
      </c>
      <c r="I702" s="154" t="s">
        <v>3740</v>
      </c>
      <c r="J702" s="121" t="str">
        <f t="array" ref="J702">IF(
UPPER(TRIM(CLEAN($O702)))="ENTREGADO",
IFERROR(
INDEX(REPORTE_DROPI!T:T,
MATCH($T702, REPORTE_DROPI!B:B, 0)
),
""
),
""
)
</f>
        <v/>
      </c>
      <c r="K702" s="118" t="str">
        <f t="array" ref="K702">IFERROR(
INDEX(REPORTE_DROPI!S:S,
MATCH($T702, REPORTE_DROPI!B:B, 0)
),
""
)</f>
        <v/>
      </c>
      <c r="L702" s="118" t="str">
        <f>IF(
  O702&lt;&gt;"DEVOLUCION",
  "",
  IF(
    T702="",
    "",
    SUMIF(DEVOLUCION!F:F, T702, DEVOLUCION!D:D)
  )
)
</f>
        <v/>
      </c>
      <c r="M702" s="118" t="s">
        <v>5877</v>
      </c>
      <c r="N702" s="169" t="s">
        <v>7936</v>
      </c>
      <c r="O702" s="118" t="str">
        <f t="array" ref="O702">IFERROR(
VLOOKUP(
TRIM(CLEAN(
INDEX(REPORTE_DROPI!K:K,
MATCH(T702, REPORTE_DROPI!B:B, 0)
))),
{
TRIM(CLEAN(MAPA_ESTADOS!A:A)) ,
MAPA_ESTADOS!B:B
},
2,
FALSE
),
"REVISAR"
)</f>
        <v>PENDIENTE</v>
      </c>
      <c r="P702" s="154" t="s">
        <v>4331</v>
      </c>
      <c r="Q702" s="153">
        <f t="shared" si="1"/>
        <v>0</v>
      </c>
      <c r="R702" s="172"/>
      <c r="S702" s="172"/>
      <c r="T702" s="118">
        <f t="array" ref="T702">IFERROR(
INDEX(REPORTE_DROPI!B:B,
MATCH(
CLEAN(TRIM(C702)),
CLEAN(TRIM(REPORTE_DROPI!E:E)),
0
)
),
""
)
</f>
        <v>4652030</v>
      </c>
      <c r="U702" s="169" t="s">
        <v>7937</v>
      </c>
      <c r="V702" s="166"/>
      <c r="W702" s="18"/>
      <c r="X702" s="18"/>
      <c r="Y702" s="18"/>
      <c r="Z702" s="18"/>
    </row>
    <row r="703" ht="22.5" hidden="1" customHeight="1">
      <c r="A703" s="169">
        <v>702.0</v>
      </c>
      <c r="B703" s="170">
        <v>46081.0</v>
      </c>
      <c r="C703" s="154" t="s">
        <v>7938</v>
      </c>
      <c r="D703" s="118" t="str">
        <f>IFERROR(__xludf.DUMMYFUNCTION("IFERROR( INDEX( FILTER( 'NOMBRE DE PRODUCTOS'!B:B, REGEXMATCH( UPPER( INDEX( REPORTE_DROPI!AC:AC, MATCH(T703, REPORTE_DROPI!B:B, 0) ) ), UPPER('NOMBRE DE PRODUCTOS'!A:A) ) ), 1 ), ""REVISAR"" )"),"Cuchillo Tazaki™")</f>
        <v>Cuchillo Tazaki™</v>
      </c>
      <c r="E703" s="120" t="str">
        <f t="array" ref="E703">IF(
UPPER(TRIM(CLEAN($O703)))="ENTREGADO",
IFERROR(
INDEX(REPORTE_DROPI!Y:Y,
MATCH($T703, REPORTE_DROPI!B:B, 0)
),
""
),
""
)
</f>
        <v/>
      </c>
      <c r="F703" s="171">
        <v>2.0</v>
      </c>
      <c r="G703" s="122" t="str">
        <f t="array" ref="G703">IF(
UPPER(TRIM(CLEAN($O703)))="ENTREGADO",
IFERROR(
INDEX(REPORTE_DROPI!R:R,
MATCH($T703, REPORTE_DROPI!B:B, 0)
),
""
),
""
)
</f>
        <v/>
      </c>
      <c r="H703" s="118" t="s">
        <v>3727</v>
      </c>
      <c r="I703" s="154" t="s">
        <v>3759</v>
      </c>
      <c r="J703" s="121" t="str">
        <f t="array" ref="J703">IF(
UPPER(TRIM(CLEAN($O703)))="ENTREGADO",
IFERROR(
INDEX(REPORTE_DROPI!T:T,
MATCH($T703, REPORTE_DROPI!B:B, 0)
),
""
),
""
)
</f>
        <v/>
      </c>
      <c r="K703" s="118" t="str">
        <f t="array" ref="K703">IFERROR(
INDEX(REPORTE_DROPI!S:S,
MATCH($T703, REPORTE_DROPI!B:B, 0)
),
""
)</f>
        <v/>
      </c>
      <c r="L703" s="118">
        <f>IF(
  O703&lt;&gt;"DEVOLUCION",
  "",
  IF(
    T703="",
    "",
    SUMIF(DEVOLUCION!F:F, T703, DEVOLUCION!D:D)
  )
)
</f>
        <v>0</v>
      </c>
      <c r="M703" s="118" t="s">
        <v>5877</v>
      </c>
      <c r="N703" s="169" t="s">
        <v>7939</v>
      </c>
      <c r="O703" s="118" t="str">
        <f t="array" ref="O703">IFERROR(
VLOOKUP(
TRIM(CLEAN(
INDEX(REPORTE_DROPI!K:K,
MATCH(T703, REPORTE_DROPI!B:B, 0)
))),
{
TRIM(CLEAN(MAPA_ESTADOS!A:A)) ,
MAPA_ESTADOS!B:B
},
2,
FALSE
),
"REVISAR"
)</f>
        <v>DEVOLUCION</v>
      </c>
      <c r="P703" s="154" t="s">
        <v>5692</v>
      </c>
      <c r="Q703" s="153">
        <f t="shared" si="1"/>
        <v>0</v>
      </c>
      <c r="R703" s="172"/>
      <c r="S703" s="172"/>
      <c r="T703" s="118">
        <f t="array" ref="T703">IFERROR(
INDEX(REPORTE_DROPI!B:B,
MATCH(
CLEAN(TRIM(C703)),
CLEAN(TRIM(REPORTE_DROPI!E:E)),
0
)
),
""
)
</f>
        <v>4652329</v>
      </c>
      <c r="U703" s="169" t="s">
        <v>7940</v>
      </c>
      <c r="V703" s="166"/>
      <c r="W703" s="18"/>
      <c r="X703" s="18"/>
      <c r="Y703" s="18"/>
      <c r="Z703" s="18"/>
    </row>
    <row r="704" ht="22.5" hidden="1" customHeight="1">
      <c r="A704" s="169">
        <v>703.0</v>
      </c>
      <c r="B704" s="170">
        <v>46081.0</v>
      </c>
      <c r="C704" s="154" t="s">
        <v>5180</v>
      </c>
      <c r="D704" s="118" t="str">
        <f>IFERROR(__xludf.DUMMYFUNCTION("IFERROR( INDEX( FILTER( 'NOMBRE DE PRODUCTOS'!B:B, REGEXMATCH( UPPER( INDEX( REPORTE_DROPI!AC:AC, MATCH(T704, REPORTE_DROPI!B:B, 0) ) ), UPPER('NOMBRE DE PRODUCTOS'!A:A) ) ), 1 ), ""REVISAR"" )"),"FilmPro®")</f>
        <v>FilmPro®</v>
      </c>
      <c r="E704" s="120" t="str">
        <f t="array" ref="E704">IF(
UPPER(TRIM(CLEAN($O704)))="ENTREGADO",
IFERROR(
INDEX(REPORTE_DROPI!Y:Y,
MATCH($T704, REPORTE_DROPI!B:B, 0)
),
""
),
""
)
</f>
        <v/>
      </c>
      <c r="F704" s="171">
        <v>1.0</v>
      </c>
      <c r="G704" s="122" t="str">
        <f t="array" ref="G704">IF(
UPPER(TRIM(CLEAN($O704)))="ENTREGADO",
IFERROR(
INDEX(REPORTE_DROPI!R:R,
MATCH($T704, REPORTE_DROPI!B:B, 0)
),
""
),
""
)
</f>
        <v/>
      </c>
      <c r="H704" s="118" t="s">
        <v>3727</v>
      </c>
      <c r="I704" s="154" t="s">
        <v>3731</v>
      </c>
      <c r="J704" s="121" t="str">
        <f t="array" ref="J704">IF(
UPPER(TRIM(CLEAN($O704)))="ENTREGADO",
IFERROR(
INDEX(REPORTE_DROPI!T:T,
MATCH($T704, REPORTE_DROPI!B:B, 0)
),
""
),
""
)
</f>
        <v/>
      </c>
      <c r="K704" s="118" t="str">
        <f t="array" ref="K704">IFERROR(
INDEX(REPORTE_DROPI!S:S,
MATCH($T704, REPORTE_DROPI!B:B, 0)
),
""
)</f>
        <v/>
      </c>
      <c r="L704" s="118" t="str">
        <f>IF(
  O704&lt;&gt;"DEVOLUCION",
  "",
  IF(
    T704="",
    "",
    SUMIF(DEVOLUCION!F:F, T704, DEVOLUCION!D:D)
  )
)
</f>
        <v/>
      </c>
      <c r="M704" s="118" t="s">
        <v>5877</v>
      </c>
      <c r="N704" s="169" t="s">
        <v>7941</v>
      </c>
      <c r="O704" s="118" t="str">
        <f t="array" ref="O704">IFERROR(
VLOOKUP(
TRIM(CLEAN(
INDEX(REPORTE_DROPI!K:K,
MATCH(T704, REPORTE_DROPI!B:B, 0)
))),
{
TRIM(CLEAN(MAPA_ESTADOS!A:A)) ,
MAPA_ESTADOS!B:B
},
2,
FALSE
),
"REVISAR"
)</f>
        <v>PENDIENTE</v>
      </c>
      <c r="P704" s="154" t="s">
        <v>3653</v>
      </c>
      <c r="Q704" s="153">
        <f t="shared" si="1"/>
        <v>0</v>
      </c>
      <c r="R704" s="172"/>
      <c r="S704" s="172"/>
      <c r="T704" s="118">
        <f t="array" ref="T704">IFERROR(
INDEX(REPORTE_DROPI!B:B,
MATCH(
CLEAN(TRIM(C704)),
CLEAN(TRIM(REPORTE_DROPI!E:E)),
0
)
),
""
)
</f>
        <v>4652632</v>
      </c>
      <c r="U704" s="169" t="s">
        <v>7942</v>
      </c>
      <c r="V704" s="166"/>
      <c r="W704" s="18"/>
      <c r="X704" s="18"/>
      <c r="Y704" s="18"/>
      <c r="Z704" s="18"/>
    </row>
    <row r="705" ht="22.5" hidden="1" customHeight="1">
      <c r="A705" s="169">
        <v>704.0</v>
      </c>
      <c r="B705" s="170">
        <v>46081.0</v>
      </c>
      <c r="C705" s="154" t="s">
        <v>7943</v>
      </c>
      <c r="D705" s="118" t="str">
        <f>IFERROR(__xludf.DUMMYFUNCTION("IFERROR( INDEX( FILTER( 'NOMBRE DE PRODUCTOS'!B:B, REGEXMATCH( UPPER( INDEX( REPORTE_DROPI!AC:AC, MATCH(T705, REPORTE_DROPI!B:B, 0) ) ), UPPER('NOMBRE DE PRODUCTOS'!A:A) ) ), 1 ), ""REVISAR"" )"),"FilmPro®")</f>
        <v>FilmPro®</v>
      </c>
      <c r="E705" s="120">
        <f t="array" ref="E705">IF(
UPPER(TRIM(CLEAN($O705)))="ENTREGADO",
IFERROR(
INDEX(REPORTE_DROPI!Y:Y,
MATCH($T705, REPORTE_DROPI!B:B, 0)
),
""
),
""
)
</f>
        <v>4.7</v>
      </c>
      <c r="F705" s="171">
        <v>2.0</v>
      </c>
      <c r="G705" s="122">
        <f t="array" ref="G705">IF(
UPPER(TRIM(CLEAN($O705)))="ENTREGADO",
IFERROR(
INDEX(REPORTE_DROPI!R:R,
MATCH($T705, REPORTE_DROPI!B:B, 0)
),
""
),
""
)
</f>
        <v>25</v>
      </c>
      <c r="H705" s="118" t="s">
        <v>3727</v>
      </c>
      <c r="I705" s="154" t="s">
        <v>3778</v>
      </c>
      <c r="J705" s="121">
        <f t="array" ref="J705">IF(
UPPER(TRIM(CLEAN($O705)))="ENTREGADO",
IFERROR(
INDEX(REPORTE_DROPI!T:T,
MATCH($T705, REPORTE_DROPI!B:B, 0)
),
""
),
""
)
</f>
        <v>6.53</v>
      </c>
      <c r="K705" s="118">
        <f t="array" ref="K705">IFERROR(
INDEX(REPORTE_DROPI!S:S,
MATCH($T705, REPORTE_DROPI!B:B, 0)
),
""
)</f>
        <v>13.77</v>
      </c>
      <c r="L705" s="118" t="str">
        <f>IF(
  O705&lt;&gt;"DEVOLUCION",
  "",
  IF(
    T705="",
    "",
    SUMIF(DEVOLUCION!F:F, T705, DEVOLUCION!D:D)
  )
)
</f>
        <v/>
      </c>
      <c r="M705" s="118" t="s">
        <v>5877</v>
      </c>
      <c r="N705" s="169" t="s">
        <v>7944</v>
      </c>
      <c r="O705" s="118" t="str">
        <f t="array" ref="O705">IFERROR(
VLOOKUP(
TRIM(CLEAN(
INDEX(REPORTE_DROPI!K:K,
MATCH(T705, REPORTE_DROPI!B:B, 0)
))),
{
TRIM(CLEAN(MAPA_ESTADOS!A:A)) ,
MAPA_ESTADOS!B:B
},
2,
FALSE
),
"REVISAR"
)</f>
        <v>ENTREGADO</v>
      </c>
      <c r="P705" s="154" t="s">
        <v>5692</v>
      </c>
      <c r="Q705" s="153">
        <f t="shared" si="1"/>
        <v>0</v>
      </c>
      <c r="R705" s="172"/>
      <c r="S705" s="172"/>
      <c r="T705" s="118">
        <f t="array" ref="T705">IFERROR(
INDEX(REPORTE_DROPI!B:B,
MATCH(
CLEAN(TRIM(C705)),
CLEAN(TRIM(REPORTE_DROPI!E:E)),
0
)
),
""
)
</f>
        <v>4652668</v>
      </c>
      <c r="U705" s="169" t="s">
        <v>7945</v>
      </c>
      <c r="V705" s="166"/>
      <c r="W705" s="18"/>
      <c r="X705" s="18"/>
      <c r="Y705" s="18"/>
      <c r="Z705" s="18"/>
    </row>
    <row r="706" ht="22.5" customHeight="1">
      <c r="A706" s="169">
        <v>705.0</v>
      </c>
      <c r="B706" s="170">
        <v>46081.0</v>
      </c>
      <c r="C706" s="154" t="s">
        <v>7946</v>
      </c>
      <c r="D706" s="118" t="str">
        <f>IFERROR(__xludf.DUMMYFUNCTION("IFERROR( INDEX( FILTER( 'NOMBRE DE PRODUCTOS'!B:B, REGEXMATCH( UPPER( INDEX( REPORTE_DROPI!AC:AC, MATCH(T706, REPORTE_DROPI!B:B, 0) ) ), UPPER('NOMBRE DE PRODUCTOS'!A:A) ) ), 1 ), ""REVISAR"" )"),"FreeBeat Adapter")</f>
        <v>FreeBeat Adapter</v>
      </c>
      <c r="E706" s="120" t="str">
        <f t="array" ref="E706">IF(
UPPER(TRIM(CLEAN($O706)))="ENTREGADO",
IFERROR(
INDEX(REPORTE_DROPI!Y:Y,
MATCH($T706, REPORTE_DROPI!B:B, 0)
),
""
),
""
)
</f>
        <v/>
      </c>
      <c r="F706" s="171">
        <v>2.0</v>
      </c>
      <c r="G706" s="122" t="str">
        <f t="array" ref="G706">IF(
UPPER(TRIM(CLEAN($O706)))="ENTREGADO",
IFERROR(
INDEX(REPORTE_DROPI!R:R,
MATCH($T706, REPORTE_DROPI!B:B, 0)
),
""
),
""
)
</f>
        <v/>
      </c>
      <c r="H706" s="118" t="s">
        <v>3727</v>
      </c>
      <c r="I706" s="154" t="s">
        <v>3801</v>
      </c>
      <c r="J706" s="121" t="str">
        <f t="array" ref="J706">IF(
UPPER(TRIM(CLEAN($O706)))="ENTREGADO",
IFERROR(
INDEX(REPORTE_DROPI!T:T,
MATCH($T706, REPORTE_DROPI!B:B, 0)
),
""
),
""
)
</f>
        <v/>
      </c>
      <c r="K706" s="118" t="str">
        <f t="array" ref="K706">IFERROR(
INDEX(REPORTE_DROPI!S:S,
MATCH($T706, REPORTE_DROPI!B:B, 0)
),
""
)</f>
        <v/>
      </c>
      <c r="L706" s="118" t="str">
        <f>IF(
  O706&lt;&gt;"DEVOLUCION",
  "",
  IF(
    T706="",
    "",
    SUMIF(DEVOLUCION!F:F, T706, DEVOLUCION!D:D)
  )
)
</f>
        <v/>
      </c>
      <c r="M706" s="118" t="s">
        <v>5877</v>
      </c>
      <c r="N706" s="169" t="s">
        <v>7947</v>
      </c>
      <c r="O706" s="118" t="str">
        <f t="array" ref="O706">IFERROR(
VLOOKUP(
TRIM(CLEAN(
INDEX(REPORTE_DROPI!K:K,
MATCH(T706, REPORTE_DROPI!B:B, 0)
))),
{
TRIM(CLEAN(MAPA_ESTADOS!A:A)) ,
MAPA_ESTADOS!B:B
},
2,
FALSE
),
"REVISAR"
)</f>
        <v>PENDIENTE</v>
      </c>
      <c r="P706" s="154" t="s">
        <v>7948</v>
      </c>
      <c r="Q706" s="153">
        <f t="shared" si="1"/>
        <v>0</v>
      </c>
      <c r="R706" s="172"/>
      <c r="S706" s="172"/>
      <c r="T706" s="118">
        <f t="array" ref="T706">IFERROR(
INDEX(REPORTE_DROPI!B:B,
MATCH(
CLEAN(TRIM(C706)),
CLEAN(TRIM(REPORTE_DROPI!E:E)),
0
)
),
""
)
</f>
        <v>4652888</v>
      </c>
      <c r="U706" s="169" t="s">
        <v>7949</v>
      </c>
      <c r="V706" s="166"/>
      <c r="W706" s="18"/>
      <c r="X706" s="18"/>
      <c r="Y706" s="18"/>
      <c r="Z706" s="18"/>
    </row>
    <row r="707" ht="22.5" hidden="1" customHeight="1">
      <c r="A707" s="169">
        <v>706.0</v>
      </c>
      <c r="B707" s="170">
        <v>46081.0</v>
      </c>
      <c r="C707" s="154" t="s">
        <v>7950</v>
      </c>
      <c r="D707" s="118" t="str">
        <f>IFERROR(__xludf.DUMMYFUNCTION("IFERROR( INDEX( FILTER( 'NOMBRE DE PRODUCTOS'!B:B, REGEXMATCH( UPPER( INDEX( REPORTE_DROPI!AC:AC, MATCH(T707, REPORTE_DROPI!B:B, 0) ) ), UPPER('NOMBRE DE PRODUCTOS'!A:A) ) ), 1 ), ""REVISAR"" )"),"FilmPro®")</f>
        <v>FilmPro®</v>
      </c>
      <c r="E707" s="120" t="str">
        <f t="array" ref="E707">IF(
UPPER(TRIM(CLEAN($O707)))="ENTREGADO",
IFERROR(
INDEX(REPORTE_DROPI!Y:Y,
MATCH($T707, REPORTE_DROPI!B:B, 0)
),
""
),
""
)
</f>
        <v/>
      </c>
      <c r="F707" s="171">
        <v>1.0</v>
      </c>
      <c r="G707" s="122" t="str">
        <f t="array" ref="G707">IF(
UPPER(TRIM(CLEAN($O707)))="ENTREGADO",
IFERROR(
INDEX(REPORTE_DROPI!R:R,
MATCH($T707, REPORTE_DROPI!B:B, 0)
),
""
),
""
)
</f>
        <v/>
      </c>
      <c r="H707" s="118" t="s">
        <v>3727</v>
      </c>
      <c r="I707" s="154" t="s">
        <v>3742</v>
      </c>
      <c r="J707" s="121" t="str">
        <f t="array" ref="J707">IF(
UPPER(TRIM(CLEAN($O707)))="ENTREGADO",
IFERROR(
INDEX(REPORTE_DROPI!T:T,
MATCH($T707, REPORTE_DROPI!B:B, 0)
),
""
),
""
)
</f>
        <v/>
      </c>
      <c r="K707" s="118" t="str">
        <f t="array" ref="K707">IFERROR(
INDEX(REPORTE_DROPI!S:S,
MATCH($T707, REPORTE_DROPI!B:B, 0)
),
""
)</f>
        <v/>
      </c>
      <c r="L707" s="118" t="str">
        <f>IF(
  O707&lt;&gt;"DEVOLUCION",
  "",
  IF(
    T707="",
    "",
    SUMIF(DEVOLUCION!F:F, T707, DEVOLUCION!D:D)
  )
)
</f>
        <v/>
      </c>
      <c r="M707" s="118" t="s">
        <v>5877</v>
      </c>
      <c r="N707" s="169" t="s">
        <v>7951</v>
      </c>
      <c r="O707" s="118" t="str">
        <f t="array" ref="O707">IFERROR(
VLOOKUP(
TRIM(CLEAN(
INDEX(REPORTE_DROPI!K:K,
MATCH(T707, REPORTE_DROPI!B:B, 0)
))),
{
TRIM(CLEAN(MAPA_ESTADOS!A:A)) ,
MAPA_ESTADOS!B:B
},
2,
FALSE
),
"REVISAR"
)</f>
        <v>PENDIENTE</v>
      </c>
      <c r="P707" s="154" t="s">
        <v>7952</v>
      </c>
      <c r="Q707" s="153">
        <f t="shared" si="1"/>
        <v>0</v>
      </c>
      <c r="R707" s="172"/>
      <c r="S707" s="172"/>
      <c r="T707" s="118">
        <f t="array" ref="T707">IFERROR(
INDEX(REPORTE_DROPI!B:B,
MATCH(
CLEAN(TRIM(C707)),
CLEAN(TRIM(REPORTE_DROPI!E:E)),
0
)
),
""
)
</f>
        <v>4653003</v>
      </c>
      <c r="U707" s="169" t="s">
        <v>7953</v>
      </c>
      <c r="V707" s="166"/>
      <c r="W707" s="18"/>
      <c r="X707" s="18"/>
      <c r="Y707" s="18"/>
      <c r="Z707" s="18"/>
    </row>
    <row r="708" ht="22.5" hidden="1" customHeight="1">
      <c r="A708" s="169">
        <v>707.0</v>
      </c>
      <c r="B708" s="170">
        <v>46081.0</v>
      </c>
      <c r="C708" s="154" t="s">
        <v>7954</v>
      </c>
      <c r="D708" s="118" t="str">
        <f>IFERROR(__xludf.DUMMYFUNCTION("IFERROR( INDEX( FILTER( 'NOMBRE DE PRODUCTOS'!B:B, REGEXMATCH( UPPER( INDEX( REPORTE_DROPI!AC:AC, MATCH(T708, REPORTE_DROPI!B:B, 0) ) ), UPPER('NOMBRE DE PRODUCTOS'!A:A) ) ), 1 ), ""REVISAR"" )"),"FilmPro®")</f>
        <v>FilmPro®</v>
      </c>
      <c r="E708" s="120" t="str">
        <f t="array" ref="E708">IF(
UPPER(TRIM(CLEAN($O708)))="ENTREGADO",
IFERROR(
INDEX(REPORTE_DROPI!Y:Y,
MATCH($T708, REPORTE_DROPI!B:B, 0)
),
""
),
""
)
</f>
        <v/>
      </c>
      <c r="F708" s="171">
        <v>1.0</v>
      </c>
      <c r="G708" s="122" t="str">
        <f t="array" ref="G708">IF(
UPPER(TRIM(CLEAN($O708)))="ENTREGADO",
IFERROR(
INDEX(REPORTE_DROPI!R:R,
MATCH($T708, REPORTE_DROPI!B:B, 0)
),
""
),
""
)
</f>
        <v/>
      </c>
      <c r="H708" s="118" t="s">
        <v>3727</v>
      </c>
      <c r="I708" s="154" t="s">
        <v>3740</v>
      </c>
      <c r="J708" s="121" t="str">
        <f t="array" ref="J708">IF(
UPPER(TRIM(CLEAN($O708)))="ENTREGADO",
IFERROR(
INDEX(REPORTE_DROPI!T:T,
MATCH($T708, REPORTE_DROPI!B:B, 0)
),
""
),
""
)
</f>
        <v/>
      </c>
      <c r="K708" s="118" t="str">
        <f t="array" ref="K708">IFERROR(
INDEX(REPORTE_DROPI!S:S,
MATCH($T708, REPORTE_DROPI!B:B, 0)
),
""
)</f>
        <v/>
      </c>
      <c r="L708" s="118" t="str">
        <f>IF(
  O708&lt;&gt;"DEVOLUCION",
  "",
  IF(
    T708="",
    "",
    SUMIF(DEVOLUCION!F:F, T708, DEVOLUCION!D:D)
  )
)
</f>
        <v/>
      </c>
      <c r="M708" s="118" t="s">
        <v>5877</v>
      </c>
      <c r="N708" s="169" t="s">
        <v>7955</v>
      </c>
      <c r="O708" s="118" t="str">
        <f t="array" ref="O708">IFERROR(
VLOOKUP(
TRIM(CLEAN(
INDEX(REPORTE_DROPI!K:K,
MATCH(T708, REPORTE_DROPI!B:B, 0)
))),
{
TRIM(CLEAN(MAPA_ESTADOS!A:A)) ,
MAPA_ESTADOS!B:B
},
2,
FALSE
),
"REVISAR"
)</f>
        <v>PENDIENTE</v>
      </c>
      <c r="P708" s="154" t="s">
        <v>6534</v>
      </c>
      <c r="Q708" s="153">
        <f t="shared" si="1"/>
        <v>0</v>
      </c>
      <c r="R708" s="172"/>
      <c r="S708" s="172"/>
      <c r="T708" s="118">
        <f t="array" ref="T708">IFERROR(
INDEX(REPORTE_DROPI!B:B,
MATCH(
CLEAN(TRIM(C708)),
CLEAN(TRIM(REPORTE_DROPI!E:E)),
0
)
),
""
)
</f>
        <v>4653092</v>
      </c>
      <c r="U708" s="169" t="s">
        <v>7956</v>
      </c>
      <c r="V708" s="166"/>
      <c r="W708" s="18"/>
      <c r="X708" s="18"/>
      <c r="Y708" s="18"/>
      <c r="Z708" s="18"/>
    </row>
    <row r="709" ht="22.5" hidden="1" customHeight="1">
      <c r="A709" s="169">
        <v>708.0</v>
      </c>
      <c r="B709" s="170">
        <v>46081.0</v>
      </c>
      <c r="C709" s="154" t="s">
        <v>7957</v>
      </c>
      <c r="D709" s="118" t="str">
        <f>IFERROR(__xludf.DUMMYFUNCTION("IFERROR( INDEX( FILTER( 'NOMBRE DE PRODUCTOS'!B:B, REGEXMATCH( UPPER( INDEX( REPORTE_DROPI!AC:AC, MATCH(T709, REPORTE_DROPI!B:B, 0) ) ), UPPER('NOMBRE DE PRODUCTOS'!A:A) ) ), 1 ), ""REVISAR"" )"),"Cuchillo Tazaki™")</f>
        <v>Cuchillo Tazaki™</v>
      </c>
      <c r="E709" s="120">
        <f t="array" ref="E709">IF(
UPPER(TRIM(CLEAN($O709)))="ENTREGADO",
IFERROR(
INDEX(REPORTE_DROPI!Y:Y,
MATCH($T709, REPORTE_DROPI!B:B, 0)
),
""
),
""
)
</f>
        <v>7.5</v>
      </c>
      <c r="F709" s="171">
        <v>2.0</v>
      </c>
      <c r="G709" s="122">
        <f t="array" ref="G709">IF(
UPPER(TRIM(CLEAN($O709)))="ENTREGADO",
IFERROR(
INDEX(REPORTE_DROPI!R:R,
MATCH($T709, REPORTE_DROPI!B:B, 0)
),
""
),
""
)
</f>
        <v>22</v>
      </c>
      <c r="H709" s="118" t="s">
        <v>3727</v>
      </c>
      <c r="I709" s="154" t="s">
        <v>3772</v>
      </c>
      <c r="J709" s="121">
        <f t="array" ref="J709">IF(
UPPER(TRIM(CLEAN($O709)))="ENTREGADO",
IFERROR(
INDEX(REPORTE_DROPI!T:T,
MATCH($T709, REPORTE_DROPI!B:B, 0)
),
""
),
""
)
</f>
        <v>5.84</v>
      </c>
      <c r="K709" s="118">
        <f t="array" ref="K709">IFERROR(
INDEX(REPORTE_DROPI!S:S,
MATCH($T709, REPORTE_DROPI!B:B, 0)
),
""
)</f>
        <v>8.66</v>
      </c>
      <c r="L709" s="118" t="str">
        <f>IF(
  O709&lt;&gt;"DEVOLUCION",
  "",
  IF(
    T709="",
    "",
    SUMIF(DEVOLUCION!F:F, T709, DEVOLUCION!D:D)
  )
)
</f>
        <v/>
      </c>
      <c r="M709" s="118" t="s">
        <v>5877</v>
      </c>
      <c r="N709" s="169" t="s">
        <v>7958</v>
      </c>
      <c r="O709" s="118" t="str">
        <f t="array" ref="O709">IFERROR(
VLOOKUP(
TRIM(CLEAN(
INDEX(REPORTE_DROPI!K:K,
MATCH(T709, REPORTE_DROPI!B:B, 0)
))),
{
TRIM(CLEAN(MAPA_ESTADOS!A:A)) ,
MAPA_ESTADOS!B:B
},
2,
FALSE
),
"REVISAR"
)</f>
        <v>ENTREGADO</v>
      </c>
      <c r="P709" s="154" t="s">
        <v>5692</v>
      </c>
      <c r="Q709" s="153">
        <f t="shared" si="1"/>
        <v>0</v>
      </c>
      <c r="R709" s="172"/>
      <c r="S709" s="172"/>
      <c r="T709" s="118">
        <f t="array" ref="T709">IFERROR(
INDEX(REPORTE_DROPI!B:B,
MATCH(
CLEAN(TRIM(C709)),
CLEAN(TRIM(REPORTE_DROPI!E:E)),
0
)
),
""
)
</f>
        <v>4653158</v>
      </c>
      <c r="U709" s="169" t="s">
        <v>7959</v>
      </c>
      <c r="V709" s="166"/>
      <c r="W709" s="18"/>
      <c r="X709" s="18"/>
      <c r="Y709" s="18"/>
      <c r="Z709" s="18"/>
    </row>
    <row r="710" ht="22.5" hidden="1" customHeight="1">
      <c r="A710" s="169">
        <v>709.0</v>
      </c>
      <c r="B710" s="170">
        <v>46081.0</v>
      </c>
      <c r="C710" s="154" t="s">
        <v>7960</v>
      </c>
      <c r="D710" s="118" t="str">
        <f>IFERROR(__xludf.DUMMYFUNCTION("IFERROR( INDEX( FILTER( 'NOMBRE DE PRODUCTOS'!B:B, REGEXMATCH( UPPER( INDEX( REPORTE_DROPI!AC:AC, MATCH(T710, REPORTE_DROPI!B:B, 0) ) ), UPPER('NOMBRE DE PRODUCTOS'!A:A) ) ), 1 ), ""REVISAR"" )"),"Cuchillo Tazaki™")</f>
        <v>Cuchillo Tazaki™</v>
      </c>
      <c r="E710" s="120" t="str">
        <f t="array" ref="E710">IF(
UPPER(TRIM(CLEAN($O710)))="ENTREGADO",
IFERROR(
INDEX(REPORTE_DROPI!Y:Y,
MATCH($T710, REPORTE_DROPI!B:B, 0)
),
""
),
""
)
</f>
        <v/>
      </c>
      <c r="F710" s="171">
        <v>2.0</v>
      </c>
      <c r="G710" s="122" t="str">
        <f t="array" ref="G710">IF(
UPPER(TRIM(CLEAN($O710)))="ENTREGADO",
IFERROR(
INDEX(REPORTE_DROPI!R:R,
MATCH($T710, REPORTE_DROPI!B:B, 0)
),
""
),
""
)
</f>
        <v/>
      </c>
      <c r="H710" s="118" t="s">
        <v>3727</v>
      </c>
      <c r="I710" s="154" t="s">
        <v>3969</v>
      </c>
      <c r="J710" s="121" t="str">
        <f t="array" ref="J710">IF(
UPPER(TRIM(CLEAN($O710)))="ENTREGADO",
IFERROR(
INDEX(REPORTE_DROPI!T:T,
MATCH($T710, REPORTE_DROPI!B:B, 0)
),
""
),
""
)
</f>
        <v/>
      </c>
      <c r="K710" s="118" t="str">
        <f t="array" ref="K710">IFERROR(
INDEX(REPORTE_DROPI!S:S,
MATCH($T710, REPORTE_DROPI!B:B, 0)
),
""
)</f>
        <v/>
      </c>
      <c r="L710" s="118" t="str">
        <f>IF(
  O710&lt;&gt;"DEVOLUCION",
  "",
  IF(
    T710="",
    "",
    SUMIF(DEVOLUCION!F:F, T710, DEVOLUCION!D:D)
  )
)
</f>
        <v/>
      </c>
      <c r="M710" s="118" t="s">
        <v>5877</v>
      </c>
      <c r="N710" s="169" t="s">
        <v>7961</v>
      </c>
      <c r="O710" s="118" t="str">
        <f t="array" ref="O710">IFERROR(
VLOOKUP(
TRIM(CLEAN(
INDEX(REPORTE_DROPI!K:K,
MATCH(T710, REPORTE_DROPI!B:B, 0)
))),
{
TRIM(CLEAN(MAPA_ESTADOS!A:A)) ,
MAPA_ESTADOS!B:B
},
2,
FALSE
),
"REVISAR"
)</f>
        <v>PENDIENTE</v>
      </c>
      <c r="P710" s="154" t="s">
        <v>7962</v>
      </c>
      <c r="Q710" s="153">
        <f t="shared" si="1"/>
        <v>0</v>
      </c>
      <c r="R710" s="172"/>
      <c r="S710" s="172"/>
      <c r="T710" s="118">
        <f t="array" ref="T710">IFERROR(
INDEX(REPORTE_DROPI!B:B,
MATCH(
CLEAN(TRIM(C710)),
CLEAN(TRIM(REPORTE_DROPI!E:E)),
0
)
),
""
)
</f>
        <v>4653335</v>
      </c>
      <c r="U710" s="169" t="s">
        <v>7963</v>
      </c>
      <c r="V710" s="166"/>
      <c r="W710" s="18"/>
      <c r="X710" s="18"/>
      <c r="Y710" s="18"/>
      <c r="Z710" s="18"/>
    </row>
    <row r="711" ht="22.5" hidden="1" customHeight="1">
      <c r="A711" s="169">
        <v>710.0</v>
      </c>
      <c r="B711" s="170">
        <v>46081.0</v>
      </c>
      <c r="C711" s="154" t="s">
        <v>7964</v>
      </c>
      <c r="D711" s="118" t="str">
        <f>IFERROR(__xludf.DUMMYFUNCTION("IFERROR( INDEX( FILTER( 'NOMBRE DE PRODUCTOS'!B:B, REGEXMATCH( UPPER( INDEX( REPORTE_DROPI!AC:AC, MATCH(T711, REPORTE_DROPI!B:B, 0) ) ), UPPER('NOMBRE DE PRODUCTOS'!A:A) ) ), 1 ), ""REVISAR"" )"),"Cuchillo Tazaki™")</f>
        <v>Cuchillo Tazaki™</v>
      </c>
      <c r="E711" s="120" t="str">
        <f t="array" ref="E711">IF(
UPPER(TRIM(CLEAN($O711)))="ENTREGADO",
IFERROR(
INDEX(REPORTE_DROPI!Y:Y,
MATCH($T711, REPORTE_DROPI!B:B, 0)
),
""
),
""
)
</f>
        <v/>
      </c>
      <c r="F711" s="171">
        <v>3.0</v>
      </c>
      <c r="G711" s="122" t="str">
        <f t="array" ref="G711">IF(
UPPER(TRIM(CLEAN($O711)))="ENTREGADO",
IFERROR(
INDEX(REPORTE_DROPI!R:R,
MATCH($T711, REPORTE_DROPI!B:B, 0)
),
""
),
""
)
</f>
        <v/>
      </c>
      <c r="H711" s="118" t="s">
        <v>3727</v>
      </c>
      <c r="I711" s="154" t="s">
        <v>3731</v>
      </c>
      <c r="J711" s="121" t="str">
        <f t="array" ref="J711">IF(
UPPER(TRIM(CLEAN($O711)))="ENTREGADO",
IFERROR(
INDEX(REPORTE_DROPI!T:T,
MATCH($T711, REPORTE_DROPI!B:B, 0)
),
""
),
""
)
</f>
        <v/>
      </c>
      <c r="K711" s="118" t="str">
        <f t="array" ref="K711">IFERROR(
INDEX(REPORTE_DROPI!S:S,
MATCH($T711, REPORTE_DROPI!B:B, 0)
),
""
)</f>
        <v/>
      </c>
      <c r="L711" s="118" t="str">
        <f>IF(
  O711&lt;&gt;"DEVOLUCION",
  "",
  IF(
    T711="",
    "",
    SUMIF(DEVOLUCION!F:F, T711, DEVOLUCION!D:D)
  )
)
</f>
        <v/>
      </c>
      <c r="M711" s="118" t="s">
        <v>5877</v>
      </c>
      <c r="N711" s="169" t="s">
        <v>7965</v>
      </c>
      <c r="O711" s="118" t="str">
        <f t="array" ref="O711">IFERROR(
VLOOKUP(
TRIM(CLEAN(
INDEX(REPORTE_DROPI!K:K,
MATCH(T711, REPORTE_DROPI!B:B, 0)
))),
{
TRIM(CLEAN(MAPA_ESTADOS!A:A)) ,
MAPA_ESTADOS!B:B
},
2,
FALSE
),
"REVISAR"
)</f>
        <v>PENDIENTE</v>
      </c>
      <c r="P711" s="154" t="s">
        <v>6534</v>
      </c>
      <c r="Q711" s="153">
        <f t="shared" si="1"/>
        <v>0</v>
      </c>
      <c r="R711" s="172"/>
      <c r="S711" s="172"/>
      <c r="T711" s="118">
        <f t="array" ref="T711">IFERROR(
INDEX(REPORTE_DROPI!B:B,
MATCH(
CLEAN(TRIM(C711)),
CLEAN(TRIM(REPORTE_DROPI!E:E)),
0
)
),
""
)
</f>
        <v>4653362</v>
      </c>
      <c r="U711" s="169" t="s">
        <v>7966</v>
      </c>
      <c r="V711" s="166"/>
      <c r="W711" s="18"/>
      <c r="X711" s="18"/>
      <c r="Y711" s="18"/>
      <c r="Z711" s="18"/>
    </row>
    <row r="712" ht="22.5" hidden="1" customHeight="1">
      <c r="A712" s="169">
        <v>711.0</v>
      </c>
      <c r="B712" s="170">
        <v>46081.0</v>
      </c>
      <c r="C712" s="154" t="s">
        <v>7967</v>
      </c>
      <c r="D712" s="118" t="str">
        <f>IFERROR(__xludf.DUMMYFUNCTION("IFERROR( INDEX( FILTER( 'NOMBRE DE PRODUCTOS'!B:B, REGEXMATCH( UPPER( INDEX( REPORTE_DROPI!AC:AC, MATCH(T712, REPORTE_DROPI!B:B, 0) ) ), UPPER('NOMBRE DE PRODUCTOS'!A:A) ) ), 1 ), ""REVISAR"" )"),"FilmPro®")</f>
        <v>FilmPro®</v>
      </c>
      <c r="E712" s="120">
        <f t="array" ref="E712">IF(
UPPER(TRIM(CLEAN($O712)))="ENTREGADO",
IFERROR(
INDEX(REPORTE_DROPI!Y:Y,
MATCH($T712, REPORTE_DROPI!B:B, 0)
),
""
),
""
)
</f>
        <v>4.7</v>
      </c>
      <c r="F712" s="171">
        <v>1.0</v>
      </c>
      <c r="G712" s="122">
        <f t="array" ref="G712">IF(
UPPER(TRIM(CLEAN($O712)))="ENTREGADO",
IFERROR(
INDEX(REPORTE_DROPI!R:R,
MATCH($T712, REPORTE_DROPI!B:B, 0)
),
""
),
""
)
</f>
        <v>25</v>
      </c>
      <c r="H712" s="118" t="s">
        <v>3727</v>
      </c>
      <c r="I712" s="154" t="s">
        <v>3740</v>
      </c>
      <c r="J712" s="121">
        <f t="array" ref="J712">IF(
UPPER(TRIM(CLEAN($O712)))="ENTREGADO",
IFERROR(
INDEX(REPORTE_DROPI!T:T,
MATCH($T712, REPORTE_DROPI!B:B, 0)
),
""
),
""
)
</f>
        <v>6.31</v>
      </c>
      <c r="K712" s="118">
        <f t="array" ref="K712">IFERROR(
INDEX(REPORTE_DROPI!S:S,
MATCH($T712, REPORTE_DROPI!B:B, 0)
),
""
)</f>
        <v>13.99</v>
      </c>
      <c r="L712" s="118" t="str">
        <f>IF(
  O712&lt;&gt;"DEVOLUCION",
  "",
  IF(
    T712="",
    "",
    SUMIF(DEVOLUCION!F:F, T712, DEVOLUCION!D:D)
  )
)
</f>
        <v/>
      </c>
      <c r="M712" s="118" t="s">
        <v>5877</v>
      </c>
      <c r="N712" s="169" t="s">
        <v>7968</v>
      </c>
      <c r="O712" s="118" t="str">
        <f t="array" ref="O712">IFERROR(
VLOOKUP(
TRIM(CLEAN(
INDEX(REPORTE_DROPI!K:K,
MATCH(T712, REPORTE_DROPI!B:B, 0)
))),
{
TRIM(CLEAN(MAPA_ESTADOS!A:A)) ,
MAPA_ESTADOS!B:B
},
2,
FALSE
),
"REVISAR"
)</f>
        <v>ENTREGADO</v>
      </c>
      <c r="P712" s="154" t="s">
        <v>5692</v>
      </c>
      <c r="Q712" s="153">
        <f t="shared" si="1"/>
        <v>0</v>
      </c>
      <c r="R712" s="172"/>
      <c r="S712" s="172"/>
      <c r="T712" s="118">
        <f t="array" ref="T712">IFERROR(
INDEX(REPORTE_DROPI!B:B,
MATCH(
CLEAN(TRIM(C712)),
CLEAN(TRIM(REPORTE_DROPI!E:E)),
0
)
),
""
)
</f>
        <v>4672869</v>
      </c>
      <c r="U712" s="169" t="s">
        <v>7969</v>
      </c>
      <c r="V712" s="166"/>
      <c r="W712" s="18"/>
      <c r="X712" s="18"/>
      <c r="Y712" s="18"/>
      <c r="Z712" s="18"/>
    </row>
    <row r="713" ht="22.5" hidden="1" customHeight="1">
      <c r="A713" s="169">
        <v>712.0</v>
      </c>
      <c r="B713" s="170">
        <v>46081.0</v>
      </c>
      <c r="C713" s="154" t="s">
        <v>7970</v>
      </c>
      <c r="D713" s="118" t="str">
        <f>IFERROR(__xludf.DUMMYFUNCTION("IFERROR( INDEX( FILTER( 'NOMBRE DE PRODUCTOS'!B:B, REGEXMATCH( UPPER( INDEX( REPORTE_DROPI!AC:AC, MATCH(T713, REPORTE_DROPI!B:B, 0) ) ), UPPER('NOMBRE DE PRODUCTOS'!A:A) ) ), 1 ), ""REVISAR"" )"),"FilmPro®")</f>
        <v>FilmPro®</v>
      </c>
      <c r="E713" s="120">
        <f t="array" ref="E713">IF(
UPPER(TRIM(CLEAN($O713)))="ENTREGADO",
IFERROR(
INDEX(REPORTE_DROPI!Y:Y,
MATCH($T713, REPORTE_DROPI!B:B, 0)
),
""
),
""
)
</f>
        <v>2.35</v>
      </c>
      <c r="F713" s="171">
        <v>1.0</v>
      </c>
      <c r="G713" s="122">
        <f t="array" ref="G713">IF(
UPPER(TRIM(CLEAN($O713)))="ENTREGADO",
IFERROR(
INDEX(REPORTE_DROPI!R:R,
MATCH($T713, REPORTE_DROPI!B:B, 0)
),
""
),
""
)
</f>
        <v>20</v>
      </c>
      <c r="H713" s="118" t="s">
        <v>3727</v>
      </c>
      <c r="I713" s="154" t="s">
        <v>3731</v>
      </c>
      <c r="J713" s="121">
        <f t="array" ref="J713">IF(
UPPER(TRIM(CLEAN($O713)))="ENTREGADO",
IFERROR(
INDEX(REPORTE_DROPI!T:T,
MATCH($T713, REPORTE_DROPI!B:B, 0)
),
""
),
""
)
</f>
        <v>4.15</v>
      </c>
      <c r="K713" s="118">
        <f t="array" ref="K713">IFERROR(
INDEX(REPORTE_DROPI!S:S,
MATCH($T713, REPORTE_DROPI!B:B, 0)
),
""
)</f>
        <v>13.5</v>
      </c>
      <c r="L713" s="118" t="str">
        <f>IF(
  O713&lt;&gt;"DEVOLUCION",
  "",
  IF(
    T713="",
    "",
    SUMIF(DEVOLUCION!F:F, T713, DEVOLUCION!D:D)
  )
)
</f>
        <v/>
      </c>
      <c r="M713" s="118" t="s">
        <v>5877</v>
      </c>
      <c r="N713" s="169" t="s">
        <v>7971</v>
      </c>
      <c r="O713" s="118" t="str">
        <f t="array" ref="O713">IFERROR(
VLOOKUP(
TRIM(CLEAN(
INDEX(REPORTE_DROPI!K:K,
MATCH(T713, REPORTE_DROPI!B:B, 0)
))),
{
TRIM(CLEAN(MAPA_ESTADOS!A:A)) ,
MAPA_ESTADOS!B:B
},
2,
FALSE
),
"REVISAR"
)</f>
        <v>ENTREGADO</v>
      </c>
      <c r="P713" s="154" t="s">
        <v>5692</v>
      </c>
      <c r="Q713" s="153">
        <f t="shared" si="1"/>
        <v>0</v>
      </c>
      <c r="R713" s="172"/>
      <c r="S713" s="172"/>
      <c r="T713" s="118">
        <f t="array" ref="T713">IFERROR(
INDEX(REPORTE_DROPI!B:B,
MATCH(
CLEAN(TRIM(C713)),
CLEAN(TRIM(REPORTE_DROPI!E:E)),
0
)
),
""
)
</f>
        <v>4653848</v>
      </c>
      <c r="U713" s="169" t="s">
        <v>7972</v>
      </c>
      <c r="V713" s="166"/>
      <c r="W713" s="18"/>
      <c r="X713" s="18"/>
      <c r="Y713" s="18"/>
      <c r="Z713" s="18"/>
    </row>
    <row r="714" ht="22.5" hidden="1" customHeight="1">
      <c r="A714" s="169">
        <v>713.0</v>
      </c>
      <c r="B714" s="170">
        <v>46081.0</v>
      </c>
      <c r="C714" s="154" t="s">
        <v>4138</v>
      </c>
      <c r="D714" s="118" t="str">
        <f>IFERROR(__xludf.DUMMYFUNCTION("IFERROR( INDEX( FILTER( 'NOMBRE DE PRODUCTOS'!B:B, REGEXMATCH( UPPER( INDEX( REPORTE_DROPI!AC:AC, MATCH(T714, REPORTE_DROPI!B:B, 0) ) ), UPPER('NOMBRE DE PRODUCTOS'!A:A) ) ), 1 ), ""REVISAR"" )"),"FilmPro®")</f>
        <v>FilmPro®</v>
      </c>
      <c r="E714" s="120">
        <f t="array" ref="E714">IF(
UPPER(TRIM(CLEAN($O714)))="ENTREGADO",
IFERROR(
INDEX(REPORTE_DROPI!Y:Y,
MATCH($T714, REPORTE_DROPI!B:B, 0)
),
""
),
""
)
</f>
        <v>2.35</v>
      </c>
      <c r="F714" s="171">
        <v>1.0</v>
      </c>
      <c r="G714" s="122">
        <f t="array" ref="G714">IF(
UPPER(TRIM(CLEAN($O714)))="ENTREGADO",
IFERROR(
INDEX(REPORTE_DROPI!R:R,
MATCH($T714, REPORTE_DROPI!B:B, 0)
),
""
),
""
)
</f>
        <v>20</v>
      </c>
      <c r="H714" s="118" t="s">
        <v>3727</v>
      </c>
      <c r="I714" s="154" t="s">
        <v>3740</v>
      </c>
      <c r="J714" s="121">
        <f t="array" ref="J714">IF(
UPPER(TRIM(CLEAN($O714)))="ENTREGADO",
IFERROR(
INDEX(REPORTE_DROPI!T:T,
MATCH($T714, REPORTE_DROPI!B:B, 0)
),
""
),
""
)
</f>
        <v>5.76</v>
      </c>
      <c r="K714" s="118">
        <f t="array" ref="K714">IFERROR(
INDEX(REPORTE_DROPI!S:S,
MATCH($T714, REPORTE_DROPI!B:B, 0)
),
""
)</f>
        <v>11.89</v>
      </c>
      <c r="L714" s="118" t="str">
        <f>IF(
  O714&lt;&gt;"DEVOLUCION",
  "",
  IF(
    T714="",
    "",
    SUMIF(DEVOLUCION!F:F, T714, DEVOLUCION!D:D)
  )
)
</f>
        <v/>
      </c>
      <c r="M714" s="118" t="s">
        <v>5877</v>
      </c>
      <c r="N714" s="169" t="s">
        <v>7973</v>
      </c>
      <c r="O714" s="118" t="str">
        <f t="array" ref="O714">IFERROR(
VLOOKUP(
TRIM(CLEAN(
INDEX(REPORTE_DROPI!K:K,
MATCH(T714, REPORTE_DROPI!B:B, 0)
))),
{
TRIM(CLEAN(MAPA_ESTADOS!A:A)) ,
MAPA_ESTADOS!B:B
},
2,
FALSE
),
"REVISAR"
)</f>
        <v>ENTREGADO</v>
      </c>
      <c r="P714" s="154" t="s">
        <v>5692</v>
      </c>
      <c r="Q714" s="153">
        <f t="shared" si="1"/>
        <v>0</v>
      </c>
      <c r="R714" s="172"/>
      <c r="S714" s="172"/>
      <c r="T714" s="118">
        <f t="array" ref="T714">IFERROR(
INDEX(REPORTE_DROPI!B:B,
MATCH(
CLEAN(TRIM(C714)),
CLEAN(TRIM(REPORTE_DROPI!E:E)),
0
)
),
""
)
</f>
        <v>4654106</v>
      </c>
      <c r="U714" s="169" t="s">
        <v>7974</v>
      </c>
      <c r="V714" s="166"/>
      <c r="W714" s="18"/>
      <c r="X714" s="18"/>
      <c r="Y714" s="18"/>
      <c r="Z714" s="18"/>
    </row>
    <row r="715" ht="22.5" hidden="1" customHeight="1">
      <c r="A715" s="169">
        <v>714.0</v>
      </c>
      <c r="B715" s="170">
        <v>46081.0</v>
      </c>
      <c r="C715" s="154" t="s">
        <v>7975</v>
      </c>
      <c r="D715" s="118" t="str">
        <f>IFERROR(__xludf.DUMMYFUNCTION("IFERROR( INDEX( FILTER( 'NOMBRE DE PRODUCTOS'!B:B, REGEXMATCH( UPPER( INDEX( REPORTE_DROPI!AC:AC, MATCH(T715, REPORTE_DROPI!B:B, 0) ) ), UPPER('NOMBRE DE PRODUCTOS'!A:A) ) ), 1 ), ""REVISAR"" )"),"Cuchillo Tazaki™")</f>
        <v>Cuchillo Tazaki™</v>
      </c>
      <c r="E715" s="120">
        <f t="array" ref="E715">IF(
UPPER(TRIM(CLEAN($O715)))="ENTREGADO",
IFERROR(
INDEX(REPORTE_DROPI!Y:Y,
MATCH($T715, REPORTE_DROPI!B:B, 0)
),
""
),
""
)
</f>
        <v>7.5</v>
      </c>
      <c r="F715" s="171">
        <v>2.0</v>
      </c>
      <c r="G715" s="122">
        <f t="array" ref="G715">IF(
UPPER(TRIM(CLEAN($O715)))="ENTREGADO",
IFERROR(
INDEX(REPORTE_DROPI!R:R,
MATCH($T715, REPORTE_DROPI!B:B, 0)
),
""
),
""
)
</f>
        <v>22</v>
      </c>
      <c r="H715" s="118" t="s">
        <v>3727</v>
      </c>
      <c r="I715" s="154" t="s">
        <v>3740</v>
      </c>
      <c r="J715" s="121">
        <f t="array" ref="J715">IF(
UPPER(TRIM(CLEAN($O715)))="ENTREGADO",
IFERROR(
INDEX(REPORTE_DROPI!T:T,
MATCH($T715, REPORTE_DROPI!B:B, 0)
),
""
),
""
)
</f>
        <v>5.84</v>
      </c>
      <c r="K715" s="118">
        <f t="array" ref="K715">IFERROR(
INDEX(REPORTE_DROPI!S:S,
MATCH($T715, REPORTE_DROPI!B:B, 0)
),
""
)</f>
        <v>8.66</v>
      </c>
      <c r="L715" s="118" t="str">
        <f>IF(
  O715&lt;&gt;"DEVOLUCION",
  "",
  IF(
    T715="",
    "",
    SUMIF(DEVOLUCION!F:F, T715, DEVOLUCION!D:D)
  )
)
</f>
        <v/>
      </c>
      <c r="M715" s="118" t="s">
        <v>5877</v>
      </c>
      <c r="N715" s="169" t="s">
        <v>7976</v>
      </c>
      <c r="O715" s="118" t="str">
        <f t="array" ref="O715">IFERROR(
VLOOKUP(
TRIM(CLEAN(
INDEX(REPORTE_DROPI!K:K,
MATCH(T715, REPORTE_DROPI!B:B, 0)
))),
{
TRIM(CLEAN(MAPA_ESTADOS!A:A)) ,
MAPA_ESTADOS!B:B
},
2,
FALSE
),
"REVISAR"
)</f>
        <v>ENTREGADO</v>
      </c>
      <c r="P715" s="154" t="s">
        <v>5692</v>
      </c>
      <c r="Q715" s="153">
        <f t="shared" si="1"/>
        <v>0</v>
      </c>
      <c r="R715" s="172"/>
      <c r="S715" s="172"/>
      <c r="T715" s="118">
        <f t="array" ref="T715">IFERROR(
INDEX(REPORTE_DROPI!B:B,
MATCH(
CLEAN(TRIM(C715)),
CLEAN(TRIM(REPORTE_DROPI!E:E)),
0
)
),
""
)
</f>
        <v>4654230</v>
      </c>
      <c r="U715" s="169" t="s">
        <v>7977</v>
      </c>
      <c r="V715" s="166"/>
      <c r="W715" s="18"/>
      <c r="X715" s="18"/>
      <c r="Y715" s="18"/>
      <c r="Z715" s="18"/>
    </row>
    <row r="716" ht="22.5" hidden="1" customHeight="1">
      <c r="A716" s="169">
        <v>715.0</v>
      </c>
      <c r="B716" s="170">
        <v>46081.0</v>
      </c>
      <c r="C716" s="154" t="s">
        <v>7978</v>
      </c>
      <c r="D716" s="118" t="str">
        <f>IFERROR(__xludf.DUMMYFUNCTION("IFERROR( INDEX( FILTER( 'NOMBRE DE PRODUCTOS'!B:B, REGEXMATCH( UPPER( INDEX( REPORTE_DROPI!AC:AC, MATCH(T716, REPORTE_DROPI!B:B, 0) ) ), UPPER('NOMBRE DE PRODUCTOS'!A:A) ) ), 1 ), ""REVISAR"" )"),"Cuchillo Tazaki™")</f>
        <v>Cuchillo Tazaki™</v>
      </c>
      <c r="E716" s="120">
        <f t="array" ref="E716">IF(
UPPER(TRIM(CLEAN($O716)))="ENTREGADO",
IFERROR(
INDEX(REPORTE_DROPI!Y:Y,
MATCH($T716, REPORTE_DROPI!B:B, 0)
),
""
),
""
)
</f>
        <v>15</v>
      </c>
      <c r="F716" s="171">
        <v>4.0</v>
      </c>
      <c r="G716" s="122">
        <f t="array" ref="G716">IF(
UPPER(TRIM(CLEAN($O716)))="ENTREGADO",
IFERROR(
INDEX(REPORTE_DROPI!R:R,
MATCH($T716, REPORTE_DROPI!B:B, 0)
),
""
),
""
)
</f>
        <v>32</v>
      </c>
      <c r="H716" s="118" t="s">
        <v>3727</v>
      </c>
      <c r="I716" s="154" t="s">
        <v>3778</v>
      </c>
      <c r="J716" s="121">
        <f t="array" ref="J716">IF(
UPPER(TRIM(CLEAN($O716)))="ENTREGADO",
IFERROR(
INDEX(REPORTE_DROPI!T:T,
MATCH($T716, REPORTE_DROPI!B:B, 0)
),
""
),
""
)
</f>
        <v>6.24</v>
      </c>
      <c r="K716" s="118">
        <f t="array" ref="K716">IFERROR(
INDEX(REPORTE_DROPI!S:S,
MATCH($T716, REPORTE_DROPI!B:B, 0)
),
""
)</f>
        <v>10.76</v>
      </c>
      <c r="L716" s="118" t="str">
        <f>IF(
  O716&lt;&gt;"DEVOLUCION",
  "",
  IF(
    T716="",
    "",
    SUMIF(DEVOLUCION!F:F, T716, DEVOLUCION!D:D)
  )
)
</f>
        <v/>
      </c>
      <c r="M716" s="118" t="s">
        <v>5877</v>
      </c>
      <c r="N716" s="169" t="s">
        <v>7979</v>
      </c>
      <c r="O716" s="118" t="str">
        <f t="array" ref="O716">IFERROR(
VLOOKUP(
TRIM(CLEAN(
INDEX(REPORTE_DROPI!K:K,
MATCH(T716, REPORTE_DROPI!B:B, 0)
))),
{
TRIM(CLEAN(MAPA_ESTADOS!A:A)) ,
MAPA_ESTADOS!B:B
},
2,
FALSE
),
"REVISAR"
)</f>
        <v>ENTREGADO</v>
      </c>
      <c r="P716" s="154" t="s">
        <v>5692</v>
      </c>
      <c r="Q716" s="153">
        <f t="shared" si="1"/>
        <v>0</v>
      </c>
      <c r="R716" s="172"/>
      <c r="S716" s="172"/>
      <c r="T716" s="118">
        <f t="array" ref="T716">IFERROR(
INDEX(REPORTE_DROPI!B:B,
MATCH(
CLEAN(TRIM(C716)),
CLEAN(TRIM(REPORTE_DROPI!E:E)),
0
)
),
""
)
</f>
        <v>4654671</v>
      </c>
      <c r="U716" s="169" t="s">
        <v>7980</v>
      </c>
      <c r="V716" s="166"/>
      <c r="W716" s="18"/>
      <c r="X716" s="18"/>
      <c r="Y716" s="18"/>
      <c r="Z716" s="18"/>
    </row>
    <row r="717" ht="22.5" hidden="1" customHeight="1">
      <c r="A717" s="169">
        <v>716.0</v>
      </c>
      <c r="B717" s="170">
        <v>46081.0</v>
      </c>
      <c r="C717" s="133" t="s">
        <v>7981</v>
      </c>
      <c r="D717" s="118" t="str">
        <f>IFERROR(__xludf.DUMMYFUNCTION("IFERROR( INDEX( FILTER( 'NOMBRE DE PRODUCTOS'!B:B, REGEXMATCH( UPPER( INDEX( REPORTE_DROPI!AC:AC, MATCH(T717, REPORTE_DROPI!B:B, 0) ) ), UPPER('NOMBRE DE PRODUCTOS'!A:A) ) ), 1 ), ""REVISAR"" )"),"FilmPro®")</f>
        <v>FilmPro®</v>
      </c>
      <c r="E717" s="120" t="str">
        <f t="array" ref="E717">IF(
UPPER(TRIM(CLEAN($O717)))="ENTREGADO",
IFERROR(
INDEX(REPORTE_DROPI!Y:Y,
MATCH($T717, REPORTE_DROPI!B:B, 0)
),
""
),
""
)
</f>
        <v/>
      </c>
      <c r="F717" s="171">
        <v>1.0</v>
      </c>
      <c r="G717" s="122" t="str">
        <f t="array" ref="G717">IF(
UPPER(TRIM(CLEAN($O717)))="ENTREGADO",
IFERROR(
INDEX(REPORTE_DROPI!R:R,
MATCH($T717, REPORTE_DROPI!B:B, 0)
),
""
),
""
)
</f>
        <v/>
      </c>
      <c r="H717" s="118" t="s">
        <v>3727</v>
      </c>
      <c r="I717" s="154" t="s">
        <v>3864</v>
      </c>
      <c r="J717" s="121" t="str">
        <f t="array" ref="J717">IF(
UPPER(TRIM(CLEAN($O717)))="ENTREGADO",
IFERROR(
INDEX(REPORTE_DROPI!T:T,
MATCH($T717, REPORTE_DROPI!B:B, 0)
),
""
),
""
)
</f>
        <v/>
      </c>
      <c r="K717" s="118" t="str">
        <f t="array" ref="K717">IFERROR(
INDEX(REPORTE_DROPI!S:S,
MATCH($T717, REPORTE_DROPI!B:B, 0)
),
""
)</f>
        <v/>
      </c>
      <c r="L717" s="118" t="str">
        <f>IF(
  O717&lt;&gt;"DEVOLUCION",
  "",
  IF(
    T717="",
    "",
    SUMIF(DEVOLUCION!F:F, T717, DEVOLUCION!D:D)
  )
)
</f>
        <v/>
      </c>
      <c r="M717" s="118" t="s">
        <v>5877</v>
      </c>
      <c r="N717" s="169" t="s">
        <v>7982</v>
      </c>
      <c r="O717" s="118" t="str">
        <f t="array" ref="O717">IFERROR(
VLOOKUP(
TRIM(CLEAN(
INDEX(REPORTE_DROPI!K:K,
MATCH(T717, REPORTE_DROPI!B:B, 0)
))),
{
TRIM(CLEAN(MAPA_ESTADOS!A:A)) ,
MAPA_ESTADOS!B:B
},
2,
FALSE
),
"REVISAR"
)</f>
        <v>PENDIENTE</v>
      </c>
      <c r="P717" s="154" t="s">
        <v>7983</v>
      </c>
      <c r="Q717" s="153">
        <f t="shared" si="1"/>
        <v>0</v>
      </c>
      <c r="R717" s="172"/>
      <c r="S717" s="172"/>
      <c r="T717" s="118">
        <f t="array" ref="T717">IFERROR(
INDEX(REPORTE_DROPI!B:B,
MATCH(
CLEAN(TRIM(C717)),
CLEAN(TRIM(REPORTE_DROPI!E:E)),
0
)
),
""
)
</f>
        <v>4654767</v>
      </c>
      <c r="U717" s="169" t="s">
        <v>7984</v>
      </c>
      <c r="V717" s="166"/>
      <c r="W717" s="18"/>
      <c r="X717" s="18"/>
      <c r="Y717" s="18"/>
      <c r="Z717" s="18"/>
    </row>
    <row r="718" ht="22.5" hidden="1" customHeight="1">
      <c r="A718" s="169">
        <v>717.0</v>
      </c>
      <c r="B718" s="170">
        <v>46081.0</v>
      </c>
      <c r="C718" s="154" t="s">
        <v>7985</v>
      </c>
      <c r="D718" s="118" t="str">
        <f>IFERROR(__xludf.DUMMYFUNCTION("IFERROR( INDEX( FILTER( 'NOMBRE DE PRODUCTOS'!B:B, REGEXMATCH( UPPER( INDEX( REPORTE_DROPI!AC:AC, MATCH(T718, REPORTE_DROPI!B:B, 0) ) ), UPPER('NOMBRE DE PRODUCTOS'!A:A) ) ), 1 ), ""REVISAR"" )"),"FilmPro®")</f>
        <v>FilmPro®</v>
      </c>
      <c r="E718" s="120">
        <f t="array" ref="E718">IF(
UPPER(TRIM(CLEAN($O718)))="ENTREGADO",
IFERROR(
INDEX(REPORTE_DROPI!Y:Y,
MATCH($T718, REPORTE_DROPI!B:B, 0)
),
""
),
""
)
</f>
        <v>2.35</v>
      </c>
      <c r="F718" s="171">
        <v>1.0</v>
      </c>
      <c r="G718" s="122">
        <f t="array" ref="G718">IF(
UPPER(TRIM(CLEAN($O718)))="ENTREGADO",
IFERROR(
INDEX(REPORTE_DROPI!R:R,
MATCH($T718, REPORTE_DROPI!B:B, 0)
),
""
),
""
)
</f>
        <v>20</v>
      </c>
      <c r="H718" s="118" t="s">
        <v>3727</v>
      </c>
      <c r="I718" s="154" t="s">
        <v>3731</v>
      </c>
      <c r="J718" s="121">
        <f t="array" ref="J718">IF(
UPPER(TRIM(CLEAN($O718)))="ENTREGADO",
IFERROR(
INDEX(REPORTE_DROPI!T:T,
MATCH($T718, REPORTE_DROPI!B:B, 0)
),
""
),
""
)
</f>
        <v>4.72</v>
      </c>
      <c r="K718" s="118">
        <f t="array" ref="K718">IFERROR(
INDEX(REPORTE_DROPI!S:S,
MATCH($T718, REPORTE_DROPI!B:B, 0)
),
""
)</f>
        <v>12.93</v>
      </c>
      <c r="L718" s="118" t="str">
        <f>IF(
  O718&lt;&gt;"DEVOLUCION",
  "",
  IF(
    T718="",
    "",
    SUMIF(DEVOLUCION!F:F, T718, DEVOLUCION!D:D)
  )
)
</f>
        <v/>
      </c>
      <c r="M718" s="118" t="s">
        <v>5877</v>
      </c>
      <c r="N718" s="169" t="s">
        <v>7986</v>
      </c>
      <c r="O718" s="118" t="str">
        <f t="array" ref="O718">IFERROR(
VLOOKUP(
TRIM(CLEAN(
INDEX(REPORTE_DROPI!K:K,
MATCH(T718, REPORTE_DROPI!B:B, 0)
))),
{
TRIM(CLEAN(MAPA_ESTADOS!A:A)) ,
MAPA_ESTADOS!B:B
},
2,
FALSE
),
"REVISAR"
)</f>
        <v>ENTREGADO</v>
      </c>
      <c r="P718" s="154" t="s">
        <v>5692</v>
      </c>
      <c r="Q718" s="153">
        <f t="shared" si="1"/>
        <v>0</v>
      </c>
      <c r="R718" s="172"/>
      <c r="S718" s="172"/>
      <c r="T718" s="118">
        <f t="array" ref="T718">IFERROR(
INDEX(REPORTE_DROPI!B:B,
MATCH(
CLEAN(TRIM(C718)),
CLEAN(TRIM(REPORTE_DROPI!E:E)),
0
)
),
""
)
</f>
        <v>4655101</v>
      </c>
      <c r="U718" s="169" t="s">
        <v>7987</v>
      </c>
      <c r="V718" s="166"/>
      <c r="W718" s="18"/>
      <c r="X718" s="18"/>
      <c r="Y718" s="18"/>
      <c r="Z718" s="18"/>
    </row>
    <row r="719" ht="22.5" hidden="1" customHeight="1">
      <c r="A719" s="169">
        <v>718.0</v>
      </c>
      <c r="B719" s="170">
        <v>46081.0</v>
      </c>
      <c r="C719" s="154" t="s">
        <v>7988</v>
      </c>
      <c r="D719" s="118" t="str">
        <f>IFERROR(__xludf.DUMMYFUNCTION("IFERROR( INDEX( FILTER( 'NOMBRE DE PRODUCTOS'!B:B, REGEXMATCH( UPPER( INDEX( REPORTE_DROPI!AC:AC, MATCH(T719, REPORTE_DROPI!B:B, 0) ) ), UPPER('NOMBRE DE PRODUCTOS'!A:A) ) ), 1 ), ""REVISAR"" )"),"REVISAR")</f>
        <v>REVISAR</v>
      </c>
      <c r="E719" s="120" t="str">
        <f t="array" ref="E719">IF(
UPPER(TRIM(CLEAN($O719)))="ENTREGADO",
IFERROR(
INDEX(REPORTE_DROPI!Y:Y,
MATCH($T719, REPORTE_DROPI!B:B, 0)
),
""
),
""
)
</f>
        <v/>
      </c>
      <c r="F719" s="171">
        <v>3.0</v>
      </c>
      <c r="G719" s="122" t="str">
        <f t="array" ref="G719">IF(
UPPER(TRIM(CLEAN($O719)))="ENTREGADO",
IFERROR(
INDEX(REPORTE_DROPI!R:R,
MATCH($T719, REPORTE_DROPI!B:B, 0)
),
""
),
""
)
</f>
        <v/>
      </c>
      <c r="H719" s="118" t="s">
        <v>3727</v>
      </c>
      <c r="I719" s="154" t="s">
        <v>3809</v>
      </c>
      <c r="J719" s="121" t="str">
        <f t="array" ref="J719">IF(
UPPER(TRIM(CLEAN($O719)))="ENTREGADO",
IFERROR(
INDEX(REPORTE_DROPI!T:T,
MATCH($T719, REPORTE_DROPI!B:B, 0)
),
""
),
""
)
</f>
        <v/>
      </c>
      <c r="K719" s="118" t="str">
        <f t="array" ref="K719">IFERROR(
INDEX(REPORTE_DROPI!S:S,
MATCH($T719, REPORTE_DROPI!B:B, 0)
),
""
)</f>
        <v/>
      </c>
      <c r="L719" s="118" t="str">
        <f>IF(
  O719&lt;&gt;"DEVOLUCION",
  "",
  IF(
    T719="",
    "",
    SUMIF(DEVOLUCION!F:F, T719, DEVOLUCION!D:D)
  )
)
</f>
        <v/>
      </c>
      <c r="M719" s="118" t="s">
        <v>5877</v>
      </c>
      <c r="N719" s="169" t="s">
        <v>7989</v>
      </c>
      <c r="O719" s="118" t="str">
        <f t="array" ref="O719">IFERROR(
VLOOKUP(
TRIM(CLEAN(
INDEX(REPORTE_DROPI!K:K,
MATCH(T719, REPORTE_DROPI!B:B, 0)
))),
{
TRIM(CLEAN(MAPA_ESTADOS!A:A)) ,
MAPA_ESTADOS!B:B
},
2,
FALSE
),
"REVISAR"
)</f>
        <v>REVISAR</v>
      </c>
      <c r="P719" s="154" t="s">
        <v>7930</v>
      </c>
      <c r="Q719" s="153">
        <f t="shared" si="1"/>
        <v>0</v>
      </c>
      <c r="R719" s="172"/>
      <c r="S719" s="172"/>
      <c r="T719" s="118" t="str">
        <f t="array" ref="T719">IFERROR(
INDEX(REPORTE_DROPI!B:B,
MATCH(
CLEAN(TRIM(C719)),
CLEAN(TRIM(REPORTE_DROPI!E:E)),
0
)
),
""
)
</f>
        <v/>
      </c>
      <c r="U719" s="169"/>
      <c r="V719" s="166"/>
      <c r="W719" s="18"/>
      <c r="X719" s="18"/>
      <c r="Y719" s="18"/>
      <c r="Z719" s="18"/>
    </row>
    <row r="720" ht="22.5" hidden="1" customHeight="1">
      <c r="A720" s="169">
        <v>719.0</v>
      </c>
      <c r="B720" s="170">
        <v>46081.0</v>
      </c>
      <c r="C720" s="154" t="s">
        <v>7990</v>
      </c>
      <c r="D720" s="118" t="str">
        <f>IFERROR(__xludf.DUMMYFUNCTION("IFERROR( INDEX( FILTER( 'NOMBRE DE PRODUCTOS'!B:B, REGEXMATCH( UPPER( INDEX( REPORTE_DROPI!AC:AC, MATCH(T720, REPORTE_DROPI!B:B, 0) ) ), UPPER('NOMBRE DE PRODUCTOS'!A:A) ) ), 1 ), ""REVISAR"" )"),"FilmPro®")</f>
        <v>FilmPro®</v>
      </c>
      <c r="E720" s="120">
        <f t="array" ref="E720">IF(
UPPER(TRIM(CLEAN($O720)))="ENTREGADO",
IFERROR(
INDEX(REPORTE_DROPI!Y:Y,
MATCH($T720, REPORTE_DROPI!B:B, 0)
),
""
),
""
)
</f>
        <v>7.05</v>
      </c>
      <c r="F720" s="171">
        <v>3.0</v>
      </c>
      <c r="G720" s="122">
        <f t="array" ref="G720">IF(
UPPER(TRIM(CLEAN($O720)))="ENTREGADO",
IFERROR(
INDEX(REPORTE_DROPI!R:R,
MATCH($T720, REPORTE_DROPI!B:B, 0)
),
""
),
""
)
</f>
        <v>30</v>
      </c>
      <c r="H720" s="118" t="s">
        <v>3727</v>
      </c>
      <c r="I720" s="154" t="s">
        <v>3740</v>
      </c>
      <c r="J720" s="121">
        <f t="array" ref="J720">IF(
UPPER(TRIM(CLEAN($O720)))="ENTREGADO",
IFERROR(
INDEX(REPORTE_DROPI!T:T,
MATCH($T720, REPORTE_DROPI!B:B, 0)
),
""
),
""
)
</f>
        <v>6.16</v>
      </c>
      <c r="K720" s="118">
        <f t="array" ref="K720">IFERROR(
INDEX(REPORTE_DROPI!S:S,
MATCH($T720, REPORTE_DROPI!B:B, 0)
),
""
)</f>
        <v>16.79</v>
      </c>
      <c r="L720" s="118" t="str">
        <f>IF(
  O720&lt;&gt;"DEVOLUCION",
  "",
  IF(
    T720="",
    "",
    SUMIF(DEVOLUCION!F:F, T720, DEVOLUCION!D:D)
  )
)
</f>
        <v/>
      </c>
      <c r="M720" s="118" t="s">
        <v>5877</v>
      </c>
      <c r="N720" s="169" t="s">
        <v>7991</v>
      </c>
      <c r="O720" s="118" t="str">
        <f t="array" ref="O720">IFERROR(
VLOOKUP(
TRIM(CLEAN(
INDEX(REPORTE_DROPI!K:K,
MATCH(T720, REPORTE_DROPI!B:B, 0)
))),
{
TRIM(CLEAN(MAPA_ESTADOS!A:A)) ,
MAPA_ESTADOS!B:B
},
2,
FALSE
),
"REVISAR"
)</f>
        <v>ENTREGADO</v>
      </c>
      <c r="P720" s="154" t="s">
        <v>5692</v>
      </c>
      <c r="Q720" s="153">
        <f t="shared" si="1"/>
        <v>0</v>
      </c>
      <c r="R720" s="172"/>
      <c r="S720" s="172"/>
      <c r="T720" s="118">
        <f t="array" ref="T720">IFERROR(
INDEX(REPORTE_DROPI!B:B,
MATCH(
CLEAN(TRIM(C720)),
CLEAN(TRIM(REPORTE_DROPI!E:E)),
0
)
),
""
)
</f>
        <v>4655613</v>
      </c>
      <c r="U720" s="169" t="s">
        <v>7992</v>
      </c>
      <c r="V720" s="166"/>
      <c r="W720" s="18"/>
      <c r="X720" s="18"/>
      <c r="Y720" s="18"/>
      <c r="Z720" s="18"/>
    </row>
    <row r="721" ht="22.5" hidden="1" customHeight="1">
      <c r="A721" s="169">
        <v>720.0</v>
      </c>
      <c r="B721" s="170">
        <v>46081.0</v>
      </c>
      <c r="C721" s="154" t="s">
        <v>7993</v>
      </c>
      <c r="D721" s="118" t="str">
        <f>IFERROR(__xludf.DUMMYFUNCTION("IFERROR( INDEX( FILTER( 'NOMBRE DE PRODUCTOS'!B:B, REGEXMATCH( UPPER( INDEX( REPORTE_DROPI!AC:AC, MATCH(T721, REPORTE_DROPI!B:B, 0) ) ), UPPER('NOMBRE DE PRODUCTOS'!A:A) ) ), 1 ), ""REVISAR"" )"),"FilmPro®")</f>
        <v>FilmPro®</v>
      </c>
      <c r="E721" s="120" t="str">
        <f t="array" ref="E721">IF(
UPPER(TRIM(CLEAN($O721)))="ENTREGADO",
IFERROR(
INDEX(REPORTE_DROPI!Y:Y,
MATCH($T721, REPORTE_DROPI!B:B, 0)
),
""
),
""
)
</f>
        <v/>
      </c>
      <c r="F721" s="171">
        <v>2.0</v>
      </c>
      <c r="G721" s="122" t="str">
        <f t="array" ref="G721">IF(
UPPER(TRIM(CLEAN($O721)))="ENTREGADO",
IFERROR(
INDEX(REPORTE_DROPI!R:R,
MATCH($T721, REPORTE_DROPI!B:B, 0)
),
""
),
""
)
</f>
        <v/>
      </c>
      <c r="H721" s="118" t="s">
        <v>3727</v>
      </c>
      <c r="I721" s="154" t="s">
        <v>3759</v>
      </c>
      <c r="J721" s="121" t="str">
        <f t="array" ref="J721">IF(
UPPER(TRIM(CLEAN($O721)))="ENTREGADO",
IFERROR(
INDEX(REPORTE_DROPI!T:T,
MATCH($T721, REPORTE_DROPI!B:B, 0)
),
""
),
""
)
</f>
        <v/>
      </c>
      <c r="K721" s="118" t="str">
        <f t="array" ref="K721">IFERROR(
INDEX(REPORTE_DROPI!S:S,
MATCH($T721, REPORTE_DROPI!B:B, 0)
),
""
)</f>
        <v/>
      </c>
      <c r="L721" s="118" t="str">
        <f>IF(
  O721&lt;&gt;"DEVOLUCION",
  "",
  IF(
    T721="",
    "",
    SUMIF(DEVOLUCION!F:F, T721, DEVOLUCION!D:D)
  )
)
</f>
        <v/>
      </c>
      <c r="M721" s="118" t="s">
        <v>5877</v>
      </c>
      <c r="N721" s="169" t="s">
        <v>7994</v>
      </c>
      <c r="O721" s="118" t="str">
        <f t="array" ref="O721">IFERROR(
VLOOKUP(
TRIM(CLEAN(
INDEX(REPORTE_DROPI!K:K,
MATCH(T721, REPORTE_DROPI!B:B, 0)
))),
{
TRIM(CLEAN(MAPA_ESTADOS!A:A)) ,
MAPA_ESTADOS!B:B
},
2,
FALSE
),
"REVISAR"
)</f>
        <v>PENDIENTE</v>
      </c>
      <c r="P721" s="154" t="s">
        <v>7930</v>
      </c>
      <c r="Q721" s="153">
        <f t="shared" si="1"/>
        <v>0</v>
      </c>
      <c r="R721" s="172"/>
      <c r="S721" s="172"/>
      <c r="T721" s="118">
        <f t="array" ref="T721">IFERROR(
INDEX(REPORTE_DROPI!B:B,
MATCH(
CLEAN(TRIM(C721)),
CLEAN(TRIM(REPORTE_DROPI!E:E)),
0
)
),
""
)
</f>
        <v>4655832</v>
      </c>
      <c r="U721" s="169" t="s">
        <v>7995</v>
      </c>
      <c r="V721" s="166"/>
      <c r="W721" s="18"/>
      <c r="X721" s="18"/>
      <c r="Y721" s="18"/>
      <c r="Z721" s="18"/>
    </row>
    <row r="722" ht="22.5" hidden="1" customHeight="1">
      <c r="A722" s="169">
        <v>721.0</v>
      </c>
      <c r="B722" s="170">
        <v>46081.0</v>
      </c>
      <c r="C722" s="154" t="s">
        <v>7996</v>
      </c>
      <c r="D722" s="118" t="str">
        <f>IFERROR(__xludf.DUMMYFUNCTION("IFERROR( INDEX( FILTER( 'NOMBRE DE PRODUCTOS'!B:B, REGEXMATCH( UPPER( INDEX( REPORTE_DROPI!AC:AC, MATCH(T722, REPORTE_DROPI!B:B, 0) ) ), UPPER('NOMBRE DE PRODUCTOS'!A:A) ) ), 1 ), ""REVISAR"" )"),"FilmPro®")</f>
        <v>FilmPro®</v>
      </c>
      <c r="E722" s="120">
        <f t="array" ref="E722">IF(
UPPER(TRIM(CLEAN($O722)))="ENTREGADO",
IFERROR(
INDEX(REPORTE_DROPI!Y:Y,
MATCH($T722, REPORTE_DROPI!B:B, 0)
),
""
),
""
)
</f>
        <v>7.05</v>
      </c>
      <c r="F722" s="171">
        <v>3.0</v>
      </c>
      <c r="G722" s="122">
        <f t="array" ref="G722">IF(
UPPER(TRIM(CLEAN($O722)))="ENTREGADO",
IFERROR(
INDEX(REPORTE_DROPI!R:R,
MATCH($T722, REPORTE_DROPI!B:B, 0)
),
""
),
""
)
</f>
        <v>30</v>
      </c>
      <c r="H722" s="118" t="s">
        <v>3727</v>
      </c>
      <c r="I722" s="154" t="s">
        <v>3731</v>
      </c>
      <c r="J722" s="121">
        <f t="array" ref="J722">IF(
UPPER(TRIM(CLEAN($O722)))="ENTREGADO",
IFERROR(
INDEX(REPORTE_DROPI!T:T,
MATCH($T722, REPORTE_DROPI!B:B, 0)
),
""
),
""
)
</f>
        <v>5.12</v>
      </c>
      <c r="K722" s="118">
        <f t="array" ref="K722">IFERROR(
INDEX(REPORTE_DROPI!S:S,
MATCH($T722, REPORTE_DROPI!B:B, 0)
),
""
)</f>
        <v>17.83</v>
      </c>
      <c r="L722" s="118" t="str">
        <f>IF(
  O722&lt;&gt;"DEVOLUCION",
  "",
  IF(
    T722="",
    "",
    SUMIF(DEVOLUCION!F:F, T722, DEVOLUCION!D:D)
  )
)
</f>
        <v/>
      </c>
      <c r="M722" s="118" t="s">
        <v>5877</v>
      </c>
      <c r="N722" s="169" t="s">
        <v>7997</v>
      </c>
      <c r="O722" s="118" t="str">
        <f t="array" ref="O722">IFERROR(
VLOOKUP(
TRIM(CLEAN(
INDEX(REPORTE_DROPI!K:K,
MATCH(T722, REPORTE_DROPI!B:B, 0)
))),
{
TRIM(CLEAN(MAPA_ESTADOS!A:A)) ,
MAPA_ESTADOS!B:B
},
2,
FALSE
),
"REVISAR"
)</f>
        <v>ENTREGADO</v>
      </c>
      <c r="P722" s="154" t="s">
        <v>5692</v>
      </c>
      <c r="Q722" s="153">
        <f t="shared" si="1"/>
        <v>0</v>
      </c>
      <c r="R722" s="172"/>
      <c r="S722" s="172"/>
      <c r="T722" s="118">
        <f t="array" ref="T722">IFERROR(
INDEX(REPORTE_DROPI!B:B,
MATCH(
CLEAN(TRIM(C722)),
CLEAN(TRIM(REPORTE_DROPI!E:E)),
0
)
),
""
)
</f>
        <v>4655989</v>
      </c>
      <c r="U722" s="169" t="s">
        <v>7998</v>
      </c>
      <c r="V722" s="166"/>
      <c r="W722" s="18"/>
      <c r="X722" s="18"/>
      <c r="Y722" s="18"/>
      <c r="Z722" s="18"/>
    </row>
    <row r="723" ht="22.5" customHeight="1">
      <c r="A723" s="169">
        <v>722.0</v>
      </c>
      <c r="B723" s="170">
        <v>46081.0</v>
      </c>
      <c r="C723" s="154" t="s">
        <v>7999</v>
      </c>
      <c r="D723" s="118" t="str">
        <f>IFERROR(__xludf.DUMMYFUNCTION("IFERROR( INDEX( FILTER( 'NOMBRE DE PRODUCTOS'!B:B, REGEXMATCH( UPPER( INDEX( REPORTE_DROPI!AC:AC, MATCH(T723, REPORTE_DROPI!B:B, 0) ) ), UPPER('NOMBRE DE PRODUCTOS'!A:A) ) ), 1 ), ""REVISAR"" )"),"FreeBeat Adapter")</f>
        <v>FreeBeat Adapter</v>
      </c>
      <c r="E723" s="120">
        <f t="array" ref="E723">IF(
UPPER(TRIM(CLEAN($O723)))="ENTREGADO",
IFERROR(
INDEX(REPORTE_DROPI!Y:Y,
MATCH($T723, REPORTE_DROPI!B:B, 0)
),
""
),
""
)
</f>
        <v>10</v>
      </c>
      <c r="F723" s="171">
        <v>2.0</v>
      </c>
      <c r="G723" s="122">
        <f t="array" ref="G723">IF(
UPPER(TRIM(CLEAN($O723)))="ENTREGADO",
IFERROR(
INDEX(REPORTE_DROPI!R:R,
MATCH($T723, REPORTE_DROPI!B:B, 0)
),
""
),
""
)
</f>
        <v>24.2</v>
      </c>
      <c r="H723" s="118" t="s">
        <v>3727</v>
      </c>
      <c r="I723" s="154" t="s">
        <v>3855</v>
      </c>
      <c r="J723" s="121">
        <f t="array" ref="J723">IF(
UPPER(TRIM(CLEAN($O723)))="ENTREGADO",
IFERROR(
INDEX(REPORTE_DROPI!T:T,
MATCH($T723, REPORTE_DROPI!B:B, 0)
),
""
),
""
)
</f>
        <v>5.92</v>
      </c>
      <c r="K723" s="118">
        <f t="array" ref="K723">IFERROR(
INDEX(REPORTE_DROPI!S:S,
MATCH($T723, REPORTE_DROPI!B:B, 0)
),
""
)</f>
        <v>8.28</v>
      </c>
      <c r="L723" s="118" t="str">
        <f>IF(
  O723&lt;&gt;"DEVOLUCION",
  "",
  IF(
    T723="",
    "",
    SUMIF(DEVOLUCION!F:F, T723, DEVOLUCION!D:D)
  )
)
</f>
        <v/>
      </c>
      <c r="M723" s="118" t="s">
        <v>5877</v>
      </c>
      <c r="N723" s="169" t="s">
        <v>8000</v>
      </c>
      <c r="O723" s="118" t="str">
        <f t="array" ref="O723">IFERROR(
VLOOKUP(
TRIM(CLEAN(
INDEX(REPORTE_DROPI!K:K,
MATCH(T723, REPORTE_DROPI!B:B, 0)
))),
{
TRIM(CLEAN(MAPA_ESTADOS!A:A)) ,
MAPA_ESTADOS!B:B
},
2,
FALSE
),
"REVISAR"
)</f>
        <v>ENTREGADO</v>
      </c>
      <c r="P723" s="154" t="s">
        <v>5692</v>
      </c>
      <c r="Q723" s="153">
        <f t="shared" si="1"/>
        <v>0</v>
      </c>
      <c r="R723" s="172"/>
      <c r="S723" s="172"/>
      <c r="T723" s="118">
        <f t="array" ref="T723">IFERROR(
INDEX(REPORTE_DROPI!B:B,
MATCH(
CLEAN(TRIM(C723)),
CLEAN(TRIM(REPORTE_DROPI!E:E)),
0
)
),
""
)
</f>
        <v>4656084</v>
      </c>
      <c r="U723" s="169" t="s">
        <v>8001</v>
      </c>
      <c r="V723" s="166"/>
      <c r="W723" s="18"/>
      <c r="X723" s="18"/>
      <c r="Y723" s="18"/>
      <c r="Z723" s="18"/>
    </row>
    <row r="724" ht="22.5" hidden="1" customHeight="1">
      <c r="A724" s="169">
        <v>723.0</v>
      </c>
      <c r="B724" s="170">
        <v>46081.0</v>
      </c>
      <c r="C724" s="154" t="s">
        <v>8002</v>
      </c>
      <c r="D724" s="118" t="str">
        <f>IFERROR(__xludf.DUMMYFUNCTION("IFERROR( INDEX( FILTER( 'NOMBRE DE PRODUCTOS'!B:B, REGEXMATCH( UPPER( INDEX( REPORTE_DROPI!AC:AC, MATCH(T724, REPORTE_DROPI!B:B, 0) ) ), UPPER('NOMBRE DE PRODUCTOS'!A:A) ) ), 1 ), ""REVISAR"" )"),"Cuchillo Tazaki™")</f>
        <v>Cuchillo Tazaki™</v>
      </c>
      <c r="E724" s="120">
        <f t="array" ref="E724">IF(
UPPER(TRIM(CLEAN($O724)))="ENTREGADO",
IFERROR(
INDEX(REPORTE_DROPI!Y:Y,
MATCH($T724, REPORTE_DROPI!B:B, 0)
),
""
),
""
)
</f>
        <v>7.5</v>
      </c>
      <c r="F724" s="171">
        <v>2.0</v>
      </c>
      <c r="G724" s="122">
        <f t="array" ref="G724">IF(
UPPER(TRIM(CLEAN($O724)))="ENTREGADO",
IFERROR(
INDEX(REPORTE_DROPI!R:R,
MATCH($T724, REPORTE_DROPI!B:B, 0)
),
""
),
""
)
</f>
        <v>22</v>
      </c>
      <c r="H724" s="118" t="s">
        <v>3727</v>
      </c>
      <c r="I724" s="154" t="s">
        <v>3728</v>
      </c>
      <c r="J724" s="121">
        <f t="array" ref="J724">IF(
UPPER(TRIM(CLEAN($O724)))="ENTREGADO",
IFERROR(
INDEX(REPORTE_DROPI!T:T,
MATCH($T724, REPORTE_DROPI!B:B, 0)
),
""
),
""
)
</f>
        <v>5.84</v>
      </c>
      <c r="K724" s="118">
        <f t="array" ref="K724">IFERROR(
INDEX(REPORTE_DROPI!S:S,
MATCH($T724, REPORTE_DROPI!B:B, 0)
),
""
)</f>
        <v>8.66</v>
      </c>
      <c r="L724" s="118" t="str">
        <f>IF(
  O724&lt;&gt;"DEVOLUCION",
  "",
  IF(
    T724="",
    "",
    SUMIF(DEVOLUCION!F:F, T724, DEVOLUCION!D:D)
  )
)
</f>
        <v/>
      </c>
      <c r="M724" s="118" t="s">
        <v>5877</v>
      </c>
      <c r="N724" s="169" t="s">
        <v>8003</v>
      </c>
      <c r="O724" s="118" t="str">
        <f t="array" ref="O724">IFERROR(
VLOOKUP(
TRIM(CLEAN(
INDEX(REPORTE_DROPI!K:K,
MATCH(T724, REPORTE_DROPI!B:B, 0)
))),
{
TRIM(CLEAN(MAPA_ESTADOS!A:A)) ,
MAPA_ESTADOS!B:B
},
2,
FALSE
),
"REVISAR"
)</f>
        <v>ENTREGADO</v>
      </c>
      <c r="P724" s="154" t="s">
        <v>5692</v>
      </c>
      <c r="Q724" s="153">
        <f t="shared" si="1"/>
        <v>0</v>
      </c>
      <c r="R724" s="172"/>
      <c r="S724" s="172"/>
      <c r="T724" s="118">
        <f t="array" ref="T724">IFERROR(
INDEX(REPORTE_DROPI!B:B,
MATCH(
CLEAN(TRIM(C724)),
CLEAN(TRIM(REPORTE_DROPI!E:E)),
0
)
),
""
)
</f>
        <v>4656178</v>
      </c>
      <c r="U724" s="169" t="s">
        <v>8004</v>
      </c>
      <c r="V724" s="166"/>
      <c r="W724" s="18"/>
      <c r="X724" s="18"/>
      <c r="Y724" s="18"/>
      <c r="Z724" s="18"/>
    </row>
    <row r="725" ht="22.5" hidden="1" customHeight="1">
      <c r="A725" s="169">
        <v>724.0</v>
      </c>
      <c r="B725" s="170">
        <v>46081.0</v>
      </c>
      <c r="C725" s="154" t="s">
        <v>8005</v>
      </c>
      <c r="D725" s="118" t="str">
        <f>IFERROR(__xludf.DUMMYFUNCTION("IFERROR( INDEX( FILTER( 'NOMBRE DE PRODUCTOS'!B:B, REGEXMATCH( UPPER( INDEX( REPORTE_DROPI!AC:AC, MATCH(T725, REPORTE_DROPI!B:B, 0) ) ), UPPER('NOMBRE DE PRODUCTOS'!A:A) ) ), 1 ), ""REVISAR"" )"),"FilmPro®")</f>
        <v>FilmPro®</v>
      </c>
      <c r="E725" s="120">
        <f t="array" ref="E725">IF(
UPPER(TRIM(CLEAN($O725)))="ENTREGADO",
IFERROR(
INDEX(REPORTE_DROPI!Y:Y,
MATCH($T725, REPORTE_DROPI!B:B, 0)
),
""
),
""
)
</f>
        <v>2.35</v>
      </c>
      <c r="F725" s="171">
        <v>1.0</v>
      </c>
      <c r="G725" s="122">
        <f t="array" ref="G725">IF(
UPPER(TRIM(CLEAN($O725)))="ENTREGADO",
IFERROR(
INDEX(REPORTE_DROPI!R:R,
MATCH($T725, REPORTE_DROPI!B:B, 0)
),
""
),
""
)
</f>
        <v>20</v>
      </c>
      <c r="H725" s="118" t="s">
        <v>3727</v>
      </c>
      <c r="I725" s="154" t="s">
        <v>3912</v>
      </c>
      <c r="J725" s="121">
        <f t="array" ref="J725">IF(
UPPER(TRIM(CLEAN($O725)))="ENTREGADO",
IFERROR(
INDEX(REPORTE_DROPI!T:T,
MATCH($T725, REPORTE_DROPI!B:B, 0)
),
""
),
""
)
</f>
        <v>5.76</v>
      </c>
      <c r="K725" s="118">
        <f t="array" ref="K725">IFERROR(
INDEX(REPORTE_DROPI!S:S,
MATCH($T725, REPORTE_DROPI!B:B, 0)
),
""
)</f>
        <v>11.89</v>
      </c>
      <c r="L725" s="118" t="str">
        <f>IF(
  O725&lt;&gt;"DEVOLUCION",
  "",
  IF(
    T725="",
    "",
    SUMIF(DEVOLUCION!F:F, T725, DEVOLUCION!D:D)
  )
)
</f>
        <v/>
      </c>
      <c r="M725" s="118" t="s">
        <v>5877</v>
      </c>
      <c r="N725" s="169" t="s">
        <v>8006</v>
      </c>
      <c r="O725" s="118" t="str">
        <f t="array" ref="O725">IFERROR(
VLOOKUP(
TRIM(CLEAN(
INDEX(REPORTE_DROPI!K:K,
MATCH(T725, REPORTE_DROPI!B:B, 0)
))),
{
TRIM(CLEAN(MAPA_ESTADOS!A:A)) ,
MAPA_ESTADOS!B:B
},
2,
FALSE
),
"REVISAR"
)</f>
        <v>ENTREGADO</v>
      </c>
      <c r="P725" s="154" t="s">
        <v>5692</v>
      </c>
      <c r="Q725" s="153">
        <f t="shared" si="1"/>
        <v>0</v>
      </c>
      <c r="R725" s="172"/>
      <c r="S725" s="172"/>
      <c r="T725" s="118">
        <f t="array" ref="T725">IFERROR(
INDEX(REPORTE_DROPI!B:B,
MATCH(
CLEAN(TRIM(C725)),
CLEAN(TRIM(REPORTE_DROPI!E:E)),
0
)
),
""
)
</f>
        <v>4656391</v>
      </c>
      <c r="U725" s="169" t="s">
        <v>8007</v>
      </c>
      <c r="V725" s="166"/>
      <c r="W725" s="18"/>
      <c r="X725" s="18"/>
      <c r="Y725" s="18"/>
      <c r="Z725" s="18"/>
    </row>
    <row r="726" ht="22.5" hidden="1" customHeight="1">
      <c r="A726" s="169">
        <v>725.0</v>
      </c>
      <c r="B726" s="170">
        <v>46081.0</v>
      </c>
      <c r="C726" s="154" t="s">
        <v>8008</v>
      </c>
      <c r="D726" s="118" t="str">
        <f>IFERROR(__xludf.DUMMYFUNCTION("IFERROR( INDEX( FILTER( 'NOMBRE DE PRODUCTOS'!B:B, REGEXMATCH( UPPER( INDEX( REPORTE_DROPI!AC:AC, MATCH(T726, REPORTE_DROPI!B:B, 0) ) ), UPPER('NOMBRE DE PRODUCTOS'!A:A) ) ), 1 ), ""REVISAR"" )"),"FilmPro®")</f>
        <v>FilmPro®</v>
      </c>
      <c r="E726" s="120" t="str">
        <f t="array" ref="E726">IF(
UPPER(TRIM(CLEAN($O726)))="ENTREGADO",
IFERROR(
INDEX(REPORTE_DROPI!Y:Y,
MATCH($T726, REPORTE_DROPI!B:B, 0)
),
""
),
""
)
</f>
        <v/>
      </c>
      <c r="F726" s="171">
        <v>1.0</v>
      </c>
      <c r="G726" s="122" t="str">
        <f t="array" ref="G726">IF(
UPPER(TRIM(CLEAN($O726)))="ENTREGADO",
IFERROR(
INDEX(REPORTE_DROPI!R:R,
MATCH($T726, REPORTE_DROPI!B:B, 0)
),
""
),
""
)
</f>
        <v/>
      </c>
      <c r="H726" s="118" t="s">
        <v>3727</v>
      </c>
      <c r="I726" s="154" t="s">
        <v>3740</v>
      </c>
      <c r="J726" s="121" t="str">
        <f t="array" ref="J726">IF(
UPPER(TRIM(CLEAN($O726)))="ENTREGADO",
IFERROR(
INDEX(REPORTE_DROPI!T:T,
MATCH($T726, REPORTE_DROPI!B:B, 0)
),
""
),
""
)
</f>
        <v/>
      </c>
      <c r="K726" s="118" t="str">
        <f t="array" ref="K726">IFERROR(
INDEX(REPORTE_DROPI!S:S,
MATCH($T726, REPORTE_DROPI!B:B, 0)
),
""
)</f>
        <v/>
      </c>
      <c r="L726" s="118" t="str">
        <f>IF(
  O726&lt;&gt;"DEVOLUCION",
  "",
  IF(
    T726="",
    "",
    SUMIF(DEVOLUCION!F:F, T726, DEVOLUCION!D:D)
  )
)
</f>
        <v/>
      </c>
      <c r="M726" s="118" t="s">
        <v>5877</v>
      </c>
      <c r="N726" s="169" t="s">
        <v>8009</v>
      </c>
      <c r="O726" s="118" t="str">
        <f t="array" ref="O726">IFERROR(
VLOOKUP(
TRIM(CLEAN(
INDEX(REPORTE_DROPI!K:K,
MATCH(T726, REPORTE_DROPI!B:B, 0)
))),
{
TRIM(CLEAN(MAPA_ESTADOS!A:A)) ,
MAPA_ESTADOS!B:B
},
2,
FALSE
),
"REVISAR"
)</f>
        <v>PENDIENTE</v>
      </c>
      <c r="P726" s="154" t="s">
        <v>8010</v>
      </c>
      <c r="Q726" s="153">
        <f t="shared" si="1"/>
        <v>0</v>
      </c>
      <c r="R726" s="172"/>
      <c r="S726" s="172"/>
      <c r="T726" s="118">
        <f t="array" ref="T726">IFERROR(
INDEX(REPORTE_DROPI!B:B,
MATCH(
CLEAN(TRIM(C726)),
CLEAN(TRIM(REPORTE_DROPI!E:E)),
0
)
),
""
)
</f>
        <v>4656942</v>
      </c>
      <c r="U726" s="169" t="s">
        <v>8011</v>
      </c>
      <c r="V726" s="166"/>
      <c r="W726" s="18"/>
      <c r="X726" s="18"/>
      <c r="Y726" s="18"/>
      <c r="Z726" s="18"/>
    </row>
    <row r="727" ht="22.5" customHeight="1">
      <c r="A727" s="169">
        <v>726.0</v>
      </c>
      <c r="B727" s="170">
        <v>46081.0</v>
      </c>
      <c r="C727" s="154" t="s">
        <v>8012</v>
      </c>
      <c r="D727" s="118" t="str">
        <f>IFERROR(__xludf.DUMMYFUNCTION("IFERROR( INDEX( FILTER( 'NOMBRE DE PRODUCTOS'!B:B, REGEXMATCH( UPPER( INDEX( REPORTE_DROPI!AC:AC, MATCH(T727, REPORTE_DROPI!B:B, 0) ) ), UPPER('NOMBRE DE PRODUCTOS'!A:A) ) ), 1 ), ""REVISAR"" )"),"FreeBeat Adapter")</f>
        <v>FreeBeat Adapter</v>
      </c>
      <c r="E727" s="120">
        <f t="array" ref="E727">IF(
UPPER(TRIM(CLEAN($O727)))="ENTREGADO",
IFERROR(
INDEX(REPORTE_DROPI!Y:Y,
MATCH($T727, REPORTE_DROPI!B:B, 0)
),
""
),
""
)
</f>
        <v>20</v>
      </c>
      <c r="F727" s="171">
        <v>4.0</v>
      </c>
      <c r="G727" s="122">
        <f t="array" ref="G727">IF(
UPPER(TRIM(CLEAN($O727)))="ENTREGADO",
IFERROR(
INDEX(REPORTE_DROPI!R:R,
MATCH($T727, REPORTE_DROPI!B:B, 0)
),
""
),
""
)
</f>
        <v>36.32</v>
      </c>
      <c r="H727" s="118" t="s">
        <v>3727</v>
      </c>
      <c r="I727" s="154" t="s">
        <v>3772</v>
      </c>
      <c r="J727" s="121">
        <f t="array" ref="J727">IF(
UPPER(TRIM(CLEAN($O727)))="ENTREGADO",
IFERROR(
INDEX(REPORTE_DROPI!T:T,
MATCH($T727, REPORTE_DROPI!B:B, 0)
),
""
),
""
)
</f>
        <v>7.84</v>
      </c>
      <c r="K727" s="118">
        <f t="array" ref="K727">IFERROR(
INDEX(REPORTE_DROPI!S:S,
MATCH($T727, REPORTE_DROPI!B:B, 0)
),
""
)</f>
        <v>8.48</v>
      </c>
      <c r="L727" s="118" t="str">
        <f>IF(
  O727&lt;&gt;"DEVOLUCION",
  "",
  IF(
    T727="",
    "",
    SUMIF(DEVOLUCION!F:F, T727, DEVOLUCION!D:D)
  )
)
</f>
        <v/>
      </c>
      <c r="M727" s="118" t="s">
        <v>5877</v>
      </c>
      <c r="N727" s="169" t="s">
        <v>8013</v>
      </c>
      <c r="O727" s="118" t="str">
        <f t="array" ref="O727">IFERROR(
VLOOKUP(
TRIM(CLEAN(
INDEX(REPORTE_DROPI!K:K,
MATCH(T727, REPORTE_DROPI!B:B, 0)
))),
{
TRIM(CLEAN(MAPA_ESTADOS!A:A)) ,
MAPA_ESTADOS!B:B
},
2,
FALSE
),
"REVISAR"
)</f>
        <v>ENTREGADO</v>
      </c>
      <c r="P727" s="154" t="s">
        <v>5692</v>
      </c>
      <c r="Q727" s="153">
        <f t="shared" si="1"/>
        <v>0</v>
      </c>
      <c r="R727" s="172"/>
      <c r="S727" s="172"/>
      <c r="T727" s="118">
        <f t="array" ref="T727">IFERROR(
INDEX(REPORTE_DROPI!B:B,
MATCH(
CLEAN(TRIM(C727)),
CLEAN(TRIM(REPORTE_DROPI!E:E)),
0
)
),
""
)
</f>
        <v>4657059</v>
      </c>
      <c r="U727" s="173">
        <v>4.5236149205E10</v>
      </c>
      <c r="V727" s="166"/>
      <c r="W727" s="18"/>
      <c r="X727" s="18"/>
      <c r="Y727" s="18"/>
      <c r="Z727" s="18"/>
    </row>
    <row r="728" ht="22.5" customHeight="1">
      <c r="A728" s="169" t="s">
        <v>8014</v>
      </c>
      <c r="B728" s="170" t="s">
        <v>8015</v>
      </c>
      <c r="C728" s="154" t="s">
        <v>8016</v>
      </c>
      <c r="D728" s="118" t="str">
        <f>IFERROR(__xludf.DUMMYFUNCTION("IFERROR( INDEX( FILTER( 'NOMBRE DE PRODUCTOS'!B:B, REGEXMATCH( UPPER( INDEX( REPORTE_DROPI!AC:AC, MATCH(T728, REPORTE_DROPI!B:B, 0) ) ), UPPER('NOMBRE DE PRODUCTOS'!A:A) ) ), 1 ), ""REVISAR"" )"),"Cuchillo Tazaki™")</f>
        <v>Cuchillo Tazaki™</v>
      </c>
      <c r="E728" s="120" t="str">
        <f t="array" ref="E728">IF(
UPPER(TRIM(CLEAN($O728)))="ENTREGADO",
IFERROR(
INDEX(REPORTE_DROPI!Y:Y,
MATCH($T728, REPORTE_DROPI!B:B, 0)
),
""
),
""
)
</f>
        <v/>
      </c>
      <c r="F728" s="171" t="s">
        <v>6057</v>
      </c>
      <c r="G728" s="122" t="str">
        <f t="array" ref="G728">IF(
UPPER(TRIM(CLEAN($O728)))="ENTREGADO",
IFERROR(
INDEX(REPORTE_DROPI!R:R,
MATCH($T728, REPORTE_DROPI!B:B, 0)
),
""
),
""
)
</f>
        <v/>
      </c>
      <c r="H728" s="118" t="s">
        <v>3727</v>
      </c>
      <c r="I728" s="154" t="s">
        <v>3778</v>
      </c>
      <c r="J728" s="121" t="str">
        <f t="array" ref="J728">IF(
UPPER(TRIM(CLEAN($O728)))="ENTREGADO",
IFERROR(
INDEX(REPORTE_DROPI!T:T,
MATCH($T728, REPORTE_DROPI!B:B, 0)
),
""
),
""
)
</f>
        <v/>
      </c>
      <c r="K728" s="118" t="str">
        <f t="array" ref="K728">IFERROR(
INDEX(REPORTE_DROPI!S:S,
MATCH($T728, REPORTE_DROPI!B:B, 0)
),
""
)</f>
        <v/>
      </c>
      <c r="L728" s="118">
        <f>IF(
  O728&lt;&gt;"DEVOLUCION",
  "",
  IF(
    T728="",
    "",
    SUMIF(DEVOLUCION!F:F, T728, DEVOLUCION!D:D)
  )
)
</f>
        <v>0</v>
      </c>
      <c r="M728" s="118" t="s">
        <v>5877</v>
      </c>
      <c r="N728" s="169" t="s">
        <v>8017</v>
      </c>
      <c r="O728" s="118" t="str">
        <f t="array" ref="O728">IFERROR(
VLOOKUP(
TRIM(CLEAN(
INDEX(REPORTE_DROPI!K:K,
MATCH(T728, REPORTE_DROPI!B:B, 0)
))),
{
TRIM(CLEAN(MAPA_ESTADOS!A:A)) ,
MAPA_ESTADOS!B:B
},
2,
FALSE
),
"REVISAR"
)</f>
        <v>DEVOLUCION</v>
      </c>
      <c r="P728" s="154" t="s">
        <v>8018</v>
      </c>
      <c r="Q728" s="153">
        <f t="shared" si="1"/>
        <v>0</v>
      </c>
      <c r="R728" s="172"/>
      <c r="S728" s="172"/>
      <c r="T728" s="118">
        <f t="array" ref="T728">IFERROR(
INDEX(REPORTE_DROPI!B:B,
MATCH(
CLEAN(TRIM(C728)),
CLEAN(TRIM(REPORTE_DROPI!E:E)),
0
)
),
""
)
</f>
        <v>4657433</v>
      </c>
      <c r="U728" s="169" t="s">
        <v>8019</v>
      </c>
      <c r="V728" s="166"/>
      <c r="W728" s="18"/>
      <c r="X728" s="18"/>
      <c r="Y728" s="18"/>
      <c r="Z728" s="18"/>
    </row>
    <row r="729">
      <c r="A729" s="177" t="s">
        <v>3650</v>
      </c>
      <c r="B729" s="178"/>
      <c r="C729" s="177"/>
      <c r="D729" s="177"/>
      <c r="E729" s="179">
        <f>SUM(Tabla_2[COSTO PROVEDOR])</f>
        <v>2371.1</v>
      </c>
      <c r="F729" s="180"/>
      <c r="G729" s="181">
        <f>SUM(Tabla_2[[#DATA],[#TOTALS],[PRECIO TOTAL]])</f>
        <v>9501.47</v>
      </c>
      <c r="H729" s="177"/>
      <c r="I729" s="177"/>
      <c r="J729" s="182">
        <f>SUM(Tabla_2[[#DATA],[#TOTALS],[CSTENVIO ]])</f>
        <v>2236.87</v>
      </c>
      <c r="K729" s="183">
        <f>SUM(Tabla_2[[#ALL],[UTILIDAD]])</f>
        <v>4870.55</v>
      </c>
      <c r="L729" s="183">
        <f>SUM(Tabla_2[[#ALL],[CST DEV]])</f>
        <v>315.32</v>
      </c>
      <c r="M729" s="180"/>
      <c r="N729" s="180"/>
      <c r="O729" s="180"/>
      <c r="P729" s="177"/>
      <c r="Q729" s="184">
        <f>SUM(Q2:Q728)</f>
        <v>22.95</v>
      </c>
      <c r="R729" s="177"/>
      <c r="S729" s="177"/>
      <c r="T729" s="177"/>
      <c r="U729" s="177"/>
      <c r="V729" s="177"/>
      <c r="W729" s="177"/>
      <c r="X729" s="177"/>
      <c r="Y729" s="177"/>
      <c r="Z729" s="177"/>
    </row>
    <row r="730">
      <c r="A730" s="18" t="s">
        <v>3650</v>
      </c>
      <c r="B730" s="185"/>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t="s">
        <v>3650</v>
      </c>
      <c r="B731" s="185"/>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t="s">
        <v>3650</v>
      </c>
      <c r="B732" s="185"/>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t="s">
        <v>3650</v>
      </c>
      <c r="B733" s="185"/>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t="s">
        <v>3650</v>
      </c>
      <c r="B734" s="185"/>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t="s">
        <v>3650</v>
      </c>
      <c r="B735" s="185"/>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t="s">
        <v>3650</v>
      </c>
      <c r="B736" s="185"/>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t="s">
        <v>3650</v>
      </c>
      <c r="B737" s="185"/>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t="s">
        <v>3650</v>
      </c>
      <c r="B738" s="185"/>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t="s">
        <v>3650</v>
      </c>
      <c r="B739" s="185"/>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t="s">
        <v>3650</v>
      </c>
      <c r="B740" s="185"/>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t="s">
        <v>3650</v>
      </c>
      <c r="B741" s="185"/>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t="s">
        <v>3650</v>
      </c>
      <c r="B742" s="185"/>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t="s">
        <v>3650</v>
      </c>
      <c r="B743" s="185"/>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t="s">
        <v>3650</v>
      </c>
      <c r="B744" s="185"/>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t="s">
        <v>3650</v>
      </c>
      <c r="B745" s="185"/>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t="s">
        <v>3650</v>
      </c>
      <c r="B746" s="185"/>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t="s">
        <v>3650</v>
      </c>
      <c r="B747" s="185"/>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t="s">
        <v>3650</v>
      </c>
      <c r="B748" s="185"/>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t="s">
        <v>3650</v>
      </c>
      <c r="B749" s="185"/>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t="s">
        <v>3650</v>
      </c>
      <c r="B750" s="185"/>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t="s">
        <v>3650</v>
      </c>
      <c r="B751" s="185"/>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t="s">
        <v>3650</v>
      </c>
      <c r="B752" s="185"/>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t="s">
        <v>3650</v>
      </c>
      <c r="B753" s="185"/>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t="s">
        <v>3650</v>
      </c>
      <c r="B754" s="185"/>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t="s">
        <v>3650</v>
      </c>
      <c r="B755" s="185"/>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t="s">
        <v>3650</v>
      </c>
      <c r="B756" s="185"/>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t="s">
        <v>3650</v>
      </c>
      <c r="B757" s="185"/>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t="s">
        <v>3650</v>
      </c>
      <c r="B758" s="185"/>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t="s">
        <v>3650</v>
      </c>
      <c r="B759" s="185"/>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t="s">
        <v>3650</v>
      </c>
      <c r="B760" s="185"/>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t="s">
        <v>3650</v>
      </c>
      <c r="B761" s="185"/>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t="s">
        <v>3650</v>
      </c>
      <c r="B762" s="185"/>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t="s">
        <v>3650</v>
      </c>
      <c r="B763" s="185"/>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t="s">
        <v>3650</v>
      </c>
      <c r="B764" s="185"/>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t="s">
        <v>3650</v>
      </c>
      <c r="B765" s="185"/>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t="s">
        <v>3650</v>
      </c>
      <c r="B766" s="185"/>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t="s">
        <v>3650</v>
      </c>
      <c r="B767" s="185"/>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t="s">
        <v>3650</v>
      </c>
      <c r="B768" s="185"/>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t="s">
        <v>3650</v>
      </c>
      <c r="B769" s="185"/>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t="s">
        <v>3650</v>
      </c>
      <c r="B770" s="185"/>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t="s">
        <v>3650</v>
      </c>
      <c r="B771" s="185"/>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t="s">
        <v>3650</v>
      </c>
      <c r="B772" s="185"/>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t="s">
        <v>3650</v>
      </c>
      <c r="B773" s="185"/>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t="s">
        <v>3650</v>
      </c>
      <c r="B774" s="185"/>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t="s">
        <v>3650</v>
      </c>
      <c r="B775" s="185"/>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t="s">
        <v>3650</v>
      </c>
      <c r="B776" s="185"/>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t="s">
        <v>3650</v>
      </c>
      <c r="B777" s="185"/>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t="s">
        <v>3650</v>
      </c>
      <c r="B778" s="185"/>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t="s">
        <v>3650</v>
      </c>
      <c r="B779" s="185"/>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t="s">
        <v>3650</v>
      </c>
      <c r="B780" s="185"/>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t="s">
        <v>3650</v>
      </c>
      <c r="B781" s="185"/>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t="s">
        <v>3650</v>
      </c>
      <c r="B782" s="185"/>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t="s">
        <v>3650</v>
      </c>
      <c r="B783" s="185"/>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t="s">
        <v>3650</v>
      </c>
      <c r="B784" s="185"/>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t="s">
        <v>3650</v>
      </c>
      <c r="B785" s="185"/>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t="s">
        <v>3650</v>
      </c>
      <c r="B786" s="185"/>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t="s">
        <v>3650</v>
      </c>
      <c r="B787" s="185"/>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t="s">
        <v>3650</v>
      </c>
      <c r="B788" s="185"/>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t="s">
        <v>3650</v>
      </c>
      <c r="B789" s="185"/>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t="s">
        <v>3650</v>
      </c>
      <c r="B790" s="185"/>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t="s">
        <v>3650</v>
      </c>
      <c r="B791" s="185"/>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t="s">
        <v>3650</v>
      </c>
      <c r="B792" s="185"/>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t="s">
        <v>3650</v>
      </c>
      <c r="B793" s="185"/>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t="s">
        <v>3650</v>
      </c>
      <c r="B794" s="185"/>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t="s">
        <v>3650</v>
      </c>
      <c r="B795" s="185"/>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t="s">
        <v>3650</v>
      </c>
      <c r="B796" s="185"/>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t="s">
        <v>3650</v>
      </c>
      <c r="B797" s="185"/>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t="s">
        <v>3650</v>
      </c>
      <c r="B798" s="185"/>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t="s">
        <v>3650</v>
      </c>
      <c r="B799" s="185"/>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t="s">
        <v>3650</v>
      </c>
      <c r="B800" s="185"/>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t="s">
        <v>3650</v>
      </c>
      <c r="B801" s="185"/>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t="s">
        <v>3650</v>
      </c>
      <c r="B802" s="185"/>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t="s">
        <v>3650</v>
      </c>
      <c r="B803" s="185"/>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t="s">
        <v>3650</v>
      </c>
      <c r="B804" s="185"/>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t="s">
        <v>3650</v>
      </c>
      <c r="B805" s="185"/>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t="s">
        <v>3650</v>
      </c>
      <c r="B806" s="185"/>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t="s">
        <v>3650</v>
      </c>
      <c r="B807" s="185"/>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t="s">
        <v>3650</v>
      </c>
      <c r="B808" s="185"/>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t="s">
        <v>3650</v>
      </c>
      <c r="B809" s="185"/>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t="s">
        <v>3650</v>
      </c>
      <c r="B810" s="185"/>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t="s">
        <v>3650</v>
      </c>
      <c r="B811" s="185"/>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t="s">
        <v>3650</v>
      </c>
      <c r="B812" s="185"/>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t="s">
        <v>3650</v>
      </c>
      <c r="B813" s="185"/>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t="s">
        <v>3650</v>
      </c>
      <c r="B814" s="185"/>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t="s">
        <v>3650</v>
      </c>
      <c r="B815" s="185"/>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t="s">
        <v>3650</v>
      </c>
      <c r="B816" s="185"/>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t="s">
        <v>3650</v>
      </c>
      <c r="B817" s="185"/>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t="s">
        <v>3650</v>
      </c>
      <c r="B818" s="185"/>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t="s">
        <v>3650</v>
      </c>
      <c r="B819" s="185"/>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t="s">
        <v>3650</v>
      </c>
      <c r="B820" s="185"/>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t="s">
        <v>3650</v>
      </c>
      <c r="B821" s="185"/>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t="s">
        <v>3650</v>
      </c>
      <c r="B822" s="185"/>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t="s">
        <v>3650</v>
      </c>
      <c r="B823" s="185"/>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t="s">
        <v>3650</v>
      </c>
      <c r="B824" s="185"/>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t="s">
        <v>3650</v>
      </c>
      <c r="B825" s="185"/>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t="s">
        <v>3650</v>
      </c>
      <c r="B826" s="185"/>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t="s">
        <v>3650</v>
      </c>
      <c r="B827" s="185"/>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t="s">
        <v>3650</v>
      </c>
      <c r="B828" s="185"/>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t="s">
        <v>3650</v>
      </c>
      <c r="B829" s="185"/>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t="s">
        <v>3650</v>
      </c>
      <c r="B830" s="185"/>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t="s">
        <v>3650</v>
      </c>
      <c r="B831" s="185"/>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t="s">
        <v>3650</v>
      </c>
      <c r="B832" s="185"/>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t="s">
        <v>3650</v>
      </c>
      <c r="B833" s="185"/>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t="s">
        <v>3650</v>
      </c>
      <c r="B834" s="185"/>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t="s">
        <v>3650</v>
      </c>
      <c r="B835" s="185"/>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t="s">
        <v>3650</v>
      </c>
      <c r="B836" s="185"/>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t="s">
        <v>3650</v>
      </c>
      <c r="B837" s="185"/>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t="s">
        <v>3650</v>
      </c>
      <c r="B838" s="185"/>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t="s">
        <v>3650</v>
      </c>
      <c r="B839" s="185"/>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t="s">
        <v>3650</v>
      </c>
      <c r="B840" s="185"/>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t="s">
        <v>3650</v>
      </c>
      <c r="B841" s="185"/>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t="s">
        <v>3650</v>
      </c>
      <c r="B842" s="185"/>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t="s">
        <v>3650</v>
      </c>
      <c r="B843" s="185"/>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t="s">
        <v>3650</v>
      </c>
      <c r="B844" s="185"/>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t="s">
        <v>3650</v>
      </c>
      <c r="B845" s="185"/>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t="s">
        <v>3650</v>
      </c>
      <c r="B846" s="185"/>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t="s">
        <v>3650</v>
      </c>
      <c r="B847" s="185"/>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t="s">
        <v>3650</v>
      </c>
      <c r="B848" s="185"/>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t="s">
        <v>3650</v>
      </c>
      <c r="B849" s="185"/>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t="s">
        <v>3650</v>
      </c>
      <c r="B850" s="185"/>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t="s">
        <v>3650</v>
      </c>
      <c r="B851" s="185"/>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t="s">
        <v>3650</v>
      </c>
      <c r="B852" s="185"/>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t="s">
        <v>3650</v>
      </c>
      <c r="B853" s="185"/>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t="s">
        <v>3650</v>
      </c>
      <c r="B854" s="185"/>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t="s">
        <v>3650</v>
      </c>
      <c r="B855" s="185"/>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t="s">
        <v>3650</v>
      </c>
      <c r="B856" s="185"/>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t="s">
        <v>3650</v>
      </c>
      <c r="B857" s="185"/>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t="s">
        <v>3650</v>
      </c>
      <c r="B858" s="185"/>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t="s">
        <v>3650</v>
      </c>
      <c r="B859" s="185"/>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t="s">
        <v>3650</v>
      </c>
      <c r="B860" s="185"/>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t="s">
        <v>3650</v>
      </c>
      <c r="B861" s="185"/>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t="s">
        <v>3650</v>
      </c>
      <c r="B862" s="185"/>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t="s">
        <v>3650</v>
      </c>
      <c r="B863" s="185"/>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t="s">
        <v>3650</v>
      </c>
      <c r="B864" s="185"/>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t="s">
        <v>3650</v>
      </c>
      <c r="B865" s="185"/>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t="s">
        <v>3650</v>
      </c>
      <c r="B866" s="185"/>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t="s">
        <v>3650</v>
      </c>
      <c r="B867" s="185"/>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t="s">
        <v>3650</v>
      </c>
      <c r="B868" s="185"/>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t="s">
        <v>3650</v>
      </c>
      <c r="B869" s="185"/>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t="s">
        <v>3650</v>
      </c>
      <c r="B870" s="185"/>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t="s">
        <v>3650</v>
      </c>
      <c r="B871" s="185"/>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t="s">
        <v>3650</v>
      </c>
      <c r="B872" s="185"/>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t="s">
        <v>3650</v>
      </c>
      <c r="B873" s="185"/>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t="s">
        <v>3650</v>
      </c>
      <c r="B874" s="185"/>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t="s">
        <v>3650</v>
      </c>
      <c r="B875" s="185"/>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t="s">
        <v>3650</v>
      </c>
      <c r="B876" s="185"/>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t="s">
        <v>3650</v>
      </c>
      <c r="B877" s="185"/>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t="s">
        <v>3650</v>
      </c>
      <c r="B878" s="185"/>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t="s">
        <v>3650</v>
      </c>
      <c r="B879" s="185"/>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t="s">
        <v>3650</v>
      </c>
      <c r="B880" s="185"/>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t="s">
        <v>3650</v>
      </c>
      <c r="B881" s="185"/>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t="s">
        <v>3650</v>
      </c>
      <c r="B882" s="185"/>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t="s">
        <v>3650</v>
      </c>
      <c r="B883" s="185"/>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t="s">
        <v>3650</v>
      </c>
      <c r="B884" s="185"/>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t="s">
        <v>3650</v>
      </c>
      <c r="B885" s="185"/>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t="s">
        <v>3650</v>
      </c>
      <c r="B886" s="185"/>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t="s">
        <v>3650</v>
      </c>
      <c r="B887" s="185"/>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t="s">
        <v>3650</v>
      </c>
      <c r="B888" s="185"/>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t="s">
        <v>3650</v>
      </c>
      <c r="B889" s="185"/>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t="s">
        <v>3650</v>
      </c>
      <c r="B890" s="185"/>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t="s">
        <v>3650</v>
      </c>
      <c r="B891" s="185"/>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t="s">
        <v>3650</v>
      </c>
      <c r="B892" s="185"/>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t="s">
        <v>3650</v>
      </c>
      <c r="B893" s="185"/>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t="s">
        <v>3650</v>
      </c>
      <c r="B894" s="185"/>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t="s">
        <v>3650</v>
      </c>
      <c r="B895" s="185"/>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t="s">
        <v>3650</v>
      </c>
      <c r="B896" s="185"/>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t="s">
        <v>3650</v>
      </c>
      <c r="B897" s="185"/>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t="s">
        <v>3650</v>
      </c>
      <c r="B898" s="185"/>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t="s">
        <v>3650</v>
      </c>
      <c r="B899" s="185"/>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t="s">
        <v>3650</v>
      </c>
      <c r="B900" s="185"/>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t="s">
        <v>3650</v>
      </c>
      <c r="B901" s="185"/>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t="s">
        <v>3650</v>
      </c>
      <c r="B902" s="185"/>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t="s">
        <v>3650</v>
      </c>
      <c r="B903" s="185"/>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t="s">
        <v>3650</v>
      </c>
      <c r="B904" s="185"/>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t="s">
        <v>3650</v>
      </c>
      <c r="B905" s="185"/>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t="s">
        <v>3650</v>
      </c>
      <c r="B906" s="185"/>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t="s">
        <v>3650</v>
      </c>
      <c r="B907" s="185"/>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t="s">
        <v>3650</v>
      </c>
      <c r="B908" s="185"/>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t="s">
        <v>3650</v>
      </c>
      <c r="B909" s="185"/>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t="s">
        <v>3650</v>
      </c>
      <c r="B910" s="185"/>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t="s">
        <v>3650</v>
      </c>
      <c r="B911" s="185"/>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t="s">
        <v>3650</v>
      </c>
      <c r="B912" s="185"/>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t="s">
        <v>3650</v>
      </c>
      <c r="B913" s="185"/>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t="s">
        <v>3650</v>
      </c>
      <c r="B914" s="185"/>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t="s">
        <v>3650</v>
      </c>
      <c r="B915" s="185"/>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t="s">
        <v>3650</v>
      </c>
      <c r="B916" s="185"/>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t="s">
        <v>3650</v>
      </c>
      <c r="B917" s="185"/>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t="s">
        <v>3650</v>
      </c>
      <c r="B918" s="185"/>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t="s">
        <v>3650</v>
      </c>
      <c r="B919" s="185"/>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t="s">
        <v>3650</v>
      </c>
      <c r="B920" s="185"/>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t="s">
        <v>3650</v>
      </c>
      <c r="B921" s="185"/>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t="s">
        <v>3650</v>
      </c>
      <c r="B922" s="185"/>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t="s">
        <v>3650</v>
      </c>
      <c r="B923" s="185"/>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t="s">
        <v>3650</v>
      </c>
      <c r="B924" s="185"/>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t="s">
        <v>3650</v>
      </c>
      <c r="B925" s="185"/>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t="s">
        <v>3650</v>
      </c>
      <c r="B926" s="185"/>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t="s">
        <v>3650</v>
      </c>
      <c r="B927" s="185"/>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t="s">
        <v>3650</v>
      </c>
      <c r="B928" s="185"/>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t="s">
        <v>3650</v>
      </c>
      <c r="B929" s="185"/>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t="s">
        <v>3650</v>
      </c>
      <c r="B930" s="185"/>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t="s">
        <v>3650</v>
      </c>
      <c r="B931" s="185"/>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t="s">
        <v>3650</v>
      </c>
      <c r="B932" s="185"/>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t="s">
        <v>3650</v>
      </c>
      <c r="B933" s="185"/>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t="s">
        <v>3650</v>
      </c>
      <c r="B934" s="185"/>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65" t="s">
        <v>3650</v>
      </c>
      <c r="B935" s="185"/>
      <c r="D935" s="65"/>
    </row>
    <row r="936">
      <c r="A936" s="65" t="s">
        <v>3650</v>
      </c>
      <c r="B936" s="185"/>
      <c r="D936" s="65"/>
    </row>
    <row r="937">
      <c r="A937" s="65" t="s">
        <v>3650</v>
      </c>
      <c r="B937" s="185"/>
      <c r="D937" s="65"/>
    </row>
    <row r="938">
      <c r="A938" s="65" t="s">
        <v>3650</v>
      </c>
      <c r="B938" s="185"/>
      <c r="D938" s="65"/>
    </row>
    <row r="939">
      <c r="A939" s="65" t="s">
        <v>3650</v>
      </c>
      <c r="B939" s="185"/>
      <c r="D939" s="65"/>
    </row>
    <row r="940">
      <c r="A940" s="65" t="s">
        <v>3650</v>
      </c>
      <c r="B940" s="185"/>
      <c r="D940" s="65"/>
    </row>
    <row r="941">
      <c r="A941" s="65" t="s">
        <v>3650</v>
      </c>
      <c r="B941" s="185"/>
      <c r="D941" s="65"/>
    </row>
    <row r="942">
      <c r="A942" s="65" t="s">
        <v>3650</v>
      </c>
      <c r="B942" s="185"/>
      <c r="D942" s="65"/>
    </row>
    <row r="943">
      <c r="A943" s="65" t="s">
        <v>3650</v>
      </c>
      <c r="B943" s="185"/>
      <c r="D943" s="65"/>
    </row>
    <row r="944">
      <c r="A944" s="65" t="s">
        <v>3650</v>
      </c>
      <c r="B944" s="185"/>
      <c r="D944" s="65"/>
    </row>
    <row r="945">
      <c r="A945" s="65" t="s">
        <v>3650</v>
      </c>
      <c r="B945" s="185"/>
      <c r="D945" s="65"/>
    </row>
    <row r="946">
      <c r="A946" s="65" t="s">
        <v>3650</v>
      </c>
      <c r="B946" s="185"/>
      <c r="D946" s="65"/>
    </row>
    <row r="947">
      <c r="A947" s="65" t="s">
        <v>3650</v>
      </c>
      <c r="B947" s="185"/>
      <c r="D947" s="65"/>
    </row>
    <row r="948">
      <c r="A948" s="65" t="s">
        <v>3650</v>
      </c>
      <c r="B948" s="185"/>
      <c r="D948" s="65"/>
    </row>
    <row r="949">
      <c r="A949" s="65" t="s">
        <v>3650</v>
      </c>
      <c r="B949" s="185"/>
      <c r="D949" s="65"/>
    </row>
    <row r="950">
      <c r="A950" s="65" t="s">
        <v>3650</v>
      </c>
      <c r="B950" s="185"/>
      <c r="D950" s="65"/>
    </row>
    <row r="951">
      <c r="A951" s="65" t="s">
        <v>3650</v>
      </c>
      <c r="B951" s="185"/>
      <c r="D951" s="65"/>
    </row>
    <row r="952">
      <c r="A952" s="65" t="s">
        <v>3650</v>
      </c>
      <c r="B952" s="185"/>
      <c r="D952" s="65"/>
    </row>
    <row r="953">
      <c r="A953" s="65" t="s">
        <v>3650</v>
      </c>
      <c r="B953" s="185"/>
      <c r="D953" s="65"/>
    </row>
    <row r="954">
      <c r="A954" s="65" t="s">
        <v>3650</v>
      </c>
      <c r="B954" s="185"/>
      <c r="D954" s="65"/>
    </row>
    <row r="955">
      <c r="A955" s="65" t="s">
        <v>3650</v>
      </c>
      <c r="B955" s="185"/>
      <c r="D955" s="65"/>
    </row>
    <row r="956">
      <c r="A956" s="65" t="s">
        <v>3650</v>
      </c>
      <c r="B956" s="185"/>
      <c r="D956" s="65"/>
    </row>
    <row r="957">
      <c r="A957" s="65" t="s">
        <v>3650</v>
      </c>
      <c r="B957" s="185"/>
      <c r="D957" s="65"/>
    </row>
    <row r="958">
      <c r="A958" s="65" t="s">
        <v>3650</v>
      </c>
      <c r="B958" s="185"/>
      <c r="D958" s="65"/>
    </row>
    <row r="959">
      <c r="A959" s="65" t="s">
        <v>3650</v>
      </c>
      <c r="B959" s="185"/>
      <c r="D959" s="65"/>
    </row>
    <row r="960">
      <c r="A960" s="65" t="s">
        <v>3650</v>
      </c>
      <c r="B960" s="185"/>
      <c r="D960" s="65"/>
    </row>
    <row r="961">
      <c r="A961" s="65" t="s">
        <v>3650</v>
      </c>
      <c r="B961" s="185"/>
      <c r="D961" s="65"/>
    </row>
    <row r="962">
      <c r="A962" s="65" t="s">
        <v>3650</v>
      </c>
      <c r="B962" s="185"/>
      <c r="D962" s="65"/>
    </row>
    <row r="963">
      <c r="A963" s="65" t="s">
        <v>3650</v>
      </c>
      <c r="B963" s="185"/>
      <c r="D963" s="65"/>
    </row>
    <row r="964">
      <c r="A964" s="65" t="s">
        <v>3650</v>
      </c>
      <c r="B964" s="185"/>
      <c r="D964" s="65"/>
    </row>
    <row r="965">
      <c r="A965" s="65" t="s">
        <v>3650</v>
      </c>
      <c r="B965" s="185"/>
      <c r="D965" s="65"/>
    </row>
    <row r="966">
      <c r="A966" s="65" t="s">
        <v>3650</v>
      </c>
      <c r="B966" s="185"/>
      <c r="D966" s="65"/>
    </row>
    <row r="967">
      <c r="A967" s="65" t="s">
        <v>3650</v>
      </c>
      <c r="B967" s="185"/>
      <c r="D967" s="65"/>
    </row>
    <row r="968">
      <c r="A968" s="65" t="s">
        <v>3650</v>
      </c>
      <c r="B968" s="185"/>
      <c r="D968" s="65"/>
    </row>
    <row r="969">
      <c r="A969" s="65" t="s">
        <v>3650</v>
      </c>
      <c r="B969" s="185"/>
      <c r="D969" s="65"/>
    </row>
    <row r="970">
      <c r="A970" s="65" t="s">
        <v>3650</v>
      </c>
      <c r="B970" s="185"/>
      <c r="D970" s="65"/>
    </row>
    <row r="971">
      <c r="A971" s="65" t="s">
        <v>3650</v>
      </c>
      <c r="B971" s="185"/>
      <c r="D971" s="65"/>
    </row>
    <row r="972">
      <c r="A972" s="65" t="s">
        <v>3650</v>
      </c>
      <c r="B972" s="185"/>
      <c r="D972" s="65"/>
    </row>
    <row r="973">
      <c r="A973" s="65" t="s">
        <v>3650</v>
      </c>
      <c r="B973" s="185"/>
      <c r="D973" s="65"/>
    </row>
    <row r="974">
      <c r="A974" s="65" t="s">
        <v>3650</v>
      </c>
      <c r="B974" s="185"/>
      <c r="D974" s="65"/>
    </row>
    <row r="975">
      <c r="A975" s="65" t="s">
        <v>3650</v>
      </c>
      <c r="B975" s="185"/>
      <c r="D975" s="65"/>
    </row>
    <row r="976">
      <c r="A976" s="65" t="s">
        <v>3650</v>
      </c>
      <c r="B976" s="185"/>
      <c r="D976" s="65"/>
    </row>
    <row r="977">
      <c r="A977" s="65" t="s">
        <v>3650</v>
      </c>
      <c r="B977" s="185"/>
      <c r="D977" s="65"/>
    </row>
    <row r="978">
      <c r="A978" s="65" t="s">
        <v>3650</v>
      </c>
      <c r="B978" s="185"/>
      <c r="D978" s="65"/>
    </row>
    <row r="979">
      <c r="A979" s="65" t="s">
        <v>3650</v>
      </c>
      <c r="B979" s="185"/>
      <c r="D979" s="65"/>
    </row>
    <row r="980">
      <c r="A980" s="65" t="s">
        <v>3650</v>
      </c>
      <c r="B980" s="185"/>
      <c r="D980" s="65"/>
    </row>
    <row r="981">
      <c r="A981" s="65" t="s">
        <v>3650</v>
      </c>
      <c r="B981" s="185"/>
      <c r="D981" s="65"/>
    </row>
    <row r="982">
      <c r="A982" s="65" t="s">
        <v>3650</v>
      </c>
      <c r="B982" s="185"/>
      <c r="D982" s="65"/>
    </row>
    <row r="983">
      <c r="A983" s="65" t="s">
        <v>3650</v>
      </c>
      <c r="B983" s="185"/>
      <c r="D983" s="65"/>
    </row>
    <row r="984">
      <c r="A984" s="65" t="s">
        <v>3650</v>
      </c>
      <c r="B984" s="185"/>
      <c r="D984" s="65"/>
    </row>
    <row r="985">
      <c r="A985" s="65" t="s">
        <v>3650</v>
      </c>
      <c r="B985" s="185"/>
      <c r="D985" s="65"/>
    </row>
    <row r="986">
      <c r="A986" s="65" t="s">
        <v>3650</v>
      </c>
      <c r="B986" s="185"/>
      <c r="D986" s="65"/>
    </row>
    <row r="987">
      <c r="A987" s="65" t="s">
        <v>3650</v>
      </c>
      <c r="B987" s="185"/>
      <c r="D987" s="65"/>
    </row>
    <row r="988">
      <c r="A988" s="65" t="s">
        <v>3650</v>
      </c>
      <c r="B988" s="185"/>
      <c r="D988" s="65"/>
    </row>
    <row r="989">
      <c r="A989" s="65" t="s">
        <v>3650</v>
      </c>
      <c r="B989" s="185"/>
      <c r="D989" s="65"/>
    </row>
    <row r="990">
      <c r="A990" s="65" t="s">
        <v>3650</v>
      </c>
      <c r="B990" s="185"/>
      <c r="D990" s="65"/>
    </row>
    <row r="991">
      <c r="A991" s="65" t="s">
        <v>3650</v>
      </c>
      <c r="B991" s="185"/>
      <c r="D991" s="65"/>
    </row>
    <row r="992">
      <c r="A992" s="65" t="s">
        <v>3650</v>
      </c>
      <c r="B992" s="185"/>
      <c r="D992" s="65"/>
    </row>
    <row r="993">
      <c r="A993" s="65" t="s">
        <v>3650</v>
      </c>
      <c r="B993" s="185"/>
      <c r="D993" s="65"/>
    </row>
    <row r="994">
      <c r="A994" s="65" t="s">
        <v>3650</v>
      </c>
      <c r="B994" s="185"/>
      <c r="D994" s="65"/>
    </row>
    <row r="995">
      <c r="A995" s="65" t="s">
        <v>3650</v>
      </c>
      <c r="B995" s="185"/>
      <c r="D995" s="65"/>
    </row>
    <row r="996">
      <c r="A996" s="65" t="s">
        <v>3650</v>
      </c>
      <c r="B996" s="185"/>
      <c r="D996" s="65"/>
    </row>
    <row r="997">
      <c r="A997" s="65" t="s">
        <v>3650</v>
      </c>
      <c r="B997" s="185"/>
      <c r="D997" s="65"/>
    </row>
    <row r="998">
      <c r="A998" s="65" t="s">
        <v>3650</v>
      </c>
      <c r="B998" s="185"/>
      <c r="D998" s="65"/>
    </row>
    <row r="999">
      <c r="A999" s="65" t="s">
        <v>3650</v>
      </c>
      <c r="B999" s="185"/>
      <c r="D999" s="65"/>
    </row>
    <row r="1000">
      <c r="A1000" s="65" t="s">
        <v>3650</v>
      </c>
      <c r="B1000" s="185"/>
      <c r="D1000" s="65"/>
    </row>
    <row r="1001">
      <c r="A1001" s="65" t="s">
        <v>3650</v>
      </c>
      <c r="B1001" s="185"/>
      <c r="D1001" s="65"/>
    </row>
    <row r="1002">
      <c r="A1002" s="65" t="s">
        <v>3650</v>
      </c>
      <c r="B1002" s="185"/>
      <c r="D1002" s="65"/>
    </row>
    <row r="1003">
      <c r="A1003" s="65" t="s">
        <v>3650</v>
      </c>
      <c r="B1003" s="185"/>
      <c r="D1003" s="65"/>
    </row>
    <row r="1004">
      <c r="A1004" s="65" t="s">
        <v>3650</v>
      </c>
      <c r="B1004" s="185"/>
      <c r="D1004" s="65"/>
    </row>
    <row r="1005">
      <c r="A1005" s="65" t="s">
        <v>3650</v>
      </c>
      <c r="B1005" s="185"/>
      <c r="D1005" s="65"/>
    </row>
    <row r="1006">
      <c r="A1006" s="65" t="s">
        <v>3650</v>
      </c>
      <c r="B1006" s="185"/>
      <c r="D1006" s="65"/>
    </row>
    <row r="1007">
      <c r="A1007" s="65" t="s">
        <v>3650</v>
      </c>
      <c r="B1007" s="185"/>
      <c r="D1007" s="65"/>
    </row>
    <row r="1008">
      <c r="A1008" s="65" t="s">
        <v>3650</v>
      </c>
      <c r="B1008" s="185"/>
      <c r="D1008" s="65"/>
    </row>
    <row r="1009">
      <c r="A1009" s="65" t="s">
        <v>3650</v>
      </c>
      <c r="B1009" s="185"/>
      <c r="D1009" s="65"/>
    </row>
    <row r="1010">
      <c r="A1010" s="65" t="s">
        <v>3650</v>
      </c>
      <c r="B1010" s="185"/>
      <c r="D1010" s="65"/>
    </row>
    <row r="1011">
      <c r="A1011" s="65" t="s">
        <v>3650</v>
      </c>
      <c r="B1011" s="185"/>
      <c r="D1011" s="65"/>
    </row>
    <row r="1012">
      <c r="A1012" s="65" t="s">
        <v>3650</v>
      </c>
      <c r="B1012" s="185"/>
      <c r="D1012" s="65"/>
    </row>
    <row r="1013">
      <c r="A1013" s="65" t="s">
        <v>3650</v>
      </c>
      <c r="B1013" s="185"/>
      <c r="D1013" s="65"/>
    </row>
    <row r="1014">
      <c r="A1014" s="65" t="s">
        <v>3650</v>
      </c>
      <c r="B1014" s="185"/>
      <c r="D1014" s="65"/>
    </row>
    <row r="1015">
      <c r="A1015" s="65" t="s">
        <v>3650</v>
      </c>
      <c r="B1015" s="185"/>
      <c r="D1015" s="65"/>
    </row>
    <row r="1016">
      <c r="A1016" s="65" t="s">
        <v>3650</v>
      </c>
      <c r="B1016" s="185"/>
      <c r="D1016" s="65"/>
    </row>
    <row r="1017">
      <c r="A1017" s="65" t="s">
        <v>3650</v>
      </c>
      <c r="B1017" s="185"/>
      <c r="D1017" s="65"/>
    </row>
    <row r="1018">
      <c r="A1018" s="65" t="s">
        <v>3650</v>
      </c>
      <c r="B1018" s="185"/>
      <c r="D1018" s="65"/>
    </row>
    <row r="1019">
      <c r="A1019" s="65" t="s">
        <v>3650</v>
      </c>
      <c r="B1019" s="185"/>
      <c r="D1019" s="65"/>
    </row>
    <row r="1020">
      <c r="A1020" s="65" t="s">
        <v>3650</v>
      </c>
      <c r="B1020" s="185"/>
      <c r="D1020" s="65"/>
    </row>
    <row r="1021">
      <c r="A1021" s="65" t="s">
        <v>3650</v>
      </c>
      <c r="B1021" s="185"/>
      <c r="D1021" s="65"/>
    </row>
    <row r="1022">
      <c r="A1022" s="65" t="s">
        <v>3650</v>
      </c>
      <c r="B1022" s="185"/>
      <c r="D1022" s="65"/>
    </row>
    <row r="1023">
      <c r="A1023" s="65" t="s">
        <v>3650</v>
      </c>
      <c r="B1023" s="185"/>
      <c r="D1023" s="65"/>
    </row>
    <row r="1024">
      <c r="A1024" s="65" t="s">
        <v>3650</v>
      </c>
      <c r="B1024" s="185"/>
      <c r="D1024" s="65"/>
    </row>
    <row r="1025">
      <c r="A1025" s="65" t="s">
        <v>3650</v>
      </c>
      <c r="B1025" s="185"/>
      <c r="D1025" s="65"/>
    </row>
    <row r="1026">
      <c r="A1026" s="65" t="s">
        <v>3650</v>
      </c>
      <c r="B1026" s="185"/>
      <c r="D1026" s="65"/>
    </row>
    <row r="1027">
      <c r="A1027" s="65" t="s">
        <v>3650</v>
      </c>
      <c r="B1027" s="185"/>
      <c r="D1027" s="65"/>
    </row>
    <row r="1028">
      <c r="A1028" s="65" t="s">
        <v>3650</v>
      </c>
      <c r="B1028" s="185"/>
      <c r="D1028" s="65"/>
    </row>
    <row r="1029">
      <c r="A1029" s="65" t="s">
        <v>3650</v>
      </c>
      <c r="B1029" s="185"/>
      <c r="D1029" s="65"/>
    </row>
    <row r="1030">
      <c r="A1030" s="65" t="s">
        <v>3650</v>
      </c>
      <c r="B1030" s="185"/>
      <c r="D1030" s="65"/>
    </row>
    <row r="1031">
      <c r="A1031" s="65" t="s">
        <v>3650</v>
      </c>
      <c r="B1031" s="185"/>
      <c r="D1031" s="65"/>
    </row>
    <row r="1032">
      <c r="A1032" s="65" t="s">
        <v>3650</v>
      </c>
      <c r="B1032" s="185"/>
      <c r="D1032" s="65"/>
    </row>
    <row r="1033">
      <c r="A1033" s="65" t="s">
        <v>3650</v>
      </c>
      <c r="B1033" s="185"/>
      <c r="D1033" s="65"/>
    </row>
    <row r="1034">
      <c r="A1034" s="65" t="s">
        <v>3650</v>
      </c>
      <c r="B1034" s="185"/>
      <c r="D1034" s="65"/>
    </row>
    <row r="1035">
      <c r="A1035" s="65" t="s">
        <v>3650</v>
      </c>
      <c r="B1035" s="185"/>
      <c r="D1035" s="65"/>
    </row>
    <row r="1036">
      <c r="A1036" s="65" t="s">
        <v>3650</v>
      </c>
      <c r="B1036" s="185"/>
      <c r="D1036" s="65"/>
    </row>
    <row r="1037">
      <c r="A1037" s="65" t="s">
        <v>3650</v>
      </c>
      <c r="B1037" s="185"/>
      <c r="D1037" s="65"/>
    </row>
    <row r="1038">
      <c r="A1038" s="65" t="s">
        <v>3650</v>
      </c>
      <c r="B1038" s="185"/>
      <c r="D1038" s="65"/>
    </row>
    <row r="1039">
      <c r="A1039" s="65" t="s">
        <v>3650</v>
      </c>
      <c r="B1039" s="185"/>
      <c r="D1039" s="65"/>
    </row>
    <row r="1040">
      <c r="A1040" s="65" t="s">
        <v>3650</v>
      </c>
      <c r="B1040" s="185"/>
      <c r="D1040" s="65"/>
    </row>
    <row r="1041">
      <c r="A1041" s="65" t="s">
        <v>3650</v>
      </c>
      <c r="B1041" s="185"/>
      <c r="D1041" s="65"/>
    </row>
    <row r="1042">
      <c r="A1042" s="65" t="s">
        <v>3650</v>
      </c>
      <c r="B1042" s="185"/>
      <c r="D1042" s="65"/>
    </row>
    <row r="1043">
      <c r="A1043" s="65" t="s">
        <v>3650</v>
      </c>
      <c r="B1043" s="185"/>
      <c r="D1043" s="65"/>
    </row>
    <row r="1044">
      <c r="A1044" s="65" t="s">
        <v>3650</v>
      </c>
      <c r="B1044" s="185"/>
      <c r="D1044" s="65"/>
    </row>
    <row r="1045">
      <c r="A1045" s="65" t="s">
        <v>3650</v>
      </c>
      <c r="B1045" s="185"/>
      <c r="D1045" s="65"/>
    </row>
    <row r="1046">
      <c r="A1046" s="65" t="s">
        <v>3650</v>
      </c>
      <c r="B1046" s="185"/>
      <c r="D1046" s="65"/>
    </row>
    <row r="1047">
      <c r="A1047" s="65" t="s">
        <v>3650</v>
      </c>
      <c r="B1047" s="185"/>
      <c r="D1047" s="65"/>
    </row>
    <row r="1048">
      <c r="A1048" s="65" t="s">
        <v>3650</v>
      </c>
      <c r="B1048" s="185"/>
      <c r="D1048" s="65"/>
    </row>
    <row r="1049">
      <c r="A1049" s="65" t="s">
        <v>3650</v>
      </c>
      <c r="B1049" s="185"/>
      <c r="D1049" s="65"/>
    </row>
    <row r="1050">
      <c r="A1050" s="65" t="s">
        <v>3650</v>
      </c>
      <c r="B1050" s="185"/>
      <c r="D1050" s="65"/>
    </row>
    <row r="1051">
      <c r="A1051" s="65" t="s">
        <v>3650</v>
      </c>
      <c r="B1051" s="185"/>
      <c r="D1051" s="65"/>
    </row>
    <row r="1052">
      <c r="A1052" s="65" t="s">
        <v>3650</v>
      </c>
      <c r="B1052" s="185"/>
      <c r="D1052" s="65"/>
    </row>
    <row r="1053">
      <c r="A1053" s="65" t="s">
        <v>3650</v>
      </c>
      <c r="B1053" s="185"/>
      <c r="D1053" s="65"/>
    </row>
    <row r="1054">
      <c r="A1054" s="65" t="s">
        <v>3650</v>
      </c>
      <c r="B1054" s="185"/>
      <c r="D1054" s="65"/>
    </row>
    <row r="1055">
      <c r="A1055" s="65" t="s">
        <v>3650</v>
      </c>
      <c r="B1055" s="185"/>
      <c r="D1055" s="65"/>
    </row>
    <row r="1056">
      <c r="A1056" s="65" t="s">
        <v>3650</v>
      </c>
      <c r="B1056" s="185"/>
      <c r="D1056" s="65"/>
    </row>
    <row r="1057">
      <c r="A1057" s="65" t="s">
        <v>3650</v>
      </c>
      <c r="B1057" s="185"/>
      <c r="D1057" s="65"/>
    </row>
    <row r="1058">
      <c r="A1058" s="65" t="s">
        <v>3650</v>
      </c>
      <c r="B1058" s="185"/>
      <c r="D1058" s="65"/>
    </row>
    <row r="1059">
      <c r="A1059" s="65" t="s">
        <v>3650</v>
      </c>
      <c r="B1059" s="185"/>
      <c r="D1059" s="65"/>
    </row>
    <row r="1060">
      <c r="A1060" s="65" t="s">
        <v>3650</v>
      </c>
      <c r="B1060" s="185"/>
      <c r="D1060" s="65"/>
    </row>
    <row r="1061">
      <c r="A1061" s="65" t="s">
        <v>3650</v>
      </c>
      <c r="B1061" s="185"/>
      <c r="D1061" s="65"/>
    </row>
    <row r="1062">
      <c r="A1062" s="65" t="s">
        <v>3650</v>
      </c>
      <c r="B1062" s="185"/>
      <c r="D1062" s="65"/>
    </row>
    <row r="1063">
      <c r="A1063" s="65" t="s">
        <v>3650</v>
      </c>
      <c r="B1063" s="185"/>
      <c r="D1063" s="65"/>
    </row>
    <row r="1064">
      <c r="A1064" s="65" t="s">
        <v>3650</v>
      </c>
      <c r="B1064" s="185"/>
      <c r="D1064" s="65"/>
    </row>
    <row r="1065">
      <c r="A1065" s="65" t="s">
        <v>3650</v>
      </c>
      <c r="B1065" s="185"/>
      <c r="D1065" s="65"/>
    </row>
    <row r="1066">
      <c r="A1066" s="65" t="s">
        <v>3650</v>
      </c>
      <c r="B1066" s="185"/>
      <c r="D1066" s="65"/>
    </row>
    <row r="1067">
      <c r="A1067" s="65" t="s">
        <v>3650</v>
      </c>
      <c r="B1067" s="185"/>
      <c r="D1067" s="65"/>
    </row>
    <row r="1068">
      <c r="A1068" s="65" t="s">
        <v>3650</v>
      </c>
      <c r="B1068" s="185"/>
      <c r="D1068" s="65"/>
    </row>
    <row r="1069">
      <c r="A1069" s="65" t="s">
        <v>3650</v>
      </c>
      <c r="B1069" s="185"/>
      <c r="D1069" s="65"/>
    </row>
    <row r="1070">
      <c r="A1070" s="65" t="s">
        <v>3650</v>
      </c>
      <c r="B1070" s="185"/>
      <c r="D1070" s="65"/>
    </row>
    <row r="1071">
      <c r="A1071" s="65" t="s">
        <v>3650</v>
      </c>
      <c r="B1071" s="185"/>
      <c r="D1071" s="65"/>
    </row>
    <row r="1072">
      <c r="A1072" s="65" t="s">
        <v>3650</v>
      </c>
      <c r="B1072" s="185"/>
      <c r="D1072" s="65"/>
    </row>
    <row r="1073">
      <c r="A1073" s="65" t="s">
        <v>3650</v>
      </c>
      <c r="B1073" s="185"/>
      <c r="D1073" s="65"/>
    </row>
    <row r="1074">
      <c r="A1074" s="65" t="s">
        <v>3650</v>
      </c>
      <c r="B1074" s="185"/>
      <c r="D1074" s="65"/>
    </row>
    <row r="1075">
      <c r="A1075" s="65" t="s">
        <v>3650</v>
      </c>
      <c r="B1075" s="185"/>
      <c r="D1075" s="65"/>
    </row>
    <row r="1076">
      <c r="A1076" s="65" t="s">
        <v>3650</v>
      </c>
      <c r="B1076" s="185"/>
      <c r="D1076" s="65"/>
    </row>
    <row r="1077">
      <c r="A1077" s="65" t="s">
        <v>3650</v>
      </c>
      <c r="B1077" s="185"/>
      <c r="D1077" s="65"/>
    </row>
    <row r="1078">
      <c r="A1078" s="65" t="s">
        <v>3650</v>
      </c>
      <c r="B1078" s="185"/>
      <c r="D1078" s="65"/>
    </row>
    <row r="1079">
      <c r="A1079" s="65" t="s">
        <v>3650</v>
      </c>
      <c r="B1079" s="185"/>
      <c r="D1079" s="65"/>
    </row>
    <row r="1080">
      <c r="A1080" s="65" t="s">
        <v>3650</v>
      </c>
      <c r="B1080" s="185"/>
      <c r="D1080" s="65"/>
    </row>
    <row r="1081">
      <c r="A1081" s="65" t="s">
        <v>3650</v>
      </c>
      <c r="B1081" s="185"/>
      <c r="D1081" s="65"/>
    </row>
    <row r="1082">
      <c r="A1082" s="65" t="s">
        <v>3650</v>
      </c>
      <c r="B1082" s="185"/>
      <c r="D1082" s="65"/>
    </row>
    <row r="1083">
      <c r="A1083" s="65" t="s">
        <v>3650</v>
      </c>
      <c r="B1083" s="185"/>
      <c r="D1083" s="65"/>
    </row>
    <row r="1084">
      <c r="A1084" s="65" t="s">
        <v>3650</v>
      </c>
      <c r="B1084" s="185"/>
      <c r="D1084" s="65"/>
    </row>
    <row r="1085">
      <c r="A1085" s="65" t="s">
        <v>3650</v>
      </c>
      <c r="B1085" s="185"/>
      <c r="D1085" s="65"/>
    </row>
    <row r="1086">
      <c r="A1086" s="65" t="s">
        <v>3650</v>
      </c>
      <c r="B1086" s="185"/>
      <c r="D1086" s="65"/>
    </row>
    <row r="1087">
      <c r="A1087" s="65" t="s">
        <v>3650</v>
      </c>
      <c r="B1087" s="185"/>
      <c r="D1087" s="65"/>
    </row>
    <row r="1088">
      <c r="A1088" s="65" t="s">
        <v>3650</v>
      </c>
      <c r="B1088" s="185"/>
      <c r="D1088" s="65"/>
    </row>
    <row r="1089">
      <c r="A1089" s="65" t="s">
        <v>3650</v>
      </c>
      <c r="B1089" s="185"/>
      <c r="D1089" s="65"/>
    </row>
    <row r="1090">
      <c r="A1090" s="65" t="s">
        <v>3650</v>
      </c>
      <c r="B1090" s="185"/>
      <c r="D1090" s="65"/>
    </row>
    <row r="1091">
      <c r="A1091" s="65" t="s">
        <v>3650</v>
      </c>
      <c r="B1091" s="185"/>
      <c r="D1091" s="65"/>
    </row>
    <row r="1092">
      <c r="A1092" s="65" t="s">
        <v>3650</v>
      </c>
      <c r="B1092" s="185"/>
      <c r="D1092" s="65"/>
    </row>
    <row r="1093">
      <c r="A1093" s="65" t="s">
        <v>3650</v>
      </c>
      <c r="B1093" s="185"/>
      <c r="D1093" s="65"/>
    </row>
    <row r="1094">
      <c r="A1094" s="65" t="s">
        <v>3650</v>
      </c>
      <c r="B1094" s="185"/>
      <c r="D1094" s="65"/>
    </row>
    <row r="1095">
      <c r="A1095" s="65" t="s">
        <v>3650</v>
      </c>
      <c r="B1095" s="185"/>
      <c r="D1095" s="65"/>
    </row>
    <row r="1096">
      <c r="A1096" s="65" t="s">
        <v>3650</v>
      </c>
      <c r="B1096" s="185"/>
      <c r="D1096" s="65"/>
    </row>
    <row r="1097">
      <c r="A1097" s="65" t="s">
        <v>3650</v>
      </c>
      <c r="B1097" s="185"/>
      <c r="D1097" s="65"/>
    </row>
    <row r="1098">
      <c r="A1098" s="65" t="s">
        <v>3650</v>
      </c>
      <c r="B1098" s="185"/>
      <c r="D1098" s="65"/>
    </row>
    <row r="1099">
      <c r="A1099" s="65" t="s">
        <v>3650</v>
      </c>
      <c r="B1099" s="185"/>
      <c r="D1099" s="65"/>
    </row>
    <row r="1100">
      <c r="A1100" s="65" t="s">
        <v>3650</v>
      </c>
      <c r="B1100" s="185"/>
      <c r="D1100" s="65"/>
    </row>
    <row r="1101">
      <c r="A1101" s="65" t="s">
        <v>3650</v>
      </c>
      <c r="B1101" s="185"/>
      <c r="D1101" s="65"/>
    </row>
    <row r="1102">
      <c r="A1102" s="65" t="s">
        <v>3650</v>
      </c>
      <c r="B1102" s="185"/>
      <c r="D1102" s="65"/>
    </row>
    <row r="1103">
      <c r="A1103" s="65" t="s">
        <v>3650</v>
      </c>
      <c r="B1103" s="185"/>
      <c r="D1103" s="65"/>
    </row>
    <row r="1104">
      <c r="A1104" s="65" t="s">
        <v>3650</v>
      </c>
      <c r="B1104" s="185"/>
      <c r="D1104" s="65"/>
    </row>
    <row r="1105">
      <c r="A1105" s="65" t="s">
        <v>3650</v>
      </c>
      <c r="B1105" s="185"/>
      <c r="D1105" s="65"/>
    </row>
    <row r="1106">
      <c r="A1106" s="65" t="s">
        <v>3650</v>
      </c>
      <c r="B1106" s="185"/>
      <c r="D1106" s="65"/>
    </row>
    <row r="1107">
      <c r="A1107" s="65" t="s">
        <v>3650</v>
      </c>
      <c r="B1107" s="185"/>
      <c r="D1107" s="65"/>
    </row>
    <row r="1108">
      <c r="A1108" s="65" t="s">
        <v>3650</v>
      </c>
      <c r="B1108" s="185"/>
      <c r="D1108" s="65"/>
    </row>
    <row r="1109">
      <c r="A1109" s="65" t="s">
        <v>3650</v>
      </c>
      <c r="B1109" s="185"/>
      <c r="D1109" s="65"/>
    </row>
    <row r="1110">
      <c r="A1110" s="65" t="s">
        <v>3650</v>
      </c>
      <c r="B1110" s="185"/>
      <c r="D1110" s="65"/>
    </row>
    <row r="1111">
      <c r="A1111" s="65" t="s">
        <v>3650</v>
      </c>
      <c r="B1111" s="185"/>
      <c r="D1111" s="65"/>
    </row>
    <row r="1112">
      <c r="A1112" s="65" t="s">
        <v>3650</v>
      </c>
      <c r="B1112" s="185"/>
      <c r="D1112" s="65"/>
    </row>
    <row r="1113">
      <c r="A1113" s="65" t="s">
        <v>3650</v>
      </c>
      <c r="B1113" s="185"/>
      <c r="D1113" s="65"/>
    </row>
    <row r="1114">
      <c r="A1114" s="65" t="s">
        <v>3650</v>
      </c>
      <c r="B1114" s="185"/>
      <c r="D1114" s="65"/>
    </row>
    <row r="1115">
      <c r="A1115" s="65" t="s">
        <v>3650</v>
      </c>
      <c r="B1115" s="185"/>
      <c r="D1115" s="65"/>
    </row>
    <row r="1116">
      <c r="A1116" s="65" t="s">
        <v>3650</v>
      </c>
      <c r="B1116" s="185"/>
      <c r="D1116" s="65"/>
    </row>
    <row r="1117">
      <c r="A1117" s="65" t="s">
        <v>3650</v>
      </c>
      <c r="B1117" s="185"/>
      <c r="D1117" s="65"/>
    </row>
    <row r="1118">
      <c r="A1118" s="65" t="s">
        <v>3650</v>
      </c>
      <c r="B1118" s="185"/>
      <c r="D1118" s="65"/>
    </row>
    <row r="1119">
      <c r="A1119" s="65" t="s">
        <v>3650</v>
      </c>
      <c r="B1119" s="185"/>
      <c r="D1119" s="65"/>
    </row>
    <row r="1120">
      <c r="A1120" s="65" t="s">
        <v>3650</v>
      </c>
      <c r="B1120" s="185"/>
      <c r="D1120" s="65"/>
    </row>
    <row r="1121">
      <c r="A1121" s="65" t="s">
        <v>3650</v>
      </c>
      <c r="B1121" s="185"/>
      <c r="D1121" s="65"/>
    </row>
    <row r="1122">
      <c r="A1122" s="65" t="s">
        <v>3650</v>
      </c>
      <c r="B1122" s="185"/>
      <c r="D1122" s="65"/>
    </row>
    <row r="1123">
      <c r="A1123" s="65" t="s">
        <v>3650</v>
      </c>
      <c r="B1123" s="185"/>
      <c r="D1123" s="65"/>
    </row>
    <row r="1124">
      <c r="A1124" s="65" t="s">
        <v>3650</v>
      </c>
      <c r="B1124" s="185"/>
      <c r="D1124" s="65"/>
    </row>
    <row r="1125">
      <c r="A1125" s="65" t="s">
        <v>3650</v>
      </c>
      <c r="B1125" s="185"/>
      <c r="D1125" s="65"/>
    </row>
    <row r="1126">
      <c r="A1126" s="65" t="s">
        <v>3650</v>
      </c>
      <c r="B1126" s="185"/>
      <c r="D1126" s="65"/>
    </row>
    <row r="1127">
      <c r="A1127" s="65" t="s">
        <v>3650</v>
      </c>
      <c r="B1127" s="185"/>
      <c r="D1127" s="65"/>
    </row>
    <row r="1128">
      <c r="A1128" s="65" t="s">
        <v>3650</v>
      </c>
      <c r="B1128" s="185"/>
      <c r="D1128" s="65"/>
    </row>
    <row r="1129">
      <c r="A1129" s="65" t="s">
        <v>3650</v>
      </c>
      <c r="B1129" s="185"/>
      <c r="D1129" s="65"/>
    </row>
    <row r="1130">
      <c r="A1130" s="65" t="s">
        <v>3650</v>
      </c>
      <c r="B1130" s="185"/>
      <c r="D1130" s="65"/>
    </row>
    <row r="1131">
      <c r="A1131" s="65" t="s">
        <v>3650</v>
      </c>
      <c r="B1131" s="185"/>
      <c r="D1131" s="65"/>
    </row>
    <row r="1132">
      <c r="A1132" s="65" t="s">
        <v>3650</v>
      </c>
      <c r="B1132" s="185"/>
      <c r="D1132" s="65"/>
    </row>
    <row r="1133">
      <c r="A1133" s="65" t="s">
        <v>3650</v>
      </c>
      <c r="B1133" s="185"/>
      <c r="D1133" s="65"/>
    </row>
    <row r="1134">
      <c r="A1134" s="65" t="s">
        <v>3650</v>
      </c>
      <c r="B1134" s="185"/>
      <c r="D1134" s="65"/>
    </row>
    <row r="1135">
      <c r="A1135" s="65" t="s">
        <v>3650</v>
      </c>
      <c r="B1135" s="185"/>
      <c r="D1135" s="65"/>
    </row>
    <row r="1136">
      <c r="A1136" s="65" t="s">
        <v>3650</v>
      </c>
      <c r="B1136" s="185"/>
      <c r="D1136" s="65"/>
    </row>
    <row r="1137">
      <c r="A1137" s="65" t="s">
        <v>3650</v>
      </c>
      <c r="B1137" s="185"/>
      <c r="D1137" s="65"/>
    </row>
    <row r="1138">
      <c r="A1138" s="65" t="s">
        <v>3650</v>
      </c>
      <c r="B1138" s="185"/>
      <c r="D1138" s="65"/>
    </row>
    <row r="1139">
      <c r="A1139" s="65" t="s">
        <v>3650</v>
      </c>
      <c r="B1139" s="185"/>
      <c r="D1139" s="65"/>
    </row>
    <row r="1140">
      <c r="A1140" s="65" t="s">
        <v>3650</v>
      </c>
      <c r="B1140" s="185"/>
      <c r="D1140" s="65"/>
    </row>
    <row r="1141">
      <c r="A1141" s="65" t="s">
        <v>3650</v>
      </c>
      <c r="B1141" s="185"/>
      <c r="D1141" s="65"/>
    </row>
    <row r="1142">
      <c r="A1142" s="65" t="s">
        <v>3650</v>
      </c>
      <c r="B1142" s="185"/>
      <c r="D1142" s="65"/>
    </row>
    <row r="1143">
      <c r="A1143" s="65" t="s">
        <v>3650</v>
      </c>
      <c r="B1143" s="185"/>
      <c r="D1143" s="65"/>
    </row>
    <row r="1144">
      <c r="A1144" s="65" t="s">
        <v>3650</v>
      </c>
      <c r="B1144" s="185"/>
      <c r="D1144" s="65"/>
    </row>
    <row r="1145">
      <c r="A1145" s="65" t="s">
        <v>3650</v>
      </c>
      <c r="B1145" s="185"/>
      <c r="D1145" s="65"/>
    </row>
    <row r="1146">
      <c r="A1146" s="65" t="s">
        <v>3650</v>
      </c>
      <c r="B1146" s="185"/>
      <c r="D1146" s="65"/>
    </row>
    <row r="1147">
      <c r="A1147" s="65" t="s">
        <v>3650</v>
      </c>
      <c r="B1147" s="185"/>
      <c r="D1147" s="65"/>
    </row>
    <row r="1148">
      <c r="A1148" s="65" t="s">
        <v>3650</v>
      </c>
      <c r="B1148" s="185"/>
      <c r="D1148" s="65"/>
    </row>
    <row r="1149">
      <c r="A1149" s="65" t="s">
        <v>3650</v>
      </c>
      <c r="B1149" s="185"/>
      <c r="D1149" s="65"/>
    </row>
    <row r="1150">
      <c r="A1150" s="65" t="s">
        <v>3650</v>
      </c>
      <c r="B1150" s="185"/>
      <c r="D1150" s="65"/>
    </row>
    <row r="1151">
      <c r="A1151" s="65" t="s">
        <v>3650</v>
      </c>
      <c r="B1151" s="185"/>
      <c r="D1151" s="65"/>
    </row>
    <row r="1152">
      <c r="A1152" s="65" t="s">
        <v>3650</v>
      </c>
      <c r="B1152" s="185"/>
      <c r="D1152" s="65"/>
    </row>
    <row r="1153">
      <c r="A1153" s="65" t="s">
        <v>3650</v>
      </c>
      <c r="B1153" s="185"/>
      <c r="D1153" s="65"/>
    </row>
    <row r="1154">
      <c r="A1154" s="65" t="s">
        <v>3650</v>
      </c>
      <c r="B1154" s="185"/>
      <c r="D1154" s="65"/>
    </row>
    <row r="1155">
      <c r="A1155" s="65" t="s">
        <v>3650</v>
      </c>
      <c r="B1155" s="185"/>
      <c r="D1155" s="65"/>
    </row>
    <row r="1156">
      <c r="A1156" s="65" t="s">
        <v>3650</v>
      </c>
      <c r="B1156" s="185"/>
      <c r="D1156" s="65"/>
    </row>
    <row r="1157">
      <c r="A1157" s="65" t="s">
        <v>3650</v>
      </c>
      <c r="B1157" s="185"/>
      <c r="D1157" s="65"/>
    </row>
    <row r="1158">
      <c r="A1158" s="65" t="s">
        <v>3650</v>
      </c>
      <c r="B1158" s="185"/>
      <c r="D1158" s="65"/>
    </row>
    <row r="1159">
      <c r="A1159" s="65" t="s">
        <v>3650</v>
      </c>
      <c r="B1159" s="185"/>
      <c r="D1159" s="65"/>
    </row>
    <row r="1160">
      <c r="A1160" s="65" t="s">
        <v>3650</v>
      </c>
      <c r="B1160" s="185"/>
      <c r="D1160" s="65"/>
    </row>
    <row r="1161">
      <c r="A1161" s="65" t="s">
        <v>3650</v>
      </c>
      <c r="B1161" s="185"/>
      <c r="D1161" s="65"/>
    </row>
    <row r="1162">
      <c r="A1162" s="65" t="s">
        <v>3650</v>
      </c>
      <c r="B1162" s="185"/>
      <c r="D1162" s="65"/>
    </row>
    <row r="1163">
      <c r="A1163" s="65" t="s">
        <v>3650</v>
      </c>
      <c r="B1163" s="185"/>
      <c r="D1163" s="65"/>
    </row>
    <row r="1164">
      <c r="A1164" s="65" t="s">
        <v>3650</v>
      </c>
      <c r="B1164" s="185"/>
      <c r="D1164" s="65"/>
    </row>
    <row r="1165">
      <c r="A1165" s="65" t="s">
        <v>3650</v>
      </c>
      <c r="B1165" s="185"/>
      <c r="D1165" s="65"/>
    </row>
    <row r="1166">
      <c r="A1166" s="65" t="s">
        <v>3650</v>
      </c>
      <c r="B1166" s="185"/>
      <c r="D1166" s="65"/>
    </row>
    <row r="1167">
      <c r="A1167" s="65" t="s">
        <v>3650</v>
      </c>
      <c r="B1167" s="185"/>
      <c r="D1167" s="65"/>
    </row>
    <row r="1168">
      <c r="A1168" s="65" t="s">
        <v>3650</v>
      </c>
      <c r="B1168" s="185"/>
      <c r="D1168" s="65"/>
    </row>
    <row r="1169">
      <c r="A1169" s="65" t="s">
        <v>3650</v>
      </c>
      <c r="B1169" s="185"/>
      <c r="D1169" s="65"/>
    </row>
    <row r="1170">
      <c r="A1170" s="65" t="s">
        <v>3650</v>
      </c>
      <c r="B1170" s="185"/>
      <c r="D1170" s="65"/>
    </row>
    <row r="1171">
      <c r="A1171" s="65" t="s">
        <v>3650</v>
      </c>
      <c r="B1171" s="185"/>
      <c r="D1171" s="65"/>
    </row>
    <row r="1172">
      <c r="A1172" s="65" t="s">
        <v>3650</v>
      </c>
      <c r="B1172" s="185"/>
      <c r="D1172" s="65"/>
    </row>
    <row r="1173">
      <c r="A1173" s="65" t="s">
        <v>3650</v>
      </c>
      <c r="B1173" s="185"/>
      <c r="D1173" s="65"/>
    </row>
    <row r="1174">
      <c r="A1174" s="65" t="s">
        <v>3650</v>
      </c>
      <c r="B1174" s="185"/>
      <c r="D1174" s="65"/>
    </row>
    <row r="1175">
      <c r="A1175" s="65" t="s">
        <v>3650</v>
      </c>
      <c r="B1175" s="185"/>
      <c r="D1175" s="65"/>
    </row>
    <row r="1176">
      <c r="A1176" s="65" t="s">
        <v>3650</v>
      </c>
      <c r="B1176" s="185"/>
      <c r="D1176" s="65"/>
    </row>
    <row r="1177">
      <c r="A1177" s="65" t="s">
        <v>3650</v>
      </c>
      <c r="B1177" s="185"/>
      <c r="D1177" s="65"/>
    </row>
    <row r="1178">
      <c r="A1178" s="65" t="s">
        <v>3650</v>
      </c>
      <c r="B1178" s="185"/>
      <c r="D1178" s="65"/>
    </row>
    <row r="1179">
      <c r="A1179" s="65" t="s">
        <v>3650</v>
      </c>
      <c r="B1179" s="185"/>
      <c r="D1179" s="65"/>
    </row>
    <row r="1180">
      <c r="A1180" s="65" t="s">
        <v>3650</v>
      </c>
      <c r="B1180" s="185"/>
      <c r="D1180" s="65"/>
    </row>
    <row r="1181">
      <c r="A1181" s="65" t="s">
        <v>3650</v>
      </c>
      <c r="B1181" s="185"/>
      <c r="D1181" s="65"/>
    </row>
    <row r="1182">
      <c r="A1182" s="65" t="s">
        <v>3650</v>
      </c>
      <c r="B1182" s="185"/>
      <c r="D1182" s="65"/>
    </row>
    <row r="1183">
      <c r="A1183" s="65" t="s">
        <v>3650</v>
      </c>
      <c r="B1183" s="185"/>
      <c r="D1183" s="65"/>
    </row>
    <row r="1184">
      <c r="A1184" s="65" t="s">
        <v>3650</v>
      </c>
      <c r="B1184" s="185"/>
      <c r="D1184" s="65"/>
    </row>
    <row r="1185">
      <c r="A1185" s="65" t="s">
        <v>3650</v>
      </c>
      <c r="B1185" s="185"/>
      <c r="D1185" s="65"/>
    </row>
    <row r="1186">
      <c r="A1186" s="65" t="s">
        <v>3650</v>
      </c>
      <c r="B1186" s="185"/>
      <c r="D1186" s="65"/>
    </row>
    <row r="1187">
      <c r="A1187" s="65" t="s">
        <v>3650</v>
      </c>
      <c r="B1187" s="185"/>
      <c r="D1187" s="65"/>
    </row>
    <row r="1188">
      <c r="A1188" s="65" t="s">
        <v>3650</v>
      </c>
      <c r="B1188" s="185"/>
      <c r="D1188" s="65"/>
    </row>
    <row r="1189">
      <c r="A1189" s="65" t="s">
        <v>3650</v>
      </c>
      <c r="B1189" s="185"/>
      <c r="D1189" s="65"/>
    </row>
    <row r="1190">
      <c r="A1190" s="65" t="s">
        <v>3650</v>
      </c>
      <c r="B1190" s="185"/>
      <c r="D1190" s="65"/>
    </row>
    <row r="1191">
      <c r="A1191" s="65" t="s">
        <v>3650</v>
      </c>
      <c r="B1191" s="185"/>
      <c r="D1191" s="65"/>
    </row>
    <row r="1192">
      <c r="A1192" s="65" t="s">
        <v>3650</v>
      </c>
      <c r="B1192" s="185"/>
      <c r="D1192" s="65"/>
    </row>
    <row r="1193">
      <c r="A1193" s="65" t="s">
        <v>3650</v>
      </c>
      <c r="B1193" s="185"/>
      <c r="D1193" s="65"/>
    </row>
    <row r="1194">
      <c r="A1194" s="65" t="s">
        <v>3650</v>
      </c>
      <c r="B1194" s="185"/>
      <c r="D1194" s="65"/>
    </row>
    <row r="1195">
      <c r="A1195" s="65" t="s">
        <v>3650</v>
      </c>
      <c r="B1195" s="185"/>
      <c r="D1195" s="65"/>
    </row>
    <row r="1196">
      <c r="A1196" s="65" t="s">
        <v>3650</v>
      </c>
      <c r="B1196" s="185"/>
      <c r="D1196" s="65"/>
    </row>
    <row r="1197">
      <c r="A1197" s="65" t="s">
        <v>3650</v>
      </c>
      <c r="B1197" s="185"/>
      <c r="D1197" s="65"/>
    </row>
    <row r="1198">
      <c r="A1198" s="65" t="s">
        <v>3650</v>
      </c>
      <c r="B1198" s="185"/>
      <c r="D1198" s="65"/>
    </row>
    <row r="1199">
      <c r="A1199" s="65" t="s">
        <v>3650</v>
      </c>
      <c r="B1199" s="185"/>
      <c r="D1199" s="65"/>
    </row>
    <row r="1200">
      <c r="A1200" s="65" t="s">
        <v>3650</v>
      </c>
      <c r="B1200" s="185"/>
      <c r="D1200" s="65"/>
    </row>
    <row r="1201">
      <c r="A1201" s="65" t="s">
        <v>3650</v>
      </c>
      <c r="B1201" s="185"/>
      <c r="D1201" s="65"/>
    </row>
    <row r="1202">
      <c r="A1202" s="65" t="s">
        <v>3650</v>
      </c>
      <c r="B1202" s="185"/>
      <c r="D1202" s="65"/>
    </row>
    <row r="1203">
      <c r="A1203" s="65" t="s">
        <v>3650</v>
      </c>
      <c r="B1203" s="185"/>
      <c r="D1203" s="65"/>
    </row>
    <row r="1204">
      <c r="A1204" s="65" t="s">
        <v>3650</v>
      </c>
      <c r="B1204" s="185"/>
      <c r="D1204" s="65"/>
    </row>
    <row r="1205">
      <c r="A1205" s="65" t="s">
        <v>3650</v>
      </c>
      <c r="B1205" s="185"/>
      <c r="D1205" s="65"/>
    </row>
    <row r="1206">
      <c r="A1206" s="65" t="s">
        <v>3650</v>
      </c>
      <c r="B1206" s="185"/>
      <c r="D1206" s="65"/>
    </row>
    <row r="1207">
      <c r="A1207" s="65" t="s">
        <v>3650</v>
      </c>
      <c r="B1207" s="185"/>
      <c r="D1207" s="65"/>
    </row>
    <row r="1208">
      <c r="A1208" s="65" t="s">
        <v>3650</v>
      </c>
      <c r="B1208" s="185"/>
      <c r="D1208" s="65"/>
    </row>
    <row r="1209">
      <c r="A1209" s="65" t="s">
        <v>3650</v>
      </c>
      <c r="B1209" s="185"/>
      <c r="D1209" s="65"/>
    </row>
    <row r="1210">
      <c r="A1210" s="65" t="s">
        <v>3650</v>
      </c>
      <c r="B1210" s="185"/>
      <c r="D1210" s="65"/>
    </row>
    <row r="1211">
      <c r="A1211" s="65" t="s">
        <v>3650</v>
      </c>
      <c r="B1211" s="185"/>
      <c r="D1211" s="65"/>
    </row>
    <row r="1212">
      <c r="A1212" s="65" t="s">
        <v>3650</v>
      </c>
      <c r="B1212" s="185"/>
      <c r="D1212" s="65"/>
    </row>
    <row r="1213">
      <c r="A1213" s="65" t="s">
        <v>3650</v>
      </c>
      <c r="B1213" s="185"/>
      <c r="D1213" s="65"/>
    </row>
    <row r="1214">
      <c r="A1214" s="65" t="s">
        <v>3650</v>
      </c>
      <c r="B1214" s="185"/>
      <c r="D1214" s="65"/>
    </row>
    <row r="1215">
      <c r="A1215" s="65" t="s">
        <v>3650</v>
      </c>
      <c r="B1215" s="185"/>
      <c r="D1215" s="65"/>
    </row>
    <row r="1216">
      <c r="A1216" s="65" t="s">
        <v>3650</v>
      </c>
      <c r="B1216" s="185"/>
      <c r="D1216" s="65"/>
    </row>
    <row r="1217">
      <c r="A1217" s="65" t="s">
        <v>3650</v>
      </c>
      <c r="B1217" s="185"/>
      <c r="D1217" s="65"/>
    </row>
    <row r="1218">
      <c r="A1218" s="65" t="s">
        <v>3650</v>
      </c>
      <c r="B1218" s="185"/>
      <c r="D1218" s="65"/>
    </row>
    <row r="1219">
      <c r="A1219" s="65" t="s">
        <v>3650</v>
      </c>
      <c r="B1219" s="185"/>
      <c r="D1219" s="65"/>
    </row>
    <row r="1220">
      <c r="A1220" s="65" t="s">
        <v>3650</v>
      </c>
      <c r="B1220" s="185"/>
      <c r="D1220" s="65"/>
    </row>
    <row r="1221">
      <c r="A1221" s="65" t="s">
        <v>3650</v>
      </c>
      <c r="B1221" s="185"/>
      <c r="D1221" s="65"/>
    </row>
    <row r="1222">
      <c r="A1222" s="65" t="s">
        <v>3650</v>
      </c>
      <c r="B1222" s="185"/>
      <c r="D1222" s="65"/>
    </row>
    <row r="1223">
      <c r="A1223" s="65" t="s">
        <v>3650</v>
      </c>
      <c r="B1223" s="185"/>
      <c r="D1223" s="65"/>
    </row>
    <row r="1224">
      <c r="A1224" s="65" t="s">
        <v>3650</v>
      </c>
      <c r="B1224" s="185"/>
      <c r="D1224" s="65"/>
    </row>
    <row r="1225">
      <c r="A1225" s="65" t="s">
        <v>3650</v>
      </c>
      <c r="B1225" s="185"/>
      <c r="D1225" s="65"/>
    </row>
    <row r="1226">
      <c r="A1226" s="65" t="s">
        <v>3650</v>
      </c>
      <c r="B1226" s="185"/>
      <c r="D1226" s="65"/>
    </row>
    <row r="1227">
      <c r="A1227" s="65" t="s">
        <v>3650</v>
      </c>
      <c r="B1227" s="185"/>
      <c r="D1227" s="65"/>
    </row>
    <row r="1228">
      <c r="A1228" s="65" t="s">
        <v>3650</v>
      </c>
      <c r="B1228" s="185"/>
      <c r="D1228" s="65"/>
    </row>
    <row r="1229">
      <c r="A1229" s="65" t="s">
        <v>3650</v>
      </c>
      <c r="B1229" s="185"/>
      <c r="D1229" s="65"/>
    </row>
    <row r="1230">
      <c r="A1230" s="65" t="s">
        <v>3650</v>
      </c>
      <c r="B1230" s="185"/>
      <c r="D1230" s="65"/>
    </row>
    <row r="1231">
      <c r="A1231" s="65" t="s">
        <v>3650</v>
      </c>
      <c r="B1231" s="185"/>
      <c r="D1231" s="65"/>
    </row>
    <row r="1232">
      <c r="A1232" s="65" t="s">
        <v>3650</v>
      </c>
      <c r="B1232" s="185"/>
      <c r="D1232" s="65"/>
    </row>
    <row r="1233">
      <c r="A1233" s="65" t="s">
        <v>3650</v>
      </c>
      <c r="B1233" s="185"/>
      <c r="D1233" s="65"/>
    </row>
    <row r="1234">
      <c r="A1234" s="65" t="s">
        <v>3650</v>
      </c>
      <c r="B1234" s="185"/>
      <c r="D1234" s="65"/>
    </row>
    <row r="1235">
      <c r="A1235" s="65" t="s">
        <v>3650</v>
      </c>
      <c r="B1235" s="185"/>
      <c r="D1235" s="65"/>
    </row>
    <row r="1236">
      <c r="A1236" s="65" t="s">
        <v>3650</v>
      </c>
      <c r="B1236" s="185"/>
      <c r="D1236" s="65"/>
    </row>
    <row r="1237">
      <c r="A1237" s="65" t="s">
        <v>3650</v>
      </c>
      <c r="B1237" s="185"/>
      <c r="D1237" s="65"/>
    </row>
    <row r="1238">
      <c r="A1238" s="65" t="s">
        <v>3650</v>
      </c>
      <c r="B1238" s="185"/>
      <c r="D1238" s="65"/>
    </row>
    <row r="1239">
      <c r="A1239" s="65" t="s">
        <v>3650</v>
      </c>
      <c r="B1239" s="185"/>
      <c r="D1239" s="65"/>
    </row>
    <row r="1240">
      <c r="A1240" s="65" t="s">
        <v>3650</v>
      </c>
      <c r="B1240" s="185"/>
      <c r="D1240" s="65"/>
    </row>
    <row r="1241">
      <c r="A1241" s="65" t="s">
        <v>3650</v>
      </c>
      <c r="B1241" s="185"/>
      <c r="D1241" s="65"/>
    </row>
    <row r="1242">
      <c r="A1242" s="65" t="s">
        <v>3650</v>
      </c>
      <c r="B1242" s="185"/>
      <c r="D1242" s="65"/>
    </row>
    <row r="1243">
      <c r="A1243" s="65" t="s">
        <v>3650</v>
      </c>
      <c r="B1243" s="185"/>
      <c r="D1243" s="65"/>
    </row>
    <row r="1244">
      <c r="A1244" s="65" t="s">
        <v>3650</v>
      </c>
      <c r="B1244" s="185"/>
      <c r="D1244" s="65"/>
    </row>
    <row r="1245">
      <c r="A1245" s="65" t="s">
        <v>3650</v>
      </c>
      <c r="B1245" s="185"/>
      <c r="D1245" s="65"/>
    </row>
    <row r="1246">
      <c r="A1246" s="65" t="s">
        <v>3650</v>
      </c>
      <c r="B1246" s="185"/>
      <c r="D1246" s="65"/>
    </row>
    <row r="1247">
      <c r="A1247" s="65" t="s">
        <v>3650</v>
      </c>
      <c r="B1247" s="185"/>
      <c r="D1247" s="65"/>
    </row>
    <row r="1248">
      <c r="A1248" s="65" t="s">
        <v>3650</v>
      </c>
      <c r="B1248" s="185"/>
      <c r="D1248" s="65"/>
    </row>
    <row r="1249">
      <c r="A1249" s="65" t="s">
        <v>3650</v>
      </c>
      <c r="B1249" s="185"/>
      <c r="D1249" s="65"/>
    </row>
    <row r="1250">
      <c r="A1250" s="65" t="s">
        <v>3650</v>
      </c>
      <c r="B1250" s="185"/>
      <c r="D1250" s="65"/>
    </row>
    <row r="1251">
      <c r="A1251" s="65" t="s">
        <v>3650</v>
      </c>
      <c r="B1251" s="185"/>
      <c r="D1251" s="65"/>
    </row>
    <row r="1252">
      <c r="A1252" s="65" t="s">
        <v>3650</v>
      </c>
      <c r="B1252" s="185"/>
      <c r="D1252" s="65"/>
    </row>
    <row r="1253">
      <c r="A1253" s="65" t="s">
        <v>3650</v>
      </c>
      <c r="B1253" s="185"/>
      <c r="D1253" s="65"/>
    </row>
    <row r="1254">
      <c r="A1254" s="65" t="s">
        <v>3650</v>
      </c>
      <c r="B1254" s="185"/>
      <c r="D1254" s="65"/>
    </row>
    <row r="1255">
      <c r="A1255" s="65" t="s">
        <v>3650</v>
      </c>
      <c r="B1255" s="185"/>
      <c r="D1255" s="65"/>
    </row>
    <row r="1256">
      <c r="A1256" s="65" t="s">
        <v>3650</v>
      </c>
      <c r="B1256" s="185"/>
      <c r="D1256" s="65"/>
    </row>
    <row r="1257">
      <c r="A1257" s="65" t="s">
        <v>3650</v>
      </c>
      <c r="B1257" s="185"/>
      <c r="D1257" s="65"/>
    </row>
    <row r="1258">
      <c r="A1258" s="65" t="s">
        <v>3650</v>
      </c>
      <c r="B1258" s="185"/>
      <c r="D1258" s="65"/>
    </row>
    <row r="1259">
      <c r="A1259" s="65" t="s">
        <v>3650</v>
      </c>
      <c r="B1259" s="185"/>
      <c r="D1259" s="65"/>
    </row>
    <row r="1260">
      <c r="A1260" s="65" t="s">
        <v>3650</v>
      </c>
      <c r="B1260" s="185"/>
      <c r="D1260" s="65"/>
    </row>
    <row r="1261">
      <c r="A1261" s="65" t="s">
        <v>3650</v>
      </c>
      <c r="B1261" s="185"/>
      <c r="D1261" s="65"/>
    </row>
    <row r="1262">
      <c r="A1262" s="65" t="s">
        <v>3650</v>
      </c>
      <c r="B1262" s="185"/>
      <c r="D1262" s="65"/>
    </row>
    <row r="1263">
      <c r="A1263" s="65" t="s">
        <v>3650</v>
      </c>
      <c r="B1263" s="185"/>
      <c r="D1263" s="65"/>
    </row>
    <row r="1264">
      <c r="A1264" s="65" t="s">
        <v>3650</v>
      </c>
      <c r="B1264" s="185"/>
      <c r="D1264" s="65"/>
    </row>
    <row r="1265">
      <c r="A1265" s="65" t="s">
        <v>3650</v>
      </c>
      <c r="B1265" s="185"/>
      <c r="D1265" s="65"/>
    </row>
    <row r="1266">
      <c r="A1266" s="65" t="s">
        <v>3650</v>
      </c>
      <c r="B1266" s="185"/>
      <c r="D1266" s="65"/>
    </row>
    <row r="1267">
      <c r="A1267" s="65" t="s">
        <v>3650</v>
      </c>
      <c r="B1267" s="185"/>
      <c r="D1267" s="65"/>
    </row>
    <row r="1268">
      <c r="A1268" s="65" t="s">
        <v>3650</v>
      </c>
      <c r="B1268" s="185"/>
      <c r="D1268" s="65"/>
    </row>
    <row r="1269">
      <c r="A1269" s="65" t="s">
        <v>3650</v>
      </c>
      <c r="B1269" s="185"/>
      <c r="D1269" s="65"/>
    </row>
    <row r="1270">
      <c r="A1270" s="65" t="s">
        <v>3650</v>
      </c>
      <c r="B1270" s="185"/>
      <c r="D1270" s="65"/>
    </row>
    <row r="1271">
      <c r="A1271" s="65" t="s">
        <v>3650</v>
      </c>
      <c r="B1271" s="185"/>
      <c r="D1271" s="65"/>
    </row>
    <row r="1272">
      <c r="A1272" s="65" t="s">
        <v>3650</v>
      </c>
      <c r="B1272" s="185"/>
      <c r="D1272" s="65"/>
    </row>
    <row r="1273">
      <c r="A1273" s="65" t="s">
        <v>3650</v>
      </c>
      <c r="B1273" s="185"/>
      <c r="D1273" s="65"/>
    </row>
    <row r="1274">
      <c r="A1274" s="65" t="s">
        <v>3650</v>
      </c>
      <c r="B1274" s="185"/>
      <c r="D1274" s="65"/>
    </row>
    <row r="1275">
      <c r="A1275" s="65" t="s">
        <v>3650</v>
      </c>
      <c r="B1275" s="185"/>
      <c r="D1275" s="65"/>
    </row>
    <row r="1276">
      <c r="A1276" s="65" t="s">
        <v>3650</v>
      </c>
      <c r="B1276" s="185"/>
      <c r="D1276" s="65"/>
    </row>
    <row r="1277">
      <c r="A1277" s="65" t="s">
        <v>3650</v>
      </c>
      <c r="B1277" s="185"/>
      <c r="D1277" s="65"/>
    </row>
    <row r="1278">
      <c r="A1278" s="65" t="s">
        <v>3650</v>
      </c>
      <c r="B1278" s="185"/>
      <c r="D1278" s="65"/>
    </row>
    <row r="1279">
      <c r="A1279" s="65" t="s">
        <v>3650</v>
      </c>
      <c r="B1279" s="185"/>
      <c r="D1279" s="65"/>
    </row>
    <row r="1280">
      <c r="A1280" s="65" t="s">
        <v>3650</v>
      </c>
      <c r="B1280" s="185"/>
      <c r="D1280" s="65"/>
    </row>
    <row r="1281">
      <c r="A1281" s="65" t="s">
        <v>3650</v>
      </c>
      <c r="B1281" s="185"/>
      <c r="D1281" s="65"/>
    </row>
    <row r="1282">
      <c r="A1282" s="65" t="s">
        <v>3650</v>
      </c>
      <c r="B1282" s="185"/>
      <c r="D1282" s="65"/>
    </row>
    <row r="1283">
      <c r="A1283" s="65" t="s">
        <v>3650</v>
      </c>
      <c r="B1283" s="185"/>
      <c r="D1283" s="65"/>
    </row>
    <row r="1284">
      <c r="A1284" s="65" t="s">
        <v>3650</v>
      </c>
      <c r="B1284" s="185"/>
      <c r="D1284" s="65"/>
    </row>
    <row r="1285">
      <c r="A1285" s="65" t="s">
        <v>3650</v>
      </c>
      <c r="B1285" s="185"/>
      <c r="D1285" s="65"/>
    </row>
    <row r="1286">
      <c r="A1286" s="65" t="s">
        <v>3650</v>
      </c>
      <c r="B1286" s="185"/>
      <c r="D1286" s="65"/>
    </row>
    <row r="1287">
      <c r="A1287" s="65" t="s">
        <v>3650</v>
      </c>
      <c r="B1287" s="185"/>
      <c r="D1287" s="65"/>
    </row>
    <row r="1288">
      <c r="A1288" s="65" t="s">
        <v>3650</v>
      </c>
      <c r="B1288" s="185"/>
      <c r="D1288" s="65"/>
    </row>
    <row r="1289">
      <c r="A1289" s="65" t="s">
        <v>3650</v>
      </c>
      <c r="B1289" s="185"/>
      <c r="D1289" s="65"/>
    </row>
    <row r="1290">
      <c r="A1290" s="65" t="s">
        <v>3650</v>
      </c>
      <c r="B1290" s="185"/>
      <c r="D1290" s="65"/>
    </row>
    <row r="1291">
      <c r="A1291" s="65" t="s">
        <v>3650</v>
      </c>
      <c r="B1291" s="185"/>
      <c r="D1291" s="65"/>
    </row>
    <row r="1292">
      <c r="A1292" s="65" t="s">
        <v>3650</v>
      </c>
      <c r="B1292" s="185"/>
      <c r="D1292" s="65"/>
    </row>
    <row r="1293">
      <c r="A1293" s="65" t="s">
        <v>3650</v>
      </c>
      <c r="B1293" s="185"/>
      <c r="D1293" s="65"/>
    </row>
    <row r="1294">
      <c r="A1294" s="65" t="s">
        <v>3650</v>
      </c>
      <c r="B1294" s="185"/>
      <c r="D1294" s="65"/>
    </row>
    <row r="1295">
      <c r="A1295" s="65" t="s">
        <v>3650</v>
      </c>
      <c r="B1295" s="185"/>
      <c r="D1295" s="65"/>
    </row>
    <row r="1296">
      <c r="A1296" s="65" t="s">
        <v>3650</v>
      </c>
      <c r="B1296" s="185"/>
      <c r="D1296" s="65"/>
    </row>
    <row r="1297">
      <c r="A1297" s="65" t="s">
        <v>3650</v>
      </c>
      <c r="B1297" s="185"/>
      <c r="D1297" s="65"/>
    </row>
    <row r="1298">
      <c r="A1298" s="65" t="s">
        <v>3650</v>
      </c>
      <c r="B1298" s="185"/>
      <c r="D1298" s="65"/>
    </row>
    <row r="1299">
      <c r="A1299" s="65" t="s">
        <v>3650</v>
      </c>
      <c r="B1299" s="185"/>
      <c r="D1299" s="65"/>
    </row>
    <row r="1300">
      <c r="A1300" s="65" t="s">
        <v>3650</v>
      </c>
      <c r="B1300" s="185"/>
      <c r="D1300" s="65"/>
    </row>
    <row r="1301">
      <c r="A1301" s="65" t="s">
        <v>3650</v>
      </c>
      <c r="B1301" s="185"/>
      <c r="D1301" s="65"/>
    </row>
    <row r="1302">
      <c r="A1302" s="65" t="s">
        <v>3650</v>
      </c>
      <c r="B1302" s="185"/>
      <c r="D1302" s="65"/>
    </row>
    <row r="1303">
      <c r="A1303" s="65" t="s">
        <v>3650</v>
      </c>
      <c r="B1303" s="185"/>
      <c r="D1303" s="65"/>
    </row>
    <row r="1304">
      <c r="A1304" s="65" t="s">
        <v>3650</v>
      </c>
      <c r="B1304" s="185"/>
      <c r="D1304" s="65"/>
    </row>
    <row r="1305">
      <c r="A1305" s="65" t="s">
        <v>3650</v>
      </c>
      <c r="B1305" s="185"/>
      <c r="D1305" s="65"/>
    </row>
    <row r="1306">
      <c r="A1306" s="65" t="s">
        <v>3650</v>
      </c>
      <c r="B1306" s="185"/>
      <c r="D1306" s="65"/>
    </row>
    <row r="1307">
      <c r="A1307" s="65" t="s">
        <v>3650</v>
      </c>
      <c r="B1307" s="185"/>
      <c r="D1307" s="65"/>
    </row>
    <row r="1308">
      <c r="A1308" s="65" t="s">
        <v>3650</v>
      </c>
      <c r="B1308" s="185"/>
      <c r="D1308" s="65"/>
    </row>
    <row r="1309">
      <c r="A1309" s="65" t="s">
        <v>3650</v>
      </c>
      <c r="B1309" s="185"/>
      <c r="D1309" s="65"/>
    </row>
    <row r="1310">
      <c r="A1310" s="65" t="s">
        <v>3650</v>
      </c>
      <c r="B1310" s="185"/>
      <c r="D1310" s="65"/>
    </row>
    <row r="1311">
      <c r="A1311" s="65" t="s">
        <v>3650</v>
      </c>
      <c r="B1311" s="185"/>
      <c r="D1311" s="65"/>
    </row>
    <row r="1312">
      <c r="A1312" s="65" t="s">
        <v>3650</v>
      </c>
      <c r="B1312" s="185"/>
      <c r="D1312" s="65"/>
    </row>
    <row r="1313">
      <c r="A1313" s="65" t="s">
        <v>3650</v>
      </c>
      <c r="B1313" s="185"/>
      <c r="D1313" s="65"/>
    </row>
    <row r="1314">
      <c r="A1314" s="65" t="s">
        <v>3650</v>
      </c>
      <c r="B1314" s="185"/>
      <c r="D1314" s="65"/>
    </row>
    <row r="1315">
      <c r="A1315" s="65" t="s">
        <v>3650</v>
      </c>
      <c r="B1315" s="185"/>
      <c r="D1315" s="65"/>
    </row>
    <row r="1316">
      <c r="A1316" s="65" t="s">
        <v>3650</v>
      </c>
      <c r="B1316" s="185"/>
      <c r="D1316" s="65"/>
    </row>
    <row r="1317">
      <c r="A1317" s="65" t="s">
        <v>3650</v>
      </c>
      <c r="B1317" s="185"/>
      <c r="D1317" s="65"/>
    </row>
    <row r="1318">
      <c r="A1318" s="65" t="s">
        <v>3650</v>
      </c>
      <c r="B1318" s="185"/>
      <c r="D1318" s="65"/>
    </row>
    <row r="1319">
      <c r="A1319" s="65" t="s">
        <v>3650</v>
      </c>
      <c r="B1319" s="185"/>
      <c r="D1319" s="65"/>
    </row>
    <row r="1320">
      <c r="A1320" s="65" t="s">
        <v>3650</v>
      </c>
      <c r="B1320" s="185"/>
      <c r="D1320" s="65"/>
    </row>
    <row r="1321">
      <c r="A1321" s="65" t="s">
        <v>3650</v>
      </c>
      <c r="B1321" s="185"/>
      <c r="D1321" s="65"/>
    </row>
    <row r="1322">
      <c r="A1322" s="65" t="s">
        <v>3650</v>
      </c>
      <c r="B1322" s="185"/>
      <c r="D1322" s="65"/>
    </row>
    <row r="1323">
      <c r="A1323" s="65" t="s">
        <v>3650</v>
      </c>
      <c r="B1323" s="185"/>
      <c r="D1323" s="65"/>
    </row>
    <row r="1324">
      <c r="A1324" s="65" t="s">
        <v>3650</v>
      </c>
      <c r="B1324" s="185"/>
      <c r="D1324" s="65"/>
    </row>
    <row r="1325">
      <c r="A1325" s="65" t="s">
        <v>3650</v>
      </c>
      <c r="B1325" s="185"/>
      <c r="D1325" s="65"/>
    </row>
    <row r="1326">
      <c r="A1326" s="65" t="s">
        <v>3650</v>
      </c>
      <c r="B1326" s="185"/>
      <c r="D1326" s="65"/>
    </row>
    <row r="1327">
      <c r="A1327" s="65" t="s">
        <v>3650</v>
      </c>
      <c r="B1327" s="185"/>
      <c r="D1327" s="65"/>
    </row>
    <row r="1328">
      <c r="A1328" s="65" t="s">
        <v>3650</v>
      </c>
      <c r="B1328" s="185"/>
      <c r="D1328" s="65"/>
    </row>
    <row r="1329">
      <c r="A1329" s="65" t="s">
        <v>3650</v>
      </c>
      <c r="B1329" s="185"/>
      <c r="D1329" s="65"/>
    </row>
    <row r="1330">
      <c r="A1330" s="65" t="s">
        <v>3650</v>
      </c>
      <c r="B1330" s="185"/>
      <c r="D1330" s="65"/>
    </row>
    <row r="1331">
      <c r="A1331" s="65" t="s">
        <v>3650</v>
      </c>
      <c r="B1331" s="185"/>
      <c r="D1331" s="65"/>
    </row>
    <row r="1332">
      <c r="A1332" s="65" t="s">
        <v>3650</v>
      </c>
      <c r="B1332" s="185"/>
      <c r="D1332" s="65"/>
    </row>
    <row r="1333">
      <c r="A1333" s="65" t="s">
        <v>3650</v>
      </c>
      <c r="B1333" s="185"/>
      <c r="D1333" s="65"/>
    </row>
    <row r="1334">
      <c r="A1334" s="65" t="s">
        <v>3650</v>
      </c>
      <c r="B1334" s="185"/>
      <c r="D1334" s="65"/>
    </row>
    <row r="1335">
      <c r="A1335" s="65" t="s">
        <v>3650</v>
      </c>
      <c r="B1335" s="185"/>
      <c r="D1335" s="65"/>
    </row>
    <row r="1336">
      <c r="A1336" s="65" t="s">
        <v>3650</v>
      </c>
      <c r="B1336" s="185"/>
      <c r="D1336" s="65"/>
    </row>
    <row r="1337">
      <c r="A1337" s="65" t="s">
        <v>3650</v>
      </c>
      <c r="B1337" s="185"/>
      <c r="D1337" s="65"/>
    </row>
    <row r="1338">
      <c r="A1338" s="65" t="s">
        <v>3650</v>
      </c>
      <c r="B1338" s="185"/>
      <c r="D1338" s="65"/>
    </row>
    <row r="1339">
      <c r="A1339" s="65" t="s">
        <v>3650</v>
      </c>
      <c r="B1339" s="185"/>
      <c r="D1339" s="65"/>
    </row>
    <row r="1340">
      <c r="A1340" s="65" t="s">
        <v>3650</v>
      </c>
      <c r="B1340" s="185"/>
      <c r="D1340" s="65"/>
    </row>
    <row r="1341">
      <c r="A1341" s="65" t="s">
        <v>3650</v>
      </c>
      <c r="B1341" s="185"/>
      <c r="D1341" s="65"/>
    </row>
    <row r="1342">
      <c r="A1342" s="65" t="s">
        <v>3650</v>
      </c>
      <c r="B1342" s="185"/>
      <c r="D1342" s="65"/>
    </row>
    <row r="1343">
      <c r="A1343" s="65" t="s">
        <v>3650</v>
      </c>
      <c r="B1343" s="185"/>
      <c r="D1343" s="65"/>
    </row>
    <row r="1344">
      <c r="A1344" s="65" t="s">
        <v>3650</v>
      </c>
      <c r="B1344" s="185"/>
      <c r="D1344" s="65"/>
    </row>
    <row r="1345">
      <c r="A1345" s="65" t="s">
        <v>3650</v>
      </c>
      <c r="B1345" s="185"/>
      <c r="D1345" s="65"/>
    </row>
    <row r="1346">
      <c r="A1346" s="65" t="s">
        <v>3650</v>
      </c>
      <c r="B1346" s="185"/>
      <c r="D1346" s="65"/>
    </row>
    <row r="1347">
      <c r="A1347" s="65" t="s">
        <v>3650</v>
      </c>
      <c r="B1347" s="185"/>
      <c r="D1347" s="65"/>
    </row>
    <row r="1348">
      <c r="A1348" s="65" t="s">
        <v>3650</v>
      </c>
      <c r="B1348" s="185"/>
      <c r="D1348" s="65"/>
    </row>
    <row r="1349">
      <c r="A1349" s="65" t="s">
        <v>3650</v>
      </c>
      <c r="B1349" s="185"/>
      <c r="D1349" s="65"/>
    </row>
    <row r="1350">
      <c r="A1350" s="65" t="s">
        <v>3650</v>
      </c>
      <c r="B1350" s="185"/>
      <c r="D1350" s="65"/>
    </row>
    <row r="1351">
      <c r="A1351" s="65" t="s">
        <v>3650</v>
      </c>
      <c r="B1351" s="185"/>
      <c r="D1351" s="65"/>
    </row>
    <row r="1352">
      <c r="A1352" s="65" t="s">
        <v>3650</v>
      </c>
      <c r="B1352" s="185"/>
      <c r="D1352" s="65"/>
    </row>
    <row r="1353">
      <c r="A1353" s="65" t="s">
        <v>3650</v>
      </c>
      <c r="B1353" s="185"/>
      <c r="D1353" s="65"/>
    </row>
    <row r="1354">
      <c r="A1354" s="65" t="s">
        <v>3650</v>
      </c>
      <c r="B1354" s="185"/>
      <c r="D1354" s="65"/>
    </row>
    <row r="1355">
      <c r="A1355" s="65" t="s">
        <v>3650</v>
      </c>
      <c r="B1355" s="185"/>
      <c r="D1355" s="65"/>
    </row>
    <row r="1356">
      <c r="A1356" s="65" t="s">
        <v>3650</v>
      </c>
      <c r="B1356" s="185"/>
      <c r="D1356" s="65"/>
    </row>
    <row r="1357">
      <c r="A1357" s="65" t="s">
        <v>3650</v>
      </c>
      <c r="B1357" s="185"/>
      <c r="D1357" s="65"/>
    </row>
    <row r="1358">
      <c r="A1358" s="65" t="s">
        <v>3650</v>
      </c>
      <c r="B1358" s="185"/>
      <c r="D1358" s="65"/>
    </row>
    <row r="1359">
      <c r="A1359" s="65" t="s">
        <v>3650</v>
      </c>
      <c r="B1359" s="185"/>
      <c r="D1359" s="65"/>
    </row>
    <row r="1360">
      <c r="A1360" s="65" t="s">
        <v>3650</v>
      </c>
      <c r="B1360" s="185"/>
      <c r="D1360" s="65"/>
    </row>
    <row r="1361">
      <c r="A1361" s="65" t="s">
        <v>3650</v>
      </c>
      <c r="B1361" s="185"/>
      <c r="D1361" s="65"/>
    </row>
    <row r="1362">
      <c r="A1362" s="65" t="s">
        <v>3650</v>
      </c>
      <c r="B1362" s="185"/>
      <c r="D1362" s="65"/>
    </row>
    <row r="1363">
      <c r="A1363" s="65" t="s">
        <v>3650</v>
      </c>
      <c r="B1363" s="185"/>
      <c r="D1363" s="65"/>
    </row>
    <row r="1364">
      <c r="A1364" s="65" t="s">
        <v>3650</v>
      </c>
      <c r="B1364" s="185"/>
      <c r="D1364" s="65"/>
    </row>
    <row r="1365">
      <c r="A1365" s="65" t="s">
        <v>3650</v>
      </c>
      <c r="B1365" s="185"/>
      <c r="D1365" s="65"/>
    </row>
    <row r="1366">
      <c r="A1366" s="65" t="s">
        <v>3650</v>
      </c>
      <c r="B1366" s="185"/>
      <c r="D1366" s="65"/>
    </row>
    <row r="1367">
      <c r="A1367" s="65" t="s">
        <v>3650</v>
      </c>
      <c r="B1367" s="185"/>
      <c r="D1367" s="65"/>
    </row>
    <row r="1368">
      <c r="A1368" s="65" t="s">
        <v>3650</v>
      </c>
      <c r="B1368" s="185"/>
      <c r="D1368" s="65"/>
    </row>
    <row r="1369">
      <c r="A1369" s="65" t="s">
        <v>3650</v>
      </c>
      <c r="B1369" s="185"/>
      <c r="D1369" s="65"/>
    </row>
    <row r="1370">
      <c r="A1370" s="65" t="s">
        <v>3650</v>
      </c>
      <c r="B1370" s="185"/>
      <c r="D1370" s="65"/>
    </row>
    <row r="1371">
      <c r="A1371" s="65" t="s">
        <v>3650</v>
      </c>
      <c r="B1371" s="185"/>
      <c r="D1371" s="65"/>
    </row>
    <row r="1372">
      <c r="A1372" s="65" t="s">
        <v>3650</v>
      </c>
      <c r="B1372" s="185"/>
      <c r="D1372" s="65"/>
    </row>
    <row r="1373">
      <c r="A1373" s="65" t="s">
        <v>3650</v>
      </c>
      <c r="B1373" s="185"/>
      <c r="D1373" s="65"/>
    </row>
    <row r="1374">
      <c r="A1374" s="65" t="s">
        <v>3650</v>
      </c>
      <c r="B1374" s="185"/>
      <c r="D1374" s="65"/>
    </row>
    <row r="1375">
      <c r="A1375" s="65" t="s">
        <v>3650</v>
      </c>
      <c r="B1375" s="185"/>
      <c r="D1375" s="65"/>
    </row>
    <row r="1376">
      <c r="A1376" s="65" t="s">
        <v>3650</v>
      </c>
      <c r="B1376" s="185"/>
      <c r="D1376" s="65"/>
    </row>
    <row r="1377">
      <c r="A1377" s="65" t="s">
        <v>3650</v>
      </c>
      <c r="B1377" s="185"/>
      <c r="D1377" s="65"/>
    </row>
    <row r="1378">
      <c r="A1378" s="65" t="s">
        <v>3650</v>
      </c>
      <c r="B1378" s="185"/>
      <c r="D1378" s="65"/>
    </row>
    <row r="1379">
      <c r="A1379" s="65" t="s">
        <v>3650</v>
      </c>
      <c r="B1379" s="185"/>
      <c r="D1379" s="65"/>
    </row>
    <row r="1380">
      <c r="A1380" s="65" t="s">
        <v>3650</v>
      </c>
      <c r="B1380" s="185"/>
      <c r="D1380" s="65"/>
    </row>
    <row r="1381">
      <c r="A1381" s="65" t="s">
        <v>3650</v>
      </c>
      <c r="B1381" s="185"/>
      <c r="D1381" s="65"/>
    </row>
    <row r="1382">
      <c r="A1382" s="65" t="s">
        <v>3650</v>
      </c>
      <c r="B1382" s="185"/>
      <c r="D1382" s="65"/>
    </row>
    <row r="1383">
      <c r="A1383" s="65" t="s">
        <v>3650</v>
      </c>
      <c r="B1383" s="185"/>
      <c r="D1383" s="65"/>
    </row>
    <row r="1384">
      <c r="A1384" s="65" t="s">
        <v>3650</v>
      </c>
      <c r="B1384" s="185"/>
      <c r="D1384" s="65"/>
    </row>
    <row r="1385">
      <c r="A1385" s="65" t="s">
        <v>3650</v>
      </c>
      <c r="B1385" s="185"/>
      <c r="D1385" s="65"/>
    </row>
    <row r="1386">
      <c r="A1386" s="65" t="s">
        <v>3650</v>
      </c>
      <c r="B1386" s="185"/>
      <c r="D1386" s="65"/>
    </row>
    <row r="1387">
      <c r="A1387" s="65" t="s">
        <v>3650</v>
      </c>
      <c r="B1387" s="185"/>
      <c r="D1387" s="65"/>
    </row>
    <row r="1388">
      <c r="A1388" s="65" t="s">
        <v>3650</v>
      </c>
      <c r="B1388" s="185"/>
      <c r="D1388" s="65"/>
    </row>
    <row r="1389">
      <c r="A1389" s="65" t="s">
        <v>3650</v>
      </c>
      <c r="B1389" s="185"/>
      <c r="D1389" s="65"/>
    </row>
    <row r="1390">
      <c r="A1390" s="65" t="s">
        <v>3650</v>
      </c>
      <c r="B1390" s="185"/>
      <c r="D1390" s="65"/>
    </row>
    <row r="1391">
      <c r="A1391" s="65" t="s">
        <v>3650</v>
      </c>
      <c r="B1391" s="185"/>
      <c r="D1391" s="65"/>
    </row>
    <row r="1392">
      <c r="A1392" s="65" t="s">
        <v>3650</v>
      </c>
      <c r="B1392" s="185"/>
      <c r="D1392" s="65"/>
    </row>
    <row r="1393">
      <c r="A1393" s="65" t="s">
        <v>3650</v>
      </c>
      <c r="B1393" s="185"/>
      <c r="D1393" s="65"/>
    </row>
    <row r="1394">
      <c r="A1394" s="65" t="s">
        <v>3650</v>
      </c>
      <c r="B1394" s="185"/>
      <c r="D1394" s="65"/>
    </row>
    <row r="1395">
      <c r="A1395" s="65" t="s">
        <v>3650</v>
      </c>
      <c r="B1395" s="185"/>
      <c r="D1395" s="65"/>
    </row>
    <row r="1396">
      <c r="A1396" s="65" t="s">
        <v>3650</v>
      </c>
      <c r="B1396" s="185"/>
      <c r="D1396" s="65"/>
    </row>
    <row r="1397">
      <c r="A1397" s="65" t="s">
        <v>3650</v>
      </c>
      <c r="B1397" s="185"/>
      <c r="D1397" s="65"/>
    </row>
    <row r="1398">
      <c r="A1398" s="65" t="s">
        <v>3650</v>
      </c>
      <c r="B1398" s="185"/>
      <c r="D1398" s="65"/>
    </row>
    <row r="1399">
      <c r="A1399" s="65" t="s">
        <v>3650</v>
      </c>
      <c r="B1399" s="185"/>
      <c r="D1399" s="65"/>
    </row>
    <row r="1400">
      <c r="A1400" s="65" t="s">
        <v>3650</v>
      </c>
      <c r="B1400" s="185"/>
      <c r="D1400" s="65"/>
    </row>
    <row r="1401">
      <c r="A1401" s="65" t="s">
        <v>3650</v>
      </c>
      <c r="B1401" s="185"/>
      <c r="D1401" s="65"/>
    </row>
    <row r="1402">
      <c r="A1402" s="65" t="s">
        <v>3650</v>
      </c>
      <c r="B1402" s="185"/>
      <c r="D1402" s="65"/>
    </row>
    <row r="1403">
      <c r="A1403" s="65" t="s">
        <v>3650</v>
      </c>
      <c r="B1403" s="185"/>
      <c r="D1403" s="65"/>
    </row>
    <row r="1404">
      <c r="A1404" s="65" t="s">
        <v>3650</v>
      </c>
      <c r="B1404" s="185"/>
      <c r="D1404" s="65"/>
    </row>
    <row r="1405">
      <c r="A1405" s="65" t="s">
        <v>3650</v>
      </c>
      <c r="B1405" s="185"/>
      <c r="D1405" s="65"/>
    </row>
    <row r="1406">
      <c r="A1406" s="65" t="s">
        <v>3650</v>
      </c>
      <c r="B1406" s="185"/>
      <c r="D1406" s="65"/>
    </row>
    <row r="1407">
      <c r="A1407" s="65" t="s">
        <v>3650</v>
      </c>
      <c r="B1407" s="185"/>
      <c r="D1407" s="65"/>
    </row>
    <row r="1408">
      <c r="A1408" s="65" t="s">
        <v>3650</v>
      </c>
      <c r="B1408" s="185"/>
      <c r="D1408" s="65"/>
    </row>
    <row r="1409">
      <c r="A1409" s="65" t="s">
        <v>3650</v>
      </c>
      <c r="B1409" s="185"/>
      <c r="D1409" s="65"/>
    </row>
    <row r="1410">
      <c r="A1410" s="65" t="s">
        <v>3650</v>
      </c>
      <c r="B1410" s="185"/>
      <c r="D1410" s="65"/>
    </row>
    <row r="1411">
      <c r="A1411" s="65" t="s">
        <v>3650</v>
      </c>
      <c r="B1411" s="185"/>
      <c r="D1411" s="65"/>
    </row>
    <row r="1412">
      <c r="A1412" s="65" t="s">
        <v>3650</v>
      </c>
      <c r="B1412" s="185"/>
      <c r="D1412" s="65"/>
    </row>
    <row r="1413">
      <c r="A1413" s="65" t="s">
        <v>3650</v>
      </c>
      <c r="B1413" s="185"/>
      <c r="D1413" s="65"/>
    </row>
    <row r="1414">
      <c r="A1414" s="65" t="s">
        <v>3650</v>
      </c>
      <c r="B1414" s="185"/>
      <c r="D1414" s="65"/>
    </row>
    <row r="1415">
      <c r="A1415" s="65" t="s">
        <v>3650</v>
      </c>
      <c r="B1415" s="185"/>
      <c r="D1415" s="65"/>
    </row>
    <row r="1416">
      <c r="A1416" s="65" t="s">
        <v>3650</v>
      </c>
      <c r="B1416" s="185"/>
      <c r="D1416" s="65"/>
    </row>
    <row r="1417">
      <c r="A1417" s="65" t="s">
        <v>3650</v>
      </c>
      <c r="B1417" s="185"/>
      <c r="D1417" s="65"/>
    </row>
    <row r="1418">
      <c r="A1418" s="65" t="s">
        <v>3650</v>
      </c>
      <c r="B1418" s="185"/>
      <c r="D1418" s="65"/>
    </row>
    <row r="1419">
      <c r="A1419" s="65" t="s">
        <v>3650</v>
      </c>
      <c r="B1419" s="185"/>
      <c r="D1419" s="65"/>
    </row>
    <row r="1420">
      <c r="A1420" s="65" t="s">
        <v>3650</v>
      </c>
      <c r="B1420" s="185"/>
      <c r="D1420" s="65"/>
    </row>
    <row r="1421">
      <c r="A1421" s="65" t="s">
        <v>3650</v>
      </c>
      <c r="B1421" s="185"/>
      <c r="D1421" s="65"/>
    </row>
    <row r="1422">
      <c r="A1422" s="65" t="s">
        <v>3650</v>
      </c>
      <c r="B1422" s="185"/>
      <c r="D1422" s="65"/>
    </row>
    <row r="1423">
      <c r="A1423" s="65" t="s">
        <v>3650</v>
      </c>
      <c r="B1423" s="185"/>
      <c r="D1423" s="65"/>
    </row>
    <row r="1424">
      <c r="A1424" s="65" t="s">
        <v>3650</v>
      </c>
      <c r="B1424" s="185"/>
      <c r="D1424" s="65"/>
    </row>
    <row r="1425">
      <c r="A1425" s="65" t="s">
        <v>3650</v>
      </c>
      <c r="B1425" s="185"/>
      <c r="D1425" s="65"/>
    </row>
    <row r="1426">
      <c r="A1426" s="65" t="s">
        <v>3650</v>
      </c>
      <c r="B1426" s="185"/>
      <c r="D1426" s="65"/>
    </row>
    <row r="1427">
      <c r="A1427" s="65" t="s">
        <v>3650</v>
      </c>
      <c r="B1427" s="185"/>
      <c r="D1427" s="65"/>
    </row>
    <row r="1428">
      <c r="A1428" s="65" t="s">
        <v>3650</v>
      </c>
      <c r="B1428" s="185"/>
      <c r="D1428" s="65"/>
    </row>
    <row r="1429">
      <c r="A1429" s="65" t="s">
        <v>3650</v>
      </c>
      <c r="B1429" s="185"/>
      <c r="D1429" s="65"/>
    </row>
    <row r="1430">
      <c r="A1430" s="65" t="s">
        <v>3650</v>
      </c>
      <c r="B1430" s="185"/>
      <c r="D1430" s="65"/>
    </row>
    <row r="1431">
      <c r="A1431" s="65" t="s">
        <v>3650</v>
      </c>
      <c r="B1431" s="185"/>
      <c r="D1431" s="65"/>
    </row>
    <row r="1432">
      <c r="A1432" s="65" t="s">
        <v>3650</v>
      </c>
      <c r="B1432" s="185"/>
      <c r="D1432" s="65"/>
    </row>
    <row r="1433">
      <c r="A1433" s="65" t="s">
        <v>3650</v>
      </c>
      <c r="B1433" s="185"/>
      <c r="D1433" s="65"/>
    </row>
    <row r="1434">
      <c r="A1434" s="65" t="s">
        <v>3650</v>
      </c>
      <c r="B1434" s="185"/>
      <c r="D1434" s="65"/>
    </row>
    <row r="1435">
      <c r="A1435" s="65" t="s">
        <v>3650</v>
      </c>
      <c r="B1435" s="185"/>
      <c r="D1435" s="65"/>
    </row>
    <row r="1436">
      <c r="A1436" s="65" t="s">
        <v>3650</v>
      </c>
      <c r="B1436" s="185"/>
      <c r="D1436" s="65"/>
    </row>
    <row r="1437">
      <c r="A1437" s="65" t="s">
        <v>3650</v>
      </c>
      <c r="B1437" s="185"/>
      <c r="D1437" s="65"/>
    </row>
    <row r="1438">
      <c r="A1438" s="65" t="s">
        <v>3650</v>
      </c>
      <c r="B1438" s="185"/>
      <c r="D1438" s="65"/>
    </row>
    <row r="1439">
      <c r="A1439" s="65" t="s">
        <v>3650</v>
      </c>
      <c r="B1439" s="185"/>
      <c r="D1439" s="65"/>
    </row>
    <row r="1440">
      <c r="A1440" s="65" t="s">
        <v>3650</v>
      </c>
      <c r="B1440" s="185"/>
      <c r="D1440" s="65"/>
    </row>
    <row r="1441">
      <c r="A1441" s="65" t="s">
        <v>3650</v>
      </c>
      <c r="B1441" s="185"/>
      <c r="D1441" s="65"/>
    </row>
    <row r="1442">
      <c r="A1442" s="65" t="s">
        <v>3650</v>
      </c>
      <c r="B1442" s="185"/>
      <c r="D1442" s="65"/>
    </row>
    <row r="1443">
      <c r="A1443" s="65" t="s">
        <v>3650</v>
      </c>
      <c r="B1443" s="185"/>
      <c r="D1443" s="65"/>
    </row>
    <row r="1444">
      <c r="A1444" s="65" t="s">
        <v>3650</v>
      </c>
      <c r="B1444" s="185"/>
      <c r="D1444" s="65"/>
    </row>
    <row r="1445">
      <c r="A1445" s="65" t="s">
        <v>3650</v>
      </c>
      <c r="B1445" s="185"/>
      <c r="D1445" s="65"/>
    </row>
    <row r="1446">
      <c r="A1446" s="65" t="s">
        <v>3650</v>
      </c>
      <c r="B1446" s="185"/>
      <c r="D1446" s="65"/>
    </row>
    <row r="1447">
      <c r="A1447" s="65" t="s">
        <v>3650</v>
      </c>
      <c r="B1447" s="185"/>
      <c r="D1447" s="65"/>
    </row>
    <row r="1448">
      <c r="A1448" s="65" t="s">
        <v>3650</v>
      </c>
      <c r="B1448" s="185"/>
      <c r="D1448" s="65"/>
    </row>
    <row r="1449">
      <c r="A1449" s="65" t="s">
        <v>3650</v>
      </c>
      <c r="B1449" s="185"/>
      <c r="D1449" s="65"/>
    </row>
    <row r="1450">
      <c r="A1450" s="65" t="s">
        <v>3650</v>
      </c>
      <c r="B1450" s="185"/>
      <c r="D1450" s="65"/>
    </row>
    <row r="1451">
      <c r="A1451" s="65" t="s">
        <v>3650</v>
      </c>
      <c r="B1451" s="185"/>
      <c r="D1451" s="65"/>
    </row>
    <row r="1452">
      <c r="A1452" s="65" t="s">
        <v>3650</v>
      </c>
      <c r="B1452" s="185"/>
      <c r="D1452" s="65"/>
    </row>
    <row r="1453">
      <c r="A1453" s="65" t="s">
        <v>3650</v>
      </c>
      <c r="B1453" s="185"/>
      <c r="D1453" s="65"/>
    </row>
    <row r="1454">
      <c r="A1454" s="65" t="s">
        <v>3650</v>
      </c>
      <c r="B1454" s="185"/>
      <c r="D1454" s="65"/>
    </row>
    <row r="1455">
      <c r="A1455" s="65" t="s">
        <v>3650</v>
      </c>
      <c r="B1455" s="185"/>
      <c r="D1455" s="65"/>
    </row>
    <row r="1456">
      <c r="A1456" s="65" t="s">
        <v>3650</v>
      </c>
      <c r="B1456" s="185"/>
      <c r="D1456" s="65"/>
    </row>
    <row r="1457">
      <c r="A1457" s="65" t="s">
        <v>3650</v>
      </c>
      <c r="B1457" s="185"/>
      <c r="D1457" s="65"/>
    </row>
    <row r="1458">
      <c r="A1458" s="65" t="s">
        <v>3650</v>
      </c>
      <c r="B1458" s="185"/>
      <c r="D1458" s="65"/>
    </row>
    <row r="1459">
      <c r="A1459" s="65" t="s">
        <v>3650</v>
      </c>
      <c r="B1459" s="185"/>
      <c r="D1459" s="65"/>
    </row>
    <row r="1460">
      <c r="A1460" s="65" t="s">
        <v>3650</v>
      </c>
      <c r="B1460" s="185"/>
      <c r="D1460" s="65"/>
    </row>
    <row r="1461">
      <c r="A1461" s="65" t="s">
        <v>3650</v>
      </c>
      <c r="B1461" s="185"/>
      <c r="D1461" s="65"/>
    </row>
    <row r="1462">
      <c r="A1462" s="65" t="s">
        <v>3650</v>
      </c>
      <c r="B1462" s="185"/>
      <c r="D1462" s="65"/>
    </row>
    <row r="1463">
      <c r="A1463" s="65" t="s">
        <v>3650</v>
      </c>
      <c r="B1463" s="185"/>
      <c r="D1463" s="65"/>
    </row>
    <row r="1464">
      <c r="A1464" s="65" t="s">
        <v>3650</v>
      </c>
      <c r="B1464" s="185"/>
      <c r="D1464" s="65"/>
    </row>
    <row r="1465">
      <c r="A1465" s="65" t="s">
        <v>3650</v>
      </c>
      <c r="B1465" s="185"/>
      <c r="D1465" s="65"/>
    </row>
    <row r="1466">
      <c r="A1466" s="65" t="s">
        <v>3650</v>
      </c>
      <c r="B1466" s="185"/>
      <c r="D1466" s="65"/>
    </row>
    <row r="1467">
      <c r="A1467" s="65" t="s">
        <v>3650</v>
      </c>
      <c r="B1467" s="185"/>
      <c r="D1467" s="65"/>
    </row>
    <row r="1468">
      <c r="A1468" s="65" t="s">
        <v>3650</v>
      </c>
      <c r="B1468" s="185"/>
      <c r="D1468" s="65"/>
    </row>
    <row r="1469">
      <c r="A1469" s="65" t="s">
        <v>3650</v>
      </c>
      <c r="B1469" s="185"/>
      <c r="D1469" s="65"/>
    </row>
    <row r="1470">
      <c r="A1470" s="65" t="s">
        <v>3650</v>
      </c>
      <c r="B1470" s="185"/>
      <c r="D1470" s="65"/>
    </row>
    <row r="1471">
      <c r="A1471" s="65" t="s">
        <v>3650</v>
      </c>
      <c r="B1471" s="185"/>
      <c r="D1471" s="65"/>
    </row>
    <row r="1472">
      <c r="A1472" s="65" t="s">
        <v>3650</v>
      </c>
      <c r="B1472" s="185"/>
      <c r="D1472" s="65"/>
    </row>
    <row r="1473">
      <c r="A1473" s="65" t="s">
        <v>3650</v>
      </c>
      <c r="B1473" s="185"/>
      <c r="D1473" s="65"/>
    </row>
    <row r="1474">
      <c r="A1474" s="65" t="s">
        <v>3650</v>
      </c>
      <c r="B1474" s="185"/>
      <c r="D1474" s="65"/>
    </row>
    <row r="1475">
      <c r="A1475" s="65" t="s">
        <v>3650</v>
      </c>
      <c r="B1475" s="185"/>
      <c r="D1475" s="65"/>
    </row>
    <row r="1476">
      <c r="A1476" s="65" t="s">
        <v>3650</v>
      </c>
      <c r="B1476" s="185"/>
      <c r="D1476" s="65"/>
    </row>
    <row r="1477">
      <c r="A1477" s="65" t="s">
        <v>3650</v>
      </c>
      <c r="B1477" s="185"/>
      <c r="D1477" s="65"/>
    </row>
    <row r="1478">
      <c r="A1478" s="65" t="s">
        <v>3650</v>
      </c>
      <c r="B1478" s="185"/>
      <c r="D1478" s="65"/>
    </row>
    <row r="1479">
      <c r="A1479" s="65" t="s">
        <v>3650</v>
      </c>
      <c r="B1479" s="185"/>
      <c r="D1479" s="65"/>
    </row>
    <row r="1480">
      <c r="A1480" s="65" t="s">
        <v>3650</v>
      </c>
      <c r="B1480" s="185"/>
      <c r="D1480" s="65"/>
    </row>
    <row r="1481">
      <c r="A1481" s="65" t="s">
        <v>3650</v>
      </c>
      <c r="B1481" s="185"/>
      <c r="D1481" s="65"/>
    </row>
    <row r="1482">
      <c r="A1482" s="65" t="s">
        <v>3650</v>
      </c>
      <c r="B1482" s="185"/>
      <c r="D1482" s="65"/>
    </row>
    <row r="1483">
      <c r="A1483" s="65" t="s">
        <v>3650</v>
      </c>
      <c r="B1483" s="185"/>
      <c r="D1483" s="65"/>
    </row>
    <row r="1484">
      <c r="A1484" s="65" t="s">
        <v>3650</v>
      </c>
      <c r="B1484" s="185"/>
      <c r="D1484" s="65"/>
    </row>
    <row r="1485">
      <c r="A1485" s="65" t="s">
        <v>3650</v>
      </c>
      <c r="B1485" s="185"/>
      <c r="D1485" s="65"/>
    </row>
    <row r="1486">
      <c r="A1486" s="65" t="s">
        <v>3650</v>
      </c>
      <c r="B1486" s="185"/>
      <c r="D1486" s="65"/>
    </row>
    <row r="1487">
      <c r="A1487" s="65" t="s">
        <v>3650</v>
      </c>
      <c r="B1487" s="185"/>
      <c r="D1487" s="65"/>
    </row>
    <row r="1488">
      <c r="A1488" s="65" t="s">
        <v>3650</v>
      </c>
      <c r="B1488" s="185"/>
      <c r="D1488" s="65"/>
    </row>
    <row r="1489">
      <c r="A1489" s="65" t="s">
        <v>3650</v>
      </c>
      <c r="B1489" s="185"/>
      <c r="D1489" s="65"/>
    </row>
    <row r="1490">
      <c r="A1490" s="65" t="s">
        <v>3650</v>
      </c>
      <c r="B1490" s="185"/>
      <c r="D1490" s="65"/>
    </row>
    <row r="1491">
      <c r="A1491" s="65" t="s">
        <v>3650</v>
      </c>
      <c r="B1491" s="185"/>
      <c r="D1491" s="65"/>
    </row>
    <row r="1492">
      <c r="A1492" s="65" t="s">
        <v>3650</v>
      </c>
      <c r="B1492" s="185"/>
      <c r="D1492" s="65"/>
    </row>
    <row r="1493">
      <c r="A1493" s="65" t="s">
        <v>3650</v>
      </c>
      <c r="B1493" s="185"/>
      <c r="D1493" s="65"/>
    </row>
    <row r="1494">
      <c r="A1494" s="65" t="s">
        <v>3650</v>
      </c>
      <c r="B1494" s="185"/>
      <c r="D1494" s="65"/>
    </row>
    <row r="1495">
      <c r="A1495" s="65" t="s">
        <v>3650</v>
      </c>
      <c r="B1495" s="185"/>
      <c r="D1495" s="65"/>
    </row>
    <row r="1496">
      <c r="A1496" s="65" t="s">
        <v>3650</v>
      </c>
      <c r="B1496" s="185"/>
      <c r="D1496" s="65"/>
    </row>
    <row r="1497">
      <c r="A1497" s="65" t="s">
        <v>3650</v>
      </c>
      <c r="B1497" s="185"/>
      <c r="D1497" s="65"/>
    </row>
    <row r="1498">
      <c r="A1498" s="65" t="s">
        <v>3650</v>
      </c>
      <c r="B1498" s="185"/>
      <c r="D1498" s="65"/>
    </row>
    <row r="1499">
      <c r="A1499" s="65" t="s">
        <v>3650</v>
      </c>
      <c r="B1499" s="185"/>
      <c r="D1499" s="65"/>
    </row>
    <row r="1500">
      <c r="A1500" s="65" t="s">
        <v>3650</v>
      </c>
      <c r="B1500" s="185"/>
      <c r="D1500" s="65"/>
    </row>
    <row r="1501">
      <c r="A1501" s="65" t="s">
        <v>3650</v>
      </c>
      <c r="B1501" s="185"/>
      <c r="D1501" s="65"/>
    </row>
    <row r="1502">
      <c r="A1502" s="65" t="s">
        <v>3650</v>
      </c>
      <c r="B1502" s="185"/>
      <c r="D1502" s="65"/>
    </row>
    <row r="1503">
      <c r="A1503" s="65" t="s">
        <v>3650</v>
      </c>
      <c r="B1503" s="185"/>
      <c r="D1503" s="65"/>
    </row>
    <row r="1504">
      <c r="A1504" s="65" t="s">
        <v>3650</v>
      </c>
      <c r="B1504" s="185"/>
      <c r="D1504" s="65"/>
    </row>
    <row r="1505">
      <c r="A1505" s="65" t="s">
        <v>3650</v>
      </c>
      <c r="B1505" s="185"/>
      <c r="D1505" s="65"/>
    </row>
    <row r="1506">
      <c r="A1506" s="65" t="s">
        <v>3650</v>
      </c>
      <c r="B1506" s="185"/>
      <c r="D1506" s="65"/>
    </row>
    <row r="1507">
      <c r="A1507" s="65" t="s">
        <v>3650</v>
      </c>
      <c r="B1507" s="185"/>
      <c r="D1507" s="65"/>
    </row>
    <row r="1508">
      <c r="A1508" s="65" t="s">
        <v>3650</v>
      </c>
      <c r="B1508" s="185"/>
      <c r="D1508" s="65"/>
    </row>
    <row r="1509">
      <c r="A1509" s="65" t="s">
        <v>3650</v>
      </c>
      <c r="B1509" s="185"/>
      <c r="D1509" s="65"/>
    </row>
    <row r="1510">
      <c r="A1510" s="65" t="s">
        <v>3650</v>
      </c>
      <c r="B1510" s="185"/>
      <c r="D1510" s="65"/>
    </row>
    <row r="1511">
      <c r="A1511" s="65" t="s">
        <v>3650</v>
      </c>
      <c r="B1511" s="185"/>
      <c r="D1511" s="65"/>
    </row>
    <row r="1512">
      <c r="A1512" s="65" t="s">
        <v>3650</v>
      </c>
      <c r="B1512" s="185"/>
      <c r="D1512" s="65"/>
    </row>
    <row r="1513">
      <c r="A1513" s="65" t="s">
        <v>3650</v>
      </c>
      <c r="B1513" s="185"/>
      <c r="D1513" s="65"/>
    </row>
    <row r="1514">
      <c r="A1514" s="65" t="s">
        <v>3650</v>
      </c>
      <c r="B1514" s="185"/>
      <c r="D1514" s="65"/>
    </row>
    <row r="1515">
      <c r="A1515" s="65" t="s">
        <v>3650</v>
      </c>
      <c r="B1515" s="185"/>
      <c r="D1515" s="65"/>
    </row>
    <row r="1516">
      <c r="A1516" s="65" t="s">
        <v>3650</v>
      </c>
      <c r="B1516" s="185"/>
      <c r="D1516" s="65"/>
    </row>
    <row r="1517">
      <c r="A1517" s="65" t="s">
        <v>3650</v>
      </c>
      <c r="B1517" s="185"/>
      <c r="D1517" s="65"/>
    </row>
    <row r="1518">
      <c r="A1518" s="65" t="s">
        <v>3650</v>
      </c>
      <c r="B1518" s="185"/>
      <c r="D1518" s="65"/>
    </row>
    <row r="1519">
      <c r="A1519" s="65" t="s">
        <v>3650</v>
      </c>
      <c r="B1519" s="185"/>
      <c r="D1519" s="65"/>
    </row>
    <row r="1520">
      <c r="A1520" s="65" t="s">
        <v>3650</v>
      </c>
      <c r="B1520" s="185"/>
      <c r="D1520" s="65"/>
    </row>
    <row r="1521">
      <c r="A1521" s="65" t="s">
        <v>3650</v>
      </c>
      <c r="B1521" s="185"/>
      <c r="D1521" s="65"/>
    </row>
    <row r="1522">
      <c r="A1522" s="65" t="s">
        <v>3650</v>
      </c>
      <c r="B1522" s="185"/>
      <c r="D1522" s="65"/>
    </row>
    <row r="1523">
      <c r="A1523" s="65" t="s">
        <v>3650</v>
      </c>
      <c r="B1523" s="185"/>
      <c r="D1523" s="65"/>
    </row>
    <row r="1524">
      <c r="A1524" s="65" t="s">
        <v>3650</v>
      </c>
      <c r="B1524" s="185"/>
      <c r="D1524" s="65"/>
    </row>
    <row r="1525">
      <c r="A1525" s="65" t="s">
        <v>3650</v>
      </c>
      <c r="B1525" s="185"/>
      <c r="D1525" s="65"/>
    </row>
    <row r="1526">
      <c r="A1526" s="65" t="s">
        <v>3650</v>
      </c>
      <c r="B1526" s="185"/>
      <c r="D1526" s="65"/>
    </row>
    <row r="1527">
      <c r="A1527" s="65" t="s">
        <v>3650</v>
      </c>
      <c r="B1527" s="185"/>
      <c r="D1527" s="65"/>
    </row>
    <row r="1528">
      <c r="A1528" s="65" t="s">
        <v>3650</v>
      </c>
      <c r="B1528" s="185"/>
      <c r="D1528" s="65"/>
    </row>
    <row r="1529">
      <c r="A1529" s="65" t="s">
        <v>3650</v>
      </c>
      <c r="B1529" s="185"/>
      <c r="D1529" s="65"/>
    </row>
    <row r="1530">
      <c r="A1530" s="65" t="s">
        <v>3650</v>
      </c>
      <c r="B1530" s="185"/>
      <c r="D1530" s="65"/>
    </row>
    <row r="1531">
      <c r="A1531" s="65" t="s">
        <v>3650</v>
      </c>
      <c r="B1531" s="185"/>
      <c r="D1531" s="65"/>
    </row>
    <row r="1532">
      <c r="A1532" s="65" t="s">
        <v>3650</v>
      </c>
      <c r="B1532" s="185"/>
      <c r="D1532" s="65"/>
    </row>
    <row r="1533">
      <c r="A1533" s="65" t="s">
        <v>3650</v>
      </c>
      <c r="B1533" s="185"/>
      <c r="D1533" s="65"/>
    </row>
    <row r="1534">
      <c r="A1534" s="65" t="s">
        <v>3650</v>
      </c>
      <c r="B1534" s="185"/>
      <c r="D1534" s="65"/>
    </row>
    <row r="1535">
      <c r="A1535" s="65" t="s">
        <v>3650</v>
      </c>
      <c r="B1535" s="185"/>
      <c r="D1535" s="65"/>
    </row>
    <row r="1536">
      <c r="A1536" s="65" t="s">
        <v>3650</v>
      </c>
      <c r="B1536" s="185"/>
      <c r="D1536" s="65"/>
    </row>
    <row r="1537">
      <c r="A1537" s="65" t="s">
        <v>3650</v>
      </c>
      <c r="B1537" s="185"/>
      <c r="D1537" s="65"/>
    </row>
    <row r="1538">
      <c r="A1538" s="65" t="s">
        <v>3650</v>
      </c>
      <c r="B1538" s="185"/>
      <c r="D1538" s="65"/>
    </row>
    <row r="1539">
      <c r="A1539" s="65" t="s">
        <v>3650</v>
      </c>
      <c r="B1539" s="185"/>
      <c r="D1539" s="65"/>
    </row>
    <row r="1540">
      <c r="A1540" s="65" t="s">
        <v>3650</v>
      </c>
      <c r="B1540" s="185"/>
      <c r="D1540" s="65"/>
    </row>
    <row r="1541">
      <c r="A1541" s="65" t="s">
        <v>3650</v>
      </c>
      <c r="B1541" s="185"/>
      <c r="D1541" s="65"/>
    </row>
    <row r="1542">
      <c r="A1542" s="65" t="s">
        <v>3650</v>
      </c>
      <c r="B1542" s="185"/>
      <c r="D1542" s="65"/>
    </row>
    <row r="1543">
      <c r="A1543" s="65" t="s">
        <v>3650</v>
      </c>
      <c r="B1543" s="185"/>
      <c r="D1543" s="65"/>
    </row>
    <row r="1544">
      <c r="A1544" s="65" t="s">
        <v>3650</v>
      </c>
      <c r="B1544" s="185"/>
      <c r="D1544" s="65"/>
    </row>
    <row r="1545">
      <c r="A1545" s="65" t="s">
        <v>3650</v>
      </c>
      <c r="B1545" s="185"/>
      <c r="D1545" s="65"/>
    </row>
    <row r="1546">
      <c r="A1546" s="65" t="s">
        <v>3650</v>
      </c>
      <c r="B1546" s="185"/>
      <c r="D1546" s="65"/>
    </row>
    <row r="1547">
      <c r="A1547" s="65" t="s">
        <v>3650</v>
      </c>
      <c r="B1547" s="185"/>
      <c r="D1547" s="65"/>
    </row>
    <row r="1548">
      <c r="A1548" s="65" t="s">
        <v>3650</v>
      </c>
      <c r="B1548" s="185"/>
      <c r="D1548" s="65"/>
    </row>
    <row r="1549">
      <c r="A1549" s="65" t="s">
        <v>3650</v>
      </c>
      <c r="B1549" s="185"/>
      <c r="D1549" s="65"/>
    </row>
    <row r="1550">
      <c r="A1550" s="65" t="s">
        <v>3650</v>
      </c>
      <c r="B1550" s="185"/>
      <c r="D1550" s="65"/>
    </row>
    <row r="1551">
      <c r="A1551" s="65" t="s">
        <v>3650</v>
      </c>
      <c r="B1551" s="185"/>
      <c r="D1551" s="65"/>
    </row>
    <row r="1552">
      <c r="A1552" s="65" t="s">
        <v>3650</v>
      </c>
      <c r="B1552" s="185"/>
      <c r="D1552" s="65"/>
    </row>
    <row r="1553">
      <c r="A1553" s="65" t="s">
        <v>3650</v>
      </c>
      <c r="B1553" s="185"/>
      <c r="D1553" s="65"/>
    </row>
    <row r="1554">
      <c r="A1554" s="65" t="s">
        <v>3650</v>
      </c>
      <c r="B1554" s="185"/>
      <c r="D1554" s="65"/>
    </row>
    <row r="1555">
      <c r="A1555" s="65" t="s">
        <v>3650</v>
      </c>
      <c r="B1555" s="185"/>
      <c r="D1555" s="65"/>
    </row>
    <row r="1556">
      <c r="A1556" s="65" t="s">
        <v>3650</v>
      </c>
      <c r="B1556" s="185"/>
      <c r="D1556" s="65"/>
    </row>
    <row r="1557">
      <c r="A1557" s="65" t="s">
        <v>3650</v>
      </c>
      <c r="B1557" s="185"/>
      <c r="D1557" s="65"/>
    </row>
    <row r="1558">
      <c r="A1558" s="65" t="s">
        <v>3650</v>
      </c>
      <c r="B1558" s="185"/>
      <c r="D1558" s="65"/>
    </row>
    <row r="1559">
      <c r="A1559" s="65" t="s">
        <v>3650</v>
      </c>
      <c r="B1559" s="185"/>
      <c r="D1559" s="65"/>
    </row>
    <row r="1560">
      <c r="A1560" s="65" t="s">
        <v>3650</v>
      </c>
      <c r="B1560" s="185"/>
      <c r="D1560" s="65"/>
    </row>
    <row r="1561">
      <c r="A1561" s="65" t="s">
        <v>3650</v>
      </c>
      <c r="B1561" s="185"/>
      <c r="D1561" s="65"/>
    </row>
    <row r="1562">
      <c r="A1562" s="65" t="s">
        <v>3650</v>
      </c>
      <c r="B1562" s="185"/>
      <c r="D1562" s="65"/>
    </row>
    <row r="1563">
      <c r="A1563" s="65" t="s">
        <v>3650</v>
      </c>
      <c r="B1563" s="185"/>
      <c r="D1563" s="65"/>
    </row>
    <row r="1564">
      <c r="A1564" s="65" t="s">
        <v>3650</v>
      </c>
      <c r="B1564" s="185"/>
      <c r="D1564" s="65"/>
    </row>
    <row r="1565">
      <c r="A1565" s="65" t="s">
        <v>3650</v>
      </c>
      <c r="B1565" s="185"/>
      <c r="D1565" s="65"/>
    </row>
    <row r="1566">
      <c r="A1566" s="65" t="s">
        <v>3650</v>
      </c>
      <c r="B1566" s="185"/>
      <c r="D1566" s="65"/>
    </row>
    <row r="1567">
      <c r="A1567" s="65" t="s">
        <v>3650</v>
      </c>
      <c r="B1567" s="185"/>
      <c r="D1567" s="65"/>
    </row>
    <row r="1568">
      <c r="A1568" s="65" t="s">
        <v>3650</v>
      </c>
      <c r="B1568" s="185"/>
      <c r="D1568" s="65"/>
    </row>
    <row r="1569">
      <c r="A1569" s="65" t="s">
        <v>3650</v>
      </c>
      <c r="B1569" s="185"/>
      <c r="D1569" s="65"/>
    </row>
    <row r="1570">
      <c r="A1570" s="65" t="s">
        <v>3650</v>
      </c>
      <c r="B1570" s="185"/>
      <c r="D1570" s="65"/>
    </row>
    <row r="1571">
      <c r="A1571" s="65" t="s">
        <v>3650</v>
      </c>
      <c r="B1571" s="185"/>
      <c r="D1571" s="65"/>
    </row>
    <row r="1572">
      <c r="A1572" s="65" t="s">
        <v>3650</v>
      </c>
      <c r="B1572" s="185"/>
      <c r="D1572" s="65"/>
    </row>
    <row r="1573">
      <c r="A1573" s="65" t="s">
        <v>3650</v>
      </c>
      <c r="B1573" s="185"/>
      <c r="D1573" s="65"/>
    </row>
    <row r="1574">
      <c r="A1574" s="65" t="s">
        <v>3650</v>
      </c>
      <c r="B1574" s="185"/>
      <c r="D1574" s="65"/>
    </row>
    <row r="1575">
      <c r="A1575" s="65" t="s">
        <v>3650</v>
      </c>
      <c r="B1575" s="185"/>
      <c r="D1575" s="65"/>
    </row>
    <row r="1576">
      <c r="A1576" s="65" t="s">
        <v>3650</v>
      </c>
      <c r="B1576" s="185"/>
      <c r="D1576" s="65"/>
    </row>
    <row r="1577">
      <c r="A1577" s="65" t="s">
        <v>3650</v>
      </c>
      <c r="B1577" s="185"/>
      <c r="D1577" s="65"/>
    </row>
    <row r="1578">
      <c r="A1578" s="65" t="s">
        <v>3650</v>
      </c>
      <c r="B1578" s="185"/>
      <c r="D1578" s="65"/>
    </row>
    <row r="1579">
      <c r="A1579" s="65" t="s">
        <v>3650</v>
      </c>
      <c r="B1579" s="185"/>
      <c r="D1579" s="65"/>
    </row>
    <row r="1580">
      <c r="A1580" s="65" t="s">
        <v>3650</v>
      </c>
      <c r="B1580" s="185"/>
      <c r="D1580" s="65"/>
    </row>
    <row r="1581">
      <c r="A1581" s="65" t="s">
        <v>3650</v>
      </c>
      <c r="B1581" s="185"/>
      <c r="D1581" s="65"/>
    </row>
    <row r="1582">
      <c r="A1582" s="65" t="s">
        <v>3650</v>
      </c>
      <c r="B1582" s="185"/>
      <c r="D1582" s="65"/>
    </row>
    <row r="1583">
      <c r="A1583" s="65" t="s">
        <v>3650</v>
      </c>
      <c r="B1583" s="185"/>
      <c r="D1583" s="65"/>
    </row>
    <row r="1584">
      <c r="A1584" s="65" t="s">
        <v>3650</v>
      </c>
      <c r="B1584" s="185"/>
      <c r="D1584" s="65"/>
    </row>
    <row r="1585">
      <c r="A1585" s="65" t="s">
        <v>3650</v>
      </c>
      <c r="B1585" s="185"/>
      <c r="D1585" s="65"/>
    </row>
    <row r="1586">
      <c r="A1586" s="65" t="s">
        <v>3650</v>
      </c>
      <c r="B1586" s="185"/>
      <c r="D1586" s="65"/>
    </row>
    <row r="1587">
      <c r="A1587" s="65" t="s">
        <v>3650</v>
      </c>
      <c r="B1587" s="185"/>
      <c r="D1587" s="65"/>
    </row>
    <row r="1588">
      <c r="A1588" s="65" t="s">
        <v>3650</v>
      </c>
      <c r="B1588" s="185"/>
      <c r="D1588" s="65"/>
    </row>
    <row r="1589">
      <c r="A1589" s="65" t="s">
        <v>3650</v>
      </c>
      <c r="B1589" s="185"/>
      <c r="D1589" s="65"/>
    </row>
    <row r="1590">
      <c r="A1590" s="65" t="s">
        <v>3650</v>
      </c>
      <c r="B1590" s="185"/>
      <c r="D1590" s="65"/>
    </row>
    <row r="1591">
      <c r="A1591" s="65" t="s">
        <v>3650</v>
      </c>
      <c r="B1591" s="185"/>
      <c r="D1591" s="65"/>
    </row>
    <row r="1592">
      <c r="A1592" s="65" t="s">
        <v>3650</v>
      </c>
      <c r="B1592" s="185"/>
      <c r="D1592" s="65"/>
    </row>
    <row r="1593">
      <c r="A1593" s="65" t="s">
        <v>3650</v>
      </c>
      <c r="B1593" s="185"/>
      <c r="D1593" s="65"/>
    </row>
    <row r="1594">
      <c r="A1594" s="65" t="s">
        <v>3650</v>
      </c>
      <c r="B1594" s="185"/>
      <c r="D1594" s="65"/>
    </row>
    <row r="1595">
      <c r="A1595" s="65" t="s">
        <v>3650</v>
      </c>
      <c r="B1595" s="185"/>
      <c r="D1595" s="65"/>
    </row>
    <row r="1596">
      <c r="A1596" s="65" t="s">
        <v>3650</v>
      </c>
      <c r="B1596" s="185"/>
      <c r="D1596" s="65"/>
    </row>
    <row r="1597">
      <c r="A1597" s="65" t="s">
        <v>3650</v>
      </c>
      <c r="B1597" s="185"/>
      <c r="D1597" s="65"/>
    </row>
    <row r="1598">
      <c r="A1598" s="65" t="s">
        <v>3650</v>
      </c>
      <c r="B1598" s="185"/>
      <c r="D1598" s="65"/>
    </row>
    <row r="1599">
      <c r="A1599" s="65" t="s">
        <v>3650</v>
      </c>
      <c r="B1599" s="185"/>
      <c r="D1599" s="65"/>
    </row>
    <row r="1600">
      <c r="A1600" s="65" t="s">
        <v>3650</v>
      </c>
      <c r="B1600" s="185"/>
      <c r="D1600" s="65"/>
    </row>
    <row r="1601">
      <c r="A1601" s="65" t="s">
        <v>3650</v>
      </c>
      <c r="B1601" s="185"/>
      <c r="D1601" s="65"/>
    </row>
    <row r="1602">
      <c r="A1602" s="65" t="s">
        <v>3650</v>
      </c>
      <c r="B1602" s="185"/>
      <c r="D1602" s="65"/>
    </row>
    <row r="1603">
      <c r="A1603" s="65" t="s">
        <v>3650</v>
      </c>
      <c r="B1603" s="185"/>
      <c r="D1603" s="65"/>
    </row>
    <row r="1604">
      <c r="A1604" s="65" t="s">
        <v>3650</v>
      </c>
      <c r="B1604" s="185"/>
      <c r="D1604" s="65"/>
    </row>
    <row r="1605">
      <c r="A1605" s="65" t="s">
        <v>3650</v>
      </c>
      <c r="B1605" s="185"/>
      <c r="D1605" s="65"/>
    </row>
    <row r="1606">
      <c r="A1606" s="65" t="s">
        <v>3650</v>
      </c>
      <c r="B1606" s="185"/>
      <c r="D1606" s="65"/>
    </row>
    <row r="1607">
      <c r="A1607" s="65" t="s">
        <v>3650</v>
      </c>
      <c r="B1607" s="185"/>
      <c r="D1607" s="65"/>
    </row>
    <row r="1608">
      <c r="A1608" s="65" t="s">
        <v>3650</v>
      </c>
      <c r="B1608" s="185"/>
      <c r="D1608" s="65"/>
    </row>
    <row r="1609">
      <c r="A1609" s="65" t="s">
        <v>3650</v>
      </c>
      <c r="B1609" s="185"/>
      <c r="D1609" s="65"/>
    </row>
    <row r="1610">
      <c r="A1610" s="65" t="s">
        <v>3650</v>
      </c>
      <c r="B1610" s="185"/>
      <c r="D1610" s="65"/>
    </row>
    <row r="1611">
      <c r="A1611" s="65" t="s">
        <v>3650</v>
      </c>
      <c r="B1611" s="185"/>
      <c r="D1611" s="65"/>
    </row>
    <row r="1612">
      <c r="A1612" s="65" t="s">
        <v>3650</v>
      </c>
      <c r="B1612" s="185"/>
      <c r="D1612" s="65"/>
    </row>
    <row r="1613">
      <c r="A1613" s="65" t="s">
        <v>3650</v>
      </c>
      <c r="B1613" s="185"/>
      <c r="D1613" s="65"/>
    </row>
    <row r="1614">
      <c r="A1614" s="65" t="s">
        <v>3650</v>
      </c>
      <c r="B1614" s="185"/>
      <c r="D1614" s="65"/>
    </row>
    <row r="1615">
      <c r="A1615" s="65" t="s">
        <v>3650</v>
      </c>
      <c r="B1615" s="185"/>
      <c r="D1615" s="65"/>
    </row>
    <row r="1616">
      <c r="A1616" s="65" t="s">
        <v>3650</v>
      </c>
      <c r="B1616" s="185"/>
      <c r="D1616" s="65"/>
    </row>
    <row r="1617">
      <c r="A1617" s="65" t="s">
        <v>3650</v>
      </c>
      <c r="B1617" s="185"/>
      <c r="D1617" s="65"/>
    </row>
    <row r="1618">
      <c r="A1618" s="65" t="s">
        <v>3650</v>
      </c>
      <c r="B1618" s="185"/>
      <c r="D1618" s="65"/>
    </row>
    <row r="1619">
      <c r="A1619" s="65" t="s">
        <v>3650</v>
      </c>
      <c r="B1619" s="185"/>
      <c r="D1619" s="65"/>
    </row>
    <row r="1620">
      <c r="A1620" s="65" t="s">
        <v>3650</v>
      </c>
      <c r="B1620" s="185"/>
      <c r="D1620" s="65"/>
    </row>
    <row r="1621">
      <c r="A1621" s="65" t="s">
        <v>3650</v>
      </c>
      <c r="B1621" s="185"/>
      <c r="D1621" s="65"/>
    </row>
    <row r="1622">
      <c r="A1622" s="65" t="s">
        <v>3650</v>
      </c>
      <c r="B1622" s="185"/>
      <c r="D1622" s="65"/>
    </row>
    <row r="1623">
      <c r="A1623" s="65" t="s">
        <v>3650</v>
      </c>
      <c r="B1623" s="185"/>
      <c r="D1623" s="65"/>
    </row>
    <row r="1624">
      <c r="A1624" s="65" t="s">
        <v>3650</v>
      </c>
      <c r="B1624" s="185"/>
      <c r="D1624" s="65"/>
    </row>
    <row r="1625">
      <c r="A1625" s="65" t="s">
        <v>3650</v>
      </c>
      <c r="B1625" s="185"/>
      <c r="D1625" s="65"/>
    </row>
    <row r="1626">
      <c r="A1626" s="65" t="s">
        <v>3650</v>
      </c>
      <c r="B1626" s="185"/>
      <c r="D1626" s="65"/>
    </row>
    <row r="1627">
      <c r="A1627" s="65" t="s">
        <v>3650</v>
      </c>
      <c r="B1627" s="185"/>
      <c r="D1627" s="65"/>
    </row>
    <row r="1628">
      <c r="A1628" s="65" t="s">
        <v>3650</v>
      </c>
      <c r="B1628" s="185"/>
      <c r="D1628" s="65"/>
    </row>
    <row r="1629">
      <c r="A1629" s="65" t="s">
        <v>3650</v>
      </c>
      <c r="B1629" s="185"/>
      <c r="D1629" s="65"/>
    </row>
    <row r="1630">
      <c r="A1630" s="65" t="s">
        <v>3650</v>
      </c>
      <c r="B1630" s="185"/>
      <c r="D1630" s="65"/>
    </row>
    <row r="1631">
      <c r="A1631" s="65" t="s">
        <v>3650</v>
      </c>
      <c r="B1631" s="185"/>
      <c r="D1631" s="65"/>
    </row>
    <row r="1632">
      <c r="A1632" s="65" t="s">
        <v>3650</v>
      </c>
      <c r="B1632" s="185"/>
      <c r="D1632" s="65"/>
    </row>
    <row r="1633">
      <c r="A1633" s="65" t="s">
        <v>3650</v>
      </c>
      <c r="B1633" s="185"/>
      <c r="D1633" s="65"/>
    </row>
    <row r="1634">
      <c r="A1634" s="65" t="s">
        <v>3650</v>
      </c>
      <c r="B1634" s="185"/>
      <c r="D1634" s="65"/>
    </row>
    <row r="1635">
      <c r="A1635" s="65" t="s">
        <v>3650</v>
      </c>
      <c r="B1635" s="185"/>
      <c r="D1635" s="65"/>
    </row>
    <row r="1636">
      <c r="A1636" s="65" t="s">
        <v>3650</v>
      </c>
      <c r="B1636" s="185"/>
      <c r="D1636" s="65"/>
    </row>
    <row r="1637">
      <c r="A1637" s="65" t="s">
        <v>3650</v>
      </c>
      <c r="B1637" s="185"/>
      <c r="D1637" s="65"/>
    </row>
    <row r="1638">
      <c r="A1638" s="65" t="s">
        <v>3650</v>
      </c>
      <c r="B1638" s="185"/>
      <c r="D1638" s="65"/>
    </row>
    <row r="1639">
      <c r="A1639" s="65" t="s">
        <v>3650</v>
      </c>
      <c r="B1639" s="185"/>
      <c r="D1639" s="65"/>
    </row>
    <row r="1640">
      <c r="A1640" s="65" t="s">
        <v>3650</v>
      </c>
      <c r="B1640" s="185"/>
      <c r="D1640" s="65"/>
    </row>
    <row r="1641">
      <c r="A1641" s="65" t="s">
        <v>3650</v>
      </c>
      <c r="B1641" s="185"/>
      <c r="D1641" s="65"/>
    </row>
    <row r="1642">
      <c r="A1642" s="65" t="s">
        <v>3650</v>
      </c>
      <c r="B1642" s="185"/>
      <c r="D1642" s="65"/>
    </row>
    <row r="1643">
      <c r="A1643" s="65" t="s">
        <v>3650</v>
      </c>
      <c r="B1643" s="185"/>
      <c r="D1643" s="65"/>
    </row>
    <row r="1644">
      <c r="A1644" s="65" t="s">
        <v>3650</v>
      </c>
      <c r="B1644" s="185"/>
      <c r="D1644" s="65"/>
    </row>
    <row r="1645">
      <c r="A1645" s="65" t="s">
        <v>3650</v>
      </c>
      <c r="B1645" s="185"/>
      <c r="D1645" s="65"/>
    </row>
    <row r="1646">
      <c r="A1646" s="65" t="s">
        <v>3650</v>
      </c>
      <c r="B1646" s="185"/>
      <c r="D1646" s="65"/>
    </row>
    <row r="1647">
      <c r="A1647" s="65" t="s">
        <v>3650</v>
      </c>
      <c r="B1647" s="185"/>
      <c r="D1647" s="65"/>
    </row>
    <row r="1648">
      <c r="A1648" s="65" t="s">
        <v>3650</v>
      </c>
      <c r="B1648" s="185"/>
      <c r="D1648" s="65"/>
    </row>
    <row r="1649">
      <c r="A1649" s="65" t="s">
        <v>3650</v>
      </c>
      <c r="B1649" s="185"/>
      <c r="D1649" s="65"/>
    </row>
    <row r="1650">
      <c r="A1650" s="65" t="s">
        <v>3650</v>
      </c>
      <c r="B1650" s="185"/>
      <c r="D1650" s="65"/>
    </row>
    <row r="1651">
      <c r="A1651" s="65" t="s">
        <v>3650</v>
      </c>
      <c r="B1651" s="185"/>
      <c r="D1651" s="65"/>
    </row>
    <row r="1652">
      <c r="A1652" s="65" t="s">
        <v>3650</v>
      </c>
      <c r="B1652" s="185"/>
      <c r="D1652" s="65"/>
    </row>
    <row r="1653">
      <c r="A1653" s="65" t="s">
        <v>3650</v>
      </c>
      <c r="B1653" s="185"/>
      <c r="D1653" s="65"/>
    </row>
    <row r="1654">
      <c r="A1654" s="65" t="s">
        <v>3650</v>
      </c>
      <c r="B1654" s="185"/>
      <c r="D1654" s="65"/>
    </row>
    <row r="1655">
      <c r="A1655" s="65" t="s">
        <v>3650</v>
      </c>
      <c r="B1655" s="185"/>
      <c r="D1655" s="65"/>
    </row>
    <row r="1656">
      <c r="A1656" s="65" t="s">
        <v>3650</v>
      </c>
      <c r="B1656" s="185"/>
      <c r="D1656" s="65"/>
    </row>
    <row r="1657">
      <c r="A1657" s="65" t="s">
        <v>3650</v>
      </c>
      <c r="B1657" s="185"/>
      <c r="D1657" s="65"/>
    </row>
    <row r="1658">
      <c r="A1658" s="65" t="s">
        <v>3650</v>
      </c>
      <c r="B1658" s="185"/>
      <c r="D1658" s="65"/>
    </row>
    <row r="1659">
      <c r="A1659" s="65" t="s">
        <v>3650</v>
      </c>
      <c r="B1659" s="185"/>
      <c r="D1659" s="65"/>
    </row>
    <row r="1660">
      <c r="A1660" s="65" t="s">
        <v>3650</v>
      </c>
      <c r="B1660" s="185"/>
      <c r="D1660" s="65"/>
    </row>
    <row r="1661">
      <c r="A1661" s="65" t="s">
        <v>3650</v>
      </c>
      <c r="B1661" s="185"/>
      <c r="D1661" s="65"/>
    </row>
    <row r="1662">
      <c r="A1662" s="65" t="s">
        <v>3650</v>
      </c>
      <c r="B1662" s="185"/>
      <c r="D1662" s="65"/>
    </row>
    <row r="1663">
      <c r="A1663" s="65" t="s">
        <v>3650</v>
      </c>
      <c r="B1663" s="185"/>
      <c r="D1663" s="65"/>
    </row>
    <row r="1664">
      <c r="A1664" s="65" t="s">
        <v>3650</v>
      </c>
      <c r="B1664" s="185"/>
      <c r="D1664" s="65"/>
    </row>
    <row r="1665">
      <c r="A1665" s="65" t="s">
        <v>3650</v>
      </c>
      <c r="B1665" s="185"/>
      <c r="D1665" s="65"/>
    </row>
    <row r="1666">
      <c r="A1666" s="65" t="s">
        <v>3650</v>
      </c>
      <c r="B1666" s="185"/>
      <c r="D1666" s="65"/>
    </row>
    <row r="1667">
      <c r="A1667" s="65" t="s">
        <v>3650</v>
      </c>
      <c r="B1667" s="185"/>
      <c r="D1667" s="65"/>
    </row>
    <row r="1668">
      <c r="A1668" s="65" t="s">
        <v>3650</v>
      </c>
      <c r="B1668" s="185"/>
      <c r="D1668" s="65"/>
    </row>
    <row r="1669">
      <c r="A1669" s="65" t="s">
        <v>3650</v>
      </c>
      <c r="B1669" s="185"/>
      <c r="D1669" s="65"/>
    </row>
    <row r="1670">
      <c r="A1670" s="65" t="s">
        <v>3650</v>
      </c>
      <c r="B1670" s="185"/>
      <c r="D1670" s="65"/>
    </row>
    <row r="1671">
      <c r="A1671" s="65" t="s">
        <v>3650</v>
      </c>
      <c r="B1671" s="185"/>
      <c r="D1671" s="65"/>
    </row>
    <row r="1672">
      <c r="A1672" s="65" t="s">
        <v>3650</v>
      </c>
      <c r="B1672" s="185"/>
      <c r="D1672" s="65"/>
    </row>
    <row r="1673">
      <c r="A1673" s="65" t="s">
        <v>3650</v>
      </c>
      <c r="B1673" s="185"/>
      <c r="D1673" s="65"/>
    </row>
    <row r="1674">
      <c r="A1674" s="65" t="s">
        <v>3650</v>
      </c>
      <c r="B1674" s="185"/>
      <c r="D1674" s="65"/>
    </row>
    <row r="1675">
      <c r="A1675" s="65" t="s">
        <v>3650</v>
      </c>
      <c r="B1675" s="185"/>
      <c r="D1675" s="65"/>
    </row>
    <row r="1676">
      <c r="A1676" s="65" t="s">
        <v>3650</v>
      </c>
      <c r="B1676" s="185"/>
      <c r="D1676" s="65"/>
    </row>
    <row r="1677">
      <c r="A1677" s="65" t="s">
        <v>3650</v>
      </c>
      <c r="B1677" s="185"/>
      <c r="D1677" s="65"/>
    </row>
    <row r="1678">
      <c r="A1678" s="65" t="s">
        <v>3650</v>
      </c>
      <c r="B1678" s="185"/>
      <c r="D1678" s="65"/>
    </row>
    <row r="1679">
      <c r="A1679" s="65" t="s">
        <v>3650</v>
      </c>
      <c r="B1679" s="185"/>
      <c r="D1679" s="65"/>
    </row>
    <row r="1680">
      <c r="A1680" s="65" t="s">
        <v>3650</v>
      </c>
      <c r="B1680" s="185"/>
      <c r="D1680" s="65"/>
    </row>
    <row r="1681">
      <c r="A1681" s="65" t="s">
        <v>3650</v>
      </c>
      <c r="B1681" s="185"/>
      <c r="D1681" s="65"/>
    </row>
    <row r="1682">
      <c r="A1682" s="65" t="s">
        <v>3650</v>
      </c>
      <c r="B1682" s="185"/>
      <c r="D1682" s="65"/>
    </row>
    <row r="1683">
      <c r="A1683" s="65" t="s">
        <v>3650</v>
      </c>
      <c r="B1683" s="185"/>
      <c r="D1683" s="65"/>
    </row>
    <row r="1684">
      <c r="A1684" s="65" t="s">
        <v>3650</v>
      </c>
      <c r="B1684" s="185"/>
      <c r="D1684" s="65"/>
    </row>
    <row r="1685">
      <c r="A1685" s="65" t="s">
        <v>3650</v>
      </c>
      <c r="B1685" s="185"/>
      <c r="D1685" s="65"/>
    </row>
    <row r="1686">
      <c r="A1686" s="65" t="s">
        <v>3650</v>
      </c>
      <c r="B1686" s="185"/>
      <c r="D1686" s="65"/>
    </row>
    <row r="1687">
      <c r="A1687" s="65" t="s">
        <v>3650</v>
      </c>
      <c r="B1687" s="185"/>
      <c r="D1687" s="65"/>
    </row>
    <row r="1688">
      <c r="A1688" s="65" t="s">
        <v>3650</v>
      </c>
      <c r="B1688" s="185"/>
      <c r="D1688" s="65"/>
    </row>
    <row r="1689">
      <c r="A1689" s="65" t="s">
        <v>3650</v>
      </c>
      <c r="B1689" s="185"/>
      <c r="D1689" s="65"/>
    </row>
    <row r="1690">
      <c r="A1690" s="65" t="s">
        <v>3650</v>
      </c>
      <c r="B1690" s="185"/>
      <c r="D1690" s="65"/>
    </row>
    <row r="1691">
      <c r="A1691" s="65" t="s">
        <v>3650</v>
      </c>
      <c r="B1691" s="185"/>
      <c r="D1691" s="65"/>
    </row>
    <row r="1692">
      <c r="A1692" s="65" t="s">
        <v>3650</v>
      </c>
      <c r="B1692" s="185"/>
      <c r="D1692" s="65"/>
    </row>
    <row r="1693">
      <c r="A1693" s="65" t="s">
        <v>3650</v>
      </c>
      <c r="B1693" s="185"/>
      <c r="D1693" s="65"/>
    </row>
    <row r="1694">
      <c r="A1694" s="65" t="s">
        <v>3650</v>
      </c>
      <c r="B1694" s="185"/>
      <c r="D1694" s="65"/>
    </row>
    <row r="1695">
      <c r="A1695" s="65" t="s">
        <v>3650</v>
      </c>
      <c r="B1695" s="185"/>
      <c r="D1695" s="65"/>
    </row>
    <row r="1696">
      <c r="A1696" s="65" t="s">
        <v>3650</v>
      </c>
      <c r="B1696" s="185"/>
      <c r="D1696" s="65"/>
    </row>
    <row r="1697">
      <c r="A1697" s="65" t="s">
        <v>3650</v>
      </c>
      <c r="B1697" s="185"/>
      <c r="D1697" s="65"/>
    </row>
    <row r="1698">
      <c r="A1698" s="65" t="s">
        <v>3650</v>
      </c>
      <c r="B1698" s="185"/>
      <c r="D1698" s="65"/>
    </row>
    <row r="1699">
      <c r="A1699" s="65" t="s">
        <v>3650</v>
      </c>
      <c r="B1699" s="185"/>
      <c r="D1699" s="65"/>
    </row>
    <row r="1700">
      <c r="A1700" s="65" t="s">
        <v>3650</v>
      </c>
      <c r="B1700" s="185"/>
      <c r="D1700" s="65"/>
    </row>
    <row r="1701">
      <c r="A1701" s="65" t="s">
        <v>3650</v>
      </c>
      <c r="B1701" s="185"/>
      <c r="D1701" s="65"/>
    </row>
    <row r="1702">
      <c r="A1702" s="65" t="s">
        <v>3650</v>
      </c>
      <c r="B1702" s="185"/>
      <c r="D1702" s="65"/>
    </row>
    <row r="1703">
      <c r="A1703" s="65" t="s">
        <v>3650</v>
      </c>
      <c r="B1703" s="185"/>
      <c r="D1703" s="65"/>
    </row>
    <row r="1704">
      <c r="A1704" s="65" t="s">
        <v>3650</v>
      </c>
      <c r="B1704" s="185"/>
      <c r="D1704" s="65"/>
    </row>
    <row r="1705">
      <c r="A1705" s="65" t="s">
        <v>3650</v>
      </c>
      <c r="B1705" s="185"/>
      <c r="D1705" s="65"/>
    </row>
    <row r="1706">
      <c r="A1706" s="65" t="s">
        <v>3650</v>
      </c>
      <c r="B1706" s="185"/>
      <c r="D1706" s="65"/>
    </row>
    <row r="1707">
      <c r="A1707" s="65" t="s">
        <v>3650</v>
      </c>
      <c r="B1707" s="185"/>
      <c r="D1707" s="65"/>
    </row>
    <row r="1708">
      <c r="A1708" s="65" t="s">
        <v>3650</v>
      </c>
      <c r="B1708" s="185"/>
      <c r="D1708" s="65"/>
    </row>
    <row r="1709">
      <c r="A1709" s="65" t="s">
        <v>3650</v>
      </c>
      <c r="B1709" s="185"/>
      <c r="D1709" s="65"/>
    </row>
    <row r="1710">
      <c r="A1710" s="65" t="s">
        <v>3650</v>
      </c>
      <c r="B1710" s="185"/>
      <c r="D1710" s="65"/>
    </row>
    <row r="1711">
      <c r="A1711" s="65" t="s">
        <v>3650</v>
      </c>
      <c r="B1711" s="185"/>
      <c r="D1711" s="65"/>
    </row>
    <row r="1712">
      <c r="A1712" s="65" t="s">
        <v>3650</v>
      </c>
      <c r="B1712" s="185"/>
      <c r="D1712" s="65"/>
    </row>
    <row r="1713">
      <c r="A1713" s="65" t="s">
        <v>3650</v>
      </c>
      <c r="B1713" s="185"/>
      <c r="D1713" s="65"/>
    </row>
    <row r="1714">
      <c r="A1714" s="65" t="s">
        <v>3650</v>
      </c>
      <c r="B1714" s="185"/>
      <c r="D1714" s="65"/>
    </row>
    <row r="1715">
      <c r="A1715" s="65" t="s">
        <v>3650</v>
      </c>
      <c r="B1715" s="185"/>
      <c r="D1715" s="65"/>
    </row>
    <row r="1716">
      <c r="A1716" s="65" t="s">
        <v>3650</v>
      </c>
      <c r="B1716" s="185"/>
      <c r="D1716" s="65"/>
    </row>
    <row r="1717">
      <c r="A1717" s="65" t="s">
        <v>3650</v>
      </c>
      <c r="B1717" s="185"/>
      <c r="D1717" s="65"/>
    </row>
    <row r="1718">
      <c r="A1718" s="65" t="s">
        <v>3650</v>
      </c>
      <c r="B1718" s="185"/>
      <c r="D1718" s="65"/>
    </row>
    <row r="1719">
      <c r="A1719" s="65" t="s">
        <v>3650</v>
      </c>
      <c r="B1719" s="185"/>
      <c r="D1719" s="65"/>
    </row>
    <row r="1720">
      <c r="A1720" s="65" t="s">
        <v>3650</v>
      </c>
      <c r="B1720" s="185"/>
      <c r="D1720" s="65"/>
    </row>
    <row r="1721">
      <c r="A1721" s="65" t="s">
        <v>3650</v>
      </c>
      <c r="B1721" s="185"/>
      <c r="D1721" s="65"/>
    </row>
    <row r="1722">
      <c r="A1722" s="65" t="s">
        <v>3650</v>
      </c>
      <c r="B1722" s="185"/>
      <c r="D1722" s="65"/>
    </row>
    <row r="1723">
      <c r="A1723" s="65" t="s">
        <v>3650</v>
      </c>
      <c r="B1723" s="185"/>
      <c r="D1723" s="65"/>
    </row>
    <row r="1724">
      <c r="A1724" s="65" t="s">
        <v>3650</v>
      </c>
      <c r="B1724" s="185"/>
      <c r="D1724" s="65"/>
    </row>
  </sheetData>
  <conditionalFormatting sqref="O1:O728">
    <cfRule type="containsText" dxfId="7" priority="1" operator="containsText" text="Pendiente">
      <formula>NOT(ISERROR(SEARCH(("Pendiente"),(O1))))</formula>
    </cfRule>
  </conditionalFormatting>
  <conditionalFormatting sqref="O1:O728">
    <cfRule type="containsText" dxfId="8" priority="2" operator="containsText" text="PROCESO">
      <formula>NOT(ISERROR(SEARCH(("PROCESO"),(O1))))</formula>
    </cfRule>
  </conditionalFormatting>
  <conditionalFormatting sqref="O1:O728">
    <cfRule type="containsText" dxfId="9" priority="3" operator="containsText" text="CANCELADO">
      <formula>NOT(ISERROR(SEARCH(("CANCELADO"),(O1))))</formula>
    </cfRule>
  </conditionalFormatting>
  <conditionalFormatting sqref="O1:O728">
    <cfRule type="containsText" dxfId="10" priority="4" operator="containsText" text="REVISAR">
      <formula>NOT(ISERROR(SEARCH(("REVISAR"),(O1))))</formula>
    </cfRule>
  </conditionalFormatting>
  <conditionalFormatting sqref="O1:O728">
    <cfRule type="containsText" dxfId="11" priority="5" operator="containsText" text="ENTREGADO">
      <formula>NOT(ISERROR(SEARCH(("ENTREGADO"),(O1))))</formula>
    </cfRule>
  </conditionalFormatting>
  <conditionalFormatting sqref="O1:O728">
    <cfRule type="containsText" dxfId="12" priority="6" operator="containsText" text="NOVEDAD">
      <formula>NOT(ISERROR(SEARCH(("NOVEDAD"),(O1))))</formula>
    </cfRule>
  </conditionalFormatting>
  <conditionalFormatting sqref="O1:O728">
    <cfRule type="containsText" dxfId="13" priority="7" operator="containsText" text="DEVOLUCION">
      <formula>NOT(ISERROR(SEARCH(("DEVOLUCION"),(O1))))</formula>
    </cfRule>
  </conditionalFormatting>
  <conditionalFormatting sqref="C1:C274">
    <cfRule type="colorScale" priority="8">
      <colorScale>
        <cfvo type="min"/>
        <cfvo type="max"/>
        <color rgb="FFFFFFFF"/>
        <color rgb="FFFF00FF"/>
      </colorScale>
    </cfRule>
  </conditionalFormatting>
  <conditionalFormatting sqref="N1:N1724">
    <cfRule type="expression" dxfId="14" priority="9">
      <formula>AND( N2&lt;&gt;"",  N1&lt;&gt;"",  VALUE(SUBSTITUTE(N2,"#","")) &lt;&gt; VALUE(SUBSTITUTE(N1,"#","")) + 1 )</formula>
    </cfRule>
  </conditionalFormatting>
  <dataValidations>
    <dataValidation type="custom" allowBlank="1" showDropDown="1" sqref="E2:G727 J2:J727">
      <formula1>AND(ISNUMBER(E2),(NOT(OR(NOT(ISERROR(DATEVALUE(E2))), AND(ISNUMBER(E2), LEFT(CELL("format", E2))="D")))))</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3" max="3" width="36.38"/>
    <col customWidth="1" min="4" max="4" width="52.63"/>
    <col customWidth="1" min="8" max="8" width="17.88"/>
    <col customWidth="1" min="9" max="9" width="17.13"/>
    <col customWidth="1" min="16" max="16" width="57.38"/>
    <col customWidth="1" min="17" max="17" width="16.63"/>
    <col customWidth="1" min="21" max="21" width="15.75"/>
  </cols>
  <sheetData>
    <row r="1" ht="29.25" customHeight="1">
      <c r="A1" s="186" t="s">
        <v>5875</v>
      </c>
      <c r="B1" s="114" t="s">
        <v>3683</v>
      </c>
      <c r="C1" s="114" t="s">
        <v>3710</v>
      </c>
      <c r="D1" s="114" t="s">
        <v>3376</v>
      </c>
      <c r="E1" s="149" t="s">
        <v>3711</v>
      </c>
      <c r="F1" s="114" t="s">
        <v>3712</v>
      </c>
      <c r="G1" s="150" t="s">
        <v>3713</v>
      </c>
      <c r="H1" s="114" t="s">
        <v>3714</v>
      </c>
      <c r="I1" s="114" t="s">
        <v>3715</v>
      </c>
      <c r="J1" s="114" t="s">
        <v>3716</v>
      </c>
      <c r="K1" s="151" t="s">
        <v>9</v>
      </c>
      <c r="L1" s="151" t="s">
        <v>3717</v>
      </c>
      <c r="M1" s="114" t="s">
        <v>3718</v>
      </c>
      <c r="N1" s="114" t="s">
        <v>3719</v>
      </c>
      <c r="O1" s="114" t="s">
        <v>3720</v>
      </c>
      <c r="P1" s="113" t="s">
        <v>8020</v>
      </c>
      <c r="Q1" s="114" t="s">
        <v>3722</v>
      </c>
      <c r="R1" s="114" t="s">
        <v>3723</v>
      </c>
      <c r="S1" s="114" t="s">
        <v>3724</v>
      </c>
      <c r="T1" s="114" t="s">
        <v>199</v>
      </c>
      <c r="U1" s="114" t="s">
        <v>3725</v>
      </c>
      <c r="V1" s="187" t="s">
        <v>8021</v>
      </c>
      <c r="W1" s="187" t="s">
        <v>8022</v>
      </c>
      <c r="X1" s="187" t="s">
        <v>8023</v>
      </c>
      <c r="Y1" s="187" t="s">
        <v>8024</v>
      </c>
      <c r="Z1" s="187" t="s">
        <v>8025</v>
      </c>
    </row>
    <row r="2" ht="29.25" customHeight="1">
      <c r="A2" s="154" t="str">
        <f t="array" ref="A2:A389">IF(B2:B1372&lt;&gt;"", ROW(B2:B1372)-1, "")</f>
        <v>#REF!</v>
      </c>
      <c r="B2" s="170">
        <v>46082.0</v>
      </c>
      <c r="C2" s="170" t="s">
        <v>8026</v>
      </c>
      <c r="D2" s="170" t="str">
        <f>IFERROR(__xludf.DUMMYFUNCTION("ARRAYFORMULA(IF(T2:T1372="""","""",BYROW(T2:T1372,LAMBDA(x,
IFERROR(
INDEX(
FILTER('NOMBRE DE PRODUCTOS'!B:B,
REGEXMATCH(
UPPER(
INDEX(REPORTE_DROPI!AC:AC,
MATCH(x,REPORTE_DROPI!B:B,0)
)
),
UPPER('NOMBRE DE PRODUCTOS'!A:A)
)
),1),
""REVISAR""
)))))"),"Cuchillo Tazaki™")</f>
        <v>Cuchillo Tazaki™</v>
      </c>
      <c r="E2" s="188">
        <f t="array" ref="E2:E1372">IF(T2:T1372="","",BYROW(T2:T1372,LAMBDA(x, IF( UPPER(TRIM(CLEAN(INDEX(O2:O1372,ROW(x)-ROW(T2)+1))))="ENTREGADO", IFERROR( INDEX(REPORTE_DROPI!Y:Y, MATCH(x,REPORTE_DROPI!B:B,0) ), "" ), "" ))))</f>
        <v>7.5</v>
      </c>
      <c r="F2" s="189">
        <v>2.0</v>
      </c>
      <c r="G2" s="190">
        <f t="array" ref="G2:G1372">IF(T2:T1372="","",BYROW(T2:T1372,LAMBDA(x, IF( UPPER(TRIM(CLEAN(INDEX(O2:O1372,ROW(x)-ROW(T2)+1))))="ENTREGADO", IFERROR( INDEX(REPORTE_DROPI!R:R, MATCH(x,REPORTE_DROPI!B:B,0) ), "" ), "" ))))</f>
        <v>22</v>
      </c>
      <c r="H2" s="154" t="s">
        <v>3727</v>
      </c>
      <c r="I2" s="170" t="s">
        <v>3778</v>
      </c>
      <c r="J2" s="189">
        <f t="array" ref="J2:J1372">IF(T2:T1372="","",BYROW(T2:T1372,LAMBDA(x, IF( UPPER(TRIM(CLEAN(INDEX(O2:O1372,ROW(x)-ROW(T2)+1))))="ENTREGADO", IFERROR( INDEX(REPORTE_DROPI!T:T, MATCH(x,REPORTE_DROPI!B:B,0) ), "" ), "" ))))</f>
        <v>5.84</v>
      </c>
      <c r="K2" s="154">
        <f t="array" ref="K2:K1372">IF(T2:T1372="","",BYROW(T2:T1372,LAMBDA(x,
IFERROR(
INDEX(REPORTE_DROPI!S:S,
MATCH(x,REPORTE_DROPI!B:B,0)
),
"")
)))</f>
        <v>8.66</v>
      </c>
      <c r="L2" s="154" t="str">
        <f t="array" ref="L2:L1372">IF(O2:O1372&lt;&gt;"DEVOLUCION", "",
  IF(T2:T1372="", "",
    SUMIF(DEVOLUCION!F:F, T2:T1372, DEVOLUCION!D:D)
  )
)</f>
        <v/>
      </c>
      <c r="M2" s="170" t="s">
        <v>5877</v>
      </c>
      <c r="N2" s="170" t="s">
        <v>8027</v>
      </c>
      <c r="O2" s="170" t="str">
        <f t="array" ref="O2">IFERROR(
VLOOKUP(
TRIM(CLEAN(
INDEX(REPORTE_DROPI!K:K,
MATCH(T2, REPORTE_DROPI!B:B, 0)
))),
{
TRIM(CLEAN(MAPA_ESTADOS!A:A)) ,
MAPA_ESTADOS!B:B
},
2,
FALSE
),
"REVISAR"
)</f>
        <v>ENTREGADO</v>
      </c>
      <c r="P2" s="154" t="s">
        <v>5692</v>
      </c>
      <c r="Q2" s="191" t="str">
        <f t="shared" ref="Q2:Q184" si="1">IF(AND(UPPER(TRIM(O2))="ENTREGADO", K2=""), G2-E2-J2, "")</f>
        <v/>
      </c>
      <c r="R2" s="170"/>
      <c r="S2" s="170"/>
      <c r="T2" s="154">
        <f t="array" ref="T2">IFERROR(
INDEX(REPORTE_DROPI!B:B,
MATCH(
CLEAN(TRIM(C2)),
CLEAN(TRIM(REPORTE_DROPI!E:E)),
0
)
),
""
)
</f>
        <v>4657513</v>
      </c>
      <c r="U2" s="170" t="s">
        <v>8028</v>
      </c>
      <c r="V2" s="192"/>
      <c r="W2" s="192"/>
      <c r="X2" s="192"/>
      <c r="Y2" s="192"/>
      <c r="Z2" s="192"/>
    </row>
    <row r="3" ht="29.25" customHeight="1">
      <c r="A3" s="154"/>
      <c r="B3" s="170">
        <v>46082.0</v>
      </c>
      <c r="C3" s="170" t="s">
        <v>8029</v>
      </c>
      <c r="D3" s="170" t="str">
        <f>IFERROR(__xludf.DUMMYFUNCTION("""COMPUTED_VALUE"""),"FilmPro®")</f>
        <v>FilmPro®</v>
      </c>
      <c r="E3" s="188" t="s">
        <v>3650</v>
      </c>
      <c r="F3" s="189">
        <v>1.0</v>
      </c>
      <c r="G3" s="190" t="s">
        <v>3650</v>
      </c>
      <c r="H3" s="154" t="s">
        <v>3727</v>
      </c>
      <c r="I3" s="170" t="s">
        <v>3912</v>
      </c>
      <c r="J3" s="189" t="s">
        <v>3650</v>
      </c>
      <c r="K3" s="154"/>
      <c r="L3" s="154" t="s">
        <v>3650</v>
      </c>
      <c r="M3" s="170" t="s">
        <v>5877</v>
      </c>
      <c r="N3" s="170" t="s">
        <v>8030</v>
      </c>
      <c r="O3" s="170" t="str">
        <f t="array" ref="O3">IFERROR(
VLOOKUP(
TRIM(CLEAN(
INDEX(REPORTE_DROPI!K:K,
MATCH(T3, REPORTE_DROPI!B:B, 0)
))),
{
TRIM(CLEAN(MAPA_ESTADOS!A:A)) ,
MAPA_ESTADOS!B:B
},
2,
FALSE
),
"REVISAR"
)</f>
        <v>PENDIENTE</v>
      </c>
      <c r="P3" s="154" t="s">
        <v>3689</v>
      </c>
      <c r="Q3" s="191" t="str">
        <f t="shared" si="1"/>
        <v/>
      </c>
      <c r="R3" s="170"/>
      <c r="S3" s="170"/>
      <c r="T3" s="154">
        <f t="array" ref="T3">IFERROR(
INDEX(REPORTE_DROPI!B:B,
MATCH(
CLEAN(TRIM(C3)),
CLEAN(TRIM(REPORTE_DROPI!E:E)),
0
)
),
""
)
</f>
        <v>4657579</v>
      </c>
      <c r="U3" s="170" t="s">
        <v>8031</v>
      </c>
      <c r="V3" s="192"/>
      <c r="W3" s="192"/>
      <c r="X3" s="192"/>
      <c r="Y3" s="192"/>
      <c r="Z3" s="192"/>
    </row>
    <row r="4" ht="29.25" customHeight="1">
      <c r="A4" s="154"/>
      <c r="B4" s="170">
        <v>46082.0</v>
      </c>
      <c r="C4" s="170" t="s">
        <v>8032</v>
      </c>
      <c r="D4" s="170" t="str">
        <f>IFERROR(__xludf.DUMMYFUNCTION("""COMPUTED_VALUE"""),"FilmPro®")</f>
        <v>FilmPro®</v>
      </c>
      <c r="E4" s="188" t="s">
        <v>3650</v>
      </c>
      <c r="F4" s="189">
        <v>2.0</v>
      </c>
      <c r="G4" s="190" t="s">
        <v>3650</v>
      </c>
      <c r="H4" s="154" t="s">
        <v>3727</v>
      </c>
      <c r="I4" s="170" t="s">
        <v>3784</v>
      </c>
      <c r="J4" s="189" t="s">
        <v>3650</v>
      </c>
      <c r="K4" s="154"/>
      <c r="L4" s="154">
        <v>0.0</v>
      </c>
      <c r="M4" s="170" t="s">
        <v>5877</v>
      </c>
      <c r="N4" s="170" t="s">
        <v>8033</v>
      </c>
      <c r="O4" s="170" t="str">
        <f t="array" ref="O4">IFERROR(
VLOOKUP(
TRIM(CLEAN(
INDEX(REPORTE_DROPI!K:K,
MATCH(T4, REPORTE_DROPI!B:B, 0)
))),
{
TRIM(CLEAN(MAPA_ESTADOS!A:A)) ,
MAPA_ESTADOS!B:B
},
2,
FALSE
),
"REVISAR"
)</f>
        <v>DEVOLUCION</v>
      </c>
      <c r="P4" s="154" t="s">
        <v>5692</v>
      </c>
      <c r="Q4" s="191" t="str">
        <f t="shared" si="1"/>
        <v/>
      </c>
      <c r="R4" s="170"/>
      <c r="S4" s="170"/>
      <c r="T4" s="154">
        <f t="array" ref="T4">IFERROR(
INDEX(REPORTE_DROPI!B:B,
MATCH(
CLEAN(TRIM(C4)),
CLEAN(TRIM(REPORTE_DROPI!E:E)),
0
)
),
""
)
</f>
        <v>4675749</v>
      </c>
      <c r="U4" s="170" t="s">
        <v>8034</v>
      </c>
      <c r="V4" s="192"/>
      <c r="W4" s="192"/>
      <c r="X4" s="192"/>
      <c r="Y4" s="192"/>
      <c r="Z4" s="192"/>
    </row>
    <row r="5" ht="29.25" customHeight="1">
      <c r="A5" s="154"/>
      <c r="B5" s="170">
        <v>46082.0</v>
      </c>
      <c r="C5" s="170" t="s">
        <v>8035</v>
      </c>
      <c r="D5" s="170" t="str">
        <f>IFERROR(__xludf.DUMMYFUNCTION("""COMPUTED_VALUE"""),"FreeBeat Adapter")</f>
        <v>FreeBeat Adapter</v>
      </c>
      <c r="E5" s="188" t="s">
        <v>3650</v>
      </c>
      <c r="F5" s="189">
        <v>2.0</v>
      </c>
      <c r="G5" s="190" t="s">
        <v>3650</v>
      </c>
      <c r="H5" s="154" t="s">
        <v>3727</v>
      </c>
      <c r="I5" s="170" t="s">
        <v>3740</v>
      </c>
      <c r="J5" s="189" t="s">
        <v>3650</v>
      </c>
      <c r="K5" s="154"/>
      <c r="L5" s="154">
        <v>0.0</v>
      </c>
      <c r="M5" s="170" t="s">
        <v>5877</v>
      </c>
      <c r="N5" s="170" t="s">
        <v>8036</v>
      </c>
      <c r="O5" s="170" t="str">
        <f t="array" ref="O5">IFERROR(
VLOOKUP(
TRIM(CLEAN(
INDEX(REPORTE_DROPI!K:K,
MATCH(T5, REPORTE_DROPI!B:B, 0)
))),
{
TRIM(CLEAN(MAPA_ESTADOS!A:A)) ,
MAPA_ESTADOS!B:B
},
2,
FALSE
),
"REVISAR"
)</f>
        <v>DEVOLUCION</v>
      </c>
      <c r="P5" s="154" t="s">
        <v>5692</v>
      </c>
      <c r="Q5" s="191" t="str">
        <f t="shared" si="1"/>
        <v/>
      </c>
      <c r="R5" s="154" t="s">
        <v>3675</v>
      </c>
      <c r="S5" s="154">
        <v>2.0</v>
      </c>
      <c r="T5" s="154">
        <f t="array" ref="T5">IFERROR(
INDEX(REPORTE_DROPI!B:B,
MATCH(
CLEAN(TRIM(C5)),
CLEAN(TRIM(REPORTE_DROPI!E:E)),
0
)
),
""
)
</f>
        <v>4658016</v>
      </c>
      <c r="U5" s="170" t="s">
        <v>8037</v>
      </c>
      <c r="V5" s="192"/>
      <c r="W5" s="192"/>
      <c r="X5" s="192"/>
      <c r="Y5" s="192"/>
      <c r="Z5" s="192"/>
    </row>
    <row r="6" ht="29.25" customHeight="1">
      <c r="A6" s="154"/>
      <c r="B6" s="170">
        <v>46082.0</v>
      </c>
      <c r="C6" s="170" t="s">
        <v>8038</v>
      </c>
      <c r="D6" s="170" t="str">
        <f>IFERROR(__xludf.DUMMYFUNCTION("""COMPUTED_VALUE"""),"FilmPro®")</f>
        <v>FilmPro®</v>
      </c>
      <c r="E6" s="188">
        <v>7.05</v>
      </c>
      <c r="F6" s="189">
        <v>3.0</v>
      </c>
      <c r="G6" s="190">
        <v>30.0</v>
      </c>
      <c r="H6" s="154" t="s">
        <v>3727</v>
      </c>
      <c r="I6" s="170" t="s">
        <v>3731</v>
      </c>
      <c r="J6" s="189">
        <v>4.55</v>
      </c>
      <c r="K6" s="154">
        <v>18.4</v>
      </c>
      <c r="L6" s="154" t="s">
        <v>3650</v>
      </c>
      <c r="M6" s="170" t="s">
        <v>5877</v>
      </c>
      <c r="N6" s="170" t="s">
        <v>8039</v>
      </c>
      <c r="O6" s="170" t="str">
        <f t="array" ref="O6">IFERROR(
VLOOKUP(
TRIM(CLEAN(
INDEX(REPORTE_DROPI!K:K,
MATCH(T6, REPORTE_DROPI!B:B, 0)
))),
{
TRIM(CLEAN(MAPA_ESTADOS!A:A)) ,
MAPA_ESTADOS!B:B
},
2,
FALSE
),
"REVISAR"
)</f>
        <v>ENTREGADO</v>
      </c>
      <c r="P6" s="154" t="s">
        <v>5692</v>
      </c>
      <c r="Q6" s="191" t="str">
        <f t="shared" si="1"/>
        <v/>
      </c>
      <c r="R6" s="170"/>
      <c r="S6" s="170"/>
      <c r="T6" s="154">
        <f t="array" ref="T6">IFERROR(
INDEX(REPORTE_DROPI!B:B,
MATCH(
CLEAN(TRIM(C6)),
CLEAN(TRIM(REPORTE_DROPI!E:E)),
0
)
),
""
)
</f>
        <v>4658017</v>
      </c>
      <c r="U6" s="170" t="s">
        <v>8040</v>
      </c>
      <c r="V6" s="192"/>
      <c r="W6" s="192"/>
      <c r="X6" s="192"/>
      <c r="Y6" s="192"/>
      <c r="Z6" s="192"/>
    </row>
    <row r="7" ht="29.25" customHeight="1">
      <c r="A7" s="154"/>
      <c r="B7" s="170">
        <v>46082.0</v>
      </c>
      <c r="C7" s="170" t="s">
        <v>8041</v>
      </c>
      <c r="D7" s="170" t="str">
        <f>IFERROR(__xludf.DUMMYFUNCTION("""COMPUTED_VALUE"""),"Cuchillo Tazaki™")</f>
        <v>Cuchillo Tazaki™</v>
      </c>
      <c r="E7" s="188" t="s">
        <v>3650</v>
      </c>
      <c r="F7" s="189">
        <v>2.0</v>
      </c>
      <c r="G7" s="190" t="s">
        <v>3650</v>
      </c>
      <c r="H7" s="154" t="s">
        <v>3727</v>
      </c>
      <c r="I7" s="170" t="s">
        <v>3740</v>
      </c>
      <c r="J7" s="189" t="s">
        <v>3650</v>
      </c>
      <c r="K7" s="154"/>
      <c r="L7" s="154" t="s">
        <v>3650</v>
      </c>
      <c r="M7" s="170" t="s">
        <v>5877</v>
      </c>
      <c r="N7" s="170" t="s">
        <v>8042</v>
      </c>
      <c r="O7" s="170" t="str">
        <f t="array" ref="O7">IFERROR(
VLOOKUP(
TRIM(CLEAN(
INDEX(REPORTE_DROPI!K:K,
MATCH(T7, REPORTE_DROPI!B:B, 0)
))),
{
TRIM(CLEAN(MAPA_ESTADOS!A:A)) ,
MAPA_ESTADOS!B:B
},
2,
FALSE
),
"REVISAR"
)</f>
        <v>PENDIENTE</v>
      </c>
      <c r="P7" s="154" t="s">
        <v>8043</v>
      </c>
      <c r="Q7" s="191" t="str">
        <f t="shared" si="1"/>
        <v/>
      </c>
      <c r="R7" s="170"/>
      <c r="S7" s="170"/>
      <c r="T7" s="154">
        <f t="array" ref="T7">IFERROR(
INDEX(REPORTE_DROPI!B:B,
MATCH(
CLEAN(TRIM(C7)),
CLEAN(TRIM(REPORTE_DROPI!E:E)),
0
)
),
""
)
</f>
        <v>4658335</v>
      </c>
      <c r="U7" s="170" t="s">
        <v>8044</v>
      </c>
      <c r="V7" s="192"/>
      <c r="W7" s="192"/>
      <c r="X7" s="192"/>
      <c r="Y7" s="192"/>
      <c r="Z7" s="192"/>
    </row>
    <row r="8" ht="22.5" customHeight="1">
      <c r="A8" s="154"/>
      <c r="B8" s="170">
        <v>46082.0</v>
      </c>
      <c r="C8" s="170" t="s">
        <v>8045</v>
      </c>
      <c r="D8" s="170" t="str">
        <f>IFERROR(__xludf.DUMMYFUNCTION("""COMPUTED_VALUE"""),"FilmPro®")</f>
        <v>FilmPro®</v>
      </c>
      <c r="E8" s="188" t="s">
        <v>3650</v>
      </c>
      <c r="F8" s="189">
        <v>3.0</v>
      </c>
      <c r="G8" s="190" t="s">
        <v>3650</v>
      </c>
      <c r="H8" s="154" t="s">
        <v>3727</v>
      </c>
      <c r="I8" s="170" t="s">
        <v>3738</v>
      </c>
      <c r="J8" s="189" t="s">
        <v>3650</v>
      </c>
      <c r="K8" s="154"/>
      <c r="L8" s="154" t="s">
        <v>3650</v>
      </c>
      <c r="M8" s="170" t="s">
        <v>5877</v>
      </c>
      <c r="N8" s="170" t="s">
        <v>8046</v>
      </c>
      <c r="O8" s="170" t="str">
        <f t="array" ref="O8">IFERROR(
VLOOKUP(
TRIM(CLEAN(
INDEX(REPORTE_DROPI!K:K,
MATCH(T8, REPORTE_DROPI!B:B, 0)
))),
{
TRIM(CLEAN(MAPA_ESTADOS!A:A)) ,
MAPA_ESTADOS!B:B
},
2,
FALSE
),
"REVISAR"
)</f>
        <v>PENDIENTE</v>
      </c>
      <c r="P8" s="154" t="s">
        <v>8043</v>
      </c>
      <c r="Q8" s="191" t="str">
        <f t="shared" si="1"/>
        <v/>
      </c>
      <c r="R8" s="170"/>
      <c r="S8" s="170"/>
      <c r="T8" s="154">
        <f t="array" ref="T8">IFERROR(
INDEX(REPORTE_DROPI!B:B,
MATCH(
CLEAN(TRIM(C8)),
CLEAN(TRIM(REPORTE_DROPI!E:E)),
0
)
),
""
)
</f>
        <v>4658369</v>
      </c>
      <c r="U8" s="170" t="s">
        <v>8047</v>
      </c>
      <c r="V8" s="192"/>
      <c r="W8" s="192"/>
      <c r="X8" s="192"/>
      <c r="Y8" s="192"/>
      <c r="Z8" s="192"/>
    </row>
    <row r="9" ht="22.5" customHeight="1">
      <c r="A9" s="154"/>
      <c r="B9" s="170">
        <v>46082.0</v>
      </c>
      <c r="C9" s="170" t="s">
        <v>8048</v>
      </c>
      <c r="D9" s="170" t="str">
        <f>IFERROR(__xludf.DUMMYFUNCTION("""COMPUTED_VALUE"""),"FilmPro®")</f>
        <v>FilmPro®</v>
      </c>
      <c r="E9" s="188" t="s">
        <v>3650</v>
      </c>
      <c r="F9" s="189">
        <v>1.0</v>
      </c>
      <c r="G9" s="190" t="s">
        <v>3650</v>
      </c>
      <c r="H9" s="154" t="s">
        <v>3727</v>
      </c>
      <c r="I9" s="170" t="s">
        <v>3801</v>
      </c>
      <c r="J9" s="189" t="s">
        <v>3650</v>
      </c>
      <c r="K9" s="154"/>
      <c r="L9" s="154">
        <v>0.0</v>
      </c>
      <c r="M9" s="170" t="s">
        <v>5877</v>
      </c>
      <c r="N9" s="170" t="s">
        <v>8049</v>
      </c>
      <c r="O9" s="170" t="str">
        <f t="array" ref="O9">IFERROR(
VLOOKUP(
TRIM(CLEAN(
INDEX(REPORTE_DROPI!K:K,
MATCH(T9, REPORTE_DROPI!B:B, 0)
))),
{
TRIM(CLEAN(MAPA_ESTADOS!A:A)) ,
MAPA_ESTADOS!B:B
},
2,
FALSE
),
"REVISAR"
)</f>
        <v>DEVOLUCION</v>
      </c>
      <c r="P9" s="154" t="s">
        <v>5692</v>
      </c>
      <c r="Q9" s="191" t="str">
        <f t="shared" si="1"/>
        <v/>
      </c>
      <c r="R9" s="170"/>
      <c r="S9" s="170"/>
      <c r="T9" s="154">
        <f t="array" ref="T9">IFERROR(
INDEX(REPORTE_DROPI!B:B,
MATCH(
CLEAN(TRIM(C9)),
CLEAN(TRIM(REPORTE_DROPI!E:E)),
0
)
),
""
)
</f>
        <v>4658425</v>
      </c>
      <c r="U9" s="170">
        <v>4.5230243222E10</v>
      </c>
      <c r="V9" s="192"/>
      <c r="W9" s="192"/>
      <c r="X9" s="192"/>
      <c r="Y9" s="192"/>
      <c r="Z9" s="192"/>
    </row>
    <row r="10" ht="22.5" customHeight="1">
      <c r="A10" s="154"/>
      <c r="B10" s="170">
        <v>46082.0</v>
      </c>
      <c r="C10" s="170" t="s">
        <v>8050</v>
      </c>
      <c r="D10" s="170" t="str">
        <f>IFERROR(__xludf.DUMMYFUNCTION("""COMPUTED_VALUE"""),"Cuchillo Tazaki™")</f>
        <v>Cuchillo Tazaki™</v>
      </c>
      <c r="E10" s="188">
        <v>7.5</v>
      </c>
      <c r="F10" s="189">
        <v>2.0</v>
      </c>
      <c r="G10" s="190">
        <v>22.0</v>
      </c>
      <c r="H10" s="154" t="s">
        <v>3727</v>
      </c>
      <c r="I10" s="170" t="s">
        <v>3969</v>
      </c>
      <c r="J10" s="189">
        <v>7.7</v>
      </c>
      <c r="K10" s="154">
        <v>6.8</v>
      </c>
      <c r="L10" s="154" t="s">
        <v>3650</v>
      </c>
      <c r="M10" s="170" t="s">
        <v>5877</v>
      </c>
      <c r="N10" s="170" t="s">
        <v>8051</v>
      </c>
      <c r="O10" s="170" t="str">
        <f t="array" ref="O10">IFERROR(
VLOOKUP(
TRIM(CLEAN(
INDEX(REPORTE_DROPI!K:K,
MATCH(T10, REPORTE_DROPI!B:B, 0)
))),
{
TRIM(CLEAN(MAPA_ESTADOS!A:A)) ,
MAPA_ESTADOS!B:B
},
2,
FALSE
),
"REVISAR"
)</f>
        <v>ENTREGADO</v>
      </c>
      <c r="P10" s="154" t="s">
        <v>5692</v>
      </c>
      <c r="Q10" s="191" t="str">
        <f t="shared" si="1"/>
        <v/>
      </c>
      <c r="R10" s="170"/>
      <c r="S10" s="170"/>
      <c r="T10" s="154">
        <f t="array" ref="T10">IFERROR(
INDEX(REPORTE_DROPI!B:B,
MATCH(
CLEAN(TRIM(C10)),
CLEAN(TRIM(REPORTE_DROPI!E:E)),
0
)
),
""
)
</f>
        <v>4675897</v>
      </c>
      <c r="U10" s="170" t="s">
        <v>8052</v>
      </c>
      <c r="V10" s="192"/>
      <c r="W10" s="192"/>
      <c r="X10" s="192"/>
      <c r="Y10" s="192"/>
      <c r="Z10" s="192"/>
    </row>
    <row r="11" ht="22.5" customHeight="1">
      <c r="A11" s="154"/>
      <c r="B11" s="170">
        <v>46082.0</v>
      </c>
      <c r="C11" s="170" t="s">
        <v>8053</v>
      </c>
      <c r="D11" s="170" t="str">
        <f>IFERROR(__xludf.DUMMYFUNCTION("""COMPUTED_VALUE"""),"FilmPro®")</f>
        <v>FilmPro®</v>
      </c>
      <c r="E11" s="188">
        <v>4.7</v>
      </c>
      <c r="F11" s="189">
        <v>2.0</v>
      </c>
      <c r="G11" s="190">
        <v>25.0</v>
      </c>
      <c r="H11" s="154" t="s">
        <v>3727</v>
      </c>
      <c r="I11" s="170" t="s">
        <v>3740</v>
      </c>
      <c r="J11" s="189">
        <v>5.96</v>
      </c>
      <c r="K11" s="154">
        <v>14.34</v>
      </c>
      <c r="L11" s="154" t="s">
        <v>3650</v>
      </c>
      <c r="M11" s="170" t="s">
        <v>5877</v>
      </c>
      <c r="N11" s="170" t="s">
        <v>8054</v>
      </c>
      <c r="O11" s="170" t="str">
        <f t="array" ref="O11">IFERROR(
VLOOKUP(
TRIM(CLEAN(
INDEX(REPORTE_DROPI!K:K,
MATCH(T11, REPORTE_DROPI!B:B, 0)
))),
{
TRIM(CLEAN(MAPA_ESTADOS!A:A)) ,
MAPA_ESTADOS!B:B
},
2,
FALSE
),
"REVISAR"
)</f>
        <v>ENTREGADO</v>
      </c>
      <c r="P11" s="154" t="s">
        <v>5692</v>
      </c>
      <c r="Q11" s="191" t="str">
        <f t="shared" si="1"/>
        <v/>
      </c>
      <c r="R11" s="170"/>
      <c r="S11" s="170"/>
      <c r="T11" s="154">
        <f t="array" ref="T11">IFERROR(
INDEX(REPORTE_DROPI!B:B,
MATCH(
CLEAN(TRIM(C11)),
CLEAN(TRIM(REPORTE_DROPI!E:E)),
0
)
),
""
)
</f>
        <v>4658561</v>
      </c>
      <c r="U11" s="170">
        <v>1.57100111127E11</v>
      </c>
      <c r="V11" s="192"/>
      <c r="W11" s="192"/>
      <c r="X11" s="192"/>
      <c r="Y11" s="192"/>
      <c r="Z11" s="192"/>
    </row>
    <row r="12" ht="22.5" customHeight="1">
      <c r="A12" s="154"/>
      <c r="B12" s="170">
        <v>46082.0</v>
      </c>
      <c r="C12" s="170" t="s">
        <v>8055</v>
      </c>
      <c r="D12" s="170" t="str">
        <f>IFERROR(__xludf.DUMMYFUNCTION("""COMPUTED_VALUE"""),"FreeBeat Adapter")</f>
        <v>FreeBeat Adapter</v>
      </c>
      <c r="E12" s="188">
        <v>10.0</v>
      </c>
      <c r="F12" s="189">
        <v>2.0</v>
      </c>
      <c r="G12" s="190">
        <v>24.2</v>
      </c>
      <c r="H12" s="154" t="s">
        <v>3727</v>
      </c>
      <c r="I12" s="170" t="s">
        <v>3740</v>
      </c>
      <c r="J12" s="189">
        <v>5.92</v>
      </c>
      <c r="K12" s="154">
        <v>8.28</v>
      </c>
      <c r="L12" s="154" t="s">
        <v>3650</v>
      </c>
      <c r="M12" s="170" t="s">
        <v>5877</v>
      </c>
      <c r="N12" s="170" t="s">
        <v>8056</v>
      </c>
      <c r="O12" s="170" t="str">
        <f t="array" ref="O12">IFERROR(
VLOOKUP(
TRIM(CLEAN(
INDEX(REPORTE_DROPI!K:K,
MATCH(T12, REPORTE_DROPI!B:B, 0)
))),
{
TRIM(CLEAN(MAPA_ESTADOS!A:A)) ,
MAPA_ESTADOS!B:B
},
2,
FALSE
),
"REVISAR"
)</f>
        <v>ENTREGADO</v>
      </c>
      <c r="P12" s="154" t="s">
        <v>5909</v>
      </c>
      <c r="Q12" s="191" t="str">
        <f t="shared" si="1"/>
        <v/>
      </c>
      <c r="R12" s="170"/>
      <c r="S12" s="170"/>
      <c r="T12" s="154">
        <f t="array" ref="T12">IFERROR(
INDEX(REPORTE_DROPI!B:B,
MATCH(
CLEAN(TRIM(C12)),
CLEAN(TRIM(REPORTE_DROPI!E:E)),
0
)
),
""
)
</f>
        <v>4658584</v>
      </c>
      <c r="U12" s="170" t="s">
        <v>8057</v>
      </c>
      <c r="V12" s="192"/>
      <c r="W12" s="192"/>
      <c r="X12" s="192"/>
      <c r="Y12" s="192"/>
      <c r="Z12" s="192"/>
    </row>
    <row r="13" ht="22.5" customHeight="1">
      <c r="A13" s="154"/>
      <c r="B13" s="170">
        <v>46082.0</v>
      </c>
      <c r="C13" s="170" t="s">
        <v>8058</v>
      </c>
      <c r="D13" s="170" t="str">
        <f>IFERROR(__xludf.DUMMYFUNCTION("""COMPUTED_VALUE"""),"Cuchillo Tazaki™")</f>
        <v>Cuchillo Tazaki™</v>
      </c>
      <c r="E13" s="188">
        <v>7.5</v>
      </c>
      <c r="F13" s="189">
        <v>2.0</v>
      </c>
      <c r="G13" s="190">
        <v>22.0</v>
      </c>
      <c r="H13" s="154" t="s">
        <v>3727</v>
      </c>
      <c r="I13" s="170" t="s">
        <v>3740</v>
      </c>
      <c r="J13" s="189">
        <v>5.84</v>
      </c>
      <c r="K13" s="154">
        <v>8.66</v>
      </c>
      <c r="L13" s="154" t="s">
        <v>3650</v>
      </c>
      <c r="M13" s="170" t="s">
        <v>5877</v>
      </c>
      <c r="N13" s="170" t="s">
        <v>8059</v>
      </c>
      <c r="O13" s="170" t="str">
        <f t="array" ref="O13">IFERROR(
VLOOKUP(
TRIM(CLEAN(
INDEX(REPORTE_DROPI!K:K,
MATCH(T13, REPORTE_DROPI!B:B, 0)
))),
{
TRIM(CLEAN(MAPA_ESTADOS!A:A)) ,
MAPA_ESTADOS!B:B
},
2,
FALSE
),
"REVISAR"
)</f>
        <v>ENTREGADO</v>
      </c>
      <c r="P13" s="154" t="s">
        <v>5692</v>
      </c>
      <c r="Q13" s="191" t="str">
        <f t="shared" si="1"/>
        <v/>
      </c>
      <c r="R13" s="170"/>
      <c r="S13" s="170"/>
      <c r="T13" s="154">
        <f t="array" ref="T13">IFERROR(
INDEX(REPORTE_DROPI!B:B,
MATCH(
CLEAN(TRIM(C13)),
CLEAN(TRIM(REPORTE_DROPI!E:E)),
0
)
),
""
)
</f>
        <v>4658652</v>
      </c>
      <c r="U13" s="170" t="s">
        <v>8060</v>
      </c>
      <c r="V13" s="192"/>
      <c r="W13" s="192"/>
      <c r="X13" s="192"/>
      <c r="Y13" s="192"/>
      <c r="Z13" s="192"/>
    </row>
    <row r="14" ht="22.5" customHeight="1">
      <c r="A14" s="154"/>
      <c r="B14" s="170">
        <v>46082.0</v>
      </c>
      <c r="C14" s="170" t="s">
        <v>8061</v>
      </c>
      <c r="D14" s="170" t="str">
        <f>IFERROR(__xludf.DUMMYFUNCTION("""COMPUTED_VALUE"""),"FreeBeat Adapter")</f>
        <v>FreeBeat Adapter</v>
      </c>
      <c r="E14" s="188">
        <v>20.0</v>
      </c>
      <c r="F14" s="189">
        <v>3.0</v>
      </c>
      <c r="G14" s="190">
        <v>36.0</v>
      </c>
      <c r="H14" s="154" t="s">
        <v>3727</v>
      </c>
      <c r="I14" s="154" t="s">
        <v>3735</v>
      </c>
      <c r="J14" s="189">
        <v>8.0</v>
      </c>
      <c r="K14" s="154">
        <v>8.0</v>
      </c>
      <c r="L14" s="154" t="s">
        <v>3650</v>
      </c>
      <c r="M14" s="154" t="s">
        <v>5877</v>
      </c>
      <c r="N14" s="154" t="s">
        <v>8062</v>
      </c>
      <c r="O14" s="170" t="str">
        <f t="array" ref="O14">IFERROR(
VLOOKUP(
TRIM(CLEAN(
INDEX(REPORTE_DROPI!K:K,
MATCH(T14, REPORTE_DROPI!B:B, 0)
))),
{
TRIM(CLEAN(MAPA_ESTADOS!A:A)) ,
MAPA_ESTADOS!B:B
},
2,
FALSE
),
"REVISAR"
)</f>
        <v>ENTREGADO</v>
      </c>
      <c r="P14" s="154" t="s">
        <v>5909</v>
      </c>
      <c r="Q14" s="191" t="str">
        <f t="shared" si="1"/>
        <v/>
      </c>
      <c r="R14" s="170"/>
      <c r="S14" s="170"/>
      <c r="T14" s="154">
        <f t="array" ref="T14">IFERROR(
INDEX(REPORTE_DROPI!B:B,
MATCH(
CLEAN(TRIM(C14)),
CLEAN(TRIM(REPORTE_DROPI!E:E)),
0
)
),
""
)
</f>
        <v>4698237</v>
      </c>
      <c r="U14" s="170"/>
      <c r="V14" s="192"/>
      <c r="W14" s="192"/>
      <c r="X14" s="192"/>
      <c r="Y14" s="192"/>
      <c r="Z14" s="192"/>
    </row>
    <row r="15" ht="22.5" customHeight="1">
      <c r="A15" s="154"/>
      <c r="B15" s="170">
        <v>46082.0</v>
      </c>
      <c r="C15" s="170" t="s">
        <v>8063</v>
      </c>
      <c r="D15" s="170" t="str">
        <f>IFERROR(__xludf.DUMMYFUNCTION("""COMPUTED_VALUE"""),"Cuchillo Tazaki™")</f>
        <v>Cuchillo Tazaki™</v>
      </c>
      <c r="E15" s="188">
        <v>15.0</v>
      </c>
      <c r="F15" s="189">
        <v>4.0</v>
      </c>
      <c r="G15" s="190">
        <v>32.0</v>
      </c>
      <c r="H15" s="154" t="s">
        <v>3727</v>
      </c>
      <c r="I15" s="170" t="s">
        <v>3731</v>
      </c>
      <c r="J15" s="189">
        <v>4.63</v>
      </c>
      <c r="K15" s="154">
        <v>12.37</v>
      </c>
      <c r="L15" s="154" t="s">
        <v>3650</v>
      </c>
      <c r="M15" s="170" t="s">
        <v>5877</v>
      </c>
      <c r="N15" s="170" t="s">
        <v>8064</v>
      </c>
      <c r="O15" s="170" t="str">
        <f t="array" ref="O15">IFERROR(
VLOOKUP(
TRIM(CLEAN(
INDEX(REPORTE_DROPI!K:K,
MATCH(T15, REPORTE_DROPI!B:B, 0)
))),
{
TRIM(CLEAN(MAPA_ESTADOS!A:A)) ,
MAPA_ESTADOS!B:B
},
2,
FALSE
),
"REVISAR"
)</f>
        <v>ENTREGADO</v>
      </c>
      <c r="P15" s="154" t="s">
        <v>5692</v>
      </c>
      <c r="Q15" s="191" t="str">
        <f t="shared" si="1"/>
        <v/>
      </c>
      <c r="R15" s="170"/>
      <c r="S15" s="170"/>
      <c r="T15" s="154">
        <f t="array" ref="T15">IFERROR(
INDEX(REPORTE_DROPI!B:B,
MATCH(
CLEAN(TRIM(C15)),
CLEAN(TRIM(REPORTE_DROPI!E:E)),
0
)
),
""
)
</f>
        <v>4658796</v>
      </c>
      <c r="U15" s="170" t="s">
        <v>8065</v>
      </c>
      <c r="V15" s="192"/>
      <c r="W15" s="192"/>
      <c r="X15" s="192"/>
      <c r="Y15" s="192"/>
      <c r="Z15" s="192"/>
    </row>
    <row r="16" ht="22.5" customHeight="1">
      <c r="A16" s="154"/>
      <c r="B16" s="170">
        <v>46082.0</v>
      </c>
      <c r="C16" s="170" t="s">
        <v>8066</v>
      </c>
      <c r="D16" s="170" t="str">
        <f>IFERROR(__xludf.DUMMYFUNCTION("""COMPUTED_VALUE"""),"FilmPro®")</f>
        <v>FilmPro®</v>
      </c>
      <c r="E16" s="188">
        <v>4.7</v>
      </c>
      <c r="F16" s="189">
        <v>2.0</v>
      </c>
      <c r="G16" s="190">
        <v>25.0</v>
      </c>
      <c r="H16" s="154" t="s">
        <v>3727</v>
      </c>
      <c r="I16" s="170" t="s">
        <v>3731</v>
      </c>
      <c r="J16" s="189">
        <v>4.35</v>
      </c>
      <c r="K16" s="154">
        <v>15.95</v>
      </c>
      <c r="L16" s="154" t="s">
        <v>3650</v>
      </c>
      <c r="M16" s="170" t="s">
        <v>5877</v>
      </c>
      <c r="N16" s="170" t="s">
        <v>8067</v>
      </c>
      <c r="O16" s="170" t="str">
        <f t="array" ref="O16">IFERROR(
VLOOKUP(
TRIM(CLEAN(
INDEX(REPORTE_DROPI!K:K,
MATCH(T16, REPORTE_DROPI!B:B, 0)
))),
{
TRIM(CLEAN(MAPA_ESTADOS!A:A)) ,
MAPA_ESTADOS!B:B
},
2,
FALSE
),
"REVISAR"
)</f>
        <v>ENTREGADO</v>
      </c>
      <c r="P16" s="154" t="s">
        <v>5692</v>
      </c>
      <c r="Q16" s="191" t="str">
        <f t="shared" si="1"/>
        <v/>
      </c>
      <c r="R16" s="170"/>
      <c r="S16" s="170"/>
      <c r="T16" s="154">
        <f t="array" ref="T16">IFERROR(
INDEX(REPORTE_DROPI!B:B,
MATCH(
CLEAN(TRIM(C16)),
CLEAN(TRIM(REPORTE_DROPI!E:E)),
0
)
),
""
)
</f>
        <v>4658937</v>
      </c>
      <c r="U16" s="170" t="s">
        <v>8068</v>
      </c>
      <c r="V16" s="192"/>
      <c r="W16" s="192"/>
      <c r="X16" s="192"/>
      <c r="Y16" s="192"/>
      <c r="Z16" s="192"/>
    </row>
    <row r="17" ht="22.5" customHeight="1">
      <c r="A17" s="154"/>
      <c r="B17" s="170">
        <v>46082.0</v>
      </c>
      <c r="C17" s="170" t="s">
        <v>8069</v>
      </c>
      <c r="D17" s="170" t="str">
        <f>IFERROR(__xludf.DUMMYFUNCTION("""COMPUTED_VALUE"""),"FilmPro®")</f>
        <v>FilmPro®</v>
      </c>
      <c r="E17" s="188" t="s">
        <v>3650</v>
      </c>
      <c r="F17" s="189">
        <v>2.0</v>
      </c>
      <c r="G17" s="190" t="s">
        <v>3650</v>
      </c>
      <c r="H17" s="154" t="s">
        <v>3727</v>
      </c>
      <c r="I17" s="170" t="s">
        <v>3784</v>
      </c>
      <c r="J17" s="189" t="s">
        <v>3650</v>
      </c>
      <c r="K17" s="154"/>
      <c r="L17" s="154">
        <v>0.0</v>
      </c>
      <c r="M17" s="170" t="s">
        <v>5877</v>
      </c>
      <c r="N17" s="170" t="s">
        <v>8070</v>
      </c>
      <c r="O17" s="170" t="str">
        <f t="array" ref="O17">IFERROR(
VLOOKUP(
TRIM(CLEAN(
INDEX(REPORTE_DROPI!K:K,
MATCH(T17, REPORTE_DROPI!B:B, 0)
))),
{
TRIM(CLEAN(MAPA_ESTADOS!A:A)) ,
MAPA_ESTADOS!B:B
},
2,
FALSE
),
"REVISAR"
)</f>
        <v>DEVOLUCION</v>
      </c>
      <c r="P17" s="154" t="s">
        <v>5692</v>
      </c>
      <c r="Q17" s="191" t="str">
        <f t="shared" si="1"/>
        <v/>
      </c>
      <c r="R17" s="170"/>
      <c r="S17" s="170"/>
      <c r="T17" s="154">
        <f t="array" ref="T17">IFERROR(
INDEX(REPORTE_DROPI!B:B,
MATCH(
CLEAN(TRIM(C17)),
CLEAN(TRIM(REPORTE_DROPI!E:E)),
0
)
),
""
)
</f>
        <v>4659166</v>
      </c>
      <c r="U17" s="170" t="s">
        <v>8071</v>
      </c>
      <c r="V17" s="192"/>
      <c r="W17" s="192"/>
      <c r="X17" s="192"/>
      <c r="Y17" s="192"/>
      <c r="Z17" s="192"/>
    </row>
    <row r="18" ht="22.5" customHeight="1">
      <c r="A18" s="154"/>
      <c r="B18" s="170">
        <v>46082.0</v>
      </c>
      <c r="C18" s="170" t="s">
        <v>8072</v>
      </c>
      <c r="D18" s="170" t="str">
        <f>IFERROR(__xludf.DUMMYFUNCTION("""COMPUTED_VALUE"""),"FilmPro®")</f>
        <v>FilmPro®</v>
      </c>
      <c r="E18" s="188">
        <v>4.7</v>
      </c>
      <c r="F18" s="189">
        <v>2.0</v>
      </c>
      <c r="G18" s="190">
        <v>25.0</v>
      </c>
      <c r="H18" s="154" t="s">
        <v>3727</v>
      </c>
      <c r="I18" s="170" t="s">
        <v>3778</v>
      </c>
      <c r="J18" s="189">
        <v>5.96</v>
      </c>
      <c r="K18" s="154">
        <v>14.34</v>
      </c>
      <c r="L18" s="154" t="s">
        <v>3650</v>
      </c>
      <c r="M18" s="170" t="s">
        <v>5877</v>
      </c>
      <c r="N18" s="170" t="s">
        <v>8073</v>
      </c>
      <c r="O18" s="170" t="str">
        <f t="array" ref="O18">IFERROR(
VLOOKUP(
TRIM(CLEAN(
INDEX(REPORTE_DROPI!K:K,
MATCH(T18, REPORTE_DROPI!B:B, 0)
))),
{
TRIM(CLEAN(MAPA_ESTADOS!A:A)) ,
MAPA_ESTADOS!B:B
},
2,
FALSE
),
"REVISAR"
)</f>
        <v>ENTREGADO</v>
      </c>
      <c r="P18" s="154" t="s">
        <v>5692</v>
      </c>
      <c r="Q18" s="191" t="str">
        <f t="shared" si="1"/>
        <v/>
      </c>
      <c r="R18" s="170"/>
      <c r="S18" s="170"/>
      <c r="T18" s="154">
        <f t="array" ref="T18">IFERROR(
INDEX(REPORTE_DROPI!B:B,
MATCH(
CLEAN(TRIM(C18)),
CLEAN(TRIM(REPORTE_DROPI!E:E)),
0
)
),
""
)
</f>
        <v>4659259</v>
      </c>
      <c r="U18" s="170" t="s">
        <v>8074</v>
      </c>
      <c r="V18" s="192"/>
      <c r="W18" s="192"/>
      <c r="X18" s="192"/>
      <c r="Y18" s="192"/>
      <c r="Z18" s="192"/>
    </row>
    <row r="19" ht="22.5" customHeight="1">
      <c r="A19" s="154"/>
      <c r="B19" s="170">
        <v>46082.0</v>
      </c>
      <c r="C19" s="170" t="s">
        <v>8075</v>
      </c>
      <c r="D19" s="170" t="str">
        <f>IFERROR(__xludf.DUMMYFUNCTION("""COMPUTED_VALUE"""),"Cuchillo Tazaki™")</f>
        <v>Cuchillo Tazaki™</v>
      </c>
      <c r="E19" s="188" t="s">
        <v>3650</v>
      </c>
      <c r="F19" s="189">
        <v>2.0</v>
      </c>
      <c r="G19" s="190" t="s">
        <v>3650</v>
      </c>
      <c r="H19" s="154" t="s">
        <v>3727</v>
      </c>
      <c r="I19" s="170" t="s">
        <v>3882</v>
      </c>
      <c r="J19" s="189" t="s">
        <v>3650</v>
      </c>
      <c r="K19" s="154"/>
      <c r="L19" s="154">
        <v>0.0</v>
      </c>
      <c r="M19" s="170" t="s">
        <v>5877</v>
      </c>
      <c r="N19" s="170" t="s">
        <v>8076</v>
      </c>
      <c r="O19" s="170" t="str">
        <f t="array" ref="O19">IFERROR(
VLOOKUP(
TRIM(CLEAN(
INDEX(REPORTE_DROPI!K:K,
MATCH(T19, REPORTE_DROPI!B:B, 0)
))),
{
TRIM(CLEAN(MAPA_ESTADOS!A:A)) ,
MAPA_ESTADOS!B:B
},
2,
FALSE
),
"REVISAR"
)</f>
        <v>DEVOLUCION</v>
      </c>
      <c r="P19" s="154" t="s">
        <v>5692</v>
      </c>
      <c r="Q19" s="191" t="str">
        <f t="shared" si="1"/>
        <v/>
      </c>
      <c r="R19" s="170"/>
      <c r="S19" s="170"/>
      <c r="T19" s="154">
        <f t="array" ref="T19">IFERROR(
INDEX(REPORTE_DROPI!B:B,
MATCH(
CLEAN(TRIM(C19)),
CLEAN(TRIM(REPORTE_DROPI!E:E)),
0
)
),
""
)
</f>
        <v>4659313</v>
      </c>
      <c r="U19" s="170" t="s">
        <v>8077</v>
      </c>
      <c r="V19" s="192"/>
      <c r="W19" s="192"/>
      <c r="X19" s="192"/>
      <c r="Y19" s="192"/>
      <c r="Z19" s="192"/>
    </row>
    <row r="20" ht="22.5" customHeight="1">
      <c r="A20" s="154"/>
      <c r="B20" s="170">
        <v>46082.0</v>
      </c>
      <c r="C20" s="170" t="s">
        <v>8078</v>
      </c>
      <c r="D20" s="170" t="str">
        <f>IFERROR(__xludf.DUMMYFUNCTION("""COMPUTED_VALUE"""),"Cuchillo Tazaki™")</f>
        <v>Cuchillo Tazaki™</v>
      </c>
      <c r="E20" s="188">
        <v>7.5</v>
      </c>
      <c r="F20" s="189">
        <v>2.0</v>
      </c>
      <c r="G20" s="190">
        <v>22.0</v>
      </c>
      <c r="H20" s="154" t="s">
        <v>3727</v>
      </c>
      <c r="I20" s="170" t="s">
        <v>3778</v>
      </c>
      <c r="J20" s="189">
        <v>5.84</v>
      </c>
      <c r="K20" s="154">
        <v>8.66</v>
      </c>
      <c r="L20" s="154" t="s">
        <v>3650</v>
      </c>
      <c r="M20" s="170" t="s">
        <v>5877</v>
      </c>
      <c r="N20" s="170" t="s">
        <v>8079</v>
      </c>
      <c r="O20" s="170" t="str">
        <f t="array" ref="O20">IFERROR(
VLOOKUP(
TRIM(CLEAN(
INDEX(REPORTE_DROPI!K:K,
MATCH(T20, REPORTE_DROPI!B:B, 0)
))),
{
TRIM(CLEAN(MAPA_ESTADOS!A:A)) ,
MAPA_ESTADOS!B:B
},
2,
FALSE
),
"REVISAR"
)</f>
        <v>ENTREGADO</v>
      </c>
      <c r="P20" s="154" t="s">
        <v>5692</v>
      </c>
      <c r="Q20" s="191" t="str">
        <f t="shared" si="1"/>
        <v/>
      </c>
      <c r="R20" s="170"/>
      <c r="S20" s="170"/>
      <c r="T20" s="154">
        <f t="array" ref="T20">IFERROR(
INDEX(REPORTE_DROPI!B:B,
MATCH(
CLEAN(TRIM(C20)),
CLEAN(TRIM(REPORTE_DROPI!E:E)),
0
)
),
""
)
</f>
        <v>4659510</v>
      </c>
      <c r="U20" s="170" t="s">
        <v>8080</v>
      </c>
      <c r="V20" s="192"/>
      <c r="W20" s="192"/>
      <c r="X20" s="192"/>
      <c r="Y20" s="192"/>
      <c r="Z20" s="192"/>
    </row>
    <row r="21" ht="22.5" customHeight="1">
      <c r="A21" s="154"/>
      <c r="B21" s="170">
        <v>46082.0</v>
      </c>
      <c r="C21" s="170" t="s">
        <v>8081</v>
      </c>
      <c r="D21" s="170" t="str">
        <f>IFERROR(__xludf.DUMMYFUNCTION("""COMPUTED_VALUE"""),"FreeBeat Adapter")</f>
        <v>FreeBeat Adapter</v>
      </c>
      <c r="E21" s="188" t="s">
        <v>3650</v>
      </c>
      <c r="F21" s="189">
        <v>2.0</v>
      </c>
      <c r="G21" s="190" t="s">
        <v>3650</v>
      </c>
      <c r="H21" s="154" t="s">
        <v>3727</v>
      </c>
      <c r="I21" s="170" t="s">
        <v>3742</v>
      </c>
      <c r="J21" s="189" t="s">
        <v>3650</v>
      </c>
      <c r="K21" s="154"/>
      <c r="L21" s="154" t="s">
        <v>3650</v>
      </c>
      <c r="M21" s="170" t="s">
        <v>5877</v>
      </c>
      <c r="N21" s="170" t="s">
        <v>8082</v>
      </c>
      <c r="O21" s="170" t="str">
        <f t="array" ref="O21">IFERROR(
VLOOKUP(
TRIM(CLEAN(
INDEX(REPORTE_DROPI!K:K,
MATCH(T21, REPORTE_DROPI!B:B, 0)
))),
{
TRIM(CLEAN(MAPA_ESTADOS!A:A)) ,
MAPA_ESTADOS!B:B
},
2,
FALSE
),
"REVISAR"
)</f>
        <v>PENDIENTE</v>
      </c>
      <c r="P21" s="154" t="s">
        <v>6534</v>
      </c>
      <c r="Q21" s="191" t="str">
        <f t="shared" si="1"/>
        <v/>
      </c>
      <c r="R21" s="170"/>
      <c r="S21" s="170"/>
      <c r="T21" s="154">
        <f t="array" ref="T21">IFERROR(
INDEX(REPORTE_DROPI!B:B,
MATCH(
CLEAN(TRIM(C21)),
CLEAN(TRIM(REPORTE_DROPI!E:E)),
0
)
),
""
)
</f>
        <v>4659660</v>
      </c>
      <c r="U21" s="170" t="s">
        <v>8083</v>
      </c>
      <c r="V21" s="192"/>
      <c r="W21" s="192"/>
      <c r="X21" s="192"/>
      <c r="Y21" s="192"/>
      <c r="Z21" s="192"/>
    </row>
    <row r="22" ht="22.5" customHeight="1">
      <c r="A22" s="154"/>
      <c r="B22" s="170">
        <v>46082.0</v>
      </c>
      <c r="C22" s="170" t="s">
        <v>8084</v>
      </c>
      <c r="D22" s="170" t="str">
        <f>IFERROR(__xludf.DUMMYFUNCTION("""COMPUTED_VALUE"""),"FilmPro®")</f>
        <v>FilmPro®</v>
      </c>
      <c r="E22" s="188">
        <v>2.35</v>
      </c>
      <c r="F22" s="189">
        <v>1.0</v>
      </c>
      <c r="G22" s="190">
        <v>20.0</v>
      </c>
      <c r="H22" s="154" t="s">
        <v>3727</v>
      </c>
      <c r="I22" s="170" t="s">
        <v>3770</v>
      </c>
      <c r="J22" s="189">
        <v>5.76</v>
      </c>
      <c r="K22" s="154">
        <v>11.89</v>
      </c>
      <c r="L22" s="154" t="s">
        <v>3650</v>
      </c>
      <c r="M22" s="170" t="s">
        <v>5877</v>
      </c>
      <c r="N22" s="170" t="s">
        <v>8085</v>
      </c>
      <c r="O22" s="170" t="str">
        <f t="array" ref="O22">IFERROR(
VLOOKUP(
TRIM(CLEAN(
INDEX(REPORTE_DROPI!K:K,
MATCH(T22, REPORTE_DROPI!B:B, 0)
))),
{
TRIM(CLEAN(MAPA_ESTADOS!A:A)) ,
MAPA_ESTADOS!B:B
},
2,
FALSE
),
"REVISAR"
)</f>
        <v>ENTREGADO</v>
      </c>
      <c r="P22" s="154" t="s">
        <v>5692</v>
      </c>
      <c r="Q22" s="191" t="str">
        <f t="shared" si="1"/>
        <v/>
      </c>
      <c r="R22" s="170"/>
      <c r="S22" s="170"/>
      <c r="T22" s="154">
        <f t="array" ref="T22">IFERROR(
INDEX(REPORTE_DROPI!B:B,
MATCH(
CLEAN(TRIM(C22)),
CLEAN(TRIM(REPORTE_DROPI!E:E)),
0
)
),
""
)
</f>
        <v>4659963</v>
      </c>
      <c r="U22" s="170" t="s">
        <v>6043</v>
      </c>
      <c r="V22" s="192"/>
      <c r="W22" s="192"/>
      <c r="X22" s="192"/>
      <c r="Y22" s="192"/>
      <c r="Z22" s="192"/>
    </row>
    <row r="23" ht="22.5" customHeight="1">
      <c r="A23" s="154"/>
      <c r="B23" s="170">
        <v>46082.0</v>
      </c>
      <c r="C23" s="170" t="s">
        <v>8086</v>
      </c>
      <c r="D23" s="170" t="str">
        <f>IFERROR(__xludf.DUMMYFUNCTION("""COMPUTED_VALUE"""),"FilmPro®")</f>
        <v>FilmPro®</v>
      </c>
      <c r="E23" s="188">
        <v>7.05</v>
      </c>
      <c r="F23" s="189">
        <v>3.0</v>
      </c>
      <c r="G23" s="190">
        <v>30.0</v>
      </c>
      <c r="H23" s="154" t="s">
        <v>3727</v>
      </c>
      <c r="I23" s="170" t="s">
        <v>3784</v>
      </c>
      <c r="J23" s="189">
        <v>6.73</v>
      </c>
      <c r="K23" s="154">
        <v>16.22</v>
      </c>
      <c r="L23" s="154" t="s">
        <v>3650</v>
      </c>
      <c r="M23" s="170" t="s">
        <v>5877</v>
      </c>
      <c r="N23" s="170" t="s">
        <v>8087</v>
      </c>
      <c r="O23" s="170" t="str">
        <f t="array" ref="O23">IFERROR(
VLOOKUP(
TRIM(CLEAN(
INDEX(REPORTE_DROPI!K:K,
MATCH(T23, REPORTE_DROPI!B:B, 0)
))),
{
TRIM(CLEAN(MAPA_ESTADOS!A:A)) ,
MAPA_ESTADOS!B:B
},
2,
FALSE
),
"REVISAR"
)</f>
        <v>ENTREGADO</v>
      </c>
      <c r="P23" s="154" t="s">
        <v>5692</v>
      </c>
      <c r="Q23" s="191" t="str">
        <f t="shared" si="1"/>
        <v/>
      </c>
      <c r="R23" s="170"/>
      <c r="S23" s="170"/>
      <c r="T23" s="154">
        <f t="array" ref="T23">IFERROR(
INDEX(REPORTE_DROPI!B:B,
MATCH(
CLEAN(TRIM(C23)),
CLEAN(TRIM(REPORTE_DROPI!E:E)),
0
)
),
""
)
</f>
        <v>4660172</v>
      </c>
      <c r="U23" s="170" t="s">
        <v>8088</v>
      </c>
      <c r="V23" s="192"/>
      <c r="W23" s="192"/>
      <c r="X23" s="192"/>
      <c r="Y23" s="192"/>
      <c r="Z23" s="192"/>
    </row>
    <row r="24" ht="22.5" customHeight="1">
      <c r="A24" s="154"/>
      <c r="B24" s="170">
        <v>46082.0</v>
      </c>
      <c r="C24" s="170" t="s">
        <v>8089</v>
      </c>
      <c r="D24" s="170" t="str">
        <f>IFERROR(__xludf.DUMMYFUNCTION("""COMPUTED_VALUE"""),"FilmPro®")</f>
        <v>FilmPro®</v>
      </c>
      <c r="E24" s="188">
        <v>7.05</v>
      </c>
      <c r="F24" s="189">
        <v>3.0</v>
      </c>
      <c r="G24" s="190">
        <v>30.0</v>
      </c>
      <c r="H24" s="154" t="s">
        <v>3727</v>
      </c>
      <c r="I24" s="170" t="s">
        <v>3804</v>
      </c>
      <c r="J24" s="189">
        <v>6.16</v>
      </c>
      <c r="K24" s="154">
        <v>16.79</v>
      </c>
      <c r="L24" s="154" t="s">
        <v>3650</v>
      </c>
      <c r="M24" s="170" t="s">
        <v>5877</v>
      </c>
      <c r="N24" s="170" t="s">
        <v>8090</v>
      </c>
      <c r="O24" s="170" t="str">
        <f t="array" ref="O24">IFERROR(
VLOOKUP(
TRIM(CLEAN(
INDEX(REPORTE_DROPI!K:K,
MATCH(T24, REPORTE_DROPI!B:B, 0)
))),
{
TRIM(CLEAN(MAPA_ESTADOS!A:A)) ,
MAPA_ESTADOS!B:B
},
2,
FALSE
),
"REVISAR"
)</f>
        <v>ENTREGADO</v>
      </c>
      <c r="P24" s="154" t="s">
        <v>5692</v>
      </c>
      <c r="Q24" s="191" t="str">
        <f t="shared" si="1"/>
        <v/>
      </c>
      <c r="R24" s="170"/>
      <c r="S24" s="170"/>
      <c r="T24" s="154">
        <f t="array" ref="T24">IFERROR(
INDEX(REPORTE_DROPI!B:B,
MATCH(
CLEAN(TRIM(C24)),
CLEAN(TRIM(REPORTE_DROPI!E:E)),
0
)
),
""
)
</f>
        <v>4660277</v>
      </c>
      <c r="U24" s="170" t="s">
        <v>8091</v>
      </c>
      <c r="V24" s="192"/>
      <c r="W24" s="192"/>
      <c r="X24" s="192"/>
      <c r="Y24" s="192"/>
      <c r="Z24" s="192"/>
    </row>
    <row r="25" ht="22.5" customHeight="1">
      <c r="A25" s="154"/>
      <c r="B25" s="170">
        <v>46082.0</v>
      </c>
      <c r="C25" s="170" t="s">
        <v>8092</v>
      </c>
      <c r="D25" s="170" t="str">
        <f>IFERROR(__xludf.DUMMYFUNCTION("""COMPUTED_VALUE"""),"Cuchillo Tazaki™")</f>
        <v>Cuchillo Tazaki™</v>
      </c>
      <c r="E25" s="188">
        <v>11.25</v>
      </c>
      <c r="F25" s="189">
        <v>3.0</v>
      </c>
      <c r="G25" s="190">
        <v>27.0</v>
      </c>
      <c r="H25" s="154" t="s">
        <v>3727</v>
      </c>
      <c r="I25" s="170" t="s">
        <v>3731</v>
      </c>
      <c r="J25" s="189">
        <v>4.42</v>
      </c>
      <c r="K25" s="154">
        <v>11.33</v>
      </c>
      <c r="L25" s="154" t="s">
        <v>3650</v>
      </c>
      <c r="M25" s="170" t="s">
        <v>5877</v>
      </c>
      <c r="N25" s="170" t="s">
        <v>8093</v>
      </c>
      <c r="O25" s="170" t="str">
        <f t="array" ref="O25">IFERROR(
VLOOKUP(
TRIM(CLEAN(
INDEX(REPORTE_DROPI!K:K,
MATCH(T25, REPORTE_DROPI!B:B, 0)
))),
{
TRIM(CLEAN(MAPA_ESTADOS!A:A)) ,
MAPA_ESTADOS!B:B
},
2,
FALSE
),
"REVISAR"
)</f>
        <v>ENTREGADO</v>
      </c>
      <c r="P25" s="154" t="s">
        <v>5692</v>
      </c>
      <c r="Q25" s="191" t="str">
        <f t="shared" si="1"/>
        <v/>
      </c>
      <c r="R25" s="170"/>
      <c r="S25" s="170"/>
      <c r="T25" s="154">
        <f t="array" ref="T25">IFERROR(
INDEX(REPORTE_DROPI!B:B,
MATCH(
CLEAN(TRIM(C25)),
CLEAN(TRIM(REPORTE_DROPI!E:E)),
0
)
),
""
)
</f>
        <v>4660406</v>
      </c>
      <c r="U25" s="170" t="s">
        <v>8094</v>
      </c>
      <c r="V25" s="192"/>
      <c r="W25" s="192"/>
      <c r="X25" s="192"/>
      <c r="Y25" s="192"/>
      <c r="Z25" s="192"/>
    </row>
    <row r="26" ht="22.5" customHeight="1">
      <c r="A26" s="154"/>
      <c r="B26" s="170">
        <v>46082.0</v>
      </c>
      <c r="C26" s="170" t="s">
        <v>8095</v>
      </c>
      <c r="D26" s="170" t="str">
        <f>IFERROR(__xludf.DUMMYFUNCTION("""COMPUTED_VALUE"""),"Cuchillo Tazaki™")</f>
        <v>Cuchillo Tazaki™</v>
      </c>
      <c r="E26" s="188">
        <v>7.5</v>
      </c>
      <c r="F26" s="189">
        <v>2.0</v>
      </c>
      <c r="G26" s="190">
        <v>22.0</v>
      </c>
      <c r="H26" s="154" t="s">
        <v>3727</v>
      </c>
      <c r="I26" s="170" t="s">
        <v>3778</v>
      </c>
      <c r="J26" s="189">
        <v>5.84</v>
      </c>
      <c r="K26" s="154">
        <v>8.66</v>
      </c>
      <c r="L26" s="154" t="s">
        <v>3650</v>
      </c>
      <c r="M26" s="170" t="s">
        <v>5877</v>
      </c>
      <c r="N26" s="170" t="s">
        <v>8096</v>
      </c>
      <c r="O26" s="170" t="str">
        <f t="array" ref="O26">IFERROR(
VLOOKUP(
TRIM(CLEAN(
INDEX(REPORTE_DROPI!K:K,
MATCH(T26, REPORTE_DROPI!B:B, 0)
))),
{
TRIM(CLEAN(MAPA_ESTADOS!A:A)) ,
MAPA_ESTADOS!B:B
},
2,
FALSE
),
"REVISAR"
)</f>
        <v>ENTREGADO</v>
      </c>
      <c r="P26" s="154" t="s">
        <v>5692</v>
      </c>
      <c r="Q26" s="191" t="str">
        <f t="shared" si="1"/>
        <v/>
      </c>
      <c r="R26" s="170"/>
      <c r="S26" s="170"/>
      <c r="T26" s="154">
        <f t="array" ref="T26">IFERROR(
INDEX(REPORTE_DROPI!B:B,
MATCH(
CLEAN(TRIM(C26)),
CLEAN(TRIM(REPORTE_DROPI!E:E)),
0
)
),
""
)
</f>
        <v>4660832</v>
      </c>
      <c r="U26" s="170" t="s">
        <v>8097</v>
      </c>
      <c r="V26" s="192"/>
      <c r="W26" s="192"/>
      <c r="X26" s="192"/>
      <c r="Y26" s="192"/>
      <c r="Z26" s="192"/>
    </row>
    <row r="27" ht="22.5" customHeight="1">
      <c r="A27" s="154"/>
      <c r="B27" s="170">
        <v>46082.0</v>
      </c>
      <c r="C27" s="170" t="s">
        <v>8098</v>
      </c>
      <c r="D27" s="170" t="str">
        <f>IFERROR(__xludf.DUMMYFUNCTION("""COMPUTED_VALUE"""),"Cuchillo Tazaki™")</f>
        <v>Cuchillo Tazaki™</v>
      </c>
      <c r="E27" s="188">
        <v>11.25</v>
      </c>
      <c r="F27" s="189">
        <v>3.0</v>
      </c>
      <c r="G27" s="190">
        <v>27.0</v>
      </c>
      <c r="H27" s="154" t="s">
        <v>3727</v>
      </c>
      <c r="I27" s="170" t="s">
        <v>3740</v>
      </c>
      <c r="J27" s="189">
        <v>6.03</v>
      </c>
      <c r="K27" s="154">
        <v>9.72</v>
      </c>
      <c r="L27" s="154" t="s">
        <v>3650</v>
      </c>
      <c r="M27" s="170" t="s">
        <v>5877</v>
      </c>
      <c r="N27" s="170" t="s">
        <v>8099</v>
      </c>
      <c r="O27" s="170" t="str">
        <f t="array" ref="O27">IFERROR(
VLOOKUP(
TRIM(CLEAN(
INDEX(REPORTE_DROPI!K:K,
MATCH(T27, REPORTE_DROPI!B:B, 0)
))),
{
TRIM(CLEAN(MAPA_ESTADOS!A:A)) ,
MAPA_ESTADOS!B:B
},
2,
FALSE
),
"REVISAR"
)</f>
        <v>ENTREGADO</v>
      </c>
      <c r="P27" s="154" t="s">
        <v>5692</v>
      </c>
      <c r="Q27" s="191" t="str">
        <f t="shared" si="1"/>
        <v/>
      </c>
      <c r="R27" s="170"/>
      <c r="S27" s="170"/>
      <c r="T27" s="154">
        <f t="array" ref="T27">IFERROR(
INDEX(REPORTE_DROPI!B:B,
MATCH(
CLEAN(TRIM(C27)),
CLEAN(TRIM(REPORTE_DROPI!E:E)),
0
)
),
""
)
</f>
        <v>4661106</v>
      </c>
      <c r="U27" s="170" t="s">
        <v>8100</v>
      </c>
      <c r="V27" s="192"/>
      <c r="W27" s="192"/>
      <c r="X27" s="192"/>
      <c r="Y27" s="192"/>
      <c r="Z27" s="192"/>
    </row>
    <row r="28" ht="22.5" customHeight="1">
      <c r="A28" s="154"/>
      <c r="B28" s="170">
        <v>46082.0</v>
      </c>
      <c r="C28" s="170" t="s">
        <v>8101</v>
      </c>
      <c r="D28" s="170" t="str">
        <f>IFERROR(__xludf.DUMMYFUNCTION("""COMPUTED_VALUE"""),"Cuchillo Tazaki™")</f>
        <v>Cuchillo Tazaki™</v>
      </c>
      <c r="E28" s="188">
        <v>11.25</v>
      </c>
      <c r="F28" s="189">
        <v>3.0</v>
      </c>
      <c r="G28" s="190">
        <v>27.0</v>
      </c>
      <c r="H28" s="154" t="s">
        <v>3727</v>
      </c>
      <c r="I28" s="170" t="s">
        <v>3801</v>
      </c>
      <c r="J28" s="189">
        <v>6.03</v>
      </c>
      <c r="K28" s="154">
        <v>9.72</v>
      </c>
      <c r="L28" s="154" t="s">
        <v>3650</v>
      </c>
      <c r="M28" s="170" t="s">
        <v>5877</v>
      </c>
      <c r="N28" s="170" t="s">
        <v>8102</v>
      </c>
      <c r="O28" s="170" t="str">
        <f t="array" ref="O28">IFERROR(
VLOOKUP(
TRIM(CLEAN(
INDEX(REPORTE_DROPI!K:K,
MATCH(T28, REPORTE_DROPI!B:B, 0)
))),
{
TRIM(CLEAN(MAPA_ESTADOS!A:A)) ,
MAPA_ESTADOS!B:B
},
2,
FALSE
),
"REVISAR"
)</f>
        <v>ENTREGADO</v>
      </c>
      <c r="P28" s="154" t="s">
        <v>5692</v>
      </c>
      <c r="Q28" s="191" t="str">
        <f t="shared" si="1"/>
        <v/>
      </c>
      <c r="R28" s="170"/>
      <c r="S28" s="170"/>
      <c r="T28" s="154">
        <f t="array" ref="T28">IFERROR(
INDEX(REPORTE_DROPI!B:B,
MATCH(
CLEAN(TRIM(C28)),
CLEAN(TRIM(REPORTE_DROPI!E:E)),
0
)
),
""
)
</f>
        <v>4661182</v>
      </c>
      <c r="U28" s="170" t="s">
        <v>8103</v>
      </c>
      <c r="V28" s="192"/>
      <c r="W28" s="192"/>
      <c r="X28" s="192"/>
      <c r="Y28" s="192"/>
      <c r="Z28" s="192"/>
    </row>
    <row r="29" ht="22.5" customHeight="1">
      <c r="A29" s="154"/>
      <c r="B29" s="170">
        <v>46082.0</v>
      </c>
      <c r="C29" s="170" t="s">
        <v>8104</v>
      </c>
      <c r="D29" s="170" t="str">
        <f>IFERROR(__xludf.DUMMYFUNCTION("""COMPUTED_VALUE"""),"FilmPro®")</f>
        <v>FilmPro®</v>
      </c>
      <c r="E29" s="188" t="s">
        <v>3650</v>
      </c>
      <c r="F29" s="189">
        <v>2.0</v>
      </c>
      <c r="G29" s="190" t="s">
        <v>3650</v>
      </c>
      <c r="H29" s="154" t="s">
        <v>3727</v>
      </c>
      <c r="I29" s="170" t="s">
        <v>3759</v>
      </c>
      <c r="J29" s="189" t="s">
        <v>3650</v>
      </c>
      <c r="K29" s="154"/>
      <c r="L29" s="154" t="s">
        <v>3650</v>
      </c>
      <c r="M29" s="170" t="s">
        <v>5877</v>
      </c>
      <c r="N29" s="170" t="s">
        <v>8105</v>
      </c>
      <c r="O29" s="170" t="str">
        <f t="array" ref="O29">IFERROR(
VLOOKUP(
TRIM(CLEAN(
INDEX(REPORTE_DROPI!K:K,
MATCH(T29, REPORTE_DROPI!B:B, 0)
))),
{
TRIM(CLEAN(MAPA_ESTADOS!A:A)) ,
MAPA_ESTADOS!B:B
},
2,
FALSE
),
"REVISAR"
)</f>
        <v>PENDIENTE</v>
      </c>
      <c r="P29" s="154" t="s">
        <v>8106</v>
      </c>
      <c r="Q29" s="191" t="str">
        <f t="shared" si="1"/>
        <v/>
      </c>
      <c r="R29" s="170"/>
      <c r="S29" s="170"/>
      <c r="T29" s="154">
        <f t="array" ref="T29">IFERROR(
INDEX(REPORTE_DROPI!B:B,
MATCH(
CLEAN(TRIM(C29)),
CLEAN(TRIM(REPORTE_DROPI!E:E)),
0
)
),
""
)
</f>
        <v>4661824</v>
      </c>
      <c r="U29" s="170" t="s">
        <v>8107</v>
      </c>
      <c r="V29" s="192"/>
      <c r="W29" s="192"/>
      <c r="X29" s="192"/>
      <c r="Y29" s="192"/>
      <c r="Z29" s="192"/>
    </row>
    <row r="30" ht="22.5" customHeight="1">
      <c r="A30" s="154"/>
      <c r="B30" s="170">
        <v>46082.0</v>
      </c>
      <c r="C30" s="193" t="s">
        <v>8108</v>
      </c>
      <c r="D30" s="170" t="str">
        <f>IFERROR(__xludf.DUMMYFUNCTION("""COMPUTED_VALUE"""),"FilmPro®")</f>
        <v>FilmPro®</v>
      </c>
      <c r="E30" s="188">
        <v>4.7</v>
      </c>
      <c r="F30" s="189">
        <v>2.0</v>
      </c>
      <c r="G30" s="190">
        <v>25.0</v>
      </c>
      <c r="H30" s="154" t="s">
        <v>3727</v>
      </c>
      <c r="I30" s="170" t="s">
        <v>3798</v>
      </c>
      <c r="J30" s="189">
        <v>7.75</v>
      </c>
      <c r="K30" s="154">
        <v>12.55</v>
      </c>
      <c r="L30" s="154" t="s">
        <v>3650</v>
      </c>
      <c r="M30" s="170" t="s">
        <v>5877</v>
      </c>
      <c r="N30" s="170" t="s">
        <v>8109</v>
      </c>
      <c r="O30" s="170" t="str">
        <f t="array" ref="O30">IFERROR(
VLOOKUP(
TRIM(CLEAN(
INDEX(REPORTE_DROPI!K:K,
MATCH(T30, REPORTE_DROPI!B:B, 0)
))),
{
TRIM(CLEAN(MAPA_ESTADOS!A:A)) ,
MAPA_ESTADOS!B:B
},
2,
FALSE
),
"REVISAR"
)</f>
        <v>ENTREGADO</v>
      </c>
      <c r="P30" s="132" t="s">
        <v>8110</v>
      </c>
      <c r="Q30" s="191" t="str">
        <f t="shared" si="1"/>
        <v/>
      </c>
      <c r="R30" s="170"/>
      <c r="S30" s="170"/>
      <c r="T30" s="154">
        <f t="array" ref="T30">IFERROR(
INDEX(REPORTE_DROPI!B:B,
MATCH(
CLEAN(TRIM(C30)),
CLEAN(TRIM(REPORTE_DROPI!E:E)),
0
)
),
""
)
</f>
        <v>4661862</v>
      </c>
      <c r="U30" s="170" t="s">
        <v>8111</v>
      </c>
      <c r="V30" s="192"/>
      <c r="W30" s="192"/>
      <c r="X30" s="192"/>
      <c r="Y30" s="192"/>
      <c r="Z30" s="192"/>
    </row>
    <row r="31" ht="22.5" customHeight="1">
      <c r="A31" s="154"/>
      <c r="B31" s="170">
        <v>46082.0</v>
      </c>
      <c r="C31" s="170" t="s">
        <v>8112</v>
      </c>
      <c r="D31" s="170" t="str">
        <f>IFERROR(__xludf.DUMMYFUNCTION("""COMPUTED_VALUE"""),"FilmPro®")</f>
        <v>FilmPro®</v>
      </c>
      <c r="E31" s="188" t="s">
        <v>3650</v>
      </c>
      <c r="F31" s="189">
        <v>2.0</v>
      </c>
      <c r="G31" s="190" t="s">
        <v>3650</v>
      </c>
      <c r="H31" s="154" t="s">
        <v>3727</v>
      </c>
      <c r="I31" s="170" t="s">
        <v>3740</v>
      </c>
      <c r="J31" s="189" t="s">
        <v>3650</v>
      </c>
      <c r="K31" s="154"/>
      <c r="L31" s="154">
        <v>0.0</v>
      </c>
      <c r="M31" s="170" t="s">
        <v>5877</v>
      </c>
      <c r="N31" s="170" t="s">
        <v>8113</v>
      </c>
      <c r="O31" s="170" t="str">
        <f t="array" ref="O31">IFERROR(
VLOOKUP(
TRIM(CLEAN(
INDEX(REPORTE_DROPI!K:K,
MATCH(T31, REPORTE_DROPI!B:B, 0)
))),
{
TRIM(CLEAN(MAPA_ESTADOS!A:A)) ,
MAPA_ESTADOS!B:B
},
2,
FALSE
),
"REVISAR"
)</f>
        <v>DEVOLUCION</v>
      </c>
      <c r="P31" s="154" t="s">
        <v>5692</v>
      </c>
      <c r="Q31" s="191" t="str">
        <f t="shared" si="1"/>
        <v/>
      </c>
      <c r="R31" s="170"/>
      <c r="S31" s="170"/>
      <c r="T31" s="154">
        <f t="array" ref="T31">IFERROR(
INDEX(REPORTE_DROPI!B:B,
MATCH(
CLEAN(TRIM(C31)),
CLEAN(TRIM(REPORTE_DROPI!E:E)),
0
)
),
""
)
</f>
        <v>4662198</v>
      </c>
      <c r="U31" s="170" t="s">
        <v>8114</v>
      </c>
      <c r="V31" s="192"/>
      <c r="W31" s="192"/>
      <c r="X31" s="192"/>
      <c r="Y31" s="192"/>
      <c r="Z31" s="192"/>
    </row>
    <row r="32" ht="22.5" customHeight="1">
      <c r="A32" s="154"/>
      <c r="B32" s="170">
        <v>46082.0</v>
      </c>
      <c r="C32" s="170" t="s">
        <v>8115</v>
      </c>
      <c r="D32" s="170" t="str">
        <f>IFERROR(__xludf.DUMMYFUNCTION("""COMPUTED_VALUE"""),"FilmPro®")</f>
        <v>FilmPro®</v>
      </c>
      <c r="E32" s="188" t="s">
        <v>3650</v>
      </c>
      <c r="F32" s="189">
        <v>2.0</v>
      </c>
      <c r="G32" s="190" t="s">
        <v>3650</v>
      </c>
      <c r="H32" s="154" t="s">
        <v>3727</v>
      </c>
      <c r="I32" s="170" t="s">
        <v>3882</v>
      </c>
      <c r="J32" s="189" t="s">
        <v>3650</v>
      </c>
      <c r="K32" s="154"/>
      <c r="L32" s="154" t="s">
        <v>3650</v>
      </c>
      <c r="M32" s="170" t="s">
        <v>5877</v>
      </c>
      <c r="N32" s="170" t="s">
        <v>8116</v>
      </c>
      <c r="O32" s="170" t="str">
        <f t="array" ref="O32">IFERROR(
VLOOKUP(
TRIM(CLEAN(
INDEX(REPORTE_DROPI!K:K,
MATCH(T32, REPORTE_DROPI!B:B, 0)
))),
{
TRIM(CLEAN(MAPA_ESTADOS!A:A)) ,
MAPA_ESTADOS!B:B
},
2,
FALSE
),
"REVISAR"
)</f>
        <v>PENDIENTE</v>
      </c>
      <c r="P32" s="154" t="s">
        <v>8106</v>
      </c>
      <c r="Q32" s="191" t="str">
        <f t="shared" si="1"/>
        <v/>
      </c>
      <c r="R32" s="170"/>
      <c r="S32" s="170"/>
      <c r="T32" s="154">
        <f t="array" ref="T32">IFERROR(
INDEX(REPORTE_DROPI!B:B,
MATCH(
CLEAN(TRIM(C32)),
CLEAN(TRIM(REPORTE_DROPI!E:E)),
0
)
),
""
)
</f>
        <v>4662240</v>
      </c>
      <c r="U32" s="170" t="s">
        <v>8117</v>
      </c>
      <c r="V32" s="192"/>
      <c r="W32" s="192"/>
      <c r="X32" s="192"/>
      <c r="Y32" s="192"/>
      <c r="Z32" s="192"/>
    </row>
    <row r="33" ht="22.5" customHeight="1">
      <c r="A33" s="154"/>
      <c r="B33" s="170">
        <v>46082.0</v>
      </c>
      <c r="C33" s="170" t="s">
        <v>8118</v>
      </c>
      <c r="D33" s="170" t="str">
        <f>IFERROR(__xludf.DUMMYFUNCTION("""COMPUTED_VALUE"""),"FilmPro®")</f>
        <v>FilmPro®</v>
      </c>
      <c r="E33" s="188">
        <v>2.35</v>
      </c>
      <c r="F33" s="189">
        <v>1.0</v>
      </c>
      <c r="G33" s="190">
        <v>20.0</v>
      </c>
      <c r="H33" s="154" t="s">
        <v>3727</v>
      </c>
      <c r="I33" s="170" t="s">
        <v>3772</v>
      </c>
      <c r="J33" s="189">
        <v>5.76</v>
      </c>
      <c r="K33" s="154">
        <v>11.89</v>
      </c>
      <c r="L33" s="154" t="s">
        <v>3650</v>
      </c>
      <c r="M33" s="170" t="s">
        <v>5877</v>
      </c>
      <c r="N33" s="170" t="s">
        <v>8119</v>
      </c>
      <c r="O33" s="170" t="str">
        <f t="array" ref="O33">IFERROR(
VLOOKUP(
TRIM(CLEAN(
INDEX(REPORTE_DROPI!K:K,
MATCH(T33, REPORTE_DROPI!B:B, 0)
))),
{
TRIM(CLEAN(MAPA_ESTADOS!A:A)) ,
MAPA_ESTADOS!B:B
},
2,
FALSE
),
"REVISAR"
)</f>
        <v>ENTREGADO</v>
      </c>
      <c r="P33" s="154" t="s">
        <v>5692</v>
      </c>
      <c r="Q33" s="191" t="str">
        <f t="shared" si="1"/>
        <v/>
      </c>
      <c r="R33" s="170"/>
      <c r="S33" s="170"/>
      <c r="T33" s="154">
        <f t="array" ref="T33">IFERROR(
INDEX(REPORTE_DROPI!B:B,
MATCH(
CLEAN(TRIM(C33)),
CLEAN(TRIM(REPORTE_DROPI!E:E)),
0
)
),
""
)
</f>
        <v>4662303</v>
      </c>
      <c r="U33" s="170" t="s">
        <v>8120</v>
      </c>
      <c r="V33" s="192"/>
      <c r="W33" s="192"/>
      <c r="X33" s="192"/>
      <c r="Y33" s="192"/>
      <c r="Z33" s="192"/>
    </row>
    <row r="34" ht="22.5" customHeight="1">
      <c r="A34" s="154"/>
      <c r="B34" s="170">
        <v>46082.0</v>
      </c>
      <c r="C34" s="170" t="s">
        <v>8121</v>
      </c>
      <c r="D34" s="170" t="str">
        <f>IFERROR(__xludf.DUMMYFUNCTION("""COMPUTED_VALUE"""),"Cuchillo Tazaki™")</f>
        <v>Cuchillo Tazaki™</v>
      </c>
      <c r="E34" s="188" t="s">
        <v>3650</v>
      </c>
      <c r="F34" s="189">
        <v>3.0</v>
      </c>
      <c r="G34" s="190" t="s">
        <v>3650</v>
      </c>
      <c r="H34" s="154" t="s">
        <v>3727</v>
      </c>
      <c r="I34" s="170" t="s">
        <v>3772</v>
      </c>
      <c r="J34" s="189" t="s">
        <v>3650</v>
      </c>
      <c r="K34" s="154"/>
      <c r="L34" s="154" t="s">
        <v>3650</v>
      </c>
      <c r="M34" s="170" t="s">
        <v>5877</v>
      </c>
      <c r="N34" s="170" t="s">
        <v>8122</v>
      </c>
      <c r="O34" s="170" t="str">
        <f t="array" ref="O34">IFERROR(
VLOOKUP(
TRIM(CLEAN(
INDEX(REPORTE_DROPI!K:K,
MATCH(T34, REPORTE_DROPI!B:B, 0)
))),
{
TRIM(CLEAN(MAPA_ESTADOS!A:A)) ,
MAPA_ESTADOS!B:B
},
2,
FALSE
),
"REVISAR"
)</f>
        <v>PENDIENTE</v>
      </c>
      <c r="P34" s="154" t="s">
        <v>8123</v>
      </c>
      <c r="Q34" s="191" t="str">
        <f t="shared" si="1"/>
        <v/>
      </c>
      <c r="R34" s="170"/>
      <c r="S34" s="170"/>
      <c r="T34" s="154">
        <f t="array" ref="T34">IFERROR(
INDEX(REPORTE_DROPI!B:B,
MATCH(
CLEAN(TRIM(C34)),
CLEAN(TRIM(REPORTE_DROPI!E:E)),
0
)
),
""
)
</f>
        <v>4662357</v>
      </c>
      <c r="U34" s="170" t="s">
        <v>8124</v>
      </c>
      <c r="V34" s="192"/>
      <c r="W34" s="192"/>
      <c r="X34" s="192"/>
      <c r="Y34" s="192"/>
      <c r="Z34" s="192"/>
    </row>
    <row r="35" ht="22.5" customHeight="1">
      <c r="A35" s="154"/>
      <c r="B35" s="170">
        <v>46082.0</v>
      </c>
      <c r="C35" s="170" t="s">
        <v>8125</v>
      </c>
      <c r="D35" s="170" t="str">
        <f>IFERROR(__xludf.DUMMYFUNCTION("""COMPUTED_VALUE"""),"FilmPro®")</f>
        <v>FilmPro®</v>
      </c>
      <c r="E35" s="188">
        <v>7.05</v>
      </c>
      <c r="F35" s="189">
        <v>3.0</v>
      </c>
      <c r="G35" s="190">
        <v>30.0</v>
      </c>
      <c r="H35" s="154" t="s">
        <v>3727</v>
      </c>
      <c r="I35" s="170" t="s">
        <v>3740</v>
      </c>
      <c r="J35" s="189">
        <v>6.16</v>
      </c>
      <c r="K35" s="154">
        <v>16.79</v>
      </c>
      <c r="L35" s="154" t="s">
        <v>3650</v>
      </c>
      <c r="M35" s="170" t="s">
        <v>5877</v>
      </c>
      <c r="N35" s="170" t="s">
        <v>8126</v>
      </c>
      <c r="O35" s="170" t="str">
        <f t="array" ref="O35">IFERROR(
VLOOKUP(
TRIM(CLEAN(
INDEX(REPORTE_DROPI!K:K,
MATCH(T35, REPORTE_DROPI!B:B, 0)
))),
{
TRIM(CLEAN(MAPA_ESTADOS!A:A)) ,
MAPA_ESTADOS!B:B
},
2,
FALSE
),
"REVISAR"
)</f>
        <v>ENTREGADO</v>
      </c>
      <c r="P35" s="154" t="s">
        <v>5692</v>
      </c>
      <c r="Q35" s="191" t="str">
        <f t="shared" si="1"/>
        <v/>
      </c>
      <c r="R35" s="170"/>
      <c r="S35" s="170"/>
      <c r="T35" s="154">
        <f t="array" ref="T35">IFERROR(
INDEX(REPORTE_DROPI!B:B,
MATCH(
CLEAN(TRIM(C35)),
CLEAN(TRIM(REPORTE_DROPI!E:E)),
0
)
),
""
)
</f>
        <v>4662823</v>
      </c>
      <c r="U35" s="170" t="s">
        <v>8127</v>
      </c>
      <c r="V35" s="192"/>
      <c r="W35" s="192"/>
      <c r="X35" s="192"/>
      <c r="Y35" s="192"/>
      <c r="Z35" s="192"/>
    </row>
    <row r="36" ht="22.5" customHeight="1">
      <c r="A36" s="154"/>
      <c r="B36" s="170">
        <v>46082.0</v>
      </c>
      <c r="C36" s="170" t="s">
        <v>8128</v>
      </c>
      <c r="D36" s="170" t="str">
        <f>IFERROR(__xludf.DUMMYFUNCTION("""COMPUTED_VALUE"""),"FilmPro®")</f>
        <v>FilmPro®</v>
      </c>
      <c r="E36" s="188">
        <v>2.35</v>
      </c>
      <c r="F36" s="189">
        <v>1.0</v>
      </c>
      <c r="G36" s="190">
        <v>20.0</v>
      </c>
      <c r="H36" s="154" t="s">
        <v>3727</v>
      </c>
      <c r="I36" s="170" t="s">
        <v>3801</v>
      </c>
      <c r="J36" s="189">
        <v>5.76</v>
      </c>
      <c r="K36" s="154">
        <v>11.89</v>
      </c>
      <c r="L36" s="154" t="s">
        <v>3650</v>
      </c>
      <c r="M36" s="170" t="s">
        <v>5877</v>
      </c>
      <c r="N36" s="170" t="s">
        <v>8129</v>
      </c>
      <c r="O36" s="170" t="str">
        <f t="array" ref="O36">IFERROR(
VLOOKUP(
TRIM(CLEAN(
INDEX(REPORTE_DROPI!K:K,
MATCH(T36, REPORTE_DROPI!B:B, 0)
))),
{
TRIM(CLEAN(MAPA_ESTADOS!A:A)) ,
MAPA_ESTADOS!B:B
},
2,
FALSE
),
"REVISAR"
)</f>
        <v>ENTREGADO</v>
      </c>
      <c r="P36" s="154" t="s">
        <v>5692</v>
      </c>
      <c r="Q36" s="191" t="str">
        <f t="shared" si="1"/>
        <v/>
      </c>
      <c r="R36" s="170"/>
      <c r="S36" s="170"/>
      <c r="T36" s="154">
        <f t="array" ref="T36">IFERROR(
INDEX(REPORTE_DROPI!B:B,
MATCH(
CLEAN(TRIM(C36)),
CLEAN(TRIM(REPORTE_DROPI!E:E)),
0
)
),
""
)
</f>
        <v>4662935</v>
      </c>
      <c r="U36" s="170" t="s">
        <v>8130</v>
      </c>
      <c r="V36" s="192"/>
      <c r="W36" s="192"/>
      <c r="X36" s="192"/>
      <c r="Y36" s="192"/>
      <c r="Z36" s="192"/>
    </row>
    <row r="37" ht="22.5" customHeight="1">
      <c r="A37" s="154"/>
      <c r="B37" s="170">
        <v>46082.0</v>
      </c>
      <c r="C37" s="170" t="s">
        <v>8131</v>
      </c>
      <c r="D37" s="170" t="str">
        <f>IFERROR(__xludf.DUMMYFUNCTION("""COMPUTED_VALUE"""),"FreeBeat Adapter")</f>
        <v>FreeBeat Adapter</v>
      </c>
      <c r="E37" s="188">
        <v>10.0</v>
      </c>
      <c r="F37" s="189">
        <v>2.0</v>
      </c>
      <c r="G37" s="190">
        <v>24.2</v>
      </c>
      <c r="H37" s="154" t="s">
        <v>3727</v>
      </c>
      <c r="I37" s="170" t="s">
        <v>3951</v>
      </c>
      <c r="J37" s="189">
        <v>5.92</v>
      </c>
      <c r="K37" s="154">
        <v>8.28</v>
      </c>
      <c r="L37" s="154" t="s">
        <v>3650</v>
      </c>
      <c r="M37" s="170" t="s">
        <v>5877</v>
      </c>
      <c r="N37" s="170" t="s">
        <v>8132</v>
      </c>
      <c r="O37" s="170" t="str">
        <f t="array" ref="O37">IFERROR(
VLOOKUP(
TRIM(CLEAN(
INDEX(REPORTE_DROPI!K:K,
MATCH(T37, REPORTE_DROPI!B:B, 0)
))),
{
TRIM(CLEAN(MAPA_ESTADOS!A:A)) ,
MAPA_ESTADOS!B:B
},
2,
FALSE
),
"REVISAR"
)</f>
        <v>ENTREGADO</v>
      </c>
      <c r="P37" s="154" t="s">
        <v>5909</v>
      </c>
      <c r="Q37" s="191" t="str">
        <f t="shared" si="1"/>
        <v/>
      </c>
      <c r="R37" s="170"/>
      <c r="S37" s="170"/>
      <c r="T37" s="154">
        <f t="array" ref="T37">IFERROR(
INDEX(REPORTE_DROPI!B:B,
MATCH(
CLEAN(TRIM(C37)),
CLEAN(TRIM(REPORTE_DROPI!E:E)),
0
)
),
""
)
</f>
        <v>4675664</v>
      </c>
      <c r="U37" s="170" t="s">
        <v>8133</v>
      </c>
      <c r="V37" s="192"/>
      <c r="W37" s="192"/>
      <c r="X37" s="192"/>
      <c r="Y37" s="192"/>
      <c r="Z37" s="192"/>
    </row>
    <row r="38" ht="22.5" customHeight="1">
      <c r="A38" s="154"/>
      <c r="B38" s="170">
        <v>46082.0</v>
      </c>
      <c r="C38" s="170" t="s">
        <v>8134</v>
      </c>
      <c r="D38" s="170" t="str">
        <f>IFERROR(__xludf.DUMMYFUNCTION("""COMPUTED_VALUE"""),"Cuchillo Tazaki™")</f>
        <v>Cuchillo Tazaki™</v>
      </c>
      <c r="E38" s="188">
        <v>7.5</v>
      </c>
      <c r="F38" s="189">
        <v>2.0</v>
      </c>
      <c r="G38" s="190">
        <v>22.0</v>
      </c>
      <c r="H38" s="154" t="s">
        <v>3727</v>
      </c>
      <c r="I38" s="170" t="s">
        <v>3778</v>
      </c>
      <c r="J38" s="189">
        <v>5.49</v>
      </c>
      <c r="K38" s="154">
        <v>9.01</v>
      </c>
      <c r="L38" s="154" t="s">
        <v>3650</v>
      </c>
      <c r="M38" s="170" t="s">
        <v>5877</v>
      </c>
      <c r="N38" s="170" t="s">
        <v>8135</v>
      </c>
      <c r="O38" s="170" t="str">
        <f t="array" ref="O38">IFERROR(
VLOOKUP(
TRIM(CLEAN(
INDEX(REPORTE_DROPI!K:K,
MATCH(T38, REPORTE_DROPI!B:B, 0)
))),
{
TRIM(CLEAN(MAPA_ESTADOS!A:A)) ,
MAPA_ESTADOS!B:B
},
2,
FALSE
),
"REVISAR"
)</f>
        <v>ENTREGADO</v>
      </c>
      <c r="P38" s="154" t="s">
        <v>5692</v>
      </c>
      <c r="Q38" s="191" t="str">
        <f t="shared" si="1"/>
        <v/>
      </c>
      <c r="R38" s="170"/>
      <c r="S38" s="170"/>
      <c r="T38" s="154">
        <f t="array" ref="T38">IFERROR(
INDEX(REPORTE_DROPI!B:B,
MATCH(
CLEAN(TRIM(C38)),
CLEAN(TRIM(REPORTE_DROPI!E:E)),
0
)
),
""
)
</f>
        <v>4663348</v>
      </c>
      <c r="U38" s="170" t="s">
        <v>8136</v>
      </c>
      <c r="V38" s="192"/>
      <c r="W38" s="192"/>
      <c r="X38" s="192"/>
      <c r="Y38" s="192"/>
      <c r="Z38" s="192"/>
    </row>
    <row r="39" ht="22.5" customHeight="1">
      <c r="A39" s="154"/>
      <c r="B39" s="170">
        <v>46082.0</v>
      </c>
      <c r="C39" s="170" t="s">
        <v>8137</v>
      </c>
      <c r="D39" s="170" t="str">
        <f>IFERROR(__xludf.DUMMYFUNCTION("""COMPUTED_VALUE"""),"Cuchillo Tazaki™")</f>
        <v>Cuchillo Tazaki™</v>
      </c>
      <c r="E39" s="188" t="s">
        <v>3650</v>
      </c>
      <c r="F39" s="189">
        <v>3.0</v>
      </c>
      <c r="G39" s="190" t="s">
        <v>3650</v>
      </c>
      <c r="H39" s="154" t="s">
        <v>3727</v>
      </c>
      <c r="I39" s="170" t="s">
        <v>3740</v>
      </c>
      <c r="J39" s="189" t="s">
        <v>3650</v>
      </c>
      <c r="K39" s="154"/>
      <c r="L39" s="154" t="s">
        <v>3650</v>
      </c>
      <c r="M39" s="170" t="s">
        <v>5877</v>
      </c>
      <c r="N39" s="170" t="s">
        <v>8138</v>
      </c>
      <c r="O39" s="170" t="str">
        <f t="array" ref="O39">IFERROR(
VLOOKUP(
TRIM(CLEAN(
INDEX(REPORTE_DROPI!K:K,
MATCH(T39, REPORTE_DROPI!B:B, 0)
))),
{
TRIM(CLEAN(MAPA_ESTADOS!A:A)) ,
MAPA_ESTADOS!B:B
},
2,
FALSE
),
"REVISAR"
)</f>
        <v>PENDIENTE</v>
      </c>
      <c r="P39" s="154" t="s">
        <v>8106</v>
      </c>
      <c r="Q39" s="191" t="str">
        <f t="shared" si="1"/>
        <v/>
      </c>
      <c r="R39" s="170"/>
      <c r="S39" s="170"/>
      <c r="T39" s="154">
        <f t="array" ref="T39">IFERROR(
INDEX(REPORTE_DROPI!B:B,
MATCH(
CLEAN(TRIM(C39)),
CLEAN(TRIM(REPORTE_DROPI!E:E)),
0
)
),
""
)
</f>
        <v>4664010</v>
      </c>
      <c r="U39" s="170" t="s">
        <v>8139</v>
      </c>
      <c r="V39" s="192"/>
      <c r="W39" s="192"/>
      <c r="X39" s="192"/>
      <c r="Y39" s="192"/>
      <c r="Z39" s="192"/>
    </row>
    <row r="40" ht="22.5" customHeight="1">
      <c r="A40" s="154"/>
      <c r="B40" s="170">
        <v>46082.0</v>
      </c>
      <c r="C40" s="170" t="s">
        <v>8140</v>
      </c>
      <c r="D40" s="170" t="str">
        <f>IFERROR(__xludf.DUMMYFUNCTION("""COMPUTED_VALUE"""),"FilmPro®")</f>
        <v>FilmPro®</v>
      </c>
      <c r="E40" s="188" t="s">
        <v>3650</v>
      </c>
      <c r="F40" s="189">
        <v>2.0</v>
      </c>
      <c r="G40" s="190" t="s">
        <v>3650</v>
      </c>
      <c r="H40" s="154" t="s">
        <v>3727</v>
      </c>
      <c r="I40" s="170" t="s">
        <v>3740</v>
      </c>
      <c r="J40" s="189" t="s">
        <v>3650</v>
      </c>
      <c r="K40" s="154"/>
      <c r="L40" s="154">
        <v>0.0</v>
      </c>
      <c r="M40" s="170" t="s">
        <v>5877</v>
      </c>
      <c r="N40" s="170" t="s">
        <v>8141</v>
      </c>
      <c r="O40" s="170" t="str">
        <f t="array" ref="O40">IFERROR(
VLOOKUP(
TRIM(CLEAN(
INDEX(REPORTE_DROPI!K:K,
MATCH(T40, REPORTE_DROPI!B:B, 0)
))),
{
TRIM(CLEAN(MAPA_ESTADOS!A:A)) ,
MAPA_ESTADOS!B:B
},
2,
FALSE
),
"REVISAR"
)</f>
        <v>DEVOLUCION</v>
      </c>
      <c r="P40" s="154" t="s">
        <v>5692</v>
      </c>
      <c r="Q40" s="191" t="str">
        <f t="shared" si="1"/>
        <v/>
      </c>
      <c r="R40" s="170"/>
      <c r="S40" s="170"/>
      <c r="T40" s="154">
        <f t="array" ref="T40">IFERROR(
INDEX(REPORTE_DROPI!B:B,
MATCH(
CLEAN(TRIM(C40)),
CLEAN(TRIM(REPORTE_DROPI!E:E)),
0
)
),
""
)
</f>
        <v>4664375</v>
      </c>
      <c r="U40" s="170" t="s">
        <v>8142</v>
      </c>
      <c r="V40" s="192"/>
      <c r="W40" s="192"/>
      <c r="X40" s="192"/>
      <c r="Y40" s="192"/>
      <c r="Z40" s="192"/>
    </row>
    <row r="41" ht="22.5" customHeight="1">
      <c r="A41" s="154"/>
      <c r="B41" s="170">
        <v>46082.0</v>
      </c>
      <c r="C41" s="170" t="s">
        <v>8143</v>
      </c>
      <c r="D41" s="170" t="str">
        <f>IFERROR(__xludf.DUMMYFUNCTION("""COMPUTED_VALUE"""),"FreeBeat Adapter")</f>
        <v>FreeBeat Adapter</v>
      </c>
      <c r="E41" s="188">
        <v>10.0</v>
      </c>
      <c r="F41" s="189">
        <v>2.0</v>
      </c>
      <c r="G41" s="190">
        <v>24.2</v>
      </c>
      <c r="H41" s="154" t="s">
        <v>3727</v>
      </c>
      <c r="I41" s="170" t="s">
        <v>3759</v>
      </c>
      <c r="J41" s="189">
        <v>6.03</v>
      </c>
      <c r="K41" s="154">
        <v>8.17</v>
      </c>
      <c r="L41" s="154" t="s">
        <v>3650</v>
      </c>
      <c r="M41" s="170" t="s">
        <v>5877</v>
      </c>
      <c r="N41" s="170" t="s">
        <v>8144</v>
      </c>
      <c r="O41" s="170" t="str">
        <f t="array" ref="O41">IFERROR(
VLOOKUP(
TRIM(CLEAN(
INDEX(REPORTE_DROPI!K:K,
MATCH(T41, REPORTE_DROPI!B:B, 0)
))),
{
TRIM(CLEAN(MAPA_ESTADOS!A:A)) ,
MAPA_ESTADOS!B:B
},
2,
FALSE
),
"REVISAR"
)</f>
        <v>ENTREGADO</v>
      </c>
      <c r="P41" s="154" t="s">
        <v>5692</v>
      </c>
      <c r="Q41" s="191" t="str">
        <f t="shared" si="1"/>
        <v/>
      </c>
      <c r="R41" s="170"/>
      <c r="S41" s="170"/>
      <c r="T41" s="154">
        <f t="array" ref="T41">IFERROR(
INDEX(REPORTE_DROPI!B:B,
MATCH(
CLEAN(TRIM(C41)),
CLEAN(TRIM(REPORTE_DROPI!E:E)),
0
)
),
""
)
</f>
        <v>4676950</v>
      </c>
      <c r="U41" s="170">
        <v>4.5224153187E10</v>
      </c>
      <c r="V41" s="192"/>
      <c r="W41" s="192"/>
      <c r="X41" s="192"/>
      <c r="Y41" s="192"/>
      <c r="Z41" s="192"/>
    </row>
    <row r="42" ht="22.5" customHeight="1">
      <c r="A42" s="154"/>
      <c r="B42" s="170">
        <v>46082.0</v>
      </c>
      <c r="C42" s="154" t="s">
        <v>8145</v>
      </c>
      <c r="D42" s="170" t="str">
        <f>IFERROR(__xludf.DUMMYFUNCTION("""COMPUTED_VALUE"""),"FilmPro®")</f>
        <v>FilmPro®</v>
      </c>
      <c r="E42" s="188">
        <v>4.7</v>
      </c>
      <c r="F42" s="189">
        <v>2.0</v>
      </c>
      <c r="G42" s="190">
        <v>25.0</v>
      </c>
      <c r="H42" s="154" t="s">
        <v>3727</v>
      </c>
      <c r="I42" s="154" t="s">
        <v>3951</v>
      </c>
      <c r="J42" s="189">
        <v>5.96</v>
      </c>
      <c r="K42" s="154">
        <v>14.34</v>
      </c>
      <c r="L42" s="154" t="s">
        <v>3650</v>
      </c>
      <c r="M42" s="170" t="s">
        <v>5877</v>
      </c>
      <c r="N42" s="154" t="s">
        <v>8146</v>
      </c>
      <c r="O42" s="170" t="str">
        <f t="array" ref="O42">IFERROR(
VLOOKUP(
TRIM(CLEAN(
INDEX(REPORTE_DROPI!K:K,
MATCH(T42, REPORTE_DROPI!B:B, 0)
))),
{
TRIM(CLEAN(MAPA_ESTADOS!A:A)) ,
MAPA_ESTADOS!B:B
},
2,
FALSE
),
"REVISAR"
)</f>
        <v>ENTREGADO</v>
      </c>
      <c r="P42" s="154" t="s">
        <v>8147</v>
      </c>
      <c r="Q42" s="191" t="str">
        <f t="shared" si="1"/>
        <v/>
      </c>
      <c r="R42" s="170"/>
      <c r="S42" s="170"/>
      <c r="T42" s="154">
        <f t="array" ref="T42">IFERROR(
INDEX(REPORTE_DROPI!B:B,
MATCH(
CLEAN(TRIM(C42)),
CLEAN(TRIM(REPORTE_DROPI!E:E)),
0
)
),
""
)
</f>
        <v>4675688</v>
      </c>
      <c r="U42" s="154" t="s">
        <v>8148</v>
      </c>
      <c r="V42" s="192"/>
      <c r="W42" s="192"/>
      <c r="X42" s="192"/>
      <c r="Y42" s="192"/>
      <c r="Z42" s="192"/>
    </row>
    <row r="43" ht="22.5" customHeight="1">
      <c r="A43" s="154"/>
      <c r="B43" s="170">
        <v>46082.0</v>
      </c>
      <c r="C43" s="154" t="s">
        <v>8149</v>
      </c>
      <c r="D43" s="170" t="str">
        <f>IFERROR(__xludf.DUMMYFUNCTION("""COMPUTED_VALUE"""),"FilmPro®")</f>
        <v>FilmPro®</v>
      </c>
      <c r="E43" s="188">
        <v>7.05</v>
      </c>
      <c r="F43" s="189">
        <v>3.0</v>
      </c>
      <c r="G43" s="190">
        <v>30.0</v>
      </c>
      <c r="H43" s="154" t="s">
        <v>3727</v>
      </c>
      <c r="I43" s="154" t="s">
        <v>3728</v>
      </c>
      <c r="J43" s="189">
        <v>6.16</v>
      </c>
      <c r="K43" s="154">
        <v>16.79</v>
      </c>
      <c r="L43" s="154" t="s">
        <v>3650</v>
      </c>
      <c r="M43" s="170" t="s">
        <v>5877</v>
      </c>
      <c r="N43" s="154" t="s">
        <v>8150</v>
      </c>
      <c r="O43" s="170" t="str">
        <f t="array" ref="O43">IFERROR(
VLOOKUP(
TRIM(CLEAN(
INDEX(REPORTE_DROPI!K:K,
MATCH(T43, REPORTE_DROPI!B:B, 0)
))),
{
TRIM(CLEAN(MAPA_ESTADOS!A:A)) ,
MAPA_ESTADOS!B:B
},
2,
FALSE
),
"REVISAR"
)</f>
        <v>ENTREGADO</v>
      </c>
      <c r="P43" s="154" t="s">
        <v>5692</v>
      </c>
      <c r="Q43" s="191" t="str">
        <f t="shared" si="1"/>
        <v/>
      </c>
      <c r="R43" s="170"/>
      <c r="S43" s="170"/>
      <c r="T43" s="154">
        <f t="array" ref="T43">IFERROR(
INDEX(REPORTE_DROPI!B:B,
MATCH(
CLEAN(TRIM(C43)),
CLEAN(TRIM(REPORTE_DROPI!E:E)),
0
)
),
""
)
</f>
        <v>4665661</v>
      </c>
      <c r="U43" s="154" t="s">
        <v>8151</v>
      </c>
      <c r="V43" s="192"/>
      <c r="W43" s="192"/>
      <c r="X43" s="192"/>
      <c r="Y43" s="192"/>
      <c r="Z43" s="192"/>
    </row>
    <row r="44" ht="22.5" customHeight="1">
      <c r="A44" s="154"/>
      <c r="B44" s="170">
        <v>46082.0</v>
      </c>
      <c r="C44" s="154" t="s">
        <v>8152</v>
      </c>
      <c r="D44" s="170" t="str">
        <f>IFERROR(__xludf.DUMMYFUNCTION("""COMPUTED_VALUE"""),"FilmPro®")</f>
        <v>FilmPro®</v>
      </c>
      <c r="E44" s="188" t="s">
        <v>3650</v>
      </c>
      <c r="F44" s="189">
        <v>2.0</v>
      </c>
      <c r="G44" s="190" t="s">
        <v>3650</v>
      </c>
      <c r="H44" s="154" t="s">
        <v>3727</v>
      </c>
      <c r="I44" s="154" t="s">
        <v>3728</v>
      </c>
      <c r="J44" s="189" t="s">
        <v>3650</v>
      </c>
      <c r="K44" s="154"/>
      <c r="L44" s="154" t="s">
        <v>3650</v>
      </c>
      <c r="M44" s="170" t="s">
        <v>5877</v>
      </c>
      <c r="N44" s="154" t="s">
        <v>8153</v>
      </c>
      <c r="O44" s="170" t="str">
        <f t="array" ref="O44">IFERROR(
VLOOKUP(
TRIM(CLEAN(
INDEX(REPORTE_DROPI!K:K,
MATCH(T44, REPORTE_DROPI!B:B, 0)
))),
{
TRIM(CLEAN(MAPA_ESTADOS!A:A)) ,
MAPA_ESTADOS!B:B
},
2,
FALSE
),
"REVISAR"
)</f>
        <v>PENDIENTE</v>
      </c>
      <c r="P44" s="154" t="s">
        <v>8106</v>
      </c>
      <c r="Q44" s="191" t="str">
        <f t="shared" si="1"/>
        <v/>
      </c>
      <c r="R44" s="170"/>
      <c r="S44" s="170"/>
      <c r="T44" s="154">
        <f t="array" ref="T44">IFERROR(
INDEX(REPORTE_DROPI!B:B,
MATCH(
CLEAN(TRIM(C44)),
CLEAN(TRIM(REPORTE_DROPI!E:E)),
0
)
),
""
)
</f>
        <v>4665798</v>
      </c>
      <c r="U44" s="154" t="s">
        <v>8154</v>
      </c>
      <c r="V44" s="192"/>
      <c r="W44" s="192"/>
      <c r="X44" s="192"/>
      <c r="Y44" s="192"/>
      <c r="Z44" s="192"/>
    </row>
    <row r="45" ht="22.5" customHeight="1">
      <c r="A45" s="154"/>
      <c r="B45" s="170">
        <v>46082.0</v>
      </c>
      <c r="C45" s="154" t="s">
        <v>8155</v>
      </c>
      <c r="D45" s="170" t="str">
        <f>IFERROR(__xludf.DUMMYFUNCTION("""COMPUTED_VALUE"""),"FreeBeat Adapter")</f>
        <v>FreeBeat Adapter</v>
      </c>
      <c r="E45" s="188" t="s">
        <v>3650</v>
      </c>
      <c r="F45" s="189">
        <v>2.0</v>
      </c>
      <c r="G45" s="190" t="s">
        <v>3650</v>
      </c>
      <c r="H45" s="154" t="s">
        <v>3727</v>
      </c>
      <c r="I45" s="154" t="s">
        <v>3759</v>
      </c>
      <c r="J45" s="189" t="s">
        <v>3650</v>
      </c>
      <c r="K45" s="154"/>
      <c r="L45" s="154" t="s">
        <v>3650</v>
      </c>
      <c r="M45" s="170" t="s">
        <v>5877</v>
      </c>
      <c r="N45" s="154" t="s">
        <v>8156</v>
      </c>
      <c r="O45" s="170" t="str">
        <f t="array" ref="O45">IFERROR(
VLOOKUP(
TRIM(CLEAN(
INDEX(REPORTE_DROPI!K:K,
MATCH(T45, REPORTE_DROPI!B:B, 0)
))),
{
TRIM(CLEAN(MAPA_ESTADOS!A:A)) ,
MAPA_ESTADOS!B:B
},
2,
FALSE
),
"REVISAR"
)</f>
        <v>PENDIENTE</v>
      </c>
      <c r="P45" s="154" t="s">
        <v>8106</v>
      </c>
      <c r="Q45" s="191" t="str">
        <f t="shared" si="1"/>
        <v/>
      </c>
      <c r="R45" s="170"/>
      <c r="S45" s="170"/>
      <c r="T45" s="154">
        <f t="array" ref="T45">IFERROR(
INDEX(REPORTE_DROPI!B:B,
MATCH(
CLEAN(TRIM(C45)),
CLEAN(TRIM(REPORTE_DROPI!E:E)),
0
)
),
""
)
</f>
        <v>4666185</v>
      </c>
      <c r="U45" s="154" t="s">
        <v>8157</v>
      </c>
      <c r="V45" s="192"/>
      <c r="W45" s="192"/>
      <c r="X45" s="192"/>
      <c r="Y45" s="192"/>
      <c r="Z45" s="192"/>
    </row>
    <row r="46" ht="22.5" customHeight="1">
      <c r="A46" s="154"/>
      <c r="B46" s="170">
        <v>46082.0</v>
      </c>
      <c r="C46" s="154" t="s">
        <v>8158</v>
      </c>
      <c r="D46" s="170" t="str">
        <f>IFERROR(__xludf.DUMMYFUNCTION("""COMPUTED_VALUE"""),"Cuchillo Tazaki™")</f>
        <v>Cuchillo Tazaki™</v>
      </c>
      <c r="E46" s="188" t="s">
        <v>3650</v>
      </c>
      <c r="F46" s="189">
        <v>4.0</v>
      </c>
      <c r="G46" s="190" t="s">
        <v>3650</v>
      </c>
      <c r="H46" s="154" t="s">
        <v>3727</v>
      </c>
      <c r="I46" s="154" t="s">
        <v>3728</v>
      </c>
      <c r="J46" s="189" t="s">
        <v>3650</v>
      </c>
      <c r="K46" s="154"/>
      <c r="L46" s="154" t="s">
        <v>3650</v>
      </c>
      <c r="M46" s="170" t="s">
        <v>5877</v>
      </c>
      <c r="N46" s="154" t="s">
        <v>8159</v>
      </c>
      <c r="O46" s="170" t="str">
        <f t="array" ref="O46">IFERROR(
VLOOKUP(
TRIM(CLEAN(
INDEX(REPORTE_DROPI!K:K,
MATCH(T46, REPORTE_DROPI!B:B, 0)
))),
{
TRIM(CLEAN(MAPA_ESTADOS!A:A)) ,
MAPA_ESTADOS!B:B
},
2,
FALSE
),
"REVISAR"
)</f>
        <v>PENDIENTE</v>
      </c>
      <c r="P46" s="154" t="s">
        <v>8106</v>
      </c>
      <c r="Q46" s="191" t="str">
        <f t="shared" si="1"/>
        <v/>
      </c>
      <c r="R46" s="170"/>
      <c r="S46" s="170"/>
      <c r="T46" s="154">
        <f t="array" ref="T46">IFERROR(
INDEX(REPORTE_DROPI!B:B,
MATCH(
CLEAN(TRIM(C46)),
CLEAN(TRIM(REPORTE_DROPI!E:E)),
0
)
),
""
)
</f>
        <v>4666246</v>
      </c>
      <c r="U46" s="194">
        <v>1.77234224231E11</v>
      </c>
      <c r="V46" s="192"/>
      <c r="W46" s="192"/>
      <c r="X46" s="192"/>
      <c r="Y46" s="192"/>
      <c r="Z46" s="192"/>
    </row>
    <row r="47" ht="22.5" customHeight="1">
      <c r="A47" s="154"/>
      <c r="B47" s="170">
        <v>46083.0</v>
      </c>
      <c r="C47" s="154" t="s">
        <v>8160</v>
      </c>
      <c r="D47" s="170" t="str">
        <f>IFERROR(__xludf.DUMMYFUNCTION("""COMPUTED_VALUE"""),"Cuchillo Tazaki™")</f>
        <v>Cuchillo Tazaki™</v>
      </c>
      <c r="E47" s="188" t="s">
        <v>3650</v>
      </c>
      <c r="F47" s="189">
        <v>2.0</v>
      </c>
      <c r="G47" s="190" t="s">
        <v>3650</v>
      </c>
      <c r="H47" s="154" t="s">
        <v>3727</v>
      </c>
      <c r="I47" s="154" t="s">
        <v>3728</v>
      </c>
      <c r="J47" s="189" t="s">
        <v>3650</v>
      </c>
      <c r="K47" s="154"/>
      <c r="L47" s="154" t="s">
        <v>3650</v>
      </c>
      <c r="M47" s="170" t="s">
        <v>5877</v>
      </c>
      <c r="N47" s="154" t="s">
        <v>8161</v>
      </c>
      <c r="O47" s="170" t="str">
        <f t="array" ref="O47">IFERROR(
VLOOKUP(
TRIM(CLEAN(
INDEX(REPORTE_DROPI!K:K,
MATCH(T47, REPORTE_DROPI!B:B, 0)
))),
{
TRIM(CLEAN(MAPA_ESTADOS!A:A)) ,
MAPA_ESTADOS!B:B
},
2,
FALSE
),
"REVISAR"
)</f>
        <v>PENDIENTE</v>
      </c>
      <c r="P47" s="154" t="s">
        <v>8147</v>
      </c>
      <c r="Q47" s="191" t="str">
        <f t="shared" si="1"/>
        <v/>
      </c>
      <c r="R47" s="170"/>
      <c r="S47" s="170"/>
      <c r="T47" s="154">
        <f t="array" ref="T47">IFERROR(
INDEX(REPORTE_DROPI!B:B,
MATCH(
CLEAN(TRIM(C47)),
CLEAN(TRIM(REPORTE_DROPI!E:E)),
0
)
),
""
)
</f>
        <v>4675709</v>
      </c>
      <c r="U47" s="154" t="s">
        <v>8162</v>
      </c>
      <c r="V47" s="192"/>
      <c r="W47" s="192"/>
      <c r="X47" s="192"/>
      <c r="Y47" s="192"/>
      <c r="Z47" s="192"/>
    </row>
    <row r="48" ht="22.5" customHeight="1">
      <c r="A48" s="154"/>
      <c r="B48" s="170">
        <v>46083.0</v>
      </c>
      <c r="C48" s="154" t="s">
        <v>8163</v>
      </c>
      <c r="D48" s="170" t="str">
        <f>IFERROR(__xludf.DUMMYFUNCTION("""COMPUTED_VALUE"""),"FilmPro®")</f>
        <v>FilmPro®</v>
      </c>
      <c r="E48" s="188" t="s">
        <v>3650</v>
      </c>
      <c r="F48" s="189">
        <v>1.0</v>
      </c>
      <c r="G48" s="190" t="s">
        <v>3650</v>
      </c>
      <c r="H48" s="154" t="s">
        <v>3727</v>
      </c>
      <c r="I48" s="154" t="s">
        <v>3740</v>
      </c>
      <c r="J48" s="189" t="s">
        <v>3650</v>
      </c>
      <c r="K48" s="154"/>
      <c r="L48" s="154" t="s">
        <v>3650</v>
      </c>
      <c r="M48" s="170" t="s">
        <v>5877</v>
      </c>
      <c r="N48" s="154" t="s">
        <v>8164</v>
      </c>
      <c r="O48" s="170" t="str">
        <f t="array" ref="O48">IFERROR(
VLOOKUP(
TRIM(CLEAN(
INDEX(REPORTE_DROPI!K:K,
MATCH(T48, REPORTE_DROPI!B:B, 0)
))),
{
TRIM(CLEAN(MAPA_ESTADOS!A:A)) ,
MAPA_ESTADOS!B:B
},
2,
FALSE
),
"REVISAR"
)</f>
        <v>PENDIENTE</v>
      </c>
      <c r="P48" s="154" t="s">
        <v>8106</v>
      </c>
      <c r="Q48" s="191" t="str">
        <f t="shared" si="1"/>
        <v/>
      </c>
      <c r="R48" s="170"/>
      <c r="S48" s="170"/>
      <c r="T48" s="154">
        <f t="array" ref="T48">IFERROR(
INDEX(REPORTE_DROPI!B:B,
MATCH(
CLEAN(TRIM(C48)),
CLEAN(TRIM(REPORTE_DROPI!E:E)),
0
)
),
""
)
</f>
        <v>4667719</v>
      </c>
      <c r="U48" s="154" t="s">
        <v>8165</v>
      </c>
      <c r="V48" s="192"/>
      <c r="W48" s="192"/>
      <c r="X48" s="192"/>
      <c r="Y48" s="192"/>
      <c r="Z48" s="192"/>
    </row>
    <row r="49" ht="22.5" customHeight="1">
      <c r="A49" s="154"/>
      <c r="B49" s="170">
        <v>46083.0</v>
      </c>
      <c r="C49" s="154" t="s">
        <v>8166</v>
      </c>
      <c r="D49" s="170" t="str">
        <f>IFERROR(__xludf.DUMMYFUNCTION("""COMPUTED_VALUE"""),"FilmPro®")</f>
        <v>FilmPro®</v>
      </c>
      <c r="E49" s="188">
        <v>7.05</v>
      </c>
      <c r="F49" s="189">
        <v>3.0</v>
      </c>
      <c r="G49" s="190">
        <v>30.0</v>
      </c>
      <c r="H49" s="154" t="s">
        <v>3727</v>
      </c>
      <c r="I49" s="154" t="s">
        <v>3740</v>
      </c>
      <c r="J49" s="189">
        <v>7.48</v>
      </c>
      <c r="K49" s="154">
        <v>15.47</v>
      </c>
      <c r="L49" s="154" t="s">
        <v>3650</v>
      </c>
      <c r="M49" s="170" t="s">
        <v>5877</v>
      </c>
      <c r="N49" s="154" t="s">
        <v>8167</v>
      </c>
      <c r="O49" s="170" t="str">
        <f t="array" ref="O49">IFERROR(
VLOOKUP(
TRIM(CLEAN(
INDEX(REPORTE_DROPI!K:K,
MATCH(T49, REPORTE_DROPI!B:B, 0)
))),
{
TRIM(CLEAN(MAPA_ESTADOS!A:A)) ,
MAPA_ESTADOS!B:B
},
2,
FALSE
),
"REVISAR"
)</f>
        <v>ENTREGADO</v>
      </c>
      <c r="P49" s="154" t="s">
        <v>8147</v>
      </c>
      <c r="Q49" s="191" t="str">
        <f t="shared" si="1"/>
        <v/>
      </c>
      <c r="R49" s="170"/>
      <c r="S49" s="170"/>
      <c r="T49" s="154">
        <f t="array" ref="T49">IFERROR(
INDEX(REPORTE_DROPI!B:B,
MATCH(
CLEAN(TRIM(C49)),
CLEAN(TRIM(REPORTE_DROPI!E:E)),
0
)
),
""
)
</f>
        <v>4668266</v>
      </c>
      <c r="U49" s="154" t="s">
        <v>8168</v>
      </c>
      <c r="V49" s="192"/>
      <c r="W49" s="192"/>
      <c r="X49" s="192"/>
      <c r="Y49" s="192"/>
      <c r="Z49" s="192"/>
    </row>
    <row r="50" ht="22.5" customHeight="1">
      <c r="A50" s="154"/>
      <c r="B50" s="170">
        <v>46083.0</v>
      </c>
      <c r="C50" s="154" t="s">
        <v>8169</v>
      </c>
      <c r="D50" s="170" t="str">
        <f>IFERROR(__xludf.DUMMYFUNCTION("""COMPUTED_VALUE"""),"Cuchillo Tazaki™")</f>
        <v>Cuchillo Tazaki™</v>
      </c>
      <c r="E50" s="188">
        <v>7.5</v>
      </c>
      <c r="F50" s="189">
        <v>2.0</v>
      </c>
      <c r="G50" s="190">
        <v>22.0</v>
      </c>
      <c r="H50" s="154" t="s">
        <v>3727</v>
      </c>
      <c r="I50" s="154" t="s">
        <v>3738</v>
      </c>
      <c r="J50" s="189">
        <v>7.7</v>
      </c>
      <c r="K50" s="154">
        <v>6.8</v>
      </c>
      <c r="L50" s="154" t="s">
        <v>3650</v>
      </c>
      <c r="M50" s="170" t="s">
        <v>5877</v>
      </c>
      <c r="N50" s="154" t="s">
        <v>8170</v>
      </c>
      <c r="O50" s="170" t="str">
        <f t="array" ref="O50">IFERROR(
VLOOKUP(
TRIM(CLEAN(
INDEX(REPORTE_DROPI!K:K,
MATCH(T50, REPORTE_DROPI!B:B, 0)
))),
{
TRIM(CLEAN(MAPA_ESTADOS!A:A)) ,
MAPA_ESTADOS!B:B
},
2,
FALSE
),
"REVISAR"
)</f>
        <v>ENTREGADO</v>
      </c>
      <c r="P50" s="154" t="s">
        <v>5692</v>
      </c>
      <c r="Q50" s="191" t="str">
        <f t="shared" si="1"/>
        <v/>
      </c>
      <c r="R50" s="170"/>
      <c r="S50" s="170"/>
      <c r="T50" s="154">
        <f t="array" ref="T50">IFERROR(
INDEX(REPORTE_DROPI!B:B,
MATCH(
CLEAN(TRIM(C50)),
CLEAN(TRIM(REPORTE_DROPI!E:E)),
0
)
),
""
)
</f>
        <v>4668364</v>
      </c>
      <c r="U50" s="154" t="s">
        <v>8171</v>
      </c>
      <c r="V50" s="192"/>
      <c r="W50" s="192"/>
      <c r="X50" s="192"/>
      <c r="Y50" s="192"/>
      <c r="Z50" s="192"/>
    </row>
    <row r="51" ht="22.5" customHeight="1">
      <c r="A51" s="154"/>
      <c r="B51" s="170">
        <v>46083.0</v>
      </c>
      <c r="C51" s="154" t="s">
        <v>8172</v>
      </c>
      <c r="D51" s="170" t="str">
        <f>IFERROR(__xludf.DUMMYFUNCTION("""COMPUTED_VALUE"""),"FilmPro®")</f>
        <v>FilmPro®</v>
      </c>
      <c r="E51" s="188" t="s">
        <v>3650</v>
      </c>
      <c r="F51" s="189">
        <v>2.0</v>
      </c>
      <c r="G51" s="190" t="s">
        <v>3650</v>
      </c>
      <c r="H51" s="154" t="s">
        <v>3727</v>
      </c>
      <c r="I51" s="154" t="s">
        <v>3740</v>
      </c>
      <c r="J51" s="189" t="s">
        <v>3650</v>
      </c>
      <c r="K51" s="154"/>
      <c r="L51" s="154" t="s">
        <v>3650</v>
      </c>
      <c r="M51" s="170" t="s">
        <v>5877</v>
      </c>
      <c r="N51" s="154" t="s">
        <v>8173</v>
      </c>
      <c r="O51" s="170" t="str">
        <f t="array" ref="O51">IFERROR(
VLOOKUP(
TRIM(CLEAN(
INDEX(REPORTE_DROPI!K:K,
MATCH(T51, REPORTE_DROPI!B:B, 0)
))),
{
TRIM(CLEAN(MAPA_ESTADOS!A:A)) ,
MAPA_ESTADOS!B:B
},
2,
FALSE
),
"REVISAR"
)</f>
        <v>PENDIENTE</v>
      </c>
      <c r="P51" s="154" t="s">
        <v>8106</v>
      </c>
      <c r="Q51" s="191" t="str">
        <f t="shared" si="1"/>
        <v/>
      </c>
      <c r="R51" s="170"/>
      <c r="S51" s="170"/>
      <c r="T51" s="154">
        <f t="array" ref="T51">IFERROR(
INDEX(REPORTE_DROPI!B:B,
MATCH(
CLEAN(TRIM(C51)),
CLEAN(TRIM(REPORTE_DROPI!E:E)),
0
)
),
""
)
</f>
        <v>4668426</v>
      </c>
      <c r="U51" s="154" t="s">
        <v>8174</v>
      </c>
      <c r="V51" s="192"/>
      <c r="W51" s="192"/>
      <c r="X51" s="192"/>
      <c r="Y51" s="192"/>
      <c r="Z51" s="192"/>
    </row>
    <row r="52" ht="22.5" customHeight="1">
      <c r="A52" s="154"/>
      <c r="B52" s="170">
        <v>46083.0</v>
      </c>
      <c r="C52" s="154" t="s">
        <v>8175</v>
      </c>
      <c r="D52" s="170" t="str">
        <f>IFERROR(__xludf.DUMMYFUNCTION("""COMPUTED_VALUE"""),"FreeBeat Adapter")</f>
        <v>FreeBeat Adapter</v>
      </c>
      <c r="E52" s="188" t="s">
        <v>3650</v>
      </c>
      <c r="F52" s="189">
        <v>2.0</v>
      </c>
      <c r="G52" s="190" t="s">
        <v>3650</v>
      </c>
      <c r="H52" s="154" t="s">
        <v>3727</v>
      </c>
      <c r="I52" s="154" t="s">
        <v>3778</v>
      </c>
      <c r="J52" s="189" t="s">
        <v>3650</v>
      </c>
      <c r="K52" s="154"/>
      <c r="L52" s="154" t="s">
        <v>3650</v>
      </c>
      <c r="M52" s="170" t="s">
        <v>5877</v>
      </c>
      <c r="N52" s="154" t="s">
        <v>8176</v>
      </c>
      <c r="O52" s="170" t="str">
        <f t="array" ref="O52">IFERROR(
VLOOKUP(
TRIM(CLEAN(
INDEX(REPORTE_DROPI!K:K,
MATCH(T52, REPORTE_DROPI!B:B, 0)
))),
{
TRIM(CLEAN(MAPA_ESTADOS!A:A)) ,
MAPA_ESTADOS!B:B
},
2,
FALSE
),
"REVISAR"
)</f>
        <v>PENDIENTE</v>
      </c>
      <c r="P52" s="154" t="s">
        <v>8106</v>
      </c>
      <c r="Q52" s="191" t="str">
        <f t="shared" si="1"/>
        <v/>
      </c>
      <c r="R52" s="170"/>
      <c r="S52" s="170"/>
      <c r="T52" s="154">
        <f t="array" ref="T52">IFERROR(
INDEX(REPORTE_DROPI!B:B,
MATCH(
CLEAN(TRIM(C52)),
CLEAN(TRIM(REPORTE_DROPI!E:E)),
0
)
),
""
)
</f>
        <v>4668591</v>
      </c>
      <c r="U52" s="194">
        <v>1.77234221139E11</v>
      </c>
      <c r="V52" s="192"/>
      <c r="W52" s="192"/>
      <c r="X52" s="192"/>
      <c r="Y52" s="192"/>
      <c r="Z52" s="192"/>
    </row>
    <row r="53" ht="22.5" customHeight="1">
      <c r="A53" s="154"/>
      <c r="B53" s="170">
        <v>46083.0</v>
      </c>
      <c r="C53" s="154" t="s">
        <v>8177</v>
      </c>
      <c r="D53" s="170" t="str">
        <f>IFERROR(__xludf.DUMMYFUNCTION("""COMPUTED_VALUE"""),"Cuchillo Tazaki™")</f>
        <v>Cuchillo Tazaki™</v>
      </c>
      <c r="E53" s="188">
        <v>7.5</v>
      </c>
      <c r="F53" s="189">
        <v>2.0</v>
      </c>
      <c r="G53" s="190">
        <v>22.0</v>
      </c>
      <c r="H53" s="154" t="s">
        <v>3727</v>
      </c>
      <c r="I53" s="154" t="s">
        <v>3778</v>
      </c>
      <c r="J53" s="189">
        <v>5.84</v>
      </c>
      <c r="K53" s="154">
        <v>8.66</v>
      </c>
      <c r="L53" s="154" t="s">
        <v>3650</v>
      </c>
      <c r="M53" s="170" t="s">
        <v>5877</v>
      </c>
      <c r="N53" s="154" t="s">
        <v>8178</v>
      </c>
      <c r="O53" s="170" t="str">
        <f t="array" ref="O53">IFERROR(
VLOOKUP(
TRIM(CLEAN(
INDEX(REPORTE_DROPI!K:K,
MATCH(T53, REPORTE_DROPI!B:B, 0)
))),
{
TRIM(CLEAN(MAPA_ESTADOS!A:A)) ,
MAPA_ESTADOS!B:B
},
2,
FALSE
),
"REVISAR"
)</f>
        <v>ENTREGADO</v>
      </c>
      <c r="P53" s="154" t="s">
        <v>5692</v>
      </c>
      <c r="Q53" s="191" t="str">
        <f t="shared" si="1"/>
        <v/>
      </c>
      <c r="R53" s="170"/>
      <c r="S53" s="170"/>
      <c r="T53" s="154">
        <f t="array" ref="T53">IFERROR(
INDEX(REPORTE_DROPI!B:B,
MATCH(
CLEAN(TRIM(C53)),
CLEAN(TRIM(REPORTE_DROPI!E:E)),
0
)
),
""
)
</f>
        <v>4669338</v>
      </c>
      <c r="U53" s="154" t="s">
        <v>8179</v>
      </c>
      <c r="V53" s="192"/>
      <c r="W53" s="192"/>
      <c r="X53" s="192"/>
      <c r="Y53" s="192"/>
      <c r="Z53" s="192"/>
    </row>
    <row r="54" ht="22.5" customHeight="1">
      <c r="A54" s="154"/>
      <c r="B54" s="170">
        <v>46083.0</v>
      </c>
      <c r="C54" s="154" t="s">
        <v>8180</v>
      </c>
      <c r="D54" s="170" t="str">
        <f>IFERROR(__xludf.DUMMYFUNCTION("""COMPUTED_VALUE"""),"FilmPro®")</f>
        <v>FilmPro®</v>
      </c>
      <c r="E54" s="188">
        <v>4.7</v>
      </c>
      <c r="F54" s="189">
        <v>2.0</v>
      </c>
      <c r="G54" s="190">
        <v>25.0</v>
      </c>
      <c r="H54" s="154" t="s">
        <v>3727</v>
      </c>
      <c r="I54" s="154" t="s">
        <v>3740</v>
      </c>
      <c r="J54" s="189">
        <v>5.96</v>
      </c>
      <c r="K54" s="154">
        <v>14.34</v>
      </c>
      <c r="L54" s="154" t="s">
        <v>3650</v>
      </c>
      <c r="M54" s="170" t="s">
        <v>5877</v>
      </c>
      <c r="N54" s="154" t="s">
        <v>8181</v>
      </c>
      <c r="O54" s="170" t="str">
        <f t="array" ref="O54">IFERROR(
VLOOKUP(
TRIM(CLEAN(
INDEX(REPORTE_DROPI!K:K,
MATCH(T54, REPORTE_DROPI!B:B, 0)
))),
{
TRIM(CLEAN(MAPA_ESTADOS!A:A)) ,
MAPA_ESTADOS!B:B
},
2,
FALSE
),
"REVISAR"
)</f>
        <v>ENTREGADO</v>
      </c>
      <c r="P54" s="154" t="s">
        <v>5692</v>
      </c>
      <c r="Q54" s="191" t="str">
        <f t="shared" si="1"/>
        <v/>
      </c>
      <c r="R54" s="170"/>
      <c r="S54" s="170"/>
      <c r="T54" s="154">
        <f t="array" ref="T54">IFERROR(
INDEX(REPORTE_DROPI!B:B,
MATCH(
CLEAN(TRIM(C54)),
CLEAN(TRIM(REPORTE_DROPI!E:E)),
0
)
),
""
)
</f>
        <v>4671140</v>
      </c>
      <c r="U54" s="154" t="s">
        <v>8182</v>
      </c>
      <c r="V54" s="192"/>
      <c r="W54" s="192"/>
      <c r="X54" s="192"/>
      <c r="Y54" s="192"/>
      <c r="Z54" s="192"/>
    </row>
    <row r="55" ht="22.5" customHeight="1">
      <c r="A55" s="154"/>
      <c r="B55" s="170">
        <v>46083.0</v>
      </c>
      <c r="C55" s="154" t="s">
        <v>8183</v>
      </c>
      <c r="D55" s="170" t="str">
        <f>IFERROR(__xludf.DUMMYFUNCTION("""COMPUTED_VALUE"""),"Cuchillo Tazaki™")</f>
        <v>Cuchillo Tazaki™</v>
      </c>
      <c r="E55" s="188">
        <v>7.5</v>
      </c>
      <c r="F55" s="189">
        <v>2.0</v>
      </c>
      <c r="G55" s="190">
        <v>22.0</v>
      </c>
      <c r="H55" s="154" t="s">
        <v>3727</v>
      </c>
      <c r="I55" s="154" t="s">
        <v>3912</v>
      </c>
      <c r="J55" s="189">
        <v>5.84</v>
      </c>
      <c r="K55" s="154">
        <v>8.66</v>
      </c>
      <c r="L55" s="154" t="s">
        <v>3650</v>
      </c>
      <c r="M55" s="170" t="s">
        <v>5877</v>
      </c>
      <c r="N55" s="154" t="s">
        <v>8184</v>
      </c>
      <c r="O55" s="170" t="str">
        <f t="array" ref="O55">IFERROR(
VLOOKUP(
TRIM(CLEAN(
INDEX(REPORTE_DROPI!K:K,
MATCH(T55, REPORTE_DROPI!B:B, 0)
))),
{
TRIM(CLEAN(MAPA_ESTADOS!A:A)) ,
MAPA_ESTADOS!B:B
},
2,
FALSE
),
"REVISAR"
)</f>
        <v>ENTREGADO</v>
      </c>
      <c r="P55" s="154" t="s">
        <v>5692</v>
      </c>
      <c r="Q55" s="191" t="str">
        <f t="shared" si="1"/>
        <v/>
      </c>
      <c r="R55" s="170"/>
      <c r="S55" s="170"/>
      <c r="T55" s="154">
        <f t="array" ref="T55">IFERROR(
INDEX(REPORTE_DROPI!B:B,
MATCH(
CLEAN(TRIM(C55)),
CLEAN(TRIM(REPORTE_DROPI!E:E)),
0
)
),
""
)
</f>
        <v>4673701</v>
      </c>
      <c r="U55" s="154" t="s">
        <v>8185</v>
      </c>
      <c r="V55" s="192"/>
      <c r="W55" s="192"/>
      <c r="X55" s="192"/>
      <c r="Y55" s="192"/>
      <c r="Z55" s="192"/>
    </row>
    <row r="56" ht="22.5" customHeight="1">
      <c r="A56" s="154"/>
      <c r="B56" s="170">
        <v>46083.0</v>
      </c>
      <c r="C56" s="154" t="s">
        <v>8186</v>
      </c>
      <c r="D56" s="170" t="str">
        <f>IFERROR(__xludf.DUMMYFUNCTION("""COMPUTED_VALUE"""),"Cuchillo Tazaki™")</f>
        <v>Cuchillo Tazaki™</v>
      </c>
      <c r="E56" s="188" t="s">
        <v>3650</v>
      </c>
      <c r="F56" s="189">
        <v>2.0</v>
      </c>
      <c r="G56" s="190" t="s">
        <v>3650</v>
      </c>
      <c r="H56" s="154" t="s">
        <v>3727</v>
      </c>
      <c r="I56" s="154" t="s">
        <v>3772</v>
      </c>
      <c r="J56" s="189" t="s">
        <v>3650</v>
      </c>
      <c r="K56" s="154"/>
      <c r="L56" s="154" t="s">
        <v>3650</v>
      </c>
      <c r="M56" s="154" t="s">
        <v>5877</v>
      </c>
      <c r="N56" s="154" t="s">
        <v>8187</v>
      </c>
      <c r="O56" s="170" t="str">
        <f t="array" ref="O56">IFERROR(
VLOOKUP(
TRIM(CLEAN(
INDEX(REPORTE_DROPI!K:K,
MATCH(T56, REPORTE_DROPI!B:B, 0)
))),
{
TRIM(CLEAN(MAPA_ESTADOS!A:A)) ,
MAPA_ESTADOS!B:B
},
2,
FALSE
),
"REVISAR"
)</f>
        <v>PENDIENTE</v>
      </c>
      <c r="P56" s="154" t="s">
        <v>8106</v>
      </c>
      <c r="Q56" s="191" t="str">
        <f t="shared" si="1"/>
        <v/>
      </c>
      <c r="R56" s="170"/>
      <c r="S56" s="170"/>
      <c r="T56" s="154">
        <f t="array" ref="T56">IFERROR(
INDEX(REPORTE_DROPI!B:B,
MATCH(
CLEAN(TRIM(C56)),
CLEAN(TRIM(REPORTE_DROPI!E:E)),
0
)
),
""
)
</f>
        <v>4674081</v>
      </c>
      <c r="U56" s="154"/>
      <c r="V56" s="192"/>
      <c r="W56" s="192"/>
      <c r="X56" s="192"/>
      <c r="Y56" s="192"/>
      <c r="Z56" s="192"/>
    </row>
    <row r="57" ht="22.5" customHeight="1">
      <c r="A57" s="154"/>
      <c r="B57" s="170">
        <v>46083.0</v>
      </c>
      <c r="C57" s="154" t="s">
        <v>6582</v>
      </c>
      <c r="D57" s="170" t="str">
        <f>IFERROR(__xludf.DUMMYFUNCTION("""COMPUTED_VALUE"""),"FreeBeat Adapter")</f>
        <v>FreeBeat Adapter</v>
      </c>
      <c r="E57" s="188">
        <v>10.0</v>
      </c>
      <c r="F57" s="189">
        <v>2.0</v>
      </c>
      <c r="G57" s="190">
        <v>24.2</v>
      </c>
      <c r="H57" s="154" t="s">
        <v>3727</v>
      </c>
      <c r="I57" s="154" t="s">
        <v>3772</v>
      </c>
      <c r="J57" s="189">
        <v>5.92</v>
      </c>
      <c r="K57" s="154">
        <v>8.28</v>
      </c>
      <c r="L57" s="154" t="s">
        <v>3650</v>
      </c>
      <c r="M57" s="170" t="s">
        <v>5877</v>
      </c>
      <c r="N57" s="154" t="s">
        <v>8188</v>
      </c>
      <c r="O57" s="170" t="str">
        <f t="array" ref="O57">IFERROR(
VLOOKUP(
TRIM(CLEAN(
INDEX(REPORTE_DROPI!K:K,
MATCH(T57, REPORTE_DROPI!B:B, 0)
))),
{
TRIM(CLEAN(MAPA_ESTADOS!A:A)) ,
MAPA_ESTADOS!B:B
},
2,
FALSE
),
"REVISAR"
)</f>
        <v>ENTREGADO</v>
      </c>
      <c r="P57" s="154" t="s">
        <v>8147</v>
      </c>
      <c r="Q57" s="191" t="str">
        <f t="shared" si="1"/>
        <v/>
      </c>
      <c r="R57" s="170"/>
      <c r="S57" s="170"/>
      <c r="T57" s="154">
        <f t="array" ref="T57">IFERROR(
INDEX(REPORTE_DROPI!B:B,
MATCH(
CLEAN(TRIM(C57)),
CLEAN(TRIM(REPORTE_DROPI!E:E)),
0
)
),
""
)
</f>
        <v>4674255</v>
      </c>
      <c r="U57" s="154" t="s">
        <v>8189</v>
      </c>
      <c r="V57" s="192"/>
      <c r="W57" s="192"/>
      <c r="X57" s="192"/>
      <c r="Y57" s="192"/>
      <c r="Z57" s="192"/>
    </row>
    <row r="58" ht="22.5" customHeight="1">
      <c r="A58" s="154"/>
      <c r="B58" s="170">
        <v>46083.0</v>
      </c>
      <c r="C58" s="154" t="s">
        <v>8190</v>
      </c>
      <c r="D58" s="170" t="str">
        <f>IFERROR(__xludf.DUMMYFUNCTION("""COMPUTED_VALUE"""),"FilmPro®")</f>
        <v>FilmPro®</v>
      </c>
      <c r="E58" s="188" t="s">
        <v>3650</v>
      </c>
      <c r="F58" s="189">
        <v>2.0</v>
      </c>
      <c r="G58" s="190" t="s">
        <v>3650</v>
      </c>
      <c r="H58" s="154" t="s">
        <v>3727</v>
      </c>
      <c r="I58" s="154" t="s">
        <v>3864</v>
      </c>
      <c r="J58" s="189" t="s">
        <v>3650</v>
      </c>
      <c r="K58" s="154"/>
      <c r="L58" s="154" t="s">
        <v>3650</v>
      </c>
      <c r="M58" s="170" t="s">
        <v>5877</v>
      </c>
      <c r="N58" s="154" t="s">
        <v>8191</v>
      </c>
      <c r="O58" s="170" t="str">
        <f t="array" ref="O58">IFERROR(
VLOOKUP(
TRIM(CLEAN(
INDEX(REPORTE_DROPI!K:K,
MATCH(T58, REPORTE_DROPI!B:B, 0)
))),
{
TRIM(CLEAN(MAPA_ESTADOS!A:A)) ,
MAPA_ESTADOS!B:B
},
2,
FALSE
),
"REVISAR"
)</f>
        <v>PENDIENTE</v>
      </c>
      <c r="P58" s="154" t="s">
        <v>8106</v>
      </c>
      <c r="Q58" s="191" t="str">
        <f t="shared" si="1"/>
        <v/>
      </c>
      <c r="R58" s="170"/>
      <c r="S58" s="170"/>
      <c r="T58" s="154">
        <f t="array" ref="T58">IFERROR(
INDEX(REPORTE_DROPI!B:B,
MATCH(
CLEAN(TRIM(C58)),
CLEAN(TRIM(REPORTE_DROPI!E:E)),
0
)
),
""
)
</f>
        <v>4674958</v>
      </c>
      <c r="U58" s="194">
        <v>4.5163204204E10</v>
      </c>
      <c r="V58" s="192"/>
      <c r="W58" s="192"/>
      <c r="X58" s="192"/>
      <c r="Y58" s="192"/>
      <c r="Z58" s="192"/>
    </row>
    <row r="59" ht="22.5" customHeight="1">
      <c r="A59" s="154"/>
      <c r="B59" s="170">
        <v>46083.0</v>
      </c>
      <c r="C59" s="154" t="s">
        <v>8192</v>
      </c>
      <c r="D59" s="170" t="str">
        <f>IFERROR(__xludf.DUMMYFUNCTION("""COMPUTED_VALUE"""),"FilmPro®")</f>
        <v>FilmPro®</v>
      </c>
      <c r="E59" s="188" t="s">
        <v>3650</v>
      </c>
      <c r="F59" s="189">
        <v>2.0</v>
      </c>
      <c r="G59" s="190" t="s">
        <v>3650</v>
      </c>
      <c r="H59" s="154" t="s">
        <v>3727</v>
      </c>
      <c r="I59" s="154" t="s">
        <v>3864</v>
      </c>
      <c r="J59" s="189" t="s">
        <v>3650</v>
      </c>
      <c r="K59" s="154"/>
      <c r="L59" s="154">
        <v>0.0</v>
      </c>
      <c r="M59" s="170" t="s">
        <v>5877</v>
      </c>
      <c r="N59" s="154" t="s">
        <v>8193</v>
      </c>
      <c r="O59" s="170" t="str">
        <f t="array" ref="O59">IFERROR(
VLOOKUP(
TRIM(CLEAN(
INDEX(REPORTE_DROPI!K:K,
MATCH(T59, REPORTE_DROPI!B:B, 0)
))),
{
TRIM(CLEAN(MAPA_ESTADOS!A:A)) ,
MAPA_ESTADOS!B:B
},
2,
FALSE
),
"REVISAR"
)</f>
        <v>DEVOLUCION</v>
      </c>
      <c r="P59" s="154" t="s">
        <v>8147</v>
      </c>
      <c r="Q59" s="191" t="str">
        <f t="shared" si="1"/>
        <v/>
      </c>
      <c r="R59" s="170"/>
      <c r="S59" s="170"/>
      <c r="T59" s="154">
        <f t="array" ref="T59">IFERROR(
INDEX(REPORTE_DROPI!B:B,
MATCH(
CLEAN(TRIM(C59)),
CLEAN(TRIM(REPORTE_DROPI!E:E)),
0
)
),
""
)
</f>
        <v>4675663</v>
      </c>
      <c r="U59" s="154" t="s">
        <v>8194</v>
      </c>
      <c r="V59" s="192"/>
      <c r="W59" s="192"/>
      <c r="X59" s="192"/>
      <c r="Y59" s="192"/>
      <c r="Z59" s="192"/>
    </row>
    <row r="60" ht="22.5" customHeight="1">
      <c r="A60" s="154"/>
      <c r="B60" s="170">
        <v>46083.0</v>
      </c>
      <c r="C60" s="154" t="s">
        <v>8195</v>
      </c>
      <c r="D60" s="170" t="str">
        <f>IFERROR(__xludf.DUMMYFUNCTION("""COMPUTED_VALUE"""),"Cuchillo Tazaki™")</f>
        <v>Cuchillo Tazaki™</v>
      </c>
      <c r="E60" s="188" t="s">
        <v>3650</v>
      </c>
      <c r="F60" s="189">
        <v>2.0</v>
      </c>
      <c r="G60" s="190" t="s">
        <v>3650</v>
      </c>
      <c r="H60" s="154" t="s">
        <v>3727</v>
      </c>
      <c r="I60" s="154" t="s">
        <v>3740</v>
      </c>
      <c r="J60" s="189" t="s">
        <v>3650</v>
      </c>
      <c r="K60" s="154"/>
      <c r="L60" s="154" t="s">
        <v>3650</v>
      </c>
      <c r="M60" s="170" t="s">
        <v>5877</v>
      </c>
      <c r="N60" s="154" t="s">
        <v>8196</v>
      </c>
      <c r="O60" s="170" t="str">
        <f t="array" ref="O60">IFERROR(
VLOOKUP(
TRIM(CLEAN(
INDEX(REPORTE_DROPI!K:K,
MATCH(T60, REPORTE_DROPI!B:B, 0)
))),
{
TRIM(CLEAN(MAPA_ESTADOS!A:A)) ,
MAPA_ESTADOS!B:B
},
2,
FALSE
),
"REVISAR"
)</f>
        <v>CANCELADO</v>
      </c>
      <c r="P60" s="154" t="s">
        <v>8197</v>
      </c>
      <c r="Q60" s="191" t="str">
        <f t="shared" si="1"/>
        <v/>
      </c>
      <c r="R60" s="170"/>
      <c r="S60" s="170"/>
      <c r="T60" s="154">
        <f t="array" ref="T60">IFERROR(
INDEX(REPORTE_DROPI!B:B,
MATCH(
CLEAN(TRIM(C60)),
CLEAN(TRIM(REPORTE_DROPI!E:E)),
0
)
),
""
)
</f>
        <v>4675769</v>
      </c>
      <c r="U60" s="154" t="s">
        <v>8198</v>
      </c>
      <c r="V60" s="192"/>
      <c r="W60" s="192"/>
      <c r="X60" s="192"/>
      <c r="Y60" s="192"/>
      <c r="Z60" s="192"/>
    </row>
    <row r="61" ht="22.5" customHeight="1">
      <c r="A61" s="154"/>
      <c r="B61" s="170">
        <v>46083.0</v>
      </c>
      <c r="C61" s="154" t="s">
        <v>8199</v>
      </c>
      <c r="D61" s="170" t="str">
        <f>IFERROR(__xludf.DUMMYFUNCTION("""COMPUTED_VALUE"""),"FilmPro®")</f>
        <v>FilmPro®</v>
      </c>
      <c r="E61" s="188" t="s">
        <v>3650</v>
      </c>
      <c r="F61" s="189">
        <v>3.0</v>
      </c>
      <c r="G61" s="190" t="s">
        <v>3650</v>
      </c>
      <c r="H61" s="154" t="s">
        <v>3727</v>
      </c>
      <c r="I61" s="154" t="s">
        <v>3801</v>
      </c>
      <c r="J61" s="189" t="s">
        <v>3650</v>
      </c>
      <c r="K61" s="154"/>
      <c r="L61" s="154" t="s">
        <v>3650</v>
      </c>
      <c r="M61" s="170" t="s">
        <v>5877</v>
      </c>
      <c r="N61" s="154" t="s">
        <v>8200</v>
      </c>
      <c r="O61" s="170" t="str">
        <f t="array" ref="O61">IFERROR(
VLOOKUP(
TRIM(CLEAN(
INDEX(REPORTE_DROPI!K:K,
MATCH(T61, REPORTE_DROPI!B:B, 0)
))),
{
TRIM(CLEAN(MAPA_ESTADOS!A:A)) ,
MAPA_ESTADOS!B:B
},
2,
FALSE
),
"REVISAR"
)</f>
        <v>PENDIENTE</v>
      </c>
      <c r="P61" s="154" t="s">
        <v>8201</v>
      </c>
      <c r="Q61" s="191" t="str">
        <f t="shared" si="1"/>
        <v/>
      </c>
      <c r="R61" s="170"/>
      <c r="S61" s="170"/>
      <c r="T61" s="154">
        <f t="array" ref="T61">IFERROR(
INDEX(REPORTE_DROPI!B:B,
MATCH(
CLEAN(TRIM(C61)),
CLEAN(TRIM(REPORTE_DROPI!E:E)),
0
)
),
""
)
</f>
        <v>4676341</v>
      </c>
      <c r="U61" s="194">
        <v>4.5163205155E10</v>
      </c>
      <c r="V61" s="192"/>
      <c r="W61" s="192"/>
      <c r="X61" s="192"/>
      <c r="Y61" s="192"/>
      <c r="Z61" s="192"/>
    </row>
    <row r="62" ht="22.5" customHeight="1">
      <c r="A62" s="154"/>
      <c r="B62" s="170">
        <v>46083.0</v>
      </c>
      <c r="C62" s="154" t="s">
        <v>8202</v>
      </c>
      <c r="D62" s="170" t="str">
        <f>IFERROR(__xludf.DUMMYFUNCTION("""COMPUTED_VALUE"""),"Cuchillo Tazaki™")</f>
        <v>Cuchillo Tazaki™</v>
      </c>
      <c r="E62" s="188">
        <v>7.5</v>
      </c>
      <c r="F62" s="189">
        <v>2.0</v>
      </c>
      <c r="G62" s="190">
        <v>22.0</v>
      </c>
      <c r="H62" s="154" t="s">
        <v>3727</v>
      </c>
      <c r="I62" s="154" t="s">
        <v>3740</v>
      </c>
      <c r="J62" s="189">
        <v>5.84</v>
      </c>
      <c r="K62" s="154">
        <v>8.66</v>
      </c>
      <c r="L62" s="154" t="s">
        <v>3650</v>
      </c>
      <c r="M62" s="170" t="s">
        <v>5877</v>
      </c>
      <c r="N62" s="154" t="s">
        <v>8203</v>
      </c>
      <c r="O62" s="170" t="str">
        <f t="array" ref="O62">IFERROR(
VLOOKUP(
TRIM(CLEAN(
INDEX(REPORTE_DROPI!K:K,
MATCH(T62, REPORTE_DROPI!B:B, 0)
))),
{
TRIM(CLEAN(MAPA_ESTADOS!A:A)) ,
MAPA_ESTADOS!B:B
},
2,
FALSE
),
"REVISAR"
)</f>
        <v>ENTREGADO</v>
      </c>
      <c r="P62" s="154" t="s">
        <v>5692</v>
      </c>
      <c r="Q62" s="191" t="str">
        <f t="shared" si="1"/>
        <v/>
      </c>
      <c r="R62" s="170"/>
      <c r="S62" s="170"/>
      <c r="T62" s="154">
        <f t="array" ref="T62">IFERROR(
INDEX(REPORTE_DROPI!B:B,
MATCH(
CLEAN(TRIM(C62)),
CLEAN(TRIM(REPORTE_DROPI!E:E)),
0
)
),
""
)
</f>
        <v>4676556</v>
      </c>
      <c r="U62" s="154" t="s">
        <v>8204</v>
      </c>
      <c r="V62" s="192"/>
      <c r="W62" s="192"/>
      <c r="X62" s="192"/>
      <c r="Y62" s="192"/>
      <c r="Z62" s="192"/>
    </row>
    <row r="63" ht="22.5" customHeight="1">
      <c r="A63" s="154"/>
      <c r="B63" s="170">
        <v>46083.0</v>
      </c>
      <c r="C63" s="154" t="s">
        <v>8205</v>
      </c>
      <c r="D63" s="170" t="str">
        <f>IFERROR(__xludf.DUMMYFUNCTION("""COMPUTED_VALUE"""),"FreeBeat Adapter")</f>
        <v>FreeBeat Adapter</v>
      </c>
      <c r="E63" s="188" t="s">
        <v>3650</v>
      </c>
      <c r="F63" s="189">
        <v>2.0</v>
      </c>
      <c r="G63" s="190" t="s">
        <v>3650</v>
      </c>
      <c r="H63" s="154" t="s">
        <v>3727</v>
      </c>
      <c r="I63" s="154" t="s">
        <v>3731</v>
      </c>
      <c r="J63" s="189" t="s">
        <v>3650</v>
      </c>
      <c r="K63" s="154"/>
      <c r="L63" s="154" t="s">
        <v>3650</v>
      </c>
      <c r="M63" s="170" t="s">
        <v>5877</v>
      </c>
      <c r="N63" s="154" t="s">
        <v>8206</v>
      </c>
      <c r="O63" s="170" t="str">
        <f t="array" ref="O63">IFERROR(
VLOOKUP(
TRIM(CLEAN(
INDEX(REPORTE_DROPI!K:K,
MATCH(T63, REPORTE_DROPI!B:B, 0)
))),
{
TRIM(CLEAN(MAPA_ESTADOS!A:A)) ,
MAPA_ESTADOS!B:B
},
2,
FALSE
),
"REVISAR"
)</f>
        <v>PENDIENTE</v>
      </c>
      <c r="P63" s="154" t="s">
        <v>6568</v>
      </c>
      <c r="Q63" s="191" t="str">
        <f t="shared" si="1"/>
        <v/>
      </c>
      <c r="R63" s="170"/>
      <c r="S63" s="170"/>
      <c r="T63" s="154">
        <f t="array" ref="T63">IFERROR(
INDEX(REPORTE_DROPI!B:B,
MATCH(
CLEAN(TRIM(C63)),
CLEAN(TRIM(REPORTE_DROPI!E:E)),
0
)
),
""
)
</f>
        <v>4677031</v>
      </c>
      <c r="U63" s="154" t="s">
        <v>8207</v>
      </c>
      <c r="V63" s="192"/>
      <c r="W63" s="192"/>
      <c r="X63" s="192"/>
      <c r="Y63" s="192"/>
      <c r="Z63" s="192"/>
    </row>
    <row r="64" ht="22.5" customHeight="1">
      <c r="A64" s="154"/>
      <c r="B64" s="170">
        <v>46083.0</v>
      </c>
      <c r="C64" s="154" t="s">
        <v>8208</v>
      </c>
      <c r="D64" s="170" t="str">
        <f>IFERROR(__xludf.DUMMYFUNCTION("""COMPUTED_VALUE"""),"FilmPro®")</f>
        <v>FilmPro®</v>
      </c>
      <c r="E64" s="188">
        <v>4.7</v>
      </c>
      <c r="F64" s="189">
        <v>2.0</v>
      </c>
      <c r="G64" s="190">
        <v>25.0</v>
      </c>
      <c r="H64" s="154" t="s">
        <v>3727</v>
      </c>
      <c r="I64" s="154" t="s">
        <v>3731</v>
      </c>
      <c r="J64" s="189">
        <v>4.35</v>
      </c>
      <c r="K64" s="154">
        <v>15.95</v>
      </c>
      <c r="L64" s="154" t="s">
        <v>3650</v>
      </c>
      <c r="M64" s="170" t="s">
        <v>5877</v>
      </c>
      <c r="N64" s="154" t="s">
        <v>8209</v>
      </c>
      <c r="O64" s="170" t="str">
        <f t="array" ref="O64">IFERROR(
VLOOKUP(
TRIM(CLEAN(
INDEX(REPORTE_DROPI!K:K,
MATCH(T64, REPORTE_DROPI!B:B, 0)
))),
{
TRIM(CLEAN(MAPA_ESTADOS!A:A)) ,
MAPA_ESTADOS!B:B
},
2,
FALSE
),
"REVISAR"
)</f>
        <v>ENTREGADO</v>
      </c>
      <c r="P64" s="154" t="s">
        <v>8210</v>
      </c>
      <c r="Q64" s="191" t="str">
        <f t="shared" si="1"/>
        <v/>
      </c>
      <c r="R64" s="170"/>
      <c r="S64" s="170"/>
      <c r="T64" s="154">
        <f t="array" ref="T64">IFERROR(
INDEX(REPORTE_DROPI!B:B,
MATCH(
CLEAN(TRIM(C64)),
CLEAN(TRIM(REPORTE_DROPI!E:E)),
0
)
),
""
)
</f>
        <v>4677137</v>
      </c>
      <c r="U64" s="194">
        <v>1.90154115227E11</v>
      </c>
      <c r="V64" s="192"/>
      <c r="W64" s="192"/>
      <c r="X64" s="192"/>
      <c r="Y64" s="192"/>
      <c r="Z64" s="192"/>
    </row>
    <row r="65" ht="22.5" customHeight="1">
      <c r="A65" s="154"/>
      <c r="B65" s="170">
        <v>46083.0</v>
      </c>
      <c r="C65" s="154" t="s">
        <v>8211</v>
      </c>
      <c r="D65" s="170" t="str">
        <f>IFERROR(__xludf.DUMMYFUNCTION("""COMPUTED_VALUE"""),"FilmPro®")</f>
        <v>FilmPro®</v>
      </c>
      <c r="E65" s="188" t="s">
        <v>3650</v>
      </c>
      <c r="F65" s="189">
        <v>3.0</v>
      </c>
      <c r="G65" s="190" t="s">
        <v>3650</v>
      </c>
      <c r="H65" s="154" t="s">
        <v>3727</v>
      </c>
      <c r="I65" s="154" t="s">
        <v>3740</v>
      </c>
      <c r="J65" s="189" t="s">
        <v>3650</v>
      </c>
      <c r="K65" s="154"/>
      <c r="L65" s="154" t="s">
        <v>3650</v>
      </c>
      <c r="M65" s="170" t="s">
        <v>5877</v>
      </c>
      <c r="N65" s="154" t="s">
        <v>8212</v>
      </c>
      <c r="O65" s="170" t="str">
        <f t="array" ref="O65">IFERROR(
VLOOKUP(
TRIM(CLEAN(
INDEX(REPORTE_DROPI!K:K,
MATCH(T65, REPORTE_DROPI!B:B, 0)
))),
{
TRIM(CLEAN(MAPA_ESTADOS!A:A)) ,
MAPA_ESTADOS!B:B
},
2,
FALSE
),
"REVISAR"
)</f>
        <v>CANCELADO</v>
      </c>
      <c r="P65" s="154" t="s">
        <v>8213</v>
      </c>
      <c r="Q65" s="191" t="str">
        <f t="shared" si="1"/>
        <v/>
      </c>
      <c r="R65" s="170"/>
      <c r="S65" s="170"/>
      <c r="T65" s="154">
        <f t="array" ref="T65">IFERROR(
INDEX(REPORTE_DROPI!B:B,
MATCH(
CLEAN(TRIM(C65)),
CLEAN(TRIM(REPORTE_DROPI!E:E)),
0
)
),
""
)
</f>
        <v>4677674</v>
      </c>
      <c r="U65" s="154" t="s">
        <v>8214</v>
      </c>
      <c r="V65" s="192"/>
      <c r="W65" s="192"/>
      <c r="X65" s="192"/>
      <c r="Y65" s="192"/>
      <c r="Z65" s="192"/>
    </row>
    <row r="66" ht="22.5" customHeight="1">
      <c r="A66" s="154"/>
      <c r="B66" s="170">
        <v>46083.0</v>
      </c>
      <c r="C66" s="154" t="s">
        <v>8215</v>
      </c>
      <c r="D66" s="170" t="str">
        <f>IFERROR(__xludf.DUMMYFUNCTION("""COMPUTED_VALUE"""),"FreeBeat Adapter")</f>
        <v>FreeBeat Adapter</v>
      </c>
      <c r="E66" s="188" t="s">
        <v>3650</v>
      </c>
      <c r="F66" s="189">
        <v>2.0</v>
      </c>
      <c r="G66" s="190" t="s">
        <v>3650</v>
      </c>
      <c r="H66" s="154" t="s">
        <v>3727</v>
      </c>
      <c r="I66" s="154" t="s">
        <v>3778</v>
      </c>
      <c r="J66" s="189" t="s">
        <v>3650</v>
      </c>
      <c r="K66" s="154"/>
      <c r="L66" s="154" t="s">
        <v>3650</v>
      </c>
      <c r="M66" s="170" t="s">
        <v>5877</v>
      </c>
      <c r="N66" s="154" t="s">
        <v>8216</v>
      </c>
      <c r="O66" s="170" t="str">
        <f t="array" ref="O66">IFERROR(
VLOOKUP(
TRIM(CLEAN(
INDEX(REPORTE_DROPI!K:K,
MATCH(T66, REPORTE_DROPI!B:B, 0)
))),
{
TRIM(CLEAN(MAPA_ESTADOS!A:A)) ,
MAPA_ESTADOS!B:B
},
2,
FALSE
),
"REVISAR"
)</f>
        <v>PENDIENTE</v>
      </c>
      <c r="P66" s="154" t="s">
        <v>6568</v>
      </c>
      <c r="Q66" s="191" t="str">
        <f t="shared" si="1"/>
        <v/>
      </c>
      <c r="R66" s="170"/>
      <c r="S66" s="170"/>
      <c r="T66" s="154">
        <f t="array" ref="T66">IFERROR(
INDEX(REPORTE_DROPI!B:B,
MATCH(
CLEAN(TRIM(C66)),
CLEAN(TRIM(REPORTE_DROPI!E:E)),
0
)
),
""
)
</f>
        <v>4677782</v>
      </c>
      <c r="U66" s="154" t="s">
        <v>8217</v>
      </c>
      <c r="V66" s="192"/>
      <c r="W66" s="192"/>
      <c r="X66" s="192"/>
      <c r="Y66" s="192"/>
      <c r="Z66" s="192"/>
    </row>
    <row r="67" ht="22.5" customHeight="1">
      <c r="A67" s="154"/>
      <c r="B67" s="170">
        <v>46083.0</v>
      </c>
      <c r="C67" s="154" t="s">
        <v>8218</v>
      </c>
      <c r="D67" s="170" t="str">
        <f>IFERROR(__xludf.DUMMYFUNCTION("""COMPUTED_VALUE"""),"Cuchillo Tazaki™")</f>
        <v>Cuchillo Tazaki™</v>
      </c>
      <c r="E67" s="188" t="s">
        <v>3650</v>
      </c>
      <c r="F67" s="189">
        <v>3.0</v>
      </c>
      <c r="G67" s="190" t="s">
        <v>3650</v>
      </c>
      <c r="H67" s="154" t="s">
        <v>3727</v>
      </c>
      <c r="I67" s="154" t="s">
        <v>3740</v>
      </c>
      <c r="J67" s="189" t="s">
        <v>3650</v>
      </c>
      <c r="K67" s="154"/>
      <c r="L67" s="154" t="s">
        <v>3650</v>
      </c>
      <c r="M67" s="170" t="s">
        <v>5877</v>
      </c>
      <c r="N67" s="154" t="s">
        <v>8219</v>
      </c>
      <c r="O67" s="170" t="str">
        <f t="array" ref="O67">IFERROR(
VLOOKUP(
TRIM(CLEAN(
INDEX(REPORTE_DROPI!K:K,
MATCH(T67, REPORTE_DROPI!B:B, 0)
))),
{
TRIM(CLEAN(MAPA_ESTADOS!A:A)) ,
MAPA_ESTADOS!B:B
},
2,
FALSE
),
"REVISAR"
)</f>
        <v>PENDIENTE</v>
      </c>
      <c r="P67" s="154" t="s">
        <v>6568</v>
      </c>
      <c r="Q67" s="191" t="str">
        <f t="shared" si="1"/>
        <v/>
      </c>
      <c r="R67" s="170"/>
      <c r="S67" s="170"/>
      <c r="T67" s="154">
        <f t="array" ref="T67">IFERROR(
INDEX(REPORTE_DROPI!B:B,
MATCH(
CLEAN(TRIM(C67)),
CLEAN(TRIM(REPORTE_DROPI!E:E)),
0
)
),
""
)
</f>
        <v>4677799</v>
      </c>
      <c r="U67" s="154" t="s">
        <v>8220</v>
      </c>
      <c r="V67" s="192"/>
      <c r="W67" s="192"/>
      <c r="X67" s="192"/>
      <c r="Y67" s="192"/>
      <c r="Z67" s="192"/>
    </row>
    <row r="68" ht="22.5" customHeight="1">
      <c r="A68" s="154"/>
      <c r="B68" s="170">
        <v>46084.0</v>
      </c>
      <c r="C68" s="154" t="s">
        <v>8221</v>
      </c>
      <c r="D68" s="170" t="str">
        <f>IFERROR(__xludf.DUMMYFUNCTION("""COMPUTED_VALUE"""),"FilmPro®")</f>
        <v>FilmPro®</v>
      </c>
      <c r="E68" s="188" t="s">
        <v>3650</v>
      </c>
      <c r="F68" s="189">
        <v>1.0</v>
      </c>
      <c r="G68" s="190" t="s">
        <v>3650</v>
      </c>
      <c r="H68" s="154" t="s">
        <v>3727</v>
      </c>
      <c r="I68" s="154" t="s">
        <v>3778</v>
      </c>
      <c r="J68" s="189" t="s">
        <v>3650</v>
      </c>
      <c r="K68" s="154"/>
      <c r="L68" s="154" t="s">
        <v>3650</v>
      </c>
      <c r="M68" s="170" t="s">
        <v>5877</v>
      </c>
      <c r="N68" s="154" t="s">
        <v>8222</v>
      </c>
      <c r="O68" s="170" t="str">
        <f t="array" ref="O68">IFERROR(
VLOOKUP(
TRIM(CLEAN(
INDEX(REPORTE_DROPI!K:K,
MATCH(T68, REPORTE_DROPI!B:B, 0)
))),
{
TRIM(CLEAN(MAPA_ESTADOS!A:A)) ,
MAPA_ESTADOS!B:B
},
2,
FALSE
),
"REVISAR"
)</f>
        <v>CANCELADO</v>
      </c>
      <c r="P68" s="154" t="s">
        <v>8223</v>
      </c>
      <c r="Q68" s="191" t="str">
        <f t="shared" si="1"/>
        <v/>
      </c>
      <c r="R68" s="170"/>
      <c r="S68" s="170"/>
      <c r="T68" s="154">
        <f t="array" ref="T68">IFERROR(
INDEX(REPORTE_DROPI!B:B,
MATCH(
CLEAN(TRIM(C68)),
CLEAN(TRIM(REPORTE_DROPI!E:E)),
0
)
),
""
)
</f>
        <v>4680356</v>
      </c>
      <c r="U68" s="154" t="s">
        <v>8224</v>
      </c>
      <c r="V68" s="192"/>
      <c r="W68" s="192"/>
      <c r="X68" s="192"/>
      <c r="Y68" s="192"/>
      <c r="Z68" s="192"/>
    </row>
    <row r="69" ht="22.5" customHeight="1">
      <c r="A69" s="154"/>
      <c r="B69" s="170">
        <v>46084.0</v>
      </c>
      <c r="C69" s="154" t="s">
        <v>8225</v>
      </c>
      <c r="D69" s="170" t="str">
        <f>IFERROR(__xludf.DUMMYFUNCTION("""COMPUTED_VALUE"""),"FilmPro®")</f>
        <v>FilmPro®</v>
      </c>
      <c r="E69" s="188">
        <v>4.7</v>
      </c>
      <c r="F69" s="189">
        <v>2.0</v>
      </c>
      <c r="G69" s="190">
        <v>25.0</v>
      </c>
      <c r="H69" s="154" t="s">
        <v>3727</v>
      </c>
      <c r="I69" s="154" t="s">
        <v>3804</v>
      </c>
      <c r="J69" s="189">
        <v>7.19</v>
      </c>
      <c r="K69" s="154">
        <v>13.11</v>
      </c>
      <c r="L69" s="154" t="s">
        <v>3650</v>
      </c>
      <c r="M69" s="170" t="s">
        <v>5877</v>
      </c>
      <c r="N69" s="154" t="s">
        <v>8226</v>
      </c>
      <c r="O69" s="170" t="str">
        <f t="array" ref="O69">IFERROR(
VLOOKUP(
TRIM(CLEAN(
INDEX(REPORTE_DROPI!K:K,
MATCH(T69, REPORTE_DROPI!B:B, 0)
))),
{
TRIM(CLEAN(MAPA_ESTADOS!A:A)) ,
MAPA_ESTADOS!B:B
},
2,
FALSE
),
"REVISAR"
)</f>
        <v>ENTREGADO</v>
      </c>
      <c r="P69" s="154" t="s">
        <v>5692</v>
      </c>
      <c r="Q69" s="191" t="str">
        <f t="shared" si="1"/>
        <v/>
      </c>
      <c r="R69" s="170"/>
      <c r="S69" s="170"/>
      <c r="T69" s="154">
        <f t="array" ref="T69">IFERROR(
INDEX(REPORTE_DROPI!B:B,
MATCH(
CLEAN(TRIM(C69)),
CLEAN(TRIM(REPORTE_DROPI!E:E)),
0
)
),
""
)
</f>
        <v>4680498</v>
      </c>
      <c r="U69" s="154" t="s">
        <v>8227</v>
      </c>
      <c r="V69" s="192"/>
      <c r="W69" s="192"/>
      <c r="X69" s="192"/>
      <c r="Y69" s="192"/>
      <c r="Z69" s="192"/>
    </row>
    <row r="70" ht="22.5" customHeight="1">
      <c r="A70" s="154"/>
      <c r="B70" s="170">
        <v>46084.0</v>
      </c>
      <c r="C70" s="154" t="s">
        <v>8228</v>
      </c>
      <c r="D70" s="170" t="str">
        <f>IFERROR(__xludf.DUMMYFUNCTION("""COMPUTED_VALUE"""),"FreeBeat Adapter")</f>
        <v>FreeBeat Adapter</v>
      </c>
      <c r="E70" s="188" t="s">
        <v>3650</v>
      </c>
      <c r="F70" s="189">
        <v>2.0</v>
      </c>
      <c r="G70" s="190" t="s">
        <v>3650</v>
      </c>
      <c r="H70" s="154" t="s">
        <v>3727</v>
      </c>
      <c r="I70" s="154" t="s">
        <v>3912</v>
      </c>
      <c r="J70" s="189" t="s">
        <v>3650</v>
      </c>
      <c r="K70" s="154"/>
      <c r="L70" s="154" t="s">
        <v>3650</v>
      </c>
      <c r="M70" s="170" t="s">
        <v>5877</v>
      </c>
      <c r="N70" s="154" t="s">
        <v>8229</v>
      </c>
      <c r="O70" s="170" t="str">
        <f t="array" ref="O70">IFERROR(
VLOOKUP(
TRIM(CLEAN(
INDEX(REPORTE_DROPI!K:K,
MATCH(T70, REPORTE_DROPI!B:B, 0)
))),
{
TRIM(CLEAN(MAPA_ESTADOS!A:A)) ,
MAPA_ESTADOS!B:B
},
2,
FALSE
),
"REVISAR"
)</f>
        <v>PENDIENTE</v>
      </c>
      <c r="P70" s="154" t="s">
        <v>8230</v>
      </c>
      <c r="Q70" s="191" t="str">
        <f t="shared" si="1"/>
        <v/>
      </c>
      <c r="R70" s="170"/>
      <c r="S70" s="170"/>
      <c r="T70" s="154">
        <f t="array" ref="T70">IFERROR(
INDEX(REPORTE_DROPI!B:B,
MATCH(
CLEAN(TRIM(C70)),
CLEAN(TRIM(REPORTE_DROPI!E:E)),
0
)
),
""
)
</f>
        <v>4680837</v>
      </c>
      <c r="U70" s="154" t="s">
        <v>8231</v>
      </c>
      <c r="V70" s="192"/>
      <c r="W70" s="192"/>
      <c r="X70" s="192"/>
      <c r="Y70" s="192"/>
      <c r="Z70" s="192"/>
    </row>
    <row r="71" ht="22.5" customHeight="1">
      <c r="A71" s="195"/>
      <c r="B71" s="196">
        <v>46086.0</v>
      </c>
      <c r="C71" s="195" t="s">
        <v>8232</v>
      </c>
      <c r="D71" s="195" t="str">
        <f>IFERROR(__xludf.DUMMYFUNCTION("""COMPUTED_VALUE"""),"FilmPro®")</f>
        <v>FilmPro®</v>
      </c>
      <c r="E71" s="197">
        <v>7.05</v>
      </c>
      <c r="F71" s="198">
        <v>3.0</v>
      </c>
      <c r="G71" s="199">
        <v>30.0</v>
      </c>
      <c r="H71" s="195" t="s">
        <v>3727</v>
      </c>
      <c r="I71" s="195" t="s">
        <v>8233</v>
      </c>
      <c r="J71" s="198">
        <v>6.16</v>
      </c>
      <c r="K71" s="195">
        <v>16.79</v>
      </c>
      <c r="L71" s="195" t="s">
        <v>3650</v>
      </c>
      <c r="M71" s="196" t="s">
        <v>5877</v>
      </c>
      <c r="N71" s="195" t="s">
        <v>8234</v>
      </c>
      <c r="O71" s="196" t="str">
        <f t="array" ref="O71">IFERROR(
VLOOKUP(
TRIM(CLEAN(
INDEX(REPORTE_DROPI!K:K,
MATCH(T71, REPORTE_DROPI!B:B, 0)
))),
{
TRIM(CLEAN(MAPA_ESTADOS!A:A)) ,
MAPA_ESTADOS!B:B
},
2,
FALSE
),
"REVISAR"
)</f>
        <v>ENTREGADO</v>
      </c>
      <c r="P71" s="195" t="s">
        <v>8235</v>
      </c>
      <c r="Q71" s="200" t="str">
        <f t="shared" si="1"/>
        <v/>
      </c>
      <c r="R71" s="196"/>
      <c r="S71" s="196"/>
      <c r="T71" s="195">
        <f t="array" ref="T71">IFERROR(
INDEX(REPORTE_DROPI!B:B,
MATCH(
CLEAN(TRIM(C71)),
CLEAN(TRIM(REPORTE_DROPI!E:E)),
0
)
),
""
)
</f>
        <v>4706266</v>
      </c>
      <c r="U71" s="195" t="s">
        <v>8236</v>
      </c>
      <c r="V71" s="201"/>
      <c r="W71" s="201"/>
      <c r="X71" s="201"/>
      <c r="Y71" s="201"/>
      <c r="Z71" s="201"/>
    </row>
    <row r="72" ht="22.5" customHeight="1">
      <c r="A72" s="154"/>
      <c r="B72" s="170">
        <v>46086.0</v>
      </c>
      <c r="C72" s="154" t="s">
        <v>8237</v>
      </c>
      <c r="D72" s="154" t="str">
        <f>IFERROR(__xludf.DUMMYFUNCTION("""COMPUTED_VALUE"""),"FreeBeat Adapter")</f>
        <v>FreeBeat Adapter</v>
      </c>
      <c r="E72" s="188" t="s">
        <v>3650</v>
      </c>
      <c r="F72" s="189">
        <v>2.0</v>
      </c>
      <c r="G72" s="190" t="s">
        <v>3650</v>
      </c>
      <c r="H72" s="154" t="s">
        <v>3727</v>
      </c>
      <c r="I72" s="154" t="s">
        <v>8238</v>
      </c>
      <c r="J72" s="189" t="s">
        <v>3650</v>
      </c>
      <c r="K72" s="154"/>
      <c r="L72" s="154" t="s">
        <v>3650</v>
      </c>
      <c r="M72" s="170" t="s">
        <v>5877</v>
      </c>
      <c r="N72" s="154" t="s">
        <v>8239</v>
      </c>
      <c r="O72" s="170" t="str">
        <f t="array" ref="O72">IFERROR(
VLOOKUP(
TRIM(CLEAN(
INDEX(REPORTE_DROPI!K:K,
MATCH(T72, REPORTE_DROPI!B:B, 0)
))),
{
TRIM(CLEAN(MAPA_ESTADOS!A:A)) ,
MAPA_ESTADOS!B:B
},
2,
FALSE
),
"REVISAR"
)</f>
        <v>PENDIENTE</v>
      </c>
      <c r="P72" s="202" t="s">
        <v>8240</v>
      </c>
      <c r="Q72" s="191" t="str">
        <f t="shared" si="1"/>
        <v/>
      </c>
      <c r="R72" s="170"/>
      <c r="S72" s="170"/>
      <c r="T72" s="154">
        <f t="array" ref="T72">IFERROR(
INDEX(REPORTE_DROPI!B:B,
MATCH(
CLEAN(TRIM(C72)),
CLEAN(TRIM(REPORTE_DROPI!E:E)),
0
)
),
""
)
</f>
        <v>4707881</v>
      </c>
      <c r="U72" s="154" t="s">
        <v>8241</v>
      </c>
      <c r="V72" s="192"/>
      <c r="W72" s="192"/>
      <c r="X72" s="192"/>
      <c r="Y72" s="192"/>
      <c r="Z72" s="192"/>
    </row>
    <row r="73" ht="22.5" customHeight="1">
      <c r="A73" s="154"/>
      <c r="B73" s="170">
        <v>46086.0</v>
      </c>
      <c r="C73" s="154" t="s">
        <v>8242</v>
      </c>
      <c r="D73" s="154" t="str">
        <f>IFERROR(__xludf.DUMMYFUNCTION("""COMPUTED_VALUE"""),"FilmPro®")</f>
        <v>FilmPro®</v>
      </c>
      <c r="E73" s="188">
        <v>2.35</v>
      </c>
      <c r="F73" s="189">
        <v>1.0</v>
      </c>
      <c r="G73" s="190">
        <v>20.0</v>
      </c>
      <c r="H73" s="154" t="s">
        <v>3727</v>
      </c>
      <c r="I73" s="154" t="s">
        <v>8243</v>
      </c>
      <c r="J73" s="189">
        <v>6.68</v>
      </c>
      <c r="K73" s="154">
        <v>10.97</v>
      </c>
      <c r="L73" s="154" t="s">
        <v>3650</v>
      </c>
      <c r="M73" s="170" t="s">
        <v>5877</v>
      </c>
      <c r="N73" s="154" t="s">
        <v>8244</v>
      </c>
      <c r="O73" s="170" t="str">
        <f t="array" ref="O73">IFERROR(
VLOOKUP(
TRIM(CLEAN(
INDEX(REPORTE_DROPI!K:K,
MATCH(T73, REPORTE_DROPI!B:B, 0)
))),
{
TRIM(CLEAN(MAPA_ESTADOS!A:A)) ,
MAPA_ESTADOS!B:B
},
2,
FALSE
),
"REVISAR"
)</f>
        <v>ENTREGADO</v>
      </c>
      <c r="P73" s="154" t="s">
        <v>8147</v>
      </c>
      <c r="Q73" s="191" t="str">
        <f t="shared" si="1"/>
        <v/>
      </c>
      <c r="R73" s="170"/>
      <c r="S73" s="170"/>
      <c r="T73" s="154">
        <f t="array" ref="T73">IFERROR(
INDEX(REPORTE_DROPI!B:B,
MATCH(
CLEAN(TRIM(C73)),
CLEAN(TRIM(REPORTE_DROPI!E:E)),
0
)
),
""
)
</f>
        <v>4708455</v>
      </c>
      <c r="U73" s="154" t="s">
        <v>8245</v>
      </c>
      <c r="V73" s="192"/>
      <c r="W73" s="192"/>
      <c r="X73" s="192"/>
      <c r="Y73" s="192"/>
      <c r="Z73" s="192"/>
    </row>
    <row r="74" ht="22.5" customHeight="1">
      <c r="A74" s="154"/>
      <c r="B74" s="170">
        <v>46086.0</v>
      </c>
      <c r="C74" s="154" t="s">
        <v>8246</v>
      </c>
      <c r="D74" s="154" t="str">
        <f>IFERROR(__xludf.DUMMYFUNCTION("""COMPUTED_VALUE"""),"FilmPro®")</f>
        <v>FilmPro®</v>
      </c>
      <c r="E74" s="188">
        <v>2.35</v>
      </c>
      <c r="F74" s="189">
        <v>1.0</v>
      </c>
      <c r="G74" s="190">
        <v>20.0</v>
      </c>
      <c r="H74" s="154" t="s">
        <v>3727</v>
      </c>
      <c r="I74" s="154" t="s">
        <v>8247</v>
      </c>
      <c r="J74" s="189">
        <v>4.15</v>
      </c>
      <c r="K74" s="154">
        <v>13.5</v>
      </c>
      <c r="L74" s="154" t="s">
        <v>3650</v>
      </c>
      <c r="M74" s="170" t="s">
        <v>5877</v>
      </c>
      <c r="N74" s="154" t="s">
        <v>8248</v>
      </c>
      <c r="O74" s="170" t="str">
        <f t="array" ref="O74">IFERROR(
VLOOKUP(
TRIM(CLEAN(
INDEX(REPORTE_DROPI!K:K,
MATCH(T74, REPORTE_DROPI!B:B, 0)
))),
{
TRIM(CLEAN(MAPA_ESTADOS!A:A)) ,
MAPA_ESTADOS!B:B
},
2,
FALSE
),
"REVISAR"
)</f>
        <v>ENTREGADO</v>
      </c>
      <c r="P74" s="154" t="s">
        <v>5692</v>
      </c>
      <c r="Q74" s="191" t="str">
        <f t="shared" si="1"/>
        <v/>
      </c>
      <c r="R74" s="170"/>
      <c r="S74" s="170"/>
      <c r="T74" s="154">
        <f t="array" ref="T74">IFERROR(
INDEX(REPORTE_DROPI!B:B,
MATCH(
CLEAN(TRIM(C74)),
CLEAN(TRIM(REPORTE_DROPI!E:E)),
0
)
),
""
)
</f>
        <v>4708600</v>
      </c>
      <c r="U74" s="154" t="s">
        <v>8249</v>
      </c>
      <c r="V74" s="192"/>
      <c r="W74" s="192"/>
      <c r="X74" s="192"/>
      <c r="Y74" s="192"/>
      <c r="Z74" s="192"/>
    </row>
    <row r="75" ht="22.5" customHeight="1">
      <c r="A75" s="154"/>
      <c r="B75" s="170">
        <v>46086.0</v>
      </c>
      <c r="C75" s="154" t="s">
        <v>8250</v>
      </c>
      <c r="D75" s="154" t="str">
        <f>IFERROR(__xludf.DUMMYFUNCTION("""COMPUTED_VALUE"""),"FilmPro®")</f>
        <v>FilmPro®</v>
      </c>
      <c r="E75" s="188">
        <v>2.35</v>
      </c>
      <c r="F75" s="189">
        <v>1.0</v>
      </c>
      <c r="G75" s="190">
        <v>20.0</v>
      </c>
      <c r="H75" s="154" t="s">
        <v>3727</v>
      </c>
      <c r="I75" s="154" t="s">
        <v>8251</v>
      </c>
      <c r="J75" s="189">
        <v>5.76</v>
      </c>
      <c r="K75" s="154">
        <v>11.89</v>
      </c>
      <c r="L75" s="154" t="s">
        <v>3650</v>
      </c>
      <c r="M75" s="170" t="s">
        <v>5877</v>
      </c>
      <c r="N75" s="154" t="s">
        <v>8252</v>
      </c>
      <c r="O75" s="170" t="str">
        <f t="array" ref="O75">IFERROR(
VLOOKUP(
TRIM(CLEAN(
INDEX(REPORTE_DROPI!K:K,
MATCH(T75, REPORTE_DROPI!B:B, 0)
))),
{
TRIM(CLEAN(MAPA_ESTADOS!A:A)) ,
MAPA_ESTADOS!B:B
},
2,
FALSE
),
"REVISAR"
)</f>
        <v>ENTREGADO</v>
      </c>
      <c r="P75" s="154" t="s">
        <v>8147</v>
      </c>
      <c r="Q75" s="191" t="str">
        <f t="shared" si="1"/>
        <v/>
      </c>
      <c r="R75" s="170"/>
      <c r="S75" s="170"/>
      <c r="T75" s="154">
        <f t="array" ref="T75">IFERROR(
INDEX(REPORTE_DROPI!B:B,
MATCH(
CLEAN(TRIM(C75)),
CLEAN(TRIM(REPORTE_DROPI!E:E)),
0
)
),
""
)
</f>
        <v>4708831</v>
      </c>
      <c r="U75" s="154" t="s">
        <v>8253</v>
      </c>
      <c r="V75" s="192"/>
      <c r="W75" s="192"/>
      <c r="X75" s="192"/>
      <c r="Y75" s="192"/>
      <c r="Z75" s="192"/>
    </row>
    <row r="76" ht="22.5" customHeight="1">
      <c r="A76" s="154"/>
      <c r="B76" s="170">
        <v>46086.0</v>
      </c>
      <c r="C76" s="154" t="s">
        <v>8254</v>
      </c>
      <c r="D76" s="154" t="str">
        <f>IFERROR(__xludf.DUMMYFUNCTION("""COMPUTED_VALUE"""),"FilmPro®")</f>
        <v>FilmPro®</v>
      </c>
      <c r="E76" s="188">
        <v>4.7</v>
      </c>
      <c r="F76" s="189">
        <v>2.0</v>
      </c>
      <c r="G76" s="190">
        <v>25.0</v>
      </c>
      <c r="H76" s="154" t="s">
        <v>3727</v>
      </c>
      <c r="I76" s="154" t="s">
        <v>8255</v>
      </c>
      <c r="J76" s="189">
        <v>7.75</v>
      </c>
      <c r="K76" s="154">
        <v>12.55</v>
      </c>
      <c r="L76" s="154" t="s">
        <v>3650</v>
      </c>
      <c r="M76" s="170" t="s">
        <v>5877</v>
      </c>
      <c r="N76" s="154" t="s">
        <v>8256</v>
      </c>
      <c r="O76" s="170" t="str">
        <f t="array" ref="O76">IFERROR(
VLOOKUP(
TRIM(CLEAN(
INDEX(REPORTE_DROPI!K:K,
MATCH(T76, REPORTE_DROPI!B:B, 0)
))),
{
TRIM(CLEAN(MAPA_ESTADOS!A:A)) ,
MAPA_ESTADOS!B:B
},
2,
FALSE
),
"REVISAR"
)</f>
        <v>ENTREGADO</v>
      </c>
      <c r="P76" s="154" t="s">
        <v>8147</v>
      </c>
      <c r="Q76" s="191" t="str">
        <f t="shared" si="1"/>
        <v/>
      </c>
      <c r="R76" s="170"/>
      <c r="S76" s="170"/>
      <c r="T76" s="154">
        <f t="array" ref="T76">IFERROR(
INDEX(REPORTE_DROPI!B:B,
MATCH(
CLEAN(TRIM(C76)),
CLEAN(TRIM(REPORTE_DROPI!E:E)),
0
)
),
""
)
</f>
        <v>4709186</v>
      </c>
      <c r="U76" s="154" t="s">
        <v>8257</v>
      </c>
      <c r="V76" s="192"/>
      <c r="W76" s="192"/>
      <c r="X76" s="192"/>
      <c r="Y76" s="192"/>
      <c r="Z76" s="192"/>
    </row>
    <row r="77" ht="22.5" customHeight="1">
      <c r="A77" s="154"/>
      <c r="B77" s="170">
        <v>46086.0</v>
      </c>
      <c r="C77" s="154" t="s">
        <v>8258</v>
      </c>
      <c r="D77" s="154" t="str">
        <f>IFERROR(__xludf.DUMMYFUNCTION("""COMPUTED_VALUE"""),"FilmPro®")</f>
        <v>FilmPro®</v>
      </c>
      <c r="E77" s="188">
        <v>4.7</v>
      </c>
      <c r="F77" s="189">
        <v>2.0</v>
      </c>
      <c r="G77" s="190">
        <v>25.0</v>
      </c>
      <c r="H77" s="154" t="s">
        <v>3727</v>
      </c>
      <c r="I77" s="154" t="s">
        <v>8233</v>
      </c>
      <c r="J77" s="189">
        <v>5.96</v>
      </c>
      <c r="K77" s="154">
        <v>14.34</v>
      </c>
      <c r="L77" s="154" t="s">
        <v>3650</v>
      </c>
      <c r="M77" s="170" t="s">
        <v>5877</v>
      </c>
      <c r="N77" s="154" t="s">
        <v>8259</v>
      </c>
      <c r="O77" s="170" t="str">
        <f t="array" ref="O77">IFERROR(
VLOOKUP(
TRIM(CLEAN(
INDEX(REPORTE_DROPI!K:K,
MATCH(T77, REPORTE_DROPI!B:B, 0)
))),
{
TRIM(CLEAN(MAPA_ESTADOS!A:A)) ,
MAPA_ESTADOS!B:B
},
2,
FALSE
),
"REVISAR"
)</f>
        <v>ENTREGADO</v>
      </c>
      <c r="P77" s="154" t="s">
        <v>3655</v>
      </c>
      <c r="Q77" s="191" t="str">
        <f t="shared" si="1"/>
        <v/>
      </c>
      <c r="R77" s="170"/>
      <c r="S77" s="170"/>
      <c r="T77" s="154">
        <f t="array" ref="T77">IFERROR(
INDEX(REPORTE_DROPI!B:B,
MATCH(
CLEAN(TRIM(C77)),
CLEAN(TRIM(REPORTE_DROPI!E:E)),
0
)
),
""
)
</f>
        <v>4709445</v>
      </c>
      <c r="U77" s="154" t="s">
        <v>8260</v>
      </c>
      <c r="V77" s="192"/>
      <c r="W77" s="192"/>
      <c r="X77" s="192"/>
      <c r="Y77" s="192"/>
      <c r="Z77" s="192"/>
    </row>
    <row r="78" ht="22.5" customHeight="1">
      <c r="A78" s="154"/>
      <c r="B78" s="170">
        <v>46086.0</v>
      </c>
      <c r="C78" s="154" t="s">
        <v>8261</v>
      </c>
      <c r="D78" s="154" t="str">
        <f>IFERROR(__xludf.DUMMYFUNCTION("""COMPUTED_VALUE"""),"FilmPro®")</f>
        <v>FilmPro®</v>
      </c>
      <c r="E78" s="188">
        <v>7.05</v>
      </c>
      <c r="F78" s="189">
        <v>3.0</v>
      </c>
      <c r="G78" s="190">
        <v>30.0</v>
      </c>
      <c r="H78" s="154" t="s">
        <v>3727</v>
      </c>
      <c r="I78" s="154" t="s">
        <v>8243</v>
      </c>
      <c r="J78" s="189">
        <v>6.16</v>
      </c>
      <c r="K78" s="154">
        <v>16.79</v>
      </c>
      <c r="L78" s="154" t="s">
        <v>3650</v>
      </c>
      <c r="M78" s="170" t="s">
        <v>5877</v>
      </c>
      <c r="N78" s="154" t="s">
        <v>8262</v>
      </c>
      <c r="O78" s="170" t="str">
        <f t="array" ref="O78">IFERROR(
VLOOKUP(
TRIM(CLEAN(
INDEX(REPORTE_DROPI!K:K,
MATCH(T78, REPORTE_DROPI!B:B, 0)
))),
{
TRIM(CLEAN(MAPA_ESTADOS!A:A)) ,
MAPA_ESTADOS!B:B
},
2,
FALSE
),
"REVISAR"
)</f>
        <v>ENTREGADO</v>
      </c>
      <c r="P78" s="154" t="s">
        <v>8147</v>
      </c>
      <c r="Q78" s="191" t="str">
        <f t="shared" si="1"/>
        <v/>
      </c>
      <c r="R78" s="170"/>
      <c r="S78" s="170"/>
      <c r="T78" s="154">
        <f t="array" ref="T78">IFERROR(
INDEX(REPORTE_DROPI!B:B,
MATCH(
CLEAN(TRIM(C78)),
CLEAN(TRIM(REPORTE_DROPI!E:E)),
0
)
),
""
)
</f>
        <v>4709501</v>
      </c>
      <c r="U78" s="154" t="s">
        <v>8263</v>
      </c>
      <c r="V78" s="192"/>
      <c r="W78" s="192"/>
      <c r="X78" s="192"/>
      <c r="Y78" s="192"/>
      <c r="Z78" s="192"/>
    </row>
    <row r="79" ht="22.5" customHeight="1">
      <c r="A79" s="154"/>
      <c r="B79" s="170">
        <v>46086.0</v>
      </c>
      <c r="C79" s="154" t="s">
        <v>8264</v>
      </c>
      <c r="D79" s="154" t="str">
        <f>IFERROR(__xludf.DUMMYFUNCTION("""COMPUTED_VALUE"""),"FilmPro®")</f>
        <v>FilmPro®</v>
      </c>
      <c r="E79" s="188" t="s">
        <v>3650</v>
      </c>
      <c r="F79" s="189">
        <v>1.0</v>
      </c>
      <c r="G79" s="190" t="s">
        <v>3650</v>
      </c>
      <c r="H79" s="154" t="s">
        <v>3727</v>
      </c>
      <c r="I79" s="154" t="s">
        <v>8265</v>
      </c>
      <c r="J79" s="189" t="s">
        <v>3650</v>
      </c>
      <c r="K79" s="154"/>
      <c r="L79" s="154" t="s">
        <v>3650</v>
      </c>
      <c r="M79" s="170" t="s">
        <v>5877</v>
      </c>
      <c r="N79" s="154" t="s">
        <v>8266</v>
      </c>
      <c r="O79" s="170" t="str">
        <f t="array" ref="O79">IFERROR(
VLOOKUP(
TRIM(CLEAN(
INDEX(REPORTE_DROPI!K:K,
MATCH(T79, REPORTE_DROPI!B:B, 0)
))),
{
TRIM(CLEAN(MAPA_ESTADOS!A:A)) ,
MAPA_ESTADOS!B:B
},
2,
FALSE
),
"REVISAR"
)</f>
        <v>PENDIENTE</v>
      </c>
      <c r="P79" s="202" t="s">
        <v>8240</v>
      </c>
      <c r="Q79" s="191" t="str">
        <f t="shared" si="1"/>
        <v/>
      </c>
      <c r="R79" s="170"/>
      <c r="S79" s="170"/>
      <c r="T79" s="154">
        <f t="array" ref="T79">IFERROR(
INDEX(REPORTE_DROPI!B:B,
MATCH(
CLEAN(TRIM(C79)),
CLEAN(TRIM(REPORTE_DROPI!E:E)),
0
)
),
""
)
</f>
        <v>4717166</v>
      </c>
      <c r="U79" s="154" t="s">
        <v>8267</v>
      </c>
      <c r="V79" s="192"/>
      <c r="W79" s="192"/>
      <c r="X79" s="192"/>
      <c r="Y79" s="192"/>
      <c r="Z79" s="192"/>
    </row>
    <row r="80" ht="22.5" customHeight="1">
      <c r="A80" s="154"/>
      <c r="B80" s="170">
        <v>46086.0</v>
      </c>
      <c r="C80" s="154" t="s">
        <v>8268</v>
      </c>
      <c r="D80" s="154" t="str">
        <f>IFERROR(__xludf.DUMMYFUNCTION("""COMPUTED_VALUE"""),"FilmPro®")</f>
        <v>FilmPro®</v>
      </c>
      <c r="E80" s="188" t="s">
        <v>3650</v>
      </c>
      <c r="F80" s="189">
        <v>1.0</v>
      </c>
      <c r="G80" s="190" t="s">
        <v>3650</v>
      </c>
      <c r="H80" s="154" t="s">
        <v>3727</v>
      </c>
      <c r="I80" s="154" t="s">
        <v>3740</v>
      </c>
      <c r="J80" s="189" t="s">
        <v>3650</v>
      </c>
      <c r="K80" s="154"/>
      <c r="L80" s="154">
        <v>0.0</v>
      </c>
      <c r="M80" s="170" t="s">
        <v>5877</v>
      </c>
      <c r="N80" s="154" t="s">
        <v>8269</v>
      </c>
      <c r="O80" s="170" t="str">
        <f t="array" ref="O80">IFERROR(
VLOOKUP(
TRIM(CLEAN(
INDEX(REPORTE_DROPI!K:K,
MATCH(T80, REPORTE_DROPI!B:B, 0)
))),
{
TRIM(CLEAN(MAPA_ESTADOS!A:A)) ,
MAPA_ESTADOS!B:B
},
2,
FALSE
),
"REVISAR"
)</f>
        <v>DEVOLUCION</v>
      </c>
      <c r="P80" s="154" t="s">
        <v>8270</v>
      </c>
      <c r="Q80" s="191" t="str">
        <f t="shared" si="1"/>
        <v/>
      </c>
      <c r="R80" s="170"/>
      <c r="S80" s="170"/>
      <c r="T80" s="154">
        <f t="array" ref="T80">IFERROR(
INDEX(REPORTE_DROPI!B:B,
MATCH(
CLEAN(TRIM(C80)),
CLEAN(TRIM(REPORTE_DROPI!E:E)),
0
)
),
""
)
</f>
        <v>4711538</v>
      </c>
      <c r="U80" s="154" t="s">
        <v>8271</v>
      </c>
      <c r="V80" s="192"/>
      <c r="W80" s="192"/>
      <c r="X80" s="192"/>
      <c r="Y80" s="192"/>
      <c r="Z80" s="192"/>
    </row>
    <row r="81" ht="22.5" customHeight="1">
      <c r="A81" s="154"/>
      <c r="B81" s="170">
        <v>46086.0</v>
      </c>
      <c r="C81" s="154" t="s">
        <v>8272</v>
      </c>
      <c r="D81" s="154" t="str">
        <f>IFERROR(__xludf.DUMMYFUNCTION("""COMPUTED_VALUE"""),"FreeBeat Adapter")</f>
        <v>FreeBeat Adapter</v>
      </c>
      <c r="E81" s="188">
        <v>15.0</v>
      </c>
      <c r="F81" s="189">
        <v>3.0</v>
      </c>
      <c r="G81" s="190">
        <v>27.99</v>
      </c>
      <c r="H81" s="154" t="s">
        <v>3727</v>
      </c>
      <c r="I81" s="154" t="s">
        <v>3731</v>
      </c>
      <c r="J81" s="189">
        <v>5.75</v>
      </c>
      <c r="K81" s="154">
        <v>7.24</v>
      </c>
      <c r="L81" s="154" t="s">
        <v>3650</v>
      </c>
      <c r="M81" s="170" t="s">
        <v>5877</v>
      </c>
      <c r="N81" s="154" t="s">
        <v>8273</v>
      </c>
      <c r="O81" s="170" t="str">
        <f t="array" ref="O81">IFERROR(
VLOOKUP(
TRIM(CLEAN(
INDEX(REPORTE_DROPI!K:K,
MATCH(T81, REPORTE_DROPI!B:B, 0)
))),
{
TRIM(CLEAN(MAPA_ESTADOS!A:A)) ,
MAPA_ESTADOS!B:B
},
2,
FALSE
),
"REVISAR"
)</f>
        <v>ENTREGADO</v>
      </c>
      <c r="P81" s="154" t="s">
        <v>8147</v>
      </c>
      <c r="Q81" s="191" t="str">
        <f t="shared" si="1"/>
        <v/>
      </c>
      <c r="R81" s="170"/>
      <c r="S81" s="170"/>
      <c r="T81" s="154">
        <f t="array" ref="T81">IFERROR(
INDEX(REPORTE_DROPI!B:B,
MATCH(
CLEAN(TRIM(C81)),
CLEAN(TRIM(REPORTE_DROPI!E:E)),
0
)
),
""
)
</f>
        <v>4721478</v>
      </c>
      <c r="U81" s="194">
        <v>1.38185138109E11</v>
      </c>
      <c r="V81" s="192"/>
      <c r="W81" s="192"/>
      <c r="X81" s="192"/>
      <c r="Y81" s="192"/>
      <c r="Z81" s="192"/>
    </row>
    <row r="82" ht="22.5" customHeight="1">
      <c r="A82" s="154"/>
      <c r="B82" s="170">
        <v>46086.0</v>
      </c>
      <c r="C82" s="154" t="s">
        <v>8274</v>
      </c>
      <c r="D82" s="154" t="str">
        <f>IFERROR(__xludf.DUMMYFUNCTION("""COMPUTED_VALUE"""),"FreeBeat Adapter")</f>
        <v>FreeBeat Adapter</v>
      </c>
      <c r="E82" s="188">
        <v>10.0</v>
      </c>
      <c r="F82" s="189">
        <v>2.0</v>
      </c>
      <c r="G82" s="190">
        <v>22.0</v>
      </c>
      <c r="H82" s="154" t="s">
        <v>3727</v>
      </c>
      <c r="I82" s="154" t="s">
        <v>3740</v>
      </c>
      <c r="J82" s="189">
        <v>5.84</v>
      </c>
      <c r="K82" s="154">
        <v>6.16</v>
      </c>
      <c r="L82" s="154" t="s">
        <v>3650</v>
      </c>
      <c r="M82" s="170" t="s">
        <v>5877</v>
      </c>
      <c r="N82" s="154" t="s">
        <v>8275</v>
      </c>
      <c r="O82" s="170" t="str">
        <f t="array" ref="O82">IFERROR(
VLOOKUP(
TRIM(CLEAN(
INDEX(REPORTE_DROPI!K:K,
MATCH(T82, REPORTE_DROPI!B:B, 0)
))),
{
TRIM(CLEAN(MAPA_ESTADOS!A:A)) ,
MAPA_ESTADOS!B:B
},
2,
FALSE
),
"REVISAR"
)</f>
        <v>ENTREGADO</v>
      </c>
      <c r="P82" s="154" t="s">
        <v>5692</v>
      </c>
      <c r="Q82" s="191" t="str">
        <f t="shared" si="1"/>
        <v/>
      </c>
      <c r="R82" s="170"/>
      <c r="S82" s="170"/>
      <c r="T82" s="154">
        <f t="array" ref="T82">IFERROR(
INDEX(REPORTE_DROPI!B:B,
MATCH(
CLEAN(TRIM(C82)),
CLEAN(TRIM(REPORTE_DROPI!E:E)),
0
)
),
""
)
</f>
        <v>4711684</v>
      </c>
      <c r="U82" s="154" t="s">
        <v>8276</v>
      </c>
      <c r="V82" s="192"/>
      <c r="W82" s="192"/>
      <c r="X82" s="192"/>
      <c r="Y82" s="192"/>
      <c r="Z82" s="192"/>
    </row>
    <row r="83" ht="22.5" customHeight="1">
      <c r="A83" s="154"/>
      <c r="B83" s="170">
        <v>46086.0</v>
      </c>
      <c r="C83" s="154" t="s">
        <v>8277</v>
      </c>
      <c r="D83" s="154" t="str">
        <f>IFERROR(__xludf.DUMMYFUNCTION("""COMPUTED_VALUE"""),"FilmPro®")</f>
        <v>FilmPro®</v>
      </c>
      <c r="E83" s="188">
        <v>7.05</v>
      </c>
      <c r="F83" s="189">
        <v>3.0</v>
      </c>
      <c r="G83" s="190">
        <v>30.0</v>
      </c>
      <c r="H83" s="154" t="s">
        <v>3727</v>
      </c>
      <c r="I83" s="154" t="s">
        <v>8247</v>
      </c>
      <c r="J83" s="189">
        <v>4.55</v>
      </c>
      <c r="K83" s="154">
        <v>18.4</v>
      </c>
      <c r="L83" s="154" t="s">
        <v>3650</v>
      </c>
      <c r="M83" s="170" t="s">
        <v>5877</v>
      </c>
      <c r="N83" s="154" t="s">
        <v>8278</v>
      </c>
      <c r="O83" s="170" t="str">
        <f t="array" ref="O83">IFERROR(
VLOOKUP(
TRIM(CLEAN(
INDEX(REPORTE_DROPI!K:K,
MATCH(T83, REPORTE_DROPI!B:B, 0)
))),
{
TRIM(CLEAN(MAPA_ESTADOS!A:A)) ,
MAPA_ESTADOS!B:B
},
2,
FALSE
),
"REVISAR"
)</f>
        <v>ENTREGADO</v>
      </c>
      <c r="P83" s="154" t="s">
        <v>5692</v>
      </c>
      <c r="Q83" s="191" t="str">
        <f t="shared" si="1"/>
        <v/>
      </c>
      <c r="R83" s="170"/>
      <c r="S83" s="170"/>
      <c r="T83" s="154">
        <f t="array" ref="T83">IFERROR(
INDEX(REPORTE_DROPI!B:B,
MATCH(
CLEAN(TRIM(C83)),
CLEAN(TRIM(REPORTE_DROPI!E:E)),
0
)
),
""
)
</f>
        <v>4712162</v>
      </c>
      <c r="U83" s="154" t="s">
        <v>8279</v>
      </c>
      <c r="V83" s="192"/>
      <c r="W83" s="192"/>
      <c r="X83" s="192"/>
      <c r="Y83" s="192"/>
      <c r="Z83" s="192"/>
    </row>
    <row r="84" ht="22.5" customHeight="1">
      <c r="A84" s="118"/>
      <c r="B84" s="119">
        <v>46086.0</v>
      </c>
      <c r="C84" s="118" t="s">
        <v>8280</v>
      </c>
      <c r="D84" s="118" t="str">
        <f>IFERROR(__xludf.DUMMYFUNCTION("""COMPUTED_VALUE"""),"FilmPro®")</f>
        <v>FilmPro®</v>
      </c>
      <c r="E84" s="120">
        <v>7.05</v>
      </c>
      <c r="F84" s="121">
        <v>3.0</v>
      </c>
      <c r="G84" s="122">
        <v>30.0</v>
      </c>
      <c r="H84" s="154" t="s">
        <v>3727</v>
      </c>
      <c r="I84" s="118" t="s">
        <v>8281</v>
      </c>
      <c r="J84" s="121">
        <v>7.26</v>
      </c>
      <c r="K84" s="118">
        <v>15.69</v>
      </c>
      <c r="L84" s="118" t="s">
        <v>3650</v>
      </c>
      <c r="M84" s="170" t="s">
        <v>5877</v>
      </c>
      <c r="N84" s="118" t="s">
        <v>8282</v>
      </c>
      <c r="O84" s="119" t="str">
        <f t="array" ref="O84">IFERROR(
VLOOKUP(
TRIM(CLEAN(
INDEX(REPORTE_DROPI!K:K,
MATCH(T84, REPORTE_DROPI!B:B, 0)
))),
{
TRIM(CLEAN(MAPA_ESTADOS!A:A)) ,
MAPA_ESTADOS!B:B
},
2,
FALSE
),
"REVISAR"
)</f>
        <v>ENTREGADO</v>
      </c>
      <c r="P84" s="118" t="s">
        <v>3655</v>
      </c>
      <c r="Q84" s="191" t="str">
        <f t="shared" si="1"/>
        <v/>
      </c>
      <c r="R84" s="119"/>
      <c r="S84" s="119"/>
      <c r="T84" s="118">
        <f t="array" ref="T84">IFERROR(
INDEX(REPORTE_DROPI!B:B,
MATCH(
CLEAN(TRIM(C84)),
CLEAN(TRIM(REPORTE_DROPI!E:E)),
0
)
),
""
)
</f>
        <v>4714204</v>
      </c>
      <c r="U84" s="118" t="s">
        <v>8283</v>
      </c>
      <c r="V84" s="203"/>
      <c r="W84" s="203"/>
      <c r="X84" s="203"/>
      <c r="Y84" s="203"/>
      <c r="Z84" s="203"/>
    </row>
    <row r="85" ht="22.5" customHeight="1">
      <c r="A85" s="154"/>
      <c r="B85" s="170">
        <v>46086.0</v>
      </c>
      <c r="C85" s="154" t="s">
        <v>8284</v>
      </c>
      <c r="D85" s="154" t="str">
        <f>IFERROR(__xludf.DUMMYFUNCTION("""COMPUTED_VALUE"""),"FreeBeat Adapter")</f>
        <v>FreeBeat Adapter</v>
      </c>
      <c r="E85" s="188" t="s">
        <v>3650</v>
      </c>
      <c r="F85" s="189">
        <v>2.0</v>
      </c>
      <c r="G85" s="190" t="s">
        <v>3650</v>
      </c>
      <c r="H85" s="154" t="s">
        <v>3727</v>
      </c>
      <c r="I85" s="154" t="s">
        <v>8281</v>
      </c>
      <c r="J85" s="189" t="s">
        <v>3650</v>
      </c>
      <c r="K85" s="154"/>
      <c r="L85" s="154" t="s">
        <v>3650</v>
      </c>
      <c r="M85" s="170" t="s">
        <v>5877</v>
      </c>
      <c r="N85" s="154" t="s">
        <v>8285</v>
      </c>
      <c r="O85" s="170" t="str">
        <f t="array" ref="O85">IFERROR(
VLOOKUP(
TRIM(CLEAN(
INDEX(REPORTE_DROPI!K:K,
MATCH(T85, REPORTE_DROPI!B:B, 0)
))),
{
TRIM(CLEAN(MAPA_ESTADOS!A:A)) ,
MAPA_ESTADOS!B:B
},
2,
FALSE
),
"REVISAR"
)</f>
        <v>REVISAR</v>
      </c>
      <c r="P85" s="154" t="s">
        <v>5692</v>
      </c>
      <c r="Q85" s="191" t="str">
        <f t="shared" si="1"/>
        <v/>
      </c>
      <c r="R85" s="170"/>
      <c r="S85" s="170"/>
      <c r="T85" s="154">
        <f t="array" ref="T85">IFERROR(
INDEX(REPORTE_DROPI!B:B,
MATCH(
CLEAN(TRIM(C85)),
CLEAN(TRIM(REPORTE_DROPI!E:E)),
0
)
),
""
)
</f>
        <v>4713802</v>
      </c>
      <c r="U85" s="154" t="s">
        <v>8286</v>
      </c>
      <c r="V85" s="192"/>
      <c r="W85" s="192"/>
      <c r="X85" s="192"/>
      <c r="Y85" s="192"/>
      <c r="Z85" s="192"/>
    </row>
    <row r="86" ht="22.5" customHeight="1">
      <c r="A86" s="154"/>
      <c r="B86" s="170">
        <v>46086.0</v>
      </c>
      <c r="C86" s="154" t="s">
        <v>8287</v>
      </c>
      <c r="D86" s="154" t="str">
        <f>IFERROR(__xludf.DUMMYFUNCTION("""COMPUTED_VALUE"""),"FilmPro®")</f>
        <v>FilmPro®</v>
      </c>
      <c r="E86" s="188">
        <v>2.35</v>
      </c>
      <c r="F86" s="189">
        <v>1.0</v>
      </c>
      <c r="G86" s="190">
        <v>20.0</v>
      </c>
      <c r="H86" s="154" t="s">
        <v>3727</v>
      </c>
      <c r="I86" s="154" t="s">
        <v>8288</v>
      </c>
      <c r="J86" s="189">
        <v>7.67</v>
      </c>
      <c r="K86" s="154">
        <v>9.98</v>
      </c>
      <c r="L86" s="154" t="s">
        <v>3650</v>
      </c>
      <c r="M86" s="170" t="s">
        <v>5877</v>
      </c>
      <c r="N86" s="154" t="s">
        <v>8289</v>
      </c>
      <c r="O86" s="170" t="str">
        <f t="array" ref="O86">IFERROR(
VLOOKUP(
TRIM(CLEAN(
INDEX(REPORTE_DROPI!K:K,
MATCH(T86, REPORTE_DROPI!B:B, 0)
))),
{
TRIM(CLEAN(MAPA_ESTADOS!A:A)) ,
MAPA_ESTADOS!B:B
},
2,
FALSE
),
"REVISAR"
)</f>
        <v>ENTREGADO</v>
      </c>
      <c r="P86" s="154" t="s">
        <v>3655</v>
      </c>
      <c r="Q86" s="191" t="str">
        <f t="shared" si="1"/>
        <v/>
      </c>
      <c r="R86" s="170"/>
      <c r="S86" s="170"/>
      <c r="T86" s="154">
        <f t="array" ref="T86">IFERROR(
INDEX(REPORTE_DROPI!B:B,
MATCH(
CLEAN(TRIM(C86)),
CLEAN(TRIM(REPORTE_DROPI!E:E)),
0
)
),
""
)
</f>
        <v>4720550</v>
      </c>
      <c r="U86" s="154" t="s">
        <v>8290</v>
      </c>
      <c r="V86" s="192"/>
      <c r="W86" s="192"/>
      <c r="X86" s="192"/>
      <c r="Y86" s="192"/>
      <c r="Z86" s="192"/>
    </row>
    <row r="87" ht="22.5" customHeight="1">
      <c r="A87" s="154"/>
      <c r="B87" s="170">
        <v>46086.0</v>
      </c>
      <c r="C87" s="154" t="s">
        <v>8291</v>
      </c>
      <c r="D87" s="154" t="str">
        <f>IFERROR(__xludf.DUMMYFUNCTION("""COMPUTED_VALUE"""),"FreeBeat Adapter")</f>
        <v>FreeBeat Adapter</v>
      </c>
      <c r="E87" s="188">
        <v>10.0</v>
      </c>
      <c r="F87" s="189">
        <v>2.0</v>
      </c>
      <c r="G87" s="190">
        <v>22.0</v>
      </c>
      <c r="H87" s="154" t="s">
        <v>3727</v>
      </c>
      <c r="I87" s="154" t="s">
        <v>8243</v>
      </c>
      <c r="J87" s="189">
        <v>6.8</v>
      </c>
      <c r="K87" s="154">
        <v>5.2</v>
      </c>
      <c r="L87" s="154" t="s">
        <v>3650</v>
      </c>
      <c r="M87" s="170" t="s">
        <v>5877</v>
      </c>
      <c r="N87" s="154" t="s">
        <v>8292</v>
      </c>
      <c r="O87" s="170" t="str">
        <f t="array" ref="O87">IFERROR(
VLOOKUP(
TRIM(CLEAN(
INDEX(REPORTE_DROPI!K:K,
MATCH(T87, REPORTE_DROPI!B:B, 0)
))),
{
TRIM(CLEAN(MAPA_ESTADOS!A:A)) ,
MAPA_ESTADOS!B:B
},
2,
FALSE
),
"REVISAR"
)</f>
        <v>ENTREGADO</v>
      </c>
      <c r="P87" s="154" t="s">
        <v>5692</v>
      </c>
      <c r="Q87" s="191" t="str">
        <f t="shared" si="1"/>
        <v/>
      </c>
      <c r="R87" s="170"/>
      <c r="S87" s="170"/>
      <c r="T87" s="154">
        <f t="array" ref="T87">IFERROR(
INDEX(REPORTE_DROPI!B:B,
MATCH(
CLEAN(TRIM(C87)),
CLEAN(TRIM(REPORTE_DROPI!E:E)),
0
)
),
""
)
</f>
        <v>4714009</v>
      </c>
      <c r="U87" s="154" t="s">
        <v>8293</v>
      </c>
      <c r="V87" s="192"/>
      <c r="W87" s="192"/>
      <c r="X87" s="192"/>
      <c r="Y87" s="192"/>
      <c r="Z87" s="192"/>
    </row>
    <row r="88" ht="22.5" customHeight="1">
      <c r="A88" s="118"/>
      <c r="B88" s="119">
        <v>46086.0</v>
      </c>
      <c r="C88" s="204" t="s">
        <v>8280</v>
      </c>
      <c r="D88" s="118" t="str">
        <f>IFERROR(__xludf.DUMMYFUNCTION("""COMPUTED_VALUE"""),"FilmPro®")</f>
        <v>FilmPro®</v>
      </c>
      <c r="E88" s="120">
        <v>7.05</v>
      </c>
      <c r="F88" s="121">
        <v>3.0</v>
      </c>
      <c r="G88" s="122">
        <v>30.0</v>
      </c>
      <c r="H88" s="154" t="s">
        <v>3727</v>
      </c>
      <c r="I88" s="118" t="s">
        <v>8294</v>
      </c>
      <c r="J88" s="121">
        <v>7.26</v>
      </c>
      <c r="K88" s="118">
        <v>15.69</v>
      </c>
      <c r="L88" s="118" t="s">
        <v>3650</v>
      </c>
      <c r="M88" s="170" t="s">
        <v>5877</v>
      </c>
      <c r="N88" s="118" t="s">
        <v>8295</v>
      </c>
      <c r="O88" s="119" t="str">
        <f t="array" ref="O88">IFERROR(
VLOOKUP(
TRIM(CLEAN(
INDEX(REPORTE_DROPI!K:K,
MATCH(T88, REPORTE_DROPI!B:B, 0)
))),
{
TRIM(CLEAN(MAPA_ESTADOS!A:A)) ,
MAPA_ESTADOS!B:B
},
2,
FALSE
),
"REVISAR"
)</f>
        <v>ENTREGADO</v>
      </c>
      <c r="P88" s="118" t="s">
        <v>8296</v>
      </c>
      <c r="Q88" s="191" t="str">
        <f t="shared" si="1"/>
        <v/>
      </c>
      <c r="R88" s="119"/>
      <c r="S88" s="119"/>
      <c r="T88" s="118">
        <f t="array" ref="T88">IFERROR(
INDEX(REPORTE_DROPI!B:B,
MATCH(
CLEAN(TRIM(C88)),
CLEAN(TRIM(REPORTE_DROPI!E:E)),
0
)
),
""
)
</f>
        <v>4714204</v>
      </c>
      <c r="U88" s="118"/>
      <c r="V88" s="203"/>
      <c r="W88" s="203"/>
      <c r="X88" s="203"/>
      <c r="Y88" s="203"/>
      <c r="Z88" s="203"/>
    </row>
    <row r="89" ht="22.5" customHeight="1">
      <c r="A89" s="154"/>
      <c r="B89" s="170">
        <v>46087.0</v>
      </c>
      <c r="C89" s="154" t="s">
        <v>8297</v>
      </c>
      <c r="D89" s="154" t="str">
        <f>IFERROR(__xludf.DUMMYFUNCTION("""COMPUTED_VALUE"""),"FilmPro®")</f>
        <v>FilmPro®</v>
      </c>
      <c r="E89" s="188" t="s">
        <v>3650</v>
      </c>
      <c r="F89" s="189">
        <v>1.0</v>
      </c>
      <c r="G89" s="190" t="s">
        <v>3650</v>
      </c>
      <c r="H89" s="154" t="s">
        <v>3727</v>
      </c>
      <c r="I89" s="154" t="s">
        <v>8243</v>
      </c>
      <c r="J89" s="189" t="s">
        <v>3650</v>
      </c>
      <c r="K89" s="154"/>
      <c r="L89" s="154" t="s">
        <v>3650</v>
      </c>
      <c r="M89" s="170" t="s">
        <v>5877</v>
      </c>
      <c r="N89" s="154" t="s">
        <v>8298</v>
      </c>
      <c r="O89" s="170" t="str">
        <f t="array" ref="O89">IFERROR(
VLOOKUP(
TRIM(CLEAN(
INDEX(REPORTE_DROPI!K:K,
MATCH(T89, REPORTE_DROPI!B:B, 0)
))),
{
TRIM(CLEAN(MAPA_ESTADOS!A:A)) ,
MAPA_ESTADOS!B:B
},
2,
FALSE
),
"REVISAR"
)</f>
        <v>CANCELADO</v>
      </c>
      <c r="P89" s="205" t="s">
        <v>8299</v>
      </c>
      <c r="Q89" s="191" t="str">
        <f t="shared" si="1"/>
        <v/>
      </c>
      <c r="R89" s="170"/>
      <c r="S89" s="170"/>
      <c r="T89" s="154">
        <f t="array" ref="T89">IFERROR(
INDEX(REPORTE_DROPI!B:B,
MATCH(
CLEAN(TRIM(C89)),
CLEAN(TRIM(REPORTE_DROPI!E:E)),
0
)
),
""
)
</f>
        <v>4714440</v>
      </c>
      <c r="U89" s="154" t="s">
        <v>8300</v>
      </c>
      <c r="V89" s="192"/>
      <c r="W89" s="192"/>
      <c r="X89" s="192"/>
      <c r="Y89" s="192"/>
      <c r="Z89" s="192"/>
    </row>
    <row r="90" ht="22.5" customHeight="1">
      <c r="A90" s="154"/>
      <c r="B90" s="170">
        <v>46087.0</v>
      </c>
      <c r="C90" s="154" t="s">
        <v>8301</v>
      </c>
      <c r="D90" s="154" t="str">
        <f>IFERROR(__xludf.DUMMYFUNCTION("""COMPUTED_VALUE"""),"FreeBeat Adapter")</f>
        <v>FreeBeat Adapter</v>
      </c>
      <c r="E90" s="188" t="s">
        <v>3650</v>
      </c>
      <c r="F90" s="189">
        <v>2.0</v>
      </c>
      <c r="G90" s="190" t="s">
        <v>3650</v>
      </c>
      <c r="H90" s="154" t="s">
        <v>3727</v>
      </c>
      <c r="I90" s="154" t="s">
        <v>8243</v>
      </c>
      <c r="J90" s="189" t="s">
        <v>3650</v>
      </c>
      <c r="K90" s="154"/>
      <c r="L90" s="154">
        <v>0.0</v>
      </c>
      <c r="M90" s="170" t="s">
        <v>5877</v>
      </c>
      <c r="N90" s="154" t="s">
        <v>8302</v>
      </c>
      <c r="O90" s="170" t="str">
        <f t="array" ref="O90">IFERROR(
VLOOKUP(
TRIM(CLEAN(
INDEX(REPORTE_DROPI!K:K,
MATCH(T90, REPORTE_DROPI!B:B, 0)
))),
{
TRIM(CLEAN(MAPA_ESTADOS!A:A)) ,
MAPA_ESTADOS!B:B
},
2,
FALSE
),
"REVISAR"
)</f>
        <v>DEVOLUCION</v>
      </c>
      <c r="P90" s="154" t="s">
        <v>8147</v>
      </c>
      <c r="Q90" s="191" t="str">
        <f t="shared" si="1"/>
        <v/>
      </c>
      <c r="R90" s="154" t="s">
        <v>8303</v>
      </c>
      <c r="S90" s="154">
        <v>2.0</v>
      </c>
      <c r="T90" s="154">
        <f t="array" ref="T90">IFERROR(
INDEX(REPORTE_DROPI!B:B,
MATCH(
CLEAN(TRIM(C90)),
CLEAN(TRIM(REPORTE_DROPI!E:E)),
0
)
),
""
)
</f>
        <v>4714888</v>
      </c>
      <c r="U90" s="154" t="s">
        <v>8304</v>
      </c>
      <c r="V90" s="192"/>
      <c r="W90" s="192"/>
      <c r="X90" s="192"/>
      <c r="Y90" s="192"/>
      <c r="Z90" s="192"/>
    </row>
    <row r="91" ht="22.5" customHeight="1">
      <c r="A91" s="154"/>
      <c r="B91" s="170">
        <v>46087.0</v>
      </c>
      <c r="C91" s="154" t="s">
        <v>8305</v>
      </c>
      <c r="D91" s="154" t="str">
        <f>IFERROR(__xludf.DUMMYFUNCTION("""COMPUTED_VALUE"""),"FilmPro®")</f>
        <v>FilmPro®</v>
      </c>
      <c r="E91" s="188" t="s">
        <v>3650</v>
      </c>
      <c r="F91" s="189">
        <v>2.0</v>
      </c>
      <c r="G91" s="190" t="s">
        <v>3650</v>
      </c>
      <c r="H91" s="154" t="s">
        <v>3727</v>
      </c>
      <c r="I91" s="154" t="s">
        <v>8306</v>
      </c>
      <c r="J91" s="189" t="s">
        <v>3650</v>
      </c>
      <c r="K91" s="154"/>
      <c r="L91" s="154">
        <v>0.0</v>
      </c>
      <c r="M91" s="170" t="s">
        <v>5877</v>
      </c>
      <c r="N91" s="154" t="s">
        <v>8307</v>
      </c>
      <c r="O91" s="170" t="str">
        <f t="array" ref="O91">IFERROR(
VLOOKUP(
TRIM(CLEAN(
INDEX(REPORTE_DROPI!K:K,
MATCH(T91, REPORTE_DROPI!B:B, 0)
))),
{
TRIM(CLEAN(MAPA_ESTADOS!A:A)) ,
MAPA_ESTADOS!B:B
},
2,
FALSE
),
"REVISAR"
)</f>
        <v>DEVOLUCION</v>
      </c>
      <c r="P91" s="154" t="s">
        <v>3655</v>
      </c>
      <c r="Q91" s="191" t="str">
        <f t="shared" si="1"/>
        <v/>
      </c>
      <c r="R91" s="170"/>
      <c r="S91" s="170"/>
      <c r="T91" s="154">
        <f t="array" ref="T91">IFERROR(
INDEX(REPORTE_DROPI!B:B,
MATCH(
CLEAN(TRIM(C91)),
CLEAN(TRIM(REPORTE_DROPI!E:E)),
0
)
),
""
)
</f>
        <v>4715067</v>
      </c>
      <c r="U91" s="194">
        <v>1.81175215137E11</v>
      </c>
      <c r="V91" s="192"/>
      <c r="W91" s="192"/>
      <c r="X91" s="192"/>
      <c r="Y91" s="192"/>
      <c r="Z91" s="192"/>
    </row>
    <row r="92" ht="22.5" customHeight="1">
      <c r="A92" s="154"/>
      <c r="B92" s="170">
        <v>46087.0</v>
      </c>
      <c r="C92" s="154" t="s">
        <v>8308</v>
      </c>
      <c r="D92" s="154" t="str">
        <f>IFERROR(__xludf.DUMMYFUNCTION("""COMPUTED_VALUE"""),"FilmPro®")</f>
        <v>FilmPro®</v>
      </c>
      <c r="E92" s="188">
        <v>7.05</v>
      </c>
      <c r="F92" s="189">
        <v>3.0</v>
      </c>
      <c r="G92" s="190">
        <v>30.0</v>
      </c>
      <c r="H92" s="154" t="s">
        <v>3727</v>
      </c>
      <c r="I92" s="154" t="s">
        <v>8247</v>
      </c>
      <c r="J92" s="189">
        <v>5.12</v>
      </c>
      <c r="K92" s="154">
        <v>17.83</v>
      </c>
      <c r="L92" s="154" t="s">
        <v>3650</v>
      </c>
      <c r="M92" s="170" t="s">
        <v>5877</v>
      </c>
      <c r="N92" s="154" t="s">
        <v>8309</v>
      </c>
      <c r="O92" s="170" t="str">
        <f t="array" ref="O92">IFERROR(
VLOOKUP(
TRIM(CLEAN(
INDEX(REPORTE_DROPI!K:K,
MATCH(T92, REPORTE_DROPI!B:B, 0)
))),
{
TRIM(CLEAN(MAPA_ESTADOS!A:A)) ,
MAPA_ESTADOS!B:B
},
2,
FALSE
),
"REVISAR"
)</f>
        <v>ENTREGADO</v>
      </c>
      <c r="P92" s="154" t="s">
        <v>8147</v>
      </c>
      <c r="Q92" s="191" t="str">
        <f t="shared" si="1"/>
        <v/>
      </c>
      <c r="R92" s="170"/>
      <c r="S92" s="170"/>
      <c r="T92" s="154">
        <f t="array" ref="T92">IFERROR(
INDEX(REPORTE_DROPI!B:B,
MATCH(
CLEAN(TRIM(C92)),
CLEAN(TRIM(REPORTE_DROPI!E:E)),
0
)
),
""
)
</f>
        <v>4715293</v>
      </c>
      <c r="U92" s="154" t="s">
        <v>8310</v>
      </c>
      <c r="V92" s="192"/>
      <c r="W92" s="192"/>
      <c r="X92" s="192"/>
      <c r="Y92" s="192"/>
      <c r="Z92" s="192"/>
    </row>
    <row r="93" ht="22.5" customHeight="1">
      <c r="A93" s="154"/>
      <c r="B93" s="170">
        <v>46087.0</v>
      </c>
      <c r="C93" s="154" t="s">
        <v>8311</v>
      </c>
      <c r="D93" s="154" t="str">
        <f>IFERROR(__xludf.DUMMYFUNCTION("""COMPUTED_VALUE"""),"FilmPro®")</f>
        <v>FilmPro®</v>
      </c>
      <c r="E93" s="188">
        <v>4.7</v>
      </c>
      <c r="F93" s="189">
        <v>2.0</v>
      </c>
      <c r="G93" s="190">
        <v>25.0</v>
      </c>
      <c r="H93" s="154" t="s">
        <v>3727</v>
      </c>
      <c r="I93" s="154" t="s">
        <v>8233</v>
      </c>
      <c r="J93" s="189">
        <v>7.75</v>
      </c>
      <c r="K93" s="154">
        <v>12.55</v>
      </c>
      <c r="L93" s="154" t="s">
        <v>3650</v>
      </c>
      <c r="M93" s="170" t="s">
        <v>5877</v>
      </c>
      <c r="N93" s="154" t="s">
        <v>8312</v>
      </c>
      <c r="O93" s="170" t="str">
        <f t="array" ref="O93">IFERROR(
VLOOKUP(
TRIM(CLEAN(
INDEX(REPORTE_DROPI!K:K,
MATCH(T93, REPORTE_DROPI!B:B, 0)
))),
{
TRIM(CLEAN(MAPA_ESTADOS!A:A)) ,
MAPA_ESTADOS!B:B
},
2,
FALSE
),
"REVISAR"
)</f>
        <v>ENTREGADO</v>
      </c>
      <c r="P93" s="154" t="s">
        <v>8147</v>
      </c>
      <c r="Q93" s="191" t="str">
        <f t="shared" si="1"/>
        <v/>
      </c>
      <c r="R93" s="170"/>
      <c r="S93" s="170"/>
      <c r="T93" s="154">
        <f t="array" ref="T93">IFERROR(
INDEX(REPORTE_DROPI!B:B,
MATCH(
CLEAN(TRIM(C93)),
CLEAN(TRIM(REPORTE_DROPI!E:E)),
0
)
),
""
)
</f>
        <v>4720656</v>
      </c>
      <c r="U93" s="154" t="s">
        <v>8313</v>
      </c>
      <c r="V93" s="192"/>
      <c r="W93" s="192"/>
      <c r="X93" s="192"/>
      <c r="Y93" s="192"/>
      <c r="Z93" s="192"/>
    </row>
    <row r="94" ht="22.5" customHeight="1">
      <c r="A94" s="154"/>
      <c r="B94" s="170">
        <v>46087.0</v>
      </c>
      <c r="C94" s="154" t="s">
        <v>8314</v>
      </c>
      <c r="D94" s="154" t="str">
        <f>IFERROR(__xludf.DUMMYFUNCTION("""COMPUTED_VALUE"""),"FilmPro®")</f>
        <v>FilmPro®</v>
      </c>
      <c r="E94" s="188">
        <v>4.7</v>
      </c>
      <c r="F94" s="189">
        <v>2.0</v>
      </c>
      <c r="G94" s="190">
        <v>25.0</v>
      </c>
      <c r="H94" s="154" t="s">
        <v>3727</v>
      </c>
      <c r="I94" s="154" t="s">
        <v>8233</v>
      </c>
      <c r="J94" s="189">
        <v>6.53</v>
      </c>
      <c r="K94" s="154">
        <v>13.77</v>
      </c>
      <c r="L94" s="154" t="s">
        <v>3650</v>
      </c>
      <c r="M94" s="170" t="s">
        <v>5877</v>
      </c>
      <c r="N94" s="154" t="s">
        <v>8315</v>
      </c>
      <c r="O94" s="170" t="str">
        <f t="array" ref="O94">IFERROR(
VLOOKUP(
TRIM(CLEAN(
INDEX(REPORTE_DROPI!K:K,
MATCH(T94, REPORTE_DROPI!B:B, 0)
))),
{
TRIM(CLEAN(MAPA_ESTADOS!A:A)) ,
MAPA_ESTADOS!B:B
},
2,
FALSE
),
"REVISAR"
)</f>
        <v>ENTREGADO</v>
      </c>
      <c r="P94" s="154" t="s">
        <v>8147</v>
      </c>
      <c r="Q94" s="191" t="str">
        <f t="shared" si="1"/>
        <v/>
      </c>
      <c r="R94" s="170"/>
      <c r="S94" s="170"/>
      <c r="T94" s="154">
        <f t="array" ref="T94">IFERROR(
INDEX(REPORTE_DROPI!B:B,
MATCH(
CLEAN(TRIM(C94)),
CLEAN(TRIM(REPORTE_DROPI!E:E)),
0
)
),
""
)
</f>
        <v>4716418</v>
      </c>
      <c r="U94" s="154" t="s">
        <v>8316</v>
      </c>
      <c r="V94" s="192"/>
      <c r="W94" s="192"/>
      <c r="X94" s="192"/>
      <c r="Y94" s="192"/>
      <c r="Z94" s="192"/>
    </row>
    <row r="95" ht="22.5" customHeight="1">
      <c r="A95" s="154"/>
      <c r="B95" s="170">
        <v>46087.0</v>
      </c>
      <c r="C95" s="154" t="s">
        <v>8317</v>
      </c>
      <c r="D95" s="154" t="str">
        <f>IFERROR(__xludf.DUMMYFUNCTION("""COMPUTED_VALUE"""),"DrainGuard Pro™")</f>
        <v>DrainGuard Pro™</v>
      </c>
      <c r="E95" s="188">
        <v>8.0</v>
      </c>
      <c r="F95" s="189">
        <v>2.0</v>
      </c>
      <c r="G95" s="190">
        <v>25.0</v>
      </c>
      <c r="H95" s="154" t="s">
        <v>3727</v>
      </c>
      <c r="I95" s="154" t="s">
        <v>8247</v>
      </c>
      <c r="J95" s="189">
        <v>4.35</v>
      </c>
      <c r="K95" s="154">
        <v>12.65</v>
      </c>
      <c r="L95" s="154" t="s">
        <v>3650</v>
      </c>
      <c r="M95" s="170" t="s">
        <v>5877</v>
      </c>
      <c r="N95" s="154" t="s">
        <v>8318</v>
      </c>
      <c r="O95" s="170" t="str">
        <f t="array" ref="O95">IFERROR(
VLOOKUP(
TRIM(CLEAN(
INDEX(REPORTE_DROPI!K:K,
MATCH(T95, REPORTE_DROPI!B:B, 0)
))),
{
TRIM(CLEAN(MAPA_ESTADOS!A:A)) ,
MAPA_ESTADOS!B:B
},
2,
FALSE
),
"REVISAR"
)</f>
        <v>ENTREGADO</v>
      </c>
      <c r="P95" s="154" t="s">
        <v>8147</v>
      </c>
      <c r="Q95" s="191" t="str">
        <f t="shared" si="1"/>
        <v/>
      </c>
      <c r="R95" s="170"/>
      <c r="S95" s="170"/>
      <c r="T95" s="154">
        <f t="array" ref="T95">IFERROR(
INDEX(REPORTE_DROPI!B:B,
MATCH(
CLEAN(TRIM(C95)),
CLEAN(TRIM(REPORTE_DROPI!E:E)),
0
)
),
""
)
</f>
        <v>4716872</v>
      </c>
      <c r="U95" s="194">
        <v>1.57100140161E11</v>
      </c>
      <c r="V95" s="192"/>
      <c r="W95" s="192"/>
      <c r="X95" s="192"/>
      <c r="Y95" s="192"/>
      <c r="Z95" s="192"/>
    </row>
    <row r="96" ht="22.5" customHeight="1">
      <c r="A96" s="154"/>
      <c r="B96" s="170">
        <v>46087.0</v>
      </c>
      <c r="C96" s="154" t="s">
        <v>8319</v>
      </c>
      <c r="D96" s="154" t="str">
        <f>IFERROR(__xludf.DUMMYFUNCTION("""COMPUTED_VALUE"""),"DrainGuard Pro™")</f>
        <v>DrainGuard Pro™</v>
      </c>
      <c r="E96" s="188">
        <v>8.0</v>
      </c>
      <c r="F96" s="189">
        <v>2.0</v>
      </c>
      <c r="G96" s="190">
        <v>25.0</v>
      </c>
      <c r="H96" s="154" t="s">
        <v>3727</v>
      </c>
      <c r="I96" s="154" t="s">
        <v>8320</v>
      </c>
      <c r="J96" s="189">
        <v>6.53</v>
      </c>
      <c r="K96" s="154">
        <v>10.47</v>
      </c>
      <c r="L96" s="154" t="s">
        <v>3650</v>
      </c>
      <c r="M96" s="170"/>
      <c r="N96" s="154" t="s">
        <v>8321</v>
      </c>
      <c r="O96" s="170" t="str">
        <f t="array" ref="O96">IFERROR(
VLOOKUP(
TRIM(CLEAN(
INDEX(REPORTE_DROPI!K:K,
MATCH(T96, REPORTE_DROPI!B:B, 0)
))),
{
TRIM(CLEAN(MAPA_ESTADOS!A:A)) ,
MAPA_ESTADOS!B:B
},
2,
FALSE
),
"REVISAR"
)</f>
        <v>ENTREGADO</v>
      </c>
      <c r="P96" s="154" t="s">
        <v>5692</v>
      </c>
      <c r="Q96" s="191" t="str">
        <f t="shared" si="1"/>
        <v/>
      </c>
      <c r="R96" s="170"/>
      <c r="S96" s="170"/>
      <c r="T96" s="154">
        <f t="array" ref="T96">IFERROR(
INDEX(REPORTE_DROPI!B:B,
MATCH(
CLEAN(TRIM(C96)),
CLEAN(TRIM(REPORTE_DROPI!E:E)),
0
)
),
""
)
</f>
        <v>4717016</v>
      </c>
      <c r="U96" s="154" t="s">
        <v>8322</v>
      </c>
      <c r="V96" s="192"/>
      <c r="W96" s="192"/>
      <c r="X96" s="192"/>
      <c r="Y96" s="192"/>
      <c r="Z96" s="192"/>
    </row>
    <row r="97" ht="22.5" customHeight="1">
      <c r="A97" s="154"/>
      <c r="B97" s="170">
        <v>46087.0</v>
      </c>
      <c r="C97" s="154" t="s">
        <v>8323</v>
      </c>
      <c r="D97" s="154" t="str">
        <f>IFERROR(__xludf.DUMMYFUNCTION("""COMPUTED_VALUE"""),"FilmPro®")</f>
        <v>FilmPro®</v>
      </c>
      <c r="E97" s="188">
        <v>4.7</v>
      </c>
      <c r="F97" s="189">
        <v>2.0</v>
      </c>
      <c r="G97" s="190">
        <v>25.0</v>
      </c>
      <c r="H97" s="154" t="s">
        <v>3727</v>
      </c>
      <c r="I97" s="154" t="s">
        <v>8306</v>
      </c>
      <c r="J97" s="189">
        <v>5.96</v>
      </c>
      <c r="K97" s="154">
        <v>14.34</v>
      </c>
      <c r="L97" s="154" t="s">
        <v>3650</v>
      </c>
      <c r="M97" s="170"/>
      <c r="N97" s="154" t="s">
        <v>8324</v>
      </c>
      <c r="O97" s="170" t="str">
        <f t="array" ref="O97">IFERROR(
VLOOKUP(
TRIM(CLEAN(
INDEX(REPORTE_DROPI!K:K,
MATCH(T97, REPORTE_DROPI!B:B, 0)
))),
{
TRIM(CLEAN(MAPA_ESTADOS!A:A)) ,
MAPA_ESTADOS!B:B
},
2,
FALSE
),
"REVISAR"
)</f>
        <v>ENTREGADO</v>
      </c>
      <c r="P97" s="154" t="s">
        <v>5692</v>
      </c>
      <c r="Q97" s="191" t="str">
        <f t="shared" si="1"/>
        <v/>
      </c>
      <c r="R97" s="170"/>
      <c r="S97" s="170"/>
      <c r="T97" s="154">
        <f t="array" ref="T97">IFERROR(
INDEX(REPORTE_DROPI!B:B,
MATCH(
CLEAN(TRIM(C97)),
CLEAN(TRIM(REPORTE_DROPI!E:E)),
0
)
),
""
)
</f>
        <v>4717650</v>
      </c>
      <c r="U97" s="154" t="s">
        <v>8325</v>
      </c>
      <c r="V97" s="192"/>
      <c r="W97" s="192"/>
      <c r="X97" s="192"/>
      <c r="Y97" s="192"/>
      <c r="Z97" s="192"/>
    </row>
    <row r="98" ht="22.5" customHeight="1">
      <c r="A98" s="154"/>
      <c r="B98" s="170">
        <v>46087.0</v>
      </c>
      <c r="C98" s="154" t="s">
        <v>8326</v>
      </c>
      <c r="D98" s="154" t="str">
        <f>IFERROR(__xludf.DUMMYFUNCTION("""COMPUTED_VALUE"""),"DrainGuard Pro™")</f>
        <v>DrainGuard Pro™</v>
      </c>
      <c r="E98" s="188">
        <v>8.0</v>
      </c>
      <c r="F98" s="189">
        <v>2.0</v>
      </c>
      <c r="G98" s="190">
        <v>25.0</v>
      </c>
      <c r="H98" s="154" t="s">
        <v>3727</v>
      </c>
      <c r="I98" s="154" t="s">
        <v>8233</v>
      </c>
      <c r="J98" s="189">
        <v>5.96</v>
      </c>
      <c r="K98" s="154">
        <v>11.04</v>
      </c>
      <c r="L98" s="154" t="s">
        <v>3650</v>
      </c>
      <c r="M98" s="170"/>
      <c r="N98" s="154" t="s">
        <v>8327</v>
      </c>
      <c r="O98" s="170" t="str">
        <f t="array" ref="O98">IFERROR(
VLOOKUP(
TRIM(CLEAN(
INDEX(REPORTE_DROPI!K:K,
MATCH(T98, REPORTE_DROPI!B:B, 0)
))),
{
TRIM(CLEAN(MAPA_ESTADOS!A:A)) ,
MAPA_ESTADOS!B:B
},
2,
FALSE
),
"REVISAR"
)</f>
        <v>ENTREGADO</v>
      </c>
      <c r="P98" s="154" t="s">
        <v>3655</v>
      </c>
      <c r="Q98" s="191" t="str">
        <f t="shared" si="1"/>
        <v/>
      </c>
      <c r="R98" s="170"/>
      <c r="S98" s="170"/>
      <c r="T98" s="154">
        <f t="array" ref="T98">IFERROR(
INDEX(REPORTE_DROPI!B:B,
MATCH(
CLEAN(TRIM(C98)),
CLEAN(TRIM(REPORTE_DROPI!E:E)),
0
)
),
""
)
</f>
        <v>4717788</v>
      </c>
      <c r="U98" s="154" t="s">
        <v>8328</v>
      </c>
      <c r="V98" s="192"/>
      <c r="W98" s="192"/>
      <c r="X98" s="192"/>
      <c r="Y98" s="192"/>
      <c r="Z98" s="192"/>
    </row>
    <row r="99" ht="22.5" customHeight="1">
      <c r="A99" s="154"/>
      <c r="B99" s="170">
        <v>46087.0</v>
      </c>
      <c r="C99" s="154" t="s">
        <v>8329</v>
      </c>
      <c r="D99" s="154" t="str">
        <f>IFERROR(__xludf.DUMMYFUNCTION("""COMPUTED_VALUE"""),"FilmPro®")</f>
        <v>FilmPro®</v>
      </c>
      <c r="E99" s="188" t="s">
        <v>3650</v>
      </c>
      <c r="F99" s="189">
        <v>3.0</v>
      </c>
      <c r="G99" s="190" t="s">
        <v>3650</v>
      </c>
      <c r="H99" s="154" t="s">
        <v>3727</v>
      </c>
      <c r="I99" s="154" t="s">
        <v>8320</v>
      </c>
      <c r="J99" s="189" t="s">
        <v>3650</v>
      </c>
      <c r="K99" s="154"/>
      <c r="L99" s="154">
        <v>0.0</v>
      </c>
      <c r="M99" s="170"/>
      <c r="N99" s="154" t="s">
        <v>8330</v>
      </c>
      <c r="O99" s="170" t="str">
        <f t="array" ref="O99">IFERROR(
VLOOKUP(
TRIM(CLEAN(
INDEX(REPORTE_DROPI!K:K,
MATCH(T99, REPORTE_DROPI!B:B, 0)
))),
{
TRIM(CLEAN(MAPA_ESTADOS!A:A)) ,
MAPA_ESTADOS!B:B
},
2,
FALSE
),
"REVISAR"
)</f>
        <v>DEVOLUCION</v>
      </c>
      <c r="P99" s="154" t="s">
        <v>3655</v>
      </c>
      <c r="Q99" s="191" t="str">
        <f t="shared" si="1"/>
        <v/>
      </c>
      <c r="R99" s="170"/>
      <c r="S99" s="170"/>
      <c r="T99" s="154">
        <f t="array" ref="T99">IFERROR(
INDEX(REPORTE_DROPI!B:B,
MATCH(
CLEAN(TRIM(C99)),
CLEAN(TRIM(REPORTE_DROPI!E:E)),
0
)
),
""
)
</f>
        <v>4719309</v>
      </c>
      <c r="U99" s="154" t="s">
        <v>8331</v>
      </c>
      <c r="V99" s="192"/>
      <c r="W99" s="192"/>
      <c r="X99" s="192"/>
      <c r="Y99" s="192"/>
      <c r="Z99" s="192"/>
    </row>
    <row r="100" ht="22.5" customHeight="1">
      <c r="A100" s="154"/>
      <c r="B100" s="170">
        <v>46087.0</v>
      </c>
      <c r="C100" s="154" t="s">
        <v>8332</v>
      </c>
      <c r="D100" s="154" t="str">
        <f>IFERROR(__xludf.DUMMYFUNCTION("""COMPUTED_VALUE"""),"FreeBeat Adapter")</f>
        <v>FreeBeat Adapter</v>
      </c>
      <c r="E100" s="188">
        <v>15.0</v>
      </c>
      <c r="F100" s="189">
        <v>3.0</v>
      </c>
      <c r="G100" s="190">
        <v>27.99</v>
      </c>
      <c r="H100" s="154" t="s">
        <v>3727</v>
      </c>
      <c r="I100" s="154" t="s">
        <v>8265</v>
      </c>
      <c r="J100" s="189">
        <v>6.08</v>
      </c>
      <c r="K100" s="154">
        <v>6.91</v>
      </c>
      <c r="L100" s="154" t="s">
        <v>3650</v>
      </c>
      <c r="M100" s="170" t="s">
        <v>5877</v>
      </c>
      <c r="N100" s="154" t="s">
        <v>8333</v>
      </c>
      <c r="O100" s="170" t="str">
        <f t="array" ref="O100">IFERROR(
VLOOKUP(
TRIM(CLEAN(
INDEX(REPORTE_DROPI!K:K,
MATCH(T100, REPORTE_DROPI!B:B, 0)
))),
{
TRIM(CLEAN(MAPA_ESTADOS!A:A)) ,
MAPA_ESTADOS!B:B
},
2,
FALSE
),
"REVISAR"
)</f>
        <v>ENTREGADO</v>
      </c>
      <c r="P100" s="154" t="s">
        <v>3655</v>
      </c>
      <c r="Q100" s="191" t="str">
        <f t="shared" si="1"/>
        <v/>
      </c>
      <c r="R100" s="170"/>
      <c r="S100" s="170"/>
      <c r="T100" s="154">
        <f t="array" ref="T100">IFERROR(
INDEX(REPORTE_DROPI!B:B,
MATCH(
CLEAN(TRIM(C100)),
CLEAN(TRIM(REPORTE_DROPI!E:E)),
0
)
),
""
)
</f>
        <v>4719539</v>
      </c>
      <c r="U100" s="154" t="s">
        <v>8334</v>
      </c>
      <c r="V100" s="192"/>
      <c r="W100" s="192"/>
      <c r="X100" s="192"/>
      <c r="Y100" s="192"/>
      <c r="Z100" s="192"/>
    </row>
    <row r="101" ht="22.5" customHeight="1">
      <c r="A101" s="154"/>
      <c r="B101" s="170">
        <v>46087.0</v>
      </c>
      <c r="C101" s="154" t="s">
        <v>7897</v>
      </c>
      <c r="D101" s="154" t="str">
        <f>IFERROR(__xludf.DUMMYFUNCTION("""COMPUTED_VALUE"""),"DrainGuard Pro™")</f>
        <v>DrainGuard Pro™</v>
      </c>
      <c r="E101" s="188">
        <v>12.0</v>
      </c>
      <c r="F101" s="189">
        <v>3.0</v>
      </c>
      <c r="G101" s="190">
        <v>32.01</v>
      </c>
      <c r="H101" s="154" t="s">
        <v>3727</v>
      </c>
      <c r="I101" s="154" t="s">
        <v>8247</v>
      </c>
      <c r="J101" s="189">
        <v>4.63</v>
      </c>
      <c r="K101" s="154">
        <v>15.38</v>
      </c>
      <c r="L101" s="154" t="s">
        <v>3650</v>
      </c>
      <c r="M101" s="170"/>
      <c r="N101" s="154" t="s">
        <v>8335</v>
      </c>
      <c r="O101" s="170" t="str">
        <f t="array" ref="O101">IFERROR(
VLOOKUP(
TRIM(CLEAN(
INDEX(REPORTE_DROPI!K:K,
MATCH(T101, REPORTE_DROPI!B:B, 0)
))),
{
TRIM(CLEAN(MAPA_ESTADOS!A:A)) ,
MAPA_ESTADOS!B:B
},
2,
FALSE
),
"REVISAR"
)</f>
        <v>ENTREGADO</v>
      </c>
      <c r="P101" s="154" t="s">
        <v>3655</v>
      </c>
      <c r="Q101" s="191" t="str">
        <f t="shared" si="1"/>
        <v/>
      </c>
      <c r="R101" s="170"/>
      <c r="S101" s="170"/>
      <c r="T101" s="154">
        <f t="array" ref="T101">IFERROR(
INDEX(REPORTE_DROPI!B:B,
MATCH(
CLEAN(TRIM(C101)),
CLEAN(TRIM(REPORTE_DROPI!E:E)),
0
)
),
""
)
</f>
        <v>4719952</v>
      </c>
      <c r="U101" s="154" t="s">
        <v>8336</v>
      </c>
      <c r="V101" s="192"/>
      <c r="W101" s="192"/>
      <c r="X101" s="192"/>
      <c r="Y101" s="192"/>
      <c r="Z101" s="192"/>
    </row>
    <row r="102" ht="22.5" customHeight="1">
      <c r="A102" s="154"/>
      <c r="B102" s="170">
        <v>46087.0</v>
      </c>
      <c r="C102" s="154" t="s">
        <v>8337</v>
      </c>
      <c r="D102" s="154" t="str">
        <f>IFERROR(__xludf.DUMMYFUNCTION("""COMPUTED_VALUE"""),"DrainGuard Pro™")</f>
        <v>DrainGuard Pro™</v>
      </c>
      <c r="E102" s="188">
        <v>12.0</v>
      </c>
      <c r="F102" s="189">
        <v>3.0</v>
      </c>
      <c r="G102" s="190">
        <v>32.01</v>
      </c>
      <c r="H102" s="154" t="s">
        <v>3727</v>
      </c>
      <c r="I102" s="154" t="s">
        <v>8243</v>
      </c>
      <c r="J102" s="189">
        <v>6.24</v>
      </c>
      <c r="K102" s="154">
        <v>13.77</v>
      </c>
      <c r="L102" s="154" t="s">
        <v>3650</v>
      </c>
      <c r="M102" s="170"/>
      <c r="N102" s="154" t="s">
        <v>8338</v>
      </c>
      <c r="O102" s="170" t="str">
        <f t="array" ref="O102">IFERROR(
VLOOKUP(
TRIM(CLEAN(
INDEX(REPORTE_DROPI!K:K,
MATCH(T102, REPORTE_DROPI!B:B, 0)
))),
{
TRIM(CLEAN(MAPA_ESTADOS!A:A)) ,
MAPA_ESTADOS!B:B
},
2,
FALSE
),
"REVISAR"
)</f>
        <v>ENTREGADO</v>
      </c>
      <c r="P102" s="154" t="s">
        <v>3655</v>
      </c>
      <c r="Q102" s="191" t="str">
        <f t="shared" si="1"/>
        <v/>
      </c>
      <c r="R102" s="170"/>
      <c r="S102" s="170"/>
      <c r="T102" s="154">
        <f t="array" ref="T102">IFERROR(
INDEX(REPORTE_DROPI!B:B,
MATCH(
CLEAN(TRIM(C102)),
CLEAN(TRIM(REPORTE_DROPI!E:E)),
0
)
),
""
)
</f>
        <v>4720038</v>
      </c>
      <c r="U102" s="154" t="s">
        <v>8339</v>
      </c>
      <c r="V102" s="192"/>
      <c r="W102" s="192"/>
      <c r="X102" s="192"/>
      <c r="Y102" s="192"/>
      <c r="Z102" s="192"/>
    </row>
    <row r="103" ht="22.5" customHeight="1">
      <c r="A103" s="154"/>
      <c r="B103" s="170">
        <v>46087.0</v>
      </c>
      <c r="C103" s="154" t="s">
        <v>8340</v>
      </c>
      <c r="D103" s="154" t="str">
        <f>IFERROR(__xludf.DUMMYFUNCTION("""COMPUTED_VALUE"""),"FilmPro®")</f>
        <v>FilmPro®</v>
      </c>
      <c r="E103" s="188">
        <v>4.7</v>
      </c>
      <c r="F103" s="189">
        <v>2.0</v>
      </c>
      <c r="G103" s="190">
        <v>25.0</v>
      </c>
      <c r="H103" s="154" t="s">
        <v>3727</v>
      </c>
      <c r="I103" s="154" t="s">
        <v>8243</v>
      </c>
      <c r="J103" s="189">
        <v>5.96</v>
      </c>
      <c r="K103" s="154">
        <v>14.34</v>
      </c>
      <c r="L103" s="154" t="s">
        <v>3650</v>
      </c>
      <c r="M103" s="170"/>
      <c r="N103" s="154" t="s">
        <v>8341</v>
      </c>
      <c r="O103" s="170" t="str">
        <f t="array" ref="O103">IFERROR(
VLOOKUP(
TRIM(CLEAN(
INDEX(REPORTE_DROPI!K:K,
MATCH(T103, REPORTE_DROPI!B:B, 0)
))),
{
TRIM(CLEAN(MAPA_ESTADOS!A:A)) ,
MAPA_ESTADOS!B:B
},
2,
FALSE
),
"REVISAR"
)</f>
        <v>ENTREGADO</v>
      </c>
      <c r="P103" s="154" t="s">
        <v>3655</v>
      </c>
      <c r="Q103" s="191" t="str">
        <f t="shared" si="1"/>
        <v/>
      </c>
      <c r="R103" s="170"/>
      <c r="S103" s="170"/>
      <c r="T103" s="154">
        <f t="array" ref="T103">IFERROR(
INDEX(REPORTE_DROPI!B:B,
MATCH(
CLEAN(TRIM(C103)),
CLEAN(TRIM(REPORTE_DROPI!E:E)),
0
)
),
""
)
</f>
        <v>4720277</v>
      </c>
      <c r="U103" s="154" t="s">
        <v>8342</v>
      </c>
      <c r="V103" s="192"/>
      <c r="W103" s="192"/>
      <c r="X103" s="192"/>
      <c r="Y103" s="192"/>
      <c r="Z103" s="192"/>
    </row>
    <row r="104" ht="22.5" customHeight="1">
      <c r="A104" s="154"/>
      <c r="B104" s="170">
        <v>46087.0</v>
      </c>
      <c r="C104" s="154" t="s">
        <v>8343</v>
      </c>
      <c r="D104" s="154" t="str">
        <f>IFERROR(__xludf.DUMMYFUNCTION("""COMPUTED_VALUE"""),"FreeBeat Adapter")</f>
        <v>FreeBeat Adapter</v>
      </c>
      <c r="E104" s="188" t="s">
        <v>3650</v>
      </c>
      <c r="F104" s="189">
        <v>3.0</v>
      </c>
      <c r="G104" s="190" t="s">
        <v>3650</v>
      </c>
      <c r="H104" s="154" t="s">
        <v>3727</v>
      </c>
      <c r="I104" s="154" t="s">
        <v>8247</v>
      </c>
      <c r="J104" s="189" t="s">
        <v>3650</v>
      </c>
      <c r="K104" s="154"/>
      <c r="L104" s="154" t="s">
        <v>3650</v>
      </c>
      <c r="M104" s="170" t="s">
        <v>5877</v>
      </c>
      <c r="N104" s="154" t="s">
        <v>8344</v>
      </c>
      <c r="O104" s="170" t="str">
        <f t="array" ref="O104">IFERROR(
VLOOKUP(
TRIM(CLEAN(
INDEX(REPORTE_DROPI!K:K,
MATCH(T104, REPORTE_DROPI!B:B, 0)
))),
{
TRIM(CLEAN(MAPA_ESTADOS!A:A)) ,
MAPA_ESTADOS!B:B
},
2,
FALSE
),
"REVISAR"
)</f>
        <v>PENDIENTE</v>
      </c>
      <c r="P104" s="202" t="s">
        <v>8345</v>
      </c>
      <c r="Q104" s="191" t="str">
        <f t="shared" si="1"/>
        <v/>
      </c>
      <c r="R104" s="170"/>
      <c r="S104" s="170"/>
      <c r="T104" s="154">
        <f t="array" ref="T104">IFERROR(
INDEX(REPORTE_DROPI!B:B,
MATCH(
CLEAN(TRIM(C104)),
CLEAN(TRIM(REPORTE_DROPI!E:E)),
0
)
),
""
)
</f>
        <v>4722368</v>
      </c>
      <c r="U104" s="154" t="s">
        <v>8346</v>
      </c>
      <c r="V104" s="192"/>
      <c r="W104" s="192"/>
      <c r="X104" s="192"/>
      <c r="Y104" s="192"/>
      <c r="Z104" s="192"/>
    </row>
    <row r="105" ht="22.5" customHeight="1">
      <c r="A105" s="154"/>
      <c r="B105" s="170">
        <v>46087.0</v>
      </c>
      <c r="C105" s="154" t="s">
        <v>8347</v>
      </c>
      <c r="D105" s="154" t="str">
        <f>IFERROR(__xludf.DUMMYFUNCTION("""COMPUTED_VALUE"""),"FilmPro®")</f>
        <v>FilmPro®</v>
      </c>
      <c r="E105" s="188" t="s">
        <v>3650</v>
      </c>
      <c r="F105" s="189">
        <v>2.0</v>
      </c>
      <c r="G105" s="190" t="s">
        <v>3650</v>
      </c>
      <c r="H105" s="154" t="s">
        <v>3727</v>
      </c>
      <c r="I105" s="154" t="s">
        <v>8243</v>
      </c>
      <c r="J105" s="189" t="s">
        <v>3650</v>
      </c>
      <c r="K105" s="154"/>
      <c r="L105" s="154">
        <v>0.0</v>
      </c>
      <c r="M105" s="170"/>
      <c r="N105" s="154" t="s">
        <v>8348</v>
      </c>
      <c r="O105" s="170" t="str">
        <f t="array" ref="O105">IFERROR(
VLOOKUP(
TRIM(CLEAN(
INDEX(REPORTE_DROPI!K:K,
MATCH(T105, REPORTE_DROPI!B:B, 0)
))),
{
TRIM(CLEAN(MAPA_ESTADOS!A:A)) ,
MAPA_ESTADOS!B:B
},
2,
FALSE
),
"REVISAR"
)</f>
        <v>DEVOLUCION</v>
      </c>
      <c r="P105" s="154" t="s">
        <v>3655</v>
      </c>
      <c r="Q105" s="191" t="str">
        <f t="shared" si="1"/>
        <v/>
      </c>
      <c r="R105" s="170"/>
      <c r="S105" s="170"/>
      <c r="T105" s="154">
        <f t="array" ref="T105">IFERROR(
INDEX(REPORTE_DROPI!B:B,
MATCH(
CLEAN(TRIM(C105)),
CLEAN(TRIM(REPORTE_DROPI!E:E)),
0
)
),
""
)
</f>
        <v>4722934</v>
      </c>
      <c r="U105" s="194">
        <v>1.57100198107E11</v>
      </c>
      <c r="V105" s="192"/>
      <c r="W105" s="192"/>
      <c r="X105" s="192"/>
      <c r="Y105" s="192"/>
      <c r="Z105" s="192"/>
    </row>
    <row r="106" ht="22.5" customHeight="1">
      <c r="A106" s="154"/>
      <c r="B106" s="170">
        <v>46087.0</v>
      </c>
      <c r="C106" s="154" t="s">
        <v>8349</v>
      </c>
      <c r="D106" s="154" t="str">
        <f>IFERROR(__xludf.DUMMYFUNCTION("""COMPUTED_VALUE"""),"FilmPro®")</f>
        <v>FilmPro®</v>
      </c>
      <c r="E106" s="188" t="s">
        <v>3650</v>
      </c>
      <c r="F106" s="189">
        <v>3.0</v>
      </c>
      <c r="G106" s="190" t="s">
        <v>3650</v>
      </c>
      <c r="H106" s="154" t="s">
        <v>3727</v>
      </c>
      <c r="I106" s="154" t="s">
        <v>8233</v>
      </c>
      <c r="J106" s="189" t="s">
        <v>3650</v>
      </c>
      <c r="K106" s="154"/>
      <c r="L106" s="154" t="s">
        <v>3650</v>
      </c>
      <c r="M106" s="170"/>
      <c r="N106" s="154" t="s">
        <v>8350</v>
      </c>
      <c r="O106" s="170" t="str">
        <f t="array" ref="O106">IFERROR(
VLOOKUP(
TRIM(CLEAN(
INDEX(REPORTE_DROPI!K:K,
MATCH(T106, REPORTE_DROPI!B:B, 0)
))),
{
TRIM(CLEAN(MAPA_ESTADOS!A:A)) ,
MAPA_ESTADOS!B:B
},
2,
FALSE
),
"REVISAR"
)</f>
        <v>PENDIENTE</v>
      </c>
      <c r="P106" s="202" t="s">
        <v>8240</v>
      </c>
      <c r="Q106" s="191" t="str">
        <f t="shared" si="1"/>
        <v/>
      </c>
      <c r="R106" s="170"/>
      <c r="S106" s="170"/>
      <c r="T106" s="154">
        <f t="array" ref="T106">IFERROR(
INDEX(REPORTE_DROPI!B:B,
MATCH(
CLEAN(TRIM(C106)),
CLEAN(TRIM(REPORTE_DROPI!E:E)),
0
)
),
""
)
</f>
        <v>4722961</v>
      </c>
      <c r="U106" s="194">
        <v>1.57100108137E11</v>
      </c>
      <c r="V106" s="192"/>
      <c r="W106" s="192"/>
      <c r="X106" s="192"/>
      <c r="Y106" s="192"/>
      <c r="Z106" s="192"/>
    </row>
    <row r="107" ht="22.5" customHeight="1">
      <c r="A107" s="154"/>
      <c r="B107" s="170">
        <v>46087.0</v>
      </c>
      <c r="C107" s="154" t="s">
        <v>8351</v>
      </c>
      <c r="D107" s="154" t="str">
        <f>IFERROR(__xludf.DUMMYFUNCTION("""COMPUTED_VALUE"""),"FilmPro®")</f>
        <v>FilmPro®</v>
      </c>
      <c r="E107" s="188">
        <v>4.7</v>
      </c>
      <c r="F107" s="189">
        <v>2.0</v>
      </c>
      <c r="G107" s="190">
        <v>25.0</v>
      </c>
      <c r="H107" s="154" t="s">
        <v>3727</v>
      </c>
      <c r="I107" s="154" t="s">
        <v>8352</v>
      </c>
      <c r="J107" s="189">
        <v>5.96</v>
      </c>
      <c r="K107" s="154">
        <v>14.34</v>
      </c>
      <c r="L107" s="154" t="s">
        <v>3650</v>
      </c>
      <c r="M107" s="170"/>
      <c r="N107" s="154" t="s">
        <v>8353</v>
      </c>
      <c r="O107" s="170" t="str">
        <f t="array" ref="O107">IFERROR(
VLOOKUP(
TRIM(CLEAN(
INDEX(REPORTE_DROPI!K:K,
MATCH(T107, REPORTE_DROPI!B:B, 0)
))),
{
TRIM(CLEAN(MAPA_ESTADOS!A:A)) ,
MAPA_ESTADOS!B:B
},
2,
FALSE
),
"REVISAR"
)</f>
        <v>ENTREGADO</v>
      </c>
      <c r="P107" s="154" t="s">
        <v>3655</v>
      </c>
      <c r="Q107" s="191" t="str">
        <f t="shared" si="1"/>
        <v/>
      </c>
      <c r="R107" s="170"/>
      <c r="S107" s="170"/>
      <c r="T107" s="154">
        <f t="array" ref="T107">IFERROR(
INDEX(REPORTE_DROPI!B:B,
MATCH(
CLEAN(TRIM(C107)),
CLEAN(TRIM(REPORTE_DROPI!E:E)),
0
)
),
""
)
</f>
        <v>4723290</v>
      </c>
      <c r="U107" s="154" t="s">
        <v>8354</v>
      </c>
      <c r="V107" s="192"/>
      <c r="W107" s="192"/>
      <c r="X107" s="192"/>
      <c r="Y107" s="192"/>
      <c r="Z107" s="192"/>
    </row>
    <row r="108" ht="22.5" customHeight="1">
      <c r="A108" s="154"/>
      <c r="B108" s="170">
        <v>46087.0</v>
      </c>
      <c r="C108" s="154" t="s">
        <v>8355</v>
      </c>
      <c r="D108" s="154" t="str">
        <f>IFERROR(__xludf.DUMMYFUNCTION("""COMPUTED_VALUE"""),"DrainGuard Pro™")</f>
        <v>DrainGuard Pro™</v>
      </c>
      <c r="E108" s="188" t="s">
        <v>3650</v>
      </c>
      <c r="F108" s="189">
        <v>2.0</v>
      </c>
      <c r="G108" s="190" t="s">
        <v>3650</v>
      </c>
      <c r="H108" s="154" t="s">
        <v>3727</v>
      </c>
      <c r="I108" s="154" t="s">
        <v>8247</v>
      </c>
      <c r="J108" s="189" t="s">
        <v>3650</v>
      </c>
      <c r="K108" s="154"/>
      <c r="L108" s="154" t="s">
        <v>3650</v>
      </c>
      <c r="M108" s="170"/>
      <c r="N108" s="154" t="s">
        <v>8356</v>
      </c>
      <c r="O108" s="170" t="str">
        <f t="array" ref="O108">IFERROR(
VLOOKUP(
TRIM(CLEAN(
INDEX(REPORTE_DROPI!K:K,
MATCH(T108, REPORTE_DROPI!B:B, 0)
))),
{
TRIM(CLEAN(MAPA_ESTADOS!A:A)) ,
MAPA_ESTADOS!B:B
},
2,
FALSE
),
"REVISAR"
)</f>
        <v>CANCELADO</v>
      </c>
      <c r="P108" s="205" t="s">
        <v>8357</v>
      </c>
      <c r="Q108" s="191" t="str">
        <f t="shared" si="1"/>
        <v/>
      </c>
      <c r="R108" s="170"/>
      <c r="S108" s="170"/>
      <c r="T108" s="154">
        <f t="array" ref="T108">IFERROR(
INDEX(REPORTE_DROPI!B:B,
MATCH(
CLEAN(TRIM(C108)),
CLEAN(TRIM(REPORTE_DROPI!E:E)),
0
)
),
""
)
</f>
        <v>4723354</v>
      </c>
      <c r="U108" s="154" t="s">
        <v>8358</v>
      </c>
      <c r="V108" s="192"/>
      <c r="W108" s="192"/>
      <c r="X108" s="192"/>
      <c r="Y108" s="192"/>
      <c r="Z108" s="192"/>
    </row>
    <row r="109" ht="22.5" customHeight="1">
      <c r="A109" s="154"/>
      <c r="B109" s="170">
        <v>46087.0</v>
      </c>
      <c r="C109" s="154" t="s">
        <v>8359</v>
      </c>
      <c r="D109" s="154" t="str">
        <f>IFERROR(__xludf.DUMMYFUNCTION("""COMPUTED_VALUE"""),"FilmPro®")</f>
        <v>FilmPro®</v>
      </c>
      <c r="E109" s="188">
        <v>7.05</v>
      </c>
      <c r="F109" s="189">
        <v>3.0</v>
      </c>
      <c r="G109" s="190">
        <v>30.0</v>
      </c>
      <c r="H109" s="154" t="s">
        <v>3727</v>
      </c>
      <c r="I109" s="154" t="s">
        <v>8360</v>
      </c>
      <c r="J109" s="189">
        <v>6.16</v>
      </c>
      <c r="K109" s="154">
        <v>16.79</v>
      </c>
      <c r="L109" s="154" t="s">
        <v>3650</v>
      </c>
      <c r="M109" s="170"/>
      <c r="N109" s="154" t="s">
        <v>8361</v>
      </c>
      <c r="O109" s="170" t="str">
        <f t="array" ref="O109">IFERROR(
VLOOKUP(
TRIM(CLEAN(
INDEX(REPORTE_DROPI!K:K,
MATCH(T109, REPORTE_DROPI!B:B, 0)
))),
{
TRIM(CLEAN(MAPA_ESTADOS!A:A)) ,
MAPA_ESTADOS!B:B
},
2,
FALSE
),
"REVISAR"
)</f>
        <v>ENTREGADO</v>
      </c>
      <c r="P109" s="154" t="s">
        <v>3655</v>
      </c>
      <c r="Q109" s="191" t="str">
        <f t="shared" si="1"/>
        <v/>
      </c>
      <c r="R109" s="170"/>
      <c r="S109" s="170"/>
      <c r="T109" s="154">
        <f t="array" ref="T109">IFERROR(
INDEX(REPORTE_DROPI!B:B,
MATCH(
CLEAN(TRIM(C109)),
CLEAN(TRIM(REPORTE_DROPI!E:E)),
0
)
),
""
)
</f>
        <v>4723994</v>
      </c>
      <c r="U109" s="154" t="s">
        <v>8362</v>
      </c>
      <c r="V109" s="192"/>
      <c r="W109" s="192"/>
      <c r="X109" s="192"/>
      <c r="Y109" s="192"/>
      <c r="Z109" s="192"/>
    </row>
    <row r="110" ht="22.5" customHeight="1">
      <c r="A110" s="154"/>
      <c r="B110" s="170">
        <v>46087.0</v>
      </c>
      <c r="C110" s="154" t="s">
        <v>8363</v>
      </c>
      <c r="D110" s="154" t="str">
        <f>IFERROR(__xludf.DUMMYFUNCTION("""COMPUTED_VALUE"""),"DrainGuard Pro™")</f>
        <v>DrainGuard Pro™</v>
      </c>
      <c r="E110" s="188" t="s">
        <v>3650</v>
      </c>
      <c r="F110" s="189">
        <v>2.0</v>
      </c>
      <c r="G110" s="190" t="s">
        <v>3650</v>
      </c>
      <c r="H110" s="154" t="s">
        <v>3727</v>
      </c>
      <c r="I110" s="154" t="s">
        <v>8243</v>
      </c>
      <c r="J110" s="189" t="s">
        <v>3650</v>
      </c>
      <c r="K110" s="154"/>
      <c r="L110" s="154" t="s">
        <v>3650</v>
      </c>
      <c r="M110" s="170"/>
      <c r="N110" s="154" t="s">
        <v>8364</v>
      </c>
      <c r="O110" s="170" t="str">
        <f t="array" ref="O110">IFERROR(
VLOOKUP(
TRIM(CLEAN(
INDEX(REPORTE_DROPI!K:K,
MATCH(T110, REPORTE_DROPI!B:B, 0)
))),
{
TRIM(CLEAN(MAPA_ESTADOS!A:A)) ,
MAPA_ESTADOS!B:B
},
2,
FALSE
),
"REVISAR"
)</f>
        <v>CANCELADO</v>
      </c>
      <c r="P110" s="205" t="s">
        <v>8365</v>
      </c>
      <c r="Q110" s="191" t="str">
        <f t="shared" si="1"/>
        <v/>
      </c>
      <c r="R110" s="170"/>
      <c r="S110" s="170"/>
      <c r="T110" s="154">
        <f t="array" ref="T110">IFERROR(
INDEX(REPORTE_DROPI!B:B,
MATCH(
CLEAN(TRIM(C110)),
CLEAN(TRIM(REPORTE_DROPI!E:E)),
0
)
),
""
)
</f>
        <v>4734768</v>
      </c>
      <c r="U110" s="154" t="s">
        <v>8366</v>
      </c>
      <c r="V110" s="192"/>
      <c r="W110" s="192"/>
      <c r="X110" s="192"/>
      <c r="Y110" s="192"/>
      <c r="Z110" s="192"/>
    </row>
    <row r="111" ht="22.5" customHeight="1">
      <c r="A111" s="154"/>
      <c r="B111" s="170">
        <v>46087.0</v>
      </c>
      <c r="C111" s="154" t="s">
        <v>8367</v>
      </c>
      <c r="D111" s="154" t="str">
        <f>IFERROR(__xludf.DUMMYFUNCTION("""COMPUTED_VALUE"""),"FilmPro®")</f>
        <v>FilmPro®</v>
      </c>
      <c r="E111" s="188" t="s">
        <v>3650</v>
      </c>
      <c r="F111" s="189">
        <v>1.0</v>
      </c>
      <c r="G111" s="190" t="s">
        <v>3650</v>
      </c>
      <c r="H111" s="154" t="s">
        <v>3727</v>
      </c>
      <c r="I111" s="154" t="s">
        <v>8251</v>
      </c>
      <c r="J111" s="189" t="s">
        <v>3650</v>
      </c>
      <c r="K111" s="154"/>
      <c r="L111" s="154" t="s">
        <v>3650</v>
      </c>
      <c r="M111" s="170"/>
      <c r="N111" s="154" t="s">
        <v>8368</v>
      </c>
      <c r="O111" s="170" t="str">
        <f t="array" ref="O111">IFERROR(
VLOOKUP(
TRIM(CLEAN(
INDEX(REPORTE_DROPI!K:K,
MATCH(T111, REPORTE_DROPI!B:B, 0)
))),
{
TRIM(CLEAN(MAPA_ESTADOS!A:A)) ,
MAPA_ESTADOS!B:B
},
2,
FALSE
),
"REVISAR"
)</f>
        <v>CANCELADO</v>
      </c>
      <c r="P111" s="205" t="s">
        <v>8369</v>
      </c>
      <c r="Q111" s="191" t="str">
        <f t="shared" si="1"/>
        <v/>
      </c>
      <c r="R111" s="170"/>
      <c r="S111" s="170"/>
      <c r="T111" s="154">
        <f t="array" ref="T111">IFERROR(
INDEX(REPORTE_DROPI!B:B,
MATCH(
CLEAN(TRIM(C111)),
CLEAN(TRIM(REPORTE_DROPI!E:E)),
0
)
),
""
)
</f>
        <v>4724715</v>
      </c>
      <c r="U111" s="154" t="s">
        <v>8370</v>
      </c>
      <c r="V111" s="192"/>
      <c r="W111" s="192"/>
      <c r="X111" s="192"/>
      <c r="Y111" s="192"/>
      <c r="Z111" s="192"/>
    </row>
    <row r="112" ht="22.5" customHeight="1">
      <c r="A112" s="154"/>
      <c r="B112" s="170">
        <v>46087.0</v>
      </c>
      <c r="C112" s="154" t="s">
        <v>8371</v>
      </c>
      <c r="D112" s="154" t="str">
        <f>IFERROR(__xludf.DUMMYFUNCTION("""COMPUTED_VALUE"""),"FilmPro®")</f>
        <v>FilmPro®</v>
      </c>
      <c r="E112" s="188" t="s">
        <v>3650</v>
      </c>
      <c r="F112" s="189">
        <v>1.0</v>
      </c>
      <c r="G112" s="190" t="s">
        <v>3650</v>
      </c>
      <c r="H112" s="154" t="s">
        <v>3727</v>
      </c>
      <c r="I112" s="154" t="s">
        <v>8372</v>
      </c>
      <c r="J112" s="189" t="s">
        <v>3650</v>
      </c>
      <c r="K112" s="154"/>
      <c r="L112" s="154" t="s">
        <v>3650</v>
      </c>
      <c r="M112" s="170"/>
      <c r="N112" s="154" t="s">
        <v>8373</v>
      </c>
      <c r="O112" s="170" t="str">
        <f t="array" ref="O112">IFERROR(
VLOOKUP(
TRIM(CLEAN(
INDEX(REPORTE_DROPI!K:K,
MATCH(T112, REPORTE_DROPI!B:B, 0)
))),
{
TRIM(CLEAN(MAPA_ESTADOS!A:A)) ,
MAPA_ESTADOS!B:B
},
2,
FALSE
),
"REVISAR"
)</f>
        <v>PENDIENTE</v>
      </c>
      <c r="P112" s="154" t="s">
        <v>3655</v>
      </c>
      <c r="Q112" s="191" t="str">
        <f t="shared" si="1"/>
        <v/>
      </c>
      <c r="R112" s="170"/>
      <c r="S112" s="170"/>
      <c r="T112" s="154">
        <f t="array" ref="T112">IFERROR(
INDEX(REPORTE_DROPI!B:B,
MATCH(
CLEAN(TRIM(C112)),
CLEAN(TRIM(REPORTE_DROPI!E:E)),
0
)
),
""
)
</f>
        <v>4725128</v>
      </c>
      <c r="U112" s="154" t="s">
        <v>8374</v>
      </c>
      <c r="V112" s="192"/>
      <c r="W112" s="192"/>
      <c r="X112" s="192"/>
      <c r="Y112" s="192"/>
      <c r="Z112" s="192"/>
    </row>
    <row r="113" ht="22.5" customHeight="1">
      <c r="A113" s="154"/>
      <c r="B113" s="170">
        <v>46088.0</v>
      </c>
      <c r="C113" s="154" t="s">
        <v>8375</v>
      </c>
      <c r="D113" s="154" t="str">
        <f>IFERROR(__xludf.DUMMYFUNCTION("""COMPUTED_VALUE"""),"FilmPro®")</f>
        <v>FilmPro®</v>
      </c>
      <c r="E113" s="188" t="s">
        <v>3650</v>
      </c>
      <c r="F113" s="189">
        <v>2.0</v>
      </c>
      <c r="G113" s="190" t="s">
        <v>3650</v>
      </c>
      <c r="H113" s="154" t="s">
        <v>3727</v>
      </c>
      <c r="I113" s="154" t="s">
        <v>3740</v>
      </c>
      <c r="J113" s="189" t="s">
        <v>3650</v>
      </c>
      <c r="K113" s="154"/>
      <c r="L113" s="154" t="s">
        <v>3650</v>
      </c>
      <c r="M113" s="170"/>
      <c r="N113" s="154" t="s">
        <v>8376</v>
      </c>
      <c r="O113" s="170" t="str">
        <f t="array" ref="O113">IFERROR(
VLOOKUP(
TRIM(CLEAN(
INDEX(REPORTE_DROPI!K:K,
MATCH(T113, REPORTE_DROPI!B:B, 0)
))),
{
TRIM(CLEAN(MAPA_ESTADOS!A:A)) ,
MAPA_ESTADOS!B:B
},
2,
FALSE
),
"REVISAR"
)</f>
        <v>PENDIENTE</v>
      </c>
      <c r="P113" s="205" t="s">
        <v>8377</v>
      </c>
      <c r="Q113" s="191" t="str">
        <f t="shared" si="1"/>
        <v/>
      </c>
      <c r="R113" s="170"/>
      <c r="S113" s="170"/>
      <c r="T113" s="154">
        <f t="array" ref="T113">IFERROR(
INDEX(REPORTE_DROPI!B:B,
MATCH(
CLEAN(TRIM(C113)),
CLEAN(TRIM(REPORTE_DROPI!E:E)),
0
)
),
""
)
</f>
        <v>4725679</v>
      </c>
      <c r="U113" s="154" t="s">
        <v>8378</v>
      </c>
      <c r="V113" s="192"/>
      <c r="W113" s="192"/>
      <c r="X113" s="192"/>
      <c r="Y113" s="192"/>
      <c r="Z113" s="192"/>
    </row>
    <row r="114" ht="22.5" customHeight="1">
      <c r="A114" s="154"/>
      <c r="B114" s="170">
        <v>46088.0</v>
      </c>
      <c r="C114" s="154" t="s">
        <v>8379</v>
      </c>
      <c r="D114" s="154" t="str">
        <f>IFERROR(__xludf.DUMMYFUNCTION("""COMPUTED_VALUE"""),"FilmPro®")</f>
        <v>FilmPro®</v>
      </c>
      <c r="E114" s="188">
        <v>2.35</v>
      </c>
      <c r="F114" s="189">
        <v>1.0</v>
      </c>
      <c r="G114" s="190">
        <v>20.0</v>
      </c>
      <c r="H114" s="154" t="s">
        <v>3727</v>
      </c>
      <c r="I114" s="154" t="s">
        <v>8247</v>
      </c>
      <c r="J114" s="189">
        <v>4.15</v>
      </c>
      <c r="K114" s="154">
        <v>13.5</v>
      </c>
      <c r="L114" s="154" t="s">
        <v>3650</v>
      </c>
      <c r="M114" s="170"/>
      <c r="N114" s="154" t="s">
        <v>8380</v>
      </c>
      <c r="O114" s="170" t="str">
        <f t="array" ref="O114">IFERROR(
VLOOKUP(
TRIM(CLEAN(
INDEX(REPORTE_DROPI!K:K,
MATCH(T114, REPORTE_DROPI!B:B, 0)
))),
{
TRIM(CLEAN(MAPA_ESTADOS!A:A)) ,
MAPA_ESTADOS!B:B
},
2,
FALSE
),
"REVISAR"
)</f>
        <v>ENTREGADO</v>
      </c>
      <c r="P114" s="154" t="s">
        <v>3655</v>
      </c>
      <c r="Q114" s="191" t="str">
        <f t="shared" si="1"/>
        <v/>
      </c>
      <c r="R114" s="170"/>
      <c r="S114" s="170"/>
      <c r="T114" s="154">
        <f t="array" ref="T114">IFERROR(
INDEX(REPORTE_DROPI!B:B,
MATCH(
CLEAN(TRIM(C114)),
CLEAN(TRIM(REPORTE_DROPI!E:E)),
0
)
),
""
)
</f>
        <v>4725992</v>
      </c>
      <c r="U114" s="154" t="s">
        <v>8381</v>
      </c>
      <c r="V114" s="192"/>
      <c r="W114" s="192"/>
      <c r="X114" s="192"/>
      <c r="Y114" s="192"/>
      <c r="Z114" s="192"/>
    </row>
    <row r="115" ht="22.5" customHeight="1">
      <c r="A115" s="154"/>
      <c r="B115" s="170">
        <v>46088.0</v>
      </c>
      <c r="C115" s="154" t="s">
        <v>8382</v>
      </c>
      <c r="D115" s="154" t="str">
        <f>IFERROR(__xludf.DUMMYFUNCTION("""COMPUTED_VALUE"""),"FilmPro®")</f>
        <v>FilmPro®</v>
      </c>
      <c r="E115" s="188">
        <v>7.05</v>
      </c>
      <c r="F115" s="189">
        <v>3.0</v>
      </c>
      <c r="G115" s="190">
        <v>30.0</v>
      </c>
      <c r="H115" s="154" t="s">
        <v>3727</v>
      </c>
      <c r="I115" s="154" t="s">
        <v>8265</v>
      </c>
      <c r="J115" s="189">
        <v>6.16</v>
      </c>
      <c r="K115" s="154">
        <v>16.79</v>
      </c>
      <c r="L115" s="154" t="s">
        <v>3650</v>
      </c>
      <c r="M115" s="170"/>
      <c r="N115" s="154" t="s">
        <v>8383</v>
      </c>
      <c r="O115" s="170" t="str">
        <f t="array" ref="O115">IFERROR(
VLOOKUP(
TRIM(CLEAN(
INDEX(REPORTE_DROPI!K:K,
MATCH(T115, REPORTE_DROPI!B:B, 0)
))),
{
TRIM(CLEAN(MAPA_ESTADOS!A:A)) ,
MAPA_ESTADOS!B:B
},
2,
FALSE
),
"REVISAR"
)</f>
        <v>ENTREGADO</v>
      </c>
      <c r="P115" s="154" t="s">
        <v>3655</v>
      </c>
      <c r="Q115" s="191" t="str">
        <f t="shared" si="1"/>
        <v/>
      </c>
      <c r="R115" s="170"/>
      <c r="S115" s="170"/>
      <c r="T115" s="154">
        <f t="array" ref="T115">IFERROR(
INDEX(REPORTE_DROPI!B:B,
MATCH(
CLEAN(TRIM(C115)),
CLEAN(TRIM(REPORTE_DROPI!E:E)),
0
)
),
""
)
</f>
        <v>4726120</v>
      </c>
      <c r="U115" s="194">
        <v>4.5236151108E10</v>
      </c>
      <c r="V115" s="192"/>
      <c r="W115" s="192"/>
      <c r="X115" s="192"/>
      <c r="Y115" s="192"/>
      <c r="Z115" s="192"/>
    </row>
    <row r="116" ht="22.5" customHeight="1">
      <c r="A116" s="154"/>
      <c r="B116" s="170">
        <v>46088.0</v>
      </c>
      <c r="C116" s="154" t="s">
        <v>8384</v>
      </c>
      <c r="D116" s="154" t="str">
        <f>IFERROR(__xludf.DUMMYFUNCTION("""COMPUTED_VALUE"""),"FilmPro®")</f>
        <v>FilmPro®</v>
      </c>
      <c r="E116" s="188" t="s">
        <v>3650</v>
      </c>
      <c r="F116" s="189">
        <v>1.0</v>
      </c>
      <c r="G116" s="190" t="s">
        <v>3650</v>
      </c>
      <c r="H116" s="154" t="s">
        <v>3727</v>
      </c>
      <c r="I116" s="154" t="s">
        <v>8243</v>
      </c>
      <c r="J116" s="189" t="s">
        <v>3650</v>
      </c>
      <c r="K116" s="154"/>
      <c r="L116" s="154">
        <v>0.0</v>
      </c>
      <c r="M116" s="170"/>
      <c r="N116" s="154" t="s">
        <v>8385</v>
      </c>
      <c r="O116" s="170" t="str">
        <f t="array" ref="O116">IFERROR(
VLOOKUP(
TRIM(CLEAN(
INDEX(REPORTE_DROPI!K:K,
MATCH(T116, REPORTE_DROPI!B:B, 0)
))),
{
TRIM(CLEAN(MAPA_ESTADOS!A:A)) ,
MAPA_ESTADOS!B:B
},
2,
FALSE
),
"REVISAR"
)</f>
        <v>DEVOLUCION</v>
      </c>
      <c r="P116" s="154" t="s">
        <v>3655</v>
      </c>
      <c r="Q116" s="191" t="str">
        <f t="shared" si="1"/>
        <v/>
      </c>
      <c r="R116" s="170"/>
      <c r="S116" s="170"/>
      <c r="T116" s="154">
        <f t="array" ref="T116">IFERROR(
INDEX(REPORTE_DROPI!B:B,
MATCH(
CLEAN(TRIM(C116)),
CLEAN(TRIM(REPORTE_DROPI!E:E)),
0
)
),
""
)
</f>
        <v>4726385</v>
      </c>
      <c r="U116" s="154" t="s">
        <v>8386</v>
      </c>
      <c r="V116" s="192"/>
      <c r="W116" s="192"/>
      <c r="X116" s="192"/>
      <c r="Y116" s="192"/>
      <c r="Z116" s="192"/>
    </row>
    <row r="117" ht="22.5" customHeight="1">
      <c r="A117" s="154"/>
      <c r="B117" s="170">
        <v>46088.0</v>
      </c>
      <c r="C117" s="154" t="s">
        <v>8387</v>
      </c>
      <c r="D117" s="154" t="str">
        <f>IFERROR(__xludf.DUMMYFUNCTION("""COMPUTED_VALUE"""),"FilmPro®")</f>
        <v>FilmPro®</v>
      </c>
      <c r="E117" s="188">
        <v>2.35</v>
      </c>
      <c r="F117" s="189">
        <v>1.0</v>
      </c>
      <c r="G117" s="190">
        <v>20.0</v>
      </c>
      <c r="H117" s="154" t="s">
        <v>3727</v>
      </c>
      <c r="I117" s="154" t="s">
        <v>8247</v>
      </c>
      <c r="J117" s="189">
        <v>4.15</v>
      </c>
      <c r="K117" s="154">
        <v>13.5</v>
      </c>
      <c r="L117" s="154" t="s">
        <v>3650</v>
      </c>
      <c r="M117" s="170"/>
      <c r="N117" s="154" t="s">
        <v>8388</v>
      </c>
      <c r="O117" s="170" t="str">
        <f t="array" ref="O117">IFERROR(
VLOOKUP(
TRIM(CLEAN(
INDEX(REPORTE_DROPI!K:K,
MATCH(T117, REPORTE_DROPI!B:B, 0)
))),
{
TRIM(CLEAN(MAPA_ESTADOS!A:A)) ,
MAPA_ESTADOS!B:B
},
2,
FALSE
),
"REVISAR"
)</f>
        <v>ENTREGADO</v>
      </c>
      <c r="P117" s="154" t="s">
        <v>5692</v>
      </c>
      <c r="Q117" s="191" t="str">
        <f t="shared" si="1"/>
        <v/>
      </c>
      <c r="R117" s="170"/>
      <c r="S117" s="170"/>
      <c r="T117" s="154">
        <f t="array" ref="T117">IFERROR(
INDEX(REPORTE_DROPI!B:B,
MATCH(
CLEAN(TRIM(C117)),
CLEAN(TRIM(REPORTE_DROPI!E:E)),
0
)
),
""
)
</f>
        <v>4726632</v>
      </c>
      <c r="U117" s="154" t="s">
        <v>8389</v>
      </c>
      <c r="V117" s="192"/>
      <c r="W117" s="192"/>
      <c r="X117" s="192"/>
      <c r="Y117" s="192"/>
      <c r="Z117" s="192"/>
    </row>
    <row r="118" ht="22.5" customHeight="1">
      <c r="A118" s="154"/>
      <c r="B118" s="170">
        <v>46088.0</v>
      </c>
      <c r="C118" s="154" t="s">
        <v>8390</v>
      </c>
      <c r="D118" s="154" t="str">
        <f>IFERROR(__xludf.DUMMYFUNCTION("""COMPUTED_VALUE"""),"FilmPro®")</f>
        <v>FilmPro®</v>
      </c>
      <c r="E118" s="188">
        <v>4.7</v>
      </c>
      <c r="F118" s="189">
        <v>2.0</v>
      </c>
      <c r="G118" s="190">
        <v>25.0</v>
      </c>
      <c r="H118" s="154" t="s">
        <v>3727</v>
      </c>
      <c r="I118" s="154" t="s">
        <v>8243</v>
      </c>
      <c r="J118" s="189">
        <v>5.96</v>
      </c>
      <c r="K118" s="154">
        <v>14.34</v>
      </c>
      <c r="L118" s="154" t="s">
        <v>3650</v>
      </c>
      <c r="M118" s="170"/>
      <c r="N118" s="154" t="s">
        <v>8391</v>
      </c>
      <c r="O118" s="170" t="str">
        <f t="array" ref="O118">IFERROR(
VLOOKUP(
TRIM(CLEAN(
INDEX(REPORTE_DROPI!K:K,
MATCH(T118, REPORTE_DROPI!B:B, 0)
))),
{
TRIM(CLEAN(MAPA_ESTADOS!A:A)) ,
MAPA_ESTADOS!B:B
},
2,
FALSE
),
"REVISAR"
)</f>
        <v>ENTREGADO</v>
      </c>
      <c r="P118" s="154" t="s">
        <v>3655</v>
      </c>
      <c r="Q118" s="191" t="str">
        <f t="shared" si="1"/>
        <v/>
      </c>
      <c r="R118" s="170"/>
      <c r="S118" s="170"/>
      <c r="T118" s="154">
        <f t="array" ref="T118">IFERROR(
INDEX(REPORTE_DROPI!B:B,
MATCH(
CLEAN(TRIM(C118)),
CLEAN(TRIM(REPORTE_DROPI!E:E)),
0
)
),
""
)
</f>
        <v>4726977</v>
      </c>
      <c r="U118" s="154" t="s">
        <v>8392</v>
      </c>
      <c r="V118" s="192"/>
      <c r="W118" s="192"/>
      <c r="X118" s="192"/>
      <c r="Y118" s="192"/>
      <c r="Z118" s="192"/>
    </row>
    <row r="119" ht="22.5" customHeight="1">
      <c r="A119" s="154"/>
      <c r="B119" s="170">
        <v>46088.0</v>
      </c>
      <c r="C119" s="154" t="s">
        <v>8393</v>
      </c>
      <c r="D119" s="154" t="str">
        <f>IFERROR(__xludf.DUMMYFUNCTION("""COMPUTED_VALUE"""),"DrainGuard Pro™")</f>
        <v>DrainGuard Pro™</v>
      </c>
      <c r="E119" s="188">
        <v>7.0</v>
      </c>
      <c r="F119" s="189">
        <v>2.0</v>
      </c>
      <c r="G119" s="190">
        <v>25.0</v>
      </c>
      <c r="H119" s="154" t="s">
        <v>3727</v>
      </c>
      <c r="I119" s="154" t="s">
        <v>8265</v>
      </c>
      <c r="J119" s="189">
        <v>5.96</v>
      </c>
      <c r="K119" s="154">
        <v>12.04</v>
      </c>
      <c r="L119" s="154" t="s">
        <v>3650</v>
      </c>
      <c r="M119" s="170"/>
      <c r="N119" s="154" t="s">
        <v>8394</v>
      </c>
      <c r="O119" s="170" t="str">
        <f t="array" ref="O119">IFERROR(
VLOOKUP(
TRIM(CLEAN(
INDEX(REPORTE_DROPI!K:K,
MATCH(T119, REPORTE_DROPI!B:B, 0)
))),
{
TRIM(CLEAN(MAPA_ESTADOS!A:A)) ,
MAPA_ESTADOS!B:B
},
2,
FALSE
),
"REVISAR"
)</f>
        <v>ENTREGADO</v>
      </c>
      <c r="P119" s="154" t="s">
        <v>3655</v>
      </c>
      <c r="Q119" s="191" t="str">
        <f t="shared" si="1"/>
        <v/>
      </c>
      <c r="R119" s="170"/>
      <c r="S119" s="170"/>
      <c r="T119" s="154">
        <f t="array" ref="T119">IFERROR(
INDEX(REPORTE_DROPI!B:B,
MATCH(
CLEAN(TRIM(C119)),
CLEAN(TRIM(REPORTE_DROPI!E:E)),
0
)
),
""
)
</f>
        <v>4727036</v>
      </c>
      <c r="U119" s="154" t="s">
        <v>8395</v>
      </c>
      <c r="V119" s="192"/>
      <c r="W119" s="192"/>
      <c r="X119" s="192"/>
      <c r="Y119" s="192"/>
      <c r="Z119" s="192"/>
    </row>
    <row r="120" ht="22.5" customHeight="1">
      <c r="A120" s="154"/>
      <c r="B120" s="170">
        <v>46088.0</v>
      </c>
      <c r="C120" s="154" t="s">
        <v>8396</v>
      </c>
      <c r="D120" s="154" t="str">
        <f>IFERROR(__xludf.DUMMYFUNCTION("""COMPUTED_VALUE"""),"FilmPro®")</f>
        <v>FilmPro®</v>
      </c>
      <c r="E120" s="188">
        <v>7.05</v>
      </c>
      <c r="F120" s="189">
        <v>3.0</v>
      </c>
      <c r="G120" s="190">
        <v>30.0</v>
      </c>
      <c r="H120" s="154" t="s">
        <v>3727</v>
      </c>
      <c r="I120" s="154" t="s">
        <v>8243</v>
      </c>
      <c r="J120" s="189">
        <v>6.16</v>
      </c>
      <c r="K120" s="154">
        <v>16.79</v>
      </c>
      <c r="L120" s="154" t="s">
        <v>3650</v>
      </c>
      <c r="M120" s="170"/>
      <c r="N120" s="154" t="s">
        <v>8397</v>
      </c>
      <c r="O120" s="170" t="str">
        <f t="array" ref="O120">IFERROR(
VLOOKUP(
TRIM(CLEAN(
INDEX(REPORTE_DROPI!K:K,
MATCH(T120, REPORTE_DROPI!B:B, 0)
))),
{
TRIM(CLEAN(MAPA_ESTADOS!A:A)) ,
MAPA_ESTADOS!B:B
},
2,
FALSE
),
"REVISAR"
)</f>
        <v>ENTREGADO</v>
      </c>
      <c r="P120" s="154" t="s">
        <v>5692</v>
      </c>
      <c r="Q120" s="191" t="str">
        <f t="shared" si="1"/>
        <v/>
      </c>
      <c r="R120" s="170"/>
      <c r="S120" s="170"/>
      <c r="T120" s="154">
        <f t="array" ref="T120">IFERROR(
INDEX(REPORTE_DROPI!B:B,
MATCH(
CLEAN(TRIM(C120)),
CLEAN(TRIM(REPORTE_DROPI!E:E)),
0
)
),
""
)
</f>
        <v>4727374</v>
      </c>
      <c r="U120" s="154" t="s">
        <v>8398</v>
      </c>
      <c r="V120" s="192"/>
      <c r="W120" s="192"/>
      <c r="X120" s="192"/>
      <c r="Y120" s="192"/>
      <c r="Z120" s="192"/>
    </row>
    <row r="121" ht="22.5" customHeight="1">
      <c r="A121" s="154"/>
      <c r="B121" s="170">
        <v>46088.0</v>
      </c>
      <c r="C121" s="154" t="s">
        <v>8399</v>
      </c>
      <c r="D121" s="154" t="str">
        <f>IFERROR(__xludf.DUMMYFUNCTION("""COMPUTED_VALUE"""),"FilmPro®")</f>
        <v>FilmPro®</v>
      </c>
      <c r="E121" s="188">
        <v>4.7</v>
      </c>
      <c r="F121" s="189">
        <v>2.0</v>
      </c>
      <c r="G121" s="190">
        <v>25.0</v>
      </c>
      <c r="H121" s="154" t="s">
        <v>3727</v>
      </c>
      <c r="I121" s="154" t="s">
        <v>8247</v>
      </c>
      <c r="J121" s="189">
        <v>4.35</v>
      </c>
      <c r="K121" s="154">
        <v>15.95</v>
      </c>
      <c r="L121" s="154" t="s">
        <v>3650</v>
      </c>
      <c r="M121" s="170"/>
      <c r="N121" s="154" t="s">
        <v>8400</v>
      </c>
      <c r="O121" s="170" t="str">
        <f t="array" ref="O121">IFERROR(
VLOOKUP(
TRIM(CLEAN(
INDEX(REPORTE_DROPI!K:K,
MATCH(T121, REPORTE_DROPI!B:B, 0)
))),
{
TRIM(CLEAN(MAPA_ESTADOS!A:A)) ,
MAPA_ESTADOS!B:B
},
2,
FALSE
),
"REVISAR"
)</f>
        <v>ENTREGADO</v>
      </c>
      <c r="P121" s="154" t="s">
        <v>5692</v>
      </c>
      <c r="Q121" s="191" t="str">
        <f t="shared" si="1"/>
        <v/>
      </c>
      <c r="R121" s="170"/>
      <c r="S121" s="170"/>
      <c r="T121" s="154">
        <f t="array" ref="T121">IFERROR(
INDEX(REPORTE_DROPI!B:B,
MATCH(
CLEAN(TRIM(C121)),
CLEAN(TRIM(REPORTE_DROPI!E:E)),
0
)
),
""
)
</f>
        <v>4727511</v>
      </c>
      <c r="U121" s="154" t="s">
        <v>8401</v>
      </c>
      <c r="V121" s="192"/>
      <c r="W121" s="192"/>
      <c r="X121" s="192"/>
      <c r="Y121" s="192"/>
      <c r="Z121" s="192"/>
    </row>
    <row r="122" ht="22.5" customHeight="1">
      <c r="A122" s="154"/>
      <c r="B122" s="170">
        <v>46088.0</v>
      </c>
      <c r="C122" s="154" t="s">
        <v>6590</v>
      </c>
      <c r="D122" s="154" t="str">
        <f>IFERROR(__xludf.DUMMYFUNCTION("""COMPUTED_VALUE"""),"FilmPro®")</f>
        <v>FilmPro®</v>
      </c>
      <c r="E122" s="188" t="s">
        <v>3650</v>
      </c>
      <c r="F122" s="189">
        <v>1.0</v>
      </c>
      <c r="G122" s="190" t="s">
        <v>3650</v>
      </c>
      <c r="H122" s="154" t="s">
        <v>3727</v>
      </c>
      <c r="I122" s="154" t="s">
        <v>8243</v>
      </c>
      <c r="J122" s="189" t="s">
        <v>3650</v>
      </c>
      <c r="K122" s="154"/>
      <c r="L122" s="154" t="s">
        <v>3650</v>
      </c>
      <c r="M122" s="170"/>
      <c r="N122" s="154" t="s">
        <v>8402</v>
      </c>
      <c r="O122" s="170" t="str">
        <f t="array" ref="O122">IFERROR(
VLOOKUP(
TRIM(CLEAN(
INDEX(REPORTE_DROPI!K:K,
MATCH(T122, REPORTE_DROPI!B:B, 0)
))),
{
TRIM(CLEAN(MAPA_ESTADOS!A:A)) ,
MAPA_ESTADOS!B:B
},
2,
FALSE
),
"REVISAR"
)</f>
        <v>PENDIENTE</v>
      </c>
      <c r="P122" s="202" t="s">
        <v>8240</v>
      </c>
      <c r="Q122" s="191" t="str">
        <f t="shared" si="1"/>
        <v/>
      </c>
      <c r="R122" s="170"/>
      <c r="S122" s="170"/>
      <c r="T122" s="154">
        <f t="array" ref="T122">IFERROR(
INDEX(REPORTE_DROPI!B:B,
MATCH(
CLEAN(TRIM(C122)),
CLEAN(TRIM(REPORTE_DROPI!E:E)),
0
)
),
""
)
</f>
        <v>4727865</v>
      </c>
      <c r="U122" s="154" t="s">
        <v>6592</v>
      </c>
      <c r="V122" s="192"/>
      <c r="W122" s="192"/>
      <c r="X122" s="192"/>
      <c r="Y122" s="192"/>
      <c r="Z122" s="192"/>
    </row>
    <row r="123" ht="22.5" customHeight="1">
      <c r="A123" s="154"/>
      <c r="B123" s="170">
        <v>46088.0</v>
      </c>
      <c r="C123" s="154" t="s">
        <v>8403</v>
      </c>
      <c r="D123" s="154" t="str">
        <f>IFERROR(__xludf.DUMMYFUNCTION("""COMPUTED_VALUE"""),"FilmPro®")</f>
        <v>FilmPro®</v>
      </c>
      <c r="E123" s="188">
        <v>4.7</v>
      </c>
      <c r="F123" s="189">
        <v>2.0</v>
      </c>
      <c r="G123" s="190">
        <v>25.0</v>
      </c>
      <c r="H123" s="154" t="s">
        <v>3727</v>
      </c>
      <c r="I123" s="154" t="s">
        <v>8404</v>
      </c>
      <c r="J123" s="189">
        <v>6.97</v>
      </c>
      <c r="K123" s="154">
        <v>13.33</v>
      </c>
      <c r="L123" s="154" t="s">
        <v>3650</v>
      </c>
      <c r="M123" s="170"/>
      <c r="N123" s="154" t="s">
        <v>8405</v>
      </c>
      <c r="O123" s="170" t="str">
        <f t="array" ref="O123">IFERROR(
VLOOKUP(
TRIM(CLEAN(
INDEX(REPORTE_DROPI!K:K,
MATCH(T123, REPORTE_DROPI!B:B, 0)
))),
{
TRIM(CLEAN(MAPA_ESTADOS!A:A)) ,
MAPA_ESTADOS!B:B
},
2,
FALSE
),
"REVISAR"
)</f>
        <v>ENTREGADO</v>
      </c>
      <c r="P123" s="154" t="s">
        <v>5692</v>
      </c>
      <c r="Q123" s="191" t="str">
        <f t="shared" si="1"/>
        <v/>
      </c>
      <c r="R123" s="170"/>
      <c r="S123" s="170"/>
      <c r="T123" s="154">
        <f t="array" ref="T123">IFERROR(
INDEX(REPORTE_DROPI!B:B,
MATCH(
CLEAN(TRIM(C123)),
CLEAN(TRIM(REPORTE_DROPI!E:E)),
0
)
),
""
)
</f>
        <v>4727993</v>
      </c>
      <c r="U123" s="154" t="s">
        <v>8406</v>
      </c>
      <c r="V123" s="192"/>
      <c r="W123" s="192"/>
      <c r="X123" s="192"/>
      <c r="Y123" s="192"/>
      <c r="Z123" s="192"/>
    </row>
    <row r="124" ht="22.5" customHeight="1">
      <c r="A124" s="154"/>
      <c r="B124" s="170">
        <v>46088.0</v>
      </c>
      <c r="C124" s="154" t="s">
        <v>8407</v>
      </c>
      <c r="D124" s="154" t="str">
        <f>IFERROR(__xludf.DUMMYFUNCTION("""COMPUTED_VALUE"""),"FilmPro®")</f>
        <v>FilmPro®</v>
      </c>
      <c r="E124" s="188" t="s">
        <v>3650</v>
      </c>
      <c r="F124" s="189">
        <v>1.0</v>
      </c>
      <c r="G124" s="190" t="s">
        <v>3650</v>
      </c>
      <c r="H124" s="154" t="s">
        <v>3727</v>
      </c>
      <c r="I124" s="154" t="s">
        <v>8247</v>
      </c>
      <c r="J124" s="189" t="s">
        <v>3650</v>
      </c>
      <c r="K124" s="154"/>
      <c r="L124" s="154">
        <v>0.0</v>
      </c>
      <c r="M124" s="170"/>
      <c r="N124" s="154" t="s">
        <v>8408</v>
      </c>
      <c r="O124" s="170" t="str">
        <f t="array" ref="O124">IFERROR(
VLOOKUP(
TRIM(CLEAN(
INDEX(REPORTE_DROPI!K:K,
MATCH(T124, REPORTE_DROPI!B:B, 0)
))),
{
TRIM(CLEAN(MAPA_ESTADOS!A:A)) ,
MAPA_ESTADOS!B:B
},
2,
FALSE
),
"REVISAR"
)</f>
        <v>DEVOLUCION</v>
      </c>
      <c r="P124" s="154" t="s">
        <v>3655</v>
      </c>
      <c r="Q124" s="191" t="str">
        <f t="shared" si="1"/>
        <v/>
      </c>
      <c r="R124" s="170"/>
      <c r="S124" s="170"/>
      <c r="T124" s="154">
        <f t="array" ref="T124">IFERROR(
INDEX(REPORTE_DROPI!B:B,
MATCH(
CLEAN(TRIM(C124)),
CLEAN(TRIM(REPORTE_DROPI!E:E)),
0
)
),
""
)
</f>
        <v>4728052</v>
      </c>
      <c r="U124" s="154" t="s">
        <v>8409</v>
      </c>
      <c r="V124" s="192"/>
      <c r="W124" s="192"/>
      <c r="X124" s="192"/>
      <c r="Y124" s="192"/>
      <c r="Z124" s="192"/>
    </row>
    <row r="125" ht="22.5" customHeight="1">
      <c r="A125" s="154"/>
      <c r="B125" s="170">
        <v>46088.0</v>
      </c>
      <c r="C125" s="154" t="s">
        <v>8410</v>
      </c>
      <c r="D125" s="154" t="str">
        <f>IFERROR(__xludf.DUMMYFUNCTION("""COMPUTED_VALUE"""),"DrainGuard Pro™")</f>
        <v>DrainGuard Pro™</v>
      </c>
      <c r="E125" s="188">
        <v>7.0</v>
      </c>
      <c r="F125" s="189">
        <v>2.0</v>
      </c>
      <c r="G125" s="190">
        <v>25.0</v>
      </c>
      <c r="H125" s="154" t="s">
        <v>3727</v>
      </c>
      <c r="I125" s="154" t="s">
        <v>8247</v>
      </c>
      <c r="J125" s="189">
        <v>5.96</v>
      </c>
      <c r="K125" s="154">
        <v>12.04</v>
      </c>
      <c r="L125" s="154" t="s">
        <v>3650</v>
      </c>
      <c r="M125" s="170"/>
      <c r="N125" s="154" t="s">
        <v>8411</v>
      </c>
      <c r="O125" s="170" t="str">
        <f t="array" ref="O125">IFERROR(
VLOOKUP(
TRIM(CLEAN(
INDEX(REPORTE_DROPI!K:K,
MATCH(T125, REPORTE_DROPI!B:B, 0)
))),
{
TRIM(CLEAN(MAPA_ESTADOS!A:A)) ,
MAPA_ESTADOS!B:B
},
2,
FALSE
),
"REVISAR"
)</f>
        <v>ENTREGADO</v>
      </c>
      <c r="P125" s="154" t="s">
        <v>3655</v>
      </c>
      <c r="Q125" s="191" t="str">
        <f t="shared" si="1"/>
        <v/>
      </c>
      <c r="R125" s="170"/>
      <c r="S125" s="170"/>
      <c r="T125" s="154">
        <f t="array" ref="T125">IFERROR(
INDEX(REPORTE_DROPI!B:B,
MATCH(
CLEAN(TRIM(C125)),
CLEAN(TRIM(REPORTE_DROPI!E:E)),
0
)
),
""
)
</f>
        <v>4728366</v>
      </c>
      <c r="U125" s="154" t="s">
        <v>8412</v>
      </c>
      <c r="V125" s="192"/>
      <c r="W125" s="192"/>
      <c r="X125" s="192"/>
      <c r="Y125" s="192"/>
      <c r="Z125" s="192"/>
    </row>
    <row r="126" ht="22.5" customHeight="1">
      <c r="A126" s="154"/>
      <c r="B126" s="170">
        <v>46088.0</v>
      </c>
      <c r="C126" s="154" t="s">
        <v>8413</v>
      </c>
      <c r="D126" s="154" t="str">
        <f>IFERROR(__xludf.DUMMYFUNCTION("""COMPUTED_VALUE"""),"FilmPro®")</f>
        <v>FilmPro®</v>
      </c>
      <c r="E126" s="188">
        <v>7.05</v>
      </c>
      <c r="F126" s="189">
        <v>3.0</v>
      </c>
      <c r="G126" s="190">
        <v>30.0</v>
      </c>
      <c r="H126" s="154" t="s">
        <v>3727</v>
      </c>
      <c r="I126" s="154" t="s">
        <v>8320</v>
      </c>
      <c r="J126" s="189">
        <v>6.73</v>
      </c>
      <c r="K126" s="154">
        <v>16.22</v>
      </c>
      <c r="L126" s="154" t="s">
        <v>3650</v>
      </c>
      <c r="M126" s="170"/>
      <c r="N126" s="154" t="s">
        <v>8414</v>
      </c>
      <c r="O126" s="170" t="str">
        <f t="array" ref="O126">IFERROR(
VLOOKUP(
TRIM(CLEAN(
INDEX(REPORTE_DROPI!K:K,
MATCH(T126, REPORTE_DROPI!B:B, 0)
))),
{
TRIM(CLEAN(MAPA_ESTADOS!A:A)) ,
MAPA_ESTADOS!B:B
},
2,
FALSE
),
"REVISAR"
)</f>
        <v>ENTREGADO</v>
      </c>
      <c r="P126" s="154" t="s">
        <v>3655</v>
      </c>
      <c r="Q126" s="191" t="str">
        <f t="shared" si="1"/>
        <v/>
      </c>
      <c r="R126" s="170"/>
      <c r="S126" s="170"/>
      <c r="T126" s="154">
        <f t="array" ref="T126">IFERROR(
INDEX(REPORTE_DROPI!B:B,
MATCH(
CLEAN(TRIM(C126)),
CLEAN(TRIM(REPORTE_DROPI!E:E)),
0
)
),
""
)
</f>
        <v>4729454</v>
      </c>
      <c r="U126" s="154" t="s">
        <v>8415</v>
      </c>
      <c r="V126" s="192"/>
      <c r="W126" s="192"/>
      <c r="X126" s="192"/>
      <c r="Y126" s="192"/>
      <c r="Z126" s="192"/>
    </row>
    <row r="127" ht="22.5" customHeight="1">
      <c r="A127" s="154"/>
      <c r="B127" s="170">
        <v>46088.0</v>
      </c>
      <c r="C127" s="154" t="s">
        <v>8416</v>
      </c>
      <c r="D127" s="154" t="str">
        <f>IFERROR(__xludf.DUMMYFUNCTION("""COMPUTED_VALUE"""),"FreeBeat Adapter")</f>
        <v>FreeBeat Adapter</v>
      </c>
      <c r="E127" s="188">
        <v>10.0</v>
      </c>
      <c r="F127" s="189">
        <v>2.0</v>
      </c>
      <c r="G127" s="190">
        <v>22.0</v>
      </c>
      <c r="H127" s="154" t="s">
        <v>3727</v>
      </c>
      <c r="I127" s="154" t="s">
        <v>8247</v>
      </c>
      <c r="J127" s="189">
        <v>4.23</v>
      </c>
      <c r="K127" s="154">
        <v>7.77</v>
      </c>
      <c r="L127" s="154" t="s">
        <v>3650</v>
      </c>
      <c r="M127" s="170" t="s">
        <v>5877</v>
      </c>
      <c r="N127" s="154" t="s">
        <v>8417</v>
      </c>
      <c r="O127" s="170" t="str">
        <f t="array" ref="O127">IFERROR(
VLOOKUP(
TRIM(CLEAN(
INDEX(REPORTE_DROPI!K:K,
MATCH(T127, REPORTE_DROPI!B:B, 0)
))),
{
TRIM(CLEAN(MAPA_ESTADOS!A:A)) ,
MAPA_ESTADOS!B:B
},
2,
FALSE
),
"REVISAR"
)</f>
        <v>ENTREGADO</v>
      </c>
      <c r="P127" s="154" t="s">
        <v>3655</v>
      </c>
      <c r="Q127" s="191" t="str">
        <f t="shared" si="1"/>
        <v/>
      </c>
      <c r="R127" s="170"/>
      <c r="S127" s="170"/>
      <c r="T127" s="154">
        <f t="array" ref="T127">IFERROR(
INDEX(REPORTE_DROPI!B:B,
MATCH(
CLEAN(TRIM(C127)),
CLEAN(TRIM(REPORTE_DROPI!E:E)),
0
)
),
""
)
</f>
        <v>4729842</v>
      </c>
      <c r="U127" s="154" t="s">
        <v>8418</v>
      </c>
      <c r="V127" s="192"/>
      <c r="W127" s="192"/>
      <c r="X127" s="192"/>
      <c r="Y127" s="192"/>
      <c r="Z127" s="192"/>
    </row>
    <row r="128" ht="22.5" customHeight="1">
      <c r="A128" s="154"/>
      <c r="B128" s="170">
        <v>46088.0</v>
      </c>
      <c r="C128" s="154" t="s">
        <v>8419</v>
      </c>
      <c r="D128" s="154" t="str">
        <f>IFERROR(__xludf.DUMMYFUNCTION("""COMPUTED_VALUE"""),"FilmPro®")</f>
        <v>FilmPro®</v>
      </c>
      <c r="E128" s="188" t="s">
        <v>3650</v>
      </c>
      <c r="F128" s="189">
        <v>1.0</v>
      </c>
      <c r="G128" s="190" t="s">
        <v>3650</v>
      </c>
      <c r="H128" s="154" t="s">
        <v>3727</v>
      </c>
      <c r="I128" s="154" t="s">
        <v>8352</v>
      </c>
      <c r="J128" s="189" t="s">
        <v>3650</v>
      </c>
      <c r="K128" s="154"/>
      <c r="L128" s="154" t="s">
        <v>3650</v>
      </c>
      <c r="M128" s="170"/>
      <c r="N128" s="154" t="s">
        <v>8420</v>
      </c>
      <c r="O128" s="170" t="str">
        <f t="array" ref="O128">IFERROR(
VLOOKUP(
TRIM(CLEAN(
INDEX(REPORTE_DROPI!K:K,
MATCH(T128, REPORTE_DROPI!B:B, 0)
))),
{
TRIM(CLEAN(MAPA_ESTADOS!A:A)) ,
MAPA_ESTADOS!B:B
},
2,
FALSE
),
"REVISAR"
)</f>
        <v>PENDIENTE</v>
      </c>
      <c r="P128" s="202" t="s">
        <v>8106</v>
      </c>
      <c r="Q128" s="191" t="str">
        <f t="shared" si="1"/>
        <v/>
      </c>
      <c r="R128" s="170"/>
      <c r="S128" s="170"/>
      <c r="T128" s="154">
        <f t="array" ref="T128">IFERROR(
INDEX(REPORTE_DROPI!B:B,
MATCH(
CLEAN(TRIM(C128)),
CLEAN(TRIM(REPORTE_DROPI!E:E)),
0
)
),
""
)
</f>
        <v>4730245</v>
      </c>
      <c r="U128" s="194">
        <v>4.5175164107E10</v>
      </c>
      <c r="V128" s="192"/>
      <c r="W128" s="192"/>
      <c r="X128" s="192"/>
      <c r="Y128" s="192"/>
      <c r="Z128" s="192"/>
    </row>
    <row r="129" ht="22.5" customHeight="1">
      <c r="A129" s="154"/>
      <c r="B129" s="170">
        <v>46088.0</v>
      </c>
      <c r="C129" s="154" t="s">
        <v>8421</v>
      </c>
      <c r="D129" s="154" t="str">
        <f>IFERROR(__xludf.DUMMYFUNCTION("""COMPUTED_VALUE"""),"DrainGuard Pro™")</f>
        <v>DrainGuard Pro™</v>
      </c>
      <c r="E129" s="188">
        <v>7.0</v>
      </c>
      <c r="F129" s="189">
        <v>2.0</v>
      </c>
      <c r="G129" s="190">
        <v>25.0</v>
      </c>
      <c r="H129" s="154" t="s">
        <v>3727</v>
      </c>
      <c r="I129" s="154" t="s">
        <v>8265</v>
      </c>
      <c r="J129" s="189">
        <v>5.96</v>
      </c>
      <c r="K129" s="154">
        <v>12.04</v>
      </c>
      <c r="L129" s="154" t="s">
        <v>3650</v>
      </c>
      <c r="M129" s="170"/>
      <c r="N129" s="154" t="s">
        <v>8422</v>
      </c>
      <c r="O129" s="170" t="str">
        <f t="array" ref="O129">IFERROR(
VLOOKUP(
TRIM(CLEAN(
INDEX(REPORTE_DROPI!K:K,
MATCH(T129, REPORTE_DROPI!B:B, 0)
))),
{
TRIM(CLEAN(MAPA_ESTADOS!A:A)) ,
MAPA_ESTADOS!B:B
},
2,
FALSE
),
"REVISAR"
)</f>
        <v>ENTREGADO</v>
      </c>
      <c r="P129" s="154" t="s">
        <v>8147</v>
      </c>
      <c r="Q129" s="191" t="str">
        <f t="shared" si="1"/>
        <v/>
      </c>
      <c r="R129" s="170"/>
      <c r="S129" s="170"/>
      <c r="T129" s="154">
        <f t="array" ref="T129">IFERROR(
INDEX(REPORTE_DROPI!B:B,
MATCH(
CLEAN(TRIM(C129)),
CLEAN(TRIM(REPORTE_DROPI!E:E)),
0
)
),
""
)
</f>
        <v>4730307</v>
      </c>
      <c r="U129" s="154" t="s">
        <v>8423</v>
      </c>
      <c r="V129" s="192"/>
      <c r="W129" s="192"/>
      <c r="X129" s="192"/>
      <c r="Y129" s="192"/>
      <c r="Z129" s="192"/>
    </row>
    <row r="130" ht="22.5" customHeight="1">
      <c r="A130" s="154"/>
      <c r="B130" s="170">
        <v>46088.0</v>
      </c>
      <c r="C130" s="154" t="s">
        <v>8424</v>
      </c>
      <c r="D130" s="154" t="str">
        <f>IFERROR(__xludf.DUMMYFUNCTION("""COMPUTED_VALUE"""),"FilmPro®")</f>
        <v>FilmPro®</v>
      </c>
      <c r="E130" s="188">
        <v>4.7</v>
      </c>
      <c r="F130" s="189">
        <v>2.0</v>
      </c>
      <c r="G130" s="190">
        <v>25.0</v>
      </c>
      <c r="H130" s="154" t="s">
        <v>3727</v>
      </c>
      <c r="I130" s="154" t="s">
        <v>8243</v>
      </c>
      <c r="J130" s="189">
        <v>5.96</v>
      </c>
      <c r="K130" s="154">
        <v>14.34</v>
      </c>
      <c r="L130" s="154" t="s">
        <v>3650</v>
      </c>
      <c r="M130" s="170"/>
      <c r="N130" s="154" t="s">
        <v>8425</v>
      </c>
      <c r="O130" s="170" t="str">
        <f t="array" ref="O130">IFERROR(
VLOOKUP(
TRIM(CLEAN(
INDEX(REPORTE_DROPI!K:K,
MATCH(T130, REPORTE_DROPI!B:B, 0)
))),
{
TRIM(CLEAN(MAPA_ESTADOS!A:A)) ,
MAPA_ESTADOS!B:B
},
2,
FALSE
),
"REVISAR"
)</f>
        <v>ENTREGADO</v>
      </c>
      <c r="P130" s="154" t="s">
        <v>8147</v>
      </c>
      <c r="Q130" s="191" t="str">
        <f t="shared" si="1"/>
        <v/>
      </c>
      <c r="R130" s="170"/>
      <c r="S130" s="170"/>
      <c r="T130" s="154">
        <f t="array" ref="T130">IFERROR(
INDEX(REPORTE_DROPI!B:B,
MATCH(
CLEAN(TRIM(C130)),
CLEAN(TRIM(REPORTE_DROPI!E:E)),
0
)
),
""
)
</f>
        <v>4730956</v>
      </c>
      <c r="U130" s="154" t="s">
        <v>8426</v>
      </c>
      <c r="V130" s="192"/>
      <c r="W130" s="192"/>
      <c r="X130" s="192"/>
      <c r="Y130" s="192"/>
      <c r="Z130" s="192"/>
    </row>
    <row r="131" ht="22.5" customHeight="1">
      <c r="A131" s="154"/>
      <c r="B131" s="170">
        <v>46088.0</v>
      </c>
      <c r="C131" s="154" t="s">
        <v>8427</v>
      </c>
      <c r="D131" s="154" t="str">
        <f>IFERROR(__xludf.DUMMYFUNCTION("""COMPUTED_VALUE"""),"FilmPro®")</f>
        <v>FilmPro®</v>
      </c>
      <c r="E131" s="188">
        <v>4.7</v>
      </c>
      <c r="F131" s="189">
        <v>2.0</v>
      </c>
      <c r="G131" s="190">
        <v>25.0</v>
      </c>
      <c r="H131" s="154" t="s">
        <v>3727</v>
      </c>
      <c r="I131" s="154" t="s">
        <v>8281</v>
      </c>
      <c r="J131" s="189">
        <v>6.53</v>
      </c>
      <c r="K131" s="154">
        <v>13.77</v>
      </c>
      <c r="L131" s="154" t="s">
        <v>3650</v>
      </c>
      <c r="M131" s="170"/>
      <c r="N131" s="154" t="s">
        <v>8428</v>
      </c>
      <c r="O131" s="170" t="str">
        <f t="array" ref="O131">IFERROR(
VLOOKUP(
TRIM(CLEAN(
INDEX(REPORTE_DROPI!K:K,
MATCH(T131, REPORTE_DROPI!B:B, 0)
))),
{
TRIM(CLEAN(MAPA_ESTADOS!A:A)) ,
MAPA_ESTADOS!B:B
},
2,
FALSE
),
"REVISAR"
)</f>
        <v>ENTREGADO</v>
      </c>
      <c r="P131" s="154" t="s">
        <v>8147</v>
      </c>
      <c r="Q131" s="191" t="str">
        <f t="shared" si="1"/>
        <v/>
      </c>
      <c r="R131" s="170"/>
      <c r="S131" s="170"/>
      <c r="T131" s="154">
        <f t="array" ref="T131">IFERROR(
INDEX(REPORTE_DROPI!B:B,
MATCH(
CLEAN(TRIM(C131)),
CLEAN(TRIM(REPORTE_DROPI!E:E)),
0
)
),
""
)
</f>
        <v>4731077</v>
      </c>
      <c r="U131" s="154" t="s">
        <v>8429</v>
      </c>
      <c r="V131" s="192"/>
      <c r="W131" s="192"/>
      <c r="X131" s="192"/>
      <c r="Y131" s="192"/>
      <c r="Z131" s="192"/>
    </row>
    <row r="132" ht="22.5" customHeight="1">
      <c r="A132" s="154"/>
      <c r="B132" s="170">
        <v>46088.0</v>
      </c>
      <c r="C132" s="154" t="s">
        <v>8430</v>
      </c>
      <c r="D132" s="154" t="str">
        <f>IFERROR(__xludf.DUMMYFUNCTION("""COMPUTED_VALUE"""),"FilmPro®")</f>
        <v>FilmPro®</v>
      </c>
      <c r="E132" s="188" t="s">
        <v>3650</v>
      </c>
      <c r="F132" s="189">
        <v>3.0</v>
      </c>
      <c r="G132" s="190" t="s">
        <v>3650</v>
      </c>
      <c r="H132" s="154" t="s">
        <v>3727</v>
      </c>
      <c r="I132" s="154" t="s">
        <v>8251</v>
      </c>
      <c r="J132" s="189" t="s">
        <v>3650</v>
      </c>
      <c r="K132" s="154"/>
      <c r="L132" s="154">
        <v>0.0</v>
      </c>
      <c r="M132" s="170"/>
      <c r="N132" s="154" t="s">
        <v>8431</v>
      </c>
      <c r="O132" s="170" t="str">
        <f t="array" ref="O132">IFERROR(
VLOOKUP(
TRIM(CLEAN(
INDEX(REPORTE_DROPI!K:K,
MATCH(T132, REPORTE_DROPI!B:B, 0)
))),
{
TRIM(CLEAN(MAPA_ESTADOS!A:A)) ,
MAPA_ESTADOS!B:B
},
2,
FALSE
),
"REVISAR"
)</f>
        <v>DEVOLUCION</v>
      </c>
      <c r="P132" s="154" t="s">
        <v>3655</v>
      </c>
      <c r="Q132" s="191" t="str">
        <f t="shared" si="1"/>
        <v/>
      </c>
      <c r="R132" s="170"/>
      <c r="S132" s="170"/>
      <c r="T132" s="154">
        <f t="array" ref="T132">IFERROR(
INDEX(REPORTE_DROPI!B:B,
MATCH(
CLEAN(TRIM(C132)),
CLEAN(TRIM(REPORTE_DROPI!E:E)),
0
)
),
""
)
</f>
        <v>4778034</v>
      </c>
      <c r="U132" s="154" t="s">
        <v>8432</v>
      </c>
      <c r="V132" s="192"/>
      <c r="W132" s="192"/>
      <c r="X132" s="192"/>
      <c r="Y132" s="192"/>
      <c r="Z132" s="192"/>
    </row>
    <row r="133" ht="22.5" customHeight="1">
      <c r="A133" s="154"/>
      <c r="B133" s="170">
        <v>46088.0</v>
      </c>
      <c r="C133" s="154" t="s">
        <v>8433</v>
      </c>
      <c r="D133" s="154" t="str">
        <f>IFERROR(__xludf.DUMMYFUNCTION("""COMPUTED_VALUE"""),"DrainGuard Pro™")</f>
        <v>DrainGuard Pro™</v>
      </c>
      <c r="E133" s="188">
        <v>10.5</v>
      </c>
      <c r="F133" s="189">
        <v>3.0</v>
      </c>
      <c r="G133" s="190">
        <v>32.01</v>
      </c>
      <c r="H133" s="154" t="s">
        <v>3727</v>
      </c>
      <c r="I133" s="154" t="s">
        <v>8247</v>
      </c>
      <c r="J133" s="189">
        <v>6.24</v>
      </c>
      <c r="K133" s="154">
        <v>15.27</v>
      </c>
      <c r="L133" s="154" t="s">
        <v>3650</v>
      </c>
      <c r="M133" s="170"/>
      <c r="N133" s="154" t="s">
        <v>8434</v>
      </c>
      <c r="O133" s="170" t="str">
        <f t="array" ref="O133">IFERROR(
VLOOKUP(
TRIM(CLEAN(
INDEX(REPORTE_DROPI!K:K,
MATCH(T133, REPORTE_DROPI!B:B, 0)
))),
{
TRIM(CLEAN(MAPA_ESTADOS!A:A)) ,
MAPA_ESTADOS!B:B
},
2,
FALSE
),
"REVISAR"
)</f>
        <v>ENTREGADO</v>
      </c>
      <c r="P133" s="154" t="s">
        <v>8147</v>
      </c>
      <c r="Q133" s="191" t="str">
        <f t="shared" si="1"/>
        <v/>
      </c>
      <c r="R133" s="170"/>
      <c r="S133" s="170"/>
      <c r="T133" s="154">
        <f t="array" ref="T133">IFERROR(
INDEX(REPORTE_DROPI!B:B,
MATCH(
CLEAN(TRIM(C133)),
CLEAN(TRIM(REPORTE_DROPI!E:E)),
0
)
),
""
)
</f>
        <v>4731266</v>
      </c>
      <c r="U133" s="154" t="s">
        <v>8435</v>
      </c>
      <c r="V133" s="192"/>
      <c r="W133" s="192"/>
      <c r="X133" s="192"/>
      <c r="Y133" s="192"/>
      <c r="Z133" s="192"/>
    </row>
    <row r="134" ht="22.5" customHeight="1">
      <c r="A134" s="154"/>
      <c r="B134" s="170">
        <v>46088.0</v>
      </c>
      <c r="C134" s="154" t="s">
        <v>8436</v>
      </c>
      <c r="D134" s="154" t="str">
        <f>IFERROR(__xludf.DUMMYFUNCTION("""COMPUTED_VALUE"""),"FilmPro®")</f>
        <v>FilmPro®</v>
      </c>
      <c r="E134" s="188" t="s">
        <v>3650</v>
      </c>
      <c r="F134" s="189">
        <v>2.0</v>
      </c>
      <c r="G134" s="190" t="s">
        <v>3650</v>
      </c>
      <c r="H134" s="154" t="s">
        <v>3727</v>
      </c>
      <c r="I134" s="154" t="s">
        <v>8233</v>
      </c>
      <c r="J134" s="189" t="s">
        <v>3650</v>
      </c>
      <c r="K134" s="154"/>
      <c r="L134" s="154" t="s">
        <v>3650</v>
      </c>
      <c r="M134" s="170"/>
      <c r="N134" s="154" t="s">
        <v>8437</v>
      </c>
      <c r="O134" s="170" t="str">
        <f t="array" ref="O134">IFERROR(
VLOOKUP(
TRIM(CLEAN(
INDEX(REPORTE_DROPI!K:K,
MATCH(T134, REPORTE_DROPI!B:B, 0)
))),
{
TRIM(CLEAN(MAPA_ESTADOS!A:A)) ,
MAPA_ESTADOS!B:B
},
2,
FALSE
),
"REVISAR"
)</f>
        <v>PENDIENTE</v>
      </c>
      <c r="P134" s="206" t="s">
        <v>8438</v>
      </c>
      <c r="Q134" s="191" t="str">
        <f t="shared" si="1"/>
        <v/>
      </c>
      <c r="R134" s="170"/>
      <c r="S134" s="170"/>
      <c r="T134" s="154">
        <f t="array" ref="T134">IFERROR(
INDEX(REPORTE_DROPI!B:B,
MATCH(
CLEAN(TRIM(C134)),
CLEAN(TRIM(REPORTE_DROPI!E:E)),
0
)
),
""
)
</f>
        <v>4731326</v>
      </c>
      <c r="U134" s="154" t="s">
        <v>8439</v>
      </c>
      <c r="V134" s="192"/>
      <c r="W134" s="192"/>
      <c r="X134" s="192"/>
      <c r="Y134" s="192"/>
      <c r="Z134" s="192"/>
    </row>
    <row r="135" ht="22.5" customHeight="1">
      <c r="A135" s="154"/>
      <c r="B135" s="170">
        <v>46088.0</v>
      </c>
      <c r="C135" s="154" t="s">
        <v>8440</v>
      </c>
      <c r="D135" s="154" t="str">
        <f>IFERROR(__xludf.DUMMYFUNCTION("""COMPUTED_VALUE"""),"FilmPro®")</f>
        <v>FilmPro®</v>
      </c>
      <c r="E135" s="188" t="s">
        <v>3650</v>
      </c>
      <c r="F135" s="189">
        <v>2.0</v>
      </c>
      <c r="G135" s="190" t="s">
        <v>3650</v>
      </c>
      <c r="H135" s="154" t="s">
        <v>3727</v>
      </c>
      <c r="I135" s="154" t="s">
        <v>8352</v>
      </c>
      <c r="J135" s="189" t="s">
        <v>3650</v>
      </c>
      <c r="K135" s="154"/>
      <c r="L135" s="154" t="s">
        <v>3650</v>
      </c>
      <c r="M135" s="170"/>
      <c r="N135" s="154" t="s">
        <v>8441</v>
      </c>
      <c r="O135" s="170" t="str">
        <f t="array" ref="O135">IFERROR(
VLOOKUP(
TRIM(CLEAN(
INDEX(REPORTE_DROPI!K:K,
MATCH(T135, REPORTE_DROPI!B:B, 0)
))),
{
TRIM(CLEAN(MAPA_ESTADOS!A:A)) ,
MAPA_ESTADOS!B:B
},
2,
FALSE
),
"REVISAR"
)</f>
        <v>PENDIENTE</v>
      </c>
      <c r="P135" s="154" t="s">
        <v>8147</v>
      </c>
      <c r="Q135" s="191" t="str">
        <f t="shared" si="1"/>
        <v/>
      </c>
      <c r="R135" s="170"/>
      <c r="S135" s="170"/>
      <c r="T135" s="154">
        <f t="array" ref="T135">IFERROR(
INDEX(REPORTE_DROPI!B:B,
MATCH(
CLEAN(TRIM(C135)),
CLEAN(TRIM(REPORTE_DROPI!E:E)),
0
)
),
""
)
</f>
        <v>4731349</v>
      </c>
      <c r="U135" s="194">
        <v>4.5179140228E10</v>
      </c>
      <c r="V135" s="192"/>
      <c r="W135" s="192"/>
      <c r="X135" s="192"/>
      <c r="Y135" s="192"/>
      <c r="Z135" s="192"/>
    </row>
    <row r="136" ht="22.5" customHeight="1">
      <c r="A136" s="154"/>
      <c r="B136" s="170">
        <v>46088.0</v>
      </c>
      <c r="C136" s="154" t="s">
        <v>8442</v>
      </c>
      <c r="D136" s="154" t="str">
        <f>IFERROR(__xludf.DUMMYFUNCTION("""COMPUTED_VALUE"""),"FreeBeat Adapter")</f>
        <v>FreeBeat Adapter</v>
      </c>
      <c r="E136" s="188" t="s">
        <v>3650</v>
      </c>
      <c r="F136" s="189">
        <v>2.0</v>
      </c>
      <c r="G136" s="190" t="s">
        <v>3650</v>
      </c>
      <c r="H136" s="154" t="s">
        <v>3727</v>
      </c>
      <c r="I136" s="154" t="s">
        <v>8443</v>
      </c>
      <c r="J136" s="189" t="s">
        <v>3650</v>
      </c>
      <c r="K136" s="154"/>
      <c r="L136" s="154" t="s">
        <v>3650</v>
      </c>
      <c r="M136" s="170" t="s">
        <v>5877</v>
      </c>
      <c r="N136" s="154" t="s">
        <v>8444</v>
      </c>
      <c r="O136" s="170" t="str">
        <f t="array" ref="O136">IFERROR(
VLOOKUP(
TRIM(CLEAN(
INDEX(REPORTE_DROPI!K:K,
MATCH(T136, REPORTE_DROPI!B:B, 0)
))),
{
TRIM(CLEAN(MAPA_ESTADOS!A:A)) ,
MAPA_ESTADOS!B:B
},
2,
FALSE
),
"REVISAR"
)</f>
        <v>PENDIENTE</v>
      </c>
      <c r="P136" s="205" t="s">
        <v>8345</v>
      </c>
      <c r="Q136" s="191" t="str">
        <f t="shared" si="1"/>
        <v/>
      </c>
      <c r="R136" s="170"/>
      <c r="S136" s="170"/>
      <c r="T136" s="154">
        <f t="array" ref="T136">IFERROR(
INDEX(REPORTE_DROPI!B:B,
MATCH(
CLEAN(TRIM(C136)),
CLEAN(TRIM(REPORTE_DROPI!E:E)),
0
)
),
""
)
</f>
        <v>4731616</v>
      </c>
      <c r="U136" s="154" t="s">
        <v>8445</v>
      </c>
      <c r="V136" s="192"/>
      <c r="W136" s="192"/>
      <c r="X136" s="192"/>
      <c r="Y136" s="192"/>
      <c r="Z136" s="192"/>
    </row>
    <row r="137" ht="22.5" customHeight="1">
      <c r="A137" s="154"/>
      <c r="B137" s="170">
        <v>46088.0</v>
      </c>
      <c r="C137" s="154" t="s">
        <v>8446</v>
      </c>
      <c r="D137" s="154" t="str">
        <f>IFERROR(__xludf.DUMMYFUNCTION("""COMPUTED_VALUE"""),"FilmPro®")</f>
        <v>FilmPro®</v>
      </c>
      <c r="E137" s="188">
        <v>4.7</v>
      </c>
      <c r="F137" s="189">
        <v>2.0</v>
      </c>
      <c r="G137" s="190">
        <v>25.0</v>
      </c>
      <c r="H137" s="154" t="s">
        <v>3727</v>
      </c>
      <c r="I137" s="154" t="s">
        <v>8447</v>
      </c>
      <c r="J137" s="189">
        <v>7.75</v>
      </c>
      <c r="K137" s="154">
        <v>12.55</v>
      </c>
      <c r="L137" s="154" t="s">
        <v>3650</v>
      </c>
      <c r="M137" s="170"/>
      <c r="N137" s="154" t="s">
        <v>8448</v>
      </c>
      <c r="O137" s="170" t="str">
        <f t="array" ref="O137">IFERROR(
VLOOKUP(
TRIM(CLEAN(
INDEX(REPORTE_DROPI!K:K,
MATCH(T137, REPORTE_DROPI!B:B, 0)
))),
{
TRIM(CLEAN(MAPA_ESTADOS!A:A)) ,
MAPA_ESTADOS!B:B
},
2,
FALSE
),
"REVISAR"
)</f>
        <v>ENTREGADO</v>
      </c>
      <c r="P137" s="154" t="s">
        <v>8147</v>
      </c>
      <c r="Q137" s="191" t="str">
        <f t="shared" si="1"/>
        <v/>
      </c>
      <c r="R137" s="170"/>
      <c r="S137" s="170"/>
      <c r="T137" s="154">
        <f t="array" ref="T137">IFERROR(
INDEX(REPORTE_DROPI!B:B,
MATCH(
CLEAN(TRIM(C137)),
CLEAN(TRIM(REPORTE_DROPI!E:E)),
0
)
),
""
)
</f>
        <v>4746995</v>
      </c>
      <c r="U137" s="194">
        <v>3.8156254136E10</v>
      </c>
      <c r="V137" s="192"/>
      <c r="W137" s="192"/>
      <c r="X137" s="192"/>
      <c r="Y137" s="192"/>
      <c r="Z137" s="192"/>
    </row>
    <row r="138" ht="22.5" customHeight="1">
      <c r="A138" s="154"/>
      <c r="B138" s="170">
        <v>46088.0</v>
      </c>
      <c r="C138" s="154" t="s">
        <v>8449</v>
      </c>
      <c r="D138" s="154" t="str">
        <f>IFERROR(__xludf.DUMMYFUNCTION("""COMPUTED_VALUE"""),"FilmPro®")</f>
        <v>FilmPro®</v>
      </c>
      <c r="E138" s="188">
        <v>7.05</v>
      </c>
      <c r="F138" s="189">
        <v>3.0</v>
      </c>
      <c r="G138" s="190">
        <v>30.0</v>
      </c>
      <c r="H138" s="154" t="s">
        <v>3727</v>
      </c>
      <c r="I138" s="154" t="s">
        <v>8243</v>
      </c>
      <c r="J138" s="189">
        <v>7.82</v>
      </c>
      <c r="K138" s="154">
        <v>15.13</v>
      </c>
      <c r="L138" s="154" t="s">
        <v>3650</v>
      </c>
      <c r="M138" s="170"/>
      <c r="N138" s="154" t="s">
        <v>8450</v>
      </c>
      <c r="O138" s="170" t="str">
        <f t="array" ref="O138">IFERROR(
VLOOKUP(
TRIM(CLEAN(
INDEX(REPORTE_DROPI!K:K,
MATCH(T138, REPORTE_DROPI!B:B, 0)
))),
{
TRIM(CLEAN(MAPA_ESTADOS!A:A)) ,
MAPA_ESTADOS!B:B
},
2,
FALSE
),
"REVISAR"
)</f>
        <v>ENTREGADO</v>
      </c>
      <c r="P138" s="154" t="s">
        <v>8147</v>
      </c>
      <c r="Q138" s="191" t="str">
        <f t="shared" si="1"/>
        <v/>
      </c>
      <c r="R138" s="170"/>
      <c r="S138" s="170"/>
      <c r="T138" s="154">
        <f t="array" ref="T138">IFERROR(
INDEX(REPORTE_DROPI!B:B,
MATCH(
CLEAN(TRIM(C138)),
CLEAN(TRIM(REPORTE_DROPI!E:E)),
0
)
),
""
)
</f>
        <v>4747149</v>
      </c>
      <c r="U138" s="154" t="s">
        <v>8451</v>
      </c>
      <c r="V138" s="192"/>
      <c r="W138" s="192"/>
      <c r="X138" s="192"/>
      <c r="Y138" s="192"/>
      <c r="Z138" s="192"/>
    </row>
    <row r="139" ht="22.5" customHeight="1">
      <c r="A139" s="154"/>
      <c r="B139" s="170">
        <v>46088.0</v>
      </c>
      <c r="C139" s="154" t="s">
        <v>8452</v>
      </c>
      <c r="D139" s="154" t="str">
        <f>IFERROR(__xludf.DUMMYFUNCTION("""COMPUTED_VALUE"""),"DrainGuard Pro™")</f>
        <v>DrainGuard Pro™</v>
      </c>
      <c r="E139" s="188" t="s">
        <v>3650</v>
      </c>
      <c r="F139" s="189">
        <v>3.0</v>
      </c>
      <c r="G139" s="190" t="s">
        <v>3650</v>
      </c>
      <c r="H139" s="154" t="s">
        <v>3727</v>
      </c>
      <c r="I139" s="154" t="s">
        <v>8453</v>
      </c>
      <c r="J139" s="189" t="s">
        <v>3650</v>
      </c>
      <c r="K139" s="154"/>
      <c r="L139" s="154">
        <v>0.0</v>
      </c>
      <c r="M139" s="170"/>
      <c r="N139" s="154" t="s">
        <v>8454</v>
      </c>
      <c r="O139" s="170" t="str">
        <f t="array" ref="O139">IFERROR(
VLOOKUP(
TRIM(CLEAN(
INDEX(REPORTE_DROPI!K:K,
MATCH(T139, REPORTE_DROPI!B:B, 0)
))),
{
TRIM(CLEAN(MAPA_ESTADOS!A:A)) ,
MAPA_ESTADOS!B:B
},
2,
FALSE
),
"REVISAR"
)</f>
        <v>DEVOLUCION</v>
      </c>
      <c r="P139" s="154" t="s">
        <v>8147</v>
      </c>
      <c r="Q139" s="191" t="str">
        <f t="shared" si="1"/>
        <v/>
      </c>
      <c r="R139" s="170"/>
      <c r="S139" s="170"/>
      <c r="T139" s="154">
        <f t="array" ref="T139">IFERROR(
INDEX(REPORTE_DROPI!B:B,
MATCH(
CLEAN(TRIM(C139)),
CLEAN(TRIM(REPORTE_DROPI!E:E)),
0
)
),
""
)
</f>
        <v>4731695</v>
      </c>
      <c r="U139" s="154" t="s">
        <v>8455</v>
      </c>
      <c r="V139" s="192"/>
      <c r="W139" s="192"/>
      <c r="X139" s="192"/>
      <c r="Y139" s="192"/>
      <c r="Z139" s="192"/>
    </row>
    <row r="140" ht="22.5" customHeight="1">
      <c r="A140" s="154"/>
      <c r="B140" s="170">
        <v>46088.0</v>
      </c>
      <c r="C140" s="154" t="s">
        <v>8456</v>
      </c>
      <c r="D140" s="154" t="str">
        <f>IFERROR(__xludf.DUMMYFUNCTION("""COMPUTED_VALUE"""),"FilmPro®")</f>
        <v>FilmPro®</v>
      </c>
      <c r="E140" s="188">
        <v>2.35</v>
      </c>
      <c r="F140" s="189">
        <v>1.0</v>
      </c>
      <c r="G140" s="190">
        <v>20.0</v>
      </c>
      <c r="H140" s="154" t="s">
        <v>3727</v>
      </c>
      <c r="I140" s="154" t="s">
        <v>8255</v>
      </c>
      <c r="J140" s="189">
        <v>5.76</v>
      </c>
      <c r="K140" s="154">
        <v>11.89</v>
      </c>
      <c r="L140" s="154" t="s">
        <v>3650</v>
      </c>
      <c r="M140" s="170"/>
      <c r="N140" s="154" t="s">
        <v>8457</v>
      </c>
      <c r="O140" s="170" t="str">
        <f t="array" ref="O140">IFERROR(
VLOOKUP(
TRIM(CLEAN(
INDEX(REPORTE_DROPI!K:K,
MATCH(T140, REPORTE_DROPI!B:B, 0)
))),
{
TRIM(CLEAN(MAPA_ESTADOS!A:A)) ,
MAPA_ESTADOS!B:B
},
2,
FALSE
),
"REVISAR"
)</f>
        <v>ENTREGADO</v>
      </c>
      <c r="P140" s="154" t="s">
        <v>8147</v>
      </c>
      <c r="Q140" s="191" t="str">
        <f t="shared" si="1"/>
        <v/>
      </c>
      <c r="R140" s="170"/>
      <c r="S140" s="170"/>
      <c r="T140" s="154">
        <f t="array" ref="T140">IFERROR(
INDEX(REPORTE_DROPI!B:B,
MATCH(
CLEAN(TRIM(C140)),
CLEAN(TRIM(REPORTE_DROPI!E:E)),
0
)
),
""
)
</f>
        <v>4731809</v>
      </c>
      <c r="U140" s="154" t="s">
        <v>8458</v>
      </c>
      <c r="V140" s="192"/>
      <c r="W140" s="192"/>
      <c r="X140" s="192"/>
      <c r="Y140" s="192"/>
      <c r="Z140" s="192"/>
    </row>
    <row r="141" ht="22.5" customHeight="1">
      <c r="A141" s="154"/>
      <c r="B141" s="170">
        <v>46088.0</v>
      </c>
      <c r="C141" s="154" t="s">
        <v>8459</v>
      </c>
      <c r="D141" s="154" t="str">
        <f>IFERROR(__xludf.DUMMYFUNCTION("""COMPUTED_VALUE"""),"FilmPro®")</f>
        <v>FilmPro®</v>
      </c>
      <c r="E141" s="188">
        <v>7.05</v>
      </c>
      <c r="F141" s="189">
        <v>3.0</v>
      </c>
      <c r="G141" s="190">
        <v>30.0</v>
      </c>
      <c r="H141" s="154" t="s">
        <v>3727</v>
      </c>
      <c r="I141" s="154" t="s">
        <v>8265</v>
      </c>
      <c r="J141" s="189">
        <v>6.16</v>
      </c>
      <c r="K141" s="154">
        <v>16.79</v>
      </c>
      <c r="L141" s="154" t="s">
        <v>3650</v>
      </c>
      <c r="M141" s="170"/>
      <c r="N141" s="154" t="s">
        <v>8460</v>
      </c>
      <c r="O141" s="170" t="str">
        <f t="array" ref="O141">IFERROR(
VLOOKUP(
TRIM(CLEAN(
INDEX(REPORTE_DROPI!K:K,
MATCH(T141, REPORTE_DROPI!B:B, 0)
))),
{
TRIM(CLEAN(MAPA_ESTADOS!A:A)) ,
MAPA_ESTADOS!B:B
},
2,
FALSE
),
"REVISAR"
)</f>
        <v>ENTREGADO</v>
      </c>
      <c r="P141" s="154" t="s">
        <v>8147</v>
      </c>
      <c r="Q141" s="191" t="str">
        <f t="shared" si="1"/>
        <v/>
      </c>
      <c r="R141" s="170"/>
      <c r="S141" s="170"/>
      <c r="T141" s="154">
        <f t="array" ref="T141">IFERROR(
INDEX(REPORTE_DROPI!B:B,
MATCH(
CLEAN(TRIM(C141)),
CLEAN(TRIM(REPORTE_DROPI!E:E)),
0
)
),
""
)
</f>
        <v>4731930</v>
      </c>
      <c r="U141" s="194">
        <v>1.57100105206E11</v>
      </c>
      <c r="V141" s="192"/>
      <c r="W141" s="192"/>
      <c r="X141" s="192"/>
      <c r="Y141" s="192"/>
      <c r="Z141" s="192"/>
    </row>
    <row r="142" ht="22.5" customHeight="1">
      <c r="A142" s="154"/>
      <c r="B142" s="170">
        <v>46088.0</v>
      </c>
      <c r="C142" s="154" t="s">
        <v>8461</v>
      </c>
      <c r="D142" s="154" t="str">
        <f>IFERROR(__xludf.DUMMYFUNCTION("""COMPUTED_VALUE"""),"DrainGuard Pro™")</f>
        <v>DrainGuard Pro™</v>
      </c>
      <c r="E142" s="188" t="s">
        <v>3650</v>
      </c>
      <c r="F142" s="189">
        <v>3.0</v>
      </c>
      <c r="G142" s="190" t="s">
        <v>3650</v>
      </c>
      <c r="H142" s="154" t="s">
        <v>3727</v>
      </c>
      <c r="I142" s="154" t="s">
        <v>8247</v>
      </c>
      <c r="J142" s="189" t="s">
        <v>3650</v>
      </c>
      <c r="K142" s="154"/>
      <c r="L142" s="154">
        <v>0.0</v>
      </c>
      <c r="M142" s="170"/>
      <c r="N142" s="154" t="s">
        <v>8462</v>
      </c>
      <c r="O142" s="170" t="str">
        <f t="array" ref="O142">IFERROR(
VLOOKUP(
TRIM(CLEAN(
INDEX(REPORTE_DROPI!K:K,
MATCH(T142, REPORTE_DROPI!B:B, 0)
))),
{
TRIM(CLEAN(MAPA_ESTADOS!A:A)) ,
MAPA_ESTADOS!B:B
},
2,
FALSE
),
"REVISAR"
)</f>
        <v>DEVOLUCION</v>
      </c>
      <c r="P142" s="154" t="s">
        <v>8147</v>
      </c>
      <c r="Q142" s="191" t="str">
        <f t="shared" si="1"/>
        <v/>
      </c>
      <c r="R142" s="170"/>
      <c r="S142" s="170"/>
      <c r="T142" s="154">
        <f t="array" ref="T142">IFERROR(
INDEX(REPORTE_DROPI!B:B,
MATCH(
CLEAN(TRIM(C142)),
CLEAN(TRIM(REPORTE_DROPI!E:E)),
0
)
),
""
)
</f>
        <v>4732167</v>
      </c>
      <c r="U142" s="154" t="s">
        <v>8463</v>
      </c>
      <c r="V142" s="192"/>
      <c r="W142" s="192"/>
      <c r="X142" s="192"/>
      <c r="Y142" s="192"/>
      <c r="Z142" s="192"/>
    </row>
    <row r="143" ht="22.5" customHeight="1">
      <c r="A143" s="154"/>
      <c r="B143" s="170">
        <v>46088.0</v>
      </c>
      <c r="C143" s="154" t="s">
        <v>8464</v>
      </c>
      <c r="D143" s="154" t="str">
        <f>IFERROR(__xludf.DUMMYFUNCTION("""COMPUTED_VALUE"""),"FilmPro®")</f>
        <v>FilmPro®</v>
      </c>
      <c r="E143" s="188">
        <v>2.35</v>
      </c>
      <c r="F143" s="189">
        <v>1.0</v>
      </c>
      <c r="G143" s="190">
        <v>20.0</v>
      </c>
      <c r="H143" s="154" t="s">
        <v>3727</v>
      </c>
      <c r="I143" s="154" t="s">
        <v>8247</v>
      </c>
      <c r="J143" s="189">
        <v>4.15</v>
      </c>
      <c r="K143" s="154">
        <v>13.5</v>
      </c>
      <c r="L143" s="154" t="s">
        <v>3650</v>
      </c>
      <c r="M143" s="170"/>
      <c r="N143" s="154" t="s">
        <v>8465</v>
      </c>
      <c r="O143" s="170" t="str">
        <f t="array" ref="O143">IFERROR(
VLOOKUP(
TRIM(CLEAN(
INDEX(REPORTE_DROPI!K:K,
MATCH(T143, REPORTE_DROPI!B:B, 0)
))),
{
TRIM(CLEAN(MAPA_ESTADOS!A:A)) ,
MAPA_ESTADOS!B:B
},
2,
FALSE
),
"REVISAR"
)</f>
        <v>ENTREGADO</v>
      </c>
      <c r="P143" s="154" t="s">
        <v>3655</v>
      </c>
      <c r="Q143" s="191" t="str">
        <f t="shared" si="1"/>
        <v/>
      </c>
      <c r="R143" s="170"/>
      <c r="S143" s="170"/>
      <c r="T143" s="154">
        <f t="array" ref="T143">IFERROR(
INDEX(REPORTE_DROPI!B:B,
MATCH(
CLEAN(TRIM(C143)),
CLEAN(TRIM(REPORTE_DROPI!E:E)),
0
)
),
""
)
</f>
        <v>4732475</v>
      </c>
      <c r="U143" s="154" t="s">
        <v>8466</v>
      </c>
      <c r="V143" s="192"/>
      <c r="W143" s="192"/>
      <c r="X143" s="192"/>
      <c r="Y143" s="192"/>
      <c r="Z143" s="192"/>
    </row>
    <row r="144" ht="22.5" customHeight="1">
      <c r="A144" s="154"/>
      <c r="B144" s="170">
        <v>46088.0</v>
      </c>
      <c r="C144" s="154" t="s">
        <v>8467</v>
      </c>
      <c r="D144" s="154" t="str">
        <f>IFERROR(__xludf.DUMMYFUNCTION("""COMPUTED_VALUE"""),"FilmPro®")</f>
        <v>FilmPro®</v>
      </c>
      <c r="E144" s="188">
        <v>7.05</v>
      </c>
      <c r="F144" s="189">
        <v>3.0</v>
      </c>
      <c r="G144" s="190">
        <v>30.0</v>
      </c>
      <c r="H144" s="154" t="s">
        <v>3727</v>
      </c>
      <c r="I144" s="154" t="s">
        <v>8243</v>
      </c>
      <c r="J144" s="189">
        <v>6.16</v>
      </c>
      <c r="K144" s="154">
        <v>16.79</v>
      </c>
      <c r="L144" s="154" t="s">
        <v>3650</v>
      </c>
      <c r="M144" s="170"/>
      <c r="N144" s="154" t="s">
        <v>8468</v>
      </c>
      <c r="O144" s="170" t="str">
        <f t="array" ref="O144">IFERROR(
VLOOKUP(
TRIM(CLEAN(
INDEX(REPORTE_DROPI!K:K,
MATCH(T144, REPORTE_DROPI!B:B, 0)
))),
{
TRIM(CLEAN(MAPA_ESTADOS!A:A)) ,
MAPA_ESTADOS!B:B
},
2,
FALSE
),
"REVISAR"
)</f>
        <v>ENTREGADO</v>
      </c>
      <c r="P144" s="154" t="s">
        <v>8147</v>
      </c>
      <c r="Q144" s="191" t="str">
        <f t="shared" si="1"/>
        <v/>
      </c>
      <c r="R144" s="170"/>
      <c r="S144" s="170"/>
      <c r="T144" s="154">
        <f t="array" ref="T144">IFERROR(
INDEX(REPORTE_DROPI!B:B,
MATCH(
CLEAN(TRIM(C144)),
CLEAN(TRIM(REPORTE_DROPI!E:E)),
0
)
),
""
)
</f>
        <v>4732822</v>
      </c>
      <c r="U144" s="154" t="s">
        <v>8469</v>
      </c>
      <c r="V144" s="192"/>
      <c r="W144" s="192"/>
      <c r="X144" s="192"/>
      <c r="Y144" s="192"/>
      <c r="Z144" s="192"/>
    </row>
    <row r="145" ht="22.5" customHeight="1">
      <c r="A145" s="154"/>
      <c r="B145" s="170">
        <v>46089.0</v>
      </c>
      <c r="C145" s="154" t="s">
        <v>8470</v>
      </c>
      <c r="D145" s="154" t="str">
        <f>IFERROR(__xludf.DUMMYFUNCTION("""COMPUTED_VALUE"""),"FilmPro®")</f>
        <v>FilmPro®</v>
      </c>
      <c r="E145" s="188" t="s">
        <v>3650</v>
      </c>
      <c r="F145" s="189">
        <v>3.0</v>
      </c>
      <c r="G145" s="190" t="s">
        <v>3650</v>
      </c>
      <c r="H145" s="154" t="s">
        <v>3727</v>
      </c>
      <c r="I145" s="154" t="s">
        <v>8247</v>
      </c>
      <c r="J145" s="189" t="s">
        <v>3650</v>
      </c>
      <c r="K145" s="154"/>
      <c r="L145" s="154">
        <v>0.0</v>
      </c>
      <c r="M145" s="170"/>
      <c r="N145" s="154" t="s">
        <v>8471</v>
      </c>
      <c r="O145" s="170" t="str">
        <f t="array" ref="O145">IFERROR(
VLOOKUP(
TRIM(CLEAN(
INDEX(REPORTE_DROPI!K:K,
MATCH(T145, REPORTE_DROPI!B:B, 0)
))),
{
TRIM(CLEAN(MAPA_ESTADOS!A:A)) ,
MAPA_ESTADOS!B:B
},
2,
FALSE
),
"REVISAR"
)</f>
        <v>DEVOLUCION</v>
      </c>
      <c r="P145" s="154" t="s">
        <v>8147</v>
      </c>
      <c r="Q145" s="191" t="str">
        <f t="shared" si="1"/>
        <v/>
      </c>
      <c r="R145" s="170"/>
      <c r="S145" s="170"/>
      <c r="T145" s="154">
        <f t="array" ref="T145">IFERROR(
INDEX(REPORTE_DROPI!B:B,
MATCH(
CLEAN(TRIM(C145)),
CLEAN(TRIM(REPORTE_DROPI!E:E)),
0
)
),
""
)
</f>
        <v>4733175</v>
      </c>
      <c r="U145" s="154" t="s">
        <v>7855</v>
      </c>
      <c r="V145" s="192"/>
      <c r="W145" s="192"/>
      <c r="X145" s="192"/>
      <c r="Y145" s="192"/>
      <c r="Z145" s="192"/>
    </row>
    <row r="146" ht="22.5" customHeight="1">
      <c r="A146" s="154"/>
      <c r="B146" s="170">
        <v>46089.0</v>
      </c>
      <c r="C146" s="154" t="s">
        <v>8472</v>
      </c>
      <c r="D146" s="154" t="str">
        <f>IFERROR(__xludf.DUMMYFUNCTION("""COMPUTED_VALUE"""),"FilmPro®")</f>
        <v>FilmPro®</v>
      </c>
      <c r="E146" s="188" t="s">
        <v>3650</v>
      </c>
      <c r="F146" s="189">
        <v>2.0</v>
      </c>
      <c r="G146" s="190" t="s">
        <v>3650</v>
      </c>
      <c r="H146" s="154" t="s">
        <v>3727</v>
      </c>
      <c r="I146" s="154" t="s">
        <v>8247</v>
      </c>
      <c r="J146" s="189" t="s">
        <v>3650</v>
      </c>
      <c r="K146" s="154"/>
      <c r="L146" s="154">
        <v>0.0</v>
      </c>
      <c r="M146" s="170"/>
      <c r="N146" s="154" t="s">
        <v>8473</v>
      </c>
      <c r="O146" s="170" t="str">
        <f t="array" ref="O146">IFERROR(
VLOOKUP(
TRIM(CLEAN(
INDEX(REPORTE_DROPI!K:K,
MATCH(T146, REPORTE_DROPI!B:B, 0)
))),
{
TRIM(CLEAN(MAPA_ESTADOS!A:A)) ,
MAPA_ESTADOS!B:B
},
2,
FALSE
),
"REVISAR"
)</f>
        <v>DEVOLUCION</v>
      </c>
      <c r="P146" s="154" t="s">
        <v>8147</v>
      </c>
      <c r="Q146" s="191" t="str">
        <f t="shared" si="1"/>
        <v/>
      </c>
      <c r="R146" s="170"/>
      <c r="S146" s="170"/>
      <c r="T146" s="154">
        <f t="array" ref="T146">IFERROR(
INDEX(REPORTE_DROPI!B:B,
MATCH(
CLEAN(TRIM(C146)),
CLEAN(TRIM(REPORTE_DROPI!E:E)),
0
)
),
""
)
</f>
        <v>4734202</v>
      </c>
      <c r="U146" s="154" t="s">
        <v>8474</v>
      </c>
      <c r="V146" s="192"/>
      <c r="W146" s="192"/>
      <c r="X146" s="192"/>
      <c r="Y146" s="192"/>
      <c r="Z146" s="192"/>
    </row>
    <row r="147" ht="22.5" customHeight="1">
      <c r="A147" s="154"/>
      <c r="B147" s="170">
        <v>46089.0</v>
      </c>
      <c r="C147" s="154" t="s">
        <v>8475</v>
      </c>
      <c r="D147" s="154" t="str">
        <f>IFERROR(__xludf.DUMMYFUNCTION("""COMPUTED_VALUE"""),"FilmPro®")</f>
        <v>FilmPro®</v>
      </c>
      <c r="E147" s="188">
        <v>7.05</v>
      </c>
      <c r="F147" s="189">
        <v>3.0</v>
      </c>
      <c r="G147" s="190">
        <v>30.0</v>
      </c>
      <c r="H147" s="154" t="s">
        <v>3727</v>
      </c>
      <c r="I147" s="154" t="s">
        <v>8281</v>
      </c>
      <c r="J147" s="189">
        <v>7.26</v>
      </c>
      <c r="K147" s="154">
        <v>15.69</v>
      </c>
      <c r="L147" s="154" t="s">
        <v>3650</v>
      </c>
      <c r="M147" s="170"/>
      <c r="N147" s="154" t="s">
        <v>8476</v>
      </c>
      <c r="O147" s="170" t="str">
        <f t="array" ref="O147">IFERROR(
VLOOKUP(
TRIM(CLEAN(
INDEX(REPORTE_DROPI!K:K,
MATCH(T147, REPORTE_DROPI!B:B, 0)
))),
{
TRIM(CLEAN(MAPA_ESTADOS!A:A)) ,
MAPA_ESTADOS!B:B
},
2,
FALSE
),
"REVISAR"
)</f>
        <v>ENTREGADO</v>
      </c>
      <c r="P147" s="154" t="s">
        <v>8147</v>
      </c>
      <c r="Q147" s="191" t="str">
        <f t="shared" si="1"/>
        <v/>
      </c>
      <c r="R147" s="170"/>
      <c r="S147" s="170"/>
      <c r="T147" s="154">
        <f t="array" ref="T147">IFERROR(
INDEX(REPORTE_DROPI!B:B,
MATCH(
CLEAN(TRIM(C147)),
CLEAN(TRIM(REPORTE_DROPI!E:E)),
0
)
),
""
)
</f>
        <v>4733872</v>
      </c>
      <c r="U147" s="194">
        <v>1.90109122112E11</v>
      </c>
      <c r="V147" s="192"/>
      <c r="W147" s="192"/>
      <c r="X147" s="192"/>
      <c r="Y147" s="192"/>
      <c r="Z147" s="192"/>
    </row>
    <row r="148" ht="22.5" customHeight="1">
      <c r="A148" s="154"/>
      <c r="B148" s="170">
        <v>46089.0</v>
      </c>
      <c r="C148" s="154" t="s">
        <v>8477</v>
      </c>
      <c r="D148" s="154" t="str">
        <f>IFERROR(__xludf.DUMMYFUNCTION("""COMPUTED_VALUE"""),"FilmPro®")</f>
        <v>FilmPro®</v>
      </c>
      <c r="E148" s="188">
        <v>4.7</v>
      </c>
      <c r="F148" s="189">
        <v>2.0</v>
      </c>
      <c r="G148" s="190">
        <v>25.0</v>
      </c>
      <c r="H148" s="154" t="s">
        <v>3727</v>
      </c>
      <c r="I148" s="154" t="s">
        <v>8243</v>
      </c>
      <c r="J148" s="189">
        <v>6.97</v>
      </c>
      <c r="K148" s="154">
        <v>13.33</v>
      </c>
      <c r="L148" s="154" t="s">
        <v>3650</v>
      </c>
      <c r="M148" s="170"/>
      <c r="N148" s="154" t="s">
        <v>8478</v>
      </c>
      <c r="O148" s="170" t="str">
        <f t="array" ref="O148">IFERROR(
VLOOKUP(
TRIM(CLEAN(
INDEX(REPORTE_DROPI!K:K,
MATCH(T148, REPORTE_DROPI!B:B, 0)
))),
{
TRIM(CLEAN(MAPA_ESTADOS!A:A)) ,
MAPA_ESTADOS!B:B
},
2,
FALSE
),
"REVISAR"
)</f>
        <v>ENTREGADO</v>
      </c>
      <c r="P148" s="154" t="s">
        <v>8147</v>
      </c>
      <c r="Q148" s="191" t="str">
        <f t="shared" si="1"/>
        <v/>
      </c>
      <c r="R148" s="170"/>
      <c r="S148" s="170"/>
      <c r="T148" s="154">
        <f t="array" ref="T148">IFERROR(
INDEX(REPORTE_DROPI!B:B,
MATCH(
CLEAN(TRIM(C148)),
CLEAN(TRIM(REPORTE_DROPI!E:E)),
0
)
),
""
)
</f>
        <v>4733964</v>
      </c>
      <c r="U148" s="154" t="s">
        <v>8479</v>
      </c>
      <c r="V148" s="192"/>
      <c r="W148" s="192"/>
      <c r="X148" s="192"/>
      <c r="Y148" s="192"/>
      <c r="Z148" s="192"/>
    </row>
    <row r="149" ht="22.5" customHeight="1">
      <c r="A149" s="154"/>
      <c r="B149" s="170">
        <v>46089.0</v>
      </c>
      <c r="C149" s="154" t="s">
        <v>8480</v>
      </c>
      <c r="D149" s="154" t="str">
        <f>IFERROR(__xludf.DUMMYFUNCTION("""COMPUTED_VALUE"""),"FilmPro®")</f>
        <v>FilmPro®</v>
      </c>
      <c r="E149" s="188">
        <v>4.7</v>
      </c>
      <c r="F149" s="189">
        <v>2.0</v>
      </c>
      <c r="G149" s="190">
        <v>25.0</v>
      </c>
      <c r="H149" s="154" t="s">
        <v>3727</v>
      </c>
      <c r="I149" s="154" t="s">
        <v>8243</v>
      </c>
      <c r="J149" s="189">
        <v>5.96</v>
      </c>
      <c r="K149" s="154">
        <v>14.34</v>
      </c>
      <c r="L149" s="154" t="s">
        <v>3650</v>
      </c>
      <c r="M149" s="170"/>
      <c r="N149" s="154" t="s">
        <v>8481</v>
      </c>
      <c r="O149" s="170" t="str">
        <f t="array" ref="O149">IFERROR(
VLOOKUP(
TRIM(CLEAN(
INDEX(REPORTE_DROPI!K:K,
MATCH(T149, REPORTE_DROPI!B:B, 0)
))),
{
TRIM(CLEAN(MAPA_ESTADOS!A:A)) ,
MAPA_ESTADOS!B:B
},
2,
FALSE
),
"REVISAR"
)</f>
        <v>ENTREGADO</v>
      </c>
      <c r="P149" s="132" t="s">
        <v>8482</v>
      </c>
      <c r="Q149" s="191" t="str">
        <f t="shared" si="1"/>
        <v/>
      </c>
      <c r="R149" s="170"/>
      <c r="S149" s="170"/>
      <c r="T149" s="154">
        <f t="array" ref="T149">IFERROR(
INDEX(REPORTE_DROPI!B:B,
MATCH(
CLEAN(TRIM(C149)),
CLEAN(TRIM(REPORTE_DROPI!E:E)),
0
)
),
""
)
</f>
        <v>4734047</v>
      </c>
      <c r="U149" s="154" t="s">
        <v>8165</v>
      </c>
      <c r="V149" s="192"/>
      <c r="W149" s="192"/>
      <c r="X149" s="192"/>
      <c r="Y149" s="192"/>
      <c r="Z149" s="192"/>
    </row>
    <row r="150" ht="22.5" customHeight="1">
      <c r="A150" s="154"/>
      <c r="B150" s="170">
        <v>46089.0</v>
      </c>
      <c r="C150" s="207" t="s">
        <v>8472</v>
      </c>
      <c r="D150" s="154" t="str">
        <f>IFERROR(__xludf.DUMMYFUNCTION("""COMPUTED_VALUE"""),"FilmPro®")</f>
        <v>FilmPro®</v>
      </c>
      <c r="E150" s="188" t="s">
        <v>3650</v>
      </c>
      <c r="F150" s="189">
        <v>1.0</v>
      </c>
      <c r="G150" s="190" t="s">
        <v>3650</v>
      </c>
      <c r="H150" s="154" t="s">
        <v>3727</v>
      </c>
      <c r="I150" s="154" t="s">
        <v>8247</v>
      </c>
      <c r="J150" s="189" t="s">
        <v>3650</v>
      </c>
      <c r="K150" s="154"/>
      <c r="L150" s="154">
        <v>0.0</v>
      </c>
      <c r="M150" s="170"/>
      <c r="N150" s="154" t="s">
        <v>8483</v>
      </c>
      <c r="O150" s="170" t="str">
        <f t="array" ref="O150">IFERROR(
VLOOKUP(
TRIM(CLEAN(
INDEX(REPORTE_DROPI!K:K,
MATCH(T150, REPORTE_DROPI!B:B, 0)
))),
{
TRIM(CLEAN(MAPA_ESTADOS!A:A)) ,
MAPA_ESTADOS!B:B
},
2,
FALSE
),
"REVISAR"
)</f>
        <v>DEVOLUCION</v>
      </c>
      <c r="P150" s="154" t="s">
        <v>3655</v>
      </c>
      <c r="Q150" s="191" t="str">
        <f t="shared" si="1"/>
        <v/>
      </c>
      <c r="R150" s="170"/>
      <c r="S150" s="170"/>
      <c r="T150" s="154">
        <f t="array" ref="T150">IFERROR(
INDEX(REPORTE_DROPI!B:B,
MATCH(
CLEAN(TRIM(C150)),
CLEAN(TRIM(REPORTE_DROPI!E:E)),
0
)
),
""
)
</f>
        <v>4734202</v>
      </c>
      <c r="U150" s="154"/>
      <c r="V150" s="192"/>
      <c r="W150" s="192"/>
      <c r="X150" s="192"/>
      <c r="Y150" s="192"/>
      <c r="Z150" s="192"/>
    </row>
    <row r="151" ht="22.5" customHeight="1">
      <c r="A151" s="154"/>
      <c r="B151" s="170">
        <v>46089.0</v>
      </c>
      <c r="C151" s="154" t="s">
        <v>8484</v>
      </c>
      <c r="D151" s="154" t="str">
        <f>IFERROR(__xludf.DUMMYFUNCTION("""COMPUTED_VALUE"""),"FilmPro®")</f>
        <v>FilmPro®</v>
      </c>
      <c r="E151" s="188" t="s">
        <v>3650</v>
      </c>
      <c r="F151" s="189">
        <v>2.0</v>
      </c>
      <c r="G151" s="190" t="s">
        <v>3650</v>
      </c>
      <c r="H151" s="154" t="s">
        <v>3727</v>
      </c>
      <c r="I151" s="154" t="s">
        <v>8247</v>
      </c>
      <c r="J151" s="189" t="s">
        <v>3650</v>
      </c>
      <c r="K151" s="154"/>
      <c r="L151" s="154" t="s">
        <v>3650</v>
      </c>
      <c r="M151" s="170"/>
      <c r="N151" s="154" t="s">
        <v>8485</v>
      </c>
      <c r="O151" s="170" t="str">
        <f t="array" ref="O151">IFERROR(
VLOOKUP(
TRIM(CLEAN(
INDEX(REPORTE_DROPI!K:K,
MATCH(T151, REPORTE_DROPI!B:B, 0)
))),
{
TRIM(CLEAN(MAPA_ESTADOS!A:A)) ,
MAPA_ESTADOS!B:B
},
2,
FALSE
),
"REVISAR"
)</f>
        <v>PENDIENTE</v>
      </c>
      <c r="P151" s="202" t="s">
        <v>8240</v>
      </c>
      <c r="Q151" s="191" t="str">
        <f t="shared" si="1"/>
        <v/>
      </c>
      <c r="R151" s="170"/>
      <c r="S151" s="170"/>
      <c r="T151" s="154">
        <f t="array" ref="T151">IFERROR(
INDEX(REPORTE_DROPI!B:B,
MATCH(
CLEAN(TRIM(C151)),
CLEAN(TRIM(REPORTE_DROPI!E:E)),
0
)
),
""
)
</f>
        <v>4734635</v>
      </c>
      <c r="U151" s="154" t="s">
        <v>8486</v>
      </c>
      <c r="V151" s="192"/>
      <c r="W151" s="192"/>
      <c r="X151" s="192"/>
      <c r="Y151" s="192"/>
      <c r="Z151" s="192"/>
    </row>
    <row r="152" ht="22.5" customHeight="1">
      <c r="A152" s="154"/>
      <c r="B152" s="170">
        <v>46089.0</v>
      </c>
      <c r="C152" s="154" t="s">
        <v>8487</v>
      </c>
      <c r="D152" s="154" t="str">
        <f>IFERROR(__xludf.DUMMYFUNCTION("""COMPUTED_VALUE"""),"FilmPro®")</f>
        <v>FilmPro®</v>
      </c>
      <c r="E152" s="188" t="s">
        <v>3650</v>
      </c>
      <c r="F152" s="189">
        <v>1.0</v>
      </c>
      <c r="G152" s="190" t="s">
        <v>3650</v>
      </c>
      <c r="H152" s="154" t="s">
        <v>3727</v>
      </c>
      <c r="I152" s="154" t="s">
        <v>8233</v>
      </c>
      <c r="J152" s="189" t="s">
        <v>3650</v>
      </c>
      <c r="K152" s="154"/>
      <c r="L152" s="154" t="s">
        <v>3650</v>
      </c>
      <c r="M152" s="170"/>
      <c r="N152" s="154" t="s">
        <v>8488</v>
      </c>
      <c r="O152" s="170" t="str">
        <f t="array" ref="O152">IFERROR(
VLOOKUP(
TRIM(CLEAN(
INDEX(REPORTE_DROPI!K:K,
MATCH(T152, REPORTE_DROPI!B:B, 0)
))),
{
TRIM(CLEAN(MAPA_ESTADOS!A:A)) ,
MAPA_ESTADOS!B:B
},
2,
FALSE
),
"REVISAR"
)</f>
        <v>CANCELADO</v>
      </c>
      <c r="P152" s="205" t="s">
        <v>8489</v>
      </c>
      <c r="Q152" s="191" t="str">
        <f t="shared" si="1"/>
        <v/>
      </c>
      <c r="R152" s="170"/>
      <c r="S152" s="170"/>
      <c r="T152" s="154">
        <f t="array" ref="T152">IFERROR(
INDEX(REPORTE_DROPI!B:B,
MATCH(
CLEAN(TRIM(C152)),
CLEAN(TRIM(REPORTE_DROPI!E:E)),
0
)
),
""
)
</f>
        <v>4734863</v>
      </c>
      <c r="U152" s="154" t="s">
        <v>8490</v>
      </c>
      <c r="V152" s="192"/>
      <c r="W152" s="192"/>
      <c r="X152" s="192"/>
      <c r="Y152" s="192"/>
      <c r="Z152" s="192"/>
    </row>
    <row r="153" ht="22.5" customHeight="1">
      <c r="A153" s="154"/>
      <c r="B153" s="170">
        <v>46089.0</v>
      </c>
      <c r="C153" s="154" t="s">
        <v>8491</v>
      </c>
      <c r="D153" s="154" t="str">
        <f>IFERROR(__xludf.DUMMYFUNCTION("""COMPUTED_VALUE"""),"FilmPro®")</f>
        <v>FilmPro®</v>
      </c>
      <c r="E153" s="188">
        <v>7.05</v>
      </c>
      <c r="F153" s="189">
        <v>3.0</v>
      </c>
      <c r="G153" s="190">
        <v>30.0</v>
      </c>
      <c r="H153" s="154" t="s">
        <v>3727</v>
      </c>
      <c r="I153" s="154" t="s">
        <v>8243</v>
      </c>
      <c r="J153" s="189">
        <v>6.16</v>
      </c>
      <c r="K153" s="154">
        <v>16.79</v>
      </c>
      <c r="L153" s="154" t="s">
        <v>3650</v>
      </c>
      <c r="M153" s="170"/>
      <c r="N153" s="154" t="s">
        <v>8492</v>
      </c>
      <c r="O153" s="170" t="str">
        <f t="array" ref="O153">IFERROR(
VLOOKUP(
TRIM(CLEAN(
INDEX(REPORTE_DROPI!K:K,
MATCH(T153, REPORTE_DROPI!B:B, 0)
))),
{
TRIM(CLEAN(MAPA_ESTADOS!A:A)) ,
MAPA_ESTADOS!B:B
},
2,
FALSE
),
"REVISAR"
)</f>
        <v>ENTREGADO</v>
      </c>
      <c r="P153" s="154" t="s">
        <v>5692</v>
      </c>
      <c r="Q153" s="191" t="str">
        <f t="shared" si="1"/>
        <v/>
      </c>
      <c r="R153" s="170"/>
      <c r="S153" s="170"/>
      <c r="T153" s="154">
        <f t="array" ref="T153">IFERROR(
INDEX(REPORTE_DROPI!B:B,
MATCH(
CLEAN(TRIM(C153)),
CLEAN(TRIM(REPORTE_DROPI!E:E)),
0
)
),
""
)
</f>
        <v>4735258</v>
      </c>
      <c r="U153" s="154" t="s">
        <v>8493</v>
      </c>
      <c r="V153" s="192"/>
      <c r="W153" s="192"/>
      <c r="X153" s="192"/>
      <c r="Y153" s="192"/>
      <c r="Z153" s="192"/>
    </row>
    <row r="154" ht="22.5" customHeight="1">
      <c r="A154" s="154"/>
      <c r="B154" s="170">
        <v>46089.0</v>
      </c>
      <c r="C154" s="154" t="s">
        <v>8494</v>
      </c>
      <c r="D154" s="154" t="str">
        <f>IFERROR(__xludf.DUMMYFUNCTION("""COMPUTED_VALUE"""),"FilmPro®")</f>
        <v>FilmPro®</v>
      </c>
      <c r="E154" s="188" t="s">
        <v>3650</v>
      </c>
      <c r="F154" s="189">
        <v>1.0</v>
      </c>
      <c r="G154" s="190" t="s">
        <v>3650</v>
      </c>
      <c r="H154" s="154" t="s">
        <v>3727</v>
      </c>
      <c r="I154" s="154" t="s">
        <v>8320</v>
      </c>
      <c r="J154" s="189" t="s">
        <v>3650</v>
      </c>
      <c r="K154" s="154"/>
      <c r="L154" s="154" t="s">
        <v>3650</v>
      </c>
      <c r="M154" s="170"/>
      <c r="N154" s="154" t="s">
        <v>8495</v>
      </c>
      <c r="O154" s="170" t="str">
        <f t="array" ref="O154">IFERROR(
VLOOKUP(
TRIM(CLEAN(
INDEX(REPORTE_DROPI!K:K,
MATCH(T154, REPORTE_DROPI!B:B, 0)
))),
{
TRIM(CLEAN(MAPA_ESTADOS!A:A)) ,
MAPA_ESTADOS!B:B
},
2,
FALSE
),
"REVISAR"
)</f>
        <v>PENDIENTE</v>
      </c>
      <c r="P154" s="202" t="s">
        <v>8240</v>
      </c>
      <c r="Q154" s="191" t="str">
        <f t="shared" si="1"/>
        <v/>
      </c>
      <c r="R154" s="170"/>
      <c r="S154" s="170"/>
      <c r="T154" s="154">
        <f t="array" ref="T154">IFERROR(
INDEX(REPORTE_DROPI!B:B,
MATCH(
CLEAN(TRIM(C154)),
CLEAN(TRIM(REPORTE_DROPI!E:E)),
0
)
),
""
)
</f>
        <v>4744676</v>
      </c>
      <c r="U154" s="154" t="s">
        <v>8496</v>
      </c>
      <c r="V154" s="192"/>
      <c r="W154" s="192"/>
      <c r="X154" s="192"/>
      <c r="Y154" s="192"/>
      <c r="Z154" s="192"/>
    </row>
    <row r="155" ht="22.5" customHeight="1">
      <c r="A155" s="154"/>
      <c r="B155" s="170">
        <v>46089.0</v>
      </c>
      <c r="C155" s="154" t="s">
        <v>8497</v>
      </c>
      <c r="D155" s="154" t="str">
        <f>IFERROR(__xludf.DUMMYFUNCTION("""COMPUTED_VALUE"""),"FilmPro®")</f>
        <v>FilmPro®</v>
      </c>
      <c r="E155" s="188" t="s">
        <v>3650</v>
      </c>
      <c r="F155" s="189">
        <v>1.0</v>
      </c>
      <c r="G155" s="190" t="s">
        <v>3650</v>
      </c>
      <c r="H155" s="154" t="s">
        <v>3727</v>
      </c>
      <c r="I155" s="154" t="s">
        <v>8243</v>
      </c>
      <c r="J155" s="189" t="s">
        <v>3650</v>
      </c>
      <c r="K155" s="154"/>
      <c r="L155" s="154">
        <v>0.0</v>
      </c>
      <c r="M155" s="170"/>
      <c r="N155" s="154" t="s">
        <v>8498</v>
      </c>
      <c r="O155" s="170" t="str">
        <f t="array" ref="O155">IFERROR(
VLOOKUP(
TRIM(CLEAN(
INDEX(REPORTE_DROPI!K:K,
MATCH(T155, REPORTE_DROPI!B:B, 0)
))),
{
TRIM(CLEAN(MAPA_ESTADOS!A:A)) ,
MAPA_ESTADOS!B:B
},
2,
FALSE
),
"REVISAR"
)</f>
        <v>DEVOLUCION</v>
      </c>
      <c r="P155" s="154" t="s">
        <v>5692</v>
      </c>
      <c r="Q155" s="191" t="str">
        <f t="shared" si="1"/>
        <v/>
      </c>
      <c r="R155" s="170"/>
      <c r="S155" s="170"/>
      <c r="T155" s="154">
        <f t="array" ref="T155">IFERROR(
INDEX(REPORTE_DROPI!B:B,
MATCH(
CLEAN(TRIM(C155)),
CLEAN(TRIM(REPORTE_DROPI!E:E)),
0
)
),
""
)
</f>
        <v>4735420</v>
      </c>
      <c r="U155" s="154" t="s">
        <v>8499</v>
      </c>
      <c r="V155" s="192"/>
      <c r="W155" s="192"/>
      <c r="X155" s="192"/>
      <c r="Y155" s="192"/>
      <c r="Z155" s="192"/>
    </row>
    <row r="156" ht="22.5" customHeight="1">
      <c r="A156" s="154"/>
      <c r="B156" s="170">
        <v>46089.0</v>
      </c>
      <c r="C156" s="154" t="s">
        <v>8500</v>
      </c>
      <c r="D156" s="154" t="str">
        <f>IFERROR(__xludf.DUMMYFUNCTION("""COMPUTED_VALUE"""),"FilmPro®")</f>
        <v>FilmPro®</v>
      </c>
      <c r="E156" s="188" t="s">
        <v>3650</v>
      </c>
      <c r="F156" s="189">
        <v>3.0</v>
      </c>
      <c r="G156" s="190" t="s">
        <v>3650</v>
      </c>
      <c r="H156" s="154" t="s">
        <v>3727</v>
      </c>
      <c r="I156" s="154" t="s">
        <v>8501</v>
      </c>
      <c r="J156" s="189" t="s">
        <v>3650</v>
      </c>
      <c r="K156" s="154"/>
      <c r="L156" s="154">
        <v>0.0</v>
      </c>
      <c r="M156" s="170"/>
      <c r="N156" s="154" t="s">
        <v>8502</v>
      </c>
      <c r="O156" s="170" t="str">
        <f t="array" ref="O156">IFERROR(
VLOOKUP(
TRIM(CLEAN(
INDEX(REPORTE_DROPI!K:K,
MATCH(T156, REPORTE_DROPI!B:B, 0)
))),
{
TRIM(CLEAN(MAPA_ESTADOS!A:A)) ,
MAPA_ESTADOS!B:B
},
2,
FALSE
),
"REVISAR"
)</f>
        <v>DEVOLUCION</v>
      </c>
      <c r="P156" s="154" t="s">
        <v>3655</v>
      </c>
      <c r="Q156" s="191" t="str">
        <f t="shared" si="1"/>
        <v/>
      </c>
      <c r="R156" s="170"/>
      <c r="S156" s="170"/>
      <c r="T156" s="154">
        <f t="array" ref="T156">IFERROR(
INDEX(REPORTE_DROPI!B:B,
MATCH(
CLEAN(TRIM(C156)),
CLEAN(TRIM(REPORTE_DROPI!E:E)),
0
)
),
""
)
</f>
        <v>4735578</v>
      </c>
      <c r="U156" s="154" t="s">
        <v>8503</v>
      </c>
      <c r="V156" s="192"/>
      <c r="W156" s="192"/>
      <c r="X156" s="192"/>
      <c r="Y156" s="192"/>
      <c r="Z156" s="192"/>
    </row>
    <row r="157" ht="22.5" customHeight="1">
      <c r="A157" s="154"/>
      <c r="B157" s="170">
        <v>46089.0</v>
      </c>
      <c r="C157" s="154" t="s">
        <v>8504</v>
      </c>
      <c r="D157" s="154" t="str">
        <f>IFERROR(__xludf.DUMMYFUNCTION("""COMPUTED_VALUE"""),"FilmPro®")</f>
        <v>FilmPro®</v>
      </c>
      <c r="E157" s="188">
        <v>4.7</v>
      </c>
      <c r="F157" s="189">
        <v>2.0</v>
      </c>
      <c r="G157" s="190">
        <v>25.0</v>
      </c>
      <c r="H157" s="154" t="s">
        <v>3727</v>
      </c>
      <c r="I157" s="154" t="s">
        <v>8320</v>
      </c>
      <c r="J157" s="189">
        <v>5.96</v>
      </c>
      <c r="K157" s="154">
        <v>14.34</v>
      </c>
      <c r="L157" s="154" t="s">
        <v>3650</v>
      </c>
      <c r="M157" s="170"/>
      <c r="N157" s="154" t="s">
        <v>8505</v>
      </c>
      <c r="O157" s="170" t="str">
        <f t="array" ref="O157">IFERROR(
VLOOKUP(
TRIM(CLEAN(
INDEX(REPORTE_DROPI!K:K,
MATCH(T157, REPORTE_DROPI!B:B, 0)
))),
{
TRIM(CLEAN(MAPA_ESTADOS!A:A)) ,
MAPA_ESTADOS!B:B
},
2,
FALSE
),
"REVISAR"
)</f>
        <v>ENTREGADO</v>
      </c>
      <c r="P157" s="154" t="s">
        <v>5692</v>
      </c>
      <c r="Q157" s="191" t="str">
        <f t="shared" si="1"/>
        <v/>
      </c>
      <c r="R157" s="170"/>
      <c r="S157" s="170"/>
      <c r="T157" s="154">
        <f t="array" ref="T157">IFERROR(
INDEX(REPORTE_DROPI!B:B,
MATCH(
CLEAN(TRIM(C157)),
CLEAN(TRIM(REPORTE_DROPI!E:E)),
0
)
),
""
)
</f>
        <v>4735984</v>
      </c>
      <c r="U157" s="154" t="s">
        <v>8506</v>
      </c>
      <c r="V157" s="192"/>
      <c r="W157" s="192"/>
      <c r="X157" s="192"/>
      <c r="Y157" s="192"/>
      <c r="Z157" s="192"/>
    </row>
    <row r="158" ht="22.5" customHeight="1">
      <c r="A158" s="154"/>
      <c r="B158" s="170">
        <v>46089.0</v>
      </c>
      <c r="C158" s="154" t="s">
        <v>8507</v>
      </c>
      <c r="D158" s="154" t="str">
        <f>IFERROR(__xludf.DUMMYFUNCTION("""COMPUTED_VALUE"""),"FilmPro®")</f>
        <v>FilmPro®</v>
      </c>
      <c r="E158" s="188">
        <v>7.05</v>
      </c>
      <c r="F158" s="189">
        <v>3.0</v>
      </c>
      <c r="G158" s="190">
        <v>30.0</v>
      </c>
      <c r="H158" s="154" t="s">
        <v>3727</v>
      </c>
      <c r="I158" s="154" t="s">
        <v>8288</v>
      </c>
      <c r="J158" s="189">
        <v>7.82</v>
      </c>
      <c r="K158" s="154">
        <v>15.13</v>
      </c>
      <c r="L158" s="154" t="s">
        <v>3650</v>
      </c>
      <c r="M158" s="170"/>
      <c r="N158" s="154" t="s">
        <v>8508</v>
      </c>
      <c r="O158" s="170" t="str">
        <f t="array" ref="O158">IFERROR(
VLOOKUP(
TRIM(CLEAN(
INDEX(REPORTE_DROPI!K:K,
MATCH(T158, REPORTE_DROPI!B:B, 0)
))),
{
TRIM(CLEAN(MAPA_ESTADOS!A:A)) ,
MAPA_ESTADOS!B:B
},
2,
FALSE
),
"REVISAR"
)</f>
        <v>ENTREGADO</v>
      </c>
      <c r="P158" s="154" t="s">
        <v>3655</v>
      </c>
      <c r="Q158" s="191" t="str">
        <f t="shared" si="1"/>
        <v/>
      </c>
      <c r="R158" s="170"/>
      <c r="S158" s="170"/>
      <c r="T158" s="154">
        <f t="array" ref="T158">IFERROR(
INDEX(REPORTE_DROPI!B:B,
MATCH(
CLEAN(TRIM(C158)),
CLEAN(TRIM(REPORTE_DROPI!E:E)),
0
)
),
""
)
</f>
        <v>4736068</v>
      </c>
      <c r="U158" s="154" t="s">
        <v>8509</v>
      </c>
      <c r="V158" s="192"/>
      <c r="W158" s="192"/>
      <c r="X158" s="192"/>
      <c r="Y158" s="192"/>
      <c r="Z158" s="192"/>
    </row>
    <row r="159" ht="22.5" customHeight="1">
      <c r="A159" s="154"/>
      <c r="B159" s="170">
        <v>46089.0</v>
      </c>
      <c r="C159" s="154" t="s">
        <v>8510</v>
      </c>
      <c r="D159" s="154" t="str">
        <f>IFERROR(__xludf.DUMMYFUNCTION("""COMPUTED_VALUE"""),"DrainGuard Pro™")</f>
        <v>DrainGuard Pro™</v>
      </c>
      <c r="E159" s="188" t="s">
        <v>3650</v>
      </c>
      <c r="F159" s="189">
        <v>2.0</v>
      </c>
      <c r="G159" s="190" t="s">
        <v>3650</v>
      </c>
      <c r="H159" s="154" t="s">
        <v>3727</v>
      </c>
      <c r="I159" s="154" t="s">
        <v>8247</v>
      </c>
      <c r="J159" s="189" t="s">
        <v>3650</v>
      </c>
      <c r="K159" s="154"/>
      <c r="L159" s="154" t="s">
        <v>3650</v>
      </c>
      <c r="M159" s="170"/>
      <c r="N159" s="154" t="s">
        <v>8511</v>
      </c>
      <c r="O159" s="170" t="str">
        <f t="array" ref="O159">IFERROR(
VLOOKUP(
TRIM(CLEAN(
INDEX(REPORTE_DROPI!K:K,
MATCH(T159, REPORTE_DROPI!B:B, 0)
))),
{
TRIM(CLEAN(MAPA_ESTADOS!A:A)) ,
MAPA_ESTADOS!B:B
},
2,
FALSE
),
"REVISAR"
)</f>
        <v>PENDIENTE</v>
      </c>
      <c r="P159" s="202" t="s">
        <v>8512</v>
      </c>
      <c r="Q159" s="191" t="str">
        <f t="shared" si="1"/>
        <v/>
      </c>
      <c r="R159" s="170"/>
      <c r="S159" s="170"/>
      <c r="T159" s="154">
        <f t="array" ref="T159">IFERROR(
INDEX(REPORTE_DROPI!B:B,
MATCH(
CLEAN(TRIM(C159)),
CLEAN(TRIM(REPORTE_DROPI!E:E)),
0
)
),
""
)
</f>
        <v>4736916</v>
      </c>
      <c r="U159" s="194">
        <v>1.57100136124E11</v>
      </c>
      <c r="V159" s="192"/>
      <c r="W159" s="192"/>
      <c r="X159" s="192"/>
      <c r="Y159" s="192"/>
      <c r="Z159" s="192"/>
    </row>
    <row r="160" ht="22.5" customHeight="1">
      <c r="A160" s="154"/>
      <c r="B160" s="170">
        <v>46089.0</v>
      </c>
      <c r="C160" s="154" t="s">
        <v>8513</v>
      </c>
      <c r="D160" s="154" t="str">
        <f>IFERROR(__xludf.DUMMYFUNCTION("""COMPUTED_VALUE"""),"FreeBeat Adapter")</f>
        <v>FreeBeat Adapter</v>
      </c>
      <c r="E160" s="188">
        <v>10.0</v>
      </c>
      <c r="F160" s="189">
        <v>2.0</v>
      </c>
      <c r="G160" s="190">
        <v>22.0</v>
      </c>
      <c r="H160" s="154" t="s">
        <v>3727</v>
      </c>
      <c r="I160" s="154" t="s">
        <v>8265</v>
      </c>
      <c r="J160" s="189">
        <v>5.84</v>
      </c>
      <c r="K160" s="154">
        <v>6.16</v>
      </c>
      <c r="L160" s="154" t="s">
        <v>3650</v>
      </c>
      <c r="M160" s="170" t="s">
        <v>5877</v>
      </c>
      <c r="N160" s="154" t="s">
        <v>8514</v>
      </c>
      <c r="O160" s="170" t="str">
        <f t="array" ref="O160">IFERROR(
VLOOKUP(
TRIM(CLEAN(
INDEX(REPORTE_DROPI!K:K,
MATCH(T160, REPORTE_DROPI!B:B, 0)
))),
{
TRIM(CLEAN(MAPA_ESTADOS!A:A)) ,
MAPA_ESTADOS!B:B
},
2,
FALSE
),
"REVISAR"
)</f>
        <v>ENTREGADO</v>
      </c>
      <c r="P160" s="154" t="s">
        <v>5692</v>
      </c>
      <c r="Q160" s="191" t="str">
        <f t="shared" si="1"/>
        <v/>
      </c>
      <c r="R160" s="170"/>
      <c r="S160" s="170"/>
      <c r="T160" s="154">
        <f t="array" ref="T160">IFERROR(
INDEX(REPORTE_DROPI!B:B,
MATCH(
CLEAN(TRIM(C160)),
CLEAN(TRIM(REPORTE_DROPI!E:E)),
0
)
),
""
)
</f>
        <v>4737310</v>
      </c>
      <c r="U160" s="154" t="s">
        <v>8515</v>
      </c>
      <c r="V160" s="192"/>
      <c r="W160" s="192"/>
      <c r="X160" s="192"/>
      <c r="Y160" s="192"/>
      <c r="Z160" s="192"/>
    </row>
    <row r="161" ht="22.5" customHeight="1">
      <c r="A161" s="154"/>
      <c r="B161" s="170">
        <v>46089.0</v>
      </c>
      <c r="C161" s="154" t="s">
        <v>8516</v>
      </c>
      <c r="D161" s="154" t="str">
        <f>IFERROR(__xludf.DUMMYFUNCTION("""COMPUTED_VALUE"""),"DrainGuard Pro™")</f>
        <v>DrainGuard Pro™</v>
      </c>
      <c r="E161" s="188">
        <v>7.0</v>
      </c>
      <c r="F161" s="189">
        <v>2.0</v>
      </c>
      <c r="G161" s="190">
        <v>25.0</v>
      </c>
      <c r="H161" s="154" t="s">
        <v>3727</v>
      </c>
      <c r="I161" s="154" t="s">
        <v>8247</v>
      </c>
      <c r="J161" s="189">
        <v>5.96</v>
      </c>
      <c r="K161" s="154">
        <v>12.04</v>
      </c>
      <c r="L161" s="154" t="s">
        <v>3650</v>
      </c>
      <c r="M161" s="170"/>
      <c r="N161" s="154" t="s">
        <v>8517</v>
      </c>
      <c r="O161" s="170" t="str">
        <f t="array" ref="O161">IFERROR(
VLOOKUP(
TRIM(CLEAN(
INDEX(REPORTE_DROPI!K:K,
MATCH(T161, REPORTE_DROPI!B:B, 0)
))),
{
TRIM(CLEAN(MAPA_ESTADOS!A:A)) ,
MAPA_ESTADOS!B:B
},
2,
FALSE
),
"REVISAR"
)</f>
        <v>ENTREGADO</v>
      </c>
      <c r="P161" s="154" t="s">
        <v>5692</v>
      </c>
      <c r="Q161" s="191" t="str">
        <f t="shared" si="1"/>
        <v/>
      </c>
      <c r="R161" s="170"/>
      <c r="S161" s="170"/>
      <c r="T161" s="154">
        <f t="array" ref="T161">IFERROR(
INDEX(REPORTE_DROPI!B:B,
MATCH(
CLEAN(TRIM(C161)),
CLEAN(TRIM(REPORTE_DROPI!E:E)),
0
)
),
""
)
</f>
        <v>4737547</v>
      </c>
      <c r="U161" s="194">
        <v>1.90154115143E11</v>
      </c>
      <c r="V161" s="192"/>
      <c r="W161" s="192"/>
      <c r="X161" s="192"/>
      <c r="Y161" s="192"/>
      <c r="Z161" s="192"/>
    </row>
    <row r="162" ht="22.5" customHeight="1">
      <c r="A162" s="154"/>
      <c r="B162" s="170">
        <v>46089.0</v>
      </c>
      <c r="C162" s="154" t="s">
        <v>8518</v>
      </c>
      <c r="D162" s="154" t="str">
        <f>IFERROR(__xludf.DUMMYFUNCTION("""COMPUTED_VALUE"""),"DrainGuard Pro™")</f>
        <v>DrainGuard Pro™</v>
      </c>
      <c r="E162" s="188" t="s">
        <v>3650</v>
      </c>
      <c r="F162" s="189">
        <v>2.0</v>
      </c>
      <c r="G162" s="190" t="s">
        <v>3650</v>
      </c>
      <c r="H162" s="154" t="s">
        <v>3727</v>
      </c>
      <c r="I162" s="154" t="s">
        <v>8501</v>
      </c>
      <c r="J162" s="189" t="s">
        <v>3650</v>
      </c>
      <c r="K162" s="154"/>
      <c r="L162" s="154" t="s">
        <v>3650</v>
      </c>
      <c r="M162" s="170"/>
      <c r="N162" s="154" t="s">
        <v>8519</v>
      </c>
      <c r="O162" s="170" t="str">
        <f t="array" ref="O162">IFERROR(
VLOOKUP(
TRIM(CLEAN(
INDEX(REPORTE_DROPI!K:K,
MATCH(T162, REPORTE_DROPI!B:B, 0)
))),
{
TRIM(CLEAN(MAPA_ESTADOS!A:A)) ,
MAPA_ESTADOS!B:B
},
2,
FALSE
),
"REVISAR"
)</f>
        <v>CANCELADO</v>
      </c>
      <c r="P162" s="205" t="s">
        <v>8520</v>
      </c>
      <c r="Q162" s="191" t="str">
        <f t="shared" si="1"/>
        <v/>
      </c>
      <c r="R162" s="170"/>
      <c r="S162" s="170"/>
      <c r="T162" s="154">
        <f t="array" ref="T162">IFERROR(
INDEX(REPORTE_DROPI!B:B,
MATCH(
CLEAN(TRIM(C162)),
CLEAN(TRIM(REPORTE_DROPI!E:E)),
0
)
),
""
)
</f>
        <v>4744892</v>
      </c>
      <c r="U162" s="154" t="s">
        <v>8521</v>
      </c>
      <c r="V162" s="192"/>
      <c r="W162" s="192"/>
      <c r="X162" s="192"/>
      <c r="Y162" s="192"/>
      <c r="Z162" s="192"/>
    </row>
    <row r="163" ht="22.5" customHeight="1">
      <c r="A163" s="154"/>
      <c r="B163" s="170">
        <v>46089.0</v>
      </c>
      <c r="C163" s="154" t="s">
        <v>8522</v>
      </c>
      <c r="D163" s="154" t="str">
        <f>IFERROR(__xludf.DUMMYFUNCTION("""COMPUTED_VALUE"""),"FilmPro®")</f>
        <v>FilmPro®</v>
      </c>
      <c r="E163" s="188">
        <v>7.05</v>
      </c>
      <c r="F163" s="189">
        <v>3.0</v>
      </c>
      <c r="G163" s="190">
        <v>30.0</v>
      </c>
      <c r="H163" s="154" t="s">
        <v>3727</v>
      </c>
      <c r="I163" s="154" t="s">
        <v>8320</v>
      </c>
      <c r="J163" s="189">
        <v>6.16</v>
      </c>
      <c r="K163" s="154">
        <v>16.79</v>
      </c>
      <c r="L163" s="154" t="s">
        <v>3650</v>
      </c>
      <c r="M163" s="170"/>
      <c r="N163" s="154" t="s">
        <v>8523</v>
      </c>
      <c r="O163" s="170" t="str">
        <f t="array" ref="O163">IFERROR(
VLOOKUP(
TRIM(CLEAN(
INDEX(REPORTE_DROPI!K:K,
MATCH(T163, REPORTE_DROPI!B:B, 0)
))),
{
TRIM(CLEAN(MAPA_ESTADOS!A:A)) ,
MAPA_ESTADOS!B:B
},
2,
FALSE
),
"REVISAR"
)</f>
        <v>ENTREGADO</v>
      </c>
      <c r="P163" s="154" t="s">
        <v>5692</v>
      </c>
      <c r="Q163" s="191" t="str">
        <f t="shared" si="1"/>
        <v/>
      </c>
      <c r="R163" s="170"/>
      <c r="S163" s="170"/>
      <c r="T163" s="154">
        <f t="array" ref="T163">IFERROR(
INDEX(REPORTE_DROPI!B:B,
MATCH(
CLEAN(TRIM(C163)),
CLEAN(TRIM(REPORTE_DROPI!E:E)),
0
)
),
""
)
</f>
        <v>4738367</v>
      </c>
      <c r="U163" s="194">
        <v>1.90130142227E11</v>
      </c>
      <c r="V163" s="192"/>
      <c r="W163" s="192"/>
      <c r="X163" s="192"/>
      <c r="Y163" s="192"/>
      <c r="Z163" s="192"/>
    </row>
    <row r="164" ht="22.5" customHeight="1">
      <c r="A164" s="154"/>
      <c r="B164" s="170">
        <v>46089.0</v>
      </c>
      <c r="C164" s="154" t="s">
        <v>8524</v>
      </c>
      <c r="D164" s="154" t="str">
        <f>IFERROR(__xludf.DUMMYFUNCTION("""COMPUTED_VALUE"""),"DrainGuard Pro™")</f>
        <v>DrainGuard Pro™</v>
      </c>
      <c r="E164" s="188">
        <v>7.0</v>
      </c>
      <c r="F164" s="189">
        <v>3.0</v>
      </c>
      <c r="G164" s="190">
        <v>25.0</v>
      </c>
      <c r="H164" s="154" t="s">
        <v>3727</v>
      </c>
      <c r="I164" s="154" t="s">
        <v>8247</v>
      </c>
      <c r="J164" s="189">
        <v>5.87</v>
      </c>
      <c r="K164" s="154">
        <v>12.13</v>
      </c>
      <c r="L164" s="154" t="s">
        <v>3650</v>
      </c>
      <c r="M164" s="170"/>
      <c r="N164" s="154" t="s">
        <v>8525</v>
      </c>
      <c r="O164" s="170" t="str">
        <f t="array" ref="O164">IFERROR(
VLOOKUP(
TRIM(CLEAN(
INDEX(REPORTE_DROPI!K:K,
MATCH(T164, REPORTE_DROPI!B:B, 0)
))),
{
TRIM(CLEAN(MAPA_ESTADOS!A:A)) ,
MAPA_ESTADOS!B:B
},
2,
FALSE
),
"REVISAR"
)</f>
        <v>ENTREGADO</v>
      </c>
      <c r="P164" s="132" t="s">
        <v>8526</v>
      </c>
      <c r="Q164" s="191" t="str">
        <f t="shared" si="1"/>
        <v/>
      </c>
      <c r="R164" s="170"/>
      <c r="S164" s="170"/>
      <c r="T164" s="154">
        <f t="array" ref="T164">IFERROR(
INDEX(REPORTE_DROPI!B:B,
MATCH(
CLEAN(TRIM(C164)),
CLEAN(TRIM(REPORTE_DROPI!E:E)),
0
)
),
""
)
</f>
        <v>4758331</v>
      </c>
      <c r="U164" s="154" t="s">
        <v>8527</v>
      </c>
      <c r="V164" s="192"/>
      <c r="W164" s="192"/>
      <c r="X164" s="192"/>
      <c r="Y164" s="192"/>
      <c r="Z164" s="192"/>
    </row>
    <row r="165" ht="22.5" customHeight="1">
      <c r="A165" s="154"/>
      <c r="B165" s="170">
        <v>46090.0</v>
      </c>
      <c r="C165" s="154" t="s">
        <v>8528</v>
      </c>
      <c r="D165" s="154" t="str">
        <f>IFERROR(__xludf.DUMMYFUNCTION("""COMPUTED_VALUE"""),"DrainGuard Pro™")</f>
        <v>DrainGuard Pro™</v>
      </c>
      <c r="E165" s="188">
        <v>10.5</v>
      </c>
      <c r="F165" s="189">
        <v>3.0</v>
      </c>
      <c r="G165" s="190">
        <v>32.01</v>
      </c>
      <c r="H165" s="154" t="s">
        <v>3727</v>
      </c>
      <c r="I165" s="154" t="s">
        <v>8247</v>
      </c>
      <c r="J165" s="189">
        <v>6.24</v>
      </c>
      <c r="K165" s="154">
        <v>15.27</v>
      </c>
      <c r="L165" s="154" t="s">
        <v>3650</v>
      </c>
      <c r="M165" s="170"/>
      <c r="N165" s="154" t="s">
        <v>8529</v>
      </c>
      <c r="O165" s="170" t="str">
        <f t="array" ref="O165">IFERROR(
VLOOKUP(
TRIM(CLEAN(
INDEX(REPORTE_DROPI!K:K,
MATCH(T165, REPORTE_DROPI!B:B, 0)
))),
{
TRIM(CLEAN(MAPA_ESTADOS!A:A)) ,
MAPA_ESTADOS!B:B
},
2,
FALSE
),
"REVISAR"
)</f>
        <v>ENTREGADO</v>
      </c>
      <c r="P165" s="154" t="s">
        <v>3655</v>
      </c>
      <c r="Q165" s="191" t="str">
        <f t="shared" si="1"/>
        <v/>
      </c>
      <c r="R165" s="170"/>
      <c r="S165" s="170"/>
      <c r="T165" s="154">
        <f t="array" ref="T165">IFERROR(
INDEX(REPORTE_DROPI!B:B,
MATCH(
CLEAN(TRIM(C165)),
CLEAN(TRIM(REPORTE_DROPI!E:E)),
0
)
),
""
)
</f>
        <v>4744680</v>
      </c>
      <c r="U165" s="154" t="s">
        <v>8530</v>
      </c>
      <c r="V165" s="192"/>
      <c r="W165" s="192"/>
      <c r="X165" s="192"/>
      <c r="Y165" s="192"/>
      <c r="Z165" s="192"/>
    </row>
    <row r="166" ht="22.5" customHeight="1">
      <c r="A166" s="154"/>
      <c r="B166" s="170">
        <v>46090.0</v>
      </c>
      <c r="C166" s="154" t="s">
        <v>8531</v>
      </c>
      <c r="D166" s="154" t="str">
        <f>IFERROR(__xludf.DUMMYFUNCTION("""COMPUTED_VALUE"""),"DrainGuard Pro™")</f>
        <v>DrainGuard Pro™</v>
      </c>
      <c r="E166" s="188">
        <v>7.0</v>
      </c>
      <c r="F166" s="189">
        <v>2.0</v>
      </c>
      <c r="G166" s="190">
        <v>25.0</v>
      </c>
      <c r="H166" s="154" t="s">
        <v>3727</v>
      </c>
      <c r="I166" s="154" t="s">
        <v>8233</v>
      </c>
      <c r="J166" s="189">
        <v>5.96</v>
      </c>
      <c r="K166" s="154">
        <v>12.04</v>
      </c>
      <c r="L166" s="154" t="s">
        <v>3650</v>
      </c>
      <c r="M166" s="170"/>
      <c r="N166" s="154" t="s">
        <v>8532</v>
      </c>
      <c r="O166" s="170" t="str">
        <f t="array" ref="O166">IFERROR(
VLOOKUP(
TRIM(CLEAN(
INDEX(REPORTE_DROPI!K:K,
MATCH(T166, REPORTE_DROPI!B:B, 0)
))),
{
TRIM(CLEAN(MAPA_ESTADOS!A:A)) ,
MAPA_ESTADOS!B:B
},
2,
FALSE
),
"REVISAR"
)</f>
        <v>ENTREGADO</v>
      </c>
      <c r="P166" s="154" t="s">
        <v>3655</v>
      </c>
      <c r="Q166" s="191" t="str">
        <f t="shared" si="1"/>
        <v/>
      </c>
      <c r="R166" s="170"/>
      <c r="S166" s="170"/>
      <c r="T166" s="154">
        <f t="array" ref="T166">IFERROR(
INDEX(REPORTE_DROPI!B:B,
MATCH(
CLEAN(TRIM(C166)),
CLEAN(TRIM(REPORTE_DROPI!E:E)),
0
)
),
""
)
</f>
        <v>4747799</v>
      </c>
      <c r="U166" s="154" t="s">
        <v>8533</v>
      </c>
      <c r="V166" s="192"/>
      <c r="W166" s="192"/>
      <c r="X166" s="192"/>
      <c r="Y166" s="192"/>
      <c r="Z166" s="192"/>
    </row>
    <row r="167" ht="22.5" customHeight="1">
      <c r="A167" s="154"/>
      <c r="B167" s="170">
        <v>46090.0</v>
      </c>
      <c r="C167" s="154" t="s">
        <v>8534</v>
      </c>
      <c r="D167" s="154" t="str">
        <f>IFERROR(__xludf.DUMMYFUNCTION("""COMPUTED_VALUE"""),"DrainGuard Pro™")</f>
        <v>DrainGuard Pro™</v>
      </c>
      <c r="E167" s="188">
        <v>7.0</v>
      </c>
      <c r="F167" s="189">
        <v>2.0</v>
      </c>
      <c r="G167" s="190">
        <v>25.0</v>
      </c>
      <c r="H167" s="154" t="s">
        <v>3727</v>
      </c>
      <c r="I167" s="154" t="s">
        <v>8265</v>
      </c>
      <c r="J167" s="189">
        <v>5.96</v>
      </c>
      <c r="K167" s="154">
        <v>12.04</v>
      </c>
      <c r="L167" s="154" t="s">
        <v>3650</v>
      </c>
      <c r="M167" s="170"/>
      <c r="N167" s="154" t="s">
        <v>8535</v>
      </c>
      <c r="O167" s="170" t="str">
        <f t="array" ref="O167">IFERROR(
VLOOKUP(
TRIM(CLEAN(
INDEX(REPORTE_DROPI!K:K,
MATCH(T167, REPORTE_DROPI!B:B, 0)
))),
{
TRIM(CLEAN(MAPA_ESTADOS!A:A)) ,
MAPA_ESTADOS!B:B
},
2,
FALSE
),
"REVISAR"
)</f>
        <v>ENTREGADO</v>
      </c>
      <c r="P167" s="154" t="s">
        <v>3655</v>
      </c>
      <c r="Q167" s="191" t="str">
        <f t="shared" si="1"/>
        <v/>
      </c>
      <c r="R167" s="170"/>
      <c r="S167" s="170"/>
      <c r="T167" s="154">
        <f t="array" ref="T167">IFERROR(
INDEX(REPORTE_DROPI!B:B,
MATCH(
CLEAN(TRIM(C167)),
CLEAN(TRIM(REPORTE_DROPI!E:E)),
0
)
),
""
)
</f>
        <v>4749001</v>
      </c>
      <c r="U167" s="154" t="s">
        <v>8536</v>
      </c>
      <c r="V167" s="192"/>
      <c r="W167" s="192"/>
      <c r="X167" s="192"/>
      <c r="Y167" s="192"/>
      <c r="Z167" s="192"/>
    </row>
    <row r="168" ht="22.5" customHeight="1">
      <c r="A168" s="154"/>
      <c r="B168" s="170">
        <v>46090.0</v>
      </c>
      <c r="C168" s="154" t="s">
        <v>8537</v>
      </c>
      <c r="D168" s="154" t="str">
        <f>IFERROR(__xludf.DUMMYFUNCTION("""COMPUTED_VALUE"""),"DrainGuard Pro™")</f>
        <v>DrainGuard Pro™</v>
      </c>
      <c r="E168" s="188">
        <v>7.0</v>
      </c>
      <c r="F168" s="189">
        <v>2.0</v>
      </c>
      <c r="G168" s="190">
        <v>25.0</v>
      </c>
      <c r="H168" s="154" t="s">
        <v>3727</v>
      </c>
      <c r="I168" s="154" t="s">
        <v>8360</v>
      </c>
      <c r="J168" s="189">
        <v>5.96</v>
      </c>
      <c r="K168" s="154">
        <v>12.04</v>
      </c>
      <c r="L168" s="154" t="s">
        <v>3650</v>
      </c>
      <c r="M168" s="170"/>
      <c r="N168" s="154" t="s">
        <v>8538</v>
      </c>
      <c r="O168" s="170" t="str">
        <f t="array" ref="O168">IFERROR(
VLOOKUP(
TRIM(CLEAN(
INDEX(REPORTE_DROPI!K:K,
MATCH(T168, REPORTE_DROPI!B:B, 0)
))),
{
TRIM(CLEAN(MAPA_ESTADOS!A:A)) ,
MAPA_ESTADOS!B:B
},
2,
FALSE
),
"REVISAR"
)</f>
        <v>ENTREGADO</v>
      </c>
      <c r="P168" s="154" t="s">
        <v>3655</v>
      </c>
      <c r="Q168" s="191" t="str">
        <f t="shared" si="1"/>
        <v/>
      </c>
      <c r="R168" s="170"/>
      <c r="S168" s="170"/>
      <c r="T168" s="154">
        <f t="array" ref="T168">IFERROR(
INDEX(REPORTE_DROPI!B:B,
MATCH(
CLEAN(TRIM(C168)),
CLEAN(TRIM(REPORTE_DROPI!E:E)),
0
)
),
""
)
</f>
        <v>4749647</v>
      </c>
      <c r="U168" s="154" t="s">
        <v>8539</v>
      </c>
      <c r="V168" s="192"/>
      <c r="W168" s="192"/>
      <c r="X168" s="192"/>
      <c r="Y168" s="192"/>
      <c r="Z168" s="192"/>
    </row>
    <row r="169" ht="22.5" customHeight="1">
      <c r="A169" s="154"/>
      <c r="B169" s="170">
        <v>46090.0</v>
      </c>
      <c r="C169" s="154" t="s">
        <v>8540</v>
      </c>
      <c r="D169" s="154" t="str">
        <f>IFERROR(__xludf.DUMMYFUNCTION("""COMPUTED_VALUE"""),"DrainGuard Pro™")</f>
        <v>DrainGuard Pro™</v>
      </c>
      <c r="E169" s="188" t="s">
        <v>3650</v>
      </c>
      <c r="F169" s="189">
        <v>3.0</v>
      </c>
      <c r="G169" s="190" t="s">
        <v>3650</v>
      </c>
      <c r="H169" s="154" t="s">
        <v>3727</v>
      </c>
      <c r="I169" s="154" t="s">
        <v>8247</v>
      </c>
      <c r="J169" s="189" t="s">
        <v>3650</v>
      </c>
      <c r="K169" s="154"/>
      <c r="L169" s="154">
        <v>0.0</v>
      </c>
      <c r="M169" s="170"/>
      <c r="N169" s="154" t="s">
        <v>8541</v>
      </c>
      <c r="O169" s="170" t="str">
        <f t="array" ref="O169">IFERROR(
VLOOKUP(
TRIM(CLEAN(
INDEX(REPORTE_DROPI!K:K,
MATCH(T169, REPORTE_DROPI!B:B, 0)
))),
{
TRIM(CLEAN(MAPA_ESTADOS!A:A)) ,
MAPA_ESTADOS!B:B
},
2,
FALSE
),
"REVISAR"
)</f>
        <v>DEVOLUCION</v>
      </c>
      <c r="P169" s="154" t="s">
        <v>3655</v>
      </c>
      <c r="Q169" s="191" t="str">
        <f t="shared" si="1"/>
        <v/>
      </c>
      <c r="R169" s="170"/>
      <c r="S169" s="170"/>
      <c r="T169" s="154">
        <f t="array" ref="T169">IFERROR(
INDEX(REPORTE_DROPI!B:B,
MATCH(
CLEAN(TRIM(C169)),
CLEAN(TRIM(REPORTE_DROPI!E:E)),
0
)
),
""
)
</f>
        <v>4749776</v>
      </c>
      <c r="U169" s="154" t="s">
        <v>8542</v>
      </c>
      <c r="V169" s="192"/>
      <c r="W169" s="192"/>
      <c r="X169" s="192"/>
      <c r="Y169" s="192"/>
      <c r="Z169" s="192"/>
    </row>
    <row r="170" ht="22.5" customHeight="1">
      <c r="A170" s="154"/>
      <c r="B170" s="170">
        <v>46090.0</v>
      </c>
      <c r="C170" s="154" t="s">
        <v>8543</v>
      </c>
      <c r="D170" s="154" t="str">
        <f>IFERROR(__xludf.DUMMYFUNCTION("""COMPUTED_VALUE"""),"FilmPro®")</f>
        <v>FilmPro®</v>
      </c>
      <c r="E170" s="188" t="s">
        <v>3650</v>
      </c>
      <c r="F170" s="189">
        <v>2.0</v>
      </c>
      <c r="G170" s="190" t="s">
        <v>3650</v>
      </c>
      <c r="H170" s="154" t="s">
        <v>3727</v>
      </c>
      <c r="I170" s="154" t="s">
        <v>8247</v>
      </c>
      <c r="J170" s="189" t="s">
        <v>3650</v>
      </c>
      <c r="K170" s="154"/>
      <c r="L170" s="154" t="s">
        <v>3650</v>
      </c>
      <c r="M170" s="170"/>
      <c r="N170" s="154" t="s">
        <v>8544</v>
      </c>
      <c r="O170" s="170" t="str">
        <f t="array" ref="O170">IFERROR(
VLOOKUP(
TRIM(CLEAN(
INDEX(REPORTE_DROPI!K:K,
MATCH(T170, REPORTE_DROPI!B:B, 0)
))),
{
TRIM(CLEAN(MAPA_ESTADOS!A:A)) ,
MAPA_ESTADOS!B:B
},
2,
FALSE
),
"REVISAR"
)</f>
        <v>PENDIENTE</v>
      </c>
      <c r="P170" s="202" t="s">
        <v>3689</v>
      </c>
      <c r="Q170" s="191" t="str">
        <f t="shared" si="1"/>
        <v/>
      </c>
      <c r="R170" s="170"/>
      <c r="S170" s="170"/>
      <c r="T170" s="154">
        <f t="array" ref="T170">IFERROR(
INDEX(REPORTE_DROPI!B:B,
MATCH(
CLEAN(TRIM(C170)),
CLEAN(TRIM(REPORTE_DROPI!E:E)),
0
)
),
""
)
</f>
        <v>4750179</v>
      </c>
      <c r="U170" s="194">
        <v>1.57100202218E11</v>
      </c>
      <c r="V170" s="192"/>
      <c r="W170" s="192"/>
      <c r="X170" s="192"/>
      <c r="Y170" s="192"/>
      <c r="Z170" s="192"/>
    </row>
    <row r="171" ht="22.5" customHeight="1">
      <c r="A171" s="154"/>
      <c r="B171" s="170">
        <v>46090.0</v>
      </c>
      <c r="C171" s="154" t="s">
        <v>8545</v>
      </c>
      <c r="D171" s="154" t="str">
        <f>IFERROR(__xludf.DUMMYFUNCTION("""COMPUTED_VALUE"""),"FilmPro®")</f>
        <v>FilmPro®</v>
      </c>
      <c r="E171" s="188">
        <v>4.7</v>
      </c>
      <c r="F171" s="189">
        <v>2.0</v>
      </c>
      <c r="G171" s="190">
        <v>25.0</v>
      </c>
      <c r="H171" s="154" t="s">
        <v>3727</v>
      </c>
      <c r="I171" s="154" t="s">
        <v>8247</v>
      </c>
      <c r="J171" s="189">
        <v>4.35</v>
      </c>
      <c r="K171" s="154">
        <v>15.95</v>
      </c>
      <c r="L171" s="154" t="s">
        <v>3650</v>
      </c>
      <c r="M171" s="170"/>
      <c r="N171" s="154" t="s">
        <v>8546</v>
      </c>
      <c r="O171" s="170" t="str">
        <f t="array" ref="O171">IFERROR(
VLOOKUP(
TRIM(CLEAN(
INDEX(REPORTE_DROPI!K:K,
MATCH(T171, REPORTE_DROPI!B:B, 0)
))),
{
TRIM(CLEAN(MAPA_ESTADOS!A:A)) ,
MAPA_ESTADOS!B:B
},
2,
FALSE
),
"REVISAR"
)</f>
        <v>ENTREGADO</v>
      </c>
      <c r="P171" s="154" t="s">
        <v>3655</v>
      </c>
      <c r="Q171" s="191" t="str">
        <f t="shared" si="1"/>
        <v/>
      </c>
      <c r="R171" s="170"/>
      <c r="S171" s="170"/>
      <c r="T171" s="154">
        <f t="array" ref="T171">IFERROR(
INDEX(REPORTE_DROPI!B:B,
MATCH(
CLEAN(TRIM(C171)),
CLEAN(TRIM(REPORTE_DROPI!E:E)),
0
)
),
""
)
</f>
        <v>4750308</v>
      </c>
      <c r="U171" s="154" t="s">
        <v>8547</v>
      </c>
      <c r="V171" s="192"/>
      <c r="W171" s="192"/>
      <c r="X171" s="192"/>
      <c r="Y171" s="192"/>
      <c r="Z171" s="192"/>
    </row>
    <row r="172" ht="22.5" customHeight="1">
      <c r="A172" s="154"/>
      <c r="B172" s="170">
        <v>46090.0</v>
      </c>
      <c r="C172" s="154" t="s">
        <v>8548</v>
      </c>
      <c r="D172" s="154" t="str">
        <f>IFERROR(__xludf.DUMMYFUNCTION("""COMPUTED_VALUE"""),"FilmPro®")</f>
        <v>FilmPro®</v>
      </c>
      <c r="E172" s="188" t="s">
        <v>3650</v>
      </c>
      <c r="F172" s="189">
        <v>3.0</v>
      </c>
      <c r="G172" s="190" t="s">
        <v>3650</v>
      </c>
      <c r="H172" s="154" t="s">
        <v>3727</v>
      </c>
      <c r="I172" s="154" t="s">
        <v>8501</v>
      </c>
      <c r="J172" s="189" t="s">
        <v>3650</v>
      </c>
      <c r="K172" s="154"/>
      <c r="L172" s="154" t="s">
        <v>3650</v>
      </c>
      <c r="M172" s="170"/>
      <c r="N172" s="154" t="s">
        <v>8549</v>
      </c>
      <c r="O172" s="170" t="str">
        <f t="array" ref="O172">IFERROR(
VLOOKUP(
TRIM(CLEAN(
INDEX(REPORTE_DROPI!K:K,
MATCH(T172, REPORTE_DROPI!B:B, 0)
))),
{
TRIM(CLEAN(MAPA_ESTADOS!A:A)) ,
MAPA_ESTADOS!B:B
},
2,
FALSE
),
"REVISAR"
)</f>
        <v>PENDIENTE</v>
      </c>
      <c r="P172" s="202" t="s">
        <v>8106</v>
      </c>
      <c r="Q172" s="191" t="str">
        <f t="shared" si="1"/>
        <v/>
      </c>
      <c r="R172" s="170"/>
      <c r="S172" s="170"/>
      <c r="T172" s="154">
        <f t="array" ref="T172">IFERROR(
INDEX(REPORTE_DROPI!B:B,
MATCH(
CLEAN(TRIM(C172)),
CLEAN(TRIM(REPORTE_DROPI!E:E)),
0
)
),
""
)
</f>
        <v>4751307</v>
      </c>
      <c r="U172" s="194">
        <v>1.77234234204E11</v>
      </c>
      <c r="V172" s="192"/>
      <c r="W172" s="192"/>
      <c r="X172" s="192"/>
      <c r="Y172" s="192"/>
      <c r="Z172" s="192"/>
    </row>
    <row r="173" ht="22.5" customHeight="1">
      <c r="A173" s="154"/>
      <c r="B173" s="170">
        <v>46090.0</v>
      </c>
      <c r="C173" s="154" t="s">
        <v>8550</v>
      </c>
      <c r="D173" s="154" t="str">
        <f>IFERROR(__xludf.DUMMYFUNCTION("""COMPUTED_VALUE"""),"FilmPro®")</f>
        <v>FilmPro®</v>
      </c>
      <c r="E173" s="188">
        <v>4.7</v>
      </c>
      <c r="F173" s="189">
        <v>2.0</v>
      </c>
      <c r="G173" s="190">
        <v>25.0</v>
      </c>
      <c r="H173" s="154" t="s">
        <v>3727</v>
      </c>
      <c r="I173" s="154" t="s">
        <v>8281</v>
      </c>
      <c r="J173" s="189">
        <v>5.96</v>
      </c>
      <c r="K173" s="154">
        <v>14.34</v>
      </c>
      <c r="L173" s="154" t="s">
        <v>3650</v>
      </c>
      <c r="M173" s="170"/>
      <c r="N173" s="154" t="s">
        <v>8551</v>
      </c>
      <c r="O173" s="170" t="str">
        <f t="array" ref="O173">IFERROR(
VLOOKUP(
TRIM(CLEAN(
INDEX(REPORTE_DROPI!K:K,
MATCH(T173, REPORTE_DROPI!B:B, 0)
))),
{
TRIM(CLEAN(MAPA_ESTADOS!A:A)) ,
MAPA_ESTADOS!B:B
},
2,
FALSE
),
"REVISAR"
)</f>
        <v>ENTREGADO</v>
      </c>
      <c r="P173" s="154" t="s">
        <v>3655</v>
      </c>
      <c r="Q173" s="191" t="str">
        <f t="shared" si="1"/>
        <v/>
      </c>
      <c r="R173" s="170"/>
      <c r="S173" s="170"/>
      <c r="T173" s="154">
        <f t="array" ref="T173">IFERROR(
INDEX(REPORTE_DROPI!B:B,
MATCH(
CLEAN(TRIM(C173)),
CLEAN(TRIM(REPORTE_DROPI!E:E)),
0
)
),
""
)
</f>
        <v>4752101</v>
      </c>
      <c r="U173" s="194">
        <v>4.5180141205E10</v>
      </c>
      <c r="V173" s="192"/>
      <c r="W173" s="192"/>
      <c r="X173" s="192"/>
      <c r="Y173" s="192"/>
      <c r="Z173" s="192"/>
    </row>
    <row r="174" ht="22.5" customHeight="1">
      <c r="A174" s="154"/>
      <c r="B174" s="170">
        <v>46091.0</v>
      </c>
      <c r="C174" s="154" t="s">
        <v>8552</v>
      </c>
      <c r="D174" s="154" t="str">
        <f>IFERROR(__xludf.DUMMYFUNCTION("""COMPUTED_VALUE"""),"DrainGuard Pro™")</f>
        <v>DrainGuard Pro™</v>
      </c>
      <c r="E174" s="188" t="s">
        <v>3650</v>
      </c>
      <c r="F174" s="189">
        <v>2.0</v>
      </c>
      <c r="G174" s="190" t="s">
        <v>3650</v>
      </c>
      <c r="H174" s="154" t="s">
        <v>3727</v>
      </c>
      <c r="I174" s="154" t="s">
        <v>8247</v>
      </c>
      <c r="J174" s="189" t="s">
        <v>3650</v>
      </c>
      <c r="K174" s="154"/>
      <c r="L174" s="154" t="s">
        <v>3650</v>
      </c>
      <c r="M174" s="170"/>
      <c r="N174" s="154" t="s">
        <v>8553</v>
      </c>
      <c r="O174" s="170" t="str">
        <f t="array" ref="O174">IFERROR(
VLOOKUP(
TRIM(CLEAN(
INDEX(REPORTE_DROPI!K:K,
MATCH(T174, REPORTE_DROPI!B:B, 0)
))),
{
TRIM(CLEAN(MAPA_ESTADOS!A:A)) ,
MAPA_ESTADOS!B:B
},
2,
FALSE
),
"REVISAR"
)</f>
        <v>PENDIENTE</v>
      </c>
      <c r="P174" s="202" t="s">
        <v>8512</v>
      </c>
      <c r="Q174" s="191" t="str">
        <f t="shared" si="1"/>
        <v/>
      </c>
      <c r="R174" s="170"/>
      <c r="S174" s="170"/>
      <c r="T174" s="154">
        <f t="array" ref="T174">IFERROR(
INDEX(REPORTE_DROPI!B:B,
MATCH(
CLEAN(TRIM(C174)),
CLEAN(TRIM(REPORTE_DROPI!E:E)),
0
)
),
""
)
</f>
        <v>4754333</v>
      </c>
      <c r="U174" s="154" t="s">
        <v>8554</v>
      </c>
      <c r="V174" s="192"/>
      <c r="W174" s="192"/>
      <c r="X174" s="192"/>
      <c r="Y174" s="192"/>
      <c r="Z174" s="192"/>
    </row>
    <row r="175" ht="22.5" customHeight="1">
      <c r="A175" s="154"/>
      <c r="B175" s="170">
        <v>46091.0</v>
      </c>
      <c r="C175" s="154" t="s">
        <v>8555</v>
      </c>
      <c r="D175" s="154" t="str">
        <f>IFERROR(__xludf.DUMMYFUNCTION("""COMPUTED_VALUE"""),"FilmPro®")</f>
        <v>FilmPro®</v>
      </c>
      <c r="E175" s="188">
        <v>7.05</v>
      </c>
      <c r="F175" s="189">
        <v>3.0</v>
      </c>
      <c r="G175" s="190">
        <v>30.0</v>
      </c>
      <c r="H175" s="154" t="s">
        <v>3727</v>
      </c>
      <c r="I175" s="154" t="s">
        <v>8238</v>
      </c>
      <c r="J175" s="189">
        <v>6.16</v>
      </c>
      <c r="K175" s="154">
        <v>16.79</v>
      </c>
      <c r="L175" s="154" t="s">
        <v>3650</v>
      </c>
      <c r="M175" s="170"/>
      <c r="N175" s="154" t="s">
        <v>8556</v>
      </c>
      <c r="O175" s="170" t="str">
        <f t="array" ref="O175">IFERROR(
VLOOKUP(
TRIM(CLEAN(
INDEX(REPORTE_DROPI!K:K,
MATCH(T175, REPORTE_DROPI!B:B, 0)
))),
{
TRIM(CLEAN(MAPA_ESTADOS!A:A)) ,
MAPA_ESTADOS!B:B
},
2,
FALSE
),
"REVISAR"
)</f>
        <v>ENTREGADO</v>
      </c>
      <c r="P175" s="154" t="s">
        <v>3655</v>
      </c>
      <c r="Q175" s="191" t="str">
        <f t="shared" si="1"/>
        <v/>
      </c>
      <c r="R175" s="170"/>
      <c r="S175" s="170"/>
      <c r="T175" s="154">
        <f t="array" ref="T175">IFERROR(
INDEX(REPORTE_DROPI!B:B,
MATCH(
CLEAN(TRIM(C175)),
CLEAN(TRIM(REPORTE_DROPI!E:E)),
0
)
),
""
)
</f>
        <v>4757675</v>
      </c>
      <c r="U175" s="154" t="s">
        <v>8557</v>
      </c>
      <c r="V175" s="192"/>
      <c r="W175" s="192"/>
      <c r="X175" s="192"/>
      <c r="Y175" s="192"/>
      <c r="Z175" s="192"/>
    </row>
    <row r="176" ht="22.5" customHeight="1">
      <c r="A176" s="154"/>
      <c r="B176" s="170">
        <v>46091.0</v>
      </c>
      <c r="C176" s="154" t="s">
        <v>8558</v>
      </c>
      <c r="D176" s="154" t="str">
        <f>IFERROR(__xludf.DUMMYFUNCTION("""COMPUTED_VALUE"""),"FilmPro®")</f>
        <v>FilmPro®</v>
      </c>
      <c r="E176" s="188">
        <v>4.7</v>
      </c>
      <c r="F176" s="189">
        <v>2.0</v>
      </c>
      <c r="G176" s="190">
        <v>25.0</v>
      </c>
      <c r="H176" s="154" t="s">
        <v>3727</v>
      </c>
      <c r="I176" s="154" t="s">
        <v>8247</v>
      </c>
      <c r="J176" s="189">
        <v>4.92</v>
      </c>
      <c r="K176" s="154">
        <v>15.38</v>
      </c>
      <c r="L176" s="154" t="s">
        <v>3650</v>
      </c>
      <c r="M176" s="170"/>
      <c r="N176" s="154" t="s">
        <v>8559</v>
      </c>
      <c r="O176" s="170" t="str">
        <f t="array" ref="O176">IFERROR(
VLOOKUP(
TRIM(CLEAN(
INDEX(REPORTE_DROPI!K:K,
MATCH(T176, REPORTE_DROPI!B:B, 0)
))),
{
TRIM(CLEAN(MAPA_ESTADOS!A:A)) ,
MAPA_ESTADOS!B:B
},
2,
FALSE
),
"REVISAR"
)</f>
        <v>ENTREGADO</v>
      </c>
      <c r="P176" s="154" t="s">
        <v>3655</v>
      </c>
      <c r="Q176" s="191" t="str">
        <f t="shared" si="1"/>
        <v/>
      </c>
      <c r="R176" s="170"/>
      <c r="S176" s="170"/>
      <c r="T176" s="154">
        <f t="array" ref="T176">IFERROR(
INDEX(REPORTE_DROPI!B:B,
MATCH(
CLEAN(TRIM(C176)),
CLEAN(TRIM(REPORTE_DROPI!E:E)),
0
)
),
""
)
</f>
        <v>4758944</v>
      </c>
      <c r="U176" s="154" t="s">
        <v>8560</v>
      </c>
      <c r="V176" s="192"/>
      <c r="W176" s="192"/>
      <c r="X176" s="192"/>
      <c r="Y176" s="192"/>
      <c r="Z176" s="192"/>
    </row>
    <row r="177" ht="22.5" customHeight="1">
      <c r="A177" s="154"/>
      <c r="B177" s="170">
        <v>46091.0</v>
      </c>
      <c r="C177" s="154" t="s">
        <v>8561</v>
      </c>
      <c r="D177" s="154" t="str">
        <f>IFERROR(__xludf.DUMMYFUNCTION("""COMPUTED_VALUE"""),"DrainGuard Pro™")</f>
        <v>DrainGuard Pro™</v>
      </c>
      <c r="E177" s="188" t="s">
        <v>3650</v>
      </c>
      <c r="F177" s="189">
        <v>2.0</v>
      </c>
      <c r="G177" s="190" t="s">
        <v>3650</v>
      </c>
      <c r="H177" s="154" t="s">
        <v>3727</v>
      </c>
      <c r="I177" s="154" t="s">
        <v>8243</v>
      </c>
      <c r="J177" s="189" t="s">
        <v>3650</v>
      </c>
      <c r="K177" s="154"/>
      <c r="L177" s="154" t="s">
        <v>3650</v>
      </c>
      <c r="M177" s="170"/>
      <c r="N177" s="154" t="s">
        <v>8562</v>
      </c>
      <c r="O177" s="170" t="str">
        <f t="array" ref="O177">IFERROR(
VLOOKUP(
TRIM(CLEAN(
INDEX(REPORTE_DROPI!K:K,
MATCH(T177, REPORTE_DROPI!B:B, 0)
))),
{
TRIM(CLEAN(MAPA_ESTADOS!A:A)) ,
MAPA_ESTADOS!B:B
},
2,
FALSE
),
"REVISAR"
)</f>
        <v>PENDIENTE</v>
      </c>
      <c r="P177" s="202" t="s">
        <v>8106</v>
      </c>
      <c r="Q177" s="191" t="str">
        <f t="shared" si="1"/>
        <v/>
      </c>
      <c r="R177" s="170"/>
      <c r="S177" s="170"/>
      <c r="T177" s="154">
        <f t="array" ref="T177">IFERROR(
INDEX(REPORTE_DROPI!B:B,
MATCH(
CLEAN(TRIM(C177)),
CLEAN(TRIM(REPORTE_DROPI!E:E)),
0
)
),
""
)
</f>
        <v>4759886</v>
      </c>
      <c r="U177" s="154" t="s">
        <v>8563</v>
      </c>
      <c r="V177" s="192"/>
      <c r="W177" s="192"/>
      <c r="X177" s="192"/>
      <c r="Y177" s="192"/>
      <c r="Z177" s="192"/>
    </row>
    <row r="178" ht="22.5" customHeight="1">
      <c r="A178" s="154"/>
      <c r="B178" s="170">
        <v>46091.0</v>
      </c>
      <c r="C178" s="154" t="s">
        <v>8564</v>
      </c>
      <c r="D178" s="154" t="str">
        <f>IFERROR(__xludf.DUMMYFUNCTION("""COMPUTED_VALUE"""),"DrainGuard Pro™")</f>
        <v>DrainGuard Pro™</v>
      </c>
      <c r="E178" s="188" t="s">
        <v>3650</v>
      </c>
      <c r="F178" s="189">
        <v>3.0</v>
      </c>
      <c r="G178" s="190" t="s">
        <v>3650</v>
      </c>
      <c r="H178" s="154" t="s">
        <v>3727</v>
      </c>
      <c r="I178" s="154" t="s">
        <v>8372</v>
      </c>
      <c r="J178" s="189" t="s">
        <v>3650</v>
      </c>
      <c r="K178" s="154"/>
      <c r="L178" s="154" t="s">
        <v>3650</v>
      </c>
      <c r="M178" s="170"/>
      <c r="N178" s="154" t="s">
        <v>8565</v>
      </c>
      <c r="O178" s="170" t="str">
        <f t="array" ref="O178">IFERROR(
VLOOKUP(
TRIM(CLEAN(
INDEX(REPORTE_DROPI!K:K,
MATCH(T178, REPORTE_DROPI!B:B, 0)
))),
{
TRIM(CLEAN(MAPA_ESTADOS!A:A)) ,
MAPA_ESTADOS!B:B
},
2,
FALSE
),
"REVISAR"
)</f>
        <v>PENDIENTE</v>
      </c>
      <c r="P178" s="202" t="s">
        <v>8512</v>
      </c>
      <c r="Q178" s="191" t="str">
        <f t="shared" si="1"/>
        <v/>
      </c>
      <c r="R178" s="170"/>
      <c r="S178" s="170"/>
      <c r="T178" s="154">
        <f t="array" ref="T178">IFERROR(
INDEX(REPORTE_DROPI!B:B,
MATCH(
CLEAN(TRIM(C178)),
CLEAN(TRIM(REPORTE_DROPI!E:E)),
0
)
),
""
)
</f>
        <v>4761051</v>
      </c>
      <c r="U178" s="154" t="s">
        <v>8566</v>
      </c>
      <c r="V178" s="192"/>
      <c r="W178" s="192"/>
      <c r="X178" s="192"/>
      <c r="Y178" s="192"/>
      <c r="Z178" s="192"/>
    </row>
    <row r="179" ht="22.5" customHeight="1">
      <c r="A179" s="154"/>
      <c r="B179" s="170">
        <v>46091.0</v>
      </c>
      <c r="C179" s="154" t="s">
        <v>8567</v>
      </c>
      <c r="D179" s="154" t="str">
        <f>IFERROR(__xludf.DUMMYFUNCTION("""COMPUTED_VALUE"""),"FilmPro®")</f>
        <v>FilmPro®</v>
      </c>
      <c r="E179" s="188" t="s">
        <v>3650</v>
      </c>
      <c r="F179" s="189">
        <v>2.0</v>
      </c>
      <c r="G179" s="190" t="s">
        <v>3650</v>
      </c>
      <c r="H179" s="154" t="s">
        <v>3727</v>
      </c>
      <c r="I179" s="154" t="s">
        <v>3731</v>
      </c>
      <c r="J179" s="189" t="s">
        <v>3650</v>
      </c>
      <c r="K179" s="154"/>
      <c r="L179" s="154" t="s">
        <v>3650</v>
      </c>
      <c r="M179" s="170"/>
      <c r="N179" s="154" t="s">
        <v>8568</v>
      </c>
      <c r="O179" s="170" t="str">
        <f t="array" ref="O179">IFERROR(
VLOOKUP(
TRIM(CLEAN(
INDEX(REPORTE_DROPI!K:K,
MATCH(T179, REPORTE_DROPI!B:B, 0)
))),
{
TRIM(CLEAN(MAPA_ESTADOS!A:A)) ,
MAPA_ESTADOS!B:B
},
2,
FALSE
),
"REVISAR"
)</f>
        <v>PENDIENTE</v>
      </c>
      <c r="P179" s="202" t="s">
        <v>8512</v>
      </c>
      <c r="Q179" s="191" t="str">
        <f t="shared" si="1"/>
        <v/>
      </c>
      <c r="R179" s="170"/>
      <c r="S179" s="170"/>
      <c r="T179" s="154">
        <f t="array" ref="T179">IFERROR(
INDEX(REPORTE_DROPI!B:B,
MATCH(
CLEAN(TRIM(C179)),
CLEAN(TRIM(REPORTE_DROPI!E:E)),
0
)
),
""
)
</f>
        <v>4764089</v>
      </c>
      <c r="U179" s="154" t="s">
        <v>8569</v>
      </c>
      <c r="V179" s="192"/>
      <c r="W179" s="192"/>
      <c r="X179" s="192"/>
      <c r="Y179" s="192"/>
      <c r="Z179" s="192"/>
    </row>
    <row r="180" ht="22.5" customHeight="1">
      <c r="A180" s="154"/>
      <c r="B180" s="170">
        <v>46092.0</v>
      </c>
      <c r="C180" s="154" t="s">
        <v>8570</v>
      </c>
      <c r="D180" s="154" t="str">
        <f>IFERROR(__xludf.DUMMYFUNCTION("""COMPUTED_VALUE"""),"DrainGuard Pro™")</f>
        <v>DrainGuard Pro™</v>
      </c>
      <c r="E180" s="188">
        <v>7.0</v>
      </c>
      <c r="F180" s="189">
        <v>2.0</v>
      </c>
      <c r="G180" s="190">
        <v>25.0</v>
      </c>
      <c r="H180" s="154" t="s">
        <v>3727</v>
      </c>
      <c r="I180" s="154" t="s">
        <v>8243</v>
      </c>
      <c r="J180" s="189">
        <v>4.35</v>
      </c>
      <c r="K180" s="154">
        <v>13.65</v>
      </c>
      <c r="L180" s="154" t="s">
        <v>3650</v>
      </c>
      <c r="M180" s="170"/>
      <c r="N180" s="154" t="s">
        <v>8571</v>
      </c>
      <c r="O180" s="170" t="str">
        <f t="array" ref="O180">IFERROR(
VLOOKUP(
TRIM(CLEAN(
INDEX(REPORTE_DROPI!K:K,
MATCH(T180, REPORTE_DROPI!B:B, 0)
))),
{
TRIM(CLEAN(MAPA_ESTADOS!A:A)) ,
MAPA_ESTADOS!B:B
},
2,
FALSE
),
"REVISAR"
)</f>
        <v>ENTREGADO</v>
      </c>
      <c r="P180" s="154" t="s">
        <v>3655</v>
      </c>
      <c r="Q180" s="191" t="str">
        <f t="shared" si="1"/>
        <v/>
      </c>
      <c r="R180" s="170"/>
      <c r="S180" s="170"/>
      <c r="T180" s="154">
        <f t="array" ref="T180">IFERROR(
INDEX(REPORTE_DROPI!B:B,
MATCH(
CLEAN(TRIM(C180)),
CLEAN(TRIM(REPORTE_DROPI!E:E)),
0
)
),
""
)
</f>
        <v>4765226</v>
      </c>
      <c r="U180" s="154" t="s">
        <v>8572</v>
      </c>
      <c r="V180" s="192"/>
      <c r="W180" s="192"/>
      <c r="X180" s="192"/>
      <c r="Y180" s="192"/>
      <c r="Z180" s="192"/>
    </row>
    <row r="181" ht="22.5" customHeight="1">
      <c r="A181" s="154"/>
      <c r="B181" s="170">
        <v>46092.0</v>
      </c>
      <c r="C181" s="154" t="s">
        <v>8573</v>
      </c>
      <c r="D181" s="154" t="str">
        <f>IFERROR(__xludf.DUMMYFUNCTION("""COMPUTED_VALUE"""),"FilmPro®")</f>
        <v>FilmPro®</v>
      </c>
      <c r="E181" s="188">
        <v>4.7</v>
      </c>
      <c r="F181" s="189">
        <v>2.0</v>
      </c>
      <c r="G181" s="190">
        <v>25.0</v>
      </c>
      <c r="H181" s="154" t="s">
        <v>3727</v>
      </c>
      <c r="I181" s="154" t="s">
        <v>3731</v>
      </c>
      <c r="J181" s="189">
        <v>4.35</v>
      </c>
      <c r="K181" s="154">
        <v>15.95</v>
      </c>
      <c r="L181" s="154" t="s">
        <v>3650</v>
      </c>
      <c r="M181" s="170"/>
      <c r="N181" s="154" t="s">
        <v>8574</v>
      </c>
      <c r="O181" s="170" t="str">
        <f t="array" ref="O181">IFERROR(
VLOOKUP(
TRIM(CLEAN(
INDEX(REPORTE_DROPI!K:K,
MATCH(T181, REPORTE_DROPI!B:B, 0)
))),
{
TRIM(CLEAN(MAPA_ESTADOS!A:A)) ,
MAPA_ESTADOS!B:B
},
2,
FALSE
),
"REVISAR"
)</f>
        <v>ENTREGADO</v>
      </c>
      <c r="P181" s="154" t="s">
        <v>3655</v>
      </c>
      <c r="Q181" s="191" t="str">
        <f t="shared" si="1"/>
        <v/>
      </c>
      <c r="R181" s="170"/>
      <c r="S181" s="170"/>
      <c r="T181" s="154">
        <f t="array" ref="T181">IFERROR(
INDEX(REPORTE_DROPI!B:B,
MATCH(
CLEAN(TRIM(C181)),
CLEAN(TRIM(REPORTE_DROPI!E:E)),
0
)
),
""
)
</f>
        <v>4765291</v>
      </c>
      <c r="U181" s="154" t="s">
        <v>8575</v>
      </c>
      <c r="V181" s="192"/>
      <c r="W181" s="192"/>
      <c r="X181" s="192"/>
      <c r="Y181" s="192"/>
      <c r="Z181" s="192"/>
    </row>
    <row r="182" ht="22.5" customHeight="1">
      <c r="A182" s="154"/>
      <c r="B182" s="170">
        <v>46092.0</v>
      </c>
      <c r="C182" s="154" t="s">
        <v>8576</v>
      </c>
      <c r="D182" s="154" t="str">
        <f>IFERROR(__xludf.DUMMYFUNCTION("""COMPUTED_VALUE"""),"DrainGuard Pro™")</f>
        <v>DrainGuard Pro™</v>
      </c>
      <c r="E182" s="188">
        <v>7.0</v>
      </c>
      <c r="F182" s="189">
        <v>2.0</v>
      </c>
      <c r="G182" s="190">
        <v>25.0</v>
      </c>
      <c r="H182" s="154" t="s">
        <v>3727</v>
      </c>
      <c r="I182" s="154" t="s">
        <v>8243</v>
      </c>
      <c r="J182" s="189">
        <v>4.35</v>
      </c>
      <c r="K182" s="154">
        <v>13.65</v>
      </c>
      <c r="L182" s="154" t="s">
        <v>3650</v>
      </c>
      <c r="M182" s="170"/>
      <c r="N182" s="154" t="s">
        <v>8577</v>
      </c>
      <c r="O182" s="170" t="str">
        <f t="array" ref="O182">IFERROR(
VLOOKUP(
TRIM(CLEAN(
INDEX(REPORTE_DROPI!K:K,
MATCH(T182, REPORTE_DROPI!B:B, 0)
))),
{
TRIM(CLEAN(MAPA_ESTADOS!A:A)) ,
MAPA_ESTADOS!B:B
},
2,
FALSE
),
"REVISAR"
)</f>
        <v>ENTREGADO</v>
      </c>
      <c r="P182" s="154" t="s">
        <v>3655</v>
      </c>
      <c r="Q182" s="191" t="str">
        <f t="shared" si="1"/>
        <v/>
      </c>
      <c r="R182" s="170"/>
      <c r="S182" s="170"/>
      <c r="T182" s="154">
        <f t="array" ref="T182">IFERROR(
INDEX(REPORTE_DROPI!B:B,
MATCH(
CLEAN(TRIM(C182)),
CLEAN(TRIM(REPORTE_DROPI!E:E)),
0
)
),
""
)
</f>
        <v>4765957</v>
      </c>
      <c r="U182" s="154" t="s">
        <v>8578</v>
      </c>
      <c r="V182" s="192"/>
      <c r="W182" s="192"/>
      <c r="X182" s="192"/>
      <c r="Y182" s="192"/>
      <c r="Z182" s="192"/>
    </row>
    <row r="183" ht="22.5" customHeight="1">
      <c r="A183" s="154"/>
      <c r="B183" s="170">
        <v>46092.0</v>
      </c>
      <c r="C183" s="154" t="s">
        <v>8579</v>
      </c>
      <c r="D183" s="154" t="str">
        <f>IFERROR(__xludf.DUMMYFUNCTION("""COMPUTED_VALUE"""),"FilmPro®")</f>
        <v>FilmPro®</v>
      </c>
      <c r="E183" s="188">
        <v>2.1</v>
      </c>
      <c r="F183" s="189">
        <v>3.0</v>
      </c>
      <c r="G183" s="190">
        <v>20.0</v>
      </c>
      <c r="H183" s="154" t="s">
        <v>3727</v>
      </c>
      <c r="I183" s="154" t="s">
        <v>3740</v>
      </c>
      <c r="J183" s="189">
        <v>5.75</v>
      </c>
      <c r="K183" s="154">
        <v>12.15</v>
      </c>
      <c r="L183" s="154" t="s">
        <v>3650</v>
      </c>
      <c r="M183" s="170"/>
      <c r="N183" s="154" t="s">
        <v>8580</v>
      </c>
      <c r="O183" s="170" t="str">
        <f t="array" ref="O183">IFERROR(
VLOOKUP(
TRIM(CLEAN(
INDEX(REPORTE_DROPI!K:K,
MATCH(T183, REPORTE_DROPI!B:B, 0)
))),
{
TRIM(CLEAN(MAPA_ESTADOS!A:A)) ,
MAPA_ESTADOS!B:B
},
2,
FALSE
),
"REVISAR"
)</f>
        <v>ENTREGADO</v>
      </c>
      <c r="P183" s="205" t="s">
        <v>8581</v>
      </c>
      <c r="Q183" s="191" t="str">
        <f t="shared" si="1"/>
        <v/>
      </c>
      <c r="R183" s="170"/>
      <c r="S183" s="170"/>
      <c r="T183" s="154">
        <f t="array" ref="T183">IFERROR(
INDEX(REPORTE_DROPI!B:B,
MATCH(
CLEAN(TRIM(C183)),
CLEAN(TRIM(REPORTE_DROPI!E:E)),
0
)
),
""
)
</f>
        <v>4768952</v>
      </c>
      <c r="U183" s="194">
        <v>1.57100199157E11</v>
      </c>
      <c r="V183" s="192"/>
      <c r="W183" s="192"/>
      <c r="X183" s="192"/>
      <c r="Y183" s="192"/>
      <c r="Z183" s="192"/>
    </row>
    <row r="184" ht="22.5" customHeight="1">
      <c r="A184" s="154"/>
      <c r="B184" s="170">
        <v>46092.0</v>
      </c>
      <c r="C184" s="154" t="s">
        <v>8582</v>
      </c>
      <c r="D184" s="154" t="str">
        <f>IFERROR(__xludf.DUMMYFUNCTION("""COMPUTED_VALUE"""),"FilmPro®")</f>
        <v>FilmPro®</v>
      </c>
      <c r="E184" s="188">
        <v>2.35</v>
      </c>
      <c r="F184" s="189">
        <v>1.0</v>
      </c>
      <c r="G184" s="190">
        <v>20.0</v>
      </c>
      <c r="H184" s="154" t="s">
        <v>3727</v>
      </c>
      <c r="I184" s="154" t="s">
        <v>3772</v>
      </c>
      <c r="J184" s="189">
        <v>5.76</v>
      </c>
      <c r="K184" s="154">
        <v>11.89</v>
      </c>
      <c r="L184" s="154" t="s">
        <v>3650</v>
      </c>
      <c r="M184" s="170"/>
      <c r="N184" s="154" t="s">
        <v>8583</v>
      </c>
      <c r="O184" s="170" t="str">
        <f t="array" ref="O184">IFERROR(
VLOOKUP(
TRIM(CLEAN(
INDEX(REPORTE_DROPI!K:K,
MATCH(T184, REPORTE_DROPI!B:B, 0)
))),
{
TRIM(CLEAN(MAPA_ESTADOS!A:A)) ,
MAPA_ESTADOS!B:B
},
2,
FALSE
),
"REVISAR"
)</f>
        <v>ENTREGADO</v>
      </c>
      <c r="P184" s="154" t="s">
        <v>3655</v>
      </c>
      <c r="Q184" s="191" t="str">
        <f t="shared" si="1"/>
        <v/>
      </c>
      <c r="R184" s="170"/>
      <c r="S184" s="170"/>
      <c r="T184" s="154">
        <f t="array" ref="T184">IFERROR(
INDEX(REPORTE_DROPI!B:B,
MATCH(
CLEAN(TRIM(C184)),
CLEAN(TRIM(REPORTE_DROPI!E:E)),
0
)
),
""
)
</f>
        <v>4766239</v>
      </c>
      <c r="U184" s="154" t="s">
        <v>8584</v>
      </c>
      <c r="V184" s="192"/>
      <c r="W184" s="192"/>
      <c r="X184" s="192"/>
      <c r="Y184" s="192"/>
      <c r="Z184" s="192"/>
    </row>
    <row r="185" ht="22.5" customHeight="1">
      <c r="A185" s="154"/>
      <c r="B185" s="170">
        <v>46092.0</v>
      </c>
      <c r="C185" s="154" t="s">
        <v>8585</v>
      </c>
      <c r="D185" s="154" t="str">
        <f>IFERROR(__xludf.DUMMYFUNCTION("""COMPUTED_VALUE"""),"JBL GO 4")</f>
        <v>JBL GO 4</v>
      </c>
      <c r="E185" s="188" t="s">
        <v>3650</v>
      </c>
      <c r="F185" s="189">
        <v>1.0</v>
      </c>
      <c r="G185" s="190" t="s">
        <v>3650</v>
      </c>
      <c r="H185" s="154" t="s">
        <v>3727</v>
      </c>
      <c r="I185" s="154" t="s">
        <v>8281</v>
      </c>
      <c r="J185" s="189" t="s">
        <v>3650</v>
      </c>
      <c r="K185" s="154"/>
      <c r="L185" s="154">
        <v>0.0</v>
      </c>
      <c r="M185" s="170"/>
      <c r="N185" s="154" t="s">
        <v>8586</v>
      </c>
      <c r="O185" s="170" t="str">
        <f t="array" ref="O185">IFERROR(
VLOOKUP(
TRIM(CLEAN(
INDEX(REPORTE_DROPI!K:K,
MATCH(T185, REPORTE_DROPI!B:B, 0)
))),
{
TRIM(CLEAN(MAPA_ESTADOS!A:A)) ,
MAPA_ESTADOS!B:B
},
2,
FALSE
),
"REVISAR"
)</f>
        <v>DEVOLUCION</v>
      </c>
      <c r="P185" s="132" t="s">
        <v>8587</v>
      </c>
      <c r="Q185" s="191"/>
      <c r="R185" s="170"/>
      <c r="S185" s="170"/>
      <c r="T185" s="154">
        <f t="array" ref="T185">IFERROR(
INDEX(REPORTE_DROPI!B:B,
MATCH(
CLEAN(TRIM(C185)),
CLEAN(TRIM(REPORTE_DROPI!E:E)),
0
)
),
""
)
</f>
        <v>4766959</v>
      </c>
      <c r="U185" s="154" t="s">
        <v>8588</v>
      </c>
      <c r="V185" s="192"/>
      <c r="W185" s="192"/>
      <c r="X185" s="192"/>
      <c r="Y185" s="192"/>
      <c r="Z185" s="192"/>
    </row>
    <row r="186" ht="22.5" customHeight="1">
      <c r="A186" s="154"/>
      <c r="B186" s="170">
        <v>46092.0</v>
      </c>
      <c r="C186" s="154" t="s">
        <v>8589</v>
      </c>
      <c r="D186" s="154" t="str">
        <f>IFERROR(__xludf.DUMMYFUNCTION("""COMPUTED_VALUE"""),"FilmPro®")</f>
        <v>FilmPro®</v>
      </c>
      <c r="E186" s="188">
        <v>7.05</v>
      </c>
      <c r="F186" s="189">
        <v>3.0</v>
      </c>
      <c r="G186" s="190">
        <v>30.0</v>
      </c>
      <c r="H186" s="154" t="s">
        <v>3727</v>
      </c>
      <c r="I186" s="154" t="s">
        <v>3731</v>
      </c>
      <c r="J186" s="189">
        <v>4.55</v>
      </c>
      <c r="K186" s="154">
        <v>18.4</v>
      </c>
      <c r="L186" s="154" t="s">
        <v>3650</v>
      </c>
      <c r="M186" s="170"/>
      <c r="N186" s="154" t="s">
        <v>8590</v>
      </c>
      <c r="O186" s="170" t="str">
        <f t="array" ref="O186">IFERROR(
VLOOKUP(
TRIM(CLEAN(
INDEX(REPORTE_DROPI!K:K,
MATCH(T186, REPORTE_DROPI!B:B, 0)
))),
{
TRIM(CLEAN(MAPA_ESTADOS!A:A)) ,
MAPA_ESTADOS!B:B
},
2,
FALSE
),
"REVISAR"
)</f>
        <v>ENTREGADO</v>
      </c>
      <c r="P186" s="154" t="s">
        <v>3655</v>
      </c>
      <c r="Q186" s="191"/>
      <c r="R186" s="170"/>
      <c r="S186" s="170"/>
      <c r="T186" s="154">
        <f t="array" ref="T186">IFERROR(
INDEX(REPORTE_DROPI!B:B,
MATCH(
CLEAN(TRIM(C186)),
CLEAN(TRIM(REPORTE_DROPI!E:E)),
0
)
),
""
)
</f>
        <v>4767233</v>
      </c>
      <c r="U186" s="154" t="s">
        <v>8591</v>
      </c>
      <c r="V186" s="192"/>
      <c r="W186" s="192"/>
      <c r="X186" s="192"/>
      <c r="Y186" s="192"/>
      <c r="Z186" s="192"/>
    </row>
    <row r="187" ht="22.5" customHeight="1">
      <c r="A187" s="154"/>
      <c r="B187" s="170">
        <v>46092.0</v>
      </c>
      <c r="C187" s="154" t="s">
        <v>8592</v>
      </c>
      <c r="D187" s="154" t="str">
        <f>IFERROR(__xludf.DUMMYFUNCTION("""COMPUTED_VALUE"""),"FilmPro®")</f>
        <v>FilmPro®</v>
      </c>
      <c r="E187" s="188">
        <v>2.35</v>
      </c>
      <c r="F187" s="189">
        <v>1.0</v>
      </c>
      <c r="G187" s="190">
        <v>20.0</v>
      </c>
      <c r="H187" s="154" t="s">
        <v>3727</v>
      </c>
      <c r="I187" s="154" t="s">
        <v>8247</v>
      </c>
      <c r="J187" s="189">
        <v>6.24</v>
      </c>
      <c r="K187" s="154">
        <v>11.41</v>
      </c>
      <c r="L187" s="154" t="s">
        <v>3650</v>
      </c>
      <c r="M187" s="170"/>
      <c r="N187" s="154" t="s">
        <v>8593</v>
      </c>
      <c r="O187" s="170" t="str">
        <f t="array" ref="O187">IFERROR(
VLOOKUP(
TRIM(CLEAN(
INDEX(REPORTE_DROPI!K:K,
MATCH(T187, REPORTE_DROPI!B:B, 0)
))),
{
TRIM(CLEAN(MAPA_ESTADOS!A:A)) ,
MAPA_ESTADOS!B:B
},
2,
FALSE
),
"REVISAR"
)</f>
        <v>ENTREGADO</v>
      </c>
      <c r="P187" s="154" t="s">
        <v>8594</v>
      </c>
      <c r="Q187" s="191"/>
      <c r="R187" s="170"/>
      <c r="S187" s="170"/>
      <c r="T187" s="154">
        <f t="array" ref="T187">IFERROR(
INDEX(REPORTE_DROPI!B:B,
MATCH(
CLEAN(TRIM(C187)),
CLEAN(TRIM(REPORTE_DROPI!E:E)),
0
)
),
""
)
</f>
        <v>4767500</v>
      </c>
      <c r="U187" s="154" t="s">
        <v>8595</v>
      </c>
      <c r="V187" s="192"/>
      <c r="W187" s="192"/>
      <c r="X187" s="192"/>
      <c r="Y187" s="192"/>
      <c r="Z187" s="192"/>
    </row>
    <row r="188" ht="22.5" customHeight="1">
      <c r="A188" s="154"/>
      <c r="B188" s="170">
        <v>46092.0</v>
      </c>
      <c r="C188" s="154" t="s">
        <v>8596</v>
      </c>
      <c r="D188" s="154" t="str">
        <f>IFERROR(__xludf.DUMMYFUNCTION("""COMPUTED_VALUE"""),"DrainGuard Pro™")</f>
        <v>DrainGuard Pro™</v>
      </c>
      <c r="E188" s="188">
        <v>7.0</v>
      </c>
      <c r="F188" s="189">
        <v>2.0</v>
      </c>
      <c r="G188" s="190">
        <v>25.0</v>
      </c>
      <c r="H188" s="154" t="s">
        <v>3727</v>
      </c>
      <c r="I188" s="154" t="s">
        <v>8352</v>
      </c>
      <c r="J188" s="189">
        <v>5.96</v>
      </c>
      <c r="K188" s="154">
        <v>12.04</v>
      </c>
      <c r="L188" s="154" t="s">
        <v>3650</v>
      </c>
      <c r="M188" s="170"/>
      <c r="N188" s="154" t="s">
        <v>8597</v>
      </c>
      <c r="O188" s="170" t="str">
        <f t="array" ref="O188">IFERROR(
VLOOKUP(
TRIM(CLEAN(
INDEX(REPORTE_DROPI!K:K,
MATCH(T188, REPORTE_DROPI!B:B, 0)
))),
{
TRIM(CLEAN(MAPA_ESTADOS!A:A)) ,
MAPA_ESTADOS!B:B
},
2,
FALSE
),
"REVISAR"
)</f>
        <v>ENTREGADO</v>
      </c>
      <c r="P188" s="154" t="s">
        <v>3655</v>
      </c>
      <c r="Q188" s="191"/>
      <c r="R188" s="170"/>
      <c r="S188" s="170"/>
      <c r="T188" s="154">
        <f t="array" ref="T188">IFERROR(
INDEX(REPORTE_DROPI!B:B,
MATCH(
CLEAN(TRIM(C188)),
CLEAN(TRIM(REPORTE_DROPI!E:E)),
0
)
),
""
)
</f>
        <v>4767747</v>
      </c>
      <c r="U188" s="154" t="s">
        <v>8598</v>
      </c>
      <c r="V188" s="192"/>
      <c r="W188" s="192"/>
      <c r="X188" s="192"/>
      <c r="Y188" s="192"/>
      <c r="Z188" s="192"/>
    </row>
    <row r="189" ht="22.5" customHeight="1">
      <c r="A189" s="154"/>
      <c r="B189" s="170">
        <v>46092.0</v>
      </c>
      <c r="C189" s="154" t="s">
        <v>7554</v>
      </c>
      <c r="D189" s="154" t="str">
        <f>IFERROR(__xludf.DUMMYFUNCTION("""COMPUTED_VALUE"""),"FilmPro®")</f>
        <v>FilmPro®</v>
      </c>
      <c r="E189" s="188" t="s">
        <v>3650</v>
      </c>
      <c r="F189" s="189">
        <v>2.0</v>
      </c>
      <c r="G189" s="190" t="s">
        <v>3650</v>
      </c>
      <c r="H189" s="154" t="s">
        <v>3727</v>
      </c>
      <c r="I189" s="154" t="s">
        <v>8243</v>
      </c>
      <c r="J189" s="189" t="s">
        <v>3650</v>
      </c>
      <c r="K189" s="154"/>
      <c r="L189" s="154" t="s">
        <v>3650</v>
      </c>
      <c r="M189" s="170"/>
      <c r="N189" s="154" t="s">
        <v>8599</v>
      </c>
      <c r="O189" s="170" t="str">
        <f t="array" ref="O189">IFERROR(
VLOOKUP(
TRIM(CLEAN(
INDEX(REPORTE_DROPI!K:K,
MATCH(T189, REPORTE_DROPI!B:B, 0)
))),
{
TRIM(CLEAN(MAPA_ESTADOS!A:A)) ,
MAPA_ESTADOS!B:B
},
2,
FALSE
),
"REVISAR"
)</f>
        <v>CANCELADO</v>
      </c>
      <c r="P189" s="205" t="s">
        <v>8600</v>
      </c>
      <c r="Q189" s="191"/>
      <c r="R189" s="170"/>
      <c r="S189" s="170"/>
      <c r="T189" s="154">
        <f t="array" ref="T189">IFERROR(
INDEX(REPORTE_DROPI!B:B,
MATCH(
CLEAN(TRIM(C189)),
CLEAN(TRIM(REPORTE_DROPI!E:E)),
0
)
),
""
)
</f>
        <v>4768237</v>
      </c>
      <c r="U189" s="154" t="s">
        <v>8601</v>
      </c>
      <c r="V189" s="192"/>
      <c r="W189" s="192"/>
      <c r="X189" s="192"/>
      <c r="Y189" s="192"/>
      <c r="Z189" s="192"/>
    </row>
    <row r="190" ht="22.5" customHeight="1">
      <c r="A190" s="154"/>
      <c r="B190" s="170">
        <v>46092.0</v>
      </c>
      <c r="C190" s="154" t="s">
        <v>8602</v>
      </c>
      <c r="D190" s="154" t="str">
        <f>IFERROR(__xludf.DUMMYFUNCTION("""COMPUTED_VALUE"""),"DrainGuard Pro™")</f>
        <v>DrainGuard Pro™</v>
      </c>
      <c r="E190" s="188" t="s">
        <v>3650</v>
      </c>
      <c r="F190" s="189">
        <v>2.0</v>
      </c>
      <c r="G190" s="190" t="s">
        <v>3650</v>
      </c>
      <c r="H190" s="154" t="s">
        <v>3727</v>
      </c>
      <c r="I190" s="154" t="s">
        <v>3759</v>
      </c>
      <c r="J190" s="189" t="s">
        <v>3650</v>
      </c>
      <c r="K190" s="154"/>
      <c r="L190" s="154" t="s">
        <v>3650</v>
      </c>
      <c r="M190" s="170"/>
      <c r="N190" s="154" t="s">
        <v>8603</v>
      </c>
      <c r="O190" s="170" t="str">
        <f t="array" ref="O190">IFERROR(
VLOOKUP(
TRIM(CLEAN(
INDEX(REPORTE_DROPI!K:K,
MATCH(T190, REPORTE_DROPI!B:B, 0)
))),
{
TRIM(CLEAN(MAPA_ESTADOS!A:A)) ,
MAPA_ESTADOS!B:B
},
2,
FALSE
),
"REVISAR"
)</f>
        <v>CANCELADO</v>
      </c>
      <c r="P190" s="205" t="s">
        <v>8604</v>
      </c>
      <c r="Q190" s="191"/>
      <c r="R190" s="170"/>
      <c r="S190" s="170"/>
      <c r="T190" s="154">
        <f t="array" ref="T190">IFERROR(
INDEX(REPORTE_DROPI!B:B,
MATCH(
CLEAN(TRIM(C190)),
CLEAN(TRIM(REPORTE_DROPI!E:E)),
0
)
),
""
)
</f>
        <v>4768605</v>
      </c>
      <c r="U190" s="154" t="s">
        <v>8605</v>
      </c>
      <c r="V190" s="192"/>
      <c r="W190" s="192"/>
      <c r="X190" s="192"/>
      <c r="Y190" s="192"/>
      <c r="Z190" s="192"/>
    </row>
    <row r="191" ht="22.5" customHeight="1">
      <c r="A191" s="154"/>
      <c r="B191" s="170">
        <v>46092.0</v>
      </c>
      <c r="C191" s="154" t="s">
        <v>8606</v>
      </c>
      <c r="D191" s="154" t="str">
        <f>IFERROR(__xludf.DUMMYFUNCTION("""COMPUTED_VALUE"""),"FilmPro®")</f>
        <v>FilmPro®</v>
      </c>
      <c r="E191" s="188">
        <v>2.35</v>
      </c>
      <c r="F191" s="189">
        <v>1.0</v>
      </c>
      <c r="G191" s="190">
        <v>20.0</v>
      </c>
      <c r="H191" s="154" t="s">
        <v>3727</v>
      </c>
      <c r="I191" s="154" t="s">
        <v>3735</v>
      </c>
      <c r="J191" s="189">
        <v>5.76</v>
      </c>
      <c r="K191" s="154">
        <v>11.89</v>
      </c>
      <c r="L191" s="154" t="s">
        <v>3650</v>
      </c>
      <c r="M191" s="170"/>
      <c r="N191" s="154" t="s">
        <v>8607</v>
      </c>
      <c r="O191" s="170" t="str">
        <f t="array" ref="O191">IFERROR(
VLOOKUP(
TRIM(CLEAN(
INDEX(REPORTE_DROPI!K:K,
MATCH(T191, REPORTE_DROPI!B:B, 0)
))),
{
TRIM(CLEAN(MAPA_ESTADOS!A:A)) ,
MAPA_ESTADOS!B:B
},
2,
FALSE
),
"REVISAR"
)</f>
        <v>ENTREGADO</v>
      </c>
      <c r="P191" s="154" t="s">
        <v>3655</v>
      </c>
      <c r="Q191" s="191"/>
      <c r="R191" s="170"/>
      <c r="S191" s="170"/>
      <c r="T191" s="154">
        <f t="array" ref="T191">IFERROR(
INDEX(REPORTE_DROPI!B:B,
MATCH(
CLEAN(TRIM(C191)),
CLEAN(TRIM(REPORTE_DROPI!E:E)),
0
)
),
""
)
</f>
        <v>4771233</v>
      </c>
      <c r="U191" s="154"/>
      <c r="V191" s="192"/>
      <c r="W191" s="192"/>
      <c r="X191" s="192"/>
      <c r="Y191" s="192"/>
      <c r="Z191" s="192"/>
    </row>
    <row r="192" ht="22.5" customHeight="1">
      <c r="A192" s="154"/>
      <c r="B192" s="170">
        <v>46092.0</v>
      </c>
      <c r="C192" s="154" t="s">
        <v>8608</v>
      </c>
      <c r="D192" s="154" t="str">
        <f>IFERROR(__xludf.DUMMYFUNCTION("""COMPUTED_VALUE"""),"FilmPro®")</f>
        <v>FilmPro®</v>
      </c>
      <c r="E192" s="188">
        <v>2.35</v>
      </c>
      <c r="F192" s="189">
        <v>1.0</v>
      </c>
      <c r="G192" s="190">
        <v>20.0</v>
      </c>
      <c r="H192" s="154" t="s">
        <v>3727</v>
      </c>
      <c r="I192" s="154" t="s">
        <v>3778</v>
      </c>
      <c r="J192" s="189">
        <v>5.76</v>
      </c>
      <c r="K192" s="154">
        <v>11.89</v>
      </c>
      <c r="L192" s="154" t="s">
        <v>3650</v>
      </c>
      <c r="M192" s="170"/>
      <c r="N192" s="154" t="s">
        <v>8609</v>
      </c>
      <c r="O192" s="170" t="str">
        <f t="array" ref="O192">IFERROR(
VLOOKUP(
TRIM(CLEAN(
INDEX(REPORTE_DROPI!K:K,
MATCH(T192, REPORTE_DROPI!B:B, 0)
))),
{
TRIM(CLEAN(MAPA_ESTADOS!A:A)) ,
MAPA_ESTADOS!B:B
},
2,
FALSE
),
"REVISAR"
)</f>
        <v>ENTREGADO</v>
      </c>
      <c r="P192" s="154" t="s">
        <v>3655</v>
      </c>
      <c r="Q192" s="191"/>
      <c r="R192" s="170"/>
      <c r="S192" s="170"/>
      <c r="T192" s="154">
        <f t="array" ref="T192">IFERROR(
INDEX(REPORTE_DROPI!B:B,
MATCH(
CLEAN(TRIM(C192)),
CLEAN(TRIM(REPORTE_DROPI!E:E)),
0
)
),
""
)
</f>
        <v>4771478</v>
      </c>
      <c r="U192" s="154" t="s">
        <v>8610</v>
      </c>
      <c r="V192" s="192"/>
      <c r="W192" s="192"/>
      <c r="X192" s="192"/>
      <c r="Y192" s="192"/>
      <c r="Z192" s="192"/>
    </row>
    <row r="193" ht="22.5" customHeight="1">
      <c r="A193" s="154"/>
      <c r="B193" s="170">
        <v>46092.0</v>
      </c>
      <c r="C193" s="154" t="s">
        <v>8611</v>
      </c>
      <c r="D193" s="154" t="str">
        <f>IFERROR(__xludf.DUMMYFUNCTION("""COMPUTED_VALUE"""),"FilmPro®")</f>
        <v>FilmPro®</v>
      </c>
      <c r="E193" s="188">
        <v>2.35</v>
      </c>
      <c r="F193" s="189">
        <v>1.0</v>
      </c>
      <c r="G193" s="190">
        <v>20.0</v>
      </c>
      <c r="H193" s="154" t="s">
        <v>3727</v>
      </c>
      <c r="I193" s="154" t="s">
        <v>3778</v>
      </c>
      <c r="J193" s="189">
        <v>5.76</v>
      </c>
      <c r="K193" s="154">
        <v>11.89</v>
      </c>
      <c r="L193" s="154" t="s">
        <v>3650</v>
      </c>
      <c r="M193" s="170"/>
      <c r="N193" s="154" t="s">
        <v>8612</v>
      </c>
      <c r="O193" s="170" t="str">
        <f t="array" ref="O193">IFERROR(
VLOOKUP(
TRIM(CLEAN(
INDEX(REPORTE_DROPI!K:K,
MATCH(T193, REPORTE_DROPI!B:B, 0)
))),
{
TRIM(CLEAN(MAPA_ESTADOS!A:A)) ,
MAPA_ESTADOS!B:B
},
2,
FALSE
),
"REVISAR"
)</f>
        <v>ENTREGADO</v>
      </c>
      <c r="P193" s="154" t="s">
        <v>3655</v>
      </c>
      <c r="Q193" s="191"/>
      <c r="R193" s="170"/>
      <c r="S193" s="170"/>
      <c r="T193" s="154">
        <f t="array" ref="T193">IFERROR(
INDEX(REPORTE_DROPI!B:B,
MATCH(
CLEAN(TRIM(C193)),
CLEAN(TRIM(REPORTE_DROPI!E:E)),
0
)
),
""
)
</f>
        <v>4771528</v>
      </c>
      <c r="U193" s="154" t="s">
        <v>8613</v>
      </c>
      <c r="V193" s="192"/>
      <c r="W193" s="192"/>
      <c r="X193" s="192"/>
      <c r="Y193" s="192"/>
      <c r="Z193" s="192"/>
    </row>
    <row r="194" ht="22.5" customHeight="1">
      <c r="A194" s="154"/>
      <c r="B194" s="170">
        <v>46092.0</v>
      </c>
      <c r="C194" s="154" t="s">
        <v>8614</v>
      </c>
      <c r="D194" s="154" t="str">
        <f>IFERROR(__xludf.DUMMYFUNCTION("""COMPUTED_VALUE"""),"DrainGuard Pro™")</f>
        <v>DrainGuard Pro™</v>
      </c>
      <c r="E194" s="188">
        <v>10.5</v>
      </c>
      <c r="F194" s="189">
        <v>3.0</v>
      </c>
      <c r="G194" s="190">
        <v>32.01</v>
      </c>
      <c r="H194" s="154" t="s">
        <v>3727</v>
      </c>
      <c r="I194" s="154" t="s">
        <v>8247</v>
      </c>
      <c r="J194" s="189">
        <v>6.24</v>
      </c>
      <c r="K194" s="154">
        <v>15.27</v>
      </c>
      <c r="L194" s="154" t="s">
        <v>3650</v>
      </c>
      <c r="M194" s="170"/>
      <c r="N194" s="154" t="s">
        <v>8615</v>
      </c>
      <c r="O194" s="170" t="str">
        <f t="array" ref="O194">IFERROR(
VLOOKUP(
TRIM(CLEAN(
INDEX(REPORTE_DROPI!K:K,
MATCH(T194, REPORTE_DROPI!B:B, 0)
))),
{
TRIM(CLEAN(MAPA_ESTADOS!A:A)) ,
MAPA_ESTADOS!B:B
},
2,
FALSE
),
"REVISAR"
)</f>
        <v>ENTREGADO</v>
      </c>
      <c r="P194" s="154" t="s">
        <v>3655</v>
      </c>
      <c r="Q194" s="191"/>
      <c r="R194" s="170"/>
      <c r="S194" s="170"/>
      <c r="T194" s="154">
        <f t="array" ref="T194">IFERROR(
INDEX(REPORTE_DROPI!B:B,
MATCH(
CLEAN(TRIM(C194)),
CLEAN(TRIM(REPORTE_DROPI!E:E)),
0
)
),
""
)
</f>
        <v>4771703</v>
      </c>
      <c r="U194" s="154" t="s">
        <v>8616</v>
      </c>
      <c r="V194" s="192"/>
      <c r="W194" s="192"/>
      <c r="X194" s="192"/>
      <c r="Y194" s="192"/>
      <c r="Z194" s="192"/>
    </row>
    <row r="195" ht="22.5" customHeight="1">
      <c r="A195" s="154"/>
      <c r="B195" s="170">
        <v>46092.0</v>
      </c>
      <c r="C195" s="154" t="s">
        <v>8617</v>
      </c>
      <c r="D195" s="154" t="str">
        <f>IFERROR(__xludf.DUMMYFUNCTION("""COMPUTED_VALUE"""),"DrainGuard Pro™")</f>
        <v>DrainGuard Pro™</v>
      </c>
      <c r="E195" s="188" t="s">
        <v>3650</v>
      </c>
      <c r="F195" s="189">
        <v>2.0</v>
      </c>
      <c r="G195" s="190" t="s">
        <v>3650</v>
      </c>
      <c r="H195" s="154" t="s">
        <v>3727</v>
      </c>
      <c r="I195" s="154" t="s">
        <v>8306</v>
      </c>
      <c r="J195" s="189" t="s">
        <v>3650</v>
      </c>
      <c r="K195" s="154"/>
      <c r="L195" s="154" t="s">
        <v>3650</v>
      </c>
      <c r="M195" s="170"/>
      <c r="N195" s="154" t="s">
        <v>8618</v>
      </c>
      <c r="O195" s="170" t="str">
        <f t="array" ref="O195">IFERROR(
VLOOKUP(
TRIM(CLEAN(
INDEX(REPORTE_DROPI!K:K,
MATCH(T195, REPORTE_DROPI!B:B, 0)
))),
{
TRIM(CLEAN(MAPA_ESTADOS!A:A)) ,
MAPA_ESTADOS!B:B
},
2,
FALSE
),
"REVISAR"
)</f>
        <v>PENDIENTE</v>
      </c>
      <c r="P195" s="202" t="s">
        <v>8106</v>
      </c>
      <c r="Q195" s="191"/>
      <c r="R195" s="170"/>
      <c r="S195" s="170"/>
      <c r="T195" s="154">
        <f t="array" ref="T195">IFERROR(
INDEX(REPORTE_DROPI!B:B,
MATCH(
CLEAN(TRIM(C195)),
CLEAN(TRIM(REPORTE_DROPI!E:E)),
0
)
),
""
)
</f>
        <v>4772442</v>
      </c>
      <c r="U195" s="154" t="s">
        <v>8619</v>
      </c>
      <c r="V195" s="192"/>
      <c r="W195" s="192"/>
      <c r="X195" s="192"/>
      <c r="Y195" s="192"/>
      <c r="Z195" s="192"/>
    </row>
    <row r="196" ht="22.5" customHeight="1">
      <c r="A196" s="154"/>
      <c r="B196" s="170">
        <v>46092.0</v>
      </c>
      <c r="C196" s="154" t="s">
        <v>8620</v>
      </c>
      <c r="D196" s="154" t="str">
        <f>IFERROR(__xludf.DUMMYFUNCTION("""COMPUTED_VALUE"""),"FilmPro®")</f>
        <v>FilmPro®</v>
      </c>
      <c r="E196" s="188">
        <v>4.7</v>
      </c>
      <c r="F196" s="189">
        <v>2.0</v>
      </c>
      <c r="G196" s="190">
        <v>25.0</v>
      </c>
      <c r="H196" s="154" t="s">
        <v>3727</v>
      </c>
      <c r="I196" s="154" t="s">
        <v>3784</v>
      </c>
      <c r="J196" s="189">
        <v>7.75</v>
      </c>
      <c r="K196" s="154">
        <v>12.55</v>
      </c>
      <c r="L196" s="154" t="s">
        <v>3650</v>
      </c>
      <c r="M196" s="170"/>
      <c r="N196" s="154" t="s">
        <v>8621</v>
      </c>
      <c r="O196" s="170" t="str">
        <f t="array" ref="O196">IFERROR(
VLOOKUP(
TRIM(CLEAN(
INDEX(REPORTE_DROPI!K:K,
MATCH(T196, REPORTE_DROPI!B:B, 0)
))),
{
TRIM(CLEAN(MAPA_ESTADOS!A:A)) ,
MAPA_ESTADOS!B:B
},
2,
FALSE
),
"REVISAR"
)</f>
        <v>ENTREGADO</v>
      </c>
      <c r="P196" s="154" t="s">
        <v>3655</v>
      </c>
      <c r="Q196" s="191"/>
      <c r="R196" s="170"/>
      <c r="S196" s="170"/>
      <c r="T196" s="154">
        <f t="array" ref="T196">IFERROR(
INDEX(REPORTE_DROPI!B:B,
MATCH(
CLEAN(TRIM(C196)),
CLEAN(TRIM(REPORTE_DROPI!E:E)),
0
)
),
""
)
</f>
        <v>4772631</v>
      </c>
      <c r="U196" s="154" t="s">
        <v>8622</v>
      </c>
      <c r="V196" s="192"/>
      <c r="W196" s="192"/>
      <c r="X196" s="192"/>
      <c r="Y196" s="192"/>
      <c r="Z196" s="192"/>
    </row>
    <row r="197" ht="22.5" customHeight="1">
      <c r="A197" s="154"/>
      <c r="B197" s="170">
        <v>46092.0</v>
      </c>
      <c r="C197" s="154" t="s">
        <v>8623</v>
      </c>
      <c r="D197" s="154" t="str">
        <f>IFERROR(__xludf.DUMMYFUNCTION("""COMPUTED_VALUE"""),"FilmPro®")</f>
        <v>FilmPro®</v>
      </c>
      <c r="E197" s="188">
        <v>4.7</v>
      </c>
      <c r="F197" s="189">
        <v>2.0</v>
      </c>
      <c r="G197" s="190">
        <v>25.0</v>
      </c>
      <c r="H197" s="154" t="s">
        <v>3727</v>
      </c>
      <c r="I197" s="154" t="s">
        <v>3731</v>
      </c>
      <c r="J197" s="189">
        <v>4.35</v>
      </c>
      <c r="K197" s="154">
        <v>15.95</v>
      </c>
      <c r="L197" s="154" t="s">
        <v>3650</v>
      </c>
      <c r="M197" s="170"/>
      <c r="N197" s="154" t="s">
        <v>8624</v>
      </c>
      <c r="O197" s="170" t="str">
        <f t="array" ref="O197">IFERROR(
VLOOKUP(
TRIM(CLEAN(
INDEX(REPORTE_DROPI!K:K,
MATCH(T197, REPORTE_DROPI!B:B, 0)
))),
{
TRIM(CLEAN(MAPA_ESTADOS!A:A)) ,
MAPA_ESTADOS!B:B
},
2,
FALSE
),
"REVISAR"
)</f>
        <v>ENTREGADO</v>
      </c>
      <c r="P197" s="154" t="s">
        <v>3655</v>
      </c>
      <c r="Q197" s="191"/>
      <c r="R197" s="170"/>
      <c r="S197" s="170"/>
      <c r="T197" s="154">
        <f t="array" ref="T197">IFERROR(
INDEX(REPORTE_DROPI!B:B,
MATCH(
CLEAN(TRIM(C197)),
CLEAN(TRIM(REPORTE_DROPI!E:E)),
0
)
),
""
)
</f>
        <v>4773632</v>
      </c>
      <c r="U197" s="194">
        <v>1.57100136191E11</v>
      </c>
      <c r="V197" s="192"/>
      <c r="W197" s="192"/>
      <c r="X197" s="192"/>
      <c r="Y197" s="192"/>
      <c r="Z197" s="192"/>
    </row>
    <row r="198" ht="22.5" customHeight="1">
      <c r="A198" s="154"/>
      <c r="B198" s="170">
        <v>46092.0</v>
      </c>
      <c r="C198" s="154" t="s">
        <v>8625</v>
      </c>
      <c r="D198" s="154" t="str">
        <f>IFERROR(__xludf.DUMMYFUNCTION("""COMPUTED_VALUE"""),"FilmPro®")</f>
        <v>FilmPro®</v>
      </c>
      <c r="E198" s="188">
        <v>7.05</v>
      </c>
      <c r="F198" s="189">
        <v>3.0</v>
      </c>
      <c r="G198" s="190">
        <v>30.0</v>
      </c>
      <c r="H198" s="154" t="s">
        <v>3727</v>
      </c>
      <c r="I198" s="154" t="s">
        <v>8247</v>
      </c>
      <c r="J198" s="189">
        <v>4.55</v>
      </c>
      <c r="K198" s="154">
        <v>18.4</v>
      </c>
      <c r="L198" s="154" t="s">
        <v>3650</v>
      </c>
      <c r="M198" s="170"/>
      <c r="N198" s="154" t="s">
        <v>8626</v>
      </c>
      <c r="O198" s="170" t="str">
        <f t="array" ref="O198">IFERROR(
VLOOKUP(
TRIM(CLEAN(
INDEX(REPORTE_DROPI!K:K,
MATCH(T198, REPORTE_DROPI!B:B, 0)
))),
{
TRIM(CLEAN(MAPA_ESTADOS!A:A)) ,
MAPA_ESTADOS!B:B
},
2,
FALSE
),
"REVISAR"
)</f>
        <v>ENTREGADO</v>
      </c>
      <c r="P198" s="154" t="s">
        <v>3655</v>
      </c>
      <c r="Q198" s="191"/>
      <c r="R198" s="170"/>
      <c r="S198" s="170"/>
      <c r="T198" s="154">
        <f t="array" ref="T198">IFERROR(
INDEX(REPORTE_DROPI!B:B,
MATCH(
CLEAN(TRIM(C198)),
CLEAN(TRIM(REPORTE_DROPI!E:E)),
0
)
),
""
)
</f>
        <v>4774388</v>
      </c>
      <c r="U198" s="154" t="s">
        <v>8627</v>
      </c>
      <c r="V198" s="192"/>
      <c r="W198" s="192"/>
      <c r="X198" s="192"/>
      <c r="Y198" s="192"/>
      <c r="Z198" s="192"/>
    </row>
    <row r="199" ht="22.5" customHeight="1">
      <c r="A199" s="154"/>
      <c r="B199" s="170">
        <v>46092.0</v>
      </c>
      <c r="C199" s="154" t="s">
        <v>8628</v>
      </c>
      <c r="D199" s="154" t="str">
        <f>IFERROR(__xludf.DUMMYFUNCTION("""COMPUTED_VALUE"""),"DrainGuard Pro™")</f>
        <v>DrainGuard Pro™</v>
      </c>
      <c r="E199" s="188" t="s">
        <v>3650</v>
      </c>
      <c r="F199" s="189">
        <v>2.0</v>
      </c>
      <c r="G199" s="190" t="s">
        <v>3650</v>
      </c>
      <c r="H199" s="154" t="s">
        <v>3727</v>
      </c>
      <c r="I199" s="154" t="s">
        <v>8247</v>
      </c>
      <c r="J199" s="189" t="s">
        <v>3650</v>
      </c>
      <c r="K199" s="154"/>
      <c r="L199" s="154">
        <v>0.0</v>
      </c>
      <c r="M199" s="170"/>
      <c r="N199" s="154" t="s">
        <v>8629</v>
      </c>
      <c r="O199" s="170" t="str">
        <f t="array" ref="O199">IFERROR(
VLOOKUP(
TRIM(CLEAN(
INDEX(REPORTE_DROPI!K:K,
MATCH(T199, REPORTE_DROPI!B:B, 0)
))),
{
TRIM(CLEAN(MAPA_ESTADOS!A:A)) ,
MAPA_ESTADOS!B:B
},
2,
FALSE
),
"REVISAR"
)</f>
        <v>DEVOLUCION</v>
      </c>
      <c r="P199" s="154" t="s">
        <v>3655</v>
      </c>
      <c r="Q199" s="191"/>
      <c r="R199" s="170"/>
      <c r="S199" s="170"/>
      <c r="T199" s="154">
        <f t="array" ref="T199">IFERROR(
INDEX(REPORTE_DROPI!B:B,
MATCH(
CLEAN(TRIM(C199)),
CLEAN(TRIM(REPORTE_DROPI!E:E)),
0
)
),
""
)
</f>
        <v>4774981</v>
      </c>
      <c r="U199" s="154" t="s">
        <v>8630</v>
      </c>
      <c r="V199" s="192"/>
      <c r="W199" s="192"/>
      <c r="X199" s="192"/>
      <c r="Y199" s="192"/>
      <c r="Z199" s="192"/>
    </row>
    <row r="200" ht="22.5" customHeight="1">
      <c r="A200" s="154"/>
      <c r="B200" s="170">
        <v>46092.0</v>
      </c>
      <c r="C200" s="175" t="s">
        <v>8631</v>
      </c>
      <c r="D200" s="154" t="str">
        <f>IFERROR(__xludf.DUMMYFUNCTION("""COMPUTED_VALUE"""),"FilmPro®")</f>
        <v>FilmPro®</v>
      </c>
      <c r="E200" s="188" t="s">
        <v>3650</v>
      </c>
      <c r="F200" s="189">
        <v>1.0</v>
      </c>
      <c r="G200" s="190" t="s">
        <v>3650</v>
      </c>
      <c r="H200" s="154" t="s">
        <v>3727</v>
      </c>
      <c r="I200" s="154" t="s">
        <v>8453</v>
      </c>
      <c r="J200" s="189" t="s">
        <v>3650</v>
      </c>
      <c r="K200" s="154"/>
      <c r="L200" s="154" t="s">
        <v>3650</v>
      </c>
      <c r="M200" s="170"/>
      <c r="N200" s="154" t="s">
        <v>8632</v>
      </c>
      <c r="O200" s="170" t="str">
        <f t="array" ref="O200">IFERROR(
VLOOKUP(
TRIM(CLEAN(
INDEX(REPORTE_DROPI!K:K,
MATCH(T200, REPORTE_DROPI!B:B, 0)
))),
{
TRIM(CLEAN(MAPA_ESTADOS!A:A)) ,
MAPA_ESTADOS!B:B
},
2,
FALSE
),
"REVISAR"
)</f>
        <v>PENDIENTE</v>
      </c>
      <c r="P200" s="202" t="s">
        <v>8106</v>
      </c>
      <c r="Q200" s="191"/>
      <c r="R200" s="170"/>
      <c r="S200" s="170"/>
      <c r="T200" s="154">
        <f t="array" ref="T200">IFERROR(
INDEX(REPORTE_DROPI!B:B,
MATCH(
CLEAN(TRIM(C200)),
CLEAN(TRIM(REPORTE_DROPI!E:E)),
0
)
),
""
)
</f>
        <v>4776071</v>
      </c>
      <c r="U200" s="154"/>
      <c r="V200" s="192"/>
      <c r="W200" s="192"/>
      <c r="X200" s="192"/>
      <c r="Y200" s="192"/>
      <c r="Z200" s="192"/>
    </row>
    <row r="201" ht="22.5" customHeight="1">
      <c r="A201" s="154"/>
      <c r="B201" s="170">
        <v>46093.0</v>
      </c>
      <c r="C201" s="154" t="s">
        <v>8633</v>
      </c>
      <c r="D201" s="154" t="str">
        <f>IFERROR(__xludf.DUMMYFUNCTION("""COMPUTED_VALUE"""),"FilmPro®")</f>
        <v>FilmPro®</v>
      </c>
      <c r="E201" s="188">
        <v>7.05</v>
      </c>
      <c r="F201" s="189">
        <v>3.0</v>
      </c>
      <c r="G201" s="190">
        <v>30.0</v>
      </c>
      <c r="H201" s="154" t="s">
        <v>3727</v>
      </c>
      <c r="I201" s="154" t="s">
        <v>3770</v>
      </c>
      <c r="J201" s="189">
        <v>6.16</v>
      </c>
      <c r="K201" s="154">
        <v>16.79</v>
      </c>
      <c r="L201" s="154" t="s">
        <v>3650</v>
      </c>
      <c r="M201" s="170"/>
      <c r="N201" s="154" t="s">
        <v>8634</v>
      </c>
      <c r="O201" s="170" t="str">
        <f t="array" ref="O201">IFERROR(
VLOOKUP(
TRIM(CLEAN(
INDEX(REPORTE_DROPI!K:K,
MATCH(T201, REPORTE_DROPI!B:B, 0)
))),
{
TRIM(CLEAN(MAPA_ESTADOS!A:A)) ,
MAPA_ESTADOS!B:B
},
2,
FALSE
),
"REVISAR"
)</f>
        <v>ENTREGADO</v>
      </c>
      <c r="P201" s="154" t="s">
        <v>3655</v>
      </c>
      <c r="Q201" s="191"/>
      <c r="R201" s="170"/>
      <c r="S201" s="170"/>
      <c r="T201" s="154">
        <f t="array" ref="T201">IFERROR(
INDEX(REPORTE_DROPI!B:B,
MATCH(
CLEAN(TRIM(C201)),
CLEAN(TRIM(REPORTE_DROPI!E:E)),
0
)
),
""
)
</f>
        <v>4779562</v>
      </c>
      <c r="U201" s="154" t="s">
        <v>8635</v>
      </c>
      <c r="V201" s="192"/>
      <c r="W201" s="192"/>
      <c r="X201" s="192"/>
      <c r="Y201" s="192"/>
      <c r="Z201" s="192"/>
    </row>
    <row r="202" ht="22.5" customHeight="1">
      <c r="A202" s="154"/>
      <c r="B202" s="170">
        <v>46093.0</v>
      </c>
      <c r="C202" s="154" t="s">
        <v>8636</v>
      </c>
      <c r="D202" s="154" t="str">
        <f>IFERROR(__xludf.DUMMYFUNCTION("""COMPUTED_VALUE"""),"FilmPro®")</f>
        <v>FilmPro®</v>
      </c>
      <c r="E202" s="188" t="s">
        <v>3650</v>
      </c>
      <c r="F202" s="189">
        <v>3.0</v>
      </c>
      <c r="G202" s="190" t="s">
        <v>3650</v>
      </c>
      <c r="H202" s="154" t="s">
        <v>3727</v>
      </c>
      <c r="I202" s="154" t="s">
        <v>8233</v>
      </c>
      <c r="J202" s="189" t="s">
        <v>3650</v>
      </c>
      <c r="K202" s="154"/>
      <c r="L202" s="154" t="s">
        <v>3650</v>
      </c>
      <c r="M202" s="170"/>
      <c r="N202" s="154" t="s">
        <v>8637</v>
      </c>
      <c r="O202" s="170" t="str">
        <f t="array" ref="O202">IFERROR(
VLOOKUP(
TRIM(CLEAN(
INDEX(REPORTE_DROPI!K:K,
MATCH(T202, REPORTE_DROPI!B:B, 0)
))),
{
TRIM(CLEAN(MAPA_ESTADOS!A:A)) ,
MAPA_ESTADOS!B:B
},
2,
FALSE
),
"REVISAR"
)</f>
        <v>PENDIENTE</v>
      </c>
      <c r="P202" s="202" t="s">
        <v>8106</v>
      </c>
      <c r="Q202" s="191"/>
      <c r="R202" s="170"/>
      <c r="S202" s="170"/>
      <c r="T202" s="154">
        <f t="array" ref="T202">IFERROR(
INDEX(REPORTE_DROPI!B:B,
MATCH(
CLEAN(TRIM(C202)),
CLEAN(TRIM(REPORTE_DROPI!E:E)),
0
)
),
""
)
</f>
        <v>4780356</v>
      </c>
      <c r="U202" s="154" t="s">
        <v>8638</v>
      </c>
      <c r="V202" s="192"/>
      <c r="W202" s="192"/>
      <c r="X202" s="192"/>
      <c r="Y202" s="192"/>
      <c r="Z202" s="192"/>
    </row>
    <row r="203" ht="22.5" customHeight="1">
      <c r="A203" s="154"/>
      <c r="B203" s="170">
        <v>46093.0</v>
      </c>
      <c r="C203" s="154" t="s">
        <v>8639</v>
      </c>
      <c r="D203" s="154" t="str">
        <f>IFERROR(__xludf.DUMMYFUNCTION("""COMPUTED_VALUE"""),"FilmPro®")</f>
        <v>FilmPro®</v>
      </c>
      <c r="E203" s="188" t="s">
        <v>3650</v>
      </c>
      <c r="F203" s="189">
        <v>1.0</v>
      </c>
      <c r="G203" s="190" t="s">
        <v>3650</v>
      </c>
      <c r="H203" s="154" t="s">
        <v>3727</v>
      </c>
      <c r="I203" s="154" t="s">
        <v>8243</v>
      </c>
      <c r="J203" s="189" t="s">
        <v>3650</v>
      </c>
      <c r="K203" s="154"/>
      <c r="L203" s="154">
        <v>0.0</v>
      </c>
      <c r="M203" s="170"/>
      <c r="N203" s="154" t="s">
        <v>8640</v>
      </c>
      <c r="O203" s="170" t="str">
        <f t="array" ref="O203">IFERROR(
VLOOKUP(
TRIM(CLEAN(
INDEX(REPORTE_DROPI!K:K,
MATCH(T203, REPORTE_DROPI!B:B, 0)
))),
{
TRIM(CLEAN(MAPA_ESTADOS!A:A)) ,
MAPA_ESTADOS!B:B
},
2,
FALSE
),
"REVISAR"
)</f>
        <v>DEVOLUCION</v>
      </c>
      <c r="P203" s="154" t="s">
        <v>3655</v>
      </c>
      <c r="Q203" s="191"/>
      <c r="R203" s="170"/>
      <c r="S203" s="170"/>
      <c r="T203" s="154">
        <f t="array" ref="T203">IFERROR(
INDEX(REPORTE_DROPI!B:B,
MATCH(
CLEAN(TRIM(C203)),
CLEAN(TRIM(REPORTE_DROPI!E:E)),
0
)
),
""
)
</f>
        <v>4781232</v>
      </c>
      <c r="U203" s="154" t="s">
        <v>8641</v>
      </c>
      <c r="V203" s="192"/>
      <c r="W203" s="192"/>
      <c r="X203" s="192"/>
      <c r="Y203" s="192"/>
      <c r="Z203" s="192"/>
    </row>
    <row r="204" ht="22.5" customHeight="1">
      <c r="A204" s="154"/>
      <c r="B204" s="170">
        <v>46093.0</v>
      </c>
      <c r="C204" s="154" t="s">
        <v>8642</v>
      </c>
      <c r="D204" s="154" t="str">
        <f>IFERROR(__xludf.DUMMYFUNCTION("""COMPUTED_VALUE"""),"FilmPro®")</f>
        <v>FilmPro®</v>
      </c>
      <c r="E204" s="188">
        <v>7.05</v>
      </c>
      <c r="F204" s="189">
        <v>3.0</v>
      </c>
      <c r="G204" s="190">
        <v>30.0</v>
      </c>
      <c r="H204" s="154" t="s">
        <v>3727</v>
      </c>
      <c r="I204" s="154" t="s">
        <v>8243</v>
      </c>
      <c r="J204" s="189">
        <v>7.26</v>
      </c>
      <c r="K204" s="154">
        <v>15.69</v>
      </c>
      <c r="L204" s="154" t="s">
        <v>3650</v>
      </c>
      <c r="M204" s="170"/>
      <c r="N204" s="154" t="s">
        <v>8643</v>
      </c>
      <c r="O204" s="170" t="str">
        <f t="array" ref="O204">IFERROR(
VLOOKUP(
TRIM(CLEAN(
INDEX(REPORTE_DROPI!K:K,
MATCH(T204, REPORTE_DROPI!B:B, 0)
))),
{
TRIM(CLEAN(MAPA_ESTADOS!A:A)) ,
MAPA_ESTADOS!B:B
},
2,
FALSE
),
"REVISAR"
)</f>
        <v>ENTREGADO</v>
      </c>
      <c r="P204" s="154" t="s">
        <v>3655</v>
      </c>
      <c r="Q204" s="191"/>
      <c r="R204" s="170"/>
      <c r="S204" s="170"/>
      <c r="T204" s="154">
        <f t="array" ref="T204">IFERROR(
INDEX(REPORTE_DROPI!B:B,
MATCH(
CLEAN(TRIM(C204)),
CLEAN(TRIM(REPORTE_DROPI!E:E)),
0
)
),
""
)
</f>
        <v>4781402</v>
      </c>
      <c r="U204" s="154" t="s">
        <v>8644</v>
      </c>
      <c r="V204" s="192"/>
      <c r="W204" s="192"/>
      <c r="X204" s="192"/>
      <c r="Y204" s="192"/>
      <c r="Z204" s="192"/>
    </row>
    <row r="205" ht="22.5" customHeight="1">
      <c r="A205" s="154"/>
      <c r="B205" s="170">
        <v>46093.0</v>
      </c>
      <c r="C205" s="154" t="s">
        <v>8645</v>
      </c>
      <c r="D205" s="154" t="str">
        <f>IFERROR(__xludf.DUMMYFUNCTION("""COMPUTED_VALUE"""),"FilmPro®")</f>
        <v>FilmPro®</v>
      </c>
      <c r="E205" s="188" t="s">
        <v>3650</v>
      </c>
      <c r="F205" s="189">
        <v>3.0</v>
      </c>
      <c r="G205" s="190" t="s">
        <v>3650</v>
      </c>
      <c r="H205" s="154" t="s">
        <v>3727</v>
      </c>
      <c r="I205" s="154" t="s">
        <v>8443</v>
      </c>
      <c r="J205" s="189" t="s">
        <v>3650</v>
      </c>
      <c r="K205" s="154"/>
      <c r="L205" s="154" t="s">
        <v>3650</v>
      </c>
      <c r="M205" s="170"/>
      <c r="N205" s="154" t="s">
        <v>8646</v>
      </c>
      <c r="O205" s="170" t="str">
        <f t="array" ref="O205">IFERROR(
VLOOKUP(
TRIM(CLEAN(
INDEX(REPORTE_DROPI!K:K,
MATCH(T205, REPORTE_DROPI!B:B, 0)
))),
{
TRIM(CLEAN(MAPA_ESTADOS!A:A)) ,
MAPA_ESTADOS!B:B
},
2,
FALSE
),
"REVISAR"
)</f>
        <v>PENDIENTE</v>
      </c>
      <c r="P205" s="205" t="s">
        <v>8647</v>
      </c>
      <c r="Q205" s="191"/>
      <c r="R205" s="170"/>
      <c r="S205" s="170"/>
      <c r="T205" s="154">
        <f t="array" ref="T205">IFERROR(
INDEX(REPORTE_DROPI!B:B,
MATCH(
CLEAN(TRIM(C205)),
CLEAN(TRIM(REPORTE_DROPI!E:E)),
0
)
),
""
)
</f>
        <v>4781745</v>
      </c>
      <c r="U205" s="154" t="s">
        <v>8648</v>
      </c>
      <c r="V205" s="192"/>
      <c r="W205" s="192"/>
      <c r="X205" s="192"/>
      <c r="Y205" s="192"/>
      <c r="Z205" s="192"/>
    </row>
    <row r="206" ht="22.5" customHeight="1">
      <c r="A206" s="154"/>
      <c r="B206" s="170">
        <v>46093.0</v>
      </c>
      <c r="C206" s="154" t="s">
        <v>8649</v>
      </c>
      <c r="D206" s="154" t="str">
        <f>IFERROR(__xludf.DUMMYFUNCTION("""COMPUTED_VALUE"""),"FilmPro®")</f>
        <v>FilmPro®</v>
      </c>
      <c r="E206" s="188">
        <v>2.35</v>
      </c>
      <c r="F206" s="189">
        <v>1.0</v>
      </c>
      <c r="G206" s="190">
        <v>20.0</v>
      </c>
      <c r="H206" s="154" t="s">
        <v>3727</v>
      </c>
      <c r="I206" s="154" t="s">
        <v>8372</v>
      </c>
      <c r="J206" s="189">
        <v>6.68</v>
      </c>
      <c r="K206" s="154">
        <v>10.97</v>
      </c>
      <c r="L206" s="154" t="s">
        <v>3650</v>
      </c>
      <c r="M206" s="170"/>
      <c r="N206" s="154" t="s">
        <v>8650</v>
      </c>
      <c r="O206" s="170" t="str">
        <f t="array" ref="O206">IFERROR(
VLOOKUP(
TRIM(CLEAN(
INDEX(REPORTE_DROPI!K:K,
MATCH(T206, REPORTE_DROPI!B:B, 0)
))),
{
TRIM(CLEAN(MAPA_ESTADOS!A:A)) ,
MAPA_ESTADOS!B:B
},
2,
FALSE
),
"REVISAR"
)</f>
        <v>ENTREGADO</v>
      </c>
      <c r="P206" s="154" t="s">
        <v>3655</v>
      </c>
      <c r="Q206" s="191"/>
      <c r="R206" s="170"/>
      <c r="S206" s="170"/>
      <c r="T206" s="154">
        <f t="array" ref="T206">IFERROR(
INDEX(REPORTE_DROPI!B:B,
MATCH(
CLEAN(TRIM(C206)),
CLEAN(TRIM(REPORTE_DROPI!E:E)),
0
)
),
""
)
</f>
        <v>4782062</v>
      </c>
      <c r="U206" s="154" t="s">
        <v>8651</v>
      </c>
      <c r="V206" s="192"/>
      <c r="W206" s="192"/>
      <c r="X206" s="192"/>
      <c r="Y206" s="192"/>
      <c r="Z206" s="192"/>
    </row>
    <row r="207" ht="22.5" customHeight="1">
      <c r="A207" s="154"/>
      <c r="B207" s="170">
        <v>46093.0</v>
      </c>
      <c r="C207" s="154" t="s">
        <v>8652</v>
      </c>
      <c r="D207" s="154" t="str">
        <f>IFERROR(__xludf.DUMMYFUNCTION("""COMPUTED_VALUE"""),"FilmPro®")</f>
        <v>FilmPro®</v>
      </c>
      <c r="E207" s="188" t="s">
        <v>3650</v>
      </c>
      <c r="F207" s="189">
        <v>2.0</v>
      </c>
      <c r="G207" s="190" t="s">
        <v>3650</v>
      </c>
      <c r="H207" s="154" t="s">
        <v>3727</v>
      </c>
      <c r="I207" s="154" t="s">
        <v>8653</v>
      </c>
      <c r="J207" s="189" t="s">
        <v>3650</v>
      </c>
      <c r="K207" s="154"/>
      <c r="L207" s="154" t="s">
        <v>3650</v>
      </c>
      <c r="M207" s="170"/>
      <c r="N207" s="154" t="s">
        <v>8654</v>
      </c>
      <c r="O207" s="170" t="str">
        <f t="array" ref="O207">IFERROR(
VLOOKUP(
TRIM(CLEAN(
INDEX(REPORTE_DROPI!K:K,
MATCH(T207, REPORTE_DROPI!B:B, 0)
))),
{
TRIM(CLEAN(MAPA_ESTADOS!A:A)) ,
MAPA_ESTADOS!B:B
},
2,
FALSE
),
"REVISAR"
)</f>
        <v>PENDIENTE</v>
      </c>
      <c r="P207" s="202" t="s">
        <v>3653</v>
      </c>
      <c r="Q207" s="191"/>
      <c r="R207" s="170"/>
      <c r="S207" s="170"/>
      <c r="T207" s="154">
        <f t="array" ref="T207">IFERROR(
INDEX(REPORTE_DROPI!B:B,
MATCH(
CLEAN(TRIM(C207)),
CLEAN(TRIM(REPORTE_DROPI!E:E)),
0
)
),
""
)
</f>
        <v>4789062</v>
      </c>
      <c r="U207" s="154" t="s">
        <v>8655</v>
      </c>
      <c r="V207" s="192"/>
      <c r="W207" s="192"/>
      <c r="X207" s="192"/>
      <c r="Y207" s="192"/>
      <c r="Z207" s="192"/>
    </row>
    <row r="208" ht="22.5" customHeight="1">
      <c r="A208" s="154"/>
      <c r="B208" s="170">
        <v>46093.0</v>
      </c>
      <c r="C208" s="154" t="s">
        <v>8656</v>
      </c>
      <c r="D208" s="154" t="str">
        <f>IFERROR(__xludf.DUMMYFUNCTION("""COMPUTED_VALUE"""),"FilmPro®")</f>
        <v>FilmPro®</v>
      </c>
      <c r="E208" s="188">
        <v>2.35</v>
      </c>
      <c r="F208" s="189">
        <v>1.0</v>
      </c>
      <c r="G208" s="190">
        <v>20.0</v>
      </c>
      <c r="H208" s="154" t="s">
        <v>3727</v>
      </c>
      <c r="I208" s="154" t="s">
        <v>8265</v>
      </c>
      <c r="J208" s="189">
        <v>5.76</v>
      </c>
      <c r="K208" s="154">
        <v>11.89</v>
      </c>
      <c r="L208" s="154" t="s">
        <v>3650</v>
      </c>
      <c r="M208" s="170"/>
      <c r="N208" s="154" t="s">
        <v>8657</v>
      </c>
      <c r="O208" s="170" t="str">
        <f t="array" ref="O208">IFERROR(
VLOOKUP(
TRIM(CLEAN(
INDEX(REPORTE_DROPI!K:K,
MATCH(T208, REPORTE_DROPI!B:B, 0)
))),
{
TRIM(CLEAN(MAPA_ESTADOS!A:A)) ,
MAPA_ESTADOS!B:B
},
2,
FALSE
),
"REVISAR"
)</f>
        <v>ENTREGADO</v>
      </c>
      <c r="P208" s="202" t="s">
        <v>3655</v>
      </c>
      <c r="Q208" s="191"/>
      <c r="R208" s="170"/>
      <c r="S208" s="170"/>
      <c r="T208" s="154">
        <f t="array" ref="T208">IFERROR(
INDEX(REPORTE_DROPI!B:B,
MATCH(
CLEAN(TRIM(C208)),
CLEAN(TRIM(REPORTE_DROPI!E:E)),
0
)
),
""
)
</f>
        <v>4782582</v>
      </c>
      <c r="U208" s="154" t="s">
        <v>8658</v>
      </c>
      <c r="V208" s="192"/>
      <c r="W208" s="192"/>
      <c r="X208" s="192"/>
      <c r="Y208" s="192"/>
      <c r="Z208" s="192"/>
    </row>
    <row r="209" ht="22.5" customHeight="1">
      <c r="A209" s="154"/>
      <c r="B209" s="170">
        <v>46093.0</v>
      </c>
      <c r="C209" s="154" t="s">
        <v>8659</v>
      </c>
      <c r="D209" s="154" t="str">
        <f>IFERROR(__xludf.DUMMYFUNCTION("""COMPUTED_VALUE"""),"FilmPro®")</f>
        <v>FilmPro®</v>
      </c>
      <c r="E209" s="188" t="s">
        <v>3650</v>
      </c>
      <c r="F209" s="189">
        <v>1.0</v>
      </c>
      <c r="G209" s="190" t="s">
        <v>3650</v>
      </c>
      <c r="H209" s="154" t="s">
        <v>3727</v>
      </c>
      <c r="I209" s="154" t="s">
        <v>8233</v>
      </c>
      <c r="J209" s="189" t="s">
        <v>3650</v>
      </c>
      <c r="K209" s="154"/>
      <c r="L209" s="154" t="s">
        <v>3650</v>
      </c>
      <c r="M209" s="170"/>
      <c r="N209" s="154" t="s">
        <v>8660</v>
      </c>
      <c r="O209" s="170" t="str">
        <f t="array" ref="O209">IFERROR(
VLOOKUP(
TRIM(CLEAN(
INDEX(REPORTE_DROPI!K:K,
MATCH(T209, REPORTE_DROPI!B:B, 0)
))),
{
TRIM(CLEAN(MAPA_ESTADOS!A:A)) ,
MAPA_ESTADOS!B:B
},
2,
FALSE
),
"REVISAR"
)</f>
        <v>PENDIENTE</v>
      </c>
      <c r="P209" s="202" t="s">
        <v>8106</v>
      </c>
      <c r="Q209" s="191"/>
      <c r="R209" s="170"/>
      <c r="S209" s="170"/>
      <c r="T209" s="154">
        <f t="array" ref="T209">IFERROR(
INDEX(REPORTE_DROPI!B:B,
MATCH(
CLEAN(TRIM(C209)),
CLEAN(TRIM(REPORTE_DROPI!E:E)),
0
)
),
""
)
</f>
        <v>4782624</v>
      </c>
      <c r="U209" s="154" t="s">
        <v>8661</v>
      </c>
      <c r="V209" s="192"/>
      <c r="W209" s="192"/>
      <c r="X209" s="192"/>
      <c r="Y209" s="192"/>
      <c r="Z209" s="192"/>
    </row>
    <row r="210" ht="22.5" customHeight="1">
      <c r="A210" s="154"/>
      <c r="B210" s="170">
        <v>46093.0</v>
      </c>
      <c r="C210" s="154" t="s">
        <v>8662</v>
      </c>
      <c r="D210" s="154" t="str">
        <f>IFERROR(__xludf.DUMMYFUNCTION("""COMPUTED_VALUE"""),"FilmPro®")</f>
        <v>FilmPro®</v>
      </c>
      <c r="E210" s="188" t="s">
        <v>3650</v>
      </c>
      <c r="F210" s="189">
        <v>3.0</v>
      </c>
      <c r="G210" s="190" t="s">
        <v>3650</v>
      </c>
      <c r="H210" s="154" t="s">
        <v>3727</v>
      </c>
      <c r="I210" s="154" t="s">
        <v>8238</v>
      </c>
      <c r="J210" s="189" t="s">
        <v>3650</v>
      </c>
      <c r="K210" s="154"/>
      <c r="L210" s="154" t="s">
        <v>3650</v>
      </c>
      <c r="M210" s="170"/>
      <c r="N210" s="154" t="s">
        <v>8663</v>
      </c>
      <c r="O210" s="170" t="str">
        <f t="array" ref="O210">IFERROR(
VLOOKUP(
TRIM(CLEAN(
INDEX(REPORTE_DROPI!K:K,
MATCH(T210, REPORTE_DROPI!B:B, 0)
))),
{
TRIM(CLEAN(MAPA_ESTADOS!A:A)) ,
MAPA_ESTADOS!B:B
},
2,
FALSE
),
"REVISAR"
)</f>
        <v>PENDIENTE</v>
      </c>
      <c r="P210" s="202" t="s">
        <v>8106</v>
      </c>
      <c r="Q210" s="191"/>
      <c r="R210" s="170"/>
      <c r="S210" s="170"/>
      <c r="T210" s="154">
        <f t="array" ref="T210">IFERROR(
INDEX(REPORTE_DROPI!B:B,
MATCH(
CLEAN(TRIM(C210)),
CLEAN(TRIM(REPORTE_DROPI!E:E)),
0
)
),
""
)
</f>
        <v>4782914</v>
      </c>
      <c r="U210" s="154" t="s">
        <v>8664</v>
      </c>
      <c r="V210" s="192"/>
      <c r="W210" s="192"/>
      <c r="X210" s="192"/>
      <c r="Y210" s="192"/>
      <c r="Z210" s="192"/>
    </row>
    <row r="211" ht="22.5" customHeight="1">
      <c r="A211" s="154"/>
      <c r="B211" s="170">
        <v>46093.0</v>
      </c>
      <c r="C211" s="154" t="s">
        <v>8665</v>
      </c>
      <c r="D211" s="154" t="str">
        <f>IFERROR(__xludf.DUMMYFUNCTION("""COMPUTED_VALUE"""),"FilmPro®")</f>
        <v>FilmPro®</v>
      </c>
      <c r="E211" s="188">
        <v>4.7</v>
      </c>
      <c r="F211" s="189">
        <v>2.0</v>
      </c>
      <c r="G211" s="190">
        <v>25.0</v>
      </c>
      <c r="H211" s="154" t="s">
        <v>3727</v>
      </c>
      <c r="I211" s="154" t="s">
        <v>8360</v>
      </c>
      <c r="J211" s="189">
        <v>5.96</v>
      </c>
      <c r="K211" s="154">
        <v>14.34</v>
      </c>
      <c r="L211" s="154" t="s">
        <v>3650</v>
      </c>
      <c r="M211" s="170"/>
      <c r="N211" s="154" t="s">
        <v>8666</v>
      </c>
      <c r="O211" s="170" t="str">
        <f t="array" ref="O211">IFERROR(
VLOOKUP(
TRIM(CLEAN(
INDEX(REPORTE_DROPI!K:K,
MATCH(T211, REPORTE_DROPI!B:B, 0)
))),
{
TRIM(CLEAN(MAPA_ESTADOS!A:A)) ,
MAPA_ESTADOS!B:B
},
2,
FALSE
),
"REVISAR"
)</f>
        <v>ENTREGADO</v>
      </c>
      <c r="P211" s="154" t="s">
        <v>3655</v>
      </c>
      <c r="Q211" s="191"/>
      <c r="R211" s="170"/>
      <c r="S211" s="170"/>
      <c r="T211" s="154">
        <f t="array" ref="T211">IFERROR(
INDEX(REPORTE_DROPI!B:B,
MATCH(
CLEAN(TRIM(C211)),
CLEAN(TRIM(REPORTE_DROPI!E:E)),
0
)
),
""
)
</f>
        <v>4783095</v>
      </c>
      <c r="U211" s="154" t="s">
        <v>8667</v>
      </c>
      <c r="V211" s="192"/>
      <c r="W211" s="192"/>
      <c r="X211" s="192"/>
      <c r="Y211" s="192"/>
      <c r="Z211" s="192"/>
    </row>
    <row r="212" ht="22.5" customHeight="1">
      <c r="A212" s="154"/>
      <c r="B212" s="170">
        <v>46093.0</v>
      </c>
      <c r="C212" s="154" t="s">
        <v>8668</v>
      </c>
      <c r="D212" s="154" t="str">
        <f>IFERROR(__xludf.DUMMYFUNCTION("""COMPUTED_VALUE"""),"FilmPro®")</f>
        <v>FilmPro®</v>
      </c>
      <c r="E212" s="188">
        <v>4.7</v>
      </c>
      <c r="F212" s="189">
        <v>2.0</v>
      </c>
      <c r="G212" s="190">
        <v>25.0</v>
      </c>
      <c r="H212" s="154" t="s">
        <v>3727</v>
      </c>
      <c r="I212" s="154" t="s">
        <v>8360</v>
      </c>
      <c r="J212" s="189">
        <v>6.53</v>
      </c>
      <c r="K212" s="154">
        <v>13.77</v>
      </c>
      <c r="L212" s="154" t="s">
        <v>3650</v>
      </c>
      <c r="M212" s="170"/>
      <c r="N212" s="154" t="s">
        <v>8669</v>
      </c>
      <c r="O212" s="170" t="str">
        <f t="array" ref="O212">IFERROR(
VLOOKUP(
TRIM(CLEAN(
INDEX(REPORTE_DROPI!K:K,
MATCH(T212, REPORTE_DROPI!B:B, 0)
))),
{
TRIM(CLEAN(MAPA_ESTADOS!A:A)) ,
MAPA_ESTADOS!B:B
},
2,
FALSE
),
"REVISAR"
)</f>
        <v>ENTREGADO</v>
      </c>
      <c r="P212" s="154" t="s">
        <v>3655</v>
      </c>
      <c r="Q212" s="191"/>
      <c r="R212" s="170"/>
      <c r="S212" s="170"/>
      <c r="T212" s="154">
        <f t="array" ref="T212">IFERROR(
INDEX(REPORTE_DROPI!B:B,
MATCH(
CLEAN(TRIM(C212)),
CLEAN(TRIM(REPORTE_DROPI!E:E)),
0
)
),
""
)
</f>
        <v>4789492</v>
      </c>
      <c r="U212" s="194">
        <v>1.70244208135E11</v>
      </c>
      <c r="V212" s="192"/>
      <c r="W212" s="192"/>
      <c r="X212" s="192"/>
      <c r="Y212" s="192"/>
      <c r="Z212" s="192"/>
    </row>
    <row r="213" ht="22.5" customHeight="1">
      <c r="A213" s="154"/>
      <c r="B213" s="170">
        <v>46093.0</v>
      </c>
      <c r="C213" s="154" t="s">
        <v>8670</v>
      </c>
      <c r="D213" s="154" t="str">
        <f>IFERROR(__xludf.DUMMYFUNCTION("""COMPUTED_VALUE"""),"FilmPro®")</f>
        <v>FilmPro®</v>
      </c>
      <c r="E213" s="188" t="s">
        <v>3650</v>
      </c>
      <c r="F213" s="189">
        <v>1.0</v>
      </c>
      <c r="G213" s="190" t="s">
        <v>3650</v>
      </c>
      <c r="H213" s="154" t="s">
        <v>3727</v>
      </c>
      <c r="I213" s="154" t="s">
        <v>8243</v>
      </c>
      <c r="J213" s="189" t="s">
        <v>3650</v>
      </c>
      <c r="K213" s="154"/>
      <c r="L213" s="154">
        <v>0.0</v>
      </c>
      <c r="M213" s="170"/>
      <c r="N213" s="154" t="s">
        <v>8671</v>
      </c>
      <c r="O213" s="170" t="str">
        <f t="array" ref="O213">IFERROR(
VLOOKUP(
TRIM(CLEAN(
INDEX(REPORTE_DROPI!K:K,
MATCH(T213, REPORTE_DROPI!B:B, 0)
))),
{
TRIM(CLEAN(MAPA_ESTADOS!A:A)) ,
MAPA_ESTADOS!B:B
},
2,
FALSE
),
"REVISAR"
)</f>
        <v>DEVOLUCION</v>
      </c>
      <c r="P213" s="154" t="s">
        <v>3655</v>
      </c>
      <c r="Q213" s="191"/>
      <c r="R213" s="170"/>
      <c r="S213" s="170"/>
      <c r="T213" s="154">
        <f t="array" ref="T213">IFERROR(
INDEX(REPORTE_DROPI!B:B,
MATCH(
CLEAN(TRIM(C213)),
CLEAN(TRIM(REPORTE_DROPI!E:E)),
0
)
),
""
)
</f>
        <v>4784062</v>
      </c>
      <c r="U213" s="194">
        <v>1.57100113211E11</v>
      </c>
      <c r="V213" s="192"/>
      <c r="W213" s="192"/>
      <c r="X213" s="192"/>
      <c r="Y213" s="192"/>
      <c r="Z213" s="192"/>
    </row>
    <row r="214" ht="22.5" customHeight="1">
      <c r="A214" s="154"/>
      <c r="B214" s="170">
        <v>46093.0</v>
      </c>
      <c r="C214" s="154" t="s">
        <v>8672</v>
      </c>
      <c r="D214" s="154" t="str">
        <f>IFERROR(__xludf.DUMMYFUNCTION("""COMPUTED_VALUE"""),"FilmPro®")</f>
        <v>FilmPro®</v>
      </c>
      <c r="E214" s="188">
        <v>7.05</v>
      </c>
      <c r="F214" s="189">
        <v>3.0</v>
      </c>
      <c r="G214" s="190">
        <v>30.0</v>
      </c>
      <c r="H214" s="154" t="s">
        <v>3727</v>
      </c>
      <c r="I214" s="154" t="s">
        <v>8243</v>
      </c>
      <c r="J214" s="189">
        <v>6.16</v>
      </c>
      <c r="K214" s="154">
        <v>16.79</v>
      </c>
      <c r="L214" s="154" t="s">
        <v>3650</v>
      </c>
      <c r="M214" s="170"/>
      <c r="N214" s="154" t="s">
        <v>8673</v>
      </c>
      <c r="O214" s="170" t="str">
        <f t="array" ref="O214">IFERROR(
VLOOKUP(
TRIM(CLEAN(
INDEX(REPORTE_DROPI!K:K,
MATCH(T214, REPORTE_DROPI!B:B, 0)
))),
{
TRIM(CLEAN(MAPA_ESTADOS!A:A)) ,
MAPA_ESTADOS!B:B
},
2,
FALSE
),
"REVISAR"
)</f>
        <v>ENTREGADO</v>
      </c>
      <c r="P214" s="154" t="s">
        <v>3655</v>
      </c>
      <c r="Q214" s="191"/>
      <c r="R214" s="170"/>
      <c r="S214" s="170"/>
      <c r="T214" s="154">
        <f t="array" ref="T214">IFERROR(
INDEX(REPORTE_DROPI!B:B,
MATCH(
CLEAN(TRIM(C214)),
CLEAN(TRIM(REPORTE_DROPI!E:E)),
0
)
),
""
)
</f>
        <v>4785499</v>
      </c>
      <c r="U214" s="154" t="s">
        <v>8674</v>
      </c>
      <c r="V214" s="192"/>
      <c r="W214" s="192"/>
      <c r="X214" s="192"/>
      <c r="Y214" s="192"/>
      <c r="Z214" s="192"/>
    </row>
    <row r="215" ht="22.5" customHeight="1">
      <c r="A215" s="154"/>
      <c r="B215" s="170">
        <v>46093.0</v>
      </c>
      <c r="C215" s="154" t="s">
        <v>8675</v>
      </c>
      <c r="D215" s="154" t="str">
        <f>IFERROR(__xludf.DUMMYFUNCTION("""COMPUTED_VALUE"""),"FilmPro®")</f>
        <v>FilmPro®</v>
      </c>
      <c r="E215" s="188">
        <v>4.7</v>
      </c>
      <c r="F215" s="189">
        <v>2.0</v>
      </c>
      <c r="G215" s="190">
        <v>25.0</v>
      </c>
      <c r="H215" s="154" t="s">
        <v>3727</v>
      </c>
      <c r="I215" s="154" t="s">
        <v>8243</v>
      </c>
      <c r="J215" s="189">
        <v>5.96</v>
      </c>
      <c r="K215" s="154">
        <v>14.34</v>
      </c>
      <c r="L215" s="154" t="s">
        <v>3650</v>
      </c>
      <c r="M215" s="170"/>
      <c r="N215" s="154" t="s">
        <v>8676</v>
      </c>
      <c r="O215" s="170" t="str">
        <f t="array" ref="O215">IFERROR(
VLOOKUP(
TRIM(CLEAN(
INDEX(REPORTE_DROPI!K:K,
MATCH(T215, REPORTE_DROPI!B:B, 0)
))),
{
TRIM(CLEAN(MAPA_ESTADOS!A:A)) ,
MAPA_ESTADOS!B:B
},
2,
FALSE
),
"REVISAR"
)</f>
        <v>ENTREGADO</v>
      </c>
      <c r="P215" s="154" t="s">
        <v>3655</v>
      </c>
      <c r="Q215" s="191"/>
      <c r="R215" s="170"/>
      <c r="S215" s="170"/>
      <c r="T215" s="154">
        <f t="array" ref="T215">IFERROR(
INDEX(REPORTE_DROPI!B:B,
MATCH(
CLEAN(TRIM(C215)),
CLEAN(TRIM(REPORTE_DROPI!E:E)),
0
)
),
""
)
</f>
        <v>4785518</v>
      </c>
      <c r="U215" s="154" t="s">
        <v>8677</v>
      </c>
      <c r="V215" s="192"/>
      <c r="W215" s="192"/>
      <c r="X215" s="192"/>
      <c r="Y215" s="192"/>
      <c r="Z215" s="192"/>
    </row>
    <row r="216" ht="22.5" customHeight="1">
      <c r="A216" s="154"/>
      <c r="B216" s="170">
        <v>46093.0</v>
      </c>
      <c r="C216" s="154" t="s">
        <v>8678</v>
      </c>
      <c r="D216" s="154" t="str">
        <f>IFERROR(__xludf.DUMMYFUNCTION("""COMPUTED_VALUE"""),"FilmPro®")</f>
        <v>FilmPro®</v>
      </c>
      <c r="E216" s="188">
        <v>2.35</v>
      </c>
      <c r="F216" s="189">
        <v>1.0</v>
      </c>
      <c r="G216" s="190">
        <v>20.0</v>
      </c>
      <c r="H216" s="154" t="s">
        <v>3727</v>
      </c>
      <c r="I216" s="154" t="s">
        <v>8679</v>
      </c>
      <c r="J216" s="189">
        <v>5.76</v>
      </c>
      <c r="K216" s="154">
        <v>11.89</v>
      </c>
      <c r="L216" s="154" t="s">
        <v>3650</v>
      </c>
      <c r="M216" s="170"/>
      <c r="N216" s="154" t="s">
        <v>8680</v>
      </c>
      <c r="O216" s="170" t="str">
        <f t="array" ref="O216">IFERROR(
VLOOKUP(
TRIM(CLEAN(
INDEX(REPORTE_DROPI!K:K,
MATCH(T216, REPORTE_DROPI!B:B, 0)
))),
{
TRIM(CLEAN(MAPA_ESTADOS!A:A)) ,
MAPA_ESTADOS!B:B
},
2,
FALSE
),
"REVISAR"
)</f>
        <v>ENTREGADO</v>
      </c>
      <c r="P216" s="154" t="s">
        <v>3655</v>
      </c>
      <c r="Q216" s="191"/>
      <c r="R216" s="170"/>
      <c r="S216" s="170"/>
      <c r="T216" s="154">
        <f t="array" ref="T216">IFERROR(
INDEX(REPORTE_DROPI!B:B,
MATCH(
CLEAN(TRIM(C216)),
CLEAN(TRIM(REPORTE_DROPI!E:E)),
0
)
),
""
)
</f>
        <v>4785524</v>
      </c>
      <c r="U216" s="154" t="s">
        <v>8681</v>
      </c>
      <c r="V216" s="192"/>
      <c r="W216" s="192"/>
      <c r="X216" s="192"/>
      <c r="Y216" s="192"/>
      <c r="Z216" s="192"/>
    </row>
    <row r="217" ht="22.5" customHeight="1">
      <c r="A217" s="154"/>
      <c r="B217" s="170">
        <v>46094.0</v>
      </c>
      <c r="C217" s="154" t="s">
        <v>8682</v>
      </c>
      <c r="D217" s="154" t="str">
        <f>IFERROR(__xludf.DUMMYFUNCTION("""COMPUTED_VALUE"""),"FilmPro®")</f>
        <v>FilmPro®</v>
      </c>
      <c r="E217" s="188">
        <v>4.7</v>
      </c>
      <c r="F217" s="189">
        <v>2.0</v>
      </c>
      <c r="G217" s="190">
        <v>25.0</v>
      </c>
      <c r="H217" s="154" t="s">
        <v>3727</v>
      </c>
      <c r="I217" s="154" t="s">
        <v>8281</v>
      </c>
      <c r="J217" s="189">
        <v>6.31</v>
      </c>
      <c r="K217" s="154">
        <v>13.99</v>
      </c>
      <c r="L217" s="154" t="s">
        <v>3650</v>
      </c>
      <c r="M217" s="170"/>
      <c r="N217" s="154" t="s">
        <v>8683</v>
      </c>
      <c r="O217" s="170" t="str">
        <f t="array" ref="O217">IFERROR(
VLOOKUP(
TRIM(CLEAN(
INDEX(REPORTE_DROPI!K:K,
MATCH(T217, REPORTE_DROPI!B:B, 0)
))),
{
TRIM(CLEAN(MAPA_ESTADOS!A:A)) ,
MAPA_ESTADOS!B:B
},
2,
FALSE
),
"REVISAR"
)</f>
        <v>ENTREGADO</v>
      </c>
      <c r="P217" s="154" t="s">
        <v>3655</v>
      </c>
      <c r="Q217" s="191"/>
      <c r="R217" s="170"/>
      <c r="S217" s="170"/>
      <c r="T217" s="154">
        <f t="array" ref="T217">IFERROR(
INDEX(REPORTE_DROPI!B:B,
MATCH(
CLEAN(TRIM(C217)),
CLEAN(TRIM(REPORTE_DROPI!E:E)),
0
)
),
""
)
</f>
        <v>4791043</v>
      </c>
      <c r="U217" s="194">
        <v>1.81188197161E11</v>
      </c>
      <c r="V217" s="192"/>
      <c r="W217" s="192"/>
      <c r="X217" s="192"/>
      <c r="Y217" s="192"/>
      <c r="Z217" s="192"/>
    </row>
    <row r="218" ht="22.5" customHeight="1">
      <c r="A218" s="154"/>
      <c r="B218" s="170">
        <v>46095.0</v>
      </c>
      <c r="C218" s="154" t="s">
        <v>8684</v>
      </c>
      <c r="D218" s="154" t="str">
        <f>IFERROR(__xludf.DUMMYFUNCTION("""COMPUTED_VALUE"""),"FilmPro®")</f>
        <v>FilmPro®</v>
      </c>
      <c r="E218" s="188" t="s">
        <v>3650</v>
      </c>
      <c r="F218" s="189">
        <v>1.0</v>
      </c>
      <c r="G218" s="190" t="s">
        <v>3650</v>
      </c>
      <c r="H218" s="154" t="s">
        <v>3727</v>
      </c>
      <c r="I218" s="154" t="s">
        <v>8443</v>
      </c>
      <c r="J218" s="189" t="s">
        <v>3650</v>
      </c>
      <c r="K218" s="154"/>
      <c r="L218" s="154" t="s">
        <v>3650</v>
      </c>
      <c r="M218" s="170"/>
      <c r="N218" s="154" t="s">
        <v>8685</v>
      </c>
      <c r="O218" s="170" t="str">
        <f t="array" ref="O218">IFERROR(
VLOOKUP(
TRIM(CLEAN(
INDEX(REPORTE_DROPI!K:K,
MATCH(T218, REPORTE_DROPI!B:B, 0)
))),
{
TRIM(CLEAN(MAPA_ESTADOS!A:A)) ,
MAPA_ESTADOS!B:B
},
2,
FALSE
),
"REVISAR"
)</f>
        <v>CANCELADO</v>
      </c>
      <c r="P218" s="205" t="s">
        <v>8686</v>
      </c>
      <c r="Q218" s="191"/>
      <c r="R218" s="170"/>
      <c r="S218" s="170"/>
      <c r="T218" s="154">
        <f t="array" ref="T218">IFERROR(
INDEX(REPORTE_DROPI!B:B,
MATCH(
CLEAN(TRIM(C218)),
CLEAN(TRIM(REPORTE_DROPI!E:E)),
0
)
),
""
)
</f>
        <v>4816516</v>
      </c>
      <c r="U218" s="154" t="s">
        <v>8687</v>
      </c>
      <c r="V218" s="192"/>
      <c r="W218" s="192"/>
      <c r="X218" s="192"/>
      <c r="Y218" s="192"/>
      <c r="Z218" s="192"/>
    </row>
    <row r="219" ht="22.5" customHeight="1">
      <c r="A219" s="154"/>
      <c r="B219" s="170">
        <v>46095.0</v>
      </c>
      <c r="C219" s="154" t="s">
        <v>8688</v>
      </c>
      <c r="D219" s="154" t="str">
        <f>IFERROR(__xludf.DUMMYFUNCTION("""COMPUTED_VALUE"""),"FilmPro®")</f>
        <v>FilmPro®</v>
      </c>
      <c r="E219" s="188">
        <v>4.7</v>
      </c>
      <c r="F219" s="189">
        <v>2.0</v>
      </c>
      <c r="G219" s="190">
        <v>25.0</v>
      </c>
      <c r="H219" s="154" t="s">
        <v>3727</v>
      </c>
      <c r="I219" s="154" t="s">
        <v>8320</v>
      </c>
      <c r="J219" s="189">
        <v>6.53</v>
      </c>
      <c r="K219" s="154">
        <v>13.77</v>
      </c>
      <c r="L219" s="154" t="s">
        <v>3650</v>
      </c>
      <c r="M219" s="170"/>
      <c r="N219" s="154" t="s">
        <v>8689</v>
      </c>
      <c r="O219" s="170" t="str">
        <f t="array" ref="O219">IFERROR(
VLOOKUP(
TRIM(CLEAN(
INDEX(REPORTE_DROPI!K:K,
MATCH(T219, REPORTE_DROPI!B:B, 0)
))),
{
TRIM(CLEAN(MAPA_ESTADOS!A:A)) ,
MAPA_ESTADOS!B:B
},
2,
FALSE
),
"REVISAR"
)</f>
        <v>ENTREGADO</v>
      </c>
      <c r="P219" s="154" t="s">
        <v>3655</v>
      </c>
      <c r="Q219" s="191"/>
      <c r="R219" s="170"/>
      <c r="S219" s="170"/>
      <c r="T219" s="154">
        <f t="array" ref="T219">IFERROR(
INDEX(REPORTE_DROPI!B:B,
MATCH(
CLEAN(TRIM(C219)),
CLEAN(TRIM(REPORTE_DROPI!E:E)),
0
)
),
""
)
</f>
        <v>4797057</v>
      </c>
      <c r="U219" s="154" t="s">
        <v>8690</v>
      </c>
      <c r="V219" s="192"/>
      <c r="W219" s="192"/>
      <c r="X219" s="192"/>
      <c r="Y219" s="192"/>
      <c r="Z219" s="192"/>
    </row>
    <row r="220" ht="22.5" customHeight="1">
      <c r="A220" s="154"/>
      <c r="B220" s="170">
        <v>46095.0</v>
      </c>
      <c r="C220" s="154" t="s">
        <v>8691</v>
      </c>
      <c r="D220" s="154" t="str">
        <f>IFERROR(__xludf.DUMMYFUNCTION("""COMPUTED_VALUE"""),"FilmPro®")</f>
        <v>FilmPro®</v>
      </c>
      <c r="E220" s="188">
        <v>2.35</v>
      </c>
      <c r="F220" s="189">
        <v>1.0</v>
      </c>
      <c r="G220" s="190">
        <v>20.0</v>
      </c>
      <c r="H220" s="154" t="s">
        <v>3727</v>
      </c>
      <c r="I220" s="154" t="s">
        <v>8247</v>
      </c>
      <c r="J220" s="189">
        <v>4.6</v>
      </c>
      <c r="K220" s="154">
        <v>13.05</v>
      </c>
      <c r="L220" s="154" t="s">
        <v>3650</v>
      </c>
      <c r="M220" s="170"/>
      <c r="N220" s="154" t="s">
        <v>8692</v>
      </c>
      <c r="O220" s="170" t="str">
        <f t="array" ref="O220">IFERROR(
VLOOKUP(
TRIM(CLEAN(
INDEX(REPORTE_DROPI!K:K,
MATCH(T220, REPORTE_DROPI!B:B, 0)
))),
{
TRIM(CLEAN(MAPA_ESTADOS!A:A)) ,
MAPA_ESTADOS!B:B
},
2,
FALSE
),
"REVISAR"
)</f>
        <v>ENTREGADO</v>
      </c>
      <c r="P220" s="154" t="s">
        <v>3655</v>
      </c>
      <c r="Q220" s="191"/>
      <c r="R220" s="170"/>
      <c r="S220" s="170"/>
      <c r="T220" s="154">
        <f t="array" ref="T220">IFERROR(
INDEX(REPORTE_DROPI!B:B,
MATCH(
CLEAN(TRIM(C220)),
CLEAN(TRIM(REPORTE_DROPI!E:E)),
0
)
),
""
)
</f>
        <v>4797948</v>
      </c>
      <c r="U220" s="154" t="s">
        <v>8693</v>
      </c>
      <c r="V220" s="192"/>
      <c r="W220" s="192"/>
      <c r="X220" s="192"/>
      <c r="Y220" s="192"/>
      <c r="Z220" s="192"/>
    </row>
    <row r="221" ht="22.5" customHeight="1">
      <c r="A221" s="154"/>
      <c r="B221" s="170">
        <v>46095.0</v>
      </c>
      <c r="C221" s="154" t="s">
        <v>8694</v>
      </c>
      <c r="D221" s="154" t="str">
        <f>IFERROR(__xludf.DUMMYFUNCTION("""COMPUTED_VALUE"""),"FilmPro®")</f>
        <v>FilmPro®</v>
      </c>
      <c r="E221" s="188">
        <v>2.35</v>
      </c>
      <c r="F221" s="189">
        <v>1.0</v>
      </c>
      <c r="G221" s="190">
        <v>20.0</v>
      </c>
      <c r="H221" s="154" t="s">
        <v>3727</v>
      </c>
      <c r="I221" s="154" t="s">
        <v>8243</v>
      </c>
      <c r="J221" s="189">
        <v>5.76</v>
      </c>
      <c r="K221" s="154">
        <v>11.89</v>
      </c>
      <c r="L221" s="154" t="s">
        <v>3650</v>
      </c>
      <c r="M221" s="170"/>
      <c r="N221" s="154" t="s">
        <v>8695</v>
      </c>
      <c r="O221" s="170" t="str">
        <f t="array" ref="O221">IFERROR(
VLOOKUP(
TRIM(CLEAN(
INDEX(REPORTE_DROPI!K:K,
MATCH(T221, REPORTE_DROPI!B:B, 0)
))),
{
TRIM(CLEAN(MAPA_ESTADOS!A:A)) ,
MAPA_ESTADOS!B:B
},
2,
FALSE
),
"REVISAR"
)</f>
        <v>ENTREGADO</v>
      </c>
      <c r="P221" s="154" t="s">
        <v>3655</v>
      </c>
      <c r="Q221" s="191"/>
      <c r="R221" s="170"/>
      <c r="S221" s="170"/>
      <c r="T221" s="154">
        <f t="array" ref="T221">IFERROR(
INDEX(REPORTE_DROPI!B:B,
MATCH(
CLEAN(TRIM(C221)),
CLEAN(TRIM(REPORTE_DROPI!E:E)),
0
)
),
""
)
</f>
        <v>4798925</v>
      </c>
      <c r="U221" s="154" t="s">
        <v>8696</v>
      </c>
      <c r="V221" s="192"/>
      <c r="W221" s="192"/>
      <c r="X221" s="192"/>
      <c r="Y221" s="192"/>
      <c r="Z221" s="192"/>
    </row>
    <row r="222" ht="22.5" customHeight="1">
      <c r="A222" s="154"/>
      <c r="B222" s="170">
        <v>46095.0</v>
      </c>
      <c r="C222" s="154" t="s">
        <v>8697</v>
      </c>
      <c r="D222" s="154" t="str">
        <f>IFERROR(__xludf.DUMMYFUNCTION("""COMPUTED_VALUE"""),"FilmPro®")</f>
        <v>FilmPro®</v>
      </c>
      <c r="E222" s="188" t="s">
        <v>3650</v>
      </c>
      <c r="F222" s="189">
        <v>1.0</v>
      </c>
      <c r="G222" s="190" t="s">
        <v>3650</v>
      </c>
      <c r="H222" s="154" t="s">
        <v>3727</v>
      </c>
      <c r="I222" s="154" t="s">
        <v>8320</v>
      </c>
      <c r="J222" s="189" t="s">
        <v>3650</v>
      </c>
      <c r="K222" s="154"/>
      <c r="L222" s="154" t="s">
        <v>3650</v>
      </c>
      <c r="M222" s="170"/>
      <c r="N222" s="154" t="s">
        <v>8698</v>
      </c>
      <c r="O222" s="170" t="str">
        <f t="array" ref="O222">IFERROR(
VLOOKUP(
TRIM(CLEAN(
INDEX(REPORTE_DROPI!K:K,
MATCH(T222, REPORTE_DROPI!B:B, 0)
))),
{
TRIM(CLEAN(MAPA_ESTADOS!A:A)) ,
MAPA_ESTADOS!B:B
},
2,
FALSE
),
"REVISAR"
)</f>
        <v>PROCESO</v>
      </c>
      <c r="P222" s="208" t="s">
        <v>5820</v>
      </c>
      <c r="Q222" s="191"/>
      <c r="R222" s="170"/>
      <c r="S222" s="170"/>
      <c r="T222" s="154">
        <f t="array" ref="T222">IFERROR(
INDEX(REPORTE_DROPI!B:B,
MATCH(
CLEAN(TRIM(C222)),
CLEAN(TRIM(REPORTE_DROPI!E:E)),
0
)
),
""
)
</f>
        <v>4800472</v>
      </c>
      <c r="U222" s="154" t="s">
        <v>8699</v>
      </c>
      <c r="V222" s="192"/>
      <c r="W222" s="192"/>
      <c r="X222" s="192"/>
      <c r="Y222" s="192"/>
      <c r="Z222" s="192"/>
    </row>
    <row r="223" ht="22.5" customHeight="1">
      <c r="A223" s="154"/>
      <c r="B223" s="170">
        <v>46095.0</v>
      </c>
      <c r="C223" s="154" t="s">
        <v>8700</v>
      </c>
      <c r="D223" s="154" t="str">
        <f>IFERROR(__xludf.DUMMYFUNCTION("""COMPUTED_VALUE"""),"FilmPro®")</f>
        <v>FilmPro®</v>
      </c>
      <c r="E223" s="188" t="s">
        <v>3650</v>
      </c>
      <c r="F223" s="189">
        <v>1.0</v>
      </c>
      <c r="G223" s="190" t="s">
        <v>3650</v>
      </c>
      <c r="H223" s="154" t="s">
        <v>3727</v>
      </c>
      <c r="I223" s="154" t="s">
        <v>8306</v>
      </c>
      <c r="J223" s="189" t="s">
        <v>3650</v>
      </c>
      <c r="K223" s="154"/>
      <c r="L223" s="154" t="s">
        <v>3650</v>
      </c>
      <c r="M223" s="170"/>
      <c r="N223" s="154" t="s">
        <v>8701</v>
      </c>
      <c r="O223" s="170" t="str">
        <f t="array" ref="O223">IFERROR(
VLOOKUP(
TRIM(CLEAN(
INDEX(REPORTE_DROPI!K:K,
MATCH(T223, REPORTE_DROPI!B:B, 0)
))),
{
TRIM(CLEAN(MAPA_ESTADOS!A:A)) ,
MAPA_ESTADOS!B:B
},
2,
FALSE
),
"REVISAR"
)</f>
        <v>CANCELADO</v>
      </c>
      <c r="P223" s="205" t="s">
        <v>8686</v>
      </c>
      <c r="Q223" s="191"/>
      <c r="R223" s="170"/>
      <c r="S223" s="170"/>
      <c r="T223" s="154">
        <f t="array" ref="T223">IFERROR(
INDEX(REPORTE_DROPI!B:B,
MATCH(
CLEAN(TRIM(C223)),
CLEAN(TRIM(REPORTE_DROPI!E:E)),
0
)
),
""
)
</f>
        <v>4801475</v>
      </c>
      <c r="U223" s="154" t="s">
        <v>8702</v>
      </c>
      <c r="V223" s="192"/>
      <c r="W223" s="192"/>
      <c r="X223" s="192"/>
      <c r="Y223" s="192"/>
      <c r="Z223" s="192"/>
    </row>
    <row r="224" ht="22.5" customHeight="1">
      <c r="A224" s="154"/>
      <c r="B224" s="170">
        <v>46095.0</v>
      </c>
      <c r="C224" s="154" t="s">
        <v>8703</v>
      </c>
      <c r="D224" s="154" t="str">
        <f>IFERROR(__xludf.DUMMYFUNCTION("""COMPUTED_VALUE"""),"FilmPro®")</f>
        <v>FilmPro®</v>
      </c>
      <c r="E224" s="188">
        <v>2.35</v>
      </c>
      <c r="F224" s="189">
        <v>1.0</v>
      </c>
      <c r="G224" s="190">
        <v>20.0</v>
      </c>
      <c r="H224" s="154" t="s">
        <v>3727</v>
      </c>
      <c r="I224" s="154" t="s">
        <v>8247</v>
      </c>
      <c r="J224" s="189">
        <v>4.15</v>
      </c>
      <c r="K224" s="154">
        <v>13.5</v>
      </c>
      <c r="L224" s="154" t="s">
        <v>3650</v>
      </c>
      <c r="M224" s="170"/>
      <c r="N224" s="154" t="s">
        <v>8704</v>
      </c>
      <c r="O224" s="170" t="str">
        <f t="array" ref="O224">IFERROR(
VLOOKUP(
TRIM(CLEAN(
INDEX(REPORTE_DROPI!K:K,
MATCH(T224, REPORTE_DROPI!B:B, 0)
))),
{
TRIM(CLEAN(MAPA_ESTADOS!A:A)) ,
MAPA_ESTADOS!B:B
},
2,
FALSE
),
"REVISAR"
)</f>
        <v>ENTREGADO</v>
      </c>
      <c r="P224" s="154" t="s">
        <v>3655</v>
      </c>
      <c r="Q224" s="191"/>
      <c r="R224" s="170"/>
      <c r="S224" s="170"/>
      <c r="T224" s="154">
        <f t="array" ref="T224">IFERROR(
INDEX(REPORTE_DROPI!B:B,
MATCH(
CLEAN(TRIM(C224)),
CLEAN(TRIM(REPORTE_DROPI!E:E)),
0
)
),
""
)
</f>
        <v>4801489</v>
      </c>
      <c r="U224" s="154" t="s">
        <v>8705</v>
      </c>
      <c r="V224" s="192"/>
      <c r="W224" s="192"/>
      <c r="X224" s="192"/>
      <c r="Y224" s="192"/>
      <c r="Z224" s="192"/>
    </row>
    <row r="225" ht="22.5" customHeight="1">
      <c r="A225" s="154"/>
      <c r="B225" s="170">
        <v>46095.0</v>
      </c>
      <c r="C225" s="154" t="s">
        <v>8706</v>
      </c>
      <c r="D225" s="154" t="str">
        <f>IFERROR(__xludf.DUMMYFUNCTION("""COMPUTED_VALUE"""),"FilmPro®")</f>
        <v>FilmPro®</v>
      </c>
      <c r="E225" s="188">
        <v>2.35</v>
      </c>
      <c r="F225" s="189">
        <v>1.0</v>
      </c>
      <c r="G225" s="190">
        <v>20.0</v>
      </c>
      <c r="H225" s="154" t="s">
        <v>3727</v>
      </c>
      <c r="I225" s="154" t="s">
        <v>8265</v>
      </c>
      <c r="J225" s="189">
        <v>5.76</v>
      </c>
      <c r="K225" s="154">
        <v>11.89</v>
      </c>
      <c r="L225" s="154" t="s">
        <v>3650</v>
      </c>
      <c r="M225" s="170"/>
      <c r="N225" s="154" t="s">
        <v>8707</v>
      </c>
      <c r="O225" s="170" t="str">
        <f t="array" ref="O225">IFERROR(
VLOOKUP(
TRIM(CLEAN(
INDEX(REPORTE_DROPI!K:K,
MATCH(T225, REPORTE_DROPI!B:B, 0)
))),
{
TRIM(CLEAN(MAPA_ESTADOS!A:A)) ,
MAPA_ESTADOS!B:B
},
2,
FALSE
),
"REVISAR"
)</f>
        <v>ENTREGADO</v>
      </c>
      <c r="P225" s="154" t="s">
        <v>8708</v>
      </c>
      <c r="Q225" s="191"/>
      <c r="R225" s="170"/>
      <c r="S225" s="170"/>
      <c r="T225" s="154">
        <f t="array" ref="T225">IFERROR(
INDEX(REPORTE_DROPI!B:B,
MATCH(
CLEAN(TRIM(C225)),
CLEAN(TRIM(REPORTE_DROPI!E:E)),
0
)
),
""
)
</f>
        <v>4802385</v>
      </c>
      <c r="U225" s="154" t="s">
        <v>8709</v>
      </c>
      <c r="V225" s="192"/>
      <c r="W225" s="192"/>
      <c r="X225" s="192"/>
      <c r="Y225" s="192"/>
      <c r="Z225" s="192"/>
    </row>
    <row r="226" ht="22.5" customHeight="1">
      <c r="A226" s="154"/>
      <c r="B226" s="170">
        <v>46095.0</v>
      </c>
      <c r="C226" s="154" t="s">
        <v>8710</v>
      </c>
      <c r="D226" s="154" t="str">
        <f>IFERROR(__xludf.DUMMYFUNCTION("""COMPUTED_VALUE"""),"FilmPro®")</f>
        <v>FilmPro®</v>
      </c>
      <c r="E226" s="188">
        <v>7.05</v>
      </c>
      <c r="F226" s="189">
        <v>3.0</v>
      </c>
      <c r="G226" s="190">
        <v>30.0</v>
      </c>
      <c r="H226" s="154" t="s">
        <v>3727</v>
      </c>
      <c r="I226" s="154" t="s">
        <v>8265</v>
      </c>
      <c r="J226" s="189">
        <v>6.16</v>
      </c>
      <c r="K226" s="154">
        <v>16.79</v>
      </c>
      <c r="L226" s="154" t="s">
        <v>3650</v>
      </c>
      <c r="M226" s="170"/>
      <c r="N226" s="154" t="s">
        <v>8711</v>
      </c>
      <c r="O226" s="170" t="str">
        <f t="array" ref="O226">IFERROR(
VLOOKUP(
TRIM(CLEAN(
INDEX(REPORTE_DROPI!K:K,
MATCH(T226, REPORTE_DROPI!B:B, 0)
))),
{
TRIM(CLEAN(MAPA_ESTADOS!A:A)) ,
MAPA_ESTADOS!B:B
},
2,
FALSE
),
"REVISAR"
)</f>
        <v>ENTREGADO</v>
      </c>
      <c r="P226" s="154" t="s">
        <v>3655</v>
      </c>
      <c r="Q226" s="191"/>
      <c r="R226" s="170"/>
      <c r="S226" s="170"/>
      <c r="T226" s="154">
        <f t="array" ref="T226">IFERROR(
INDEX(REPORTE_DROPI!B:B,
MATCH(
CLEAN(TRIM(C226)),
CLEAN(TRIM(REPORTE_DROPI!E:E)),
0
)
),
""
)
</f>
        <v>4802729</v>
      </c>
      <c r="U226" s="154" t="s">
        <v>8712</v>
      </c>
      <c r="V226" s="192"/>
      <c r="W226" s="192"/>
      <c r="X226" s="192"/>
      <c r="Y226" s="192"/>
      <c r="Z226" s="192"/>
    </row>
    <row r="227" ht="22.5" customHeight="1">
      <c r="A227" s="154"/>
      <c r="B227" s="170">
        <v>46095.0</v>
      </c>
      <c r="C227" s="154" t="s">
        <v>8713</v>
      </c>
      <c r="D227" s="154" t="str">
        <f>IFERROR(__xludf.DUMMYFUNCTION("""COMPUTED_VALUE"""),"FilmPro®")</f>
        <v>FilmPro®</v>
      </c>
      <c r="E227" s="188" t="s">
        <v>3650</v>
      </c>
      <c r="F227" s="189">
        <v>1.0</v>
      </c>
      <c r="G227" s="190" t="s">
        <v>3650</v>
      </c>
      <c r="H227" s="154" t="s">
        <v>3727</v>
      </c>
      <c r="I227" s="154" t="s">
        <v>8243</v>
      </c>
      <c r="J227" s="189" t="s">
        <v>3650</v>
      </c>
      <c r="K227" s="154"/>
      <c r="L227" s="154" t="s">
        <v>3650</v>
      </c>
      <c r="M227" s="170"/>
      <c r="N227" s="154" t="s">
        <v>8714</v>
      </c>
      <c r="O227" s="170" t="str">
        <f t="array" ref="O227">IFERROR(
VLOOKUP(
TRIM(CLEAN(
INDEX(REPORTE_DROPI!K:K,
MATCH(T227, REPORTE_DROPI!B:B, 0)
))),
{
TRIM(CLEAN(MAPA_ESTADOS!A:A)) ,
MAPA_ESTADOS!B:B
},
2,
FALSE
),
"REVISAR"
)</f>
        <v>NOVEDAD</v>
      </c>
      <c r="P227" s="154" t="s">
        <v>3655</v>
      </c>
      <c r="Q227" s="191"/>
      <c r="R227" s="170"/>
      <c r="S227" s="170"/>
      <c r="T227" s="154">
        <f t="array" ref="T227">IFERROR(
INDEX(REPORTE_DROPI!B:B,
MATCH(
CLEAN(TRIM(C227)),
CLEAN(TRIM(REPORTE_DROPI!E:E)),
0
)
),
""
)
</f>
        <v>4802747</v>
      </c>
      <c r="U227" s="154" t="s">
        <v>8715</v>
      </c>
      <c r="V227" s="192"/>
      <c r="W227" s="192"/>
      <c r="X227" s="192"/>
      <c r="Y227" s="192"/>
      <c r="Z227" s="192"/>
    </row>
    <row r="228" ht="22.5" customHeight="1">
      <c r="A228" s="154"/>
      <c r="B228" s="170">
        <v>46095.0</v>
      </c>
      <c r="C228" s="154" t="s">
        <v>8716</v>
      </c>
      <c r="D228" s="154" t="str">
        <f>IFERROR(__xludf.DUMMYFUNCTION("""COMPUTED_VALUE"""),"FilmPro®")</f>
        <v>FilmPro®</v>
      </c>
      <c r="E228" s="188" t="s">
        <v>3650</v>
      </c>
      <c r="F228" s="189">
        <v>3.0</v>
      </c>
      <c r="G228" s="190" t="s">
        <v>3650</v>
      </c>
      <c r="H228" s="154" t="s">
        <v>3727</v>
      </c>
      <c r="I228" s="154" t="s">
        <v>8360</v>
      </c>
      <c r="J228" s="189" t="s">
        <v>3650</v>
      </c>
      <c r="K228" s="154"/>
      <c r="L228" s="154" t="s">
        <v>3650</v>
      </c>
      <c r="M228" s="170"/>
      <c r="N228" s="154" t="s">
        <v>8717</v>
      </c>
      <c r="O228" s="170" t="str">
        <f t="array" ref="O228">IFERROR(
VLOOKUP(
TRIM(CLEAN(
INDEX(REPORTE_DROPI!K:K,
MATCH(T228, REPORTE_DROPI!B:B, 0)
))),
{
TRIM(CLEAN(MAPA_ESTADOS!A:A)) ,
MAPA_ESTADOS!B:B
},
2,
FALSE
),
"REVISAR"
)</f>
        <v>PROCESO</v>
      </c>
      <c r="P228" s="154" t="s">
        <v>3655</v>
      </c>
      <c r="Q228" s="191"/>
      <c r="R228" s="170"/>
      <c r="S228" s="170"/>
      <c r="T228" s="154">
        <f t="array" ref="T228">IFERROR(
INDEX(REPORTE_DROPI!B:B,
MATCH(
CLEAN(TRIM(C228)),
CLEAN(TRIM(REPORTE_DROPI!E:E)),
0
)
),
""
)
</f>
        <v>4848259</v>
      </c>
      <c r="U228" s="154" t="s">
        <v>8718</v>
      </c>
      <c r="V228" s="192"/>
      <c r="W228" s="192"/>
      <c r="X228" s="192"/>
      <c r="Y228" s="192"/>
      <c r="Z228" s="192"/>
    </row>
    <row r="229" ht="22.5" customHeight="1">
      <c r="A229" s="154"/>
      <c r="B229" s="170">
        <v>46095.0</v>
      </c>
      <c r="C229" s="154" t="s">
        <v>8719</v>
      </c>
      <c r="D229" s="154" t="str">
        <f>IFERROR(__xludf.DUMMYFUNCTION("""COMPUTED_VALUE"""),"FilmPro®")</f>
        <v>FilmPro®</v>
      </c>
      <c r="E229" s="188">
        <v>7.05</v>
      </c>
      <c r="F229" s="189">
        <v>3.0</v>
      </c>
      <c r="G229" s="190">
        <v>30.0</v>
      </c>
      <c r="H229" s="154" t="s">
        <v>3727</v>
      </c>
      <c r="I229" s="154" t="s">
        <v>8243</v>
      </c>
      <c r="J229" s="189">
        <v>6.16</v>
      </c>
      <c r="K229" s="154">
        <v>16.79</v>
      </c>
      <c r="L229" s="154" t="s">
        <v>3650</v>
      </c>
      <c r="M229" s="170"/>
      <c r="N229" s="154" t="s">
        <v>8720</v>
      </c>
      <c r="O229" s="170" t="str">
        <f t="array" ref="O229">IFERROR(
VLOOKUP(
TRIM(CLEAN(
INDEX(REPORTE_DROPI!K:K,
MATCH(T229, REPORTE_DROPI!B:B, 0)
))),
{
TRIM(CLEAN(MAPA_ESTADOS!A:A)) ,
MAPA_ESTADOS!B:B
},
2,
FALSE
),
"REVISAR"
)</f>
        <v>ENTREGADO</v>
      </c>
      <c r="P229" s="154" t="s">
        <v>3655</v>
      </c>
      <c r="Q229" s="191"/>
      <c r="R229" s="170"/>
      <c r="S229" s="170"/>
      <c r="T229" s="154">
        <f t="array" ref="T229">IFERROR(
INDEX(REPORTE_DROPI!B:B,
MATCH(
CLEAN(TRIM(C229)),
CLEAN(TRIM(REPORTE_DROPI!E:E)),
0
)
),
""
)
</f>
        <v>4803679</v>
      </c>
      <c r="U229" s="154" t="s">
        <v>8721</v>
      </c>
      <c r="V229" s="192"/>
      <c r="W229" s="192"/>
      <c r="X229" s="192"/>
      <c r="Y229" s="192"/>
      <c r="Z229" s="192"/>
    </row>
    <row r="230" ht="22.5" customHeight="1">
      <c r="A230" s="154"/>
      <c r="B230" s="170">
        <v>46096.0</v>
      </c>
      <c r="C230" s="154" t="s">
        <v>8722</v>
      </c>
      <c r="D230" s="154" t="str">
        <f>IFERROR(__xludf.DUMMYFUNCTION("""COMPUTED_VALUE"""),"FilmPro®")</f>
        <v>FilmPro®</v>
      </c>
      <c r="E230" s="188">
        <v>4.7</v>
      </c>
      <c r="F230" s="189">
        <v>2.0</v>
      </c>
      <c r="G230" s="190">
        <v>25.0</v>
      </c>
      <c r="H230" s="154" t="s">
        <v>3727</v>
      </c>
      <c r="I230" s="154" t="s">
        <v>8247</v>
      </c>
      <c r="J230" s="189">
        <v>4.72</v>
      </c>
      <c r="K230" s="154">
        <v>15.58</v>
      </c>
      <c r="L230" s="154" t="s">
        <v>3650</v>
      </c>
      <c r="M230" s="170"/>
      <c r="N230" s="154" t="s">
        <v>8723</v>
      </c>
      <c r="O230" s="170" t="str">
        <f t="array" ref="O230">IFERROR(
VLOOKUP(
TRIM(CLEAN(
INDEX(REPORTE_DROPI!K:K,
MATCH(T230, REPORTE_DROPI!B:B, 0)
))),
{
TRIM(CLEAN(MAPA_ESTADOS!A:A)) ,
MAPA_ESTADOS!B:B
},
2,
FALSE
),
"REVISAR"
)</f>
        <v>ENTREGADO</v>
      </c>
      <c r="P230" s="154" t="s">
        <v>3655</v>
      </c>
      <c r="Q230" s="191"/>
      <c r="R230" s="170"/>
      <c r="S230" s="170"/>
      <c r="T230" s="154">
        <f t="array" ref="T230">IFERROR(
INDEX(REPORTE_DROPI!B:B,
MATCH(
CLEAN(TRIM(C230)),
CLEAN(TRIM(REPORTE_DROPI!E:E)),
0
)
),
""
)
</f>
        <v>4804225</v>
      </c>
      <c r="U230" s="154" t="s">
        <v>8724</v>
      </c>
      <c r="V230" s="192"/>
      <c r="W230" s="192"/>
      <c r="X230" s="192"/>
      <c r="Y230" s="192"/>
      <c r="Z230" s="192"/>
    </row>
    <row r="231" ht="22.5" customHeight="1">
      <c r="A231" s="154"/>
      <c r="B231" s="170">
        <v>46096.0</v>
      </c>
      <c r="C231" s="154" t="s">
        <v>8725</v>
      </c>
      <c r="D231" s="154" t="str">
        <f>IFERROR(__xludf.DUMMYFUNCTION("""COMPUTED_VALUE"""),"FilmPro®")</f>
        <v>FilmPro®</v>
      </c>
      <c r="E231" s="188" t="s">
        <v>3650</v>
      </c>
      <c r="F231" s="189">
        <v>2.0</v>
      </c>
      <c r="G231" s="190" t="s">
        <v>3650</v>
      </c>
      <c r="H231" s="154" t="s">
        <v>3727</v>
      </c>
      <c r="I231" s="154" t="s">
        <v>8265</v>
      </c>
      <c r="J231" s="189" t="s">
        <v>3650</v>
      </c>
      <c r="K231" s="154"/>
      <c r="L231" s="154" t="s">
        <v>3650</v>
      </c>
      <c r="M231" s="170"/>
      <c r="N231" s="154" t="s">
        <v>8726</v>
      </c>
      <c r="O231" s="170" t="str">
        <f t="array" ref="O231">IFERROR(
VLOOKUP(
TRIM(CLEAN(
INDEX(REPORTE_DROPI!K:K,
MATCH(T231, REPORTE_DROPI!B:B, 0)
))),
{
TRIM(CLEAN(MAPA_ESTADOS!A:A)) ,
MAPA_ESTADOS!B:B
},
2,
FALSE
),
"REVISAR"
)</f>
        <v>PROCESO</v>
      </c>
      <c r="P231" s="154" t="s">
        <v>3655</v>
      </c>
      <c r="Q231" s="191"/>
      <c r="R231" s="170"/>
      <c r="S231" s="170"/>
      <c r="T231" s="154">
        <f t="array" ref="T231">IFERROR(
INDEX(REPORTE_DROPI!B:B,
MATCH(
CLEAN(TRIM(C231)),
CLEAN(TRIM(REPORTE_DROPI!E:E)),
0
)
),
""
)
</f>
        <v>4804433</v>
      </c>
      <c r="U231" s="154" t="s">
        <v>8727</v>
      </c>
      <c r="V231" s="192"/>
      <c r="W231" s="192"/>
      <c r="X231" s="192"/>
      <c r="Y231" s="192"/>
      <c r="Z231" s="192"/>
    </row>
    <row r="232" ht="22.5" customHeight="1">
      <c r="A232" s="154"/>
      <c r="B232" s="170">
        <v>46096.0</v>
      </c>
      <c r="C232" s="154" t="s">
        <v>8728</v>
      </c>
      <c r="D232" s="154" t="str">
        <f>IFERROR(__xludf.DUMMYFUNCTION("""COMPUTED_VALUE"""),"FilmPro®")</f>
        <v>FilmPro®</v>
      </c>
      <c r="E232" s="188">
        <v>7.05</v>
      </c>
      <c r="F232" s="189">
        <v>3.0</v>
      </c>
      <c r="G232" s="190">
        <v>30.0</v>
      </c>
      <c r="H232" s="154" t="s">
        <v>3727</v>
      </c>
      <c r="I232" s="154" t="s">
        <v>8243</v>
      </c>
      <c r="J232" s="189">
        <v>6.16</v>
      </c>
      <c r="K232" s="154">
        <v>16.79</v>
      </c>
      <c r="L232" s="154" t="s">
        <v>3650</v>
      </c>
      <c r="M232" s="170"/>
      <c r="N232" s="154" t="s">
        <v>8729</v>
      </c>
      <c r="O232" s="170" t="str">
        <f t="array" ref="O232">IFERROR(
VLOOKUP(
TRIM(CLEAN(
INDEX(REPORTE_DROPI!K:K,
MATCH(T232, REPORTE_DROPI!B:B, 0)
))),
{
TRIM(CLEAN(MAPA_ESTADOS!A:A)) ,
MAPA_ESTADOS!B:B
},
2,
FALSE
),
"REVISAR"
)</f>
        <v>ENTREGADO</v>
      </c>
      <c r="P232" s="154" t="s">
        <v>3655</v>
      </c>
      <c r="Q232" s="191"/>
      <c r="R232" s="170"/>
      <c r="S232" s="170"/>
      <c r="T232" s="154">
        <f t="array" ref="T232">IFERROR(
INDEX(REPORTE_DROPI!B:B,
MATCH(
CLEAN(TRIM(C232)),
CLEAN(TRIM(REPORTE_DROPI!E:E)),
0
)
),
""
)
</f>
        <v>4804478</v>
      </c>
      <c r="U232" s="194">
        <v>1.57100110137E11</v>
      </c>
      <c r="V232" s="192"/>
      <c r="W232" s="192"/>
      <c r="X232" s="192"/>
      <c r="Y232" s="192"/>
      <c r="Z232" s="192"/>
    </row>
    <row r="233" ht="22.5" customHeight="1">
      <c r="A233" s="154"/>
      <c r="B233" s="170">
        <v>46096.0</v>
      </c>
      <c r="C233" s="154" t="s">
        <v>8730</v>
      </c>
      <c r="D233" s="154" t="str">
        <f>IFERROR(__xludf.DUMMYFUNCTION("""COMPUTED_VALUE"""),"FilmPro®")</f>
        <v>FilmPro®</v>
      </c>
      <c r="E233" s="188">
        <v>7.05</v>
      </c>
      <c r="F233" s="189">
        <v>3.0</v>
      </c>
      <c r="G233" s="190">
        <v>30.0</v>
      </c>
      <c r="H233" s="154" t="s">
        <v>3727</v>
      </c>
      <c r="I233" s="154" t="s">
        <v>8306</v>
      </c>
      <c r="J233" s="189">
        <v>6.16</v>
      </c>
      <c r="K233" s="154">
        <v>16.79</v>
      </c>
      <c r="L233" s="154" t="s">
        <v>3650</v>
      </c>
      <c r="M233" s="170"/>
      <c r="N233" s="154" t="s">
        <v>8731</v>
      </c>
      <c r="O233" s="170" t="str">
        <f t="array" ref="O233">IFERROR(
VLOOKUP(
TRIM(CLEAN(
INDEX(REPORTE_DROPI!K:K,
MATCH(T233, REPORTE_DROPI!B:B, 0)
))),
{
TRIM(CLEAN(MAPA_ESTADOS!A:A)) ,
MAPA_ESTADOS!B:B
},
2,
FALSE
),
"REVISAR"
)</f>
        <v>ENTREGADO</v>
      </c>
      <c r="P233" s="154" t="s">
        <v>3655</v>
      </c>
      <c r="Q233" s="191"/>
      <c r="R233" s="170"/>
      <c r="S233" s="170"/>
      <c r="T233" s="154">
        <f t="array" ref="T233">IFERROR(
INDEX(REPORTE_DROPI!B:B,
MATCH(
CLEAN(TRIM(C233)),
CLEAN(TRIM(REPORTE_DROPI!E:E)),
0
)
),
""
)
</f>
        <v>4804515</v>
      </c>
      <c r="U233" s="154" t="s">
        <v>8732</v>
      </c>
      <c r="V233" s="192"/>
      <c r="W233" s="192"/>
      <c r="X233" s="192"/>
      <c r="Y233" s="192"/>
      <c r="Z233" s="192"/>
    </row>
    <row r="234" ht="22.5" customHeight="1">
      <c r="A234" s="154"/>
      <c r="B234" s="170">
        <v>46096.0</v>
      </c>
      <c r="C234" s="154" t="s">
        <v>7192</v>
      </c>
      <c r="D234" s="154" t="str">
        <f>IFERROR(__xludf.DUMMYFUNCTION("""COMPUTED_VALUE"""),"FilmPro®")</f>
        <v>FilmPro®</v>
      </c>
      <c r="E234" s="188" t="s">
        <v>3650</v>
      </c>
      <c r="F234" s="189">
        <v>2.0</v>
      </c>
      <c r="G234" s="190" t="s">
        <v>3650</v>
      </c>
      <c r="H234" s="154" t="s">
        <v>3727</v>
      </c>
      <c r="I234" s="154" t="s">
        <v>8360</v>
      </c>
      <c r="J234" s="189" t="s">
        <v>3650</v>
      </c>
      <c r="K234" s="154"/>
      <c r="L234" s="154" t="s">
        <v>3650</v>
      </c>
      <c r="M234" s="170"/>
      <c r="N234" s="154" t="s">
        <v>8733</v>
      </c>
      <c r="O234" s="170" t="str">
        <f t="array" ref="O234">IFERROR(
VLOOKUP(
TRIM(CLEAN(
INDEX(REPORTE_DROPI!K:K,
MATCH(T234, REPORTE_DROPI!B:B, 0)
))),
{
TRIM(CLEAN(MAPA_ESTADOS!A:A)) ,
MAPA_ESTADOS!B:B
},
2,
FALSE
),
"REVISAR"
)</f>
        <v>CANCELADO</v>
      </c>
      <c r="P234" s="205" t="s">
        <v>8686</v>
      </c>
      <c r="Q234" s="191"/>
      <c r="R234" s="170"/>
      <c r="S234" s="170"/>
      <c r="T234" s="154">
        <f t="array" ref="T234">IFERROR(
INDEX(REPORTE_DROPI!B:B,
MATCH(
CLEAN(TRIM(C234)),
CLEAN(TRIM(REPORTE_DROPI!E:E)),
0
)
),
""
)
</f>
        <v>4804739</v>
      </c>
      <c r="U234" s="154" t="s">
        <v>8734</v>
      </c>
      <c r="V234" s="192"/>
      <c r="W234" s="192"/>
      <c r="X234" s="192"/>
      <c r="Y234" s="192"/>
      <c r="Z234" s="192"/>
    </row>
    <row r="235" ht="22.5" customHeight="1">
      <c r="A235" s="154"/>
      <c r="B235" s="170">
        <v>46096.0</v>
      </c>
      <c r="C235" s="154" t="s">
        <v>8735</v>
      </c>
      <c r="D235" s="154" t="str">
        <f>IFERROR(__xludf.DUMMYFUNCTION("""COMPUTED_VALUE"""),"FilmPro®")</f>
        <v>FilmPro®</v>
      </c>
      <c r="E235" s="188" t="s">
        <v>3650</v>
      </c>
      <c r="F235" s="189">
        <v>2.0</v>
      </c>
      <c r="G235" s="190" t="s">
        <v>3650</v>
      </c>
      <c r="H235" s="154" t="s">
        <v>3727</v>
      </c>
      <c r="I235" s="154" t="s">
        <v>8653</v>
      </c>
      <c r="J235" s="189" t="s">
        <v>3650</v>
      </c>
      <c r="K235" s="154"/>
      <c r="L235" s="154" t="s">
        <v>3650</v>
      </c>
      <c r="M235" s="170"/>
      <c r="N235" s="154" t="s">
        <v>8736</v>
      </c>
      <c r="O235" s="170" t="str">
        <f t="array" ref="O235">IFERROR(
VLOOKUP(
TRIM(CLEAN(
INDEX(REPORTE_DROPI!K:K,
MATCH(T235, REPORTE_DROPI!B:B, 0)
))),
{
TRIM(CLEAN(MAPA_ESTADOS!A:A)) ,
MAPA_ESTADOS!B:B
},
2,
FALSE
),
"REVISAR"
)</f>
        <v>REVISAR</v>
      </c>
      <c r="P235" s="209" t="s">
        <v>3655</v>
      </c>
      <c r="Q235" s="191"/>
      <c r="R235" s="170"/>
      <c r="S235" s="170"/>
      <c r="T235" s="154">
        <f t="array" ref="T235">IFERROR(
INDEX(REPORTE_DROPI!B:B,
MATCH(
CLEAN(TRIM(C235)),
CLEAN(TRIM(REPORTE_DROPI!E:E)),
0
)
),
""
)
</f>
        <v>4818937</v>
      </c>
      <c r="U235" s="194">
        <v>1.2320023325E11</v>
      </c>
      <c r="V235" s="192"/>
      <c r="W235" s="192"/>
      <c r="X235" s="192"/>
      <c r="Y235" s="192"/>
      <c r="Z235" s="192"/>
    </row>
    <row r="236" ht="22.5" customHeight="1">
      <c r="A236" s="154"/>
      <c r="B236" s="170">
        <v>46096.0</v>
      </c>
      <c r="C236" s="154" t="s">
        <v>8737</v>
      </c>
      <c r="D236" s="154" t="str">
        <f>IFERROR(__xludf.DUMMYFUNCTION("""COMPUTED_VALUE"""),"FilmPro®")</f>
        <v>FilmPro®</v>
      </c>
      <c r="E236" s="188" t="s">
        <v>3650</v>
      </c>
      <c r="F236" s="189">
        <v>3.0</v>
      </c>
      <c r="G236" s="190" t="s">
        <v>3650</v>
      </c>
      <c r="H236" s="154" t="s">
        <v>3727</v>
      </c>
      <c r="I236" s="154" t="s">
        <v>8243</v>
      </c>
      <c r="J236" s="189" t="s">
        <v>3650</v>
      </c>
      <c r="K236" s="154"/>
      <c r="L236" s="154">
        <v>0.0</v>
      </c>
      <c r="M236" s="170"/>
      <c r="N236" s="154" t="s">
        <v>8738</v>
      </c>
      <c r="O236" s="170" t="str">
        <f t="array" ref="O236">IFERROR(
VLOOKUP(
TRIM(CLEAN(
INDEX(REPORTE_DROPI!K:K,
MATCH(T236, REPORTE_DROPI!B:B, 0)
))),
{
TRIM(CLEAN(MAPA_ESTADOS!A:A)) ,
MAPA_ESTADOS!B:B
},
2,
FALSE
),
"REVISAR"
)</f>
        <v>DEVOLUCION</v>
      </c>
      <c r="P236" s="154" t="s">
        <v>3655</v>
      </c>
      <c r="Q236" s="191"/>
      <c r="R236" s="170"/>
      <c r="S236" s="170"/>
      <c r="T236" s="154">
        <f t="array" ref="T236">IFERROR(
INDEX(REPORTE_DROPI!B:B,
MATCH(
CLEAN(TRIM(C236)),
CLEAN(TRIM(REPORTE_DROPI!E:E)),
0
)
),
""
)
</f>
        <v>4804813</v>
      </c>
      <c r="U236" s="154" t="s">
        <v>8739</v>
      </c>
      <c r="V236" s="192"/>
      <c r="W236" s="192"/>
      <c r="X236" s="192"/>
      <c r="Y236" s="192"/>
      <c r="Z236" s="192"/>
    </row>
    <row r="237" ht="22.5" customHeight="1">
      <c r="A237" s="154"/>
      <c r="B237" s="170">
        <v>46096.0</v>
      </c>
      <c r="C237" s="154" t="s">
        <v>8740</v>
      </c>
      <c r="D237" s="154" t="str">
        <f>IFERROR(__xludf.DUMMYFUNCTION("""COMPUTED_VALUE"""),"FilmPro®")</f>
        <v>FilmPro®</v>
      </c>
      <c r="E237" s="188">
        <v>4.7</v>
      </c>
      <c r="F237" s="189">
        <v>2.0</v>
      </c>
      <c r="G237" s="190">
        <v>25.0</v>
      </c>
      <c r="H237" s="154" t="s">
        <v>3727</v>
      </c>
      <c r="I237" s="154" t="s">
        <v>8243</v>
      </c>
      <c r="J237" s="189">
        <v>5.96</v>
      </c>
      <c r="K237" s="154">
        <v>14.34</v>
      </c>
      <c r="L237" s="154" t="s">
        <v>3650</v>
      </c>
      <c r="M237" s="170"/>
      <c r="N237" s="154" t="s">
        <v>8741</v>
      </c>
      <c r="O237" s="170" t="str">
        <f t="array" ref="O237">IFERROR(
VLOOKUP(
TRIM(CLEAN(
INDEX(REPORTE_DROPI!K:K,
MATCH(T237, REPORTE_DROPI!B:B, 0)
))),
{
TRIM(CLEAN(MAPA_ESTADOS!A:A)) ,
MAPA_ESTADOS!B:B
},
2,
FALSE
),
"REVISAR"
)</f>
        <v>ENTREGADO</v>
      </c>
      <c r="P237" s="154" t="s">
        <v>3655</v>
      </c>
      <c r="Q237" s="191"/>
      <c r="R237" s="170"/>
      <c r="S237" s="170"/>
      <c r="T237" s="154">
        <f t="array" ref="T237">IFERROR(
INDEX(REPORTE_DROPI!B:B,
MATCH(
CLEAN(TRIM(C237)),
CLEAN(TRIM(REPORTE_DROPI!E:E)),
0
)
),
""
)
</f>
        <v>4805481</v>
      </c>
      <c r="U237" s="154" t="s">
        <v>8742</v>
      </c>
      <c r="V237" s="192"/>
      <c r="W237" s="192"/>
      <c r="X237" s="192"/>
      <c r="Y237" s="192"/>
      <c r="Z237" s="192"/>
    </row>
    <row r="238" ht="22.5" customHeight="1">
      <c r="A238" s="154"/>
      <c r="B238" s="170">
        <v>46096.0</v>
      </c>
      <c r="C238" s="154" t="s">
        <v>8743</v>
      </c>
      <c r="D238" s="154" t="str">
        <f>IFERROR(__xludf.DUMMYFUNCTION("""COMPUTED_VALUE"""),"FilmPro®")</f>
        <v>FilmPro®</v>
      </c>
      <c r="E238" s="188">
        <v>7.05</v>
      </c>
      <c r="F238" s="189">
        <v>3.0</v>
      </c>
      <c r="G238" s="190">
        <v>30.0</v>
      </c>
      <c r="H238" s="154" t="s">
        <v>3727</v>
      </c>
      <c r="I238" s="154" t="s">
        <v>8251</v>
      </c>
      <c r="J238" s="189">
        <v>6.16</v>
      </c>
      <c r="K238" s="154">
        <v>16.79</v>
      </c>
      <c r="L238" s="154" t="s">
        <v>3650</v>
      </c>
      <c r="M238" s="170"/>
      <c r="N238" s="154" t="s">
        <v>8744</v>
      </c>
      <c r="O238" s="170" t="str">
        <f t="array" ref="O238">IFERROR(
VLOOKUP(
TRIM(CLEAN(
INDEX(REPORTE_DROPI!K:K,
MATCH(T238, REPORTE_DROPI!B:B, 0)
))),
{
TRIM(CLEAN(MAPA_ESTADOS!A:A)) ,
MAPA_ESTADOS!B:B
},
2,
FALSE
),
"REVISAR"
)</f>
        <v>ENTREGADO</v>
      </c>
      <c r="P238" s="154" t="s">
        <v>3655</v>
      </c>
      <c r="Q238" s="191"/>
      <c r="R238" s="170"/>
      <c r="S238" s="170"/>
      <c r="T238" s="154">
        <f t="array" ref="T238">IFERROR(
INDEX(REPORTE_DROPI!B:B,
MATCH(
CLEAN(TRIM(C238)),
CLEAN(TRIM(REPORTE_DROPI!E:E)),
0
)
),
""
)
</f>
        <v>4806128</v>
      </c>
      <c r="U238" s="154" t="s">
        <v>8745</v>
      </c>
      <c r="V238" s="192"/>
      <c r="W238" s="192"/>
      <c r="X238" s="192"/>
      <c r="Y238" s="192"/>
      <c r="Z238" s="192"/>
    </row>
    <row r="239" ht="22.5" customHeight="1">
      <c r="A239" s="154"/>
      <c r="B239" s="170">
        <v>46096.0</v>
      </c>
      <c r="C239" s="154" t="s">
        <v>8746</v>
      </c>
      <c r="D239" s="154" t="str">
        <f>IFERROR(__xludf.DUMMYFUNCTION("""COMPUTED_VALUE"""),"FilmPro®")</f>
        <v>FilmPro®</v>
      </c>
      <c r="E239" s="188">
        <v>2.35</v>
      </c>
      <c r="F239" s="189">
        <v>1.0</v>
      </c>
      <c r="G239" s="190">
        <v>20.0</v>
      </c>
      <c r="H239" s="154" t="s">
        <v>3727</v>
      </c>
      <c r="I239" s="154" t="s">
        <v>8233</v>
      </c>
      <c r="J239" s="189">
        <v>5.76</v>
      </c>
      <c r="K239" s="154">
        <v>11.89</v>
      </c>
      <c r="L239" s="154" t="s">
        <v>3650</v>
      </c>
      <c r="M239" s="170"/>
      <c r="N239" s="154" t="s">
        <v>8747</v>
      </c>
      <c r="O239" s="170" t="str">
        <f t="array" ref="O239">IFERROR(
VLOOKUP(
TRIM(CLEAN(
INDEX(REPORTE_DROPI!K:K,
MATCH(T239, REPORTE_DROPI!B:B, 0)
))),
{
TRIM(CLEAN(MAPA_ESTADOS!A:A)) ,
MAPA_ESTADOS!B:B
},
2,
FALSE
),
"REVISAR"
)</f>
        <v>ENTREGADO</v>
      </c>
      <c r="P239" s="154" t="s">
        <v>3655</v>
      </c>
      <c r="Q239" s="191"/>
      <c r="R239" s="170"/>
      <c r="S239" s="170"/>
      <c r="T239" s="154">
        <f t="array" ref="T239">IFERROR(
INDEX(REPORTE_DROPI!B:B,
MATCH(
CLEAN(TRIM(C239)),
CLEAN(TRIM(REPORTE_DROPI!E:E)),
0
)
),
""
)
</f>
        <v>4806665</v>
      </c>
      <c r="U239" s="154" t="s">
        <v>8748</v>
      </c>
      <c r="V239" s="192"/>
      <c r="W239" s="192"/>
      <c r="X239" s="192"/>
      <c r="Y239" s="192"/>
      <c r="Z239" s="192"/>
    </row>
    <row r="240" ht="22.5" customHeight="1">
      <c r="A240" s="154"/>
      <c r="B240" s="170">
        <v>46096.0</v>
      </c>
      <c r="C240" s="154" t="s">
        <v>8749</v>
      </c>
      <c r="D240" s="154" t="str">
        <f>IFERROR(__xludf.DUMMYFUNCTION("""COMPUTED_VALUE"""),"FilmPro®")</f>
        <v>FilmPro®</v>
      </c>
      <c r="E240" s="188">
        <v>7.05</v>
      </c>
      <c r="F240" s="189">
        <v>3.0</v>
      </c>
      <c r="G240" s="190">
        <v>30.0</v>
      </c>
      <c r="H240" s="154" t="s">
        <v>3727</v>
      </c>
      <c r="I240" s="154" t="s">
        <v>8360</v>
      </c>
      <c r="J240" s="189">
        <v>6.16</v>
      </c>
      <c r="K240" s="154">
        <v>16.79</v>
      </c>
      <c r="L240" s="154" t="s">
        <v>3650</v>
      </c>
      <c r="M240" s="170"/>
      <c r="N240" s="154" t="s">
        <v>8750</v>
      </c>
      <c r="O240" s="170" t="str">
        <f t="array" ref="O240">IFERROR(
VLOOKUP(
TRIM(CLEAN(
INDEX(REPORTE_DROPI!K:K,
MATCH(T240, REPORTE_DROPI!B:B, 0)
))),
{
TRIM(CLEAN(MAPA_ESTADOS!A:A)) ,
MAPA_ESTADOS!B:B
},
2,
FALSE
),
"REVISAR"
)</f>
        <v>ENTREGADO</v>
      </c>
      <c r="P240" s="154" t="s">
        <v>3655</v>
      </c>
      <c r="Q240" s="191"/>
      <c r="R240" s="170"/>
      <c r="S240" s="170"/>
      <c r="T240" s="154">
        <f t="array" ref="T240">IFERROR(
INDEX(REPORTE_DROPI!B:B,
MATCH(
CLEAN(TRIM(C240)),
CLEAN(TRIM(REPORTE_DROPI!E:E)),
0
)
),
""
)
</f>
        <v>4807432</v>
      </c>
      <c r="U240" s="154" t="s">
        <v>8751</v>
      </c>
      <c r="V240" s="192"/>
      <c r="W240" s="192"/>
      <c r="X240" s="192"/>
      <c r="Y240" s="192"/>
      <c r="Z240" s="192"/>
    </row>
    <row r="241" ht="22.5" customHeight="1">
      <c r="A241" s="154"/>
      <c r="B241" s="170">
        <v>46096.0</v>
      </c>
      <c r="C241" s="154" t="s">
        <v>8752</v>
      </c>
      <c r="D241" s="154" t="str">
        <f>IFERROR(__xludf.DUMMYFUNCTION("""COMPUTED_VALUE"""),"FilmPro®")</f>
        <v>FilmPro®</v>
      </c>
      <c r="E241" s="188">
        <v>4.7</v>
      </c>
      <c r="F241" s="189">
        <v>2.0</v>
      </c>
      <c r="G241" s="190">
        <v>25.0</v>
      </c>
      <c r="H241" s="154" t="s">
        <v>3727</v>
      </c>
      <c r="I241" s="154" t="s">
        <v>8447</v>
      </c>
      <c r="J241" s="189">
        <v>5.96</v>
      </c>
      <c r="K241" s="154">
        <v>14.34</v>
      </c>
      <c r="L241" s="154" t="s">
        <v>3650</v>
      </c>
      <c r="M241" s="170"/>
      <c r="N241" s="154" t="s">
        <v>8753</v>
      </c>
      <c r="O241" s="170" t="str">
        <f t="array" ref="O241">IFERROR(
VLOOKUP(
TRIM(CLEAN(
INDEX(REPORTE_DROPI!K:K,
MATCH(T241, REPORTE_DROPI!B:B, 0)
))),
{
TRIM(CLEAN(MAPA_ESTADOS!A:A)) ,
MAPA_ESTADOS!B:B
},
2,
FALSE
),
"REVISAR"
)</f>
        <v>ENTREGADO</v>
      </c>
      <c r="P241" s="154" t="s">
        <v>8594</v>
      </c>
      <c r="Q241" s="191"/>
      <c r="R241" s="170"/>
      <c r="S241" s="170"/>
      <c r="T241" s="154">
        <f t="array" ref="T241">IFERROR(
INDEX(REPORTE_DROPI!B:B,
MATCH(
CLEAN(TRIM(C241)),
CLEAN(TRIM(REPORTE_DROPI!E:E)),
0
)
),
""
)
</f>
        <v>4808114</v>
      </c>
      <c r="U241" s="154" t="s">
        <v>8754</v>
      </c>
      <c r="V241" s="192"/>
      <c r="W241" s="192"/>
      <c r="X241" s="192"/>
      <c r="Y241" s="192"/>
      <c r="Z241" s="192"/>
    </row>
    <row r="242" ht="22.5" customHeight="1">
      <c r="A242" s="154"/>
      <c r="B242" s="170">
        <v>46096.0</v>
      </c>
      <c r="C242" s="154" t="s">
        <v>8755</v>
      </c>
      <c r="D242" s="154" t="str">
        <f>IFERROR(__xludf.DUMMYFUNCTION("""COMPUTED_VALUE"""),"FilmPro®")</f>
        <v>FilmPro®</v>
      </c>
      <c r="E242" s="188">
        <v>7.05</v>
      </c>
      <c r="F242" s="189">
        <v>3.0</v>
      </c>
      <c r="G242" s="190">
        <v>30.0</v>
      </c>
      <c r="H242" s="154" t="s">
        <v>3727</v>
      </c>
      <c r="I242" s="154" t="s">
        <v>8247</v>
      </c>
      <c r="J242" s="189">
        <v>4.55</v>
      </c>
      <c r="K242" s="154">
        <v>18.4</v>
      </c>
      <c r="L242" s="154" t="s">
        <v>3650</v>
      </c>
      <c r="M242" s="170"/>
      <c r="N242" s="154" t="s">
        <v>8756</v>
      </c>
      <c r="O242" s="170" t="str">
        <f t="array" ref="O242">IFERROR(
VLOOKUP(
TRIM(CLEAN(
INDEX(REPORTE_DROPI!K:K,
MATCH(T242, REPORTE_DROPI!B:B, 0)
))),
{
TRIM(CLEAN(MAPA_ESTADOS!A:A)) ,
MAPA_ESTADOS!B:B
},
2,
FALSE
),
"REVISAR"
)</f>
        <v>ENTREGADO</v>
      </c>
      <c r="P242" s="154" t="s">
        <v>3655</v>
      </c>
      <c r="Q242" s="191"/>
      <c r="R242" s="170"/>
      <c r="S242" s="170"/>
      <c r="T242" s="154">
        <f t="array" ref="T242">IFERROR(
INDEX(REPORTE_DROPI!B:B,
MATCH(
CLEAN(TRIM(C242)),
CLEAN(TRIM(REPORTE_DROPI!E:E)),
0
)
),
""
)
</f>
        <v>4808437</v>
      </c>
      <c r="U242" s="154" t="s">
        <v>8757</v>
      </c>
      <c r="V242" s="192"/>
      <c r="W242" s="192"/>
      <c r="X242" s="192"/>
      <c r="Y242" s="192"/>
      <c r="Z242" s="192"/>
    </row>
    <row r="243" ht="22.5" customHeight="1">
      <c r="A243" s="154"/>
      <c r="B243" s="170">
        <v>46096.0</v>
      </c>
      <c r="C243" s="154" t="s">
        <v>8758</v>
      </c>
      <c r="D243" s="154" t="str">
        <f>IFERROR(__xludf.DUMMYFUNCTION("""COMPUTED_VALUE"""),"FilmPro®")</f>
        <v>FilmPro®</v>
      </c>
      <c r="E243" s="188">
        <v>7.05</v>
      </c>
      <c r="F243" s="189">
        <v>3.0</v>
      </c>
      <c r="G243" s="190">
        <v>30.0</v>
      </c>
      <c r="H243" s="154" t="s">
        <v>3727</v>
      </c>
      <c r="I243" s="154" t="s">
        <v>8247</v>
      </c>
      <c r="J243" s="189">
        <v>4.55</v>
      </c>
      <c r="K243" s="154">
        <v>18.4</v>
      </c>
      <c r="L243" s="154" t="s">
        <v>3650</v>
      </c>
      <c r="M243" s="170"/>
      <c r="N243" s="154" t="s">
        <v>8759</v>
      </c>
      <c r="O243" s="170" t="str">
        <f t="array" ref="O243">IFERROR(
VLOOKUP(
TRIM(CLEAN(
INDEX(REPORTE_DROPI!K:K,
MATCH(T243, REPORTE_DROPI!B:B, 0)
))),
{
TRIM(CLEAN(MAPA_ESTADOS!A:A)) ,
MAPA_ESTADOS!B:B
},
2,
FALSE
),
"REVISAR"
)</f>
        <v>ENTREGADO</v>
      </c>
      <c r="P243" s="154" t="s">
        <v>3655</v>
      </c>
      <c r="Q243" s="191"/>
      <c r="R243" s="170"/>
      <c r="S243" s="170"/>
      <c r="T243" s="154">
        <f t="array" ref="T243">IFERROR(
INDEX(REPORTE_DROPI!B:B,
MATCH(
CLEAN(TRIM(C243)),
CLEAN(TRIM(REPORTE_DROPI!E:E)),
0
)
),
""
)
</f>
        <v>4808974</v>
      </c>
      <c r="U243" s="154" t="s">
        <v>8760</v>
      </c>
      <c r="V243" s="192"/>
      <c r="W243" s="192"/>
      <c r="X243" s="192"/>
      <c r="Y243" s="192"/>
      <c r="Z243" s="192"/>
    </row>
    <row r="244" ht="22.5" customHeight="1">
      <c r="A244" s="154"/>
      <c r="B244" s="170">
        <v>46096.0</v>
      </c>
      <c r="C244" s="154" t="s">
        <v>8761</v>
      </c>
      <c r="D244" s="154" t="str">
        <f>IFERROR(__xludf.DUMMYFUNCTION("""COMPUTED_VALUE"""),"")</f>
        <v/>
      </c>
      <c r="E244" s="188" t="s">
        <v>3650</v>
      </c>
      <c r="F244" s="189">
        <v>3.0</v>
      </c>
      <c r="G244" s="190" t="s">
        <v>3650</v>
      </c>
      <c r="H244" s="154" t="s">
        <v>3727</v>
      </c>
      <c r="I244" s="154" t="s">
        <v>8762</v>
      </c>
      <c r="J244" s="189" t="s">
        <v>3650</v>
      </c>
      <c r="K244" s="154" t="s">
        <v>3650</v>
      </c>
      <c r="L244" s="154" t="s">
        <v>3650</v>
      </c>
      <c r="M244" s="170"/>
      <c r="N244" s="154" t="s">
        <v>8763</v>
      </c>
      <c r="O244" s="170" t="str">
        <f t="array" ref="O244">IFERROR(
VLOOKUP(
TRIM(CLEAN(
INDEX(REPORTE_DROPI!K:K,
MATCH(T244, REPORTE_DROPI!B:B, 0)
))),
{
TRIM(CLEAN(MAPA_ESTADOS!A:A)) ,
MAPA_ESTADOS!B:B
},
2,
FALSE
),
"REVISAR"
)</f>
        <v>REVISAR</v>
      </c>
      <c r="P244" s="205" t="s">
        <v>8764</v>
      </c>
      <c r="Q244" s="191"/>
      <c r="R244" s="170"/>
      <c r="S244" s="170"/>
      <c r="T244" s="154" t="str">
        <f t="array" ref="T244">IFERROR(
INDEX(REPORTE_DROPI!B:B,
MATCH(
CLEAN(TRIM(C244)),
CLEAN(TRIM(REPORTE_DROPI!E:E)),
0
)
),
""
)
</f>
        <v/>
      </c>
      <c r="U244" s="154" t="s">
        <v>8765</v>
      </c>
      <c r="V244" s="192"/>
      <c r="W244" s="192"/>
      <c r="X244" s="192"/>
      <c r="Y244" s="192"/>
      <c r="Z244" s="192"/>
    </row>
    <row r="245" ht="22.5" customHeight="1">
      <c r="A245" s="154"/>
      <c r="B245" s="170">
        <v>46096.0</v>
      </c>
      <c r="C245" s="154" t="s">
        <v>8766</v>
      </c>
      <c r="D245" s="154" t="str">
        <f>IFERROR(__xludf.DUMMYFUNCTION("""COMPUTED_VALUE"""),"FilmPro®")</f>
        <v>FilmPro®</v>
      </c>
      <c r="E245" s="188" t="s">
        <v>3650</v>
      </c>
      <c r="F245" s="189">
        <v>3.0</v>
      </c>
      <c r="G245" s="190" t="s">
        <v>3650</v>
      </c>
      <c r="H245" s="154" t="s">
        <v>3727</v>
      </c>
      <c r="I245" s="154" t="s">
        <v>8247</v>
      </c>
      <c r="J245" s="189" t="s">
        <v>3650</v>
      </c>
      <c r="K245" s="154"/>
      <c r="L245" s="154">
        <v>0.0</v>
      </c>
      <c r="M245" s="170"/>
      <c r="N245" s="154" t="s">
        <v>8767</v>
      </c>
      <c r="O245" s="170" t="str">
        <f t="array" ref="O245">IFERROR(
VLOOKUP(
TRIM(CLEAN(
INDEX(REPORTE_DROPI!K:K,
MATCH(T245, REPORTE_DROPI!B:B, 0)
))),
{
TRIM(CLEAN(MAPA_ESTADOS!A:A)) ,
MAPA_ESTADOS!B:B
},
2,
FALSE
),
"REVISAR"
)</f>
        <v>DEVOLUCION</v>
      </c>
      <c r="P245" s="210" t="s">
        <v>3655</v>
      </c>
      <c r="Q245" s="191"/>
      <c r="R245" s="170"/>
      <c r="S245" s="170"/>
      <c r="T245" s="154">
        <f t="array" ref="T245">IFERROR(
INDEX(REPORTE_DROPI!B:B,
MATCH(
CLEAN(TRIM(C245)),
CLEAN(TRIM(REPORTE_DROPI!E:E)),
0
)
),
""
)
</f>
        <v>4819578</v>
      </c>
      <c r="U245" s="154" t="s">
        <v>8768</v>
      </c>
      <c r="V245" s="192"/>
      <c r="W245" s="192"/>
      <c r="X245" s="192"/>
      <c r="Y245" s="192"/>
      <c r="Z245" s="192"/>
    </row>
    <row r="246" ht="22.5" customHeight="1">
      <c r="A246" s="154"/>
      <c r="B246" s="170">
        <v>46096.0</v>
      </c>
      <c r="C246" s="154" t="s">
        <v>8769</v>
      </c>
      <c r="D246" s="154" t="str">
        <f>IFERROR(__xludf.DUMMYFUNCTION("""COMPUTED_VALUE"""),"FilmPro®")</f>
        <v>FilmPro®</v>
      </c>
      <c r="E246" s="188" t="s">
        <v>3650</v>
      </c>
      <c r="F246" s="189">
        <v>1.0</v>
      </c>
      <c r="G246" s="190" t="s">
        <v>3650</v>
      </c>
      <c r="H246" s="154" t="s">
        <v>3727</v>
      </c>
      <c r="I246" s="154" t="s">
        <v>8265</v>
      </c>
      <c r="J246" s="189" t="s">
        <v>3650</v>
      </c>
      <c r="K246" s="154"/>
      <c r="L246" s="154" t="s">
        <v>3650</v>
      </c>
      <c r="M246" s="170"/>
      <c r="N246" s="154" t="s">
        <v>8770</v>
      </c>
      <c r="O246" s="170" t="str">
        <f t="array" ref="O246">IFERROR(
VLOOKUP(
TRIM(CLEAN(
INDEX(REPORTE_DROPI!K:K,
MATCH(T246, REPORTE_DROPI!B:B, 0)
))),
{
TRIM(CLEAN(MAPA_ESTADOS!A:A)) ,
MAPA_ESTADOS!B:B
},
2,
FALSE
),
"REVISAR"
)</f>
        <v>PENDIENTE</v>
      </c>
      <c r="P246" s="211" t="s">
        <v>8771</v>
      </c>
      <c r="Q246" s="191"/>
      <c r="R246" s="170"/>
      <c r="S246" s="170"/>
      <c r="T246" s="154">
        <f t="array" ref="T246">IFERROR(
INDEX(REPORTE_DROPI!B:B,
MATCH(
CLEAN(TRIM(C246)),
CLEAN(TRIM(REPORTE_DROPI!E:E)),
0
)
),
""
)
</f>
        <v>4810622</v>
      </c>
      <c r="U246" s="154" t="s">
        <v>8772</v>
      </c>
      <c r="V246" s="192"/>
      <c r="W246" s="192"/>
      <c r="X246" s="192"/>
      <c r="Y246" s="192"/>
      <c r="Z246" s="192"/>
    </row>
    <row r="247" ht="22.5" customHeight="1">
      <c r="A247" s="154"/>
      <c r="B247" s="170">
        <v>46096.0</v>
      </c>
      <c r="C247" s="154" t="s">
        <v>8773</v>
      </c>
      <c r="D247" s="154" t="str">
        <f>IFERROR(__xludf.DUMMYFUNCTION("""COMPUTED_VALUE"""),"FilmPro®")</f>
        <v>FilmPro®</v>
      </c>
      <c r="E247" s="188">
        <v>4.7</v>
      </c>
      <c r="F247" s="189">
        <v>2.0</v>
      </c>
      <c r="G247" s="190">
        <v>25.0</v>
      </c>
      <c r="H247" s="154" t="s">
        <v>3727</v>
      </c>
      <c r="I247" s="154" t="s">
        <v>8360</v>
      </c>
      <c r="J247" s="189">
        <v>5.96</v>
      </c>
      <c r="K247" s="154">
        <v>14.34</v>
      </c>
      <c r="L247" s="154" t="s">
        <v>3650</v>
      </c>
      <c r="M247" s="170"/>
      <c r="N247" s="154" t="s">
        <v>8774</v>
      </c>
      <c r="O247" s="170" t="str">
        <f t="array" ref="O247">IFERROR(
VLOOKUP(
TRIM(CLEAN(
INDEX(REPORTE_DROPI!K:K,
MATCH(T247, REPORTE_DROPI!B:B, 0)
))),
{
TRIM(CLEAN(MAPA_ESTADOS!A:A)) ,
MAPA_ESTADOS!B:B
},
2,
FALSE
),
"REVISAR"
)</f>
        <v>ENTREGADO</v>
      </c>
      <c r="P247" s="154" t="s">
        <v>3655</v>
      </c>
      <c r="Q247" s="191"/>
      <c r="R247" s="170"/>
      <c r="S247" s="170"/>
      <c r="T247" s="154">
        <f t="array" ref="T247">IFERROR(
INDEX(REPORTE_DROPI!B:B,
MATCH(
CLEAN(TRIM(C247)),
CLEAN(TRIM(REPORTE_DROPI!E:E)),
0
)
),
""
)
</f>
        <v>4811704</v>
      </c>
      <c r="U247" s="154" t="s">
        <v>8775</v>
      </c>
      <c r="V247" s="192"/>
      <c r="W247" s="192"/>
      <c r="X247" s="192"/>
      <c r="Y247" s="192"/>
      <c r="Z247" s="192"/>
    </row>
    <row r="248" ht="22.5" customHeight="1">
      <c r="A248" s="154"/>
      <c r="B248" s="170">
        <v>46096.0</v>
      </c>
      <c r="C248" s="154" t="s">
        <v>8776</v>
      </c>
      <c r="D248" s="154" t="str">
        <f>IFERROR(__xludf.DUMMYFUNCTION("""COMPUTED_VALUE"""),"FilmPro®")</f>
        <v>FilmPro®</v>
      </c>
      <c r="E248" s="188" t="s">
        <v>3650</v>
      </c>
      <c r="F248" s="189">
        <v>3.0</v>
      </c>
      <c r="G248" s="190" t="s">
        <v>3650</v>
      </c>
      <c r="H248" s="154" t="s">
        <v>3727</v>
      </c>
      <c r="I248" s="154" t="s">
        <v>8243</v>
      </c>
      <c r="J248" s="189" t="s">
        <v>3650</v>
      </c>
      <c r="K248" s="154"/>
      <c r="L248" s="154" t="s">
        <v>3650</v>
      </c>
      <c r="M248" s="170"/>
      <c r="N248" s="154" t="s">
        <v>8777</v>
      </c>
      <c r="O248" s="170" t="str">
        <f t="array" ref="O248">IFERROR(
VLOOKUP(
TRIM(CLEAN(
INDEX(REPORTE_DROPI!K:K,
MATCH(T248, REPORTE_DROPI!B:B, 0)
))),
{
TRIM(CLEAN(MAPA_ESTADOS!A:A)) ,
MAPA_ESTADOS!B:B
},
2,
FALSE
),
"REVISAR"
)</f>
        <v>PENDIENTE</v>
      </c>
      <c r="P248" s="202" t="s">
        <v>8778</v>
      </c>
      <c r="Q248" s="191"/>
      <c r="R248" s="170"/>
      <c r="S248" s="170"/>
      <c r="T248" s="154">
        <f t="array" ref="T248">IFERROR(
INDEX(REPORTE_DROPI!B:B,
MATCH(
CLEAN(TRIM(C248)),
CLEAN(TRIM(REPORTE_DROPI!E:E)),
0
)
),
""
)
</f>
        <v>4811820</v>
      </c>
      <c r="U248" s="154" t="s">
        <v>8779</v>
      </c>
      <c r="V248" s="192"/>
      <c r="W248" s="192"/>
      <c r="X248" s="192"/>
      <c r="Y248" s="192"/>
      <c r="Z248" s="192"/>
    </row>
    <row r="249" ht="22.5" customHeight="1">
      <c r="A249" s="154"/>
      <c r="B249" s="170">
        <v>46096.0</v>
      </c>
      <c r="C249" s="154" t="s">
        <v>8780</v>
      </c>
      <c r="D249" s="154" t="str">
        <f>IFERROR(__xludf.DUMMYFUNCTION("""COMPUTED_VALUE"""),"FilmPro®")</f>
        <v>FilmPro®</v>
      </c>
      <c r="E249" s="188">
        <v>2.35</v>
      </c>
      <c r="F249" s="189">
        <v>1.0</v>
      </c>
      <c r="G249" s="190">
        <v>20.0</v>
      </c>
      <c r="H249" s="154" t="s">
        <v>3727</v>
      </c>
      <c r="I249" s="154" t="s">
        <v>8372</v>
      </c>
      <c r="J249" s="189">
        <v>5.76</v>
      </c>
      <c r="K249" s="154">
        <v>11.89</v>
      </c>
      <c r="L249" s="154" t="s">
        <v>3650</v>
      </c>
      <c r="M249" s="170"/>
      <c r="N249" s="154" t="s">
        <v>8781</v>
      </c>
      <c r="O249" s="170" t="str">
        <f t="array" ref="O249">IFERROR(
VLOOKUP(
TRIM(CLEAN(
INDEX(REPORTE_DROPI!K:K,
MATCH(T249, REPORTE_DROPI!B:B, 0)
))),
{
TRIM(CLEAN(MAPA_ESTADOS!A:A)) ,
MAPA_ESTADOS!B:B
},
2,
FALSE
),
"REVISAR"
)</f>
        <v>ENTREGADO</v>
      </c>
      <c r="P249" s="154" t="s">
        <v>3655</v>
      </c>
      <c r="Q249" s="191"/>
      <c r="R249" s="170"/>
      <c r="S249" s="170"/>
      <c r="T249" s="154">
        <f t="array" ref="T249">IFERROR(
INDEX(REPORTE_DROPI!B:B,
MATCH(
CLEAN(TRIM(C249)),
CLEAN(TRIM(REPORTE_DROPI!E:E)),
0
)
),
""
)
</f>
        <v>4811895</v>
      </c>
      <c r="U249" s="154" t="s">
        <v>8782</v>
      </c>
      <c r="V249" s="192"/>
      <c r="W249" s="192"/>
      <c r="X249" s="192"/>
      <c r="Y249" s="192"/>
      <c r="Z249" s="192"/>
    </row>
    <row r="250" ht="22.5" customHeight="1">
      <c r="A250" s="154"/>
      <c r="B250" s="170">
        <v>46096.0</v>
      </c>
      <c r="C250" s="154" t="s">
        <v>8783</v>
      </c>
      <c r="D250" s="154" t="str">
        <f>IFERROR(__xludf.DUMMYFUNCTION("""COMPUTED_VALUE"""),"FilmPro®")</f>
        <v>FilmPro®</v>
      </c>
      <c r="E250" s="188" t="s">
        <v>3650</v>
      </c>
      <c r="F250" s="189">
        <v>2.0</v>
      </c>
      <c r="G250" s="190" t="s">
        <v>3650</v>
      </c>
      <c r="H250" s="154" t="s">
        <v>3727</v>
      </c>
      <c r="I250" s="154" t="s">
        <v>8281</v>
      </c>
      <c r="J250" s="189" t="s">
        <v>3650</v>
      </c>
      <c r="K250" s="154"/>
      <c r="L250" s="154" t="s">
        <v>3650</v>
      </c>
      <c r="M250" s="170"/>
      <c r="N250" s="154" t="s">
        <v>8784</v>
      </c>
      <c r="O250" s="170" t="str">
        <f t="array" ref="O250">IFERROR(
VLOOKUP(
TRIM(CLEAN(
INDEX(REPORTE_DROPI!K:K,
MATCH(T250, REPORTE_DROPI!B:B, 0)
))),
{
TRIM(CLEAN(MAPA_ESTADOS!A:A)) ,
MAPA_ESTADOS!B:B
},
2,
FALSE
),
"REVISAR"
)</f>
        <v>PENDIENTE</v>
      </c>
      <c r="P250" s="202" t="s">
        <v>8778</v>
      </c>
      <c r="Q250" s="191"/>
      <c r="R250" s="170"/>
      <c r="S250" s="170"/>
      <c r="T250" s="154">
        <f t="array" ref="T250">IFERROR(
INDEX(REPORTE_DROPI!B:B,
MATCH(
CLEAN(TRIM(C250)),
CLEAN(TRIM(REPORTE_DROPI!E:E)),
0
)
),
""
)
</f>
        <v>4812005</v>
      </c>
      <c r="U250" s="154" t="s">
        <v>8785</v>
      </c>
      <c r="V250" s="192"/>
      <c r="W250" s="192"/>
      <c r="X250" s="192"/>
      <c r="Y250" s="192"/>
      <c r="Z250" s="192"/>
    </row>
    <row r="251" ht="22.5" customHeight="1">
      <c r="A251" s="154"/>
      <c r="B251" s="170">
        <v>46097.0</v>
      </c>
      <c r="C251" s="154" t="s">
        <v>8786</v>
      </c>
      <c r="D251" s="154" t="str">
        <f>IFERROR(__xludf.DUMMYFUNCTION("""COMPUTED_VALUE"""),"FilmPro®")</f>
        <v>FilmPro®</v>
      </c>
      <c r="E251" s="188">
        <v>7.05</v>
      </c>
      <c r="F251" s="189">
        <v>3.0</v>
      </c>
      <c r="G251" s="190">
        <v>30.0</v>
      </c>
      <c r="H251" s="154" t="s">
        <v>3727</v>
      </c>
      <c r="I251" s="154" t="s">
        <v>3740</v>
      </c>
      <c r="J251" s="189">
        <v>6.16</v>
      </c>
      <c r="K251" s="154">
        <v>16.79</v>
      </c>
      <c r="L251" s="154" t="s">
        <v>3650</v>
      </c>
      <c r="M251" s="170"/>
      <c r="N251" s="154" t="s">
        <v>8787</v>
      </c>
      <c r="O251" s="170" t="str">
        <f t="array" ref="O251">IFERROR(
VLOOKUP(
TRIM(CLEAN(
INDEX(REPORTE_DROPI!K:K,
MATCH(T251, REPORTE_DROPI!B:B, 0)
))),
{
TRIM(CLEAN(MAPA_ESTADOS!A:A)) ,
MAPA_ESTADOS!B:B
},
2,
FALSE
),
"REVISAR"
)</f>
        <v>ENTREGADO</v>
      </c>
      <c r="P251" s="154" t="s">
        <v>3655</v>
      </c>
      <c r="Q251" s="191"/>
      <c r="R251" s="170"/>
      <c r="S251" s="170"/>
      <c r="T251" s="154">
        <f t="array" ref="T251">IFERROR(
INDEX(REPORTE_DROPI!B:B,
MATCH(
CLEAN(TRIM(C251)),
CLEAN(TRIM(REPORTE_DROPI!E:E)),
0
)
),
""
)
</f>
        <v>4813142</v>
      </c>
      <c r="U251" s="154" t="s">
        <v>8788</v>
      </c>
      <c r="V251" s="192"/>
      <c r="W251" s="192"/>
      <c r="X251" s="192"/>
      <c r="Y251" s="192"/>
      <c r="Z251" s="192"/>
    </row>
    <row r="252" ht="22.5" customHeight="1">
      <c r="A252" s="154"/>
      <c r="B252" s="170">
        <v>46097.0</v>
      </c>
      <c r="C252" s="154" t="s">
        <v>8789</v>
      </c>
      <c r="D252" s="154" t="str">
        <f>IFERROR(__xludf.DUMMYFUNCTION("""COMPUTED_VALUE"""),"FilmPro®")</f>
        <v>FilmPro®</v>
      </c>
      <c r="E252" s="188">
        <v>4.7</v>
      </c>
      <c r="F252" s="189">
        <v>2.0</v>
      </c>
      <c r="G252" s="190">
        <v>25.0</v>
      </c>
      <c r="H252" s="154" t="s">
        <v>3727</v>
      </c>
      <c r="I252" s="154" t="s">
        <v>8247</v>
      </c>
      <c r="J252" s="189">
        <v>4.35</v>
      </c>
      <c r="K252" s="154">
        <v>15.95</v>
      </c>
      <c r="L252" s="154" t="s">
        <v>3650</v>
      </c>
      <c r="M252" s="170"/>
      <c r="N252" s="154" t="s">
        <v>8790</v>
      </c>
      <c r="O252" s="170" t="str">
        <f t="array" ref="O252">IFERROR(
VLOOKUP(
TRIM(CLEAN(
INDEX(REPORTE_DROPI!K:K,
MATCH(T252, REPORTE_DROPI!B:B, 0)
))),
{
TRIM(CLEAN(MAPA_ESTADOS!A:A)) ,
MAPA_ESTADOS!B:B
},
2,
FALSE
),
"REVISAR"
)</f>
        <v>ENTREGADO</v>
      </c>
      <c r="P252" s="154" t="s">
        <v>3655</v>
      </c>
      <c r="Q252" s="191"/>
      <c r="R252" s="170"/>
      <c r="S252" s="170"/>
      <c r="T252" s="154">
        <f t="array" ref="T252">IFERROR(
INDEX(REPORTE_DROPI!B:B,
MATCH(
CLEAN(TRIM(C252)),
CLEAN(TRIM(REPORTE_DROPI!E:E)),
0
)
),
""
)
</f>
        <v>4813771</v>
      </c>
      <c r="U252" s="154" t="s">
        <v>8791</v>
      </c>
      <c r="V252" s="192"/>
      <c r="W252" s="192"/>
      <c r="X252" s="192"/>
      <c r="Y252" s="192"/>
      <c r="Z252" s="192"/>
    </row>
    <row r="253" ht="22.5" customHeight="1">
      <c r="A253" s="154"/>
      <c r="B253" s="170">
        <v>46097.0</v>
      </c>
      <c r="C253" s="154" t="s">
        <v>8792</v>
      </c>
      <c r="D253" s="154" t="str">
        <f>IFERROR(__xludf.DUMMYFUNCTION("""COMPUTED_VALUE"""),"FilmPro®")</f>
        <v>FilmPro®</v>
      </c>
      <c r="E253" s="188" t="s">
        <v>3650</v>
      </c>
      <c r="F253" s="189">
        <v>3.0</v>
      </c>
      <c r="G253" s="190" t="s">
        <v>3650</v>
      </c>
      <c r="H253" s="154" t="s">
        <v>3727</v>
      </c>
      <c r="I253" s="154" t="s">
        <v>8453</v>
      </c>
      <c r="J253" s="189" t="s">
        <v>3650</v>
      </c>
      <c r="K253" s="154"/>
      <c r="L253" s="154" t="s">
        <v>3650</v>
      </c>
      <c r="M253" s="170"/>
      <c r="N253" s="154" t="s">
        <v>8793</v>
      </c>
      <c r="O253" s="170" t="str">
        <f t="array" ref="O253">IFERROR(
VLOOKUP(
TRIM(CLEAN(
INDEX(REPORTE_DROPI!K:K,
MATCH(T253, REPORTE_DROPI!B:B, 0)
))),
{
TRIM(CLEAN(MAPA_ESTADOS!A:A)) ,
MAPA_ESTADOS!B:B
},
2,
FALSE
),
"REVISAR"
)</f>
        <v>NOVEDAD</v>
      </c>
      <c r="P253" s="154" t="s">
        <v>3655</v>
      </c>
      <c r="Q253" s="191"/>
      <c r="R253" s="170"/>
      <c r="S253" s="170"/>
      <c r="T253" s="154">
        <f t="array" ref="T253">IFERROR(
INDEX(REPORTE_DROPI!B:B,
MATCH(
CLEAN(TRIM(C253)),
CLEAN(TRIM(REPORTE_DROPI!E:E)),
0
)
),
""
)
</f>
        <v>4813891</v>
      </c>
      <c r="U253" s="154" t="s">
        <v>8794</v>
      </c>
      <c r="V253" s="192"/>
      <c r="W253" s="192"/>
      <c r="X253" s="192"/>
      <c r="Y253" s="192"/>
      <c r="Z253" s="192"/>
    </row>
    <row r="254" ht="22.5" customHeight="1">
      <c r="A254" s="154"/>
      <c r="B254" s="170">
        <v>46097.0</v>
      </c>
      <c r="C254" s="154" t="s">
        <v>8795</v>
      </c>
      <c r="D254" s="154" t="str">
        <f>IFERROR(__xludf.DUMMYFUNCTION("""COMPUTED_VALUE"""),"FilmPro®")</f>
        <v>FilmPro®</v>
      </c>
      <c r="E254" s="188">
        <v>2.35</v>
      </c>
      <c r="F254" s="189">
        <v>1.0</v>
      </c>
      <c r="G254" s="190">
        <v>20.0</v>
      </c>
      <c r="H254" s="154" t="s">
        <v>3727</v>
      </c>
      <c r="I254" s="154" t="s">
        <v>8247</v>
      </c>
      <c r="J254" s="189">
        <v>4.15</v>
      </c>
      <c r="K254" s="154">
        <v>13.5</v>
      </c>
      <c r="L254" s="154" t="s">
        <v>3650</v>
      </c>
      <c r="M254" s="170"/>
      <c r="N254" s="154" t="s">
        <v>8796</v>
      </c>
      <c r="O254" s="170" t="str">
        <f t="array" ref="O254">IFERROR(
VLOOKUP(
TRIM(CLEAN(
INDEX(REPORTE_DROPI!K:K,
MATCH(T254, REPORTE_DROPI!B:B, 0)
))),
{
TRIM(CLEAN(MAPA_ESTADOS!A:A)) ,
MAPA_ESTADOS!B:B
},
2,
FALSE
),
"REVISAR"
)</f>
        <v>ENTREGADO</v>
      </c>
      <c r="P254" s="154" t="s">
        <v>3655</v>
      </c>
      <c r="Q254" s="191"/>
      <c r="R254" s="170"/>
      <c r="S254" s="170"/>
      <c r="T254" s="154">
        <f t="array" ref="T254">IFERROR(
INDEX(REPORTE_DROPI!B:B,
MATCH(
CLEAN(TRIM(C254)),
CLEAN(TRIM(REPORTE_DROPI!E:E)),
0
)
),
""
)
</f>
        <v>4814438</v>
      </c>
      <c r="U254" s="154" t="s">
        <v>8797</v>
      </c>
      <c r="V254" s="192"/>
      <c r="W254" s="192"/>
      <c r="X254" s="192"/>
      <c r="Y254" s="192"/>
      <c r="Z254" s="192"/>
    </row>
    <row r="255" ht="22.5" customHeight="1">
      <c r="A255" s="154"/>
      <c r="B255" s="170">
        <v>46097.0</v>
      </c>
      <c r="C255" s="154" t="s">
        <v>8798</v>
      </c>
      <c r="D255" s="154" t="str">
        <f>IFERROR(__xludf.DUMMYFUNCTION("""COMPUTED_VALUE"""),"FilmPro®")</f>
        <v>FilmPro®</v>
      </c>
      <c r="E255" s="188">
        <v>4.7</v>
      </c>
      <c r="F255" s="189">
        <v>2.0</v>
      </c>
      <c r="G255" s="190">
        <v>25.0</v>
      </c>
      <c r="H255" s="154" t="s">
        <v>3727</v>
      </c>
      <c r="I255" s="154" t="s">
        <v>8352</v>
      </c>
      <c r="J255" s="189">
        <v>5.96</v>
      </c>
      <c r="K255" s="154">
        <v>14.34</v>
      </c>
      <c r="L255" s="154" t="s">
        <v>3650</v>
      </c>
      <c r="M255" s="170"/>
      <c r="N255" s="154" t="s">
        <v>8799</v>
      </c>
      <c r="O255" s="170" t="str">
        <f t="array" ref="O255">IFERROR(
VLOOKUP(
TRIM(CLEAN(
INDEX(REPORTE_DROPI!K:K,
MATCH(T255, REPORTE_DROPI!B:B, 0)
))),
{
TRIM(CLEAN(MAPA_ESTADOS!A:A)) ,
MAPA_ESTADOS!B:B
},
2,
FALSE
),
"REVISAR"
)</f>
        <v>ENTREGADO</v>
      </c>
      <c r="P255" s="154" t="s">
        <v>3655</v>
      </c>
      <c r="Q255" s="191"/>
      <c r="R255" s="170"/>
      <c r="S255" s="170"/>
      <c r="T255" s="154">
        <f t="array" ref="T255">IFERROR(
INDEX(REPORTE_DROPI!B:B,
MATCH(
CLEAN(TRIM(C255)),
CLEAN(TRIM(REPORTE_DROPI!E:E)),
0
)
),
""
)
</f>
        <v>4816291</v>
      </c>
      <c r="U255" s="194">
        <v>1.31161223208E11</v>
      </c>
      <c r="V255" s="192"/>
      <c r="W255" s="192"/>
      <c r="X255" s="192"/>
      <c r="Y255" s="192"/>
      <c r="Z255" s="192"/>
    </row>
    <row r="256" ht="22.5" customHeight="1">
      <c r="A256" s="154"/>
      <c r="B256" s="170">
        <v>46097.0</v>
      </c>
      <c r="C256" s="154" t="s">
        <v>8800</v>
      </c>
      <c r="D256" s="154" t="str">
        <f>IFERROR(__xludf.DUMMYFUNCTION("""COMPUTED_VALUE"""),"FilmPro®")</f>
        <v>FilmPro®</v>
      </c>
      <c r="E256" s="188" t="s">
        <v>3650</v>
      </c>
      <c r="F256" s="189">
        <v>2.0</v>
      </c>
      <c r="G256" s="190" t="s">
        <v>3650</v>
      </c>
      <c r="H256" s="154" t="s">
        <v>3727</v>
      </c>
      <c r="I256" s="154" t="s">
        <v>8653</v>
      </c>
      <c r="J256" s="189" t="s">
        <v>3650</v>
      </c>
      <c r="K256" s="154"/>
      <c r="L256" s="154" t="s">
        <v>3650</v>
      </c>
      <c r="M256" s="170"/>
      <c r="N256" s="154" t="s">
        <v>8801</v>
      </c>
      <c r="O256" s="170" t="str">
        <f t="array" ref="O256">IFERROR(
VLOOKUP(
TRIM(CLEAN(
INDEX(REPORTE_DROPI!K:K,
MATCH(T256, REPORTE_DROPI!B:B, 0)
))),
{
TRIM(CLEAN(MAPA_ESTADOS!A:A)) ,
MAPA_ESTADOS!B:B
},
2,
FALSE
),
"REVISAR"
)</f>
        <v>CANCELADO</v>
      </c>
      <c r="P256" s="205" t="s">
        <v>8802</v>
      </c>
      <c r="Q256" s="191"/>
      <c r="R256" s="170"/>
      <c r="S256" s="170"/>
      <c r="T256" s="154">
        <f t="array" ref="T256">IFERROR(
INDEX(REPORTE_DROPI!B:B,
MATCH(
CLEAN(TRIM(C256)),
CLEAN(TRIM(REPORTE_DROPI!E:E)),
0
)
),
""
)
</f>
        <v>4820540</v>
      </c>
      <c r="U256" s="154" t="s">
        <v>8803</v>
      </c>
      <c r="V256" s="192"/>
      <c r="W256" s="192"/>
      <c r="X256" s="192"/>
      <c r="Y256" s="192"/>
      <c r="Z256" s="192"/>
    </row>
    <row r="257" ht="22.5" customHeight="1">
      <c r="A257" s="154"/>
      <c r="B257" s="170">
        <v>46097.0</v>
      </c>
      <c r="C257" s="154" t="s">
        <v>8804</v>
      </c>
      <c r="D257" s="154" t="str">
        <f>IFERROR(__xludf.DUMMYFUNCTION("""COMPUTED_VALUE"""),"FilmPro®")</f>
        <v>FilmPro®</v>
      </c>
      <c r="E257" s="188" t="s">
        <v>3650</v>
      </c>
      <c r="F257" s="189">
        <v>3.0</v>
      </c>
      <c r="G257" s="190" t="s">
        <v>3650</v>
      </c>
      <c r="H257" s="154" t="s">
        <v>3727</v>
      </c>
      <c r="I257" s="154" t="s">
        <v>8243</v>
      </c>
      <c r="J257" s="189" t="s">
        <v>3650</v>
      </c>
      <c r="K257" s="154"/>
      <c r="L257" s="154" t="s">
        <v>3650</v>
      </c>
      <c r="M257" s="170"/>
      <c r="N257" s="154" t="s">
        <v>8805</v>
      </c>
      <c r="O257" s="170" t="str">
        <f t="array" ref="O257">IFERROR(
VLOOKUP(
TRIM(CLEAN(
INDEX(REPORTE_DROPI!K:K,
MATCH(T257, REPORTE_DROPI!B:B, 0)
))),
{
TRIM(CLEAN(MAPA_ESTADOS!A:A)) ,
MAPA_ESTADOS!B:B
},
2,
FALSE
),
"REVISAR"
)</f>
        <v>NOVEDAD</v>
      </c>
      <c r="P257" s="154" t="s">
        <v>3655</v>
      </c>
      <c r="Q257" s="191"/>
      <c r="R257" s="170"/>
      <c r="S257" s="170"/>
      <c r="T257" s="154">
        <f t="array" ref="T257">IFERROR(
INDEX(REPORTE_DROPI!B:B,
MATCH(
CLEAN(TRIM(C257)),
CLEAN(TRIM(REPORTE_DROPI!E:E)),
0
)
),
""
)
</f>
        <v>4819090</v>
      </c>
      <c r="U257" s="154" t="s">
        <v>8806</v>
      </c>
      <c r="V257" s="192"/>
      <c r="W257" s="192"/>
      <c r="X257" s="192"/>
      <c r="Y257" s="192"/>
      <c r="Z257" s="192"/>
    </row>
    <row r="258" ht="22.5" customHeight="1">
      <c r="A258" s="154"/>
      <c r="B258" s="170">
        <v>46097.0</v>
      </c>
      <c r="C258" s="154" t="s">
        <v>8807</v>
      </c>
      <c r="D258" s="154" t="str">
        <f>IFERROR(__xludf.DUMMYFUNCTION("""COMPUTED_VALUE"""),"FilmPro®")</f>
        <v>FilmPro®</v>
      </c>
      <c r="E258" s="188" t="s">
        <v>3650</v>
      </c>
      <c r="F258" s="189">
        <v>3.0</v>
      </c>
      <c r="G258" s="190" t="s">
        <v>3650</v>
      </c>
      <c r="H258" s="154" t="s">
        <v>3727</v>
      </c>
      <c r="I258" s="154" t="s">
        <v>8243</v>
      </c>
      <c r="J258" s="189" t="s">
        <v>3650</v>
      </c>
      <c r="K258" s="154"/>
      <c r="L258" s="154" t="s">
        <v>3650</v>
      </c>
      <c r="M258" s="170"/>
      <c r="N258" s="154" t="s">
        <v>8808</v>
      </c>
      <c r="O258" s="170" t="str">
        <f t="array" ref="O258">IFERROR(
VLOOKUP(
TRIM(CLEAN(
INDEX(REPORTE_DROPI!K:K,
MATCH(T258, REPORTE_DROPI!B:B, 0)
))),
{
TRIM(CLEAN(MAPA_ESTADOS!A:A)) ,
MAPA_ESTADOS!B:B
},
2,
FALSE
),
"REVISAR"
)</f>
        <v>PROCESO</v>
      </c>
      <c r="P258" s="154" t="s">
        <v>3655</v>
      </c>
      <c r="Q258" s="191"/>
      <c r="R258" s="170"/>
      <c r="S258" s="170"/>
      <c r="T258" s="154">
        <f t="array" ref="T258">IFERROR(
INDEX(REPORTE_DROPI!B:B,
MATCH(
CLEAN(TRIM(C258)),
CLEAN(TRIM(REPORTE_DROPI!E:E)),
0
)
),
""
)
</f>
        <v>4820028</v>
      </c>
      <c r="U258" s="154" t="s">
        <v>8809</v>
      </c>
      <c r="V258" s="192"/>
      <c r="W258" s="192"/>
      <c r="X258" s="192"/>
      <c r="Y258" s="192"/>
      <c r="Z258" s="192"/>
    </row>
    <row r="259" ht="22.5" customHeight="1">
      <c r="A259" s="154"/>
      <c r="B259" s="170">
        <v>46097.0</v>
      </c>
      <c r="C259" s="154" t="s">
        <v>8810</v>
      </c>
      <c r="D259" s="154" t="str">
        <f>IFERROR(__xludf.DUMMYFUNCTION("""COMPUTED_VALUE"""),"FilmPro®")</f>
        <v>FilmPro®</v>
      </c>
      <c r="E259" s="188" t="s">
        <v>3650</v>
      </c>
      <c r="F259" s="189">
        <v>3.0</v>
      </c>
      <c r="G259" s="190" t="s">
        <v>3650</v>
      </c>
      <c r="H259" s="154" t="s">
        <v>3727</v>
      </c>
      <c r="I259" s="154" t="s">
        <v>8360</v>
      </c>
      <c r="J259" s="189" t="s">
        <v>3650</v>
      </c>
      <c r="K259" s="154"/>
      <c r="L259" s="154">
        <v>0.0</v>
      </c>
      <c r="M259" s="170"/>
      <c r="N259" s="154" t="s">
        <v>8811</v>
      </c>
      <c r="O259" s="170" t="str">
        <f t="array" ref="O259">IFERROR(
VLOOKUP(
TRIM(CLEAN(
INDEX(REPORTE_DROPI!K:K,
MATCH(T259, REPORTE_DROPI!B:B, 0)
))),
{
TRIM(CLEAN(MAPA_ESTADOS!A:A)) ,
MAPA_ESTADOS!B:B
},
2,
FALSE
),
"REVISAR"
)</f>
        <v>DEVOLUCION</v>
      </c>
      <c r="P259" s="154" t="s">
        <v>3655</v>
      </c>
      <c r="Q259" s="191"/>
      <c r="R259" s="170"/>
      <c r="S259" s="170"/>
      <c r="T259" s="154">
        <f t="array" ref="T259">IFERROR(
INDEX(REPORTE_DROPI!B:B,
MATCH(
CLEAN(TRIM(C259)),
CLEAN(TRIM(REPORTE_DROPI!E:E)),
0
)
),
""
)
</f>
        <v>4822148</v>
      </c>
      <c r="U259" s="154" t="s">
        <v>8812</v>
      </c>
      <c r="V259" s="192"/>
      <c r="W259" s="192"/>
      <c r="X259" s="192"/>
      <c r="Y259" s="192"/>
      <c r="Z259" s="192"/>
    </row>
    <row r="260" ht="22.5" customHeight="1">
      <c r="A260" s="154"/>
      <c r="B260" s="170">
        <v>46097.0</v>
      </c>
      <c r="C260" s="154" t="s">
        <v>8813</v>
      </c>
      <c r="D260" s="154" t="str">
        <f>IFERROR(__xludf.DUMMYFUNCTION("""COMPUTED_VALUE"""),"FilmPro®")</f>
        <v>FilmPro®</v>
      </c>
      <c r="E260" s="188" t="s">
        <v>3650</v>
      </c>
      <c r="F260" s="189">
        <v>1.0</v>
      </c>
      <c r="G260" s="190" t="s">
        <v>3650</v>
      </c>
      <c r="H260" s="154" t="s">
        <v>3727</v>
      </c>
      <c r="I260" s="154" t="s">
        <v>8243</v>
      </c>
      <c r="J260" s="189" t="s">
        <v>3650</v>
      </c>
      <c r="K260" s="154"/>
      <c r="L260" s="154" t="s">
        <v>3650</v>
      </c>
      <c r="M260" s="170"/>
      <c r="N260" s="154" t="s">
        <v>8814</v>
      </c>
      <c r="O260" s="170" t="str">
        <f t="array" ref="O260">IFERROR(
VLOOKUP(
TRIM(CLEAN(
INDEX(REPORTE_DROPI!K:K,
MATCH(T260, REPORTE_DROPI!B:B, 0)
))),
{
TRIM(CLEAN(MAPA_ESTADOS!A:A)) ,
MAPA_ESTADOS!B:B
},
2,
FALSE
),
"REVISAR"
)</f>
        <v>CANCELADO</v>
      </c>
      <c r="P260" s="205" t="s">
        <v>8815</v>
      </c>
      <c r="Q260" s="191"/>
      <c r="R260" s="170"/>
      <c r="S260" s="170"/>
      <c r="T260" s="154">
        <f t="array" ref="T260">IFERROR(
INDEX(REPORTE_DROPI!B:B,
MATCH(
CLEAN(TRIM(C260)),
CLEAN(TRIM(REPORTE_DROPI!E:E)),
0
)
),
""
)
</f>
        <v>4823285</v>
      </c>
      <c r="U260" s="154" t="s">
        <v>8816</v>
      </c>
      <c r="V260" s="192"/>
      <c r="W260" s="192"/>
      <c r="X260" s="192"/>
      <c r="Y260" s="192"/>
      <c r="Z260" s="192"/>
    </row>
    <row r="261" ht="22.5" customHeight="1">
      <c r="A261" s="154"/>
      <c r="B261" s="170">
        <v>46097.0</v>
      </c>
      <c r="C261" s="154" t="s">
        <v>8813</v>
      </c>
      <c r="D261" s="154" t="str">
        <f>IFERROR(__xludf.DUMMYFUNCTION("""COMPUTED_VALUE"""),"FilmPro®")</f>
        <v>FilmPro®</v>
      </c>
      <c r="E261" s="188" t="s">
        <v>3650</v>
      </c>
      <c r="F261" s="189">
        <v>1.0</v>
      </c>
      <c r="G261" s="190" t="s">
        <v>3650</v>
      </c>
      <c r="H261" s="154" t="s">
        <v>3727</v>
      </c>
      <c r="I261" s="154" t="s">
        <v>8243</v>
      </c>
      <c r="J261" s="189" t="s">
        <v>3650</v>
      </c>
      <c r="K261" s="154"/>
      <c r="L261" s="154" t="s">
        <v>3650</v>
      </c>
      <c r="M261" s="170"/>
      <c r="N261" s="154" t="s">
        <v>8817</v>
      </c>
      <c r="O261" s="170" t="str">
        <f t="array" ref="O261">IFERROR(
VLOOKUP(
TRIM(CLEAN(
INDEX(REPORTE_DROPI!K:K,
MATCH(T261, REPORTE_DROPI!B:B, 0)
))),
{
TRIM(CLEAN(MAPA_ESTADOS!A:A)) ,
MAPA_ESTADOS!B:B
},
2,
FALSE
),
"REVISAR"
)</f>
        <v>CANCELADO</v>
      </c>
      <c r="P261" s="210" t="s">
        <v>3655</v>
      </c>
      <c r="Q261" s="191"/>
      <c r="R261" s="170"/>
      <c r="S261" s="170"/>
      <c r="T261" s="154">
        <f t="array" ref="T261">IFERROR(
INDEX(REPORTE_DROPI!B:B,
MATCH(
CLEAN(TRIM(C261)),
CLEAN(TRIM(REPORTE_DROPI!E:E)),
0
)
),
""
)
</f>
        <v>4823285</v>
      </c>
      <c r="U261" s="154" t="s">
        <v>8816</v>
      </c>
      <c r="V261" s="192"/>
      <c r="W261" s="192"/>
      <c r="X261" s="192"/>
      <c r="Y261" s="192"/>
      <c r="Z261" s="192"/>
    </row>
    <row r="262" ht="22.5" customHeight="1">
      <c r="A262" s="154"/>
      <c r="B262" s="170">
        <v>46098.0</v>
      </c>
      <c r="C262" s="154" t="s">
        <v>8818</v>
      </c>
      <c r="D262" s="154" t="str">
        <f>IFERROR(__xludf.DUMMYFUNCTION("""COMPUTED_VALUE"""),"FilmPro®")</f>
        <v>FilmPro®</v>
      </c>
      <c r="E262" s="188">
        <v>4.7</v>
      </c>
      <c r="F262" s="189">
        <v>2.0</v>
      </c>
      <c r="G262" s="190">
        <v>25.0</v>
      </c>
      <c r="H262" s="154" t="s">
        <v>3727</v>
      </c>
      <c r="I262" s="154" t="s">
        <v>8265</v>
      </c>
      <c r="J262" s="189">
        <v>5.96</v>
      </c>
      <c r="K262" s="154">
        <v>14.34</v>
      </c>
      <c r="L262" s="154" t="s">
        <v>3650</v>
      </c>
      <c r="M262" s="170"/>
      <c r="N262" s="154" t="s">
        <v>8819</v>
      </c>
      <c r="O262" s="170" t="str">
        <f t="array" ref="O262">IFERROR(
VLOOKUP(
TRIM(CLEAN(
INDEX(REPORTE_DROPI!K:K,
MATCH(T262, REPORTE_DROPI!B:B, 0)
))),
{
TRIM(CLEAN(MAPA_ESTADOS!A:A)) ,
MAPA_ESTADOS!B:B
},
2,
FALSE
),
"REVISAR"
)</f>
        <v>ENTREGADO</v>
      </c>
      <c r="P262" s="154" t="s">
        <v>3655</v>
      </c>
      <c r="Q262" s="191"/>
      <c r="R262" s="170"/>
      <c r="S262" s="170"/>
      <c r="T262" s="154">
        <f t="array" ref="T262">IFERROR(
INDEX(REPORTE_DROPI!B:B,
MATCH(
CLEAN(TRIM(C262)),
CLEAN(TRIM(REPORTE_DROPI!E:E)),
0
)
),
""
)
</f>
        <v>4824403</v>
      </c>
      <c r="U262" s="154" t="s">
        <v>8820</v>
      </c>
      <c r="V262" s="192"/>
      <c r="W262" s="192"/>
      <c r="X262" s="192"/>
      <c r="Y262" s="192"/>
      <c r="Z262" s="192"/>
    </row>
    <row r="263" ht="22.5" customHeight="1">
      <c r="A263" s="154"/>
      <c r="B263" s="170">
        <v>46098.0</v>
      </c>
      <c r="C263" s="154" t="s">
        <v>8821</v>
      </c>
      <c r="D263" s="154" t="str">
        <f>IFERROR(__xludf.DUMMYFUNCTION("""COMPUTED_VALUE"""),"FilmPro®")</f>
        <v>FilmPro®</v>
      </c>
      <c r="E263" s="188">
        <v>7.05</v>
      </c>
      <c r="F263" s="189">
        <v>3.0</v>
      </c>
      <c r="G263" s="190">
        <v>30.0</v>
      </c>
      <c r="H263" s="154" t="s">
        <v>3727</v>
      </c>
      <c r="I263" s="154" t="s">
        <v>8247</v>
      </c>
      <c r="J263" s="189">
        <v>4.55</v>
      </c>
      <c r="K263" s="154">
        <v>18.4</v>
      </c>
      <c r="L263" s="154" t="s">
        <v>3650</v>
      </c>
      <c r="M263" s="170"/>
      <c r="N263" s="154" t="s">
        <v>8822</v>
      </c>
      <c r="O263" s="170" t="str">
        <f t="array" ref="O263">IFERROR(
VLOOKUP(
TRIM(CLEAN(
INDEX(REPORTE_DROPI!K:K,
MATCH(T263, REPORTE_DROPI!B:B, 0)
))),
{
TRIM(CLEAN(MAPA_ESTADOS!A:A)) ,
MAPA_ESTADOS!B:B
},
2,
FALSE
),
"REVISAR"
)</f>
        <v>ENTREGADO</v>
      </c>
      <c r="P263" s="154" t="s">
        <v>3655</v>
      </c>
      <c r="Q263" s="191"/>
      <c r="R263" s="170"/>
      <c r="S263" s="170"/>
      <c r="T263" s="154">
        <f t="array" ref="T263">IFERROR(
INDEX(REPORTE_DROPI!B:B,
MATCH(
CLEAN(TRIM(C263)),
CLEAN(TRIM(REPORTE_DROPI!E:E)),
0
)
),
""
)
</f>
        <v>4824558</v>
      </c>
      <c r="U263" s="154" t="s">
        <v>8823</v>
      </c>
      <c r="V263" s="192"/>
      <c r="W263" s="192"/>
      <c r="X263" s="192"/>
      <c r="Y263" s="192"/>
      <c r="Z263" s="192"/>
    </row>
    <row r="264" ht="22.5" customHeight="1">
      <c r="A264" s="154"/>
      <c r="B264" s="170">
        <v>46098.0</v>
      </c>
      <c r="C264" s="154" t="s">
        <v>8824</v>
      </c>
      <c r="D264" s="154" t="str">
        <f>IFERROR(__xludf.DUMMYFUNCTION("""COMPUTED_VALUE"""),"FilmPro®")</f>
        <v>FilmPro®</v>
      </c>
      <c r="E264" s="188">
        <v>7.05</v>
      </c>
      <c r="F264" s="189">
        <v>3.0</v>
      </c>
      <c r="G264" s="190">
        <v>30.0</v>
      </c>
      <c r="H264" s="154" t="s">
        <v>3727</v>
      </c>
      <c r="I264" s="154" t="s">
        <v>8247</v>
      </c>
      <c r="J264" s="189">
        <v>4.55</v>
      </c>
      <c r="K264" s="154">
        <v>18.4</v>
      </c>
      <c r="L264" s="154" t="s">
        <v>3650</v>
      </c>
      <c r="M264" s="170"/>
      <c r="N264" s="154" t="s">
        <v>8825</v>
      </c>
      <c r="O264" s="170" t="str">
        <f t="array" ref="O264">IFERROR(
VLOOKUP(
TRIM(CLEAN(
INDEX(REPORTE_DROPI!K:K,
MATCH(T264, REPORTE_DROPI!B:B, 0)
))),
{
TRIM(CLEAN(MAPA_ESTADOS!A:A)) ,
MAPA_ESTADOS!B:B
},
2,
FALSE
),
"REVISAR"
)</f>
        <v>ENTREGADO</v>
      </c>
      <c r="P264" s="154" t="s">
        <v>3655</v>
      </c>
      <c r="Q264" s="191"/>
      <c r="R264" s="170"/>
      <c r="S264" s="170"/>
      <c r="T264" s="154">
        <f t="array" ref="T264">IFERROR(
INDEX(REPORTE_DROPI!B:B,
MATCH(
CLEAN(TRIM(C264)),
CLEAN(TRIM(REPORTE_DROPI!E:E)),
0
)
),
""
)
</f>
        <v>4824839</v>
      </c>
      <c r="U264" s="154" t="s">
        <v>8826</v>
      </c>
      <c r="V264" s="192"/>
      <c r="W264" s="192"/>
      <c r="X264" s="192"/>
      <c r="Y264" s="192"/>
      <c r="Z264" s="192"/>
    </row>
    <row r="265" ht="22.5" customHeight="1">
      <c r="A265" s="154"/>
      <c r="B265" s="170">
        <v>46098.0</v>
      </c>
      <c r="C265" s="154" t="s">
        <v>8827</v>
      </c>
      <c r="D265" s="154" t="str">
        <f>IFERROR(__xludf.DUMMYFUNCTION("""COMPUTED_VALUE"""),"FilmPro®")</f>
        <v>FilmPro®</v>
      </c>
      <c r="E265" s="188">
        <v>2.35</v>
      </c>
      <c r="F265" s="189">
        <v>2.0</v>
      </c>
      <c r="G265" s="190">
        <v>20.0</v>
      </c>
      <c r="H265" s="154" t="s">
        <v>3727</v>
      </c>
      <c r="I265" s="154" t="s">
        <v>8352</v>
      </c>
      <c r="J265" s="189">
        <v>6.68</v>
      </c>
      <c r="K265" s="154">
        <v>10.97</v>
      </c>
      <c r="L265" s="154" t="s">
        <v>3650</v>
      </c>
      <c r="M265" s="170"/>
      <c r="N265" s="154" t="s">
        <v>8828</v>
      </c>
      <c r="O265" s="170" t="str">
        <f t="array" ref="O265">IFERROR(
VLOOKUP(
TRIM(CLEAN(
INDEX(REPORTE_DROPI!K:K,
MATCH(T265, REPORTE_DROPI!B:B, 0)
))),
{
TRIM(CLEAN(MAPA_ESTADOS!A:A)) ,
MAPA_ESTADOS!B:B
},
2,
FALSE
),
"REVISAR"
)</f>
        <v>ENTREGADO</v>
      </c>
      <c r="P265" s="154" t="s">
        <v>3655</v>
      </c>
      <c r="Q265" s="191"/>
      <c r="R265" s="170"/>
      <c r="S265" s="170"/>
      <c r="T265" s="154">
        <f t="array" ref="T265">IFERROR(
INDEX(REPORTE_DROPI!B:B,
MATCH(
CLEAN(TRIM(C265)),
CLEAN(TRIM(REPORTE_DROPI!E:E)),
0
)
),
""
)
</f>
        <v>4827880</v>
      </c>
      <c r="U265" s="154" t="s">
        <v>8829</v>
      </c>
      <c r="V265" s="192"/>
      <c r="W265" s="192"/>
      <c r="X265" s="192"/>
      <c r="Y265" s="192"/>
      <c r="Z265" s="192"/>
    </row>
    <row r="266" ht="22.5" customHeight="1">
      <c r="A266" s="154"/>
      <c r="B266" s="170">
        <v>46098.0</v>
      </c>
      <c r="C266" s="154" t="s">
        <v>8830</v>
      </c>
      <c r="D266" s="154" t="str">
        <f>IFERROR(__xludf.DUMMYFUNCTION("""COMPUTED_VALUE"""),"FilmPro®")</f>
        <v>FilmPro®</v>
      </c>
      <c r="E266" s="188" t="s">
        <v>3650</v>
      </c>
      <c r="F266" s="189">
        <v>1.0</v>
      </c>
      <c r="G266" s="190" t="s">
        <v>3650</v>
      </c>
      <c r="H266" s="154" t="s">
        <v>3727</v>
      </c>
      <c r="I266" s="154" t="s">
        <v>8247</v>
      </c>
      <c r="J266" s="189" t="s">
        <v>3650</v>
      </c>
      <c r="K266" s="154"/>
      <c r="L266" s="154" t="s">
        <v>3650</v>
      </c>
      <c r="M266" s="170"/>
      <c r="N266" s="154" t="s">
        <v>8831</v>
      </c>
      <c r="O266" s="170" t="str">
        <f t="array" ref="O266">IFERROR(
VLOOKUP(
TRIM(CLEAN(
INDEX(REPORTE_DROPI!K:K,
MATCH(T266, REPORTE_DROPI!B:B, 0)
))),
{
TRIM(CLEAN(MAPA_ESTADOS!A:A)) ,
MAPA_ESTADOS!B:B
},
2,
FALSE
),
"REVISAR"
)</f>
        <v>PENDIENTE</v>
      </c>
      <c r="P266" s="202" t="s">
        <v>8106</v>
      </c>
      <c r="Q266" s="191"/>
      <c r="R266" s="170"/>
      <c r="S266" s="170"/>
      <c r="T266" s="154">
        <f t="array" ref="T266">IFERROR(
INDEX(REPORTE_DROPI!B:B,
MATCH(
CLEAN(TRIM(C266)),
CLEAN(TRIM(REPORTE_DROPI!E:E)),
0
)
),
""
)
</f>
        <v>4827239</v>
      </c>
      <c r="U266" s="154" t="s">
        <v>8832</v>
      </c>
      <c r="V266" s="192"/>
      <c r="W266" s="192"/>
      <c r="X266" s="192"/>
      <c r="Y266" s="192"/>
      <c r="Z266" s="192"/>
    </row>
    <row r="267" ht="22.5" customHeight="1">
      <c r="A267" s="154"/>
      <c r="B267" s="170">
        <v>46098.0</v>
      </c>
      <c r="C267" s="154" t="s">
        <v>8833</v>
      </c>
      <c r="D267" s="154" t="str">
        <f>IFERROR(__xludf.DUMMYFUNCTION("""COMPUTED_VALUE"""),"FilmPro®")</f>
        <v>FilmPro®</v>
      </c>
      <c r="E267" s="188" t="s">
        <v>3650</v>
      </c>
      <c r="F267" s="189">
        <v>2.0</v>
      </c>
      <c r="G267" s="190" t="s">
        <v>3650</v>
      </c>
      <c r="H267" s="154" t="s">
        <v>3727</v>
      </c>
      <c r="I267" s="154" t="s">
        <v>8233</v>
      </c>
      <c r="J267" s="189" t="s">
        <v>3650</v>
      </c>
      <c r="K267" s="154"/>
      <c r="L267" s="154" t="s">
        <v>3650</v>
      </c>
      <c r="M267" s="170"/>
      <c r="N267" s="154" t="s">
        <v>8834</v>
      </c>
      <c r="O267" s="170" t="str">
        <f t="array" ref="O267">IFERROR(
VLOOKUP(
TRIM(CLEAN(
INDEX(REPORTE_DROPI!K:K,
MATCH(T267, REPORTE_DROPI!B:B, 0)
))),
{
TRIM(CLEAN(MAPA_ESTADOS!A:A)) ,
MAPA_ESTADOS!B:B
},
2,
FALSE
),
"REVISAR"
)</f>
        <v>PENDIENTE</v>
      </c>
      <c r="P267" s="202" t="s">
        <v>8106</v>
      </c>
      <c r="Q267" s="191"/>
      <c r="R267" s="170"/>
      <c r="S267" s="170"/>
      <c r="T267" s="154">
        <f t="array" ref="T267">IFERROR(
INDEX(REPORTE_DROPI!B:B,
MATCH(
CLEAN(TRIM(C267)),
CLEAN(TRIM(REPORTE_DROPI!E:E)),
0
)
),
""
)
</f>
        <v>4827504</v>
      </c>
      <c r="U267" s="154" t="s">
        <v>8835</v>
      </c>
      <c r="V267" s="192"/>
      <c r="W267" s="192"/>
      <c r="X267" s="192"/>
      <c r="Y267" s="192"/>
      <c r="Z267" s="192"/>
    </row>
    <row r="268" ht="22.5" customHeight="1">
      <c r="A268" s="154"/>
      <c r="B268" s="170">
        <v>46098.0</v>
      </c>
      <c r="C268" s="154" t="s">
        <v>8836</v>
      </c>
      <c r="D268" s="154" t="str">
        <f>IFERROR(__xludf.DUMMYFUNCTION("""COMPUTED_VALUE"""),"FilmPro®")</f>
        <v>FilmPro®</v>
      </c>
      <c r="E268" s="188">
        <v>4.7</v>
      </c>
      <c r="F268" s="189">
        <v>2.0</v>
      </c>
      <c r="G268" s="190">
        <v>25.0</v>
      </c>
      <c r="H268" s="154" t="s">
        <v>3727</v>
      </c>
      <c r="I268" s="154" t="s">
        <v>8653</v>
      </c>
      <c r="J268" s="189">
        <v>5.96</v>
      </c>
      <c r="K268" s="154">
        <v>14.34</v>
      </c>
      <c r="L268" s="154" t="s">
        <v>3650</v>
      </c>
      <c r="M268" s="170"/>
      <c r="N268" s="154" t="s">
        <v>8837</v>
      </c>
      <c r="O268" s="170" t="str">
        <f t="array" ref="O268">IFERROR(
VLOOKUP(
TRIM(CLEAN(
INDEX(REPORTE_DROPI!K:K,
MATCH(T268, REPORTE_DROPI!B:B, 0)
))),
{
TRIM(CLEAN(MAPA_ESTADOS!A:A)) ,
MAPA_ESTADOS!B:B
},
2,
FALSE
),
"REVISAR"
)</f>
        <v>ENTREGADO</v>
      </c>
      <c r="P268" s="154" t="s">
        <v>3655</v>
      </c>
      <c r="Q268" s="191"/>
      <c r="R268" s="170"/>
      <c r="S268" s="170"/>
      <c r="T268" s="154">
        <f t="array" ref="T268">IFERROR(
INDEX(REPORTE_DROPI!B:B,
MATCH(
CLEAN(TRIM(C268)),
CLEAN(TRIM(REPORTE_DROPI!E:E)),
0
)
),
""
)
</f>
        <v>4827878</v>
      </c>
      <c r="U268" s="194">
        <v>1.90152191187E11</v>
      </c>
      <c r="V268" s="192"/>
      <c r="W268" s="192"/>
      <c r="X268" s="192"/>
      <c r="Y268" s="192"/>
      <c r="Z268" s="192"/>
    </row>
    <row r="269" ht="22.5" customHeight="1">
      <c r="A269" s="154"/>
      <c r="B269" s="170">
        <v>46098.0</v>
      </c>
      <c r="C269" s="154" t="s">
        <v>8838</v>
      </c>
      <c r="D269" s="154" t="str">
        <f>IFERROR(__xludf.DUMMYFUNCTION("""COMPUTED_VALUE"""),"FilmPro®")</f>
        <v>FilmPro®</v>
      </c>
      <c r="E269" s="188">
        <v>2.35</v>
      </c>
      <c r="F269" s="189">
        <v>1.0</v>
      </c>
      <c r="G269" s="190">
        <v>20.0</v>
      </c>
      <c r="H269" s="154" t="s">
        <v>3727</v>
      </c>
      <c r="I269" s="154" t="s">
        <v>8243</v>
      </c>
      <c r="J269" s="189">
        <v>5.76</v>
      </c>
      <c r="K269" s="154">
        <v>11.89</v>
      </c>
      <c r="L269" s="154" t="s">
        <v>3650</v>
      </c>
      <c r="M269" s="170"/>
      <c r="N269" s="154" t="s">
        <v>8839</v>
      </c>
      <c r="O269" s="170" t="str">
        <f t="array" ref="O269">IFERROR(
VLOOKUP(
TRIM(CLEAN(
INDEX(REPORTE_DROPI!K:K,
MATCH(T269, REPORTE_DROPI!B:B, 0)
))),
{
TRIM(CLEAN(MAPA_ESTADOS!A:A)) ,
MAPA_ESTADOS!B:B
},
2,
FALSE
),
"REVISAR"
)</f>
        <v>ENTREGADO</v>
      </c>
      <c r="P269" s="154" t="s">
        <v>3655</v>
      </c>
      <c r="Q269" s="191"/>
      <c r="R269" s="170"/>
      <c r="S269" s="170"/>
      <c r="T269" s="154">
        <f t="array" ref="T269">IFERROR(
INDEX(REPORTE_DROPI!B:B,
MATCH(
CLEAN(TRIM(C269)),
CLEAN(TRIM(REPORTE_DROPI!E:E)),
0
)
),
""
)
</f>
        <v>4828369</v>
      </c>
      <c r="U269" s="154" t="s">
        <v>8840</v>
      </c>
      <c r="V269" s="192"/>
      <c r="W269" s="192"/>
      <c r="X269" s="192"/>
      <c r="Y269" s="192"/>
      <c r="Z269" s="192"/>
    </row>
    <row r="270" ht="22.5" customHeight="1">
      <c r="A270" s="154"/>
      <c r="B270" s="170">
        <v>46098.0</v>
      </c>
      <c r="C270" s="154" t="s">
        <v>8841</v>
      </c>
      <c r="D270" s="154" t="str">
        <f>IFERROR(__xludf.DUMMYFUNCTION("""COMPUTED_VALUE"""),"FilmPro®")</f>
        <v>FilmPro®</v>
      </c>
      <c r="E270" s="188" t="s">
        <v>3650</v>
      </c>
      <c r="F270" s="189">
        <v>1.0</v>
      </c>
      <c r="G270" s="190" t="s">
        <v>3650</v>
      </c>
      <c r="H270" s="154" t="s">
        <v>3727</v>
      </c>
      <c r="I270" s="154" t="s">
        <v>8233</v>
      </c>
      <c r="J270" s="189" t="s">
        <v>3650</v>
      </c>
      <c r="K270" s="154"/>
      <c r="L270" s="154" t="s">
        <v>3650</v>
      </c>
      <c r="M270" s="170"/>
      <c r="N270" s="154" t="s">
        <v>8842</v>
      </c>
      <c r="O270" s="170" t="str">
        <f t="array" ref="O270">IFERROR(
VLOOKUP(
TRIM(CLEAN(
INDEX(REPORTE_DROPI!K:K,
MATCH(T270, REPORTE_DROPI!B:B, 0)
))),
{
TRIM(CLEAN(MAPA_ESTADOS!A:A)) ,
MAPA_ESTADOS!B:B
},
2,
FALSE
),
"REVISAR"
)</f>
        <v>PROCESO</v>
      </c>
      <c r="P270" s="205" t="s">
        <v>8647</v>
      </c>
      <c r="Q270" s="191"/>
      <c r="R270" s="170"/>
      <c r="S270" s="170"/>
      <c r="T270" s="154">
        <f t="array" ref="T270">IFERROR(
INDEX(REPORTE_DROPI!B:B,
MATCH(
CLEAN(TRIM(C270)),
CLEAN(TRIM(REPORTE_DROPI!E:E)),
0
)
),
""
)
</f>
        <v>4871220</v>
      </c>
      <c r="U270" s="154" t="s">
        <v>8843</v>
      </c>
      <c r="V270" s="192"/>
      <c r="W270" s="192"/>
      <c r="X270" s="192"/>
      <c r="Y270" s="192"/>
      <c r="Z270" s="192"/>
    </row>
    <row r="271" ht="22.5" customHeight="1">
      <c r="A271" s="154"/>
      <c r="B271" s="170">
        <v>46098.0</v>
      </c>
      <c r="C271" s="154" t="s">
        <v>8844</v>
      </c>
      <c r="D271" s="154" t="str">
        <f>IFERROR(__xludf.DUMMYFUNCTION("""COMPUTED_VALUE"""),"FilmPro®")</f>
        <v>FilmPro®</v>
      </c>
      <c r="E271" s="188" t="s">
        <v>3650</v>
      </c>
      <c r="F271" s="189">
        <v>1.0</v>
      </c>
      <c r="G271" s="190" t="s">
        <v>3650</v>
      </c>
      <c r="H271" s="154" t="s">
        <v>3727</v>
      </c>
      <c r="I271" s="154" t="s">
        <v>8247</v>
      </c>
      <c r="J271" s="189" t="s">
        <v>3650</v>
      </c>
      <c r="K271" s="154"/>
      <c r="L271" s="154" t="s">
        <v>3650</v>
      </c>
      <c r="M271" s="170"/>
      <c r="N271" s="154" t="s">
        <v>8845</v>
      </c>
      <c r="O271" s="170" t="str">
        <f t="array" ref="O271">IFERROR(
VLOOKUP(
TRIM(CLEAN(
INDEX(REPORTE_DROPI!K:K,
MATCH(T271, REPORTE_DROPI!B:B, 0)
))),
{
TRIM(CLEAN(MAPA_ESTADOS!A:A)) ,
MAPA_ESTADOS!B:B
},
2,
FALSE
),
"REVISAR"
)</f>
        <v>PROCESO</v>
      </c>
      <c r="P271" s="210" t="s">
        <v>3655</v>
      </c>
      <c r="Q271" s="191"/>
      <c r="R271" s="170"/>
      <c r="S271" s="170"/>
      <c r="T271" s="154">
        <f t="array" ref="T271">IFERROR(
INDEX(REPORTE_DROPI!B:B,
MATCH(
CLEAN(TRIM(C271)),
CLEAN(TRIM(REPORTE_DROPI!E:E)),
0
)
),
""
)
</f>
        <v>4829048</v>
      </c>
      <c r="U271" s="154" t="s">
        <v>8846</v>
      </c>
      <c r="V271" s="192"/>
      <c r="W271" s="192"/>
      <c r="X271" s="192"/>
      <c r="Y271" s="192"/>
      <c r="Z271" s="192"/>
    </row>
    <row r="272" ht="22.5" customHeight="1">
      <c r="A272" s="154"/>
      <c r="B272" s="170">
        <v>46098.0</v>
      </c>
      <c r="C272" s="154" t="s">
        <v>8847</v>
      </c>
      <c r="D272" s="154" t="str">
        <f>IFERROR(__xludf.DUMMYFUNCTION("""COMPUTED_VALUE"""),"FilmPro®")</f>
        <v>FilmPro®</v>
      </c>
      <c r="E272" s="188">
        <v>7.05</v>
      </c>
      <c r="F272" s="189">
        <v>3.0</v>
      </c>
      <c r="G272" s="190">
        <v>30.0</v>
      </c>
      <c r="H272" s="154" t="s">
        <v>3727</v>
      </c>
      <c r="I272" s="154" t="s">
        <v>8233</v>
      </c>
      <c r="J272" s="189">
        <v>6.73</v>
      </c>
      <c r="K272" s="154">
        <v>16.22</v>
      </c>
      <c r="L272" s="154" t="s">
        <v>3650</v>
      </c>
      <c r="M272" s="170"/>
      <c r="N272" s="154" t="s">
        <v>8848</v>
      </c>
      <c r="O272" s="170" t="str">
        <f t="array" ref="O272">IFERROR(
VLOOKUP(
TRIM(CLEAN(
INDEX(REPORTE_DROPI!K:K,
MATCH(T272, REPORTE_DROPI!B:B, 0)
))),
{
TRIM(CLEAN(MAPA_ESTADOS!A:A)) ,
MAPA_ESTADOS!B:B
},
2,
FALSE
),
"REVISAR"
)</f>
        <v>ENTREGADO</v>
      </c>
      <c r="P272" s="154" t="s">
        <v>3655</v>
      </c>
      <c r="Q272" s="191"/>
      <c r="R272" s="170"/>
      <c r="S272" s="170"/>
      <c r="T272" s="154">
        <f t="array" ref="T272">IFERROR(
INDEX(REPORTE_DROPI!B:B,
MATCH(
CLEAN(TRIM(C272)),
CLEAN(TRIM(REPORTE_DROPI!E:E)),
0
)
),
""
)
</f>
        <v>4831616</v>
      </c>
      <c r="U272" s="154" t="s">
        <v>8849</v>
      </c>
      <c r="V272" s="192"/>
      <c r="W272" s="192"/>
      <c r="X272" s="192"/>
      <c r="Y272" s="192"/>
      <c r="Z272" s="192"/>
    </row>
    <row r="273" ht="22.5" customHeight="1">
      <c r="A273" s="154"/>
      <c r="B273" s="170">
        <v>46098.0</v>
      </c>
      <c r="C273" s="154" t="s">
        <v>8850</v>
      </c>
      <c r="D273" s="154" t="str">
        <f>IFERROR(__xludf.DUMMYFUNCTION("""COMPUTED_VALUE"""),"FilmPro®")</f>
        <v>FilmPro®</v>
      </c>
      <c r="E273" s="188" t="s">
        <v>3650</v>
      </c>
      <c r="F273" s="189">
        <v>2.0</v>
      </c>
      <c r="G273" s="190" t="s">
        <v>3650</v>
      </c>
      <c r="H273" s="154" t="s">
        <v>3727</v>
      </c>
      <c r="I273" s="154" t="s">
        <v>8320</v>
      </c>
      <c r="J273" s="189" t="s">
        <v>3650</v>
      </c>
      <c r="K273" s="154"/>
      <c r="L273" s="154" t="s">
        <v>3650</v>
      </c>
      <c r="M273" s="170"/>
      <c r="N273" s="154" t="s">
        <v>8851</v>
      </c>
      <c r="O273" s="170" t="str">
        <f t="array" ref="O273">IFERROR(
VLOOKUP(
TRIM(CLEAN(
INDEX(REPORTE_DROPI!K:K,
MATCH(T273, REPORTE_DROPI!B:B, 0)
))),
{
TRIM(CLEAN(MAPA_ESTADOS!A:A)) ,
MAPA_ESTADOS!B:B
},
2,
FALSE
),
"REVISAR"
)</f>
        <v>PROCESO</v>
      </c>
      <c r="P273" s="210" t="s">
        <v>3655</v>
      </c>
      <c r="Q273" s="191"/>
      <c r="R273" s="170"/>
      <c r="S273" s="170"/>
      <c r="T273" s="154">
        <f t="array" ref="T273">IFERROR(
INDEX(REPORTE_DROPI!B:B,
MATCH(
CLEAN(TRIM(C273)),
CLEAN(TRIM(REPORTE_DROPI!E:E)),
0
)
),
""
)
</f>
        <v>4832151</v>
      </c>
      <c r="U273" s="194">
        <v>1.2820116017E11</v>
      </c>
      <c r="V273" s="192"/>
      <c r="W273" s="192"/>
      <c r="X273" s="192"/>
      <c r="Y273" s="192"/>
      <c r="Z273" s="192"/>
    </row>
    <row r="274" ht="22.5" customHeight="1">
      <c r="A274" s="154"/>
      <c r="B274" s="170">
        <v>46098.0</v>
      </c>
      <c r="C274" s="154" t="s">
        <v>8852</v>
      </c>
      <c r="D274" s="154" t="str">
        <f>IFERROR(__xludf.DUMMYFUNCTION("""COMPUTED_VALUE"""),"FilmPro®")</f>
        <v>FilmPro®</v>
      </c>
      <c r="E274" s="188" t="s">
        <v>3650</v>
      </c>
      <c r="F274" s="189">
        <v>1.0</v>
      </c>
      <c r="G274" s="190" t="s">
        <v>3650</v>
      </c>
      <c r="H274" s="154" t="s">
        <v>3727</v>
      </c>
      <c r="I274" s="154" t="s">
        <v>8243</v>
      </c>
      <c r="J274" s="189" t="s">
        <v>3650</v>
      </c>
      <c r="K274" s="154"/>
      <c r="L274" s="154" t="s">
        <v>3650</v>
      </c>
      <c r="M274" s="170"/>
      <c r="N274" s="154" t="s">
        <v>8853</v>
      </c>
      <c r="O274" s="170" t="str">
        <f t="array" ref="O274">IFERROR(
VLOOKUP(
TRIM(CLEAN(
INDEX(REPORTE_DROPI!K:K,
MATCH(T274, REPORTE_DROPI!B:B, 0)
))),
{
TRIM(CLEAN(MAPA_ESTADOS!A:A)) ,
MAPA_ESTADOS!B:B
},
2,
FALSE
),
"REVISAR"
)</f>
        <v>PENDIENTE</v>
      </c>
      <c r="P274" s="202" t="s">
        <v>8854</v>
      </c>
      <c r="Q274" s="191"/>
      <c r="R274" s="170"/>
      <c r="S274" s="170"/>
      <c r="T274" s="154">
        <f t="array" ref="T274">IFERROR(
INDEX(REPORTE_DROPI!B:B,
MATCH(
CLEAN(TRIM(C274)),
CLEAN(TRIM(REPORTE_DROPI!E:E)),
0
)
),
""
)
</f>
        <v>4832640</v>
      </c>
      <c r="U274" s="194">
        <v>1.57100105102E11</v>
      </c>
      <c r="V274" s="192"/>
      <c r="W274" s="192"/>
      <c r="X274" s="192"/>
      <c r="Y274" s="192"/>
      <c r="Z274" s="192"/>
    </row>
    <row r="275" ht="22.5" customHeight="1">
      <c r="A275" s="154"/>
      <c r="B275" s="170">
        <v>46098.0</v>
      </c>
      <c r="C275" s="154" t="s">
        <v>8855</v>
      </c>
      <c r="D275" s="154" t="str">
        <f>IFERROR(__xludf.DUMMYFUNCTION("""COMPUTED_VALUE"""),"FilmPro®")</f>
        <v>FilmPro®</v>
      </c>
      <c r="E275" s="188" t="s">
        <v>3650</v>
      </c>
      <c r="F275" s="189">
        <v>3.0</v>
      </c>
      <c r="G275" s="190" t="s">
        <v>3650</v>
      </c>
      <c r="H275" s="154" t="s">
        <v>3727</v>
      </c>
      <c r="I275" s="154" t="s">
        <v>8243</v>
      </c>
      <c r="J275" s="189" t="s">
        <v>3650</v>
      </c>
      <c r="K275" s="154"/>
      <c r="L275" s="154" t="s">
        <v>3650</v>
      </c>
      <c r="M275" s="170"/>
      <c r="N275" s="154" t="s">
        <v>8856</v>
      </c>
      <c r="O275" s="170" t="str">
        <f t="array" ref="O275">IFERROR(
VLOOKUP(
TRIM(CLEAN(
INDEX(REPORTE_DROPI!K:K,
MATCH(T275, REPORTE_DROPI!B:B, 0)
))),
{
TRIM(CLEAN(MAPA_ESTADOS!A:A)) ,
MAPA_ESTADOS!B:B
},
2,
FALSE
),
"REVISAR"
)</f>
        <v>NOVEDAD</v>
      </c>
      <c r="P275" s="154" t="s">
        <v>3655</v>
      </c>
      <c r="Q275" s="191"/>
      <c r="R275" s="170"/>
      <c r="S275" s="170"/>
      <c r="T275" s="154">
        <f t="array" ref="T275">IFERROR(
INDEX(REPORTE_DROPI!B:B,
MATCH(
CLEAN(TRIM(C275)),
CLEAN(TRIM(REPORTE_DROPI!E:E)),
0
)
),
""
)
</f>
        <v>4833627</v>
      </c>
      <c r="U275" s="154" t="s">
        <v>8857</v>
      </c>
      <c r="V275" s="192"/>
      <c r="W275" s="192"/>
      <c r="X275" s="192"/>
      <c r="Y275" s="192"/>
      <c r="Z275" s="192"/>
    </row>
    <row r="276" ht="22.5" customHeight="1">
      <c r="A276" s="154"/>
      <c r="B276" s="170">
        <v>46098.0</v>
      </c>
      <c r="C276" s="154" t="s">
        <v>8858</v>
      </c>
      <c r="D276" s="154" t="str">
        <f>IFERROR(__xludf.DUMMYFUNCTION("""COMPUTED_VALUE"""),"FilmPro®")</f>
        <v>FilmPro®</v>
      </c>
      <c r="E276" s="188" t="s">
        <v>3650</v>
      </c>
      <c r="F276" s="189">
        <v>1.0</v>
      </c>
      <c r="G276" s="190" t="s">
        <v>3650</v>
      </c>
      <c r="H276" s="154" t="s">
        <v>3727</v>
      </c>
      <c r="I276" s="154" t="s">
        <v>8281</v>
      </c>
      <c r="J276" s="189" t="s">
        <v>3650</v>
      </c>
      <c r="K276" s="154"/>
      <c r="L276" s="154" t="s">
        <v>3650</v>
      </c>
      <c r="M276" s="170"/>
      <c r="N276" s="154" t="s">
        <v>8859</v>
      </c>
      <c r="O276" s="170" t="str">
        <f t="array" ref="O276">IFERROR(
VLOOKUP(
TRIM(CLEAN(
INDEX(REPORTE_DROPI!K:K,
MATCH(T276, REPORTE_DROPI!B:B, 0)
))),
{
TRIM(CLEAN(MAPA_ESTADOS!A:A)) ,
MAPA_ESTADOS!B:B
},
2,
FALSE
),
"REVISAR"
)</f>
        <v>PROCESO</v>
      </c>
      <c r="P276" s="154" t="s">
        <v>3655</v>
      </c>
      <c r="Q276" s="191"/>
      <c r="R276" s="170"/>
      <c r="S276" s="170"/>
      <c r="T276" s="154">
        <f t="array" ref="T276">IFERROR(
INDEX(REPORTE_DROPI!B:B,
MATCH(
CLEAN(TRIM(C276)),
CLEAN(TRIM(REPORTE_DROPI!E:E)),
0
)
),
""
)
</f>
        <v>4834469</v>
      </c>
      <c r="U276" s="194">
        <v>1.38122111236E11</v>
      </c>
      <c r="V276" s="192"/>
      <c r="W276" s="192"/>
      <c r="X276" s="192"/>
      <c r="Y276" s="192"/>
      <c r="Z276" s="192"/>
    </row>
    <row r="277" ht="22.5" customHeight="1">
      <c r="A277" s="154"/>
      <c r="B277" s="170">
        <v>46099.0</v>
      </c>
      <c r="C277" s="154" t="s">
        <v>8860</v>
      </c>
      <c r="D277" s="154" t="str">
        <f>IFERROR(__xludf.DUMMYFUNCTION("""COMPUTED_VALUE"""),"FilmPro®")</f>
        <v>FilmPro®</v>
      </c>
      <c r="E277" s="188" t="s">
        <v>3650</v>
      </c>
      <c r="F277" s="189">
        <v>1.0</v>
      </c>
      <c r="G277" s="190" t="s">
        <v>3650</v>
      </c>
      <c r="H277" s="154" t="s">
        <v>3727</v>
      </c>
      <c r="I277" s="154" t="s">
        <v>8247</v>
      </c>
      <c r="J277" s="189" t="s">
        <v>3650</v>
      </c>
      <c r="K277" s="154"/>
      <c r="L277" s="154" t="s">
        <v>3650</v>
      </c>
      <c r="M277" s="170"/>
      <c r="N277" s="154" t="s">
        <v>8861</v>
      </c>
      <c r="O277" s="170" t="str">
        <f t="array" ref="O277">IFERROR(
VLOOKUP(
TRIM(CLEAN(
INDEX(REPORTE_DROPI!K:K,
MATCH(T277, REPORTE_DROPI!B:B, 0)
))),
{
TRIM(CLEAN(MAPA_ESTADOS!A:A)) ,
MAPA_ESTADOS!B:B
},
2,
FALSE
),
"REVISAR"
)</f>
        <v>PENDIENTE</v>
      </c>
      <c r="P277" s="202" t="s">
        <v>8106</v>
      </c>
      <c r="Q277" s="191"/>
      <c r="R277" s="170"/>
      <c r="S277" s="170"/>
      <c r="T277" s="154">
        <f t="array" ref="T277">IFERROR(
INDEX(REPORTE_DROPI!B:B,
MATCH(
CLEAN(TRIM(C277)),
CLEAN(TRIM(REPORTE_DROPI!E:E)),
0
)
),
""
)
</f>
        <v>4834865</v>
      </c>
      <c r="U277" s="154" t="s">
        <v>8862</v>
      </c>
      <c r="V277" s="192"/>
      <c r="W277" s="192"/>
      <c r="X277" s="192"/>
      <c r="Y277" s="192"/>
      <c r="Z277" s="192"/>
    </row>
    <row r="278" ht="22.5" customHeight="1">
      <c r="A278" s="154"/>
      <c r="B278" s="170">
        <v>46099.0</v>
      </c>
      <c r="C278" s="154" t="s">
        <v>8863</v>
      </c>
      <c r="D278" s="154" t="str">
        <f>IFERROR(__xludf.DUMMYFUNCTION("""COMPUTED_VALUE"""),"FilmPro®")</f>
        <v>FilmPro®</v>
      </c>
      <c r="E278" s="188" t="s">
        <v>3650</v>
      </c>
      <c r="F278" s="189">
        <v>2.0</v>
      </c>
      <c r="G278" s="190" t="s">
        <v>3650</v>
      </c>
      <c r="H278" s="154" t="s">
        <v>3727</v>
      </c>
      <c r="I278" s="154" t="s">
        <v>8247</v>
      </c>
      <c r="J278" s="189" t="s">
        <v>3650</v>
      </c>
      <c r="K278" s="154"/>
      <c r="L278" s="154" t="s">
        <v>3650</v>
      </c>
      <c r="M278" s="170"/>
      <c r="N278" s="154" t="s">
        <v>8864</v>
      </c>
      <c r="O278" s="170" t="str">
        <f t="array" ref="O278">IFERROR(
VLOOKUP(
TRIM(CLEAN(
INDEX(REPORTE_DROPI!K:K,
MATCH(T278, REPORTE_DROPI!B:B, 0)
))),
{
TRIM(CLEAN(MAPA_ESTADOS!A:A)) ,
MAPA_ESTADOS!B:B
},
2,
FALSE
),
"REVISAR"
)</f>
        <v>PENDIENTE</v>
      </c>
      <c r="P278" s="154" t="s">
        <v>5024</v>
      </c>
      <c r="Q278" s="191"/>
      <c r="R278" s="170"/>
      <c r="S278" s="170"/>
      <c r="T278" s="154">
        <f t="array" ref="T278">IFERROR(
INDEX(REPORTE_DROPI!B:B,
MATCH(
CLEAN(TRIM(C278)),
CLEAN(TRIM(REPORTE_DROPI!E:E)),
0
)
),
""
)
</f>
        <v>4835442</v>
      </c>
      <c r="U278" s="194">
        <v>1.86121160209E11</v>
      </c>
      <c r="V278" s="192"/>
      <c r="W278" s="192"/>
      <c r="X278" s="192"/>
      <c r="Y278" s="192"/>
      <c r="Z278" s="192"/>
    </row>
    <row r="279" ht="22.5" customHeight="1">
      <c r="A279" s="154"/>
      <c r="B279" s="170">
        <v>46099.0</v>
      </c>
      <c r="C279" s="154" t="s">
        <v>8865</v>
      </c>
      <c r="D279" s="154" t="str">
        <f>IFERROR(__xludf.DUMMYFUNCTION("""COMPUTED_VALUE"""),"FilmPro®")</f>
        <v>FilmPro®</v>
      </c>
      <c r="E279" s="188">
        <v>2.35</v>
      </c>
      <c r="F279" s="189">
        <v>1.0</v>
      </c>
      <c r="G279" s="190">
        <v>20.0</v>
      </c>
      <c r="H279" s="154" t="s">
        <v>3727</v>
      </c>
      <c r="I279" s="154" t="s">
        <v>8247</v>
      </c>
      <c r="J279" s="189">
        <v>4.15</v>
      </c>
      <c r="K279" s="154"/>
      <c r="L279" s="154" t="s">
        <v>3650</v>
      </c>
      <c r="M279" s="170"/>
      <c r="N279" s="154" t="s">
        <v>8866</v>
      </c>
      <c r="O279" s="170" t="str">
        <f t="array" ref="O279">IFERROR(
VLOOKUP(
TRIM(CLEAN(
INDEX(REPORTE_DROPI!K:K,
MATCH(T279, REPORTE_DROPI!B:B, 0)
))),
{
TRIM(CLEAN(MAPA_ESTADOS!A:A)) ,
MAPA_ESTADOS!B:B
},
2,
FALSE
),
"REVISAR"
)</f>
        <v>ENTREGADO</v>
      </c>
      <c r="P279" s="154" t="s">
        <v>3655</v>
      </c>
      <c r="Q279" s="191"/>
      <c r="R279" s="170"/>
      <c r="S279" s="170"/>
      <c r="T279" s="154">
        <f t="array" ref="T279">IFERROR(
INDEX(REPORTE_DROPI!B:B,
MATCH(
CLEAN(TRIM(C279)),
CLEAN(TRIM(REPORTE_DROPI!E:E)),
0
)
),
""
)
</f>
        <v>4835569</v>
      </c>
      <c r="U279" s="154" t="s">
        <v>8867</v>
      </c>
      <c r="V279" s="192"/>
      <c r="W279" s="192"/>
      <c r="X279" s="192"/>
      <c r="Y279" s="192"/>
      <c r="Z279" s="192"/>
    </row>
    <row r="280" ht="22.5" customHeight="1">
      <c r="A280" s="154"/>
      <c r="B280" s="170">
        <v>46099.0</v>
      </c>
      <c r="C280" s="154" t="s">
        <v>8868</v>
      </c>
      <c r="D280" s="154" t="str">
        <f>IFERROR(__xludf.DUMMYFUNCTION("""COMPUTED_VALUE"""),"FilmPro®")</f>
        <v>FilmPro®</v>
      </c>
      <c r="E280" s="188">
        <v>4.7</v>
      </c>
      <c r="F280" s="189">
        <v>2.0</v>
      </c>
      <c r="G280" s="190">
        <v>25.0</v>
      </c>
      <c r="H280" s="154" t="s">
        <v>3727</v>
      </c>
      <c r="I280" s="154" t="s">
        <v>8233</v>
      </c>
      <c r="J280" s="189">
        <v>5.96</v>
      </c>
      <c r="K280" s="154">
        <v>14.34</v>
      </c>
      <c r="L280" s="154" t="s">
        <v>3650</v>
      </c>
      <c r="M280" s="170"/>
      <c r="N280" s="154" t="s">
        <v>8869</v>
      </c>
      <c r="O280" s="170" t="str">
        <f t="array" ref="O280">IFERROR(
VLOOKUP(
TRIM(CLEAN(
INDEX(REPORTE_DROPI!K:K,
MATCH(T280, REPORTE_DROPI!B:B, 0)
))),
{
TRIM(CLEAN(MAPA_ESTADOS!A:A)) ,
MAPA_ESTADOS!B:B
},
2,
FALSE
),
"REVISAR"
)</f>
        <v>ENTREGADO</v>
      </c>
      <c r="P280" s="154" t="s">
        <v>3655</v>
      </c>
      <c r="Q280" s="191"/>
      <c r="R280" s="170"/>
      <c r="S280" s="170"/>
      <c r="T280" s="154">
        <f t="array" ref="T280">IFERROR(
INDEX(REPORTE_DROPI!B:B,
MATCH(
CLEAN(TRIM(C280)),
CLEAN(TRIM(REPORTE_DROPI!E:E)),
0
)
),
""
)
</f>
        <v>4835709</v>
      </c>
      <c r="U280" s="154" t="s">
        <v>8870</v>
      </c>
      <c r="V280" s="192"/>
      <c r="W280" s="192"/>
      <c r="X280" s="192"/>
      <c r="Y280" s="192"/>
      <c r="Z280" s="192"/>
    </row>
    <row r="281" ht="22.5" customHeight="1">
      <c r="A281" s="154"/>
      <c r="B281" s="170">
        <v>46099.0</v>
      </c>
      <c r="C281" s="154" t="s">
        <v>8871</v>
      </c>
      <c r="D281" s="154" t="str">
        <f>IFERROR(__xludf.DUMMYFUNCTION("""COMPUTED_VALUE"""),"FilmPro®")</f>
        <v>FilmPro®</v>
      </c>
      <c r="E281" s="188">
        <v>4.7</v>
      </c>
      <c r="F281" s="189">
        <v>2.0</v>
      </c>
      <c r="G281" s="190">
        <v>25.0</v>
      </c>
      <c r="H281" s="154" t="s">
        <v>3727</v>
      </c>
      <c r="I281" s="154" t="s">
        <v>8447</v>
      </c>
      <c r="J281" s="189">
        <v>5.96</v>
      </c>
      <c r="K281" s="154">
        <v>14.34</v>
      </c>
      <c r="L281" s="154" t="s">
        <v>3650</v>
      </c>
      <c r="M281" s="170"/>
      <c r="N281" s="154" t="s">
        <v>8872</v>
      </c>
      <c r="O281" s="170" t="str">
        <f t="array" ref="O281">IFERROR(
VLOOKUP(
TRIM(CLEAN(
INDEX(REPORTE_DROPI!K:K,
MATCH(T281, REPORTE_DROPI!B:B, 0)
))),
{
TRIM(CLEAN(MAPA_ESTADOS!A:A)) ,
MAPA_ESTADOS!B:B
},
2,
FALSE
),
"REVISAR"
)</f>
        <v>ENTREGADO</v>
      </c>
      <c r="P281" s="154" t="s">
        <v>3655</v>
      </c>
      <c r="Q281" s="191"/>
      <c r="R281" s="170"/>
      <c r="S281" s="170"/>
      <c r="T281" s="154">
        <f t="array" ref="T281">IFERROR(
INDEX(REPORTE_DROPI!B:B,
MATCH(
CLEAN(TRIM(C281)),
CLEAN(TRIM(REPORTE_DROPI!E:E)),
0
)
),
""
)
</f>
        <v>4836044</v>
      </c>
      <c r="U281" s="154" t="s">
        <v>8873</v>
      </c>
      <c r="V281" s="192"/>
      <c r="W281" s="192"/>
      <c r="X281" s="192"/>
      <c r="Y281" s="192"/>
      <c r="Z281" s="192"/>
    </row>
    <row r="282" ht="22.5" customHeight="1">
      <c r="A282" s="154"/>
      <c r="B282" s="170">
        <v>46099.0</v>
      </c>
      <c r="C282" s="154" t="s">
        <v>8874</v>
      </c>
      <c r="D282" s="154" t="str">
        <f>IFERROR(__xludf.DUMMYFUNCTION("""COMPUTED_VALUE"""),"FilmPro®")</f>
        <v>FilmPro®</v>
      </c>
      <c r="E282" s="188" t="s">
        <v>3650</v>
      </c>
      <c r="F282" s="189">
        <v>3.0</v>
      </c>
      <c r="G282" s="190" t="s">
        <v>3650</v>
      </c>
      <c r="H282" s="154" t="s">
        <v>3727</v>
      </c>
      <c r="I282" s="154" t="s">
        <v>8679</v>
      </c>
      <c r="J282" s="189" t="s">
        <v>3650</v>
      </c>
      <c r="K282" s="154"/>
      <c r="L282" s="154" t="s">
        <v>3650</v>
      </c>
      <c r="M282" s="170"/>
      <c r="N282" s="154" t="s">
        <v>8875</v>
      </c>
      <c r="O282" s="170" t="str">
        <f t="array" ref="O282">IFERROR(
VLOOKUP(
TRIM(CLEAN(
INDEX(REPORTE_DROPI!K:K,
MATCH(T282, REPORTE_DROPI!B:B, 0)
))),
{
TRIM(CLEAN(MAPA_ESTADOS!A:A)) ,
MAPA_ESTADOS!B:B
},
2,
FALSE
),
"REVISAR"
)</f>
        <v>PENDIENTE</v>
      </c>
      <c r="P282" s="205" t="s">
        <v>8876</v>
      </c>
      <c r="Q282" s="191"/>
      <c r="R282" s="170"/>
      <c r="S282" s="170"/>
      <c r="T282" s="154">
        <f t="array" ref="T282">IFERROR(
INDEX(REPORTE_DROPI!B:B,
MATCH(
CLEAN(TRIM(C282)),
CLEAN(TRIM(REPORTE_DROPI!E:E)),
0
)
),
""
)
</f>
        <v>4839623</v>
      </c>
      <c r="U282" s="154" t="s">
        <v>8877</v>
      </c>
      <c r="V282" s="192"/>
      <c r="W282" s="192"/>
      <c r="X282" s="192"/>
      <c r="Y282" s="192"/>
      <c r="Z282" s="192"/>
    </row>
    <row r="283" ht="22.5" customHeight="1">
      <c r="A283" s="154"/>
      <c r="B283" s="170">
        <v>46099.0</v>
      </c>
      <c r="C283" s="154" t="s">
        <v>8878</v>
      </c>
      <c r="D283" s="154" t="str">
        <f>IFERROR(__xludf.DUMMYFUNCTION("""COMPUTED_VALUE"""),"FilmPro®")</f>
        <v>FilmPro®</v>
      </c>
      <c r="E283" s="188" t="s">
        <v>3650</v>
      </c>
      <c r="F283" s="189">
        <v>2.0</v>
      </c>
      <c r="G283" s="190" t="s">
        <v>3650</v>
      </c>
      <c r="H283" s="154" t="s">
        <v>3727</v>
      </c>
      <c r="I283" s="154" t="s">
        <v>8247</v>
      </c>
      <c r="J283" s="189" t="s">
        <v>3650</v>
      </c>
      <c r="K283" s="154"/>
      <c r="L283" s="154" t="s">
        <v>3650</v>
      </c>
      <c r="M283" s="170"/>
      <c r="N283" s="154" t="s">
        <v>8879</v>
      </c>
      <c r="O283" s="170" t="str">
        <f t="array" ref="O283">IFERROR(
VLOOKUP(
TRIM(CLEAN(
INDEX(REPORTE_DROPI!K:K,
MATCH(T283, REPORTE_DROPI!B:B, 0)
))),
{
TRIM(CLEAN(MAPA_ESTADOS!A:A)) ,
MAPA_ESTADOS!B:B
},
2,
FALSE
),
"REVISAR"
)</f>
        <v>CANCELADO</v>
      </c>
      <c r="P283" s="205" t="s">
        <v>8880</v>
      </c>
      <c r="Q283" s="191"/>
      <c r="R283" s="170"/>
      <c r="S283" s="170"/>
      <c r="T283" s="154">
        <f t="array" ref="T283">IFERROR(
INDEX(REPORTE_DROPI!B:B,
MATCH(
CLEAN(TRIM(C283)),
CLEAN(TRIM(REPORTE_DROPI!E:E)),
0
)
),
""
)
</f>
        <v>4836488</v>
      </c>
      <c r="U283" s="154" t="s">
        <v>8881</v>
      </c>
      <c r="V283" s="192"/>
      <c r="W283" s="192"/>
      <c r="X283" s="192"/>
      <c r="Y283" s="192"/>
      <c r="Z283" s="192"/>
    </row>
    <row r="284" ht="22.5" customHeight="1">
      <c r="A284" s="154"/>
      <c r="B284" s="170">
        <v>46099.0</v>
      </c>
      <c r="C284" s="154" t="s">
        <v>8882</v>
      </c>
      <c r="D284" s="154"/>
      <c r="E284" s="188" t="s">
        <v>3650</v>
      </c>
      <c r="F284" s="189">
        <v>1.0</v>
      </c>
      <c r="G284" s="190" t="s">
        <v>3650</v>
      </c>
      <c r="H284" s="154" t="s">
        <v>3727</v>
      </c>
      <c r="I284" s="154" t="s">
        <v>8247</v>
      </c>
      <c r="J284" s="189" t="s">
        <v>3650</v>
      </c>
      <c r="K284" s="154"/>
      <c r="L284" s="154" t="s">
        <v>3650</v>
      </c>
      <c r="M284" s="170"/>
      <c r="N284" s="154" t="s">
        <v>8883</v>
      </c>
      <c r="O284" s="170" t="str">
        <f t="array" ref="O284">IFERROR(
VLOOKUP(
TRIM(CLEAN(
INDEX(REPORTE_DROPI!K:K,
MATCH(T284, REPORTE_DROPI!B:B, 0)
))),
{
TRIM(CLEAN(MAPA_ESTADOS!A:A)) ,
MAPA_ESTADOS!B:B
},
2,
FALSE
),
"REVISAR"
)</f>
        <v>PENDIENTE</v>
      </c>
      <c r="P284" s="205" t="s">
        <v>8884</v>
      </c>
      <c r="Q284" s="191"/>
      <c r="R284" s="170"/>
      <c r="S284" s="170"/>
      <c r="T284" s="154">
        <f t="array" ref="T284">IFERROR(
INDEX(REPORTE_DROPI!B:B,
MATCH(
CLEAN(TRIM(C284)),
CLEAN(TRIM(REPORTE_DROPI!E:E)),
0
)
),
""
)
</f>
        <v>4838588</v>
      </c>
      <c r="U284" s="154" t="s">
        <v>8885</v>
      </c>
      <c r="V284" s="192"/>
      <c r="W284" s="192"/>
      <c r="X284" s="192"/>
      <c r="Y284" s="192"/>
      <c r="Z284" s="192"/>
    </row>
    <row r="285" ht="22.5" customHeight="1">
      <c r="A285" s="154"/>
      <c r="B285" s="170">
        <v>46099.0</v>
      </c>
      <c r="C285" s="154" t="s">
        <v>8886</v>
      </c>
      <c r="D285" s="154" t="str">
        <f>IFERROR(__xludf.DUMMYFUNCTION("""COMPUTED_VALUE"""),"FilmPro®")</f>
        <v>FilmPro®</v>
      </c>
      <c r="E285" s="188" t="s">
        <v>3650</v>
      </c>
      <c r="F285" s="189">
        <v>3.0</v>
      </c>
      <c r="G285" s="190" t="s">
        <v>3650</v>
      </c>
      <c r="H285" s="154" t="s">
        <v>3727</v>
      </c>
      <c r="I285" s="154" t="s">
        <v>8281</v>
      </c>
      <c r="J285" s="189" t="s">
        <v>3650</v>
      </c>
      <c r="K285" s="154"/>
      <c r="L285" s="154" t="s">
        <v>3650</v>
      </c>
      <c r="M285" s="170"/>
      <c r="N285" s="154" t="s">
        <v>8887</v>
      </c>
      <c r="O285" s="170" t="str">
        <f t="array" ref="O285">IFERROR(
VLOOKUP(
TRIM(CLEAN(
INDEX(REPORTE_DROPI!K:K,
MATCH(T285, REPORTE_DROPI!B:B, 0)
))),
{
TRIM(CLEAN(MAPA_ESTADOS!A:A)) ,
MAPA_ESTADOS!B:B
},
2,
FALSE
),
"REVISAR"
)</f>
        <v>PROCESO</v>
      </c>
      <c r="P285" s="210" t="s">
        <v>3655</v>
      </c>
      <c r="Q285" s="191"/>
      <c r="R285" s="170"/>
      <c r="S285" s="170"/>
      <c r="T285" s="154">
        <f t="array" ref="T285">IFERROR(
INDEX(REPORTE_DROPI!B:B,
MATCH(
CLEAN(TRIM(C285)),
CLEAN(TRIM(REPORTE_DROPI!E:E)),
0
)
),
""
)
</f>
        <v>4839024</v>
      </c>
      <c r="U285" s="154" t="s">
        <v>8888</v>
      </c>
      <c r="V285" s="192"/>
      <c r="W285" s="192"/>
      <c r="X285" s="192"/>
      <c r="Y285" s="192"/>
      <c r="Z285" s="192"/>
    </row>
    <row r="286" ht="22.5" customHeight="1">
      <c r="A286" s="154"/>
      <c r="B286" s="170">
        <v>46099.0</v>
      </c>
      <c r="C286" s="154" t="s">
        <v>8889</v>
      </c>
      <c r="D286" s="154"/>
      <c r="E286" s="188" t="s">
        <v>3650</v>
      </c>
      <c r="F286" s="189">
        <v>2.0</v>
      </c>
      <c r="G286" s="190" t="s">
        <v>3650</v>
      </c>
      <c r="H286" s="154" t="s">
        <v>3727</v>
      </c>
      <c r="I286" s="154" t="s">
        <v>8372</v>
      </c>
      <c r="J286" s="189" t="s">
        <v>3650</v>
      </c>
      <c r="K286" s="154"/>
      <c r="L286" s="154" t="s">
        <v>3650</v>
      </c>
      <c r="M286" s="170"/>
      <c r="N286" s="154" t="s">
        <v>8890</v>
      </c>
      <c r="O286" s="170" t="str">
        <f t="array" ref="O286">IFERROR(
VLOOKUP(
TRIM(CLEAN(
INDEX(REPORTE_DROPI!K:K,
MATCH(T286, REPORTE_DROPI!B:B, 0)
))),
{
TRIM(CLEAN(MAPA_ESTADOS!A:A)) ,
MAPA_ESTADOS!B:B
},
2,
FALSE
),
"REVISAR"
)</f>
        <v>CANCELADO</v>
      </c>
      <c r="P286" s="154" t="s">
        <v>3655</v>
      </c>
      <c r="Q286" s="191"/>
      <c r="R286" s="170"/>
      <c r="S286" s="170"/>
      <c r="T286" s="154">
        <f t="array" ref="T286">IFERROR(
INDEX(REPORTE_DROPI!B:B,
MATCH(
CLEAN(TRIM(C286)),
CLEAN(TRIM(REPORTE_DROPI!E:E)),
0
)
),
""
)
</f>
        <v>4839944</v>
      </c>
      <c r="U286" s="154" t="s">
        <v>8891</v>
      </c>
      <c r="V286" s="192"/>
      <c r="W286" s="192"/>
      <c r="X286" s="192"/>
      <c r="Y286" s="192"/>
      <c r="Z286" s="192"/>
    </row>
    <row r="287" ht="22.5" customHeight="1">
      <c r="A287" s="154"/>
      <c r="B287" s="170">
        <v>46099.0</v>
      </c>
      <c r="C287" s="154" t="s">
        <v>8892</v>
      </c>
      <c r="D287" s="154" t="str">
        <f>IFERROR(__xludf.DUMMYFUNCTION("""COMPUTED_VALUE"""),"FilmPro®")</f>
        <v>FilmPro®</v>
      </c>
      <c r="E287" s="188">
        <v>4.7</v>
      </c>
      <c r="F287" s="189">
        <v>2.0</v>
      </c>
      <c r="G287" s="190">
        <v>25.0</v>
      </c>
      <c r="H287" s="154" t="s">
        <v>3727</v>
      </c>
      <c r="I287" s="154" t="s">
        <v>8247</v>
      </c>
      <c r="J287" s="189">
        <v>4.92</v>
      </c>
      <c r="K287" s="154">
        <v>15.38</v>
      </c>
      <c r="L287" s="154" t="s">
        <v>3650</v>
      </c>
      <c r="M287" s="170"/>
      <c r="N287" s="154" t="s">
        <v>8893</v>
      </c>
      <c r="O287" s="170" t="str">
        <f t="array" ref="O287">IFERROR(
VLOOKUP(
TRIM(CLEAN(
INDEX(REPORTE_DROPI!K:K,
MATCH(T287, REPORTE_DROPI!B:B, 0)
))),
{
TRIM(CLEAN(MAPA_ESTADOS!A:A)) ,
MAPA_ESTADOS!B:B
},
2,
FALSE
),
"REVISAR"
)</f>
        <v>ENTREGADO</v>
      </c>
      <c r="P287" s="154" t="s">
        <v>3655</v>
      </c>
      <c r="Q287" s="191"/>
      <c r="R287" s="170"/>
      <c r="S287" s="170"/>
      <c r="T287" s="154">
        <f t="array" ref="T287">IFERROR(
INDEX(REPORTE_DROPI!B:B,
MATCH(
CLEAN(TRIM(C287)),
CLEAN(TRIM(REPORTE_DROPI!E:E)),
0
)
),
""
)
</f>
        <v>4840104</v>
      </c>
      <c r="U287" s="154" t="s">
        <v>8894</v>
      </c>
      <c r="V287" s="192"/>
      <c r="W287" s="192"/>
      <c r="X287" s="192"/>
      <c r="Y287" s="192"/>
      <c r="Z287" s="192"/>
    </row>
    <row r="288" ht="22.5" customHeight="1">
      <c r="A288" s="154"/>
      <c r="B288" s="170">
        <v>46099.0</v>
      </c>
      <c r="C288" s="154" t="s">
        <v>8895</v>
      </c>
      <c r="D288" s="154" t="str">
        <f>IFERROR(__xludf.DUMMYFUNCTION("""COMPUTED_VALUE"""),"FilmPro®")</f>
        <v>FilmPro®</v>
      </c>
      <c r="E288" s="188" t="s">
        <v>3650</v>
      </c>
      <c r="F288" s="189">
        <v>2.0</v>
      </c>
      <c r="G288" s="190" t="s">
        <v>3650</v>
      </c>
      <c r="H288" s="154" t="s">
        <v>3727</v>
      </c>
      <c r="I288" s="154" t="s">
        <v>8243</v>
      </c>
      <c r="J288" s="189" t="s">
        <v>3650</v>
      </c>
      <c r="K288" s="154"/>
      <c r="L288" s="154" t="s">
        <v>3650</v>
      </c>
      <c r="M288" s="170"/>
      <c r="N288" s="154" t="s">
        <v>8896</v>
      </c>
      <c r="O288" s="170" t="str">
        <f t="array" ref="O288">IFERROR(
VLOOKUP(
TRIM(CLEAN(
INDEX(REPORTE_DROPI!K:K,
MATCH(T288, REPORTE_DROPI!B:B, 0)
))),
{
TRIM(CLEAN(MAPA_ESTADOS!A:A)) ,
MAPA_ESTADOS!B:B
},
2,
FALSE
),
"REVISAR"
)</f>
        <v>PENDIENTE</v>
      </c>
      <c r="P288" s="154" t="s">
        <v>3655</v>
      </c>
      <c r="Q288" s="191"/>
      <c r="R288" s="170"/>
      <c r="S288" s="170"/>
      <c r="T288" s="154">
        <f t="array" ref="T288">IFERROR(
INDEX(REPORTE_DROPI!B:B,
MATCH(
CLEAN(TRIM(C288)),
CLEAN(TRIM(REPORTE_DROPI!E:E)),
0
)
),
""
)
</f>
        <v>4841220</v>
      </c>
      <c r="U288" s="154" t="s">
        <v>8897</v>
      </c>
      <c r="V288" s="192"/>
      <c r="W288" s="192"/>
      <c r="X288" s="192"/>
      <c r="Y288" s="192"/>
      <c r="Z288" s="192"/>
    </row>
    <row r="289" ht="22.5" customHeight="1">
      <c r="A289" s="154"/>
      <c r="B289" s="170">
        <v>46099.0</v>
      </c>
      <c r="C289" s="154" t="s">
        <v>8898</v>
      </c>
      <c r="D289" s="154" t="str">
        <f>IFERROR(__xludf.DUMMYFUNCTION("""COMPUTED_VALUE"""),"FilmPro®")</f>
        <v>FilmPro®</v>
      </c>
      <c r="E289" s="188" t="s">
        <v>3650</v>
      </c>
      <c r="F289" s="189">
        <v>2.0</v>
      </c>
      <c r="G289" s="190" t="s">
        <v>3650</v>
      </c>
      <c r="H289" s="154" t="s">
        <v>3727</v>
      </c>
      <c r="I289" s="154" t="s">
        <v>8281</v>
      </c>
      <c r="J289" s="189" t="s">
        <v>3650</v>
      </c>
      <c r="K289" s="154"/>
      <c r="L289" s="154" t="s">
        <v>3650</v>
      </c>
      <c r="M289" s="170"/>
      <c r="N289" s="154" t="s">
        <v>8899</v>
      </c>
      <c r="O289" s="170" t="str">
        <f t="array" ref="O289">IFERROR(
VLOOKUP(
TRIM(CLEAN(
INDEX(REPORTE_DROPI!K:K,
MATCH(T289, REPORTE_DROPI!B:B, 0)
))),
{
TRIM(CLEAN(MAPA_ESTADOS!A:A)) ,
MAPA_ESTADOS!B:B
},
2,
FALSE
),
"REVISAR"
)</f>
        <v>PENDIENTE</v>
      </c>
      <c r="P289" s="154" t="s">
        <v>3655</v>
      </c>
      <c r="Q289" s="191"/>
      <c r="R289" s="170"/>
      <c r="S289" s="170"/>
      <c r="T289" s="154">
        <f t="array" ref="T289">IFERROR(
INDEX(REPORTE_DROPI!B:B,
MATCH(
CLEAN(TRIM(C289)),
CLEAN(TRIM(REPORTE_DROPI!E:E)),
0
)
),
""
)
</f>
        <v>4841469</v>
      </c>
      <c r="U289" s="154" t="s">
        <v>8900</v>
      </c>
      <c r="V289" s="192"/>
      <c r="W289" s="192"/>
      <c r="X289" s="192"/>
      <c r="Y289" s="192"/>
      <c r="Z289" s="192"/>
    </row>
    <row r="290" ht="22.5" customHeight="1">
      <c r="A290" s="154"/>
      <c r="B290" s="170">
        <v>46099.0</v>
      </c>
      <c r="C290" s="154" t="s">
        <v>8901</v>
      </c>
      <c r="D290" s="154" t="str">
        <f>IFERROR(__xludf.DUMMYFUNCTION("""COMPUTED_VALUE"""),"FilmPro®")</f>
        <v>FilmPro®</v>
      </c>
      <c r="E290" s="188">
        <v>7.05</v>
      </c>
      <c r="F290" s="189">
        <v>3.0</v>
      </c>
      <c r="G290" s="190">
        <v>30.0</v>
      </c>
      <c r="H290" s="154" t="s">
        <v>3727</v>
      </c>
      <c r="I290" s="154" t="s">
        <v>8372</v>
      </c>
      <c r="J290" s="189">
        <v>7.82</v>
      </c>
      <c r="K290" s="154">
        <v>15.13</v>
      </c>
      <c r="L290" s="154" t="s">
        <v>3650</v>
      </c>
      <c r="M290" s="170"/>
      <c r="N290" s="154" t="s">
        <v>8902</v>
      </c>
      <c r="O290" s="170" t="str">
        <f t="array" ref="O290">IFERROR(
VLOOKUP(
TRIM(CLEAN(
INDEX(REPORTE_DROPI!K:K,
MATCH(T290, REPORTE_DROPI!B:B, 0)
))),
{
TRIM(CLEAN(MAPA_ESTADOS!A:A)) ,
MAPA_ESTADOS!B:B
},
2,
FALSE
),
"REVISAR"
)</f>
        <v>ENTREGADO</v>
      </c>
      <c r="P290" s="154" t="s">
        <v>3655</v>
      </c>
      <c r="Q290" s="191"/>
      <c r="R290" s="170"/>
      <c r="S290" s="170"/>
      <c r="T290" s="154">
        <f t="array" ref="T290">IFERROR(
INDEX(REPORTE_DROPI!B:B,
MATCH(
CLEAN(TRIM(C290)),
CLEAN(TRIM(REPORTE_DROPI!E:E)),
0
)
),
""
)
</f>
        <v>4842056</v>
      </c>
      <c r="U290" s="194">
        <v>4.5183143149E10</v>
      </c>
      <c r="V290" s="192"/>
      <c r="W290" s="192"/>
      <c r="X290" s="192"/>
      <c r="Y290" s="192"/>
      <c r="Z290" s="192"/>
    </row>
    <row r="291" ht="22.5" customHeight="1">
      <c r="A291" s="154"/>
      <c r="B291" s="170">
        <v>46099.0</v>
      </c>
      <c r="C291" s="154" t="s">
        <v>8903</v>
      </c>
      <c r="D291" s="154" t="str">
        <f>IFERROR(__xludf.DUMMYFUNCTION("""COMPUTED_VALUE"""),"FilmPro®")</f>
        <v>FilmPro®</v>
      </c>
      <c r="E291" s="188">
        <v>7.05</v>
      </c>
      <c r="F291" s="189">
        <v>3.0</v>
      </c>
      <c r="G291" s="190">
        <v>30.0</v>
      </c>
      <c r="H291" s="154" t="s">
        <v>3727</v>
      </c>
      <c r="I291" s="154" t="s">
        <v>8251</v>
      </c>
      <c r="J291" s="189">
        <v>6.16</v>
      </c>
      <c r="K291" s="154">
        <v>16.79</v>
      </c>
      <c r="L291" s="154" t="s">
        <v>3650</v>
      </c>
      <c r="M291" s="170"/>
      <c r="N291" s="154" t="s">
        <v>8904</v>
      </c>
      <c r="O291" s="170" t="str">
        <f t="array" ref="O291">IFERROR(
VLOOKUP(
TRIM(CLEAN(
INDEX(REPORTE_DROPI!K:K,
MATCH(T291, REPORTE_DROPI!B:B, 0)
))),
{
TRIM(CLEAN(MAPA_ESTADOS!A:A)) ,
MAPA_ESTADOS!B:B
},
2,
FALSE
),
"REVISAR"
)</f>
        <v>ENTREGADO</v>
      </c>
      <c r="P291" s="154" t="s">
        <v>3655</v>
      </c>
      <c r="Q291" s="191"/>
      <c r="R291" s="170"/>
      <c r="S291" s="170"/>
      <c r="T291" s="154">
        <f t="array" ref="T291">IFERROR(
INDEX(REPORTE_DROPI!B:B,
MATCH(
CLEAN(TRIM(C291)),
CLEAN(TRIM(REPORTE_DROPI!E:E)),
0
)
),
""
)
</f>
        <v>4843467</v>
      </c>
      <c r="U291" s="154" t="s">
        <v>8905</v>
      </c>
      <c r="V291" s="192"/>
      <c r="W291" s="192"/>
      <c r="X291" s="192"/>
      <c r="Y291" s="192"/>
      <c r="Z291" s="192"/>
    </row>
    <row r="292" ht="22.5" customHeight="1">
      <c r="A292" s="154"/>
      <c r="B292" s="170">
        <v>46099.0</v>
      </c>
      <c r="C292" s="154" t="s">
        <v>8906</v>
      </c>
      <c r="D292" s="154" t="str">
        <f>IFERROR(__xludf.DUMMYFUNCTION("""COMPUTED_VALUE"""),"FilmPro®")</f>
        <v>FilmPro®</v>
      </c>
      <c r="E292" s="188">
        <v>7.05</v>
      </c>
      <c r="F292" s="189">
        <v>3.0</v>
      </c>
      <c r="G292" s="190">
        <v>30.0</v>
      </c>
      <c r="H292" s="154" t="s">
        <v>3727</v>
      </c>
      <c r="I292" s="154" t="s">
        <v>8247</v>
      </c>
      <c r="J292" s="189">
        <v>4.55</v>
      </c>
      <c r="K292" s="154">
        <v>18.4</v>
      </c>
      <c r="L292" s="154" t="s">
        <v>3650</v>
      </c>
      <c r="M292" s="170"/>
      <c r="N292" s="154" t="s">
        <v>8907</v>
      </c>
      <c r="O292" s="170" t="str">
        <f t="array" ref="O292">IFERROR(
VLOOKUP(
TRIM(CLEAN(
INDEX(REPORTE_DROPI!K:K,
MATCH(T292, REPORTE_DROPI!B:B, 0)
))),
{
TRIM(CLEAN(MAPA_ESTADOS!A:A)) ,
MAPA_ESTADOS!B:B
},
2,
FALSE
),
"REVISAR"
)</f>
        <v>ENTREGADO</v>
      </c>
      <c r="P292" s="154" t="s">
        <v>3655</v>
      </c>
      <c r="Q292" s="191"/>
      <c r="R292" s="170"/>
      <c r="S292" s="170"/>
      <c r="T292" s="154">
        <f t="array" ref="T292">IFERROR(
INDEX(REPORTE_DROPI!B:B,
MATCH(
CLEAN(TRIM(C292)),
CLEAN(TRIM(REPORTE_DROPI!E:E)),
0
)
),
""
)
</f>
        <v>4843973</v>
      </c>
      <c r="U292" s="194">
        <v>1.57100203224E11</v>
      </c>
      <c r="V292" s="192"/>
      <c r="W292" s="192"/>
      <c r="X292" s="192"/>
      <c r="Y292" s="192"/>
      <c r="Z292" s="192"/>
    </row>
    <row r="293" ht="22.5" customHeight="1">
      <c r="A293" s="154"/>
      <c r="B293" s="170">
        <v>46099.0</v>
      </c>
      <c r="C293" s="154" t="s">
        <v>8908</v>
      </c>
      <c r="D293" s="154" t="str">
        <f>IFERROR(__xludf.DUMMYFUNCTION("""COMPUTED_VALUE"""),"FilmPro®")</f>
        <v>FilmPro®</v>
      </c>
      <c r="E293" s="188">
        <v>7.05</v>
      </c>
      <c r="F293" s="189">
        <v>3.0</v>
      </c>
      <c r="G293" s="190">
        <v>30.0</v>
      </c>
      <c r="H293" s="154" t="s">
        <v>3727</v>
      </c>
      <c r="I293" s="154" t="s">
        <v>8238</v>
      </c>
      <c r="J293" s="189">
        <v>6.73</v>
      </c>
      <c r="K293" s="154">
        <v>16.22</v>
      </c>
      <c r="L293" s="154" t="s">
        <v>3650</v>
      </c>
      <c r="M293" s="170"/>
      <c r="N293" s="154" t="s">
        <v>8909</v>
      </c>
      <c r="O293" s="170" t="str">
        <f t="array" ref="O293">IFERROR(
VLOOKUP(
TRIM(CLEAN(
INDEX(REPORTE_DROPI!K:K,
MATCH(T293, REPORTE_DROPI!B:B, 0)
))),
{
TRIM(CLEAN(MAPA_ESTADOS!A:A)) ,
MAPA_ESTADOS!B:B
},
2,
FALSE
),
"REVISAR"
)</f>
        <v>ENTREGADO</v>
      </c>
      <c r="P293" s="154" t="s">
        <v>3655</v>
      </c>
      <c r="Q293" s="191"/>
      <c r="R293" s="170"/>
      <c r="S293" s="170"/>
      <c r="T293" s="154">
        <f t="array" ref="T293">IFERROR(
INDEX(REPORTE_DROPI!B:B,
MATCH(
CLEAN(TRIM(C293)),
CLEAN(TRIM(REPORTE_DROPI!E:E)),
0
)
),
""
)
</f>
        <v>4844193</v>
      </c>
      <c r="U293" s="194">
        <v>1.57100139226E11</v>
      </c>
      <c r="V293" s="192"/>
      <c r="W293" s="192"/>
      <c r="X293" s="192"/>
      <c r="Y293" s="192"/>
      <c r="Z293" s="192"/>
    </row>
    <row r="294" ht="22.5" customHeight="1">
      <c r="A294" s="154"/>
      <c r="B294" s="170">
        <v>46100.0</v>
      </c>
      <c r="C294" s="154" t="s">
        <v>8910</v>
      </c>
      <c r="D294" s="154" t="str">
        <f>IFERROR(__xludf.DUMMYFUNCTION("""COMPUTED_VALUE"""),"FilmPro®")</f>
        <v>FilmPro®</v>
      </c>
      <c r="E294" s="188">
        <v>9.4</v>
      </c>
      <c r="F294" s="189">
        <v>4.0</v>
      </c>
      <c r="G294" s="190">
        <v>30.0</v>
      </c>
      <c r="H294" s="154" t="s">
        <v>3727</v>
      </c>
      <c r="I294" s="154" t="s">
        <v>8247</v>
      </c>
      <c r="J294" s="189">
        <v>5.12</v>
      </c>
      <c r="K294" s="154">
        <v>15.48</v>
      </c>
      <c r="L294" s="154" t="s">
        <v>3650</v>
      </c>
      <c r="M294" s="170"/>
      <c r="N294" s="154" t="s">
        <v>8911</v>
      </c>
      <c r="O294" s="170" t="str">
        <f t="array" ref="O294">IFERROR(
VLOOKUP(
TRIM(CLEAN(
INDEX(REPORTE_DROPI!K:K,
MATCH(T294, REPORTE_DROPI!B:B, 0)
))),
{
TRIM(CLEAN(MAPA_ESTADOS!A:A)) ,
MAPA_ESTADOS!B:B
},
2,
FALSE
),
"REVISAR"
)</f>
        <v>ENTREGADO</v>
      </c>
      <c r="P294" s="154" t="s">
        <v>3655</v>
      </c>
      <c r="Q294" s="191"/>
      <c r="R294" s="170"/>
      <c r="S294" s="170"/>
      <c r="T294" s="154">
        <f t="array" ref="T294">IFERROR(
INDEX(REPORTE_DROPI!B:B,
MATCH(
CLEAN(TRIM(C294)),
CLEAN(TRIM(REPORTE_DROPI!E:E)),
0
)
),
""
)
</f>
        <v>4845663</v>
      </c>
      <c r="U294" s="154" t="s">
        <v>8912</v>
      </c>
      <c r="V294" s="192"/>
      <c r="W294" s="192"/>
      <c r="X294" s="192"/>
      <c r="Y294" s="192"/>
      <c r="Z294" s="192"/>
    </row>
    <row r="295" ht="22.5" customHeight="1">
      <c r="A295" s="154"/>
      <c r="B295" s="170">
        <v>46101.0</v>
      </c>
      <c r="C295" s="154" t="s">
        <v>8913</v>
      </c>
      <c r="D295" s="154" t="str">
        <f>IFERROR(__xludf.DUMMYFUNCTION("""COMPUTED_VALUE"""),"FilmPro®")</f>
        <v>FilmPro®</v>
      </c>
      <c r="E295" s="188" t="s">
        <v>3650</v>
      </c>
      <c r="F295" s="189">
        <v>4.0</v>
      </c>
      <c r="G295" s="190" t="s">
        <v>3650</v>
      </c>
      <c r="H295" s="154" t="s">
        <v>3727</v>
      </c>
      <c r="I295" s="154" t="s">
        <v>8243</v>
      </c>
      <c r="J295" s="189" t="s">
        <v>3650</v>
      </c>
      <c r="K295" s="154"/>
      <c r="L295" s="154" t="s">
        <v>3650</v>
      </c>
      <c r="M295" s="170"/>
      <c r="N295" s="154" t="s">
        <v>8914</v>
      </c>
      <c r="O295" s="170" t="str">
        <f t="array" ref="O295">IFERROR(
VLOOKUP(
TRIM(CLEAN(
INDEX(REPORTE_DROPI!K:K,
MATCH(T295, REPORTE_DROPI!B:B, 0)
))),
{
TRIM(CLEAN(MAPA_ESTADOS!A:A)) ,
MAPA_ESTADOS!B:B
},
2,
FALSE
),
"REVISAR"
)</f>
        <v>PROCESO</v>
      </c>
      <c r="P295" s="154" t="s">
        <v>3655</v>
      </c>
      <c r="Q295" s="191"/>
      <c r="R295" s="170"/>
      <c r="S295" s="170"/>
      <c r="T295" s="154">
        <f t="array" ref="T295">IFERROR(
INDEX(REPORTE_DROPI!B:B,
MATCH(
CLEAN(TRIM(C295)),
CLEAN(TRIM(REPORTE_DROPI!E:E)),
0
)
),
""
)
</f>
        <v>4866054</v>
      </c>
      <c r="U295" s="154" t="s">
        <v>8915</v>
      </c>
      <c r="V295" s="192"/>
      <c r="W295" s="192"/>
      <c r="X295" s="192"/>
      <c r="Y295" s="192"/>
      <c r="Z295" s="192"/>
    </row>
    <row r="296" ht="22.5" customHeight="1">
      <c r="A296" s="154"/>
      <c r="B296" s="170">
        <v>46101.0</v>
      </c>
      <c r="C296" s="154" t="s">
        <v>8916</v>
      </c>
      <c r="D296" s="154" t="str">
        <f>IFERROR(__xludf.DUMMYFUNCTION("""COMPUTED_VALUE"""),"FilmPro®")</f>
        <v>FilmPro®</v>
      </c>
      <c r="E296" s="188" t="s">
        <v>3650</v>
      </c>
      <c r="F296" s="189">
        <v>2.0</v>
      </c>
      <c r="G296" s="190" t="s">
        <v>3650</v>
      </c>
      <c r="H296" s="154" t="s">
        <v>3727</v>
      </c>
      <c r="I296" s="154" t="s">
        <v>8247</v>
      </c>
      <c r="J296" s="189" t="s">
        <v>3650</v>
      </c>
      <c r="K296" s="154"/>
      <c r="L296" s="154" t="s">
        <v>3650</v>
      </c>
      <c r="M296" s="170"/>
      <c r="N296" s="154" t="s">
        <v>8917</v>
      </c>
      <c r="O296" s="170" t="str">
        <f t="array" ref="O296">IFERROR(
VLOOKUP(
TRIM(CLEAN(
INDEX(REPORTE_DROPI!K:K,
MATCH(T296, REPORTE_DROPI!B:B, 0)
))),
{
TRIM(CLEAN(MAPA_ESTADOS!A:A)) ,
MAPA_ESTADOS!B:B
},
2,
FALSE
),
"REVISAR"
)</f>
        <v>NOVEDAD</v>
      </c>
      <c r="P296" s="154" t="s">
        <v>3655</v>
      </c>
      <c r="Q296" s="191"/>
      <c r="R296" s="170"/>
      <c r="S296" s="170"/>
      <c r="T296" s="154">
        <f t="array" ref="T296">IFERROR(
INDEX(REPORTE_DROPI!B:B,
MATCH(
CLEAN(TRIM(C296)),
CLEAN(TRIM(REPORTE_DROPI!E:E)),
0
)
),
""
)
</f>
        <v>4866055</v>
      </c>
      <c r="U296" s="194">
        <v>1.81211106116E11</v>
      </c>
      <c r="V296" s="192"/>
      <c r="W296" s="192"/>
      <c r="X296" s="192"/>
      <c r="Y296" s="192"/>
      <c r="Z296" s="192"/>
    </row>
    <row r="297" ht="22.5" customHeight="1">
      <c r="A297" s="154"/>
      <c r="B297" s="170">
        <v>46101.0</v>
      </c>
      <c r="C297" s="154" t="s">
        <v>8918</v>
      </c>
      <c r="D297" s="154" t="str">
        <f>IFERROR(__xludf.DUMMYFUNCTION("""COMPUTED_VALUE"""),"FilmPro®")</f>
        <v>FilmPro®</v>
      </c>
      <c r="E297" s="188" t="s">
        <v>3650</v>
      </c>
      <c r="F297" s="189">
        <v>2.0</v>
      </c>
      <c r="G297" s="190" t="s">
        <v>3650</v>
      </c>
      <c r="H297" s="154" t="s">
        <v>3727</v>
      </c>
      <c r="I297" s="154" t="s">
        <v>8247</v>
      </c>
      <c r="J297" s="189" t="s">
        <v>3650</v>
      </c>
      <c r="K297" s="154"/>
      <c r="L297" s="154" t="s">
        <v>3650</v>
      </c>
      <c r="M297" s="170"/>
      <c r="N297" s="154" t="s">
        <v>8919</v>
      </c>
      <c r="O297" s="170" t="str">
        <f t="array" ref="O297">IFERROR(
VLOOKUP(
TRIM(CLEAN(
INDEX(REPORTE_DROPI!K:K,
MATCH(T297, REPORTE_DROPI!B:B, 0)
))),
{
TRIM(CLEAN(MAPA_ESTADOS!A:A)) ,
MAPA_ESTADOS!B:B
},
2,
FALSE
),
"REVISAR"
)</f>
        <v>PROCESO</v>
      </c>
      <c r="P297" s="154" t="s">
        <v>3655</v>
      </c>
      <c r="Q297" s="191"/>
      <c r="R297" s="170"/>
      <c r="S297" s="170"/>
      <c r="T297" s="154">
        <f t="array" ref="T297">IFERROR(
INDEX(REPORTE_DROPI!B:B,
MATCH(
CLEAN(TRIM(C297)),
CLEAN(TRIM(REPORTE_DROPI!E:E)),
0
)
),
""
)
</f>
        <v>4866057</v>
      </c>
      <c r="U297" s="154" t="s">
        <v>8920</v>
      </c>
      <c r="V297" s="192"/>
      <c r="W297" s="192"/>
      <c r="X297" s="192"/>
      <c r="Y297" s="192"/>
      <c r="Z297" s="192"/>
    </row>
    <row r="298" ht="22.5" customHeight="1">
      <c r="A298" s="154"/>
      <c r="B298" s="170">
        <v>46101.0</v>
      </c>
      <c r="C298" s="154" t="s">
        <v>8921</v>
      </c>
      <c r="D298" s="154" t="str">
        <f>IFERROR(__xludf.DUMMYFUNCTION("""COMPUTED_VALUE"""),"FilmPro®")</f>
        <v>FilmPro®</v>
      </c>
      <c r="E298" s="188">
        <v>6.63</v>
      </c>
      <c r="F298" s="189">
        <v>3.0</v>
      </c>
      <c r="G298" s="190">
        <v>24.99</v>
      </c>
      <c r="H298" s="154" t="s">
        <v>3727</v>
      </c>
      <c r="I298" s="154" t="s">
        <v>8265</v>
      </c>
      <c r="J298" s="189">
        <v>5.95</v>
      </c>
      <c r="K298" s="154">
        <v>12.41</v>
      </c>
      <c r="L298" s="154" t="s">
        <v>3650</v>
      </c>
      <c r="M298" s="170"/>
      <c r="N298" s="154" t="s">
        <v>8922</v>
      </c>
      <c r="O298" s="170" t="str">
        <f t="array" ref="O298">IFERROR(
VLOOKUP(
TRIM(CLEAN(
INDEX(REPORTE_DROPI!K:K,
MATCH(T298, REPORTE_DROPI!B:B, 0)
))),
{
TRIM(CLEAN(MAPA_ESTADOS!A:A)) ,
MAPA_ESTADOS!B:B
},
2,
FALSE
),
"REVISAR"
)</f>
        <v>ENTREGADO</v>
      </c>
      <c r="P298" s="154" t="s">
        <v>3655</v>
      </c>
      <c r="Q298" s="191"/>
      <c r="R298" s="170"/>
      <c r="S298" s="170"/>
      <c r="T298" s="154">
        <f t="array" ref="T298">IFERROR(
INDEX(REPORTE_DROPI!B:B,
MATCH(
CLEAN(TRIM(C298)),
CLEAN(TRIM(REPORTE_DROPI!E:E)),
0
)
),
""
)
</f>
        <v>4866060</v>
      </c>
      <c r="U298" s="154" t="s">
        <v>8923</v>
      </c>
      <c r="V298" s="192"/>
      <c r="W298" s="192"/>
      <c r="X298" s="192"/>
      <c r="Y298" s="192"/>
      <c r="Z298" s="192"/>
    </row>
    <row r="299" ht="22.5" customHeight="1">
      <c r="A299" s="154"/>
      <c r="B299" s="170">
        <v>46101.0</v>
      </c>
      <c r="C299" s="154" t="s">
        <v>8924</v>
      </c>
      <c r="D299" s="154"/>
      <c r="E299" s="188" t="s">
        <v>3650</v>
      </c>
      <c r="F299" s="189">
        <v>2.0</v>
      </c>
      <c r="G299" s="190" t="s">
        <v>3650</v>
      </c>
      <c r="H299" s="154" t="s">
        <v>3727</v>
      </c>
      <c r="I299" s="154" t="s">
        <v>8243</v>
      </c>
      <c r="J299" s="189" t="s">
        <v>3650</v>
      </c>
      <c r="K299" s="154"/>
      <c r="L299" s="154" t="s">
        <v>3650</v>
      </c>
      <c r="M299" s="170"/>
      <c r="N299" s="154" t="s">
        <v>8925</v>
      </c>
      <c r="O299" s="170" t="str">
        <f t="array" ref="O299">IFERROR(
VLOOKUP(
TRIM(CLEAN(
INDEX(REPORTE_DROPI!K:K,
MATCH(T299, REPORTE_DROPI!B:B, 0)
))),
{
TRIM(CLEAN(MAPA_ESTADOS!A:A)) ,
MAPA_ESTADOS!B:B
},
2,
FALSE
),
"REVISAR"
)</f>
        <v>PENDIENTE</v>
      </c>
      <c r="P299" s="202" t="s">
        <v>8778</v>
      </c>
      <c r="Q299" s="191"/>
      <c r="R299" s="170"/>
      <c r="S299" s="170"/>
      <c r="T299" s="154">
        <f t="array" ref="T299">IFERROR(
INDEX(REPORTE_DROPI!B:B,
MATCH(
CLEAN(TRIM(C299)),
CLEAN(TRIM(REPORTE_DROPI!E:E)),
0
)
),
""
)
</f>
        <v>4866170</v>
      </c>
      <c r="U299" s="154" t="s">
        <v>8926</v>
      </c>
      <c r="V299" s="192"/>
      <c r="W299" s="192"/>
      <c r="X299" s="192"/>
      <c r="Y299" s="192"/>
      <c r="Z299" s="192"/>
    </row>
    <row r="300" ht="22.5" customHeight="1">
      <c r="A300" s="154"/>
      <c r="B300" s="170">
        <v>46101.0</v>
      </c>
      <c r="C300" s="154" t="s">
        <v>8927</v>
      </c>
      <c r="D300" s="154" t="str">
        <f>IFERROR(__xludf.DUMMYFUNCTION("""COMPUTED_VALUE"""),"FilmPro®")</f>
        <v>FilmPro®</v>
      </c>
      <c r="E300" s="188" t="s">
        <v>3650</v>
      </c>
      <c r="F300" s="189">
        <v>2.0</v>
      </c>
      <c r="G300" s="190" t="s">
        <v>3650</v>
      </c>
      <c r="H300" s="154" t="s">
        <v>3727</v>
      </c>
      <c r="I300" s="154" t="s">
        <v>8653</v>
      </c>
      <c r="J300" s="189" t="s">
        <v>3650</v>
      </c>
      <c r="K300" s="154"/>
      <c r="L300" s="154" t="s">
        <v>3650</v>
      </c>
      <c r="M300" s="170"/>
      <c r="N300" s="154" t="s">
        <v>8928</v>
      </c>
      <c r="O300" s="170" t="str">
        <f t="array" ref="O300">IFERROR(
VLOOKUP(
TRIM(CLEAN(
INDEX(REPORTE_DROPI!K:K,
MATCH(T300, REPORTE_DROPI!B:B, 0)
))),
{
TRIM(CLEAN(MAPA_ESTADOS!A:A)) ,
MAPA_ESTADOS!B:B
},
2,
FALSE
),
"REVISAR"
)</f>
        <v>PROCESO</v>
      </c>
      <c r="P300" s="154" t="s">
        <v>3655</v>
      </c>
      <c r="Q300" s="191"/>
      <c r="R300" s="170"/>
      <c r="S300" s="170"/>
      <c r="T300" s="154">
        <f t="array" ref="T300">IFERROR(
INDEX(REPORTE_DROPI!B:B,
MATCH(
CLEAN(TRIM(C300)),
CLEAN(TRIM(REPORTE_DROPI!E:E)),
0
)
),
""
)
</f>
        <v>4866065</v>
      </c>
      <c r="U300" s="154" t="s">
        <v>8929</v>
      </c>
      <c r="V300" s="192"/>
      <c r="W300" s="192"/>
      <c r="X300" s="192"/>
      <c r="Y300" s="192"/>
      <c r="Z300" s="192"/>
    </row>
    <row r="301" ht="22.5" customHeight="1">
      <c r="A301" s="154"/>
      <c r="B301" s="170">
        <v>46101.0</v>
      </c>
      <c r="C301" s="154" t="s">
        <v>8930</v>
      </c>
      <c r="D301" s="154" t="str">
        <f>IFERROR(__xludf.DUMMYFUNCTION("""COMPUTED_VALUE"""),"FilmPro®")</f>
        <v>FilmPro®</v>
      </c>
      <c r="E301" s="188" t="s">
        <v>3650</v>
      </c>
      <c r="F301" s="189">
        <v>2.0</v>
      </c>
      <c r="G301" s="190" t="s">
        <v>3650</v>
      </c>
      <c r="H301" s="154" t="s">
        <v>3727</v>
      </c>
      <c r="I301" s="154" t="s">
        <v>8447</v>
      </c>
      <c r="J301" s="189" t="s">
        <v>3650</v>
      </c>
      <c r="K301" s="154"/>
      <c r="L301" s="154" t="s">
        <v>3650</v>
      </c>
      <c r="M301" s="170"/>
      <c r="N301" s="154" t="s">
        <v>8931</v>
      </c>
      <c r="O301" s="170" t="str">
        <f t="array" ref="O301">IFERROR(
VLOOKUP(
TRIM(CLEAN(
INDEX(REPORTE_DROPI!K:K,
MATCH(T301, REPORTE_DROPI!B:B, 0)
))),
{
TRIM(CLEAN(MAPA_ESTADOS!A:A)) ,
MAPA_ESTADOS!B:B
},
2,
FALSE
),
"REVISAR"
)</f>
        <v>NOVEDAD</v>
      </c>
      <c r="P301" s="154" t="s">
        <v>3655</v>
      </c>
      <c r="Q301" s="191"/>
      <c r="R301" s="170"/>
      <c r="S301" s="170"/>
      <c r="T301" s="154">
        <f t="array" ref="T301">IFERROR(
INDEX(REPORTE_DROPI!B:B,
MATCH(
CLEAN(TRIM(C301)),
CLEAN(TRIM(REPORTE_DROPI!E:E)),
0
)
),
""
)
</f>
        <v>4866066</v>
      </c>
      <c r="U301" s="154" t="s">
        <v>8932</v>
      </c>
      <c r="V301" s="192"/>
      <c r="W301" s="192"/>
      <c r="X301" s="192"/>
      <c r="Y301" s="192"/>
      <c r="Z301" s="192"/>
    </row>
    <row r="302" ht="22.5" customHeight="1">
      <c r="A302" s="154"/>
      <c r="B302" s="170">
        <v>46101.0</v>
      </c>
      <c r="C302" s="154" t="s">
        <v>8933</v>
      </c>
      <c r="D302" s="154" t="str">
        <f>IFERROR(__xludf.DUMMYFUNCTION("""COMPUTED_VALUE"""),"FilmPro®")</f>
        <v>FilmPro®</v>
      </c>
      <c r="E302" s="188">
        <v>4.42</v>
      </c>
      <c r="F302" s="189">
        <v>2.0</v>
      </c>
      <c r="G302" s="190">
        <v>20.0</v>
      </c>
      <c r="H302" s="154" t="s">
        <v>3727</v>
      </c>
      <c r="I302" s="154" t="s">
        <v>8247</v>
      </c>
      <c r="J302" s="189">
        <v>5.75</v>
      </c>
      <c r="K302" s="154">
        <v>9.83</v>
      </c>
      <c r="L302" s="154" t="s">
        <v>3650</v>
      </c>
      <c r="M302" s="170"/>
      <c r="N302" s="154" t="s">
        <v>8934</v>
      </c>
      <c r="O302" s="170" t="str">
        <f t="array" ref="O302">IFERROR(
VLOOKUP(
TRIM(CLEAN(
INDEX(REPORTE_DROPI!K:K,
MATCH(T302, REPORTE_DROPI!B:B, 0)
))),
{
TRIM(CLEAN(MAPA_ESTADOS!A:A)) ,
MAPA_ESTADOS!B:B
},
2,
FALSE
),
"REVISAR"
)</f>
        <v>ENTREGADO</v>
      </c>
      <c r="P302" s="154" t="s">
        <v>3655</v>
      </c>
      <c r="Q302" s="191"/>
      <c r="R302" s="170"/>
      <c r="S302" s="170"/>
      <c r="T302" s="154">
        <f t="array" ref="T302">IFERROR(
INDEX(REPORTE_DROPI!B:B,
MATCH(
CLEAN(TRIM(C302)),
CLEAN(TRIM(REPORTE_DROPI!E:E)),
0
)
),
""
)
</f>
        <v>4866069</v>
      </c>
      <c r="U302" s="154" t="s">
        <v>8935</v>
      </c>
      <c r="V302" s="192"/>
      <c r="W302" s="192"/>
      <c r="X302" s="192"/>
      <c r="Y302" s="192"/>
      <c r="Z302" s="192"/>
    </row>
    <row r="303" ht="22.5" customHeight="1">
      <c r="A303" s="154"/>
      <c r="B303" s="170">
        <v>46101.0</v>
      </c>
      <c r="C303" s="154" t="s">
        <v>8936</v>
      </c>
      <c r="D303" s="154" t="str">
        <f>IFERROR(__xludf.DUMMYFUNCTION("""COMPUTED_VALUE"""),"FilmPro®")</f>
        <v>FilmPro®</v>
      </c>
      <c r="E303" s="188" t="s">
        <v>3650</v>
      </c>
      <c r="F303" s="189">
        <v>2.0</v>
      </c>
      <c r="G303" s="190" t="s">
        <v>3650</v>
      </c>
      <c r="H303" s="154" t="s">
        <v>3727</v>
      </c>
      <c r="I303" s="154" t="s">
        <v>8243</v>
      </c>
      <c r="J303" s="189" t="s">
        <v>3650</v>
      </c>
      <c r="K303" s="154"/>
      <c r="L303" s="154" t="s">
        <v>3650</v>
      </c>
      <c r="M303" s="170"/>
      <c r="N303" s="154" t="s">
        <v>8937</v>
      </c>
      <c r="O303" s="170" t="str">
        <f t="array" ref="O303">IFERROR(
VLOOKUP(
TRIM(CLEAN(
INDEX(REPORTE_DROPI!K:K,
MATCH(T303, REPORTE_DROPI!B:B, 0)
))),
{
TRIM(CLEAN(MAPA_ESTADOS!A:A)) ,
MAPA_ESTADOS!B:B
},
2,
FALSE
),
"REVISAR"
)</f>
        <v>PENDIENTE</v>
      </c>
      <c r="P303" s="154" t="s">
        <v>3655</v>
      </c>
      <c r="Q303" s="191"/>
      <c r="R303" s="170"/>
      <c r="S303" s="170"/>
      <c r="T303" s="154">
        <f t="array" ref="T303">IFERROR(
INDEX(REPORTE_DROPI!B:B,
MATCH(
CLEAN(TRIM(C303)),
CLEAN(TRIM(REPORTE_DROPI!E:E)),
0
)
),
""
)
</f>
        <v>4866071</v>
      </c>
      <c r="U303" s="154" t="s">
        <v>8938</v>
      </c>
      <c r="V303" s="192"/>
      <c r="W303" s="192"/>
      <c r="X303" s="192"/>
      <c r="Y303" s="192"/>
      <c r="Z303" s="192"/>
    </row>
    <row r="304" ht="22.5" customHeight="1">
      <c r="A304" s="154"/>
      <c r="B304" s="170">
        <v>46101.0</v>
      </c>
      <c r="C304" s="154" t="s">
        <v>8939</v>
      </c>
      <c r="D304" s="154" t="str">
        <f>IFERROR(__xludf.DUMMYFUNCTION("""COMPUTED_VALUE"""),"FilmPro®")</f>
        <v>FilmPro®</v>
      </c>
      <c r="E304" s="188">
        <v>4.42</v>
      </c>
      <c r="F304" s="189">
        <v>2.0</v>
      </c>
      <c r="G304" s="190">
        <v>20.0</v>
      </c>
      <c r="H304" s="154" t="s">
        <v>3727</v>
      </c>
      <c r="I304" s="154" t="s">
        <v>8265</v>
      </c>
      <c r="J304" s="189">
        <v>5.97</v>
      </c>
      <c r="K304" s="154">
        <v>9.61</v>
      </c>
      <c r="L304" s="154" t="s">
        <v>3650</v>
      </c>
      <c r="M304" s="170"/>
      <c r="N304" s="154" t="s">
        <v>8940</v>
      </c>
      <c r="O304" s="170" t="str">
        <f t="array" ref="O304">IFERROR(
VLOOKUP(
TRIM(CLEAN(
INDEX(REPORTE_DROPI!K:K,
MATCH(T304, REPORTE_DROPI!B:B, 0)
))),
{
TRIM(CLEAN(MAPA_ESTADOS!A:A)) ,
MAPA_ESTADOS!B:B
},
2,
FALSE
),
"REVISAR"
)</f>
        <v>ENTREGADO</v>
      </c>
      <c r="P304" s="208" t="s">
        <v>5820</v>
      </c>
      <c r="Q304" s="191"/>
      <c r="R304" s="170"/>
      <c r="S304" s="170"/>
      <c r="T304" s="154">
        <f t="array" ref="T304">IFERROR(
INDEX(REPORTE_DROPI!B:B,
MATCH(
CLEAN(TRIM(C304)),
CLEAN(TRIM(REPORTE_DROPI!E:E)),
0
)
),
""
)
</f>
        <v>4886533</v>
      </c>
      <c r="U304" s="154" t="s">
        <v>8941</v>
      </c>
      <c r="V304" s="192"/>
      <c r="W304" s="192"/>
      <c r="X304" s="192"/>
      <c r="Y304" s="192"/>
      <c r="Z304" s="192"/>
    </row>
    <row r="305" ht="22.5" customHeight="1">
      <c r="A305" s="154"/>
      <c r="B305" s="170">
        <v>46101.0</v>
      </c>
      <c r="C305" s="154" t="s">
        <v>8942</v>
      </c>
      <c r="D305" s="154" t="str">
        <f>IFERROR(__xludf.DUMMYFUNCTION("""COMPUTED_VALUE"""),"FilmPro®")</f>
        <v>FilmPro®</v>
      </c>
      <c r="E305" s="188" t="s">
        <v>3650</v>
      </c>
      <c r="F305" s="189">
        <v>3.0</v>
      </c>
      <c r="G305" s="190" t="s">
        <v>3650</v>
      </c>
      <c r="H305" s="154" t="s">
        <v>3727</v>
      </c>
      <c r="I305" s="154" t="s">
        <v>8943</v>
      </c>
      <c r="J305" s="189" t="s">
        <v>3650</v>
      </c>
      <c r="K305" s="154"/>
      <c r="L305" s="154" t="s">
        <v>3650</v>
      </c>
      <c r="M305" s="170"/>
      <c r="N305" s="154" t="s">
        <v>8944</v>
      </c>
      <c r="O305" s="170" t="str">
        <f t="array" ref="O305">IFERROR(
VLOOKUP(
TRIM(CLEAN(
INDEX(REPORTE_DROPI!K:K,
MATCH(T305, REPORTE_DROPI!B:B, 0)
))),
{
TRIM(CLEAN(MAPA_ESTADOS!A:A)) ,
MAPA_ESTADOS!B:B
},
2,
FALSE
),
"REVISAR"
)</f>
        <v>PENDIENTE</v>
      </c>
      <c r="P305" s="202" t="s">
        <v>8945</v>
      </c>
      <c r="Q305" s="191"/>
      <c r="R305" s="170"/>
      <c r="S305" s="170"/>
      <c r="T305" s="154">
        <f t="array" ref="T305">IFERROR(
INDEX(REPORTE_DROPI!B:B,
MATCH(
CLEAN(TRIM(C305)),
CLEAN(TRIM(REPORTE_DROPI!E:E)),
0
)
),
""
)
</f>
        <v>4886943</v>
      </c>
      <c r="U305" s="154"/>
      <c r="V305" s="192"/>
      <c r="W305" s="192"/>
      <c r="X305" s="192"/>
      <c r="Y305" s="192"/>
      <c r="Z305" s="192"/>
    </row>
    <row r="306" ht="22.5" customHeight="1">
      <c r="A306" s="154"/>
      <c r="B306" s="170">
        <v>46101.0</v>
      </c>
      <c r="C306" s="154" t="s">
        <v>8946</v>
      </c>
      <c r="D306" s="154"/>
      <c r="E306" s="188">
        <v>11.4</v>
      </c>
      <c r="F306" s="189">
        <v>4.0</v>
      </c>
      <c r="G306" s="190">
        <v>33.0</v>
      </c>
      <c r="H306" s="154" t="s">
        <v>3727</v>
      </c>
      <c r="I306" s="154" t="s">
        <v>8243</v>
      </c>
      <c r="J306" s="189">
        <v>4.67</v>
      </c>
      <c r="K306" s="154">
        <v>16.93</v>
      </c>
      <c r="L306" s="154" t="s">
        <v>3650</v>
      </c>
      <c r="M306" s="170"/>
      <c r="N306" s="154" t="s">
        <v>8947</v>
      </c>
      <c r="O306" s="170" t="str">
        <f t="array" ref="O306">IFERROR(
VLOOKUP(
TRIM(CLEAN(
INDEX(REPORTE_DROPI!K:K,
MATCH(T306, REPORTE_DROPI!B:B, 0)
))),
{
TRIM(CLEAN(MAPA_ESTADOS!A:A)) ,
MAPA_ESTADOS!B:B
},
2,
FALSE
),
"REVISAR"
)</f>
        <v>ENTREGADO</v>
      </c>
      <c r="P306" s="154" t="s">
        <v>3655</v>
      </c>
      <c r="Q306" s="191"/>
      <c r="R306" s="170"/>
      <c r="S306" s="170"/>
      <c r="T306" s="154">
        <f t="array" ref="T306">IFERROR(
INDEX(REPORTE_DROPI!B:B,
MATCH(
CLEAN(TRIM(C306)),
CLEAN(TRIM(REPORTE_DROPI!E:E)),
0
)
),
""
)
</f>
        <v>4866165</v>
      </c>
      <c r="U306" s="154" t="s">
        <v>8948</v>
      </c>
      <c r="V306" s="192"/>
      <c r="W306" s="192"/>
      <c r="X306" s="192"/>
      <c r="Y306" s="192"/>
      <c r="Z306" s="192"/>
    </row>
    <row r="307" ht="22.5" customHeight="1">
      <c r="A307" s="154"/>
      <c r="B307" s="170">
        <v>46101.0</v>
      </c>
      <c r="C307" s="154" t="s">
        <v>8949</v>
      </c>
      <c r="D307" s="154" t="str">
        <f>IFERROR(__xludf.DUMMYFUNCTION("""COMPUTED_VALUE"""),"FilmPro®")</f>
        <v>FilmPro®</v>
      </c>
      <c r="E307" s="188">
        <v>6.63</v>
      </c>
      <c r="F307" s="189">
        <v>3.0</v>
      </c>
      <c r="G307" s="190">
        <v>24.99</v>
      </c>
      <c r="H307" s="154" t="s">
        <v>3727</v>
      </c>
      <c r="I307" s="154" t="s">
        <v>8243</v>
      </c>
      <c r="J307" s="189">
        <v>4.34</v>
      </c>
      <c r="K307" s="154">
        <v>14.02</v>
      </c>
      <c r="L307" s="154" t="s">
        <v>3650</v>
      </c>
      <c r="M307" s="170"/>
      <c r="N307" s="154" t="s">
        <v>8950</v>
      </c>
      <c r="O307" s="170" t="str">
        <f t="array" ref="O307">IFERROR(
VLOOKUP(
TRIM(CLEAN(
INDEX(REPORTE_DROPI!K:K,
MATCH(T307, REPORTE_DROPI!B:B, 0)
))),
{
TRIM(CLEAN(MAPA_ESTADOS!A:A)) ,
MAPA_ESTADOS!B:B
},
2,
FALSE
),
"REVISAR"
)</f>
        <v>ENTREGADO</v>
      </c>
      <c r="P307" s="154" t="s">
        <v>3655</v>
      </c>
      <c r="Q307" s="191"/>
      <c r="R307" s="170"/>
      <c r="S307" s="170"/>
      <c r="T307" s="154">
        <f t="array" ref="T307">IFERROR(
INDEX(REPORTE_DROPI!B:B,
MATCH(
CLEAN(TRIM(C307)),
CLEAN(TRIM(REPORTE_DROPI!E:E)),
0
)
),
""
)
</f>
        <v>4866079</v>
      </c>
      <c r="U307" s="154" t="s">
        <v>8951</v>
      </c>
      <c r="V307" s="192"/>
      <c r="W307" s="192"/>
      <c r="X307" s="192"/>
      <c r="Y307" s="192"/>
      <c r="Z307" s="192"/>
    </row>
    <row r="308" ht="22.5" customHeight="1">
      <c r="A308" s="154"/>
      <c r="B308" s="170">
        <v>46101.0</v>
      </c>
      <c r="C308" s="154" t="s">
        <v>8952</v>
      </c>
      <c r="D308" s="154" t="str">
        <f>IFERROR(__xludf.DUMMYFUNCTION("""COMPUTED_VALUE"""),"FilmPro®")</f>
        <v>FilmPro®</v>
      </c>
      <c r="E308" s="188" t="s">
        <v>3650</v>
      </c>
      <c r="F308" s="189">
        <v>2.0</v>
      </c>
      <c r="G308" s="190" t="s">
        <v>3650</v>
      </c>
      <c r="H308" s="154" t="s">
        <v>3727</v>
      </c>
      <c r="I308" s="154" t="s">
        <v>8243</v>
      </c>
      <c r="J308" s="189" t="s">
        <v>3650</v>
      </c>
      <c r="K308" s="154"/>
      <c r="L308" s="154" t="s">
        <v>3650</v>
      </c>
      <c r="M308" s="170"/>
      <c r="N308" s="154" t="s">
        <v>8953</v>
      </c>
      <c r="O308" s="170" t="str">
        <f t="array" ref="O308">IFERROR(
VLOOKUP(
TRIM(CLEAN(
INDEX(REPORTE_DROPI!K:K,
MATCH(T308, REPORTE_DROPI!B:B, 0)
))),
{
TRIM(CLEAN(MAPA_ESTADOS!A:A)) ,
MAPA_ESTADOS!B:B
},
2,
FALSE
),
"REVISAR"
)</f>
        <v>NOVEDAD</v>
      </c>
      <c r="P308" s="154" t="s">
        <v>3655</v>
      </c>
      <c r="Q308" s="191"/>
      <c r="R308" s="170"/>
      <c r="S308" s="170"/>
      <c r="T308" s="154">
        <f t="array" ref="T308">IFERROR(
INDEX(REPORTE_DROPI!B:B,
MATCH(
CLEAN(TRIM(C308)),
CLEAN(TRIM(REPORTE_DROPI!E:E)),
0
)
),
""
)
</f>
        <v>4866082</v>
      </c>
      <c r="U308" s="154" t="s">
        <v>8954</v>
      </c>
      <c r="V308" s="192"/>
      <c r="W308" s="192"/>
      <c r="X308" s="192"/>
      <c r="Y308" s="192"/>
      <c r="Z308" s="192"/>
    </row>
    <row r="309" ht="22.5" customHeight="1">
      <c r="A309" s="154"/>
      <c r="B309" s="170">
        <v>46101.0</v>
      </c>
      <c r="C309" s="154" t="s">
        <v>8955</v>
      </c>
      <c r="D309" s="154" t="str">
        <f>IFERROR(__xludf.DUMMYFUNCTION("""COMPUTED_VALUE"""),"FilmPro®")</f>
        <v>FilmPro®</v>
      </c>
      <c r="E309" s="188">
        <v>4.42</v>
      </c>
      <c r="F309" s="189">
        <v>2.0</v>
      </c>
      <c r="G309" s="190">
        <v>20.0</v>
      </c>
      <c r="H309" s="154" t="s">
        <v>3727</v>
      </c>
      <c r="I309" s="154" t="s">
        <v>8233</v>
      </c>
      <c r="J309" s="189">
        <v>5.75</v>
      </c>
      <c r="K309" s="154">
        <v>9.83</v>
      </c>
      <c r="L309" s="154" t="s">
        <v>3650</v>
      </c>
      <c r="M309" s="170"/>
      <c r="N309" s="154" t="s">
        <v>8956</v>
      </c>
      <c r="O309" s="170" t="str">
        <f t="array" ref="O309">IFERROR(
VLOOKUP(
TRIM(CLEAN(
INDEX(REPORTE_DROPI!K:K,
MATCH(T309, REPORTE_DROPI!B:B, 0)
))),
{
TRIM(CLEAN(MAPA_ESTADOS!A:A)) ,
MAPA_ESTADOS!B:B
},
2,
FALSE
),
"REVISAR"
)</f>
        <v>ENTREGADO</v>
      </c>
      <c r="P309" s="154" t="s">
        <v>3655</v>
      </c>
      <c r="Q309" s="191"/>
      <c r="R309" s="170"/>
      <c r="S309" s="170"/>
      <c r="T309" s="154">
        <f t="array" ref="T309">IFERROR(
INDEX(REPORTE_DROPI!B:B,
MATCH(
CLEAN(TRIM(C309)),
CLEAN(TRIM(REPORTE_DROPI!E:E)),
0
)
),
""
)
</f>
        <v>4866083</v>
      </c>
      <c r="U309" s="154" t="s">
        <v>8957</v>
      </c>
      <c r="V309" s="192"/>
      <c r="W309" s="192"/>
      <c r="X309" s="192"/>
      <c r="Y309" s="192"/>
      <c r="Z309" s="192"/>
    </row>
    <row r="310" ht="22.5" customHeight="1">
      <c r="A310" s="154"/>
      <c r="B310" s="170">
        <v>46101.0</v>
      </c>
      <c r="C310" s="154" t="s">
        <v>8958</v>
      </c>
      <c r="D310" s="154"/>
      <c r="E310" s="188" t="s">
        <v>3650</v>
      </c>
      <c r="F310" s="189">
        <v>4.0</v>
      </c>
      <c r="G310" s="190" t="s">
        <v>3650</v>
      </c>
      <c r="H310" s="154" t="s">
        <v>3727</v>
      </c>
      <c r="I310" s="154" t="s">
        <v>8453</v>
      </c>
      <c r="J310" s="189" t="s">
        <v>3650</v>
      </c>
      <c r="K310" s="154"/>
      <c r="L310" s="154" t="s">
        <v>3650</v>
      </c>
      <c r="M310" s="170"/>
      <c r="N310" s="154" t="s">
        <v>8959</v>
      </c>
      <c r="O310" s="170" t="str">
        <f t="array" ref="O310">IFERROR(
VLOOKUP(
TRIM(CLEAN(
INDEX(REPORTE_DROPI!K:K,
MATCH(T310, REPORTE_DROPI!B:B, 0)
))),
{
TRIM(CLEAN(MAPA_ESTADOS!A:A)) ,
MAPA_ESTADOS!B:B
},
2,
FALSE
),
"REVISAR"
)</f>
        <v>PROCESO</v>
      </c>
      <c r="P310" s="154" t="s">
        <v>3655</v>
      </c>
      <c r="Q310" s="191"/>
      <c r="R310" s="170"/>
      <c r="S310" s="170"/>
      <c r="T310" s="154">
        <f t="array" ref="T310">IFERROR(
INDEX(REPORTE_DROPI!B:B,
MATCH(
CLEAN(TRIM(C310)),
CLEAN(TRIM(REPORTE_DROPI!E:E)),
0
)
),
""
)
</f>
        <v>4866153</v>
      </c>
      <c r="U310" s="154" t="s">
        <v>8960</v>
      </c>
      <c r="V310" s="192"/>
      <c r="W310" s="192"/>
      <c r="X310" s="192"/>
      <c r="Y310" s="192"/>
      <c r="Z310" s="192"/>
    </row>
    <row r="311" ht="22.5" customHeight="1">
      <c r="A311" s="154"/>
      <c r="B311" s="170">
        <v>46101.0</v>
      </c>
      <c r="C311" s="154" t="s">
        <v>8961</v>
      </c>
      <c r="D311" s="154" t="str">
        <f>IFERROR(__xludf.DUMMYFUNCTION("""COMPUTED_VALUE"""),"FilmPro®")</f>
        <v>FilmPro®</v>
      </c>
      <c r="E311" s="188" t="s">
        <v>3650</v>
      </c>
      <c r="F311" s="189">
        <v>4.0</v>
      </c>
      <c r="G311" s="190" t="s">
        <v>3650</v>
      </c>
      <c r="H311" s="154" t="s">
        <v>3727</v>
      </c>
      <c r="I311" s="154" t="s">
        <v>8281</v>
      </c>
      <c r="J311" s="189" t="s">
        <v>3650</v>
      </c>
      <c r="K311" s="154"/>
      <c r="L311" s="154" t="s">
        <v>3650</v>
      </c>
      <c r="M311" s="170"/>
      <c r="N311" s="154" t="s">
        <v>8962</v>
      </c>
      <c r="O311" s="170" t="str">
        <f t="array" ref="O311">IFERROR(
VLOOKUP(
TRIM(CLEAN(
INDEX(REPORTE_DROPI!K:K,
MATCH(T311, REPORTE_DROPI!B:B, 0)
))),
{
TRIM(CLEAN(MAPA_ESTADOS!A:A)) ,
MAPA_ESTADOS!B:B
},
2,
FALSE
),
"REVISAR"
)</f>
        <v>NOVEDAD</v>
      </c>
      <c r="P311" s="154" t="s">
        <v>3655</v>
      </c>
      <c r="Q311" s="191"/>
      <c r="R311" s="170"/>
      <c r="S311" s="170"/>
      <c r="T311" s="154">
        <f t="array" ref="T311">IFERROR(
INDEX(REPORTE_DROPI!B:B,
MATCH(
CLEAN(TRIM(C311)),
CLEAN(TRIM(REPORTE_DROPI!E:E)),
0
)
),
""
)
</f>
        <v>4866085</v>
      </c>
      <c r="U311" s="154" t="s">
        <v>8963</v>
      </c>
      <c r="V311" s="192"/>
      <c r="W311" s="192"/>
      <c r="X311" s="192"/>
      <c r="Y311" s="192"/>
      <c r="Z311" s="192"/>
    </row>
    <row r="312" ht="22.5" customHeight="1">
      <c r="A312" s="154"/>
      <c r="B312" s="170">
        <v>46101.0</v>
      </c>
      <c r="C312" s="154" t="s">
        <v>8964</v>
      </c>
      <c r="D312" s="154" t="str">
        <f>IFERROR(__xludf.DUMMYFUNCTION("""COMPUTED_VALUE"""),"FilmPro®")</f>
        <v>FilmPro®</v>
      </c>
      <c r="E312" s="188">
        <v>6.63</v>
      </c>
      <c r="F312" s="189">
        <v>3.0</v>
      </c>
      <c r="G312" s="190">
        <v>24.99</v>
      </c>
      <c r="H312" s="154" t="s">
        <v>3727</v>
      </c>
      <c r="I312" s="154" t="s">
        <v>8320</v>
      </c>
      <c r="J312" s="189">
        <v>5.95</v>
      </c>
      <c r="K312" s="154">
        <v>12.41</v>
      </c>
      <c r="L312" s="154" t="s">
        <v>3650</v>
      </c>
      <c r="M312" s="170"/>
      <c r="N312" s="154" t="s">
        <v>8965</v>
      </c>
      <c r="O312" s="170" t="str">
        <f t="array" ref="O312">IFERROR(
VLOOKUP(
TRIM(CLEAN(
INDEX(REPORTE_DROPI!K:K,
MATCH(T312, REPORTE_DROPI!B:B, 0)
))),
{
TRIM(CLEAN(MAPA_ESTADOS!A:A)) ,
MAPA_ESTADOS!B:B
},
2,
FALSE
),
"REVISAR"
)</f>
        <v>ENTREGADO</v>
      </c>
      <c r="P312" s="154" t="s">
        <v>3655</v>
      </c>
      <c r="Q312" s="191"/>
      <c r="R312" s="170"/>
      <c r="S312" s="170"/>
      <c r="T312" s="154">
        <f t="array" ref="T312">IFERROR(
INDEX(REPORTE_DROPI!B:B,
MATCH(
CLEAN(TRIM(C312)),
CLEAN(TRIM(REPORTE_DROPI!E:E)),
0
)
),
""
)
</f>
        <v>4866086</v>
      </c>
      <c r="U312" s="154" t="s">
        <v>8966</v>
      </c>
      <c r="V312" s="192"/>
      <c r="W312" s="192"/>
      <c r="X312" s="192"/>
      <c r="Y312" s="192"/>
      <c r="Z312" s="192"/>
    </row>
    <row r="313" ht="22.5" customHeight="1">
      <c r="A313" s="154"/>
      <c r="B313" s="170">
        <v>46102.0</v>
      </c>
      <c r="C313" s="154" t="s">
        <v>8967</v>
      </c>
      <c r="D313" s="154" t="str">
        <f>IFERROR(__xludf.DUMMYFUNCTION("""COMPUTED_VALUE"""),"FilmPro®")</f>
        <v>FilmPro®</v>
      </c>
      <c r="E313" s="188" t="s">
        <v>3650</v>
      </c>
      <c r="F313" s="189">
        <v>2.0</v>
      </c>
      <c r="G313" s="190" t="s">
        <v>3650</v>
      </c>
      <c r="H313" s="154" t="s">
        <v>3727</v>
      </c>
      <c r="I313" s="154" t="s">
        <v>8243</v>
      </c>
      <c r="J313" s="189" t="s">
        <v>3650</v>
      </c>
      <c r="K313" s="154"/>
      <c r="L313" s="154" t="s">
        <v>3650</v>
      </c>
      <c r="M313" s="170"/>
      <c r="N313" s="154" t="s">
        <v>8968</v>
      </c>
      <c r="O313" s="170" t="str">
        <f t="array" ref="O313">IFERROR(
VLOOKUP(
TRIM(CLEAN(
INDEX(REPORTE_DROPI!K:K,
MATCH(T313, REPORTE_DROPI!B:B, 0)
))),
{
TRIM(CLEAN(MAPA_ESTADOS!A:A)) ,
MAPA_ESTADOS!B:B
},
2,
FALSE
),
"REVISAR"
)</f>
        <v>PENDIENTE</v>
      </c>
      <c r="P313" s="202" t="s">
        <v>8240</v>
      </c>
      <c r="Q313" s="191"/>
      <c r="R313" s="170"/>
      <c r="S313" s="170"/>
      <c r="T313" s="154">
        <f t="array" ref="T313">IFERROR(
INDEX(REPORTE_DROPI!B:B,
MATCH(
CLEAN(TRIM(C313)),
CLEAN(TRIM(REPORTE_DROPI!E:E)),
0
)
),
""
)
</f>
        <v>4866090</v>
      </c>
      <c r="U313" s="154" t="s">
        <v>8969</v>
      </c>
      <c r="V313" s="192"/>
      <c r="W313" s="192"/>
      <c r="X313" s="192"/>
      <c r="Y313" s="192"/>
      <c r="Z313" s="192"/>
    </row>
    <row r="314" ht="22.5" customHeight="1">
      <c r="A314" s="154"/>
      <c r="B314" s="170">
        <v>46102.0</v>
      </c>
      <c r="C314" s="154" t="s">
        <v>8970</v>
      </c>
      <c r="D314" s="154" t="str">
        <f>IFERROR(__xludf.DUMMYFUNCTION("""COMPUTED_VALUE"""),"FilmPro®")</f>
        <v>FilmPro®</v>
      </c>
      <c r="E314" s="188">
        <v>4.42</v>
      </c>
      <c r="F314" s="189">
        <v>2.0</v>
      </c>
      <c r="G314" s="190">
        <v>20.0</v>
      </c>
      <c r="H314" s="154" t="s">
        <v>3727</v>
      </c>
      <c r="I314" s="154" t="s">
        <v>8247</v>
      </c>
      <c r="J314" s="189">
        <v>5.75</v>
      </c>
      <c r="K314" s="154">
        <v>9.83</v>
      </c>
      <c r="L314" s="154" t="s">
        <v>3650</v>
      </c>
      <c r="M314" s="170"/>
      <c r="N314" s="154" t="s">
        <v>8971</v>
      </c>
      <c r="O314" s="170" t="str">
        <f t="array" ref="O314">IFERROR(
VLOOKUP(
TRIM(CLEAN(
INDEX(REPORTE_DROPI!K:K,
MATCH(T314, REPORTE_DROPI!B:B, 0)
))),
{
TRIM(CLEAN(MAPA_ESTADOS!A:A)) ,
MAPA_ESTADOS!B:B
},
2,
FALSE
),
"REVISAR"
)</f>
        <v>ENTREGADO</v>
      </c>
      <c r="P314" s="154" t="s">
        <v>3655</v>
      </c>
      <c r="Q314" s="191"/>
      <c r="R314" s="170"/>
      <c r="S314" s="170"/>
      <c r="T314" s="154">
        <f t="array" ref="T314">IFERROR(
INDEX(REPORTE_DROPI!B:B,
MATCH(
CLEAN(TRIM(C314)),
CLEAN(TRIM(REPORTE_DROPI!E:E)),
0
)
),
""
)
</f>
        <v>4866093</v>
      </c>
      <c r="U314" s="154" t="s">
        <v>8972</v>
      </c>
      <c r="V314" s="192"/>
      <c r="W314" s="192"/>
      <c r="X314" s="192"/>
      <c r="Y314" s="192"/>
      <c r="Z314" s="192"/>
    </row>
    <row r="315" ht="22.5" customHeight="1">
      <c r="A315" s="154"/>
      <c r="B315" s="170">
        <v>46102.0</v>
      </c>
      <c r="C315" s="154" t="s">
        <v>8973</v>
      </c>
      <c r="D315" s="154" t="str">
        <f>IFERROR(__xludf.DUMMYFUNCTION("""COMPUTED_VALUE"""),"FilmPro®")</f>
        <v>FilmPro®</v>
      </c>
      <c r="E315" s="188">
        <v>6.63</v>
      </c>
      <c r="F315" s="189">
        <v>3.0</v>
      </c>
      <c r="G315" s="190">
        <v>24.99</v>
      </c>
      <c r="H315" s="154" t="s">
        <v>3727</v>
      </c>
      <c r="I315" s="154" t="s">
        <v>8360</v>
      </c>
      <c r="J315" s="189">
        <v>5.95</v>
      </c>
      <c r="K315" s="154">
        <v>12.41</v>
      </c>
      <c r="L315" s="154" t="s">
        <v>3650</v>
      </c>
      <c r="M315" s="170"/>
      <c r="N315" s="154" t="s">
        <v>8974</v>
      </c>
      <c r="O315" s="170" t="str">
        <f t="array" ref="O315">IFERROR(
VLOOKUP(
TRIM(CLEAN(
INDEX(REPORTE_DROPI!K:K,
MATCH(T315, REPORTE_DROPI!B:B, 0)
))),
{
TRIM(CLEAN(MAPA_ESTADOS!A:A)) ,
MAPA_ESTADOS!B:B
},
2,
FALSE
),
"REVISAR"
)</f>
        <v>ENTREGADO</v>
      </c>
      <c r="P315" s="154" t="s">
        <v>3655</v>
      </c>
      <c r="Q315" s="191"/>
      <c r="R315" s="170"/>
      <c r="S315" s="170"/>
      <c r="T315" s="154">
        <f t="array" ref="T315">IFERROR(
INDEX(REPORTE_DROPI!B:B,
MATCH(
CLEAN(TRIM(C315)),
CLEAN(TRIM(REPORTE_DROPI!E:E)),
0
)
),
""
)
</f>
        <v>4866095</v>
      </c>
      <c r="U315" s="154" t="s">
        <v>8975</v>
      </c>
      <c r="V315" s="192"/>
      <c r="W315" s="192"/>
      <c r="X315" s="192"/>
      <c r="Y315" s="192"/>
      <c r="Z315" s="192"/>
    </row>
    <row r="316" ht="22.5" customHeight="1">
      <c r="A316" s="154"/>
      <c r="B316" s="170">
        <v>46102.0</v>
      </c>
      <c r="C316" s="154" t="s">
        <v>8976</v>
      </c>
      <c r="D316" s="154" t="str">
        <f>IFERROR(__xludf.DUMMYFUNCTION("""COMPUTED_VALUE"""),"FilmPro®")</f>
        <v>FilmPro®</v>
      </c>
      <c r="E316" s="188">
        <v>4.42</v>
      </c>
      <c r="F316" s="189">
        <v>2.0</v>
      </c>
      <c r="G316" s="190">
        <v>20.0</v>
      </c>
      <c r="H316" s="154" t="s">
        <v>3727</v>
      </c>
      <c r="I316" s="154" t="s">
        <v>8352</v>
      </c>
      <c r="J316" s="189">
        <v>5.75</v>
      </c>
      <c r="K316" s="154">
        <v>9.83</v>
      </c>
      <c r="L316" s="154" t="s">
        <v>3650</v>
      </c>
      <c r="M316" s="170"/>
      <c r="N316" s="154" t="s">
        <v>8977</v>
      </c>
      <c r="O316" s="170" t="str">
        <f t="array" ref="O316">IFERROR(
VLOOKUP(
TRIM(CLEAN(
INDEX(REPORTE_DROPI!K:K,
MATCH(T316, REPORTE_DROPI!B:B, 0)
))),
{
TRIM(CLEAN(MAPA_ESTADOS!A:A)) ,
MAPA_ESTADOS!B:B
},
2,
FALSE
),
"REVISAR"
)</f>
        <v>ENTREGADO</v>
      </c>
      <c r="P316" s="154" t="s">
        <v>3655</v>
      </c>
      <c r="Q316" s="191"/>
      <c r="R316" s="170"/>
      <c r="S316" s="170"/>
      <c r="T316" s="154">
        <f t="array" ref="T316">IFERROR(
INDEX(REPORTE_DROPI!B:B,
MATCH(
CLEAN(TRIM(C316)),
CLEAN(TRIM(REPORTE_DROPI!E:E)),
0
)
),
""
)
</f>
        <v>4866097</v>
      </c>
      <c r="U316" s="154" t="s">
        <v>8978</v>
      </c>
      <c r="V316" s="192"/>
      <c r="W316" s="192"/>
      <c r="X316" s="192"/>
      <c r="Y316" s="192"/>
      <c r="Z316" s="192"/>
    </row>
    <row r="317" ht="22.5" customHeight="1">
      <c r="A317" s="154"/>
      <c r="B317" s="170">
        <v>46102.0</v>
      </c>
      <c r="C317" s="154" t="s">
        <v>8979</v>
      </c>
      <c r="D317" s="154" t="str">
        <f>IFERROR(__xludf.DUMMYFUNCTION("""COMPUTED_VALUE"""),"FilmPro®")</f>
        <v>FilmPro®</v>
      </c>
      <c r="E317" s="188" t="s">
        <v>3650</v>
      </c>
      <c r="F317" s="189">
        <v>2.0</v>
      </c>
      <c r="G317" s="190" t="s">
        <v>3650</v>
      </c>
      <c r="H317" s="154" t="s">
        <v>3727</v>
      </c>
      <c r="I317" s="154" t="s">
        <v>8265</v>
      </c>
      <c r="J317" s="189" t="s">
        <v>3650</v>
      </c>
      <c r="K317" s="154"/>
      <c r="L317" s="154" t="s">
        <v>3650</v>
      </c>
      <c r="M317" s="170"/>
      <c r="N317" s="154" t="s">
        <v>8980</v>
      </c>
      <c r="O317" s="170" t="str">
        <f t="array" ref="O317">IFERROR(
VLOOKUP(
TRIM(CLEAN(
INDEX(REPORTE_DROPI!K:K,
MATCH(T317, REPORTE_DROPI!B:B, 0)
))),
{
TRIM(CLEAN(MAPA_ESTADOS!A:A)) ,
MAPA_ESTADOS!B:B
},
2,
FALSE
),
"REVISAR"
)</f>
        <v>NOVEDAD</v>
      </c>
      <c r="P317" s="154" t="s">
        <v>3655</v>
      </c>
      <c r="Q317" s="191"/>
      <c r="R317" s="170"/>
      <c r="S317" s="170"/>
      <c r="T317" s="154">
        <f t="array" ref="T317">IFERROR(
INDEX(REPORTE_DROPI!B:B,
MATCH(
CLEAN(TRIM(C317)),
CLEAN(TRIM(REPORTE_DROPI!E:E)),
0
)
),
""
)
</f>
        <v>4866098</v>
      </c>
      <c r="U317" s="154" t="s">
        <v>8981</v>
      </c>
      <c r="V317" s="192"/>
      <c r="W317" s="192"/>
      <c r="X317" s="192"/>
      <c r="Y317" s="192"/>
      <c r="Z317" s="192"/>
    </row>
    <row r="318" ht="22.5" customHeight="1">
      <c r="A318" s="154"/>
      <c r="B318" s="170">
        <v>46102.0</v>
      </c>
      <c r="C318" s="154" t="s">
        <v>8982</v>
      </c>
      <c r="D318" s="154" t="str">
        <f>IFERROR(__xludf.DUMMYFUNCTION("""COMPUTED_VALUE"""),"FilmPro®")</f>
        <v>FilmPro®</v>
      </c>
      <c r="E318" s="188" t="s">
        <v>3650</v>
      </c>
      <c r="F318" s="189">
        <v>3.0</v>
      </c>
      <c r="G318" s="190" t="s">
        <v>3650</v>
      </c>
      <c r="H318" s="154" t="s">
        <v>3727</v>
      </c>
      <c r="I318" s="154" t="s">
        <v>8247</v>
      </c>
      <c r="J318" s="189" t="s">
        <v>3650</v>
      </c>
      <c r="K318" s="154"/>
      <c r="L318" s="154" t="s">
        <v>3650</v>
      </c>
      <c r="M318" s="170"/>
      <c r="N318" s="154" t="s">
        <v>8983</v>
      </c>
      <c r="O318" s="170" t="str">
        <f t="array" ref="O318">IFERROR(
VLOOKUP(
TRIM(CLEAN(
INDEX(REPORTE_DROPI!K:K,
MATCH(T318, REPORTE_DROPI!B:B, 0)
))),
{
TRIM(CLEAN(MAPA_ESTADOS!A:A)) ,
MAPA_ESTADOS!B:B
},
2,
FALSE
),
"REVISAR"
)</f>
        <v>PROCESO</v>
      </c>
      <c r="P318" s="154" t="s">
        <v>3655</v>
      </c>
      <c r="Q318" s="191"/>
      <c r="R318" s="170"/>
      <c r="S318" s="170"/>
      <c r="T318" s="154">
        <f t="array" ref="T318">IFERROR(
INDEX(REPORTE_DROPI!B:B,
MATCH(
CLEAN(TRIM(C318)),
CLEAN(TRIM(REPORTE_DROPI!E:E)),
0
)
),
""
)
</f>
        <v>4866099</v>
      </c>
      <c r="U318" s="154" t="s">
        <v>8984</v>
      </c>
      <c r="V318" s="192"/>
      <c r="W318" s="192"/>
      <c r="X318" s="192"/>
      <c r="Y318" s="192"/>
      <c r="Z318" s="192"/>
    </row>
    <row r="319" ht="22.5" customHeight="1">
      <c r="A319" s="154"/>
      <c r="B319" s="170">
        <v>46102.0</v>
      </c>
      <c r="C319" s="154" t="s">
        <v>8985</v>
      </c>
      <c r="D319" s="154" t="str">
        <f>IFERROR(__xludf.DUMMYFUNCTION("""COMPUTED_VALUE"""),"FilmPro®")</f>
        <v>FilmPro®</v>
      </c>
      <c r="E319" s="188" t="s">
        <v>3650</v>
      </c>
      <c r="F319" s="189">
        <v>2.0</v>
      </c>
      <c r="G319" s="190" t="s">
        <v>3650</v>
      </c>
      <c r="H319" s="154" t="s">
        <v>3727</v>
      </c>
      <c r="I319" s="154" t="s">
        <v>8243</v>
      </c>
      <c r="J319" s="189" t="s">
        <v>3650</v>
      </c>
      <c r="K319" s="154"/>
      <c r="L319" s="154" t="s">
        <v>3650</v>
      </c>
      <c r="M319" s="170"/>
      <c r="N319" s="154" t="s">
        <v>8986</v>
      </c>
      <c r="O319" s="170" t="str">
        <f t="array" ref="O319">IFERROR(
VLOOKUP(
TRIM(CLEAN(
INDEX(REPORTE_DROPI!K:K,
MATCH(T319, REPORTE_DROPI!B:B, 0)
))),
{
TRIM(CLEAN(MAPA_ESTADOS!A:A)) ,
MAPA_ESTADOS!B:B
},
2,
FALSE
),
"REVISAR"
)</f>
        <v>PROCESO</v>
      </c>
      <c r="P319" s="154" t="s">
        <v>3655</v>
      </c>
      <c r="Q319" s="191"/>
      <c r="R319" s="170"/>
      <c r="S319" s="170"/>
      <c r="T319" s="154">
        <f t="array" ref="T319">IFERROR(
INDEX(REPORTE_DROPI!B:B,
MATCH(
CLEAN(TRIM(C319)),
CLEAN(TRIM(REPORTE_DROPI!E:E)),
0
)
),
""
)
</f>
        <v>4888200</v>
      </c>
      <c r="U319" s="194">
        <v>1.81224173178E11</v>
      </c>
      <c r="V319" s="192"/>
      <c r="W319" s="192"/>
      <c r="X319" s="192"/>
      <c r="Y319" s="192"/>
      <c r="Z319" s="192"/>
    </row>
    <row r="320" ht="22.5" customHeight="1">
      <c r="A320" s="154"/>
      <c r="B320" s="170">
        <v>46102.0</v>
      </c>
      <c r="C320" s="154" t="s">
        <v>8987</v>
      </c>
      <c r="D320" s="154" t="str">
        <f>IFERROR(__xludf.DUMMYFUNCTION("""COMPUTED_VALUE"""),"FilmPro®")</f>
        <v>FilmPro®</v>
      </c>
      <c r="E320" s="188" t="s">
        <v>3650</v>
      </c>
      <c r="F320" s="189">
        <v>2.0</v>
      </c>
      <c r="G320" s="190" t="s">
        <v>3650</v>
      </c>
      <c r="H320" s="154" t="s">
        <v>3727</v>
      </c>
      <c r="I320" s="154" t="s">
        <v>8265</v>
      </c>
      <c r="J320" s="189" t="s">
        <v>3650</v>
      </c>
      <c r="K320" s="154"/>
      <c r="L320" s="154" t="s">
        <v>3650</v>
      </c>
      <c r="M320" s="170"/>
      <c r="N320" s="154" t="s">
        <v>8988</v>
      </c>
      <c r="O320" s="170" t="str">
        <f t="array" ref="O320">IFERROR(
VLOOKUP(
TRIM(CLEAN(
INDEX(REPORTE_DROPI!K:K,
MATCH(T320, REPORTE_DROPI!B:B, 0)
))),
{
TRIM(CLEAN(MAPA_ESTADOS!A:A)) ,
MAPA_ESTADOS!B:B
},
2,
FALSE
),
"REVISAR"
)</f>
        <v>PROCESO</v>
      </c>
      <c r="P320" s="154" t="s">
        <v>3655</v>
      </c>
      <c r="Q320" s="191"/>
      <c r="R320" s="170"/>
      <c r="S320" s="170"/>
      <c r="T320" s="154">
        <f t="array" ref="T320">IFERROR(
INDEX(REPORTE_DROPI!B:B,
MATCH(
CLEAN(TRIM(C320)),
CLEAN(TRIM(REPORTE_DROPI!E:E)),
0
)
),
""
)
</f>
        <v>4866104</v>
      </c>
      <c r="U320" s="154" t="s">
        <v>8989</v>
      </c>
      <c r="V320" s="192"/>
      <c r="W320" s="192"/>
      <c r="X320" s="192"/>
      <c r="Y320" s="192"/>
      <c r="Z320" s="192"/>
    </row>
    <row r="321" ht="22.5" customHeight="1">
      <c r="A321" s="154"/>
      <c r="B321" s="170">
        <v>46102.0</v>
      </c>
      <c r="C321" s="154" t="s">
        <v>8990</v>
      </c>
      <c r="D321" s="154" t="str">
        <f>IFERROR(__xludf.DUMMYFUNCTION("""COMPUTED_VALUE"""),"FilmPro®")</f>
        <v>FilmPro®</v>
      </c>
      <c r="E321" s="188" t="s">
        <v>3650</v>
      </c>
      <c r="F321" s="189">
        <v>2.0</v>
      </c>
      <c r="G321" s="190" t="s">
        <v>3650</v>
      </c>
      <c r="H321" s="154" t="s">
        <v>3727</v>
      </c>
      <c r="I321" s="154" t="s">
        <v>8991</v>
      </c>
      <c r="J321" s="189" t="s">
        <v>3650</v>
      </c>
      <c r="K321" s="154"/>
      <c r="L321" s="154" t="s">
        <v>3650</v>
      </c>
      <c r="M321" s="170"/>
      <c r="N321" s="154" t="s">
        <v>8992</v>
      </c>
      <c r="O321" s="170" t="str">
        <f t="array" ref="O321">IFERROR(
VLOOKUP(
TRIM(CLEAN(
INDEX(REPORTE_DROPI!K:K,
MATCH(T321, REPORTE_DROPI!B:B, 0)
))),
{
TRIM(CLEAN(MAPA_ESTADOS!A:A)) ,
MAPA_ESTADOS!B:B
},
2,
FALSE
),
"REVISAR"
)</f>
        <v>PENDIENTE</v>
      </c>
      <c r="P321" s="202" t="s">
        <v>8240</v>
      </c>
      <c r="Q321" s="191"/>
      <c r="R321" s="170"/>
      <c r="S321" s="170"/>
      <c r="T321" s="154">
        <f t="array" ref="T321">IFERROR(
INDEX(REPORTE_DROPI!B:B,
MATCH(
CLEAN(TRIM(C321)),
CLEAN(TRIM(REPORTE_DROPI!E:E)),
0
)
),
""
)
</f>
        <v>4866107</v>
      </c>
      <c r="U321" s="154" t="s">
        <v>8993</v>
      </c>
      <c r="V321" s="192"/>
      <c r="W321" s="192"/>
      <c r="X321" s="192"/>
      <c r="Y321" s="192"/>
      <c r="Z321" s="192"/>
    </row>
    <row r="322" ht="22.5" customHeight="1">
      <c r="A322" s="154"/>
      <c r="B322" s="170">
        <v>46102.0</v>
      </c>
      <c r="C322" s="154" t="s">
        <v>8994</v>
      </c>
      <c r="D322" s="154" t="str">
        <f>IFERROR(__xludf.DUMMYFUNCTION("""COMPUTED_VALUE"""),"FilmPro®")</f>
        <v>FilmPro®</v>
      </c>
      <c r="E322" s="188" t="s">
        <v>3650</v>
      </c>
      <c r="F322" s="189">
        <v>2.0</v>
      </c>
      <c r="G322" s="190" t="s">
        <v>3650</v>
      </c>
      <c r="H322" s="154" t="s">
        <v>3727</v>
      </c>
      <c r="I322" s="154" t="s">
        <v>8247</v>
      </c>
      <c r="J322" s="189" t="s">
        <v>3650</v>
      </c>
      <c r="K322" s="154"/>
      <c r="L322" s="154">
        <v>0.0</v>
      </c>
      <c r="M322" s="170"/>
      <c r="N322" s="154" t="s">
        <v>8995</v>
      </c>
      <c r="O322" s="170" t="str">
        <f t="array" ref="O322">IFERROR(
VLOOKUP(
TRIM(CLEAN(
INDEX(REPORTE_DROPI!K:K,
MATCH(T322, REPORTE_DROPI!B:B, 0)
))),
{
TRIM(CLEAN(MAPA_ESTADOS!A:A)) ,
MAPA_ESTADOS!B:B
},
2,
FALSE
),
"REVISAR"
)</f>
        <v>DEVOLUCION</v>
      </c>
      <c r="P322" s="154" t="s">
        <v>3655</v>
      </c>
      <c r="Q322" s="191"/>
      <c r="R322" s="170"/>
      <c r="S322" s="170"/>
      <c r="T322" s="154">
        <f t="array" ref="T322">IFERROR(
INDEX(REPORTE_DROPI!B:B,
MATCH(
CLEAN(TRIM(C322)),
CLEAN(TRIM(REPORTE_DROPI!E:E)),
0
)
),
""
)
</f>
        <v>4866108</v>
      </c>
      <c r="U322" s="154" t="s">
        <v>8996</v>
      </c>
      <c r="V322" s="192"/>
      <c r="W322" s="192"/>
      <c r="X322" s="192"/>
      <c r="Y322" s="192"/>
      <c r="Z322" s="192"/>
    </row>
    <row r="323" ht="22.5" customHeight="1">
      <c r="A323" s="154"/>
      <c r="B323" s="170">
        <v>46102.0</v>
      </c>
      <c r="C323" s="154" t="s">
        <v>8997</v>
      </c>
      <c r="D323" s="154" t="str">
        <f>IFERROR(__xludf.DUMMYFUNCTION("""COMPUTED_VALUE"""),"FilmPro®")</f>
        <v>FilmPro®</v>
      </c>
      <c r="E323" s="188" t="s">
        <v>3650</v>
      </c>
      <c r="F323" s="189">
        <v>2.0</v>
      </c>
      <c r="G323" s="190" t="s">
        <v>3650</v>
      </c>
      <c r="H323" s="154" t="s">
        <v>3727</v>
      </c>
      <c r="I323" s="154" t="s">
        <v>8247</v>
      </c>
      <c r="J323" s="189" t="s">
        <v>3650</v>
      </c>
      <c r="K323" s="154"/>
      <c r="L323" s="154" t="s">
        <v>3650</v>
      </c>
      <c r="M323" s="170"/>
      <c r="N323" s="154" t="s">
        <v>8998</v>
      </c>
      <c r="O323" s="170" t="str">
        <f t="array" ref="O323">IFERROR(
VLOOKUP(
TRIM(CLEAN(
INDEX(REPORTE_DROPI!K:K,
MATCH(T323, REPORTE_DROPI!B:B, 0)
))),
{
TRIM(CLEAN(MAPA_ESTADOS!A:A)) ,
MAPA_ESTADOS!B:B
},
2,
FALSE
),
"REVISAR"
)</f>
        <v>PENDIENTE</v>
      </c>
      <c r="P323" s="202" t="s">
        <v>8240</v>
      </c>
      <c r="Q323" s="191"/>
      <c r="R323" s="170"/>
      <c r="S323" s="170"/>
      <c r="T323" s="154">
        <f t="array" ref="T323">IFERROR(
INDEX(REPORTE_DROPI!B:B,
MATCH(
CLEAN(TRIM(C323)),
CLEAN(TRIM(REPORTE_DROPI!E:E)),
0
)
),
""
)
</f>
        <v>4866112</v>
      </c>
      <c r="U323" s="154" t="s">
        <v>7450</v>
      </c>
      <c r="V323" s="192"/>
      <c r="W323" s="192"/>
      <c r="X323" s="192"/>
      <c r="Y323" s="192"/>
      <c r="Z323" s="192"/>
    </row>
    <row r="324" ht="22.5" customHeight="1">
      <c r="A324" s="154"/>
      <c r="B324" s="170">
        <v>46102.0</v>
      </c>
      <c r="C324" s="154" t="s">
        <v>8999</v>
      </c>
      <c r="D324" s="154" t="str">
        <f>IFERROR(__xludf.DUMMYFUNCTION("""COMPUTED_VALUE"""),"FilmPro®")</f>
        <v>FilmPro®</v>
      </c>
      <c r="E324" s="188" t="s">
        <v>3650</v>
      </c>
      <c r="F324" s="189">
        <v>2.0</v>
      </c>
      <c r="G324" s="190" t="s">
        <v>3650</v>
      </c>
      <c r="H324" s="154" t="s">
        <v>3727</v>
      </c>
      <c r="I324" s="154" t="s">
        <v>8243</v>
      </c>
      <c r="J324" s="189" t="s">
        <v>3650</v>
      </c>
      <c r="K324" s="154"/>
      <c r="L324" s="154" t="s">
        <v>3650</v>
      </c>
      <c r="M324" s="170"/>
      <c r="N324" s="154" t="s">
        <v>9000</v>
      </c>
      <c r="O324" s="170" t="str">
        <f t="array" ref="O324">IFERROR(
VLOOKUP(
TRIM(CLEAN(
INDEX(REPORTE_DROPI!K:K,
MATCH(T324, REPORTE_DROPI!B:B, 0)
))),
{
TRIM(CLEAN(MAPA_ESTADOS!A:A)) ,
MAPA_ESTADOS!B:B
},
2,
FALSE
),
"REVISAR"
)</f>
        <v>PROCESO</v>
      </c>
      <c r="P324" s="154" t="s">
        <v>3655</v>
      </c>
      <c r="Q324" s="191"/>
      <c r="R324" s="170"/>
      <c r="S324" s="170"/>
      <c r="T324" s="154">
        <f t="array" ref="T324">IFERROR(
INDEX(REPORTE_DROPI!B:B,
MATCH(
CLEAN(TRIM(C324)),
CLEAN(TRIM(REPORTE_DROPI!E:E)),
0
)
),
""
)
</f>
        <v>4866113</v>
      </c>
      <c r="U324" s="154" t="s">
        <v>9001</v>
      </c>
      <c r="V324" s="192"/>
      <c r="W324" s="192"/>
      <c r="X324" s="192"/>
      <c r="Y324" s="192"/>
      <c r="Z324" s="192"/>
    </row>
    <row r="325" ht="22.5" customHeight="1">
      <c r="A325" s="154"/>
      <c r="B325" s="170">
        <v>46102.0</v>
      </c>
      <c r="C325" s="154" t="s">
        <v>9002</v>
      </c>
      <c r="D325" s="154" t="str">
        <f>IFERROR(__xludf.DUMMYFUNCTION("""COMPUTED_VALUE"""),"FilmPro®")</f>
        <v>FilmPro®</v>
      </c>
      <c r="E325" s="188" t="s">
        <v>3650</v>
      </c>
      <c r="F325" s="189">
        <v>2.0</v>
      </c>
      <c r="G325" s="190" t="s">
        <v>3650</v>
      </c>
      <c r="H325" s="154" t="s">
        <v>3727</v>
      </c>
      <c r="I325" s="154" t="s">
        <v>8360</v>
      </c>
      <c r="J325" s="189" t="s">
        <v>3650</v>
      </c>
      <c r="K325" s="154"/>
      <c r="L325" s="154" t="s">
        <v>3650</v>
      </c>
      <c r="M325" s="170"/>
      <c r="N325" s="154" t="s">
        <v>9003</v>
      </c>
      <c r="O325" s="170" t="str">
        <f t="array" ref="O325">IFERROR(
VLOOKUP(
TRIM(CLEAN(
INDEX(REPORTE_DROPI!K:K,
MATCH(T325, REPORTE_DROPI!B:B, 0)
))),
{
TRIM(CLEAN(MAPA_ESTADOS!A:A)) ,
MAPA_ESTADOS!B:B
},
2,
FALSE
),
"REVISAR"
)</f>
        <v>NOVEDAD</v>
      </c>
      <c r="P325" s="154" t="s">
        <v>3655</v>
      </c>
      <c r="Q325" s="191"/>
      <c r="R325" s="170"/>
      <c r="S325" s="170"/>
      <c r="T325" s="154">
        <f t="array" ref="T325">IFERROR(
INDEX(REPORTE_DROPI!B:B,
MATCH(
CLEAN(TRIM(C325)),
CLEAN(TRIM(REPORTE_DROPI!E:E)),
0
)
),
""
)
</f>
        <v>4866156</v>
      </c>
      <c r="U325" s="154" t="s">
        <v>9004</v>
      </c>
      <c r="V325" s="192"/>
      <c r="W325" s="192"/>
      <c r="X325" s="192"/>
      <c r="Y325" s="192"/>
      <c r="Z325" s="192"/>
    </row>
    <row r="326" ht="22.5" customHeight="1">
      <c r="A326" s="154"/>
      <c r="B326" s="170">
        <v>46102.0</v>
      </c>
      <c r="C326" s="154" t="s">
        <v>9005</v>
      </c>
      <c r="D326" s="154" t="str">
        <f>IFERROR(__xludf.DUMMYFUNCTION("""COMPUTED_VALUE"""),"FilmPro®")</f>
        <v>FilmPro®</v>
      </c>
      <c r="E326" s="188" t="s">
        <v>3650</v>
      </c>
      <c r="F326" s="189">
        <v>4.0</v>
      </c>
      <c r="G326" s="190" t="s">
        <v>3650</v>
      </c>
      <c r="H326" s="154" t="s">
        <v>3727</v>
      </c>
      <c r="I326" s="154" t="s">
        <v>8360</v>
      </c>
      <c r="J326" s="189" t="s">
        <v>3650</v>
      </c>
      <c r="K326" s="154"/>
      <c r="L326" s="154" t="s">
        <v>3650</v>
      </c>
      <c r="M326" s="170"/>
      <c r="N326" s="154" t="s">
        <v>9006</v>
      </c>
      <c r="O326" s="170" t="str">
        <f t="array" ref="O326">IFERROR(
VLOOKUP(
TRIM(CLEAN(
INDEX(REPORTE_DROPI!K:K,
MATCH(T326, REPORTE_DROPI!B:B, 0)
))),
{
TRIM(CLEAN(MAPA_ESTADOS!A:A)) ,
MAPA_ESTADOS!B:B
},
2,
FALSE
),
"REVISAR"
)</f>
        <v>PENDIENTE</v>
      </c>
      <c r="P326" s="202" t="s">
        <v>8240</v>
      </c>
      <c r="Q326" s="191"/>
      <c r="R326" s="170"/>
      <c r="S326" s="170"/>
      <c r="T326" s="154">
        <f t="array" ref="T326">IFERROR(
INDEX(REPORTE_DROPI!B:B,
MATCH(
CLEAN(TRIM(C326)),
CLEAN(TRIM(REPORTE_DROPI!E:E)),
0
)
),
""
)
</f>
        <v>4866158</v>
      </c>
      <c r="U326" s="154" t="s">
        <v>9007</v>
      </c>
      <c r="V326" s="192"/>
      <c r="W326" s="192"/>
      <c r="X326" s="192"/>
      <c r="Y326" s="192"/>
      <c r="Z326" s="192"/>
    </row>
    <row r="327" ht="22.5" customHeight="1">
      <c r="A327" s="154"/>
      <c r="B327" s="170">
        <v>46102.0</v>
      </c>
      <c r="C327" s="154" t="s">
        <v>9008</v>
      </c>
      <c r="D327" s="154" t="str">
        <f>IFERROR(__xludf.DUMMYFUNCTION("""COMPUTED_VALUE"""),"FilmPro®")</f>
        <v>FilmPro®</v>
      </c>
      <c r="E327" s="188" t="s">
        <v>3650</v>
      </c>
      <c r="F327" s="189">
        <v>4.0</v>
      </c>
      <c r="G327" s="190" t="s">
        <v>3650</v>
      </c>
      <c r="H327" s="154" t="s">
        <v>3727</v>
      </c>
      <c r="I327" s="154" t="s">
        <v>8281</v>
      </c>
      <c r="J327" s="189" t="s">
        <v>3650</v>
      </c>
      <c r="K327" s="154"/>
      <c r="L327" s="154" t="s">
        <v>3650</v>
      </c>
      <c r="M327" s="170"/>
      <c r="N327" s="154" t="s">
        <v>9009</v>
      </c>
      <c r="O327" s="170" t="str">
        <f t="array" ref="O327">IFERROR(
VLOOKUP(
TRIM(CLEAN(
INDEX(REPORTE_DROPI!K:K,
MATCH(T327, REPORTE_DROPI!B:B, 0)
))),
{
TRIM(CLEAN(MAPA_ESTADOS!A:A)) ,
MAPA_ESTADOS!B:B
},
2,
FALSE
),
"REVISAR"
)</f>
        <v>PENDIENTE</v>
      </c>
      <c r="P327" s="154" t="s">
        <v>3655</v>
      </c>
      <c r="Q327" s="191"/>
      <c r="R327" s="170"/>
      <c r="S327" s="170"/>
      <c r="T327" s="154">
        <f t="array" ref="T327">IFERROR(
INDEX(REPORTE_DROPI!B:B,
MATCH(
CLEAN(TRIM(C327)),
CLEAN(TRIM(REPORTE_DROPI!E:E)),
0
)
),
""
)
</f>
        <v>4866166</v>
      </c>
      <c r="U327" s="154" t="s">
        <v>9010</v>
      </c>
      <c r="V327" s="192"/>
      <c r="W327" s="192"/>
      <c r="X327" s="192"/>
      <c r="Y327" s="192"/>
      <c r="Z327" s="192"/>
    </row>
    <row r="328" ht="22.5" customHeight="1">
      <c r="A328" s="154"/>
      <c r="B328" s="170">
        <v>46102.0</v>
      </c>
      <c r="C328" s="154" t="s">
        <v>9011</v>
      </c>
      <c r="D328" s="154" t="str">
        <f>IFERROR(__xludf.DUMMYFUNCTION("""COMPUTED_VALUE"""),"FilmPro®")</f>
        <v>FilmPro®</v>
      </c>
      <c r="E328" s="188">
        <v>2.21</v>
      </c>
      <c r="F328" s="189">
        <v>1.0</v>
      </c>
      <c r="G328" s="190">
        <v>19.99</v>
      </c>
      <c r="H328" s="154" t="s">
        <v>3727</v>
      </c>
      <c r="I328" s="154" t="s">
        <v>9012</v>
      </c>
      <c r="J328" s="189">
        <v>5.75</v>
      </c>
      <c r="K328" s="154">
        <v>12.03</v>
      </c>
      <c r="L328" s="154" t="s">
        <v>3650</v>
      </c>
      <c r="M328" s="170"/>
      <c r="N328" s="154" t="s">
        <v>9013</v>
      </c>
      <c r="O328" s="170" t="str">
        <f t="array" ref="O328">IFERROR(
VLOOKUP(
TRIM(CLEAN(
INDEX(REPORTE_DROPI!K:K,
MATCH(T328, REPORTE_DROPI!B:B, 0)
))),
{
TRIM(CLEAN(MAPA_ESTADOS!A:A)) ,
MAPA_ESTADOS!B:B
},
2,
FALSE
),
"REVISAR"
)</f>
        <v>ENTREGADO</v>
      </c>
      <c r="P328" s="154" t="s">
        <v>3655</v>
      </c>
      <c r="Q328" s="191"/>
      <c r="R328" s="170"/>
      <c r="S328" s="170"/>
      <c r="T328" s="154">
        <f t="array" ref="T328">IFERROR(
INDEX(REPORTE_DROPI!B:B,
MATCH(
CLEAN(TRIM(C328)),
CLEAN(TRIM(REPORTE_DROPI!E:E)),
0
)
),
""
)
</f>
        <v>4866256</v>
      </c>
      <c r="U328" s="154"/>
      <c r="V328" s="192"/>
      <c r="W328" s="192"/>
      <c r="X328" s="192"/>
      <c r="Y328" s="192"/>
      <c r="Z328" s="192"/>
    </row>
    <row r="329" ht="22.5" customHeight="1">
      <c r="A329" s="154"/>
      <c r="B329" s="170">
        <v>46102.0</v>
      </c>
      <c r="C329" s="154" t="s">
        <v>9014</v>
      </c>
      <c r="D329" s="154" t="str">
        <f>IFERROR(__xludf.DUMMYFUNCTION("""COMPUTED_VALUE"""),"FilmPro®")</f>
        <v>FilmPro®</v>
      </c>
      <c r="E329" s="188" t="s">
        <v>3650</v>
      </c>
      <c r="F329" s="189">
        <v>2.0</v>
      </c>
      <c r="G329" s="190" t="s">
        <v>3650</v>
      </c>
      <c r="H329" s="154" t="s">
        <v>3727</v>
      </c>
      <c r="I329" s="154" t="s">
        <v>8247</v>
      </c>
      <c r="J329" s="189" t="s">
        <v>3650</v>
      </c>
      <c r="K329" s="154"/>
      <c r="L329" s="154" t="s">
        <v>3650</v>
      </c>
      <c r="M329" s="170"/>
      <c r="N329" s="154" t="s">
        <v>9015</v>
      </c>
      <c r="O329" s="170" t="str">
        <f t="array" ref="O329">IFERROR(
VLOOKUP(
TRIM(CLEAN(
INDEX(REPORTE_DROPI!K:K,
MATCH(T329, REPORTE_DROPI!B:B, 0)
))),
{
TRIM(CLEAN(MAPA_ESTADOS!A:A)) ,
MAPA_ESTADOS!B:B
},
2,
FALSE
),
"REVISAR"
)</f>
        <v>PROCESO</v>
      </c>
      <c r="P329" s="154" t="s">
        <v>3655</v>
      </c>
      <c r="Q329" s="191"/>
      <c r="R329" s="170"/>
      <c r="S329" s="170"/>
      <c r="T329" s="154">
        <f t="array" ref="T329">IFERROR(
INDEX(REPORTE_DROPI!B:B,
MATCH(
CLEAN(TRIM(C329)),
CLEAN(TRIM(REPORTE_DROPI!E:E)),
0
)
),
""
)
</f>
        <v>4866656</v>
      </c>
      <c r="U329" s="154" t="s">
        <v>9016</v>
      </c>
      <c r="V329" s="192"/>
      <c r="W329" s="192"/>
      <c r="X329" s="192"/>
      <c r="Y329" s="192"/>
      <c r="Z329" s="192"/>
    </row>
    <row r="330" ht="22.5" customHeight="1">
      <c r="A330" s="154"/>
      <c r="B330" s="170">
        <v>46102.0</v>
      </c>
      <c r="C330" s="154" t="s">
        <v>9017</v>
      </c>
      <c r="D330" s="154" t="str">
        <f>IFERROR(__xludf.DUMMYFUNCTION("""COMPUTED_VALUE"""),"FilmPro®")</f>
        <v>FilmPro®</v>
      </c>
      <c r="E330" s="188" t="s">
        <v>3650</v>
      </c>
      <c r="F330" s="189">
        <v>2.0</v>
      </c>
      <c r="G330" s="190" t="s">
        <v>3650</v>
      </c>
      <c r="H330" s="154" t="s">
        <v>3727</v>
      </c>
      <c r="I330" s="154" t="s">
        <v>8233</v>
      </c>
      <c r="J330" s="189" t="s">
        <v>3650</v>
      </c>
      <c r="K330" s="154"/>
      <c r="L330" s="154" t="s">
        <v>3650</v>
      </c>
      <c r="M330" s="170"/>
      <c r="N330" s="154" t="s">
        <v>9018</v>
      </c>
      <c r="O330" s="170" t="str">
        <f t="array" ref="O330">IFERROR(
VLOOKUP(
TRIM(CLEAN(
INDEX(REPORTE_DROPI!K:K,
MATCH(T330, REPORTE_DROPI!B:B, 0)
))),
{
TRIM(CLEAN(MAPA_ESTADOS!A:A)) ,
MAPA_ESTADOS!B:B
},
2,
FALSE
),
"REVISAR"
)</f>
        <v>PROCESO</v>
      </c>
      <c r="P330" s="154" t="s">
        <v>3655</v>
      </c>
      <c r="Q330" s="191"/>
      <c r="R330" s="170"/>
      <c r="S330" s="170"/>
      <c r="T330" s="154">
        <f t="array" ref="T330">IFERROR(
INDEX(REPORTE_DROPI!B:B,
MATCH(
CLEAN(TRIM(C330)),
CLEAN(TRIM(REPORTE_DROPI!E:E)),
0
)
),
""
)
</f>
        <v>4866767</v>
      </c>
      <c r="U330" s="154" t="s">
        <v>9019</v>
      </c>
      <c r="V330" s="192"/>
      <c r="W330" s="192"/>
      <c r="X330" s="192"/>
      <c r="Y330" s="192"/>
      <c r="Z330" s="192"/>
    </row>
    <row r="331" ht="22.5" customHeight="1">
      <c r="A331" s="154"/>
      <c r="B331" s="170">
        <v>46102.0</v>
      </c>
      <c r="C331" s="154" t="s">
        <v>9020</v>
      </c>
      <c r="D331" s="154" t="str">
        <f>IFERROR(__xludf.DUMMYFUNCTION("""COMPUTED_VALUE"""),"Cuchillo Tazaki™")</f>
        <v>Cuchillo Tazaki™</v>
      </c>
      <c r="E331" s="188" t="s">
        <v>3650</v>
      </c>
      <c r="F331" s="189">
        <v>2.0</v>
      </c>
      <c r="G331" s="190" t="s">
        <v>3650</v>
      </c>
      <c r="H331" s="154" t="s">
        <v>3727</v>
      </c>
      <c r="I331" s="154" t="s">
        <v>8247</v>
      </c>
      <c r="J331" s="189" t="s">
        <v>3650</v>
      </c>
      <c r="K331" s="154"/>
      <c r="L331" s="154" t="s">
        <v>3650</v>
      </c>
      <c r="M331" s="170"/>
      <c r="N331" s="154" t="s">
        <v>9021</v>
      </c>
      <c r="O331" s="170" t="str">
        <f t="array" ref="O331">IFERROR(
VLOOKUP(
TRIM(CLEAN(
INDEX(REPORTE_DROPI!K:K,
MATCH(T331, REPORTE_DROPI!B:B, 0)
))),
{
TRIM(CLEAN(MAPA_ESTADOS!A:A)) ,
MAPA_ESTADOS!B:B
},
2,
FALSE
),
"REVISAR"
)</f>
        <v>PROCESO</v>
      </c>
      <c r="P331" s="154" t="s">
        <v>3655</v>
      </c>
      <c r="Q331" s="191"/>
      <c r="R331" s="170"/>
      <c r="S331" s="170"/>
      <c r="T331" s="154">
        <f t="array" ref="T331">IFERROR(
INDEX(REPORTE_DROPI!B:B,
MATCH(
CLEAN(TRIM(C331)),
CLEAN(TRIM(REPORTE_DROPI!E:E)),
0
)
),
""
)
</f>
        <v>4867226</v>
      </c>
      <c r="U331" s="154" t="s">
        <v>9022</v>
      </c>
      <c r="V331" s="192"/>
      <c r="W331" s="192"/>
      <c r="X331" s="192"/>
      <c r="Y331" s="192"/>
      <c r="Z331" s="192"/>
    </row>
    <row r="332" ht="22.5" customHeight="1">
      <c r="A332" s="154"/>
      <c r="B332" s="170">
        <v>46102.0</v>
      </c>
      <c r="C332" s="154" t="s">
        <v>9023</v>
      </c>
      <c r="D332" s="154"/>
      <c r="E332" s="188" t="s">
        <v>3650</v>
      </c>
      <c r="F332" s="189">
        <v>4.0</v>
      </c>
      <c r="G332" s="190" t="s">
        <v>3650</v>
      </c>
      <c r="H332" s="154" t="s">
        <v>3727</v>
      </c>
      <c r="I332" s="154" t="s">
        <v>8360</v>
      </c>
      <c r="J332" s="189" t="s">
        <v>3650</v>
      </c>
      <c r="K332" s="154"/>
      <c r="L332" s="154" t="s">
        <v>3650</v>
      </c>
      <c r="M332" s="170"/>
      <c r="N332" s="154" t="s">
        <v>9024</v>
      </c>
      <c r="O332" s="170" t="str">
        <f t="array" ref="O332">IFERROR(
VLOOKUP(
TRIM(CLEAN(
INDEX(REPORTE_DROPI!K:K,
MATCH(T332, REPORTE_DROPI!B:B, 0)
))),
{
TRIM(CLEAN(MAPA_ESTADOS!A:A)) ,
MAPA_ESTADOS!B:B
},
2,
FALSE
),
"REVISAR"
)</f>
        <v>PENDIENTE</v>
      </c>
      <c r="P332" s="202" t="s">
        <v>8778</v>
      </c>
      <c r="Q332" s="191"/>
      <c r="R332" s="170"/>
      <c r="S332" s="170"/>
      <c r="T332" s="154">
        <f t="array" ref="T332">IFERROR(
INDEX(REPORTE_DROPI!B:B,
MATCH(
CLEAN(TRIM(C332)),
CLEAN(TRIM(REPORTE_DROPI!E:E)),
0
)
),
""
)
</f>
        <v>4889470</v>
      </c>
      <c r="U332" s="154" t="s">
        <v>9025</v>
      </c>
      <c r="V332" s="192"/>
      <c r="W332" s="192"/>
      <c r="X332" s="192"/>
      <c r="Y332" s="192"/>
      <c r="Z332" s="192"/>
    </row>
    <row r="333" ht="22.5" customHeight="1">
      <c r="A333" s="154"/>
      <c r="B333" s="170">
        <v>46102.0</v>
      </c>
      <c r="C333" s="154" t="s">
        <v>9026</v>
      </c>
      <c r="D333" s="154" t="str">
        <f>IFERROR(__xludf.DUMMYFUNCTION("""COMPUTED_VALUE"""),"Cuchillo Tazaki™")</f>
        <v>Cuchillo Tazaki™</v>
      </c>
      <c r="E333" s="188">
        <v>4.8</v>
      </c>
      <c r="F333" s="189">
        <v>2.0</v>
      </c>
      <c r="G333" s="190">
        <v>22.0</v>
      </c>
      <c r="H333" s="154" t="s">
        <v>3727</v>
      </c>
      <c r="I333" s="154" t="s">
        <v>8247</v>
      </c>
      <c r="J333" s="189">
        <v>5.84</v>
      </c>
      <c r="K333" s="154">
        <v>11.36</v>
      </c>
      <c r="L333" s="154" t="s">
        <v>3650</v>
      </c>
      <c r="M333" s="170"/>
      <c r="N333" s="154" t="s">
        <v>9027</v>
      </c>
      <c r="O333" s="170" t="str">
        <f t="array" ref="O333">IFERROR(
VLOOKUP(
TRIM(CLEAN(
INDEX(REPORTE_DROPI!K:K,
MATCH(T333, REPORTE_DROPI!B:B, 0)
))),
{
TRIM(CLEAN(MAPA_ESTADOS!A:A)) ,
MAPA_ESTADOS!B:B
},
2,
FALSE
),
"REVISAR"
)</f>
        <v>ENTREGADO</v>
      </c>
      <c r="P333" s="154" t="s">
        <v>3655</v>
      </c>
      <c r="Q333" s="191"/>
      <c r="R333" s="170"/>
      <c r="S333" s="170"/>
      <c r="T333" s="154">
        <f t="array" ref="T333">IFERROR(
INDEX(REPORTE_DROPI!B:B,
MATCH(
CLEAN(TRIM(C333)),
CLEAN(TRIM(REPORTE_DROPI!E:E)),
0
)
),
""
)
</f>
        <v>4867875</v>
      </c>
      <c r="U333" s="154" t="s">
        <v>9028</v>
      </c>
      <c r="V333" s="192"/>
      <c r="W333" s="192"/>
      <c r="X333" s="192"/>
      <c r="Y333" s="192"/>
      <c r="Z333" s="192"/>
    </row>
    <row r="334" ht="22.5" customHeight="1">
      <c r="A334" s="154"/>
      <c r="B334" s="170">
        <v>46102.0</v>
      </c>
      <c r="C334" s="154" t="s">
        <v>9029</v>
      </c>
      <c r="D334" s="154" t="str">
        <f>IFERROR(__xludf.DUMMYFUNCTION("""COMPUTED_VALUE"""),"FilmPro®")</f>
        <v>FilmPro®</v>
      </c>
      <c r="E334" s="188">
        <v>4.42</v>
      </c>
      <c r="F334" s="189">
        <v>2.0</v>
      </c>
      <c r="G334" s="190">
        <v>20.0</v>
      </c>
      <c r="H334" s="154" t="s">
        <v>3727</v>
      </c>
      <c r="I334" s="154" t="s">
        <v>8265</v>
      </c>
      <c r="J334" s="189">
        <v>5.75</v>
      </c>
      <c r="K334" s="154">
        <v>9.83</v>
      </c>
      <c r="L334" s="154" t="s">
        <v>3650</v>
      </c>
      <c r="M334" s="170"/>
      <c r="N334" s="154" t="s">
        <v>9030</v>
      </c>
      <c r="O334" s="170" t="str">
        <f t="array" ref="O334">IFERROR(
VLOOKUP(
TRIM(CLEAN(
INDEX(REPORTE_DROPI!K:K,
MATCH(T334, REPORTE_DROPI!B:B, 0)
))),
{
TRIM(CLEAN(MAPA_ESTADOS!A:A)) ,
MAPA_ESTADOS!B:B
},
2,
FALSE
),
"REVISAR"
)</f>
        <v>ENTREGADO</v>
      </c>
      <c r="P334" s="154" t="s">
        <v>3655</v>
      </c>
      <c r="Q334" s="191"/>
      <c r="R334" s="170"/>
      <c r="S334" s="170"/>
      <c r="T334" s="154">
        <f t="array" ref="T334">IFERROR(
INDEX(REPORTE_DROPI!B:B,
MATCH(
CLEAN(TRIM(C334)),
CLEAN(TRIM(REPORTE_DROPI!E:E)),
0
)
),
""
)
</f>
        <v>4867998</v>
      </c>
      <c r="U334" s="154" t="s">
        <v>9031</v>
      </c>
      <c r="V334" s="192"/>
      <c r="W334" s="192"/>
      <c r="X334" s="192"/>
      <c r="Y334" s="192"/>
      <c r="Z334" s="192"/>
    </row>
    <row r="335" ht="22.5" customHeight="1">
      <c r="A335" s="154"/>
      <c r="B335" s="170">
        <v>46102.0</v>
      </c>
      <c r="C335" s="154" t="s">
        <v>9032</v>
      </c>
      <c r="D335" s="154" t="str">
        <f>IFERROR(__xludf.DUMMYFUNCTION("""COMPUTED_VALUE"""),"Cuchillo Tazaki™")</f>
        <v>Cuchillo Tazaki™</v>
      </c>
      <c r="E335" s="188" t="s">
        <v>3650</v>
      </c>
      <c r="F335" s="189">
        <v>2.0</v>
      </c>
      <c r="G335" s="190" t="s">
        <v>3650</v>
      </c>
      <c r="H335" s="154" t="s">
        <v>3727</v>
      </c>
      <c r="I335" s="154" t="s">
        <v>8281</v>
      </c>
      <c r="J335" s="189" t="s">
        <v>3650</v>
      </c>
      <c r="K335" s="154"/>
      <c r="L335" s="154" t="s">
        <v>3650</v>
      </c>
      <c r="M335" s="170"/>
      <c r="N335" s="154" t="s">
        <v>9033</v>
      </c>
      <c r="O335" s="170" t="str">
        <f t="array" ref="O335">IFERROR(
VLOOKUP(
TRIM(CLEAN(
INDEX(REPORTE_DROPI!K:K,
MATCH(T335, REPORTE_DROPI!B:B, 0)
))),
{
TRIM(CLEAN(MAPA_ESTADOS!A:A)) ,
MAPA_ESTADOS!B:B
},
2,
FALSE
),
"REVISAR"
)</f>
        <v>NOVEDAD</v>
      </c>
      <c r="P335" s="154" t="s">
        <v>3655</v>
      </c>
      <c r="Q335" s="191"/>
      <c r="R335" s="170"/>
      <c r="S335" s="170"/>
      <c r="T335" s="154">
        <f t="array" ref="T335">IFERROR(
INDEX(REPORTE_DROPI!B:B,
MATCH(
CLEAN(TRIM(C335)),
CLEAN(TRIM(REPORTE_DROPI!E:E)),
0
)
),
""
)
</f>
        <v>4868193</v>
      </c>
      <c r="U335" s="194">
        <v>1.77234245229E11</v>
      </c>
      <c r="V335" s="192"/>
      <c r="W335" s="192"/>
      <c r="X335" s="192"/>
      <c r="Y335" s="192"/>
      <c r="Z335" s="192"/>
    </row>
    <row r="336" ht="22.5" customHeight="1">
      <c r="A336" s="154"/>
      <c r="B336" s="170">
        <v>46102.0</v>
      </c>
      <c r="C336" s="154" t="s">
        <v>9034</v>
      </c>
      <c r="D336" s="154" t="str">
        <f>IFERROR(__xludf.DUMMYFUNCTION("""COMPUTED_VALUE"""),"Cuchillo Tazaki™")</f>
        <v>Cuchillo Tazaki™</v>
      </c>
      <c r="E336" s="188">
        <v>4.8</v>
      </c>
      <c r="F336" s="189">
        <v>2.0</v>
      </c>
      <c r="G336" s="190">
        <v>22.0</v>
      </c>
      <c r="H336" s="154" t="s">
        <v>3727</v>
      </c>
      <c r="I336" s="154" t="s">
        <v>8247</v>
      </c>
      <c r="J336" s="189">
        <v>5.84</v>
      </c>
      <c r="K336" s="154">
        <v>11.36</v>
      </c>
      <c r="L336" s="154" t="s">
        <v>3650</v>
      </c>
      <c r="M336" s="170"/>
      <c r="N336" s="154" t="s">
        <v>9035</v>
      </c>
      <c r="O336" s="170" t="str">
        <f t="array" ref="O336">IFERROR(
VLOOKUP(
TRIM(CLEAN(
INDEX(REPORTE_DROPI!K:K,
MATCH(T336, REPORTE_DROPI!B:B, 0)
))),
{
TRIM(CLEAN(MAPA_ESTADOS!A:A)) ,
MAPA_ESTADOS!B:B
},
2,
FALSE
),
"REVISAR"
)</f>
        <v>ENTREGADO</v>
      </c>
      <c r="P336" s="154" t="s">
        <v>3655</v>
      </c>
      <c r="Q336" s="191"/>
      <c r="R336" s="170"/>
      <c r="S336" s="170"/>
      <c r="T336" s="154">
        <f t="array" ref="T336">IFERROR(
INDEX(REPORTE_DROPI!B:B,
MATCH(
CLEAN(TRIM(C336)),
CLEAN(TRIM(REPORTE_DROPI!E:E)),
0
)
),
""
)
</f>
        <v>4868499</v>
      </c>
      <c r="U336" s="154" t="s">
        <v>9036</v>
      </c>
      <c r="V336" s="192"/>
      <c r="W336" s="192"/>
      <c r="X336" s="192"/>
      <c r="Y336" s="192"/>
      <c r="Z336" s="192"/>
    </row>
    <row r="337" ht="22.5" customHeight="1">
      <c r="A337" s="154"/>
      <c r="B337" s="170">
        <v>46102.0</v>
      </c>
      <c r="C337" s="154" t="s">
        <v>9037</v>
      </c>
      <c r="D337" s="154" t="str">
        <f>IFERROR(__xludf.DUMMYFUNCTION("""COMPUTED_VALUE"""),"FilmPro®")</f>
        <v>FilmPro®</v>
      </c>
      <c r="E337" s="188" t="s">
        <v>3650</v>
      </c>
      <c r="F337" s="189">
        <v>2.0</v>
      </c>
      <c r="G337" s="190" t="s">
        <v>3650</v>
      </c>
      <c r="H337" s="154" t="s">
        <v>3727</v>
      </c>
      <c r="I337" s="154" t="s">
        <v>8247</v>
      </c>
      <c r="J337" s="189" t="s">
        <v>3650</v>
      </c>
      <c r="K337" s="154"/>
      <c r="L337" s="154" t="s">
        <v>3650</v>
      </c>
      <c r="M337" s="170"/>
      <c r="N337" s="154" t="s">
        <v>9038</v>
      </c>
      <c r="O337" s="170" t="str">
        <f t="array" ref="O337">IFERROR(
VLOOKUP(
TRIM(CLEAN(
INDEX(REPORTE_DROPI!K:K,
MATCH(T337, REPORTE_DROPI!B:B, 0)
))),
{
TRIM(CLEAN(MAPA_ESTADOS!A:A)) ,
MAPA_ESTADOS!B:B
},
2,
FALSE
),
"REVISAR"
)</f>
        <v>PROCESO</v>
      </c>
      <c r="P337" s="154" t="s">
        <v>3655</v>
      </c>
      <c r="Q337" s="191"/>
      <c r="R337" s="170"/>
      <c r="S337" s="170"/>
      <c r="T337" s="154">
        <f t="array" ref="T337">IFERROR(
INDEX(REPORTE_DROPI!B:B,
MATCH(
CLEAN(TRIM(C337)),
CLEAN(TRIM(REPORTE_DROPI!E:E)),
0
)
),
""
)
</f>
        <v>4868739</v>
      </c>
      <c r="U337" s="154" t="s">
        <v>9039</v>
      </c>
      <c r="V337" s="192"/>
      <c r="W337" s="192"/>
      <c r="X337" s="192"/>
      <c r="Y337" s="192"/>
      <c r="Z337" s="192"/>
    </row>
    <row r="338" ht="22.5" customHeight="1">
      <c r="A338" s="154"/>
      <c r="B338" s="170">
        <v>46102.0</v>
      </c>
      <c r="C338" s="154" t="s">
        <v>9040</v>
      </c>
      <c r="D338" s="154" t="str">
        <f>IFERROR(__xludf.DUMMYFUNCTION("""COMPUTED_VALUE"""),"Cuchillo Tazaki™")</f>
        <v>Cuchillo Tazaki™</v>
      </c>
      <c r="E338" s="188">
        <v>4.8</v>
      </c>
      <c r="F338" s="189">
        <v>2.0</v>
      </c>
      <c r="G338" s="190">
        <v>22.0</v>
      </c>
      <c r="H338" s="154" t="s">
        <v>3727</v>
      </c>
      <c r="I338" s="154" t="s">
        <v>8679</v>
      </c>
      <c r="J338" s="189">
        <v>5.84</v>
      </c>
      <c r="K338" s="154">
        <v>11.36</v>
      </c>
      <c r="L338" s="154" t="s">
        <v>3650</v>
      </c>
      <c r="M338" s="170"/>
      <c r="N338" s="154" t="s">
        <v>9041</v>
      </c>
      <c r="O338" s="170" t="str">
        <f t="array" ref="O338">IFERROR(
VLOOKUP(
TRIM(CLEAN(
INDEX(REPORTE_DROPI!K:K,
MATCH(T338, REPORTE_DROPI!B:B, 0)
))),
{
TRIM(CLEAN(MAPA_ESTADOS!A:A)) ,
MAPA_ESTADOS!B:B
},
2,
FALSE
),
"REVISAR"
)</f>
        <v>ENTREGADO</v>
      </c>
      <c r="P338" s="154" t="s">
        <v>3655</v>
      </c>
      <c r="Q338" s="191"/>
      <c r="R338" s="170"/>
      <c r="S338" s="170"/>
      <c r="T338" s="154">
        <f t="array" ref="T338">IFERROR(
INDEX(REPORTE_DROPI!B:B,
MATCH(
CLEAN(TRIM(C338)),
CLEAN(TRIM(REPORTE_DROPI!E:E)),
0
)
),
""
)
</f>
        <v>4868820</v>
      </c>
      <c r="U338" s="154" t="s">
        <v>9042</v>
      </c>
      <c r="V338" s="192"/>
      <c r="W338" s="192"/>
      <c r="X338" s="192"/>
      <c r="Y338" s="192"/>
      <c r="Z338" s="192"/>
    </row>
    <row r="339" ht="22.5" customHeight="1">
      <c r="A339" s="154"/>
      <c r="B339" s="170">
        <v>46102.0</v>
      </c>
      <c r="C339" s="154" t="s">
        <v>9043</v>
      </c>
      <c r="D339" s="154" t="str">
        <f>IFERROR(__xludf.DUMMYFUNCTION("""COMPUTED_VALUE"""),"Cuchillo Tazaki™")</f>
        <v>Cuchillo Tazaki™</v>
      </c>
      <c r="E339" s="188" t="s">
        <v>3650</v>
      </c>
      <c r="F339" s="189">
        <v>2.0</v>
      </c>
      <c r="G339" s="190" t="s">
        <v>3650</v>
      </c>
      <c r="H339" s="154" t="s">
        <v>3727</v>
      </c>
      <c r="I339" s="154" t="s">
        <v>8243</v>
      </c>
      <c r="J339" s="189" t="s">
        <v>3650</v>
      </c>
      <c r="K339" s="154"/>
      <c r="L339" s="154" t="s">
        <v>3650</v>
      </c>
      <c r="M339" s="170"/>
      <c r="N339" s="154" t="s">
        <v>9044</v>
      </c>
      <c r="O339" s="170" t="str">
        <f t="array" ref="O339">IFERROR(
VLOOKUP(
TRIM(CLEAN(
INDEX(REPORTE_DROPI!K:K,
MATCH(T339, REPORTE_DROPI!B:B, 0)
))),
{
TRIM(CLEAN(MAPA_ESTADOS!A:A)) ,
MAPA_ESTADOS!B:B
},
2,
FALSE
),
"REVISAR"
)</f>
        <v>NOVEDAD</v>
      </c>
      <c r="P339" s="154" t="s">
        <v>3655</v>
      </c>
      <c r="Q339" s="191"/>
      <c r="R339" s="170"/>
      <c r="S339" s="170"/>
      <c r="T339" s="154">
        <f t="array" ref="T339">IFERROR(
INDEX(REPORTE_DROPI!B:B,
MATCH(
CLEAN(TRIM(C339)),
CLEAN(TRIM(REPORTE_DROPI!E:E)),
0
)
),
""
)
</f>
        <v>4868893</v>
      </c>
      <c r="U339" s="154" t="s">
        <v>9045</v>
      </c>
      <c r="V339" s="192"/>
      <c r="W339" s="192"/>
      <c r="X339" s="192"/>
      <c r="Y339" s="192"/>
      <c r="Z339" s="192"/>
    </row>
    <row r="340" ht="22.5" customHeight="1">
      <c r="A340" s="154"/>
      <c r="B340" s="170">
        <v>46102.0</v>
      </c>
      <c r="C340" s="154" t="s">
        <v>9046</v>
      </c>
      <c r="D340" s="154" t="str">
        <f>IFERROR(__xludf.DUMMYFUNCTION("""COMPUTED_VALUE"""),"Cuchillo Tazaki™")</f>
        <v>Cuchillo Tazaki™</v>
      </c>
      <c r="E340" s="188" t="s">
        <v>3650</v>
      </c>
      <c r="F340" s="189">
        <v>2.0</v>
      </c>
      <c r="G340" s="190" t="s">
        <v>3650</v>
      </c>
      <c r="H340" s="154" t="s">
        <v>3727</v>
      </c>
      <c r="I340" s="154" t="s">
        <v>8233</v>
      </c>
      <c r="J340" s="189" t="s">
        <v>3650</v>
      </c>
      <c r="K340" s="154"/>
      <c r="L340" s="154" t="s">
        <v>3650</v>
      </c>
      <c r="M340" s="170"/>
      <c r="N340" s="154" t="s">
        <v>9047</v>
      </c>
      <c r="O340" s="170" t="str">
        <f t="array" ref="O340">IFERROR(
VLOOKUP(
TRIM(CLEAN(
INDEX(REPORTE_DROPI!K:K,
MATCH(T340, REPORTE_DROPI!B:B, 0)
))),
{
TRIM(CLEAN(MAPA_ESTADOS!A:A)) ,
MAPA_ESTADOS!B:B
},
2,
FALSE
),
"REVISAR"
)</f>
        <v>PROCESO</v>
      </c>
      <c r="P340" s="154" t="s">
        <v>3655</v>
      </c>
      <c r="Q340" s="191"/>
      <c r="R340" s="170"/>
      <c r="S340" s="170"/>
      <c r="T340" s="154">
        <f t="array" ref="T340">IFERROR(
INDEX(REPORTE_DROPI!B:B,
MATCH(
CLEAN(TRIM(C340)),
CLEAN(TRIM(REPORTE_DROPI!E:E)),
0
)
),
""
)
</f>
        <v>4869026</v>
      </c>
      <c r="U340" s="154" t="s">
        <v>9048</v>
      </c>
      <c r="V340" s="192"/>
      <c r="W340" s="192"/>
      <c r="X340" s="192"/>
      <c r="Y340" s="192"/>
      <c r="Z340" s="192"/>
    </row>
    <row r="341" ht="22.5" customHeight="1">
      <c r="A341" s="154"/>
      <c r="B341" s="170">
        <v>46102.0</v>
      </c>
      <c r="C341" s="154" t="s">
        <v>9049</v>
      </c>
      <c r="D341" s="154" t="str">
        <f>IFERROR(__xludf.DUMMYFUNCTION("""COMPUTED_VALUE"""),"Cuchillo Tazaki™")</f>
        <v>Cuchillo Tazaki™</v>
      </c>
      <c r="E341" s="188" t="s">
        <v>3650</v>
      </c>
      <c r="F341" s="189">
        <v>3.0</v>
      </c>
      <c r="G341" s="190" t="s">
        <v>3650</v>
      </c>
      <c r="H341" s="154" t="s">
        <v>3727</v>
      </c>
      <c r="I341" s="154" t="s">
        <v>8247</v>
      </c>
      <c r="J341" s="189" t="s">
        <v>3650</v>
      </c>
      <c r="K341" s="154"/>
      <c r="L341" s="154" t="s">
        <v>3650</v>
      </c>
      <c r="M341" s="170"/>
      <c r="N341" s="154" t="s">
        <v>9050</v>
      </c>
      <c r="O341" s="170" t="str">
        <f t="array" ref="O341">IFERROR(
VLOOKUP(
TRIM(CLEAN(
INDEX(REPORTE_DROPI!K:K,
MATCH(T341, REPORTE_DROPI!B:B, 0)
))),
{
TRIM(CLEAN(MAPA_ESTADOS!A:A)) ,
MAPA_ESTADOS!B:B
},
2,
FALSE
),
"REVISAR"
)</f>
        <v>PROCESO</v>
      </c>
      <c r="P341" s="154" t="s">
        <v>3655</v>
      </c>
      <c r="Q341" s="191"/>
      <c r="R341" s="170"/>
      <c r="S341" s="170"/>
      <c r="T341" s="154">
        <f t="array" ref="T341">IFERROR(
INDEX(REPORTE_DROPI!B:B,
MATCH(
CLEAN(TRIM(C341)),
CLEAN(TRIM(REPORTE_DROPI!E:E)),
0
)
),
""
)
</f>
        <v>4869047</v>
      </c>
      <c r="U341" s="154" t="s">
        <v>9051</v>
      </c>
      <c r="V341" s="192"/>
      <c r="W341" s="192"/>
      <c r="X341" s="192"/>
      <c r="Y341" s="192"/>
      <c r="Z341" s="192"/>
    </row>
    <row r="342" ht="22.5" customHeight="1">
      <c r="A342" s="154"/>
      <c r="B342" s="170">
        <v>46102.0</v>
      </c>
      <c r="C342" s="154" t="s">
        <v>9052</v>
      </c>
      <c r="D342" s="154" t="str">
        <f>IFERROR(__xludf.DUMMYFUNCTION("""COMPUTED_VALUE"""),"FilmPro®")</f>
        <v>FilmPro®</v>
      </c>
      <c r="E342" s="188">
        <v>6.63</v>
      </c>
      <c r="F342" s="189">
        <v>3.0</v>
      </c>
      <c r="G342" s="190">
        <v>24.99</v>
      </c>
      <c r="H342" s="154" t="s">
        <v>3727</v>
      </c>
      <c r="I342" s="154" t="s">
        <v>8255</v>
      </c>
      <c r="J342" s="189">
        <v>5.95</v>
      </c>
      <c r="K342" s="154"/>
      <c r="L342" s="154" t="s">
        <v>3650</v>
      </c>
      <c r="M342" s="170"/>
      <c r="N342" s="154" t="s">
        <v>9053</v>
      </c>
      <c r="O342" s="170" t="str">
        <f t="array" ref="O342">IFERROR(
VLOOKUP(
TRIM(CLEAN(
INDEX(REPORTE_DROPI!K:K,
MATCH(T342, REPORTE_DROPI!B:B, 0)
))),
{
TRIM(CLEAN(MAPA_ESTADOS!A:A)) ,
MAPA_ESTADOS!B:B
},
2,
FALSE
),
"REVISAR"
)</f>
        <v>ENTREGADO</v>
      </c>
      <c r="P342" s="154" t="s">
        <v>3655</v>
      </c>
      <c r="Q342" s="191"/>
      <c r="R342" s="170"/>
      <c r="S342" s="170"/>
      <c r="T342" s="154">
        <f t="array" ref="T342">IFERROR(
INDEX(REPORTE_DROPI!B:B,
MATCH(
CLEAN(TRIM(C342)),
CLEAN(TRIM(REPORTE_DROPI!E:E)),
0
)
),
""
)
</f>
        <v>4869179</v>
      </c>
      <c r="U342" s="154" t="s">
        <v>9054</v>
      </c>
      <c r="V342" s="192"/>
      <c r="W342" s="192"/>
      <c r="X342" s="192"/>
      <c r="Y342" s="192"/>
      <c r="Z342" s="192"/>
    </row>
    <row r="343" ht="22.5" customHeight="1">
      <c r="A343" s="154"/>
      <c r="B343" s="170">
        <v>46102.0</v>
      </c>
      <c r="C343" s="154" t="s">
        <v>9055</v>
      </c>
      <c r="D343" s="154" t="str">
        <f>IFERROR(__xludf.DUMMYFUNCTION("""COMPUTED_VALUE"""),"FilmPro®")</f>
        <v>FilmPro®</v>
      </c>
      <c r="E343" s="188" t="s">
        <v>3650</v>
      </c>
      <c r="F343" s="189">
        <v>2.0</v>
      </c>
      <c r="G343" s="190" t="s">
        <v>3650</v>
      </c>
      <c r="H343" s="154" t="s">
        <v>3727</v>
      </c>
      <c r="I343" s="154" t="s">
        <v>8288</v>
      </c>
      <c r="J343" s="189" t="s">
        <v>3650</v>
      </c>
      <c r="K343" s="154"/>
      <c r="L343" s="154" t="s">
        <v>3650</v>
      </c>
      <c r="M343" s="170"/>
      <c r="N343" s="154" t="s">
        <v>9056</v>
      </c>
      <c r="O343" s="170" t="str">
        <f t="array" ref="O343">IFERROR(
VLOOKUP(
TRIM(CLEAN(
INDEX(REPORTE_DROPI!K:K,
MATCH(T343, REPORTE_DROPI!B:B, 0)
))),
{
TRIM(CLEAN(MAPA_ESTADOS!A:A)) ,
MAPA_ESTADOS!B:B
},
2,
FALSE
),
"REVISAR"
)</f>
        <v>PROCESO</v>
      </c>
      <c r="P343" s="154" t="s">
        <v>3655</v>
      </c>
      <c r="Q343" s="191"/>
      <c r="R343" s="170"/>
      <c r="S343" s="170"/>
      <c r="T343" s="154">
        <f t="array" ref="T343">IFERROR(
INDEX(REPORTE_DROPI!B:B,
MATCH(
CLEAN(TRIM(C343)),
CLEAN(TRIM(REPORTE_DROPI!E:E)),
0
)
),
""
)
</f>
        <v>4890075</v>
      </c>
      <c r="U343" s="154" t="s">
        <v>9057</v>
      </c>
      <c r="V343" s="192"/>
      <c r="W343" s="192"/>
      <c r="X343" s="192"/>
      <c r="Y343" s="192"/>
      <c r="Z343" s="192"/>
    </row>
    <row r="344" ht="22.5" customHeight="1">
      <c r="A344" s="154"/>
      <c r="B344" s="170">
        <v>46102.0</v>
      </c>
      <c r="C344" s="154" t="s">
        <v>9058</v>
      </c>
      <c r="D344" s="154" t="str">
        <f>IFERROR(__xludf.DUMMYFUNCTION("""COMPUTED_VALUE"""),"FilmPro®")</f>
        <v>FilmPro®</v>
      </c>
      <c r="E344" s="188" t="s">
        <v>3650</v>
      </c>
      <c r="F344" s="189">
        <v>2.0</v>
      </c>
      <c r="G344" s="190" t="s">
        <v>3650</v>
      </c>
      <c r="H344" s="154" t="s">
        <v>3727</v>
      </c>
      <c r="I344" s="154" t="s">
        <v>8233</v>
      </c>
      <c r="J344" s="189" t="s">
        <v>3650</v>
      </c>
      <c r="K344" s="154"/>
      <c r="L344" s="154" t="s">
        <v>3650</v>
      </c>
      <c r="M344" s="170"/>
      <c r="N344" s="154" t="s">
        <v>9059</v>
      </c>
      <c r="O344" s="170" t="str">
        <f t="array" ref="O344">IFERROR(
VLOOKUP(
TRIM(CLEAN(
INDEX(REPORTE_DROPI!K:K,
MATCH(T344, REPORTE_DROPI!B:B, 0)
))),
{
TRIM(CLEAN(MAPA_ESTADOS!A:A)) ,
MAPA_ESTADOS!B:B
},
2,
FALSE
),
"REVISAR"
)</f>
        <v>PROCESO</v>
      </c>
      <c r="P344" s="154" t="s">
        <v>3655</v>
      </c>
      <c r="Q344" s="191"/>
      <c r="R344" s="170"/>
      <c r="S344" s="170"/>
      <c r="T344" s="154">
        <f t="array" ref="T344">IFERROR(
INDEX(REPORTE_DROPI!B:B,
MATCH(
CLEAN(TRIM(C344)),
CLEAN(TRIM(REPORTE_DROPI!E:E)),
0
)
),
""
)
</f>
        <v>4869715</v>
      </c>
      <c r="U344" s="154" t="s">
        <v>9060</v>
      </c>
      <c r="V344" s="192"/>
      <c r="W344" s="192"/>
      <c r="X344" s="192"/>
      <c r="Y344" s="192"/>
      <c r="Z344" s="192"/>
    </row>
    <row r="345" ht="22.5" customHeight="1">
      <c r="A345" s="154"/>
      <c r="B345" s="170">
        <v>46102.0</v>
      </c>
      <c r="C345" s="154" t="s">
        <v>9061</v>
      </c>
      <c r="D345" s="154" t="str">
        <f>IFERROR(__xludf.DUMMYFUNCTION("""COMPUTED_VALUE"""),"FilmPro®")</f>
        <v>FilmPro®</v>
      </c>
      <c r="E345" s="188" t="s">
        <v>3650</v>
      </c>
      <c r="F345" s="189">
        <v>3.0</v>
      </c>
      <c r="G345" s="190" t="s">
        <v>3650</v>
      </c>
      <c r="H345" s="154" t="s">
        <v>3727</v>
      </c>
      <c r="I345" s="154" t="s">
        <v>8255</v>
      </c>
      <c r="J345" s="189" t="s">
        <v>3650</v>
      </c>
      <c r="K345" s="154"/>
      <c r="L345" s="154" t="s">
        <v>3650</v>
      </c>
      <c r="M345" s="170"/>
      <c r="N345" s="154" t="s">
        <v>9062</v>
      </c>
      <c r="O345" s="170" t="str">
        <f t="array" ref="O345">IFERROR(
VLOOKUP(
TRIM(CLEAN(
INDEX(REPORTE_DROPI!K:K,
MATCH(T345, REPORTE_DROPI!B:B, 0)
))),
{
TRIM(CLEAN(MAPA_ESTADOS!A:A)) ,
MAPA_ESTADOS!B:B
},
2,
FALSE
),
"REVISAR"
)</f>
        <v>PENDIENTE</v>
      </c>
      <c r="P345" s="202" t="s">
        <v>8778</v>
      </c>
      <c r="Q345" s="191"/>
      <c r="R345" s="170"/>
      <c r="S345" s="170"/>
      <c r="T345" s="154">
        <f t="array" ref="T345">IFERROR(
INDEX(REPORTE_DROPI!B:B,
MATCH(
CLEAN(TRIM(C345)),
CLEAN(TRIM(REPORTE_DROPI!E:E)),
0
)
),
""
)
</f>
        <v>4870466</v>
      </c>
      <c r="U345" s="194">
        <v>1.77234242159E11</v>
      </c>
      <c r="V345" s="192"/>
      <c r="W345" s="192"/>
      <c r="X345" s="192"/>
      <c r="Y345" s="192"/>
      <c r="Z345" s="192"/>
    </row>
    <row r="346" ht="22.5" customHeight="1">
      <c r="A346" s="154"/>
      <c r="B346" s="170">
        <v>46102.0</v>
      </c>
      <c r="C346" s="154" t="s">
        <v>9063</v>
      </c>
      <c r="D346" s="154" t="str">
        <f>IFERROR(__xludf.DUMMYFUNCTION("""COMPUTED_VALUE"""),"FilmPro®")</f>
        <v>FilmPro®</v>
      </c>
      <c r="E346" s="188" t="s">
        <v>3650</v>
      </c>
      <c r="F346" s="189">
        <v>2.0</v>
      </c>
      <c r="G346" s="190" t="s">
        <v>3650</v>
      </c>
      <c r="H346" s="154" t="s">
        <v>3727</v>
      </c>
      <c r="I346" s="154" t="s">
        <v>8247</v>
      </c>
      <c r="J346" s="189" t="s">
        <v>3650</v>
      </c>
      <c r="K346" s="154"/>
      <c r="L346" s="154" t="s">
        <v>3650</v>
      </c>
      <c r="M346" s="170"/>
      <c r="N346" s="154" t="s">
        <v>9064</v>
      </c>
      <c r="O346" s="170" t="str">
        <f t="array" ref="O346">IFERROR(
VLOOKUP(
TRIM(CLEAN(
INDEX(REPORTE_DROPI!K:K,
MATCH(T346, REPORTE_DROPI!B:B, 0)
))),
{
TRIM(CLEAN(MAPA_ESTADOS!A:A)) ,
MAPA_ESTADOS!B:B
},
2,
FALSE
),
"REVISAR"
)</f>
        <v>NOVEDAD</v>
      </c>
      <c r="P346" s="154" t="s">
        <v>3655</v>
      </c>
      <c r="Q346" s="191"/>
      <c r="R346" s="170"/>
      <c r="S346" s="170"/>
      <c r="T346" s="154">
        <f t="array" ref="T346">IFERROR(
INDEX(REPORTE_DROPI!B:B,
MATCH(
CLEAN(TRIM(C346)),
CLEAN(TRIM(REPORTE_DROPI!E:E)),
0
)
),
""
)
</f>
        <v>4871103</v>
      </c>
      <c r="U346" s="154" t="s">
        <v>9065</v>
      </c>
      <c r="V346" s="192"/>
      <c r="W346" s="192"/>
      <c r="X346" s="192"/>
      <c r="Y346" s="192"/>
      <c r="Z346" s="192"/>
    </row>
    <row r="347" ht="22.5" customHeight="1">
      <c r="A347" s="154"/>
      <c r="B347" s="170">
        <v>46102.0</v>
      </c>
      <c r="C347" s="154" t="s">
        <v>8841</v>
      </c>
      <c r="D347" s="154" t="str">
        <f>IFERROR(__xludf.DUMMYFUNCTION("""COMPUTED_VALUE"""),"FilmPro®")</f>
        <v>FilmPro®</v>
      </c>
      <c r="E347" s="188" t="s">
        <v>3650</v>
      </c>
      <c r="F347" s="189">
        <v>2.0</v>
      </c>
      <c r="G347" s="190" t="s">
        <v>3650</v>
      </c>
      <c r="H347" s="154" t="s">
        <v>3727</v>
      </c>
      <c r="I347" s="154" t="s">
        <v>8233</v>
      </c>
      <c r="J347" s="189" t="s">
        <v>3650</v>
      </c>
      <c r="K347" s="154"/>
      <c r="L347" s="154" t="s">
        <v>3650</v>
      </c>
      <c r="M347" s="170"/>
      <c r="N347" s="154" t="s">
        <v>9066</v>
      </c>
      <c r="O347" s="170" t="str">
        <f t="array" ref="O347">IFERROR(
VLOOKUP(
TRIM(CLEAN(
INDEX(REPORTE_DROPI!K:K,
MATCH(T347, REPORTE_DROPI!B:B, 0)
))),
{
TRIM(CLEAN(MAPA_ESTADOS!A:A)) ,
MAPA_ESTADOS!B:B
},
2,
FALSE
),
"REVISAR"
)</f>
        <v>PROCESO</v>
      </c>
      <c r="P347" s="154" t="s">
        <v>3655</v>
      </c>
      <c r="Q347" s="191"/>
      <c r="R347" s="170"/>
      <c r="S347" s="170"/>
      <c r="T347" s="154">
        <f t="array" ref="T347">IFERROR(
INDEX(REPORTE_DROPI!B:B,
MATCH(
CLEAN(TRIM(C347)),
CLEAN(TRIM(REPORTE_DROPI!E:E)),
0
)
),
""
)
</f>
        <v>4871220</v>
      </c>
      <c r="U347" s="154" t="s">
        <v>9067</v>
      </c>
      <c r="V347" s="192"/>
      <c r="W347" s="192"/>
      <c r="X347" s="192"/>
      <c r="Y347" s="192"/>
      <c r="Z347" s="192"/>
    </row>
    <row r="348" ht="22.5" customHeight="1">
      <c r="A348" s="154"/>
      <c r="B348" s="170">
        <v>46102.0</v>
      </c>
      <c r="C348" s="154" t="s">
        <v>9068</v>
      </c>
      <c r="D348" s="154" t="str">
        <f>IFERROR(__xludf.DUMMYFUNCTION("""COMPUTED_VALUE"""),"FilmPro®")</f>
        <v>FilmPro®</v>
      </c>
      <c r="E348" s="188" t="s">
        <v>3650</v>
      </c>
      <c r="F348" s="189">
        <v>3.0</v>
      </c>
      <c r="G348" s="190" t="s">
        <v>3650</v>
      </c>
      <c r="H348" s="154" t="s">
        <v>3727</v>
      </c>
      <c r="I348" s="154" t="s">
        <v>8653</v>
      </c>
      <c r="J348" s="189" t="s">
        <v>3650</v>
      </c>
      <c r="K348" s="154"/>
      <c r="L348" s="154" t="s">
        <v>3650</v>
      </c>
      <c r="M348" s="170"/>
      <c r="N348" s="154" t="s">
        <v>9069</v>
      </c>
      <c r="O348" s="170" t="str">
        <f t="array" ref="O348">IFERROR(
VLOOKUP(
TRIM(CLEAN(
INDEX(REPORTE_DROPI!K:K,
MATCH(T348, REPORTE_DROPI!B:B, 0)
))),
{
TRIM(CLEAN(MAPA_ESTADOS!A:A)) ,
MAPA_ESTADOS!B:B
},
2,
FALSE
),
"REVISAR"
)</f>
        <v>PROCESO</v>
      </c>
      <c r="P348" s="154" t="s">
        <v>3655</v>
      </c>
      <c r="Q348" s="191"/>
      <c r="R348" s="170"/>
      <c r="S348" s="170"/>
      <c r="T348" s="154">
        <f t="array" ref="T348">IFERROR(
INDEX(REPORTE_DROPI!B:B,
MATCH(
CLEAN(TRIM(C348)),
CLEAN(TRIM(REPORTE_DROPI!E:E)),
0
)
),
""
)
</f>
        <v>4871271</v>
      </c>
      <c r="U348" s="154" t="s">
        <v>9070</v>
      </c>
      <c r="V348" s="192"/>
      <c r="W348" s="192"/>
      <c r="X348" s="192"/>
      <c r="Y348" s="192"/>
      <c r="Z348" s="192"/>
    </row>
    <row r="349" ht="22.5" customHeight="1">
      <c r="A349" s="154"/>
      <c r="B349" s="170">
        <v>46102.0</v>
      </c>
      <c r="C349" s="154" t="s">
        <v>9071</v>
      </c>
      <c r="D349" s="154" t="str">
        <f>IFERROR(__xludf.DUMMYFUNCTION("""COMPUTED_VALUE"""),"FilmPro®")</f>
        <v>FilmPro®</v>
      </c>
      <c r="E349" s="188">
        <v>8.84</v>
      </c>
      <c r="F349" s="189">
        <v>4.0</v>
      </c>
      <c r="G349" s="190">
        <v>30.0</v>
      </c>
      <c r="H349" s="154" t="s">
        <v>3727</v>
      </c>
      <c r="I349" s="154" t="s">
        <v>8247</v>
      </c>
      <c r="J349" s="189">
        <v>6.73</v>
      </c>
      <c r="K349" s="154">
        <v>14.43</v>
      </c>
      <c r="L349" s="154" t="s">
        <v>3650</v>
      </c>
      <c r="M349" s="170"/>
      <c r="N349" s="154" t="s">
        <v>9072</v>
      </c>
      <c r="O349" s="170" t="str">
        <f t="array" ref="O349">IFERROR(
VLOOKUP(
TRIM(CLEAN(
INDEX(REPORTE_DROPI!K:K,
MATCH(T349, REPORTE_DROPI!B:B, 0)
))),
{
TRIM(CLEAN(MAPA_ESTADOS!A:A)) ,
MAPA_ESTADOS!B:B
},
2,
FALSE
),
"REVISAR"
)</f>
        <v>ENTREGADO</v>
      </c>
      <c r="P349" s="154" t="s">
        <v>3655</v>
      </c>
      <c r="Q349" s="191"/>
      <c r="R349" s="170"/>
      <c r="S349" s="170"/>
      <c r="T349" s="154">
        <f t="array" ref="T349">IFERROR(
INDEX(REPORTE_DROPI!B:B,
MATCH(
CLEAN(TRIM(C349)),
CLEAN(TRIM(REPORTE_DROPI!E:E)),
0
)
),
""
)
</f>
        <v>4871358</v>
      </c>
      <c r="U349" s="154" t="s">
        <v>9073</v>
      </c>
      <c r="V349" s="192"/>
      <c r="W349" s="192"/>
      <c r="X349" s="192"/>
      <c r="Y349" s="192"/>
      <c r="Z349" s="192"/>
    </row>
    <row r="350" ht="22.5" customHeight="1">
      <c r="A350" s="154"/>
      <c r="B350" s="170">
        <v>46102.0</v>
      </c>
      <c r="C350" s="154" t="s">
        <v>9074</v>
      </c>
      <c r="D350" s="154" t="str">
        <f>IFERROR(__xludf.DUMMYFUNCTION("""COMPUTED_VALUE"""),"FilmPro®")</f>
        <v>FilmPro®</v>
      </c>
      <c r="E350" s="188" t="s">
        <v>3650</v>
      </c>
      <c r="F350" s="189">
        <v>2.0</v>
      </c>
      <c r="G350" s="190" t="s">
        <v>3650</v>
      </c>
      <c r="H350" s="154" t="s">
        <v>3727</v>
      </c>
      <c r="I350" s="154" t="s">
        <v>8233</v>
      </c>
      <c r="J350" s="189" t="s">
        <v>3650</v>
      </c>
      <c r="K350" s="154"/>
      <c r="L350" s="154" t="s">
        <v>3650</v>
      </c>
      <c r="M350" s="170"/>
      <c r="N350" s="154" t="s">
        <v>9075</v>
      </c>
      <c r="O350" s="170" t="str">
        <f t="array" ref="O350">IFERROR(
VLOOKUP(
TRIM(CLEAN(
INDEX(REPORTE_DROPI!K:K,
MATCH(T350, REPORTE_DROPI!B:B, 0)
))),
{
TRIM(CLEAN(MAPA_ESTADOS!A:A)) ,
MAPA_ESTADOS!B:B
},
2,
FALSE
),
"REVISAR"
)</f>
        <v>PENDIENTE</v>
      </c>
      <c r="P350" s="202" t="s">
        <v>8106</v>
      </c>
      <c r="Q350" s="191"/>
      <c r="R350" s="170"/>
      <c r="S350" s="170"/>
      <c r="T350" s="154">
        <f t="array" ref="T350">IFERROR(
INDEX(REPORTE_DROPI!B:B,
MATCH(
CLEAN(TRIM(C350)),
CLEAN(TRIM(REPORTE_DROPI!E:E)),
0
)
),
""
)
</f>
        <v>4872018</v>
      </c>
      <c r="U350" s="154" t="s">
        <v>9076</v>
      </c>
      <c r="V350" s="192"/>
      <c r="W350" s="192"/>
      <c r="X350" s="192"/>
      <c r="Y350" s="192"/>
      <c r="Z350" s="192"/>
    </row>
    <row r="351" ht="22.5" customHeight="1">
      <c r="A351" s="154"/>
      <c r="B351" s="170">
        <v>46102.0</v>
      </c>
      <c r="C351" s="154" t="s">
        <v>9077</v>
      </c>
      <c r="D351" s="154" t="str">
        <f>IFERROR(__xludf.DUMMYFUNCTION("""COMPUTED_VALUE"""),"FilmPro®")</f>
        <v>FilmPro®</v>
      </c>
      <c r="E351" s="188" t="s">
        <v>3650</v>
      </c>
      <c r="F351" s="189">
        <v>2.0</v>
      </c>
      <c r="G351" s="190" t="s">
        <v>3650</v>
      </c>
      <c r="H351" s="154" t="s">
        <v>3727</v>
      </c>
      <c r="I351" s="154" t="s">
        <v>8265</v>
      </c>
      <c r="J351" s="189" t="s">
        <v>3650</v>
      </c>
      <c r="K351" s="154"/>
      <c r="L351" s="154" t="s">
        <v>3650</v>
      </c>
      <c r="M351" s="170"/>
      <c r="N351" s="154" t="s">
        <v>9078</v>
      </c>
      <c r="O351" s="170" t="str">
        <f t="array" ref="O351">IFERROR(
VLOOKUP(
TRIM(CLEAN(
INDEX(REPORTE_DROPI!K:K,
MATCH(T351, REPORTE_DROPI!B:B, 0)
))),
{
TRIM(CLEAN(MAPA_ESTADOS!A:A)) ,
MAPA_ESTADOS!B:B
},
2,
FALSE
),
"REVISAR"
)</f>
        <v>PENDIENTE</v>
      </c>
      <c r="P351" s="202" t="s">
        <v>8778</v>
      </c>
      <c r="Q351" s="191"/>
      <c r="R351" s="170"/>
      <c r="S351" s="170"/>
      <c r="T351" s="154">
        <f t="array" ref="T351">IFERROR(
INDEX(REPORTE_DROPI!B:B,
MATCH(
CLEAN(TRIM(C351)),
CLEAN(TRIM(REPORTE_DROPI!E:E)),
0
)
),
""
)
</f>
        <v>4872269</v>
      </c>
      <c r="U351" s="154" t="s">
        <v>9079</v>
      </c>
      <c r="V351" s="192"/>
      <c r="W351" s="192"/>
      <c r="X351" s="192"/>
      <c r="Y351" s="192"/>
      <c r="Z351" s="192"/>
    </row>
    <row r="352" ht="22.5" customHeight="1">
      <c r="A352" s="154"/>
      <c r="B352" s="170">
        <v>46103.0</v>
      </c>
      <c r="C352" s="154" t="s">
        <v>9080</v>
      </c>
      <c r="D352" s="154" t="str">
        <f>IFERROR(__xludf.DUMMYFUNCTION("""COMPUTED_VALUE"""),"FilmPro®")</f>
        <v>FilmPro®</v>
      </c>
      <c r="E352" s="188" t="s">
        <v>3650</v>
      </c>
      <c r="F352" s="189">
        <v>2.0</v>
      </c>
      <c r="G352" s="190" t="s">
        <v>3650</v>
      </c>
      <c r="H352" s="154" t="s">
        <v>3727</v>
      </c>
      <c r="I352" s="154" t="s">
        <v>8265</v>
      </c>
      <c r="J352" s="189" t="s">
        <v>3650</v>
      </c>
      <c r="K352" s="154"/>
      <c r="L352" s="154" t="s">
        <v>3650</v>
      </c>
      <c r="M352" s="170"/>
      <c r="N352" s="154" t="s">
        <v>9081</v>
      </c>
      <c r="O352" s="170" t="str">
        <f t="array" ref="O352">IFERROR(
VLOOKUP(
TRIM(CLEAN(
INDEX(REPORTE_DROPI!K:K,
MATCH(T352, REPORTE_DROPI!B:B, 0)
))),
{
TRIM(CLEAN(MAPA_ESTADOS!A:A)) ,
MAPA_ESTADOS!B:B
},
2,
FALSE
),
"REVISAR"
)</f>
        <v>PENDIENTE</v>
      </c>
      <c r="P352" s="202" t="s">
        <v>8778</v>
      </c>
      <c r="Q352" s="191"/>
      <c r="R352" s="170"/>
      <c r="S352" s="170"/>
      <c r="T352" s="154">
        <f t="array" ref="T352">IFERROR(
INDEX(REPORTE_DROPI!B:B,
MATCH(
CLEAN(TRIM(C352)),
CLEAN(TRIM(REPORTE_DROPI!E:E)),
0
)
),
""
)
</f>
        <v>4872724</v>
      </c>
      <c r="U352" s="154" t="s">
        <v>9082</v>
      </c>
      <c r="V352" s="192"/>
      <c r="W352" s="192"/>
      <c r="X352" s="192"/>
      <c r="Y352" s="192"/>
      <c r="Z352" s="192"/>
    </row>
    <row r="353" ht="22.5" customHeight="1">
      <c r="A353" s="154"/>
      <c r="B353" s="170">
        <v>46103.0</v>
      </c>
      <c r="C353" s="154" t="s">
        <v>9083</v>
      </c>
      <c r="D353" s="154" t="str">
        <f>IFERROR(__xludf.DUMMYFUNCTION("""COMPUTED_VALUE"""),"FilmPro®")</f>
        <v>FilmPro®</v>
      </c>
      <c r="E353" s="188" t="s">
        <v>3650</v>
      </c>
      <c r="F353" s="189">
        <v>3.0</v>
      </c>
      <c r="G353" s="190" t="s">
        <v>3650</v>
      </c>
      <c r="H353" s="154" t="s">
        <v>3727</v>
      </c>
      <c r="I353" s="154" t="s">
        <v>8255</v>
      </c>
      <c r="J353" s="189" t="s">
        <v>3650</v>
      </c>
      <c r="K353" s="154"/>
      <c r="L353" s="154" t="s">
        <v>3650</v>
      </c>
      <c r="M353" s="170"/>
      <c r="N353" s="154" t="s">
        <v>9084</v>
      </c>
      <c r="O353" s="170" t="str">
        <f t="array" ref="O353">IFERROR(
VLOOKUP(
TRIM(CLEAN(
INDEX(REPORTE_DROPI!K:K,
MATCH(T353, REPORTE_DROPI!B:B, 0)
))),
{
TRIM(CLEAN(MAPA_ESTADOS!A:A)) ,
MAPA_ESTADOS!B:B
},
2,
FALSE
),
"REVISAR"
)</f>
        <v>PROCESO</v>
      </c>
      <c r="P353" s="154" t="s">
        <v>3655</v>
      </c>
      <c r="Q353" s="191"/>
      <c r="R353" s="170"/>
      <c r="S353" s="170"/>
      <c r="T353" s="154">
        <f t="array" ref="T353">IFERROR(
INDEX(REPORTE_DROPI!B:B,
MATCH(
CLEAN(TRIM(C353)),
CLEAN(TRIM(REPORTE_DROPI!E:E)),
0
)
),
""
)
</f>
        <v>4872831</v>
      </c>
      <c r="U353" s="194">
        <v>1.9013014214E11</v>
      </c>
      <c r="V353" s="192"/>
      <c r="W353" s="192"/>
      <c r="X353" s="192"/>
      <c r="Y353" s="192"/>
      <c r="Z353" s="192"/>
    </row>
    <row r="354" ht="22.5" customHeight="1">
      <c r="A354" s="154"/>
      <c r="B354" s="170">
        <v>46103.0</v>
      </c>
      <c r="C354" s="154" t="s">
        <v>9085</v>
      </c>
      <c r="D354" s="154" t="str">
        <f>IFERROR(__xludf.DUMMYFUNCTION("""COMPUTED_VALUE"""),"FilmPro®")</f>
        <v>FilmPro®</v>
      </c>
      <c r="E354" s="188" t="s">
        <v>3650</v>
      </c>
      <c r="F354" s="189">
        <v>3.0</v>
      </c>
      <c r="G354" s="190" t="s">
        <v>3650</v>
      </c>
      <c r="H354" s="154" t="s">
        <v>3727</v>
      </c>
      <c r="I354" s="154" t="s">
        <v>8243</v>
      </c>
      <c r="J354" s="189" t="s">
        <v>3650</v>
      </c>
      <c r="K354" s="154"/>
      <c r="L354" s="154" t="s">
        <v>3650</v>
      </c>
      <c r="M354" s="170"/>
      <c r="N354" s="154" t="s">
        <v>9086</v>
      </c>
      <c r="O354" s="170" t="str">
        <f t="array" ref="O354">IFERROR(
VLOOKUP(
TRIM(CLEAN(
INDEX(REPORTE_DROPI!K:K,
MATCH(T354, REPORTE_DROPI!B:B, 0)
))),
{
TRIM(CLEAN(MAPA_ESTADOS!A:A)) ,
MAPA_ESTADOS!B:B
},
2,
FALSE
),
"REVISAR"
)</f>
        <v>PENDIENTE</v>
      </c>
      <c r="P354" s="202" t="s">
        <v>8778</v>
      </c>
      <c r="Q354" s="191"/>
      <c r="R354" s="170"/>
      <c r="S354" s="170"/>
      <c r="T354" s="154">
        <f t="array" ref="T354">IFERROR(
INDEX(REPORTE_DROPI!B:B,
MATCH(
CLEAN(TRIM(C354)),
CLEAN(TRIM(REPORTE_DROPI!E:E)),
0
)
),
""
)
</f>
        <v>4872966</v>
      </c>
      <c r="U354" s="154" t="s">
        <v>9087</v>
      </c>
      <c r="V354" s="192"/>
      <c r="W354" s="192"/>
      <c r="X354" s="192"/>
      <c r="Y354" s="192"/>
      <c r="Z354" s="192"/>
    </row>
    <row r="355" ht="22.5" customHeight="1">
      <c r="A355" s="154"/>
      <c r="B355" s="170">
        <v>46103.0</v>
      </c>
      <c r="C355" s="154" t="s">
        <v>9088</v>
      </c>
      <c r="D355" s="154" t="str">
        <f>IFERROR(__xludf.DUMMYFUNCTION("""COMPUTED_VALUE"""),"FilmPro®")</f>
        <v>FilmPro®</v>
      </c>
      <c r="E355" s="188" t="s">
        <v>3650</v>
      </c>
      <c r="F355" s="189">
        <v>2.0</v>
      </c>
      <c r="G355" s="190" t="s">
        <v>3650</v>
      </c>
      <c r="H355" s="154" t="s">
        <v>3727</v>
      </c>
      <c r="I355" s="154" t="s">
        <v>8233</v>
      </c>
      <c r="J355" s="189" t="s">
        <v>3650</v>
      </c>
      <c r="K355" s="154"/>
      <c r="L355" s="154" t="s">
        <v>3650</v>
      </c>
      <c r="M355" s="170"/>
      <c r="N355" s="154" t="s">
        <v>9089</v>
      </c>
      <c r="O355" s="170" t="str">
        <f t="array" ref="O355">IFERROR(
VLOOKUP(
TRIM(CLEAN(
INDEX(REPORTE_DROPI!K:K,
MATCH(T355, REPORTE_DROPI!B:B, 0)
))),
{
TRIM(CLEAN(MAPA_ESTADOS!A:A)) ,
MAPA_ESTADOS!B:B
},
2,
FALSE
),
"REVISAR"
)</f>
        <v>CANCELADO</v>
      </c>
      <c r="P355" s="205" t="s">
        <v>8802</v>
      </c>
      <c r="Q355" s="191"/>
      <c r="R355" s="170"/>
      <c r="S355" s="170"/>
      <c r="T355" s="154">
        <f t="array" ref="T355">IFERROR(
INDEX(REPORTE_DROPI!B:B,
MATCH(
CLEAN(TRIM(C355)),
CLEAN(TRIM(REPORTE_DROPI!E:E)),
0
)
),
""
)
</f>
        <v>4872974</v>
      </c>
      <c r="U355" s="154" t="s">
        <v>9090</v>
      </c>
      <c r="V355" s="192"/>
      <c r="W355" s="192"/>
      <c r="X355" s="192"/>
      <c r="Y355" s="192"/>
      <c r="Z355" s="192"/>
    </row>
    <row r="356" ht="22.5" customHeight="1">
      <c r="A356" s="154"/>
      <c r="B356" s="170">
        <v>46103.0</v>
      </c>
      <c r="C356" s="154" t="s">
        <v>9091</v>
      </c>
      <c r="D356" s="154" t="str">
        <f>IFERROR(__xludf.DUMMYFUNCTION("""COMPUTED_VALUE"""),"FilmPro®")</f>
        <v>FilmPro®</v>
      </c>
      <c r="E356" s="188" t="s">
        <v>3650</v>
      </c>
      <c r="F356" s="189">
        <v>2.0</v>
      </c>
      <c r="G356" s="190" t="s">
        <v>3650</v>
      </c>
      <c r="H356" s="154" t="s">
        <v>3727</v>
      </c>
      <c r="I356" s="154" t="s">
        <v>8243</v>
      </c>
      <c r="J356" s="189" t="s">
        <v>3650</v>
      </c>
      <c r="K356" s="154"/>
      <c r="L356" s="154" t="s">
        <v>3650</v>
      </c>
      <c r="M356" s="170"/>
      <c r="N356" s="154" t="s">
        <v>9092</v>
      </c>
      <c r="O356" s="170" t="str">
        <f t="array" ref="O356">IFERROR(
VLOOKUP(
TRIM(CLEAN(
INDEX(REPORTE_DROPI!K:K,
MATCH(T356, REPORTE_DROPI!B:B, 0)
))),
{
TRIM(CLEAN(MAPA_ESTADOS!A:A)) ,
MAPA_ESTADOS!B:B
},
2,
FALSE
),
"REVISAR"
)</f>
        <v>CANCELADO</v>
      </c>
      <c r="P356" s="205" t="s">
        <v>8802</v>
      </c>
      <c r="Q356" s="191"/>
      <c r="R356" s="170"/>
      <c r="S356" s="170"/>
      <c r="T356" s="154">
        <f t="array" ref="T356">IFERROR(
INDEX(REPORTE_DROPI!B:B,
MATCH(
CLEAN(TRIM(C356)),
CLEAN(TRIM(REPORTE_DROPI!E:E)),
0
)
),
""
)
</f>
        <v>4873282</v>
      </c>
      <c r="U356" s="154" t="s">
        <v>9093</v>
      </c>
      <c r="V356" s="192"/>
      <c r="W356" s="192"/>
      <c r="X356" s="192"/>
      <c r="Y356" s="192"/>
      <c r="Z356" s="192"/>
    </row>
    <row r="357" ht="22.5" customHeight="1">
      <c r="A357" s="154"/>
      <c r="B357" s="170">
        <v>46103.0</v>
      </c>
      <c r="C357" s="154" t="s">
        <v>9094</v>
      </c>
      <c r="D357" s="154" t="str">
        <f>IFERROR(__xludf.DUMMYFUNCTION("""COMPUTED_VALUE"""),"FilmPro®")</f>
        <v>FilmPro®</v>
      </c>
      <c r="E357" s="188" t="s">
        <v>3650</v>
      </c>
      <c r="F357" s="189">
        <v>2.0</v>
      </c>
      <c r="G357" s="190" t="s">
        <v>3650</v>
      </c>
      <c r="H357" s="154" t="s">
        <v>3727</v>
      </c>
      <c r="I357" s="154" t="s">
        <v>8233</v>
      </c>
      <c r="J357" s="189" t="s">
        <v>3650</v>
      </c>
      <c r="K357" s="154"/>
      <c r="L357" s="154" t="s">
        <v>3650</v>
      </c>
      <c r="M357" s="170"/>
      <c r="N357" s="154" t="s">
        <v>9095</v>
      </c>
      <c r="O357" s="170" t="str">
        <f t="array" ref="O357">IFERROR(
VLOOKUP(
TRIM(CLEAN(
INDEX(REPORTE_DROPI!K:K,
MATCH(T357, REPORTE_DROPI!B:B, 0)
))),
{
TRIM(CLEAN(MAPA_ESTADOS!A:A)) ,
MAPA_ESTADOS!B:B
},
2,
FALSE
),
"REVISAR"
)</f>
        <v>PENDIENTE</v>
      </c>
      <c r="P357" s="202" t="s">
        <v>8778</v>
      </c>
      <c r="Q357" s="191"/>
      <c r="R357" s="170"/>
      <c r="S357" s="170"/>
      <c r="T357" s="154">
        <f t="array" ref="T357">IFERROR(
INDEX(REPORTE_DROPI!B:B,
MATCH(
CLEAN(TRIM(C357)),
CLEAN(TRIM(REPORTE_DROPI!E:E)),
0
)
),
""
)
</f>
        <v>4873283</v>
      </c>
      <c r="U357" s="154" t="s">
        <v>9096</v>
      </c>
      <c r="V357" s="192"/>
      <c r="W357" s="192"/>
      <c r="X357" s="192"/>
      <c r="Y357" s="192"/>
      <c r="Z357" s="192"/>
    </row>
    <row r="358" ht="22.5" customHeight="1">
      <c r="A358" s="154"/>
      <c r="B358" s="170">
        <v>46103.0</v>
      </c>
      <c r="C358" s="154" t="s">
        <v>9097</v>
      </c>
      <c r="D358" s="154" t="str">
        <f>IFERROR(__xludf.DUMMYFUNCTION("""COMPUTED_VALUE"""),"FilmPro®")</f>
        <v>FilmPro®</v>
      </c>
      <c r="E358" s="188" t="s">
        <v>3650</v>
      </c>
      <c r="F358" s="189">
        <v>2.0</v>
      </c>
      <c r="G358" s="190" t="s">
        <v>3650</v>
      </c>
      <c r="H358" s="154" t="s">
        <v>3727</v>
      </c>
      <c r="I358" s="154" t="s">
        <v>8247</v>
      </c>
      <c r="J358" s="189" t="s">
        <v>3650</v>
      </c>
      <c r="K358" s="154"/>
      <c r="L358" s="154" t="s">
        <v>3650</v>
      </c>
      <c r="M358" s="170"/>
      <c r="N358" s="154" t="s">
        <v>9098</v>
      </c>
      <c r="O358" s="170" t="str">
        <f t="array" ref="O358">IFERROR(
VLOOKUP(
TRIM(CLEAN(
INDEX(REPORTE_DROPI!K:K,
MATCH(T358, REPORTE_DROPI!B:B, 0)
))),
{
TRIM(CLEAN(MAPA_ESTADOS!A:A)) ,
MAPA_ESTADOS!B:B
},
2,
FALSE
),
"REVISAR"
)</f>
        <v>NOVEDAD</v>
      </c>
      <c r="P358" s="154" t="s">
        <v>3655</v>
      </c>
      <c r="Q358" s="191"/>
      <c r="R358" s="170"/>
      <c r="S358" s="170"/>
      <c r="T358" s="154">
        <f t="array" ref="T358">IFERROR(
INDEX(REPORTE_DROPI!B:B,
MATCH(
CLEAN(TRIM(C358)),
CLEAN(TRIM(REPORTE_DROPI!E:E)),
0
)
),
""
)
</f>
        <v>4874074</v>
      </c>
      <c r="U358" s="154" t="s">
        <v>9099</v>
      </c>
      <c r="V358" s="192"/>
      <c r="W358" s="192"/>
      <c r="X358" s="192"/>
      <c r="Y358" s="192"/>
      <c r="Z358" s="192"/>
    </row>
    <row r="359" ht="22.5" customHeight="1">
      <c r="A359" s="154"/>
      <c r="B359" s="170">
        <v>46103.0</v>
      </c>
      <c r="C359" s="154" t="s">
        <v>9100</v>
      </c>
      <c r="D359" s="154" t="str">
        <f>IFERROR(__xludf.DUMMYFUNCTION("""COMPUTED_VALUE"""),"Cuchillo Tazaki™")</f>
        <v>Cuchillo Tazaki™</v>
      </c>
      <c r="E359" s="188" t="s">
        <v>3650</v>
      </c>
      <c r="F359" s="189">
        <v>2.0</v>
      </c>
      <c r="G359" s="190" t="s">
        <v>3650</v>
      </c>
      <c r="H359" s="154" t="s">
        <v>3727</v>
      </c>
      <c r="I359" s="154" t="s">
        <v>8247</v>
      </c>
      <c r="J359" s="189" t="s">
        <v>3650</v>
      </c>
      <c r="K359" s="154"/>
      <c r="L359" s="154" t="s">
        <v>3650</v>
      </c>
      <c r="M359" s="170"/>
      <c r="N359" s="154" t="s">
        <v>9101</v>
      </c>
      <c r="O359" s="170" t="str">
        <f t="array" ref="O359">IFERROR(
VLOOKUP(
TRIM(CLEAN(
INDEX(REPORTE_DROPI!K:K,
MATCH(T359, REPORTE_DROPI!B:B, 0)
))),
{
TRIM(CLEAN(MAPA_ESTADOS!A:A)) ,
MAPA_ESTADOS!B:B
},
2,
FALSE
),
"REVISAR"
)</f>
        <v>PROCESO</v>
      </c>
      <c r="P359" s="154" t="s">
        <v>3655</v>
      </c>
      <c r="Q359" s="191"/>
      <c r="R359" s="170"/>
      <c r="S359" s="170"/>
      <c r="T359" s="154">
        <f t="array" ref="T359">IFERROR(
INDEX(REPORTE_DROPI!B:B,
MATCH(
CLEAN(TRIM(C359)),
CLEAN(TRIM(REPORTE_DROPI!E:E)),
0
)
),
""
)
</f>
        <v>4878317</v>
      </c>
      <c r="U359" s="154" t="s">
        <v>9102</v>
      </c>
      <c r="V359" s="192"/>
      <c r="W359" s="192"/>
      <c r="X359" s="192"/>
      <c r="Y359" s="192"/>
      <c r="Z359" s="192"/>
    </row>
    <row r="360" ht="22.5" customHeight="1">
      <c r="A360" s="154"/>
      <c r="B360" s="170">
        <v>46103.0</v>
      </c>
      <c r="C360" s="154" t="s">
        <v>9103</v>
      </c>
      <c r="D360" s="154" t="str">
        <f>IFERROR(__xludf.DUMMYFUNCTION("""COMPUTED_VALUE"""),"Cuchillo Tazaki™")</f>
        <v>Cuchillo Tazaki™</v>
      </c>
      <c r="E360" s="188" t="s">
        <v>3650</v>
      </c>
      <c r="F360" s="189">
        <v>4.0</v>
      </c>
      <c r="G360" s="190" t="s">
        <v>3650</v>
      </c>
      <c r="H360" s="154" t="s">
        <v>3727</v>
      </c>
      <c r="I360" s="154" t="s">
        <v>8243</v>
      </c>
      <c r="J360" s="189" t="s">
        <v>3650</v>
      </c>
      <c r="K360" s="154"/>
      <c r="L360" s="154" t="s">
        <v>3650</v>
      </c>
      <c r="M360" s="170"/>
      <c r="N360" s="154" t="s">
        <v>9104</v>
      </c>
      <c r="O360" s="170" t="str">
        <f t="array" ref="O360">IFERROR(
VLOOKUP(
TRIM(CLEAN(
INDEX(REPORTE_DROPI!K:K,
MATCH(T360, REPORTE_DROPI!B:B, 0)
))),
{
TRIM(CLEAN(MAPA_ESTADOS!A:A)) ,
MAPA_ESTADOS!B:B
},
2,
FALSE
),
"REVISAR"
)</f>
        <v>NOVEDAD</v>
      </c>
      <c r="P360" s="154" t="s">
        <v>3655</v>
      </c>
      <c r="Q360" s="191"/>
      <c r="R360" s="170"/>
      <c r="S360" s="170"/>
      <c r="T360" s="154">
        <f t="array" ref="T360">IFERROR(
INDEX(REPORTE_DROPI!B:B,
MATCH(
CLEAN(TRIM(C360)),
CLEAN(TRIM(REPORTE_DROPI!E:E)),
0
)
),
""
)
</f>
        <v>4878434</v>
      </c>
      <c r="U360" s="154" t="s">
        <v>9105</v>
      </c>
      <c r="V360" s="192"/>
      <c r="W360" s="192"/>
      <c r="X360" s="192"/>
      <c r="Y360" s="192"/>
      <c r="Z360" s="192"/>
    </row>
    <row r="361" ht="22.5" customHeight="1">
      <c r="A361" s="154"/>
      <c r="B361" s="170">
        <v>46103.0</v>
      </c>
      <c r="C361" s="154" t="s">
        <v>9106</v>
      </c>
      <c r="D361" s="154" t="str">
        <f>IFERROR(__xludf.DUMMYFUNCTION("""COMPUTED_VALUE"""),"Cuchillo Tazaki™")</f>
        <v>Cuchillo Tazaki™</v>
      </c>
      <c r="E361" s="188" t="s">
        <v>3650</v>
      </c>
      <c r="F361" s="189">
        <v>2.0</v>
      </c>
      <c r="G361" s="190" t="s">
        <v>3650</v>
      </c>
      <c r="H361" s="154" t="s">
        <v>3727</v>
      </c>
      <c r="I361" s="154" t="s">
        <v>8265</v>
      </c>
      <c r="J361" s="189" t="s">
        <v>3650</v>
      </c>
      <c r="K361" s="154"/>
      <c r="L361" s="154" t="s">
        <v>3650</v>
      </c>
      <c r="M361" s="170"/>
      <c r="N361" s="154" t="s">
        <v>9107</v>
      </c>
      <c r="O361" s="170" t="str">
        <f t="array" ref="O361">IFERROR(
VLOOKUP(
TRIM(CLEAN(
INDEX(REPORTE_DROPI!K:K,
MATCH(T361, REPORTE_DROPI!B:B, 0)
))),
{
TRIM(CLEAN(MAPA_ESTADOS!A:A)) ,
MAPA_ESTADOS!B:B
},
2,
FALSE
),
"REVISAR"
)</f>
        <v>NOVEDAD</v>
      </c>
      <c r="P361" s="154" t="s">
        <v>3655</v>
      </c>
      <c r="Q361" s="191"/>
      <c r="R361" s="170"/>
      <c r="S361" s="170"/>
      <c r="T361" s="154">
        <f t="array" ref="T361">IFERROR(
INDEX(REPORTE_DROPI!B:B,
MATCH(
CLEAN(TRIM(C361)),
CLEAN(TRIM(REPORTE_DROPI!E:E)),
0
)
),
""
)
</f>
        <v>4878715</v>
      </c>
      <c r="U361" s="154" t="s">
        <v>9108</v>
      </c>
      <c r="V361" s="192"/>
      <c r="W361" s="192"/>
      <c r="X361" s="192"/>
      <c r="Y361" s="192"/>
      <c r="Z361" s="192"/>
    </row>
    <row r="362" ht="22.5" customHeight="1">
      <c r="A362" s="154"/>
      <c r="B362" s="170">
        <v>46103.0</v>
      </c>
      <c r="C362" s="154" t="s">
        <v>9109</v>
      </c>
      <c r="D362" s="154" t="str">
        <f>IFERROR(__xludf.DUMMYFUNCTION("""COMPUTED_VALUE"""),"Cuchillo Tazaki™")</f>
        <v>Cuchillo Tazaki™</v>
      </c>
      <c r="E362" s="188">
        <v>4.8</v>
      </c>
      <c r="F362" s="189">
        <v>2.0</v>
      </c>
      <c r="G362" s="190">
        <v>22.0</v>
      </c>
      <c r="H362" s="154" t="s">
        <v>3727</v>
      </c>
      <c r="I362" s="154" t="s">
        <v>8247</v>
      </c>
      <c r="J362" s="189">
        <v>5.84</v>
      </c>
      <c r="K362" s="154">
        <v>11.36</v>
      </c>
      <c r="L362" s="154" t="s">
        <v>3650</v>
      </c>
      <c r="M362" s="170"/>
      <c r="N362" s="154" t="s">
        <v>9110</v>
      </c>
      <c r="O362" s="170" t="str">
        <f t="array" ref="O362">IFERROR(
VLOOKUP(
TRIM(CLEAN(
INDEX(REPORTE_DROPI!K:K,
MATCH(T362, REPORTE_DROPI!B:B, 0)
))),
{
TRIM(CLEAN(MAPA_ESTADOS!A:A)) ,
MAPA_ESTADOS!B:B
},
2,
FALSE
),
"REVISAR"
)</f>
        <v>ENTREGADO</v>
      </c>
      <c r="P362" s="154" t="s">
        <v>3655</v>
      </c>
      <c r="Q362" s="191"/>
      <c r="R362" s="170"/>
      <c r="S362" s="170"/>
      <c r="T362" s="154">
        <f t="array" ref="T362">IFERROR(
INDEX(REPORTE_DROPI!B:B,
MATCH(
CLEAN(TRIM(C362)),
CLEAN(TRIM(REPORTE_DROPI!E:E)),
0
)
),
""
)
</f>
        <v>4879359</v>
      </c>
      <c r="U362" s="154" t="s">
        <v>9111</v>
      </c>
      <c r="V362" s="192"/>
      <c r="W362" s="192"/>
      <c r="X362" s="192"/>
      <c r="Y362" s="192"/>
      <c r="Z362" s="192"/>
    </row>
    <row r="363" ht="22.5" customHeight="1">
      <c r="A363" s="154"/>
      <c r="B363" s="170">
        <v>46103.0</v>
      </c>
      <c r="C363" s="154" t="s">
        <v>9112</v>
      </c>
      <c r="D363" s="154" t="str">
        <f>IFERROR(__xludf.DUMMYFUNCTION("""COMPUTED_VALUE"""),"Cuchillo Tazaki™")</f>
        <v>Cuchillo Tazaki™</v>
      </c>
      <c r="E363" s="188" t="s">
        <v>3650</v>
      </c>
      <c r="F363" s="189">
        <v>2.0</v>
      </c>
      <c r="G363" s="190" t="s">
        <v>3650</v>
      </c>
      <c r="H363" s="154" t="s">
        <v>3727</v>
      </c>
      <c r="I363" s="154" t="s">
        <v>8233</v>
      </c>
      <c r="J363" s="189" t="s">
        <v>3650</v>
      </c>
      <c r="K363" s="154"/>
      <c r="L363" s="154" t="s">
        <v>3650</v>
      </c>
      <c r="M363" s="170"/>
      <c r="N363" s="154" t="s">
        <v>9113</v>
      </c>
      <c r="O363" s="170" t="str">
        <f t="array" ref="O363">IFERROR(
VLOOKUP(
TRIM(CLEAN(
INDEX(REPORTE_DROPI!K:K,
MATCH(T363, REPORTE_DROPI!B:B, 0)
))),
{
TRIM(CLEAN(MAPA_ESTADOS!A:A)) ,
MAPA_ESTADOS!B:B
},
2,
FALSE
),
"REVISAR"
)</f>
        <v>NOVEDAD</v>
      </c>
      <c r="P363" s="154" t="s">
        <v>3655</v>
      </c>
      <c r="Q363" s="191"/>
      <c r="R363" s="170"/>
      <c r="S363" s="170"/>
      <c r="T363" s="154">
        <f t="array" ref="T363">IFERROR(
INDEX(REPORTE_DROPI!B:B,
MATCH(
CLEAN(TRIM(C363)),
CLEAN(TRIM(REPORTE_DROPI!E:E)),
0
)
),
""
)
</f>
        <v>4880525</v>
      </c>
      <c r="U363" s="154" t="s">
        <v>9114</v>
      </c>
      <c r="V363" s="192"/>
      <c r="W363" s="192"/>
      <c r="X363" s="192"/>
      <c r="Y363" s="192"/>
      <c r="Z363" s="192"/>
    </row>
    <row r="364" ht="22.5" customHeight="1">
      <c r="A364" s="154"/>
      <c r="B364" s="170">
        <v>46103.0</v>
      </c>
      <c r="C364" s="154" t="s">
        <v>9115</v>
      </c>
      <c r="D364" s="154" t="str">
        <f>IFERROR(__xludf.DUMMYFUNCTION("""COMPUTED_VALUE"""),"Cuchillo Tazaki™")</f>
        <v>Cuchillo Tazaki™</v>
      </c>
      <c r="E364" s="188" t="s">
        <v>3650</v>
      </c>
      <c r="F364" s="189">
        <v>3.0</v>
      </c>
      <c r="G364" s="190" t="s">
        <v>3650</v>
      </c>
      <c r="H364" s="154" t="s">
        <v>3727</v>
      </c>
      <c r="I364" s="154" t="s">
        <v>8247</v>
      </c>
      <c r="J364" s="189" t="s">
        <v>3650</v>
      </c>
      <c r="K364" s="154"/>
      <c r="L364" s="154" t="s">
        <v>3650</v>
      </c>
      <c r="M364" s="170"/>
      <c r="N364" s="154" t="s">
        <v>9116</v>
      </c>
      <c r="O364" s="170" t="str">
        <f t="array" ref="O364">IFERROR(
VLOOKUP(
TRIM(CLEAN(
INDEX(REPORTE_DROPI!K:K,
MATCH(T364, REPORTE_DROPI!B:B, 0)
))),
{
TRIM(CLEAN(MAPA_ESTADOS!A:A)) ,
MAPA_ESTADOS!B:B
},
2,
FALSE
),
"REVISAR"
)</f>
        <v>PENDIENTE</v>
      </c>
      <c r="P364" s="154" t="s">
        <v>3655</v>
      </c>
      <c r="Q364" s="191"/>
      <c r="R364" s="170"/>
      <c r="S364" s="170"/>
      <c r="T364" s="154">
        <f t="array" ref="T364">IFERROR(
INDEX(REPORTE_DROPI!B:B,
MATCH(
CLEAN(TRIM(C364)),
CLEAN(TRIM(REPORTE_DROPI!E:E)),
0
)
),
""
)
</f>
        <v>4880712</v>
      </c>
      <c r="U364" s="194">
        <v>1.57100143182E11</v>
      </c>
      <c r="V364" s="192"/>
      <c r="W364" s="192"/>
      <c r="X364" s="192"/>
      <c r="Y364" s="192"/>
      <c r="Z364" s="192"/>
    </row>
    <row r="365" ht="22.5" customHeight="1">
      <c r="A365" s="154"/>
      <c r="B365" s="170">
        <v>46103.0</v>
      </c>
      <c r="C365" s="154" t="s">
        <v>9117</v>
      </c>
      <c r="D365" s="154" t="str">
        <f>IFERROR(__xludf.DUMMYFUNCTION("""COMPUTED_VALUE"""),"Cuchillo Tazaki™")</f>
        <v>Cuchillo Tazaki™</v>
      </c>
      <c r="E365" s="188" t="s">
        <v>3650</v>
      </c>
      <c r="F365" s="189">
        <v>2.0</v>
      </c>
      <c r="G365" s="190" t="s">
        <v>3650</v>
      </c>
      <c r="H365" s="154" t="s">
        <v>3727</v>
      </c>
      <c r="I365" s="154" t="s">
        <v>8247</v>
      </c>
      <c r="J365" s="189" t="s">
        <v>3650</v>
      </c>
      <c r="K365" s="154"/>
      <c r="L365" s="154" t="s">
        <v>3650</v>
      </c>
      <c r="M365" s="170"/>
      <c r="N365" s="154" t="s">
        <v>9118</v>
      </c>
      <c r="O365" s="170" t="str">
        <f t="array" ref="O365">IFERROR(
VLOOKUP(
TRIM(CLEAN(
INDEX(REPORTE_DROPI!K:K,
MATCH(T365, REPORTE_DROPI!B:B, 0)
))),
{
TRIM(CLEAN(MAPA_ESTADOS!A:A)) ,
MAPA_ESTADOS!B:B
},
2,
FALSE
),
"REVISAR"
)</f>
        <v>NOVEDAD</v>
      </c>
      <c r="P365" s="154" t="s">
        <v>3655</v>
      </c>
      <c r="Q365" s="191"/>
      <c r="R365" s="170"/>
      <c r="S365" s="170"/>
      <c r="T365" s="154">
        <f t="array" ref="T365">IFERROR(
INDEX(REPORTE_DROPI!B:B,
MATCH(
CLEAN(TRIM(C365)),
CLEAN(TRIM(REPORTE_DROPI!E:E)),
0
)
),
""
)
</f>
        <v>4881620</v>
      </c>
      <c r="U365" s="154" t="s">
        <v>7855</v>
      </c>
      <c r="V365" s="192"/>
      <c r="W365" s="192"/>
      <c r="X365" s="192"/>
      <c r="Y365" s="192"/>
      <c r="Z365" s="192"/>
    </row>
    <row r="366" ht="22.5" customHeight="1">
      <c r="A366" s="154"/>
      <c r="B366" s="170">
        <v>46104.0</v>
      </c>
      <c r="C366" s="154" t="s">
        <v>9119</v>
      </c>
      <c r="D366" s="154" t="str">
        <f>IFERROR(__xludf.DUMMYFUNCTION("""COMPUTED_VALUE"""),"Cuchillo Tazaki™")</f>
        <v>Cuchillo Tazaki™</v>
      </c>
      <c r="E366" s="188" t="s">
        <v>3650</v>
      </c>
      <c r="F366" s="189">
        <v>2.0</v>
      </c>
      <c r="G366" s="190" t="s">
        <v>3650</v>
      </c>
      <c r="H366" s="154" t="s">
        <v>3727</v>
      </c>
      <c r="I366" s="154" t="s">
        <v>8243</v>
      </c>
      <c r="J366" s="189" t="s">
        <v>3650</v>
      </c>
      <c r="K366" s="154"/>
      <c r="L366" s="154" t="s">
        <v>3650</v>
      </c>
      <c r="M366" s="170"/>
      <c r="N366" s="154" t="s">
        <v>9120</v>
      </c>
      <c r="O366" s="170" t="str">
        <f t="array" ref="O366">IFERROR(
VLOOKUP(
TRIM(CLEAN(
INDEX(REPORTE_DROPI!K:K,
MATCH(T366, REPORTE_DROPI!B:B, 0)
))),
{
TRIM(CLEAN(MAPA_ESTADOS!A:A)) ,
MAPA_ESTADOS!B:B
},
2,
FALSE
),
"REVISAR"
)</f>
        <v>PROCESO</v>
      </c>
      <c r="P366" s="205" t="s">
        <v>8581</v>
      </c>
      <c r="Q366" s="191"/>
      <c r="R366" s="170"/>
      <c r="S366" s="170"/>
      <c r="T366" s="154">
        <f t="array" ref="T366">IFERROR(
INDEX(REPORTE_DROPI!B:B,
MATCH(
CLEAN(TRIM(C366)),
CLEAN(TRIM(REPORTE_DROPI!E:E)),
0
)
),
""
)
</f>
        <v>4898027</v>
      </c>
      <c r="U366" s="154" t="s">
        <v>9121</v>
      </c>
      <c r="V366" s="192"/>
      <c r="W366" s="192"/>
      <c r="X366" s="192"/>
      <c r="Y366" s="192"/>
      <c r="Z366" s="192"/>
    </row>
    <row r="367" ht="22.5" customHeight="1">
      <c r="A367" s="154"/>
      <c r="B367" s="170">
        <v>46104.0</v>
      </c>
      <c r="C367" s="154" t="s">
        <v>9122</v>
      </c>
      <c r="D367" s="154" t="str">
        <f>IFERROR(__xludf.DUMMYFUNCTION("""COMPUTED_VALUE"""),"Cuchillo Tazaki™")</f>
        <v>Cuchillo Tazaki™</v>
      </c>
      <c r="E367" s="188">
        <v>4.8</v>
      </c>
      <c r="F367" s="189">
        <v>2.0</v>
      </c>
      <c r="G367" s="190">
        <v>22.0</v>
      </c>
      <c r="H367" s="154" t="s">
        <v>3727</v>
      </c>
      <c r="I367" s="154" t="s">
        <v>8243</v>
      </c>
      <c r="J367" s="189">
        <v>4.23</v>
      </c>
      <c r="K367" s="154">
        <v>12.97</v>
      </c>
      <c r="L367" s="154" t="s">
        <v>3650</v>
      </c>
      <c r="M367" s="170"/>
      <c r="N367" s="154" t="s">
        <v>9123</v>
      </c>
      <c r="O367" s="170" t="str">
        <f t="array" ref="O367">IFERROR(
VLOOKUP(
TRIM(CLEAN(
INDEX(REPORTE_DROPI!K:K,
MATCH(T367, REPORTE_DROPI!B:B, 0)
))),
{
TRIM(CLEAN(MAPA_ESTADOS!A:A)) ,
MAPA_ESTADOS!B:B
},
2,
FALSE
),
"REVISAR"
)</f>
        <v>ENTREGADO</v>
      </c>
      <c r="P367" s="154" t="s">
        <v>3655</v>
      </c>
      <c r="Q367" s="191"/>
      <c r="R367" s="170"/>
      <c r="S367" s="170"/>
      <c r="T367" s="154">
        <f t="array" ref="T367">IFERROR(
INDEX(REPORTE_DROPI!B:B,
MATCH(
CLEAN(TRIM(C367)),
CLEAN(TRIM(REPORTE_DROPI!E:E)),
0
)
),
""
)
</f>
        <v>4881814</v>
      </c>
      <c r="U367" s="154" t="s">
        <v>9124</v>
      </c>
      <c r="V367" s="192"/>
      <c r="W367" s="192"/>
      <c r="X367" s="192"/>
      <c r="Y367" s="192"/>
      <c r="Z367" s="192"/>
    </row>
    <row r="368" ht="22.5" customHeight="1">
      <c r="A368" s="154"/>
      <c r="B368" s="170">
        <v>46104.0</v>
      </c>
      <c r="C368" s="154" t="s">
        <v>9125</v>
      </c>
      <c r="D368" s="154" t="str">
        <f>IFERROR(__xludf.DUMMYFUNCTION("""COMPUTED_VALUE"""),"Cuchillo Tazaki™")</f>
        <v>Cuchillo Tazaki™</v>
      </c>
      <c r="E368" s="188" t="s">
        <v>3650</v>
      </c>
      <c r="F368" s="189">
        <v>4.0</v>
      </c>
      <c r="G368" s="190" t="s">
        <v>3650</v>
      </c>
      <c r="H368" s="154" t="s">
        <v>3727</v>
      </c>
      <c r="I368" s="154" t="s">
        <v>8247</v>
      </c>
      <c r="J368" s="189" t="s">
        <v>3650</v>
      </c>
      <c r="K368" s="154"/>
      <c r="L368" s="154" t="s">
        <v>3650</v>
      </c>
      <c r="M368" s="170"/>
      <c r="N368" s="154" t="s">
        <v>9126</v>
      </c>
      <c r="O368" s="170" t="str">
        <f t="array" ref="O368">IFERROR(
VLOOKUP(
TRIM(CLEAN(
INDEX(REPORTE_DROPI!K:K,
MATCH(T368, REPORTE_DROPI!B:B, 0)
))),
{
TRIM(CLEAN(MAPA_ESTADOS!A:A)) ,
MAPA_ESTADOS!B:B
},
2,
FALSE
),
"REVISAR"
)</f>
        <v>NOVEDAD</v>
      </c>
      <c r="P368" s="154" t="s">
        <v>3655</v>
      </c>
      <c r="Q368" s="191"/>
      <c r="R368" s="170"/>
      <c r="S368" s="170"/>
      <c r="T368" s="154">
        <f t="array" ref="T368">IFERROR(
INDEX(REPORTE_DROPI!B:B,
MATCH(
CLEAN(TRIM(C368)),
CLEAN(TRIM(REPORTE_DROPI!E:E)),
0
)
),
""
)
</f>
        <v>4882668</v>
      </c>
      <c r="U368" s="154" t="s">
        <v>9127</v>
      </c>
      <c r="V368" s="192"/>
      <c r="W368" s="192"/>
      <c r="X368" s="192"/>
      <c r="Y368" s="192"/>
      <c r="Z368" s="192"/>
    </row>
    <row r="369" ht="22.5" customHeight="1">
      <c r="A369" s="154"/>
      <c r="B369" s="170">
        <v>46104.0</v>
      </c>
      <c r="C369" s="154" t="s">
        <v>9128</v>
      </c>
      <c r="D369" s="154" t="str">
        <f>IFERROR(__xludf.DUMMYFUNCTION("""COMPUTED_VALUE"""),"Cuchillo Tazaki™")</f>
        <v>Cuchillo Tazaki™</v>
      </c>
      <c r="E369" s="188" t="s">
        <v>3650</v>
      </c>
      <c r="F369" s="189">
        <v>3.0</v>
      </c>
      <c r="G369" s="190" t="s">
        <v>3650</v>
      </c>
      <c r="H369" s="154" t="s">
        <v>3727</v>
      </c>
      <c r="I369" s="154" t="s">
        <v>8243</v>
      </c>
      <c r="J369" s="189" t="s">
        <v>3650</v>
      </c>
      <c r="K369" s="154"/>
      <c r="L369" s="154" t="s">
        <v>3650</v>
      </c>
      <c r="M369" s="170"/>
      <c r="N369" s="154" t="s">
        <v>9129</v>
      </c>
      <c r="O369" s="170" t="str">
        <f t="array" ref="O369">IFERROR(
VLOOKUP(
TRIM(CLEAN(
INDEX(REPORTE_DROPI!K:K,
MATCH(T369, REPORTE_DROPI!B:B, 0)
))),
{
TRIM(CLEAN(MAPA_ESTADOS!A:A)) ,
MAPA_ESTADOS!B:B
},
2,
FALSE
),
"REVISAR"
)</f>
        <v>PENDIENTE</v>
      </c>
      <c r="P369" s="202" t="s">
        <v>8106</v>
      </c>
      <c r="Q369" s="191"/>
      <c r="R369" s="170"/>
      <c r="S369" s="170"/>
      <c r="T369" s="154">
        <f t="array" ref="T369">IFERROR(
INDEX(REPORTE_DROPI!B:B,
MATCH(
CLEAN(TRIM(C369)),
CLEAN(TRIM(REPORTE_DROPI!E:E)),
0
)
),
""
)
</f>
        <v>4883341</v>
      </c>
      <c r="U369" s="154" t="s">
        <v>9130</v>
      </c>
      <c r="V369" s="192"/>
      <c r="W369" s="192"/>
      <c r="X369" s="192"/>
      <c r="Y369" s="192"/>
      <c r="Z369" s="192"/>
    </row>
    <row r="370" ht="22.5" customHeight="1">
      <c r="A370" s="154"/>
      <c r="B370" s="170">
        <v>46104.0</v>
      </c>
      <c r="C370" s="154" t="s">
        <v>9131</v>
      </c>
      <c r="D370" s="154" t="str">
        <f>IFERROR(__xludf.DUMMYFUNCTION("""COMPUTED_VALUE"""),"Cuchillo Tazaki™")</f>
        <v>Cuchillo Tazaki™</v>
      </c>
      <c r="E370" s="188">
        <v>4.8</v>
      </c>
      <c r="F370" s="189">
        <v>2.0</v>
      </c>
      <c r="G370" s="190">
        <v>22.0</v>
      </c>
      <c r="H370" s="154" t="s">
        <v>3727</v>
      </c>
      <c r="I370" s="154" t="s">
        <v>8265</v>
      </c>
      <c r="J370" s="189">
        <v>5.84</v>
      </c>
      <c r="K370" s="154">
        <v>11.36</v>
      </c>
      <c r="L370" s="154" t="s">
        <v>3650</v>
      </c>
      <c r="M370" s="170"/>
      <c r="N370" s="154" t="s">
        <v>9132</v>
      </c>
      <c r="O370" s="170" t="str">
        <f t="array" ref="O370">IFERROR(
VLOOKUP(
TRIM(CLEAN(
INDEX(REPORTE_DROPI!K:K,
MATCH(T370, REPORTE_DROPI!B:B, 0)
))),
{
TRIM(CLEAN(MAPA_ESTADOS!A:A)) ,
MAPA_ESTADOS!B:B
},
2,
FALSE
),
"REVISAR"
)</f>
        <v>ENTREGADO</v>
      </c>
      <c r="P370" s="154" t="s">
        <v>3655</v>
      </c>
      <c r="Q370" s="191"/>
      <c r="R370" s="170"/>
      <c r="S370" s="170"/>
      <c r="T370" s="154">
        <f t="array" ref="T370">IFERROR(
INDEX(REPORTE_DROPI!B:B,
MATCH(
CLEAN(TRIM(C370)),
CLEAN(TRIM(REPORTE_DROPI!E:E)),
0
)
),
""
)
</f>
        <v>4886972</v>
      </c>
      <c r="U370" s="154" t="s">
        <v>9133</v>
      </c>
      <c r="V370" s="192"/>
      <c r="W370" s="192"/>
      <c r="X370" s="192"/>
      <c r="Y370" s="192"/>
      <c r="Z370" s="192"/>
    </row>
    <row r="371" ht="22.5" customHeight="1">
      <c r="A371" s="154"/>
      <c r="B371" s="170">
        <v>46107.0</v>
      </c>
      <c r="C371" s="154" t="s">
        <v>9134</v>
      </c>
      <c r="D371" s="154" t="str">
        <f>IFERROR(__xludf.DUMMYFUNCTION("""COMPUTED_VALUE"""),"Cuchillo Tazaki™")</f>
        <v>Cuchillo Tazaki™</v>
      </c>
      <c r="E371" s="188" t="s">
        <v>3650</v>
      </c>
      <c r="F371" s="189">
        <v>3.0</v>
      </c>
      <c r="G371" s="190" t="s">
        <v>3650</v>
      </c>
      <c r="H371" s="154" t="s">
        <v>3727</v>
      </c>
      <c r="I371" s="154" t="s">
        <v>8243</v>
      </c>
      <c r="J371" s="189" t="s">
        <v>3650</v>
      </c>
      <c r="K371" s="154"/>
      <c r="L371" s="154" t="s">
        <v>3650</v>
      </c>
      <c r="M371" s="170"/>
      <c r="N371" s="154" t="s">
        <v>9135</v>
      </c>
      <c r="O371" s="170" t="str">
        <f t="array" ref="O371">IFERROR(
VLOOKUP(
TRIM(CLEAN(
INDEX(REPORTE_DROPI!K:K,
MATCH(T371, REPORTE_DROPI!B:B, 0)
))),
{
TRIM(CLEAN(MAPA_ESTADOS!A:A)) ,
MAPA_ESTADOS!B:B
},
2,
FALSE
),
"REVISAR"
)</f>
        <v>PENDIENTE</v>
      </c>
      <c r="P371" s="202" t="s">
        <v>3653</v>
      </c>
      <c r="Q371" s="191"/>
      <c r="R371" s="170"/>
      <c r="S371" s="170"/>
      <c r="T371" s="154">
        <f t="array" ref="T371">IFERROR(
INDEX(REPORTE_DROPI!B:B,
MATCH(
CLEAN(TRIM(C371)),
CLEAN(TRIM(REPORTE_DROPI!E:E)),
0
)
),
""
)
</f>
        <v>4920617</v>
      </c>
      <c r="U371" s="154" t="s">
        <v>9136</v>
      </c>
      <c r="V371" s="192"/>
      <c r="W371" s="192"/>
      <c r="X371" s="192"/>
      <c r="Y371" s="192"/>
      <c r="Z371" s="192"/>
    </row>
    <row r="372" ht="22.5" customHeight="1">
      <c r="A372" s="154"/>
      <c r="B372" s="170">
        <v>46107.0</v>
      </c>
      <c r="C372" s="154" t="s">
        <v>9137</v>
      </c>
      <c r="D372" s="154" t="str">
        <f>IFERROR(__xludf.DUMMYFUNCTION("""COMPUTED_VALUE"""),"Cuchillo Tazaki™")</f>
        <v>Cuchillo Tazaki™</v>
      </c>
      <c r="E372" s="188" t="s">
        <v>3650</v>
      </c>
      <c r="F372" s="189">
        <v>2.0</v>
      </c>
      <c r="G372" s="190" t="s">
        <v>3650</v>
      </c>
      <c r="H372" s="154" t="s">
        <v>3727</v>
      </c>
      <c r="I372" s="154" t="s">
        <v>8233</v>
      </c>
      <c r="J372" s="189" t="s">
        <v>3650</v>
      </c>
      <c r="K372" s="154"/>
      <c r="L372" s="154" t="s">
        <v>3650</v>
      </c>
      <c r="M372" s="170"/>
      <c r="N372" s="154" t="s">
        <v>9138</v>
      </c>
      <c r="O372" s="170" t="str">
        <f t="array" ref="O372">IFERROR(
VLOOKUP(
TRIM(CLEAN(
INDEX(REPORTE_DROPI!K:K,
MATCH(T372, REPORTE_DROPI!B:B, 0)
))),
{
TRIM(CLEAN(MAPA_ESTADOS!A:A)) ,
MAPA_ESTADOS!B:B
},
2,
FALSE
),
"REVISAR"
)</f>
        <v>PENDIENTE</v>
      </c>
      <c r="P372" s="205" t="s">
        <v>8880</v>
      </c>
      <c r="Q372" s="191"/>
      <c r="R372" s="170"/>
      <c r="S372" s="170"/>
      <c r="T372" s="154">
        <f t="array" ref="T372">IFERROR(
INDEX(REPORTE_DROPI!B:B,
MATCH(
CLEAN(TRIM(C372)),
CLEAN(TRIM(REPORTE_DROPI!E:E)),
0
)
),
""
)
</f>
        <v>4922049</v>
      </c>
      <c r="U372" s="154" t="s">
        <v>9139</v>
      </c>
      <c r="V372" s="192"/>
      <c r="W372" s="192"/>
      <c r="X372" s="192"/>
      <c r="Y372" s="192"/>
      <c r="Z372" s="192"/>
    </row>
    <row r="373" ht="22.5" customHeight="1">
      <c r="A373" s="154"/>
      <c r="B373" s="170">
        <v>46107.0</v>
      </c>
      <c r="C373" s="154" t="s">
        <v>9140</v>
      </c>
      <c r="D373" s="154" t="str">
        <f>IFERROR(__xludf.DUMMYFUNCTION("""COMPUTED_VALUE"""),"Cuchillo Tazaki™")</f>
        <v>Cuchillo Tazaki™</v>
      </c>
      <c r="E373" s="188" t="s">
        <v>3650</v>
      </c>
      <c r="F373" s="189">
        <v>4.0</v>
      </c>
      <c r="G373" s="190" t="s">
        <v>3650</v>
      </c>
      <c r="H373" s="154" t="s">
        <v>3727</v>
      </c>
      <c r="I373" s="154" t="s">
        <v>8255</v>
      </c>
      <c r="J373" s="189" t="s">
        <v>3650</v>
      </c>
      <c r="K373" s="154"/>
      <c r="L373" s="154" t="s">
        <v>3650</v>
      </c>
      <c r="M373" s="170"/>
      <c r="N373" s="154" t="s">
        <v>9141</v>
      </c>
      <c r="O373" s="170" t="str">
        <f t="array" ref="O373">IFERROR(
VLOOKUP(
TRIM(CLEAN(
INDEX(REPORTE_DROPI!K:K,
MATCH(T373, REPORTE_DROPI!B:B, 0)
))),
{
TRIM(CLEAN(MAPA_ESTADOS!A:A)) ,
MAPA_ESTADOS!B:B
},
2,
FALSE
),
"REVISAR"
)</f>
        <v>PENDIENTE</v>
      </c>
      <c r="P373" s="154" t="s">
        <v>3655</v>
      </c>
      <c r="Q373" s="191"/>
      <c r="R373" s="170"/>
      <c r="S373" s="170"/>
      <c r="T373" s="154">
        <f t="array" ref="T373">IFERROR(
INDEX(REPORTE_DROPI!B:B,
MATCH(
CLEAN(TRIM(C373)),
CLEAN(TRIM(REPORTE_DROPI!E:E)),
0
)
),
""
)
</f>
        <v>4922304</v>
      </c>
      <c r="U373" s="154" t="s">
        <v>9142</v>
      </c>
      <c r="V373" s="192"/>
      <c r="W373" s="192"/>
      <c r="X373" s="192"/>
      <c r="Y373" s="192"/>
      <c r="Z373" s="192"/>
    </row>
    <row r="374" ht="22.5" customHeight="1">
      <c r="A374" s="154"/>
      <c r="B374" s="170">
        <v>46107.0</v>
      </c>
      <c r="C374" s="154" t="s">
        <v>9143</v>
      </c>
      <c r="D374" s="154" t="str">
        <f>IFERROR(__xludf.DUMMYFUNCTION("""COMPUTED_VALUE"""),"Cuchillo Tazaki™")</f>
        <v>Cuchillo Tazaki™</v>
      </c>
      <c r="E374" s="188" t="s">
        <v>3650</v>
      </c>
      <c r="F374" s="189">
        <v>3.0</v>
      </c>
      <c r="G374" s="190" t="s">
        <v>3650</v>
      </c>
      <c r="H374" s="154" t="s">
        <v>3727</v>
      </c>
      <c r="I374" s="154" t="s">
        <v>8243</v>
      </c>
      <c r="J374" s="189" t="s">
        <v>3650</v>
      </c>
      <c r="K374" s="154"/>
      <c r="L374" s="154" t="s">
        <v>3650</v>
      </c>
      <c r="M374" s="170"/>
      <c r="N374" s="154" t="s">
        <v>9144</v>
      </c>
      <c r="O374" s="170" t="str">
        <f t="array" ref="O374">IFERROR(
VLOOKUP(
TRIM(CLEAN(
INDEX(REPORTE_DROPI!K:K,
MATCH(T374, REPORTE_DROPI!B:B, 0)
))),
{
TRIM(CLEAN(MAPA_ESTADOS!A:A)) ,
MAPA_ESTADOS!B:B
},
2,
FALSE
),
"REVISAR"
)</f>
        <v>PENDIENTE</v>
      </c>
      <c r="P374" s="202" t="s">
        <v>3653</v>
      </c>
      <c r="Q374" s="191"/>
      <c r="R374" s="170"/>
      <c r="S374" s="170"/>
      <c r="T374" s="154">
        <f t="array" ref="T374">IFERROR(
INDEX(REPORTE_DROPI!B:B,
MATCH(
CLEAN(TRIM(C374)),
CLEAN(TRIM(REPORTE_DROPI!E:E)),
0
)
),
""
)
</f>
        <v>4922565</v>
      </c>
      <c r="U374" s="154" t="s">
        <v>9145</v>
      </c>
      <c r="V374" s="192"/>
      <c r="W374" s="192"/>
      <c r="X374" s="192"/>
      <c r="Y374" s="192"/>
      <c r="Z374" s="192"/>
    </row>
    <row r="375" ht="22.5" customHeight="1">
      <c r="A375" s="154"/>
      <c r="B375" s="170">
        <v>46107.0</v>
      </c>
      <c r="C375" s="154" t="s">
        <v>9146</v>
      </c>
      <c r="D375" s="154" t="str">
        <f>IFERROR(__xludf.DUMMYFUNCTION("""COMPUTED_VALUE"""),"Cuchillo Tazaki™")</f>
        <v>Cuchillo Tazaki™</v>
      </c>
      <c r="E375" s="188" t="s">
        <v>3650</v>
      </c>
      <c r="F375" s="189">
        <v>2.0</v>
      </c>
      <c r="G375" s="190" t="s">
        <v>3650</v>
      </c>
      <c r="H375" s="154" t="s">
        <v>3727</v>
      </c>
      <c r="I375" s="154" t="s">
        <v>8404</v>
      </c>
      <c r="J375" s="189" t="s">
        <v>3650</v>
      </c>
      <c r="K375" s="154"/>
      <c r="L375" s="154" t="s">
        <v>3650</v>
      </c>
      <c r="M375" s="170"/>
      <c r="N375" s="154" t="s">
        <v>9147</v>
      </c>
      <c r="O375" s="170" t="str">
        <f t="array" ref="O375">IFERROR(
VLOOKUP(
TRIM(CLEAN(
INDEX(REPORTE_DROPI!K:K,
MATCH(T375, REPORTE_DROPI!B:B, 0)
))),
{
TRIM(CLEAN(MAPA_ESTADOS!A:A)) ,
MAPA_ESTADOS!B:B
},
2,
FALSE
),
"REVISAR"
)</f>
        <v>PENDIENTE</v>
      </c>
      <c r="P375" s="202" t="s">
        <v>3653</v>
      </c>
      <c r="Q375" s="191"/>
      <c r="R375" s="170"/>
      <c r="S375" s="170"/>
      <c r="T375" s="154">
        <f t="array" ref="T375">IFERROR(
INDEX(REPORTE_DROPI!B:B,
MATCH(
CLEAN(TRIM(C375)),
CLEAN(TRIM(REPORTE_DROPI!E:E)),
0
)
),
""
)
</f>
        <v>4923194</v>
      </c>
      <c r="U375" s="154" t="s">
        <v>9148</v>
      </c>
      <c r="V375" s="192"/>
      <c r="W375" s="192"/>
      <c r="X375" s="192"/>
      <c r="Y375" s="192"/>
      <c r="Z375" s="192"/>
    </row>
    <row r="376" ht="22.5" customHeight="1">
      <c r="A376" s="154"/>
      <c r="B376" s="170">
        <v>46107.0</v>
      </c>
      <c r="C376" s="154" t="s">
        <v>9149</v>
      </c>
      <c r="D376" s="154" t="str">
        <f>IFERROR(__xludf.DUMMYFUNCTION("""COMPUTED_VALUE"""),"Cuchillo Tazaki™")</f>
        <v>Cuchillo Tazaki™</v>
      </c>
      <c r="E376" s="188" t="s">
        <v>3650</v>
      </c>
      <c r="F376" s="189">
        <v>2.0</v>
      </c>
      <c r="G376" s="190" t="s">
        <v>3650</v>
      </c>
      <c r="H376" s="154" t="s">
        <v>3727</v>
      </c>
      <c r="I376" s="154" t="s">
        <v>8352</v>
      </c>
      <c r="J376" s="189" t="s">
        <v>3650</v>
      </c>
      <c r="K376" s="154"/>
      <c r="L376" s="154" t="s">
        <v>3650</v>
      </c>
      <c r="M376" s="170"/>
      <c r="N376" s="154" t="s">
        <v>9150</v>
      </c>
      <c r="O376" s="170" t="str">
        <f t="array" ref="O376">IFERROR(
VLOOKUP(
TRIM(CLEAN(
INDEX(REPORTE_DROPI!K:K,
MATCH(T376, REPORTE_DROPI!B:B, 0)
))),
{
TRIM(CLEAN(MAPA_ESTADOS!A:A)) ,
MAPA_ESTADOS!B:B
},
2,
FALSE
),
"REVISAR"
)</f>
        <v>PENDIENTE</v>
      </c>
      <c r="P376" s="154" t="s">
        <v>3655</v>
      </c>
      <c r="Q376" s="191"/>
      <c r="R376" s="170"/>
      <c r="S376" s="170"/>
      <c r="T376" s="154">
        <f t="array" ref="T376">IFERROR(
INDEX(REPORTE_DROPI!B:B,
MATCH(
CLEAN(TRIM(C376)),
CLEAN(TRIM(REPORTE_DROPI!E:E)),
0
)
),
""
)
</f>
        <v>4923404</v>
      </c>
      <c r="U376" s="154" t="s">
        <v>9151</v>
      </c>
      <c r="V376" s="192"/>
      <c r="W376" s="192"/>
      <c r="X376" s="192"/>
      <c r="Y376" s="192"/>
      <c r="Z376" s="192"/>
    </row>
    <row r="377" ht="22.5" customHeight="1">
      <c r="A377" s="154"/>
      <c r="B377" s="170">
        <v>46107.0</v>
      </c>
      <c r="C377" s="154" t="s">
        <v>9152</v>
      </c>
      <c r="D377" s="154" t="str">
        <f>IFERROR(__xludf.DUMMYFUNCTION("""COMPUTED_VALUE"""),"Cuchillo Tazaki™")</f>
        <v>Cuchillo Tazaki™</v>
      </c>
      <c r="E377" s="188" t="s">
        <v>3650</v>
      </c>
      <c r="F377" s="189">
        <v>2.0</v>
      </c>
      <c r="G377" s="190" t="s">
        <v>3650</v>
      </c>
      <c r="H377" s="154" t="s">
        <v>3727</v>
      </c>
      <c r="I377" s="154" t="s">
        <v>8247</v>
      </c>
      <c r="J377" s="189" t="s">
        <v>3650</v>
      </c>
      <c r="K377" s="154"/>
      <c r="L377" s="154" t="s">
        <v>3650</v>
      </c>
      <c r="M377" s="170"/>
      <c r="N377" s="154" t="s">
        <v>9153</v>
      </c>
      <c r="O377" s="170" t="str">
        <f t="array" ref="O377">IFERROR(
VLOOKUP(
TRIM(CLEAN(
INDEX(REPORTE_DROPI!K:K,
MATCH(T377, REPORTE_DROPI!B:B, 0)
))),
{
TRIM(CLEAN(MAPA_ESTADOS!A:A)) ,
MAPA_ESTADOS!B:B
},
2,
FALSE
),
"REVISAR"
)</f>
        <v>PENDIENTE</v>
      </c>
      <c r="P377" s="154" t="s">
        <v>3655</v>
      </c>
      <c r="Q377" s="191"/>
      <c r="R377" s="170"/>
      <c r="S377" s="170"/>
      <c r="T377" s="154">
        <f t="array" ref="T377">IFERROR(
INDEX(REPORTE_DROPI!B:B,
MATCH(
CLEAN(TRIM(C377)),
CLEAN(TRIM(REPORTE_DROPI!E:E)),
0
)
),
""
)
</f>
        <v>4923734</v>
      </c>
      <c r="U377" s="154" t="s">
        <v>9154</v>
      </c>
      <c r="V377" s="192"/>
      <c r="W377" s="192"/>
      <c r="X377" s="192"/>
      <c r="Y377" s="192"/>
      <c r="Z377" s="192"/>
    </row>
    <row r="378" ht="22.5" customHeight="1">
      <c r="A378" s="154"/>
      <c r="B378" s="170">
        <v>46107.0</v>
      </c>
      <c r="C378" s="154" t="s">
        <v>9155</v>
      </c>
      <c r="D378" s="154" t="str">
        <f>IFERROR(__xludf.DUMMYFUNCTION("""COMPUTED_VALUE"""),"Cuchillo Tazaki™")</f>
        <v>Cuchillo Tazaki™</v>
      </c>
      <c r="E378" s="188" t="s">
        <v>3650</v>
      </c>
      <c r="F378" s="189">
        <v>2.0</v>
      </c>
      <c r="G378" s="190" t="s">
        <v>3650</v>
      </c>
      <c r="H378" s="154" t="s">
        <v>3727</v>
      </c>
      <c r="I378" s="154" t="s">
        <v>8243</v>
      </c>
      <c r="J378" s="189" t="s">
        <v>3650</v>
      </c>
      <c r="K378" s="154"/>
      <c r="L378" s="154" t="s">
        <v>3650</v>
      </c>
      <c r="M378" s="170"/>
      <c r="N378" s="154" t="s">
        <v>9156</v>
      </c>
      <c r="O378" s="170" t="str">
        <f t="array" ref="O378">IFERROR(
VLOOKUP(
TRIM(CLEAN(
INDEX(REPORTE_DROPI!K:K,
MATCH(T378, REPORTE_DROPI!B:B, 0)
))),
{
TRIM(CLEAN(MAPA_ESTADOS!A:A)) ,
MAPA_ESTADOS!B:B
},
2,
FALSE
),
"REVISAR"
)</f>
        <v>PENDIENTE</v>
      </c>
      <c r="P378" s="202" t="s">
        <v>8106</v>
      </c>
      <c r="Q378" s="191"/>
      <c r="R378" s="170"/>
      <c r="S378" s="170"/>
      <c r="T378" s="154">
        <f t="array" ref="T378">IFERROR(
INDEX(REPORTE_DROPI!B:B,
MATCH(
CLEAN(TRIM(C378)),
CLEAN(TRIM(REPORTE_DROPI!E:E)),
0
)
),
""
)
</f>
        <v>4923790</v>
      </c>
      <c r="U378" s="154" t="s">
        <v>9157</v>
      </c>
      <c r="V378" s="192"/>
      <c r="W378" s="192"/>
      <c r="X378" s="192"/>
      <c r="Y378" s="192"/>
      <c r="Z378" s="192"/>
    </row>
    <row r="379" ht="22.5" customHeight="1">
      <c r="A379" s="154"/>
      <c r="B379" s="170">
        <v>46107.0</v>
      </c>
      <c r="C379" s="154" t="s">
        <v>9158</v>
      </c>
      <c r="D379" s="154" t="str">
        <f>IFERROR(__xludf.DUMMYFUNCTION("""COMPUTED_VALUE"""),"Cuchillo Tazaki™")</f>
        <v>Cuchillo Tazaki™</v>
      </c>
      <c r="E379" s="188" t="s">
        <v>3650</v>
      </c>
      <c r="F379" s="189">
        <v>2.0</v>
      </c>
      <c r="G379" s="190" t="s">
        <v>3650</v>
      </c>
      <c r="H379" s="154" t="s">
        <v>3727</v>
      </c>
      <c r="I379" s="154" t="s">
        <v>8281</v>
      </c>
      <c r="J379" s="189" t="s">
        <v>3650</v>
      </c>
      <c r="K379" s="154"/>
      <c r="L379" s="154" t="s">
        <v>3650</v>
      </c>
      <c r="M379" s="170"/>
      <c r="N379" s="154" t="s">
        <v>9159</v>
      </c>
      <c r="O379" s="170" t="str">
        <f t="array" ref="O379">IFERROR(
VLOOKUP(
TRIM(CLEAN(
INDEX(REPORTE_DROPI!K:K,
MATCH(T379, REPORTE_DROPI!B:B, 0)
))),
{
TRIM(CLEAN(MAPA_ESTADOS!A:A)) ,
MAPA_ESTADOS!B:B
},
2,
FALSE
),
"REVISAR"
)</f>
        <v>PENDIENTE</v>
      </c>
      <c r="P379" s="154" t="s">
        <v>3655</v>
      </c>
      <c r="Q379" s="191"/>
      <c r="R379" s="170"/>
      <c r="S379" s="170"/>
      <c r="T379" s="154">
        <f t="array" ref="T379">IFERROR(
INDEX(REPORTE_DROPI!B:B,
MATCH(
CLEAN(TRIM(C379)),
CLEAN(TRIM(REPORTE_DROPI!E:E)),
0
)
),
""
)
</f>
        <v>4923799</v>
      </c>
      <c r="U379" s="154" t="s">
        <v>9160</v>
      </c>
      <c r="V379" s="192"/>
      <c r="W379" s="192"/>
      <c r="X379" s="192"/>
      <c r="Y379" s="192"/>
      <c r="Z379" s="192"/>
    </row>
    <row r="380" ht="22.5" customHeight="1">
      <c r="A380" s="154"/>
      <c r="B380" s="170">
        <v>46107.0</v>
      </c>
      <c r="C380" s="154" t="s">
        <v>9161</v>
      </c>
      <c r="D380" s="154" t="str">
        <f>IFERROR(__xludf.DUMMYFUNCTION("""COMPUTED_VALUE"""),"Cuchillo Tazaki™")</f>
        <v>Cuchillo Tazaki™</v>
      </c>
      <c r="E380" s="188" t="s">
        <v>3650</v>
      </c>
      <c r="F380" s="189">
        <v>2.0</v>
      </c>
      <c r="G380" s="190" t="s">
        <v>3650</v>
      </c>
      <c r="H380" s="154" t="s">
        <v>3727</v>
      </c>
      <c r="I380" s="154" t="s">
        <v>8281</v>
      </c>
      <c r="J380" s="189" t="s">
        <v>3650</v>
      </c>
      <c r="K380" s="154"/>
      <c r="L380" s="154" t="s">
        <v>3650</v>
      </c>
      <c r="M380" s="170"/>
      <c r="N380" s="154" t="s">
        <v>9162</v>
      </c>
      <c r="O380" s="170" t="str">
        <f t="array" ref="O380">IFERROR(
VLOOKUP(
TRIM(CLEAN(
INDEX(REPORTE_DROPI!K:K,
MATCH(T380, REPORTE_DROPI!B:B, 0)
))),
{
TRIM(CLEAN(MAPA_ESTADOS!A:A)) ,
MAPA_ESTADOS!B:B
},
2,
FALSE
),
"REVISAR"
)</f>
        <v>PENDIENTE</v>
      </c>
      <c r="P380" s="208" t="s">
        <v>5820</v>
      </c>
      <c r="Q380" s="191"/>
      <c r="R380" s="170"/>
      <c r="S380" s="170"/>
      <c r="T380" s="154">
        <f t="array" ref="T380">IFERROR(
INDEX(REPORTE_DROPI!B:B,
MATCH(
CLEAN(TRIM(C380)),
CLEAN(TRIM(REPORTE_DROPI!E:E)),
0
)
),
""
)
</f>
        <v>4923888</v>
      </c>
      <c r="U380" s="194">
        <v>1.77234244129E11</v>
      </c>
      <c r="V380" s="192"/>
      <c r="W380" s="192"/>
      <c r="X380" s="192"/>
      <c r="Y380" s="192"/>
      <c r="Z380" s="192"/>
    </row>
    <row r="381" ht="22.5" customHeight="1">
      <c r="A381" s="154"/>
      <c r="B381" s="170">
        <v>46107.0</v>
      </c>
      <c r="C381" s="154" t="s">
        <v>9163</v>
      </c>
      <c r="D381" s="154" t="str">
        <f>IFERROR(__xludf.DUMMYFUNCTION("""COMPUTED_VALUE"""),"Cuchillo Tazaki™")</f>
        <v>Cuchillo Tazaki™</v>
      </c>
      <c r="E381" s="188" t="s">
        <v>3650</v>
      </c>
      <c r="F381" s="189">
        <v>2.0</v>
      </c>
      <c r="G381" s="190" t="s">
        <v>3650</v>
      </c>
      <c r="H381" s="154" t="s">
        <v>3727</v>
      </c>
      <c r="I381" s="154" t="s">
        <v>8247</v>
      </c>
      <c r="J381" s="189" t="s">
        <v>3650</v>
      </c>
      <c r="K381" s="154"/>
      <c r="L381" s="154" t="s">
        <v>3650</v>
      </c>
      <c r="M381" s="170"/>
      <c r="N381" s="154" t="s">
        <v>9164</v>
      </c>
      <c r="O381" s="170" t="str">
        <f t="array" ref="O381">IFERROR(
VLOOKUP(
TRIM(CLEAN(
INDEX(REPORTE_DROPI!K:K,
MATCH(T381, REPORTE_DROPI!B:B, 0)
))),
{
TRIM(CLEAN(MAPA_ESTADOS!A:A)) ,
MAPA_ESTADOS!B:B
},
2,
FALSE
),
"REVISAR"
)</f>
        <v>PENDIENTE</v>
      </c>
      <c r="P381" s="154" t="s">
        <v>3655</v>
      </c>
      <c r="Q381" s="191"/>
      <c r="R381" s="170"/>
      <c r="S381" s="170"/>
      <c r="T381" s="154">
        <f t="array" ref="T381">IFERROR(
INDEX(REPORTE_DROPI!B:B,
MATCH(
CLEAN(TRIM(C381)),
CLEAN(TRIM(REPORTE_DROPI!E:E)),
0
)
),
""
)
</f>
        <v>4923947</v>
      </c>
      <c r="U381" s="194">
        <v>1.57100143178E11</v>
      </c>
      <c r="V381" s="192"/>
      <c r="W381" s="192"/>
      <c r="X381" s="192"/>
      <c r="Y381" s="192"/>
      <c r="Z381" s="192"/>
    </row>
    <row r="382" ht="22.5" customHeight="1">
      <c r="A382" s="154"/>
      <c r="B382" s="170">
        <v>46107.0</v>
      </c>
      <c r="C382" s="154" t="s">
        <v>5307</v>
      </c>
      <c r="D382" s="154" t="str">
        <f>IFERROR(__xludf.DUMMYFUNCTION("""COMPUTED_VALUE"""),"Cuchillo Tazaki™")</f>
        <v>Cuchillo Tazaki™</v>
      </c>
      <c r="E382" s="188" t="s">
        <v>3650</v>
      </c>
      <c r="F382" s="189">
        <v>4.0</v>
      </c>
      <c r="G382" s="190" t="s">
        <v>3650</v>
      </c>
      <c r="H382" s="154" t="s">
        <v>3727</v>
      </c>
      <c r="I382" s="154" t="s">
        <v>8243</v>
      </c>
      <c r="J382" s="189" t="s">
        <v>3650</v>
      </c>
      <c r="K382" s="154"/>
      <c r="L382" s="154" t="s">
        <v>3650</v>
      </c>
      <c r="M382" s="170"/>
      <c r="N382" s="154" t="s">
        <v>9165</v>
      </c>
      <c r="O382" s="170" t="str">
        <f t="array" ref="O382">IFERROR(
VLOOKUP(
TRIM(CLEAN(
INDEX(REPORTE_DROPI!K:K,
MATCH(T382, REPORTE_DROPI!B:B, 0)
))),
{
TRIM(CLEAN(MAPA_ESTADOS!A:A)) ,
MAPA_ESTADOS!B:B
},
2,
FALSE
),
"REVISAR"
)</f>
        <v>PENDIENTE</v>
      </c>
      <c r="P382" s="154" t="s">
        <v>3655</v>
      </c>
      <c r="Q382" s="191"/>
      <c r="R382" s="170"/>
      <c r="S382" s="170"/>
      <c r="T382" s="154">
        <f t="array" ref="T382">IFERROR(
INDEX(REPORTE_DROPI!B:B,
MATCH(
CLEAN(TRIM(C382)),
CLEAN(TRIM(REPORTE_DROPI!E:E)),
0
)
),
""
)
</f>
        <v>4924022</v>
      </c>
      <c r="U382" s="154" t="s">
        <v>9166</v>
      </c>
      <c r="V382" s="192"/>
      <c r="W382" s="192"/>
      <c r="X382" s="192"/>
      <c r="Y382" s="192"/>
      <c r="Z382" s="192"/>
    </row>
    <row r="383" ht="22.5" customHeight="1">
      <c r="A383" s="212"/>
      <c r="B383" s="213">
        <v>46107.0</v>
      </c>
      <c r="C383" s="212"/>
      <c r="D383" s="212" t="str">
        <f>IFERROR(__xludf.DUMMYFUNCTION("""COMPUTED_VALUE"""),"")</f>
        <v/>
      </c>
      <c r="E383" s="214" t="s">
        <v>3650</v>
      </c>
      <c r="F383" s="215"/>
      <c r="G383" s="216" t="s">
        <v>3650</v>
      </c>
      <c r="H383" s="154" t="s">
        <v>3727</v>
      </c>
      <c r="I383" s="212"/>
      <c r="J383" s="215" t="s">
        <v>3650</v>
      </c>
      <c r="K383" s="212" t="s">
        <v>3650</v>
      </c>
      <c r="L383" s="212" t="s">
        <v>3650</v>
      </c>
      <c r="M383" s="213"/>
      <c r="N383" s="212"/>
      <c r="O383" s="213" t="str">
        <f t="array" ref="O383">IFERROR(
VLOOKUP(
TRIM(CLEAN(
INDEX(REPORTE_DROPI!K:K,
MATCH(T383, REPORTE_DROPI!B:B, 0)
))),
{
TRIM(CLEAN(MAPA_ESTADOS!A:A)) ,
MAPA_ESTADOS!B:B
},
2,
FALSE
),
"REVISAR"
)</f>
        <v>REVISAR</v>
      </c>
      <c r="P383" s="212"/>
      <c r="Q383" s="217"/>
      <c r="R383" s="213"/>
      <c r="S383" s="213"/>
      <c r="T383" s="212" t="str">
        <f t="array" ref="T383">IFERROR(
INDEX(REPORTE_DROPI!B:B,
MATCH(
CLEAN(TRIM(C383)),
CLEAN(TRIM(REPORTE_DROPI!E:E)),
0
)
),
""
)
</f>
        <v/>
      </c>
      <c r="U383" s="212"/>
      <c r="V383" s="218"/>
      <c r="W383" s="218"/>
      <c r="X383" s="218"/>
      <c r="Y383" s="218"/>
      <c r="Z383" s="218"/>
    </row>
    <row r="384" ht="22.5" customHeight="1">
      <c r="A384" s="154"/>
      <c r="B384" s="170">
        <v>46107.0</v>
      </c>
      <c r="C384" s="154" t="s">
        <v>9167</v>
      </c>
      <c r="D384" s="154" t="str">
        <f>IFERROR(__xludf.DUMMYFUNCTION("""COMPUTED_VALUE"""),"Cuchillo Tazaki™")</f>
        <v>Cuchillo Tazaki™</v>
      </c>
      <c r="E384" s="188" t="s">
        <v>3650</v>
      </c>
      <c r="F384" s="189">
        <v>3.0</v>
      </c>
      <c r="G384" s="190" t="s">
        <v>3650</v>
      </c>
      <c r="H384" s="154" t="s">
        <v>3727</v>
      </c>
      <c r="I384" s="154" t="s">
        <v>8247</v>
      </c>
      <c r="J384" s="189" t="s">
        <v>3650</v>
      </c>
      <c r="K384" s="154"/>
      <c r="L384" s="154" t="s">
        <v>3650</v>
      </c>
      <c r="M384" s="170"/>
      <c r="N384" s="154" t="s">
        <v>9168</v>
      </c>
      <c r="O384" s="170" t="str">
        <f t="array" ref="O384">IFERROR(
VLOOKUP(
TRIM(CLEAN(
INDEX(REPORTE_DROPI!K:K,
MATCH(T384, REPORTE_DROPI!B:B, 0)
))),
{
TRIM(CLEAN(MAPA_ESTADOS!A:A)) ,
MAPA_ESTADOS!B:B
},
2,
FALSE
),
"REVISAR"
)</f>
        <v>PENDIENTE</v>
      </c>
      <c r="P384" s="154" t="s">
        <v>3655</v>
      </c>
      <c r="Q384" s="191"/>
      <c r="R384" s="170"/>
      <c r="S384" s="170"/>
      <c r="T384" s="154">
        <f t="array" ref="T384">IFERROR(
INDEX(REPORTE_DROPI!B:B,
MATCH(
CLEAN(TRIM(C384)),
CLEAN(TRIM(REPORTE_DROPI!E:E)),
0
)
),
""
)
</f>
        <v>4924635</v>
      </c>
      <c r="U384" s="154" t="s">
        <v>9169</v>
      </c>
      <c r="V384" s="192"/>
      <c r="W384" s="192"/>
      <c r="X384" s="192"/>
      <c r="Y384" s="192"/>
      <c r="Z384" s="192"/>
    </row>
    <row r="385" ht="22.5" customHeight="1">
      <c r="A385" s="154"/>
      <c r="B385" s="170">
        <v>46107.0</v>
      </c>
      <c r="C385" s="154" t="s">
        <v>9170</v>
      </c>
      <c r="D385" s="154" t="str">
        <f>IFERROR(__xludf.DUMMYFUNCTION("""COMPUTED_VALUE"""),"")</f>
        <v/>
      </c>
      <c r="E385" s="188" t="s">
        <v>3650</v>
      </c>
      <c r="F385" s="189">
        <v>3.0</v>
      </c>
      <c r="G385" s="190" t="s">
        <v>3650</v>
      </c>
      <c r="H385" s="154" t="s">
        <v>3727</v>
      </c>
      <c r="I385" s="154" t="s">
        <v>8653</v>
      </c>
      <c r="J385" s="189" t="s">
        <v>3650</v>
      </c>
      <c r="K385" s="154" t="s">
        <v>3650</v>
      </c>
      <c r="L385" s="154" t="s">
        <v>3650</v>
      </c>
      <c r="M385" s="170"/>
      <c r="N385" s="154" t="s">
        <v>9171</v>
      </c>
      <c r="O385" s="170" t="str">
        <f t="array" ref="O385">IFERROR(
VLOOKUP(
TRIM(CLEAN(
INDEX(REPORTE_DROPI!K:K,
MATCH(T385, REPORTE_DROPI!B:B, 0)
))),
{
TRIM(CLEAN(MAPA_ESTADOS!A:A)) ,
MAPA_ESTADOS!B:B
},
2,
FALSE
),
"REVISAR"
)</f>
        <v>REVISAR</v>
      </c>
      <c r="P385" s="154" t="s">
        <v>3654</v>
      </c>
      <c r="Q385" s="191"/>
      <c r="R385" s="170"/>
      <c r="S385" s="170"/>
      <c r="T385" s="154" t="str">
        <f t="array" ref="T385">IFERROR(
INDEX(REPORTE_DROPI!B:B,
MATCH(
CLEAN(TRIM(C385)),
CLEAN(TRIM(REPORTE_DROPI!E:E)),
0
)
),
""
)
</f>
        <v/>
      </c>
      <c r="U385" s="154" t="s">
        <v>9172</v>
      </c>
      <c r="V385" s="192"/>
      <c r="W385" s="192"/>
      <c r="X385" s="192"/>
      <c r="Y385" s="192"/>
      <c r="Z385" s="192"/>
    </row>
    <row r="386" ht="22.5" customHeight="1">
      <c r="A386" s="154"/>
      <c r="B386" s="170">
        <v>46107.0</v>
      </c>
      <c r="C386" s="154" t="s">
        <v>9173</v>
      </c>
      <c r="D386" s="154" t="str">
        <f>IFERROR(__xludf.DUMMYFUNCTION("""COMPUTED_VALUE"""),"Cuchillo Tazaki™")</f>
        <v>Cuchillo Tazaki™</v>
      </c>
      <c r="E386" s="188" t="s">
        <v>3650</v>
      </c>
      <c r="F386" s="189">
        <v>2.0</v>
      </c>
      <c r="G386" s="190" t="s">
        <v>3650</v>
      </c>
      <c r="H386" s="154" t="s">
        <v>3727</v>
      </c>
      <c r="I386" s="154" t="s">
        <v>8320</v>
      </c>
      <c r="J386" s="189" t="s">
        <v>3650</v>
      </c>
      <c r="K386" s="154"/>
      <c r="L386" s="154" t="s">
        <v>3650</v>
      </c>
      <c r="M386" s="170"/>
      <c r="N386" s="154" t="s">
        <v>9174</v>
      </c>
      <c r="O386" s="170" t="str">
        <f t="array" ref="O386">IFERROR(
VLOOKUP(
TRIM(CLEAN(
INDEX(REPORTE_DROPI!K:K,
MATCH(T386, REPORTE_DROPI!B:B, 0)
))),
{
TRIM(CLEAN(MAPA_ESTADOS!A:A)) ,
MAPA_ESTADOS!B:B
},
2,
FALSE
),
"REVISAR"
)</f>
        <v>PENDIENTE</v>
      </c>
      <c r="P386" s="202" t="s">
        <v>8106</v>
      </c>
      <c r="Q386" s="191"/>
      <c r="R386" s="170"/>
      <c r="S386" s="170"/>
      <c r="T386" s="154">
        <f t="array" ref="T386">IFERROR(
INDEX(REPORTE_DROPI!B:B,
MATCH(
CLEAN(TRIM(C386)),
CLEAN(TRIM(REPORTE_DROPI!E:E)),
0
)
),
""
)
</f>
        <v>4925060</v>
      </c>
      <c r="U386" s="154" t="s">
        <v>9175</v>
      </c>
      <c r="V386" s="192"/>
      <c r="W386" s="192"/>
      <c r="X386" s="192"/>
      <c r="Y386" s="192"/>
      <c r="Z386" s="192"/>
    </row>
    <row r="387" ht="22.5" customHeight="1">
      <c r="A387" s="154"/>
      <c r="B387" s="170">
        <v>46107.0</v>
      </c>
      <c r="C387" s="154" t="s">
        <v>9176</v>
      </c>
      <c r="D387" s="154" t="str">
        <f>IFERROR(__xludf.DUMMYFUNCTION("""COMPUTED_VALUE"""),"Cuchillo Tazaki™")</f>
        <v>Cuchillo Tazaki™</v>
      </c>
      <c r="E387" s="188" t="s">
        <v>3650</v>
      </c>
      <c r="F387" s="189">
        <v>4.0</v>
      </c>
      <c r="G387" s="190" t="s">
        <v>3650</v>
      </c>
      <c r="H387" s="154" t="s">
        <v>3727</v>
      </c>
      <c r="I387" s="154" t="s">
        <v>8247</v>
      </c>
      <c r="J387" s="189" t="s">
        <v>3650</v>
      </c>
      <c r="K387" s="154"/>
      <c r="L387" s="154" t="s">
        <v>3650</v>
      </c>
      <c r="M387" s="170"/>
      <c r="N387" s="154" t="s">
        <v>9177</v>
      </c>
      <c r="O387" s="170" t="str">
        <f t="array" ref="O387">IFERROR(
VLOOKUP(
TRIM(CLEAN(
INDEX(REPORTE_DROPI!K:K,
MATCH(T387, REPORTE_DROPI!B:B, 0)
))),
{
TRIM(CLEAN(MAPA_ESTADOS!A:A)) ,
MAPA_ESTADOS!B:B
},
2,
FALSE
),
"REVISAR"
)</f>
        <v>PENDIENTE</v>
      </c>
      <c r="P387" s="202" t="s">
        <v>6534</v>
      </c>
      <c r="Q387" s="191"/>
      <c r="R387" s="170"/>
      <c r="S387" s="170"/>
      <c r="T387" s="154">
        <f t="array" ref="T387">IFERROR(
INDEX(REPORTE_DROPI!B:B,
MATCH(
CLEAN(TRIM(C387)),
CLEAN(TRIM(REPORTE_DROPI!E:E)),
0
)
),
""
)
</f>
        <v>4925487</v>
      </c>
      <c r="U387" s="154" t="s">
        <v>9178</v>
      </c>
      <c r="V387" s="192"/>
      <c r="W387" s="192"/>
      <c r="X387" s="192"/>
      <c r="Y387" s="192"/>
      <c r="Z387" s="192"/>
    </row>
    <row r="388" ht="22.5" customHeight="1">
      <c r="A388" s="154"/>
      <c r="B388" s="170">
        <v>46107.0</v>
      </c>
      <c r="C388" s="154" t="s">
        <v>9179</v>
      </c>
      <c r="D388" s="154" t="str">
        <f>IFERROR(__xludf.DUMMYFUNCTION("""COMPUTED_VALUE"""),"Cuchillo Tazaki™")</f>
        <v>Cuchillo Tazaki™</v>
      </c>
      <c r="E388" s="188" t="s">
        <v>3650</v>
      </c>
      <c r="F388" s="189">
        <v>2.0</v>
      </c>
      <c r="G388" s="190" t="s">
        <v>3650</v>
      </c>
      <c r="H388" s="154" t="s">
        <v>3727</v>
      </c>
      <c r="I388" s="154" t="s">
        <v>8372</v>
      </c>
      <c r="J388" s="189" t="s">
        <v>3650</v>
      </c>
      <c r="K388" s="154"/>
      <c r="L388" s="154" t="s">
        <v>3650</v>
      </c>
      <c r="M388" s="170"/>
      <c r="N388" s="154" t="s">
        <v>9180</v>
      </c>
      <c r="O388" s="170" t="str">
        <f t="array" ref="O388">IFERROR(
VLOOKUP(
TRIM(CLEAN(
INDEX(REPORTE_DROPI!K:K,
MATCH(T388, REPORTE_DROPI!B:B, 0)
))),
{
TRIM(CLEAN(MAPA_ESTADOS!A:A)) ,
MAPA_ESTADOS!B:B
},
2,
FALSE
),
"REVISAR"
)</f>
        <v>PENDIENTE</v>
      </c>
      <c r="P388" s="154" t="s">
        <v>3655</v>
      </c>
      <c r="Q388" s="191"/>
      <c r="R388" s="170"/>
      <c r="S388" s="170"/>
      <c r="T388" s="154">
        <f t="array" ref="T388">IFERROR(
INDEX(REPORTE_DROPI!B:B,
MATCH(
CLEAN(TRIM(C388)),
CLEAN(TRIM(REPORTE_DROPI!E:E)),
0
)
),
""
)
</f>
        <v>4925510</v>
      </c>
      <c r="U388" s="154" t="s">
        <v>9181</v>
      </c>
      <c r="V388" s="192"/>
      <c r="W388" s="192"/>
      <c r="X388" s="192"/>
      <c r="Y388" s="192"/>
      <c r="Z388" s="192"/>
    </row>
    <row r="389" ht="22.5" customHeight="1">
      <c r="A389" s="154" t="s">
        <v>5675</v>
      </c>
      <c r="B389" s="170">
        <v>46108.0</v>
      </c>
      <c r="C389" s="154" t="s">
        <v>9182</v>
      </c>
      <c r="D389" s="154" t="str">
        <f>IFERROR(__xludf.DUMMYFUNCTION("""COMPUTED_VALUE"""),"")</f>
        <v/>
      </c>
      <c r="E389" s="188" t="s">
        <v>3650</v>
      </c>
      <c r="F389" s="189">
        <v>3.0</v>
      </c>
      <c r="G389" s="190" t="s">
        <v>3650</v>
      </c>
      <c r="H389" s="154" t="s">
        <v>3727</v>
      </c>
      <c r="I389" s="154" t="s">
        <v>8251</v>
      </c>
      <c r="J389" s="189" t="s">
        <v>3650</v>
      </c>
      <c r="K389" s="154" t="s">
        <v>3650</v>
      </c>
      <c r="L389" s="154" t="s">
        <v>3650</v>
      </c>
      <c r="M389" s="170"/>
      <c r="N389" s="154" t="s">
        <v>9183</v>
      </c>
      <c r="O389" s="170"/>
      <c r="P389" s="154" t="s">
        <v>3655</v>
      </c>
      <c r="Q389" s="191"/>
      <c r="R389" s="170"/>
      <c r="S389" s="170"/>
      <c r="T389" s="154"/>
      <c r="U389" s="154" t="s">
        <v>9184</v>
      </c>
      <c r="V389" s="192"/>
      <c r="W389" s="192"/>
      <c r="X389" s="192"/>
      <c r="Y389" s="192"/>
      <c r="Z389" s="192"/>
    </row>
    <row r="390" ht="22.5" customHeight="1">
      <c r="A390" s="154" t="s">
        <v>5675</v>
      </c>
      <c r="B390" s="170">
        <v>46108.0</v>
      </c>
      <c r="C390" s="154" t="s">
        <v>9185</v>
      </c>
      <c r="D390" s="154" t="str">
        <f>IFERROR(__xludf.DUMMYFUNCTION("""COMPUTED_VALUE"""),"")</f>
        <v/>
      </c>
      <c r="E390" s="188" t="s">
        <v>3650</v>
      </c>
      <c r="F390" s="189">
        <v>4.0</v>
      </c>
      <c r="G390" s="190" t="s">
        <v>3650</v>
      </c>
      <c r="H390" s="154"/>
      <c r="I390" s="154" t="s">
        <v>8501</v>
      </c>
      <c r="J390" s="189" t="s">
        <v>3650</v>
      </c>
      <c r="K390" s="154" t="s">
        <v>3650</v>
      </c>
      <c r="L390" s="154" t="s">
        <v>3650</v>
      </c>
      <c r="M390" s="170"/>
      <c r="N390" s="154" t="s">
        <v>9186</v>
      </c>
      <c r="O390" s="170"/>
      <c r="P390" s="154"/>
      <c r="Q390" s="191"/>
      <c r="R390" s="170"/>
      <c r="S390" s="170"/>
      <c r="T390" s="154"/>
      <c r="U390" s="154" t="s">
        <v>9187</v>
      </c>
      <c r="V390" s="192"/>
      <c r="W390" s="192"/>
      <c r="X390" s="192"/>
      <c r="Y390" s="192"/>
      <c r="Z390" s="192"/>
    </row>
    <row r="391" ht="22.5" customHeight="1">
      <c r="A391" s="154" t="s">
        <v>5675</v>
      </c>
      <c r="B391" s="170">
        <v>46108.0</v>
      </c>
      <c r="C391" s="154" t="s">
        <v>9188</v>
      </c>
      <c r="D391" s="154" t="str">
        <f>IFERROR(__xludf.DUMMYFUNCTION("""COMPUTED_VALUE"""),"")</f>
        <v/>
      </c>
      <c r="E391" s="188" t="s">
        <v>3650</v>
      </c>
      <c r="F391" s="189">
        <v>4.0</v>
      </c>
      <c r="G391" s="190" t="s">
        <v>3650</v>
      </c>
      <c r="H391" s="154"/>
      <c r="I391" s="154" t="s">
        <v>8233</v>
      </c>
      <c r="J391" s="189" t="s">
        <v>3650</v>
      </c>
      <c r="K391" s="154" t="s">
        <v>3650</v>
      </c>
      <c r="L391" s="154" t="s">
        <v>3650</v>
      </c>
      <c r="M391" s="170"/>
      <c r="N391" s="154" t="s">
        <v>9189</v>
      </c>
      <c r="O391" s="170"/>
      <c r="P391" s="154"/>
      <c r="Q391" s="191"/>
      <c r="R391" s="170"/>
      <c r="S391" s="170"/>
      <c r="T391" s="154"/>
      <c r="U391" s="154" t="s">
        <v>9190</v>
      </c>
      <c r="V391" s="192"/>
      <c r="W391" s="192"/>
      <c r="X391" s="192"/>
      <c r="Y391" s="192"/>
      <c r="Z391" s="192"/>
    </row>
    <row r="392">
      <c r="A392" s="219"/>
      <c r="B392" s="219"/>
      <c r="C392" s="219"/>
      <c r="D392" s="219" t="str">
        <f>IFERROR(__xludf.DUMMYFUNCTION("""COMPUTED_VALUE"""),"")</f>
        <v/>
      </c>
      <c r="E392" s="219" t="s">
        <v>3650</v>
      </c>
      <c r="F392" s="219"/>
      <c r="G392" s="219" t="s">
        <v>3650</v>
      </c>
      <c r="H392" s="219"/>
      <c r="I392" s="219"/>
      <c r="J392" s="219" t="s">
        <v>3650</v>
      </c>
      <c r="K392" s="220" t="s">
        <v>3650</v>
      </c>
      <c r="L392" s="220" t="s">
        <v>3650</v>
      </c>
      <c r="M392" s="219"/>
      <c r="N392" s="219"/>
      <c r="O392" s="219"/>
      <c r="P392" s="219"/>
      <c r="Q392" s="219"/>
      <c r="R392" s="219"/>
      <c r="S392" s="219"/>
      <c r="T392" s="220" t="str">
        <f t="array" ref="T392">IFERROR(
INDEX(REPORTE_DROPI!B:B,
MATCH(
CLEAN(TRIM(C392)),
CLEAN(TRIM(REPORTE_DROPI!E:E)),
0
)
),
""
)
</f>
        <v/>
      </c>
      <c r="U392" s="219"/>
      <c r="V392" s="221"/>
      <c r="W392" s="221"/>
      <c r="X392" s="221"/>
      <c r="Y392" s="221"/>
      <c r="Z392" s="221"/>
    </row>
    <row r="393">
      <c r="A393" s="222"/>
      <c r="B393" s="223"/>
      <c r="C393" s="222"/>
      <c r="D393" s="222" t="str">
        <f>IFERROR(__xludf.DUMMYFUNCTION("""COMPUTED_VALUE"""),"")</f>
        <v/>
      </c>
      <c r="E393" s="222" t="s">
        <v>3650</v>
      </c>
      <c r="F393" s="222"/>
      <c r="G393" s="222" t="s">
        <v>3650</v>
      </c>
      <c r="H393" s="222"/>
      <c r="I393" s="222"/>
      <c r="J393" s="222" t="s">
        <v>3650</v>
      </c>
      <c r="K393" s="224" t="s">
        <v>3650</v>
      </c>
      <c r="L393" s="224" t="s">
        <v>3650</v>
      </c>
      <c r="M393" s="222"/>
      <c r="N393" s="222"/>
      <c r="O393" s="222"/>
      <c r="P393" s="222"/>
      <c r="Q393" s="225">
        <f>SUM(Q1:Q392)</f>
        <v>0</v>
      </c>
      <c r="R393" s="222"/>
      <c r="S393" s="222"/>
      <c r="T393" s="222"/>
      <c r="U393" s="222"/>
      <c r="V393" s="226"/>
      <c r="W393" s="226"/>
      <c r="X393" s="226"/>
      <c r="Y393" s="226"/>
      <c r="Z393" s="226"/>
    </row>
    <row r="394">
      <c r="A394" s="226"/>
      <c r="B394" s="227"/>
      <c r="C394" s="226"/>
      <c r="D394" s="226" t="str">
        <f>IFERROR(__xludf.DUMMYFUNCTION("""COMPUTED_VALUE"""),"")</f>
        <v/>
      </c>
      <c r="E394" s="226" t="s">
        <v>3650</v>
      </c>
      <c r="F394" s="226"/>
      <c r="G394" s="226" t="s">
        <v>3650</v>
      </c>
      <c r="H394" s="226"/>
      <c r="I394" s="226"/>
      <c r="J394" s="226" t="s">
        <v>3650</v>
      </c>
      <c r="K394" s="228" t="s">
        <v>3650</v>
      </c>
      <c r="L394" s="228" t="s">
        <v>3650</v>
      </c>
      <c r="M394" s="226"/>
      <c r="N394" s="226"/>
      <c r="O394" s="226"/>
      <c r="P394" s="226"/>
      <c r="Q394" s="226"/>
      <c r="R394" s="226"/>
      <c r="S394" s="226"/>
      <c r="T394" s="226"/>
      <c r="U394" s="226"/>
      <c r="V394" s="226"/>
      <c r="W394" s="226"/>
      <c r="X394" s="226"/>
      <c r="Y394" s="226"/>
      <c r="Z394" s="226"/>
    </row>
    <row r="395">
      <c r="B395" s="229"/>
      <c r="D395" s="65" t="str">
        <f>IFERROR(__xludf.DUMMYFUNCTION("""COMPUTED_VALUE"""),"")</f>
        <v/>
      </c>
      <c r="E395" s="65" t="s">
        <v>3650</v>
      </c>
      <c r="G395" s="65" t="s">
        <v>3650</v>
      </c>
      <c r="J395" s="65" t="s">
        <v>3650</v>
      </c>
      <c r="K395" s="230" t="s">
        <v>3650</v>
      </c>
      <c r="L395" s="230" t="s">
        <v>3650</v>
      </c>
      <c r="T395" s="60"/>
    </row>
    <row r="396">
      <c r="B396" s="229"/>
      <c r="D396" s="65" t="str">
        <f>IFERROR(__xludf.DUMMYFUNCTION("""COMPUTED_VALUE"""),"")</f>
        <v/>
      </c>
      <c r="E396" s="65" t="s">
        <v>3650</v>
      </c>
      <c r="G396" s="65" t="s">
        <v>3650</v>
      </c>
      <c r="J396" s="65" t="s">
        <v>3650</v>
      </c>
      <c r="K396" s="230" t="s">
        <v>3650</v>
      </c>
      <c r="L396" s="230" t="s">
        <v>3650</v>
      </c>
      <c r="T396" s="60"/>
    </row>
    <row r="397">
      <c r="B397" s="229"/>
      <c r="D397" s="65" t="str">
        <f>IFERROR(__xludf.DUMMYFUNCTION("""COMPUTED_VALUE"""),"")</f>
        <v/>
      </c>
      <c r="E397" s="65" t="s">
        <v>3650</v>
      </c>
      <c r="G397" s="65" t="s">
        <v>3650</v>
      </c>
      <c r="J397" s="65" t="s">
        <v>3650</v>
      </c>
      <c r="K397" s="230" t="s">
        <v>3650</v>
      </c>
      <c r="L397" s="230" t="s">
        <v>3650</v>
      </c>
      <c r="T397" s="60"/>
    </row>
    <row r="398">
      <c r="B398" s="229"/>
      <c r="D398" s="65" t="str">
        <f>IFERROR(__xludf.DUMMYFUNCTION("""COMPUTED_VALUE"""),"")</f>
        <v/>
      </c>
      <c r="E398" s="65" t="s">
        <v>3650</v>
      </c>
      <c r="G398" s="65" t="s">
        <v>3650</v>
      </c>
      <c r="J398" s="65" t="s">
        <v>3650</v>
      </c>
      <c r="K398" s="230" t="s">
        <v>3650</v>
      </c>
      <c r="L398" s="230" t="s">
        <v>3650</v>
      </c>
      <c r="T398" s="60"/>
    </row>
    <row r="399">
      <c r="D399" s="65" t="str">
        <f>IFERROR(__xludf.DUMMYFUNCTION("""COMPUTED_VALUE"""),"")</f>
        <v/>
      </c>
      <c r="E399" s="65" t="s">
        <v>3650</v>
      </c>
      <c r="G399" s="65" t="s">
        <v>3650</v>
      </c>
      <c r="J399" s="65" t="s">
        <v>3650</v>
      </c>
      <c r="K399" s="230" t="s">
        <v>3650</v>
      </c>
      <c r="L399" s="230" t="s">
        <v>3650</v>
      </c>
      <c r="T399" s="60"/>
    </row>
    <row r="400">
      <c r="D400" s="65" t="str">
        <f>IFERROR(__xludf.DUMMYFUNCTION("""COMPUTED_VALUE"""),"")</f>
        <v/>
      </c>
      <c r="E400" s="65" t="s">
        <v>3650</v>
      </c>
      <c r="G400" s="65" t="s">
        <v>3650</v>
      </c>
      <c r="J400" s="65" t="s">
        <v>3650</v>
      </c>
      <c r="K400" s="230" t="s">
        <v>3650</v>
      </c>
      <c r="L400" s="230" t="s">
        <v>3650</v>
      </c>
      <c r="T400" s="60"/>
    </row>
    <row r="401">
      <c r="D401" s="65" t="str">
        <f>IFERROR(__xludf.DUMMYFUNCTION("""COMPUTED_VALUE"""),"")</f>
        <v/>
      </c>
      <c r="E401" s="65" t="s">
        <v>3650</v>
      </c>
      <c r="G401" s="65" t="s">
        <v>3650</v>
      </c>
      <c r="J401" s="65" t="s">
        <v>3650</v>
      </c>
      <c r="K401" s="230" t="s">
        <v>3650</v>
      </c>
      <c r="L401" s="230" t="s">
        <v>3650</v>
      </c>
      <c r="T401" s="60"/>
    </row>
    <row r="402">
      <c r="D402" s="65" t="str">
        <f>IFERROR(__xludf.DUMMYFUNCTION("""COMPUTED_VALUE"""),"")</f>
        <v/>
      </c>
      <c r="E402" s="65" t="s">
        <v>3650</v>
      </c>
      <c r="G402" s="65" t="s">
        <v>3650</v>
      </c>
      <c r="J402" s="65" t="s">
        <v>3650</v>
      </c>
      <c r="K402" s="230" t="s">
        <v>3650</v>
      </c>
      <c r="L402" s="230" t="s">
        <v>3650</v>
      </c>
      <c r="T402" s="60"/>
    </row>
    <row r="403">
      <c r="D403" s="65" t="str">
        <f>IFERROR(__xludf.DUMMYFUNCTION("""COMPUTED_VALUE"""),"")</f>
        <v/>
      </c>
      <c r="E403" s="65" t="s">
        <v>3650</v>
      </c>
      <c r="G403" s="65" t="s">
        <v>3650</v>
      </c>
      <c r="J403" s="65" t="s">
        <v>3650</v>
      </c>
      <c r="K403" s="230" t="s">
        <v>3650</v>
      </c>
      <c r="L403" s="230" t="s">
        <v>3650</v>
      </c>
      <c r="T403" s="60"/>
    </row>
    <row r="404">
      <c r="D404" s="65" t="str">
        <f>IFERROR(__xludf.DUMMYFUNCTION("""COMPUTED_VALUE"""),"")</f>
        <v/>
      </c>
      <c r="E404" s="65" t="s">
        <v>3650</v>
      </c>
      <c r="G404" s="65" t="s">
        <v>3650</v>
      </c>
      <c r="J404" s="65" t="s">
        <v>3650</v>
      </c>
      <c r="K404" s="230" t="s">
        <v>3650</v>
      </c>
      <c r="L404" s="230" t="s">
        <v>3650</v>
      </c>
      <c r="T404" s="60"/>
    </row>
    <row r="405">
      <c r="D405" s="65" t="str">
        <f>IFERROR(__xludf.DUMMYFUNCTION("""COMPUTED_VALUE"""),"")</f>
        <v/>
      </c>
      <c r="E405" s="65" t="s">
        <v>3650</v>
      </c>
      <c r="G405" s="65" t="s">
        <v>3650</v>
      </c>
      <c r="J405" s="65" t="s">
        <v>3650</v>
      </c>
      <c r="K405" s="230" t="s">
        <v>3650</v>
      </c>
      <c r="L405" s="230" t="s">
        <v>3650</v>
      </c>
      <c r="T405" s="60"/>
    </row>
    <row r="406">
      <c r="D406" s="65" t="str">
        <f>IFERROR(__xludf.DUMMYFUNCTION("""COMPUTED_VALUE"""),"")</f>
        <v/>
      </c>
      <c r="E406" s="65" t="s">
        <v>3650</v>
      </c>
      <c r="G406" s="65" t="s">
        <v>3650</v>
      </c>
      <c r="J406" s="65" t="s">
        <v>3650</v>
      </c>
      <c r="K406" s="230" t="s">
        <v>3650</v>
      </c>
      <c r="L406" s="230" t="s">
        <v>3650</v>
      </c>
      <c r="T406" s="60"/>
    </row>
    <row r="407">
      <c r="D407" s="65" t="str">
        <f>IFERROR(__xludf.DUMMYFUNCTION("""COMPUTED_VALUE"""),"")</f>
        <v/>
      </c>
      <c r="E407" s="65" t="s">
        <v>3650</v>
      </c>
      <c r="G407" s="65" t="s">
        <v>3650</v>
      </c>
      <c r="J407" s="65" t="s">
        <v>3650</v>
      </c>
      <c r="K407" s="230" t="s">
        <v>3650</v>
      </c>
      <c r="L407" s="230" t="s">
        <v>3650</v>
      </c>
      <c r="T407" s="60"/>
    </row>
    <row r="408">
      <c r="D408" s="65" t="str">
        <f>IFERROR(__xludf.DUMMYFUNCTION("""COMPUTED_VALUE"""),"")</f>
        <v/>
      </c>
      <c r="E408" s="65" t="s">
        <v>3650</v>
      </c>
      <c r="G408" s="65" t="s">
        <v>3650</v>
      </c>
      <c r="J408" s="65" t="s">
        <v>3650</v>
      </c>
      <c r="K408" s="230" t="s">
        <v>3650</v>
      </c>
      <c r="L408" s="230" t="s">
        <v>3650</v>
      </c>
      <c r="T408" s="60"/>
    </row>
    <row r="409">
      <c r="D409" s="65" t="str">
        <f>IFERROR(__xludf.DUMMYFUNCTION("""COMPUTED_VALUE"""),"")</f>
        <v/>
      </c>
      <c r="E409" s="65" t="s">
        <v>3650</v>
      </c>
      <c r="G409" s="65" t="s">
        <v>3650</v>
      </c>
      <c r="J409" s="65" t="s">
        <v>3650</v>
      </c>
      <c r="K409" s="230" t="s">
        <v>3650</v>
      </c>
      <c r="L409" s="230" t="s">
        <v>3650</v>
      </c>
      <c r="T409" s="60"/>
    </row>
    <row r="410">
      <c r="D410" s="65" t="str">
        <f>IFERROR(__xludf.DUMMYFUNCTION("""COMPUTED_VALUE"""),"")</f>
        <v/>
      </c>
      <c r="E410" s="65" t="s">
        <v>3650</v>
      </c>
      <c r="G410" s="65" t="s">
        <v>3650</v>
      </c>
      <c r="J410" s="65" t="s">
        <v>3650</v>
      </c>
      <c r="K410" s="230" t="s">
        <v>3650</v>
      </c>
      <c r="L410" s="230" t="s">
        <v>3650</v>
      </c>
      <c r="T410" s="60"/>
    </row>
    <row r="411">
      <c r="D411" s="65" t="str">
        <f>IFERROR(__xludf.DUMMYFUNCTION("""COMPUTED_VALUE"""),"")</f>
        <v/>
      </c>
      <c r="E411" s="65" t="s">
        <v>3650</v>
      </c>
      <c r="G411" s="65" t="s">
        <v>3650</v>
      </c>
      <c r="J411" s="65" t="s">
        <v>3650</v>
      </c>
      <c r="K411" s="230" t="s">
        <v>3650</v>
      </c>
      <c r="L411" s="230" t="s">
        <v>3650</v>
      </c>
      <c r="T411" s="60"/>
    </row>
    <row r="412">
      <c r="D412" s="65" t="str">
        <f>IFERROR(__xludf.DUMMYFUNCTION("""COMPUTED_VALUE"""),"")</f>
        <v/>
      </c>
      <c r="E412" s="65" t="s">
        <v>3650</v>
      </c>
      <c r="G412" s="65" t="s">
        <v>3650</v>
      </c>
      <c r="J412" s="65" t="s">
        <v>3650</v>
      </c>
      <c r="K412" s="230" t="s">
        <v>3650</v>
      </c>
      <c r="L412" s="230" t="s">
        <v>3650</v>
      </c>
      <c r="T412" s="60"/>
    </row>
    <row r="413">
      <c r="D413" s="65" t="str">
        <f>IFERROR(__xludf.DUMMYFUNCTION("""COMPUTED_VALUE"""),"")</f>
        <v/>
      </c>
      <c r="E413" s="65" t="s">
        <v>3650</v>
      </c>
      <c r="G413" s="65" t="s">
        <v>3650</v>
      </c>
      <c r="J413" s="65" t="s">
        <v>3650</v>
      </c>
      <c r="K413" s="230" t="s">
        <v>3650</v>
      </c>
      <c r="L413" s="230" t="s">
        <v>3650</v>
      </c>
      <c r="T413" s="60"/>
    </row>
    <row r="414">
      <c r="D414" s="65" t="str">
        <f>IFERROR(__xludf.DUMMYFUNCTION("""COMPUTED_VALUE"""),"")</f>
        <v/>
      </c>
      <c r="E414" s="65" t="s">
        <v>3650</v>
      </c>
      <c r="G414" s="65" t="s">
        <v>3650</v>
      </c>
      <c r="J414" s="65" t="s">
        <v>3650</v>
      </c>
      <c r="K414" s="230" t="s">
        <v>3650</v>
      </c>
      <c r="L414" s="230" t="s">
        <v>3650</v>
      </c>
      <c r="T414" s="60"/>
    </row>
    <row r="415">
      <c r="D415" s="65" t="str">
        <f>IFERROR(__xludf.DUMMYFUNCTION("""COMPUTED_VALUE"""),"")</f>
        <v/>
      </c>
      <c r="E415" s="65" t="s">
        <v>3650</v>
      </c>
      <c r="G415" s="65" t="s">
        <v>3650</v>
      </c>
      <c r="J415" s="65" t="s">
        <v>3650</v>
      </c>
      <c r="K415" s="230" t="s">
        <v>3650</v>
      </c>
      <c r="L415" s="230" t="s">
        <v>3650</v>
      </c>
      <c r="T415" s="60"/>
    </row>
    <row r="416">
      <c r="D416" s="65" t="str">
        <f>IFERROR(__xludf.DUMMYFUNCTION("""COMPUTED_VALUE"""),"")</f>
        <v/>
      </c>
      <c r="E416" s="65" t="s">
        <v>3650</v>
      </c>
      <c r="G416" s="65" t="s">
        <v>3650</v>
      </c>
      <c r="J416" s="65" t="s">
        <v>3650</v>
      </c>
      <c r="K416" s="230" t="s">
        <v>3650</v>
      </c>
      <c r="L416" s="230" t="s">
        <v>3650</v>
      </c>
      <c r="T416" s="60"/>
    </row>
    <row r="417">
      <c r="D417" s="65" t="str">
        <f>IFERROR(__xludf.DUMMYFUNCTION("""COMPUTED_VALUE"""),"")</f>
        <v/>
      </c>
      <c r="E417" s="65" t="s">
        <v>3650</v>
      </c>
      <c r="G417" s="65" t="s">
        <v>3650</v>
      </c>
      <c r="J417" s="65" t="s">
        <v>3650</v>
      </c>
      <c r="K417" s="230" t="s">
        <v>3650</v>
      </c>
      <c r="L417" s="230" t="s">
        <v>3650</v>
      </c>
      <c r="T417" s="60"/>
    </row>
    <row r="418">
      <c r="D418" s="65" t="str">
        <f>IFERROR(__xludf.DUMMYFUNCTION("""COMPUTED_VALUE"""),"")</f>
        <v/>
      </c>
      <c r="E418" s="65" t="s">
        <v>3650</v>
      </c>
      <c r="G418" s="65" t="s">
        <v>3650</v>
      </c>
      <c r="J418" s="65" t="s">
        <v>3650</v>
      </c>
      <c r="K418" s="230" t="s">
        <v>3650</v>
      </c>
      <c r="L418" s="230" t="s">
        <v>3650</v>
      </c>
      <c r="T418" s="60"/>
    </row>
    <row r="419">
      <c r="D419" s="65" t="str">
        <f>IFERROR(__xludf.DUMMYFUNCTION("""COMPUTED_VALUE"""),"")</f>
        <v/>
      </c>
      <c r="E419" s="65" t="s">
        <v>3650</v>
      </c>
      <c r="G419" s="65" t="s">
        <v>3650</v>
      </c>
      <c r="J419" s="65" t="s">
        <v>3650</v>
      </c>
      <c r="K419" s="230" t="s">
        <v>3650</v>
      </c>
      <c r="L419" s="230" t="s">
        <v>3650</v>
      </c>
      <c r="T419" s="60"/>
    </row>
    <row r="420">
      <c r="D420" s="65" t="str">
        <f>IFERROR(__xludf.DUMMYFUNCTION("""COMPUTED_VALUE"""),"")</f>
        <v/>
      </c>
      <c r="E420" s="65" t="s">
        <v>3650</v>
      </c>
      <c r="G420" s="65" t="s">
        <v>3650</v>
      </c>
      <c r="J420" s="65" t="s">
        <v>3650</v>
      </c>
      <c r="K420" s="230" t="s">
        <v>3650</v>
      </c>
      <c r="L420" s="230" t="s">
        <v>3650</v>
      </c>
      <c r="T420" s="60"/>
    </row>
    <row r="421">
      <c r="D421" s="65" t="str">
        <f>IFERROR(__xludf.DUMMYFUNCTION("""COMPUTED_VALUE"""),"")</f>
        <v/>
      </c>
      <c r="E421" s="65" t="s">
        <v>3650</v>
      </c>
      <c r="G421" s="65" t="s">
        <v>3650</v>
      </c>
      <c r="J421" s="65" t="s">
        <v>3650</v>
      </c>
      <c r="K421" s="230" t="s">
        <v>3650</v>
      </c>
      <c r="L421" s="230" t="s">
        <v>3650</v>
      </c>
      <c r="T421" s="60"/>
    </row>
    <row r="422">
      <c r="D422" s="65" t="str">
        <f>IFERROR(__xludf.DUMMYFUNCTION("""COMPUTED_VALUE"""),"")</f>
        <v/>
      </c>
      <c r="E422" s="65" t="s">
        <v>3650</v>
      </c>
      <c r="G422" s="65" t="s">
        <v>3650</v>
      </c>
      <c r="J422" s="65" t="s">
        <v>3650</v>
      </c>
      <c r="K422" s="230" t="s">
        <v>3650</v>
      </c>
      <c r="L422" s="230" t="s">
        <v>3650</v>
      </c>
      <c r="T422" s="60"/>
    </row>
    <row r="423">
      <c r="D423" s="65" t="str">
        <f>IFERROR(__xludf.DUMMYFUNCTION("""COMPUTED_VALUE"""),"")</f>
        <v/>
      </c>
      <c r="E423" s="65" t="s">
        <v>3650</v>
      </c>
      <c r="G423" s="65" t="s">
        <v>3650</v>
      </c>
      <c r="J423" s="65" t="s">
        <v>3650</v>
      </c>
      <c r="K423" s="230" t="s">
        <v>3650</v>
      </c>
      <c r="L423" s="230" t="s">
        <v>3650</v>
      </c>
      <c r="T423" s="60"/>
    </row>
    <row r="424">
      <c r="D424" s="65" t="str">
        <f>IFERROR(__xludf.DUMMYFUNCTION("""COMPUTED_VALUE"""),"")</f>
        <v/>
      </c>
      <c r="E424" s="65" t="s">
        <v>3650</v>
      </c>
      <c r="G424" s="65" t="s">
        <v>3650</v>
      </c>
      <c r="J424" s="65" t="s">
        <v>3650</v>
      </c>
      <c r="K424" s="230" t="s">
        <v>3650</v>
      </c>
      <c r="L424" s="230" t="s">
        <v>3650</v>
      </c>
      <c r="T424" s="60"/>
    </row>
    <row r="425">
      <c r="D425" s="65" t="str">
        <f>IFERROR(__xludf.DUMMYFUNCTION("""COMPUTED_VALUE"""),"")</f>
        <v/>
      </c>
      <c r="E425" s="65" t="s">
        <v>3650</v>
      </c>
      <c r="G425" s="65" t="s">
        <v>3650</v>
      </c>
      <c r="J425" s="65" t="s">
        <v>3650</v>
      </c>
      <c r="K425" s="230" t="s">
        <v>3650</v>
      </c>
      <c r="L425" s="230" t="s">
        <v>3650</v>
      </c>
      <c r="T425" s="60"/>
    </row>
    <row r="426">
      <c r="D426" s="65" t="str">
        <f>IFERROR(__xludf.DUMMYFUNCTION("""COMPUTED_VALUE"""),"")</f>
        <v/>
      </c>
      <c r="E426" s="65" t="s">
        <v>3650</v>
      </c>
      <c r="G426" s="65" t="s">
        <v>3650</v>
      </c>
      <c r="J426" s="65" t="s">
        <v>3650</v>
      </c>
      <c r="K426" s="230" t="s">
        <v>3650</v>
      </c>
      <c r="L426" s="230" t="s">
        <v>3650</v>
      </c>
      <c r="T426" s="60"/>
    </row>
    <row r="427">
      <c r="D427" s="65" t="str">
        <f>IFERROR(__xludf.DUMMYFUNCTION("""COMPUTED_VALUE"""),"")</f>
        <v/>
      </c>
      <c r="E427" s="65" t="s">
        <v>3650</v>
      </c>
      <c r="G427" s="65" t="s">
        <v>3650</v>
      </c>
      <c r="J427" s="65" t="s">
        <v>3650</v>
      </c>
      <c r="K427" s="230" t="s">
        <v>3650</v>
      </c>
      <c r="L427" s="230" t="s">
        <v>3650</v>
      </c>
      <c r="T427" s="60"/>
    </row>
    <row r="428">
      <c r="D428" s="65" t="str">
        <f>IFERROR(__xludf.DUMMYFUNCTION("""COMPUTED_VALUE"""),"")</f>
        <v/>
      </c>
      <c r="E428" s="65" t="s">
        <v>3650</v>
      </c>
      <c r="G428" s="65" t="s">
        <v>3650</v>
      </c>
      <c r="J428" s="65" t="s">
        <v>3650</v>
      </c>
      <c r="K428" s="230" t="s">
        <v>3650</v>
      </c>
      <c r="L428" s="230" t="s">
        <v>3650</v>
      </c>
      <c r="T428" s="60"/>
    </row>
    <row r="429">
      <c r="D429" s="65" t="str">
        <f>IFERROR(__xludf.DUMMYFUNCTION("""COMPUTED_VALUE"""),"")</f>
        <v/>
      </c>
      <c r="E429" s="65" t="s">
        <v>3650</v>
      </c>
      <c r="G429" s="65" t="s">
        <v>3650</v>
      </c>
      <c r="J429" s="65" t="s">
        <v>3650</v>
      </c>
      <c r="K429" s="230" t="s">
        <v>3650</v>
      </c>
      <c r="L429" s="230" t="s">
        <v>3650</v>
      </c>
      <c r="T429" s="60"/>
    </row>
    <row r="430">
      <c r="D430" s="65" t="str">
        <f>IFERROR(__xludf.DUMMYFUNCTION("""COMPUTED_VALUE"""),"")</f>
        <v/>
      </c>
      <c r="E430" s="65" t="s">
        <v>3650</v>
      </c>
      <c r="G430" s="65" t="s">
        <v>3650</v>
      </c>
      <c r="J430" s="65" t="s">
        <v>3650</v>
      </c>
      <c r="K430" s="230" t="s">
        <v>3650</v>
      </c>
      <c r="L430" s="230" t="s">
        <v>3650</v>
      </c>
      <c r="T430" s="60"/>
    </row>
    <row r="431">
      <c r="D431" s="65" t="str">
        <f>IFERROR(__xludf.DUMMYFUNCTION("""COMPUTED_VALUE"""),"")</f>
        <v/>
      </c>
      <c r="E431" s="65" t="s">
        <v>3650</v>
      </c>
      <c r="G431" s="65" t="s">
        <v>3650</v>
      </c>
      <c r="J431" s="65" t="s">
        <v>3650</v>
      </c>
      <c r="K431" s="230" t="s">
        <v>3650</v>
      </c>
      <c r="L431" s="230" t="s">
        <v>3650</v>
      </c>
      <c r="T431" s="60"/>
    </row>
    <row r="432">
      <c r="D432" s="65" t="str">
        <f>IFERROR(__xludf.DUMMYFUNCTION("""COMPUTED_VALUE"""),"")</f>
        <v/>
      </c>
      <c r="E432" s="65" t="s">
        <v>3650</v>
      </c>
      <c r="G432" s="65" t="s">
        <v>3650</v>
      </c>
      <c r="J432" s="65" t="s">
        <v>3650</v>
      </c>
      <c r="K432" s="230" t="s">
        <v>3650</v>
      </c>
      <c r="L432" s="230" t="s">
        <v>3650</v>
      </c>
      <c r="T432" s="60"/>
    </row>
    <row r="433">
      <c r="D433" s="65" t="str">
        <f>IFERROR(__xludf.DUMMYFUNCTION("""COMPUTED_VALUE"""),"")</f>
        <v/>
      </c>
      <c r="E433" s="65" t="s">
        <v>3650</v>
      </c>
      <c r="G433" s="65" t="s">
        <v>3650</v>
      </c>
      <c r="J433" s="65" t="s">
        <v>3650</v>
      </c>
      <c r="K433" s="230" t="s">
        <v>3650</v>
      </c>
      <c r="L433" s="230" t="s">
        <v>3650</v>
      </c>
      <c r="T433" s="60"/>
    </row>
    <row r="434">
      <c r="D434" s="65" t="str">
        <f>IFERROR(__xludf.DUMMYFUNCTION("""COMPUTED_VALUE"""),"")</f>
        <v/>
      </c>
      <c r="E434" s="65" t="s">
        <v>3650</v>
      </c>
      <c r="G434" s="65" t="s">
        <v>3650</v>
      </c>
      <c r="J434" s="65" t="s">
        <v>3650</v>
      </c>
      <c r="K434" s="230" t="s">
        <v>3650</v>
      </c>
      <c r="L434" s="230" t="s">
        <v>3650</v>
      </c>
      <c r="T434" s="60"/>
    </row>
    <row r="435">
      <c r="D435" s="65" t="str">
        <f>IFERROR(__xludf.DUMMYFUNCTION("""COMPUTED_VALUE"""),"")</f>
        <v/>
      </c>
      <c r="E435" s="65" t="s">
        <v>3650</v>
      </c>
      <c r="G435" s="65" t="s">
        <v>3650</v>
      </c>
      <c r="J435" s="65" t="s">
        <v>3650</v>
      </c>
      <c r="K435" s="230" t="s">
        <v>3650</v>
      </c>
      <c r="L435" s="230" t="s">
        <v>3650</v>
      </c>
      <c r="T435" s="60"/>
    </row>
    <row r="436">
      <c r="D436" s="65" t="str">
        <f>IFERROR(__xludf.DUMMYFUNCTION("""COMPUTED_VALUE"""),"")</f>
        <v/>
      </c>
      <c r="E436" s="65" t="s">
        <v>3650</v>
      </c>
      <c r="G436" s="65" t="s">
        <v>3650</v>
      </c>
      <c r="J436" s="65" t="s">
        <v>3650</v>
      </c>
      <c r="K436" s="230" t="s">
        <v>3650</v>
      </c>
      <c r="L436" s="230" t="s">
        <v>3650</v>
      </c>
      <c r="T436" s="60"/>
    </row>
    <row r="437">
      <c r="D437" s="65" t="str">
        <f>IFERROR(__xludf.DUMMYFUNCTION("""COMPUTED_VALUE"""),"")</f>
        <v/>
      </c>
      <c r="E437" s="65" t="s">
        <v>3650</v>
      </c>
      <c r="G437" s="65" t="s">
        <v>3650</v>
      </c>
      <c r="J437" s="65" t="s">
        <v>3650</v>
      </c>
      <c r="K437" s="230" t="s">
        <v>3650</v>
      </c>
      <c r="L437" s="230" t="s">
        <v>3650</v>
      </c>
      <c r="T437" s="60"/>
    </row>
    <row r="438">
      <c r="D438" s="65" t="str">
        <f>IFERROR(__xludf.DUMMYFUNCTION("""COMPUTED_VALUE"""),"")</f>
        <v/>
      </c>
      <c r="E438" s="65" t="s">
        <v>3650</v>
      </c>
      <c r="G438" s="65" t="s">
        <v>3650</v>
      </c>
      <c r="J438" s="65" t="s">
        <v>3650</v>
      </c>
      <c r="K438" s="230" t="s">
        <v>3650</v>
      </c>
      <c r="L438" s="230" t="s">
        <v>3650</v>
      </c>
      <c r="T438" s="60"/>
    </row>
    <row r="439">
      <c r="D439" s="65" t="str">
        <f>IFERROR(__xludf.DUMMYFUNCTION("""COMPUTED_VALUE"""),"")</f>
        <v/>
      </c>
      <c r="E439" s="65" t="s">
        <v>3650</v>
      </c>
      <c r="G439" s="65" t="s">
        <v>3650</v>
      </c>
      <c r="J439" s="65" t="s">
        <v>3650</v>
      </c>
      <c r="K439" s="230" t="s">
        <v>3650</v>
      </c>
      <c r="L439" s="230" t="s">
        <v>3650</v>
      </c>
      <c r="T439" s="60"/>
    </row>
    <row r="440">
      <c r="D440" s="65" t="str">
        <f>IFERROR(__xludf.DUMMYFUNCTION("""COMPUTED_VALUE"""),"")</f>
        <v/>
      </c>
      <c r="E440" s="65" t="s">
        <v>3650</v>
      </c>
      <c r="G440" s="65" t="s">
        <v>3650</v>
      </c>
      <c r="J440" s="65" t="s">
        <v>3650</v>
      </c>
      <c r="K440" s="230" t="s">
        <v>3650</v>
      </c>
      <c r="L440" s="230" t="s">
        <v>3650</v>
      </c>
      <c r="T440" s="60"/>
    </row>
    <row r="441">
      <c r="D441" s="65" t="str">
        <f>IFERROR(__xludf.DUMMYFUNCTION("""COMPUTED_VALUE"""),"")</f>
        <v/>
      </c>
      <c r="E441" s="65" t="s">
        <v>3650</v>
      </c>
      <c r="G441" s="65" t="s">
        <v>3650</v>
      </c>
      <c r="J441" s="65" t="s">
        <v>3650</v>
      </c>
      <c r="K441" s="230" t="s">
        <v>3650</v>
      </c>
      <c r="L441" s="230" t="s">
        <v>3650</v>
      </c>
      <c r="T441" s="60"/>
    </row>
    <row r="442">
      <c r="D442" s="65" t="str">
        <f>IFERROR(__xludf.DUMMYFUNCTION("""COMPUTED_VALUE"""),"")</f>
        <v/>
      </c>
      <c r="E442" s="65" t="s">
        <v>3650</v>
      </c>
      <c r="G442" s="65" t="s">
        <v>3650</v>
      </c>
      <c r="J442" s="65" t="s">
        <v>3650</v>
      </c>
      <c r="K442" s="230" t="s">
        <v>3650</v>
      </c>
      <c r="L442" s="230" t="s">
        <v>3650</v>
      </c>
      <c r="T442" s="60"/>
    </row>
    <row r="443">
      <c r="D443" s="65" t="str">
        <f>IFERROR(__xludf.DUMMYFUNCTION("""COMPUTED_VALUE"""),"")</f>
        <v/>
      </c>
      <c r="E443" s="65" t="s">
        <v>3650</v>
      </c>
      <c r="G443" s="65" t="s">
        <v>3650</v>
      </c>
      <c r="J443" s="65" t="s">
        <v>3650</v>
      </c>
      <c r="K443" s="230" t="s">
        <v>3650</v>
      </c>
      <c r="L443" s="230" t="s">
        <v>3650</v>
      </c>
      <c r="T443" s="60"/>
    </row>
    <row r="444">
      <c r="D444" s="65" t="str">
        <f>IFERROR(__xludf.DUMMYFUNCTION("""COMPUTED_VALUE"""),"")</f>
        <v/>
      </c>
      <c r="E444" s="65" t="s">
        <v>3650</v>
      </c>
      <c r="G444" s="65" t="s">
        <v>3650</v>
      </c>
      <c r="J444" s="65" t="s">
        <v>3650</v>
      </c>
      <c r="K444" s="230" t="s">
        <v>3650</v>
      </c>
      <c r="L444" s="230" t="s">
        <v>3650</v>
      </c>
      <c r="T444" s="60"/>
    </row>
    <row r="445">
      <c r="D445" s="65" t="str">
        <f>IFERROR(__xludf.DUMMYFUNCTION("""COMPUTED_VALUE"""),"")</f>
        <v/>
      </c>
      <c r="E445" s="65" t="s">
        <v>3650</v>
      </c>
      <c r="G445" s="65" t="s">
        <v>3650</v>
      </c>
      <c r="J445" s="65" t="s">
        <v>3650</v>
      </c>
      <c r="K445" s="230" t="s">
        <v>3650</v>
      </c>
      <c r="L445" s="230" t="s">
        <v>3650</v>
      </c>
      <c r="T445" s="60"/>
    </row>
    <row r="446">
      <c r="D446" s="65" t="str">
        <f>IFERROR(__xludf.DUMMYFUNCTION("""COMPUTED_VALUE"""),"")</f>
        <v/>
      </c>
      <c r="E446" s="65" t="s">
        <v>3650</v>
      </c>
      <c r="G446" s="65" t="s">
        <v>3650</v>
      </c>
      <c r="J446" s="65" t="s">
        <v>3650</v>
      </c>
      <c r="K446" s="230" t="s">
        <v>3650</v>
      </c>
      <c r="L446" s="230" t="s">
        <v>3650</v>
      </c>
      <c r="T446" s="60"/>
    </row>
    <row r="447">
      <c r="D447" s="65" t="str">
        <f>IFERROR(__xludf.DUMMYFUNCTION("""COMPUTED_VALUE"""),"")</f>
        <v/>
      </c>
      <c r="E447" s="65" t="s">
        <v>3650</v>
      </c>
      <c r="G447" s="65" t="s">
        <v>3650</v>
      </c>
      <c r="J447" s="65" t="s">
        <v>3650</v>
      </c>
      <c r="K447" s="230" t="s">
        <v>3650</v>
      </c>
      <c r="L447" s="230" t="s">
        <v>3650</v>
      </c>
      <c r="T447" s="60"/>
    </row>
    <row r="448">
      <c r="D448" s="65" t="str">
        <f>IFERROR(__xludf.DUMMYFUNCTION("""COMPUTED_VALUE"""),"")</f>
        <v/>
      </c>
      <c r="E448" s="65" t="s">
        <v>3650</v>
      </c>
      <c r="G448" s="65" t="s">
        <v>3650</v>
      </c>
      <c r="J448" s="65" t="s">
        <v>3650</v>
      </c>
      <c r="K448" s="230" t="s">
        <v>3650</v>
      </c>
      <c r="L448" s="230" t="s">
        <v>3650</v>
      </c>
      <c r="T448" s="60"/>
    </row>
    <row r="449">
      <c r="D449" s="65" t="str">
        <f>IFERROR(__xludf.DUMMYFUNCTION("""COMPUTED_VALUE"""),"")</f>
        <v/>
      </c>
      <c r="E449" s="65" t="s">
        <v>3650</v>
      </c>
      <c r="G449" s="65" t="s">
        <v>3650</v>
      </c>
      <c r="J449" s="65" t="s">
        <v>3650</v>
      </c>
      <c r="K449" s="230" t="s">
        <v>3650</v>
      </c>
      <c r="L449" s="230" t="s">
        <v>3650</v>
      </c>
      <c r="T449" s="60"/>
    </row>
    <row r="450">
      <c r="D450" s="65" t="str">
        <f>IFERROR(__xludf.DUMMYFUNCTION("""COMPUTED_VALUE"""),"")</f>
        <v/>
      </c>
      <c r="E450" s="65" t="s">
        <v>3650</v>
      </c>
      <c r="G450" s="65" t="s">
        <v>3650</v>
      </c>
      <c r="J450" s="65" t="s">
        <v>3650</v>
      </c>
      <c r="K450" s="230" t="s">
        <v>3650</v>
      </c>
      <c r="L450" s="230" t="s">
        <v>3650</v>
      </c>
      <c r="T450" s="60"/>
    </row>
    <row r="451">
      <c r="D451" s="65" t="str">
        <f>IFERROR(__xludf.DUMMYFUNCTION("""COMPUTED_VALUE"""),"")</f>
        <v/>
      </c>
      <c r="E451" s="65" t="s">
        <v>3650</v>
      </c>
      <c r="G451" s="65" t="s">
        <v>3650</v>
      </c>
      <c r="J451" s="65" t="s">
        <v>3650</v>
      </c>
      <c r="K451" s="230" t="s">
        <v>3650</v>
      </c>
      <c r="L451" s="230" t="s">
        <v>3650</v>
      </c>
      <c r="T451" s="60"/>
    </row>
    <row r="452">
      <c r="D452" s="65" t="str">
        <f>IFERROR(__xludf.DUMMYFUNCTION("""COMPUTED_VALUE"""),"")</f>
        <v/>
      </c>
      <c r="E452" s="65" t="s">
        <v>3650</v>
      </c>
      <c r="G452" s="65" t="s">
        <v>3650</v>
      </c>
      <c r="J452" s="65" t="s">
        <v>3650</v>
      </c>
      <c r="K452" s="230" t="s">
        <v>3650</v>
      </c>
      <c r="L452" s="230" t="s">
        <v>3650</v>
      </c>
      <c r="T452" s="60"/>
    </row>
    <row r="453">
      <c r="D453" s="65" t="str">
        <f>IFERROR(__xludf.DUMMYFUNCTION("""COMPUTED_VALUE"""),"")</f>
        <v/>
      </c>
      <c r="E453" s="65" t="s">
        <v>3650</v>
      </c>
      <c r="G453" s="65" t="s">
        <v>3650</v>
      </c>
      <c r="J453" s="65" t="s">
        <v>3650</v>
      </c>
      <c r="K453" s="230" t="s">
        <v>3650</v>
      </c>
      <c r="L453" s="230" t="s">
        <v>3650</v>
      </c>
      <c r="T453" s="60"/>
    </row>
    <row r="454">
      <c r="D454" s="65" t="str">
        <f>IFERROR(__xludf.DUMMYFUNCTION("""COMPUTED_VALUE"""),"")</f>
        <v/>
      </c>
      <c r="E454" s="65" t="s">
        <v>3650</v>
      </c>
      <c r="G454" s="65" t="s">
        <v>3650</v>
      </c>
      <c r="J454" s="65" t="s">
        <v>3650</v>
      </c>
      <c r="K454" s="230" t="s">
        <v>3650</v>
      </c>
      <c r="L454" s="230" t="s">
        <v>3650</v>
      </c>
      <c r="T454" s="60"/>
    </row>
    <row r="455">
      <c r="D455" s="65" t="str">
        <f>IFERROR(__xludf.DUMMYFUNCTION("""COMPUTED_VALUE"""),"")</f>
        <v/>
      </c>
      <c r="E455" s="65" t="s">
        <v>3650</v>
      </c>
      <c r="G455" s="65" t="s">
        <v>3650</v>
      </c>
      <c r="J455" s="65" t="s">
        <v>3650</v>
      </c>
      <c r="K455" s="230" t="s">
        <v>3650</v>
      </c>
      <c r="L455" s="230" t="s">
        <v>3650</v>
      </c>
      <c r="T455" s="60"/>
    </row>
    <row r="456">
      <c r="D456" s="65" t="str">
        <f>IFERROR(__xludf.DUMMYFUNCTION("""COMPUTED_VALUE"""),"")</f>
        <v/>
      </c>
      <c r="E456" s="65" t="s">
        <v>3650</v>
      </c>
      <c r="G456" s="65" t="s">
        <v>3650</v>
      </c>
      <c r="J456" s="65" t="s">
        <v>3650</v>
      </c>
      <c r="K456" s="230" t="s">
        <v>3650</v>
      </c>
      <c r="L456" s="230" t="s">
        <v>3650</v>
      </c>
      <c r="T456" s="60"/>
    </row>
    <row r="457">
      <c r="D457" s="65" t="str">
        <f>IFERROR(__xludf.DUMMYFUNCTION("""COMPUTED_VALUE"""),"")</f>
        <v/>
      </c>
      <c r="E457" s="65" t="s">
        <v>3650</v>
      </c>
      <c r="G457" s="65" t="s">
        <v>3650</v>
      </c>
      <c r="J457" s="65" t="s">
        <v>3650</v>
      </c>
      <c r="K457" s="230" t="s">
        <v>3650</v>
      </c>
      <c r="L457" s="230" t="s">
        <v>3650</v>
      </c>
      <c r="T457" s="60"/>
    </row>
    <row r="458">
      <c r="D458" s="65" t="str">
        <f>IFERROR(__xludf.DUMMYFUNCTION("""COMPUTED_VALUE"""),"")</f>
        <v/>
      </c>
      <c r="E458" s="65" t="s">
        <v>3650</v>
      </c>
      <c r="G458" s="65" t="s">
        <v>3650</v>
      </c>
      <c r="J458" s="65" t="s">
        <v>3650</v>
      </c>
      <c r="K458" s="230" t="s">
        <v>3650</v>
      </c>
      <c r="L458" s="230" t="s">
        <v>3650</v>
      </c>
      <c r="T458" s="60"/>
    </row>
    <row r="459">
      <c r="D459" s="65" t="str">
        <f>IFERROR(__xludf.DUMMYFUNCTION("""COMPUTED_VALUE"""),"")</f>
        <v/>
      </c>
      <c r="E459" s="65" t="s">
        <v>3650</v>
      </c>
      <c r="G459" s="65" t="s">
        <v>3650</v>
      </c>
      <c r="J459" s="65" t="s">
        <v>3650</v>
      </c>
      <c r="K459" s="230" t="s">
        <v>3650</v>
      </c>
      <c r="L459" s="230" t="s">
        <v>3650</v>
      </c>
      <c r="T459" s="60"/>
    </row>
    <row r="460">
      <c r="D460" s="65" t="str">
        <f>IFERROR(__xludf.DUMMYFUNCTION("""COMPUTED_VALUE"""),"")</f>
        <v/>
      </c>
      <c r="E460" s="65" t="s">
        <v>3650</v>
      </c>
      <c r="G460" s="65" t="s">
        <v>3650</v>
      </c>
      <c r="J460" s="65" t="s">
        <v>3650</v>
      </c>
      <c r="K460" s="230" t="s">
        <v>3650</v>
      </c>
      <c r="L460" s="230" t="s">
        <v>3650</v>
      </c>
      <c r="T460" s="60"/>
    </row>
    <row r="461">
      <c r="D461" s="65" t="str">
        <f>IFERROR(__xludf.DUMMYFUNCTION("""COMPUTED_VALUE"""),"")</f>
        <v/>
      </c>
      <c r="E461" s="65" t="s">
        <v>3650</v>
      </c>
      <c r="G461" s="65" t="s">
        <v>3650</v>
      </c>
      <c r="J461" s="65" t="s">
        <v>3650</v>
      </c>
      <c r="K461" s="230" t="s">
        <v>3650</v>
      </c>
      <c r="L461" s="230" t="s">
        <v>3650</v>
      </c>
      <c r="T461" s="60"/>
    </row>
    <row r="462">
      <c r="D462" s="65" t="str">
        <f>IFERROR(__xludf.DUMMYFUNCTION("""COMPUTED_VALUE"""),"")</f>
        <v/>
      </c>
      <c r="E462" s="65" t="s">
        <v>3650</v>
      </c>
      <c r="G462" s="65" t="s">
        <v>3650</v>
      </c>
      <c r="J462" s="65" t="s">
        <v>3650</v>
      </c>
      <c r="K462" s="230" t="s">
        <v>3650</v>
      </c>
      <c r="L462" s="230" t="s">
        <v>3650</v>
      </c>
      <c r="T462" s="60"/>
    </row>
    <row r="463">
      <c r="D463" s="65" t="str">
        <f>IFERROR(__xludf.DUMMYFUNCTION("""COMPUTED_VALUE"""),"")</f>
        <v/>
      </c>
      <c r="E463" s="65" t="s">
        <v>3650</v>
      </c>
      <c r="G463" s="65" t="s">
        <v>3650</v>
      </c>
      <c r="J463" s="65" t="s">
        <v>3650</v>
      </c>
      <c r="K463" s="230" t="s">
        <v>3650</v>
      </c>
      <c r="L463" s="230" t="s">
        <v>3650</v>
      </c>
      <c r="T463" s="60"/>
    </row>
    <row r="464">
      <c r="D464" s="65" t="str">
        <f>IFERROR(__xludf.DUMMYFUNCTION("""COMPUTED_VALUE"""),"")</f>
        <v/>
      </c>
      <c r="E464" s="65" t="s">
        <v>3650</v>
      </c>
      <c r="G464" s="65" t="s">
        <v>3650</v>
      </c>
      <c r="J464" s="65" t="s">
        <v>3650</v>
      </c>
      <c r="K464" s="230" t="s">
        <v>3650</v>
      </c>
      <c r="L464" s="230" t="s">
        <v>3650</v>
      </c>
      <c r="T464" s="60"/>
    </row>
    <row r="465">
      <c r="D465" s="65" t="str">
        <f>IFERROR(__xludf.DUMMYFUNCTION("""COMPUTED_VALUE"""),"")</f>
        <v/>
      </c>
      <c r="E465" s="65" t="s">
        <v>3650</v>
      </c>
      <c r="G465" s="65" t="s">
        <v>3650</v>
      </c>
      <c r="J465" s="65" t="s">
        <v>3650</v>
      </c>
      <c r="K465" s="230" t="s">
        <v>3650</v>
      </c>
      <c r="L465" s="230" t="s">
        <v>3650</v>
      </c>
      <c r="T465" s="60"/>
    </row>
    <row r="466">
      <c r="D466" s="65" t="str">
        <f>IFERROR(__xludf.DUMMYFUNCTION("""COMPUTED_VALUE"""),"")</f>
        <v/>
      </c>
      <c r="E466" s="65" t="s">
        <v>3650</v>
      </c>
      <c r="G466" s="65" t="s">
        <v>3650</v>
      </c>
      <c r="J466" s="65" t="s">
        <v>3650</v>
      </c>
      <c r="K466" s="230" t="s">
        <v>3650</v>
      </c>
      <c r="L466" s="230" t="s">
        <v>3650</v>
      </c>
      <c r="T466" s="60"/>
    </row>
    <row r="467">
      <c r="D467" s="65" t="str">
        <f>IFERROR(__xludf.DUMMYFUNCTION("""COMPUTED_VALUE"""),"")</f>
        <v/>
      </c>
      <c r="E467" s="65" t="s">
        <v>3650</v>
      </c>
      <c r="G467" s="65" t="s">
        <v>3650</v>
      </c>
      <c r="J467" s="65" t="s">
        <v>3650</v>
      </c>
      <c r="K467" s="230" t="s">
        <v>3650</v>
      </c>
      <c r="L467" s="230" t="s">
        <v>3650</v>
      </c>
      <c r="T467" s="60"/>
    </row>
    <row r="468">
      <c r="D468" s="65" t="str">
        <f>IFERROR(__xludf.DUMMYFUNCTION("""COMPUTED_VALUE"""),"")</f>
        <v/>
      </c>
      <c r="E468" s="65" t="s">
        <v>3650</v>
      </c>
      <c r="G468" s="65" t="s">
        <v>3650</v>
      </c>
      <c r="J468" s="65" t="s">
        <v>3650</v>
      </c>
      <c r="K468" s="230" t="s">
        <v>3650</v>
      </c>
      <c r="L468" s="230" t="s">
        <v>3650</v>
      </c>
      <c r="T468" s="60"/>
    </row>
    <row r="469">
      <c r="D469" s="65" t="str">
        <f>IFERROR(__xludf.DUMMYFUNCTION("""COMPUTED_VALUE"""),"")</f>
        <v/>
      </c>
      <c r="E469" s="65" t="s">
        <v>3650</v>
      </c>
      <c r="G469" s="65" t="s">
        <v>3650</v>
      </c>
      <c r="J469" s="65" t="s">
        <v>3650</v>
      </c>
      <c r="K469" s="230" t="s">
        <v>3650</v>
      </c>
      <c r="L469" s="230" t="s">
        <v>3650</v>
      </c>
      <c r="T469" s="60"/>
    </row>
    <row r="470">
      <c r="D470" s="65" t="str">
        <f>IFERROR(__xludf.DUMMYFUNCTION("""COMPUTED_VALUE"""),"")</f>
        <v/>
      </c>
      <c r="E470" s="65" t="s">
        <v>3650</v>
      </c>
      <c r="G470" s="65" t="s">
        <v>3650</v>
      </c>
      <c r="J470" s="65" t="s">
        <v>3650</v>
      </c>
      <c r="K470" s="230" t="s">
        <v>3650</v>
      </c>
      <c r="L470" s="230" t="s">
        <v>3650</v>
      </c>
      <c r="T470" s="60"/>
    </row>
    <row r="471">
      <c r="D471" s="65" t="str">
        <f>IFERROR(__xludf.DUMMYFUNCTION("""COMPUTED_VALUE"""),"")</f>
        <v/>
      </c>
      <c r="E471" s="65" t="s">
        <v>3650</v>
      </c>
      <c r="G471" s="65" t="s">
        <v>3650</v>
      </c>
      <c r="J471" s="65" t="s">
        <v>3650</v>
      </c>
      <c r="K471" s="230" t="s">
        <v>3650</v>
      </c>
      <c r="L471" s="230" t="s">
        <v>3650</v>
      </c>
      <c r="T471" s="60"/>
    </row>
    <row r="472">
      <c r="D472" s="65" t="str">
        <f>IFERROR(__xludf.DUMMYFUNCTION("""COMPUTED_VALUE"""),"")</f>
        <v/>
      </c>
      <c r="E472" s="65" t="s">
        <v>3650</v>
      </c>
      <c r="G472" s="65" t="s">
        <v>3650</v>
      </c>
      <c r="J472" s="65" t="s">
        <v>3650</v>
      </c>
      <c r="K472" s="230" t="s">
        <v>3650</v>
      </c>
      <c r="L472" s="230" t="s">
        <v>3650</v>
      </c>
      <c r="T472" s="60"/>
    </row>
    <row r="473">
      <c r="D473" s="65" t="str">
        <f>IFERROR(__xludf.DUMMYFUNCTION("""COMPUTED_VALUE"""),"")</f>
        <v/>
      </c>
      <c r="E473" s="65" t="s">
        <v>3650</v>
      </c>
      <c r="G473" s="65" t="s">
        <v>3650</v>
      </c>
      <c r="J473" s="65" t="s">
        <v>3650</v>
      </c>
      <c r="K473" s="230" t="s">
        <v>3650</v>
      </c>
      <c r="L473" s="230" t="s">
        <v>3650</v>
      </c>
      <c r="T473" s="60"/>
    </row>
    <row r="474">
      <c r="D474" s="65" t="str">
        <f>IFERROR(__xludf.DUMMYFUNCTION("""COMPUTED_VALUE"""),"")</f>
        <v/>
      </c>
      <c r="E474" s="65" t="s">
        <v>3650</v>
      </c>
      <c r="G474" s="65" t="s">
        <v>3650</v>
      </c>
      <c r="J474" s="65" t="s">
        <v>3650</v>
      </c>
      <c r="K474" s="230" t="s">
        <v>3650</v>
      </c>
      <c r="L474" s="230" t="s">
        <v>3650</v>
      </c>
      <c r="T474" s="60"/>
    </row>
    <row r="475">
      <c r="D475" s="65" t="str">
        <f>IFERROR(__xludf.DUMMYFUNCTION("""COMPUTED_VALUE"""),"")</f>
        <v/>
      </c>
      <c r="E475" s="65" t="s">
        <v>3650</v>
      </c>
      <c r="G475" s="65" t="s">
        <v>3650</v>
      </c>
      <c r="J475" s="65" t="s">
        <v>3650</v>
      </c>
      <c r="K475" s="230" t="s">
        <v>3650</v>
      </c>
      <c r="L475" s="230" t="s">
        <v>3650</v>
      </c>
      <c r="T475" s="60"/>
    </row>
    <row r="476">
      <c r="D476" s="65" t="str">
        <f>IFERROR(__xludf.DUMMYFUNCTION("""COMPUTED_VALUE"""),"")</f>
        <v/>
      </c>
      <c r="E476" s="65" t="s">
        <v>3650</v>
      </c>
      <c r="G476" s="65" t="s">
        <v>3650</v>
      </c>
      <c r="J476" s="65" t="s">
        <v>3650</v>
      </c>
      <c r="K476" s="230" t="s">
        <v>3650</v>
      </c>
      <c r="L476" s="230" t="s">
        <v>3650</v>
      </c>
      <c r="T476" s="60"/>
    </row>
    <row r="477">
      <c r="D477" s="65" t="str">
        <f>IFERROR(__xludf.DUMMYFUNCTION("""COMPUTED_VALUE"""),"")</f>
        <v/>
      </c>
      <c r="E477" s="65" t="s">
        <v>3650</v>
      </c>
      <c r="G477" s="65" t="s">
        <v>3650</v>
      </c>
      <c r="J477" s="65" t="s">
        <v>3650</v>
      </c>
      <c r="K477" s="230" t="s">
        <v>3650</v>
      </c>
      <c r="L477" s="230" t="s">
        <v>3650</v>
      </c>
      <c r="T477" s="60"/>
    </row>
    <row r="478">
      <c r="D478" s="65" t="str">
        <f>IFERROR(__xludf.DUMMYFUNCTION("""COMPUTED_VALUE"""),"")</f>
        <v/>
      </c>
      <c r="E478" s="65" t="s">
        <v>3650</v>
      </c>
      <c r="G478" s="65" t="s">
        <v>3650</v>
      </c>
      <c r="J478" s="65" t="s">
        <v>3650</v>
      </c>
      <c r="K478" s="230" t="s">
        <v>3650</v>
      </c>
      <c r="L478" s="230" t="s">
        <v>3650</v>
      </c>
      <c r="T478" s="60"/>
    </row>
    <row r="479">
      <c r="D479" s="65" t="str">
        <f>IFERROR(__xludf.DUMMYFUNCTION("""COMPUTED_VALUE"""),"")</f>
        <v/>
      </c>
      <c r="E479" s="65" t="s">
        <v>3650</v>
      </c>
      <c r="G479" s="65" t="s">
        <v>3650</v>
      </c>
      <c r="J479" s="65" t="s">
        <v>3650</v>
      </c>
      <c r="K479" s="230" t="s">
        <v>3650</v>
      </c>
      <c r="L479" s="230" t="s">
        <v>3650</v>
      </c>
      <c r="T479" s="60"/>
    </row>
    <row r="480">
      <c r="D480" s="65" t="str">
        <f>IFERROR(__xludf.DUMMYFUNCTION("""COMPUTED_VALUE"""),"")</f>
        <v/>
      </c>
      <c r="E480" s="65" t="s">
        <v>3650</v>
      </c>
      <c r="G480" s="65" t="s">
        <v>3650</v>
      </c>
      <c r="J480" s="65" t="s">
        <v>3650</v>
      </c>
      <c r="K480" s="230" t="s">
        <v>3650</v>
      </c>
      <c r="L480" s="230" t="s">
        <v>3650</v>
      </c>
      <c r="T480" s="60"/>
    </row>
    <row r="481">
      <c r="D481" s="65" t="str">
        <f>IFERROR(__xludf.DUMMYFUNCTION("""COMPUTED_VALUE"""),"")</f>
        <v/>
      </c>
      <c r="E481" s="65" t="s">
        <v>3650</v>
      </c>
      <c r="G481" s="65" t="s">
        <v>3650</v>
      </c>
      <c r="J481" s="65" t="s">
        <v>3650</v>
      </c>
      <c r="K481" s="230" t="s">
        <v>3650</v>
      </c>
      <c r="L481" s="230" t="s">
        <v>3650</v>
      </c>
      <c r="T481" s="60"/>
    </row>
    <row r="482">
      <c r="D482" s="65" t="str">
        <f>IFERROR(__xludf.DUMMYFUNCTION("""COMPUTED_VALUE"""),"")</f>
        <v/>
      </c>
      <c r="E482" s="65" t="s">
        <v>3650</v>
      </c>
      <c r="G482" s="65" t="s">
        <v>3650</v>
      </c>
      <c r="J482" s="65" t="s">
        <v>3650</v>
      </c>
      <c r="K482" s="230" t="s">
        <v>3650</v>
      </c>
      <c r="L482" s="230" t="s">
        <v>3650</v>
      </c>
      <c r="T482" s="60"/>
    </row>
    <row r="483">
      <c r="D483" s="65" t="str">
        <f>IFERROR(__xludf.DUMMYFUNCTION("""COMPUTED_VALUE"""),"")</f>
        <v/>
      </c>
      <c r="E483" s="65" t="s">
        <v>3650</v>
      </c>
      <c r="G483" s="65" t="s">
        <v>3650</v>
      </c>
      <c r="J483" s="65" t="s">
        <v>3650</v>
      </c>
      <c r="K483" s="230" t="s">
        <v>3650</v>
      </c>
      <c r="L483" s="230" t="s">
        <v>3650</v>
      </c>
      <c r="T483" s="60"/>
    </row>
    <row r="484">
      <c r="D484" s="65" t="str">
        <f>IFERROR(__xludf.DUMMYFUNCTION("""COMPUTED_VALUE"""),"")</f>
        <v/>
      </c>
      <c r="E484" s="65" t="s">
        <v>3650</v>
      </c>
      <c r="G484" s="65" t="s">
        <v>3650</v>
      </c>
      <c r="J484" s="65" t="s">
        <v>3650</v>
      </c>
      <c r="K484" s="230" t="s">
        <v>3650</v>
      </c>
      <c r="L484" s="230" t="s">
        <v>3650</v>
      </c>
      <c r="T484" s="60"/>
    </row>
    <row r="485">
      <c r="D485" s="65" t="str">
        <f>IFERROR(__xludf.DUMMYFUNCTION("""COMPUTED_VALUE"""),"")</f>
        <v/>
      </c>
      <c r="E485" s="65" t="s">
        <v>3650</v>
      </c>
      <c r="G485" s="65" t="s">
        <v>3650</v>
      </c>
      <c r="J485" s="65" t="s">
        <v>3650</v>
      </c>
      <c r="K485" s="230" t="s">
        <v>3650</v>
      </c>
      <c r="L485" s="230" t="s">
        <v>3650</v>
      </c>
      <c r="T485" s="60"/>
    </row>
    <row r="486">
      <c r="D486" s="65" t="str">
        <f>IFERROR(__xludf.DUMMYFUNCTION("""COMPUTED_VALUE"""),"")</f>
        <v/>
      </c>
      <c r="E486" s="65" t="s">
        <v>3650</v>
      </c>
      <c r="G486" s="65" t="s">
        <v>3650</v>
      </c>
      <c r="J486" s="65" t="s">
        <v>3650</v>
      </c>
      <c r="K486" s="230" t="s">
        <v>3650</v>
      </c>
      <c r="L486" s="230" t="s">
        <v>3650</v>
      </c>
      <c r="T486" s="60"/>
    </row>
    <row r="487">
      <c r="D487" s="65" t="str">
        <f>IFERROR(__xludf.DUMMYFUNCTION("""COMPUTED_VALUE"""),"")</f>
        <v/>
      </c>
      <c r="E487" s="65" t="s">
        <v>3650</v>
      </c>
      <c r="G487" s="65" t="s">
        <v>3650</v>
      </c>
      <c r="J487" s="65" t="s">
        <v>3650</v>
      </c>
      <c r="K487" s="230" t="s">
        <v>3650</v>
      </c>
      <c r="L487" s="230" t="s">
        <v>3650</v>
      </c>
      <c r="T487" s="60"/>
    </row>
    <row r="488">
      <c r="D488" s="65" t="str">
        <f>IFERROR(__xludf.DUMMYFUNCTION("""COMPUTED_VALUE"""),"")</f>
        <v/>
      </c>
      <c r="E488" s="65" t="s">
        <v>3650</v>
      </c>
      <c r="G488" s="65" t="s">
        <v>3650</v>
      </c>
      <c r="J488" s="65" t="s">
        <v>3650</v>
      </c>
      <c r="K488" s="230" t="s">
        <v>3650</v>
      </c>
      <c r="L488" s="230" t="s">
        <v>3650</v>
      </c>
      <c r="T488" s="60"/>
    </row>
    <row r="489">
      <c r="D489" s="65" t="str">
        <f>IFERROR(__xludf.DUMMYFUNCTION("""COMPUTED_VALUE"""),"")</f>
        <v/>
      </c>
      <c r="E489" s="65" t="s">
        <v>3650</v>
      </c>
      <c r="G489" s="65" t="s">
        <v>3650</v>
      </c>
      <c r="J489" s="65" t="s">
        <v>3650</v>
      </c>
      <c r="K489" s="230" t="s">
        <v>3650</v>
      </c>
      <c r="L489" s="230" t="s">
        <v>3650</v>
      </c>
      <c r="T489" s="60"/>
    </row>
    <row r="490">
      <c r="D490" s="65" t="str">
        <f>IFERROR(__xludf.DUMMYFUNCTION("""COMPUTED_VALUE"""),"")</f>
        <v/>
      </c>
      <c r="E490" s="65" t="s">
        <v>3650</v>
      </c>
      <c r="G490" s="65" t="s">
        <v>3650</v>
      </c>
      <c r="J490" s="65" t="s">
        <v>3650</v>
      </c>
      <c r="K490" s="230" t="s">
        <v>3650</v>
      </c>
      <c r="L490" s="230" t="s">
        <v>3650</v>
      </c>
      <c r="T490" s="60"/>
    </row>
    <row r="491">
      <c r="D491" s="65" t="str">
        <f>IFERROR(__xludf.DUMMYFUNCTION("""COMPUTED_VALUE"""),"")</f>
        <v/>
      </c>
      <c r="E491" s="65" t="s">
        <v>3650</v>
      </c>
      <c r="G491" s="65" t="s">
        <v>3650</v>
      </c>
      <c r="J491" s="65" t="s">
        <v>3650</v>
      </c>
      <c r="K491" s="230" t="s">
        <v>3650</v>
      </c>
      <c r="L491" s="230" t="s">
        <v>3650</v>
      </c>
      <c r="T491" s="60"/>
    </row>
    <row r="492">
      <c r="D492" s="65" t="str">
        <f>IFERROR(__xludf.DUMMYFUNCTION("""COMPUTED_VALUE"""),"")</f>
        <v/>
      </c>
      <c r="E492" s="65" t="s">
        <v>3650</v>
      </c>
      <c r="G492" s="65" t="s">
        <v>3650</v>
      </c>
      <c r="J492" s="65" t="s">
        <v>3650</v>
      </c>
      <c r="K492" s="230" t="s">
        <v>3650</v>
      </c>
      <c r="L492" s="230" t="s">
        <v>3650</v>
      </c>
      <c r="T492" s="60"/>
    </row>
    <row r="493">
      <c r="D493" s="65" t="str">
        <f>IFERROR(__xludf.DUMMYFUNCTION("""COMPUTED_VALUE"""),"")</f>
        <v/>
      </c>
      <c r="E493" s="65" t="s">
        <v>3650</v>
      </c>
      <c r="G493" s="65" t="s">
        <v>3650</v>
      </c>
      <c r="J493" s="65" t="s">
        <v>3650</v>
      </c>
      <c r="K493" s="230" t="s">
        <v>3650</v>
      </c>
      <c r="L493" s="230" t="s">
        <v>3650</v>
      </c>
      <c r="T493" s="60"/>
    </row>
    <row r="494">
      <c r="D494" s="65" t="str">
        <f>IFERROR(__xludf.DUMMYFUNCTION("""COMPUTED_VALUE"""),"")</f>
        <v/>
      </c>
      <c r="E494" s="65" t="s">
        <v>3650</v>
      </c>
      <c r="G494" s="65" t="s">
        <v>3650</v>
      </c>
      <c r="J494" s="65" t="s">
        <v>3650</v>
      </c>
      <c r="K494" s="230" t="s">
        <v>3650</v>
      </c>
      <c r="L494" s="230" t="s">
        <v>3650</v>
      </c>
      <c r="T494" s="60"/>
    </row>
    <row r="495">
      <c r="D495" s="65" t="str">
        <f>IFERROR(__xludf.DUMMYFUNCTION("""COMPUTED_VALUE"""),"")</f>
        <v/>
      </c>
      <c r="E495" s="65" t="s">
        <v>3650</v>
      </c>
      <c r="G495" s="65" t="s">
        <v>3650</v>
      </c>
      <c r="J495" s="65" t="s">
        <v>3650</v>
      </c>
      <c r="K495" s="230" t="s">
        <v>3650</v>
      </c>
      <c r="L495" s="230" t="s">
        <v>3650</v>
      </c>
      <c r="T495" s="60"/>
    </row>
    <row r="496">
      <c r="D496" s="65" t="str">
        <f>IFERROR(__xludf.DUMMYFUNCTION("""COMPUTED_VALUE"""),"")</f>
        <v/>
      </c>
      <c r="E496" s="65" t="s">
        <v>3650</v>
      </c>
      <c r="G496" s="65" t="s">
        <v>3650</v>
      </c>
      <c r="J496" s="65" t="s">
        <v>3650</v>
      </c>
      <c r="K496" s="230" t="s">
        <v>3650</v>
      </c>
      <c r="L496" s="230" t="s">
        <v>3650</v>
      </c>
      <c r="T496" s="60"/>
    </row>
    <row r="497">
      <c r="D497" s="65" t="str">
        <f>IFERROR(__xludf.DUMMYFUNCTION("""COMPUTED_VALUE"""),"")</f>
        <v/>
      </c>
      <c r="E497" s="65" t="s">
        <v>3650</v>
      </c>
      <c r="G497" s="65" t="s">
        <v>3650</v>
      </c>
      <c r="J497" s="65" t="s">
        <v>3650</v>
      </c>
      <c r="K497" s="230" t="s">
        <v>3650</v>
      </c>
      <c r="L497" s="230" t="s">
        <v>3650</v>
      </c>
      <c r="T497" s="60"/>
    </row>
    <row r="498">
      <c r="D498" s="65" t="str">
        <f>IFERROR(__xludf.DUMMYFUNCTION("""COMPUTED_VALUE"""),"")</f>
        <v/>
      </c>
      <c r="E498" s="65" t="s">
        <v>3650</v>
      </c>
      <c r="G498" s="65" t="s">
        <v>3650</v>
      </c>
      <c r="J498" s="65" t="s">
        <v>3650</v>
      </c>
      <c r="K498" s="230" t="s">
        <v>3650</v>
      </c>
      <c r="L498" s="230" t="s">
        <v>3650</v>
      </c>
      <c r="T498" s="60"/>
    </row>
    <row r="499">
      <c r="D499" s="65" t="str">
        <f>IFERROR(__xludf.DUMMYFUNCTION("""COMPUTED_VALUE"""),"")</f>
        <v/>
      </c>
      <c r="E499" s="65" t="s">
        <v>3650</v>
      </c>
      <c r="G499" s="65" t="s">
        <v>3650</v>
      </c>
      <c r="J499" s="65" t="s">
        <v>3650</v>
      </c>
      <c r="K499" s="230" t="s">
        <v>3650</v>
      </c>
      <c r="L499" s="230" t="s">
        <v>3650</v>
      </c>
      <c r="T499" s="60"/>
    </row>
    <row r="500">
      <c r="D500" s="65" t="str">
        <f>IFERROR(__xludf.DUMMYFUNCTION("""COMPUTED_VALUE"""),"")</f>
        <v/>
      </c>
      <c r="E500" s="65" t="s">
        <v>3650</v>
      </c>
      <c r="G500" s="65" t="s">
        <v>3650</v>
      </c>
      <c r="J500" s="65" t="s">
        <v>3650</v>
      </c>
      <c r="K500" s="230" t="s">
        <v>3650</v>
      </c>
      <c r="L500" s="230" t="s">
        <v>3650</v>
      </c>
      <c r="T500" s="60"/>
    </row>
    <row r="501">
      <c r="D501" s="65" t="str">
        <f>IFERROR(__xludf.DUMMYFUNCTION("""COMPUTED_VALUE"""),"")</f>
        <v/>
      </c>
      <c r="E501" s="65" t="s">
        <v>3650</v>
      </c>
      <c r="G501" s="65" t="s">
        <v>3650</v>
      </c>
      <c r="J501" s="65" t="s">
        <v>3650</v>
      </c>
      <c r="K501" s="230" t="s">
        <v>3650</v>
      </c>
      <c r="L501" s="230" t="s">
        <v>3650</v>
      </c>
      <c r="T501" s="60"/>
    </row>
    <row r="502">
      <c r="D502" s="65" t="str">
        <f>IFERROR(__xludf.DUMMYFUNCTION("""COMPUTED_VALUE"""),"")</f>
        <v/>
      </c>
      <c r="E502" s="65" t="s">
        <v>3650</v>
      </c>
      <c r="G502" s="65" t="s">
        <v>3650</v>
      </c>
      <c r="J502" s="65" t="s">
        <v>3650</v>
      </c>
      <c r="K502" s="230" t="s">
        <v>3650</v>
      </c>
      <c r="L502" s="230" t="s">
        <v>3650</v>
      </c>
      <c r="T502" s="60"/>
    </row>
    <row r="503">
      <c r="D503" s="65" t="str">
        <f>IFERROR(__xludf.DUMMYFUNCTION("""COMPUTED_VALUE"""),"")</f>
        <v/>
      </c>
      <c r="E503" s="65" t="s">
        <v>3650</v>
      </c>
      <c r="G503" s="65" t="s">
        <v>3650</v>
      </c>
      <c r="J503" s="65" t="s">
        <v>3650</v>
      </c>
      <c r="K503" s="230" t="s">
        <v>3650</v>
      </c>
      <c r="L503" s="230" t="s">
        <v>3650</v>
      </c>
      <c r="T503" s="60"/>
    </row>
    <row r="504">
      <c r="D504" s="65" t="str">
        <f>IFERROR(__xludf.DUMMYFUNCTION("""COMPUTED_VALUE"""),"")</f>
        <v/>
      </c>
      <c r="E504" s="65" t="s">
        <v>3650</v>
      </c>
      <c r="G504" s="65" t="s">
        <v>3650</v>
      </c>
      <c r="J504" s="65" t="s">
        <v>3650</v>
      </c>
      <c r="K504" s="230" t="s">
        <v>3650</v>
      </c>
      <c r="L504" s="230" t="s">
        <v>3650</v>
      </c>
      <c r="T504" s="60"/>
    </row>
    <row r="505">
      <c r="D505" s="65" t="str">
        <f>IFERROR(__xludf.DUMMYFUNCTION("""COMPUTED_VALUE"""),"")</f>
        <v/>
      </c>
      <c r="E505" s="65" t="s">
        <v>3650</v>
      </c>
      <c r="G505" s="65" t="s">
        <v>3650</v>
      </c>
      <c r="J505" s="65" t="s">
        <v>3650</v>
      </c>
      <c r="K505" s="230" t="s">
        <v>3650</v>
      </c>
      <c r="L505" s="230" t="s">
        <v>3650</v>
      </c>
      <c r="T505" s="60"/>
    </row>
    <row r="506">
      <c r="D506" s="65" t="str">
        <f>IFERROR(__xludf.DUMMYFUNCTION("""COMPUTED_VALUE"""),"")</f>
        <v/>
      </c>
      <c r="E506" s="65" t="s">
        <v>3650</v>
      </c>
      <c r="G506" s="65" t="s">
        <v>3650</v>
      </c>
      <c r="J506" s="65" t="s">
        <v>3650</v>
      </c>
      <c r="K506" s="230" t="s">
        <v>3650</v>
      </c>
      <c r="L506" s="230" t="s">
        <v>3650</v>
      </c>
      <c r="T506" s="60"/>
    </row>
    <row r="507">
      <c r="D507" s="65" t="str">
        <f>IFERROR(__xludf.DUMMYFUNCTION("""COMPUTED_VALUE"""),"")</f>
        <v/>
      </c>
      <c r="E507" s="65" t="s">
        <v>3650</v>
      </c>
      <c r="G507" s="65" t="s">
        <v>3650</v>
      </c>
      <c r="J507" s="65" t="s">
        <v>3650</v>
      </c>
      <c r="K507" s="230" t="s">
        <v>3650</v>
      </c>
      <c r="L507" s="230" t="s">
        <v>3650</v>
      </c>
      <c r="T507" s="60"/>
    </row>
    <row r="508">
      <c r="D508" s="65" t="str">
        <f>IFERROR(__xludf.DUMMYFUNCTION("""COMPUTED_VALUE"""),"")</f>
        <v/>
      </c>
      <c r="E508" s="65" t="s">
        <v>3650</v>
      </c>
      <c r="G508" s="65" t="s">
        <v>3650</v>
      </c>
      <c r="J508" s="65" t="s">
        <v>3650</v>
      </c>
      <c r="K508" s="230" t="s">
        <v>3650</v>
      </c>
      <c r="L508" s="230" t="s">
        <v>3650</v>
      </c>
      <c r="T508" s="60"/>
    </row>
    <row r="509">
      <c r="D509" s="65" t="str">
        <f>IFERROR(__xludf.DUMMYFUNCTION("""COMPUTED_VALUE"""),"")</f>
        <v/>
      </c>
      <c r="E509" s="65" t="s">
        <v>3650</v>
      </c>
      <c r="G509" s="65" t="s">
        <v>3650</v>
      </c>
      <c r="J509" s="65" t="s">
        <v>3650</v>
      </c>
      <c r="K509" s="230" t="s">
        <v>3650</v>
      </c>
      <c r="L509" s="230" t="s">
        <v>3650</v>
      </c>
      <c r="T509" s="60"/>
    </row>
    <row r="510">
      <c r="D510" s="65" t="str">
        <f>IFERROR(__xludf.DUMMYFUNCTION("""COMPUTED_VALUE"""),"")</f>
        <v/>
      </c>
      <c r="E510" s="65" t="s">
        <v>3650</v>
      </c>
      <c r="G510" s="65" t="s">
        <v>3650</v>
      </c>
      <c r="J510" s="65" t="s">
        <v>3650</v>
      </c>
      <c r="K510" s="230" t="s">
        <v>3650</v>
      </c>
      <c r="L510" s="230" t="s">
        <v>3650</v>
      </c>
      <c r="T510" s="60"/>
    </row>
    <row r="511">
      <c r="D511" s="65" t="str">
        <f>IFERROR(__xludf.DUMMYFUNCTION("""COMPUTED_VALUE"""),"")</f>
        <v/>
      </c>
      <c r="E511" s="65" t="s">
        <v>3650</v>
      </c>
      <c r="G511" s="65" t="s">
        <v>3650</v>
      </c>
      <c r="J511" s="65" t="s">
        <v>3650</v>
      </c>
      <c r="K511" s="230" t="s">
        <v>3650</v>
      </c>
      <c r="L511" s="230" t="s">
        <v>3650</v>
      </c>
      <c r="T511" s="60"/>
    </row>
    <row r="512">
      <c r="D512" s="65" t="str">
        <f>IFERROR(__xludf.DUMMYFUNCTION("""COMPUTED_VALUE"""),"")</f>
        <v/>
      </c>
      <c r="E512" s="65" t="s">
        <v>3650</v>
      </c>
      <c r="G512" s="65" t="s">
        <v>3650</v>
      </c>
      <c r="J512" s="65" t="s">
        <v>3650</v>
      </c>
      <c r="K512" s="230" t="s">
        <v>3650</v>
      </c>
      <c r="L512" s="230" t="s">
        <v>3650</v>
      </c>
      <c r="T512" s="60"/>
    </row>
    <row r="513">
      <c r="D513" s="65" t="str">
        <f>IFERROR(__xludf.DUMMYFUNCTION("""COMPUTED_VALUE"""),"")</f>
        <v/>
      </c>
      <c r="E513" s="65" t="s">
        <v>3650</v>
      </c>
      <c r="G513" s="65" t="s">
        <v>3650</v>
      </c>
      <c r="J513" s="65" t="s">
        <v>3650</v>
      </c>
      <c r="K513" s="230" t="s">
        <v>3650</v>
      </c>
      <c r="L513" s="230" t="s">
        <v>3650</v>
      </c>
      <c r="T513" s="60"/>
    </row>
    <row r="514">
      <c r="D514" s="65" t="str">
        <f>IFERROR(__xludf.DUMMYFUNCTION("""COMPUTED_VALUE"""),"")</f>
        <v/>
      </c>
      <c r="E514" s="65" t="s">
        <v>3650</v>
      </c>
      <c r="G514" s="65" t="s">
        <v>3650</v>
      </c>
      <c r="J514" s="65" t="s">
        <v>3650</v>
      </c>
      <c r="K514" s="230" t="s">
        <v>3650</v>
      </c>
      <c r="L514" s="230" t="s">
        <v>3650</v>
      </c>
      <c r="T514" s="60"/>
    </row>
    <row r="515">
      <c r="D515" s="65" t="str">
        <f>IFERROR(__xludf.DUMMYFUNCTION("""COMPUTED_VALUE"""),"")</f>
        <v/>
      </c>
      <c r="E515" s="65" t="s">
        <v>3650</v>
      </c>
      <c r="G515" s="65" t="s">
        <v>3650</v>
      </c>
      <c r="J515" s="65" t="s">
        <v>3650</v>
      </c>
      <c r="K515" s="230" t="s">
        <v>3650</v>
      </c>
      <c r="L515" s="230" t="s">
        <v>3650</v>
      </c>
      <c r="T515" s="60"/>
    </row>
    <row r="516">
      <c r="D516" s="65" t="str">
        <f>IFERROR(__xludf.DUMMYFUNCTION("""COMPUTED_VALUE"""),"")</f>
        <v/>
      </c>
      <c r="E516" s="65" t="s">
        <v>3650</v>
      </c>
      <c r="G516" s="65" t="s">
        <v>3650</v>
      </c>
      <c r="J516" s="65" t="s">
        <v>3650</v>
      </c>
      <c r="K516" s="230" t="s">
        <v>3650</v>
      </c>
      <c r="L516" s="230" t="s">
        <v>3650</v>
      </c>
      <c r="T516" s="60"/>
    </row>
    <row r="517">
      <c r="D517" s="65" t="str">
        <f>IFERROR(__xludf.DUMMYFUNCTION("""COMPUTED_VALUE"""),"")</f>
        <v/>
      </c>
      <c r="E517" s="65" t="s">
        <v>3650</v>
      </c>
      <c r="G517" s="65" t="s">
        <v>3650</v>
      </c>
      <c r="J517" s="65" t="s">
        <v>3650</v>
      </c>
      <c r="K517" s="230" t="s">
        <v>3650</v>
      </c>
      <c r="L517" s="230" t="s">
        <v>3650</v>
      </c>
      <c r="T517" s="60"/>
    </row>
    <row r="518">
      <c r="D518" s="65" t="str">
        <f>IFERROR(__xludf.DUMMYFUNCTION("""COMPUTED_VALUE"""),"")</f>
        <v/>
      </c>
      <c r="E518" s="65" t="s">
        <v>3650</v>
      </c>
      <c r="G518" s="65" t="s">
        <v>3650</v>
      </c>
      <c r="J518" s="65" t="s">
        <v>3650</v>
      </c>
      <c r="K518" s="230" t="s">
        <v>3650</v>
      </c>
      <c r="L518" s="230" t="s">
        <v>3650</v>
      </c>
      <c r="T518" s="60"/>
    </row>
    <row r="519">
      <c r="D519" s="65" t="str">
        <f>IFERROR(__xludf.DUMMYFUNCTION("""COMPUTED_VALUE"""),"")</f>
        <v/>
      </c>
      <c r="E519" s="65" t="s">
        <v>3650</v>
      </c>
      <c r="G519" s="65" t="s">
        <v>3650</v>
      </c>
      <c r="J519" s="65" t="s">
        <v>3650</v>
      </c>
      <c r="K519" s="230" t="s">
        <v>3650</v>
      </c>
      <c r="L519" s="230" t="s">
        <v>3650</v>
      </c>
      <c r="T519" s="60"/>
    </row>
    <row r="520">
      <c r="D520" s="65" t="str">
        <f>IFERROR(__xludf.DUMMYFUNCTION("""COMPUTED_VALUE"""),"")</f>
        <v/>
      </c>
      <c r="E520" s="65" t="s">
        <v>3650</v>
      </c>
      <c r="G520" s="65" t="s">
        <v>3650</v>
      </c>
      <c r="J520" s="65" t="s">
        <v>3650</v>
      </c>
      <c r="K520" s="230" t="s">
        <v>3650</v>
      </c>
      <c r="L520" s="230" t="s">
        <v>3650</v>
      </c>
      <c r="T520" s="60"/>
    </row>
    <row r="521">
      <c r="D521" s="65" t="str">
        <f>IFERROR(__xludf.DUMMYFUNCTION("""COMPUTED_VALUE"""),"")</f>
        <v/>
      </c>
      <c r="E521" s="65" t="s">
        <v>3650</v>
      </c>
      <c r="G521" s="65" t="s">
        <v>3650</v>
      </c>
      <c r="J521" s="65" t="s">
        <v>3650</v>
      </c>
      <c r="K521" s="230" t="s">
        <v>3650</v>
      </c>
      <c r="L521" s="230" t="s">
        <v>3650</v>
      </c>
      <c r="T521" s="60"/>
    </row>
    <row r="522">
      <c r="D522" s="65" t="str">
        <f>IFERROR(__xludf.DUMMYFUNCTION("""COMPUTED_VALUE"""),"")</f>
        <v/>
      </c>
      <c r="E522" s="65" t="s">
        <v>3650</v>
      </c>
      <c r="G522" s="65" t="s">
        <v>3650</v>
      </c>
      <c r="J522" s="65" t="s">
        <v>3650</v>
      </c>
      <c r="K522" s="230" t="s">
        <v>3650</v>
      </c>
      <c r="L522" s="230" t="s">
        <v>3650</v>
      </c>
      <c r="T522" s="60"/>
    </row>
    <row r="523">
      <c r="D523" s="65" t="str">
        <f>IFERROR(__xludf.DUMMYFUNCTION("""COMPUTED_VALUE"""),"")</f>
        <v/>
      </c>
      <c r="E523" s="65" t="s">
        <v>3650</v>
      </c>
      <c r="G523" s="65" t="s">
        <v>3650</v>
      </c>
      <c r="J523" s="65" t="s">
        <v>3650</v>
      </c>
      <c r="K523" s="230" t="s">
        <v>3650</v>
      </c>
      <c r="L523" s="230" t="s">
        <v>3650</v>
      </c>
      <c r="T523" s="60"/>
    </row>
    <row r="524">
      <c r="D524" s="65" t="str">
        <f>IFERROR(__xludf.DUMMYFUNCTION("""COMPUTED_VALUE"""),"")</f>
        <v/>
      </c>
      <c r="E524" s="65" t="s">
        <v>3650</v>
      </c>
      <c r="G524" s="65" t="s">
        <v>3650</v>
      </c>
      <c r="J524" s="65" t="s">
        <v>3650</v>
      </c>
      <c r="K524" s="230" t="s">
        <v>3650</v>
      </c>
      <c r="L524" s="230" t="s">
        <v>3650</v>
      </c>
      <c r="T524" s="60"/>
    </row>
    <row r="525">
      <c r="D525" s="65" t="str">
        <f>IFERROR(__xludf.DUMMYFUNCTION("""COMPUTED_VALUE"""),"")</f>
        <v/>
      </c>
      <c r="E525" s="65" t="s">
        <v>3650</v>
      </c>
      <c r="G525" s="65" t="s">
        <v>3650</v>
      </c>
      <c r="J525" s="65" t="s">
        <v>3650</v>
      </c>
      <c r="K525" s="230" t="s">
        <v>3650</v>
      </c>
      <c r="L525" s="230" t="s">
        <v>3650</v>
      </c>
      <c r="T525" s="60"/>
    </row>
    <row r="526">
      <c r="D526" s="65" t="str">
        <f>IFERROR(__xludf.DUMMYFUNCTION("""COMPUTED_VALUE"""),"")</f>
        <v/>
      </c>
      <c r="E526" s="65" t="s">
        <v>3650</v>
      </c>
      <c r="G526" s="65" t="s">
        <v>3650</v>
      </c>
      <c r="J526" s="65" t="s">
        <v>3650</v>
      </c>
      <c r="K526" s="230" t="s">
        <v>3650</v>
      </c>
      <c r="L526" s="230" t="s">
        <v>3650</v>
      </c>
      <c r="T526" s="60"/>
    </row>
    <row r="527">
      <c r="D527" s="65" t="str">
        <f>IFERROR(__xludf.DUMMYFUNCTION("""COMPUTED_VALUE"""),"")</f>
        <v/>
      </c>
      <c r="E527" s="65" t="s">
        <v>3650</v>
      </c>
      <c r="G527" s="65" t="s">
        <v>3650</v>
      </c>
      <c r="J527" s="65" t="s">
        <v>3650</v>
      </c>
      <c r="K527" s="230" t="s">
        <v>3650</v>
      </c>
      <c r="L527" s="230" t="s">
        <v>3650</v>
      </c>
      <c r="T527" s="60"/>
    </row>
    <row r="528">
      <c r="D528" s="65" t="str">
        <f>IFERROR(__xludf.DUMMYFUNCTION("""COMPUTED_VALUE"""),"")</f>
        <v/>
      </c>
      <c r="E528" s="65" t="s">
        <v>3650</v>
      </c>
      <c r="G528" s="65" t="s">
        <v>3650</v>
      </c>
      <c r="J528" s="65" t="s">
        <v>3650</v>
      </c>
      <c r="K528" s="230" t="s">
        <v>3650</v>
      </c>
      <c r="L528" s="230" t="s">
        <v>3650</v>
      </c>
      <c r="T528" s="60"/>
    </row>
    <row r="529">
      <c r="D529" s="65" t="str">
        <f>IFERROR(__xludf.DUMMYFUNCTION("""COMPUTED_VALUE"""),"")</f>
        <v/>
      </c>
      <c r="E529" s="65" t="s">
        <v>3650</v>
      </c>
      <c r="G529" s="65" t="s">
        <v>3650</v>
      </c>
      <c r="J529" s="65" t="s">
        <v>3650</v>
      </c>
      <c r="K529" s="230" t="s">
        <v>3650</v>
      </c>
      <c r="L529" s="230" t="s">
        <v>3650</v>
      </c>
      <c r="T529" s="60"/>
    </row>
    <row r="530">
      <c r="D530" s="65" t="str">
        <f>IFERROR(__xludf.DUMMYFUNCTION("""COMPUTED_VALUE"""),"")</f>
        <v/>
      </c>
      <c r="E530" s="65" t="s">
        <v>3650</v>
      </c>
      <c r="G530" s="65" t="s">
        <v>3650</v>
      </c>
      <c r="J530" s="65" t="s">
        <v>3650</v>
      </c>
      <c r="K530" s="230" t="s">
        <v>3650</v>
      </c>
      <c r="L530" s="230" t="s">
        <v>3650</v>
      </c>
      <c r="T530" s="60"/>
    </row>
    <row r="531">
      <c r="D531" s="65" t="str">
        <f>IFERROR(__xludf.DUMMYFUNCTION("""COMPUTED_VALUE"""),"")</f>
        <v/>
      </c>
      <c r="E531" s="65" t="s">
        <v>3650</v>
      </c>
      <c r="G531" s="65" t="s">
        <v>3650</v>
      </c>
      <c r="J531" s="65" t="s">
        <v>3650</v>
      </c>
      <c r="K531" s="230" t="s">
        <v>3650</v>
      </c>
      <c r="L531" s="230" t="s">
        <v>3650</v>
      </c>
      <c r="T531" s="60"/>
    </row>
    <row r="532">
      <c r="D532" s="65" t="str">
        <f>IFERROR(__xludf.DUMMYFUNCTION("""COMPUTED_VALUE"""),"")</f>
        <v/>
      </c>
      <c r="E532" s="65" t="s">
        <v>3650</v>
      </c>
      <c r="G532" s="65" t="s">
        <v>3650</v>
      </c>
      <c r="J532" s="65" t="s">
        <v>3650</v>
      </c>
      <c r="K532" s="230" t="s">
        <v>3650</v>
      </c>
      <c r="L532" s="230" t="s">
        <v>3650</v>
      </c>
      <c r="T532" s="60"/>
    </row>
    <row r="533">
      <c r="D533" s="65" t="str">
        <f>IFERROR(__xludf.DUMMYFUNCTION("""COMPUTED_VALUE"""),"")</f>
        <v/>
      </c>
      <c r="E533" s="65" t="s">
        <v>3650</v>
      </c>
      <c r="G533" s="65" t="s">
        <v>3650</v>
      </c>
      <c r="J533" s="65" t="s">
        <v>3650</v>
      </c>
      <c r="K533" s="230" t="s">
        <v>3650</v>
      </c>
      <c r="L533" s="230" t="s">
        <v>3650</v>
      </c>
      <c r="T533" s="60"/>
    </row>
    <row r="534">
      <c r="D534" s="65" t="str">
        <f>IFERROR(__xludf.DUMMYFUNCTION("""COMPUTED_VALUE"""),"")</f>
        <v/>
      </c>
      <c r="E534" s="65" t="s">
        <v>3650</v>
      </c>
      <c r="G534" s="65" t="s">
        <v>3650</v>
      </c>
      <c r="J534" s="65" t="s">
        <v>3650</v>
      </c>
      <c r="K534" s="230" t="s">
        <v>3650</v>
      </c>
      <c r="L534" s="230" t="s">
        <v>3650</v>
      </c>
      <c r="T534" s="60"/>
    </row>
    <row r="535">
      <c r="D535" s="65" t="str">
        <f>IFERROR(__xludf.DUMMYFUNCTION("""COMPUTED_VALUE"""),"")</f>
        <v/>
      </c>
      <c r="E535" s="65" t="s">
        <v>3650</v>
      </c>
      <c r="G535" s="65" t="s">
        <v>3650</v>
      </c>
      <c r="J535" s="65" t="s">
        <v>3650</v>
      </c>
      <c r="K535" s="230" t="s">
        <v>3650</v>
      </c>
      <c r="L535" s="230" t="s">
        <v>3650</v>
      </c>
      <c r="T535" s="60"/>
    </row>
    <row r="536">
      <c r="D536" s="65" t="str">
        <f>IFERROR(__xludf.DUMMYFUNCTION("""COMPUTED_VALUE"""),"")</f>
        <v/>
      </c>
      <c r="E536" s="65" t="s">
        <v>3650</v>
      </c>
      <c r="G536" s="65" t="s">
        <v>3650</v>
      </c>
      <c r="J536" s="65" t="s">
        <v>3650</v>
      </c>
      <c r="K536" s="230" t="s">
        <v>3650</v>
      </c>
      <c r="L536" s="230" t="s">
        <v>3650</v>
      </c>
      <c r="T536" s="60"/>
    </row>
    <row r="537">
      <c r="D537" s="65" t="str">
        <f>IFERROR(__xludf.DUMMYFUNCTION("""COMPUTED_VALUE"""),"")</f>
        <v/>
      </c>
      <c r="E537" s="65" t="s">
        <v>3650</v>
      </c>
      <c r="G537" s="65" t="s">
        <v>3650</v>
      </c>
      <c r="J537" s="65" t="s">
        <v>3650</v>
      </c>
      <c r="K537" s="230" t="s">
        <v>3650</v>
      </c>
      <c r="L537" s="230" t="s">
        <v>3650</v>
      </c>
      <c r="T537" s="60"/>
    </row>
    <row r="538">
      <c r="D538" s="65" t="str">
        <f>IFERROR(__xludf.DUMMYFUNCTION("""COMPUTED_VALUE"""),"")</f>
        <v/>
      </c>
      <c r="E538" s="65" t="s">
        <v>3650</v>
      </c>
      <c r="G538" s="65" t="s">
        <v>3650</v>
      </c>
      <c r="J538" s="65" t="s">
        <v>3650</v>
      </c>
      <c r="K538" s="230" t="s">
        <v>3650</v>
      </c>
      <c r="L538" s="230" t="s">
        <v>3650</v>
      </c>
      <c r="T538" s="60"/>
    </row>
    <row r="539">
      <c r="D539" s="65" t="str">
        <f>IFERROR(__xludf.DUMMYFUNCTION("""COMPUTED_VALUE"""),"")</f>
        <v/>
      </c>
      <c r="E539" s="65" t="s">
        <v>3650</v>
      </c>
      <c r="G539" s="65" t="s">
        <v>3650</v>
      </c>
      <c r="J539" s="65" t="s">
        <v>3650</v>
      </c>
      <c r="K539" s="230" t="s">
        <v>3650</v>
      </c>
      <c r="L539" s="230" t="s">
        <v>3650</v>
      </c>
      <c r="T539" s="60"/>
    </row>
    <row r="540">
      <c r="D540" s="65" t="str">
        <f>IFERROR(__xludf.DUMMYFUNCTION("""COMPUTED_VALUE"""),"")</f>
        <v/>
      </c>
      <c r="E540" s="65" t="s">
        <v>3650</v>
      </c>
      <c r="G540" s="65" t="s">
        <v>3650</v>
      </c>
      <c r="J540" s="65" t="s">
        <v>3650</v>
      </c>
      <c r="K540" s="230" t="s">
        <v>3650</v>
      </c>
      <c r="L540" s="230" t="s">
        <v>3650</v>
      </c>
      <c r="T540" s="60"/>
    </row>
    <row r="541">
      <c r="D541" s="65" t="str">
        <f>IFERROR(__xludf.DUMMYFUNCTION("""COMPUTED_VALUE"""),"")</f>
        <v/>
      </c>
      <c r="E541" s="65" t="s">
        <v>3650</v>
      </c>
      <c r="G541" s="65" t="s">
        <v>3650</v>
      </c>
      <c r="J541" s="65" t="s">
        <v>3650</v>
      </c>
      <c r="K541" s="230" t="s">
        <v>3650</v>
      </c>
      <c r="L541" s="230" t="s">
        <v>3650</v>
      </c>
      <c r="T541" s="60"/>
    </row>
    <row r="542">
      <c r="D542" s="65" t="str">
        <f>IFERROR(__xludf.DUMMYFUNCTION("""COMPUTED_VALUE"""),"")</f>
        <v/>
      </c>
      <c r="E542" s="65" t="s">
        <v>3650</v>
      </c>
      <c r="G542" s="65" t="s">
        <v>3650</v>
      </c>
      <c r="J542" s="65" t="s">
        <v>3650</v>
      </c>
      <c r="K542" s="230" t="s">
        <v>3650</v>
      </c>
      <c r="L542" s="230" t="s">
        <v>3650</v>
      </c>
      <c r="T542" s="60"/>
    </row>
    <row r="543">
      <c r="D543" s="65" t="str">
        <f>IFERROR(__xludf.DUMMYFUNCTION("""COMPUTED_VALUE"""),"")</f>
        <v/>
      </c>
      <c r="E543" s="65" t="s">
        <v>3650</v>
      </c>
      <c r="G543" s="65" t="s">
        <v>3650</v>
      </c>
      <c r="J543" s="65" t="s">
        <v>3650</v>
      </c>
      <c r="K543" s="230" t="s">
        <v>3650</v>
      </c>
      <c r="L543" s="230" t="s">
        <v>3650</v>
      </c>
      <c r="T543" s="60"/>
    </row>
    <row r="544">
      <c r="D544" s="65" t="str">
        <f>IFERROR(__xludf.DUMMYFUNCTION("""COMPUTED_VALUE"""),"")</f>
        <v/>
      </c>
      <c r="E544" s="65" t="s">
        <v>3650</v>
      </c>
      <c r="G544" s="65" t="s">
        <v>3650</v>
      </c>
      <c r="J544" s="65" t="s">
        <v>3650</v>
      </c>
      <c r="K544" s="230" t="s">
        <v>3650</v>
      </c>
      <c r="L544" s="230" t="s">
        <v>3650</v>
      </c>
      <c r="T544" s="60"/>
    </row>
    <row r="545">
      <c r="D545" s="65" t="str">
        <f>IFERROR(__xludf.DUMMYFUNCTION("""COMPUTED_VALUE"""),"")</f>
        <v/>
      </c>
      <c r="E545" s="65" t="s">
        <v>3650</v>
      </c>
      <c r="G545" s="65" t="s">
        <v>3650</v>
      </c>
      <c r="J545" s="65" t="s">
        <v>3650</v>
      </c>
      <c r="K545" s="230" t="s">
        <v>3650</v>
      </c>
      <c r="L545" s="230" t="s">
        <v>3650</v>
      </c>
      <c r="T545" s="60"/>
    </row>
    <row r="546">
      <c r="D546" s="65" t="str">
        <f>IFERROR(__xludf.DUMMYFUNCTION("""COMPUTED_VALUE"""),"")</f>
        <v/>
      </c>
      <c r="E546" s="65" t="s">
        <v>3650</v>
      </c>
      <c r="G546" s="65" t="s">
        <v>3650</v>
      </c>
      <c r="J546" s="65" t="s">
        <v>3650</v>
      </c>
      <c r="K546" s="230" t="s">
        <v>3650</v>
      </c>
      <c r="L546" s="230" t="s">
        <v>3650</v>
      </c>
      <c r="T546" s="60"/>
    </row>
    <row r="547">
      <c r="D547" s="65" t="str">
        <f>IFERROR(__xludf.DUMMYFUNCTION("""COMPUTED_VALUE"""),"")</f>
        <v/>
      </c>
      <c r="E547" s="65" t="s">
        <v>3650</v>
      </c>
      <c r="G547" s="65" t="s">
        <v>3650</v>
      </c>
      <c r="J547" s="65" t="s">
        <v>3650</v>
      </c>
      <c r="K547" s="230" t="s">
        <v>3650</v>
      </c>
      <c r="L547" s="230" t="s">
        <v>3650</v>
      </c>
      <c r="T547" s="60"/>
    </row>
    <row r="548">
      <c r="D548" s="65" t="str">
        <f>IFERROR(__xludf.DUMMYFUNCTION("""COMPUTED_VALUE"""),"")</f>
        <v/>
      </c>
      <c r="E548" s="65" t="s">
        <v>3650</v>
      </c>
      <c r="G548" s="65" t="s">
        <v>3650</v>
      </c>
      <c r="J548" s="65" t="s">
        <v>3650</v>
      </c>
      <c r="K548" s="230" t="s">
        <v>3650</v>
      </c>
      <c r="L548" s="230" t="s">
        <v>3650</v>
      </c>
      <c r="T548" s="60"/>
    </row>
    <row r="549">
      <c r="D549" s="65" t="str">
        <f>IFERROR(__xludf.DUMMYFUNCTION("""COMPUTED_VALUE"""),"")</f>
        <v/>
      </c>
      <c r="E549" s="65" t="s">
        <v>3650</v>
      </c>
      <c r="G549" s="65" t="s">
        <v>3650</v>
      </c>
      <c r="J549" s="65" t="s">
        <v>3650</v>
      </c>
      <c r="K549" s="230" t="s">
        <v>3650</v>
      </c>
      <c r="L549" s="230" t="s">
        <v>3650</v>
      </c>
      <c r="T549" s="60"/>
    </row>
    <row r="550">
      <c r="D550" s="65" t="str">
        <f>IFERROR(__xludf.DUMMYFUNCTION("""COMPUTED_VALUE"""),"")</f>
        <v/>
      </c>
      <c r="E550" s="65" t="s">
        <v>3650</v>
      </c>
      <c r="G550" s="65" t="s">
        <v>3650</v>
      </c>
      <c r="J550" s="65" t="s">
        <v>3650</v>
      </c>
      <c r="K550" s="230" t="s">
        <v>3650</v>
      </c>
      <c r="L550" s="230" t="s">
        <v>3650</v>
      </c>
      <c r="T550" s="60"/>
    </row>
    <row r="551">
      <c r="D551" s="65" t="str">
        <f>IFERROR(__xludf.DUMMYFUNCTION("""COMPUTED_VALUE"""),"")</f>
        <v/>
      </c>
      <c r="E551" s="65" t="s">
        <v>3650</v>
      </c>
      <c r="G551" s="65" t="s">
        <v>3650</v>
      </c>
      <c r="J551" s="65" t="s">
        <v>3650</v>
      </c>
      <c r="K551" s="230" t="s">
        <v>3650</v>
      </c>
      <c r="L551" s="230" t="s">
        <v>3650</v>
      </c>
      <c r="T551" s="60"/>
    </row>
    <row r="552">
      <c r="D552" s="65" t="str">
        <f>IFERROR(__xludf.DUMMYFUNCTION("""COMPUTED_VALUE"""),"")</f>
        <v/>
      </c>
      <c r="E552" s="65" t="s">
        <v>3650</v>
      </c>
      <c r="G552" s="65" t="s">
        <v>3650</v>
      </c>
      <c r="J552" s="65" t="s">
        <v>3650</v>
      </c>
      <c r="K552" s="230" t="s">
        <v>3650</v>
      </c>
      <c r="L552" s="230" t="s">
        <v>3650</v>
      </c>
      <c r="T552" s="60"/>
    </row>
    <row r="553">
      <c r="D553" s="65" t="str">
        <f>IFERROR(__xludf.DUMMYFUNCTION("""COMPUTED_VALUE"""),"")</f>
        <v/>
      </c>
      <c r="E553" s="65" t="s">
        <v>3650</v>
      </c>
      <c r="G553" s="65" t="s">
        <v>3650</v>
      </c>
      <c r="J553" s="65" t="s">
        <v>3650</v>
      </c>
      <c r="K553" s="230" t="s">
        <v>3650</v>
      </c>
      <c r="L553" s="230" t="s">
        <v>3650</v>
      </c>
      <c r="T553" s="60"/>
    </row>
    <row r="554">
      <c r="D554" s="65" t="str">
        <f>IFERROR(__xludf.DUMMYFUNCTION("""COMPUTED_VALUE"""),"")</f>
        <v/>
      </c>
      <c r="E554" s="65" t="s">
        <v>3650</v>
      </c>
      <c r="G554" s="65" t="s">
        <v>3650</v>
      </c>
      <c r="J554" s="65" t="s">
        <v>3650</v>
      </c>
      <c r="K554" s="230" t="s">
        <v>3650</v>
      </c>
      <c r="L554" s="230" t="s">
        <v>3650</v>
      </c>
      <c r="T554" s="60"/>
    </row>
    <row r="555">
      <c r="D555" s="65" t="str">
        <f>IFERROR(__xludf.DUMMYFUNCTION("""COMPUTED_VALUE"""),"")</f>
        <v/>
      </c>
      <c r="E555" s="65" t="s">
        <v>3650</v>
      </c>
      <c r="G555" s="65" t="s">
        <v>3650</v>
      </c>
      <c r="J555" s="65" t="s">
        <v>3650</v>
      </c>
      <c r="K555" s="230" t="s">
        <v>3650</v>
      </c>
      <c r="L555" s="230" t="s">
        <v>3650</v>
      </c>
      <c r="T555" s="60"/>
    </row>
    <row r="556">
      <c r="D556" s="65" t="str">
        <f>IFERROR(__xludf.DUMMYFUNCTION("""COMPUTED_VALUE"""),"")</f>
        <v/>
      </c>
      <c r="E556" s="65" t="s">
        <v>3650</v>
      </c>
      <c r="G556" s="65" t="s">
        <v>3650</v>
      </c>
      <c r="J556" s="65" t="s">
        <v>3650</v>
      </c>
      <c r="K556" s="230" t="s">
        <v>3650</v>
      </c>
      <c r="L556" s="230" t="s">
        <v>3650</v>
      </c>
      <c r="T556" s="60"/>
    </row>
    <row r="557">
      <c r="D557" s="65" t="str">
        <f>IFERROR(__xludf.DUMMYFUNCTION("""COMPUTED_VALUE"""),"")</f>
        <v/>
      </c>
      <c r="E557" s="65" t="s">
        <v>3650</v>
      </c>
      <c r="G557" s="65" t="s">
        <v>3650</v>
      </c>
      <c r="J557" s="65" t="s">
        <v>3650</v>
      </c>
      <c r="K557" s="230" t="s">
        <v>3650</v>
      </c>
      <c r="L557" s="230" t="s">
        <v>3650</v>
      </c>
      <c r="T557" s="60"/>
    </row>
    <row r="558">
      <c r="D558" s="65" t="str">
        <f>IFERROR(__xludf.DUMMYFUNCTION("""COMPUTED_VALUE"""),"")</f>
        <v/>
      </c>
      <c r="E558" s="65" t="s">
        <v>3650</v>
      </c>
      <c r="G558" s="65" t="s">
        <v>3650</v>
      </c>
      <c r="J558" s="65" t="s">
        <v>3650</v>
      </c>
      <c r="K558" s="230" t="s">
        <v>3650</v>
      </c>
      <c r="L558" s="230" t="s">
        <v>3650</v>
      </c>
      <c r="T558" s="60"/>
    </row>
    <row r="559">
      <c r="D559" s="65" t="str">
        <f>IFERROR(__xludf.DUMMYFUNCTION("""COMPUTED_VALUE"""),"")</f>
        <v/>
      </c>
      <c r="E559" s="65" t="s">
        <v>3650</v>
      </c>
      <c r="G559" s="65" t="s">
        <v>3650</v>
      </c>
      <c r="J559" s="65" t="s">
        <v>3650</v>
      </c>
      <c r="K559" s="230" t="s">
        <v>3650</v>
      </c>
      <c r="L559" s="230" t="s">
        <v>3650</v>
      </c>
      <c r="T559" s="60"/>
    </row>
    <row r="560">
      <c r="D560" s="65" t="str">
        <f>IFERROR(__xludf.DUMMYFUNCTION("""COMPUTED_VALUE"""),"")</f>
        <v/>
      </c>
      <c r="E560" s="65" t="s">
        <v>3650</v>
      </c>
      <c r="G560" s="65" t="s">
        <v>3650</v>
      </c>
      <c r="J560" s="65" t="s">
        <v>3650</v>
      </c>
      <c r="K560" s="230" t="s">
        <v>3650</v>
      </c>
      <c r="L560" s="230" t="s">
        <v>3650</v>
      </c>
      <c r="T560" s="60"/>
    </row>
    <row r="561">
      <c r="D561" s="65" t="str">
        <f>IFERROR(__xludf.DUMMYFUNCTION("""COMPUTED_VALUE"""),"")</f>
        <v/>
      </c>
      <c r="E561" s="65" t="s">
        <v>3650</v>
      </c>
      <c r="G561" s="65" t="s">
        <v>3650</v>
      </c>
      <c r="J561" s="65" t="s">
        <v>3650</v>
      </c>
      <c r="K561" s="230" t="s">
        <v>3650</v>
      </c>
      <c r="L561" s="230" t="s">
        <v>3650</v>
      </c>
      <c r="T561" s="60"/>
    </row>
    <row r="562">
      <c r="D562" s="65" t="str">
        <f>IFERROR(__xludf.DUMMYFUNCTION("""COMPUTED_VALUE"""),"")</f>
        <v/>
      </c>
      <c r="E562" s="65" t="s">
        <v>3650</v>
      </c>
      <c r="G562" s="65" t="s">
        <v>3650</v>
      </c>
      <c r="J562" s="65" t="s">
        <v>3650</v>
      </c>
      <c r="K562" s="230" t="s">
        <v>3650</v>
      </c>
      <c r="L562" s="230" t="s">
        <v>3650</v>
      </c>
      <c r="T562" s="60"/>
    </row>
    <row r="563">
      <c r="D563" s="65" t="str">
        <f>IFERROR(__xludf.DUMMYFUNCTION("""COMPUTED_VALUE"""),"")</f>
        <v/>
      </c>
      <c r="E563" s="65" t="s">
        <v>3650</v>
      </c>
      <c r="G563" s="65" t="s">
        <v>3650</v>
      </c>
      <c r="J563" s="65" t="s">
        <v>3650</v>
      </c>
      <c r="K563" s="230" t="s">
        <v>3650</v>
      </c>
      <c r="L563" s="230" t="s">
        <v>3650</v>
      </c>
      <c r="T563" s="60"/>
    </row>
    <row r="564">
      <c r="D564" s="65" t="str">
        <f>IFERROR(__xludf.DUMMYFUNCTION("""COMPUTED_VALUE"""),"")</f>
        <v/>
      </c>
      <c r="E564" s="65" t="s">
        <v>3650</v>
      </c>
      <c r="G564" s="65" t="s">
        <v>3650</v>
      </c>
      <c r="J564" s="65" t="s">
        <v>3650</v>
      </c>
      <c r="K564" s="230" t="s">
        <v>3650</v>
      </c>
      <c r="L564" s="230" t="s">
        <v>3650</v>
      </c>
      <c r="T564" s="60"/>
    </row>
    <row r="565">
      <c r="D565" s="65" t="str">
        <f>IFERROR(__xludf.DUMMYFUNCTION("""COMPUTED_VALUE"""),"")</f>
        <v/>
      </c>
      <c r="E565" s="65" t="s">
        <v>3650</v>
      </c>
      <c r="G565" s="65" t="s">
        <v>3650</v>
      </c>
      <c r="J565" s="65" t="s">
        <v>3650</v>
      </c>
      <c r="K565" s="230" t="s">
        <v>3650</v>
      </c>
      <c r="L565" s="230" t="s">
        <v>3650</v>
      </c>
      <c r="T565" s="60"/>
    </row>
    <row r="566">
      <c r="D566" s="65" t="str">
        <f>IFERROR(__xludf.DUMMYFUNCTION("""COMPUTED_VALUE"""),"")</f>
        <v/>
      </c>
      <c r="E566" s="65" t="s">
        <v>3650</v>
      </c>
      <c r="G566" s="65" t="s">
        <v>3650</v>
      </c>
      <c r="J566" s="65" t="s">
        <v>3650</v>
      </c>
      <c r="K566" s="230" t="s">
        <v>3650</v>
      </c>
      <c r="L566" s="230" t="s">
        <v>3650</v>
      </c>
      <c r="T566" s="60"/>
    </row>
    <row r="567">
      <c r="D567" s="65" t="str">
        <f>IFERROR(__xludf.DUMMYFUNCTION("""COMPUTED_VALUE"""),"")</f>
        <v/>
      </c>
      <c r="E567" s="65" t="s">
        <v>3650</v>
      </c>
      <c r="G567" s="65" t="s">
        <v>3650</v>
      </c>
      <c r="J567" s="65" t="s">
        <v>3650</v>
      </c>
      <c r="K567" s="230" t="s">
        <v>3650</v>
      </c>
      <c r="L567" s="230" t="s">
        <v>3650</v>
      </c>
      <c r="T567" s="60"/>
    </row>
    <row r="568">
      <c r="D568" s="65" t="str">
        <f>IFERROR(__xludf.DUMMYFUNCTION("""COMPUTED_VALUE"""),"")</f>
        <v/>
      </c>
      <c r="E568" s="65" t="s">
        <v>3650</v>
      </c>
      <c r="G568" s="65" t="s">
        <v>3650</v>
      </c>
      <c r="J568" s="65" t="s">
        <v>3650</v>
      </c>
      <c r="K568" s="230" t="s">
        <v>3650</v>
      </c>
      <c r="L568" s="230" t="s">
        <v>3650</v>
      </c>
      <c r="T568" s="60"/>
    </row>
    <row r="569">
      <c r="D569" s="65" t="str">
        <f>IFERROR(__xludf.DUMMYFUNCTION("""COMPUTED_VALUE"""),"")</f>
        <v/>
      </c>
      <c r="E569" s="65" t="s">
        <v>3650</v>
      </c>
      <c r="G569" s="65" t="s">
        <v>3650</v>
      </c>
      <c r="J569" s="65" t="s">
        <v>3650</v>
      </c>
      <c r="K569" s="230" t="s">
        <v>3650</v>
      </c>
      <c r="L569" s="230" t="s">
        <v>3650</v>
      </c>
      <c r="T569" s="60"/>
    </row>
    <row r="570">
      <c r="D570" s="65" t="str">
        <f>IFERROR(__xludf.DUMMYFUNCTION("""COMPUTED_VALUE"""),"")</f>
        <v/>
      </c>
      <c r="E570" s="65" t="s">
        <v>3650</v>
      </c>
      <c r="G570" s="65" t="s">
        <v>3650</v>
      </c>
      <c r="J570" s="65" t="s">
        <v>3650</v>
      </c>
      <c r="K570" s="230" t="s">
        <v>3650</v>
      </c>
      <c r="L570" s="230" t="s">
        <v>3650</v>
      </c>
      <c r="T570" s="60"/>
    </row>
    <row r="571">
      <c r="D571" s="65" t="str">
        <f>IFERROR(__xludf.DUMMYFUNCTION("""COMPUTED_VALUE"""),"")</f>
        <v/>
      </c>
      <c r="E571" s="65" t="s">
        <v>3650</v>
      </c>
      <c r="G571" s="65" t="s">
        <v>3650</v>
      </c>
      <c r="J571" s="65" t="s">
        <v>3650</v>
      </c>
      <c r="K571" s="230" t="s">
        <v>3650</v>
      </c>
      <c r="L571" s="230" t="s">
        <v>3650</v>
      </c>
      <c r="T571" s="60"/>
    </row>
    <row r="572">
      <c r="D572" s="65" t="str">
        <f>IFERROR(__xludf.DUMMYFUNCTION("""COMPUTED_VALUE"""),"")</f>
        <v/>
      </c>
      <c r="E572" s="65" t="s">
        <v>3650</v>
      </c>
      <c r="G572" s="65" t="s">
        <v>3650</v>
      </c>
      <c r="J572" s="65" t="s">
        <v>3650</v>
      </c>
      <c r="K572" s="230" t="s">
        <v>3650</v>
      </c>
      <c r="L572" s="230" t="s">
        <v>3650</v>
      </c>
      <c r="T572" s="60"/>
    </row>
    <row r="573">
      <c r="D573" s="65" t="str">
        <f>IFERROR(__xludf.DUMMYFUNCTION("""COMPUTED_VALUE"""),"")</f>
        <v/>
      </c>
      <c r="E573" s="65" t="s">
        <v>3650</v>
      </c>
      <c r="G573" s="65" t="s">
        <v>3650</v>
      </c>
      <c r="J573" s="65" t="s">
        <v>3650</v>
      </c>
      <c r="K573" s="230" t="s">
        <v>3650</v>
      </c>
      <c r="L573" s="230" t="s">
        <v>3650</v>
      </c>
      <c r="T573" s="60"/>
    </row>
    <row r="574">
      <c r="D574" s="65" t="str">
        <f>IFERROR(__xludf.DUMMYFUNCTION("""COMPUTED_VALUE"""),"")</f>
        <v/>
      </c>
      <c r="E574" s="65" t="s">
        <v>3650</v>
      </c>
      <c r="G574" s="65" t="s">
        <v>3650</v>
      </c>
      <c r="J574" s="65" t="s">
        <v>3650</v>
      </c>
      <c r="K574" s="230" t="s">
        <v>3650</v>
      </c>
      <c r="L574" s="230" t="s">
        <v>3650</v>
      </c>
      <c r="T574" s="60"/>
    </row>
    <row r="575">
      <c r="D575" s="65" t="str">
        <f>IFERROR(__xludf.DUMMYFUNCTION("""COMPUTED_VALUE"""),"")</f>
        <v/>
      </c>
      <c r="E575" s="65" t="s">
        <v>3650</v>
      </c>
      <c r="G575" s="65" t="s">
        <v>3650</v>
      </c>
      <c r="J575" s="65" t="s">
        <v>3650</v>
      </c>
      <c r="K575" s="230" t="s">
        <v>3650</v>
      </c>
      <c r="L575" s="230" t="s">
        <v>3650</v>
      </c>
      <c r="T575" s="60"/>
    </row>
    <row r="576">
      <c r="D576" s="65" t="str">
        <f>IFERROR(__xludf.DUMMYFUNCTION("""COMPUTED_VALUE"""),"")</f>
        <v/>
      </c>
      <c r="E576" s="65" t="s">
        <v>3650</v>
      </c>
      <c r="G576" s="65" t="s">
        <v>3650</v>
      </c>
      <c r="J576" s="65" t="s">
        <v>3650</v>
      </c>
      <c r="K576" s="230" t="s">
        <v>3650</v>
      </c>
      <c r="L576" s="230" t="s">
        <v>3650</v>
      </c>
      <c r="T576" s="60"/>
    </row>
    <row r="577">
      <c r="D577" s="65" t="str">
        <f>IFERROR(__xludf.DUMMYFUNCTION("""COMPUTED_VALUE"""),"")</f>
        <v/>
      </c>
      <c r="E577" s="65" t="s">
        <v>3650</v>
      </c>
      <c r="G577" s="65" t="s">
        <v>3650</v>
      </c>
      <c r="J577" s="65" t="s">
        <v>3650</v>
      </c>
      <c r="K577" s="230" t="s">
        <v>3650</v>
      </c>
      <c r="L577" s="230" t="s">
        <v>3650</v>
      </c>
      <c r="T577" s="60"/>
    </row>
    <row r="578">
      <c r="D578" s="65" t="str">
        <f>IFERROR(__xludf.DUMMYFUNCTION("""COMPUTED_VALUE"""),"")</f>
        <v/>
      </c>
      <c r="E578" s="65" t="s">
        <v>3650</v>
      </c>
      <c r="G578" s="65" t="s">
        <v>3650</v>
      </c>
      <c r="J578" s="65" t="s">
        <v>3650</v>
      </c>
      <c r="K578" s="230" t="s">
        <v>3650</v>
      </c>
      <c r="L578" s="230" t="s">
        <v>3650</v>
      </c>
      <c r="T578" s="60"/>
    </row>
    <row r="579">
      <c r="D579" s="65" t="str">
        <f>IFERROR(__xludf.DUMMYFUNCTION("""COMPUTED_VALUE"""),"")</f>
        <v/>
      </c>
      <c r="E579" s="65" t="s">
        <v>3650</v>
      </c>
      <c r="G579" s="65" t="s">
        <v>3650</v>
      </c>
      <c r="J579" s="65" t="s">
        <v>3650</v>
      </c>
      <c r="K579" s="230" t="s">
        <v>3650</v>
      </c>
      <c r="L579" s="230" t="s">
        <v>3650</v>
      </c>
      <c r="T579" s="60"/>
    </row>
    <row r="580">
      <c r="D580" s="65" t="str">
        <f>IFERROR(__xludf.DUMMYFUNCTION("""COMPUTED_VALUE"""),"")</f>
        <v/>
      </c>
      <c r="E580" s="65" t="s">
        <v>3650</v>
      </c>
      <c r="G580" s="65" t="s">
        <v>3650</v>
      </c>
      <c r="J580" s="65" t="s">
        <v>3650</v>
      </c>
      <c r="K580" s="230" t="s">
        <v>3650</v>
      </c>
      <c r="L580" s="230" t="s">
        <v>3650</v>
      </c>
      <c r="T580" s="60"/>
    </row>
    <row r="581">
      <c r="D581" s="65" t="str">
        <f>IFERROR(__xludf.DUMMYFUNCTION("""COMPUTED_VALUE"""),"")</f>
        <v/>
      </c>
      <c r="E581" s="65" t="s">
        <v>3650</v>
      </c>
      <c r="G581" s="65" t="s">
        <v>3650</v>
      </c>
      <c r="J581" s="65" t="s">
        <v>3650</v>
      </c>
      <c r="K581" s="230" t="s">
        <v>3650</v>
      </c>
      <c r="L581" s="230" t="s">
        <v>3650</v>
      </c>
      <c r="T581" s="60"/>
    </row>
    <row r="582">
      <c r="D582" s="65" t="str">
        <f>IFERROR(__xludf.DUMMYFUNCTION("""COMPUTED_VALUE"""),"")</f>
        <v/>
      </c>
      <c r="E582" s="65" t="s">
        <v>3650</v>
      </c>
      <c r="G582" s="65" t="s">
        <v>3650</v>
      </c>
      <c r="J582" s="65" t="s">
        <v>3650</v>
      </c>
      <c r="K582" s="230" t="s">
        <v>3650</v>
      </c>
      <c r="L582" s="230" t="s">
        <v>3650</v>
      </c>
      <c r="T582" s="60"/>
    </row>
    <row r="583">
      <c r="D583" s="65" t="str">
        <f>IFERROR(__xludf.DUMMYFUNCTION("""COMPUTED_VALUE"""),"")</f>
        <v/>
      </c>
      <c r="E583" s="65" t="s">
        <v>3650</v>
      </c>
      <c r="G583" s="65" t="s">
        <v>3650</v>
      </c>
      <c r="J583" s="65" t="s">
        <v>3650</v>
      </c>
      <c r="K583" s="230" t="s">
        <v>3650</v>
      </c>
      <c r="L583" s="230" t="s">
        <v>3650</v>
      </c>
      <c r="T583" s="60"/>
    </row>
    <row r="584">
      <c r="D584" s="65" t="str">
        <f>IFERROR(__xludf.DUMMYFUNCTION("""COMPUTED_VALUE"""),"")</f>
        <v/>
      </c>
      <c r="E584" s="65" t="s">
        <v>3650</v>
      </c>
      <c r="G584" s="65" t="s">
        <v>3650</v>
      </c>
      <c r="J584" s="65" t="s">
        <v>3650</v>
      </c>
      <c r="K584" s="230" t="s">
        <v>3650</v>
      </c>
      <c r="L584" s="230" t="s">
        <v>3650</v>
      </c>
      <c r="T584" s="60"/>
    </row>
    <row r="585">
      <c r="D585" s="65" t="str">
        <f>IFERROR(__xludf.DUMMYFUNCTION("""COMPUTED_VALUE"""),"")</f>
        <v/>
      </c>
      <c r="E585" s="65" t="s">
        <v>3650</v>
      </c>
      <c r="G585" s="65" t="s">
        <v>3650</v>
      </c>
      <c r="J585" s="65" t="s">
        <v>3650</v>
      </c>
      <c r="K585" s="230" t="s">
        <v>3650</v>
      </c>
      <c r="L585" s="230" t="s">
        <v>3650</v>
      </c>
      <c r="T585" s="60"/>
    </row>
    <row r="586">
      <c r="D586" s="65" t="str">
        <f>IFERROR(__xludf.DUMMYFUNCTION("""COMPUTED_VALUE"""),"")</f>
        <v/>
      </c>
      <c r="E586" s="65" t="s">
        <v>3650</v>
      </c>
      <c r="G586" s="65" t="s">
        <v>3650</v>
      </c>
      <c r="J586" s="65" t="s">
        <v>3650</v>
      </c>
      <c r="K586" s="230" t="s">
        <v>3650</v>
      </c>
      <c r="L586" s="230" t="s">
        <v>3650</v>
      </c>
      <c r="T586" s="60"/>
    </row>
    <row r="587">
      <c r="D587" s="65" t="str">
        <f>IFERROR(__xludf.DUMMYFUNCTION("""COMPUTED_VALUE"""),"")</f>
        <v/>
      </c>
      <c r="E587" s="65" t="s">
        <v>3650</v>
      </c>
      <c r="G587" s="65" t="s">
        <v>3650</v>
      </c>
      <c r="J587" s="65" t="s">
        <v>3650</v>
      </c>
      <c r="K587" s="230" t="s">
        <v>3650</v>
      </c>
      <c r="L587" s="230" t="s">
        <v>3650</v>
      </c>
      <c r="T587" s="60"/>
    </row>
    <row r="588">
      <c r="D588" s="65" t="str">
        <f>IFERROR(__xludf.DUMMYFUNCTION("""COMPUTED_VALUE"""),"")</f>
        <v/>
      </c>
      <c r="E588" s="65" t="s">
        <v>3650</v>
      </c>
      <c r="G588" s="65" t="s">
        <v>3650</v>
      </c>
      <c r="J588" s="65" t="s">
        <v>3650</v>
      </c>
      <c r="K588" s="230" t="s">
        <v>3650</v>
      </c>
      <c r="L588" s="230" t="s">
        <v>3650</v>
      </c>
      <c r="T588" s="60"/>
    </row>
    <row r="589">
      <c r="D589" s="65" t="str">
        <f>IFERROR(__xludf.DUMMYFUNCTION("""COMPUTED_VALUE"""),"")</f>
        <v/>
      </c>
      <c r="E589" s="65" t="s">
        <v>3650</v>
      </c>
      <c r="G589" s="65" t="s">
        <v>3650</v>
      </c>
      <c r="J589" s="65" t="s">
        <v>3650</v>
      </c>
      <c r="K589" s="230" t="s">
        <v>3650</v>
      </c>
      <c r="L589" s="230" t="s">
        <v>3650</v>
      </c>
      <c r="T589" s="60"/>
    </row>
    <row r="590">
      <c r="D590" s="65" t="str">
        <f>IFERROR(__xludf.DUMMYFUNCTION("""COMPUTED_VALUE"""),"")</f>
        <v/>
      </c>
      <c r="E590" s="65" t="s">
        <v>3650</v>
      </c>
      <c r="G590" s="65" t="s">
        <v>3650</v>
      </c>
      <c r="J590" s="65" t="s">
        <v>3650</v>
      </c>
      <c r="K590" s="230" t="s">
        <v>3650</v>
      </c>
      <c r="L590" s="230" t="s">
        <v>3650</v>
      </c>
      <c r="T590" s="60"/>
    </row>
    <row r="591">
      <c r="D591" s="65" t="str">
        <f>IFERROR(__xludf.DUMMYFUNCTION("""COMPUTED_VALUE"""),"")</f>
        <v/>
      </c>
      <c r="E591" s="65" t="s">
        <v>3650</v>
      </c>
      <c r="G591" s="65" t="s">
        <v>3650</v>
      </c>
      <c r="J591" s="65" t="s">
        <v>3650</v>
      </c>
      <c r="K591" s="230" t="s">
        <v>3650</v>
      </c>
      <c r="L591" s="230" t="s">
        <v>3650</v>
      </c>
      <c r="T591" s="60"/>
    </row>
    <row r="592">
      <c r="D592" s="65" t="str">
        <f>IFERROR(__xludf.DUMMYFUNCTION("""COMPUTED_VALUE"""),"")</f>
        <v/>
      </c>
      <c r="E592" s="65" t="s">
        <v>3650</v>
      </c>
      <c r="G592" s="65" t="s">
        <v>3650</v>
      </c>
      <c r="J592" s="65" t="s">
        <v>3650</v>
      </c>
      <c r="K592" s="230" t="s">
        <v>3650</v>
      </c>
      <c r="L592" s="230" t="s">
        <v>3650</v>
      </c>
      <c r="T592" s="60"/>
    </row>
    <row r="593">
      <c r="D593" s="65" t="str">
        <f>IFERROR(__xludf.DUMMYFUNCTION("""COMPUTED_VALUE"""),"")</f>
        <v/>
      </c>
      <c r="E593" s="65" t="s">
        <v>3650</v>
      </c>
      <c r="G593" s="65" t="s">
        <v>3650</v>
      </c>
      <c r="J593" s="65" t="s">
        <v>3650</v>
      </c>
      <c r="K593" s="230" t="s">
        <v>3650</v>
      </c>
      <c r="L593" s="230" t="s">
        <v>3650</v>
      </c>
      <c r="T593" s="60"/>
    </row>
    <row r="594">
      <c r="D594" s="65" t="str">
        <f>IFERROR(__xludf.DUMMYFUNCTION("""COMPUTED_VALUE"""),"")</f>
        <v/>
      </c>
      <c r="E594" s="65" t="s">
        <v>3650</v>
      </c>
      <c r="G594" s="65" t="s">
        <v>3650</v>
      </c>
      <c r="J594" s="65" t="s">
        <v>3650</v>
      </c>
      <c r="K594" s="230" t="s">
        <v>3650</v>
      </c>
      <c r="L594" s="230" t="s">
        <v>3650</v>
      </c>
      <c r="T594" s="60"/>
    </row>
    <row r="595">
      <c r="D595" s="65" t="str">
        <f>IFERROR(__xludf.DUMMYFUNCTION("""COMPUTED_VALUE"""),"")</f>
        <v/>
      </c>
      <c r="E595" s="65" t="s">
        <v>3650</v>
      </c>
      <c r="G595" s="65" t="s">
        <v>3650</v>
      </c>
      <c r="J595" s="65" t="s">
        <v>3650</v>
      </c>
      <c r="K595" s="230" t="s">
        <v>3650</v>
      </c>
      <c r="L595" s="230" t="s">
        <v>3650</v>
      </c>
      <c r="T595" s="60"/>
    </row>
    <row r="596">
      <c r="D596" s="65" t="str">
        <f>IFERROR(__xludf.DUMMYFUNCTION("""COMPUTED_VALUE"""),"")</f>
        <v/>
      </c>
      <c r="E596" s="65" t="s">
        <v>3650</v>
      </c>
      <c r="G596" s="65" t="s">
        <v>3650</v>
      </c>
      <c r="J596" s="65" t="s">
        <v>3650</v>
      </c>
      <c r="K596" s="230" t="s">
        <v>3650</v>
      </c>
      <c r="L596" s="230" t="s">
        <v>3650</v>
      </c>
      <c r="T596" s="60"/>
    </row>
    <row r="597">
      <c r="D597" s="65" t="str">
        <f>IFERROR(__xludf.DUMMYFUNCTION("""COMPUTED_VALUE"""),"")</f>
        <v/>
      </c>
      <c r="E597" s="65" t="s">
        <v>3650</v>
      </c>
      <c r="G597" s="65" t="s">
        <v>3650</v>
      </c>
      <c r="J597" s="65" t="s">
        <v>3650</v>
      </c>
      <c r="K597" s="230" t="s">
        <v>3650</v>
      </c>
      <c r="L597" s="230" t="s">
        <v>3650</v>
      </c>
      <c r="T597" s="60"/>
    </row>
    <row r="598">
      <c r="D598" s="65" t="str">
        <f>IFERROR(__xludf.DUMMYFUNCTION("""COMPUTED_VALUE"""),"")</f>
        <v/>
      </c>
      <c r="E598" s="65" t="s">
        <v>3650</v>
      </c>
      <c r="G598" s="65" t="s">
        <v>3650</v>
      </c>
      <c r="J598" s="65" t="s">
        <v>3650</v>
      </c>
      <c r="K598" s="230" t="s">
        <v>3650</v>
      </c>
      <c r="L598" s="230" t="s">
        <v>3650</v>
      </c>
      <c r="T598" s="60"/>
    </row>
    <row r="599">
      <c r="D599" s="65" t="str">
        <f>IFERROR(__xludf.DUMMYFUNCTION("""COMPUTED_VALUE"""),"")</f>
        <v/>
      </c>
      <c r="E599" s="65" t="s">
        <v>3650</v>
      </c>
      <c r="G599" s="65" t="s">
        <v>3650</v>
      </c>
      <c r="J599" s="65" t="s">
        <v>3650</v>
      </c>
      <c r="K599" s="230" t="s">
        <v>3650</v>
      </c>
      <c r="L599" s="230" t="s">
        <v>3650</v>
      </c>
      <c r="T599" s="60"/>
    </row>
    <row r="600">
      <c r="D600" s="65" t="str">
        <f>IFERROR(__xludf.DUMMYFUNCTION("""COMPUTED_VALUE"""),"")</f>
        <v/>
      </c>
      <c r="E600" s="65" t="s">
        <v>3650</v>
      </c>
      <c r="G600" s="65" t="s">
        <v>3650</v>
      </c>
      <c r="J600" s="65" t="s">
        <v>3650</v>
      </c>
      <c r="K600" s="230" t="s">
        <v>3650</v>
      </c>
      <c r="L600" s="230" t="s">
        <v>3650</v>
      </c>
      <c r="T600" s="60"/>
    </row>
    <row r="601">
      <c r="D601" s="65" t="str">
        <f>IFERROR(__xludf.DUMMYFUNCTION("""COMPUTED_VALUE"""),"")</f>
        <v/>
      </c>
      <c r="E601" s="65" t="s">
        <v>3650</v>
      </c>
      <c r="G601" s="65" t="s">
        <v>3650</v>
      </c>
      <c r="J601" s="65" t="s">
        <v>3650</v>
      </c>
      <c r="K601" s="230" t="s">
        <v>3650</v>
      </c>
      <c r="L601" s="230" t="s">
        <v>3650</v>
      </c>
      <c r="T601" s="60"/>
    </row>
    <row r="602">
      <c r="D602" s="65" t="str">
        <f>IFERROR(__xludf.DUMMYFUNCTION("""COMPUTED_VALUE"""),"")</f>
        <v/>
      </c>
      <c r="E602" s="65" t="s">
        <v>3650</v>
      </c>
      <c r="G602" s="65" t="s">
        <v>3650</v>
      </c>
      <c r="J602" s="65" t="s">
        <v>3650</v>
      </c>
      <c r="K602" s="230" t="s">
        <v>3650</v>
      </c>
      <c r="L602" s="230" t="s">
        <v>3650</v>
      </c>
      <c r="T602" s="60"/>
    </row>
    <row r="603">
      <c r="D603" s="65" t="str">
        <f>IFERROR(__xludf.DUMMYFUNCTION("""COMPUTED_VALUE"""),"")</f>
        <v/>
      </c>
      <c r="E603" s="65" t="s">
        <v>3650</v>
      </c>
      <c r="G603" s="65" t="s">
        <v>3650</v>
      </c>
      <c r="J603" s="65" t="s">
        <v>3650</v>
      </c>
      <c r="K603" s="230" t="s">
        <v>3650</v>
      </c>
      <c r="L603" s="230" t="s">
        <v>3650</v>
      </c>
      <c r="T603" s="60"/>
    </row>
    <row r="604">
      <c r="D604" s="65" t="str">
        <f>IFERROR(__xludf.DUMMYFUNCTION("""COMPUTED_VALUE"""),"")</f>
        <v/>
      </c>
      <c r="E604" s="65" t="s">
        <v>3650</v>
      </c>
      <c r="G604" s="65" t="s">
        <v>3650</v>
      </c>
      <c r="J604" s="65" t="s">
        <v>3650</v>
      </c>
      <c r="K604" s="230" t="s">
        <v>3650</v>
      </c>
      <c r="L604" s="230" t="s">
        <v>3650</v>
      </c>
      <c r="T604" s="60"/>
    </row>
    <row r="605">
      <c r="D605" s="65" t="str">
        <f>IFERROR(__xludf.DUMMYFUNCTION("""COMPUTED_VALUE"""),"")</f>
        <v/>
      </c>
      <c r="E605" s="65" t="s">
        <v>3650</v>
      </c>
      <c r="G605" s="65" t="s">
        <v>3650</v>
      </c>
      <c r="J605" s="65" t="s">
        <v>3650</v>
      </c>
      <c r="K605" s="230" t="s">
        <v>3650</v>
      </c>
      <c r="L605" s="230" t="s">
        <v>3650</v>
      </c>
      <c r="T605" s="60"/>
    </row>
    <row r="606">
      <c r="D606" s="65" t="str">
        <f>IFERROR(__xludf.DUMMYFUNCTION("""COMPUTED_VALUE"""),"")</f>
        <v/>
      </c>
      <c r="E606" s="65" t="s">
        <v>3650</v>
      </c>
      <c r="G606" s="65" t="s">
        <v>3650</v>
      </c>
      <c r="J606" s="65" t="s">
        <v>3650</v>
      </c>
      <c r="K606" s="230" t="s">
        <v>3650</v>
      </c>
      <c r="L606" s="230" t="s">
        <v>3650</v>
      </c>
      <c r="T606" s="60"/>
    </row>
    <row r="607">
      <c r="D607" s="65" t="str">
        <f>IFERROR(__xludf.DUMMYFUNCTION("""COMPUTED_VALUE"""),"")</f>
        <v/>
      </c>
      <c r="E607" s="65" t="s">
        <v>3650</v>
      </c>
      <c r="G607" s="65" t="s">
        <v>3650</v>
      </c>
      <c r="J607" s="65" t="s">
        <v>3650</v>
      </c>
      <c r="K607" s="230" t="s">
        <v>3650</v>
      </c>
      <c r="L607" s="230" t="s">
        <v>3650</v>
      </c>
      <c r="T607" s="60"/>
    </row>
    <row r="608">
      <c r="D608" s="65" t="str">
        <f>IFERROR(__xludf.DUMMYFUNCTION("""COMPUTED_VALUE"""),"")</f>
        <v/>
      </c>
      <c r="E608" s="65" t="s">
        <v>3650</v>
      </c>
      <c r="G608" s="65" t="s">
        <v>3650</v>
      </c>
      <c r="J608" s="65" t="s">
        <v>3650</v>
      </c>
      <c r="K608" s="230" t="s">
        <v>3650</v>
      </c>
      <c r="L608" s="230" t="s">
        <v>3650</v>
      </c>
      <c r="T608" s="60"/>
    </row>
    <row r="609">
      <c r="D609" s="65" t="str">
        <f>IFERROR(__xludf.DUMMYFUNCTION("""COMPUTED_VALUE"""),"")</f>
        <v/>
      </c>
      <c r="E609" s="65" t="s">
        <v>3650</v>
      </c>
      <c r="G609" s="65" t="s">
        <v>3650</v>
      </c>
      <c r="J609" s="65" t="s">
        <v>3650</v>
      </c>
      <c r="K609" s="230" t="s">
        <v>3650</v>
      </c>
      <c r="L609" s="230" t="s">
        <v>3650</v>
      </c>
      <c r="T609" s="60"/>
    </row>
    <row r="610">
      <c r="D610" s="65" t="str">
        <f>IFERROR(__xludf.DUMMYFUNCTION("""COMPUTED_VALUE"""),"")</f>
        <v/>
      </c>
      <c r="E610" s="65" t="s">
        <v>3650</v>
      </c>
      <c r="G610" s="65" t="s">
        <v>3650</v>
      </c>
      <c r="J610" s="65" t="s">
        <v>3650</v>
      </c>
      <c r="K610" s="230" t="s">
        <v>3650</v>
      </c>
      <c r="L610" s="230" t="s">
        <v>3650</v>
      </c>
      <c r="T610" s="60"/>
    </row>
    <row r="611">
      <c r="D611" s="65" t="str">
        <f>IFERROR(__xludf.DUMMYFUNCTION("""COMPUTED_VALUE"""),"")</f>
        <v/>
      </c>
      <c r="E611" s="65" t="s">
        <v>3650</v>
      </c>
      <c r="G611" s="65" t="s">
        <v>3650</v>
      </c>
      <c r="J611" s="65" t="s">
        <v>3650</v>
      </c>
      <c r="K611" s="230" t="s">
        <v>3650</v>
      </c>
      <c r="L611" s="230" t="s">
        <v>3650</v>
      </c>
      <c r="T611" s="60"/>
    </row>
    <row r="612">
      <c r="D612" s="65" t="str">
        <f>IFERROR(__xludf.DUMMYFUNCTION("""COMPUTED_VALUE"""),"")</f>
        <v/>
      </c>
      <c r="E612" s="65" t="s">
        <v>3650</v>
      </c>
      <c r="G612" s="65" t="s">
        <v>3650</v>
      </c>
      <c r="J612" s="65" t="s">
        <v>3650</v>
      </c>
      <c r="K612" s="230" t="s">
        <v>3650</v>
      </c>
      <c r="L612" s="230" t="s">
        <v>3650</v>
      </c>
      <c r="T612" s="60"/>
    </row>
    <row r="613">
      <c r="D613" s="65" t="str">
        <f>IFERROR(__xludf.DUMMYFUNCTION("""COMPUTED_VALUE"""),"")</f>
        <v/>
      </c>
      <c r="E613" s="65" t="s">
        <v>3650</v>
      </c>
      <c r="G613" s="65" t="s">
        <v>3650</v>
      </c>
      <c r="J613" s="65" t="s">
        <v>3650</v>
      </c>
      <c r="K613" s="230" t="s">
        <v>3650</v>
      </c>
      <c r="L613" s="230" t="s">
        <v>3650</v>
      </c>
      <c r="T613" s="60"/>
    </row>
    <row r="614">
      <c r="D614" s="65" t="str">
        <f>IFERROR(__xludf.DUMMYFUNCTION("""COMPUTED_VALUE"""),"")</f>
        <v/>
      </c>
      <c r="E614" s="65" t="s">
        <v>3650</v>
      </c>
      <c r="G614" s="65" t="s">
        <v>3650</v>
      </c>
      <c r="J614" s="65" t="s">
        <v>3650</v>
      </c>
      <c r="K614" s="230" t="s">
        <v>3650</v>
      </c>
      <c r="L614" s="230" t="s">
        <v>3650</v>
      </c>
      <c r="T614" s="60"/>
    </row>
    <row r="615">
      <c r="D615" s="65" t="str">
        <f>IFERROR(__xludf.DUMMYFUNCTION("""COMPUTED_VALUE"""),"")</f>
        <v/>
      </c>
      <c r="E615" s="65" t="s">
        <v>3650</v>
      </c>
      <c r="G615" s="65" t="s">
        <v>3650</v>
      </c>
      <c r="J615" s="65" t="s">
        <v>3650</v>
      </c>
      <c r="K615" s="230" t="s">
        <v>3650</v>
      </c>
      <c r="L615" s="230" t="s">
        <v>3650</v>
      </c>
      <c r="T615" s="60"/>
    </row>
    <row r="616">
      <c r="D616" s="65" t="str">
        <f>IFERROR(__xludf.DUMMYFUNCTION("""COMPUTED_VALUE"""),"")</f>
        <v/>
      </c>
      <c r="E616" s="65" t="s">
        <v>3650</v>
      </c>
      <c r="G616" s="65" t="s">
        <v>3650</v>
      </c>
      <c r="J616" s="65" t="s">
        <v>3650</v>
      </c>
      <c r="K616" s="230" t="s">
        <v>3650</v>
      </c>
      <c r="L616" s="230" t="s">
        <v>3650</v>
      </c>
      <c r="T616" s="60"/>
    </row>
    <row r="617">
      <c r="D617" s="65" t="str">
        <f>IFERROR(__xludf.DUMMYFUNCTION("""COMPUTED_VALUE"""),"")</f>
        <v/>
      </c>
      <c r="E617" s="65" t="s">
        <v>3650</v>
      </c>
      <c r="G617" s="65" t="s">
        <v>3650</v>
      </c>
      <c r="J617" s="65" t="s">
        <v>3650</v>
      </c>
      <c r="K617" s="230" t="s">
        <v>3650</v>
      </c>
      <c r="L617" s="230" t="s">
        <v>3650</v>
      </c>
      <c r="T617" s="60"/>
    </row>
    <row r="618">
      <c r="D618" s="65" t="str">
        <f>IFERROR(__xludf.DUMMYFUNCTION("""COMPUTED_VALUE"""),"")</f>
        <v/>
      </c>
      <c r="E618" s="65" t="s">
        <v>3650</v>
      </c>
      <c r="G618" s="65" t="s">
        <v>3650</v>
      </c>
      <c r="J618" s="65" t="s">
        <v>3650</v>
      </c>
      <c r="K618" s="230" t="s">
        <v>3650</v>
      </c>
      <c r="L618" s="230" t="s">
        <v>3650</v>
      </c>
      <c r="T618" s="60"/>
    </row>
    <row r="619">
      <c r="D619" s="65" t="str">
        <f>IFERROR(__xludf.DUMMYFUNCTION("""COMPUTED_VALUE"""),"")</f>
        <v/>
      </c>
      <c r="E619" s="65" t="s">
        <v>3650</v>
      </c>
      <c r="G619" s="65" t="s">
        <v>3650</v>
      </c>
      <c r="J619" s="65" t="s">
        <v>3650</v>
      </c>
      <c r="K619" s="230" t="s">
        <v>3650</v>
      </c>
      <c r="L619" s="230" t="s">
        <v>3650</v>
      </c>
      <c r="T619" s="60"/>
    </row>
    <row r="620">
      <c r="D620" s="65" t="str">
        <f>IFERROR(__xludf.DUMMYFUNCTION("""COMPUTED_VALUE"""),"")</f>
        <v/>
      </c>
      <c r="E620" s="65" t="s">
        <v>3650</v>
      </c>
      <c r="G620" s="65" t="s">
        <v>3650</v>
      </c>
      <c r="J620" s="65" t="s">
        <v>3650</v>
      </c>
      <c r="K620" s="230" t="s">
        <v>3650</v>
      </c>
      <c r="L620" s="230" t="s">
        <v>3650</v>
      </c>
      <c r="T620" s="60"/>
    </row>
    <row r="621">
      <c r="D621" s="65" t="str">
        <f>IFERROR(__xludf.DUMMYFUNCTION("""COMPUTED_VALUE"""),"")</f>
        <v/>
      </c>
      <c r="E621" s="65" t="s">
        <v>3650</v>
      </c>
      <c r="G621" s="65" t="s">
        <v>3650</v>
      </c>
      <c r="J621" s="65" t="s">
        <v>3650</v>
      </c>
      <c r="K621" s="230" t="s">
        <v>3650</v>
      </c>
      <c r="L621" s="230" t="s">
        <v>3650</v>
      </c>
      <c r="T621" s="60"/>
    </row>
    <row r="622">
      <c r="D622" s="65" t="str">
        <f>IFERROR(__xludf.DUMMYFUNCTION("""COMPUTED_VALUE"""),"")</f>
        <v/>
      </c>
      <c r="E622" s="65" t="s">
        <v>3650</v>
      </c>
      <c r="G622" s="65" t="s">
        <v>3650</v>
      </c>
      <c r="J622" s="65" t="s">
        <v>3650</v>
      </c>
      <c r="K622" s="230" t="s">
        <v>3650</v>
      </c>
      <c r="L622" s="230" t="s">
        <v>3650</v>
      </c>
      <c r="T622" s="60"/>
    </row>
    <row r="623">
      <c r="D623" s="65" t="str">
        <f>IFERROR(__xludf.DUMMYFUNCTION("""COMPUTED_VALUE"""),"")</f>
        <v/>
      </c>
      <c r="E623" s="65" t="s">
        <v>3650</v>
      </c>
      <c r="G623" s="65" t="s">
        <v>3650</v>
      </c>
      <c r="J623" s="65" t="s">
        <v>3650</v>
      </c>
      <c r="K623" s="230" t="s">
        <v>3650</v>
      </c>
      <c r="L623" s="230" t="s">
        <v>3650</v>
      </c>
      <c r="T623" s="60"/>
    </row>
    <row r="624">
      <c r="D624" s="65" t="str">
        <f>IFERROR(__xludf.DUMMYFUNCTION("""COMPUTED_VALUE"""),"")</f>
        <v/>
      </c>
      <c r="E624" s="65" t="s">
        <v>3650</v>
      </c>
      <c r="G624" s="65" t="s">
        <v>3650</v>
      </c>
      <c r="J624" s="65" t="s">
        <v>3650</v>
      </c>
      <c r="K624" s="230" t="s">
        <v>3650</v>
      </c>
      <c r="L624" s="230" t="s">
        <v>3650</v>
      </c>
      <c r="T624" s="60"/>
    </row>
    <row r="625">
      <c r="D625" s="65" t="str">
        <f>IFERROR(__xludf.DUMMYFUNCTION("""COMPUTED_VALUE"""),"")</f>
        <v/>
      </c>
      <c r="E625" s="65" t="s">
        <v>3650</v>
      </c>
      <c r="G625" s="65" t="s">
        <v>3650</v>
      </c>
      <c r="J625" s="65" t="s">
        <v>3650</v>
      </c>
      <c r="K625" s="230" t="s">
        <v>3650</v>
      </c>
      <c r="L625" s="230" t="s">
        <v>3650</v>
      </c>
      <c r="T625" s="60"/>
    </row>
    <row r="626">
      <c r="D626" s="65" t="str">
        <f>IFERROR(__xludf.DUMMYFUNCTION("""COMPUTED_VALUE"""),"")</f>
        <v/>
      </c>
      <c r="E626" s="65" t="s">
        <v>3650</v>
      </c>
      <c r="G626" s="65" t="s">
        <v>3650</v>
      </c>
      <c r="J626" s="65" t="s">
        <v>3650</v>
      </c>
      <c r="K626" s="230" t="s">
        <v>3650</v>
      </c>
      <c r="L626" s="230" t="s">
        <v>3650</v>
      </c>
      <c r="T626" s="60"/>
    </row>
    <row r="627">
      <c r="D627" s="65" t="str">
        <f>IFERROR(__xludf.DUMMYFUNCTION("""COMPUTED_VALUE"""),"")</f>
        <v/>
      </c>
      <c r="E627" s="65" t="s">
        <v>3650</v>
      </c>
      <c r="G627" s="65" t="s">
        <v>3650</v>
      </c>
      <c r="J627" s="65" t="s">
        <v>3650</v>
      </c>
      <c r="K627" s="230" t="s">
        <v>3650</v>
      </c>
      <c r="L627" s="230" t="s">
        <v>3650</v>
      </c>
      <c r="T627" s="60"/>
    </row>
    <row r="628">
      <c r="D628" s="65" t="str">
        <f>IFERROR(__xludf.DUMMYFUNCTION("""COMPUTED_VALUE"""),"")</f>
        <v/>
      </c>
      <c r="E628" s="65" t="s">
        <v>3650</v>
      </c>
      <c r="G628" s="65" t="s">
        <v>3650</v>
      </c>
      <c r="J628" s="65" t="s">
        <v>3650</v>
      </c>
      <c r="K628" s="230" t="s">
        <v>3650</v>
      </c>
      <c r="L628" s="230" t="s">
        <v>3650</v>
      </c>
      <c r="T628" s="60"/>
    </row>
    <row r="629">
      <c r="D629" s="65" t="str">
        <f>IFERROR(__xludf.DUMMYFUNCTION("""COMPUTED_VALUE"""),"")</f>
        <v/>
      </c>
      <c r="E629" s="65" t="s">
        <v>3650</v>
      </c>
      <c r="G629" s="65" t="s">
        <v>3650</v>
      </c>
      <c r="J629" s="65" t="s">
        <v>3650</v>
      </c>
      <c r="K629" s="230" t="s">
        <v>3650</v>
      </c>
      <c r="L629" s="230" t="s">
        <v>3650</v>
      </c>
      <c r="T629" s="60"/>
    </row>
    <row r="630">
      <c r="D630" s="65" t="str">
        <f>IFERROR(__xludf.DUMMYFUNCTION("""COMPUTED_VALUE"""),"")</f>
        <v/>
      </c>
      <c r="E630" s="65" t="s">
        <v>3650</v>
      </c>
      <c r="G630" s="65" t="s">
        <v>3650</v>
      </c>
      <c r="J630" s="65" t="s">
        <v>3650</v>
      </c>
      <c r="K630" s="230" t="s">
        <v>3650</v>
      </c>
      <c r="L630" s="230" t="s">
        <v>3650</v>
      </c>
      <c r="T630" s="60"/>
    </row>
    <row r="631">
      <c r="D631" s="65" t="str">
        <f>IFERROR(__xludf.DUMMYFUNCTION("""COMPUTED_VALUE"""),"")</f>
        <v/>
      </c>
      <c r="E631" s="65" t="s">
        <v>3650</v>
      </c>
      <c r="G631" s="65" t="s">
        <v>3650</v>
      </c>
      <c r="J631" s="65" t="s">
        <v>3650</v>
      </c>
      <c r="K631" s="230" t="s">
        <v>3650</v>
      </c>
      <c r="L631" s="230" t="s">
        <v>3650</v>
      </c>
      <c r="T631" s="60"/>
    </row>
    <row r="632">
      <c r="D632" s="65" t="str">
        <f>IFERROR(__xludf.DUMMYFUNCTION("""COMPUTED_VALUE"""),"")</f>
        <v/>
      </c>
      <c r="E632" s="65" t="s">
        <v>3650</v>
      </c>
      <c r="G632" s="65" t="s">
        <v>3650</v>
      </c>
      <c r="J632" s="65" t="s">
        <v>3650</v>
      </c>
      <c r="K632" s="230" t="s">
        <v>3650</v>
      </c>
      <c r="L632" s="230" t="s">
        <v>3650</v>
      </c>
      <c r="T632" s="60"/>
    </row>
    <row r="633">
      <c r="D633" s="65" t="str">
        <f>IFERROR(__xludf.DUMMYFUNCTION("""COMPUTED_VALUE"""),"")</f>
        <v/>
      </c>
      <c r="E633" s="65" t="s">
        <v>3650</v>
      </c>
      <c r="G633" s="65" t="s">
        <v>3650</v>
      </c>
      <c r="J633" s="65" t="s">
        <v>3650</v>
      </c>
      <c r="K633" s="230" t="s">
        <v>3650</v>
      </c>
      <c r="L633" s="230" t="s">
        <v>3650</v>
      </c>
      <c r="T633" s="60"/>
    </row>
    <row r="634">
      <c r="D634" s="65" t="str">
        <f>IFERROR(__xludf.DUMMYFUNCTION("""COMPUTED_VALUE"""),"")</f>
        <v/>
      </c>
      <c r="E634" s="65" t="s">
        <v>3650</v>
      </c>
      <c r="G634" s="65" t="s">
        <v>3650</v>
      </c>
      <c r="J634" s="65" t="s">
        <v>3650</v>
      </c>
      <c r="K634" s="230" t="s">
        <v>3650</v>
      </c>
      <c r="L634" s="230" t="s">
        <v>3650</v>
      </c>
      <c r="T634" s="60"/>
    </row>
    <row r="635">
      <c r="D635" s="65" t="str">
        <f>IFERROR(__xludf.DUMMYFUNCTION("""COMPUTED_VALUE"""),"")</f>
        <v/>
      </c>
      <c r="E635" s="65" t="s">
        <v>3650</v>
      </c>
      <c r="G635" s="65" t="s">
        <v>3650</v>
      </c>
      <c r="J635" s="65" t="s">
        <v>3650</v>
      </c>
      <c r="K635" s="230" t="s">
        <v>3650</v>
      </c>
      <c r="L635" s="230" t="s">
        <v>3650</v>
      </c>
      <c r="T635" s="60"/>
    </row>
    <row r="636">
      <c r="D636" s="65" t="str">
        <f>IFERROR(__xludf.DUMMYFUNCTION("""COMPUTED_VALUE"""),"")</f>
        <v/>
      </c>
      <c r="E636" s="65" t="s">
        <v>3650</v>
      </c>
      <c r="G636" s="65" t="s">
        <v>3650</v>
      </c>
      <c r="J636" s="65" t="s">
        <v>3650</v>
      </c>
      <c r="K636" s="230" t="s">
        <v>3650</v>
      </c>
      <c r="L636" s="230" t="s">
        <v>3650</v>
      </c>
      <c r="T636" s="60"/>
    </row>
    <row r="637">
      <c r="D637" s="65" t="str">
        <f>IFERROR(__xludf.DUMMYFUNCTION("""COMPUTED_VALUE"""),"")</f>
        <v/>
      </c>
      <c r="E637" s="65" t="s">
        <v>3650</v>
      </c>
      <c r="G637" s="65" t="s">
        <v>3650</v>
      </c>
      <c r="J637" s="65" t="s">
        <v>3650</v>
      </c>
      <c r="K637" s="230" t="s">
        <v>3650</v>
      </c>
      <c r="L637" s="230" t="s">
        <v>3650</v>
      </c>
      <c r="T637" s="60"/>
    </row>
    <row r="638">
      <c r="D638" s="65" t="str">
        <f>IFERROR(__xludf.DUMMYFUNCTION("""COMPUTED_VALUE"""),"")</f>
        <v/>
      </c>
      <c r="E638" s="65" t="s">
        <v>3650</v>
      </c>
      <c r="G638" s="65" t="s">
        <v>3650</v>
      </c>
      <c r="J638" s="65" t="s">
        <v>3650</v>
      </c>
      <c r="K638" s="230" t="s">
        <v>3650</v>
      </c>
      <c r="L638" s="230" t="s">
        <v>3650</v>
      </c>
      <c r="T638" s="60"/>
    </row>
    <row r="639">
      <c r="D639" s="65" t="str">
        <f>IFERROR(__xludf.DUMMYFUNCTION("""COMPUTED_VALUE"""),"")</f>
        <v/>
      </c>
      <c r="E639" s="65" t="s">
        <v>3650</v>
      </c>
      <c r="G639" s="65" t="s">
        <v>3650</v>
      </c>
      <c r="J639" s="65" t="s">
        <v>3650</v>
      </c>
      <c r="K639" s="230" t="s">
        <v>3650</v>
      </c>
      <c r="L639" s="230" t="s">
        <v>3650</v>
      </c>
      <c r="T639" s="60"/>
    </row>
    <row r="640">
      <c r="D640" s="65" t="str">
        <f>IFERROR(__xludf.DUMMYFUNCTION("""COMPUTED_VALUE"""),"")</f>
        <v/>
      </c>
      <c r="E640" s="65" t="s">
        <v>3650</v>
      </c>
      <c r="G640" s="65" t="s">
        <v>3650</v>
      </c>
      <c r="J640" s="65" t="s">
        <v>3650</v>
      </c>
      <c r="K640" s="230" t="s">
        <v>3650</v>
      </c>
      <c r="L640" s="230" t="s">
        <v>3650</v>
      </c>
      <c r="T640" s="60"/>
    </row>
    <row r="641">
      <c r="D641" s="65" t="str">
        <f>IFERROR(__xludf.DUMMYFUNCTION("""COMPUTED_VALUE"""),"")</f>
        <v/>
      </c>
      <c r="E641" s="65" t="s">
        <v>3650</v>
      </c>
      <c r="G641" s="65" t="s">
        <v>3650</v>
      </c>
      <c r="J641" s="65" t="s">
        <v>3650</v>
      </c>
      <c r="K641" s="230" t="s">
        <v>3650</v>
      </c>
      <c r="L641" s="230" t="s">
        <v>3650</v>
      </c>
      <c r="T641" s="60"/>
    </row>
    <row r="642">
      <c r="D642" s="65" t="str">
        <f>IFERROR(__xludf.DUMMYFUNCTION("""COMPUTED_VALUE"""),"")</f>
        <v/>
      </c>
      <c r="E642" s="65" t="s">
        <v>3650</v>
      </c>
      <c r="G642" s="65" t="s">
        <v>3650</v>
      </c>
      <c r="J642" s="65" t="s">
        <v>3650</v>
      </c>
      <c r="K642" s="230" t="s">
        <v>3650</v>
      </c>
      <c r="L642" s="230" t="s">
        <v>3650</v>
      </c>
      <c r="T642" s="60"/>
    </row>
    <row r="643">
      <c r="D643" s="65" t="str">
        <f>IFERROR(__xludf.DUMMYFUNCTION("""COMPUTED_VALUE"""),"")</f>
        <v/>
      </c>
      <c r="E643" s="65" t="s">
        <v>3650</v>
      </c>
      <c r="G643" s="65" t="s">
        <v>3650</v>
      </c>
      <c r="J643" s="65" t="s">
        <v>3650</v>
      </c>
      <c r="K643" s="230" t="s">
        <v>3650</v>
      </c>
      <c r="L643" s="230" t="s">
        <v>3650</v>
      </c>
      <c r="T643" s="60"/>
    </row>
    <row r="644">
      <c r="D644" s="65" t="str">
        <f>IFERROR(__xludf.DUMMYFUNCTION("""COMPUTED_VALUE"""),"")</f>
        <v/>
      </c>
      <c r="E644" s="65" t="s">
        <v>3650</v>
      </c>
      <c r="G644" s="65" t="s">
        <v>3650</v>
      </c>
      <c r="J644" s="65" t="s">
        <v>3650</v>
      </c>
      <c r="K644" s="230" t="s">
        <v>3650</v>
      </c>
      <c r="L644" s="230" t="s">
        <v>3650</v>
      </c>
      <c r="T644" s="60"/>
    </row>
    <row r="645">
      <c r="D645" s="65" t="str">
        <f>IFERROR(__xludf.DUMMYFUNCTION("""COMPUTED_VALUE"""),"")</f>
        <v/>
      </c>
      <c r="E645" s="65" t="s">
        <v>3650</v>
      </c>
      <c r="G645" s="65" t="s">
        <v>3650</v>
      </c>
      <c r="J645" s="65" t="s">
        <v>3650</v>
      </c>
      <c r="K645" s="230" t="s">
        <v>3650</v>
      </c>
      <c r="L645" s="230" t="s">
        <v>3650</v>
      </c>
      <c r="T645" s="60"/>
    </row>
    <row r="646">
      <c r="D646" s="65" t="str">
        <f>IFERROR(__xludf.DUMMYFUNCTION("""COMPUTED_VALUE"""),"")</f>
        <v/>
      </c>
      <c r="E646" s="65" t="s">
        <v>3650</v>
      </c>
      <c r="G646" s="65" t="s">
        <v>3650</v>
      </c>
      <c r="J646" s="65" t="s">
        <v>3650</v>
      </c>
      <c r="K646" s="230" t="s">
        <v>3650</v>
      </c>
      <c r="L646" s="230" t="s">
        <v>3650</v>
      </c>
      <c r="T646" s="60"/>
    </row>
    <row r="647">
      <c r="D647" s="65" t="str">
        <f>IFERROR(__xludf.DUMMYFUNCTION("""COMPUTED_VALUE"""),"")</f>
        <v/>
      </c>
      <c r="E647" s="65" t="s">
        <v>3650</v>
      </c>
      <c r="G647" s="65" t="s">
        <v>3650</v>
      </c>
      <c r="J647" s="65" t="s">
        <v>3650</v>
      </c>
      <c r="K647" s="230" t="s">
        <v>3650</v>
      </c>
      <c r="L647" s="230" t="s">
        <v>3650</v>
      </c>
      <c r="T647" s="60"/>
    </row>
    <row r="648">
      <c r="D648" s="65" t="str">
        <f>IFERROR(__xludf.DUMMYFUNCTION("""COMPUTED_VALUE"""),"")</f>
        <v/>
      </c>
      <c r="E648" s="65" t="s">
        <v>3650</v>
      </c>
      <c r="G648" s="65" t="s">
        <v>3650</v>
      </c>
      <c r="J648" s="65" t="s">
        <v>3650</v>
      </c>
      <c r="K648" s="230" t="s">
        <v>3650</v>
      </c>
      <c r="L648" s="230" t="s">
        <v>3650</v>
      </c>
      <c r="T648" s="60"/>
    </row>
    <row r="649">
      <c r="D649" s="65" t="str">
        <f>IFERROR(__xludf.DUMMYFUNCTION("""COMPUTED_VALUE"""),"")</f>
        <v/>
      </c>
      <c r="E649" s="65" t="s">
        <v>3650</v>
      </c>
      <c r="G649" s="65" t="s">
        <v>3650</v>
      </c>
      <c r="J649" s="65" t="s">
        <v>3650</v>
      </c>
      <c r="K649" s="230" t="s">
        <v>3650</v>
      </c>
      <c r="L649" s="230" t="s">
        <v>3650</v>
      </c>
      <c r="T649" s="60"/>
    </row>
    <row r="650">
      <c r="D650" s="65" t="str">
        <f>IFERROR(__xludf.DUMMYFUNCTION("""COMPUTED_VALUE"""),"")</f>
        <v/>
      </c>
      <c r="E650" s="65" t="s">
        <v>3650</v>
      </c>
      <c r="G650" s="65" t="s">
        <v>3650</v>
      </c>
      <c r="J650" s="65" t="s">
        <v>3650</v>
      </c>
      <c r="K650" s="230" t="s">
        <v>3650</v>
      </c>
      <c r="L650" s="230" t="s">
        <v>3650</v>
      </c>
      <c r="T650" s="60"/>
    </row>
    <row r="651">
      <c r="D651" s="65" t="str">
        <f>IFERROR(__xludf.DUMMYFUNCTION("""COMPUTED_VALUE"""),"")</f>
        <v/>
      </c>
      <c r="E651" s="65" t="s">
        <v>3650</v>
      </c>
      <c r="G651" s="65" t="s">
        <v>3650</v>
      </c>
      <c r="J651" s="65" t="s">
        <v>3650</v>
      </c>
      <c r="K651" s="230" t="s">
        <v>3650</v>
      </c>
      <c r="L651" s="230" t="s">
        <v>3650</v>
      </c>
      <c r="T651" s="60"/>
    </row>
    <row r="652">
      <c r="D652" s="65" t="str">
        <f>IFERROR(__xludf.DUMMYFUNCTION("""COMPUTED_VALUE"""),"")</f>
        <v/>
      </c>
      <c r="E652" s="65" t="s">
        <v>3650</v>
      </c>
      <c r="G652" s="65" t="s">
        <v>3650</v>
      </c>
      <c r="J652" s="65" t="s">
        <v>3650</v>
      </c>
      <c r="K652" s="230" t="s">
        <v>3650</v>
      </c>
      <c r="L652" s="230" t="s">
        <v>3650</v>
      </c>
      <c r="T652" s="60"/>
    </row>
    <row r="653">
      <c r="D653" s="65" t="str">
        <f>IFERROR(__xludf.DUMMYFUNCTION("""COMPUTED_VALUE"""),"")</f>
        <v/>
      </c>
      <c r="E653" s="65" t="s">
        <v>3650</v>
      </c>
      <c r="G653" s="65" t="s">
        <v>3650</v>
      </c>
      <c r="J653" s="65" t="s">
        <v>3650</v>
      </c>
      <c r="K653" s="230" t="s">
        <v>3650</v>
      </c>
      <c r="L653" s="230" t="s">
        <v>3650</v>
      </c>
      <c r="T653" s="60"/>
    </row>
    <row r="654">
      <c r="D654" s="65" t="str">
        <f>IFERROR(__xludf.DUMMYFUNCTION("""COMPUTED_VALUE"""),"")</f>
        <v/>
      </c>
      <c r="E654" s="65" t="s">
        <v>3650</v>
      </c>
      <c r="G654" s="65" t="s">
        <v>3650</v>
      </c>
      <c r="J654" s="65" t="s">
        <v>3650</v>
      </c>
      <c r="K654" s="230" t="s">
        <v>3650</v>
      </c>
      <c r="L654" s="230" t="s">
        <v>3650</v>
      </c>
      <c r="T654" s="60"/>
    </row>
    <row r="655">
      <c r="D655" s="65" t="str">
        <f>IFERROR(__xludf.DUMMYFUNCTION("""COMPUTED_VALUE"""),"")</f>
        <v/>
      </c>
      <c r="E655" s="65" t="s">
        <v>3650</v>
      </c>
      <c r="G655" s="65" t="s">
        <v>3650</v>
      </c>
      <c r="J655" s="65" t="s">
        <v>3650</v>
      </c>
      <c r="K655" s="230" t="s">
        <v>3650</v>
      </c>
      <c r="L655" s="230" t="s">
        <v>3650</v>
      </c>
      <c r="T655" s="60"/>
    </row>
    <row r="656">
      <c r="D656" s="65" t="str">
        <f>IFERROR(__xludf.DUMMYFUNCTION("""COMPUTED_VALUE"""),"")</f>
        <v/>
      </c>
      <c r="E656" s="65" t="s">
        <v>3650</v>
      </c>
      <c r="G656" s="65" t="s">
        <v>3650</v>
      </c>
      <c r="J656" s="65" t="s">
        <v>3650</v>
      </c>
      <c r="K656" s="230" t="s">
        <v>3650</v>
      </c>
      <c r="L656" s="230" t="s">
        <v>3650</v>
      </c>
      <c r="T656" s="60"/>
    </row>
    <row r="657">
      <c r="D657" s="65" t="str">
        <f>IFERROR(__xludf.DUMMYFUNCTION("""COMPUTED_VALUE"""),"")</f>
        <v/>
      </c>
      <c r="E657" s="65" t="s">
        <v>3650</v>
      </c>
      <c r="G657" s="65" t="s">
        <v>3650</v>
      </c>
      <c r="J657" s="65" t="s">
        <v>3650</v>
      </c>
      <c r="K657" s="230" t="s">
        <v>3650</v>
      </c>
      <c r="L657" s="230" t="s">
        <v>3650</v>
      </c>
      <c r="T657" s="60"/>
    </row>
    <row r="658">
      <c r="D658" s="65" t="str">
        <f>IFERROR(__xludf.DUMMYFUNCTION("""COMPUTED_VALUE"""),"")</f>
        <v/>
      </c>
      <c r="E658" s="65" t="s">
        <v>3650</v>
      </c>
      <c r="G658" s="65" t="s">
        <v>3650</v>
      </c>
      <c r="J658" s="65" t="s">
        <v>3650</v>
      </c>
      <c r="K658" s="230" t="s">
        <v>3650</v>
      </c>
      <c r="L658" s="230" t="s">
        <v>3650</v>
      </c>
      <c r="T658" s="60"/>
    </row>
    <row r="659">
      <c r="D659" s="65" t="str">
        <f>IFERROR(__xludf.DUMMYFUNCTION("""COMPUTED_VALUE"""),"")</f>
        <v/>
      </c>
      <c r="E659" s="65" t="s">
        <v>3650</v>
      </c>
      <c r="G659" s="65" t="s">
        <v>3650</v>
      </c>
      <c r="J659" s="65" t="s">
        <v>3650</v>
      </c>
      <c r="K659" s="230" t="s">
        <v>3650</v>
      </c>
      <c r="L659" s="230" t="s">
        <v>3650</v>
      </c>
      <c r="T659" s="60"/>
    </row>
    <row r="660">
      <c r="D660" s="65" t="str">
        <f>IFERROR(__xludf.DUMMYFUNCTION("""COMPUTED_VALUE"""),"")</f>
        <v/>
      </c>
      <c r="E660" s="65" t="s">
        <v>3650</v>
      </c>
      <c r="G660" s="65" t="s">
        <v>3650</v>
      </c>
      <c r="J660" s="65" t="s">
        <v>3650</v>
      </c>
      <c r="K660" s="230" t="s">
        <v>3650</v>
      </c>
      <c r="L660" s="230" t="s">
        <v>3650</v>
      </c>
      <c r="T660" s="60"/>
    </row>
    <row r="661">
      <c r="D661" s="65" t="str">
        <f>IFERROR(__xludf.DUMMYFUNCTION("""COMPUTED_VALUE"""),"")</f>
        <v/>
      </c>
      <c r="E661" s="65" t="s">
        <v>3650</v>
      </c>
      <c r="G661" s="65" t="s">
        <v>3650</v>
      </c>
      <c r="J661" s="65" t="s">
        <v>3650</v>
      </c>
      <c r="K661" s="230" t="s">
        <v>3650</v>
      </c>
      <c r="L661" s="230" t="s">
        <v>3650</v>
      </c>
      <c r="T661" s="60"/>
    </row>
    <row r="662">
      <c r="D662" s="65" t="str">
        <f>IFERROR(__xludf.DUMMYFUNCTION("""COMPUTED_VALUE"""),"")</f>
        <v/>
      </c>
      <c r="E662" s="65" t="s">
        <v>3650</v>
      </c>
      <c r="G662" s="65" t="s">
        <v>3650</v>
      </c>
      <c r="J662" s="65" t="s">
        <v>3650</v>
      </c>
      <c r="K662" s="230" t="s">
        <v>3650</v>
      </c>
      <c r="L662" s="230" t="s">
        <v>3650</v>
      </c>
      <c r="T662" s="60"/>
    </row>
    <row r="663">
      <c r="D663" s="65" t="str">
        <f>IFERROR(__xludf.DUMMYFUNCTION("""COMPUTED_VALUE"""),"")</f>
        <v/>
      </c>
      <c r="E663" s="65" t="s">
        <v>3650</v>
      </c>
      <c r="G663" s="65" t="s">
        <v>3650</v>
      </c>
      <c r="J663" s="65" t="s">
        <v>3650</v>
      </c>
      <c r="K663" s="230" t="s">
        <v>3650</v>
      </c>
      <c r="L663" s="230" t="s">
        <v>3650</v>
      </c>
      <c r="T663" s="60"/>
    </row>
    <row r="664">
      <c r="D664" s="65" t="str">
        <f>IFERROR(__xludf.DUMMYFUNCTION("""COMPUTED_VALUE"""),"")</f>
        <v/>
      </c>
      <c r="E664" s="65" t="s">
        <v>3650</v>
      </c>
      <c r="G664" s="65" t="s">
        <v>3650</v>
      </c>
      <c r="J664" s="65" t="s">
        <v>3650</v>
      </c>
      <c r="K664" s="230" t="s">
        <v>3650</v>
      </c>
      <c r="L664" s="230" t="s">
        <v>3650</v>
      </c>
      <c r="T664" s="60"/>
    </row>
    <row r="665">
      <c r="D665" s="65" t="str">
        <f>IFERROR(__xludf.DUMMYFUNCTION("""COMPUTED_VALUE"""),"")</f>
        <v/>
      </c>
      <c r="E665" s="65" t="s">
        <v>3650</v>
      </c>
      <c r="G665" s="65" t="s">
        <v>3650</v>
      </c>
      <c r="J665" s="65" t="s">
        <v>3650</v>
      </c>
      <c r="K665" s="230" t="s">
        <v>3650</v>
      </c>
      <c r="L665" s="230" t="s">
        <v>3650</v>
      </c>
      <c r="T665" s="60"/>
    </row>
    <row r="666">
      <c r="D666" s="65" t="str">
        <f>IFERROR(__xludf.DUMMYFUNCTION("""COMPUTED_VALUE"""),"")</f>
        <v/>
      </c>
      <c r="E666" s="65" t="s">
        <v>3650</v>
      </c>
      <c r="G666" s="65" t="s">
        <v>3650</v>
      </c>
      <c r="J666" s="65" t="s">
        <v>3650</v>
      </c>
      <c r="K666" s="230" t="s">
        <v>3650</v>
      </c>
      <c r="L666" s="230" t="s">
        <v>3650</v>
      </c>
      <c r="T666" s="60"/>
    </row>
    <row r="667">
      <c r="D667" s="65" t="str">
        <f>IFERROR(__xludf.DUMMYFUNCTION("""COMPUTED_VALUE"""),"")</f>
        <v/>
      </c>
      <c r="E667" s="65" t="s">
        <v>3650</v>
      </c>
      <c r="G667" s="65" t="s">
        <v>3650</v>
      </c>
      <c r="J667" s="65" t="s">
        <v>3650</v>
      </c>
      <c r="K667" s="230" t="s">
        <v>3650</v>
      </c>
      <c r="L667" s="230" t="s">
        <v>3650</v>
      </c>
      <c r="T667" s="60"/>
    </row>
    <row r="668">
      <c r="D668" s="65" t="str">
        <f>IFERROR(__xludf.DUMMYFUNCTION("""COMPUTED_VALUE"""),"")</f>
        <v/>
      </c>
      <c r="E668" s="65" t="s">
        <v>3650</v>
      </c>
      <c r="G668" s="65" t="s">
        <v>3650</v>
      </c>
      <c r="J668" s="65" t="s">
        <v>3650</v>
      </c>
      <c r="K668" s="230" t="s">
        <v>3650</v>
      </c>
      <c r="L668" s="230" t="s">
        <v>3650</v>
      </c>
      <c r="T668" s="60"/>
    </row>
    <row r="669">
      <c r="D669" s="65" t="str">
        <f>IFERROR(__xludf.DUMMYFUNCTION("""COMPUTED_VALUE"""),"")</f>
        <v/>
      </c>
      <c r="E669" s="65" t="s">
        <v>3650</v>
      </c>
      <c r="G669" s="65" t="s">
        <v>3650</v>
      </c>
      <c r="J669" s="65" t="s">
        <v>3650</v>
      </c>
      <c r="K669" s="230" t="s">
        <v>3650</v>
      </c>
      <c r="L669" s="230" t="s">
        <v>3650</v>
      </c>
      <c r="T669" s="60"/>
    </row>
    <row r="670">
      <c r="D670" s="65" t="str">
        <f>IFERROR(__xludf.DUMMYFUNCTION("""COMPUTED_VALUE"""),"")</f>
        <v/>
      </c>
      <c r="E670" s="65" t="s">
        <v>3650</v>
      </c>
      <c r="G670" s="65" t="s">
        <v>3650</v>
      </c>
      <c r="J670" s="65" t="s">
        <v>3650</v>
      </c>
      <c r="K670" s="230" t="s">
        <v>3650</v>
      </c>
      <c r="L670" s="230" t="s">
        <v>3650</v>
      </c>
      <c r="T670" s="60"/>
    </row>
    <row r="671">
      <c r="D671" s="65" t="str">
        <f>IFERROR(__xludf.DUMMYFUNCTION("""COMPUTED_VALUE"""),"")</f>
        <v/>
      </c>
      <c r="E671" s="65" t="s">
        <v>3650</v>
      </c>
      <c r="G671" s="65" t="s">
        <v>3650</v>
      </c>
      <c r="J671" s="65" t="s">
        <v>3650</v>
      </c>
      <c r="K671" s="230" t="s">
        <v>3650</v>
      </c>
      <c r="L671" s="230" t="s">
        <v>3650</v>
      </c>
      <c r="T671" s="60"/>
    </row>
    <row r="672">
      <c r="D672" s="65" t="str">
        <f>IFERROR(__xludf.DUMMYFUNCTION("""COMPUTED_VALUE"""),"")</f>
        <v/>
      </c>
      <c r="E672" s="65" t="s">
        <v>3650</v>
      </c>
      <c r="G672" s="65" t="s">
        <v>3650</v>
      </c>
      <c r="J672" s="65" t="s">
        <v>3650</v>
      </c>
      <c r="K672" s="230" t="s">
        <v>3650</v>
      </c>
      <c r="L672" s="230" t="s">
        <v>3650</v>
      </c>
      <c r="T672" s="60"/>
    </row>
    <row r="673">
      <c r="D673" s="65" t="str">
        <f>IFERROR(__xludf.DUMMYFUNCTION("""COMPUTED_VALUE"""),"")</f>
        <v/>
      </c>
      <c r="E673" s="65" t="s">
        <v>3650</v>
      </c>
      <c r="G673" s="65" t="s">
        <v>3650</v>
      </c>
      <c r="J673" s="65" t="s">
        <v>3650</v>
      </c>
      <c r="K673" s="230" t="s">
        <v>3650</v>
      </c>
      <c r="L673" s="230" t="s">
        <v>3650</v>
      </c>
      <c r="T673" s="60"/>
    </row>
    <row r="674">
      <c r="D674" s="65" t="str">
        <f>IFERROR(__xludf.DUMMYFUNCTION("""COMPUTED_VALUE"""),"")</f>
        <v/>
      </c>
      <c r="E674" s="65" t="s">
        <v>3650</v>
      </c>
      <c r="G674" s="65" t="s">
        <v>3650</v>
      </c>
      <c r="J674" s="65" t="s">
        <v>3650</v>
      </c>
      <c r="K674" s="230" t="s">
        <v>3650</v>
      </c>
      <c r="L674" s="230" t="s">
        <v>3650</v>
      </c>
      <c r="T674" s="60"/>
    </row>
    <row r="675">
      <c r="D675" s="65" t="str">
        <f>IFERROR(__xludf.DUMMYFUNCTION("""COMPUTED_VALUE"""),"")</f>
        <v/>
      </c>
      <c r="E675" s="65" t="s">
        <v>3650</v>
      </c>
      <c r="G675" s="65" t="s">
        <v>3650</v>
      </c>
      <c r="J675" s="65" t="s">
        <v>3650</v>
      </c>
      <c r="K675" s="230" t="s">
        <v>3650</v>
      </c>
      <c r="L675" s="230" t="s">
        <v>3650</v>
      </c>
      <c r="T675" s="60"/>
    </row>
    <row r="676">
      <c r="D676" s="65" t="str">
        <f>IFERROR(__xludf.DUMMYFUNCTION("""COMPUTED_VALUE"""),"")</f>
        <v/>
      </c>
      <c r="E676" s="65" t="s">
        <v>3650</v>
      </c>
      <c r="G676" s="65" t="s">
        <v>3650</v>
      </c>
      <c r="J676" s="65" t="s">
        <v>3650</v>
      </c>
      <c r="K676" s="230" t="s">
        <v>3650</v>
      </c>
      <c r="L676" s="230" t="s">
        <v>3650</v>
      </c>
      <c r="T676" s="60"/>
    </row>
    <row r="677">
      <c r="D677" s="65" t="str">
        <f>IFERROR(__xludf.DUMMYFUNCTION("""COMPUTED_VALUE"""),"")</f>
        <v/>
      </c>
      <c r="E677" s="65" t="s">
        <v>3650</v>
      </c>
      <c r="G677" s="65" t="s">
        <v>3650</v>
      </c>
      <c r="J677" s="65" t="s">
        <v>3650</v>
      </c>
      <c r="K677" s="230" t="s">
        <v>3650</v>
      </c>
      <c r="L677" s="230" t="s">
        <v>3650</v>
      </c>
      <c r="T677" s="60"/>
    </row>
    <row r="678">
      <c r="D678" s="65" t="str">
        <f>IFERROR(__xludf.DUMMYFUNCTION("""COMPUTED_VALUE"""),"")</f>
        <v/>
      </c>
      <c r="E678" s="65" t="s">
        <v>3650</v>
      </c>
      <c r="G678" s="65" t="s">
        <v>3650</v>
      </c>
      <c r="J678" s="65" t="s">
        <v>3650</v>
      </c>
      <c r="K678" s="230" t="s">
        <v>3650</v>
      </c>
      <c r="L678" s="230" t="s">
        <v>3650</v>
      </c>
      <c r="T678" s="60"/>
    </row>
    <row r="679">
      <c r="D679" s="65" t="str">
        <f>IFERROR(__xludf.DUMMYFUNCTION("""COMPUTED_VALUE"""),"")</f>
        <v/>
      </c>
      <c r="E679" s="65" t="s">
        <v>3650</v>
      </c>
      <c r="G679" s="65" t="s">
        <v>3650</v>
      </c>
      <c r="J679" s="65" t="s">
        <v>3650</v>
      </c>
      <c r="K679" s="230" t="s">
        <v>3650</v>
      </c>
      <c r="L679" s="230" t="s">
        <v>3650</v>
      </c>
      <c r="T679" s="60"/>
    </row>
    <row r="680">
      <c r="D680" s="65" t="str">
        <f>IFERROR(__xludf.DUMMYFUNCTION("""COMPUTED_VALUE"""),"")</f>
        <v/>
      </c>
      <c r="E680" s="65" t="s">
        <v>3650</v>
      </c>
      <c r="G680" s="65" t="s">
        <v>3650</v>
      </c>
      <c r="J680" s="65" t="s">
        <v>3650</v>
      </c>
      <c r="K680" s="230" t="s">
        <v>3650</v>
      </c>
      <c r="L680" s="230" t="s">
        <v>3650</v>
      </c>
      <c r="T680" s="60"/>
    </row>
    <row r="681">
      <c r="D681" s="65" t="str">
        <f>IFERROR(__xludf.DUMMYFUNCTION("""COMPUTED_VALUE"""),"")</f>
        <v/>
      </c>
      <c r="E681" s="65" t="s">
        <v>3650</v>
      </c>
      <c r="G681" s="65" t="s">
        <v>3650</v>
      </c>
      <c r="J681" s="65" t="s">
        <v>3650</v>
      </c>
      <c r="K681" s="230" t="s">
        <v>3650</v>
      </c>
      <c r="L681" s="230" t="s">
        <v>3650</v>
      </c>
      <c r="T681" s="60"/>
    </row>
    <row r="682">
      <c r="D682" s="65" t="str">
        <f>IFERROR(__xludf.DUMMYFUNCTION("""COMPUTED_VALUE"""),"")</f>
        <v/>
      </c>
      <c r="E682" s="65" t="s">
        <v>3650</v>
      </c>
      <c r="G682" s="65" t="s">
        <v>3650</v>
      </c>
      <c r="J682" s="65" t="s">
        <v>3650</v>
      </c>
      <c r="K682" s="230" t="s">
        <v>3650</v>
      </c>
      <c r="L682" s="230" t="s">
        <v>3650</v>
      </c>
      <c r="T682" s="60"/>
    </row>
    <row r="683">
      <c r="D683" s="65" t="str">
        <f>IFERROR(__xludf.DUMMYFUNCTION("""COMPUTED_VALUE"""),"")</f>
        <v/>
      </c>
      <c r="E683" s="65" t="s">
        <v>3650</v>
      </c>
      <c r="G683" s="65" t="s">
        <v>3650</v>
      </c>
      <c r="J683" s="65" t="s">
        <v>3650</v>
      </c>
      <c r="K683" s="230" t="s">
        <v>3650</v>
      </c>
      <c r="L683" s="230" t="s">
        <v>3650</v>
      </c>
      <c r="T683" s="60"/>
    </row>
    <row r="684">
      <c r="D684" s="65" t="str">
        <f>IFERROR(__xludf.DUMMYFUNCTION("""COMPUTED_VALUE"""),"")</f>
        <v/>
      </c>
      <c r="E684" s="65" t="s">
        <v>3650</v>
      </c>
      <c r="G684" s="65" t="s">
        <v>3650</v>
      </c>
      <c r="J684" s="65" t="s">
        <v>3650</v>
      </c>
      <c r="K684" s="230" t="s">
        <v>3650</v>
      </c>
      <c r="L684" s="230" t="s">
        <v>3650</v>
      </c>
      <c r="T684" s="60"/>
    </row>
    <row r="685">
      <c r="D685" s="65" t="str">
        <f>IFERROR(__xludf.DUMMYFUNCTION("""COMPUTED_VALUE"""),"")</f>
        <v/>
      </c>
      <c r="E685" s="65" t="s">
        <v>3650</v>
      </c>
      <c r="G685" s="65" t="s">
        <v>3650</v>
      </c>
      <c r="J685" s="65" t="s">
        <v>3650</v>
      </c>
      <c r="K685" s="230" t="s">
        <v>3650</v>
      </c>
      <c r="L685" s="230" t="s">
        <v>3650</v>
      </c>
      <c r="T685" s="60"/>
    </row>
    <row r="686">
      <c r="D686" s="65" t="str">
        <f>IFERROR(__xludf.DUMMYFUNCTION("""COMPUTED_VALUE"""),"")</f>
        <v/>
      </c>
      <c r="E686" s="65" t="s">
        <v>3650</v>
      </c>
      <c r="G686" s="65" t="s">
        <v>3650</v>
      </c>
      <c r="J686" s="65" t="s">
        <v>3650</v>
      </c>
      <c r="K686" s="230" t="s">
        <v>3650</v>
      </c>
      <c r="L686" s="230" t="s">
        <v>3650</v>
      </c>
      <c r="T686" s="60"/>
    </row>
    <row r="687">
      <c r="D687" s="65" t="str">
        <f>IFERROR(__xludf.DUMMYFUNCTION("""COMPUTED_VALUE"""),"")</f>
        <v/>
      </c>
      <c r="E687" s="65" t="s">
        <v>3650</v>
      </c>
      <c r="G687" s="65" t="s">
        <v>3650</v>
      </c>
      <c r="J687" s="65" t="s">
        <v>3650</v>
      </c>
      <c r="K687" s="230" t="s">
        <v>3650</v>
      </c>
      <c r="L687" s="230" t="s">
        <v>3650</v>
      </c>
      <c r="T687" s="60"/>
    </row>
    <row r="688">
      <c r="D688" s="65" t="str">
        <f>IFERROR(__xludf.DUMMYFUNCTION("""COMPUTED_VALUE"""),"")</f>
        <v/>
      </c>
      <c r="E688" s="65" t="s">
        <v>3650</v>
      </c>
      <c r="G688" s="65" t="s">
        <v>3650</v>
      </c>
      <c r="J688" s="65" t="s">
        <v>3650</v>
      </c>
      <c r="K688" s="230" t="s">
        <v>3650</v>
      </c>
      <c r="L688" s="230" t="s">
        <v>3650</v>
      </c>
      <c r="T688" s="60"/>
    </row>
    <row r="689">
      <c r="D689" s="65" t="str">
        <f>IFERROR(__xludf.DUMMYFUNCTION("""COMPUTED_VALUE"""),"")</f>
        <v/>
      </c>
      <c r="E689" s="65" t="s">
        <v>3650</v>
      </c>
      <c r="G689" s="65" t="s">
        <v>3650</v>
      </c>
      <c r="J689" s="65" t="s">
        <v>3650</v>
      </c>
      <c r="K689" s="230" t="s">
        <v>3650</v>
      </c>
      <c r="L689" s="230" t="s">
        <v>3650</v>
      </c>
      <c r="T689" s="60"/>
    </row>
    <row r="690">
      <c r="D690" s="65" t="str">
        <f>IFERROR(__xludf.DUMMYFUNCTION("""COMPUTED_VALUE"""),"")</f>
        <v/>
      </c>
      <c r="E690" s="65" t="s">
        <v>3650</v>
      </c>
      <c r="G690" s="65" t="s">
        <v>3650</v>
      </c>
      <c r="J690" s="65" t="s">
        <v>3650</v>
      </c>
      <c r="K690" s="230" t="s">
        <v>3650</v>
      </c>
      <c r="L690" s="230" t="s">
        <v>3650</v>
      </c>
      <c r="T690" s="60"/>
    </row>
    <row r="691">
      <c r="D691" s="65" t="str">
        <f>IFERROR(__xludf.DUMMYFUNCTION("""COMPUTED_VALUE"""),"")</f>
        <v/>
      </c>
      <c r="E691" s="65" t="s">
        <v>3650</v>
      </c>
      <c r="G691" s="65" t="s">
        <v>3650</v>
      </c>
      <c r="J691" s="65" t="s">
        <v>3650</v>
      </c>
      <c r="K691" s="230" t="s">
        <v>3650</v>
      </c>
      <c r="L691" s="230" t="s">
        <v>3650</v>
      </c>
      <c r="T691" s="60"/>
    </row>
    <row r="692">
      <c r="D692" s="65" t="str">
        <f>IFERROR(__xludf.DUMMYFUNCTION("""COMPUTED_VALUE"""),"")</f>
        <v/>
      </c>
      <c r="E692" s="65" t="s">
        <v>3650</v>
      </c>
      <c r="G692" s="65" t="s">
        <v>3650</v>
      </c>
      <c r="J692" s="65" t="s">
        <v>3650</v>
      </c>
      <c r="K692" s="230" t="s">
        <v>3650</v>
      </c>
      <c r="L692" s="230" t="s">
        <v>3650</v>
      </c>
      <c r="T692" s="60"/>
    </row>
    <row r="693">
      <c r="D693" s="65" t="str">
        <f>IFERROR(__xludf.DUMMYFUNCTION("""COMPUTED_VALUE"""),"")</f>
        <v/>
      </c>
      <c r="E693" s="65" t="s">
        <v>3650</v>
      </c>
      <c r="G693" s="65" t="s">
        <v>3650</v>
      </c>
      <c r="J693" s="65" t="s">
        <v>3650</v>
      </c>
      <c r="K693" s="230" t="s">
        <v>3650</v>
      </c>
      <c r="L693" s="230" t="s">
        <v>3650</v>
      </c>
      <c r="T693" s="60"/>
    </row>
    <row r="694">
      <c r="D694" s="65" t="str">
        <f>IFERROR(__xludf.DUMMYFUNCTION("""COMPUTED_VALUE"""),"")</f>
        <v/>
      </c>
      <c r="E694" s="65" t="s">
        <v>3650</v>
      </c>
      <c r="G694" s="65" t="s">
        <v>3650</v>
      </c>
      <c r="J694" s="65" t="s">
        <v>3650</v>
      </c>
      <c r="K694" s="230" t="s">
        <v>3650</v>
      </c>
      <c r="L694" s="230" t="s">
        <v>3650</v>
      </c>
      <c r="T694" s="60"/>
    </row>
    <row r="695">
      <c r="D695" s="65" t="str">
        <f>IFERROR(__xludf.DUMMYFUNCTION("""COMPUTED_VALUE"""),"")</f>
        <v/>
      </c>
      <c r="E695" s="65" t="s">
        <v>3650</v>
      </c>
      <c r="G695" s="65" t="s">
        <v>3650</v>
      </c>
      <c r="J695" s="65" t="s">
        <v>3650</v>
      </c>
      <c r="K695" s="230" t="s">
        <v>3650</v>
      </c>
      <c r="L695" s="230" t="s">
        <v>3650</v>
      </c>
      <c r="T695" s="60"/>
    </row>
    <row r="696">
      <c r="D696" s="65" t="str">
        <f>IFERROR(__xludf.DUMMYFUNCTION("""COMPUTED_VALUE"""),"")</f>
        <v/>
      </c>
      <c r="E696" s="65" t="s">
        <v>3650</v>
      </c>
      <c r="G696" s="65" t="s">
        <v>3650</v>
      </c>
      <c r="J696" s="65" t="s">
        <v>3650</v>
      </c>
      <c r="K696" s="230" t="s">
        <v>3650</v>
      </c>
      <c r="L696" s="230" t="s">
        <v>3650</v>
      </c>
      <c r="T696" s="60"/>
    </row>
    <row r="697">
      <c r="D697" s="65" t="str">
        <f>IFERROR(__xludf.DUMMYFUNCTION("""COMPUTED_VALUE"""),"")</f>
        <v/>
      </c>
      <c r="E697" s="65" t="s">
        <v>3650</v>
      </c>
      <c r="G697" s="65" t="s">
        <v>3650</v>
      </c>
      <c r="J697" s="65" t="s">
        <v>3650</v>
      </c>
      <c r="K697" s="230" t="s">
        <v>3650</v>
      </c>
      <c r="L697" s="230" t="s">
        <v>3650</v>
      </c>
      <c r="T697" s="60"/>
    </row>
    <row r="698">
      <c r="D698" s="65" t="str">
        <f>IFERROR(__xludf.DUMMYFUNCTION("""COMPUTED_VALUE"""),"")</f>
        <v/>
      </c>
      <c r="E698" s="65" t="s">
        <v>3650</v>
      </c>
      <c r="G698" s="65" t="s">
        <v>3650</v>
      </c>
      <c r="J698" s="65" t="s">
        <v>3650</v>
      </c>
      <c r="K698" s="230" t="s">
        <v>3650</v>
      </c>
      <c r="L698" s="230" t="s">
        <v>3650</v>
      </c>
      <c r="T698" s="60"/>
    </row>
    <row r="699">
      <c r="D699" s="65" t="str">
        <f>IFERROR(__xludf.DUMMYFUNCTION("""COMPUTED_VALUE"""),"")</f>
        <v/>
      </c>
      <c r="E699" s="65" t="s">
        <v>3650</v>
      </c>
      <c r="G699" s="65" t="s">
        <v>3650</v>
      </c>
      <c r="J699" s="65" t="s">
        <v>3650</v>
      </c>
      <c r="K699" s="230" t="s">
        <v>3650</v>
      </c>
      <c r="L699" s="230" t="s">
        <v>3650</v>
      </c>
      <c r="T699" s="60"/>
    </row>
    <row r="700">
      <c r="D700" s="65" t="str">
        <f>IFERROR(__xludf.DUMMYFUNCTION("""COMPUTED_VALUE"""),"")</f>
        <v/>
      </c>
      <c r="E700" s="65" t="s">
        <v>3650</v>
      </c>
      <c r="G700" s="65" t="s">
        <v>3650</v>
      </c>
      <c r="J700" s="65" t="s">
        <v>3650</v>
      </c>
      <c r="K700" s="230" t="s">
        <v>3650</v>
      </c>
      <c r="L700" s="230" t="s">
        <v>3650</v>
      </c>
      <c r="T700" s="60"/>
    </row>
    <row r="701">
      <c r="D701" s="65" t="str">
        <f>IFERROR(__xludf.DUMMYFUNCTION("""COMPUTED_VALUE"""),"")</f>
        <v/>
      </c>
      <c r="E701" s="65" t="s">
        <v>3650</v>
      </c>
      <c r="G701" s="65" t="s">
        <v>3650</v>
      </c>
      <c r="J701" s="65" t="s">
        <v>3650</v>
      </c>
      <c r="K701" s="230" t="s">
        <v>3650</v>
      </c>
      <c r="L701" s="230" t="s">
        <v>3650</v>
      </c>
      <c r="T701" s="60"/>
    </row>
    <row r="702">
      <c r="D702" s="65" t="str">
        <f>IFERROR(__xludf.DUMMYFUNCTION("""COMPUTED_VALUE"""),"")</f>
        <v/>
      </c>
      <c r="E702" s="65" t="s">
        <v>3650</v>
      </c>
      <c r="G702" s="65" t="s">
        <v>3650</v>
      </c>
      <c r="J702" s="65" t="s">
        <v>3650</v>
      </c>
      <c r="K702" s="230" t="s">
        <v>3650</v>
      </c>
      <c r="L702" s="230" t="s">
        <v>3650</v>
      </c>
      <c r="T702" s="60"/>
    </row>
    <row r="703">
      <c r="D703" s="65" t="str">
        <f>IFERROR(__xludf.DUMMYFUNCTION("""COMPUTED_VALUE"""),"")</f>
        <v/>
      </c>
      <c r="E703" s="65" t="s">
        <v>3650</v>
      </c>
      <c r="G703" s="65" t="s">
        <v>3650</v>
      </c>
      <c r="J703" s="65" t="s">
        <v>3650</v>
      </c>
      <c r="K703" s="230" t="s">
        <v>3650</v>
      </c>
      <c r="L703" s="230" t="s">
        <v>3650</v>
      </c>
      <c r="T703" s="60"/>
    </row>
    <row r="704">
      <c r="D704" s="65" t="str">
        <f>IFERROR(__xludf.DUMMYFUNCTION("""COMPUTED_VALUE"""),"")</f>
        <v/>
      </c>
      <c r="E704" s="65" t="s">
        <v>3650</v>
      </c>
      <c r="G704" s="65" t="s">
        <v>3650</v>
      </c>
      <c r="J704" s="65" t="s">
        <v>3650</v>
      </c>
      <c r="K704" s="230" t="s">
        <v>3650</v>
      </c>
      <c r="L704" s="230" t="s">
        <v>3650</v>
      </c>
      <c r="T704" s="60"/>
    </row>
    <row r="705">
      <c r="D705" s="65" t="str">
        <f>IFERROR(__xludf.DUMMYFUNCTION("""COMPUTED_VALUE"""),"")</f>
        <v/>
      </c>
      <c r="E705" s="65" t="s">
        <v>3650</v>
      </c>
      <c r="G705" s="65" t="s">
        <v>3650</v>
      </c>
      <c r="J705" s="65" t="s">
        <v>3650</v>
      </c>
      <c r="K705" s="230" t="s">
        <v>3650</v>
      </c>
      <c r="L705" s="230" t="s">
        <v>3650</v>
      </c>
      <c r="T705" s="60"/>
    </row>
    <row r="706">
      <c r="D706" s="65" t="str">
        <f>IFERROR(__xludf.DUMMYFUNCTION("""COMPUTED_VALUE"""),"")</f>
        <v/>
      </c>
      <c r="E706" s="65" t="s">
        <v>3650</v>
      </c>
      <c r="G706" s="65" t="s">
        <v>3650</v>
      </c>
      <c r="J706" s="65" t="s">
        <v>3650</v>
      </c>
      <c r="K706" s="230" t="s">
        <v>3650</v>
      </c>
      <c r="L706" s="230" t="s">
        <v>3650</v>
      </c>
      <c r="T706" s="60"/>
    </row>
    <row r="707">
      <c r="D707" s="65" t="str">
        <f>IFERROR(__xludf.DUMMYFUNCTION("""COMPUTED_VALUE"""),"")</f>
        <v/>
      </c>
      <c r="E707" s="65" t="s">
        <v>3650</v>
      </c>
      <c r="G707" s="65" t="s">
        <v>3650</v>
      </c>
      <c r="J707" s="65" t="s">
        <v>3650</v>
      </c>
      <c r="K707" s="230" t="s">
        <v>3650</v>
      </c>
      <c r="L707" s="230" t="s">
        <v>3650</v>
      </c>
      <c r="T707" s="60"/>
    </row>
    <row r="708">
      <c r="D708" s="65" t="str">
        <f>IFERROR(__xludf.DUMMYFUNCTION("""COMPUTED_VALUE"""),"")</f>
        <v/>
      </c>
      <c r="E708" s="65" t="s">
        <v>3650</v>
      </c>
      <c r="G708" s="65" t="s">
        <v>3650</v>
      </c>
      <c r="J708" s="65" t="s">
        <v>3650</v>
      </c>
      <c r="K708" s="230" t="s">
        <v>3650</v>
      </c>
      <c r="L708" s="230" t="s">
        <v>3650</v>
      </c>
      <c r="T708" s="60"/>
    </row>
    <row r="709">
      <c r="D709" s="65" t="str">
        <f>IFERROR(__xludf.DUMMYFUNCTION("""COMPUTED_VALUE"""),"")</f>
        <v/>
      </c>
      <c r="E709" s="65" t="s">
        <v>3650</v>
      </c>
      <c r="G709" s="65" t="s">
        <v>3650</v>
      </c>
      <c r="J709" s="65" t="s">
        <v>3650</v>
      </c>
      <c r="K709" s="230" t="s">
        <v>3650</v>
      </c>
      <c r="L709" s="230" t="s">
        <v>3650</v>
      </c>
      <c r="T709" s="60"/>
    </row>
    <row r="710">
      <c r="D710" s="65" t="str">
        <f>IFERROR(__xludf.DUMMYFUNCTION("""COMPUTED_VALUE"""),"")</f>
        <v/>
      </c>
      <c r="E710" s="65" t="s">
        <v>3650</v>
      </c>
      <c r="G710" s="65" t="s">
        <v>3650</v>
      </c>
      <c r="J710" s="65" t="s">
        <v>3650</v>
      </c>
      <c r="K710" s="230" t="s">
        <v>3650</v>
      </c>
      <c r="L710" s="230" t="s">
        <v>3650</v>
      </c>
      <c r="T710" s="60"/>
    </row>
    <row r="711">
      <c r="D711" s="65" t="str">
        <f>IFERROR(__xludf.DUMMYFUNCTION("""COMPUTED_VALUE"""),"")</f>
        <v/>
      </c>
      <c r="E711" s="65" t="s">
        <v>3650</v>
      </c>
      <c r="G711" s="65" t="s">
        <v>3650</v>
      </c>
      <c r="J711" s="65" t="s">
        <v>3650</v>
      </c>
      <c r="K711" s="230" t="s">
        <v>3650</v>
      </c>
      <c r="L711" s="230" t="s">
        <v>3650</v>
      </c>
      <c r="T711" s="60"/>
    </row>
    <row r="712">
      <c r="D712" s="65" t="str">
        <f>IFERROR(__xludf.DUMMYFUNCTION("""COMPUTED_VALUE"""),"")</f>
        <v/>
      </c>
      <c r="E712" s="65" t="s">
        <v>3650</v>
      </c>
      <c r="G712" s="65" t="s">
        <v>3650</v>
      </c>
      <c r="J712" s="65" t="s">
        <v>3650</v>
      </c>
      <c r="K712" s="230" t="s">
        <v>3650</v>
      </c>
      <c r="L712" s="230" t="s">
        <v>3650</v>
      </c>
      <c r="T712" s="60"/>
    </row>
    <row r="713">
      <c r="D713" s="65" t="str">
        <f>IFERROR(__xludf.DUMMYFUNCTION("""COMPUTED_VALUE"""),"")</f>
        <v/>
      </c>
      <c r="E713" s="65" t="s">
        <v>3650</v>
      </c>
      <c r="G713" s="65" t="s">
        <v>3650</v>
      </c>
      <c r="J713" s="65" t="s">
        <v>3650</v>
      </c>
      <c r="K713" s="230" t="s">
        <v>3650</v>
      </c>
      <c r="L713" s="230" t="s">
        <v>3650</v>
      </c>
      <c r="T713" s="60"/>
    </row>
    <row r="714">
      <c r="D714" s="65" t="str">
        <f>IFERROR(__xludf.DUMMYFUNCTION("""COMPUTED_VALUE"""),"")</f>
        <v/>
      </c>
      <c r="E714" s="65" t="s">
        <v>3650</v>
      </c>
      <c r="G714" s="65" t="s">
        <v>3650</v>
      </c>
      <c r="J714" s="65" t="s">
        <v>3650</v>
      </c>
      <c r="K714" s="230" t="s">
        <v>3650</v>
      </c>
      <c r="L714" s="230" t="s">
        <v>3650</v>
      </c>
      <c r="T714" s="60"/>
    </row>
    <row r="715">
      <c r="D715" s="65" t="str">
        <f>IFERROR(__xludf.DUMMYFUNCTION("""COMPUTED_VALUE"""),"")</f>
        <v/>
      </c>
      <c r="E715" s="65" t="s">
        <v>3650</v>
      </c>
      <c r="G715" s="65" t="s">
        <v>3650</v>
      </c>
      <c r="J715" s="65" t="s">
        <v>3650</v>
      </c>
      <c r="K715" s="230" t="s">
        <v>3650</v>
      </c>
      <c r="L715" s="230" t="s">
        <v>3650</v>
      </c>
      <c r="T715" s="60"/>
    </row>
    <row r="716">
      <c r="D716" s="65" t="str">
        <f>IFERROR(__xludf.DUMMYFUNCTION("""COMPUTED_VALUE"""),"")</f>
        <v/>
      </c>
      <c r="E716" s="65" t="s">
        <v>3650</v>
      </c>
      <c r="G716" s="65" t="s">
        <v>3650</v>
      </c>
      <c r="J716" s="65" t="s">
        <v>3650</v>
      </c>
      <c r="K716" s="230" t="s">
        <v>3650</v>
      </c>
      <c r="L716" s="230" t="s">
        <v>3650</v>
      </c>
      <c r="T716" s="60"/>
    </row>
    <row r="717">
      <c r="D717" s="65" t="str">
        <f>IFERROR(__xludf.DUMMYFUNCTION("""COMPUTED_VALUE"""),"")</f>
        <v/>
      </c>
      <c r="E717" s="65" t="s">
        <v>3650</v>
      </c>
      <c r="G717" s="65" t="s">
        <v>3650</v>
      </c>
      <c r="J717" s="65" t="s">
        <v>3650</v>
      </c>
      <c r="K717" s="230" t="s">
        <v>3650</v>
      </c>
      <c r="L717" s="230" t="s">
        <v>3650</v>
      </c>
      <c r="T717" s="60"/>
    </row>
    <row r="718">
      <c r="D718" s="65" t="str">
        <f>IFERROR(__xludf.DUMMYFUNCTION("""COMPUTED_VALUE"""),"")</f>
        <v/>
      </c>
      <c r="E718" s="65" t="s">
        <v>3650</v>
      </c>
      <c r="G718" s="65" t="s">
        <v>3650</v>
      </c>
      <c r="J718" s="65" t="s">
        <v>3650</v>
      </c>
      <c r="K718" s="230" t="s">
        <v>3650</v>
      </c>
      <c r="L718" s="230" t="s">
        <v>3650</v>
      </c>
      <c r="T718" s="60"/>
    </row>
    <row r="719">
      <c r="D719" s="65" t="str">
        <f>IFERROR(__xludf.DUMMYFUNCTION("""COMPUTED_VALUE"""),"")</f>
        <v/>
      </c>
      <c r="E719" s="65" t="s">
        <v>3650</v>
      </c>
      <c r="G719" s="65" t="s">
        <v>3650</v>
      </c>
      <c r="J719" s="65" t="s">
        <v>3650</v>
      </c>
      <c r="K719" s="230" t="s">
        <v>3650</v>
      </c>
      <c r="L719" s="230" t="s">
        <v>3650</v>
      </c>
      <c r="T719" s="60"/>
    </row>
    <row r="720">
      <c r="D720" s="65" t="str">
        <f>IFERROR(__xludf.DUMMYFUNCTION("""COMPUTED_VALUE"""),"")</f>
        <v/>
      </c>
      <c r="E720" s="65" t="s">
        <v>3650</v>
      </c>
      <c r="G720" s="65" t="s">
        <v>3650</v>
      </c>
      <c r="J720" s="65" t="s">
        <v>3650</v>
      </c>
      <c r="K720" s="230" t="s">
        <v>3650</v>
      </c>
      <c r="L720" s="230" t="s">
        <v>3650</v>
      </c>
      <c r="T720" s="60"/>
    </row>
    <row r="721">
      <c r="D721" s="65" t="str">
        <f>IFERROR(__xludf.DUMMYFUNCTION("""COMPUTED_VALUE"""),"")</f>
        <v/>
      </c>
      <c r="E721" s="65" t="s">
        <v>3650</v>
      </c>
      <c r="G721" s="65" t="s">
        <v>3650</v>
      </c>
      <c r="J721" s="65" t="s">
        <v>3650</v>
      </c>
      <c r="K721" s="230" t="s">
        <v>3650</v>
      </c>
      <c r="L721" s="230" t="s">
        <v>3650</v>
      </c>
      <c r="T721" s="60"/>
    </row>
    <row r="722">
      <c r="D722" s="65" t="str">
        <f>IFERROR(__xludf.DUMMYFUNCTION("""COMPUTED_VALUE"""),"")</f>
        <v/>
      </c>
      <c r="E722" s="65" t="s">
        <v>3650</v>
      </c>
      <c r="G722" s="65" t="s">
        <v>3650</v>
      </c>
      <c r="J722" s="65" t="s">
        <v>3650</v>
      </c>
      <c r="K722" s="230" t="s">
        <v>3650</v>
      </c>
      <c r="L722" s="230" t="s">
        <v>3650</v>
      </c>
      <c r="T722" s="60"/>
    </row>
    <row r="723">
      <c r="D723" s="65" t="str">
        <f>IFERROR(__xludf.DUMMYFUNCTION("""COMPUTED_VALUE"""),"")</f>
        <v/>
      </c>
      <c r="E723" s="65" t="s">
        <v>3650</v>
      </c>
      <c r="G723" s="65" t="s">
        <v>3650</v>
      </c>
      <c r="J723" s="65" t="s">
        <v>3650</v>
      </c>
      <c r="K723" s="230" t="s">
        <v>3650</v>
      </c>
      <c r="L723" s="230" t="s">
        <v>3650</v>
      </c>
      <c r="T723" s="60"/>
    </row>
    <row r="724">
      <c r="D724" s="65" t="str">
        <f>IFERROR(__xludf.DUMMYFUNCTION("""COMPUTED_VALUE"""),"")</f>
        <v/>
      </c>
      <c r="E724" s="65" t="s">
        <v>3650</v>
      </c>
      <c r="G724" s="65" t="s">
        <v>3650</v>
      </c>
      <c r="J724" s="65" t="s">
        <v>3650</v>
      </c>
      <c r="K724" s="230" t="s">
        <v>3650</v>
      </c>
      <c r="L724" s="230" t="s">
        <v>3650</v>
      </c>
      <c r="T724" s="60"/>
    </row>
    <row r="725">
      <c r="D725" s="65" t="str">
        <f>IFERROR(__xludf.DUMMYFUNCTION("""COMPUTED_VALUE"""),"")</f>
        <v/>
      </c>
      <c r="E725" s="65" t="s">
        <v>3650</v>
      </c>
      <c r="G725" s="65" t="s">
        <v>3650</v>
      </c>
      <c r="J725" s="65" t="s">
        <v>3650</v>
      </c>
      <c r="K725" s="230" t="s">
        <v>3650</v>
      </c>
      <c r="L725" s="230" t="s">
        <v>3650</v>
      </c>
      <c r="T725" s="60"/>
    </row>
    <row r="726">
      <c r="D726" s="65" t="str">
        <f>IFERROR(__xludf.DUMMYFUNCTION("""COMPUTED_VALUE"""),"")</f>
        <v/>
      </c>
      <c r="E726" s="65" t="s">
        <v>3650</v>
      </c>
      <c r="G726" s="65" t="s">
        <v>3650</v>
      </c>
      <c r="J726" s="65" t="s">
        <v>3650</v>
      </c>
      <c r="K726" s="230" t="s">
        <v>3650</v>
      </c>
      <c r="L726" s="230" t="s">
        <v>3650</v>
      </c>
      <c r="T726" s="60"/>
    </row>
    <row r="727">
      <c r="D727" s="65" t="str">
        <f>IFERROR(__xludf.DUMMYFUNCTION("""COMPUTED_VALUE"""),"")</f>
        <v/>
      </c>
      <c r="E727" s="65" t="s">
        <v>3650</v>
      </c>
      <c r="G727" s="65" t="s">
        <v>3650</v>
      </c>
      <c r="J727" s="65" t="s">
        <v>3650</v>
      </c>
      <c r="K727" s="230" t="s">
        <v>3650</v>
      </c>
      <c r="L727" s="230" t="s">
        <v>3650</v>
      </c>
      <c r="T727" s="60"/>
    </row>
    <row r="728">
      <c r="D728" s="65" t="str">
        <f>IFERROR(__xludf.DUMMYFUNCTION("""COMPUTED_VALUE"""),"")</f>
        <v/>
      </c>
      <c r="E728" s="65" t="s">
        <v>3650</v>
      </c>
      <c r="G728" s="65" t="s">
        <v>3650</v>
      </c>
      <c r="J728" s="65" t="s">
        <v>3650</v>
      </c>
      <c r="K728" s="230" t="s">
        <v>3650</v>
      </c>
      <c r="L728" s="230" t="s">
        <v>3650</v>
      </c>
      <c r="T728" s="60"/>
    </row>
    <row r="729">
      <c r="D729" s="65" t="str">
        <f>IFERROR(__xludf.DUMMYFUNCTION("""COMPUTED_VALUE"""),"")</f>
        <v/>
      </c>
      <c r="E729" s="65" t="s">
        <v>3650</v>
      </c>
      <c r="G729" s="65" t="s">
        <v>3650</v>
      </c>
      <c r="J729" s="65" t="s">
        <v>3650</v>
      </c>
      <c r="K729" s="230" t="s">
        <v>3650</v>
      </c>
      <c r="L729" s="230" t="s">
        <v>3650</v>
      </c>
      <c r="T729" s="60"/>
    </row>
    <row r="730">
      <c r="D730" s="65" t="str">
        <f>IFERROR(__xludf.DUMMYFUNCTION("""COMPUTED_VALUE"""),"")</f>
        <v/>
      </c>
      <c r="E730" s="65" t="s">
        <v>3650</v>
      </c>
      <c r="G730" s="65" t="s">
        <v>3650</v>
      </c>
      <c r="J730" s="65" t="s">
        <v>3650</v>
      </c>
      <c r="K730" s="230" t="s">
        <v>3650</v>
      </c>
      <c r="L730" s="230" t="s">
        <v>3650</v>
      </c>
      <c r="T730" s="60"/>
    </row>
    <row r="731">
      <c r="D731" s="65" t="str">
        <f>IFERROR(__xludf.DUMMYFUNCTION("""COMPUTED_VALUE"""),"")</f>
        <v/>
      </c>
      <c r="E731" s="65" t="s">
        <v>3650</v>
      </c>
      <c r="G731" s="65" t="s">
        <v>3650</v>
      </c>
      <c r="J731" s="65" t="s">
        <v>3650</v>
      </c>
      <c r="K731" s="230" t="s">
        <v>3650</v>
      </c>
      <c r="L731" s="230" t="s">
        <v>3650</v>
      </c>
      <c r="T731" s="60"/>
    </row>
    <row r="732">
      <c r="D732" s="65" t="str">
        <f>IFERROR(__xludf.DUMMYFUNCTION("""COMPUTED_VALUE"""),"")</f>
        <v/>
      </c>
      <c r="E732" s="65" t="s">
        <v>3650</v>
      </c>
      <c r="G732" s="65" t="s">
        <v>3650</v>
      </c>
      <c r="J732" s="65" t="s">
        <v>3650</v>
      </c>
      <c r="K732" s="230" t="s">
        <v>3650</v>
      </c>
      <c r="L732" s="230" t="s">
        <v>3650</v>
      </c>
      <c r="T732" s="60"/>
    </row>
    <row r="733">
      <c r="D733" s="65" t="str">
        <f>IFERROR(__xludf.DUMMYFUNCTION("""COMPUTED_VALUE"""),"")</f>
        <v/>
      </c>
      <c r="E733" s="65" t="s">
        <v>3650</v>
      </c>
      <c r="G733" s="65" t="s">
        <v>3650</v>
      </c>
      <c r="J733" s="65" t="s">
        <v>3650</v>
      </c>
      <c r="K733" s="230" t="s">
        <v>3650</v>
      </c>
      <c r="L733" s="230" t="s">
        <v>3650</v>
      </c>
      <c r="T733" s="60"/>
    </row>
    <row r="734">
      <c r="D734" s="65" t="str">
        <f>IFERROR(__xludf.DUMMYFUNCTION("""COMPUTED_VALUE"""),"")</f>
        <v/>
      </c>
      <c r="E734" s="65" t="s">
        <v>3650</v>
      </c>
      <c r="G734" s="65" t="s">
        <v>3650</v>
      </c>
      <c r="J734" s="65" t="s">
        <v>3650</v>
      </c>
      <c r="K734" s="230" t="s">
        <v>3650</v>
      </c>
      <c r="L734" s="230" t="s">
        <v>3650</v>
      </c>
      <c r="T734" s="60"/>
    </row>
    <row r="735">
      <c r="D735" s="65" t="str">
        <f>IFERROR(__xludf.DUMMYFUNCTION("""COMPUTED_VALUE"""),"")</f>
        <v/>
      </c>
      <c r="E735" s="65" t="s">
        <v>3650</v>
      </c>
      <c r="G735" s="65" t="s">
        <v>3650</v>
      </c>
      <c r="J735" s="65" t="s">
        <v>3650</v>
      </c>
      <c r="K735" s="230" t="s">
        <v>3650</v>
      </c>
      <c r="L735" s="230" t="s">
        <v>3650</v>
      </c>
      <c r="T735" s="60"/>
    </row>
    <row r="736">
      <c r="D736" s="65" t="str">
        <f>IFERROR(__xludf.DUMMYFUNCTION("""COMPUTED_VALUE"""),"")</f>
        <v/>
      </c>
      <c r="E736" s="65" t="s">
        <v>3650</v>
      </c>
      <c r="G736" s="65" t="s">
        <v>3650</v>
      </c>
      <c r="J736" s="65" t="s">
        <v>3650</v>
      </c>
      <c r="K736" s="230" t="s">
        <v>3650</v>
      </c>
      <c r="L736" s="230" t="s">
        <v>3650</v>
      </c>
      <c r="T736" s="60"/>
    </row>
    <row r="737">
      <c r="D737" s="65" t="str">
        <f>IFERROR(__xludf.DUMMYFUNCTION("""COMPUTED_VALUE"""),"")</f>
        <v/>
      </c>
      <c r="E737" s="65" t="s">
        <v>3650</v>
      </c>
      <c r="G737" s="65" t="s">
        <v>3650</v>
      </c>
      <c r="J737" s="65" t="s">
        <v>3650</v>
      </c>
      <c r="K737" s="230" t="s">
        <v>3650</v>
      </c>
      <c r="L737" s="230" t="s">
        <v>3650</v>
      </c>
      <c r="T737" s="60"/>
    </row>
    <row r="738">
      <c r="D738" s="65" t="str">
        <f>IFERROR(__xludf.DUMMYFUNCTION("""COMPUTED_VALUE"""),"")</f>
        <v/>
      </c>
      <c r="E738" s="65" t="s">
        <v>3650</v>
      </c>
      <c r="G738" s="65" t="s">
        <v>3650</v>
      </c>
      <c r="J738" s="65" t="s">
        <v>3650</v>
      </c>
      <c r="K738" s="230" t="s">
        <v>3650</v>
      </c>
      <c r="L738" s="230" t="s">
        <v>3650</v>
      </c>
      <c r="T738" s="60"/>
    </row>
    <row r="739">
      <c r="D739" s="65" t="str">
        <f>IFERROR(__xludf.DUMMYFUNCTION("""COMPUTED_VALUE"""),"")</f>
        <v/>
      </c>
      <c r="E739" s="65" t="s">
        <v>3650</v>
      </c>
      <c r="G739" s="65" t="s">
        <v>3650</v>
      </c>
      <c r="J739" s="65" t="s">
        <v>3650</v>
      </c>
      <c r="K739" s="230" t="s">
        <v>3650</v>
      </c>
      <c r="L739" s="230" t="s">
        <v>3650</v>
      </c>
      <c r="T739" s="60"/>
    </row>
    <row r="740">
      <c r="D740" s="65" t="str">
        <f>IFERROR(__xludf.DUMMYFUNCTION("""COMPUTED_VALUE"""),"")</f>
        <v/>
      </c>
      <c r="E740" s="65" t="s">
        <v>3650</v>
      </c>
      <c r="G740" s="65" t="s">
        <v>3650</v>
      </c>
      <c r="J740" s="65" t="s">
        <v>3650</v>
      </c>
      <c r="K740" s="230" t="s">
        <v>3650</v>
      </c>
      <c r="L740" s="230" t="s">
        <v>3650</v>
      </c>
      <c r="T740" s="60"/>
    </row>
    <row r="741">
      <c r="D741" s="65" t="str">
        <f>IFERROR(__xludf.DUMMYFUNCTION("""COMPUTED_VALUE"""),"")</f>
        <v/>
      </c>
      <c r="E741" s="65" t="s">
        <v>3650</v>
      </c>
      <c r="G741" s="65" t="s">
        <v>3650</v>
      </c>
      <c r="J741" s="65" t="s">
        <v>3650</v>
      </c>
      <c r="K741" s="230" t="s">
        <v>3650</v>
      </c>
      <c r="L741" s="230" t="s">
        <v>3650</v>
      </c>
      <c r="T741" s="60"/>
    </row>
    <row r="742">
      <c r="D742" s="65" t="str">
        <f>IFERROR(__xludf.DUMMYFUNCTION("""COMPUTED_VALUE"""),"")</f>
        <v/>
      </c>
      <c r="E742" s="65" t="s">
        <v>3650</v>
      </c>
      <c r="G742" s="65" t="s">
        <v>3650</v>
      </c>
      <c r="J742" s="65" t="s">
        <v>3650</v>
      </c>
      <c r="K742" s="230" t="s">
        <v>3650</v>
      </c>
      <c r="L742" s="230" t="s">
        <v>3650</v>
      </c>
      <c r="T742" s="60"/>
    </row>
    <row r="743">
      <c r="D743" s="65" t="str">
        <f>IFERROR(__xludf.DUMMYFUNCTION("""COMPUTED_VALUE"""),"")</f>
        <v/>
      </c>
      <c r="E743" s="65" t="s">
        <v>3650</v>
      </c>
      <c r="G743" s="65" t="s">
        <v>3650</v>
      </c>
      <c r="J743" s="65" t="s">
        <v>3650</v>
      </c>
      <c r="K743" s="230" t="s">
        <v>3650</v>
      </c>
      <c r="L743" s="230" t="s">
        <v>3650</v>
      </c>
      <c r="T743" s="60"/>
    </row>
    <row r="744">
      <c r="D744" s="65" t="str">
        <f>IFERROR(__xludf.DUMMYFUNCTION("""COMPUTED_VALUE"""),"")</f>
        <v/>
      </c>
      <c r="E744" s="65" t="s">
        <v>3650</v>
      </c>
      <c r="G744" s="65" t="s">
        <v>3650</v>
      </c>
      <c r="J744" s="65" t="s">
        <v>3650</v>
      </c>
      <c r="K744" s="230" t="s">
        <v>3650</v>
      </c>
      <c r="L744" s="230" t="s">
        <v>3650</v>
      </c>
      <c r="T744" s="60"/>
    </row>
    <row r="745">
      <c r="D745" s="65" t="str">
        <f>IFERROR(__xludf.DUMMYFUNCTION("""COMPUTED_VALUE"""),"")</f>
        <v/>
      </c>
      <c r="E745" s="65" t="s">
        <v>3650</v>
      </c>
      <c r="G745" s="65" t="s">
        <v>3650</v>
      </c>
      <c r="J745" s="65" t="s">
        <v>3650</v>
      </c>
      <c r="K745" s="230" t="s">
        <v>3650</v>
      </c>
      <c r="L745" s="230" t="s">
        <v>3650</v>
      </c>
      <c r="T745" s="60"/>
    </row>
    <row r="746">
      <c r="D746" s="65" t="str">
        <f>IFERROR(__xludf.DUMMYFUNCTION("""COMPUTED_VALUE"""),"")</f>
        <v/>
      </c>
      <c r="E746" s="65" t="s">
        <v>3650</v>
      </c>
      <c r="G746" s="65" t="s">
        <v>3650</v>
      </c>
      <c r="J746" s="65" t="s">
        <v>3650</v>
      </c>
      <c r="K746" s="230" t="s">
        <v>3650</v>
      </c>
      <c r="L746" s="230" t="s">
        <v>3650</v>
      </c>
      <c r="T746" s="60"/>
    </row>
    <row r="747">
      <c r="D747" s="65" t="str">
        <f>IFERROR(__xludf.DUMMYFUNCTION("""COMPUTED_VALUE"""),"")</f>
        <v/>
      </c>
      <c r="E747" s="65" t="s">
        <v>3650</v>
      </c>
      <c r="G747" s="65" t="s">
        <v>3650</v>
      </c>
      <c r="J747" s="65" t="s">
        <v>3650</v>
      </c>
      <c r="K747" s="230" t="s">
        <v>3650</v>
      </c>
      <c r="L747" s="230" t="s">
        <v>3650</v>
      </c>
      <c r="T747" s="60"/>
    </row>
    <row r="748">
      <c r="D748" s="65" t="str">
        <f>IFERROR(__xludf.DUMMYFUNCTION("""COMPUTED_VALUE"""),"")</f>
        <v/>
      </c>
      <c r="E748" s="65" t="s">
        <v>3650</v>
      </c>
      <c r="G748" s="65" t="s">
        <v>3650</v>
      </c>
      <c r="J748" s="65" t="s">
        <v>3650</v>
      </c>
      <c r="K748" s="230" t="s">
        <v>3650</v>
      </c>
      <c r="L748" s="230" t="s">
        <v>3650</v>
      </c>
      <c r="T748" s="60"/>
    </row>
    <row r="749">
      <c r="D749" s="65" t="str">
        <f>IFERROR(__xludf.DUMMYFUNCTION("""COMPUTED_VALUE"""),"")</f>
        <v/>
      </c>
      <c r="E749" s="65" t="s">
        <v>3650</v>
      </c>
      <c r="G749" s="65" t="s">
        <v>3650</v>
      </c>
      <c r="J749" s="65" t="s">
        <v>3650</v>
      </c>
      <c r="K749" s="230" t="s">
        <v>3650</v>
      </c>
      <c r="L749" s="230" t="s">
        <v>3650</v>
      </c>
      <c r="T749" s="60"/>
    </row>
    <row r="750">
      <c r="D750" s="65" t="str">
        <f>IFERROR(__xludf.DUMMYFUNCTION("""COMPUTED_VALUE"""),"")</f>
        <v/>
      </c>
      <c r="E750" s="65" t="s">
        <v>3650</v>
      </c>
      <c r="G750" s="65" t="s">
        <v>3650</v>
      </c>
      <c r="J750" s="65" t="s">
        <v>3650</v>
      </c>
      <c r="K750" s="230" t="s">
        <v>3650</v>
      </c>
      <c r="L750" s="230" t="s">
        <v>3650</v>
      </c>
      <c r="T750" s="60"/>
    </row>
    <row r="751">
      <c r="D751" s="65" t="str">
        <f>IFERROR(__xludf.DUMMYFUNCTION("""COMPUTED_VALUE"""),"")</f>
        <v/>
      </c>
      <c r="E751" s="65" t="s">
        <v>3650</v>
      </c>
      <c r="G751" s="65" t="s">
        <v>3650</v>
      </c>
      <c r="J751" s="65" t="s">
        <v>3650</v>
      </c>
      <c r="K751" s="230" t="s">
        <v>3650</v>
      </c>
      <c r="L751" s="230" t="s">
        <v>3650</v>
      </c>
      <c r="T751" s="60"/>
    </row>
    <row r="752">
      <c r="D752" s="65" t="str">
        <f>IFERROR(__xludf.DUMMYFUNCTION("""COMPUTED_VALUE"""),"")</f>
        <v/>
      </c>
      <c r="E752" s="65" t="s">
        <v>3650</v>
      </c>
      <c r="G752" s="65" t="s">
        <v>3650</v>
      </c>
      <c r="J752" s="65" t="s">
        <v>3650</v>
      </c>
      <c r="K752" s="230" t="s">
        <v>3650</v>
      </c>
      <c r="L752" s="230" t="s">
        <v>3650</v>
      </c>
      <c r="T752" s="60"/>
    </row>
    <row r="753">
      <c r="D753" s="65" t="str">
        <f>IFERROR(__xludf.DUMMYFUNCTION("""COMPUTED_VALUE"""),"")</f>
        <v/>
      </c>
      <c r="E753" s="65" t="s">
        <v>3650</v>
      </c>
      <c r="G753" s="65" t="s">
        <v>3650</v>
      </c>
      <c r="J753" s="65" t="s">
        <v>3650</v>
      </c>
      <c r="K753" s="230" t="s">
        <v>3650</v>
      </c>
      <c r="L753" s="230" t="s">
        <v>3650</v>
      </c>
      <c r="T753" s="60"/>
    </row>
    <row r="754">
      <c r="D754" s="65" t="str">
        <f>IFERROR(__xludf.DUMMYFUNCTION("""COMPUTED_VALUE"""),"")</f>
        <v/>
      </c>
      <c r="E754" s="65" t="s">
        <v>3650</v>
      </c>
      <c r="G754" s="65" t="s">
        <v>3650</v>
      </c>
      <c r="J754" s="65" t="s">
        <v>3650</v>
      </c>
      <c r="K754" s="230" t="s">
        <v>3650</v>
      </c>
      <c r="L754" s="230" t="s">
        <v>3650</v>
      </c>
      <c r="T754" s="60"/>
    </row>
    <row r="755">
      <c r="D755" s="65" t="str">
        <f>IFERROR(__xludf.DUMMYFUNCTION("""COMPUTED_VALUE"""),"")</f>
        <v/>
      </c>
      <c r="E755" s="65" t="s">
        <v>3650</v>
      </c>
      <c r="G755" s="65" t="s">
        <v>3650</v>
      </c>
      <c r="J755" s="65" t="s">
        <v>3650</v>
      </c>
      <c r="K755" s="230" t="s">
        <v>3650</v>
      </c>
      <c r="L755" s="230" t="s">
        <v>3650</v>
      </c>
      <c r="T755" s="60"/>
    </row>
    <row r="756">
      <c r="D756" s="65" t="str">
        <f>IFERROR(__xludf.DUMMYFUNCTION("""COMPUTED_VALUE"""),"")</f>
        <v/>
      </c>
      <c r="E756" s="65" t="s">
        <v>3650</v>
      </c>
      <c r="G756" s="65" t="s">
        <v>3650</v>
      </c>
      <c r="J756" s="65" t="s">
        <v>3650</v>
      </c>
      <c r="K756" s="230" t="s">
        <v>3650</v>
      </c>
      <c r="L756" s="230" t="s">
        <v>3650</v>
      </c>
      <c r="T756" s="60"/>
    </row>
    <row r="757">
      <c r="D757" s="65" t="str">
        <f>IFERROR(__xludf.DUMMYFUNCTION("""COMPUTED_VALUE"""),"")</f>
        <v/>
      </c>
      <c r="E757" s="65" t="s">
        <v>3650</v>
      </c>
      <c r="G757" s="65" t="s">
        <v>3650</v>
      </c>
      <c r="J757" s="65" t="s">
        <v>3650</v>
      </c>
      <c r="K757" s="230" t="s">
        <v>3650</v>
      </c>
      <c r="L757" s="230" t="s">
        <v>3650</v>
      </c>
      <c r="T757" s="60"/>
    </row>
    <row r="758">
      <c r="D758" s="65" t="str">
        <f>IFERROR(__xludf.DUMMYFUNCTION("""COMPUTED_VALUE"""),"")</f>
        <v/>
      </c>
      <c r="E758" s="65" t="s">
        <v>3650</v>
      </c>
      <c r="G758" s="65" t="s">
        <v>3650</v>
      </c>
      <c r="J758" s="65" t="s">
        <v>3650</v>
      </c>
      <c r="K758" s="230" t="s">
        <v>3650</v>
      </c>
      <c r="L758" s="230" t="s">
        <v>3650</v>
      </c>
      <c r="T758" s="60"/>
    </row>
    <row r="759">
      <c r="D759" s="65" t="str">
        <f>IFERROR(__xludf.DUMMYFUNCTION("""COMPUTED_VALUE"""),"")</f>
        <v/>
      </c>
      <c r="E759" s="65" t="s">
        <v>3650</v>
      </c>
      <c r="G759" s="65" t="s">
        <v>3650</v>
      </c>
      <c r="J759" s="65" t="s">
        <v>3650</v>
      </c>
      <c r="K759" s="230" t="s">
        <v>3650</v>
      </c>
      <c r="L759" s="230" t="s">
        <v>3650</v>
      </c>
      <c r="T759" s="60"/>
    </row>
    <row r="760">
      <c r="D760" s="65" t="str">
        <f>IFERROR(__xludf.DUMMYFUNCTION("""COMPUTED_VALUE"""),"")</f>
        <v/>
      </c>
      <c r="E760" s="65" t="s">
        <v>3650</v>
      </c>
      <c r="G760" s="65" t="s">
        <v>3650</v>
      </c>
      <c r="J760" s="65" t="s">
        <v>3650</v>
      </c>
      <c r="K760" s="230" t="s">
        <v>3650</v>
      </c>
      <c r="L760" s="230" t="s">
        <v>3650</v>
      </c>
      <c r="T760" s="60"/>
    </row>
    <row r="761">
      <c r="D761" s="65" t="str">
        <f>IFERROR(__xludf.DUMMYFUNCTION("""COMPUTED_VALUE"""),"")</f>
        <v/>
      </c>
      <c r="E761" s="65" t="s">
        <v>3650</v>
      </c>
      <c r="G761" s="65" t="s">
        <v>3650</v>
      </c>
      <c r="J761" s="65" t="s">
        <v>3650</v>
      </c>
      <c r="K761" s="230" t="s">
        <v>3650</v>
      </c>
      <c r="L761" s="230" t="s">
        <v>3650</v>
      </c>
      <c r="T761" s="60"/>
    </row>
    <row r="762">
      <c r="D762" s="65" t="str">
        <f>IFERROR(__xludf.DUMMYFUNCTION("""COMPUTED_VALUE"""),"")</f>
        <v/>
      </c>
      <c r="E762" s="65" t="s">
        <v>3650</v>
      </c>
      <c r="G762" s="65" t="s">
        <v>3650</v>
      </c>
      <c r="J762" s="65" t="s">
        <v>3650</v>
      </c>
      <c r="K762" s="230" t="s">
        <v>3650</v>
      </c>
      <c r="L762" s="230" t="s">
        <v>3650</v>
      </c>
      <c r="T762" s="60"/>
    </row>
    <row r="763">
      <c r="D763" s="65" t="str">
        <f>IFERROR(__xludf.DUMMYFUNCTION("""COMPUTED_VALUE"""),"")</f>
        <v/>
      </c>
      <c r="E763" s="65" t="s">
        <v>3650</v>
      </c>
      <c r="G763" s="65" t="s">
        <v>3650</v>
      </c>
      <c r="J763" s="65" t="s">
        <v>3650</v>
      </c>
      <c r="K763" s="230" t="s">
        <v>3650</v>
      </c>
      <c r="L763" s="230" t="s">
        <v>3650</v>
      </c>
      <c r="T763" s="60"/>
    </row>
    <row r="764">
      <c r="D764" s="65" t="str">
        <f>IFERROR(__xludf.DUMMYFUNCTION("""COMPUTED_VALUE"""),"")</f>
        <v/>
      </c>
      <c r="E764" s="65" t="s">
        <v>3650</v>
      </c>
      <c r="G764" s="65" t="s">
        <v>3650</v>
      </c>
      <c r="J764" s="65" t="s">
        <v>3650</v>
      </c>
      <c r="K764" s="230" t="s">
        <v>3650</v>
      </c>
      <c r="L764" s="230" t="s">
        <v>3650</v>
      </c>
      <c r="T764" s="60"/>
    </row>
    <row r="765">
      <c r="D765" s="65" t="str">
        <f>IFERROR(__xludf.DUMMYFUNCTION("""COMPUTED_VALUE"""),"")</f>
        <v/>
      </c>
      <c r="E765" s="65" t="s">
        <v>3650</v>
      </c>
      <c r="G765" s="65" t="s">
        <v>3650</v>
      </c>
      <c r="J765" s="65" t="s">
        <v>3650</v>
      </c>
      <c r="K765" s="230" t="s">
        <v>3650</v>
      </c>
      <c r="L765" s="230" t="s">
        <v>3650</v>
      </c>
      <c r="T765" s="60"/>
    </row>
    <row r="766">
      <c r="D766" s="65" t="str">
        <f>IFERROR(__xludf.DUMMYFUNCTION("""COMPUTED_VALUE"""),"")</f>
        <v/>
      </c>
      <c r="E766" s="65" t="s">
        <v>3650</v>
      </c>
      <c r="G766" s="65" t="s">
        <v>3650</v>
      </c>
      <c r="J766" s="65" t="s">
        <v>3650</v>
      </c>
      <c r="K766" s="230" t="s">
        <v>3650</v>
      </c>
      <c r="L766" s="230" t="s">
        <v>3650</v>
      </c>
      <c r="T766" s="60"/>
    </row>
    <row r="767">
      <c r="D767" s="65" t="str">
        <f>IFERROR(__xludf.DUMMYFUNCTION("""COMPUTED_VALUE"""),"")</f>
        <v/>
      </c>
      <c r="E767" s="65" t="s">
        <v>3650</v>
      </c>
      <c r="G767" s="65" t="s">
        <v>3650</v>
      </c>
      <c r="J767" s="65" t="s">
        <v>3650</v>
      </c>
      <c r="K767" s="230" t="s">
        <v>3650</v>
      </c>
      <c r="L767" s="230" t="s">
        <v>3650</v>
      </c>
      <c r="T767" s="60"/>
    </row>
    <row r="768">
      <c r="D768" s="65" t="str">
        <f>IFERROR(__xludf.DUMMYFUNCTION("""COMPUTED_VALUE"""),"")</f>
        <v/>
      </c>
      <c r="E768" s="65" t="s">
        <v>3650</v>
      </c>
      <c r="G768" s="65" t="s">
        <v>3650</v>
      </c>
      <c r="J768" s="65" t="s">
        <v>3650</v>
      </c>
      <c r="K768" s="230" t="s">
        <v>3650</v>
      </c>
      <c r="L768" s="230" t="s">
        <v>3650</v>
      </c>
      <c r="T768" s="60"/>
    </row>
    <row r="769">
      <c r="D769" s="65" t="str">
        <f>IFERROR(__xludf.DUMMYFUNCTION("""COMPUTED_VALUE"""),"")</f>
        <v/>
      </c>
      <c r="E769" s="65" t="s">
        <v>3650</v>
      </c>
      <c r="G769" s="65" t="s">
        <v>3650</v>
      </c>
      <c r="J769" s="65" t="s">
        <v>3650</v>
      </c>
      <c r="K769" s="230" t="s">
        <v>3650</v>
      </c>
      <c r="L769" s="230" t="s">
        <v>3650</v>
      </c>
      <c r="T769" s="60"/>
    </row>
    <row r="770">
      <c r="D770" s="65" t="str">
        <f>IFERROR(__xludf.DUMMYFUNCTION("""COMPUTED_VALUE"""),"")</f>
        <v/>
      </c>
      <c r="E770" s="65" t="s">
        <v>3650</v>
      </c>
      <c r="G770" s="65" t="s">
        <v>3650</v>
      </c>
      <c r="J770" s="65" t="s">
        <v>3650</v>
      </c>
      <c r="K770" s="230" t="s">
        <v>3650</v>
      </c>
      <c r="L770" s="230" t="s">
        <v>3650</v>
      </c>
      <c r="T770" s="60"/>
    </row>
    <row r="771">
      <c r="D771" s="65" t="str">
        <f>IFERROR(__xludf.DUMMYFUNCTION("""COMPUTED_VALUE"""),"")</f>
        <v/>
      </c>
      <c r="E771" s="65" t="s">
        <v>3650</v>
      </c>
      <c r="G771" s="65" t="s">
        <v>3650</v>
      </c>
      <c r="J771" s="65" t="s">
        <v>3650</v>
      </c>
      <c r="K771" s="230" t="s">
        <v>3650</v>
      </c>
      <c r="L771" s="230" t="s">
        <v>3650</v>
      </c>
      <c r="T771" s="60"/>
    </row>
    <row r="772">
      <c r="D772" s="65" t="str">
        <f>IFERROR(__xludf.DUMMYFUNCTION("""COMPUTED_VALUE"""),"")</f>
        <v/>
      </c>
      <c r="E772" s="65" t="s">
        <v>3650</v>
      </c>
      <c r="G772" s="65" t="s">
        <v>3650</v>
      </c>
      <c r="J772" s="65" t="s">
        <v>3650</v>
      </c>
      <c r="K772" s="230" t="s">
        <v>3650</v>
      </c>
      <c r="L772" s="230" t="s">
        <v>3650</v>
      </c>
      <c r="T772" s="60"/>
    </row>
    <row r="773">
      <c r="D773" s="65" t="str">
        <f>IFERROR(__xludf.DUMMYFUNCTION("""COMPUTED_VALUE"""),"")</f>
        <v/>
      </c>
      <c r="E773" s="65" t="s">
        <v>3650</v>
      </c>
      <c r="G773" s="65" t="s">
        <v>3650</v>
      </c>
      <c r="J773" s="65" t="s">
        <v>3650</v>
      </c>
      <c r="K773" s="230" t="s">
        <v>3650</v>
      </c>
      <c r="L773" s="230" t="s">
        <v>3650</v>
      </c>
      <c r="T773" s="60"/>
    </row>
    <row r="774">
      <c r="D774" s="65" t="str">
        <f>IFERROR(__xludf.DUMMYFUNCTION("""COMPUTED_VALUE"""),"")</f>
        <v/>
      </c>
      <c r="E774" s="65" t="s">
        <v>3650</v>
      </c>
      <c r="G774" s="65" t="s">
        <v>3650</v>
      </c>
      <c r="J774" s="65" t="s">
        <v>3650</v>
      </c>
      <c r="K774" s="230" t="s">
        <v>3650</v>
      </c>
      <c r="L774" s="230" t="s">
        <v>3650</v>
      </c>
      <c r="T774" s="60"/>
    </row>
    <row r="775">
      <c r="D775" s="65" t="str">
        <f>IFERROR(__xludf.DUMMYFUNCTION("""COMPUTED_VALUE"""),"")</f>
        <v/>
      </c>
      <c r="E775" s="65" t="s">
        <v>3650</v>
      </c>
      <c r="G775" s="65" t="s">
        <v>3650</v>
      </c>
      <c r="J775" s="65" t="s">
        <v>3650</v>
      </c>
      <c r="K775" s="230" t="s">
        <v>3650</v>
      </c>
      <c r="L775" s="230" t="s">
        <v>3650</v>
      </c>
      <c r="T775" s="60"/>
    </row>
    <row r="776">
      <c r="D776" s="65" t="str">
        <f>IFERROR(__xludf.DUMMYFUNCTION("""COMPUTED_VALUE"""),"")</f>
        <v/>
      </c>
      <c r="E776" s="65" t="s">
        <v>3650</v>
      </c>
      <c r="G776" s="65" t="s">
        <v>3650</v>
      </c>
      <c r="J776" s="65" t="s">
        <v>3650</v>
      </c>
      <c r="K776" s="230" t="s">
        <v>3650</v>
      </c>
      <c r="L776" s="230" t="s">
        <v>3650</v>
      </c>
      <c r="T776" s="60"/>
    </row>
    <row r="777">
      <c r="D777" s="65" t="str">
        <f>IFERROR(__xludf.DUMMYFUNCTION("""COMPUTED_VALUE"""),"")</f>
        <v/>
      </c>
      <c r="E777" s="65" t="s">
        <v>3650</v>
      </c>
      <c r="G777" s="65" t="s">
        <v>3650</v>
      </c>
      <c r="J777" s="65" t="s">
        <v>3650</v>
      </c>
      <c r="K777" s="230" t="s">
        <v>3650</v>
      </c>
      <c r="L777" s="230" t="s">
        <v>3650</v>
      </c>
      <c r="T777" s="60"/>
    </row>
    <row r="778">
      <c r="D778" s="65" t="str">
        <f>IFERROR(__xludf.DUMMYFUNCTION("""COMPUTED_VALUE"""),"")</f>
        <v/>
      </c>
      <c r="E778" s="65" t="s">
        <v>3650</v>
      </c>
      <c r="G778" s="65" t="s">
        <v>3650</v>
      </c>
      <c r="J778" s="65" t="s">
        <v>3650</v>
      </c>
      <c r="K778" s="230" t="s">
        <v>3650</v>
      </c>
      <c r="L778" s="230" t="s">
        <v>3650</v>
      </c>
      <c r="T778" s="60"/>
    </row>
    <row r="779">
      <c r="D779" s="65" t="str">
        <f>IFERROR(__xludf.DUMMYFUNCTION("""COMPUTED_VALUE"""),"")</f>
        <v/>
      </c>
      <c r="E779" s="65" t="s">
        <v>3650</v>
      </c>
      <c r="G779" s="65" t="s">
        <v>3650</v>
      </c>
      <c r="J779" s="65" t="s">
        <v>3650</v>
      </c>
      <c r="K779" s="230" t="s">
        <v>3650</v>
      </c>
      <c r="L779" s="230" t="s">
        <v>3650</v>
      </c>
      <c r="T779" s="60"/>
    </row>
    <row r="780">
      <c r="D780" s="65" t="str">
        <f>IFERROR(__xludf.DUMMYFUNCTION("""COMPUTED_VALUE"""),"")</f>
        <v/>
      </c>
      <c r="E780" s="65" t="s">
        <v>3650</v>
      </c>
      <c r="G780" s="65" t="s">
        <v>3650</v>
      </c>
      <c r="J780" s="65" t="s">
        <v>3650</v>
      </c>
      <c r="K780" s="230" t="s">
        <v>3650</v>
      </c>
      <c r="L780" s="230" t="s">
        <v>3650</v>
      </c>
      <c r="T780" s="60"/>
    </row>
    <row r="781">
      <c r="D781" s="65" t="str">
        <f>IFERROR(__xludf.DUMMYFUNCTION("""COMPUTED_VALUE"""),"")</f>
        <v/>
      </c>
      <c r="E781" s="65" t="s">
        <v>3650</v>
      </c>
      <c r="G781" s="65" t="s">
        <v>3650</v>
      </c>
      <c r="J781" s="65" t="s">
        <v>3650</v>
      </c>
      <c r="K781" s="230" t="s">
        <v>3650</v>
      </c>
      <c r="L781" s="230" t="s">
        <v>3650</v>
      </c>
      <c r="T781" s="60"/>
    </row>
    <row r="782">
      <c r="D782" s="65" t="str">
        <f>IFERROR(__xludf.DUMMYFUNCTION("""COMPUTED_VALUE"""),"")</f>
        <v/>
      </c>
      <c r="E782" s="65" t="s">
        <v>3650</v>
      </c>
      <c r="G782" s="65" t="s">
        <v>3650</v>
      </c>
      <c r="J782" s="65" t="s">
        <v>3650</v>
      </c>
      <c r="K782" s="230" t="s">
        <v>3650</v>
      </c>
      <c r="L782" s="230" t="s">
        <v>3650</v>
      </c>
      <c r="T782" s="60"/>
    </row>
    <row r="783">
      <c r="D783" s="65" t="str">
        <f>IFERROR(__xludf.DUMMYFUNCTION("""COMPUTED_VALUE"""),"")</f>
        <v/>
      </c>
      <c r="E783" s="65" t="s">
        <v>3650</v>
      </c>
      <c r="G783" s="65" t="s">
        <v>3650</v>
      </c>
      <c r="J783" s="65" t="s">
        <v>3650</v>
      </c>
      <c r="K783" s="230" t="s">
        <v>3650</v>
      </c>
      <c r="L783" s="230" t="s">
        <v>3650</v>
      </c>
      <c r="T783" s="60"/>
    </row>
    <row r="784">
      <c r="D784" s="65" t="str">
        <f>IFERROR(__xludf.DUMMYFUNCTION("""COMPUTED_VALUE"""),"")</f>
        <v/>
      </c>
      <c r="E784" s="65" t="s">
        <v>3650</v>
      </c>
      <c r="G784" s="65" t="s">
        <v>3650</v>
      </c>
      <c r="J784" s="65" t="s">
        <v>3650</v>
      </c>
      <c r="K784" s="230" t="s">
        <v>3650</v>
      </c>
      <c r="L784" s="230" t="s">
        <v>3650</v>
      </c>
      <c r="T784" s="60"/>
    </row>
    <row r="785">
      <c r="D785" s="65" t="str">
        <f>IFERROR(__xludf.DUMMYFUNCTION("""COMPUTED_VALUE"""),"")</f>
        <v/>
      </c>
      <c r="E785" s="65" t="s">
        <v>3650</v>
      </c>
      <c r="G785" s="65" t="s">
        <v>3650</v>
      </c>
      <c r="J785" s="65" t="s">
        <v>3650</v>
      </c>
      <c r="K785" s="230" t="s">
        <v>3650</v>
      </c>
      <c r="L785" s="230" t="s">
        <v>3650</v>
      </c>
      <c r="T785" s="60"/>
    </row>
    <row r="786">
      <c r="D786" s="65" t="str">
        <f>IFERROR(__xludf.DUMMYFUNCTION("""COMPUTED_VALUE"""),"")</f>
        <v/>
      </c>
      <c r="E786" s="65" t="s">
        <v>3650</v>
      </c>
      <c r="G786" s="65" t="s">
        <v>3650</v>
      </c>
      <c r="J786" s="65" t="s">
        <v>3650</v>
      </c>
      <c r="K786" s="230" t="s">
        <v>3650</v>
      </c>
      <c r="L786" s="230" t="s">
        <v>3650</v>
      </c>
      <c r="T786" s="60"/>
    </row>
    <row r="787">
      <c r="D787" s="65" t="str">
        <f>IFERROR(__xludf.DUMMYFUNCTION("""COMPUTED_VALUE"""),"")</f>
        <v/>
      </c>
      <c r="E787" s="65" t="s">
        <v>3650</v>
      </c>
      <c r="G787" s="65" t="s">
        <v>3650</v>
      </c>
      <c r="J787" s="65" t="s">
        <v>3650</v>
      </c>
      <c r="K787" s="230" t="s">
        <v>3650</v>
      </c>
      <c r="L787" s="230" t="s">
        <v>3650</v>
      </c>
      <c r="T787" s="60"/>
    </row>
    <row r="788">
      <c r="D788" s="65" t="str">
        <f>IFERROR(__xludf.DUMMYFUNCTION("""COMPUTED_VALUE"""),"")</f>
        <v/>
      </c>
      <c r="E788" s="65" t="s">
        <v>3650</v>
      </c>
      <c r="G788" s="65" t="s">
        <v>3650</v>
      </c>
      <c r="J788" s="65" t="s">
        <v>3650</v>
      </c>
      <c r="K788" s="230" t="s">
        <v>3650</v>
      </c>
      <c r="L788" s="230" t="s">
        <v>3650</v>
      </c>
      <c r="T788" s="60"/>
    </row>
    <row r="789">
      <c r="D789" s="65" t="str">
        <f>IFERROR(__xludf.DUMMYFUNCTION("""COMPUTED_VALUE"""),"")</f>
        <v/>
      </c>
      <c r="E789" s="65" t="s">
        <v>3650</v>
      </c>
      <c r="G789" s="65" t="s">
        <v>3650</v>
      </c>
      <c r="J789" s="65" t="s">
        <v>3650</v>
      </c>
      <c r="K789" s="230" t="s">
        <v>3650</v>
      </c>
      <c r="L789" s="230" t="s">
        <v>3650</v>
      </c>
      <c r="T789" s="60"/>
    </row>
    <row r="790">
      <c r="D790" s="65" t="str">
        <f>IFERROR(__xludf.DUMMYFUNCTION("""COMPUTED_VALUE"""),"")</f>
        <v/>
      </c>
      <c r="E790" s="65" t="s">
        <v>3650</v>
      </c>
      <c r="G790" s="65" t="s">
        <v>3650</v>
      </c>
      <c r="J790" s="65" t="s">
        <v>3650</v>
      </c>
      <c r="K790" s="230" t="s">
        <v>3650</v>
      </c>
      <c r="L790" s="230" t="s">
        <v>3650</v>
      </c>
      <c r="T790" s="60"/>
    </row>
    <row r="791">
      <c r="D791" s="65" t="str">
        <f>IFERROR(__xludf.DUMMYFUNCTION("""COMPUTED_VALUE"""),"")</f>
        <v/>
      </c>
      <c r="E791" s="65" t="s">
        <v>3650</v>
      </c>
      <c r="G791" s="65" t="s">
        <v>3650</v>
      </c>
      <c r="J791" s="65" t="s">
        <v>3650</v>
      </c>
      <c r="K791" s="230" t="s">
        <v>3650</v>
      </c>
      <c r="L791" s="230" t="s">
        <v>3650</v>
      </c>
      <c r="T791" s="60"/>
    </row>
    <row r="792">
      <c r="D792" s="65" t="str">
        <f>IFERROR(__xludf.DUMMYFUNCTION("""COMPUTED_VALUE"""),"")</f>
        <v/>
      </c>
      <c r="E792" s="65" t="s">
        <v>3650</v>
      </c>
      <c r="G792" s="65" t="s">
        <v>3650</v>
      </c>
      <c r="J792" s="65" t="s">
        <v>3650</v>
      </c>
      <c r="K792" s="230" t="s">
        <v>3650</v>
      </c>
      <c r="L792" s="230" t="s">
        <v>3650</v>
      </c>
      <c r="T792" s="60"/>
    </row>
    <row r="793">
      <c r="D793" s="65" t="str">
        <f>IFERROR(__xludf.DUMMYFUNCTION("""COMPUTED_VALUE"""),"")</f>
        <v/>
      </c>
      <c r="E793" s="65" t="s">
        <v>3650</v>
      </c>
      <c r="G793" s="65" t="s">
        <v>3650</v>
      </c>
      <c r="J793" s="65" t="s">
        <v>3650</v>
      </c>
      <c r="K793" s="230" t="s">
        <v>3650</v>
      </c>
      <c r="L793" s="230" t="s">
        <v>3650</v>
      </c>
      <c r="T793" s="60"/>
    </row>
    <row r="794">
      <c r="D794" s="65" t="str">
        <f>IFERROR(__xludf.DUMMYFUNCTION("""COMPUTED_VALUE"""),"")</f>
        <v/>
      </c>
      <c r="E794" s="65" t="s">
        <v>3650</v>
      </c>
      <c r="G794" s="65" t="s">
        <v>3650</v>
      </c>
      <c r="J794" s="65" t="s">
        <v>3650</v>
      </c>
      <c r="K794" s="230" t="s">
        <v>3650</v>
      </c>
      <c r="L794" s="230" t="s">
        <v>3650</v>
      </c>
      <c r="T794" s="60"/>
    </row>
    <row r="795">
      <c r="D795" s="65" t="str">
        <f>IFERROR(__xludf.DUMMYFUNCTION("""COMPUTED_VALUE"""),"")</f>
        <v/>
      </c>
      <c r="E795" s="65" t="s">
        <v>3650</v>
      </c>
      <c r="G795" s="65" t="s">
        <v>3650</v>
      </c>
      <c r="J795" s="65" t="s">
        <v>3650</v>
      </c>
      <c r="K795" s="230" t="s">
        <v>3650</v>
      </c>
      <c r="L795" s="230" t="s">
        <v>3650</v>
      </c>
      <c r="T795" s="60"/>
    </row>
    <row r="796">
      <c r="D796" s="65" t="str">
        <f>IFERROR(__xludf.DUMMYFUNCTION("""COMPUTED_VALUE"""),"")</f>
        <v/>
      </c>
      <c r="E796" s="65" t="s">
        <v>3650</v>
      </c>
      <c r="G796" s="65" t="s">
        <v>3650</v>
      </c>
      <c r="J796" s="65" t="s">
        <v>3650</v>
      </c>
      <c r="K796" s="230" t="s">
        <v>3650</v>
      </c>
      <c r="L796" s="230" t="s">
        <v>3650</v>
      </c>
      <c r="T796" s="60"/>
    </row>
    <row r="797">
      <c r="D797" s="65" t="str">
        <f>IFERROR(__xludf.DUMMYFUNCTION("""COMPUTED_VALUE"""),"")</f>
        <v/>
      </c>
      <c r="E797" s="65" t="s">
        <v>3650</v>
      </c>
      <c r="G797" s="65" t="s">
        <v>3650</v>
      </c>
      <c r="J797" s="65" t="s">
        <v>3650</v>
      </c>
      <c r="K797" s="230" t="s">
        <v>3650</v>
      </c>
      <c r="L797" s="230" t="s">
        <v>3650</v>
      </c>
      <c r="T797" s="60"/>
    </row>
    <row r="798">
      <c r="D798" s="65" t="str">
        <f>IFERROR(__xludf.DUMMYFUNCTION("""COMPUTED_VALUE"""),"")</f>
        <v/>
      </c>
      <c r="E798" s="65" t="s">
        <v>3650</v>
      </c>
      <c r="G798" s="65" t="s">
        <v>3650</v>
      </c>
      <c r="J798" s="65" t="s">
        <v>3650</v>
      </c>
      <c r="K798" s="230" t="s">
        <v>3650</v>
      </c>
      <c r="L798" s="230" t="s">
        <v>3650</v>
      </c>
      <c r="T798" s="60"/>
    </row>
    <row r="799">
      <c r="D799" s="65" t="str">
        <f>IFERROR(__xludf.DUMMYFUNCTION("""COMPUTED_VALUE"""),"")</f>
        <v/>
      </c>
      <c r="E799" s="65" t="s">
        <v>3650</v>
      </c>
      <c r="G799" s="65" t="s">
        <v>3650</v>
      </c>
      <c r="J799" s="65" t="s">
        <v>3650</v>
      </c>
      <c r="K799" s="230" t="s">
        <v>3650</v>
      </c>
      <c r="L799" s="230" t="s">
        <v>3650</v>
      </c>
      <c r="T799" s="60"/>
    </row>
    <row r="800">
      <c r="D800" s="65" t="str">
        <f>IFERROR(__xludf.DUMMYFUNCTION("""COMPUTED_VALUE"""),"")</f>
        <v/>
      </c>
      <c r="E800" s="65" t="s">
        <v>3650</v>
      </c>
      <c r="G800" s="65" t="s">
        <v>3650</v>
      </c>
      <c r="J800" s="65" t="s">
        <v>3650</v>
      </c>
      <c r="K800" s="230" t="s">
        <v>3650</v>
      </c>
      <c r="L800" s="230" t="s">
        <v>3650</v>
      </c>
      <c r="T800" s="60"/>
    </row>
    <row r="801">
      <c r="D801" s="65" t="str">
        <f>IFERROR(__xludf.DUMMYFUNCTION("""COMPUTED_VALUE"""),"")</f>
        <v/>
      </c>
      <c r="E801" s="65" t="s">
        <v>3650</v>
      </c>
      <c r="G801" s="65" t="s">
        <v>3650</v>
      </c>
      <c r="J801" s="65" t="s">
        <v>3650</v>
      </c>
      <c r="K801" s="230" t="s">
        <v>3650</v>
      </c>
      <c r="L801" s="230" t="s">
        <v>3650</v>
      </c>
      <c r="T801" s="60"/>
    </row>
    <row r="802">
      <c r="D802" s="65" t="str">
        <f>IFERROR(__xludf.DUMMYFUNCTION("""COMPUTED_VALUE"""),"")</f>
        <v/>
      </c>
      <c r="E802" s="65" t="s">
        <v>3650</v>
      </c>
      <c r="G802" s="65" t="s">
        <v>3650</v>
      </c>
      <c r="J802" s="65" t="s">
        <v>3650</v>
      </c>
      <c r="K802" s="230" t="s">
        <v>3650</v>
      </c>
      <c r="L802" s="230" t="s">
        <v>3650</v>
      </c>
      <c r="T802" s="60"/>
    </row>
    <row r="803">
      <c r="D803" s="65" t="str">
        <f>IFERROR(__xludf.DUMMYFUNCTION("""COMPUTED_VALUE"""),"")</f>
        <v/>
      </c>
      <c r="E803" s="65" t="s">
        <v>3650</v>
      </c>
      <c r="G803" s="65" t="s">
        <v>3650</v>
      </c>
      <c r="J803" s="65" t="s">
        <v>3650</v>
      </c>
      <c r="K803" s="230" t="s">
        <v>3650</v>
      </c>
      <c r="L803" s="230" t="s">
        <v>3650</v>
      </c>
      <c r="T803" s="60"/>
    </row>
    <row r="804">
      <c r="D804" s="65" t="str">
        <f>IFERROR(__xludf.DUMMYFUNCTION("""COMPUTED_VALUE"""),"")</f>
        <v/>
      </c>
      <c r="E804" s="65" t="s">
        <v>3650</v>
      </c>
      <c r="G804" s="65" t="s">
        <v>3650</v>
      </c>
      <c r="J804" s="65" t="s">
        <v>3650</v>
      </c>
      <c r="K804" s="230" t="s">
        <v>3650</v>
      </c>
      <c r="L804" s="230" t="s">
        <v>3650</v>
      </c>
      <c r="T804" s="60"/>
    </row>
    <row r="805">
      <c r="D805" s="65" t="str">
        <f>IFERROR(__xludf.DUMMYFUNCTION("""COMPUTED_VALUE"""),"")</f>
        <v/>
      </c>
      <c r="E805" s="65" t="s">
        <v>3650</v>
      </c>
      <c r="G805" s="65" t="s">
        <v>3650</v>
      </c>
      <c r="J805" s="65" t="s">
        <v>3650</v>
      </c>
      <c r="K805" s="230" t="s">
        <v>3650</v>
      </c>
      <c r="L805" s="230" t="s">
        <v>3650</v>
      </c>
      <c r="T805" s="60"/>
    </row>
    <row r="806">
      <c r="D806" s="65" t="str">
        <f>IFERROR(__xludf.DUMMYFUNCTION("""COMPUTED_VALUE"""),"")</f>
        <v/>
      </c>
      <c r="E806" s="65" t="s">
        <v>3650</v>
      </c>
      <c r="G806" s="65" t="s">
        <v>3650</v>
      </c>
      <c r="J806" s="65" t="s">
        <v>3650</v>
      </c>
      <c r="K806" s="230" t="s">
        <v>3650</v>
      </c>
      <c r="L806" s="230" t="s">
        <v>3650</v>
      </c>
      <c r="T806" s="60"/>
    </row>
    <row r="807">
      <c r="D807" s="65" t="str">
        <f>IFERROR(__xludf.DUMMYFUNCTION("""COMPUTED_VALUE"""),"")</f>
        <v/>
      </c>
      <c r="E807" s="65" t="s">
        <v>3650</v>
      </c>
      <c r="G807" s="65" t="s">
        <v>3650</v>
      </c>
      <c r="J807" s="65" t="s">
        <v>3650</v>
      </c>
      <c r="K807" s="230" t="s">
        <v>3650</v>
      </c>
      <c r="L807" s="230" t="s">
        <v>3650</v>
      </c>
      <c r="T807" s="60"/>
    </row>
    <row r="808">
      <c r="D808" s="65" t="str">
        <f>IFERROR(__xludf.DUMMYFUNCTION("""COMPUTED_VALUE"""),"")</f>
        <v/>
      </c>
      <c r="E808" s="65" t="s">
        <v>3650</v>
      </c>
      <c r="G808" s="65" t="s">
        <v>3650</v>
      </c>
      <c r="J808" s="65" t="s">
        <v>3650</v>
      </c>
      <c r="K808" s="230" t="s">
        <v>3650</v>
      </c>
      <c r="L808" s="230" t="s">
        <v>3650</v>
      </c>
      <c r="T808" s="60"/>
    </row>
    <row r="809">
      <c r="D809" s="65" t="str">
        <f>IFERROR(__xludf.DUMMYFUNCTION("""COMPUTED_VALUE"""),"")</f>
        <v/>
      </c>
      <c r="E809" s="65" t="s">
        <v>3650</v>
      </c>
      <c r="G809" s="65" t="s">
        <v>3650</v>
      </c>
      <c r="J809" s="65" t="s">
        <v>3650</v>
      </c>
      <c r="K809" s="230" t="s">
        <v>3650</v>
      </c>
      <c r="L809" s="230" t="s">
        <v>3650</v>
      </c>
      <c r="T809" s="60"/>
    </row>
    <row r="810">
      <c r="D810" s="65" t="str">
        <f>IFERROR(__xludf.DUMMYFUNCTION("""COMPUTED_VALUE"""),"")</f>
        <v/>
      </c>
      <c r="E810" s="65" t="s">
        <v>3650</v>
      </c>
      <c r="G810" s="65" t="s">
        <v>3650</v>
      </c>
      <c r="J810" s="65" t="s">
        <v>3650</v>
      </c>
      <c r="K810" s="230" t="s">
        <v>3650</v>
      </c>
      <c r="L810" s="230" t="s">
        <v>3650</v>
      </c>
      <c r="T810" s="60"/>
    </row>
    <row r="811">
      <c r="D811" s="65" t="str">
        <f>IFERROR(__xludf.DUMMYFUNCTION("""COMPUTED_VALUE"""),"")</f>
        <v/>
      </c>
      <c r="E811" s="65" t="s">
        <v>3650</v>
      </c>
      <c r="G811" s="65" t="s">
        <v>3650</v>
      </c>
      <c r="J811" s="65" t="s">
        <v>3650</v>
      </c>
      <c r="K811" s="230" t="s">
        <v>3650</v>
      </c>
      <c r="L811" s="230" t="s">
        <v>3650</v>
      </c>
      <c r="T811" s="60"/>
    </row>
    <row r="812">
      <c r="D812" s="65" t="str">
        <f>IFERROR(__xludf.DUMMYFUNCTION("""COMPUTED_VALUE"""),"")</f>
        <v/>
      </c>
      <c r="E812" s="65" t="s">
        <v>3650</v>
      </c>
      <c r="G812" s="65" t="s">
        <v>3650</v>
      </c>
      <c r="J812" s="65" t="s">
        <v>3650</v>
      </c>
      <c r="K812" s="230" t="s">
        <v>3650</v>
      </c>
      <c r="L812" s="230" t="s">
        <v>3650</v>
      </c>
      <c r="T812" s="60"/>
    </row>
    <row r="813">
      <c r="D813" s="65" t="str">
        <f>IFERROR(__xludf.DUMMYFUNCTION("""COMPUTED_VALUE"""),"")</f>
        <v/>
      </c>
      <c r="E813" s="65" t="s">
        <v>3650</v>
      </c>
      <c r="G813" s="65" t="s">
        <v>3650</v>
      </c>
      <c r="J813" s="65" t="s">
        <v>3650</v>
      </c>
      <c r="K813" s="230" t="s">
        <v>3650</v>
      </c>
      <c r="L813" s="230" t="s">
        <v>3650</v>
      </c>
      <c r="T813" s="60"/>
    </row>
    <row r="814">
      <c r="D814" s="65" t="str">
        <f>IFERROR(__xludf.DUMMYFUNCTION("""COMPUTED_VALUE"""),"")</f>
        <v/>
      </c>
      <c r="E814" s="65" t="s">
        <v>3650</v>
      </c>
      <c r="G814" s="65" t="s">
        <v>3650</v>
      </c>
      <c r="J814" s="65" t="s">
        <v>3650</v>
      </c>
      <c r="K814" s="230" t="s">
        <v>3650</v>
      </c>
      <c r="L814" s="230" t="s">
        <v>3650</v>
      </c>
      <c r="T814" s="60"/>
    </row>
    <row r="815">
      <c r="D815" s="65" t="str">
        <f>IFERROR(__xludf.DUMMYFUNCTION("""COMPUTED_VALUE"""),"")</f>
        <v/>
      </c>
      <c r="E815" s="65" t="s">
        <v>3650</v>
      </c>
      <c r="G815" s="65" t="s">
        <v>3650</v>
      </c>
      <c r="J815" s="65" t="s">
        <v>3650</v>
      </c>
      <c r="K815" s="230" t="s">
        <v>3650</v>
      </c>
      <c r="L815" s="230" t="s">
        <v>3650</v>
      </c>
      <c r="T815" s="60"/>
    </row>
    <row r="816">
      <c r="D816" s="65" t="str">
        <f>IFERROR(__xludf.DUMMYFUNCTION("""COMPUTED_VALUE"""),"")</f>
        <v/>
      </c>
      <c r="E816" s="65" t="s">
        <v>3650</v>
      </c>
      <c r="G816" s="65" t="s">
        <v>3650</v>
      </c>
      <c r="J816" s="65" t="s">
        <v>3650</v>
      </c>
      <c r="K816" s="230" t="s">
        <v>3650</v>
      </c>
      <c r="L816" s="230" t="s">
        <v>3650</v>
      </c>
      <c r="T816" s="60"/>
    </row>
    <row r="817">
      <c r="D817" s="65" t="str">
        <f>IFERROR(__xludf.DUMMYFUNCTION("""COMPUTED_VALUE"""),"")</f>
        <v/>
      </c>
      <c r="E817" s="65" t="s">
        <v>3650</v>
      </c>
      <c r="G817" s="65" t="s">
        <v>3650</v>
      </c>
      <c r="J817" s="65" t="s">
        <v>3650</v>
      </c>
      <c r="K817" s="230" t="s">
        <v>3650</v>
      </c>
      <c r="L817" s="230" t="s">
        <v>3650</v>
      </c>
      <c r="T817" s="60"/>
    </row>
    <row r="818">
      <c r="D818" s="65" t="str">
        <f>IFERROR(__xludf.DUMMYFUNCTION("""COMPUTED_VALUE"""),"")</f>
        <v/>
      </c>
      <c r="E818" s="65" t="s">
        <v>3650</v>
      </c>
      <c r="G818" s="65" t="s">
        <v>3650</v>
      </c>
      <c r="J818" s="65" t="s">
        <v>3650</v>
      </c>
      <c r="K818" s="230" t="s">
        <v>3650</v>
      </c>
      <c r="L818" s="230" t="s">
        <v>3650</v>
      </c>
      <c r="T818" s="60"/>
    </row>
    <row r="819">
      <c r="D819" s="65" t="str">
        <f>IFERROR(__xludf.DUMMYFUNCTION("""COMPUTED_VALUE"""),"")</f>
        <v/>
      </c>
      <c r="E819" s="65" t="s">
        <v>3650</v>
      </c>
      <c r="G819" s="65" t="s">
        <v>3650</v>
      </c>
      <c r="J819" s="65" t="s">
        <v>3650</v>
      </c>
      <c r="K819" s="230" t="s">
        <v>3650</v>
      </c>
      <c r="L819" s="230" t="s">
        <v>3650</v>
      </c>
      <c r="T819" s="60"/>
    </row>
    <row r="820">
      <c r="D820" s="65" t="str">
        <f>IFERROR(__xludf.DUMMYFUNCTION("""COMPUTED_VALUE"""),"")</f>
        <v/>
      </c>
      <c r="E820" s="65" t="s">
        <v>3650</v>
      </c>
      <c r="G820" s="65" t="s">
        <v>3650</v>
      </c>
      <c r="J820" s="65" t="s">
        <v>3650</v>
      </c>
      <c r="K820" s="230" t="s">
        <v>3650</v>
      </c>
      <c r="L820" s="230" t="s">
        <v>3650</v>
      </c>
      <c r="T820" s="60"/>
    </row>
    <row r="821">
      <c r="D821" s="65" t="str">
        <f>IFERROR(__xludf.DUMMYFUNCTION("""COMPUTED_VALUE"""),"")</f>
        <v/>
      </c>
      <c r="E821" s="65" t="s">
        <v>3650</v>
      </c>
      <c r="G821" s="65" t="s">
        <v>3650</v>
      </c>
      <c r="J821" s="65" t="s">
        <v>3650</v>
      </c>
      <c r="K821" s="230" t="s">
        <v>3650</v>
      </c>
      <c r="L821" s="230" t="s">
        <v>3650</v>
      </c>
      <c r="T821" s="60"/>
    </row>
    <row r="822">
      <c r="D822" s="65" t="str">
        <f>IFERROR(__xludf.DUMMYFUNCTION("""COMPUTED_VALUE"""),"")</f>
        <v/>
      </c>
      <c r="E822" s="65" t="s">
        <v>3650</v>
      </c>
      <c r="G822" s="65" t="s">
        <v>3650</v>
      </c>
      <c r="J822" s="65" t="s">
        <v>3650</v>
      </c>
      <c r="K822" s="230" t="s">
        <v>3650</v>
      </c>
      <c r="L822" s="230" t="s">
        <v>3650</v>
      </c>
      <c r="T822" s="60"/>
    </row>
    <row r="823">
      <c r="D823" s="65" t="str">
        <f>IFERROR(__xludf.DUMMYFUNCTION("""COMPUTED_VALUE"""),"")</f>
        <v/>
      </c>
      <c r="E823" s="65" t="s">
        <v>3650</v>
      </c>
      <c r="G823" s="65" t="s">
        <v>3650</v>
      </c>
      <c r="J823" s="65" t="s">
        <v>3650</v>
      </c>
      <c r="K823" s="230" t="s">
        <v>3650</v>
      </c>
      <c r="L823" s="230" t="s">
        <v>3650</v>
      </c>
      <c r="T823" s="60"/>
    </row>
    <row r="824">
      <c r="D824" s="65" t="str">
        <f>IFERROR(__xludf.DUMMYFUNCTION("""COMPUTED_VALUE"""),"")</f>
        <v/>
      </c>
      <c r="E824" s="65" t="s">
        <v>3650</v>
      </c>
      <c r="G824" s="65" t="s">
        <v>3650</v>
      </c>
      <c r="J824" s="65" t="s">
        <v>3650</v>
      </c>
      <c r="K824" s="230" t="s">
        <v>3650</v>
      </c>
      <c r="L824" s="230" t="s">
        <v>3650</v>
      </c>
      <c r="T824" s="60"/>
    </row>
    <row r="825">
      <c r="D825" s="65" t="str">
        <f>IFERROR(__xludf.DUMMYFUNCTION("""COMPUTED_VALUE"""),"")</f>
        <v/>
      </c>
      <c r="E825" s="65" t="s">
        <v>3650</v>
      </c>
      <c r="G825" s="65" t="s">
        <v>3650</v>
      </c>
      <c r="J825" s="65" t="s">
        <v>3650</v>
      </c>
      <c r="K825" s="230" t="s">
        <v>3650</v>
      </c>
      <c r="L825" s="230" t="s">
        <v>3650</v>
      </c>
      <c r="T825" s="60"/>
    </row>
    <row r="826">
      <c r="D826" s="65" t="str">
        <f>IFERROR(__xludf.DUMMYFUNCTION("""COMPUTED_VALUE"""),"")</f>
        <v/>
      </c>
      <c r="E826" s="65" t="s">
        <v>3650</v>
      </c>
      <c r="G826" s="65" t="s">
        <v>3650</v>
      </c>
      <c r="J826" s="65" t="s">
        <v>3650</v>
      </c>
      <c r="K826" s="230" t="s">
        <v>3650</v>
      </c>
      <c r="L826" s="230" t="s">
        <v>3650</v>
      </c>
      <c r="T826" s="60"/>
    </row>
    <row r="827">
      <c r="D827" s="65" t="str">
        <f>IFERROR(__xludf.DUMMYFUNCTION("""COMPUTED_VALUE"""),"")</f>
        <v/>
      </c>
      <c r="E827" s="65" t="s">
        <v>3650</v>
      </c>
      <c r="G827" s="65" t="s">
        <v>3650</v>
      </c>
      <c r="J827" s="65" t="s">
        <v>3650</v>
      </c>
      <c r="K827" s="230" t="s">
        <v>3650</v>
      </c>
      <c r="L827" s="230" t="s">
        <v>3650</v>
      </c>
      <c r="T827" s="60"/>
    </row>
    <row r="828">
      <c r="D828" s="65" t="str">
        <f>IFERROR(__xludf.DUMMYFUNCTION("""COMPUTED_VALUE"""),"")</f>
        <v/>
      </c>
      <c r="E828" s="65" t="s">
        <v>3650</v>
      </c>
      <c r="G828" s="65" t="s">
        <v>3650</v>
      </c>
      <c r="J828" s="65" t="s">
        <v>3650</v>
      </c>
      <c r="K828" s="230" t="s">
        <v>3650</v>
      </c>
      <c r="L828" s="230" t="s">
        <v>3650</v>
      </c>
      <c r="T828" s="60"/>
    </row>
    <row r="829">
      <c r="D829" s="65" t="str">
        <f>IFERROR(__xludf.DUMMYFUNCTION("""COMPUTED_VALUE"""),"")</f>
        <v/>
      </c>
      <c r="E829" s="65" t="s">
        <v>3650</v>
      </c>
      <c r="G829" s="65" t="s">
        <v>3650</v>
      </c>
      <c r="J829" s="65" t="s">
        <v>3650</v>
      </c>
      <c r="K829" s="230" t="s">
        <v>3650</v>
      </c>
      <c r="L829" s="230" t="s">
        <v>3650</v>
      </c>
      <c r="T829" s="60"/>
    </row>
    <row r="830">
      <c r="D830" s="65" t="str">
        <f>IFERROR(__xludf.DUMMYFUNCTION("""COMPUTED_VALUE"""),"")</f>
        <v/>
      </c>
      <c r="E830" s="65" t="s">
        <v>3650</v>
      </c>
      <c r="G830" s="65" t="s">
        <v>3650</v>
      </c>
      <c r="J830" s="65" t="s">
        <v>3650</v>
      </c>
      <c r="K830" s="230" t="s">
        <v>3650</v>
      </c>
      <c r="L830" s="230" t="s">
        <v>3650</v>
      </c>
      <c r="T830" s="60"/>
    </row>
    <row r="831">
      <c r="D831" s="65" t="str">
        <f>IFERROR(__xludf.DUMMYFUNCTION("""COMPUTED_VALUE"""),"")</f>
        <v/>
      </c>
      <c r="E831" s="65" t="s">
        <v>3650</v>
      </c>
      <c r="G831" s="65" t="s">
        <v>3650</v>
      </c>
      <c r="J831" s="65" t="s">
        <v>3650</v>
      </c>
      <c r="K831" s="230" t="s">
        <v>3650</v>
      </c>
      <c r="L831" s="230" t="s">
        <v>3650</v>
      </c>
      <c r="T831" s="60"/>
    </row>
    <row r="832">
      <c r="D832" s="65" t="str">
        <f>IFERROR(__xludf.DUMMYFUNCTION("""COMPUTED_VALUE"""),"")</f>
        <v/>
      </c>
      <c r="E832" s="65" t="s">
        <v>3650</v>
      </c>
      <c r="G832" s="65" t="s">
        <v>3650</v>
      </c>
      <c r="J832" s="65" t="s">
        <v>3650</v>
      </c>
      <c r="K832" s="230" t="s">
        <v>3650</v>
      </c>
      <c r="L832" s="230" t="s">
        <v>3650</v>
      </c>
      <c r="T832" s="60"/>
    </row>
    <row r="833">
      <c r="D833" s="65" t="str">
        <f>IFERROR(__xludf.DUMMYFUNCTION("""COMPUTED_VALUE"""),"")</f>
        <v/>
      </c>
      <c r="E833" s="65" t="s">
        <v>3650</v>
      </c>
      <c r="G833" s="65" t="s">
        <v>3650</v>
      </c>
      <c r="J833" s="65" t="s">
        <v>3650</v>
      </c>
      <c r="K833" s="230" t="s">
        <v>3650</v>
      </c>
      <c r="L833" s="230" t="s">
        <v>3650</v>
      </c>
      <c r="T833" s="60"/>
    </row>
    <row r="834">
      <c r="D834" s="65" t="str">
        <f>IFERROR(__xludf.DUMMYFUNCTION("""COMPUTED_VALUE"""),"")</f>
        <v/>
      </c>
      <c r="E834" s="65" t="s">
        <v>3650</v>
      </c>
      <c r="G834" s="65" t="s">
        <v>3650</v>
      </c>
      <c r="J834" s="65" t="s">
        <v>3650</v>
      </c>
      <c r="K834" s="230" t="s">
        <v>3650</v>
      </c>
      <c r="L834" s="230" t="s">
        <v>3650</v>
      </c>
      <c r="T834" s="60"/>
    </row>
    <row r="835">
      <c r="D835" s="65" t="str">
        <f>IFERROR(__xludf.DUMMYFUNCTION("""COMPUTED_VALUE"""),"")</f>
        <v/>
      </c>
      <c r="E835" s="65" t="s">
        <v>3650</v>
      </c>
      <c r="G835" s="65" t="s">
        <v>3650</v>
      </c>
      <c r="J835" s="65" t="s">
        <v>3650</v>
      </c>
      <c r="K835" s="230" t="s">
        <v>3650</v>
      </c>
      <c r="L835" s="230" t="s">
        <v>3650</v>
      </c>
      <c r="T835" s="60"/>
    </row>
    <row r="836">
      <c r="D836" s="65" t="str">
        <f>IFERROR(__xludf.DUMMYFUNCTION("""COMPUTED_VALUE"""),"")</f>
        <v/>
      </c>
      <c r="E836" s="65" t="s">
        <v>3650</v>
      </c>
      <c r="G836" s="65" t="s">
        <v>3650</v>
      </c>
      <c r="J836" s="65" t="s">
        <v>3650</v>
      </c>
      <c r="K836" s="230" t="s">
        <v>3650</v>
      </c>
      <c r="L836" s="230" t="s">
        <v>3650</v>
      </c>
      <c r="T836" s="60"/>
    </row>
    <row r="837">
      <c r="D837" s="65" t="str">
        <f>IFERROR(__xludf.DUMMYFUNCTION("""COMPUTED_VALUE"""),"")</f>
        <v/>
      </c>
      <c r="E837" s="65" t="s">
        <v>3650</v>
      </c>
      <c r="G837" s="65" t="s">
        <v>3650</v>
      </c>
      <c r="J837" s="65" t="s">
        <v>3650</v>
      </c>
      <c r="K837" s="230" t="s">
        <v>3650</v>
      </c>
      <c r="L837" s="230" t="s">
        <v>3650</v>
      </c>
      <c r="T837" s="60"/>
    </row>
    <row r="838">
      <c r="D838" s="65" t="str">
        <f>IFERROR(__xludf.DUMMYFUNCTION("""COMPUTED_VALUE"""),"")</f>
        <v/>
      </c>
      <c r="E838" s="65" t="s">
        <v>3650</v>
      </c>
      <c r="G838" s="65" t="s">
        <v>3650</v>
      </c>
      <c r="J838" s="65" t="s">
        <v>3650</v>
      </c>
      <c r="K838" s="230" t="s">
        <v>3650</v>
      </c>
      <c r="L838" s="230" t="s">
        <v>3650</v>
      </c>
      <c r="T838" s="60"/>
    </row>
    <row r="839">
      <c r="D839" s="65" t="str">
        <f>IFERROR(__xludf.DUMMYFUNCTION("""COMPUTED_VALUE"""),"")</f>
        <v/>
      </c>
      <c r="E839" s="65" t="s">
        <v>3650</v>
      </c>
      <c r="G839" s="65" t="s">
        <v>3650</v>
      </c>
      <c r="J839" s="65" t="s">
        <v>3650</v>
      </c>
      <c r="K839" s="230" t="s">
        <v>3650</v>
      </c>
      <c r="L839" s="230" t="s">
        <v>3650</v>
      </c>
      <c r="T839" s="60"/>
    </row>
    <row r="840">
      <c r="D840" s="65" t="str">
        <f>IFERROR(__xludf.DUMMYFUNCTION("""COMPUTED_VALUE"""),"")</f>
        <v/>
      </c>
      <c r="E840" s="65" t="s">
        <v>3650</v>
      </c>
      <c r="G840" s="65" t="s">
        <v>3650</v>
      </c>
      <c r="J840" s="65" t="s">
        <v>3650</v>
      </c>
      <c r="K840" s="230" t="s">
        <v>3650</v>
      </c>
      <c r="L840" s="230" t="s">
        <v>3650</v>
      </c>
      <c r="T840" s="60"/>
    </row>
    <row r="841">
      <c r="D841" s="65" t="str">
        <f>IFERROR(__xludf.DUMMYFUNCTION("""COMPUTED_VALUE"""),"")</f>
        <v/>
      </c>
      <c r="E841" s="65" t="s">
        <v>3650</v>
      </c>
      <c r="G841" s="65" t="s">
        <v>3650</v>
      </c>
      <c r="J841" s="65" t="s">
        <v>3650</v>
      </c>
      <c r="K841" s="230" t="s">
        <v>3650</v>
      </c>
      <c r="L841" s="230" t="s">
        <v>3650</v>
      </c>
      <c r="T841" s="60"/>
    </row>
    <row r="842">
      <c r="D842" s="65" t="str">
        <f>IFERROR(__xludf.DUMMYFUNCTION("""COMPUTED_VALUE"""),"")</f>
        <v/>
      </c>
      <c r="E842" s="65" t="s">
        <v>3650</v>
      </c>
      <c r="G842" s="65" t="s">
        <v>3650</v>
      </c>
      <c r="J842" s="65" t="s">
        <v>3650</v>
      </c>
      <c r="K842" s="230" t="s">
        <v>3650</v>
      </c>
      <c r="L842" s="230" t="s">
        <v>3650</v>
      </c>
      <c r="T842" s="60"/>
    </row>
    <row r="843">
      <c r="D843" s="65" t="str">
        <f>IFERROR(__xludf.DUMMYFUNCTION("""COMPUTED_VALUE"""),"")</f>
        <v/>
      </c>
      <c r="E843" s="65" t="s">
        <v>3650</v>
      </c>
      <c r="G843" s="65" t="s">
        <v>3650</v>
      </c>
      <c r="J843" s="65" t="s">
        <v>3650</v>
      </c>
      <c r="K843" s="230" t="s">
        <v>3650</v>
      </c>
      <c r="L843" s="230" t="s">
        <v>3650</v>
      </c>
      <c r="T843" s="60"/>
    </row>
    <row r="844">
      <c r="D844" s="65" t="str">
        <f>IFERROR(__xludf.DUMMYFUNCTION("""COMPUTED_VALUE"""),"")</f>
        <v/>
      </c>
      <c r="E844" s="65" t="s">
        <v>3650</v>
      </c>
      <c r="G844" s="65" t="s">
        <v>3650</v>
      </c>
      <c r="J844" s="65" t="s">
        <v>3650</v>
      </c>
      <c r="K844" s="230" t="s">
        <v>3650</v>
      </c>
      <c r="L844" s="230" t="s">
        <v>3650</v>
      </c>
      <c r="T844" s="60"/>
    </row>
    <row r="845">
      <c r="D845" s="65" t="str">
        <f>IFERROR(__xludf.DUMMYFUNCTION("""COMPUTED_VALUE"""),"")</f>
        <v/>
      </c>
      <c r="E845" s="65" t="s">
        <v>3650</v>
      </c>
      <c r="G845" s="65" t="s">
        <v>3650</v>
      </c>
      <c r="J845" s="65" t="s">
        <v>3650</v>
      </c>
      <c r="K845" s="230" t="s">
        <v>3650</v>
      </c>
      <c r="L845" s="230" t="s">
        <v>3650</v>
      </c>
      <c r="T845" s="60"/>
    </row>
    <row r="846">
      <c r="D846" s="65" t="str">
        <f>IFERROR(__xludf.DUMMYFUNCTION("""COMPUTED_VALUE"""),"")</f>
        <v/>
      </c>
      <c r="E846" s="65" t="s">
        <v>3650</v>
      </c>
      <c r="G846" s="65" t="s">
        <v>3650</v>
      </c>
      <c r="J846" s="65" t="s">
        <v>3650</v>
      </c>
      <c r="K846" s="230" t="s">
        <v>3650</v>
      </c>
      <c r="L846" s="230" t="s">
        <v>3650</v>
      </c>
      <c r="T846" s="60"/>
    </row>
    <row r="847">
      <c r="D847" s="65" t="str">
        <f>IFERROR(__xludf.DUMMYFUNCTION("""COMPUTED_VALUE"""),"")</f>
        <v/>
      </c>
      <c r="E847" s="65" t="s">
        <v>3650</v>
      </c>
      <c r="G847" s="65" t="s">
        <v>3650</v>
      </c>
      <c r="J847" s="65" t="s">
        <v>3650</v>
      </c>
      <c r="K847" s="230" t="s">
        <v>3650</v>
      </c>
      <c r="L847" s="230" t="s">
        <v>3650</v>
      </c>
      <c r="T847" s="60"/>
    </row>
    <row r="848">
      <c r="D848" s="65" t="str">
        <f>IFERROR(__xludf.DUMMYFUNCTION("""COMPUTED_VALUE"""),"")</f>
        <v/>
      </c>
      <c r="E848" s="65" t="s">
        <v>3650</v>
      </c>
      <c r="G848" s="65" t="s">
        <v>3650</v>
      </c>
      <c r="J848" s="65" t="s">
        <v>3650</v>
      </c>
      <c r="K848" s="230" t="s">
        <v>3650</v>
      </c>
      <c r="L848" s="230" t="s">
        <v>3650</v>
      </c>
      <c r="T848" s="60"/>
    </row>
    <row r="849">
      <c r="D849" s="65" t="str">
        <f>IFERROR(__xludf.DUMMYFUNCTION("""COMPUTED_VALUE"""),"")</f>
        <v/>
      </c>
      <c r="E849" s="65" t="s">
        <v>3650</v>
      </c>
      <c r="G849" s="65" t="s">
        <v>3650</v>
      </c>
      <c r="J849" s="65" t="s">
        <v>3650</v>
      </c>
      <c r="K849" s="230" t="s">
        <v>3650</v>
      </c>
      <c r="L849" s="230" t="s">
        <v>3650</v>
      </c>
      <c r="T849" s="60"/>
    </row>
    <row r="850">
      <c r="D850" s="65" t="str">
        <f>IFERROR(__xludf.DUMMYFUNCTION("""COMPUTED_VALUE"""),"")</f>
        <v/>
      </c>
      <c r="E850" s="65" t="s">
        <v>3650</v>
      </c>
      <c r="G850" s="65" t="s">
        <v>3650</v>
      </c>
      <c r="J850" s="65" t="s">
        <v>3650</v>
      </c>
      <c r="K850" s="230" t="s">
        <v>3650</v>
      </c>
      <c r="L850" s="230" t="s">
        <v>3650</v>
      </c>
      <c r="T850" s="60"/>
    </row>
    <row r="851">
      <c r="D851" s="65" t="str">
        <f>IFERROR(__xludf.DUMMYFUNCTION("""COMPUTED_VALUE"""),"")</f>
        <v/>
      </c>
      <c r="E851" s="65" t="s">
        <v>3650</v>
      </c>
      <c r="G851" s="65" t="s">
        <v>3650</v>
      </c>
      <c r="J851" s="65" t="s">
        <v>3650</v>
      </c>
      <c r="K851" s="230" t="s">
        <v>3650</v>
      </c>
      <c r="L851" s="230" t="s">
        <v>3650</v>
      </c>
      <c r="T851" s="60"/>
    </row>
    <row r="852">
      <c r="D852" s="65" t="str">
        <f>IFERROR(__xludf.DUMMYFUNCTION("""COMPUTED_VALUE"""),"")</f>
        <v/>
      </c>
      <c r="E852" s="65" t="s">
        <v>3650</v>
      </c>
      <c r="G852" s="65" t="s">
        <v>3650</v>
      </c>
      <c r="J852" s="65" t="s">
        <v>3650</v>
      </c>
      <c r="K852" s="230" t="s">
        <v>3650</v>
      </c>
      <c r="L852" s="230" t="s">
        <v>3650</v>
      </c>
      <c r="T852" s="60"/>
    </row>
    <row r="853">
      <c r="D853" s="65" t="str">
        <f>IFERROR(__xludf.DUMMYFUNCTION("""COMPUTED_VALUE"""),"")</f>
        <v/>
      </c>
      <c r="E853" s="65" t="s">
        <v>3650</v>
      </c>
      <c r="G853" s="65" t="s">
        <v>3650</v>
      </c>
      <c r="J853" s="65" t="s">
        <v>3650</v>
      </c>
      <c r="K853" s="230" t="s">
        <v>3650</v>
      </c>
      <c r="L853" s="230" t="s">
        <v>3650</v>
      </c>
      <c r="T853" s="60"/>
    </row>
    <row r="854">
      <c r="D854" s="65" t="str">
        <f>IFERROR(__xludf.DUMMYFUNCTION("""COMPUTED_VALUE"""),"")</f>
        <v/>
      </c>
      <c r="E854" s="65" t="s">
        <v>3650</v>
      </c>
      <c r="G854" s="65" t="s">
        <v>3650</v>
      </c>
      <c r="J854" s="65" t="s">
        <v>3650</v>
      </c>
      <c r="K854" s="230" t="s">
        <v>3650</v>
      </c>
      <c r="L854" s="230" t="s">
        <v>3650</v>
      </c>
      <c r="T854" s="60"/>
    </row>
    <row r="855">
      <c r="D855" s="65" t="str">
        <f>IFERROR(__xludf.DUMMYFUNCTION("""COMPUTED_VALUE"""),"")</f>
        <v/>
      </c>
      <c r="E855" s="65" t="s">
        <v>3650</v>
      </c>
      <c r="G855" s="65" t="s">
        <v>3650</v>
      </c>
      <c r="J855" s="65" t="s">
        <v>3650</v>
      </c>
      <c r="K855" s="230" t="s">
        <v>3650</v>
      </c>
      <c r="L855" s="230" t="s">
        <v>3650</v>
      </c>
      <c r="T855" s="60"/>
    </row>
    <row r="856">
      <c r="D856" s="65" t="str">
        <f>IFERROR(__xludf.DUMMYFUNCTION("""COMPUTED_VALUE"""),"")</f>
        <v/>
      </c>
      <c r="E856" s="65" t="s">
        <v>3650</v>
      </c>
      <c r="G856" s="65" t="s">
        <v>3650</v>
      </c>
      <c r="J856" s="65" t="s">
        <v>3650</v>
      </c>
      <c r="K856" s="230" t="s">
        <v>3650</v>
      </c>
      <c r="L856" s="230" t="s">
        <v>3650</v>
      </c>
      <c r="T856" s="60"/>
    </row>
    <row r="857">
      <c r="D857" s="65" t="str">
        <f>IFERROR(__xludf.DUMMYFUNCTION("""COMPUTED_VALUE"""),"")</f>
        <v/>
      </c>
      <c r="E857" s="65" t="s">
        <v>3650</v>
      </c>
      <c r="G857" s="65" t="s">
        <v>3650</v>
      </c>
      <c r="J857" s="65" t="s">
        <v>3650</v>
      </c>
      <c r="K857" s="230" t="s">
        <v>3650</v>
      </c>
      <c r="L857" s="230" t="s">
        <v>3650</v>
      </c>
      <c r="T857" s="60"/>
    </row>
    <row r="858">
      <c r="D858" s="65" t="str">
        <f>IFERROR(__xludf.DUMMYFUNCTION("""COMPUTED_VALUE"""),"")</f>
        <v/>
      </c>
      <c r="E858" s="65" t="s">
        <v>3650</v>
      </c>
      <c r="G858" s="65" t="s">
        <v>3650</v>
      </c>
      <c r="J858" s="65" t="s">
        <v>3650</v>
      </c>
      <c r="K858" s="230" t="s">
        <v>3650</v>
      </c>
      <c r="L858" s="230" t="s">
        <v>3650</v>
      </c>
      <c r="T858" s="60"/>
    </row>
    <row r="859">
      <c r="D859" s="65" t="str">
        <f>IFERROR(__xludf.DUMMYFUNCTION("""COMPUTED_VALUE"""),"")</f>
        <v/>
      </c>
      <c r="E859" s="65" t="s">
        <v>3650</v>
      </c>
      <c r="G859" s="65" t="s">
        <v>3650</v>
      </c>
      <c r="J859" s="65" t="s">
        <v>3650</v>
      </c>
      <c r="K859" s="230" t="s">
        <v>3650</v>
      </c>
      <c r="L859" s="230" t="s">
        <v>3650</v>
      </c>
      <c r="T859" s="60"/>
    </row>
    <row r="860">
      <c r="D860" s="65" t="str">
        <f>IFERROR(__xludf.DUMMYFUNCTION("""COMPUTED_VALUE"""),"")</f>
        <v/>
      </c>
      <c r="E860" s="65" t="s">
        <v>3650</v>
      </c>
      <c r="G860" s="65" t="s">
        <v>3650</v>
      </c>
      <c r="J860" s="65" t="s">
        <v>3650</v>
      </c>
      <c r="K860" s="230" t="s">
        <v>3650</v>
      </c>
      <c r="L860" s="230" t="s">
        <v>3650</v>
      </c>
      <c r="T860" s="60"/>
    </row>
    <row r="861">
      <c r="D861" s="65" t="str">
        <f>IFERROR(__xludf.DUMMYFUNCTION("""COMPUTED_VALUE"""),"")</f>
        <v/>
      </c>
      <c r="E861" s="65" t="s">
        <v>3650</v>
      </c>
      <c r="G861" s="65" t="s">
        <v>3650</v>
      </c>
      <c r="J861" s="65" t="s">
        <v>3650</v>
      </c>
      <c r="K861" s="230" t="s">
        <v>3650</v>
      </c>
      <c r="L861" s="230" t="s">
        <v>3650</v>
      </c>
      <c r="T861" s="60"/>
    </row>
    <row r="862">
      <c r="D862" s="65" t="str">
        <f>IFERROR(__xludf.DUMMYFUNCTION("""COMPUTED_VALUE"""),"")</f>
        <v/>
      </c>
      <c r="E862" s="65" t="s">
        <v>3650</v>
      </c>
      <c r="G862" s="65" t="s">
        <v>3650</v>
      </c>
      <c r="J862" s="65" t="s">
        <v>3650</v>
      </c>
      <c r="K862" s="230" t="s">
        <v>3650</v>
      </c>
      <c r="L862" s="230" t="s">
        <v>3650</v>
      </c>
      <c r="T862" s="60"/>
    </row>
    <row r="863">
      <c r="D863" s="65" t="str">
        <f>IFERROR(__xludf.DUMMYFUNCTION("""COMPUTED_VALUE"""),"")</f>
        <v/>
      </c>
      <c r="E863" s="65" t="s">
        <v>3650</v>
      </c>
      <c r="G863" s="65" t="s">
        <v>3650</v>
      </c>
      <c r="J863" s="65" t="s">
        <v>3650</v>
      </c>
      <c r="K863" s="230" t="s">
        <v>3650</v>
      </c>
      <c r="L863" s="230" t="s">
        <v>3650</v>
      </c>
      <c r="T863" s="60"/>
    </row>
    <row r="864">
      <c r="D864" s="65" t="str">
        <f>IFERROR(__xludf.DUMMYFUNCTION("""COMPUTED_VALUE"""),"")</f>
        <v/>
      </c>
      <c r="E864" s="65" t="s">
        <v>3650</v>
      </c>
      <c r="G864" s="65" t="s">
        <v>3650</v>
      </c>
      <c r="J864" s="65" t="s">
        <v>3650</v>
      </c>
      <c r="K864" s="230" t="s">
        <v>3650</v>
      </c>
      <c r="L864" s="230" t="s">
        <v>3650</v>
      </c>
      <c r="T864" s="60"/>
    </row>
    <row r="865">
      <c r="D865" s="65" t="str">
        <f>IFERROR(__xludf.DUMMYFUNCTION("""COMPUTED_VALUE"""),"")</f>
        <v/>
      </c>
      <c r="E865" s="65" t="s">
        <v>3650</v>
      </c>
      <c r="G865" s="65" t="s">
        <v>3650</v>
      </c>
      <c r="J865" s="65" t="s">
        <v>3650</v>
      </c>
      <c r="K865" s="230" t="s">
        <v>3650</v>
      </c>
      <c r="L865" s="230" t="s">
        <v>3650</v>
      </c>
      <c r="T865" s="60"/>
    </row>
    <row r="866">
      <c r="D866" s="65" t="str">
        <f>IFERROR(__xludf.DUMMYFUNCTION("""COMPUTED_VALUE"""),"")</f>
        <v/>
      </c>
      <c r="E866" s="65" t="s">
        <v>3650</v>
      </c>
      <c r="G866" s="65" t="s">
        <v>3650</v>
      </c>
      <c r="J866" s="65" t="s">
        <v>3650</v>
      </c>
      <c r="K866" s="230" t="s">
        <v>3650</v>
      </c>
      <c r="L866" s="230" t="s">
        <v>3650</v>
      </c>
      <c r="T866" s="60"/>
    </row>
    <row r="867">
      <c r="D867" s="65" t="str">
        <f>IFERROR(__xludf.DUMMYFUNCTION("""COMPUTED_VALUE"""),"")</f>
        <v/>
      </c>
      <c r="E867" s="65" t="s">
        <v>3650</v>
      </c>
      <c r="G867" s="65" t="s">
        <v>3650</v>
      </c>
      <c r="J867" s="65" t="s">
        <v>3650</v>
      </c>
      <c r="K867" s="230" t="s">
        <v>3650</v>
      </c>
      <c r="L867" s="230" t="s">
        <v>3650</v>
      </c>
      <c r="T867" s="60"/>
    </row>
    <row r="868">
      <c r="D868" s="65" t="str">
        <f>IFERROR(__xludf.DUMMYFUNCTION("""COMPUTED_VALUE"""),"")</f>
        <v/>
      </c>
      <c r="E868" s="65" t="s">
        <v>3650</v>
      </c>
      <c r="G868" s="65" t="s">
        <v>3650</v>
      </c>
      <c r="J868" s="65" t="s">
        <v>3650</v>
      </c>
      <c r="K868" s="230" t="s">
        <v>3650</v>
      </c>
      <c r="L868" s="230" t="s">
        <v>3650</v>
      </c>
      <c r="T868" s="60"/>
    </row>
    <row r="869">
      <c r="D869" s="65" t="str">
        <f>IFERROR(__xludf.DUMMYFUNCTION("""COMPUTED_VALUE"""),"")</f>
        <v/>
      </c>
      <c r="E869" s="65" t="s">
        <v>3650</v>
      </c>
      <c r="G869" s="65" t="s">
        <v>3650</v>
      </c>
      <c r="J869" s="65" t="s">
        <v>3650</v>
      </c>
      <c r="K869" s="230" t="s">
        <v>3650</v>
      </c>
      <c r="L869" s="230" t="s">
        <v>3650</v>
      </c>
      <c r="T869" s="60"/>
    </row>
    <row r="870">
      <c r="D870" s="65" t="str">
        <f>IFERROR(__xludf.DUMMYFUNCTION("""COMPUTED_VALUE"""),"")</f>
        <v/>
      </c>
      <c r="E870" s="65" t="s">
        <v>3650</v>
      </c>
      <c r="G870" s="65" t="s">
        <v>3650</v>
      </c>
      <c r="J870" s="65" t="s">
        <v>3650</v>
      </c>
      <c r="K870" s="230" t="s">
        <v>3650</v>
      </c>
      <c r="L870" s="230" t="s">
        <v>3650</v>
      </c>
      <c r="T870" s="60"/>
    </row>
    <row r="871">
      <c r="D871" s="65" t="str">
        <f>IFERROR(__xludf.DUMMYFUNCTION("""COMPUTED_VALUE"""),"")</f>
        <v/>
      </c>
      <c r="E871" s="65" t="s">
        <v>3650</v>
      </c>
      <c r="G871" s="65" t="s">
        <v>3650</v>
      </c>
      <c r="J871" s="65" t="s">
        <v>3650</v>
      </c>
      <c r="K871" s="230" t="s">
        <v>3650</v>
      </c>
      <c r="L871" s="230" t="s">
        <v>3650</v>
      </c>
      <c r="T871" s="60"/>
    </row>
    <row r="872">
      <c r="D872" s="65" t="str">
        <f>IFERROR(__xludf.DUMMYFUNCTION("""COMPUTED_VALUE"""),"")</f>
        <v/>
      </c>
      <c r="E872" s="65" t="s">
        <v>3650</v>
      </c>
      <c r="G872" s="65" t="s">
        <v>3650</v>
      </c>
      <c r="J872" s="65" t="s">
        <v>3650</v>
      </c>
      <c r="K872" s="230" t="s">
        <v>3650</v>
      </c>
      <c r="L872" s="230" t="s">
        <v>3650</v>
      </c>
      <c r="T872" s="60"/>
    </row>
    <row r="873">
      <c r="D873" s="65" t="str">
        <f>IFERROR(__xludf.DUMMYFUNCTION("""COMPUTED_VALUE"""),"")</f>
        <v/>
      </c>
      <c r="E873" s="65" t="s">
        <v>3650</v>
      </c>
      <c r="G873" s="65" t="s">
        <v>3650</v>
      </c>
      <c r="J873" s="65" t="s">
        <v>3650</v>
      </c>
      <c r="K873" s="230" t="s">
        <v>3650</v>
      </c>
      <c r="L873" s="230" t="s">
        <v>3650</v>
      </c>
      <c r="T873" s="60"/>
    </row>
    <row r="874">
      <c r="D874" s="65" t="str">
        <f>IFERROR(__xludf.DUMMYFUNCTION("""COMPUTED_VALUE"""),"")</f>
        <v/>
      </c>
      <c r="E874" s="65" t="s">
        <v>3650</v>
      </c>
      <c r="G874" s="65" t="s">
        <v>3650</v>
      </c>
      <c r="J874" s="65" t="s">
        <v>3650</v>
      </c>
      <c r="K874" s="230" t="s">
        <v>3650</v>
      </c>
      <c r="L874" s="230" t="s">
        <v>3650</v>
      </c>
      <c r="T874" s="60"/>
    </row>
    <row r="875">
      <c r="D875" s="65" t="str">
        <f>IFERROR(__xludf.DUMMYFUNCTION("""COMPUTED_VALUE"""),"")</f>
        <v/>
      </c>
      <c r="E875" s="65" t="s">
        <v>3650</v>
      </c>
      <c r="G875" s="65" t="s">
        <v>3650</v>
      </c>
      <c r="J875" s="65" t="s">
        <v>3650</v>
      </c>
      <c r="K875" s="230" t="s">
        <v>3650</v>
      </c>
      <c r="L875" s="230" t="s">
        <v>3650</v>
      </c>
      <c r="T875" s="60"/>
    </row>
    <row r="876">
      <c r="D876" s="65" t="str">
        <f>IFERROR(__xludf.DUMMYFUNCTION("""COMPUTED_VALUE"""),"")</f>
        <v/>
      </c>
      <c r="E876" s="65" t="s">
        <v>3650</v>
      </c>
      <c r="G876" s="65" t="s">
        <v>3650</v>
      </c>
      <c r="J876" s="65" t="s">
        <v>3650</v>
      </c>
      <c r="K876" s="230" t="s">
        <v>3650</v>
      </c>
      <c r="L876" s="230" t="s">
        <v>3650</v>
      </c>
      <c r="T876" s="60"/>
    </row>
    <row r="877">
      <c r="D877" s="65" t="str">
        <f>IFERROR(__xludf.DUMMYFUNCTION("""COMPUTED_VALUE"""),"")</f>
        <v/>
      </c>
      <c r="E877" s="65" t="s">
        <v>3650</v>
      </c>
      <c r="G877" s="65" t="s">
        <v>3650</v>
      </c>
      <c r="J877" s="65" t="s">
        <v>3650</v>
      </c>
      <c r="K877" s="230" t="s">
        <v>3650</v>
      </c>
      <c r="L877" s="230" t="s">
        <v>3650</v>
      </c>
      <c r="T877" s="60"/>
    </row>
    <row r="878">
      <c r="D878" s="65" t="str">
        <f>IFERROR(__xludf.DUMMYFUNCTION("""COMPUTED_VALUE"""),"")</f>
        <v/>
      </c>
      <c r="E878" s="65" t="s">
        <v>3650</v>
      </c>
      <c r="G878" s="65" t="s">
        <v>3650</v>
      </c>
      <c r="J878" s="65" t="s">
        <v>3650</v>
      </c>
      <c r="K878" s="230" t="s">
        <v>3650</v>
      </c>
      <c r="L878" s="230" t="s">
        <v>3650</v>
      </c>
      <c r="T878" s="60"/>
    </row>
    <row r="879">
      <c r="D879" s="65" t="str">
        <f>IFERROR(__xludf.DUMMYFUNCTION("""COMPUTED_VALUE"""),"")</f>
        <v/>
      </c>
      <c r="E879" s="65" t="s">
        <v>3650</v>
      </c>
      <c r="G879" s="65" t="s">
        <v>3650</v>
      </c>
      <c r="J879" s="65" t="s">
        <v>3650</v>
      </c>
      <c r="K879" s="230" t="s">
        <v>3650</v>
      </c>
      <c r="L879" s="230" t="s">
        <v>3650</v>
      </c>
      <c r="T879" s="60"/>
    </row>
    <row r="880">
      <c r="D880" s="65" t="str">
        <f>IFERROR(__xludf.DUMMYFUNCTION("""COMPUTED_VALUE"""),"")</f>
        <v/>
      </c>
      <c r="E880" s="65" t="s">
        <v>3650</v>
      </c>
      <c r="G880" s="65" t="s">
        <v>3650</v>
      </c>
      <c r="J880" s="65" t="s">
        <v>3650</v>
      </c>
      <c r="K880" s="230" t="s">
        <v>3650</v>
      </c>
      <c r="L880" s="230" t="s">
        <v>3650</v>
      </c>
      <c r="T880" s="60"/>
    </row>
    <row r="881">
      <c r="D881" s="65" t="str">
        <f>IFERROR(__xludf.DUMMYFUNCTION("""COMPUTED_VALUE"""),"")</f>
        <v/>
      </c>
      <c r="E881" s="65" t="s">
        <v>3650</v>
      </c>
      <c r="G881" s="65" t="s">
        <v>3650</v>
      </c>
      <c r="J881" s="65" t="s">
        <v>3650</v>
      </c>
      <c r="K881" s="230" t="s">
        <v>3650</v>
      </c>
      <c r="L881" s="230" t="s">
        <v>3650</v>
      </c>
      <c r="T881" s="60"/>
    </row>
    <row r="882">
      <c r="D882" s="65" t="str">
        <f>IFERROR(__xludf.DUMMYFUNCTION("""COMPUTED_VALUE"""),"")</f>
        <v/>
      </c>
      <c r="E882" s="65" t="s">
        <v>3650</v>
      </c>
      <c r="G882" s="65" t="s">
        <v>3650</v>
      </c>
      <c r="J882" s="65" t="s">
        <v>3650</v>
      </c>
      <c r="K882" s="230" t="s">
        <v>3650</v>
      </c>
      <c r="L882" s="230" t="s">
        <v>3650</v>
      </c>
      <c r="T882" s="60"/>
    </row>
    <row r="883">
      <c r="D883" s="65" t="str">
        <f>IFERROR(__xludf.DUMMYFUNCTION("""COMPUTED_VALUE"""),"")</f>
        <v/>
      </c>
      <c r="E883" s="65" t="s">
        <v>3650</v>
      </c>
      <c r="G883" s="65" t="s">
        <v>3650</v>
      </c>
      <c r="J883" s="65" t="s">
        <v>3650</v>
      </c>
      <c r="K883" s="230" t="s">
        <v>3650</v>
      </c>
      <c r="L883" s="230" t="s">
        <v>3650</v>
      </c>
      <c r="T883" s="60"/>
    </row>
    <row r="884">
      <c r="D884" s="65" t="str">
        <f>IFERROR(__xludf.DUMMYFUNCTION("""COMPUTED_VALUE"""),"")</f>
        <v/>
      </c>
      <c r="E884" s="65" t="s">
        <v>3650</v>
      </c>
      <c r="G884" s="65" t="s">
        <v>3650</v>
      </c>
      <c r="J884" s="65" t="s">
        <v>3650</v>
      </c>
      <c r="K884" s="230" t="s">
        <v>3650</v>
      </c>
      <c r="L884" s="230" t="s">
        <v>3650</v>
      </c>
      <c r="T884" s="60"/>
    </row>
    <row r="885">
      <c r="D885" s="65" t="str">
        <f>IFERROR(__xludf.DUMMYFUNCTION("""COMPUTED_VALUE"""),"")</f>
        <v/>
      </c>
      <c r="E885" s="65" t="s">
        <v>3650</v>
      </c>
      <c r="G885" s="65" t="s">
        <v>3650</v>
      </c>
      <c r="J885" s="65" t="s">
        <v>3650</v>
      </c>
      <c r="K885" s="230" t="s">
        <v>3650</v>
      </c>
      <c r="L885" s="230" t="s">
        <v>3650</v>
      </c>
      <c r="T885" s="60"/>
    </row>
    <row r="886">
      <c r="D886" s="65" t="str">
        <f>IFERROR(__xludf.DUMMYFUNCTION("""COMPUTED_VALUE"""),"")</f>
        <v/>
      </c>
      <c r="E886" s="65" t="s">
        <v>3650</v>
      </c>
      <c r="G886" s="65" t="s">
        <v>3650</v>
      </c>
      <c r="J886" s="65" t="s">
        <v>3650</v>
      </c>
      <c r="K886" s="230" t="s">
        <v>3650</v>
      </c>
      <c r="L886" s="230" t="s">
        <v>3650</v>
      </c>
      <c r="T886" s="60"/>
    </row>
    <row r="887">
      <c r="D887" s="65" t="str">
        <f>IFERROR(__xludf.DUMMYFUNCTION("""COMPUTED_VALUE"""),"")</f>
        <v/>
      </c>
      <c r="E887" s="65" t="s">
        <v>3650</v>
      </c>
      <c r="G887" s="65" t="s">
        <v>3650</v>
      </c>
      <c r="J887" s="65" t="s">
        <v>3650</v>
      </c>
      <c r="K887" s="230" t="s">
        <v>3650</v>
      </c>
      <c r="L887" s="230" t="s">
        <v>3650</v>
      </c>
      <c r="T887" s="60"/>
    </row>
    <row r="888">
      <c r="D888" s="65" t="str">
        <f>IFERROR(__xludf.DUMMYFUNCTION("""COMPUTED_VALUE"""),"")</f>
        <v/>
      </c>
      <c r="E888" s="65" t="s">
        <v>3650</v>
      </c>
      <c r="G888" s="65" t="s">
        <v>3650</v>
      </c>
      <c r="J888" s="65" t="s">
        <v>3650</v>
      </c>
      <c r="K888" s="230" t="s">
        <v>3650</v>
      </c>
      <c r="L888" s="230" t="s">
        <v>3650</v>
      </c>
      <c r="T888" s="60"/>
    </row>
    <row r="889">
      <c r="D889" s="65" t="str">
        <f>IFERROR(__xludf.DUMMYFUNCTION("""COMPUTED_VALUE"""),"")</f>
        <v/>
      </c>
      <c r="E889" s="65" t="s">
        <v>3650</v>
      </c>
      <c r="G889" s="65" t="s">
        <v>3650</v>
      </c>
      <c r="J889" s="65" t="s">
        <v>3650</v>
      </c>
      <c r="K889" s="230" t="s">
        <v>3650</v>
      </c>
      <c r="L889" s="230" t="s">
        <v>3650</v>
      </c>
      <c r="T889" s="60"/>
    </row>
    <row r="890">
      <c r="D890" s="65" t="str">
        <f>IFERROR(__xludf.DUMMYFUNCTION("""COMPUTED_VALUE"""),"")</f>
        <v/>
      </c>
      <c r="E890" s="65" t="s">
        <v>3650</v>
      </c>
      <c r="G890" s="65" t="s">
        <v>3650</v>
      </c>
      <c r="J890" s="65" t="s">
        <v>3650</v>
      </c>
      <c r="K890" s="230" t="s">
        <v>3650</v>
      </c>
      <c r="L890" s="230" t="s">
        <v>3650</v>
      </c>
      <c r="T890" s="60"/>
    </row>
    <row r="891">
      <c r="D891" s="65" t="str">
        <f>IFERROR(__xludf.DUMMYFUNCTION("""COMPUTED_VALUE"""),"")</f>
        <v/>
      </c>
      <c r="E891" s="65" t="s">
        <v>3650</v>
      </c>
      <c r="G891" s="65" t="s">
        <v>3650</v>
      </c>
      <c r="J891" s="65" t="s">
        <v>3650</v>
      </c>
      <c r="K891" s="230" t="s">
        <v>3650</v>
      </c>
      <c r="L891" s="230" t="s">
        <v>3650</v>
      </c>
      <c r="T891" s="60"/>
    </row>
    <row r="892">
      <c r="D892" s="65" t="str">
        <f>IFERROR(__xludf.DUMMYFUNCTION("""COMPUTED_VALUE"""),"")</f>
        <v/>
      </c>
      <c r="E892" s="65" t="s">
        <v>3650</v>
      </c>
      <c r="G892" s="65" t="s">
        <v>3650</v>
      </c>
      <c r="J892" s="65" t="s">
        <v>3650</v>
      </c>
      <c r="K892" s="230" t="s">
        <v>3650</v>
      </c>
      <c r="L892" s="230" t="s">
        <v>3650</v>
      </c>
      <c r="T892" s="60"/>
    </row>
    <row r="893">
      <c r="D893" s="65" t="str">
        <f>IFERROR(__xludf.DUMMYFUNCTION("""COMPUTED_VALUE"""),"")</f>
        <v/>
      </c>
      <c r="E893" s="65" t="s">
        <v>3650</v>
      </c>
      <c r="G893" s="65" t="s">
        <v>3650</v>
      </c>
      <c r="J893" s="65" t="s">
        <v>3650</v>
      </c>
      <c r="K893" s="230" t="s">
        <v>3650</v>
      </c>
      <c r="L893" s="230" t="s">
        <v>3650</v>
      </c>
      <c r="T893" s="60"/>
    </row>
    <row r="894">
      <c r="D894" s="65" t="str">
        <f>IFERROR(__xludf.DUMMYFUNCTION("""COMPUTED_VALUE"""),"")</f>
        <v/>
      </c>
      <c r="E894" s="65" t="s">
        <v>3650</v>
      </c>
      <c r="G894" s="65" t="s">
        <v>3650</v>
      </c>
      <c r="J894" s="65" t="s">
        <v>3650</v>
      </c>
      <c r="K894" s="230" t="s">
        <v>3650</v>
      </c>
      <c r="L894" s="230" t="s">
        <v>3650</v>
      </c>
      <c r="T894" s="60"/>
    </row>
    <row r="895">
      <c r="D895" s="65" t="str">
        <f>IFERROR(__xludf.DUMMYFUNCTION("""COMPUTED_VALUE"""),"")</f>
        <v/>
      </c>
      <c r="E895" s="65" t="s">
        <v>3650</v>
      </c>
      <c r="G895" s="65" t="s">
        <v>3650</v>
      </c>
      <c r="J895" s="65" t="s">
        <v>3650</v>
      </c>
      <c r="K895" s="230" t="s">
        <v>3650</v>
      </c>
      <c r="L895" s="230" t="s">
        <v>3650</v>
      </c>
      <c r="T895" s="60"/>
    </row>
    <row r="896">
      <c r="D896" s="65" t="str">
        <f>IFERROR(__xludf.DUMMYFUNCTION("""COMPUTED_VALUE"""),"")</f>
        <v/>
      </c>
      <c r="E896" s="65" t="s">
        <v>3650</v>
      </c>
      <c r="G896" s="65" t="s">
        <v>3650</v>
      </c>
      <c r="J896" s="65" t="s">
        <v>3650</v>
      </c>
      <c r="K896" s="230" t="s">
        <v>3650</v>
      </c>
      <c r="L896" s="230" t="s">
        <v>3650</v>
      </c>
      <c r="T896" s="60"/>
    </row>
    <row r="897">
      <c r="D897" s="65" t="str">
        <f>IFERROR(__xludf.DUMMYFUNCTION("""COMPUTED_VALUE"""),"")</f>
        <v/>
      </c>
      <c r="E897" s="65" t="s">
        <v>3650</v>
      </c>
      <c r="G897" s="65" t="s">
        <v>3650</v>
      </c>
      <c r="J897" s="65" t="s">
        <v>3650</v>
      </c>
      <c r="K897" s="230" t="s">
        <v>3650</v>
      </c>
      <c r="L897" s="230" t="s">
        <v>3650</v>
      </c>
      <c r="T897" s="60"/>
    </row>
    <row r="898">
      <c r="D898" s="65" t="str">
        <f>IFERROR(__xludf.DUMMYFUNCTION("""COMPUTED_VALUE"""),"")</f>
        <v/>
      </c>
      <c r="E898" s="65" t="s">
        <v>3650</v>
      </c>
      <c r="G898" s="65" t="s">
        <v>3650</v>
      </c>
      <c r="J898" s="65" t="s">
        <v>3650</v>
      </c>
      <c r="K898" s="230" t="s">
        <v>3650</v>
      </c>
      <c r="L898" s="230" t="s">
        <v>3650</v>
      </c>
      <c r="T898" s="60"/>
    </row>
    <row r="899">
      <c r="D899" s="65" t="str">
        <f>IFERROR(__xludf.DUMMYFUNCTION("""COMPUTED_VALUE"""),"")</f>
        <v/>
      </c>
      <c r="E899" s="65" t="s">
        <v>3650</v>
      </c>
      <c r="G899" s="65" t="s">
        <v>3650</v>
      </c>
      <c r="J899" s="65" t="s">
        <v>3650</v>
      </c>
      <c r="K899" s="230" t="s">
        <v>3650</v>
      </c>
      <c r="L899" s="230" t="s">
        <v>3650</v>
      </c>
      <c r="T899" s="60"/>
    </row>
    <row r="900">
      <c r="D900" s="65" t="str">
        <f>IFERROR(__xludf.DUMMYFUNCTION("""COMPUTED_VALUE"""),"")</f>
        <v/>
      </c>
      <c r="E900" s="65" t="s">
        <v>3650</v>
      </c>
      <c r="G900" s="65" t="s">
        <v>3650</v>
      </c>
      <c r="J900" s="65" t="s">
        <v>3650</v>
      </c>
      <c r="K900" s="230" t="s">
        <v>3650</v>
      </c>
      <c r="L900" s="230" t="s">
        <v>3650</v>
      </c>
      <c r="T900" s="60"/>
    </row>
    <row r="901">
      <c r="D901" s="65" t="str">
        <f>IFERROR(__xludf.DUMMYFUNCTION("""COMPUTED_VALUE"""),"")</f>
        <v/>
      </c>
      <c r="E901" s="65" t="s">
        <v>3650</v>
      </c>
      <c r="G901" s="65" t="s">
        <v>3650</v>
      </c>
      <c r="J901" s="65" t="s">
        <v>3650</v>
      </c>
      <c r="K901" s="230" t="s">
        <v>3650</v>
      </c>
      <c r="L901" s="230" t="s">
        <v>3650</v>
      </c>
      <c r="T901" s="60"/>
    </row>
    <row r="902">
      <c r="D902" s="65" t="str">
        <f>IFERROR(__xludf.DUMMYFUNCTION("""COMPUTED_VALUE"""),"")</f>
        <v/>
      </c>
      <c r="E902" s="65" t="s">
        <v>3650</v>
      </c>
      <c r="G902" s="65" t="s">
        <v>3650</v>
      </c>
      <c r="J902" s="65" t="s">
        <v>3650</v>
      </c>
      <c r="K902" s="230" t="s">
        <v>3650</v>
      </c>
      <c r="L902" s="230" t="s">
        <v>3650</v>
      </c>
      <c r="T902" s="60"/>
    </row>
    <row r="903">
      <c r="D903" s="65" t="str">
        <f>IFERROR(__xludf.DUMMYFUNCTION("""COMPUTED_VALUE"""),"")</f>
        <v/>
      </c>
      <c r="E903" s="65" t="s">
        <v>3650</v>
      </c>
      <c r="G903" s="65" t="s">
        <v>3650</v>
      </c>
      <c r="J903" s="65" t="s">
        <v>3650</v>
      </c>
      <c r="K903" s="230" t="s">
        <v>3650</v>
      </c>
      <c r="L903" s="230" t="s">
        <v>3650</v>
      </c>
      <c r="T903" s="60"/>
    </row>
    <row r="904">
      <c r="D904" s="65" t="str">
        <f>IFERROR(__xludf.DUMMYFUNCTION("""COMPUTED_VALUE"""),"")</f>
        <v/>
      </c>
      <c r="E904" s="65" t="s">
        <v>3650</v>
      </c>
      <c r="G904" s="65" t="s">
        <v>3650</v>
      </c>
      <c r="J904" s="65" t="s">
        <v>3650</v>
      </c>
      <c r="K904" s="230" t="s">
        <v>3650</v>
      </c>
      <c r="L904" s="230" t="s">
        <v>3650</v>
      </c>
      <c r="T904" s="60"/>
    </row>
    <row r="905">
      <c r="D905" s="65" t="str">
        <f>IFERROR(__xludf.DUMMYFUNCTION("""COMPUTED_VALUE"""),"")</f>
        <v/>
      </c>
      <c r="E905" s="65" t="s">
        <v>3650</v>
      </c>
      <c r="G905" s="65" t="s">
        <v>3650</v>
      </c>
      <c r="J905" s="65" t="s">
        <v>3650</v>
      </c>
      <c r="K905" s="230" t="s">
        <v>3650</v>
      </c>
      <c r="L905" s="230" t="s">
        <v>3650</v>
      </c>
      <c r="T905" s="60"/>
    </row>
    <row r="906">
      <c r="D906" s="65" t="str">
        <f>IFERROR(__xludf.DUMMYFUNCTION("""COMPUTED_VALUE"""),"")</f>
        <v/>
      </c>
      <c r="E906" s="65" t="s">
        <v>3650</v>
      </c>
      <c r="G906" s="65" t="s">
        <v>3650</v>
      </c>
      <c r="J906" s="65" t="s">
        <v>3650</v>
      </c>
      <c r="K906" s="230" t="s">
        <v>3650</v>
      </c>
      <c r="L906" s="230" t="s">
        <v>3650</v>
      </c>
      <c r="T906" s="60"/>
    </row>
    <row r="907">
      <c r="D907" s="65" t="str">
        <f>IFERROR(__xludf.DUMMYFUNCTION("""COMPUTED_VALUE"""),"")</f>
        <v/>
      </c>
      <c r="E907" s="65" t="s">
        <v>3650</v>
      </c>
      <c r="G907" s="65" t="s">
        <v>3650</v>
      </c>
      <c r="J907" s="65" t="s">
        <v>3650</v>
      </c>
      <c r="K907" s="230" t="s">
        <v>3650</v>
      </c>
      <c r="L907" s="230" t="s">
        <v>3650</v>
      </c>
      <c r="T907" s="60"/>
    </row>
    <row r="908">
      <c r="D908" s="65" t="str">
        <f>IFERROR(__xludf.DUMMYFUNCTION("""COMPUTED_VALUE"""),"")</f>
        <v/>
      </c>
      <c r="E908" s="65" t="s">
        <v>3650</v>
      </c>
      <c r="G908" s="65" t="s">
        <v>3650</v>
      </c>
      <c r="J908" s="65" t="s">
        <v>3650</v>
      </c>
      <c r="K908" s="230" t="s">
        <v>3650</v>
      </c>
      <c r="L908" s="230" t="s">
        <v>3650</v>
      </c>
      <c r="T908" s="60"/>
    </row>
    <row r="909">
      <c r="D909" s="65" t="str">
        <f>IFERROR(__xludf.DUMMYFUNCTION("""COMPUTED_VALUE"""),"")</f>
        <v/>
      </c>
      <c r="E909" s="65" t="s">
        <v>3650</v>
      </c>
      <c r="G909" s="65" t="s">
        <v>3650</v>
      </c>
      <c r="J909" s="65" t="s">
        <v>3650</v>
      </c>
      <c r="K909" s="230" t="s">
        <v>3650</v>
      </c>
      <c r="L909" s="230" t="s">
        <v>3650</v>
      </c>
      <c r="T909" s="60"/>
    </row>
    <row r="910">
      <c r="D910" s="65" t="str">
        <f>IFERROR(__xludf.DUMMYFUNCTION("""COMPUTED_VALUE"""),"")</f>
        <v/>
      </c>
      <c r="E910" s="65" t="s">
        <v>3650</v>
      </c>
      <c r="G910" s="65" t="s">
        <v>3650</v>
      </c>
      <c r="J910" s="65" t="s">
        <v>3650</v>
      </c>
      <c r="K910" s="230" t="s">
        <v>3650</v>
      </c>
      <c r="L910" s="230" t="s">
        <v>3650</v>
      </c>
      <c r="T910" s="60"/>
    </row>
    <row r="911">
      <c r="D911" s="65" t="str">
        <f>IFERROR(__xludf.DUMMYFUNCTION("""COMPUTED_VALUE"""),"")</f>
        <v/>
      </c>
      <c r="E911" s="65" t="s">
        <v>3650</v>
      </c>
      <c r="G911" s="65" t="s">
        <v>3650</v>
      </c>
      <c r="J911" s="65" t="s">
        <v>3650</v>
      </c>
      <c r="K911" s="230" t="s">
        <v>3650</v>
      </c>
      <c r="L911" s="230" t="s">
        <v>3650</v>
      </c>
      <c r="T911" s="60"/>
    </row>
    <row r="912">
      <c r="D912" s="65" t="str">
        <f>IFERROR(__xludf.DUMMYFUNCTION("""COMPUTED_VALUE"""),"")</f>
        <v/>
      </c>
      <c r="E912" s="65" t="s">
        <v>3650</v>
      </c>
      <c r="G912" s="65" t="s">
        <v>3650</v>
      </c>
      <c r="J912" s="65" t="s">
        <v>3650</v>
      </c>
      <c r="K912" s="230" t="s">
        <v>3650</v>
      </c>
      <c r="L912" s="230" t="s">
        <v>3650</v>
      </c>
      <c r="T912" s="60"/>
    </row>
    <row r="913">
      <c r="D913" s="65" t="str">
        <f>IFERROR(__xludf.DUMMYFUNCTION("""COMPUTED_VALUE"""),"")</f>
        <v/>
      </c>
      <c r="E913" s="65" t="s">
        <v>3650</v>
      </c>
      <c r="G913" s="65" t="s">
        <v>3650</v>
      </c>
      <c r="J913" s="65" t="s">
        <v>3650</v>
      </c>
      <c r="K913" s="230" t="s">
        <v>3650</v>
      </c>
      <c r="L913" s="230" t="s">
        <v>3650</v>
      </c>
      <c r="T913" s="60"/>
    </row>
    <row r="914">
      <c r="D914" s="65" t="str">
        <f>IFERROR(__xludf.DUMMYFUNCTION("""COMPUTED_VALUE"""),"")</f>
        <v/>
      </c>
      <c r="E914" s="65" t="s">
        <v>3650</v>
      </c>
      <c r="G914" s="65" t="s">
        <v>3650</v>
      </c>
      <c r="J914" s="65" t="s">
        <v>3650</v>
      </c>
      <c r="K914" s="230" t="s">
        <v>3650</v>
      </c>
      <c r="L914" s="230" t="s">
        <v>3650</v>
      </c>
      <c r="T914" s="60"/>
    </row>
    <row r="915">
      <c r="D915" s="65" t="str">
        <f>IFERROR(__xludf.DUMMYFUNCTION("""COMPUTED_VALUE"""),"")</f>
        <v/>
      </c>
      <c r="E915" s="65" t="s">
        <v>3650</v>
      </c>
      <c r="G915" s="65" t="s">
        <v>3650</v>
      </c>
      <c r="J915" s="65" t="s">
        <v>3650</v>
      </c>
      <c r="K915" s="230" t="s">
        <v>3650</v>
      </c>
      <c r="L915" s="230" t="s">
        <v>3650</v>
      </c>
      <c r="T915" s="60"/>
    </row>
    <row r="916">
      <c r="D916" s="65" t="str">
        <f>IFERROR(__xludf.DUMMYFUNCTION("""COMPUTED_VALUE"""),"")</f>
        <v/>
      </c>
      <c r="E916" s="65" t="s">
        <v>3650</v>
      </c>
      <c r="G916" s="65" t="s">
        <v>3650</v>
      </c>
      <c r="J916" s="65" t="s">
        <v>3650</v>
      </c>
      <c r="K916" s="230" t="s">
        <v>3650</v>
      </c>
      <c r="L916" s="230" t="s">
        <v>3650</v>
      </c>
      <c r="T916" s="60"/>
    </row>
    <row r="917">
      <c r="D917" s="65" t="str">
        <f>IFERROR(__xludf.DUMMYFUNCTION("""COMPUTED_VALUE"""),"")</f>
        <v/>
      </c>
      <c r="E917" s="65" t="s">
        <v>3650</v>
      </c>
      <c r="G917" s="65" t="s">
        <v>3650</v>
      </c>
      <c r="J917" s="65" t="s">
        <v>3650</v>
      </c>
      <c r="K917" s="230" t="s">
        <v>3650</v>
      </c>
      <c r="L917" s="230" t="s">
        <v>3650</v>
      </c>
      <c r="T917" s="60"/>
    </row>
    <row r="918">
      <c r="D918" s="65" t="str">
        <f>IFERROR(__xludf.DUMMYFUNCTION("""COMPUTED_VALUE"""),"")</f>
        <v/>
      </c>
      <c r="E918" s="65" t="s">
        <v>3650</v>
      </c>
      <c r="G918" s="65" t="s">
        <v>3650</v>
      </c>
      <c r="J918" s="65" t="s">
        <v>3650</v>
      </c>
      <c r="K918" s="230" t="s">
        <v>3650</v>
      </c>
      <c r="L918" s="230" t="s">
        <v>3650</v>
      </c>
      <c r="T918" s="60"/>
    </row>
    <row r="919">
      <c r="D919" s="65" t="str">
        <f>IFERROR(__xludf.DUMMYFUNCTION("""COMPUTED_VALUE"""),"")</f>
        <v/>
      </c>
      <c r="E919" s="65" t="s">
        <v>3650</v>
      </c>
      <c r="G919" s="65" t="s">
        <v>3650</v>
      </c>
      <c r="J919" s="65" t="s">
        <v>3650</v>
      </c>
      <c r="K919" s="230" t="s">
        <v>3650</v>
      </c>
      <c r="L919" s="230" t="s">
        <v>3650</v>
      </c>
      <c r="T919" s="60"/>
    </row>
    <row r="920">
      <c r="D920" s="65" t="str">
        <f>IFERROR(__xludf.DUMMYFUNCTION("""COMPUTED_VALUE"""),"")</f>
        <v/>
      </c>
      <c r="E920" s="65" t="s">
        <v>3650</v>
      </c>
      <c r="G920" s="65" t="s">
        <v>3650</v>
      </c>
      <c r="J920" s="65" t="s">
        <v>3650</v>
      </c>
      <c r="K920" s="230" t="s">
        <v>3650</v>
      </c>
      <c r="L920" s="230" t="s">
        <v>3650</v>
      </c>
      <c r="T920" s="60"/>
    </row>
    <row r="921">
      <c r="D921" s="65" t="str">
        <f>IFERROR(__xludf.DUMMYFUNCTION("""COMPUTED_VALUE"""),"")</f>
        <v/>
      </c>
      <c r="E921" s="65" t="s">
        <v>3650</v>
      </c>
      <c r="G921" s="65" t="s">
        <v>3650</v>
      </c>
      <c r="J921" s="65" t="s">
        <v>3650</v>
      </c>
      <c r="K921" s="230" t="s">
        <v>3650</v>
      </c>
      <c r="L921" s="230" t="s">
        <v>3650</v>
      </c>
      <c r="T921" s="60"/>
    </row>
    <row r="922">
      <c r="D922" s="65" t="str">
        <f>IFERROR(__xludf.DUMMYFUNCTION("""COMPUTED_VALUE"""),"")</f>
        <v/>
      </c>
      <c r="E922" s="65" t="s">
        <v>3650</v>
      </c>
      <c r="G922" s="65" t="s">
        <v>3650</v>
      </c>
      <c r="J922" s="65" t="s">
        <v>3650</v>
      </c>
      <c r="K922" s="230" t="s">
        <v>3650</v>
      </c>
      <c r="L922" s="230" t="s">
        <v>3650</v>
      </c>
      <c r="T922" s="60"/>
    </row>
    <row r="923">
      <c r="D923" s="65" t="str">
        <f>IFERROR(__xludf.DUMMYFUNCTION("""COMPUTED_VALUE"""),"")</f>
        <v/>
      </c>
      <c r="E923" s="65" t="s">
        <v>3650</v>
      </c>
      <c r="G923" s="65" t="s">
        <v>3650</v>
      </c>
      <c r="J923" s="65" t="s">
        <v>3650</v>
      </c>
      <c r="K923" s="230" t="s">
        <v>3650</v>
      </c>
      <c r="L923" s="230" t="s">
        <v>3650</v>
      </c>
      <c r="T923" s="60"/>
    </row>
    <row r="924">
      <c r="D924" s="65" t="str">
        <f>IFERROR(__xludf.DUMMYFUNCTION("""COMPUTED_VALUE"""),"")</f>
        <v/>
      </c>
      <c r="E924" s="65" t="s">
        <v>3650</v>
      </c>
      <c r="G924" s="65" t="s">
        <v>3650</v>
      </c>
      <c r="J924" s="65" t="s">
        <v>3650</v>
      </c>
      <c r="K924" s="230" t="s">
        <v>3650</v>
      </c>
      <c r="L924" s="230" t="s">
        <v>3650</v>
      </c>
      <c r="T924" s="60"/>
    </row>
    <row r="925">
      <c r="D925" s="65" t="str">
        <f>IFERROR(__xludf.DUMMYFUNCTION("""COMPUTED_VALUE"""),"")</f>
        <v/>
      </c>
      <c r="E925" s="65" t="s">
        <v>3650</v>
      </c>
      <c r="G925" s="65" t="s">
        <v>3650</v>
      </c>
      <c r="J925" s="65" t="s">
        <v>3650</v>
      </c>
      <c r="K925" s="230" t="s">
        <v>3650</v>
      </c>
      <c r="L925" s="230" t="s">
        <v>3650</v>
      </c>
      <c r="T925" s="60"/>
    </row>
    <row r="926">
      <c r="D926" s="65" t="str">
        <f>IFERROR(__xludf.DUMMYFUNCTION("""COMPUTED_VALUE"""),"")</f>
        <v/>
      </c>
      <c r="E926" s="65" t="s">
        <v>3650</v>
      </c>
      <c r="G926" s="65" t="s">
        <v>3650</v>
      </c>
      <c r="J926" s="65" t="s">
        <v>3650</v>
      </c>
      <c r="K926" s="230" t="s">
        <v>3650</v>
      </c>
      <c r="L926" s="230" t="s">
        <v>3650</v>
      </c>
      <c r="T926" s="60"/>
    </row>
    <row r="927">
      <c r="D927" s="65" t="str">
        <f>IFERROR(__xludf.DUMMYFUNCTION("""COMPUTED_VALUE"""),"")</f>
        <v/>
      </c>
      <c r="E927" s="65" t="s">
        <v>3650</v>
      </c>
      <c r="G927" s="65" t="s">
        <v>3650</v>
      </c>
      <c r="J927" s="65" t="s">
        <v>3650</v>
      </c>
      <c r="K927" s="230" t="s">
        <v>3650</v>
      </c>
      <c r="L927" s="230" t="s">
        <v>3650</v>
      </c>
      <c r="T927" s="60"/>
    </row>
    <row r="928">
      <c r="D928" s="65" t="str">
        <f>IFERROR(__xludf.DUMMYFUNCTION("""COMPUTED_VALUE"""),"")</f>
        <v/>
      </c>
      <c r="E928" s="65" t="s">
        <v>3650</v>
      </c>
      <c r="G928" s="65" t="s">
        <v>3650</v>
      </c>
      <c r="J928" s="65" t="s">
        <v>3650</v>
      </c>
      <c r="K928" s="230" t="s">
        <v>3650</v>
      </c>
      <c r="L928" s="230" t="s">
        <v>3650</v>
      </c>
      <c r="T928" s="60"/>
    </row>
    <row r="929">
      <c r="D929" s="65" t="str">
        <f>IFERROR(__xludf.DUMMYFUNCTION("""COMPUTED_VALUE"""),"")</f>
        <v/>
      </c>
      <c r="E929" s="65" t="s">
        <v>3650</v>
      </c>
      <c r="G929" s="65" t="s">
        <v>3650</v>
      </c>
      <c r="J929" s="65" t="s">
        <v>3650</v>
      </c>
      <c r="K929" s="230" t="s">
        <v>3650</v>
      </c>
      <c r="L929" s="230" t="s">
        <v>3650</v>
      </c>
      <c r="T929" s="60"/>
    </row>
    <row r="930">
      <c r="D930" s="65" t="str">
        <f>IFERROR(__xludf.DUMMYFUNCTION("""COMPUTED_VALUE"""),"")</f>
        <v/>
      </c>
      <c r="E930" s="65" t="s">
        <v>3650</v>
      </c>
      <c r="G930" s="65" t="s">
        <v>3650</v>
      </c>
      <c r="J930" s="65" t="s">
        <v>3650</v>
      </c>
      <c r="K930" s="230" t="s">
        <v>3650</v>
      </c>
      <c r="L930" s="230" t="s">
        <v>3650</v>
      </c>
      <c r="T930" s="60"/>
    </row>
    <row r="931">
      <c r="D931" s="65" t="str">
        <f>IFERROR(__xludf.DUMMYFUNCTION("""COMPUTED_VALUE"""),"")</f>
        <v/>
      </c>
      <c r="E931" s="65" t="s">
        <v>3650</v>
      </c>
      <c r="G931" s="65" t="s">
        <v>3650</v>
      </c>
      <c r="J931" s="65" t="s">
        <v>3650</v>
      </c>
      <c r="K931" s="230" t="s">
        <v>3650</v>
      </c>
      <c r="L931" s="230" t="s">
        <v>3650</v>
      </c>
      <c r="T931" s="60"/>
    </row>
    <row r="932">
      <c r="D932" s="65" t="str">
        <f>IFERROR(__xludf.DUMMYFUNCTION("""COMPUTED_VALUE"""),"")</f>
        <v/>
      </c>
      <c r="E932" s="65" t="s">
        <v>3650</v>
      </c>
      <c r="G932" s="65" t="s">
        <v>3650</v>
      </c>
      <c r="J932" s="65" t="s">
        <v>3650</v>
      </c>
      <c r="K932" s="230" t="s">
        <v>3650</v>
      </c>
      <c r="L932" s="230" t="s">
        <v>3650</v>
      </c>
      <c r="T932" s="60"/>
    </row>
    <row r="933">
      <c r="D933" s="65" t="str">
        <f>IFERROR(__xludf.DUMMYFUNCTION("""COMPUTED_VALUE"""),"")</f>
        <v/>
      </c>
      <c r="E933" s="65" t="s">
        <v>3650</v>
      </c>
      <c r="G933" s="65" t="s">
        <v>3650</v>
      </c>
      <c r="J933" s="65" t="s">
        <v>3650</v>
      </c>
      <c r="K933" s="230" t="s">
        <v>3650</v>
      </c>
      <c r="L933" s="230" t="s">
        <v>3650</v>
      </c>
      <c r="T933" s="60"/>
    </row>
    <row r="934">
      <c r="D934" s="65" t="str">
        <f>IFERROR(__xludf.DUMMYFUNCTION("""COMPUTED_VALUE"""),"")</f>
        <v/>
      </c>
      <c r="E934" s="65" t="s">
        <v>3650</v>
      </c>
      <c r="G934" s="65" t="s">
        <v>3650</v>
      </c>
      <c r="J934" s="65" t="s">
        <v>3650</v>
      </c>
      <c r="K934" s="230" t="s">
        <v>3650</v>
      </c>
      <c r="L934" s="230" t="s">
        <v>3650</v>
      </c>
      <c r="T934" s="60"/>
    </row>
    <row r="935">
      <c r="D935" s="65" t="str">
        <f>IFERROR(__xludf.DUMMYFUNCTION("""COMPUTED_VALUE"""),"")</f>
        <v/>
      </c>
      <c r="E935" s="65" t="s">
        <v>3650</v>
      </c>
      <c r="G935" s="65" t="s">
        <v>3650</v>
      </c>
      <c r="J935" s="65" t="s">
        <v>3650</v>
      </c>
      <c r="K935" s="230" t="s">
        <v>3650</v>
      </c>
      <c r="L935" s="230" t="s">
        <v>3650</v>
      </c>
      <c r="T935" s="60"/>
    </row>
    <row r="936">
      <c r="D936" s="65" t="str">
        <f>IFERROR(__xludf.DUMMYFUNCTION("""COMPUTED_VALUE"""),"")</f>
        <v/>
      </c>
      <c r="E936" s="65" t="s">
        <v>3650</v>
      </c>
      <c r="G936" s="65" t="s">
        <v>3650</v>
      </c>
      <c r="J936" s="65" t="s">
        <v>3650</v>
      </c>
      <c r="K936" s="230" t="s">
        <v>3650</v>
      </c>
      <c r="L936" s="230" t="s">
        <v>3650</v>
      </c>
      <c r="T936" s="60"/>
    </row>
    <row r="937">
      <c r="D937" s="65" t="str">
        <f>IFERROR(__xludf.DUMMYFUNCTION("""COMPUTED_VALUE"""),"")</f>
        <v/>
      </c>
      <c r="E937" s="65" t="s">
        <v>3650</v>
      </c>
      <c r="G937" s="65" t="s">
        <v>3650</v>
      </c>
      <c r="J937" s="65" t="s">
        <v>3650</v>
      </c>
      <c r="K937" s="230" t="s">
        <v>3650</v>
      </c>
      <c r="L937" s="230" t="s">
        <v>3650</v>
      </c>
      <c r="T937" s="60"/>
    </row>
    <row r="938">
      <c r="D938" s="65" t="str">
        <f>IFERROR(__xludf.DUMMYFUNCTION("""COMPUTED_VALUE"""),"")</f>
        <v/>
      </c>
      <c r="E938" s="65" t="s">
        <v>3650</v>
      </c>
      <c r="G938" s="65" t="s">
        <v>3650</v>
      </c>
      <c r="J938" s="65" t="s">
        <v>3650</v>
      </c>
      <c r="K938" s="230" t="s">
        <v>3650</v>
      </c>
      <c r="L938" s="230" t="s">
        <v>3650</v>
      </c>
      <c r="T938" s="60"/>
    </row>
    <row r="939">
      <c r="D939" s="65" t="str">
        <f>IFERROR(__xludf.DUMMYFUNCTION("""COMPUTED_VALUE"""),"")</f>
        <v/>
      </c>
      <c r="E939" s="65" t="s">
        <v>3650</v>
      </c>
      <c r="G939" s="65" t="s">
        <v>3650</v>
      </c>
      <c r="J939" s="65" t="s">
        <v>3650</v>
      </c>
      <c r="K939" s="230" t="s">
        <v>3650</v>
      </c>
      <c r="L939" s="230" t="s">
        <v>3650</v>
      </c>
      <c r="T939" s="60"/>
    </row>
    <row r="940">
      <c r="D940" s="65" t="str">
        <f>IFERROR(__xludf.DUMMYFUNCTION("""COMPUTED_VALUE"""),"")</f>
        <v/>
      </c>
      <c r="E940" s="65" t="s">
        <v>3650</v>
      </c>
      <c r="G940" s="65" t="s">
        <v>3650</v>
      </c>
      <c r="J940" s="65" t="s">
        <v>3650</v>
      </c>
      <c r="K940" s="230" t="s">
        <v>3650</v>
      </c>
      <c r="L940" s="230" t="s">
        <v>3650</v>
      </c>
      <c r="T940" s="60"/>
    </row>
    <row r="941">
      <c r="D941" s="65" t="str">
        <f>IFERROR(__xludf.DUMMYFUNCTION("""COMPUTED_VALUE"""),"")</f>
        <v/>
      </c>
      <c r="E941" s="65" t="s">
        <v>3650</v>
      </c>
      <c r="G941" s="65" t="s">
        <v>3650</v>
      </c>
      <c r="J941" s="65" t="s">
        <v>3650</v>
      </c>
      <c r="K941" s="230" t="s">
        <v>3650</v>
      </c>
      <c r="L941" s="230" t="s">
        <v>3650</v>
      </c>
      <c r="T941" s="60"/>
    </row>
    <row r="942">
      <c r="D942" s="65" t="str">
        <f>IFERROR(__xludf.DUMMYFUNCTION("""COMPUTED_VALUE"""),"")</f>
        <v/>
      </c>
      <c r="E942" s="65" t="s">
        <v>3650</v>
      </c>
      <c r="G942" s="65" t="s">
        <v>3650</v>
      </c>
      <c r="J942" s="65" t="s">
        <v>3650</v>
      </c>
      <c r="K942" s="230" t="s">
        <v>3650</v>
      </c>
      <c r="L942" s="230" t="s">
        <v>3650</v>
      </c>
      <c r="T942" s="60"/>
    </row>
    <row r="943">
      <c r="D943" s="65" t="str">
        <f>IFERROR(__xludf.DUMMYFUNCTION("""COMPUTED_VALUE"""),"")</f>
        <v/>
      </c>
      <c r="E943" s="65" t="s">
        <v>3650</v>
      </c>
      <c r="G943" s="65" t="s">
        <v>3650</v>
      </c>
      <c r="J943" s="65" t="s">
        <v>3650</v>
      </c>
      <c r="K943" s="230" t="s">
        <v>3650</v>
      </c>
      <c r="L943" s="230" t="s">
        <v>3650</v>
      </c>
      <c r="T943" s="60"/>
    </row>
    <row r="944">
      <c r="D944" s="65" t="str">
        <f>IFERROR(__xludf.DUMMYFUNCTION("""COMPUTED_VALUE"""),"")</f>
        <v/>
      </c>
      <c r="E944" s="65" t="s">
        <v>3650</v>
      </c>
      <c r="G944" s="65" t="s">
        <v>3650</v>
      </c>
      <c r="J944" s="65" t="s">
        <v>3650</v>
      </c>
      <c r="K944" s="230" t="s">
        <v>3650</v>
      </c>
      <c r="L944" s="230" t="s">
        <v>3650</v>
      </c>
      <c r="T944" s="60"/>
    </row>
    <row r="945">
      <c r="D945" s="65" t="str">
        <f>IFERROR(__xludf.DUMMYFUNCTION("""COMPUTED_VALUE"""),"")</f>
        <v/>
      </c>
      <c r="E945" s="65" t="s">
        <v>3650</v>
      </c>
      <c r="G945" s="65" t="s">
        <v>3650</v>
      </c>
      <c r="J945" s="65" t="s">
        <v>3650</v>
      </c>
      <c r="K945" s="230" t="s">
        <v>3650</v>
      </c>
      <c r="L945" s="230" t="s">
        <v>3650</v>
      </c>
      <c r="T945" s="60"/>
    </row>
    <row r="946">
      <c r="D946" s="65" t="str">
        <f>IFERROR(__xludf.DUMMYFUNCTION("""COMPUTED_VALUE"""),"")</f>
        <v/>
      </c>
      <c r="E946" s="65" t="s">
        <v>3650</v>
      </c>
      <c r="G946" s="65" t="s">
        <v>3650</v>
      </c>
      <c r="J946" s="65" t="s">
        <v>3650</v>
      </c>
      <c r="K946" s="230" t="s">
        <v>3650</v>
      </c>
      <c r="L946" s="230" t="s">
        <v>3650</v>
      </c>
      <c r="T946" s="60"/>
    </row>
    <row r="947">
      <c r="D947" s="65" t="str">
        <f>IFERROR(__xludf.DUMMYFUNCTION("""COMPUTED_VALUE"""),"")</f>
        <v/>
      </c>
      <c r="E947" s="65" t="s">
        <v>3650</v>
      </c>
      <c r="G947" s="65" t="s">
        <v>3650</v>
      </c>
      <c r="J947" s="65" t="s">
        <v>3650</v>
      </c>
      <c r="K947" s="230" t="s">
        <v>3650</v>
      </c>
      <c r="L947" s="230" t="s">
        <v>3650</v>
      </c>
      <c r="T947" s="60"/>
    </row>
    <row r="948">
      <c r="D948" s="65" t="str">
        <f>IFERROR(__xludf.DUMMYFUNCTION("""COMPUTED_VALUE"""),"")</f>
        <v/>
      </c>
      <c r="E948" s="65" t="s">
        <v>3650</v>
      </c>
      <c r="G948" s="65" t="s">
        <v>3650</v>
      </c>
      <c r="J948" s="65" t="s">
        <v>3650</v>
      </c>
      <c r="K948" s="230" t="s">
        <v>3650</v>
      </c>
      <c r="L948" s="230" t="s">
        <v>3650</v>
      </c>
      <c r="T948" s="60"/>
    </row>
    <row r="949">
      <c r="D949" s="65" t="str">
        <f>IFERROR(__xludf.DUMMYFUNCTION("""COMPUTED_VALUE"""),"")</f>
        <v/>
      </c>
      <c r="E949" s="65" t="s">
        <v>3650</v>
      </c>
      <c r="G949" s="65" t="s">
        <v>3650</v>
      </c>
      <c r="J949" s="65" t="s">
        <v>3650</v>
      </c>
      <c r="K949" s="230" t="s">
        <v>3650</v>
      </c>
      <c r="L949" s="230" t="s">
        <v>3650</v>
      </c>
      <c r="T949" s="60"/>
    </row>
    <row r="950">
      <c r="D950" s="65" t="str">
        <f>IFERROR(__xludf.DUMMYFUNCTION("""COMPUTED_VALUE"""),"")</f>
        <v/>
      </c>
      <c r="E950" s="65" t="s">
        <v>3650</v>
      </c>
      <c r="G950" s="65" t="s">
        <v>3650</v>
      </c>
      <c r="J950" s="65" t="s">
        <v>3650</v>
      </c>
      <c r="K950" s="230" t="s">
        <v>3650</v>
      </c>
      <c r="L950" s="230" t="s">
        <v>3650</v>
      </c>
      <c r="T950" s="60"/>
    </row>
    <row r="951">
      <c r="D951" s="65" t="str">
        <f>IFERROR(__xludf.DUMMYFUNCTION("""COMPUTED_VALUE"""),"")</f>
        <v/>
      </c>
      <c r="E951" s="65" t="s">
        <v>3650</v>
      </c>
      <c r="G951" s="65" t="s">
        <v>3650</v>
      </c>
      <c r="J951" s="65" t="s">
        <v>3650</v>
      </c>
      <c r="K951" s="230" t="s">
        <v>3650</v>
      </c>
      <c r="L951" s="230" t="s">
        <v>3650</v>
      </c>
      <c r="T951" s="60"/>
    </row>
    <row r="952">
      <c r="D952" s="65" t="str">
        <f>IFERROR(__xludf.DUMMYFUNCTION("""COMPUTED_VALUE"""),"")</f>
        <v/>
      </c>
      <c r="E952" s="65" t="s">
        <v>3650</v>
      </c>
      <c r="G952" s="65" t="s">
        <v>3650</v>
      </c>
      <c r="J952" s="65" t="s">
        <v>3650</v>
      </c>
      <c r="K952" s="230" t="s">
        <v>3650</v>
      </c>
      <c r="L952" s="230" t="s">
        <v>3650</v>
      </c>
      <c r="T952" s="60"/>
    </row>
    <row r="953">
      <c r="D953" s="65" t="str">
        <f>IFERROR(__xludf.DUMMYFUNCTION("""COMPUTED_VALUE"""),"")</f>
        <v/>
      </c>
      <c r="E953" s="65" t="s">
        <v>3650</v>
      </c>
      <c r="G953" s="65" t="s">
        <v>3650</v>
      </c>
      <c r="J953" s="65" t="s">
        <v>3650</v>
      </c>
      <c r="K953" s="230" t="s">
        <v>3650</v>
      </c>
      <c r="L953" s="230" t="s">
        <v>3650</v>
      </c>
      <c r="T953" s="60"/>
    </row>
    <row r="954">
      <c r="D954" s="65" t="str">
        <f>IFERROR(__xludf.DUMMYFUNCTION("""COMPUTED_VALUE"""),"")</f>
        <v/>
      </c>
      <c r="E954" s="65" t="s">
        <v>3650</v>
      </c>
      <c r="G954" s="65" t="s">
        <v>3650</v>
      </c>
      <c r="J954" s="65" t="s">
        <v>3650</v>
      </c>
      <c r="K954" s="230" t="s">
        <v>3650</v>
      </c>
      <c r="L954" s="230" t="s">
        <v>3650</v>
      </c>
      <c r="T954" s="60"/>
    </row>
    <row r="955">
      <c r="D955" s="65" t="str">
        <f>IFERROR(__xludf.DUMMYFUNCTION("""COMPUTED_VALUE"""),"")</f>
        <v/>
      </c>
      <c r="E955" s="65" t="s">
        <v>3650</v>
      </c>
      <c r="G955" s="65" t="s">
        <v>3650</v>
      </c>
      <c r="J955" s="65" t="s">
        <v>3650</v>
      </c>
      <c r="K955" s="230" t="s">
        <v>3650</v>
      </c>
      <c r="L955" s="230" t="s">
        <v>3650</v>
      </c>
      <c r="T955" s="60"/>
    </row>
    <row r="956">
      <c r="D956" s="65" t="str">
        <f>IFERROR(__xludf.DUMMYFUNCTION("""COMPUTED_VALUE"""),"")</f>
        <v/>
      </c>
      <c r="E956" s="65" t="s">
        <v>3650</v>
      </c>
      <c r="G956" s="65" t="s">
        <v>3650</v>
      </c>
      <c r="J956" s="65" t="s">
        <v>3650</v>
      </c>
      <c r="K956" s="230" t="s">
        <v>3650</v>
      </c>
      <c r="L956" s="230" t="s">
        <v>3650</v>
      </c>
      <c r="T956" s="60"/>
    </row>
    <row r="957">
      <c r="D957" s="65" t="str">
        <f>IFERROR(__xludf.DUMMYFUNCTION("""COMPUTED_VALUE"""),"")</f>
        <v/>
      </c>
      <c r="E957" s="65" t="s">
        <v>3650</v>
      </c>
      <c r="G957" s="65" t="s">
        <v>3650</v>
      </c>
      <c r="J957" s="65" t="s">
        <v>3650</v>
      </c>
      <c r="K957" s="230" t="s">
        <v>3650</v>
      </c>
      <c r="L957" s="230" t="s">
        <v>3650</v>
      </c>
      <c r="T957" s="60"/>
    </row>
    <row r="958">
      <c r="D958" s="65" t="str">
        <f>IFERROR(__xludf.DUMMYFUNCTION("""COMPUTED_VALUE"""),"")</f>
        <v/>
      </c>
      <c r="E958" s="65" t="s">
        <v>3650</v>
      </c>
      <c r="G958" s="65" t="s">
        <v>3650</v>
      </c>
      <c r="J958" s="65" t="s">
        <v>3650</v>
      </c>
      <c r="K958" s="230" t="s">
        <v>3650</v>
      </c>
      <c r="L958" s="230" t="s">
        <v>3650</v>
      </c>
      <c r="T958" s="60"/>
    </row>
    <row r="959">
      <c r="D959" s="65" t="str">
        <f>IFERROR(__xludf.DUMMYFUNCTION("""COMPUTED_VALUE"""),"")</f>
        <v/>
      </c>
      <c r="E959" s="65" t="s">
        <v>3650</v>
      </c>
      <c r="G959" s="65" t="s">
        <v>3650</v>
      </c>
      <c r="J959" s="65" t="s">
        <v>3650</v>
      </c>
      <c r="K959" s="230" t="s">
        <v>3650</v>
      </c>
      <c r="L959" s="230" t="s">
        <v>3650</v>
      </c>
      <c r="T959" s="60"/>
    </row>
    <row r="960">
      <c r="D960" s="65" t="str">
        <f>IFERROR(__xludf.DUMMYFUNCTION("""COMPUTED_VALUE"""),"")</f>
        <v/>
      </c>
      <c r="E960" s="65" t="s">
        <v>3650</v>
      </c>
      <c r="G960" s="65" t="s">
        <v>3650</v>
      </c>
      <c r="J960" s="65" t="s">
        <v>3650</v>
      </c>
      <c r="K960" s="230" t="s">
        <v>3650</v>
      </c>
      <c r="L960" s="230" t="s">
        <v>3650</v>
      </c>
      <c r="T960" s="60"/>
    </row>
    <row r="961">
      <c r="D961" s="65" t="str">
        <f>IFERROR(__xludf.DUMMYFUNCTION("""COMPUTED_VALUE"""),"")</f>
        <v/>
      </c>
      <c r="E961" s="65" t="s">
        <v>3650</v>
      </c>
      <c r="G961" s="65" t="s">
        <v>3650</v>
      </c>
      <c r="J961" s="65" t="s">
        <v>3650</v>
      </c>
      <c r="K961" s="230" t="s">
        <v>3650</v>
      </c>
      <c r="L961" s="230" t="s">
        <v>3650</v>
      </c>
      <c r="T961" s="60"/>
    </row>
    <row r="962">
      <c r="D962" s="65" t="str">
        <f>IFERROR(__xludf.DUMMYFUNCTION("""COMPUTED_VALUE"""),"")</f>
        <v/>
      </c>
      <c r="E962" s="65" t="s">
        <v>3650</v>
      </c>
      <c r="G962" s="65" t="s">
        <v>3650</v>
      </c>
      <c r="J962" s="65" t="s">
        <v>3650</v>
      </c>
      <c r="K962" s="230" t="s">
        <v>3650</v>
      </c>
      <c r="L962" s="230" t="s">
        <v>3650</v>
      </c>
      <c r="T962" s="60"/>
    </row>
    <row r="963">
      <c r="D963" s="65" t="str">
        <f>IFERROR(__xludf.DUMMYFUNCTION("""COMPUTED_VALUE"""),"")</f>
        <v/>
      </c>
      <c r="E963" s="65" t="s">
        <v>3650</v>
      </c>
      <c r="G963" s="65" t="s">
        <v>3650</v>
      </c>
      <c r="J963" s="65" t="s">
        <v>3650</v>
      </c>
      <c r="K963" s="230" t="s">
        <v>3650</v>
      </c>
      <c r="L963" s="230" t="s">
        <v>3650</v>
      </c>
      <c r="T963" s="60"/>
    </row>
    <row r="964">
      <c r="D964" s="65" t="str">
        <f>IFERROR(__xludf.DUMMYFUNCTION("""COMPUTED_VALUE"""),"")</f>
        <v/>
      </c>
      <c r="E964" s="65" t="s">
        <v>3650</v>
      </c>
      <c r="G964" s="65" t="s">
        <v>3650</v>
      </c>
      <c r="J964" s="65" t="s">
        <v>3650</v>
      </c>
      <c r="K964" s="230" t="s">
        <v>3650</v>
      </c>
      <c r="L964" s="230" t="s">
        <v>3650</v>
      </c>
      <c r="T964" s="60"/>
    </row>
    <row r="965">
      <c r="D965" s="65" t="str">
        <f>IFERROR(__xludf.DUMMYFUNCTION("""COMPUTED_VALUE"""),"")</f>
        <v/>
      </c>
      <c r="E965" s="65" t="s">
        <v>3650</v>
      </c>
      <c r="G965" s="65" t="s">
        <v>3650</v>
      </c>
      <c r="J965" s="65" t="s">
        <v>3650</v>
      </c>
      <c r="K965" s="230" t="s">
        <v>3650</v>
      </c>
      <c r="L965" s="230" t="s">
        <v>3650</v>
      </c>
      <c r="T965" s="60"/>
    </row>
    <row r="966">
      <c r="D966" s="65" t="str">
        <f>IFERROR(__xludf.DUMMYFUNCTION("""COMPUTED_VALUE"""),"")</f>
        <v/>
      </c>
      <c r="E966" s="65" t="s">
        <v>3650</v>
      </c>
      <c r="G966" s="65" t="s">
        <v>3650</v>
      </c>
      <c r="J966" s="65" t="s">
        <v>3650</v>
      </c>
      <c r="K966" s="230" t="s">
        <v>3650</v>
      </c>
      <c r="L966" s="230" t="s">
        <v>3650</v>
      </c>
      <c r="T966" s="60"/>
    </row>
    <row r="967">
      <c r="D967" s="65" t="str">
        <f>IFERROR(__xludf.DUMMYFUNCTION("""COMPUTED_VALUE"""),"")</f>
        <v/>
      </c>
      <c r="E967" s="65" t="s">
        <v>3650</v>
      </c>
      <c r="G967" s="65" t="s">
        <v>3650</v>
      </c>
      <c r="J967" s="65" t="s">
        <v>3650</v>
      </c>
      <c r="K967" s="230" t="s">
        <v>3650</v>
      </c>
      <c r="L967" s="230" t="s">
        <v>3650</v>
      </c>
      <c r="T967" s="60"/>
    </row>
    <row r="968">
      <c r="D968" s="65" t="str">
        <f>IFERROR(__xludf.DUMMYFUNCTION("""COMPUTED_VALUE"""),"")</f>
        <v/>
      </c>
      <c r="E968" s="65" t="s">
        <v>3650</v>
      </c>
      <c r="G968" s="65" t="s">
        <v>3650</v>
      </c>
      <c r="J968" s="65" t="s">
        <v>3650</v>
      </c>
      <c r="K968" s="230" t="s">
        <v>3650</v>
      </c>
      <c r="L968" s="230" t="s">
        <v>3650</v>
      </c>
      <c r="T968" s="60"/>
    </row>
    <row r="969">
      <c r="D969" s="65" t="str">
        <f>IFERROR(__xludf.DUMMYFUNCTION("""COMPUTED_VALUE"""),"")</f>
        <v/>
      </c>
      <c r="E969" s="65" t="s">
        <v>3650</v>
      </c>
      <c r="G969" s="65" t="s">
        <v>3650</v>
      </c>
      <c r="J969" s="65" t="s">
        <v>3650</v>
      </c>
      <c r="K969" s="230" t="s">
        <v>3650</v>
      </c>
      <c r="L969" s="230" t="s">
        <v>3650</v>
      </c>
      <c r="T969" s="60"/>
    </row>
    <row r="970">
      <c r="D970" s="65" t="str">
        <f>IFERROR(__xludf.DUMMYFUNCTION("""COMPUTED_VALUE"""),"")</f>
        <v/>
      </c>
      <c r="E970" s="65" t="s">
        <v>3650</v>
      </c>
      <c r="G970" s="65" t="s">
        <v>3650</v>
      </c>
      <c r="J970" s="65" t="s">
        <v>3650</v>
      </c>
      <c r="K970" s="230" t="s">
        <v>3650</v>
      </c>
      <c r="L970" s="230" t="s">
        <v>3650</v>
      </c>
      <c r="T970" s="60"/>
    </row>
    <row r="971">
      <c r="D971" s="65" t="str">
        <f>IFERROR(__xludf.DUMMYFUNCTION("""COMPUTED_VALUE"""),"")</f>
        <v/>
      </c>
      <c r="E971" s="65" t="s">
        <v>3650</v>
      </c>
      <c r="G971" s="65" t="s">
        <v>3650</v>
      </c>
      <c r="J971" s="65" t="s">
        <v>3650</v>
      </c>
      <c r="K971" s="230" t="s">
        <v>3650</v>
      </c>
      <c r="L971" s="230" t="s">
        <v>3650</v>
      </c>
      <c r="T971" s="60"/>
    </row>
    <row r="972">
      <c r="D972" s="65" t="str">
        <f>IFERROR(__xludf.DUMMYFUNCTION("""COMPUTED_VALUE"""),"")</f>
        <v/>
      </c>
      <c r="E972" s="65" t="s">
        <v>3650</v>
      </c>
      <c r="G972" s="65" t="s">
        <v>3650</v>
      </c>
      <c r="J972" s="65" t="s">
        <v>3650</v>
      </c>
      <c r="K972" s="230" t="s">
        <v>3650</v>
      </c>
      <c r="L972" s="230" t="s">
        <v>3650</v>
      </c>
      <c r="T972" s="60"/>
    </row>
    <row r="973">
      <c r="D973" s="65" t="str">
        <f>IFERROR(__xludf.DUMMYFUNCTION("""COMPUTED_VALUE"""),"")</f>
        <v/>
      </c>
      <c r="E973" s="65" t="s">
        <v>3650</v>
      </c>
      <c r="G973" s="65" t="s">
        <v>3650</v>
      </c>
      <c r="J973" s="65" t="s">
        <v>3650</v>
      </c>
      <c r="K973" s="230" t="s">
        <v>3650</v>
      </c>
      <c r="L973" s="230" t="s">
        <v>3650</v>
      </c>
      <c r="T973" s="60"/>
    </row>
    <row r="974">
      <c r="D974" s="65" t="str">
        <f>IFERROR(__xludf.DUMMYFUNCTION("""COMPUTED_VALUE"""),"")</f>
        <v/>
      </c>
      <c r="E974" s="65" t="s">
        <v>3650</v>
      </c>
      <c r="G974" s="65" t="s">
        <v>3650</v>
      </c>
      <c r="J974" s="65" t="s">
        <v>3650</v>
      </c>
      <c r="K974" s="230" t="s">
        <v>3650</v>
      </c>
      <c r="L974" s="230" t="s">
        <v>3650</v>
      </c>
      <c r="T974" s="60"/>
    </row>
    <row r="975">
      <c r="D975" s="65" t="str">
        <f>IFERROR(__xludf.DUMMYFUNCTION("""COMPUTED_VALUE"""),"")</f>
        <v/>
      </c>
      <c r="E975" s="65" t="s">
        <v>3650</v>
      </c>
      <c r="G975" s="65" t="s">
        <v>3650</v>
      </c>
      <c r="J975" s="65" t="s">
        <v>3650</v>
      </c>
      <c r="K975" s="230" t="s">
        <v>3650</v>
      </c>
      <c r="L975" s="230" t="s">
        <v>3650</v>
      </c>
      <c r="T975" s="60"/>
    </row>
    <row r="976">
      <c r="D976" s="65" t="str">
        <f>IFERROR(__xludf.DUMMYFUNCTION("""COMPUTED_VALUE"""),"")</f>
        <v/>
      </c>
      <c r="E976" s="65" t="s">
        <v>3650</v>
      </c>
      <c r="G976" s="65" t="s">
        <v>3650</v>
      </c>
      <c r="J976" s="65" t="s">
        <v>3650</v>
      </c>
      <c r="K976" s="230" t="s">
        <v>3650</v>
      </c>
      <c r="L976" s="230" t="s">
        <v>3650</v>
      </c>
      <c r="T976" s="60"/>
    </row>
    <row r="977">
      <c r="D977" s="65" t="str">
        <f>IFERROR(__xludf.DUMMYFUNCTION("""COMPUTED_VALUE"""),"")</f>
        <v/>
      </c>
      <c r="E977" s="65" t="s">
        <v>3650</v>
      </c>
      <c r="G977" s="65" t="s">
        <v>3650</v>
      </c>
      <c r="J977" s="65" t="s">
        <v>3650</v>
      </c>
      <c r="K977" s="230" t="s">
        <v>3650</v>
      </c>
      <c r="L977" s="230" t="s">
        <v>3650</v>
      </c>
      <c r="T977" s="60"/>
    </row>
    <row r="978">
      <c r="D978" s="65" t="str">
        <f>IFERROR(__xludf.DUMMYFUNCTION("""COMPUTED_VALUE"""),"")</f>
        <v/>
      </c>
      <c r="E978" s="65" t="s">
        <v>3650</v>
      </c>
      <c r="G978" s="65" t="s">
        <v>3650</v>
      </c>
      <c r="J978" s="65" t="s">
        <v>3650</v>
      </c>
      <c r="K978" s="230" t="s">
        <v>3650</v>
      </c>
      <c r="L978" s="230" t="s">
        <v>3650</v>
      </c>
      <c r="T978" s="60"/>
    </row>
    <row r="979">
      <c r="D979" s="65" t="str">
        <f>IFERROR(__xludf.DUMMYFUNCTION("""COMPUTED_VALUE"""),"")</f>
        <v/>
      </c>
      <c r="E979" s="65" t="s">
        <v>3650</v>
      </c>
      <c r="G979" s="65" t="s">
        <v>3650</v>
      </c>
      <c r="J979" s="65" t="s">
        <v>3650</v>
      </c>
      <c r="K979" s="230" t="s">
        <v>3650</v>
      </c>
      <c r="L979" s="230" t="s">
        <v>3650</v>
      </c>
      <c r="T979" s="60"/>
    </row>
    <row r="980">
      <c r="D980" s="65" t="str">
        <f>IFERROR(__xludf.DUMMYFUNCTION("""COMPUTED_VALUE"""),"")</f>
        <v/>
      </c>
      <c r="E980" s="65" t="s">
        <v>3650</v>
      </c>
      <c r="G980" s="65" t="s">
        <v>3650</v>
      </c>
      <c r="J980" s="65" t="s">
        <v>3650</v>
      </c>
      <c r="K980" s="230" t="s">
        <v>3650</v>
      </c>
      <c r="L980" s="230" t="s">
        <v>3650</v>
      </c>
      <c r="T980" s="60"/>
    </row>
    <row r="981">
      <c r="D981" s="65" t="str">
        <f>IFERROR(__xludf.DUMMYFUNCTION("""COMPUTED_VALUE"""),"")</f>
        <v/>
      </c>
      <c r="E981" s="65" t="s">
        <v>3650</v>
      </c>
      <c r="G981" s="65" t="s">
        <v>3650</v>
      </c>
      <c r="J981" s="65" t="s">
        <v>3650</v>
      </c>
      <c r="K981" s="230" t="s">
        <v>3650</v>
      </c>
      <c r="L981" s="230" t="s">
        <v>3650</v>
      </c>
      <c r="T981" s="60"/>
    </row>
    <row r="982">
      <c r="D982" s="65" t="str">
        <f>IFERROR(__xludf.DUMMYFUNCTION("""COMPUTED_VALUE"""),"")</f>
        <v/>
      </c>
      <c r="E982" s="65" t="s">
        <v>3650</v>
      </c>
      <c r="G982" s="65" t="s">
        <v>3650</v>
      </c>
      <c r="J982" s="65" t="s">
        <v>3650</v>
      </c>
      <c r="K982" s="230" t="s">
        <v>3650</v>
      </c>
      <c r="L982" s="230" t="s">
        <v>3650</v>
      </c>
      <c r="T982" s="60"/>
    </row>
    <row r="983">
      <c r="D983" s="65" t="str">
        <f>IFERROR(__xludf.DUMMYFUNCTION("""COMPUTED_VALUE"""),"")</f>
        <v/>
      </c>
      <c r="E983" s="65" t="s">
        <v>3650</v>
      </c>
      <c r="G983" s="65" t="s">
        <v>3650</v>
      </c>
      <c r="J983" s="65" t="s">
        <v>3650</v>
      </c>
      <c r="K983" s="230" t="s">
        <v>3650</v>
      </c>
      <c r="L983" s="230" t="s">
        <v>3650</v>
      </c>
      <c r="T983" s="60"/>
    </row>
    <row r="984">
      <c r="D984" s="65" t="str">
        <f>IFERROR(__xludf.DUMMYFUNCTION("""COMPUTED_VALUE"""),"")</f>
        <v/>
      </c>
      <c r="E984" s="65" t="s">
        <v>3650</v>
      </c>
      <c r="G984" s="65" t="s">
        <v>3650</v>
      </c>
      <c r="J984" s="65" t="s">
        <v>3650</v>
      </c>
      <c r="K984" s="230" t="s">
        <v>3650</v>
      </c>
      <c r="L984" s="230" t="s">
        <v>3650</v>
      </c>
      <c r="T984" s="60"/>
    </row>
    <row r="985">
      <c r="D985" s="65" t="str">
        <f>IFERROR(__xludf.DUMMYFUNCTION("""COMPUTED_VALUE"""),"")</f>
        <v/>
      </c>
      <c r="E985" s="65" t="s">
        <v>3650</v>
      </c>
      <c r="G985" s="65" t="s">
        <v>3650</v>
      </c>
      <c r="J985" s="65" t="s">
        <v>3650</v>
      </c>
      <c r="K985" s="230" t="s">
        <v>3650</v>
      </c>
      <c r="L985" s="230" t="s">
        <v>3650</v>
      </c>
      <c r="T985" s="60"/>
    </row>
    <row r="986">
      <c r="D986" s="65" t="str">
        <f>IFERROR(__xludf.DUMMYFUNCTION("""COMPUTED_VALUE"""),"")</f>
        <v/>
      </c>
      <c r="E986" s="65" t="s">
        <v>3650</v>
      </c>
      <c r="G986" s="65" t="s">
        <v>3650</v>
      </c>
      <c r="J986" s="65" t="s">
        <v>3650</v>
      </c>
      <c r="K986" s="230" t="s">
        <v>3650</v>
      </c>
      <c r="L986" s="230" t="s">
        <v>3650</v>
      </c>
      <c r="T986" s="60"/>
    </row>
    <row r="987">
      <c r="D987" s="65" t="str">
        <f>IFERROR(__xludf.DUMMYFUNCTION("""COMPUTED_VALUE"""),"")</f>
        <v/>
      </c>
      <c r="E987" s="65" t="s">
        <v>3650</v>
      </c>
      <c r="G987" s="65" t="s">
        <v>3650</v>
      </c>
      <c r="J987" s="65" t="s">
        <v>3650</v>
      </c>
      <c r="K987" s="230" t="s">
        <v>3650</v>
      </c>
      <c r="L987" s="230" t="s">
        <v>3650</v>
      </c>
      <c r="T987" s="60"/>
    </row>
    <row r="988">
      <c r="D988" s="65" t="str">
        <f>IFERROR(__xludf.DUMMYFUNCTION("""COMPUTED_VALUE"""),"")</f>
        <v/>
      </c>
      <c r="E988" s="65" t="s">
        <v>3650</v>
      </c>
      <c r="G988" s="65" t="s">
        <v>3650</v>
      </c>
      <c r="J988" s="65" t="s">
        <v>3650</v>
      </c>
      <c r="K988" s="230" t="s">
        <v>3650</v>
      </c>
      <c r="L988" s="230" t="s">
        <v>3650</v>
      </c>
      <c r="T988" s="60"/>
    </row>
    <row r="989">
      <c r="D989" s="65" t="str">
        <f>IFERROR(__xludf.DUMMYFUNCTION("""COMPUTED_VALUE"""),"")</f>
        <v/>
      </c>
      <c r="E989" s="65" t="s">
        <v>3650</v>
      </c>
      <c r="G989" s="65" t="s">
        <v>3650</v>
      </c>
      <c r="J989" s="65" t="s">
        <v>3650</v>
      </c>
      <c r="K989" s="230" t="s">
        <v>3650</v>
      </c>
      <c r="L989" s="230" t="s">
        <v>3650</v>
      </c>
      <c r="T989" s="60"/>
    </row>
    <row r="990">
      <c r="D990" s="65" t="str">
        <f>IFERROR(__xludf.DUMMYFUNCTION("""COMPUTED_VALUE"""),"")</f>
        <v/>
      </c>
      <c r="E990" s="65" t="s">
        <v>3650</v>
      </c>
      <c r="G990" s="65" t="s">
        <v>3650</v>
      </c>
      <c r="J990" s="65" t="s">
        <v>3650</v>
      </c>
      <c r="K990" s="230" t="s">
        <v>3650</v>
      </c>
      <c r="L990" s="230" t="s">
        <v>3650</v>
      </c>
      <c r="T990" s="60"/>
    </row>
    <row r="991">
      <c r="D991" s="65" t="str">
        <f>IFERROR(__xludf.DUMMYFUNCTION("""COMPUTED_VALUE"""),"")</f>
        <v/>
      </c>
      <c r="E991" s="65" t="s">
        <v>3650</v>
      </c>
      <c r="G991" s="65" t="s">
        <v>3650</v>
      </c>
      <c r="J991" s="65" t="s">
        <v>3650</v>
      </c>
      <c r="K991" s="230" t="s">
        <v>3650</v>
      </c>
      <c r="L991" s="230" t="s">
        <v>3650</v>
      </c>
      <c r="T991" s="60"/>
    </row>
    <row r="992">
      <c r="D992" s="65" t="str">
        <f>IFERROR(__xludf.DUMMYFUNCTION("""COMPUTED_VALUE"""),"")</f>
        <v/>
      </c>
      <c r="E992" s="65" t="s">
        <v>3650</v>
      </c>
      <c r="G992" s="65" t="s">
        <v>3650</v>
      </c>
      <c r="J992" s="65" t="s">
        <v>3650</v>
      </c>
      <c r="K992" s="230" t="s">
        <v>3650</v>
      </c>
      <c r="L992" s="230" t="s">
        <v>3650</v>
      </c>
      <c r="T992" s="60"/>
    </row>
    <row r="993">
      <c r="D993" s="65" t="str">
        <f>IFERROR(__xludf.DUMMYFUNCTION("""COMPUTED_VALUE"""),"")</f>
        <v/>
      </c>
      <c r="E993" s="65" t="s">
        <v>3650</v>
      </c>
      <c r="G993" s="65" t="s">
        <v>3650</v>
      </c>
      <c r="J993" s="65" t="s">
        <v>3650</v>
      </c>
      <c r="K993" s="230" t="s">
        <v>3650</v>
      </c>
      <c r="L993" s="230" t="s">
        <v>3650</v>
      </c>
      <c r="T993" s="60"/>
    </row>
    <row r="994">
      <c r="D994" s="65" t="str">
        <f>IFERROR(__xludf.DUMMYFUNCTION("""COMPUTED_VALUE"""),"")</f>
        <v/>
      </c>
      <c r="E994" s="65" t="s">
        <v>3650</v>
      </c>
      <c r="G994" s="65" t="s">
        <v>3650</v>
      </c>
      <c r="J994" s="65" t="s">
        <v>3650</v>
      </c>
      <c r="K994" s="230" t="s">
        <v>3650</v>
      </c>
      <c r="L994" s="230" t="s">
        <v>3650</v>
      </c>
      <c r="T994" s="60"/>
    </row>
    <row r="995">
      <c r="D995" s="65" t="str">
        <f>IFERROR(__xludf.DUMMYFUNCTION("""COMPUTED_VALUE"""),"")</f>
        <v/>
      </c>
      <c r="E995" s="65" t="s">
        <v>3650</v>
      </c>
      <c r="G995" s="65" t="s">
        <v>3650</v>
      </c>
      <c r="J995" s="65" t="s">
        <v>3650</v>
      </c>
      <c r="K995" s="230" t="s">
        <v>3650</v>
      </c>
      <c r="L995" s="230" t="s">
        <v>3650</v>
      </c>
      <c r="T995" s="60"/>
    </row>
    <row r="996">
      <c r="D996" s="65" t="str">
        <f>IFERROR(__xludf.DUMMYFUNCTION("""COMPUTED_VALUE"""),"")</f>
        <v/>
      </c>
      <c r="E996" s="65" t="s">
        <v>3650</v>
      </c>
      <c r="G996" s="65" t="s">
        <v>3650</v>
      </c>
      <c r="J996" s="65" t="s">
        <v>3650</v>
      </c>
      <c r="K996" s="230" t="s">
        <v>3650</v>
      </c>
      <c r="L996" s="230" t="s">
        <v>3650</v>
      </c>
      <c r="T996" s="60"/>
    </row>
    <row r="997">
      <c r="D997" s="65" t="str">
        <f>IFERROR(__xludf.DUMMYFUNCTION("""COMPUTED_VALUE"""),"")</f>
        <v/>
      </c>
      <c r="E997" s="65" t="s">
        <v>3650</v>
      </c>
      <c r="G997" s="65" t="s">
        <v>3650</v>
      </c>
      <c r="J997" s="65" t="s">
        <v>3650</v>
      </c>
      <c r="K997" s="230" t="s">
        <v>3650</v>
      </c>
      <c r="L997" s="230" t="s">
        <v>3650</v>
      </c>
      <c r="T997" s="60"/>
    </row>
    <row r="998">
      <c r="D998" s="65" t="str">
        <f>IFERROR(__xludf.DUMMYFUNCTION("""COMPUTED_VALUE"""),"")</f>
        <v/>
      </c>
      <c r="E998" s="65" t="s">
        <v>3650</v>
      </c>
      <c r="G998" s="65" t="s">
        <v>3650</v>
      </c>
      <c r="J998" s="65" t="s">
        <v>3650</v>
      </c>
      <c r="K998" s="230" t="s">
        <v>3650</v>
      </c>
      <c r="L998" s="230" t="s">
        <v>3650</v>
      </c>
      <c r="T998" s="60"/>
    </row>
    <row r="999">
      <c r="D999" s="65" t="str">
        <f>IFERROR(__xludf.DUMMYFUNCTION("""COMPUTED_VALUE"""),"")</f>
        <v/>
      </c>
      <c r="E999" s="65" t="s">
        <v>3650</v>
      </c>
      <c r="G999" s="65" t="s">
        <v>3650</v>
      </c>
      <c r="J999" s="65" t="s">
        <v>3650</v>
      </c>
      <c r="K999" s="230" t="s">
        <v>3650</v>
      </c>
      <c r="L999" s="230" t="s">
        <v>3650</v>
      </c>
      <c r="T999" s="60"/>
    </row>
    <row r="1000">
      <c r="D1000" s="65" t="str">
        <f>IFERROR(__xludf.DUMMYFUNCTION("""COMPUTED_VALUE"""),"")</f>
        <v/>
      </c>
      <c r="E1000" s="65" t="s">
        <v>3650</v>
      </c>
      <c r="G1000" s="65" t="s">
        <v>3650</v>
      </c>
      <c r="J1000" s="65" t="s">
        <v>3650</v>
      </c>
      <c r="K1000" s="230" t="s">
        <v>3650</v>
      </c>
      <c r="L1000" s="230" t="s">
        <v>3650</v>
      </c>
      <c r="T1000" s="60"/>
    </row>
    <row r="1001">
      <c r="D1001" s="65" t="str">
        <f>IFERROR(__xludf.DUMMYFUNCTION("""COMPUTED_VALUE"""),"")</f>
        <v/>
      </c>
      <c r="E1001" s="65" t="s">
        <v>3650</v>
      </c>
      <c r="G1001" s="65" t="s">
        <v>3650</v>
      </c>
      <c r="J1001" s="65" t="s">
        <v>3650</v>
      </c>
      <c r="K1001" s="230" t="s">
        <v>3650</v>
      </c>
      <c r="L1001" s="230" t="s">
        <v>3650</v>
      </c>
      <c r="T1001" s="60"/>
    </row>
    <row r="1002">
      <c r="D1002" s="65" t="str">
        <f>IFERROR(__xludf.DUMMYFUNCTION("""COMPUTED_VALUE"""),"")</f>
        <v/>
      </c>
      <c r="E1002" s="65" t="s">
        <v>3650</v>
      </c>
      <c r="G1002" s="65" t="s">
        <v>3650</v>
      </c>
      <c r="J1002" s="65" t="s">
        <v>3650</v>
      </c>
      <c r="K1002" s="230" t="s">
        <v>3650</v>
      </c>
      <c r="L1002" s="230" t="s">
        <v>3650</v>
      </c>
      <c r="T1002" s="60"/>
    </row>
    <row r="1003">
      <c r="D1003" s="65" t="str">
        <f>IFERROR(__xludf.DUMMYFUNCTION("""COMPUTED_VALUE"""),"")</f>
        <v/>
      </c>
      <c r="E1003" s="65" t="s">
        <v>3650</v>
      </c>
      <c r="G1003" s="65" t="s">
        <v>3650</v>
      </c>
      <c r="J1003" s="65" t="s">
        <v>3650</v>
      </c>
      <c r="K1003" s="230" t="s">
        <v>3650</v>
      </c>
      <c r="L1003" s="230" t="s">
        <v>3650</v>
      </c>
      <c r="T1003" s="60"/>
    </row>
    <row r="1004">
      <c r="D1004" s="65" t="str">
        <f>IFERROR(__xludf.DUMMYFUNCTION("""COMPUTED_VALUE"""),"")</f>
        <v/>
      </c>
      <c r="E1004" s="65" t="s">
        <v>3650</v>
      </c>
      <c r="G1004" s="65" t="s">
        <v>3650</v>
      </c>
      <c r="J1004" s="65" t="s">
        <v>3650</v>
      </c>
      <c r="K1004" s="230" t="s">
        <v>3650</v>
      </c>
      <c r="L1004" s="230" t="s">
        <v>3650</v>
      </c>
      <c r="T1004" s="60"/>
    </row>
    <row r="1005">
      <c r="D1005" s="65" t="str">
        <f>IFERROR(__xludf.DUMMYFUNCTION("""COMPUTED_VALUE"""),"")</f>
        <v/>
      </c>
      <c r="E1005" s="65" t="s">
        <v>3650</v>
      </c>
      <c r="G1005" s="65" t="s">
        <v>3650</v>
      </c>
      <c r="J1005" s="65" t="s">
        <v>3650</v>
      </c>
      <c r="K1005" s="230" t="s">
        <v>3650</v>
      </c>
      <c r="L1005" s="230" t="s">
        <v>3650</v>
      </c>
      <c r="T1005" s="60"/>
    </row>
    <row r="1006">
      <c r="D1006" s="65" t="str">
        <f>IFERROR(__xludf.DUMMYFUNCTION("""COMPUTED_VALUE"""),"")</f>
        <v/>
      </c>
      <c r="E1006" s="65" t="s">
        <v>3650</v>
      </c>
      <c r="G1006" s="65" t="s">
        <v>3650</v>
      </c>
      <c r="J1006" s="65" t="s">
        <v>3650</v>
      </c>
      <c r="K1006" s="230" t="s">
        <v>3650</v>
      </c>
      <c r="L1006" s="230" t="s">
        <v>3650</v>
      </c>
      <c r="T1006" s="60"/>
    </row>
    <row r="1007">
      <c r="D1007" s="65" t="str">
        <f>IFERROR(__xludf.DUMMYFUNCTION("""COMPUTED_VALUE"""),"")</f>
        <v/>
      </c>
      <c r="E1007" s="65" t="s">
        <v>3650</v>
      </c>
      <c r="G1007" s="65" t="s">
        <v>3650</v>
      </c>
      <c r="J1007" s="65" t="s">
        <v>3650</v>
      </c>
      <c r="K1007" s="230" t="s">
        <v>3650</v>
      </c>
      <c r="L1007" s="230" t="s">
        <v>3650</v>
      </c>
      <c r="T1007" s="60"/>
    </row>
    <row r="1008">
      <c r="D1008" s="65" t="str">
        <f>IFERROR(__xludf.DUMMYFUNCTION("""COMPUTED_VALUE"""),"")</f>
        <v/>
      </c>
      <c r="E1008" s="65" t="s">
        <v>3650</v>
      </c>
      <c r="G1008" s="65" t="s">
        <v>3650</v>
      </c>
      <c r="J1008" s="65" t="s">
        <v>3650</v>
      </c>
      <c r="K1008" s="230" t="s">
        <v>3650</v>
      </c>
      <c r="L1008" s="230" t="s">
        <v>3650</v>
      </c>
      <c r="T1008" s="60"/>
    </row>
    <row r="1009">
      <c r="D1009" s="65" t="str">
        <f>IFERROR(__xludf.DUMMYFUNCTION("""COMPUTED_VALUE"""),"")</f>
        <v/>
      </c>
      <c r="E1009" s="65" t="s">
        <v>3650</v>
      </c>
      <c r="G1009" s="65" t="s">
        <v>3650</v>
      </c>
      <c r="J1009" s="65" t="s">
        <v>3650</v>
      </c>
      <c r="K1009" s="230" t="s">
        <v>3650</v>
      </c>
      <c r="L1009" s="230" t="s">
        <v>3650</v>
      </c>
      <c r="T1009" s="60"/>
    </row>
    <row r="1010">
      <c r="D1010" s="65" t="str">
        <f>IFERROR(__xludf.DUMMYFUNCTION("""COMPUTED_VALUE"""),"")</f>
        <v/>
      </c>
      <c r="E1010" s="65" t="s">
        <v>3650</v>
      </c>
      <c r="G1010" s="65" t="s">
        <v>3650</v>
      </c>
      <c r="J1010" s="65" t="s">
        <v>3650</v>
      </c>
      <c r="K1010" s="230" t="s">
        <v>3650</v>
      </c>
      <c r="L1010" s="230" t="s">
        <v>3650</v>
      </c>
      <c r="T1010" s="60"/>
    </row>
    <row r="1011">
      <c r="D1011" s="65" t="str">
        <f>IFERROR(__xludf.DUMMYFUNCTION("""COMPUTED_VALUE"""),"")</f>
        <v/>
      </c>
      <c r="E1011" s="65" t="s">
        <v>3650</v>
      </c>
      <c r="G1011" s="65" t="s">
        <v>3650</v>
      </c>
      <c r="J1011" s="65" t="s">
        <v>3650</v>
      </c>
      <c r="K1011" s="230" t="s">
        <v>3650</v>
      </c>
      <c r="L1011" s="230" t="s">
        <v>3650</v>
      </c>
      <c r="T1011" s="60"/>
    </row>
    <row r="1012">
      <c r="D1012" s="65" t="str">
        <f>IFERROR(__xludf.DUMMYFUNCTION("""COMPUTED_VALUE"""),"")</f>
        <v/>
      </c>
      <c r="E1012" s="65" t="s">
        <v>3650</v>
      </c>
      <c r="G1012" s="65" t="s">
        <v>3650</v>
      </c>
      <c r="J1012" s="65" t="s">
        <v>3650</v>
      </c>
      <c r="K1012" s="230" t="s">
        <v>3650</v>
      </c>
      <c r="L1012" s="230" t="s">
        <v>3650</v>
      </c>
      <c r="T1012" s="60"/>
    </row>
    <row r="1013">
      <c r="D1013" s="65" t="str">
        <f>IFERROR(__xludf.DUMMYFUNCTION("""COMPUTED_VALUE"""),"")</f>
        <v/>
      </c>
      <c r="E1013" s="65" t="s">
        <v>3650</v>
      </c>
      <c r="G1013" s="65" t="s">
        <v>3650</v>
      </c>
      <c r="J1013" s="65" t="s">
        <v>3650</v>
      </c>
      <c r="K1013" s="230" t="s">
        <v>3650</v>
      </c>
      <c r="L1013" s="230" t="s">
        <v>3650</v>
      </c>
      <c r="T1013" s="60"/>
    </row>
    <row r="1014">
      <c r="D1014" s="65" t="str">
        <f>IFERROR(__xludf.DUMMYFUNCTION("""COMPUTED_VALUE"""),"")</f>
        <v/>
      </c>
      <c r="E1014" s="65" t="s">
        <v>3650</v>
      </c>
      <c r="G1014" s="65" t="s">
        <v>3650</v>
      </c>
      <c r="J1014" s="65" t="s">
        <v>3650</v>
      </c>
      <c r="K1014" s="230" t="s">
        <v>3650</v>
      </c>
      <c r="L1014" s="230" t="s">
        <v>3650</v>
      </c>
      <c r="T1014" s="60"/>
    </row>
    <row r="1015">
      <c r="D1015" s="65" t="str">
        <f>IFERROR(__xludf.DUMMYFUNCTION("""COMPUTED_VALUE"""),"")</f>
        <v/>
      </c>
      <c r="E1015" s="65" t="s">
        <v>3650</v>
      </c>
      <c r="G1015" s="65" t="s">
        <v>3650</v>
      </c>
      <c r="J1015" s="65" t="s">
        <v>3650</v>
      </c>
      <c r="K1015" s="230" t="s">
        <v>3650</v>
      </c>
      <c r="L1015" s="230" t="s">
        <v>3650</v>
      </c>
      <c r="T1015" s="60"/>
    </row>
    <row r="1016">
      <c r="D1016" s="65" t="str">
        <f>IFERROR(__xludf.DUMMYFUNCTION("""COMPUTED_VALUE"""),"")</f>
        <v/>
      </c>
      <c r="E1016" s="65" t="s">
        <v>3650</v>
      </c>
      <c r="G1016" s="65" t="s">
        <v>3650</v>
      </c>
      <c r="J1016" s="65" t="s">
        <v>3650</v>
      </c>
      <c r="K1016" s="230" t="s">
        <v>3650</v>
      </c>
      <c r="L1016" s="230" t="s">
        <v>3650</v>
      </c>
      <c r="T1016" s="60"/>
    </row>
    <row r="1017">
      <c r="D1017" s="65" t="str">
        <f>IFERROR(__xludf.DUMMYFUNCTION("""COMPUTED_VALUE"""),"")</f>
        <v/>
      </c>
      <c r="E1017" s="65" t="s">
        <v>3650</v>
      </c>
      <c r="G1017" s="65" t="s">
        <v>3650</v>
      </c>
      <c r="J1017" s="65" t="s">
        <v>3650</v>
      </c>
      <c r="K1017" s="230" t="s">
        <v>3650</v>
      </c>
      <c r="L1017" s="230" t="s">
        <v>3650</v>
      </c>
      <c r="T1017" s="60"/>
    </row>
    <row r="1018">
      <c r="D1018" s="65" t="str">
        <f>IFERROR(__xludf.DUMMYFUNCTION("""COMPUTED_VALUE"""),"")</f>
        <v/>
      </c>
      <c r="E1018" s="65" t="s">
        <v>3650</v>
      </c>
      <c r="G1018" s="65" t="s">
        <v>3650</v>
      </c>
      <c r="J1018" s="65" t="s">
        <v>3650</v>
      </c>
      <c r="K1018" s="230" t="s">
        <v>3650</v>
      </c>
      <c r="L1018" s="230" t="s">
        <v>3650</v>
      </c>
      <c r="T1018" s="60"/>
    </row>
    <row r="1019">
      <c r="D1019" s="65" t="str">
        <f>IFERROR(__xludf.DUMMYFUNCTION("""COMPUTED_VALUE"""),"")</f>
        <v/>
      </c>
      <c r="E1019" s="65" t="s">
        <v>3650</v>
      </c>
      <c r="G1019" s="65" t="s">
        <v>3650</v>
      </c>
      <c r="J1019" s="65" t="s">
        <v>3650</v>
      </c>
      <c r="K1019" s="230" t="s">
        <v>3650</v>
      </c>
      <c r="L1019" s="230" t="s">
        <v>3650</v>
      </c>
      <c r="T1019" s="60"/>
    </row>
    <row r="1020">
      <c r="D1020" s="65" t="str">
        <f>IFERROR(__xludf.DUMMYFUNCTION("""COMPUTED_VALUE"""),"")</f>
        <v/>
      </c>
      <c r="E1020" s="65" t="s">
        <v>3650</v>
      </c>
      <c r="G1020" s="65" t="s">
        <v>3650</v>
      </c>
      <c r="J1020" s="65" t="s">
        <v>3650</v>
      </c>
      <c r="K1020" s="230" t="s">
        <v>3650</v>
      </c>
      <c r="L1020" s="230" t="s">
        <v>3650</v>
      </c>
      <c r="T1020" s="60"/>
    </row>
    <row r="1021">
      <c r="D1021" s="65" t="str">
        <f>IFERROR(__xludf.DUMMYFUNCTION("""COMPUTED_VALUE"""),"")</f>
        <v/>
      </c>
      <c r="E1021" s="65" t="s">
        <v>3650</v>
      </c>
      <c r="G1021" s="65" t="s">
        <v>3650</v>
      </c>
      <c r="J1021" s="65" t="s">
        <v>3650</v>
      </c>
      <c r="K1021" s="230" t="s">
        <v>3650</v>
      </c>
      <c r="L1021" s="230" t="s">
        <v>3650</v>
      </c>
      <c r="T1021" s="60"/>
    </row>
    <row r="1022">
      <c r="D1022" s="65" t="str">
        <f>IFERROR(__xludf.DUMMYFUNCTION("""COMPUTED_VALUE"""),"")</f>
        <v/>
      </c>
      <c r="E1022" s="65" t="s">
        <v>3650</v>
      </c>
      <c r="G1022" s="65" t="s">
        <v>3650</v>
      </c>
      <c r="J1022" s="65" t="s">
        <v>3650</v>
      </c>
      <c r="K1022" s="230" t="s">
        <v>3650</v>
      </c>
      <c r="L1022" s="230" t="s">
        <v>3650</v>
      </c>
      <c r="T1022" s="60"/>
    </row>
    <row r="1023">
      <c r="D1023" s="65" t="str">
        <f>IFERROR(__xludf.DUMMYFUNCTION("""COMPUTED_VALUE"""),"")</f>
        <v/>
      </c>
      <c r="E1023" s="65" t="s">
        <v>3650</v>
      </c>
      <c r="G1023" s="65" t="s">
        <v>3650</v>
      </c>
      <c r="J1023" s="65" t="s">
        <v>3650</v>
      </c>
      <c r="K1023" s="230" t="s">
        <v>3650</v>
      </c>
      <c r="L1023" s="230" t="s">
        <v>3650</v>
      </c>
      <c r="T1023" s="60"/>
    </row>
    <row r="1024">
      <c r="D1024" s="65" t="str">
        <f>IFERROR(__xludf.DUMMYFUNCTION("""COMPUTED_VALUE"""),"")</f>
        <v/>
      </c>
      <c r="E1024" s="65" t="s">
        <v>3650</v>
      </c>
      <c r="G1024" s="65" t="s">
        <v>3650</v>
      </c>
      <c r="J1024" s="65" t="s">
        <v>3650</v>
      </c>
      <c r="K1024" s="230" t="s">
        <v>3650</v>
      </c>
      <c r="L1024" s="230" t="s">
        <v>3650</v>
      </c>
      <c r="T1024" s="60"/>
    </row>
    <row r="1025">
      <c r="D1025" s="65" t="str">
        <f>IFERROR(__xludf.DUMMYFUNCTION("""COMPUTED_VALUE"""),"")</f>
        <v/>
      </c>
      <c r="E1025" s="65" t="s">
        <v>3650</v>
      </c>
      <c r="G1025" s="65" t="s">
        <v>3650</v>
      </c>
      <c r="J1025" s="65" t="s">
        <v>3650</v>
      </c>
      <c r="K1025" s="230" t="s">
        <v>3650</v>
      </c>
      <c r="L1025" s="230" t="s">
        <v>3650</v>
      </c>
      <c r="T1025" s="60"/>
    </row>
    <row r="1026">
      <c r="D1026" s="65" t="str">
        <f>IFERROR(__xludf.DUMMYFUNCTION("""COMPUTED_VALUE"""),"")</f>
        <v/>
      </c>
      <c r="E1026" s="65" t="s">
        <v>3650</v>
      </c>
      <c r="G1026" s="65" t="s">
        <v>3650</v>
      </c>
      <c r="J1026" s="65" t="s">
        <v>3650</v>
      </c>
      <c r="K1026" s="230" t="s">
        <v>3650</v>
      </c>
      <c r="L1026" s="230" t="s">
        <v>3650</v>
      </c>
      <c r="T1026" s="60"/>
    </row>
    <row r="1027">
      <c r="D1027" s="65" t="str">
        <f>IFERROR(__xludf.DUMMYFUNCTION("""COMPUTED_VALUE"""),"")</f>
        <v/>
      </c>
      <c r="E1027" s="65" t="s">
        <v>3650</v>
      </c>
      <c r="G1027" s="65" t="s">
        <v>3650</v>
      </c>
      <c r="J1027" s="65" t="s">
        <v>3650</v>
      </c>
      <c r="K1027" s="230" t="s">
        <v>3650</v>
      </c>
      <c r="L1027" s="230" t="s">
        <v>3650</v>
      </c>
      <c r="T1027" s="60"/>
    </row>
    <row r="1028">
      <c r="D1028" s="65" t="str">
        <f>IFERROR(__xludf.DUMMYFUNCTION("""COMPUTED_VALUE"""),"")</f>
        <v/>
      </c>
      <c r="E1028" s="65" t="s">
        <v>3650</v>
      </c>
      <c r="G1028" s="65" t="s">
        <v>3650</v>
      </c>
      <c r="J1028" s="65" t="s">
        <v>3650</v>
      </c>
      <c r="K1028" s="230" t="s">
        <v>3650</v>
      </c>
      <c r="L1028" s="230" t="s">
        <v>3650</v>
      </c>
      <c r="T1028" s="60"/>
    </row>
    <row r="1029">
      <c r="D1029" s="65" t="str">
        <f>IFERROR(__xludf.DUMMYFUNCTION("""COMPUTED_VALUE"""),"")</f>
        <v/>
      </c>
      <c r="E1029" s="65" t="s">
        <v>3650</v>
      </c>
      <c r="G1029" s="65" t="s">
        <v>3650</v>
      </c>
      <c r="J1029" s="65" t="s">
        <v>3650</v>
      </c>
      <c r="K1029" s="230" t="s">
        <v>3650</v>
      </c>
      <c r="L1029" s="230" t="s">
        <v>3650</v>
      </c>
      <c r="T1029" s="60"/>
    </row>
    <row r="1030">
      <c r="D1030" s="65" t="str">
        <f>IFERROR(__xludf.DUMMYFUNCTION("""COMPUTED_VALUE"""),"")</f>
        <v/>
      </c>
      <c r="E1030" s="65" t="s">
        <v>3650</v>
      </c>
      <c r="G1030" s="65" t="s">
        <v>3650</v>
      </c>
      <c r="J1030" s="65" t="s">
        <v>3650</v>
      </c>
      <c r="K1030" s="230" t="s">
        <v>3650</v>
      </c>
      <c r="L1030" s="230" t="s">
        <v>3650</v>
      </c>
      <c r="T1030" s="60"/>
    </row>
    <row r="1031">
      <c r="D1031" s="65" t="str">
        <f>IFERROR(__xludf.DUMMYFUNCTION("""COMPUTED_VALUE"""),"")</f>
        <v/>
      </c>
      <c r="E1031" s="65" t="s">
        <v>3650</v>
      </c>
      <c r="G1031" s="65" t="s">
        <v>3650</v>
      </c>
      <c r="J1031" s="65" t="s">
        <v>3650</v>
      </c>
      <c r="K1031" s="230" t="s">
        <v>3650</v>
      </c>
      <c r="L1031" s="230" t="s">
        <v>3650</v>
      </c>
      <c r="T1031" s="60"/>
    </row>
    <row r="1032">
      <c r="D1032" s="65" t="str">
        <f>IFERROR(__xludf.DUMMYFUNCTION("""COMPUTED_VALUE"""),"")</f>
        <v/>
      </c>
      <c r="E1032" s="65" t="s">
        <v>3650</v>
      </c>
      <c r="G1032" s="65" t="s">
        <v>3650</v>
      </c>
      <c r="J1032" s="65" t="s">
        <v>3650</v>
      </c>
      <c r="K1032" s="230" t="s">
        <v>3650</v>
      </c>
      <c r="L1032" s="230" t="s">
        <v>3650</v>
      </c>
      <c r="T1032" s="60"/>
    </row>
    <row r="1033">
      <c r="D1033" s="65" t="str">
        <f>IFERROR(__xludf.DUMMYFUNCTION("""COMPUTED_VALUE"""),"")</f>
        <v/>
      </c>
      <c r="E1033" s="65" t="s">
        <v>3650</v>
      </c>
      <c r="G1033" s="65" t="s">
        <v>3650</v>
      </c>
      <c r="J1033" s="65" t="s">
        <v>3650</v>
      </c>
      <c r="K1033" s="230" t="s">
        <v>3650</v>
      </c>
      <c r="L1033" s="230" t="s">
        <v>3650</v>
      </c>
      <c r="T1033" s="60"/>
    </row>
    <row r="1034">
      <c r="D1034" s="65" t="str">
        <f>IFERROR(__xludf.DUMMYFUNCTION("""COMPUTED_VALUE"""),"")</f>
        <v/>
      </c>
      <c r="E1034" s="65" t="s">
        <v>3650</v>
      </c>
      <c r="G1034" s="65" t="s">
        <v>3650</v>
      </c>
      <c r="J1034" s="65" t="s">
        <v>3650</v>
      </c>
      <c r="K1034" s="230" t="s">
        <v>3650</v>
      </c>
      <c r="L1034" s="230" t="s">
        <v>3650</v>
      </c>
      <c r="T1034" s="60"/>
    </row>
    <row r="1035">
      <c r="D1035" s="65" t="str">
        <f>IFERROR(__xludf.DUMMYFUNCTION("""COMPUTED_VALUE"""),"")</f>
        <v/>
      </c>
      <c r="E1035" s="65" t="s">
        <v>3650</v>
      </c>
      <c r="G1035" s="65" t="s">
        <v>3650</v>
      </c>
      <c r="J1035" s="65" t="s">
        <v>3650</v>
      </c>
      <c r="K1035" s="230" t="s">
        <v>3650</v>
      </c>
      <c r="L1035" s="230" t="s">
        <v>3650</v>
      </c>
      <c r="T1035" s="60"/>
    </row>
    <row r="1036">
      <c r="D1036" s="65" t="str">
        <f>IFERROR(__xludf.DUMMYFUNCTION("""COMPUTED_VALUE"""),"")</f>
        <v/>
      </c>
      <c r="E1036" s="65" t="s">
        <v>3650</v>
      </c>
      <c r="G1036" s="65" t="s">
        <v>3650</v>
      </c>
      <c r="J1036" s="65" t="s">
        <v>3650</v>
      </c>
      <c r="K1036" s="230" t="s">
        <v>3650</v>
      </c>
      <c r="L1036" s="230" t="s">
        <v>3650</v>
      </c>
      <c r="T1036" s="60"/>
    </row>
    <row r="1037">
      <c r="D1037" s="65" t="str">
        <f>IFERROR(__xludf.DUMMYFUNCTION("""COMPUTED_VALUE"""),"")</f>
        <v/>
      </c>
      <c r="E1037" s="65" t="s">
        <v>3650</v>
      </c>
      <c r="G1037" s="65" t="s">
        <v>3650</v>
      </c>
      <c r="J1037" s="65" t="s">
        <v>3650</v>
      </c>
      <c r="K1037" s="230" t="s">
        <v>3650</v>
      </c>
      <c r="L1037" s="230" t="s">
        <v>3650</v>
      </c>
      <c r="T1037" s="60"/>
    </row>
    <row r="1038">
      <c r="D1038" s="65" t="str">
        <f>IFERROR(__xludf.DUMMYFUNCTION("""COMPUTED_VALUE"""),"")</f>
        <v/>
      </c>
      <c r="E1038" s="65" t="s">
        <v>3650</v>
      </c>
      <c r="G1038" s="65" t="s">
        <v>3650</v>
      </c>
      <c r="J1038" s="65" t="s">
        <v>3650</v>
      </c>
      <c r="K1038" s="230" t="s">
        <v>3650</v>
      </c>
      <c r="L1038" s="230" t="s">
        <v>3650</v>
      </c>
      <c r="T1038" s="60"/>
    </row>
    <row r="1039">
      <c r="D1039" s="65" t="str">
        <f>IFERROR(__xludf.DUMMYFUNCTION("""COMPUTED_VALUE"""),"")</f>
        <v/>
      </c>
      <c r="E1039" s="65" t="s">
        <v>3650</v>
      </c>
      <c r="G1039" s="65" t="s">
        <v>3650</v>
      </c>
      <c r="J1039" s="65" t="s">
        <v>3650</v>
      </c>
      <c r="K1039" s="230" t="s">
        <v>3650</v>
      </c>
      <c r="L1039" s="230" t="s">
        <v>3650</v>
      </c>
      <c r="T1039" s="60"/>
    </row>
    <row r="1040">
      <c r="D1040" s="65" t="str">
        <f>IFERROR(__xludf.DUMMYFUNCTION("""COMPUTED_VALUE"""),"")</f>
        <v/>
      </c>
      <c r="E1040" s="65" t="s">
        <v>3650</v>
      </c>
      <c r="G1040" s="65" t="s">
        <v>3650</v>
      </c>
      <c r="J1040" s="65" t="s">
        <v>3650</v>
      </c>
      <c r="K1040" s="230" t="s">
        <v>3650</v>
      </c>
      <c r="L1040" s="230" t="s">
        <v>3650</v>
      </c>
      <c r="T1040" s="60"/>
    </row>
    <row r="1041">
      <c r="D1041" s="65" t="str">
        <f>IFERROR(__xludf.DUMMYFUNCTION("""COMPUTED_VALUE"""),"")</f>
        <v/>
      </c>
      <c r="E1041" s="65" t="s">
        <v>3650</v>
      </c>
      <c r="G1041" s="65" t="s">
        <v>3650</v>
      </c>
      <c r="J1041" s="65" t="s">
        <v>3650</v>
      </c>
      <c r="K1041" s="230" t="s">
        <v>3650</v>
      </c>
      <c r="L1041" s="230" t="s">
        <v>3650</v>
      </c>
      <c r="T1041" s="60"/>
    </row>
    <row r="1042">
      <c r="D1042" s="65" t="str">
        <f>IFERROR(__xludf.DUMMYFUNCTION("""COMPUTED_VALUE"""),"")</f>
        <v/>
      </c>
      <c r="E1042" s="65" t="s">
        <v>3650</v>
      </c>
      <c r="G1042" s="65" t="s">
        <v>3650</v>
      </c>
      <c r="J1042" s="65" t="s">
        <v>3650</v>
      </c>
      <c r="K1042" s="230" t="s">
        <v>3650</v>
      </c>
      <c r="L1042" s="230" t="s">
        <v>3650</v>
      </c>
      <c r="T1042" s="60"/>
    </row>
    <row r="1043">
      <c r="D1043" s="65" t="str">
        <f>IFERROR(__xludf.DUMMYFUNCTION("""COMPUTED_VALUE"""),"")</f>
        <v/>
      </c>
      <c r="E1043" s="65" t="s">
        <v>3650</v>
      </c>
      <c r="G1043" s="65" t="s">
        <v>3650</v>
      </c>
      <c r="J1043" s="65" t="s">
        <v>3650</v>
      </c>
      <c r="K1043" s="230" t="s">
        <v>3650</v>
      </c>
      <c r="L1043" s="230" t="s">
        <v>3650</v>
      </c>
      <c r="T1043" s="60"/>
    </row>
    <row r="1044">
      <c r="D1044" s="65" t="str">
        <f>IFERROR(__xludf.DUMMYFUNCTION("""COMPUTED_VALUE"""),"")</f>
        <v/>
      </c>
      <c r="E1044" s="65" t="s">
        <v>3650</v>
      </c>
      <c r="G1044" s="65" t="s">
        <v>3650</v>
      </c>
      <c r="J1044" s="65" t="s">
        <v>3650</v>
      </c>
      <c r="K1044" s="230" t="s">
        <v>3650</v>
      </c>
      <c r="L1044" s="230" t="s">
        <v>3650</v>
      </c>
      <c r="T1044" s="60"/>
    </row>
    <row r="1045">
      <c r="D1045" s="65" t="str">
        <f>IFERROR(__xludf.DUMMYFUNCTION("""COMPUTED_VALUE"""),"")</f>
        <v/>
      </c>
      <c r="E1045" s="65" t="s">
        <v>3650</v>
      </c>
      <c r="G1045" s="65" t="s">
        <v>3650</v>
      </c>
      <c r="J1045" s="65" t="s">
        <v>3650</v>
      </c>
      <c r="K1045" s="230" t="s">
        <v>3650</v>
      </c>
      <c r="L1045" s="230" t="s">
        <v>3650</v>
      </c>
      <c r="T1045" s="60"/>
    </row>
    <row r="1046">
      <c r="D1046" s="65" t="str">
        <f>IFERROR(__xludf.DUMMYFUNCTION("""COMPUTED_VALUE"""),"")</f>
        <v/>
      </c>
      <c r="E1046" s="65" t="s">
        <v>3650</v>
      </c>
      <c r="G1046" s="65" t="s">
        <v>3650</v>
      </c>
      <c r="J1046" s="65" t="s">
        <v>3650</v>
      </c>
      <c r="K1046" s="230" t="s">
        <v>3650</v>
      </c>
      <c r="L1046" s="230" t="s">
        <v>3650</v>
      </c>
      <c r="T1046" s="60"/>
    </row>
    <row r="1047">
      <c r="D1047" s="65" t="str">
        <f>IFERROR(__xludf.DUMMYFUNCTION("""COMPUTED_VALUE"""),"")</f>
        <v/>
      </c>
      <c r="E1047" s="65" t="s">
        <v>3650</v>
      </c>
      <c r="G1047" s="65" t="s">
        <v>3650</v>
      </c>
      <c r="J1047" s="65" t="s">
        <v>3650</v>
      </c>
      <c r="K1047" s="230" t="s">
        <v>3650</v>
      </c>
      <c r="L1047" s="230" t="s">
        <v>3650</v>
      </c>
      <c r="T1047" s="60"/>
    </row>
    <row r="1048">
      <c r="D1048" s="65" t="str">
        <f>IFERROR(__xludf.DUMMYFUNCTION("""COMPUTED_VALUE"""),"")</f>
        <v/>
      </c>
      <c r="E1048" s="65" t="s">
        <v>3650</v>
      </c>
      <c r="G1048" s="65" t="s">
        <v>3650</v>
      </c>
      <c r="J1048" s="65" t="s">
        <v>3650</v>
      </c>
      <c r="K1048" s="230" t="s">
        <v>3650</v>
      </c>
      <c r="L1048" s="230" t="s">
        <v>3650</v>
      </c>
      <c r="T1048" s="60"/>
    </row>
    <row r="1049">
      <c r="D1049" s="65" t="str">
        <f>IFERROR(__xludf.DUMMYFUNCTION("""COMPUTED_VALUE"""),"")</f>
        <v/>
      </c>
      <c r="E1049" s="65" t="s">
        <v>3650</v>
      </c>
      <c r="G1049" s="65" t="s">
        <v>3650</v>
      </c>
      <c r="J1049" s="65" t="s">
        <v>3650</v>
      </c>
      <c r="K1049" s="230" t="s">
        <v>3650</v>
      </c>
      <c r="L1049" s="230" t="s">
        <v>3650</v>
      </c>
      <c r="T1049" s="60"/>
    </row>
    <row r="1050">
      <c r="D1050" s="65" t="str">
        <f>IFERROR(__xludf.DUMMYFUNCTION("""COMPUTED_VALUE"""),"")</f>
        <v/>
      </c>
      <c r="E1050" s="65" t="s">
        <v>3650</v>
      </c>
      <c r="G1050" s="65" t="s">
        <v>3650</v>
      </c>
      <c r="J1050" s="65" t="s">
        <v>3650</v>
      </c>
      <c r="K1050" s="230" t="s">
        <v>3650</v>
      </c>
      <c r="L1050" s="230" t="s">
        <v>3650</v>
      </c>
      <c r="T1050" s="60"/>
    </row>
    <row r="1051">
      <c r="D1051" s="65" t="str">
        <f>IFERROR(__xludf.DUMMYFUNCTION("""COMPUTED_VALUE"""),"")</f>
        <v/>
      </c>
      <c r="E1051" s="65" t="s">
        <v>3650</v>
      </c>
      <c r="G1051" s="65" t="s">
        <v>3650</v>
      </c>
      <c r="J1051" s="65" t="s">
        <v>3650</v>
      </c>
      <c r="K1051" s="230" t="s">
        <v>3650</v>
      </c>
      <c r="L1051" s="230" t="s">
        <v>3650</v>
      </c>
      <c r="T1051" s="60"/>
    </row>
    <row r="1052">
      <c r="D1052" s="65" t="str">
        <f>IFERROR(__xludf.DUMMYFUNCTION("""COMPUTED_VALUE"""),"")</f>
        <v/>
      </c>
      <c r="E1052" s="65" t="s">
        <v>3650</v>
      </c>
      <c r="G1052" s="65" t="s">
        <v>3650</v>
      </c>
      <c r="J1052" s="65" t="s">
        <v>3650</v>
      </c>
      <c r="K1052" s="230" t="s">
        <v>3650</v>
      </c>
      <c r="L1052" s="230" t="s">
        <v>3650</v>
      </c>
      <c r="T1052" s="60"/>
    </row>
    <row r="1053">
      <c r="D1053" s="65" t="str">
        <f>IFERROR(__xludf.DUMMYFUNCTION("""COMPUTED_VALUE"""),"")</f>
        <v/>
      </c>
      <c r="E1053" s="65" t="s">
        <v>3650</v>
      </c>
      <c r="G1053" s="65" t="s">
        <v>3650</v>
      </c>
      <c r="J1053" s="65" t="s">
        <v>3650</v>
      </c>
      <c r="K1053" s="230" t="s">
        <v>3650</v>
      </c>
      <c r="L1053" s="230" t="s">
        <v>3650</v>
      </c>
      <c r="T1053" s="60"/>
    </row>
    <row r="1054">
      <c r="D1054" s="65" t="str">
        <f>IFERROR(__xludf.DUMMYFUNCTION("""COMPUTED_VALUE"""),"")</f>
        <v/>
      </c>
      <c r="E1054" s="65" t="s">
        <v>3650</v>
      </c>
      <c r="G1054" s="65" t="s">
        <v>3650</v>
      </c>
      <c r="J1054" s="65" t="s">
        <v>3650</v>
      </c>
      <c r="K1054" s="230" t="s">
        <v>3650</v>
      </c>
      <c r="L1054" s="230" t="s">
        <v>3650</v>
      </c>
      <c r="T1054" s="60"/>
    </row>
    <row r="1055">
      <c r="D1055" s="65" t="str">
        <f>IFERROR(__xludf.DUMMYFUNCTION("""COMPUTED_VALUE"""),"")</f>
        <v/>
      </c>
      <c r="E1055" s="65" t="s">
        <v>3650</v>
      </c>
      <c r="G1055" s="65" t="s">
        <v>3650</v>
      </c>
      <c r="J1055" s="65" t="s">
        <v>3650</v>
      </c>
      <c r="K1055" s="230" t="s">
        <v>3650</v>
      </c>
      <c r="L1055" s="230" t="s">
        <v>3650</v>
      </c>
      <c r="T1055" s="60"/>
    </row>
    <row r="1056">
      <c r="D1056" s="65" t="str">
        <f>IFERROR(__xludf.DUMMYFUNCTION("""COMPUTED_VALUE"""),"")</f>
        <v/>
      </c>
      <c r="E1056" s="65" t="s">
        <v>3650</v>
      </c>
      <c r="G1056" s="65" t="s">
        <v>3650</v>
      </c>
      <c r="J1056" s="65" t="s">
        <v>3650</v>
      </c>
      <c r="K1056" s="230" t="s">
        <v>3650</v>
      </c>
      <c r="L1056" s="230" t="s">
        <v>3650</v>
      </c>
      <c r="T1056" s="60"/>
    </row>
    <row r="1057">
      <c r="D1057" s="65" t="str">
        <f>IFERROR(__xludf.DUMMYFUNCTION("""COMPUTED_VALUE"""),"")</f>
        <v/>
      </c>
      <c r="E1057" s="65" t="s">
        <v>3650</v>
      </c>
      <c r="G1057" s="65" t="s">
        <v>3650</v>
      </c>
      <c r="J1057" s="65" t="s">
        <v>3650</v>
      </c>
      <c r="K1057" s="230" t="s">
        <v>3650</v>
      </c>
      <c r="L1057" s="230" t="s">
        <v>3650</v>
      </c>
      <c r="T1057" s="60"/>
    </row>
    <row r="1058">
      <c r="D1058" s="65" t="str">
        <f>IFERROR(__xludf.DUMMYFUNCTION("""COMPUTED_VALUE"""),"")</f>
        <v/>
      </c>
      <c r="E1058" s="65" t="s">
        <v>3650</v>
      </c>
      <c r="G1058" s="65" t="s">
        <v>3650</v>
      </c>
      <c r="J1058" s="65" t="s">
        <v>3650</v>
      </c>
      <c r="K1058" s="230" t="s">
        <v>3650</v>
      </c>
      <c r="L1058" s="230" t="s">
        <v>3650</v>
      </c>
      <c r="T1058" s="60"/>
    </row>
    <row r="1059">
      <c r="D1059" s="65" t="str">
        <f>IFERROR(__xludf.DUMMYFUNCTION("""COMPUTED_VALUE"""),"")</f>
        <v/>
      </c>
      <c r="E1059" s="65" t="s">
        <v>3650</v>
      </c>
      <c r="G1059" s="65" t="s">
        <v>3650</v>
      </c>
      <c r="J1059" s="65" t="s">
        <v>3650</v>
      </c>
      <c r="K1059" s="230" t="s">
        <v>3650</v>
      </c>
      <c r="L1059" s="230" t="s">
        <v>3650</v>
      </c>
      <c r="T1059" s="60"/>
    </row>
    <row r="1060">
      <c r="D1060" s="65" t="str">
        <f>IFERROR(__xludf.DUMMYFUNCTION("""COMPUTED_VALUE"""),"")</f>
        <v/>
      </c>
      <c r="E1060" s="65" t="s">
        <v>3650</v>
      </c>
      <c r="G1060" s="65" t="s">
        <v>3650</v>
      </c>
      <c r="J1060" s="65" t="s">
        <v>3650</v>
      </c>
      <c r="K1060" s="230" t="s">
        <v>3650</v>
      </c>
      <c r="L1060" s="230" t="s">
        <v>3650</v>
      </c>
      <c r="T1060" s="60"/>
    </row>
    <row r="1061">
      <c r="D1061" s="65" t="str">
        <f>IFERROR(__xludf.DUMMYFUNCTION("""COMPUTED_VALUE"""),"")</f>
        <v/>
      </c>
      <c r="E1061" s="65" t="s">
        <v>3650</v>
      </c>
      <c r="G1061" s="65" t="s">
        <v>3650</v>
      </c>
      <c r="J1061" s="65" t="s">
        <v>3650</v>
      </c>
      <c r="K1061" s="230" t="s">
        <v>3650</v>
      </c>
      <c r="L1061" s="230" t="s">
        <v>3650</v>
      </c>
      <c r="T1061" s="60"/>
    </row>
    <row r="1062">
      <c r="D1062" s="65" t="str">
        <f>IFERROR(__xludf.DUMMYFUNCTION("""COMPUTED_VALUE"""),"")</f>
        <v/>
      </c>
      <c r="E1062" s="65" t="s">
        <v>3650</v>
      </c>
      <c r="G1062" s="65" t="s">
        <v>3650</v>
      </c>
      <c r="J1062" s="65" t="s">
        <v>3650</v>
      </c>
      <c r="K1062" s="230" t="s">
        <v>3650</v>
      </c>
      <c r="L1062" s="230" t="s">
        <v>3650</v>
      </c>
      <c r="T1062" s="60"/>
    </row>
    <row r="1063">
      <c r="D1063" s="65" t="str">
        <f>IFERROR(__xludf.DUMMYFUNCTION("""COMPUTED_VALUE"""),"")</f>
        <v/>
      </c>
      <c r="E1063" s="65" t="s">
        <v>3650</v>
      </c>
      <c r="G1063" s="65" t="s">
        <v>3650</v>
      </c>
      <c r="J1063" s="65" t="s">
        <v>3650</v>
      </c>
      <c r="K1063" s="230" t="s">
        <v>3650</v>
      </c>
      <c r="L1063" s="230" t="s">
        <v>3650</v>
      </c>
      <c r="T1063" s="60"/>
    </row>
    <row r="1064">
      <c r="D1064" s="65" t="str">
        <f>IFERROR(__xludf.DUMMYFUNCTION("""COMPUTED_VALUE"""),"")</f>
        <v/>
      </c>
      <c r="E1064" s="65" t="s">
        <v>3650</v>
      </c>
      <c r="G1064" s="65" t="s">
        <v>3650</v>
      </c>
      <c r="J1064" s="65" t="s">
        <v>3650</v>
      </c>
      <c r="K1064" s="230" t="s">
        <v>3650</v>
      </c>
      <c r="L1064" s="230" t="s">
        <v>3650</v>
      </c>
      <c r="T1064" s="60"/>
    </row>
    <row r="1065">
      <c r="D1065" s="65" t="str">
        <f>IFERROR(__xludf.DUMMYFUNCTION("""COMPUTED_VALUE"""),"")</f>
        <v/>
      </c>
      <c r="E1065" s="65" t="s">
        <v>3650</v>
      </c>
      <c r="G1065" s="65" t="s">
        <v>3650</v>
      </c>
      <c r="J1065" s="65" t="s">
        <v>3650</v>
      </c>
      <c r="K1065" s="230" t="s">
        <v>3650</v>
      </c>
      <c r="L1065" s="230" t="s">
        <v>3650</v>
      </c>
      <c r="T1065" s="60"/>
    </row>
    <row r="1066">
      <c r="D1066" s="65" t="str">
        <f>IFERROR(__xludf.DUMMYFUNCTION("""COMPUTED_VALUE"""),"")</f>
        <v/>
      </c>
      <c r="E1066" s="65" t="s">
        <v>3650</v>
      </c>
      <c r="G1066" s="65" t="s">
        <v>3650</v>
      </c>
      <c r="J1066" s="65" t="s">
        <v>3650</v>
      </c>
      <c r="K1066" s="230" t="s">
        <v>3650</v>
      </c>
      <c r="L1066" s="230" t="s">
        <v>3650</v>
      </c>
      <c r="T1066" s="60"/>
    </row>
    <row r="1067">
      <c r="D1067" s="65" t="str">
        <f>IFERROR(__xludf.DUMMYFUNCTION("""COMPUTED_VALUE"""),"")</f>
        <v/>
      </c>
      <c r="E1067" s="65" t="s">
        <v>3650</v>
      </c>
      <c r="G1067" s="65" t="s">
        <v>3650</v>
      </c>
      <c r="J1067" s="65" t="s">
        <v>3650</v>
      </c>
      <c r="K1067" s="230" t="s">
        <v>3650</v>
      </c>
      <c r="L1067" s="230" t="s">
        <v>3650</v>
      </c>
      <c r="T1067" s="60"/>
    </row>
    <row r="1068">
      <c r="D1068" s="65" t="str">
        <f>IFERROR(__xludf.DUMMYFUNCTION("""COMPUTED_VALUE"""),"")</f>
        <v/>
      </c>
      <c r="E1068" s="65" t="s">
        <v>3650</v>
      </c>
      <c r="G1068" s="65" t="s">
        <v>3650</v>
      </c>
      <c r="J1068" s="65" t="s">
        <v>3650</v>
      </c>
      <c r="K1068" s="230" t="s">
        <v>3650</v>
      </c>
      <c r="L1068" s="230" t="s">
        <v>3650</v>
      </c>
      <c r="T1068" s="60"/>
    </row>
    <row r="1069">
      <c r="D1069" s="65" t="str">
        <f>IFERROR(__xludf.DUMMYFUNCTION("""COMPUTED_VALUE"""),"")</f>
        <v/>
      </c>
      <c r="E1069" s="65" t="s">
        <v>3650</v>
      </c>
      <c r="G1069" s="65" t="s">
        <v>3650</v>
      </c>
      <c r="J1069" s="65" t="s">
        <v>3650</v>
      </c>
      <c r="K1069" s="230" t="s">
        <v>3650</v>
      </c>
      <c r="L1069" s="230" t="s">
        <v>3650</v>
      </c>
      <c r="T1069" s="60"/>
    </row>
    <row r="1070">
      <c r="D1070" s="65" t="str">
        <f>IFERROR(__xludf.DUMMYFUNCTION("""COMPUTED_VALUE"""),"")</f>
        <v/>
      </c>
      <c r="E1070" s="65" t="s">
        <v>3650</v>
      </c>
      <c r="G1070" s="65" t="s">
        <v>3650</v>
      </c>
      <c r="J1070" s="65" t="s">
        <v>3650</v>
      </c>
      <c r="K1070" s="230" t="s">
        <v>3650</v>
      </c>
      <c r="L1070" s="230" t="s">
        <v>3650</v>
      </c>
      <c r="T1070" s="60"/>
    </row>
    <row r="1071">
      <c r="D1071" s="65" t="str">
        <f>IFERROR(__xludf.DUMMYFUNCTION("""COMPUTED_VALUE"""),"")</f>
        <v/>
      </c>
      <c r="E1071" s="65" t="s">
        <v>3650</v>
      </c>
      <c r="G1071" s="65" t="s">
        <v>3650</v>
      </c>
      <c r="J1071" s="65" t="s">
        <v>3650</v>
      </c>
      <c r="K1071" s="230" t="s">
        <v>3650</v>
      </c>
      <c r="L1071" s="230" t="s">
        <v>3650</v>
      </c>
      <c r="T1071" s="60"/>
    </row>
    <row r="1072">
      <c r="D1072" s="65" t="str">
        <f>IFERROR(__xludf.DUMMYFUNCTION("""COMPUTED_VALUE"""),"")</f>
        <v/>
      </c>
      <c r="E1072" s="65" t="s">
        <v>3650</v>
      </c>
      <c r="G1072" s="65" t="s">
        <v>3650</v>
      </c>
      <c r="J1072" s="65" t="s">
        <v>3650</v>
      </c>
      <c r="K1072" s="230" t="s">
        <v>3650</v>
      </c>
      <c r="L1072" s="230" t="s">
        <v>3650</v>
      </c>
      <c r="T1072" s="60"/>
    </row>
    <row r="1073">
      <c r="D1073" s="65" t="str">
        <f>IFERROR(__xludf.DUMMYFUNCTION("""COMPUTED_VALUE"""),"")</f>
        <v/>
      </c>
      <c r="E1073" s="65" t="s">
        <v>3650</v>
      </c>
      <c r="G1073" s="65" t="s">
        <v>3650</v>
      </c>
      <c r="J1073" s="65" t="s">
        <v>3650</v>
      </c>
      <c r="K1073" s="230" t="s">
        <v>3650</v>
      </c>
      <c r="L1073" s="230" t="s">
        <v>3650</v>
      </c>
      <c r="T1073" s="60"/>
    </row>
    <row r="1074">
      <c r="D1074" s="65" t="str">
        <f>IFERROR(__xludf.DUMMYFUNCTION("""COMPUTED_VALUE"""),"")</f>
        <v/>
      </c>
      <c r="E1074" s="65" t="s">
        <v>3650</v>
      </c>
      <c r="G1074" s="65" t="s">
        <v>3650</v>
      </c>
      <c r="J1074" s="65" t="s">
        <v>3650</v>
      </c>
      <c r="K1074" s="230" t="s">
        <v>3650</v>
      </c>
      <c r="L1074" s="230" t="s">
        <v>3650</v>
      </c>
      <c r="T1074" s="60"/>
    </row>
    <row r="1075">
      <c r="D1075" s="65" t="str">
        <f>IFERROR(__xludf.DUMMYFUNCTION("""COMPUTED_VALUE"""),"")</f>
        <v/>
      </c>
      <c r="E1075" s="65" t="s">
        <v>3650</v>
      </c>
      <c r="G1075" s="65" t="s">
        <v>3650</v>
      </c>
      <c r="J1075" s="65" t="s">
        <v>3650</v>
      </c>
      <c r="K1075" s="230" t="s">
        <v>3650</v>
      </c>
      <c r="L1075" s="230" t="s">
        <v>3650</v>
      </c>
      <c r="T1075" s="60"/>
    </row>
    <row r="1076">
      <c r="D1076" s="65" t="str">
        <f>IFERROR(__xludf.DUMMYFUNCTION("""COMPUTED_VALUE"""),"")</f>
        <v/>
      </c>
      <c r="E1076" s="65" t="s">
        <v>3650</v>
      </c>
      <c r="G1076" s="65" t="s">
        <v>3650</v>
      </c>
      <c r="J1076" s="65" t="s">
        <v>3650</v>
      </c>
      <c r="K1076" s="230" t="s">
        <v>3650</v>
      </c>
      <c r="L1076" s="230" t="s">
        <v>3650</v>
      </c>
      <c r="T1076" s="60"/>
    </row>
    <row r="1077">
      <c r="D1077" s="65" t="str">
        <f>IFERROR(__xludf.DUMMYFUNCTION("""COMPUTED_VALUE"""),"")</f>
        <v/>
      </c>
      <c r="E1077" s="65" t="s">
        <v>3650</v>
      </c>
      <c r="G1077" s="65" t="s">
        <v>3650</v>
      </c>
      <c r="J1077" s="65" t="s">
        <v>3650</v>
      </c>
      <c r="K1077" s="230" t="s">
        <v>3650</v>
      </c>
      <c r="L1077" s="230" t="s">
        <v>3650</v>
      </c>
      <c r="T1077" s="60"/>
    </row>
    <row r="1078">
      <c r="D1078" s="65" t="str">
        <f>IFERROR(__xludf.DUMMYFUNCTION("""COMPUTED_VALUE"""),"")</f>
        <v/>
      </c>
      <c r="E1078" s="65" t="s">
        <v>3650</v>
      </c>
      <c r="G1078" s="65" t="s">
        <v>3650</v>
      </c>
      <c r="J1078" s="65" t="s">
        <v>3650</v>
      </c>
      <c r="K1078" s="230" t="s">
        <v>3650</v>
      </c>
      <c r="L1078" s="230" t="s">
        <v>3650</v>
      </c>
      <c r="T1078" s="60"/>
    </row>
    <row r="1079">
      <c r="D1079" s="65" t="str">
        <f>IFERROR(__xludf.DUMMYFUNCTION("""COMPUTED_VALUE"""),"")</f>
        <v/>
      </c>
      <c r="E1079" s="65" t="s">
        <v>3650</v>
      </c>
      <c r="G1079" s="65" t="s">
        <v>3650</v>
      </c>
      <c r="J1079" s="65" t="s">
        <v>3650</v>
      </c>
      <c r="K1079" s="230" t="s">
        <v>3650</v>
      </c>
      <c r="L1079" s="230" t="s">
        <v>3650</v>
      </c>
      <c r="T1079" s="60"/>
    </row>
    <row r="1080">
      <c r="D1080" s="65" t="str">
        <f>IFERROR(__xludf.DUMMYFUNCTION("""COMPUTED_VALUE"""),"")</f>
        <v/>
      </c>
      <c r="E1080" s="65" t="s">
        <v>3650</v>
      </c>
      <c r="G1080" s="65" t="s">
        <v>3650</v>
      </c>
      <c r="J1080" s="65" t="s">
        <v>3650</v>
      </c>
      <c r="K1080" s="230" t="s">
        <v>3650</v>
      </c>
      <c r="L1080" s="230" t="s">
        <v>3650</v>
      </c>
      <c r="T1080" s="60"/>
    </row>
    <row r="1081">
      <c r="D1081" s="65" t="str">
        <f>IFERROR(__xludf.DUMMYFUNCTION("""COMPUTED_VALUE"""),"")</f>
        <v/>
      </c>
      <c r="E1081" s="65" t="s">
        <v>3650</v>
      </c>
      <c r="G1081" s="65" t="s">
        <v>3650</v>
      </c>
      <c r="J1081" s="65" t="s">
        <v>3650</v>
      </c>
      <c r="K1081" s="230" t="s">
        <v>3650</v>
      </c>
      <c r="L1081" s="230" t="s">
        <v>3650</v>
      </c>
      <c r="T1081" s="60"/>
    </row>
    <row r="1082">
      <c r="D1082" s="65" t="str">
        <f>IFERROR(__xludf.DUMMYFUNCTION("""COMPUTED_VALUE"""),"")</f>
        <v/>
      </c>
      <c r="E1082" s="65" t="s">
        <v>3650</v>
      </c>
      <c r="G1082" s="65" t="s">
        <v>3650</v>
      </c>
      <c r="J1082" s="65" t="s">
        <v>3650</v>
      </c>
      <c r="K1082" s="230" t="s">
        <v>3650</v>
      </c>
      <c r="L1082" s="230" t="s">
        <v>3650</v>
      </c>
      <c r="T1082" s="60"/>
    </row>
    <row r="1083">
      <c r="D1083" s="65" t="str">
        <f>IFERROR(__xludf.DUMMYFUNCTION("""COMPUTED_VALUE"""),"")</f>
        <v/>
      </c>
      <c r="E1083" s="65" t="s">
        <v>3650</v>
      </c>
      <c r="G1083" s="65" t="s">
        <v>3650</v>
      </c>
      <c r="J1083" s="65" t="s">
        <v>3650</v>
      </c>
      <c r="K1083" s="230" t="s">
        <v>3650</v>
      </c>
      <c r="L1083" s="230" t="s">
        <v>3650</v>
      </c>
      <c r="T1083" s="60"/>
    </row>
    <row r="1084">
      <c r="D1084" s="65" t="str">
        <f>IFERROR(__xludf.DUMMYFUNCTION("""COMPUTED_VALUE"""),"")</f>
        <v/>
      </c>
      <c r="E1084" s="65" t="s">
        <v>3650</v>
      </c>
      <c r="G1084" s="65" t="s">
        <v>3650</v>
      </c>
      <c r="J1084" s="65" t="s">
        <v>3650</v>
      </c>
      <c r="K1084" s="230" t="s">
        <v>3650</v>
      </c>
      <c r="L1084" s="230" t="s">
        <v>3650</v>
      </c>
      <c r="T1084" s="60"/>
    </row>
    <row r="1085">
      <c r="D1085" s="65" t="str">
        <f>IFERROR(__xludf.DUMMYFUNCTION("""COMPUTED_VALUE"""),"")</f>
        <v/>
      </c>
      <c r="E1085" s="65" t="s">
        <v>3650</v>
      </c>
      <c r="G1085" s="65" t="s">
        <v>3650</v>
      </c>
      <c r="J1085" s="65" t="s">
        <v>3650</v>
      </c>
      <c r="K1085" s="230" t="s">
        <v>3650</v>
      </c>
      <c r="L1085" s="230" t="s">
        <v>3650</v>
      </c>
      <c r="T1085" s="60"/>
    </row>
    <row r="1086">
      <c r="D1086" s="65" t="str">
        <f>IFERROR(__xludf.DUMMYFUNCTION("""COMPUTED_VALUE"""),"")</f>
        <v/>
      </c>
      <c r="E1086" s="65" t="s">
        <v>3650</v>
      </c>
      <c r="G1086" s="65" t="s">
        <v>3650</v>
      </c>
      <c r="J1086" s="65" t="s">
        <v>3650</v>
      </c>
      <c r="K1086" s="230" t="s">
        <v>3650</v>
      </c>
      <c r="L1086" s="230" t="s">
        <v>3650</v>
      </c>
      <c r="T1086" s="60"/>
    </row>
    <row r="1087">
      <c r="D1087" s="65" t="str">
        <f>IFERROR(__xludf.DUMMYFUNCTION("""COMPUTED_VALUE"""),"")</f>
        <v/>
      </c>
      <c r="E1087" s="65" t="s">
        <v>3650</v>
      </c>
      <c r="G1087" s="65" t="s">
        <v>3650</v>
      </c>
      <c r="J1087" s="65" t="s">
        <v>3650</v>
      </c>
      <c r="K1087" s="230" t="s">
        <v>3650</v>
      </c>
      <c r="L1087" s="230" t="s">
        <v>3650</v>
      </c>
      <c r="T1087" s="60"/>
    </row>
    <row r="1088">
      <c r="D1088" s="65" t="str">
        <f>IFERROR(__xludf.DUMMYFUNCTION("""COMPUTED_VALUE"""),"")</f>
        <v/>
      </c>
      <c r="E1088" s="65" t="s">
        <v>3650</v>
      </c>
      <c r="G1088" s="65" t="s">
        <v>3650</v>
      </c>
      <c r="J1088" s="65" t="s">
        <v>3650</v>
      </c>
      <c r="K1088" s="230" t="s">
        <v>3650</v>
      </c>
      <c r="L1088" s="230" t="s">
        <v>3650</v>
      </c>
      <c r="T1088" s="60"/>
    </row>
    <row r="1089">
      <c r="D1089" s="65" t="str">
        <f>IFERROR(__xludf.DUMMYFUNCTION("""COMPUTED_VALUE"""),"")</f>
        <v/>
      </c>
      <c r="E1089" s="65" t="s">
        <v>3650</v>
      </c>
      <c r="G1089" s="65" t="s">
        <v>3650</v>
      </c>
      <c r="J1089" s="65" t="s">
        <v>3650</v>
      </c>
      <c r="K1089" s="230" t="s">
        <v>3650</v>
      </c>
      <c r="L1089" s="230" t="s">
        <v>3650</v>
      </c>
      <c r="T1089" s="60"/>
    </row>
    <row r="1090">
      <c r="D1090" s="65" t="str">
        <f>IFERROR(__xludf.DUMMYFUNCTION("""COMPUTED_VALUE"""),"")</f>
        <v/>
      </c>
      <c r="E1090" s="65" t="s">
        <v>3650</v>
      </c>
      <c r="G1090" s="65" t="s">
        <v>3650</v>
      </c>
      <c r="J1090" s="65" t="s">
        <v>3650</v>
      </c>
      <c r="K1090" s="230" t="s">
        <v>3650</v>
      </c>
      <c r="L1090" s="230" t="s">
        <v>3650</v>
      </c>
      <c r="T1090" s="60"/>
    </row>
    <row r="1091">
      <c r="D1091" s="65" t="str">
        <f>IFERROR(__xludf.DUMMYFUNCTION("""COMPUTED_VALUE"""),"")</f>
        <v/>
      </c>
      <c r="E1091" s="65" t="s">
        <v>3650</v>
      </c>
      <c r="G1091" s="65" t="s">
        <v>3650</v>
      </c>
      <c r="J1091" s="65" t="s">
        <v>3650</v>
      </c>
      <c r="K1091" s="230" t="s">
        <v>3650</v>
      </c>
      <c r="L1091" s="230" t="s">
        <v>3650</v>
      </c>
      <c r="T1091" s="60"/>
    </row>
    <row r="1092">
      <c r="D1092" s="65" t="str">
        <f>IFERROR(__xludf.DUMMYFUNCTION("""COMPUTED_VALUE"""),"")</f>
        <v/>
      </c>
      <c r="E1092" s="65" t="s">
        <v>3650</v>
      </c>
      <c r="G1092" s="65" t="s">
        <v>3650</v>
      </c>
      <c r="J1092" s="65" t="s">
        <v>3650</v>
      </c>
      <c r="K1092" s="230" t="s">
        <v>3650</v>
      </c>
      <c r="L1092" s="230" t="s">
        <v>3650</v>
      </c>
      <c r="T1092" s="60"/>
    </row>
    <row r="1093">
      <c r="D1093" s="65" t="str">
        <f>IFERROR(__xludf.DUMMYFUNCTION("""COMPUTED_VALUE"""),"")</f>
        <v/>
      </c>
      <c r="E1093" s="65" t="s">
        <v>3650</v>
      </c>
      <c r="G1093" s="65" t="s">
        <v>3650</v>
      </c>
      <c r="J1093" s="65" t="s">
        <v>3650</v>
      </c>
      <c r="K1093" s="230" t="s">
        <v>3650</v>
      </c>
      <c r="L1093" s="230" t="s">
        <v>3650</v>
      </c>
      <c r="T1093" s="60"/>
    </row>
    <row r="1094">
      <c r="D1094" s="65" t="str">
        <f>IFERROR(__xludf.DUMMYFUNCTION("""COMPUTED_VALUE"""),"")</f>
        <v/>
      </c>
      <c r="E1094" s="65" t="s">
        <v>3650</v>
      </c>
      <c r="G1094" s="65" t="s">
        <v>3650</v>
      </c>
      <c r="J1094" s="65" t="s">
        <v>3650</v>
      </c>
      <c r="K1094" s="230" t="s">
        <v>3650</v>
      </c>
      <c r="L1094" s="230" t="s">
        <v>3650</v>
      </c>
      <c r="T1094" s="60"/>
    </row>
    <row r="1095">
      <c r="D1095" s="65" t="str">
        <f>IFERROR(__xludf.DUMMYFUNCTION("""COMPUTED_VALUE"""),"")</f>
        <v/>
      </c>
      <c r="E1095" s="65" t="s">
        <v>3650</v>
      </c>
      <c r="G1095" s="65" t="s">
        <v>3650</v>
      </c>
      <c r="J1095" s="65" t="s">
        <v>3650</v>
      </c>
      <c r="K1095" s="230" t="s">
        <v>3650</v>
      </c>
      <c r="L1095" s="230" t="s">
        <v>3650</v>
      </c>
      <c r="T1095" s="60"/>
    </row>
    <row r="1096">
      <c r="D1096" s="65" t="str">
        <f>IFERROR(__xludf.DUMMYFUNCTION("""COMPUTED_VALUE"""),"")</f>
        <v/>
      </c>
      <c r="E1096" s="65" t="s">
        <v>3650</v>
      </c>
      <c r="G1096" s="65" t="s">
        <v>3650</v>
      </c>
      <c r="J1096" s="65" t="s">
        <v>3650</v>
      </c>
      <c r="K1096" s="230" t="s">
        <v>3650</v>
      </c>
      <c r="L1096" s="230" t="s">
        <v>3650</v>
      </c>
      <c r="T1096" s="60"/>
    </row>
    <row r="1097">
      <c r="D1097" s="65" t="str">
        <f>IFERROR(__xludf.DUMMYFUNCTION("""COMPUTED_VALUE"""),"")</f>
        <v/>
      </c>
      <c r="E1097" s="65" t="s">
        <v>3650</v>
      </c>
      <c r="G1097" s="65" t="s">
        <v>3650</v>
      </c>
      <c r="J1097" s="65" t="s">
        <v>3650</v>
      </c>
      <c r="K1097" s="230" t="s">
        <v>3650</v>
      </c>
      <c r="L1097" s="230" t="s">
        <v>3650</v>
      </c>
      <c r="T1097" s="60"/>
    </row>
    <row r="1098">
      <c r="D1098" s="65" t="str">
        <f>IFERROR(__xludf.DUMMYFUNCTION("""COMPUTED_VALUE"""),"")</f>
        <v/>
      </c>
      <c r="E1098" s="65" t="s">
        <v>3650</v>
      </c>
      <c r="G1098" s="65" t="s">
        <v>3650</v>
      </c>
      <c r="J1098" s="65" t="s">
        <v>3650</v>
      </c>
      <c r="K1098" s="230" t="s">
        <v>3650</v>
      </c>
      <c r="L1098" s="230" t="s">
        <v>3650</v>
      </c>
      <c r="T1098" s="60"/>
    </row>
    <row r="1099">
      <c r="D1099" s="65" t="str">
        <f>IFERROR(__xludf.DUMMYFUNCTION("""COMPUTED_VALUE"""),"")</f>
        <v/>
      </c>
      <c r="E1099" s="65" t="s">
        <v>3650</v>
      </c>
      <c r="G1099" s="65" t="s">
        <v>3650</v>
      </c>
      <c r="J1099" s="65" t="s">
        <v>3650</v>
      </c>
      <c r="K1099" s="230" t="s">
        <v>3650</v>
      </c>
      <c r="L1099" s="230" t="s">
        <v>3650</v>
      </c>
      <c r="T1099" s="60"/>
    </row>
    <row r="1100">
      <c r="D1100" s="65" t="str">
        <f>IFERROR(__xludf.DUMMYFUNCTION("""COMPUTED_VALUE"""),"")</f>
        <v/>
      </c>
      <c r="E1100" s="65" t="s">
        <v>3650</v>
      </c>
      <c r="G1100" s="65" t="s">
        <v>3650</v>
      </c>
      <c r="J1100" s="65" t="s">
        <v>3650</v>
      </c>
      <c r="K1100" s="230" t="s">
        <v>3650</v>
      </c>
      <c r="L1100" s="230" t="s">
        <v>3650</v>
      </c>
      <c r="T1100" s="60"/>
    </row>
    <row r="1101">
      <c r="D1101" s="65" t="str">
        <f>IFERROR(__xludf.DUMMYFUNCTION("""COMPUTED_VALUE"""),"")</f>
        <v/>
      </c>
      <c r="E1101" s="65" t="s">
        <v>3650</v>
      </c>
      <c r="G1101" s="65" t="s">
        <v>3650</v>
      </c>
      <c r="J1101" s="65" t="s">
        <v>3650</v>
      </c>
      <c r="K1101" s="230" t="s">
        <v>3650</v>
      </c>
      <c r="L1101" s="230" t="s">
        <v>3650</v>
      </c>
      <c r="T1101" s="60"/>
    </row>
    <row r="1102">
      <c r="D1102" s="65" t="str">
        <f>IFERROR(__xludf.DUMMYFUNCTION("""COMPUTED_VALUE"""),"")</f>
        <v/>
      </c>
      <c r="E1102" s="65" t="s">
        <v>3650</v>
      </c>
      <c r="G1102" s="65" t="s">
        <v>3650</v>
      </c>
      <c r="J1102" s="65" t="s">
        <v>3650</v>
      </c>
      <c r="K1102" s="230" t="s">
        <v>3650</v>
      </c>
      <c r="L1102" s="230" t="s">
        <v>3650</v>
      </c>
      <c r="T1102" s="60"/>
    </row>
    <row r="1103">
      <c r="D1103" s="65" t="str">
        <f>IFERROR(__xludf.DUMMYFUNCTION("""COMPUTED_VALUE"""),"")</f>
        <v/>
      </c>
      <c r="E1103" s="65" t="s">
        <v>3650</v>
      </c>
      <c r="G1103" s="65" t="s">
        <v>3650</v>
      </c>
      <c r="J1103" s="65" t="s">
        <v>3650</v>
      </c>
      <c r="K1103" s="230" t="s">
        <v>3650</v>
      </c>
      <c r="L1103" s="230" t="s">
        <v>3650</v>
      </c>
      <c r="T1103" s="60"/>
    </row>
    <row r="1104">
      <c r="D1104" s="65" t="str">
        <f>IFERROR(__xludf.DUMMYFUNCTION("""COMPUTED_VALUE"""),"")</f>
        <v/>
      </c>
      <c r="E1104" s="65" t="s">
        <v>3650</v>
      </c>
      <c r="G1104" s="65" t="s">
        <v>3650</v>
      </c>
      <c r="J1104" s="65" t="s">
        <v>3650</v>
      </c>
      <c r="K1104" s="230" t="s">
        <v>3650</v>
      </c>
      <c r="L1104" s="230" t="s">
        <v>3650</v>
      </c>
      <c r="T1104" s="60"/>
    </row>
    <row r="1105">
      <c r="D1105" s="65" t="str">
        <f>IFERROR(__xludf.DUMMYFUNCTION("""COMPUTED_VALUE"""),"")</f>
        <v/>
      </c>
      <c r="E1105" s="65" t="s">
        <v>3650</v>
      </c>
      <c r="G1105" s="65" t="s">
        <v>3650</v>
      </c>
      <c r="J1105" s="65" t="s">
        <v>3650</v>
      </c>
      <c r="K1105" s="230" t="s">
        <v>3650</v>
      </c>
      <c r="L1105" s="230" t="s">
        <v>3650</v>
      </c>
      <c r="T1105" s="60"/>
    </row>
    <row r="1106">
      <c r="D1106" s="65" t="str">
        <f>IFERROR(__xludf.DUMMYFUNCTION("""COMPUTED_VALUE"""),"")</f>
        <v/>
      </c>
      <c r="E1106" s="65" t="s">
        <v>3650</v>
      </c>
      <c r="G1106" s="65" t="s">
        <v>3650</v>
      </c>
      <c r="J1106" s="65" t="s">
        <v>3650</v>
      </c>
      <c r="K1106" s="230" t="s">
        <v>3650</v>
      </c>
      <c r="L1106" s="230" t="s">
        <v>3650</v>
      </c>
      <c r="T1106" s="60"/>
    </row>
    <row r="1107">
      <c r="D1107" s="65" t="str">
        <f>IFERROR(__xludf.DUMMYFUNCTION("""COMPUTED_VALUE"""),"")</f>
        <v/>
      </c>
      <c r="E1107" s="65" t="s">
        <v>3650</v>
      </c>
      <c r="G1107" s="65" t="s">
        <v>3650</v>
      </c>
      <c r="J1107" s="65" t="s">
        <v>3650</v>
      </c>
      <c r="K1107" s="230" t="s">
        <v>3650</v>
      </c>
      <c r="L1107" s="230" t="s">
        <v>3650</v>
      </c>
      <c r="T1107" s="60"/>
    </row>
    <row r="1108">
      <c r="D1108" s="65" t="str">
        <f>IFERROR(__xludf.DUMMYFUNCTION("""COMPUTED_VALUE"""),"")</f>
        <v/>
      </c>
      <c r="E1108" s="65" t="s">
        <v>3650</v>
      </c>
      <c r="G1108" s="65" t="s">
        <v>3650</v>
      </c>
      <c r="J1108" s="65" t="s">
        <v>3650</v>
      </c>
      <c r="K1108" s="230" t="s">
        <v>3650</v>
      </c>
      <c r="L1108" s="230" t="s">
        <v>3650</v>
      </c>
      <c r="T1108" s="60"/>
    </row>
    <row r="1109">
      <c r="D1109" s="65" t="str">
        <f>IFERROR(__xludf.DUMMYFUNCTION("""COMPUTED_VALUE"""),"")</f>
        <v/>
      </c>
      <c r="E1109" s="65" t="s">
        <v>3650</v>
      </c>
      <c r="G1109" s="65" t="s">
        <v>3650</v>
      </c>
      <c r="J1109" s="65" t="s">
        <v>3650</v>
      </c>
      <c r="K1109" s="230" t="s">
        <v>3650</v>
      </c>
      <c r="L1109" s="230" t="s">
        <v>3650</v>
      </c>
      <c r="T1109" s="60"/>
    </row>
    <row r="1110">
      <c r="D1110" s="65" t="str">
        <f>IFERROR(__xludf.DUMMYFUNCTION("""COMPUTED_VALUE"""),"")</f>
        <v/>
      </c>
      <c r="E1110" s="65" t="s">
        <v>3650</v>
      </c>
      <c r="G1110" s="65" t="s">
        <v>3650</v>
      </c>
      <c r="J1110" s="65" t="s">
        <v>3650</v>
      </c>
      <c r="K1110" s="230" t="s">
        <v>3650</v>
      </c>
      <c r="L1110" s="230" t="s">
        <v>3650</v>
      </c>
      <c r="T1110" s="60"/>
    </row>
    <row r="1111">
      <c r="D1111" s="65" t="str">
        <f>IFERROR(__xludf.DUMMYFUNCTION("""COMPUTED_VALUE"""),"")</f>
        <v/>
      </c>
      <c r="E1111" s="65" t="s">
        <v>3650</v>
      </c>
      <c r="G1111" s="65" t="s">
        <v>3650</v>
      </c>
      <c r="J1111" s="65" t="s">
        <v>3650</v>
      </c>
      <c r="K1111" s="230" t="s">
        <v>3650</v>
      </c>
      <c r="L1111" s="230" t="s">
        <v>3650</v>
      </c>
      <c r="T1111" s="60"/>
    </row>
    <row r="1112">
      <c r="D1112" s="65" t="str">
        <f>IFERROR(__xludf.DUMMYFUNCTION("""COMPUTED_VALUE"""),"")</f>
        <v/>
      </c>
      <c r="E1112" s="65" t="s">
        <v>3650</v>
      </c>
      <c r="G1112" s="65" t="s">
        <v>3650</v>
      </c>
      <c r="J1112" s="65" t="s">
        <v>3650</v>
      </c>
      <c r="K1112" s="230" t="s">
        <v>3650</v>
      </c>
      <c r="L1112" s="230" t="s">
        <v>3650</v>
      </c>
      <c r="T1112" s="60"/>
    </row>
    <row r="1113">
      <c r="D1113" s="65" t="str">
        <f>IFERROR(__xludf.DUMMYFUNCTION("""COMPUTED_VALUE"""),"")</f>
        <v/>
      </c>
      <c r="E1113" s="65" t="s">
        <v>3650</v>
      </c>
      <c r="G1113" s="65" t="s">
        <v>3650</v>
      </c>
      <c r="J1113" s="65" t="s">
        <v>3650</v>
      </c>
      <c r="K1113" s="230" t="s">
        <v>3650</v>
      </c>
      <c r="L1113" s="230" t="s">
        <v>3650</v>
      </c>
      <c r="T1113" s="60"/>
    </row>
    <row r="1114">
      <c r="D1114" s="65" t="str">
        <f>IFERROR(__xludf.DUMMYFUNCTION("""COMPUTED_VALUE"""),"")</f>
        <v/>
      </c>
      <c r="E1114" s="65" t="s">
        <v>3650</v>
      </c>
      <c r="G1114" s="65" t="s">
        <v>3650</v>
      </c>
      <c r="J1114" s="65" t="s">
        <v>3650</v>
      </c>
      <c r="K1114" s="230" t="s">
        <v>3650</v>
      </c>
      <c r="L1114" s="230" t="s">
        <v>3650</v>
      </c>
      <c r="T1114" s="60"/>
    </row>
    <row r="1115">
      <c r="D1115" s="65" t="str">
        <f>IFERROR(__xludf.DUMMYFUNCTION("""COMPUTED_VALUE"""),"")</f>
        <v/>
      </c>
      <c r="E1115" s="65" t="s">
        <v>3650</v>
      </c>
      <c r="G1115" s="65" t="s">
        <v>3650</v>
      </c>
      <c r="J1115" s="65" t="s">
        <v>3650</v>
      </c>
      <c r="K1115" s="230" t="s">
        <v>3650</v>
      </c>
      <c r="L1115" s="230" t="s">
        <v>3650</v>
      </c>
      <c r="T1115" s="60"/>
    </row>
    <row r="1116">
      <c r="D1116" s="65" t="str">
        <f>IFERROR(__xludf.DUMMYFUNCTION("""COMPUTED_VALUE"""),"")</f>
        <v/>
      </c>
      <c r="E1116" s="65" t="s">
        <v>3650</v>
      </c>
      <c r="G1116" s="65" t="s">
        <v>3650</v>
      </c>
      <c r="J1116" s="65" t="s">
        <v>3650</v>
      </c>
      <c r="K1116" s="230" t="s">
        <v>3650</v>
      </c>
      <c r="L1116" s="230" t="s">
        <v>3650</v>
      </c>
      <c r="T1116" s="60"/>
    </row>
    <row r="1117">
      <c r="D1117" s="65" t="str">
        <f>IFERROR(__xludf.DUMMYFUNCTION("""COMPUTED_VALUE"""),"")</f>
        <v/>
      </c>
      <c r="E1117" s="65" t="s">
        <v>3650</v>
      </c>
      <c r="G1117" s="65" t="s">
        <v>3650</v>
      </c>
      <c r="J1117" s="65" t="s">
        <v>3650</v>
      </c>
      <c r="K1117" s="230" t="s">
        <v>3650</v>
      </c>
      <c r="L1117" s="230" t="s">
        <v>3650</v>
      </c>
      <c r="T1117" s="60"/>
    </row>
    <row r="1118">
      <c r="D1118" s="65" t="str">
        <f>IFERROR(__xludf.DUMMYFUNCTION("""COMPUTED_VALUE"""),"")</f>
        <v/>
      </c>
      <c r="E1118" s="65" t="s">
        <v>3650</v>
      </c>
      <c r="G1118" s="65" t="s">
        <v>3650</v>
      </c>
      <c r="J1118" s="65" t="s">
        <v>3650</v>
      </c>
      <c r="K1118" s="230" t="s">
        <v>3650</v>
      </c>
      <c r="L1118" s="230" t="s">
        <v>3650</v>
      </c>
      <c r="T1118" s="60"/>
    </row>
    <row r="1119">
      <c r="D1119" s="65" t="str">
        <f>IFERROR(__xludf.DUMMYFUNCTION("""COMPUTED_VALUE"""),"")</f>
        <v/>
      </c>
      <c r="E1119" s="65" t="s">
        <v>3650</v>
      </c>
      <c r="G1119" s="65" t="s">
        <v>3650</v>
      </c>
      <c r="J1119" s="65" t="s">
        <v>3650</v>
      </c>
      <c r="K1119" s="230" t="s">
        <v>3650</v>
      </c>
      <c r="L1119" s="230" t="s">
        <v>3650</v>
      </c>
      <c r="T1119" s="60"/>
    </row>
    <row r="1120">
      <c r="D1120" s="65" t="str">
        <f>IFERROR(__xludf.DUMMYFUNCTION("""COMPUTED_VALUE"""),"")</f>
        <v/>
      </c>
      <c r="E1120" s="65" t="s">
        <v>3650</v>
      </c>
      <c r="G1120" s="65" t="s">
        <v>3650</v>
      </c>
      <c r="J1120" s="65" t="s">
        <v>3650</v>
      </c>
      <c r="K1120" s="230" t="s">
        <v>3650</v>
      </c>
      <c r="L1120" s="230" t="s">
        <v>3650</v>
      </c>
      <c r="T1120" s="60"/>
    </row>
    <row r="1121">
      <c r="D1121" s="65" t="str">
        <f>IFERROR(__xludf.DUMMYFUNCTION("""COMPUTED_VALUE"""),"")</f>
        <v/>
      </c>
      <c r="E1121" s="65" t="s">
        <v>3650</v>
      </c>
      <c r="G1121" s="65" t="s">
        <v>3650</v>
      </c>
      <c r="J1121" s="65" t="s">
        <v>3650</v>
      </c>
      <c r="K1121" s="230" t="s">
        <v>3650</v>
      </c>
      <c r="L1121" s="230" t="s">
        <v>3650</v>
      </c>
      <c r="T1121" s="60"/>
    </row>
    <row r="1122">
      <c r="D1122" s="65" t="str">
        <f>IFERROR(__xludf.DUMMYFUNCTION("""COMPUTED_VALUE"""),"")</f>
        <v/>
      </c>
      <c r="E1122" s="65" t="s">
        <v>3650</v>
      </c>
      <c r="G1122" s="65" t="s">
        <v>3650</v>
      </c>
      <c r="J1122" s="65" t="s">
        <v>3650</v>
      </c>
      <c r="K1122" s="230" t="s">
        <v>3650</v>
      </c>
      <c r="L1122" s="230" t="s">
        <v>3650</v>
      </c>
      <c r="T1122" s="60"/>
    </row>
    <row r="1123">
      <c r="D1123" s="65" t="str">
        <f>IFERROR(__xludf.DUMMYFUNCTION("""COMPUTED_VALUE"""),"")</f>
        <v/>
      </c>
      <c r="E1123" s="65" t="s">
        <v>3650</v>
      </c>
      <c r="G1123" s="65" t="s">
        <v>3650</v>
      </c>
      <c r="J1123" s="65" t="s">
        <v>3650</v>
      </c>
      <c r="K1123" s="230" t="s">
        <v>3650</v>
      </c>
      <c r="L1123" s="230" t="s">
        <v>3650</v>
      </c>
      <c r="T1123" s="60"/>
    </row>
    <row r="1124">
      <c r="D1124" s="65" t="str">
        <f>IFERROR(__xludf.DUMMYFUNCTION("""COMPUTED_VALUE"""),"")</f>
        <v/>
      </c>
      <c r="E1124" s="65" t="s">
        <v>3650</v>
      </c>
      <c r="G1124" s="65" t="s">
        <v>3650</v>
      </c>
      <c r="J1124" s="65" t="s">
        <v>3650</v>
      </c>
      <c r="K1124" s="230" t="s">
        <v>3650</v>
      </c>
      <c r="L1124" s="230" t="s">
        <v>3650</v>
      </c>
      <c r="T1124" s="60"/>
    </row>
    <row r="1125">
      <c r="D1125" s="65" t="str">
        <f>IFERROR(__xludf.DUMMYFUNCTION("""COMPUTED_VALUE"""),"")</f>
        <v/>
      </c>
      <c r="E1125" s="65" t="s">
        <v>3650</v>
      </c>
      <c r="G1125" s="65" t="s">
        <v>3650</v>
      </c>
      <c r="J1125" s="65" t="s">
        <v>3650</v>
      </c>
      <c r="K1125" s="230" t="s">
        <v>3650</v>
      </c>
      <c r="L1125" s="230" t="s">
        <v>3650</v>
      </c>
      <c r="T1125" s="60"/>
    </row>
    <row r="1126">
      <c r="D1126" s="65" t="str">
        <f>IFERROR(__xludf.DUMMYFUNCTION("""COMPUTED_VALUE"""),"")</f>
        <v/>
      </c>
      <c r="E1126" s="65" t="s">
        <v>3650</v>
      </c>
      <c r="G1126" s="65" t="s">
        <v>3650</v>
      </c>
      <c r="J1126" s="65" t="s">
        <v>3650</v>
      </c>
      <c r="K1126" s="230" t="s">
        <v>3650</v>
      </c>
      <c r="L1126" s="230" t="s">
        <v>3650</v>
      </c>
      <c r="T1126" s="60"/>
    </row>
    <row r="1127">
      <c r="D1127" s="65" t="str">
        <f>IFERROR(__xludf.DUMMYFUNCTION("""COMPUTED_VALUE"""),"")</f>
        <v/>
      </c>
      <c r="E1127" s="65" t="s">
        <v>3650</v>
      </c>
      <c r="G1127" s="65" t="s">
        <v>3650</v>
      </c>
      <c r="J1127" s="65" t="s">
        <v>3650</v>
      </c>
      <c r="K1127" s="230" t="s">
        <v>3650</v>
      </c>
      <c r="L1127" s="230" t="s">
        <v>3650</v>
      </c>
      <c r="T1127" s="60"/>
    </row>
    <row r="1128">
      <c r="D1128" s="65" t="str">
        <f>IFERROR(__xludf.DUMMYFUNCTION("""COMPUTED_VALUE"""),"")</f>
        <v/>
      </c>
      <c r="E1128" s="65" t="s">
        <v>3650</v>
      </c>
      <c r="G1128" s="65" t="s">
        <v>3650</v>
      </c>
      <c r="J1128" s="65" t="s">
        <v>3650</v>
      </c>
      <c r="K1128" s="230" t="s">
        <v>3650</v>
      </c>
      <c r="L1128" s="230" t="s">
        <v>3650</v>
      </c>
      <c r="T1128" s="60"/>
    </row>
    <row r="1129">
      <c r="D1129" s="65" t="str">
        <f>IFERROR(__xludf.DUMMYFUNCTION("""COMPUTED_VALUE"""),"")</f>
        <v/>
      </c>
      <c r="E1129" s="65" t="s">
        <v>3650</v>
      </c>
      <c r="G1129" s="65" t="s">
        <v>3650</v>
      </c>
      <c r="J1129" s="65" t="s">
        <v>3650</v>
      </c>
      <c r="K1129" s="230" t="s">
        <v>3650</v>
      </c>
      <c r="L1129" s="230" t="s">
        <v>3650</v>
      </c>
      <c r="T1129" s="60"/>
    </row>
    <row r="1130">
      <c r="D1130" s="65" t="str">
        <f>IFERROR(__xludf.DUMMYFUNCTION("""COMPUTED_VALUE"""),"")</f>
        <v/>
      </c>
      <c r="E1130" s="65" t="s">
        <v>3650</v>
      </c>
      <c r="G1130" s="65" t="s">
        <v>3650</v>
      </c>
      <c r="J1130" s="65" t="s">
        <v>3650</v>
      </c>
      <c r="K1130" s="230" t="s">
        <v>3650</v>
      </c>
      <c r="L1130" s="230" t="s">
        <v>3650</v>
      </c>
      <c r="T1130" s="60"/>
    </row>
    <row r="1131">
      <c r="D1131" s="65" t="str">
        <f>IFERROR(__xludf.DUMMYFUNCTION("""COMPUTED_VALUE"""),"")</f>
        <v/>
      </c>
      <c r="E1131" s="65" t="s">
        <v>3650</v>
      </c>
      <c r="G1131" s="65" t="s">
        <v>3650</v>
      </c>
      <c r="J1131" s="65" t="s">
        <v>3650</v>
      </c>
      <c r="K1131" s="230" t="s">
        <v>3650</v>
      </c>
      <c r="L1131" s="230" t="s">
        <v>3650</v>
      </c>
      <c r="T1131" s="60"/>
    </row>
    <row r="1132">
      <c r="D1132" s="65" t="str">
        <f>IFERROR(__xludf.DUMMYFUNCTION("""COMPUTED_VALUE"""),"")</f>
        <v/>
      </c>
      <c r="E1132" s="65" t="s">
        <v>3650</v>
      </c>
      <c r="G1132" s="65" t="s">
        <v>3650</v>
      </c>
      <c r="J1132" s="65" t="s">
        <v>3650</v>
      </c>
      <c r="K1132" s="230" t="s">
        <v>3650</v>
      </c>
      <c r="L1132" s="230" t="s">
        <v>3650</v>
      </c>
      <c r="T1132" s="60"/>
    </row>
    <row r="1133">
      <c r="D1133" s="65" t="str">
        <f>IFERROR(__xludf.DUMMYFUNCTION("""COMPUTED_VALUE"""),"")</f>
        <v/>
      </c>
      <c r="E1133" s="65" t="s">
        <v>3650</v>
      </c>
      <c r="G1133" s="65" t="s">
        <v>3650</v>
      </c>
      <c r="J1133" s="65" t="s">
        <v>3650</v>
      </c>
      <c r="K1133" s="230" t="s">
        <v>3650</v>
      </c>
      <c r="L1133" s="230" t="s">
        <v>3650</v>
      </c>
      <c r="T1133" s="60"/>
    </row>
    <row r="1134">
      <c r="D1134" s="65" t="str">
        <f>IFERROR(__xludf.DUMMYFUNCTION("""COMPUTED_VALUE"""),"")</f>
        <v/>
      </c>
      <c r="E1134" s="65" t="s">
        <v>3650</v>
      </c>
      <c r="G1134" s="65" t="s">
        <v>3650</v>
      </c>
      <c r="J1134" s="65" t="s">
        <v>3650</v>
      </c>
      <c r="K1134" s="230" t="s">
        <v>3650</v>
      </c>
      <c r="L1134" s="230" t="s">
        <v>3650</v>
      </c>
      <c r="T1134" s="60"/>
    </row>
    <row r="1135">
      <c r="D1135" s="65" t="str">
        <f>IFERROR(__xludf.DUMMYFUNCTION("""COMPUTED_VALUE"""),"")</f>
        <v/>
      </c>
      <c r="E1135" s="65" t="s">
        <v>3650</v>
      </c>
      <c r="G1135" s="65" t="s">
        <v>3650</v>
      </c>
      <c r="J1135" s="65" t="s">
        <v>3650</v>
      </c>
      <c r="K1135" s="230" t="s">
        <v>3650</v>
      </c>
      <c r="L1135" s="230" t="s">
        <v>3650</v>
      </c>
      <c r="T1135" s="60"/>
    </row>
    <row r="1136">
      <c r="D1136" s="65" t="str">
        <f>IFERROR(__xludf.DUMMYFUNCTION("""COMPUTED_VALUE"""),"")</f>
        <v/>
      </c>
      <c r="E1136" s="65" t="s">
        <v>3650</v>
      </c>
      <c r="G1136" s="65" t="s">
        <v>3650</v>
      </c>
      <c r="J1136" s="65" t="s">
        <v>3650</v>
      </c>
      <c r="K1136" s="230" t="s">
        <v>3650</v>
      </c>
      <c r="L1136" s="230" t="s">
        <v>3650</v>
      </c>
      <c r="T1136" s="60"/>
    </row>
    <row r="1137">
      <c r="D1137" s="65" t="str">
        <f>IFERROR(__xludf.DUMMYFUNCTION("""COMPUTED_VALUE"""),"")</f>
        <v/>
      </c>
      <c r="E1137" s="65" t="s">
        <v>3650</v>
      </c>
      <c r="G1137" s="65" t="s">
        <v>3650</v>
      </c>
      <c r="J1137" s="65" t="s">
        <v>3650</v>
      </c>
      <c r="K1137" s="230" t="s">
        <v>3650</v>
      </c>
      <c r="L1137" s="230" t="s">
        <v>3650</v>
      </c>
      <c r="T1137" s="60"/>
    </row>
    <row r="1138">
      <c r="D1138" s="65" t="str">
        <f>IFERROR(__xludf.DUMMYFUNCTION("""COMPUTED_VALUE"""),"")</f>
        <v/>
      </c>
      <c r="E1138" s="65" t="s">
        <v>3650</v>
      </c>
      <c r="G1138" s="65" t="s">
        <v>3650</v>
      </c>
      <c r="J1138" s="65" t="s">
        <v>3650</v>
      </c>
      <c r="K1138" s="230" t="s">
        <v>3650</v>
      </c>
      <c r="L1138" s="230" t="s">
        <v>3650</v>
      </c>
      <c r="T1138" s="60"/>
    </row>
    <row r="1139">
      <c r="D1139" s="65" t="str">
        <f>IFERROR(__xludf.DUMMYFUNCTION("""COMPUTED_VALUE"""),"")</f>
        <v/>
      </c>
      <c r="E1139" s="65" t="s">
        <v>3650</v>
      </c>
      <c r="G1139" s="65" t="s">
        <v>3650</v>
      </c>
      <c r="J1139" s="65" t="s">
        <v>3650</v>
      </c>
      <c r="K1139" s="230" t="s">
        <v>3650</v>
      </c>
      <c r="L1139" s="230" t="s">
        <v>3650</v>
      </c>
      <c r="T1139" s="60"/>
    </row>
    <row r="1140">
      <c r="D1140" s="65" t="str">
        <f>IFERROR(__xludf.DUMMYFUNCTION("""COMPUTED_VALUE"""),"")</f>
        <v/>
      </c>
      <c r="E1140" s="65" t="s">
        <v>3650</v>
      </c>
      <c r="G1140" s="65" t="s">
        <v>3650</v>
      </c>
      <c r="J1140" s="65" t="s">
        <v>3650</v>
      </c>
      <c r="K1140" s="230" t="s">
        <v>3650</v>
      </c>
      <c r="L1140" s="230" t="s">
        <v>3650</v>
      </c>
      <c r="T1140" s="60"/>
    </row>
    <row r="1141">
      <c r="D1141" s="65" t="str">
        <f>IFERROR(__xludf.DUMMYFUNCTION("""COMPUTED_VALUE"""),"")</f>
        <v/>
      </c>
      <c r="E1141" s="65" t="s">
        <v>3650</v>
      </c>
      <c r="G1141" s="65" t="s">
        <v>3650</v>
      </c>
      <c r="J1141" s="65" t="s">
        <v>3650</v>
      </c>
      <c r="K1141" s="230" t="s">
        <v>3650</v>
      </c>
      <c r="L1141" s="230" t="s">
        <v>3650</v>
      </c>
      <c r="T1141" s="60"/>
    </row>
    <row r="1142">
      <c r="D1142" s="65" t="str">
        <f>IFERROR(__xludf.DUMMYFUNCTION("""COMPUTED_VALUE"""),"")</f>
        <v/>
      </c>
      <c r="E1142" s="65" t="s">
        <v>3650</v>
      </c>
      <c r="G1142" s="65" t="s">
        <v>3650</v>
      </c>
      <c r="J1142" s="65" t="s">
        <v>3650</v>
      </c>
      <c r="K1142" s="230" t="s">
        <v>3650</v>
      </c>
      <c r="L1142" s="230" t="s">
        <v>3650</v>
      </c>
      <c r="T1142" s="60"/>
    </row>
    <row r="1143">
      <c r="D1143" s="65" t="str">
        <f>IFERROR(__xludf.DUMMYFUNCTION("""COMPUTED_VALUE"""),"")</f>
        <v/>
      </c>
      <c r="E1143" s="65" t="s">
        <v>3650</v>
      </c>
      <c r="G1143" s="65" t="s">
        <v>3650</v>
      </c>
      <c r="J1143" s="65" t="s">
        <v>3650</v>
      </c>
      <c r="K1143" s="230" t="s">
        <v>3650</v>
      </c>
      <c r="L1143" s="230" t="s">
        <v>3650</v>
      </c>
      <c r="T1143" s="60"/>
    </row>
    <row r="1144">
      <c r="D1144" s="65" t="str">
        <f>IFERROR(__xludf.DUMMYFUNCTION("""COMPUTED_VALUE"""),"")</f>
        <v/>
      </c>
      <c r="E1144" s="65" t="s">
        <v>3650</v>
      </c>
      <c r="G1144" s="65" t="s">
        <v>3650</v>
      </c>
      <c r="J1144" s="65" t="s">
        <v>3650</v>
      </c>
      <c r="K1144" s="230" t="s">
        <v>3650</v>
      </c>
      <c r="L1144" s="230" t="s">
        <v>3650</v>
      </c>
      <c r="T1144" s="60"/>
    </row>
    <row r="1145">
      <c r="D1145" s="65" t="str">
        <f>IFERROR(__xludf.DUMMYFUNCTION("""COMPUTED_VALUE"""),"")</f>
        <v/>
      </c>
      <c r="E1145" s="65" t="s">
        <v>3650</v>
      </c>
      <c r="G1145" s="65" t="s">
        <v>3650</v>
      </c>
      <c r="J1145" s="65" t="s">
        <v>3650</v>
      </c>
      <c r="K1145" s="230" t="s">
        <v>3650</v>
      </c>
      <c r="L1145" s="230" t="s">
        <v>3650</v>
      </c>
      <c r="T1145" s="60"/>
    </row>
    <row r="1146">
      <c r="D1146" s="65" t="str">
        <f>IFERROR(__xludf.DUMMYFUNCTION("""COMPUTED_VALUE"""),"")</f>
        <v/>
      </c>
      <c r="E1146" s="65" t="s">
        <v>3650</v>
      </c>
      <c r="G1146" s="65" t="s">
        <v>3650</v>
      </c>
      <c r="J1146" s="65" t="s">
        <v>3650</v>
      </c>
      <c r="K1146" s="230" t="s">
        <v>3650</v>
      </c>
      <c r="L1146" s="230" t="s">
        <v>3650</v>
      </c>
      <c r="T1146" s="60"/>
    </row>
    <row r="1147">
      <c r="D1147" s="65" t="str">
        <f>IFERROR(__xludf.DUMMYFUNCTION("""COMPUTED_VALUE"""),"")</f>
        <v/>
      </c>
      <c r="E1147" s="65" t="s">
        <v>3650</v>
      </c>
      <c r="G1147" s="65" t="s">
        <v>3650</v>
      </c>
      <c r="J1147" s="65" t="s">
        <v>3650</v>
      </c>
      <c r="K1147" s="230" t="s">
        <v>3650</v>
      </c>
      <c r="L1147" s="230" t="s">
        <v>3650</v>
      </c>
      <c r="T1147" s="60"/>
    </row>
    <row r="1148">
      <c r="D1148" s="65" t="str">
        <f>IFERROR(__xludf.DUMMYFUNCTION("""COMPUTED_VALUE"""),"")</f>
        <v/>
      </c>
      <c r="E1148" s="65" t="s">
        <v>3650</v>
      </c>
      <c r="G1148" s="65" t="s">
        <v>3650</v>
      </c>
      <c r="J1148" s="65" t="s">
        <v>3650</v>
      </c>
      <c r="K1148" s="230" t="s">
        <v>3650</v>
      </c>
      <c r="L1148" s="230" t="s">
        <v>3650</v>
      </c>
      <c r="T1148" s="60"/>
    </row>
    <row r="1149">
      <c r="D1149" s="65" t="str">
        <f>IFERROR(__xludf.DUMMYFUNCTION("""COMPUTED_VALUE"""),"")</f>
        <v/>
      </c>
      <c r="E1149" s="65" t="s">
        <v>3650</v>
      </c>
      <c r="G1149" s="65" t="s">
        <v>3650</v>
      </c>
      <c r="J1149" s="65" t="s">
        <v>3650</v>
      </c>
      <c r="K1149" s="230" t="s">
        <v>3650</v>
      </c>
      <c r="L1149" s="230" t="s">
        <v>3650</v>
      </c>
      <c r="T1149" s="60"/>
    </row>
    <row r="1150">
      <c r="D1150" s="65" t="str">
        <f>IFERROR(__xludf.DUMMYFUNCTION("""COMPUTED_VALUE"""),"")</f>
        <v/>
      </c>
      <c r="E1150" s="65" t="s">
        <v>3650</v>
      </c>
      <c r="G1150" s="65" t="s">
        <v>3650</v>
      </c>
      <c r="J1150" s="65" t="s">
        <v>3650</v>
      </c>
      <c r="K1150" s="230" t="s">
        <v>3650</v>
      </c>
      <c r="L1150" s="230" t="s">
        <v>3650</v>
      </c>
      <c r="T1150" s="60"/>
    </row>
    <row r="1151">
      <c r="D1151" s="65" t="str">
        <f>IFERROR(__xludf.DUMMYFUNCTION("""COMPUTED_VALUE"""),"")</f>
        <v/>
      </c>
      <c r="E1151" s="65" t="s">
        <v>3650</v>
      </c>
      <c r="G1151" s="65" t="s">
        <v>3650</v>
      </c>
      <c r="J1151" s="65" t="s">
        <v>3650</v>
      </c>
      <c r="K1151" s="230" t="s">
        <v>3650</v>
      </c>
      <c r="L1151" s="230" t="s">
        <v>3650</v>
      </c>
      <c r="T1151" s="60"/>
    </row>
    <row r="1152">
      <c r="D1152" s="65" t="str">
        <f>IFERROR(__xludf.DUMMYFUNCTION("""COMPUTED_VALUE"""),"")</f>
        <v/>
      </c>
      <c r="E1152" s="65" t="s">
        <v>3650</v>
      </c>
      <c r="G1152" s="65" t="s">
        <v>3650</v>
      </c>
      <c r="J1152" s="65" t="s">
        <v>3650</v>
      </c>
      <c r="K1152" s="230" t="s">
        <v>3650</v>
      </c>
      <c r="L1152" s="230" t="s">
        <v>3650</v>
      </c>
      <c r="T1152" s="60"/>
    </row>
    <row r="1153">
      <c r="D1153" s="65" t="str">
        <f>IFERROR(__xludf.DUMMYFUNCTION("""COMPUTED_VALUE"""),"")</f>
        <v/>
      </c>
      <c r="E1153" s="65" t="s">
        <v>3650</v>
      </c>
      <c r="G1153" s="65" t="s">
        <v>3650</v>
      </c>
      <c r="J1153" s="65" t="s">
        <v>3650</v>
      </c>
      <c r="K1153" s="230" t="s">
        <v>3650</v>
      </c>
      <c r="L1153" s="230" t="s">
        <v>3650</v>
      </c>
      <c r="T1153" s="60"/>
    </row>
    <row r="1154">
      <c r="D1154" s="65" t="str">
        <f>IFERROR(__xludf.DUMMYFUNCTION("""COMPUTED_VALUE"""),"")</f>
        <v/>
      </c>
      <c r="E1154" s="65" t="s">
        <v>3650</v>
      </c>
      <c r="G1154" s="65" t="s">
        <v>3650</v>
      </c>
      <c r="J1154" s="65" t="s">
        <v>3650</v>
      </c>
      <c r="K1154" s="230" t="s">
        <v>3650</v>
      </c>
      <c r="L1154" s="230" t="s">
        <v>3650</v>
      </c>
      <c r="T1154" s="60"/>
    </row>
    <row r="1155">
      <c r="D1155" s="65" t="str">
        <f>IFERROR(__xludf.DUMMYFUNCTION("""COMPUTED_VALUE"""),"")</f>
        <v/>
      </c>
      <c r="E1155" s="65" t="s">
        <v>3650</v>
      </c>
      <c r="G1155" s="65" t="s">
        <v>3650</v>
      </c>
      <c r="J1155" s="65" t="s">
        <v>3650</v>
      </c>
      <c r="K1155" s="230" t="s">
        <v>3650</v>
      </c>
      <c r="L1155" s="230" t="s">
        <v>3650</v>
      </c>
      <c r="T1155" s="60"/>
    </row>
    <row r="1156">
      <c r="D1156" s="65" t="str">
        <f>IFERROR(__xludf.DUMMYFUNCTION("""COMPUTED_VALUE"""),"")</f>
        <v/>
      </c>
      <c r="E1156" s="65" t="s">
        <v>3650</v>
      </c>
      <c r="G1156" s="65" t="s">
        <v>3650</v>
      </c>
      <c r="J1156" s="65" t="s">
        <v>3650</v>
      </c>
      <c r="K1156" s="230" t="s">
        <v>3650</v>
      </c>
      <c r="L1156" s="230" t="s">
        <v>3650</v>
      </c>
      <c r="T1156" s="60"/>
    </row>
    <row r="1157">
      <c r="D1157" s="65" t="str">
        <f>IFERROR(__xludf.DUMMYFUNCTION("""COMPUTED_VALUE"""),"")</f>
        <v/>
      </c>
      <c r="E1157" s="65" t="s">
        <v>3650</v>
      </c>
      <c r="G1157" s="65" t="s">
        <v>3650</v>
      </c>
      <c r="J1157" s="65" t="s">
        <v>3650</v>
      </c>
      <c r="K1157" s="230" t="s">
        <v>3650</v>
      </c>
      <c r="L1157" s="230" t="s">
        <v>3650</v>
      </c>
      <c r="T1157" s="60"/>
    </row>
    <row r="1158">
      <c r="D1158" s="65" t="str">
        <f>IFERROR(__xludf.DUMMYFUNCTION("""COMPUTED_VALUE"""),"")</f>
        <v/>
      </c>
      <c r="E1158" s="65" t="s">
        <v>3650</v>
      </c>
      <c r="G1158" s="65" t="s">
        <v>3650</v>
      </c>
      <c r="J1158" s="65" t="s">
        <v>3650</v>
      </c>
      <c r="K1158" s="230" t="s">
        <v>3650</v>
      </c>
      <c r="L1158" s="230" t="s">
        <v>3650</v>
      </c>
      <c r="T1158" s="60"/>
    </row>
    <row r="1159">
      <c r="D1159" s="65" t="str">
        <f>IFERROR(__xludf.DUMMYFUNCTION("""COMPUTED_VALUE"""),"")</f>
        <v/>
      </c>
      <c r="E1159" s="65" t="s">
        <v>3650</v>
      </c>
      <c r="G1159" s="65" t="s">
        <v>3650</v>
      </c>
      <c r="J1159" s="65" t="s">
        <v>3650</v>
      </c>
      <c r="K1159" s="230" t="s">
        <v>3650</v>
      </c>
      <c r="L1159" s="230" t="s">
        <v>3650</v>
      </c>
      <c r="T1159" s="60"/>
    </row>
    <row r="1160">
      <c r="D1160" s="65" t="str">
        <f>IFERROR(__xludf.DUMMYFUNCTION("""COMPUTED_VALUE"""),"")</f>
        <v/>
      </c>
      <c r="E1160" s="65" t="s">
        <v>3650</v>
      </c>
      <c r="G1160" s="65" t="s">
        <v>3650</v>
      </c>
      <c r="J1160" s="65" t="s">
        <v>3650</v>
      </c>
      <c r="K1160" s="230" t="s">
        <v>3650</v>
      </c>
      <c r="L1160" s="230" t="s">
        <v>3650</v>
      </c>
      <c r="T1160" s="60"/>
    </row>
    <row r="1161">
      <c r="D1161" s="65" t="str">
        <f>IFERROR(__xludf.DUMMYFUNCTION("""COMPUTED_VALUE"""),"")</f>
        <v/>
      </c>
      <c r="E1161" s="65" t="s">
        <v>3650</v>
      </c>
      <c r="G1161" s="65" t="s">
        <v>3650</v>
      </c>
      <c r="J1161" s="65" t="s">
        <v>3650</v>
      </c>
      <c r="K1161" s="230" t="s">
        <v>3650</v>
      </c>
      <c r="L1161" s="230" t="s">
        <v>3650</v>
      </c>
      <c r="T1161" s="60"/>
    </row>
    <row r="1162">
      <c r="D1162" s="65" t="str">
        <f>IFERROR(__xludf.DUMMYFUNCTION("""COMPUTED_VALUE"""),"")</f>
        <v/>
      </c>
      <c r="E1162" s="65" t="s">
        <v>3650</v>
      </c>
      <c r="G1162" s="65" t="s">
        <v>3650</v>
      </c>
      <c r="J1162" s="65" t="s">
        <v>3650</v>
      </c>
      <c r="K1162" s="230" t="s">
        <v>3650</v>
      </c>
      <c r="L1162" s="230" t="s">
        <v>3650</v>
      </c>
      <c r="T1162" s="60"/>
    </row>
    <row r="1163">
      <c r="D1163" s="65" t="str">
        <f>IFERROR(__xludf.DUMMYFUNCTION("""COMPUTED_VALUE"""),"")</f>
        <v/>
      </c>
      <c r="E1163" s="65" t="s">
        <v>3650</v>
      </c>
      <c r="G1163" s="65" t="s">
        <v>3650</v>
      </c>
      <c r="J1163" s="65" t="s">
        <v>3650</v>
      </c>
      <c r="K1163" s="230" t="s">
        <v>3650</v>
      </c>
      <c r="L1163" s="230" t="s">
        <v>3650</v>
      </c>
      <c r="T1163" s="60"/>
    </row>
    <row r="1164">
      <c r="D1164" s="65" t="str">
        <f>IFERROR(__xludf.DUMMYFUNCTION("""COMPUTED_VALUE"""),"")</f>
        <v/>
      </c>
      <c r="E1164" s="65" t="s">
        <v>3650</v>
      </c>
      <c r="G1164" s="65" t="s">
        <v>3650</v>
      </c>
      <c r="J1164" s="65" t="s">
        <v>3650</v>
      </c>
      <c r="K1164" s="230" t="s">
        <v>3650</v>
      </c>
      <c r="L1164" s="230" t="s">
        <v>3650</v>
      </c>
      <c r="T1164" s="60"/>
    </row>
    <row r="1165">
      <c r="D1165" s="65" t="str">
        <f>IFERROR(__xludf.DUMMYFUNCTION("""COMPUTED_VALUE"""),"")</f>
        <v/>
      </c>
      <c r="E1165" s="65" t="s">
        <v>3650</v>
      </c>
      <c r="G1165" s="65" t="s">
        <v>3650</v>
      </c>
      <c r="J1165" s="65" t="s">
        <v>3650</v>
      </c>
      <c r="K1165" s="230" t="s">
        <v>3650</v>
      </c>
      <c r="L1165" s="230" t="s">
        <v>3650</v>
      </c>
      <c r="T1165" s="60"/>
    </row>
    <row r="1166">
      <c r="D1166" s="65" t="str">
        <f>IFERROR(__xludf.DUMMYFUNCTION("""COMPUTED_VALUE"""),"")</f>
        <v/>
      </c>
      <c r="E1166" s="65" t="s">
        <v>3650</v>
      </c>
      <c r="G1166" s="65" t="s">
        <v>3650</v>
      </c>
      <c r="J1166" s="65" t="s">
        <v>3650</v>
      </c>
      <c r="K1166" s="230" t="s">
        <v>3650</v>
      </c>
      <c r="L1166" s="230" t="s">
        <v>3650</v>
      </c>
      <c r="T1166" s="60"/>
    </row>
    <row r="1167">
      <c r="D1167" s="65" t="str">
        <f>IFERROR(__xludf.DUMMYFUNCTION("""COMPUTED_VALUE"""),"")</f>
        <v/>
      </c>
      <c r="E1167" s="65" t="s">
        <v>3650</v>
      </c>
      <c r="G1167" s="65" t="s">
        <v>3650</v>
      </c>
      <c r="J1167" s="65" t="s">
        <v>3650</v>
      </c>
      <c r="K1167" s="230" t="s">
        <v>3650</v>
      </c>
      <c r="L1167" s="230" t="s">
        <v>3650</v>
      </c>
      <c r="T1167" s="60"/>
    </row>
    <row r="1168">
      <c r="D1168" s="65" t="str">
        <f>IFERROR(__xludf.DUMMYFUNCTION("""COMPUTED_VALUE"""),"")</f>
        <v/>
      </c>
      <c r="E1168" s="65" t="s">
        <v>3650</v>
      </c>
      <c r="G1168" s="65" t="s">
        <v>3650</v>
      </c>
      <c r="J1168" s="65" t="s">
        <v>3650</v>
      </c>
      <c r="K1168" s="230" t="s">
        <v>3650</v>
      </c>
      <c r="L1168" s="230" t="s">
        <v>3650</v>
      </c>
      <c r="T1168" s="60"/>
    </row>
    <row r="1169">
      <c r="D1169" s="65" t="str">
        <f>IFERROR(__xludf.DUMMYFUNCTION("""COMPUTED_VALUE"""),"")</f>
        <v/>
      </c>
      <c r="E1169" s="65" t="s">
        <v>3650</v>
      </c>
      <c r="G1169" s="65" t="s">
        <v>3650</v>
      </c>
      <c r="J1169" s="65" t="s">
        <v>3650</v>
      </c>
      <c r="K1169" s="230" t="s">
        <v>3650</v>
      </c>
      <c r="L1169" s="230" t="s">
        <v>3650</v>
      </c>
      <c r="T1169" s="60"/>
    </row>
    <row r="1170">
      <c r="D1170" s="65" t="str">
        <f>IFERROR(__xludf.DUMMYFUNCTION("""COMPUTED_VALUE"""),"")</f>
        <v/>
      </c>
      <c r="E1170" s="65" t="s">
        <v>3650</v>
      </c>
      <c r="G1170" s="65" t="s">
        <v>3650</v>
      </c>
      <c r="J1170" s="65" t="s">
        <v>3650</v>
      </c>
      <c r="K1170" s="230" t="s">
        <v>3650</v>
      </c>
      <c r="L1170" s="230" t="s">
        <v>3650</v>
      </c>
      <c r="T1170" s="60"/>
    </row>
    <row r="1171">
      <c r="D1171" s="65" t="str">
        <f>IFERROR(__xludf.DUMMYFUNCTION("""COMPUTED_VALUE"""),"")</f>
        <v/>
      </c>
      <c r="E1171" s="65" t="s">
        <v>3650</v>
      </c>
      <c r="G1171" s="65" t="s">
        <v>3650</v>
      </c>
      <c r="J1171" s="65" t="s">
        <v>3650</v>
      </c>
      <c r="K1171" s="230" t="s">
        <v>3650</v>
      </c>
      <c r="L1171" s="230" t="s">
        <v>3650</v>
      </c>
      <c r="T1171" s="60"/>
    </row>
    <row r="1172">
      <c r="D1172" s="65" t="str">
        <f>IFERROR(__xludf.DUMMYFUNCTION("""COMPUTED_VALUE"""),"")</f>
        <v/>
      </c>
      <c r="E1172" s="65" t="s">
        <v>3650</v>
      </c>
      <c r="G1172" s="65" t="s">
        <v>3650</v>
      </c>
      <c r="J1172" s="65" t="s">
        <v>3650</v>
      </c>
      <c r="K1172" s="230" t="s">
        <v>3650</v>
      </c>
      <c r="L1172" s="230" t="s">
        <v>3650</v>
      </c>
      <c r="T1172" s="60"/>
    </row>
    <row r="1173">
      <c r="D1173" s="65" t="str">
        <f>IFERROR(__xludf.DUMMYFUNCTION("""COMPUTED_VALUE"""),"")</f>
        <v/>
      </c>
      <c r="E1173" s="65" t="s">
        <v>3650</v>
      </c>
      <c r="G1173" s="65" t="s">
        <v>3650</v>
      </c>
      <c r="J1173" s="65" t="s">
        <v>3650</v>
      </c>
      <c r="K1173" s="230" t="s">
        <v>3650</v>
      </c>
      <c r="L1173" s="230" t="s">
        <v>3650</v>
      </c>
      <c r="T1173" s="60"/>
    </row>
    <row r="1174">
      <c r="D1174" s="65" t="str">
        <f>IFERROR(__xludf.DUMMYFUNCTION("""COMPUTED_VALUE"""),"")</f>
        <v/>
      </c>
      <c r="E1174" s="65" t="s">
        <v>3650</v>
      </c>
      <c r="G1174" s="65" t="s">
        <v>3650</v>
      </c>
      <c r="J1174" s="65" t="s">
        <v>3650</v>
      </c>
      <c r="K1174" s="230" t="s">
        <v>3650</v>
      </c>
      <c r="L1174" s="230" t="s">
        <v>3650</v>
      </c>
      <c r="T1174" s="60"/>
    </row>
    <row r="1175">
      <c r="D1175" s="65" t="str">
        <f>IFERROR(__xludf.DUMMYFUNCTION("""COMPUTED_VALUE"""),"")</f>
        <v/>
      </c>
      <c r="E1175" s="65" t="s">
        <v>3650</v>
      </c>
      <c r="G1175" s="65" t="s">
        <v>3650</v>
      </c>
      <c r="J1175" s="65" t="s">
        <v>3650</v>
      </c>
      <c r="K1175" s="230" t="s">
        <v>3650</v>
      </c>
      <c r="L1175" s="230" t="s">
        <v>3650</v>
      </c>
      <c r="T1175" s="60"/>
    </row>
    <row r="1176">
      <c r="D1176" s="65" t="str">
        <f>IFERROR(__xludf.DUMMYFUNCTION("""COMPUTED_VALUE"""),"")</f>
        <v/>
      </c>
      <c r="E1176" s="65" t="s">
        <v>3650</v>
      </c>
      <c r="G1176" s="65" t="s">
        <v>3650</v>
      </c>
      <c r="J1176" s="65" t="s">
        <v>3650</v>
      </c>
      <c r="K1176" s="230" t="s">
        <v>3650</v>
      </c>
      <c r="L1176" s="230" t="s">
        <v>3650</v>
      </c>
      <c r="T1176" s="60"/>
    </row>
    <row r="1177">
      <c r="D1177" s="65" t="str">
        <f>IFERROR(__xludf.DUMMYFUNCTION("""COMPUTED_VALUE"""),"")</f>
        <v/>
      </c>
      <c r="E1177" s="65" t="s">
        <v>3650</v>
      </c>
      <c r="G1177" s="65" t="s">
        <v>3650</v>
      </c>
      <c r="J1177" s="65" t="s">
        <v>3650</v>
      </c>
      <c r="K1177" s="230" t="s">
        <v>3650</v>
      </c>
      <c r="L1177" s="230" t="s">
        <v>3650</v>
      </c>
      <c r="T1177" s="60"/>
    </row>
    <row r="1178">
      <c r="D1178" s="65" t="str">
        <f>IFERROR(__xludf.DUMMYFUNCTION("""COMPUTED_VALUE"""),"")</f>
        <v/>
      </c>
      <c r="E1178" s="65" t="s">
        <v>3650</v>
      </c>
      <c r="G1178" s="65" t="s">
        <v>3650</v>
      </c>
      <c r="J1178" s="65" t="s">
        <v>3650</v>
      </c>
      <c r="K1178" s="230" t="s">
        <v>3650</v>
      </c>
      <c r="L1178" s="230" t="s">
        <v>3650</v>
      </c>
      <c r="T1178" s="60"/>
    </row>
    <row r="1179">
      <c r="D1179" s="65" t="str">
        <f>IFERROR(__xludf.DUMMYFUNCTION("""COMPUTED_VALUE"""),"")</f>
        <v/>
      </c>
      <c r="E1179" s="65" t="s">
        <v>3650</v>
      </c>
      <c r="G1179" s="65" t="s">
        <v>3650</v>
      </c>
      <c r="J1179" s="65" t="s">
        <v>3650</v>
      </c>
      <c r="K1179" s="230" t="s">
        <v>3650</v>
      </c>
      <c r="L1179" s="230" t="s">
        <v>3650</v>
      </c>
      <c r="T1179" s="60"/>
    </row>
    <row r="1180">
      <c r="D1180" s="65" t="str">
        <f>IFERROR(__xludf.DUMMYFUNCTION("""COMPUTED_VALUE"""),"")</f>
        <v/>
      </c>
      <c r="E1180" s="65" t="s">
        <v>3650</v>
      </c>
      <c r="G1180" s="65" t="s">
        <v>3650</v>
      </c>
      <c r="J1180" s="65" t="s">
        <v>3650</v>
      </c>
      <c r="K1180" s="230" t="s">
        <v>3650</v>
      </c>
      <c r="L1180" s="230" t="s">
        <v>3650</v>
      </c>
      <c r="T1180" s="60"/>
    </row>
    <row r="1181">
      <c r="D1181" s="65" t="str">
        <f>IFERROR(__xludf.DUMMYFUNCTION("""COMPUTED_VALUE"""),"")</f>
        <v/>
      </c>
      <c r="E1181" s="65" t="s">
        <v>3650</v>
      </c>
      <c r="G1181" s="65" t="s">
        <v>3650</v>
      </c>
      <c r="J1181" s="65" t="s">
        <v>3650</v>
      </c>
      <c r="K1181" s="230" t="s">
        <v>3650</v>
      </c>
      <c r="L1181" s="230" t="s">
        <v>3650</v>
      </c>
      <c r="T1181" s="60"/>
    </row>
    <row r="1182">
      <c r="D1182" s="65" t="str">
        <f>IFERROR(__xludf.DUMMYFUNCTION("""COMPUTED_VALUE"""),"")</f>
        <v/>
      </c>
      <c r="E1182" s="65" t="s">
        <v>3650</v>
      </c>
      <c r="G1182" s="65" t="s">
        <v>3650</v>
      </c>
      <c r="J1182" s="65" t="s">
        <v>3650</v>
      </c>
      <c r="K1182" s="230" t="s">
        <v>3650</v>
      </c>
      <c r="L1182" s="230" t="s">
        <v>3650</v>
      </c>
      <c r="T1182" s="60"/>
    </row>
    <row r="1183">
      <c r="D1183" s="65" t="str">
        <f>IFERROR(__xludf.DUMMYFUNCTION("""COMPUTED_VALUE"""),"")</f>
        <v/>
      </c>
      <c r="E1183" s="65" t="s">
        <v>3650</v>
      </c>
      <c r="G1183" s="65" t="s">
        <v>3650</v>
      </c>
      <c r="J1183" s="65" t="s">
        <v>3650</v>
      </c>
      <c r="K1183" s="230" t="s">
        <v>3650</v>
      </c>
      <c r="L1183" s="230" t="s">
        <v>3650</v>
      </c>
      <c r="T1183" s="60"/>
    </row>
    <row r="1184">
      <c r="D1184" s="65" t="str">
        <f>IFERROR(__xludf.DUMMYFUNCTION("""COMPUTED_VALUE"""),"")</f>
        <v/>
      </c>
      <c r="E1184" s="65" t="s">
        <v>3650</v>
      </c>
      <c r="G1184" s="65" t="s">
        <v>3650</v>
      </c>
      <c r="J1184" s="65" t="s">
        <v>3650</v>
      </c>
      <c r="K1184" s="230" t="s">
        <v>3650</v>
      </c>
      <c r="L1184" s="230" t="s">
        <v>3650</v>
      </c>
      <c r="T1184" s="60"/>
    </row>
    <row r="1185">
      <c r="D1185" s="65" t="str">
        <f>IFERROR(__xludf.DUMMYFUNCTION("""COMPUTED_VALUE"""),"")</f>
        <v/>
      </c>
      <c r="E1185" s="65" t="s">
        <v>3650</v>
      </c>
      <c r="G1185" s="65" t="s">
        <v>3650</v>
      </c>
      <c r="J1185" s="65" t="s">
        <v>3650</v>
      </c>
      <c r="K1185" s="230" t="s">
        <v>3650</v>
      </c>
      <c r="L1185" s="230" t="s">
        <v>3650</v>
      </c>
      <c r="T1185" s="60"/>
    </row>
    <row r="1186">
      <c r="D1186" s="65" t="str">
        <f>IFERROR(__xludf.DUMMYFUNCTION("""COMPUTED_VALUE"""),"")</f>
        <v/>
      </c>
      <c r="E1186" s="65" t="s">
        <v>3650</v>
      </c>
      <c r="G1186" s="65" t="s">
        <v>3650</v>
      </c>
      <c r="J1186" s="65" t="s">
        <v>3650</v>
      </c>
      <c r="K1186" s="230" t="s">
        <v>3650</v>
      </c>
      <c r="L1186" s="230" t="s">
        <v>3650</v>
      </c>
      <c r="T1186" s="60"/>
    </row>
    <row r="1187">
      <c r="D1187" s="65" t="str">
        <f>IFERROR(__xludf.DUMMYFUNCTION("""COMPUTED_VALUE"""),"")</f>
        <v/>
      </c>
      <c r="E1187" s="65" t="s">
        <v>3650</v>
      </c>
      <c r="G1187" s="65" t="s">
        <v>3650</v>
      </c>
      <c r="J1187" s="65" t="s">
        <v>3650</v>
      </c>
      <c r="K1187" s="230" t="s">
        <v>3650</v>
      </c>
      <c r="L1187" s="230" t="s">
        <v>3650</v>
      </c>
      <c r="T1187" s="60"/>
    </row>
    <row r="1188">
      <c r="D1188" s="65" t="str">
        <f>IFERROR(__xludf.DUMMYFUNCTION("""COMPUTED_VALUE"""),"")</f>
        <v/>
      </c>
      <c r="E1188" s="65" t="s">
        <v>3650</v>
      </c>
      <c r="G1188" s="65" t="s">
        <v>3650</v>
      </c>
      <c r="J1188" s="65" t="s">
        <v>3650</v>
      </c>
      <c r="K1188" s="230" t="s">
        <v>3650</v>
      </c>
      <c r="L1188" s="230" t="s">
        <v>3650</v>
      </c>
      <c r="T1188" s="60"/>
    </row>
    <row r="1189">
      <c r="D1189" s="65" t="str">
        <f>IFERROR(__xludf.DUMMYFUNCTION("""COMPUTED_VALUE"""),"")</f>
        <v/>
      </c>
      <c r="E1189" s="65" t="s">
        <v>3650</v>
      </c>
      <c r="G1189" s="65" t="s">
        <v>3650</v>
      </c>
      <c r="J1189" s="65" t="s">
        <v>3650</v>
      </c>
      <c r="K1189" s="230" t="s">
        <v>3650</v>
      </c>
      <c r="L1189" s="230" t="s">
        <v>3650</v>
      </c>
      <c r="T1189" s="60"/>
    </row>
    <row r="1190">
      <c r="D1190" s="65" t="str">
        <f>IFERROR(__xludf.DUMMYFUNCTION("""COMPUTED_VALUE"""),"")</f>
        <v/>
      </c>
      <c r="E1190" s="65" t="s">
        <v>3650</v>
      </c>
      <c r="G1190" s="65" t="s">
        <v>3650</v>
      </c>
      <c r="J1190" s="65" t="s">
        <v>3650</v>
      </c>
      <c r="K1190" s="230" t="s">
        <v>3650</v>
      </c>
      <c r="L1190" s="230" t="s">
        <v>3650</v>
      </c>
      <c r="T1190" s="60"/>
    </row>
    <row r="1191">
      <c r="D1191" s="65" t="str">
        <f>IFERROR(__xludf.DUMMYFUNCTION("""COMPUTED_VALUE"""),"")</f>
        <v/>
      </c>
      <c r="E1191" s="65" t="s">
        <v>3650</v>
      </c>
      <c r="G1191" s="65" t="s">
        <v>3650</v>
      </c>
      <c r="J1191" s="65" t="s">
        <v>3650</v>
      </c>
      <c r="K1191" s="230" t="s">
        <v>3650</v>
      </c>
      <c r="L1191" s="230" t="s">
        <v>3650</v>
      </c>
      <c r="T1191" s="60"/>
    </row>
    <row r="1192">
      <c r="D1192" s="65" t="str">
        <f>IFERROR(__xludf.DUMMYFUNCTION("""COMPUTED_VALUE"""),"")</f>
        <v/>
      </c>
      <c r="E1192" s="65" t="s">
        <v>3650</v>
      </c>
      <c r="G1192" s="65" t="s">
        <v>3650</v>
      </c>
      <c r="J1192" s="65" t="s">
        <v>3650</v>
      </c>
      <c r="K1192" s="230" t="s">
        <v>3650</v>
      </c>
      <c r="L1192" s="230" t="s">
        <v>3650</v>
      </c>
      <c r="T1192" s="60"/>
    </row>
    <row r="1193">
      <c r="D1193" s="65" t="str">
        <f>IFERROR(__xludf.DUMMYFUNCTION("""COMPUTED_VALUE"""),"")</f>
        <v/>
      </c>
      <c r="E1193" s="65" t="s">
        <v>3650</v>
      </c>
      <c r="G1193" s="65" t="s">
        <v>3650</v>
      </c>
      <c r="J1193" s="65" t="s">
        <v>3650</v>
      </c>
      <c r="K1193" s="230" t="s">
        <v>3650</v>
      </c>
      <c r="L1193" s="230" t="s">
        <v>3650</v>
      </c>
      <c r="T1193" s="60"/>
    </row>
    <row r="1194">
      <c r="D1194" s="65" t="str">
        <f>IFERROR(__xludf.DUMMYFUNCTION("""COMPUTED_VALUE"""),"")</f>
        <v/>
      </c>
      <c r="E1194" s="65" t="s">
        <v>3650</v>
      </c>
      <c r="G1194" s="65" t="s">
        <v>3650</v>
      </c>
      <c r="J1194" s="65" t="s">
        <v>3650</v>
      </c>
      <c r="K1194" s="230" t="s">
        <v>3650</v>
      </c>
      <c r="L1194" s="230" t="s">
        <v>3650</v>
      </c>
      <c r="T1194" s="60"/>
    </row>
    <row r="1195">
      <c r="D1195" s="65" t="str">
        <f>IFERROR(__xludf.DUMMYFUNCTION("""COMPUTED_VALUE"""),"")</f>
        <v/>
      </c>
      <c r="E1195" s="65" t="s">
        <v>3650</v>
      </c>
      <c r="G1195" s="65" t="s">
        <v>3650</v>
      </c>
      <c r="J1195" s="65" t="s">
        <v>3650</v>
      </c>
      <c r="K1195" s="230" t="s">
        <v>3650</v>
      </c>
      <c r="L1195" s="230" t="s">
        <v>3650</v>
      </c>
      <c r="T1195" s="60"/>
    </row>
    <row r="1196">
      <c r="D1196" s="65" t="str">
        <f>IFERROR(__xludf.DUMMYFUNCTION("""COMPUTED_VALUE"""),"")</f>
        <v/>
      </c>
      <c r="E1196" s="65" t="s">
        <v>3650</v>
      </c>
      <c r="G1196" s="65" t="s">
        <v>3650</v>
      </c>
      <c r="J1196" s="65" t="s">
        <v>3650</v>
      </c>
      <c r="K1196" s="230" t="s">
        <v>3650</v>
      </c>
      <c r="L1196" s="230" t="s">
        <v>3650</v>
      </c>
      <c r="T1196" s="60"/>
    </row>
    <row r="1197">
      <c r="D1197" s="65" t="str">
        <f>IFERROR(__xludf.DUMMYFUNCTION("""COMPUTED_VALUE"""),"")</f>
        <v/>
      </c>
      <c r="E1197" s="65" t="s">
        <v>3650</v>
      </c>
      <c r="G1197" s="65" t="s">
        <v>3650</v>
      </c>
      <c r="J1197" s="65" t="s">
        <v>3650</v>
      </c>
      <c r="K1197" s="230" t="s">
        <v>3650</v>
      </c>
      <c r="L1197" s="230" t="s">
        <v>3650</v>
      </c>
      <c r="T1197" s="60"/>
    </row>
    <row r="1198">
      <c r="D1198" s="65" t="str">
        <f>IFERROR(__xludf.DUMMYFUNCTION("""COMPUTED_VALUE"""),"")</f>
        <v/>
      </c>
      <c r="E1198" s="65" t="s">
        <v>3650</v>
      </c>
      <c r="G1198" s="65" t="s">
        <v>3650</v>
      </c>
      <c r="J1198" s="65" t="s">
        <v>3650</v>
      </c>
      <c r="K1198" s="230" t="s">
        <v>3650</v>
      </c>
      <c r="L1198" s="230" t="s">
        <v>3650</v>
      </c>
      <c r="T1198" s="60"/>
    </row>
    <row r="1199">
      <c r="D1199" s="65" t="str">
        <f>IFERROR(__xludf.DUMMYFUNCTION("""COMPUTED_VALUE"""),"")</f>
        <v/>
      </c>
      <c r="E1199" s="65" t="s">
        <v>3650</v>
      </c>
      <c r="G1199" s="65" t="s">
        <v>3650</v>
      </c>
      <c r="J1199" s="65" t="s">
        <v>3650</v>
      </c>
      <c r="K1199" s="230" t="s">
        <v>3650</v>
      </c>
      <c r="L1199" s="230" t="s">
        <v>3650</v>
      </c>
      <c r="T1199" s="60"/>
    </row>
    <row r="1200">
      <c r="D1200" s="65" t="str">
        <f>IFERROR(__xludf.DUMMYFUNCTION("""COMPUTED_VALUE"""),"")</f>
        <v/>
      </c>
      <c r="E1200" s="65" t="s">
        <v>3650</v>
      </c>
      <c r="G1200" s="65" t="s">
        <v>3650</v>
      </c>
      <c r="J1200" s="65" t="s">
        <v>3650</v>
      </c>
      <c r="K1200" s="230" t="s">
        <v>3650</v>
      </c>
      <c r="L1200" s="230" t="s">
        <v>3650</v>
      </c>
      <c r="T1200" s="60"/>
    </row>
    <row r="1201">
      <c r="D1201" s="65" t="str">
        <f>IFERROR(__xludf.DUMMYFUNCTION("""COMPUTED_VALUE"""),"")</f>
        <v/>
      </c>
      <c r="E1201" s="65" t="s">
        <v>3650</v>
      </c>
      <c r="G1201" s="65" t="s">
        <v>3650</v>
      </c>
      <c r="J1201" s="65" t="s">
        <v>3650</v>
      </c>
      <c r="K1201" s="230" t="s">
        <v>3650</v>
      </c>
      <c r="L1201" s="230" t="s">
        <v>3650</v>
      </c>
      <c r="T1201" s="60"/>
    </row>
    <row r="1202">
      <c r="D1202" s="65" t="str">
        <f>IFERROR(__xludf.DUMMYFUNCTION("""COMPUTED_VALUE"""),"")</f>
        <v/>
      </c>
      <c r="E1202" s="65" t="s">
        <v>3650</v>
      </c>
      <c r="G1202" s="65" t="s">
        <v>3650</v>
      </c>
      <c r="J1202" s="65" t="s">
        <v>3650</v>
      </c>
      <c r="K1202" s="230" t="s">
        <v>3650</v>
      </c>
      <c r="L1202" s="230" t="s">
        <v>3650</v>
      </c>
      <c r="T1202" s="60"/>
    </row>
    <row r="1203">
      <c r="D1203" s="65" t="str">
        <f>IFERROR(__xludf.DUMMYFUNCTION("""COMPUTED_VALUE"""),"")</f>
        <v/>
      </c>
      <c r="E1203" s="65" t="s">
        <v>3650</v>
      </c>
      <c r="G1203" s="65" t="s">
        <v>3650</v>
      </c>
      <c r="J1203" s="65" t="s">
        <v>3650</v>
      </c>
      <c r="K1203" s="230" t="s">
        <v>3650</v>
      </c>
      <c r="L1203" s="230" t="s">
        <v>3650</v>
      </c>
      <c r="T1203" s="60"/>
    </row>
    <row r="1204">
      <c r="D1204" s="65" t="str">
        <f>IFERROR(__xludf.DUMMYFUNCTION("""COMPUTED_VALUE"""),"")</f>
        <v/>
      </c>
      <c r="E1204" s="65" t="s">
        <v>3650</v>
      </c>
      <c r="G1204" s="65" t="s">
        <v>3650</v>
      </c>
      <c r="J1204" s="65" t="s">
        <v>3650</v>
      </c>
      <c r="K1204" s="230" t="s">
        <v>3650</v>
      </c>
      <c r="L1204" s="230" t="s">
        <v>3650</v>
      </c>
      <c r="T1204" s="60"/>
    </row>
    <row r="1205">
      <c r="D1205" s="65" t="str">
        <f>IFERROR(__xludf.DUMMYFUNCTION("""COMPUTED_VALUE"""),"")</f>
        <v/>
      </c>
      <c r="E1205" s="65" t="s">
        <v>3650</v>
      </c>
      <c r="G1205" s="65" t="s">
        <v>3650</v>
      </c>
      <c r="J1205" s="65" t="s">
        <v>3650</v>
      </c>
      <c r="K1205" s="230" t="s">
        <v>3650</v>
      </c>
      <c r="L1205" s="230" t="s">
        <v>3650</v>
      </c>
      <c r="T1205" s="60"/>
    </row>
    <row r="1206">
      <c r="D1206" s="65" t="str">
        <f>IFERROR(__xludf.DUMMYFUNCTION("""COMPUTED_VALUE"""),"")</f>
        <v/>
      </c>
      <c r="E1206" s="65" t="s">
        <v>3650</v>
      </c>
      <c r="G1206" s="65" t="s">
        <v>3650</v>
      </c>
      <c r="J1206" s="65" t="s">
        <v>3650</v>
      </c>
      <c r="K1206" s="230" t="s">
        <v>3650</v>
      </c>
      <c r="L1206" s="230" t="s">
        <v>3650</v>
      </c>
      <c r="T1206" s="60"/>
    </row>
    <row r="1207">
      <c r="D1207" s="65" t="str">
        <f>IFERROR(__xludf.DUMMYFUNCTION("""COMPUTED_VALUE"""),"")</f>
        <v/>
      </c>
      <c r="E1207" s="65" t="s">
        <v>3650</v>
      </c>
      <c r="G1207" s="65" t="s">
        <v>3650</v>
      </c>
      <c r="J1207" s="65" t="s">
        <v>3650</v>
      </c>
      <c r="K1207" s="230" t="s">
        <v>3650</v>
      </c>
      <c r="L1207" s="230" t="s">
        <v>3650</v>
      </c>
      <c r="T1207" s="60"/>
    </row>
    <row r="1208">
      <c r="D1208" s="65" t="str">
        <f>IFERROR(__xludf.DUMMYFUNCTION("""COMPUTED_VALUE"""),"")</f>
        <v/>
      </c>
      <c r="E1208" s="65" t="s">
        <v>3650</v>
      </c>
      <c r="G1208" s="65" t="s">
        <v>3650</v>
      </c>
      <c r="J1208" s="65" t="s">
        <v>3650</v>
      </c>
      <c r="K1208" s="230" t="s">
        <v>3650</v>
      </c>
      <c r="L1208" s="230" t="s">
        <v>3650</v>
      </c>
      <c r="T1208" s="60"/>
    </row>
    <row r="1209">
      <c r="D1209" s="65" t="str">
        <f>IFERROR(__xludf.DUMMYFUNCTION("""COMPUTED_VALUE"""),"")</f>
        <v/>
      </c>
      <c r="E1209" s="65" t="s">
        <v>3650</v>
      </c>
      <c r="G1209" s="65" t="s">
        <v>3650</v>
      </c>
      <c r="J1209" s="65" t="s">
        <v>3650</v>
      </c>
      <c r="K1209" s="230" t="s">
        <v>3650</v>
      </c>
      <c r="L1209" s="230" t="s">
        <v>3650</v>
      </c>
      <c r="T1209" s="60"/>
    </row>
    <row r="1210">
      <c r="D1210" s="65" t="str">
        <f>IFERROR(__xludf.DUMMYFUNCTION("""COMPUTED_VALUE"""),"")</f>
        <v/>
      </c>
      <c r="E1210" s="65" t="s">
        <v>3650</v>
      </c>
      <c r="G1210" s="65" t="s">
        <v>3650</v>
      </c>
      <c r="J1210" s="65" t="s">
        <v>3650</v>
      </c>
      <c r="K1210" s="230" t="s">
        <v>3650</v>
      </c>
      <c r="L1210" s="230" t="s">
        <v>3650</v>
      </c>
      <c r="T1210" s="60"/>
    </row>
    <row r="1211">
      <c r="D1211" s="65" t="str">
        <f>IFERROR(__xludf.DUMMYFUNCTION("""COMPUTED_VALUE"""),"")</f>
        <v/>
      </c>
      <c r="E1211" s="65" t="s">
        <v>3650</v>
      </c>
      <c r="G1211" s="65" t="s">
        <v>3650</v>
      </c>
      <c r="J1211" s="65" t="s">
        <v>3650</v>
      </c>
      <c r="K1211" s="230" t="s">
        <v>3650</v>
      </c>
      <c r="L1211" s="230" t="s">
        <v>3650</v>
      </c>
      <c r="T1211" s="60"/>
    </row>
    <row r="1212">
      <c r="D1212" s="65" t="str">
        <f>IFERROR(__xludf.DUMMYFUNCTION("""COMPUTED_VALUE"""),"")</f>
        <v/>
      </c>
      <c r="E1212" s="65" t="s">
        <v>3650</v>
      </c>
      <c r="G1212" s="65" t="s">
        <v>3650</v>
      </c>
      <c r="J1212" s="65" t="s">
        <v>3650</v>
      </c>
      <c r="K1212" s="230" t="s">
        <v>3650</v>
      </c>
      <c r="L1212" s="230" t="s">
        <v>3650</v>
      </c>
      <c r="T1212" s="60"/>
    </row>
    <row r="1213">
      <c r="D1213" s="65" t="str">
        <f>IFERROR(__xludf.DUMMYFUNCTION("""COMPUTED_VALUE"""),"")</f>
        <v/>
      </c>
      <c r="E1213" s="65" t="s">
        <v>3650</v>
      </c>
      <c r="G1213" s="65" t="s">
        <v>3650</v>
      </c>
      <c r="J1213" s="65" t="s">
        <v>3650</v>
      </c>
      <c r="K1213" s="230" t="s">
        <v>3650</v>
      </c>
      <c r="L1213" s="230" t="s">
        <v>3650</v>
      </c>
      <c r="T1213" s="60"/>
    </row>
    <row r="1214">
      <c r="D1214" s="65" t="str">
        <f>IFERROR(__xludf.DUMMYFUNCTION("""COMPUTED_VALUE"""),"")</f>
        <v/>
      </c>
      <c r="E1214" s="65" t="s">
        <v>3650</v>
      </c>
      <c r="G1214" s="65" t="s">
        <v>3650</v>
      </c>
      <c r="J1214" s="65" t="s">
        <v>3650</v>
      </c>
      <c r="K1214" s="230" t="s">
        <v>3650</v>
      </c>
      <c r="L1214" s="230" t="s">
        <v>3650</v>
      </c>
      <c r="T1214" s="60"/>
    </row>
    <row r="1215">
      <c r="D1215" s="65" t="str">
        <f>IFERROR(__xludf.DUMMYFUNCTION("""COMPUTED_VALUE"""),"")</f>
        <v/>
      </c>
      <c r="E1215" s="65" t="s">
        <v>3650</v>
      </c>
      <c r="G1215" s="65" t="s">
        <v>3650</v>
      </c>
      <c r="J1215" s="65" t="s">
        <v>3650</v>
      </c>
      <c r="K1215" s="230" t="s">
        <v>3650</v>
      </c>
      <c r="L1215" s="230" t="s">
        <v>3650</v>
      </c>
      <c r="T1215" s="60"/>
    </row>
    <row r="1216">
      <c r="D1216" s="65" t="str">
        <f>IFERROR(__xludf.DUMMYFUNCTION("""COMPUTED_VALUE"""),"")</f>
        <v/>
      </c>
      <c r="E1216" s="65" t="s">
        <v>3650</v>
      </c>
      <c r="G1216" s="65" t="s">
        <v>3650</v>
      </c>
      <c r="J1216" s="65" t="s">
        <v>3650</v>
      </c>
      <c r="K1216" s="230" t="s">
        <v>3650</v>
      </c>
      <c r="L1216" s="230" t="s">
        <v>3650</v>
      </c>
      <c r="T1216" s="60"/>
    </row>
    <row r="1217">
      <c r="D1217" s="65" t="str">
        <f>IFERROR(__xludf.DUMMYFUNCTION("""COMPUTED_VALUE"""),"")</f>
        <v/>
      </c>
      <c r="E1217" s="65" t="s">
        <v>3650</v>
      </c>
      <c r="G1217" s="65" t="s">
        <v>3650</v>
      </c>
      <c r="J1217" s="65" t="s">
        <v>3650</v>
      </c>
      <c r="K1217" s="230" t="s">
        <v>3650</v>
      </c>
      <c r="L1217" s="230" t="s">
        <v>3650</v>
      </c>
      <c r="T1217" s="60"/>
    </row>
    <row r="1218">
      <c r="D1218" s="65" t="str">
        <f>IFERROR(__xludf.DUMMYFUNCTION("""COMPUTED_VALUE"""),"")</f>
        <v/>
      </c>
      <c r="E1218" s="65" t="s">
        <v>3650</v>
      </c>
      <c r="G1218" s="65" t="s">
        <v>3650</v>
      </c>
      <c r="J1218" s="65" t="s">
        <v>3650</v>
      </c>
      <c r="K1218" s="230" t="s">
        <v>3650</v>
      </c>
      <c r="L1218" s="230" t="s">
        <v>3650</v>
      </c>
      <c r="T1218" s="60"/>
    </row>
    <row r="1219">
      <c r="D1219" s="65" t="str">
        <f>IFERROR(__xludf.DUMMYFUNCTION("""COMPUTED_VALUE"""),"")</f>
        <v/>
      </c>
      <c r="E1219" s="65" t="s">
        <v>3650</v>
      </c>
      <c r="G1219" s="65" t="s">
        <v>3650</v>
      </c>
      <c r="J1219" s="65" t="s">
        <v>3650</v>
      </c>
      <c r="K1219" s="230" t="s">
        <v>3650</v>
      </c>
      <c r="L1219" s="230" t="s">
        <v>3650</v>
      </c>
      <c r="T1219" s="60"/>
    </row>
    <row r="1220">
      <c r="D1220" s="65" t="str">
        <f>IFERROR(__xludf.DUMMYFUNCTION("""COMPUTED_VALUE"""),"")</f>
        <v/>
      </c>
      <c r="E1220" s="65" t="s">
        <v>3650</v>
      </c>
      <c r="G1220" s="65" t="s">
        <v>3650</v>
      </c>
      <c r="J1220" s="65" t="s">
        <v>3650</v>
      </c>
      <c r="K1220" s="230" t="s">
        <v>3650</v>
      </c>
      <c r="L1220" s="230" t="s">
        <v>3650</v>
      </c>
      <c r="T1220" s="60"/>
    </row>
    <row r="1221">
      <c r="D1221" s="65" t="str">
        <f>IFERROR(__xludf.DUMMYFUNCTION("""COMPUTED_VALUE"""),"")</f>
        <v/>
      </c>
      <c r="E1221" s="65" t="s">
        <v>3650</v>
      </c>
      <c r="G1221" s="65" t="s">
        <v>3650</v>
      </c>
      <c r="J1221" s="65" t="s">
        <v>3650</v>
      </c>
      <c r="K1221" s="230" t="s">
        <v>3650</v>
      </c>
      <c r="L1221" s="230" t="s">
        <v>3650</v>
      </c>
      <c r="T1221" s="60"/>
    </row>
    <row r="1222">
      <c r="D1222" s="65" t="str">
        <f>IFERROR(__xludf.DUMMYFUNCTION("""COMPUTED_VALUE"""),"")</f>
        <v/>
      </c>
      <c r="E1222" s="65" t="s">
        <v>3650</v>
      </c>
      <c r="G1222" s="65" t="s">
        <v>3650</v>
      </c>
      <c r="J1222" s="65" t="s">
        <v>3650</v>
      </c>
      <c r="K1222" s="230" t="s">
        <v>3650</v>
      </c>
      <c r="L1222" s="230" t="s">
        <v>3650</v>
      </c>
      <c r="T1222" s="60"/>
    </row>
    <row r="1223">
      <c r="D1223" s="65" t="str">
        <f>IFERROR(__xludf.DUMMYFUNCTION("""COMPUTED_VALUE"""),"")</f>
        <v/>
      </c>
      <c r="E1223" s="65" t="s">
        <v>3650</v>
      </c>
      <c r="G1223" s="65" t="s">
        <v>3650</v>
      </c>
      <c r="J1223" s="65" t="s">
        <v>3650</v>
      </c>
      <c r="K1223" s="230" t="s">
        <v>3650</v>
      </c>
      <c r="L1223" s="230" t="s">
        <v>3650</v>
      </c>
      <c r="T1223" s="60"/>
    </row>
    <row r="1224">
      <c r="D1224" s="65" t="str">
        <f>IFERROR(__xludf.DUMMYFUNCTION("""COMPUTED_VALUE"""),"")</f>
        <v/>
      </c>
      <c r="E1224" s="65" t="s">
        <v>3650</v>
      </c>
      <c r="G1224" s="65" t="s">
        <v>3650</v>
      </c>
      <c r="J1224" s="65" t="s">
        <v>3650</v>
      </c>
      <c r="K1224" s="230" t="s">
        <v>3650</v>
      </c>
      <c r="L1224" s="230" t="s">
        <v>3650</v>
      </c>
      <c r="T1224" s="60"/>
    </row>
    <row r="1225">
      <c r="D1225" s="65" t="str">
        <f>IFERROR(__xludf.DUMMYFUNCTION("""COMPUTED_VALUE"""),"")</f>
        <v/>
      </c>
      <c r="E1225" s="65" t="s">
        <v>3650</v>
      </c>
      <c r="G1225" s="65" t="s">
        <v>3650</v>
      </c>
      <c r="J1225" s="65" t="s">
        <v>3650</v>
      </c>
      <c r="K1225" s="230" t="s">
        <v>3650</v>
      </c>
      <c r="L1225" s="230" t="s">
        <v>3650</v>
      </c>
      <c r="T1225" s="60"/>
    </row>
    <row r="1226">
      <c r="D1226" s="65" t="str">
        <f>IFERROR(__xludf.DUMMYFUNCTION("""COMPUTED_VALUE"""),"")</f>
        <v/>
      </c>
      <c r="E1226" s="65" t="s">
        <v>3650</v>
      </c>
      <c r="G1226" s="65" t="s">
        <v>3650</v>
      </c>
      <c r="J1226" s="65" t="s">
        <v>3650</v>
      </c>
      <c r="K1226" s="230" t="s">
        <v>3650</v>
      </c>
      <c r="L1226" s="230" t="s">
        <v>3650</v>
      </c>
      <c r="T1226" s="60"/>
    </row>
    <row r="1227">
      <c r="D1227" s="65" t="str">
        <f>IFERROR(__xludf.DUMMYFUNCTION("""COMPUTED_VALUE"""),"")</f>
        <v/>
      </c>
      <c r="E1227" s="65" t="s">
        <v>3650</v>
      </c>
      <c r="G1227" s="65" t="s">
        <v>3650</v>
      </c>
      <c r="J1227" s="65" t="s">
        <v>3650</v>
      </c>
      <c r="K1227" s="230" t="s">
        <v>3650</v>
      </c>
      <c r="L1227" s="230" t="s">
        <v>3650</v>
      </c>
      <c r="T1227" s="60"/>
    </row>
    <row r="1228">
      <c r="D1228" s="65" t="str">
        <f>IFERROR(__xludf.DUMMYFUNCTION("""COMPUTED_VALUE"""),"")</f>
        <v/>
      </c>
      <c r="E1228" s="65" t="s">
        <v>3650</v>
      </c>
      <c r="G1228" s="65" t="s">
        <v>3650</v>
      </c>
      <c r="J1228" s="65" t="s">
        <v>3650</v>
      </c>
      <c r="K1228" s="230" t="s">
        <v>3650</v>
      </c>
      <c r="L1228" s="230" t="s">
        <v>3650</v>
      </c>
      <c r="T1228" s="60"/>
    </row>
    <row r="1229">
      <c r="D1229" s="65" t="str">
        <f>IFERROR(__xludf.DUMMYFUNCTION("""COMPUTED_VALUE"""),"")</f>
        <v/>
      </c>
      <c r="E1229" s="65" t="s">
        <v>3650</v>
      </c>
      <c r="G1229" s="65" t="s">
        <v>3650</v>
      </c>
      <c r="J1229" s="65" t="s">
        <v>3650</v>
      </c>
      <c r="K1229" s="230" t="s">
        <v>3650</v>
      </c>
      <c r="L1229" s="230" t="s">
        <v>3650</v>
      </c>
      <c r="T1229" s="60"/>
    </row>
    <row r="1230">
      <c r="D1230" s="65" t="str">
        <f>IFERROR(__xludf.DUMMYFUNCTION("""COMPUTED_VALUE"""),"")</f>
        <v/>
      </c>
      <c r="E1230" s="65" t="s">
        <v>3650</v>
      </c>
      <c r="G1230" s="65" t="s">
        <v>3650</v>
      </c>
      <c r="J1230" s="65" t="s">
        <v>3650</v>
      </c>
      <c r="K1230" s="230" t="s">
        <v>3650</v>
      </c>
      <c r="L1230" s="230" t="s">
        <v>3650</v>
      </c>
      <c r="T1230" s="60"/>
    </row>
    <row r="1231">
      <c r="D1231" s="65" t="str">
        <f>IFERROR(__xludf.DUMMYFUNCTION("""COMPUTED_VALUE"""),"")</f>
        <v/>
      </c>
      <c r="E1231" s="65" t="s">
        <v>3650</v>
      </c>
      <c r="G1231" s="65" t="s">
        <v>3650</v>
      </c>
      <c r="J1231" s="65" t="s">
        <v>3650</v>
      </c>
      <c r="K1231" s="230" t="s">
        <v>3650</v>
      </c>
      <c r="L1231" s="230" t="s">
        <v>3650</v>
      </c>
      <c r="T1231" s="60"/>
    </row>
    <row r="1232">
      <c r="D1232" s="65" t="str">
        <f>IFERROR(__xludf.DUMMYFUNCTION("""COMPUTED_VALUE"""),"")</f>
        <v/>
      </c>
      <c r="E1232" s="65" t="s">
        <v>3650</v>
      </c>
      <c r="G1232" s="65" t="s">
        <v>3650</v>
      </c>
      <c r="J1232" s="65" t="s">
        <v>3650</v>
      </c>
      <c r="K1232" s="230" t="s">
        <v>3650</v>
      </c>
      <c r="L1232" s="230" t="s">
        <v>3650</v>
      </c>
      <c r="T1232" s="60"/>
    </row>
    <row r="1233">
      <c r="D1233" s="65" t="str">
        <f>IFERROR(__xludf.DUMMYFUNCTION("""COMPUTED_VALUE"""),"")</f>
        <v/>
      </c>
      <c r="E1233" s="65" t="s">
        <v>3650</v>
      </c>
      <c r="G1233" s="65" t="s">
        <v>3650</v>
      </c>
      <c r="J1233" s="65" t="s">
        <v>3650</v>
      </c>
      <c r="K1233" s="230" t="s">
        <v>3650</v>
      </c>
      <c r="L1233" s="230" t="s">
        <v>3650</v>
      </c>
      <c r="T1233" s="60"/>
    </row>
    <row r="1234">
      <c r="D1234" s="65" t="str">
        <f>IFERROR(__xludf.DUMMYFUNCTION("""COMPUTED_VALUE"""),"")</f>
        <v/>
      </c>
      <c r="E1234" s="65" t="s">
        <v>3650</v>
      </c>
      <c r="G1234" s="65" t="s">
        <v>3650</v>
      </c>
      <c r="J1234" s="65" t="s">
        <v>3650</v>
      </c>
      <c r="K1234" s="230" t="s">
        <v>3650</v>
      </c>
      <c r="L1234" s="230" t="s">
        <v>3650</v>
      </c>
      <c r="T1234" s="60"/>
    </row>
    <row r="1235">
      <c r="D1235" s="65" t="str">
        <f>IFERROR(__xludf.DUMMYFUNCTION("""COMPUTED_VALUE"""),"")</f>
        <v/>
      </c>
      <c r="E1235" s="65" t="s">
        <v>3650</v>
      </c>
      <c r="G1235" s="65" t="s">
        <v>3650</v>
      </c>
      <c r="J1235" s="65" t="s">
        <v>3650</v>
      </c>
      <c r="K1235" s="230" t="s">
        <v>3650</v>
      </c>
      <c r="L1235" s="230" t="s">
        <v>3650</v>
      </c>
      <c r="T1235" s="60"/>
    </row>
    <row r="1236">
      <c r="D1236" s="65" t="str">
        <f>IFERROR(__xludf.DUMMYFUNCTION("""COMPUTED_VALUE"""),"")</f>
        <v/>
      </c>
      <c r="E1236" s="65" t="s">
        <v>3650</v>
      </c>
      <c r="G1236" s="65" t="s">
        <v>3650</v>
      </c>
      <c r="J1236" s="65" t="s">
        <v>3650</v>
      </c>
      <c r="K1236" s="230" t="s">
        <v>3650</v>
      </c>
      <c r="L1236" s="230" t="s">
        <v>3650</v>
      </c>
      <c r="T1236" s="60"/>
    </row>
    <row r="1237">
      <c r="D1237" s="65" t="str">
        <f>IFERROR(__xludf.DUMMYFUNCTION("""COMPUTED_VALUE"""),"")</f>
        <v/>
      </c>
      <c r="E1237" s="65" t="s">
        <v>3650</v>
      </c>
      <c r="G1237" s="65" t="s">
        <v>3650</v>
      </c>
      <c r="J1237" s="65" t="s">
        <v>3650</v>
      </c>
      <c r="K1237" s="230" t="s">
        <v>3650</v>
      </c>
      <c r="L1237" s="230" t="s">
        <v>3650</v>
      </c>
      <c r="T1237" s="60"/>
    </row>
    <row r="1238">
      <c r="D1238" s="65" t="str">
        <f>IFERROR(__xludf.DUMMYFUNCTION("""COMPUTED_VALUE"""),"")</f>
        <v/>
      </c>
      <c r="E1238" s="65" t="s">
        <v>3650</v>
      </c>
      <c r="G1238" s="65" t="s">
        <v>3650</v>
      </c>
      <c r="J1238" s="65" t="s">
        <v>3650</v>
      </c>
      <c r="K1238" s="230" t="s">
        <v>3650</v>
      </c>
      <c r="L1238" s="230" t="s">
        <v>3650</v>
      </c>
      <c r="T1238" s="60"/>
    </row>
    <row r="1239">
      <c r="D1239" s="65" t="str">
        <f>IFERROR(__xludf.DUMMYFUNCTION("""COMPUTED_VALUE"""),"")</f>
        <v/>
      </c>
      <c r="E1239" s="65" t="s">
        <v>3650</v>
      </c>
      <c r="G1239" s="65" t="s">
        <v>3650</v>
      </c>
      <c r="J1239" s="65" t="s">
        <v>3650</v>
      </c>
      <c r="K1239" s="230" t="s">
        <v>3650</v>
      </c>
      <c r="L1239" s="230" t="s">
        <v>3650</v>
      </c>
      <c r="T1239" s="60"/>
    </row>
    <row r="1240">
      <c r="D1240" s="65" t="str">
        <f>IFERROR(__xludf.DUMMYFUNCTION("""COMPUTED_VALUE"""),"")</f>
        <v/>
      </c>
      <c r="E1240" s="65" t="s">
        <v>3650</v>
      </c>
      <c r="G1240" s="65" t="s">
        <v>3650</v>
      </c>
      <c r="J1240" s="65" t="s">
        <v>3650</v>
      </c>
      <c r="K1240" s="230" t="s">
        <v>3650</v>
      </c>
      <c r="L1240" s="230" t="s">
        <v>3650</v>
      </c>
      <c r="T1240" s="60"/>
    </row>
    <row r="1241">
      <c r="D1241" s="65" t="str">
        <f>IFERROR(__xludf.DUMMYFUNCTION("""COMPUTED_VALUE"""),"")</f>
        <v/>
      </c>
      <c r="E1241" s="65" t="s">
        <v>3650</v>
      </c>
      <c r="G1241" s="65" t="s">
        <v>3650</v>
      </c>
      <c r="J1241" s="65" t="s">
        <v>3650</v>
      </c>
      <c r="K1241" s="230" t="s">
        <v>3650</v>
      </c>
      <c r="L1241" s="230" t="s">
        <v>3650</v>
      </c>
      <c r="T1241" s="60"/>
    </row>
    <row r="1242">
      <c r="D1242" s="65" t="str">
        <f>IFERROR(__xludf.DUMMYFUNCTION("""COMPUTED_VALUE"""),"")</f>
        <v/>
      </c>
      <c r="E1242" s="65" t="s">
        <v>3650</v>
      </c>
      <c r="G1242" s="65" t="s">
        <v>3650</v>
      </c>
      <c r="J1242" s="65" t="s">
        <v>3650</v>
      </c>
      <c r="K1242" s="230" t="s">
        <v>3650</v>
      </c>
      <c r="L1242" s="230" t="s">
        <v>3650</v>
      </c>
      <c r="T1242" s="60"/>
    </row>
    <row r="1243">
      <c r="D1243" s="65" t="str">
        <f>IFERROR(__xludf.DUMMYFUNCTION("""COMPUTED_VALUE"""),"")</f>
        <v/>
      </c>
      <c r="E1243" s="65" t="s">
        <v>3650</v>
      </c>
      <c r="G1243" s="65" t="s">
        <v>3650</v>
      </c>
      <c r="J1243" s="65" t="s">
        <v>3650</v>
      </c>
      <c r="K1243" s="230" t="s">
        <v>3650</v>
      </c>
      <c r="L1243" s="230" t="s">
        <v>3650</v>
      </c>
      <c r="T1243" s="60"/>
    </row>
    <row r="1244">
      <c r="D1244" s="65" t="str">
        <f>IFERROR(__xludf.DUMMYFUNCTION("""COMPUTED_VALUE"""),"")</f>
        <v/>
      </c>
      <c r="E1244" s="65" t="s">
        <v>3650</v>
      </c>
      <c r="G1244" s="65" t="s">
        <v>3650</v>
      </c>
      <c r="J1244" s="65" t="s">
        <v>3650</v>
      </c>
      <c r="K1244" s="230" t="s">
        <v>3650</v>
      </c>
      <c r="L1244" s="230" t="s">
        <v>3650</v>
      </c>
      <c r="T1244" s="60"/>
    </row>
    <row r="1245">
      <c r="D1245" s="65" t="str">
        <f>IFERROR(__xludf.DUMMYFUNCTION("""COMPUTED_VALUE"""),"")</f>
        <v/>
      </c>
      <c r="E1245" s="65" t="s">
        <v>3650</v>
      </c>
      <c r="G1245" s="65" t="s">
        <v>3650</v>
      </c>
      <c r="J1245" s="65" t="s">
        <v>3650</v>
      </c>
      <c r="K1245" s="230" t="s">
        <v>3650</v>
      </c>
      <c r="L1245" s="230" t="s">
        <v>3650</v>
      </c>
      <c r="T1245" s="60"/>
    </row>
    <row r="1246">
      <c r="D1246" s="65" t="str">
        <f>IFERROR(__xludf.DUMMYFUNCTION("""COMPUTED_VALUE"""),"")</f>
        <v/>
      </c>
      <c r="E1246" s="65" t="s">
        <v>3650</v>
      </c>
      <c r="G1246" s="65" t="s">
        <v>3650</v>
      </c>
      <c r="J1246" s="65" t="s">
        <v>3650</v>
      </c>
      <c r="K1246" s="230" t="s">
        <v>3650</v>
      </c>
      <c r="L1246" s="230" t="s">
        <v>3650</v>
      </c>
      <c r="T1246" s="60"/>
    </row>
    <row r="1247">
      <c r="D1247" s="65" t="str">
        <f>IFERROR(__xludf.DUMMYFUNCTION("""COMPUTED_VALUE"""),"")</f>
        <v/>
      </c>
      <c r="E1247" s="65" t="s">
        <v>3650</v>
      </c>
      <c r="G1247" s="65" t="s">
        <v>3650</v>
      </c>
      <c r="J1247" s="65" t="s">
        <v>3650</v>
      </c>
      <c r="K1247" s="230" t="s">
        <v>3650</v>
      </c>
      <c r="L1247" s="230" t="s">
        <v>3650</v>
      </c>
      <c r="T1247" s="60"/>
    </row>
    <row r="1248">
      <c r="D1248" s="65" t="str">
        <f>IFERROR(__xludf.DUMMYFUNCTION("""COMPUTED_VALUE"""),"")</f>
        <v/>
      </c>
      <c r="E1248" s="65" t="s">
        <v>3650</v>
      </c>
      <c r="G1248" s="65" t="s">
        <v>3650</v>
      </c>
      <c r="J1248" s="65" t="s">
        <v>3650</v>
      </c>
      <c r="K1248" s="230" t="s">
        <v>3650</v>
      </c>
      <c r="L1248" s="230" t="s">
        <v>3650</v>
      </c>
      <c r="T1248" s="60"/>
    </row>
    <row r="1249">
      <c r="D1249" s="65" t="str">
        <f>IFERROR(__xludf.DUMMYFUNCTION("""COMPUTED_VALUE"""),"")</f>
        <v/>
      </c>
      <c r="E1249" s="65" t="s">
        <v>3650</v>
      </c>
      <c r="G1249" s="65" t="s">
        <v>3650</v>
      </c>
      <c r="J1249" s="65" t="s">
        <v>3650</v>
      </c>
      <c r="K1249" s="230" t="s">
        <v>3650</v>
      </c>
      <c r="L1249" s="230" t="s">
        <v>3650</v>
      </c>
      <c r="T1249" s="60"/>
    </row>
    <row r="1250">
      <c r="D1250" s="65" t="str">
        <f>IFERROR(__xludf.DUMMYFUNCTION("""COMPUTED_VALUE"""),"")</f>
        <v/>
      </c>
      <c r="E1250" s="65" t="s">
        <v>3650</v>
      </c>
      <c r="G1250" s="65" t="s">
        <v>3650</v>
      </c>
      <c r="J1250" s="65" t="s">
        <v>3650</v>
      </c>
      <c r="K1250" s="230" t="s">
        <v>3650</v>
      </c>
      <c r="L1250" s="230" t="s">
        <v>3650</v>
      </c>
      <c r="T1250" s="60"/>
    </row>
    <row r="1251">
      <c r="D1251" s="65" t="str">
        <f>IFERROR(__xludf.DUMMYFUNCTION("""COMPUTED_VALUE"""),"")</f>
        <v/>
      </c>
      <c r="E1251" s="65" t="s">
        <v>3650</v>
      </c>
      <c r="G1251" s="65" t="s">
        <v>3650</v>
      </c>
      <c r="J1251" s="65" t="s">
        <v>3650</v>
      </c>
      <c r="K1251" s="230" t="s">
        <v>3650</v>
      </c>
      <c r="L1251" s="230" t="s">
        <v>3650</v>
      </c>
      <c r="T1251" s="60"/>
    </row>
    <row r="1252">
      <c r="D1252" s="65" t="str">
        <f>IFERROR(__xludf.DUMMYFUNCTION("""COMPUTED_VALUE"""),"")</f>
        <v/>
      </c>
      <c r="E1252" s="65" t="s">
        <v>3650</v>
      </c>
      <c r="G1252" s="65" t="s">
        <v>3650</v>
      </c>
      <c r="J1252" s="65" t="s">
        <v>3650</v>
      </c>
      <c r="K1252" s="230" t="s">
        <v>3650</v>
      </c>
      <c r="L1252" s="230" t="s">
        <v>3650</v>
      </c>
      <c r="T1252" s="60"/>
    </row>
    <row r="1253">
      <c r="D1253" s="65" t="str">
        <f>IFERROR(__xludf.DUMMYFUNCTION("""COMPUTED_VALUE"""),"")</f>
        <v/>
      </c>
      <c r="E1253" s="65" t="s">
        <v>3650</v>
      </c>
      <c r="G1253" s="65" t="s">
        <v>3650</v>
      </c>
      <c r="J1253" s="65" t="s">
        <v>3650</v>
      </c>
      <c r="K1253" s="230" t="s">
        <v>3650</v>
      </c>
      <c r="L1253" s="230" t="s">
        <v>3650</v>
      </c>
      <c r="T1253" s="60"/>
    </row>
    <row r="1254">
      <c r="D1254" s="65" t="str">
        <f>IFERROR(__xludf.DUMMYFUNCTION("""COMPUTED_VALUE"""),"")</f>
        <v/>
      </c>
      <c r="E1254" s="65" t="s">
        <v>3650</v>
      </c>
      <c r="G1254" s="65" t="s">
        <v>3650</v>
      </c>
      <c r="J1254" s="65" t="s">
        <v>3650</v>
      </c>
      <c r="K1254" s="230" t="s">
        <v>3650</v>
      </c>
      <c r="L1254" s="230" t="s">
        <v>3650</v>
      </c>
      <c r="T1254" s="60"/>
    </row>
    <row r="1255">
      <c r="D1255" s="65" t="str">
        <f>IFERROR(__xludf.DUMMYFUNCTION("""COMPUTED_VALUE"""),"")</f>
        <v/>
      </c>
      <c r="E1255" s="65" t="s">
        <v>3650</v>
      </c>
      <c r="G1255" s="65" t="s">
        <v>3650</v>
      </c>
      <c r="J1255" s="65" t="s">
        <v>3650</v>
      </c>
      <c r="K1255" s="230" t="s">
        <v>3650</v>
      </c>
      <c r="L1255" s="230" t="s">
        <v>3650</v>
      </c>
      <c r="T1255" s="60"/>
    </row>
    <row r="1256">
      <c r="D1256" s="65" t="str">
        <f>IFERROR(__xludf.DUMMYFUNCTION("""COMPUTED_VALUE"""),"")</f>
        <v/>
      </c>
      <c r="E1256" s="65" t="s">
        <v>3650</v>
      </c>
      <c r="G1256" s="65" t="s">
        <v>3650</v>
      </c>
      <c r="J1256" s="65" t="s">
        <v>3650</v>
      </c>
      <c r="K1256" s="230" t="s">
        <v>3650</v>
      </c>
      <c r="L1256" s="230" t="s">
        <v>3650</v>
      </c>
      <c r="T1256" s="60"/>
    </row>
    <row r="1257">
      <c r="D1257" s="65" t="str">
        <f>IFERROR(__xludf.DUMMYFUNCTION("""COMPUTED_VALUE"""),"")</f>
        <v/>
      </c>
      <c r="E1257" s="65" t="s">
        <v>3650</v>
      </c>
      <c r="G1257" s="65" t="s">
        <v>3650</v>
      </c>
      <c r="J1257" s="65" t="s">
        <v>3650</v>
      </c>
      <c r="K1257" s="230" t="s">
        <v>3650</v>
      </c>
      <c r="L1257" s="230" t="s">
        <v>3650</v>
      </c>
      <c r="T1257" s="60"/>
    </row>
    <row r="1258">
      <c r="D1258" s="65" t="str">
        <f>IFERROR(__xludf.DUMMYFUNCTION("""COMPUTED_VALUE"""),"")</f>
        <v/>
      </c>
      <c r="E1258" s="65" t="s">
        <v>3650</v>
      </c>
      <c r="G1258" s="65" t="s">
        <v>3650</v>
      </c>
      <c r="J1258" s="65" t="s">
        <v>3650</v>
      </c>
      <c r="K1258" s="230" t="s">
        <v>3650</v>
      </c>
      <c r="L1258" s="230" t="s">
        <v>3650</v>
      </c>
      <c r="T1258" s="60"/>
    </row>
    <row r="1259">
      <c r="D1259" s="65" t="str">
        <f>IFERROR(__xludf.DUMMYFUNCTION("""COMPUTED_VALUE"""),"")</f>
        <v/>
      </c>
      <c r="E1259" s="65" t="s">
        <v>3650</v>
      </c>
      <c r="G1259" s="65" t="s">
        <v>3650</v>
      </c>
      <c r="J1259" s="65" t="s">
        <v>3650</v>
      </c>
      <c r="K1259" s="230" t="s">
        <v>3650</v>
      </c>
      <c r="L1259" s="230" t="s">
        <v>3650</v>
      </c>
      <c r="T1259" s="60"/>
    </row>
    <row r="1260">
      <c r="D1260" s="65" t="str">
        <f>IFERROR(__xludf.DUMMYFUNCTION("""COMPUTED_VALUE"""),"")</f>
        <v/>
      </c>
      <c r="E1260" s="65" t="s">
        <v>3650</v>
      </c>
      <c r="G1260" s="65" t="s">
        <v>3650</v>
      </c>
      <c r="J1260" s="65" t="s">
        <v>3650</v>
      </c>
      <c r="K1260" s="230" t="s">
        <v>3650</v>
      </c>
      <c r="L1260" s="230" t="s">
        <v>3650</v>
      </c>
      <c r="T1260" s="60"/>
    </row>
    <row r="1261">
      <c r="D1261" s="65" t="str">
        <f>IFERROR(__xludf.DUMMYFUNCTION("""COMPUTED_VALUE"""),"")</f>
        <v/>
      </c>
      <c r="E1261" s="65" t="s">
        <v>3650</v>
      </c>
      <c r="G1261" s="65" t="s">
        <v>3650</v>
      </c>
      <c r="J1261" s="65" t="s">
        <v>3650</v>
      </c>
      <c r="K1261" s="230" t="s">
        <v>3650</v>
      </c>
      <c r="L1261" s="230" t="s">
        <v>3650</v>
      </c>
      <c r="T1261" s="60"/>
    </row>
    <row r="1262">
      <c r="D1262" s="65" t="str">
        <f>IFERROR(__xludf.DUMMYFUNCTION("""COMPUTED_VALUE"""),"")</f>
        <v/>
      </c>
      <c r="E1262" s="65" t="s">
        <v>3650</v>
      </c>
      <c r="G1262" s="65" t="s">
        <v>3650</v>
      </c>
      <c r="J1262" s="65" t="s">
        <v>3650</v>
      </c>
      <c r="K1262" s="230" t="s">
        <v>3650</v>
      </c>
      <c r="L1262" s="230" t="s">
        <v>3650</v>
      </c>
      <c r="T1262" s="60"/>
    </row>
    <row r="1263">
      <c r="D1263" s="65" t="str">
        <f>IFERROR(__xludf.DUMMYFUNCTION("""COMPUTED_VALUE"""),"")</f>
        <v/>
      </c>
      <c r="E1263" s="65" t="s">
        <v>3650</v>
      </c>
      <c r="G1263" s="65" t="s">
        <v>3650</v>
      </c>
      <c r="J1263" s="65" t="s">
        <v>3650</v>
      </c>
      <c r="K1263" s="230" t="s">
        <v>3650</v>
      </c>
      <c r="L1263" s="230" t="s">
        <v>3650</v>
      </c>
      <c r="T1263" s="60"/>
    </row>
    <row r="1264">
      <c r="D1264" s="65" t="str">
        <f>IFERROR(__xludf.DUMMYFUNCTION("""COMPUTED_VALUE"""),"")</f>
        <v/>
      </c>
      <c r="E1264" s="65" t="s">
        <v>3650</v>
      </c>
      <c r="G1264" s="65" t="s">
        <v>3650</v>
      </c>
      <c r="J1264" s="65" t="s">
        <v>3650</v>
      </c>
      <c r="K1264" s="230" t="s">
        <v>3650</v>
      </c>
      <c r="L1264" s="230" t="s">
        <v>3650</v>
      </c>
      <c r="T1264" s="60"/>
    </row>
    <row r="1265">
      <c r="D1265" s="65" t="str">
        <f>IFERROR(__xludf.DUMMYFUNCTION("""COMPUTED_VALUE"""),"")</f>
        <v/>
      </c>
      <c r="E1265" s="65" t="s">
        <v>3650</v>
      </c>
      <c r="G1265" s="65" t="s">
        <v>3650</v>
      </c>
      <c r="J1265" s="65" t="s">
        <v>3650</v>
      </c>
      <c r="K1265" s="230" t="s">
        <v>3650</v>
      </c>
      <c r="L1265" s="230" t="s">
        <v>3650</v>
      </c>
      <c r="T1265" s="60"/>
    </row>
    <row r="1266">
      <c r="D1266" s="65" t="str">
        <f>IFERROR(__xludf.DUMMYFUNCTION("""COMPUTED_VALUE"""),"")</f>
        <v/>
      </c>
      <c r="E1266" s="65" t="s">
        <v>3650</v>
      </c>
      <c r="G1266" s="65" t="s">
        <v>3650</v>
      </c>
      <c r="J1266" s="65" t="s">
        <v>3650</v>
      </c>
      <c r="K1266" s="230" t="s">
        <v>3650</v>
      </c>
      <c r="L1266" s="230" t="s">
        <v>3650</v>
      </c>
      <c r="T1266" s="60"/>
    </row>
    <row r="1267">
      <c r="D1267" s="65" t="str">
        <f>IFERROR(__xludf.DUMMYFUNCTION("""COMPUTED_VALUE"""),"")</f>
        <v/>
      </c>
      <c r="E1267" s="65" t="s">
        <v>3650</v>
      </c>
      <c r="G1267" s="65" t="s">
        <v>3650</v>
      </c>
      <c r="J1267" s="65" t="s">
        <v>3650</v>
      </c>
      <c r="K1267" s="230" t="s">
        <v>3650</v>
      </c>
      <c r="L1267" s="230" t="s">
        <v>3650</v>
      </c>
      <c r="T1267" s="60"/>
    </row>
    <row r="1268">
      <c r="D1268" s="65" t="str">
        <f>IFERROR(__xludf.DUMMYFUNCTION("""COMPUTED_VALUE"""),"")</f>
        <v/>
      </c>
      <c r="E1268" s="65" t="s">
        <v>3650</v>
      </c>
      <c r="G1268" s="65" t="s">
        <v>3650</v>
      </c>
      <c r="J1268" s="65" t="s">
        <v>3650</v>
      </c>
      <c r="K1268" s="230" t="s">
        <v>3650</v>
      </c>
      <c r="L1268" s="230" t="s">
        <v>3650</v>
      </c>
      <c r="T1268" s="60"/>
    </row>
    <row r="1269">
      <c r="D1269" s="65" t="str">
        <f>IFERROR(__xludf.DUMMYFUNCTION("""COMPUTED_VALUE"""),"")</f>
        <v/>
      </c>
      <c r="E1269" s="65" t="s">
        <v>3650</v>
      </c>
      <c r="G1269" s="65" t="s">
        <v>3650</v>
      </c>
      <c r="J1269" s="65" t="s">
        <v>3650</v>
      </c>
      <c r="K1269" s="230" t="s">
        <v>3650</v>
      </c>
      <c r="L1269" s="230" t="s">
        <v>3650</v>
      </c>
      <c r="T1269" s="60"/>
    </row>
    <row r="1270">
      <c r="D1270" s="65" t="str">
        <f>IFERROR(__xludf.DUMMYFUNCTION("""COMPUTED_VALUE"""),"")</f>
        <v/>
      </c>
      <c r="E1270" s="65" t="s">
        <v>3650</v>
      </c>
      <c r="G1270" s="65" t="s">
        <v>3650</v>
      </c>
      <c r="J1270" s="65" t="s">
        <v>3650</v>
      </c>
      <c r="K1270" s="230" t="s">
        <v>3650</v>
      </c>
      <c r="L1270" s="230" t="s">
        <v>3650</v>
      </c>
      <c r="T1270" s="60"/>
    </row>
    <row r="1271">
      <c r="D1271" s="65" t="str">
        <f>IFERROR(__xludf.DUMMYFUNCTION("""COMPUTED_VALUE"""),"")</f>
        <v/>
      </c>
      <c r="E1271" s="65" t="s">
        <v>3650</v>
      </c>
      <c r="G1271" s="65" t="s">
        <v>3650</v>
      </c>
      <c r="J1271" s="65" t="s">
        <v>3650</v>
      </c>
      <c r="K1271" s="230" t="s">
        <v>3650</v>
      </c>
      <c r="L1271" s="230" t="s">
        <v>3650</v>
      </c>
      <c r="T1271" s="60"/>
    </row>
    <row r="1272">
      <c r="D1272" s="65" t="str">
        <f>IFERROR(__xludf.DUMMYFUNCTION("""COMPUTED_VALUE"""),"")</f>
        <v/>
      </c>
      <c r="E1272" s="65" t="s">
        <v>3650</v>
      </c>
      <c r="G1272" s="65" t="s">
        <v>3650</v>
      </c>
      <c r="J1272" s="65" t="s">
        <v>3650</v>
      </c>
      <c r="K1272" s="230" t="s">
        <v>3650</v>
      </c>
      <c r="L1272" s="230" t="s">
        <v>3650</v>
      </c>
      <c r="T1272" s="60"/>
    </row>
    <row r="1273">
      <c r="D1273" s="65" t="str">
        <f>IFERROR(__xludf.DUMMYFUNCTION("""COMPUTED_VALUE"""),"")</f>
        <v/>
      </c>
      <c r="E1273" s="65" t="s">
        <v>3650</v>
      </c>
      <c r="G1273" s="65" t="s">
        <v>3650</v>
      </c>
      <c r="J1273" s="65" t="s">
        <v>3650</v>
      </c>
      <c r="K1273" s="230" t="s">
        <v>3650</v>
      </c>
      <c r="L1273" s="230" t="s">
        <v>3650</v>
      </c>
      <c r="T1273" s="60"/>
    </row>
    <row r="1274">
      <c r="D1274" s="65" t="str">
        <f>IFERROR(__xludf.DUMMYFUNCTION("""COMPUTED_VALUE"""),"")</f>
        <v/>
      </c>
      <c r="E1274" s="65" t="s">
        <v>3650</v>
      </c>
      <c r="G1274" s="65" t="s">
        <v>3650</v>
      </c>
      <c r="J1274" s="65" t="s">
        <v>3650</v>
      </c>
      <c r="K1274" s="230" t="s">
        <v>3650</v>
      </c>
      <c r="L1274" s="230" t="s">
        <v>3650</v>
      </c>
      <c r="T1274" s="60"/>
    </row>
    <row r="1275">
      <c r="D1275" s="65" t="str">
        <f>IFERROR(__xludf.DUMMYFUNCTION("""COMPUTED_VALUE"""),"")</f>
        <v/>
      </c>
      <c r="E1275" s="65" t="s">
        <v>3650</v>
      </c>
      <c r="G1275" s="65" t="s">
        <v>3650</v>
      </c>
      <c r="J1275" s="65" t="s">
        <v>3650</v>
      </c>
      <c r="K1275" s="230" t="s">
        <v>3650</v>
      </c>
      <c r="L1275" s="230" t="s">
        <v>3650</v>
      </c>
      <c r="T1275" s="60"/>
    </row>
    <row r="1276">
      <c r="D1276" s="65" t="str">
        <f>IFERROR(__xludf.DUMMYFUNCTION("""COMPUTED_VALUE"""),"")</f>
        <v/>
      </c>
      <c r="E1276" s="65" t="s">
        <v>3650</v>
      </c>
      <c r="G1276" s="65" t="s">
        <v>3650</v>
      </c>
      <c r="J1276" s="65" t="s">
        <v>3650</v>
      </c>
      <c r="K1276" s="230" t="s">
        <v>3650</v>
      </c>
      <c r="L1276" s="230" t="s">
        <v>3650</v>
      </c>
      <c r="T1276" s="60"/>
    </row>
    <row r="1277">
      <c r="D1277" s="65" t="str">
        <f>IFERROR(__xludf.DUMMYFUNCTION("""COMPUTED_VALUE"""),"")</f>
        <v/>
      </c>
      <c r="E1277" s="65" t="s">
        <v>3650</v>
      </c>
      <c r="G1277" s="65" t="s">
        <v>3650</v>
      </c>
      <c r="J1277" s="65" t="s">
        <v>3650</v>
      </c>
      <c r="K1277" s="230" t="s">
        <v>3650</v>
      </c>
      <c r="L1277" s="230" t="s">
        <v>3650</v>
      </c>
      <c r="T1277" s="60"/>
    </row>
    <row r="1278">
      <c r="D1278" s="65" t="str">
        <f>IFERROR(__xludf.DUMMYFUNCTION("""COMPUTED_VALUE"""),"")</f>
        <v/>
      </c>
      <c r="E1278" s="65" t="s">
        <v>3650</v>
      </c>
      <c r="G1278" s="65" t="s">
        <v>3650</v>
      </c>
      <c r="J1278" s="65" t="s">
        <v>3650</v>
      </c>
      <c r="K1278" s="230" t="s">
        <v>3650</v>
      </c>
      <c r="L1278" s="230" t="s">
        <v>3650</v>
      </c>
      <c r="T1278" s="60"/>
    </row>
    <row r="1279">
      <c r="D1279" s="65" t="str">
        <f>IFERROR(__xludf.DUMMYFUNCTION("""COMPUTED_VALUE"""),"")</f>
        <v/>
      </c>
      <c r="E1279" s="65" t="s">
        <v>3650</v>
      </c>
      <c r="G1279" s="65" t="s">
        <v>3650</v>
      </c>
      <c r="J1279" s="65" t="s">
        <v>3650</v>
      </c>
      <c r="K1279" s="230" t="s">
        <v>3650</v>
      </c>
      <c r="L1279" s="230" t="s">
        <v>3650</v>
      </c>
      <c r="T1279" s="60"/>
    </row>
    <row r="1280">
      <c r="D1280" s="65" t="str">
        <f>IFERROR(__xludf.DUMMYFUNCTION("""COMPUTED_VALUE"""),"")</f>
        <v/>
      </c>
      <c r="E1280" s="65" t="s">
        <v>3650</v>
      </c>
      <c r="G1280" s="65" t="s">
        <v>3650</v>
      </c>
      <c r="J1280" s="65" t="s">
        <v>3650</v>
      </c>
      <c r="K1280" s="230" t="s">
        <v>3650</v>
      </c>
      <c r="L1280" s="230" t="s">
        <v>3650</v>
      </c>
      <c r="T1280" s="60"/>
    </row>
    <row r="1281">
      <c r="D1281" s="65" t="str">
        <f>IFERROR(__xludf.DUMMYFUNCTION("""COMPUTED_VALUE"""),"")</f>
        <v/>
      </c>
      <c r="E1281" s="65" t="s">
        <v>3650</v>
      </c>
      <c r="G1281" s="65" t="s">
        <v>3650</v>
      </c>
      <c r="J1281" s="65" t="s">
        <v>3650</v>
      </c>
      <c r="K1281" s="230" t="s">
        <v>3650</v>
      </c>
      <c r="L1281" s="230" t="s">
        <v>3650</v>
      </c>
      <c r="T1281" s="60"/>
    </row>
    <row r="1282">
      <c r="D1282" s="65" t="str">
        <f>IFERROR(__xludf.DUMMYFUNCTION("""COMPUTED_VALUE"""),"")</f>
        <v/>
      </c>
      <c r="E1282" s="65" t="s">
        <v>3650</v>
      </c>
      <c r="G1282" s="65" t="s">
        <v>3650</v>
      </c>
      <c r="J1282" s="65" t="s">
        <v>3650</v>
      </c>
      <c r="K1282" s="230" t="s">
        <v>3650</v>
      </c>
      <c r="L1282" s="230" t="s">
        <v>3650</v>
      </c>
      <c r="T1282" s="60"/>
    </row>
    <row r="1283">
      <c r="D1283" s="65" t="str">
        <f>IFERROR(__xludf.DUMMYFUNCTION("""COMPUTED_VALUE"""),"")</f>
        <v/>
      </c>
      <c r="E1283" s="65" t="s">
        <v>3650</v>
      </c>
      <c r="G1283" s="65" t="s">
        <v>3650</v>
      </c>
      <c r="J1283" s="65" t="s">
        <v>3650</v>
      </c>
      <c r="K1283" s="230" t="s">
        <v>3650</v>
      </c>
      <c r="L1283" s="230" t="s">
        <v>3650</v>
      </c>
      <c r="T1283" s="60"/>
    </row>
    <row r="1284">
      <c r="D1284" s="65" t="str">
        <f>IFERROR(__xludf.DUMMYFUNCTION("""COMPUTED_VALUE"""),"")</f>
        <v/>
      </c>
      <c r="E1284" s="65" t="s">
        <v>3650</v>
      </c>
      <c r="G1284" s="65" t="s">
        <v>3650</v>
      </c>
      <c r="J1284" s="65" t="s">
        <v>3650</v>
      </c>
      <c r="K1284" s="230" t="s">
        <v>3650</v>
      </c>
      <c r="L1284" s="230" t="s">
        <v>3650</v>
      </c>
      <c r="T1284" s="60"/>
    </row>
    <row r="1285">
      <c r="D1285" s="65" t="str">
        <f>IFERROR(__xludf.DUMMYFUNCTION("""COMPUTED_VALUE"""),"")</f>
        <v/>
      </c>
      <c r="E1285" s="65" t="s">
        <v>3650</v>
      </c>
      <c r="G1285" s="65" t="s">
        <v>3650</v>
      </c>
      <c r="J1285" s="65" t="s">
        <v>3650</v>
      </c>
      <c r="K1285" s="230" t="s">
        <v>3650</v>
      </c>
      <c r="L1285" s="230" t="s">
        <v>3650</v>
      </c>
      <c r="T1285" s="60"/>
    </row>
    <row r="1286">
      <c r="D1286" s="65" t="str">
        <f>IFERROR(__xludf.DUMMYFUNCTION("""COMPUTED_VALUE"""),"")</f>
        <v/>
      </c>
      <c r="E1286" s="65" t="s">
        <v>3650</v>
      </c>
      <c r="G1286" s="65" t="s">
        <v>3650</v>
      </c>
      <c r="J1286" s="65" t="s">
        <v>3650</v>
      </c>
      <c r="K1286" s="230" t="s">
        <v>3650</v>
      </c>
      <c r="L1286" s="230" t="s">
        <v>3650</v>
      </c>
      <c r="T1286" s="60"/>
    </row>
    <row r="1287">
      <c r="D1287" s="65" t="str">
        <f>IFERROR(__xludf.DUMMYFUNCTION("""COMPUTED_VALUE"""),"")</f>
        <v/>
      </c>
      <c r="E1287" s="65" t="s">
        <v>3650</v>
      </c>
      <c r="G1287" s="65" t="s">
        <v>3650</v>
      </c>
      <c r="J1287" s="65" t="s">
        <v>3650</v>
      </c>
      <c r="K1287" s="230" t="s">
        <v>3650</v>
      </c>
      <c r="L1287" s="230" t="s">
        <v>3650</v>
      </c>
      <c r="T1287" s="60"/>
    </row>
    <row r="1288">
      <c r="D1288" s="65" t="str">
        <f>IFERROR(__xludf.DUMMYFUNCTION("""COMPUTED_VALUE"""),"")</f>
        <v/>
      </c>
      <c r="E1288" s="65" t="s">
        <v>3650</v>
      </c>
      <c r="G1288" s="65" t="s">
        <v>3650</v>
      </c>
      <c r="J1288" s="65" t="s">
        <v>3650</v>
      </c>
      <c r="K1288" s="230" t="s">
        <v>3650</v>
      </c>
      <c r="L1288" s="230" t="s">
        <v>3650</v>
      </c>
      <c r="T1288" s="60"/>
    </row>
    <row r="1289">
      <c r="D1289" s="65" t="str">
        <f>IFERROR(__xludf.DUMMYFUNCTION("""COMPUTED_VALUE"""),"")</f>
        <v/>
      </c>
      <c r="E1289" s="65" t="s">
        <v>3650</v>
      </c>
      <c r="G1289" s="65" t="s">
        <v>3650</v>
      </c>
      <c r="J1289" s="65" t="s">
        <v>3650</v>
      </c>
      <c r="K1289" s="230" t="s">
        <v>3650</v>
      </c>
      <c r="L1289" s="230" t="s">
        <v>3650</v>
      </c>
      <c r="T1289" s="60"/>
    </row>
    <row r="1290">
      <c r="D1290" s="65" t="str">
        <f>IFERROR(__xludf.DUMMYFUNCTION("""COMPUTED_VALUE"""),"")</f>
        <v/>
      </c>
      <c r="E1290" s="65" t="s">
        <v>3650</v>
      </c>
      <c r="G1290" s="65" t="s">
        <v>3650</v>
      </c>
      <c r="J1290" s="65" t="s">
        <v>3650</v>
      </c>
      <c r="K1290" s="230" t="s">
        <v>3650</v>
      </c>
      <c r="L1290" s="230" t="s">
        <v>3650</v>
      </c>
      <c r="T1290" s="60"/>
    </row>
    <row r="1291">
      <c r="D1291" s="65" t="str">
        <f>IFERROR(__xludf.DUMMYFUNCTION("""COMPUTED_VALUE"""),"")</f>
        <v/>
      </c>
      <c r="E1291" s="65" t="s">
        <v>3650</v>
      </c>
      <c r="G1291" s="65" t="s">
        <v>3650</v>
      </c>
      <c r="J1291" s="65" t="s">
        <v>3650</v>
      </c>
      <c r="K1291" s="230" t="s">
        <v>3650</v>
      </c>
      <c r="L1291" s="230" t="s">
        <v>3650</v>
      </c>
      <c r="T1291" s="60"/>
    </row>
    <row r="1292">
      <c r="D1292" s="65" t="str">
        <f>IFERROR(__xludf.DUMMYFUNCTION("""COMPUTED_VALUE"""),"")</f>
        <v/>
      </c>
      <c r="E1292" s="65" t="s">
        <v>3650</v>
      </c>
      <c r="G1292" s="65" t="s">
        <v>3650</v>
      </c>
      <c r="J1292" s="65" t="s">
        <v>3650</v>
      </c>
      <c r="K1292" s="230" t="s">
        <v>3650</v>
      </c>
      <c r="L1292" s="230" t="s">
        <v>3650</v>
      </c>
      <c r="T1292" s="60"/>
    </row>
    <row r="1293">
      <c r="D1293" s="65" t="str">
        <f>IFERROR(__xludf.DUMMYFUNCTION("""COMPUTED_VALUE"""),"")</f>
        <v/>
      </c>
      <c r="E1293" s="65" t="s">
        <v>3650</v>
      </c>
      <c r="G1293" s="65" t="s">
        <v>3650</v>
      </c>
      <c r="J1293" s="65" t="s">
        <v>3650</v>
      </c>
      <c r="K1293" s="230" t="s">
        <v>3650</v>
      </c>
      <c r="L1293" s="230" t="s">
        <v>3650</v>
      </c>
      <c r="T1293" s="60"/>
    </row>
    <row r="1294">
      <c r="D1294" s="65" t="str">
        <f>IFERROR(__xludf.DUMMYFUNCTION("""COMPUTED_VALUE"""),"")</f>
        <v/>
      </c>
      <c r="E1294" s="65" t="s">
        <v>3650</v>
      </c>
      <c r="G1294" s="65" t="s">
        <v>3650</v>
      </c>
      <c r="J1294" s="65" t="s">
        <v>3650</v>
      </c>
      <c r="K1294" s="230" t="s">
        <v>3650</v>
      </c>
      <c r="L1294" s="230" t="s">
        <v>3650</v>
      </c>
      <c r="T1294" s="60"/>
    </row>
    <row r="1295">
      <c r="D1295" s="65" t="str">
        <f>IFERROR(__xludf.DUMMYFUNCTION("""COMPUTED_VALUE"""),"")</f>
        <v/>
      </c>
      <c r="E1295" s="65" t="s">
        <v>3650</v>
      </c>
      <c r="G1295" s="65" t="s">
        <v>3650</v>
      </c>
      <c r="J1295" s="65" t="s">
        <v>3650</v>
      </c>
      <c r="K1295" s="230" t="s">
        <v>3650</v>
      </c>
      <c r="L1295" s="230" t="s">
        <v>3650</v>
      </c>
      <c r="T1295" s="60"/>
    </row>
    <row r="1296">
      <c r="D1296" s="65" t="str">
        <f>IFERROR(__xludf.DUMMYFUNCTION("""COMPUTED_VALUE"""),"")</f>
        <v/>
      </c>
      <c r="E1296" s="65" t="s">
        <v>3650</v>
      </c>
      <c r="G1296" s="65" t="s">
        <v>3650</v>
      </c>
      <c r="J1296" s="65" t="s">
        <v>3650</v>
      </c>
      <c r="K1296" s="230" t="s">
        <v>3650</v>
      </c>
      <c r="L1296" s="230" t="s">
        <v>3650</v>
      </c>
      <c r="T1296" s="60"/>
    </row>
    <row r="1297">
      <c r="D1297" s="65" t="str">
        <f>IFERROR(__xludf.DUMMYFUNCTION("""COMPUTED_VALUE"""),"")</f>
        <v/>
      </c>
      <c r="E1297" s="65" t="s">
        <v>3650</v>
      </c>
      <c r="G1297" s="65" t="s">
        <v>3650</v>
      </c>
      <c r="J1297" s="65" t="s">
        <v>3650</v>
      </c>
      <c r="K1297" s="230" t="s">
        <v>3650</v>
      </c>
      <c r="L1297" s="230" t="s">
        <v>3650</v>
      </c>
      <c r="T1297" s="60"/>
    </row>
    <row r="1298">
      <c r="D1298" s="65" t="str">
        <f>IFERROR(__xludf.DUMMYFUNCTION("""COMPUTED_VALUE"""),"")</f>
        <v/>
      </c>
      <c r="E1298" s="65" t="s">
        <v>3650</v>
      </c>
      <c r="G1298" s="65" t="s">
        <v>3650</v>
      </c>
      <c r="J1298" s="65" t="s">
        <v>3650</v>
      </c>
      <c r="K1298" s="230" t="s">
        <v>3650</v>
      </c>
      <c r="L1298" s="230" t="s">
        <v>3650</v>
      </c>
      <c r="T1298" s="60"/>
    </row>
    <row r="1299">
      <c r="D1299" s="65" t="str">
        <f>IFERROR(__xludf.DUMMYFUNCTION("""COMPUTED_VALUE"""),"")</f>
        <v/>
      </c>
      <c r="E1299" s="65" t="s">
        <v>3650</v>
      </c>
      <c r="G1299" s="65" t="s">
        <v>3650</v>
      </c>
      <c r="J1299" s="65" t="s">
        <v>3650</v>
      </c>
      <c r="K1299" s="230" t="s">
        <v>3650</v>
      </c>
      <c r="L1299" s="230" t="s">
        <v>3650</v>
      </c>
      <c r="T1299" s="60"/>
    </row>
    <row r="1300">
      <c r="D1300" s="65" t="str">
        <f>IFERROR(__xludf.DUMMYFUNCTION("""COMPUTED_VALUE"""),"")</f>
        <v/>
      </c>
      <c r="E1300" s="65" t="s">
        <v>3650</v>
      </c>
      <c r="G1300" s="65" t="s">
        <v>3650</v>
      </c>
      <c r="J1300" s="65" t="s">
        <v>3650</v>
      </c>
      <c r="K1300" s="230" t="s">
        <v>3650</v>
      </c>
      <c r="L1300" s="230" t="s">
        <v>3650</v>
      </c>
      <c r="T1300" s="60"/>
    </row>
    <row r="1301">
      <c r="D1301" s="65" t="str">
        <f>IFERROR(__xludf.DUMMYFUNCTION("""COMPUTED_VALUE"""),"")</f>
        <v/>
      </c>
      <c r="E1301" s="65" t="s">
        <v>3650</v>
      </c>
      <c r="G1301" s="65" t="s">
        <v>3650</v>
      </c>
      <c r="J1301" s="65" t="s">
        <v>3650</v>
      </c>
      <c r="K1301" s="230" t="s">
        <v>3650</v>
      </c>
      <c r="L1301" s="230" t="s">
        <v>3650</v>
      </c>
      <c r="T1301" s="60"/>
    </row>
    <row r="1302">
      <c r="D1302" s="65" t="str">
        <f>IFERROR(__xludf.DUMMYFUNCTION("""COMPUTED_VALUE"""),"")</f>
        <v/>
      </c>
      <c r="E1302" s="65" t="s">
        <v>3650</v>
      </c>
      <c r="G1302" s="65" t="s">
        <v>3650</v>
      </c>
      <c r="J1302" s="65" t="s">
        <v>3650</v>
      </c>
      <c r="K1302" s="230" t="s">
        <v>3650</v>
      </c>
      <c r="L1302" s="230" t="s">
        <v>3650</v>
      </c>
      <c r="T1302" s="60"/>
    </row>
    <row r="1303">
      <c r="D1303" s="65" t="str">
        <f>IFERROR(__xludf.DUMMYFUNCTION("""COMPUTED_VALUE"""),"")</f>
        <v/>
      </c>
      <c r="E1303" s="65" t="s">
        <v>3650</v>
      </c>
      <c r="G1303" s="65" t="s">
        <v>3650</v>
      </c>
      <c r="J1303" s="65" t="s">
        <v>3650</v>
      </c>
      <c r="K1303" s="230" t="s">
        <v>3650</v>
      </c>
      <c r="L1303" s="230" t="s">
        <v>3650</v>
      </c>
      <c r="T1303" s="60"/>
    </row>
    <row r="1304">
      <c r="D1304" s="65" t="str">
        <f>IFERROR(__xludf.DUMMYFUNCTION("""COMPUTED_VALUE"""),"")</f>
        <v/>
      </c>
      <c r="E1304" s="65" t="s">
        <v>3650</v>
      </c>
      <c r="G1304" s="65" t="s">
        <v>3650</v>
      </c>
      <c r="J1304" s="65" t="s">
        <v>3650</v>
      </c>
      <c r="K1304" s="230" t="s">
        <v>3650</v>
      </c>
      <c r="L1304" s="230" t="s">
        <v>3650</v>
      </c>
      <c r="T1304" s="60"/>
    </row>
    <row r="1305">
      <c r="D1305" s="65" t="str">
        <f>IFERROR(__xludf.DUMMYFUNCTION("""COMPUTED_VALUE"""),"")</f>
        <v/>
      </c>
      <c r="E1305" s="65" t="s">
        <v>3650</v>
      </c>
      <c r="G1305" s="65" t="s">
        <v>3650</v>
      </c>
      <c r="J1305" s="65" t="s">
        <v>3650</v>
      </c>
      <c r="K1305" s="230" t="s">
        <v>3650</v>
      </c>
      <c r="L1305" s="230" t="s">
        <v>3650</v>
      </c>
      <c r="T1305" s="60"/>
    </row>
    <row r="1306">
      <c r="D1306" s="65" t="str">
        <f>IFERROR(__xludf.DUMMYFUNCTION("""COMPUTED_VALUE"""),"")</f>
        <v/>
      </c>
      <c r="E1306" s="65" t="s">
        <v>3650</v>
      </c>
      <c r="G1306" s="65" t="s">
        <v>3650</v>
      </c>
      <c r="J1306" s="65" t="s">
        <v>3650</v>
      </c>
      <c r="K1306" s="230" t="s">
        <v>3650</v>
      </c>
      <c r="L1306" s="230" t="s">
        <v>3650</v>
      </c>
      <c r="T1306" s="60"/>
    </row>
    <row r="1307">
      <c r="D1307" s="65" t="str">
        <f>IFERROR(__xludf.DUMMYFUNCTION("""COMPUTED_VALUE"""),"")</f>
        <v/>
      </c>
      <c r="E1307" s="65" t="s">
        <v>3650</v>
      </c>
      <c r="G1307" s="65" t="s">
        <v>3650</v>
      </c>
      <c r="J1307" s="65" t="s">
        <v>3650</v>
      </c>
      <c r="K1307" s="230" t="s">
        <v>3650</v>
      </c>
      <c r="L1307" s="230" t="s">
        <v>3650</v>
      </c>
      <c r="T1307" s="60"/>
    </row>
    <row r="1308">
      <c r="D1308" s="65" t="str">
        <f>IFERROR(__xludf.DUMMYFUNCTION("""COMPUTED_VALUE"""),"")</f>
        <v/>
      </c>
      <c r="E1308" s="65" t="s">
        <v>3650</v>
      </c>
      <c r="G1308" s="65" t="s">
        <v>3650</v>
      </c>
      <c r="J1308" s="65" t="s">
        <v>3650</v>
      </c>
      <c r="K1308" s="230" t="s">
        <v>3650</v>
      </c>
      <c r="L1308" s="230" t="s">
        <v>3650</v>
      </c>
      <c r="T1308" s="60"/>
    </row>
    <row r="1309">
      <c r="D1309" s="65" t="str">
        <f>IFERROR(__xludf.DUMMYFUNCTION("""COMPUTED_VALUE"""),"")</f>
        <v/>
      </c>
      <c r="E1309" s="65" t="s">
        <v>3650</v>
      </c>
      <c r="G1309" s="65" t="s">
        <v>3650</v>
      </c>
      <c r="J1309" s="65" t="s">
        <v>3650</v>
      </c>
      <c r="K1309" s="230" t="s">
        <v>3650</v>
      </c>
      <c r="L1309" s="230" t="s">
        <v>3650</v>
      </c>
      <c r="T1309" s="60"/>
    </row>
    <row r="1310">
      <c r="D1310" s="65" t="str">
        <f>IFERROR(__xludf.DUMMYFUNCTION("""COMPUTED_VALUE"""),"")</f>
        <v/>
      </c>
      <c r="E1310" s="65" t="s">
        <v>3650</v>
      </c>
      <c r="G1310" s="65" t="s">
        <v>3650</v>
      </c>
      <c r="J1310" s="65" t="s">
        <v>3650</v>
      </c>
      <c r="K1310" s="230" t="s">
        <v>3650</v>
      </c>
      <c r="L1310" s="230" t="s">
        <v>3650</v>
      </c>
      <c r="T1310" s="60"/>
    </row>
    <row r="1311">
      <c r="D1311" s="65" t="str">
        <f>IFERROR(__xludf.DUMMYFUNCTION("""COMPUTED_VALUE"""),"")</f>
        <v/>
      </c>
      <c r="E1311" s="65" t="s">
        <v>3650</v>
      </c>
      <c r="G1311" s="65" t="s">
        <v>3650</v>
      </c>
      <c r="J1311" s="65" t="s">
        <v>3650</v>
      </c>
      <c r="K1311" s="230" t="s">
        <v>3650</v>
      </c>
      <c r="L1311" s="230" t="s">
        <v>3650</v>
      </c>
      <c r="T1311" s="60"/>
    </row>
    <row r="1312">
      <c r="D1312" s="65" t="str">
        <f>IFERROR(__xludf.DUMMYFUNCTION("""COMPUTED_VALUE"""),"")</f>
        <v/>
      </c>
      <c r="E1312" s="65" t="s">
        <v>3650</v>
      </c>
      <c r="G1312" s="65" t="s">
        <v>3650</v>
      </c>
      <c r="J1312" s="65" t="s">
        <v>3650</v>
      </c>
      <c r="K1312" s="230" t="s">
        <v>3650</v>
      </c>
      <c r="L1312" s="230" t="s">
        <v>3650</v>
      </c>
      <c r="T1312" s="60"/>
    </row>
    <row r="1313">
      <c r="D1313" s="65" t="str">
        <f>IFERROR(__xludf.DUMMYFUNCTION("""COMPUTED_VALUE"""),"")</f>
        <v/>
      </c>
      <c r="E1313" s="65" t="s">
        <v>3650</v>
      </c>
      <c r="G1313" s="65" t="s">
        <v>3650</v>
      </c>
      <c r="J1313" s="65" t="s">
        <v>3650</v>
      </c>
      <c r="K1313" s="230" t="s">
        <v>3650</v>
      </c>
      <c r="L1313" s="230" t="s">
        <v>3650</v>
      </c>
      <c r="T1313" s="60"/>
    </row>
    <row r="1314">
      <c r="D1314" s="65" t="str">
        <f>IFERROR(__xludf.DUMMYFUNCTION("""COMPUTED_VALUE"""),"")</f>
        <v/>
      </c>
      <c r="E1314" s="65" t="s">
        <v>3650</v>
      </c>
      <c r="G1314" s="65" t="s">
        <v>3650</v>
      </c>
      <c r="J1314" s="65" t="s">
        <v>3650</v>
      </c>
      <c r="K1314" s="230" t="s">
        <v>3650</v>
      </c>
      <c r="L1314" s="230" t="s">
        <v>3650</v>
      </c>
      <c r="T1314" s="60"/>
    </row>
    <row r="1315">
      <c r="D1315" s="65" t="str">
        <f>IFERROR(__xludf.DUMMYFUNCTION("""COMPUTED_VALUE"""),"")</f>
        <v/>
      </c>
      <c r="E1315" s="65" t="s">
        <v>3650</v>
      </c>
      <c r="G1315" s="65" t="s">
        <v>3650</v>
      </c>
      <c r="J1315" s="65" t="s">
        <v>3650</v>
      </c>
      <c r="K1315" s="230" t="s">
        <v>3650</v>
      </c>
      <c r="L1315" s="230" t="s">
        <v>3650</v>
      </c>
      <c r="T1315" s="60"/>
    </row>
    <row r="1316">
      <c r="D1316" s="65" t="str">
        <f>IFERROR(__xludf.DUMMYFUNCTION("""COMPUTED_VALUE"""),"")</f>
        <v/>
      </c>
      <c r="E1316" s="65" t="s">
        <v>3650</v>
      </c>
      <c r="G1316" s="65" t="s">
        <v>3650</v>
      </c>
      <c r="J1316" s="65" t="s">
        <v>3650</v>
      </c>
      <c r="K1316" s="230" t="s">
        <v>3650</v>
      </c>
      <c r="L1316" s="230" t="s">
        <v>3650</v>
      </c>
      <c r="T1316" s="60"/>
    </row>
    <row r="1317">
      <c r="D1317" s="65" t="str">
        <f>IFERROR(__xludf.DUMMYFUNCTION("""COMPUTED_VALUE"""),"")</f>
        <v/>
      </c>
      <c r="E1317" s="65" t="s">
        <v>3650</v>
      </c>
      <c r="G1317" s="65" t="s">
        <v>3650</v>
      </c>
      <c r="J1317" s="65" t="s">
        <v>3650</v>
      </c>
      <c r="K1317" s="230" t="s">
        <v>3650</v>
      </c>
      <c r="L1317" s="230" t="s">
        <v>3650</v>
      </c>
      <c r="T1317" s="60"/>
    </row>
    <row r="1318">
      <c r="D1318" s="65" t="str">
        <f>IFERROR(__xludf.DUMMYFUNCTION("""COMPUTED_VALUE"""),"")</f>
        <v/>
      </c>
      <c r="E1318" s="65" t="s">
        <v>3650</v>
      </c>
      <c r="G1318" s="65" t="s">
        <v>3650</v>
      </c>
      <c r="J1318" s="65" t="s">
        <v>3650</v>
      </c>
      <c r="K1318" s="230" t="s">
        <v>3650</v>
      </c>
      <c r="L1318" s="230" t="s">
        <v>3650</v>
      </c>
      <c r="T1318" s="60"/>
    </row>
    <row r="1319">
      <c r="D1319" s="65" t="str">
        <f>IFERROR(__xludf.DUMMYFUNCTION("""COMPUTED_VALUE"""),"")</f>
        <v/>
      </c>
      <c r="E1319" s="65" t="s">
        <v>3650</v>
      </c>
      <c r="G1319" s="65" t="s">
        <v>3650</v>
      </c>
      <c r="J1319" s="65" t="s">
        <v>3650</v>
      </c>
      <c r="K1319" s="230" t="s">
        <v>3650</v>
      </c>
      <c r="L1319" s="230" t="s">
        <v>3650</v>
      </c>
      <c r="T1319" s="60"/>
    </row>
    <row r="1320">
      <c r="D1320" s="65" t="str">
        <f>IFERROR(__xludf.DUMMYFUNCTION("""COMPUTED_VALUE"""),"")</f>
        <v/>
      </c>
      <c r="E1320" s="65" t="s">
        <v>3650</v>
      </c>
      <c r="G1320" s="65" t="s">
        <v>3650</v>
      </c>
      <c r="J1320" s="65" t="s">
        <v>3650</v>
      </c>
      <c r="K1320" s="230" t="s">
        <v>3650</v>
      </c>
      <c r="L1320" s="230" t="s">
        <v>3650</v>
      </c>
      <c r="T1320" s="60"/>
    </row>
    <row r="1321">
      <c r="D1321" s="65" t="str">
        <f>IFERROR(__xludf.DUMMYFUNCTION("""COMPUTED_VALUE"""),"")</f>
        <v/>
      </c>
      <c r="E1321" s="65" t="s">
        <v>3650</v>
      </c>
      <c r="G1321" s="65" t="s">
        <v>3650</v>
      </c>
      <c r="J1321" s="65" t="s">
        <v>3650</v>
      </c>
      <c r="K1321" s="230" t="s">
        <v>3650</v>
      </c>
      <c r="L1321" s="230" t="s">
        <v>3650</v>
      </c>
      <c r="T1321" s="60"/>
    </row>
    <row r="1322">
      <c r="D1322" s="65" t="str">
        <f>IFERROR(__xludf.DUMMYFUNCTION("""COMPUTED_VALUE"""),"")</f>
        <v/>
      </c>
      <c r="E1322" s="65" t="s">
        <v>3650</v>
      </c>
      <c r="G1322" s="65" t="s">
        <v>3650</v>
      </c>
      <c r="J1322" s="65" t="s">
        <v>3650</v>
      </c>
      <c r="K1322" s="230" t="s">
        <v>3650</v>
      </c>
      <c r="L1322" s="230" t="s">
        <v>3650</v>
      </c>
      <c r="T1322" s="60"/>
    </row>
    <row r="1323">
      <c r="D1323" s="65" t="str">
        <f>IFERROR(__xludf.DUMMYFUNCTION("""COMPUTED_VALUE"""),"")</f>
        <v/>
      </c>
      <c r="E1323" s="65" t="s">
        <v>3650</v>
      </c>
      <c r="G1323" s="65" t="s">
        <v>3650</v>
      </c>
      <c r="J1323" s="65" t="s">
        <v>3650</v>
      </c>
      <c r="K1323" s="230" t="s">
        <v>3650</v>
      </c>
      <c r="L1323" s="230" t="s">
        <v>3650</v>
      </c>
      <c r="T1323" s="60"/>
    </row>
    <row r="1324">
      <c r="D1324" s="65" t="str">
        <f>IFERROR(__xludf.DUMMYFUNCTION("""COMPUTED_VALUE"""),"")</f>
        <v/>
      </c>
      <c r="E1324" s="65" t="s">
        <v>3650</v>
      </c>
      <c r="G1324" s="65" t="s">
        <v>3650</v>
      </c>
      <c r="J1324" s="65" t="s">
        <v>3650</v>
      </c>
      <c r="K1324" s="230" t="s">
        <v>3650</v>
      </c>
      <c r="L1324" s="230" t="s">
        <v>3650</v>
      </c>
      <c r="T1324" s="60"/>
    </row>
    <row r="1325">
      <c r="D1325" s="65" t="str">
        <f>IFERROR(__xludf.DUMMYFUNCTION("""COMPUTED_VALUE"""),"")</f>
        <v/>
      </c>
      <c r="E1325" s="65" t="s">
        <v>3650</v>
      </c>
      <c r="G1325" s="65" t="s">
        <v>3650</v>
      </c>
      <c r="J1325" s="65" t="s">
        <v>3650</v>
      </c>
      <c r="K1325" s="230" t="s">
        <v>3650</v>
      </c>
      <c r="L1325" s="230" t="s">
        <v>3650</v>
      </c>
      <c r="T1325" s="60"/>
    </row>
    <row r="1326">
      <c r="D1326" s="65" t="str">
        <f>IFERROR(__xludf.DUMMYFUNCTION("""COMPUTED_VALUE"""),"")</f>
        <v/>
      </c>
      <c r="E1326" s="65" t="s">
        <v>3650</v>
      </c>
      <c r="G1326" s="65" t="s">
        <v>3650</v>
      </c>
      <c r="J1326" s="65" t="s">
        <v>3650</v>
      </c>
      <c r="K1326" s="230" t="s">
        <v>3650</v>
      </c>
      <c r="L1326" s="230" t="s">
        <v>3650</v>
      </c>
      <c r="T1326" s="60"/>
    </row>
    <row r="1327">
      <c r="D1327" s="65" t="str">
        <f>IFERROR(__xludf.DUMMYFUNCTION("""COMPUTED_VALUE"""),"")</f>
        <v/>
      </c>
      <c r="E1327" s="65" t="s">
        <v>3650</v>
      </c>
      <c r="G1327" s="65" t="s">
        <v>3650</v>
      </c>
      <c r="J1327" s="65" t="s">
        <v>3650</v>
      </c>
      <c r="K1327" s="230" t="s">
        <v>3650</v>
      </c>
      <c r="L1327" s="230" t="s">
        <v>3650</v>
      </c>
      <c r="T1327" s="60"/>
    </row>
    <row r="1328">
      <c r="D1328" s="65" t="str">
        <f>IFERROR(__xludf.DUMMYFUNCTION("""COMPUTED_VALUE"""),"")</f>
        <v/>
      </c>
      <c r="E1328" s="65" t="s">
        <v>3650</v>
      </c>
      <c r="G1328" s="65" t="s">
        <v>3650</v>
      </c>
      <c r="J1328" s="65" t="s">
        <v>3650</v>
      </c>
      <c r="K1328" s="230" t="s">
        <v>3650</v>
      </c>
      <c r="L1328" s="230" t="s">
        <v>3650</v>
      </c>
      <c r="T1328" s="60"/>
    </row>
    <row r="1329">
      <c r="D1329" s="65" t="str">
        <f>IFERROR(__xludf.DUMMYFUNCTION("""COMPUTED_VALUE"""),"")</f>
        <v/>
      </c>
      <c r="E1329" s="65" t="s">
        <v>3650</v>
      </c>
      <c r="G1329" s="65" t="s">
        <v>3650</v>
      </c>
      <c r="J1329" s="65" t="s">
        <v>3650</v>
      </c>
      <c r="K1329" s="230" t="s">
        <v>3650</v>
      </c>
      <c r="L1329" s="230" t="s">
        <v>3650</v>
      </c>
      <c r="T1329" s="60"/>
    </row>
    <row r="1330">
      <c r="D1330" s="65" t="str">
        <f>IFERROR(__xludf.DUMMYFUNCTION("""COMPUTED_VALUE"""),"")</f>
        <v/>
      </c>
      <c r="E1330" s="65" t="s">
        <v>3650</v>
      </c>
      <c r="G1330" s="65" t="s">
        <v>3650</v>
      </c>
      <c r="J1330" s="65" t="s">
        <v>3650</v>
      </c>
      <c r="K1330" s="230" t="s">
        <v>3650</v>
      </c>
      <c r="L1330" s="230" t="s">
        <v>3650</v>
      </c>
      <c r="T1330" s="60"/>
    </row>
    <row r="1331">
      <c r="D1331" s="65" t="str">
        <f>IFERROR(__xludf.DUMMYFUNCTION("""COMPUTED_VALUE"""),"")</f>
        <v/>
      </c>
      <c r="E1331" s="65" t="s">
        <v>3650</v>
      </c>
      <c r="G1331" s="65" t="s">
        <v>3650</v>
      </c>
      <c r="J1331" s="65" t="s">
        <v>3650</v>
      </c>
      <c r="K1331" s="230" t="s">
        <v>3650</v>
      </c>
      <c r="L1331" s="230" t="s">
        <v>3650</v>
      </c>
      <c r="T1331" s="60"/>
    </row>
    <row r="1332">
      <c r="D1332" s="65" t="str">
        <f>IFERROR(__xludf.DUMMYFUNCTION("""COMPUTED_VALUE"""),"")</f>
        <v/>
      </c>
      <c r="E1332" s="65" t="s">
        <v>3650</v>
      </c>
      <c r="G1332" s="65" t="s">
        <v>3650</v>
      </c>
      <c r="J1332" s="65" t="s">
        <v>3650</v>
      </c>
      <c r="K1332" s="230" t="s">
        <v>3650</v>
      </c>
      <c r="L1332" s="230" t="s">
        <v>3650</v>
      </c>
      <c r="T1332" s="60"/>
    </row>
    <row r="1333">
      <c r="D1333" s="65" t="str">
        <f>IFERROR(__xludf.DUMMYFUNCTION("""COMPUTED_VALUE"""),"")</f>
        <v/>
      </c>
      <c r="E1333" s="65" t="s">
        <v>3650</v>
      </c>
      <c r="G1333" s="65" t="s">
        <v>3650</v>
      </c>
      <c r="J1333" s="65" t="s">
        <v>3650</v>
      </c>
      <c r="K1333" s="230" t="s">
        <v>3650</v>
      </c>
      <c r="L1333" s="230" t="s">
        <v>3650</v>
      </c>
      <c r="T1333" s="60"/>
    </row>
    <row r="1334">
      <c r="D1334" s="65" t="str">
        <f>IFERROR(__xludf.DUMMYFUNCTION("""COMPUTED_VALUE"""),"")</f>
        <v/>
      </c>
      <c r="E1334" s="65" t="s">
        <v>3650</v>
      </c>
      <c r="G1334" s="65" t="s">
        <v>3650</v>
      </c>
      <c r="J1334" s="65" t="s">
        <v>3650</v>
      </c>
      <c r="K1334" s="230" t="s">
        <v>3650</v>
      </c>
      <c r="L1334" s="230" t="s">
        <v>3650</v>
      </c>
      <c r="T1334" s="60"/>
    </row>
    <row r="1335">
      <c r="D1335" s="65" t="str">
        <f>IFERROR(__xludf.DUMMYFUNCTION("""COMPUTED_VALUE"""),"")</f>
        <v/>
      </c>
      <c r="E1335" s="65" t="s">
        <v>3650</v>
      </c>
      <c r="G1335" s="65" t="s">
        <v>3650</v>
      </c>
      <c r="J1335" s="65" t="s">
        <v>3650</v>
      </c>
      <c r="K1335" s="230" t="s">
        <v>3650</v>
      </c>
      <c r="L1335" s="230" t="s">
        <v>3650</v>
      </c>
      <c r="T1335" s="60"/>
    </row>
    <row r="1336">
      <c r="D1336" s="65" t="str">
        <f>IFERROR(__xludf.DUMMYFUNCTION("""COMPUTED_VALUE"""),"")</f>
        <v/>
      </c>
      <c r="E1336" s="65" t="s">
        <v>3650</v>
      </c>
      <c r="G1336" s="65" t="s">
        <v>3650</v>
      </c>
      <c r="J1336" s="65" t="s">
        <v>3650</v>
      </c>
      <c r="K1336" s="230" t="s">
        <v>3650</v>
      </c>
      <c r="L1336" s="230" t="s">
        <v>3650</v>
      </c>
      <c r="T1336" s="60"/>
    </row>
    <row r="1337">
      <c r="D1337" s="65" t="str">
        <f>IFERROR(__xludf.DUMMYFUNCTION("""COMPUTED_VALUE"""),"")</f>
        <v/>
      </c>
      <c r="E1337" s="65" t="s">
        <v>3650</v>
      </c>
      <c r="G1337" s="65" t="s">
        <v>3650</v>
      </c>
      <c r="J1337" s="65" t="s">
        <v>3650</v>
      </c>
      <c r="K1337" s="230" t="s">
        <v>3650</v>
      </c>
      <c r="L1337" s="230" t="s">
        <v>3650</v>
      </c>
      <c r="T1337" s="60"/>
    </row>
    <row r="1338">
      <c r="D1338" s="65" t="str">
        <f>IFERROR(__xludf.DUMMYFUNCTION("""COMPUTED_VALUE"""),"")</f>
        <v/>
      </c>
      <c r="E1338" s="65" t="s">
        <v>3650</v>
      </c>
      <c r="G1338" s="65" t="s">
        <v>3650</v>
      </c>
      <c r="J1338" s="65" t="s">
        <v>3650</v>
      </c>
      <c r="K1338" s="230" t="s">
        <v>3650</v>
      </c>
      <c r="L1338" s="230" t="s">
        <v>3650</v>
      </c>
      <c r="T1338" s="60"/>
    </row>
    <row r="1339">
      <c r="D1339" s="65" t="str">
        <f>IFERROR(__xludf.DUMMYFUNCTION("""COMPUTED_VALUE"""),"")</f>
        <v/>
      </c>
      <c r="E1339" s="65" t="s">
        <v>3650</v>
      </c>
      <c r="G1339" s="65" t="s">
        <v>3650</v>
      </c>
      <c r="J1339" s="65" t="s">
        <v>3650</v>
      </c>
      <c r="K1339" s="230" t="s">
        <v>3650</v>
      </c>
      <c r="L1339" s="230" t="s">
        <v>3650</v>
      </c>
      <c r="T1339" s="60"/>
    </row>
    <row r="1340">
      <c r="D1340" s="65" t="str">
        <f>IFERROR(__xludf.DUMMYFUNCTION("""COMPUTED_VALUE"""),"")</f>
        <v/>
      </c>
      <c r="E1340" s="65" t="s">
        <v>3650</v>
      </c>
      <c r="G1340" s="65" t="s">
        <v>3650</v>
      </c>
      <c r="J1340" s="65" t="s">
        <v>3650</v>
      </c>
      <c r="K1340" s="230" t="s">
        <v>3650</v>
      </c>
      <c r="L1340" s="230" t="s">
        <v>3650</v>
      </c>
      <c r="T1340" s="60"/>
    </row>
    <row r="1341">
      <c r="D1341" s="65" t="str">
        <f>IFERROR(__xludf.DUMMYFUNCTION("""COMPUTED_VALUE"""),"")</f>
        <v/>
      </c>
      <c r="E1341" s="65" t="s">
        <v>3650</v>
      </c>
      <c r="G1341" s="65" t="s">
        <v>3650</v>
      </c>
      <c r="J1341" s="65" t="s">
        <v>3650</v>
      </c>
      <c r="K1341" s="230" t="s">
        <v>3650</v>
      </c>
      <c r="L1341" s="230" t="s">
        <v>3650</v>
      </c>
      <c r="T1341" s="60"/>
    </row>
    <row r="1342">
      <c r="D1342" s="65" t="str">
        <f>IFERROR(__xludf.DUMMYFUNCTION("""COMPUTED_VALUE"""),"")</f>
        <v/>
      </c>
      <c r="E1342" s="65" t="s">
        <v>3650</v>
      </c>
      <c r="G1342" s="65" t="s">
        <v>3650</v>
      </c>
      <c r="J1342" s="65" t="s">
        <v>3650</v>
      </c>
      <c r="K1342" s="230" t="s">
        <v>3650</v>
      </c>
      <c r="L1342" s="230" t="s">
        <v>3650</v>
      </c>
      <c r="T1342" s="60"/>
    </row>
    <row r="1343">
      <c r="D1343" s="65" t="str">
        <f>IFERROR(__xludf.DUMMYFUNCTION("""COMPUTED_VALUE"""),"")</f>
        <v/>
      </c>
      <c r="E1343" s="65" t="s">
        <v>3650</v>
      </c>
      <c r="G1343" s="65" t="s">
        <v>3650</v>
      </c>
      <c r="J1343" s="65" t="s">
        <v>3650</v>
      </c>
      <c r="K1343" s="230" t="s">
        <v>3650</v>
      </c>
      <c r="L1343" s="230" t="s">
        <v>3650</v>
      </c>
      <c r="T1343" s="60"/>
    </row>
    <row r="1344">
      <c r="D1344" s="65" t="str">
        <f>IFERROR(__xludf.DUMMYFUNCTION("""COMPUTED_VALUE"""),"")</f>
        <v/>
      </c>
      <c r="E1344" s="65" t="s">
        <v>3650</v>
      </c>
      <c r="G1344" s="65" t="s">
        <v>3650</v>
      </c>
      <c r="J1344" s="65" t="s">
        <v>3650</v>
      </c>
      <c r="K1344" s="230" t="s">
        <v>3650</v>
      </c>
      <c r="L1344" s="230" t="s">
        <v>3650</v>
      </c>
      <c r="T1344" s="60"/>
    </row>
    <row r="1345">
      <c r="D1345" s="65" t="str">
        <f>IFERROR(__xludf.DUMMYFUNCTION("""COMPUTED_VALUE"""),"")</f>
        <v/>
      </c>
      <c r="E1345" s="65" t="s">
        <v>3650</v>
      </c>
      <c r="G1345" s="65" t="s">
        <v>3650</v>
      </c>
      <c r="J1345" s="65" t="s">
        <v>3650</v>
      </c>
      <c r="K1345" s="230" t="s">
        <v>3650</v>
      </c>
      <c r="L1345" s="230" t="s">
        <v>3650</v>
      </c>
      <c r="T1345" s="60"/>
    </row>
    <row r="1346">
      <c r="D1346" s="65" t="str">
        <f>IFERROR(__xludf.DUMMYFUNCTION("""COMPUTED_VALUE"""),"")</f>
        <v/>
      </c>
      <c r="E1346" s="65" t="s">
        <v>3650</v>
      </c>
      <c r="G1346" s="65" t="s">
        <v>3650</v>
      </c>
      <c r="J1346" s="65" t="s">
        <v>3650</v>
      </c>
      <c r="K1346" s="230" t="s">
        <v>3650</v>
      </c>
      <c r="L1346" s="230" t="s">
        <v>3650</v>
      </c>
      <c r="T1346" s="60"/>
    </row>
    <row r="1347">
      <c r="D1347" s="65" t="str">
        <f>IFERROR(__xludf.DUMMYFUNCTION("""COMPUTED_VALUE"""),"")</f>
        <v/>
      </c>
      <c r="E1347" s="65" t="s">
        <v>3650</v>
      </c>
      <c r="G1347" s="65" t="s">
        <v>3650</v>
      </c>
      <c r="J1347" s="65" t="s">
        <v>3650</v>
      </c>
      <c r="K1347" s="230" t="s">
        <v>3650</v>
      </c>
      <c r="L1347" s="230" t="s">
        <v>3650</v>
      </c>
      <c r="T1347" s="60"/>
    </row>
    <row r="1348">
      <c r="D1348" s="65" t="str">
        <f>IFERROR(__xludf.DUMMYFUNCTION("""COMPUTED_VALUE"""),"")</f>
        <v/>
      </c>
      <c r="E1348" s="65" t="s">
        <v>3650</v>
      </c>
      <c r="G1348" s="65" t="s">
        <v>3650</v>
      </c>
      <c r="J1348" s="65" t="s">
        <v>3650</v>
      </c>
      <c r="K1348" s="230" t="s">
        <v>3650</v>
      </c>
      <c r="L1348" s="230" t="s">
        <v>3650</v>
      </c>
      <c r="T1348" s="60"/>
    </row>
    <row r="1349">
      <c r="D1349" s="65" t="str">
        <f>IFERROR(__xludf.DUMMYFUNCTION("""COMPUTED_VALUE"""),"")</f>
        <v/>
      </c>
      <c r="E1349" s="65" t="s">
        <v>3650</v>
      </c>
      <c r="G1349" s="65" t="s">
        <v>3650</v>
      </c>
      <c r="J1349" s="65" t="s">
        <v>3650</v>
      </c>
      <c r="K1349" s="230" t="s">
        <v>3650</v>
      </c>
      <c r="L1349" s="230" t="s">
        <v>3650</v>
      </c>
      <c r="T1349" s="60"/>
    </row>
    <row r="1350">
      <c r="D1350" s="65" t="str">
        <f>IFERROR(__xludf.DUMMYFUNCTION("""COMPUTED_VALUE"""),"")</f>
        <v/>
      </c>
      <c r="E1350" s="65" t="s">
        <v>3650</v>
      </c>
      <c r="G1350" s="65" t="s">
        <v>3650</v>
      </c>
      <c r="J1350" s="65" t="s">
        <v>3650</v>
      </c>
      <c r="K1350" s="230" t="s">
        <v>3650</v>
      </c>
      <c r="L1350" s="230" t="s">
        <v>3650</v>
      </c>
      <c r="T1350" s="60"/>
    </row>
    <row r="1351">
      <c r="D1351" s="65" t="str">
        <f>IFERROR(__xludf.DUMMYFUNCTION("""COMPUTED_VALUE"""),"")</f>
        <v/>
      </c>
      <c r="E1351" s="65" t="s">
        <v>3650</v>
      </c>
      <c r="G1351" s="65" t="s">
        <v>3650</v>
      </c>
      <c r="J1351" s="65" t="s">
        <v>3650</v>
      </c>
      <c r="K1351" s="230" t="s">
        <v>3650</v>
      </c>
      <c r="L1351" s="230" t="s">
        <v>3650</v>
      </c>
      <c r="T1351" s="60"/>
    </row>
    <row r="1352">
      <c r="D1352" s="65" t="str">
        <f>IFERROR(__xludf.DUMMYFUNCTION("""COMPUTED_VALUE"""),"")</f>
        <v/>
      </c>
      <c r="E1352" s="65" t="s">
        <v>3650</v>
      </c>
      <c r="G1352" s="65" t="s">
        <v>3650</v>
      </c>
      <c r="J1352" s="65" t="s">
        <v>3650</v>
      </c>
      <c r="K1352" s="230" t="s">
        <v>3650</v>
      </c>
      <c r="L1352" s="230" t="s">
        <v>3650</v>
      </c>
      <c r="T1352" s="60"/>
    </row>
    <row r="1353">
      <c r="D1353" s="65" t="str">
        <f>IFERROR(__xludf.DUMMYFUNCTION("""COMPUTED_VALUE"""),"")</f>
        <v/>
      </c>
      <c r="E1353" s="65" t="s">
        <v>3650</v>
      </c>
      <c r="G1353" s="65" t="s">
        <v>3650</v>
      </c>
      <c r="J1353" s="65" t="s">
        <v>3650</v>
      </c>
      <c r="K1353" s="230" t="s">
        <v>3650</v>
      </c>
      <c r="L1353" s="230" t="s">
        <v>3650</v>
      </c>
      <c r="T1353" s="60"/>
    </row>
    <row r="1354">
      <c r="D1354" s="65" t="str">
        <f>IFERROR(__xludf.DUMMYFUNCTION("""COMPUTED_VALUE"""),"")</f>
        <v/>
      </c>
      <c r="E1354" s="65" t="s">
        <v>3650</v>
      </c>
      <c r="G1354" s="65" t="s">
        <v>3650</v>
      </c>
      <c r="J1354" s="65" t="s">
        <v>3650</v>
      </c>
      <c r="K1354" s="230" t="s">
        <v>3650</v>
      </c>
      <c r="L1354" s="230" t="s">
        <v>3650</v>
      </c>
      <c r="T1354" s="60"/>
    </row>
    <row r="1355">
      <c r="D1355" s="65" t="str">
        <f>IFERROR(__xludf.DUMMYFUNCTION("""COMPUTED_VALUE"""),"")</f>
        <v/>
      </c>
      <c r="E1355" s="65" t="s">
        <v>3650</v>
      </c>
      <c r="G1355" s="65" t="s">
        <v>3650</v>
      </c>
      <c r="J1355" s="65" t="s">
        <v>3650</v>
      </c>
      <c r="K1355" s="230" t="s">
        <v>3650</v>
      </c>
      <c r="L1355" s="230" t="s">
        <v>3650</v>
      </c>
      <c r="T1355" s="60"/>
    </row>
    <row r="1356">
      <c r="D1356" s="65" t="str">
        <f>IFERROR(__xludf.DUMMYFUNCTION("""COMPUTED_VALUE"""),"")</f>
        <v/>
      </c>
      <c r="E1356" s="65" t="s">
        <v>3650</v>
      </c>
      <c r="G1356" s="65" t="s">
        <v>3650</v>
      </c>
      <c r="J1356" s="65" t="s">
        <v>3650</v>
      </c>
      <c r="K1356" s="230" t="s">
        <v>3650</v>
      </c>
      <c r="L1356" s="230" t="s">
        <v>3650</v>
      </c>
      <c r="T1356" s="60"/>
    </row>
    <row r="1357">
      <c r="D1357" s="65" t="str">
        <f>IFERROR(__xludf.DUMMYFUNCTION("""COMPUTED_VALUE"""),"")</f>
        <v/>
      </c>
      <c r="E1357" s="65" t="s">
        <v>3650</v>
      </c>
      <c r="G1357" s="65" t="s">
        <v>3650</v>
      </c>
      <c r="J1357" s="65" t="s">
        <v>3650</v>
      </c>
      <c r="K1357" s="230" t="s">
        <v>3650</v>
      </c>
      <c r="L1357" s="230" t="s">
        <v>3650</v>
      </c>
      <c r="T1357" s="60"/>
    </row>
    <row r="1358">
      <c r="D1358" s="65" t="str">
        <f>IFERROR(__xludf.DUMMYFUNCTION("""COMPUTED_VALUE"""),"")</f>
        <v/>
      </c>
      <c r="E1358" s="65" t="s">
        <v>3650</v>
      </c>
      <c r="G1358" s="65" t="s">
        <v>3650</v>
      </c>
      <c r="J1358" s="65" t="s">
        <v>3650</v>
      </c>
      <c r="K1358" s="230" t="s">
        <v>3650</v>
      </c>
      <c r="L1358" s="230" t="s">
        <v>3650</v>
      </c>
      <c r="T1358" s="60"/>
    </row>
    <row r="1359">
      <c r="D1359" s="65" t="str">
        <f>IFERROR(__xludf.DUMMYFUNCTION("""COMPUTED_VALUE"""),"")</f>
        <v/>
      </c>
      <c r="E1359" s="65" t="s">
        <v>3650</v>
      </c>
      <c r="G1359" s="65" t="s">
        <v>3650</v>
      </c>
      <c r="J1359" s="65" t="s">
        <v>3650</v>
      </c>
      <c r="K1359" s="230" t="s">
        <v>3650</v>
      </c>
      <c r="L1359" s="230" t="s">
        <v>3650</v>
      </c>
      <c r="T1359" s="60"/>
    </row>
    <row r="1360">
      <c r="D1360" s="65" t="str">
        <f>IFERROR(__xludf.DUMMYFUNCTION("""COMPUTED_VALUE"""),"")</f>
        <v/>
      </c>
      <c r="E1360" s="65" t="s">
        <v>3650</v>
      </c>
      <c r="G1360" s="65" t="s">
        <v>3650</v>
      </c>
      <c r="J1360" s="65" t="s">
        <v>3650</v>
      </c>
      <c r="K1360" s="230" t="s">
        <v>3650</v>
      </c>
      <c r="L1360" s="230" t="s">
        <v>3650</v>
      </c>
      <c r="T1360" s="60"/>
    </row>
    <row r="1361">
      <c r="D1361" s="65" t="str">
        <f>IFERROR(__xludf.DUMMYFUNCTION("""COMPUTED_VALUE"""),"")</f>
        <v/>
      </c>
      <c r="E1361" s="65" t="s">
        <v>3650</v>
      </c>
      <c r="G1361" s="65" t="s">
        <v>3650</v>
      </c>
      <c r="J1361" s="65" t="s">
        <v>3650</v>
      </c>
      <c r="K1361" s="230" t="s">
        <v>3650</v>
      </c>
      <c r="L1361" s="230" t="s">
        <v>3650</v>
      </c>
      <c r="T1361" s="60"/>
    </row>
    <row r="1362">
      <c r="D1362" s="65" t="str">
        <f>IFERROR(__xludf.DUMMYFUNCTION("""COMPUTED_VALUE"""),"")</f>
        <v/>
      </c>
      <c r="E1362" s="65" t="s">
        <v>3650</v>
      </c>
      <c r="G1362" s="65" t="s">
        <v>3650</v>
      </c>
      <c r="J1362" s="65" t="s">
        <v>3650</v>
      </c>
      <c r="K1362" s="230" t="s">
        <v>3650</v>
      </c>
      <c r="L1362" s="230" t="s">
        <v>3650</v>
      </c>
      <c r="T1362" s="60"/>
    </row>
    <row r="1363">
      <c r="D1363" s="65" t="str">
        <f>IFERROR(__xludf.DUMMYFUNCTION("""COMPUTED_VALUE"""),"")</f>
        <v/>
      </c>
      <c r="E1363" s="65" t="s">
        <v>3650</v>
      </c>
      <c r="G1363" s="65" t="s">
        <v>3650</v>
      </c>
      <c r="J1363" s="65" t="s">
        <v>3650</v>
      </c>
      <c r="K1363" s="230" t="s">
        <v>3650</v>
      </c>
      <c r="L1363" s="230" t="s">
        <v>3650</v>
      </c>
      <c r="T1363" s="60"/>
    </row>
    <row r="1364">
      <c r="D1364" s="65" t="str">
        <f>IFERROR(__xludf.DUMMYFUNCTION("""COMPUTED_VALUE"""),"")</f>
        <v/>
      </c>
      <c r="E1364" s="65" t="s">
        <v>3650</v>
      </c>
      <c r="G1364" s="65" t="s">
        <v>3650</v>
      </c>
      <c r="J1364" s="65" t="s">
        <v>3650</v>
      </c>
      <c r="K1364" s="230" t="s">
        <v>3650</v>
      </c>
      <c r="L1364" s="230" t="s">
        <v>3650</v>
      </c>
      <c r="T1364" s="60"/>
    </row>
    <row r="1365">
      <c r="D1365" s="65" t="str">
        <f>IFERROR(__xludf.DUMMYFUNCTION("""COMPUTED_VALUE"""),"")</f>
        <v/>
      </c>
      <c r="E1365" s="65" t="s">
        <v>3650</v>
      </c>
      <c r="G1365" s="65" t="s">
        <v>3650</v>
      </c>
      <c r="J1365" s="65" t="s">
        <v>3650</v>
      </c>
      <c r="K1365" s="230" t="s">
        <v>3650</v>
      </c>
      <c r="L1365" s="230" t="s">
        <v>3650</v>
      </c>
      <c r="T1365" s="60"/>
    </row>
    <row r="1366">
      <c r="D1366" s="65" t="str">
        <f>IFERROR(__xludf.DUMMYFUNCTION("""COMPUTED_VALUE"""),"")</f>
        <v/>
      </c>
      <c r="E1366" s="65" t="s">
        <v>3650</v>
      </c>
      <c r="G1366" s="65" t="s">
        <v>3650</v>
      </c>
      <c r="J1366" s="65" t="s">
        <v>3650</v>
      </c>
      <c r="K1366" s="230" t="s">
        <v>3650</v>
      </c>
      <c r="L1366" s="230" t="s">
        <v>3650</v>
      </c>
      <c r="T1366" s="60"/>
    </row>
    <row r="1367">
      <c r="D1367" s="65" t="str">
        <f>IFERROR(__xludf.DUMMYFUNCTION("""COMPUTED_VALUE"""),"")</f>
        <v/>
      </c>
      <c r="E1367" s="65" t="s">
        <v>3650</v>
      </c>
      <c r="G1367" s="65" t="s">
        <v>3650</v>
      </c>
      <c r="J1367" s="65" t="s">
        <v>3650</v>
      </c>
      <c r="K1367" s="230" t="s">
        <v>3650</v>
      </c>
      <c r="L1367" s="230" t="s">
        <v>3650</v>
      </c>
      <c r="T1367" s="60"/>
    </row>
    <row r="1368">
      <c r="D1368" s="65" t="str">
        <f>IFERROR(__xludf.DUMMYFUNCTION("""COMPUTED_VALUE"""),"")</f>
        <v/>
      </c>
      <c r="E1368" s="65" t="s">
        <v>3650</v>
      </c>
      <c r="G1368" s="65" t="s">
        <v>3650</v>
      </c>
      <c r="J1368" s="65" t="s">
        <v>3650</v>
      </c>
      <c r="K1368" s="230" t="s">
        <v>3650</v>
      </c>
      <c r="L1368" s="230" t="s">
        <v>3650</v>
      </c>
      <c r="T1368" s="60"/>
    </row>
    <row r="1369">
      <c r="D1369" s="65" t="str">
        <f>IFERROR(__xludf.DUMMYFUNCTION("""COMPUTED_VALUE"""),"")</f>
        <v/>
      </c>
      <c r="E1369" s="65" t="s">
        <v>3650</v>
      </c>
      <c r="G1369" s="65" t="s">
        <v>3650</v>
      </c>
      <c r="J1369" s="65" t="s">
        <v>3650</v>
      </c>
      <c r="K1369" s="230" t="s">
        <v>3650</v>
      </c>
      <c r="L1369" s="230" t="s">
        <v>3650</v>
      </c>
      <c r="T1369" s="60"/>
    </row>
    <row r="1370">
      <c r="D1370" s="65" t="str">
        <f>IFERROR(__xludf.DUMMYFUNCTION("""COMPUTED_VALUE"""),"")</f>
        <v/>
      </c>
      <c r="E1370" s="65" t="s">
        <v>3650</v>
      </c>
      <c r="G1370" s="65" t="s">
        <v>3650</v>
      </c>
      <c r="J1370" s="65" t="s">
        <v>3650</v>
      </c>
      <c r="K1370" s="230" t="s">
        <v>3650</v>
      </c>
      <c r="L1370" s="230" t="s">
        <v>3650</v>
      </c>
      <c r="T1370" s="60"/>
    </row>
    <row r="1371">
      <c r="D1371" s="65" t="str">
        <f>IFERROR(__xludf.DUMMYFUNCTION("""COMPUTED_VALUE"""),"")</f>
        <v/>
      </c>
      <c r="E1371" s="65" t="s">
        <v>3650</v>
      </c>
      <c r="G1371" s="65" t="s">
        <v>3650</v>
      </c>
      <c r="J1371" s="65" t="s">
        <v>3650</v>
      </c>
      <c r="K1371" s="230" t="s">
        <v>3650</v>
      </c>
      <c r="L1371" s="230" t="s">
        <v>3650</v>
      </c>
      <c r="T1371" s="60"/>
    </row>
    <row r="1372">
      <c r="D1372" s="65" t="str">
        <f>IFERROR(__xludf.DUMMYFUNCTION("""COMPUTED_VALUE"""),"")</f>
        <v/>
      </c>
      <c r="E1372" s="65" t="s">
        <v>3650</v>
      </c>
      <c r="G1372" s="65" t="s">
        <v>3650</v>
      </c>
      <c r="J1372" s="65" t="s">
        <v>3650</v>
      </c>
      <c r="K1372" s="230" t="s">
        <v>3650</v>
      </c>
      <c r="L1372" s="230" t="s">
        <v>3650</v>
      </c>
      <c r="T1372" s="60"/>
    </row>
  </sheetData>
  <conditionalFormatting sqref="O1:O1063">
    <cfRule type="containsText" dxfId="7" priority="1" operator="containsText" text="Pendiente">
      <formula>NOT(ISERROR(SEARCH(("Pendiente"),(O1))))</formula>
    </cfRule>
  </conditionalFormatting>
  <conditionalFormatting sqref="O1:O1063">
    <cfRule type="containsText" dxfId="8" priority="2" operator="containsText" text="PROCESO">
      <formula>NOT(ISERROR(SEARCH(("PROCESO"),(O1))))</formula>
    </cfRule>
  </conditionalFormatting>
  <conditionalFormatting sqref="O1:O1063">
    <cfRule type="containsText" dxfId="9" priority="3" operator="containsText" text="CANCELADO">
      <formula>NOT(ISERROR(SEARCH(("CANCELADO"),(O1))))</formula>
    </cfRule>
  </conditionalFormatting>
  <conditionalFormatting sqref="O1:O1063">
    <cfRule type="containsText" dxfId="10" priority="4" operator="containsText" text="REVISAR">
      <formula>NOT(ISERROR(SEARCH(("REVISAR"),(O1))))</formula>
    </cfRule>
  </conditionalFormatting>
  <conditionalFormatting sqref="O1:O1063">
    <cfRule type="containsText" dxfId="11" priority="5" operator="containsText" text="ENTREGADO">
      <formula>NOT(ISERROR(SEARCH(("ENTREGADO"),(O1))))</formula>
    </cfRule>
  </conditionalFormatting>
  <conditionalFormatting sqref="O1:O1063">
    <cfRule type="containsText" dxfId="16" priority="6" operator="containsText" text="NOVEDAD">
      <formula>NOT(ISERROR(SEARCH(("NOVEDAD"),(O1))))</formula>
    </cfRule>
  </conditionalFormatting>
  <conditionalFormatting sqref="O1:O1063">
    <cfRule type="containsText" dxfId="13" priority="7" operator="containsText" text="DEVOLUCION">
      <formula>NOT(ISERROR(SEARCH(("DEVOLUCION"),(O1))))</formula>
    </cfRule>
  </conditionalFormatting>
  <conditionalFormatting sqref="C1">
    <cfRule type="colorScale" priority="8">
      <colorScale>
        <cfvo type="min"/>
        <cfvo type="max"/>
        <color rgb="FFFFFFFF"/>
        <color rgb="FFFF00FF"/>
      </colorScale>
    </cfRule>
  </conditionalFormatting>
  <conditionalFormatting sqref="N1:N1372">
    <cfRule type="expression" dxfId="14" priority="9">
      <formula>AND( N2&lt;&gt;"",  N1&lt;&gt;"",  VALUE(SUBSTITUTE(N2,"#","")) &lt;&gt; VALUE(SUBSTITUTE(N1,"#","")) + 1 )</formula>
    </cfRule>
  </conditionalFormatting>
  <dataValidations>
    <dataValidation type="custom" allowBlank="1" showDropDown="1" sqref="E2:G391 J2:J391">
      <formula1>AND(ISNUMBER(E2),(NOT(OR(NOT(ISERROR(DATEVALUE(E2))), AND(ISNUMBER(E2), LEFT(CELL("format", E2))="D")))))</formula1>
    </dataValidation>
  </dataValidations>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4.38"/>
    <col customWidth="1" min="3" max="3" width="31.63"/>
    <col customWidth="1" min="4" max="4" width="28.75"/>
    <col customWidth="1" min="5" max="5" width="14.88"/>
    <col customWidth="1" min="6" max="6" width="16.75"/>
    <col customWidth="1" min="7" max="7" width="13.75"/>
    <col customWidth="1" min="8" max="8" width="15.38"/>
    <col customWidth="1" min="9" max="9" width="19.38"/>
    <col customWidth="1" min="11" max="11" width="16.5"/>
  </cols>
  <sheetData>
    <row r="1" ht="22.5" customHeight="1">
      <c r="A1" s="135" t="s">
        <v>3683</v>
      </c>
      <c r="B1" s="135" t="s">
        <v>3384</v>
      </c>
      <c r="C1" s="135" t="s">
        <v>9191</v>
      </c>
      <c r="D1" s="135" t="s">
        <v>1</v>
      </c>
      <c r="E1" s="231" t="s">
        <v>9192</v>
      </c>
      <c r="F1" s="135" t="s">
        <v>3712</v>
      </c>
      <c r="G1" s="231" t="s">
        <v>9193</v>
      </c>
      <c r="H1" s="135" t="s">
        <v>3386</v>
      </c>
      <c r="I1" s="135" t="s">
        <v>9194</v>
      </c>
      <c r="J1" s="135" t="s">
        <v>3387</v>
      </c>
      <c r="K1" s="232" t="s">
        <v>9195</v>
      </c>
      <c r="L1" s="15"/>
      <c r="M1" s="15"/>
      <c r="N1" s="15"/>
      <c r="O1" s="15"/>
      <c r="P1" s="15"/>
      <c r="Q1" s="15"/>
      <c r="R1" s="15"/>
      <c r="S1" s="15"/>
      <c r="T1" s="15"/>
      <c r="U1" s="15"/>
      <c r="V1" s="15"/>
      <c r="W1" s="15"/>
      <c r="X1" s="15"/>
      <c r="Y1" s="15"/>
      <c r="Z1" s="15"/>
      <c r="AA1" s="15"/>
    </row>
    <row r="2" ht="22.5" customHeight="1">
      <c r="A2" s="156">
        <v>1.0</v>
      </c>
      <c r="B2" s="233">
        <v>46087.0</v>
      </c>
      <c r="C2" s="234"/>
      <c r="D2" s="234" t="s">
        <v>184</v>
      </c>
      <c r="E2" s="235" t="s">
        <v>9196</v>
      </c>
      <c r="F2" s="156">
        <v>6.0</v>
      </c>
      <c r="G2" s="235">
        <v>30.0</v>
      </c>
      <c r="H2" s="236" t="s">
        <v>3675</v>
      </c>
      <c r="I2" s="236" t="s">
        <v>9197</v>
      </c>
      <c r="J2" s="237"/>
      <c r="K2" s="238" t="s">
        <v>9198</v>
      </c>
      <c r="L2" s="15"/>
      <c r="M2" s="15"/>
      <c r="N2" s="15"/>
      <c r="O2" s="15"/>
      <c r="P2" s="15"/>
      <c r="Q2" s="15"/>
      <c r="R2" s="15"/>
      <c r="S2" s="15"/>
      <c r="T2" s="15"/>
      <c r="U2" s="60"/>
      <c r="V2" s="60"/>
      <c r="W2" s="60"/>
      <c r="X2" s="60"/>
      <c r="Y2" s="60"/>
      <c r="Z2" s="60"/>
      <c r="AA2" s="60"/>
    </row>
    <row r="3" ht="22.5" customHeight="1">
      <c r="A3" s="156">
        <v>2.0</v>
      </c>
      <c r="B3" s="233">
        <v>46094.0</v>
      </c>
      <c r="C3" s="234" t="s">
        <v>9199</v>
      </c>
      <c r="D3" s="234" t="s">
        <v>184</v>
      </c>
      <c r="E3" s="235">
        <v>6.0</v>
      </c>
      <c r="F3" s="156">
        <v>1.0</v>
      </c>
      <c r="G3" s="235">
        <v>6.0</v>
      </c>
      <c r="H3" s="236" t="s">
        <v>3675</v>
      </c>
      <c r="I3" s="236" t="s">
        <v>9200</v>
      </c>
      <c r="J3" s="155">
        <v>4795021.0</v>
      </c>
      <c r="K3" s="238" t="s">
        <v>9198</v>
      </c>
      <c r="L3" s="15"/>
      <c r="M3" s="15"/>
      <c r="N3" s="15"/>
      <c r="O3" s="15"/>
      <c r="P3" s="15"/>
      <c r="Q3" s="15"/>
      <c r="R3" s="15"/>
      <c r="S3" s="15"/>
      <c r="T3" s="15"/>
      <c r="U3" s="60"/>
      <c r="V3" s="60"/>
      <c r="W3" s="60"/>
      <c r="X3" s="60"/>
      <c r="Y3" s="60"/>
      <c r="Z3" s="60"/>
      <c r="AA3" s="60"/>
    </row>
    <row r="4" ht="22.5" customHeight="1">
      <c r="A4" s="156">
        <v>3.0</v>
      </c>
      <c r="B4" s="233">
        <v>46097.0</v>
      </c>
      <c r="C4" s="234" t="s">
        <v>9201</v>
      </c>
      <c r="D4" s="234" t="s">
        <v>184</v>
      </c>
      <c r="E4" s="235">
        <v>4.75</v>
      </c>
      <c r="F4" s="156">
        <v>2.0</v>
      </c>
      <c r="G4" s="235">
        <v>9.5</v>
      </c>
      <c r="H4" s="236" t="s">
        <v>3675</v>
      </c>
      <c r="I4" s="236" t="s">
        <v>9200</v>
      </c>
      <c r="J4" s="155">
        <v>4822855.0</v>
      </c>
      <c r="K4" s="238" t="s">
        <v>9198</v>
      </c>
      <c r="L4" s="15"/>
      <c r="M4" s="15"/>
      <c r="N4" s="15"/>
      <c r="O4" s="15"/>
      <c r="P4" s="15"/>
      <c r="Q4" s="15"/>
      <c r="R4" s="15"/>
      <c r="S4" s="15"/>
      <c r="T4" s="15"/>
      <c r="U4" s="60"/>
      <c r="V4" s="60"/>
      <c r="W4" s="60"/>
      <c r="X4" s="60"/>
      <c r="Y4" s="60"/>
      <c r="Z4" s="60"/>
      <c r="AA4" s="60"/>
    </row>
    <row r="5" ht="22.5" customHeight="1">
      <c r="A5" s="156">
        <v>4.0</v>
      </c>
      <c r="B5" s="233">
        <v>46098.0</v>
      </c>
      <c r="C5" s="239"/>
      <c r="D5" s="234" t="s">
        <v>184</v>
      </c>
      <c r="E5" s="235">
        <v>5.0</v>
      </c>
      <c r="F5" s="156">
        <v>1.0</v>
      </c>
      <c r="G5" s="235">
        <v>5.0</v>
      </c>
      <c r="H5" s="236" t="s">
        <v>3675</v>
      </c>
      <c r="I5" s="236" t="s">
        <v>9197</v>
      </c>
      <c r="J5" s="237"/>
      <c r="K5" s="238" t="s">
        <v>9198</v>
      </c>
      <c r="L5" s="15"/>
      <c r="M5" s="15"/>
      <c r="N5" s="15"/>
      <c r="O5" s="15"/>
      <c r="P5" s="15"/>
      <c r="Q5" s="15"/>
      <c r="R5" s="15"/>
      <c r="S5" s="15"/>
      <c r="T5" s="15"/>
      <c r="U5" s="60"/>
      <c r="V5" s="60"/>
      <c r="W5" s="60"/>
      <c r="X5" s="60"/>
      <c r="Y5" s="60"/>
      <c r="Z5" s="60"/>
      <c r="AA5" s="60"/>
    </row>
    <row r="6" ht="22.5" customHeight="1">
      <c r="A6" s="156">
        <v>5.0</v>
      </c>
      <c r="B6" s="233">
        <v>46098.0</v>
      </c>
      <c r="C6" s="239"/>
      <c r="D6" s="234" t="s">
        <v>184</v>
      </c>
      <c r="E6" s="235">
        <v>5.0</v>
      </c>
      <c r="F6" s="156">
        <v>1.0</v>
      </c>
      <c r="G6" s="235">
        <v>5.0</v>
      </c>
      <c r="H6" s="236" t="s">
        <v>3675</v>
      </c>
      <c r="I6" s="236" t="s">
        <v>9197</v>
      </c>
      <c r="J6" s="237"/>
      <c r="K6" s="238" t="s">
        <v>9198</v>
      </c>
      <c r="L6" s="15"/>
      <c r="M6" s="15"/>
      <c r="N6" s="15"/>
      <c r="O6" s="15"/>
      <c r="P6" s="15"/>
      <c r="Q6" s="15"/>
      <c r="R6" s="15"/>
      <c r="S6" s="15"/>
      <c r="T6" s="15"/>
      <c r="U6" s="60"/>
      <c r="V6" s="60"/>
      <c r="W6" s="60"/>
      <c r="X6" s="60"/>
      <c r="Y6" s="60"/>
      <c r="Z6" s="60"/>
      <c r="AA6" s="60"/>
    </row>
    <row r="7" ht="18.0" customHeight="1">
      <c r="A7" s="156">
        <v>6.0</v>
      </c>
      <c r="B7" s="233">
        <v>46098.0</v>
      </c>
      <c r="C7" s="234" t="s">
        <v>9202</v>
      </c>
      <c r="D7" s="234" t="s">
        <v>184</v>
      </c>
      <c r="E7" s="235">
        <v>4.75</v>
      </c>
      <c r="F7" s="156">
        <v>2.0</v>
      </c>
      <c r="G7" s="235">
        <v>9.5</v>
      </c>
      <c r="H7" s="236" t="s">
        <v>3675</v>
      </c>
      <c r="I7" s="236" t="s">
        <v>9200</v>
      </c>
      <c r="J7" s="155">
        <v>4830959.0</v>
      </c>
      <c r="K7" s="238" t="s">
        <v>9198</v>
      </c>
      <c r="L7" s="15"/>
      <c r="M7" s="15"/>
      <c r="N7" s="15"/>
      <c r="O7" s="15"/>
      <c r="P7" s="15"/>
      <c r="Q7" s="15"/>
      <c r="R7" s="15"/>
      <c r="S7" s="15"/>
      <c r="T7" s="15"/>
      <c r="U7" s="60"/>
      <c r="V7" s="60"/>
      <c r="W7" s="60"/>
      <c r="X7" s="60"/>
      <c r="Y7" s="60"/>
      <c r="Z7" s="60"/>
      <c r="AA7" s="60"/>
    </row>
    <row r="8" ht="22.5" customHeight="1">
      <c r="A8" s="156">
        <v>7.0</v>
      </c>
      <c r="B8" s="233">
        <v>46099.0</v>
      </c>
      <c r="C8" s="239"/>
      <c r="D8" s="234" t="s">
        <v>184</v>
      </c>
      <c r="E8" s="235">
        <v>5.0</v>
      </c>
      <c r="F8" s="156">
        <v>1.0</v>
      </c>
      <c r="G8" s="240">
        <f t="shared" ref="G8:G19" si="1">E8*F8</f>
        <v>5</v>
      </c>
      <c r="H8" s="236" t="s">
        <v>3675</v>
      </c>
      <c r="I8" s="236" t="s">
        <v>9197</v>
      </c>
      <c r="J8" s="237"/>
      <c r="K8" s="238" t="s">
        <v>9198</v>
      </c>
      <c r="L8" s="15"/>
      <c r="M8" s="15"/>
      <c r="N8" s="15"/>
      <c r="O8" s="15"/>
      <c r="P8" s="15"/>
      <c r="Q8" s="15"/>
      <c r="R8" s="15"/>
      <c r="S8" s="15"/>
      <c r="T8" s="15"/>
      <c r="U8" s="60"/>
      <c r="V8" s="60"/>
      <c r="W8" s="60"/>
      <c r="X8" s="60"/>
      <c r="Y8" s="60"/>
      <c r="Z8" s="60"/>
      <c r="AA8" s="60"/>
    </row>
    <row r="9" ht="22.5" customHeight="1">
      <c r="A9" s="156">
        <v>8.0</v>
      </c>
      <c r="B9" s="233">
        <v>46099.0</v>
      </c>
      <c r="C9" s="239"/>
      <c r="D9" s="234" t="s">
        <v>184</v>
      </c>
      <c r="E9" s="235">
        <v>4.75</v>
      </c>
      <c r="F9" s="156">
        <v>2.0</v>
      </c>
      <c r="G9" s="240">
        <f t="shared" si="1"/>
        <v>9.5</v>
      </c>
      <c r="H9" s="236" t="s">
        <v>3675</v>
      </c>
      <c r="I9" s="236" t="s">
        <v>9197</v>
      </c>
      <c r="J9" s="237"/>
      <c r="K9" s="238" t="s">
        <v>9198</v>
      </c>
      <c r="L9" s="15"/>
      <c r="M9" s="15"/>
      <c r="N9" s="15"/>
      <c r="O9" s="15"/>
      <c r="P9" s="15"/>
      <c r="Q9" s="15"/>
      <c r="R9" s="15"/>
      <c r="S9" s="15"/>
      <c r="T9" s="15"/>
      <c r="U9" s="60"/>
      <c r="V9" s="60"/>
      <c r="W9" s="60"/>
      <c r="X9" s="60"/>
      <c r="Y9" s="60"/>
      <c r="Z9" s="60"/>
      <c r="AA9" s="60"/>
    </row>
    <row r="10" ht="22.5" customHeight="1">
      <c r="A10" s="156">
        <v>9.0</v>
      </c>
      <c r="B10" s="233">
        <v>46100.0</v>
      </c>
      <c r="C10" s="239"/>
      <c r="D10" s="234" t="s">
        <v>184</v>
      </c>
      <c r="E10" s="235">
        <v>5.0</v>
      </c>
      <c r="F10" s="156">
        <v>1.0</v>
      </c>
      <c r="G10" s="240">
        <f t="shared" si="1"/>
        <v>5</v>
      </c>
      <c r="H10" s="236" t="s">
        <v>3675</v>
      </c>
      <c r="I10" s="236" t="s">
        <v>9197</v>
      </c>
      <c r="J10" s="237"/>
      <c r="K10" s="238" t="s">
        <v>9198</v>
      </c>
      <c r="L10" s="15"/>
      <c r="M10" s="15"/>
      <c r="N10" s="15"/>
      <c r="O10" s="15"/>
      <c r="P10" s="15"/>
      <c r="Q10" s="15"/>
      <c r="R10" s="15"/>
      <c r="S10" s="15"/>
      <c r="T10" s="15"/>
      <c r="U10" s="60"/>
      <c r="V10" s="60"/>
      <c r="W10" s="60"/>
      <c r="X10" s="60"/>
      <c r="Y10" s="60"/>
      <c r="Z10" s="60"/>
      <c r="AA10" s="60"/>
    </row>
    <row r="11" ht="22.5" customHeight="1">
      <c r="A11" s="156">
        <v>10.0</v>
      </c>
      <c r="B11" s="233">
        <v>46100.0</v>
      </c>
      <c r="C11" s="239"/>
      <c r="D11" s="234" t="s">
        <v>184</v>
      </c>
      <c r="E11" s="235">
        <v>5.0</v>
      </c>
      <c r="F11" s="156">
        <v>1.0</v>
      </c>
      <c r="G11" s="240">
        <f t="shared" si="1"/>
        <v>5</v>
      </c>
      <c r="H11" s="236" t="s">
        <v>3675</v>
      </c>
      <c r="I11" s="236" t="s">
        <v>9197</v>
      </c>
      <c r="J11" s="237"/>
      <c r="K11" s="238" t="s">
        <v>9198</v>
      </c>
      <c r="L11" s="15"/>
      <c r="M11" s="15"/>
      <c r="N11" s="15"/>
      <c r="O11" s="15"/>
      <c r="P11" s="15"/>
      <c r="Q11" s="15"/>
      <c r="R11" s="15"/>
      <c r="S11" s="15"/>
      <c r="T11" s="15"/>
      <c r="U11" s="60"/>
      <c r="V11" s="60"/>
      <c r="W11" s="60"/>
      <c r="X11" s="60"/>
      <c r="Y11" s="60"/>
      <c r="Z11" s="60"/>
      <c r="AA11" s="60"/>
    </row>
    <row r="12" ht="22.5" customHeight="1">
      <c r="A12" s="156">
        <v>11.0</v>
      </c>
      <c r="B12" s="233">
        <v>46104.0</v>
      </c>
      <c r="C12" s="239"/>
      <c r="D12" s="234" t="s">
        <v>184</v>
      </c>
      <c r="E12" s="235">
        <v>5.0</v>
      </c>
      <c r="F12" s="156">
        <v>1.0</v>
      </c>
      <c r="G12" s="240">
        <f t="shared" si="1"/>
        <v>5</v>
      </c>
      <c r="H12" s="236" t="s">
        <v>3675</v>
      </c>
      <c r="I12" s="236" t="s">
        <v>9197</v>
      </c>
      <c r="J12" s="237"/>
      <c r="K12" s="238" t="s">
        <v>9198</v>
      </c>
      <c r="L12" s="15"/>
      <c r="M12" s="15"/>
      <c r="N12" s="15"/>
      <c r="O12" s="15"/>
      <c r="P12" s="15"/>
      <c r="Q12" s="15"/>
      <c r="R12" s="15"/>
      <c r="S12" s="15"/>
      <c r="T12" s="15"/>
      <c r="U12" s="60"/>
      <c r="V12" s="60"/>
      <c r="W12" s="60"/>
      <c r="X12" s="60"/>
      <c r="Y12" s="60"/>
      <c r="Z12" s="60"/>
      <c r="AA12" s="60"/>
    </row>
    <row r="13" ht="22.5" customHeight="1">
      <c r="A13" s="156">
        <v>12.0</v>
      </c>
      <c r="B13" s="233">
        <v>46106.0</v>
      </c>
      <c r="C13" s="241" t="s">
        <v>9203</v>
      </c>
      <c r="D13" s="234" t="s">
        <v>186</v>
      </c>
      <c r="E13" s="235">
        <v>10.0</v>
      </c>
      <c r="F13" s="156">
        <v>2.0</v>
      </c>
      <c r="G13" s="240">
        <f t="shared" si="1"/>
        <v>20</v>
      </c>
      <c r="H13" s="236" t="s">
        <v>5692</v>
      </c>
      <c r="I13" s="236" t="s">
        <v>9204</v>
      </c>
      <c r="J13" s="155">
        <v>4907159.0</v>
      </c>
      <c r="K13" s="242"/>
      <c r="L13" s="15"/>
      <c r="M13" s="15"/>
      <c r="N13" s="15"/>
      <c r="O13" s="15"/>
      <c r="P13" s="15"/>
      <c r="Q13" s="15"/>
      <c r="R13" s="15"/>
      <c r="S13" s="15"/>
      <c r="T13" s="15"/>
      <c r="U13" s="60"/>
      <c r="V13" s="60"/>
      <c r="W13" s="60"/>
      <c r="X13" s="60"/>
      <c r="Y13" s="60"/>
      <c r="Z13" s="60"/>
      <c r="AA13" s="60"/>
    </row>
    <row r="14" ht="22.5" customHeight="1">
      <c r="A14" s="156">
        <v>13.0</v>
      </c>
      <c r="B14" s="233">
        <v>46106.0</v>
      </c>
      <c r="C14" s="241" t="s">
        <v>9205</v>
      </c>
      <c r="D14" s="234" t="s">
        <v>186</v>
      </c>
      <c r="E14" s="235">
        <v>10.0</v>
      </c>
      <c r="F14" s="156">
        <v>2.0</v>
      </c>
      <c r="G14" s="240">
        <f t="shared" si="1"/>
        <v>20</v>
      </c>
      <c r="H14" s="236" t="s">
        <v>5692</v>
      </c>
      <c r="I14" s="236" t="s">
        <v>9204</v>
      </c>
      <c r="J14" s="155">
        <v>4907820.0</v>
      </c>
      <c r="K14" s="242"/>
      <c r="L14" s="15"/>
      <c r="M14" s="15"/>
      <c r="N14" s="15"/>
      <c r="O14" s="15"/>
      <c r="P14" s="15"/>
      <c r="Q14" s="15"/>
      <c r="R14" s="15"/>
      <c r="S14" s="15"/>
      <c r="T14" s="15"/>
      <c r="U14" s="60"/>
      <c r="V14" s="60"/>
      <c r="W14" s="60"/>
      <c r="X14" s="60"/>
      <c r="Y14" s="60"/>
      <c r="Z14" s="60"/>
      <c r="AA14" s="60"/>
    </row>
    <row r="15" ht="22.5" customHeight="1">
      <c r="A15" s="156">
        <v>14.0</v>
      </c>
      <c r="B15" s="233">
        <v>46107.0</v>
      </c>
      <c r="C15" s="239"/>
      <c r="D15" s="234" t="s">
        <v>184</v>
      </c>
      <c r="E15" s="235">
        <v>5.0</v>
      </c>
      <c r="F15" s="156">
        <v>1.0</v>
      </c>
      <c r="G15" s="240">
        <f t="shared" si="1"/>
        <v>5</v>
      </c>
      <c r="H15" s="236" t="s">
        <v>3675</v>
      </c>
      <c r="I15" s="236" t="s">
        <v>9206</v>
      </c>
      <c r="J15" s="237"/>
      <c r="K15" s="238" t="s">
        <v>9198</v>
      </c>
      <c r="L15" s="15"/>
      <c r="M15" s="15"/>
      <c r="N15" s="15"/>
      <c r="O15" s="15"/>
      <c r="P15" s="15"/>
      <c r="Q15" s="15"/>
      <c r="R15" s="15"/>
      <c r="S15" s="15"/>
      <c r="T15" s="15"/>
      <c r="U15" s="60"/>
      <c r="V15" s="60"/>
      <c r="W15" s="60"/>
      <c r="X15" s="60"/>
      <c r="Y15" s="60"/>
      <c r="Z15" s="60"/>
      <c r="AA15" s="60"/>
    </row>
    <row r="16" ht="22.5" customHeight="1">
      <c r="A16" s="156">
        <v>15.0</v>
      </c>
      <c r="B16" s="233">
        <v>46108.0</v>
      </c>
      <c r="C16" s="239"/>
      <c r="D16" s="234" t="s">
        <v>184</v>
      </c>
      <c r="E16" s="235">
        <v>5.0</v>
      </c>
      <c r="F16" s="156">
        <v>1.0</v>
      </c>
      <c r="G16" s="240">
        <f t="shared" si="1"/>
        <v>5</v>
      </c>
      <c r="H16" s="236" t="s">
        <v>3675</v>
      </c>
      <c r="I16" s="236" t="s">
        <v>9197</v>
      </c>
      <c r="J16" s="237"/>
      <c r="K16" s="238" t="s">
        <v>9198</v>
      </c>
      <c r="L16" s="15"/>
      <c r="M16" s="15"/>
      <c r="N16" s="15"/>
      <c r="O16" s="15"/>
      <c r="P16" s="15"/>
      <c r="Q16" s="15"/>
      <c r="R16" s="15"/>
      <c r="S16" s="15"/>
      <c r="T16" s="15"/>
      <c r="U16" s="60"/>
      <c r="V16" s="60"/>
      <c r="W16" s="60"/>
      <c r="X16" s="60"/>
      <c r="Y16" s="60"/>
      <c r="Z16" s="60"/>
      <c r="AA16" s="60"/>
    </row>
    <row r="17" ht="22.5" customHeight="1">
      <c r="A17" s="243"/>
      <c r="B17" s="244"/>
      <c r="C17" s="245"/>
      <c r="D17" s="245"/>
      <c r="E17" s="246"/>
      <c r="F17" s="243"/>
      <c r="G17" s="246">
        <f t="shared" si="1"/>
        <v>0</v>
      </c>
      <c r="H17" s="247"/>
      <c r="I17" s="247"/>
      <c r="J17" s="248"/>
      <c r="K17" s="247"/>
      <c r="L17" s="15"/>
      <c r="M17" s="15"/>
      <c r="N17" s="15"/>
      <c r="O17" s="15"/>
      <c r="P17" s="15"/>
      <c r="Q17" s="15"/>
      <c r="R17" s="15"/>
      <c r="S17" s="15"/>
      <c r="T17" s="18"/>
    </row>
    <row r="18" ht="22.5" customHeight="1">
      <c r="A18" s="243"/>
      <c r="B18" s="244"/>
      <c r="C18" s="245"/>
      <c r="D18" s="245"/>
      <c r="E18" s="246"/>
      <c r="F18" s="243"/>
      <c r="G18" s="246">
        <f t="shared" si="1"/>
        <v>0</v>
      </c>
      <c r="H18" s="247"/>
      <c r="I18" s="247"/>
      <c r="J18" s="248"/>
      <c r="K18" s="247"/>
      <c r="L18" s="15"/>
      <c r="M18" s="15"/>
      <c r="N18" s="15"/>
      <c r="O18" s="15"/>
      <c r="P18" s="15"/>
      <c r="Q18" s="15"/>
      <c r="R18" s="15"/>
      <c r="S18" s="15"/>
      <c r="T18" s="18"/>
    </row>
    <row r="19" ht="22.5" customHeight="1">
      <c r="A19" s="243"/>
      <c r="B19" s="244"/>
      <c r="C19" s="245"/>
      <c r="D19" s="245"/>
      <c r="E19" s="246"/>
      <c r="F19" s="243"/>
      <c r="G19" s="246">
        <f t="shared" si="1"/>
        <v>0</v>
      </c>
      <c r="H19" s="247"/>
      <c r="I19" s="247"/>
      <c r="J19" s="248"/>
      <c r="K19" s="247"/>
      <c r="L19" s="15"/>
      <c r="M19" s="15"/>
      <c r="N19" s="15"/>
      <c r="O19" s="15"/>
      <c r="P19" s="15"/>
      <c r="Q19" s="15"/>
      <c r="R19" s="15"/>
      <c r="S19" s="15"/>
      <c r="T19" s="18"/>
    </row>
    <row r="20">
      <c r="A20" s="15"/>
      <c r="B20" s="15"/>
      <c r="C20" s="249"/>
      <c r="D20" s="249"/>
      <c r="E20" s="250"/>
      <c r="F20" s="251"/>
      <c r="G20" s="250"/>
      <c r="H20" s="15"/>
      <c r="I20" s="15"/>
      <c r="J20" s="15"/>
      <c r="K20" s="15"/>
      <c r="L20" s="15"/>
      <c r="M20" s="15"/>
      <c r="N20" s="15"/>
      <c r="O20" s="15"/>
      <c r="P20" s="15"/>
      <c r="Q20" s="15"/>
      <c r="R20" s="15"/>
      <c r="S20" s="15"/>
      <c r="T20" s="18"/>
    </row>
    <row r="21">
      <c r="A21" s="15"/>
      <c r="B21" s="15"/>
      <c r="C21" s="249"/>
      <c r="D21" s="249"/>
      <c r="E21" s="250"/>
      <c r="F21" s="251"/>
      <c r="G21" s="250"/>
      <c r="H21" s="15"/>
      <c r="I21" s="15"/>
      <c r="J21" s="15"/>
      <c r="K21" s="15"/>
      <c r="L21" s="15"/>
      <c r="M21" s="15"/>
      <c r="N21" s="15"/>
      <c r="O21" s="15"/>
      <c r="P21" s="15"/>
      <c r="Q21" s="15"/>
      <c r="R21" s="15"/>
      <c r="S21" s="15"/>
      <c r="T21" s="18"/>
    </row>
    <row r="22">
      <c r="A22" s="15"/>
      <c r="B22" s="15"/>
      <c r="C22" s="249"/>
      <c r="D22" s="249"/>
      <c r="E22" s="250"/>
      <c r="F22" s="251"/>
      <c r="G22" s="250"/>
      <c r="H22" s="15"/>
      <c r="I22" s="15"/>
      <c r="J22" s="15"/>
      <c r="K22" s="15"/>
      <c r="L22" s="15"/>
      <c r="M22" s="15"/>
      <c r="N22" s="15"/>
      <c r="O22" s="15"/>
      <c r="P22" s="15"/>
      <c r="Q22" s="15"/>
      <c r="R22" s="15"/>
      <c r="S22" s="15"/>
      <c r="T22" s="18"/>
    </row>
    <row r="23">
      <c r="A23" s="15"/>
      <c r="B23" s="15"/>
      <c r="C23" s="249"/>
      <c r="D23" s="249"/>
      <c r="E23" s="250"/>
      <c r="F23" s="251"/>
      <c r="G23" s="250"/>
      <c r="H23" s="15"/>
      <c r="I23" s="15"/>
      <c r="J23" s="15"/>
      <c r="K23" s="15"/>
      <c r="L23" s="15"/>
      <c r="M23" s="15"/>
      <c r="N23" s="15"/>
      <c r="O23" s="15"/>
      <c r="P23" s="15"/>
      <c r="Q23" s="15"/>
      <c r="R23" s="15"/>
      <c r="S23" s="15"/>
      <c r="T23" s="18"/>
    </row>
    <row r="24">
      <c r="A24" s="15"/>
      <c r="B24" s="15"/>
      <c r="C24" s="249"/>
      <c r="D24" s="249"/>
      <c r="E24" s="250"/>
      <c r="F24" s="251"/>
      <c r="G24" s="250"/>
      <c r="H24" s="15"/>
      <c r="I24" s="15"/>
      <c r="J24" s="15"/>
      <c r="K24" s="15"/>
      <c r="L24" s="15"/>
      <c r="M24" s="15"/>
      <c r="N24" s="15"/>
      <c r="O24" s="15"/>
      <c r="P24" s="15"/>
      <c r="Q24" s="15"/>
      <c r="R24" s="15"/>
      <c r="S24" s="15"/>
      <c r="T24" s="18"/>
    </row>
    <row r="25">
      <c r="A25" s="15"/>
      <c r="B25" s="15"/>
      <c r="C25" s="249"/>
      <c r="D25" s="249"/>
      <c r="E25" s="250"/>
      <c r="F25" s="251"/>
      <c r="G25" s="250"/>
      <c r="H25" s="15"/>
      <c r="I25" s="15"/>
      <c r="J25" s="15"/>
      <c r="K25" s="15"/>
      <c r="L25" s="15"/>
      <c r="M25" s="15"/>
      <c r="N25" s="15"/>
      <c r="O25" s="15"/>
      <c r="P25" s="15"/>
      <c r="Q25" s="15"/>
      <c r="R25" s="15"/>
      <c r="S25" s="15"/>
      <c r="T25" s="18"/>
    </row>
    <row r="26">
      <c r="A26" s="15"/>
      <c r="B26" s="15"/>
      <c r="C26" s="249"/>
      <c r="D26" s="249"/>
      <c r="E26" s="250"/>
      <c r="F26" s="251"/>
      <c r="G26" s="250"/>
      <c r="H26" s="15"/>
      <c r="I26" s="15"/>
      <c r="J26" s="15"/>
      <c r="K26" s="15"/>
      <c r="L26" s="15"/>
      <c r="M26" s="15"/>
      <c r="N26" s="15"/>
      <c r="O26" s="15"/>
      <c r="P26" s="15"/>
      <c r="Q26" s="15"/>
      <c r="R26" s="15"/>
      <c r="S26" s="15"/>
      <c r="T26" s="18"/>
    </row>
    <row r="27">
      <c r="A27" s="60"/>
      <c r="B27" s="60"/>
      <c r="C27" s="252"/>
      <c r="D27" s="252"/>
      <c r="E27" s="253"/>
      <c r="F27" s="254"/>
      <c r="G27" s="253"/>
    </row>
    <row r="28">
      <c r="A28" s="60"/>
      <c r="B28" s="60"/>
      <c r="C28" s="252"/>
      <c r="D28" s="252"/>
      <c r="E28" s="253"/>
      <c r="F28" s="254"/>
      <c r="G28" s="253"/>
    </row>
    <row r="29">
      <c r="A29" s="60"/>
      <c r="B29" s="60"/>
      <c r="C29" s="252"/>
      <c r="D29" s="252"/>
      <c r="E29" s="253"/>
      <c r="F29" s="254"/>
      <c r="G29" s="253"/>
    </row>
    <row r="30">
      <c r="A30" s="60"/>
      <c r="B30" s="60"/>
      <c r="C30" s="252"/>
      <c r="D30" s="252"/>
      <c r="E30" s="253"/>
      <c r="F30" s="254"/>
      <c r="G30" s="253"/>
    </row>
    <row r="31">
      <c r="A31" s="60"/>
      <c r="B31" s="60"/>
      <c r="C31" s="252"/>
      <c r="D31" s="252"/>
      <c r="E31" s="253"/>
      <c r="F31" s="254"/>
      <c r="G31" s="253"/>
    </row>
    <row r="32">
      <c r="A32" s="60"/>
      <c r="B32" s="60"/>
      <c r="C32" s="252"/>
      <c r="D32" s="252"/>
      <c r="E32" s="253"/>
      <c r="F32" s="254"/>
      <c r="G32" s="253"/>
    </row>
    <row r="33">
      <c r="A33" s="60"/>
      <c r="B33" s="60"/>
      <c r="C33" s="252"/>
      <c r="D33" s="252"/>
      <c r="E33" s="253"/>
      <c r="F33" s="254"/>
      <c r="G33" s="253"/>
    </row>
    <row r="34">
      <c r="A34" s="60"/>
      <c r="B34" s="60"/>
      <c r="C34" s="252"/>
      <c r="D34" s="252"/>
      <c r="E34" s="253"/>
      <c r="F34" s="254"/>
      <c r="G34" s="253"/>
    </row>
    <row r="35">
      <c r="A35" s="60"/>
      <c r="B35" s="60"/>
      <c r="C35" s="252"/>
      <c r="D35" s="252"/>
      <c r="E35" s="253"/>
      <c r="F35" s="254"/>
      <c r="G35" s="253"/>
    </row>
    <row r="36">
      <c r="A36" s="60"/>
      <c r="B36" s="60"/>
      <c r="C36" s="252"/>
      <c r="D36" s="252"/>
      <c r="E36" s="253"/>
      <c r="F36" s="254"/>
      <c r="G36" s="253"/>
    </row>
    <row r="37">
      <c r="A37" s="60"/>
      <c r="B37" s="60"/>
      <c r="C37" s="252"/>
      <c r="D37" s="252"/>
      <c r="E37" s="253"/>
      <c r="F37" s="254"/>
      <c r="G37" s="253"/>
    </row>
    <row r="38">
      <c r="A38" s="60"/>
      <c r="B38" s="60"/>
      <c r="C38" s="252"/>
      <c r="D38" s="252"/>
      <c r="E38" s="253"/>
      <c r="F38" s="254"/>
      <c r="G38" s="253"/>
    </row>
    <row r="39">
      <c r="A39" s="60"/>
      <c r="B39" s="60"/>
      <c r="C39" s="252"/>
      <c r="D39" s="252"/>
      <c r="E39" s="253"/>
      <c r="F39" s="254"/>
      <c r="G39" s="253"/>
    </row>
    <row r="40">
      <c r="A40" s="60"/>
      <c r="B40" s="60"/>
      <c r="C40" s="252"/>
      <c r="D40" s="252"/>
      <c r="E40" s="253"/>
      <c r="F40" s="254"/>
      <c r="G40" s="253"/>
    </row>
    <row r="41">
      <c r="A41" s="60"/>
      <c r="B41" s="60"/>
      <c r="C41" s="252"/>
      <c r="D41" s="252"/>
      <c r="E41" s="253"/>
      <c r="F41" s="254"/>
      <c r="G41" s="253"/>
    </row>
    <row r="42">
      <c r="A42" s="60"/>
      <c r="B42" s="60"/>
      <c r="C42" s="252"/>
      <c r="D42" s="252"/>
      <c r="E42" s="253"/>
      <c r="F42" s="254"/>
      <c r="G42" s="253"/>
    </row>
    <row r="43">
      <c r="A43" s="60"/>
      <c r="B43" s="60"/>
      <c r="C43" s="252"/>
      <c r="D43" s="252"/>
      <c r="E43" s="253"/>
      <c r="F43" s="254"/>
      <c r="G43" s="253"/>
    </row>
    <row r="44">
      <c r="A44" s="60"/>
      <c r="B44" s="60"/>
      <c r="C44" s="252"/>
      <c r="D44" s="252"/>
      <c r="E44" s="253"/>
      <c r="F44" s="254"/>
      <c r="G44" s="253"/>
    </row>
    <row r="45">
      <c r="A45" s="60"/>
      <c r="B45" s="60"/>
      <c r="C45" s="252"/>
      <c r="D45" s="252"/>
      <c r="E45" s="253"/>
      <c r="F45" s="254"/>
      <c r="G45" s="253"/>
    </row>
    <row r="46">
      <c r="A46" s="60"/>
      <c r="B46" s="60"/>
      <c r="C46" s="252"/>
      <c r="D46" s="252"/>
      <c r="E46" s="253"/>
      <c r="F46" s="254"/>
      <c r="G46" s="253"/>
    </row>
    <row r="47">
      <c r="A47" s="60"/>
      <c r="B47" s="60"/>
      <c r="C47" s="252"/>
      <c r="D47" s="252"/>
      <c r="E47" s="253"/>
      <c r="F47" s="254"/>
      <c r="G47" s="253"/>
    </row>
    <row r="48">
      <c r="A48" s="60"/>
      <c r="B48" s="60"/>
      <c r="C48" s="252"/>
      <c r="D48" s="252"/>
      <c r="E48" s="253"/>
      <c r="F48" s="254"/>
      <c r="G48" s="253"/>
    </row>
    <row r="49">
      <c r="A49" s="60"/>
      <c r="B49" s="60"/>
      <c r="C49" s="252"/>
      <c r="D49" s="252"/>
      <c r="E49" s="253"/>
      <c r="F49" s="254"/>
      <c r="G49" s="253"/>
    </row>
    <row r="50">
      <c r="A50" s="60"/>
      <c r="B50" s="60"/>
      <c r="C50" s="252"/>
      <c r="D50" s="252"/>
      <c r="E50" s="253"/>
      <c r="F50" s="254"/>
      <c r="G50" s="253"/>
    </row>
    <row r="51">
      <c r="A51" s="60"/>
      <c r="B51" s="60"/>
      <c r="C51" s="252"/>
      <c r="D51" s="252"/>
      <c r="E51" s="253"/>
      <c r="F51" s="254"/>
      <c r="G51" s="253"/>
    </row>
    <row r="52">
      <c r="A52" s="60"/>
      <c r="B52" s="60"/>
      <c r="C52" s="252"/>
      <c r="D52" s="252"/>
      <c r="E52" s="253"/>
      <c r="F52" s="254"/>
      <c r="G52" s="253"/>
    </row>
    <row r="53">
      <c r="A53" s="60"/>
      <c r="B53" s="60"/>
      <c r="C53" s="252"/>
      <c r="D53" s="252"/>
      <c r="E53" s="253"/>
      <c r="F53" s="254"/>
      <c r="G53" s="253"/>
    </row>
    <row r="54">
      <c r="A54" s="60"/>
      <c r="B54" s="60"/>
      <c r="C54" s="252"/>
      <c r="D54" s="252"/>
      <c r="E54" s="253"/>
      <c r="F54" s="254"/>
      <c r="G54" s="253"/>
    </row>
    <row r="55">
      <c r="A55" s="60"/>
      <c r="B55" s="60"/>
      <c r="C55" s="252"/>
      <c r="D55" s="252"/>
      <c r="E55" s="253"/>
      <c r="F55" s="254"/>
      <c r="G55" s="253"/>
    </row>
    <row r="56">
      <c r="A56" s="60"/>
      <c r="B56" s="60"/>
      <c r="C56" s="252"/>
      <c r="D56" s="252"/>
      <c r="E56" s="253"/>
      <c r="F56" s="254"/>
      <c r="G56" s="253"/>
    </row>
    <row r="57">
      <c r="A57" s="60"/>
      <c r="B57" s="60"/>
      <c r="C57" s="252"/>
      <c r="D57" s="252"/>
      <c r="E57" s="253"/>
      <c r="F57" s="254"/>
      <c r="G57" s="253"/>
    </row>
    <row r="58">
      <c r="A58" s="60"/>
      <c r="B58" s="60"/>
      <c r="C58" s="252"/>
      <c r="D58" s="252"/>
      <c r="E58" s="253"/>
      <c r="F58" s="254"/>
      <c r="G58" s="253"/>
    </row>
    <row r="59">
      <c r="A59" s="60"/>
      <c r="B59" s="60"/>
      <c r="C59" s="252"/>
      <c r="D59" s="252"/>
      <c r="E59" s="253"/>
      <c r="F59" s="254"/>
      <c r="G59" s="253"/>
    </row>
    <row r="60">
      <c r="A60" s="60"/>
      <c r="B60" s="60"/>
      <c r="C60" s="252"/>
      <c r="D60" s="252"/>
      <c r="E60" s="253"/>
      <c r="F60" s="254"/>
      <c r="G60" s="253"/>
    </row>
    <row r="61">
      <c r="A61" s="60"/>
      <c r="B61" s="60"/>
      <c r="C61" s="252"/>
      <c r="D61" s="252"/>
      <c r="E61" s="253"/>
      <c r="F61" s="254"/>
      <c r="G61" s="253"/>
    </row>
    <row r="62">
      <c r="A62" s="60"/>
      <c r="B62" s="60"/>
      <c r="C62" s="252"/>
      <c r="D62" s="252"/>
      <c r="E62" s="253"/>
      <c r="F62" s="254"/>
      <c r="G62" s="253"/>
    </row>
    <row r="63">
      <c r="A63" s="60"/>
      <c r="B63" s="60"/>
      <c r="C63" s="252"/>
      <c r="D63" s="252"/>
      <c r="E63" s="253"/>
      <c r="F63" s="254"/>
      <c r="G63" s="253"/>
    </row>
    <row r="64">
      <c r="A64" s="60"/>
      <c r="B64" s="60"/>
      <c r="C64" s="252"/>
      <c r="D64" s="252"/>
      <c r="E64" s="253"/>
      <c r="F64" s="254"/>
      <c r="G64" s="253"/>
    </row>
    <row r="65">
      <c r="A65" s="60"/>
      <c r="B65" s="60"/>
      <c r="C65" s="252"/>
      <c r="D65" s="252"/>
      <c r="E65" s="253"/>
      <c r="F65" s="254"/>
      <c r="G65" s="253"/>
    </row>
    <row r="66">
      <c r="A66" s="60"/>
      <c r="B66" s="60"/>
      <c r="C66" s="252"/>
      <c r="D66" s="252"/>
      <c r="E66" s="253"/>
      <c r="F66" s="254"/>
      <c r="G66" s="253"/>
    </row>
    <row r="67">
      <c r="A67" s="60"/>
      <c r="B67" s="60"/>
      <c r="C67" s="252"/>
      <c r="D67" s="252"/>
      <c r="E67" s="253"/>
      <c r="F67" s="254"/>
      <c r="G67" s="253"/>
    </row>
    <row r="68">
      <c r="A68" s="60"/>
      <c r="B68" s="60"/>
      <c r="C68" s="252"/>
      <c r="D68" s="252"/>
      <c r="E68" s="253"/>
      <c r="F68" s="254"/>
      <c r="G68" s="253"/>
    </row>
    <row r="69">
      <c r="A69" s="60"/>
      <c r="B69" s="60"/>
      <c r="C69" s="252"/>
      <c r="D69" s="252"/>
      <c r="E69" s="253"/>
      <c r="F69" s="254"/>
      <c r="G69" s="253"/>
    </row>
    <row r="70">
      <c r="A70" s="60"/>
      <c r="B70" s="60"/>
      <c r="C70" s="252"/>
      <c r="D70" s="252"/>
      <c r="E70" s="253"/>
      <c r="F70" s="254"/>
      <c r="G70" s="253"/>
    </row>
    <row r="71">
      <c r="A71" s="60"/>
      <c r="B71" s="60"/>
      <c r="C71" s="252"/>
      <c r="D71" s="252"/>
      <c r="E71" s="253"/>
      <c r="F71" s="254"/>
      <c r="G71" s="253"/>
    </row>
    <row r="72">
      <c r="A72" s="60"/>
      <c r="B72" s="60"/>
      <c r="C72" s="252"/>
      <c r="D72" s="252"/>
      <c r="E72" s="253"/>
      <c r="F72" s="254"/>
      <c r="G72" s="253"/>
    </row>
    <row r="73">
      <c r="A73" s="60"/>
      <c r="B73" s="60"/>
      <c r="C73" s="252"/>
      <c r="D73" s="252"/>
      <c r="E73" s="253"/>
      <c r="F73" s="254"/>
      <c r="G73" s="253"/>
    </row>
    <row r="74">
      <c r="A74" s="60"/>
      <c r="B74" s="60"/>
      <c r="C74" s="252"/>
      <c r="D74" s="252"/>
      <c r="E74" s="253"/>
      <c r="F74" s="254"/>
      <c r="G74" s="253"/>
    </row>
    <row r="75">
      <c r="A75" s="60"/>
      <c r="B75" s="60"/>
      <c r="C75" s="252"/>
      <c r="D75" s="252"/>
      <c r="E75" s="253"/>
      <c r="F75" s="254"/>
      <c r="G75" s="253"/>
    </row>
    <row r="76">
      <c r="A76" s="60"/>
      <c r="B76" s="60"/>
      <c r="C76" s="252"/>
      <c r="D76" s="252"/>
      <c r="E76" s="253"/>
      <c r="F76" s="254"/>
      <c r="G76" s="253"/>
    </row>
    <row r="77">
      <c r="A77" s="60"/>
      <c r="B77" s="60"/>
      <c r="C77" s="252"/>
      <c r="D77" s="252"/>
      <c r="E77" s="253"/>
      <c r="F77" s="254"/>
      <c r="G77" s="253"/>
    </row>
    <row r="78">
      <c r="A78" s="60"/>
      <c r="B78" s="60"/>
      <c r="C78" s="252"/>
      <c r="D78" s="252"/>
      <c r="E78" s="253"/>
      <c r="F78" s="254"/>
      <c r="G78" s="253"/>
    </row>
    <row r="79">
      <c r="A79" s="60"/>
      <c r="B79" s="60"/>
      <c r="C79" s="252"/>
      <c r="D79" s="252"/>
      <c r="E79" s="253"/>
      <c r="F79" s="254"/>
      <c r="G79" s="253"/>
    </row>
    <row r="80">
      <c r="A80" s="60"/>
      <c r="B80" s="60"/>
      <c r="C80" s="252"/>
      <c r="D80" s="252"/>
      <c r="E80" s="253"/>
      <c r="F80" s="254"/>
      <c r="G80" s="253"/>
    </row>
    <row r="81">
      <c r="A81" s="60"/>
      <c r="B81" s="60"/>
      <c r="C81" s="252"/>
      <c r="D81" s="252"/>
      <c r="E81" s="253"/>
      <c r="F81" s="254"/>
      <c r="G81" s="253"/>
    </row>
    <row r="82">
      <c r="A82" s="60"/>
      <c r="B82" s="60"/>
      <c r="C82" s="252"/>
      <c r="D82" s="252"/>
      <c r="E82" s="253"/>
      <c r="F82" s="254"/>
      <c r="G82" s="253"/>
    </row>
    <row r="83">
      <c r="A83" s="60"/>
      <c r="B83" s="60"/>
      <c r="C83" s="252"/>
      <c r="D83" s="252"/>
      <c r="E83" s="253"/>
      <c r="F83" s="254"/>
      <c r="G83" s="253"/>
    </row>
    <row r="84">
      <c r="A84" s="60"/>
      <c r="B84" s="60"/>
      <c r="C84" s="252"/>
      <c r="D84" s="252"/>
      <c r="E84" s="253"/>
      <c r="F84" s="254"/>
      <c r="G84" s="253"/>
    </row>
    <row r="85">
      <c r="A85" s="60"/>
      <c r="B85" s="60"/>
      <c r="C85" s="252"/>
      <c r="D85" s="252"/>
      <c r="E85" s="253"/>
      <c r="F85" s="254"/>
      <c r="G85" s="253"/>
    </row>
    <row r="86">
      <c r="A86" s="60"/>
      <c r="B86" s="60"/>
      <c r="C86" s="252"/>
      <c r="D86" s="252"/>
      <c r="E86" s="253"/>
      <c r="F86" s="254"/>
      <c r="G86" s="253"/>
    </row>
    <row r="87">
      <c r="A87" s="60"/>
      <c r="B87" s="60"/>
      <c r="C87" s="252"/>
      <c r="D87" s="252"/>
      <c r="E87" s="253"/>
      <c r="F87" s="254"/>
      <c r="G87" s="253"/>
    </row>
    <row r="88">
      <c r="A88" s="60"/>
      <c r="B88" s="60"/>
      <c r="C88" s="252"/>
      <c r="D88" s="252"/>
      <c r="E88" s="253"/>
      <c r="F88" s="254"/>
      <c r="G88" s="253"/>
    </row>
    <row r="89">
      <c r="A89" s="60"/>
      <c r="B89" s="60"/>
      <c r="C89" s="252"/>
      <c r="D89" s="252"/>
      <c r="E89" s="253"/>
      <c r="F89" s="254"/>
      <c r="G89" s="253"/>
    </row>
    <row r="90">
      <c r="A90" s="60"/>
      <c r="B90" s="60"/>
      <c r="C90" s="252"/>
      <c r="D90" s="252"/>
      <c r="E90" s="253"/>
      <c r="F90" s="254"/>
      <c r="G90" s="253"/>
    </row>
    <row r="91">
      <c r="A91" s="60"/>
      <c r="B91" s="60"/>
      <c r="C91" s="252"/>
      <c r="D91" s="252"/>
      <c r="E91" s="253"/>
      <c r="F91" s="254"/>
      <c r="G91" s="253"/>
    </row>
    <row r="92">
      <c r="A92" s="60"/>
      <c r="B92" s="60"/>
      <c r="C92" s="252"/>
      <c r="D92" s="252"/>
      <c r="E92" s="253"/>
      <c r="F92" s="254"/>
      <c r="G92" s="253"/>
    </row>
    <row r="93">
      <c r="A93" s="60"/>
      <c r="B93" s="60"/>
      <c r="C93" s="252"/>
      <c r="D93" s="252"/>
      <c r="E93" s="253"/>
      <c r="F93" s="254"/>
      <c r="G93" s="253"/>
    </row>
    <row r="94">
      <c r="A94" s="60"/>
      <c r="B94" s="60"/>
      <c r="C94" s="252"/>
      <c r="D94" s="252"/>
      <c r="E94" s="253"/>
      <c r="F94" s="254"/>
      <c r="G94" s="253"/>
    </row>
    <row r="95">
      <c r="A95" s="60"/>
      <c r="B95" s="60"/>
      <c r="C95" s="252"/>
      <c r="D95" s="252"/>
      <c r="E95" s="253"/>
      <c r="F95" s="254"/>
      <c r="G95" s="253"/>
    </row>
    <row r="96">
      <c r="A96" s="60"/>
      <c r="B96" s="60"/>
      <c r="C96" s="252"/>
      <c r="D96" s="252"/>
      <c r="E96" s="253"/>
      <c r="F96" s="254"/>
      <c r="G96" s="253"/>
    </row>
    <row r="97">
      <c r="A97" s="60"/>
      <c r="B97" s="60"/>
      <c r="C97" s="252"/>
      <c r="D97" s="252"/>
      <c r="E97" s="253"/>
      <c r="F97" s="254"/>
      <c r="G97" s="253"/>
    </row>
    <row r="98">
      <c r="A98" s="60"/>
      <c r="B98" s="60"/>
      <c r="C98" s="252"/>
      <c r="D98" s="252"/>
      <c r="E98" s="253"/>
      <c r="F98" s="254"/>
      <c r="G98" s="253"/>
    </row>
    <row r="99">
      <c r="A99" s="60"/>
      <c r="B99" s="60"/>
      <c r="C99" s="252"/>
      <c r="D99" s="252"/>
      <c r="E99" s="253"/>
      <c r="F99" s="254"/>
      <c r="G99" s="253"/>
    </row>
    <row r="100">
      <c r="A100" s="60"/>
      <c r="B100" s="60"/>
      <c r="C100" s="252"/>
      <c r="D100" s="252"/>
      <c r="E100" s="253"/>
      <c r="F100" s="254"/>
      <c r="G100" s="253"/>
    </row>
    <row r="101">
      <c r="A101" s="60"/>
      <c r="B101" s="60"/>
      <c r="C101" s="252"/>
      <c r="D101" s="252"/>
      <c r="E101" s="253"/>
      <c r="F101" s="254"/>
      <c r="G101" s="253"/>
    </row>
    <row r="102">
      <c r="A102" s="60"/>
      <c r="B102" s="60"/>
      <c r="C102" s="252"/>
      <c r="D102" s="252"/>
      <c r="E102" s="253"/>
      <c r="F102" s="254"/>
      <c r="G102" s="253"/>
    </row>
    <row r="103">
      <c r="A103" s="60"/>
      <c r="B103" s="60"/>
      <c r="C103" s="252"/>
      <c r="D103" s="252"/>
      <c r="E103" s="253"/>
      <c r="F103" s="254"/>
      <c r="G103" s="253"/>
    </row>
    <row r="104">
      <c r="A104" s="60"/>
      <c r="B104" s="60"/>
      <c r="C104" s="252"/>
      <c r="D104" s="252"/>
      <c r="E104" s="253"/>
      <c r="F104" s="254"/>
      <c r="G104" s="253"/>
    </row>
    <row r="105">
      <c r="A105" s="60"/>
      <c r="B105" s="60"/>
      <c r="C105" s="252"/>
      <c r="D105" s="252"/>
      <c r="E105" s="253"/>
      <c r="F105" s="254"/>
      <c r="G105" s="253"/>
    </row>
    <row r="106">
      <c r="A106" s="60"/>
      <c r="B106" s="60"/>
      <c r="C106" s="252"/>
      <c r="D106" s="252"/>
      <c r="E106" s="253"/>
      <c r="F106" s="254"/>
      <c r="G106" s="253"/>
    </row>
    <row r="107">
      <c r="A107" s="60"/>
      <c r="B107" s="60"/>
      <c r="C107" s="252"/>
      <c r="D107" s="252"/>
      <c r="E107" s="253"/>
      <c r="F107" s="254"/>
      <c r="G107" s="253"/>
    </row>
    <row r="108">
      <c r="A108" s="60"/>
      <c r="B108" s="60"/>
      <c r="C108" s="252"/>
      <c r="D108" s="252"/>
      <c r="E108" s="253"/>
      <c r="F108" s="254"/>
      <c r="G108" s="253"/>
    </row>
    <row r="109">
      <c r="A109" s="60"/>
      <c r="B109" s="60"/>
      <c r="C109" s="252"/>
      <c r="D109" s="252"/>
      <c r="E109" s="253"/>
      <c r="F109" s="254"/>
      <c r="G109" s="253"/>
    </row>
    <row r="110">
      <c r="A110" s="60"/>
      <c r="B110" s="60"/>
      <c r="C110" s="252"/>
      <c r="D110" s="252"/>
      <c r="E110" s="253"/>
      <c r="F110" s="254"/>
      <c r="G110" s="253"/>
    </row>
    <row r="111">
      <c r="A111" s="60"/>
      <c r="B111" s="60"/>
      <c r="C111" s="252"/>
      <c r="D111" s="252"/>
      <c r="E111" s="253"/>
      <c r="F111" s="254"/>
      <c r="G111" s="253"/>
    </row>
    <row r="112">
      <c r="A112" s="60"/>
      <c r="B112" s="60"/>
      <c r="C112" s="252"/>
      <c r="D112" s="252"/>
      <c r="E112" s="253"/>
      <c r="F112" s="254"/>
      <c r="G112" s="253"/>
    </row>
    <row r="113">
      <c r="A113" s="60"/>
      <c r="B113" s="60"/>
      <c r="C113" s="252"/>
      <c r="D113" s="252"/>
      <c r="E113" s="253"/>
      <c r="F113" s="254"/>
      <c r="G113" s="253"/>
    </row>
    <row r="114">
      <c r="A114" s="60"/>
      <c r="B114" s="60"/>
      <c r="C114" s="252"/>
      <c r="D114" s="252"/>
      <c r="E114" s="253"/>
      <c r="F114" s="254"/>
      <c r="G114" s="253"/>
    </row>
    <row r="115">
      <c r="A115" s="60"/>
      <c r="B115" s="60"/>
      <c r="C115" s="252"/>
      <c r="D115" s="252"/>
      <c r="E115" s="253"/>
      <c r="F115" s="254"/>
      <c r="G115" s="253"/>
    </row>
    <row r="116">
      <c r="A116" s="60"/>
      <c r="B116" s="60"/>
      <c r="C116" s="252"/>
      <c r="D116" s="252"/>
      <c r="E116" s="253"/>
      <c r="F116" s="254"/>
      <c r="G116" s="253"/>
    </row>
    <row r="117">
      <c r="A117" s="60"/>
      <c r="B117" s="60"/>
      <c r="C117" s="252"/>
      <c r="D117" s="252"/>
      <c r="E117" s="253"/>
      <c r="F117" s="254"/>
      <c r="G117" s="253"/>
    </row>
    <row r="118">
      <c r="A118" s="60"/>
      <c r="B118" s="60"/>
      <c r="C118" s="252"/>
      <c r="D118" s="252"/>
      <c r="E118" s="253"/>
      <c r="F118" s="254"/>
      <c r="G118" s="253"/>
    </row>
    <row r="119">
      <c r="A119" s="60"/>
      <c r="B119" s="60"/>
      <c r="C119" s="252"/>
      <c r="D119" s="252"/>
      <c r="E119" s="253"/>
      <c r="F119" s="254"/>
      <c r="G119" s="253"/>
    </row>
    <row r="120">
      <c r="A120" s="60"/>
      <c r="B120" s="60"/>
      <c r="C120" s="252"/>
      <c r="D120" s="252"/>
      <c r="E120" s="253"/>
      <c r="F120" s="254"/>
      <c r="G120" s="253"/>
    </row>
    <row r="121">
      <c r="A121" s="60"/>
      <c r="B121" s="60"/>
      <c r="C121" s="252"/>
      <c r="D121" s="252"/>
      <c r="E121" s="253"/>
      <c r="F121" s="254"/>
      <c r="G121" s="253"/>
    </row>
    <row r="122">
      <c r="A122" s="60"/>
      <c r="B122" s="60"/>
      <c r="C122" s="252"/>
      <c r="D122" s="252"/>
      <c r="E122" s="253"/>
      <c r="F122" s="254"/>
      <c r="G122" s="253"/>
    </row>
    <row r="123">
      <c r="A123" s="60"/>
      <c r="B123" s="60"/>
      <c r="C123" s="252"/>
      <c r="D123" s="252"/>
      <c r="E123" s="253"/>
      <c r="F123" s="254"/>
      <c r="G123" s="253"/>
    </row>
    <row r="124">
      <c r="A124" s="60"/>
      <c r="B124" s="60"/>
      <c r="C124" s="252"/>
      <c r="D124" s="252"/>
      <c r="E124" s="253"/>
      <c r="F124" s="254"/>
      <c r="G124" s="253"/>
    </row>
    <row r="125">
      <c r="A125" s="60"/>
      <c r="B125" s="60"/>
      <c r="C125" s="252"/>
      <c r="D125" s="252"/>
      <c r="E125" s="253"/>
      <c r="F125" s="254"/>
      <c r="G125" s="253"/>
    </row>
    <row r="126">
      <c r="A126" s="60"/>
      <c r="B126" s="60"/>
      <c r="C126" s="252"/>
      <c r="D126" s="252"/>
      <c r="E126" s="253"/>
      <c r="F126" s="254"/>
      <c r="G126" s="253"/>
    </row>
    <row r="127">
      <c r="A127" s="60"/>
      <c r="B127" s="60"/>
      <c r="C127" s="252"/>
      <c r="D127" s="252"/>
      <c r="E127" s="253"/>
      <c r="F127" s="254"/>
      <c r="G127" s="253"/>
    </row>
    <row r="128">
      <c r="A128" s="60"/>
      <c r="B128" s="60"/>
      <c r="C128" s="252"/>
      <c r="D128" s="252"/>
      <c r="E128" s="253"/>
      <c r="F128" s="254"/>
      <c r="G128" s="253"/>
    </row>
    <row r="129">
      <c r="A129" s="60"/>
      <c r="B129" s="60"/>
      <c r="C129" s="252"/>
      <c r="D129" s="252"/>
      <c r="E129" s="253"/>
      <c r="F129" s="254"/>
      <c r="G129" s="253"/>
    </row>
    <row r="130">
      <c r="A130" s="60"/>
      <c r="B130" s="60"/>
      <c r="C130" s="252"/>
      <c r="D130" s="252"/>
      <c r="E130" s="253"/>
      <c r="F130" s="254"/>
      <c r="G130" s="253"/>
    </row>
    <row r="131">
      <c r="A131" s="60"/>
      <c r="B131" s="60"/>
      <c r="C131" s="252"/>
      <c r="D131" s="252"/>
      <c r="E131" s="253"/>
      <c r="F131" s="254"/>
      <c r="G131" s="253"/>
    </row>
    <row r="132">
      <c r="A132" s="60"/>
      <c r="B132" s="60"/>
      <c r="C132" s="252"/>
      <c r="D132" s="252"/>
      <c r="E132" s="253"/>
      <c r="F132" s="254"/>
      <c r="G132" s="253"/>
    </row>
    <row r="133">
      <c r="A133" s="60"/>
      <c r="B133" s="60"/>
      <c r="C133" s="252"/>
      <c r="D133" s="252"/>
      <c r="E133" s="253"/>
      <c r="F133" s="254"/>
      <c r="G133" s="253"/>
    </row>
    <row r="134">
      <c r="A134" s="60"/>
      <c r="B134" s="60"/>
      <c r="C134" s="252"/>
      <c r="D134" s="252"/>
      <c r="E134" s="253"/>
      <c r="F134" s="254"/>
      <c r="G134" s="253"/>
    </row>
    <row r="135">
      <c r="A135" s="60"/>
      <c r="B135" s="60"/>
      <c r="C135" s="252"/>
      <c r="D135" s="252"/>
      <c r="E135" s="253"/>
      <c r="F135" s="254"/>
      <c r="G135" s="253"/>
    </row>
    <row r="136">
      <c r="A136" s="60"/>
      <c r="B136" s="60"/>
      <c r="C136" s="252"/>
      <c r="D136" s="252"/>
      <c r="E136" s="253"/>
      <c r="F136" s="254"/>
      <c r="G136" s="253"/>
    </row>
    <row r="137">
      <c r="A137" s="60"/>
      <c r="B137" s="60"/>
      <c r="C137" s="252"/>
      <c r="D137" s="252"/>
      <c r="E137" s="253"/>
      <c r="F137" s="254"/>
      <c r="G137" s="253"/>
    </row>
    <row r="138">
      <c r="A138" s="60"/>
      <c r="B138" s="60"/>
      <c r="C138" s="252"/>
      <c r="D138" s="252"/>
      <c r="E138" s="253"/>
      <c r="F138" s="254"/>
      <c r="G138" s="253"/>
    </row>
    <row r="139">
      <c r="A139" s="60"/>
      <c r="B139" s="60"/>
      <c r="C139" s="252"/>
      <c r="D139" s="252"/>
      <c r="E139" s="253"/>
      <c r="F139" s="254"/>
      <c r="G139" s="253"/>
    </row>
    <row r="140">
      <c r="A140" s="60"/>
      <c r="B140" s="60"/>
      <c r="C140" s="252"/>
      <c r="D140" s="252"/>
      <c r="E140" s="253"/>
      <c r="F140" s="254"/>
      <c r="G140" s="253"/>
    </row>
    <row r="141">
      <c r="A141" s="60"/>
      <c r="B141" s="60"/>
      <c r="C141" s="252"/>
      <c r="D141" s="252"/>
      <c r="E141" s="253"/>
      <c r="F141" s="254"/>
      <c r="G141" s="253"/>
    </row>
    <row r="142">
      <c r="A142" s="60"/>
      <c r="B142" s="60"/>
      <c r="C142" s="252"/>
      <c r="D142" s="252"/>
      <c r="E142" s="253"/>
      <c r="F142" s="254"/>
      <c r="G142" s="253"/>
    </row>
    <row r="143">
      <c r="A143" s="60"/>
      <c r="B143" s="60"/>
      <c r="C143" s="252"/>
      <c r="D143" s="252"/>
      <c r="E143" s="253"/>
      <c r="F143" s="254"/>
      <c r="G143" s="253"/>
    </row>
    <row r="144">
      <c r="A144" s="60"/>
      <c r="B144" s="60"/>
      <c r="C144" s="252"/>
      <c r="D144" s="252"/>
      <c r="E144" s="253"/>
      <c r="F144" s="254"/>
      <c r="G144" s="253"/>
    </row>
    <row r="145">
      <c r="A145" s="60"/>
      <c r="B145" s="60"/>
      <c r="C145" s="252"/>
      <c r="D145" s="252"/>
      <c r="E145" s="253"/>
      <c r="F145" s="254"/>
      <c r="G145" s="253"/>
    </row>
    <row r="146">
      <c r="A146" s="60"/>
      <c r="B146" s="60"/>
      <c r="C146" s="252"/>
      <c r="D146" s="252"/>
      <c r="E146" s="253"/>
      <c r="F146" s="254"/>
      <c r="G146" s="253"/>
    </row>
    <row r="147">
      <c r="A147" s="60"/>
      <c r="B147" s="60"/>
      <c r="C147" s="252"/>
      <c r="D147" s="252"/>
      <c r="E147" s="253"/>
      <c r="F147" s="254"/>
      <c r="G147" s="253"/>
    </row>
    <row r="148">
      <c r="A148" s="60"/>
      <c r="B148" s="60"/>
      <c r="C148" s="252"/>
      <c r="D148" s="252"/>
      <c r="E148" s="253"/>
      <c r="F148" s="254"/>
      <c r="G148" s="253"/>
    </row>
    <row r="149">
      <c r="A149" s="60"/>
      <c r="B149" s="60"/>
      <c r="C149" s="252"/>
      <c r="D149" s="252"/>
      <c r="E149" s="253"/>
      <c r="F149" s="254"/>
      <c r="G149" s="253"/>
    </row>
    <row r="150">
      <c r="A150" s="60"/>
      <c r="B150" s="60"/>
      <c r="C150" s="252"/>
      <c r="D150" s="252"/>
      <c r="E150" s="253"/>
      <c r="F150" s="254"/>
      <c r="G150" s="253"/>
    </row>
    <row r="151">
      <c r="A151" s="60"/>
      <c r="B151" s="60"/>
      <c r="C151" s="252"/>
      <c r="D151" s="252"/>
      <c r="E151" s="253"/>
      <c r="F151" s="254"/>
      <c r="G151" s="253"/>
    </row>
    <row r="152">
      <c r="A152" s="60"/>
      <c r="B152" s="60"/>
      <c r="C152" s="252"/>
      <c r="D152" s="252"/>
      <c r="E152" s="253"/>
      <c r="F152" s="254"/>
      <c r="G152" s="253"/>
    </row>
    <row r="153">
      <c r="A153" s="60"/>
      <c r="B153" s="60"/>
      <c r="C153" s="252"/>
      <c r="D153" s="252"/>
      <c r="E153" s="253"/>
      <c r="F153" s="254"/>
      <c r="G153" s="253"/>
    </row>
    <row r="154">
      <c r="A154" s="60"/>
      <c r="B154" s="60"/>
      <c r="C154" s="252"/>
      <c r="D154" s="252"/>
      <c r="E154" s="253"/>
      <c r="F154" s="254"/>
      <c r="G154" s="253"/>
    </row>
    <row r="155">
      <c r="A155" s="60"/>
      <c r="B155" s="60"/>
      <c r="C155" s="252"/>
      <c r="D155" s="252"/>
      <c r="E155" s="253"/>
      <c r="F155" s="254"/>
      <c r="G155" s="253"/>
    </row>
    <row r="156">
      <c r="A156" s="60"/>
      <c r="B156" s="60"/>
      <c r="C156" s="252"/>
      <c r="D156" s="252"/>
      <c r="E156" s="253"/>
      <c r="F156" s="254"/>
      <c r="G156" s="253"/>
    </row>
    <row r="157">
      <c r="A157" s="60"/>
      <c r="B157" s="60"/>
      <c r="C157" s="252"/>
      <c r="D157" s="252"/>
      <c r="E157" s="253"/>
      <c r="F157" s="254"/>
      <c r="G157" s="253"/>
    </row>
    <row r="158">
      <c r="A158" s="60"/>
      <c r="B158" s="60"/>
      <c r="C158" s="252"/>
      <c r="D158" s="252"/>
      <c r="E158" s="253"/>
      <c r="F158" s="254"/>
      <c r="G158" s="253"/>
    </row>
    <row r="159">
      <c r="A159" s="60"/>
      <c r="B159" s="60"/>
      <c r="C159" s="252"/>
      <c r="D159" s="252"/>
      <c r="E159" s="253"/>
      <c r="F159" s="254"/>
      <c r="G159" s="253"/>
    </row>
    <row r="160">
      <c r="A160" s="60"/>
      <c r="B160" s="60"/>
      <c r="C160" s="252"/>
      <c r="D160" s="252"/>
      <c r="E160" s="253"/>
      <c r="F160" s="254"/>
      <c r="G160" s="253"/>
    </row>
    <row r="161">
      <c r="A161" s="60"/>
      <c r="B161" s="60"/>
      <c r="C161" s="252"/>
      <c r="D161" s="252"/>
      <c r="E161" s="253"/>
      <c r="F161" s="254"/>
      <c r="G161" s="253"/>
    </row>
    <row r="162">
      <c r="A162" s="60"/>
      <c r="B162" s="60"/>
      <c r="C162" s="252"/>
      <c r="D162" s="252"/>
      <c r="E162" s="253"/>
      <c r="F162" s="254"/>
      <c r="G162" s="253"/>
    </row>
    <row r="163">
      <c r="A163" s="60"/>
      <c r="B163" s="60"/>
      <c r="C163" s="252"/>
      <c r="D163" s="252"/>
      <c r="E163" s="253"/>
      <c r="F163" s="254"/>
      <c r="G163" s="253"/>
    </row>
    <row r="164">
      <c r="A164" s="60"/>
      <c r="B164" s="60"/>
      <c r="C164" s="252"/>
      <c r="D164" s="252"/>
      <c r="E164" s="253"/>
      <c r="F164" s="254"/>
      <c r="G164" s="253"/>
    </row>
    <row r="165">
      <c r="A165" s="60"/>
      <c r="B165" s="60"/>
      <c r="C165" s="252"/>
      <c r="D165" s="252"/>
      <c r="E165" s="253"/>
      <c r="F165" s="254"/>
      <c r="G165" s="253"/>
    </row>
    <row r="166">
      <c r="A166" s="60"/>
      <c r="B166" s="60"/>
      <c r="C166" s="252"/>
      <c r="D166" s="252"/>
      <c r="E166" s="253"/>
      <c r="F166" s="254"/>
      <c r="G166" s="253"/>
    </row>
    <row r="167">
      <c r="A167" s="60"/>
      <c r="B167" s="60"/>
      <c r="C167" s="252"/>
      <c r="D167" s="252"/>
      <c r="E167" s="253"/>
      <c r="F167" s="254"/>
      <c r="G167" s="253"/>
    </row>
    <row r="168">
      <c r="A168" s="60"/>
      <c r="B168" s="60"/>
      <c r="C168" s="252"/>
      <c r="D168" s="252"/>
      <c r="E168" s="253"/>
      <c r="F168" s="254"/>
      <c r="G168" s="253"/>
    </row>
    <row r="169">
      <c r="A169" s="60"/>
      <c r="B169" s="60"/>
      <c r="C169" s="252"/>
      <c r="D169" s="252"/>
      <c r="E169" s="253"/>
      <c r="F169" s="254"/>
      <c r="G169" s="253"/>
    </row>
    <row r="170">
      <c r="A170" s="60"/>
      <c r="B170" s="60"/>
      <c r="C170" s="252"/>
      <c r="D170" s="252"/>
      <c r="E170" s="253"/>
      <c r="F170" s="254"/>
      <c r="G170" s="253"/>
    </row>
    <row r="171">
      <c r="A171" s="60"/>
      <c r="B171" s="60"/>
      <c r="C171" s="252"/>
      <c r="D171" s="252"/>
      <c r="E171" s="253"/>
      <c r="F171" s="254"/>
      <c r="G171" s="253"/>
    </row>
    <row r="172">
      <c r="A172" s="60"/>
      <c r="B172" s="60"/>
      <c r="C172" s="252"/>
      <c r="D172" s="252"/>
      <c r="E172" s="253"/>
      <c r="F172" s="254"/>
      <c r="G172" s="253"/>
    </row>
    <row r="173">
      <c r="A173" s="60"/>
      <c r="B173" s="60"/>
      <c r="C173" s="252"/>
      <c r="D173" s="252"/>
      <c r="E173" s="253"/>
      <c r="F173" s="254"/>
      <c r="G173" s="253"/>
    </row>
    <row r="174">
      <c r="A174" s="60"/>
      <c r="B174" s="60"/>
      <c r="C174" s="252"/>
      <c r="D174" s="252"/>
      <c r="E174" s="253"/>
      <c r="F174" s="254"/>
      <c r="G174" s="253"/>
    </row>
    <row r="175">
      <c r="A175" s="60"/>
      <c r="B175" s="60"/>
      <c r="C175" s="252"/>
      <c r="D175" s="252"/>
      <c r="E175" s="253"/>
      <c r="F175" s="254"/>
      <c r="G175" s="253"/>
    </row>
    <row r="176">
      <c r="A176" s="60"/>
      <c r="B176" s="60"/>
      <c r="C176" s="252"/>
      <c r="D176" s="252"/>
      <c r="E176" s="253"/>
      <c r="F176" s="254"/>
      <c r="G176" s="253"/>
    </row>
    <row r="177">
      <c r="A177" s="60"/>
      <c r="B177" s="60"/>
      <c r="C177" s="252"/>
      <c r="D177" s="252"/>
      <c r="E177" s="253"/>
      <c r="F177" s="254"/>
      <c r="G177" s="253"/>
    </row>
    <row r="178">
      <c r="A178" s="60"/>
      <c r="B178" s="60"/>
      <c r="C178" s="252"/>
      <c r="D178" s="252"/>
      <c r="E178" s="253"/>
      <c r="F178" s="254"/>
      <c r="G178" s="253"/>
    </row>
    <row r="179">
      <c r="A179" s="60"/>
      <c r="B179" s="60"/>
      <c r="C179" s="252"/>
      <c r="D179" s="252"/>
      <c r="E179" s="253"/>
      <c r="F179" s="254"/>
      <c r="G179" s="253"/>
    </row>
    <row r="180">
      <c r="A180" s="60"/>
      <c r="B180" s="60"/>
      <c r="C180" s="252"/>
      <c r="D180" s="252"/>
      <c r="E180" s="253"/>
      <c r="F180" s="254"/>
      <c r="G180" s="253"/>
    </row>
    <row r="181">
      <c r="A181" s="60"/>
      <c r="B181" s="60"/>
      <c r="C181" s="252"/>
      <c r="D181" s="252"/>
      <c r="E181" s="253"/>
      <c r="F181" s="254"/>
      <c r="G181" s="253"/>
    </row>
    <row r="182">
      <c r="A182" s="60"/>
      <c r="B182" s="60"/>
      <c r="C182" s="252"/>
      <c r="D182" s="252"/>
      <c r="E182" s="253"/>
      <c r="F182" s="254"/>
      <c r="G182" s="253"/>
    </row>
    <row r="183">
      <c r="A183" s="60"/>
      <c r="B183" s="60"/>
      <c r="C183" s="252"/>
      <c r="D183" s="252"/>
      <c r="E183" s="253"/>
      <c r="F183" s="254"/>
      <c r="G183" s="253"/>
    </row>
    <row r="184">
      <c r="A184" s="60"/>
      <c r="B184" s="60"/>
      <c r="C184" s="252"/>
      <c r="D184" s="252"/>
      <c r="E184" s="253"/>
      <c r="F184" s="254"/>
      <c r="G184" s="253"/>
    </row>
    <row r="185">
      <c r="A185" s="60"/>
      <c r="B185" s="60"/>
      <c r="C185" s="252"/>
      <c r="D185" s="252"/>
      <c r="E185" s="253"/>
      <c r="F185" s="254"/>
      <c r="G185" s="253"/>
    </row>
    <row r="186">
      <c r="A186" s="60"/>
      <c r="B186" s="60"/>
      <c r="C186" s="252"/>
      <c r="D186" s="252"/>
      <c r="E186" s="253"/>
      <c r="F186" s="254"/>
      <c r="G186" s="253"/>
    </row>
    <row r="187">
      <c r="A187" s="60"/>
      <c r="B187" s="60"/>
      <c r="C187" s="252"/>
      <c r="D187" s="252"/>
      <c r="E187" s="253"/>
      <c r="F187" s="254"/>
      <c r="G187" s="253"/>
    </row>
    <row r="188">
      <c r="A188" s="60"/>
      <c r="B188" s="60"/>
      <c r="C188" s="252"/>
      <c r="D188" s="252"/>
      <c r="E188" s="253"/>
      <c r="F188" s="254"/>
      <c r="G188" s="253"/>
    </row>
    <row r="189">
      <c r="A189" s="60"/>
      <c r="B189" s="60"/>
      <c r="C189" s="252"/>
      <c r="D189" s="252"/>
      <c r="E189" s="253"/>
      <c r="F189" s="254"/>
      <c r="G189" s="253"/>
    </row>
    <row r="190">
      <c r="A190" s="60"/>
      <c r="B190" s="60"/>
      <c r="C190" s="252"/>
      <c r="D190" s="252"/>
      <c r="E190" s="253"/>
      <c r="F190" s="254"/>
      <c r="G190" s="253"/>
    </row>
    <row r="191">
      <c r="A191" s="60"/>
      <c r="B191" s="60"/>
      <c r="C191" s="252"/>
      <c r="D191" s="252"/>
      <c r="E191" s="253"/>
      <c r="F191" s="254"/>
      <c r="G191" s="253"/>
    </row>
    <row r="192">
      <c r="A192" s="60"/>
      <c r="B192" s="60"/>
      <c r="C192" s="252"/>
      <c r="D192" s="252"/>
      <c r="E192" s="253"/>
      <c r="F192" s="254"/>
      <c r="G192" s="253"/>
    </row>
    <row r="193">
      <c r="A193" s="60"/>
      <c r="B193" s="60"/>
      <c r="C193" s="252"/>
      <c r="D193" s="252"/>
      <c r="E193" s="253"/>
      <c r="F193" s="254"/>
      <c r="G193" s="253"/>
    </row>
    <row r="194">
      <c r="A194" s="60"/>
      <c r="B194" s="60"/>
      <c r="C194" s="252"/>
      <c r="D194" s="252"/>
      <c r="E194" s="253"/>
      <c r="F194" s="254"/>
      <c r="G194" s="253"/>
    </row>
    <row r="195">
      <c r="A195" s="60"/>
      <c r="B195" s="60"/>
      <c r="C195" s="252"/>
      <c r="D195" s="252"/>
      <c r="E195" s="253"/>
      <c r="F195" s="254"/>
      <c r="G195" s="253"/>
    </row>
    <row r="196">
      <c r="A196" s="60"/>
      <c r="B196" s="60"/>
      <c r="C196" s="252"/>
      <c r="D196" s="252"/>
      <c r="E196" s="253"/>
      <c r="F196" s="254"/>
      <c r="G196" s="253"/>
    </row>
    <row r="197">
      <c r="A197" s="60"/>
      <c r="B197" s="60"/>
      <c r="C197" s="252"/>
      <c r="D197" s="252"/>
      <c r="E197" s="253"/>
      <c r="F197" s="254"/>
      <c r="G197" s="253"/>
    </row>
    <row r="198">
      <c r="A198" s="60"/>
      <c r="B198" s="60"/>
      <c r="C198" s="252"/>
      <c r="D198" s="252"/>
      <c r="E198" s="253"/>
      <c r="F198" s="254"/>
      <c r="G198" s="253"/>
    </row>
    <row r="199">
      <c r="A199" s="60"/>
      <c r="B199" s="60"/>
      <c r="C199" s="252"/>
      <c r="D199" s="252"/>
      <c r="E199" s="253"/>
      <c r="F199" s="254"/>
      <c r="G199" s="253"/>
    </row>
    <row r="200">
      <c r="A200" s="60"/>
      <c r="B200" s="60"/>
      <c r="C200" s="252"/>
      <c r="D200" s="252"/>
      <c r="E200" s="253"/>
      <c r="F200" s="254"/>
      <c r="G200" s="253"/>
    </row>
    <row r="201">
      <c r="A201" s="60"/>
      <c r="B201" s="60"/>
      <c r="C201" s="252"/>
      <c r="D201" s="252"/>
      <c r="E201" s="253"/>
      <c r="F201" s="254"/>
      <c r="G201" s="253"/>
    </row>
    <row r="202">
      <c r="A202" s="60"/>
      <c r="B202" s="60"/>
      <c r="C202" s="252"/>
      <c r="D202" s="252"/>
      <c r="E202" s="253"/>
      <c r="F202" s="254"/>
      <c r="G202" s="253"/>
    </row>
    <row r="203">
      <c r="A203" s="60"/>
      <c r="B203" s="60"/>
      <c r="C203" s="252"/>
      <c r="D203" s="252"/>
      <c r="E203" s="253"/>
      <c r="F203" s="254"/>
      <c r="G203" s="253"/>
    </row>
    <row r="204">
      <c r="A204" s="60"/>
      <c r="B204" s="60"/>
      <c r="C204" s="252"/>
      <c r="D204" s="252"/>
      <c r="E204" s="253"/>
      <c r="F204" s="254"/>
      <c r="G204" s="253"/>
    </row>
    <row r="205">
      <c r="A205" s="60"/>
      <c r="B205" s="60"/>
      <c r="C205" s="252"/>
      <c r="D205" s="252"/>
      <c r="E205" s="253"/>
      <c r="F205" s="254"/>
      <c r="G205" s="253"/>
    </row>
    <row r="206">
      <c r="A206" s="60"/>
      <c r="B206" s="60"/>
      <c r="C206" s="252"/>
      <c r="D206" s="252"/>
      <c r="E206" s="253"/>
      <c r="F206" s="254"/>
      <c r="G206" s="253"/>
    </row>
    <row r="207">
      <c r="A207" s="60"/>
      <c r="B207" s="60"/>
      <c r="C207" s="252"/>
      <c r="D207" s="252"/>
      <c r="E207" s="253"/>
      <c r="F207" s="254"/>
      <c r="G207" s="253"/>
    </row>
    <row r="208">
      <c r="A208" s="60"/>
      <c r="B208" s="60"/>
      <c r="C208" s="252"/>
      <c r="D208" s="252"/>
      <c r="E208" s="253"/>
      <c r="F208" s="254"/>
      <c r="G208" s="253"/>
    </row>
    <row r="209">
      <c r="A209" s="60"/>
      <c r="B209" s="60"/>
      <c r="C209" s="252"/>
      <c r="D209" s="252"/>
      <c r="E209" s="253"/>
      <c r="F209" s="254"/>
      <c r="G209" s="253"/>
    </row>
    <row r="210">
      <c r="A210" s="60"/>
      <c r="B210" s="60"/>
      <c r="C210" s="252"/>
      <c r="D210" s="252"/>
      <c r="E210" s="253"/>
      <c r="F210" s="254"/>
      <c r="G210" s="253"/>
    </row>
    <row r="211">
      <c r="A211" s="60"/>
      <c r="B211" s="60"/>
      <c r="C211" s="252"/>
      <c r="D211" s="252"/>
      <c r="E211" s="253"/>
      <c r="F211" s="254"/>
      <c r="G211" s="253"/>
    </row>
    <row r="212">
      <c r="A212" s="60"/>
      <c r="B212" s="60"/>
      <c r="C212" s="252"/>
      <c r="D212" s="252"/>
      <c r="E212" s="253"/>
      <c r="F212" s="254"/>
      <c r="G212" s="253"/>
    </row>
    <row r="213">
      <c r="A213" s="60"/>
      <c r="B213" s="60"/>
      <c r="C213" s="252"/>
      <c r="D213" s="252"/>
      <c r="E213" s="253"/>
      <c r="F213" s="254"/>
      <c r="G213" s="253"/>
    </row>
    <row r="214">
      <c r="A214" s="60"/>
      <c r="B214" s="60"/>
      <c r="C214" s="252"/>
      <c r="D214" s="252"/>
      <c r="E214" s="253"/>
      <c r="F214" s="254"/>
      <c r="G214" s="253"/>
    </row>
    <row r="215">
      <c r="A215" s="60"/>
      <c r="B215" s="60"/>
      <c r="C215" s="252"/>
      <c r="D215" s="252"/>
      <c r="E215" s="253"/>
      <c r="F215" s="254"/>
      <c r="G215" s="253"/>
    </row>
    <row r="216">
      <c r="A216" s="60"/>
      <c r="B216" s="60"/>
      <c r="C216" s="252"/>
      <c r="D216" s="252"/>
      <c r="E216" s="253"/>
      <c r="F216" s="254"/>
      <c r="G216" s="253"/>
    </row>
    <row r="217">
      <c r="A217" s="60"/>
      <c r="B217" s="60"/>
      <c r="C217" s="252"/>
      <c r="D217" s="252"/>
      <c r="E217" s="253"/>
      <c r="F217" s="254"/>
      <c r="G217" s="253"/>
    </row>
    <row r="218">
      <c r="A218" s="60"/>
      <c r="B218" s="60"/>
      <c r="C218" s="252"/>
      <c r="D218" s="252"/>
      <c r="E218" s="253"/>
      <c r="F218" s="254"/>
      <c r="G218" s="253"/>
    </row>
    <row r="219">
      <c r="A219" s="60"/>
      <c r="B219" s="60"/>
      <c r="C219" s="252"/>
      <c r="D219" s="252"/>
      <c r="E219" s="253"/>
      <c r="F219" s="254"/>
      <c r="G219" s="253"/>
    </row>
    <row r="220">
      <c r="A220" s="60"/>
      <c r="B220" s="60"/>
      <c r="C220" s="252"/>
      <c r="D220" s="252"/>
      <c r="E220" s="253"/>
      <c r="F220" s="254"/>
      <c r="G220" s="253"/>
    </row>
    <row r="221">
      <c r="A221" s="60"/>
      <c r="B221" s="60"/>
      <c r="C221" s="252"/>
      <c r="D221" s="252"/>
      <c r="E221" s="253"/>
      <c r="F221" s="254"/>
      <c r="G221" s="253"/>
    </row>
    <row r="222">
      <c r="A222" s="60"/>
      <c r="B222" s="60"/>
      <c r="C222" s="252"/>
      <c r="D222" s="252"/>
      <c r="E222" s="253"/>
      <c r="F222" s="254"/>
      <c r="G222" s="253"/>
    </row>
    <row r="223">
      <c r="A223" s="60"/>
      <c r="B223" s="60"/>
      <c r="C223" s="252"/>
      <c r="D223" s="252"/>
      <c r="E223" s="253"/>
      <c r="F223" s="254"/>
      <c r="G223" s="253"/>
    </row>
    <row r="224">
      <c r="A224" s="60"/>
      <c r="B224" s="60"/>
      <c r="C224" s="252"/>
      <c r="D224" s="252"/>
      <c r="E224" s="253"/>
      <c r="F224" s="254"/>
      <c r="G224" s="253"/>
    </row>
    <row r="225">
      <c r="A225" s="60"/>
      <c r="B225" s="60"/>
      <c r="C225" s="252"/>
      <c r="D225" s="252"/>
      <c r="E225" s="253"/>
      <c r="F225" s="254"/>
      <c r="G225" s="253"/>
    </row>
    <row r="226">
      <c r="A226" s="60"/>
      <c r="B226" s="60"/>
      <c r="C226" s="252"/>
      <c r="D226" s="252"/>
      <c r="E226" s="253"/>
      <c r="F226" s="254"/>
      <c r="G226" s="253"/>
    </row>
    <row r="227">
      <c r="A227" s="60"/>
      <c r="B227" s="60"/>
      <c r="C227" s="252"/>
      <c r="D227" s="252"/>
      <c r="E227" s="253"/>
      <c r="F227" s="254"/>
      <c r="G227" s="253"/>
    </row>
    <row r="228">
      <c r="A228" s="60"/>
      <c r="B228" s="60"/>
      <c r="C228" s="252"/>
      <c r="D228" s="252"/>
      <c r="E228" s="253"/>
      <c r="F228" s="254"/>
      <c r="G228" s="253"/>
    </row>
    <row r="229">
      <c r="A229" s="60"/>
      <c r="B229" s="60"/>
      <c r="C229" s="252"/>
      <c r="D229" s="252"/>
      <c r="E229" s="253"/>
      <c r="F229" s="254"/>
      <c r="G229" s="253"/>
    </row>
    <row r="230">
      <c r="A230" s="60"/>
      <c r="B230" s="60"/>
      <c r="C230" s="252"/>
      <c r="D230" s="252"/>
      <c r="E230" s="253"/>
      <c r="F230" s="254"/>
      <c r="G230" s="253"/>
    </row>
    <row r="231">
      <c r="A231" s="60"/>
      <c r="B231" s="60"/>
      <c r="C231" s="252"/>
      <c r="D231" s="252"/>
      <c r="E231" s="253"/>
      <c r="F231" s="254"/>
      <c r="G231" s="253"/>
    </row>
    <row r="232">
      <c r="A232" s="60"/>
      <c r="B232" s="60"/>
      <c r="C232" s="252"/>
      <c r="D232" s="252"/>
      <c r="E232" s="253"/>
      <c r="F232" s="254"/>
      <c r="G232" s="253"/>
    </row>
    <row r="233">
      <c r="A233" s="60"/>
      <c r="B233" s="60"/>
      <c r="C233" s="252"/>
      <c r="D233" s="252"/>
      <c r="E233" s="253"/>
      <c r="F233" s="254"/>
      <c r="G233" s="253"/>
    </row>
    <row r="234">
      <c r="A234" s="60"/>
      <c r="B234" s="60"/>
      <c r="C234" s="252"/>
      <c r="D234" s="252"/>
      <c r="E234" s="253"/>
      <c r="F234" s="254"/>
      <c r="G234" s="253"/>
    </row>
    <row r="235">
      <c r="A235" s="60"/>
      <c r="B235" s="60"/>
      <c r="C235" s="252"/>
      <c r="D235" s="252"/>
      <c r="E235" s="253"/>
      <c r="F235" s="254"/>
      <c r="G235" s="253"/>
    </row>
    <row r="236">
      <c r="A236" s="60"/>
      <c r="B236" s="60"/>
      <c r="C236" s="252"/>
      <c r="D236" s="252"/>
      <c r="E236" s="253"/>
      <c r="F236" s="254"/>
      <c r="G236" s="253"/>
    </row>
    <row r="237">
      <c r="A237" s="60"/>
      <c r="B237" s="60"/>
      <c r="C237" s="252"/>
      <c r="D237" s="252"/>
      <c r="E237" s="253"/>
      <c r="F237" s="254"/>
      <c r="G237" s="253"/>
    </row>
    <row r="238">
      <c r="A238" s="60"/>
      <c r="B238" s="60"/>
      <c r="C238" s="252"/>
      <c r="D238" s="252"/>
      <c r="E238" s="253"/>
      <c r="F238" s="254"/>
      <c r="G238" s="253"/>
    </row>
    <row r="239">
      <c r="A239" s="60"/>
      <c r="B239" s="60"/>
      <c r="C239" s="252"/>
      <c r="D239" s="252"/>
      <c r="E239" s="253"/>
      <c r="F239" s="254"/>
      <c r="G239" s="253"/>
    </row>
    <row r="240">
      <c r="A240" s="60"/>
      <c r="B240" s="60"/>
      <c r="C240" s="252"/>
      <c r="D240" s="252"/>
      <c r="E240" s="253"/>
      <c r="F240" s="254"/>
      <c r="G240" s="253"/>
    </row>
    <row r="241">
      <c r="A241" s="60"/>
      <c r="B241" s="60"/>
      <c r="C241" s="252"/>
      <c r="D241" s="252"/>
      <c r="E241" s="253"/>
      <c r="F241" s="254"/>
      <c r="G241" s="253"/>
    </row>
    <row r="242">
      <c r="A242" s="60"/>
      <c r="B242" s="60"/>
      <c r="C242" s="252"/>
      <c r="D242" s="252"/>
      <c r="E242" s="253"/>
      <c r="F242" s="254"/>
      <c r="G242" s="253"/>
    </row>
    <row r="243">
      <c r="A243" s="60"/>
      <c r="B243" s="60"/>
      <c r="C243" s="252"/>
      <c r="D243" s="252"/>
      <c r="E243" s="253"/>
      <c r="F243" s="254"/>
      <c r="G243" s="253"/>
    </row>
    <row r="244">
      <c r="A244" s="60"/>
      <c r="B244" s="60"/>
      <c r="C244" s="252"/>
      <c r="D244" s="252"/>
      <c r="E244" s="253"/>
      <c r="F244" s="254"/>
      <c r="G244" s="253"/>
    </row>
    <row r="245">
      <c r="A245" s="60"/>
      <c r="B245" s="60"/>
      <c r="C245" s="252"/>
      <c r="D245" s="252"/>
      <c r="E245" s="253"/>
      <c r="F245" s="254"/>
      <c r="G245" s="253"/>
    </row>
    <row r="246">
      <c r="A246" s="60"/>
      <c r="B246" s="60"/>
      <c r="C246" s="252"/>
      <c r="D246" s="252"/>
      <c r="E246" s="253"/>
      <c r="F246" s="254"/>
      <c r="G246" s="253"/>
    </row>
    <row r="247">
      <c r="A247" s="60"/>
      <c r="B247" s="60"/>
      <c r="C247" s="252"/>
      <c r="D247" s="252"/>
      <c r="E247" s="253"/>
      <c r="F247" s="254"/>
      <c r="G247" s="253"/>
    </row>
    <row r="248">
      <c r="A248" s="60"/>
      <c r="B248" s="60"/>
      <c r="C248" s="252"/>
      <c r="D248" s="252"/>
      <c r="E248" s="253"/>
      <c r="F248" s="254"/>
      <c r="G248" s="253"/>
    </row>
    <row r="249">
      <c r="A249" s="60"/>
      <c r="B249" s="60"/>
      <c r="C249" s="252"/>
      <c r="D249" s="252"/>
      <c r="E249" s="253"/>
      <c r="F249" s="254"/>
      <c r="G249" s="253"/>
    </row>
    <row r="250">
      <c r="A250" s="60"/>
      <c r="B250" s="60"/>
      <c r="C250" s="252"/>
      <c r="D250" s="252"/>
      <c r="E250" s="253"/>
      <c r="F250" s="254"/>
      <c r="G250" s="253"/>
    </row>
    <row r="251">
      <c r="A251" s="60"/>
      <c r="B251" s="60"/>
      <c r="C251" s="252"/>
      <c r="D251" s="252"/>
      <c r="E251" s="253"/>
      <c r="F251" s="254"/>
      <c r="G251" s="253"/>
    </row>
    <row r="252">
      <c r="A252" s="60"/>
      <c r="B252" s="60"/>
      <c r="C252" s="252"/>
      <c r="D252" s="252"/>
      <c r="E252" s="253"/>
      <c r="F252" s="254"/>
      <c r="G252" s="253"/>
    </row>
    <row r="253">
      <c r="A253" s="60"/>
      <c r="B253" s="60"/>
      <c r="C253" s="252"/>
      <c r="D253" s="252"/>
      <c r="E253" s="253"/>
      <c r="F253" s="254"/>
      <c r="G253" s="253"/>
    </row>
    <row r="254">
      <c r="A254" s="60"/>
      <c r="B254" s="60"/>
      <c r="C254" s="252"/>
      <c r="D254" s="252"/>
      <c r="E254" s="253"/>
      <c r="F254" s="254"/>
      <c r="G254" s="253"/>
    </row>
    <row r="255">
      <c r="A255" s="60"/>
      <c r="B255" s="60"/>
      <c r="C255" s="252"/>
      <c r="D255" s="252"/>
      <c r="E255" s="253"/>
      <c r="F255" s="254"/>
      <c r="G255" s="253"/>
    </row>
    <row r="256">
      <c r="A256" s="60"/>
      <c r="B256" s="60"/>
      <c r="C256" s="252"/>
      <c r="D256" s="252"/>
      <c r="E256" s="253"/>
      <c r="F256" s="254"/>
      <c r="G256" s="253"/>
    </row>
    <row r="257">
      <c r="A257" s="60"/>
      <c r="B257" s="60"/>
      <c r="C257" s="252"/>
      <c r="D257" s="252"/>
      <c r="E257" s="253"/>
      <c r="F257" s="254"/>
      <c r="G257" s="253"/>
    </row>
    <row r="258">
      <c r="A258" s="60"/>
      <c r="B258" s="60"/>
      <c r="C258" s="252"/>
      <c r="D258" s="252"/>
      <c r="E258" s="253"/>
      <c r="F258" s="254"/>
      <c r="G258" s="253"/>
    </row>
    <row r="259">
      <c r="A259" s="60"/>
      <c r="B259" s="60"/>
      <c r="C259" s="252"/>
      <c r="D259" s="252"/>
      <c r="E259" s="253"/>
      <c r="F259" s="254"/>
      <c r="G259" s="253"/>
    </row>
    <row r="260">
      <c r="A260" s="60"/>
      <c r="B260" s="60"/>
      <c r="C260" s="252"/>
      <c r="D260" s="252"/>
      <c r="E260" s="253"/>
      <c r="F260" s="254"/>
      <c r="G260" s="253"/>
    </row>
    <row r="261">
      <c r="A261" s="60"/>
      <c r="B261" s="60"/>
      <c r="C261" s="252"/>
      <c r="D261" s="252"/>
      <c r="E261" s="253"/>
      <c r="F261" s="254"/>
      <c r="G261" s="253"/>
    </row>
    <row r="262">
      <c r="A262" s="60"/>
      <c r="B262" s="60"/>
      <c r="C262" s="252"/>
      <c r="D262" s="252"/>
      <c r="E262" s="253"/>
      <c r="F262" s="254"/>
      <c r="G262" s="253"/>
    </row>
    <row r="263">
      <c r="A263" s="60"/>
      <c r="B263" s="60"/>
      <c r="C263" s="252"/>
      <c r="D263" s="252"/>
      <c r="E263" s="253"/>
      <c r="F263" s="254"/>
      <c r="G263" s="253"/>
    </row>
    <row r="264">
      <c r="A264" s="60"/>
      <c r="B264" s="60"/>
      <c r="C264" s="252"/>
      <c r="D264" s="252"/>
      <c r="E264" s="253"/>
      <c r="F264" s="254"/>
      <c r="G264" s="253"/>
    </row>
    <row r="265">
      <c r="A265" s="60"/>
      <c r="B265" s="60"/>
      <c r="C265" s="252"/>
      <c r="D265" s="252"/>
      <c r="E265" s="253"/>
      <c r="F265" s="254"/>
      <c r="G265" s="253"/>
    </row>
    <row r="266">
      <c r="A266" s="60"/>
      <c r="B266" s="60"/>
      <c r="C266" s="252"/>
      <c r="D266" s="252"/>
      <c r="E266" s="253"/>
      <c r="F266" s="254"/>
      <c r="G266" s="253"/>
    </row>
    <row r="267">
      <c r="A267" s="60"/>
      <c r="B267" s="60"/>
      <c r="C267" s="252"/>
      <c r="D267" s="252"/>
      <c r="E267" s="253"/>
      <c r="F267" s="254"/>
      <c r="G267" s="253"/>
    </row>
    <row r="268">
      <c r="A268" s="60"/>
      <c r="B268" s="60"/>
      <c r="C268" s="252"/>
      <c r="D268" s="252"/>
      <c r="E268" s="253"/>
      <c r="F268" s="254"/>
      <c r="G268" s="253"/>
    </row>
    <row r="269">
      <c r="A269" s="60"/>
      <c r="B269" s="60"/>
      <c r="C269" s="252"/>
      <c r="D269" s="252"/>
      <c r="E269" s="253"/>
      <c r="F269" s="254"/>
      <c r="G269" s="253"/>
    </row>
    <row r="270">
      <c r="A270" s="60"/>
      <c r="B270" s="60"/>
      <c r="C270" s="252"/>
      <c r="D270" s="252"/>
      <c r="E270" s="253"/>
      <c r="F270" s="254"/>
      <c r="G270" s="253"/>
    </row>
    <row r="271">
      <c r="A271" s="60"/>
      <c r="B271" s="60"/>
      <c r="C271" s="252"/>
      <c r="D271" s="252"/>
      <c r="E271" s="253"/>
      <c r="F271" s="254"/>
      <c r="G271" s="253"/>
    </row>
    <row r="272">
      <c r="A272" s="60"/>
      <c r="B272" s="60"/>
      <c r="C272" s="252"/>
      <c r="D272" s="252"/>
      <c r="E272" s="253"/>
      <c r="F272" s="254"/>
      <c r="G272" s="253"/>
    </row>
    <row r="273">
      <c r="A273" s="60"/>
      <c r="B273" s="60"/>
      <c r="C273" s="252"/>
      <c r="D273" s="252"/>
      <c r="E273" s="253"/>
      <c r="F273" s="254"/>
      <c r="G273" s="253"/>
    </row>
    <row r="274">
      <c r="A274" s="60"/>
      <c r="B274" s="60"/>
      <c r="C274" s="252"/>
      <c r="D274" s="252"/>
      <c r="E274" s="253"/>
      <c r="F274" s="254"/>
      <c r="G274" s="253"/>
    </row>
    <row r="275">
      <c r="A275" s="60"/>
      <c r="B275" s="60"/>
      <c r="C275" s="252"/>
      <c r="D275" s="252"/>
      <c r="E275" s="253"/>
      <c r="F275" s="254"/>
      <c r="G275" s="253"/>
    </row>
    <row r="276">
      <c r="A276" s="60"/>
      <c r="B276" s="60"/>
      <c r="C276" s="252"/>
      <c r="D276" s="252"/>
      <c r="E276" s="253"/>
      <c r="F276" s="254"/>
      <c r="G276" s="253"/>
    </row>
    <row r="277">
      <c r="A277" s="60"/>
      <c r="B277" s="60"/>
      <c r="C277" s="252"/>
      <c r="D277" s="252"/>
      <c r="E277" s="253"/>
      <c r="F277" s="254"/>
      <c r="G277" s="253"/>
    </row>
    <row r="278">
      <c r="A278" s="60"/>
      <c r="B278" s="60"/>
      <c r="C278" s="252"/>
      <c r="D278" s="252"/>
      <c r="E278" s="253"/>
      <c r="F278" s="254"/>
      <c r="G278" s="253"/>
    </row>
    <row r="279">
      <c r="A279" s="60"/>
      <c r="B279" s="60"/>
      <c r="C279" s="252"/>
      <c r="D279" s="252"/>
      <c r="E279" s="253"/>
      <c r="F279" s="254"/>
      <c r="G279" s="253"/>
    </row>
    <row r="280">
      <c r="A280" s="60"/>
      <c r="B280" s="60"/>
      <c r="C280" s="252"/>
      <c r="D280" s="252"/>
      <c r="E280" s="253"/>
      <c r="F280" s="254"/>
      <c r="G280" s="253"/>
    </row>
    <row r="281">
      <c r="A281" s="60"/>
      <c r="B281" s="60"/>
      <c r="C281" s="252"/>
      <c r="D281" s="252"/>
      <c r="E281" s="253"/>
      <c r="F281" s="254"/>
      <c r="G281" s="253"/>
    </row>
    <row r="282">
      <c r="A282" s="60"/>
      <c r="B282" s="60"/>
      <c r="C282" s="252"/>
      <c r="D282" s="252"/>
      <c r="E282" s="253"/>
      <c r="F282" s="254"/>
      <c r="G282" s="253"/>
    </row>
    <row r="283">
      <c r="A283" s="60"/>
      <c r="B283" s="60"/>
      <c r="C283" s="252"/>
      <c r="D283" s="252"/>
      <c r="E283" s="253"/>
      <c r="F283" s="254"/>
      <c r="G283" s="253"/>
    </row>
    <row r="284">
      <c r="A284" s="60"/>
      <c r="B284" s="60"/>
      <c r="C284" s="252"/>
      <c r="D284" s="252"/>
      <c r="E284" s="253"/>
      <c r="F284" s="254"/>
      <c r="G284" s="253"/>
    </row>
    <row r="285">
      <c r="A285" s="60"/>
      <c r="B285" s="60"/>
      <c r="C285" s="252"/>
      <c r="D285" s="252"/>
      <c r="E285" s="253"/>
      <c r="F285" s="254"/>
      <c r="G285" s="253"/>
    </row>
    <row r="286">
      <c r="A286" s="60"/>
      <c r="B286" s="60"/>
      <c r="C286" s="252"/>
      <c r="D286" s="252"/>
      <c r="E286" s="253"/>
      <c r="F286" s="254"/>
      <c r="G286" s="253"/>
    </row>
    <row r="287">
      <c r="A287" s="60"/>
      <c r="B287" s="60"/>
      <c r="C287" s="252"/>
      <c r="D287" s="252"/>
      <c r="E287" s="253"/>
      <c r="F287" s="254"/>
      <c r="G287" s="253"/>
    </row>
    <row r="288">
      <c r="A288" s="60"/>
      <c r="B288" s="60"/>
      <c r="C288" s="252"/>
      <c r="D288" s="252"/>
      <c r="E288" s="253"/>
      <c r="F288" s="254"/>
      <c r="G288" s="253"/>
    </row>
    <row r="289">
      <c r="A289" s="60"/>
      <c r="B289" s="60"/>
      <c r="C289" s="252"/>
      <c r="D289" s="252"/>
      <c r="E289" s="253"/>
      <c r="F289" s="254"/>
      <c r="G289" s="253"/>
    </row>
    <row r="290">
      <c r="A290" s="60"/>
      <c r="B290" s="60"/>
      <c r="C290" s="252"/>
      <c r="D290" s="252"/>
      <c r="E290" s="253"/>
      <c r="F290" s="254"/>
      <c r="G290" s="253"/>
    </row>
    <row r="291">
      <c r="A291" s="60"/>
      <c r="B291" s="60"/>
      <c r="C291" s="252"/>
      <c r="D291" s="252"/>
      <c r="E291" s="253"/>
      <c r="F291" s="254"/>
      <c r="G291" s="253"/>
    </row>
    <row r="292">
      <c r="A292" s="60"/>
      <c r="B292" s="60"/>
      <c r="C292" s="252"/>
      <c r="D292" s="252"/>
      <c r="E292" s="253"/>
      <c r="F292" s="254"/>
      <c r="G292" s="253"/>
    </row>
    <row r="293">
      <c r="A293" s="60"/>
      <c r="B293" s="60"/>
      <c r="C293" s="252"/>
      <c r="D293" s="252"/>
      <c r="E293" s="253"/>
      <c r="F293" s="254"/>
      <c r="G293" s="253"/>
    </row>
    <row r="294">
      <c r="A294" s="60"/>
      <c r="B294" s="60"/>
      <c r="C294" s="252"/>
      <c r="D294" s="252"/>
      <c r="E294" s="253"/>
      <c r="F294" s="254"/>
      <c r="G294" s="253"/>
    </row>
    <row r="295">
      <c r="A295" s="60"/>
      <c r="B295" s="60"/>
      <c r="C295" s="252"/>
      <c r="D295" s="252"/>
      <c r="E295" s="253"/>
      <c r="F295" s="254"/>
      <c r="G295" s="253"/>
    </row>
    <row r="296">
      <c r="A296" s="60"/>
      <c r="B296" s="60"/>
      <c r="C296" s="252"/>
      <c r="D296" s="252"/>
      <c r="E296" s="253"/>
      <c r="F296" s="254"/>
      <c r="G296" s="253"/>
    </row>
    <row r="297">
      <c r="A297" s="60"/>
      <c r="B297" s="60"/>
      <c r="C297" s="252"/>
      <c r="D297" s="252"/>
      <c r="E297" s="253"/>
      <c r="F297" s="254"/>
      <c r="G297" s="253"/>
    </row>
    <row r="298">
      <c r="A298" s="60"/>
      <c r="B298" s="60"/>
      <c r="C298" s="252"/>
      <c r="D298" s="252"/>
      <c r="E298" s="253"/>
      <c r="F298" s="254"/>
      <c r="G298" s="253"/>
    </row>
    <row r="299">
      <c r="A299" s="60"/>
      <c r="B299" s="60"/>
      <c r="C299" s="252"/>
      <c r="D299" s="252"/>
      <c r="E299" s="253"/>
      <c r="F299" s="254"/>
      <c r="G299" s="253"/>
    </row>
    <row r="300">
      <c r="A300" s="60"/>
      <c r="B300" s="60"/>
      <c r="C300" s="252"/>
      <c r="D300" s="252"/>
      <c r="E300" s="253"/>
      <c r="F300" s="254"/>
      <c r="G300" s="253"/>
    </row>
    <row r="301">
      <c r="A301" s="60"/>
      <c r="B301" s="60"/>
      <c r="C301" s="252"/>
      <c r="D301" s="252"/>
      <c r="E301" s="253"/>
      <c r="F301" s="254"/>
      <c r="G301" s="253"/>
    </row>
    <row r="302">
      <c r="A302" s="60"/>
      <c r="B302" s="60"/>
      <c r="C302" s="252"/>
      <c r="D302" s="252"/>
      <c r="E302" s="253"/>
      <c r="F302" s="254"/>
      <c r="G302" s="253"/>
    </row>
    <row r="303">
      <c r="A303" s="60"/>
      <c r="B303" s="60"/>
      <c r="C303" s="252"/>
      <c r="D303" s="252"/>
      <c r="E303" s="253"/>
      <c r="F303" s="254"/>
      <c r="G303" s="253"/>
    </row>
    <row r="304">
      <c r="A304" s="60"/>
      <c r="B304" s="60"/>
      <c r="C304" s="252"/>
      <c r="D304" s="252"/>
      <c r="E304" s="253"/>
      <c r="F304" s="254"/>
      <c r="G304" s="253"/>
    </row>
    <row r="305">
      <c r="A305" s="60"/>
      <c r="B305" s="60"/>
      <c r="C305" s="252"/>
      <c r="D305" s="252"/>
      <c r="E305" s="253"/>
      <c r="F305" s="254"/>
      <c r="G305" s="253"/>
    </row>
    <row r="306">
      <c r="A306" s="60"/>
      <c r="B306" s="60"/>
      <c r="C306" s="252"/>
      <c r="D306" s="252"/>
      <c r="E306" s="253"/>
      <c r="F306" s="254"/>
      <c r="G306" s="253"/>
    </row>
    <row r="307">
      <c r="A307" s="60"/>
      <c r="B307" s="60"/>
      <c r="C307" s="252"/>
      <c r="D307" s="252"/>
      <c r="E307" s="253"/>
      <c r="F307" s="254"/>
      <c r="G307" s="253"/>
    </row>
    <row r="308">
      <c r="A308" s="60"/>
      <c r="B308" s="60"/>
      <c r="C308" s="252"/>
      <c r="D308" s="252"/>
      <c r="E308" s="253"/>
      <c r="F308" s="254"/>
      <c r="G308" s="253"/>
    </row>
    <row r="309">
      <c r="A309" s="60"/>
      <c r="B309" s="60"/>
      <c r="C309" s="252"/>
      <c r="D309" s="252"/>
      <c r="E309" s="253"/>
      <c r="F309" s="254"/>
      <c r="G309" s="253"/>
    </row>
    <row r="310">
      <c r="A310" s="60"/>
      <c r="B310" s="60"/>
      <c r="C310" s="252"/>
      <c r="D310" s="252"/>
      <c r="E310" s="253"/>
      <c r="F310" s="254"/>
      <c r="G310" s="253"/>
    </row>
    <row r="311">
      <c r="A311" s="60"/>
      <c r="B311" s="60"/>
      <c r="C311" s="252"/>
      <c r="D311" s="252"/>
      <c r="E311" s="253"/>
      <c r="F311" s="254"/>
      <c r="G311" s="253"/>
    </row>
    <row r="312">
      <c r="A312" s="60"/>
      <c r="B312" s="60"/>
      <c r="C312" s="252"/>
      <c r="D312" s="252"/>
      <c r="E312" s="253"/>
      <c r="F312" s="254"/>
      <c r="G312" s="253"/>
    </row>
    <row r="313">
      <c r="A313" s="60"/>
      <c r="B313" s="60"/>
      <c r="C313" s="252"/>
      <c r="D313" s="252"/>
      <c r="E313" s="253"/>
      <c r="F313" s="254"/>
      <c r="G313" s="253"/>
    </row>
    <row r="314">
      <c r="A314" s="60"/>
      <c r="B314" s="60"/>
      <c r="C314" s="252"/>
      <c r="D314" s="252"/>
      <c r="E314" s="253"/>
      <c r="F314" s="254"/>
      <c r="G314" s="253"/>
    </row>
    <row r="315">
      <c r="A315" s="60"/>
      <c r="B315" s="60"/>
      <c r="C315" s="252"/>
      <c r="D315" s="252"/>
      <c r="E315" s="253"/>
      <c r="F315" s="254"/>
      <c r="G315" s="253"/>
    </row>
    <row r="316">
      <c r="A316" s="60"/>
      <c r="B316" s="60"/>
      <c r="C316" s="252"/>
      <c r="D316" s="252"/>
      <c r="E316" s="253"/>
      <c r="F316" s="254"/>
      <c r="G316" s="253"/>
    </row>
    <row r="317">
      <c r="A317" s="60"/>
      <c r="B317" s="60"/>
      <c r="C317" s="252"/>
      <c r="D317" s="252"/>
      <c r="E317" s="253"/>
      <c r="F317" s="254"/>
      <c r="G317" s="253"/>
    </row>
    <row r="318">
      <c r="A318" s="60"/>
      <c r="B318" s="60"/>
      <c r="C318" s="252"/>
      <c r="D318" s="252"/>
      <c r="E318" s="253"/>
      <c r="F318" s="254"/>
      <c r="G318" s="253"/>
    </row>
    <row r="319">
      <c r="A319" s="60"/>
      <c r="B319" s="60"/>
      <c r="C319" s="252"/>
      <c r="D319" s="252"/>
      <c r="E319" s="253"/>
      <c r="F319" s="254"/>
      <c r="G319" s="253"/>
    </row>
    <row r="320">
      <c r="A320" s="60"/>
      <c r="B320" s="60"/>
      <c r="C320" s="252"/>
      <c r="D320" s="252"/>
      <c r="E320" s="253"/>
      <c r="F320" s="254"/>
      <c r="G320" s="253"/>
    </row>
    <row r="321">
      <c r="A321" s="60"/>
      <c r="B321" s="60"/>
      <c r="C321" s="252"/>
      <c r="D321" s="252"/>
      <c r="E321" s="253"/>
      <c r="F321" s="254"/>
      <c r="G321" s="253"/>
    </row>
    <row r="322">
      <c r="A322" s="60"/>
      <c r="B322" s="60"/>
      <c r="C322" s="252"/>
      <c r="D322" s="252"/>
      <c r="E322" s="253"/>
      <c r="F322" s="254"/>
      <c r="G322" s="253"/>
    </row>
    <row r="323">
      <c r="A323" s="60"/>
      <c r="B323" s="60"/>
      <c r="C323" s="252"/>
      <c r="D323" s="252"/>
      <c r="E323" s="253"/>
      <c r="F323" s="254"/>
      <c r="G323" s="253"/>
    </row>
    <row r="324">
      <c r="A324" s="60"/>
      <c r="B324" s="60"/>
      <c r="C324" s="252"/>
      <c r="D324" s="252"/>
      <c r="E324" s="253"/>
      <c r="F324" s="254"/>
      <c r="G324" s="253"/>
    </row>
    <row r="325">
      <c r="A325" s="60"/>
      <c r="B325" s="60"/>
      <c r="C325" s="252"/>
      <c r="D325" s="252"/>
      <c r="E325" s="253"/>
      <c r="F325" s="254"/>
      <c r="G325" s="253"/>
    </row>
    <row r="326">
      <c r="A326" s="60"/>
      <c r="B326" s="60"/>
      <c r="C326" s="252"/>
      <c r="D326" s="252"/>
      <c r="E326" s="253"/>
      <c r="F326" s="254"/>
      <c r="G326" s="253"/>
    </row>
    <row r="327">
      <c r="A327" s="60"/>
      <c r="B327" s="60"/>
      <c r="C327" s="252"/>
      <c r="D327" s="252"/>
      <c r="E327" s="253"/>
      <c r="F327" s="254"/>
      <c r="G327" s="253"/>
    </row>
    <row r="328">
      <c r="A328" s="60"/>
      <c r="B328" s="60"/>
      <c r="C328" s="252"/>
      <c r="D328" s="252"/>
      <c r="E328" s="253"/>
      <c r="F328" s="254"/>
      <c r="G328" s="253"/>
    </row>
    <row r="329">
      <c r="A329" s="60"/>
      <c r="B329" s="60"/>
      <c r="C329" s="252"/>
      <c r="D329" s="252"/>
      <c r="E329" s="253"/>
      <c r="F329" s="254"/>
      <c r="G329" s="253"/>
    </row>
    <row r="330">
      <c r="A330" s="60"/>
      <c r="B330" s="60"/>
      <c r="C330" s="252"/>
      <c r="D330" s="252"/>
      <c r="E330" s="253"/>
      <c r="F330" s="254"/>
      <c r="G330" s="253"/>
    </row>
    <row r="331">
      <c r="A331" s="60"/>
      <c r="B331" s="60"/>
      <c r="C331" s="252"/>
      <c r="D331" s="252"/>
      <c r="E331" s="253"/>
      <c r="F331" s="254"/>
      <c r="G331" s="253"/>
    </row>
    <row r="332">
      <c r="A332" s="60"/>
      <c r="B332" s="60"/>
      <c r="C332" s="252"/>
      <c r="D332" s="252"/>
      <c r="E332" s="253"/>
      <c r="F332" s="254"/>
      <c r="G332" s="253"/>
    </row>
    <row r="333">
      <c r="A333" s="60"/>
      <c r="B333" s="60"/>
      <c r="C333" s="252"/>
      <c r="D333" s="252"/>
      <c r="E333" s="253"/>
      <c r="F333" s="254"/>
      <c r="G333" s="253"/>
    </row>
    <row r="334">
      <c r="A334" s="60"/>
      <c r="B334" s="60"/>
      <c r="C334" s="252"/>
      <c r="D334" s="252"/>
      <c r="E334" s="253"/>
      <c r="F334" s="254"/>
      <c r="G334" s="253"/>
    </row>
    <row r="335">
      <c r="A335" s="60"/>
      <c r="B335" s="60"/>
      <c r="C335" s="252"/>
      <c r="D335" s="252"/>
      <c r="E335" s="253"/>
      <c r="F335" s="254"/>
      <c r="G335" s="253"/>
    </row>
    <row r="336">
      <c r="A336" s="60"/>
      <c r="B336" s="60"/>
      <c r="C336" s="252"/>
      <c r="D336" s="252"/>
      <c r="E336" s="253"/>
      <c r="F336" s="254"/>
      <c r="G336" s="253"/>
    </row>
    <row r="337">
      <c r="A337" s="60"/>
      <c r="B337" s="60"/>
      <c r="C337" s="252"/>
      <c r="D337" s="252"/>
      <c r="E337" s="253"/>
      <c r="F337" s="254"/>
      <c r="G337" s="253"/>
    </row>
    <row r="338">
      <c r="A338" s="60"/>
      <c r="B338" s="60"/>
      <c r="C338" s="252"/>
      <c r="D338" s="252"/>
      <c r="E338" s="253"/>
      <c r="F338" s="254"/>
      <c r="G338" s="253"/>
    </row>
    <row r="339">
      <c r="A339" s="60"/>
      <c r="B339" s="60"/>
      <c r="C339" s="252"/>
      <c r="D339" s="252"/>
      <c r="E339" s="253"/>
      <c r="F339" s="254"/>
      <c r="G339" s="253"/>
    </row>
    <row r="340">
      <c r="A340" s="60"/>
      <c r="B340" s="60"/>
      <c r="C340" s="252"/>
      <c r="D340" s="252"/>
      <c r="E340" s="253"/>
      <c r="F340" s="254"/>
      <c r="G340" s="253"/>
    </row>
    <row r="341">
      <c r="A341" s="60"/>
      <c r="B341" s="60"/>
      <c r="C341" s="252"/>
      <c r="D341" s="252"/>
      <c r="E341" s="253"/>
      <c r="F341" s="254"/>
      <c r="G341" s="253"/>
    </row>
    <row r="342">
      <c r="A342" s="60"/>
      <c r="B342" s="60"/>
      <c r="C342" s="252"/>
      <c r="D342" s="252"/>
      <c r="E342" s="253"/>
      <c r="F342" s="254"/>
      <c r="G342" s="253"/>
    </row>
    <row r="343">
      <c r="A343" s="60"/>
      <c r="B343" s="60"/>
      <c r="C343" s="252"/>
      <c r="D343" s="252"/>
      <c r="E343" s="253"/>
      <c r="F343" s="254"/>
      <c r="G343" s="253"/>
    </row>
    <row r="344">
      <c r="A344" s="60"/>
      <c r="B344" s="60"/>
      <c r="C344" s="252"/>
      <c r="D344" s="252"/>
      <c r="E344" s="253"/>
      <c r="F344" s="254"/>
      <c r="G344" s="253"/>
    </row>
    <row r="345">
      <c r="A345" s="60"/>
      <c r="B345" s="60"/>
      <c r="C345" s="252"/>
      <c r="D345" s="252"/>
      <c r="E345" s="253"/>
      <c r="F345" s="254"/>
      <c r="G345" s="253"/>
    </row>
    <row r="346">
      <c r="A346" s="60"/>
      <c r="B346" s="60"/>
      <c r="C346" s="252"/>
      <c r="D346" s="252"/>
      <c r="E346" s="253"/>
      <c r="F346" s="254"/>
      <c r="G346" s="253"/>
    </row>
    <row r="347">
      <c r="A347" s="60"/>
      <c r="B347" s="60"/>
      <c r="C347" s="252"/>
      <c r="D347" s="252"/>
      <c r="E347" s="253"/>
      <c r="F347" s="254"/>
      <c r="G347" s="253"/>
    </row>
    <row r="348">
      <c r="A348" s="60"/>
      <c r="B348" s="60"/>
      <c r="C348" s="252"/>
      <c r="D348" s="252"/>
      <c r="E348" s="253"/>
      <c r="F348" s="254"/>
      <c r="G348" s="253"/>
    </row>
    <row r="349">
      <c r="A349" s="60"/>
      <c r="B349" s="60"/>
      <c r="C349" s="252"/>
      <c r="D349" s="252"/>
      <c r="E349" s="253"/>
      <c r="F349" s="254"/>
      <c r="G349" s="253"/>
    </row>
    <row r="350">
      <c r="A350" s="60"/>
      <c r="B350" s="60"/>
      <c r="C350" s="252"/>
      <c r="D350" s="252"/>
      <c r="E350" s="253"/>
      <c r="F350" s="254"/>
      <c r="G350" s="253"/>
    </row>
    <row r="351">
      <c r="A351" s="60"/>
      <c r="B351" s="60"/>
      <c r="C351" s="252"/>
      <c r="D351" s="252"/>
      <c r="E351" s="253"/>
      <c r="F351" s="254"/>
      <c r="G351" s="253"/>
    </row>
    <row r="352">
      <c r="A352" s="60"/>
      <c r="B352" s="60"/>
      <c r="C352" s="252"/>
      <c r="D352" s="252"/>
      <c r="E352" s="253"/>
      <c r="F352" s="254"/>
      <c r="G352" s="253"/>
    </row>
    <row r="353">
      <c r="A353" s="60"/>
      <c r="B353" s="60"/>
      <c r="C353" s="252"/>
      <c r="D353" s="252"/>
      <c r="E353" s="253"/>
      <c r="F353" s="254"/>
      <c r="G353" s="253"/>
    </row>
    <row r="354">
      <c r="A354" s="60"/>
      <c r="B354" s="60"/>
      <c r="C354" s="252"/>
      <c r="D354" s="252"/>
      <c r="E354" s="253"/>
      <c r="F354" s="254"/>
      <c r="G354" s="253"/>
    </row>
    <row r="355">
      <c r="A355" s="60"/>
      <c r="B355" s="60"/>
      <c r="C355" s="252"/>
      <c r="D355" s="252"/>
      <c r="E355" s="253"/>
      <c r="F355" s="254"/>
      <c r="G355" s="253"/>
    </row>
    <row r="356">
      <c r="A356" s="60"/>
      <c r="B356" s="60"/>
      <c r="C356" s="252"/>
      <c r="D356" s="252"/>
      <c r="E356" s="253"/>
      <c r="F356" s="254"/>
      <c r="G356" s="253"/>
    </row>
    <row r="357">
      <c r="A357" s="60"/>
      <c r="B357" s="60"/>
      <c r="C357" s="252"/>
      <c r="D357" s="252"/>
      <c r="E357" s="253"/>
      <c r="F357" s="254"/>
      <c r="G357" s="253"/>
    </row>
    <row r="358">
      <c r="A358" s="60"/>
      <c r="B358" s="60"/>
      <c r="C358" s="252"/>
      <c r="D358" s="252"/>
      <c r="E358" s="253"/>
      <c r="F358" s="254"/>
      <c r="G358" s="253"/>
    </row>
    <row r="359">
      <c r="A359" s="60"/>
      <c r="B359" s="60"/>
      <c r="C359" s="252"/>
      <c r="D359" s="252"/>
      <c r="E359" s="253"/>
      <c r="F359" s="254"/>
      <c r="G359" s="253"/>
    </row>
    <row r="360">
      <c r="A360" s="60"/>
      <c r="B360" s="60"/>
      <c r="C360" s="252"/>
      <c r="D360" s="252"/>
      <c r="E360" s="253"/>
      <c r="F360" s="254"/>
      <c r="G360" s="253"/>
    </row>
    <row r="361">
      <c r="A361" s="60"/>
      <c r="B361" s="60"/>
      <c r="C361" s="252"/>
      <c r="D361" s="252"/>
      <c r="E361" s="253"/>
      <c r="F361" s="254"/>
      <c r="G361" s="253"/>
    </row>
    <row r="362">
      <c r="A362" s="60"/>
      <c r="B362" s="60"/>
      <c r="C362" s="252"/>
      <c r="D362" s="252"/>
      <c r="E362" s="253"/>
      <c r="F362" s="254"/>
      <c r="G362" s="253"/>
    </row>
    <row r="363">
      <c r="A363" s="60"/>
      <c r="B363" s="60"/>
      <c r="C363" s="252"/>
      <c r="D363" s="252"/>
      <c r="E363" s="253"/>
      <c r="F363" s="254"/>
      <c r="G363" s="253"/>
    </row>
    <row r="364">
      <c r="A364" s="60"/>
      <c r="B364" s="60"/>
      <c r="C364" s="252"/>
      <c r="D364" s="252"/>
      <c r="E364" s="253"/>
      <c r="F364" s="254"/>
      <c r="G364" s="253"/>
    </row>
    <row r="365">
      <c r="A365" s="60"/>
      <c r="B365" s="60"/>
      <c r="C365" s="252"/>
      <c r="D365" s="252"/>
      <c r="E365" s="253"/>
      <c r="F365" s="254"/>
      <c r="G365" s="253"/>
    </row>
    <row r="366">
      <c r="A366" s="60"/>
      <c r="B366" s="60"/>
      <c r="C366" s="252"/>
      <c r="D366" s="252"/>
      <c r="E366" s="253"/>
      <c r="F366" s="254"/>
      <c r="G366" s="253"/>
    </row>
    <row r="367">
      <c r="A367" s="60"/>
      <c r="B367" s="60"/>
      <c r="C367" s="252"/>
      <c r="D367" s="252"/>
      <c r="E367" s="253"/>
      <c r="F367" s="254"/>
      <c r="G367" s="253"/>
    </row>
    <row r="368">
      <c r="A368" s="60"/>
      <c r="B368" s="60"/>
      <c r="C368" s="252"/>
      <c r="D368" s="252"/>
      <c r="E368" s="253"/>
      <c r="F368" s="254"/>
      <c r="G368" s="253"/>
    </row>
    <row r="369">
      <c r="A369" s="60"/>
      <c r="B369" s="60"/>
      <c r="C369" s="252"/>
      <c r="D369" s="252"/>
      <c r="E369" s="253"/>
      <c r="F369" s="254"/>
      <c r="G369" s="253"/>
    </row>
    <row r="370">
      <c r="A370" s="60"/>
      <c r="B370" s="60"/>
      <c r="C370" s="252"/>
      <c r="D370" s="252"/>
      <c r="E370" s="253"/>
      <c r="F370" s="254"/>
      <c r="G370" s="253"/>
    </row>
    <row r="371">
      <c r="A371" s="60"/>
      <c r="B371" s="60"/>
      <c r="C371" s="252"/>
      <c r="D371" s="252"/>
      <c r="E371" s="253"/>
      <c r="F371" s="254"/>
      <c r="G371" s="253"/>
    </row>
    <row r="372">
      <c r="A372" s="60"/>
      <c r="B372" s="60"/>
      <c r="C372" s="252"/>
      <c r="D372" s="252"/>
      <c r="E372" s="253"/>
      <c r="F372" s="254"/>
      <c r="G372" s="253"/>
    </row>
    <row r="373">
      <c r="A373" s="60"/>
      <c r="B373" s="60"/>
      <c r="C373" s="252"/>
      <c r="D373" s="252"/>
      <c r="E373" s="253"/>
      <c r="F373" s="254"/>
      <c r="G373" s="253"/>
    </row>
    <row r="374">
      <c r="A374" s="60"/>
      <c r="B374" s="60"/>
      <c r="C374" s="252"/>
      <c r="D374" s="252"/>
      <c r="E374" s="253"/>
      <c r="F374" s="254"/>
      <c r="G374" s="253"/>
    </row>
    <row r="375">
      <c r="A375" s="60"/>
      <c r="B375" s="60"/>
      <c r="C375" s="252"/>
      <c r="D375" s="252"/>
      <c r="E375" s="253"/>
      <c r="F375" s="254"/>
      <c r="G375" s="253"/>
    </row>
    <row r="376">
      <c r="A376" s="60"/>
      <c r="B376" s="60"/>
      <c r="C376" s="252"/>
      <c r="D376" s="252"/>
      <c r="E376" s="253"/>
      <c r="F376" s="254"/>
      <c r="G376" s="253"/>
    </row>
    <row r="377">
      <c r="A377" s="60"/>
      <c r="B377" s="60"/>
      <c r="C377" s="252"/>
      <c r="D377" s="252"/>
      <c r="E377" s="253"/>
      <c r="F377" s="254"/>
      <c r="G377" s="253"/>
    </row>
    <row r="378">
      <c r="A378" s="60"/>
      <c r="B378" s="60"/>
      <c r="C378" s="252"/>
      <c r="D378" s="252"/>
      <c r="E378" s="253"/>
      <c r="F378" s="254"/>
      <c r="G378" s="253"/>
    </row>
    <row r="379">
      <c r="A379" s="60"/>
      <c r="B379" s="60"/>
      <c r="C379" s="252"/>
      <c r="D379" s="252"/>
      <c r="E379" s="253"/>
      <c r="F379" s="254"/>
      <c r="G379" s="253"/>
    </row>
    <row r="380">
      <c r="A380" s="60"/>
      <c r="B380" s="60"/>
      <c r="C380" s="252"/>
      <c r="D380" s="252"/>
      <c r="E380" s="253"/>
      <c r="F380" s="254"/>
      <c r="G380" s="253"/>
    </row>
    <row r="381">
      <c r="A381" s="60"/>
      <c r="B381" s="60"/>
      <c r="C381" s="252"/>
      <c r="D381" s="252"/>
      <c r="E381" s="253"/>
      <c r="F381" s="254"/>
      <c r="G381" s="253"/>
    </row>
    <row r="382">
      <c r="A382" s="60"/>
      <c r="B382" s="60"/>
      <c r="C382" s="252"/>
      <c r="D382" s="252"/>
      <c r="E382" s="253"/>
      <c r="F382" s="254"/>
      <c r="G382" s="253"/>
    </row>
    <row r="383">
      <c r="A383" s="60"/>
      <c r="B383" s="60"/>
      <c r="C383" s="252"/>
      <c r="D383" s="252"/>
      <c r="E383" s="253"/>
      <c r="F383" s="254"/>
      <c r="G383" s="253"/>
    </row>
    <row r="384">
      <c r="A384" s="60"/>
      <c r="B384" s="60"/>
      <c r="C384" s="252"/>
      <c r="D384" s="252"/>
      <c r="E384" s="253"/>
      <c r="F384" s="254"/>
      <c r="G384" s="253"/>
    </row>
    <row r="385">
      <c r="A385" s="60"/>
      <c r="B385" s="60"/>
      <c r="C385" s="252"/>
      <c r="D385" s="252"/>
      <c r="E385" s="253"/>
      <c r="F385" s="254"/>
      <c r="G385" s="253"/>
    </row>
    <row r="386">
      <c r="A386" s="60"/>
      <c r="B386" s="60"/>
      <c r="C386" s="252"/>
      <c r="D386" s="252"/>
      <c r="E386" s="253"/>
      <c r="F386" s="254"/>
      <c r="G386" s="253"/>
    </row>
    <row r="387">
      <c r="A387" s="60"/>
      <c r="B387" s="60"/>
      <c r="C387" s="252"/>
      <c r="D387" s="252"/>
      <c r="E387" s="253"/>
      <c r="F387" s="254"/>
      <c r="G387" s="253"/>
    </row>
    <row r="388">
      <c r="A388" s="60"/>
      <c r="B388" s="60"/>
      <c r="C388" s="252"/>
      <c r="D388" s="252"/>
      <c r="E388" s="253"/>
      <c r="F388" s="254"/>
      <c r="G388" s="253"/>
    </row>
    <row r="389">
      <c r="A389" s="60"/>
      <c r="B389" s="60"/>
      <c r="C389" s="252"/>
      <c r="D389" s="252"/>
      <c r="E389" s="253"/>
      <c r="F389" s="254"/>
      <c r="G389" s="253"/>
    </row>
    <row r="390">
      <c r="A390" s="60"/>
      <c r="B390" s="60"/>
      <c r="C390" s="252"/>
      <c r="D390" s="252"/>
      <c r="E390" s="253"/>
      <c r="F390" s="254"/>
      <c r="G390" s="253"/>
    </row>
    <row r="391">
      <c r="A391" s="60"/>
      <c r="B391" s="60"/>
      <c r="C391" s="252"/>
      <c r="D391" s="252"/>
      <c r="E391" s="253"/>
      <c r="F391" s="254"/>
      <c r="G391" s="253"/>
    </row>
    <row r="392">
      <c r="A392" s="60"/>
      <c r="B392" s="60"/>
      <c r="C392" s="252"/>
      <c r="D392" s="252"/>
      <c r="E392" s="253"/>
      <c r="F392" s="254"/>
      <c r="G392" s="253"/>
    </row>
    <row r="393">
      <c r="A393" s="60"/>
      <c r="B393" s="60"/>
      <c r="C393" s="252"/>
      <c r="D393" s="252"/>
      <c r="E393" s="253"/>
      <c r="F393" s="254"/>
      <c r="G393" s="253"/>
    </row>
    <row r="394">
      <c r="A394" s="60"/>
      <c r="B394" s="60"/>
      <c r="C394" s="252"/>
      <c r="D394" s="252"/>
      <c r="E394" s="253"/>
      <c r="F394" s="254"/>
      <c r="G394" s="253"/>
    </row>
    <row r="395">
      <c r="A395" s="60"/>
      <c r="B395" s="60"/>
      <c r="C395" s="252"/>
      <c r="D395" s="252"/>
      <c r="E395" s="253"/>
      <c r="F395" s="254"/>
      <c r="G395" s="253"/>
    </row>
    <row r="396">
      <c r="A396" s="60"/>
      <c r="B396" s="60"/>
      <c r="C396" s="252"/>
      <c r="D396" s="252"/>
      <c r="E396" s="253"/>
      <c r="F396" s="254"/>
      <c r="G396" s="253"/>
    </row>
    <row r="397">
      <c r="A397" s="60"/>
      <c r="B397" s="60"/>
      <c r="C397" s="252"/>
      <c r="D397" s="252"/>
      <c r="E397" s="253"/>
      <c r="F397" s="254"/>
      <c r="G397" s="253"/>
    </row>
    <row r="398">
      <c r="A398" s="60"/>
      <c r="B398" s="60"/>
      <c r="C398" s="252"/>
      <c r="D398" s="252"/>
      <c r="E398" s="253"/>
      <c r="F398" s="254"/>
      <c r="G398" s="253"/>
    </row>
    <row r="399">
      <c r="A399" s="60"/>
      <c r="B399" s="60"/>
      <c r="C399" s="252"/>
      <c r="D399" s="252"/>
      <c r="E399" s="253"/>
      <c r="F399" s="254"/>
      <c r="G399" s="253"/>
    </row>
    <row r="400">
      <c r="A400" s="60"/>
      <c r="B400" s="60"/>
      <c r="C400" s="252"/>
      <c r="D400" s="252"/>
      <c r="E400" s="253"/>
      <c r="F400" s="254"/>
      <c r="G400" s="253"/>
    </row>
    <row r="401">
      <c r="A401" s="60"/>
      <c r="B401" s="60"/>
      <c r="C401" s="252"/>
      <c r="D401" s="252"/>
      <c r="E401" s="253"/>
      <c r="F401" s="254"/>
      <c r="G401" s="253"/>
    </row>
    <row r="402">
      <c r="A402" s="60"/>
      <c r="B402" s="60"/>
      <c r="C402" s="252"/>
      <c r="D402" s="252"/>
      <c r="E402" s="253"/>
      <c r="F402" s="254"/>
      <c r="G402" s="253"/>
    </row>
    <row r="403">
      <c r="A403" s="60"/>
      <c r="B403" s="60"/>
      <c r="C403" s="252"/>
      <c r="D403" s="252"/>
      <c r="E403" s="253"/>
      <c r="F403" s="254"/>
      <c r="G403" s="253"/>
    </row>
    <row r="404">
      <c r="A404" s="60"/>
      <c r="B404" s="60"/>
      <c r="C404" s="252"/>
      <c r="D404" s="252"/>
      <c r="E404" s="253"/>
      <c r="F404" s="254"/>
      <c r="G404" s="253"/>
    </row>
    <row r="405">
      <c r="A405" s="60"/>
      <c r="B405" s="60"/>
      <c r="C405" s="252"/>
      <c r="D405" s="252"/>
      <c r="E405" s="253"/>
      <c r="F405" s="254"/>
      <c r="G405" s="253"/>
    </row>
    <row r="406">
      <c r="A406" s="60"/>
      <c r="B406" s="60"/>
      <c r="C406" s="252"/>
      <c r="D406" s="252"/>
      <c r="E406" s="253"/>
      <c r="F406" s="254"/>
      <c r="G406" s="253"/>
    </row>
    <row r="407">
      <c r="A407" s="60"/>
      <c r="B407" s="60"/>
      <c r="C407" s="252"/>
      <c r="D407" s="252"/>
      <c r="E407" s="253"/>
      <c r="F407" s="254"/>
      <c r="G407" s="253"/>
    </row>
    <row r="408">
      <c r="A408" s="60"/>
      <c r="B408" s="60"/>
      <c r="C408" s="252"/>
      <c r="D408" s="252"/>
      <c r="E408" s="253"/>
      <c r="F408" s="254"/>
      <c r="G408" s="253"/>
    </row>
    <row r="409">
      <c r="A409" s="60"/>
      <c r="B409" s="60"/>
      <c r="C409" s="252"/>
      <c r="D409" s="252"/>
      <c r="E409" s="253"/>
      <c r="F409" s="254"/>
      <c r="G409" s="253"/>
    </row>
    <row r="410">
      <c r="A410" s="60"/>
      <c r="B410" s="60"/>
      <c r="C410" s="252"/>
      <c r="D410" s="252"/>
      <c r="E410" s="253"/>
      <c r="F410" s="254"/>
      <c r="G410" s="253"/>
    </row>
    <row r="411">
      <c r="A411" s="60"/>
      <c r="B411" s="60"/>
      <c r="C411" s="252"/>
      <c r="D411" s="252"/>
      <c r="E411" s="253"/>
      <c r="F411" s="254"/>
      <c r="G411" s="253"/>
    </row>
    <row r="412">
      <c r="A412" s="60"/>
      <c r="B412" s="60"/>
      <c r="C412" s="252"/>
      <c r="D412" s="252"/>
      <c r="E412" s="253"/>
      <c r="F412" s="254"/>
      <c r="G412" s="253"/>
    </row>
    <row r="413">
      <c r="A413" s="60"/>
      <c r="B413" s="60"/>
      <c r="C413" s="252"/>
      <c r="D413" s="252"/>
      <c r="E413" s="253"/>
      <c r="F413" s="254"/>
      <c r="G413" s="253"/>
    </row>
    <row r="414">
      <c r="A414" s="60"/>
      <c r="B414" s="60"/>
      <c r="C414" s="252"/>
      <c r="D414" s="252"/>
      <c r="E414" s="253"/>
      <c r="F414" s="254"/>
      <c r="G414" s="253"/>
    </row>
    <row r="415">
      <c r="A415" s="60"/>
      <c r="B415" s="60"/>
      <c r="C415" s="252"/>
      <c r="D415" s="252"/>
      <c r="E415" s="253"/>
      <c r="F415" s="254"/>
      <c r="G415" s="253"/>
    </row>
    <row r="416">
      <c r="A416" s="60"/>
      <c r="B416" s="60"/>
      <c r="C416" s="252"/>
      <c r="D416" s="252"/>
      <c r="E416" s="253"/>
      <c r="F416" s="254"/>
      <c r="G416" s="253"/>
    </row>
    <row r="417">
      <c r="A417" s="60"/>
      <c r="B417" s="60"/>
      <c r="C417" s="252"/>
      <c r="D417" s="252"/>
      <c r="E417" s="253"/>
      <c r="F417" s="254"/>
      <c r="G417" s="253"/>
    </row>
    <row r="418">
      <c r="A418" s="60"/>
      <c r="B418" s="60"/>
      <c r="C418" s="252"/>
      <c r="D418" s="252"/>
      <c r="E418" s="253"/>
      <c r="F418" s="254"/>
      <c r="G418" s="253"/>
    </row>
    <row r="419">
      <c r="A419" s="60"/>
      <c r="B419" s="60"/>
      <c r="C419" s="252"/>
      <c r="D419" s="252"/>
      <c r="E419" s="253"/>
      <c r="F419" s="254"/>
      <c r="G419" s="253"/>
    </row>
    <row r="420">
      <c r="A420" s="60"/>
      <c r="B420" s="60"/>
      <c r="C420" s="252"/>
      <c r="D420" s="252"/>
      <c r="E420" s="253"/>
      <c r="F420" s="254"/>
      <c r="G420" s="253"/>
    </row>
    <row r="421">
      <c r="A421" s="60"/>
      <c r="B421" s="60"/>
      <c r="C421" s="252"/>
      <c r="D421" s="252"/>
      <c r="E421" s="253"/>
      <c r="F421" s="254"/>
      <c r="G421" s="253"/>
    </row>
    <row r="422">
      <c r="A422" s="60"/>
      <c r="B422" s="60"/>
      <c r="C422" s="252"/>
      <c r="D422" s="252"/>
      <c r="E422" s="253"/>
      <c r="F422" s="254"/>
      <c r="G422" s="253"/>
    </row>
    <row r="423">
      <c r="A423" s="60"/>
      <c r="B423" s="60"/>
      <c r="C423" s="252"/>
      <c r="D423" s="252"/>
      <c r="E423" s="253"/>
      <c r="F423" s="254"/>
      <c r="G423" s="253"/>
    </row>
    <row r="424">
      <c r="A424" s="60"/>
      <c r="B424" s="60"/>
      <c r="C424" s="252"/>
      <c r="D424" s="252"/>
      <c r="E424" s="253"/>
      <c r="F424" s="254"/>
      <c r="G424" s="253"/>
    </row>
    <row r="425">
      <c r="A425" s="60"/>
      <c r="B425" s="60"/>
      <c r="C425" s="252"/>
      <c r="D425" s="252"/>
      <c r="E425" s="253"/>
      <c r="F425" s="254"/>
      <c r="G425" s="253"/>
    </row>
    <row r="426">
      <c r="A426" s="60"/>
      <c r="B426" s="60"/>
      <c r="C426" s="252"/>
      <c r="D426" s="252"/>
      <c r="E426" s="253"/>
      <c r="F426" s="254"/>
      <c r="G426" s="253"/>
    </row>
    <row r="427">
      <c r="A427" s="60"/>
      <c r="B427" s="60"/>
      <c r="C427" s="252"/>
      <c r="D427" s="252"/>
      <c r="E427" s="253"/>
      <c r="F427" s="254"/>
      <c r="G427" s="253"/>
    </row>
    <row r="428">
      <c r="A428" s="60"/>
      <c r="B428" s="60"/>
      <c r="C428" s="252"/>
      <c r="D428" s="252"/>
      <c r="E428" s="253"/>
      <c r="F428" s="254"/>
      <c r="G428" s="253"/>
    </row>
    <row r="429">
      <c r="A429" s="60"/>
      <c r="B429" s="60"/>
      <c r="C429" s="252"/>
      <c r="D429" s="252"/>
      <c r="E429" s="253"/>
      <c r="F429" s="254"/>
      <c r="G429" s="253"/>
    </row>
    <row r="430">
      <c r="A430" s="60"/>
      <c r="B430" s="60"/>
      <c r="C430" s="252"/>
      <c r="D430" s="252"/>
      <c r="E430" s="253"/>
      <c r="F430" s="254"/>
      <c r="G430" s="253"/>
    </row>
    <row r="431">
      <c r="A431" s="60"/>
      <c r="B431" s="60"/>
      <c r="C431" s="252"/>
      <c r="D431" s="252"/>
      <c r="E431" s="253"/>
      <c r="F431" s="254"/>
      <c r="G431" s="253"/>
    </row>
    <row r="432">
      <c r="A432" s="60"/>
      <c r="B432" s="60"/>
      <c r="C432" s="252"/>
      <c r="D432" s="252"/>
      <c r="E432" s="253"/>
      <c r="F432" s="254"/>
      <c r="G432" s="253"/>
    </row>
    <row r="433">
      <c r="A433" s="60"/>
      <c r="B433" s="60"/>
      <c r="C433" s="252"/>
      <c r="D433" s="252"/>
      <c r="E433" s="253"/>
      <c r="F433" s="254"/>
      <c r="G433" s="253"/>
    </row>
    <row r="434">
      <c r="A434" s="60"/>
      <c r="B434" s="60"/>
      <c r="C434" s="252"/>
      <c r="D434" s="252"/>
      <c r="E434" s="253"/>
      <c r="F434" s="254"/>
      <c r="G434" s="253"/>
    </row>
    <row r="435">
      <c r="A435" s="60"/>
      <c r="B435" s="60"/>
      <c r="C435" s="252"/>
      <c r="D435" s="252"/>
      <c r="E435" s="253"/>
      <c r="F435" s="254"/>
      <c r="G435" s="253"/>
    </row>
    <row r="436">
      <c r="A436" s="60"/>
      <c r="B436" s="60"/>
      <c r="C436" s="252"/>
      <c r="D436" s="252"/>
      <c r="E436" s="253"/>
      <c r="F436" s="254"/>
      <c r="G436" s="253"/>
    </row>
    <row r="437">
      <c r="A437" s="60"/>
      <c r="B437" s="60"/>
      <c r="C437" s="252"/>
      <c r="D437" s="252"/>
      <c r="E437" s="253"/>
      <c r="F437" s="254"/>
      <c r="G437" s="253"/>
    </row>
    <row r="438">
      <c r="A438" s="60"/>
      <c r="B438" s="60"/>
      <c r="C438" s="252"/>
      <c r="D438" s="252"/>
      <c r="E438" s="253"/>
      <c r="F438" s="254"/>
      <c r="G438" s="253"/>
    </row>
    <row r="439">
      <c r="A439" s="60"/>
      <c r="B439" s="60"/>
      <c r="C439" s="252"/>
      <c r="D439" s="252"/>
      <c r="E439" s="253"/>
      <c r="F439" s="254"/>
      <c r="G439" s="253"/>
    </row>
    <row r="440">
      <c r="A440" s="60"/>
      <c r="B440" s="60"/>
      <c r="C440" s="252"/>
      <c r="D440" s="252"/>
      <c r="E440" s="253"/>
      <c r="F440" s="254"/>
      <c r="G440" s="253"/>
    </row>
    <row r="441">
      <c r="A441" s="60"/>
      <c r="B441" s="60"/>
      <c r="C441" s="252"/>
      <c r="D441" s="252"/>
      <c r="E441" s="253"/>
      <c r="F441" s="254"/>
      <c r="G441" s="253"/>
    </row>
    <row r="442">
      <c r="A442" s="60"/>
      <c r="B442" s="60"/>
      <c r="C442" s="252"/>
      <c r="D442" s="252"/>
      <c r="E442" s="253"/>
      <c r="F442" s="254"/>
      <c r="G442" s="253"/>
    </row>
    <row r="443">
      <c r="A443" s="60"/>
      <c r="B443" s="60"/>
      <c r="C443" s="252"/>
      <c r="D443" s="252"/>
      <c r="E443" s="253"/>
      <c r="F443" s="254"/>
      <c r="G443" s="253"/>
    </row>
    <row r="444">
      <c r="A444" s="60"/>
      <c r="B444" s="60"/>
      <c r="C444" s="252"/>
      <c r="D444" s="252"/>
      <c r="E444" s="253"/>
      <c r="F444" s="254"/>
      <c r="G444" s="253"/>
    </row>
    <row r="445">
      <c r="A445" s="60"/>
      <c r="B445" s="60"/>
      <c r="C445" s="252"/>
      <c r="D445" s="252"/>
      <c r="E445" s="253"/>
      <c r="F445" s="254"/>
      <c r="G445" s="253"/>
    </row>
    <row r="446">
      <c r="A446" s="60"/>
      <c r="B446" s="60"/>
      <c r="C446" s="252"/>
      <c r="D446" s="252"/>
      <c r="E446" s="253"/>
      <c r="F446" s="254"/>
      <c r="G446" s="253"/>
    </row>
    <row r="447">
      <c r="A447" s="60"/>
      <c r="B447" s="60"/>
      <c r="C447" s="252"/>
      <c r="D447" s="252"/>
      <c r="E447" s="253"/>
      <c r="F447" s="254"/>
      <c r="G447" s="253"/>
    </row>
    <row r="448">
      <c r="A448" s="60"/>
      <c r="B448" s="60"/>
      <c r="C448" s="252"/>
      <c r="D448" s="252"/>
      <c r="E448" s="253"/>
      <c r="F448" s="254"/>
      <c r="G448" s="253"/>
    </row>
    <row r="449">
      <c r="A449" s="60"/>
      <c r="B449" s="60"/>
      <c r="C449" s="252"/>
      <c r="D449" s="252"/>
      <c r="E449" s="253"/>
      <c r="F449" s="254"/>
      <c r="G449" s="253"/>
    </row>
    <row r="450">
      <c r="A450" s="60"/>
      <c r="B450" s="60"/>
      <c r="C450" s="252"/>
      <c r="D450" s="252"/>
      <c r="E450" s="253"/>
      <c r="F450" s="254"/>
      <c r="G450" s="253"/>
    </row>
    <row r="451">
      <c r="A451" s="60"/>
      <c r="B451" s="60"/>
      <c r="C451" s="252"/>
      <c r="D451" s="252"/>
      <c r="E451" s="253"/>
      <c r="F451" s="254"/>
      <c r="G451" s="253"/>
    </row>
    <row r="452">
      <c r="A452" s="60"/>
      <c r="B452" s="60"/>
      <c r="C452" s="252"/>
      <c r="D452" s="252"/>
      <c r="E452" s="253"/>
      <c r="F452" s="254"/>
      <c r="G452" s="253"/>
    </row>
    <row r="453">
      <c r="A453" s="60"/>
      <c r="B453" s="60"/>
      <c r="C453" s="252"/>
      <c r="D453" s="252"/>
      <c r="E453" s="253"/>
      <c r="F453" s="254"/>
      <c r="G453" s="253"/>
    </row>
    <row r="454">
      <c r="A454" s="60"/>
      <c r="B454" s="60"/>
      <c r="C454" s="252"/>
      <c r="D454" s="252"/>
      <c r="E454" s="253"/>
      <c r="F454" s="254"/>
      <c r="G454" s="253"/>
    </row>
    <row r="455">
      <c r="A455" s="60"/>
      <c r="B455" s="60"/>
      <c r="C455" s="252"/>
      <c r="D455" s="252"/>
      <c r="E455" s="253"/>
      <c r="F455" s="254"/>
      <c r="G455" s="253"/>
    </row>
    <row r="456">
      <c r="A456" s="60"/>
      <c r="B456" s="60"/>
      <c r="C456" s="252"/>
      <c r="D456" s="252"/>
      <c r="E456" s="253"/>
      <c r="F456" s="254"/>
      <c r="G456" s="253"/>
    </row>
    <row r="457">
      <c r="A457" s="60"/>
      <c r="B457" s="60"/>
      <c r="C457" s="252"/>
      <c r="D457" s="252"/>
      <c r="E457" s="253"/>
      <c r="F457" s="254"/>
      <c r="G457" s="253"/>
    </row>
    <row r="458">
      <c r="A458" s="60"/>
      <c r="B458" s="60"/>
      <c r="C458" s="252"/>
      <c r="D458" s="252"/>
      <c r="E458" s="253"/>
      <c r="F458" s="254"/>
      <c r="G458" s="253"/>
    </row>
    <row r="459">
      <c r="A459" s="60"/>
      <c r="B459" s="60"/>
      <c r="C459" s="252"/>
      <c r="D459" s="252"/>
      <c r="E459" s="253"/>
      <c r="F459" s="254"/>
      <c r="G459" s="253"/>
    </row>
    <row r="460">
      <c r="A460" s="60"/>
      <c r="B460" s="60"/>
      <c r="C460" s="252"/>
      <c r="D460" s="252"/>
      <c r="E460" s="253"/>
      <c r="F460" s="254"/>
      <c r="G460" s="253"/>
    </row>
    <row r="461">
      <c r="A461" s="60"/>
      <c r="B461" s="60"/>
      <c r="C461" s="252"/>
      <c r="D461" s="252"/>
      <c r="E461" s="253"/>
      <c r="F461" s="254"/>
      <c r="G461" s="253"/>
    </row>
    <row r="462">
      <c r="A462" s="60"/>
      <c r="B462" s="60"/>
      <c r="C462" s="252"/>
      <c r="D462" s="252"/>
      <c r="E462" s="253"/>
      <c r="F462" s="254"/>
      <c r="G462" s="253"/>
    </row>
    <row r="463">
      <c r="A463" s="60"/>
      <c r="B463" s="60"/>
      <c r="C463" s="252"/>
      <c r="D463" s="252"/>
      <c r="E463" s="253"/>
      <c r="F463" s="254"/>
      <c r="G463" s="253"/>
    </row>
    <row r="464">
      <c r="A464" s="60"/>
      <c r="B464" s="60"/>
      <c r="C464" s="252"/>
      <c r="D464" s="252"/>
      <c r="E464" s="253"/>
      <c r="F464" s="254"/>
      <c r="G464" s="253"/>
    </row>
    <row r="465">
      <c r="A465" s="60"/>
      <c r="B465" s="60"/>
      <c r="C465" s="252"/>
      <c r="D465" s="252"/>
      <c r="E465" s="253"/>
      <c r="F465" s="254"/>
      <c r="G465" s="253"/>
    </row>
    <row r="466">
      <c r="A466" s="60"/>
      <c r="B466" s="60"/>
      <c r="C466" s="252"/>
      <c r="D466" s="252"/>
      <c r="E466" s="253"/>
      <c r="F466" s="254"/>
      <c r="G466" s="253"/>
    </row>
    <row r="467">
      <c r="A467" s="60"/>
      <c r="B467" s="60"/>
      <c r="C467" s="252"/>
      <c r="D467" s="252"/>
      <c r="E467" s="253"/>
      <c r="F467" s="254"/>
      <c r="G467" s="253"/>
    </row>
    <row r="468">
      <c r="A468" s="60"/>
      <c r="B468" s="60"/>
      <c r="C468" s="252"/>
      <c r="D468" s="252"/>
      <c r="E468" s="253"/>
      <c r="F468" s="254"/>
      <c r="G468" s="253"/>
    </row>
    <row r="469">
      <c r="A469" s="60"/>
      <c r="B469" s="60"/>
      <c r="C469" s="252"/>
      <c r="D469" s="252"/>
      <c r="E469" s="253"/>
      <c r="F469" s="254"/>
      <c r="G469" s="253"/>
    </row>
    <row r="470">
      <c r="A470" s="60"/>
      <c r="B470" s="60"/>
      <c r="C470" s="252"/>
      <c r="D470" s="252"/>
      <c r="E470" s="253"/>
      <c r="F470" s="254"/>
      <c r="G470" s="253"/>
    </row>
    <row r="471">
      <c r="A471" s="60"/>
      <c r="B471" s="60"/>
      <c r="C471" s="252"/>
      <c r="D471" s="252"/>
      <c r="E471" s="253"/>
      <c r="F471" s="254"/>
      <c r="G471" s="253"/>
    </row>
    <row r="472">
      <c r="A472" s="60"/>
      <c r="B472" s="60"/>
      <c r="C472" s="252"/>
      <c r="D472" s="252"/>
      <c r="E472" s="253"/>
      <c r="F472" s="254"/>
      <c r="G472" s="253"/>
    </row>
    <row r="473">
      <c r="A473" s="60"/>
      <c r="B473" s="60"/>
      <c r="C473" s="252"/>
      <c r="D473" s="252"/>
      <c r="E473" s="253"/>
      <c r="F473" s="254"/>
      <c r="G473" s="253"/>
    </row>
    <row r="474">
      <c r="A474" s="60"/>
      <c r="B474" s="60"/>
      <c r="C474" s="252"/>
      <c r="D474" s="252"/>
      <c r="E474" s="253"/>
      <c r="F474" s="254"/>
      <c r="G474" s="253"/>
    </row>
    <row r="475">
      <c r="A475" s="60"/>
      <c r="B475" s="60"/>
      <c r="C475" s="252"/>
      <c r="D475" s="252"/>
      <c r="E475" s="253"/>
      <c r="F475" s="254"/>
      <c r="G475" s="253"/>
    </row>
    <row r="476">
      <c r="A476" s="60"/>
      <c r="B476" s="60"/>
      <c r="C476" s="252"/>
      <c r="D476" s="252"/>
      <c r="E476" s="253"/>
      <c r="F476" s="254"/>
      <c r="G476" s="253"/>
    </row>
    <row r="477">
      <c r="A477" s="60"/>
      <c r="B477" s="60"/>
      <c r="C477" s="252"/>
      <c r="D477" s="252"/>
      <c r="E477" s="253"/>
      <c r="F477" s="254"/>
      <c r="G477" s="253"/>
    </row>
    <row r="478">
      <c r="A478" s="60"/>
      <c r="B478" s="60"/>
      <c r="C478" s="252"/>
      <c r="D478" s="252"/>
      <c r="E478" s="253"/>
      <c r="F478" s="254"/>
      <c r="G478" s="253"/>
    </row>
    <row r="479">
      <c r="A479" s="60"/>
      <c r="B479" s="60"/>
      <c r="C479" s="252"/>
      <c r="D479" s="252"/>
      <c r="E479" s="253"/>
      <c r="F479" s="254"/>
      <c r="G479" s="253"/>
    </row>
    <row r="480">
      <c r="A480" s="60"/>
      <c r="B480" s="60"/>
      <c r="C480" s="252"/>
      <c r="D480" s="252"/>
      <c r="E480" s="253"/>
      <c r="F480" s="254"/>
      <c r="G480" s="253"/>
    </row>
    <row r="481">
      <c r="A481" s="60"/>
      <c r="B481" s="60"/>
      <c r="C481" s="252"/>
      <c r="D481" s="252"/>
      <c r="E481" s="253"/>
      <c r="F481" s="254"/>
      <c r="G481" s="253"/>
    </row>
    <row r="482">
      <c r="A482" s="60"/>
      <c r="B482" s="60"/>
      <c r="C482" s="252"/>
      <c r="D482" s="252"/>
      <c r="E482" s="253"/>
      <c r="F482" s="254"/>
      <c r="G482" s="253"/>
    </row>
    <row r="483">
      <c r="A483" s="60"/>
      <c r="B483" s="60"/>
      <c r="C483" s="252"/>
      <c r="D483" s="252"/>
      <c r="E483" s="253"/>
      <c r="F483" s="254"/>
      <c r="G483" s="253"/>
    </row>
    <row r="484">
      <c r="A484" s="60"/>
      <c r="B484" s="60"/>
      <c r="C484" s="252"/>
      <c r="D484" s="252"/>
      <c r="E484" s="253"/>
      <c r="F484" s="254"/>
      <c r="G484" s="253"/>
    </row>
    <row r="485">
      <c r="A485" s="60"/>
      <c r="B485" s="60"/>
      <c r="C485" s="252"/>
      <c r="D485" s="252"/>
      <c r="E485" s="253"/>
      <c r="F485" s="254"/>
      <c r="G485" s="253"/>
    </row>
    <row r="486">
      <c r="A486" s="60"/>
      <c r="B486" s="60"/>
      <c r="C486" s="252"/>
      <c r="D486" s="252"/>
      <c r="E486" s="253"/>
      <c r="F486" s="254"/>
      <c r="G486" s="253"/>
    </row>
    <row r="487">
      <c r="A487" s="60"/>
      <c r="B487" s="60"/>
      <c r="C487" s="252"/>
      <c r="D487" s="252"/>
      <c r="E487" s="253"/>
      <c r="F487" s="254"/>
      <c r="G487" s="253"/>
    </row>
    <row r="488">
      <c r="A488" s="60"/>
      <c r="B488" s="60"/>
      <c r="C488" s="252"/>
      <c r="D488" s="252"/>
      <c r="E488" s="253"/>
      <c r="F488" s="254"/>
      <c r="G488" s="253"/>
    </row>
    <row r="489">
      <c r="A489" s="60"/>
      <c r="B489" s="60"/>
      <c r="C489" s="252"/>
      <c r="D489" s="252"/>
      <c r="E489" s="253"/>
      <c r="F489" s="254"/>
      <c r="G489" s="253"/>
    </row>
    <row r="490">
      <c r="A490" s="60"/>
      <c r="B490" s="60"/>
      <c r="C490" s="252"/>
      <c r="D490" s="252"/>
      <c r="E490" s="253"/>
      <c r="F490" s="254"/>
      <c r="G490" s="253"/>
    </row>
    <row r="491">
      <c r="A491" s="60"/>
      <c r="B491" s="60"/>
      <c r="C491" s="252"/>
      <c r="D491" s="252"/>
      <c r="E491" s="253"/>
      <c r="F491" s="254"/>
      <c r="G491" s="253"/>
    </row>
    <row r="492">
      <c r="A492" s="60"/>
      <c r="B492" s="60"/>
      <c r="C492" s="252"/>
      <c r="D492" s="252"/>
      <c r="E492" s="253"/>
      <c r="F492" s="254"/>
      <c r="G492" s="253"/>
    </row>
    <row r="493">
      <c r="A493" s="60"/>
      <c r="B493" s="60"/>
      <c r="C493" s="252"/>
      <c r="D493" s="252"/>
      <c r="E493" s="253"/>
      <c r="F493" s="254"/>
      <c r="G493" s="253"/>
    </row>
    <row r="494">
      <c r="A494" s="60"/>
      <c r="B494" s="60"/>
      <c r="C494" s="252"/>
      <c r="D494" s="252"/>
      <c r="E494" s="253"/>
      <c r="F494" s="254"/>
      <c r="G494" s="253"/>
    </row>
    <row r="495">
      <c r="A495" s="60"/>
      <c r="B495" s="60"/>
      <c r="C495" s="252"/>
      <c r="D495" s="252"/>
      <c r="E495" s="253"/>
      <c r="F495" s="254"/>
      <c r="G495" s="253"/>
    </row>
    <row r="496">
      <c r="A496" s="60"/>
      <c r="B496" s="60"/>
      <c r="C496" s="252"/>
      <c r="D496" s="252"/>
      <c r="E496" s="253"/>
      <c r="F496" s="254"/>
      <c r="G496" s="253"/>
    </row>
    <row r="497">
      <c r="A497" s="60"/>
      <c r="B497" s="60"/>
      <c r="C497" s="252"/>
      <c r="D497" s="252"/>
      <c r="E497" s="253"/>
      <c r="F497" s="254"/>
      <c r="G497" s="253"/>
    </row>
    <row r="498">
      <c r="A498" s="60"/>
      <c r="B498" s="60"/>
      <c r="C498" s="252"/>
      <c r="D498" s="252"/>
      <c r="E498" s="253"/>
      <c r="F498" s="254"/>
      <c r="G498" s="253"/>
    </row>
    <row r="499">
      <c r="A499" s="60"/>
      <c r="B499" s="60"/>
      <c r="C499" s="252"/>
      <c r="D499" s="252"/>
      <c r="E499" s="253"/>
      <c r="F499" s="254"/>
      <c r="G499" s="253"/>
    </row>
    <row r="500">
      <c r="A500" s="60"/>
      <c r="B500" s="60"/>
      <c r="C500" s="252"/>
      <c r="D500" s="252"/>
      <c r="E500" s="253"/>
      <c r="F500" s="254"/>
      <c r="G500" s="253"/>
    </row>
    <row r="501">
      <c r="A501" s="60"/>
      <c r="B501" s="60"/>
      <c r="C501" s="252"/>
      <c r="D501" s="252"/>
      <c r="E501" s="253"/>
      <c r="F501" s="254"/>
      <c r="G501" s="253"/>
    </row>
    <row r="502">
      <c r="A502" s="60"/>
      <c r="B502" s="60"/>
      <c r="C502" s="252"/>
      <c r="D502" s="252"/>
      <c r="E502" s="253"/>
      <c r="F502" s="254"/>
      <c r="G502" s="253"/>
    </row>
    <row r="503">
      <c r="A503" s="60"/>
      <c r="B503" s="60"/>
      <c r="C503" s="252"/>
      <c r="D503" s="252"/>
      <c r="E503" s="253"/>
      <c r="F503" s="254"/>
      <c r="G503" s="253"/>
    </row>
    <row r="504">
      <c r="A504" s="60"/>
      <c r="B504" s="60"/>
      <c r="C504" s="252"/>
      <c r="D504" s="252"/>
      <c r="E504" s="253"/>
      <c r="F504" s="254"/>
      <c r="G504" s="253"/>
    </row>
    <row r="505">
      <c r="A505" s="60"/>
      <c r="B505" s="60"/>
      <c r="C505" s="252"/>
      <c r="D505" s="252"/>
      <c r="E505" s="253"/>
      <c r="F505" s="254"/>
      <c r="G505" s="253"/>
    </row>
    <row r="506">
      <c r="A506" s="60"/>
      <c r="B506" s="60"/>
      <c r="C506" s="252"/>
      <c r="D506" s="252"/>
      <c r="E506" s="253"/>
      <c r="F506" s="254"/>
      <c r="G506" s="253"/>
    </row>
    <row r="507">
      <c r="A507" s="60"/>
      <c r="B507" s="60"/>
      <c r="C507" s="252"/>
      <c r="D507" s="252"/>
      <c r="E507" s="253"/>
      <c r="F507" s="254"/>
      <c r="G507" s="253"/>
    </row>
    <row r="508">
      <c r="A508" s="60"/>
      <c r="B508" s="60"/>
      <c r="C508" s="252"/>
      <c r="D508" s="252"/>
      <c r="E508" s="253"/>
      <c r="F508" s="254"/>
      <c r="G508" s="253"/>
    </row>
    <row r="509">
      <c r="A509" s="60"/>
      <c r="B509" s="60"/>
      <c r="C509" s="252"/>
      <c r="D509" s="252"/>
      <c r="E509" s="253"/>
      <c r="F509" s="254"/>
      <c r="G509" s="253"/>
    </row>
    <row r="510">
      <c r="A510" s="60"/>
      <c r="B510" s="60"/>
      <c r="C510" s="252"/>
      <c r="D510" s="252"/>
      <c r="E510" s="253"/>
      <c r="F510" s="254"/>
      <c r="G510" s="253"/>
    </row>
    <row r="511">
      <c r="A511" s="60"/>
      <c r="B511" s="60"/>
      <c r="C511" s="252"/>
      <c r="D511" s="252"/>
      <c r="E511" s="253"/>
      <c r="F511" s="254"/>
      <c r="G511" s="253"/>
    </row>
    <row r="512">
      <c r="A512" s="60"/>
      <c r="B512" s="60"/>
      <c r="C512" s="252"/>
      <c r="D512" s="252"/>
      <c r="E512" s="253"/>
      <c r="F512" s="254"/>
      <c r="G512" s="253"/>
    </row>
    <row r="513">
      <c r="A513" s="60"/>
      <c r="B513" s="60"/>
      <c r="C513" s="252"/>
      <c r="D513" s="252"/>
      <c r="E513" s="253"/>
      <c r="F513" s="254"/>
      <c r="G513" s="253"/>
    </row>
    <row r="514">
      <c r="A514" s="60"/>
      <c r="B514" s="60"/>
      <c r="C514" s="252"/>
      <c r="D514" s="252"/>
      <c r="E514" s="253"/>
      <c r="F514" s="254"/>
      <c r="G514" s="253"/>
    </row>
    <row r="515">
      <c r="A515" s="60"/>
      <c r="B515" s="60"/>
      <c r="C515" s="252"/>
      <c r="D515" s="252"/>
      <c r="E515" s="253"/>
      <c r="F515" s="254"/>
      <c r="G515" s="253"/>
    </row>
    <row r="516">
      <c r="A516" s="60"/>
      <c r="B516" s="60"/>
      <c r="C516" s="252"/>
      <c r="D516" s="252"/>
      <c r="E516" s="253"/>
      <c r="F516" s="254"/>
      <c r="G516" s="253"/>
    </row>
    <row r="517">
      <c r="A517" s="60"/>
      <c r="B517" s="60"/>
      <c r="C517" s="252"/>
      <c r="D517" s="252"/>
      <c r="E517" s="253"/>
      <c r="F517" s="254"/>
      <c r="G517" s="253"/>
    </row>
    <row r="518">
      <c r="A518" s="60"/>
      <c r="B518" s="60"/>
      <c r="C518" s="252"/>
      <c r="D518" s="252"/>
      <c r="E518" s="253"/>
      <c r="F518" s="254"/>
      <c r="G518" s="253"/>
    </row>
    <row r="519">
      <c r="A519" s="60"/>
      <c r="B519" s="60"/>
      <c r="C519" s="252"/>
      <c r="D519" s="252"/>
      <c r="E519" s="253"/>
      <c r="F519" s="254"/>
      <c r="G519" s="253"/>
    </row>
    <row r="520">
      <c r="A520" s="60"/>
      <c r="B520" s="60"/>
      <c r="C520" s="252"/>
      <c r="D520" s="252"/>
      <c r="E520" s="253"/>
      <c r="F520" s="254"/>
      <c r="G520" s="253"/>
    </row>
    <row r="521">
      <c r="A521" s="60"/>
      <c r="B521" s="60"/>
      <c r="C521" s="252"/>
      <c r="D521" s="252"/>
      <c r="E521" s="253"/>
      <c r="F521" s="254"/>
      <c r="G521" s="253"/>
    </row>
    <row r="522">
      <c r="A522" s="60"/>
      <c r="B522" s="60"/>
      <c r="C522" s="252"/>
      <c r="D522" s="252"/>
      <c r="E522" s="253"/>
      <c r="F522" s="254"/>
      <c r="G522" s="253"/>
    </row>
    <row r="523">
      <c r="A523" s="60"/>
      <c r="B523" s="60"/>
      <c r="C523" s="252"/>
      <c r="D523" s="252"/>
      <c r="E523" s="253"/>
      <c r="F523" s="254"/>
      <c r="G523" s="253"/>
    </row>
    <row r="524">
      <c r="A524" s="60"/>
      <c r="B524" s="60"/>
      <c r="C524" s="252"/>
      <c r="D524" s="252"/>
      <c r="E524" s="253"/>
      <c r="F524" s="254"/>
      <c r="G524" s="253"/>
    </row>
    <row r="525">
      <c r="A525" s="60"/>
      <c r="B525" s="60"/>
      <c r="C525" s="252"/>
      <c r="D525" s="252"/>
      <c r="E525" s="253"/>
      <c r="F525" s="254"/>
      <c r="G525" s="253"/>
    </row>
    <row r="526">
      <c r="A526" s="60"/>
      <c r="B526" s="60"/>
      <c r="C526" s="252"/>
      <c r="D526" s="252"/>
      <c r="E526" s="253"/>
      <c r="F526" s="254"/>
      <c r="G526" s="253"/>
    </row>
    <row r="527">
      <c r="A527" s="60"/>
      <c r="B527" s="60"/>
      <c r="C527" s="252"/>
      <c r="D527" s="252"/>
      <c r="E527" s="253"/>
      <c r="F527" s="254"/>
      <c r="G527" s="253"/>
    </row>
    <row r="528">
      <c r="A528" s="60"/>
      <c r="B528" s="60"/>
      <c r="C528" s="252"/>
      <c r="D528" s="252"/>
      <c r="E528" s="253"/>
      <c r="F528" s="254"/>
      <c r="G528" s="253"/>
    </row>
    <row r="529">
      <c r="A529" s="60"/>
      <c r="B529" s="60"/>
      <c r="C529" s="252"/>
      <c r="D529" s="252"/>
      <c r="E529" s="253"/>
      <c r="F529" s="254"/>
      <c r="G529" s="253"/>
    </row>
    <row r="530">
      <c r="A530" s="60"/>
      <c r="B530" s="60"/>
      <c r="C530" s="252"/>
      <c r="D530" s="252"/>
      <c r="E530" s="253"/>
      <c r="F530" s="254"/>
      <c r="G530" s="253"/>
    </row>
    <row r="531">
      <c r="A531" s="60"/>
      <c r="B531" s="60"/>
      <c r="C531" s="252"/>
      <c r="D531" s="252"/>
      <c r="E531" s="253"/>
      <c r="F531" s="254"/>
      <c r="G531" s="253"/>
    </row>
    <row r="532">
      <c r="A532" s="60"/>
      <c r="B532" s="60"/>
      <c r="C532" s="252"/>
      <c r="D532" s="252"/>
      <c r="E532" s="253"/>
      <c r="F532" s="254"/>
      <c r="G532" s="253"/>
    </row>
    <row r="533">
      <c r="A533" s="60"/>
      <c r="B533" s="60"/>
      <c r="C533" s="252"/>
      <c r="D533" s="252"/>
      <c r="E533" s="253"/>
      <c r="F533" s="254"/>
      <c r="G533" s="253"/>
    </row>
    <row r="534">
      <c r="A534" s="60"/>
      <c r="B534" s="60"/>
      <c r="C534" s="252"/>
      <c r="D534" s="252"/>
      <c r="E534" s="253"/>
      <c r="F534" s="254"/>
      <c r="G534" s="253"/>
    </row>
    <row r="535">
      <c r="A535" s="60"/>
      <c r="B535" s="60"/>
      <c r="C535" s="252"/>
      <c r="D535" s="252"/>
      <c r="E535" s="253"/>
      <c r="F535" s="254"/>
      <c r="G535" s="253"/>
    </row>
    <row r="536">
      <c r="A536" s="60"/>
      <c r="B536" s="60"/>
      <c r="C536" s="252"/>
      <c r="D536" s="252"/>
      <c r="E536" s="253"/>
      <c r="F536" s="254"/>
      <c r="G536" s="253"/>
    </row>
    <row r="537">
      <c r="A537" s="60"/>
      <c r="B537" s="60"/>
      <c r="C537" s="252"/>
      <c r="D537" s="252"/>
      <c r="E537" s="253"/>
      <c r="F537" s="254"/>
      <c r="G537" s="253"/>
    </row>
    <row r="538">
      <c r="A538" s="60"/>
      <c r="B538" s="60"/>
      <c r="C538" s="252"/>
      <c r="D538" s="252"/>
      <c r="E538" s="253"/>
      <c r="F538" s="254"/>
      <c r="G538" s="253"/>
    </row>
    <row r="539">
      <c r="A539" s="60"/>
      <c r="B539" s="60"/>
      <c r="C539" s="252"/>
      <c r="D539" s="252"/>
      <c r="E539" s="253"/>
      <c r="F539" s="254"/>
      <c r="G539" s="253"/>
    </row>
    <row r="540">
      <c r="A540" s="60"/>
      <c r="B540" s="60"/>
      <c r="C540" s="252"/>
      <c r="D540" s="252"/>
      <c r="E540" s="253"/>
      <c r="F540" s="254"/>
      <c r="G540" s="253"/>
    </row>
    <row r="541">
      <c r="A541" s="60"/>
      <c r="B541" s="60"/>
      <c r="C541" s="252"/>
      <c r="D541" s="252"/>
      <c r="E541" s="253"/>
      <c r="F541" s="254"/>
      <c r="G541" s="253"/>
    </row>
    <row r="542">
      <c r="A542" s="60"/>
      <c r="B542" s="60"/>
      <c r="C542" s="252"/>
      <c r="D542" s="252"/>
      <c r="E542" s="253"/>
      <c r="F542" s="254"/>
      <c r="G542" s="253"/>
    </row>
    <row r="543">
      <c r="A543" s="60"/>
      <c r="B543" s="60"/>
      <c r="C543" s="252"/>
      <c r="D543" s="252"/>
      <c r="E543" s="253"/>
      <c r="F543" s="254"/>
      <c r="G543" s="253"/>
    </row>
    <row r="544">
      <c r="A544" s="60"/>
      <c r="B544" s="60"/>
      <c r="C544" s="252"/>
      <c r="D544" s="252"/>
      <c r="E544" s="253"/>
      <c r="F544" s="254"/>
      <c r="G544" s="253"/>
    </row>
    <row r="545">
      <c r="A545" s="60"/>
      <c r="B545" s="60"/>
      <c r="C545" s="252"/>
      <c r="D545" s="252"/>
      <c r="E545" s="253"/>
      <c r="F545" s="254"/>
      <c r="G545" s="253"/>
    </row>
    <row r="546">
      <c r="A546" s="60"/>
      <c r="B546" s="60"/>
      <c r="C546" s="252"/>
      <c r="D546" s="252"/>
      <c r="E546" s="253"/>
      <c r="F546" s="254"/>
      <c r="G546" s="253"/>
    </row>
    <row r="547">
      <c r="A547" s="60"/>
      <c r="B547" s="60"/>
      <c r="C547" s="252"/>
      <c r="D547" s="252"/>
      <c r="E547" s="253"/>
      <c r="F547" s="254"/>
      <c r="G547" s="253"/>
    </row>
    <row r="548">
      <c r="A548" s="60"/>
      <c r="B548" s="60"/>
      <c r="C548" s="252"/>
      <c r="D548" s="252"/>
      <c r="E548" s="253"/>
      <c r="F548" s="254"/>
      <c r="G548" s="253"/>
    </row>
    <row r="549">
      <c r="A549" s="60"/>
      <c r="B549" s="60"/>
      <c r="C549" s="252"/>
      <c r="D549" s="252"/>
      <c r="E549" s="253"/>
      <c r="F549" s="254"/>
      <c r="G549" s="253"/>
    </row>
    <row r="550">
      <c r="A550" s="60"/>
      <c r="B550" s="60"/>
      <c r="C550" s="252"/>
      <c r="D550" s="252"/>
      <c r="E550" s="253"/>
      <c r="F550" s="254"/>
      <c r="G550" s="253"/>
    </row>
    <row r="551">
      <c r="A551" s="60"/>
      <c r="B551" s="60"/>
      <c r="C551" s="252"/>
      <c r="D551" s="252"/>
      <c r="E551" s="253"/>
      <c r="F551" s="254"/>
      <c r="G551" s="253"/>
    </row>
    <row r="552">
      <c r="A552" s="60"/>
      <c r="B552" s="60"/>
      <c r="C552" s="252"/>
      <c r="D552" s="252"/>
      <c r="E552" s="253"/>
      <c r="F552" s="254"/>
      <c r="G552" s="253"/>
    </row>
    <row r="553">
      <c r="A553" s="60"/>
      <c r="B553" s="60"/>
      <c r="C553" s="252"/>
      <c r="D553" s="252"/>
      <c r="E553" s="253"/>
      <c r="F553" s="254"/>
      <c r="G553" s="253"/>
    </row>
    <row r="554">
      <c r="A554" s="60"/>
      <c r="B554" s="60"/>
      <c r="C554" s="252"/>
      <c r="D554" s="252"/>
      <c r="E554" s="253"/>
      <c r="F554" s="254"/>
      <c r="G554" s="253"/>
    </row>
    <row r="555">
      <c r="A555" s="60"/>
      <c r="B555" s="60"/>
      <c r="C555" s="252"/>
      <c r="D555" s="252"/>
      <c r="E555" s="253"/>
      <c r="F555" s="254"/>
      <c r="G555" s="253"/>
    </row>
    <row r="556">
      <c r="A556" s="60"/>
      <c r="B556" s="60"/>
      <c r="C556" s="252"/>
      <c r="D556" s="252"/>
      <c r="E556" s="253"/>
      <c r="F556" s="254"/>
      <c r="G556" s="253"/>
    </row>
    <row r="557">
      <c r="A557" s="60"/>
      <c r="B557" s="60"/>
      <c r="C557" s="252"/>
      <c r="D557" s="252"/>
      <c r="E557" s="253"/>
      <c r="F557" s="254"/>
      <c r="G557" s="253"/>
    </row>
    <row r="558">
      <c r="A558" s="60"/>
      <c r="B558" s="60"/>
      <c r="C558" s="252"/>
      <c r="D558" s="252"/>
      <c r="E558" s="253"/>
      <c r="F558" s="254"/>
      <c r="G558" s="253"/>
    </row>
    <row r="559">
      <c r="A559" s="60"/>
      <c r="B559" s="60"/>
      <c r="C559" s="252"/>
      <c r="D559" s="252"/>
      <c r="E559" s="253"/>
      <c r="F559" s="254"/>
      <c r="G559" s="253"/>
    </row>
    <row r="560">
      <c r="A560" s="60"/>
      <c r="B560" s="60"/>
      <c r="C560" s="252"/>
      <c r="D560" s="252"/>
      <c r="E560" s="253"/>
      <c r="F560" s="254"/>
      <c r="G560" s="253"/>
    </row>
    <row r="561">
      <c r="A561" s="60"/>
      <c r="B561" s="60"/>
      <c r="C561" s="252"/>
      <c r="D561" s="252"/>
      <c r="E561" s="253"/>
      <c r="F561" s="254"/>
      <c r="G561" s="253"/>
    </row>
    <row r="562">
      <c r="A562" s="60"/>
      <c r="B562" s="60"/>
      <c r="C562" s="252"/>
      <c r="D562" s="252"/>
      <c r="E562" s="253"/>
      <c r="F562" s="254"/>
      <c r="G562" s="253"/>
    </row>
    <row r="563">
      <c r="A563" s="60"/>
      <c r="B563" s="60"/>
      <c r="C563" s="252"/>
      <c r="D563" s="252"/>
      <c r="E563" s="253"/>
      <c r="F563" s="254"/>
      <c r="G563" s="253"/>
    </row>
    <row r="564">
      <c r="A564" s="60"/>
      <c r="B564" s="60"/>
      <c r="C564" s="252"/>
      <c r="D564" s="252"/>
      <c r="E564" s="253"/>
      <c r="F564" s="254"/>
      <c r="G564" s="253"/>
    </row>
    <row r="565">
      <c r="A565" s="60"/>
      <c r="B565" s="60"/>
      <c r="C565" s="252"/>
      <c r="D565" s="252"/>
      <c r="E565" s="253"/>
      <c r="F565" s="254"/>
      <c r="G565" s="253"/>
    </row>
    <row r="566">
      <c r="A566" s="60"/>
      <c r="B566" s="60"/>
      <c r="C566" s="252"/>
      <c r="D566" s="252"/>
      <c r="E566" s="253"/>
      <c r="F566" s="254"/>
      <c r="G566" s="253"/>
    </row>
    <row r="567">
      <c r="A567" s="60"/>
      <c r="B567" s="60"/>
      <c r="C567" s="252"/>
      <c r="D567" s="252"/>
      <c r="E567" s="253"/>
      <c r="F567" s="254"/>
      <c r="G567" s="253"/>
    </row>
    <row r="568">
      <c r="A568" s="60"/>
      <c r="B568" s="60"/>
      <c r="C568" s="252"/>
      <c r="D568" s="252"/>
      <c r="E568" s="253"/>
      <c r="F568" s="254"/>
      <c r="G568" s="253"/>
    </row>
    <row r="569">
      <c r="A569" s="60"/>
      <c r="B569" s="60"/>
      <c r="C569" s="252"/>
      <c r="D569" s="252"/>
      <c r="E569" s="253"/>
      <c r="F569" s="254"/>
      <c r="G569" s="253"/>
    </row>
    <row r="570">
      <c r="A570" s="60"/>
      <c r="B570" s="60"/>
      <c r="C570" s="252"/>
      <c r="D570" s="252"/>
      <c r="E570" s="253"/>
      <c r="F570" s="254"/>
      <c r="G570" s="253"/>
    </row>
    <row r="571">
      <c r="A571" s="60"/>
      <c r="B571" s="60"/>
      <c r="C571" s="252"/>
      <c r="D571" s="252"/>
      <c r="E571" s="253"/>
      <c r="F571" s="254"/>
      <c r="G571" s="253"/>
    </row>
    <row r="572">
      <c r="A572" s="60"/>
      <c r="B572" s="60"/>
      <c r="C572" s="252"/>
      <c r="D572" s="252"/>
      <c r="E572" s="253"/>
      <c r="F572" s="254"/>
      <c r="G572" s="253"/>
    </row>
    <row r="573">
      <c r="A573" s="60"/>
      <c r="B573" s="60"/>
      <c r="C573" s="252"/>
      <c r="D573" s="252"/>
      <c r="E573" s="253"/>
      <c r="F573" s="254"/>
      <c r="G573" s="253"/>
    </row>
    <row r="574">
      <c r="A574" s="60"/>
      <c r="B574" s="60"/>
      <c r="C574" s="252"/>
      <c r="D574" s="252"/>
      <c r="E574" s="253"/>
      <c r="F574" s="254"/>
      <c r="G574" s="253"/>
    </row>
    <row r="575">
      <c r="A575" s="60"/>
      <c r="B575" s="60"/>
      <c r="C575" s="252"/>
      <c r="D575" s="252"/>
      <c r="E575" s="253"/>
      <c r="F575" s="254"/>
      <c r="G575" s="253"/>
    </row>
    <row r="576">
      <c r="A576" s="60"/>
      <c r="B576" s="60"/>
      <c r="C576" s="252"/>
      <c r="D576" s="252"/>
      <c r="E576" s="253"/>
      <c r="F576" s="254"/>
      <c r="G576" s="253"/>
    </row>
    <row r="577">
      <c r="A577" s="60"/>
      <c r="B577" s="60"/>
      <c r="C577" s="252"/>
      <c r="D577" s="252"/>
      <c r="E577" s="253"/>
      <c r="F577" s="254"/>
      <c r="G577" s="253"/>
    </row>
    <row r="578">
      <c r="A578" s="60"/>
      <c r="B578" s="60"/>
      <c r="C578" s="252"/>
      <c r="D578" s="252"/>
      <c r="E578" s="253"/>
      <c r="F578" s="254"/>
      <c r="G578" s="253"/>
    </row>
    <row r="579">
      <c r="A579" s="60"/>
      <c r="B579" s="60"/>
      <c r="C579" s="252"/>
      <c r="D579" s="252"/>
      <c r="E579" s="253"/>
      <c r="F579" s="254"/>
      <c r="G579" s="253"/>
    </row>
    <row r="580">
      <c r="A580" s="60"/>
      <c r="B580" s="60"/>
      <c r="C580" s="252"/>
      <c r="D580" s="252"/>
      <c r="E580" s="253"/>
      <c r="F580" s="254"/>
      <c r="G580" s="253"/>
    </row>
    <row r="581">
      <c r="A581" s="60"/>
      <c r="B581" s="60"/>
      <c r="C581" s="252"/>
      <c r="D581" s="252"/>
      <c r="E581" s="253"/>
      <c r="F581" s="254"/>
      <c r="G581" s="253"/>
    </row>
    <row r="582">
      <c r="A582" s="60"/>
      <c r="B582" s="60"/>
      <c r="C582" s="252"/>
      <c r="D582" s="252"/>
      <c r="E582" s="253"/>
      <c r="F582" s="254"/>
      <c r="G582" s="253"/>
    </row>
    <row r="583">
      <c r="A583" s="60"/>
      <c r="B583" s="60"/>
      <c r="C583" s="252"/>
      <c r="D583" s="252"/>
      <c r="E583" s="253"/>
      <c r="F583" s="254"/>
      <c r="G583" s="253"/>
    </row>
    <row r="584">
      <c r="A584" s="60"/>
      <c r="B584" s="60"/>
      <c r="C584" s="252"/>
      <c r="D584" s="252"/>
      <c r="E584" s="253"/>
      <c r="F584" s="254"/>
      <c r="G584" s="253"/>
    </row>
    <row r="585">
      <c r="A585" s="60"/>
      <c r="B585" s="60"/>
      <c r="C585" s="252"/>
      <c r="D585" s="252"/>
      <c r="E585" s="253"/>
      <c r="F585" s="254"/>
      <c r="G585" s="253"/>
    </row>
    <row r="586">
      <c r="A586" s="60"/>
      <c r="B586" s="60"/>
      <c r="C586" s="252"/>
      <c r="D586" s="252"/>
      <c r="E586" s="253"/>
      <c r="F586" s="254"/>
      <c r="G586" s="253"/>
    </row>
    <row r="587">
      <c r="A587" s="60"/>
      <c r="B587" s="60"/>
      <c r="C587" s="252"/>
      <c r="D587" s="252"/>
      <c r="E587" s="253"/>
      <c r="F587" s="254"/>
      <c r="G587" s="253"/>
    </row>
    <row r="588">
      <c r="A588" s="60"/>
      <c r="B588" s="60"/>
      <c r="C588" s="252"/>
      <c r="D588" s="252"/>
      <c r="E588" s="253"/>
      <c r="F588" s="254"/>
      <c r="G588" s="253"/>
    </row>
    <row r="589">
      <c r="A589" s="60"/>
      <c r="B589" s="60"/>
      <c r="C589" s="252"/>
      <c r="D589" s="252"/>
      <c r="E589" s="253"/>
      <c r="F589" s="254"/>
      <c r="G589" s="253"/>
    </row>
    <row r="590">
      <c r="A590" s="60"/>
      <c r="B590" s="60"/>
      <c r="C590" s="252"/>
      <c r="D590" s="252"/>
      <c r="E590" s="253"/>
      <c r="F590" s="254"/>
      <c r="G590" s="253"/>
    </row>
    <row r="591">
      <c r="A591" s="60"/>
      <c r="B591" s="60"/>
      <c r="C591" s="252"/>
      <c r="D591" s="252"/>
      <c r="E591" s="253"/>
      <c r="F591" s="254"/>
      <c r="G591" s="253"/>
    </row>
    <row r="592">
      <c r="A592" s="60"/>
      <c r="B592" s="60"/>
      <c r="C592" s="252"/>
      <c r="D592" s="252"/>
      <c r="E592" s="253"/>
      <c r="F592" s="254"/>
      <c r="G592" s="253"/>
    </row>
    <row r="593">
      <c r="A593" s="60"/>
      <c r="B593" s="60"/>
      <c r="C593" s="252"/>
      <c r="D593" s="252"/>
      <c r="E593" s="253"/>
      <c r="F593" s="254"/>
      <c r="G593" s="253"/>
    </row>
    <row r="594">
      <c r="A594" s="60"/>
      <c r="B594" s="60"/>
      <c r="C594" s="252"/>
      <c r="D594" s="252"/>
      <c r="E594" s="253"/>
      <c r="F594" s="254"/>
      <c r="G594" s="253"/>
    </row>
    <row r="595">
      <c r="A595" s="60"/>
      <c r="B595" s="60"/>
      <c r="C595" s="252"/>
      <c r="D595" s="252"/>
      <c r="E595" s="253"/>
      <c r="F595" s="254"/>
      <c r="G595" s="253"/>
    </row>
    <row r="596">
      <c r="A596" s="60"/>
      <c r="B596" s="60"/>
      <c r="C596" s="252"/>
      <c r="D596" s="252"/>
      <c r="E596" s="253"/>
      <c r="F596" s="254"/>
      <c r="G596" s="253"/>
    </row>
    <row r="597">
      <c r="A597" s="60"/>
      <c r="B597" s="60"/>
      <c r="C597" s="252"/>
      <c r="D597" s="252"/>
      <c r="E597" s="253"/>
      <c r="F597" s="254"/>
      <c r="G597" s="253"/>
    </row>
    <row r="598">
      <c r="A598" s="60"/>
      <c r="B598" s="60"/>
      <c r="C598" s="252"/>
      <c r="D598" s="252"/>
      <c r="E598" s="253"/>
      <c r="F598" s="254"/>
      <c r="G598" s="253"/>
    </row>
    <row r="599">
      <c r="A599" s="60"/>
      <c r="B599" s="60"/>
      <c r="C599" s="252"/>
      <c r="D599" s="252"/>
      <c r="E599" s="253"/>
      <c r="F599" s="254"/>
      <c r="G599" s="253"/>
    </row>
    <row r="600">
      <c r="A600" s="60"/>
      <c r="B600" s="60"/>
      <c r="C600" s="252"/>
      <c r="D600" s="252"/>
      <c r="E600" s="253"/>
      <c r="F600" s="254"/>
      <c r="G600" s="253"/>
    </row>
    <row r="601">
      <c r="A601" s="60"/>
      <c r="B601" s="60"/>
      <c r="C601" s="252"/>
      <c r="D601" s="252"/>
      <c r="E601" s="253"/>
      <c r="F601" s="254"/>
      <c r="G601" s="253"/>
    </row>
    <row r="602">
      <c r="A602" s="60"/>
      <c r="B602" s="60"/>
      <c r="C602" s="252"/>
      <c r="D602" s="252"/>
      <c r="E602" s="253"/>
      <c r="F602" s="254"/>
      <c r="G602" s="253"/>
    </row>
    <row r="603">
      <c r="A603" s="60"/>
      <c r="B603" s="60"/>
      <c r="C603" s="252"/>
      <c r="D603" s="252"/>
      <c r="E603" s="253"/>
      <c r="F603" s="254"/>
      <c r="G603" s="253"/>
    </row>
    <row r="604">
      <c r="A604" s="60"/>
      <c r="B604" s="60"/>
      <c r="C604" s="252"/>
      <c r="D604" s="252"/>
      <c r="E604" s="253"/>
      <c r="F604" s="254"/>
      <c r="G604" s="253"/>
    </row>
    <row r="605">
      <c r="A605" s="60"/>
      <c r="B605" s="60"/>
      <c r="C605" s="252"/>
      <c r="D605" s="252"/>
      <c r="E605" s="253"/>
      <c r="F605" s="254"/>
      <c r="G605" s="253"/>
    </row>
    <row r="606">
      <c r="A606" s="60"/>
      <c r="B606" s="60"/>
      <c r="C606" s="252"/>
      <c r="D606" s="252"/>
      <c r="E606" s="253"/>
      <c r="F606" s="254"/>
      <c r="G606" s="253"/>
    </row>
    <row r="607">
      <c r="A607" s="60"/>
      <c r="B607" s="60"/>
      <c r="C607" s="252"/>
      <c r="D607" s="252"/>
      <c r="E607" s="253"/>
      <c r="F607" s="254"/>
      <c r="G607" s="253"/>
    </row>
    <row r="608">
      <c r="A608" s="60"/>
      <c r="B608" s="60"/>
      <c r="C608" s="252"/>
      <c r="D608" s="252"/>
      <c r="E608" s="253"/>
      <c r="F608" s="254"/>
      <c r="G608" s="253"/>
    </row>
    <row r="609">
      <c r="A609" s="60"/>
      <c r="B609" s="60"/>
      <c r="C609" s="252"/>
      <c r="D609" s="252"/>
      <c r="E609" s="253"/>
      <c r="F609" s="254"/>
      <c r="G609" s="253"/>
    </row>
    <row r="610">
      <c r="A610" s="60"/>
      <c r="B610" s="60"/>
      <c r="C610" s="252"/>
      <c r="D610" s="252"/>
      <c r="E610" s="253"/>
      <c r="F610" s="254"/>
      <c r="G610" s="253"/>
    </row>
    <row r="611">
      <c r="A611" s="60"/>
      <c r="B611" s="60"/>
      <c r="C611" s="252"/>
      <c r="D611" s="252"/>
      <c r="E611" s="253"/>
      <c r="F611" s="254"/>
      <c r="G611" s="253"/>
    </row>
    <row r="612">
      <c r="A612" s="60"/>
      <c r="B612" s="60"/>
      <c r="C612" s="252"/>
      <c r="D612" s="252"/>
      <c r="E612" s="253"/>
      <c r="F612" s="254"/>
      <c r="G612" s="253"/>
    </row>
    <row r="613">
      <c r="A613" s="60"/>
      <c r="B613" s="60"/>
      <c r="C613" s="252"/>
      <c r="D613" s="252"/>
      <c r="E613" s="253"/>
      <c r="F613" s="254"/>
      <c r="G613" s="253"/>
    </row>
    <row r="614">
      <c r="A614" s="60"/>
      <c r="B614" s="60"/>
      <c r="C614" s="252"/>
      <c r="D614" s="252"/>
      <c r="E614" s="253"/>
      <c r="F614" s="254"/>
      <c r="G614" s="253"/>
    </row>
    <row r="615">
      <c r="A615" s="60"/>
      <c r="B615" s="60"/>
      <c r="C615" s="252"/>
      <c r="D615" s="252"/>
      <c r="E615" s="253"/>
      <c r="F615" s="254"/>
      <c r="G615" s="253"/>
    </row>
    <row r="616">
      <c r="A616" s="60"/>
      <c r="B616" s="60"/>
      <c r="C616" s="252"/>
      <c r="D616" s="252"/>
      <c r="E616" s="253"/>
      <c r="F616" s="254"/>
      <c r="G616" s="253"/>
    </row>
    <row r="617">
      <c r="A617" s="60"/>
      <c r="B617" s="60"/>
      <c r="C617" s="252"/>
      <c r="D617" s="252"/>
      <c r="E617" s="253"/>
      <c r="F617" s="254"/>
      <c r="G617" s="253"/>
    </row>
    <row r="618">
      <c r="A618" s="60"/>
      <c r="B618" s="60"/>
      <c r="C618" s="252"/>
      <c r="D618" s="252"/>
      <c r="E618" s="253"/>
      <c r="F618" s="254"/>
      <c r="G618" s="253"/>
    </row>
    <row r="619">
      <c r="A619" s="60"/>
      <c r="B619" s="60"/>
      <c r="C619" s="252"/>
      <c r="D619" s="252"/>
      <c r="E619" s="253"/>
      <c r="F619" s="254"/>
      <c r="G619" s="253"/>
    </row>
    <row r="620">
      <c r="A620" s="60"/>
      <c r="B620" s="60"/>
      <c r="C620" s="252"/>
      <c r="D620" s="252"/>
      <c r="E620" s="253"/>
      <c r="F620" s="254"/>
      <c r="G620" s="253"/>
    </row>
    <row r="621">
      <c r="A621" s="60"/>
      <c r="B621" s="60"/>
      <c r="C621" s="252"/>
      <c r="D621" s="252"/>
      <c r="E621" s="253"/>
      <c r="F621" s="254"/>
      <c r="G621" s="253"/>
    </row>
    <row r="622">
      <c r="A622" s="60"/>
      <c r="B622" s="60"/>
      <c r="C622" s="252"/>
      <c r="D622" s="252"/>
      <c r="E622" s="253"/>
      <c r="F622" s="254"/>
      <c r="G622" s="253"/>
    </row>
    <row r="623">
      <c r="A623" s="60"/>
      <c r="B623" s="60"/>
      <c r="C623" s="252"/>
      <c r="D623" s="252"/>
      <c r="E623" s="253"/>
      <c r="F623" s="254"/>
      <c r="G623" s="253"/>
    </row>
    <row r="624">
      <c r="A624" s="60"/>
      <c r="B624" s="60"/>
      <c r="C624" s="252"/>
      <c r="D624" s="252"/>
      <c r="E624" s="253"/>
      <c r="F624" s="254"/>
      <c r="G624" s="253"/>
    </row>
    <row r="625">
      <c r="A625" s="60"/>
      <c r="B625" s="60"/>
      <c r="C625" s="252"/>
      <c r="D625" s="252"/>
      <c r="E625" s="253"/>
      <c r="F625" s="254"/>
      <c r="G625" s="253"/>
    </row>
    <row r="626">
      <c r="A626" s="60"/>
      <c r="B626" s="60"/>
      <c r="C626" s="252"/>
      <c r="D626" s="252"/>
      <c r="E626" s="253"/>
      <c r="F626" s="254"/>
      <c r="G626" s="253"/>
    </row>
    <row r="627">
      <c r="A627" s="60"/>
      <c r="B627" s="60"/>
      <c r="C627" s="252"/>
      <c r="D627" s="252"/>
      <c r="E627" s="253"/>
      <c r="F627" s="254"/>
      <c r="G627" s="253"/>
    </row>
    <row r="628">
      <c r="A628" s="60"/>
      <c r="B628" s="60"/>
      <c r="C628" s="252"/>
      <c r="D628" s="252"/>
      <c r="E628" s="253"/>
      <c r="F628" s="254"/>
      <c r="G628" s="253"/>
    </row>
    <row r="629">
      <c r="A629" s="60"/>
      <c r="B629" s="60"/>
      <c r="C629" s="252"/>
      <c r="D629" s="252"/>
      <c r="E629" s="253"/>
      <c r="F629" s="254"/>
      <c r="G629" s="253"/>
    </row>
    <row r="630">
      <c r="A630" s="60"/>
      <c r="B630" s="60"/>
      <c r="C630" s="252"/>
      <c r="D630" s="252"/>
      <c r="E630" s="253"/>
      <c r="F630" s="254"/>
      <c r="G630" s="253"/>
    </row>
    <row r="631">
      <c r="A631" s="60"/>
      <c r="B631" s="60"/>
      <c r="C631" s="252"/>
      <c r="D631" s="252"/>
      <c r="E631" s="253"/>
      <c r="F631" s="254"/>
      <c r="G631" s="253"/>
    </row>
    <row r="632">
      <c r="A632" s="60"/>
      <c r="B632" s="60"/>
      <c r="C632" s="252"/>
      <c r="D632" s="252"/>
      <c r="E632" s="253"/>
      <c r="F632" s="254"/>
      <c r="G632" s="253"/>
    </row>
    <row r="633">
      <c r="A633" s="60"/>
      <c r="B633" s="60"/>
      <c r="C633" s="252"/>
      <c r="D633" s="252"/>
      <c r="E633" s="253"/>
      <c r="F633" s="254"/>
      <c r="G633" s="253"/>
    </row>
    <row r="634">
      <c r="A634" s="60"/>
      <c r="B634" s="60"/>
      <c r="C634" s="252"/>
      <c r="D634" s="252"/>
      <c r="E634" s="253"/>
      <c r="F634" s="254"/>
      <c r="G634" s="253"/>
    </row>
    <row r="635">
      <c r="A635" s="60"/>
      <c r="B635" s="60"/>
      <c r="C635" s="252"/>
      <c r="D635" s="252"/>
      <c r="E635" s="253"/>
      <c r="F635" s="254"/>
      <c r="G635" s="253"/>
    </row>
    <row r="636">
      <c r="A636" s="60"/>
      <c r="B636" s="60"/>
      <c r="C636" s="252"/>
      <c r="D636" s="252"/>
      <c r="E636" s="253"/>
      <c r="F636" s="254"/>
      <c r="G636" s="253"/>
    </row>
    <row r="637">
      <c r="A637" s="60"/>
      <c r="B637" s="60"/>
      <c r="C637" s="252"/>
      <c r="D637" s="252"/>
      <c r="E637" s="253"/>
      <c r="F637" s="254"/>
      <c r="G637" s="253"/>
    </row>
    <row r="638">
      <c r="A638" s="60"/>
      <c r="B638" s="60"/>
      <c r="C638" s="252"/>
      <c r="D638" s="252"/>
      <c r="E638" s="253"/>
      <c r="F638" s="254"/>
      <c r="G638" s="253"/>
    </row>
    <row r="639">
      <c r="A639" s="60"/>
      <c r="B639" s="60"/>
      <c r="C639" s="252"/>
      <c r="D639" s="252"/>
      <c r="E639" s="253"/>
      <c r="F639" s="254"/>
      <c r="G639" s="253"/>
    </row>
    <row r="640">
      <c r="A640" s="60"/>
      <c r="B640" s="60"/>
      <c r="C640" s="252"/>
      <c r="D640" s="252"/>
      <c r="E640" s="253"/>
      <c r="F640" s="254"/>
      <c r="G640" s="253"/>
    </row>
    <row r="641">
      <c r="A641" s="60"/>
      <c r="B641" s="60"/>
      <c r="C641" s="252"/>
      <c r="D641" s="252"/>
      <c r="E641" s="253"/>
      <c r="F641" s="254"/>
      <c r="G641" s="253"/>
    </row>
    <row r="642">
      <c r="A642" s="60"/>
      <c r="B642" s="60"/>
      <c r="C642" s="252"/>
      <c r="D642" s="252"/>
      <c r="E642" s="253"/>
      <c r="F642" s="254"/>
      <c r="G642" s="253"/>
    </row>
    <row r="643">
      <c r="A643" s="60"/>
      <c r="B643" s="60"/>
      <c r="C643" s="252"/>
      <c r="D643" s="252"/>
      <c r="E643" s="253"/>
      <c r="F643" s="254"/>
      <c r="G643" s="253"/>
    </row>
    <row r="644">
      <c r="A644" s="60"/>
      <c r="B644" s="60"/>
      <c r="C644" s="252"/>
      <c r="D644" s="252"/>
      <c r="E644" s="253"/>
      <c r="F644" s="254"/>
      <c r="G644" s="253"/>
    </row>
    <row r="645">
      <c r="A645" s="60"/>
      <c r="B645" s="60"/>
      <c r="C645" s="252"/>
      <c r="D645" s="252"/>
      <c r="E645" s="253"/>
      <c r="F645" s="254"/>
      <c r="G645" s="253"/>
    </row>
    <row r="646">
      <c r="A646" s="60"/>
      <c r="B646" s="60"/>
      <c r="C646" s="252"/>
      <c r="D646" s="252"/>
      <c r="E646" s="253"/>
      <c r="F646" s="254"/>
      <c r="G646" s="253"/>
    </row>
    <row r="647">
      <c r="A647" s="60"/>
      <c r="B647" s="60"/>
      <c r="C647" s="252"/>
      <c r="D647" s="252"/>
      <c r="E647" s="253"/>
      <c r="F647" s="254"/>
      <c r="G647" s="253"/>
    </row>
    <row r="648">
      <c r="A648" s="60"/>
      <c r="B648" s="60"/>
      <c r="C648" s="252"/>
      <c r="D648" s="252"/>
      <c r="E648" s="253"/>
      <c r="F648" s="254"/>
      <c r="G648" s="253"/>
    </row>
    <row r="649">
      <c r="A649" s="60"/>
      <c r="B649" s="60"/>
      <c r="C649" s="252"/>
      <c r="D649" s="252"/>
      <c r="E649" s="253"/>
      <c r="F649" s="254"/>
      <c r="G649" s="253"/>
    </row>
    <row r="650">
      <c r="A650" s="60"/>
      <c r="B650" s="60"/>
      <c r="C650" s="252"/>
      <c r="D650" s="252"/>
      <c r="E650" s="253"/>
      <c r="F650" s="254"/>
      <c r="G650" s="253"/>
    </row>
    <row r="651">
      <c r="A651" s="60"/>
      <c r="B651" s="60"/>
      <c r="C651" s="252"/>
      <c r="D651" s="252"/>
      <c r="E651" s="253"/>
      <c r="F651" s="254"/>
      <c r="G651" s="253"/>
    </row>
    <row r="652">
      <c r="A652" s="60"/>
      <c r="B652" s="60"/>
      <c r="C652" s="252"/>
      <c r="D652" s="252"/>
      <c r="E652" s="253"/>
      <c r="F652" s="254"/>
      <c r="G652" s="253"/>
    </row>
    <row r="653">
      <c r="A653" s="60"/>
      <c r="B653" s="60"/>
      <c r="C653" s="252"/>
      <c r="D653" s="252"/>
      <c r="E653" s="253"/>
      <c r="F653" s="254"/>
      <c r="G653" s="253"/>
    </row>
    <row r="654">
      <c r="A654" s="60"/>
      <c r="B654" s="60"/>
      <c r="C654" s="252"/>
      <c r="D654" s="252"/>
      <c r="E654" s="253"/>
      <c r="F654" s="254"/>
      <c r="G654" s="253"/>
    </row>
    <row r="655">
      <c r="A655" s="60"/>
      <c r="B655" s="60"/>
      <c r="C655" s="252"/>
      <c r="D655" s="252"/>
      <c r="E655" s="253"/>
      <c r="F655" s="254"/>
      <c r="G655" s="253"/>
    </row>
    <row r="656">
      <c r="A656" s="60"/>
      <c r="B656" s="60"/>
      <c r="C656" s="252"/>
      <c r="D656" s="252"/>
      <c r="E656" s="253"/>
      <c r="F656" s="254"/>
      <c r="G656" s="253"/>
    </row>
    <row r="657">
      <c r="A657" s="60"/>
      <c r="B657" s="60"/>
      <c r="C657" s="252"/>
      <c r="D657" s="252"/>
      <c r="E657" s="253"/>
      <c r="F657" s="254"/>
      <c r="G657" s="253"/>
    </row>
    <row r="658">
      <c r="A658" s="60"/>
      <c r="B658" s="60"/>
      <c r="C658" s="252"/>
      <c r="D658" s="252"/>
      <c r="E658" s="253"/>
      <c r="F658" s="254"/>
      <c r="G658" s="253"/>
    </row>
    <row r="659">
      <c r="A659" s="60"/>
      <c r="B659" s="60"/>
      <c r="C659" s="252"/>
      <c r="D659" s="252"/>
      <c r="E659" s="253"/>
      <c r="F659" s="254"/>
      <c r="G659" s="253"/>
    </row>
    <row r="660">
      <c r="A660" s="60"/>
      <c r="B660" s="60"/>
      <c r="C660" s="252"/>
      <c r="D660" s="252"/>
      <c r="E660" s="253"/>
      <c r="F660" s="254"/>
      <c r="G660" s="253"/>
    </row>
    <row r="661">
      <c r="A661" s="60"/>
      <c r="B661" s="60"/>
      <c r="C661" s="252"/>
      <c r="D661" s="252"/>
      <c r="E661" s="253"/>
      <c r="F661" s="254"/>
      <c r="G661" s="253"/>
    </row>
    <row r="662">
      <c r="A662" s="60"/>
      <c r="B662" s="60"/>
      <c r="C662" s="252"/>
      <c r="D662" s="252"/>
      <c r="E662" s="253"/>
      <c r="F662" s="254"/>
      <c r="G662" s="253"/>
    </row>
    <row r="663">
      <c r="A663" s="60"/>
      <c r="B663" s="60"/>
      <c r="C663" s="252"/>
      <c r="D663" s="252"/>
      <c r="E663" s="253"/>
      <c r="F663" s="254"/>
      <c r="G663" s="253"/>
    </row>
    <row r="664">
      <c r="A664" s="60"/>
      <c r="B664" s="60"/>
      <c r="C664" s="252"/>
      <c r="D664" s="252"/>
      <c r="E664" s="253"/>
      <c r="F664" s="254"/>
      <c r="G664" s="253"/>
    </row>
    <row r="665">
      <c r="A665" s="60"/>
      <c r="B665" s="60"/>
      <c r="C665" s="252"/>
      <c r="D665" s="252"/>
      <c r="E665" s="253"/>
      <c r="F665" s="254"/>
      <c r="G665" s="253"/>
    </row>
    <row r="666">
      <c r="A666" s="60"/>
      <c r="B666" s="60"/>
      <c r="C666" s="252"/>
      <c r="D666" s="252"/>
      <c r="E666" s="253"/>
      <c r="F666" s="254"/>
      <c r="G666" s="253"/>
    </row>
    <row r="667">
      <c r="A667" s="60"/>
      <c r="B667" s="60"/>
      <c r="C667" s="252"/>
      <c r="D667" s="252"/>
      <c r="E667" s="253"/>
      <c r="F667" s="254"/>
      <c r="G667" s="253"/>
    </row>
    <row r="668">
      <c r="A668" s="60"/>
      <c r="B668" s="60"/>
      <c r="C668" s="252"/>
      <c r="D668" s="252"/>
      <c r="E668" s="253"/>
      <c r="F668" s="254"/>
      <c r="G668" s="253"/>
    </row>
    <row r="669">
      <c r="A669" s="60"/>
      <c r="B669" s="60"/>
      <c r="C669" s="252"/>
      <c r="D669" s="252"/>
      <c r="E669" s="253"/>
      <c r="F669" s="254"/>
      <c r="G669" s="253"/>
    </row>
    <row r="670">
      <c r="A670" s="60"/>
      <c r="B670" s="60"/>
      <c r="C670" s="252"/>
      <c r="D670" s="252"/>
      <c r="E670" s="253"/>
      <c r="F670" s="254"/>
      <c r="G670" s="253"/>
    </row>
    <row r="671">
      <c r="A671" s="60"/>
      <c r="B671" s="60"/>
      <c r="C671" s="252"/>
      <c r="D671" s="252"/>
      <c r="E671" s="253"/>
      <c r="F671" s="254"/>
      <c r="G671" s="253"/>
    </row>
    <row r="672">
      <c r="A672" s="60"/>
      <c r="B672" s="60"/>
      <c r="C672" s="252"/>
      <c r="D672" s="252"/>
      <c r="E672" s="253"/>
      <c r="F672" s="254"/>
      <c r="G672" s="253"/>
    </row>
    <row r="673">
      <c r="A673" s="60"/>
      <c r="B673" s="60"/>
      <c r="C673" s="252"/>
      <c r="D673" s="252"/>
      <c r="E673" s="253"/>
      <c r="F673" s="254"/>
      <c r="G673" s="253"/>
    </row>
    <row r="674">
      <c r="A674" s="60"/>
      <c r="B674" s="60"/>
      <c r="C674" s="252"/>
      <c r="D674" s="252"/>
      <c r="E674" s="253"/>
      <c r="F674" s="254"/>
      <c r="G674" s="253"/>
    </row>
    <row r="675">
      <c r="A675" s="60"/>
      <c r="B675" s="60"/>
      <c r="C675" s="252"/>
      <c r="D675" s="252"/>
      <c r="E675" s="253"/>
      <c r="F675" s="254"/>
      <c r="G675" s="253"/>
    </row>
    <row r="676">
      <c r="A676" s="60"/>
      <c r="B676" s="60"/>
      <c r="C676" s="252"/>
      <c r="D676" s="252"/>
      <c r="E676" s="253"/>
      <c r="F676" s="254"/>
      <c r="G676" s="253"/>
    </row>
    <row r="677">
      <c r="A677" s="60"/>
      <c r="B677" s="60"/>
      <c r="C677" s="252"/>
      <c r="D677" s="252"/>
      <c r="E677" s="253"/>
      <c r="F677" s="254"/>
      <c r="G677" s="253"/>
    </row>
    <row r="678">
      <c r="A678" s="60"/>
      <c r="B678" s="60"/>
      <c r="C678" s="252"/>
      <c r="D678" s="252"/>
      <c r="E678" s="253"/>
      <c r="F678" s="254"/>
      <c r="G678" s="253"/>
    </row>
    <row r="679">
      <c r="A679" s="60"/>
      <c r="B679" s="60"/>
      <c r="C679" s="252"/>
      <c r="D679" s="252"/>
      <c r="E679" s="253"/>
      <c r="F679" s="254"/>
      <c r="G679" s="253"/>
    </row>
    <row r="680">
      <c r="A680" s="60"/>
      <c r="B680" s="60"/>
      <c r="C680" s="252"/>
      <c r="D680" s="252"/>
      <c r="E680" s="253"/>
      <c r="F680" s="254"/>
      <c r="G680" s="253"/>
    </row>
    <row r="681">
      <c r="A681" s="60"/>
      <c r="B681" s="60"/>
      <c r="C681" s="252"/>
      <c r="D681" s="252"/>
      <c r="E681" s="253"/>
      <c r="F681" s="254"/>
      <c r="G681" s="253"/>
    </row>
    <row r="682">
      <c r="A682" s="60"/>
      <c r="B682" s="60"/>
      <c r="C682" s="252"/>
      <c r="D682" s="252"/>
      <c r="E682" s="253"/>
      <c r="F682" s="254"/>
      <c r="G682" s="253"/>
    </row>
    <row r="683">
      <c r="A683" s="60"/>
      <c r="B683" s="60"/>
      <c r="C683" s="252"/>
      <c r="D683" s="252"/>
      <c r="E683" s="253"/>
      <c r="F683" s="254"/>
      <c r="G683" s="253"/>
    </row>
    <row r="684">
      <c r="A684" s="60"/>
      <c r="B684" s="60"/>
      <c r="C684" s="252"/>
      <c r="D684" s="252"/>
      <c r="E684" s="253"/>
      <c r="F684" s="254"/>
      <c r="G684" s="253"/>
    </row>
    <row r="685">
      <c r="A685" s="60"/>
      <c r="B685" s="60"/>
      <c r="C685" s="252"/>
      <c r="D685" s="252"/>
      <c r="E685" s="253"/>
      <c r="F685" s="254"/>
      <c r="G685" s="253"/>
    </row>
    <row r="686">
      <c r="A686" s="60"/>
      <c r="B686" s="60"/>
      <c r="C686" s="252"/>
      <c r="D686" s="252"/>
      <c r="E686" s="253"/>
      <c r="F686" s="254"/>
      <c r="G686" s="253"/>
    </row>
    <row r="687">
      <c r="A687" s="60"/>
      <c r="B687" s="60"/>
      <c r="C687" s="252"/>
      <c r="D687" s="252"/>
      <c r="E687" s="253"/>
      <c r="F687" s="254"/>
      <c r="G687" s="253"/>
    </row>
    <row r="688">
      <c r="A688" s="60"/>
      <c r="B688" s="60"/>
      <c r="C688" s="252"/>
      <c r="D688" s="252"/>
      <c r="E688" s="253"/>
      <c r="F688" s="254"/>
      <c r="G688" s="253"/>
    </row>
    <row r="689">
      <c r="A689" s="60"/>
      <c r="B689" s="60"/>
      <c r="C689" s="252"/>
      <c r="D689" s="252"/>
      <c r="E689" s="253"/>
      <c r="F689" s="254"/>
      <c r="G689" s="253"/>
    </row>
    <row r="690">
      <c r="A690" s="60"/>
      <c r="B690" s="60"/>
      <c r="C690" s="252"/>
      <c r="D690" s="252"/>
      <c r="E690" s="253"/>
      <c r="F690" s="254"/>
      <c r="G690" s="253"/>
    </row>
    <row r="691">
      <c r="A691" s="60"/>
      <c r="B691" s="60"/>
      <c r="C691" s="252"/>
      <c r="D691" s="252"/>
      <c r="E691" s="253"/>
      <c r="F691" s="254"/>
      <c r="G691" s="253"/>
    </row>
    <row r="692">
      <c r="A692" s="60"/>
      <c r="B692" s="60"/>
      <c r="C692" s="252"/>
      <c r="D692" s="252"/>
      <c r="E692" s="253"/>
      <c r="F692" s="254"/>
      <c r="G692" s="253"/>
    </row>
    <row r="693">
      <c r="A693" s="60"/>
      <c r="B693" s="60"/>
      <c r="C693" s="252"/>
      <c r="D693" s="252"/>
      <c r="E693" s="253"/>
      <c r="F693" s="254"/>
      <c r="G693" s="253"/>
    </row>
    <row r="694">
      <c r="A694" s="60"/>
      <c r="B694" s="60"/>
      <c r="C694" s="252"/>
      <c r="D694" s="252"/>
      <c r="E694" s="253"/>
      <c r="F694" s="254"/>
      <c r="G694" s="253"/>
    </row>
    <row r="695">
      <c r="A695" s="60"/>
      <c r="B695" s="60"/>
      <c r="C695" s="252"/>
      <c r="D695" s="252"/>
      <c r="E695" s="253"/>
      <c r="F695" s="254"/>
      <c r="G695" s="253"/>
    </row>
    <row r="696">
      <c r="A696" s="60"/>
      <c r="B696" s="60"/>
      <c r="C696" s="252"/>
      <c r="D696" s="252"/>
      <c r="E696" s="253"/>
      <c r="F696" s="254"/>
      <c r="G696" s="253"/>
    </row>
    <row r="697">
      <c r="A697" s="60"/>
      <c r="B697" s="60"/>
      <c r="C697" s="252"/>
      <c r="D697" s="252"/>
      <c r="E697" s="253"/>
      <c r="F697" s="254"/>
      <c r="G697" s="253"/>
    </row>
    <row r="698">
      <c r="A698" s="60"/>
      <c r="B698" s="60"/>
      <c r="C698" s="252"/>
      <c r="D698" s="252"/>
      <c r="E698" s="253"/>
      <c r="F698" s="254"/>
      <c r="G698" s="253"/>
    </row>
    <row r="699">
      <c r="A699" s="60"/>
      <c r="B699" s="60"/>
      <c r="C699" s="252"/>
      <c r="D699" s="252"/>
      <c r="E699" s="253"/>
      <c r="F699" s="254"/>
      <c r="G699" s="253"/>
    </row>
    <row r="700">
      <c r="A700" s="60"/>
      <c r="B700" s="60"/>
      <c r="C700" s="252"/>
      <c r="D700" s="252"/>
      <c r="E700" s="253"/>
      <c r="F700" s="254"/>
      <c r="G700" s="253"/>
    </row>
    <row r="701">
      <c r="A701" s="60"/>
      <c r="B701" s="60"/>
      <c r="C701" s="252"/>
      <c r="D701" s="252"/>
      <c r="E701" s="253"/>
      <c r="F701" s="254"/>
      <c r="G701" s="253"/>
    </row>
    <row r="702">
      <c r="A702" s="60"/>
      <c r="B702" s="60"/>
      <c r="C702" s="252"/>
      <c r="D702" s="252"/>
      <c r="E702" s="253"/>
      <c r="F702" s="254"/>
      <c r="G702" s="253"/>
    </row>
    <row r="703">
      <c r="A703" s="60"/>
      <c r="B703" s="60"/>
      <c r="C703" s="252"/>
      <c r="D703" s="252"/>
      <c r="E703" s="253"/>
      <c r="F703" s="254"/>
      <c r="G703" s="253"/>
    </row>
    <row r="704">
      <c r="A704" s="60"/>
      <c r="B704" s="60"/>
      <c r="C704" s="252"/>
      <c r="D704" s="252"/>
      <c r="E704" s="253"/>
      <c r="F704" s="254"/>
      <c r="G704" s="253"/>
    </row>
    <row r="705">
      <c r="A705" s="60"/>
      <c r="B705" s="60"/>
      <c r="C705" s="252"/>
      <c r="D705" s="252"/>
      <c r="E705" s="253"/>
      <c r="F705" s="254"/>
      <c r="G705" s="253"/>
    </row>
    <row r="706">
      <c r="A706" s="60"/>
      <c r="B706" s="60"/>
      <c r="C706" s="252"/>
      <c r="D706" s="252"/>
      <c r="E706" s="253"/>
      <c r="F706" s="254"/>
      <c r="G706" s="253"/>
    </row>
    <row r="707">
      <c r="A707" s="60"/>
      <c r="B707" s="60"/>
      <c r="C707" s="252"/>
      <c r="D707" s="252"/>
      <c r="E707" s="253"/>
      <c r="F707" s="254"/>
      <c r="G707" s="253"/>
    </row>
    <row r="708">
      <c r="A708" s="60"/>
      <c r="B708" s="60"/>
      <c r="C708" s="252"/>
      <c r="D708" s="252"/>
      <c r="E708" s="253"/>
      <c r="F708" s="254"/>
      <c r="G708" s="253"/>
    </row>
    <row r="709">
      <c r="A709" s="60"/>
      <c r="B709" s="60"/>
      <c r="C709" s="252"/>
      <c r="D709" s="252"/>
      <c r="E709" s="253"/>
      <c r="F709" s="254"/>
      <c r="G709" s="253"/>
    </row>
    <row r="710">
      <c r="A710" s="60"/>
      <c r="B710" s="60"/>
      <c r="C710" s="252"/>
      <c r="D710" s="252"/>
      <c r="E710" s="253"/>
      <c r="F710" s="254"/>
      <c r="G710" s="253"/>
    </row>
    <row r="711">
      <c r="A711" s="60"/>
      <c r="B711" s="60"/>
      <c r="C711" s="252"/>
      <c r="D711" s="252"/>
      <c r="E711" s="253"/>
      <c r="F711" s="254"/>
      <c r="G711" s="253"/>
    </row>
    <row r="712">
      <c r="A712" s="60"/>
      <c r="B712" s="60"/>
      <c r="C712" s="252"/>
      <c r="D712" s="252"/>
      <c r="E712" s="253"/>
      <c r="F712" s="254"/>
      <c r="G712" s="253"/>
    </row>
    <row r="713">
      <c r="A713" s="60"/>
      <c r="B713" s="60"/>
      <c r="C713" s="252"/>
      <c r="D713" s="252"/>
      <c r="E713" s="253"/>
      <c r="F713" s="254"/>
      <c r="G713" s="253"/>
    </row>
    <row r="714">
      <c r="A714" s="60"/>
      <c r="B714" s="60"/>
      <c r="C714" s="252"/>
      <c r="D714" s="252"/>
      <c r="E714" s="253"/>
      <c r="F714" s="254"/>
      <c r="G714" s="253"/>
    </row>
    <row r="715">
      <c r="A715" s="60"/>
      <c r="B715" s="60"/>
      <c r="C715" s="252"/>
      <c r="D715" s="252"/>
      <c r="E715" s="253"/>
      <c r="F715" s="254"/>
      <c r="G715" s="253"/>
    </row>
    <row r="716">
      <c r="A716" s="60"/>
      <c r="B716" s="60"/>
      <c r="C716" s="252"/>
      <c r="D716" s="252"/>
      <c r="E716" s="253"/>
      <c r="F716" s="254"/>
      <c r="G716" s="253"/>
    </row>
    <row r="717">
      <c r="A717" s="60"/>
      <c r="B717" s="60"/>
      <c r="C717" s="252"/>
      <c r="D717" s="252"/>
      <c r="E717" s="253"/>
      <c r="F717" s="254"/>
      <c r="G717" s="253"/>
    </row>
    <row r="718">
      <c r="A718" s="60"/>
      <c r="B718" s="60"/>
      <c r="C718" s="252"/>
      <c r="D718" s="252"/>
      <c r="E718" s="253"/>
      <c r="F718" s="254"/>
      <c r="G718" s="253"/>
    </row>
    <row r="719">
      <c r="A719" s="60"/>
      <c r="B719" s="60"/>
      <c r="C719" s="252"/>
      <c r="D719" s="252"/>
      <c r="E719" s="253"/>
      <c r="F719" s="254"/>
      <c r="G719" s="253"/>
    </row>
    <row r="720">
      <c r="A720" s="60"/>
      <c r="B720" s="60"/>
      <c r="C720" s="252"/>
      <c r="D720" s="252"/>
      <c r="E720" s="253"/>
      <c r="F720" s="254"/>
      <c r="G720" s="253"/>
    </row>
    <row r="721">
      <c r="A721" s="60"/>
      <c r="B721" s="60"/>
      <c r="C721" s="252"/>
      <c r="D721" s="252"/>
      <c r="E721" s="253"/>
      <c r="F721" s="254"/>
      <c r="G721" s="253"/>
    </row>
    <row r="722">
      <c r="A722" s="60"/>
      <c r="B722" s="60"/>
      <c r="C722" s="252"/>
      <c r="D722" s="252"/>
      <c r="E722" s="253"/>
      <c r="F722" s="254"/>
      <c r="G722" s="253"/>
    </row>
    <row r="723">
      <c r="A723" s="60"/>
      <c r="B723" s="60"/>
      <c r="C723" s="252"/>
      <c r="D723" s="252"/>
      <c r="E723" s="253"/>
      <c r="F723" s="254"/>
      <c r="G723" s="253"/>
    </row>
    <row r="724">
      <c r="A724" s="60"/>
      <c r="B724" s="60"/>
      <c r="C724" s="252"/>
      <c r="D724" s="252"/>
      <c r="E724" s="253"/>
      <c r="F724" s="254"/>
      <c r="G724" s="253"/>
    </row>
    <row r="725">
      <c r="A725" s="60"/>
      <c r="B725" s="60"/>
      <c r="C725" s="252"/>
      <c r="D725" s="252"/>
      <c r="E725" s="253"/>
      <c r="F725" s="254"/>
      <c r="G725" s="253"/>
    </row>
    <row r="726">
      <c r="A726" s="60"/>
      <c r="B726" s="60"/>
      <c r="C726" s="252"/>
      <c r="D726" s="252"/>
      <c r="E726" s="253"/>
      <c r="F726" s="254"/>
      <c r="G726" s="253"/>
    </row>
    <row r="727">
      <c r="A727" s="60"/>
      <c r="B727" s="60"/>
      <c r="C727" s="252"/>
      <c r="D727" s="252"/>
      <c r="E727" s="253"/>
      <c r="F727" s="254"/>
      <c r="G727" s="253"/>
    </row>
    <row r="728">
      <c r="A728" s="60"/>
      <c r="B728" s="60"/>
      <c r="C728" s="252"/>
      <c r="D728" s="252"/>
      <c r="E728" s="253"/>
      <c r="F728" s="254"/>
      <c r="G728" s="253"/>
    </row>
    <row r="729">
      <c r="A729" s="60"/>
      <c r="B729" s="60"/>
      <c r="C729" s="252"/>
      <c r="D729" s="252"/>
      <c r="E729" s="253"/>
      <c r="F729" s="254"/>
      <c r="G729" s="253"/>
    </row>
    <row r="730">
      <c r="A730" s="60"/>
      <c r="B730" s="60"/>
      <c r="C730" s="252"/>
      <c r="D730" s="252"/>
      <c r="E730" s="253"/>
      <c r="F730" s="254"/>
      <c r="G730" s="253"/>
    </row>
    <row r="731">
      <c r="A731" s="60"/>
      <c r="B731" s="60"/>
      <c r="C731" s="252"/>
      <c r="D731" s="252"/>
      <c r="E731" s="253"/>
      <c r="F731" s="254"/>
      <c r="G731" s="253"/>
    </row>
    <row r="732">
      <c r="A732" s="60"/>
      <c r="B732" s="60"/>
      <c r="C732" s="252"/>
      <c r="D732" s="252"/>
      <c r="E732" s="253"/>
      <c r="F732" s="254"/>
      <c r="G732" s="253"/>
    </row>
    <row r="733">
      <c r="A733" s="60"/>
      <c r="B733" s="60"/>
      <c r="C733" s="252"/>
      <c r="D733" s="252"/>
      <c r="E733" s="253"/>
      <c r="F733" s="254"/>
      <c r="G733" s="253"/>
    </row>
    <row r="734">
      <c r="A734" s="60"/>
      <c r="B734" s="60"/>
      <c r="C734" s="252"/>
      <c r="D734" s="252"/>
      <c r="E734" s="253"/>
      <c r="F734" s="254"/>
      <c r="G734" s="253"/>
    </row>
    <row r="735">
      <c r="A735" s="60"/>
      <c r="B735" s="60"/>
      <c r="C735" s="252"/>
      <c r="D735" s="252"/>
      <c r="E735" s="253"/>
      <c r="F735" s="254"/>
      <c r="G735" s="253"/>
    </row>
    <row r="736">
      <c r="A736" s="60"/>
      <c r="B736" s="60"/>
      <c r="C736" s="252"/>
      <c r="D736" s="252"/>
      <c r="E736" s="253"/>
      <c r="F736" s="254"/>
      <c r="G736" s="253"/>
    </row>
    <row r="737">
      <c r="A737" s="60"/>
      <c r="B737" s="60"/>
      <c r="C737" s="252"/>
      <c r="D737" s="252"/>
      <c r="E737" s="253"/>
      <c r="F737" s="254"/>
      <c r="G737" s="253"/>
    </row>
    <row r="738">
      <c r="A738" s="60"/>
      <c r="B738" s="60"/>
      <c r="C738" s="252"/>
      <c r="D738" s="252"/>
      <c r="E738" s="253"/>
      <c r="F738" s="254"/>
      <c r="G738" s="253"/>
    </row>
    <row r="739">
      <c r="A739" s="60"/>
      <c r="B739" s="60"/>
      <c r="C739" s="252"/>
      <c r="D739" s="252"/>
      <c r="E739" s="253"/>
      <c r="F739" s="254"/>
      <c r="G739" s="253"/>
    </row>
    <row r="740">
      <c r="A740" s="60"/>
      <c r="B740" s="60"/>
      <c r="C740" s="252"/>
      <c r="D740" s="252"/>
      <c r="E740" s="253"/>
      <c r="F740" s="254"/>
      <c r="G740" s="253"/>
    </row>
    <row r="741">
      <c r="A741" s="60"/>
      <c r="B741" s="60"/>
      <c r="C741" s="252"/>
      <c r="D741" s="252"/>
      <c r="E741" s="253"/>
      <c r="F741" s="254"/>
      <c r="G741" s="253"/>
    </row>
    <row r="742">
      <c r="A742" s="60"/>
      <c r="B742" s="60"/>
      <c r="C742" s="252"/>
      <c r="D742" s="252"/>
      <c r="E742" s="253"/>
      <c r="F742" s="254"/>
      <c r="G742" s="253"/>
    </row>
    <row r="743">
      <c r="A743" s="60"/>
      <c r="B743" s="60"/>
      <c r="C743" s="252"/>
      <c r="D743" s="252"/>
      <c r="E743" s="253"/>
      <c r="F743" s="254"/>
      <c r="G743" s="253"/>
    </row>
    <row r="744">
      <c r="A744" s="60"/>
      <c r="B744" s="60"/>
      <c r="C744" s="252"/>
      <c r="D744" s="252"/>
      <c r="E744" s="253"/>
      <c r="F744" s="254"/>
      <c r="G744" s="253"/>
    </row>
    <row r="745">
      <c r="A745" s="60"/>
      <c r="B745" s="60"/>
      <c r="C745" s="252"/>
      <c r="D745" s="252"/>
      <c r="E745" s="253"/>
      <c r="F745" s="254"/>
      <c r="G745" s="253"/>
    </row>
    <row r="746">
      <c r="A746" s="60"/>
      <c r="B746" s="60"/>
      <c r="C746" s="252"/>
      <c r="D746" s="252"/>
      <c r="E746" s="253"/>
      <c r="F746" s="254"/>
      <c r="G746" s="253"/>
    </row>
    <row r="747">
      <c r="A747" s="60"/>
      <c r="B747" s="60"/>
      <c r="C747" s="252"/>
      <c r="D747" s="252"/>
      <c r="E747" s="253"/>
      <c r="F747" s="254"/>
      <c r="G747" s="253"/>
    </row>
    <row r="748">
      <c r="A748" s="60"/>
      <c r="B748" s="60"/>
      <c r="C748" s="252"/>
      <c r="D748" s="252"/>
      <c r="E748" s="253"/>
      <c r="F748" s="254"/>
      <c r="G748" s="253"/>
    </row>
    <row r="749">
      <c r="A749" s="60"/>
      <c r="B749" s="60"/>
      <c r="C749" s="252"/>
      <c r="D749" s="252"/>
      <c r="E749" s="253"/>
      <c r="F749" s="254"/>
      <c r="G749" s="253"/>
    </row>
    <row r="750">
      <c r="A750" s="60"/>
      <c r="B750" s="60"/>
      <c r="C750" s="252"/>
      <c r="D750" s="252"/>
      <c r="E750" s="253"/>
      <c r="F750" s="254"/>
      <c r="G750" s="253"/>
    </row>
    <row r="751">
      <c r="A751" s="60"/>
      <c r="B751" s="60"/>
      <c r="C751" s="252"/>
      <c r="D751" s="252"/>
      <c r="E751" s="253"/>
      <c r="F751" s="254"/>
      <c r="G751" s="253"/>
    </row>
    <row r="752">
      <c r="A752" s="60"/>
      <c r="B752" s="60"/>
      <c r="C752" s="252"/>
      <c r="D752" s="252"/>
      <c r="E752" s="253"/>
      <c r="F752" s="254"/>
      <c r="G752" s="253"/>
    </row>
    <row r="753">
      <c r="A753" s="60"/>
      <c r="B753" s="60"/>
      <c r="C753" s="252"/>
      <c r="D753" s="252"/>
      <c r="E753" s="253"/>
      <c r="F753" s="254"/>
      <c r="G753" s="253"/>
    </row>
    <row r="754">
      <c r="A754" s="60"/>
      <c r="B754" s="60"/>
      <c r="C754" s="252"/>
      <c r="D754" s="252"/>
      <c r="E754" s="253"/>
      <c r="F754" s="254"/>
      <c r="G754" s="253"/>
    </row>
    <row r="755">
      <c r="A755" s="60"/>
      <c r="B755" s="60"/>
      <c r="C755" s="252"/>
      <c r="D755" s="252"/>
      <c r="E755" s="253"/>
      <c r="F755" s="254"/>
      <c r="G755" s="253"/>
    </row>
    <row r="756">
      <c r="A756" s="60"/>
      <c r="B756" s="60"/>
      <c r="C756" s="252"/>
      <c r="D756" s="252"/>
      <c r="E756" s="253"/>
      <c r="F756" s="254"/>
      <c r="G756" s="253"/>
    </row>
    <row r="757">
      <c r="A757" s="60"/>
      <c r="B757" s="60"/>
      <c r="C757" s="252"/>
      <c r="D757" s="252"/>
      <c r="E757" s="253"/>
      <c r="F757" s="254"/>
      <c r="G757" s="253"/>
    </row>
    <row r="758">
      <c r="A758" s="60"/>
      <c r="B758" s="60"/>
      <c r="C758" s="252"/>
      <c r="D758" s="252"/>
      <c r="E758" s="253"/>
      <c r="F758" s="254"/>
      <c r="G758" s="253"/>
    </row>
    <row r="759">
      <c r="A759" s="60"/>
      <c r="B759" s="60"/>
      <c r="C759" s="252"/>
      <c r="D759" s="252"/>
      <c r="E759" s="253"/>
      <c r="F759" s="254"/>
      <c r="G759" s="253"/>
    </row>
    <row r="760">
      <c r="A760" s="60"/>
      <c r="B760" s="60"/>
      <c r="C760" s="252"/>
      <c r="D760" s="252"/>
      <c r="E760" s="253"/>
      <c r="F760" s="254"/>
      <c r="G760" s="253"/>
    </row>
    <row r="761">
      <c r="A761" s="60"/>
      <c r="B761" s="60"/>
      <c r="C761" s="252"/>
      <c r="D761" s="252"/>
      <c r="E761" s="253"/>
      <c r="F761" s="254"/>
      <c r="G761" s="253"/>
    </row>
    <row r="762">
      <c r="A762" s="60"/>
      <c r="B762" s="60"/>
      <c r="C762" s="252"/>
      <c r="D762" s="252"/>
      <c r="E762" s="253"/>
      <c r="F762" s="254"/>
      <c r="G762" s="253"/>
    </row>
    <row r="763">
      <c r="A763" s="60"/>
      <c r="B763" s="60"/>
      <c r="C763" s="252"/>
      <c r="D763" s="252"/>
      <c r="E763" s="253"/>
      <c r="F763" s="254"/>
      <c r="G763" s="253"/>
    </row>
    <row r="764">
      <c r="A764" s="60"/>
      <c r="B764" s="60"/>
      <c r="C764" s="252"/>
      <c r="D764" s="252"/>
      <c r="E764" s="253"/>
      <c r="F764" s="254"/>
      <c r="G764" s="253"/>
    </row>
    <row r="765">
      <c r="A765" s="60"/>
      <c r="B765" s="60"/>
      <c r="C765" s="252"/>
      <c r="D765" s="252"/>
      <c r="E765" s="253"/>
      <c r="F765" s="254"/>
      <c r="G765" s="253"/>
    </row>
    <row r="766">
      <c r="A766" s="60"/>
      <c r="B766" s="60"/>
      <c r="C766" s="252"/>
      <c r="D766" s="252"/>
      <c r="E766" s="253"/>
      <c r="F766" s="254"/>
      <c r="G766" s="253"/>
    </row>
    <row r="767">
      <c r="A767" s="60"/>
      <c r="B767" s="60"/>
      <c r="C767" s="252"/>
      <c r="D767" s="252"/>
      <c r="E767" s="253"/>
      <c r="F767" s="254"/>
      <c r="G767" s="253"/>
    </row>
    <row r="768">
      <c r="A768" s="60"/>
      <c r="B768" s="60"/>
      <c r="C768" s="252"/>
      <c r="D768" s="252"/>
      <c r="E768" s="253"/>
      <c r="F768" s="254"/>
      <c r="G768" s="253"/>
    </row>
    <row r="769">
      <c r="A769" s="60"/>
      <c r="B769" s="60"/>
      <c r="C769" s="252"/>
      <c r="D769" s="252"/>
      <c r="E769" s="253"/>
      <c r="F769" s="254"/>
      <c r="G769" s="253"/>
    </row>
    <row r="770">
      <c r="A770" s="60"/>
      <c r="B770" s="60"/>
      <c r="C770" s="252"/>
      <c r="D770" s="252"/>
      <c r="E770" s="253"/>
      <c r="F770" s="254"/>
      <c r="G770" s="253"/>
    </row>
    <row r="771">
      <c r="A771" s="60"/>
      <c r="B771" s="60"/>
      <c r="C771" s="252"/>
      <c r="D771" s="252"/>
      <c r="E771" s="253"/>
      <c r="F771" s="254"/>
      <c r="G771" s="253"/>
    </row>
    <row r="772">
      <c r="A772" s="60"/>
      <c r="B772" s="60"/>
      <c r="C772" s="252"/>
      <c r="D772" s="252"/>
      <c r="E772" s="253"/>
      <c r="F772" s="254"/>
      <c r="G772" s="253"/>
    </row>
    <row r="773">
      <c r="A773" s="60"/>
      <c r="B773" s="60"/>
      <c r="C773" s="252"/>
      <c r="D773" s="252"/>
      <c r="E773" s="253"/>
      <c r="F773" s="254"/>
      <c r="G773" s="253"/>
    </row>
    <row r="774">
      <c r="A774" s="60"/>
      <c r="B774" s="60"/>
      <c r="C774" s="252"/>
      <c r="D774" s="252"/>
      <c r="E774" s="253"/>
      <c r="F774" s="254"/>
      <c r="G774" s="253"/>
    </row>
    <row r="775">
      <c r="A775" s="60"/>
      <c r="B775" s="60"/>
      <c r="C775" s="252"/>
      <c r="D775" s="252"/>
      <c r="E775" s="253"/>
      <c r="F775" s="254"/>
      <c r="G775" s="253"/>
    </row>
    <row r="776">
      <c r="A776" s="60"/>
      <c r="B776" s="60"/>
      <c r="C776" s="252"/>
      <c r="D776" s="252"/>
      <c r="E776" s="253"/>
      <c r="F776" s="254"/>
      <c r="G776" s="253"/>
    </row>
    <row r="777">
      <c r="A777" s="60"/>
      <c r="B777" s="60"/>
      <c r="C777" s="252"/>
      <c r="D777" s="252"/>
      <c r="E777" s="253"/>
      <c r="F777" s="254"/>
      <c r="G777" s="253"/>
    </row>
    <row r="778">
      <c r="A778" s="60"/>
      <c r="B778" s="60"/>
      <c r="C778" s="252"/>
      <c r="D778" s="252"/>
      <c r="E778" s="253"/>
      <c r="F778" s="254"/>
      <c r="G778" s="253"/>
    </row>
    <row r="779">
      <c r="A779" s="60"/>
      <c r="B779" s="60"/>
      <c r="C779" s="252"/>
      <c r="D779" s="252"/>
      <c r="E779" s="253"/>
      <c r="F779" s="254"/>
      <c r="G779" s="253"/>
    </row>
    <row r="780">
      <c r="A780" s="60"/>
      <c r="B780" s="60"/>
      <c r="C780" s="252"/>
      <c r="D780" s="252"/>
      <c r="E780" s="253"/>
      <c r="F780" s="254"/>
      <c r="G780" s="253"/>
    </row>
    <row r="781">
      <c r="A781" s="60"/>
      <c r="B781" s="60"/>
      <c r="C781" s="252"/>
      <c r="D781" s="252"/>
      <c r="E781" s="253"/>
      <c r="F781" s="254"/>
      <c r="G781" s="253"/>
    </row>
    <row r="782">
      <c r="A782" s="60"/>
      <c r="B782" s="60"/>
      <c r="C782" s="252"/>
      <c r="D782" s="252"/>
      <c r="E782" s="253"/>
      <c r="F782" s="254"/>
      <c r="G782" s="253"/>
    </row>
    <row r="783">
      <c r="A783" s="60"/>
      <c r="B783" s="60"/>
      <c r="C783" s="252"/>
      <c r="D783" s="252"/>
      <c r="E783" s="253"/>
      <c r="F783" s="254"/>
      <c r="G783" s="253"/>
    </row>
    <row r="784">
      <c r="A784" s="60"/>
      <c r="B784" s="60"/>
      <c r="C784" s="252"/>
      <c r="D784" s="252"/>
      <c r="E784" s="253"/>
      <c r="F784" s="254"/>
      <c r="G784" s="253"/>
    </row>
    <row r="785">
      <c r="A785" s="60"/>
      <c r="B785" s="60"/>
      <c r="C785" s="252"/>
      <c r="D785" s="252"/>
      <c r="E785" s="253"/>
      <c r="F785" s="254"/>
      <c r="G785" s="253"/>
    </row>
    <row r="786">
      <c r="A786" s="60"/>
      <c r="B786" s="60"/>
      <c r="C786" s="252"/>
      <c r="D786" s="252"/>
      <c r="E786" s="253"/>
      <c r="F786" s="254"/>
      <c r="G786" s="253"/>
    </row>
    <row r="787">
      <c r="A787" s="60"/>
      <c r="B787" s="60"/>
      <c r="C787" s="252"/>
      <c r="D787" s="252"/>
      <c r="E787" s="253"/>
      <c r="F787" s="254"/>
      <c r="G787" s="253"/>
    </row>
    <row r="788">
      <c r="A788" s="60"/>
      <c r="B788" s="60"/>
      <c r="C788" s="252"/>
      <c r="D788" s="252"/>
      <c r="E788" s="253"/>
      <c r="F788" s="254"/>
      <c r="G788" s="253"/>
    </row>
    <row r="789">
      <c r="A789" s="60"/>
      <c r="B789" s="60"/>
      <c r="C789" s="252"/>
      <c r="D789" s="252"/>
      <c r="E789" s="253"/>
      <c r="F789" s="254"/>
      <c r="G789" s="253"/>
    </row>
    <row r="790">
      <c r="A790" s="60"/>
      <c r="B790" s="60"/>
      <c r="C790" s="252"/>
      <c r="D790" s="252"/>
      <c r="E790" s="253"/>
      <c r="F790" s="254"/>
      <c r="G790" s="253"/>
    </row>
    <row r="791">
      <c r="A791" s="60"/>
      <c r="B791" s="60"/>
      <c r="C791" s="252"/>
      <c r="D791" s="252"/>
      <c r="E791" s="253"/>
      <c r="F791" s="254"/>
      <c r="G791" s="253"/>
    </row>
    <row r="792">
      <c r="A792" s="60"/>
      <c r="B792" s="60"/>
      <c r="C792" s="252"/>
      <c r="D792" s="252"/>
      <c r="E792" s="253"/>
      <c r="F792" s="254"/>
      <c r="G792" s="253"/>
    </row>
    <row r="793">
      <c r="A793" s="60"/>
      <c r="B793" s="60"/>
      <c r="C793" s="252"/>
      <c r="D793" s="252"/>
      <c r="E793" s="253"/>
      <c r="F793" s="254"/>
      <c r="G793" s="253"/>
    </row>
    <row r="794">
      <c r="A794" s="60"/>
      <c r="B794" s="60"/>
      <c r="C794" s="252"/>
      <c r="D794" s="252"/>
      <c r="E794" s="253"/>
      <c r="F794" s="254"/>
      <c r="G794" s="253"/>
    </row>
    <row r="795">
      <c r="A795" s="60"/>
      <c r="B795" s="60"/>
      <c r="C795" s="252"/>
      <c r="D795" s="252"/>
      <c r="E795" s="253"/>
      <c r="F795" s="254"/>
      <c r="G795" s="253"/>
    </row>
    <row r="796">
      <c r="A796" s="60"/>
      <c r="B796" s="60"/>
      <c r="C796" s="252"/>
      <c r="D796" s="252"/>
      <c r="E796" s="253"/>
      <c r="F796" s="254"/>
      <c r="G796" s="253"/>
    </row>
    <row r="797">
      <c r="A797" s="60"/>
      <c r="B797" s="60"/>
      <c r="C797" s="252"/>
      <c r="D797" s="252"/>
      <c r="E797" s="253"/>
      <c r="F797" s="254"/>
      <c r="G797" s="253"/>
    </row>
    <row r="798">
      <c r="A798" s="60"/>
      <c r="B798" s="60"/>
      <c r="C798" s="252"/>
      <c r="D798" s="252"/>
      <c r="E798" s="253"/>
      <c r="F798" s="254"/>
      <c r="G798" s="253"/>
    </row>
    <row r="799">
      <c r="A799" s="60"/>
      <c r="B799" s="60"/>
      <c r="C799" s="252"/>
      <c r="D799" s="252"/>
      <c r="E799" s="253"/>
      <c r="F799" s="254"/>
      <c r="G799" s="253"/>
    </row>
    <row r="800">
      <c r="A800" s="60"/>
      <c r="B800" s="60"/>
      <c r="C800" s="252"/>
      <c r="D800" s="252"/>
      <c r="E800" s="253"/>
      <c r="F800" s="254"/>
      <c r="G800" s="253"/>
    </row>
    <row r="801">
      <c r="A801" s="60"/>
      <c r="B801" s="60"/>
      <c r="C801" s="252"/>
      <c r="D801" s="252"/>
      <c r="E801" s="253"/>
      <c r="F801" s="254"/>
      <c r="G801" s="253"/>
    </row>
    <row r="802">
      <c r="A802" s="60"/>
      <c r="B802" s="60"/>
      <c r="C802" s="252"/>
      <c r="D802" s="252"/>
      <c r="E802" s="253"/>
      <c r="F802" s="254"/>
      <c r="G802" s="253"/>
    </row>
    <row r="803">
      <c r="A803" s="60"/>
      <c r="B803" s="60"/>
      <c r="C803" s="252"/>
      <c r="D803" s="252"/>
      <c r="E803" s="253"/>
      <c r="F803" s="254"/>
      <c r="G803" s="253"/>
    </row>
    <row r="804">
      <c r="A804" s="60"/>
      <c r="B804" s="60"/>
      <c r="C804" s="252"/>
      <c r="D804" s="252"/>
      <c r="E804" s="253"/>
      <c r="F804" s="254"/>
      <c r="G804" s="253"/>
    </row>
    <row r="805">
      <c r="A805" s="60"/>
      <c r="B805" s="60"/>
      <c r="C805" s="252"/>
      <c r="D805" s="252"/>
      <c r="E805" s="253"/>
      <c r="F805" s="254"/>
      <c r="G805" s="253"/>
    </row>
    <row r="806">
      <c r="A806" s="60"/>
      <c r="B806" s="60"/>
      <c r="C806" s="252"/>
      <c r="D806" s="252"/>
      <c r="E806" s="253"/>
      <c r="F806" s="254"/>
      <c r="G806" s="253"/>
    </row>
    <row r="807">
      <c r="A807" s="60"/>
      <c r="B807" s="60"/>
      <c r="C807" s="252"/>
      <c r="D807" s="252"/>
      <c r="E807" s="253"/>
      <c r="F807" s="254"/>
      <c r="G807" s="253"/>
    </row>
    <row r="808">
      <c r="A808" s="60"/>
      <c r="B808" s="60"/>
      <c r="C808" s="252"/>
      <c r="D808" s="252"/>
      <c r="E808" s="253"/>
      <c r="F808" s="254"/>
      <c r="G808" s="253"/>
    </row>
    <row r="809">
      <c r="A809" s="60"/>
      <c r="B809" s="60"/>
      <c r="C809" s="252"/>
      <c r="D809" s="252"/>
      <c r="E809" s="253"/>
      <c r="F809" s="254"/>
      <c r="G809" s="253"/>
    </row>
    <row r="810">
      <c r="A810" s="60"/>
      <c r="B810" s="60"/>
      <c r="C810" s="252"/>
      <c r="D810" s="252"/>
      <c r="E810" s="253"/>
      <c r="F810" s="254"/>
      <c r="G810" s="253"/>
    </row>
    <row r="811">
      <c r="A811" s="60"/>
      <c r="B811" s="60"/>
      <c r="C811" s="252"/>
      <c r="D811" s="252"/>
      <c r="E811" s="253"/>
      <c r="F811" s="254"/>
      <c r="G811" s="253"/>
    </row>
    <row r="812">
      <c r="A812" s="60"/>
      <c r="B812" s="60"/>
      <c r="C812" s="252"/>
      <c r="D812" s="252"/>
      <c r="E812" s="253"/>
      <c r="F812" s="254"/>
      <c r="G812" s="253"/>
    </row>
    <row r="813">
      <c r="A813" s="60"/>
      <c r="B813" s="60"/>
      <c r="C813" s="252"/>
      <c r="D813" s="252"/>
      <c r="E813" s="253"/>
      <c r="F813" s="254"/>
      <c r="G813" s="253"/>
    </row>
    <row r="814">
      <c r="A814" s="60"/>
      <c r="B814" s="60"/>
      <c r="C814" s="252"/>
      <c r="D814" s="252"/>
      <c r="E814" s="253"/>
      <c r="F814" s="254"/>
      <c r="G814" s="253"/>
    </row>
    <row r="815">
      <c r="A815" s="60"/>
      <c r="B815" s="60"/>
      <c r="C815" s="252"/>
      <c r="D815" s="252"/>
      <c r="E815" s="253"/>
      <c r="F815" s="254"/>
      <c r="G815" s="253"/>
    </row>
    <row r="816">
      <c r="A816" s="60"/>
      <c r="B816" s="60"/>
      <c r="C816" s="252"/>
      <c r="D816" s="252"/>
      <c r="E816" s="253"/>
      <c r="F816" s="254"/>
      <c r="G816" s="253"/>
    </row>
    <row r="817">
      <c r="A817" s="60"/>
      <c r="B817" s="60"/>
      <c r="C817" s="252"/>
      <c r="D817" s="252"/>
      <c r="E817" s="253"/>
      <c r="F817" s="254"/>
      <c r="G817" s="253"/>
    </row>
    <row r="818">
      <c r="A818" s="60"/>
      <c r="B818" s="60"/>
      <c r="C818" s="252"/>
      <c r="D818" s="252"/>
      <c r="E818" s="253"/>
      <c r="F818" s="254"/>
      <c r="G818" s="253"/>
    </row>
    <row r="819">
      <c r="A819" s="60"/>
      <c r="B819" s="60"/>
      <c r="C819" s="252"/>
      <c r="D819" s="252"/>
      <c r="E819" s="253"/>
      <c r="F819" s="254"/>
      <c r="G819" s="253"/>
    </row>
    <row r="820">
      <c r="A820" s="60"/>
      <c r="B820" s="60"/>
      <c r="C820" s="252"/>
      <c r="D820" s="252"/>
      <c r="E820" s="253"/>
      <c r="F820" s="254"/>
      <c r="G820" s="253"/>
    </row>
    <row r="821">
      <c r="A821" s="60"/>
      <c r="B821" s="60"/>
      <c r="C821" s="252"/>
      <c r="D821" s="252"/>
      <c r="E821" s="253"/>
      <c r="F821" s="254"/>
      <c r="G821" s="253"/>
    </row>
    <row r="822">
      <c r="A822" s="60"/>
      <c r="B822" s="60"/>
      <c r="C822" s="252"/>
      <c r="D822" s="252"/>
      <c r="E822" s="253"/>
      <c r="F822" s="254"/>
      <c r="G822" s="253"/>
    </row>
    <row r="823">
      <c r="A823" s="60"/>
      <c r="B823" s="60"/>
      <c r="C823" s="252"/>
      <c r="D823" s="252"/>
      <c r="E823" s="253"/>
      <c r="F823" s="254"/>
      <c r="G823" s="253"/>
    </row>
    <row r="824">
      <c r="A824" s="60"/>
      <c r="B824" s="60"/>
      <c r="C824" s="252"/>
      <c r="D824" s="252"/>
      <c r="E824" s="253"/>
      <c r="F824" s="254"/>
      <c r="G824" s="253"/>
    </row>
    <row r="825">
      <c r="A825" s="60"/>
      <c r="B825" s="60"/>
      <c r="C825" s="252"/>
      <c r="D825" s="252"/>
      <c r="E825" s="253"/>
      <c r="F825" s="254"/>
      <c r="G825" s="253"/>
    </row>
    <row r="826">
      <c r="A826" s="60"/>
      <c r="B826" s="60"/>
      <c r="C826" s="252"/>
      <c r="D826" s="252"/>
      <c r="E826" s="253"/>
      <c r="F826" s="254"/>
      <c r="G826" s="253"/>
    </row>
    <row r="827">
      <c r="A827" s="60"/>
      <c r="B827" s="60"/>
      <c r="C827" s="252"/>
      <c r="D827" s="252"/>
      <c r="E827" s="253"/>
      <c r="F827" s="254"/>
      <c r="G827" s="253"/>
    </row>
    <row r="828">
      <c r="A828" s="60"/>
      <c r="B828" s="60"/>
      <c r="C828" s="252"/>
      <c r="D828" s="252"/>
      <c r="E828" s="253"/>
      <c r="F828" s="254"/>
      <c r="G828" s="253"/>
    </row>
    <row r="829">
      <c r="A829" s="60"/>
      <c r="B829" s="60"/>
      <c r="C829" s="252"/>
      <c r="D829" s="252"/>
      <c r="E829" s="253"/>
      <c r="F829" s="254"/>
      <c r="G829" s="253"/>
    </row>
    <row r="830">
      <c r="A830" s="60"/>
      <c r="B830" s="60"/>
      <c r="C830" s="252"/>
      <c r="D830" s="252"/>
      <c r="E830" s="253"/>
      <c r="F830" s="254"/>
      <c r="G830" s="253"/>
    </row>
    <row r="831">
      <c r="A831" s="60"/>
      <c r="B831" s="60"/>
      <c r="C831" s="252"/>
      <c r="D831" s="252"/>
      <c r="E831" s="253"/>
      <c r="F831" s="254"/>
      <c r="G831" s="253"/>
    </row>
    <row r="832">
      <c r="A832" s="60"/>
      <c r="B832" s="60"/>
      <c r="C832" s="252"/>
      <c r="D832" s="252"/>
      <c r="E832" s="253"/>
      <c r="F832" s="254"/>
      <c r="G832" s="253"/>
    </row>
    <row r="833">
      <c r="A833" s="60"/>
      <c r="B833" s="60"/>
      <c r="C833" s="252"/>
      <c r="D833" s="252"/>
      <c r="E833" s="253"/>
      <c r="F833" s="254"/>
      <c r="G833" s="253"/>
    </row>
    <row r="834">
      <c r="A834" s="60"/>
      <c r="B834" s="60"/>
      <c r="C834" s="252"/>
      <c r="D834" s="252"/>
      <c r="E834" s="253"/>
      <c r="F834" s="254"/>
      <c r="G834" s="253"/>
    </row>
    <row r="835">
      <c r="A835" s="60"/>
      <c r="B835" s="60"/>
      <c r="C835" s="252"/>
      <c r="D835" s="252"/>
      <c r="E835" s="253"/>
      <c r="F835" s="254"/>
      <c r="G835" s="253"/>
    </row>
    <row r="836">
      <c r="A836" s="60"/>
      <c r="B836" s="60"/>
      <c r="C836" s="252"/>
      <c r="D836" s="252"/>
      <c r="E836" s="253"/>
      <c r="F836" s="254"/>
      <c r="G836" s="253"/>
    </row>
    <row r="837">
      <c r="A837" s="60"/>
      <c r="B837" s="60"/>
      <c r="C837" s="252"/>
      <c r="D837" s="252"/>
      <c r="E837" s="253"/>
      <c r="F837" s="254"/>
      <c r="G837" s="253"/>
    </row>
    <row r="838">
      <c r="A838" s="60"/>
      <c r="B838" s="60"/>
      <c r="C838" s="252"/>
      <c r="D838" s="252"/>
      <c r="E838" s="253"/>
      <c r="F838" s="254"/>
      <c r="G838" s="253"/>
    </row>
    <row r="839">
      <c r="A839" s="60"/>
      <c r="B839" s="60"/>
      <c r="C839" s="252"/>
      <c r="D839" s="252"/>
      <c r="E839" s="253"/>
      <c r="F839" s="254"/>
      <c r="G839" s="253"/>
    </row>
    <row r="840">
      <c r="A840" s="60"/>
      <c r="B840" s="60"/>
      <c r="C840" s="252"/>
      <c r="D840" s="252"/>
      <c r="E840" s="253"/>
      <c r="F840" s="254"/>
      <c r="G840" s="253"/>
    </row>
    <row r="841">
      <c r="A841" s="60"/>
      <c r="B841" s="60"/>
      <c r="C841" s="252"/>
      <c r="D841" s="252"/>
      <c r="E841" s="253"/>
      <c r="F841" s="254"/>
      <c r="G841" s="253"/>
    </row>
    <row r="842">
      <c r="A842" s="60"/>
      <c r="B842" s="60"/>
      <c r="C842" s="252"/>
      <c r="D842" s="252"/>
      <c r="E842" s="253"/>
      <c r="F842" s="254"/>
      <c r="G842" s="253"/>
    </row>
    <row r="843">
      <c r="A843" s="60"/>
      <c r="B843" s="60"/>
      <c r="C843" s="252"/>
      <c r="D843" s="252"/>
      <c r="E843" s="253"/>
      <c r="F843" s="254"/>
      <c r="G843" s="253"/>
    </row>
    <row r="844">
      <c r="A844" s="60"/>
      <c r="B844" s="60"/>
      <c r="C844" s="252"/>
      <c r="D844" s="252"/>
      <c r="E844" s="253"/>
      <c r="F844" s="254"/>
      <c r="G844" s="253"/>
    </row>
    <row r="845">
      <c r="A845" s="60"/>
      <c r="B845" s="60"/>
      <c r="C845" s="252"/>
      <c r="D845" s="252"/>
      <c r="E845" s="253"/>
      <c r="F845" s="254"/>
      <c r="G845" s="253"/>
    </row>
    <row r="846">
      <c r="A846" s="60"/>
      <c r="B846" s="60"/>
      <c r="C846" s="252"/>
      <c r="D846" s="252"/>
      <c r="E846" s="253"/>
      <c r="F846" s="254"/>
      <c r="G846" s="253"/>
    </row>
    <row r="847">
      <c r="A847" s="60"/>
      <c r="B847" s="60"/>
      <c r="C847" s="252"/>
      <c r="D847" s="252"/>
      <c r="E847" s="253"/>
      <c r="F847" s="254"/>
      <c r="G847" s="253"/>
    </row>
    <row r="848">
      <c r="A848" s="60"/>
      <c r="B848" s="60"/>
      <c r="C848" s="252"/>
      <c r="D848" s="252"/>
      <c r="E848" s="253"/>
      <c r="F848" s="254"/>
      <c r="G848" s="253"/>
    </row>
    <row r="849">
      <c r="A849" s="60"/>
      <c r="B849" s="60"/>
      <c r="C849" s="252"/>
      <c r="D849" s="252"/>
      <c r="E849" s="253"/>
      <c r="F849" s="254"/>
      <c r="G849" s="253"/>
    </row>
    <row r="850">
      <c r="A850" s="60"/>
      <c r="B850" s="60"/>
      <c r="C850" s="252"/>
      <c r="D850" s="252"/>
      <c r="E850" s="253"/>
      <c r="F850" s="254"/>
      <c r="G850" s="253"/>
    </row>
    <row r="851">
      <c r="A851" s="60"/>
      <c r="B851" s="60"/>
      <c r="C851" s="252"/>
      <c r="D851" s="252"/>
      <c r="E851" s="253"/>
      <c r="F851" s="254"/>
      <c r="G851" s="253"/>
    </row>
    <row r="852">
      <c r="A852" s="60"/>
      <c r="B852" s="60"/>
      <c r="C852" s="252"/>
      <c r="D852" s="252"/>
      <c r="E852" s="253"/>
      <c r="F852" s="254"/>
      <c r="G852" s="253"/>
    </row>
    <row r="853">
      <c r="A853" s="60"/>
      <c r="B853" s="60"/>
      <c r="C853" s="252"/>
      <c r="D853" s="252"/>
      <c r="E853" s="253"/>
      <c r="F853" s="254"/>
      <c r="G853" s="253"/>
    </row>
    <row r="854">
      <c r="A854" s="60"/>
      <c r="B854" s="60"/>
      <c r="C854" s="252"/>
      <c r="D854" s="252"/>
      <c r="E854" s="253"/>
      <c r="F854" s="254"/>
      <c r="G854" s="253"/>
    </row>
    <row r="855">
      <c r="A855" s="60"/>
      <c r="B855" s="60"/>
      <c r="C855" s="252"/>
      <c r="D855" s="252"/>
      <c r="E855" s="253"/>
      <c r="F855" s="254"/>
      <c r="G855" s="253"/>
    </row>
    <row r="856">
      <c r="A856" s="60"/>
      <c r="B856" s="60"/>
      <c r="C856" s="252"/>
      <c r="D856" s="252"/>
      <c r="E856" s="253"/>
      <c r="F856" s="254"/>
      <c r="G856" s="253"/>
    </row>
    <row r="857">
      <c r="A857" s="60"/>
      <c r="B857" s="60"/>
      <c r="C857" s="252"/>
      <c r="D857" s="252"/>
      <c r="E857" s="253"/>
      <c r="F857" s="254"/>
      <c r="G857" s="253"/>
    </row>
    <row r="858">
      <c r="A858" s="60"/>
      <c r="B858" s="60"/>
      <c r="C858" s="252"/>
      <c r="D858" s="252"/>
      <c r="E858" s="253"/>
      <c r="F858" s="254"/>
      <c r="G858" s="253"/>
    </row>
    <row r="859">
      <c r="A859" s="60"/>
      <c r="B859" s="60"/>
      <c r="C859" s="252"/>
      <c r="D859" s="252"/>
      <c r="E859" s="253"/>
      <c r="F859" s="254"/>
      <c r="G859" s="253"/>
    </row>
    <row r="860">
      <c r="A860" s="60"/>
      <c r="B860" s="60"/>
      <c r="C860" s="252"/>
      <c r="D860" s="252"/>
      <c r="E860" s="253"/>
      <c r="F860" s="254"/>
      <c r="G860" s="253"/>
    </row>
    <row r="861">
      <c r="A861" s="60"/>
      <c r="B861" s="60"/>
      <c r="C861" s="252"/>
      <c r="D861" s="252"/>
      <c r="E861" s="253"/>
      <c r="F861" s="254"/>
      <c r="G861" s="253"/>
    </row>
    <row r="862">
      <c r="A862" s="60"/>
      <c r="B862" s="60"/>
      <c r="C862" s="252"/>
      <c r="D862" s="252"/>
      <c r="E862" s="253"/>
      <c r="F862" s="254"/>
      <c r="G862" s="253"/>
    </row>
    <row r="863">
      <c r="A863" s="60"/>
      <c r="B863" s="60"/>
      <c r="C863" s="252"/>
      <c r="D863" s="252"/>
      <c r="E863" s="253"/>
      <c r="F863" s="254"/>
      <c r="G863" s="253"/>
    </row>
    <row r="864">
      <c r="A864" s="60"/>
      <c r="B864" s="60"/>
      <c r="C864" s="252"/>
      <c r="D864" s="252"/>
      <c r="E864" s="253"/>
      <c r="F864" s="254"/>
      <c r="G864" s="253"/>
    </row>
    <row r="865">
      <c r="A865" s="60"/>
      <c r="B865" s="60"/>
      <c r="C865" s="252"/>
      <c r="D865" s="252"/>
      <c r="E865" s="253"/>
      <c r="F865" s="254"/>
      <c r="G865" s="253"/>
    </row>
    <row r="866">
      <c r="A866" s="60"/>
      <c r="B866" s="60"/>
      <c r="C866" s="252"/>
      <c r="D866" s="252"/>
      <c r="E866" s="253"/>
      <c r="F866" s="254"/>
      <c r="G866" s="253"/>
    </row>
    <row r="867">
      <c r="A867" s="60"/>
      <c r="B867" s="60"/>
      <c r="C867" s="252"/>
      <c r="D867" s="252"/>
      <c r="E867" s="253"/>
      <c r="F867" s="254"/>
      <c r="G867" s="253"/>
    </row>
    <row r="868">
      <c r="A868" s="60"/>
      <c r="B868" s="60"/>
      <c r="C868" s="252"/>
      <c r="D868" s="252"/>
      <c r="E868" s="253"/>
      <c r="F868" s="254"/>
      <c r="G868" s="253"/>
    </row>
    <row r="869">
      <c r="A869" s="60"/>
      <c r="B869" s="60"/>
      <c r="C869" s="252"/>
      <c r="D869" s="252"/>
      <c r="E869" s="253"/>
      <c r="F869" s="254"/>
      <c r="G869" s="253"/>
    </row>
    <row r="870">
      <c r="A870" s="60"/>
      <c r="B870" s="60"/>
      <c r="C870" s="252"/>
      <c r="D870" s="252"/>
      <c r="E870" s="253"/>
      <c r="F870" s="254"/>
      <c r="G870" s="253"/>
    </row>
    <row r="871">
      <c r="A871" s="60"/>
      <c r="B871" s="60"/>
      <c r="C871" s="252"/>
      <c r="D871" s="252"/>
      <c r="E871" s="253"/>
      <c r="F871" s="254"/>
      <c r="G871" s="253"/>
    </row>
    <row r="872">
      <c r="A872" s="60"/>
      <c r="B872" s="60"/>
      <c r="C872" s="252"/>
      <c r="D872" s="252"/>
      <c r="E872" s="253"/>
      <c r="F872" s="254"/>
      <c r="G872" s="253"/>
    </row>
    <row r="873">
      <c r="A873" s="60"/>
      <c r="B873" s="60"/>
      <c r="C873" s="252"/>
      <c r="D873" s="252"/>
      <c r="E873" s="253"/>
      <c r="F873" s="254"/>
      <c r="G873" s="253"/>
    </row>
    <row r="874">
      <c r="A874" s="60"/>
      <c r="B874" s="60"/>
      <c r="C874" s="252"/>
      <c r="D874" s="252"/>
      <c r="E874" s="253"/>
      <c r="F874" s="254"/>
      <c r="G874" s="253"/>
    </row>
    <row r="875">
      <c r="A875" s="60"/>
      <c r="B875" s="60"/>
      <c r="C875" s="252"/>
      <c r="D875" s="252"/>
      <c r="E875" s="253"/>
      <c r="F875" s="254"/>
      <c r="G875" s="253"/>
    </row>
    <row r="876">
      <c r="A876" s="60"/>
      <c r="B876" s="60"/>
      <c r="C876" s="252"/>
      <c r="D876" s="252"/>
      <c r="E876" s="253"/>
      <c r="F876" s="254"/>
      <c r="G876" s="253"/>
    </row>
    <row r="877">
      <c r="A877" s="60"/>
      <c r="B877" s="60"/>
      <c r="C877" s="252"/>
      <c r="D877" s="252"/>
      <c r="E877" s="253"/>
      <c r="F877" s="254"/>
      <c r="G877" s="253"/>
    </row>
    <row r="878">
      <c r="A878" s="60"/>
      <c r="B878" s="60"/>
      <c r="C878" s="252"/>
      <c r="D878" s="252"/>
      <c r="E878" s="253"/>
      <c r="F878" s="254"/>
      <c r="G878" s="253"/>
    </row>
    <row r="879">
      <c r="A879" s="60"/>
      <c r="B879" s="60"/>
      <c r="C879" s="252"/>
      <c r="D879" s="252"/>
      <c r="E879" s="253"/>
      <c r="F879" s="254"/>
      <c r="G879" s="253"/>
    </row>
    <row r="880">
      <c r="A880" s="60"/>
      <c r="B880" s="60"/>
      <c r="C880" s="252"/>
      <c r="D880" s="252"/>
      <c r="E880" s="253"/>
      <c r="F880" s="254"/>
      <c r="G880" s="253"/>
    </row>
    <row r="881">
      <c r="A881" s="60"/>
      <c r="B881" s="60"/>
      <c r="C881" s="252"/>
      <c r="D881" s="252"/>
      <c r="E881" s="253"/>
      <c r="F881" s="254"/>
      <c r="G881" s="253"/>
    </row>
    <row r="882">
      <c r="A882" s="60"/>
      <c r="B882" s="60"/>
      <c r="C882" s="252"/>
      <c r="D882" s="252"/>
      <c r="E882" s="253"/>
      <c r="F882" s="254"/>
      <c r="G882" s="253"/>
    </row>
    <row r="883">
      <c r="A883" s="60"/>
      <c r="B883" s="60"/>
      <c r="C883" s="252"/>
      <c r="D883" s="252"/>
      <c r="E883" s="253"/>
      <c r="F883" s="254"/>
      <c r="G883" s="253"/>
    </row>
    <row r="884">
      <c r="A884" s="60"/>
      <c r="B884" s="60"/>
      <c r="C884" s="252"/>
      <c r="D884" s="252"/>
      <c r="E884" s="253"/>
      <c r="F884" s="254"/>
      <c r="G884" s="253"/>
    </row>
    <row r="885">
      <c r="A885" s="60"/>
      <c r="B885" s="60"/>
      <c r="C885" s="252"/>
      <c r="D885" s="252"/>
      <c r="E885" s="253"/>
      <c r="F885" s="254"/>
      <c r="G885" s="253"/>
    </row>
    <row r="886">
      <c r="A886" s="60"/>
      <c r="B886" s="60"/>
      <c r="C886" s="252"/>
      <c r="D886" s="252"/>
      <c r="E886" s="253"/>
      <c r="F886" s="254"/>
      <c r="G886" s="253"/>
    </row>
    <row r="887">
      <c r="A887" s="60"/>
      <c r="B887" s="60"/>
      <c r="C887" s="252"/>
      <c r="D887" s="252"/>
      <c r="E887" s="253"/>
      <c r="F887" s="254"/>
      <c r="G887" s="253"/>
    </row>
    <row r="888">
      <c r="A888" s="60"/>
      <c r="B888" s="60"/>
      <c r="C888" s="252"/>
      <c r="D888" s="252"/>
      <c r="E888" s="253"/>
      <c r="F888" s="254"/>
      <c r="G888" s="253"/>
    </row>
    <row r="889">
      <c r="A889" s="60"/>
      <c r="B889" s="60"/>
      <c r="C889" s="252"/>
      <c r="D889" s="252"/>
      <c r="E889" s="253"/>
      <c r="F889" s="254"/>
      <c r="G889" s="253"/>
    </row>
    <row r="890">
      <c r="A890" s="60"/>
      <c r="B890" s="60"/>
      <c r="C890" s="252"/>
      <c r="D890" s="252"/>
      <c r="E890" s="253"/>
      <c r="F890" s="254"/>
      <c r="G890" s="253"/>
    </row>
    <row r="891">
      <c r="A891" s="60"/>
      <c r="B891" s="60"/>
      <c r="C891" s="252"/>
      <c r="D891" s="252"/>
      <c r="E891" s="253"/>
      <c r="F891" s="254"/>
      <c r="G891" s="253"/>
    </row>
    <row r="892">
      <c r="A892" s="60"/>
      <c r="B892" s="60"/>
      <c r="C892" s="252"/>
      <c r="D892" s="252"/>
      <c r="E892" s="253"/>
      <c r="F892" s="254"/>
      <c r="G892" s="253"/>
    </row>
    <row r="893">
      <c r="A893" s="60"/>
      <c r="B893" s="60"/>
      <c r="C893" s="252"/>
      <c r="D893" s="252"/>
      <c r="E893" s="253"/>
      <c r="F893" s="254"/>
      <c r="G893" s="253"/>
    </row>
    <row r="894">
      <c r="A894" s="60"/>
      <c r="B894" s="60"/>
      <c r="C894" s="252"/>
      <c r="D894" s="252"/>
      <c r="E894" s="253"/>
      <c r="F894" s="254"/>
      <c r="G894" s="253"/>
    </row>
    <row r="895">
      <c r="A895" s="60"/>
      <c r="B895" s="60"/>
      <c r="C895" s="252"/>
      <c r="D895" s="252"/>
      <c r="E895" s="253"/>
      <c r="F895" s="254"/>
      <c r="G895" s="253"/>
    </row>
    <row r="896">
      <c r="A896" s="60"/>
      <c r="B896" s="60"/>
      <c r="C896" s="252"/>
      <c r="D896" s="252"/>
      <c r="E896" s="253"/>
      <c r="F896" s="254"/>
      <c r="G896" s="253"/>
    </row>
    <row r="897">
      <c r="A897" s="60"/>
      <c r="B897" s="60"/>
      <c r="C897" s="252"/>
      <c r="D897" s="252"/>
      <c r="E897" s="253"/>
      <c r="F897" s="254"/>
      <c r="G897" s="253"/>
    </row>
    <row r="898">
      <c r="A898" s="60"/>
      <c r="B898" s="60"/>
      <c r="C898" s="252"/>
      <c r="D898" s="252"/>
      <c r="E898" s="253"/>
      <c r="F898" s="254"/>
      <c r="G898" s="253"/>
    </row>
    <row r="899">
      <c r="A899" s="60"/>
      <c r="B899" s="60"/>
      <c r="C899" s="252"/>
      <c r="D899" s="252"/>
      <c r="E899" s="253"/>
      <c r="F899" s="254"/>
      <c r="G899" s="253"/>
    </row>
    <row r="900">
      <c r="A900" s="60"/>
      <c r="B900" s="60"/>
      <c r="C900" s="252"/>
      <c r="D900" s="252"/>
      <c r="E900" s="253"/>
      <c r="F900" s="254"/>
      <c r="G900" s="253"/>
    </row>
    <row r="901">
      <c r="A901" s="60"/>
      <c r="B901" s="60"/>
      <c r="C901" s="252"/>
      <c r="D901" s="252"/>
      <c r="E901" s="253"/>
      <c r="F901" s="254"/>
      <c r="G901" s="253"/>
    </row>
    <row r="902">
      <c r="A902" s="60"/>
      <c r="B902" s="60"/>
      <c r="C902" s="252"/>
      <c r="D902" s="252"/>
      <c r="E902" s="253"/>
      <c r="F902" s="254"/>
      <c r="G902" s="253"/>
    </row>
    <row r="903">
      <c r="A903" s="60"/>
      <c r="B903" s="60"/>
      <c r="C903" s="252"/>
      <c r="D903" s="252"/>
      <c r="E903" s="253"/>
      <c r="F903" s="254"/>
      <c r="G903" s="253"/>
    </row>
    <row r="904">
      <c r="A904" s="60"/>
      <c r="B904" s="60"/>
      <c r="C904" s="252"/>
      <c r="D904" s="252"/>
      <c r="E904" s="253"/>
      <c r="F904" s="254"/>
      <c r="G904" s="253"/>
    </row>
    <row r="905">
      <c r="A905" s="60"/>
      <c r="B905" s="60"/>
      <c r="C905" s="252"/>
      <c r="D905" s="252"/>
      <c r="E905" s="253"/>
      <c r="F905" s="254"/>
      <c r="G905" s="253"/>
    </row>
    <row r="906">
      <c r="A906" s="60"/>
      <c r="B906" s="60"/>
      <c r="C906" s="252"/>
      <c r="D906" s="252"/>
      <c r="E906" s="253"/>
      <c r="F906" s="254"/>
      <c r="G906" s="253"/>
    </row>
    <row r="907">
      <c r="A907" s="60"/>
      <c r="B907" s="60"/>
      <c r="C907" s="252"/>
      <c r="D907" s="252"/>
      <c r="E907" s="253"/>
      <c r="F907" s="254"/>
      <c r="G907" s="253"/>
    </row>
    <row r="908">
      <c r="A908" s="60"/>
      <c r="B908" s="60"/>
      <c r="C908" s="252"/>
      <c r="D908" s="252"/>
      <c r="E908" s="253"/>
      <c r="F908" s="254"/>
      <c r="G908" s="253"/>
    </row>
    <row r="909">
      <c r="A909" s="60"/>
      <c r="B909" s="60"/>
      <c r="C909" s="252"/>
      <c r="D909" s="252"/>
      <c r="E909" s="253"/>
      <c r="F909" s="254"/>
      <c r="G909" s="253"/>
    </row>
    <row r="910">
      <c r="A910" s="60"/>
      <c r="B910" s="60"/>
      <c r="C910" s="252"/>
      <c r="D910" s="252"/>
      <c r="E910" s="253"/>
      <c r="F910" s="254"/>
      <c r="G910" s="253"/>
    </row>
    <row r="911">
      <c r="A911" s="60"/>
      <c r="B911" s="60"/>
      <c r="C911" s="252"/>
      <c r="D911" s="252"/>
      <c r="E911" s="253"/>
      <c r="F911" s="254"/>
      <c r="G911" s="253"/>
    </row>
    <row r="912">
      <c r="A912" s="60"/>
      <c r="B912" s="60"/>
      <c r="C912" s="252"/>
      <c r="D912" s="252"/>
      <c r="E912" s="253"/>
      <c r="F912" s="254"/>
      <c r="G912" s="253"/>
    </row>
    <row r="913">
      <c r="A913" s="60"/>
      <c r="B913" s="60"/>
      <c r="C913" s="252"/>
      <c r="D913" s="252"/>
      <c r="E913" s="253"/>
      <c r="F913" s="254"/>
      <c r="G913" s="253"/>
    </row>
    <row r="914">
      <c r="A914" s="60"/>
      <c r="B914" s="60"/>
      <c r="C914" s="252"/>
      <c r="D914" s="252"/>
      <c r="E914" s="253"/>
      <c r="F914" s="254"/>
      <c r="G914" s="253"/>
    </row>
    <row r="915">
      <c r="A915" s="60"/>
      <c r="B915" s="60"/>
      <c r="C915" s="252"/>
      <c r="D915" s="252"/>
      <c r="E915" s="253"/>
      <c r="F915" s="254"/>
      <c r="G915" s="253"/>
    </row>
    <row r="916">
      <c r="A916" s="60"/>
      <c r="B916" s="60"/>
      <c r="C916" s="252"/>
      <c r="D916" s="252"/>
      <c r="E916" s="253"/>
      <c r="F916" s="254"/>
      <c r="G916" s="253"/>
    </row>
    <row r="917">
      <c r="A917" s="60"/>
      <c r="B917" s="60"/>
      <c r="C917" s="252"/>
      <c r="D917" s="252"/>
      <c r="E917" s="253"/>
      <c r="F917" s="254"/>
      <c r="G917" s="253"/>
    </row>
    <row r="918">
      <c r="A918" s="60"/>
      <c r="B918" s="60"/>
      <c r="C918" s="252"/>
      <c r="D918" s="252"/>
      <c r="E918" s="253"/>
      <c r="F918" s="254"/>
      <c r="G918" s="253"/>
    </row>
    <row r="919">
      <c r="A919" s="60"/>
      <c r="B919" s="60"/>
      <c r="C919" s="252"/>
      <c r="D919" s="252"/>
      <c r="E919" s="253"/>
      <c r="F919" s="254"/>
      <c r="G919" s="253"/>
    </row>
    <row r="920">
      <c r="A920" s="60"/>
      <c r="B920" s="60"/>
      <c r="C920" s="252"/>
      <c r="D920" s="252"/>
      <c r="E920" s="253"/>
      <c r="F920" s="254"/>
      <c r="G920" s="253"/>
    </row>
    <row r="921">
      <c r="A921" s="60"/>
      <c r="B921" s="60"/>
      <c r="C921" s="252"/>
      <c r="D921" s="252"/>
      <c r="E921" s="253"/>
      <c r="F921" s="254"/>
      <c r="G921" s="253"/>
    </row>
    <row r="922">
      <c r="A922" s="60"/>
      <c r="B922" s="60"/>
      <c r="C922" s="252"/>
      <c r="D922" s="252"/>
      <c r="E922" s="253"/>
      <c r="F922" s="254"/>
      <c r="G922" s="253"/>
    </row>
    <row r="923">
      <c r="A923" s="60"/>
      <c r="B923" s="60"/>
      <c r="C923" s="252"/>
      <c r="D923" s="252"/>
      <c r="E923" s="253"/>
      <c r="F923" s="254"/>
      <c r="G923" s="253"/>
    </row>
    <row r="924">
      <c r="A924" s="60"/>
      <c r="B924" s="60"/>
      <c r="C924" s="252"/>
      <c r="D924" s="252"/>
      <c r="E924" s="253"/>
      <c r="F924" s="254"/>
      <c r="G924" s="253"/>
    </row>
    <row r="925">
      <c r="A925" s="60"/>
      <c r="B925" s="60"/>
      <c r="C925" s="252"/>
      <c r="D925" s="252"/>
      <c r="E925" s="253"/>
      <c r="F925" s="254"/>
      <c r="G925" s="253"/>
    </row>
    <row r="926">
      <c r="A926" s="60"/>
      <c r="B926" s="60"/>
      <c r="C926" s="252"/>
      <c r="D926" s="252"/>
      <c r="E926" s="253"/>
      <c r="F926" s="254"/>
      <c r="G926" s="253"/>
    </row>
    <row r="927">
      <c r="A927" s="60"/>
      <c r="B927" s="60"/>
      <c r="C927" s="252"/>
      <c r="D927" s="252"/>
      <c r="E927" s="253"/>
      <c r="F927" s="254"/>
      <c r="G927" s="253"/>
    </row>
    <row r="928">
      <c r="A928" s="60"/>
      <c r="B928" s="60"/>
      <c r="C928" s="252"/>
      <c r="D928" s="252"/>
      <c r="E928" s="253"/>
      <c r="F928" s="254"/>
      <c r="G928" s="253"/>
    </row>
    <row r="929">
      <c r="A929" s="60"/>
      <c r="B929" s="60"/>
      <c r="C929" s="252"/>
      <c r="D929" s="252"/>
      <c r="E929" s="253"/>
      <c r="F929" s="254"/>
      <c r="G929" s="253"/>
    </row>
    <row r="930">
      <c r="A930" s="60"/>
      <c r="B930" s="60"/>
      <c r="C930" s="252"/>
      <c r="D930" s="252"/>
      <c r="E930" s="253"/>
      <c r="F930" s="254"/>
      <c r="G930" s="253"/>
    </row>
    <row r="931">
      <c r="A931" s="60"/>
      <c r="B931" s="60"/>
      <c r="C931" s="252"/>
      <c r="D931" s="252"/>
      <c r="E931" s="253"/>
      <c r="F931" s="254"/>
      <c r="G931" s="253"/>
    </row>
    <row r="932">
      <c r="A932" s="60"/>
      <c r="B932" s="60"/>
      <c r="C932" s="252"/>
      <c r="D932" s="252"/>
      <c r="E932" s="253"/>
      <c r="F932" s="254"/>
      <c r="G932" s="253"/>
    </row>
    <row r="933">
      <c r="A933" s="60"/>
      <c r="B933" s="60"/>
      <c r="C933" s="252"/>
      <c r="D933" s="252"/>
      <c r="E933" s="253"/>
      <c r="F933" s="254"/>
      <c r="G933" s="253"/>
    </row>
    <row r="934">
      <c r="A934" s="60"/>
      <c r="B934" s="60"/>
      <c r="C934" s="252"/>
      <c r="D934" s="252"/>
      <c r="E934" s="253"/>
      <c r="F934" s="254"/>
      <c r="G934" s="253"/>
    </row>
    <row r="935">
      <c r="A935" s="60"/>
      <c r="B935" s="60"/>
      <c r="C935" s="252"/>
      <c r="D935" s="252"/>
      <c r="E935" s="253"/>
      <c r="F935" s="254"/>
      <c r="G935" s="253"/>
    </row>
    <row r="936">
      <c r="A936" s="60"/>
      <c r="B936" s="60"/>
      <c r="C936" s="252"/>
      <c r="D936" s="252"/>
      <c r="E936" s="253"/>
      <c r="F936" s="254"/>
      <c r="G936" s="253"/>
    </row>
    <row r="937">
      <c r="A937" s="60"/>
      <c r="B937" s="60"/>
      <c r="C937" s="252"/>
      <c r="D937" s="252"/>
      <c r="E937" s="253"/>
      <c r="F937" s="254"/>
      <c r="G937" s="253"/>
    </row>
    <row r="938">
      <c r="A938" s="60"/>
      <c r="B938" s="60"/>
      <c r="C938" s="252"/>
      <c r="D938" s="252"/>
      <c r="E938" s="253"/>
      <c r="F938" s="254"/>
      <c r="G938" s="253"/>
    </row>
    <row r="939">
      <c r="A939" s="60"/>
      <c r="B939" s="60"/>
      <c r="C939" s="252"/>
      <c r="D939" s="252"/>
      <c r="E939" s="253"/>
      <c r="F939" s="254"/>
      <c r="G939" s="253"/>
    </row>
    <row r="940">
      <c r="A940" s="60"/>
      <c r="B940" s="60"/>
      <c r="C940" s="252"/>
      <c r="D940" s="252"/>
      <c r="E940" s="253"/>
      <c r="F940" s="254"/>
      <c r="G940" s="253"/>
    </row>
    <row r="941">
      <c r="A941" s="60"/>
      <c r="B941" s="60"/>
      <c r="C941" s="252"/>
      <c r="D941" s="252"/>
      <c r="E941" s="253"/>
      <c r="F941" s="254"/>
      <c r="G941" s="253"/>
    </row>
    <row r="942">
      <c r="A942" s="60"/>
      <c r="B942" s="60"/>
      <c r="C942" s="252"/>
      <c r="D942" s="252"/>
      <c r="E942" s="253"/>
      <c r="F942" s="254"/>
      <c r="G942" s="253"/>
    </row>
    <row r="943">
      <c r="A943" s="60"/>
      <c r="B943" s="60"/>
      <c r="C943" s="252"/>
      <c r="D943" s="252"/>
      <c r="E943" s="253"/>
      <c r="F943" s="254"/>
      <c r="G943" s="253"/>
    </row>
    <row r="944">
      <c r="A944" s="60"/>
      <c r="B944" s="60"/>
      <c r="C944" s="252"/>
      <c r="D944" s="252"/>
      <c r="E944" s="253"/>
      <c r="F944" s="254"/>
      <c r="G944" s="253"/>
    </row>
    <row r="945">
      <c r="A945" s="60"/>
      <c r="B945" s="60"/>
      <c r="C945" s="252"/>
      <c r="D945" s="252"/>
      <c r="E945" s="253"/>
      <c r="F945" s="254"/>
      <c r="G945" s="253"/>
    </row>
    <row r="946">
      <c r="A946" s="60"/>
      <c r="B946" s="60"/>
      <c r="C946" s="252"/>
      <c r="D946" s="252"/>
      <c r="E946" s="253"/>
      <c r="F946" s="254"/>
      <c r="G946" s="253"/>
    </row>
    <row r="947">
      <c r="A947" s="60"/>
      <c r="B947" s="60"/>
      <c r="C947" s="252"/>
      <c r="D947" s="252"/>
      <c r="E947" s="253"/>
      <c r="F947" s="254"/>
      <c r="G947" s="253"/>
    </row>
    <row r="948">
      <c r="A948" s="60"/>
      <c r="B948" s="60"/>
      <c r="C948" s="252"/>
      <c r="D948" s="252"/>
      <c r="E948" s="253"/>
      <c r="F948" s="254"/>
      <c r="G948" s="253"/>
    </row>
    <row r="949">
      <c r="A949" s="60"/>
      <c r="B949" s="60"/>
      <c r="C949" s="252"/>
      <c r="D949" s="252"/>
      <c r="E949" s="253"/>
      <c r="F949" s="254"/>
      <c r="G949" s="253"/>
    </row>
    <row r="950">
      <c r="A950" s="60"/>
      <c r="B950" s="60"/>
      <c r="C950" s="252"/>
      <c r="D950" s="252"/>
      <c r="E950" s="253"/>
      <c r="F950" s="254"/>
      <c r="G950" s="253"/>
    </row>
    <row r="951">
      <c r="A951" s="60"/>
      <c r="B951" s="60"/>
      <c r="C951" s="252"/>
      <c r="D951" s="252"/>
      <c r="E951" s="253"/>
      <c r="F951" s="254"/>
      <c r="G951" s="253"/>
    </row>
    <row r="952">
      <c r="A952" s="60"/>
      <c r="B952" s="60"/>
      <c r="C952" s="252"/>
      <c r="D952" s="252"/>
      <c r="E952" s="253"/>
      <c r="F952" s="254"/>
      <c r="G952" s="253"/>
    </row>
    <row r="953">
      <c r="A953" s="60"/>
      <c r="B953" s="60"/>
      <c r="C953" s="252"/>
      <c r="D953" s="252"/>
      <c r="E953" s="253"/>
      <c r="F953" s="254"/>
      <c r="G953" s="253"/>
    </row>
    <row r="954">
      <c r="A954" s="60"/>
      <c r="B954" s="60"/>
      <c r="C954" s="252"/>
      <c r="D954" s="252"/>
      <c r="E954" s="253"/>
      <c r="F954" s="254"/>
      <c r="G954" s="253"/>
    </row>
    <row r="955">
      <c r="A955" s="60"/>
      <c r="B955" s="60"/>
      <c r="C955" s="252"/>
      <c r="D955" s="252"/>
      <c r="E955" s="253"/>
      <c r="F955" s="254"/>
      <c r="G955" s="253"/>
    </row>
    <row r="956">
      <c r="A956" s="60"/>
      <c r="B956" s="60"/>
      <c r="C956" s="252"/>
      <c r="D956" s="252"/>
      <c r="E956" s="253"/>
      <c r="F956" s="254"/>
      <c r="G956" s="253"/>
    </row>
    <row r="957">
      <c r="A957" s="60"/>
      <c r="B957" s="60"/>
      <c r="C957" s="252"/>
      <c r="D957" s="252"/>
      <c r="E957" s="253"/>
      <c r="F957" s="254"/>
      <c r="G957" s="253"/>
    </row>
    <row r="958">
      <c r="A958" s="60"/>
      <c r="B958" s="60"/>
      <c r="C958" s="252"/>
      <c r="D958" s="252"/>
      <c r="E958" s="253"/>
      <c r="F958" s="254"/>
      <c r="G958" s="253"/>
    </row>
    <row r="959">
      <c r="A959" s="60"/>
      <c r="B959" s="60"/>
      <c r="C959" s="252"/>
      <c r="D959" s="252"/>
      <c r="E959" s="253"/>
      <c r="F959" s="254"/>
      <c r="G959" s="253"/>
    </row>
    <row r="960">
      <c r="A960" s="60"/>
      <c r="B960" s="60"/>
      <c r="C960" s="252"/>
      <c r="D960" s="252"/>
      <c r="E960" s="253"/>
      <c r="F960" s="254"/>
      <c r="G960" s="253"/>
    </row>
    <row r="961">
      <c r="A961" s="60"/>
      <c r="B961" s="60"/>
      <c r="C961" s="252"/>
      <c r="D961" s="252"/>
      <c r="E961" s="253"/>
      <c r="F961" s="254"/>
      <c r="G961" s="253"/>
    </row>
    <row r="962">
      <c r="A962" s="60"/>
      <c r="B962" s="60"/>
      <c r="C962" s="252"/>
      <c r="D962" s="252"/>
      <c r="E962" s="253"/>
      <c r="F962" s="254"/>
      <c r="G962" s="253"/>
    </row>
    <row r="963">
      <c r="A963" s="60"/>
      <c r="B963" s="60"/>
      <c r="C963" s="252"/>
      <c r="D963" s="252"/>
      <c r="E963" s="253"/>
      <c r="F963" s="254"/>
      <c r="G963" s="253"/>
    </row>
    <row r="964">
      <c r="A964" s="60"/>
      <c r="B964" s="60"/>
      <c r="C964" s="252"/>
      <c r="D964" s="252"/>
      <c r="E964" s="253"/>
      <c r="F964" s="254"/>
      <c r="G964" s="253"/>
    </row>
    <row r="965">
      <c r="A965" s="60"/>
      <c r="B965" s="60"/>
      <c r="C965" s="252"/>
      <c r="D965" s="252"/>
      <c r="E965" s="253"/>
      <c r="F965" s="254"/>
      <c r="G965" s="253"/>
    </row>
    <row r="966">
      <c r="A966" s="60"/>
      <c r="B966" s="60"/>
      <c r="C966" s="252"/>
      <c r="D966" s="252"/>
      <c r="E966" s="253"/>
      <c r="F966" s="254"/>
      <c r="G966" s="253"/>
    </row>
    <row r="967">
      <c r="A967" s="60"/>
      <c r="B967" s="60"/>
      <c r="C967" s="252"/>
      <c r="D967" s="252"/>
      <c r="E967" s="253"/>
      <c r="F967" s="254"/>
      <c r="G967" s="253"/>
    </row>
    <row r="968">
      <c r="A968" s="60"/>
      <c r="B968" s="60"/>
      <c r="C968" s="252"/>
      <c r="D968" s="252"/>
      <c r="E968" s="253"/>
      <c r="F968" s="254"/>
      <c r="G968" s="253"/>
    </row>
    <row r="969">
      <c r="A969" s="60"/>
      <c r="B969" s="60"/>
      <c r="C969" s="252"/>
      <c r="D969" s="252"/>
      <c r="E969" s="253"/>
      <c r="F969" s="254"/>
      <c r="G969" s="253"/>
    </row>
    <row r="970">
      <c r="A970" s="60"/>
      <c r="B970" s="60"/>
      <c r="C970" s="252"/>
      <c r="D970" s="252"/>
      <c r="E970" s="253"/>
      <c r="F970" s="254"/>
      <c r="G970" s="253"/>
    </row>
    <row r="971">
      <c r="A971" s="60"/>
      <c r="B971" s="60"/>
      <c r="C971" s="252"/>
      <c r="D971" s="252"/>
      <c r="E971" s="253"/>
      <c r="F971" s="254"/>
      <c r="G971" s="253"/>
    </row>
    <row r="972">
      <c r="A972" s="60"/>
      <c r="B972" s="60"/>
      <c r="C972" s="252"/>
      <c r="D972" s="252"/>
      <c r="E972" s="253"/>
      <c r="F972" s="254"/>
      <c r="G972" s="253"/>
    </row>
    <row r="973">
      <c r="A973" s="60"/>
      <c r="B973" s="60"/>
      <c r="C973" s="252"/>
      <c r="D973" s="252"/>
      <c r="E973" s="253"/>
      <c r="F973" s="254"/>
      <c r="G973" s="253"/>
    </row>
    <row r="974">
      <c r="A974" s="60"/>
      <c r="B974" s="60"/>
      <c r="C974" s="252"/>
      <c r="D974" s="252"/>
      <c r="E974" s="253"/>
      <c r="F974" s="254"/>
      <c r="G974" s="253"/>
    </row>
    <row r="975">
      <c r="A975" s="60"/>
      <c r="B975" s="60"/>
      <c r="C975" s="252"/>
      <c r="D975" s="252"/>
      <c r="E975" s="253"/>
      <c r="F975" s="254"/>
      <c r="G975" s="253"/>
    </row>
    <row r="976">
      <c r="A976" s="60"/>
      <c r="B976" s="60"/>
      <c r="C976" s="252"/>
      <c r="D976" s="252"/>
      <c r="E976" s="253"/>
      <c r="F976" s="254"/>
      <c r="G976" s="253"/>
    </row>
    <row r="977">
      <c r="A977" s="60"/>
      <c r="B977" s="60"/>
      <c r="C977" s="252"/>
      <c r="D977" s="252"/>
      <c r="E977" s="253"/>
      <c r="F977" s="254"/>
      <c r="G977" s="253"/>
    </row>
    <row r="978">
      <c r="A978" s="60"/>
      <c r="B978" s="60"/>
      <c r="C978" s="252"/>
      <c r="D978" s="252"/>
      <c r="E978" s="253"/>
      <c r="F978" s="254"/>
      <c r="G978" s="253"/>
    </row>
    <row r="979">
      <c r="A979" s="60"/>
      <c r="B979" s="60"/>
      <c r="C979" s="252"/>
      <c r="D979" s="252"/>
      <c r="E979" s="253"/>
      <c r="F979" s="254"/>
      <c r="G979" s="253"/>
    </row>
    <row r="980">
      <c r="A980" s="60"/>
      <c r="B980" s="60"/>
      <c r="C980" s="252"/>
      <c r="D980" s="252"/>
      <c r="E980" s="253"/>
      <c r="F980" s="254"/>
      <c r="G980" s="253"/>
    </row>
    <row r="981">
      <c r="A981" s="60"/>
      <c r="B981" s="60"/>
      <c r="C981" s="252"/>
      <c r="D981" s="252"/>
      <c r="E981" s="253"/>
      <c r="F981" s="254"/>
      <c r="G981" s="253"/>
    </row>
    <row r="982">
      <c r="A982" s="60"/>
      <c r="B982" s="60"/>
      <c r="C982" s="252"/>
      <c r="D982" s="252"/>
      <c r="E982" s="253"/>
      <c r="F982" s="254"/>
      <c r="G982" s="253"/>
    </row>
    <row r="983">
      <c r="A983" s="60"/>
      <c r="B983" s="60"/>
      <c r="C983" s="252"/>
      <c r="D983" s="252"/>
      <c r="E983" s="253"/>
      <c r="F983" s="254"/>
      <c r="G983" s="253"/>
    </row>
    <row r="984">
      <c r="A984" s="60"/>
      <c r="B984" s="60"/>
      <c r="C984" s="252"/>
      <c r="D984" s="252"/>
      <c r="E984" s="253"/>
      <c r="F984" s="254"/>
      <c r="G984" s="253"/>
    </row>
    <row r="985">
      <c r="A985" s="60"/>
      <c r="B985" s="60"/>
      <c r="C985" s="252"/>
      <c r="D985" s="252"/>
      <c r="E985" s="253"/>
      <c r="F985" s="254"/>
      <c r="G985" s="253"/>
    </row>
    <row r="986">
      <c r="A986" s="60"/>
      <c r="B986" s="60"/>
      <c r="C986" s="252"/>
      <c r="D986" s="252"/>
      <c r="E986" s="253"/>
      <c r="F986" s="254"/>
      <c r="G986" s="253"/>
    </row>
    <row r="987">
      <c r="A987" s="60"/>
      <c r="B987" s="60"/>
      <c r="C987" s="252"/>
      <c r="D987" s="252"/>
      <c r="E987" s="253"/>
      <c r="F987" s="254"/>
      <c r="G987" s="253"/>
    </row>
    <row r="988">
      <c r="A988" s="60"/>
      <c r="B988" s="60"/>
      <c r="C988" s="252"/>
      <c r="D988" s="252"/>
      <c r="E988" s="253"/>
      <c r="F988" s="254"/>
      <c r="G988" s="253"/>
    </row>
    <row r="989">
      <c r="A989" s="60"/>
      <c r="B989" s="60"/>
      <c r="C989" s="252"/>
      <c r="D989" s="252"/>
      <c r="E989" s="253"/>
      <c r="F989" s="254"/>
      <c r="G989" s="253"/>
    </row>
    <row r="990">
      <c r="A990" s="60"/>
      <c r="B990" s="60"/>
      <c r="C990" s="252"/>
      <c r="D990" s="252"/>
      <c r="E990" s="253"/>
      <c r="F990" s="254"/>
      <c r="G990" s="253"/>
    </row>
    <row r="991">
      <c r="A991" s="60"/>
      <c r="B991" s="60"/>
      <c r="C991" s="252"/>
      <c r="D991" s="252"/>
      <c r="E991" s="253"/>
      <c r="F991" s="254"/>
      <c r="G991" s="253"/>
    </row>
    <row r="992">
      <c r="A992" s="60"/>
      <c r="B992" s="60"/>
      <c r="C992" s="252"/>
      <c r="D992" s="252"/>
      <c r="E992" s="253"/>
      <c r="F992" s="254"/>
      <c r="G992" s="253"/>
    </row>
    <row r="993">
      <c r="A993" s="60"/>
      <c r="B993" s="60"/>
      <c r="C993" s="252"/>
      <c r="D993" s="252"/>
      <c r="E993" s="253"/>
      <c r="F993" s="254"/>
      <c r="G993" s="253"/>
    </row>
    <row r="994">
      <c r="A994" s="60"/>
      <c r="B994" s="60"/>
      <c r="C994" s="252"/>
      <c r="D994" s="252"/>
      <c r="E994" s="253"/>
      <c r="F994" s="254"/>
      <c r="G994" s="253"/>
    </row>
    <row r="995">
      <c r="A995" s="60"/>
      <c r="B995" s="60"/>
      <c r="C995" s="252"/>
      <c r="D995" s="252"/>
      <c r="E995" s="253"/>
      <c r="F995" s="254"/>
      <c r="G995" s="253"/>
    </row>
    <row r="996">
      <c r="A996" s="60"/>
      <c r="B996" s="60"/>
      <c r="C996" s="252"/>
      <c r="D996" s="252"/>
      <c r="E996" s="253"/>
      <c r="F996" s="254"/>
      <c r="G996" s="253"/>
    </row>
    <row r="997">
      <c r="A997" s="60"/>
      <c r="B997" s="60"/>
      <c r="C997" s="252"/>
      <c r="D997" s="252"/>
      <c r="E997" s="253"/>
      <c r="F997" s="254"/>
      <c r="G997" s="253"/>
    </row>
    <row r="998">
      <c r="A998" s="60"/>
      <c r="B998" s="60"/>
      <c r="C998" s="252"/>
      <c r="D998" s="252"/>
      <c r="E998" s="253"/>
      <c r="F998" s="254"/>
      <c r="G998" s="253"/>
    </row>
    <row r="999">
      <c r="A999" s="60"/>
      <c r="B999" s="60"/>
      <c r="C999" s="252"/>
      <c r="D999" s="252"/>
      <c r="E999" s="253"/>
      <c r="F999" s="254"/>
      <c r="G999" s="253"/>
    </row>
    <row r="1000">
      <c r="A1000" s="60"/>
      <c r="B1000" s="60"/>
      <c r="C1000" s="252"/>
      <c r="D1000" s="252"/>
      <c r="E1000" s="253"/>
      <c r="F1000" s="254"/>
      <c r="G1000" s="253"/>
    </row>
  </sheetData>
  <dataValidations>
    <dataValidation type="list" allowBlank="1" sqref="I2:I19">
      <formula1>"LOCAL,MP - FB ,FB ADS,GEOVA FB"</formula1>
    </dataValidation>
    <dataValidation type="custom" allowBlank="1" showDropDown="1" sqref="B2:B19">
      <formula1>OR(NOT(ISERROR(DATEVALUE(B2))), AND(ISNUMBER(B2), LEFT(CELL("format", B2))="D"))</formula1>
    </dataValidation>
    <dataValidation type="list" allowBlank="1" showErrorMessage="1" sqref="K2:K19">
      <formula1>"SI,NO"</formula1>
    </dataValidation>
    <dataValidation type="custom" allowBlank="1" showDropDown="1" sqref="A2:A19 E2:G19">
      <formula1>AND(ISNUMBER(A2),(NOT(OR(NOT(ISERROR(DATEVALUE(A2))), AND(ISNUMBER(A2), LEFT(CELL("format", A2))="D")))))</formula1>
    </dataValidation>
    <dataValidation type="list" allowBlank="1" showErrorMessage="1" sqref="H2:H19">
      <formula1>"ENTREGADO,PROCESO "</formula1>
    </dataValidation>
  </dataValidations>
  <drawing r:id="rId1"/>
  <tableParts count="1">
    <tablePart r:id="rId3"/>
  </tableParts>
</worksheet>
</file>